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mc:AlternateContent xmlns:mc="http://schemas.openxmlformats.org/markup-compatibility/2006">
    <mc:Choice Requires="x15">
      <x15ac:absPath xmlns:x15ac="http://schemas.microsoft.com/office/spreadsheetml/2010/11/ac" url="C:\Users\mabel\Downloads\Healthx\Workings\Al Mizan Realty Developers LLC\Workings\V1\"/>
    </mc:Choice>
  </mc:AlternateContent>
  <xr:revisionPtr revIDLastSave="0" documentId="13_ncr:1_{6D6D7772-F1AF-4F3B-AEDF-ED829D99A645}" xr6:coauthVersionLast="47" xr6:coauthVersionMax="47" xr10:uidLastSave="{00000000-0000-0000-0000-000000000000}"/>
  <workbookProtection workbookAlgorithmName="SHA-512" workbookHashValue="gzrtlboBanx9YbDWPsV6Cb7trNuXew9bQn/gIamd7nudzP5h/5llVSUw3rxL8v60btm8WMpwMtAzz5K6YQy4ZQ==" workbookSaltValue="pwLEsOTThaPlo3HZ+x97Og==" workbookSpinCount="100000" lockStructure="1"/>
  <bookViews>
    <workbookView xWindow="-120" yWindow="-120" windowWidth="20730" windowHeight="11160" tabRatio="834" firstSheet="1" activeTab="3" xr2:uid="{00000000-000D-0000-FFFF-FFFF00000000}"/>
  </bookViews>
  <sheets>
    <sheet name="General Guidelines" sheetId="22" r:id="rId1"/>
    <sheet name="General Information" sheetId="6" r:id="rId2"/>
    <sheet name="Member Data" sheetId="4" r:id="rId3"/>
    <sheet name="Benefit Selection - Group" sheetId="5" r:id="rId4"/>
    <sheet name="Claims Module" sheetId="10" r:id="rId5"/>
    <sheet name="Local Plans TOB" sheetId="25" state="hidden" r:id="rId6"/>
    <sheet name="Referral to RGA" sheetId="14" r:id="rId7"/>
    <sheet name="TOB &amp; Rates" sheetId="13" r:id="rId8"/>
    <sheet name="UW Team Notes" sheetId="18" r:id="rId9"/>
    <sheet name="OFFER LETTER" sheetId="27" r:id="rId10"/>
    <sheet name="Age Banded Rating" sheetId="16" state="hidden" r:id="rId11"/>
    <sheet name="Group Engine" sheetId="3" state="hidden" r:id="rId12"/>
    <sheet name="General Basis" sheetId="7" state="hidden" r:id="rId13"/>
    <sheet name="Group Basis" sheetId="1" state="hidden" r:id="rId14"/>
    <sheet name="2024-25 NET RATES - Local Plans" sheetId="23" state="hidden" r:id="rId15"/>
    <sheet name="Experience Rating" sheetId="11" state="hidden" r:id="rId16"/>
    <sheet name="Weights" sheetId="12" state="hidden" r:id="rId17"/>
    <sheet name="Tool Updates" sheetId="15" state="hidden" r:id="rId18"/>
    <sheet name="Tracker" sheetId="17" state="hidden" r:id="rId19"/>
    <sheet name="Alliance TOB" sheetId="19" state="hidden" r:id="rId20"/>
    <sheet name="Individual Basis" sheetId="2" state="hidden" r:id="rId21"/>
    <sheet name="Individual Engine" sheetId="9" state="hidden" r:id="rId22"/>
    <sheet name="Benefit Selection - Individual" sheetId="8" state="hidden" r:id="rId23"/>
  </sheets>
  <externalReferences>
    <externalReference r:id="rId24"/>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13" hidden="1">'Group Basis'!$X$177:$AD$187</definedName>
    <definedName name="_xlnm._FilterDatabase" localSheetId="2" hidden="1">'Member Data'!$A$5:$L$5332</definedName>
    <definedName name="_Order1" hidden="1">0</definedName>
    <definedName name="Age_Band_Count_Dep_CatA">'TOB &amp; Rates'!$C$211:$E$223</definedName>
    <definedName name="Age_Band_Count_Dep_CatB">'TOB &amp; Rates'!$F$211:$H$223</definedName>
    <definedName name="Age_Band_Count_Dep_CatC">'TOB &amp; Rates'!$I$211:$K$223</definedName>
    <definedName name="Age_Band_Count_Dep_CatD">'TOB &amp; Rates'!$L$211:$N$223</definedName>
    <definedName name="Age_Band_Count_Dep_CatE">'TOB &amp; Rates'!$C$227:$E$239</definedName>
    <definedName name="Age_Band_Count_Dep_CatF">'TOB &amp; Rates'!$F$227:$H$239</definedName>
    <definedName name="Age_Band_Count_Dep_CatG">'TOB &amp; Rates'!$I$227:$K$239</definedName>
    <definedName name="Age_Band_Count_Dep_CatH">'TOB &amp; Rates'!$L$227:$N$239</definedName>
    <definedName name="Age_Band_Count_Emp_CatA">'TOB &amp; Rates'!$C$179:$E$191</definedName>
    <definedName name="Age_Band_Count_Emp_CatB">'TOB &amp; Rates'!$F$179:$H$191</definedName>
    <definedName name="Age_Band_Count_Emp_CatC">'TOB &amp; Rates'!$I$179:$K$191</definedName>
    <definedName name="Age_Band_Count_Emp_CatD">'TOB &amp; Rates'!$L$179:$N$191</definedName>
    <definedName name="Age_Band_Count_Emp_CatE">'TOB &amp; Rates'!$C$195:$E$207</definedName>
    <definedName name="Age_Band_Count_Emp_CatF">'TOB &amp; Rates'!$F$195:$H$207</definedName>
    <definedName name="Age_Band_Count_Emp_CatG">'TOB &amp; Rates'!$I$195:$K$207</definedName>
    <definedName name="Age_Band_Count_Emp_CatH">'TOB &amp; Rates'!$L$195:$N$207</definedName>
    <definedName name="Age_Band_GRP_Dep_CatA">'TOB &amp; Rates'!$C$365:$E$377</definedName>
    <definedName name="Age_Band_GRP_Dep_CatB">'TOB &amp; Rates'!$F$365:$H$377</definedName>
    <definedName name="Age_Band_GRP_Dep_CatC">'TOB &amp; Rates'!$I$365:$K$377</definedName>
    <definedName name="Age_Band_GRP_Dep_CatD">'TOB &amp; Rates'!$L$365:$N$377</definedName>
    <definedName name="Age_Band_GRP_Dep_CatE">'TOB &amp; Rates'!$C$382:$E$394</definedName>
    <definedName name="Age_Band_GRP_Dep_CatF">'TOB &amp; Rates'!$F$382:$H$394</definedName>
    <definedName name="Age_Band_GRP_Dep_CatG">'TOB &amp; Rates'!$I$382:$K$394</definedName>
    <definedName name="Age_Band_GRP_Dep_CatH">'TOB &amp; Rates'!$L$382:$N$394</definedName>
    <definedName name="Age_Band_GRP_Emp_CatA">'TOB &amp; Rates'!$C$331:$E$343</definedName>
    <definedName name="Age_Band_GRP_Emp_CatB">'TOB &amp; Rates'!$F$331:$H$343</definedName>
    <definedName name="Age_Band_GRP_Emp_CatC">'TOB &amp; Rates'!$I$331:$K$343</definedName>
    <definedName name="Age_Band_GRP_Emp_CatD">'TOB &amp; Rates'!$L$331:$N$343</definedName>
    <definedName name="Age_Band_GRP_Emp_CatE">'TOB &amp; Rates'!$C$348:$E$360</definedName>
    <definedName name="Age_Band_GRP_Emp_CatF">'TOB &amp; Rates'!$F$348:$H$360</definedName>
    <definedName name="Age_Band_GRP_Emp_CatG">'TOB &amp; Rates'!$I$348:$K$360</definedName>
    <definedName name="Age_Band_GRP_Emp_CatH">'TOB &amp; Rates'!$L$348:$N$360</definedName>
    <definedName name="Age_Band_NRP_Dep_CatA">'TOB &amp; Rates'!$C$288:$E$300</definedName>
    <definedName name="Age_Band_NRP_Dep_CatB">'TOB &amp; Rates'!$F$288:$H$300</definedName>
    <definedName name="Age_Band_NRP_Dep_CatC">'TOB &amp; Rates'!$I$288:$K$300</definedName>
    <definedName name="Age_Band_NRP_Dep_CatD">'TOB &amp; Rates'!$L$288:$N$300</definedName>
    <definedName name="Age_Band_NRP_Dep_CatE">'TOB &amp; Rates'!$C$305:$E$317</definedName>
    <definedName name="Age_Band_NRP_Dep_CatF">'TOB &amp; Rates'!$F$305:$H$317</definedName>
    <definedName name="Age_Band_NRP_Dep_CatG">'TOB &amp; Rates'!$I$305:$K$317</definedName>
    <definedName name="Age_Band_NRP_Dep_CatH">'TOB &amp; Rates'!$L$305:$N$317</definedName>
    <definedName name="Age_Band_NRP_Emp_CatA">'TOB &amp; Rates'!$C$254:$E$266</definedName>
    <definedName name="Age_Band_NRP_Emp_CatB">'TOB &amp; Rates'!$F$254:$H$266</definedName>
    <definedName name="Age_Band_NRP_Emp_CatC">'TOB &amp; Rates'!$I$254:$K$266</definedName>
    <definedName name="Age_Band_NRP_Emp_CatD">'TOB &amp; Rates'!$L$254:$N$266</definedName>
    <definedName name="Age_Band_NRP_Emp_CatE">'TOB &amp; Rates'!$C$271:$E$283</definedName>
    <definedName name="Age_Band_NRP_Emp_CatF">'TOB &amp; Rates'!$F$271:$H$283</definedName>
    <definedName name="Age_Band_NRP_Emp_CatG">'TOB &amp; Rates'!$I$271:$K$283</definedName>
    <definedName name="Age_Band_NRP_Emp_CatH">'TOB &amp; Rates'!$L$271:$N$283</definedName>
    <definedName name="Alternative_Medicine__Rate_Table_0_perc" localSheetId="14">#REF!</definedName>
    <definedName name="Alternative_Medicine__Rate_Table_0_perc">'Group Basis'!$A$296:$I$307</definedName>
    <definedName name="Alternative_Medicine__Rate_Table_10_perc" localSheetId="14">#REF!</definedName>
    <definedName name="Alternative_Medicine__Rate_Table_10_perc">'Group Basis'!$A$310:$I$321</definedName>
    <definedName name="Alternative_Medicine__Rate_Table_20_perc" localSheetId="14">#REF!</definedName>
    <definedName name="Alternative_Medicine__Rate_Table_20_perc">'Group Basis'!$A$324:$I$335</definedName>
    <definedName name="Alternative_Medicine__Rate_Table_30_perc" localSheetId="14">#REF!</definedName>
    <definedName name="Alternative_Medicine__Rate_Table_30_perc">'Group Basis'!$A$338:$I$349</definedName>
    <definedName name="AML_A">'Benefit Selection - Group'!$B$16</definedName>
    <definedName name="AML_B">'Benefit Selection - Group'!$G$16</definedName>
    <definedName name="AML_C">'Benefit Selection - Group'!$L$16</definedName>
    <definedName name="AML_D">'Benefit Selection - Group'!$Q$16</definedName>
    <definedName name="AML_E">'Benefit Selection - Group'!$V$16</definedName>
    <definedName name="AML_F">'Benefit Selection - Group'!$AA$16</definedName>
    <definedName name="AML_G">'Benefit Selection - Group'!$AF$16</definedName>
    <definedName name="AML_H">'Benefit Selection - Group'!$AK$16</definedName>
    <definedName name="Area_A">'Benefit Selection - Group'!$B$24</definedName>
    <definedName name="Area_B">'Benefit Selection - Group'!$G$24</definedName>
    <definedName name="Area_C">'Benefit Selection - Group'!$L$24</definedName>
    <definedName name="Area_D">'Benefit Selection - Group'!$Q$24</definedName>
    <definedName name="Area_E">'Benefit Selection - Group'!$V$24</definedName>
    <definedName name="Area_F">'Benefit Selection - Group'!$AA$24</definedName>
    <definedName name="Area_G">'Benefit Selection - Group'!$AF$24</definedName>
    <definedName name="Area_H">'Benefit Selection - Group'!$AK$24</definedName>
    <definedName name="AUH_FEMALE_DEP" localSheetId="14">#REF!</definedName>
    <definedName name="AUH_FEMALE_DEP">'Group Basis'!$K$45:$S$50</definedName>
    <definedName name="AUH_FEMALE_EMP" localSheetId="14">#REF!</definedName>
    <definedName name="AUH_FEMALE_EMP">'Group Basis'!$K$16:$S$20</definedName>
    <definedName name="AUH_MALE_DEP" localSheetId="14">#REF!</definedName>
    <definedName name="AUH_MALE_DEP">'Group Basis'!$K$30:$S$35</definedName>
    <definedName name="AUH_MALE_EMP" localSheetId="14">#REF!</definedName>
    <definedName name="AUH_MALE_EMP">'Group Basis'!$K$2:$S$6</definedName>
    <definedName name="Claims_Data">'Experience Rating'!$H$4</definedName>
    <definedName name="Covid_Factor" localSheetId="14">'[1]General Basis'!$C$29</definedName>
    <definedName name="Covid_Factor">'General Basis'!$C$29</definedName>
    <definedName name="Dental_Net_Rate" localSheetId="14">#REF!</definedName>
    <definedName name="Dental_Net_Rate">'Group Basis'!$A$75:$I$86</definedName>
    <definedName name="DXB_FEMALE_DEP" localSheetId="14">#REF!</definedName>
    <definedName name="DXB_FEMALE_DEP">'Group Basis'!$A$46:$I$58</definedName>
    <definedName name="DXB_FEMALE_EMP" localSheetId="14">#REF!</definedName>
    <definedName name="DXB_FEMALE_EMP">'Group Basis'!$A$16:$I$26</definedName>
    <definedName name="DXB_MALE_DEP" localSheetId="14">#REF!</definedName>
    <definedName name="DXB_MALE_DEP">'Group Basis'!$A$30:$I$42</definedName>
    <definedName name="DXB_MALE_EMP" localSheetId="14">#REF!</definedName>
    <definedName name="DXB_MALE_EMP">'Group Basis'!$A$2:$I$12</definedName>
    <definedName name="Elapsed_Period__days" localSheetId="14">'[1]General Information'!$D$30</definedName>
    <definedName name="Elapsed_Period__days">'General Information'!$D$30</definedName>
    <definedName name="Elapsed_Period__months">'General Information'!$D$31</definedName>
    <definedName name="Expiry_Date_Tool" localSheetId="14">'[1]Tool Updates'!$A$1</definedName>
    <definedName name="Expiry_Date_Tool">'Tool Updates'!$A$1</definedName>
    <definedName name="GN" localSheetId="14">'[1]General Basis'!$D$40</definedName>
    <definedName name="GN">'General Basis'!$D$40</definedName>
    <definedName name="GN_Plus" localSheetId="14">'[1]General Basis'!$D$39</definedName>
    <definedName name="GN_Plus">'General Basis'!$D$39</definedName>
    <definedName name="Gross_Loading" localSheetId="14">'[1]General Information'!$D$48</definedName>
    <definedName name="Gross_Loading">'General Information'!$D$48</definedName>
    <definedName name="IBNR_IP" localSheetId="14">'[1]General Basis'!$C$30</definedName>
    <definedName name="IBNR_IP">'General Basis'!$C$30</definedName>
    <definedName name="IBNR_OP" localSheetId="14">'[1]General Basis'!$C$31</definedName>
    <definedName name="IBNR_OP">'General Basis'!$C$31</definedName>
    <definedName name="Inflation_Factor" localSheetId="14">'[1]General Basis'!$C$28</definedName>
    <definedName name="Inflation_Factor">'General Basis'!$C$28</definedName>
    <definedName name="Intermediary_and_Fee" localSheetId="14">#REF!</definedName>
    <definedName name="Intermediary_and_Fee">'Group Basis'!$AB$1</definedName>
    <definedName name="Maternity_CoPay_A">'Benefit Selection - Group'!$B$39</definedName>
    <definedName name="Maternity_CoPay_B">'Benefit Selection - Group'!$G$39</definedName>
    <definedName name="Maternity_CoPay_C">'Benefit Selection - Group'!$L$39</definedName>
    <definedName name="Maternity_CoPay_D">'Benefit Selection - Group'!$Q$39</definedName>
    <definedName name="Maternity_CoPay_E">'Benefit Selection - Group'!$V$39</definedName>
    <definedName name="Maternity_CoPay_F">'Benefit Selection - Group'!$AA$39</definedName>
    <definedName name="Maternity_CoPay_G">'Benefit Selection - Group'!$AF$39</definedName>
    <definedName name="Maternity_CoPay_H">'Benefit Selection - Group'!$AK$39</definedName>
    <definedName name="Maternity_Eligiblity_Adjt">'Age Banded Rating'!$D$280</definedName>
    <definedName name="Maternity_GRP_A">'TOB &amp; Rates'!$E$344</definedName>
    <definedName name="Maternity_GRP_B">'TOB &amp; Rates'!$H$344</definedName>
    <definedName name="Maternity_GRP_C">'TOB &amp; Rates'!$K$344</definedName>
    <definedName name="Maternity_GRP_D">'TOB &amp; Rates'!$N$344</definedName>
    <definedName name="Maternity_GRP_E">'TOB &amp; Rates'!$E$361</definedName>
    <definedName name="Maternity_GRP_F">'TOB &amp; Rates'!$H$361</definedName>
    <definedName name="Maternity_GRP_G">'TOB &amp; Rates'!$K$361</definedName>
    <definedName name="Maternity_GRP_H">'TOB &amp; Rates'!$N$361</definedName>
    <definedName name="Maternity_Limit_A">'Benefit Selection - Group'!$B$38</definedName>
    <definedName name="Maternity_Limit_B">'Benefit Selection - Group'!$G$38</definedName>
    <definedName name="Maternity_Limit_C">'Benefit Selection - Group'!$L$38</definedName>
    <definedName name="Maternity_Limit_D">'Benefit Selection - Group'!$Q$38</definedName>
    <definedName name="Maternity_Limit_E">'Benefit Selection - Group'!$V$38</definedName>
    <definedName name="Maternity_Limit_F">'Benefit Selection - Group'!$AA$38</definedName>
    <definedName name="Maternity_Limit_G">'Benefit Selection - Group'!$AF$38</definedName>
    <definedName name="Maternity_Limit_H">'Benefit Selection - Group'!$AK$38</definedName>
    <definedName name="Maternity_Net_Rate" localSheetId="14">#REF!</definedName>
    <definedName name="Maternity_Net_Rate">'Group Basis'!$A$62:$I$72</definedName>
    <definedName name="n_lives" localSheetId="14">'[1]Member Data'!$AD$23</definedName>
    <definedName name="n_lives">'Member Data'!$AG$23</definedName>
    <definedName name="Network_A">'Benefit Selection - Group'!$B$10</definedName>
    <definedName name="Network_B">'Benefit Selection - Group'!$G$10</definedName>
    <definedName name="Network_C">'Benefit Selection - Group'!$L$10</definedName>
    <definedName name="Network_D">'Benefit Selection - Group'!$Q$10</definedName>
    <definedName name="Network_E">'Benefit Selection - Group'!$V$10</definedName>
    <definedName name="Network_F">'Benefit Selection - Group'!$AA$10</definedName>
    <definedName name="Network_G">'Benefit Selection - Group'!$AF$10</definedName>
    <definedName name="Network_H">'Benefit Selection - Group'!$AK$10</definedName>
    <definedName name="No_of_Category">'General Basis'!$D$8</definedName>
    <definedName name="Nursing_Rate_Table" localSheetId="14">#REF!</definedName>
    <definedName name="Nursing_Rate_Table">'Group Basis'!$A$217:$I$229</definedName>
    <definedName name="OP_Psychiatric_Rate_Table_0_perc" localSheetId="14">#REF!</definedName>
    <definedName name="OP_Psychiatric_Rate_Table_0_perc">'Group Basis'!$A$233:$I$245</definedName>
    <definedName name="OP_Psychiatric_Rate_Table_10_perc" localSheetId="14">#REF!</definedName>
    <definedName name="OP_Psychiatric_Rate_Table_10_perc">'Group Basis'!$A$248:$I$260</definedName>
    <definedName name="OP_Psychiatric_Rate_Table_20_perc" localSheetId="14">#REF!</definedName>
    <definedName name="OP_Psychiatric_Rate_Table_20_perc">'Group Basis'!$A$263:$I$275</definedName>
    <definedName name="OP_Psychiatric_Rate_Table_30_perc">'Group Basis'!$A$279:$I$291</definedName>
    <definedName name="Optical_Net_Rate" localSheetId="14">#REF!</definedName>
    <definedName name="Optical_Net_Rate">'Group Basis'!$A$89:$I$97</definedName>
    <definedName name="Overage_65_above" localSheetId="14">'[1]General Basis'!$C$33</definedName>
    <definedName name="Overage_65_above">'General Basis'!$C$33</definedName>
    <definedName name="PEC_Adjt_Table" localSheetId="14">#REF!</definedName>
    <definedName name="PEC_Adjt_Table">'Group Basis'!$A$116:$I$119</definedName>
    <definedName name="Physiotherapy_Rate_Table_0_perc" localSheetId="14">#REF!</definedName>
    <definedName name="Physiotherapy_Rate_Table_0_perc">'Group Basis'!$A$362:$I$373</definedName>
    <definedName name="Physiotherapy_Rate_Table_10_perc" localSheetId="14">#REF!</definedName>
    <definedName name="Physiotherapy_Rate_Table_10_perc">'Group Basis'!$A$376:$I$387</definedName>
    <definedName name="Physiotherapy_Rate_Table_20_perc" localSheetId="14">#REF!</definedName>
    <definedName name="Physiotherapy_Rate_Table_20_perc">'Group Basis'!$A$390:$I$401</definedName>
    <definedName name="_xlnm.Print_Area" localSheetId="9">'OFFER LETTER'!$A$1:$I$410</definedName>
    <definedName name="Refer" localSheetId="14">'[1]General Basis'!$C$25</definedName>
    <definedName name="Refer">'General Basis'!$C$25</definedName>
    <definedName name="Referral_Error" localSheetId="14">'[1]Referral to RGA'!$A$19</definedName>
    <definedName name="Referral_Error">'Referral to RGA'!$A$24</definedName>
    <definedName name="Region_A">'Benefit Selection - Group'!$B$9</definedName>
    <definedName name="Region_B">'Benefit Selection - Group'!$G$9</definedName>
    <definedName name="Region_C">'Benefit Selection - Group'!$L$9</definedName>
    <definedName name="Region_D">'Benefit Selection - Group'!$Q$9</definedName>
    <definedName name="Region_E">'Benefit Selection - Group'!$V$9</definedName>
    <definedName name="Region_F">'Benefit Selection - Group'!$AA$9</definedName>
    <definedName name="Region_G">'Benefit Selection - Group'!$AF$9</definedName>
    <definedName name="Region_H">'Benefit Selection - Group'!$AK$9</definedName>
    <definedName name="Repatriation_Rate_Table" localSheetId="14">#REF!</definedName>
    <definedName name="Repatriation_Rate_Table">'Group Basis'!$A$207:$I$214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N" localSheetId="14">'[1]General Basis'!$D$42</definedName>
    <definedName name="RN">'General Basis'!$D$42</definedName>
    <definedName name="RN_2" localSheetId="14">'[1]General Basis'!$D$43</definedName>
    <definedName name="RN_2">'General Basis'!$D$43</definedName>
    <definedName name="RN_3" localSheetId="14">'[1]General Basis'!$D$45</definedName>
    <definedName name="RN_3">'General Basis'!$D$45</definedName>
    <definedName name="RN_Plus" localSheetId="14">'[1]General Basis'!$D$41</definedName>
    <definedName name="RN_Plus">'General Basis'!$D$41</definedName>
    <definedName name="RN2_minus" localSheetId="14">'[1]General Basis'!$D$44</definedName>
    <definedName name="RN2_minus">'General Basis'!$D$44</definedName>
    <definedName name="Routine_Health_Rate_Table" localSheetId="14">#REF!</definedName>
    <definedName name="Routine_Health_Rate_Table">'Group Basis'!$A$352:$I$358</definedName>
    <definedName name="Scheme_Type">'Experience Rating'!$H$8</definedName>
    <definedName name="TNLR" localSheetId="14">'[1]General Basis'!$C$27</definedName>
    <definedName name="TNLR">'General Basis'!$C$27</definedName>
    <definedName name="VN" localSheetId="14">'[1]General Basis'!$D$46</definedName>
    <definedName name="VN">'General Basis'!$D$46</definedName>
    <definedName name="WorkbookProtected">FALSE</definedName>
    <definedName name="z" localSheetId="14">#REF!</definedName>
    <definedName name="Z">'Group Engine'!$D$189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0" i="18" l="1"/>
  <c r="Q19" i="18"/>
  <c r="Q18" i="18"/>
  <c r="Q17" i="18"/>
  <c r="Q16" i="18"/>
  <c r="Q15" i="18"/>
  <c r="Q14" i="18"/>
  <c r="Q13" i="18"/>
  <c r="Q12" i="18"/>
  <c r="Q11" i="18"/>
  <c r="Q10" i="18"/>
  <c r="Q9" i="18"/>
  <c r="Q8" i="18"/>
  <c r="Q7" i="18"/>
  <c r="Q6" i="18"/>
  <c r="I7" i="27"/>
  <c r="L197" i="1"/>
  <c r="L196" i="1"/>
  <c r="L195" i="1"/>
  <c r="I204" i="1"/>
  <c r="H204" i="1"/>
  <c r="I203" i="1"/>
  <c r="H203" i="1"/>
  <c r="I202" i="1"/>
  <c r="H202" i="1"/>
  <c r="I201" i="1"/>
  <c r="H201" i="1"/>
  <c r="I200" i="1"/>
  <c r="H200" i="1"/>
  <c r="I199" i="1"/>
  <c r="H199" i="1"/>
  <c r="I198" i="1"/>
  <c r="H198" i="1"/>
  <c r="I197" i="1"/>
  <c r="H197" i="1"/>
  <c r="I196" i="1"/>
  <c r="H196" i="1"/>
  <c r="I195" i="1"/>
  <c r="H195" i="1"/>
  <c r="F204" i="1"/>
  <c r="E204" i="1"/>
  <c r="F203" i="1"/>
  <c r="E203" i="1"/>
  <c r="F202" i="1"/>
  <c r="E202" i="1"/>
  <c r="F201" i="1"/>
  <c r="E201" i="1"/>
  <c r="F200" i="1"/>
  <c r="E200" i="1"/>
  <c r="F199" i="1"/>
  <c r="E199" i="1"/>
  <c r="F198" i="1"/>
  <c r="E198" i="1"/>
  <c r="F197" i="1"/>
  <c r="E197" i="1"/>
  <c r="F196" i="1"/>
  <c r="E196" i="1"/>
  <c r="F195" i="1"/>
  <c r="E195" i="1"/>
  <c r="C204" i="1"/>
  <c r="B204" i="1"/>
  <c r="C203" i="1"/>
  <c r="B203" i="1"/>
  <c r="C202" i="1"/>
  <c r="B202" i="1"/>
  <c r="C201" i="1"/>
  <c r="B201" i="1"/>
  <c r="C200" i="1"/>
  <c r="B200" i="1"/>
  <c r="C199" i="1"/>
  <c r="B199" i="1"/>
  <c r="C198" i="1"/>
  <c r="B198" i="1"/>
  <c r="C197" i="1"/>
  <c r="B197" i="1"/>
  <c r="C196" i="1"/>
  <c r="B196" i="1"/>
  <c r="C195" i="1"/>
  <c r="B195" i="1"/>
  <c r="H185" i="1"/>
  <c r="H184" i="1"/>
  <c r="H183" i="1"/>
  <c r="H182" i="1"/>
  <c r="H181" i="1"/>
  <c r="H180" i="1"/>
  <c r="H179" i="1"/>
  <c r="H176" i="1"/>
  <c r="H175" i="1"/>
  <c r="H174" i="1"/>
  <c r="H173" i="1"/>
  <c r="H172" i="1"/>
  <c r="H171" i="1"/>
  <c r="H170" i="1"/>
  <c r="H169" i="1"/>
  <c r="E190" i="1"/>
  <c r="E189" i="1"/>
  <c r="E188" i="1"/>
  <c r="E187" i="1"/>
  <c r="E186" i="1"/>
  <c r="E185" i="1"/>
  <c r="E184" i="1"/>
  <c r="E183" i="1"/>
  <c r="E182" i="1"/>
  <c r="E181" i="1"/>
  <c r="E180" i="1"/>
  <c r="E179" i="1"/>
  <c r="E178" i="1"/>
  <c r="E177" i="1"/>
  <c r="E176" i="1"/>
  <c r="E175" i="1"/>
  <c r="E174" i="1"/>
  <c r="E173" i="1"/>
  <c r="E172" i="1"/>
  <c r="E171" i="1"/>
  <c r="E170" i="1"/>
  <c r="E169" i="1"/>
  <c r="B191" i="1"/>
  <c r="B190" i="1"/>
  <c r="B189" i="1"/>
  <c r="B188" i="1"/>
  <c r="B187" i="1"/>
  <c r="B184" i="1"/>
  <c r="B183" i="1"/>
  <c r="B182" i="1"/>
  <c r="B181" i="1"/>
  <c r="B180" i="1"/>
  <c r="B179" i="1"/>
  <c r="B178" i="1"/>
  <c r="B177" i="1"/>
  <c r="B176" i="1"/>
  <c r="B175" i="1"/>
  <c r="B174" i="1"/>
  <c r="B173" i="1"/>
  <c r="B172" i="1"/>
  <c r="B171" i="1"/>
  <c r="B170" i="1"/>
  <c r="B169" i="1"/>
  <c r="I166" i="1"/>
  <c r="H166" i="1"/>
  <c r="I165" i="1"/>
  <c r="H165" i="1"/>
  <c r="I164" i="1"/>
  <c r="H164" i="1"/>
  <c r="I163" i="1"/>
  <c r="H163" i="1"/>
  <c r="I162" i="1"/>
  <c r="H162" i="1"/>
  <c r="I161" i="1"/>
  <c r="H161" i="1"/>
  <c r="F166" i="1"/>
  <c r="E166" i="1"/>
  <c r="F165" i="1"/>
  <c r="E165" i="1"/>
  <c r="F164" i="1"/>
  <c r="E164" i="1"/>
  <c r="F163" i="1"/>
  <c r="E163" i="1"/>
  <c r="F162" i="1"/>
  <c r="E162" i="1"/>
  <c r="F161" i="1"/>
  <c r="E161" i="1"/>
  <c r="C166" i="1"/>
  <c r="B166" i="1"/>
  <c r="C165" i="1"/>
  <c r="B165" i="1"/>
  <c r="C164" i="1"/>
  <c r="B164" i="1"/>
  <c r="C163" i="1"/>
  <c r="B163" i="1"/>
  <c r="C162" i="1"/>
  <c r="B162" i="1"/>
  <c r="C161" i="1"/>
  <c r="B161" i="1"/>
  <c r="I157" i="1"/>
  <c r="H157" i="1"/>
  <c r="I156" i="1"/>
  <c r="H156" i="1"/>
  <c r="I155" i="1"/>
  <c r="H155" i="1"/>
  <c r="I154" i="1"/>
  <c r="H154" i="1"/>
  <c r="I153" i="1"/>
  <c r="H153" i="1"/>
  <c r="I152" i="1"/>
  <c r="H152" i="1"/>
  <c r="F157" i="1"/>
  <c r="E157" i="1"/>
  <c r="F156" i="1"/>
  <c r="E156" i="1"/>
  <c r="F155" i="1"/>
  <c r="E155" i="1"/>
  <c r="F154" i="1"/>
  <c r="E154" i="1"/>
  <c r="F153" i="1"/>
  <c r="E153" i="1"/>
  <c r="F152" i="1"/>
  <c r="E152" i="1"/>
  <c r="C157" i="1"/>
  <c r="B157" i="1"/>
  <c r="C156" i="1"/>
  <c r="B156" i="1"/>
  <c r="C155" i="1"/>
  <c r="B155" i="1"/>
  <c r="C154" i="1"/>
  <c r="B154" i="1"/>
  <c r="C153" i="1"/>
  <c r="B153" i="1"/>
  <c r="C152" i="1"/>
  <c r="B152" i="1"/>
  <c r="G148" i="1"/>
  <c r="G147" i="1"/>
  <c r="G146" i="1"/>
  <c r="G145" i="1"/>
  <c r="G144" i="1"/>
  <c r="G143" i="1"/>
  <c r="G142" i="1"/>
  <c r="G141" i="1"/>
  <c r="G140" i="1"/>
  <c r="G149" i="1"/>
  <c r="I144" i="1"/>
  <c r="I143" i="1"/>
  <c r="I142" i="1"/>
  <c r="I141" i="1" s="1"/>
  <c r="I140" i="1" s="1"/>
  <c r="H143" i="1"/>
  <c r="H142" i="1" s="1"/>
  <c r="H141" i="1" s="1"/>
  <c r="H140" i="1" s="1"/>
  <c r="F142" i="1"/>
  <c r="F141" i="1" s="1"/>
  <c r="F140" i="1" s="1"/>
  <c r="E140" i="1"/>
  <c r="D140" i="1" s="1"/>
  <c r="E141" i="1"/>
  <c r="D141" i="1" s="1"/>
  <c r="D149" i="1"/>
  <c r="D148" i="1"/>
  <c r="D147" i="1"/>
  <c r="D146" i="1"/>
  <c r="D145" i="1"/>
  <c r="D144" i="1"/>
  <c r="D143" i="1"/>
  <c r="D142" i="1"/>
  <c r="I149" i="1"/>
  <c r="I148" i="1"/>
  <c r="I147" i="1"/>
  <c r="I146" i="1"/>
  <c r="I145" i="1"/>
  <c r="H149" i="1"/>
  <c r="H148" i="1"/>
  <c r="H147" i="1"/>
  <c r="H146" i="1"/>
  <c r="H145" i="1"/>
  <c r="H144" i="1"/>
  <c r="F149" i="1"/>
  <c r="F148" i="1"/>
  <c r="F147" i="1"/>
  <c r="F146" i="1"/>
  <c r="F145" i="1"/>
  <c r="F144" i="1"/>
  <c r="F143" i="1"/>
  <c r="E149" i="1"/>
  <c r="E148" i="1"/>
  <c r="E147" i="1"/>
  <c r="E146" i="1"/>
  <c r="E145" i="1"/>
  <c r="E144" i="1"/>
  <c r="E143" i="1"/>
  <c r="E142" i="1"/>
  <c r="C149" i="1"/>
  <c r="B149" i="1"/>
  <c r="C148" i="1"/>
  <c r="B148" i="1"/>
  <c r="C147" i="1"/>
  <c r="B147" i="1"/>
  <c r="C146" i="1"/>
  <c r="B146" i="1"/>
  <c r="C145" i="1"/>
  <c r="B145" i="1"/>
  <c r="C144" i="1"/>
  <c r="B144" i="1"/>
  <c r="C143" i="1"/>
  <c r="B143" i="1"/>
  <c r="C142" i="1"/>
  <c r="B142" i="1"/>
  <c r="C141" i="1"/>
  <c r="B141" i="1"/>
  <c r="C140" i="1"/>
  <c r="B140" i="1"/>
  <c r="I136" i="1"/>
  <c r="I135" i="1"/>
  <c r="I134" i="1"/>
  <c r="I133" i="1"/>
  <c r="I132" i="1"/>
  <c r="H136" i="1"/>
  <c r="H135" i="1"/>
  <c r="H134" i="1"/>
  <c r="H133" i="1"/>
  <c r="H132" i="1"/>
  <c r="H131" i="1"/>
  <c r="F136" i="1"/>
  <c r="F135" i="1"/>
  <c r="F134" i="1"/>
  <c r="F133" i="1"/>
  <c r="F132" i="1"/>
  <c r="F131" i="1"/>
  <c r="F130" i="1"/>
  <c r="E136" i="1"/>
  <c r="E135" i="1"/>
  <c r="E134" i="1"/>
  <c r="E133" i="1"/>
  <c r="E132" i="1"/>
  <c r="E131" i="1"/>
  <c r="E130" i="1"/>
  <c r="E129" i="1"/>
  <c r="C136" i="1"/>
  <c r="B136" i="1"/>
  <c r="C135" i="1"/>
  <c r="B135" i="1"/>
  <c r="C134" i="1"/>
  <c r="B134" i="1"/>
  <c r="C133" i="1"/>
  <c r="B133" i="1"/>
  <c r="C132" i="1"/>
  <c r="B132" i="1"/>
  <c r="C131" i="1"/>
  <c r="B131" i="1"/>
  <c r="C130" i="1"/>
  <c r="B130" i="1"/>
  <c r="C129" i="1"/>
  <c r="B129" i="1"/>
  <c r="C128" i="1"/>
  <c r="B128" i="1"/>
  <c r="C127" i="1"/>
  <c r="B127" i="1"/>
  <c r="I123" i="1"/>
  <c r="H123" i="1"/>
  <c r="I122" i="1"/>
  <c r="H122" i="1"/>
  <c r="F123" i="1"/>
  <c r="E123" i="1"/>
  <c r="F122" i="1"/>
  <c r="E122" i="1"/>
  <c r="C123" i="1"/>
  <c r="B123" i="1"/>
  <c r="C122" i="1"/>
  <c r="B122" i="1"/>
  <c r="I119" i="1"/>
  <c r="H119" i="1"/>
  <c r="I118" i="1"/>
  <c r="H118" i="1"/>
  <c r="I117" i="1"/>
  <c r="H117" i="1"/>
  <c r="F119" i="1"/>
  <c r="E119" i="1"/>
  <c r="F118" i="1"/>
  <c r="E118" i="1"/>
  <c r="F117" i="1"/>
  <c r="E117" i="1"/>
  <c r="C119" i="1"/>
  <c r="B119" i="1"/>
  <c r="C118" i="1"/>
  <c r="B118" i="1"/>
  <c r="C117" i="1"/>
  <c r="B117" i="1"/>
  <c r="I113" i="1"/>
  <c r="H113" i="1"/>
  <c r="I112" i="1"/>
  <c r="H112" i="1"/>
  <c r="I111" i="1"/>
  <c r="H111" i="1"/>
  <c r="F113" i="1"/>
  <c r="E113" i="1"/>
  <c r="F112" i="1"/>
  <c r="E112" i="1"/>
  <c r="F111" i="1"/>
  <c r="E111" i="1"/>
  <c r="C113" i="1"/>
  <c r="B113" i="1"/>
  <c r="C112" i="1"/>
  <c r="B112" i="1"/>
  <c r="C111" i="1"/>
  <c r="B111" i="1"/>
  <c r="B74" i="11"/>
  <c r="A8" i="27" l="1"/>
  <c r="I8" i="27"/>
  <c r="K16" i="27"/>
  <c r="K15" i="27"/>
  <c r="K14" i="27"/>
  <c r="K26" i="27"/>
  <c r="K25" i="27"/>
  <c r="K239" i="27"/>
  <c r="K66" i="27"/>
  <c r="K65" i="27"/>
  <c r="K64" i="27"/>
  <c r="K63" i="27"/>
  <c r="K62" i="27"/>
  <c r="K61" i="27"/>
  <c r="K60" i="27"/>
  <c r="K49" i="27"/>
  <c r="K48" i="27"/>
  <c r="K47" i="27"/>
  <c r="K46" i="27"/>
  <c r="K45" i="27"/>
  <c r="K44" i="27"/>
  <c r="K43" i="27"/>
  <c r="K74" i="27"/>
  <c r="K73" i="27"/>
  <c r="K72" i="27"/>
  <c r="K71" i="27"/>
  <c r="K70" i="27"/>
  <c r="K69" i="27"/>
  <c r="K68" i="27"/>
  <c r="K67" i="27"/>
  <c r="K59" i="27"/>
  <c r="K58" i="27"/>
  <c r="K57" i="27"/>
  <c r="K56" i="27"/>
  <c r="K55" i="27"/>
  <c r="K54" i="27"/>
  <c r="K53" i="27"/>
  <c r="K52" i="27"/>
  <c r="K51" i="27"/>
  <c r="K50" i="27"/>
  <c r="K42" i="27"/>
  <c r="K41" i="27"/>
  <c r="K40" i="27"/>
  <c r="K39" i="27"/>
  <c r="K38" i="27"/>
  <c r="K37" i="27"/>
  <c r="K36" i="27"/>
  <c r="K35" i="27"/>
  <c r="K34" i="27"/>
  <c r="K33" i="27"/>
  <c r="K32" i="27"/>
  <c r="K31" i="27"/>
  <c r="K30" i="27"/>
  <c r="K29" i="27"/>
  <c r="K28" i="27"/>
  <c r="K27" i="27"/>
  <c r="E17" i="27"/>
  <c r="D17" i="27"/>
  <c r="C17" i="27"/>
  <c r="B17" i="27"/>
  <c r="K24" i="27"/>
  <c r="D24" i="27" s="1"/>
  <c r="K23" i="27"/>
  <c r="D23" i="27" s="1"/>
  <c r="K22" i="27"/>
  <c r="D22" i="27" s="1"/>
  <c r="K21" i="27"/>
  <c r="C21" i="27" s="1"/>
  <c r="K20" i="27"/>
  <c r="B20" i="27" s="1"/>
  <c r="K19" i="27"/>
  <c r="D19" i="27" s="1"/>
  <c r="K18" i="27"/>
  <c r="C18" i="27" s="1"/>
  <c r="E404" i="27"/>
  <c r="C404" i="27"/>
  <c r="I370" i="27"/>
  <c r="I387" i="27" s="1"/>
  <c r="G370" i="27"/>
  <c r="G387" i="27" s="1"/>
  <c r="G404" i="27" s="1"/>
  <c r="E370" i="27"/>
  <c r="E387" i="27" s="1"/>
  <c r="C370" i="27"/>
  <c r="C387" i="27" s="1"/>
  <c r="G366" i="27"/>
  <c r="D366" i="27"/>
  <c r="E356" i="27"/>
  <c r="C356" i="27"/>
  <c r="I322" i="27"/>
  <c r="I339" i="27" s="1"/>
  <c r="G322" i="27"/>
  <c r="G339" i="27" s="1"/>
  <c r="G356" i="27" s="1"/>
  <c r="E322" i="27"/>
  <c r="E339" i="27" s="1"/>
  <c r="C322" i="27"/>
  <c r="C339" i="27" s="1"/>
  <c r="G318" i="27"/>
  <c r="D318" i="27"/>
  <c r="E308" i="27"/>
  <c r="C308" i="27"/>
  <c r="I274" i="27"/>
  <c r="I291" i="27" s="1"/>
  <c r="G274" i="27"/>
  <c r="G291" i="27" s="1"/>
  <c r="G308" i="27" s="1"/>
  <c r="E274" i="27"/>
  <c r="E291" i="27" s="1"/>
  <c r="C274" i="27"/>
  <c r="C291" i="27" s="1"/>
  <c r="G270" i="27"/>
  <c r="D270" i="27"/>
  <c r="E260" i="27"/>
  <c r="C260" i="27"/>
  <c r="I226" i="27"/>
  <c r="I243" i="27" s="1"/>
  <c r="G226" i="27"/>
  <c r="G243" i="27" s="1"/>
  <c r="G260" i="27" s="1"/>
  <c r="E226" i="27"/>
  <c r="E243" i="27" s="1"/>
  <c r="C226" i="27"/>
  <c r="C243" i="27" s="1"/>
  <c r="G222" i="27"/>
  <c r="D222" i="27"/>
  <c r="G174" i="27"/>
  <c r="D174" i="27"/>
  <c r="G126" i="27"/>
  <c r="D126" i="27"/>
  <c r="G78" i="27"/>
  <c r="D78" i="27"/>
  <c r="E212" i="27"/>
  <c r="C212" i="27"/>
  <c r="I178" i="27"/>
  <c r="I195" i="27" s="1"/>
  <c r="G178" i="27"/>
  <c r="G195" i="27" s="1"/>
  <c r="G212" i="27" s="1"/>
  <c r="E178" i="27"/>
  <c r="E195" i="27" s="1"/>
  <c r="C178" i="27"/>
  <c r="C195" i="27" s="1"/>
  <c r="E116" i="27"/>
  <c r="C116" i="27"/>
  <c r="E164" i="27"/>
  <c r="C164" i="27"/>
  <c r="I130" i="27"/>
  <c r="I147" i="27" s="1"/>
  <c r="G130" i="27"/>
  <c r="G147" i="27" s="1"/>
  <c r="G164" i="27" s="1"/>
  <c r="E130" i="27"/>
  <c r="E147" i="27" s="1"/>
  <c r="C130" i="27"/>
  <c r="C147" i="27" s="1"/>
  <c r="I82" i="27"/>
  <c r="I99" i="27" s="1"/>
  <c r="G82" i="27"/>
  <c r="G99" i="27" s="1"/>
  <c r="G116" i="27" s="1"/>
  <c r="E82" i="27"/>
  <c r="E99" i="27" s="1"/>
  <c r="C82" i="27"/>
  <c r="C99" i="27" s="1"/>
  <c r="A408" i="27"/>
  <c r="A360" i="27"/>
  <c r="A312" i="27"/>
  <c r="A264" i="27"/>
  <c r="A216" i="27"/>
  <c r="A168" i="27"/>
  <c r="A120" i="27"/>
  <c r="A72" i="27"/>
  <c r="E68" i="27"/>
  <c r="C68" i="27"/>
  <c r="I34" i="27"/>
  <c r="I51" i="27" s="1"/>
  <c r="G34" i="27"/>
  <c r="G51" i="27" s="1"/>
  <c r="G68" i="27" s="1"/>
  <c r="E34" i="27"/>
  <c r="E51" i="27" s="1"/>
  <c r="C34" i="27"/>
  <c r="C51" i="27" s="1"/>
  <c r="G30" i="27"/>
  <c r="D30" i="27"/>
  <c r="B35" i="5"/>
  <c r="B84" i="13"/>
  <c r="B110" i="13"/>
  <c r="B109" i="13"/>
  <c r="B108" i="13"/>
  <c r="B107" i="13"/>
  <c r="B105" i="13"/>
  <c r="B104" i="13"/>
  <c r="B103" i="13"/>
  <c r="B101" i="13"/>
  <c r="B100" i="13"/>
  <c r="B99" i="13"/>
  <c r="B98" i="13"/>
  <c r="B94" i="13"/>
  <c r="B93" i="13"/>
  <c r="B92" i="13"/>
  <c r="B91" i="13"/>
  <c r="B90" i="13"/>
  <c r="B89" i="13"/>
  <c r="B88" i="13"/>
  <c r="B87" i="13"/>
  <c r="B86" i="13"/>
  <c r="B85" i="13"/>
  <c r="B83" i="13"/>
  <c r="B82" i="13"/>
  <c r="B81" i="13"/>
  <c r="B80" i="13"/>
  <c r="B79" i="13"/>
  <c r="B77" i="13"/>
  <c r="B76" i="13"/>
  <c r="B75" i="13"/>
  <c r="B74" i="13"/>
  <c r="B73" i="13"/>
  <c r="B72" i="13"/>
  <c r="B71" i="13"/>
  <c r="B70" i="13"/>
  <c r="B69" i="13"/>
  <c r="B68" i="13"/>
  <c r="B66" i="13"/>
  <c r="B65" i="13"/>
  <c r="B64" i="13"/>
  <c r="B63" i="13"/>
  <c r="B62" i="13"/>
  <c r="B61" i="13"/>
  <c r="B60" i="13"/>
  <c r="B59" i="13"/>
  <c r="B58" i="13"/>
  <c r="B57" i="13"/>
  <c r="B56" i="13"/>
  <c r="B55" i="13"/>
  <c r="B54" i="13"/>
  <c r="B53" i="13"/>
  <c r="B52" i="13"/>
  <c r="B51" i="13"/>
  <c r="E75" i="25"/>
  <c r="E70" i="25"/>
  <c r="H60" i="25"/>
  <c r="E60" i="25"/>
  <c r="H59" i="25"/>
  <c r="E59" i="25"/>
  <c r="H58" i="25"/>
  <c r="E58" i="25"/>
  <c r="H57" i="25"/>
  <c r="E57" i="25"/>
  <c r="H56" i="25"/>
  <c r="E56" i="25"/>
  <c r="H55" i="25"/>
  <c r="E55" i="25"/>
  <c r="H53" i="25"/>
  <c r="E53" i="25"/>
  <c r="H52" i="25"/>
  <c r="E52" i="25"/>
  <c r="H51" i="25"/>
  <c r="E51" i="25"/>
  <c r="H50" i="25"/>
  <c r="E50" i="25"/>
  <c r="H49" i="25"/>
  <c r="E49" i="25"/>
  <c r="H48" i="25"/>
  <c r="E48" i="25"/>
  <c r="H47" i="25"/>
  <c r="E47" i="25"/>
  <c r="H46" i="25"/>
  <c r="E46" i="25"/>
  <c r="H45" i="25"/>
  <c r="E45" i="25"/>
  <c r="H42" i="25"/>
  <c r="E42" i="25"/>
  <c r="H41" i="25"/>
  <c r="E41" i="25"/>
  <c r="H40" i="25"/>
  <c r="E40" i="25"/>
  <c r="H39" i="25"/>
  <c r="E39" i="25"/>
  <c r="H38" i="25"/>
  <c r="E38" i="25"/>
  <c r="H37" i="25"/>
  <c r="E37" i="25"/>
  <c r="H36" i="25"/>
  <c r="E36" i="25"/>
  <c r="H35" i="25"/>
  <c r="E35" i="25"/>
  <c r="H34" i="25"/>
  <c r="E34" i="25"/>
  <c r="H33" i="25"/>
  <c r="E33" i="25"/>
  <c r="H31" i="25"/>
  <c r="E31" i="25"/>
  <c r="H30" i="25"/>
  <c r="E30" i="25"/>
  <c r="H29" i="25"/>
  <c r="E29" i="25"/>
  <c r="H28" i="25"/>
  <c r="E28" i="25"/>
  <c r="H27" i="25"/>
  <c r="E27" i="25"/>
  <c r="H26" i="25"/>
  <c r="E26" i="25"/>
  <c r="H25" i="25"/>
  <c r="E25" i="25"/>
  <c r="H24" i="25"/>
  <c r="E24" i="25"/>
  <c r="H23" i="25"/>
  <c r="E23" i="25"/>
  <c r="H22" i="25"/>
  <c r="E22" i="25"/>
  <c r="H21" i="25"/>
  <c r="E21" i="25"/>
  <c r="H20" i="25"/>
  <c r="E20" i="25"/>
  <c r="H19" i="25"/>
  <c r="E19" i="25"/>
  <c r="H18" i="25"/>
  <c r="E18" i="25"/>
  <c r="H17" i="25"/>
  <c r="E17" i="25"/>
  <c r="H16" i="25"/>
  <c r="E16" i="25"/>
  <c r="H13" i="25"/>
  <c r="E13" i="25"/>
  <c r="H12" i="25"/>
  <c r="E12" i="25"/>
  <c r="H11" i="25"/>
  <c r="E11" i="25"/>
  <c r="H9" i="25"/>
  <c r="E9" i="25"/>
  <c r="H8" i="25"/>
  <c r="E8" i="25"/>
  <c r="H7" i="25"/>
  <c r="E7" i="25"/>
  <c r="H6" i="25"/>
  <c r="E6" i="25"/>
  <c r="H5" i="25"/>
  <c r="E5" i="25"/>
  <c r="H4" i="25"/>
  <c r="E4" i="25"/>
  <c r="H3" i="25"/>
  <c r="E3" i="25"/>
  <c r="J2" i="25"/>
  <c r="I2" i="25"/>
  <c r="H2" i="25"/>
  <c r="G2" i="25"/>
  <c r="F2" i="25"/>
  <c r="E2" i="25"/>
  <c r="D2" i="25"/>
  <c r="C2" i="25"/>
  <c r="X140" i="3"/>
  <c r="U140" i="3"/>
  <c r="R140" i="3"/>
  <c r="O140" i="3"/>
  <c r="L140" i="3"/>
  <c r="I140" i="3"/>
  <c r="F140" i="3"/>
  <c r="C140" i="3"/>
  <c r="Y92" i="3"/>
  <c r="X100" i="3" s="1"/>
  <c r="V92" i="3"/>
  <c r="U99" i="3" s="1"/>
  <c r="S92" i="3"/>
  <c r="R97" i="3" s="1"/>
  <c r="P92" i="3"/>
  <c r="O97" i="3" s="1"/>
  <c r="M92" i="3"/>
  <c r="L99" i="3" s="1"/>
  <c r="J92" i="3"/>
  <c r="I99" i="3" s="1"/>
  <c r="G92" i="3"/>
  <c r="D92" i="3"/>
  <c r="C98" i="3" s="1"/>
  <c r="C99" i="3"/>
  <c r="C94" i="3"/>
  <c r="AN32" i="5"/>
  <c r="AI32" i="5"/>
  <c r="AD32" i="5"/>
  <c r="Y32" i="5"/>
  <c r="T32" i="5"/>
  <c r="O32" i="5"/>
  <c r="J32" i="5"/>
  <c r="E32" i="5"/>
  <c r="I131" i="1"/>
  <c r="I130" i="1" s="1"/>
  <c r="H130" i="1"/>
  <c r="H129" i="1" s="1"/>
  <c r="H128" i="1" s="1"/>
  <c r="H127" i="1" s="1"/>
  <c r="G130" i="1"/>
  <c r="G129" i="1" s="1"/>
  <c r="G128" i="1" s="1"/>
  <c r="G127" i="1" s="1"/>
  <c r="F129" i="1"/>
  <c r="F128" i="1" s="1"/>
  <c r="F127" i="1" s="1"/>
  <c r="E128" i="1"/>
  <c r="E127" i="1" s="1"/>
  <c r="K306" i="27" l="1"/>
  <c r="K255" i="27"/>
  <c r="K256" i="27"/>
  <c r="K257" i="27"/>
  <c r="K286" i="27"/>
  <c r="K289" i="27"/>
  <c r="K300" i="27"/>
  <c r="K236" i="27"/>
  <c r="K302" i="27"/>
  <c r="C92" i="3"/>
  <c r="C100" i="3"/>
  <c r="K204" i="27"/>
  <c r="K238" i="27"/>
  <c r="K284" i="27"/>
  <c r="K305" i="27"/>
  <c r="K205" i="27"/>
  <c r="K110" i="27"/>
  <c r="K206" i="27"/>
  <c r="K240" i="27"/>
  <c r="K287" i="27"/>
  <c r="K187" i="27"/>
  <c r="K207" i="27"/>
  <c r="K254" i="27"/>
  <c r="K288" i="27"/>
  <c r="K188" i="27"/>
  <c r="K208" i="27"/>
  <c r="K189" i="27"/>
  <c r="K210" i="27"/>
  <c r="K190" i="27"/>
  <c r="K192" i="27"/>
  <c r="K237" i="27"/>
  <c r="K258" i="27"/>
  <c r="K304" i="27"/>
  <c r="K380" i="27"/>
  <c r="K349" i="27"/>
  <c r="K332" i="27"/>
  <c r="K350" i="27"/>
  <c r="K382" i="27"/>
  <c r="K400" i="27"/>
  <c r="K191" i="27"/>
  <c r="K209" i="27"/>
  <c r="K241" i="27"/>
  <c r="K283" i="27"/>
  <c r="K301" i="27"/>
  <c r="K333" i="27"/>
  <c r="K351" i="27"/>
  <c r="K383" i="27"/>
  <c r="K401" i="27"/>
  <c r="K348" i="27"/>
  <c r="K331" i="27"/>
  <c r="K381" i="27"/>
  <c r="K399" i="27"/>
  <c r="K252" i="27"/>
  <c r="K334" i="27"/>
  <c r="K352" i="27"/>
  <c r="K384" i="27"/>
  <c r="K402" i="27"/>
  <c r="K92" i="27"/>
  <c r="K193" i="27"/>
  <c r="K235" i="27"/>
  <c r="K253" i="27"/>
  <c r="K285" i="27"/>
  <c r="K303" i="27"/>
  <c r="K335" i="27"/>
  <c r="K353" i="27"/>
  <c r="K385" i="27"/>
  <c r="K326" i="27"/>
  <c r="K336" i="27"/>
  <c r="K354" i="27"/>
  <c r="K396" i="27"/>
  <c r="K337" i="27"/>
  <c r="K379" i="27"/>
  <c r="K397" i="27"/>
  <c r="K398" i="27"/>
  <c r="U98" i="3"/>
  <c r="U100" i="3"/>
  <c r="O98" i="3"/>
  <c r="O99" i="3"/>
  <c r="L94" i="3"/>
  <c r="L100" i="3"/>
  <c r="L92" i="3"/>
  <c r="L93" i="3"/>
  <c r="K356" i="27"/>
  <c r="K372" i="27"/>
  <c r="K134" i="27"/>
  <c r="K142" i="27"/>
  <c r="K149" i="27"/>
  <c r="K264" i="27"/>
  <c r="K280" i="27"/>
  <c r="K295" i="27"/>
  <c r="K164" i="27"/>
  <c r="K310" i="27"/>
  <c r="K395" i="27"/>
  <c r="K80" i="27"/>
  <c r="K226" i="27"/>
  <c r="K318" i="27"/>
  <c r="K410" i="27"/>
  <c r="K88" i="27"/>
  <c r="K234" i="27"/>
  <c r="K103" i="27"/>
  <c r="K249" i="27"/>
  <c r="K341" i="27"/>
  <c r="K160" i="27"/>
  <c r="K118" i="27"/>
  <c r="K126" i="27"/>
  <c r="K272" i="27"/>
  <c r="K364" i="27"/>
  <c r="K387" i="27"/>
  <c r="K203" i="27"/>
  <c r="K81" i="27"/>
  <c r="K89" i="27"/>
  <c r="K104" i="27"/>
  <c r="K119" i="27"/>
  <c r="K127" i="27"/>
  <c r="K135" i="27"/>
  <c r="K150" i="27"/>
  <c r="K165" i="27"/>
  <c r="K173" i="27"/>
  <c r="K181" i="27"/>
  <c r="K196" i="27"/>
  <c r="K211" i="27"/>
  <c r="K219" i="27"/>
  <c r="K227" i="27"/>
  <c r="K242" i="27"/>
  <c r="K250" i="27"/>
  <c r="K265" i="27"/>
  <c r="K273" i="27"/>
  <c r="K281" i="27"/>
  <c r="K296" i="27"/>
  <c r="K311" i="27"/>
  <c r="K319" i="27"/>
  <c r="K327" i="27"/>
  <c r="K342" i="27"/>
  <c r="K357" i="27"/>
  <c r="K365" i="27"/>
  <c r="K373" i="27"/>
  <c r="K388" i="27"/>
  <c r="K403" i="27"/>
  <c r="K93" i="27"/>
  <c r="K111" i="27"/>
  <c r="K143" i="27"/>
  <c r="K161" i="27"/>
  <c r="K172" i="27"/>
  <c r="K82" i="27"/>
  <c r="K90" i="27"/>
  <c r="K105" i="27"/>
  <c r="K120" i="27"/>
  <c r="K128" i="27"/>
  <c r="K136" i="27"/>
  <c r="K151" i="27"/>
  <c r="K166" i="27"/>
  <c r="K174" i="27"/>
  <c r="K182" i="27"/>
  <c r="K197" i="27"/>
  <c r="K212" i="27"/>
  <c r="K220" i="27"/>
  <c r="K228" i="27"/>
  <c r="K243" i="27"/>
  <c r="K251" i="27"/>
  <c r="K266" i="27"/>
  <c r="K274" i="27"/>
  <c r="K282" i="27"/>
  <c r="K297" i="27"/>
  <c r="K312" i="27"/>
  <c r="K320" i="27"/>
  <c r="K328" i="27"/>
  <c r="K343" i="27"/>
  <c r="K358" i="27"/>
  <c r="K366" i="27"/>
  <c r="K374" i="27"/>
  <c r="K389" i="27"/>
  <c r="K404" i="27"/>
  <c r="K94" i="27"/>
  <c r="K112" i="27"/>
  <c r="K144" i="27"/>
  <c r="K162" i="27"/>
  <c r="K180" i="27"/>
  <c r="K75" i="27"/>
  <c r="K83" i="27"/>
  <c r="K98" i="27"/>
  <c r="K106" i="27"/>
  <c r="K121" i="27"/>
  <c r="K129" i="27"/>
  <c r="K137" i="27"/>
  <c r="K152" i="27"/>
  <c r="K167" i="27"/>
  <c r="K175" i="27"/>
  <c r="K183" i="27"/>
  <c r="K198" i="27"/>
  <c r="K213" i="27"/>
  <c r="K221" i="27"/>
  <c r="K229" i="27"/>
  <c r="K244" i="27"/>
  <c r="K259" i="27"/>
  <c r="K267" i="27"/>
  <c r="K275" i="27"/>
  <c r="K290" i="27"/>
  <c r="K298" i="27"/>
  <c r="K313" i="27"/>
  <c r="K321" i="27"/>
  <c r="K329" i="27"/>
  <c r="K344" i="27"/>
  <c r="K359" i="27"/>
  <c r="K367" i="27"/>
  <c r="K375" i="27"/>
  <c r="K390" i="27"/>
  <c r="K405" i="27"/>
  <c r="K95" i="27"/>
  <c r="K113" i="27"/>
  <c r="K145" i="27"/>
  <c r="K218" i="27"/>
  <c r="K76" i="27"/>
  <c r="K84" i="27"/>
  <c r="K99" i="27"/>
  <c r="K107" i="27"/>
  <c r="K122" i="27"/>
  <c r="K130" i="27"/>
  <c r="K138" i="27"/>
  <c r="K153" i="27"/>
  <c r="K168" i="27"/>
  <c r="K176" i="27"/>
  <c r="K184" i="27"/>
  <c r="K199" i="27"/>
  <c r="K214" i="27"/>
  <c r="K222" i="27"/>
  <c r="K230" i="27"/>
  <c r="K245" i="27"/>
  <c r="K260" i="27"/>
  <c r="K268" i="27"/>
  <c r="K276" i="27"/>
  <c r="K291" i="27"/>
  <c r="K299" i="27"/>
  <c r="K314" i="27"/>
  <c r="K322" i="27"/>
  <c r="K330" i="27"/>
  <c r="K345" i="27"/>
  <c r="K360" i="27"/>
  <c r="K368" i="27"/>
  <c r="K376" i="27"/>
  <c r="K391" i="27"/>
  <c r="K406" i="27"/>
  <c r="K96" i="27"/>
  <c r="K114" i="27"/>
  <c r="K156" i="27"/>
  <c r="K77" i="27"/>
  <c r="K85" i="27"/>
  <c r="K100" i="27"/>
  <c r="K115" i="27"/>
  <c r="K123" i="27"/>
  <c r="K131" i="27"/>
  <c r="K146" i="27"/>
  <c r="K154" i="27"/>
  <c r="K169" i="27"/>
  <c r="K177" i="27"/>
  <c r="K185" i="27"/>
  <c r="K200" i="27"/>
  <c r="K215" i="27"/>
  <c r="K223" i="27"/>
  <c r="K231" i="27"/>
  <c r="K246" i="27"/>
  <c r="K261" i="27"/>
  <c r="K269" i="27"/>
  <c r="K277" i="27"/>
  <c r="K292" i="27"/>
  <c r="K307" i="27"/>
  <c r="K315" i="27"/>
  <c r="K323" i="27"/>
  <c r="K338" i="27"/>
  <c r="K346" i="27"/>
  <c r="K361" i="27"/>
  <c r="K369" i="27"/>
  <c r="K377" i="27"/>
  <c r="K392" i="27"/>
  <c r="K407" i="27"/>
  <c r="K97" i="27"/>
  <c r="K139" i="27"/>
  <c r="K157" i="27"/>
  <c r="K78" i="27"/>
  <c r="K86" i="27"/>
  <c r="K101" i="27"/>
  <c r="K116" i="27"/>
  <c r="K124" i="27"/>
  <c r="K132" i="27"/>
  <c r="K147" i="27"/>
  <c r="K155" i="27"/>
  <c r="K170" i="27"/>
  <c r="K178" i="27"/>
  <c r="K186" i="27"/>
  <c r="K201" i="27"/>
  <c r="K216" i="27"/>
  <c r="K224" i="27"/>
  <c r="K232" i="27"/>
  <c r="K247" i="27"/>
  <c r="K262" i="27"/>
  <c r="K270" i="27"/>
  <c r="K278" i="27"/>
  <c r="K293" i="27"/>
  <c r="K308" i="27"/>
  <c r="K316" i="27"/>
  <c r="K324" i="27"/>
  <c r="K339" i="27"/>
  <c r="K347" i="27"/>
  <c r="K362" i="27"/>
  <c r="K370" i="27"/>
  <c r="K378" i="27"/>
  <c r="K393" i="27"/>
  <c r="K408" i="27"/>
  <c r="K108" i="27"/>
  <c r="K140" i="27"/>
  <c r="K158" i="27"/>
  <c r="K195" i="27"/>
  <c r="K79" i="27"/>
  <c r="K87" i="27"/>
  <c r="K102" i="27"/>
  <c r="K117" i="27"/>
  <c r="K125" i="27"/>
  <c r="K133" i="27"/>
  <c r="K148" i="27"/>
  <c r="K163" i="27"/>
  <c r="K171" i="27"/>
  <c r="K179" i="27"/>
  <c r="K194" i="27"/>
  <c r="K202" i="27"/>
  <c r="K217" i="27"/>
  <c r="K225" i="27"/>
  <c r="K233" i="27"/>
  <c r="K248" i="27"/>
  <c r="K263" i="27"/>
  <c r="K271" i="27"/>
  <c r="K279" i="27"/>
  <c r="K294" i="27"/>
  <c r="K309" i="27"/>
  <c r="K317" i="27"/>
  <c r="K325" i="27"/>
  <c r="K340" i="27"/>
  <c r="K355" i="27"/>
  <c r="K363" i="27"/>
  <c r="K371" i="27"/>
  <c r="K386" i="27"/>
  <c r="K394" i="27"/>
  <c r="K409" i="27"/>
  <c r="K91" i="27"/>
  <c r="K109" i="27"/>
  <c r="K141" i="27"/>
  <c r="K159" i="27"/>
  <c r="E24" i="27"/>
  <c r="B18" i="27"/>
  <c r="E21" i="27"/>
  <c r="E19" i="27"/>
  <c r="E22" i="27"/>
  <c r="D18" i="27"/>
  <c r="C20" i="27"/>
  <c r="D20" i="27"/>
  <c r="D21" i="27"/>
  <c r="C23" i="27"/>
  <c r="E18" i="27"/>
  <c r="B19" i="27"/>
  <c r="C19" i="27"/>
  <c r="E20" i="27"/>
  <c r="B22" i="27"/>
  <c r="C22" i="27"/>
  <c r="E23" i="27"/>
  <c r="B23" i="27"/>
  <c r="B21" i="27"/>
  <c r="B24" i="27"/>
  <c r="C24" i="27"/>
  <c r="X93" i="3"/>
  <c r="X94" i="3"/>
  <c r="X95" i="3"/>
  <c r="X96" i="3"/>
  <c r="X97" i="3"/>
  <c r="X98" i="3"/>
  <c r="X99" i="3"/>
  <c r="X92" i="3"/>
  <c r="U92" i="3"/>
  <c r="U93" i="3"/>
  <c r="U95" i="3"/>
  <c r="U94" i="3"/>
  <c r="U96" i="3"/>
  <c r="U97" i="3"/>
  <c r="R98" i="3"/>
  <c r="R99" i="3"/>
  <c r="R92" i="3"/>
  <c r="R100" i="3"/>
  <c r="R93" i="3"/>
  <c r="R94" i="3"/>
  <c r="R95" i="3"/>
  <c r="R96" i="3"/>
  <c r="O93" i="3"/>
  <c r="O94" i="3"/>
  <c r="O95" i="3"/>
  <c r="O92" i="3"/>
  <c r="O100" i="3"/>
  <c r="O96" i="3"/>
  <c r="L95" i="3"/>
  <c r="L96" i="3"/>
  <c r="L97" i="3"/>
  <c r="L98" i="3"/>
  <c r="I100" i="3"/>
  <c r="I93" i="3"/>
  <c r="I94" i="3"/>
  <c r="I92" i="3"/>
  <c r="I95" i="3"/>
  <c r="I96" i="3"/>
  <c r="I97" i="3"/>
  <c r="I98" i="3"/>
  <c r="C93" i="3"/>
  <c r="C95" i="3"/>
  <c r="C96" i="3"/>
  <c r="C97" i="3"/>
  <c r="I129" i="1"/>
  <c r="I128" i="1" l="1"/>
  <c r="I127" i="1" l="1"/>
  <c r="I373" i="1" l="1"/>
  <c r="C373" i="1"/>
  <c r="F372" i="1"/>
  <c r="C370" i="1"/>
  <c r="C369" i="1"/>
  <c r="B369" i="1"/>
  <c r="F367" i="1"/>
  <c r="B367" i="1"/>
  <c r="I366" i="1"/>
  <c r="I365" i="1"/>
  <c r="I387" i="1"/>
  <c r="I383" i="1"/>
  <c r="C383" i="1"/>
  <c r="F381" i="1"/>
  <c r="B381" i="1"/>
  <c r="C380" i="1"/>
  <c r="F378" i="1"/>
  <c r="G395" i="1"/>
  <c r="G367" i="1" s="1"/>
  <c r="D395" i="1"/>
  <c r="D367" i="1" s="1"/>
  <c r="D393" i="1"/>
  <c r="D365" i="1" s="1"/>
  <c r="I401" i="1"/>
  <c r="H401" i="1"/>
  <c r="H373" i="1" s="1"/>
  <c r="I400" i="1"/>
  <c r="I372" i="1" s="1"/>
  <c r="H400" i="1"/>
  <c r="H372" i="1" s="1"/>
  <c r="I399" i="1"/>
  <c r="I371" i="1" s="1"/>
  <c r="H399" i="1"/>
  <c r="H371" i="1" s="1"/>
  <c r="I398" i="1"/>
  <c r="I370" i="1" s="1"/>
  <c r="H398" i="1"/>
  <c r="H370" i="1" s="1"/>
  <c r="I397" i="1"/>
  <c r="I369" i="1" s="1"/>
  <c r="H397" i="1"/>
  <c r="H369" i="1" s="1"/>
  <c r="I396" i="1"/>
  <c r="I368" i="1" s="1"/>
  <c r="H396" i="1"/>
  <c r="H368" i="1" s="1"/>
  <c r="I395" i="1"/>
  <c r="I367" i="1" s="1"/>
  <c r="H395" i="1"/>
  <c r="H367" i="1" s="1"/>
  <c r="I394" i="1"/>
  <c r="I380" i="1" s="1"/>
  <c r="H394" i="1"/>
  <c r="H366" i="1" s="1"/>
  <c r="I393" i="1"/>
  <c r="I379" i="1" s="1"/>
  <c r="H393" i="1"/>
  <c r="H365" i="1" s="1"/>
  <c r="I392" i="1"/>
  <c r="I364" i="1" s="1"/>
  <c r="H392" i="1"/>
  <c r="H364" i="1" s="1"/>
  <c r="F401" i="1"/>
  <c r="F373" i="1" s="1"/>
  <c r="E401" i="1"/>
  <c r="E373" i="1" s="1"/>
  <c r="F400" i="1"/>
  <c r="G400" i="1" s="1"/>
  <c r="E400" i="1"/>
  <c r="D400" i="1" s="1"/>
  <c r="F399" i="1"/>
  <c r="G399" i="1" s="1"/>
  <c r="G371" i="1" s="1"/>
  <c r="E399" i="1"/>
  <c r="E371" i="1" s="1"/>
  <c r="F398" i="1"/>
  <c r="G398" i="1" s="1"/>
  <c r="G370" i="1" s="1"/>
  <c r="E398" i="1"/>
  <c r="E370" i="1" s="1"/>
  <c r="F397" i="1"/>
  <c r="F369" i="1" s="1"/>
  <c r="E397" i="1"/>
  <c r="E369" i="1" s="1"/>
  <c r="F396" i="1"/>
  <c r="G396" i="1" s="1"/>
  <c r="E396" i="1"/>
  <c r="E368" i="1" s="1"/>
  <c r="F395" i="1"/>
  <c r="E395" i="1"/>
  <c r="E367" i="1" s="1"/>
  <c r="F394" i="1"/>
  <c r="F366" i="1" s="1"/>
  <c r="E394" i="1"/>
  <c r="D394" i="1" s="1"/>
  <c r="F393" i="1"/>
  <c r="F365" i="1" s="1"/>
  <c r="E393" i="1"/>
  <c r="E365" i="1" s="1"/>
  <c r="F392" i="1"/>
  <c r="G392" i="1" s="1"/>
  <c r="E392" i="1"/>
  <c r="D392" i="1" s="1"/>
  <c r="C401" i="1"/>
  <c r="C387" i="1" s="1"/>
  <c r="B401" i="1"/>
  <c r="B373" i="1" s="1"/>
  <c r="C400" i="1"/>
  <c r="C372" i="1" s="1"/>
  <c r="B400" i="1"/>
  <c r="B372" i="1" s="1"/>
  <c r="C399" i="1"/>
  <c r="C371" i="1" s="1"/>
  <c r="B399" i="1"/>
  <c r="B371" i="1" s="1"/>
  <c r="C398" i="1"/>
  <c r="C384" i="1" s="1"/>
  <c r="B398" i="1"/>
  <c r="B384" i="1" s="1"/>
  <c r="C397" i="1"/>
  <c r="B397" i="1"/>
  <c r="B383" i="1" s="1"/>
  <c r="C396" i="1"/>
  <c r="C368" i="1" s="1"/>
  <c r="B396" i="1"/>
  <c r="B382" i="1" s="1"/>
  <c r="C395" i="1"/>
  <c r="C367" i="1" s="1"/>
  <c r="B395" i="1"/>
  <c r="C394" i="1"/>
  <c r="C366" i="1" s="1"/>
  <c r="B394" i="1"/>
  <c r="B366" i="1" s="1"/>
  <c r="C393" i="1"/>
  <c r="C365" i="1" s="1"/>
  <c r="B393" i="1"/>
  <c r="B365" i="1" s="1"/>
  <c r="C392" i="1"/>
  <c r="C364" i="1" s="1"/>
  <c r="B392" i="1"/>
  <c r="B364" i="1" s="1"/>
  <c r="I358" i="1"/>
  <c r="H358" i="1"/>
  <c r="G358" i="1"/>
  <c r="F358" i="1"/>
  <c r="E358" i="1"/>
  <c r="D358" i="1"/>
  <c r="C358" i="1"/>
  <c r="B358" i="1"/>
  <c r="I357" i="1"/>
  <c r="H357" i="1"/>
  <c r="G357" i="1"/>
  <c r="F357" i="1"/>
  <c r="E357" i="1"/>
  <c r="D357" i="1"/>
  <c r="C357" i="1"/>
  <c r="B357" i="1"/>
  <c r="I356" i="1"/>
  <c r="H356" i="1"/>
  <c r="G356" i="1"/>
  <c r="F356" i="1"/>
  <c r="E356" i="1"/>
  <c r="D356" i="1"/>
  <c r="C356" i="1"/>
  <c r="B356" i="1"/>
  <c r="I355" i="1"/>
  <c r="H355" i="1"/>
  <c r="G355" i="1"/>
  <c r="F355" i="1"/>
  <c r="E355" i="1"/>
  <c r="D355" i="1"/>
  <c r="C355" i="1"/>
  <c r="B355" i="1"/>
  <c r="I354" i="1"/>
  <c r="H354" i="1"/>
  <c r="G354" i="1"/>
  <c r="F354" i="1"/>
  <c r="E354" i="1"/>
  <c r="D354" i="1"/>
  <c r="C354" i="1"/>
  <c r="B354" i="1"/>
  <c r="I353" i="1"/>
  <c r="H353" i="1"/>
  <c r="G353" i="1"/>
  <c r="F353" i="1"/>
  <c r="E353" i="1"/>
  <c r="D353" i="1"/>
  <c r="C353" i="1"/>
  <c r="B353" i="1"/>
  <c r="I335" i="1"/>
  <c r="I307" i="1" s="1"/>
  <c r="H335" i="1"/>
  <c r="H307" i="1" s="1"/>
  <c r="G335" i="1"/>
  <c r="G307" i="1" s="1"/>
  <c r="F335" i="1"/>
  <c r="F307" i="1" s="1"/>
  <c r="E335" i="1"/>
  <c r="E307" i="1" s="1"/>
  <c r="D335" i="1"/>
  <c r="D307" i="1" s="1"/>
  <c r="C335" i="1"/>
  <c r="C307" i="1" s="1"/>
  <c r="B335" i="1"/>
  <c r="B321" i="1" s="1"/>
  <c r="I334" i="1"/>
  <c r="I306" i="1" s="1"/>
  <c r="H334" i="1"/>
  <c r="H306" i="1" s="1"/>
  <c r="G334" i="1"/>
  <c r="G306" i="1" s="1"/>
  <c r="F334" i="1"/>
  <c r="F306" i="1" s="1"/>
  <c r="E334" i="1"/>
  <c r="E306" i="1" s="1"/>
  <c r="D334" i="1"/>
  <c r="D306" i="1" s="1"/>
  <c r="C334" i="1"/>
  <c r="C306" i="1" s="1"/>
  <c r="B334" i="1"/>
  <c r="B320" i="1" s="1"/>
  <c r="I333" i="1"/>
  <c r="I305" i="1" s="1"/>
  <c r="H333" i="1"/>
  <c r="H305" i="1" s="1"/>
  <c r="G333" i="1"/>
  <c r="G305" i="1" s="1"/>
  <c r="F333" i="1"/>
  <c r="F305" i="1" s="1"/>
  <c r="E333" i="1"/>
  <c r="E305" i="1" s="1"/>
  <c r="D333" i="1"/>
  <c r="D305" i="1" s="1"/>
  <c r="C333" i="1"/>
  <c r="C305" i="1" s="1"/>
  <c r="B333" i="1"/>
  <c r="B347" i="1" s="1"/>
  <c r="I332" i="1"/>
  <c r="I304" i="1" s="1"/>
  <c r="H332" i="1"/>
  <c r="H304" i="1" s="1"/>
  <c r="G332" i="1"/>
  <c r="G304" i="1" s="1"/>
  <c r="F332" i="1"/>
  <c r="F304" i="1" s="1"/>
  <c r="E332" i="1"/>
  <c r="E304" i="1" s="1"/>
  <c r="D332" i="1"/>
  <c r="D304" i="1" s="1"/>
  <c r="C332" i="1"/>
  <c r="C304" i="1" s="1"/>
  <c r="B332" i="1"/>
  <c r="B304" i="1" s="1"/>
  <c r="I331" i="1"/>
  <c r="I303" i="1" s="1"/>
  <c r="H331" i="1"/>
  <c r="H303" i="1" s="1"/>
  <c r="G331" i="1"/>
  <c r="G303" i="1" s="1"/>
  <c r="F331" i="1"/>
  <c r="F303" i="1" s="1"/>
  <c r="E331" i="1"/>
  <c r="E303" i="1" s="1"/>
  <c r="D331" i="1"/>
  <c r="D303" i="1" s="1"/>
  <c r="C331" i="1"/>
  <c r="C303" i="1" s="1"/>
  <c r="B331" i="1"/>
  <c r="B303" i="1" s="1"/>
  <c r="I330" i="1"/>
  <c r="I302" i="1" s="1"/>
  <c r="H330" i="1"/>
  <c r="H302" i="1" s="1"/>
  <c r="G330" i="1"/>
  <c r="G302" i="1" s="1"/>
  <c r="F330" i="1"/>
  <c r="F302" i="1" s="1"/>
  <c r="E330" i="1"/>
  <c r="E302" i="1" s="1"/>
  <c r="D330" i="1"/>
  <c r="D302" i="1" s="1"/>
  <c r="C330" i="1"/>
  <c r="C302" i="1" s="1"/>
  <c r="B330" i="1"/>
  <c r="B302" i="1" s="1"/>
  <c r="I329" i="1"/>
  <c r="I301" i="1" s="1"/>
  <c r="H329" i="1"/>
  <c r="H301" i="1" s="1"/>
  <c r="G329" i="1"/>
  <c r="G301" i="1" s="1"/>
  <c r="F329" i="1"/>
  <c r="F301" i="1" s="1"/>
  <c r="E329" i="1"/>
  <c r="E301" i="1" s="1"/>
  <c r="D329" i="1"/>
  <c r="D301" i="1" s="1"/>
  <c r="C329" i="1"/>
  <c r="C301" i="1" s="1"/>
  <c r="B329" i="1"/>
  <c r="B343" i="1" s="1"/>
  <c r="I328" i="1"/>
  <c r="I300" i="1" s="1"/>
  <c r="H328" i="1"/>
  <c r="H300" i="1" s="1"/>
  <c r="G328" i="1"/>
  <c r="G300" i="1" s="1"/>
  <c r="F328" i="1"/>
  <c r="F300" i="1" s="1"/>
  <c r="E328" i="1"/>
  <c r="E300" i="1" s="1"/>
  <c r="D328" i="1"/>
  <c r="D300" i="1" s="1"/>
  <c r="C328" i="1"/>
  <c r="C300" i="1" s="1"/>
  <c r="B328" i="1"/>
  <c r="B314" i="1" s="1"/>
  <c r="I327" i="1"/>
  <c r="I299" i="1" s="1"/>
  <c r="H327" i="1"/>
  <c r="H299" i="1" s="1"/>
  <c r="G327" i="1"/>
  <c r="G299" i="1" s="1"/>
  <c r="F327" i="1"/>
  <c r="F299" i="1" s="1"/>
  <c r="E327" i="1"/>
  <c r="E299" i="1" s="1"/>
  <c r="D327" i="1"/>
  <c r="D299" i="1" s="1"/>
  <c r="C327" i="1"/>
  <c r="C299" i="1" s="1"/>
  <c r="B327" i="1"/>
  <c r="B313" i="1" s="1"/>
  <c r="I326" i="1"/>
  <c r="I298" i="1" s="1"/>
  <c r="H326" i="1"/>
  <c r="H298" i="1" s="1"/>
  <c r="G326" i="1"/>
  <c r="G298" i="1" s="1"/>
  <c r="F326" i="1"/>
  <c r="F298" i="1" s="1"/>
  <c r="E326" i="1"/>
  <c r="E298" i="1" s="1"/>
  <c r="D326" i="1"/>
  <c r="D298" i="1" s="1"/>
  <c r="C326" i="1"/>
  <c r="C298" i="1" s="1"/>
  <c r="B326" i="1"/>
  <c r="B298" i="1" s="1"/>
  <c r="I325" i="1"/>
  <c r="I297" i="1" s="1"/>
  <c r="H325" i="1"/>
  <c r="H297" i="1" s="1"/>
  <c r="G325" i="1"/>
  <c r="G297" i="1" s="1"/>
  <c r="F325" i="1"/>
  <c r="F297" i="1" s="1"/>
  <c r="E325" i="1"/>
  <c r="E297" i="1" s="1"/>
  <c r="D325" i="1"/>
  <c r="D297" i="1" s="1"/>
  <c r="C325" i="1"/>
  <c r="C297" i="1" s="1"/>
  <c r="B325" i="1"/>
  <c r="B297" i="1" s="1"/>
  <c r="B241" i="1"/>
  <c r="B259" i="1"/>
  <c r="B287" i="1"/>
  <c r="B286" i="1"/>
  <c r="B284" i="1"/>
  <c r="F281" i="1"/>
  <c r="F280" i="1"/>
  <c r="I275" i="1"/>
  <c r="I245" i="1" s="1"/>
  <c r="H275" i="1"/>
  <c r="H245" i="1" s="1"/>
  <c r="G275" i="1"/>
  <c r="G245" i="1" s="1"/>
  <c r="F275" i="1"/>
  <c r="F245" i="1" s="1"/>
  <c r="E275" i="1"/>
  <c r="E245" i="1" s="1"/>
  <c r="D275" i="1"/>
  <c r="D245" i="1" s="1"/>
  <c r="C275" i="1"/>
  <c r="C245" i="1" s="1"/>
  <c r="I274" i="1"/>
  <c r="I244" i="1" s="1"/>
  <c r="H274" i="1"/>
  <c r="H244" i="1" s="1"/>
  <c r="G274" i="1"/>
  <c r="G244" i="1" s="1"/>
  <c r="F274" i="1"/>
  <c r="F244" i="1" s="1"/>
  <c r="E274" i="1"/>
  <c r="E244" i="1" s="1"/>
  <c r="D274" i="1"/>
  <c r="D244" i="1" s="1"/>
  <c r="C274" i="1"/>
  <c r="C244" i="1" s="1"/>
  <c r="I273" i="1"/>
  <c r="I243" i="1" s="1"/>
  <c r="H273" i="1"/>
  <c r="H243" i="1" s="1"/>
  <c r="G273" i="1"/>
  <c r="G243" i="1" s="1"/>
  <c r="F273" i="1"/>
  <c r="F243" i="1" s="1"/>
  <c r="E273" i="1"/>
  <c r="E243" i="1" s="1"/>
  <c r="D273" i="1"/>
  <c r="D243" i="1" s="1"/>
  <c r="C273" i="1"/>
  <c r="C243" i="1" s="1"/>
  <c r="I272" i="1"/>
  <c r="I242" i="1" s="1"/>
  <c r="H272" i="1"/>
  <c r="H242" i="1" s="1"/>
  <c r="G272" i="1"/>
  <c r="G242" i="1" s="1"/>
  <c r="F272" i="1"/>
  <c r="F242" i="1" s="1"/>
  <c r="E272" i="1"/>
  <c r="E242" i="1" s="1"/>
  <c r="D272" i="1"/>
  <c r="D242" i="1" s="1"/>
  <c r="C272" i="1"/>
  <c r="C242" i="1" s="1"/>
  <c r="I271" i="1"/>
  <c r="I241" i="1" s="1"/>
  <c r="H271" i="1"/>
  <c r="H241" i="1" s="1"/>
  <c r="G271" i="1"/>
  <c r="G241" i="1" s="1"/>
  <c r="F271" i="1"/>
  <c r="F241" i="1" s="1"/>
  <c r="E271" i="1"/>
  <c r="E241" i="1" s="1"/>
  <c r="D271" i="1"/>
  <c r="D241" i="1" s="1"/>
  <c r="C271" i="1"/>
  <c r="C241" i="1" s="1"/>
  <c r="I270" i="1"/>
  <c r="I240" i="1" s="1"/>
  <c r="H270" i="1"/>
  <c r="H240" i="1" s="1"/>
  <c r="G270" i="1"/>
  <c r="G240" i="1" s="1"/>
  <c r="F270" i="1"/>
  <c r="F240" i="1" s="1"/>
  <c r="E270" i="1"/>
  <c r="E240" i="1" s="1"/>
  <c r="D270" i="1"/>
  <c r="D240" i="1" s="1"/>
  <c r="C270" i="1"/>
  <c r="C240" i="1" s="1"/>
  <c r="I269" i="1"/>
  <c r="I239" i="1" s="1"/>
  <c r="H269" i="1"/>
  <c r="H239" i="1" s="1"/>
  <c r="G269" i="1"/>
  <c r="G239" i="1" s="1"/>
  <c r="F269" i="1"/>
  <c r="F239" i="1" s="1"/>
  <c r="E269" i="1"/>
  <c r="E239" i="1" s="1"/>
  <c r="D269" i="1"/>
  <c r="D239" i="1" s="1"/>
  <c r="C269" i="1"/>
  <c r="C239" i="1" s="1"/>
  <c r="I268" i="1"/>
  <c r="I238" i="1" s="1"/>
  <c r="H268" i="1"/>
  <c r="H238" i="1" s="1"/>
  <c r="G268" i="1"/>
  <c r="G238" i="1" s="1"/>
  <c r="F268" i="1"/>
  <c r="F238" i="1" s="1"/>
  <c r="E268" i="1"/>
  <c r="E238" i="1" s="1"/>
  <c r="D268" i="1"/>
  <c r="D238" i="1" s="1"/>
  <c r="C268" i="1"/>
  <c r="C238" i="1" s="1"/>
  <c r="I267" i="1"/>
  <c r="I237" i="1" s="1"/>
  <c r="H267" i="1"/>
  <c r="H237" i="1" s="1"/>
  <c r="G267" i="1"/>
  <c r="G237" i="1" s="1"/>
  <c r="F267" i="1"/>
  <c r="F283" i="1" s="1"/>
  <c r="E267" i="1"/>
  <c r="E237" i="1" s="1"/>
  <c r="D267" i="1"/>
  <c r="D237" i="1" s="1"/>
  <c r="C267" i="1"/>
  <c r="C237" i="1" s="1"/>
  <c r="I266" i="1"/>
  <c r="I236" i="1" s="1"/>
  <c r="H266" i="1"/>
  <c r="H236" i="1" s="1"/>
  <c r="G266" i="1"/>
  <c r="G236" i="1" s="1"/>
  <c r="F266" i="1"/>
  <c r="F236" i="1" s="1"/>
  <c r="E266" i="1"/>
  <c r="E236" i="1" s="1"/>
  <c r="D266" i="1"/>
  <c r="D236" i="1" s="1"/>
  <c r="C266" i="1"/>
  <c r="C236" i="1" s="1"/>
  <c r="I265" i="1"/>
  <c r="I235" i="1" s="1"/>
  <c r="H265" i="1"/>
  <c r="H235" i="1" s="1"/>
  <c r="G265" i="1"/>
  <c r="G235" i="1" s="1"/>
  <c r="F265" i="1"/>
  <c r="F235" i="1" s="1"/>
  <c r="E265" i="1"/>
  <c r="E235" i="1" s="1"/>
  <c r="D265" i="1"/>
  <c r="D235" i="1" s="1"/>
  <c r="C265" i="1"/>
  <c r="C235" i="1" s="1"/>
  <c r="I264" i="1"/>
  <c r="I234" i="1" s="1"/>
  <c r="H264" i="1"/>
  <c r="H234" i="1" s="1"/>
  <c r="G264" i="1"/>
  <c r="G234" i="1" s="1"/>
  <c r="F264" i="1"/>
  <c r="F234" i="1" s="1"/>
  <c r="E264" i="1"/>
  <c r="E234" i="1" s="1"/>
  <c r="D264" i="1"/>
  <c r="D234" i="1" s="1"/>
  <c r="C264" i="1"/>
  <c r="C234" i="1" s="1"/>
  <c r="B275" i="1"/>
  <c r="B291" i="1" s="1"/>
  <c r="B274" i="1"/>
  <c r="B244" i="1" s="1"/>
  <c r="B273" i="1"/>
  <c r="B243" i="1" s="1"/>
  <c r="B272" i="1"/>
  <c r="B242" i="1" s="1"/>
  <c r="B271" i="1"/>
  <c r="B256" i="1" s="1"/>
  <c r="B270" i="1"/>
  <c r="B240" i="1" s="1"/>
  <c r="B269" i="1"/>
  <c r="B285" i="1" s="1"/>
  <c r="B268" i="1"/>
  <c r="B253" i="1" s="1"/>
  <c r="B267" i="1"/>
  <c r="B252" i="1" s="1"/>
  <c r="B266" i="1"/>
  <c r="B251" i="1" s="1"/>
  <c r="B265" i="1"/>
  <c r="B235" i="1" s="1"/>
  <c r="B264" i="1"/>
  <c r="B234" i="1" s="1"/>
  <c r="B237" i="1" l="1"/>
  <c r="F384" i="1"/>
  <c r="B238" i="1"/>
  <c r="I378" i="1"/>
  <c r="I384" i="1"/>
  <c r="F370" i="1"/>
  <c r="B379" i="1"/>
  <c r="B385" i="1"/>
  <c r="B245" i="1"/>
  <c r="D401" i="1"/>
  <c r="D373" i="1" s="1"/>
  <c r="C379" i="1"/>
  <c r="I382" i="1"/>
  <c r="F385" i="1"/>
  <c r="F368" i="1"/>
  <c r="F364" i="1"/>
  <c r="D397" i="1"/>
  <c r="D369" i="1" s="1"/>
  <c r="F382" i="1"/>
  <c r="B255" i="1"/>
  <c r="G394" i="1"/>
  <c r="G366" i="1" s="1"/>
  <c r="F386" i="1"/>
  <c r="F371" i="1"/>
  <c r="I386" i="1"/>
  <c r="B260" i="1"/>
  <c r="F380" i="1"/>
  <c r="B387" i="1"/>
  <c r="B283" i="1"/>
  <c r="B236" i="1"/>
  <c r="D364" i="1"/>
  <c r="D378" i="1"/>
  <c r="D372" i="1"/>
  <c r="D386" i="1"/>
  <c r="G364" i="1"/>
  <c r="G378" i="1"/>
  <c r="G368" i="1"/>
  <c r="G382" i="1"/>
  <c r="G372" i="1"/>
  <c r="G386" i="1"/>
  <c r="D366" i="1"/>
  <c r="D380" i="1"/>
  <c r="G401" i="1"/>
  <c r="I381" i="1"/>
  <c r="B281" i="1"/>
  <c r="B378" i="1"/>
  <c r="B386" i="1"/>
  <c r="B368" i="1"/>
  <c r="B370" i="1"/>
  <c r="B289" i="1"/>
  <c r="C378" i="1"/>
  <c r="C382" i="1"/>
  <c r="C386" i="1"/>
  <c r="B282" i="1"/>
  <c r="B290" i="1"/>
  <c r="B239" i="1"/>
  <c r="D398" i="1"/>
  <c r="D379" i="1"/>
  <c r="D381" i="1"/>
  <c r="D387" i="1"/>
  <c r="I385" i="1"/>
  <c r="B254" i="1"/>
  <c r="D396" i="1"/>
  <c r="B380" i="1"/>
  <c r="C381" i="1"/>
  <c r="C385" i="1"/>
  <c r="F282" i="1"/>
  <c r="B258" i="1"/>
  <c r="D399" i="1"/>
  <c r="G397" i="1"/>
  <c r="E378" i="1"/>
  <c r="E379" i="1"/>
  <c r="E380" i="1"/>
  <c r="E381" i="1"/>
  <c r="E382" i="1"/>
  <c r="E383" i="1"/>
  <c r="E384" i="1"/>
  <c r="E385" i="1"/>
  <c r="E386" i="1"/>
  <c r="E387" i="1"/>
  <c r="E364" i="1"/>
  <c r="E366" i="1"/>
  <c r="E372" i="1"/>
  <c r="F383" i="1"/>
  <c r="G380" i="1"/>
  <c r="G381" i="1"/>
  <c r="G384" i="1"/>
  <c r="G385" i="1"/>
  <c r="G393" i="1"/>
  <c r="B250" i="1"/>
  <c r="F379" i="1"/>
  <c r="F387" i="1"/>
  <c r="H378" i="1"/>
  <c r="H379" i="1"/>
  <c r="H380" i="1"/>
  <c r="H381" i="1"/>
  <c r="H382" i="1"/>
  <c r="H383" i="1"/>
  <c r="H384" i="1"/>
  <c r="H385" i="1"/>
  <c r="H386" i="1"/>
  <c r="H387" i="1"/>
  <c r="B288" i="1"/>
  <c r="B257" i="1"/>
  <c r="B339" i="1"/>
  <c r="B345" i="1"/>
  <c r="B349" i="1"/>
  <c r="B315" i="1"/>
  <c r="B318" i="1"/>
  <c r="B300" i="1"/>
  <c r="B307" i="1"/>
  <c r="C280" i="1"/>
  <c r="C281" i="1"/>
  <c r="C282" i="1"/>
  <c r="C283" i="1"/>
  <c r="C284" i="1"/>
  <c r="C285" i="1"/>
  <c r="C286" i="1"/>
  <c r="C287" i="1"/>
  <c r="C288" i="1"/>
  <c r="C289" i="1"/>
  <c r="C290" i="1"/>
  <c r="C291" i="1"/>
  <c r="C249" i="1"/>
  <c r="C250" i="1"/>
  <c r="C251" i="1"/>
  <c r="C252" i="1"/>
  <c r="C253" i="1"/>
  <c r="C254" i="1"/>
  <c r="C255" i="1"/>
  <c r="C256" i="1"/>
  <c r="C257" i="1"/>
  <c r="C258" i="1"/>
  <c r="C259" i="1"/>
  <c r="C260" i="1"/>
  <c r="C339" i="1"/>
  <c r="C340" i="1"/>
  <c r="C341" i="1"/>
  <c r="C342" i="1"/>
  <c r="C343" i="1"/>
  <c r="C344" i="1"/>
  <c r="C345" i="1"/>
  <c r="C346" i="1"/>
  <c r="C347" i="1"/>
  <c r="C348" i="1"/>
  <c r="C349" i="1"/>
  <c r="C311" i="1"/>
  <c r="C312" i="1"/>
  <c r="C313" i="1"/>
  <c r="C314" i="1"/>
  <c r="C315" i="1"/>
  <c r="C316" i="1"/>
  <c r="C317" i="1"/>
  <c r="C318" i="1"/>
  <c r="C319" i="1"/>
  <c r="C320" i="1"/>
  <c r="C321" i="1"/>
  <c r="B340" i="1"/>
  <c r="B346" i="1"/>
  <c r="B312" i="1"/>
  <c r="B317" i="1"/>
  <c r="B301" i="1"/>
  <c r="B305" i="1"/>
  <c r="D280" i="1"/>
  <c r="D281" i="1"/>
  <c r="D282" i="1"/>
  <c r="D283" i="1"/>
  <c r="D284" i="1"/>
  <c r="D285" i="1"/>
  <c r="D286" i="1"/>
  <c r="D287" i="1"/>
  <c r="D288" i="1"/>
  <c r="D289" i="1"/>
  <c r="D290" i="1"/>
  <c r="D291" i="1"/>
  <c r="D249" i="1"/>
  <c r="D250" i="1"/>
  <c r="D251" i="1"/>
  <c r="D252" i="1"/>
  <c r="D253" i="1"/>
  <c r="D254" i="1"/>
  <c r="D255" i="1"/>
  <c r="D256" i="1"/>
  <c r="D257" i="1"/>
  <c r="D258" i="1"/>
  <c r="D259" i="1"/>
  <c r="D260" i="1"/>
  <c r="D339" i="1"/>
  <c r="D340" i="1"/>
  <c r="D341" i="1"/>
  <c r="D342" i="1"/>
  <c r="D343" i="1"/>
  <c r="D344" i="1"/>
  <c r="D345" i="1"/>
  <c r="D346" i="1"/>
  <c r="D347" i="1"/>
  <c r="D348" i="1"/>
  <c r="D349" i="1"/>
  <c r="D311" i="1"/>
  <c r="D312" i="1"/>
  <c r="D313" i="1"/>
  <c r="D314" i="1"/>
  <c r="D315" i="1"/>
  <c r="D316" i="1"/>
  <c r="D317" i="1"/>
  <c r="D318" i="1"/>
  <c r="D319" i="1"/>
  <c r="D320" i="1"/>
  <c r="D321" i="1"/>
  <c r="B280" i="1"/>
  <c r="B249" i="1"/>
  <c r="B342" i="1"/>
  <c r="B348" i="1"/>
  <c r="B316" i="1"/>
  <c r="B306" i="1"/>
  <c r="E280" i="1"/>
  <c r="E281" i="1"/>
  <c r="E282" i="1"/>
  <c r="E283" i="1"/>
  <c r="E284" i="1"/>
  <c r="E285" i="1"/>
  <c r="E286" i="1"/>
  <c r="E287" i="1"/>
  <c r="E288" i="1"/>
  <c r="E289" i="1"/>
  <c r="E290" i="1"/>
  <c r="E291" i="1"/>
  <c r="E249" i="1"/>
  <c r="E250" i="1"/>
  <c r="E251" i="1"/>
  <c r="E252" i="1"/>
  <c r="E253" i="1"/>
  <c r="E254" i="1"/>
  <c r="E255" i="1"/>
  <c r="E256" i="1"/>
  <c r="E257" i="1"/>
  <c r="E258" i="1"/>
  <c r="E259" i="1"/>
  <c r="E260" i="1"/>
  <c r="E339" i="1"/>
  <c r="E340" i="1"/>
  <c r="E341" i="1"/>
  <c r="E342" i="1"/>
  <c r="E343" i="1"/>
  <c r="E344" i="1"/>
  <c r="E345" i="1"/>
  <c r="E346" i="1"/>
  <c r="E347" i="1"/>
  <c r="E348" i="1"/>
  <c r="E349" i="1"/>
  <c r="E311" i="1"/>
  <c r="E312" i="1"/>
  <c r="E313" i="1"/>
  <c r="E314" i="1"/>
  <c r="E315" i="1"/>
  <c r="E316" i="1"/>
  <c r="E317" i="1"/>
  <c r="E318" i="1"/>
  <c r="E319" i="1"/>
  <c r="E320" i="1"/>
  <c r="E321" i="1"/>
  <c r="B341" i="1"/>
  <c r="F284" i="1"/>
  <c r="F285" i="1"/>
  <c r="F286" i="1"/>
  <c r="F287" i="1"/>
  <c r="F288" i="1"/>
  <c r="F289" i="1"/>
  <c r="F290" i="1"/>
  <c r="F291" i="1"/>
  <c r="F249" i="1"/>
  <c r="F250" i="1"/>
  <c r="F251" i="1"/>
  <c r="F252" i="1"/>
  <c r="F253" i="1"/>
  <c r="F254" i="1"/>
  <c r="F255" i="1"/>
  <c r="F256" i="1"/>
  <c r="F257" i="1"/>
  <c r="F258" i="1"/>
  <c r="F259" i="1"/>
  <c r="F260" i="1"/>
  <c r="F237" i="1"/>
  <c r="F339" i="1"/>
  <c r="F340" i="1"/>
  <c r="F341" i="1"/>
  <c r="F342" i="1"/>
  <c r="F343" i="1"/>
  <c r="F344" i="1"/>
  <c r="F345" i="1"/>
  <c r="F346" i="1"/>
  <c r="F347" i="1"/>
  <c r="F348" i="1"/>
  <c r="F349" i="1"/>
  <c r="F311" i="1"/>
  <c r="F312" i="1"/>
  <c r="F313" i="1"/>
  <c r="F314" i="1"/>
  <c r="F315" i="1"/>
  <c r="F316" i="1"/>
  <c r="F317" i="1"/>
  <c r="F318" i="1"/>
  <c r="F319" i="1"/>
  <c r="F320" i="1"/>
  <c r="F321" i="1"/>
  <c r="G280" i="1"/>
  <c r="G281" i="1"/>
  <c r="G282" i="1"/>
  <c r="G283" i="1"/>
  <c r="G284" i="1"/>
  <c r="G285" i="1"/>
  <c r="G286" i="1"/>
  <c r="G287" i="1"/>
  <c r="G288" i="1"/>
  <c r="G289" i="1"/>
  <c r="G290" i="1"/>
  <c r="G291" i="1"/>
  <c r="G249" i="1"/>
  <c r="G250" i="1"/>
  <c r="G251" i="1"/>
  <c r="G252" i="1"/>
  <c r="G253" i="1"/>
  <c r="G254" i="1"/>
  <c r="G255" i="1"/>
  <c r="G256" i="1"/>
  <c r="G257" i="1"/>
  <c r="G258" i="1"/>
  <c r="G259" i="1"/>
  <c r="G260" i="1"/>
  <c r="G339" i="1"/>
  <c r="G340" i="1"/>
  <c r="G341" i="1"/>
  <c r="G342" i="1"/>
  <c r="G343" i="1"/>
  <c r="G344" i="1"/>
  <c r="G345" i="1"/>
  <c r="G346" i="1"/>
  <c r="G347" i="1"/>
  <c r="G348" i="1"/>
  <c r="G349" i="1"/>
  <c r="G311" i="1"/>
  <c r="G312" i="1"/>
  <c r="G313" i="1"/>
  <c r="G314" i="1"/>
  <c r="G315" i="1"/>
  <c r="G316" i="1"/>
  <c r="G317" i="1"/>
  <c r="G318" i="1"/>
  <c r="G319" i="1"/>
  <c r="G320" i="1"/>
  <c r="G321" i="1"/>
  <c r="B344" i="1"/>
  <c r="B311" i="1"/>
  <c r="B319" i="1"/>
  <c r="B299" i="1"/>
  <c r="H280" i="1"/>
  <c r="H281" i="1"/>
  <c r="H282" i="1"/>
  <c r="H283" i="1"/>
  <c r="H284" i="1"/>
  <c r="H285" i="1"/>
  <c r="H286" i="1"/>
  <c r="H287" i="1"/>
  <c r="H288" i="1"/>
  <c r="H289" i="1"/>
  <c r="H290" i="1"/>
  <c r="H291" i="1"/>
  <c r="H249" i="1"/>
  <c r="H250" i="1"/>
  <c r="H251" i="1"/>
  <c r="H252" i="1"/>
  <c r="H253" i="1"/>
  <c r="H254" i="1"/>
  <c r="H255" i="1"/>
  <c r="H256" i="1"/>
  <c r="H257" i="1"/>
  <c r="H258" i="1"/>
  <c r="H259" i="1"/>
  <c r="H260" i="1"/>
  <c r="H339" i="1"/>
  <c r="H340" i="1"/>
  <c r="H341" i="1"/>
  <c r="H342" i="1"/>
  <c r="H343" i="1"/>
  <c r="H344" i="1"/>
  <c r="H345" i="1"/>
  <c r="H346" i="1"/>
  <c r="H347" i="1"/>
  <c r="H348" i="1"/>
  <c r="H349" i="1"/>
  <c r="H311" i="1"/>
  <c r="H312" i="1"/>
  <c r="H313" i="1"/>
  <c r="H314" i="1"/>
  <c r="H315" i="1"/>
  <c r="H316" i="1"/>
  <c r="H317" i="1"/>
  <c r="H318" i="1"/>
  <c r="H319" i="1"/>
  <c r="H320" i="1"/>
  <c r="H321" i="1"/>
  <c r="I280" i="1"/>
  <c r="I281" i="1"/>
  <c r="I282" i="1"/>
  <c r="I283" i="1"/>
  <c r="I284" i="1"/>
  <c r="I285" i="1"/>
  <c r="I286" i="1"/>
  <c r="I287" i="1"/>
  <c r="I288" i="1"/>
  <c r="I289" i="1"/>
  <c r="I290" i="1"/>
  <c r="I291" i="1"/>
  <c r="I249" i="1"/>
  <c r="I250" i="1"/>
  <c r="I251" i="1"/>
  <c r="I252" i="1"/>
  <c r="I253" i="1"/>
  <c r="I254" i="1"/>
  <c r="I255" i="1"/>
  <c r="I256" i="1"/>
  <c r="I257" i="1"/>
  <c r="I258" i="1"/>
  <c r="I259" i="1"/>
  <c r="I260" i="1"/>
  <c r="I339" i="1"/>
  <c r="I340" i="1"/>
  <c r="I341" i="1"/>
  <c r="I342" i="1"/>
  <c r="I343" i="1"/>
  <c r="I344" i="1"/>
  <c r="I345" i="1"/>
  <c r="I346" i="1"/>
  <c r="I347" i="1"/>
  <c r="I348" i="1"/>
  <c r="I349" i="1"/>
  <c r="I311" i="1"/>
  <c r="I312" i="1"/>
  <c r="I313" i="1"/>
  <c r="I314" i="1"/>
  <c r="I315" i="1"/>
  <c r="I316" i="1"/>
  <c r="I317" i="1"/>
  <c r="I318" i="1"/>
  <c r="I319" i="1"/>
  <c r="I320" i="1"/>
  <c r="I321" i="1"/>
  <c r="I229" i="1"/>
  <c r="H229" i="1"/>
  <c r="G229" i="1"/>
  <c r="F229" i="1"/>
  <c r="E229" i="1"/>
  <c r="D229" i="1"/>
  <c r="C229" i="1"/>
  <c r="I228" i="1"/>
  <c r="H228" i="1"/>
  <c r="G228" i="1"/>
  <c r="F228" i="1"/>
  <c r="E228" i="1"/>
  <c r="D228" i="1"/>
  <c r="C228" i="1"/>
  <c r="I227" i="1"/>
  <c r="H227" i="1"/>
  <c r="G227" i="1"/>
  <c r="F227" i="1"/>
  <c r="E227" i="1"/>
  <c r="D227" i="1"/>
  <c r="C227" i="1"/>
  <c r="I226" i="1"/>
  <c r="H226" i="1"/>
  <c r="G226" i="1"/>
  <c r="F226" i="1"/>
  <c r="E226" i="1"/>
  <c r="D226" i="1"/>
  <c r="C226" i="1"/>
  <c r="I225" i="1"/>
  <c r="H225" i="1"/>
  <c r="G225" i="1"/>
  <c r="F225" i="1"/>
  <c r="E225" i="1"/>
  <c r="D225" i="1"/>
  <c r="C225" i="1"/>
  <c r="I224" i="1"/>
  <c r="H224" i="1"/>
  <c r="G224" i="1"/>
  <c r="F224" i="1"/>
  <c r="E224" i="1"/>
  <c r="D224" i="1"/>
  <c r="C224" i="1"/>
  <c r="I223" i="1"/>
  <c r="H223" i="1"/>
  <c r="G223" i="1"/>
  <c r="F223" i="1"/>
  <c r="E223" i="1"/>
  <c r="D223" i="1"/>
  <c r="C223" i="1"/>
  <c r="I222" i="1"/>
  <c r="H222" i="1"/>
  <c r="G222" i="1"/>
  <c r="F222" i="1"/>
  <c r="E222" i="1"/>
  <c r="D222" i="1"/>
  <c r="C222" i="1"/>
  <c r="I221" i="1"/>
  <c r="H221" i="1"/>
  <c r="G221" i="1"/>
  <c r="F221" i="1"/>
  <c r="E221" i="1"/>
  <c r="D221" i="1"/>
  <c r="C221" i="1"/>
  <c r="I220" i="1"/>
  <c r="H220" i="1"/>
  <c r="G220" i="1"/>
  <c r="F220" i="1"/>
  <c r="E220" i="1"/>
  <c r="D220" i="1"/>
  <c r="C220" i="1"/>
  <c r="I219" i="1"/>
  <c r="H219" i="1"/>
  <c r="G219" i="1"/>
  <c r="F219" i="1"/>
  <c r="E219" i="1"/>
  <c r="D219" i="1"/>
  <c r="C219" i="1"/>
  <c r="I218" i="1"/>
  <c r="H218" i="1"/>
  <c r="G218" i="1"/>
  <c r="F218" i="1"/>
  <c r="E218" i="1"/>
  <c r="D218" i="1"/>
  <c r="C218" i="1"/>
  <c r="B229" i="1"/>
  <c r="B228" i="1"/>
  <c r="B227" i="1"/>
  <c r="B226" i="1"/>
  <c r="B225" i="1"/>
  <c r="B224" i="1"/>
  <c r="B223" i="1"/>
  <c r="B222" i="1"/>
  <c r="B221" i="1"/>
  <c r="B220" i="1"/>
  <c r="B219" i="1"/>
  <c r="B218" i="1"/>
  <c r="I214" i="1"/>
  <c r="H214" i="1"/>
  <c r="G214" i="1"/>
  <c r="F214" i="1"/>
  <c r="E214" i="1"/>
  <c r="D214" i="1"/>
  <c r="C214" i="1"/>
  <c r="I213" i="1"/>
  <c r="H213" i="1"/>
  <c r="G213" i="1"/>
  <c r="F213" i="1"/>
  <c r="E213" i="1"/>
  <c r="D213" i="1"/>
  <c r="C213" i="1"/>
  <c r="I212" i="1"/>
  <c r="H212" i="1"/>
  <c r="G212" i="1"/>
  <c r="F212" i="1"/>
  <c r="E212" i="1"/>
  <c r="D212" i="1"/>
  <c r="C212" i="1"/>
  <c r="I211" i="1"/>
  <c r="H211" i="1"/>
  <c r="G211" i="1"/>
  <c r="F211" i="1"/>
  <c r="E211" i="1"/>
  <c r="D211" i="1"/>
  <c r="C211" i="1"/>
  <c r="I210" i="1"/>
  <c r="H210" i="1"/>
  <c r="G210" i="1"/>
  <c r="F210" i="1"/>
  <c r="E210" i="1"/>
  <c r="D210" i="1"/>
  <c r="C210" i="1"/>
  <c r="I209" i="1"/>
  <c r="H209" i="1"/>
  <c r="G209" i="1"/>
  <c r="F209" i="1"/>
  <c r="E209" i="1"/>
  <c r="D209" i="1"/>
  <c r="C209" i="1"/>
  <c r="I208" i="1"/>
  <c r="H208" i="1"/>
  <c r="G208" i="1"/>
  <c r="F208" i="1"/>
  <c r="E208" i="1"/>
  <c r="D208" i="1"/>
  <c r="C208" i="1"/>
  <c r="B214" i="1"/>
  <c r="B213" i="1"/>
  <c r="B212" i="1"/>
  <c r="B211" i="1"/>
  <c r="B210" i="1"/>
  <c r="B209" i="1"/>
  <c r="B208" i="1"/>
  <c r="G204" i="1"/>
  <c r="G203" i="1"/>
  <c r="G202" i="1"/>
  <c r="G201" i="1"/>
  <c r="G200" i="1"/>
  <c r="G199" i="1"/>
  <c r="G198" i="1"/>
  <c r="G197" i="1"/>
  <c r="G196" i="1"/>
  <c r="G195" i="1"/>
  <c r="D204" i="1"/>
  <c r="D203" i="1"/>
  <c r="D202" i="1"/>
  <c r="D201" i="1"/>
  <c r="D200" i="1"/>
  <c r="D199" i="1"/>
  <c r="D198" i="1"/>
  <c r="D197" i="1"/>
  <c r="D196" i="1"/>
  <c r="D195" i="1"/>
  <c r="G157" i="1"/>
  <c r="G156" i="1"/>
  <c r="G155" i="1"/>
  <c r="G154" i="1"/>
  <c r="G153" i="1"/>
  <c r="G152" i="1"/>
  <c r="G166" i="1"/>
  <c r="G165" i="1"/>
  <c r="G164" i="1"/>
  <c r="G163" i="1"/>
  <c r="G162" i="1"/>
  <c r="G161" i="1"/>
  <c r="D166" i="1"/>
  <c r="D165" i="1"/>
  <c r="D164" i="1"/>
  <c r="D163" i="1"/>
  <c r="D162" i="1"/>
  <c r="D161" i="1"/>
  <c r="D157" i="1"/>
  <c r="D156" i="1"/>
  <c r="D155" i="1"/>
  <c r="D154" i="1"/>
  <c r="D153" i="1"/>
  <c r="D152" i="1"/>
  <c r="D136" i="1"/>
  <c r="G136" i="1"/>
  <c r="D135" i="1"/>
  <c r="G135" i="1"/>
  <c r="D134" i="1"/>
  <c r="G134" i="1"/>
  <c r="D133" i="1"/>
  <c r="G133" i="1"/>
  <c r="D132" i="1"/>
  <c r="G132" i="1"/>
  <c r="D130" i="1"/>
  <c r="D129" i="1"/>
  <c r="D128" i="1" s="1"/>
  <c r="D127" i="1" s="1"/>
  <c r="D383" i="1" l="1"/>
  <c r="D371" i="1"/>
  <c r="D385" i="1"/>
  <c r="G373" i="1"/>
  <c r="G387" i="1"/>
  <c r="G365" i="1"/>
  <c r="G379" i="1"/>
  <c r="D370" i="1"/>
  <c r="D384" i="1"/>
  <c r="D368" i="1"/>
  <c r="D382" i="1"/>
  <c r="G369" i="1"/>
  <c r="G383" i="1"/>
  <c r="G5331" i="4" l="1"/>
  <c r="G5330" i="4"/>
  <c r="G5329" i="4"/>
  <c r="G5328" i="4"/>
  <c r="G5327" i="4"/>
  <c r="G5326" i="4"/>
  <c r="G5325" i="4"/>
  <c r="G5324" i="4"/>
  <c r="G5323" i="4"/>
  <c r="G5322" i="4"/>
  <c r="G5321" i="4"/>
  <c r="G5320" i="4"/>
  <c r="G5319" i="4"/>
  <c r="G5318" i="4"/>
  <c r="G5317" i="4"/>
  <c r="G5316" i="4"/>
  <c r="G5315" i="4"/>
  <c r="G5314" i="4"/>
  <c r="G5313" i="4"/>
  <c r="G5312" i="4"/>
  <c r="G5311" i="4"/>
  <c r="G5310" i="4"/>
  <c r="G5309" i="4"/>
  <c r="G5308" i="4"/>
  <c r="G5307" i="4"/>
  <c r="G5306" i="4"/>
  <c r="G5305" i="4"/>
  <c r="G5304" i="4"/>
  <c r="G5303" i="4"/>
  <c r="G5302" i="4"/>
  <c r="G5301" i="4"/>
  <c r="G5300" i="4"/>
  <c r="G5299" i="4"/>
  <c r="G5298" i="4"/>
  <c r="G5297" i="4"/>
  <c r="G5296" i="4"/>
  <c r="G5295" i="4"/>
  <c r="G5294" i="4"/>
  <c r="G5293" i="4"/>
  <c r="G5292" i="4"/>
  <c r="G5291" i="4"/>
  <c r="G5290" i="4"/>
  <c r="G5289" i="4"/>
  <c r="G5288" i="4"/>
  <c r="G5287" i="4"/>
  <c r="G5286" i="4"/>
  <c r="G5285" i="4"/>
  <c r="G5284" i="4"/>
  <c r="G5283" i="4"/>
  <c r="G5282" i="4"/>
  <c r="G5281" i="4"/>
  <c r="G5280" i="4"/>
  <c r="G5279" i="4"/>
  <c r="G5278" i="4"/>
  <c r="G5277" i="4"/>
  <c r="G5276" i="4"/>
  <c r="G5275" i="4"/>
  <c r="G5274" i="4"/>
  <c r="G5273" i="4"/>
  <c r="G5272" i="4"/>
  <c r="G5271" i="4"/>
  <c r="G5270" i="4"/>
  <c r="G5269" i="4"/>
  <c r="G5268" i="4"/>
  <c r="G5267" i="4"/>
  <c r="G5266" i="4"/>
  <c r="G5265" i="4"/>
  <c r="G5264" i="4"/>
  <c r="G5263" i="4"/>
  <c r="G5262" i="4"/>
  <c r="G5261" i="4"/>
  <c r="G5260" i="4"/>
  <c r="G5259" i="4"/>
  <c r="G5258" i="4"/>
  <c r="G5257" i="4"/>
  <c r="G5256" i="4"/>
  <c r="G5255" i="4"/>
  <c r="G5254" i="4"/>
  <c r="G5253" i="4"/>
  <c r="G5252" i="4"/>
  <c r="G5251" i="4"/>
  <c r="G5250" i="4"/>
  <c r="G5249" i="4"/>
  <c r="G5248" i="4"/>
  <c r="G5247" i="4"/>
  <c r="G5246" i="4"/>
  <c r="G5245" i="4"/>
  <c r="G5244" i="4"/>
  <c r="G5243" i="4"/>
  <c r="G5242" i="4"/>
  <c r="G5241" i="4"/>
  <c r="G5240" i="4"/>
  <c r="G5239" i="4"/>
  <c r="G5238" i="4"/>
  <c r="G5237" i="4"/>
  <c r="G5236" i="4"/>
  <c r="G5235" i="4"/>
  <c r="G5234" i="4"/>
  <c r="G5233" i="4"/>
  <c r="G5232" i="4"/>
  <c r="G5231" i="4"/>
  <c r="G5230" i="4"/>
  <c r="G5229" i="4"/>
  <c r="G5228" i="4"/>
  <c r="G5227" i="4"/>
  <c r="G5226" i="4"/>
  <c r="G5225" i="4"/>
  <c r="G5224" i="4"/>
  <c r="G5223" i="4"/>
  <c r="G5222" i="4"/>
  <c r="G5221" i="4"/>
  <c r="G5220" i="4"/>
  <c r="G5219" i="4"/>
  <c r="G5218" i="4"/>
  <c r="G5217" i="4"/>
  <c r="G5216" i="4"/>
  <c r="G5215" i="4"/>
  <c r="G5214" i="4"/>
  <c r="G5213" i="4"/>
  <c r="G5212" i="4"/>
  <c r="G5211" i="4"/>
  <c r="G5210" i="4"/>
  <c r="G5209" i="4"/>
  <c r="G5208" i="4"/>
  <c r="G5207" i="4"/>
  <c r="G5206" i="4"/>
  <c r="G5205" i="4"/>
  <c r="G5204" i="4"/>
  <c r="G5203" i="4"/>
  <c r="G5202" i="4"/>
  <c r="G5201" i="4"/>
  <c r="G5200" i="4"/>
  <c r="G5199" i="4"/>
  <c r="G5198" i="4"/>
  <c r="G5197" i="4"/>
  <c r="G5196" i="4"/>
  <c r="G5195" i="4"/>
  <c r="G5194" i="4"/>
  <c r="G5193" i="4"/>
  <c r="G5192" i="4"/>
  <c r="G5191" i="4"/>
  <c r="G5190" i="4"/>
  <c r="G5189" i="4"/>
  <c r="G5188" i="4"/>
  <c r="G5187" i="4"/>
  <c r="G5186" i="4"/>
  <c r="G5185" i="4"/>
  <c r="G5184" i="4"/>
  <c r="G5183" i="4"/>
  <c r="G5182" i="4"/>
  <c r="G5181" i="4"/>
  <c r="G5180" i="4"/>
  <c r="G5179" i="4"/>
  <c r="G5178" i="4"/>
  <c r="G5177" i="4"/>
  <c r="G5176" i="4"/>
  <c r="G5175" i="4"/>
  <c r="G5174" i="4"/>
  <c r="G5173" i="4"/>
  <c r="G5172" i="4"/>
  <c r="G5171" i="4"/>
  <c r="G5170" i="4"/>
  <c r="G5169" i="4"/>
  <c r="G5168" i="4"/>
  <c r="G5167" i="4"/>
  <c r="G5166" i="4"/>
  <c r="G5165" i="4"/>
  <c r="G5164" i="4"/>
  <c r="G5163" i="4"/>
  <c r="G5162" i="4"/>
  <c r="G5161" i="4"/>
  <c r="G5160" i="4"/>
  <c r="G5159" i="4"/>
  <c r="G5158" i="4"/>
  <c r="G5157" i="4"/>
  <c r="G5156" i="4"/>
  <c r="G5155" i="4"/>
  <c r="G5154" i="4"/>
  <c r="G5153" i="4"/>
  <c r="G5152" i="4"/>
  <c r="G5151" i="4"/>
  <c r="G5150" i="4"/>
  <c r="G5149" i="4"/>
  <c r="G5148" i="4"/>
  <c r="G5147" i="4"/>
  <c r="G5146" i="4"/>
  <c r="G5145" i="4"/>
  <c r="G5144" i="4"/>
  <c r="G5143" i="4"/>
  <c r="G5142" i="4"/>
  <c r="G5141" i="4"/>
  <c r="G5140" i="4"/>
  <c r="G5139" i="4"/>
  <c r="G5138" i="4"/>
  <c r="G5137" i="4"/>
  <c r="G5136" i="4"/>
  <c r="G5135" i="4"/>
  <c r="G5134" i="4"/>
  <c r="G5133" i="4"/>
  <c r="G5132" i="4"/>
  <c r="G5131" i="4"/>
  <c r="G5130" i="4"/>
  <c r="G5129" i="4"/>
  <c r="G5128" i="4"/>
  <c r="G5127" i="4"/>
  <c r="G5126" i="4"/>
  <c r="G5125" i="4"/>
  <c r="G5124" i="4"/>
  <c r="G5123" i="4"/>
  <c r="G5122" i="4"/>
  <c r="G5121" i="4"/>
  <c r="G5120" i="4"/>
  <c r="G5119" i="4"/>
  <c r="G5118" i="4"/>
  <c r="G5117" i="4"/>
  <c r="G5116" i="4"/>
  <c r="G5115" i="4"/>
  <c r="G5114" i="4"/>
  <c r="G5113" i="4"/>
  <c r="G5112" i="4"/>
  <c r="G5111" i="4"/>
  <c r="G5110" i="4"/>
  <c r="G5109" i="4"/>
  <c r="G5108" i="4"/>
  <c r="G5107" i="4"/>
  <c r="G5106" i="4"/>
  <c r="G5105" i="4"/>
  <c r="G5104" i="4"/>
  <c r="G5103" i="4"/>
  <c r="G5102" i="4"/>
  <c r="G5101" i="4"/>
  <c r="G5100" i="4"/>
  <c r="G5099" i="4"/>
  <c r="G5098" i="4"/>
  <c r="G5097" i="4"/>
  <c r="G5096" i="4"/>
  <c r="G5095" i="4"/>
  <c r="G5094" i="4"/>
  <c r="G5093" i="4"/>
  <c r="G5092" i="4"/>
  <c r="G5091" i="4"/>
  <c r="G5090" i="4"/>
  <c r="G5089" i="4"/>
  <c r="G5088" i="4"/>
  <c r="G5087" i="4"/>
  <c r="G5086" i="4"/>
  <c r="G5085" i="4"/>
  <c r="G5084" i="4"/>
  <c r="G5083" i="4"/>
  <c r="G5082" i="4"/>
  <c r="G5081" i="4"/>
  <c r="G5080" i="4"/>
  <c r="G5079" i="4"/>
  <c r="G5078" i="4"/>
  <c r="G5077" i="4"/>
  <c r="G5076" i="4"/>
  <c r="G5075" i="4"/>
  <c r="G5074" i="4"/>
  <c r="G5073" i="4"/>
  <c r="G5072" i="4"/>
  <c r="G5071" i="4"/>
  <c r="G5070" i="4"/>
  <c r="G5069" i="4"/>
  <c r="G5068" i="4"/>
  <c r="G5067" i="4"/>
  <c r="G5066" i="4"/>
  <c r="G5065" i="4"/>
  <c r="G5064" i="4"/>
  <c r="G5063" i="4"/>
  <c r="G5062" i="4"/>
  <c r="G5061" i="4"/>
  <c r="G5060" i="4"/>
  <c r="G5059" i="4"/>
  <c r="G5058" i="4"/>
  <c r="G5057" i="4"/>
  <c r="G5056" i="4"/>
  <c r="G5055" i="4"/>
  <c r="G5054" i="4"/>
  <c r="G5053" i="4"/>
  <c r="G5052" i="4"/>
  <c r="G5051" i="4"/>
  <c r="G5050" i="4"/>
  <c r="G5049" i="4"/>
  <c r="G5048" i="4"/>
  <c r="G5047" i="4"/>
  <c r="G5046" i="4"/>
  <c r="G5045" i="4"/>
  <c r="G5044" i="4"/>
  <c r="G5043" i="4"/>
  <c r="G5042" i="4"/>
  <c r="G5041" i="4"/>
  <c r="G5040" i="4"/>
  <c r="G5039" i="4"/>
  <c r="G5038" i="4"/>
  <c r="G5037" i="4"/>
  <c r="G5036" i="4"/>
  <c r="G5035" i="4"/>
  <c r="G5034" i="4"/>
  <c r="G5033" i="4"/>
  <c r="G5032" i="4"/>
  <c r="G5031" i="4"/>
  <c r="G5030" i="4"/>
  <c r="G5029" i="4"/>
  <c r="G5028" i="4"/>
  <c r="G5027" i="4"/>
  <c r="G5026" i="4"/>
  <c r="G5025" i="4"/>
  <c r="G5024" i="4"/>
  <c r="G5023" i="4"/>
  <c r="G5022" i="4"/>
  <c r="G5021" i="4"/>
  <c r="G5020" i="4"/>
  <c r="G5019" i="4"/>
  <c r="G5018" i="4"/>
  <c r="G5017" i="4"/>
  <c r="G5016" i="4"/>
  <c r="G5015" i="4"/>
  <c r="G5014" i="4"/>
  <c r="G5013" i="4"/>
  <c r="G5012" i="4"/>
  <c r="G5011" i="4"/>
  <c r="G5010" i="4"/>
  <c r="G5009" i="4"/>
  <c r="G5008" i="4"/>
  <c r="G5007" i="4"/>
  <c r="G5006" i="4"/>
  <c r="G5005" i="4"/>
  <c r="G5004" i="4"/>
  <c r="G5003" i="4"/>
  <c r="G5002" i="4"/>
  <c r="G5001" i="4"/>
  <c r="G5000" i="4"/>
  <c r="G4999" i="4"/>
  <c r="G4998" i="4"/>
  <c r="G4997" i="4"/>
  <c r="G4996" i="4"/>
  <c r="G4995" i="4"/>
  <c r="G4994" i="4"/>
  <c r="G4993" i="4"/>
  <c r="G4992" i="4"/>
  <c r="G4991" i="4"/>
  <c r="G4990" i="4"/>
  <c r="G4989" i="4"/>
  <c r="G4988" i="4"/>
  <c r="G4987" i="4"/>
  <c r="G4986" i="4"/>
  <c r="G4985" i="4"/>
  <c r="G4984" i="4"/>
  <c r="G4983" i="4"/>
  <c r="G4982" i="4"/>
  <c r="G4981" i="4"/>
  <c r="G4980" i="4"/>
  <c r="G4979" i="4"/>
  <c r="G4978" i="4"/>
  <c r="G4977" i="4"/>
  <c r="G4976" i="4"/>
  <c r="G4975" i="4"/>
  <c r="G4974" i="4"/>
  <c r="G4973" i="4"/>
  <c r="G4972" i="4"/>
  <c r="G4971" i="4"/>
  <c r="G4970" i="4"/>
  <c r="G4969" i="4"/>
  <c r="G4968" i="4"/>
  <c r="G4967" i="4"/>
  <c r="G4966" i="4"/>
  <c r="G4965" i="4"/>
  <c r="G4964" i="4"/>
  <c r="G4963" i="4"/>
  <c r="G4962" i="4"/>
  <c r="G4961" i="4"/>
  <c r="G4960" i="4"/>
  <c r="G4959" i="4"/>
  <c r="G4958" i="4"/>
  <c r="G4957" i="4"/>
  <c r="G4956" i="4"/>
  <c r="G4955" i="4"/>
  <c r="G4954" i="4"/>
  <c r="G4953" i="4"/>
  <c r="G4952" i="4"/>
  <c r="G4951" i="4"/>
  <c r="G4950" i="4"/>
  <c r="G4949" i="4"/>
  <c r="G4948" i="4"/>
  <c r="G4947" i="4"/>
  <c r="G4946" i="4"/>
  <c r="G4945" i="4"/>
  <c r="G4944" i="4"/>
  <c r="G4943" i="4"/>
  <c r="G4942" i="4"/>
  <c r="G4941" i="4"/>
  <c r="G4940" i="4"/>
  <c r="G4939" i="4"/>
  <c r="G4938" i="4"/>
  <c r="G4937" i="4"/>
  <c r="G4936" i="4"/>
  <c r="G4935" i="4"/>
  <c r="G4934" i="4"/>
  <c r="G4933" i="4"/>
  <c r="G4932" i="4"/>
  <c r="G4931" i="4"/>
  <c r="G4930" i="4"/>
  <c r="G4929" i="4"/>
  <c r="G4928" i="4"/>
  <c r="G4927" i="4"/>
  <c r="G4926" i="4"/>
  <c r="G4925" i="4"/>
  <c r="G4924" i="4"/>
  <c r="G4923" i="4"/>
  <c r="G4922" i="4"/>
  <c r="G4921" i="4"/>
  <c r="G4920" i="4"/>
  <c r="G4919" i="4"/>
  <c r="G4918" i="4"/>
  <c r="G4917" i="4"/>
  <c r="G4916" i="4"/>
  <c r="G4915" i="4"/>
  <c r="G4914" i="4"/>
  <c r="G4913" i="4"/>
  <c r="G4912" i="4"/>
  <c r="G4911" i="4"/>
  <c r="G4910" i="4"/>
  <c r="G4909" i="4"/>
  <c r="G4908" i="4"/>
  <c r="G4907" i="4"/>
  <c r="G4906" i="4"/>
  <c r="G4905" i="4"/>
  <c r="G4904" i="4"/>
  <c r="G4903" i="4"/>
  <c r="G4902" i="4"/>
  <c r="G4901" i="4"/>
  <c r="G4900" i="4"/>
  <c r="G4899" i="4"/>
  <c r="G4898" i="4"/>
  <c r="G4897" i="4"/>
  <c r="G4896" i="4"/>
  <c r="G4895" i="4"/>
  <c r="G4894" i="4"/>
  <c r="G4893" i="4"/>
  <c r="G4892" i="4"/>
  <c r="G4891" i="4"/>
  <c r="G4890" i="4"/>
  <c r="G4889" i="4"/>
  <c r="G4888" i="4"/>
  <c r="G4887" i="4"/>
  <c r="G4886" i="4"/>
  <c r="G4885" i="4"/>
  <c r="G4884" i="4"/>
  <c r="G4883" i="4"/>
  <c r="G4882" i="4"/>
  <c r="G4881" i="4"/>
  <c r="G4880" i="4"/>
  <c r="G4879" i="4"/>
  <c r="G4878" i="4"/>
  <c r="G4877" i="4"/>
  <c r="G4876" i="4"/>
  <c r="G4875" i="4"/>
  <c r="G4874" i="4"/>
  <c r="G4873" i="4"/>
  <c r="G4872" i="4"/>
  <c r="G4871" i="4"/>
  <c r="G4870" i="4"/>
  <c r="G4869" i="4"/>
  <c r="G4868" i="4"/>
  <c r="G4867" i="4"/>
  <c r="G4866" i="4"/>
  <c r="G4865" i="4"/>
  <c r="G4864" i="4"/>
  <c r="G4863" i="4"/>
  <c r="G4862" i="4"/>
  <c r="G4861" i="4"/>
  <c r="G4860" i="4"/>
  <c r="G4859" i="4"/>
  <c r="G4858" i="4"/>
  <c r="G4857" i="4"/>
  <c r="G4856" i="4"/>
  <c r="G4855" i="4"/>
  <c r="G4854" i="4"/>
  <c r="G4853" i="4"/>
  <c r="G4852" i="4"/>
  <c r="G4851" i="4"/>
  <c r="G4850" i="4"/>
  <c r="G4849" i="4"/>
  <c r="G4848" i="4"/>
  <c r="G4847" i="4"/>
  <c r="G4846" i="4"/>
  <c r="G4845" i="4"/>
  <c r="G4844" i="4"/>
  <c r="G4843" i="4"/>
  <c r="G4842" i="4"/>
  <c r="G4841" i="4"/>
  <c r="G4840" i="4"/>
  <c r="G4839" i="4"/>
  <c r="G4838" i="4"/>
  <c r="G4837" i="4"/>
  <c r="G4836" i="4"/>
  <c r="G4835" i="4"/>
  <c r="G4834" i="4"/>
  <c r="G4833" i="4"/>
  <c r="G4832" i="4"/>
  <c r="G4831" i="4"/>
  <c r="G4830" i="4"/>
  <c r="G4829" i="4"/>
  <c r="G4828" i="4"/>
  <c r="G4827" i="4"/>
  <c r="G4826" i="4"/>
  <c r="G4825" i="4"/>
  <c r="G4824" i="4"/>
  <c r="G4823" i="4"/>
  <c r="G4822" i="4"/>
  <c r="G4821" i="4"/>
  <c r="G4820" i="4"/>
  <c r="G4819" i="4"/>
  <c r="G4818" i="4"/>
  <c r="G4817" i="4"/>
  <c r="G4816" i="4"/>
  <c r="G4815" i="4"/>
  <c r="G4814" i="4"/>
  <c r="G4813" i="4"/>
  <c r="G4812" i="4"/>
  <c r="G4811" i="4"/>
  <c r="G4810" i="4"/>
  <c r="G4809" i="4"/>
  <c r="G4808" i="4"/>
  <c r="G4807" i="4"/>
  <c r="G4806" i="4"/>
  <c r="G4805" i="4"/>
  <c r="G4804" i="4"/>
  <c r="G4803" i="4"/>
  <c r="G4802" i="4"/>
  <c r="G4801" i="4"/>
  <c r="G4800" i="4"/>
  <c r="G4799" i="4"/>
  <c r="G4798" i="4"/>
  <c r="G4797" i="4"/>
  <c r="G4796" i="4"/>
  <c r="G4795" i="4"/>
  <c r="G4794" i="4"/>
  <c r="G4793" i="4"/>
  <c r="G4792" i="4"/>
  <c r="G4791" i="4"/>
  <c r="G4790" i="4"/>
  <c r="G4789" i="4"/>
  <c r="G4788" i="4"/>
  <c r="G4787" i="4"/>
  <c r="G4786" i="4"/>
  <c r="G4785" i="4"/>
  <c r="G4784" i="4"/>
  <c r="G4783" i="4"/>
  <c r="G4782" i="4"/>
  <c r="G4781" i="4"/>
  <c r="G4780" i="4"/>
  <c r="G4779" i="4"/>
  <c r="G4778" i="4"/>
  <c r="G4777" i="4"/>
  <c r="G4776" i="4"/>
  <c r="G4775" i="4"/>
  <c r="G4774" i="4"/>
  <c r="G4773" i="4"/>
  <c r="G4772" i="4"/>
  <c r="G4771" i="4"/>
  <c r="G4770" i="4"/>
  <c r="G4769" i="4"/>
  <c r="G4768" i="4"/>
  <c r="G4767" i="4"/>
  <c r="G4766" i="4"/>
  <c r="G4765" i="4"/>
  <c r="G4764" i="4"/>
  <c r="G4763" i="4"/>
  <c r="G4762" i="4"/>
  <c r="G4761" i="4"/>
  <c r="G4760" i="4"/>
  <c r="G4759" i="4"/>
  <c r="G4758" i="4"/>
  <c r="G4757" i="4"/>
  <c r="G4756" i="4"/>
  <c r="G4755" i="4"/>
  <c r="G4754" i="4"/>
  <c r="G4753" i="4"/>
  <c r="G4752" i="4"/>
  <c r="G4751" i="4"/>
  <c r="G4750" i="4"/>
  <c r="G4749" i="4"/>
  <c r="G4748" i="4"/>
  <c r="G4747" i="4"/>
  <c r="G4746" i="4"/>
  <c r="G4745" i="4"/>
  <c r="G4744" i="4"/>
  <c r="G4743" i="4"/>
  <c r="G4742" i="4"/>
  <c r="G4741" i="4"/>
  <c r="G4740" i="4"/>
  <c r="G4739" i="4"/>
  <c r="G4738" i="4"/>
  <c r="G4737" i="4"/>
  <c r="G4736" i="4"/>
  <c r="G4735" i="4"/>
  <c r="G4734" i="4"/>
  <c r="G4733" i="4"/>
  <c r="G4732" i="4"/>
  <c r="G4731" i="4"/>
  <c r="G4730" i="4"/>
  <c r="G4729" i="4"/>
  <c r="G4728" i="4"/>
  <c r="G4727" i="4"/>
  <c r="G4726" i="4"/>
  <c r="G4725" i="4"/>
  <c r="G4724" i="4"/>
  <c r="G4723" i="4"/>
  <c r="G4722" i="4"/>
  <c r="G4721" i="4"/>
  <c r="G4720" i="4"/>
  <c r="G4719" i="4"/>
  <c r="G4718" i="4"/>
  <c r="G4717" i="4"/>
  <c r="G4716" i="4"/>
  <c r="G4715" i="4"/>
  <c r="G4714" i="4"/>
  <c r="G4713" i="4"/>
  <c r="G4712" i="4"/>
  <c r="G4711" i="4"/>
  <c r="G4710" i="4"/>
  <c r="G4709" i="4"/>
  <c r="G4708" i="4"/>
  <c r="G4707" i="4"/>
  <c r="G4706" i="4"/>
  <c r="G4705" i="4"/>
  <c r="G4704" i="4"/>
  <c r="G4703" i="4"/>
  <c r="G4702" i="4"/>
  <c r="G4701" i="4"/>
  <c r="G4700" i="4"/>
  <c r="G4699" i="4"/>
  <c r="G4698" i="4"/>
  <c r="G4697" i="4"/>
  <c r="G4696" i="4"/>
  <c r="G4695" i="4"/>
  <c r="G4694" i="4"/>
  <c r="G4693" i="4"/>
  <c r="G4692" i="4"/>
  <c r="G4691" i="4"/>
  <c r="G4690" i="4"/>
  <c r="G4689" i="4"/>
  <c r="G4688" i="4"/>
  <c r="G4687" i="4"/>
  <c r="G4686" i="4"/>
  <c r="G4685" i="4"/>
  <c r="G4684" i="4"/>
  <c r="G4683" i="4"/>
  <c r="G4682" i="4"/>
  <c r="G4681" i="4"/>
  <c r="G4680" i="4"/>
  <c r="G4679" i="4"/>
  <c r="G4678" i="4"/>
  <c r="G4677" i="4"/>
  <c r="G4676" i="4"/>
  <c r="G4675" i="4"/>
  <c r="G4674" i="4"/>
  <c r="G4673" i="4"/>
  <c r="G4672" i="4"/>
  <c r="G4671" i="4"/>
  <c r="G4670" i="4"/>
  <c r="G4669" i="4"/>
  <c r="G4668" i="4"/>
  <c r="G4667" i="4"/>
  <c r="G4666" i="4"/>
  <c r="G4665" i="4"/>
  <c r="G4664" i="4"/>
  <c r="G4663" i="4"/>
  <c r="G4662" i="4"/>
  <c r="G4661" i="4"/>
  <c r="G4660" i="4"/>
  <c r="G4659" i="4"/>
  <c r="G4658" i="4"/>
  <c r="G4657" i="4"/>
  <c r="G4656" i="4"/>
  <c r="G4655" i="4"/>
  <c r="G4654" i="4"/>
  <c r="G4653" i="4"/>
  <c r="G4652" i="4"/>
  <c r="G4651" i="4"/>
  <c r="G4650" i="4"/>
  <c r="G4649" i="4"/>
  <c r="G4648" i="4"/>
  <c r="G4647" i="4"/>
  <c r="G4646" i="4"/>
  <c r="G4645" i="4"/>
  <c r="G4644" i="4"/>
  <c r="G4643" i="4"/>
  <c r="G4642" i="4"/>
  <c r="G4641" i="4"/>
  <c r="G4640" i="4"/>
  <c r="G4639" i="4"/>
  <c r="G4638" i="4"/>
  <c r="G4637" i="4"/>
  <c r="G4636" i="4"/>
  <c r="G4635" i="4"/>
  <c r="G4634" i="4"/>
  <c r="G4633" i="4"/>
  <c r="G4632" i="4"/>
  <c r="G4631" i="4"/>
  <c r="G4630" i="4"/>
  <c r="G4629" i="4"/>
  <c r="G4628" i="4"/>
  <c r="G4627" i="4"/>
  <c r="G4626" i="4"/>
  <c r="G4625" i="4"/>
  <c r="G4624" i="4"/>
  <c r="G4623" i="4"/>
  <c r="G4622" i="4"/>
  <c r="G4621" i="4"/>
  <c r="G4620" i="4"/>
  <c r="G4619" i="4"/>
  <c r="G4618" i="4"/>
  <c r="G4617" i="4"/>
  <c r="G4616" i="4"/>
  <c r="G4615" i="4"/>
  <c r="G4614" i="4"/>
  <c r="G4613" i="4"/>
  <c r="G4612" i="4"/>
  <c r="G4611" i="4"/>
  <c r="G4610" i="4"/>
  <c r="G4609" i="4"/>
  <c r="G4608" i="4"/>
  <c r="G4607" i="4"/>
  <c r="G4606" i="4"/>
  <c r="G4605" i="4"/>
  <c r="G4604" i="4"/>
  <c r="G4603" i="4"/>
  <c r="G4602" i="4"/>
  <c r="G4601" i="4"/>
  <c r="G4600" i="4"/>
  <c r="G4599" i="4"/>
  <c r="G4598" i="4"/>
  <c r="G4597" i="4"/>
  <c r="G4596" i="4"/>
  <c r="G4595" i="4"/>
  <c r="G4594" i="4"/>
  <c r="G4593" i="4"/>
  <c r="G4592" i="4"/>
  <c r="G4591" i="4"/>
  <c r="G4590" i="4"/>
  <c r="G4589" i="4"/>
  <c r="G4588" i="4"/>
  <c r="G4587" i="4"/>
  <c r="G4586" i="4"/>
  <c r="G4585" i="4"/>
  <c r="G4584" i="4"/>
  <c r="G4583" i="4"/>
  <c r="G4582" i="4"/>
  <c r="G4581" i="4"/>
  <c r="G4580" i="4"/>
  <c r="G4579" i="4"/>
  <c r="G4578" i="4"/>
  <c r="G4577" i="4"/>
  <c r="G4576" i="4"/>
  <c r="G4575" i="4"/>
  <c r="G4574" i="4"/>
  <c r="G4573" i="4"/>
  <c r="G4572" i="4"/>
  <c r="G4571" i="4"/>
  <c r="G4570" i="4"/>
  <c r="G4569" i="4"/>
  <c r="G4568" i="4"/>
  <c r="G4567" i="4"/>
  <c r="G4566" i="4"/>
  <c r="G4565" i="4"/>
  <c r="G4564" i="4"/>
  <c r="G4563" i="4"/>
  <c r="G4562" i="4"/>
  <c r="G4561" i="4"/>
  <c r="G4560" i="4"/>
  <c r="G4559" i="4"/>
  <c r="G4558" i="4"/>
  <c r="G4557" i="4"/>
  <c r="G4556" i="4"/>
  <c r="G4555" i="4"/>
  <c r="G4554" i="4"/>
  <c r="G4553" i="4"/>
  <c r="G4552" i="4"/>
  <c r="G4551" i="4"/>
  <c r="G4550" i="4"/>
  <c r="G4549" i="4"/>
  <c r="G4548" i="4"/>
  <c r="G4547" i="4"/>
  <c r="G4546" i="4"/>
  <c r="G4545" i="4"/>
  <c r="G4544" i="4"/>
  <c r="G4543" i="4"/>
  <c r="G4542" i="4"/>
  <c r="G4541" i="4"/>
  <c r="G4540" i="4"/>
  <c r="G4539" i="4"/>
  <c r="G4538" i="4"/>
  <c r="G4537" i="4"/>
  <c r="G4536" i="4"/>
  <c r="G4535" i="4"/>
  <c r="G4534" i="4"/>
  <c r="G4533" i="4"/>
  <c r="G4532" i="4"/>
  <c r="G4531" i="4"/>
  <c r="G4530" i="4"/>
  <c r="G4529" i="4"/>
  <c r="G4528" i="4"/>
  <c r="G4527" i="4"/>
  <c r="G4526" i="4"/>
  <c r="G4525" i="4"/>
  <c r="G4524" i="4"/>
  <c r="G4523" i="4"/>
  <c r="G4522" i="4"/>
  <c r="G4521" i="4"/>
  <c r="G4520" i="4"/>
  <c r="G4519" i="4"/>
  <c r="G4518" i="4"/>
  <c r="G4517" i="4"/>
  <c r="G4516" i="4"/>
  <c r="G4515" i="4"/>
  <c r="G4514" i="4"/>
  <c r="G4513" i="4"/>
  <c r="G4512" i="4"/>
  <c r="G4511" i="4"/>
  <c r="G4510" i="4"/>
  <c r="G4509" i="4"/>
  <c r="G4508" i="4"/>
  <c r="G4507" i="4"/>
  <c r="G4506" i="4"/>
  <c r="G4505" i="4"/>
  <c r="G4504" i="4"/>
  <c r="G4503" i="4"/>
  <c r="G4502" i="4"/>
  <c r="G4501" i="4"/>
  <c r="G4500" i="4"/>
  <c r="G4499" i="4"/>
  <c r="G4498" i="4"/>
  <c r="G4497" i="4"/>
  <c r="G4496" i="4"/>
  <c r="G4495" i="4"/>
  <c r="G4494" i="4"/>
  <c r="G4493" i="4"/>
  <c r="G4492" i="4"/>
  <c r="G4491" i="4"/>
  <c r="G4490" i="4"/>
  <c r="G4489" i="4"/>
  <c r="G4488" i="4"/>
  <c r="G4487" i="4"/>
  <c r="G4486" i="4"/>
  <c r="G4485" i="4"/>
  <c r="G4484" i="4"/>
  <c r="G4483" i="4"/>
  <c r="G4482" i="4"/>
  <c r="G4481" i="4"/>
  <c r="G4480" i="4"/>
  <c r="G4479" i="4"/>
  <c r="G4478" i="4"/>
  <c r="G4477" i="4"/>
  <c r="G4476" i="4"/>
  <c r="G4475" i="4"/>
  <c r="G4474" i="4"/>
  <c r="G4473" i="4"/>
  <c r="G4472" i="4"/>
  <c r="G4471" i="4"/>
  <c r="G4470" i="4"/>
  <c r="G4469" i="4"/>
  <c r="G4468" i="4"/>
  <c r="G4467" i="4"/>
  <c r="G4466" i="4"/>
  <c r="G4465" i="4"/>
  <c r="G4464" i="4"/>
  <c r="G4463" i="4"/>
  <c r="G4462" i="4"/>
  <c r="G4461" i="4"/>
  <c r="G4460" i="4"/>
  <c r="G4459" i="4"/>
  <c r="G4458" i="4"/>
  <c r="G4457" i="4"/>
  <c r="G4456" i="4"/>
  <c r="G4455" i="4"/>
  <c r="G4454" i="4"/>
  <c r="G4453" i="4"/>
  <c r="G4452" i="4"/>
  <c r="G4451" i="4"/>
  <c r="G4450" i="4"/>
  <c r="G4449" i="4"/>
  <c r="G4448" i="4"/>
  <c r="G4447" i="4"/>
  <c r="G4446" i="4"/>
  <c r="G4445" i="4"/>
  <c r="G4444" i="4"/>
  <c r="G4443" i="4"/>
  <c r="G4442" i="4"/>
  <c r="G4441" i="4"/>
  <c r="G4440" i="4"/>
  <c r="G4439" i="4"/>
  <c r="G4438" i="4"/>
  <c r="G4437" i="4"/>
  <c r="G4436" i="4"/>
  <c r="G4435" i="4"/>
  <c r="G4434" i="4"/>
  <c r="G4433" i="4"/>
  <c r="G4432" i="4"/>
  <c r="G4431" i="4"/>
  <c r="G4430" i="4"/>
  <c r="G4429" i="4"/>
  <c r="G4428" i="4"/>
  <c r="G4427" i="4"/>
  <c r="G4426" i="4"/>
  <c r="G4425" i="4"/>
  <c r="G4424" i="4"/>
  <c r="G4423" i="4"/>
  <c r="G4422" i="4"/>
  <c r="G4421" i="4"/>
  <c r="G4420" i="4"/>
  <c r="G4419" i="4"/>
  <c r="G4418" i="4"/>
  <c r="G4417" i="4"/>
  <c r="G4416" i="4"/>
  <c r="G4415" i="4"/>
  <c r="G4414" i="4"/>
  <c r="G4413" i="4"/>
  <c r="G4412" i="4"/>
  <c r="G4411" i="4"/>
  <c r="G4410" i="4"/>
  <c r="G4409" i="4"/>
  <c r="G4408" i="4"/>
  <c r="G4407" i="4"/>
  <c r="G4406" i="4"/>
  <c r="G4405" i="4"/>
  <c r="G4404" i="4"/>
  <c r="G4403" i="4"/>
  <c r="G4402" i="4"/>
  <c r="G4401" i="4"/>
  <c r="G4400" i="4"/>
  <c r="G4399" i="4"/>
  <c r="G4398" i="4"/>
  <c r="G4397" i="4"/>
  <c r="G4396" i="4"/>
  <c r="G4395" i="4"/>
  <c r="G4394" i="4"/>
  <c r="G4393" i="4"/>
  <c r="G4392" i="4"/>
  <c r="G4391" i="4"/>
  <c r="G4390" i="4"/>
  <c r="G4389" i="4"/>
  <c r="G4388" i="4"/>
  <c r="G4387" i="4"/>
  <c r="G4386" i="4"/>
  <c r="G4385" i="4"/>
  <c r="G4384" i="4"/>
  <c r="G4383" i="4"/>
  <c r="G4382" i="4"/>
  <c r="G4381" i="4"/>
  <c r="G4380" i="4"/>
  <c r="G4379" i="4"/>
  <c r="G4378" i="4"/>
  <c r="G4377" i="4"/>
  <c r="G4376" i="4"/>
  <c r="G4375" i="4"/>
  <c r="G4374" i="4"/>
  <c r="G4373" i="4"/>
  <c r="G4372" i="4"/>
  <c r="G4371" i="4"/>
  <c r="G4370" i="4"/>
  <c r="G4369" i="4"/>
  <c r="G4368" i="4"/>
  <c r="G4367" i="4"/>
  <c r="G4366" i="4"/>
  <c r="G4365" i="4"/>
  <c r="G4364" i="4"/>
  <c r="G4363" i="4"/>
  <c r="G4362" i="4"/>
  <c r="G4361" i="4"/>
  <c r="G4360" i="4"/>
  <c r="G4359" i="4"/>
  <c r="G4358" i="4"/>
  <c r="G4357" i="4"/>
  <c r="G4356" i="4"/>
  <c r="G4355" i="4"/>
  <c r="G4354" i="4"/>
  <c r="G4353" i="4"/>
  <c r="G4352" i="4"/>
  <c r="G4351" i="4"/>
  <c r="G4350" i="4"/>
  <c r="G4349" i="4"/>
  <c r="G4348" i="4"/>
  <c r="G4347" i="4"/>
  <c r="G4346" i="4"/>
  <c r="G4345" i="4"/>
  <c r="G4344" i="4"/>
  <c r="G4343" i="4"/>
  <c r="G4342" i="4"/>
  <c r="G4341" i="4"/>
  <c r="G4340" i="4"/>
  <c r="G4339" i="4"/>
  <c r="G4338" i="4"/>
  <c r="G4337" i="4"/>
  <c r="G4336" i="4"/>
  <c r="G4335" i="4"/>
  <c r="G4334" i="4"/>
  <c r="G4333" i="4"/>
  <c r="G4332" i="4"/>
  <c r="G4331" i="4"/>
  <c r="G4330" i="4"/>
  <c r="G4329" i="4"/>
  <c r="G4328" i="4"/>
  <c r="G4327" i="4"/>
  <c r="G4326" i="4"/>
  <c r="G4325" i="4"/>
  <c r="G4324" i="4"/>
  <c r="G4323" i="4"/>
  <c r="G4322" i="4"/>
  <c r="G4321" i="4"/>
  <c r="G4320" i="4"/>
  <c r="G4319" i="4"/>
  <c r="G4318" i="4"/>
  <c r="G4317" i="4"/>
  <c r="G4316" i="4"/>
  <c r="G4315" i="4"/>
  <c r="G4314" i="4"/>
  <c r="G4313" i="4"/>
  <c r="G4312" i="4"/>
  <c r="G4311" i="4"/>
  <c r="G4310" i="4"/>
  <c r="G4309" i="4"/>
  <c r="G4308" i="4"/>
  <c r="G4307" i="4"/>
  <c r="G4306" i="4"/>
  <c r="G4305" i="4"/>
  <c r="G4304" i="4"/>
  <c r="G4303" i="4"/>
  <c r="G4302" i="4"/>
  <c r="G4301" i="4"/>
  <c r="G4300" i="4"/>
  <c r="G4299" i="4"/>
  <c r="G4298" i="4"/>
  <c r="G4297" i="4"/>
  <c r="G4296" i="4"/>
  <c r="G4295" i="4"/>
  <c r="G4294" i="4"/>
  <c r="G4293" i="4"/>
  <c r="G4292" i="4"/>
  <c r="G4291" i="4"/>
  <c r="G4290" i="4"/>
  <c r="G4289" i="4"/>
  <c r="G4288" i="4"/>
  <c r="G4287" i="4"/>
  <c r="G4286" i="4"/>
  <c r="G4285" i="4"/>
  <c r="G4284" i="4"/>
  <c r="G4283" i="4"/>
  <c r="G4282" i="4"/>
  <c r="G4281" i="4"/>
  <c r="G4280" i="4"/>
  <c r="G4279" i="4"/>
  <c r="G4278" i="4"/>
  <c r="G4277" i="4"/>
  <c r="G4276" i="4"/>
  <c r="G4275" i="4"/>
  <c r="G4274" i="4"/>
  <c r="G4273" i="4"/>
  <c r="G4272" i="4"/>
  <c r="G4271" i="4"/>
  <c r="G4270" i="4"/>
  <c r="G4269" i="4"/>
  <c r="G4268" i="4"/>
  <c r="G4267" i="4"/>
  <c r="G4266" i="4"/>
  <c r="G4265" i="4"/>
  <c r="G4264" i="4"/>
  <c r="G4263" i="4"/>
  <c r="G4262" i="4"/>
  <c r="G4261" i="4"/>
  <c r="G4260" i="4"/>
  <c r="G4259" i="4"/>
  <c r="G4258" i="4"/>
  <c r="G4257" i="4"/>
  <c r="G4256" i="4"/>
  <c r="G4255" i="4"/>
  <c r="G4254" i="4"/>
  <c r="G4253" i="4"/>
  <c r="G4252" i="4"/>
  <c r="G4251" i="4"/>
  <c r="G4250" i="4"/>
  <c r="G4249" i="4"/>
  <c r="G4248" i="4"/>
  <c r="G4247" i="4"/>
  <c r="G4246" i="4"/>
  <c r="G4245" i="4"/>
  <c r="G4244" i="4"/>
  <c r="G4243" i="4"/>
  <c r="G4242" i="4"/>
  <c r="G4241" i="4"/>
  <c r="G4240" i="4"/>
  <c r="G4239" i="4"/>
  <c r="G4238" i="4"/>
  <c r="G4237" i="4"/>
  <c r="G4236" i="4"/>
  <c r="G4235" i="4"/>
  <c r="G4234" i="4"/>
  <c r="G4233" i="4"/>
  <c r="G4232" i="4"/>
  <c r="G4231" i="4"/>
  <c r="G4230" i="4"/>
  <c r="G4229" i="4"/>
  <c r="G4228" i="4"/>
  <c r="G4227" i="4"/>
  <c r="G4226" i="4"/>
  <c r="G4225" i="4"/>
  <c r="G4224" i="4"/>
  <c r="G4223" i="4"/>
  <c r="G4222" i="4"/>
  <c r="G4221" i="4"/>
  <c r="G4220" i="4"/>
  <c r="G4219" i="4"/>
  <c r="G4218" i="4"/>
  <c r="G4217" i="4"/>
  <c r="G4216" i="4"/>
  <c r="G4215" i="4"/>
  <c r="G4214" i="4"/>
  <c r="G4213" i="4"/>
  <c r="G4212" i="4"/>
  <c r="G4211" i="4"/>
  <c r="G4210" i="4"/>
  <c r="G4209" i="4"/>
  <c r="G4208" i="4"/>
  <c r="G4207" i="4"/>
  <c r="G4206" i="4"/>
  <c r="G4205" i="4"/>
  <c r="G4204" i="4"/>
  <c r="G4203" i="4"/>
  <c r="G4202" i="4"/>
  <c r="G4201" i="4"/>
  <c r="G4200" i="4"/>
  <c r="G4199" i="4"/>
  <c r="G4198" i="4"/>
  <c r="G4197" i="4"/>
  <c r="G4196" i="4"/>
  <c r="G4195" i="4"/>
  <c r="G4194" i="4"/>
  <c r="G4193" i="4"/>
  <c r="G4192" i="4"/>
  <c r="G4191" i="4"/>
  <c r="G4190" i="4"/>
  <c r="G4189" i="4"/>
  <c r="G4188" i="4"/>
  <c r="G4187" i="4"/>
  <c r="G4186" i="4"/>
  <c r="G4185" i="4"/>
  <c r="G4184" i="4"/>
  <c r="G4183" i="4"/>
  <c r="G4182" i="4"/>
  <c r="G4181" i="4"/>
  <c r="G4180" i="4"/>
  <c r="G4179" i="4"/>
  <c r="G4178" i="4"/>
  <c r="G4177" i="4"/>
  <c r="G4176" i="4"/>
  <c r="G4175" i="4"/>
  <c r="G4174" i="4"/>
  <c r="G4173" i="4"/>
  <c r="G4172" i="4"/>
  <c r="G4171" i="4"/>
  <c r="G4170" i="4"/>
  <c r="G4169" i="4"/>
  <c r="G4168" i="4"/>
  <c r="G4167" i="4"/>
  <c r="G4166" i="4"/>
  <c r="G4165" i="4"/>
  <c r="G4164" i="4"/>
  <c r="G4163" i="4"/>
  <c r="G4162" i="4"/>
  <c r="G4161" i="4"/>
  <c r="G4160" i="4"/>
  <c r="G4159" i="4"/>
  <c r="G4158" i="4"/>
  <c r="G4157" i="4"/>
  <c r="G4156" i="4"/>
  <c r="G4155" i="4"/>
  <c r="G4154" i="4"/>
  <c r="G4153" i="4"/>
  <c r="G4152" i="4"/>
  <c r="G4151" i="4"/>
  <c r="G4150" i="4"/>
  <c r="G4149" i="4"/>
  <c r="G4148" i="4"/>
  <c r="G4147" i="4"/>
  <c r="G4146" i="4"/>
  <c r="G4145" i="4"/>
  <c r="G4144" i="4"/>
  <c r="G4143" i="4"/>
  <c r="G4142" i="4"/>
  <c r="G4141" i="4"/>
  <c r="G4140" i="4"/>
  <c r="G4139" i="4"/>
  <c r="G4138" i="4"/>
  <c r="G4137" i="4"/>
  <c r="G4136" i="4"/>
  <c r="G4135" i="4"/>
  <c r="G4134" i="4"/>
  <c r="G4133" i="4"/>
  <c r="G4132" i="4"/>
  <c r="G4131" i="4"/>
  <c r="G4130" i="4"/>
  <c r="G4129" i="4"/>
  <c r="G4128" i="4"/>
  <c r="G4127" i="4"/>
  <c r="G4126" i="4"/>
  <c r="G4125" i="4"/>
  <c r="G4124" i="4"/>
  <c r="G4123" i="4"/>
  <c r="G4122" i="4"/>
  <c r="G4121" i="4"/>
  <c r="G4120" i="4"/>
  <c r="G4119" i="4"/>
  <c r="G4118" i="4"/>
  <c r="G4117" i="4"/>
  <c r="G4116" i="4"/>
  <c r="G4115" i="4"/>
  <c r="G4114" i="4"/>
  <c r="G4113" i="4"/>
  <c r="G4112" i="4"/>
  <c r="G4111" i="4"/>
  <c r="G4110" i="4"/>
  <c r="G4109" i="4"/>
  <c r="G4108" i="4"/>
  <c r="G4107" i="4"/>
  <c r="G4106" i="4"/>
  <c r="G4105" i="4"/>
  <c r="G4104" i="4"/>
  <c r="G4103" i="4"/>
  <c r="G4102" i="4"/>
  <c r="G4101" i="4"/>
  <c r="G4100" i="4"/>
  <c r="G4099" i="4"/>
  <c r="G4098" i="4"/>
  <c r="G4097" i="4"/>
  <c r="G4096" i="4"/>
  <c r="G4095" i="4"/>
  <c r="G4094" i="4"/>
  <c r="G4093" i="4"/>
  <c r="G4092" i="4"/>
  <c r="G4091" i="4"/>
  <c r="G4090" i="4"/>
  <c r="G4089" i="4"/>
  <c r="G4088" i="4"/>
  <c r="G4087" i="4"/>
  <c r="G4086" i="4"/>
  <c r="G4085" i="4"/>
  <c r="G4084" i="4"/>
  <c r="G4083" i="4"/>
  <c r="G4082" i="4"/>
  <c r="G4081" i="4"/>
  <c r="G4080" i="4"/>
  <c r="G4079" i="4"/>
  <c r="G4078" i="4"/>
  <c r="G4077" i="4"/>
  <c r="G4076" i="4"/>
  <c r="G4075" i="4"/>
  <c r="G4074" i="4"/>
  <c r="G4073" i="4"/>
  <c r="G4072" i="4"/>
  <c r="G4071" i="4"/>
  <c r="G4070" i="4"/>
  <c r="G4069" i="4"/>
  <c r="G4068" i="4"/>
  <c r="G4067" i="4"/>
  <c r="G4066" i="4"/>
  <c r="G4065" i="4"/>
  <c r="G4064" i="4"/>
  <c r="G4063" i="4"/>
  <c r="G4062" i="4"/>
  <c r="G4061" i="4"/>
  <c r="G4060" i="4"/>
  <c r="G4059" i="4"/>
  <c r="G4058" i="4"/>
  <c r="G4057" i="4"/>
  <c r="G4056" i="4"/>
  <c r="G4055" i="4"/>
  <c r="G4054" i="4"/>
  <c r="G4053" i="4"/>
  <c r="G4052" i="4"/>
  <c r="G4051" i="4"/>
  <c r="G4050" i="4"/>
  <c r="G4049" i="4"/>
  <c r="G4048" i="4"/>
  <c r="G4047" i="4"/>
  <c r="G4046" i="4"/>
  <c r="G4045" i="4"/>
  <c r="G4044" i="4"/>
  <c r="G4043" i="4"/>
  <c r="G4042" i="4"/>
  <c r="G4041" i="4"/>
  <c r="G4040" i="4"/>
  <c r="G4039" i="4"/>
  <c r="G4038" i="4"/>
  <c r="G4037" i="4"/>
  <c r="G4036" i="4"/>
  <c r="G4035" i="4"/>
  <c r="G4034" i="4"/>
  <c r="G4033" i="4"/>
  <c r="G4032" i="4"/>
  <c r="G4031" i="4"/>
  <c r="G4030" i="4"/>
  <c r="G4029" i="4"/>
  <c r="G4028" i="4"/>
  <c r="G4027" i="4"/>
  <c r="G4026" i="4"/>
  <c r="G4025" i="4"/>
  <c r="G4024" i="4"/>
  <c r="G4023" i="4"/>
  <c r="G4022" i="4"/>
  <c r="G4021" i="4"/>
  <c r="G4020" i="4"/>
  <c r="G4019" i="4"/>
  <c r="G4018" i="4"/>
  <c r="G4017" i="4"/>
  <c r="G4016" i="4"/>
  <c r="G4015" i="4"/>
  <c r="G4014" i="4"/>
  <c r="G4013" i="4"/>
  <c r="G4012" i="4"/>
  <c r="G4011" i="4"/>
  <c r="G4010" i="4"/>
  <c r="G4009" i="4"/>
  <c r="G4008" i="4"/>
  <c r="G4007" i="4"/>
  <c r="G4006" i="4"/>
  <c r="G4005" i="4"/>
  <c r="G4004" i="4"/>
  <c r="G4003" i="4"/>
  <c r="G4002" i="4"/>
  <c r="G4001" i="4"/>
  <c r="G4000" i="4"/>
  <c r="G3999" i="4"/>
  <c r="G3998" i="4"/>
  <c r="G3997" i="4"/>
  <c r="G3996" i="4"/>
  <c r="G3995" i="4"/>
  <c r="G3994" i="4"/>
  <c r="G3993" i="4"/>
  <c r="G3992" i="4"/>
  <c r="G3991" i="4"/>
  <c r="G3990" i="4"/>
  <c r="G3989" i="4"/>
  <c r="G3988" i="4"/>
  <c r="G3987" i="4"/>
  <c r="G3986" i="4"/>
  <c r="G3985" i="4"/>
  <c r="G3984" i="4"/>
  <c r="G3983" i="4"/>
  <c r="G3982" i="4"/>
  <c r="G3981" i="4"/>
  <c r="G3980" i="4"/>
  <c r="G3979" i="4"/>
  <c r="G3978" i="4"/>
  <c r="G3977" i="4"/>
  <c r="G3976" i="4"/>
  <c r="G3975" i="4"/>
  <c r="G3974" i="4"/>
  <c r="G3973" i="4"/>
  <c r="G3972" i="4"/>
  <c r="G3971" i="4"/>
  <c r="G3970" i="4"/>
  <c r="G3969" i="4"/>
  <c r="G3968" i="4"/>
  <c r="G3967" i="4"/>
  <c r="G3966" i="4"/>
  <c r="G3965" i="4"/>
  <c r="G3964" i="4"/>
  <c r="G3963" i="4"/>
  <c r="G3962" i="4"/>
  <c r="G3961" i="4"/>
  <c r="G3960" i="4"/>
  <c r="G3959" i="4"/>
  <c r="G3958" i="4"/>
  <c r="G3957" i="4"/>
  <c r="G3956" i="4"/>
  <c r="G3955" i="4"/>
  <c r="G3954" i="4"/>
  <c r="G3953" i="4"/>
  <c r="G3952" i="4"/>
  <c r="G3951" i="4"/>
  <c r="G3950" i="4"/>
  <c r="G3949" i="4"/>
  <c r="G3948" i="4"/>
  <c r="G3947" i="4"/>
  <c r="G3946" i="4"/>
  <c r="G3945" i="4"/>
  <c r="G3944" i="4"/>
  <c r="G3943" i="4"/>
  <c r="G3942" i="4"/>
  <c r="G3941" i="4"/>
  <c r="G3940" i="4"/>
  <c r="G3939" i="4"/>
  <c r="G3938" i="4"/>
  <c r="G3937" i="4"/>
  <c r="G3936" i="4"/>
  <c r="G3935" i="4"/>
  <c r="G3934" i="4"/>
  <c r="G3933" i="4"/>
  <c r="G3932" i="4"/>
  <c r="G3931" i="4"/>
  <c r="G3930" i="4"/>
  <c r="G3929" i="4"/>
  <c r="G3928" i="4"/>
  <c r="G3927" i="4"/>
  <c r="G3926" i="4"/>
  <c r="G3925" i="4"/>
  <c r="G3924" i="4"/>
  <c r="G3923" i="4"/>
  <c r="G3922" i="4"/>
  <c r="G3921" i="4"/>
  <c r="G3920" i="4"/>
  <c r="G3919" i="4"/>
  <c r="G3918" i="4"/>
  <c r="G3917" i="4"/>
  <c r="G3916" i="4"/>
  <c r="G3915" i="4"/>
  <c r="G3914" i="4"/>
  <c r="G3913" i="4"/>
  <c r="G3912" i="4"/>
  <c r="G3911" i="4"/>
  <c r="G3910" i="4"/>
  <c r="G3909" i="4"/>
  <c r="G3908" i="4"/>
  <c r="G3907" i="4"/>
  <c r="G3906" i="4"/>
  <c r="G3905" i="4"/>
  <c r="G3904" i="4"/>
  <c r="G3903" i="4"/>
  <c r="G3902" i="4"/>
  <c r="G3901" i="4"/>
  <c r="G3900" i="4"/>
  <c r="G3899" i="4"/>
  <c r="G3898" i="4"/>
  <c r="G3897" i="4"/>
  <c r="G3896" i="4"/>
  <c r="G3895" i="4"/>
  <c r="G3894" i="4"/>
  <c r="G3893" i="4"/>
  <c r="G3892" i="4"/>
  <c r="G3891" i="4"/>
  <c r="G3890" i="4"/>
  <c r="G3889" i="4"/>
  <c r="G3888" i="4"/>
  <c r="G3887" i="4"/>
  <c r="G3886" i="4"/>
  <c r="G3885" i="4"/>
  <c r="G3884" i="4"/>
  <c r="G3883" i="4"/>
  <c r="G3882" i="4"/>
  <c r="G3881" i="4"/>
  <c r="G3880" i="4"/>
  <c r="G3879" i="4"/>
  <c r="G3878" i="4"/>
  <c r="G3877" i="4"/>
  <c r="G3876" i="4"/>
  <c r="G3875" i="4"/>
  <c r="G3874" i="4"/>
  <c r="G3873" i="4"/>
  <c r="G3872" i="4"/>
  <c r="G3871" i="4"/>
  <c r="G3870" i="4"/>
  <c r="G3869" i="4"/>
  <c r="G3868" i="4"/>
  <c r="G3867" i="4"/>
  <c r="G3866" i="4"/>
  <c r="G3865" i="4"/>
  <c r="G3864" i="4"/>
  <c r="G3863" i="4"/>
  <c r="G3862" i="4"/>
  <c r="G3861" i="4"/>
  <c r="G3860" i="4"/>
  <c r="G3859" i="4"/>
  <c r="G3858" i="4"/>
  <c r="G3857" i="4"/>
  <c r="G3856" i="4"/>
  <c r="G3855" i="4"/>
  <c r="G3854" i="4"/>
  <c r="G3853" i="4"/>
  <c r="G3852" i="4"/>
  <c r="G3851" i="4"/>
  <c r="G3850" i="4"/>
  <c r="G3849" i="4"/>
  <c r="G3848" i="4"/>
  <c r="G3847" i="4"/>
  <c r="G3846" i="4"/>
  <c r="G3845" i="4"/>
  <c r="G3844" i="4"/>
  <c r="G3843" i="4"/>
  <c r="G3842" i="4"/>
  <c r="G3841" i="4"/>
  <c r="G3840" i="4"/>
  <c r="G3839" i="4"/>
  <c r="G3838" i="4"/>
  <c r="G3837" i="4"/>
  <c r="G3836" i="4"/>
  <c r="G3835" i="4"/>
  <c r="G3834" i="4"/>
  <c r="G3833" i="4"/>
  <c r="G3832" i="4"/>
  <c r="G3831" i="4"/>
  <c r="G3830" i="4"/>
  <c r="G3829" i="4"/>
  <c r="G3828" i="4"/>
  <c r="G3827" i="4"/>
  <c r="G3826" i="4"/>
  <c r="G3825" i="4"/>
  <c r="G3824" i="4"/>
  <c r="G3823" i="4"/>
  <c r="G3822" i="4"/>
  <c r="G3821" i="4"/>
  <c r="G3820" i="4"/>
  <c r="G3819" i="4"/>
  <c r="G3818" i="4"/>
  <c r="G3817" i="4"/>
  <c r="G3816" i="4"/>
  <c r="G3815" i="4"/>
  <c r="G3814" i="4"/>
  <c r="G3813" i="4"/>
  <c r="G3812" i="4"/>
  <c r="G3811" i="4"/>
  <c r="G3810" i="4"/>
  <c r="G3809" i="4"/>
  <c r="G3808" i="4"/>
  <c r="G3807" i="4"/>
  <c r="G3806" i="4"/>
  <c r="G3805" i="4"/>
  <c r="G3804" i="4"/>
  <c r="G3803" i="4"/>
  <c r="G3802" i="4"/>
  <c r="G3801" i="4"/>
  <c r="G3800" i="4"/>
  <c r="G3799" i="4"/>
  <c r="G3798" i="4"/>
  <c r="G3797" i="4"/>
  <c r="G3796" i="4"/>
  <c r="G3795" i="4"/>
  <c r="G3794" i="4"/>
  <c r="G3793" i="4"/>
  <c r="G3792" i="4"/>
  <c r="G3791" i="4"/>
  <c r="G3790" i="4"/>
  <c r="G3789" i="4"/>
  <c r="G3788" i="4"/>
  <c r="G3787" i="4"/>
  <c r="G3786" i="4"/>
  <c r="G3785" i="4"/>
  <c r="G3784" i="4"/>
  <c r="G3783" i="4"/>
  <c r="G3782" i="4"/>
  <c r="G3781" i="4"/>
  <c r="G3780" i="4"/>
  <c r="G3779" i="4"/>
  <c r="G3778" i="4"/>
  <c r="G3777" i="4"/>
  <c r="G3776" i="4"/>
  <c r="G3775" i="4"/>
  <c r="G3774" i="4"/>
  <c r="G3773" i="4"/>
  <c r="G3772" i="4"/>
  <c r="G3771" i="4"/>
  <c r="G3770" i="4"/>
  <c r="G3769" i="4"/>
  <c r="G3768" i="4"/>
  <c r="G3767" i="4"/>
  <c r="G3766" i="4"/>
  <c r="G3765" i="4"/>
  <c r="G3764" i="4"/>
  <c r="G3763" i="4"/>
  <c r="G3762" i="4"/>
  <c r="G3761" i="4"/>
  <c r="G3760" i="4"/>
  <c r="G3759" i="4"/>
  <c r="G3758" i="4"/>
  <c r="G3757" i="4"/>
  <c r="G3756" i="4"/>
  <c r="G3755" i="4"/>
  <c r="G3754" i="4"/>
  <c r="G3753" i="4"/>
  <c r="G3752" i="4"/>
  <c r="G3751" i="4"/>
  <c r="G3750" i="4"/>
  <c r="G3749" i="4"/>
  <c r="G3748" i="4"/>
  <c r="G3747" i="4"/>
  <c r="G3746" i="4"/>
  <c r="G3745" i="4"/>
  <c r="G3744" i="4"/>
  <c r="G3743" i="4"/>
  <c r="G3742" i="4"/>
  <c r="G3741" i="4"/>
  <c r="G3740" i="4"/>
  <c r="G3739" i="4"/>
  <c r="G3738" i="4"/>
  <c r="G3737" i="4"/>
  <c r="G3736" i="4"/>
  <c r="G3735" i="4"/>
  <c r="G3734" i="4"/>
  <c r="G3733" i="4"/>
  <c r="G3732" i="4"/>
  <c r="G3731" i="4"/>
  <c r="G3730" i="4"/>
  <c r="G3729" i="4"/>
  <c r="G3728" i="4"/>
  <c r="G3727" i="4"/>
  <c r="G3726" i="4"/>
  <c r="G3725" i="4"/>
  <c r="G3724" i="4"/>
  <c r="G3723" i="4"/>
  <c r="G3722" i="4"/>
  <c r="G3721" i="4"/>
  <c r="G3720" i="4"/>
  <c r="G3719" i="4"/>
  <c r="G3718" i="4"/>
  <c r="G3717" i="4"/>
  <c r="G3716" i="4"/>
  <c r="G3715" i="4"/>
  <c r="G3714" i="4"/>
  <c r="G3713" i="4"/>
  <c r="G3712" i="4"/>
  <c r="G3711" i="4"/>
  <c r="G3710" i="4"/>
  <c r="G3709" i="4"/>
  <c r="G3708" i="4"/>
  <c r="G3707" i="4"/>
  <c r="G3706" i="4"/>
  <c r="G3705" i="4"/>
  <c r="G3704" i="4"/>
  <c r="G3703" i="4"/>
  <c r="G3702" i="4"/>
  <c r="G3701" i="4"/>
  <c r="G3700" i="4"/>
  <c r="G3699" i="4"/>
  <c r="G3698" i="4"/>
  <c r="G3697" i="4"/>
  <c r="G3696" i="4"/>
  <c r="G3695" i="4"/>
  <c r="G3694" i="4"/>
  <c r="G3693" i="4"/>
  <c r="G3692" i="4"/>
  <c r="G3691" i="4"/>
  <c r="G3690" i="4"/>
  <c r="G3689" i="4"/>
  <c r="G3688" i="4"/>
  <c r="G3687" i="4"/>
  <c r="G3686" i="4"/>
  <c r="G3685" i="4"/>
  <c r="G3684" i="4"/>
  <c r="G3683" i="4"/>
  <c r="G3682" i="4"/>
  <c r="G3681" i="4"/>
  <c r="G3680" i="4"/>
  <c r="G3679" i="4"/>
  <c r="G3678" i="4"/>
  <c r="G3677" i="4"/>
  <c r="G3676" i="4"/>
  <c r="G3675" i="4"/>
  <c r="G3674" i="4"/>
  <c r="G3673" i="4"/>
  <c r="G3672" i="4"/>
  <c r="G3671" i="4"/>
  <c r="G3670" i="4"/>
  <c r="G3669" i="4"/>
  <c r="G3668" i="4"/>
  <c r="G3667" i="4"/>
  <c r="G3666" i="4"/>
  <c r="G3665" i="4"/>
  <c r="G3664" i="4"/>
  <c r="G3663" i="4"/>
  <c r="G3662" i="4"/>
  <c r="G3661" i="4"/>
  <c r="G3660" i="4"/>
  <c r="G3659" i="4"/>
  <c r="G3658" i="4"/>
  <c r="G3657" i="4"/>
  <c r="G3656" i="4"/>
  <c r="G3655" i="4"/>
  <c r="G3654" i="4"/>
  <c r="G3653" i="4"/>
  <c r="G3652" i="4"/>
  <c r="G3651" i="4"/>
  <c r="G3650" i="4"/>
  <c r="G3649" i="4"/>
  <c r="G3648" i="4"/>
  <c r="G3647" i="4"/>
  <c r="G3646" i="4"/>
  <c r="G3645" i="4"/>
  <c r="G3644" i="4"/>
  <c r="G3643" i="4"/>
  <c r="G3642" i="4"/>
  <c r="G3641" i="4"/>
  <c r="G3640" i="4"/>
  <c r="G3639" i="4"/>
  <c r="G3638" i="4"/>
  <c r="G3637" i="4"/>
  <c r="G3636" i="4"/>
  <c r="G3635" i="4"/>
  <c r="G3634" i="4"/>
  <c r="G3633" i="4"/>
  <c r="G3632" i="4"/>
  <c r="G3631" i="4"/>
  <c r="G3630" i="4"/>
  <c r="G3629" i="4"/>
  <c r="G3628" i="4"/>
  <c r="G3627" i="4"/>
  <c r="G3626" i="4"/>
  <c r="G3625" i="4"/>
  <c r="G3624" i="4"/>
  <c r="G3623" i="4"/>
  <c r="G3622" i="4"/>
  <c r="G3621" i="4"/>
  <c r="G3620" i="4"/>
  <c r="G3619" i="4"/>
  <c r="G3618" i="4"/>
  <c r="G3617" i="4"/>
  <c r="G3616" i="4"/>
  <c r="G3615" i="4"/>
  <c r="G3614" i="4"/>
  <c r="G3613" i="4"/>
  <c r="G3612" i="4"/>
  <c r="G3611" i="4"/>
  <c r="G3610" i="4"/>
  <c r="G3609" i="4"/>
  <c r="G3608" i="4"/>
  <c r="G3607" i="4"/>
  <c r="G3606" i="4"/>
  <c r="G3605" i="4"/>
  <c r="G3604" i="4"/>
  <c r="G3603" i="4"/>
  <c r="G3602" i="4"/>
  <c r="G3601" i="4"/>
  <c r="G3600" i="4"/>
  <c r="G3599" i="4"/>
  <c r="G3598" i="4"/>
  <c r="G3597" i="4"/>
  <c r="G3596" i="4"/>
  <c r="G3595" i="4"/>
  <c r="G3594" i="4"/>
  <c r="G3593" i="4"/>
  <c r="G3592" i="4"/>
  <c r="G3591" i="4"/>
  <c r="G3590" i="4"/>
  <c r="G3589" i="4"/>
  <c r="G3588" i="4"/>
  <c r="G3587" i="4"/>
  <c r="G3586" i="4"/>
  <c r="G3585" i="4"/>
  <c r="G3584" i="4"/>
  <c r="G3583" i="4"/>
  <c r="G3582" i="4"/>
  <c r="G3581" i="4"/>
  <c r="G3580" i="4"/>
  <c r="G3579" i="4"/>
  <c r="G3578" i="4"/>
  <c r="G3577" i="4"/>
  <c r="G3576" i="4"/>
  <c r="G3575" i="4"/>
  <c r="G3574" i="4"/>
  <c r="G3573" i="4"/>
  <c r="G3572" i="4"/>
  <c r="G3571" i="4"/>
  <c r="G3570" i="4"/>
  <c r="G3569" i="4"/>
  <c r="G3568" i="4"/>
  <c r="G3567" i="4"/>
  <c r="G3566" i="4"/>
  <c r="G3565" i="4"/>
  <c r="G3564" i="4"/>
  <c r="G3563" i="4"/>
  <c r="G3562" i="4"/>
  <c r="G3561" i="4"/>
  <c r="G3560" i="4"/>
  <c r="G3559" i="4"/>
  <c r="G3558" i="4"/>
  <c r="G3557" i="4"/>
  <c r="G3556" i="4"/>
  <c r="G3555" i="4"/>
  <c r="G3554" i="4"/>
  <c r="G3553" i="4"/>
  <c r="G3552" i="4"/>
  <c r="G3551" i="4"/>
  <c r="G3550" i="4"/>
  <c r="G3549" i="4"/>
  <c r="G3548" i="4"/>
  <c r="G3547" i="4"/>
  <c r="G3546" i="4"/>
  <c r="G3545" i="4"/>
  <c r="G3544" i="4"/>
  <c r="G3543" i="4"/>
  <c r="G3542" i="4"/>
  <c r="G3541" i="4"/>
  <c r="G3540" i="4"/>
  <c r="G3539" i="4"/>
  <c r="G3538" i="4"/>
  <c r="G3537" i="4"/>
  <c r="G3536" i="4"/>
  <c r="G3535" i="4"/>
  <c r="G3534" i="4"/>
  <c r="G3533" i="4"/>
  <c r="G3532" i="4"/>
  <c r="G3531" i="4"/>
  <c r="G3530" i="4"/>
  <c r="G3529" i="4"/>
  <c r="G3528" i="4"/>
  <c r="G3527" i="4"/>
  <c r="G3526" i="4"/>
  <c r="G3525" i="4"/>
  <c r="G3524" i="4"/>
  <c r="G3523" i="4"/>
  <c r="G3522" i="4"/>
  <c r="G3521" i="4"/>
  <c r="G3520" i="4"/>
  <c r="G3519" i="4"/>
  <c r="G3518" i="4"/>
  <c r="G3517" i="4"/>
  <c r="G3516" i="4"/>
  <c r="G3515" i="4"/>
  <c r="G3514" i="4"/>
  <c r="G3513" i="4"/>
  <c r="G3512" i="4"/>
  <c r="G3511" i="4"/>
  <c r="G3510" i="4"/>
  <c r="G3509" i="4"/>
  <c r="G3508" i="4"/>
  <c r="G3507" i="4"/>
  <c r="G3506" i="4"/>
  <c r="G3505" i="4"/>
  <c r="G3504" i="4"/>
  <c r="G3503" i="4"/>
  <c r="G3502" i="4"/>
  <c r="G3501" i="4"/>
  <c r="G3500" i="4"/>
  <c r="G3499" i="4"/>
  <c r="G3498" i="4"/>
  <c r="G3497" i="4"/>
  <c r="G3496" i="4"/>
  <c r="G3495" i="4"/>
  <c r="G3494" i="4"/>
  <c r="G3493" i="4"/>
  <c r="G3492" i="4"/>
  <c r="G3491" i="4"/>
  <c r="G3490" i="4"/>
  <c r="G3489" i="4"/>
  <c r="G3488" i="4"/>
  <c r="G3487" i="4"/>
  <c r="G3486" i="4"/>
  <c r="G3485" i="4"/>
  <c r="G3484" i="4"/>
  <c r="G3483" i="4"/>
  <c r="G3482" i="4"/>
  <c r="G3481" i="4"/>
  <c r="G3480" i="4"/>
  <c r="G3479" i="4"/>
  <c r="G3478" i="4"/>
  <c r="G3477" i="4"/>
  <c r="G3476" i="4"/>
  <c r="G3475" i="4"/>
  <c r="G3474" i="4"/>
  <c r="G3473" i="4"/>
  <c r="G3472" i="4"/>
  <c r="G3471" i="4"/>
  <c r="G3470" i="4"/>
  <c r="G3469" i="4"/>
  <c r="G3468" i="4"/>
  <c r="G3467" i="4"/>
  <c r="G3466" i="4"/>
  <c r="G3465" i="4"/>
  <c r="G3464" i="4"/>
  <c r="G3463" i="4"/>
  <c r="G3462" i="4"/>
  <c r="G3461" i="4"/>
  <c r="G3460" i="4"/>
  <c r="G3459" i="4"/>
  <c r="G3458" i="4"/>
  <c r="G3457" i="4"/>
  <c r="G3456" i="4"/>
  <c r="G3455" i="4"/>
  <c r="G3454" i="4"/>
  <c r="G3453" i="4"/>
  <c r="G3452" i="4"/>
  <c r="G3451" i="4"/>
  <c r="G3450" i="4"/>
  <c r="G3449" i="4"/>
  <c r="G3448" i="4"/>
  <c r="G3447" i="4"/>
  <c r="G3446" i="4"/>
  <c r="G3445" i="4"/>
  <c r="G3444" i="4"/>
  <c r="G3443" i="4"/>
  <c r="G3442" i="4"/>
  <c r="G3441" i="4"/>
  <c r="G3440" i="4"/>
  <c r="G3439" i="4"/>
  <c r="G3438" i="4"/>
  <c r="G3437" i="4"/>
  <c r="G3436" i="4"/>
  <c r="G3435" i="4"/>
  <c r="G3434" i="4"/>
  <c r="G3433" i="4"/>
  <c r="G3432" i="4"/>
  <c r="G3431" i="4"/>
  <c r="G3430" i="4"/>
  <c r="G3429" i="4"/>
  <c r="G3428" i="4"/>
  <c r="G3427" i="4"/>
  <c r="G3426" i="4"/>
  <c r="G3425" i="4"/>
  <c r="G3424" i="4"/>
  <c r="G3423" i="4"/>
  <c r="G3422" i="4"/>
  <c r="G3421" i="4"/>
  <c r="G3420" i="4"/>
  <c r="G3419" i="4"/>
  <c r="G3418" i="4"/>
  <c r="G3417" i="4"/>
  <c r="G3416" i="4"/>
  <c r="G3415" i="4"/>
  <c r="G3414" i="4"/>
  <c r="G3413" i="4"/>
  <c r="G3412" i="4"/>
  <c r="G3411" i="4"/>
  <c r="G3410" i="4"/>
  <c r="G3409" i="4"/>
  <c r="G3408" i="4"/>
  <c r="G3407" i="4"/>
  <c r="G3406" i="4"/>
  <c r="G3405" i="4"/>
  <c r="G3404" i="4"/>
  <c r="G3403" i="4"/>
  <c r="G3402" i="4"/>
  <c r="G3401" i="4"/>
  <c r="G3400" i="4"/>
  <c r="G3399" i="4"/>
  <c r="G3398" i="4"/>
  <c r="G3397" i="4"/>
  <c r="G3396" i="4"/>
  <c r="G3395" i="4"/>
  <c r="G3394" i="4"/>
  <c r="G3393" i="4"/>
  <c r="G3392" i="4"/>
  <c r="G3391" i="4"/>
  <c r="G3390" i="4"/>
  <c r="G3389" i="4"/>
  <c r="G3388" i="4"/>
  <c r="G3387" i="4"/>
  <c r="G3386" i="4"/>
  <c r="G3385" i="4"/>
  <c r="G3384" i="4"/>
  <c r="G3383" i="4"/>
  <c r="G3382" i="4"/>
  <c r="G3381" i="4"/>
  <c r="G3380" i="4"/>
  <c r="G3379" i="4"/>
  <c r="G3378" i="4"/>
  <c r="G3377" i="4"/>
  <c r="G3376" i="4"/>
  <c r="G3375" i="4"/>
  <c r="G3374" i="4"/>
  <c r="G3373" i="4"/>
  <c r="G3372" i="4"/>
  <c r="G3371" i="4"/>
  <c r="G3370" i="4"/>
  <c r="G3369" i="4"/>
  <c r="G3368" i="4"/>
  <c r="G3367" i="4"/>
  <c r="G3366" i="4"/>
  <c r="G3365" i="4"/>
  <c r="G3364" i="4"/>
  <c r="G3363" i="4"/>
  <c r="G3362" i="4"/>
  <c r="G3361" i="4"/>
  <c r="G3360" i="4"/>
  <c r="G3359" i="4"/>
  <c r="G3358" i="4"/>
  <c r="G3357" i="4"/>
  <c r="G3356" i="4"/>
  <c r="G3355" i="4"/>
  <c r="G3354" i="4"/>
  <c r="G3353" i="4"/>
  <c r="G3352" i="4"/>
  <c r="G3351" i="4"/>
  <c r="G3350" i="4"/>
  <c r="G3349" i="4"/>
  <c r="G3348" i="4"/>
  <c r="G3347" i="4"/>
  <c r="G3346" i="4"/>
  <c r="G3345" i="4"/>
  <c r="G3344" i="4"/>
  <c r="G3343" i="4"/>
  <c r="G3342" i="4"/>
  <c r="G3341" i="4"/>
  <c r="G3340" i="4"/>
  <c r="G3339" i="4"/>
  <c r="G3338" i="4"/>
  <c r="G3337" i="4"/>
  <c r="G3336" i="4"/>
  <c r="G3335" i="4"/>
  <c r="G3334" i="4"/>
  <c r="G3333" i="4"/>
  <c r="G3332" i="4"/>
  <c r="G3331" i="4"/>
  <c r="G3330" i="4"/>
  <c r="G3329" i="4"/>
  <c r="G3328" i="4"/>
  <c r="G3327" i="4"/>
  <c r="G3326" i="4"/>
  <c r="G3325" i="4"/>
  <c r="G3324" i="4"/>
  <c r="G3323" i="4"/>
  <c r="G3322" i="4"/>
  <c r="G3321" i="4"/>
  <c r="G3320" i="4"/>
  <c r="G3319" i="4"/>
  <c r="G3318" i="4"/>
  <c r="G3317" i="4"/>
  <c r="G3316" i="4"/>
  <c r="G3315" i="4"/>
  <c r="G3314" i="4"/>
  <c r="G3313" i="4"/>
  <c r="G3312" i="4"/>
  <c r="G3311" i="4"/>
  <c r="G3310" i="4"/>
  <c r="G3309" i="4"/>
  <c r="G3308" i="4"/>
  <c r="G3307" i="4"/>
  <c r="G3306" i="4"/>
  <c r="G3305" i="4"/>
  <c r="G3304" i="4"/>
  <c r="G3303" i="4"/>
  <c r="G3302" i="4"/>
  <c r="G3301" i="4"/>
  <c r="G3300" i="4"/>
  <c r="G3299" i="4"/>
  <c r="G3298" i="4"/>
  <c r="G3297" i="4"/>
  <c r="G3296" i="4"/>
  <c r="G3295" i="4"/>
  <c r="G3294" i="4"/>
  <c r="G3293" i="4"/>
  <c r="G3292" i="4"/>
  <c r="G3291" i="4"/>
  <c r="G3290" i="4"/>
  <c r="G3289" i="4"/>
  <c r="G3288" i="4"/>
  <c r="G3287" i="4"/>
  <c r="G3286" i="4"/>
  <c r="G3285" i="4"/>
  <c r="G3284" i="4"/>
  <c r="G3283" i="4"/>
  <c r="G3282" i="4"/>
  <c r="G3281" i="4"/>
  <c r="G3280" i="4"/>
  <c r="G3279" i="4"/>
  <c r="G3278" i="4"/>
  <c r="G3277" i="4"/>
  <c r="G3276" i="4"/>
  <c r="G3275" i="4"/>
  <c r="G3274" i="4"/>
  <c r="G3273" i="4"/>
  <c r="G3272" i="4"/>
  <c r="G3271" i="4"/>
  <c r="G3270" i="4"/>
  <c r="G3269" i="4"/>
  <c r="G3268" i="4"/>
  <c r="G3267" i="4"/>
  <c r="G3266" i="4"/>
  <c r="G3265" i="4"/>
  <c r="G3264" i="4"/>
  <c r="G3263" i="4"/>
  <c r="G3262" i="4"/>
  <c r="G3261" i="4"/>
  <c r="G3260" i="4"/>
  <c r="G3259" i="4"/>
  <c r="G3258" i="4"/>
  <c r="G3257" i="4"/>
  <c r="G3256" i="4"/>
  <c r="G3255" i="4"/>
  <c r="G3254" i="4"/>
  <c r="G3253" i="4"/>
  <c r="G3252" i="4"/>
  <c r="G3251" i="4"/>
  <c r="G3250" i="4"/>
  <c r="G3249" i="4"/>
  <c r="G3248" i="4"/>
  <c r="G3247" i="4"/>
  <c r="G3246" i="4"/>
  <c r="G3245" i="4"/>
  <c r="G3244" i="4"/>
  <c r="G3243" i="4"/>
  <c r="G3242" i="4"/>
  <c r="G3241" i="4"/>
  <c r="G3240" i="4"/>
  <c r="G3239" i="4"/>
  <c r="G3238" i="4"/>
  <c r="G3237" i="4"/>
  <c r="G3236" i="4"/>
  <c r="G3235" i="4"/>
  <c r="G3234" i="4"/>
  <c r="G3233" i="4"/>
  <c r="G3232" i="4"/>
  <c r="G3231" i="4"/>
  <c r="G3230" i="4"/>
  <c r="G3229" i="4"/>
  <c r="G3228" i="4"/>
  <c r="G3227" i="4"/>
  <c r="G3226" i="4"/>
  <c r="G3225" i="4"/>
  <c r="G3224" i="4"/>
  <c r="G3223" i="4"/>
  <c r="G3222" i="4"/>
  <c r="G3221" i="4"/>
  <c r="G3220" i="4"/>
  <c r="G3219" i="4"/>
  <c r="G3218" i="4"/>
  <c r="G3217" i="4"/>
  <c r="G3216" i="4"/>
  <c r="G3215" i="4"/>
  <c r="G3214" i="4"/>
  <c r="G3213" i="4"/>
  <c r="G3212" i="4"/>
  <c r="G3211" i="4"/>
  <c r="G3210" i="4"/>
  <c r="G3209" i="4"/>
  <c r="G3208" i="4"/>
  <c r="G3207" i="4"/>
  <c r="G3206" i="4"/>
  <c r="G3205" i="4"/>
  <c r="G3204" i="4"/>
  <c r="G3203" i="4"/>
  <c r="G3202" i="4"/>
  <c r="G3201" i="4"/>
  <c r="G3200" i="4"/>
  <c r="G3199" i="4"/>
  <c r="G3198" i="4"/>
  <c r="G3197" i="4"/>
  <c r="G3196" i="4"/>
  <c r="G3195" i="4"/>
  <c r="G3194" i="4"/>
  <c r="G3193" i="4"/>
  <c r="G3192" i="4"/>
  <c r="G3191" i="4"/>
  <c r="G3190" i="4"/>
  <c r="G3189" i="4"/>
  <c r="G3188" i="4"/>
  <c r="G3187" i="4"/>
  <c r="G3186" i="4"/>
  <c r="G3185" i="4"/>
  <c r="G3184" i="4"/>
  <c r="G3183" i="4"/>
  <c r="G3182" i="4"/>
  <c r="G3181" i="4"/>
  <c r="G3180" i="4"/>
  <c r="G3179" i="4"/>
  <c r="G3178" i="4"/>
  <c r="G3177" i="4"/>
  <c r="G3176" i="4"/>
  <c r="G3175" i="4"/>
  <c r="G3174" i="4"/>
  <c r="G3173" i="4"/>
  <c r="G3172" i="4"/>
  <c r="G3171" i="4"/>
  <c r="G3170" i="4"/>
  <c r="G3169" i="4"/>
  <c r="G3168" i="4"/>
  <c r="G3167" i="4"/>
  <c r="G3166" i="4"/>
  <c r="G3165" i="4"/>
  <c r="G3164" i="4"/>
  <c r="G3163" i="4"/>
  <c r="G3162" i="4"/>
  <c r="G3161" i="4"/>
  <c r="G3160" i="4"/>
  <c r="G3159" i="4"/>
  <c r="G3158" i="4"/>
  <c r="G3157" i="4"/>
  <c r="G3156" i="4"/>
  <c r="G3155" i="4"/>
  <c r="G3154" i="4"/>
  <c r="G3153" i="4"/>
  <c r="G3152" i="4"/>
  <c r="G3151" i="4"/>
  <c r="G3150" i="4"/>
  <c r="G3149" i="4"/>
  <c r="G3148" i="4"/>
  <c r="G3147" i="4"/>
  <c r="G3146" i="4"/>
  <c r="G3145" i="4"/>
  <c r="G3144" i="4"/>
  <c r="G3143" i="4"/>
  <c r="G3142" i="4"/>
  <c r="G3141" i="4"/>
  <c r="G3140" i="4"/>
  <c r="G3139" i="4"/>
  <c r="G3138" i="4"/>
  <c r="G3137" i="4"/>
  <c r="G3136" i="4"/>
  <c r="G3135" i="4"/>
  <c r="G3134" i="4"/>
  <c r="G3133" i="4"/>
  <c r="G3132" i="4"/>
  <c r="G3131" i="4"/>
  <c r="G3130" i="4"/>
  <c r="G3129" i="4"/>
  <c r="G3128" i="4"/>
  <c r="G3127" i="4"/>
  <c r="G3126" i="4"/>
  <c r="G3125" i="4"/>
  <c r="G3124" i="4"/>
  <c r="G3123" i="4"/>
  <c r="G3122" i="4"/>
  <c r="G3121" i="4"/>
  <c r="G3120" i="4"/>
  <c r="G3119" i="4"/>
  <c r="G3118" i="4"/>
  <c r="G3117" i="4"/>
  <c r="G3116" i="4"/>
  <c r="G3115" i="4"/>
  <c r="G3114" i="4"/>
  <c r="G3113" i="4"/>
  <c r="G3112" i="4"/>
  <c r="G3111" i="4"/>
  <c r="G3110" i="4"/>
  <c r="G3109" i="4"/>
  <c r="G3108" i="4"/>
  <c r="G3107" i="4"/>
  <c r="G3106" i="4"/>
  <c r="G3105" i="4"/>
  <c r="G3104" i="4"/>
  <c r="G3103" i="4"/>
  <c r="G3102" i="4"/>
  <c r="G3101" i="4"/>
  <c r="G3100" i="4"/>
  <c r="G3099" i="4"/>
  <c r="G3098" i="4"/>
  <c r="G3097" i="4"/>
  <c r="G3096" i="4"/>
  <c r="G3095" i="4"/>
  <c r="G3094" i="4"/>
  <c r="G3093" i="4"/>
  <c r="G3092" i="4"/>
  <c r="G3091" i="4"/>
  <c r="G3090" i="4"/>
  <c r="G3089" i="4"/>
  <c r="G3088" i="4"/>
  <c r="G3087" i="4"/>
  <c r="G3086" i="4"/>
  <c r="G3085" i="4"/>
  <c r="G3084" i="4"/>
  <c r="G3083" i="4"/>
  <c r="G3082" i="4"/>
  <c r="G3081" i="4"/>
  <c r="G3080" i="4"/>
  <c r="G3079" i="4"/>
  <c r="G3078" i="4"/>
  <c r="G3077" i="4"/>
  <c r="G3076" i="4"/>
  <c r="G3075" i="4"/>
  <c r="G3074" i="4"/>
  <c r="G3073" i="4"/>
  <c r="G3072" i="4"/>
  <c r="G3071" i="4"/>
  <c r="G3070" i="4"/>
  <c r="G3069" i="4"/>
  <c r="G3068" i="4"/>
  <c r="G3067" i="4"/>
  <c r="G3066" i="4"/>
  <c r="G3065" i="4"/>
  <c r="G3064" i="4"/>
  <c r="G3063" i="4"/>
  <c r="G3062" i="4"/>
  <c r="G3061" i="4"/>
  <c r="G3060" i="4"/>
  <c r="G3059" i="4"/>
  <c r="G3058" i="4"/>
  <c r="G3057" i="4"/>
  <c r="G3056" i="4"/>
  <c r="G3055" i="4"/>
  <c r="G3054" i="4"/>
  <c r="G3053" i="4"/>
  <c r="G3052" i="4"/>
  <c r="G3051" i="4"/>
  <c r="G3050" i="4"/>
  <c r="G3049" i="4"/>
  <c r="G3048" i="4"/>
  <c r="G3047" i="4"/>
  <c r="G3046" i="4"/>
  <c r="G3045" i="4"/>
  <c r="G3044" i="4"/>
  <c r="G3043" i="4"/>
  <c r="G3042" i="4"/>
  <c r="G3041" i="4"/>
  <c r="G3040" i="4"/>
  <c r="G3039" i="4"/>
  <c r="G3038" i="4"/>
  <c r="G3037" i="4"/>
  <c r="G3036" i="4"/>
  <c r="G3035" i="4"/>
  <c r="G3034" i="4"/>
  <c r="G3033" i="4"/>
  <c r="G3032" i="4"/>
  <c r="G3031" i="4"/>
  <c r="G3030" i="4"/>
  <c r="G3029" i="4"/>
  <c r="G3028" i="4"/>
  <c r="G3027" i="4"/>
  <c r="G3026" i="4"/>
  <c r="G3025" i="4"/>
  <c r="G3024" i="4"/>
  <c r="G3023" i="4"/>
  <c r="G3022" i="4"/>
  <c r="G3021" i="4"/>
  <c r="G3020" i="4"/>
  <c r="G3019" i="4"/>
  <c r="G3018" i="4"/>
  <c r="G3017" i="4"/>
  <c r="G3016" i="4"/>
  <c r="G3015" i="4"/>
  <c r="G3014" i="4"/>
  <c r="G3013" i="4"/>
  <c r="G3012" i="4"/>
  <c r="G3011" i="4"/>
  <c r="G3010" i="4"/>
  <c r="G3009" i="4"/>
  <c r="G3008" i="4"/>
  <c r="G3007" i="4"/>
  <c r="G3006" i="4"/>
  <c r="G3005" i="4"/>
  <c r="G3004" i="4"/>
  <c r="G3003" i="4"/>
  <c r="G3002" i="4"/>
  <c r="G3001" i="4"/>
  <c r="G3000" i="4"/>
  <c r="G2999" i="4"/>
  <c r="G2998" i="4"/>
  <c r="G2997" i="4"/>
  <c r="G2996" i="4"/>
  <c r="G2995" i="4"/>
  <c r="G2994" i="4"/>
  <c r="G2993" i="4"/>
  <c r="G2992" i="4"/>
  <c r="G2991" i="4"/>
  <c r="G2990" i="4"/>
  <c r="G2989" i="4"/>
  <c r="G2988" i="4"/>
  <c r="G2987" i="4"/>
  <c r="G2986" i="4"/>
  <c r="G2985" i="4"/>
  <c r="G2984" i="4"/>
  <c r="G2983" i="4"/>
  <c r="G2982" i="4"/>
  <c r="G2981" i="4"/>
  <c r="G2980" i="4"/>
  <c r="G2979" i="4"/>
  <c r="G2978" i="4"/>
  <c r="G2977" i="4"/>
  <c r="G2976" i="4"/>
  <c r="G2975" i="4"/>
  <c r="G2974" i="4"/>
  <c r="G2973" i="4"/>
  <c r="G2972" i="4"/>
  <c r="G2971" i="4"/>
  <c r="G2970" i="4"/>
  <c r="G2969" i="4"/>
  <c r="G2968" i="4"/>
  <c r="G2967" i="4"/>
  <c r="G2966" i="4"/>
  <c r="G2965" i="4"/>
  <c r="G2964" i="4"/>
  <c r="G2963" i="4"/>
  <c r="G2962" i="4"/>
  <c r="G2961" i="4"/>
  <c r="G2960" i="4"/>
  <c r="G2959" i="4"/>
  <c r="G2958" i="4"/>
  <c r="G2957" i="4"/>
  <c r="G2956" i="4"/>
  <c r="G2955" i="4"/>
  <c r="G2954" i="4"/>
  <c r="G2953" i="4"/>
  <c r="G2952" i="4"/>
  <c r="G2951" i="4"/>
  <c r="G2950" i="4"/>
  <c r="G2949" i="4"/>
  <c r="G2948" i="4"/>
  <c r="G2947" i="4"/>
  <c r="G2946" i="4"/>
  <c r="G2945" i="4"/>
  <c r="G2944" i="4"/>
  <c r="G2943" i="4"/>
  <c r="G2942" i="4"/>
  <c r="G2941" i="4"/>
  <c r="G2940" i="4"/>
  <c r="G2939" i="4"/>
  <c r="G2938" i="4"/>
  <c r="G2937" i="4"/>
  <c r="G2936" i="4"/>
  <c r="G2935" i="4"/>
  <c r="G2934" i="4"/>
  <c r="G2933" i="4"/>
  <c r="G2932" i="4"/>
  <c r="G2931" i="4"/>
  <c r="G2930" i="4"/>
  <c r="G2929" i="4"/>
  <c r="G2928" i="4"/>
  <c r="G2927" i="4"/>
  <c r="G2926" i="4"/>
  <c r="G2925" i="4"/>
  <c r="G2924" i="4"/>
  <c r="G2923" i="4"/>
  <c r="G2922" i="4"/>
  <c r="G2921" i="4"/>
  <c r="G2920" i="4"/>
  <c r="G2919" i="4"/>
  <c r="G2918" i="4"/>
  <c r="G2917" i="4"/>
  <c r="G2916" i="4"/>
  <c r="G2915" i="4"/>
  <c r="G2914" i="4"/>
  <c r="G2913" i="4"/>
  <c r="G2912" i="4"/>
  <c r="G2911" i="4"/>
  <c r="G2910" i="4"/>
  <c r="G2909" i="4"/>
  <c r="G2908" i="4"/>
  <c r="G2907" i="4"/>
  <c r="G2906" i="4"/>
  <c r="G2905" i="4"/>
  <c r="G2904" i="4"/>
  <c r="G2903" i="4"/>
  <c r="G2902" i="4"/>
  <c r="G2901" i="4"/>
  <c r="G2900" i="4"/>
  <c r="G2899" i="4"/>
  <c r="G2898" i="4"/>
  <c r="G2897" i="4"/>
  <c r="G2896" i="4"/>
  <c r="G2895" i="4"/>
  <c r="G2894" i="4"/>
  <c r="G2893" i="4"/>
  <c r="G2892" i="4"/>
  <c r="G2891" i="4"/>
  <c r="G2890" i="4"/>
  <c r="G2889" i="4"/>
  <c r="G2888" i="4"/>
  <c r="G2887" i="4"/>
  <c r="G2886" i="4"/>
  <c r="G2885" i="4"/>
  <c r="G2884" i="4"/>
  <c r="G2883" i="4"/>
  <c r="G2882" i="4"/>
  <c r="G2881" i="4"/>
  <c r="G2880" i="4"/>
  <c r="G2879" i="4"/>
  <c r="G2878" i="4"/>
  <c r="G2877" i="4"/>
  <c r="G2876" i="4"/>
  <c r="G2875" i="4"/>
  <c r="G2874" i="4"/>
  <c r="G2873" i="4"/>
  <c r="G2872" i="4"/>
  <c r="G2871" i="4"/>
  <c r="G2870" i="4"/>
  <c r="G2869" i="4"/>
  <c r="G2868" i="4"/>
  <c r="G2867" i="4"/>
  <c r="G2866" i="4"/>
  <c r="G2865" i="4"/>
  <c r="G2864" i="4"/>
  <c r="G2863" i="4"/>
  <c r="G2862" i="4"/>
  <c r="G2861" i="4"/>
  <c r="G2860" i="4"/>
  <c r="G2859" i="4"/>
  <c r="G2858" i="4"/>
  <c r="G2857" i="4"/>
  <c r="G2856" i="4"/>
  <c r="G2855" i="4"/>
  <c r="G2854" i="4"/>
  <c r="G2853" i="4"/>
  <c r="G2852" i="4"/>
  <c r="G2851" i="4"/>
  <c r="G2850" i="4"/>
  <c r="G2849" i="4"/>
  <c r="G2848" i="4"/>
  <c r="G2847" i="4"/>
  <c r="G2846" i="4"/>
  <c r="G2845" i="4"/>
  <c r="G2844" i="4"/>
  <c r="G2843" i="4"/>
  <c r="G2842" i="4"/>
  <c r="G2841" i="4"/>
  <c r="G2840" i="4"/>
  <c r="G2839" i="4"/>
  <c r="G2838" i="4"/>
  <c r="G2837" i="4"/>
  <c r="G2836" i="4"/>
  <c r="G2835" i="4"/>
  <c r="G2834" i="4"/>
  <c r="G2833" i="4"/>
  <c r="G2832" i="4"/>
  <c r="G2831" i="4"/>
  <c r="G2830" i="4"/>
  <c r="G2829" i="4"/>
  <c r="G2828" i="4"/>
  <c r="G2827" i="4"/>
  <c r="G2826" i="4"/>
  <c r="G2825" i="4"/>
  <c r="G2824" i="4"/>
  <c r="G2823" i="4"/>
  <c r="G2822" i="4"/>
  <c r="G2821" i="4"/>
  <c r="G2820" i="4"/>
  <c r="G2819" i="4"/>
  <c r="G2818" i="4"/>
  <c r="G2817" i="4"/>
  <c r="G2816" i="4"/>
  <c r="G2815" i="4"/>
  <c r="G2814" i="4"/>
  <c r="G2813" i="4"/>
  <c r="G2812" i="4"/>
  <c r="G2811" i="4"/>
  <c r="G2810" i="4"/>
  <c r="G2809" i="4"/>
  <c r="G2808" i="4"/>
  <c r="G2807" i="4"/>
  <c r="G2806" i="4"/>
  <c r="G2805" i="4"/>
  <c r="G2804" i="4"/>
  <c r="G2803" i="4"/>
  <c r="G2802" i="4"/>
  <c r="G2801" i="4"/>
  <c r="G2800" i="4"/>
  <c r="G2799" i="4"/>
  <c r="G2798" i="4"/>
  <c r="G2797" i="4"/>
  <c r="G2796" i="4"/>
  <c r="G2795" i="4"/>
  <c r="G2794" i="4"/>
  <c r="G2793" i="4"/>
  <c r="G2792" i="4"/>
  <c r="G2791" i="4"/>
  <c r="G2790" i="4"/>
  <c r="G2789" i="4"/>
  <c r="G2788" i="4"/>
  <c r="G2787" i="4"/>
  <c r="G2786" i="4"/>
  <c r="G2785" i="4"/>
  <c r="G2784" i="4"/>
  <c r="G2783" i="4"/>
  <c r="G2782" i="4"/>
  <c r="G2781" i="4"/>
  <c r="G2780" i="4"/>
  <c r="G2779" i="4"/>
  <c r="G2778" i="4"/>
  <c r="G2777" i="4"/>
  <c r="G2776" i="4"/>
  <c r="G2775" i="4"/>
  <c r="G2774" i="4"/>
  <c r="G2773" i="4"/>
  <c r="G2772" i="4"/>
  <c r="G2771" i="4"/>
  <c r="G2770" i="4"/>
  <c r="G2769" i="4"/>
  <c r="G2768" i="4"/>
  <c r="G2767" i="4"/>
  <c r="G2766" i="4"/>
  <c r="G2765" i="4"/>
  <c r="G2764" i="4"/>
  <c r="G2763" i="4"/>
  <c r="G2762" i="4"/>
  <c r="G2761" i="4"/>
  <c r="G2760" i="4"/>
  <c r="G2759" i="4"/>
  <c r="G2758" i="4"/>
  <c r="G2757" i="4"/>
  <c r="G2756" i="4"/>
  <c r="G2755" i="4"/>
  <c r="G2754" i="4"/>
  <c r="G2753" i="4"/>
  <c r="G2752" i="4"/>
  <c r="G2751" i="4"/>
  <c r="G2750" i="4"/>
  <c r="G2749" i="4"/>
  <c r="G2748" i="4"/>
  <c r="G2747" i="4"/>
  <c r="G2746" i="4"/>
  <c r="G2745" i="4"/>
  <c r="G2744" i="4"/>
  <c r="G2743" i="4"/>
  <c r="G2742" i="4"/>
  <c r="G2741" i="4"/>
  <c r="G2740" i="4"/>
  <c r="G2739" i="4"/>
  <c r="G2738" i="4"/>
  <c r="G2737" i="4"/>
  <c r="G2736" i="4"/>
  <c r="G2735" i="4"/>
  <c r="G2734" i="4"/>
  <c r="G2733" i="4"/>
  <c r="G2732" i="4"/>
  <c r="G2731" i="4"/>
  <c r="G2730" i="4"/>
  <c r="G2729" i="4"/>
  <c r="G2728" i="4"/>
  <c r="G2727" i="4"/>
  <c r="G2726" i="4"/>
  <c r="G2725" i="4"/>
  <c r="G2724" i="4"/>
  <c r="G2723" i="4"/>
  <c r="G2722" i="4"/>
  <c r="G2721" i="4"/>
  <c r="G2720" i="4"/>
  <c r="G2719" i="4"/>
  <c r="G2718" i="4"/>
  <c r="G2717" i="4"/>
  <c r="G2716" i="4"/>
  <c r="G2715" i="4"/>
  <c r="G2714" i="4"/>
  <c r="G2713" i="4"/>
  <c r="G2712" i="4"/>
  <c r="G2711" i="4"/>
  <c r="G2710" i="4"/>
  <c r="G2709" i="4"/>
  <c r="G2708" i="4"/>
  <c r="G2707" i="4"/>
  <c r="G2706" i="4"/>
  <c r="G2705" i="4"/>
  <c r="G2704" i="4"/>
  <c r="G2703" i="4"/>
  <c r="G2702" i="4"/>
  <c r="G2701" i="4"/>
  <c r="G2700" i="4"/>
  <c r="G2699" i="4"/>
  <c r="G2698" i="4"/>
  <c r="G2697" i="4"/>
  <c r="G2696" i="4"/>
  <c r="G2695" i="4"/>
  <c r="G2694" i="4"/>
  <c r="G2693" i="4"/>
  <c r="G2692" i="4"/>
  <c r="G2691" i="4"/>
  <c r="G2690" i="4"/>
  <c r="G2689" i="4"/>
  <c r="G2688" i="4"/>
  <c r="G2687" i="4"/>
  <c r="G2686" i="4"/>
  <c r="G2685" i="4"/>
  <c r="G2684" i="4"/>
  <c r="G2683" i="4"/>
  <c r="G2682" i="4"/>
  <c r="G2681" i="4"/>
  <c r="G2680" i="4"/>
  <c r="G2679" i="4"/>
  <c r="G2678" i="4"/>
  <c r="G2677" i="4"/>
  <c r="G2676" i="4"/>
  <c r="G2675" i="4"/>
  <c r="G2674" i="4"/>
  <c r="G2673" i="4"/>
  <c r="G2672" i="4"/>
  <c r="G2671" i="4"/>
  <c r="G2670" i="4"/>
  <c r="G2669" i="4"/>
  <c r="G2668" i="4"/>
  <c r="G2667" i="4"/>
  <c r="G2666" i="4"/>
  <c r="G2665" i="4"/>
  <c r="G2664" i="4"/>
  <c r="G2663" i="4"/>
  <c r="G2662" i="4"/>
  <c r="G2661" i="4"/>
  <c r="G2660" i="4"/>
  <c r="G2659" i="4"/>
  <c r="G2658" i="4"/>
  <c r="G2657" i="4"/>
  <c r="G2656" i="4"/>
  <c r="G2655" i="4"/>
  <c r="G2654" i="4"/>
  <c r="G2653" i="4"/>
  <c r="G2652" i="4"/>
  <c r="G2651" i="4"/>
  <c r="G2650" i="4"/>
  <c r="G2649" i="4"/>
  <c r="G2648" i="4"/>
  <c r="G2647" i="4"/>
  <c r="G2646" i="4"/>
  <c r="G2645" i="4"/>
  <c r="G2644" i="4"/>
  <c r="G2643" i="4"/>
  <c r="G2642" i="4"/>
  <c r="G2641" i="4"/>
  <c r="G2640" i="4"/>
  <c r="G2639" i="4"/>
  <c r="G2638" i="4"/>
  <c r="G2637" i="4"/>
  <c r="G2636" i="4"/>
  <c r="G2635" i="4"/>
  <c r="G2634" i="4"/>
  <c r="G2633" i="4"/>
  <c r="G2632" i="4"/>
  <c r="G2631" i="4"/>
  <c r="G2630" i="4"/>
  <c r="G2629" i="4"/>
  <c r="G2628" i="4"/>
  <c r="G2627" i="4"/>
  <c r="G2626" i="4"/>
  <c r="G2625" i="4"/>
  <c r="G2624" i="4"/>
  <c r="G2623" i="4"/>
  <c r="G2622" i="4"/>
  <c r="G2621" i="4"/>
  <c r="G2620" i="4"/>
  <c r="G2619" i="4"/>
  <c r="G2618" i="4"/>
  <c r="G2617" i="4"/>
  <c r="G2616" i="4"/>
  <c r="G2615" i="4"/>
  <c r="G2614" i="4"/>
  <c r="G2613" i="4"/>
  <c r="G2612" i="4"/>
  <c r="G2611" i="4"/>
  <c r="G2610" i="4"/>
  <c r="G2609" i="4"/>
  <c r="G2608" i="4"/>
  <c r="G2607" i="4"/>
  <c r="G2606" i="4"/>
  <c r="G2605" i="4"/>
  <c r="G2604" i="4"/>
  <c r="G2603" i="4"/>
  <c r="G2602" i="4"/>
  <c r="G2601" i="4"/>
  <c r="G2600" i="4"/>
  <c r="G2599" i="4"/>
  <c r="G2598" i="4"/>
  <c r="G2597" i="4"/>
  <c r="G2596" i="4"/>
  <c r="G2595" i="4"/>
  <c r="G2594" i="4"/>
  <c r="G2593" i="4"/>
  <c r="G2592" i="4"/>
  <c r="G2591" i="4"/>
  <c r="G2590" i="4"/>
  <c r="G2589" i="4"/>
  <c r="G2588" i="4"/>
  <c r="G2587" i="4"/>
  <c r="G2586" i="4"/>
  <c r="G2585" i="4"/>
  <c r="G2584" i="4"/>
  <c r="G2583" i="4"/>
  <c r="G2582" i="4"/>
  <c r="G2581" i="4"/>
  <c r="G2580" i="4"/>
  <c r="G2579" i="4"/>
  <c r="G2578" i="4"/>
  <c r="G2577" i="4"/>
  <c r="G2576" i="4"/>
  <c r="G2575" i="4"/>
  <c r="G2574" i="4"/>
  <c r="G2573" i="4"/>
  <c r="G2572" i="4"/>
  <c r="G2571" i="4"/>
  <c r="G2570" i="4"/>
  <c r="G2569" i="4"/>
  <c r="G2568" i="4"/>
  <c r="G2567" i="4"/>
  <c r="G2566" i="4"/>
  <c r="G2565" i="4"/>
  <c r="G2564" i="4"/>
  <c r="G2563" i="4"/>
  <c r="G2562" i="4"/>
  <c r="G2561" i="4"/>
  <c r="G2560" i="4"/>
  <c r="G2559" i="4"/>
  <c r="G2558" i="4"/>
  <c r="G2557" i="4"/>
  <c r="G2556" i="4"/>
  <c r="G2555" i="4"/>
  <c r="G2554" i="4"/>
  <c r="G2553" i="4"/>
  <c r="G2552" i="4"/>
  <c r="G2551" i="4"/>
  <c r="G2550" i="4"/>
  <c r="G2549" i="4"/>
  <c r="G2548" i="4"/>
  <c r="G2547" i="4"/>
  <c r="G2546" i="4"/>
  <c r="G2545" i="4"/>
  <c r="G2544" i="4"/>
  <c r="G2543" i="4"/>
  <c r="G2542" i="4"/>
  <c r="G2541" i="4"/>
  <c r="G2540" i="4"/>
  <c r="G2539" i="4"/>
  <c r="G2538" i="4"/>
  <c r="G2537" i="4"/>
  <c r="G2536" i="4"/>
  <c r="G2535" i="4"/>
  <c r="G2534" i="4"/>
  <c r="G2533" i="4"/>
  <c r="G2532" i="4"/>
  <c r="G2531" i="4"/>
  <c r="G2530" i="4"/>
  <c r="G2529" i="4"/>
  <c r="G2528" i="4"/>
  <c r="G2527" i="4"/>
  <c r="G2526" i="4"/>
  <c r="G2525" i="4"/>
  <c r="G2524" i="4"/>
  <c r="G2523" i="4"/>
  <c r="G2522" i="4"/>
  <c r="G2521" i="4"/>
  <c r="G2520" i="4"/>
  <c r="G2519" i="4"/>
  <c r="G2518" i="4"/>
  <c r="G2517" i="4"/>
  <c r="G2516" i="4"/>
  <c r="G2515" i="4"/>
  <c r="G2514" i="4"/>
  <c r="G2513" i="4"/>
  <c r="G2512" i="4"/>
  <c r="G2511" i="4"/>
  <c r="G2510" i="4"/>
  <c r="G2509" i="4"/>
  <c r="G2508" i="4"/>
  <c r="G2507" i="4"/>
  <c r="G2506" i="4"/>
  <c r="G2505" i="4"/>
  <c r="G2504" i="4"/>
  <c r="G2503" i="4"/>
  <c r="G2502" i="4"/>
  <c r="G2501" i="4"/>
  <c r="G2500" i="4"/>
  <c r="G2499" i="4"/>
  <c r="G2498" i="4"/>
  <c r="G2497" i="4"/>
  <c r="G2496" i="4"/>
  <c r="G2495" i="4"/>
  <c r="G2494" i="4"/>
  <c r="G2493" i="4"/>
  <c r="G2492" i="4"/>
  <c r="G2491" i="4"/>
  <c r="G2490" i="4"/>
  <c r="G2489" i="4"/>
  <c r="G2488" i="4"/>
  <c r="G2487" i="4"/>
  <c r="G2486" i="4"/>
  <c r="G2485" i="4"/>
  <c r="G2484" i="4"/>
  <c r="G2483" i="4"/>
  <c r="G2482" i="4"/>
  <c r="G2481" i="4"/>
  <c r="G2480" i="4"/>
  <c r="G2479" i="4"/>
  <c r="G2478" i="4"/>
  <c r="G2477" i="4"/>
  <c r="G2476" i="4"/>
  <c r="G2475" i="4"/>
  <c r="G2474" i="4"/>
  <c r="G2473" i="4"/>
  <c r="G2472" i="4"/>
  <c r="G2471" i="4"/>
  <c r="G2470" i="4"/>
  <c r="G2469" i="4"/>
  <c r="G2468" i="4"/>
  <c r="G2467" i="4"/>
  <c r="G2466" i="4"/>
  <c r="G2465" i="4"/>
  <c r="G2464" i="4"/>
  <c r="G2463" i="4"/>
  <c r="G2462" i="4"/>
  <c r="G2461" i="4"/>
  <c r="G2460" i="4"/>
  <c r="G2459" i="4"/>
  <c r="G2458" i="4"/>
  <c r="G2457" i="4"/>
  <c r="G2456" i="4"/>
  <c r="G2455" i="4"/>
  <c r="G2454" i="4"/>
  <c r="G2453" i="4"/>
  <c r="G2452" i="4"/>
  <c r="G2451" i="4"/>
  <c r="G2450" i="4"/>
  <c r="G2449" i="4"/>
  <c r="G2448" i="4"/>
  <c r="G2447" i="4"/>
  <c r="G2446" i="4"/>
  <c r="G2445" i="4"/>
  <c r="G2444" i="4"/>
  <c r="G2443" i="4"/>
  <c r="G2442" i="4"/>
  <c r="G2441" i="4"/>
  <c r="G2440" i="4"/>
  <c r="G2439" i="4"/>
  <c r="G2438" i="4"/>
  <c r="G2437" i="4"/>
  <c r="G2436" i="4"/>
  <c r="G2435" i="4"/>
  <c r="G2434" i="4"/>
  <c r="G2433" i="4"/>
  <c r="G2432" i="4"/>
  <c r="G2431" i="4"/>
  <c r="G2430" i="4"/>
  <c r="G2429" i="4"/>
  <c r="G2428" i="4"/>
  <c r="G2427" i="4"/>
  <c r="G2426" i="4"/>
  <c r="G2425" i="4"/>
  <c r="G2424" i="4"/>
  <c r="G2423" i="4"/>
  <c r="G2422" i="4"/>
  <c r="G2421" i="4"/>
  <c r="G2420" i="4"/>
  <c r="G2419" i="4"/>
  <c r="G2418" i="4"/>
  <c r="G2417" i="4"/>
  <c r="G2416" i="4"/>
  <c r="G2415" i="4"/>
  <c r="G2414" i="4"/>
  <c r="G2413" i="4"/>
  <c r="G2412" i="4"/>
  <c r="G2411" i="4"/>
  <c r="G2410" i="4"/>
  <c r="G2409" i="4"/>
  <c r="G2408" i="4"/>
  <c r="G2407" i="4"/>
  <c r="G2406" i="4"/>
  <c r="G2405" i="4"/>
  <c r="G2404" i="4"/>
  <c r="G2403" i="4"/>
  <c r="G2402" i="4"/>
  <c r="G2401" i="4"/>
  <c r="G2400" i="4"/>
  <c r="G2399" i="4"/>
  <c r="G2398" i="4"/>
  <c r="G2397" i="4"/>
  <c r="G2396" i="4"/>
  <c r="G2395" i="4"/>
  <c r="G2394" i="4"/>
  <c r="G2393" i="4"/>
  <c r="G2392" i="4"/>
  <c r="G2391" i="4"/>
  <c r="G2390" i="4"/>
  <c r="G2389" i="4"/>
  <c r="G2388" i="4"/>
  <c r="G2387" i="4"/>
  <c r="G2386" i="4"/>
  <c r="G2385" i="4"/>
  <c r="G2384" i="4"/>
  <c r="G2383" i="4"/>
  <c r="G2382" i="4"/>
  <c r="G2381" i="4"/>
  <c r="G2380" i="4"/>
  <c r="G2379" i="4"/>
  <c r="G2378" i="4"/>
  <c r="G2377" i="4"/>
  <c r="G2376" i="4"/>
  <c r="G2375" i="4"/>
  <c r="G2374" i="4"/>
  <c r="G2373" i="4"/>
  <c r="G2372" i="4"/>
  <c r="G2371" i="4"/>
  <c r="G2370" i="4"/>
  <c r="G2369" i="4"/>
  <c r="G2368" i="4"/>
  <c r="G2367" i="4"/>
  <c r="G2366" i="4"/>
  <c r="G2365" i="4"/>
  <c r="G2364" i="4"/>
  <c r="G2363" i="4"/>
  <c r="G2362" i="4"/>
  <c r="G2361" i="4"/>
  <c r="G2360" i="4"/>
  <c r="G2359" i="4"/>
  <c r="G2358" i="4"/>
  <c r="G2357" i="4"/>
  <c r="G2356" i="4"/>
  <c r="G2355" i="4"/>
  <c r="G2354" i="4"/>
  <c r="G2353" i="4"/>
  <c r="G2352" i="4"/>
  <c r="G2351" i="4"/>
  <c r="G2350" i="4"/>
  <c r="G2349" i="4"/>
  <c r="G2348" i="4"/>
  <c r="G2347" i="4"/>
  <c r="G2346" i="4"/>
  <c r="G2345" i="4"/>
  <c r="G2344" i="4"/>
  <c r="G2343" i="4"/>
  <c r="G2342" i="4"/>
  <c r="G2341" i="4"/>
  <c r="G2340" i="4"/>
  <c r="G2339" i="4"/>
  <c r="G2338" i="4"/>
  <c r="G2337" i="4"/>
  <c r="G2336" i="4"/>
  <c r="G2335" i="4"/>
  <c r="G2334" i="4"/>
  <c r="G2333" i="4"/>
  <c r="G2332" i="4"/>
  <c r="G2331" i="4"/>
  <c r="G2330" i="4"/>
  <c r="G2329" i="4"/>
  <c r="G2328" i="4"/>
  <c r="G2327" i="4"/>
  <c r="G2326" i="4"/>
  <c r="G2325" i="4"/>
  <c r="G2324" i="4"/>
  <c r="G2323" i="4"/>
  <c r="G2322" i="4"/>
  <c r="G2321" i="4"/>
  <c r="G2320" i="4"/>
  <c r="G2319" i="4"/>
  <c r="G2318" i="4"/>
  <c r="G2317" i="4"/>
  <c r="G2316" i="4"/>
  <c r="G2315" i="4"/>
  <c r="G2314" i="4"/>
  <c r="G2313" i="4"/>
  <c r="G2312" i="4"/>
  <c r="G2311" i="4"/>
  <c r="G2310" i="4"/>
  <c r="G2309" i="4"/>
  <c r="G2308" i="4"/>
  <c r="G2307" i="4"/>
  <c r="G2306" i="4"/>
  <c r="G2305" i="4"/>
  <c r="G2304" i="4"/>
  <c r="G2303" i="4"/>
  <c r="G2302" i="4"/>
  <c r="G2301" i="4"/>
  <c r="G2300" i="4"/>
  <c r="G2299" i="4"/>
  <c r="G2298" i="4"/>
  <c r="G2297" i="4"/>
  <c r="G2296" i="4"/>
  <c r="G2295" i="4"/>
  <c r="G2294" i="4"/>
  <c r="G2293" i="4"/>
  <c r="G2292" i="4"/>
  <c r="G2291" i="4"/>
  <c r="G2290" i="4"/>
  <c r="G2289" i="4"/>
  <c r="G2288" i="4"/>
  <c r="G2287" i="4"/>
  <c r="G2286" i="4"/>
  <c r="G2285" i="4"/>
  <c r="G2284" i="4"/>
  <c r="G2283" i="4"/>
  <c r="G2282" i="4"/>
  <c r="G2281" i="4"/>
  <c r="G2280" i="4"/>
  <c r="G2279" i="4"/>
  <c r="G2278" i="4"/>
  <c r="G2277" i="4"/>
  <c r="G2276" i="4"/>
  <c r="G2275" i="4"/>
  <c r="G2274" i="4"/>
  <c r="G2273" i="4"/>
  <c r="G2272" i="4"/>
  <c r="G2271" i="4"/>
  <c r="G2270" i="4"/>
  <c r="G2269" i="4"/>
  <c r="G2268" i="4"/>
  <c r="G2267" i="4"/>
  <c r="G2266" i="4"/>
  <c r="G2265" i="4"/>
  <c r="G2264" i="4"/>
  <c r="G2263" i="4"/>
  <c r="G2262" i="4"/>
  <c r="G2261" i="4"/>
  <c r="G2260" i="4"/>
  <c r="G2259" i="4"/>
  <c r="G2258" i="4"/>
  <c r="G2257" i="4"/>
  <c r="G2256" i="4"/>
  <c r="G2255" i="4"/>
  <c r="G2254" i="4"/>
  <c r="G2253" i="4"/>
  <c r="G2252" i="4"/>
  <c r="G2251" i="4"/>
  <c r="G2250" i="4"/>
  <c r="G2249" i="4"/>
  <c r="G2248" i="4"/>
  <c r="G2247" i="4"/>
  <c r="G2246" i="4"/>
  <c r="G2245" i="4"/>
  <c r="G2244" i="4"/>
  <c r="G2243" i="4"/>
  <c r="G2242" i="4"/>
  <c r="G2241" i="4"/>
  <c r="G2240" i="4"/>
  <c r="G2239" i="4"/>
  <c r="G2238" i="4"/>
  <c r="G2237" i="4"/>
  <c r="G2236" i="4"/>
  <c r="G2235" i="4"/>
  <c r="G2234" i="4"/>
  <c r="G2233" i="4"/>
  <c r="G2232" i="4"/>
  <c r="G2231" i="4"/>
  <c r="G2230" i="4"/>
  <c r="G2229" i="4"/>
  <c r="G2228" i="4"/>
  <c r="G2227" i="4"/>
  <c r="G2226" i="4"/>
  <c r="G2225" i="4"/>
  <c r="G2224" i="4"/>
  <c r="G2223" i="4"/>
  <c r="G2222" i="4"/>
  <c r="G2221" i="4"/>
  <c r="G2220" i="4"/>
  <c r="G2219" i="4"/>
  <c r="G2218" i="4"/>
  <c r="G2217" i="4"/>
  <c r="G2216" i="4"/>
  <c r="G2215" i="4"/>
  <c r="G2214" i="4"/>
  <c r="G2213" i="4"/>
  <c r="G2212" i="4"/>
  <c r="G2211" i="4"/>
  <c r="G2210" i="4"/>
  <c r="G2209" i="4"/>
  <c r="G2208" i="4"/>
  <c r="G2207" i="4"/>
  <c r="G2206" i="4"/>
  <c r="G2205" i="4"/>
  <c r="G2204" i="4"/>
  <c r="G2203" i="4"/>
  <c r="G2202" i="4"/>
  <c r="G2201" i="4"/>
  <c r="G2200" i="4"/>
  <c r="G2199" i="4"/>
  <c r="G2198" i="4"/>
  <c r="G2197" i="4"/>
  <c r="G2196" i="4"/>
  <c r="G2195" i="4"/>
  <c r="G2194" i="4"/>
  <c r="G2193" i="4"/>
  <c r="G2192" i="4"/>
  <c r="G2191" i="4"/>
  <c r="G2190" i="4"/>
  <c r="G2189" i="4"/>
  <c r="G2188" i="4"/>
  <c r="G2187" i="4"/>
  <c r="G2186" i="4"/>
  <c r="G2185" i="4"/>
  <c r="G2184" i="4"/>
  <c r="G2183" i="4"/>
  <c r="G2182" i="4"/>
  <c r="G2181" i="4"/>
  <c r="G2180" i="4"/>
  <c r="G2179" i="4"/>
  <c r="G2178" i="4"/>
  <c r="G2177" i="4"/>
  <c r="G2176" i="4"/>
  <c r="G2175" i="4"/>
  <c r="G2174" i="4"/>
  <c r="G2173" i="4"/>
  <c r="G2172" i="4"/>
  <c r="G2171" i="4"/>
  <c r="G2170" i="4"/>
  <c r="G2169" i="4"/>
  <c r="G2168" i="4"/>
  <c r="G2167" i="4"/>
  <c r="G2166" i="4"/>
  <c r="G2165" i="4"/>
  <c r="G2164" i="4"/>
  <c r="G2163" i="4"/>
  <c r="G2162" i="4"/>
  <c r="G2161" i="4"/>
  <c r="G2160" i="4"/>
  <c r="G2159" i="4"/>
  <c r="G2158" i="4"/>
  <c r="G2157" i="4"/>
  <c r="G2156" i="4"/>
  <c r="G2155" i="4"/>
  <c r="G2154" i="4"/>
  <c r="G2153" i="4"/>
  <c r="G2152" i="4"/>
  <c r="G2151" i="4"/>
  <c r="G2150" i="4"/>
  <c r="G2149" i="4"/>
  <c r="G2148" i="4"/>
  <c r="G2147" i="4"/>
  <c r="G2146" i="4"/>
  <c r="G2145" i="4"/>
  <c r="G2144" i="4"/>
  <c r="G2143" i="4"/>
  <c r="G2142" i="4"/>
  <c r="G2141" i="4"/>
  <c r="G2140" i="4"/>
  <c r="G2139" i="4"/>
  <c r="G2138" i="4"/>
  <c r="G2137" i="4"/>
  <c r="G2136" i="4"/>
  <c r="G2135" i="4"/>
  <c r="G2134" i="4"/>
  <c r="G2133" i="4"/>
  <c r="G2132" i="4"/>
  <c r="G2131" i="4"/>
  <c r="G2130" i="4"/>
  <c r="G2129" i="4"/>
  <c r="G2128" i="4"/>
  <c r="G2127" i="4"/>
  <c r="G2126" i="4"/>
  <c r="G2125" i="4"/>
  <c r="G2124" i="4"/>
  <c r="G2123" i="4"/>
  <c r="G2122" i="4"/>
  <c r="G2121" i="4"/>
  <c r="G2120" i="4"/>
  <c r="G2119" i="4"/>
  <c r="G2118" i="4"/>
  <c r="G2117" i="4"/>
  <c r="G2116" i="4"/>
  <c r="G2115" i="4"/>
  <c r="G2114" i="4"/>
  <c r="G2113" i="4"/>
  <c r="G2112" i="4"/>
  <c r="G2111" i="4"/>
  <c r="G2110" i="4"/>
  <c r="G2109" i="4"/>
  <c r="G2108" i="4"/>
  <c r="G2107" i="4"/>
  <c r="G2106" i="4"/>
  <c r="G2105" i="4"/>
  <c r="G2104" i="4"/>
  <c r="G2103" i="4"/>
  <c r="G2102" i="4"/>
  <c r="G2101" i="4"/>
  <c r="G2100" i="4"/>
  <c r="G2099" i="4"/>
  <c r="G2098" i="4"/>
  <c r="G2097" i="4"/>
  <c r="G2096" i="4"/>
  <c r="G2095" i="4"/>
  <c r="G2094" i="4"/>
  <c r="G2093" i="4"/>
  <c r="G2092" i="4"/>
  <c r="G2091" i="4"/>
  <c r="G2090" i="4"/>
  <c r="G2089" i="4"/>
  <c r="G2088" i="4"/>
  <c r="G2087" i="4"/>
  <c r="G2086" i="4"/>
  <c r="G2085" i="4"/>
  <c r="G2084" i="4"/>
  <c r="G2083" i="4"/>
  <c r="G2082" i="4"/>
  <c r="G2081" i="4"/>
  <c r="G2080" i="4"/>
  <c r="G2079" i="4"/>
  <c r="G2078" i="4"/>
  <c r="G2077" i="4"/>
  <c r="G2076" i="4"/>
  <c r="G2075" i="4"/>
  <c r="G2074" i="4"/>
  <c r="G2073" i="4"/>
  <c r="G2072" i="4"/>
  <c r="G2071" i="4"/>
  <c r="G2070" i="4"/>
  <c r="G2069" i="4"/>
  <c r="G2068" i="4"/>
  <c r="G2067" i="4"/>
  <c r="G2066" i="4"/>
  <c r="G2065" i="4"/>
  <c r="G2064" i="4"/>
  <c r="G2063" i="4"/>
  <c r="G2062" i="4"/>
  <c r="G2061" i="4"/>
  <c r="G2060" i="4"/>
  <c r="G2059" i="4"/>
  <c r="G2058" i="4"/>
  <c r="G2057" i="4"/>
  <c r="G2056" i="4"/>
  <c r="G2055" i="4"/>
  <c r="G2054" i="4"/>
  <c r="G2053" i="4"/>
  <c r="G2052" i="4"/>
  <c r="G2051" i="4"/>
  <c r="G2050" i="4"/>
  <c r="G2049" i="4"/>
  <c r="G2048" i="4"/>
  <c r="G2047" i="4"/>
  <c r="G2046" i="4"/>
  <c r="G2045" i="4"/>
  <c r="G2044" i="4"/>
  <c r="G2043" i="4"/>
  <c r="G2042" i="4"/>
  <c r="G2041" i="4"/>
  <c r="G2040" i="4"/>
  <c r="G2039" i="4"/>
  <c r="G2038" i="4"/>
  <c r="G2037" i="4"/>
  <c r="G2036" i="4"/>
  <c r="G2035" i="4"/>
  <c r="G2034" i="4"/>
  <c r="G2033" i="4"/>
  <c r="G2032" i="4"/>
  <c r="G2031" i="4"/>
  <c r="G2030" i="4"/>
  <c r="G2029" i="4"/>
  <c r="G2028" i="4"/>
  <c r="G2027" i="4"/>
  <c r="G2026" i="4"/>
  <c r="G2025" i="4"/>
  <c r="G2024" i="4"/>
  <c r="G2023" i="4"/>
  <c r="G2022" i="4"/>
  <c r="G2021" i="4"/>
  <c r="G2020" i="4"/>
  <c r="G2019" i="4"/>
  <c r="G2018" i="4"/>
  <c r="G2017" i="4"/>
  <c r="G2016" i="4"/>
  <c r="G2015" i="4"/>
  <c r="G2014" i="4"/>
  <c r="G2013" i="4"/>
  <c r="G2012" i="4"/>
  <c r="G2011" i="4"/>
  <c r="G2010" i="4"/>
  <c r="G2009" i="4"/>
  <c r="G2008" i="4"/>
  <c r="G2007" i="4"/>
  <c r="G2006" i="4"/>
  <c r="G2005" i="4"/>
  <c r="G2004" i="4"/>
  <c r="G2003" i="4"/>
  <c r="G2002" i="4"/>
  <c r="G2001" i="4"/>
  <c r="G2000" i="4"/>
  <c r="G1999" i="4"/>
  <c r="G1998" i="4"/>
  <c r="G1997" i="4"/>
  <c r="G1996" i="4"/>
  <c r="G1995" i="4"/>
  <c r="G1994" i="4"/>
  <c r="G1993" i="4"/>
  <c r="G1992" i="4"/>
  <c r="G1991" i="4"/>
  <c r="G1990" i="4"/>
  <c r="G1989" i="4"/>
  <c r="G1988" i="4"/>
  <c r="G1987" i="4"/>
  <c r="G1986" i="4"/>
  <c r="G1985" i="4"/>
  <c r="G1984" i="4"/>
  <c r="G1983" i="4"/>
  <c r="G1982" i="4"/>
  <c r="G1981" i="4"/>
  <c r="G1980" i="4"/>
  <c r="G1979" i="4"/>
  <c r="G1978" i="4"/>
  <c r="G1977" i="4"/>
  <c r="G1976" i="4"/>
  <c r="G1975" i="4"/>
  <c r="G1974" i="4"/>
  <c r="G1973" i="4"/>
  <c r="G1972" i="4"/>
  <c r="G1971" i="4"/>
  <c r="G1970" i="4"/>
  <c r="G1969" i="4"/>
  <c r="G1968" i="4"/>
  <c r="G1967" i="4"/>
  <c r="G1966" i="4"/>
  <c r="G1965" i="4"/>
  <c r="G1964" i="4"/>
  <c r="G1963" i="4"/>
  <c r="G1962" i="4"/>
  <c r="G1961" i="4"/>
  <c r="G1960" i="4"/>
  <c r="G1959" i="4"/>
  <c r="G1958" i="4"/>
  <c r="G1957" i="4"/>
  <c r="G1956" i="4"/>
  <c r="G1955" i="4"/>
  <c r="G1954" i="4"/>
  <c r="G1953" i="4"/>
  <c r="G1952" i="4"/>
  <c r="G1951" i="4"/>
  <c r="G1950" i="4"/>
  <c r="G1949" i="4"/>
  <c r="G1948" i="4"/>
  <c r="G1947" i="4"/>
  <c r="G1946" i="4"/>
  <c r="G1945" i="4"/>
  <c r="G1944" i="4"/>
  <c r="G1943" i="4"/>
  <c r="G1942" i="4"/>
  <c r="G1941" i="4"/>
  <c r="G1940" i="4"/>
  <c r="G1939" i="4"/>
  <c r="G1938" i="4"/>
  <c r="G1937" i="4"/>
  <c r="G1936" i="4"/>
  <c r="G1935" i="4"/>
  <c r="G1934" i="4"/>
  <c r="G1933" i="4"/>
  <c r="G1932" i="4"/>
  <c r="G1931" i="4"/>
  <c r="G1930" i="4"/>
  <c r="G1929" i="4"/>
  <c r="G1928" i="4"/>
  <c r="G1927" i="4"/>
  <c r="G1926" i="4"/>
  <c r="G1925" i="4"/>
  <c r="G1924" i="4"/>
  <c r="G1923" i="4"/>
  <c r="G1922" i="4"/>
  <c r="G1921" i="4"/>
  <c r="G1920" i="4"/>
  <c r="G1919" i="4"/>
  <c r="G1918" i="4"/>
  <c r="G1917" i="4"/>
  <c r="G1916" i="4"/>
  <c r="G1915" i="4"/>
  <c r="G1914" i="4"/>
  <c r="G1913" i="4"/>
  <c r="G1912" i="4"/>
  <c r="G1911" i="4"/>
  <c r="G1910" i="4"/>
  <c r="G1909" i="4"/>
  <c r="G1908" i="4"/>
  <c r="G1907" i="4"/>
  <c r="G1906" i="4"/>
  <c r="G1905" i="4"/>
  <c r="G1904" i="4"/>
  <c r="G1903" i="4"/>
  <c r="G1902" i="4"/>
  <c r="G1901" i="4"/>
  <c r="G1900" i="4"/>
  <c r="G1899" i="4"/>
  <c r="G1898" i="4"/>
  <c r="G1897" i="4"/>
  <c r="G1896" i="4"/>
  <c r="G1895" i="4"/>
  <c r="G1894" i="4"/>
  <c r="G1893" i="4"/>
  <c r="G1892" i="4"/>
  <c r="G1891" i="4"/>
  <c r="G1890" i="4"/>
  <c r="G1889" i="4"/>
  <c r="G1888" i="4"/>
  <c r="G1887" i="4"/>
  <c r="G1886" i="4"/>
  <c r="G1885" i="4"/>
  <c r="G1884" i="4"/>
  <c r="G1883" i="4"/>
  <c r="G1882" i="4"/>
  <c r="G1881" i="4"/>
  <c r="G1880" i="4"/>
  <c r="G1879" i="4"/>
  <c r="G1878" i="4"/>
  <c r="G1877" i="4"/>
  <c r="G1876" i="4"/>
  <c r="G1875" i="4"/>
  <c r="G1874" i="4"/>
  <c r="G1873" i="4"/>
  <c r="G1872" i="4"/>
  <c r="G1871" i="4"/>
  <c r="G1870" i="4"/>
  <c r="G1869" i="4"/>
  <c r="G1868" i="4"/>
  <c r="G1867" i="4"/>
  <c r="G1866" i="4"/>
  <c r="G1865" i="4"/>
  <c r="G1864" i="4"/>
  <c r="G1863" i="4"/>
  <c r="G1862" i="4"/>
  <c r="G1861" i="4"/>
  <c r="G1860" i="4"/>
  <c r="G1859" i="4"/>
  <c r="G1858" i="4"/>
  <c r="G1857" i="4"/>
  <c r="G1856" i="4"/>
  <c r="G1855" i="4"/>
  <c r="G1854" i="4"/>
  <c r="G1853" i="4"/>
  <c r="G1852" i="4"/>
  <c r="G1851" i="4"/>
  <c r="G1850" i="4"/>
  <c r="G1849" i="4"/>
  <c r="G1848" i="4"/>
  <c r="G1847" i="4"/>
  <c r="G1846" i="4"/>
  <c r="G1845" i="4"/>
  <c r="G1844" i="4"/>
  <c r="G1843" i="4"/>
  <c r="G1842" i="4"/>
  <c r="G1841" i="4"/>
  <c r="G1840" i="4"/>
  <c r="G1839" i="4"/>
  <c r="G1838" i="4"/>
  <c r="G1837" i="4"/>
  <c r="G1836" i="4"/>
  <c r="G1835" i="4"/>
  <c r="G1834" i="4"/>
  <c r="G1833" i="4"/>
  <c r="G1832" i="4"/>
  <c r="G1831" i="4"/>
  <c r="G1830" i="4"/>
  <c r="G1829" i="4"/>
  <c r="G1828" i="4"/>
  <c r="G1827" i="4"/>
  <c r="G1826" i="4"/>
  <c r="G1825" i="4"/>
  <c r="G1824" i="4"/>
  <c r="G1823" i="4"/>
  <c r="G1822" i="4"/>
  <c r="G1821" i="4"/>
  <c r="G1820" i="4"/>
  <c r="G1819" i="4"/>
  <c r="G1818" i="4"/>
  <c r="G1817" i="4"/>
  <c r="G1816" i="4"/>
  <c r="G1815" i="4"/>
  <c r="G1814" i="4"/>
  <c r="G1813" i="4"/>
  <c r="G1812" i="4"/>
  <c r="G1811" i="4"/>
  <c r="G1810" i="4"/>
  <c r="G1809" i="4"/>
  <c r="G1808" i="4"/>
  <c r="G1807" i="4"/>
  <c r="G1806" i="4"/>
  <c r="G1805" i="4"/>
  <c r="G1804" i="4"/>
  <c r="G1803" i="4"/>
  <c r="G1802" i="4"/>
  <c r="G1801" i="4"/>
  <c r="G1800" i="4"/>
  <c r="G1799" i="4"/>
  <c r="G1798" i="4"/>
  <c r="G1797" i="4"/>
  <c r="G1796" i="4"/>
  <c r="G1795" i="4"/>
  <c r="G1794" i="4"/>
  <c r="G1793" i="4"/>
  <c r="G1792" i="4"/>
  <c r="G1791" i="4"/>
  <c r="G1790" i="4"/>
  <c r="G1789" i="4"/>
  <c r="G1788" i="4"/>
  <c r="G1787" i="4"/>
  <c r="G1786" i="4"/>
  <c r="G1785" i="4"/>
  <c r="G1784" i="4"/>
  <c r="G1783" i="4"/>
  <c r="G1782" i="4"/>
  <c r="G1781" i="4"/>
  <c r="G1780" i="4"/>
  <c r="G1779" i="4"/>
  <c r="G1778" i="4"/>
  <c r="G1777" i="4"/>
  <c r="G1776" i="4"/>
  <c r="G1775" i="4"/>
  <c r="G1774" i="4"/>
  <c r="G1773" i="4"/>
  <c r="G1772" i="4"/>
  <c r="G1771" i="4"/>
  <c r="G1770" i="4"/>
  <c r="G1769" i="4"/>
  <c r="G1768" i="4"/>
  <c r="G1767" i="4"/>
  <c r="G1766" i="4"/>
  <c r="G1765" i="4"/>
  <c r="G1764" i="4"/>
  <c r="G1763" i="4"/>
  <c r="G1762" i="4"/>
  <c r="G1761" i="4"/>
  <c r="G1760" i="4"/>
  <c r="G1759" i="4"/>
  <c r="G1758" i="4"/>
  <c r="G1757" i="4"/>
  <c r="G1756" i="4"/>
  <c r="G1755" i="4"/>
  <c r="G1754" i="4"/>
  <c r="G1753" i="4"/>
  <c r="G1752" i="4"/>
  <c r="G1751" i="4"/>
  <c r="G1750" i="4"/>
  <c r="G1749" i="4"/>
  <c r="G1748" i="4"/>
  <c r="G1747" i="4"/>
  <c r="G1746" i="4"/>
  <c r="G1745" i="4"/>
  <c r="G1744" i="4"/>
  <c r="G1743" i="4"/>
  <c r="G1742" i="4"/>
  <c r="G1741" i="4"/>
  <c r="G1740" i="4"/>
  <c r="G1739" i="4"/>
  <c r="G1738" i="4"/>
  <c r="G1737" i="4"/>
  <c r="G1736" i="4"/>
  <c r="G1735" i="4"/>
  <c r="G1734" i="4"/>
  <c r="G1733" i="4"/>
  <c r="G1732" i="4"/>
  <c r="G1731" i="4"/>
  <c r="G1730" i="4"/>
  <c r="G1729" i="4"/>
  <c r="G1728" i="4"/>
  <c r="G1727" i="4"/>
  <c r="G1726" i="4"/>
  <c r="G1725" i="4"/>
  <c r="G1724" i="4"/>
  <c r="G1723" i="4"/>
  <c r="G1722" i="4"/>
  <c r="G1721" i="4"/>
  <c r="G1720" i="4"/>
  <c r="G1719" i="4"/>
  <c r="G1718" i="4"/>
  <c r="G1717" i="4"/>
  <c r="G1716" i="4"/>
  <c r="G1715" i="4"/>
  <c r="G1714" i="4"/>
  <c r="G1713" i="4"/>
  <c r="G1712" i="4"/>
  <c r="G1711" i="4"/>
  <c r="G1710" i="4"/>
  <c r="G1709" i="4"/>
  <c r="G1708" i="4"/>
  <c r="G1707" i="4"/>
  <c r="G1706" i="4"/>
  <c r="G1705" i="4"/>
  <c r="G1704" i="4"/>
  <c r="G1703" i="4"/>
  <c r="G1702" i="4"/>
  <c r="G1701" i="4"/>
  <c r="G1700" i="4"/>
  <c r="G1699" i="4"/>
  <c r="G1698" i="4"/>
  <c r="G1697" i="4"/>
  <c r="G1696" i="4"/>
  <c r="G1695" i="4"/>
  <c r="G1694" i="4"/>
  <c r="G1693" i="4"/>
  <c r="G1692" i="4"/>
  <c r="G1691" i="4"/>
  <c r="G1690" i="4"/>
  <c r="G1689" i="4"/>
  <c r="G1688" i="4"/>
  <c r="G1687" i="4"/>
  <c r="G1686" i="4"/>
  <c r="G1685" i="4"/>
  <c r="G1684" i="4"/>
  <c r="G1683" i="4"/>
  <c r="G1682" i="4"/>
  <c r="G1681" i="4"/>
  <c r="G1680" i="4"/>
  <c r="G1679" i="4"/>
  <c r="G1678" i="4"/>
  <c r="G1677" i="4"/>
  <c r="G1676" i="4"/>
  <c r="G1675" i="4"/>
  <c r="G1674" i="4"/>
  <c r="G1673" i="4"/>
  <c r="G1672" i="4"/>
  <c r="G1671" i="4"/>
  <c r="G1670" i="4"/>
  <c r="G1669" i="4"/>
  <c r="G1668" i="4"/>
  <c r="G1667" i="4"/>
  <c r="G1666" i="4"/>
  <c r="G1665" i="4"/>
  <c r="G1664" i="4"/>
  <c r="G1663" i="4"/>
  <c r="G1662" i="4"/>
  <c r="G1661" i="4"/>
  <c r="G1660" i="4"/>
  <c r="G1659" i="4"/>
  <c r="G1658" i="4"/>
  <c r="G1657" i="4"/>
  <c r="G1656" i="4"/>
  <c r="G1655" i="4"/>
  <c r="G1654" i="4"/>
  <c r="G1653" i="4"/>
  <c r="G1652" i="4"/>
  <c r="G1651" i="4"/>
  <c r="G1650" i="4"/>
  <c r="G1649" i="4"/>
  <c r="G1648" i="4"/>
  <c r="G1647" i="4"/>
  <c r="G1646" i="4"/>
  <c r="G1645" i="4"/>
  <c r="G1644" i="4"/>
  <c r="G1643" i="4"/>
  <c r="G1642" i="4"/>
  <c r="G1641" i="4"/>
  <c r="G1640" i="4"/>
  <c r="G1639" i="4"/>
  <c r="G1638" i="4"/>
  <c r="G1637" i="4"/>
  <c r="G1636" i="4"/>
  <c r="G1635" i="4"/>
  <c r="G1634" i="4"/>
  <c r="G1633" i="4"/>
  <c r="G1632" i="4"/>
  <c r="G1631" i="4"/>
  <c r="G1630" i="4"/>
  <c r="G1629" i="4"/>
  <c r="G1628" i="4"/>
  <c r="G1627" i="4"/>
  <c r="G1626" i="4"/>
  <c r="G1625" i="4"/>
  <c r="G1624" i="4"/>
  <c r="G1623" i="4"/>
  <c r="G1622" i="4"/>
  <c r="G1621" i="4"/>
  <c r="G1620" i="4"/>
  <c r="G1619" i="4"/>
  <c r="G1618" i="4"/>
  <c r="G1617" i="4"/>
  <c r="G1616" i="4"/>
  <c r="G1615" i="4"/>
  <c r="G1614" i="4"/>
  <c r="G1613" i="4"/>
  <c r="G1612" i="4"/>
  <c r="G1611" i="4"/>
  <c r="G1610" i="4"/>
  <c r="G1609" i="4"/>
  <c r="G1608" i="4"/>
  <c r="G1607" i="4"/>
  <c r="G1606" i="4"/>
  <c r="G1605" i="4"/>
  <c r="G1604" i="4"/>
  <c r="G1603" i="4"/>
  <c r="G1602" i="4"/>
  <c r="G1601" i="4"/>
  <c r="G1600" i="4"/>
  <c r="G1599" i="4"/>
  <c r="G1598" i="4"/>
  <c r="G1597" i="4"/>
  <c r="G1596" i="4"/>
  <c r="G1595" i="4"/>
  <c r="G1594" i="4"/>
  <c r="G1593" i="4"/>
  <c r="G1592" i="4"/>
  <c r="G1591" i="4"/>
  <c r="G1590" i="4"/>
  <c r="G1589" i="4"/>
  <c r="G1588" i="4"/>
  <c r="G1587" i="4"/>
  <c r="G1586" i="4"/>
  <c r="G1585" i="4"/>
  <c r="G1584" i="4"/>
  <c r="G1583" i="4"/>
  <c r="G1582" i="4"/>
  <c r="G1581" i="4"/>
  <c r="G1580" i="4"/>
  <c r="G1579" i="4"/>
  <c r="G1578" i="4"/>
  <c r="G1577" i="4"/>
  <c r="G1576" i="4"/>
  <c r="G1575" i="4"/>
  <c r="G1574" i="4"/>
  <c r="G1573" i="4"/>
  <c r="G1572" i="4"/>
  <c r="G1571" i="4"/>
  <c r="G1570" i="4"/>
  <c r="G1569" i="4"/>
  <c r="G1568" i="4"/>
  <c r="G1567" i="4"/>
  <c r="G1566" i="4"/>
  <c r="G1565" i="4"/>
  <c r="G1564" i="4"/>
  <c r="G1563" i="4"/>
  <c r="G1562" i="4"/>
  <c r="G1561" i="4"/>
  <c r="G1560" i="4"/>
  <c r="G1559" i="4"/>
  <c r="G1558" i="4"/>
  <c r="G1557" i="4"/>
  <c r="G1556" i="4"/>
  <c r="G1555" i="4"/>
  <c r="G1554" i="4"/>
  <c r="G1553" i="4"/>
  <c r="G1552" i="4"/>
  <c r="G1551" i="4"/>
  <c r="G1550" i="4"/>
  <c r="G1549" i="4"/>
  <c r="G1548" i="4"/>
  <c r="G1547" i="4"/>
  <c r="G1546" i="4"/>
  <c r="G1545" i="4"/>
  <c r="G1544" i="4"/>
  <c r="G1543" i="4"/>
  <c r="G1542" i="4"/>
  <c r="G1541" i="4"/>
  <c r="G1540" i="4"/>
  <c r="G1539" i="4"/>
  <c r="G1538" i="4"/>
  <c r="G1537" i="4"/>
  <c r="G1536" i="4"/>
  <c r="G1535" i="4"/>
  <c r="G1534" i="4"/>
  <c r="G1533" i="4"/>
  <c r="G1532" i="4"/>
  <c r="G1531" i="4"/>
  <c r="G1530" i="4"/>
  <c r="G1529" i="4"/>
  <c r="G1528" i="4"/>
  <c r="G1527" i="4"/>
  <c r="G1526" i="4"/>
  <c r="G1525" i="4"/>
  <c r="G1524" i="4"/>
  <c r="G1523" i="4"/>
  <c r="G1522" i="4"/>
  <c r="G1521" i="4"/>
  <c r="G1520" i="4"/>
  <c r="G1519" i="4"/>
  <c r="G1518" i="4"/>
  <c r="G1517" i="4"/>
  <c r="G1516" i="4"/>
  <c r="G1515" i="4"/>
  <c r="G1514" i="4"/>
  <c r="G1513" i="4"/>
  <c r="G1512" i="4"/>
  <c r="G1511" i="4"/>
  <c r="G1510" i="4"/>
  <c r="G1509" i="4"/>
  <c r="G1508" i="4"/>
  <c r="G1507" i="4"/>
  <c r="G1506" i="4"/>
  <c r="G1505" i="4"/>
  <c r="G1504" i="4"/>
  <c r="G1503" i="4"/>
  <c r="G1502" i="4"/>
  <c r="G1501" i="4"/>
  <c r="G1500" i="4"/>
  <c r="G1499" i="4"/>
  <c r="G1498" i="4"/>
  <c r="G1497" i="4"/>
  <c r="G1496" i="4"/>
  <c r="G1495" i="4"/>
  <c r="G1494" i="4"/>
  <c r="G1493" i="4"/>
  <c r="G1492" i="4"/>
  <c r="G1491" i="4"/>
  <c r="G1490" i="4"/>
  <c r="G1489" i="4"/>
  <c r="G1488" i="4"/>
  <c r="G1487" i="4"/>
  <c r="G1486" i="4"/>
  <c r="G1485" i="4"/>
  <c r="G1484" i="4"/>
  <c r="G1483" i="4"/>
  <c r="G1482" i="4"/>
  <c r="G1481" i="4"/>
  <c r="G1480" i="4"/>
  <c r="G1479" i="4"/>
  <c r="G1478" i="4"/>
  <c r="G1477" i="4"/>
  <c r="G1476" i="4"/>
  <c r="G1475" i="4"/>
  <c r="G1474" i="4"/>
  <c r="G1473" i="4"/>
  <c r="G1472" i="4"/>
  <c r="G1471" i="4"/>
  <c r="G1470" i="4"/>
  <c r="G1469" i="4"/>
  <c r="G1468" i="4"/>
  <c r="G1467" i="4"/>
  <c r="G1466" i="4"/>
  <c r="G1465" i="4"/>
  <c r="G1464" i="4"/>
  <c r="G1463" i="4"/>
  <c r="G1462" i="4"/>
  <c r="G1461" i="4"/>
  <c r="G1460" i="4"/>
  <c r="G1459" i="4"/>
  <c r="G1458" i="4"/>
  <c r="G1457" i="4"/>
  <c r="G1456" i="4"/>
  <c r="G1455" i="4"/>
  <c r="G1454" i="4"/>
  <c r="G1453" i="4"/>
  <c r="G1452" i="4"/>
  <c r="G1451" i="4"/>
  <c r="G1450" i="4"/>
  <c r="G1449" i="4"/>
  <c r="G1448" i="4"/>
  <c r="G1447" i="4"/>
  <c r="G1446" i="4"/>
  <c r="G1445" i="4"/>
  <c r="G1444" i="4"/>
  <c r="G1443" i="4"/>
  <c r="G1442" i="4"/>
  <c r="G1441" i="4"/>
  <c r="G1440" i="4"/>
  <c r="G1439" i="4"/>
  <c r="G1438" i="4"/>
  <c r="G1437" i="4"/>
  <c r="G1436" i="4"/>
  <c r="G1435" i="4"/>
  <c r="G1434" i="4"/>
  <c r="G1433" i="4"/>
  <c r="G1432" i="4"/>
  <c r="G1431" i="4"/>
  <c r="G1430" i="4"/>
  <c r="G1429" i="4"/>
  <c r="G1428" i="4"/>
  <c r="G1427" i="4"/>
  <c r="G1426" i="4"/>
  <c r="G1425" i="4"/>
  <c r="G1424" i="4"/>
  <c r="G1423" i="4"/>
  <c r="G1422" i="4"/>
  <c r="G1421" i="4"/>
  <c r="G1420" i="4"/>
  <c r="G1419" i="4"/>
  <c r="G1418" i="4"/>
  <c r="G1417" i="4"/>
  <c r="G1416" i="4"/>
  <c r="G1415" i="4"/>
  <c r="G1414" i="4"/>
  <c r="G1413" i="4"/>
  <c r="G1412" i="4"/>
  <c r="G1411" i="4"/>
  <c r="G1410" i="4"/>
  <c r="G1409" i="4"/>
  <c r="G1408" i="4"/>
  <c r="G1407" i="4"/>
  <c r="G1406" i="4"/>
  <c r="G1405" i="4"/>
  <c r="G1404" i="4"/>
  <c r="G1403" i="4"/>
  <c r="G1402" i="4"/>
  <c r="G1401" i="4"/>
  <c r="G1400" i="4"/>
  <c r="G1399" i="4"/>
  <c r="G1398" i="4"/>
  <c r="G1397" i="4"/>
  <c r="G1396" i="4"/>
  <c r="G1395" i="4"/>
  <c r="G1394" i="4"/>
  <c r="G1393" i="4"/>
  <c r="G1392" i="4"/>
  <c r="G1391" i="4"/>
  <c r="G1390" i="4"/>
  <c r="G1389" i="4"/>
  <c r="G1388" i="4"/>
  <c r="G1387" i="4"/>
  <c r="G1386" i="4"/>
  <c r="G1385" i="4"/>
  <c r="G1384" i="4"/>
  <c r="G1383" i="4"/>
  <c r="G1382" i="4"/>
  <c r="G1381" i="4"/>
  <c r="G1380" i="4"/>
  <c r="G1379" i="4"/>
  <c r="G1378" i="4"/>
  <c r="G1377" i="4"/>
  <c r="G1376" i="4"/>
  <c r="G1375" i="4"/>
  <c r="G1374" i="4"/>
  <c r="G1373" i="4"/>
  <c r="G1372" i="4"/>
  <c r="G1371" i="4"/>
  <c r="G1370" i="4"/>
  <c r="G1369" i="4"/>
  <c r="G1368" i="4"/>
  <c r="G1367" i="4"/>
  <c r="G1366" i="4"/>
  <c r="G1365" i="4"/>
  <c r="G1364" i="4"/>
  <c r="G1363" i="4"/>
  <c r="G1362" i="4"/>
  <c r="G1361" i="4"/>
  <c r="G1360" i="4"/>
  <c r="G1359" i="4"/>
  <c r="G1358" i="4"/>
  <c r="G1357" i="4"/>
  <c r="G1356" i="4"/>
  <c r="G1355" i="4"/>
  <c r="G1354" i="4"/>
  <c r="G1353" i="4"/>
  <c r="G1352" i="4"/>
  <c r="G1351" i="4"/>
  <c r="G1350" i="4"/>
  <c r="G1349" i="4"/>
  <c r="G1348" i="4"/>
  <c r="G1347" i="4"/>
  <c r="G1346" i="4"/>
  <c r="G1345" i="4"/>
  <c r="G1344" i="4"/>
  <c r="G1343" i="4"/>
  <c r="G1342" i="4"/>
  <c r="G1341" i="4"/>
  <c r="G1340" i="4"/>
  <c r="G1339" i="4"/>
  <c r="G1338" i="4"/>
  <c r="G1337" i="4"/>
  <c r="G1336" i="4"/>
  <c r="G1335" i="4"/>
  <c r="G1334" i="4"/>
  <c r="G1333" i="4"/>
  <c r="G1332" i="4"/>
  <c r="G1331" i="4"/>
  <c r="G1330" i="4"/>
  <c r="G1329" i="4"/>
  <c r="G1328" i="4"/>
  <c r="G1327" i="4"/>
  <c r="G1326" i="4"/>
  <c r="G1325" i="4"/>
  <c r="G1324" i="4"/>
  <c r="G1323" i="4"/>
  <c r="G1322" i="4"/>
  <c r="G1321" i="4"/>
  <c r="G1320" i="4"/>
  <c r="G1319" i="4"/>
  <c r="G1318" i="4"/>
  <c r="G1317" i="4"/>
  <c r="G1316" i="4"/>
  <c r="G1315" i="4"/>
  <c r="G1314" i="4"/>
  <c r="G1313" i="4"/>
  <c r="G1312" i="4"/>
  <c r="G1311" i="4"/>
  <c r="G1310" i="4"/>
  <c r="G1309" i="4"/>
  <c r="G1308" i="4"/>
  <c r="G1307" i="4"/>
  <c r="G1306" i="4"/>
  <c r="G1305" i="4"/>
  <c r="G1304" i="4"/>
  <c r="G1303" i="4"/>
  <c r="G1302" i="4"/>
  <c r="G1301" i="4"/>
  <c r="G1300" i="4"/>
  <c r="G1299" i="4"/>
  <c r="G1298" i="4"/>
  <c r="G1297" i="4"/>
  <c r="G1296" i="4"/>
  <c r="G1295" i="4"/>
  <c r="G1294" i="4"/>
  <c r="G1293" i="4"/>
  <c r="G1292" i="4"/>
  <c r="G1291" i="4"/>
  <c r="G1290" i="4"/>
  <c r="G1289" i="4"/>
  <c r="G1288" i="4"/>
  <c r="G1287" i="4"/>
  <c r="G1286" i="4"/>
  <c r="G1285" i="4"/>
  <c r="G1284" i="4"/>
  <c r="G1283" i="4"/>
  <c r="G1282" i="4"/>
  <c r="G1281" i="4"/>
  <c r="G1280" i="4"/>
  <c r="G1279" i="4"/>
  <c r="G1278" i="4"/>
  <c r="G1277" i="4"/>
  <c r="G1276" i="4"/>
  <c r="G1275" i="4"/>
  <c r="G1274" i="4"/>
  <c r="G1273" i="4"/>
  <c r="G1272" i="4"/>
  <c r="G1271" i="4"/>
  <c r="G1270" i="4"/>
  <c r="G1269" i="4"/>
  <c r="G1268" i="4"/>
  <c r="G1267" i="4"/>
  <c r="G1266" i="4"/>
  <c r="G1265" i="4"/>
  <c r="G1264" i="4"/>
  <c r="G1263" i="4"/>
  <c r="G1262" i="4"/>
  <c r="G1261" i="4"/>
  <c r="G1260" i="4"/>
  <c r="G1259" i="4"/>
  <c r="G1258" i="4"/>
  <c r="G1257" i="4"/>
  <c r="G1256" i="4"/>
  <c r="G1255" i="4"/>
  <c r="G1254" i="4"/>
  <c r="G1253" i="4"/>
  <c r="G1252" i="4"/>
  <c r="G1251" i="4"/>
  <c r="G1250" i="4"/>
  <c r="G1249" i="4"/>
  <c r="G1248" i="4"/>
  <c r="G1247" i="4"/>
  <c r="G1246" i="4"/>
  <c r="G1245" i="4"/>
  <c r="G1244" i="4"/>
  <c r="G1243" i="4"/>
  <c r="G1242" i="4"/>
  <c r="G1241" i="4"/>
  <c r="G1240" i="4"/>
  <c r="G1239" i="4"/>
  <c r="G1238" i="4"/>
  <c r="G1237" i="4"/>
  <c r="G1236" i="4"/>
  <c r="G1235" i="4"/>
  <c r="G1234" i="4"/>
  <c r="G1233" i="4"/>
  <c r="G1232" i="4"/>
  <c r="G1231" i="4"/>
  <c r="G1230" i="4"/>
  <c r="G1229" i="4"/>
  <c r="G1228" i="4"/>
  <c r="G1227" i="4"/>
  <c r="G1226" i="4"/>
  <c r="G1225" i="4"/>
  <c r="G1224" i="4"/>
  <c r="G1223" i="4"/>
  <c r="G1222" i="4"/>
  <c r="G1221" i="4"/>
  <c r="G1220" i="4"/>
  <c r="G1219" i="4"/>
  <c r="G1218" i="4"/>
  <c r="G1217" i="4"/>
  <c r="G1216" i="4"/>
  <c r="G1215" i="4"/>
  <c r="G1214" i="4"/>
  <c r="G1213" i="4"/>
  <c r="G1212" i="4"/>
  <c r="G1211" i="4"/>
  <c r="G1210" i="4"/>
  <c r="G1209" i="4"/>
  <c r="G1208" i="4"/>
  <c r="G1207" i="4"/>
  <c r="G1206" i="4"/>
  <c r="G1205" i="4"/>
  <c r="G1204" i="4"/>
  <c r="G1203" i="4"/>
  <c r="G1202" i="4"/>
  <c r="G1201" i="4"/>
  <c r="G1200" i="4"/>
  <c r="G1199" i="4"/>
  <c r="G1198" i="4"/>
  <c r="G1197" i="4"/>
  <c r="G1196" i="4"/>
  <c r="G1195" i="4"/>
  <c r="G1194" i="4"/>
  <c r="G1193" i="4"/>
  <c r="G1192" i="4"/>
  <c r="G1191" i="4"/>
  <c r="G1190" i="4"/>
  <c r="G1189" i="4"/>
  <c r="G1188" i="4"/>
  <c r="G1187" i="4"/>
  <c r="G1186" i="4"/>
  <c r="G1185" i="4"/>
  <c r="G1184" i="4"/>
  <c r="G1183" i="4"/>
  <c r="G1182" i="4"/>
  <c r="G1181" i="4"/>
  <c r="G1180" i="4"/>
  <c r="G1179" i="4"/>
  <c r="G1178" i="4"/>
  <c r="G1177" i="4"/>
  <c r="G1176" i="4"/>
  <c r="G1175" i="4"/>
  <c r="G1174" i="4"/>
  <c r="G1173" i="4"/>
  <c r="G1172" i="4"/>
  <c r="G1171" i="4"/>
  <c r="G1170" i="4"/>
  <c r="G1169" i="4"/>
  <c r="G1168" i="4"/>
  <c r="G1167" i="4"/>
  <c r="G1166" i="4"/>
  <c r="G1165" i="4"/>
  <c r="G1164" i="4"/>
  <c r="G1163" i="4"/>
  <c r="G1162" i="4"/>
  <c r="G1161" i="4"/>
  <c r="G1160" i="4"/>
  <c r="G1159" i="4"/>
  <c r="G1158" i="4"/>
  <c r="G1157" i="4"/>
  <c r="G1156" i="4"/>
  <c r="G1155" i="4"/>
  <c r="G1154" i="4"/>
  <c r="G1153" i="4"/>
  <c r="G1152" i="4"/>
  <c r="G1151" i="4"/>
  <c r="G1150" i="4"/>
  <c r="G1149" i="4"/>
  <c r="G1148" i="4"/>
  <c r="G1147" i="4"/>
  <c r="G1146" i="4"/>
  <c r="G1145" i="4"/>
  <c r="G1144" i="4"/>
  <c r="G1143" i="4"/>
  <c r="G1142" i="4"/>
  <c r="G1141" i="4"/>
  <c r="G1140" i="4"/>
  <c r="G1139" i="4"/>
  <c r="G1138" i="4"/>
  <c r="G1137" i="4"/>
  <c r="G1136" i="4"/>
  <c r="G1135" i="4"/>
  <c r="G1134" i="4"/>
  <c r="G1133" i="4"/>
  <c r="G1132" i="4"/>
  <c r="G1131" i="4"/>
  <c r="G1130" i="4"/>
  <c r="G1129" i="4"/>
  <c r="G1128" i="4"/>
  <c r="G1127" i="4"/>
  <c r="G1126" i="4"/>
  <c r="G1125" i="4"/>
  <c r="G1124" i="4"/>
  <c r="G1123" i="4"/>
  <c r="G1122" i="4"/>
  <c r="G1121" i="4"/>
  <c r="G1120" i="4"/>
  <c r="G1119" i="4"/>
  <c r="G1118" i="4"/>
  <c r="G1117" i="4"/>
  <c r="G1116" i="4"/>
  <c r="G1115" i="4"/>
  <c r="G1114" i="4"/>
  <c r="G1113" i="4"/>
  <c r="G1112" i="4"/>
  <c r="G1111" i="4"/>
  <c r="G1110" i="4"/>
  <c r="G1109" i="4"/>
  <c r="G1108" i="4"/>
  <c r="G1107" i="4"/>
  <c r="G1106" i="4"/>
  <c r="G1105" i="4"/>
  <c r="G1104" i="4"/>
  <c r="G1103" i="4"/>
  <c r="G1102" i="4"/>
  <c r="G1101" i="4"/>
  <c r="G1100" i="4"/>
  <c r="G1099" i="4"/>
  <c r="G1098" i="4"/>
  <c r="G1097" i="4"/>
  <c r="G1096" i="4"/>
  <c r="G1095" i="4"/>
  <c r="G1094" i="4"/>
  <c r="G1093" i="4"/>
  <c r="G1092" i="4"/>
  <c r="G1091" i="4"/>
  <c r="G1090" i="4"/>
  <c r="G1089" i="4"/>
  <c r="G1088" i="4"/>
  <c r="G1087" i="4"/>
  <c r="G1086" i="4"/>
  <c r="G1085" i="4"/>
  <c r="G1084" i="4"/>
  <c r="G1083" i="4"/>
  <c r="G1082" i="4"/>
  <c r="G1081" i="4"/>
  <c r="G1080" i="4"/>
  <c r="G1079" i="4"/>
  <c r="G1078" i="4"/>
  <c r="G1077" i="4"/>
  <c r="G1076" i="4"/>
  <c r="G1075" i="4"/>
  <c r="G1074" i="4"/>
  <c r="G1073" i="4"/>
  <c r="G1072" i="4"/>
  <c r="G1071" i="4"/>
  <c r="G1070" i="4"/>
  <c r="G1069" i="4"/>
  <c r="G1068" i="4"/>
  <c r="G1067" i="4"/>
  <c r="G1066" i="4"/>
  <c r="G1065" i="4"/>
  <c r="G1064" i="4"/>
  <c r="G1063" i="4"/>
  <c r="G1062" i="4"/>
  <c r="G1061" i="4"/>
  <c r="G1060" i="4"/>
  <c r="G1059" i="4"/>
  <c r="G1058" i="4"/>
  <c r="G1057" i="4"/>
  <c r="G1056" i="4"/>
  <c r="G1055" i="4"/>
  <c r="G1054" i="4"/>
  <c r="G1053" i="4"/>
  <c r="G1052" i="4"/>
  <c r="G1051" i="4"/>
  <c r="G1050" i="4"/>
  <c r="G1049" i="4"/>
  <c r="G1048" i="4"/>
  <c r="G1047" i="4"/>
  <c r="G1046" i="4"/>
  <c r="G1045" i="4"/>
  <c r="G1044" i="4"/>
  <c r="G1043" i="4"/>
  <c r="G1042" i="4"/>
  <c r="G1041" i="4"/>
  <c r="G1040" i="4"/>
  <c r="G1039" i="4"/>
  <c r="G1038" i="4"/>
  <c r="G1037" i="4"/>
  <c r="G1036" i="4"/>
  <c r="G1035" i="4"/>
  <c r="G1034" i="4"/>
  <c r="G1033" i="4"/>
  <c r="G1032" i="4"/>
  <c r="G1031" i="4"/>
  <c r="G1030" i="4"/>
  <c r="G1029" i="4"/>
  <c r="G1028" i="4"/>
  <c r="G1027" i="4"/>
  <c r="G1026" i="4"/>
  <c r="G1025" i="4"/>
  <c r="G1024" i="4"/>
  <c r="G1023" i="4"/>
  <c r="G1022" i="4"/>
  <c r="G1021" i="4"/>
  <c r="G1020" i="4"/>
  <c r="G1019" i="4"/>
  <c r="G1018" i="4"/>
  <c r="G1017" i="4"/>
  <c r="G1016" i="4"/>
  <c r="G1015" i="4"/>
  <c r="G1014" i="4"/>
  <c r="G1013" i="4"/>
  <c r="G1012" i="4"/>
  <c r="G1011" i="4"/>
  <c r="G1010" i="4"/>
  <c r="G1009" i="4"/>
  <c r="G1008" i="4"/>
  <c r="G1007" i="4"/>
  <c r="G1006" i="4"/>
  <c r="G1005" i="4"/>
  <c r="G1004" i="4"/>
  <c r="G1003" i="4"/>
  <c r="G1002" i="4"/>
  <c r="G1001" i="4"/>
  <c r="G1000" i="4"/>
  <c r="G999" i="4"/>
  <c r="G998" i="4"/>
  <c r="G997" i="4"/>
  <c r="G996" i="4"/>
  <c r="G995" i="4"/>
  <c r="G994" i="4"/>
  <c r="G993" i="4"/>
  <c r="G992" i="4"/>
  <c r="G991" i="4"/>
  <c r="G990" i="4"/>
  <c r="G989" i="4"/>
  <c r="G988" i="4"/>
  <c r="G987" i="4"/>
  <c r="G986" i="4"/>
  <c r="G985" i="4"/>
  <c r="G984" i="4"/>
  <c r="G983" i="4"/>
  <c r="G982" i="4"/>
  <c r="G981" i="4"/>
  <c r="G980" i="4"/>
  <c r="G979" i="4"/>
  <c r="G978" i="4"/>
  <c r="G977" i="4"/>
  <c r="G976" i="4"/>
  <c r="G975" i="4"/>
  <c r="G974" i="4"/>
  <c r="G973" i="4"/>
  <c r="G972" i="4"/>
  <c r="G971" i="4"/>
  <c r="G970" i="4"/>
  <c r="G969" i="4"/>
  <c r="G968" i="4"/>
  <c r="G967" i="4"/>
  <c r="G966" i="4"/>
  <c r="G965" i="4"/>
  <c r="G964" i="4"/>
  <c r="G963" i="4"/>
  <c r="G962" i="4"/>
  <c r="G961" i="4"/>
  <c r="G960" i="4"/>
  <c r="G959" i="4"/>
  <c r="G958" i="4"/>
  <c r="G957" i="4"/>
  <c r="G956" i="4"/>
  <c r="G955" i="4"/>
  <c r="G954" i="4"/>
  <c r="G953" i="4"/>
  <c r="G952" i="4"/>
  <c r="G951" i="4"/>
  <c r="G950" i="4"/>
  <c r="G949" i="4"/>
  <c r="G948" i="4"/>
  <c r="G947" i="4"/>
  <c r="G946" i="4"/>
  <c r="G945" i="4"/>
  <c r="G944" i="4"/>
  <c r="G943" i="4"/>
  <c r="G942" i="4"/>
  <c r="G941" i="4"/>
  <c r="G940" i="4"/>
  <c r="G939" i="4"/>
  <c r="G938" i="4"/>
  <c r="G937" i="4"/>
  <c r="G936" i="4"/>
  <c r="G935" i="4"/>
  <c r="G934" i="4"/>
  <c r="G933" i="4"/>
  <c r="G932" i="4"/>
  <c r="G931" i="4"/>
  <c r="G930" i="4"/>
  <c r="G929" i="4"/>
  <c r="G928" i="4"/>
  <c r="G927" i="4"/>
  <c r="G926" i="4"/>
  <c r="G925" i="4"/>
  <c r="G924" i="4"/>
  <c r="G923" i="4"/>
  <c r="G922" i="4"/>
  <c r="G921" i="4"/>
  <c r="G920" i="4"/>
  <c r="G919" i="4"/>
  <c r="G918" i="4"/>
  <c r="G917" i="4"/>
  <c r="G916" i="4"/>
  <c r="G915" i="4"/>
  <c r="G914" i="4"/>
  <c r="G913" i="4"/>
  <c r="G912" i="4"/>
  <c r="G911" i="4"/>
  <c r="G910" i="4"/>
  <c r="G909" i="4"/>
  <c r="G908" i="4"/>
  <c r="G907" i="4"/>
  <c r="G906" i="4"/>
  <c r="G905" i="4"/>
  <c r="G904" i="4"/>
  <c r="G903" i="4"/>
  <c r="G902" i="4"/>
  <c r="G901" i="4"/>
  <c r="G900" i="4"/>
  <c r="G899" i="4"/>
  <c r="G898" i="4"/>
  <c r="G897" i="4"/>
  <c r="G896" i="4"/>
  <c r="G895" i="4"/>
  <c r="G894" i="4"/>
  <c r="G893" i="4"/>
  <c r="G892" i="4"/>
  <c r="G891" i="4"/>
  <c r="G890" i="4"/>
  <c r="G889" i="4"/>
  <c r="G888" i="4"/>
  <c r="G887" i="4"/>
  <c r="G886" i="4"/>
  <c r="G885" i="4"/>
  <c r="G884" i="4"/>
  <c r="G883" i="4"/>
  <c r="G882" i="4"/>
  <c r="G881" i="4"/>
  <c r="G880" i="4"/>
  <c r="G879" i="4"/>
  <c r="G878" i="4"/>
  <c r="G877" i="4"/>
  <c r="G876" i="4"/>
  <c r="G875" i="4"/>
  <c r="G874" i="4"/>
  <c r="G873" i="4"/>
  <c r="G872" i="4"/>
  <c r="G871" i="4"/>
  <c r="G870" i="4"/>
  <c r="G869" i="4"/>
  <c r="G868" i="4"/>
  <c r="G867" i="4"/>
  <c r="G866" i="4"/>
  <c r="G865" i="4"/>
  <c r="G864" i="4"/>
  <c r="G863" i="4"/>
  <c r="G862" i="4"/>
  <c r="G861" i="4"/>
  <c r="G860" i="4"/>
  <c r="G859" i="4"/>
  <c r="G858" i="4"/>
  <c r="G857" i="4"/>
  <c r="G856" i="4"/>
  <c r="G855" i="4"/>
  <c r="G854" i="4"/>
  <c r="G853" i="4"/>
  <c r="G852" i="4"/>
  <c r="G851" i="4"/>
  <c r="G850" i="4"/>
  <c r="G849" i="4"/>
  <c r="G848" i="4"/>
  <c r="G847" i="4"/>
  <c r="G846" i="4"/>
  <c r="G845" i="4"/>
  <c r="G844" i="4"/>
  <c r="G843" i="4"/>
  <c r="G842" i="4"/>
  <c r="G841" i="4"/>
  <c r="G840" i="4"/>
  <c r="G839" i="4"/>
  <c r="G838" i="4"/>
  <c r="G837" i="4"/>
  <c r="G836" i="4"/>
  <c r="G835" i="4"/>
  <c r="G834" i="4"/>
  <c r="G833" i="4"/>
  <c r="G832" i="4"/>
  <c r="G831" i="4"/>
  <c r="G830" i="4"/>
  <c r="G829" i="4"/>
  <c r="G828" i="4"/>
  <c r="G827" i="4"/>
  <c r="G826" i="4"/>
  <c r="G825" i="4"/>
  <c r="G824" i="4"/>
  <c r="G823" i="4"/>
  <c r="G822" i="4"/>
  <c r="G821" i="4"/>
  <c r="G820" i="4"/>
  <c r="G819" i="4"/>
  <c r="G818" i="4"/>
  <c r="G817" i="4"/>
  <c r="G816" i="4"/>
  <c r="G815" i="4"/>
  <c r="G814" i="4"/>
  <c r="G813" i="4"/>
  <c r="G812" i="4"/>
  <c r="G811" i="4"/>
  <c r="G810" i="4"/>
  <c r="G809" i="4"/>
  <c r="G808" i="4"/>
  <c r="G807" i="4"/>
  <c r="G806" i="4"/>
  <c r="G805" i="4"/>
  <c r="G804" i="4"/>
  <c r="G803" i="4"/>
  <c r="G802" i="4"/>
  <c r="G801" i="4"/>
  <c r="G800" i="4"/>
  <c r="G799" i="4"/>
  <c r="G798" i="4"/>
  <c r="G797" i="4"/>
  <c r="G796" i="4"/>
  <c r="G795" i="4"/>
  <c r="G794" i="4"/>
  <c r="G793" i="4"/>
  <c r="G792" i="4"/>
  <c r="G791" i="4"/>
  <c r="G790" i="4"/>
  <c r="G789" i="4"/>
  <c r="G788" i="4"/>
  <c r="G787" i="4"/>
  <c r="G786" i="4"/>
  <c r="G785" i="4"/>
  <c r="G784" i="4"/>
  <c r="G783" i="4"/>
  <c r="G782" i="4"/>
  <c r="G781" i="4"/>
  <c r="G780" i="4"/>
  <c r="G779" i="4"/>
  <c r="G778" i="4"/>
  <c r="G777" i="4"/>
  <c r="G776" i="4"/>
  <c r="G775" i="4"/>
  <c r="G774" i="4"/>
  <c r="G773" i="4"/>
  <c r="G772" i="4"/>
  <c r="G771" i="4"/>
  <c r="G770" i="4"/>
  <c r="G769" i="4"/>
  <c r="G768" i="4"/>
  <c r="G767" i="4"/>
  <c r="G766" i="4"/>
  <c r="G765" i="4"/>
  <c r="G764" i="4"/>
  <c r="G763" i="4"/>
  <c r="G762" i="4"/>
  <c r="G761" i="4"/>
  <c r="G760" i="4"/>
  <c r="G759" i="4"/>
  <c r="G758" i="4"/>
  <c r="G757" i="4"/>
  <c r="G756" i="4"/>
  <c r="G755" i="4"/>
  <c r="G754" i="4"/>
  <c r="G753" i="4"/>
  <c r="G752" i="4"/>
  <c r="G751" i="4"/>
  <c r="G750" i="4"/>
  <c r="G749" i="4"/>
  <c r="G748" i="4"/>
  <c r="G747" i="4"/>
  <c r="G746" i="4"/>
  <c r="G745" i="4"/>
  <c r="G744" i="4"/>
  <c r="G743" i="4"/>
  <c r="G742" i="4"/>
  <c r="G741" i="4"/>
  <c r="G740" i="4"/>
  <c r="G739" i="4"/>
  <c r="G738" i="4"/>
  <c r="G737" i="4"/>
  <c r="G736" i="4"/>
  <c r="G735" i="4"/>
  <c r="G734" i="4"/>
  <c r="G733" i="4"/>
  <c r="G732" i="4"/>
  <c r="G731" i="4"/>
  <c r="G730" i="4"/>
  <c r="G729" i="4"/>
  <c r="G728" i="4"/>
  <c r="G727" i="4"/>
  <c r="G726" i="4"/>
  <c r="G725"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G629" i="4"/>
  <c r="G628" i="4"/>
  <c r="G627" i="4"/>
  <c r="G626" i="4"/>
  <c r="G625" i="4"/>
  <c r="G624" i="4"/>
  <c r="G623" i="4"/>
  <c r="G622" i="4"/>
  <c r="G621" i="4"/>
  <c r="G620" i="4"/>
  <c r="G619" i="4"/>
  <c r="G618" i="4"/>
  <c r="G617" i="4"/>
  <c r="G616" i="4"/>
  <c r="G615" i="4"/>
  <c r="G614" i="4"/>
  <c r="G613" i="4"/>
  <c r="G612" i="4"/>
  <c r="G611" i="4"/>
  <c r="G610" i="4"/>
  <c r="G609" i="4"/>
  <c r="G608" i="4"/>
  <c r="G607" i="4"/>
  <c r="G606" i="4"/>
  <c r="G605" i="4"/>
  <c r="G604" i="4"/>
  <c r="G603" i="4"/>
  <c r="G602" i="4"/>
  <c r="G601" i="4"/>
  <c r="G600" i="4"/>
  <c r="G599" i="4"/>
  <c r="G598" i="4"/>
  <c r="G597" i="4"/>
  <c r="G596" i="4"/>
  <c r="G595" i="4"/>
  <c r="G594" i="4"/>
  <c r="G593" i="4"/>
  <c r="G592" i="4"/>
  <c r="G591" i="4"/>
  <c r="G590" i="4"/>
  <c r="G589" i="4"/>
  <c r="G588" i="4"/>
  <c r="G587" i="4"/>
  <c r="G586" i="4"/>
  <c r="G585" i="4"/>
  <c r="G584" i="4"/>
  <c r="G583" i="4"/>
  <c r="G582" i="4"/>
  <c r="G581" i="4"/>
  <c r="G580" i="4"/>
  <c r="G579" i="4"/>
  <c r="G578" i="4"/>
  <c r="G577" i="4"/>
  <c r="G576" i="4"/>
  <c r="G575" i="4"/>
  <c r="G574" i="4"/>
  <c r="G573" i="4"/>
  <c r="G572" i="4"/>
  <c r="G571" i="4"/>
  <c r="G570" i="4"/>
  <c r="G569" i="4"/>
  <c r="G568" i="4"/>
  <c r="G567" i="4"/>
  <c r="G566" i="4"/>
  <c r="G565" i="4"/>
  <c r="G564" i="4"/>
  <c r="G563" i="4"/>
  <c r="G562" i="4"/>
  <c r="G561" i="4"/>
  <c r="G560" i="4"/>
  <c r="G559" i="4"/>
  <c r="G558" i="4"/>
  <c r="G557" i="4"/>
  <c r="G556" i="4"/>
  <c r="G555" i="4"/>
  <c r="G554" i="4"/>
  <c r="G553" i="4"/>
  <c r="G552" i="4"/>
  <c r="G551" i="4"/>
  <c r="G550" i="4"/>
  <c r="G549" i="4"/>
  <c r="G548" i="4"/>
  <c r="G547" i="4"/>
  <c r="G546" i="4"/>
  <c r="G545" i="4"/>
  <c r="G544" i="4"/>
  <c r="G543" i="4"/>
  <c r="G542" i="4"/>
  <c r="G541" i="4"/>
  <c r="G540" i="4"/>
  <c r="G539" i="4"/>
  <c r="G538" i="4"/>
  <c r="G537" i="4"/>
  <c r="G536" i="4"/>
  <c r="G535" i="4"/>
  <c r="G534" i="4"/>
  <c r="G533" i="4"/>
  <c r="G532" i="4"/>
  <c r="G531" i="4"/>
  <c r="G530" i="4"/>
  <c r="G529" i="4"/>
  <c r="G528" i="4"/>
  <c r="G527" i="4"/>
  <c r="G526" i="4"/>
  <c r="G525" i="4"/>
  <c r="G524" i="4"/>
  <c r="G523" i="4"/>
  <c r="G522" i="4"/>
  <c r="G521" i="4"/>
  <c r="G520" i="4"/>
  <c r="G519" i="4"/>
  <c r="G518" i="4"/>
  <c r="G517" i="4"/>
  <c r="G516" i="4"/>
  <c r="G515" i="4"/>
  <c r="G514" i="4"/>
  <c r="G513" i="4"/>
  <c r="G512" i="4"/>
  <c r="G511" i="4"/>
  <c r="G510" i="4"/>
  <c r="G509" i="4"/>
  <c r="G508" i="4"/>
  <c r="G507" i="4"/>
  <c r="G506" i="4"/>
  <c r="G505" i="4"/>
  <c r="G504" i="4"/>
  <c r="G503" i="4"/>
  <c r="G502" i="4"/>
  <c r="G501" i="4"/>
  <c r="G500" i="4"/>
  <c r="G499" i="4"/>
  <c r="G498" i="4"/>
  <c r="G497" i="4"/>
  <c r="G496" i="4"/>
  <c r="G495" i="4"/>
  <c r="G494" i="4"/>
  <c r="G493" i="4"/>
  <c r="G492" i="4"/>
  <c r="G491" i="4"/>
  <c r="G490" i="4"/>
  <c r="G489" i="4"/>
  <c r="G488" i="4"/>
  <c r="G487" i="4"/>
  <c r="G486" i="4"/>
  <c r="G485" i="4"/>
  <c r="G484" i="4"/>
  <c r="G483" i="4"/>
  <c r="G482" i="4"/>
  <c r="G481" i="4"/>
  <c r="G480" i="4"/>
  <c r="G479" i="4"/>
  <c r="G478" i="4"/>
  <c r="G477" i="4"/>
  <c r="G476" i="4"/>
  <c r="G475" i="4"/>
  <c r="G474" i="4"/>
  <c r="G473" i="4"/>
  <c r="G472" i="4"/>
  <c r="G471" i="4"/>
  <c r="G470" i="4"/>
  <c r="G469" i="4"/>
  <c r="G468" i="4"/>
  <c r="G467" i="4"/>
  <c r="G466" i="4"/>
  <c r="G465" i="4"/>
  <c r="G464" i="4"/>
  <c r="G463" i="4"/>
  <c r="G462" i="4"/>
  <c r="G461" i="4"/>
  <c r="G460" i="4"/>
  <c r="G459" i="4"/>
  <c r="G458" i="4"/>
  <c r="G457" i="4"/>
  <c r="G456" i="4"/>
  <c r="G455" i="4"/>
  <c r="G454" i="4"/>
  <c r="G453" i="4"/>
  <c r="G452" i="4"/>
  <c r="G451" i="4"/>
  <c r="G450" i="4"/>
  <c r="G449" i="4"/>
  <c r="G448" i="4"/>
  <c r="G447" i="4"/>
  <c r="G446" i="4"/>
  <c r="G445" i="4"/>
  <c r="G444" i="4"/>
  <c r="G443" i="4"/>
  <c r="G442" i="4"/>
  <c r="G441" i="4"/>
  <c r="G440" i="4"/>
  <c r="G439" i="4"/>
  <c r="G438" i="4"/>
  <c r="G437" i="4"/>
  <c r="G436" i="4"/>
  <c r="G435" i="4"/>
  <c r="G434" i="4"/>
  <c r="G433" i="4"/>
  <c r="G432" i="4"/>
  <c r="G431" i="4"/>
  <c r="G430" i="4"/>
  <c r="G429" i="4"/>
  <c r="G428" i="4"/>
  <c r="G427" i="4"/>
  <c r="G426" i="4"/>
  <c r="G425" i="4"/>
  <c r="G424" i="4"/>
  <c r="G423" i="4"/>
  <c r="G422" i="4"/>
  <c r="G421" i="4"/>
  <c r="G420" i="4"/>
  <c r="G419" i="4"/>
  <c r="G418" i="4"/>
  <c r="G417" i="4"/>
  <c r="G416" i="4"/>
  <c r="G415" i="4"/>
  <c r="G414" i="4"/>
  <c r="G413" i="4"/>
  <c r="G412" i="4"/>
  <c r="G411" i="4"/>
  <c r="G410" i="4"/>
  <c r="G409" i="4"/>
  <c r="G408" i="4"/>
  <c r="G407" i="4"/>
  <c r="G406" i="4"/>
  <c r="G405" i="4"/>
  <c r="G404" i="4"/>
  <c r="G403" i="4"/>
  <c r="G402" i="4"/>
  <c r="G401" i="4"/>
  <c r="G400" i="4"/>
  <c r="G399" i="4"/>
  <c r="G398" i="4"/>
  <c r="G397" i="4"/>
  <c r="G396" i="4"/>
  <c r="G395" i="4"/>
  <c r="G394" i="4"/>
  <c r="G393" i="4"/>
  <c r="G392" i="4"/>
  <c r="G391" i="4"/>
  <c r="G390" i="4"/>
  <c r="G389" i="4"/>
  <c r="G388" i="4"/>
  <c r="G387" i="4"/>
  <c r="G386" i="4"/>
  <c r="G385" i="4"/>
  <c r="G384" i="4"/>
  <c r="G383" i="4"/>
  <c r="G382" i="4"/>
  <c r="G381" i="4"/>
  <c r="G380" i="4"/>
  <c r="G379" i="4"/>
  <c r="G378" i="4"/>
  <c r="G377" i="4"/>
  <c r="G376" i="4"/>
  <c r="G375" i="4"/>
  <c r="G374" i="4"/>
  <c r="G373" i="4"/>
  <c r="G372" i="4"/>
  <c r="G371" i="4"/>
  <c r="G370" i="4"/>
  <c r="G369" i="4"/>
  <c r="G368" i="4"/>
  <c r="G367" i="4"/>
  <c r="G366" i="4"/>
  <c r="G365" i="4"/>
  <c r="G364" i="4"/>
  <c r="G363" i="4"/>
  <c r="G362" i="4"/>
  <c r="G361" i="4"/>
  <c r="G360" i="4"/>
  <c r="G359" i="4"/>
  <c r="G358" i="4"/>
  <c r="G357" i="4"/>
  <c r="G356" i="4"/>
  <c r="G355" i="4"/>
  <c r="G354" i="4"/>
  <c r="G353" i="4"/>
  <c r="G352" i="4"/>
  <c r="G351" i="4"/>
  <c r="G350" i="4"/>
  <c r="G349" i="4"/>
  <c r="G348" i="4"/>
  <c r="G347" i="4"/>
  <c r="G346" i="4"/>
  <c r="G345" i="4"/>
  <c r="G344" i="4"/>
  <c r="G343" i="4"/>
  <c r="G342" i="4"/>
  <c r="G341" i="4"/>
  <c r="G340" i="4"/>
  <c r="G339" i="4"/>
  <c r="G338" i="4"/>
  <c r="G337" i="4"/>
  <c r="G336" i="4"/>
  <c r="G335" i="4"/>
  <c r="G334" i="4"/>
  <c r="G333" i="4"/>
  <c r="G332" i="4"/>
  <c r="G331" i="4"/>
  <c r="G330" i="4"/>
  <c r="G329" i="4"/>
  <c r="G328" i="4"/>
  <c r="G327" i="4"/>
  <c r="G326" i="4"/>
  <c r="G325" i="4"/>
  <c r="G324" i="4"/>
  <c r="G323" i="4"/>
  <c r="G322" i="4"/>
  <c r="G321" i="4"/>
  <c r="G320" i="4"/>
  <c r="G319" i="4"/>
  <c r="G318" i="4"/>
  <c r="G317" i="4"/>
  <c r="G316" i="4"/>
  <c r="G315" i="4"/>
  <c r="G314" i="4"/>
  <c r="G313" i="4"/>
  <c r="G312" i="4"/>
  <c r="G311" i="4"/>
  <c r="G310" i="4"/>
  <c r="G309" i="4"/>
  <c r="G308" i="4"/>
  <c r="G307" i="4"/>
  <c r="G306" i="4"/>
  <c r="G305" i="4"/>
  <c r="G304" i="4"/>
  <c r="G303" i="4"/>
  <c r="G302" i="4"/>
  <c r="G301" i="4"/>
  <c r="G300" i="4"/>
  <c r="G299" i="4"/>
  <c r="G298" i="4"/>
  <c r="G297" i="4"/>
  <c r="G296" i="4"/>
  <c r="G295" i="4"/>
  <c r="G294" i="4"/>
  <c r="G293" i="4"/>
  <c r="G292" i="4"/>
  <c r="G291" i="4"/>
  <c r="G290" i="4"/>
  <c r="G289" i="4"/>
  <c r="G288" i="4"/>
  <c r="G287" i="4"/>
  <c r="G286" i="4"/>
  <c r="G285" i="4"/>
  <c r="G284" i="4"/>
  <c r="G283" i="4"/>
  <c r="G282" i="4"/>
  <c r="G281" i="4"/>
  <c r="G280" i="4"/>
  <c r="G279" i="4"/>
  <c r="G278" i="4"/>
  <c r="G277" i="4"/>
  <c r="G276" i="4"/>
  <c r="G275" i="4"/>
  <c r="G274" i="4"/>
  <c r="G273" i="4"/>
  <c r="G272" i="4"/>
  <c r="G271" i="4"/>
  <c r="G270" i="4"/>
  <c r="G269" i="4"/>
  <c r="G268" i="4"/>
  <c r="G267" i="4"/>
  <c r="G266" i="4"/>
  <c r="G265" i="4"/>
  <c r="G264" i="4"/>
  <c r="G263" i="4"/>
  <c r="G262" i="4"/>
  <c r="G261" i="4"/>
  <c r="G260" i="4"/>
  <c r="G259" i="4"/>
  <c r="G258" i="4"/>
  <c r="G257" i="4"/>
  <c r="G256" i="4"/>
  <c r="G255" i="4"/>
  <c r="G254"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224" i="4"/>
  <c r="G223" i="4"/>
  <c r="G222" i="4"/>
  <c r="G221" i="4"/>
  <c r="G220" i="4"/>
  <c r="G219" i="4"/>
  <c r="G218" i="4"/>
  <c r="G217" i="4"/>
  <c r="G216" i="4"/>
  <c r="G215" i="4"/>
  <c r="G214" i="4"/>
  <c r="G213" i="4"/>
  <c r="G212" i="4"/>
  <c r="G211" i="4"/>
  <c r="G210" i="4"/>
  <c r="G209" i="4"/>
  <c r="G208" i="4"/>
  <c r="G207" i="4"/>
  <c r="G206" i="4"/>
  <c r="G205" i="4"/>
  <c r="G204" i="4"/>
  <c r="G203" i="4"/>
  <c r="G202" i="4"/>
  <c r="G201" i="4"/>
  <c r="G200" i="4"/>
  <c r="G199" i="4"/>
  <c r="G198" i="4"/>
  <c r="G197" i="4"/>
  <c r="G196" i="4"/>
  <c r="G195" i="4"/>
  <c r="G194" i="4"/>
  <c r="G193" i="4"/>
  <c r="G192" i="4"/>
  <c r="G191" i="4"/>
  <c r="G190" i="4"/>
  <c r="G189" i="4"/>
  <c r="G188" i="4"/>
  <c r="G187" i="4"/>
  <c r="G186" i="4"/>
  <c r="G185" i="4"/>
  <c r="G184" i="4"/>
  <c r="G183" i="4"/>
  <c r="G182" i="4"/>
  <c r="G181" i="4"/>
  <c r="G180" i="4"/>
  <c r="G179" i="4"/>
  <c r="G178" i="4"/>
  <c r="G177" i="4"/>
  <c r="G176" i="4"/>
  <c r="G175" i="4"/>
  <c r="G174" i="4"/>
  <c r="G173" i="4"/>
  <c r="G172" i="4"/>
  <c r="G171" i="4"/>
  <c r="G170" i="4"/>
  <c r="G169" i="4"/>
  <c r="G168" i="4"/>
  <c r="G167" i="4"/>
  <c r="G166" i="4"/>
  <c r="G165" i="4"/>
  <c r="G164" i="4"/>
  <c r="G163" i="4"/>
  <c r="G162" i="4"/>
  <c r="G161" i="4"/>
  <c r="G160" i="4"/>
  <c r="G159" i="4"/>
  <c r="G158" i="4"/>
  <c r="G157" i="4"/>
  <c r="G156" i="4"/>
  <c r="G155" i="4"/>
  <c r="G154" i="4"/>
  <c r="G153" i="4"/>
  <c r="G152" i="4"/>
  <c r="G151" i="4"/>
  <c r="G150" i="4"/>
  <c r="G149" i="4"/>
  <c r="G148" i="4"/>
  <c r="G147" i="4"/>
  <c r="G146" i="4"/>
  <c r="G145" i="4"/>
  <c r="G144" i="4"/>
  <c r="G143" i="4"/>
  <c r="G142" i="4"/>
  <c r="B77" i="11" l="1"/>
  <c r="J20" i="18"/>
  <c r="J19" i="18"/>
  <c r="J18" i="18"/>
  <c r="J17" i="18"/>
  <c r="J16" i="18"/>
  <c r="J15" i="18"/>
  <c r="J14" i="18"/>
  <c r="J13" i="18"/>
  <c r="J12" i="18"/>
  <c r="J11" i="18"/>
  <c r="J10" i="18"/>
  <c r="J9" i="18"/>
  <c r="J8" i="18"/>
  <c r="J7" i="18"/>
  <c r="J6" i="18"/>
  <c r="D310" i="16" l="1"/>
  <c r="D309" i="16"/>
  <c r="D308" i="16"/>
  <c r="D307" i="16"/>
  <c r="D306" i="16"/>
  <c r="D305" i="16"/>
  <c r="D304" i="16"/>
  <c r="D303" i="16"/>
  <c r="C310" i="16"/>
  <c r="C309" i="16"/>
  <c r="C308" i="16"/>
  <c r="C307" i="16"/>
  <c r="C306" i="16"/>
  <c r="C305" i="16"/>
  <c r="C304" i="16"/>
  <c r="C303" i="16"/>
  <c r="B303" i="16"/>
  <c r="B310" i="16"/>
  <c r="B309" i="16"/>
  <c r="B308" i="16"/>
  <c r="B307" i="16"/>
  <c r="B306" i="16"/>
  <c r="B305" i="16"/>
  <c r="B304" i="16"/>
  <c r="C296" i="16"/>
  <c r="B22" i="14" s="1"/>
  <c r="B15" i="14"/>
  <c r="A113" i="5"/>
  <c r="A114" i="5"/>
  <c r="F5331" i="4"/>
  <c r="L5331" i="4" s="1"/>
  <c r="F5330" i="4"/>
  <c r="L5330" i="4" s="1"/>
  <c r="F5329" i="4"/>
  <c r="L5329" i="4" s="1"/>
  <c r="F5328" i="4"/>
  <c r="L5328" i="4" s="1"/>
  <c r="F5327" i="4"/>
  <c r="L5327" i="4" s="1"/>
  <c r="F5326" i="4"/>
  <c r="L5326" i="4" s="1"/>
  <c r="F5325" i="4"/>
  <c r="L5325" i="4" s="1"/>
  <c r="F5324" i="4"/>
  <c r="L5324" i="4" s="1"/>
  <c r="F5323" i="4"/>
  <c r="L5323" i="4" s="1"/>
  <c r="F5322" i="4"/>
  <c r="L5322" i="4" s="1"/>
  <c r="F5321" i="4"/>
  <c r="L5321" i="4" s="1"/>
  <c r="F5320" i="4"/>
  <c r="L5320" i="4" s="1"/>
  <c r="F5319" i="4"/>
  <c r="L5319" i="4" s="1"/>
  <c r="F5318" i="4"/>
  <c r="L5318" i="4" s="1"/>
  <c r="F5317" i="4"/>
  <c r="L5317" i="4" s="1"/>
  <c r="F5316" i="4"/>
  <c r="L5316" i="4" s="1"/>
  <c r="F5315" i="4"/>
  <c r="L5315" i="4" s="1"/>
  <c r="F5314" i="4"/>
  <c r="L5314" i="4" s="1"/>
  <c r="F5313" i="4"/>
  <c r="L5313" i="4" s="1"/>
  <c r="F5312" i="4"/>
  <c r="L5312" i="4" s="1"/>
  <c r="F5311" i="4"/>
  <c r="L5311" i="4" s="1"/>
  <c r="F5310" i="4"/>
  <c r="L5310" i="4" s="1"/>
  <c r="F5309" i="4"/>
  <c r="L5309" i="4" s="1"/>
  <c r="F5308" i="4"/>
  <c r="L5308" i="4" s="1"/>
  <c r="F5307" i="4"/>
  <c r="L5307" i="4" s="1"/>
  <c r="F5306" i="4"/>
  <c r="L5306" i="4" s="1"/>
  <c r="F5305" i="4"/>
  <c r="L5305" i="4" s="1"/>
  <c r="F5304" i="4"/>
  <c r="L5304" i="4" s="1"/>
  <c r="F5303" i="4"/>
  <c r="L5303" i="4" s="1"/>
  <c r="F5302" i="4"/>
  <c r="L5302" i="4" s="1"/>
  <c r="F5301" i="4"/>
  <c r="L5301" i="4" s="1"/>
  <c r="F5300" i="4"/>
  <c r="L5300" i="4" s="1"/>
  <c r="F5299" i="4"/>
  <c r="L5299" i="4" s="1"/>
  <c r="F5298" i="4"/>
  <c r="L5298" i="4" s="1"/>
  <c r="F5297" i="4"/>
  <c r="L5297" i="4" s="1"/>
  <c r="F5296" i="4"/>
  <c r="L5296" i="4" s="1"/>
  <c r="F5295" i="4"/>
  <c r="L5295" i="4" s="1"/>
  <c r="F5294" i="4"/>
  <c r="L5294" i="4" s="1"/>
  <c r="F5293" i="4"/>
  <c r="L5293" i="4" s="1"/>
  <c r="F5292" i="4"/>
  <c r="L5292" i="4" s="1"/>
  <c r="F5291" i="4"/>
  <c r="L5291" i="4" s="1"/>
  <c r="F5290" i="4"/>
  <c r="L5290" i="4" s="1"/>
  <c r="F5289" i="4"/>
  <c r="L5289" i="4" s="1"/>
  <c r="F5288" i="4"/>
  <c r="L5288" i="4" s="1"/>
  <c r="F5287" i="4"/>
  <c r="L5287" i="4" s="1"/>
  <c r="F5286" i="4"/>
  <c r="L5286" i="4" s="1"/>
  <c r="F5285" i="4"/>
  <c r="L5285" i="4" s="1"/>
  <c r="F5284" i="4"/>
  <c r="L5284" i="4" s="1"/>
  <c r="F5283" i="4"/>
  <c r="L5283" i="4" s="1"/>
  <c r="F5282" i="4"/>
  <c r="L5282" i="4" s="1"/>
  <c r="F5281" i="4"/>
  <c r="L5281" i="4" s="1"/>
  <c r="F5280" i="4"/>
  <c r="L5280" i="4" s="1"/>
  <c r="F5279" i="4"/>
  <c r="L5279" i="4" s="1"/>
  <c r="F5278" i="4"/>
  <c r="L5278" i="4" s="1"/>
  <c r="F5277" i="4"/>
  <c r="L5277" i="4" s="1"/>
  <c r="F5276" i="4"/>
  <c r="L5276" i="4" s="1"/>
  <c r="F5275" i="4"/>
  <c r="L5275" i="4" s="1"/>
  <c r="F5274" i="4"/>
  <c r="L5274" i="4" s="1"/>
  <c r="F5273" i="4"/>
  <c r="L5273" i="4" s="1"/>
  <c r="F5272" i="4"/>
  <c r="L5272" i="4" s="1"/>
  <c r="F5271" i="4"/>
  <c r="L5271" i="4" s="1"/>
  <c r="F5270" i="4"/>
  <c r="L5270" i="4" s="1"/>
  <c r="F5269" i="4"/>
  <c r="L5269" i="4" s="1"/>
  <c r="F5268" i="4"/>
  <c r="L5268" i="4" s="1"/>
  <c r="F5267" i="4"/>
  <c r="L5267" i="4" s="1"/>
  <c r="F5266" i="4"/>
  <c r="L5266" i="4" s="1"/>
  <c r="F5265" i="4"/>
  <c r="L5265" i="4" s="1"/>
  <c r="F5264" i="4"/>
  <c r="L5264" i="4" s="1"/>
  <c r="F5263" i="4"/>
  <c r="L5263" i="4" s="1"/>
  <c r="F5262" i="4"/>
  <c r="L5262" i="4" s="1"/>
  <c r="F5261" i="4"/>
  <c r="L5261" i="4" s="1"/>
  <c r="F5260" i="4"/>
  <c r="L5260" i="4" s="1"/>
  <c r="F5259" i="4"/>
  <c r="L5259" i="4" s="1"/>
  <c r="F5258" i="4"/>
  <c r="L5258" i="4" s="1"/>
  <c r="F5257" i="4"/>
  <c r="L5257" i="4" s="1"/>
  <c r="F5256" i="4"/>
  <c r="L5256" i="4" s="1"/>
  <c r="F5255" i="4"/>
  <c r="L5255" i="4" s="1"/>
  <c r="F5254" i="4"/>
  <c r="L5254" i="4" s="1"/>
  <c r="F5253" i="4"/>
  <c r="L5253" i="4" s="1"/>
  <c r="F5252" i="4"/>
  <c r="L5252" i="4" s="1"/>
  <c r="F5251" i="4"/>
  <c r="L5251" i="4" s="1"/>
  <c r="F5250" i="4"/>
  <c r="L5250" i="4" s="1"/>
  <c r="F5249" i="4"/>
  <c r="L5249" i="4" s="1"/>
  <c r="F5248" i="4"/>
  <c r="L5248" i="4" s="1"/>
  <c r="F5247" i="4"/>
  <c r="L5247" i="4" s="1"/>
  <c r="F5246" i="4"/>
  <c r="L5246" i="4" s="1"/>
  <c r="F5245" i="4"/>
  <c r="L5245" i="4" s="1"/>
  <c r="F5244" i="4"/>
  <c r="L5244" i="4" s="1"/>
  <c r="F5243" i="4"/>
  <c r="L5243" i="4" s="1"/>
  <c r="F5242" i="4"/>
  <c r="L5242" i="4" s="1"/>
  <c r="F5241" i="4"/>
  <c r="L5241" i="4" s="1"/>
  <c r="F5240" i="4"/>
  <c r="L5240" i="4" s="1"/>
  <c r="F5239" i="4"/>
  <c r="L5239" i="4" s="1"/>
  <c r="F5238" i="4"/>
  <c r="L5238" i="4" s="1"/>
  <c r="F5237" i="4"/>
  <c r="L5237" i="4" s="1"/>
  <c r="F5236" i="4"/>
  <c r="L5236" i="4" s="1"/>
  <c r="F5235" i="4"/>
  <c r="L5235" i="4" s="1"/>
  <c r="F5234" i="4"/>
  <c r="L5234" i="4" s="1"/>
  <c r="F5233" i="4"/>
  <c r="L5233" i="4" s="1"/>
  <c r="F5232" i="4"/>
  <c r="L5232" i="4" s="1"/>
  <c r="F5231" i="4"/>
  <c r="L5231" i="4" s="1"/>
  <c r="F5230" i="4"/>
  <c r="L5230" i="4" s="1"/>
  <c r="F5229" i="4"/>
  <c r="L5229" i="4" s="1"/>
  <c r="F5228" i="4"/>
  <c r="L5228" i="4" s="1"/>
  <c r="F5227" i="4"/>
  <c r="L5227" i="4" s="1"/>
  <c r="F5226" i="4"/>
  <c r="L5226" i="4" s="1"/>
  <c r="F5225" i="4"/>
  <c r="L5225" i="4" s="1"/>
  <c r="F5224" i="4"/>
  <c r="L5224" i="4" s="1"/>
  <c r="F5223" i="4"/>
  <c r="L5223" i="4" s="1"/>
  <c r="F5222" i="4"/>
  <c r="L5222" i="4" s="1"/>
  <c r="F5221" i="4"/>
  <c r="L5221" i="4" s="1"/>
  <c r="F5220" i="4"/>
  <c r="L5220" i="4" s="1"/>
  <c r="F5219" i="4"/>
  <c r="L5219" i="4" s="1"/>
  <c r="F5218" i="4"/>
  <c r="L5218" i="4" s="1"/>
  <c r="F5217" i="4"/>
  <c r="L5217" i="4" s="1"/>
  <c r="F5216" i="4"/>
  <c r="L5216" i="4" s="1"/>
  <c r="F5215" i="4"/>
  <c r="L5215" i="4" s="1"/>
  <c r="F5214" i="4"/>
  <c r="L5214" i="4" s="1"/>
  <c r="F5213" i="4"/>
  <c r="L5213" i="4" s="1"/>
  <c r="F5212" i="4"/>
  <c r="L5212" i="4" s="1"/>
  <c r="F5211" i="4"/>
  <c r="L5211" i="4" s="1"/>
  <c r="F5210" i="4"/>
  <c r="L5210" i="4" s="1"/>
  <c r="F5209" i="4"/>
  <c r="L5209" i="4" s="1"/>
  <c r="F5208" i="4"/>
  <c r="L5208" i="4" s="1"/>
  <c r="F5207" i="4"/>
  <c r="L5207" i="4" s="1"/>
  <c r="F5206" i="4"/>
  <c r="L5206" i="4" s="1"/>
  <c r="F5205" i="4"/>
  <c r="L5205" i="4" s="1"/>
  <c r="F5204" i="4"/>
  <c r="L5204" i="4" s="1"/>
  <c r="F5203" i="4"/>
  <c r="L5203" i="4" s="1"/>
  <c r="F5202" i="4"/>
  <c r="L5202" i="4" s="1"/>
  <c r="F5201" i="4"/>
  <c r="L5201" i="4" s="1"/>
  <c r="F5200" i="4"/>
  <c r="L5200" i="4" s="1"/>
  <c r="F5199" i="4"/>
  <c r="L5199" i="4" s="1"/>
  <c r="F5198" i="4"/>
  <c r="L5198" i="4" s="1"/>
  <c r="F5197" i="4"/>
  <c r="L5197" i="4" s="1"/>
  <c r="F5196" i="4"/>
  <c r="L5196" i="4" s="1"/>
  <c r="F5195" i="4"/>
  <c r="L5195" i="4" s="1"/>
  <c r="F5194" i="4"/>
  <c r="L5194" i="4" s="1"/>
  <c r="F5193" i="4"/>
  <c r="L5193" i="4" s="1"/>
  <c r="F5192" i="4"/>
  <c r="L5192" i="4" s="1"/>
  <c r="F5191" i="4"/>
  <c r="L5191" i="4" s="1"/>
  <c r="F5190" i="4"/>
  <c r="L5190" i="4" s="1"/>
  <c r="F5189" i="4"/>
  <c r="L5189" i="4" s="1"/>
  <c r="F5188" i="4"/>
  <c r="L5188" i="4" s="1"/>
  <c r="F5187" i="4"/>
  <c r="L5187" i="4" s="1"/>
  <c r="F5186" i="4"/>
  <c r="L5186" i="4" s="1"/>
  <c r="F5185" i="4"/>
  <c r="L5185" i="4" s="1"/>
  <c r="F5184" i="4"/>
  <c r="L5184" i="4" s="1"/>
  <c r="F5183" i="4"/>
  <c r="L5183" i="4" s="1"/>
  <c r="F5182" i="4"/>
  <c r="L5182" i="4" s="1"/>
  <c r="F5181" i="4"/>
  <c r="L5181" i="4" s="1"/>
  <c r="F5180" i="4"/>
  <c r="L5180" i="4" s="1"/>
  <c r="F5179" i="4"/>
  <c r="L5179" i="4" s="1"/>
  <c r="F5178" i="4"/>
  <c r="L5178" i="4" s="1"/>
  <c r="F5177" i="4"/>
  <c r="L5177" i="4" s="1"/>
  <c r="F5176" i="4"/>
  <c r="L5176" i="4" s="1"/>
  <c r="F5175" i="4"/>
  <c r="L5175" i="4" s="1"/>
  <c r="F5174" i="4"/>
  <c r="L5174" i="4" s="1"/>
  <c r="F5173" i="4"/>
  <c r="L5173" i="4" s="1"/>
  <c r="F5172" i="4"/>
  <c r="L5172" i="4" s="1"/>
  <c r="F5171" i="4"/>
  <c r="L5171" i="4" s="1"/>
  <c r="F5170" i="4"/>
  <c r="L5170" i="4" s="1"/>
  <c r="F5169" i="4"/>
  <c r="L5169" i="4" s="1"/>
  <c r="F5168" i="4"/>
  <c r="L5168" i="4" s="1"/>
  <c r="F5167" i="4"/>
  <c r="L5167" i="4" s="1"/>
  <c r="F5166" i="4"/>
  <c r="L5166" i="4" s="1"/>
  <c r="F5165" i="4"/>
  <c r="L5165" i="4" s="1"/>
  <c r="F5164" i="4"/>
  <c r="L5164" i="4" s="1"/>
  <c r="F5163" i="4"/>
  <c r="L5163" i="4" s="1"/>
  <c r="F5162" i="4"/>
  <c r="L5162" i="4" s="1"/>
  <c r="F5161" i="4"/>
  <c r="L5161" i="4" s="1"/>
  <c r="F5160" i="4"/>
  <c r="L5160" i="4" s="1"/>
  <c r="F5159" i="4"/>
  <c r="L5159" i="4" s="1"/>
  <c r="F5158" i="4"/>
  <c r="L5158" i="4" s="1"/>
  <c r="F5157" i="4"/>
  <c r="L5157" i="4" s="1"/>
  <c r="F5156" i="4"/>
  <c r="L5156" i="4" s="1"/>
  <c r="F5155" i="4"/>
  <c r="L5155" i="4" s="1"/>
  <c r="F5154" i="4"/>
  <c r="L5154" i="4" s="1"/>
  <c r="F5153" i="4"/>
  <c r="L5153" i="4" s="1"/>
  <c r="F5152" i="4"/>
  <c r="L5152" i="4" s="1"/>
  <c r="F5151" i="4"/>
  <c r="L5151" i="4" s="1"/>
  <c r="F5150" i="4"/>
  <c r="L5150" i="4" s="1"/>
  <c r="F5149" i="4"/>
  <c r="L5149" i="4" s="1"/>
  <c r="F5148" i="4"/>
  <c r="L5148" i="4" s="1"/>
  <c r="F5147" i="4"/>
  <c r="L5147" i="4" s="1"/>
  <c r="F5146" i="4"/>
  <c r="L5146" i="4" s="1"/>
  <c r="F5145" i="4"/>
  <c r="L5145" i="4" s="1"/>
  <c r="F5144" i="4"/>
  <c r="L5144" i="4" s="1"/>
  <c r="F5143" i="4"/>
  <c r="L5143" i="4" s="1"/>
  <c r="F5142" i="4"/>
  <c r="L5142" i="4" s="1"/>
  <c r="F5141" i="4"/>
  <c r="L5141" i="4" s="1"/>
  <c r="F5140" i="4"/>
  <c r="L5140" i="4" s="1"/>
  <c r="F5139" i="4"/>
  <c r="L5139" i="4" s="1"/>
  <c r="F5138" i="4"/>
  <c r="L5138" i="4" s="1"/>
  <c r="F5137" i="4"/>
  <c r="L5137" i="4" s="1"/>
  <c r="F5136" i="4"/>
  <c r="L5136" i="4" s="1"/>
  <c r="F5135" i="4"/>
  <c r="L5135" i="4" s="1"/>
  <c r="F5134" i="4"/>
  <c r="L5134" i="4" s="1"/>
  <c r="F5133" i="4"/>
  <c r="L5133" i="4" s="1"/>
  <c r="F5132" i="4"/>
  <c r="L5132" i="4" s="1"/>
  <c r="F5131" i="4"/>
  <c r="L5131" i="4" s="1"/>
  <c r="F5130" i="4"/>
  <c r="L5130" i="4" s="1"/>
  <c r="F5129" i="4"/>
  <c r="L5129" i="4" s="1"/>
  <c r="F5128" i="4"/>
  <c r="L5128" i="4" s="1"/>
  <c r="F5127" i="4"/>
  <c r="L5127" i="4" s="1"/>
  <c r="F5126" i="4"/>
  <c r="L5126" i="4" s="1"/>
  <c r="F5125" i="4"/>
  <c r="L5125" i="4" s="1"/>
  <c r="F5124" i="4"/>
  <c r="L5124" i="4" s="1"/>
  <c r="F5123" i="4"/>
  <c r="L5123" i="4" s="1"/>
  <c r="F5122" i="4"/>
  <c r="L5122" i="4" s="1"/>
  <c r="F5121" i="4"/>
  <c r="L5121" i="4" s="1"/>
  <c r="F5120" i="4"/>
  <c r="L5120" i="4" s="1"/>
  <c r="F5119" i="4"/>
  <c r="L5119" i="4" s="1"/>
  <c r="F5118" i="4"/>
  <c r="L5118" i="4" s="1"/>
  <c r="F5117" i="4"/>
  <c r="L5117" i="4" s="1"/>
  <c r="F5116" i="4"/>
  <c r="L5116" i="4" s="1"/>
  <c r="F5115" i="4"/>
  <c r="L5115" i="4" s="1"/>
  <c r="F5114" i="4"/>
  <c r="L5114" i="4" s="1"/>
  <c r="F5113" i="4"/>
  <c r="L5113" i="4" s="1"/>
  <c r="F5112" i="4"/>
  <c r="L5112" i="4" s="1"/>
  <c r="F5111" i="4"/>
  <c r="L5111" i="4" s="1"/>
  <c r="F5110" i="4"/>
  <c r="L5110" i="4" s="1"/>
  <c r="F5109" i="4"/>
  <c r="L5109" i="4" s="1"/>
  <c r="F5108" i="4"/>
  <c r="L5108" i="4" s="1"/>
  <c r="F5107" i="4"/>
  <c r="L5107" i="4" s="1"/>
  <c r="F5106" i="4"/>
  <c r="L5106" i="4" s="1"/>
  <c r="F5105" i="4"/>
  <c r="L5105" i="4" s="1"/>
  <c r="F5104" i="4"/>
  <c r="L5104" i="4" s="1"/>
  <c r="F5103" i="4"/>
  <c r="L5103" i="4" s="1"/>
  <c r="F5102" i="4"/>
  <c r="L5102" i="4" s="1"/>
  <c r="F5101" i="4"/>
  <c r="L5101" i="4" s="1"/>
  <c r="F5100" i="4"/>
  <c r="L5100" i="4" s="1"/>
  <c r="F5099" i="4"/>
  <c r="L5099" i="4" s="1"/>
  <c r="F5098" i="4"/>
  <c r="L5098" i="4" s="1"/>
  <c r="F5097" i="4"/>
  <c r="L5097" i="4" s="1"/>
  <c r="F5096" i="4"/>
  <c r="L5096" i="4" s="1"/>
  <c r="F5095" i="4"/>
  <c r="L5095" i="4" s="1"/>
  <c r="F5094" i="4"/>
  <c r="L5094" i="4" s="1"/>
  <c r="F5093" i="4"/>
  <c r="L5093" i="4" s="1"/>
  <c r="F5092" i="4"/>
  <c r="L5092" i="4" s="1"/>
  <c r="F5091" i="4"/>
  <c r="L5091" i="4" s="1"/>
  <c r="F5090" i="4"/>
  <c r="L5090" i="4" s="1"/>
  <c r="F5089" i="4"/>
  <c r="L5089" i="4" s="1"/>
  <c r="F5088" i="4"/>
  <c r="L5088" i="4" s="1"/>
  <c r="F5087" i="4"/>
  <c r="L5087" i="4" s="1"/>
  <c r="F5086" i="4"/>
  <c r="L5086" i="4" s="1"/>
  <c r="F5085" i="4"/>
  <c r="L5085" i="4" s="1"/>
  <c r="F5084" i="4"/>
  <c r="L5084" i="4" s="1"/>
  <c r="F5083" i="4"/>
  <c r="L5083" i="4" s="1"/>
  <c r="F5082" i="4"/>
  <c r="L5082" i="4" s="1"/>
  <c r="F5081" i="4"/>
  <c r="L5081" i="4" s="1"/>
  <c r="F5080" i="4"/>
  <c r="L5080" i="4" s="1"/>
  <c r="F5079" i="4"/>
  <c r="L5079" i="4" s="1"/>
  <c r="F5078" i="4"/>
  <c r="L5078" i="4" s="1"/>
  <c r="F5077" i="4"/>
  <c r="L5077" i="4" s="1"/>
  <c r="F5076" i="4"/>
  <c r="L5076" i="4" s="1"/>
  <c r="F5075" i="4"/>
  <c r="L5075" i="4" s="1"/>
  <c r="F5074" i="4"/>
  <c r="L5074" i="4" s="1"/>
  <c r="F5073" i="4"/>
  <c r="L5073" i="4" s="1"/>
  <c r="F5072" i="4"/>
  <c r="L5072" i="4" s="1"/>
  <c r="F5071" i="4"/>
  <c r="L5071" i="4" s="1"/>
  <c r="F5070" i="4"/>
  <c r="L5070" i="4" s="1"/>
  <c r="F5069" i="4"/>
  <c r="L5069" i="4" s="1"/>
  <c r="F5068" i="4"/>
  <c r="L5068" i="4" s="1"/>
  <c r="F5067" i="4"/>
  <c r="L5067" i="4" s="1"/>
  <c r="F5066" i="4"/>
  <c r="L5066" i="4" s="1"/>
  <c r="F5065" i="4"/>
  <c r="L5065" i="4" s="1"/>
  <c r="F5064" i="4"/>
  <c r="L5064" i="4" s="1"/>
  <c r="F5063" i="4"/>
  <c r="L5063" i="4" s="1"/>
  <c r="F5062" i="4"/>
  <c r="L5062" i="4" s="1"/>
  <c r="F5061" i="4"/>
  <c r="L5061" i="4" s="1"/>
  <c r="F5060" i="4"/>
  <c r="L5060" i="4" s="1"/>
  <c r="F5059" i="4"/>
  <c r="L5059" i="4" s="1"/>
  <c r="F5058" i="4"/>
  <c r="L5058" i="4" s="1"/>
  <c r="F5057" i="4"/>
  <c r="L5057" i="4" s="1"/>
  <c r="F5056" i="4"/>
  <c r="L5056" i="4" s="1"/>
  <c r="F5055" i="4"/>
  <c r="L5055" i="4" s="1"/>
  <c r="F5054" i="4"/>
  <c r="L5054" i="4" s="1"/>
  <c r="F5053" i="4"/>
  <c r="L5053" i="4" s="1"/>
  <c r="F5052" i="4"/>
  <c r="L5052" i="4" s="1"/>
  <c r="F5051" i="4"/>
  <c r="L5051" i="4" s="1"/>
  <c r="F5050" i="4"/>
  <c r="L5050" i="4" s="1"/>
  <c r="F5049" i="4"/>
  <c r="L5049" i="4" s="1"/>
  <c r="F5048" i="4"/>
  <c r="L5048" i="4" s="1"/>
  <c r="F5047" i="4"/>
  <c r="L5047" i="4" s="1"/>
  <c r="F5046" i="4"/>
  <c r="L5046" i="4" s="1"/>
  <c r="F5045" i="4"/>
  <c r="L5045" i="4" s="1"/>
  <c r="F5044" i="4"/>
  <c r="L5044" i="4" s="1"/>
  <c r="F5043" i="4"/>
  <c r="L5043" i="4" s="1"/>
  <c r="F5042" i="4"/>
  <c r="L5042" i="4" s="1"/>
  <c r="F5041" i="4"/>
  <c r="L5041" i="4" s="1"/>
  <c r="F5040" i="4"/>
  <c r="L5040" i="4" s="1"/>
  <c r="F5039" i="4"/>
  <c r="L5039" i="4" s="1"/>
  <c r="F5038" i="4"/>
  <c r="L5038" i="4" s="1"/>
  <c r="F5037" i="4"/>
  <c r="L5037" i="4" s="1"/>
  <c r="F5036" i="4"/>
  <c r="L5036" i="4" s="1"/>
  <c r="F5035" i="4"/>
  <c r="L5035" i="4" s="1"/>
  <c r="F5034" i="4"/>
  <c r="L5034" i="4" s="1"/>
  <c r="F5033" i="4"/>
  <c r="L5033" i="4" s="1"/>
  <c r="F5032" i="4"/>
  <c r="L5032" i="4" s="1"/>
  <c r="F5031" i="4"/>
  <c r="L5031" i="4" s="1"/>
  <c r="F5030" i="4"/>
  <c r="L5030" i="4" s="1"/>
  <c r="F5029" i="4"/>
  <c r="L5029" i="4" s="1"/>
  <c r="F5028" i="4"/>
  <c r="L5028" i="4" s="1"/>
  <c r="F5027" i="4"/>
  <c r="L5027" i="4" s="1"/>
  <c r="F5026" i="4"/>
  <c r="L5026" i="4" s="1"/>
  <c r="F5025" i="4"/>
  <c r="L5025" i="4" s="1"/>
  <c r="F5024" i="4"/>
  <c r="L5024" i="4" s="1"/>
  <c r="F5023" i="4"/>
  <c r="L5023" i="4" s="1"/>
  <c r="F5022" i="4"/>
  <c r="L5022" i="4" s="1"/>
  <c r="F5021" i="4"/>
  <c r="L5021" i="4" s="1"/>
  <c r="F5020" i="4"/>
  <c r="L5020" i="4" s="1"/>
  <c r="F5019" i="4"/>
  <c r="L5019" i="4" s="1"/>
  <c r="F5018" i="4"/>
  <c r="L5018" i="4" s="1"/>
  <c r="F5017" i="4"/>
  <c r="L5017" i="4" s="1"/>
  <c r="F5016" i="4"/>
  <c r="L5016" i="4" s="1"/>
  <c r="F5015" i="4"/>
  <c r="L5015" i="4" s="1"/>
  <c r="F5014" i="4"/>
  <c r="L5014" i="4" s="1"/>
  <c r="F5013" i="4"/>
  <c r="L5013" i="4" s="1"/>
  <c r="F5012" i="4"/>
  <c r="L5012" i="4" s="1"/>
  <c r="F5011" i="4"/>
  <c r="L5011" i="4" s="1"/>
  <c r="F5010" i="4"/>
  <c r="L5010" i="4" s="1"/>
  <c r="F5009" i="4"/>
  <c r="L5009" i="4" s="1"/>
  <c r="F5008" i="4"/>
  <c r="L5008" i="4" s="1"/>
  <c r="F5007" i="4"/>
  <c r="L5007" i="4" s="1"/>
  <c r="F5006" i="4"/>
  <c r="L5006" i="4" s="1"/>
  <c r="F5005" i="4"/>
  <c r="L5005" i="4" s="1"/>
  <c r="F5004" i="4"/>
  <c r="L5004" i="4" s="1"/>
  <c r="F5003" i="4"/>
  <c r="L5003" i="4" s="1"/>
  <c r="F5002" i="4"/>
  <c r="L5002" i="4" s="1"/>
  <c r="F5001" i="4"/>
  <c r="L5001" i="4" s="1"/>
  <c r="F5000" i="4"/>
  <c r="L5000" i="4" s="1"/>
  <c r="F4999" i="4"/>
  <c r="L4999" i="4" s="1"/>
  <c r="F4998" i="4"/>
  <c r="L4998" i="4" s="1"/>
  <c r="F4997" i="4"/>
  <c r="L4997" i="4" s="1"/>
  <c r="F4996" i="4"/>
  <c r="L4996" i="4" s="1"/>
  <c r="F4995" i="4"/>
  <c r="L4995" i="4" s="1"/>
  <c r="F4994" i="4"/>
  <c r="L4994" i="4" s="1"/>
  <c r="F4993" i="4"/>
  <c r="L4993" i="4" s="1"/>
  <c r="F4992" i="4"/>
  <c r="L4992" i="4" s="1"/>
  <c r="F4991" i="4"/>
  <c r="L4991" i="4" s="1"/>
  <c r="F4990" i="4"/>
  <c r="L4990" i="4" s="1"/>
  <c r="F4989" i="4"/>
  <c r="L4989" i="4" s="1"/>
  <c r="F4988" i="4"/>
  <c r="L4988" i="4" s="1"/>
  <c r="F4987" i="4"/>
  <c r="L4987" i="4" s="1"/>
  <c r="F4986" i="4"/>
  <c r="L4986" i="4" s="1"/>
  <c r="F4985" i="4"/>
  <c r="L4985" i="4" s="1"/>
  <c r="F4984" i="4"/>
  <c r="L4984" i="4" s="1"/>
  <c r="F4983" i="4"/>
  <c r="L4983" i="4" s="1"/>
  <c r="F4982" i="4"/>
  <c r="L4982" i="4" s="1"/>
  <c r="F4981" i="4"/>
  <c r="L4981" i="4" s="1"/>
  <c r="F4980" i="4"/>
  <c r="L4980" i="4" s="1"/>
  <c r="F4979" i="4"/>
  <c r="L4979" i="4" s="1"/>
  <c r="F4978" i="4"/>
  <c r="L4978" i="4" s="1"/>
  <c r="F4977" i="4"/>
  <c r="L4977" i="4" s="1"/>
  <c r="F4976" i="4"/>
  <c r="L4976" i="4" s="1"/>
  <c r="F4975" i="4"/>
  <c r="L4975" i="4" s="1"/>
  <c r="F4974" i="4"/>
  <c r="L4974" i="4" s="1"/>
  <c r="F4973" i="4"/>
  <c r="L4973" i="4" s="1"/>
  <c r="F4972" i="4"/>
  <c r="L4972" i="4" s="1"/>
  <c r="F4971" i="4"/>
  <c r="L4971" i="4" s="1"/>
  <c r="F4970" i="4"/>
  <c r="L4970" i="4" s="1"/>
  <c r="F4969" i="4"/>
  <c r="L4969" i="4" s="1"/>
  <c r="F4968" i="4"/>
  <c r="L4968" i="4" s="1"/>
  <c r="F4967" i="4"/>
  <c r="L4967" i="4" s="1"/>
  <c r="F4966" i="4"/>
  <c r="L4966" i="4" s="1"/>
  <c r="F4965" i="4"/>
  <c r="L4965" i="4" s="1"/>
  <c r="F4964" i="4"/>
  <c r="L4964" i="4" s="1"/>
  <c r="F4963" i="4"/>
  <c r="L4963" i="4" s="1"/>
  <c r="F4962" i="4"/>
  <c r="L4962" i="4" s="1"/>
  <c r="F4961" i="4"/>
  <c r="L4961" i="4" s="1"/>
  <c r="F4960" i="4"/>
  <c r="L4960" i="4" s="1"/>
  <c r="F4959" i="4"/>
  <c r="L4959" i="4" s="1"/>
  <c r="F4958" i="4"/>
  <c r="L4958" i="4" s="1"/>
  <c r="F4957" i="4"/>
  <c r="L4957" i="4" s="1"/>
  <c r="F4956" i="4"/>
  <c r="L4956" i="4" s="1"/>
  <c r="F4955" i="4"/>
  <c r="L4955" i="4" s="1"/>
  <c r="F4954" i="4"/>
  <c r="L4954" i="4" s="1"/>
  <c r="F4953" i="4"/>
  <c r="L4953" i="4" s="1"/>
  <c r="F4952" i="4"/>
  <c r="L4952" i="4" s="1"/>
  <c r="F4951" i="4"/>
  <c r="L4951" i="4" s="1"/>
  <c r="F4950" i="4"/>
  <c r="L4950" i="4" s="1"/>
  <c r="F4949" i="4"/>
  <c r="L4949" i="4" s="1"/>
  <c r="F4948" i="4"/>
  <c r="L4948" i="4" s="1"/>
  <c r="F4947" i="4"/>
  <c r="L4947" i="4" s="1"/>
  <c r="F4946" i="4"/>
  <c r="L4946" i="4" s="1"/>
  <c r="F4945" i="4"/>
  <c r="L4945" i="4" s="1"/>
  <c r="F4944" i="4"/>
  <c r="L4944" i="4" s="1"/>
  <c r="F4943" i="4"/>
  <c r="L4943" i="4" s="1"/>
  <c r="F4942" i="4"/>
  <c r="L4942" i="4" s="1"/>
  <c r="F4941" i="4"/>
  <c r="L4941" i="4" s="1"/>
  <c r="F4940" i="4"/>
  <c r="L4940" i="4" s="1"/>
  <c r="F4939" i="4"/>
  <c r="L4939" i="4" s="1"/>
  <c r="F4938" i="4"/>
  <c r="L4938" i="4" s="1"/>
  <c r="F4937" i="4"/>
  <c r="L4937" i="4" s="1"/>
  <c r="F4936" i="4"/>
  <c r="L4936" i="4" s="1"/>
  <c r="F4935" i="4"/>
  <c r="L4935" i="4" s="1"/>
  <c r="F4934" i="4"/>
  <c r="L4934" i="4" s="1"/>
  <c r="F4933" i="4"/>
  <c r="L4933" i="4" s="1"/>
  <c r="F4932" i="4"/>
  <c r="L4932" i="4" s="1"/>
  <c r="F4931" i="4"/>
  <c r="L4931" i="4" s="1"/>
  <c r="F4930" i="4"/>
  <c r="L4930" i="4" s="1"/>
  <c r="F4929" i="4"/>
  <c r="L4929" i="4" s="1"/>
  <c r="F4928" i="4"/>
  <c r="L4928" i="4" s="1"/>
  <c r="F4927" i="4"/>
  <c r="L4927" i="4" s="1"/>
  <c r="F4926" i="4"/>
  <c r="L4926" i="4" s="1"/>
  <c r="F4925" i="4"/>
  <c r="L4925" i="4" s="1"/>
  <c r="F4924" i="4"/>
  <c r="L4924" i="4" s="1"/>
  <c r="F4923" i="4"/>
  <c r="L4923" i="4" s="1"/>
  <c r="F4922" i="4"/>
  <c r="L4922" i="4" s="1"/>
  <c r="F4921" i="4"/>
  <c r="L4921" i="4" s="1"/>
  <c r="F4920" i="4"/>
  <c r="L4920" i="4" s="1"/>
  <c r="F4919" i="4"/>
  <c r="L4919" i="4" s="1"/>
  <c r="F4918" i="4"/>
  <c r="L4918" i="4" s="1"/>
  <c r="F4917" i="4"/>
  <c r="L4917" i="4" s="1"/>
  <c r="F4916" i="4"/>
  <c r="L4916" i="4" s="1"/>
  <c r="F4915" i="4"/>
  <c r="L4915" i="4" s="1"/>
  <c r="F4914" i="4"/>
  <c r="L4914" i="4" s="1"/>
  <c r="F4913" i="4"/>
  <c r="L4913" i="4" s="1"/>
  <c r="F4912" i="4"/>
  <c r="L4912" i="4" s="1"/>
  <c r="F4911" i="4"/>
  <c r="L4911" i="4" s="1"/>
  <c r="F4910" i="4"/>
  <c r="L4910" i="4" s="1"/>
  <c r="F4909" i="4"/>
  <c r="L4909" i="4" s="1"/>
  <c r="F4908" i="4"/>
  <c r="L4908" i="4" s="1"/>
  <c r="F4907" i="4"/>
  <c r="L4907" i="4" s="1"/>
  <c r="F4906" i="4"/>
  <c r="L4906" i="4" s="1"/>
  <c r="F4905" i="4"/>
  <c r="L4905" i="4" s="1"/>
  <c r="F4904" i="4"/>
  <c r="L4904" i="4" s="1"/>
  <c r="F4903" i="4"/>
  <c r="L4903" i="4" s="1"/>
  <c r="F4902" i="4"/>
  <c r="L4902" i="4" s="1"/>
  <c r="F4901" i="4"/>
  <c r="L4901" i="4" s="1"/>
  <c r="F4900" i="4"/>
  <c r="L4900" i="4" s="1"/>
  <c r="F4899" i="4"/>
  <c r="L4899" i="4" s="1"/>
  <c r="F4898" i="4"/>
  <c r="L4898" i="4" s="1"/>
  <c r="F4897" i="4"/>
  <c r="L4897" i="4" s="1"/>
  <c r="F4896" i="4"/>
  <c r="L4896" i="4" s="1"/>
  <c r="F4895" i="4"/>
  <c r="L4895" i="4" s="1"/>
  <c r="F4894" i="4"/>
  <c r="L4894" i="4" s="1"/>
  <c r="F4893" i="4"/>
  <c r="L4893" i="4" s="1"/>
  <c r="F4892" i="4"/>
  <c r="L4892" i="4" s="1"/>
  <c r="F4891" i="4"/>
  <c r="L4891" i="4" s="1"/>
  <c r="F4890" i="4"/>
  <c r="L4890" i="4" s="1"/>
  <c r="F4889" i="4"/>
  <c r="L4889" i="4" s="1"/>
  <c r="F4888" i="4"/>
  <c r="L4888" i="4" s="1"/>
  <c r="F4887" i="4"/>
  <c r="L4887" i="4" s="1"/>
  <c r="F4886" i="4"/>
  <c r="L4886" i="4" s="1"/>
  <c r="F4885" i="4"/>
  <c r="L4885" i="4" s="1"/>
  <c r="F4884" i="4"/>
  <c r="L4884" i="4" s="1"/>
  <c r="F4883" i="4"/>
  <c r="L4883" i="4" s="1"/>
  <c r="F4882" i="4"/>
  <c r="L4882" i="4" s="1"/>
  <c r="F4881" i="4"/>
  <c r="L4881" i="4" s="1"/>
  <c r="F4880" i="4"/>
  <c r="L4880" i="4" s="1"/>
  <c r="F4879" i="4"/>
  <c r="L4879" i="4" s="1"/>
  <c r="F4878" i="4"/>
  <c r="L4878" i="4" s="1"/>
  <c r="F4877" i="4"/>
  <c r="L4877" i="4" s="1"/>
  <c r="F4876" i="4"/>
  <c r="L4876" i="4" s="1"/>
  <c r="F4875" i="4"/>
  <c r="L4875" i="4" s="1"/>
  <c r="F4874" i="4"/>
  <c r="L4874" i="4" s="1"/>
  <c r="F4873" i="4"/>
  <c r="L4873" i="4" s="1"/>
  <c r="F4872" i="4"/>
  <c r="L4872" i="4" s="1"/>
  <c r="F4871" i="4"/>
  <c r="L4871" i="4" s="1"/>
  <c r="F4870" i="4"/>
  <c r="L4870" i="4" s="1"/>
  <c r="F4869" i="4"/>
  <c r="L4869" i="4" s="1"/>
  <c r="F4868" i="4"/>
  <c r="L4868" i="4" s="1"/>
  <c r="F4867" i="4"/>
  <c r="L4867" i="4" s="1"/>
  <c r="F4866" i="4"/>
  <c r="L4866" i="4" s="1"/>
  <c r="F4865" i="4"/>
  <c r="L4865" i="4" s="1"/>
  <c r="F4864" i="4"/>
  <c r="L4864" i="4" s="1"/>
  <c r="F4863" i="4"/>
  <c r="L4863" i="4" s="1"/>
  <c r="F4862" i="4"/>
  <c r="L4862" i="4" s="1"/>
  <c r="F4861" i="4"/>
  <c r="L4861" i="4" s="1"/>
  <c r="F4860" i="4"/>
  <c r="L4860" i="4" s="1"/>
  <c r="F4859" i="4"/>
  <c r="L4859" i="4" s="1"/>
  <c r="F4858" i="4"/>
  <c r="L4858" i="4" s="1"/>
  <c r="F4857" i="4"/>
  <c r="L4857" i="4" s="1"/>
  <c r="F4856" i="4"/>
  <c r="L4856" i="4" s="1"/>
  <c r="F4855" i="4"/>
  <c r="L4855" i="4" s="1"/>
  <c r="F4854" i="4"/>
  <c r="L4854" i="4" s="1"/>
  <c r="F4853" i="4"/>
  <c r="L4853" i="4" s="1"/>
  <c r="F4852" i="4"/>
  <c r="L4852" i="4" s="1"/>
  <c r="F4851" i="4"/>
  <c r="L4851" i="4" s="1"/>
  <c r="F4850" i="4"/>
  <c r="L4850" i="4" s="1"/>
  <c r="F4849" i="4"/>
  <c r="L4849" i="4" s="1"/>
  <c r="F4848" i="4"/>
  <c r="L4848" i="4" s="1"/>
  <c r="F4847" i="4"/>
  <c r="L4847" i="4" s="1"/>
  <c r="F4846" i="4"/>
  <c r="L4846" i="4" s="1"/>
  <c r="F4845" i="4"/>
  <c r="L4845" i="4" s="1"/>
  <c r="F4844" i="4"/>
  <c r="L4844" i="4" s="1"/>
  <c r="F4843" i="4"/>
  <c r="L4843" i="4" s="1"/>
  <c r="F4842" i="4"/>
  <c r="L4842" i="4" s="1"/>
  <c r="F4841" i="4"/>
  <c r="L4841" i="4" s="1"/>
  <c r="F4840" i="4"/>
  <c r="L4840" i="4" s="1"/>
  <c r="F4839" i="4"/>
  <c r="L4839" i="4" s="1"/>
  <c r="F4838" i="4"/>
  <c r="L4838" i="4" s="1"/>
  <c r="F4837" i="4"/>
  <c r="L4837" i="4" s="1"/>
  <c r="F4836" i="4"/>
  <c r="L4836" i="4" s="1"/>
  <c r="F4835" i="4"/>
  <c r="L4835" i="4" s="1"/>
  <c r="F4834" i="4"/>
  <c r="L4834" i="4" s="1"/>
  <c r="F4833" i="4"/>
  <c r="L4833" i="4" s="1"/>
  <c r="F4832" i="4"/>
  <c r="L4832" i="4" s="1"/>
  <c r="F4831" i="4"/>
  <c r="L4831" i="4" s="1"/>
  <c r="F4830" i="4"/>
  <c r="L4830" i="4" s="1"/>
  <c r="F4829" i="4"/>
  <c r="L4829" i="4" s="1"/>
  <c r="F4828" i="4"/>
  <c r="L4828" i="4" s="1"/>
  <c r="F4827" i="4"/>
  <c r="L4827" i="4" s="1"/>
  <c r="F4826" i="4"/>
  <c r="L4826" i="4" s="1"/>
  <c r="F4825" i="4"/>
  <c r="L4825" i="4" s="1"/>
  <c r="F4824" i="4"/>
  <c r="L4824" i="4" s="1"/>
  <c r="F4823" i="4"/>
  <c r="L4823" i="4" s="1"/>
  <c r="F4822" i="4"/>
  <c r="L4822" i="4" s="1"/>
  <c r="F4821" i="4"/>
  <c r="L4821" i="4" s="1"/>
  <c r="F4820" i="4"/>
  <c r="L4820" i="4" s="1"/>
  <c r="F4819" i="4"/>
  <c r="L4819" i="4" s="1"/>
  <c r="F4818" i="4"/>
  <c r="L4818" i="4" s="1"/>
  <c r="F4817" i="4"/>
  <c r="L4817" i="4" s="1"/>
  <c r="F4816" i="4"/>
  <c r="L4816" i="4" s="1"/>
  <c r="F4815" i="4"/>
  <c r="L4815" i="4" s="1"/>
  <c r="F4814" i="4"/>
  <c r="L4814" i="4" s="1"/>
  <c r="F4813" i="4"/>
  <c r="L4813" i="4" s="1"/>
  <c r="F4812" i="4"/>
  <c r="L4812" i="4" s="1"/>
  <c r="F4811" i="4"/>
  <c r="L4811" i="4" s="1"/>
  <c r="F4810" i="4"/>
  <c r="L4810" i="4" s="1"/>
  <c r="F4809" i="4"/>
  <c r="L4809" i="4" s="1"/>
  <c r="F4808" i="4"/>
  <c r="L4808" i="4" s="1"/>
  <c r="F4807" i="4"/>
  <c r="L4807" i="4" s="1"/>
  <c r="F4806" i="4"/>
  <c r="L4806" i="4" s="1"/>
  <c r="F4805" i="4"/>
  <c r="L4805" i="4" s="1"/>
  <c r="F4804" i="4"/>
  <c r="L4804" i="4" s="1"/>
  <c r="F4803" i="4"/>
  <c r="L4803" i="4" s="1"/>
  <c r="F4802" i="4"/>
  <c r="L4802" i="4" s="1"/>
  <c r="F4801" i="4"/>
  <c r="L4801" i="4" s="1"/>
  <c r="F4800" i="4"/>
  <c r="L4800" i="4" s="1"/>
  <c r="F4799" i="4"/>
  <c r="L4799" i="4" s="1"/>
  <c r="F4798" i="4"/>
  <c r="L4798" i="4" s="1"/>
  <c r="F4797" i="4"/>
  <c r="L4797" i="4" s="1"/>
  <c r="F4796" i="4"/>
  <c r="L4796" i="4" s="1"/>
  <c r="F4795" i="4"/>
  <c r="L4795" i="4" s="1"/>
  <c r="F4794" i="4"/>
  <c r="L4794" i="4" s="1"/>
  <c r="F4793" i="4"/>
  <c r="L4793" i="4" s="1"/>
  <c r="F4792" i="4"/>
  <c r="L4792" i="4" s="1"/>
  <c r="F4791" i="4"/>
  <c r="L4791" i="4" s="1"/>
  <c r="F4790" i="4"/>
  <c r="L4790" i="4" s="1"/>
  <c r="F4789" i="4"/>
  <c r="L4789" i="4" s="1"/>
  <c r="F4788" i="4"/>
  <c r="L4788" i="4" s="1"/>
  <c r="F4787" i="4"/>
  <c r="L4787" i="4" s="1"/>
  <c r="F4786" i="4"/>
  <c r="L4786" i="4" s="1"/>
  <c r="F4785" i="4"/>
  <c r="L4785" i="4" s="1"/>
  <c r="F4784" i="4"/>
  <c r="L4784" i="4" s="1"/>
  <c r="F4783" i="4"/>
  <c r="L4783" i="4" s="1"/>
  <c r="F4782" i="4"/>
  <c r="L4782" i="4" s="1"/>
  <c r="F4781" i="4"/>
  <c r="L4781" i="4" s="1"/>
  <c r="F4780" i="4"/>
  <c r="L4780" i="4" s="1"/>
  <c r="F4779" i="4"/>
  <c r="L4779" i="4" s="1"/>
  <c r="F4778" i="4"/>
  <c r="L4778" i="4" s="1"/>
  <c r="F4777" i="4"/>
  <c r="L4777" i="4" s="1"/>
  <c r="F4776" i="4"/>
  <c r="L4776" i="4" s="1"/>
  <c r="F4775" i="4"/>
  <c r="L4775" i="4" s="1"/>
  <c r="F4774" i="4"/>
  <c r="L4774" i="4" s="1"/>
  <c r="F4773" i="4"/>
  <c r="L4773" i="4" s="1"/>
  <c r="F4772" i="4"/>
  <c r="L4772" i="4" s="1"/>
  <c r="F4771" i="4"/>
  <c r="L4771" i="4" s="1"/>
  <c r="F4770" i="4"/>
  <c r="L4770" i="4" s="1"/>
  <c r="F4769" i="4"/>
  <c r="L4769" i="4" s="1"/>
  <c r="F4768" i="4"/>
  <c r="L4768" i="4" s="1"/>
  <c r="F4767" i="4"/>
  <c r="L4767" i="4" s="1"/>
  <c r="F4766" i="4"/>
  <c r="L4766" i="4" s="1"/>
  <c r="F4765" i="4"/>
  <c r="L4765" i="4" s="1"/>
  <c r="F4764" i="4"/>
  <c r="L4764" i="4" s="1"/>
  <c r="F4763" i="4"/>
  <c r="L4763" i="4" s="1"/>
  <c r="F4762" i="4"/>
  <c r="L4762" i="4" s="1"/>
  <c r="F4761" i="4"/>
  <c r="L4761" i="4" s="1"/>
  <c r="F4760" i="4"/>
  <c r="L4760" i="4" s="1"/>
  <c r="F4759" i="4"/>
  <c r="L4759" i="4" s="1"/>
  <c r="F4758" i="4"/>
  <c r="L4758" i="4" s="1"/>
  <c r="F4757" i="4"/>
  <c r="L4757" i="4" s="1"/>
  <c r="F4756" i="4"/>
  <c r="L4756" i="4" s="1"/>
  <c r="F4755" i="4"/>
  <c r="L4755" i="4" s="1"/>
  <c r="F4754" i="4"/>
  <c r="L4754" i="4" s="1"/>
  <c r="F4753" i="4"/>
  <c r="L4753" i="4" s="1"/>
  <c r="F4752" i="4"/>
  <c r="L4752" i="4" s="1"/>
  <c r="F4751" i="4"/>
  <c r="L4751" i="4" s="1"/>
  <c r="F4750" i="4"/>
  <c r="L4750" i="4" s="1"/>
  <c r="F4749" i="4"/>
  <c r="L4749" i="4" s="1"/>
  <c r="F4748" i="4"/>
  <c r="L4748" i="4" s="1"/>
  <c r="F4747" i="4"/>
  <c r="L4747" i="4" s="1"/>
  <c r="F4746" i="4"/>
  <c r="L4746" i="4" s="1"/>
  <c r="F4745" i="4"/>
  <c r="L4745" i="4" s="1"/>
  <c r="F4744" i="4"/>
  <c r="L4744" i="4" s="1"/>
  <c r="F4743" i="4"/>
  <c r="L4743" i="4" s="1"/>
  <c r="F4742" i="4"/>
  <c r="L4742" i="4" s="1"/>
  <c r="F4741" i="4"/>
  <c r="L4741" i="4" s="1"/>
  <c r="F4740" i="4"/>
  <c r="L4740" i="4" s="1"/>
  <c r="F4739" i="4"/>
  <c r="L4739" i="4" s="1"/>
  <c r="F4738" i="4"/>
  <c r="L4738" i="4" s="1"/>
  <c r="F4737" i="4"/>
  <c r="L4737" i="4" s="1"/>
  <c r="F4736" i="4"/>
  <c r="L4736" i="4" s="1"/>
  <c r="F4735" i="4"/>
  <c r="L4735" i="4" s="1"/>
  <c r="F4734" i="4"/>
  <c r="L4734" i="4" s="1"/>
  <c r="F4733" i="4"/>
  <c r="L4733" i="4" s="1"/>
  <c r="F4732" i="4"/>
  <c r="L4732" i="4" s="1"/>
  <c r="F4731" i="4"/>
  <c r="L4731" i="4" s="1"/>
  <c r="F4730" i="4"/>
  <c r="L4730" i="4" s="1"/>
  <c r="F4729" i="4"/>
  <c r="L4729" i="4" s="1"/>
  <c r="F4728" i="4"/>
  <c r="L4728" i="4" s="1"/>
  <c r="F4727" i="4"/>
  <c r="L4727" i="4" s="1"/>
  <c r="F4726" i="4"/>
  <c r="L4726" i="4" s="1"/>
  <c r="F4725" i="4"/>
  <c r="L4725" i="4" s="1"/>
  <c r="F4724" i="4"/>
  <c r="L4724" i="4" s="1"/>
  <c r="F4723" i="4"/>
  <c r="L4723" i="4" s="1"/>
  <c r="F4722" i="4"/>
  <c r="L4722" i="4" s="1"/>
  <c r="F4721" i="4"/>
  <c r="L4721" i="4" s="1"/>
  <c r="F4720" i="4"/>
  <c r="L4720" i="4" s="1"/>
  <c r="F4719" i="4"/>
  <c r="L4719" i="4" s="1"/>
  <c r="F4718" i="4"/>
  <c r="L4718" i="4" s="1"/>
  <c r="F4717" i="4"/>
  <c r="L4717" i="4" s="1"/>
  <c r="F4716" i="4"/>
  <c r="L4716" i="4" s="1"/>
  <c r="F4715" i="4"/>
  <c r="L4715" i="4" s="1"/>
  <c r="F4714" i="4"/>
  <c r="L4714" i="4" s="1"/>
  <c r="F4713" i="4"/>
  <c r="L4713" i="4" s="1"/>
  <c r="F4712" i="4"/>
  <c r="L4712" i="4" s="1"/>
  <c r="F4711" i="4"/>
  <c r="L4711" i="4" s="1"/>
  <c r="F4710" i="4"/>
  <c r="L4710" i="4" s="1"/>
  <c r="F4709" i="4"/>
  <c r="L4709" i="4" s="1"/>
  <c r="F4708" i="4"/>
  <c r="L4708" i="4" s="1"/>
  <c r="F4707" i="4"/>
  <c r="L4707" i="4" s="1"/>
  <c r="F4706" i="4"/>
  <c r="L4706" i="4" s="1"/>
  <c r="F4705" i="4"/>
  <c r="L4705" i="4" s="1"/>
  <c r="F4704" i="4"/>
  <c r="L4704" i="4" s="1"/>
  <c r="F4703" i="4"/>
  <c r="L4703" i="4" s="1"/>
  <c r="F4702" i="4"/>
  <c r="L4702" i="4" s="1"/>
  <c r="F4701" i="4"/>
  <c r="L4701" i="4" s="1"/>
  <c r="F4700" i="4"/>
  <c r="L4700" i="4" s="1"/>
  <c r="F4699" i="4"/>
  <c r="L4699" i="4" s="1"/>
  <c r="F4698" i="4"/>
  <c r="L4698" i="4" s="1"/>
  <c r="F4697" i="4"/>
  <c r="L4697" i="4" s="1"/>
  <c r="F4696" i="4"/>
  <c r="L4696" i="4" s="1"/>
  <c r="F4695" i="4"/>
  <c r="L4695" i="4" s="1"/>
  <c r="F4694" i="4"/>
  <c r="L4694" i="4" s="1"/>
  <c r="F4693" i="4"/>
  <c r="L4693" i="4" s="1"/>
  <c r="F4692" i="4"/>
  <c r="L4692" i="4" s="1"/>
  <c r="F4691" i="4"/>
  <c r="L4691" i="4" s="1"/>
  <c r="F4690" i="4"/>
  <c r="L4690" i="4" s="1"/>
  <c r="F4689" i="4"/>
  <c r="L4689" i="4" s="1"/>
  <c r="F4688" i="4"/>
  <c r="L4688" i="4" s="1"/>
  <c r="F4687" i="4"/>
  <c r="L4687" i="4" s="1"/>
  <c r="F4686" i="4"/>
  <c r="L4686" i="4" s="1"/>
  <c r="F4685" i="4"/>
  <c r="L4685" i="4" s="1"/>
  <c r="F4684" i="4"/>
  <c r="L4684" i="4" s="1"/>
  <c r="F4683" i="4"/>
  <c r="L4683" i="4" s="1"/>
  <c r="F4682" i="4"/>
  <c r="L4682" i="4" s="1"/>
  <c r="F4681" i="4"/>
  <c r="L4681" i="4" s="1"/>
  <c r="F4680" i="4"/>
  <c r="L4680" i="4" s="1"/>
  <c r="F4679" i="4"/>
  <c r="L4679" i="4" s="1"/>
  <c r="F4678" i="4"/>
  <c r="L4678" i="4" s="1"/>
  <c r="F4677" i="4"/>
  <c r="L4677" i="4" s="1"/>
  <c r="F4676" i="4"/>
  <c r="L4676" i="4" s="1"/>
  <c r="F4675" i="4"/>
  <c r="L4675" i="4" s="1"/>
  <c r="F4674" i="4"/>
  <c r="L4674" i="4" s="1"/>
  <c r="F4673" i="4"/>
  <c r="L4673" i="4" s="1"/>
  <c r="F4672" i="4"/>
  <c r="L4672" i="4" s="1"/>
  <c r="F4671" i="4"/>
  <c r="L4671" i="4" s="1"/>
  <c r="F4670" i="4"/>
  <c r="L4670" i="4" s="1"/>
  <c r="F4669" i="4"/>
  <c r="L4669" i="4" s="1"/>
  <c r="F4668" i="4"/>
  <c r="L4668" i="4" s="1"/>
  <c r="F4667" i="4"/>
  <c r="L4667" i="4" s="1"/>
  <c r="F4666" i="4"/>
  <c r="L4666" i="4" s="1"/>
  <c r="F4665" i="4"/>
  <c r="L4665" i="4" s="1"/>
  <c r="F4664" i="4"/>
  <c r="L4664" i="4" s="1"/>
  <c r="F4663" i="4"/>
  <c r="L4663" i="4" s="1"/>
  <c r="F4662" i="4"/>
  <c r="L4662" i="4" s="1"/>
  <c r="F4661" i="4"/>
  <c r="L4661" i="4" s="1"/>
  <c r="F4660" i="4"/>
  <c r="L4660" i="4" s="1"/>
  <c r="F4659" i="4"/>
  <c r="L4659" i="4" s="1"/>
  <c r="F4658" i="4"/>
  <c r="L4658" i="4" s="1"/>
  <c r="F4657" i="4"/>
  <c r="L4657" i="4" s="1"/>
  <c r="F4656" i="4"/>
  <c r="L4656" i="4" s="1"/>
  <c r="F4655" i="4"/>
  <c r="L4655" i="4" s="1"/>
  <c r="F4654" i="4"/>
  <c r="L4654" i="4" s="1"/>
  <c r="F4653" i="4"/>
  <c r="L4653" i="4" s="1"/>
  <c r="F4652" i="4"/>
  <c r="L4652" i="4" s="1"/>
  <c r="F4651" i="4"/>
  <c r="L4651" i="4" s="1"/>
  <c r="F4650" i="4"/>
  <c r="L4650" i="4" s="1"/>
  <c r="F4649" i="4"/>
  <c r="L4649" i="4" s="1"/>
  <c r="F4648" i="4"/>
  <c r="L4648" i="4" s="1"/>
  <c r="F4647" i="4"/>
  <c r="L4647" i="4" s="1"/>
  <c r="F4646" i="4"/>
  <c r="L4646" i="4" s="1"/>
  <c r="F4645" i="4"/>
  <c r="L4645" i="4" s="1"/>
  <c r="F4644" i="4"/>
  <c r="L4644" i="4" s="1"/>
  <c r="F4643" i="4"/>
  <c r="L4643" i="4" s="1"/>
  <c r="F4642" i="4"/>
  <c r="L4642" i="4" s="1"/>
  <c r="F4641" i="4"/>
  <c r="L4641" i="4" s="1"/>
  <c r="F4640" i="4"/>
  <c r="L4640" i="4" s="1"/>
  <c r="F4639" i="4"/>
  <c r="L4639" i="4" s="1"/>
  <c r="F4638" i="4"/>
  <c r="L4638" i="4" s="1"/>
  <c r="F4637" i="4"/>
  <c r="L4637" i="4" s="1"/>
  <c r="F4636" i="4"/>
  <c r="L4636" i="4" s="1"/>
  <c r="F4635" i="4"/>
  <c r="L4635" i="4" s="1"/>
  <c r="F4634" i="4"/>
  <c r="L4634" i="4" s="1"/>
  <c r="F4633" i="4"/>
  <c r="L4633" i="4" s="1"/>
  <c r="F4632" i="4"/>
  <c r="L4632" i="4" s="1"/>
  <c r="F4631" i="4"/>
  <c r="L4631" i="4" s="1"/>
  <c r="F4630" i="4"/>
  <c r="L4630" i="4" s="1"/>
  <c r="F4629" i="4"/>
  <c r="L4629" i="4" s="1"/>
  <c r="F4628" i="4"/>
  <c r="L4628" i="4" s="1"/>
  <c r="F4627" i="4"/>
  <c r="L4627" i="4" s="1"/>
  <c r="F4626" i="4"/>
  <c r="L4626" i="4" s="1"/>
  <c r="F4625" i="4"/>
  <c r="L4625" i="4" s="1"/>
  <c r="F4624" i="4"/>
  <c r="L4624" i="4" s="1"/>
  <c r="F4623" i="4"/>
  <c r="L4623" i="4" s="1"/>
  <c r="F4622" i="4"/>
  <c r="L4622" i="4" s="1"/>
  <c r="F4621" i="4"/>
  <c r="L4621" i="4" s="1"/>
  <c r="F4620" i="4"/>
  <c r="L4620" i="4" s="1"/>
  <c r="F4619" i="4"/>
  <c r="L4619" i="4" s="1"/>
  <c r="F4618" i="4"/>
  <c r="L4618" i="4" s="1"/>
  <c r="F4617" i="4"/>
  <c r="L4617" i="4" s="1"/>
  <c r="F4616" i="4"/>
  <c r="L4616" i="4" s="1"/>
  <c r="F4615" i="4"/>
  <c r="L4615" i="4" s="1"/>
  <c r="F4614" i="4"/>
  <c r="L4614" i="4" s="1"/>
  <c r="F4613" i="4"/>
  <c r="L4613" i="4" s="1"/>
  <c r="F4612" i="4"/>
  <c r="L4612" i="4" s="1"/>
  <c r="F4611" i="4"/>
  <c r="L4611" i="4" s="1"/>
  <c r="F4610" i="4"/>
  <c r="L4610" i="4" s="1"/>
  <c r="F4609" i="4"/>
  <c r="L4609" i="4" s="1"/>
  <c r="F4608" i="4"/>
  <c r="L4608" i="4" s="1"/>
  <c r="F4607" i="4"/>
  <c r="L4607" i="4" s="1"/>
  <c r="F4606" i="4"/>
  <c r="L4606" i="4" s="1"/>
  <c r="F4605" i="4"/>
  <c r="L4605" i="4" s="1"/>
  <c r="F4604" i="4"/>
  <c r="L4604" i="4" s="1"/>
  <c r="F4603" i="4"/>
  <c r="L4603" i="4" s="1"/>
  <c r="F4602" i="4"/>
  <c r="L4602" i="4" s="1"/>
  <c r="F4601" i="4"/>
  <c r="L4601" i="4" s="1"/>
  <c r="F4600" i="4"/>
  <c r="L4600" i="4" s="1"/>
  <c r="F4599" i="4"/>
  <c r="L4599" i="4" s="1"/>
  <c r="F4598" i="4"/>
  <c r="L4598" i="4" s="1"/>
  <c r="F4597" i="4"/>
  <c r="L4597" i="4" s="1"/>
  <c r="F4596" i="4"/>
  <c r="L4596" i="4" s="1"/>
  <c r="F4595" i="4"/>
  <c r="L4595" i="4" s="1"/>
  <c r="F4594" i="4"/>
  <c r="L4594" i="4" s="1"/>
  <c r="F4593" i="4"/>
  <c r="L4593" i="4" s="1"/>
  <c r="F4592" i="4"/>
  <c r="L4592" i="4" s="1"/>
  <c r="F4591" i="4"/>
  <c r="L4591" i="4" s="1"/>
  <c r="F4590" i="4"/>
  <c r="L4590" i="4" s="1"/>
  <c r="F4589" i="4"/>
  <c r="L4589" i="4" s="1"/>
  <c r="F4588" i="4"/>
  <c r="L4588" i="4" s="1"/>
  <c r="F4587" i="4"/>
  <c r="L4587" i="4" s="1"/>
  <c r="F4586" i="4"/>
  <c r="L4586" i="4" s="1"/>
  <c r="F4585" i="4"/>
  <c r="L4585" i="4" s="1"/>
  <c r="F4584" i="4"/>
  <c r="L4584" i="4" s="1"/>
  <c r="F4583" i="4"/>
  <c r="L4583" i="4" s="1"/>
  <c r="F4582" i="4"/>
  <c r="L4582" i="4" s="1"/>
  <c r="F4581" i="4"/>
  <c r="L4581" i="4" s="1"/>
  <c r="F4580" i="4"/>
  <c r="L4580" i="4" s="1"/>
  <c r="F4579" i="4"/>
  <c r="L4579" i="4" s="1"/>
  <c r="F4578" i="4"/>
  <c r="L4578" i="4" s="1"/>
  <c r="F4577" i="4"/>
  <c r="L4577" i="4" s="1"/>
  <c r="F4576" i="4"/>
  <c r="L4576" i="4" s="1"/>
  <c r="F4575" i="4"/>
  <c r="L4575" i="4" s="1"/>
  <c r="F4574" i="4"/>
  <c r="L4574" i="4" s="1"/>
  <c r="F4573" i="4"/>
  <c r="L4573" i="4" s="1"/>
  <c r="F4572" i="4"/>
  <c r="L4572" i="4" s="1"/>
  <c r="F4571" i="4"/>
  <c r="L4571" i="4" s="1"/>
  <c r="F4570" i="4"/>
  <c r="L4570" i="4" s="1"/>
  <c r="F4569" i="4"/>
  <c r="L4569" i="4" s="1"/>
  <c r="F4568" i="4"/>
  <c r="L4568" i="4" s="1"/>
  <c r="F4567" i="4"/>
  <c r="L4567" i="4" s="1"/>
  <c r="F4566" i="4"/>
  <c r="L4566" i="4" s="1"/>
  <c r="F4565" i="4"/>
  <c r="L4565" i="4" s="1"/>
  <c r="F4564" i="4"/>
  <c r="L4564" i="4" s="1"/>
  <c r="F4563" i="4"/>
  <c r="L4563" i="4" s="1"/>
  <c r="F4562" i="4"/>
  <c r="L4562" i="4" s="1"/>
  <c r="F4561" i="4"/>
  <c r="L4561" i="4" s="1"/>
  <c r="F4560" i="4"/>
  <c r="L4560" i="4" s="1"/>
  <c r="F4559" i="4"/>
  <c r="L4559" i="4" s="1"/>
  <c r="F4558" i="4"/>
  <c r="L4558" i="4" s="1"/>
  <c r="F4557" i="4"/>
  <c r="L4557" i="4" s="1"/>
  <c r="F4556" i="4"/>
  <c r="L4556" i="4" s="1"/>
  <c r="F4555" i="4"/>
  <c r="L4555" i="4" s="1"/>
  <c r="F4554" i="4"/>
  <c r="L4554" i="4" s="1"/>
  <c r="F4553" i="4"/>
  <c r="L4553" i="4" s="1"/>
  <c r="F4552" i="4"/>
  <c r="L4552" i="4" s="1"/>
  <c r="F4551" i="4"/>
  <c r="L4551" i="4" s="1"/>
  <c r="F4550" i="4"/>
  <c r="L4550" i="4" s="1"/>
  <c r="F4549" i="4"/>
  <c r="L4549" i="4" s="1"/>
  <c r="F4548" i="4"/>
  <c r="L4548" i="4" s="1"/>
  <c r="F4547" i="4"/>
  <c r="L4547" i="4" s="1"/>
  <c r="F4546" i="4"/>
  <c r="L4546" i="4" s="1"/>
  <c r="F4545" i="4"/>
  <c r="L4545" i="4" s="1"/>
  <c r="F4544" i="4"/>
  <c r="L4544" i="4" s="1"/>
  <c r="F4543" i="4"/>
  <c r="L4543" i="4" s="1"/>
  <c r="F4542" i="4"/>
  <c r="L4542" i="4" s="1"/>
  <c r="F4541" i="4"/>
  <c r="L4541" i="4" s="1"/>
  <c r="F4540" i="4"/>
  <c r="L4540" i="4" s="1"/>
  <c r="F4539" i="4"/>
  <c r="L4539" i="4" s="1"/>
  <c r="F4538" i="4"/>
  <c r="L4538" i="4" s="1"/>
  <c r="F4537" i="4"/>
  <c r="L4537" i="4" s="1"/>
  <c r="F4536" i="4"/>
  <c r="L4536" i="4" s="1"/>
  <c r="F4535" i="4"/>
  <c r="L4535" i="4" s="1"/>
  <c r="F4534" i="4"/>
  <c r="L4534" i="4" s="1"/>
  <c r="F4533" i="4"/>
  <c r="L4533" i="4" s="1"/>
  <c r="F4532" i="4"/>
  <c r="L4532" i="4" s="1"/>
  <c r="F4531" i="4"/>
  <c r="L4531" i="4" s="1"/>
  <c r="F4530" i="4"/>
  <c r="L4530" i="4" s="1"/>
  <c r="F4529" i="4"/>
  <c r="L4529" i="4" s="1"/>
  <c r="F4528" i="4"/>
  <c r="L4528" i="4" s="1"/>
  <c r="F4527" i="4"/>
  <c r="L4527" i="4" s="1"/>
  <c r="F4526" i="4"/>
  <c r="L4526" i="4" s="1"/>
  <c r="F4525" i="4"/>
  <c r="L4525" i="4" s="1"/>
  <c r="F4524" i="4"/>
  <c r="L4524" i="4" s="1"/>
  <c r="F4523" i="4"/>
  <c r="L4523" i="4" s="1"/>
  <c r="F4522" i="4"/>
  <c r="L4522" i="4" s="1"/>
  <c r="F4521" i="4"/>
  <c r="L4521" i="4" s="1"/>
  <c r="F4520" i="4"/>
  <c r="L4520" i="4" s="1"/>
  <c r="F4519" i="4"/>
  <c r="L4519" i="4" s="1"/>
  <c r="F4518" i="4"/>
  <c r="L4518" i="4" s="1"/>
  <c r="F4517" i="4"/>
  <c r="L4517" i="4" s="1"/>
  <c r="F4516" i="4"/>
  <c r="L4516" i="4" s="1"/>
  <c r="F4515" i="4"/>
  <c r="L4515" i="4" s="1"/>
  <c r="F4514" i="4"/>
  <c r="L4514" i="4" s="1"/>
  <c r="F4513" i="4"/>
  <c r="L4513" i="4" s="1"/>
  <c r="F4512" i="4"/>
  <c r="L4512" i="4" s="1"/>
  <c r="F4511" i="4"/>
  <c r="L4511" i="4" s="1"/>
  <c r="F4510" i="4"/>
  <c r="L4510" i="4" s="1"/>
  <c r="F4509" i="4"/>
  <c r="L4509" i="4" s="1"/>
  <c r="F4508" i="4"/>
  <c r="L4508" i="4" s="1"/>
  <c r="F4507" i="4"/>
  <c r="L4507" i="4" s="1"/>
  <c r="F4506" i="4"/>
  <c r="L4506" i="4" s="1"/>
  <c r="F4505" i="4"/>
  <c r="L4505" i="4" s="1"/>
  <c r="F4504" i="4"/>
  <c r="L4504" i="4" s="1"/>
  <c r="F4503" i="4"/>
  <c r="L4503" i="4" s="1"/>
  <c r="F4502" i="4"/>
  <c r="L4502" i="4" s="1"/>
  <c r="F4501" i="4"/>
  <c r="L4501" i="4" s="1"/>
  <c r="F4500" i="4"/>
  <c r="L4500" i="4" s="1"/>
  <c r="F4499" i="4"/>
  <c r="L4499" i="4" s="1"/>
  <c r="F4498" i="4"/>
  <c r="L4498" i="4" s="1"/>
  <c r="F4497" i="4"/>
  <c r="L4497" i="4" s="1"/>
  <c r="F4496" i="4"/>
  <c r="L4496" i="4" s="1"/>
  <c r="F4495" i="4"/>
  <c r="L4495" i="4" s="1"/>
  <c r="F4494" i="4"/>
  <c r="L4494" i="4" s="1"/>
  <c r="F4493" i="4"/>
  <c r="L4493" i="4" s="1"/>
  <c r="F4492" i="4"/>
  <c r="L4492" i="4" s="1"/>
  <c r="F4491" i="4"/>
  <c r="L4491" i="4" s="1"/>
  <c r="F4490" i="4"/>
  <c r="L4490" i="4" s="1"/>
  <c r="F4489" i="4"/>
  <c r="L4489" i="4" s="1"/>
  <c r="F4488" i="4"/>
  <c r="L4488" i="4" s="1"/>
  <c r="F4487" i="4"/>
  <c r="L4487" i="4" s="1"/>
  <c r="F4486" i="4"/>
  <c r="L4486" i="4" s="1"/>
  <c r="F4485" i="4"/>
  <c r="L4485" i="4" s="1"/>
  <c r="F4484" i="4"/>
  <c r="L4484" i="4" s="1"/>
  <c r="F4483" i="4"/>
  <c r="L4483" i="4" s="1"/>
  <c r="F4482" i="4"/>
  <c r="L4482" i="4" s="1"/>
  <c r="F4481" i="4"/>
  <c r="L4481" i="4" s="1"/>
  <c r="F4480" i="4"/>
  <c r="L4480" i="4" s="1"/>
  <c r="F4479" i="4"/>
  <c r="L4479" i="4" s="1"/>
  <c r="F4478" i="4"/>
  <c r="L4478" i="4" s="1"/>
  <c r="F4477" i="4"/>
  <c r="L4477" i="4" s="1"/>
  <c r="F4476" i="4"/>
  <c r="L4476" i="4" s="1"/>
  <c r="F4475" i="4"/>
  <c r="L4475" i="4" s="1"/>
  <c r="F4474" i="4"/>
  <c r="L4474" i="4" s="1"/>
  <c r="F4473" i="4"/>
  <c r="L4473" i="4" s="1"/>
  <c r="F4472" i="4"/>
  <c r="L4472" i="4" s="1"/>
  <c r="F4471" i="4"/>
  <c r="L4471" i="4" s="1"/>
  <c r="F4470" i="4"/>
  <c r="L4470" i="4" s="1"/>
  <c r="F4469" i="4"/>
  <c r="L4469" i="4" s="1"/>
  <c r="F4468" i="4"/>
  <c r="L4468" i="4" s="1"/>
  <c r="F4467" i="4"/>
  <c r="L4467" i="4" s="1"/>
  <c r="F4466" i="4"/>
  <c r="L4466" i="4" s="1"/>
  <c r="F4465" i="4"/>
  <c r="L4465" i="4" s="1"/>
  <c r="F4464" i="4"/>
  <c r="L4464" i="4" s="1"/>
  <c r="F4463" i="4"/>
  <c r="L4463" i="4" s="1"/>
  <c r="F4462" i="4"/>
  <c r="L4462" i="4" s="1"/>
  <c r="F4461" i="4"/>
  <c r="L4461" i="4" s="1"/>
  <c r="F4460" i="4"/>
  <c r="L4460" i="4" s="1"/>
  <c r="F4459" i="4"/>
  <c r="L4459" i="4" s="1"/>
  <c r="F4458" i="4"/>
  <c r="L4458" i="4" s="1"/>
  <c r="F4457" i="4"/>
  <c r="L4457" i="4" s="1"/>
  <c r="F4456" i="4"/>
  <c r="L4456" i="4" s="1"/>
  <c r="F4455" i="4"/>
  <c r="L4455" i="4" s="1"/>
  <c r="F4454" i="4"/>
  <c r="L4454" i="4" s="1"/>
  <c r="F4453" i="4"/>
  <c r="L4453" i="4" s="1"/>
  <c r="F4452" i="4"/>
  <c r="L4452" i="4" s="1"/>
  <c r="F4451" i="4"/>
  <c r="L4451" i="4" s="1"/>
  <c r="F4450" i="4"/>
  <c r="L4450" i="4" s="1"/>
  <c r="F4449" i="4"/>
  <c r="L4449" i="4" s="1"/>
  <c r="F4448" i="4"/>
  <c r="L4448" i="4" s="1"/>
  <c r="F4447" i="4"/>
  <c r="L4447" i="4" s="1"/>
  <c r="F4446" i="4"/>
  <c r="L4446" i="4" s="1"/>
  <c r="F4445" i="4"/>
  <c r="L4445" i="4" s="1"/>
  <c r="F4444" i="4"/>
  <c r="L4444" i="4" s="1"/>
  <c r="F4443" i="4"/>
  <c r="L4443" i="4" s="1"/>
  <c r="F4442" i="4"/>
  <c r="L4442" i="4" s="1"/>
  <c r="F4441" i="4"/>
  <c r="L4441" i="4" s="1"/>
  <c r="F4440" i="4"/>
  <c r="L4440" i="4" s="1"/>
  <c r="F4439" i="4"/>
  <c r="L4439" i="4" s="1"/>
  <c r="F4438" i="4"/>
  <c r="L4438" i="4" s="1"/>
  <c r="F4437" i="4"/>
  <c r="L4437" i="4" s="1"/>
  <c r="F4436" i="4"/>
  <c r="L4436" i="4" s="1"/>
  <c r="F4435" i="4"/>
  <c r="L4435" i="4" s="1"/>
  <c r="F4434" i="4"/>
  <c r="L4434" i="4" s="1"/>
  <c r="F4433" i="4"/>
  <c r="L4433" i="4" s="1"/>
  <c r="F4432" i="4"/>
  <c r="L4432" i="4" s="1"/>
  <c r="F4431" i="4"/>
  <c r="L4431" i="4" s="1"/>
  <c r="F4430" i="4"/>
  <c r="L4430" i="4" s="1"/>
  <c r="F4429" i="4"/>
  <c r="L4429" i="4" s="1"/>
  <c r="F4428" i="4"/>
  <c r="L4428" i="4" s="1"/>
  <c r="F4427" i="4"/>
  <c r="L4427" i="4" s="1"/>
  <c r="F4426" i="4"/>
  <c r="L4426" i="4" s="1"/>
  <c r="F4425" i="4"/>
  <c r="L4425" i="4" s="1"/>
  <c r="F4424" i="4"/>
  <c r="L4424" i="4" s="1"/>
  <c r="F4423" i="4"/>
  <c r="L4423" i="4" s="1"/>
  <c r="F4422" i="4"/>
  <c r="L4422" i="4" s="1"/>
  <c r="F4421" i="4"/>
  <c r="L4421" i="4" s="1"/>
  <c r="F4420" i="4"/>
  <c r="L4420" i="4" s="1"/>
  <c r="F4419" i="4"/>
  <c r="L4419" i="4" s="1"/>
  <c r="F4418" i="4"/>
  <c r="L4418" i="4" s="1"/>
  <c r="F4417" i="4"/>
  <c r="L4417" i="4" s="1"/>
  <c r="F4416" i="4"/>
  <c r="L4416" i="4" s="1"/>
  <c r="F4415" i="4"/>
  <c r="L4415" i="4" s="1"/>
  <c r="F4414" i="4"/>
  <c r="L4414" i="4" s="1"/>
  <c r="F4413" i="4"/>
  <c r="L4413" i="4" s="1"/>
  <c r="F4412" i="4"/>
  <c r="L4412" i="4" s="1"/>
  <c r="F4411" i="4"/>
  <c r="L4411" i="4" s="1"/>
  <c r="F4410" i="4"/>
  <c r="L4410" i="4" s="1"/>
  <c r="F4409" i="4"/>
  <c r="L4409" i="4" s="1"/>
  <c r="F4408" i="4"/>
  <c r="L4408" i="4" s="1"/>
  <c r="F4407" i="4"/>
  <c r="L4407" i="4" s="1"/>
  <c r="F4406" i="4"/>
  <c r="L4406" i="4" s="1"/>
  <c r="F4405" i="4"/>
  <c r="L4405" i="4" s="1"/>
  <c r="F4404" i="4"/>
  <c r="L4404" i="4" s="1"/>
  <c r="F4403" i="4"/>
  <c r="L4403" i="4" s="1"/>
  <c r="F4402" i="4"/>
  <c r="L4402" i="4" s="1"/>
  <c r="F4401" i="4"/>
  <c r="L4401" i="4" s="1"/>
  <c r="F4400" i="4"/>
  <c r="L4400" i="4" s="1"/>
  <c r="F4399" i="4"/>
  <c r="L4399" i="4" s="1"/>
  <c r="F4398" i="4"/>
  <c r="L4398" i="4" s="1"/>
  <c r="F4397" i="4"/>
  <c r="L4397" i="4" s="1"/>
  <c r="F4396" i="4"/>
  <c r="L4396" i="4" s="1"/>
  <c r="F4395" i="4"/>
  <c r="L4395" i="4" s="1"/>
  <c r="F4394" i="4"/>
  <c r="L4394" i="4" s="1"/>
  <c r="F4393" i="4"/>
  <c r="L4393" i="4" s="1"/>
  <c r="F4392" i="4"/>
  <c r="L4392" i="4" s="1"/>
  <c r="F4391" i="4"/>
  <c r="L4391" i="4" s="1"/>
  <c r="F4390" i="4"/>
  <c r="L4390" i="4" s="1"/>
  <c r="F4389" i="4"/>
  <c r="L4389" i="4" s="1"/>
  <c r="F4388" i="4"/>
  <c r="L4388" i="4" s="1"/>
  <c r="F4387" i="4"/>
  <c r="L4387" i="4" s="1"/>
  <c r="F4386" i="4"/>
  <c r="L4386" i="4" s="1"/>
  <c r="F4385" i="4"/>
  <c r="L4385" i="4" s="1"/>
  <c r="F4384" i="4"/>
  <c r="L4384" i="4" s="1"/>
  <c r="F4383" i="4"/>
  <c r="L4383" i="4" s="1"/>
  <c r="F4382" i="4"/>
  <c r="L4382" i="4" s="1"/>
  <c r="F4381" i="4"/>
  <c r="L4381" i="4" s="1"/>
  <c r="F4380" i="4"/>
  <c r="L4380" i="4" s="1"/>
  <c r="F4379" i="4"/>
  <c r="L4379" i="4" s="1"/>
  <c r="F4378" i="4"/>
  <c r="L4378" i="4" s="1"/>
  <c r="F4377" i="4"/>
  <c r="L4377" i="4" s="1"/>
  <c r="F4376" i="4"/>
  <c r="L4376" i="4" s="1"/>
  <c r="F4375" i="4"/>
  <c r="L4375" i="4" s="1"/>
  <c r="F4374" i="4"/>
  <c r="L4374" i="4" s="1"/>
  <c r="F4373" i="4"/>
  <c r="L4373" i="4" s="1"/>
  <c r="F4372" i="4"/>
  <c r="L4372" i="4" s="1"/>
  <c r="F4371" i="4"/>
  <c r="L4371" i="4" s="1"/>
  <c r="F4370" i="4"/>
  <c r="L4370" i="4" s="1"/>
  <c r="F4369" i="4"/>
  <c r="L4369" i="4" s="1"/>
  <c r="F4368" i="4"/>
  <c r="L4368" i="4" s="1"/>
  <c r="F4367" i="4"/>
  <c r="L4367" i="4" s="1"/>
  <c r="F4366" i="4"/>
  <c r="L4366" i="4" s="1"/>
  <c r="F4365" i="4"/>
  <c r="L4365" i="4" s="1"/>
  <c r="F4364" i="4"/>
  <c r="L4364" i="4" s="1"/>
  <c r="F4363" i="4"/>
  <c r="L4363" i="4" s="1"/>
  <c r="F4362" i="4"/>
  <c r="L4362" i="4" s="1"/>
  <c r="F4361" i="4"/>
  <c r="L4361" i="4" s="1"/>
  <c r="F4360" i="4"/>
  <c r="L4360" i="4" s="1"/>
  <c r="F4359" i="4"/>
  <c r="L4359" i="4" s="1"/>
  <c r="F4358" i="4"/>
  <c r="L4358" i="4" s="1"/>
  <c r="F4357" i="4"/>
  <c r="L4357" i="4" s="1"/>
  <c r="F4356" i="4"/>
  <c r="L4356" i="4" s="1"/>
  <c r="F4355" i="4"/>
  <c r="L4355" i="4" s="1"/>
  <c r="F4354" i="4"/>
  <c r="L4354" i="4" s="1"/>
  <c r="F4353" i="4"/>
  <c r="L4353" i="4" s="1"/>
  <c r="F4352" i="4"/>
  <c r="L4352" i="4" s="1"/>
  <c r="F4351" i="4"/>
  <c r="L4351" i="4" s="1"/>
  <c r="F4350" i="4"/>
  <c r="L4350" i="4" s="1"/>
  <c r="F4349" i="4"/>
  <c r="L4349" i="4" s="1"/>
  <c r="F4348" i="4"/>
  <c r="L4348" i="4" s="1"/>
  <c r="F4347" i="4"/>
  <c r="L4347" i="4" s="1"/>
  <c r="F4346" i="4"/>
  <c r="L4346" i="4" s="1"/>
  <c r="F4345" i="4"/>
  <c r="L4345" i="4" s="1"/>
  <c r="F4344" i="4"/>
  <c r="L4344" i="4" s="1"/>
  <c r="F4343" i="4"/>
  <c r="L4343" i="4" s="1"/>
  <c r="F4342" i="4"/>
  <c r="L4342" i="4" s="1"/>
  <c r="F4341" i="4"/>
  <c r="L4341" i="4" s="1"/>
  <c r="F4340" i="4"/>
  <c r="L4340" i="4" s="1"/>
  <c r="F4339" i="4"/>
  <c r="L4339" i="4" s="1"/>
  <c r="F4338" i="4"/>
  <c r="L4338" i="4" s="1"/>
  <c r="F4337" i="4"/>
  <c r="L4337" i="4" s="1"/>
  <c r="F4336" i="4"/>
  <c r="L4336" i="4" s="1"/>
  <c r="F4335" i="4"/>
  <c r="L4335" i="4" s="1"/>
  <c r="F4334" i="4"/>
  <c r="L4334" i="4" s="1"/>
  <c r="F4333" i="4"/>
  <c r="L4333" i="4" s="1"/>
  <c r="F4332" i="4"/>
  <c r="L4332" i="4" s="1"/>
  <c r="F4331" i="4"/>
  <c r="L4331" i="4" s="1"/>
  <c r="F4330" i="4"/>
  <c r="L4330" i="4" s="1"/>
  <c r="F4329" i="4"/>
  <c r="L4329" i="4" s="1"/>
  <c r="F4328" i="4"/>
  <c r="L4328" i="4" s="1"/>
  <c r="F4327" i="4"/>
  <c r="L4327" i="4" s="1"/>
  <c r="F4326" i="4"/>
  <c r="L4326" i="4" s="1"/>
  <c r="F4325" i="4"/>
  <c r="L4325" i="4" s="1"/>
  <c r="F4324" i="4"/>
  <c r="L4324" i="4" s="1"/>
  <c r="F4323" i="4"/>
  <c r="L4323" i="4" s="1"/>
  <c r="F4322" i="4"/>
  <c r="L4322" i="4" s="1"/>
  <c r="F4321" i="4"/>
  <c r="L4321" i="4" s="1"/>
  <c r="F4320" i="4"/>
  <c r="L4320" i="4" s="1"/>
  <c r="F4319" i="4"/>
  <c r="L4319" i="4" s="1"/>
  <c r="F4318" i="4"/>
  <c r="L4318" i="4" s="1"/>
  <c r="F4317" i="4"/>
  <c r="L4317" i="4" s="1"/>
  <c r="F4316" i="4"/>
  <c r="L4316" i="4" s="1"/>
  <c r="F4315" i="4"/>
  <c r="L4315" i="4" s="1"/>
  <c r="F4314" i="4"/>
  <c r="L4314" i="4" s="1"/>
  <c r="F4313" i="4"/>
  <c r="L4313" i="4" s="1"/>
  <c r="F4312" i="4"/>
  <c r="L4312" i="4" s="1"/>
  <c r="F4311" i="4"/>
  <c r="L4311" i="4" s="1"/>
  <c r="F4310" i="4"/>
  <c r="L4310" i="4" s="1"/>
  <c r="F4309" i="4"/>
  <c r="L4309" i="4" s="1"/>
  <c r="F4308" i="4"/>
  <c r="L4308" i="4" s="1"/>
  <c r="F4307" i="4"/>
  <c r="L4307" i="4" s="1"/>
  <c r="F4306" i="4"/>
  <c r="L4306" i="4" s="1"/>
  <c r="F4305" i="4"/>
  <c r="L4305" i="4" s="1"/>
  <c r="F4304" i="4"/>
  <c r="L4304" i="4" s="1"/>
  <c r="F4303" i="4"/>
  <c r="L4303" i="4" s="1"/>
  <c r="F4302" i="4"/>
  <c r="L4302" i="4" s="1"/>
  <c r="F4301" i="4"/>
  <c r="L4301" i="4" s="1"/>
  <c r="F4300" i="4"/>
  <c r="L4300" i="4" s="1"/>
  <c r="F4299" i="4"/>
  <c r="L4299" i="4" s="1"/>
  <c r="F4298" i="4"/>
  <c r="L4298" i="4" s="1"/>
  <c r="F4297" i="4"/>
  <c r="L4297" i="4" s="1"/>
  <c r="F4296" i="4"/>
  <c r="L4296" i="4" s="1"/>
  <c r="F4295" i="4"/>
  <c r="L4295" i="4" s="1"/>
  <c r="F4294" i="4"/>
  <c r="L4294" i="4" s="1"/>
  <c r="F4293" i="4"/>
  <c r="L4293" i="4" s="1"/>
  <c r="F4292" i="4"/>
  <c r="L4292" i="4" s="1"/>
  <c r="F4291" i="4"/>
  <c r="L4291" i="4" s="1"/>
  <c r="F4290" i="4"/>
  <c r="L4290" i="4" s="1"/>
  <c r="F4289" i="4"/>
  <c r="L4289" i="4" s="1"/>
  <c r="F4288" i="4"/>
  <c r="L4288" i="4" s="1"/>
  <c r="F4287" i="4"/>
  <c r="L4287" i="4" s="1"/>
  <c r="F4286" i="4"/>
  <c r="L4286" i="4" s="1"/>
  <c r="F4285" i="4"/>
  <c r="L4285" i="4" s="1"/>
  <c r="F4284" i="4"/>
  <c r="L4284" i="4" s="1"/>
  <c r="F4283" i="4"/>
  <c r="L4283" i="4" s="1"/>
  <c r="F4282" i="4"/>
  <c r="L4282" i="4" s="1"/>
  <c r="F4281" i="4"/>
  <c r="L4281" i="4" s="1"/>
  <c r="F4280" i="4"/>
  <c r="L4280" i="4" s="1"/>
  <c r="F4279" i="4"/>
  <c r="L4279" i="4" s="1"/>
  <c r="F4278" i="4"/>
  <c r="L4278" i="4" s="1"/>
  <c r="F4277" i="4"/>
  <c r="L4277" i="4" s="1"/>
  <c r="F4276" i="4"/>
  <c r="L4276" i="4" s="1"/>
  <c r="F4275" i="4"/>
  <c r="L4275" i="4" s="1"/>
  <c r="F4274" i="4"/>
  <c r="L4274" i="4" s="1"/>
  <c r="F4273" i="4"/>
  <c r="L4273" i="4" s="1"/>
  <c r="F4272" i="4"/>
  <c r="L4272" i="4" s="1"/>
  <c r="F4271" i="4"/>
  <c r="L4271" i="4" s="1"/>
  <c r="F4270" i="4"/>
  <c r="L4270" i="4" s="1"/>
  <c r="F4269" i="4"/>
  <c r="L4269" i="4" s="1"/>
  <c r="F4268" i="4"/>
  <c r="L4268" i="4" s="1"/>
  <c r="F4267" i="4"/>
  <c r="L4267" i="4" s="1"/>
  <c r="F4266" i="4"/>
  <c r="L4266" i="4" s="1"/>
  <c r="F4265" i="4"/>
  <c r="L4265" i="4" s="1"/>
  <c r="F4264" i="4"/>
  <c r="L4264" i="4" s="1"/>
  <c r="F4263" i="4"/>
  <c r="L4263" i="4" s="1"/>
  <c r="F4262" i="4"/>
  <c r="L4262" i="4" s="1"/>
  <c r="F4261" i="4"/>
  <c r="L4261" i="4" s="1"/>
  <c r="F4260" i="4"/>
  <c r="L4260" i="4" s="1"/>
  <c r="F4259" i="4"/>
  <c r="L4259" i="4" s="1"/>
  <c r="F4258" i="4"/>
  <c r="L4258" i="4" s="1"/>
  <c r="F4257" i="4"/>
  <c r="L4257" i="4" s="1"/>
  <c r="F4256" i="4"/>
  <c r="L4256" i="4" s="1"/>
  <c r="F4255" i="4"/>
  <c r="L4255" i="4" s="1"/>
  <c r="F4254" i="4"/>
  <c r="L4254" i="4" s="1"/>
  <c r="F4253" i="4"/>
  <c r="L4253" i="4" s="1"/>
  <c r="F4252" i="4"/>
  <c r="L4252" i="4" s="1"/>
  <c r="F4251" i="4"/>
  <c r="L4251" i="4" s="1"/>
  <c r="F4250" i="4"/>
  <c r="L4250" i="4" s="1"/>
  <c r="F4249" i="4"/>
  <c r="L4249" i="4" s="1"/>
  <c r="F4248" i="4"/>
  <c r="L4248" i="4" s="1"/>
  <c r="F4247" i="4"/>
  <c r="L4247" i="4" s="1"/>
  <c r="F4246" i="4"/>
  <c r="L4246" i="4" s="1"/>
  <c r="F4245" i="4"/>
  <c r="L4245" i="4" s="1"/>
  <c r="F4244" i="4"/>
  <c r="L4244" i="4" s="1"/>
  <c r="F4243" i="4"/>
  <c r="L4243" i="4" s="1"/>
  <c r="F4242" i="4"/>
  <c r="L4242" i="4" s="1"/>
  <c r="F4241" i="4"/>
  <c r="L4241" i="4" s="1"/>
  <c r="F4240" i="4"/>
  <c r="L4240" i="4" s="1"/>
  <c r="F4239" i="4"/>
  <c r="L4239" i="4" s="1"/>
  <c r="F4238" i="4"/>
  <c r="L4238" i="4" s="1"/>
  <c r="F4237" i="4"/>
  <c r="L4237" i="4" s="1"/>
  <c r="F4236" i="4"/>
  <c r="L4236" i="4" s="1"/>
  <c r="F4235" i="4"/>
  <c r="L4235" i="4" s="1"/>
  <c r="F4234" i="4"/>
  <c r="L4234" i="4" s="1"/>
  <c r="F4233" i="4"/>
  <c r="L4233" i="4" s="1"/>
  <c r="F4232" i="4"/>
  <c r="L4232" i="4" s="1"/>
  <c r="F4231" i="4"/>
  <c r="L4231" i="4" s="1"/>
  <c r="F4230" i="4"/>
  <c r="L4230" i="4" s="1"/>
  <c r="F4229" i="4"/>
  <c r="L4229" i="4" s="1"/>
  <c r="F4228" i="4"/>
  <c r="L4228" i="4" s="1"/>
  <c r="F4227" i="4"/>
  <c r="L4227" i="4" s="1"/>
  <c r="F4226" i="4"/>
  <c r="L4226" i="4" s="1"/>
  <c r="F4225" i="4"/>
  <c r="L4225" i="4" s="1"/>
  <c r="F4224" i="4"/>
  <c r="L4224" i="4" s="1"/>
  <c r="F4223" i="4"/>
  <c r="L4223" i="4" s="1"/>
  <c r="F4222" i="4"/>
  <c r="L4222" i="4" s="1"/>
  <c r="F4221" i="4"/>
  <c r="L4221" i="4" s="1"/>
  <c r="F4220" i="4"/>
  <c r="L4220" i="4" s="1"/>
  <c r="F4219" i="4"/>
  <c r="L4219" i="4" s="1"/>
  <c r="F4218" i="4"/>
  <c r="L4218" i="4" s="1"/>
  <c r="F4217" i="4"/>
  <c r="L4217" i="4" s="1"/>
  <c r="F4216" i="4"/>
  <c r="L4216" i="4" s="1"/>
  <c r="F4215" i="4"/>
  <c r="L4215" i="4" s="1"/>
  <c r="F4214" i="4"/>
  <c r="L4214" i="4" s="1"/>
  <c r="F4213" i="4"/>
  <c r="L4213" i="4" s="1"/>
  <c r="F4212" i="4"/>
  <c r="L4212" i="4" s="1"/>
  <c r="F4211" i="4"/>
  <c r="L4211" i="4" s="1"/>
  <c r="F4210" i="4"/>
  <c r="L4210" i="4" s="1"/>
  <c r="F4209" i="4"/>
  <c r="L4209" i="4" s="1"/>
  <c r="F4208" i="4"/>
  <c r="L4208" i="4" s="1"/>
  <c r="F4207" i="4"/>
  <c r="L4207" i="4" s="1"/>
  <c r="F4206" i="4"/>
  <c r="L4206" i="4" s="1"/>
  <c r="F4205" i="4"/>
  <c r="L4205" i="4" s="1"/>
  <c r="F4204" i="4"/>
  <c r="L4204" i="4" s="1"/>
  <c r="F4203" i="4"/>
  <c r="L4203" i="4" s="1"/>
  <c r="F4202" i="4"/>
  <c r="L4202" i="4" s="1"/>
  <c r="F4201" i="4"/>
  <c r="L4201" i="4" s="1"/>
  <c r="F4200" i="4"/>
  <c r="L4200" i="4" s="1"/>
  <c r="F4199" i="4"/>
  <c r="L4199" i="4" s="1"/>
  <c r="F4198" i="4"/>
  <c r="L4198" i="4" s="1"/>
  <c r="F4197" i="4"/>
  <c r="L4197" i="4" s="1"/>
  <c r="F4196" i="4"/>
  <c r="L4196" i="4" s="1"/>
  <c r="F4195" i="4"/>
  <c r="L4195" i="4" s="1"/>
  <c r="F4194" i="4"/>
  <c r="L4194" i="4" s="1"/>
  <c r="F4193" i="4"/>
  <c r="L4193" i="4" s="1"/>
  <c r="F4192" i="4"/>
  <c r="L4192" i="4" s="1"/>
  <c r="F4191" i="4"/>
  <c r="L4191" i="4" s="1"/>
  <c r="F4190" i="4"/>
  <c r="L4190" i="4" s="1"/>
  <c r="F4189" i="4"/>
  <c r="L4189" i="4" s="1"/>
  <c r="F4188" i="4"/>
  <c r="L4188" i="4" s="1"/>
  <c r="F4187" i="4"/>
  <c r="L4187" i="4" s="1"/>
  <c r="F4186" i="4"/>
  <c r="L4186" i="4" s="1"/>
  <c r="F4185" i="4"/>
  <c r="L4185" i="4" s="1"/>
  <c r="F4184" i="4"/>
  <c r="L4184" i="4" s="1"/>
  <c r="F4183" i="4"/>
  <c r="L4183" i="4" s="1"/>
  <c r="F4182" i="4"/>
  <c r="L4182" i="4" s="1"/>
  <c r="F4181" i="4"/>
  <c r="L4181" i="4" s="1"/>
  <c r="F4180" i="4"/>
  <c r="L4180" i="4" s="1"/>
  <c r="F4179" i="4"/>
  <c r="L4179" i="4" s="1"/>
  <c r="F4178" i="4"/>
  <c r="L4178" i="4" s="1"/>
  <c r="F4177" i="4"/>
  <c r="L4177" i="4" s="1"/>
  <c r="F4176" i="4"/>
  <c r="L4176" i="4" s="1"/>
  <c r="F4175" i="4"/>
  <c r="L4175" i="4" s="1"/>
  <c r="F4174" i="4"/>
  <c r="L4174" i="4" s="1"/>
  <c r="F4173" i="4"/>
  <c r="L4173" i="4" s="1"/>
  <c r="F4172" i="4"/>
  <c r="L4172" i="4" s="1"/>
  <c r="F4171" i="4"/>
  <c r="L4171" i="4" s="1"/>
  <c r="F4170" i="4"/>
  <c r="L4170" i="4" s="1"/>
  <c r="F4169" i="4"/>
  <c r="L4169" i="4" s="1"/>
  <c r="F4168" i="4"/>
  <c r="L4168" i="4" s="1"/>
  <c r="F4167" i="4"/>
  <c r="L4167" i="4" s="1"/>
  <c r="F4166" i="4"/>
  <c r="L4166" i="4" s="1"/>
  <c r="F4165" i="4"/>
  <c r="L4165" i="4" s="1"/>
  <c r="F4164" i="4"/>
  <c r="L4164" i="4" s="1"/>
  <c r="F4163" i="4"/>
  <c r="L4163" i="4" s="1"/>
  <c r="F4162" i="4"/>
  <c r="L4162" i="4" s="1"/>
  <c r="F4161" i="4"/>
  <c r="L4161" i="4" s="1"/>
  <c r="F4160" i="4"/>
  <c r="L4160" i="4" s="1"/>
  <c r="F4159" i="4"/>
  <c r="L4159" i="4" s="1"/>
  <c r="F4158" i="4"/>
  <c r="L4158" i="4" s="1"/>
  <c r="F4157" i="4"/>
  <c r="L4157" i="4" s="1"/>
  <c r="F4156" i="4"/>
  <c r="L4156" i="4" s="1"/>
  <c r="F4155" i="4"/>
  <c r="L4155" i="4" s="1"/>
  <c r="F4154" i="4"/>
  <c r="L4154" i="4" s="1"/>
  <c r="F4153" i="4"/>
  <c r="L4153" i="4" s="1"/>
  <c r="F4152" i="4"/>
  <c r="L4152" i="4" s="1"/>
  <c r="F4151" i="4"/>
  <c r="L4151" i="4" s="1"/>
  <c r="F4150" i="4"/>
  <c r="L4150" i="4" s="1"/>
  <c r="F4149" i="4"/>
  <c r="L4149" i="4" s="1"/>
  <c r="F4148" i="4"/>
  <c r="L4148" i="4" s="1"/>
  <c r="F4147" i="4"/>
  <c r="L4147" i="4" s="1"/>
  <c r="F4146" i="4"/>
  <c r="L4146" i="4" s="1"/>
  <c r="F4145" i="4"/>
  <c r="L4145" i="4" s="1"/>
  <c r="F4144" i="4"/>
  <c r="L4144" i="4" s="1"/>
  <c r="F4143" i="4"/>
  <c r="L4143" i="4" s="1"/>
  <c r="F4142" i="4"/>
  <c r="L4142" i="4" s="1"/>
  <c r="F4141" i="4"/>
  <c r="L4141" i="4" s="1"/>
  <c r="F4140" i="4"/>
  <c r="L4140" i="4" s="1"/>
  <c r="F4139" i="4"/>
  <c r="L4139" i="4" s="1"/>
  <c r="F4138" i="4"/>
  <c r="L4138" i="4" s="1"/>
  <c r="F4137" i="4"/>
  <c r="L4137" i="4" s="1"/>
  <c r="F4136" i="4"/>
  <c r="L4136" i="4" s="1"/>
  <c r="F4135" i="4"/>
  <c r="L4135" i="4" s="1"/>
  <c r="F4134" i="4"/>
  <c r="L4134" i="4" s="1"/>
  <c r="F4133" i="4"/>
  <c r="L4133" i="4" s="1"/>
  <c r="F4132" i="4"/>
  <c r="L4132" i="4" s="1"/>
  <c r="F4131" i="4"/>
  <c r="L4131" i="4" s="1"/>
  <c r="F4130" i="4"/>
  <c r="L4130" i="4" s="1"/>
  <c r="F4129" i="4"/>
  <c r="L4129" i="4" s="1"/>
  <c r="F4128" i="4"/>
  <c r="L4128" i="4" s="1"/>
  <c r="F4127" i="4"/>
  <c r="L4127" i="4" s="1"/>
  <c r="F4126" i="4"/>
  <c r="L4126" i="4" s="1"/>
  <c r="F4125" i="4"/>
  <c r="L4125" i="4" s="1"/>
  <c r="F4124" i="4"/>
  <c r="L4124" i="4" s="1"/>
  <c r="F4123" i="4"/>
  <c r="L4123" i="4" s="1"/>
  <c r="F4122" i="4"/>
  <c r="L4122" i="4" s="1"/>
  <c r="F4121" i="4"/>
  <c r="L4121" i="4" s="1"/>
  <c r="F4120" i="4"/>
  <c r="L4120" i="4" s="1"/>
  <c r="F4119" i="4"/>
  <c r="L4119" i="4" s="1"/>
  <c r="F4118" i="4"/>
  <c r="L4118" i="4" s="1"/>
  <c r="F4117" i="4"/>
  <c r="L4117" i="4" s="1"/>
  <c r="F4116" i="4"/>
  <c r="L4116" i="4" s="1"/>
  <c r="F4115" i="4"/>
  <c r="L4115" i="4" s="1"/>
  <c r="F4114" i="4"/>
  <c r="L4114" i="4" s="1"/>
  <c r="F4113" i="4"/>
  <c r="L4113" i="4" s="1"/>
  <c r="F4112" i="4"/>
  <c r="L4112" i="4" s="1"/>
  <c r="F4111" i="4"/>
  <c r="L4111" i="4" s="1"/>
  <c r="F4110" i="4"/>
  <c r="L4110" i="4" s="1"/>
  <c r="F4109" i="4"/>
  <c r="L4109" i="4" s="1"/>
  <c r="F4108" i="4"/>
  <c r="L4108" i="4" s="1"/>
  <c r="F4107" i="4"/>
  <c r="L4107" i="4" s="1"/>
  <c r="F4106" i="4"/>
  <c r="L4106" i="4" s="1"/>
  <c r="F4105" i="4"/>
  <c r="L4105" i="4" s="1"/>
  <c r="F4104" i="4"/>
  <c r="L4104" i="4" s="1"/>
  <c r="F4103" i="4"/>
  <c r="L4103" i="4" s="1"/>
  <c r="F4102" i="4"/>
  <c r="L4102" i="4" s="1"/>
  <c r="F4101" i="4"/>
  <c r="L4101" i="4" s="1"/>
  <c r="F4100" i="4"/>
  <c r="L4100" i="4" s="1"/>
  <c r="F4099" i="4"/>
  <c r="L4099" i="4" s="1"/>
  <c r="F4098" i="4"/>
  <c r="L4098" i="4" s="1"/>
  <c r="F4097" i="4"/>
  <c r="L4097" i="4" s="1"/>
  <c r="F4096" i="4"/>
  <c r="L4096" i="4" s="1"/>
  <c r="F4095" i="4"/>
  <c r="L4095" i="4" s="1"/>
  <c r="F4094" i="4"/>
  <c r="L4094" i="4" s="1"/>
  <c r="F4093" i="4"/>
  <c r="L4093" i="4" s="1"/>
  <c r="F4092" i="4"/>
  <c r="L4092" i="4" s="1"/>
  <c r="F4091" i="4"/>
  <c r="L4091" i="4" s="1"/>
  <c r="F4090" i="4"/>
  <c r="L4090" i="4" s="1"/>
  <c r="F4089" i="4"/>
  <c r="L4089" i="4" s="1"/>
  <c r="F4088" i="4"/>
  <c r="L4088" i="4" s="1"/>
  <c r="F4087" i="4"/>
  <c r="L4087" i="4" s="1"/>
  <c r="F4086" i="4"/>
  <c r="L4086" i="4" s="1"/>
  <c r="F4085" i="4"/>
  <c r="L4085" i="4" s="1"/>
  <c r="F4084" i="4"/>
  <c r="L4084" i="4" s="1"/>
  <c r="F4083" i="4"/>
  <c r="L4083" i="4" s="1"/>
  <c r="F4082" i="4"/>
  <c r="L4082" i="4" s="1"/>
  <c r="F4081" i="4"/>
  <c r="L4081" i="4" s="1"/>
  <c r="F4080" i="4"/>
  <c r="L4080" i="4" s="1"/>
  <c r="F4079" i="4"/>
  <c r="L4079" i="4" s="1"/>
  <c r="F4078" i="4"/>
  <c r="L4078" i="4" s="1"/>
  <c r="F4077" i="4"/>
  <c r="L4077" i="4" s="1"/>
  <c r="F4076" i="4"/>
  <c r="L4076" i="4" s="1"/>
  <c r="F4075" i="4"/>
  <c r="L4075" i="4" s="1"/>
  <c r="F4074" i="4"/>
  <c r="L4074" i="4" s="1"/>
  <c r="F4073" i="4"/>
  <c r="L4073" i="4" s="1"/>
  <c r="F4072" i="4"/>
  <c r="L4072" i="4" s="1"/>
  <c r="F4071" i="4"/>
  <c r="L4071" i="4" s="1"/>
  <c r="F4070" i="4"/>
  <c r="L4070" i="4" s="1"/>
  <c r="F4069" i="4"/>
  <c r="L4069" i="4" s="1"/>
  <c r="F4068" i="4"/>
  <c r="L4068" i="4" s="1"/>
  <c r="F4067" i="4"/>
  <c r="L4067" i="4" s="1"/>
  <c r="F4066" i="4"/>
  <c r="L4066" i="4" s="1"/>
  <c r="F4065" i="4"/>
  <c r="L4065" i="4" s="1"/>
  <c r="F4064" i="4"/>
  <c r="L4064" i="4" s="1"/>
  <c r="F4063" i="4"/>
  <c r="L4063" i="4" s="1"/>
  <c r="F4062" i="4"/>
  <c r="L4062" i="4" s="1"/>
  <c r="F4061" i="4"/>
  <c r="L4061" i="4" s="1"/>
  <c r="F4060" i="4"/>
  <c r="L4060" i="4" s="1"/>
  <c r="F4059" i="4"/>
  <c r="L4059" i="4" s="1"/>
  <c r="F4058" i="4"/>
  <c r="L4058" i="4" s="1"/>
  <c r="F4057" i="4"/>
  <c r="L4057" i="4" s="1"/>
  <c r="F4056" i="4"/>
  <c r="L4056" i="4" s="1"/>
  <c r="F4055" i="4"/>
  <c r="L4055" i="4" s="1"/>
  <c r="F4054" i="4"/>
  <c r="L4054" i="4" s="1"/>
  <c r="F4053" i="4"/>
  <c r="L4053" i="4" s="1"/>
  <c r="F4052" i="4"/>
  <c r="L4052" i="4" s="1"/>
  <c r="F4051" i="4"/>
  <c r="L4051" i="4" s="1"/>
  <c r="F4050" i="4"/>
  <c r="L4050" i="4" s="1"/>
  <c r="F4049" i="4"/>
  <c r="L4049" i="4" s="1"/>
  <c r="F4048" i="4"/>
  <c r="L4048" i="4" s="1"/>
  <c r="F4047" i="4"/>
  <c r="L4047" i="4" s="1"/>
  <c r="F4046" i="4"/>
  <c r="L4046" i="4" s="1"/>
  <c r="F4045" i="4"/>
  <c r="L4045" i="4" s="1"/>
  <c r="F4044" i="4"/>
  <c r="L4044" i="4" s="1"/>
  <c r="F4043" i="4"/>
  <c r="L4043" i="4" s="1"/>
  <c r="F4042" i="4"/>
  <c r="L4042" i="4" s="1"/>
  <c r="F4041" i="4"/>
  <c r="L4041" i="4" s="1"/>
  <c r="F4040" i="4"/>
  <c r="L4040" i="4" s="1"/>
  <c r="F4039" i="4"/>
  <c r="L4039" i="4" s="1"/>
  <c r="F4038" i="4"/>
  <c r="L4038" i="4" s="1"/>
  <c r="F4037" i="4"/>
  <c r="L4037" i="4" s="1"/>
  <c r="F4036" i="4"/>
  <c r="L4036" i="4" s="1"/>
  <c r="F4035" i="4"/>
  <c r="L4035" i="4" s="1"/>
  <c r="F4034" i="4"/>
  <c r="L4034" i="4" s="1"/>
  <c r="F4033" i="4"/>
  <c r="L4033" i="4" s="1"/>
  <c r="F4032" i="4"/>
  <c r="L4032" i="4" s="1"/>
  <c r="F4031" i="4"/>
  <c r="L4031" i="4" s="1"/>
  <c r="F4030" i="4"/>
  <c r="L4030" i="4" s="1"/>
  <c r="F4029" i="4"/>
  <c r="L4029" i="4" s="1"/>
  <c r="F4028" i="4"/>
  <c r="L4028" i="4" s="1"/>
  <c r="F4027" i="4"/>
  <c r="L4027" i="4" s="1"/>
  <c r="F4026" i="4"/>
  <c r="L4026" i="4" s="1"/>
  <c r="F4025" i="4"/>
  <c r="L4025" i="4" s="1"/>
  <c r="F4024" i="4"/>
  <c r="L4024" i="4" s="1"/>
  <c r="F4023" i="4"/>
  <c r="L4023" i="4" s="1"/>
  <c r="F4022" i="4"/>
  <c r="L4022" i="4" s="1"/>
  <c r="F4021" i="4"/>
  <c r="L4021" i="4" s="1"/>
  <c r="F4020" i="4"/>
  <c r="L4020" i="4" s="1"/>
  <c r="F4019" i="4"/>
  <c r="L4019" i="4" s="1"/>
  <c r="F4018" i="4"/>
  <c r="L4018" i="4" s="1"/>
  <c r="F4017" i="4"/>
  <c r="L4017" i="4" s="1"/>
  <c r="F4016" i="4"/>
  <c r="L4016" i="4" s="1"/>
  <c r="F4015" i="4"/>
  <c r="L4015" i="4" s="1"/>
  <c r="F4014" i="4"/>
  <c r="L4014" i="4" s="1"/>
  <c r="F4013" i="4"/>
  <c r="L4013" i="4" s="1"/>
  <c r="F4012" i="4"/>
  <c r="L4012" i="4" s="1"/>
  <c r="F4011" i="4"/>
  <c r="L4011" i="4" s="1"/>
  <c r="F4010" i="4"/>
  <c r="L4010" i="4" s="1"/>
  <c r="F4009" i="4"/>
  <c r="L4009" i="4" s="1"/>
  <c r="F4008" i="4"/>
  <c r="L4008" i="4" s="1"/>
  <c r="F4007" i="4"/>
  <c r="L4007" i="4" s="1"/>
  <c r="F4006" i="4"/>
  <c r="L4006" i="4" s="1"/>
  <c r="F4005" i="4"/>
  <c r="L4005" i="4" s="1"/>
  <c r="F4004" i="4"/>
  <c r="L4004" i="4" s="1"/>
  <c r="F4003" i="4"/>
  <c r="L4003" i="4" s="1"/>
  <c r="F4002" i="4"/>
  <c r="L4002" i="4" s="1"/>
  <c r="F4001" i="4"/>
  <c r="L4001" i="4" s="1"/>
  <c r="F4000" i="4"/>
  <c r="L4000" i="4" s="1"/>
  <c r="F3999" i="4"/>
  <c r="L3999" i="4" s="1"/>
  <c r="F3998" i="4"/>
  <c r="L3998" i="4" s="1"/>
  <c r="F3997" i="4"/>
  <c r="L3997" i="4" s="1"/>
  <c r="F3996" i="4"/>
  <c r="L3996" i="4" s="1"/>
  <c r="F3995" i="4"/>
  <c r="L3995" i="4" s="1"/>
  <c r="F3994" i="4"/>
  <c r="L3994" i="4" s="1"/>
  <c r="F3993" i="4"/>
  <c r="L3993" i="4" s="1"/>
  <c r="F3992" i="4"/>
  <c r="L3992" i="4" s="1"/>
  <c r="F3991" i="4"/>
  <c r="L3991" i="4" s="1"/>
  <c r="F3990" i="4"/>
  <c r="L3990" i="4" s="1"/>
  <c r="F3989" i="4"/>
  <c r="L3989" i="4" s="1"/>
  <c r="F3988" i="4"/>
  <c r="L3988" i="4" s="1"/>
  <c r="F3987" i="4"/>
  <c r="L3987" i="4" s="1"/>
  <c r="F3986" i="4"/>
  <c r="L3986" i="4" s="1"/>
  <c r="F3985" i="4"/>
  <c r="L3985" i="4" s="1"/>
  <c r="F3984" i="4"/>
  <c r="L3984" i="4" s="1"/>
  <c r="F3983" i="4"/>
  <c r="L3983" i="4" s="1"/>
  <c r="F3982" i="4"/>
  <c r="L3982" i="4" s="1"/>
  <c r="F3981" i="4"/>
  <c r="L3981" i="4" s="1"/>
  <c r="F3980" i="4"/>
  <c r="L3980" i="4" s="1"/>
  <c r="F3979" i="4"/>
  <c r="L3979" i="4" s="1"/>
  <c r="F3978" i="4"/>
  <c r="L3978" i="4" s="1"/>
  <c r="F3977" i="4"/>
  <c r="L3977" i="4" s="1"/>
  <c r="F3976" i="4"/>
  <c r="L3976" i="4" s="1"/>
  <c r="F3975" i="4"/>
  <c r="L3975" i="4" s="1"/>
  <c r="F3974" i="4"/>
  <c r="L3974" i="4" s="1"/>
  <c r="F3973" i="4"/>
  <c r="L3973" i="4" s="1"/>
  <c r="F3972" i="4"/>
  <c r="L3972" i="4" s="1"/>
  <c r="F3971" i="4"/>
  <c r="L3971" i="4" s="1"/>
  <c r="F3970" i="4"/>
  <c r="L3970" i="4" s="1"/>
  <c r="F3969" i="4"/>
  <c r="L3969" i="4" s="1"/>
  <c r="F3968" i="4"/>
  <c r="L3968" i="4" s="1"/>
  <c r="F3967" i="4"/>
  <c r="L3967" i="4" s="1"/>
  <c r="F3966" i="4"/>
  <c r="L3966" i="4" s="1"/>
  <c r="F3965" i="4"/>
  <c r="L3965" i="4" s="1"/>
  <c r="F3964" i="4"/>
  <c r="L3964" i="4" s="1"/>
  <c r="F3963" i="4"/>
  <c r="L3963" i="4" s="1"/>
  <c r="F3962" i="4"/>
  <c r="L3962" i="4" s="1"/>
  <c r="F3961" i="4"/>
  <c r="L3961" i="4" s="1"/>
  <c r="F3960" i="4"/>
  <c r="L3960" i="4" s="1"/>
  <c r="F3959" i="4"/>
  <c r="L3959" i="4" s="1"/>
  <c r="F3958" i="4"/>
  <c r="L3958" i="4" s="1"/>
  <c r="F3957" i="4"/>
  <c r="L3957" i="4" s="1"/>
  <c r="F3956" i="4"/>
  <c r="L3956" i="4" s="1"/>
  <c r="F3955" i="4"/>
  <c r="L3955" i="4" s="1"/>
  <c r="F3954" i="4"/>
  <c r="L3954" i="4" s="1"/>
  <c r="F3953" i="4"/>
  <c r="L3953" i="4" s="1"/>
  <c r="F3952" i="4"/>
  <c r="L3952" i="4" s="1"/>
  <c r="F3951" i="4"/>
  <c r="L3951" i="4" s="1"/>
  <c r="F3950" i="4"/>
  <c r="L3950" i="4" s="1"/>
  <c r="F3949" i="4"/>
  <c r="L3949" i="4" s="1"/>
  <c r="F3948" i="4"/>
  <c r="L3948" i="4" s="1"/>
  <c r="F3947" i="4"/>
  <c r="L3947" i="4" s="1"/>
  <c r="F3946" i="4"/>
  <c r="L3946" i="4" s="1"/>
  <c r="F3945" i="4"/>
  <c r="L3945" i="4" s="1"/>
  <c r="F3944" i="4"/>
  <c r="L3944" i="4" s="1"/>
  <c r="F3943" i="4"/>
  <c r="L3943" i="4" s="1"/>
  <c r="F3942" i="4"/>
  <c r="L3942" i="4" s="1"/>
  <c r="F3941" i="4"/>
  <c r="L3941" i="4" s="1"/>
  <c r="F3940" i="4"/>
  <c r="L3940" i="4" s="1"/>
  <c r="F3939" i="4"/>
  <c r="L3939" i="4" s="1"/>
  <c r="F3938" i="4"/>
  <c r="L3938" i="4" s="1"/>
  <c r="F3937" i="4"/>
  <c r="L3937" i="4" s="1"/>
  <c r="F3936" i="4"/>
  <c r="L3936" i="4" s="1"/>
  <c r="F3935" i="4"/>
  <c r="L3935" i="4" s="1"/>
  <c r="F3934" i="4"/>
  <c r="L3934" i="4" s="1"/>
  <c r="F3933" i="4"/>
  <c r="L3933" i="4" s="1"/>
  <c r="F3932" i="4"/>
  <c r="L3932" i="4" s="1"/>
  <c r="F3931" i="4"/>
  <c r="L3931" i="4" s="1"/>
  <c r="F3930" i="4"/>
  <c r="L3930" i="4" s="1"/>
  <c r="F3929" i="4"/>
  <c r="L3929" i="4" s="1"/>
  <c r="F3928" i="4"/>
  <c r="L3928" i="4" s="1"/>
  <c r="F3927" i="4"/>
  <c r="L3927" i="4" s="1"/>
  <c r="F3926" i="4"/>
  <c r="L3926" i="4" s="1"/>
  <c r="F3925" i="4"/>
  <c r="L3925" i="4" s="1"/>
  <c r="F3924" i="4"/>
  <c r="L3924" i="4" s="1"/>
  <c r="F3923" i="4"/>
  <c r="L3923" i="4" s="1"/>
  <c r="F3922" i="4"/>
  <c r="L3922" i="4" s="1"/>
  <c r="F3921" i="4"/>
  <c r="L3921" i="4" s="1"/>
  <c r="F3920" i="4"/>
  <c r="L3920" i="4" s="1"/>
  <c r="F3919" i="4"/>
  <c r="L3919" i="4" s="1"/>
  <c r="F3918" i="4"/>
  <c r="L3918" i="4" s="1"/>
  <c r="F3917" i="4"/>
  <c r="L3917" i="4" s="1"/>
  <c r="F3916" i="4"/>
  <c r="L3916" i="4" s="1"/>
  <c r="F3915" i="4"/>
  <c r="L3915" i="4" s="1"/>
  <c r="F3914" i="4"/>
  <c r="L3914" i="4" s="1"/>
  <c r="F3913" i="4"/>
  <c r="L3913" i="4" s="1"/>
  <c r="F3912" i="4"/>
  <c r="L3912" i="4" s="1"/>
  <c r="F3911" i="4"/>
  <c r="L3911" i="4" s="1"/>
  <c r="F3910" i="4"/>
  <c r="L3910" i="4" s="1"/>
  <c r="F3909" i="4"/>
  <c r="L3909" i="4" s="1"/>
  <c r="F3908" i="4"/>
  <c r="L3908" i="4" s="1"/>
  <c r="F3907" i="4"/>
  <c r="L3907" i="4" s="1"/>
  <c r="F3906" i="4"/>
  <c r="L3906" i="4" s="1"/>
  <c r="F3905" i="4"/>
  <c r="L3905" i="4" s="1"/>
  <c r="F3904" i="4"/>
  <c r="L3904" i="4" s="1"/>
  <c r="F3903" i="4"/>
  <c r="L3903" i="4" s="1"/>
  <c r="F3902" i="4"/>
  <c r="L3902" i="4" s="1"/>
  <c r="F3901" i="4"/>
  <c r="L3901" i="4" s="1"/>
  <c r="F3900" i="4"/>
  <c r="L3900" i="4" s="1"/>
  <c r="F3899" i="4"/>
  <c r="L3899" i="4" s="1"/>
  <c r="F3898" i="4"/>
  <c r="L3898" i="4" s="1"/>
  <c r="F3897" i="4"/>
  <c r="L3897" i="4" s="1"/>
  <c r="F3896" i="4"/>
  <c r="L3896" i="4" s="1"/>
  <c r="F3895" i="4"/>
  <c r="L3895" i="4" s="1"/>
  <c r="F3894" i="4"/>
  <c r="L3894" i="4" s="1"/>
  <c r="F3893" i="4"/>
  <c r="L3893" i="4" s="1"/>
  <c r="F3892" i="4"/>
  <c r="L3892" i="4" s="1"/>
  <c r="F3891" i="4"/>
  <c r="L3891" i="4" s="1"/>
  <c r="F3890" i="4"/>
  <c r="L3890" i="4" s="1"/>
  <c r="F3889" i="4"/>
  <c r="L3889" i="4" s="1"/>
  <c r="F3888" i="4"/>
  <c r="L3888" i="4" s="1"/>
  <c r="F3887" i="4"/>
  <c r="L3887" i="4" s="1"/>
  <c r="F3886" i="4"/>
  <c r="L3886" i="4" s="1"/>
  <c r="F3885" i="4"/>
  <c r="L3885" i="4" s="1"/>
  <c r="F3884" i="4"/>
  <c r="L3884" i="4" s="1"/>
  <c r="F3883" i="4"/>
  <c r="L3883" i="4" s="1"/>
  <c r="F3882" i="4"/>
  <c r="L3882" i="4" s="1"/>
  <c r="F3881" i="4"/>
  <c r="L3881" i="4" s="1"/>
  <c r="F3880" i="4"/>
  <c r="L3880" i="4" s="1"/>
  <c r="F3879" i="4"/>
  <c r="L3879" i="4" s="1"/>
  <c r="F3878" i="4"/>
  <c r="L3878" i="4" s="1"/>
  <c r="F3877" i="4"/>
  <c r="L3877" i="4" s="1"/>
  <c r="F3876" i="4"/>
  <c r="L3876" i="4" s="1"/>
  <c r="F3875" i="4"/>
  <c r="L3875" i="4" s="1"/>
  <c r="F3874" i="4"/>
  <c r="L3874" i="4" s="1"/>
  <c r="F3873" i="4"/>
  <c r="L3873" i="4" s="1"/>
  <c r="F3872" i="4"/>
  <c r="L3872" i="4" s="1"/>
  <c r="F3871" i="4"/>
  <c r="L3871" i="4" s="1"/>
  <c r="F3870" i="4"/>
  <c r="L3870" i="4" s="1"/>
  <c r="F3869" i="4"/>
  <c r="L3869" i="4" s="1"/>
  <c r="F3868" i="4"/>
  <c r="L3868" i="4" s="1"/>
  <c r="F3867" i="4"/>
  <c r="L3867" i="4" s="1"/>
  <c r="F3866" i="4"/>
  <c r="L3866" i="4" s="1"/>
  <c r="F3865" i="4"/>
  <c r="L3865" i="4" s="1"/>
  <c r="F3864" i="4"/>
  <c r="L3864" i="4" s="1"/>
  <c r="F3863" i="4"/>
  <c r="L3863" i="4" s="1"/>
  <c r="F3862" i="4"/>
  <c r="L3862" i="4" s="1"/>
  <c r="F3861" i="4"/>
  <c r="L3861" i="4" s="1"/>
  <c r="F3860" i="4"/>
  <c r="L3860" i="4" s="1"/>
  <c r="F3859" i="4"/>
  <c r="L3859" i="4" s="1"/>
  <c r="F3858" i="4"/>
  <c r="L3858" i="4" s="1"/>
  <c r="F3857" i="4"/>
  <c r="L3857" i="4" s="1"/>
  <c r="F3856" i="4"/>
  <c r="L3856" i="4" s="1"/>
  <c r="F3855" i="4"/>
  <c r="L3855" i="4" s="1"/>
  <c r="F3854" i="4"/>
  <c r="L3854" i="4" s="1"/>
  <c r="F3853" i="4"/>
  <c r="L3853" i="4" s="1"/>
  <c r="F3852" i="4"/>
  <c r="L3852" i="4" s="1"/>
  <c r="F3851" i="4"/>
  <c r="L3851" i="4" s="1"/>
  <c r="F3850" i="4"/>
  <c r="L3850" i="4" s="1"/>
  <c r="F3849" i="4"/>
  <c r="L3849" i="4" s="1"/>
  <c r="F3848" i="4"/>
  <c r="L3848" i="4" s="1"/>
  <c r="F3847" i="4"/>
  <c r="L3847" i="4" s="1"/>
  <c r="F3846" i="4"/>
  <c r="L3846" i="4" s="1"/>
  <c r="F3845" i="4"/>
  <c r="L3845" i="4" s="1"/>
  <c r="F3844" i="4"/>
  <c r="L3844" i="4" s="1"/>
  <c r="F3843" i="4"/>
  <c r="L3843" i="4" s="1"/>
  <c r="F3842" i="4"/>
  <c r="L3842" i="4" s="1"/>
  <c r="F3841" i="4"/>
  <c r="L3841" i="4" s="1"/>
  <c r="F3840" i="4"/>
  <c r="L3840" i="4" s="1"/>
  <c r="F3839" i="4"/>
  <c r="L3839" i="4" s="1"/>
  <c r="F3838" i="4"/>
  <c r="L3838" i="4" s="1"/>
  <c r="F3837" i="4"/>
  <c r="L3837" i="4" s="1"/>
  <c r="F3836" i="4"/>
  <c r="L3836" i="4" s="1"/>
  <c r="F3835" i="4"/>
  <c r="L3835" i="4" s="1"/>
  <c r="F3834" i="4"/>
  <c r="L3834" i="4" s="1"/>
  <c r="F3833" i="4"/>
  <c r="L3833" i="4" s="1"/>
  <c r="F3832" i="4"/>
  <c r="L3832" i="4" s="1"/>
  <c r="F3831" i="4"/>
  <c r="L3831" i="4" s="1"/>
  <c r="F3830" i="4"/>
  <c r="L3830" i="4" s="1"/>
  <c r="F3829" i="4"/>
  <c r="L3829" i="4" s="1"/>
  <c r="F3828" i="4"/>
  <c r="L3828" i="4" s="1"/>
  <c r="F3827" i="4"/>
  <c r="L3827" i="4" s="1"/>
  <c r="F3826" i="4"/>
  <c r="L3826" i="4" s="1"/>
  <c r="F3825" i="4"/>
  <c r="L3825" i="4" s="1"/>
  <c r="F3824" i="4"/>
  <c r="L3824" i="4" s="1"/>
  <c r="F3823" i="4"/>
  <c r="L3823" i="4" s="1"/>
  <c r="F3822" i="4"/>
  <c r="L3822" i="4" s="1"/>
  <c r="F3821" i="4"/>
  <c r="L3821" i="4" s="1"/>
  <c r="F3820" i="4"/>
  <c r="L3820" i="4" s="1"/>
  <c r="F3819" i="4"/>
  <c r="L3819" i="4" s="1"/>
  <c r="F3818" i="4"/>
  <c r="L3818" i="4" s="1"/>
  <c r="F3817" i="4"/>
  <c r="L3817" i="4" s="1"/>
  <c r="F3816" i="4"/>
  <c r="L3816" i="4" s="1"/>
  <c r="F3815" i="4"/>
  <c r="L3815" i="4" s="1"/>
  <c r="F3814" i="4"/>
  <c r="L3814" i="4" s="1"/>
  <c r="F3813" i="4"/>
  <c r="L3813" i="4" s="1"/>
  <c r="F3812" i="4"/>
  <c r="L3812" i="4" s="1"/>
  <c r="F3811" i="4"/>
  <c r="L3811" i="4" s="1"/>
  <c r="F3810" i="4"/>
  <c r="L3810" i="4" s="1"/>
  <c r="F3809" i="4"/>
  <c r="L3809" i="4" s="1"/>
  <c r="F3808" i="4"/>
  <c r="L3808" i="4" s="1"/>
  <c r="F3807" i="4"/>
  <c r="L3807" i="4" s="1"/>
  <c r="F3806" i="4"/>
  <c r="L3806" i="4" s="1"/>
  <c r="F3805" i="4"/>
  <c r="L3805" i="4" s="1"/>
  <c r="F3804" i="4"/>
  <c r="L3804" i="4" s="1"/>
  <c r="F3803" i="4"/>
  <c r="L3803" i="4" s="1"/>
  <c r="F3802" i="4"/>
  <c r="L3802" i="4" s="1"/>
  <c r="F3801" i="4"/>
  <c r="L3801" i="4" s="1"/>
  <c r="F3800" i="4"/>
  <c r="L3800" i="4" s="1"/>
  <c r="F3799" i="4"/>
  <c r="L3799" i="4" s="1"/>
  <c r="F3798" i="4"/>
  <c r="L3798" i="4" s="1"/>
  <c r="F3797" i="4"/>
  <c r="L3797" i="4" s="1"/>
  <c r="F3796" i="4"/>
  <c r="L3796" i="4" s="1"/>
  <c r="F3795" i="4"/>
  <c r="L3795" i="4" s="1"/>
  <c r="F3794" i="4"/>
  <c r="L3794" i="4" s="1"/>
  <c r="F3793" i="4"/>
  <c r="L3793" i="4" s="1"/>
  <c r="F3792" i="4"/>
  <c r="L3792" i="4" s="1"/>
  <c r="F3791" i="4"/>
  <c r="L3791" i="4" s="1"/>
  <c r="F3790" i="4"/>
  <c r="L3790" i="4" s="1"/>
  <c r="F3789" i="4"/>
  <c r="L3789" i="4" s="1"/>
  <c r="F3788" i="4"/>
  <c r="L3788" i="4" s="1"/>
  <c r="F3787" i="4"/>
  <c r="L3787" i="4" s="1"/>
  <c r="F3786" i="4"/>
  <c r="L3786" i="4" s="1"/>
  <c r="F3785" i="4"/>
  <c r="L3785" i="4" s="1"/>
  <c r="F3784" i="4"/>
  <c r="L3784" i="4" s="1"/>
  <c r="F3783" i="4"/>
  <c r="L3783" i="4" s="1"/>
  <c r="F3782" i="4"/>
  <c r="L3782" i="4" s="1"/>
  <c r="F3781" i="4"/>
  <c r="L3781" i="4" s="1"/>
  <c r="F3780" i="4"/>
  <c r="L3780" i="4" s="1"/>
  <c r="F3779" i="4"/>
  <c r="L3779" i="4" s="1"/>
  <c r="F3778" i="4"/>
  <c r="L3778" i="4" s="1"/>
  <c r="F3777" i="4"/>
  <c r="L3777" i="4" s="1"/>
  <c r="F3776" i="4"/>
  <c r="L3776" i="4" s="1"/>
  <c r="F3775" i="4"/>
  <c r="L3775" i="4" s="1"/>
  <c r="F3774" i="4"/>
  <c r="L3774" i="4" s="1"/>
  <c r="F3773" i="4"/>
  <c r="L3773" i="4" s="1"/>
  <c r="F3772" i="4"/>
  <c r="L3772" i="4" s="1"/>
  <c r="F3771" i="4"/>
  <c r="L3771" i="4" s="1"/>
  <c r="F3770" i="4"/>
  <c r="L3770" i="4" s="1"/>
  <c r="F3769" i="4"/>
  <c r="L3769" i="4" s="1"/>
  <c r="F3768" i="4"/>
  <c r="L3768" i="4" s="1"/>
  <c r="F3767" i="4"/>
  <c r="L3767" i="4" s="1"/>
  <c r="F3766" i="4"/>
  <c r="L3766" i="4" s="1"/>
  <c r="F3765" i="4"/>
  <c r="L3765" i="4" s="1"/>
  <c r="F3764" i="4"/>
  <c r="L3764" i="4" s="1"/>
  <c r="F3763" i="4"/>
  <c r="L3763" i="4" s="1"/>
  <c r="F3762" i="4"/>
  <c r="L3762" i="4" s="1"/>
  <c r="F3761" i="4"/>
  <c r="L3761" i="4" s="1"/>
  <c r="F3760" i="4"/>
  <c r="L3760" i="4" s="1"/>
  <c r="F3759" i="4"/>
  <c r="L3759" i="4" s="1"/>
  <c r="F3758" i="4"/>
  <c r="L3758" i="4" s="1"/>
  <c r="F3757" i="4"/>
  <c r="L3757" i="4" s="1"/>
  <c r="F3756" i="4"/>
  <c r="L3756" i="4" s="1"/>
  <c r="F3755" i="4"/>
  <c r="L3755" i="4" s="1"/>
  <c r="F3754" i="4"/>
  <c r="L3754" i="4" s="1"/>
  <c r="F3753" i="4"/>
  <c r="L3753" i="4" s="1"/>
  <c r="F3752" i="4"/>
  <c r="L3752" i="4" s="1"/>
  <c r="F3751" i="4"/>
  <c r="L3751" i="4" s="1"/>
  <c r="F3750" i="4"/>
  <c r="L3750" i="4" s="1"/>
  <c r="F3749" i="4"/>
  <c r="L3749" i="4" s="1"/>
  <c r="F3748" i="4"/>
  <c r="L3748" i="4" s="1"/>
  <c r="F3747" i="4"/>
  <c r="L3747" i="4" s="1"/>
  <c r="F3746" i="4"/>
  <c r="L3746" i="4" s="1"/>
  <c r="F3745" i="4"/>
  <c r="L3745" i="4" s="1"/>
  <c r="F3744" i="4"/>
  <c r="L3744" i="4" s="1"/>
  <c r="F3743" i="4"/>
  <c r="L3743" i="4" s="1"/>
  <c r="F3742" i="4"/>
  <c r="L3742" i="4" s="1"/>
  <c r="F3741" i="4"/>
  <c r="L3741" i="4" s="1"/>
  <c r="F3740" i="4"/>
  <c r="L3740" i="4" s="1"/>
  <c r="F3739" i="4"/>
  <c r="L3739" i="4" s="1"/>
  <c r="F3738" i="4"/>
  <c r="L3738" i="4" s="1"/>
  <c r="F3737" i="4"/>
  <c r="L3737" i="4" s="1"/>
  <c r="F3736" i="4"/>
  <c r="L3736" i="4" s="1"/>
  <c r="F3735" i="4"/>
  <c r="L3735" i="4" s="1"/>
  <c r="F3734" i="4"/>
  <c r="L3734" i="4" s="1"/>
  <c r="F3733" i="4"/>
  <c r="L3733" i="4" s="1"/>
  <c r="F3732" i="4"/>
  <c r="L3732" i="4" s="1"/>
  <c r="F3731" i="4"/>
  <c r="L3731" i="4" s="1"/>
  <c r="F3730" i="4"/>
  <c r="L3730" i="4" s="1"/>
  <c r="F3729" i="4"/>
  <c r="L3729" i="4" s="1"/>
  <c r="F3728" i="4"/>
  <c r="L3728" i="4" s="1"/>
  <c r="F3727" i="4"/>
  <c r="L3727" i="4" s="1"/>
  <c r="F3726" i="4"/>
  <c r="L3726" i="4" s="1"/>
  <c r="F3725" i="4"/>
  <c r="L3725" i="4" s="1"/>
  <c r="F3724" i="4"/>
  <c r="L3724" i="4" s="1"/>
  <c r="F3723" i="4"/>
  <c r="L3723" i="4" s="1"/>
  <c r="F3722" i="4"/>
  <c r="L3722" i="4" s="1"/>
  <c r="F3721" i="4"/>
  <c r="L3721" i="4" s="1"/>
  <c r="F3720" i="4"/>
  <c r="L3720" i="4" s="1"/>
  <c r="F3719" i="4"/>
  <c r="L3719" i="4" s="1"/>
  <c r="F3718" i="4"/>
  <c r="L3718" i="4" s="1"/>
  <c r="F3717" i="4"/>
  <c r="L3717" i="4" s="1"/>
  <c r="F3716" i="4"/>
  <c r="L3716" i="4" s="1"/>
  <c r="F3715" i="4"/>
  <c r="L3715" i="4" s="1"/>
  <c r="F3714" i="4"/>
  <c r="L3714" i="4" s="1"/>
  <c r="F3713" i="4"/>
  <c r="L3713" i="4" s="1"/>
  <c r="F3712" i="4"/>
  <c r="L3712" i="4" s="1"/>
  <c r="F3711" i="4"/>
  <c r="L3711" i="4" s="1"/>
  <c r="F3710" i="4"/>
  <c r="L3710" i="4" s="1"/>
  <c r="F3709" i="4"/>
  <c r="L3709" i="4" s="1"/>
  <c r="F3708" i="4"/>
  <c r="L3708" i="4" s="1"/>
  <c r="F3707" i="4"/>
  <c r="L3707" i="4" s="1"/>
  <c r="F3706" i="4"/>
  <c r="L3706" i="4" s="1"/>
  <c r="F3705" i="4"/>
  <c r="L3705" i="4" s="1"/>
  <c r="F3704" i="4"/>
  <c r="L3704" i="4" s="1"/>
  <c r="F3703" i="4"/>
  <c r="L3703" i="4" s="1"/>
  <c r="F3702" i="4"/>
  <c r="L3702" i="4" s="1"/>
  <c r="F3701" i="4"/>
  <c r="L3701" i="4" s="1"/>
  <c r="F3700" i="4"/>
  <c r="L3700" i="4" s="1"/>
  <c r="F3699" i="4"/>
  <c r="L3699" i="4" s="1"/>
  <c r="F3698" i="4"/>
  <c r="L3698" i="4" s="1"/>
  <c r="F3697" i="4"/>
  <c r="L3697" i="4" s="1"/>
  <c r="F3696" i="4"/>
  <c r="L3696" i="4" s="1"/>
  <c r="F3695" i="4"/>
  <c r="L3695" i="4" s="1"/>
  <c r="F3694" i="4"/>
  <c r="L3694" i="4" s="1"/>
  <c r="F3693" i="4"/>
  <c r="L3693" i="4" s="1"/>
  <c r="F3692" i="4"/>
  <c r="L3692" i="4" s="1"/>
  <c r="F3691" i="4"/>
  <c r="L3691" i="4" s="1"/>
  <c r="F3690" i="4"/>
  <c r="L3690" i="4" s="1"/>
  <c r="F3689" i="4"/>
  <c r="L3689" i="4" s="1"/>
  <c r="F3688" i="4"/>
  <c r="L3688" i="4" s="1"/>
  <c r="F3687" i="4"/>
  <c r="L3687" i="4" s="1"/>
  <c r="F3686" i="4"/>
  <c r="L3686" i="4" s="1"/>
  <c r="F3685" i="4"/>
  <c r="L3685" i="4" s="1"/>
  <c r="F3684" i="4"/>
  <c r="L3684" i="4" s="1"/>
  <c r="F3683" i="4"/>
  <c r="L3683" i="4" s="1"/>
  <c r="F3682" i="4"/>
  <c r="L3682" i="4" s="1"/>
  <c r="F3681" i="4"/>
  <c r="L3681" i="4" s="1"/>
  <c r="F3680" i="4"/>
  <c r="L3680" i="4" s="1"/>
  <c r="F3679" i="4"/>
  <c r="L3679" i="4" s="1"/>
  <c r="F3678" i="4"/>
  <c r="L3678" i="4" s="1"/>
  <c r="F3677" i="4"/>
  <c r="L3677" i="4" s="1"/>
  <c r="F3676" i="4"/>
  <c r="L3676" i="4" s="1"/>
  <c r="F3675" i="4"/>
  <c r="L3675" i="4" s="1"/>
  <c r="F3674" i="4"/>
  <c r="L3674" i="4" s="1"/>
  <c r="F3673" i="4"/>
  <c r="L3673" i="4" s="1"/>
  <c r="F3672" i="4"/>
  <c r="L3672" i="4" s="1"/>
  <c r="F3671" i="4"/>
  <c r="L3671" i="4" s="1"/>
  <c r="F3670" i="4"/>
  <c r="L3670" i="4" s="1"/>
  <c r="F3669" i="4"/>
  <c r="L3669" i="4" s="1"/>
  <c r="F3668" i="4"/>
  <c r="L3668" i="4" s="1"/>
  <c r="F3667" i="4"/>
  <c r="L3667" i="4" s="1"/>
  <c r="F3666" i="4"/>
  <c r="L3666" i="4" s="1"/>
  <c r="F3665" i="4"/>
  <c r="L3665" i="4" s="1"/>
  <c r="F3664" i="4"/>
  <c r="L3664" i="4" s="1"/>
  <c r="F3663" i="4"/>
  <c r="L3663" i="4" s="1"/>
  <c r="F3662" i="4"/>
  <c r="L3662" i="4" s="1"/>
  <c r="F3661" i="4"/>
  <c r="L3661" i="4" s="1"/>
  <c r="F3660" i="4"/>
  <c r="L3660" i="4" s="1"/>
  <c r="F3659" i="4"/>
  <c r="L3659" i="4" s="1"/>
  <c r="F3658" i="4"/>
  <c r="L3658" i="4" s="1"/>
  <c r="F3657" i="4"/>
  <c r="L3657" i="4" s="1"/>
  <c r="F3656" i="4"/>
  <c r="L3656" i="4" s="1"/>
  <c r="F3655" i="4"/>
  <c r="L3655" i="4" s="1"/>
  <c r="F3654" i="4"/>
  <c r="L3654" i="4" s="1"/>
  <c r="F3653" i="4"/>
  <c r="L3653" i="4" s="1"/>
  <c r="F3652" i="4"/>
  <c r="L3652" i="4" s="1"/>
  <c r="F3651" i="4"/>
  <c r="L3651" i="4" s="1"/>
  <c r="F3650" i="4"/>
  <c r="L3650" i="4" s="1"/>
  <c r="F3649" i="4"/>
  <c r="L3649" i="4" s="1"/>
  <c r="F3648" i="4"/>
  <c r="L3648" i="4" s="1"/>
  <c r="F3647" i="4"/>
  <c r="L3647" i="4" s="1"/>
  <c r="F3646" i="4"/>
  <c r="L3646" i="4" s="1"/>
  <c r="F3645" i="4"/>
  <c r="L3645" i="4" s="1"/>
  <c r="F3644" i="4"/>
  <c r="L3644" i="4" s="1"/>
  <c r="F3643" i="4"/>
  <c r="L3643" i="4" s="1"/>
  <c r="F3642" i="4"/>
  <c r="L3642" i="4" s="1"/>
  <c r="F3641" i="4"/>
  <c r="L3641" i="4" s="1"/>
  <c r="F3640" i="4"/>
  <c r="L3640" i="4" s="1"/>
  <c r="F3639" i="4"/>
  <c r="L3639" i="4" s="1"/>
  <c r="F3638" i="4"/>
  <c r="L3638" i="4" s="1"/>
  <c r="F3637" i="4"/>
  <c r="L3637" i="4" s="1"/>
  <c r="F3636" i="4"/>
  <c r="L3636" i="4" s="1"/>
  <c r="F3635" i="4"/>
  <c r="L3635" i="4" s="1"/>
  <c r="F3634" i="4"/>
  <c r="L3634" i="4" s="1"/>
  <c r="F3633" i="4"/>
  <c r="L3633" i="4" s="1"/>
  <c r="F3632" i="4"/>
  <c r="L3632" i="4" s="1"/>
  <c r="F3631" i="4"/>
  <c r="L3631" i="4" s="1"/>
  <c r="F3630" i="4"/>
  <c r="L3630" i="4" s="1"/>
  <c r="F3629" i="4"/>
  <c r="L3629" i="4" s="1"/>
  <c r="F3628" i="4"/>
  <c r="L3628" i="4" s="1"/>
  <c r="F3627" i="4"/>
  <c r="L3627" i="4" s="1"/>
  <c r="F3626" i="4"/>
  <c r="L3626" i="4" s="1"/>
  <c r="F3625" i="4"/>
  <c r="L3625" i="4" s="1"/>
  <c r="F3624" i="4"/>
  <c r="L3624" i="4" s="1"/>
  <c r="F3623" i="4"/>
  <c r="L3623" i="4" s="1"/>
  <c r="F3622" i="4"/>
  <c r="L3622" i="4" s="1"/>
  <c r="F3621" i="4"/>
  <c r="L3621" i="4" s="1"/>
  <c r="F3620" i="4"/>
  <c r="L3620" i="4" s="1"/>
  <c r="F3619" i="4"/>
  <c r="L3619" i="4" s="1"/>
  <c r="F3618" i="4"/>
  <c r="L3618" i="4" s="1"/>
  <c r="F3617" i="4"/>
  <c r="L3617" i="4" s="1"/>
  <c r="F3616" i="4"/>
  <c r="L3616" i="4" s="1"/>
  <c r="F3615" i="4"/>
  <c r="L3615" i="4" s="1"/>
  <c r="F3614" i="4"/>
  <c r="L3614" i="4" s="1"/>
  <c r="F3613" i="4"/>
  <c r="L3613" i="4" s="1"/>
  <c r="F3612" i="4"/>
  <c r="L3612" i="4" s="1"/>
  <c r="F3611" i="4"/>
  <c r="L3611" i="4" s="1"/>
  <c r="F3610" i="4"/>
  <c r="L3610" i="4" s="1"/>
  <c r="F3609" i="4"/>
  <c r="L3609" i="4" s="1"/>
  <c r="F3608" i="4"/>
  <c r="L3608" i="4" s="1"/>
  <c r="F3607" i="4"/>
  <c r="L3607" i="4" s="1"/>
  <c r="F3606" i="4"/>
  <c r="L3606" i="4" s="1"/>
  <c r="F3605" i="4"/>
  <c r="L3605" i="4" s="1"/>
  <c r="F3604" i="4"/>
  <c r="L3604" i="4" s="1"/>
  <c r="F3603" i="4"/>
  <c r="L3603" i="4" s="1"/>
  <c r="F3602" i="4"/>
  <c r="L3602" i="4" s="1"/>
  <c r="F3601" i="4"/>
  <c r="L3601" i="4" s="1"/>
  <c r="F3600" i="4"/>
  <c r="L3600" i="4" s="1"/>
  <c r="F3599" i="4"/>
  <c r="L3599" i="4" s="1"/>
  <c r="F3598" i="4"/>
  <c r="L3598" i="4" s="1"/>
  <c r="F3597" i="4"/>
  <c r="L3597" i="4" s="1"/>
  <c r="F3596" i="4"/>
  <c r="L3596" i="4" s="1"/>
  <c r="F3595" i="4"/>
  <c r="L3595" i="4" s="1"/>
  <c r="F3594" i="4"/>
  <c r="L3594" i="4" s="1"/>
  <c r="F3593" i="4"/>
  <c r="L3593" i="4" s="1"/>
  <c r="F3592" i="4"/>
  <c r="L3592" i="4" s="1"/>
  <c r="F3591" i="4"/>
  <c r="L3591" i="4" s="1"/>
  <c r="F3590" i="4"/>
  <c r="L3590" i="4" s="1"/>
  <c r="F3589" i="4"/>
  <c r="L3589" i="4" s="1"/>
  <c r="F3588" i="4"/>
  <c r="L3588" i="4" s="1"/>
  <c r="F3587" i="4"/>
  <c r="L3587" i="4" s="1"/>
  <c r="F3586" i="4"/>
  <c r="L3586" i="4" s="1"/>
  <c r="F3585" i="4"/>
  <c r="L3585" i="4" s="1"/>
  <c r="F3584" i="4"/>
  <c r="L3584" i="4" s="1"/>
  <c r="F3583" i="4"/>
  <c r="L3583" i="4" s="1"/>
  <c r="F3582" i="4"/>
  <c r="L3582" i="4" s="1"/>
  <c r="F3581" i="4"/>
  <c r="L3581" i="4" s="1"/>
  <c r="F3580" i="4"/>
  <c r="L3580" i="4" s="1"/>
  <c r="F3579" i="4"/>
  <c r="L3579" i="4" s="1"/>
  <c r="F3578" i="4"/>
  <c r="L3578" i="4" s="1"/>
  <c r="F3577" i="4"/>
  <c r="L3577" i="4" s="1"/>
  <c r="F3576" i="4"/>
  <c r="L3576" i="4" s="1"/>
  <c r="F3575" i="4"/>
  <c r="L3575" i="4" s="1"/>
  <c r="F3574" i="4"/>
  <c r="L3574" i="4" s="1"/>
  <c r="F3573" i="4"/>
  <c r="L3573" i="4" s="1"/>
  <c r="F3572" i="4"/>
  <c r="L3572" i="4" s="1"/>
  <c r="F3571" i="4"/>
  <c r="L3571" i="4" s="1"/>
  <c r="F3570" i="4"/>
  <c r="L3570" i="4" s="1"/>
  <c r="F3569" i="4"/>
  <c r="L3569" i="4" s="1"/>
  <c r="F3568" i="4"/>
  <c r="L3568" i="4" s="1"/>
  <c r="F3567" i="4"/>
  <c r="L3567" i="4" s="1"/>
  <c r="F3566" i="4"/>
  <c r="L3566" i="4" s="1"/>
  <c r="F3565" i="4"/>
  <c r="L3565" i="4" s="1"/>
  <c r="F3564" i="4"/>
  <c r="L3564" i="4" s="1"/>
  <c r="F3563" i="4"/>
  <c r="L3563" i="4" s="1"/>
  <c r="F3562" i="4"/>
  <c r="L3562" i="4" s="1"/>
  <c r="F3561" i="4"/>
  <c r="L3561" i="4" s="1"/>
  <c r="F3560" i="4"/>
  <c r="L3560" i="4" s="1"/>
  <c r="F3559" i="4"/>
  <c r="L3559" i="4" s="1"/>
  <c r="F3558" i="4"/>
  <c r="L3558" i="4" s="1"/>
  <c r="F3557" i="4"/>
  <c r="L3557" i="4" s="1"/>
  <c r="F3556" i="4"/>
  <c r="L3556" i="4" s="1"/>
  <c r="F3555" i="4"/>
  <c r="L3555" i="4" s="1"/>
  <c r="F3554" i="4"/>
  <c r="L3554" i="4" s="1"/>
  <c r="F3553" i="4"/>
  <c r="L3553" i="4" s="1"/>
  <c r="F3552" i="4"/>
  <c r="L3552" i="4" s="1"/>
  <c r="F3551" i="4"/>
  <c r="L3551" i="4" s="1"/>
  <c r="F3550" i="4"/>
  <c r="L3550" i="4" s="1"/>
  <c r="F3549" i="4"/>
  <c r="L3549" i="4" s="1"/>
  <c r="F3548" i="4"/>
  <c r="L3548" i="4" s="1"/>
  <c r="F3547" i="4"/>
  <c r="L3547" i="4" s="1"/>
  <c r="F3546" i="4"/>
  <c r="L3546" i="4" s="1"/>
  <c r="F3545" i="4"/>
  <c r="L3545" i="4" s="1"/>
  <c r="F3544" i="4"/>
  <c r="L3544" i="4" s="1"/>
  <c r="F3543" i="4"/>
  <c r="L3543" i="4" s="1"/>
  <c r="F3542" i="4"/>
  <c r="L3542" i="4" s="1"/>
  <c r="F3541" i="4"/>
  <c r="L3541" i="4" s="1"/>
  <c r="F3540" i="4"/>
  <c r="L3540" i="4" s="1"/>
  <c r="F3539" i="4"/>
  <c r="L3539" i="4" s="1"/>
  <c r="F3538" i="4"/>
  <c r="L3538" i="4" s="1"/>
  <c r="F3537" i="4"/>
  <c r="L3537" i="4" s="1"/>
  <c r="F3536" i="4"/>
  <c r="L3536" i="4" s="1"/>
  <c r="F3535" i="4"/>
  <c r="L3535" i="4" s="1"/>
  <c r="F3534" i="4"/>
  <c r="L3534" i="4" s="1"/>
  <c r="F3533" i="4"/>
  <c r="L3533" i="4" s="1"/>
  <c r="F3532" i="4"/>
  <c r="L3532" i="4" s="1"/>
  <c r="F3531" i="4"/>
  <c r="L3531" i="4" s="1"/>
  <c r="F3530" i="4"/>
  <c r="L3530" i="4" s="1"/>
  <c r="F3529" i="4"/>
  <c r="L3529" i="4" s="1"/>
  <c r="F3528" i="4"/>
  <c r="L3528" i="4" s="1"/>
  <c r="F3527" i="4"/>
  <c r="L3527" i="4" s="1"/>
  <c r="F3526" i="4"/>
  <c r="L3526" i="4" s="1"/>
  <c r="F3525" i="4"/>
  <c r="L3525" i="4" s="1"/>
  <c r="F3524" i="4"/>
  <c r="L3524" i="4" s="1"/>
  <c r="F3523" i="4"/>
  <c r="L3523" i="4" s="1"/>
  <c r="F3522" i="4"/>
  <c r="L3522" i="4" s="1"/>
  <c r="F3521" i="4"/>
  <c r="L3521" i="4" s="1"/>
  <c r="F3520" i="4"/>
  <c r="L3520" i="4" s="1"/>
  <c r="F3519" i="4"/>
  <c r="L3519" i="4" s="1"/>
  <c r="F3518" i="4"/>
  <c r="L3518" i="4" s="1"/>
  <c r="F3517" i="4"/>
  <c r="L3517" i="4" s="1"/>
  <c r="F3516" i="4"/>
  <c r="L3516" i="4" s="1"/>
  <c r="F3515" i="4"/>
  <c r="L3515" i="4" s="1"/>
  <c r="F3514" i="4"/>
  <c r="L3514" i="4" s="1"/>
  <c r="F3513" i="4"/>
  <c r="L3513" i="4" s="1"/>
  <c r="F3512" i="4"/>
  <c r="L3512" i="4" s="1"/>
  <c r="F3511" i="4"/>
  <c r="L3511" i="4" s="1"/>
  <c r="F3510" i="4"/>
  <c r="L3510" i="4" s="1"/>
  <c r="F3509" i="4"/>
  <c r="L3509" i="4" s="1"/>
  <c r="F3508" i="4"/>
  <c r="L3508" i="4" s="1"/>
  <c r="F3507" i="4"/>
  <c r="L3507" i="4" s="1"/>
  <c r="F3506" i="4"/>
  <c r="L3506" i="4" s="1"/>
  <c r="F3505" i="4"/>
  <c r="L3505" i="4" s="1"/>
  <c r="F3504" i="4"/>
  <c r="L3504" i="4" s="1"/>
  <c r="F3503" i="4"/>
  <c r="L3503" i="4" s="1"/>
  <c r="F3502" i="4"/>
  <c r="L3502" i="4" s="1"/>
  <c r="F3501" i="4"/>
  <c r="L3501" i="4" s="1"/>
  <c r="F3500" i="4"/>
  <c r="L3500" i="4" s="1"/>
  <c r="F3499" i="4"/>
  <c r="L3499" i="4" s="1"/>
  <c r="F3498" i="4"/>
  <c r="L3498" i="4" s="1"/>
  <c r="F3497" i="4"/>
  <c r="L3497" i="4" s="1"/>
  <c r="F3496" i="4"/>
  <c r="L3496" i="4" s="1"/>
  <c r="F3495" i="4"/>
  <c r="L3495" i="4" s="1"/>
  <c r="F3494" i="4"/>
  <c r="L3494" i="4" s="1"/>
  <c r="F3493" i="4"/>
  <c r="L3493" i="4" s="1"/>
  <c r="F3492" i="4"/>
  <c r="L3492" i="4" s="1"/>
  <c r="F3491" i="4"/>
  <c r="L3491" i="4" s="1"/>
  <c r="F3490" i="4"/>
  <c r="L3490" i="4" s="1"/>
  <c r="F3489" i="4"/>
  <c r="L3489" i="4" s="1"/>
  <c r="F3488" i="4"/>
  <c r="L3488" i="4" s="1"/>
  <c r="F3487" i="4"/>
  <c r="L3487" i="4" s="1"/>
  <c r="F3486" i="4"/>
  <c r="L3486" i="4" s="1"/>
  <c r="F3485" i="4"/>
  <c r="L3485" i="4" s="1"/>
  <c r="F3484" i="4"/>
  <c r="L3484" i="4" s="1"/>
  <c r="F3483" i="4"/>
  <c r="L3483" i="4" s="1"/>
  <c r="F3482" i="4"/>
  <c r="L3482" i="4" s="1"/>
  <c r="F3481" i="4"/>
  <c r="L3481" i="4" s="1"/>
  <c r="F3480" i="4"/>
  <c r="L3480" i="4" s="1"/>
  <c r="F3479" i="4"/>
  <c r="L3479" i="4" s="1"/>
  <c r="F3478" i="4"/>
  <c r="L3478" i="4" s="1"/>
  <c r="F3477" i="4"/>
  <c r="L3477" i="4" s="1"/>
  <c r="F3476" i="4"/>
  <c r="L3476" i="4" s="1"/>
  <c r="F3475" i="4"/>
  <c r="L3475" i="4" s="1"/>
  <c r="F3474" i="4"/>
  <c r="L3474" i="4" s="1"/>
  <c r="F3473" i="4"/>
  <c r="L3473" i="4" s="1"/>
  <c r="F3472" i="4"/>
  <c r="L3472" i="4" s="1"/>
  <c r="F3471" i="4"/>
  <c r="L3471" i="4" s="1"/>
  <c r="F3470" i="4"/>
  <c r="L3470" i="4" s="1"/>
  <c r="F3469" i="4"/>
  <c r="L3469" i="4" s="1"/>
  <c r="F3468" i="4"/>
  <c r="L3468" i="4" s="1"/>
  <c r="F3467" i="4"/>
  <c r="L3467" i="4" s="1"/>
  <c r="F3466" i="4"/>
  <c r="L3466" i="4" s="1"/>
  <c r="F3465" i="4"/>
  <c r="L3465" i="4" s="1"/>
  <c r="F3464" i="4"/>
  <c r="L3464" i="4" s="1"/>
  <c r="F3463" i="4"/>
  <c r="L3463" i="4" s="1"/>
  <c r="F3462" i="4"/>
  <c r="L3462" i="4" s="1"/>
  <c r="F3461" i="4"/>
  <c r="L3461" i="4" s="1"/>
  <c r="F3460" i="4"/>
  <c r="L3460" i="4" s="1"/>
  <c r="F3459" i="4"/>
  <c r="L3459" i="4" s="1"/>
  <c r="F3458" i="4"/>
  <c r="L3458" i="4" s="1"/>
  <c r="F3457" i="4"/>
  <c r="L3457" i="4" s="1"/>
  <c r="F3456" i="4"/>
  <c r="L3456" i="4" s="1"/>
  <c r="F3455" i="4"/>
  <c r="L3455" i="4" s="1"/>
  <c r="F3454" i="4"/>
  <c r="L3454" i="4" s="1"/>
  <c r="F3453" i="4"/>
  <c r="L3453" i="4" s="1"/>
  <c r="F3452" i="4"/>
  <c r="L3452" i="4" s="1"/>
  <c r="F3451" i="4"/>
  <c r="L3451" i="4" s="1"/>
  <c r="F3450" i="4"/>
  <c r="L3450" i="4" s="1"/>
  <c r="F3449" i="4"/>
  <c r="L3449" i="4" s="1"/>
  <c r="F3448" i="4"/>
  <c r="L3448" i="4" s="1"/>
  <c r="F3447" i="4"/>
  <c r="L3447" i="4" s="1"/>
  <c r="F3446" i="4"/>
  <c r="L3446" i="4" s="1"/>
  <c r="F3445" i="4"/>
  <c r="L3445" i="4" s="1"/>
  <c r="F3444" i="4"/>
  <c r="L3444" i="4" s="1"/>
  <c r="F3443" i="4"/>
  <c r="L3443" i="4" s="1"/>
  <c r="F3442" i="4"/>
  <c r="L3442" i="4" s="1"/>
  <c r="F3441" i="4"/>
  <c r="L3441" i="4" s="1"/>
  <c r="F3440" i="4"/>
  <c r="L3440" i="4" s="1"/>
  <c r="F3439" i="4"/>
  <c r="L3439" i="4" s="1"/>
  <c r="F3438" i="4"/>
  <c r="L3438" i="4" s="1"/>
  <c r="F3437" i="4"/>
  <c r="L3437" i="4" s="1"/>
  <c r="F3436" i="4"/>
  <c r="L3436" i="4" s="1"/>
  <c r="F3435" i="4"/>
  <c r="L3435" i="4" s="1"/>
  <c r="F3434" i="4"/>
  <c r="L3434" i="4" s="1"/>
  <c r="F3433" i="4"/>
  <c r="L3433" i="4" s="1"/>
  <c r="F3432" i="4"/>
  <c r="L3432" i="4" s="1"/>
  <c r="F3431" i="4"/>
  <c r="L3431" i="4" s="1"/>
  <c r="F3430" i="4"/>
  <c r="L3430" i="4" s="1"/>
  <c r="F3429" i="4"/>
  <c r="L3429" i="4" s="1"/>
  <c r="F3428" i="4"/>
  <c r="L3428" i="4" s="1"/>
  <c r="F3427" i="4"/>
  <c r="L3427" i="4" s="1"/>
  <c r="F3426" i="4"/>
  <c r="L3426" i="4" s="1"/>
  <c r="F3425" i="4"/>
  <c r="L3425" i="4" s="1"/>
  <c r="F3424" i="4"/>
  <c r="L3424" i="4" s="1"/>
  <c r="F3423" i="4"/>
  <c r="L3423" i="4" s="1"/>
  <c r="F3422" i="4"/>
  <c r="L3422" i="4" s="1"/>
  <c r="F3421" i="4"/>
  <c r="L3421" i="4" s="1"/>
  <c r="F3420" i="4"/>
  <c r="L3420" i="4" s="1"/>
  <c r="F3419" i="4"/>
  <c r="L3419" i="4" s="1"/>
  <c r="F3418" i="4"/>
  <c r="L3418" i="4" s="1"/>
  <c r="F3417" i="4"/>
  <c r="L3417" i="4" s="1"/>
  <c r="F3416" i="4"/>
  <c r="L3416" i="4" s="1"/>
  <c r="F3415" i="4"/>
  <c r="L3415" i="4" s="1"/>
  <c r="F3414" i="4"/>
  <c r="L3414" i="4" s="1"/>
  <c r="F3413" i="4"/>
  <c r="L3413" i="4" s="1"/>
  <c r="F3412" i="4"/>
  <c r="L3412" i="4" s="1"/>
  <c r="F3411" i="4"/>
  <c r="L3411" i="4" s="1"/>
  <c r="F3410" i="4"/>
  <c r="L3410" i="4" s="1"/>
  <c r="F3409" i="4"/>
  <c r="L3409" i="4" s="1"/>
  <c r="F3408" i="4"/>
  <c r="L3408" i="4" s="1"/>
  <c r="F3407" i="4"/>
  <c r="L3407" i="4" s="1"/>
  <c r="F3406" i="4"/>
  <c r="L3406" i="4" s="1"/>
  <c r="F3405" i="4"/>
  <c r="L3405" i="4" s="1"/>
  <c r="F3404" i="4"/>
  <c r="L3404" i="4" s="1"/>
  <c r="F3403" i="4"/>
  <c r="L3403" i="4" s="1"/>
  <c r="F3402" i="4"/>
  <c r="L3402" i="4" s="1"/>
  <c r="F3401" i="4"/>
  <c r="L3401" i="4" s="1"/>
  <c r="F3400" i="4"/>
  <c r="L3400" i="4" s="1"/>
  <c r="F3399" i="4"/>
  <c r="L3399" i="4" s="1"/>
  <c r="F3398" i="4"/>
  <c r="L3398" i="4" s="1"/>
  <c r="F3397" i="4"/>
  <c r="L3397" i="4" s="1"/>
  <c r="F3396" i="4"/>
  <c r="L3396" i="4" s="1"/>
  <c r="F3395" i="4"/>
  <c r="L3395" i="4" s="1"/>
  <c r="F3394" i="4"/>
  <c r="L3394" i="4" s="1"/>
  <c r="F3393" i="4"/>
  <c r="L3393" i="4" s="1"/>
  <c r="F3392" i="4"/>
  <c r="L3392" i="4" s="1"/>
  <c r="F3391" i="4"/>
  <c r="L3391" i="4" s="1"/>
  <c r="F3390" i="4"/>
  <c r="L3390" i="4" s="1"/>
  <c r="F3389" i="4"/>
  <c r="L3389" i="4" s="1"/>
  <c r="F3388" i="4"/>
  <c r="L3388" i="4" s="1"/>
  <c r="F3387" i="4"/>
  <c r="L3387" i="4" s="1"/>
  <c r="F3386" i="4"/>
  <c r="L3386" i="4" s="1"/>
  <c r="F3385" i="4"/>
  <c r="L3385" i="4" s="1"/>
  <c r="F3384" i="4"/>
  <c r="L3384" i="4" s="1"/>
  <c r="F3383" i="4"/>
  <c r="L3383" i="4" s="1"/>
  <c r="F3382" i="4"/>
  <c r="L3382" i="4" s="1"/>
  <c r="F3381" i="4"/>
  <c r="L3381" i="4" s="1"/>
  <c r="F3380" i="4"/>
  <c r="L3380" i="4" s="1"/>
  <c r="F3379" i="4"/>
  <c r="L3379" i="4" s="1"/>
  <c r="F3378" i="4"/>
  <c r="L3378" i="4" s="1"/>
  <c r="F3377" i="4"/>
  <c r="L3377" i="4" s="1"/>
  <c r="F3376" i="4"/>
  <c r="L3376" i="4" s="1"/>
  <c r="F3375" i="4"/>
  <c r="L3375" i="4" s="1"/>
  <c r="F3374" i="4"/>
  <c r="L3374" i="4" s="1"/>
  <c r="F3373" i="4"/>
  <c r="L3373" i="4" s="1"/>
  <c r="F3372" i="4"/>
  <c r="L3372" i="4" s="1"/>
  <c r="F3371" i="4"/>
  <c r="L3371" i="4" s="1"/>
  <c r="F3370" i="4"/>
  <c r="L3370" i="4" s="1"/>
  <c r="F3369" i="4"/>
  <c r="L3369" i="4" s="1"/>
  <c r="F3368" i="4"/>
  <c r="L3368" i="4" s="1"/>
  <c r="F3367" i="4"/>
  <c r="L3367" i="4" s="1"/>
  <c r="F3366" i="4"/>
  <c r="L3366" i="4" s="1"/>
  <c r="F3365" i="4"/>
  <c r="L3365" i="4" s="1"/>
  <c r="F3364" i="4"/>
  <c r="L3364" i="4" s="1"/>
  <c r="F3363" i="4"/>
  <c r="L3363" i="4" s="1"/>
  <c r="F3362" i="4"/>
  <c r="L3362" i="4" s="1"/>
  <c r="F3361" i="4"/>
  <c r="L3361" i="4" s="1"/>
  <c r="F3360" i="4"/>
  <c r="L3360" i="4" s="1"/>
  <c r="F3359" i="4"/>
  <c r="L3359" i="4" s="1"/>
  <c r="F3358" i="4"/>
  <c r="L3358" i="4" s="1"/>
  <c r="F3357" i="4"/>
  <c r="L3357" i="4" s="1"/>
  <c r="F3356" i="4"/>
  <c r="L3356" i="4" s="1"/>
  <c r="F3355" i="4"/>
  <c r="L3355" i="4" s="1"/>
  <c r="F3354" i="4"/>
  <c r="L3354" i="4" s="1"/>
  <c r="F3353" i="4"/>
  <c r="L3353" i="4" s="1"/>
  <c r="F3352" i="4"/>
  <c r="L3352" i="4" s="1"/>
  <c r="F3351" i="4"/>
  <c r="L3351" i="4" s="1"/>
  <c r="F3350" i="4"/>
  <c r="L3350" i="4" s="1"/>
  <c r="F3349" i="4"/>
  <c r="L3349" i="4" s="1"/>
  <c r="F3348" i="4"/>
  <c r="L3348" i="4" s="1"/>
  <c r="F3347" i="4"/>
  <c r="L3347" i="4" s="1"/>
  <c r="F3346" i="4"/>
  <c r="L3346" i="4" s="1"/>
  <c r="F3345" i="4"/>
  <c r="L3345" i="4" s="1"/>
  <c r="F3344" i="4"/>
  <c r="L3344" i="4" s="1"/>
  <c r="F3343" i="4"/>
  <c r="L3343" i="4" s="1"/>
  <c r="F3342" i="4"/>
  <c r="L3342" i="4" s="1"/>
  <c r="F3341" i="4"/>
  <c r="L3341" i="4" s="1"/>
  <c r="F3340" i="4"/>
  <c r="L3340" i="4" s="1"/>
  <c r="F3339" i="4"/>
  <c r="L3339" i="4" s="1"/>
  <c r="F3338" i="4"/>
  <c r="L3338" i="4" s="1"/>
  <c r="F3337" i="4"/>
  <c r="L3337" i="4" s="1"/>
  <c r="F3336" i="4"/>
  <c r="L3336" i="4" s="1"/>
  <c r="F3335" i="4"/>
  <c r="L3335" i="4" s="1"/>
  <c r="F3334" i="4"/>
  <c r="L3334" i="4" s="1"/>
  <c r="F3333" i="4"/>
  <c r="L3333" i="4" s="1"/>
  <c r="F3332" i="4"/>
  <c r="L3332" i="4" s="1"/>
  <c r="F3331" i="4"/>
  <c r="L3331" i="4" s="1"/>
  <c r="F3330" i="4"/>
  <c r="L3330" i="4" s="1"/>
  <c r="F3329" i="4"/>
  <c r="L3329" i="4" s="1"/>
  <c r="F3328" i="4"/>
  <c r="L3328" i="4" s="1"/>
  <c r="F3327" i="4"/>
  <c r="L3327" i="4" s="1"/>
  <c r="F3326" i="4"/>
  <c r="L3326" i="4" s="1"/>
  <c r="F3325" i="4"/>
  <c r="L3325" i="4" s="1"/>
  <c r="F3324" i="4"/>
  <c r="L3324" i="4" s="1"/>
  <c r="F3323" i="4"/>
  <c r="L3323" i="4" s="1"/>
  <c r="F3322" i="4"/>
  <c r="L3322" i="4" s="1"/>
  <c r="F3321" i="4"/>
  <c r="L3321" i="4" s="1"/>
  <c r="F3320" i="4"/>
  <c r="L3320" i="4" s="1"/>
  <c r="F3319" i="4"/>
  <c r="L3319" i="4" s="1"/>
  <c r="F3318" i="4"/>
  <c r="L3318" i="4" s="1"/>
  <c r="F3317" i="4"/>
  <c r="L3317" i="4" s="1"/>
  <c r="F3316" i="4"/>
  <c r="L3316" i="4" s="1"/>
  <c r="F3315" i="4"/>
  <c r="L3315" i="4" s="1"/>
  <c r="F3314" i="4"/>
  <c r="L3314" i="4" s="1"/>
  <c r="F3313" i="4"/>
  <c r="L3313" i="4" s="1"/>
  <c r="F3312" i="4"/>
  <c r="L3312" i="4" s="1"/>
  <c r="F3311" i="4"/>
  <c r="L3311" i="4" s="1"/>
  <c r="F3310" i="4"/>
  <c r="L3310" i="4" s="1"/>
  <c r="F3309" i="4"/>
  <c r="L3309" i="4" s="1"/>
  <c r="F3308" i="4"/>
  <c r="L3308" i="4" s="1"/>
  <c r="F3307" i="4"/>
  <c r="L3307" i="4" s="1"/>
  <c r="F3306" i="4"/>
  <c r="L3306" i="4" s="1"/>
  <c r="F3305" i="4"/>
  <c r="L3305" i="4" s="1"/>
  <c r="F3304" i="4"/>
  <c r="L3304" i="4" s="1"/>
  <c r="F3303" i="4"/>
  <c r="L3303" i="4" s="1"/>
  <c r="F3302" i="4"/>
  <c r="L3302" i="4" s="1"/>
  <c r="F3301" i="4"/>
  <c r="L3301" i="4" s="1"/>
  <c r="F3300" i="4"/>
  <c r="L3300" i="4" s="1"/>
  <c r="F3299" i="4"/>
  <c r="L3299" i="4" s="1"/>
  <c r="F3298" i="4"/>
  <c r="L3298" i="4" s="1"/>
  <c r="F3297" i="4"/>
  <c r="L3297" i="4" s="1"/>
  <c r="F3296" i="4"/>
  <c r="L3296" i="4" s="1"/>
  <c r="F3295" i="4"/>
  <c r="L3295" i="4" s="1"/>
  <c r="F3294" i="4"/>
  <c r="L3294" i="4" s="1"/>
  <c r="F3293" i="4"/>
  <c r="L3293" i="4" s="1"/>
  <c r="F3292" i="4"/>
  <c r="L3292" i="4" s="1"/>
  <c r="F3291" i="4"/>
  <c r="L3291" i="4" s="1"/>
  <c r="F3290" i="4"/>
  <c r="L3290" i="4" s="1"/>
  <c r="F3289" i="4"/>
  <c r="L3289" i="4" s="1"/>
  <c r="F3288" i="4"/>
  <c r="L3288" i="4" s="1"/>
  <c r="F3287" i="4"/>
  <c r="L3287" i="4" s="1"/>
  <c r="F3286" i="4"/>
  <c r="L3286" i="4" s="1"/>
  <c r="F3285" i="4"/>
  <c r="L3285" i="4" s="1"/>
  <c r="F3284" i="4"/>
  <c r="L3284" i="4" s="1"/>
  <c r="F3283" i="4"/>
  <c r="L3283" i="4" s="1"/>
  <c r="F3282" i="4"/>
  <c r="L3282" i="4" s="1"/>
  <c r="F3281" i="4"/>
  <c r="L3281" i="4" s="1"/>
  <c r="F3280" i="4"/>
  <c r="L3280" i="4" s="1"/>
  <c r="F3279" i="4"/>
  <c r="L3279" i="4" s="1"/>
  <c r="F3278" i="4"/>
  <c r="L3278" i="4" s="1"/>
  <c r="F3277" i="4"/>
  <c r="L3277" i="4" s="1"/>
  <c r="F3276" i="4"/>
  <c r="L3276" i="4" s="1"/>
  <c r="F3275" i="4"/>
  <c r="L3275" i="4" s="1"/>
  <c r="F3274" i="4"/>
  <c r="L3274" i="4" s="1"/>
  <c r="F3273" i="4"/>
  <c r="L3273" i="4" s="1"/>
  <c r="F3272" i="4"/>
  <c r="L3272" i="4" s="1"/>
  <c r="F3271" i="4"/>
  <c r="L3271" i="4" s="1"/>
  <c r="F3270" i="4"/>
  <c r="L3270" i="4" s="1"/>
  <c r="F3269" i="4"/>
  <c r="L3269" i="4" s="1"/>
  <c r="F3268" i="4"/>
  <c r="L3268" i="4" s="1"/>
  <c r="F3267" i="4"/>
  <c r="L3267" i="4" s="1"/>
  <c r="F3266" i="4"/>
  <c r="L3266" i="4" s="1"/>
  <c r="F3265" i="4"/>
  <c r="L3265" i="4" s="1"/>
  <c r="F3264" i="4"/>
  <c r="L3264" i="4" s="1"/>
  <c r="F3263" i="4"/>
  <c r="L3263" i="4" s="1"/>
  <c r="F3262" i="4"/>
  <c r="L3262" i="4" s="1"/>
  <c r="F3261" i="4"/>
  <c r="L3261" i="4" s="1"/>
  <c r="F3260" i="4"/>
  <c r="L3260" i="4" s="1"/>
  <c r="F3259" i="4"/>
  <c r="L3259" i="4" s="1"/>
  <c r="F3258" i="4"/>
  <c r="L3258" i="4" s="1"/>
  <c r="F3257" i="4"/>
  <c r="L3257" i="4" s="1"/>
  <c r="F3256" i="4"/>
  <c r="L3256" i="4" s="1"/>
  <c r="F3255" i="4"/>
  <c r="L3255" i="4" s="1"/>
  <c r="F3254" i="4"/>
  <c r="L3254" i="4" s="1"/>
  <c r="F3253" i="4"/>
  <c r="L3253" i="4" s="1"/>
  <c r="F3252" i="4"/>
  <c r="L3252" i="4" s="1"/>
  <c r="F3251" i="4"/>
  <c r="L3251" i="4" s="1"/>
  <c r="F3250" i="4"/>
  <c r="L3250" i="4" s="1"/>
  <c r="F3249" i="4"/>
  <c r="L3249" i="4" s="1"/>
  <c r="F3248" i="4"/>
  <c r="L3248" i="4" s="1"/>
  <c r="F3247" i="4"/>
  <c r="L3247" i="4" s="1"/>
  <c r="F3246" i="4"/>
  <c r="L3246" i="4" s="1"/>
  <c r="F3245" i="4"/>
  <c r="L3245" i="4" s="1"/>
  <c r="F3244" i="4"/>
  <c r="L3244" i="4" s="1"/>
  <c r="F3243" i="4"/>
  <c r="L3243" i="4" s="1"/>
  <c r="F3242" i="4"/>
  <c r="L3242" i="4" s="1"/>
  <c r="F3241" i="4"/>
  <c r="L3241" i="4" s="1"/>
  <c r="F3240" i="4"/>
  <c r="L3240" i="4" s="1"/>
  <c r="F3239" i="4"/>
  <c r="L3239" i="4" s="1"/>
  <c r="F3238" i="4"/>
  <c r="L3238" i="4" s="1"/>
  <c r="F3237" i="4"/>
  <c r="L3237" i="4" s="1"/>
  <c r="F3236" i="4"/>
  <c r="L3236" i="4" s="1"/>
  <c r="F3235" i="4"/>
  <c r="L3235" i="4" s="1"/>
  <c r="F3234" i="4"/>
  <c r="L3234" i="4" s="1"/>
  <c r="F3233" i="4"/>
  <c r="L3233" i="4" s="1"/>
  <c r="F3232" i="4"/>
  <c r="L3232" i="4" s="1"/>
  <c r="F3231" i="4"/>
  <c r="L3231" i="4" s="1"/>
  <c r="F3230" i="4"/>
  <c r="L3230" i="4" s="1"/>
  <c r="F3229" i="4"/>
  <c r="L3229" i="4" s="1"/>
  <c r="F3228" i="4"/>
  <c r="L3228" i="4" s="1"/>
  <c r="F3227" i="4"/>
  <c r="L3227" i="4" s="1"/>
  <c r="F3226" i="4"/>
  <c r="L3226" i="4" s="1"/>
  <c r="F3225" i="4"/>
  <c r="L3225" i="4" s="1"/>
  <c r="F3224" i="4"/>
  <c r="L3224" i="4" s="1"/>
  <c r="F3223" i="4"/>
  <c r="L3223" i="4" s="1"/>
  <c r="F3222" i="4"/>
  <c r="L3222" i="4" s="1"/>
  <c r="F3221" i="4"/>
  <c r="L3221" i="4" s="1"/>
  <c r="F3220" i="4"/>
  <c r="L3220" i="4" s="1"/>
  <c r="F3219" i="4"/>
  <c r="L3219" i="4" s="1"/>
  <c r="F3218" i="4"/>
  <c r="L3218" i="4" s="1"/>
  <c r="F3217" i="4"/>
  <c r="L3217" i="4" s="1"/>
  <c r="F3216" i="4"/>
  <c r="L3216" i="4" s="1"/>
  <c r="F3215" i="4"/>
  <c r="L3215" i="4" s="1"/>
  <c r="F3214" i="4"/>
  <c r="L3214" i="4" s="1"/>
  <c r="F3213" i="4"/>
  <c r="L3213" i="4" s="1"/>
  <c r="F3212" i="4"/>
  <c r="L3212" i="4" s="1"/>
  <c r="F3211" i="4"/>
  <c r="L3211" i="4" s="1"/>
  <c r="F3210" i="4"/>
  <c r="L3210" i="4" s="1"/>
  <c r="F3209" i="4"/>
  <c r="L3209" i="4" s="1"/>
  <c r="F3208" i="4"/>
  <c r="L3208" i="4" s="1"/>
  <c r="F3207" i="4"/>
  <c r="L3207" i="4" s="1"/>
  <c r="F3206" i="4"/>
  <c r="L3206" i="4" s="1"/>
  <c r="F3205" i="4"/>
  <c r="L3205" i="4" s="1"/>
  <c r="F3204" i="4"/>
  <c r="L3204" i="4" s="1"/>
  <c r="F3203" i="4"/>
  <c r="L3203" i="4" s="1"/>
  <c r="F3202" i="4"/>
  <c r="L3202" i="4" s="1"/>
  <c r="F3201" i="4"/>
  <c r="L3201" i="4" s="1"/>
  <c r="F3200" i="4"/>
  <c r="L3200" i="4" s="1"/>
  <c r="F3199" i="4"/>
  <c r="L3199" i="4" s="1"/>
  <c r="F3198" i="4"/>
  <c r="L3198" i="4" s="1"/>
  <c r="F3197" i="4"/>
  <c r="L3197" i="4" s="1"/>
  <c r="F3196" i="4"/>
  <c r="L3196" i="4" s="1"/>
  <c r="F3195" i="4"/>
  <c r="L3195" i="4" s="1"/>
  <c r="F3194" i="4"/>
  <c r="L3194" i="4" s="1"/>
  <c r="F3193" i="4"/>
  <c r="L3193" i="4" s="1"/>
  <c r="F3192" i="4"/>
  <c r="L3192" i="4" s="1"/>
  <c r="F3191" i="4"/>
  <c r="L3191" i="4" s="1"/>
  <c r="F3190" i="4"/>
  <c r="L3190" i="4" s="1"/>
  <c r="F3189" i="4"/>
  <c r="L3189" i="4" s="1"/>
  <c r="F3188" i="4"/>
  <c r="L3188" i="4" s="1"/>
  <c r="F3187" i="4"/>
  <c r="L3187" i="4" s="1"/>
  <c r="F3186" i="4"/>
  <c r="L3186" i="4" s="1"/>
  <c r="F3185" i="4"/>
  <c r="L3185" i="4" s="1"/>
  <c r="F3184" i="4"/>
  <c r="L3184" i="4" s="1"/>
  <c r="F3183" i="4"/>
  <c r="L3183" i="4" s="1"/>
  <c r="F3182" i="4"/>
  <c r="L3182" i="4" s="1"/>
  <c r="F3181" i="4"/>
  <c r="L3181" i="4" s="1"/>
  <c r="F3180" i="4"/>
  <c r="L3180" i="4" s="1"/>
  <c r="F3179" i="4"/>
  <c r="L3179" i="4" s="1"/>
  <c r="F3178" i="4"/>
  <c r="L3178" i="4" s="1"/>
  <c r="F3177" i="4"/>
  <c r="L3177" i="4" s="1"/>
  <c r="F3176" i="4"/>
  <c r="L3176" i="4" s="1"/>
  <c r="F3175" i="4"/>
  <c r="L3175" i="4" s="1"/>
  <c r="F3174" i="4"/>
  <c r="L3174" i="4" s="1"/>
  <c r="F3173" i="4"/>
  <c r="L3173" i="4" s="1"/>
  <c r="F3172" i="4"/>
  <c r="L3172" i="4" s="1"/>
  <c r="F3171" i="4"/>
  <c r="L3171" i="4" s="1"/>
  <c r="F3170" i="4"/>
  <c r="L3170" i="4" s="1"/>
  <c r="F3169" i="4"/>
  <c r="L3169" i="4" s="1"/>
  <c r="F3168" i="4"/>
  <c r="L3168" i="4" s="1"/>
  <c r="F3167" i="4"/>
  <c r="L3167" i="4" s="1"/>
  <c r="F3166" i="4"/>
  <c r="L3166" i="4" s="1"/>
  <c r="F3165" i="4"/>
  <c r="L3165" i="4" s="1"/>
  <c r="F3164" i="4"/>
  <c r="L3164" i="4" s="1"/>
  <c r="F3163" i="4"/>
  <c r="L3163" i="4" s="1"/>
  <c r="F3162" i="4"/>
  <c r="L3162" i="4" s="1"/>
  <c r="F3161" i="4"/>
  <c r="L3161" i="4" s="1"/>
  <c r="F3160" i="4"/>
  <c r="L3160" i="4" s="1"/>
  <c r="F3159" i="4"/>
  <c r="L3159" i="4" s="1"/>
  <c r="F3158" i="4"/>
  <c r="L3158" i="4" s="1"/>
  <c r="F3157" i="4"/>
  <c r="L3157" i="4" s="1"/>
  <c r="F3156" i="4"/>
  <c r="L3156" i="4" s="1"/>
  <c r="F3155" i="4"/>
  <c r="L3155" i="4" s="1"/>
  <c r="F3154" i="4"/>
  <c r="L3154" i="4" s="1"/>
  <c r="F3153" i="4"/>
  <c r="L3153" i="4" s="1"/>
  <c r="F3152" i="4"/>
  <c r="L3152" i="4" s="1"/>
  <c r="F3151" i="4"/>
  <c r="L3151" i="4" s="1"/>
  <c r="F3150" i="4"/>
  <c r="L3150" i="4" s="1"/>
  <c r="F3149" i="4"/>
  <c r="L3149" i="4" s="1"/>
  <c r="F3148" i="4"/>
  <c r="L3148" i="4" s="1"/>
  <c r="F3147" i="4"/>
  <c r="L3147" i="4" s="1"/>
  <c r="F3146" i="4"/>
  <c r="L3146" i="4" s="1"/>
  <c r="F3145" i="4"/>
  <c r="L3145" i="4" s="1"/>
  <c r="F3144" i="4"/>
  <c r="L3144" i="4" s="1"/>
  <c r="F3143" i="4"/>
  <c r="L3143" i="4" s="1"/>
  <c r="F3142" i="4"/>
  <c r="L3142" i="4" s="1"/>
  <c r="F3141" i="4"/>
  <c r="L3141" i="4" s="1"/>
  <c r="F3140" i="4"/>
  <c r="L3140" i="4" s="1"/>
  <c r="F3139" i="4"/>
  <c r="L3139" i="4" s="1"/>
  <c r="F3138" i="4"/>
  <c r="L3138" i="4" s="1"/>
  <c r="F3137" i="4"/>
  <c r="L3137" i="4" s="1"/>
  <c r="F3136" i="4"/>
  <c r="L3136" i="4" s="1"/>
  <c r="F3135" i="4"/>
  <c r="L3135" i="4" s="1"/>
  <c r="F3134" i="4"/>
  <c r="L3134" i="4" s="1"/>
  <c r="F3133" i="4"/>
  <c r="L3133" i="4" s="1"/>
  <c r="F3132" i="4"/>
  <c r="L3132" i="4" s="1"/>
  <c r="F3131" i="4"/>
  <c r="L3131" i="4" s="1"/>
  <c r="F3130" i="4"/>
  <c r="L3130" i="4" s="1"/>
  <c r="F3129" i="4"/>
  <c r="L3129" i="4" s="1"/>
  <c r="F3128" i="4"/>
  <c r="L3128" i="4" s="1"/>
  <c r="F3127" i="4"/>
  <c r="L3127" i="4" s="1"/>
  <c r="F3126" i="4"/>
  <c r="L3126" i="4" s="1"/>
  <c r="F3125" i="4"/>
  <c r="L3125" i="4" s="1"/>
  <c r="F3124" i="4"/>
  <c r="L3124" i="4" s="1"/>
  <c r="F3123" i="4"/>
  <c r="L3123" i="4" s="1"/>
  <c r="F3122" i="4"/>
  <c r="L3122" i="4" s="1"/>
  <c r="F3121" i="4"/>
  <c r="L3121" i="4" s="1"/>
  <c r="F3120" i="4"/>
  <c r="L3120" i="4" s="1"/>
  <c r="F3119" i="4"/>
  <c r="L3119" i="4" s="1"/>
  <c r="F3118" i="4"/>
  <c r="L3118" i="4" s="1"/>
  <c r="F3117" i="4"/>
  <c r="L3117" i="4" s="1"/>
  <c r="F3116" i="4"/>
  <c r="L3116" i="4" s="1"/>
  <c r="F3115" i="4"/>
  <c r="L3115" i="4" s="1"/>
  <c r="F3114" i="4"/>
  <c r="L3114" i="4" s="1"/>
  <c r="F3113" i="4"/>
  <c r="L3113" i="4" s="1"/>
  <c r="F3112" i="4"/>
  <c r="L3112" i="4" s="1"/>
  <c r="F3111" i="4"/>
  <c r="L3111" i="4" s="1"/>
  <c r="F3110" i="4"/>
  <c r="L3110" i="4" s="1"/>
  <c r="F3109" i="4"/>
  <c r="L3109" i="4" s="1"/>
  <c r="F3108" i="4"/>
  <c r="L3108" i="4" s="1"/>
  <c r="F3107" i="4"/>
  <c r="L3107" i="4" s="1"/>
  <c r="F3106" i="4"/>
  <c r="L3106" i="4" s="1"/>
  <c r="F3105" i="4"/>
  <c r="L3105" i="4" s="1"/>
  <c r="F3104" i="4"/>
  <c r="L3104" i="4" s="1"/>
  <c r="F3103" i="4"/>
  <c r="L3103" i="4" s="1"/>
  <c r="F3102" i="4"/>
  <c r="L3102" i="4" s="1"/>
  <c r="F3101" i="4"/>
  <c r="L3101" i="4" s="1"/>
  <c r="F3100" i="4"/>
  <c r="L3100" i="4" s="1"/>
  <c r="F3099" i="4"/>
  <c r="L3099" i="4" s="1"/>
  <c r="F3098" i="4"/>
  <c r="L3098" i="4" s="1"/>
  <c r="F3097" i="4"/>
  <c r="L3097" i="4" s="1"/>
  <c r="F3096" i="4"/>
  <c r="L3096" i="4" s="1"/>
  <c r="F3095" i="4"/>
  <c r="L3095" i="4" s="1"/>
  <c r="F3094" i="4"/>
  <c r="L3094" i="4" s="1"/>
  <c r="F3093" i="4"/>
  <c r="L3093" i="4" s="1"/>
  <c r="F3092" i="4"/>
  <c r="L3092" i="4" s="1"/>
  <c r="F3091" i="4"/>
  <c r="L3091" i="4" s="1"/>
  <c r="F3090" i="4"/>
  <c r="L3090" i="4" s="1"/>
  <c r="F3089" i="4"/>
  <c r="L3089" i="4" s="1"/>
  <c r="F3088" i="4"/>
  <c r="L3088" i="4" s="1"/>
  <c r="F3087" i="4"/>
  <c r="L3087" i="4" s="1"/>
  <c r="F3086" i="4"/>
  <c r="L3086" i="4" s="1"/>
  <c r="F3085" i="4"/>
  <c r="L3085" i="4" s="1"/>
  <c r="F3084" i="4"/>
  <c r="L3084" i="4" s="1"/>
  <c r="F3083" i="4"/>
  <c r="L3083" i="4" s="1"/>
  <c r="F3082" i="4"/>
  <c r="L3082" i="4" s="1"/>
  <c r="F3081" i="4"/>
  <c r="L3081" i="4" s="1"/>
  <c r="F3080" i="4"/>
  <c r="L3080" i="4" s="1"/>
  <c r="F3079" i="4"/>
  <c r="L3079" i="4" s="1"/>
  <c r="F3078" i="4"/>
  <c r="L3078" i="4" s="1"/>
  <c r="F3077" i="4"/>
  <c r="L3077" i="4" s="1"/>
  <c r="F3076" i="4"/>
  <c r="L3076" i="4" s="1"/>
  <c r="F3075" i="4"/>
  <c r="L3075" i="4" s="1"/>
  <c r="F3074" i="4"/>
  <c r="L3074" i="4" s="1"/>
  <c r="F3073" i="4"/>
  <c r="L3073" i="4" s="1"/>
  <c r="F3072" i="4"/>
  <c r="L3072" i="4" s="1"/>
  <c r="F3071" i="4"/>
  <c r="L3071" i="4" s="1"/>
  <c r="F3070" i="4"/>
  <c r="L3070" i="4" s="1"/>
  <c r="F3069" i="4"/>
  <c r="L3069" i="4" s="1"/>
  <c r="F3068" i="4"/>
  <c r="L3068" i="4" s="1"/>
  <c r="F3067" i="4"/>
  <c r="L3067" i="4" s="1"/>
  <c r="F3066" i="4"/>
  <c r="L3066" i="4" s="1"/>
  <c r="F3065" i="4"/>
  <c r="L3065" i="4" s="1"/>
  <c r="F3064" i="4"/>
  <c r="L3064" i="4" s="1"/>
  <c r="F3063" i="4"/>
  <c r="L3063" i="4" s="1"/>
  <c r="F3062" i="4"/>
  <c r="L3062" i="4" s="1"/>
  <c r="F3061" i="4"/>
  <c r="L3061" i="4" s="1"/>
  <c r="F3060" i="4"/>
  <c r="L3060" i="4" s="1"/>
  <c r="F3059" i="4"/>
  <c r="L3059" i="4" s="1"/>
  <c r="F3058" i="4"/>
  <c r="L3058" i="4" s="1"/>
  <c r="F3057" i="4"/>
  <c r="L3057" i="4" s="1"/>
  <c r="F3056" i="4"/>
  <c r="L3056" i="4" s="1"/>
  <c r="F3055" i="4"/>
  <c r="L3055" i="4" s="1"/>
  <c r="F3054" i="4"/>
  <c r="L3054" i="4" s="1"/>
  <c r="F3053" i="4"/>
  <c r="L3053" i="4" s="1"/>
  <c r="F3052" i="4"/>
  <c r="L3052" i="4" s="1"/>
  <c r="F3051" i="4"/>
  <c r="L3051" i="4" s="1"/>
  <c r="F3050" i="4"/>
  <c r="L3050" i="4" s="1"/>
  <c r="F3049" i="4"/>
  <c r="L3049" i="4" s="1"/>
  <c r="F3048" i="4"/>
  <c r="L3048" i="4" s="1"/>
  <c r="F3047" i="4"/>
  <c r="L3047" i="4" s="1"/>
  <c r="F3046" i="4"/>
  <c r="L3046" i="4" s="1"/>
  <c r="F3045" i="4"/>
  <c r="L3045" i="4" s="1"/>
  <c r="F3044" i="4"/>
  <c r="L3044" i="4" s="1"/>
  <c r="F3043" i="4"/>
  <c r="L3043" i="4" s="1"/>
  <c r="F3042" i="4"/>
  <c r="L3042" i="4" s="1"/>
  <c r="F3041" i="4"/>
  <c r="L3041" i="4" s="1"/>
  <c r="F3040" i="4"/>
  <c r="L3040" i="4" s="1"/>
  <c r="F3039" i="4"/>
  <c r="L3039" i="4" s="1"/>
  <c r="F3038" i="4"/>
  <c r="L3038" i="4" s="1"/>
  <c r="F3037" i="4"/>
  <c r="L3037" i="4" s="1"/>
  <c r="F3036" i="4"/>
  <c r="L3036" i="4" s="1"/>
  <c r="F3035" i="4"/>
  <c r="L3035" i="4" s="1"/>
  <c r="F3034" i="4"/>
  <c r="L3034" i="4" s="1"/>
  <c r="F3033" i="4"/>
  <c r="L3033" i="4" s="1"/>
  <c r="F3032" i="4"/>
  <c r="L3032" i="4" s="1"/>
  <c r="F3031" i="4"/>
  <c r="L3031" i="4" s="1"/>
  <c r="F3030" i="4"/>
  <c r="L3030" i="4" s="1"/>
  <c r="F3029" i="4"/>
  <c r="L3029" i="4" s="1"/>
  <c r="F3028" i="4"/>
  <c r="L3028" i="4" s="1"/>
  <c r="F3027" i="4"/>
  <c r="L3027" i="4" s="1"/>
  <c r="F3026" i="4"/>
  <c r="L3026" i="4" s="1"/>
  <c r="F3025" i="4"/>
  <c r="L3025" i="4" s="1"/>
  <c r="F3024" i="4"/>
  <c r="L3024" i="4" s="1"/>
  <c r="F3023" i="4"/>
  <c r="L3023" i="4" s="1"/>
  <c r="F3022" i="4"/>
  <c r="L3022" i="4" s="1"/>
  <c r="F3021" i="4"/>
  <c r="L3021" i="4" s="1"/>
  <c r="F3020" i="4"/>
  <c r="L3020" i="4" s="1"/>
  <c r="F3019" i="4"/>
  <c r="L3019" i="4" s="1"/>
  <c r="F3018" i="4"/>
  <c r="L3018" i="4" s="1"/>
  <c r="F3017" i="4"/>
  <c r="L3017" i="4" s="1"/>
  <c r="F3016" i="4"/>
  <c r="L3016" i="4" s="1"/>
  <c r="F3015" i="4"/>
  <c r="L3015" i="4" s="1"/>
  <c r="F3014" i="4"/>
  <c r="L3014" i="4" s="1"/>
  <c r="F3013" i="4"/>
  <c r="L3013" i="4" s="1"/>
  <c r="F3012" i="4"/>
  <c r="L3012" i="4" s="1"/>
  <c r="F3011" i="4"/>
  <c r="L3011" i="4" s="1"/>
  <c r="F3010" i="4"/>
  <c r="L3010" i="4" s="1"/>
  <c r="F3009" i="4"/>
  <c r="L3009" i="4" s="1"/>
  <c r="F3008" i="4"/>
  <c r="L3008" i="4" s="1"/>
  <c r="F3007" i="4"/>
  <c r="L3007" i="4" s="1"/>
  <c r="F3006" i="4"/>
  <c r="L3006" i="4" s="1"/>
  <c r="F3005" i="4"/>
  <c r="L3005" i="4" s="1"/>
  <c r="F3004" i="4"/>
  <c r="L3004" i="4" s="1"/>
  <c r="F3003" i="4"/>
  <c r="L3003" i="4" s="1"/>
  <c r="F3002" i="4"/>
  <c r="L3002" i="4" s="1"/>
  <c r="F3001" i="4"/>
  <c r="L3001" i="4" s="1"/>
  <c r="F3000" i="4"/>
  <c r="L3000" i="4" s="1"/>
  <c r="F2999" i="4"/>
  <c r="L2999" i="4" s="1"/>
  <c r="F2998" i="4"/>
  <c r="L2998" i="4" s="1"/>
  <c r="F2997" i="4"/>
  <c r="L2997" i="4" s="1"/>
  <c r="F2996" i="4"/>
  <c r="L2996" i="4" s="1"/>
  <c r="F2995" i="4"/>
  <c r="L2995" i="4" s="1"/>
  <c r="F2994" i="4"/>
  <c r="L2994" i="4" s="1"/>
  <c r="F2993" i="4"/>
  <c r="L2993" i="4" s="1"/>
  <c r="F2992" i="4"/>
  <c r="L2992" i="4" s="1"/>
  <c r="F2991" i="4"/>
  <c r="L2991" i="4" s="1"/>
  <c r="F2990" i="4"/>
  <c r="L2990" i="4" s="1"/>
  <c r="F2989" i="4"/>
  <c r="L2989" i="4" s="1"/>
  <c r="F2988" i="4"/>
  <c r="L2988" i="4" s="1"/>
  <c r="F2987" i="4"/>
  <c r="L2987" i="4" s="1"/>
  <c r="F2986" i="4"/>
  <c r="L2986" i="4" s="1"/>
  <c r="F2985" i="4"/>
  <c r="L2985" i="4" s="1"/>
  <c r="F2984" i="4"/>
  <c r="L2984" i="4" s="1"/>
  <c r="F2983" i="4"/>
  <c r="L2983" i="4" s="1"/>
  <c r="F2982" i="4"/>
  <c r="L2982" i="4" s="1"/>
  <c r="F2981" i="4"/>
  <c r="L2981" i="4" s="1"/>
  <c r="F2980" i="4"/>
  <c r="L2980" i="4" s="1"/>
  <c r="F2979" i="4"/>
  <c r="L2979" i="4" s="1"/>
  <c r="F2978" i="4"/>
  <c r="L2978" i="4" s="1"/>
  <c r="F2977" i="4"/>
  <c r="L2977" i="4" s="1"/>
  <c r="F2976" i="4"/>
  <c r="L2976" i="4" s="1"/>
  <c r="F2975" i="4"/>
  <c r="L2975" i="4" s="1"/>
  <c r="F2974" i="4"/>
  <c r="L2974" i="4" s="1"/>
  <c r="F2973" i="4"/>
  <c r="L2973" i="4" s="1"/>
  <c r="F2972" i="4"/>
  <c r="L2972" i="4" s="1"/>
  <c r="F2971" i="4"/>
  <c r="L2971" i="4" s="1"/>
  <c r="F2970" i="4"/>
  <c r="L2970" i="4" s="1"/>
  <c r="F2969" i="4"/>
  <c r="L2969" i="4" s="1"/>
  <c r="F2968" i="4"/>
  <c r="L2968" i="4" s="1"/>
  <c r="F2967" i="4"/>
  <c r="L2967" i="4" s="1"/>
  <c r="F2966" i="4"/>
  <c r="L2966" i="4" s="1"/>
  <c r="F2965" i="4"/>
  <c r="L2965" i="4" s="1"/>
  <c r="F2964" i="4"/>
  <c r="L2964" i="4" s="1"/>
  <c r="F2963" i="4"/>
  <c r="L2963" i="4" s="1"/>
  <c r="F2962" i="4"/>
  <c r="L2962" i="4" s="1"/>
  <c r="F2961" i="4"/>
  <c r="L2961" i="4" s="1"/>
  <c r="F2960" i="4"/>
  <c r="L2960" i="4" s="1"/>
  <c r="F2959" i="4"/>
  <c r="L2959" i="4" s="1"/>
  <c r="F2958" i="4"/>
  <c r="L2958" i="4" s="1"/>
  <c r="F2957" i="4"/>
  <c r="L2957" i="4" s="1"/>
  <c r="F2956" i="4"/>
  <c r="L2956" i="4" s="1"/>
  <c r="F2955" i="4"/>
  <c r="L2955" i="4" s="1"/>
  <c r="F2954" i="4"/>
  <c r="L2954" i="4" s="1"/>
  <c r="F2953" i="4"/>
  <c r="L2953" i="4" s="1"/>
  <c r="F2952" i="4"/>
  <c r="L2952" i="4" s="1"/>
  <c r="F2951" i="4"/>
  <c r="L2951" i="4" s="1"/>
  <c r="F2950" i="4"/>
  <c r="L2950" i="4" s="1"/>
  <c r="F2949" i="4"/>
  <c r="L2949" i="4" s="1"/>
  <c r="F2948" i="4"/>
  <c r="L2948" i="4" s="1"/>
  <c r="F2947" i="4"/>
  <c r="L2947" i="4" s="1"/>
  <c r="F2946" i="4"/>
  <c r="L2946" i="4" s="1"/>
  <c r="F2945" i="4"/>
  <c r="L2945" i="4" s="1"/>
  <c r="F2944" i="4"/>
  <c r="L2944" i="4" s="1"/>
  <c r="F2943" i="4"/>
  <c r="L2943" i="4" s="1"/>
  <c r="F2942" i="4"/>
  <c r="L2942" i="4" s="1"/>
  <c r="F2941" i="4"/>
  <c r="L2941" i="4" s="1"/>
  <c r="F2940" i="4"/>
  <c r="L2940" i="4" s="1"/>
  <c r="F2939" i="4"/>
  <c r="L2939" i="4" s="1"/>
  <c r="F2938" i="4"/>
  <c r="L2938" i="4" s="1"/>
  <c r="F2937" i="4"/>
  <c r="L2937" i="4" s="1"/>
  <c r="F2936" i="4"/>
  <c r="L2936" i="4" s="1"/>
  <c r="F2935" i="4"/>
  <c r="L2935" i="4" s="1"/>
  <c r="F2934" i="4"/>
  <c r="L2934" i="4" s="1"/>
  <c r="F2933" i="4"/>
  <c r="L2933" i="4" s="1"/>
  <c r="F2932" i="4"/>
  <c r="L2932" i="4" s="1"/>
  <c r="F2931" i="4"/>
  <c r="L2931" i="4" s="1"/>
  <c r="F2930" i="4"/>
  <c r="L2930" i="4" s="1"/>
  <c r="F2929" i="4"/>
  <c r="L2929" i="4" s="1"/>
  <c r="F2928" i="4"/>
  <c r="L2928" i="4" s="1"/>
  <c r="F2927" i="4"/>
  <c r="L2927" i="4" s="1"/>
  <c r="F2926" i="4"/>
  <c r="L2926" i="4" s="1"/>
  <c r="F2925" i="4"/>
  <c r="L2925" i="4" s="1"/>
  <c r="F2924" i="4"/>
  <c r="L2924" i="4" s="1"/>
  <c r="F2923" i="4"/>
  <c r="L2923" i="4" s="1"/>
  <c r="F2922" i="4"/>
  <c r="L2922" i="4" s="1"/>
  <c r="F2921" i="4"/>
  <c r="L2921" i="4" s="1"/>
  <c r="F2920" i="4"/>
  <c r="L2920" i="4" s="1"/>
  <c r="F2919" i="4"/>
  <c r="L2919" i="4" s="1"/>
  <c r="F2918" i="4"/>
  <c r="L2918" i="4" s="1"/>
  <c r="F2917" i="4"/>
  <c r="L2917" i="4" s="1"/>
  <c r="F2916" i="4"/>
  <c r="L2916" i="4" s="1"/>
  <c r="F2915" i="4"/>
  <c r="L2915" i="4" s="1"/>
  <c r="F2914" i="4"/>
  <c r="L2914" i="4" s="1"/>
  <c r="F2913" i="4"/>
  <c r="L2913" i="4" s="1"/>
  <c r="F2912" i="4"/>
  <c r="L2912" i="4" s="1"/>
  <c r="F2911" i="4"/>
  <c r="L2911" i="4" s="1"/>
  <c r="F2910" i="4"/>
  <c r="L2910" i="4" s="1"/>
  <c r="F2909" i="4"/>
  <c r="L2909" i="4" s="1"/>
  <c r="F2908" i="4"/>
  <c r="L2908" i="4" s="1"/>
  <c r="F2907" i="4"/>
  <c r="L2907" i="4" s="1"/>
  <c r="F2906" i="4"/>
  <c r="L2906" i="4" s="1"/>
  <c r="F2905" i="4"/>
  <c r="L2905" i="4" s="1"/>
  <c r="F2904" i="4"/>
  <c r="L2904" i="4" s="1"/>
  <c r="F2903" i="4"/>
  <c r="L2903" i="4" s="1"/>
  <c r="F2902" i="4"/>
  <c r="L2902" i="4" s="1"/>
  <c r="F2901" i="4"/>
  <c r="L2901" i="4" s="1"/>
  <c r="F2900" i="4"/>
  <c r="L2900" i="4" s="1"/>
  <c r="F2899" i="4"/>
  <c r="L2899" i="4" s="1"/>
  <c r="F2898" i="4"/>
  <c r="L2898" i="4" s="1"/>
  <c r="F2897" i="4"/>
  <c r="L2897" i="4" s="1"/>
  <c r="F2896" i="4"/>
  <c r="L2896" i="4" s="1"/>
  <c r="F2895" i="4"/>
  <c r="L2895" i="4" s="1"/>
  <c r="F2894" i="4"/>
  <c r="L2894" i="4" s="1"/>
  <c r="F2893" i="4"/>
  <c r="L2893" i="4" s="1"/>
  <c r="F2892" i="4"/>
  <c r="L2892" i="4" s="1"/>
  <c r="F2891" i="4"/>
  <c r="L2891" i="4" s="1"/>
  <c r="F2890" i="4"/>
  <c r="L2890" i="4" s="1"/>
  <c r="F2889" i="4"/>
  <c r="L2889" i="4" s="1"/>
  <c r="F2888" i="4"/>
  <c r="L2888" i="4" s="1"/>
  <c r="F2887" i="4"/>
  <c r="L2887" i="4" s="1"/>
  <c r="F2886" i="4"/>
  <c r="L2886" i="4" s="1"/>
  <c r="F2885" i="4"/>
  <c r="L2885" i="4" s="1"/>
  <c r="F2884" i="4"/>
  <c r="L2884" i="4" s="1"/>
  <c r="F2883" i="4"/>
  <c r="L2883" i="4" s="1"/>
  <c r="F2882" i="4"/>
  <c r="L2882" i="4" s="1"/>
  <c r="F2881" i="4"/>
  <c r="L2881" i="4" s="1"/>
  <c r="F2880" i="4"/>
  <c r="L2880" i="4" s="1"/>
  <c r="F2879" i="4"/>
  <c r="L2879" i="4" s="1"/>
  <c r="F2878" i="4"/>
  <c r="L2878" i="4" s="1"/>
  <c r="F2877" i="4"/>
  <c r="L2877" i="4" s="1"/>
  <c r="F2876" i="4"/>
  <c r="L2876" i="4" s="1"/>
  <c r="F2875" i="4"/>
  <c r="L2875" i="4" s="1"/>
  <c r="F2874" i="4"/>
  <c r="L2874" i="4" s="1"/>
  <c r="F2873" i="4"/>
  <c r="L2873" i="4" s="1"/>
  <c r="F2872" i="4"/>
  <c r="L2872" i="4" s="1"/>
  <c r="F2871" i="4"/>
  <c r="L2871" i="4" s="1"/>
  <c r="F2870" i="4"/>
  <c r="L2870" i="4" s="1"/>
  <c r="F2869" i="4"/>
  <c r="L2869" i="4" s="1"/>
  <c r="F2868" i="4"/>
  <c r="L2868" i="4" s="1"/>
  <c r="F2867" i="4"/>
  <c r="L2867" i="4" s="1"/>
  <c r="F2866" i="4"/>
  <c r="L2866" i="4" s="1"/>
  <c r="F2865" i="4"/>
  <c r="L2865" i="4" s="1"/>
  <c r="F2864" i="4"/>
  <c r="L2864" i="4" s="1"/>
  <c r="F2863" i="4"/>
  <c r="L2863" i="4" s="1"/>
  <c r="F2862" i="4"/>
  <c r="L2862" i="4" s="1"/>
  <c r="F2861" i="4"/>
  <c r="L2861" i="4" s="1"/>
  <c r="F2860" i="4"/>
  <c r="L2860" i="4" s="1"/>
  <c r="F2859" i="4"/>
  <c r="L2859" i="4" s="1"/>
  <c r="F2858" i="4"/>
  <c r="L2858" i="4" s="1"/>
  <c r="F2857" i="4"/>
  <c r="L2857" i="4" s="1"/>
  <c r="F2856" i="4"/>
  <c r="L2856" i="4" s="1"/>
  <c r="F2855" i="4"/>
  <c r="L2855" i="4" s="1"/>
  <c r="F2854" i="4"/>
  <c r="L2854" i="4" s="1"/>
  <c r="F2853" i="4"/>
  <c r="L2853" i="4" s="1"/>
  <c r="F2852" i="4"/>
  <c r="L2852" i="4" s="1"/>
  <c r="F2851" i="4"/>
  <c r="L2851" i="4" s="1"/>
  <c r="F2850" i="4"/>
  <c r="L2850" i="4" s="1"/>
  <c r="F2849" i="4"/>
  <c r="L2849" i="4" s="1"/>
  <c r="F2848" i="4"/>
  <c r="L2848" i="4" s="1"/>
  <c r="F2847" i="4"/>
  <c r="L2847" i="4" s="1"/>
  <c r="F2846" i="4"/>
  <c r="L2846" i="4" s="1"/>
  <c r="F2845" i="4"/>
  <c r="L2845" i="4" s="1"/>
  <c r="F2844" i="4"/>
  <c r="L2844" i="4" s="1"/>
  <c r="F2843" i="4"/>
  <c r="L2843" i="4" s="1"/>
  <c r="F2842" i="4"/>
  <c r="L2842" i="4" s="1"/>
  <c r="F2841" i="4"/>
  <c r="L2841" i="4" s="1"/>
  <c r="F2840" i="4"/>
  <c r="L2840" i="4" s="1"/>
  <c r="F2839" i="4"/>
  <c r="L2839" i="4" s="1"/>
  <c r="F2838" i="4"/>
  <c r="L2838" i="4" s="1"/>
  <c r="F2837" i="4"/>
  <c r="L2837" i="4" s="1"/>
  <c r="F2836" i="4"/>
  <c r="L2836" i="4" s="1"/>
  <c r="F2835" i="4"/>
  <c r="L2835" i="4" s="1"/>
  <c r="F2834" i="4"/>
  <c r="L2834" i="4" s="1"/>
  <c r="F2833" i="4"/>
  <c r="L2833" i="4" s="1"/>
  <c r="F2832" i="4"/>
  <c r="L2832" i="4" s="1"/>
  <c r="F2831" i="4"/>
  <c r="L2831" i="4" s="1"/>
  <c r="F2830" i="4"/>
  <c r="L2830" i="4" s="1"/>
  <c r="F2829" i="4"/>
  <c r="L2829" i="4" s="1"/>
  <c r="F2828" i="4"/>
  <c r="L2828" i="4" s="1"/>
  <c r="F2827" i="4"/>
  <c r="L2827" i="4" s="1"/>
  <c r="F2826" i="4"/>
  <c r="L2826" i="4" s="1"/>
  <c r="F2825" i="4"/>
  <c r="L2825" i="4" s="1"/>
  <c r="F2824" i="4"/>
  <c r="L2824" i="4" s="1"/>
  <c r="F2823" i="4"/>
  <c r="L2823" i="4" s="1"/>
  <c r="F2822" i="4"/>
  <c r="L2822" i="4" s="1"/>
  <c r="F2821" i="4"/>
  <c r="L2821" i="4" s="1"/>
  <c r="F2820" i="4"/>
  <c r="L2820" i="4" s="1"/>
  <c r="F2819" i="4"/>
  <c r="L2819" i="4" s="1"/>
  <c r="F2818" i="4"/>
  <c r="L2818" i="4" s="1"/>
  <c r="F2817" i="4"/>
  <c r="L2817" i="4" s="1"/>
  <c r="F2816" i="4"/>
  <c r="L2816" i="4" s="1"/>
  <c r="F2815" i="4"/>
  <c r="L2815" i="4" s="1"/>
  <c r="F2814" i="4"/>
  <c r="L2814" i="4" s="1"/>
  <c r="F2813" i="4"/>
  <c r="L2813" i="4" s="1"/>
  <c r="F2812" i="4"/>
  <c r="L2812" i="4" s="1"/>
  <c r="F2811" i="4"/>
  <c r="L2811" i="4" s="1"/>
  <c r="F2810" i="4"/>
  <c r="L2810" i="4" s="1"/>
  <c r="F2809" i="4"/>
  <c r="L2809" i="4" s="1"/>
  <c r="F2808" i="4"/>
  <c r="L2808" i="4" s="1"/>
  <c r="F2807" i="4"/>
  <c r="L2807" i="4" s="1"/>
  <c r="F2806" i="4"/>
  <c r="L2806" i="4" s="1"/>
  <c r="F2805" i="4"/>
  <c r="L2805" i="4" s="1"/>
  <c r="F2804" i="4"/>
  <c r="L2804" i="4" s="1"/>
  <c r="F2803" i="4"/>
  <c r="L2803" i="4" s="1"/>
  <c r="F2802" i="4"/>
  <c r="L2802" i="4" s="1"/>
  <c r="F2801" i="4"/>
  <c r="L2801" i="4" s="1"/>
  <c r="F2800" i="4"/>
  <c r="L2800" i="4" s="1"/>
  <c r="F2799" i="4"/>
  <c r="L2799" i="4" s="1"/>
  <c r="F2798" i="4"/>
  <c r="L2798" i="4" s="1"/>
  <c r="F2797" i="4"/>
  <c r="L2797" i="4" s="1"/>
  <c r="F2796" i="4"/>
  <c r="L2796" i="4" s="1"/>
  <c r="F2795" i="4"/>
  <c r="L2795" i="4" s="1"/>
  <c r="F2794" i="4"/>
  <c r="L2794" i="4" s="1"/>
  <c r="F2793" i="4"/>
  <c r="L2793" i="4" s="1"/>
  <c r="F2792" i="4"/>
  <c r="L2792" i="4" s="1"/>
  <c r="F2791" i="4"/>
  <c r="L2791" i="4" s="1"/>
  <c r="F2790" i="4"/>
  <c r="L2790" i="4" s="1"/>
  <c r="F2789" i="4"/>
  <c r="L2789" i="4" s="1"/>
  <c r="F2788" i="4"/>
  <c r="L2788" i="4" s="1"/>
  <c r="F2787" i="4"/>
  <c r="L2787" i="4" s="1"/>
  <c r="F2786" i="4"/>
  <c r="L2786" i="4" s="1"/>
  <c r="F2785" i="4"/>
  <c r="L2785" i="4" s="1"/>
  <c r="F2784" i="4"/>
  <c r="L2784" i="4" s="1"/>
  <c r="F2783" i="4"/>
  <c r="L2783" i="4" s="1"/>
  <c r="F2782" i="4"/>
  <c r="L2782" i="4" s="1"/>
  <c r="F2781" i="4"/>
  <c r="L2781" i="4" s="1"/>
  <c r="F2780" i="4"/>
  <c r="L2780" i="4" s="1"/>
  <c r="F2779" i="4"/>
  <c r="L2779" i="4" s="1"/>
  <c r="F2778" i="4"/>
  <c r="L2778" i="4" s="1"/>
  <c r="F2777" i="4"/>
  <c r="L2777" i="4" s="1"/>
  <c r="F2776" i="4"/>
  <c r="L2776" i="4" s="1"/>
  <c r="F2775" i="4"/>
  <c r="L2775" i="4" s="1"/>
  <c r="F2774" i="4"/>
  <c r="L2774" i="4" s="1"/>
  <c r="F2773" i="4"/>
  <c r="L2773" i="4" s="1"/>
  <c r="F2772" i="4"/>
  <c r="L2772" i="4" s="1"/>
  <c r="F2771" i="4"/>
  <c r="L2771" i="4" s="1"/>
  <c r="F2770" i="4"/>
  <c r="L2770" i="4" s="1"/>
  <c r="F2769" i="4"/>
  <c r="L2769" i="4" s="1"/>
  <c r="F2768" i="4"/>
  <c r="L2768" i="4" s="1"/>
  <c r="F2767" i="4"/>
  <c r="L2767" i="4" s="1"/>
  <c r="F2766" i="4"/>
  <c r="L2766" i="4" s="1"/>
  <c r="F2765" i="4"/>
  <c r="L2765" i="4" s="1"/>
  <c r="F2764" i="4"/>
  <c r="L2764" i="4" s="1"/>
  <c r="F2763" i="4"/>
  <c r="L2763" i="4" s="1"/>
  <c r="F2762" i="4"/>
  <c r="L2762" i="4" s="1"/>
  <c r="F2761" i="4"/>
  <c r="L2761" i="4" s="1"/>
  <c r="F2760" i="4"/>
  <c r="L2760" i="4" s="1"/>
  <c r="F2759" i="4"/>
  <c r="L2759" i="4" s="1"/>
  <c r="F2758" i="4"/>
  <c r="L2758" i="4" s="1"/>
  <c r="F2757" i="4"/>
  <c r="L2757" i="4" s="1"/>
  <c r="F2756" i="4"/>
  <c r="L2756" i="4" s="1"/>
  <c r="F2755" i="4"/>
  <c r="L2755" i="4" s="1"/>
  <c r="F2754" i="4"/>
  <c r="L2754" i="4" s="1"/>
  <c r="F2753" i="4"/>
  <c r="L2753" i="4" s="1"/>
  <c r="F2752" i="4"/>
  <c r="L2752" i="4" s="1"/>
  <c r="F2751" i="4"/>
  <c r="L2751" i="4" s="1"/>
  <c r="F2750" i="4"/>
  <c r="L2750" i="4" s="1"/>
  <c r="F2749" i="4"/>
  <c r="L2749" i="4" s="1"/>
  <c r="F2748" i="4"/>
  <c r="L2748" i="4" s="1"/>
  <c r="F2747" i="4"/>
  <c r="L2747" i="4" s="1"/>
  <c r="F2746" i="4"/>
  <c r="L2746" i="4" s="1"/>
  <c r="F2745" i="4"/>
  <c r="L2745" i="4" s="1"/>
  <c r="F2744" i="4"/>
  <c r="L2744" i="4" s="1"/>
  <c r="F2743" i="4"/>
  <c r="L2743" i="4" s="1"/>
  <c r="F2742" i="4"/>
  <c r="L2742" i="4" s="1"/>
  <c r="F2741" i="4"/>
  <c r="L2741" i="4" s="1"/>
  <c r="F2740" i="4"/>
  <c r="L2740" i="4" s="1"/>
  <c r="F2739" i="4"/>
  <c r="L2739" i="4" s="1"/>
  <c r="F2738" i="4"/>
  <c r="L2738" i="4" s="1"/>
  <c r="F2737" i="4"/>
  <c r="L2737" i="4" s="1"/>
  <c r="F2736" i="4"/>
  <c r="L2736" i="4" s="1"/>
  <c r="F2735" i="4"/>
  <c r="L2735" i="4" s="1"/>
  <c r="F2734" i="4"/>
  <c r="L2734" i="4" s="1"/>
  <c r="F2733" i="4"/>
  <c r="L2733" i="4" s="1"/>
  <c r="F2732" i="4"/>
  <c r="L2732" i="4" s="1"/>
  <c r="F2731" i="4"/>
  <c r="L2731" i="4" s="1"/>
  <c r="F2730" i="4"/>
  <c r="L2730" i="4" s="1"/>
  <c r="F2729" i="4"/>
  <c r="L2729" i="4" s="1"/>
  <c r="F2728" i="4"/>
  <c r="L2728" i="4" s="1"/>
  <c r="F2727" i="4"/>
  <c r="L2727" i="4" s="1"/>
  <c r="F2726" i="4"/>
  <c r="L2726" i="4" s="1"/>
  <c r="F2725" i="4"/>
  <c r="L2725" i="4" s="1"/>
  <c r="F2724" i="4"/>
  <c r="L2724" i="4" s="1"/>
  <c r="F2723" i="4"/>
  <c r="L2723" i="4" s="1"/>
  <c r="F2722" i="4"/>
  <c r="L2722" i="4" s="1"/>
  <c r="F2721" i="4"/>
  <c r="L2721" i="4" s="1"/>
  <c r="F2720" i="4"/>
  <c r="L2720" i="4" s="1"/>
  <c r="F2719" i="4"/>
  <c r="L2719" i="4" s="1"/>
  <c r="F2718" i="4"/>
  <c r="L2718" i="4" s="1"/>
  <c r="F2717" i="4"/>
  <c r="L2717" i="4" s="1"/>
  <c r="F2716" i="4"/>
  <c r="L2716" i="4" s="1"/>
  <c r="F2715" i="4"/>
  <c r="L2715" i="4" s="1"/>
  <c r="F2714" i="4"/>
  <c r="L2714" i="4" s="1"/>
  <c r="F2713" i="4"/>
  <c r="L2713" i="4" s="1"/>
  <c r="F2712" i="4"/>
  <c r="L2712" i="4" s="1"/>
  <c r="F2711" i="4"/>
  <c r="L2711" i="4" s="1"/>
  <c r="F2710" i="4"/>
  <c r="L2710" i="4" s="1"/>
  <c r="F2709" i="4"/>
  <c r="L2709" i="4" s="1"/>
  <c r="F2708" i="4"/>
  <c r="L2708" i="4" s="1"/>
  <c r="F2707" i="4"/>
  <c r="L2707" i="4" s="1"/>
  <c r="F2706" i="4"/>
  <c r="L2706" i="4" s="1"/>
  <c r="F2705" i="4"/>
  <c r="L2705" i="4" s="1"/>
  <c r="F2704" i="4"/>
  <c r="L2704" i="4" s="1"/>
  <c r="F2703" i="4"/>
  <c r="L2703" i="4" s="1"/>
  <c r="F2702" i="4"/>
  <c r="L2702" i="4" s="1"/>
  <c r="F2701" i="4"/>
  <c r="L2701" i="4" s="1"/>
  <c r="F2700" i="4"/>
  <c r="L2700" i="4" s="1"/>
  <c r="F2699" i="4"/>
  <c r="L2699" i="4" s="1"/>
  <c r="F2698" i="4"/>
  <c r="L2698" i="4" s="1"/>
  <c r="F2697" i="4"/>
  <c r="L2697" i="4" s="1"/>
  <c r="F2696" i="4"/>
  <c r="L2696" i="4" s="1"/>
  <c r="F2695" i="4"/>
  <c r="L2695" i="4" s="1"/>
  <c r="F2694" i="4"/>
  <c r="L2694" i="4" s="1"/>
  <c r="F2693" i="4"/>
  <c r="L2693" i="4" s="1"/>
  <c r="F2692" i="4"/>
  <c r="L2692" i="4" s="1"/>
  <c r="F2691" i="4"/>
  <c r="L2691" i="4" s="1"/>
  <c r="F2690" i="4"/>
  <c r="L2690" i="4" s="1"/>
  <c r="F2689" i="4"/>
  <c r="L2689" i="4" s="1"/>
  <c r="F2688" i="4"/>
  <c r="L2688" i="4" s="1"/>
  <c r="F2687" i="4"/>
  <c r="L2687" i="4" s="1"/>
  <c r="F2686" i="4"/>
  <c r="L2686" i="4" s="1"/>
  <c r="F2685" i="4"/>
  <c r="L2685" i="4" s="1"/>
  <c r="F2684" i="4"/>
  <c r="L2684" i="4" s="1"/>
  <c r="F2683" i="4"/>
  <c r="L2683" i="4" s="1"/>
  <c r="F2682" i="4"/>
  <c r="L2682" i="4" s="1"/>
  <c r="F2681" i="4"/>
  <c r="L2681" i="4" s="1"/>
  <c r="F2680" i="4"/>
  <c r="L2680" i="4" s="1"/>
  <c r="F2679" i="4"/>
  <c r="L2679" i="4" s="1"/>
  <c r="F2678" i="4"/>
  <c r="L2678" i="4" s="1"/>
  <c r="F2677" i="4"/>
  <c r="L2677" i="4" s="1"/>
  <c r="F2676" i="4"/>
  <c r="L2676" i="4" s="1"/>
  <c r="F2675" i="4"/>
  <c r="L2675" i="4" s="1"/>
  <c r="F2674" i="4"/>
  <c r="L2674" i="4" s="1"/>
  <c r="F2673" i="4"/>
  <c r="L2673" i="4" s="1"/>
  <c r="F2672" i="4"/>
  <c r="L2672" i="4" s="1"/>
  <c r="F2671" i="4"/>
  <c r="L2671" i="4" s="1"/>
  <c r="F2670" i="4"/>
  <c r="L2670" i="4" s="1"/>
  <c r="F2669" i="4"/>
  <c r="L2669" i="4" s="1"/>
  <c r="F2668" i="4"/>
  <c r="L2668" i="4" s="1"/>
  <c r="F2667" i="4"/>
  <c r="L2667" i="4" s="1"/>
  <c r="F2666" i="4"/>
  <c r="L2666" i="4" s="1"/>
  <c r="F2665" i="4"/>
  <c r="L2665" i="4" s="1"/>
  <c r="F2664" i="4"/>
  <c r="L2664" i="4" s="1"/>
  <c r="F2663" i="4"/>
  <c r="L2663" i="4" s="1"/>
  <c r="F2662" i="4"/>
  <c r="L2662" i="4" s="1"/>
  <c r="F2661" i="4"/>
  <c r="L2661" i="4" s="1"/>
  <c r="F2660" i="4"/>
  <c r="L2660" i="4" s="1"/>
  <c r="F2659" i="4"/>
  <c r="L2659" i="4" s="1"/>
  <c r="F2658" i="4"/>
  <c r="L2658" i="4" s="1"/>
  <c r="F2657" i="4"/>
  <c r="L2657" i="4" s="1"/>
  <c r="F2656" i="4"/>
  <c r="L2656" i="4" s="1"/>
  <c r="F2655" i="4"/>
  <c r="L2655" i="4" s="1"/>
  <c r="F2654" i="4"/>
  <c r="L2654" i="4" s="1"/>
  <c r="F2653" i="4"/>
  <c r="L2653" i="4" s="1"/>
  <c r="F2652" i="4"/>
  <c r="L2652" i="4" s="1"/>
  <c r="F2651" i="4"/>
  <c r="L2651" i="4" s="1"/>
  <c r="F2650" i="4"/>
  <c r="L2650" i="4" s="1"/>
  <c r="F2649" i="4"/>
  <c r="L2649" i="4" s="1"/>
  <c r="F2648" i="4"/>
  <c r="L2648" i="4" s="1"/>
  <c r="F2647" i="4"/>
  <c r="L2647" i="4" s="1"/>
  <c r="F2646" i="4"/>
  <c r="L2646" i="4" s="1"/>
  <c r="F2645" i="4"/>
  <c r="L2645" i="4" s="1"/>
  <c r="F2644" i="4"/>
  <c r="L2644" i="4" s="1"/>
  <c r="F2643" i="4"/>
  <c r="L2643" i="4" s="1"/>
  <c r="F2642" i="4"/>
  <c r="L2642" i="4" s="1"/>
  <c r="F2641" i="4"/>
  <c r="L2641" i="4" s="1"/>
  <c r="F2640" i="4"/>
  <c r="L2640" i="4" s="1"/>
  <c r="F2639" i="4"/>
  <c r="L2639" i="4" s="1"/>
  <c r="F2638" i="4"/>
  <c r="L2638" i="4" s="1"/>
  <c r="F2637" i="4"/>
  <c r="L2637" i="4" s="1"/>
  <c r="F2636" i="4"/>
  <c r="L2636" i="4" s="1"/>
  <c r="F2635" i="4"/>
  <c r="L2635" i="4" s="1"/>
  <c r="F2634" i="4"/>
  <c r="L2634" i="4" s="1"/>
  <c r="F2633" i="4"/>
  <c r="L2633" i="4" s="1"/>
  <c r="F2632" i="4"/>
  <c r="L2632" i="4" s="1"/>
  <c r="F2631" i="4"/>
  <c r="L2631" i="4" s="1"/>
  <c r="F2630" i="4"/>
  <c r="L2630" i="4" s="1"/>
  <c r="F2629" i="4"/>
  <c r="L2629" i="4" s="1"/>
  <c r="F2628" i="4"/>
  <c r="L2628" i="4" s="1"/>
  <c r="F2627" i="4"/>
  <c r="L2627" i="4" s="1"/>
  <c r="F2626" i="4"/>
  <c r="L2626" i="4" s="1"/>
  <c r="F2625" i="4"/>
  <c r="L2625" i="4" s="1"/>
  <c r="F2624" i="4"/>
  <c r="L2624" i="4" s="1"/>
  <c r="F2623" i="4"/>
  <c r="L2623" i="4" s="1"/>
  <c r="F2622" i="4"/>
  <c r="L2622" i="4" s="1"/>
  <c r="F2621" i="4"/>
  <c r="L2621" i="4" s="1"/>
  <c r="F2620" i="4"/>
  <c r="L2620" i="4" s="1"/>
  <c r="F2619" i="4"/>
  <c r="L2619" i="4" s="1"/>
  <c r="F2618" i="4"/>
  <c r="L2618" i="4" s="1"/>
  <c r="F2617" i="4"/>
  <c r="L2617" i="4" s="1"/>
  <c r="F2616" i="4"/>
  <c r="L2616" i="4" s="1"/>
  <c r="F2615" i="4"/>
  <c r="L2615" i="4" s="1"/>
  <c r="F2614" i="4"/>
  <c r="L2614" i="4" s="1"/>
  <c r="F2613" i="4"/>
  <c r="L2613" i="4" s="1"/>
  <c r="F2612" i="4"/>
  <c r="L2612" i="4" s="1"/>
  <c r="F2611" i="4"/>
  <c r="L2611" i="4" s="1"/>
  <c r="F2610" i="4"/>
  <c r="L2610" i="4" s="1"/>
  <c r="F2609" i="4"/>
  <c r="L2609" i="4" s="1"/>
  <c r="F2608" i="4"/>
  <c r="L2608" i="4" s="1"/>
  <c r="F2607" i="4"/>
  <c r="L2607" i="4" s="1"/>
  <c r="F2606" i="4"/>
  <c r="L2606" i="4" s="1"/>
  <c r="F2605" i="4"/>
  <c r="L2605" i="4" s="1"/>
  <c r="F2604" i="4"/>
  <c r="L2604" i="4" s="1"/>
  <c r="F2603" i="4"/>
  <c r="L2603" i="4" s="1"/>
  <c r="F2602" i="4"/>
  <c r="L2602" i="4" s="1"/>
  <c r="F2601" i="4"/>
  <c r="L2601" i="4" s="1"/>
  <c r="F2600" i="4"/>
  <c r="L2600" i="4" s="1"/>
  <c r="F2599" i="4"/>
  <c r="L2599" i="4" s="1"/>
  <c r="F2598" i="4"/>
  <c r="L2598" i="4" s="1"/>
  <c r="F2597" i="4"/>
  <c r="L2597" i="4" s="1"/>
  <c r="F2596" i="4"/>
  <c r="L2596" i="4" s="1"/>
  <c r="F2595" i="4"/>
  <c r="L2595" i="4" s="1"/>
  <c r="F2594" i="4"/>
  <c r="L2594" i="4" s="1"/>
  <c r="F2593" i="4"/>
  <c r="L2593" i="4" s="1"/>
  <c r="F2592" i="4"/>
  <c r="L2592" i="4" s="1"/>
  <c r="F2591" i="4"/>
  <c r="L2591" i="4" s="1"/>
  <c r="F2590" i="4"/>
  <c r="L2590" i="4" s="1"/>
  <c r="F2589" i="4"/>
  <c r="L2589" i="4" s="1"/>
  <c r="F2588" i="4"/>
  <c r="L2588" i="4" s="1"/>
  <c r="F2587" i="4"/>
  <c r="L2587" i="4" s="1"/>
  <c r="F2586" i="4"/>
  <c r="L2586" i="4" s="1"/>
  <c r="F2585" i="4"/>
  <c r="L2585" i="4" s="1"/>
  <c r="F2584" i="4"/>
  <c r="L2584" i="4" s="1"/>
  <c r="F2583" i="4"/>
  <c r="L2583" i="4" s="1"/>
  <c r="F2582" i="4"/>
  <c r="L2582" i="4" s="1"/>
  <c r="F2581" i="4"/>
  <c r="L2581" i="4" s="1"/>
  <c r="F2580" i="4"/>
  <c r="L2580" i="4" s="1"/>
  <c r="F2579" i="4"/>
  <c r="L2579" i="4" s="1"/>
  <c r="F2578" i="4"/>
  <c r="L2578" i="4" s="1"/>
  <c r="F2577" i="4"/>
  <c r="L2577" i="4" s="1"/>
  <c r="F2576" i="4"/>
  <c r="L2576" i="4" s="1"/>
  <c r="F2575" i="4"/>
  <c r="L2575" i="4" s="1"/>
  <c r="F2574" i="4"/>
  <c r="L2574" i="4" s="1"/>
  <c r="F2573" i="4"/>
  <c r="L2573" i="4" s="1"/>
  <c r="F2572" i="4"/>
  <c r="L2572" i="4" s="1"/>
  <c r="F2571" i="4"/>
  <c r="L2571" i="4" s="1"/>
  <c r="F2570" i="4"/>
  <c r="L2570" i="4" s="1"/>
  <c r="F2569" i="4"/>
  <c r="L2569" i="4" s="1"/>
  <c r="F2568" i="4"/>
  <c r="L2568" i="4" s="1"/>
  <c r="F2567" i="4"/>
  <c r="L2567" i="4" s="1"/>
  <c r="F2566" i="4"/>
  <c r="L2566" i="4" s="1"/>
  <c r="F2565" i="4"/>
  <c r="L2565" i="4" s="1"/>
  <c r="F2564" i="4"/>
  <c r="L2564" i="4" s="1"/>
  <c r="F2563" i="4"/>
  <c r="L2563" i="4" s="1"/>
  <c r="F2562" i="4"/>
  <c r="L2562" i="4" s="1"/>
  <c r="F2561" i="4"/>
  <c r="L2561" i="4" s="1"/>
  <c r="F2560" i="4"/>
  <c r="L2560" i="4" s="1"/>
  <c r="F2559" i="4"/>
  <c r="L2559" i="4" s="1"/>
  <c r="F2558" i="4"/>
  <c r="L2558" i="4" s="1"/>
  <c r="F2557" i="4"/>
  <c r="L2557" i="4" s="1"/>
  <c r="F2556" i="4"/>
  <c r="L2556" i="4" s="1"/>
  <c r="F2555" i="4"/>
  <c r="L2555" i="4" s="1"/>
  <c r="F2554" i="4"/>
  <c r="L2554" i="4" s="1"/>
  <c r="F2553" i="4"/>
  <c r="L2553" i="4" s="1"/>
  <c r="F2552" i="4"/>
  <c r="L2552" i="4" s="1"/>
  <c r="F2551" i="4"/>
  <c r="L2551" i="4" s="1"/>
  <c r="F2550" i="4"/>
  <c r="L2550" i="4" s="1"/>
  <c r="F2549" i="4"/>
  <c r="L2549" i="4" s="1"/>
  <c r="F2548" i="4"/>
  <c r="L2548" i="4" s="1"/>
  <c r="F2547" i="4"/>
  <c r="L2547" i="4" s="1"/>
  <c r="F2546" i="4"/>
  <c r="L2546" i="4" s="1"/>
  <c r="F2545" i="4"/>
  <c r="L2545" i="4" s="1"/>
  <c r="F2544" i="4"/>
  <c r="L2544" i="4" s="1"/>
  <c r="F2543" i="4"/>
  <c r="L2543" i="4" s="1"/>
  <c r="F2542" i="4"/>
  <c r="L2542" i="4" s="1"/>
  <c r="F2541" i="4"/>
  <c r="L2541" i="4" s="1"/>
  <c r="F2540" i="4"/>
  <c r="L2540" i="4" s="1"/>
  <c r="F2539" i="4"/>
  <c r="L2539" i="4" s="1"/>
  <c r="F2538" i="4"/>
  <c r="L2538" i="4" s="1"/>
  <c r="F2537" i="4"/>
  <c r="L2537" i="4" s="1"/>
  <c r="F2536" i="4"/>
  <c r="L2536" i="4" s="1"/>
  <c r="F2535" i="4"/>
  <c r="L2535" i="4" s="1"/>
  <c r="F2534" i="4"/>
  <c r="L2534" i="4" s="1"/>
  <c r="F2533" i="4"/>
  <c r="L2533" i="4" s="1"/>
  <c r="F2532" i="4"/>
  <c r="L2532" i="4" s="1"/>
  <c r="F2531" i="4"/>
  <c r="L2531" i="4" s="1"/>
  <c r="F2530" i="4"/>
  <c r="L2530" i="4" s="1"/>
  <c r="F2529" i="4"/>
  <c r="L2529" i="4" s="1"/>
  <c r="F2528" i="4"/>
  <c r="L2528" i="4" s="1"/>
  <c r="F2527" i="4"/>
  <c r="L2527" i="4" s="1"/>
  <c r="F2526" i="4"/>
  <c r="L2526" i="4" s="1"/>
  <c r="F2525" i="4"/>
  <c r="L2525" i="4" s="1"/>
  <c r="F2524" i="4"/>
  <c r="L2524" i="4" s="1"/>
  <c r="F2523" i="4"/>
  <c r="L2523" i="4" s="1"/>
  <c r="F2522" i="4"/>
  <c r="L2522" i="4" s="1"/>
  <c r="F2521" i="4"/>
  <c r="L2521" i="4" s="1"/>
  <c r="F2520" i="4"/>
  <c r="L2520" i="4" s="1"/>
  <c r="F2519" i="4"/>
  <c r="L2519" i="4" s="1"/>
  <c r="F2518" i="4"/>
  <c r="L2518" i="4" s="1"/>
  <c r="F2517" i="4"/>
  <c r="L2517" i="4" s="1"/>
  <c r="F2516" i="4"/>
  <c r="L2516" i="4" s="1"/>
  <c r="F2515" i="4"/>
  <c r="L2515" i="4" s="1"/>
  <c r="F2514" i="4"/>
  <c r="L2514" i="4" s="1"/>
  <c r="F2513" i="4"/>
  <c r="L2513" i="4" s="1"/>
  <c r="F2512" i="4"/>
  <c r="L2512" i="4" s="1"/>
  <c r="F2511" i="4"/>
  <c r="L2511" i="4" s="1"/>
  <c r="F2510" i="4"/>
  <c r="L2510" i="4" s="1"/>
  <c r="F2509" i="4"/>
  <c r="L2509" i="4" s="1"/>
  <c r="F2508" i="4"/>
  <c r="L2508" i="4" s="1"/>
  <c r="F2507" i="4"/>
  <c r="L2507" i="4" s="1"/>
  <c r="F2506" i="4"/>
  <c r="L2506" i="4" s="1"/>
  <c r="F2505" i="4"/>
  <c r="L2505" i="4" s="1"/>
  <c r="F2504" i="4"/>
  <c r="L2504" i="4" s="1"/>
  <c r="F2503" i="4"/>
  <c r="L2503" i="4" s="1"/>
  <c r="F2502" i="4"/>
  <c r="L2502" i="4" s="1"/>
  <c r="F2501" i="4"/>
  <c r="L2501" i="4" s="1"/>
  <c r="F2500" i="4"/>
  <c r="L2500" i="4" s="1"/>
  <c r="F2499" i="4"/>
  <c r="L2499" i="4" s="1"/>
  <c r="F2498" i="4"/>
  <c r="L2498" i="4" s="1"/>
  <c r="F2497" i="4"/>
  <c r="L2497" i="4" s="1"/>
  <c r="F2496" i="4"/>
  <c r="L2496" i="4" s="1"/>
  <c r="F2495" i="4"/>
  <c r="L2495" i="4" s="1"/>
  <c r="F2494" i="4"/>
  <c r="L2494" i="4" s="1"/>
  <c r="F2493" i="4"/>
  <c r="L2493" i="4" s="1"/>
  <c r="F2492" i="4"/>
  <c r="L2492" i="4" s="1"/>
  <c r="F2491" i="4"/>
  <c r="L2491" i="4" s="1"/>
  <c r="F2490" i="4"/>
  <c r="L2490" i="4" s="1"/>
  <c r="F2489" i="4"/>
  <c r="L2489" i="4" s="1"/>
  <c r="F2488" i="4"/>
  <c r="L2488" i="4" s="1"/>
  <c r="F2487" i="4"/>
  <c r="L2487" i="4" s="1"/>
  <c r="F2486" i="4"/>
  <c r="L2486" i="4" s="1"/>
  <c r="F2485" i="4"/>
  <c r="L2485" i="4" s="1"/>
  <c r="F2484" i="4"/>
  <c r="L2484" i="4" s="1"/>
  <c r="F2483" i="4"/>
  <c r="L2483" i="4" s="1"/>
  <c r="F2482" i="4"/>
  <c r="L2482" i="4" s="1"/>
  <c r="F2481" i="4"/>
  <c r="L2481" i="4" s="1"/>
  <c r="F2480" i="4"/>
  <c r="L2480" i="4" s="1"/>
  <c r="F2479" i="4"/>
  <c r="L2479" i="4" s="1"/>
  <c r="F2478" i="4"/>
  <c r="L2478" i="4" s="1"/>
  <c r="F2477" i="4"/>
  <c r="L2477" i="4" s="1"/>
  <c r="F2476" i="4"/>
  <c r="L2476" i="4" s="1"/>
  <c r="F2475" i="4"/>
  <c r="L2475" i="4" s="1"/>
  <c r="F2474" i="4"/>
  <c r="L2474" i="4" s="1"/>
  <c r="F2473" i="4"/>
  <c r="L2473" i="4" s="1"/>
  <c r="F2472" i="4"/>
  <c r="L2472" i="4" s="1"/>
  <c r="F2471" i="4"/>
  <c r="L2471" i="4" s="1"/>
  <c r="F2470" i="4"/>
  <c r="L2470" i="4" s="1"/>
  <c r="F2469" i="4"/>
  <c r="L2469" i="4" s="1"/>
  <c r="F2468" i="4"/>
  <c r="L2468" i="4" s="1"/>
  <c r="F2467" i="4"/>
  <c r="L2467" i="4" s="1"/>
  <c r="F2466" i="4"/>
  <c r="L2466" i="4" s="1"/>
  <c r="F2465" i="4"/>
  <c r="L2465" i="4" s="1"/>
  <c r="F2464" i="4"/>
  <c r="L2464" i="4" s="1"/>
  <c r="F2463" i="4"/>
  <c r="L2463" i="4" s="1"/>
  <c r="F2462" i="4"/>
  <c r="L2462" i="4" s="1"/>
  <c r="F2461" i="4"/>
  <c r="L2461" i="4" s="1"/>
  <c r="F2460" i="4"/>
  <c r="L2460" i="4" s="1"/>
  <c r="F2459" i="4"/>
  <c r="L2459" i="4" s="1"/>
  <c r="F2458" i="4"/>
  <c r="L2458" i="4" s="1"/>
  <c r="F2457" i="4"/>
  <c r="L2457" i="4" s="1"/>
  <c r="F2456" i="4"/>
  <c r="L2456" i="4" s="1"/>
  <c r="F2455" i="4"/>
  <c r="L2455" i="4" s="1"/>
  <c r="F2454" i="4"/>
  <c r="L2454" i="4" s="1"/>
  <c r="F2453" i="4"/>
  <c r="L2453" i="4" s="1"/>
  <c r="F2452" i="4"/>
  <c r="L2452" i="4" s="1"/>
  <c r="F2451" i="4"/>
  <c r="L2451" i="4" s="1"/>
  <c r="F2450" i="4"/>
  <c r="L2450" i="4" s="1"/>
  <c r="F2449" i="4"/>
  <c r="L2449" i="4" s="1"/>
  <c r="F2448" i="4"/>
  <c r="L2448" i="4" s="1"/>
  <c r="F2447" i="4"/>
  <c r="L2447" i="4" s="1"/>
  <c r="F2446" i="4"/>
  <c r="L2446" i="4" s="1"/>
  <c r="F2445" i="4"/>
  <c r="L2445" i="4" s="1"/>
  <c r="F2444" i="4"/>
  <c r="L2444" i="4" s="1"/>
  <c r="F2443" i="4"/>
  <c r="L2443" i="4" s="1"/>
  <c r="F2442" i="4"/>
  <c r="L2442" i="4" s="1"/>
  <c r="F2441" i="4"/>
  <c r="L2441" i="4" s="1"/>
  <c r="F2440" i="4"/>
  <c r="L2440" i="4" s="1"/>
  <c r="F2439" i="4"/>
  <c r="L2439" i="4" s="1"/>
  <c r="F2438" i="4"/>
  <c r="L2438" i="4" s="1"/>
  <c r="F2437" i="4"/>
  <c r="L2437" i="4" s="1"/>
  <c r="F2436" i="4"/>
  <c r="L2436" i="4" s="1"/>
  <c r="F2435" i="4"/>
  <c r="L2435" i="4" s="1"/>
  <c r="F2434" i="4"/>
  <c r="L2434" i="4" s="1"/>
  <c r="F2433" i="4"/>
  <c r="L2433" i="4" s="1"/>
  <c r="F2432" i="4"/>
  <c r="L2432" i="4" s="1"/>
  <c r="F2431" i="4"/>
  <c r="L2431" i="4" s="1"/>
  <c r="F2430" i="4"/>
  <c r="L2430" i="4" s="1"/>
  <c r="F2429" i="4"/>
  <c r="L2429" i="4" s="1"/>
  <c r="F2428" i="4"/>
  <c r="L2428" i="4" s="1"/>
  <c r="F2427" i="4"/>
  <c r="L2427" i="4" s="1"/>
  <c r="F2426" i="4"/>
  <c r="L2426" i="4" s="1"/>
  <c r="F2425" i="4"/>
  <c r="L2425" i="4" s="1"/>
  <c r="F2424" i="4"/>
  <c r="L2424" i="4" s="1"/>
  <c r="F2423" i="4"/>
  <c r="L2423" i="4" s="1"/>
  <c r="F2422" i="4"/>
  <c r="L2422" i="4" s="1"/>
  <c r="F2421" i="4"/>
  <c r="L2421" i="4" s="1"/>
  <c r="F2420" i="4"/>
  <c r="L2420" i="4" s="1"/>
  <c r="F2419" i="4"/>
  <c r="L2419" i="4" s="1"/>
  <c r="F2418" i="4"/>
  <c r="L2418" i="4" s="1"/>
  <c r="F2417" i="4"/>
  <c r="L2417" i="4" s="1"/>
  <c r="F2416" i="4"/>
  <c r="L2416" i="4" s="1"/>
  <c r="F2415" i="4"/>
  <c r="L2415" i="4" s="1"/>
  <c r="F2414" i="4"/>
  <c r="L2414" i="4" s="1"/>
  <c r="F2413" i="4"/>
  <c r="L2413" i="4" s="1"/>
  <c r="F2412" i="4"/>
  <c r="L2412" i="4" s="1"/>
  <c r="F2411" i="4"/>
  <c r="L2411" i="4" s="1"/>
  <c r="F2410" i="4"/>
  <c r="L2410" i="4" s="1"/>
  <c r="F2409" i="4"/>
  <c r="L2409" i="4" s="1"/>
  <c r="F2408" i="4"/>
  <c r="L2408" i="4" s="1"/>
  <c r="F2407" i="4"/>
  <c r="L2407" i="4" s="1"/>
  <c r="F2406" i="4"/>
  <c r="L2406" i="4" s="1"/>
  <c r="F2405" i="4"/>
  <c r="L2405" i="4" s="1"/>
  <c r="F2404" i="4"/>
  <c r="L2404" i="4" s="1"/>
  <c r="F2403" i="4"/>
  <c r="L2403" i="4" s="1"/>
  <c r="F2402" i="4"/>
  <c r="L2402" i="4" s="1"/>
  <c r="F2401" i="4"/>
  <c r="L2401" i="4" s="1"/>
  <c r="F2400" i="4"/>
  <c r="L2400" i="4" s="1"/>
  <c r="F2399" i="4"/>
  <c r="L2399" i="4" s="1"/>
  <c r="F2398" i="4"/>
  <c r="L2398" i="4" s="1"/>
  <c r="F2397" i="4"/>
  <c r="L2397" i="4" s="1"/>
  <c r="F2396" i="4"/>
  <c r="L2396" i="4" s="1"/>
  <c r="F2395" i="4"/>
  <c r="L2395" i="4" s="1"/>
  <c r="F2394" i="4"/>
  <c r="L2394" i="4" s="1"/>
  <c r="F2393" i="4"/>
  <c r="L2393" i="4" s="1"/>
  <c r="F2392" i="4"/>
  <c r="L2392" i="4" s="1"/>
  <c r="F2391" i="4"/>
  <c r="L2391" i="4" s="1"/>
  <c r="F2390" i="4"/>
  <c r="L2390" i="4" s="1"/>
  <c r="F2389" i="4"/>
  <c r="L2389" i="4" s="1"/>
  <c r="F2388" i="4"/>
  <c r="L2388" i="4" s="1"/>
  <c r="F2387" i="4"/>
  <c r="L2387" i="4" s="1"/>
  <c r="F2386" i="4"/>
  <c r="L2386" i="4" s="1"/>
  <c r="F2385" i="4"/>
  <c r="L2385" i="4" s="1"/>
  <c r="F2384" i="4"/>
  <c r="L2384" i="4" s="1"/>
  <c r="F2383" i="4"/>
  <c r="L2383" i="4" s="1"/>
  <c r="F2382" i="4"/>
  <c r="L2382" i="4" s="1"/>
  <c r="F2381" i="4"/>
  <c r="L2381" i="4" s="1"/>
  <c r="F2380" i="4"/>
  <c r="L2380" i="4" s="1"/>
  <c r="F2379" i="4"/>
  <c r="L2379" i="4" s="1"/>
  <c r="F2378" i="4"/>
  <c r="L2378" i="4" s="1"/>
  <c r="F2377" i="4"/>
  <c r="L2377" i="4" s="1"/>
  <c r="F2376" i="4"/>
  <c r="L2376" i="4" s="1"/>
  <c r="F2375" i="4"/>
  <c r="L2375" i="4" s="1"/>
  <c r="F2374" i="4"/>
  <c r="L2374" i="4" s="1"/>
  <c r="F2373" i="4"/>
  <c r="L2373" i="4" s="1"/>
  <c r="F2372" i="4"/>
  <c r="L2372" i="4" s="1"/>
  <c r="F2371" i="4"/>
  <c r="L2371" i="4" s="1"/>
  <c r="F2370" i="4"/>
  <c r="L2370" i="4" s="1"/>
  <c r="F2369" i="4"/>
  <c r="L2369" i="4" s="1"/>
  <c r="F2368" i="4"/>
  <c r="L2368" i="4" s="1"/>
  <c r="F2367" i="4"/>
  <c r="L2367" i="4" s="1"/>
  <c r="F2366" i="4"/>
  <c r="L2366" i="4" s="1"/>
  <c r="F2365" i="4"/>
  <c r="L2365" i="4" s="1"/>
  <c r="F2364" i="4"/>
  <c r="L2364" i="4" s="1"/>
  <c r="F2363" i="4"/>
  <c r="L2363" i="4" s="1"/>
  <c r="F2362" i="4"/>
  <c r="L2362" i="4" s="1"/>
  <c r="F2361" i="4"/>
  <c r="L2361" i="4" s="1"/>
  <c r="F2360" i="4"/>
  <c r="L2360" i="4" s="1"/>
  <c r="F2359" i="4"/>
  <c r="L2359" i="4" s="1"/>
  <c r="F2358" i="4"/>
  <c r="L2358" i="4" s="1"/>
  <c r="F2357" i="4"/>
  <c r="L2357" i="4" s="1"/>
  <c r="F2356" i="4"/>
  <c r="L2356" i="4" s="1"/>
  <c r="F2355" i="4"/>
  <c r="L2355" i="4" s="1"/>
  <c r="F2354" i="4"/>
  <c r="L2354" i="4" s="1"/>
  <c r="F2353" i="4"/>
  <c r="L2353" i="4" s="1"/>
  <c r="F2352" i="4"/>
  <c r="L2352" i="4" s="1"/>
  <c r="F2351" i="4"/>
  <c r="L2351" i="4" s="1"/>
  <c r="F2350" i="4"/>
  <c r="L2350" i="4" s="1"/>
  <c r="F2349" i="4"/>
  <c r="L2349" i="4" s="1"/>
  <c r="F2348" i="4"/>
  <c r="L2348" i="4" s="1"/>
  <c r="F2347" i="4"/>
  <c r="L2347" i="4" s="1"/>
  <c r="F2346" i="4"/>
  <c r="L2346" i="4" s="1"/>
  <c r="F2345" i="4"/>
  <c r="L2345" i="4" s="1"/>
  <c r="F2344" i="4"/>
  <c r="L2344" i="4" s="1"/>
  <c r="F2343" i="4"/>
  <c r="L2343" i="4" s="1"/>
  <c r="F2342" i="4"/>
  <c r="L2342" i="4" s="1"/>
  <c r="F2341" i="4"/>
  <c r="L2341" i="4" s="1"/>
  <c r="F2340" i="4"/>
  <c r="L2340" i="4" s="1"/>
  <c r="F2339" i="4"/>
  <c r="L2339" i="4" s="1"/>
  <c r="F2338" i="4"/>
  <c r="L2338" i="4" s="1"/>
  <c r="F2337" i="4"/>
  <c r="L2337" i="4" s="1"/>
  <c r="F2336" i="4"/>
  <c r="L2336" i="4" s="1"/>
  <c r="F2335" i="4"/>
  <c r="L2335" i="4" s="1"/>
  <c r="F2334" i="4"/>
  <c r="L2334" i="4" s="1"/>
  <c r="F2333" i="4"/>
  <c r="L2333" i="4" s="1"/>
  <c r="F2332" i="4"/>
  <c r="L2332" i="4" s="1"/>
  <c r="F2331" i="4"/>
  <c r="L2331" i="4" s="1"/>
  <c r="F2330" i="4"/>
  <c r="L2330" i="4" s="1"/>
  <c r="F2329" i="4"/>
  <c r="L2329" i="4" s="1"/>
  <c r="F2328" i="4"/>
  <c r="L2328" i="4" s="1"/>
  <c r="F2327" i="4"/>
  <c r="L2327" i="4" s="1"/>
  <c r="F2326" i="4"/>
  <c r="L2326" i="4" s="1"/>
  <c r="F2325" i="4"/>
  <c r="L2325" i="4" s="1"/>
  <c r="F2324" i="4"/>
  <c r="L2324" i="4" s="1"/>
  <c r="F2323" i="4"/>
  <c r="L2323" i="4" s="1"/>
  <c r="F2322" i="4"/>
  <c r="L2322" i="4" s="1"/>
  <c r="F2321" i="4"/>
  <c r="L2321" i="4" s="1"/>
  <c r="F2320" i="4"/>
  <c r="L2320" i="4" s="1"/>
  <c r="F2319" i="4"/>
  <c r="L2319" i="4" s="1"/>
  <c r="F2318" i="4"/>
  <c r="L2318" i="4" s="1"/>
  <c r="F2317" i="4"/>
  <c r="L2317" i="4" s="1"/>
  <c r="F2316" i="4"/>
  <c r="L2316" i="4" s="1"/>
  <c r="F2315" i="4"/>
  <c r="L2315" i="4" s="1"/>
  <c r="F2314" i="4"/>
  <c r="L2314" i="4" s="1"/>
  <c r="F2313" i="4"/>
  <c r="L2313" i="4" s="1"/>
  <c r="F2312" i="4"/>
  <c r="L2312" i="4" s="1"/>
  <c r="F2311" i="4"/>
  <c r="L2311" i="4" s="1"/>
  <c r="F2310" i="4"/>
  <c r="L2310" i="4" s="1"/>
  <c r="F2309" i="4"/>
  <c r="L2309" i="4" s="1"/>
  <c r="F2308" i="4"/>
  <c r="L2308" i="4" s="1"/>
  <c r="F2307" i="4"/>
  <c r="L2307" i="4" s="1"/>
  <c r="F2306" i="4"/>
  <c r="L2306" i="4" s="1"/>
  <c r="F2305" i="4"/>
  <c r="L2305" i="4" s="1"/>
  <c r="F2304" i="4"/>
  <c r="L2304" i="4" s="1"/>
  <c r="F2303" i="4"/>
  <c r="L2303" i="4" s="1"/>
  <c r="F2302" i="4"/>
  <c r="L2302" i="4" s="1"/>
  <c r="F2301" i="4"/>
  <c r="L2301" i="4" s="1"/>
  <c r="F2300" i="4"/>
  <c r="L2300" i="4" s="1"/>
  <c r="F2299" i="4"/>
  <c r="L2299" i="4" s="1"/>
  <c r="F2298" i="4"/>
  <c r="L2298" i="4" s="1"/>
  <c r="F2297" i="4"/>
  <c r="L2297" i="4" s="1"/>
  <c r="F2296" i="4"/>
  <c r="L2296" i="4" s="1"/>
  <c r="F2295" i="4"/>
  <c r="L2295" i="4" s="1"/>
  <c r="F2294" i="4"/>
  <c r="L2294" i="4" s="1"/>
  <c r="F2293" i="4"/>
  <c r="L2293" i="4" s="1"/>
  <c r="F2292" i="4"/>
  <c r="L2292" i="4" s="1"/>
  <c r="F2291" i="4"/>
  <c r="L2291" i="4" s="1"/>
  <c r="F2290" i="4"/>
  <c r="L2290" i="4" s="1"/>
  <c r="F2289" i="4"/>
  <c r="L2289" i="4" s="1"/>
  <c r="F2288" i="4"/>
  <c r="L2288" i="4" s="1"/>
  <c r="F2287" i="4"/>
  <c r="L2287" i="4" s="1"/>
  <c r="F2286" i="4"/>
  <c r="L2286" i="4" s="1"/>
  <c r="F2285" i="4"/>
  <c r="L2285" i="4" s="1"/>
  <c r="F2284" i="4"/>
  <c r="L2284" i="4" s="1"/>
  <c r="F2283" i="4"/>
  <c r="L2283" i="4" s="1"/>
  <c r="F2282" i="4"/>
  <c r="L2282" i="4" s="1"/>
  <c r="F2281" i="4"/>
  <c r="L2281" i="4" s="1"/>
  <c r="F2280" i="4"/>
  <c r="L2280" i="4" s="1"/>
  <c r="F2279" i="4"/>
  <c r="L2279" i="4" s="1"/>
  <c r="F2278" i="4"/>
  <c r="L2278" i="4" s="1"/>
  <c r="F2277" i="4"/>
  <c r="L2277" i="4" s="1"/>
  <c r="F2276" i="4"/>
  <c r="L2276" i="4" s="1"/>
  <c r="F2275" i="4"/>
  <c r="L2275" i="4" s="1"/>
  <c r="F2274" i="4"/>
  <c r="L2274" i="4" s="1"/>
  <c r="F2273" i="4"/>
  <c r="L2273" i="4" s="1"/>
  <c r="F2272" i="4"/>
  <c r="L2272" i="4" s="1"/>
  <c r="F2271" i="4"/>
  <c r="L2271" i="4" s="1"/>
  <c r="F2270" i="4"/>
  <c r="L2270" i="4" s="1"/>
  <c r="F2269" i="4"/>
  <c r="L2269" i="4" s="1"/>
  <c r="F2268" i="4"/>
  <c r="L2268" i="4" s="1"/>
  <c r="F2267" i="4"/>
  <c r="L2267" i="4" s="1"/>
  <c r="F2266" i="4"/>
  <c r="L2266" i="4" s="1"/>
  <c r="F2265" i="4"/>
  <c r="L2265" i="4" s="1"/>
  <c r="F2264" i="4"/>
  <c r="L2264" i="4" s="1"/>
  <c r="F2263" i="4"/>
  <c r="L2263" i="4" s="1"/>
  <c r="F2262" i="4"/>
  <c r="L2262" i="4" s="1"/>
  <c r="F2261" i="4"/>
  <c r="L2261" i="4" s="1"/>
  <c r="F2260" i="4"/>
  <c r="L2260" i="4" s="1"/>
  <c r="F2259" i="4"/>
  <c r="L2259" i="4" s="1"/>
  <c r="F2258" i="4"/>
  <c r="L2258" i="4" s="1"/>
  <c r="F2257" i="4"/>
  <c r="L2257" i="4" s="1"/>
  <c r="F2256" i="4"/>
  <c r="L2256" i="4" s="1"/>
  <c r="F2255" i="4"/>
  <c r="L2255" i="4" s="1"/>
  <c r="F2254" i="4"/>
  <c r="L2254" i="4" s="1"/>
  <c r="F2253" i="4"/>
  <c r="L2253" i="4" s="1"/>
  <c r="F2252" i="4"/>
  <c r="L2252" i="4" s="1"/>
  <c r="F2251" i="4"/>
  <c r="L2251" i="4" s="1"/>
  <c r="F2250" i="4"/>
  <c r="L2250" i="4" s="1"/>
  <c r="F2249" i="4"/>
  <c r="L2249" i="4" s="1"/>
  <c r="F2248" i="4"/>
  <c r="L2248" i="4" s="1"/>
  <c r="F2247" i="4"/>
  <c r="L2247" i="4" s="1"/>
  <c r="F2246" i="4"/>
  <c r="L2246" i="4" s="1"/>
  <c r="F2245" i="4"/>
  <c r="L2245" i="4" s="1"/>
  <c r="F2244" i="4"/>
  <c r="L2244" i="4" s="1"/>
  <c r="F2243" i="4"/>
  <c r="L2243" i="4" s="1"/>
  <c r="F2242" i="4"/>
  <c r="L2242" i="4" s="1"/>
  <c r="F2241" i="4"/>
  <c r="L2241" i="4" s="1"/>
  <c r="F2240" i="4"/>
  <c r="L2240" i="4" s="1"/>
  <c r="F2239" i="4"/>
  <c r="L2239" i="4" s="1"/>
  <c r="F2238" i="4"/>
  <c r="L2238" i="4" s="1"/>
  <c r="F2237" i="4"/>
  <c r="L2237" i="4" s="1"/>
  <c r="F2236" i="4"/>
  <c r="L2236" i="4" s="1"/>
  <c r="F2235" i="4"/>
  <c r="L2235" i="4" s="1"/>
  <c r="F2234" i="4"/>
  <c r="L2234" i="4" s="1"/>
  <c r="F2233" i="4"/>
  <c r="L2233" i="4" s="1"/>
  <c r="F2232" i="4"/>
  <c r="L2232" i="4" s="1"/>
  <c r="F2231" i="4"/>
  <c r="L2231" i="4" s="1"/>
  <c r="F2230" i="4"/>
  <c r="L2230" i="4" s="1"/>
  <c r="F2229" i="4"/>
  <c r="L2229" i="4" s="1"/>
  <c r="F2228" i="4"/>
  <c r="L2228" i="4" s="1"/>
  <c r="F2227" i="4"/>
  <c r="L2227" i="4" s="1"/>
  <c r="F2226" i="4"/>
  <c r="L2226" i="4" s="1"/>
  <c r="F2225" i="4"/>
  <c r="L2225" i="4" s="1"/>
  <c r="F2224" i="4"/>
  <c r="L2224" i="4" s="1"/>
  <c r="F2223" i="4"/>
  <c r="L2223" i="4" s="1"/>
  <c r="F2222" i="4"/>
  <c r="L2222" i="4" s="1"/>
  <c r="F2221" i="4"/>
  <c r="L2221" i="4" s="1"/>
  <c r="F2220" i="4"/>
  <c r="L2220" i="4" s="1"/>
  <c r="F2219" i="4"/>
  <c r="L2219" i="4" s="1"/>
  <c r="F2218" i="4"/>
  <c r="L2218" i="4" s="1"/>
  <c r="F2217" i="4"/>
  <c r="L2217" i="4" s="1"/>
  <c r="F2216" i="4"/>
  <c r="L2216" i="4" s="1"/>
  <c r="F2215" i="4"/>
  <c r="L2215" i="4" s="1"/>
  <c r="F2214" i="4"/>
  <c r="L2214" i="4" s="1"/>
  <c r="F2213" i="4"/>
  <c r="L2213" i="4" s="1"/>
  <c r="F2212" i="4"/>
  <c r="L2212" i="4" s="1"/>
  <c r="F2211" i="4"/>
  <c r="L2211" i="4" s="1"/>
  <c r="F2210" i="4"/>
  <c r="L2210" i="4" s="1"/>
  <c r="F2209" i="4"/>
  <c r="L2209" i="4" s="1"/>
  <c r="F2208" i="4"/>
  <c r="L2208" i="4" s="1"/>
  <c r="F2207" i="4"/>
  <c r="L2207" i="4" s="1"/>
  <c r="F2206" i="4"/>
  <c r="L2206" i="4" s="1"/>
  <c r="F2205" i="4"/>
  <c r="L2205" i="4" s="1"/>
  <c r="F2204" i="4"/>
  <c r="L2204" i="4" s="1"/>
  <c r="F2203" i="4"/>
  <c r="L2203" i="4" s="1"/>
  <c r="F2202" i="4"/>
  <c r="L2202" i="4" s="1"/>
  <c r="F2201" i="4"/>
  <c r="L2201" i="4" s="1"/>
  <c r="F2200" i="4"/>
  <c r="L2200" i="4" s="1"/>
  <c r="F2199" i="4"/>
  <c r="L2199" i="4" s="1"/>
  <c r="F2198" i="4"/>
  <c r="L2198" i="4" s="1"/>
  <c r="F2197" i="4"/>
  <c r="L2197" i="4" s="1"/>
  <c r="F2196" i="4"/>
  <c r="L2196" i="4" s="1"/>
  <c r="F2195" i="4"/>
  <c r="L2195" i="4" s="1"/>
  <c r="F2194" i="4"/>
  <c r="L2194" i="4" s="1"/>
  <c r="F2193" i="4"/>
  <c r="L2193" i="4" s="1"/>
  <c r="F2192" i="4"/>
  <c r="L2192" i="4" s="1"/>
  <c r="F2191" i="4"/>
  <c r="L2191" i="4" s="1"/>
  <c r="F2190" i="4"/>
  <c r="L2190" i="4" s="1"/>
  <c r="F2189" i="4"/>
  <c r="L2189" i="4" s="1"/>
  <c r="F2188" i="4"/>
  <c r="L2188" i="4" s="1"/>
  <c r="F2187" i="4"/>
  <c r="L2187" i="4" s="1"/>
  <c r="F2186" i="4"/>
  <c r="L2186" i="4" s="1"/>
  <c r="F2185" i="4"/>
  <c r="L2185" i="4" s="1"/>
  <c r="F2184" i="4"/>
  <c r="L2184" i="4" s="1"/>
  <c r="F2183" i="4"/>
  <c r="L2183" i="4" s="1"/>
  <c r="F2182" i="4"/>
  <c r="L2182" i="4" s="1"/>
  <c r="F2181" i="4"/>
  <c r="L2181" i="4" s="1"/>
  <c r="F2180" i="4"/>
  <c r="L2180" i="4" s="1"/>
  <c r="F2179" i="4"/>
  <c r="L2179" i="4" s="1"/>
  <c r="F2178" i="4"/>
  <c r="L2178" i="4" s="1"/>
  <c r="F2177" i="4"/>
  <c r="L2177" i="4" s="1"/>
  <c r="F2176" i="4"/>
  <c r="L2176" i="4" s="1"/>
  <c r="F2175" i="4"/>
  <c r="L2175" i="4" s="1"/>
  <c r="F2174" i="4"/>
  <c r="L2174" i="4" s="1"/>
  <c r="F2173" i="4"/>
  <c r="L2173" i="4" s="1"/>
  <c r="F2172" i="4"/>
  <c r="L2172" i="4" s="1"/>
  <c r="F2171" i="4"/>
  <c r="L2171" i="4" s="1"/>
  <c r="F2170" i="4"/>
  <c r="L2170" i="4" s="1"/>
  <c r="F2169" i="4"/>
  <c r="L2169" i="4" s="1"/>
  <c r="F2168" i="4"/>
  <c r="L2168" i="4" s="1"/>
  <c r="F2167" i="4"/>
  <c r="L2167" i="4" s="1"/>
  <c r="F2166" i="4"/>
  <c r="L2166" i="4" s="1"/>
  <c r="F2165" i="4"/>
  <c r="L2165" i="4" s="1"/>
  <c r="F2164" i="4"/>
  <c r="L2164" i="4" s="1"/>
  <c r="F2163" i="4"/>
  <c r="L2163" i="4" s="1"/>
  <c r="F2162" i="4"/>
  <c r="L2162" i="4" s="1"/>
  <c r="F2161" i="4"/>
  <c r="L2161" i="4" s="1"/>
  <c r="F2160" i="4"/>
  <c r="L2160" i="4" s="1"/>
  <c r="F2159" i="4"/>
  <c r="L2159" i="4" s="1"/>
  <c r="F2158" i="4"/>
  <c r="L2158" i="4" s="1"/>
  <c r="F2157" i="4"/>
  <c r="L2157" i="4" s="1"/>
  <c r="F2156" i="4"/>
  <c r="L2156" i="4" s="1"/>
  <c r="F2155" i="4"/>
  <c r="L2155" i="4" s="1"/>
  <c r="F2154" i="4"/>
  <c r="L2154" i="4" s="1"/>
  <c r="F2153" i="4"/>
  <c r="L2153" i="4" s="1"/>
  <c r="F2152" i="4"/>
  <c r="L2152" i="4" s="1"/>
  <c r="F2151" i="4"/>
  <c r="L2151" i="4" s="1"/>
  <c r="F2150" i="4"/>
  <c r="L2150" i="4" s="1"/>
  <c r="F2149" i="4"/>
  <c r="L2149" i="4" s="1"/>
  <c r="F2148" i="4"/>
  <c r="L2148" i="4" s="1"/>
  <c r="F2147" i="4"/>
  <c r="L2147" i="4" s="1"/>
  <c r="F2146" i="4"/>
  <c r="L2146" i="4" s="1"/>
  <c r="F2145" i="4"/>
  <c r="L2145" i="4" s="1"/>
  <c r="F2144" i="4"/>
  <c r="L2144" i="4" s="1"/>
  <c r="F2143" i="4"/>
  <c r="L2143" i="4" s="1"/>
  <c r="F2142" i="4"/>
  <c r="L2142" i="4" s="1"/>
  <c r="F2141" i="4"/>
  <c r="L2141" i="4" s="1"/>
  <c r="F2140" i="4"/>
  <c r="L2140" i="4" s="1"/>
  <c r="F2139" i="4"/>
  <c r="L2139" i="4" s="1"/>
  <c r="F2138" i="4"/>
  <c r="L2138" i="4" s="1"/>
  <c r="F2137" i="4"/>
  <c r="L2137" i="4" s="1"/>
  <c r="F2136" i="4"/>
  <c r="L2136" i="4" s="1"/>
  <c r="F2135" i="4"/>
  <c r="L2135" i="4" s="1"/>
  <c r="F2134" i="4"/>
  <c r="L2134" i="4" s="1"/>
  <c r="F2133" i="4"/>
  <c r="L2133" i="4" s="1"/>
  <c r="F2132" i="4"/>
  <c r="L2132" i="4" s="1"/>
  <c r="F2131" i="4"/>
  <c r="L2131" i="4" s="1"/>
  <c r="F2130" i="4"/>
  <c r="L2130" i="4" s="1"/>
  <c r="F2129" i="4"/>
  <c r="L2129" i="4" s="1"/>
  <c r="F2128" i="4"/>
  <c r="L2128" i="4" s="1"/>
  <c r="F2127" i="4"/>
  <c r="L2127" i="4" s="1"/>
  <c r="F2126" i="4"/>
  <c r="L2126" i="4" s="1"/>
  <c r="F2125" i="4"/>
  <c r="L2125" i="4" s="1"/>
  <c r="F2124" i="4"/>
  <c r="L2124" i="4" s="1"/>
  <c r="F2123" i="4"/>
  <c r="L2123" i="4" s="1"/>
  <c r="F2122" i="4"/>
  <c r="L2122" i="4" s="1"/>
  <c r="F2121" i="4"/>
  <c r="L2121" i="4" s="1"/>
  <c r="F2120" i="4"/>
  <c r="L2120" i="4" s="1"/>
  <c r="F2119" i="4"/>
  <c r="L2119" i="4" s="1"/>
  <c r="F2118" i="4"/>
  <c r="L2118" i="4" s="1"/>
  <c r="F2117" i="4"/>
  <c r="L2117" i="4" s="1"/>
  <c r="F2116" i="4"/>
  <c r="L2116" i="4" s="1"/>
  <c r="F2115" i="4"/>
  <c r="L2115" i="4" s="1"/>
  <c r="F2114" i="4"/>
  <c r="L2114" i="4" s="1"/>
  <c r="F2113" i="4"/>
  <c r="L2113" i="4" s="1"/>
  <c r="F2112" i="4"/>
  <c r="L2112" i="4" s="1"/>
  <c r="F2111" i="4"/>
  <c r="L2111" i="4" s="1"/>
  <c r="F2110" i="4"/>
  <c r="L2110" i="4" s="1"/>
  <c r="F2109" i="4"/>
  <c r="L2109" i="4" s="1"/>
  <c r="F2108" i="4"/>
  <c r="L2108" i="4" s="1"/>
  <c r="F2107" i="4"/>
  <c r="L2107" i="4" s="1"/>
  <c r="F2106" i="4"/>
  <c r="L2106" i="4" s="1"/>
  <c r="F2105" i="4"/>
  <c r="L2105" i="4" s="1"/>
  <c r="F2104" i="4"/>
  <c r="L2104" i="4" s="1"/>
  <c r="F2103" i="4"/>
  <c r="L2103" i="4" s="1"/>
  <c r="F2102" i="4"/>
  <c r="L2102" i="4" s="1"/>
  <c r="F2101" i="4"/>
  <c r="L2101" i="4" s="1"/>
  <c r="F2100" i="4"/>
  <c r="L2100" i="4" s="1"/>
  <c r="F2099" i="4"/>
  <c r="L2099" i="4" s="1"/>
  <c r="F2098" i="4"/>
  <c r="L2098" i="4" s="1"/>
  <c r="F2097" i="4"/>
  <c r="L2097" i="4" s="1"/>
  <c r="F2096" i="4"/>
  <c r="L2096" i="4" s="1"/>
  <c r="F2095" i="4"/>
  <c r="L2095" i="4" s="1"/>
  <c r="F2094" i="4"/>
  <c r="L2094" i="4" s="1"/>
  <c r="F2093" i="4"/>
  <c r="L2093" i="4" s="1"/>
  <c r="F2092" i="4"/>
  <c r="L2092" i="4" s="1"/>
  <c r="F2091" i="4"/>
  <c r="L2091" i="4" s="1"/>
  <c r="F2090" i="4"/>
  <c r="L2090" i="4" s="1"/>
  <c r="F2089" i="4"/>
  <c r="L2089" i="4" s="1"/>
  <c r="F2088" i="4"/>
  <c r="L2088" i="4" s="1"/>
  <c r="F2087" i="4"/>
  <c r="L2087" i="4" s="1"/>
  <c r="F2086" i="4"/>
  <c r="L2086" i="4" s="1"/>
  <c r="F2085" i="4"/>
  <c r="L2085" i="4" s="1"/>
  <c r="F2084" i="4"/>
  <c r="L2084" i="4" s="1"/>
  <c r="F2083" i="4"/>
  <c r="L2083" i="4" s="1"/>
  <c r="F2082" i="4"/>
  <c r="L2082" i="4" s="1"/>
  <c r="F2081" i="4"/>
  <c r="L2081" i="4" s="1"/>
  <c r="F2080" i="4"/>
  <c r="L2080" i="4" s="1"/>
  <c r="F2079" i="4"/>
  <c r="L2079" i="4" s="1"/>
  <c r="F2078" i="4"/>
  <c r="L2078" i="4" s="1"/>
  <c r="F2077" i="4"/>
  <c r="L2077" i="4" s="1"/>
  <c r="F2076" i="4"/>
  <c r="L2076" i="4" s="1"/>
  <c r="F2075" i="4"/>
  <c r="L2075" i="4" s="1"/>
  <c r="F2074" i="4"/>
  <c r="L2074" i="4" s="1"/>
  <c r="F2073" i="4"/>
  <c r="L2073" i="4" s="1"/>
  <c r="F2072" i="4"/>
  <c r="L2072" i="4" s="1"/>
  <c r="F2071" i="4"/>
  <c r="L2071" i="4" s="1"/>
  <c r="F2070" i="4"/>
  <c r="L2070" i="4" s="1"/>
  <c r="F2069" i="4"/>
  <c r="L2069" i="4" s="1"/>
  <c r="F2068" i="4"/>
  <c r="L2068" i="4" s="1"/>
  <c r="F2067" i="4"/>
  <c r="L2067" i="4" s="1"/>
  <c r="F2066" i="4"/>
  <c r="L2066" i="4" s="1"/>
  <c r="F2065" i="4"/>
  <c r="L2065" i="4" s="1"/>
  <c r="F2064" i="4"/>
  <c r="L2064" i="4" s="1"/>
  <c r="F2063" i="4"/>
  <c r="L2063" i="4" s="1"/>
  <c r="F2062" i="4"/>
  <c r="L2062" i="4" s="1"/>
  <c r="F2061" i="4"/>
  <c r="L2061" i="4" s="1"/>
  <c r="F2060" i="4"/>
  <c r="L2060" i="4" s="1"/>
  <c r="F2059" i="4"/>
  <c r="L2059" i="4" s="1"/>
  <c r="F2058" i="4"/>
  <c r="L2058" i="4" s="1"/>
  <c r="F2057" i="4"/>
  <c r="L2057" i="4" s="1"/>
  <c r="F2056" i="4"/>
  <c r="L2056" i="4" s="1"/>
  <c r="F2055" i="4"/>
  <c r="L2055" i="4" s="1"/>
  <c r="F2054" i="4"/>
  <c r="L2054" i="4" s="1"/>
  <c r="F2053" i="4"/>
  <c r="L2053" i="4" s="1"/>
  <c r="F2052" i="4"/>
  <c r="L2052" i="4" s="1"/>
  <c r="F2051" i="4"/>
  <c r="L2051" i="4" s="1"/>
  <c r="F2050" i="4"/>
  <c r="L2050" i="4" s="1"/>
  <c r="F2049" i="4"/>
  <c r="L2049" i="4" s="1"/>
  <c r="F2048" i="4"/>
  <c r="L2048" i="4" s="1"/>
  <c r="F2047" i="4"/>
  <c r="L2047" i="4" s="1"/>
  <c r="F2046" i="4"/>
  <c r="L2046" i="4" s="1"/>
  <c r="F2045" i="4"/>
  <c r="L2045" i="4" s="1"/>
  <c r="F2044" i="4"/>
  <c r="L2044" i="4" s="1"/>
  <c r="F2043" i="4"/>
  <c r="L2043" i="4" s="1"/>
  <c r="F2042" i="4"/>
  <c r="L2042" i="4" s="1"/>
  <c r="F2041" i="4"/>
  <c r="L2041" i="4" s="1"/>
  <c r="F2040" i="4"/>
  <c r="L2040" i="4" s="1"/>
  <c r="F2039" i="4"/>
  <c r="L2039" i="4" s="1"/>
  <c r="F2038" i="4"/>
  <c r="L2038" i="4" s="1"/>
  <c r="F2037" i="4"/>
  <c r="L2037" i="4" s="1"/>
  <c r="F2036" i="4"/>
  <c r="L2036" i="4" s="1"/>
  <c r="F2035" i="4"/>
  <c r="L2035" i="4" s="1"/>
  <c r="F2034" i="4"/>
  <c r="L2034" i="4" s="1"/>
  <c r="F2033" i="4"/>
  <c r="L2033" i="4" s="1"/>
  <c r="F2032" i="4"/>
  <c r="L2032" i="4" s="1"/>
  <c r="F2031" i="4"/>
  <c r="L2031" i="4" s="1"/>
  <c r="F2030" i="4"/>
  <c r="L2030" i="4" s="1"/>
  <c r="F2029" i="4"/>
  <c r="L2029" i="4" s="1"/>
  <c r="F2028" i="4"/>
  <c r="L2028" i="4" s="1"/>
  <c r="F2027" i="4"/>
  <c r="L2027" i="4" s="1"/>
  <c r="F2026" i="4"/>
  <c r="L2026" i="4" s="1"/>
  <c r="F2025" i="4"/>
  <c r="L2025" i="4" s="1"/>
  <c r="F2024" i="4"/>
  <c r="L2024" i="4" s="1"/>
  <c r="F2023" i="4"/>
  <c r="L2023" i="4" s="1"/>
  <c r="F2022" i="4"/>
  <c r="L2022" i="4" s="1"/>
  <c r="F2021" i="4"/>
  <c r="L2021" i="4" s="1"/>
  <c r="F2020" i="4"/>
  <c r="L2020" i="4" s="1"/>
  <c r="F2019" i="4"/>
  <c r="L2019" i="4" s="1"/>
  <c r="F2018" i="4"/>
  <c r="L2018" i="4" s="1"/>
  <c r="F2017" i="4"/>
  <c r="L2017" i="4" s="1"/>
  <c r="F2016" i="4"/>
  <c r="L2016" i="4" s="1"/>
  <c r="F2015" i="4"/>
  <c r="L2015" i="4" s="1"/>
  <c r="F2014" i="4"/>
  <c r="L2014" i="4" s="1"/>
  <c r="F2013" i="4"/>
  <c r="L2013" i="4" s="1"/>
  <c r="F2012" i="4"/>
  <c r="L2012" i="4" s="1"/>
  <c r="F2011" i="4"/>
  <c r="L2011" i="4" s="1"/>
  <c r="F2010" i="4"/>
  <c r="L2010" i="4" s="1"/>
  <c r="F2009" i="4"/>
  <c r="L2009" i="4" s="1"/>
  <c r="F2008" i="4"/>
  <c r="L2008" i="4" s="1"/>
  <c r="F2007" i="4"/>
  <c r="L2007" i="4" s="1"/>
  <c r="F2006" i="4"/>
  <c r="L2006" i="4" s="1"/>
  <c r="F2005" i="4"/>
  <c r="L2005" i="4" s="1"/>
  <c r="F2004" i="4"/>
  <c r="L2004" i="4" s="1"/>
  <c r="F2003" i="4"/>
  <c r="L2003" i="4" s="1"/>
  <c r="F2002" i="4"/>
  <c r="L2002" i="4" s="1"/>
  <c r="F2001" i="4"/>
  <c r="L2001" i="4" s="1"/>
  <c r="F2000" i="4"/>
  <c r="L2000" i="4" s="1"/>
  <c r="F1999" i="4"/>
  <c r="L1999" i="4" s="1"/>
  <c r="F1998" i="4"/>
  <c r="L1998" i="4" s="1"/>
  <c r="F1997" i="4"/>
  <c r="L1997" i="4" s="1"/>
  <c r="F1996" i="4"/>
  <c r="L1996" i="4" s="1"/>
  <c r="F1995" i="4"/>
  <c r="L1995" i="4" s="1"/>
  <c r="F1994" i="4"/>
  <c r="L1994" i="4" s="1"/>
  <c r="F1993" i="4"/>
  <c r="L1993" i="4" s="1"/>
  <c r="F1992" i="4"/>
  <c r="L1992" i="4" s="1"/>
  <c r="F1991" i="4"/>
  <c r="L1991" i="4" s="1"/>
  <c r="F1990" i="4"/>
  <c r="L1990" i="4" s="1"/>
  <c r="F1989" i="4"/>
  <c r="L1989" i="4" s="1"/>
  <c r="F1988" i="4"/>
  <c r="L1988" i="4" s="1"/>
  <c r="F1987" i="4"/>
  <c r="L1987" i="4" s="1"/>
  <c r="F1986" i="4"/>
  <c r="L1986" i="4" s="1"/>
  <c r="F1985" i="4"/>
  <c r="L1985" i="4" s="1"/>
  <c r="F1984" i="4"/>
  <c r="L1984" i="4" s="1"/>
  <c r="F1983" i="4"/>
  <c r="L1983" i="4" s="1"/>
  <c r="F1982" i="4"/>
  <c r="L1982" i="4" s="1"/>
  <c r="F1981" i="4"/>
  <c r="L1981" i="4" s="1"/>
  <c r="F1980" i="4"/>
  <c r="L1980" i="4" s="1"/>
  <c r="F1979" i="4"/>
  <c r="L1979" i="4" s="1"/>
  <c r="F1978" i="4"/>
  <c r="L1978" i="4" s="1"/>
  <c r="F1977" i="4"/>
  <c r="L1977" i="4" s="1"/>
  <c r="F1976" i="4"/>
  <c r="L1976" i="4" s="1"/>
  <c r="F1975" i="4"/>
  <c r="L1975" i="4" s="1"/>
  <c r="F1974" i="4"/>
  <c r="L1974" i="4" s="1"/>
  <c r="F1973" i="4"/>
  <c r="L1973" i="4" s="1"/>
  <c r="F1972" i="4"/>
  <c r="L1972" i="4" s="1"/>
  <c r="F1971" i="4"/>
  <c r="L1971" i="4" s="1"/>
  <c r="F1970" i="4"/>
  <c r="L1970" i="4" s="1"/>
  <c r="F1969" i="4"/>
  <c r="L1969" i="4" s="1"/>
  <c r="F1968" i="4"/>
  <c r="L1968" i="4" s="1"/>
  <c r="F1967" i="4"/>
  <c r="L1967" i="4" s="1"/>
  <c r="F1966" i="4"/>
  <c r="L1966" i="4" s="1"/>
  <c r="F1965" i="4"/>
  <c r="L1965" i="4" s="1"/>
  <c r="F1964" i="4"/>
  <c r="L1964" i="4" s="1"/>
  <c r="F1963" i="4"/>
  <c r="L1963" i="4" s="1"/>
  <c r="F1962" i="4"/>
  <c r="L1962" i="4" s="1"/>
  <c r="F1961" i="4"/>
  <c r="L1961" i="4" s="1"/>
  <c r="F1960" i="4"/>
  <c r="L1960" i="4" s="1"/>
  <c r="F1959" i="4"/>
  <c r="L1959" i="4" s="1"/>
  <c r="F1958" i="4"/>
  <c r="L1958" i="4" s="1"/>
  <c r="F1957" i="4"/>
  <c r="L1957" i="4" s="1"/>
  <c r="F1956" i="4"/>
  <c r="L1956" i="4" s="1"/>
  <c r="F1955" i="4"/>
  <c r="L1955" i="4" s="1"/>
  <c r="F1954" i="4"/>
  <c r="L1954" i="4" s="1"/>
  <c r="F1953" i="4"/>
  <c r="L1953" i="4" s="1"/>
  <c r="F1952" i="4"/>
  <c r="L1952" i="4" s="1"/>
  <c r="F1951" i="4"/>
  <c r="L1951" i="4" s="1"/>
  <c r="F1950" i="4"/>
  <c r="L1950" i="4" s="1"/>
  <c r="F1949" i="4"/>
  <c r="L1949" i="4" s="1"/>
  <c r="F1948" i="4"/>
  <c r="L1948" i="4" s="1"/>
  <c r="F1947" i="4"/>
  <c r="L1947" i="4" s="1"/>
  <c r="F1946" i="4"/>
  <c r="L1946" i="4" s="1"/>
  <c r="F1945" i="4"/>
  <c r="L1945" i="4" s="1"/>
  <c r="F1944" i="4"/>
  <c r="L1944" i="4" s="1"/>
  <c r="F1943" i="4"/>
  <c r="L1943" i="4" s="1"/>
  <c r="F1942" i="4"/>
  <c r="L1942" i="4" s="1"/>
  <c r="F1941" i="4"/>
  <c r="L1941" i="4" s="1"/>
  <c r="F1940" i="4"/>
  <c r="L1940" i="4" s="1"/>
  <c r="F1939" i="4"/>
  <c r="L1939" i="4" s="1"/>
  <c r="F1938" i="4"/>
  <c r="L1938" i="4" s="1"/>
  <c r="F1937" i="4"/>
  <c r="L1937" i="4" s="1"/>
  <c r="F1936" i="4"/>
  <c r="L1936" i="4" s="1"/>
  <c r="F1935" i="4"/>
  <c r="L1935" i="4" s="1"/>
  <c r="F1934" i="4"/>
  <c r="L1934" i="4" s="1"/>
  <c r="F1933" i="4"/>
  <c r="L1933" i="4" s="1"/>
  <c r="F1932" i="4"/>
  <c r="L1932" i="4" s="1"/>
  <c r="F1931" i="4"/>
  <c r="L1931" i="4" s="1"/>
  <c r="F1930" i="4"/>
  <c r="L1930" i="4" s="1"/>
  <c r="F1929" i="4"/>
  <c r="L1929" i="4" s="1"/>
  <c r="F1928" i="4"/>
  <c r="L1928" i="4" s="1"/>
  <c r="F1927" i="4"/>
  <c r="L1927" i="4" s="1"/>
  <c r="F1926" i="4"/>
  <c r="L1926" i="4" s="1"/>
  <c r="F1925" i="4"/>
  <c r="L1925" i="4" s="1"/>
  <c r="F1924" i="4"/>
  <c r="L1924" i="4" s="1"/>
  <c r="F1923" i="4"/>
  <c r="L1923" i="4" s="1"/>
  <c r="F1922" i="4"/>
  <c r="L1922" i="4" s="1"/>
  <c r="F1921" i="4"/>
  <c r="L1921" i="4" s="1"/>
  <c r="F1920" i="4"/>
  <c r="L1920" i="4" s="1"/>
  <c r="F1919" i="4"/>
  <c r="L1919" i="4" s="1"/>
  <c r="F1918" i="4"/>
  <c r="L1918" i="4" s="1"/>
  <c r="F1917" i="4"/>
  <c r="L1917" i="4" s="1"/>
  <c r="F1916" i="4"/>
  <c r="L1916" i="4" s="1"/>
  <c r="F1915" i="4"/>
  <c r="L1915" i="4" s="1"/>
  <c r="F1914" i="4"/>
  <c r="L1914" i="4" s="1"/>
  <c r="F1913" i="4"/>
  <c r="L1913" i="4" s="1"/>
  <c r="F1912" i="4"/>
  <c r="L1912" i="4" s="1"/>
  <c r="F1911" i="4"/>
  <c r="L1911" i="4" s="1"/>
  <c r="F1910" i="4"/>
  <c r="L1910" i="4" s="1"/>
  <c r="F1909" i="4"/>
  <c r="L1909" i="4" s="1"/>
  <c r="F1908" i="4"/>
  <c r="L1908" i="4" s="1"/>
  <c r="F1907" i="4"/>
  <c r="L1907" i="4" s="1"/>
  <c r="F1906" i="4"/>
  <c r="L1906" i="4" s="1"/>
  <c r="F1905" i="4"/>
  <c r="L1905" i="4" s="1"/>
  <c r="F1904" i="4"/>
  <c r="L1904" i="4" s="1"/>
  <c r="F1903" i="4"/>
  <c r="L1903" i="4" s="1"/>
  <c r="F1902" i="4"/>
  <c r="L1902" i="4" s="1"/>
  <c r="F1901" i="4"/>
  <c r="L1901" i="4" s="1"/>
  <c r="F1900" i="4"/>
  <c r="L1900" i="4" s="1"/>
  <c r="F1899" i="4"/>
  <c r="L1899" i="4" s="1"/>
  <c r="F1898" i="4"/>
  <c r="L1898" i="4" s="1"/>
  <c r="F1897" i="4"/>
  <c r="L1897" i="4" s="1"/>
  <c r="F1896" i="4"/>
  <c r="L1896" i="4" s="1"/>
  <c r="F1895" i="4"/>
  <c r="L1895" i="4" s="1"/>
  <c r="F1894" i="4"/>
  <c r="L1894" i="4" s="1"/>
  <c r="F1893" i="4"/>
  <c r="L1893" i="4" s="1"/>
  <c r="F1892" i="4"/>
  <c r="L1892" i="4" s="1"/>
  <c r="F1891" i="4"/>
  <c r="L1891" i="4" s="1"/>
  <c r="F1890" i="4"/>
  <c r="L1890" i="4" s="1"/>
  <c r="F1889" i="4"/>
  <c r="L1889" i="4" s="1"/>
  <c r="F1888" i="4"/>
  <c r="L1888" i="4" s="1"/>
  <c r="F1887" i="4"/>
  <c r="L1887" i="4" s="1"/>
  <c r="F1886" i="4"/>
  <c r="L1886" i="4" s="1"/>
  <c r="F1885" i="4"/>
  <c r="L1885" i="4" s="1"/>
  <c r="F1884" i="4"/>
  <c r="L1884" i="4" s="1"/>
  <c r="F1883" i="4"/>
  <c r="L1883" i="4" s="1"/>
  <c r="F1882" i="4"/>
  <c r="L1882" i="4" s="1"/>
  <c r="F1881" i="4"/>
  <c r="L1881" i="4" s="1"/>
  <c r="F1880" i="4"/>
  <c r="L1880" i="4" s="1"/>
  <c r="F1879" i="4"/>
  <c r="L1879" i="4" s="1"/>
  <c r="F1878" i="4"/>
  <c r="L1878" i="4" s="1"/>
  <c r="F1877" i="4"/>
  <c r="L1877" i="4" s="1"/>
  <c r="F1876" i="4"/>
  <c r="L1876" i="4" s="1"/>
  <c r="F1875" i="4"/>
  <c r="L1875" i="4" s="1"/>
  <c r="F1874" i="4"/>
  <c r="L1874" i="4" s="1"/>
  <c r="F1873" i="4"/>
  <c r="L1873" i="4" s="1"/>
  <c r="F1872" i="4"/>
  <c r="L1872" i="4" s="1"/>
  <c r="F1871" i="4"/>
  <c r="L1871" i="4" s="1"/>
  <c r="F1870" i="4"/>
  <c r="L1870" i="4" s="1"/>
  <c r="F1869" i="4"/>
  <c r="L1869" i="4" s="1"/>
  <c r="F1868" i="4"/>
  <c r="L1868" i="4" s="1"/>
  <c r="F1867" i="4"/>
  <c r="L1867" i="4" s="1"/>
  <c r="F1866" i="4"/>
  <c r="L1866" i="4" s="1"/>
  <c r="F1865" i="4"/>
  <c r="L1865" i="4" s="1"/>
  <c r="F1864" i="4"/>
  <c r="L1864" i="4" s="1"/>
  <c r="F1863" i="4"/>
  <c r="L1863" i="4" s="1"/>
  <c r="F1862" i="4"/>
  <c r="L1862" i="4" s="1"/>
  <c r="F1861" i="4"/>
  <c r="L1861" i="4" s="1"/>
  <c r="F1860" i="4"/>
  <c r="L1860" i="4" s="1"/>
  <c r="F1859" i="4"/>
  <c r="L1859" i="4" s="1"/>
  <c r="F1858" i="4"/>
  <c r="L1858" i="4" s="1"/>
  <c r="F1857" i="4"/>
  <c r="L1857" i="4" s="1"/>
  <c r="F1856" i="4"/>
  <c r="L1856" i="4" s="1"/>
  <c r="F1855" i="4"/>
  <c r="L1855" i="4" s="1"/>
  <c r="F1854" i="4"/>
  <c r="L1854" i="4" s="1"/>
  <c r="F1853" i="4"/>
  <c r="L1853" i="4" s="1"/>
  <c r="F1852" i="4"/>
  <c r="L1852" i="4" s="1"/>
  <c r="F1851" i="4"/>
  <c r="L1851" i="4" s="1"/>
  <c r="F1850" i="4"/>
  <c r="L1850" i="4" s="1"/>
  <c r="F1849" i="4"/>
  <c r="L1849" i="4" s="1"/>
  <c r="F1848" i="4"/>
  <c r="L1848" i="4" s="1"/>
  <c r="F1847" i="4"/>
  <c r="L1847" i="4" s="1"/>
  <c r="F1846" i="4"/>
  <c r="L1846" i="4" s="1"/>
  <c r="F1845" i="4"/>
  <c r="L1845" i="4" s="1"/>
  <c r="F1844" i="4"/>
  <c r="L1844" i="4" s="1"/>
  <c r="F1843" i="4"/>
  <c r="L1843" i="4" s="1"/>
  <c r="F1842" i="4"/>
  <c r="L1842" i="4" s="1"/>
  <c r="F1841" i="4"/>
  <c r="L1841" i="4" s="1"/>
  <c r="F1840" i="4"/>
  <c r="L1840" i="4" s="1"/>
  <c r="F1839" i="4"/>
  <c r="L1839" i="4" s="1"/>
  <c r="F1838" i="4"/>
  <c r="L1838" i="4" s="1"/>
  <c r="F1837" i="4"/>
  <c r="L1837" i="4" s="1"/>
  <c r="F1836" i="4"/>
  <c r="L1836" i="4" s="1"/>
  <c r="F1835" i="4"/>
  <c r="L1835" i="4" s="1"/>
  <c r="F1834" i="4"/>
  <c r="L1834" i="4" s="1"/>
  <c r="F1833" i="4"/>
  <c r="L1833" i="4" s="1"/>
  <c r="F1832" i="4"/>
  <c r="L1832" i="4" s="1"/>
  <c r="F1831" i="4"/>
  <c r="L1831" i="4" s="1"/>
  <c r="F1830" i="4"/>
  <c r="L1830" i="4" s="1"/>
  <c r="F1829" i="4"/>
  <c r="L1829" i="4" s="1"/>
  <c r="F1828" i="4"/>
  <c r="L1828" i="4" s="1"/>
  <c r="F1827" i="4"/>
  <c r="L1827" i="4" s="1"/>
  <c r="F1826" i="4"/>
  <c r="L1826" i="4" s="1"/>
  <c r="F1825" i="4"/>
  <c r="L1825" i="4" s="1"/>
  <c r="F1824" i="4"/>
  <c r="L1824" i="4" s="1"/>
  <c r="F1823" i="4"/>
  <c r="L1823" i="4" s="1"/>
  <c r="F1822" i="4"/>
  <c r="L1822" i="4" s="1"/>
  <c r="F1821" i="4"/>
  <c r="L1821" i="4" s="1"/>
  <c r="F1820" i="4"/>
  <c r="L1820" i="4" s="1"/>
  <c r="F1819" i="4"/>
  <c r="L1819" i="4" s="1"/>
  <c r="F1818" i="4"/>
  <c r="L1818" i="4" s="1"/>
  <c r="F1817" i="4"/>
  <c r="L1817" i="4" s="1"/>
  <c r="F1816" i="4"/>
  <c r="L1816" i="4" s="1"/>
  <c r="F1815" i="4"/>
  <c r="L1815" i="4" s="1"/>
  <c r="F1814" i="4"/>
  <c r="L1814" i="4" s="1"/>
  <c r="F1813" i="4"/>
  <c r="L1813" i="4" s="1"/>
  <c r="F1812" i="4"/>
  <c r="L1812" i="4" s="1"/>
  <c r="F1811" i="4"/>
  <c r="L1811" i="4" s="1"/>
  <c r="F1810" i="4"/>
  <c r="L1810" i="4" s="1"/>
  <c r="F1809" i="4"/>
  <c r="L1809" i="4" s="1"/>
  <c r="F1808" i="4"/>
  <c r="L1808" i="4" s="1"/>
  <c r="F1807" i="4"/>
  <c r="L1807" i="4" s="1"/>
  <c r="F1806" i="4"/>
  <c r="L1806" i="4" s="1"/>
  <c r="F1805" i="4"/>
  <c r="L1805" i="4" s="1"/>
  <c r="F1804" i="4"/>
  <c r="L1804" i="4" s="1"/>
  <c r="F1803" i="4"/>
  <c r="L1803" i="4" s="1"/>
  <c r="F1802" i="4"/>
  <c r="L1802" i="4" s="1"/>
  <c r="F1801" i="4"/>
  <c r="L1801" i="4" s="1"/>
  <c r="F1800" i="4"/>
  <c r="L1800" i="4" s="1"/>
  <c r="F1799" i="4"/>
  <c r="L1799" i="4" s="1"/>
  <c r="F1798" i="4"/>
  <c r="L1798" i="4" s="1"/>
  <c r="F1797" i="4"/>
  <c r="L1797" i="4" s="1"/>
  <c r="F1796" i="4"/>
  <c r="L1796" i="4" s="1"/>
  <c r="F1795" i="4"/>
  <c r="L1795" i="4" s="1"/>
  <c r="F1794" i="4"/>
  <c r="L1794" i="4" s="1"/>
  <c r="F1793" i="4"/>
  <c r="L1793" i="4" s="1"/>
  <c r="F1792" i="4"/>
  <c r="L1792" i="4" s="1"/>
  <c r="F1791" i="4"/>
  <c r="L1791" i="4" s="1"/>
  <c r="F1790" i="4"/>
  <c r="L1790" i="4" s="1"/>
  <c r="F1789" i="4"/>
  <c r="L1789" i="4" s="1"/>
  <c r="F1788" i="4"/>
  <c r="L1788" i="4" s="1"/>
  <c r="F1787" i="4"/>
  <c r="L1787" i="4" s="1"/>
  <c r="F1786" i="4"/>
  <c r="L1786" i="4" s="1"/>
  <c r="F1785" i="4"/>
  <c r="L1785" i="4" s="1"/>
  <c r="F1784" i="4"/>
  <c r="L1784" i="4" s="1"/>
  <c r="F1783" i="4"/>
  <c r="L1783" i="4" s="1"/>
  <c r="F1782" i="4"/>
  <c r="L1782" i="4" s="1"/>
  <c r="F1781" i="4"/>
  <c r="L1781" i="4" s="1"/>
  <c r="F1780" i="4"/>
  <c r="L1780" i="4" s="1"/>
  <c r="F1779" i="4"/>
  <c r="L1779" i="4" s="1"/>
  <c r="F1778" i="4"/>
  <c r="L1778" i="4" s="1"/>
  <c r="F1777" i="4"/>
  <c r="L1777" i="4" s="1"/>
  <c r="F1776" i="4"/>
  <c r="L1776" i="4" s="1"/>
  <c r="F1775" i="4"/>
  <c r="L1775" i="4" s="1"/>
  <c r="F1774" i="4"/>
  <c r="L1774" i="4" s="1"/>
  <c r="F1773" i="4"/>
  <c r="L1773" i="4" s="1"/>
  <c r="F1772" i="4"/>
  <c r="L1772" i="4" s="1"/>
  <c r="F1771" i="4"/>
  <c r="L1771" i="4" s="1"/>
  <c r="F1770" i="4"/>
  <c r="L1770" i="4" s="1"/>
  <c r="F1769" i="4"/>
  <c r="L1769" i="4" s="1"/>
  <c r="F1768" i="4"/>
  <c r="L1768" i="4" s="1"/>
  <c r="F1767" i="4"/>
  <c r="L1767" i="4" s="1"/>
  <c r="F1766" i="4"/>
  <c r="L1766" i="4" s="1"/>
  <c r="F1765" i="4"/>
  <c r="L1765" i="4" s="1"/>
  <c r="F1764" i="4"/>
  <c r="L1764" i="4" s="1"/>
  <c r="F1763" i="4"/>
  <c r="L1763" i="4" s="1"/>
  <c r="F1762" i="4"/>
  <c r="L1762" i="4" s="1"/>
  <c r="F1761" i="4"/>
  <c r="L1761" i="4" s="1"/>
  <c r="F1760" i="4"/>
  <c r="L1760" i="4" s="1"/>
  <c r="F1759" i="4"/>
  <c r="L1759" i="4" s="1"/>
  <c r="F1758" i="4"/>
  <c r="L1758" i="4" s="1"/>
  <c r="F1757" i="4"/>
  <c r="L1757" i="4" s="1"/>
  <c r="F1756" i="4"/>
  <c r="L1756" i="4" s="1"/>
  <c r="F1755" i="4"/>
  <c r="L1755" i="4" s="1"/>
  <c r="F1754" i="4"/>
  <c r="L1754" i="4" s="1"/>
  <c r="F1753" i="4"/>
  <c r="L1753" i="4" s="1"/>
  <c r="F1752" i="4"/>
  <c r="L1752" i="4" s="1"/>
  <c r="F1751" i="4"/>
  <c r="L1751" i="4" s="1"/>
  <c r="F1750" i="4"/>
  <c r="L1750" i="4" s="1"/>
  <c r="F1749" i="4"/>
  <c r="L1749" i="4" s="1"/>
  <c r="F1748" i="4"/>
  <c r="L1748" i="4" s="1"/>
  <c r="F1747" i="4"/>
  <c r="L1747" i="4" s="1"/>
  <c r="F1746" i="4"/>
  <c r="L1746" i="4" s="1"/>
  <c r="F1745" i="4"/>
  <c r="L1745" i="4" s="1"/>
  <c r="F1744" i="4"/>
  <c r="L1744" i="4" s="1"/>
  <c r="F1743" i="4"/>
  <c r="L1743" i="4" s="1"/>
  <c r="F1742" i="4"/>
  <c r="L1742" i="4" s="1"/>
  <c r="F1741" i="4"/>
  <c r="L1741" i="4" s="1"/>
  <c r="F1740" i="4"/>
  <c r="L1740" i="4" s="1"/>
  <c r="F1739" i="4"/>
  <c r="L1739" i="4" s="1"/>
  <c r="F1738" i="4"/>
  <c r="L1738" i="4" s="1"/>
  <c r="F1737" i="4"/>
  <c r="L1737" i="4" s="1"/>
  <c r="F1736" i="4"/>
  <c r="L1736" i="4" s="1"/>
  <c r="F1735" i="4"/>
  <c r="L1735" i="4" s="1"/>
  <c r="F1734" i="4"/>
  <c r="L1734" i="4" s="1"/>
  <c r="F1733" i="4"/>
  <c r="L1733" i="4" s="1"/>
  <c r="F1732" i="4"/>
  <c r="L1732" i="4" s="1"/>
  <c r="F1731" i="4"/>
  <c r="L1731" i="4" s="1"/>
  <c r="F1730" i="4"/>
  <c r="L1730" i="4" s="1"/>
  <c r="F1729" i="4"/>
  <c r="L1729" i="4" s="1"/>
  <c r="F1728" i="4"/>
  <c r="L1728" i="4" s="1"/>
  <c r="F1727" i="4"/>
  <c r="L1727" i="4" s="1"/>
  <c r="F1726" i="4"/>
  <c r="L1726" i="4" s="1"/>
  <c r="F1725" i="4"/>
  <c r="L1725" i="4" s="1"/>
  <c r="F1724" i="4"/>
  <c r="L1724" i="4" s="1"/>
  <c r="F1723" i="4"/>
  <c r="L1723" i="4" s="1"/>
  <c r="F1722" i="4"/>
  <c r="L1722" i="4" s="1"/>
  <c r="F1721" i="4"/>
  <c r="L1721" i="4" s="1"/>
  <c r="F1720" i="4"/>
  <c r="L1720" i="4" s="1"/>
  <c r="F1719" i="4"/>
  <c r="L1719" i="4" s="1"/>
  <c r="F1718" i="4"/>
  <c r="L1718" i="4" s="1"/>
  <c r="F1717" i="4"/>
  <c r="L1717" i="4" s="1"/>
  <c r="F1716" i="4"/>
  <c r="L1716" i="4" s="1"/>
  <c r="F1715" i="4"/>
  <c r="L1715" i="4" s="1"/>
  <c r="F1714" i="4"/>
  <c r="L1714" i="4" s="1"/>
  <c r="F1713" i="4"/>
  <c r="L1713" i="4" s="1"/>
  <c r="F1712" i="4"/>
  <c r="L1712" i="4" s="1"/>
  <c r="F1711" i="4"/>
  <c r="L1711" i="4" s="1"/>
  <c r="F1710" i="4"/>
  <c r="L1710" i="4" s="1"/>
  <c r="F1709" i="4"/>
  <c r="L1709" i="4" s="1"/>
  <c r="F1708" i="4"/>
  <c r="L1708" i="4" s="1"/>
  <c r="F1707" i="4"/>
  <c r="L1707" i="4" s="1"/>
  <c r="F1706" i="4"/>
  <c r="L1706" i="4" s="1"/>
  <c r="F1705" i="4"/>
  <c r="L1705" i="4" s="1"/>
  <c r="F1704" i="4"/>
  <c r="L1704" i="4" s="1"/>
  <c r="F1703" i="4"/>
  <c r="L1703" i="4" s="1"/>
  <c r="F1702" i="4"/>
  <c r="L1702" i="4" s="1"/>
  <c r="F1701" i="4"/>
  <c r="L1701" i="4" s="1"/>
  <c r="F1700" i="4"/>
  <c r="L1700" i="4" s="1"/>
  <c r="F1699" i="4"/>
  <c r="L1699" i="4" s="1"/>
  <c r="F1698" i="4"/>
  <c r="L1698" i="4" s="1"/>
  <c r="F1697" i="4"/>
  <c r="L1697" i="4" s="1"/>
  <c r="F1696" i="4"/>
  <c r="L1696" i="4" s="1"/>
  <c r="F1695" i="4"/>
  <c r="L1695" i="4" s="1"/>
  <c r="F1694" i="4"/>
  <c r="L1694" i="4" s="1"/>
  <c r="F1693" i="4"/>
  <c r="L1693" i="4" s="1"/>
  <c r="F1692" i="4"/>
  <c r="L1692" i="4" s="1"/>
  <c r="F1691" i="4"/>
  <c r="L1691" i="4" s="1"/>
  <c r="F1690" i="4"/>
  <c r="L1690" i="4" s="1"/>
  <c r="F1689" i="4"/>
  <c r="L1689" i="4" s="1"/>
  <c r="F1688" i="4"/>
  <c r="L1688" i="4" s="1"/>
  <c r="F1687" i="4"/>
  <c r="L1687" i="4" s="1"/>
  <c r="F1686" i="4"/>
  <c r="L1686" i="4" s="1"/>
  <c r="F1685" i="4"/>
  <c r="L1685" i="4" s="1"/>
  <c r="F1684" i="4"/>
  <c r="L1684" i="4" s="1"/>
  <c r="F1683" i="4"/>
  <c r="L1683" i="4" s="1"/>
  <c r="F1682" i="4"/>
  <c r="L1682" i="4" s="1"/>
  <c r="F1681" i="4"/>
  <c r="L1681" i="4" s="1"/>
  <c r="F1680" i="4"/>
  <c r="L1680" i="4" s="1"/>
  <c r="F1679" i="4"/>
  <c r="L1679" i="4" s="1"/>
  <c r="F1678" i="4"/>
  <c r="L1678" i="4" s="1"/>
  <c r="F1677" i="4"/>
  <c r="L1677" i="4" s="1"/>
  <c r="F1676" i="4"/>
  <c r="L1676" i="4" s="1"/>
  <c r="F1675" i="4"/>
  <c r="L1675" i="4" s="1"/>
  <c r="F1674" i="4"/>
  <c r="L1674" i="4" s="1"/>
  <c r="F1673" i="4"/>
  <c r="L1673" i="4" s="1"/>
  <c r="F1672" i="4"/>
  <c r="L1672" i="4" s="1"/>
  <c r="F1671" i="4"/>
  <c r="L1671" i="4" s="1"/>
  <c r="F1670" i="4"/>
  <c r="L1670" i="4" s="1"/>
  <c r="F1669" i="4"/>
  <c r="L1669" i="4" s="1"/>
  <c r="F1668" i="4"/>
  <c r="L1668" i="4" s="1"/>
  <c r="F1667" i="4"/>
  <c r="L1667" i="4" s="1"/>
  <c r="F1666" i="4"/>
  <c r="L1666" i="4" s="1"/>
  <c r="F1665" i="4"/>
  <c r="L1665" i="4" s="1"/>
  <c r="F1664" i="4"/>
  <c r="L1664" i="4" s="1"/>
  <c r="F1663" i="4"/>
  <c r="L1663" i="4" s="1"/>
  <c r="F1662" i="4"/>
  <c r="L1662" i="4" s="1"/>
  <c r="F1661" i="4"/>
  <c r="L1661" i="4" s="1"/>
  <c r="F1660" i="4"/>
  <c r="L1660" i="4" s="1"/>
  <c r="F1659" i="4"/>
  <c r="L1659" i="4" s="1"/>
  <c r="F1658" i="4"/>
  <c r="L1658" i="4" s="1"/>
  <c r="F1657" i="4"/>
  <c r="L1657" i="4" s="1"/>
  <c r="F1656" i="4"/>
  <c r="L1656" i="4" s="1"/>
  <c r="F1655" i="4"/>
  <c r="L1655" i="4" s="1"/>
  <c r="F1654" i="4"/>
  <c r="L1654" i="4" s="1"/>
  <c r="F1653" i="4"/>
  <c r="L1653" i="4" s="1"/>
  <c r="F1652" i="4"/>
  <c r="L1652" i="4" s="1"/>
  <c r="F1651" i="4"/>
  <c r="L1651" i="4" s="1"/>
  <c r="F1650" i="4"/>
  <c r="L1650" i="4" s="1"/>
  <c r="F1649" i="4"/>
  <c r="L1649" i="4" s="1"/>
  <c r="F1648" i="4"/>
  <c r="L1648" i="4" s="1"/>
  <c r="F1647" i="4"/>
  <c r="L1647" i="4" s="1"/>
  <c r="F1646" i="4"/>
  <c r="L1646" i="4" s="1"/>
  <c r="F1645" i="4"/>
  <c r="L1645" i="4" s="1"/>
  <c r="F1644" i="4"/>
  <c r="L1644" i="4" s="1"/>
  <c r="F1643" i="4"/>
  <c r="L1643" i="4" s="1"/>
  <c r="F1642" i="4"/>
  <c r="L1642" i="4" s="1"/>
  <c r="F1641" i="4"/>
  <c r="L1641" i="4" s="1"/>
  <c r="F1640" i="4"/>
  <c r="L1640" i="4" s="1"/>
  <c r="F1639" i="4"/>
  <c r="L1639" i="4" s="1"/>
  <c r="F1638" i="4"/>
  <c r="L1638" i="4" s="1"/>
  <c r="F1637" i="4"/>
  <c r="L1637" i="4" s="1"/>
  <c r="F1636" i="4"/>
  <c r="L1636" i="4" s="1"/>
  <c r="F1635" i="4"/>
  <c r="L1635" i="4" s="1"/>
  <c r="F1634" i="4"/>
  <c r="L1634" i="4" s="1"/>
  <c r="F1633" i="4"/>
  <c r="L1633" i="4" s="1"/>
  <c r="F1632" i="4"/>
  <c r="L1632" i="4" s="1"/>
  <c r="F1631" i="4"/>
  <c r="L1631" i="4" s="1"/>
  <c r="F1630" i="4"/>
  <c r="L1630" i="4" s="1"/>
  <c r="F1629" i="4"/>
  <c r="L1629" i="4" s="1"/>
  <c r="F1628" i="4"/>
  <c r="L1628" i="4" s="1"/>
  <c r="F1627" i="4"/>
  <c r="L1627" i="4" s="1"/>
  <c r="F1626" i="4"/>
  <c r="L1626" i="4" s="1"/>
  <c r="F1625" i="4"/>
  <c r="L1625" i="4" s="1"/>
  <c r="F1624" i="4"/>
  <c r="L1624" i="4" s="1"/>
  <c r="F1623" i="4"/>
  <c r="L1623" i="4" s="1"/>
  <c r="F1622" i="4"/>
  <c r="L1622" i="4" s="1"/>
  <c r="F1621" i="4"/>
  <c r="L1621" i="4" s="1"/>
  <c r="F1620" i="4"/>
  <c r="L1620" i="4" s="1"/>
  <c r="F1619" i="4"/>
  <c r="L1619" i="4" s="1"/>
  <c r="F1618" i="4"/>
  <c r="L1618" i="4" s="1"/>
  <c r="F1617" i="4"/>
  <c r="L1617" i="4" s="1"/>
  <c r="F1616" i="4"/>
  <c r="L1616" i="4" s="1"/>
  <c r="F1615" i="4"/>
  <c r="L1615" i="4" s="1"/>
  <c r="F1614" i="4"/>
  <c r="L1614" i="4" s="1"/>
  <c r="F1613" i="4"/>
  <c r="L1613" i="4" s="1"/>
  <c r="F1612" i="4"/>
  <c r="L1612" i="4" s="1"/>
  <c r="F1611" i="4"/>
  <c r="L1611" i="4" s="1"/>
  <c r="F1610" i="4"/>
  <c r="L1610" i="4" s="1"/>
  <c r="F1609" i="4"/>
  <c r="L1609" i="4" s="1"/>
  <c r="F1608" i="4"/>
  <c r="L1608" i="4" s="1"/>
  <c r="F1607" i="4"/>
  <c r="L1607" i="4" s="1"/>
  <c r="F1606" i="4"/>
  <c r="L1606" i="4" s="1"/>
  <c r="F1605" i="4"/>
  <c r="L1605" i="4" s="1"/>
  <c r="F1604" i="4"/>
  <c r="L1604" i="4" s="1"/>
  <c r="F1603" i="4"/>
  <c r="L1603" i="4" s="1"/>
  <c r="F1602" i="4"/>
  <c r="L1602" i="4" s="1"/>
  <c r="F1601" i="4"/>
  <c r="L1601" i="4" s="1"/>
  <c r="F1600" i="4"/>
  <c r="L1600" i="4" s="1"/>
  <c r="F1599" i="4"/>
  <c r="L1599" i="4" s="1"/>
  <c r="F1598" i="4"/>
  <c r="L1598" i="4" s="1"/>
  <c r="F1597" i="4"/>
  <c r="L1597" i="4" s="1"/>
  <c r="F1596" i="4"/>
  <c r="L1596" i="4" s="1"/>
  <c r="F1595" i="4"/>
  <c r="L1595" i="4" s="1"/>
  <c r="F1594" i="4"/>
  <c r="L1594" i="4" s="1"/>
  <c r="F1593" i="4"/>
  <c r="L1593" i="4" s="1"/>
  <c r="F1592" i="4"/>
  <c r="L1592" i="4" s="1"/>
  <c r="F1591" i="4"/>
  <c r="L1591" i="4" s="1"/>
  <c r="F1590" i="4"/>
  <c r="L1590" i="4" s="1"/>
  <c r="F1589" i="4"/>
  <c r="L1589" i="4" s="1"/>
  <c r="F1588" i="4"/>
  <c r="L1588" i="4" s="1"/>
  <c r="F1587" i="4"/>
  <c r="L1587" i="4" s="1"/>
  <c r="F1586" i="4"/>
  <c r="L1586" i="4" s="1"/>
  <c r="F1585" i="4"/>
  <c r="L1585" i="4" s="1"/>
  <c r="F1584" i="4"/>
  <c r="L1584" i="4" s="1"/>
  <c r="F1583" i="4"/>
  <c r="L1583" i="4" s="1"/>
  <c r="F1582" i="4"/>
  <c r="L1582" i="4" s="1"/>
  <c r="F1581" i="4"/>
  <c r="L1581" i="4" s="1"/>
  <c r="F1580" i="4"/>
  <c r="L1580" i="4" s="1"/>
  <c r="F1579" i="4"/>
  <c r="L1579" i="4" s="1"/>
  <c r="F1578" i="4"/>
  <c r="L1578" i="4" s="1"/>
  <c r="F1577" i="4"/>
  <c r="L1577" i="4" s="1"/>
  <c r="F1576" i="4"/>
  <c r="L1576" i="4" s="1"/>
  <c r="F1575" i="4"/>
  <c r="L1575" i="4" s="1"/>
  <c r="F1574" i="4"/>
  <c r="L1574" i="4" s="1"/>
  <c r="F1573" i="4"/>
  <c r="L1573" i="4" s="1"/>
  <c r="F1572" i="4"/>
  <c r="L1572" i="4" s="1"/>
  <c r="F1571" i="4"/>
  <c r="L1571" i="4" s="1"/>
  <c r="F1570" i="4"/>
  <c r="L1570" i="4" s="1"/>
  <c r="F1569" i="4"/>
  <c r="L1569" i="4" s="1"/>
  <c r="F1568" i="4"/>
  <c r="L1568" i="4" s="1"/>
  <c r="F1567" i="4"/>
  <c r="L1567" i="4" s="1"/>
  <c r="F1566" i="4"/>
  <c r="L1566" i="4" s="1"/>
  <c r="F1565" i="4"/>
  <c r="L1565" i="4" s="1"/>
  <c r="F1564" i="4"/>
  <c r="L1564" i="4" s="1"/>
  <c r="F1563" i="4"/>
  <c r="L1563" i="4" s="1"/>
  <c r="F1562" i="4"/>
  <c r="L1562" i="4" s="1"/>
  <c r="F1561" i="4"/>
  <c r="L1561" i="4" s="1"/>
  <c r="F1560" i="4"/>
  <c r="L1560" i="4" s="1"/>
  <c r="F1559" i="4"/>
  <c r="L1559" i="4" s="1"/>
  <c r="F1558" i="4"/>
  <c r="L1558" i="4" s="1"/>
  <c r="F1557" i="4"/>
  <c r="L1557" i="4" s="1"/>
  <c r="F1556" i="4"/>
  <c r="L1556" i="4" s="1"/>
  <c r="F1555" i="4"/>
  <c r="L1555" i="4" s="1"/>
  <c r="F1554" i="4"/>
  <c r="L1554" i="4" s="1"/>
  <c r="F1553" i="4"/>
  <c r="L1553" i="4" s="1"/>
  <c r="F1552" i="4"/>
  <c r="L1552" i="4" s="1"/>
  <c r="F1551" i="4"/>
  <c r="L1551" i="4" s="1"/>
  <c r="F1550" i="4"/>
  <c r="L1550" i="4" s="1"/>
  <c r="F1549" i="4"/>
  <c r="L1549" i="4" s="1"/>
  <c r="F1548" i="4"/>
  <c r="L1548" i="4" s="1"/>
  <c r="F1547" i="4"/>
  <c r="L1547" i="4" s="1"/>
  <c r="F1546" i="4"/>
  <c r="L1546" i="4" s="1"/>
  <c r="F1545" i="4"/>
  <c r="L1545" i="4" s="1"/>
  <c r="F1544" i="4"/>
  <c r="L1544" i="4" s="1"/>
  <c r="F1543" i="4"/>
  <c r="L1543" i="4" s="1"/>
  <c r="F1542" i="4"/>
  <c r="L1542" i="4" s="1"/>
  <c r="F1541" i="4"/>
  <c r="L1541" i="4" s="1"/>
  <c r="F1540" i="4"/>
  <c r="L1540" i="4" s="1"/>
  <c r="F1539" i="4"/>
  <c r="L1539" i="4" s="1"/>
  <c r="F1538" i="4"/>
  <c r="L1538" i="4" s="1"/>
  <c r="F1537" i="4"/>
  <c r="L1537" i="4" s="1"/>
  <c r="F1536" i="4"/>
  <c r="L1536" i="4" s="1"/>
  <c r="F1535" i="4"/>
  <c r="L1535" i="4" s="1"/>
  <c r="F1534" i="4"/>
  <c r="L1534" i="4" s="1"/>
  <c r="F1533" i="4"/>
  <c r="L1533" i="4" s="1"/>
  <c r="F1532" i="4"/>
  <c r="L1532" i="4" s="1"/>
  <c r="F1531" i="4"/>
  <c r="L1531" i="4" s="1"/>
  <c r="F1530" i="4"/>
  <c r="L1530" i="4" s="1"/>
  <c r="F1529" i="4"/>
  <c r="L1529" i="4" s="1"/>
  <c r="F1528" i="4"/>
  <c r="L1528" i="4" s="1"/>
  <c r="F1527" i="4"/>
  <c r="L1527" i="4" s="1"/>
  <c r="F1526" i="4"/>
  <c r="L1526" i="4" s="1"/>
  <c r="F1525" i="4"/>
  <c r="L1525" i="4" s="1"/>
  <c r="F1524" i="4"/>
  <c r="L1524" i="4" s="1"/>
  <c r="F1523" i="4"/>
  <c r="L1523" i="4" s="1"/>
  <c r="F1522" i="4"/>
  <c r="L1522" i="4" s="1"/>
  <c r="F1521" i="4"/>
  <c r="L1521" i="4" s="1"/>
  <c r="F1520" i="4"/>
  <c r="L1520" i="4" s="1"/>
  <c r="F1519" i="4"/>
  <c r="L1519" i="4" s="1"/>
  <c r="F1518" i="4"/>
  <c r="L1518" i="4" s="1"/>
  <c r="F1517" i="4"/>
  <c r="L1517" i="4" s="1"/>
  <c r="F1516" i="4"/>
  <c r="L1516" i="4" s="1"/>
  <c r="F1515" i="4"/>
  <c r="L1515" i="4" s="1"/>
  <c r="F1514" i="4"/>
  <c r="L1514" i="4" s="1"/>
  <c r="F1513" i="4"/>
  <c r="L1513" i="4" s="1"/>
  <c r="F1512" i="4"/>
  <c r="L1512" i="4" s="1"/>
  <c r="F1511" i="4"/>
  <c r="L1511" i="4" s="1"/>
  <c r="F1510" i="4"/>
  <c r="L1510" i="4" s="1"/>
  <c r="F1509" i="4"/>
  <c r="L1509" i="4" s="1"/>
  <c r="F1508" i="4"/>
  <c r="L1508" i="4" s="1"/>
  <c r="F1507" i="4"/>
  <c r="L1507" i="4" s="1"/>
  <c r="F1506" i="4"/>
  <c r="L1506" i="4" s="1"/>
  <c r="F1505" i="4"/>
  <c r="L1505" i="4" s="1"/>
  <c r="F1504" i="4"/>
  <c r="L1504" i="4" s="1"/>
  <c r="F1503" i="4"/>
  <c r="L1503" i="4" s="1"/>
  <c r="F1502" i="4"/>
  <c r="L1502" i="4" s="1"/>
  <c r="F1501" i="4"/>
  <c r="L1501" i="4" s="1"/>
  <c r="F1500" i="4"/>
  <c r="L1500" i="4" s="1"/>
  <c r="F1499" i="4"/>
  <c r="L1499" i="4" s="1"/>
  <c r="F1498" i="4"/>
  <c r="L1498" i="4" s="1"/>
  <c r="F1497" i="4"/>
  <c r="L1497" i="4" s="1"/>
  <c r="F1496" i="4"/>
  <c r="L1496" i="4" s="1"/>
  <c r="F1495" i="4"/>
  <c r="L1495" i="4" s="1"/>
  <c r="F1494" i="4"/>
  <c r="L1494" i="4" s="1"/>
  <c r="F1493" i="4"/>
  <c r="L1493" i="4" s="1"/>
  <c r="F1492" i="4"/>
  <c r="L1492" i="4" s="1"/>
  <c r="F1491" i="4"/>
  <c r="L1491" i="4" s="1"/>
  <c r="F1490" i="4"/>
  <c r="L1490" i="4" s="1"/>
  <c r="F1489" i="4"/>
  <c r="L1489" i="4" s="1"/>
  <c r="F1488" i="4"/>
  <c r="L1488" i="4" s="1"/>
  <c r="F1487" i="4"/>
  <c r="L1487" i="4" s="1"/>
  <c r="F1486" i="4"/>
  <c r="L1486" i="4" s="1"/>
  <c r="F1485" i="4"/>
  <c r="L1485" i="4" s="1"/>
  <c r="F1484" i="4"/>
  <c r="L1484" i="4" s="1"/>
  <c r="F1483" i="4"/>
  <c r="L1483" i="4" s="1"/>
  <c r="F1482" i="4"/>
  <c r="L1482" i="4" s="1"/>
  <c r="F1481" i="4"/>
  <c r="L1481" i="4" s="1"/>
  <c r="F1480" i="4"/>
  <c r="L1480" i="4" s="1"/>
  <c r="F1479" i="4"/>
  <c r="L1479" i="4" s="1"/>
  <c r="F1478" i="4"/>
  <c r="L1478" i="4" s="1"/>
  <c r="F1477" i="4"/>
  <c r="L1477" i="4" s="1"/>
  <c r="F1476" i="4"/>
  <c r="L1476" i="4" s="1"/>
  <c r="F1475" i="4"/>
  <c r="L1475" i="4" s="1"/>
  <c r="F1474" i="4"/>
  <c r="L1474" i="4" s="1"/>
  <c r="F1473" i="4"/>
  <c r="L1473" i="4" s="1"/>
  <c r="F1472" i="4"/>
  <c r="L1472" i="4" s="1"/>
  <c r="F1471" i="4"/>
  <c r="L1471" i="4" s="1"/>
  <c r="F1470" i="4"/>
  <c r="L1470" i="4" s="1"/>
  <c r="F1469" i="4"/>
  <c r="L1469" i="4" s="1"/>
  <c r="F1468" i="4"/>
  <c r="L1468" i="4" s="1"/>
  <c r="F1467" i="4"/>
  <c r="L1467" i="4" s="1"/>
  <c r="F1466" i="4"/>
  <c r="L1466" i="4" s="1"/>
  <c r="F1465" i="4"/>
  <c r="L1465" i="4" s="1"/>
  <c r="F1464" i="4"/>
  <c r="L1464" i="4" s="1"/>
  <c r="F1463" i="4"/>
  <c r="L1463" i="4" s="1"/>
  <c r="F1462" i="4"/>
  <c r="L1462" i="4" s="1"/>
  <c r="F1461" i="4"/>
  <c r="L1461" i="4" s="1"/>
  <c r="F1460" i="4"/>
  <c r="L1460" i="4" s="1"/>
  <c r="F1459" i="4"/>
  <c r="L1459" i="4" s="1"/>
  <c r="F1458" i="4"/>
  <c r="L1458" i="4" s="1"/>
  <c r="F1457" i="4"/>
  <c r="L1457" i="4" s="1"/>
  <c r="F1456" i="4"/>
  <c r="L1456" i="4" s="1"/>
  <c r="F1455" i="4"/>
  <c r="L1455" i="4" s="1"/>
  <c r="F1454" i="4"/>
  <c r="L1454" i="4" s="1"/>
  <c r="F1453" i="4"/>
  <c r="L1453" i="4" s="1"/>
  <c r="F1452" i="4"/>
  <c r="L1452" i="4" s="1"/>
  <c r="F1451" i="4"/>
  <c r="L1451" i="4" s="1"/>
  <c r="F1450" i="4"/>
  <c r="L1450" i="4" s="1"/>
  <c r="F1449" i="4"/>
  <c r="L1449" i="4" s="1"/>
  <c r="F1448" i="4"/>
  <c r="L1448" i="4" s="1"/>
  <c r="F1447" i="4"/>
  <c r="L1447" i="4" s="1"/>
  <c r="F1446" i="4"/>
  <c r="L1446" i="4" s="1"/>
  <c r="F1445" i="4"/>
  <c r="L1445" i="4" s="1"/>
  <c r="F1444" i="4"/>
  <c r="L1444" i="4" s="1"/>
  <c r="F1443" i="4"/>
  <c r="L1443" i="4" s="1"/>
  <c r="F1442" i="4"/>
  <c r="L1442" i="4" s="1"/>
  <c r="F1441" i="4"/>
  <c r="L1441" i="4" s="1"/>
  <c r="F1440" i="4"/>
  <c r="L1440" i="4" s="1"/>
  <c r="F1439" i="4"/>
  <c r="L1439" i="4" s="1"/>
  <c r="F1438" i="4"/>
  <c r="L1438" i="4" s="1"/>
  <c r="F1437" i="4"/>
  <c r="L1437" i="4" s="1"/>
  <c r="F1436" i="4"/>
  <c r="L1436" i="4" s="1"/>
  <c r="F1435" i="4"/>
  <c r="L1435" i="4" s="1"/>
  <c r="F1434" i="4"/>
  <c r="L1434" i="4" s="1"/>
  <c r="F1433" i="4"/>
  <c r="L1433" i="4" s="1"/>
  <c r="F1432" i="4"/>
  <c r="L1432" i="4" s="1"/>
  <c r="F1431" i="4"/>
  <c r="L1431" i="4" s="1"/>
  <c r="F1430" i="4"/>
  <c r="L1430" i="4" s="1"/>
  <c r="F1429" i="4"/>
  <c r="L1429" i="4" s="1"/>
  <c r="F1428" i="4"/>
  <c r="L1428" i="4" s="1"/>
  <c r="F1427" i="4"/>
  <c r="L1427" i="4" s="1"/>
  <c r="F1426" i="4"/>
  <c r="L1426" i="4" s="1"/>
  <c r="F1425" i="4"/>
  <c r="L1425" i="4" s="1"/>
  <c r="F1424" i="4"/>
  <c r="L1424" i="4" s="1"/>
  <c r="F1423" i="4"/>
  <c r="L1423" i="4" s="1"/>
  <c r="F1422" i="4"/>
  <c r="L1422" i="4" s="1"/>
  <c r="F1421" i="4"/>
  <c r="L1421" i="4" s="1"/>
  <c r="F1420" i="4"/>
  <c r="L1420" i="4" s="1"/>
  <c r="F1419" i="4"/>
  <c r="L1419" i="4" s="1"/>
  <c r="F1418" i="4"/>
  <c r="L1418" i="4" s="1"/>
  <c r="F1417" i="4"/>
  <c r="L1417" i="4" s="1"/>
  <c r="F1416" i="4"/>
  <c r="L1416" i="4" s="1"/>
  <c r="F1415" i="4"/>
  <c r="L1415" i="4" s="1"/>
  <c r="F1414" i="4"/>
  <c r="L1414" i="4" s="1"/>
  <c r="F1413" i="4"/>
  <c r="L1413" i="4" s="1"/>
  <c r="F1412" i="4"/>
  <c r="L1412" i="4" s="1"/>
  <c r="F1411" i="4"/>
  <c r="L1411" i="4" s="1"/>
  <c r="F1410" i="4"/>
  <c r="L1410" i="4" s="1"/>
  <c r="F1409" i="4"/>
  <c r="L1409" i="4" s="1"/>
  <c r="F1408" i="4"/>
  <c r="L1408" i="4" s="1"/>
  <c r="F1407" i="4"/>
  <c r="L1407" i="4" s="1"/>
  <c r="F1406" i="4"/>
  <c r="L1406" i="4" s="1"/>
  <c r="F1405" i="4"/>
  <c r="L1405" i="4" s="1"/>
  <c r="F1404" i="4"/>
  <c r="L1404" i="4" s="1"/>
  <c r="F1403" i="4"/>
  <c r="L1403" i="4" s="1"/>
  <c r="F1402" i="4"/>
  <c r="L1402" i="4" s="1"/>
  <c r="F1401" i="4"/>
  <c r="L1401" i="4" s="1"/>
  <c r="F1400" i="4"/>
  <c r="L1400" i="4" s="1"/>
  <c r="F1399" i="4"/>
  <c r="L1399" i="4" s="1"/>
  <c r="F1398" i="4"/>
  <c r="L1398" i="4" s="1"/>
  <c r="F1397" i="4"/>
  <c r="L1397" i="4" s="1"/>
  <c r="F1396" i="4"/>
  <c r="L1396" i="4" s="1"/>
  <c r="F1395" i="4"/>
  <c r="L1395" i="4" s="1"/>
  <c r="F1394" i="4"/>
  <c r="L1394" i="4" s="1"/>
  <c r="F1393" i="4"/>
  <c r="L1393" i="4" s="1"/>
  <c r="F1392" i="4"/>
  <c r="L1392" i="4" s="1"/>
  <c r="F1391" i="4"/>
  <c r="L1391" i="4" s="1"/>
  <c r="F1390" i="4"/>
  <c r="L1390" i="4" s="1"/>
  <c r="F1389" i="4"/>
  <c r="L1389" i="4" s="1"/>
  <c r="F1388" i="4"/>
  <c r="L1388" i="4" s="1"/>
  <c r="F1387" i="4"/>
  <c r="L1387" i="4" s="1"/>
  <c r="F1386" i="4"/>
  <c r="L1386" i="4" s="1"/>
  <c r="F1385" i="4"/>
  <c r="L1385" i="4" s="1"/>
  <c r="F1384" i="4"/>
  <c r="L1384" i="4" s="1"/>
  <c r="F1383" i="4"/>
  <c r="L1383" i="4" s="1"/>
  <c r="F1382" i="4"/>
  <c r="L1382" i="4" s="1"/>
  <c r="F1381" i="4"/>
  <c r="L1381" i="4" s="1"/>
  <c r="F1380" i="4"/>
  <c r="L1380" i="4" s="1"/>
  <c r="F1379" i="4"/>
  <c r="L1379" i="4" s="1"/>
  <c r="F1378" i="4"/>
  <c r="L1378" i="4" s="1"/>
  <c r="F1377" i="4"/>
  <c r="L1377" i="4" s="1"/>
  <c r="F1376" i="4"/>
  <c r="L1376" i="4" s="1"/>
  <c r="F1375" i="4"/>
  <c r="L1375" i="4" s="1"/>
  <c r="F1374" i="4"/>
  <c r="L1374" i="4" s="1"/>
  <c r="F1373" i="4"/>
  <c r="L1373" i="4" s="1"/>
  <c r="F1372" i="4"/>
  <c r="L1372" i="4" s="1"/>
  <c r="F1371" i="4"/>
  <c r="L1371" i="4" s="1"/>
  <c r="F1370" i="4"/>
  <c r="L1370" i="4" s="1"/>
  <c r="F1369" i="4"/>
  <c r="L1369" i="4" s="1"/>
  <c r="F1368" i="4"/>
  <c r="L1368" i="4" s="1"/>
  <c r="F1367" i="4"/>
  <c r="L1367" i="4" s="1"/>
  <c r="F1366" i="4"/>
  <c r="L1366" i="4" s="1"/>
  <c r="F1365" i="4"/>
  <c r="L1365" i="4" s="1"/>
  <c r="F1364" i="4"/>
  <c r="L1364" i="4" s="1"/>
  <c r="F1363" i="4"/>
  <c r="L1363" i="4" s="1"/>
  <c r="F1362" i="4"/>
  <c r="L1362" i="4" s="1"/>
  <c r="F1361" i="4"/>
  <c r="L1361" i="4" s="1"/>
  <c r="F1360" i="4"/>
  <c r="L1360" i="4" s="1"/>
  <c r="F1359" i="4"/>
  <c r="L1359" i="4" s="1"/>
  <c r="F1358" i="4"/>
  <c r="L1358" i="4" s="1"/>
  <c r="F1357" i="4"/>
  <c r="L1357" i="4" s="1"/>
  <c r="F1356" i="4"/>
  <c r="L1356" i="4" s="1"/>
  <c r="F1355" i="4"/>
  <c r="L1355" i="4" s="1"/>
  <c r="F1354" i="4"/>
  <c r="L1354" i="4" s="1"/>
  <c r="F1353" i="4"/>
  <c r="L1353" i="4" s="1"/>
  <c r="F1352" i="4"/>
  <c r="L1352" i="4" s="1"/>
  <c r="F1351" i="4"/>
  <c r="L1351" i="4" s="1"/>
  <c r="F1350" i="4"/>
  <c r="L1350" i="4" s="1"/>
  <c r="F1349" i="4"/>
  <c r="L1349" i="4" s="1"/>
  <c r="F1348" i="4"/>
  <c r="L1348" i="4" s="1"/>
  <c r="F1347" i="4"/>
  <c r="L1347" i="4" s="1"/>
  <c r="F1346" i="4"/>
  <c r="L1346" i="4" s="1"/>
  <c r="F1345" i="4"/>
  <c r="L1345" i="4" s="1"/>
  <c r="F1344" i="4"/>
  <c r="L1344" i="4" s="1"/>
  <c r="F1343" i="4"/>
  <c r="L1343" i="4" s="1"/>
  <c r="F1342" i="4"/>
  <c r="L1342" i="4" s="1"/>
  <c r="F1341" i="4"/>
  <c r="L1341" i="4" s="1"/>
  <c r="F1340" i="4"/>
  <c r="L1340" i="4" s="1"/>
  <c r="F1339" i="4"/>
  <c r="L1339" i="4" s="1"/>
  <c r="F1338" i="4"/>
  <c r="L1338" i="4" s="1"/>
  <c r="F1337" i="4"/>
  <c r="L1337" i="4" s="1"/>
  <c r="F1336" i="4"/>
  <c r="L1336" i="4" s="1"/>
  <c r="F1335" i="4"/>
  <c r="L1335" i="4" s="1"/>
  <c r="F1334" i="4"/>
  <c r="L1334" i="4" s="1"/>
  <c r="F1333" i="4"/>
  <c r="L1333" i="4" s="1"/>
  <c r="F1332" i="4"/>
  <c r="L1332" i="4" s="1"/>
  <c r="F1331" i="4"/>
  <c r="L1331" i="4" s="1"/>
  <c r="F1330" i="4"/>
  <c r="L1330" i="4" s="1"/>
  <c r="F1329" i="4"/>
  <c r="L1329" i="4" s="1"/>
  <c r="F1328" i="4"/>
  <c r="L1328" i="4" s="1"/>
  <c r="F1327" i="4"/>
  <c r="L1327" i="4" s="1"/>
  <c r="F1326" i="4"/>
  <c r="L1326" i="4" s="1"/>
  <c r="F1325" i="4"/>
  <c r="L1325" i="4" s="1"/>
  <c r="F1324" i="4"/>
  <c r="L1324" i="4" s="1"/>
  <c r="F1323" i="4"/>
  <c r="L1323" i="4" s="1"/>
  <c r="F1322" i="4"/>
  <c r="L1322" i="4" s="1"/>
  <c r="F1321" i="4"/>
  <c r="L1321" i="4" s="1"/>
  <c r="F1320" i="4"/>
  <c r="L1320" i="4" s="1"/>
  <c r="F1319" i="4"/>
  <c r="L1319" i="4" s="1"/>
  <c r="F1318" i="4"/>
  <c r="L1318" i="4" s="1"/>
  <c r="F1317" i="4"/>
  <c r="L1317" i="4" s="1"/>
  <c r="F1316" i="4"/>
  <c r="L1316" i="4" s="1"/>
  <c r="F1315" i="4"/>
  <c r="L1315" i="4" s="1"/>
  <c r="F1314" i="4"/>
  <c r="L1314" i="4" s="1"/>
  <c r="F1313" i="4"/>
  <c r="L1313" i="4" s="1"/>
  <c r="F1312" i="4"/>
  <c r="L1312" i="4" s="1"/>
  <c r="F1311" i="4"/>
  <c r="L1311" i="4" s="1"/>
  <c r="F1310" i="4"/>
  <c r="L1310" i="4" s="1"/>
  <c r="F1309" i="4"/>
  <c r="L1309" i="4" s="1"/>
  <c r="F1308" i="4"/>
  <c r="L1308" i="4" s="1"/>
  <c r="F1307" i="4"/>
  <c r="L1307" i="4" s="1"/>
  <c r="F1306" i="4"/>
  <c r="L1306" i="4" s="1"/>
  <c r="F1305" i="4"/>
  <c r="L1305" i="4" s="1"/>
  <c r="F1304" i="4"/>
  <c r="L1304" i="4" s="1"/>
  <c r="F1303" i="4"/>
  <c r="L1303" i="4" s="1"/>
  <c r="F1302" i="4"/>
  <c r="L1302" i="4" s="1"/>
  <c r="F1301" i="4"/>
  <c r="L1301" i="4" s="1"/>
  <c r="F1300" i="4"/>
  <c r="L1300" i="4" s="1"/>
  <c r="F1299" i="4"/>
  <c r="L1299" i="4" s="1"/>
  <c r="F1298" i="4"/>
  <c r="L1298" i="4" s="1"/>
  <c r="F1297" i="4"/>
  <c r="L1297" i="4" s="1"/>
  <c r="F1296" i="4"/>
  <c r="L1296" i="4" s="1"/>
  <c r="F1295" i="4"/>
  <c r="L1295" i="4" s="1"/>
  <c r="F1294" i="4"/>
  <c r="L1294" i="4" s="1"/>
  <c r="F1293" i="4"/>
  <c r="L1293" i="4" s="1"/>
  <c r="F1292" i="4"/>
  <c r="L1292" i="4" s="1"/>
  <c r="F1291" i="4"/>
  <c r="L1291" i="4" s="1"/>
  <c r="F1290" i="4"/>
  <c r="L1290" i="4" s="1"/>
  <c r="F1289" i="4"/>
  <c r="L1289" i="4" s="1"/>
  <c r="F1288" i="4"/>
  <c r="L1288" i="4" s="1"/>
  <c r="F1287" i="4"/>
  <c r="L1287" i="4" s="1"/>
  <c r="F1286" i="4"/>
  <c r="L1286" i="4" s="1"/>
  <c r="F1285" i="4"/>
  <c r="L1285" i="4" s="1"/>
  <c r="F1284" i="4"/>
  <c r="L1284" i="4" s="1"/>
  <c r="F1283" i="4"/>
  <c r="L1283" i="4" s="1"/>
  <c r="F1282" i="4"/>
  <c r="L1282" i="4" s="1"/>
  <c r="F1281" i="4"/>
  <c r="L1281" i="4" s="1"/>
  <c r="F1280" i="4"/>
  <c r="L1280" i="4" s="1"/>
  <c r="F1279" i="4"/>
  <c r="L1279" i="4" s="1"/>
  <c r="F1278" i="4"/>
  <c r="L1278" i="4" s="1"/>
  <c r="F1277" i="4"/>
  <c r="L1277" i="4" s="1"/>
  <c r="F1276" i="4"/>
  <c r="L1276" i="4" s="1"/>
  <c r="F1275" i="4"/>
  <c r="L1275" i="4" s="1"/>
  <c r="F1274" i="4"/>
  <c r="L1274" i="4" s="1"/>
  <c r="F1273" i="4"/>
  <c r="L1273" i="4" s="1"/>
  <c r="F1272" i="4"/>
  <c r="L1272" i="4" s="1"/>
  <c r="F1271" i="4"/>
  <c r="L1271" i="4" s="1"/>
  <c r="F1270" i="4"/>
  <c r="L1270" i="4" s="1"/>
  <c r="F1269" i="4"/>
  <c r="L1269" i="4" s="1"/>
  <c r="F1268" i="4"/>
  <c r="L1268" i="4" s="1"/>
  <c r="F1267" i="4"/>
  <c r="L1267" i="4" s="1"/>
  <c r="F1266" i="4"/>
  <c r="L1266" i="4" s="1"/>
  <c r="F1265" i="4"/>
  <c r="L1265" i="4" s="1"/>
  <c r="F1264" i="4"/>
  <c r="L1264" i="4" s="1"/>
  <c r="F1263" i="4"/>
  <c r="L1263" i="4" s="1"/>
  <c r="F1262" i="4"/>
  <c r="L1262" i="4" s="1"/>
  <c r="F1261" i="4"/>
  <c r="L1261" i="4" s="1"/>
  <c r="F1260" i="4"/>
  <c r="L1260" i="4" s="1"/>
  <c r="F1259" i="4"/>
  <c r="L1259" i="4" s="1"/>
  <c r="F1258" i="4"/>
  <c r="L1258" i="4" s="1"/>
  <c r="F1257" i="4"/>
  <c r="L1257" i="4" s="1"/>
  <c r="F1256" i="4"/>
  <c r="L1256" i="4" s="1"/>
  <c r="F1255" i="4"/>
  <c r="L1255" i="4" s="1"/>
  <c r="F1254" i="4"/>
  <c r="L1254" i="4" s="1"/>
  <c r="F1253" i="4"/>
  <c r="L1253" i="4" s="1"/>
  <c r="F1252" i="4"/>
  <c r="L1252" i="4" s="1"/>
  <c r="F1251" i="4"/>
  <c r="L1251" i="4" s="1"/>
  <c r="F1250" i="4"/>
  <c r="L1250" i="4" s="1"/>
  <c r="F1249" i="4"/>
  <c r="L1249" i="4" s="1"/>
  <c r="F1248" i="4"/>
  <c r="L1248" i="4" s="1"/>
  <c r="F1247" i="4"/>
  <c r="L1247" i="4" s="1"/>
  <c r="F1246" i="4"/>
  <c r="L1246" i="4" s="1"/>
  <c r="F1245" i="4"/>
  <c r="L1245" i="4" s="1"/>
  <c r="F1244" i="4"/>
  <c r="L1244" i="4" s="1"/>
  <c r="F1243" i="4"/>
  <c r="L1243" i="4" s="1"/>
  <c r="F1242" i="4"/>
  <c r="L1242" i="4" s="1"/>
  <c r="F1241" i="4"/>
  <c r="L1241" i="4" s="1"/>
  <c r="F1240" i="4"/>
  <c r="L1240" i="4" s="1"/>
  <c r="F1239" i="4"/>
  <c r="L1239" i="4" s="1"/>
  <c r="F1238" i="4"/>
  <c r="L1238" i="4" s="1"/>
  <c r="F1237" i="4"/>
  <c r="L1237" i="4" s="1"/>
  <c r="F1236" i="4"/>
  <c r="L1236" i="4" s="1"/>
  <c r="F1235" i="4"/>
  <c r="L1235" i="4" s="1"/>
  <c r="F1234" i="4"/>
  <c r="L1234" i="4" s="1"/>
  <c r="F1233" i="4"/>
  <c r="L1233" i="4" s="1"/>
  <c r="F1232" i="4"/>
  <c r="L1232" i="4" s="1"/>
  <c r="F1231" i="4"/>
  <c r="L1231" i="4" s="1"/>
  <c r="F1230" i="4"/>
  <c r="L1230" i="4" s="1"/>
  <c r="F1229" i="4"/>
  <c r="L1229" i="4" s="1"/>
  <c r="F1228" i="4"/>
  <c r="L1228" i="4" s="1"/>
  <c r="F1227" i="4"/>
  <c r="L1227" i="4" s="1"/>
  <c r="F1226" i="4"/>
  <c r="L1226" i="4" s="1"/>
  <c r="F1225" i="4"/>
  <c r="L1225" i="4" s="1"/>
  <c r="F1224" i="4"/>
  <c r="L1224" i="4" s="1"/>
  <c r="F1223" i="4"/>
  <c r="L1223" i="4" s="1"/>
  <c r="F1222" i="4"/>
  <c r="L1222" i="4" s="1"/>
  <c r="F1221" i="4"/>
  <c r="L1221" i="4" s="1"/>
  <c r="F1220" i="4"/>
  <c r="L1220" i="4" s="1"/>
  <c r="F1219" i="4"/>
  <c r="L1219" i="4" s="1"/>
  <c r="F1218" i="4"/>
  <c r="L1218" i="4" s="1"/>
  <c r="F1217" i="4"/>
  <c r="L1217" i="4" s="1"/>
  <c r="F1216" i="4"/>
  <c r="L1216" i="4" s="1"/>
  <c r="F1215" i="4"/>
  <c r="L1215" i="4" s="1"/>
  <c r="F1214" i="4"/>
  <c r="L1214" i="4" s="1"/>
  <c r="F1213" i="4"/>
  <c r="L1213" i="4" s="1"/>
  <c r="F1212" i="4"/>
  <c r="L1212" i="4" s="1"/>
  <c r="F1211" i="4"/>
  <c r="L1211" i="4" s="1"/>
  <c r="F1210" i="4"/>
  <c r="L1210" i="4" s="1"/>
  <c r="F1209" i="4"/>
  <c r="L1209" i="4" s="1"/>
  <c r="F1208" i="4"/>
  <c r="L1208" i="4" s="1"/>
  <c r="F1207" i="4"/>
  <c r="L1207" i="4" s="1"/>
  <c r="F1206" i="4"/>
  <c r="L1206" i="4" s="1"/>
  <c r="F1205" i="4"/>
  <c r="L1205" i="4" s="1"/>
  <c r="F1204" i="4"/>
  <c r="L1204" i="4" s="1"/>
  <c r="F1203" i="4"/>
  <c r="L1203" i="4" s="1"/>
  <c r="F1202" i="4"/>
  <c r="L1202" i="4" s="1"/>
  <c r="F1201" i="4"/>
  <c r="L1201" i="4" s="1"/>
  <c r="F1200" i="4"/>
  <c r="L1200" i="4" s="1"/>
  <c r="F1199" i="4"/>
  <c r="L1199" i="4" s="1"/>
  <c r="F1198" i="4"/>
  <c r="L1198" i="4" s="1"/>
  <c r="F1197" i="4"/>
  <c r="L1197" i="4" s="1"/>
  <c r="F1196" i="4"/>
  <c r="L1196" i="4" s="1"/>
  <c r="F1195" i="4"/>
  <c r="L1195" i="4" s="1"/>
  <c r="F1194" i="4"/>
  <c r="L1194" i="4" s="1"/>
  <c r="F1193" i="4"/>
  <c r="L1193" i="4" s="1"/>
  <c r="F1192" i="4"/>
  <c r="L1192" i="4" s="1"/>
  <c r="F1191" i="4"/>
  <c r="L1191" i="4" s="1"/>
  <c r="F1190" i="4"/>
  <c r="L1190" i="4" s="1"/>
  <c r="F1189" i="4"/>
  <c r="L1189" i="4" s="1"/>
  <c r="F1188" i="4"/>
  <c r="L1188" i="4" s="1"/>
  <c r="F1187" i="4"/>
  <c r="L1187" i="4" s="1"/>
  <c r="F1186" i="4"/>
  <c r="L1186" i="4" s="1"/>
  <c r="F1185" i="4"/>
  <c r="L1185" i="4" s="1"/>
  <c r="F1184" i="4"/>
  <c r="L1184" i="4" s="1"/>
  <c r="F1183" i="4"/>
  <c r="L1183" i="4" s="1"/>
  <c r="F1182" i="4"/>
  <c r="L1182" i="4" s="1"/>
  <c r="F1181" i="4"/>
  <c r="L1181" i="4" s="1"/>
  <c r="F1180" i="4"/>
  <c r="L1180" i="4" s="1"/>
  <c r="F1179" i="4"/>
  <c r="L1179" i="4" s="1"/>
  <c r="F1178" i="4"/>
  <c r="L1178" i="4" s="1"/>
  <c r="F1177" i="4"/>
  <c r="L1177" i="4" s="1"/>
  <c r="F1176" i="4"/>
  <c r="L1176" i="4" s="1"/>
  <c r="F1175" i="4"/>
  <c r="L1175" i="4" s="1"/>
  <c r="F1174" i="4"/>
  <c r="L1174" i="4" s="1"/>
  <c r="F1173" i="4"/>
  <c r="L1173" i="4" s="1"/>
  <c r="F1172" i="4"/>
  <c r="L1172" i="4" s="1"/>
  <c r="F1171" i="4"/>
  <c r="L1171" i="4" s="1"/>
  <c r="F1170" i="4"/>
  <c r="L1170" i="4" s="1"/>
  <c r="F1169" i="4"/>
  <c r="L1169" i="4" s="1"/>
  <c r="F1168" i="4"/>
  <c r="L1168" i="4" s="1"/>
  <c r="F1167" i="4"/>
  <c r="L1167" i="4" s="1"/>
  <c r="F1166" i="4"/>
  <c r="L1166" i="4" s="1"/>
  <c r="F1165" i="4"/>
  <c r="L1165" i="4" s="1"/>
  <c r="F1164" i="4"/>
  <c r="L1164" i="4" s="1"/>
  <c r="F1163" i="4"/>
  <c r="L1163" i="4" s="1"/>
  <c r="F1162" i="4"/>
  <c r="L1162" i="4" s="1"/>
  <c r="F1161" i="4"/>
  <c r="L1161" i="4" s="1"/>
  <c r="F1160" i="4"/>
  <c r="L1160" i="4" s="1"/>
  <c r="F1159" i="4"/>
  <c r="L1159" i="4" s="1"/>
  <c r="F1158" i="4"/>
  <c r="L1158" i="4" s="1"/>
  <c r="F1157" i="4"/>
  <c r="L1157" i="4" s="1"/>
  <c r="F1156" i="4"/>
  <c r="L1156" i="4" s="1"/>
  <c r="F1155" i="4"/>
  <c r="L1155" i="4" s="1"/>
  <c r="F1154" i="4"/>
  <c r="L1154" i="4" s="1"/>
  <c r="F1153" i="4"/>
  <c r="L1153" i="4" s="1"/>
  <c r="F1152" i="4"/>
  <c r="L1152" i="4" s="1"/>
  <c r="F1151" i="4"/>
  <c r="L1151" i="4" s="1"/>
  <c r="F1150" i="4"/>
  <c r="L1150" i="4" s="1"/>
  <c r="F1149" i="4"/>
  <c r="L1149" i="4" s="1"/>
  <c r="F1148" i="4"/>
  <c r="L1148" i="4" s="1"/>
  <c r="F1147" i="4"/>
  <c r="L1147" i="4" s="1"/>
  <c r="F1146" i="4"/>
  <c r="L1146" i="4" s="1"/>
  <c r="F1145" i="4"/>
  <c r="L1145" i="4" s="1"/>
  <c r="F1144" i="4"/>
  <c r="L1144" i="4" s="1"/>
  <c r="F1143" i="4"/>
  <c r="L1143" i="4" s="1"/>
  <c r="F1142" i="4"/>
  <c r="L1142" i="4" s="1"/>
  <c r="F1141" i="4"/>
  <c r="L1141" i="4" s="1"/>
  <c r="F1140" i="4"/>
  <c r="L1140" i="4" s="1"/>
  <c r="F1139" i="4"/>
  <c r="L1139" i="4" s="1"/>
  <c r="F1138" i="4"/>
  <c r="L1138" i="4" s="1"/>
  <c r="F1137" i="4"/>
  <c r="L1137" i="4" s="1"/>
  <c r="F1136" i="4"/>
  <c r="L1136" i="4" s="1"/>
  <c r="F1135" i="4"/>
  <c r="L1135" i="4" s="1"/>
  <c r="F1134" i="4"/>
  <c r="L1134" i="4" s="1"/>
  <c r="F1133" i="4"/>
  <c r="L1133" i="4" s="1"/>
  <c r="F1132" i="4"/>
  <c r="L1132" i="4" s="1"/>
  <c r="F1131" i="4"/>
  <c r="L1131" i="4" s="1"/>
  <c r="F1130" i="4"/>
  <c r="L1130" i="4" s="1"/>
  <c r="F1129" i="4"/>
  <c r="L1129" i="4" s="1"/>
  <c r="F1128" i="4"/>
  <c r="L1128" i="4" s="1"/>
  <c r="F1127" i="4"/>
  <c r="L1127" i="4" s="1"/>
  <c r="F1126" i="4"/>
  <c r="L1126" i="4" s="1"/>
  <c r="F1125" i="4"/>
  <c r="L1125" i="4" s="1"/>
  <c r="F1124" i="4"/>
  <c r="L1124" i="4" s="1"/>
  <c r="F1123" i="4"/>
  <c r="L1123" i="4" s="1"/>
  <c r="F1122" i="4"/>
  <c r="L1122" i="4" s="1"/>
  <c r="F1121" i="4"/>
  <c r="L1121" i="4" s="1"/>
  <c r="F1120" i="4"/>
  <c r="L1120" i="4" s="1"/>
  <c r="F1119" i="4"/>
  <c r="L1119" i="4" s="1"/>
  <c r="F1118" i="4"/>
  <c r="L1118" i="4" s="1"/>
  <c r="F1117" i="4"/>
  <c r="L1117" i="4" s="1"/>
  <c r="F1116" i="4"/>
  <c r="L1116" i="4" s="1"/>
  <c r="F1115" i="4"/>
  <c r="L1115" i="4" s="1"/>
  <c r="F1114" i="4"/>
  <c r="L1114" i="4" s="1"/>
  <c r="F1113" i="4"/>
  <c r="L1113" i="4" s="1"/>
  <c r="F1112" i="4"/>
  <c r="L1112" i="4" s="1"/>
  <c r="F1111" i="4"/>
  <c r="L1111" i="4" s="1"/>
  <c r="F1110" i="4"/>
  <c r="L1110" i="4" s="1"/>
  <c r="F1109" i="4"/>
  <c r="L1109" i="4" s="1"/>
  <c r="F1108" i="4"/>
  <c r="L1108" i="4" s="1"/>
  <c r="F1107" i="4"/>
  <c r="L1107" i="4" s="1"/>
  <c r="F1106" i="4"/>
  <c r="L1106" i="4" s="1"/>
  <c r="F1105" i="4"/>
  <c r="L1105" i="4" s="1"/>
  <c r="F1104" i="4"/>
  <c r="L1104" i="4" s="1"/>
  <c r="F1103" i="4"/>
  <c r="L1103" i="4" s="1"/>
  <c r="F1102" i="4"/>
  <c r="L1102" i="4" s="1"/>
  <c r="F1101" i="4"/>
  <c r="L1101" i="4" s="1"/>
  <c r="F1100" i="4"/>
  <c r="L1100" i="4" s="1"/>
  <c r="F1099" i="4"/>
  <c r="L1099" i="4" s="1"/>
  <c r="F1098" i="4"/>
  <c r="L1098" i="4" s="1"/>
  <c r="F1097" i="4"/>
  <c r="L1097" i="4" s="1"/>
  <c r="F1096" i="4"/>
  <c r="L1096" i="4" s="1"/>
  <c r="F1095" i="4"/>
  <c r="L1095" i="4" s="1"/>
  <c r="F1094" i="4"/>
  <c r="L1094" i="4" s="1"/>
  <c r="F1093" i="4"/>
  <c r="L1093" i="4" s="1"/>
  <c r="F1092" i="4"/>
  <c r="L1092" i="4" s="1"/>
  <c r="F1091" i="4"/>
  <c r="L1091" i="4" s="1"/>
  <c r="F1090" i="4"/>
  <c r="L1090" i="4" s="1"/>
  <c r="F1089" i="4"/>
  <c r="L1089" i="4" s="1"/>
  <c r="F1088" i="4"/>
  <c r="L1088" i="4" s="1"/>
  <c r="F1087" i="4"/>
  <c r="L1087" i="4" s="1"/>
  <c r="F1086" i="4"/>
  <c r="L1086" i="4" s="1"/>
  <c r="F1085" i="4"/>
  <c r="L1085" i="4" s="1"/>
  <c r="F1084" i="4"/>
  <c r="L1084" i="4" s="1"/>
  <c r="F1083" i="4"/>
  <c r="L1083" i="4" s="1"/>
  <c r="F1082" i="4"/>
  <c r="L1082" i="4" s="1"/>
  <c r="F1081" i="4"/>
  <c r="L1081" i="4" s="1"/>
  <c r="F1080" i="4"/>
  <c r="L1080" i="4" s="1"/>
  <c r="F1079" i="4"/>
  <c r="L1079" i="4" s="1"/>
  <c r="F1078" i="4"/>
  <c r="L1078" i="4" s="1"/>
  <c r="F1077" i="4"/>
  <c r="L1077" i="4" s="1"/>
  <c r="F1076" i="4"/>
  <c r="L1076" i="4" s="1"/>
  <c r="F1075" i="4"/>
  <c r="L1075" i="4" s="1"/>
  <c r="F1074" i="4"/>
  <c r="L1074" i="4" s="1"/>
  <c r="F1073" i="4"/>
  <c r="L1073" i="4" s="1"/>
  <c r="F1072" i="4"/>
  <c r="L1072" i="4" s="1"/>
  <c r="F1071" i="4"/>
  <c r="L1071" i="4" s="1"/>
  <c r="F1070" i="4"/>
  <c r="L1070" i="4" s="1"/>
  <c r="F1069" i="4"/>
  <c r="L1069" i="4" s="1"/>
  <c r="F1068" i="4"/>
  <c r="L1068" i="4" s="1"/>
  <c r="F1067" i="4"/>
  <c r="L1067" i="4" s="1"/>
  <c r="F1066" i="4"/>
  <c r="L1066" i="4" s="1"/>
  <c r="F1065" i="4"/>
  <c r="L1065" i="4" s="1"/>
  <c r="F1064" i="4"/>
  <c r="L1064" i="4" s="1"/>
  <c r="F1063" i="4"/>
  <c r="L1063" i="4" s="1"/>
  <c r="F1062" i="4"/>
  <c r="L1062" i="4" s="1"/>
  <c r="F1061" i="4"/>
  <c r="L1061" i="4" s="1"/>
  <c r="F1060" i="4"/>
  <c r="L1060" i="4" s="1"/>
  <c r="F1059" i="4"/>
  <c r="L1059" i="4" s="1"/>
  <c r="F1058" i="4"/>
  <c r="L1058" i="4" s="1"/>
  <c r="F1057" i="4"/>
  <c r="L1057" i="4" s="1"/>
  <c r="F1056" i="4"/>
  <c r="L1056" i="4" s="1"/>
  <c r="F1055" i="4"/>
  <c r="L1055" i="4" s="1"/>
  <c r="F1054" i="4"/>
  <c r="L1054" i="4" s="1"/>
  <c r="F1053" i="4"/>
  <c r="L1053" i="4" s="1"/>
  <c r="F1052" i="4"/>
  <c r="L1052" i="4" s="1"/>
  <c r="F1051" i="4"/>
  <c r="L1051" i="4" s="1"/>
  <c r="F1050" i="4"/>
  <c r="L1050" i="4" s="1"/>
  <c r="F1049" i="4"/>
  <c r="L1049" i="4" s="1"/>
  <c r="F1048" i="4"/>
  <c r="L1048" i="4" s="1"/>
  <c r="F1047" i="4"/>
  <c r="L1047" i="4" s="1"/>
  <c r="F1046" i="4"/>
  <c r="L1046" i="4" s="1"/>
  <c r="F1045" i="4"/>
  <c r="L1045" i="4" s="1"/>
  <c r="F1044" i="4"/>
  <c r="L1044" i="4" s="1"/>
  <c r="F1043" i="4"/>
  <c r="L1043" i="4" s="1"/>
  <c r="F1042" i="4"/>
  <c r="L1042" i="4" s="1"/>
  <c r="F1041" i="4"/>
  <c r="L1041" i="4" s="1"/>
  <c r="F1040" i="4"/>
  <c r="L1040" i="4" s="1"/>
  <c r="F1039" i="4"/>
  <c r="L1039" i="4" s="1"/>
  <c r="F1038" i="4"/>
  <c r="L1038" i="4" s="1"/>
  <c r="F1037" i="4"/>
  <c r="L1037" i="4" s="1"/>
  <c r="F1036" i="4"/>
  <c r="L1036" i="4" s="1"/>
  <c r="F1035" i="4"/>
  <c r="L1035" i="4" s="1"/>
  <c r="F1034" i="4"/>
  <c r="L1034" i="4" s="1"/>
  <c r="F1033" i="4"/>
  <c r="L1033" i="4" s="1"/>
  <c r="F1032" i="4"/>
  <c r="L1032" i="4" s="1"/>
  <c r="F1031" i="4"/>
  <c r="L1031" i="4" s="1"/>
  <c r="F1030" i="4"/>
  <c r="L1030" i="4" s="1"/>
  <c r="F1029" i="4"/>
  <c r="L1029" i="4" s="1"/>
  <c r="F1028" i="4"/>
  <c r="L1028" i="4" s="1"/>
  <c r="F1027" i="4"/>
  <c r="L1027" i="4" s="1"/>
  <c r="F1026" i="4"/>
  <c r="L1026" i="4" s="1"/>
  <c r="F1025" i="4"/>
  <c r="L1025" i="4" s="1"/>
  <c r="F1024" i="4"/>
  <c r="L1024" i="4" s="1"/>
  <c r="F1023" i="4"/>
  <c r="L1023" i="4" s="1"/>
  <c r="F1022" i="4"/>
  <c r="L1022" i="4" s="1"/>
  <c r="F1021" i="4"/>
  <c r="L1021" i="4" s="1"/>
  <c r="F1020" i="4"/>
  <c r="L1020" i="4" s="1"/>
  <c r="F1019" i="4"/>
  <c r="L1019" i="4" s="1"/>
  <c r="F1018" i="4"/>
  <c r="L1018" i="4" s="1"/>
  <c r="F1017" i="4"/>
  <c r="L1017" i="4" s="1"/>
  <c r="F1016" i="4"/>
  <c r="L1016" i="4" s="1"/>
  <c r="F1015" i="4"/>
  <c r="L1015" i="4" s="1"/>
  <c r="F1014" i="4"/>
  <c r="L1014" i="4" s="1"/>
  <c r="F1013" i="4"/>
  <c r="L1013" i="4" s="1"/>
  <c r="F1012" i="4"/>
  <c r="L1012" i="4" s="1"/>
  <c r="F1011" i="4"/>
  <c r="L1011" i="4" s="1"/>
  <c r="F1010" i="4"/>
  <c r="L1010" i="4" s="1"/>
  <c r="F1009" i="4"/>
  <c r="L1009" i="4" s="1"/>
  <c r="F1008" i="4"/>
  <c r="L1008" i="4" s="1"/>
  <c r="F1007" i="4"/>
  <c r="L1007" i="4" s="1"/>
  <c r="F1006" i="4"/>
  <c r="L1006" i="4" s="1"/>
  <c r="F1005" i="4"/>
  <c r="L1005" i="4" s="1"/>
  <c r="F1004" i="4"/>
  <c r="L1004" i="4" s="1"/>
  <c r="F1003" i="4"/>
  <c r="L1003" i="4" s="1"/>
  <c r="F1002" i="4"/>
  <c r="L1002" i="4" s="1"/>
  <c r="F1001" i="4"/>
  <c r="L1001" i="4" s="1"/>
  <c r="F1000" i="4"/>
  <c r="L1000" i="4" s="1"/>
  <c r="F999" i="4"/>
  <c r="L999" i="4" s="1"/>
  <c r="F998" i="4"/>
  <c r="L998" i="4" s="1"/>
  <c r="F997" i="4"/>
  <c r="L997" i="4" s="1"/>
  <c r="F996" i="4"/>
  <c r="L996" i="4" s="1"/>
  <c r="F995" i="4"/>
  <c r="L995" i="4" s="1"/>
  <c r="F994" i="4"/>
  <c r="L994" i="4" s="1"/>
  <c r="F993" i="4"/>
  <c r="L993" i="4" s="1"/>
  <c r="F992" i="4"/>
  <c r="L992" i="4" s="1"/>
  <c r="F991" i="4"/>
  <c r="L991" i="4" s="1"/>
  <c r="F990" i="4"/>
  <c r="L990" i="4" s="1"/>
  <c r="F989" i="4"/>
  <c r="L989" i="4" s="1"/>
  <c r="F988" i="4"/>
  <c r="L988" i="4" s="1"/>
  <c r="F987" i="4"/>
  <c r="L987" i="4" s="1"/>
  <c r="F986" i="4"/>
  <c r="L986" i="4" s="1"/>
  <c r="F985" i="4"/>
  <c r="L985" i="4" s="1"/>
  <c r="F984" i="4"/>
  <c r="L984" i="4" s="1"/>
  <c r="F983" i="4"/>
  <c r="L983" i="4" s="1"/>
  <c r="F982" i="4"/>
  <c r="L982" i="4" s="1"/>
  <c r="F981" i="4"/>
  <c r="L981" i="4" s="1"/>
  <c r="F980" i="4"/>
  <c r="L980" i="4" s="1"/>
  <c r="F979" i="4"/>
  <c r="L979" i="4" s="1"/>
  <c r="F978" i="4"/>
  <c r="L978" i="4" s="1"/>
  <c r="F977" i="4"/>
  <c r="L977" i="4" s="1"/>
  <c r="F976" i="4"/>
  <c r="L976" i="4" s="1"/>
  <c r="F975" i="4"/>
  <c r="L975" i="4" s="1"/>
  <c r="F974" i="4"/>
  <c r="L974" i="4" s="1"/>
  <c r="F973" i="4"/>
  <c r="L973" i="4" s="1"/>
  <c r="F972" i="4"/>
  <c r="L972" i="4" s="1"/>
  <c r="F971" i="4"/>
  <c r="L971" i="4" s="1"/>
  <c r="F970" i="4"/>
  <c r="L970" i="4" s="1"/>
  <c r="F969" i="4"/>
  <c r="L969" i="4" s="1"/>
  <c r="F968" i="4"/>
  <c r="L968" i="4" s="1"/>
  <c r="F967" i="4"/>
  <c r="L967" i="4" s="1"/>
  <c r="F966" i="4"/>
  <c r="L966" i="4" s="1"/>
  <c r="F965" i="4"/>
  <c r="L965" i="4" s="1"/>
  <c r="F964" i="4"/>
  <c r="L964" i="4" s="1"/>
  <c r="F963" i="4"/>
  <c r="L963" i="4" s="1"/>
  <c r="F962" i="4"/>
  <c r="L962" i="4" s="1"/>
  <c r="F961" i="4"/>
  <c r="L961" i="4" s="1"/>
  <c r="F960" i="4"/>
  <c r="L960" i="4" s="1"/>
  <c r="F959" i="4"/>
  <c r="L959" i="4" s="1"/>
  <c r="F958" i="4"/>
  <c r="L958" i="4" s="1"/>
  <c r="F957" i="4"/>
  <c r="L957" i="4" s="1"/>
  <c r="F956" i="4"/>
  <c r="L956" i="4" s="1"/>
  <c r="F955" i="4"/>
  <c r="L955" i="4" s="1"/>
  <c r="F954" i="4"/>
  <c r="L954" i="4" s="1"/>
  <c r="F953" i="4"/>
  <c r="L953" i="4" s="1"/>
  <c r="F952" i="4"/>
  <c r="L952" i="4" s="1"/>
  <c r="F951" i="4"/>
  <c r="L951" i="4" s="1"/>
  <c r="F950" i="4"/>
  <c r="L950" i="4" s="1"/>
  <c r="F949" i="4"/>
  <c r="L949" i="4" s="1"/>
  <c r="F948" i="4"/>
  <c r="L948" i="4" s="1"/>
  <c r="F947" i="4"/>
  <c r="L947" i="4" s="1"/>
  <c r="F946" i="4"/>
  <c r="L946" i="4" s="1"/>
  <c r="F945" i="4"/>
  <c r="L945" i="4" s="1"/>
  <c r="F944" i="4"/>
  <c r="L944" i="4" s="1"/>
  <c r="F943" i="4"/>
  <c r="L943" i="4" s="1"/>
  <c r="F942" i="4"/>
  <c r="L942" i="4" s="1"/>
  <c r="F941" i="4"/>
  <c r="L941" i="4" s="1"/>
  <c r="F940" i="4"/>
  <c r="L940" i="4" s="1"/>
  <c r="F939" i="4"/>
  <c r="L939" i="4" s="1"/>
  <c r="F938" i="4"/>
  <c r="L938" i="4" s="1"/>
  <c r="F937" i="4"/>
  <c r="L937" i="4" s="1"/>
  <c r="F936" i="4"/>
  <c r="L936" i="4" s="1"/>
  <c r="F935" i="4"/>
  <c r="L935" i="4" s="1"/>
  <c r="F934" i="4"/>
  <c r="L934" i="4" s="1"/>
  <c r="F933" i="4"/>
  <c r="L933" i="4" s="1"/>
  <c r="F932" i="4"/>
  <c r="L932" i="4" s="1"/>
  <c r="F931" i="4"/>
  <c r="L931" i="4" s="1"/>
  <c r="F930" i="4"/>
  <c r="L930" i="4" s="1"/>
  <c r="F929" i="4"/>
  <c r="L929" i="4" s="1"/>
  <c r="F928" i="4"/>
  <c r="L928" i="4" s="1"/>
  <c r="F927" i="4"/>
  <c r="L927" i="4" s="1"/>
  <c r="F926" i="4"/>
  <c r="L926" i="4" s="1"/>
  <c r="F925" i="4"/>
  <c r="L925" i="4" s="1"/>
  <c r="F924" i="4"/>
  <c r="L924" i="4" s="1"/>
  <c r="F923" i="4"/>
  <c r="L923" i="4" s="1"/>
  <c r="F922" i="4"/>
  <c r="L922" i="4" s="1"/>
  <c r="F921" i="4"/>
  <c r="L921" i="4" s="1"/>
  <c r="F920" i="4"/>
  <c r="L920" i="4" s="1"/>
  <c r="F919" i="4"/>
  <c r="L919" i="4" s="1"/>
  <c r="F918" i="4"/>
  <c r="L918" i="4" s="1"/>
  <c r="F917" i="4"/>
  <c r="L917" i="4" s="1"/>
  <c r="F916" i="4"/>
  <c r="L916" i="4" s="1"/>
  <c r="F915" i="4"/>
  <c r="L915" i="4" s="1"/>
  <c r="F914" i="4"/>
  <c r="L914" i="4" s="1"/>
  <c r="F913" i="4"/>
  <c r="L913" i="4" s="1"/>
  <c r="F912" i="4"/>
  <c r="L912" i="4" s="1"/>
  <c r="F911" i="4"/>
  <c r="L911" i="4" s="1"/>
  <c r="F910" i="4"/>
  <c r="L910" i="4" s="1"/>
  <c r="F909" i="4"/>
  <c r="L909" i="4" s="1"/>
  <c r="F908" i="4"/>
  <c r="L908" i="4" s="1"/>
  <c r="F907" i="4"/>
  <c r="L907" i="4" s="1"/>
  <c r="F906" i="4"/>
  <c r="L906" i="4" s="1"/>
  <c r="F905" i="4"/>
  <c r="L905" i="4" s="1"/>
  <c r="F904" i="4"/>
  <c r="L904" i="4" s="1"/>
  <c r="F903" i="4"/>
  <c r="L903" i="4" s="1"/>
  <c r="F902" i="4"/>
  <c r="L902" i="4" s="1"/>
  <c r="F901" i="4"/>
  <c r="L901" i="4" s="1"/>
  <c r="F900" i="4"/>
  <c r="L900" i="4" s="1"/>
  <c r="F899" i="4"/>
  <c r="L899" i="4" s="1"/>
  <c r="F898" i="4"/>
  <c r="L898" i="4" s="1"/>
  <c r="F897" i="4"/>
  <c r="L897" i="4" s="1"/>
  <c r="F896" i="4"/>
  <c r="L896" i="4" s="1"/>
  <c r="F895" i="4"/>
  <c r="L895" i="4" s="1"/>
  <c r="F894" i="4"/>
  <c r="L894" i="4" s="1"/>
  <c r="F893" i="4"/>
  <c r="L893" i="4" s="1"/>
  <c r="F892" i="4"/>
  <c r="L892" i="4" s="1"/>
  <c r="F891" i="4"/>
  <c r="L891" i="4" s="1"/>
  <c r="F890" i="4"/>
  <c r="L890" i="4" s="1"/>
  <c r="F889" i="4"/>
  <c r="L889" i="4" s="1"/>
  <c r="F888" i="4"/>
  <c r="L888" i="4" s="1"/>
  <c r="F887" i="4"/>
  <c r="L887" i="4" s="1"/>
  <c r="F886" i="4"/>
  <c r="L886" i="4" s="1"/>
  <c r="F885" i="4"/>
  <c r="L885" i="4" s="1"/>
  <c r="F884" i="4"/>
  <c r="L884" i="4" s="1"/>
  <c r="F883" i="4"/>
  <c r="L883" i="4" s="1"/>
  <c r="F882" i="4"/>
  <c r="L882" i="4" s="1"/>
  <c r="F881" i="4"/>
  <c r="L881" i="4" s="1"/>
  <c r="F880" i="4"/>
  <c r="L880" i="4" s="1"/>
  <c r="F879" i="4"/>
  <c r="L879" i="4" s="1"/>
  <c r="F878" i="4"/>
  <c r="L878" i="4" s="1"/>
  <c r="F877" i="4"/>
  <c r="L877" i="4" s="1"/>
  <c r="F876" i="4"/>
  <c r="L876" i="4" s="1"/>
  <c r="F875" i="4"/>
  <c r="L875" i="4" s="1"/>
  <c r="F874" i="4"/>
  <c r="L874" i="4" s="1"/>
  <c r="F873" i="4"/>
  <c r="L873" i="4" s="1"/>
  <c r="F872" i="4"/>
  <c r="L872" i="4" s="1"/>
  <c r="F871" i="4"/>
  <c r="L871" i="4" s="1"/>
  <c r="F870" i="4"/>
  <c r="L870" i="4" s="1"/>
  <c r="F869" i="4"/>
  <c r="L869" i="4" s="1"/>
  <c r="F868" i="4"/>
  <c r="L868" i="4" s="1"/>
  <c r="F867" i="4"/>
  <c r="L867" i="4" s="1"/>
  <c r="F866" i="4"/>
  <c r="L866" i="4" s="1"/>
  <c r="F865" i="4"/>
  <c r="L865" i="4" s="1"/>
  <c r="F864" i="4"/>
  <c r="L864" i="4" s="1"/>
  <c r="F863" i="4"/>
  <c r="L863" i="4" s="1"/>
  <c r="F862" i="4"/>
  <c r="L862" i="4" s="1"/>
  <c r="F861" i="4"/>
  <c r="L861" i="4" s="1"/>
  <c r="F860" i="4"/>
  <c r="L860" i="4" s="1"/>
  <c r="F859" i="4"/>
  <c r="L859" i="4" s="1"/>
  <c r="F858" i="4"/>
  <c r="L858" i="4" s="1"/>
  <c r="F857" i="4"/>
  <c r="L857" i="4" s="1"/>
  <c r="F856" i="4"/>
  <c r="L856" i="4" s="1"/>
  <c r="F855" i="4"/>
  <c r="L855" i="4" s="1"/>
  <c r="F854" i="4"/>
  <c r="L854" i="4" s="1"/>
  <c r="F853" i="4"/>
  <c r="L853" i="4" s="1"/>
  <c r="F852" i="4"/>
  <c r="L852" i="4" s="1"/>
  <c r="F851" i="4"/>
  <c r="L851" i="4" s="1"/>
  <c r="F850" i="4"/>
  <c r="L850" i="4" s="1"/>
  <c r="F849" i="4"/>
  <c r="L849" i="4" s="1"/>
  <c r="F848" i="4"/>
  <c r="L848" i="4" s="1"/>
  <c r="F847" i="4"/>
  <c r="L847" i="4" s="1"/>
  <c r="F846" i="4"/>
  <c r="L846" i="4" s="1"/>
  <c r="F845" i="4"/>
  <c r="L845" i="4" s="1"/>
  <c r="F844" i="4"/>
  <c r="L844" i="4" s="1"/>
  <c r="F843" i="4"/>
  <c r="L843" i="4" s="1"/>
  <c r="F842" i="4"/>
  <c r="L842" i="4" s="1"/>
  <c r="F841" i="4"/>
  <c r="L841" i="4" s="1"/>
  <c r="F840" i="4"/>
  <c r="L840" i="4" s="1"/>
  <c r="F839" i="4"/>
  <c r="L839" i="4" s="1"/>
  <c r="F838" i="4"/>
  <c r="L838" i="4" s="1"/>
  <c r="F837" i="4"/>
  <c r="L837" i="4" s="1"/>
  <c r="F836" i="4"/>
  <c r="L836" i="4" s="1"/>
  <c r="F835" i="4"/>
  <c r="L835" i="4" s="1"/>
  <c r="F834" i="4"/>
  <c r="L834" i="4" s="1"/>
  <c r="F833" i="4"/>
  <c r="L833" i="4" s="1"/>
  <c r="F832" i="4"/>
  <c r="L832" i="4" s="1"/>
  <c r="F831" i="4"/>
  <c r="L831" i="4" s="1"/>
  <c r="F830" i="4"/>
  <c r="L830" i="4" s="1"/>
  <c r="F829" i="4"/>
  <c r="L829" i="4" s="1"/>
  <c r="F828" i="4"/>
  <c r="L828" i="4" s="1"/>
  <c r="F827" i="4"/>
  <c r="L827" i="4" s="1"/>
  <c r="F826" i="4"/>
  <c r="L826" i="4" s="1"/>
  <c r="F825" i="4"/>
  <c r="L825" i="4" s="1"/>
  <c r="F824" i="4"/>
  <c r="L824" i="4" s="1"/>
  <c r="F823" i="4"/>
  <c r="L823" i="4" s="1"/>
  <c r="F822" i="4"/>
  <c r="L822" i="4" s="1"/>
  <c r="F821" i="4"/>
  <c r="L821" i="4" s="1"/>
  <c r="F820" i="4"/>
  <c r="L820" i="4" s="1"/>
  <c r="F819" i="4"/>
  <c r="L819" i="4" s="1"/>
  <c r="F818" i="4"/>
  <c r="L818" i="4" s="1"/>
  <c r="F817" i="4"/>
  <c r="L817" i="4" s="1"/>
  <c r="F816" i="4"/>
  <c r="L816" i="4" s="1"/>
  <c r="F815" i="4"/>
  <c r="L815" i="4" s="1"/>
  <c r="F814" i="4"/>
  <c r="L814" i="4" s="1"/>
  <c r="F813" i="4"/>
  <c r="L813" i="4" s="1"/>
  <c r="F812" i="4"/>
  <c r="L812" i="4" s="1"/>
  <c r="F811" i="4"/>
  <c r="L811" i="4" s="1"/>
  <c r="F810" i="4"/>
  <c r="L810" i="4" s="1"/>
  <c r="F809" i="4"/>
  <c r="L809" i="4" s="1"/>
  <c r="F808" i="4"/>
  <c r="L808" i="4" s="1"/>
  <c r="F807" i="4"/>
  <c r="L807" i="4" s="1"/>
  <c r="F806" i="4"/>
  <c r="L806" i="4" s="1"/>
  <c r="F805" i="4"/>
  <c r="L805" i="4" s="1"/>
  <c r="F804" i="4"/>
  <c r="L804" i="4" s="1"/>
  <c r="F803" i="4"/>
  <c r="L803" i="4" s="1"/>
  <c r="F802" i="4"/>
  <c r="L802" i="4" s="1"/>
  <c r="F801" i="4"/>
  <c r="L801" i="4" s="1"/>
  <c r="F800" i="4"/>
  <c r="L800" i="4" s="1"/>
  <c r="F799" i="4"/>
  <c r="L799" i="4" s="1"/>
  <c r="F798" i="4"/>
  <c r="L798" i="4" s="1"/>
  <c r="F797" i="4"/>
  <c r="L797" i="4" s="1"/>
  <c r="F796" i="4"/>
  <c r="L796" i="4" s="1"/>
  <c r="F795" i="4"/>
  <c r="L795" i="4" s="1"/>
  <c r="F794" i="4"/>
  <c r="L794" i="4" s="1"/>
  <c r="F793" i="4"/>
  <c r="L793" i="4" s="1"/>
  <c r="F792" i="4"/>
  <c r="L792" i="4" s="1"/>
  <c r="F791" i="4"/>
  <c r="L791" i="4" s="1"/>
  <c r="F790" i="4"/>
  <c r="L790" i="4" s="1"/>
  <c r="F789" i="4"/>
  <c r="L789" i="4" s="1"/>
  <c r="F788" i="4"/>
  <c r="L788" i="4" s="1"/>
  <c r="F787" i="4"/>
  <c r="L787" i="4" s="1"/>
  <c r="F786" i="4"/>
  <c r="L786" i="4" s="1"/>
  <c r="F785" i="4"/>
  <c r="L785" i="4" s="1"/>
  <c r="F784" i="4"/>
  <c r="L784" i="4" s="1"/>
  <c r="F783" i="4"/>
  <c r="L783" i="4" s="1"/>
  <c r="F782" i="4"/>
  <c r="L782" i="4" s="1"/>
  <c r="F781" i="4"/>
  <c r="L781" i="4" s="1"/>
  <c r="F780" i="4"/>
  <c r="L780" i="4" s="1"/>
  <c r="F779" i="4"/>
  <c r="L779" i="4" s="1"/>
  <c r="F778" i="4"/>
  <c r="L778" i="4" s="1"/>
  <c r="F777" i="4"/>
  <c r="L777" i="4" s="1"/>
  <c r="F776" i="4"/>
  <c r="L776" i="4" s="1"/>
  <c r="F775" i="4"/>
  <c r="L775" i="4" s="1"/>
  <c r="F774" i="4"/>
  <c r="L774" i="4" s="1"/>
  <c r="F773" i="4"/>
  <c r="L773" i="4" s="1"/>
  <c r="F772" i="4"/>
  <c r="L772" i="4" s="1"/>
  <c r="F771" i="4"/>
  <c r="L771" i="4" s="1"/>
  <c r="F770" i="4"/>
  <c r="L770" i="4" s="1"/>
  <c r="F769" i="4"/>
  <c r="L769" i="4" s="1"/>
  <c r="F768" i="4"/>
  <c r="L768" i="4" s="1"/>
  <c r="F767" i="4"/>
  <c r="L767" i="4" s="1"/>
  <c r="F766" i="4"/>
  <c r="L766" i="4" s="1"/>
  <c r="F765" i="4"/>
  <c r="L765" i="4" s="1"/>
  <c r="F764" i="4"/>
  <c r="L764" i="4" s="1"/>
  <c r="F763" i="4"/>
  <c r="L763" i="4" s="1"/>
  <c r="F762" i="4"/>
  <c r="L762" i="4" s="1"/>
  <c r="F761" i="4"/>
  <c r="L761" i="4" s="1"/>
  <c r="F760" i="4"/>
  <c r="L760" i="4" s="1"/>
  <c r="F759" i="4"/>
  <c r="L759" i="4" s="1"/>
  <c r="F758" i="4"/>
  <c r="L758" i="4" s="1"/>
  <c r="F757" i="4"/>
  <c r="L757" i="4" s="1"/>
  <c r="F756" i="4"/>
  <c r="L756" i="4" s="1"/>
  <c r="F755" i="4"/>
  <c r="L755" i="4" s="1"/>
  <c r="F754" i="4"/>
  <c r="L754" i="4" s="1"/>
  <c r="F753" i="4"/>
  <c r="L753" i="4" s="1"/>
  <c r="F752" i="4"/>
  <c r="L752" i="4" s="1"/>
  <c r="F751" i="4"/>
  <c r="L751" i="4" s="1"/>
  <c r="F750" i="4"/>
  <c r="L750" i="4" s="1"/>
  <c r="F749" i="4"/>
  <c r="L749" i="4" s="1"/>
  <c r="F748" i="4"/>
  <c r="L748" i="4" s="1"/>
  <c r="F747" i="4"/>
  <c r="L747" i="4" s="1"/>
  <c r="F746" i="4"/>
  <c r="L746" i="4" s="1"/>
  <c r="F745" i="4"/>
  <c r="L745" i="4" s="1"/>
  <c r="F744" i="4"/>
  <c r="L744" i="4" s="1"/>
  <c r="F743" i="4"/>
  <c r="L743" i="4" s="1"/>
  <c r="F742" i="4"/>
  <c r="L742" i="4" s="1"/>
  <c r="F741" i="4"/>
  <c r="L741" i="4" s="1"/>
  <c r="F740" i="4"/>
  <c r="L740" i="4" s="1"/>
  <c r="F739" i="4"/>
  <c r="L739" i="4" s="1"/>
  <c r="F738" i="4"/>
  <c r="L738" i="4" s="1"/>
  <c r="F737" i="4"/>
  <c r="L737" i="4" s="1"/>
  <c r="F736" i="4"/>
  <c r="L736" i="4" s="1"/>
  <c r="F735" i="4"/>
  <c r="L735" i="4" s="1"/>
  <c r="F734" i="4"/>
  <c r="L734" i="4" s="1"/>
  <c r="F733" i="4"/>
  <c r="L733" i="4" s="1"/>
  <c r="F732" i="4"/>
  <c r="L732" i="4" s="1"/>
  <c r="F731" i="4"/>
  <c r="L731" i="4" s="1"/>
  <c r="F730" i="4"/>
  <c r="L730" i="4" s="1"/>
  <c r="F729" i="4"/>
  <c r="L729" i="4" s="1"/>
  <c r="F728" i="4"/>
  <c r="L728" i="4" s="1"/>
  <c r="F727" i="4"/>
  <c r="L727" i="4" s="1"/>
  <c r="F726" i="4"/>
  <c r="L726" i="4" s="1"/>
  <c r="F725" i="4"/>
  <c r="L725" i="4" s="1"/>
  <c r="F724" i="4"/>
  <c r="L724" i="4" s="1"/>
  <c r="F723" i="4"/>
  <c r="L723" i="4" s="1"/>
  <c r="F722" i="4"/>
  <c r="L722" i="4" s="1"/>
  <c r="F721" i="4"/>
  <c r="L721" i="4" s="1"/>
  <c r="F720" i="4"/>
  <c r="L720" i="4" s="1"/>
  <c r="F719" i="4"/>
  <c r="L719" i="4" s="1"/>
  <c r="F718" i="4"/>
  <c r="L718" i="4" s="1"/>
  <c r="F717" i="4"/>
  <c r="L717" i="4" s="1"/>
  <c r="F716" i="4"/>
  <c r="L716" i="4" s="1"/>
  <c r="F715" i="4"/>
  <c r="L715" i="4" s="1"/>
  <c r="F714" i="4"/>
  <c r="L714" i="4" s="1"/>
  <c r="F713" i="4"/>
  <c r="L713" i="4" s="1"/>
  <c r="F712" i="4"/>
  <c r="L712" i="4" s="1"/>
  <c r="F711" i="4"/>
  <c r="L711" i="4" s="1"/>
  <c r="F710" i="4"/>
  <c r="L710" i="4" s="1"/>
  <c r="F709" i="4"/>
  <c r="L709" i="4" s="1"/>
  <c r="F708" i="4"/>
  <c r="L708" i="4" s="1"/>
  <c r="F707" i="4"/>
  <c r="L707" i="4" s="1"/>
  <c r="F706" i="4"/>
  <c r="L706" i="4" s="1"/>
  <c r="F705" i="4"/>
  <c r="L705" i="4" s="1"/>
  <c r="F704" i="4"/>
  <c r="L704" i="4" s="1"/>
  <c r="F703" i="4"/>
  <c r="L703" i="4" s="1"/>
  <c r="F702" i="4"/>
  <c r="L702" i="4" s="1"/>
  <c r="F701" i="4"/>
  <c r="L701" i="4" s="1"/>
  <c r="F700" i="4"/>
  <c r="L700" i="4" s="1"/>
  <c r="F699" i="4"/>
  <c r="L699" i="4" s="1"/>
  <c r="F698" i="4"/>
  <c r="L698" i="4" s="1"/>
  <c r="F697" i="4"/>
  <c r="L697" i="4" s="1"/>
  <c r="F696" i="4"/>
  <c r="L696" i="4" s="1"/>
  <c r="F695" i="4"/>
  <c r="L695" i="4" s="1"/>
  <c r="F694" i="4"/>
  <c r="L694" i="4" s="1"/>
  <c r="F693" i="4"/>
  <c r="L693" i="4" s="1"/>
  <c r="F692" i="4"/>
  <c r="L692" i="4" s="1"/>
  <c r="F691" i="4"/>
  <c r="L691" i="4" s="1"/>
  <c r="F690" i="4"/>
  <c r="L690" i="4" s="1"/>
  <c r="F689" i="4"/>
  <c r="L689" i="4" s="1"/>
  <c r="F688" i="4"/>
  <c r="L688" i="4" s="1"/>
  <c r="F687" i="4"/>
  <c r="L687" i="4" s="1"/>
  <c r="F686" i="4"/>
  <c r="L686" i="4" s="1"/>
  <c r="F685" i="4"/>
  <c r="L685" i="4" s="1"/>
  <c r="F684" i="4"/>
  <c r="L684" i="4" s="1"/>
  <c r="F683" i="4"/>
  <c r="L683" i="4" s="1"/>
  <c r="F682" i="4"/>
  <c r="L682" i="4" s="1"/>
  <c r="F681" i="4"/>
  <c r="L681" i="4" s="1"/>
  <c r="F680" i="4"/>
  <c r="L680" i="4" s="1"/>
  <c r="F679" i="4"/>
  <c r="L679" i="4" s="1"/>
  <c r="F678" i="4"/>
  <c r="L678" i="4" s="1"/>
  <c r="F677" i="4"/>
  <c r="L677" i="4" s="1"/>
  <c r="F676" i="4"/>
  <c r="L676" i="4" s="1"/>
  <c r="F675" i="4"/>
  <c r="L675" i="4" s="1"/>
  <c r="F674" i="4"/>
  <c r="L674" i="4" s="1"/>
  <c r="F673" i="4"/>
  <c r="L673" i="4" s="1"/>
  <c r="F672" i="4"/>
  <c r="L672" i="4" s="1"/>
  <c r="F671" i="4"/>
  <c r="L671" i="4" s="1"/>
  <c r="F670" i="4"/>
  <c r="L670" i="4" s="1"/>
  <c r="F669" i="4"/>
  <c r="L669" i="4" s="1"/>
  <c r="F668" i="4"/>
  <c r="L668" i="4" s="1"/>
  <c r="F667" i="4"/>
  <c r="L667" i="4" s="1"/>
  <c r="F666" i="4"/>
  <c r="L666" i="4" s="1"/>
  <c r="F665" i="4"/>
  <c r="L665" i="4" s="1"/>
  <c r="F664" i="4"/>
  <c r="L664" i="4" s="1"/>
  <c r="F663" i="4"/>
  <c r="L663" i="4" s="1"/>
  <c r="F662" i="4"/>
  <c r="L662" i="4" s="1"/>
  <c r="F661" i="4"/>
  <c r="L661" i="4" s="1"/>
  <c r="F660" i="4"/>
  <c r="L660" i="4" s="1"/>
  <c r="F659" i="4"/>
  <c r="L659" i="4" s="1"/>
  <c r="F658" i="4"/>
  <c r="L658" i="4" s="1"/>
  <c r="F657" i="4"/>
  <c r="L657" i="4" s="1"/>
  <c r="F656" i="4"/>
  <c r="L656" i="4" s="1"/>
  <c r="F655" i="4"/>
  <c r="L655" i="4" s="1"/>
  <c r="F654" i="4"/>
  <c r="L654" i="4" s="1"/>
  <c r="F653" i="4"/>
  <c r="L653" i="4" s="1"/>
  <c r="F652" i="4"/>
  <c r="L652" i="4" s="1"/>
  <c r="F651" i="4"/>
  <c r="L651" i="4" s="1"/>
  <c r="F650" i="4"/>
  <c r="L650" i="4" s="1"/>
  <c r="F649" i="4"/>
  <c r="L649" i="4" s="1"/>
  <c r="F648" i="4"/>
  <c r="L648" i="4" s="1"/>
  <c r="F647" i="4"/>
  <c r="L647" i="4" s="1"/>
  <c r="F646" i="4"/>
  <c r="L646" i="4" s="1"/>
  <c r="F645" i="4"/>
  <c r="L645" i="4" s="1"/>
  <c r="F644" i="4"/>
  <c r="L644" i="4" s="1"/>
  <c r="F643" i="4"/>
  <c r="L643" i="4" s="1"/>
  <c r="F642" i="4"/>
  <c r="L642" i="4" s="1"/>
  <c r="F641" i="4"/>
  <c r="L641" i="4" s="1"/>
  <c r="F640" i="4"/>
  <c r="L640" i="4" s="1"/>
  <c r="F639" i="4"/>
  <c r="L639" i="4" s="1"/>
  <c r="F638" i="4"/>
  <c r="L638" i="4" s="1"/>
  <c r="F637" i="4"/>
  <c r="L637" i="4" s="1"/>
  <c r="F636" i="4"/>
  <c r="L636" i="4" s="1"/>
  <c r="F635" i="4"/>
  <c r="L635" i="4" s="1"/>
  <c r="F634" i="4"/>
  <c r="L634" i="4" s="1"/>
  <c r="F633" i="4"/>
  <c r="L633" i="4" s="1"/>
  <c r="F632" i="4"/>
  <c r="L632" i="4" s="1"/>
  <c r="F631" i="4"/>
  <c r="L631" i="4" s="1"/>
  <c r="F630" i="4"/>
  <c r="L630" i="4" s="1"/>
  <c r="F629" i="4"/>
  <c r="L629" i="4" s="1"/>
  <c r="F628" i="4"/>
  <c r="L628" i="4" s="1"/>
  <c r="F627" i="4"/>
  <c r="L627" i="4" s="1"/>
  <c r="F626" i="4"/>
  <c r="L626" i="4" s="1"/>
  <c r="F625" i="4"/>
  <c r="L625" i="4" s="1"/>
  <c r="F624" i="4"/>
  <c r="L624" i="4" s="1"/>
  <c r="F623" i="4"/>
  <c r="L623" i="4" s="1"/>
  <c r="F622" i="4"/>
  <c r="L622" i="4" s="1"/>
  <c r="F621" i="4"/>
  <c r="L621" i="4" s="1"/>
  <c r="F620" i="4"/>
  <c r="L620" i="4" s="1"/>
  <c r="F619" i="4"/>
  <c r="L619" i="4" s="1"/>
  <c r="F618" i="4"/>
  <c r="L618" i="4" s="1"/>
  <c r="F617" i="4"/>
  <c r="L617" i="4" s="1"/>
  <c r="F616" i="4"/>
  <c r="L616" i="4" s="1"/>
  <c r="F615" i="4"/>
  <c r="L615" i="4" s="1"/>
  <c r="F614" i="4"/>
  <c r="L614" i="4" s="1"/>
  <c r="F613" i="4"/>
  <c r="L613" i="4" s="1"/>
  <c r="F612" i="4"/>
  <c r="L612" i="4" s="1"/>
  <c r="F611" i="4"/>
  <c r="L611" i="4" s="1"/>
  <c r="F610" i="4"/>
  <c r="L610" i="4" s="1"/>
  <c r="F609" i="4"/>
  <c r="L609" i="4" s="1"/>
  <c r="F608" i="4"/>
  <c r="L608" i="4" s="1"/>
  <c r="F607" i="4"/>
  <c r="L607" i="4" s="1"/>
  <c r="F606" i="4"/>
  <c r="L606" i="4" s="1"/>
  <c r="F605" i="4"/>
  <c r="L605" i="4" s="1"/>
  <c r="F604" i="4"/>
  <c r="L604" i="4" s="1"/>
  <c r="F603" i="4"/>
  <c r="L603" i="4" s="1"/>
  <c r="F602" i="4"/>
  <c r="L602" i="4" s="1"/>
  <c r="F601" i="4"/>
  <c r="L601" i="4" s="1"/>
  <c r="F600" i="4"/>
  <c r="L600" i="4" s="1"/>
  <c r="F599" i="4"/>
  <c r="L599" i="4" s="1"/>
  <c r="F598" i="4"/>
  <c r="L598" i="4" s="1"/>
  <c r="F597" i="4"/>
  <c r="L597" i="4" s="1"/>
  <c r="F596" i="4"/>
  <c r="L596" i="4" s="1"/>
  <c r="F595" i="4"/>
  <c r="L595" i="4" s="1"/>
  <c r="F594" i="4"/>
  <c r="L594" i="4" s="1"/>
  <c r="F593" i="4"/>
  <c r="L593" i="4" s="1"/>
  <c r="F592" i="4"/>
  <c r="L592" i="4" s="1"/>
  <c r="F591" i="4"/>
  <c r="L591" i="4" s="1"/>
  <c r="F590" i="4"/>
  <c r="L590" i="4" s="1"/>
  <c r="F589" i="4"/>
  <c r="L589" i="4" s="1"/>
  <c r="F588" i="4"/>
  <c r="L588" i="4" s="1"/>
  <c r="F587" i="4"/>
  <c r="L587" i="4" s="1"/>
  <c r="F586" i="4"/>
  <c r="L586" i="4" s="1"/>
  <c r="F585" i="4"/>
  <c r="L585" i="4" s="1"/>
  <c r="F584" i="4"/>
  <c r="L584" i="4" s="1"/>
  <c r="F583" i="4"/>
  <c r="L583" i="4" s="1"/>
  <c r="F582" i="4"/>
  <c r="L582" i="4" s="1"/>
  <c r="F581" i="4"/>
  <c r="L581" i="4" s="1"/>
  <c r="F580" i="4"/>
  <c r="L580" i="4" s="1"/>
  <c r="F579" i="4"/>
  <c r="L579" i="4" s="1"/>
  <c r="F578" i="4"/>
  <c r="L578" i="4" s="1"/>
  <c r="F577" i="4"/>
  <c r="L577" i="4" s="1"/>
  <c r="F576" i="4"/>
  <c r="L576" i="4" s="1"/>
  <c r="F575" i="4"/>
  <c r="L575" i="4" s="1"/>
  <c r="F574" i="4"/>
  <c r="L574" i="4" s="1"/>
  <c r="F573" i="4"/>
  <c r="L573" i="4" s="1"/>
  <c r="F572" i="4"/>
  <c r="L572" i="4" s="1"/>
  <c r="F571" i="4"/>
  <c r="L571" i="4" s="1"/>
  <c r="F570" i="4"/>
  <c r="L570" i="4" s="1"/>
  <c r="F569" i="4"/>
  <c r="L569" i="4" s="1"/>
  <c r="F568" i="4"/>
  <c r="L568" i="4" s="1"/>
  <c r="F567" i="4"/>
  <c r="L567" i="4" s="1"/>
  <c r="F566" i="4"/>
  <c r="L566" i="4" s="1"/>
  <c r="F565" i="4"/>
  <c r="L565" i="4" s="1"/>
  <c r="F564" i="4"/>
  <c r="L564" i="4" s="1"/>
  <c r="F563" i="4"/>
  <c r="L563" i="4" s="1"/>
  <c r="F562" i="4"/>
  <c r="L562" i="4" s="1"/>
  <c r="F561" i="4"/>
  <c r="L561" i="4" s="1"/>
  <c r="F560" i="4"/>
  <c r="L560" i="4" s="1"/>
  <c r="F559" i="4"/>
  <c r="L559" i="4" s="1"/>
  <c r="F558" i="4"/>
  <c r="L558" i="4" s="1"/>
  <c r="F557" i="4"/>
  <c r="L557" i="4" s="1"/>
  <c r="F556" i="4"/>
  <c r="L556" i="4" s="1"/>
  <c r="F555" i="4"/>
  <c r="L555" i="4" s="1"/>
  <c r="F554" i="4"/>
  <c r="L554" i="4" s="1"/>
  <c r="F553" i="4"/>
  <c r="L553" i="4" s="1"/>
  <c r="F552" i="4"/>
  <c r="L552" i="4" s="1"/>
  <c r="F551" i="4"/>
  <c r="L551" i="4" s="1"/>
  <c r="F550" i="4"/>
  <c r="L550" i="4" s="1"/>
  <c r="F549" i="4"/>
  <c r="L549" i="4" s="1"/>
  <c r="F548" i="4"/>
  <c r="L548" i="4" s="1"/>
  <c r="F547" i="4"/>
  <c r="L547" i="4" s="1"/>
  <c r="F546" i="4"/>
  <c r="L546" i="4" s="1"/>
  <c r="F545" i="4"/>
  <c r="L545" i="4" s="1"/>
  <c r="F544" i="4"/>
  <c r="L544" i="4" s="1"/>
  <c r="F543" i="4"/>
  <c r="L543" i="4" s="1"/>
  <c r="F542" i="4"/>
  <c r="L542" i="4" s="1"/>
  <c r="F541" i="4"/>
  <c r="L541" i="4" s="1"/>
  <c r="F540" i="4"/>
  <c r="L540" i="4" s="1"/>
  <c r="F539" i="4"/>
  <c r="L539" i="4" s="1"/>
  <c r="F538" i="4"/>
  <c r="L538" i="4" s="1"/>
  <c r="F537" i="4"/>
  <c r="L537" i="4" s="1"/>
  <c r="F536" i="4"/>
  <c r="L536" i="4" s="1"/>
  <c r="F535" i="4"/>
  <c r="L535" i="4" s="1"/>
  <c r="F534" i="4"/>
  <c r="L534" i="4" s="1"/>
  <c r="F533" i="4"/>
  <c r="L533" i="4" s="1"/>
  <c r="F532" i="4"/>
  <c r="L532" i="4" s="1"/>
  <c r="F531" i="4"/>
  <c r="L531" i="4" s="1"/>
  <c r="F530" i="4"/>
  <c r="L530" i="4" s="1"/>
  <c r="F529" i="4"/>
  <c r="L529" i="4" s="1"/>
  <c r="F528" i="4"/>
  <c r="L528" i="4" s="1"/>
  <c r="F527" i="4"/>
  <c r="L527" i="4" s="1"/>
  <c r="F526" i="4"/>
  <c r="L526" i="4" s="1"/>
  <c r="F525" i="4"/>
  <c r="L525" i="4" s="1"/>
  <c r="F524" i="4"/>
  <c r="L524" i="4" s="1"/>
  <c r="F523" i="4"/>
  <c r="L523" i="4" s="1"/>
  <c r="F522" i="4"/>
  <c r="L522" i="4" s="1"/>
  <c r="F521" i="4"/>
  <c r="L521" i="4" s="1"/>
  <c r="F520" i="4"/>
  <c r="L520" i="4" s="1"/>
  <c r="F519" i="4"/>
  <c r="L519" i="4" s="1"/>
  <c r="F518" i="4"/>
  <c r="L518" i="4" s="1"/>
  <c r="F517" i="4"/>
  <c r="L517" i="4" s="1"/>
  <c r="F516" i="4"/>
  <c r="L516" i="4" s="1"/>
  <c r="F515" i="4"/>
  <c r="L515" i="4" s="1"/>
  <c r="F514" i="4"/>
  <c r="L514" i="4" s="1"/>
  <c r="F513" i="4"/>
  <c r="L513" i="4" s="1"/>
  <c r="F512" i="4"/>
  <c r="L512" i="4" s="1"/>
  <c r="F511" i="4"/>
  <c r="L511" i="4" s="1"/>
  <c r="F510" i="4"/>
  <c r="L510" i="4" s="1"/>
  <c r="F509" i="4"/>
  <c r="L509" i="4" s="1"/>
  <c r="F508" i="4"/>
  <c r="L508" i="4" s="1"/>
  <c r="F507" i="4"/>
  <c r="L507" i="4" s="1"/>
  <c r="F506" i="4"/>
  <c r="L506" i="4" s="1"/>
  <c r="F505" i="4"/>
  <c r="L505" i="4" s="1"/>
  <c r="F504" i="4"/>
  <c r="L504" i="4" s="1"/>
  <c r="F503" i="4"/>
  <c r="L503" i="4" s="1"/>
  <c r="F502" i="4"/>
  <c r="L502" i="4" s="1"/>
  <c r="F501" i="4"/>
  <c r="L501" i="4" s="1"/>
  <c r="F500" i="4"/>
  <c r="L500" i="4" s="1"/>
  <c r="F499" i="4"/>
  <c r="L499" i="4" s="1"/>
  <c r="F498" i="4"/>
  <c r="L498" i="4" s="1"/>
  <c r="F497" i="4"/>
  <c r="L497" i="4" s="1"/>
  <c r="F496" i="4"/>
  <c r="L496" i="4" s="1"/>
  <c r="F495" i="4"/>
  <c r="L495" i="4" s="1"/>
  <c r="F494" i="4"/>
  <c r="L494" i="4" s="1"/>
  <c r="F493" i="4"/>
  <c r="L493" i="4" s="1"/>
  <c r="F492" i="4"/>
  <c r="L492" i="4" s="1"/>
  <c r="F491" i="4"/>
  <c r="L491" i="4" s="1"/>
  <c r="F490" i="4"/>
  <c r="L490" i="4" s="1"/>
  <c r="F489" i="4"/>
  <c r="L489" i="4" s="1"/>
  <c r="F488" i="4"/>
  <c r="L488" i="4" s="1"/>
  <c r="F487" i="4"/>
  <c r="L487" i="4" s="1"/>
  <c r="F486" i="4"/>
  <c r="L486" i="4" s="1"/>
  <c r="F485" i="4"/>
  <c r="L485" i="4" s="1"/>
  <c r="F484" i="4"/>
  <c r="L484" i="4" s="1"/>
  <c r="F483" i="4"/>
  <c r="L483" i="4" s="1"/>
  <c r="F482" i="4"/>
  <c r="L482" i="4" s="1"/>
  <c r="F481" i="4"/>
  <c r="L481" i="4" s="1"/>
  <c r="F480" i="4"/>
  <c r="L480" i="4" s="1"/>
  <c r="F479" i="4"/>
  <c r="L479" i="4" s="1"/>
  <c r="F478" i="4"/>
  <c r="L478" i="4" s="1"/>
  <c r="F477" i="4"/>
  <c r="L477" i="4" s="1"/>
  <c r="F476" i="4"/>
  <c r="L476" i="4" s="1"/>
  <c r="F475" i="4"/>
  <c r="L475" i="4" s="1"/>
  <c r="F474" i="4"/>
  <c r="L474" i="4" s="1"/>
  <c r="F473" i="4"/>
  <c r="L473" i="4" s="1"/>
  <c r="F472" i="4"/>
  <c r="L472" i="4" s="1"/>
  <c r="F471" i="4"/>
  <c r="L471" i="4" s="1"/>
  <c r="F470" i="4"/>
  <c r="L470" i="4" s="1"/>
  <c r="F469" i="4"/>
  <c r="L469" i="4" s="1"/>
  <c r="F468" i="4"/>
  <c r="L468" i="4" s="1"/>
  <c r="F467" i="4"/>
  <c r="L467" i="4" s="1"/>
  <c r="F466" i="4"/>
  <c r="L466" i="4" s="1"/>
  <c r="F465" i="4"/>
  <c r="L465" i="4" s="1"/>
  <c r="F464" i="4"/>
  <c r="L464" i="4" s="1"/>
  <c r="F463" i="4"/>
  <c r="L463" i="4" s="1"/>
  <c r="F462" i="4"/>
  <c r="L462" i="4" s="1"/>
  <c r="F461" i="4"/>
  <c r="L461" i="4" s="1"/>
  <c r="F460" i="4"/>
  <c r="L460" i="4" s="1"/>
  <c r="F459" i="4"/>
  <c r="L459" i="4" s="1"/>
  <c r="F458" i="4"/>
  <c r="L458" i="4" s="1"/>
  <c r="F457" i="4"/>
  <c r="L457" i="4" s="1"/>
  <c r="F456" i="4"/>
  <c r="L456" i="4" s="1"/>
  <c r="F455" i="4"/>
  <c r="L455" i="4" s="1"/>
  <c r="F454" i="4"/>
  <c r="L454" i="4" s="1"/>
  <c r="F453" i="4"/>
  <c r="L453" i="4" s="1"/>
  <c r="F452" i="4"/>
  <c r="L452" i="4" s="1"/>
  <c r="F451" i="4"/>
  <c r="L451" i="4" s="1"/>
  <c r="F450" i="4"/>
  <c r="L450" i="4" s="1"/>
  <c r="F449" i="4"/>
  <c r="L449" i="4" s="1"/>
  <c r="F448" i="4"/>
  <c r="L448" i="4" s="1"/>
  <c r="F447" i="4"/>
  <c r="L447" i="4" s="1"/>
  <c r="F446" i="4"/>
  <c r="L446" i="4" s="1"/>
  <c r="F445" i="4"/>
  <c r="L445" i="4" s="1"/>
  <c r="F444" i="4"/>
  <c r="L444" i="4" s="1"/>
  <c r="F443" i="4"/>
  <c r="L443" i="4" s="1"/>
  <c r="F442" i="4"/>
  <c r="L442" i="4" s="1"/>
  <c r="F441" i="4"/>
  <c r="L441" i="4" s="1"/>
  <c r="F440" i="4"/>
  <c r="L440" i="4" s="1"/>
  <c r="F439" i="4"/>
  <c r="L439" i="4" s="1"/>
  <c r="F438" i="4"/>
  <c r="L438" i="4" s="1"/>
  <c r="F437" i="4"/>
  <c r="L437" i="4" s="1"/>
  <c r="F436" i="4"/>
  <c r="L436" i="4" s="1"/>
  <c r="F435" i="4"/>
  <c r="L435" i="4" s="1"/>
  <c r="F434" i="4"/>
  <c r="L434" i="4" s="1"/>
  <c r="F433" i="4"/>
  <c r="L433" i="4" s="1"/>
  <c r="F432" i="4"/>
  <c r="L432" i="4" s="1"/>
  <c r="F431" i="4"/>
  <c r="L431" i="4" s="1"/>
  <c r="F430" i="4"/>
  <c r="L430" i="4" s="1"/>
  <c r="F429" i="4"/>
  <c r="L429" i="4" s="1"/>
  <c r="F428" i="4"/>
  <c r="L428" i="4" s="1"/>
  <c r="F427" i="4"/>
  <c r="L427" i="4" s="1"/>
  <c r="F426" i="4"/>
  <c r="L426" i="4" s="1"/>
  <c r="F425" i="4"/>
  <c r="L425" i="4" s="1"/>
  <c r="F424" i="4"/>
  <c r="L424" i="4" s="1"/>
  <c r="F423" i="4"/>
  <c r="L423" i="4" s="1"/>
  <c r="F422" i="4"/>
  <c r="L422" i="4" s="1"/>
  <c r="F421" i="4"/>
  <c r="L421" i="4" s="1"/>
  <c r="F420" i="4"/>
  <c r="L420" i="4" s="1"/>
  <c r="F419" i="4"/>
  <c r="L419" i="4" s="1"/>
  <c r="F418" i="4"/>
  <c r="L418" i="4" s="1"/>
  <c r="F417" i="4"/>
  <c r="L417" i="4" s="1"/>
  <c r="F416" i="4"/>
  <c r="L416" i="4" s="1"/>
  <c r="F415" i="4"/>
  <c r="L415" i="4" s="1"/>
  <c r="F414" i="4"/>
  <c r="L414" i="4" s="1"/>
  <c r="F413" i="4"/>
  <c r="L413" i="4" s="1"/>
  <c r="F412" i="4"/>
  <c r="L412" i="4" s="1"/>
  <c r="F411" i="4"/>
  <c r="L411" i="4" s="1"/>
  <c r="F410" i="4"/>
  <c r="L410" i="4" s="1"/>
  <c r="F409" i="4"/>
  <c r="L409" i="4" s="1"/>
  <c r="F408" i="4"/>
  <c r="L408" i="4" s="1"/>
  <c r="F407" i="4"/>
  <c r="L407" i="4" s="1"/>
  <c r="F406" i="4"/>
  <c r="L406" i="4" s="1"/>
  <c r="F405" i="4"/>
  <c r="L405" i="4" s="1"/>
  <c r="F404" i="4"/>
  <c r="L404" i="4" s="1"/>
  <c r="F403" i="4"/>
  <c r="L403" i="4" s="1"/>
  <c r="F402" i="4"/>
  <c r="L402" i="4" s="1"/>
  <c r="F401" i="4"/>
  <c r="L401" i="4" s="1"/>
  <c r="F400" i="4"/>
  <c r="L400" i="4" s="1"/>
  <c r="F399" i="4"/>
  <c r="L399" i="4" s="1"/>
  <c r="F398" i="4"/>
  <c r="L398" i="4" s="1"/>
  <c r="F397" i="4"/>
  <c r="L397" i="4" s="1"/>
  <c r="F396" i="4"/>
  <c r="L396" i="4" s="1"/>
  <c r="F395" i="4"/>
  <c r="L395" i="4" s="1"/>
  <c r="F394" i="4"/>
  <c r="L394" i="4" s="1"/>
  <c r="F393" i="4"/>
  <c r="L393" i="4" s="1"/>
  <c r="F392" i="4"/>
  <c r="L392" i="4" s="1"/>
  <c r="F391" i="4"/>
  <c r="L391" i="4" s="1"/>
  <c r="F390" i="4"/>
  <c r="L390" i="4" s="1"/>
  <c r="F389" i="4"/>
  <c r="L389" i="4" s="1"/>
  <c r="F388" i="4"/>
  <c r="L388" i="4" s="1"/>
  <c r="F387" i="4"/>
  <c r="L387" i="4" s="1"/>
  <c r="F386" i="4"/>
  <c r="L386" i="4" s="1"/>
  <c r="F385" i="4"/>
  <c r="L385" i="4" s="1"/>
  <c r="F384" i="4"/>
  <c r="L384" i="4" s="1"/>
  <c r="F383" i="4"/>
  <c r="L383" i="4" s="1"/>
  <c r="F382" i="4"/>
  <c r="L382" i="4" s="1"/>
  <c r="F381" i="4"/>
  <c r="L381" i="4" s="1"/>
  <c r="F380" i="4"/>
  <c r="L380" i="4" s="1"/>
  <c r="F379" i="4"/>
  <c r="L379" i="4" s="1"/>
  <c r="F378" i="4"/>
  <c r="L378" i="4" s="1"/>
  <c r="F377" i="4"/>
  <c r="L377" i="4" s="1"/>
  <c r="F376" i="4"/>
  <c r="L376" i="4" s="1"/>
  <c r="F375" i="4"/>
  <c r="L375" i="4" s="1"/>
  <c r="F374" i="4"/>
  <c r="L374" i="4" s="1"/>
  <c r="F373" i="4"/>
  <c r="L373" i="4" s="1"/>
  <c r="F372" i="4"/>
  <c r="L372" i="4" s="1"/>
  <c r="F371" i="4"/>
  <c r="L371" i="4" s="1"/>
  <c r="F370" i="4"/>
  <c r="L370" i="4" s="1"/>
  <c r="F369" i="4"/>
  <c r="L369" i="4" s="1"/>
  <c r="F368" i="4"/>
  <c r="L368" i="4" s="1"/>
  <c r="F367" i="4"/>
  <c r="L367" i="4" s="1"/>
  <c r="F366" i="4"/>
  <c r="L366" i="4" s="1"/>
  <c r="F365" i="4"/>
  <c r="L365" i="4" s="1"/>
  <c r="F364" i="4"/>
  <c r="L364" i="4" s="1"/>
  <c r="F363" i="4"/>
  <c r="L363" i="4" s="1"/>
  <c r="F362" i="4"/>
  <c r="L362" i="4" s="1"/>
  <c r="F361" i="4"/>
  <c r="L361" i="4" s="1"/>
  <c r="F360" i="4"/>
  <c r="L360" i="4" s="1"/>
  <c r="F359" i="4"/>
  <c r="L359" i="4" s="1"/>
  <c r="F358" i="4"/>
  <c r="L358" i="4" s="1"/>
  <c r="F357" i="4"/>
  <c r="L357" i="4" s="1"/>
  <c r="F356" i="4"/>
  <c r="L356" i="4" s="1"/>
  <c r="F355" i="4"/>
  <c r="L355" i="4" s="1"/>
  <c r="F354" i="4"/>
  <c r="L354" i="4" s="1"/>
  <c r="F353" i="4"/>
  <c r="L353" i="4" s="1"/>
  <c r="F352" i="4"/>
  <c r="L352" i="4" s="1"/>
  <c r="F351" i="4"/>
  <c r="L351" i="4" s="1"/>
  <c r="F350" i="4"/>
  <c r="L350" i="4" s="1"/>
  <c r="F349" i="4"/>
  <c r="L349" i="4" s="1"/>
  <c r="F348" i="4"/>
  <c r="L348" i="4" s="1"/>
  <c r="F347" i="4"/>
  <c r="L347" i="4" s="1"/>
  <c r="F346" i="4"/>
  <c r="L346" i="4" s="1"/>
  <c r="F345" i="4"/>
  <c r="L345" i="4" s="1"/>
  <c r="F344" i="4"/>
  <c r="L344" i="4" s="1"/>
  <c r="F343" i="4"/>
  <c r="L343" i="4" s="1"/>
  <c r="F342" i="4"/>
  <c r="L342" i="4" s="1"/>
  <c r="F341" i="4"/>
  <c r="L341" i="4" s="1"/>
  <c r="F340" i="4"/>
  <c r="L340" i="4" s="1"/>
  <c r="F339" i="4"/>
  <c r="L339" i="4" s="1"/>
  <c r="F338" i="4"/>
  <c r="L338" i="4" s="1"/>
  <c r="F337" i="4"/>
  <c r="L337" i="4" s="1"/>
  <c r="F336" i="4"/>
  <c r="L336" i="4" s="1"/>
  <c r="F335" i="4"/>
  <c r="L335" i="4" s="1"/>
  <c r="F334" i="4"/>
  <c r="L334" i="4" s="1"/>
  <c r="F333" i="4"/>
  <c r="L333" i="4" s="1"/>
  <c r="F332" i="4"/>
  <c r="L332" i="4" s="1"/>
  <c r="F331" i="4"/>
  <c r="L331" i="4" s="1"/>
  <c r="F330" i="4"/>
  <c r="L330" i="4" s="1"/>
  <c r="F329" i="4"/>
  <c r="L329" i="4" s="1"/>
  <c r="F328" i="4"/>
  <c r="L328" i="4" s="1"/>
  <c r="F327" i="4"/>
  <c r="L327" i="4" s="1"/>
  <c r="F326" i="4"/>
  <c r="L326" i="4" s="1"/>
  <c r="F325" i="4"/>
  <c r="L325" i="4" s="1"/>
  <c r="F324" i="4"/>
  <c r="L324" i="4" s="1"/>
  <c r="F323" i="4"/>
  <c r="L323" i="4" s="1"/>
  <c r="F322" i="4"/>
  <c r="L322" i="4" s="1"/>
  <c r="F321" i="4"/>
  <c r="L321" i="4" s="1"/>
  <c r="F320" i="4"/>
  <c r="L320" i="4" s="1"/>
  <c r="F319" i="4"/>
  <c r="L319" i="4" s="1"/>
  <c r="F318" i="4"/>
  <c r="L318" i="4" s="1"/>
  <c r="F317" i="4"/>
  <c r="L317" i="4" s="1"/>
  <c r="F316" i="4"/>
  <c r="L316" i="4" s="1"/>
  <c r="F315" i="4"/>
  <c r="L315" i="4" s="1"/>
  <c r="F314" i="4"/>
  <c r="L314" i="4" s="1"/>
  <c r="F313" i="4"/>
  <c r="L313" i="4" s="1"/>
  <c r="F312" i="4"/>
  <c r="L312" i="4" s="1"/>
  <c r="F311" i="4"/>
  <c r="L311" i="4" s="1"/>
  <c r="F310" i="4"/>
  <c r="L310" i="4" s="1"/>
  <c r="F309" i="4"/>
  <c r="L309" i="4" s="1"/>
  <c r="F308" i="4"/>
  <c r="L308" i="4" s="1"/>
  <c r="F307" i="4"/>
  <c r="L307" i="4" s="1"/>
  <c r="F306" i="4"/>
  <c r="L306" i="4" s="1"/>
  <c r="F305" i="4"/>
  <c r="L305" i="4" s="1"/>
  <c r="F304" i="4"/>
  <c r="L304" i="4" s="1"/>
  <c r="F303" i="4"/>
  <c r="L303" i="4" s="1"/>
  <c r="F302" i="4"/>
  <c r="L302" i="4" s="1"/>
  <c r="F301" i="4"/>
  <c r="L301" i="4" s="1"/>
  <c r="F300" i="4"/>
  <c r="L300" i="4" s="1"/>
  <c r="F299" i="4"/>
  <c r="L299" i="4" s="1"/>
  <c r="F298" i="4"/>
  <c r="L298" i="4" s="1"/>
  <c r="F297" i="4"/>
  <c r="L297" i="4" s="1"/>
  <c r="F296" i="4"/>
  <c r="L296" i="4" s="1"/>
  <c r="F295" i="4"/>
  <c r="L295" i="4" s="1"/>
  <c r="F294" i="4"/>
  <c r="L294" i="4" s="1"/>
  <c r="F293" i="4"/>
  <c r="L293" i="4" s="1"/>
  <c r="F292" i="4"/>
  <c r="L292" i="4" s="1"/>
  <c r="F291" i="4"/>
  <c r="L291" i="4" s="1"/>
  <c r="F290" i="4"/>
  <c r="L290" i="4" s="1"/>
  <c r="F289" i="4"/>
  <c r="L289" i="4" s="1"/>
  <c r="F288" i="4"/>
  <c r="L288" i="4" s="1"/>
  <c r="F287" i="4"/>
  <c r="L287" i="4" s="1"/>
  <c r="F286" i="4"/>
  <c r="L286" i="4" s="1"/>
  <c r="F285" i="4"/>
  <c r="L285" i="4" s="1"/>
  <c r="F284" i="4"/>
  <c r="L284" i="4" s="1"/>
  <c r="F283" i="4"/>
  <c r="L283" i="4" s="1"/>
  <c r="F282" i="4"/>
  <c r="L282" i="4" s="1"/>
  <c r="F281" i="4"/>
  <c r="L281" i="4" s="1"/>
  <c r="F280" i="4"/>
  <c r="L280" i="4" s="1"/>
  <c r="F279" i="4"/>
  <c r="L279" i="4" s="1"/>
  <c r="F278" i="4"/>
  <c r="L278" i="4" s="1"/>
  <c r="F277" i="4"/>
  <c r="L277" i="4" s="1"/>
  <c r="F276" i="4"/>
  <c r="L276" i="4" s="1"/>
  <c r="F275" i="4"/>
  <c r="L275" i="4" s="1"/>
  <c r="F274" i="4"/>
  <c r="L274" i="4" s="1"/>
  <c r="F273" i="4"/>
  <c r="L273" i="4" s="1"/>
  <c r="F272" i="4"/>
  <c r="L272" i="4" s="1"/>
  <c r="F271" i="4"/>
  <c r="L271" i="4" s="1"/>
  <c r="F270" i="4"/>
  <c r="L270" i="4" s="1"/>
  <c r="F269" i="4"/>
  <c r="L269" i="4" s="1"/>
  <c r="F268" i="4"/>
  <c r="L268" i="4" s="1"/>
  <c r="F267" i="4"/>
  <c r="L267" i="4" s="1"/>
  <c r="F266" i="4"/>
  <c r="L266" i="4" s="1"/>
  <c r="F265" i="4"/>
  <c r="L265" i="4" s="1"/>
  <c r="F264" i="4"/>
  <c r="L264" i="4" s="1"/>
  <c r="F263" i="4"/>
  <c r="L263" i="4" s="1"/>
  <c r="F262" i="4"/>
  <c r="L262" i="4" s="1"/>
  <c r="F261" i="4"/>
  <c r="L261" i="4" s="1"/>
  <c r="F260" i="4"/>
  <c r="L260" i="4" s="1"/>
  <c r="F259" i="4"/>
  <c r="L259" i="4" s="1"/>
  <c r="F258" i="4"/>
  <c r="L258" i="4" s="1"/>
  <c r="F257" i="4"/>
  <c r="L257" i="4" s="1"/>
  <c r="F256" i="4"/>
  <c r="L256" i="4" s="1"/>
  <c r="F255" i="4"/>
  <c r="L255" i="4" s="1"/>
  <c r="F254" i="4"/>
  <c r="L254" i="4" s="1"/>
  <c r="F253" i="4"/>
  <c r="L253" i="4" s="1"/>
  <c r="F252" i="4"/>
  <c r="L252" i="4" s="1"/>
  <c r="F251" i="4"/>
  <c r="L251" i="4" s="1"/>
  <c r="F250" i="4"/>
  <c r="L250" i="4" s="1"/>
  <c r="F249" i="4"/>
  <c r="L249" i="4" s="1"/>
  <c r="F248" i="4"/>
  <c r="L248" i="4" s="1"/>
  <c r="F247" i="4"/>
  <c r="L247" i="4" s="1"/>
  <c r="F246" i="4"/>
  <c r="L246" i="4" s="1"/>
  <c r="F245" i="4"/>
  <c r="L245" i="4" s="1"/>
  <c r="F244" i="4"/>
  <c r="L244" i="4" s="1"/>
  <c r="F243" i="4"/>
  <c r="L243" i="4" s="1"/>
  <c r="F242" i="4"/>
  <c r="L242" i="4" s="1"/>
  <c r="F241" i="4"/>
  <c r="L241" i="4" s="1"/>
  <c r="F240" i="4"/>
  <c r="L240" i="4" s="1"/>
  <c r="F239" i="4"/>
  <c r="L239" i="4" s="1"/>
  <c r="F238" i="4"/>
  <c r="L238" i="4" s="1"/>
  <c r="F237" i="4"/>
  <c r="L237" i="4" s="1"/>
  <c r="F236" i="4"/>
  <c r="L236" i="4" s="1"/>
  <c r="F235" i="4"/>
  <c r="L235" i="4" s="1"/>
  <c r="F234" i="4"/>
  <c r="L234" i="4" s="1"/>
  <c r="F233" i="4"/>
  <c r="L233" i="4" s="1"/>
  <c r="F232" i="4"/>
  <c r="L232" i="4" s="1"/>
  <c r="F231" i="4"/>
  <c r="L231" i="4" s="1"/>
  <c r="F230" i="4"/>
  <c r="L230" i="4" s="1"/>
  <c r="F229" i="4"/>
  <c r="L229" i="4" s="1"/>
  <c r="F228" i="4"/>
  <c r="L228" i="4" s="1"/>
  <c r="F227" i="4"/>
  <c r="L227" i="4" s="1"/>
  <c r="F226" i="4"/>
  <c r="L226" i="4" s="1"/>
  <c r="F225" i="4"/>
  <c r="L225" i="4" s="1"/>
  <c r="F224" i="4"/>
  <c r="L224" i="4" s="1"/>
  <c r="F223" i="4"/>
  <c r="L223" i="4" s="1"/>
  <c r="F222" i="4"/>
  <c r="L222" i="4" s="1"/>
  <c r="F221" i="4"/>
  <c r="L221" i="4" s="1"/>
  <c r="F220" i="4"/>
  <c r="L220" i="4" s="1"/>
  <c r="F219" i="4"/>
  <c r="L219" i="4" s="1"/>
  <c r="F218" i="4"/>
  <c r="L218" i="4" s="1"/>
  <c r="F217" i="4"/>
  <c r="L217" i="4" s="1"/>
  <c r="F216" i="4"/>
  <c r="L216" i="4" s="1"/>
  <c r="F215" i="4"/>
  <c r="L215" i="4" s="1"/>
  <c r="F214" i="4"/>
  <c r="L214" i="4" s="1"/>
  <c r="F213" i="4"/>
  <c r="L213" i="4" s="1"/>
  <c r="F212" i="4"/>
  <c r="L212" i="4" s="1"/>
  <c r="F211" i="4"/>
  <c r="L211" i="4" s="1"/>
  <c r="F210" i="4"/>
  <c r="L210" i="4" s="1"/>
  <c r="F209" i="4"/>
  <c r="L209" i="4" s="1"/>
  <c r="F208" i="4"/>
  <c r="L208" i="4" s="1"/>
  <c r="F207" i="4"/>
  <c r="L207" i="4" s="1"/>
  <c r="F206" i="4"/>
  <c r="L206" i="4" s="1"/>
  <c r="F205" i="4"/>
  <c r="L205" i="4" s="1"/>
  <c r="F204" i="4"/>
  <c r="L204" i="4" s="1"/>
  <c r="F203" i="4"/>
  <c r="L203" i="4" s="1"/>
  <c r="F202" i="4"/>
  <c r="L202" i="4" s="1"/>
  <c r="F201" i="4"/>
  <c r="L201" i="4" s="1"/>
  <c r="F200" i="4"/>
  <c r="L200" i="4" s="1"/>
  <c r="F199" i="4"/>
  <c r="L199" i="4" s="1"/>
  <c r="F198" i="4"/>
  <c r="L198" i="4" s="1"/>
  <c r="F197" i="4"/>
  <c r="L197" i="4" s="1"/>
  <c r="F196" i="4"/>
  <c r="L196" i="4" s="1"/>
  <c r="F195" i="4"/>
  <c r="L195" i="4" s="1"/>
  <c r="F194" i="4"/>
  <c r="L194" i="4" s="1"/>
  <c r="F193" i="4"/>
  <c r="L193" i="4" s="1"/>
  <c r="F192" i="4"/>
  <c r="L192" i="4" s="1"/>
  <c r="F191" i="4"/>
  <c r="L191" i="4" s="1"/>
  <c r="F190" i="4"/>
  <c r="L190" i="4" s="1"/>
  <c r="F189" i="4"/>
  <c r="L189" i="4" s="1"/>
  <c r="F188" i="4"/>
  <c r="L188" i="4" s="1"/>
  <c r="F187" i="4"/>
  <c r="L187" i="4" s="1"/>
  <c r="F186" i="4"/>
  <c r="L186" i="4" s="1"/>
  <c r="F185" i="4"/>
  <c r="L185" i="4" s="1"/>
  <c r="F184" i="4"/>
  <c r="L184" i="4" s="1"/>
  <c r="F183" i="4"/>
  <c r="L183" i="4" s="1"/>
  <c r="F182" i="4"/>
  <c r="L182" i="4" s="1"/>
  <c r="F181" i="4"/>
  <c r="L181" i="4" s="1"/>
  <c r="F180" i="4"/>
  <c r="L180" i="4" s="1"/>
  <c r="F179" i="4"/>
  <c r="L179" i="4" s="1"/>
  <c r="F178" i="4"/>
  <c r="L178" i="4" s="1"/>
  <c r="F177" i="4"/>
  <c r="L177" i="4" s="1"/>
  <c r="F176" i="4"/>
  <c r="L176" i="4" s="1"/>
  <c r="F175" i="4"/>
  <c r="L175" i="4" s="1"/>
  <c r="F174" i="4"/>
  <c r="L174" i="4" s="1"/>
  <c r="F173" i="4"/>
  <c r="L173" i="4" s="1"/>
  <c r="F172" i="4"/>
  <c r="L172" i="4" s="1"/>
  <c r="F171" i="4"/>
  <c r="L171" i="4" s="1"/>
  <c r="F170" i="4"/>
  <c r="L170" i="4" s="1"/>
  <c r="F169" i="4"/>
  <c r="L169" i="4" s="1"/>
  <c r="F168" i="4"/>
  <c r="L168" i="4" s="1"/>
  <c r="F167" i="4"/>
  <c r="L167" i="4" s="1"/>
  <c r="F166" i="4"/>
  <c r="L166" i="4" s="1"/>
  <c r="F165" i="4"/>
  <c r="L165" i="4" s="1"/>
  <c r="F164" i="4"/>
  <c r="L164" i="4" s="1"/>
  <c r="F163" i="4"/>
  <c r="L163" i="4" s="1"/>
  <c r="F162" i="4"/>
  <c r="L162" i="4" s="1"/>
  <c r="F161" i="4"/>
  <c r="L161" i="4" s="1"/>
  <c r="F160" i="4"/>
  <c r="L160" i="4" s="1"/>
  <c r="F159" i="4"/>
  <c r="L159" i="4" s="1"/>
  <c r="F158" i="4"/>
  <c r="L158" i="4" s="1"/>
  <c r="F157" i="4"/>
  <c r="L157" i="4" s="1"/>
  <c r="F156" i="4"/>
  <c r="L156" i="4" s="1"/>
  <c r="F155" i="4"/>
  <c r="L155" i="4" s="1"/>
  <c r="F154" i="4"/>
  <c r="L154" i="4" s="1"/>
  <c r="F153" i="4"/>
  <c r="L153" i="4" s="1"/>
  <c r="F152" i="4"/>
  <c r="L152" i="4" s="1"/>
  <c r="F151" i="4"/>
  <c r="L151" i="4" s="1"/>
  <c r="F150" i="4"/>
  <c r="L150" i="4" s="1"/>
  <c r="F149" i="4"/>
  <c r="L149" i="4" s="1"/>
  <c r="F148" i="4"/>
  <c r="L148" i="4" s="1"/>
  <c r="F147" i="4"/>
  <c r="L147" i="4" s="1"/>
  <c r="F146" i="4"/>
  <c r="L146" i="4" s="1"/>
  <c r="F145" i="4"/>
  <c r="L145" i="4" s="1"/>
  <c r="F144" i="4"/>
  <c r="L144" i="4" s="1"/>
  <c r="F143" i="4"/>
  <c r="L143" i="4" s="1"/>
  <c r="F142" i="4"/>
  <c r="L142" i="4" s="1"/>
  <c r="P48" i="4"/>
  <c r="V48" i="4"/>
  <c r="U48" i="4"/>
  <c r="T48" i="4"/>
  <c r="S48" i="4"/>
  <c r="R48" i="4"/>
  <c r="Q48" i="4"/>
  <c r="O48" i="4"/>
  <c r="L95" i="5" l="1"/>
  <c r="D62" i="11"/>
  <c r="E254" i="16"/>
  <c r="Q95" i="5"/>
  <c r="E62" i="11"/>
  <c r="F254" i="16"/>
  <c r="AA95" i="5"/>
  <c r="G62" i="11"/>
  <c r="H254" i="16"/>
  <c r="H62" i="11"/>
  <c r="I254" i="16"/>
  <c r="AK95" i="5"/>
  <c r="I62" i="11"/>
  <c r="J254" i="16"/>
  <c r="G95" i="5"/>
  <c r="C62" i="11"/>
  <c r="D254" i="16"/>
  <c r="V95" i="5"/>
  <c r="F62" i="11"/>
  <c r="G254" i="16"/>
  <c r="B95" i="5"/>
  <c r="B62" i="11"/>
  <c r="C254" i="16"/>
  <c r="N16" i="18"/>
  <c r="N14" i="18"/>
  <c r="N12" i="18"/>
  <c r="N10" i="18"/>
  <c r="N8" i="18"/>
  <c r="N6" i="18"/>
  <c r="N18" i="18"/>
  <c r="N19" i="18"/>
  <c r="N13" i="18"/>
  <c r="N9" i="18"/>
  <c r="N20" i="18"/>
  <c r="N17" i="18"/>
  <c r="N15" i="18"/>
  <c r="N11" i="18"/>
  <c r="N7" i="18"/>
  <c r="M20" i="18"/>
  <c r="M18" i="18"/>
  <c r="M7" i="18"/>
  <c r="M16" i="18"/>
  <c r="M14" i="18"/>
  <c r="M12" i="18"/>
  <c r="M10" i="18"/>
  <c r="M8" i="18"/>
  <c r="M6" i="18"/>
  <c r="M9" i="18"/>
  <c r="M15" i="18"/>
  <c r="M11" i="18"/>
  <c r="M19" i="18"/>
  <c r="M17" i="18"/>
  <c r="M13" i="18"/>
  <c r="K11" i="18"/>
  <c r="K20" i="18"/>
  <c r="K13" i="18"/>
  <c r="K18" i="18"/>
  <c r="K16" i="18"/>
  <c r="K14" i="18"/>
  <c r="K12" i="18"/>
  <c r="K10" i="18"/>
  <c r="K8" i="18"/>
  <c r="K9" i="18"/>
  <c r="K6" i="18"/>
  <c r="K19" i="18"/>
  <c r="K15" i="18"/>
  <c r="K17" i="18"/>
  <c r="K7" i="18"/>
  <c r="AF95" i="5"/>
  <c r="W48" i="4"/>
  <c r="J62" i="11" l="1"/>
  <c r="K254" i="16"/>
  <c r="K55" i="11"/>
  <c r="K54" i="11"/>
  <c r="C1" i="18" l="1"/>
  <c r="C2" i="18"/>
  <c r="O3" i="17"/>
  <c r="J207" i="16" l="1"/>
  <c r="I207" i="16"/>
  <c r="H207" i="16"/>
  <c r="G207" i="16"/>
  <c r="F207" i="16"/>
  <c r="E207" i="16"/>
  <c r="D207" i="16"/>
  <c r="C207" i="16"/>
  <c r="J206" i="16"/>
  <c r="I206" i="16"/>
  <c r="H206" i="16"/>
  <c r="G206" i="16"/>
  <c r="F206" i="16"/>
  <c r="E206" i="16"/>
  <c r="D206" i="16"/>
  <c r="C206" i="16"/>
  <c r="C34" i="13" l="1"/>
  <c r="C35" i="13" l="1"/>
  <c r="AK35" i="5" l="1"/>
  <c r="AF35" i="5"/>
  <c r="AA35" i="5"/>
  <c r="V35" i="5"/>
  <c r="Q35" i="5"/>
  <c r="L35" i="5"/>
  <c r="G35" i="5"/>
  <c r="B343" i="18" l="1"/>
  <c r="B325" i="18"/>
  <c r="B307" i="18"/>
  <c r="B289" i="18"/>
  <c r="B271" i="18"/>
  <c r="B253" i="18"/>
  <c r="B235" i="18"/>
  <c r="B217" i="18"/>
  <c r="J271" i="16" l="1"/>
  <c r="J270" i="16"/>
  <c r="I271" i="16"/>
  <c r="H271" i="16"/>
  <c r="G271" i="16"/>
  <c r="F271" i="16"/>
  <c r="E271" i="16"/>
  <c r="D271" i="16"/>
  <c r="I270" i="16"/>
  <c r="H270" i="16"/>
  <c r="G270" i="16"/>
  <c r="F270" i="16"/>
  <c r="E270" i="16"/>
  <c r="D270" i="16"/>
  <c r="C271" i="16"/>
  <c r="C270" i="16"/>
  <c r="J273" i="16" l="1"/>
  <c r="F273" i="16"/>
  <c r="T34" i="5" s="1"/>
  <c r="G273" i="16"/>
  <c r="Y34" i="5" s="1"/>
  <c r="H273" i="16"/>
  <c r="I273" i="16"/>
  <c r="E273" i="16"/>
  <c r="O34" i="5" s="1"/>
  <c r="C273" i="16"/>
  <c r="E34" i="5" s="1"/>
  <c r="D273" i="16"/>
  <c r="AD2" i="4" l="1"/>
  <c r="AB2" i="4"/>
  <c r="Z2" i="4"/>
  <c r="X2" i="4"/>
  <c r="V2" i="4"/>
  <c r="T2" i="4"/>
  <c r="R2" i="4"/>
  <c r="P2" i="4"/>
  <c r="K35" i="1"/>
  <c r="K6" i="1" s="1"/>
  <c r="K34" i="1"/>
  <c r="K5" i="1" s="1"/>
  <c r="K33" i="1"/>
  <c r="K48" i="1" s="1"/>
  <c r="K18" i="1" s="1"/>
  <c r="K32" i="1"/>
  <c r="K47" i="1" s="1"/>
  <c r="K17" i="1" s="1"/>
  <c r="K31" i="1"/>
  <c r="K46" i="1" s="1"/>
  <c r="B50" i="7"/>
  <c r="B49" i="7"/>
  <c r="B48" i="7"/>
  <c r="B47" i="7"/>
  <c r="B46" i="7"/>
  <c r="B45" i="7"/>
  <c r="B44" i="7"/>
  <c r="B43" i="7"/>
  <c r="B42" i="7"/>
  <c r="B41" i="7"/>
  <c r="B40" i="7"/>
  <c r="B39" i="7"/>
  <c r="D421" i="1"/>
  <c r="A32" i="1" l="1"/>
  <c r="A48" i="1" s="1"/>
  <c r="A40" i="1"/>
  <c r="A33" i="1"/>
  <c r="A42" i="1"/>
  <c r="A12" i="1" s="1"/>
  <c r="A38" i="1"/>
  <c r="A8" i="1" s="1"/>
  <c r="A39" i="1"/>
  <c r="A55" i="1" s="1"/>
  <c r="A23" i="1" s="1"/>
  <c r="K3" i="1"/>
  <c r="A35" i="1"/>
  <c r="A5" i="1" s="1"/>
  <c r="A36" i="1"/>
  <c r="A52" i="1" s="1"/>
  <c r="A20" i="1" s="1"/>
  <c r="A37" i="1"/>
  <c r="A7" i="1" s="1"/>
  <c r="A34" i="1"/>
  <c r="A4" i="1" s="1"/>
  <c r="A31" i="1"/>
  <c r="A47" i="1" s="1"/>
  <c r="A41" i="1"/>
  <c r="A57" i="1" s="1"/>
  <c r="A25" i="1" s="1"/>
  <c r="A3" i="1"/>
  <c r="A49" i="1"/>
  <c r="A17" i="1" s="1"/>
  <c r="A10" i="1"/>
  <c r="A56" i="1"/>
  <c r="A24" i="1" s="1"/>
  <c r="K4" i="1"/>
  <c r="A54" i="1"/>
  <c r="A22" i="1" s="1"/>
  <c r="A9" i="1"/>
  <c r="K49" i="1"/>
  <c r="K19" i="1" s="1"/>
  <c r="A58" i="1"/>
  <c r="A26" i="1" s="1"/>
  <c r="K50" i="1"/>
  <c r="K20" i="1" s="1"/>
  <c r="A6" i="1" l="1"/>
  <c r="A50" i="1"/>
  <c r="A18" i="1" s="1"/>
  <c r="A11" i="1"/>
  <c r="A53" i="1"/>
  <c r="A21" i="1" s="1"/>
  <c r="A51" i="1"/>
  <c r="A19" i="1" s="1"/>
  <c r="G123" i="1" l="1"/>
  <c r="G122" i="1"/>
  <c r="G119" i="1"/>
  <c r="G118" i="1"/>
  <c r="G117" i="1"/>
  <c r="I71" i="7"/>
  <c r="I70" i="7"/>
  <c r="J208" i="16"/>
  <c r="J239" i="16" s="1"/>
  <c r="I208" i="16"/>
  <c r="I239" i="16" s="1"/>
  <c r="H208" i="16"/>
  <c r="H239" i="16" s="1"/>
  <c r="G208" i="16"/>
  <c r="G239" i="16" s="1"/>
  <c r="F208" i="16"/>
  <c r="F239" i="16" s="1"/>
  <c r="E208" i="16"/>
  <c r="E239" i="16" s="1"/>
  <c r="D208" i="16"/>
  <c r="D239" i="16" s="1"/>
  <c r="C208" i="16"/>
  <c r="C239" i="16" s="1"/>
  <c r="X115" i="3" l="1"/>
  <c r="U115" i="3"/>
  <c r="R115" i="3"/>
  <c r="O115" i="3"/>
  <c r="L115" i="3"/>
  <c r="I115" i="3"/>
  <c r="F115" i="3"/>
  <c r="C115" i="3"/>
  <c r="A3" i="5"/>
  <c r="B20" i="14" s="1"/>
  <c r="I10" i="5" l="1"/>
  <c r="AM10" i="5"/>
  <c r="AH10" i="5"/>
  <c r="AC10" i="5"/>
  <c r="X10" i="5"/>
  <c r="S10" i="5"/>
  <c r="D10" i="5"/>
  <c r="N10" i="5"/>
  <c r="E211" i="16" l="1"/>
  <c r="G211" i="16"/>
  <c r="F211" i="16"/>
  <c r="H211" i="16"/>
  <c r="I211" i="16"/>
  <c r="C211" i="16"/>
  <c r="J211" i="16"/>
  <c r="D211" i="16"/>
  <c r="AK8" i="5"/>
  <c r="AF8" i="5"/>
  <c r="AA8" i="5"/>
  <c r="V8" i="5"/>
  <c r="Q8" i="5"/>
  <c r="L8" i="5"/>
  <c r="G8" i="5"/>
  <c r="B8" i="5"/>
  <c r="D233" i="1" l="1"/>
  <c r="D119" i="1" l="1"/>
  <c r="D118" i="1"/>
  <c r="D117" i="1"/>
  <c r="D113" i="1"/>
  <c r="D112" i="1"/>
  <c r="D111" i="1"/>
  <c r="I69" i="7"/>
  <c r="I68" i="7"/>
  <c r="I67" i="7"/>
  <c r="I66" i="7"/>
  <c r="I65" i="7"/>
  <c r="I64" i="7"/>
  <c r="D420" i="1" l="1"/>
  <c r="D419" i="1"/>
  <c r="D418" i="1"/>
  <c r="D417" i="1"/>
  <c r="D416" i="1"/>
  <c r="D415" i="1"/>
  <c r="D414" i="1"/>
  <c r="AB1" i="1"/>
  <c r="C31" i="7"/>
  <c r="C30" i="7"/>
  <c r="G113" i="1"/>
  <c r="G111" i="1"/>
  <c r="G112" i="1"/>
  <c r="I97" i="1" l="1"/>
  <c r="I93" i="1"/>
  <c r="F97" i="1"/>
  <c r="F93" i="1"/>
  <c r="C97" i="1"/>
  <c r="C93" i="1"/>
  <c r="I86" i="1"/>
  <c r="I82" i="1"/>
  <c r="I78" i="1"/>
  <c r="F84" i="1"/>
  <c r="F80" i="1"/>
  <c r="C86" i="1"/>
  <c r="C82" i="1"/>
  <c r="C78" i="1"/>
  <c r="I92" i="1"/>
  <c r="F92" i="1"/>
  <c r="C96" i="1"/>
  <c r="C92" i="1"/>
  <c r="I81" i="1"/>
  <c r="F83" i="1"/>
  <c r="C85" i="1"/>
  <c r="C77" i="1"/>
  <c r="F90" i="1"/>
  <c r="F85" i="1"/>
  <c r="H90" i="1"/>
  <c r="B90" i="1"/>
  <c r="E77" i="1"/>
  <c r="D77" i="1" s="1"/>
  <c r="H97" i="1"/>
  <c r="H93" i="1"/>
  <c r="E97" i="1"/>
  <c r="E93" i="1"/>
  <c r="B97" i="1"/>
  <c r="B93" i="1"/>
  <c r="H86" i="1"/>
  <c r="H82" i="1"/>
  <c r="H78" i="1"/>
  <c r="E84" i="1"/>
  <c r="E80" i="1"/>
  <c r="B86" i="1"/>
  <c r="B82" i="1"/>
  <c r="B78" i="1"/>
  <c r="F96" i="1"/>
  <c r="I85" i="1"/>
  <c r="I77" i="1"/>
  <c r="F79" i="1"/>
  <c r="C81" i="1"/>
  <c r="C94" i="1"/>
  <c r="F77" i="1"/>
  <c r="G77" i="1" s="1"/>
  <c r="E94" i="1"/>
  <c r="H79" i="1"/>
  <c r="B79" i="1"/>
  <c r="I96" i="1"/>
  <c r="H96" i="1"/>
  <c r="H92" i="1"/>
  <c r="E96" i="1"/>
  <c r="E92" i="1"/>
  <c r="B96" i="1"/>
  <c r="B92" i="1"/>
  <c r="H85" i="1"/>
  <c r="H81" i="1"/>
  <c r="H77" i="1"/>
  <c r="E83" i="1"/>
  <c r="E79" i="1"/>
  <c r="B85" i="1"/>
  <c r="B81" i="1"/>
  <c r="B77" i="1"/>
  <c r="E95" i="1"/>
  <c r="E91" i="1"/>
  <c r="B91" i="1"/>
  <c r="H80" i="1"/>
  <c r="E86" i="1"/>
  <c r="E78" i="1"/>
  <c r="D78" i="1" s="1"/>
  <c r="B80" i="1"/>
  <c r="F94" i="1"/>
  <c r="C90" i="1"/>
  <c r="I79" i="1"/>
  <c r="C79" i="1"/>
  <c r="E90" i="1"/>
  <c r="H83" i="1"/>
  <c r="E81" i="1"/>
  <c r="I95" i="1"/>
  <c r="I91" i="1"/>
  <c r="F95" i="1"/>
  <c r="F91" i="1"/>
  <c r="C95" i="1"/>
  <c r="C91" i="1"/>
  <c r="I84" i="1"/>
  <c r="I80" i="1"/>
  <c r="F86" i="1"/>
  <c r="F82" i="1"/>
  <c r="F78" i="1"/>
  <c r="G78" i="1" s="1"/>
  <c r="C84" i="1"/>
  <c r="C80" i="1"/>
  <c r="H91" i="1"/>
  <c r="B95" i="1"/>
  <c r="H84" i="1"/>
  <c r="E82" i="1"/>
  <c r="B84" i="1"/>
  <c r="I90" i="1"/>
  <c r="I83" i="1"/>
  <c r="F81" i="1"/>
  <c r="C83" i="1"/>
  <c r="B94" i="1"/>
  <c r="E85" i="1"/>
  <c r="B83" i="1"/>
  <c r="H95" i="1"/>
  <c r="I94" i="1"/>
  <c r="H94" i="1"/>
  <c r="AN20" i="5" l="1"/>
  <c r="AI20" i="5"/>
  <c r="AD20" i="5"/>
  <c r="Y20" i="5"/>
  <c r="T20" i="5"/>
  <c r="O20" i="5"/>
  <c r="J20" i="5"/>
  <c r="E20" i="5"/>
  <c r="G14" i="11"/>
  <c r="G13" i="11"/>
  <c r="G12" i="11"/>
  <c r="B112" i="13"/>
  <c r="N381" i="13"/>
  <c r="M381" i="13"/>
  <c r="K381" i="13"/>
  <c r="J381" i="13"/>
  <c r="H381" i="13"/>
  <c r="G381" i="13"/>
  <c r="E381" i="13"/>
  <c r="D381" i="13"/>
  <c r="N364" i="13"/>
  <c r="M364" i="13"/>
  <c r="K364" i="13"/>
  <c r="J364" i="13"/>
  <c r="H364" i="13"/>
  <c r="G364" i="13"/>
  <c r="E364" i="13"/>
  <c r="D364" i="13"/>
  <c r="M318" i="13"/>
  <c r="J318" i="13"/>
  <c r="G318" i="13"/>
  <c r="D318" i="13"/>
  <c r="M301" i="13"/>
  <c r="J301" i="13"/>
  <c r="G301" i="13"/>
  <c r="D301" i="13"/>
  <c r="Y195" i="16"/>
  <c r="V195" i="16"/>
  <c r="S195" i="16"/>
  <c r="P195" i="16"/>
  <c r="M195" i="16"/>
  <c r="J195" i="16"/>
  <c r="G195" i="16"/>
  <c r="D195" i="16"/>
  <c r="Y194" i="16"/>
  <c r="V194" i="16"/>
  <c r="S194" i="16"/>
  <c r="P194" i="16"/>
  <c r="M194" i="16"/>
  <c r="J194" i="16"/>
  <c r="G194" i="16"/>
  <c r="D194" i="16"/>
  <c r="N226" i="13"/>
  <c r="N245" i="13" s="1"/>
  <c r="M226" i="13"/>
  <c r="M245" i="13" s="1"/>
  <c r="K226" i="13"/>
  <c r="K245" i="13" s="1"/>
  <c r="J226" i="13"/>
  <c r="J245" i="13" s="1"/>
  <c r="H226" i="13"/>
  <c r="H245" i="13" s="1"/>
  <c r="G226" i="13"/>
  <c r="G245" i="13" s="1"/>
  <c r="E226" i="13"/>
  <c r="E245" i="13" s="1"/>
  <c r="D226" i="13"/>
  <c r="D245" i="13" s="1"/>
  <c r="N210" i="13"/>
  <c r="N242" i="13" s="1"/>
  <c r="M210" i="13"/>
  <c r="M242" i="13" s="1"/>
  <c r="K210" i="13"/>
  <c r="K242" i="13" s="1"/>
  <c r="J210" i="13"/>
  <c r="J242" i="13" s="1"/>
  <c r="H210" i="13"/>
  <c r="H242" i="13" s="1"/>
  <c r="G210" i="13"/>
  <c r="G242" i="13" s="1"/>
  <c r="E210" i="13"/>
  <c r="D210" i="13"/>
  <c r="D242" i="13" s="1"/>
  <c r="Y165" i="16"/>
  <c r="V165" i="16"/>
  <c r="S165" i="16"/>
  <c r="P165" i="16"/>
  <c r="M165" i="16"/>
  <c r="J165" i="16"/>
  <c r="G165" i="16"/>
  <c r="E165" i="16"/>
  <c r="H165" i="16" s="1"/>
  <c r="K165" i="16" s="1"/>
  <c r="N165" i="16" s="1"/>
  <c r="Q165" i="16" s="1"/>
  <c r="T165" i="16" s="1"/>
  <c r="W165" i="16" s="1"/>
  <c r="D165" i="16"/>
  <c r="Y146" i="16"/>
  <c r="V146" i="16"/>
  <c r="S146" i="16"/>
  <c r="P146" i="16"/>
  <c r="M146" i="16"/>
  <c r="J146" i="16"/>
  <c r="G146" i="16"/>
  <c r="E146" i="16"/>
  <c r="H146" i="16" s="1"/>
  <c r="K146" i="16" s="1"/>
  <c r="N146" i="16" s="1"/>
  <c r="Q146" i="16" s="1"/>
  <c r="T146" i="16" s="1"/>
  <c r="W146" i="16" s="1"/>
  <c r="D146" i="16"/>
  <c r="Y125" i="16"/>
  <c r="V125" i="16"/>
  <c r="S125" i="16"/>
  <c r="P125" i="16"/>
  <c r="M125" i="16"/>
  <c r="J125" i="16"/>
  <c r="G125" i="16"/>
  <c r="E125" i="16"/>
  <c r="H125" i="16" s="1"/>
  <c r="K125" i="16" s="1"/>
  <c r="N125" i="16" s="1"/>
  <c r="Q125" i="16" s="1"/>
  <c r="T125" i="16" s="1"/>
  <c r="W125" i="16" s="1"/>
  <c r="D125" i="16"/>
  <c r="Y106" i="16"/>
  <c r="V106" i="16"/>
  <c r="S106" i="16"/>
  <c r="P106" i="16"/>
  <c r="M106" i="16"/>
  <c r="J106" i="16"/>
  <c r="G106" i="16"/>
  <c r="E106" i="16"/>
  <c r="H106" i="16" s="1"/>
  <c r="K106" i="16" s="1"/>
  <c r="N106" i="16" s="1"/>
  <c r="Q106" i="16" s="1"/>
  <c r="T106" i="16" s="1"/>
  <c r="W106" i="16" s="1"/>
  <c r="D106" i="16"/>
  <c r="Y62" i="16" l="1"/>
  <c r="V62" i="16"/>
  <c r="S62" i="16"/>
  <c r="P62" i="16"/>
  <c r="M62" i="16"/>
  <c r="J62" i="16"/>
  <c r="G62" i="16"/>
  <c r="E62" i="16"/>
  <c r="D62" i="16"/>
  <c r="Y43" i="16"/>
  <c r="V43" i="16"/>
  <c r="S43" i="16"/>
  <c r="P43" i="16"/>
  <c r="M43" i="16"/>
  <c r="J43" i="16"/>
  <c r="G43" i="16"/>
  <c r="E43" i="16"/>
  <c r="D43" i="16"/>
  <c r="Y23" i="16"/>
  <c r="V23" i="16"/>
  <c r="S23" i="16"/>
  <c r="P23" i="16"/>
  <c r="M23" i="16"/>
  <c r="J23" i="16"/>
  <c r="G23" i="16"/>
  <c r="E23" i="16"/>
  <c r="D23" i="16"/>
  <c r="E4" i="16"/>
  <c r="Y4" i="16"/>
  <c r="V4" i="16"/>
  <c r="S4" i="16"/>
  <c r="P4" i="16"/>
  <c r="M4" i="16"/>
  <c r="J4" i="16"/>
  <c r="G4" i="16"/>
  <c r="D4" i="16"/>
  <c r="AF37" i="5"/>
  <c r="AK37" i="5"/>
  <c r="AA37" i="5"/>
  <c r="V37" i="5"/>
  <c r="Q37" i="5"/>
  <c r="L37" i="5"/>
  <c r="G37" i="5"/>
  <c r="B37" i="5"/>
  <c r="H23" i="16" l="1"/>
  <c r="H4" i="16"/>
  <c r="H43" i="16"/>
  <c r="H62" i="16"/>
  <c r="K4" i="16" l="1"/>
  <c r="K43" i="16"/>
  <c r="K23" i="16"/>
  <c r="K62" i="16"/>
  <c r="N4" i="16" l="1"/>
  <c r="N62" i="16"/>
  <c r="N23" i="16"/>
  <c r="N43" i="16"/>
  <c r="Q23" i="16" l="1"/>
  <c r="Q62" i="16"/>
  <c r="Q43" i="16"/>
  <c r="Q4" i="16"/>
  <c r="T4" i="16" l="1"/>
  <c r="T43" i="16"/>
  <c r="T62" i="16"/>
  <c r="T23" i="16"/>
  <c r="W23" i="16" l="1"/>
  <c r="W4" i="16"/>
  <c r="W62" i="16"/>
  <c r="W43" i="16"/>
  <c r="A8" i="10" l="1"/>
  <c r="L15" i="5"/>
  <c r="AK15" i="5"/>
  <c r="AF15" i="5"/>
  <c r="AA15" i="5"/>
  <c r="V15" i="5"/>
  <c r="Q15" i="5"/>
  <c r="G15" i="5"/>
  <c r="B15" i="5"/>
  <c r="AU7" i="4"/>
  <c r="AU8" i="4"/>
  <c r="AU9" i="4"/>
  <c r="AU10" i="4"/>
  <c r="AU11" i="4"/>
  <c r="AU12" i="4"/>
  <c r="AU13" i="4"/>
  <c r="AU14" i="4"/>
  <c r="AU15" i="4"/>
  <c r="AU16" i="4"/>
  <c r="AU17" i="4"/>
  <c r="AU18" i="4"/>
  <c r="AU19" i="4"/>
  <c r="AU20" i="4"/>
  <c r="AU21" i="4"/>
  <c r="AU22" i="4"/>
  <c r="AU23" i="4"/>
  <c r="AU24" i="4"/>
  <c r="AU25" i="4"/>
  <c r="AU26" i="4"/>
  <c r="AU27" i="4"/>
  <c r="AU28" i="4"/>
  <c r="AU29" i="4"/>
  <c r="AU30" i="4"/>
  <c r="AU31" i="4"/>
  <c r="AU32" i="4"/>
  <c r="AU33" i="4"/>
  <c r="AU34" i="4"/>
  <c r="AU35" i="4"/>
  <c r="AU36" i="4"/>
  <c r="AU37" i="4"/>
  <c r="AU38" i="4"/>
  <c r="AU39" i="4"/>
  <c r="AU40" i="4"/>
  <c r="AU41" i="4"/>
  <c r="AU42" i="4"/>
  <c r="AU43" i="4"/>
  <c r="AU44" i="4"/>
  <c r="AU45" i="4"/>
  <c r="AU46" i="4"/>
  <c r="AU47" i="4"/>
  <c r="AU48" i="4"/>
  <c r="AU49" i="4"/>
  <c r="AU50" i="4"/>
  <c r="AU51" i="4"/>
  <c r="AU52" i="4"/>
  <c r="AU53" i="4"/>
  <c r="AU54" i="4"/>
  <c r="AU55" i="4"/>
  <c r="AU56" i="4"/>
  <c r="AU57" i="4"/>
  <c r="AU58" i="4"/>
  <c r="AU59" i="4"/>
  <c r="AU60" i="4"/>
  <c r="AU61" i="4"/>
  <c r="AU62" i="4"/>
  <c r="AU63" i="4"/>
  <c r="AU64" i="4"/>
  <c r="AU65" i="4"/>
  <c r="AU66" i="4"/>
  <c r="AU67" i="4"/>
  <c r="AU68" i="4"/>
  <c r="AU69" i="4"/>
  <c r="AU70" i="4"/>
  <c r="AU71" i="4"/>
  <c r="AU72" i="4"/>
  <c r="AU73" i="4"/>
  <c r="AU74" i="4"/>
  <c r="AU75" i="4"/>
  <c r="AU76" i="4"/>
  <c r="AU77" i="4"/>
  <c r="AU78" i="4"/>
  <c r="AU79" i="4"/>
  <c r="AU80" i="4"/>
  <c r="AU81" i="4"/>
  <c r="AU82" i="4"/>
  <c r="AU83" i="4"/>
  <c r="AU84" i="4"/>
  <c r="AU85" i="4"/>
  <c r="AU86" i="4"/>
  <c r="AU87" i="4"/>
  <c r="AU88" i="4"/>
  <c r="AU89" i="4"/>
  <c r="AU90" i="4"/>
  <c r="AU91" i="4"/>
  <c r="AU92" i="4"/>
  <c r="AU93" i="4"/>
  <c r="AU94" i="4"/>
  <c r="AU95" i="4"/>
  <c r="AU96" i="4"/>
  <c r="AU97" i="4"/>
  <c r="AU98" i="4"/>
  <c r="AU99" i="4"/>
  <c r="AU100" i="4"/>
  <c r="AU101" i="4"/>
  <c r="AU102" i="4"/>
  <c r="AU103" i="4"/>
  <c r="AU104" i="4"/>
  <c r="AU105" i="4"/>
  <c r="AU106" i="4"/>
  <c r="AU107" i="4"/>
  <c r="AU108" i="4"/>
  <c r="AU109" i="4"/>
  <c r="AU110" i="4"/>
  <c r="AU111" i="4"/>
  <c r="AU112" i="4"/>
  <c r="AU113" i="4"/>
  <c r="AU114"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196" i="4"/>
  <c r="AU197" i="4"/>
  <c r="AU198" i="4"/>
  <c r="AU199" i="4"/>
  <c r="AU200" i="4"/>
  <c r="AU201"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7"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0" i="4"/>
  <c r="AU331" i="4"/>
  <c r="AU332"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64" i="4"/>
  <c r="AU365" i="4"/>
  <c r="AU366" i="4"/>
  <c r="AU367" i="4"/>
  <c r="AU368" i="4"/>
  <c r="AU369"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3"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0" i="4"/>
  <c r="AU541" i="4"/>
  <c r="AU542" i="4"/>
  <c r="AU543" i="4"/>
  <c r="AU544" i="4"/>
  <c r="AU545" i="4"/>
  <c r="AU546" i="4"/>
  <c r="AU547" i="4"/>
  <c r="AU548" i="4"/>
  <c r="AU549" i="4"/>
  <c r="AU550" i="4"/>
  <c r="AU551" i="4"/>
  <c r="AU552" i="4"/>
  <c r="AU553" i="4"/>
  <c r="AU554" i="4"/>
  <c r="AU555" i="4"/>
  <c r="AU556" i="4"/>
  <c r="AU557" i="4"/>
  <c r="AU558" i="4"/>
  <c r="AU559" i="4"/>
  <c r="AU560" i="4"/>
  <c r="AU561" i="4"/>
  <c r="AU562" i="4"/>
  <c r="AU563" i="4"/>
  <c r="AU564" i="4"/>
  <c r="AU565" i="4"/>
  <c r="AU566" i="4"/>
  <c r="AU567" i="4"/>
  <c r="AU568" i="4"/>
  <c r="AU569" i="4"/>
  <c r="AU570" i="4"/>
  <c r="AU571" i="4"/>
  <c r="AU572" i="4"/>
  <c r="AU573" i="4"/>
  <c r="AU574" i="4"/>
  <c r="AU575" i="4"/>
  <c r="AU576" i="4"/>
  <c r="AU577" i="4"/>
  <c r="AU578" i="4"/>
  <c r="AU579" i="4"/>
  <c r="AU580" i="4"/>
  <c r="AU581" i="4"/>
  <c r="AU582" i="4"/>
  <c r="AU583" i="4"/>
  <c r="AU584" i="4"/>
  <c r="AU585" i="4"/>
  <c r="AU586" i="4"/>
  <c r="AU587" i="4"/>
  <c r="AU588" i="4"/>
  <c r="AU589" i="4"/>
  <c r="AU590" i="4"/>
  <c r="AU591" i="4"/>
  <c r="AU592" i="4"/>
  <c r="AU593" i="4"/>
  <c r="AU594" i="4"/>
  <c r="AU595" i="4"/>
  <c r="AU596" i="4"/>
  <c r="AU597" i="4"/>
  <c r="AU598" i="4"/>
  <c r="AU599" i="4"/>
  <c r="AU600" i="4"/>
  <c r="AU601" i="4"/>
  <c r="AU602" i="4"/>
  <c r="AU603" i="4"/>
  <c r="AU604" i="4"/>
  <c r="AU605" i="4"/>
  <c r="AU606" i="4"/>
  <c r="AU607" i="4"/>
  <c r="AU608" i="4"/>
  <c r="AU609" i="4"/>
  <c r="AU610" i="4"/>
  <c r="AU611" i="4"/>
  <c r="AU612" i="4"/>
  <c r="AU613" i="4"/>
  <c r="AU614" i="4"/>
  <c r="AU615" i="4"/>
  <c r="AU616" i="4"/>
  <c r="AU617" i="4"/>
  <c r="AU618" i="4"/>
  <c r="AU619" i="4"/>
  <c r="AU620" i="4"/>
  <c r="AU621" i="4"/>
  <c r="AU622" i="4"/>
  <c r="AU623" i="4"/>
  <c r="AU624" i="4"/>
  <c r="AU625" i="4"/>
  <c r="AU626" i="4"/>
  <c r="AU627" i="4"/>
  <c r="AU628" i="4"/>
  <c r="AU629" i="4"/>
  <c r="AU630" i="4"/>
  <c r="AU631" i="4"/>
  <c r="AU632" i="4"/>
  <c r="AU633" i="4"/>
  <c r="AU634" i="4"/>
  <c r="AU635" i="4"/>
  <c r="AU636" i="4"/>
  <c r="AU637" i="4"/>
  <c r="AU638" i="4"/>
  <c r="AU639" i="4"/>
  <c r="AU640" i="4"/>
  <c r="AU641" i="4"/>
  <c r="AU642" i="4"/>
  <c r="AU643" i="4"/>
  <c r="AU644" i="4"/>
  <c r="AU645" i="4"/>
  <c r="AU646" i="4"/>
  <c r="AU647" i="4"/>
  <c r="AU648" i="4"/>
  <c r="AU649" i="4"/>
  <c r="AU650" i="4"/>
  <c r="AU651" i="4"/>
  <c r="AU652" i="4"/>
  <c r="AU653" i="4"/>
  <c r="AU654" i="4"/>
  <c r="AU655" i="4"/>
  <c r="AU656" i="4"/>
  <c r="AU657" i="4"/>
  <c r="AU658" i="4"/>
  <c r="AU659" i="4"/>
  <c r="AU660" i="4"/>
  <c r="AU661" i="4"/>
  <c r="AU662" i="4"/>
  <c r="AU663" i="4"/>
  <c r="AU664" i="4"/>
  <c r="AU665" i="4"/>
  <c r="AU666" i="4"/>
  <c r="AU667" i="4"/>
  <c r="AU668" i="4"/>
  <c r="AU669" i="4"/>
  <c r="AU670" i="4"/>
  <c r="AU671" i="4"/>
  <c r="AU672" i="4"/>
  <c r="AU673" i="4"/>
  <c r="AU674" i="4"/>
  <c r="AU675" i="4"/>
  <c r="AU676" i="4"/>
  <c r="AU677" i="4"/>
  <c r="AU678" i="4"/>
  <c r="AU679" i="4"/>
  <c r="AU680" i="4"/>
  <c r="AU681" i="4"/>
  <c r="AU682" i="4"/>
  <c r="AU683" i="4"/>
  <c r="AU684" i="4"/>
  <c r="AU685" i="4"/>
  <c r="AU686" i="4"/>
  <c r="AU687" i="4"/>
  <c r="AU688" i="4"/>
  <c r="AU689" i="4"/>
  <c r="AU690" i="4"/>
  <c r="AU691" i="4"/>
  <c r="AU692" i="4"/>
  <c r="AU693" i="4"/>
  <c r="AU694" i="4"/>
  <c r="AU695" i="4"/>
  <c r="AU696" i="4"/>
  <c r="AU697" i="4"/>
  <c r="AU698" i="4"/>
  <c r="AU699" i="4"/>
  <c r="AU700" i="4"/>
  <c r="AU701" i="4"/>
  <c r="AU702" i="4"/>
  <c r="AU703" i="4"/>
  <c r="AU704" i="4"/>
  <c r="AU705" i="4"/>
  <c r="AU706" i="4"/>
  <c r="AU707" i="4"/>
  <c r="AU708" i="4"/>
  <c r="AU709" i="4"/>
  <c r="AU710" i="4"/>
  <c r="AU711" i="4"/>
  <c r="AU712" i="4"/>
  <c r="AU713" i="4"/>
  <c r="AU714" i="4"/>
  <c r="AU715" i="4"/>
  <c r="AU716" i="4"/>
  <c r="AU717" i="4"/>
  <c r="AU718" i="4"/>
  <c r="AU719" i="4"/>
  <c r="AU720" i="4"/>
  <c r="AU721" i="4"/>
  <c r="AU722" i="4"/>
  <c r="AU723" i="4"/>
  <c r="AU724" i="4"/>
  <c r="AU725" i="4"/>
  <c r="AU726" i="4"/>
  <c r="AU727" i="4"/>
  <c r="AU728" i="4"/>
  <c r="AU729" i="4"/>
  <c r="AU730" i="4"/>
  <c r="AU731" i="4"/>
  <c r="AU732" i="4"/>
  <c r="AU733" i="4"/>
  <c r="AU734" i="4"/>
  <c r="AU735" i="4"/>
  <c r="AU736" i="4"/>
  <c r="AU737" i="4"/>
  <c r="AU738" i="4"/>
  <c r="AU739" i="4"/>
  <c r="AU740" i="4"/>
  <c r="AU741" i="4"/>
  <c r="AU742" i="4"/>
  <c r="AU743" i="4"/>
  <c r="AU744" i="4"/>
  <c r="AU745" i="4"/>
  <c r="AU746" i="4"/>
  <c r="AU747" i="4"/>
  <c r="AU748" i="4"/>
  <c r="AU749" i="4"/>
  <c r="AU750" i="4"/>
  <c r="AU751" i="4"/>
  <c r="AU752" i="4"/>
  <c r="AU753" i="4"/>
  <c r="AU754" i="4"/>
  <c r="AU755" i="4"/>
  <c r="AU756" i="4"/>
  <c r="AU757" i="4"/>
  <c r="AU758" i="4"/>
  <c r="AU759" i="4"/>
  <c r="AU760" i="4"/>
  <c r="AU761" i="4"/>
  <c r="AU762" i="4"/>
  <c r="AU763" i="4"/>
  <c r="AU764" i="4"/>
  <c r="AU765" i="4"/>
  <c r="AU766" i="4"/>
  <c r="AU767" i="4"/>
  <c r="AU768" i="4"/>
  <c r="AU769" i="4"/>
  <c r="AU770" i="4"/>
  <c r="AU771" i="4"/>
  <c r="AU772" i="4"/>
  <c r="AU773" i="4"/>
  <c r="AU774" i="4"/>
  <c r="AU775" i="4"/>
  <c r="AU776" i="4"/>
  <c r="AU777" i="4"/>
  <c r="AU778" i="4"/>
  <c r="AU779" i="4"/>
  <c r="AU780" i="4"/>
  <c r="AU781" i="4"/>
  <c r="AU782" i="4"/>
  <c r="AU783" i="4"/>
  <c r="AU784" i="4"/>
  <c r="AU785" i="4"/>
  <c r="AU786" i="4"/>
  <c r="AU787" i="4"/>
  <c r="AU788" i="4"/>
  <c r="AU789" i="4"/>
  <c r="AU790" i="4"/>
  <c r="AU791" i="4"/>
  <c r="AU792" i="4"/>
  <c r="AU793" i="4"/>
  <c r="AU794" i="4"/>
  <c r="AU795" i="4"/>
  <c r="AU796" i="4"/>
  <c r="AU797" i="4"/>
  <c r="AU798" i="4"/>
  <c r="AU799" i="4"/>
  <c r="AU800" i="4"/>
  <c r="AU801" i="4"/>
  <c r="AU802" i="4"/>
  <c r="AU803" i="4"/>
  <c r="AU804" i="4"/>
  <c r="AU805" i="4"/>
  <c r="AU806" i="4"/>
  <c r="AU807" i="4"/>
  <c r="AU808" i="4"/>
  <c r="AU809" i="4"/>
  <c r="AU810" i="4"/>
  <c r="AU811" i="4"/>
  <c r="AU812" i="4"/>
  <c r="AU813" i="4"/>
  <c r="AU814" i="4"/>
  <c r="AU815" i="4"/>
  <c r="AU816" i="4"/>
  <c r="AU817" i="4"/>
  <c r="AU818" i="4"/>
  <c r="AU819" i="4"/>
  <c r="AU820" i="4"/>
  <c r="AU821" i="4"/>
  <c r="AU822" i="4"/>
  <c r="AU823" i="4"/>
  <c r="AU824" i="4"/>
  <c r="AU825" i="4"/>
  <c r="AU826" i="4"/>
  <c r="AU827" i="4"/>
  <c r="AU828" i="4"/>
  <c r="AU829" i="4"/>
  <c r="AU830" i="4"/>
  <c r="AU831" i="4"/>
  <c r="AU832" i="4"/>
  <c r="AU833" i="4"/>
  <c r="AU834" i="4"/>
  <c r="AU835" i="4"/>
  <c r="AU836" i="4"/>
  <c r="AU837" i="4"/>
  <c r="AU838" i="4"/>
  <c r="AU839" i="4"/>
  <c r="AU840" i="4"/>
  <c r="AU841" i="4"/>
  <c r="AU842" i="4"/>
  <c r="AU843" i="4"/>
  <c r="AU844" i="4"/>
  <c r="AU845" i="4"/>
  <c r="AU846" i="4"/>
  <c r="AU847" i="4"/>
  <c r="AU848" i="4"/>
  <c r="AU849" i="4"/>
  <c r="AU850" i="4"/>
  <c r="AU851" i="4"/>
  <c r="AU852" i="4"/>
  <c r="AU853" i="4"/>
  <c r="AU854" i="4"/>
  <c r="AU855" i="4"/>
  <c r="AU856" i="4"/>
  <c r="AU857" i="4"/>
  <c r="AU858" i="4"/>
  <c r="AU859" i="4"/>
  <c r="AU860" i="4"/>
  <c r="AU861" i="4"/>
  <c r="AU862" i="4"/>
  <c r="AU863" i="4"/>
  <c r="AU864" i="4"/>
  <c r="AU865" i="4"/>
  <c r="AU866" i="4"/>
  <c r="AU867" i="4"/>
  <c r="AU868" i="4"/>
  <c r="AU869" i="4"/>
  <c r="AU870" i="4"/>
  <c r="AU871" i="4"/>
  <c r="AU872" i="4"/>
  <c r="AU873" i="4"/>
  <c r="AU874" i="4"/>
  <c r="AU875" i="4"/>
  <c r="AU876" i="4"/>
  <c r="AU877" i="4"/>
  <c r="AU878" i="4"/>
  <c r="AU879" i="4"/>
  <c r="AU880" i="4"/>
  <c r="AU881" i="4"/>
  <c r="AU882" i="4"/>
  <c r="AU883" i="4"/>
  <c r="AU884" i="4"/>
  <c r="AU885" i="4"/>
  <c r="AU886" i="4"/>
  <c r="AU887" i="4"/>
  <c r="AU888" i="4"/>
  <c r="AU889" i="4"/>
  <c r="AU890" i="4"/>
  <c r="AU891" i="4"/>
  <c r="AU892" i="4"/>
  <c r="AU893" i="4"/>
  <c r="AU894" i="4"/>
  <c r="AU895" i="4"/>
  <c r="AU896" i="4"/>
  <c r="AU897" i="4"/>
  <c r="AU898" i="4"/>
  <c r="AU899" i="4"/>
  <c r="AU900" i="4"/>
  <c r="AU901" i="4"/>
  <c r="AU902" i="4"/>
  <c r="AU903" i="4"/>
  <c r="AU904" i="4"/>
  <c r="AU905" i="4"/>
  <c r="AU906" i="4"/>
  <c r="AU907" i="4"/>
  <c r="AU908" i="4"/>
  <c r="AU909" i="4"/>
  <c r="AU910" i="4"/>
  <c r="AU911" i="4"/>
  <c r="AU912" i="4"/>
  <c r="AU913" i="4"/>
  <c r="AU914" i="4"/>
  <c r="AU915" i="4"/>
  <c r="AU916" i="4"/>
  <c r="AU917" i="4"/>
  <c r="AU918" i="4"/>
  <c r="AU919" i="4"/>
  <c r="AU920" i="4"/>
  <c r="AU921" i="4"/>
  <c r="AU922" i="4"/>
  <c r="AU923" i="4"/>
  <c r="AU924" i="4"/>
  <c r="AU925" i="4"/>
  <c r="AU926" i="4"/>
  <c r="AU927" i="4"/>
  <c r="AU928" i="4"/>
  <c r="AU929" i="4"/>
  <c r="AU930" i="4"/>
  <c r="AU931" i="4"/>
  <c r="AU932" i="4"/>
  <c r="AU933" i="4"/>
  <c r="AU934" i="4"/>
  <c r="AU935" i="4"/>
  <c r="AU936" i="4"/>
  <c r="AU937" i="4"/>
  <c r="AU938" i="4"/>
  <c r="AU939" i="4"/>
  <c r="AU940" i="4"/>
  <c r="AU941" i="4"/>
  <c r="AU942" i="4"/>
  <c r="AU943" i="4"/>
  <c r="AU944" i="4"/>
  <c r="AU945" i="4"/>
  <c r="AU946" i="4"/>
  <c r="AU947" i="4"/>
  <c r="AU948" i="4"/>
  <c r="AU949" i="4"/>
  <c r="AU950" i="4"/>
  <c r="AU951" i="4"/>
  <c r="AU952" i="4"/>
  <c r="AU953" i="4"/>
  <c r="AU954" i="4"/>
  <c r="AU955" i="4"/>
  <c r="AU956" i="4"/>
  <c r="AU957" i="4"/>
  <c r="AU958" i="4"/>
  <c r="AU959" i="4"/>
  <c r="AU960" i="4"/>
  <c r="AU961" i="4"/>
  <c r="AU962" i="4"/>
  <c r="AU963" i="4"/>
  <c r="AU964" i="4"/>
  <c r="AU965" i="4"/>
  <c r="AU966" i="4"/>
  <c r="AU967" i="4"/>
  <c r="AU968" i="4"/>
  <c r="AU969" i="4"/>
  <c r="AU970" i="4"/>
  <c r="AU971" i="4"/>
  <c r="AU972" i="4"/>
  <c r="AU973" i="4"/>
  <c r="AU974" i="4"/>
  <c r="AU975" i="4"/>
  <c r="AU976" i="4"/>
  <c r="AU977" i="4"/>
  <c r="AU978" i="4"/>
  <c r="AU979" i="4"/>
  <c r="AU980" i="4"/>
  <c r="AU981" i="4"/>
  <c r="AU982" i="4"/>
  <c r="AU983" i="4"/>
  <c r="AU984" i="4"/>
  <c r="AU985" i="4"/>
  <c r="AU986" i="4"/>
  <c r="AU987" i="4"/>
  <c r="AU988" i="4"/>
  <c r="AU989" i="4"/>
  <c r="AU990" i="4"/>
  <c r="AU991" i="4"/>
  <c r="AU992" i="4"/>
  <c r="AU993" i="4"/>
  <c r="AU994" i="4"/>
  <c r="AU995" i="4"/>
  <c r="AU996" i="4"/>
  <c r="AU997" i="4"/>
  <c r="AU998" i="4"/>
  <c r="AU999" i="4"/>
  <c r="AU1000" i="4"/>
  <c r="AU1001" i="4"/>
  <c r="AU1002" i="4"/>
  <c r="AU1003" i="4"/>
  <c r="AU1004" i="4"/>
  <c r="AU1005" i="4"/>
  <c r="AU1006" i="4"/>
  <c r="AU1007" i="4"/>
  <c r="AU1008" i="4"/>
  <c r="AU1009" i="4"/>
  <c r="AU1010" i="4"/>
  <c r="AU1011" i="4"/>
  <c r="AU1012" i="4"/>
  <c r="AU1013" i="4"/>
  <c r="AU1014" i="4"/>
  <c r="AU1015" i="4"/>
  <c r="AU1016" i="4"/>
  <c r="AU1017" i="4"/>
  <c r="AU1018" i="4"/>
  <c r="AU1019" i="4"/>
  <c r="AU1020" i="4"/>
  <c r="AU1021" i="4"/>
  <c r="AU1022" i="4"/>
  <c r="AU1023" i="4"/>
  <c r="AU1024" i="4"/>
  <c r="AU1025" i="4"/>
  <c r="AU1026" i="4"/>
  <c r="AU1027" i="4"/>
  <c r="AU1028" i="4"/>
  <c r="AU1029" i="4"/>
  <c r="AU1030" i="4"/>
  <c r="AU1031" i="4"/>
  <c r="AU1032" i="4"/>
  <c r="AU1033" i="4"/>
  <c r="AU1034" i="4"/>
  <c r="AU1035" i="4"/>
  <c r="AU1036" i="4"/>
  <c r="AU1037" i="4"/>
  <c r="AU1038" i="4"/>
  <c r="AU1039" i="4"/>
  <c r="AU1040" i="4"/>
  <c r="AU1041" i="4"/>
  <c r="AU1042" i="4"/>
  <c r="AU1043" i="4"/>
  <c r="AU1044" i="4"/>
  <c r="AU1045" i="4"/>
  <c r="AU1046" i="4"/>
  <c r="AU1047" i="4"/>
  <c r="AU1048" i="4"/>
  <c r="AU1049" i="4"/>
  <c r="AU1050" i="4"/>
  <c r="AU1051" i="4"/>
  <c r="AU1052" i="4"/>
  <c r="AU1053" i="4"/>
  <c r="AU1054" i="4"/>
  <c r="AU1055" i="4"/>
  <c r="AU1056" i="4"/>
  <c r="AU1057" i="4"/>
  <c r="AU1058" i="4"/>
  <c r="AU1059" i="4"/>
  <c r="AU1060" i="4"/>
  <c r="AU1061" i="4"/>
  <c r="AU1062" i="4"/>
  <c r="AU1063" i="4"/>
  <c r="AU1064" i="4"/>
  <c r="AU1065" i="4"/>
  <c r="AU1066" i="4"/>
  <c r="AU1067" i="4"/>
  <c r="AU1068" i="4"/>
  <c r="AU1069" i="4"/>
  <c r="AU1070" i="4"/>
  <c r="AU1071" i="4"/>
  <c r="AU1072" i="4"/>
  <c r="AU1073" i="4"/>
  <c r="AU1074" i="4"/>
  <c r="AU1075" i="4"/>
  <c r="AU1076" i="4"/>
  <c r="AU1077" i="4"/>
  <c r="AU1078" i="4"/>
  <c r="AU1079" i="4"/>
  <c r="AU1080" i="4"/>
  <c r="AU1081" i="4"/>
  <c r="AU1082" i="4"/>
  <c r="AU1083" i="4"/>
  <c r="AU1084" i="4"/>
  <c r="AU1085" i="4"/>
  <c r="AU1086" i="4"/>
  <c r="AU1087" i="4"/>
  <c r="AU1088" i="4"/>
  <c r="AU1089" i="4"/>
  <c r="AU1090" i="4"/>
  <c r="AU1091" i="4"/>
  <c r="AU1092" i="4"/>
  <c r="AU1093" i="4"/>
  <c r="AU1094" i="4"/>
  <c r="AU1095" i="4"/>
  <c r="AU1096" i="4"/>
  <c r="AU1097" i="4"/>
  <c r="AU1098" i="4"/>
  <c r="AU1099" i="4"/>
  <c r="AU1100" i="4"/>
  <c r="AU1101" i="4"/>
  <c r="AU1102" i="4"/>
  <c r="AU1103" i="4"/>
  <c r="AU1104" i="4"/>
  <c r="AU1105" i="4"/>
  <c r="AU1106" i="4"/>
  <c r="AU1107" i="4"/>
  <c r="AU1108" i="4"/>
  <c r="AU1109" i="4"/>
  <c r="AU1110" i="4"/>
  <c r="AU1111" i="4"/>
  <c r="AU1112" i="4"/>
  <c r="AU1113" i="4"/>
  <c r="AU1114" i="4"/>
  <c r="AU1115" i="4"/>
  <c r="AU1116" i="4"/>
  <c r="AU1117" i="4"/>
  <c r="AU1118" i="4"/>
  <c r="AU1119" i="4"/>
  <c r="AU1120" i="4"/>
  <c r="AU1121" i="4"/>
  <c r="AU1122" i="4"/>
  <c r="AU1123" i="4"/>
  <c r="AU1124" i="4"/>
  <c r="AU1125" i="4"/>
  <c r="AU1126" i="4"/>
  <c r="AU1127" i="4"/>
  <c r="AU1128" i="4"/>
  <c r="AU1129" i="4"/>
  <c r="AU1130" i="4"/>
  <c r="AU1131" i="4"/>
  <c r="AU1132" i="4"/>
  <c r="AU1133" i="4"/>
  <c r="AU1134" i="4"/>
  <c r="AU1135" i="4"/>
  <c r="AU1136" i="4"/>
  <c r="AU1137" i="4"/>
  <c r="AU1138" i="4"/>
  <c r="AU1139" i="4"/>
  <c r="AU1140" i="4"/>
  <c r="AU1141" i="4"/>
  <c r="AU1142" i="4"/>
  <c r="AU1143" i="4"/>
  <c r="AU1144" i="4"/>
  <c r="AU1145" i="4"/>
  <c r="AU1146" i="4"/>
  <c r="AU1147" i="4"/>
  <c r="AU1148" i="4"/>
  <c r="AU1149" i="4"/>
  <c r="AU1150" i="4"/>
  <c r="AU1151" i="4"/>
  <c r="AU1152" i="4"/>
  <c r="AU1153" i="4"/>
  <c r="AU1154" i="4"/>
  <c r="AU1155" i="4"/>
  <c r="AU1156" i="4"/>
  <c r="AU1157" i="4"/>
  <c r="AU1158" i="4"/>
  <c r="AU1159" i="4"/>
  <c r="AU1160" i="4"/>
  <c r="AU1161" i="4"/>
  <c r="AU1162" i="4"/>
  <c r="AU1163" i="4"/>
  <c r="AU1164" i="4"/>
  <c r="AU1165" i="4"/>
  <c r="AU1166" i="4"/>
  <c r="AU1167" i="4"/>
  <c r="AU1168" i="4"/>
  <c r="AU1169" i="4"/>
  <c r="AU1170" i="4"/>
  <c r="AU1171" i="4"/>
  <c r="AU1172" i="4"/>
  <c r="AU1173" i="4"/>
  <c r="AU1174" i="4"/>
  <c r="AU1175" i="4"/>
  <c r="AU1176" i="4"/>
  <c r="AU1177" i="4"/>
  <c r="AU1178" i="4"/>
  <c r="AU1179" i="4"/>
  <c r="AU1180" i="4"/>
  <c r="AU1181" i="4"/>
  <c r="AU1182" i="4"/>
  <c r="AU1183" i="4"/>
  <c r="AU1184" i="4"/>
  <c r="AU1185" i="4"/>
  <c r="AU1186" i="4"/>
  <c r="AU1187" i="4"/>
  <c r="AU1188" i="4"/>
  <c r="AU1189" i="4"/>
  <c r="AU1190" i="4"/>
  <c r="AU1191" i="4"/>
  <c r="AU1192" i="4"/>
  <c r="AU1193" i="4"/>
  <c r="AU1194" i="4"/>
  <c r="AU1195" i="4"/>
  <c r="AU1196" i="4"/>
  <c r="AU1197" i="4"/>
  <c r="AU1198" i="4"/>
  <c r="AU1199" i="4"/>
  <c r="AU1200" i="4"/>
  <c r="AU1201" i="4"/>
  <c r="AU1202" i="4"/>
  <c r="AU1203" i="4"/>
  <c r="AU1204" i="4"/>
  <c r="AU1205" i="4"/>
  <c r="AU1206" i="4"/>
  <c r="AU1207" i="4"/>
  <c r="AU1208" i="4"/>
  <c r="AU1209" i="4"/>
  <c r="AU1210" i="4"/>
  <c r="AU1211" i="4"/>
  <c r="AU1212" i="4"/>
  <c r="AU1213" i="4"/>
  <c r="AU1214" i="4"/>
  <c r="AU1215" i="4"/>
  <c r="AU1216" i="4"/>
  <c r="AU1217" i="4"/>
  <c r="AU1218" i="4"/>
  <c r="AU1219" i="4"/>
  <c r="AU1220" i="4"/>
  <c r="AU1221" i="4"/>
  <c r="AU1222" i="4"/>
  <c r="AU1223" i="4"/>
  <c r="AU1224" i="4"/>
  <c r="AU1225" i="4"/>
  <c r="AU1226" i="4"/>
  <c r="AU1227" i="4"/>
  <c r="AU1228" i="4"/>
  <c r="AU1229" i="4"/>
  <c r="AU1230" i="4"/>
  <c r="AU1231" i="4"/>
  <c r="AU1232" i="4"/>
  <c r="AU1233" i="4"/>
  <c r="AU1234" i="4"/>
  <c r="AU1235" i="4"/>
  <c r="AU1236" i="4"/>
  <c r="AU1237" i="4"/>
  <c r="AU1238" i="4"/>
  <c r="AU1239" i="4"/>
  <c r="AU1240" i="4"/>
  <c r="AU1241" i="4"/>
  <c r="AU1242" i="4"/>
  <c r="AU1243" i="4"/>
  <c r="AU1244" i="4"/>
  <c r="AU1245" i="4"/>
  <c r="AU1246" i="4"/>
  <c r="AU1247" i="4"/>
  <c r="AU1248" i="4"/>
  <c r="AU1249" i="4"/>
  <c r="AU1250" i="4"/>
  <c r="AU1251" i="4"/>
  <c r="AU1252" i="4"/>
  <c r="AU1253" i="4"/>
  <c r="AU1254" i="4"/>
  <c r="AU1255" i="4"/>
  <c r="AU1256" i="4"/>
  <c r="AU1257" i="4"/>
  <c r="AU1258" i="4"/>
  <c r="AU1259" i="4"/>
  <c r="AU1260" i="4"/>
  <c r="AU1261" i="4"/>
  <c r="AU1262" i="4"/>
  <c r="AU1263" i="4"/>
  <c r="AU1264" i="4"/>
  <c r="AU1265" i="4"/>
  <c r="AU1266" i="4"/>
  <c r="AU1267" i="4"/>
  <c r="AU1268" i="4"/>
  <c r="AU1269" i="4"/>
  <c r="AU1270" i="4"/>
  <c r="AU1271" i="4"/>
  <c r="AU1272" i="4"/>
  <c r="AU1273" i="4"/>
  <c r="AU1274" i="4"/>
  <c r="AU1275" i="4"/>
  <c r="AU1276" i="4"/>
  <c r="AU1277" i="4"/>
  <c r="AU1278" i="4"/>
  <c r="AU1279" i="4"/>
  <c r="AU1280" i="4"/>
  <c r="AU1281" i="4"/>
  <c r="AU1282" i="4"/>
  <c r="AU1283" i="4"/>
  <c r="AU1284" i="4"/>
  <c r="AU1285" i="4"/>
  <c r="AU1286" i="4"/>
  <c r="AU1287" i="4"/>
  <c r="AU1288" i="4"/>
  <c r="AU1289" i="4"/>
  <c r="AU1290" i="4"/>
  <c r="AU1291" i="4"/>
  <c r="AU1292" i="4"/>
  <c r="AU1293" i="4"/>
  <c r="AU1294" i="4"/>
  <c r="AU1295" i="4"/>
  <c r="AU1296" i="4"/>
  <c r="AU1297" i="4"/>
  <c r="AU1298" i="4"/>
  <c r="AU1299" i="4"/>
  <c r="AU1300" i="4"/>
  <c r="AU1301" i="4"/>
  <c r="AU1302" i="4"/>
  <c r="AU1303" i="4"/>
  <c r="AU1304" i="4"/>
  <c r="AU1305" i="4"/>
  <c r="AU1306" i="4"/>
  <c r="AU1307" i="4"/>
  <c r="AU1308" i="4"/>
  <c r="AU1309" i="4"/>
  <c r="AU1310" i="4"/>
  <c r="AU1311" i="4"/>
  <c r="AU1312" i="4"/>
  <c r="AU1313" i="4"/>
  <c r="AU1314" i="4"/>
  <c r="AU1315" i="4"/>
  <c r="AU1316" i="4"/>
  <c r="AU1317" i="4"/>
  <c r="AU1318" i="4"/>
  <c r="AU1319" i="4"/>
  <c r="AU1320" i="4"/>
  <c r="AU1321" i="4"/>
  <c r="AU1322" i="4"/>
  <c r="AU1323" i="4"/>
  <c r="AU1324" i="4"/>
  <c r="AU1325" i="4"/>
  <c r="AU1326" i="4"/>
  <c r="AU1327" i="4"/>
  <c r="AU1328" i="4"/>
  <c r="AU1329" i="4"/>
  <c r="AU1330" i="4"/>
  <c r="AU1331" i="4"/>
  <c r="AU1332" i="4"/>
  <c r="AU1333" i="4"/>
  <c r="AU1334" i="4"/>
  <c r="AU1335" i="4"/>
  <c r="AU1336" i="4"/>
  <c r="AU1337" i="4"/>
  <c r="AU1338" i="4"/>
  <c r="AU1339" i="4"/>
  <c r="AU1340" i="4"/>
  <c r="AU1341" i="4"/>
  <c r="AU1342" i="4"/>
  <c r="AU1343" i="4"/>
  <c r="AU1344" i="4"/>
  <c r="AU1345" i="4"/>
  <c r="AU1346" i="4"/>
  <c r="AU1347" i="4"/>
  <c r="AU1348" i="4"/>
  <c r="AU1349" i="4"/>
  <c r="AU1350" i="4"/>
  <c r="AU1351" i="4"/>
  <c r="AU1352" i="4"/>
  <c r="AU1353" i="4"/>
  <c r="AU1354" i="4"/>
  <c r="AU1355" i="4"/>
  <c r="AU1356" i="4"/>
  <c r="AU1357" i="4"/>
  <c r="AU1358" i="4"/>
  <c r="AU1359" i="4"/>
  <c r="AU1360" i="4"/>
  <c r="AU1361" i="4"/>
  <c r="AU1362" i="4"/>
  <c r="AU1363" i="4"/>
  <c r="AU1364" i="4"/>
  <c r="AU1365" i="4"/>
  <c r="AU1366" i="4"/>
  <c r="AU1367" i="4"/>
  <c r="AU1368" i="4"/>
  <c r="AU1369" i="4"/>
  <c r="AU1370" i="4"/>
  <c r="AU1371" i="4"/>
  <c r="AU1372" i="4"/>
  <c r="AU1373" i="4"/>
  <c r="AU1374" i="4"/>
  <c r="AU1375" i="4"/>
  <c r="AU1376" i="4"/>
  <c r="AU1377" i="4"/>
  <c r="AU1378" i="4"/>
  <c r="AU1379" i="4"/>
  <c r="AU1380" i="4"/>
  <c r="AU1381" i="4"/>
  <c r="AU1382" i="4"/>
  <c r="AU1383" i="4"/>
  <c r="AU1384" i="4"/>
  <c r="AU1385" i="4"/>
  <c r="AU1386" i="4"/>
  <c r="AU1387" i="4"/>
  <c r="AU1388" i="4"/>
  <c r="AU1389" i="4"/>
  <c r="AU1390" i="4"/>
  <c r="AU1391" i="4"/>
  <c r="AU1392" i="4"/>
  <c r="AU1393" i="4"/>
  <c r="AU1394" i="4"/>
  <c r="AU1395" i="4"/>
  <c r="AU1396" i="4"/>
  <c r="AU1397" i="4"/>
  <c r="AU1398" i="4"/>
  <c r="AU1399" i="4"/>
  <c r="AU1400" i="4"/>
  <c r="AU1401" i="4"/>
  <c r="AU1402" i="4"/>
  <c r="AU1403" i="4"/>
  <c r="AU1404" i="4"/>
  <c r="AU1405" i="4"/>
  <c r="AU1406" i="4"/>
  <c r="AU1407" i="4"/>
  <c r="AU1408" i="4"/>
  <c r="AU1409" i="4"/>
  <c r="AU1410" i="4"/>
  <c r="AU1411" i="4"/>
  <c r="AU1412" i="4"/>
  <c r="AU1413" i="4"/>
  <c r="AU1414" i="4"/>
  <c r="AU1415" i="4"/>
  <c r="AU1416" i="4"/>
  <c r="AU1417" i="4"/>
  <c r="AU1418" i="4"/>
  <c r="AU1419" i="4"/>
  <c r="AU1420" i="4"/>
  <c r="AU1421" i="4"/>
  <c r="AU1422" i="4"/>
  <c r="AU1423" i="4"/>
  <c r="AU1424" i="4"/>
  <c r="AU1425" i="4"/>
  <c r="AU1426" i="4"/>
  <c r="AU1427" i="4"/>
  <c r="AU1428" i="4"/>
  <c r="AU1429" i="4"/>
  <c r="AU1430" i="4"/>
  <c r="AU1431" i="4"/>
  <c r="AU1432" i="4"/>
  <c r="AU1433" i="4"/>
  <c r="AU1434" i="4"/>
  <c r="AU1435" i="4"/>
  <c r="AU1436" i="4"/>
  <c r="AU1437" i="4"/>
  <c r="AU1438" i="4"/>
  <c r="AU1439" i="4"/>
  <c r="AU1440" i="4"/>
  <c r="AU1441" i="4"/>
  <c r="AU1442" i="4"/>
  <c r="AU1443" i="4"/>
  <c r="AU1444" i="4"/>
  <c r="AU1445" i="4"/>
  <c r="AU1446" i="4"/>
  <c r="AU1447" i="4"/>
  <c r="AU1448" i="4"/>
  <c r="AU1449" i="4"/>
  <c r="AU1450" i="4"/>
  <c r="AU1451" i="4"/>
  <c r="AU1452" i="4"/>
  <c r="AU1453" i="4"/>
  <c r="AU1454" i="4"/>
  <c r="AU1455" i="4"/>
  <c r="AU1456" i="4"/>
  <c r="AU1457" i="4"/>
  <c r="AU1458" i="4"/>
  <c r="AU1459" i="4"/>
  <c r="AU1460" i="4"/>
  <c r="AU1461" i="4"/>
  <c r="AU1462" i="4"/>
  <c r="AU1463" i="4"/>
  <c r="AU1464" i="4"/>
  <c r="AU1465" i="4"/>
  <c r="AU1466" i="4"/>
  <c r="AU1467" i="4"/>
  <c r="AU1468" i="4"/>
  <c r="AU1469" i="4"/>
  <c r="AU1470" i="4"/>
  <c r="AU1471" i="4"/>
  <c r="AU1472" i="4"/>
  <c r="AU1473" i="4"/>
  <c r="AU1474" i="4"/>
  <c r="AU1475" i="4"/>
  <c r="AU1476" i="4"/>
  <c r="AU1477" i="4"/>
  <c r="AU1478" i="4"/>
  <c r="AU1479" i="4"/>
  <c r="AU1480" i="4"/>
  <c r="AU1481" i="4"/>
  <c r="AU1482" i="4"/>
  <c r="AU1483" i="4"/>
  <c r="AU1484" i="4"/>
  <c r="AU1485" i="4"/>
  <c r="AU1486" i="4"/>
  <c r="AU1487" i="4"/>
  <c r="AU1488" i="4"/>
  <c r="AU1489" i="4"/>
  <c r="AU1490" i="4"/>
  <c r="AU1491" i="4"/>
  <c r="AU1492" i="4"/>
  <c r="AU1493" i="4"/>
  <c r="AU1494" i="4"/>
  <c r="AU1495" i="4"/>
  <c r="AU1496" i="4"/>
  <c r="AU1497" i="4"/>
  <c r="AU1498" i="4"/>
  <c r="AU1499" i="4"/>
  <c r="AU1500" i="4"/>
  <c r="AU1501" i="4"/>
  <c r="AU1502" i="4"/>
  <c r="AU1503" i="4"/>
  <c r="AU1504" i="4"/>
  <c r="AU1505" i="4"/>
  <c r="AU1506" i="4"/>
  <c r="AU1507" i="4"/>
  <c r="AU1508" i="4"/>
  <c r="AU1509" i="4"/>
  <c r="AU1510" i="4"/>
  <c r="AU1511" i="4"/>
  <c r="AU1512" i="4"/>
  <c r="AU1513" i="4"/>
  <c r="AU1514" i="4"/>
  <c r="AU1515" i="4"/>
  <c r="AU1516" i="4"/>
  <c r="AU1517" i="4"/>
  <c r="AU1518" i="4"/>
  <c r="AU1519" i="4"/>
  <c r="AU1520" i="4"/>
  <c r="AU1521" i="4"/>
  <c r="AU1522" i="4"/>
  <c r="AU1523" i="4"/>
  <c r="AU1524" i="4"/>
  <c r="AU1525" i="4"/>
  <c r="AU1526" i="4"/>
  <c r="AU1527" i="4"/>
  <c r="AU1528" i="4"/>
  <c r="AU1529" i="4"/>
  <c r="AU1530" i="4"/>
  <c r="AU1531" i="4"/>
  <c r="AU1532" i="4"/>
  <c r="AU1533" i="4"/>
  <c r="AU1534" i="4"/>
  <c r="AU1535" i="4"/>
  <c r="AU1536" i="4"/>
  <c r="AU1537" i="4"/>
  <c r="AU1538" i="4"/>
  <c r="AU1539" i="4"/>
  <c r="AU1540" i="4"/>
  <c r="AU1541" i="4"/>
  <c r="AU1542" i="4"/>
  <c r="AU1543" i="4"/>
  <c r="AU1544" i="4"/>
  <c r="AU1545" i="4"/>
  <c r="AU1546" i="4"/>
  <c r="AU1547" i="4"/>
  <c r="AU1548" i="4"/>
  <c r="AU1549" i="4"/>
  <c r="AU1550" i="4"/>
  <c r="AU1551" i="4"/>
  <c r="AU1552" i="4"/>
  <c r="AU1553" i="4"/>
  <c r="AU1554" i="4"/>
  <c r="AU1555" i="4"/>
  <c r="AU1556" i="4"/>
  <c r="AU1557" i="4"/>
  <c r="AU1558" i="4"/>
  <c r="AU1559" i="4"/>
  <c r="AU1560" i="4"/>
  <c r="AU1561" i="4"/>
  <c r="AU1562" i="4"/>
  <c r="AU1563" i="4"/>
  <c r="AU1564" i="4"/>
  <c r="AU1565" i="4"/>
  <c r="AU1566" i="4"/>
  <c r="AU1567" i="4"/>
  <c r="AU1568" i="4"/>
  <c r="AU1569" i="4"/>
  <c r="AU1570" i="4"/>
  <c r="AU1571" i="4"/>
  <c r="AU1572" i="4"/>
  <c r="AU1573" i="4"/>
  <c r="AU1574" i="4"/>
  <c r="AU1575" i="4"/>
  <c r="AU1576" i="4"/>
  <c r="AU1577" i="4"/>
  <c r="AU1578" i="4"/>
  <c r="AU1579" i="4"/>
  <c r="AU1580" i="4"/>
  <c r="AU1581" i="4"/>
  <c r="AU1582" i="4"/>
  <c r="AU1583" i="4"/>
  <c r="AU1584" i="4"/>
  <c r="AU1585" i="4"/>
  <c r="AU1586" i="4"/>
  <c r="AU1587" i="4"/>
  <c r="AU1588" i="4"/>
  <c r="AU1589" i="4"/>
  <c r="AU1590" i="4"/>
  <c r="AU1591" i="4"/>
  <c r="AU1592" i="4"/>
  <c r="AU1593" i="4"/>
  <c r="AU1594" i="4"/>
  <c r="AU1595" i="4"/>
  <c r="AU1596" i="4"/>
  <c r="AU1597" i="4"/>
  <c r="AU1598" i="4"/>
  <c r="AU1599" i="4"/>
  <c r="AU1600" i="4"/>
  <c r="AU1601" i="4"/>
  <c r="AU1602" i="4"/>
  <c r="AU1603" i="4"/>
  <c r="AU1604" i="4"/>
  <c r="AU1605" i="4"/>
  <c r="AU1606" i="4"/>
  <c r="AU1607" i="4"/>
  <c r="AU1608" i="4"/>
  <c r="AU1609" i="4"/>
  <c r="AU1610" i="4"/>
  <c r="AU1611" i="4"/>
  <c r="AU1612" i="4"/>
  <c r="AU1613" i="4"/>
  <c r="AU1614" i="4"/>
  <c r="AU1615" i="4"/>
  <c r="AU1616" i="4"/>
  <c r="AU1617" i="4"/>
  <c r="AU1618" i="4"/>
  <c r="AU1619" i="4"/>
  <c r="AU1620" i="4"/>
  <c r="AU1621" i="4"/>
  <c r="AU1622" i="4"/>
  <c r="AU1623" i="4"/>
  <c r="AU1624" i="4"/>
  <c r="AU1625" i="4"/>
  <c r="AU1626" i="4"/>
  <c r="AU1627" i="4"/>
  <c r="AU1628" i="4"/>
  <c r="AU1629" i="4"/>
  <c r="AU1630" i="4"/>
  <c r="AU1631" i="4"/>
  <c r="AU1632" i="4"/>
  <c r="AU1633" i="4"/>
  <c r="AU1634" i="4"/>
  <c r="AU1635" i="4"/>
  <c r="AU1636" i="4"/>
  <c r="AU1637" i="4"/>
  <c r="AU1638" i="4"/>
  <c r="AU1639" i="4"/>
  <c r="AU1640" i="4"/>
  <c r="AU1641" i="4"/>
  <c r="AU1642" i="4"/>
  <c r="AU1643" i="4"/>
  <c r="AU1644" i="4"/>
  <c r="AU1645" i="4"/>
  <c r="AU1646" i="4"/>
  <c r="AU1647" i="4"/>
  <c r="AU1648" i="4"/>
  <c r="AU1649" i="4"/>
  <c r="AU1650" i="4"/>
  <c r="AU1651" i="4"/>
  <c r="AU1652" i="4"/>
  <c r="AU1653" i="4"/>
  <c r="AU1654" i="4"/>
  <c r="AU1655" i="4"/>
  <c r="AU1656" i="4"/>
  <c r="AU1657" i="4"/>
  <c r="AU1658" i="4"/>
  <c r="AU1659" i="4"/>
  <c r="AU1660" i="4"/>
  <c r="AU1661" i="4"/>
  <c r="AU1662" i="4"/>
  <c r="AU1663" i="4"/>
  <c r="AU1664" i="4"/>
  <c r="AU1665" i="4"/>
  <c r="AU1666" i="4"/>
  <c r="AU1667" i="4"/>
  <c r="AU1668" i="4"/>
  <c r="AU1669" i="4"/>
  <c r="AU1670" i="4"/>
  <c r="AU1671" i="4"/>
  <c r="AU1672" i="4"/>
  <c r="AU1673" i="4"/>
  <c r="AU1674" i="4"/>
  <c r="AU1675" i="4"/>
  <c r="AU1676" i="4"/>
  <c r="AU1677" i="4"/>
  <c r="AU1678" i="4"/>
  <c r="AU1679" i="4"/>
  <c r="AU1680" i="4"/>
  <c r="AU1681" i="4"/>
  <c r="AU1682" i="4"/>
  <c r="AU1683" i="4"/>
  <c r="AU1684" i="4"/>
  <c r="AU1685" i="4"/>
  <c r="AU1686" i="4"/>
  <c r="AU1687" i="4"/>
  <c r="AU1688" i="4"/>
  <c r="AU1689" i="4"/>
  <c r="AU1690" i="4"/>
  <c r="AU1691" i="4"/>
  <c r="AU1692" i="4"/>
  <c r="AU1693" i="4"/>
  <c r="AU1694" i="4"/>
  <c r="AU1695" i="4"/>
  <c r="AU1696" i="4"/>
  <c r="AU1697" i="4"/>
  <c r="AU1698" i="4"/>
  <c r="AU1699" i="4"/>
  <c r="AU1700" i="4"/>
  <c r="AU1701" i="4"/>
  <c r="AU1702" i="4"/>
  <c r="AU1703" i="4"/>
  <c r="AU1704" i="4"/>
  <c r="AU1705" i="4"/>
  <c r="AU1706" i="4"/>
  <c r="AU1707" i="4"/>
  <c r="AU1708" i="4"/>
  <c r="AU1709" i="4"/>
  <c r="AU1710" i="4"/>
  <c r="AU1711" i="4"/>
  <c r="AU1712" i="4"/>
  <c r="AU1713" i="4"/>
  <c r="AU1714" i="4"/>
  <c r="AU1715" i="4"/>
  <c r="AU1716" i="4"/>
  <c r="AU1717" i="4"/>
  <c r="AU1718" i="4"/>
  <c r="AU1719" i="4"/>
  <c r="AU1720" i="4"/>
  <c r="AU1721" i="4"/>
  <c r="AU1722" i="4"/>
  <c r="AU1723" i="4"/>
  <c r="AU1724" i="4"/>
  <c r="AU1725" i="4"/>
  <c r="AU1726" i="4"/>
  <c r="AU1727" i="4"/>
  <c r="AU1728" i="4"/>
  <c r="AU1729" i="4"/>
  <c r="AU1730" i="4"/>
  <c r="AU1731" i="4"/>
  <c r="AU1732" i="4"/>
  <c r="AU1733" i="4"/>
  <c r="AU1734" i="4"/>
  <c r="AU1735" i="4"/>
  <c r="AU1736" i="4"/>
  <c r="AU1737" i="4"/>
  <c r="AU1738" i="4"/>
  <c r="AU1739" i="4"/>
  <c r="AU1740" i="4"/>
  <c r="AU1741" i="4"/>
  <c r="AU1742" i="4"/>
  <c r="AU1743" i="4"/>
  <c r="AU1744" i="4"/>
  <c r="AU1745" i="4"/>
  <c r="AU1746" i="4"/>
  <c r="AU1747" i="4"/>
  <c r="AU1748" i="4"/>
  <c r="AU1749" i="4"/>
  <c r="AU1750" i="4"/>
  <c r="AU1751" i="4"/>
  <c r="AU1752" i="4"/>
  <c r="AU1753" i="4"/>
  <c r="AU1754" i="4"/>
  <c r="AU1755" i="4"/>
  <c r="AU1756" i="4"/>
  <c r="AU1757" i="4"/>
  <c r="AU1758" i="4"/>
  <c r="AU1759" i="4"/>
  <c r="AU1760" i="4"/>
  <c r="AU1761" i="4"/>
  <c r="AU1762" i="4"/>
  <c r="AU1763" i="4"/>
  <c r="AU1764" i="4"/>
  <c r="AU1765" i="4"/>
  <c r="AU1766" i="4"/>
  <c r="AU1767" i="4"/>
  <c r="AU1768" i="4"/>
  <c r="AU1769" i="4"/>
  <c r="AU1770" i="4"/>
  <c r="AU1771" i="4"/>
  <c r="AU1772" i="4"/>
  <c r="AU1773" i="4"/>
  <c r="AU1774" i="4"/>
  <c r="AU1775" i="4"/>
  <c r="AU1776" i="4"/>
  <c r="AU1777" i="4"/>
  <c r="AU1778" i="4"/>
  <c r="AU1779" i="4"/>
  <c r="AU1780" i="4"/>
  <c r="AU1781" i="4"/>
  <c r="AU1782" i="4"/>
  <c r="AU1783" i="4"/>
  <c r="AU1784" i="4"/>
  <c r="AU1785" i="4"/>
  <c r="AU1786" i="4"/>
  <c r="AU1787" i="4"/>
  <c r="AU1788" i="4"/>
  <c r="AU1789" i="4"/>
  <c r="AU1790" i="4"/>
  <c r="AU1791" i="4"/>
  <c r="AU1792" i="4"/>
  <c r="AU1793" i="4"/>
  <c r="AU1794" i="4"/>
  <c r="AU1795" i="4"/>
  <c r="AU1796" i="4"/>
  <c r="AU1797" i="4"/>
  <c r="AU1798" i="4"/>
  <c r="AU1799" i="4"/>
  <c r="AU1800" i="4"/>
  <c r="AU1801" i="4"/>
  <c r="AU1802" i="4"/>
  <c r="AU1803" i="4"/>
  <c r="AU1804" i="4"/>
  <c r="AU1805" i="4"/>
  <c r="AU1806" i="4"/>
  <c r="AU1807" i="4"/>
  <c r="AU1808" i="4"/>
  <c r="AU1809" i="4"/>
  <c r="AU1810" i="4"/>
  <c r="AU1811" i="4"/>
  <c r="AU1812" i="4"/>
  <c r="AU1813" i="4"/>
  <c r="AU1814" i="4"/>
  <c r="AU1815" i="4"/>
  <c r="AU1816" i="4"/>
  <c r="AU1817" i="4"/>
  <c r="AU1818" i="4"/>
  <c r="AU1819" i="4"/>
  <c r="AU1820" i="4"/>
  <c r="AU1821" i="4"/>
  <c r="AU1822" i="4"/>
  <c r="AU1823" i="4"/>
  <c r="AU1824" i="4"/>
  <c r="AU1825" i="4"/>
  <c r="AU1826" i="4"/>
  <c r="AU1827" i="4"/>
  <c r="AU1828" i="4"/>
  <c r="AU1829" i="4"/>
  <c r="AU1830" i="4"/>
  <c r="AU1831" i="4"/>
  <c r="AU1832" i="4"/>
  <c r="AU1833" i="4"/>
  <c r="AU1834" i="4"/>
  <c r="AU1835" i="4"/>
  <c r="AU1836" i="4"/>
  <c r="AU1837" i="4"/>
  <c r="AU1838" i="4"/>
  <c r="AU1839" i="4"/>
  <c r="AU1840" i="4"/>
  <c r="AU1841" i="4"/>
  <c r="AU1842" i="4"/>
  <c r="AU1843" i="4"/>
  <c r="AU1844" i="4"/>
  <c r="AU1845" i="4"/>
  <c r="AU1846" i="4"/>
  <c r="AU1847" i="4"/>
  <c r="AU1848" i="4"/>
  <c r="AU1849" i="4"/>
  <c r="AU1850" i="4"/>
  <c r="AU1851" i="4"/>
  <c r="AU1852" i="4"/>
  <c r="AU1853" i="4"/>
  <c r="AU1854" i="4"/>
  <c r="AU1855" i="4"/>
  <c r="AU1856" i="4"/>
  <c r="AU1857" i="4"/>
  <c r="AU1858" i="4"/>
  <c r="AU1859" i="4"/>
  <c r="AU1860" i="4"/>
  <c r="AU1861" i="4"/>
  <c r="AU1862" i="4"/>
  <c r="AU1863" i="4"/>
  <c r="AU1864" i="4"/>
  <c r="AU1865" i="4"/>
  <c r="AU1866" i="4"/>
  <c r="AU1867" i="4"/>
  <c r="AU1868" i="4"/>
  <c r="AU1869" i="4"/>
  <c r="AU1870" i="4"/>
  <c r="AU1871" i="4"/>
  <c r="AU1872" i="4"/>
  <c r="AU1873" i="4"/>
  <c r="AU1874" i="4"/>
  <c r="AU1875" i="4"/>
  <c r="AU1876" i="4"/>
  <c r="AU1877" i="4"/>
  <c r="AU1878" i="4"/>
  <c r="AU1879" i="4"/>
  <c r="AU1880" i="4"/>
  <c r="AU1881" i="4"/>
  <c r="AU1882" i="4"/>
  <c r="AU1883" i="4"/>
  <c r="AU1884" i="4"/>
  <c r="AU1885" i="4"/>
  <c r="AU1886" i="4"/>
  <c r="AU1887" i="4"/>
  <c r="AU1888" i="4"/>
  <c r="AU1889" i="4"/>
  <c r="AU1890" i="4"/>
  <c r="AU1891" i="4"/>
  <c r="AU1892" i="4"/>
  <c r="AU1893" i="4"/>
  <c r="AU1894" i="4"/>
  <c r="AU1895" i="4"/>
  <c r="AU1896" i="4"/>
  <c r="AU1897" i="4"/>
  <c r="AU1898" i="4"/>
  <c r="AU1899" i="4"/>
  <c r="AU1900" i="4"/>
  <c r="AU1901" i="4"/>
  <c r="AU1902" i="4"/>
  <c r="AU1903" i="4"/>
  <c r="AU1904" i="4"/>
  <c r="AU1905" i="4"/>
  <c r="AU1906" i="4"/>
  <c r="AU1907" i="4"/>
  <c r="AU1908" i="4"/>
  <c r="AU1909" i="4"/>
  <c r="AU1910" i="4"/>
  <c r="AU1911" i="4"/>
  <c r="AU1912" i="4"/>
  <c r="AU1913" i="4"/>
  <c r="AU1914" i="4"/>
  <c r="AU1915" i="4"/>
  <c r="AU1916" i="4"/>
  <c r="AU1917" i="4"/>
  <c r="AU1918" i="4"/>
  <c r="AU1919" i="4"/>
  <c r="AU1920" i="4"/>
  <c r="AU1921" i="4"/>
  <c r="AU1922" i="4"/>
  <c r="AU1923" i="4"/>
  <c r="AU1924" i="4"/>
  <c r="AU1925" i="4"/>
  <c r="AU1926" i="4"/>
  <c r="AU1927" i="4"/>
  <c r="AU1928" i="4"/>
  <c r="AU1929" i="4"/>
  <c r="AU1930" i="4"/>
  <c r="AU1931" i="4"/>
  <c r="AU1932" i="4"/>
  <c r="AU1933" i="4"/>
  <c r="AU1934" i="4"/>
  <c r="AU1935" i="4"/>
  <c r="AU1936" i="4"/>
  <c r="AU1937" i="4"/>
  <c r="AU1938" i="4"/>
  <c r="AU1939" i="4"/>
  <c r="AU1940" i="4"/>
  <c r="AU1941" i="4"/>
  <c r="AU1942" i="4"/>
  <c r="AU1943" i="4"/>
  <c r="AU1944" i="4"/>
  <c r="AU1945" i="4"/>
  <c r="AU1946" i="4"/>
  <c r="AU1947" i="4"/>
  <c r="AU1948" i="4"/>
  <c r="AU1949" i="4"/>
  <c r="AU1950" i="4"/>
  <c r="AU1951" i="4"/>
  <c r="AU1952" i="4"/>
  <c r="AU1953" i="4"/>
  <c r="AU1954" i="4"/>
  <c r="AU1955" i="4"/>
  <c r="AU1956" i="4"/>
  <c r="AU1957" i="4"/>
  <c r="AU1958" i="4"/>
  <c r="AU1959" i="4"/>
  <c r="AU1960" i="4"/>
  <c r="AU1961" i="4"/>
  <c r="AU1962" i="4"/>
  <c r="AU1963" i="4"/>
  <c r="AU1964" i="4"/>
  <c r="AU1965" i="4"/>
  <c r="AU1966" i="4"/>
  <c r="AU1967" i="4"/>
  <c r="AU1968" i="4"/>
  <c r="AU1969" i="4"/>
  <c r="AU1970" i="4"/>
  <c r="AU1971" i="4"/>
  <c r="AU1972" i="4"/>
  <c r="AU1973" i="4"/>
  <c r="AU1974" i="4"/>
  <c r="AU1975" i="4"/>
  <c r="AU1976" i="4"/>
  <c r="AU1977" i="4"/>
  <c r="AU1978" i="4"/>
  <c r="AU1979" i="4"/>
  <c r="AU1980" i="4"/>
  <c r="AU1981" i="4"/>
  <c r="AU1982" i="4"/>
  <c r="AU1983" i="4"/>
  <c r="AU1984" i="4"/>
  <c r="AU1985" i="4"/>
  <c r="AU1986" i="4"/>
  <c r="AU1987" i="4"/>
  <c r="AU1988" i="4"/>
  <c r="AU1989" i="4"/>
  <c r="AU1990" i="4"/>
  <c r="AU1991" i="4"/>
  <c r="AU1992" i="4"/>
  <c r="AU1993" i="4"/>
  <c r="AU1994" i="4"/>
  <c r="AU1995" i="4"/>
  <c r="AU1996" i="4"/>
  <c r="AU1997" i="4"/>
  <c r="AU1998" i="4"/>
  <c r="AU1999" i="4"/>
  <c r="AU2000" i="4"/>
  <c r="AU2001" i="4"/>
  <c r="AU2002" i="4"/>
  <c r="AU2003" i="4"/>
  <c r="AU2004" i="4"/>
  <c r="AU2005" i="4"/>
  <c r="AU2006" i="4"/>
  <c r="AU2007" i="4"/>
  <c r="AU2008" i="4"/>
  <c r="AU2009" i="4"/>
  <c r="AU2010" i="4"/>
  <c r="AU2011" i="4"/>
  <c r="AU2012" i="4"/>
  <c r="AU2013" i="4"/>
  <c r="AU2014" i="4"/>
  <c r="AU2015" i="4"/>
  <c r="AU2016" i="4"/>
  <c r="AU2017" i="4"/>
  <c r="AU2018" i="4"/>
  <c r="AU2019" i="4"/>
  <c r="AU2020" i="4"/>
  <c r="AU2021" i="4"/>
  <c r="AU2022" i="4"/>
  <c r="AU2023" i="4"/>
  <c r="AU2024" i="4"/>
  <c r="AU2025" i="4"/>
  <c r="AU2026" i="4"/>
  <c r="AU2027" i="4"/>
  <c r="AU2028" i="4"/>
  <c r="AU2029" i="4"/>
  <c r="AU2030" i="4"/>
  <c r="AU2031" i="4"/>
  <c r="AU2032" i="4"/>
  <c r="AU2033" i="4"/>
  <c r="AU2034" i="4"/>
  <c r="AU2035" i="4"/>
  <c r="AU2036" i="4"/>
  <c r="AU2037" i="4"/>
  <c r="AU2038" i="4"/>
  <c r="AU2039" i="4"/>
  <c r="AU2040" i="4"/>
  <c r="AU2041" i="4"/>
  <c r="AU2042" i="4"/>
  <c r="AU2043" i="4"/>
  <c r="AU2044" i="4"/>
  <c r="AU2045" i="4"/>
  <c r="AU2046" i="4"/>
  <c r="AU2047" i="4"/>
  <c r="AU2048" i="4"/>
  <c r="AU2049" i="4"/>
  <c r="AU2050" i="4"/>
  <c r="AU2051" i="4"/>
  <c r="AU2052" i="4"/>
  <c r="AU2053" i="4"/>
  <c r="AU2054" i="4"/>
  <c r="AU2055" i="4"/>
  <c r="AU2056" i="4"/>
  <c r="AU2057" i="4"/>
  <c r="AU2058" i="4"/>
  <c r="AU2059" i="4"/>
  <c r="AU2060" i="4"/>
  <c r="AU2061" i="4"/>
  <c r="AU2062" i="4"/>
  <c r="AU2063" i="4"/>
  <c r="AU2064" i="4"/>
  <c r="AU2065" i="4"/>
  <c r="AU2066" i="4"/>
  <c r="AU2067" i="4"/>
  <c r="AU2068" i="4"/>
  <c r="AU2069" i="4"/>
  <c r="AU2070" i="4"/>
  <c r="AU2071" i="4"/>
  <c r="AU2072" i="4"/>
  <c r="AU2073" i="4"/>
  <c r="AU2074" i="4"/>
  <c r="AU2075" i="4"/>
  <c r="AU2076" i="4"/>
  <c r="AU2077" i="4"/>
  <c r="AU2078" i="4"/>
  <c r="AU2079" i="4"/>
  <c r="AU2080" i="4"/>
  <c r="AU2081" i="4"/>
  <c r="AU2082" i="4"/>
  <c r="AU2083" i="4"/>
  <c r="AU2084" i="4"/>
  <c r="AU2085" i="4"/>
  <c r="AU2086" i="4"/>
  <c r="AU2087" i="4"/>
  <c r="AU2088" i="4"/>
  <c r="AU2089" i="4"/>
  <c r="AU2090" i="4"/>
  <c r="AU2091" i="4"/>
  <c r="AU2092" i="4"/>
  <c r="AU2093" i="4"/>
  <c r="AU2094" i="4"/>
  <c r="AU2095" i="4"/>
  <c r="AU2096" i="4"/>
  <c r="AU2097" i="4"/>
  <c r="AU2098" i="4"/>
  <c r="AU2099" i="4"/>
  <c r="AU2100" i="4"/>
  <c r="AU2101" i="4"/>
  <c r="AU2102" i="4"/>
  <c r="AU2103" i="4"/>
  <c r="AU2104" i="4"/>
  <c r="AU2105" i="4"/>
  <c r="AU2106" i="4"/>
  <c r="AU2107" i="4"/>
  <c r="AU2108" i="4"/>
  <c r="AU2109" i="4"/>
  <c r="AU2110" i="4"/>
  <c r="AU2111" i="4"/>
  <c r="AU2112" i="4"/>
  <c r="AU2113" i="4"/>
  <c r="AU2114" i="4"/>
  <c r="AU2115" i="4"/>
  <c r="AU2116" i="4"/>
  <c r="AU2117" i="4"/>
  <c r="AU2118" i="4"/>
  <c r="AU2119" i="4"/>
  <c r="AU2120" i="4"/>
  <c r="AU2121" i="4"/>
  <c r="AU2122" i="4"/>
  <c r="AU2123" i="4"/>
  <c r="AU2124" i="4"/>
  <c r="AU2125" i="4"/>
  <c r="AU2126" i="4"/>
  <c r="AU2127" i="4"/>
  <c r="AU2128" i="4"/>
  <c r="AU2129" i="4"/>
  <c r="AU2130" i="4"/>
  <c r="AU2131" i="4"/>
  <c r="AU2132" i="4"/>
  <c r="AU2133" i="4"/>
  <c r="AU2134" i="4"/>
  <c r="AU2135" i="4"/>
  <c r="AU2136" i="4"/>
  <c r="AU2137" i="4"/>
  <c r="AU2138" i="4"/>
  <c r="AU2139" i="4"/>
  <c r="AU2140" i="4"/>
  <c r="AU2141" i="4"/>
  <c r="AU2142" i="4"/>
  <c r="AU2143" i="4"/>
  <c r="AU2144" i="4"/>
  <c r="AU2145" i="4"/>
  <c r="AU2146" i="4"/>
  <c r="AU2147" i="4"/>
  <c r="AU2148" i="4"/>
  <c r="AU2149" i="4"/>
  <c r="AU2150" i="4"/>
  <c r="AU2151" i="4"/>
  <c r="AU2152" i="4"/>
  <c r="AU2153" i="4"/>
  <c r="AU2154" i="4"/>
  <c r="AU2155" i="4"/>
  <c r="AU2156" i="4"/>
  <c r="AU2157" i="4"/>
  <c r="AU2158" i="4"/>
  <c r="AU2159" i="4"/>
  <c r="AU2160" i="4"/>
  <c r="AU2161" i="4"/>
  <c r="AU2162" i="4"/>
  <c r="AU2163" i="4"/>
  <c r="AU2164" i="4"/>
  <c r="AU2165" i="4"/>
  <c r="AU2166" i="4"/>
  <c r="AU2167" i="4"/>
  <c r="AU2168" i="4"/>
  <c r="AU2169" i="4"/>
  <c r="AU2170" i="4"/>
  <c r="AU2171" i="4"/>
  <c r="AU2172" i="4"/>
  <c r="AU2173" i="4"/>
  <c r="AU2174" i="4"/>
  <c r="AU2175" i="4"/>
  <c r="AU2176" i="4"/>
  <c r="AU2177" i="4"/>
  <c r="AU2178" i="4"/>
  <c r="AU2179" i="4"/>
  <c r="AU2180" i="4"/>
  <c r="AU2181" i="4"/>
  <c r="AU2182" i="4"/>
  <c r="AU2183" i="4"/>
  <c r="AU2184" i="4"/>
  <c r="AU2185" i="4"/>
  <c r="AU2186" i="4"/>
  <c r="AU2187" i="4"/>
  <c r="AU2188" i="4"/>
  <c r="AU2189" i="4"/>
  <c r="AU2190" i="4"/>
  <c r="AU2191" i="4"/>
  <c r="AU2192" i="4"/>
  <c r="AU2193" i="4"/>
  <c r="AU2194" i="4"/>
  <c r="AU2195" i="4"/>
  <c r="AU2196" i="4"/>
  <c r="AU2197" i="4"/>
  <c r="AU2198" i="4"/>
  <c r="AU2199" i="4"/>
  <c r="AU2200" i="4"/>
  <c r="AU2201" i="4"/>
  <c r="AU2202" i="4"/>
  <c r="AU2203" i="4"/>
  <c r="AU2204" i="4"/>
  <c r="AU2205" i="4"/>
  <c r="AU2206" i="4"/>
  <c r="AU2207" i="4"/>
  <c r="AU2208" i="4"/>
  <c r="AU2209" i="4"/>
  <c r="AU2210" i="4"/>
  <c r="AU2211" i="4"/>
  <c r="AU2212" i="4"/>
  <c r="AU2213" i="4"/>
  <c r="AU2214" i="4"/>
  <c r="AU2215" i="4"/>
  <c r="AU2216" i="4"/>
  <c r="AU2217" i="4"/>
  <c r="AU2218" i="4"/>
  <c r="AU2219" i="4"/>
  <c r="AU2220" i="4"/>
  <c r="AU2221" i="4"/>
  <c r="AU2222" i="4"/>
  <c r="AU2223" i="4"/>
  <c r="AU2224" i="4"/>
  <c r="AU2225" i="4"/>
  <c r="AU2226" i="4"/>
  <c r="AU2227" i="4"/>
  <c r="AU2228" i="4"/>
  <c r="AU2229" i="4"/>
  <c r="AU2230" i="4"/>
  <c r="AU2231" i="4"/>
  <c r="AU2232" i="4"/>
  <c r="AU2233" i="4"/>
  <c r="AU2234" i="4"/>
  <c r="AU2235" i="4"/>
  <c r="AU2236" i="4"/>
  <c r="AU2237" i="4"/>
  <c r="AU2238" i="4"/>
  <c r="AU2239" i="4"/>
  <c r="AU2240" i="4"/>
  <c r="AU2241" i="4"/>
  <c r="AU2242" i="4"/>
  <c r="AU2243" i="4"/>
  <c r="AU2244" i="4"/>
  <c r="AU2245" i="4"/>
  <c r="AU2246" i="4"/>
  <c r="AU2247" i="4"/>
  <c r="AU2248" i="4"/>
  <c r="AU2249" i="4"/>
  <c r="AU2250" i="4"/>
  <c r="AU2251" i="4"/>
  <c r="AU2252" i="4"/>
  <c r="AU2253" i="4"/>
  <c r="AU2254" i="4"/>
  <c r="AU2255" i="4"/>
  <c r="AU2256" i="4"/>
  <c r="AU2257" i="4"/>
  <c r="AU2258" i="4"/>
  <c r="AU2259" i="4"/>
  <c r="AU2260" i="4"/>
  <c r="AU2261" i="4"/>
  <c r="AU2262" i="4"/>
  <c r="AU2263" i="4"/>
  <c r="AU2264" i="4"/>
  <c r="AU2265" i="4"/>
  <c r="AU2266" i="4"/>
  <c r="AU2267" i="4"/>
  <c r="AU2268" i="4"/>
  <c r="AU2269" i="4"/>
  <c r="AU2270" i="4"/>
  <c r="AU2271" i="4"/>
  <c r="AU2272" i="4"/>
  <c r="AU2273" i="4"/>
  <c r="AU2274" i="4"/>
  <c r="AU2275" i="4"/>
  <c r="AU2276" i="4"/>
  <c r="AU2277" i="4"/>
  <c r="AU2278" i="4"/>
  <c r="AU2279" i="4"/>
  <c r="AU2280" i="4"/>
  <c r="AU2281" i="4"/>
  <c r="AU2282" i="4"/>
  <c r="AU2283" i="4"/>
  <c r="AU2284" i="4"/>
  <c r="AU2285" i="4"/>
  <c r="AU2286" i="4"/>
  <c r="AU2287" i="4"/>
  <c r="AU2288" i="4"/>
  <c r="AU2289" i="4"/>
  <c r="AU2290" i="4"/>
  <c r="AU2291" i="4"/>
  <c r="AU2292" i="4"/>
  <c r="AU2293" i="4"/>
  <c r="AU2294" i="4"/>
  <c r="AU2295" i="4"/>
  <c r="AU2296" i="4"/>
  <c r="AU2297" i="4"/>
  <c r="AU2298" i="4"/>
  <c r="AU2299" i="4"/>
  <c r="AU2300" i="4"/>
  <c r="AU2301" i="4"/>
  <c r="AU2302" i="4"/>
  <c r="AU2303" i="4"/>
  <c r="AU2304" i="4"/>
  <c r="AU2305" i="4"/>
  <c r="AU2306" i="4"/>
  <c r="AU2307" i="4"/>
  <c r="AU2308" i="4"/>
  <c r="AU2309" i="4"/>
  <c r="AU2310" i="4"/>
  <c r="AU2311" i="4"/>
  <c r="AU2312" i="4"/>
  <c r="AU2313" i="4"/>
  <c r="AU2314" i="4"/>
  <c r="AU2315" i="4"/>
  <c r="AU2316" i="4"/>
  <c r="AU2317" i="4"/>
  <c r="AU2318" i="4"/>
  <c r="AU2319" i="4"/>
  <c r="AU2320" i="4"/>
  <c r="AU2321" i="4"/>
  <c r="AU2322" i="4"/>
  <c r="AU2323" i="4"/>
  <c r="AU2324" i="4"/>
  <c r="AU2325" i="4"/>
  <c r="AU2326" i="4"/>
  <c r="AU2327" i="4"/>
  <c r="AU2328" i="4"/>
  <c r="AU2329" i="4"/>
  <c r="AU2330" i="4"/>
  <c r="AU2331" i="4"/>
  <c r="AU2332" i="4"/>
  <c r="AU2333" i="4"/>
  <c r="AU2334" i="4"/>
  <c r="AU2335" i="4"/>
  <c r="AU2336" i="4"/>
  <c r="AU2337" i="4"/>
  <c r="AU2338" i="4"/>
  <c r="AU2339" i="4"/>
  <c r="AU2340" i="4"/>
  <c r="AU2341" i="4"/>
  <c r="AU2342" i="4"/>
  <c r="AU2343" i="4"/>
  <c r="AU2344" i="4"/>
  <c r="AU2345" i="4"/>
  <c r="AU2346" i="4"/>
  <c r="AU2347" i="4"/>
  <c r="AU2348" i="4"/>
  <c r="AU2349" i="4"/>
  <c r="AU2350" i="4"/>
  <c r="AU2351" i="4"/>
  <c r="AU2352" i="4"/>
  <c r="AU2353" i="4"/>
  <c r="AU2354" i="4"/>
  <c r="AU2355" i="4"/>
  <c r="AU2356" i="4"/>
  <c r="AU2357" i="4"/>
  <c r="AU2358" i="4"/>
  <c r="AU2359" i="4"/>
  <c r="AU2360" i="4"/>
  <c r="AU2361" i="4"/>
  <c r="AU2362" i="4"/>
  <c r="AU2363" i="4"/>
  <c r="AU2364" i="4"/>
  <c r="AU2365" i="4"/>
  <c r="AU2366" i="4"/>
  <c r="AU2367" i="4"/>
  <c r="AU2368" i="4"/>
  <c r="AU2369" i="4"/>
  <c r="AU2370" i="4"/>
  <c r="AU2371" i="4"/>
  <c r="AU2372" i="4"/>
  <c r="AU2373" i="4"/>
  <c r="AU2374" i="4"/>
  <c r="AU2375" i="4"/>
  <c r="AU2376" i="4"/>
  <c r="AU2377" i="4"/>
  <c r="AU2378" i="4"/>
  <c r="AU2379" i="4"/>
  <c r="AU2380" i="4"/>
  <c r="AU2381" i="4"/>
  <c r="AU2382" i="4"/>
  <c r="AU2383" i="4"/>
  <c r="AU2384" i="4"/>
  <c r="AU2385" i="4"/>
  <c r="AU2386" i="4"/>
  <c r="AU2387" i="4"/>
  <c r="AU2388" i="4"/>
  <c r="AU2389" i="4"/>
  <c r="AU2390" i="4"/>
  <c r="AU2391" i="4"/>
  <c r="AU2392" i="4"/>
  <c r="AU2393" i="4"/>
  <c r="AU2394" i="4"/>
  <c r="AU2395" i="4"/>
  <c r="AU2396" i="4"/>
  <c r="AU2397" i="4"/>
  <c r="AU2398" i="4"/>
  <c r="AU2399" i="4"/>
  <c r="AU2400" i="4"/>
  <c r="AU2401" i="4"/>
  <c r="AU2402" i="4"/>
  <c r="AU2403" i="4"/>
  <c r="AU2404" i="4"/>
  <c r="AU2405" i="4"/>
  <c r="AU2406" i="4"/>
  <c r="AU2407" i="4"/>
  <c r="AU2408" i="4"/>
  <c r="AU2409" i="4"/>
  <c r="AU2410" i="4"/>
  <c r="AU2411" i="4"/>
  <c r="AU2412" i="4"/>
  <c r="AU2413" i="4"/>
  <c r="AU2414" i="4"/>
  <c r="AU2415" i="4"/>
  <c r="AU2416" i="4"/>
  <c r="AU2417" i="4"/>
  <c r="AU2418" i="4"/>
  <c r="AU2419" i="4"/>
  <c r="AU2420" i="4"/>
  <c r="AU2421" i="4"/>
  <c r="AU2422" i="4"/>
  <c r="AU2423" i="4"/>
  <c r="AU2424" i="4"/>
  <c r="AU2425" i="4"/>
  <c r="AU2426" i="4"/>
  <c r="AU2427" i="4"/>
  <c r="AU2428" i="4"/>
  <c r="AU2429" i="4"/>
  <c r="AU2430" i="4"/>
  <c r="AU2431" i="4"/>
  <c r="AU2432" i="4"/>
  <c r="AU2433" i="4"/>
  <c r="AU2434" i="4"/>
  <c r="AU2435" i="4"/>
  <c r="AU2436" i="4"/>
  <c r="AU2437" i="4"/>
  <c r="AU2438" i="4"/>
  <c r="AU2439" i="4"/>
  <c r="AU2440" i="4"/>
  <c r="AU2441" i="4"/>
  <c r="AU2442" i="4"/>
  <c r="AU2443" i="4"/>
  <c r="AU2444" i="4"/>
  <c r="AU2445" i="4"/>
  <c r="AU2446" i="4"/>
  <c r="AU2447" i="4"/>
  <c r="AU2448" i="4"/>
  <c r="AU2449" i="4"/>
  <c r="AU2450" i="4"/>
  <c r="AU2451" i="4"/>
  <c r="AU2452" i="4"/>
  <c r="AU2453" i="4"/>
  <c r="AU2454" i="4"/>
  <c r="AU2455" i="4"/>
  <c r="AU2456" i="4"/>
  <c r="AU2457" i="4"/>
  <c r="AU2458" i="4"/>
  <c r="AU2459" i="4"/>
  <c r="AU2460" i="4"/>
  <c r="AU2461" i="4"/>
  <c r="AU2462" i="4"/>
  <c r="AU2463" i="4"/>
  <c r="AU2464" i="4"/>
  <c r="AU2465" i="4"/>
  <c r="AU2466" i="4"/>
  <c r="AU2467" i="4"/>
  <c r="AU2468" i="4"/>
  <c r="AU2469" i="4"/>
  <c r="AU2470" i="4"/>
  <c r="AU2471" i="4"/>
  <c r="AU2472" i="4"/>
  <c r="AU2473" i="4"/>
  <c r="AU2474" i="4"/>
  <c r="AU2475" i="4"/>
  <c r="AU2476" i="4"/>
  <c r="AU2477" i="4"/>
  <c r="AU2478" i="4"/>
  <c r="AU2479" i="4"/>
  <c r="AU2480" i="4"/>
  <c r="AU2481" i="4"/>
  <c r="AU2482" i="4"/>
  <c r="AU2483" i="4"/>
  <c r="AU2484" i="4"/>
  <c r="AU2485" i="4"/>
  <c r="AU2486" i="4"/>
  <c r="AU2487" i="4"/>
  <c r="AU2488" i="4"/>
  <c r="AU2489" i="4"/>
  <c r="AU2490" i="4"/>
  <c r="AU2491" i="4"/>
  <c r="AU2492" i="4"/>
  <c r="AU2493" i="4"/>
  <c r="AU2494" i="4"/>
  <c r="AU2495" i="4"/>
  <c r="AU2496" i="4"/>
  <c r="AU2497" i="4"/>
  <c r="AU2498" i="4"/>
  <c r="AU2499" i="4"/>
  <c r="AU2500" i="4"/>
  <c r="AU2501" i="4"/>
  <c r="AU2502" i="4"/>
  <c r="AU2503" i="4"/>
  <c r="AU2504" i="4"/>
  <c r="AU2505" i="4"/>
  <c r="AU2506" i="4"/>
  <c r="AU2507" i="4"/>
  <c r="AU2508" i="4"/>
  <c r="AU2509" i="4"/>
  <c r="AU2510" i="4"/>
  <c r="AU2511" i="4"/>
  <c r="AU2512" i="4"/>
  <c r="AU2513" i="4"/>
  <c r="AU2514" i="4"/>
  <c r="AU2515" i="4"/>
  <c r="AU2516" i="4"/>
  <c r="AU2517" i="4"/>
  <c r="AU2518" i="4"/>
  <c r="AU2519" i="4"/>
  <c r="AU2520" i="4"/>
  <c r="AU2521" i="4"/>
  <c r="AU2522" i="4"/>
  <c r="AU2523" i="4"/>
  <c r="AU2524" i="4"/>
  <c r="AU2525" i="4"/>
  <c r="AU2526" i="4"/>
  <c r="AU2527" i="4"/>
  <c r="AU2528" i="4"/>
  <c r="AU2529" i="4"/>
  <c r="AU2530" i="4"/>
  <c r="AU2531" i="4"/>
  <c r="AU2532" i="4"/>
  <c r="AU2533" i="4"/>
  <c r="AU2534" i="4"/>
  <c r="AU2535" i="4"/>
  <c r="AU2536" i="4"/>
  <c r="AU2537" i="4"/>
  <c r="AU2538" i="4"/>
  <c r="AU2539" i="4"/>
  <c r="AU2540" i="4"/>
  <c r="AU2541" i="4"/>
  <c r="AU2542" i="4"/>
  <c r="AU2543" i="4"/>
  <c r="AU2544" i="4"/>
  <c r="AU2545" i="4"/>
  <c r="AU2546" i="4"/>
  <c r="AU2547" i="4"/>
  <c r="AU2548" i="4"/>
  <c r="AU2549" i="4"/>
  <c r="AU2550" i="4"/>
  <c r="AU2551" i="4"/>
  <c r="AU2552" i="4"/>
  <c r="AU2553" i="4"/>
  <c r="AU2554" i="4"/>
  <c r="AU2555" i="4"/>
  <c r="AU2556" i="4"/>
  <c r="AU2557" i="4"/>
  <c r="AU2558" i="4"/>
  <c r="AU2559" i="4"/>
  <c r="AU2560" i="4"/>
  <c r="AU2561" i="4"/>
  <c r="AU2562" i="4"/>
  <c r="AU2563" i="4"/>
  <c r="AU2564" i="4"/>
  <c r="AU2565" i="4"/>
  <c r="AU2566" i="4"/>
  <c r="AU2567" i="4"/>
  <c r="AU2568" i="4"/>
  <c r="AU2569" i="4"/>
  <c r="AU2570" i="4"/>
  <c r="AU2571" i="4"/>
  <c r="AU2572" i="4"/>
  <c r="AU2573" i="4"/>
  <c r="AU2574" i="4"/>
  <c r="AU2575" i="4"/>
  <c r="AU2576" i="4"/>
  <c r="AU2577" i="4"/>
  <c r="AU2578" i="4"/>
  <c r="AU2579" i="4"/>
  <c r="AU2580" i="4"/>
  <c r="AU2581" i="4"/>
  <c r="AU2582" i="4"/>
  <c r="AU2583" i="4"/>
  <c r="AU2584" i="4"/>
  <c r="AU2585" i="4"/>
  <c r="AU2586" i="4"/>
  <c r="AU2587" i="4"/>
  <c r="AU2588" i="4"/>
  <c r="AU2589" i="4"/>
  <c r="AU2590" i="4"/>
  <c r="AU2591" i="4"/>
  <c r="AU2592" i="4"/>
  <c r="AU2593" i="4"/>
  <c r="AU2594" i="4"/>
  <c r="AU2595" i="4"/>
  <c r="AU2596" i="4"/>
  <c r="AU2597" i="4"/>
  <c r="AU2598" i="4"/>
  <c r="AU2599" i="4"/>
  <c r="AU2600" i="4"/>
  <c r="AU2601" i="4"/>
  <c r="AU2602" i="4"/>
  <c r="AU2603" i="4"/>
  <c r="AU2604" i="4"/>
  <c r="AU2605" i="4"/>
  <c r="AU2606" i="4"/>
  <c r="AU2607" i="4"/>
  <c r="AU2608" i="4"/>
  <c r="AU2609" i="4"/>
  <c r="AU2610" i="4"/>
  <c r="AU2611" i="4"/>
  <c r="AU2612" i="4"/>
  <c r="AU2613" i="4"/>
  <c r="AU2614" i="4"/>
  <c r="AU2615" i="4"/>
  <c r="AU2616" i="4"/>
  <c r="AU2617" i="4"/>
  <c r="AU2618" i="4"/>
  <c r="AU2619" i="4"/>
  <c r="AU2620" i="4"/>
  <c r="AU2621" i="4"/>
  <c r="AU2622" i="4"/>
  <c r="AU2623" i="4"/>
  <c r="AU2624" i="4"/>
  <c r="AU2625" i="4"/>
  <c r="AU2626" i="4"/>
  <c r="AU2627" i="4"/>
  <c r="AU2628" i="4"/>
  <c r="AU2629" i="4"/>
  <c r="AU2630" i="4"/>
  <c r="AU2631" i="4"/>
  <c r="AU2632" i="4"/>
  <c r="AU2633" i="4"/>
  <c r="AU2634" i="4"/>
  <c r="AU2635" i="4"/>
  <c r="AU2636" i="4"/>
  <c r="AU2637" i="4"/>
  <c r="AU2638" i="4"/>
  <c r="AU2639" i="4"/>
  <c r="AU2640" i="4"/>
  <c r="AU2641" i="4"/>
  <c r="AU2642" i="4"/>
  <c r="AU2643" i="4"/>
  <c r="AU2644" i="4"/>
  <c r="AU2645" i="4"/>
  <c r="AU2646" i="4"/>
  <c r="AU2647" i="4"/>
  <c r="AU2648" i="4"/>
  <c r="AU2649" i="4"/>
  <c r="AU2650" i="4"/>
  <c r="AU2651" i="4"/>
  <c r="AU2652" i="4"/>
  <c r="AU2653" i="4"/>
  <c r="AU2654" i="4"/>
  <c r="AU2655" i="4"/>
  <c r="AU2656" i="4"/>
  <c r="AU2657" i="4"/>
  <c r="AU2658" i="4"/>
  <c r="AU2659" i="4"/>
  <c r="AU2660" i="4"/>
  <c r="AU2661" i="4"/>
  <c r="AU2662" i="4"/>
  <c r="AU2663" i="4"/>
  <c r="AU2664" i="4"/>
  <c r="AU2665" i="4"/>
  <c r="AU2666" i="4"/>
  <c r="AU2667" i="4"/>
  <c r="AU2668" i="4"/>
  <c r="AU2669" i="4"/>
  <c r="AU2670" i="4"/>
  <c r="AU2671" i="4"/>
  <c r="AU2672" i="4"/>
  <c r="AU2673" i="4"/>
  <c r="AU2674" i="4"/>
  <c r="AU2675" i="4"/>
  <c r="AU2676" i="4"/>
  <c r="AU2677" i="4"/>
  <c r="AU2678" i="4"/>
  <c r="AU2679" i="4"/>
  <c r="AU2680" i="4"/>
  <c r="AU2681" i="4"/>
  <c r="AU2682" i="4"/>
  <c r="AU2683" i="4"/>
  <c r="AU2684" i="4"/>
  <c r="AU2685" i="4"/>
  <c r="AU2686" i="4"/>
  <c r="AU2687" i="4"/>
  <c r="AU2688" i="4"/>
  <c r="AU2689" i="4"/>
  <c r="AU2690" i="4"/>
  <c r="AU2691" i="4"/>
  <c r="AU2692" i="4"/>
  <c r="AU2693" i="4"/>
  <c r="AU2694" i="4"/>
  <c r="AU2695" i="4"/>
  <c r="AU2696" i="4"/>
  <c r="AU2697" i="4"/>
  <c r="AU2698" i="4"/>
  <c r="AU2699" i="4"/>
  <c r="AU2700" i="4"/>
  <c r="AU2701" i="4"/>
  <c r="AU2702" i="4"/>
  <c r="AU2703" i="4"/>
  <c r="AU2704" i="4"/>
  <c r="AU2705" i="4"/>
  <c r="AU2706" i="4"/>
  <c r="AU2707" i="4"/>
  <c r="AU2708" i="4"/>
  <c r="AU2709" i="4"/>
  <c r="AU2710" i="4"/>
  <c r="AU2711" i="4"/>
  <c r="AU2712" i="4"/>
  <c r="AU2713" i="4"/>
  <c r="AU2714" i="4"/>
  <c r="AU2715" i="4"/>
  <c r="AU2716" i="4"/>
  <c r="AU2717" i="4"/>
  <c r="AU2718" i="4"/>
  <c r="AU2719" i="4"/>
  <c r="AU2720" i="4"/>
  <c r="AU2721" i="4"/>
  <c r="AU2722" i="4"/>
  <c r="AU2723" i="4"/>
  <c r="AU2724" i="4"/>
  <c r="AU2725" i="4"/>
  <c r="AU2726" i="4"/>
  <c r="AU2727" i="4"/>
  <c r="AU2728" i="4"/>
  <c r="AU2729" i="4"/>
  <c r="AU2730" i="4"/>
  <c r="AU2731" i="4"/>
  <c r="AU2732" i="4"/>
  <c r="AU2733" i="4"/>
  <c r="AU2734" i="4"/>
  <c r="AU2735" i="4"/>
  <c r="AU2736" i="4"/>
  <c r="AU2737" i="4"/>
  <c r="AU2738" i="4"/>
  <c r="AU2739" i="4"/>
  <c r="AU2740" i="4"/>
  <c r="AU2741" i="4"/>
  <c r="AU2742" i="4"/>
  <c r="AU2743" i="4"/>
  <c r="AU2744" i="4"/>
  <c r="AU2745" i="4"/>
  <c r="AU2746" i="4"/>
  <c r="AU2747" i="4"/>
  <c r="AU2748" i="4"/>
  <c r="AU2749" i="4"/>
  <c r="AU2750" i="4"/>
  <c r="AU2751" i="4"/>
  <c r="AU2752" i="4"/>
  <c r="AU2753" i="4"/>
  <c r="AU2754" i="4"/>
  <c r="AU2755" i="4"/>
  <c r="AU2756" i="4"/>
  <c r="AU2757" i="4"/>
  <c r="AU2758" i="4"/>
  <c r="AU2759" i="4"/>
  <c r="AU2760" i="4"/>
  <c r="AU2761" i="4"/>
  <c r="AU2762" i="4"/>
  <c r="AU2763" i="4"/>
  <c r="AU2764" i="4"/>
  <c r="AU2765" i="4"/>
  <c r="AU2766" i="4"/>
  <c r="AU2767" i="4"/>
  <c r="AU2768" i="4"/>
  <c r="AU2769" i="4"/>
  <c r="AU2770" i="4"/>
  <c r="AU2771" i="4"/>
  <c r="AU2772" i="4"/>
  <c r="AU2773" i="4"/>
  <c r="AU2774" i="4"/>
  <c r="AU2775" i="4"/>
  <c r="AU2776" i="4"/>
  <c r="AU2777" i="4"/>
  <c r="AU2778" i="4"/>
  <c r="AU2779" i="4"/>
  <c r="AU2780" i="4"/>
  <c r="AU2781" i="4"/>
  <c r="AU2782" i="4"/>
  <c r="AU2783" i="4"/>
  <c r="AU2784" i="4"/>
  <c r="AU2785" i="4"/>
  <c r="AU2786" i="4"/>
  <c r="AU2787" i="4"/>
  <c r="AU2788" i="4"/>
  <c r="AU2789" i="4"/>
  <c r="AU2790" i="4"/>
  <c r="AU2791" i="4"/>
  <c r="AU2792" i="4"/>
  <c r="AU2793" i="4"/>
  <c r="AU2794" i="4"/>
  <c r="AU2795" i="4"/>
  <c r="AU2796" i="4"/>
  <c r="AU2797" i="4"/>
  <c r="AU2798" i="4"/>
  <c r="AU2799" i="4"/>
  <c r="AU2800" i="4"/>
  <c r="AU2801" i="4"/>
  <c r="AU2802" i="4"/>
  <c r="AU2803" i="4"/>
  <c r="AU2804" i="4"/>
  <c r="AU2805" i="4"/>
  <c r="AU2806" i="4"/>
  <c r="AU2807" i="4"/>
  <c r="AU2808" i="4"/>
  <c r="AU2809" i="4"/>
  <c r="AU2810" i="4"/>
  <c r="AU2811" i="4"/>
  <c r="AU2812" i="4"/>
  <c r="AU2813" i="4"/>
  <c r="AU2814" i="4"/>
  <c r="AU2815" i="4"/>
  <c r="AU2816" i="4"/>
  <c r="AU2817" i="4"/>
  <c r="AU2818" i="4"/>
  <c r="AU2819" i="4"/>
  <c r="AU2820" i="4"/>
  <c r="AU2821" i="4"/>
  <c r="AU2822" i="4"/>
  <c r="AU2823" i="4"/>
  <c r="AU2824" i="4"/>
  <c r="AU2825" i="4"/>
  <c r="AU2826" i="4"/>
  <c r="AU2827" i="4"/>
  <c r="AU2828" i="4"/>
  <c r="AU2829" i="4"/>
  <c r="AU2830" i="4"/>
  <c r="AU2831" i="4"/>
  <c r="AU2832" i="4"/>
  <c r="AU2833" i="4"/>
  <c r="AU2834" i="4"/>
  <c r="AU2835" i="4"/>
  <c r="AU2836" i="4"/>
  <c r="AU2837" i="4"/>
  <c r="AU2838" i="4"/>
  <c r="AU2839" i="4"/>
  <c r="AU2840" i="4"/>
  <c r="AU2841" i="4"/>
  <c r="AU2842" i="4"/>
  <c r="AU2843" i="4"/>
  <c r="AU2844" i="4"/>
  <c r="AU2845" i="4"/>
  <c r="AU2846" i="4"/>
  <c r="AU2847" i="4"/>
  <c r="AU2848" i="4"/>
  <c r="AU2849" i="4"/>
  <c r="AU2850" i="4"/>
  <c r="AU2851" i="4"/>
  <c r="AU2852" i="4"/>
  <c r="AU2853" i="4"/>
  <c r="AU2854" i="4"/>
  <c r="AU2855" i="4"/>
  <c r="AU2856" i="4"/>
  <c r="AU2857" i="4"/>
  <c r="AU2858" i="4"/>
  <c r="AU2859" i="4"/>
  <c r="AU2860" i="4"/>
  <c r="AU2861" i="4"/>
  <c r="AU2862" i="4"/>
  <c r="AU2863" i="4"/>
  <c r="AU2864" i="4"/>
  <c r="AU2865" i="4"/>
  <c r="AU2866" i="4"/>
  <c r="AU2867" i="4"/>
  <c r="AU2868" i="4"/>
  <c r="AU2869" i="4"/>
  <c r="AU2870" i="4"/>
  <c r="AU2871" i="4"/>
  <c r="AU2872" i="4"/>
  <c r="AU2873" i="4"/>
  <c r="AU2874" i="4"/>
  <c r="AU2875" i="4"/>
  <c r="AU2876" i="4"/>
  <c r="AU2877" i="4"/>
  <c r="AU2878" i="4"/>
  <c r="AU2879" i="4"/>
  <c r="AU2880" i="4"/>
  <c r="AU2881" i="4"/>
  <c r="AU2882" i="4"/>
  <c r="AU2883" i="4"/>
  <c r="AU2884" i="4"/>
  <c r="AU2885" i="4"/>
  <c r="AU2886" i="4"/>
  <c r="AU2887" i="4"/>
  <c r="AU2888" i="4"/>
  <c r="AU2889" i="4"/>
  <c r="AU2890" i="4"/>
  <c r="AU2891" i="4"/>
  <c r="AU2892" i="4"/>
  <c r="AU2893" i="4"/>
  <c r="AU2894" i="4"/>
  <c r="AU2895" i="4"/>
  <c r="AU2896" i="4"/>
  <c r="AU2897" i="4"/>
  <c r="AU2898" i="4"/>
  <c r="AU2899" i="4"/>
  <c r="AU2900" i="4"/>
  <c r="AU2901" i="4"/>
  <c r="AU2902" i="4"/>
  <c r="AU2903" i="4"/>
  <c r="AU2904" i="4"/>
  <c r="AU2905" i="4"/>
  <c r="AU2906" i="4"/>
  <c r="AU2907" i="4"/>
  <c r="AU2908" i="4"/>
  <c r="AU2909" i="4"/>
  <c r="AU2910" i="4"/>
  <c r="AU2911" i="4"/>
  <c r="AU2912" i="4"/>
  <c r="AU2913" i="4"/>
  <c r="AU2914" i="4"/>
  <c r="AU2915" i="4"/>
  <c r="AU2916" i="4"/>
  <c r="AU2917" i="4"/>
  <c r="AU2918" i="4"/>
  <c r="AU2919" i="4"/>
  <c r="AU2920" i="4"/>
  <c r="AU2921" i="4"/>
  <c r="AU2922" i="4"/>
  <c r="AU2923" i="4"/>
  <c r="AU2924" i="4"/>
  <c r="AU2925" i="4"/>
  <c r="AU2926" i="4"/>
  <c r="AU2927" i="4"/>
  <c r="AU2928" i="4"/>
  <c r="AU2929" i="4"/>
  <c r="AU2930" i="4"/>
  <c r="AU2931" i="4"/>
  <c r="AU2932" i="4"/>
  <c r="AU2933" i="4"/>
  <c r="AU2934" i="4"/>
  <c r="AU2935" i="4"/>
  <c r="AU2936" i="4"/>
  <c r="AU2937" i="4"/>
  <c r="AU2938" i="4"/>
  <c r="AU2939" i="4"/>
  <c r="AU2940" i="4"/>
  <c r="AU2941" i="4"/>
  <c r="AU2942" i="4"/>
  <c r="AU2943" i="4"/>
  <c r="AU2944" i="4"/>
  <c r="AU2945" i="4"/>
  <c r="AU2946" i="4"/>
  <c r="AU2947" i="4"/>
  <c r="AU2948" i="4"/>
  <c r="AU2949" i="4"/>
  <c r="AU2950" i="4"/>
  <c r="AU2951" i="4"/>
  <c r="AU2952" i="4"/>
  <c r="AU2953" i="4"/>
  <c r="AU2954" i="4"/>
  <c r="AU2955" i="4"/>
  <c r="AU2956" i="4"/>
  <c r="AU2957" i="4"/>
  <c r="AU2958" i="4"/>
  <c r="AU2959" i="4"/>
  <c r="AU2960" i="4"/>
  <c r="AU2961" i="4"/>
  <c r="AU2962" i="4"/>
  <c r="AU2963" i="4"/>
  <c r="AU2964" i="4"/>
  <c r="AU2965" i="4"/>
  <c r="AU2966" i="4"/>
  <c r="AU2967" i="4"/>
  <c r="AU2968" i="4"/>
  <c r="AU2969" i="4"/>
  <c r="AU2970" i="4"/>
  <c r="AU2971" i="4"/>
  <c r="AU2972" i="4"/>
  <c r="AU2973" i="4"/>
  <c r="AU2974" i="4"/>
  <c r="AU2975" i="4"/>
  <c r="AU2976" i="4"/>
  <c r="AU2977" i="4"/>
  <c r="AU2978" i="4"/>
  <c r="AU2979" i="4"/>
  <c r="AU2980" i="4"/>
  <c r="AU2981" i="4"/>
  <c r="AU2982" i="4"/>
  <c r="AU2983" i="4"/>
  <c r="AU2984" i="4"/>
  <c r="AU2985" i="4"/>
  <c r="AU2986" i="4"/>
  <c r="AU2987" i="4"/>
  <c r="AU2988" i="4"/>
  <c r="AU2989" i="4"/>
  <c r="AU2990" i="4"/>
  <c r="AU2991" i="4"/>
  <c r="AU2992" i="4"/>
  <c r="AU2993" i="4"/>
  <c r="AU2994" i="4"/>
  <c r="AU2995" i="4"/>
  <c r="AU2996" i="4"/>
  <c r="AU2997" i="4"/>
  <c r="AU2998" i="4"/>
  <c r="AU2999" i="4"/>
  <c r="AU3000" i="4"/>
  <c r="AU3001" i="4"/>
  <c r="AU3002" i="4"/>
  <c r="AU3003" i="4"/>
  <c r="AU3004" i="4"/>
  <c r="AU3005" i="4"/>
  <c r="AU3006" i="4"/>
  <c r="AU3007" i="4"/>
  <c r="AU3008" i="4"/>
  <c r="AU3009" i="4"/>
  <c r="AU3010" i="4"/>
  <c r="AU3011" i="4"/>
  <c r="AU3012" i="4"/>
  <c r="AU3013" i="4"/>
  <c r="AU3014" i="4"/>
  <c r="AU3015" i="4"/>
  <c r="AU3016" i="4"/>
  <c r="AU3017" i="4"/>
  <c r="AU3018" i="4"/>
  <c r="AU3019" i="4"/>
  <c r="AU3020" i="4"/>
  <c r="AU3021" i="4"/>
  <c r="AU3022" i="4"/>
  <c r="AU3023" i="4"/>
  <c r="AU3024" i="4"/>
  <c r="AU3025" i="4"/>
  <c r="AU3026" i="4"/>
  <c r="AU3027" i="4"/>
  <c r="AU3028" i="4"/>
  <c r="AU3029" i="4"/>
  <c r="AU3030" i="4"/>
  <c r="AU3031" i="4"/>
  <c r="AU3032" i="4"/>
  <c r="AU3033" i="4"/>
  <c r="AU3034" i="4"/>
  <c r="AU3035" i="4"/>
  <c r="AU3036" i="4"/>
  <c r="AU3037" i="4"/>
  <c r="AU3038" i="4"/>
  <c r="AU3039" i="4"/>
  <c r="AU3040" i="4"/>
  <c r="AU3041" i="4"/>
  <c r="AU3042" i="4"/>
  <c r="AU3043" i="4"/>
  <c r="AU3044" i="4"/>
  <c r="AU3045" i="4"/>
  <c r="AU3046" i="4"/>
  <c r="AU3047" i="4"/>
  <c r="AU3048" i="4"/>
  <c r="AU3049" i="4"/>
  <c r="AU3050" i="4"/>
  <c r="AU3051" i="4"/>
  <c r="AU3052" i="4"/>
  <c r="AU3053" i="4"/>
  <c r="AU3054" i="4"/>
  <c r="AU3055" i="4"/>
  <c r="AU3056" i="4"/>
  <c r="AU3057" i="4"/>
  <c r="AU3058" i="4"/>
  <c r="AU3059" i="4"/>
  <c r="AU3060" i="4"/>
  <c r="AU3061" i="4"/>
  <c r="AU3062" i="4"/>
  <c r="AU3063" i="4"/>
  <c r="AU3064" i="4"/>
  <c r="AU3065" i="4"/>
  <c r="AU3066" i="4"/>
  <c r="AU3067" i="4"/>
  <c r="AU3068" i="4"/>
  <c r="AU3069" i="4"/>
  <c r="AU3070" i="4"/>
  <c r="AU3071" i="4"/>
  <c r="AU3072" i="4"/>
  <c r="AU3073" i="4"/>
  <c r="AU3074" i="4"/>
  <c r="AU3075" i="4"/>
  <c r="AU3076" i="4"/>
  <c r="AU3077" i="4"/>
  <c r="AU3078" i="4"/>
  <c r="AU3079" i="4"/>
  <c r="AU3080" i="4"/>
  <c r="AU3081" i="4"/>
  <c r="AU3082" i="4"/>
  <c r="AU3083" i="4"/>
  <c r="AU3084" i="4"/>
  <c r="AU3085" i="4"/>
  <c r="AU3086" i="4"/>
  <c r="AU3087" i="4"/>
  <c r="AU3088" i="4"/>
  <c r="AU3089" i="4"/>
  <c r="AU3090" i="4"/>
  <c r="AU3091" i="4"/>
  <c r="AU3092" i="4"/>
  <c r="AU3093" i="4"/>
  <c r="AU3094" i="4"/>
  <c r="AU3095" i="4"/>
  <c r="AU3096" i="4"/>
  <c r="AU3097" i="4"/>
  <c r="AU3098" i="4"/>
  <c r="AU3099" i="4"/>
  <c r="AU3100" i="4"/>
  <c r="AU3101" i="4"/>
  <c r="AU3102" i="4"/>
  <c r="AU3103" i="4"/>
  <c r="AU3104" i="4"/>
  <c r="AU3105" i="4"/>
  <c r="AU3106" i="4"/>
  <c r="AU3107" i="4"/>
  <c r="AU3108" i="4"/>
  <c r="AU3109" i="4"/>
  <c r="AU3110" i="4"/>
  <c r="AU3111" i="4"/>
  <c r="AU3112" i="4"/>
  <c r="AU3113" i="4"/>
  <c r="AU3114" i="4"/>
  <c r="AU3115" i="4"/>
  <c r="AU3116" i="4"/>
  <c r="AU3117" i="4"/>
  <c r="AU3118" i="4"/>
  <c r="AU3119" i="4"/>
  <c r="AU3120" i="4"/>
  <c r="AU3121" i="4"/>
  <c r="AU3122" i="4"/>
  <c r="AU3123" i="4"/>
  <c r="AU3124" i="4"/>
  <c r="AU3125" i="4"/>
  <c r="AU3126" i="4"/>
  <c r="AU3127" i="4"/>
  <c r="AU3128" i="4"/>
  <c r="AU3129" i="4"/>
  <c r="AU3130" i="4"/>
  <c r="AU3131" i="4"/>
  <c r="AU3132" i="4"/>
  <c r="AU3133" i="4"/>
  <c r="AU3134" i="4"/>
  <c r="AU3135" i="4"/>
  <c r="AU3136" i="4"/>
  <c r="AU3137" i="4"/>
  <c r="AU3138" i="4"/>
  <c r="AU3139" i="4"/>
  <c r="AU3140" i="4"/>
  <c r="AU3141" i="4"/>
  <c r="AU3142" i="4"/>
  <c r="AU3143" i="4"/>
  <c r="AU3144" i="4"/>
  <c r="AU3145" i="4"/>
  <c r="AU3146" i="4"/>
  <c r="AU3147" i="4"/>
  <c r="AU3148" i="4"/>
  <c r="AU3149" i="4"/>
  <c r="AU3150" i="4"/>
  <c r="AU3151" i="4"/>
  <c r="AU3152" i="4"/>
  <c r="AU3153" i="4"/>
  <c r="AU3154" i="4"/>
  <c r="AU3155" i="4"/>
  <c r="AU3156" i="4"/>
  <c r="AU3157" i="4"/>
  <c r="AU3158" i="4"/>
  <c r="AU3159" i="4"/>
  <c r="AU3160" i="4"/>
  <c r="AU3161" i="4"/>
  <c r="AU3162" i="4"/>
  <c r="AU3163" i="4"/>
  <c r="AU3164" i="4"/>
  <c r="AU3165" i="4"/>
  <c r="AU3166" i="4"/>
  <c r="AU3167" i="4"/>
  <c r="AU3168" i="4"/>
  <c r="AU3169" i="4"/>
  <c r="AU3170" i="4"/>
  <c r="AU3171" i="4"/>
  <c r="AU3172" i="4"/>
  <c r="AU3173" i="4"/>
  <c r="AU3174" i="4"/>
  <c r="AU3175" i="4"/>
  <c r="AU3176" i="4"/>
  <c r="AU3177" i="4"/>
  <c r="AU3178" i="4"/>
  <c r="AU3179" i="4"/>
  <c r="AU3180" i="4"/>
  <c r="AU3181" i="4"/>
  <c r="AU3182" i="4"/>
  <c r="AU3183" i="4"/>
  <c r="AU3184" i="4"/>
  <c r="AU3185" i="4"/>
  <c r="AU3186" i="4"/>
  <c r="AU3187" i="4"/>
  <c r="AU3188" i="4"/>
  <c r="AU3189" i="4"/>
  <c r="AU3190" i="4"/>
  <c r="AU3191" i="4"/>
  <c r="AU3192" i="4"/>
  <c r="AU3193" i="4"/>
  <c r="AU3194" i="4"/>
  <c r="AU3195" i="4"/>
  <c r="AU3196" i="4"/>
  <c r="AU3197" i="4"/>
  <c r="AU3198" i="4"/>
  <c r="AU3199" i="4"/>
  <c r="AU3200" i="4"/>
  <c r="AU3201" i="4"/>
  <c r="AU3202" i="4"/>
  <c r="AU3203" i="4"/>
  <c r="AU3204" i="4"/>
  <c r="AU3205" i="4"/>
  <c r="AU3206" i="4"/>
  <c r="AU3207" i="4"/>
  <c r="AU3208" i="4"/>
  <c r="AU3209" i="4"/>
  <c r="AU3210" i="4"/>
  <c r="AU3211" i="4"/>
  <c r="AU3212" i="4"/>
  <c r="AU3213" i="4"/>
  <c r="AU3214" i="4"/>
  <c r="AU3215" i="4"/>
  <c r="AU3216" i="4"/>
  <c r="AU3217" i="4"/>
  <c r="AU3218" i="4"/>
  <c r="AU3219" i="4"/>
  <c r="AU3220" i="4"/>
  <c r="AU3221" i="4"/>
  <c r="AU3222" i="4"/>
  <c r="AU3223" i="4"/>
  <c r="AU3224" i="4"/>
  <c r="AU3225" i="4"/>
  <c r="AU3226" i="4"/>
  <c r="AU3227" i="4"/>
  <c r="AU3228" i="4"/>
  <c r="AU3229" i="4"/>
  <c r="AU3230" i="4"/>
  <c r="AU3231" i="4"/>
  <c r="AU3232" i="4"/>
  <c r="AU3233" i="4"/>
  <c r="AU3234" i="4"/>
  <c r="AU3235" i="4"/>
  <c r="AU3236" i="4"/>
  <c r="AU3237" i="4"/>
  <c r="AU3238" i="4"/>
  <c r="AU3239" i="4"/>
  <c r="AU3240" i="4"/>
  <c r="AU3241" i="4"/>
  <c r="AU3242" i="4"/>
  <c r="AU3243" i="4"/>
  <c r="AU3244" i="4"/>
  <c r="AU3245" i="4"/>
  <c r="AU3246" i="4"/>
  <c r="AU3247" i="4"/>
  <c r="AU3248" i="4"/>
  <c r="AU3249" i="4"/>
  <c r="AU3250" i="4"/>
  <c r="AU3251" i="4"/>
  <c r="AU3252" i="4"/>
  <c r="AU3253" i="4"/>
  <c r="AU3254" i="4"/>
  <c r="AU3255" i="4"/>
  <c r="AU3256" i="4"/>
  <c r="AU3257" i="4"/>
  <c r="AU3258" i="4"/>
  <c r="AU3259" i="4"/>
  <c r="AU3260" i="4"/>
  <c r="AU3261" i="4"/>
  <c r="AU3262" i="4"/>
  <c r="AU3263" i="4"/>
  <c r="AU3264" i="4"/>
  <c r="AU3265" i="4"/>
  <c r="AU3266" i="4"/>
  <c r="AU3267" i="4"/>
  <c r="AU3268" i="4"/>
  <c r="AU3269" i="4"/>
  <c r="AU3270" i="4"/>
  <c r="AU3271" i="4"/>
  <c r="AU3272" i="4"/>
  <c r="AU3273" i="4"/>
  <c r="AU3274" i="4"/>
  <c r="AU3275" i="4"/>
  <c r="AU3276" i="4"/>
  <c r="AU3277" i="4"/>
  <c r="AU3278" i="4"/>
  <c r="AU3279" i="4"/>
  <c r="AU3280" i="4"/>
  <c r="AU3281" i="4"/>
  <c r="AU3282" i="4"/>
  <c r="AU3283" i="4"/>
  <c r="AU3284" i="4"/>
  <c r="AU3285" i="4"/>
  <c r="AU3286" i="4"/>
  <c r="AU3287" i="4"/>
  <c r="AU3288" i="4"/>
  <c r="AU3289" i="4"/>
  <c r="AU3290" i="4"/>
  <c r="AU3291" i="4"/>
  <c r="AU3292" i="4"/>
  <c r="AU3293" i="4"/>
  <c r="AU3294" i="4"/>
  <c r="AU3295" i="4"/>
  <c r="AU3296" i="4"/>
  <c r="AU3297" i="4"/>
  <c r="AU3298" i="4"/>
  <c r="AU3299" i="4"/>
  <c r="AU3300" i="4"/>
  <c r="AU3301" i="4"/>
  <c r="AU3302" i="4"/>
  <c r="AU3303" i="4"/>
  <c r="AU3304" i="4"/>
  <c r="AU3305" i="4"/>
  <c r="AU3306" i="4"/>
  <c r="AU3307" i="4"/>
  <c r="AU3308" i="4"/>
  <c r="AU3309" i="4"/>
  <c r="AU3310" i="4"/>
  <c r="AU3311" i="4"/>
  <c r="AU3312" i="4"/>
  <c r="AU3313" i="4"/>
  <c r="AU3314" i="4"/>
  <c r="AU3315" i="4"/>
  <c r="AU3316" i="4"/>
  <c r="AU3317" i="4"/>
  <c r="AU3318" i="4"/>
  <c r="AU3319" i="4"/>
  <c r="AU3320" i="4"/>
  <c r="AU3321" i="4"/>
  <c r="AU3322" i="4"/>
  <c r="AU3323" i="4"/>
  <c r="AU3324" i="4"/>
  <c r="AU3325" i="4"/>
  <c r="AU3326" i="4"/>
  <c r="AU3327" i="4"/>
  <c r="AU3328" i="4"/>
  <c r="AU3329" i="4"/>
  <c r="AU3330" i="4"/>
  <c r="AU3331" i="4"/>
  <c r="AU3332" i="4"/>
  <c r="AU3333" i="4"/>
  <c r="AU3334" i="4"/>
  <c r="AU3335" i="4"/>
  <c r="AU3336" i="4"/>
  <c r="AU3337" i="4"/>
  <c r="AU3338" i="4"/>
  <c r="AU3339" i="4"/>
  <c r="AU3340" i="4"/>
  <c r="AU3341" i="4"/>
  <c r="AU3342" i="4"/>
  <c r="AU3343" i="4"/>
  <c r="AU3344" i="4"/>
  <c r="AU3345" i="4"/>
  <c r="AU3346" i="4"/>
  <c r="AU3347" i="4"/>
  <c r="AU3348" i="4"/>
  <c r="AU3349" i="4"/>
  <c r="AU3350" i="4"/>
  <c r="AU3351" i="4"/>
  <c r="AU3352" i="4"/>
  <c r="AU3353" i="4"/>
  <c r="AU3354" i="4"/>
  <c r="AU3355" i="4"/>
  <c r="AU3356" i="4"/>
  <c r="AU3357" i="4"/>
  <c r="AU3358" i="4"/>
  <c r="AU3359" i="4"/>
  <c r="AU3360" i="4"/>
  <c r="AU3361" i="4"/>
  <c r="AU3362" i="4"/>
  <c r="AU3363" i="4"/>
  <c r="AU3364" i="4"/>
  <c r="AU3365" i="4"/>
  <c r="AU3366" i="4"/>
  <c r="AU3367" i="4"/>
  <c r="AU3368" i="4"/>
  <c r="AU3369" i="4"/>
  <c r="AU3370" i="4"/>
  <c r="AU3371" i="4"/>
  <c r="AU3372" i="4"/>
  <c r="AU3373" i="4"/>
  <c r="AU3374" i="4"/>
  <c r="AU3375" i="4"/>
  <c r="AU3376" i="4"/>
  <c r="AU3377" i="4"/>
  <c r="AU3378" i="4"/>
  <c r="AU3379" i="4"/>
  <c r="AU3380" i="4"/>
  <c r="AU3381" i="4"/>
  <c r="AU3382" i="4"/>
  <c r="AU3383" i="4"/>
  <c r="AU3384" i="4"/>
  <c r="AU3385" i="4"/>
  <c r="AU3386" i="4"/>
  <c r="AU3387" i="4"/>
  <c r="AU3388" i="4"/>
  <c r="AU3389" i="4"/>
  <c r="AU3390" i="4"/>
  <c r="AU3391" i="4"/>
  <c r="AU3392" i="4"/>
  <c r="AU3393" i="4"/>
  <c r="AU3394" i="4"/>
  <c r="AU3395" i="4"/>
  <c r="AU3396" i="4"/>
  <c r="AU3397" i="4"/>
  <c r="AU3398" i="4"/>
  <c r="AU3399" i="4"/>
  <c r="AU3400" i="4"/>
  <c r="AU3401" i="4"/>
  <c r="AU3402" i="4"/>
  <c r="AU3403" i="4"/>
  <c r="AU3404" i="4"/>
  <c r="AU3405" i="4"/>
  <c r="AU3406" i="4"/>
  <c r="AU3407" i="4"/>
  <c r="AU3408" i="4"/>
  <c r="AU3409" i="4"/>
  <c r="AU3410" i="4"/>
  <c r="AU3411" i="4"/>
  <c r="AU3412" i="4"/>
  <c r="AU3413" i="4"/>
  <c r="AU3414" i="4"/>
  <c r="AU3415" i="4"/>
  <c r="AU3416" i="4"/>
  <c r="AU3417" i="4"/>
  <c r="AU3418" i="4"/>
  <c r="AU3419" i="4"/>
  <c r="AU3420" i="4"/>
  <c r="AU3421" i="4"/>
  <c r="AU3422" i="4"/>
  <c r="AU3423" i="4"/>
  <c r="AU3424" i="4"/>
  <c r="AU3425" i="4"/>
  <c r="AU3426" i="4"/>
  <c r="AU3427" i="4"/>
  <c r="AU3428" i="4"/>
  <c r="AU3429" i="4"/>
  <c r="AU3430" i="4"/>
  <c r="AU3431" i="4"/>
  <c r="AU3432" i="4"/>
  <c r="AU3433" i="4"/>
  <c r="AU3434" i="4"/>
  <c r="AU3435" i="4"/>
  <c r="AU3436" i="4"/>
  <c r="AU3437" i="4"/>
  <c r="AU3438" i="4"/>
  <c r="AU3439" i="4"/>
  <c r="AU3440" i="4"/>
  <c r="AU3441" i="4"/>
  <c r="AU3442" i="4"/>
  <c r="AU3443" i="4"/>
  <c r="AU3444" i="4"/>
  <c r="AU3445" i="4"/>
  <c r="AU3446" i="4"/>
  <c r="AU3447" i="4"/>
  <c r="AU3448" i="4"/>
  <c r="AU3449" i="4"/>
  <c r="AU3450" i="4"/>
  <c r="AU3451" i="4"/>
  <c r="AU3452" i="4"/>
  <c r="AU3453" i="4"/>
  <c r="AU3454" i="4"/>
  <c r="AU3455" i="4"/>
  <c r="AU3456" i="4"/>
  <c r="AU3457" i="4"/>
  <c r="AU3458" i="4"/>
  <c r="AU3459" i="4"/>
  <c r="AU3460" i="4"/>
  <c r="AU3461" i="4"/>
  <c r="AU3462" i="4"/>
  <c r="AU3463" i="4"/>
  <c r="AU3464" i="4"/>
  <c r="AU3465" i="4"/>
  <c r="AU3466" i="4"/>
  <c r="AU3467" i="4"/>
  <c r="AU3468" i="4"/>
  <c r="AU3469" i="4"/>
  <c r="AU3470" i="4"/>
  <c r="AU3471" i="4"/>
  <c r="AU3472" i="4"/>
  <c r="AU3473" i="4"/>
  <c r="AU3474" i="4"/>
  <c r="AU3475" i="4"/>
  <c r="AU3476" i="4"/>
  <c r="AU3477" i="4"/>
  <c r="AU3478" i="4"/>
  <c r="AU3479" i="4"/>
  <c r="AU3480" i="4"/>
  <c r="AU3481" i="4"/>
  <c r="AU3482" i="4"/>
  <c r="AU3483" i="4"/>
  <c r="AU3484" i="4"/>
  <c r="AU3485" i="4"/>
  <c r="AU3486" i="4"/>
  <c r="AU3487" i="4"/>
  <c r="AU3488" i="4"/>
  <c r="AU3489" i="4"/>
  <c r="AU3490" i="4"/>
  <c r="AU3491" i="4"/>
  <c r="AU3492" i="4"/>
  <c r="AU3493" i="4"/>
  <c r="AU3494" i="4"/>
  <c r="AU3495" i="4"/>
  <c r="AU3496" i="4"/>
  <c r="AU3497" i="4"/>
  <c r="AU3498" i="4"/>
  <c r="AU3499" i="4"/>
  <c r="AU3500" i="4"/>
  <c r="AU3501" i="4"/>
  <c r="AU3502" i="4"/>
  <c r="AU3503" i="4"/>
  <c r="AU3504" i="4"/>
  <c r="AU3505" i="4"/>
  <c r="AU3506" i="4"/>
  <c r="AU3507" i="4"/>
  <c r="AU3508" i="4"/>
  <c r="AU3509" i="4"/>
  <c r="AU3510" i="4"/>
  <c r="AU3511" i="4"/>
  <c r="AU3512" i="4"/>
  <c r="AU3513" i="4"/>
  <c r="AU3514" i="4"/>
  <c r="AU3515" i="4"/>
  <c r="AU3516" i="4"/>
  <c r="AU3517" i="4"/>
  <c r="AU3518" i="4"/>
  <c r="AU3519" i="4"/>
  <c r="AU3520" i="4"/>
  <c r="AU3521" i="4"/>
  <c r="AU3522" i="4"/>
  <c r="AU3523" i="4"/>
  <c r="AU3524" i="4"/>
  <c r="AU3525" i="4"/>
  <c r="AU3526" i="4"/>
  <c r="AU3527" i="4"/>
  <c r="AU3528" i="4"/>
  <c r="AU3529" i="4"/>
  <c r="AU3530" i="4"/>
  <c r="AU3531" i="4"/>
  <c r="AU3532" i="4"/>
  <c r="AU3533" i="4"/>
  <c r="AU3534" i="4"/>
  <c r="AU3535" i="4"/>
  <c r="AU3536" i="4"/>
  <c r="AU3537" i="4"/>
  <c r="AU3538" i="4"/>
  <c r="AU3539" i="4"/>
  <c r="AU3540" i="4"/>
  <c r="AU3541" i="4"/>
  <c r="AU3542" i="4"/>
  <c r="AU3543" i="4"/>
  <c r="AU3544" i="4"/>
  <c r="AU3545" i="4"/>
  <c r="AU3546" i="4"/>
  <c r="AU3547" i="4"/>
  <c r="AU3548" i="4"/>
  <c r="AU3549" i="4"/>
  <c r="AU3550" i="4"/>
  <c r="AU3551" i="4"/>
  <c r="AU3552" i="4"/>
  <c r="AU3553" i="4"/>
  <c r="AU3554" i="4"/>
  <c r="AU3555" i="4"/>
  <c r="AU3556" i="4"/>
  <c r="AU3557" i="4"/>
  <c r="AU3558" i="4"/>
  <c r="AU3559" i="4"/>
  <c r="AU3560" i="4"/>
  <c r="AU3561" i="4"/>
  <c r="AU3562" i="4"/>
  <c r="AU3563" i="4"/>
  <c r="AU3564" i="4"/>
  <c r="AU3565" i="4"/>
  <c r="AU3566" i="4"/>
  <c r="AU3567" i="4"/>
  <c r="AU3568" i="4"/>
  <c r="AU3569" i="4"/>
  <c r="AU3570" i="4"/>
  <c r="AU3571" i="4"/>
  <c r="AU3572" i="4"/>
  <c r="AU3573" i="4"/>
  <c r="AU3574" i="4"/>
  <c r="AU3575" i="4"/>
  <c r="AU3576" i="4"/>
  <c r="AU3577" i="4"/>
  <c r="AU3578" i="4"/>
  <c r="AU3579" i="4"/>
  <c r="AU3580" i="4"/>
  <c r="AU3581" i="4"/>
  <c r="AU3582" i="4"/>
  <c r="AU3583" i="4"/>
  <c r="AU3584" i="4"/>
  <c r="AU3585" i="4"/>
  <c r="AU3586" i="4"/>
  <c r="AU3587" i="4"/>
  <c r="AU3588" i="4"/>
  <c r="AU3589" i="4"/>
  <c r="AU3590" i="4"/>
  <c r="AU3591" i="4"/>
  <c r="AU3592" i="4"/>
  <c r="AU3593" i="4"/>
  <c r="AU3594" i="4"/>
  <c r="AU3595" i="4"/>
  <c r="AU3596" i="4"/>
  <c r="AU3597" i="4"/>
  <c r="AU3598" i="4"/>
  <c r="AU3599" i="4"/>
  <c r="AU3600" i="4"/>
  <c r="AU3601" i="4"/>
  <c r="AU3602" i="4"/>
  <c r="AU3603" i="4"/>
  <c r="AU3604" i="4"/>
  <c r="AU3605" i="4"/>
  <c r="AU3606" i="4"/>
  <c r="AU3607" i="4"/>
  <c r="AU3608" i="4"/>
  <c r="AU3609" i="4"/>
  <c r="AU3610" i="4"/>
  <c r="AU3611" i="4"/>
  <c r="AU3612" i="4"/>
  <c r="AU3613" i="4"/>
  <c r="AU3614" i="4"/>
  <c r="AU3615" i="4"/>
  <c r="AU3616" i="4"/>
  <c r="AU3617" i="4"/>
  <c r="AU3618" i="4"/>
  <c r="AU3619" i="4"/>
  <c r="AU3620" i="4"/>
  <c r="AU3621" i="4"/>
  <c r="AU3622" i="4"/>
  <c r="AU3623" i="4"/>
  <c r="AU3624" i="4"/>
  <c r="AU3625" i="4"/>
  <c r="AU3626" i="4"/>
  <c r="AU3627" i="4"/>
  <c r="AU3628" i="4"/>
  <c r="AU3629" i="4"/>
  <c r="AU3630" i="4"/>
  <c r="AU3631" i="4"/>
  <c r="AU3632" i="4"/>
  <c r="AU3633" i="4"/>
  <c r="AU3634" i="4"/>
  <c r="AU3635" i="4"/>
  <c r="AU3636" i="4"/>
  <c r="AU3637" i="4"/>
  <c r="AU3638" i="4"/>
  <c r="AU3639" i="4"/>
  <c r="AU3640" i="4"/>
  <c r="AU3641" i="4"/>
  <c r="AU3642" i="4"/>
  <c r="AU3643" i="4"/>
  <c r="AU3644" i="4"/>
  <c r="AU3645" i="4"/>
  <c r="AU3646" i="4"/>
  <c r="AU3647" i="4"/>
  <c r="AU3648" i="4"/>
  <c r="AU3649" i="4"/>
  <c r="AU3650" i="4"/>
  <c r="AU3651" i="4"/>
  <c r="AU3652" i="4"/>
  <c r="AU3653" i="4"/>
  <c r="AU3654" i="4"/>
  <c r="AU3655" i="4"/>
  <c r="AU3656" i="4"/>
  <c r="AU3657" i="4"/>
  <c r="AU3658" i="4"/>
  <c r="AU3659" i="4"/>
  <c r="AU3660" i="4"/>
  <c r="AU3661" i="4"/>
  <c r="AU3662" i="4"/>
  <c r="AU3663" i="4"/>
  <c r="AU3664" i="4"/>
  <c r="AU3665" i="4"/>
  <c r="AU3666" i="4"/>
  <c r="AU3667" i="4"/>
  <c r="AU3668" i="4"/>
  <c r="AU3669" i="4"/>
  <c r="AU3670" i="4"/>
  <c r="AU3671" i="4"/>
  <c r="AU3672" i="4"/>
  <c r="AU3673" i="4"/>
  <c r="AU3674" i="4"/>
  <c r="AU3675" i="4"/>
  <c r="AU3676" i="4"/>
  <c r="AU3677" i="4"/>
  <c r="AU3678" i="4"/>
  <c r="AU3679" i="4"/>
  <c r="AU3680" i="4"/>
  <c r="AU3681" i="4"/>
  <c r="AU3682" i="4"/>
  <c r="AU3683" i="4"/>
  <c r="AU3684" i="4"/>
  <c r="AU3685" i="4"/>
  <c r="AU3686" i="4"/>
  <c r="AU3687" i="4"/>
  <c r="AU3688" i="4"/>
  <c r="AU3689" i="4"/>
  <c r="AU3690" i="4"/>
  <c r="AU3691" i="4"/>
  <c r="AU3692" i="4"/>
  <c r="AU3693" i="4"/>
  <c r="AU3694" i="4"/>
  <c r="AU3695" i="4"/>
  <c r="AU3696" i="4"/>
  <c r="AU3697" i="4"/>
  <c r="AU3698" i="4"/>
  <c r="AU3699" i="4"/>
  <c r="AU3700" i="4"/>
  <c r="AU3701" i="4"/>
  <c r="AU3702" i="4"/>
  <c r="AU3703" i="4"/>
  <c r="AU3704" i="4"/>
  <c r="AU3705" i="4"/>
  <c r="AU3706" i="4"/>
  <c r="AU3707" i="4"/>
  <c r="AU3708" i="4"/>
  <c r="AU3709" i="4"/>
  <c r="AU3710" i="4"/>
  <c r="AU3711" i="4"/>
  <c r="AU3712" i="4"/>
  <c r="AU3713" i="4"/>
  <c r="AU3714" i="4"/>
  <c r="AU3715" i="4"/>
  <c r="AU3716" i="4"/>
  <c r="AU3717" i="4"/>
  <c r="AU3718" i="4"/>
  <c r="AU3719" i="4"/>
  <c r="AU3720" i="4"/>
  <c r="AU3721" i="4"/>
  <c r="AU3722" i="4"/>
  <c r="AU3723" i="4"/>
  <c r="AU3724" i="4"/>
  <c r="AU3725" i="4"/>
  <c r="AU3726" i="4"/>
  <c r="AU3727" i="4"/>
  <c r="AU3728" i="4"/>
  <c r="AU3729" i="4"/>
  <c r="AU3730" i="4"/>
  <c r="AU3731" i="4"/>
  <c r="AU3732" i="4"/>
  <c r="AU3733" i="4"/>
  <c r="AU3734" i="4"/>
  <c r="AU3735" i="4"/>
  <c r="AU3736" i="4"/>
  <c r="AU3737" i="4"/>
  <c r="AU3738" i="4"/>
  <c r="AU3739" i="4"/>
  <c r="AU3740" i="4"/>
  <c r="AU3741" i="4"/>
  <c r="AU3742" i="4"/>
  <c r="AU3743" i="4"/>
  <c r="AU3744" i="4"/>
  <c r="AU3745" i="4"/>
  <c r="AU3746" i="4"/>
  <c r="AU3747" i="4"/>
  <c r="AU3748" i="4"/>
  <c r="AU3749" i="4"/>
  <c r="AU3750" i="4"/>
  <c r="AU3751" i="4"/>
  <c r="AU3752" i="4"/>
  <c r="AU3753" i="4"/>
  <c r="AU3754" i="4"/>
  <c r="AU3755" i="4"/>
  <c r="AU3756" i="4"/>
  <c r="AU3757" i="4"/>
  <c r="AU3758" i="4"/>
  <c r="AU3759" i="4"/>
  <c r="AU3760" i="4"/>
  <c r="AU3761" i="4"/>
  <c r="AU3762" i="4"/>
  <c r="AU3763" i="4"/>
  <c r="AU3764" i="4"/>
  <c r="AU3765" i="4"/>
  <c r="AU3766" i="4"/>
  <c r="AU3767" i="4"/>
  <c r="AU3768" i="4"/>
  <c r="AU3769" i="4"/>
  <c r="AU3770" i="4"/>
  <c r="AU3771" i="4"/>
  <c r="AU3772" i="4"/>
  <c r="AU3773" i="4"/>
  <c r="AU3774" i="4"/>
  <c r="AU3775" i="4"/>
  <c r="AU3776" i="4"/>
  <c r="AU3777" i="4"/>
  <c r="AU3778" i="4"/>
  <c r="AU3779" i="4"/>
  <c r="AU3780" i="4"/>
  <c r="AU3781" i="4"/>
  <c r="AU3782" i="4"/>
  <c r="AU3783" i="4"/>
  <c r="AU3784" i="4"/>
  <c r="AU3785" i="4"/>
  <c r="AU3786" i="4"/>
  <c r="AU3787" i="4"/>
  <c r="AU3788" i="4"/>
  <c r="AU3789" i="4"/>
  <c r="AU3790" i="4"/>
  <c r="AU3791" i="4"/>
  <c r="AU3792" i="4"/>
  <c r="AU3793" i="4"/>
  <c r="AU3794" i="4"/>
  <c r="AU3795" i="4"/>
  <c r="AU3796" i="4"/>
  <c r="AU3797" i="4"/>
  <c r="AU3798" i="4"/>
  <c r="AU3799" i="4"/>
  <c r="AU3800" i="4"/>
  <c r="AU3801" i="4"/>
  <c r="AU3802" i="4"/>
  <c r="AU3803" i="4"/>
  <c r="AU3804" i="4"/>
  <c r="AU3805" i="4"/>
  <c r="AU3806" i="4"/>
  <c r="AU3807" i="4"/>
  <c r="AU3808" i="4"/>
  <c r="AU3809" i="4"/>
  <c r="AU3810" i="4"/>
  <c r="AU3811" i="4"/>
  <c r="AU3812" i="4"/>
  <c r="AU3813" i="4"/>
  <c r="AU3814" i="4"/>
  <c r="AU3815" i="4"/>
  <c r="AU3816" i="4"/>
  <c r="AU3817" i="4"/>
  <c r="AU3818" i="4"/>
  <c r="AU3819" i="4"/>
  <c r="AU3820" i="4"/>
  <c r="AU3821" i="4"/>
  <c r="AU3822" i="4"/>
  <c r="AU3823" i="4"/>
  <c r="AU3824" i="4"/>
  <c r="AU3825" i="4"/>
  <c r="AU3826" i="4"/>
  <c r="AU3827" i="4"/>
  <c r="AU3828" i="4"/>
  <c r="AU3829" i="4"/>
  <c r="AU3830" i="4"/>
  <c r="AU3831" i="4"/>
  <c r="AU3832" i="4"/>
  <c r="AU3833" i="4"/>
  <c r="AU3834" i="4"/>
  <c r="AU3835" i="4"/>
  <c r="AU3836" i="4"/>
  <c r="AU3837" i="4"/>
  <c r="AU3838" i="4"/>
  <c r="AU3839" i="4"/>
  <c r="AU3840" i="4"/>
  <c r="AU3841" i="4"/>
  <c r="AU3842" i="4"/>
  <c r="AU3843" i="4"/>
  <c r="AU3844" i="4"/>
  <c r="AU3845" i="4"/>
  <c r="AU3846" i="4"/>
  <c r="AU3847" i="4"/>
  <c r="AU3848" i="4"/>
  <c r="AU3849" i="4"/>
  <c r="AU3850" i="4"/>
  <c r="AU3851" i="4"/>
  <c r="AU3852" i="4"/>
  <c r="AU3853" i="4"/>
  <c r="AU3854" i="4"/>
  <c r="AU3855" i="4"/>
  <c r="AU3856" i="4"/>
  <c r="AU3857" i="4"/>
  <c r="AU3858" i="4"/>
  <c r="AU3859" i="4"/>
  <c r="AU3860" i="4"/>
  <c r="AU3861" i="4"/>
  <c r="AU3862" i="4"/>
  <c r="AU3863" i="4"/>
  <c r="AU3864" i="4"/>
  <c r="AU3865" i="4"/>
  <c r="AU3866" i="4"/>
  <c r="AU3867" i="4"/>
  <c r="AU3868" i="4"/>
  <c r="AU3869" i="4"/>
  <c r="AU3870" i="4"/>
  <c r="AU3871" i="4"/>
  <c r="AU3872" i="4"/>
  <c r="AU3873" i="4"/>
  <c r="AU3874" i="4"/>
  <c r="AU3875" i="4"/>
  <c r="AU3876" i="4"/>
  <c r="AU3877" i="4"/>
  <c r="AU3878" i="4"/>
  <c r="AU3879" i="4"/>
  <c r="AU3880" i="4"/>
  <c r="AU3881" i="4"/>
  <c r="AU3882" i="4"/>
  <c r="AU3883" i="4"/>
  <c r="AU3884" i="4"/>
  <c r="AU3885" i="4"/>
  <c r="AU3886" i="4"/>
  <c r="AU3887" i="4"/>
  <c r="AU3888" i="4"/>
  <c r="AU3889" i="4"/>
  <c r="AU3890" i="4"/>
  <c r="AU3891" i="4"/>
  <c r="AU3892" i="4"/>
  <c r="AU3893" i="4"/>
  <c r="AU3894" i="4"/>
  <c r="AU3895" i="4"/>
  <c r="AU3896" i="4"/>
  <c r="AU3897" i="4"/>
  <c r="AU3898" i="4"/>
  <c r="AU3899" i="4"/>
  <c r="AU3900" i="4"/>
  <c r="AU3901" i="4"/>
  <c r="AU3902" i="4"/>
  <c r="AU3903" i="4"/>
  <c r="AU3904" i="4"/>
  <c r="AU3905" i="4"/>
  <c r="AU3906" i="4"/>
  <c r="AU3907" i="4"/>
  <c r="AU3908" i="4"/>
  <c r="AU3909" i="4"/>
  <c r="AU3910" i="4"/>
  <c r="AU3911" i="4"/>
  <c r="AU3912" i="4"/>
  <c r="AU3913" i="4"/>
  <c r="AU3914" i="4"/>
  <c r="AU3915" i="4"/>
  <c r="AU3916" i="4"/>
  <c r="AU3917" i="4"/>
  <c r="AU3918" i="4"/>
  <c r="AU3919" i="4"/>
  <c r="AU3920" i="4"/>
  <c r="AU3921" i="4"/>
  <c r="AU3922" i="4"/>
  <c r="AU3923" i="4"/>
  <c r="AU3924" i="4"/>
  <c r="AU3925" i="4"/>
  <c r="AU3926" i="4"/>
  <c r="AU3927" i="4"/>
  <c r="AU3928" i="4"/>
  <c r="AU3929" i="4"/>
  <c r="AU3930" i="4"/>
  <c r="AU3931" i="4"/>
  <c r="AU3932" i="4"/>
  <c r="AU3933" i="4"/>
  <c r="AU3934" i="4"/>
  <c r="AU3935" i="4"/>
  <c r="AU3936" i="4"/>
  <c r="AU3937" i="4"/>
  <c r="AU3938" i="4"/>
  <c r="AU3939" i="4"/>
  <c r="AU3940" i="4"/>
  <c r="AU3941" i="4"/>
  <c r="AU3942" i="4"/>
  <c r="AU3943" i="4"/>
  <c r="AU3944" i="4"/>
  <c r="AU3945" i="4"/>
  <c r="AU3946" i="4"/>
  <c r="AU3947" i="4"/>
  <c r="AU3948" i="4"/>
  <c r="AU3949" i="4"/>
  <c r="AU3950" i="4"/>
  <c r="AU3951" i="4"/>
  <c r="AU3952" i="4"/>
  <c r="AU3953" i="4"/>
  <c r="AU3954" i="4"/>
  <c r="AU3955" i="4"/>
  <c r="AU3956" i="4"/>
  <c r="AU3957" i="4"/>
  <c r="AU3958" i="4"/>
  <c r="AU3959" i="4"/>
  <c r="AU3960" i="4"/>
  <c r="AU3961" i="4"/>
  <c r="AU3962" i="4"/>
  <c r="AU3963" i="4"/>
  <c r="AU3964" i="4"/>
  <c r="AU3965" i="4"/>
  <c r="AU3966" i="4"/>
  <c r="AU3967" i="4"/>
  <c r="AU3968" i="4"/>
  <c r="AU3969" i="4"/>
  <c r="AU3970" i="4"/>
  <c r="AU3971" i="4"/>
  <c r="AU3972" i="4"/>
  <c r="AU3973" i="4"/>
  <c r="AU3974" i="4"/>
  <c r="AU3975" i="4"/>
  <c r="AU3976" i="4"/>
  <c r="AU3977" i="4"/>
  <c r="AU3978" i="4"/>
  <c r="AU3979" i="4"/>
  <c r="AU3980" i="4"/>
  <c r="AU3981" i="4"/>
  <c r="AU3982" i="4"/>
  <c r="AU3983" i="4"/>
  <c r="AU3984" i="4"/>
  <c r="AU3985" i="4"/>
  <c r="AU3986" i="4"/>
  <c r="AU3987" i="4"/>
  <c r="AU3988" i="4"/>
  <c r="AU3989" i="4"/>
  <c r="AU3990" i="4"/>
  <c r="AU3991" i="4"/>
  <c r="AU3992" i="4"/>
  <c r="AU3993" i="4"/>
  <c r="AU3994" i="4"/>
  <c r="AU3995" i="4"/>
  <c r="AU3996" i="4"/>
  <c r="AU3997" i="4"/>
  <c r="AU3998" i="4"/>
  <c r="AU3999" i="4"/>
  <c r="AU4000" i="4"/>
  <c r="AU4001" i="4"/>
  <c r="AU4002" i="4"/>
  <c r="AU4003" i="4"/>
  <c r="AU4004" i="4"/>
  <c r="AU4005" i="4"/>
  <c r="AU4006" i="4"/>
  <c r="AU4007" i="4"/>
  <c r="AU4008" i="4"/>
  <c r="AU4009" i="4"/>
  <c r="AU4010" i="4"/>
  <c r="AU4011" i="4"/>
  <c r="AU4012" i="4"/>
  <c r="AU4013" i="4"/>
  <c r="AU4014" i="4"/>
  <c r="AU4015" i="4"/>
  <c r="AU4016" i="4"/>
  <c r="AU4017" i="4"/>
  <c r="AU4018" i="4"/>
  <c r="AU4019" i="4"/>
  <c r="AU4020" i="4"/>
  <c r="AU4021" i="4"/>
  <c r="AU4022" i="4"/>
  <c r="AU4023" i="4"/>
  <c r="AU4024" i="4"/>
  <c r="AU4025" i="4"/>
  <c r="AU4026" i="4"/>
  <c r="AU4027" i="4"/>
  <c r="AU4028" i="4"/>
  <c r="AU4029" i="4"/>
  <c r="AU4030" i="4"/>
  <c r="AU4031" i="4"/>
  <c r="AU4032" i="4"/>
  <c r="AU4033" i="4"/>
  <c r="AU4034" i="4"/>
  <c r="AU4035" i="4"/>
  <c r="AU4036" i="4"/>
  <c r="AU4037" i="4"/>
  <c r="AU4038" i="4"/>
  <c r="AU4039" i="4"/>
  <c r="AU4040" i="4"/>
  <c r="AU4041" i="4"/>
  <c r="AU4042" i="4"/>
  <c r="AU4043" i="4"/>
  <c r="AU4044" i="4"/>
  <c r="AU4045" i="4"/>
  <c r="AU4046" i="4"/>
  <c r="AU4047" i="4"/>
  <c r="AU4048" i="4"/>
  <c r="AU4049" i="4"/>
  <c r="AU4050" i="4"/>
  <c r="AU4051" i="4"/>
  <c r="AU4052" i="4"/>
  <c r="AU4053" i="4"/>
  <c r="AU4054" i="4"/>
  <c r="AU4055" i="4"/>
  <c r="AU4056" i="4"/>
  <c r="AU4057" i="4"/>
  <c r="AU4058" i="4"/>
  <c r="AU4059" i="4"/>
  <c r="AU4060" i="4"/>
  <c r="AU4061" i="4"/>
  <c r="AU4062" i="4"/>
  <c r="AU4063" i="4"/>
  <c r="AU4064" i="4"/>
  <c r="AU4065" i="4"/>
  <c r="AU4066" i="4"/>
  <c r="AU4067" i="4"/>
  <c r="AU4068" i="4"/>
  <c r="AU4069" i="4"/>
  <c r="AU4070" i="4"/>
  <c r="AU4071" i="4"/>
  <c r="AU4072" i="4"/>
  <c r="AU4073" i="4"/>
  <c r="AU4074" i="4"/>
  <c r="AU4075" i="4"/>
  <c r="AU4076" i="4"/>
  <c r="AU4077" i="4"/>
  <c r="AU4078" i="4"/>
  <c r="AU4079" i="4"/>
  <c r="AU4080" i="4"/>
  <c r="AU4081" i="4"/>
  <c r="AU4082" i="4"/>
  <c r="AU4083" i="4"/>
  <c r="AU4084" i="4"/>
  <c r="AU4085" i="4"/>
  <c r="AU4086" i="4"/>
  <c r="AU4087" i="4"/>
  <c r="AU4088" i="4"/>
  <c r="AU4089" i="4"/>
  <c r="AU4090" i="4"/>
  <c r="AU4091" i="4"/>
  <c r="AU4092" i="4"/>
  <c r="AU4093" i="4"/>
  <c r="AU4094" i="4"/>
  <c r="AU4095" i="4"/>
  <c r="AU4096" i="4"/>
  <c r="AU4097" i="4"/>
  <c r="AU4098" i="4"/>
  <c r="AU4099" i="4"/>
  <c r="AU4100" i="4"/>
  <c r="AU4101" i="4"/>
  <c r="AU4102" i="4"/>
  <c r="AU4103" i="4"/>
  <c r="AU4104" i="4"/>
  <c r="AU4105" i="4"/>
  <c r="AU4106" i="4"/>
  <c r="AU4107" i="4"/>
  <c r="AU4108" i="4"/>
  <c r="AU4109" i="4"/>
  <c r="AU4110" i="4"/>
  <c r="AU4111" i="4"/>
  <c r="AU4112" i="4"/>
  <c r="AU4113" i="4"/>
  <c r="AU4114" i="4"/>
  <c r="AU4115" i="4"/>
  <c r="AU4116" i="4"/>
  <c r="AU4117" i="4"/>
  <c r="AU4118" i="4"/>
  <c r="AU4119" i="4"/>
  <c r="AU4120" i="4"/>
  <c r="AU4121" i="4"/>
  <c r="AU4122" i="4"/>
  <c r="AU4123" i="4"/>
  <c r="AU4124" i="4"/>
  <c r="AU4125" i="4"/>
  <c r="AU4126" i="4"/>
  <c r="AU4127" i="4"/>
  <c r="AU4128" i="4"/>
  <c r="AU4129" i="4"/>
  <c r="AU4130" i="4"/>
  <c r="AU4131" i="4"/>
  <c r="AU4132" i="4"/>
  <c r="AU4133" i="4"/>
  <c r="AU4134" i="4"/>
  <c r="AU4135" i="4"/>
  <c r="AU4136" i="4"/>
  <c r="AU4137" i="4"/>
  <c r="AU4138" i="4"/>
  <c r="AU4139" i="4"/>
  <c r="AU4140" i="4"/>
  <c r="AU4141" i="4"/>
  <c r="AU4142" i="4"/>
  <c r="AU4143" i="4"/>
  <c r="AU4144" i="4"/>
  <c r="AU4145" i="4"/>
  <c r="AU4146" i="4"/>
  <c r="AU4147" i="4"/>
  <c r="AU4148" i="4"/>
  <c r="AU4149" i="4"/>
  <c r="AU4150" i="4"/>
  <c r="AU4151" i="4"/>
  <c r="AU4152" i="4"/>
  <c r="AU4153" i="4"/>
  <c r="AU4154" i="4"/>
  <c r="AU4155" i="4"/>
  <c r="AU4156" i="4"/>
  <c r="AU4157" i="4"/>
  <c r="AU4158" i="4"/>
  <c r="AU4159" i="4"/>
  <c r="AU4160" i="4"/>
  <c r="AU4161" i="4"/>
  <c r="AU4162" i="4"/>
  <c r="AU4163" i="4"/>
  <c r="AU4164" i="4"/>
  <c r="AU4165" i="4"/>
  <c r="AU4166" i="4"/>
  <c r="AU4167" i="4"/>
  <c r="AU4168" i="4"/>
  <c r="AU4169" i="4"/>
  <c r="AU4170" i="4"/>
  <c r="AU4171" i="4"/>
  <c r="AU4172" i="4"/>
  <c r="AU4173" i="4"/>
  <c r="AU4174" i="4"/>
  <c r="AU4175" i="4"/>
  <c r="AU4176" i="4"/>
  <c r="AU4177" i="4"/>
  <c r="AU4178" i="4"/>
  <c r="AU4179" i="4"/>
  <c r="AU4180" i="4"/>
  <c r="AU4181" i="4"/>
  <c r="AU4182" i="4"/>
  <c r="AU4183" i="4"/>
  <c r="AU4184" i="4"/>
  <c r="AU4185" i="4"/>
  <c r="AU4186" i="4"/>
  <c r="AU4187" i="4"/>
  <c r="AU4188" i="4"/>
  <c r="AU4189" i="4"/>
  <c r="AU4190" i="4"/>
  <c r="AU4191" i="4"/>
  <c r="AU4192" i="4"/>
  <c r="AU4193" i="4"/>
  <c r="AU4194" i="4"/>
  <c r="AU4195" i="4"/>
  <c r="AU4196" i="4"/>
  <c r="AU4197" i="4"/>
  <c r="AU4198" i="4"/>
  <c r="AU4199" i="4"/>
  <c r="AU4200" i="4"/>
  <c r="AU4201" i="4"/>
  <c r="AU4202" i="4"/>
  <c r="AU4203" i="4"/>
  <c r="AU4204" i="4"/>
  <c r="AU4205" i="4"/>
  <c r="AU4206" i="4"/>
  <c r="AU4207" i="4"/>
  <c r="AU4208" i="4"/>
  <c r="AU4209" i="4"/>
  <c r="AU4210" i="4"/>
  <c r="AU4211" i="4"/>
  <c r="AU4212" i="4"/>
  <c r="AU4213" i="4"/>
  <c r="AU4214" i="4"/>
  <c r="AU4215" i="4"/>
  <c r="AU4216" i="4"/>
  <c r="AU4217" i="4"/>
  <c r="AU4218" i="4"/>
  <c r="AU4219" i="4"/>
  <c r="AU4220" i="4"/>
  <c r="AU4221" i="4"/>
  <c r="AU4222" i="4"/>
  <c r="AU4223" i="4"/>
  <c r="AU4224" i="4"/>
  <c r="AU4225" i="4"/>
  <c r="AU4226" i="4"/>
  <c r="AU4227" i="4"/>
  <c r="AU4228" i="4"/>
  <c r="AU4229" i="4"/>
  <c r="AU4230" i="4"/>
  <c r="AU4231" i="4"/>
  <c r="AU4232" i="4"/>
  <c r="AU4233" i="4"/>
  <c r="AU4234" i="4"/>
  <c r="AU4235" i="4"/>
  <c r="AU4236" i="4"/>
  <c r="AU4237" i="4"/>
  <c r="AU4238" i="4"/>
  <c r="AU4239" i="4"/>
  <c r="AU4240" i="4"/>
  <c r="AU4241" i="4"/>
  <c r="AU4242" i="4"/>
  <c r="AU4243" i="4"/>
  <c r="AU4244" i="4"/>
  <c r="AU4245" i="4"/>
  <c r="AU4246" i="4"/>
  <c r="AU4247" i="4"/>
  <c r="AU4248" i="4"/>
  <c r="AU4249" i="4"/>
  <c r="AU4250" i="4"/>
  <c r="AU4251" i="4"/>
  <c r="AU4252" i="4"/>
  <c r="AU4253" i="4"/>
  <c r="AU4254" i="4"/>
  <c r="AU4255" i="4"/>
  <c r="AU4256" i="4"/>
  <c r="AU4257" i="4"/>
  <c r="AU4258" i="4"/>
  <c r="AU4259" i="4"/>
  <c r="AU4260" i="4"/>
  <c r="AU4261" i="4"/>
  <c r="AU4262" i="4"/>
  <c r="AU4263" i="4"/>
  <c r="AU4264" i="4"/>
  <c r="AU4265" i="4"/>
  <c r="AU4266" i="4"/>
  <c r="AU4267" i="4"/>
  <c r="AU4268" i="4"/>
  <c r="AU4269" i="4"/>
  <c r="AU4270" i="4"/>
  <c r="AU4271" i="4"/>
  <c r="AU4272" i="4"/>
  <c r="AU4273" i="4"/>
  <c r="AU4274" i="4"/>
  <c r="AU4275" i="4"/>
  <c r="AU4276" i="4"/>
  <c r="AU4277" i="4"/>
  <c r="AU4278" i="4"/>
  <c r="AU4279" i="4"/>
  <c r="AU4280" i="4"/>
  <c r="AU4281" i="4"/>
  <c r="AU4282" i="4"/>
  <c r="AU4283" i="4"/>
  <c r="AU4284" i="4"/>
  <c r="AU4285" i="4"/>
  <c r="AU4286" i="4"/>
  <c r="AU4287" i="4"/>
  <c r="AU4288" i="4"/>
  <c r="AU4289" i="4"/>
  <c r="AU4290" i="4"/>
  <c r="AU4291" i="4"/>
  <c r="AU4292" i="4"/>
  <c r="AU4293" i="4"/>
  <c r="AU4294" i="4"/>
  <c r="AU4295" i="4"/>
  <c r="AU4296" i="4"/>
  <c r="AU4297" i="4"/>
  <c r="AU4298" i="4"/>
  <c r="AU4299" i="4"/>
  <c r="AU4300" i="4"/>
  <c r="AU4301" i="4"/>
  <c r="AU4302" i="4"/>
  <c r="AU4303" i="4"/>
  <c r="AU4304" i="4"/>
  <c r="AU4305" i="4"/>
  <c r="AU4306" i="4"/>
  <c r="AU4307" i="4"/>
  <c r="AU4308" i="4"/>
  <c r="AU4309" i="4"/>
  <c r="AU4310" i="4"/>
  <c r="AU4311" i="4"/>
  <c r="AU4312" i="4"/>
  <c r="AU4313" i="4"/>
  <c r="AU4314" i="4"/>
  <c r="AU4315" i="4"/>
  <c r="AU4316" i="4"/>
  <c r="AU4317" i="4"/>
  <c r="AU4318" i="4"/>
  <c r="AU4319" i="4"/>
  <c r="AU4320" i="4"/>
  <c r="AU4321" i="4"/>
  <c r="AU4322" i="4"/>
  <c r="AU4323" i="4"/>
  <c r="AU4324" i="4"/>
  <c r="AU4325" i="4"/>
  <c r="AU4326" i="4"/>
  <c r="AU4327" i="4"/>
  <c r="AU4328" i="4"/>
  <c r="AU4329" i="4"/>
  <c r="AU4330" i="4"/>
  <c r="AU4331" i="4"/>
  <c r="AU4332" i="4"/>
  <c r="AU4333" i="4"/>
  <c r="AU4334" i="4"/>
  <c r="AU4335" i="4"/>
  <c r="AU4336" i="4"/>
  <c r="AU4337" i="4"/>
  <c r="AU4338" i="4"/>
  <c r="AU4339" i="4"/>
  <c r="AU4340" i="4"/>
  <c r="AU4341" i="4"/>
  <c r="AU4342" i="4"/>
  <c r="AU4343" i="4"/>
  <c r="AU4344" i="4"/>
  <c r="AU4345" i="4"/>
  <c r="AU4346" i="4"/>
  <c r="AU4347" i="4"/>
  <c r="AU4348" i="4"/>
  <c r="AU4349" i="4"/>
  <c r="AU4350" i="4"/>
  <c r="AU4351" i="4"/>
  <c r="AU4352" i="4"/>
  <c r="AU4353" i="4"/>
  <c r="AU4354" i="4"/>
  <c r="AU4355" i="4"/>
  <c r="AU4356" i="4"/>
  <c r="AU4357" i="4"/>
  <c r="AU4358" i="4"/>
  <c r="AU4359" i="4"/>
  <c r="AU4360" i="4"/>
  <c r="AU4361" i="4"/>
  <c r="AU4362" i="4"/>
  <c r="AU4363" i="4"/>
  <c r="AU4364" i="4"/>
  <c r="AU4365" i="4"/>
  <c r="AU4366" i="4"/>
  <c r="AU4367" i="4"/>
  <c r="AU4368" i="4"/>
  <c r="AU4369" i="4"/>
  <c r="AU4370" i="4"/>
  <c r="AU4371" i="4"/>
  <c r="AU4372" i="4"/>
  <c r="AU4373" i="4"/>
  <c r="AU4374" i="4"/>
  <c r="AU4375" i="4"/>
  <c r="AU4376" i="4"/>
  <c r="AU4377" i="4"/>
  <c r="AU4378" i="4"/>
  <c r="AU4379" i="4"/>
  <c r="AU4380" i="4"/>
  <c r="AU4381" i="4"/>
  <c r="AU4382" i="4"/>
  <c r="AU4383" i="4"/>
  <c r="AU4384" i="4"/>
  <c r="AU4385" i="4"/>
  <c r="AU4386" i="4"/>
  <c r="AU4387" i="4"/>
  <c r="AU4388" i="4"/>
  <c r="AU4389" i="4"/>
  <c r="AU4390" i="4"/>
  <c r="AU4391" i="4"/>
  <c r="AU4392" i="4"/>
  <c r="AU4393" i="4"/>
  <c r="AU4394" i="4"/>
  <c r="AU4395" i="4"/>
  <c r="AU4396" i="4"/>
  <c r="AU4397" i="4"/>
  <c r="AU4398" i="4"/>
  <c r="AU4399" i="4"/>
  <c r="AU4400" i="4"/>
  <c r="AU4401" i="4"/>
  <c r="AU4402" i="4"/>
  <c r="AU4403" i="4"/>
  <c r="AU4404" i="4"/>
  <c r="AU4405" i="4"/>
  <c r="AU4406" i="4"/>
  <c r="AU4407" i="4"/>
  <c r="AU4408" i="4"/>
  <c r="AU4409" i="4"/>
  <c r="AU4410" i="4"/>
  <c r="AU4411" i="4"/>
  <c r="AU4412" i="4"/>
  <c r="AU4413" i="4"/>
  <c r="AU4414" i="4"/>
  <c r="AU4415" i="4"/>
  <c r="AU4416" i="4"/>
  <c r="AU4417" i="4"/>
  <c r="AU4418" i="4"/>
  <c r="AU4419" i="4"/>
  <c r="AU4420" i="4"/>
  <c r="AU4421" i="4"/>
  <c r="AU4422" i="4"/>
  <c r="AU4423" i="4"/>
  <c r="AU4424" i="4"/>
  <c r="AU4425" i="4"/>
  <c r="AU4426" i="4"/>
  <c r="AU4427" i="4"/>
  <c r="AU4428" i="4"/>
  <c r="AU4429" i="4"/>
  <c r="AU4430" i="4"/>
  <c r="AU4431" i="4"/>
  <c r="AU4432" i="4"/>
  <c r="AU4433" i="4"/>
  <c r="AU4434" i="4"/>
  <c r="AU4435" i="4"/>
  <c r="AU4436" i="4"/>
  <c r="AU4437" i="4"/>
  <c r="AU4438" i="4"/>
  <c r="AU4439" i="4"/>
  <c r="AU4440" i="4"/>
  <c r="AU4441" i="4"/>
  <c r="AU4442" i="4"/>
  <c r="AU4443" i="4"/>
  <c r="AU4444" i="4"/>
  <c r="AU4445" i="4"/>
  <c r="AU4446" i="4"/>
  <c r="AU4447" i="4"/>
  <c r="AU4448" i="4"/>
  <c r="AU4449" i="4"/>
  <c r="AU4450" i="4"/>
  <c r="AU4451" i="4"/>
  <c r="AU4452" i="4"/>
  <c r="AU4453" i="4"/>
  <c r="AU4454" i="4"/>
  <c r="AU4455" i="4"/>
  <c r="AU4456" i="4"/>
  <c r="AU4457" i="4"/>
  <c r="AU4458" i="4"/>
  <c r="AU4459" i="4"/>
  <c r="AU4460" i="4"/>
  <c r="AU4461" i="4"/>
  <c r="AU4462" i="4"/>
  <c r="AU4463" i="4"/>
  <c r="AU4464" i="4"/>
  <c r="AU4465" i="4"/>
  <c r="AU4466" i="4"/>
  <c r="AU4467" i="4"/>
  <c r="AU4468" i="4"/>
  <c r="AU4469" i="4"/>
  <c r="AU4470" i="4"/>
  <c r="AU4471" i="4"/>
  <c r="AU4472" i="4"/>
  <c r="AU4473" i="4"/>
  <c r="AU4474" i="4"/>
  <c r="AU4475" i="4"/>
  <c r="AU4476" i="4"/>
  <c r="AU4477" i="4"/>
  <c r="AU4478" i="4"/>
  <c r="AU4479" i="4"/>
  <c r="AU4480" i="4"/>
  <c r="AU4481" i="4"/>
  <c r="AU4482" i="4"/>
  <c r="AU4483" i="4"/>
  <c r="AU4484" i="4"/>
  <c r="AU4485" i="4"/>
  <c r="AU4486" i="4"/>
  <c r="AU4487" i="4"/>
  <c r="AU4488" i="4"/>
  <c r="AU4489" i="4"/>
  <c r="AU4490" i="4"/>
  <c r="AU4491" i="4"/>
  <c r="AU4492" i="4"/>
  <c r="AU4493" i="4"/>
  <c r="AU4494" i="4"/>
  <c r="AU4495" i="4"/>
  <c r="AU4496" i="4"/>
  <c r="AU4497" i="4"/>
  <c r="AU4498" i="4"/>
  <c r="AU4499" i="4"/>
  <c r="AU4500" i="4"/>
  <c r="AU4501" i="4"/>
  <c r="AU4502" i="4"/>
  <c r="AU4503" i="4"/>
  <c r="AU4504" i="4"/>
  <c r="AU4505" i="4"/>
  <c r="AU4506" i="4"/>
  <c r="AU4507" i="4"/>
  <c r="AU4508" i="4"/>
  <c r="AU4509" i="4"/>
  <c r="AU4510" i="4"/>
  <c r="AU4511" i="4"/>
  <c r="AU4512" i="4"/>
  <c r="AU4513" i="4"/>
  <c r="AU4514" i="4"/>
  <c r="AU4515" i="4"/>
  <c r="AU4516" i="4"/>
  <c r="AU4517" i="4"/>
  <c r="AU4518" i="4"/>
  <c r="AU4519" i="4"/>
  <c r="AU4520" i="4"/>
  <c r="AU4521" i="4"/>
  <c r="AU4522" i="4"/>
  <c r="AU4523" i="4"/>
  <c r="AU4524" i="4"/>
  <c r="AU4525" i="4"/>
  <c r="AU4526" i="4"/>
  <c r="AU4527" i="4"/>
  <c r="AU4528" i="4"/>
  <c r="AU4529" i="4"/>
  <c r="AU4530" i="4"/>
  <c r="AU4531" i="4"/>
  <c r="AU4532" i="4"/>
  <c r="AU4533" i="4"/>
  <c r="AU4534" i="4"/>
  <c r="AU4535" i="4"/>
  <c r="AU4536" i="4"/>
  <c r="AU4537" i="4"/>
  <c r="AU4538" i="4"/>
  <c r="AU4539" i="4"/>
  <c r="AU4540" i="4"/>
  <c r="AU4541" i="4"/>
  <c r="AU4542" i="4"/>
  <c r="AU4543" i="4"/>
  <c r="AU4544" i="4"/>
  <c r="AU4545" i="4"/>
  <c r="AU4546" i="4"/>
  <c r="AU4547" i="4"/>
  <c r="AU4548" i="4"/>
  <c r="AU4549" i="4"/>
  <c r="AU4550" i="4"/>
  <c r="AU4551" i="4"/>
  <c r="AU4552" i="4"/>
  <c r="AU4553" i="4"/>
  <c r="AU4554" i="4"/>
  <c r="AU4555" i="4"/>
  <c r="AU4556" i="4"/>
  <c r="AU4557" i="4"/>
  <c r="AU4558" i="4"/>
  <c r="AU4559" i="4"/>
  <c r="AU4560" i="4"/>
  <c r="AU4561" i="4"/>
  <c r="AU4562" i="4"/>
  <c r="AU4563" i="4"/>
  <c r="AU4564" i="4"/>
  <c r="AU4565" i="4"/>
  <c r="AU4566" i="4"/>
  <c r="AU4567" i="4"/>
  <c r="AU4568" i="4"/>
  <c r="AU4569" i="4"/>
  <c r="AU4570" i="4"/>
  <c r="AU4571" i="4"/>
  <c r="AU4572" i="4"/>
  <c r="AU4573" i="4"/>
  <c r="AU4574" i="4"/>
  <c r="AU4575" i="4"/>
  <c r="AU4576" i="4"/>
  <c r="AU4577" i="4"/>
  <c r="AU4578" i="4"/>
  <c r="AU4579" i="4"/>
  <c r="AU4580" i="4"/>
  <c r="AU4581" i="4"/>
  <c r="AU4582" i="4"/>
  <c r="AU4583" i="4"/>
  <c r="AU4584" i="4"/>
  <c r="AU4585" i="4"/>
  <c r="AU4586" i="4"/>
  <c r="AU4587" i="4"/>
  <c r="AU4588" i="4"/>
  <c r="AU4589" i="4"/>
  <c r="AU4590" i="4"/>
  <c r="AU4591" i="4"/>
  <c r="AU4592" i="4"/>
  <c r="AU4593" i="4"/>
  <c r="AU4594" i="4"/>
  <c r="AU4595" i="4"/>
  <c r="AU4596" i="4"/>
  <c r="AU4597" i="4"/>
  <c r="AU4598" i="4"/>
  <c r="AU4599" i="4"/>
  <c r="AU4600" i="4"/>
  <c r="AU4601" i="4"/>
  <c r="AU4602" i="4"/>
  <c r="AU4603" i="4"/>
  <c r="AU4604" i="4"/>
  <c r="AU4605" i="4"/>
  <c r="AU4606" i="4"/>
  <c r="AU4607" i="4"/>
  <c r="AU4608" i="4"/>
  <c r="AU4609" i="4"/>
  <c r="AU4610" i="4"/>
  <c r="AU4611" i="4"/>
  <c r="AU4612" i="4"/>
  <c r="AU4613" i="4"/>
  <c r="AU4614" i="4"/>
  <c r="AU4615" i="4"/>
  <c r="AU4616" i="4"/>
  <c r="AU4617" i="4"/>
  <c r="AU4618" i="4"/>
  <c r="AU4619" i="4"/>
  <c r="AU4620" i="4"/>
  <c r="AU4621" i="4"/>
  <c r="AU4622" i="4"/>
  <c r="AU4623" i="4"/>
  <c r="AU4624" i="4"/>
  <c r="AU4625" i="4"/>
  <c r="AU4626" i="4"/>
  <c r="AU4627" i="4"/>
  <c r="AU4628" i="4"/>
  <c r="AU4629" i="4"/>
  <c r="AU4630" i="4"/>
  <c r="AU4631" i="4"/>
  <c r="AU4632" i="4"/>
  <c r="AU4633" i="4"/>
  <c r="AU4634" i="4"/>
  <c r="AU4635" i="4"/>
  <c r="AU4636" i="4"/>
  <c r="AU4637" i="4"/>
  <c r="AU4638" i="4"/>
  <c r="AU4639" i="4"/>
  <c r="AU4640" i="4"/>
  <c r="AU4641" i="4"/>
  <c r="AU4642" i="4"/>
  <c r="AU4643" i="4"/>
  <c r="AU4644" i="4"/>
  <c r="AU4645" i="4"/>
  <c r="AU4646" i="4"/>
  <c r="AU4647" i="4"/>
  <c r="AU4648" i="4"/>
  <c r="AU4649" i="4"/>
  <c r="AU4650" i="4"/>
  <c r="AU4651" i="4"/>
  <c r="AU4652" i="4"/>
  <c r="AU4653" i="4"/>
  <c r="AU4654" i="4"/>
  <c r="AU4655" i="4"/>
  <c r="AU4656" i="4"/>
  <c r="AU4657" i="4"/>
  <c r="AU4658" i="4"/>
  <c r="AU4659" i="4"/>
  <c r="AU4660" i="4"/>
  <c r="AU4661" i="4"/>
  <c r="AU4662" i="4"/>
  <c r="AU4663" i="4"/>
  <c r="AU4664" i="4"/>
  <c r="AU4665" i="4"/>
  <c r="AU4666" i="4"/>
  <c r="AU4667" i="4"/>
  <c r="AU4668" i="4"/>
  <c r="AU4669" i="4"/>
  <c r="AU4670" i="4"/>
  <c r="AU4671" i="4"/>
  <c r="AU4672" i="4"/>
  <c r="AU4673" i="4"/>
  <c r="AU4674" i="4"/>
  <c r="AU4675" i="4"/>
  <c r="AU4676" i="4"/>
  <c r="AU4677" i="4"/>
  <c r="AU4678" i="4"/>
  <c r="AU4679" i="4"/>
  <c r="AU4680" i="4"/>
  <c r="AU4681" i="4"/>
  <c r="AU4682" i="4"/>
  <c r="AU4683" i="4"/>
  <c r="AU4684" i="4"/>
  <c r="AU4685" i="4"/>
  <c r="AU4686" i="4"/>
  <c r="AU4687" i="4"/>
  <c r="AU4688" i="4"/>
  <c r="AU4689" i="4"/>
  <c r="AU4690" i="4"/>
  <c r="AU4691" i="4"/>
  <c r="AU4692" i="4"/>
  <c r="AU4693" i="4"/>
  <c r="AU4694" i="4"/>
  <c r="AU4695" i="4"/>
  <c r="AU4696" i="4"/>
  <c r="AU4697" i="4"/>
  <c r="AU4698" i="4"/>
  <c r="AU4699" i="4"/>
  <c r="AU4700" i="4"/>
  <c r="AU4701" i="4"/>
  <c r="AU4702" i="4"/>
  <c r="AU4703" i="4"/>
  <c r="AU4704" i="4"/>
  <c r="AU4705" i="4"/>
  <c r="AU4706" i="4"/>
  <c r="AU4707" i="4"/>
  <c r="AU4708" i="4"/>
  <c r="AU4709" i="4"/>
  <c r="AU4710" i="4"/>
  <c r="AU4711" i="4"/>
  <c r="AU4712" i="4"/>
  <c r="AU4713" i="4"/>
  <c r="AU4714" i="4"/>
  <c r="AU4715" i="4"/>
  <c r="AU4716" i="4"/>
  <c r="AU4717" i="4"/>
  <c r="AU4718" i="4"/>
  <c r="AU4719" i="4"/>
  <c r="AU4720" i="4"/>
  <c r="AU4721" i="4"/>
  <c r="AU4722" i="4"/>
  <c r="AU4723" i="4"/>
  <c r="AU4724" i="4"/>
  <c r="AU4725" i="4"/>
  <c r="AU4726" i="4"/>
  <c r="AU4727" i="4"/>
  <c r="AU4728" i="4"/>
  <c r="AU4729" i="4"/>
  <c r="AU4730" i="4"/>
  <c r="AU4731" i="4"/>
  <c r="AU4732" i="4"/>
  <c r="AU4733" i="4"/>
  <c r="AU4734" i="4"/>
  <c r="AU4735" i="4"/>
  <c r="AU4736" i="4"/>
  <c r="AU4737" i="4"/>
  <c r="AU4738" i="4"/>
  <c r="AU4739" i="4"/>
  <c r="AU4740" i="4"/>
  <c r="AU4741" i="4"/>
  <c r="AU4742" i="4"/>
  <c r="AU4743" i="4"/>
  <c r="AU4744" i="4"/>
  <c r="AU4745" i="4"/>
  <c r="AU4746" i="4"/>
  <c r="AU4747" i="4"/>
  <c r="AU4748" i="4"/>
  <c r="AU4749" i="4"/>
  <c r="AU4750" i="4"/>
  <c r="AU4751" i="4"/>
  <c r="AU4752" i="4"/>
  <c r="AU4753" i="4"/>
  <c r="AU4754" i="4"/>
  <c r="AU4755" i="4"/>
  <c r="AU4756" i="4"/>
  <c r="AU4757" i="4"/>
  <c r="AU4758" i="4"/>
  <c r="AU4759" i="4"/>
  <c r="AU4760" i="4"/>
  <c r="AU4761" i="4"/>
  <c r="AU4762" i="4"/>
  <c r="AU4763" i="4"/>
  <c r="AU4764" i="4"/>
  <c r="AU4765" i="4"/>
  <c r="AU4766" i="4"/>
  <c r="AU4767" i="4"/>
  <c r="AU4768" i="4"/>
  <c r="AU4769" i="4"/>
  <c r="AU4770" i="4"/>
  <c r="AU4771" i="4"/>
  <c r="AU4772" i="4"/>
  <c r="AU4773" i="4"/>
  <c r="AU4774" i="4"/>
  <c r="AU4775" i="4"/>
  <c r="AU4776" i="4"/>
  <c r="AU4777" i="4"/>
  <c r="AU4778" i="4"/>
  <c r="AU4779" i="4"/>
  <c r="AU4780" i="4"/>
  <c r="AU4781" i="4"/>
  <c r="AU4782" i="4"/>
  <c r="AU4783" i="4"/>
  <c r="AU4784" i="4"/>
  <c r="AU4785" i="4"/>
  <c r="AU4786" i="4"/>
  <c r="AU4787" i="4"/>
  <c r="AU4788" i="4"/>
  <c r="AU4789" i="4"/>
  <c r="AU4790" i="4"/>
  <c r="AU4791" i="4"/>
  <c r="AU4792" i="4"/>
  <c r="AU4793" i="4"/>
  <c r="AU4794" i="4"/>
  <c r="AU4795" i="4"/>
  <c r="AU4796" i="4"/>
  <c r="AU4797" i="4"/>
  <c r="AU4798" i="4"/>
  <c r="AU4799" i="4"/>
  <c r="AU4800" i="4"/>
  <c r="AU4801" i="4"/>
  <c r="AU4802" i="4"/>
  <c r="AU4803" i="4"/>
  <c r="AU4804" i="4"/>
  <c r="AU4805" i="4"/>
  <c r="AU4806" i="4"/>
  <c r="AU4807" i="4"/>
  <c r="AU4808" i="4"/>
  <c r="AU4809" i="4"/>
  <c r="AU4810" i="4"/>
  <c r="AU4811" i="4"/>
  <c r="AU4812" i="4"/>
  <c r="AU4813" i="4"/>
  <c r="AU4814" i="4"/>
  <c r="AU4815" i="4"/>
  <c r="AU4816" i="4"/>
  <c r="AU4817" i="4"/>
  <c r="AU4818" i="4"/>
  <c r="AU4819" i="4"/>
  <c r="AU4820" i="4"/>
  <c r="AU4821" i="4"/>
  <c r="AU4822" i="4"/>
  <c r="AU4823" i="4"/>
  <c r="AU4824" i="4"/>
  <c r="AU4825" i="4"/>
  <c r="AU4826" i="4"/>
  <c r="AU4827" i="4"/>
  <c r="AU4828" i="4"/>
  <c r="AU4829" i="4"/>
  <c r="AU4830" i="4"/>
  <c r="AU4831" i="4"/>
  <c r="AU4832" i="4"/>
  <c r="AU4833" i="4"/>
  <c r="AU4834" i="4"/>
  <c r="AU4835" i="4"/>
  <c r="AU4836" i="4"/>
  <c r="AU4837" i="4"/>
  <c r="AU4838" i="4"/>
  <c r="AU4839" i="4"/>
  <c r="AU4840" i="4"/>
  <c r="AU4841" i="4"/>
  <c r="AU4842" i="4"/>
  <c r="AU4843" i="4"/>
  <c r="AU4844" i="4"/>
  <c r="AU4845" i="4"/>
  <c r="AU4846" i="4"/>
  <c r="AU4847" i="4"/>
  <c r="AU4848" i="4"/>
  <c r="AU4849" i="4"/>
  <c r="AU4850" i="4"/>
  <c r="AU4851" i="4"/>
  <c r="AU4852" i="4"/>
  <c r="AU4853" i="4"/>
  <c r="AU4854" i="4"/>
  <c r="AU4855" i="4"/>
  <c r="AU4856" i="4"/>
  <c r="AU4857" i="4"/>
  <c r="AU4858" i="4"/>
  <c r="AU4859" i="4"/>
  <c r="AU4860" i="4"/>
  <c r="AU4861" i="4"/>
  <c r="AU4862" i="4"/>
  <c r="AU4863" i="4"/>
  <c r="AU4864" i="4"/>
  <c r="AU4865" i="4"/>
  <c r="AU4866" i="4"/>
  <c r="AU4867" i="4"/>
  <c r="AU4868" i="4"/>
  <c r="AU4869" i="4"/>
  <c r="AU4870" i="4"/>
  <c r="AU4871" i="4"/>
  <c r="AU4872" i="4"/>
  <c r="AU4873" i="4"/>
  <c r="AU4874" i="4"/>
  <c r="AU4875" i="4"/>
  <c r="AU4876" i="4"/>
  <c r="AU4877" i="4"/>
  <c r="AU4878" i="4"/>
  <c r="AU4879" i="4"/>
  <c r="AU4880" i="4"/>
  <c r="AU4881" i="4"/>
  <c r="AU4882" i="4"/>
  <c r="AU4883" i="4"/>
  <c r="AU4884" i="4"/>
  <c r="AU4885" i="4"/>
  <c r="AU4886" i="4"/>
  <c r="AU4887" i="4"/>
  <c r="AU4888" i="4"/>
  <c r="AU4889" i="4"/>
  <c r="AU4890" i="4"/>
  <c r="AU4891" i="4"/>
  <c r="AU4892" i="4"/>
  <c r="AU4893" i="4"/>
  <c r="AU4894" i="4"/>
  <c r="AU4895" i="4"/>
  <c r="AU4896" i="4"/>
  <c r="AU4897" i="4"/>
  <c r="AU4898" i="4"/>
  <c r="AU4899" i="4"/>
  <c r="AU4900" i="4"/>
  <c r="AU4901" i="4"/>
  <c r="AU4902" i="4"/>
  <c r="AU4903" i="4"/>
  <c r="AU4904" i="4"/>
  <c r="AU4905" i="4"/>
  <c r="AU4906" i="4"/>
  <c r="AU4907" i="4"/>
  <c r="AU4908" i="4"/>
  <c r="AU4909" i="4"/>
  <c r="AU4910" i="4"/>
  <c r="AU4911" i="4"/>
  <c r="AU4912" i="4"/>
  <c r="AU4913" i="4"/>
  <c r="AU4914" i="4"/>
  <c r="AU4915" i="4"/>
  <c r="AU4916" i="4"/>
  <c r="AU4917" i="4"/>
  <c r="AU4918" i="4"/>
  <c r="AU4919" i="4"/>
  <c r="AU4920" i="4"/>
  <c r="AU4921" i="4"/>
  <c r="AU4922" i="4"/>
  <c r="AU4923" i="4"/>
  <c r="AU4924" i="4"/>
  <c r="AU4925" i="4"/>
  <c r="AU4926" i="4"/>
  <c r="AU4927" i="4"/>
  <c r="AU4928" i="4"/>
  <c r="AU4929" i="4"/>
  <c r="AU4930" i="4"/>
  <c r="AU4931" i="4"/>
  <c r="AU4932" i="4"/>
  <c r="AU4933" i="4"/>
  <c r="AU4934" i="4"/>
  <c r="AU4935" i="4"/>
  <c r="AU4936" i="4"/>
  <c r="AU4937" i="4"/>
  <c r="AU4938" i="4"/>
  <c r="AU4939" i="4"/>
  <c r="AU4940" i="4"/>
  <c r="AU4941" i="4"/>
  <c r="AU4942" i="4"/>
  <c r="AU4943" i="4"/>
  <c r="AU4944" i="4"/>
  <c r="AU4945" i="4"/>
  <c r="AU4946" i="4"/>
  <c r="AU4947" i="4"/>
  <c r="AU4948" i="4"/>
  <c r="AU4949" i="4"/>
  <c r="AU4950" i="4"/>
  <c r="AU4951" i="4"/>
  <c r="AU4952" i="4"/>
  <c r="AU4953" i="4"/>
  <c r="AU4954" i="4"/>
  <c r="AU4955" i="4"/>
  <c r="AU4956" i="4"/>
  <c r="AU4957" i="4"/>
  <c r="AU4958" i="4"/>
  <c r="AU4959" i="4"/>
  <c r="AU4960" i="4"/>
  <c r="AU4961" i="4"/>
  <c r="AU4962" i="4"/>
  <c r="AU4963" i="4"/>
  <c r="AU4964" i="4"/>
  <c r="AU4965" i="4"/>
  <c r="AU4966" i="4"/>
  <c r="AU4967" i="4"/>
  <c r="AU4968" i="4"/>
  <c r="AU4969" i="4"/>
  <c r="AU4970" i="4"/>
  <c r="AU4971" i="4"/>
  <c r="AU4972" i="4"/>
  <c r="AU4973" i="4"/>
  <c r="AU4974" i="4"/>
  <c r="AU4975" i="4"/>
  <c r="AU4976" i="4"/>
  <c r="AU4977" i="4"/>
  <c r="AU4978" i="4"/>
  <c r="AU4979" i="4"/>
  <c r="AU4980" i="4"/>
  <c r="AU4981" i="4"/>
  <c r="AU4982" i="4"/>
  <c r="AU4983" i="4"/>
  <c r="AU4984" i="4"/>
  <c r="AU4985" i="4"/>
  <c r="AU4986" i="4"/>
  <c r="AU4987" i="4"/>
  <c r="AU4988" i="4"/>
  <c r="AU4989" i="4"/>
  <c r="AU4990" i="4"/>
  <c r="AU4991" i="4"/>
  <c r="AU4992" i="4"/>
  <c r="AU4993" i="4"/>
  <c r="AU4994" i="4"/>
  <c r="AU4995" i="4"/>
  <c r="AU4996" i="4"/>
  <c r="AU4997" i="4"/>
  <c r="AU4998" i="4"/>
  <c r="AU4999" i="4"/>
  <c r="AU5000" i="4"/>
  <c r="AU5001" i="4"/>
  <c r="AU5002" i="4"/>
  <c r="AU5003" i="4"/>
  <c r="AU5004" i="4"/>
  <c r="AU5005" i="4"/>
  <c r="AU5006" i="4"/>
  <c r="AU5007" i="4"/>
  <c r="AU5008" i="4"/>
  <c r="AU5009" i="4"/>
  <c r="AU5010" i="4"/>
  <c r="AU5011" i="4"/>
  <c r="AU5012" i="4"/>
  <c r="AU5013" i="4"/>
  <c r="AU5014" i="4"/>
  <c r="AU5015" i="4"/>
  <c r="AU5016" i="4"/>
  <c r="AU5017" i="4"/>
  <c r="AU5018" i="4"/>
  <c r="AU5019" i="4"/>
  <c r="AU5020" i="4"/>
  <c r="AU5021" i="4"/>
  <c r="AU5022" i="4"/>
  <c r="AU5023" i="4"/>
  <c r="AU5024" i="4"/>
  <c r="AU5025" i="4"/>
  <c r="AU5026" i="4"/>
  <c r="AU5027" i="4"/>
  <c r="AU5028" i="4"/>
  <c r="AU5029" i="4"/>
  <c r="AU5030" i="4"/>
  <c r="AU5031" i="4"/>
  <c r="AU5032" i="4"/>
  <c r="AU5033" i="4"/>
  <c r="AU5034" i="4"/>
  <c r="AU5035" i="4"/>
  <c r="AU5036" i="4"/>
  <c r="AU5037" i="4"/>
  <c r="AU5038" i="4"/>
  <c r="AU5039" i="4"/>
  <c r="AU5040" i="4"/>
  <c r="AU5041" i="4"/>
  <c r="AU5042" i="4"/>
  <c r="AU5043" i="4"/>
  <c r="AU5044" i="4"/>
  <c r="AU5045" i="4"/>
  <c r="AU5046" i="4"/>
  <c r="AU5047" i="4"/>
  <c r="AU5048" i="4"/>
  <c r="AU5049" i="4"/>
  <c r="AU5050" i="4"/>
  <c r="AU5051" i="4"/>
  <c r="AU5052" i="4"/>
  <c r="AU5053" i="4"/>
  <c r="AU5054" i="4"/>
  <c r="AU5055" i="4"/>
  <c r="AU5056" i="4"/>
  <c r="AU5057" i="4"/>
  <c r="AU5058" i="4"/>
  <c r="AU5059" i="4"/>
  <c r="AU5060" i="4"/>
  <c r="AU5061" i="4"/>
  <c r="AU5062" i="4"/>
  <c r="AU5063" i="4"/>
  <c r="AU5064" i="4"/>
  <c r="AU5065" i="4"/>
  <c r="AU5066" i="4"/>
  <c r="AU5067" i="4"/>
  <c r="AU5068" i="4"/>
  <c r="AU5069" i="4"/>
  <c r="AU5070" i="4"/>
  <c r="AU5071" i="4"/>
  <c r="AU5072" i="4"/>
  <c r="AU5073" i="4"/>
  <c r="AU5074" i="4"/>
  <c r="AU5075" i="4"/>
  <c r="AU5076" i="4"/>
  <c r="AU5077" i="4"/>
  <c r="AU5078" i="4"/>
  <c r="AU5079" i="4"/>
  <c r="AU5080" i="4"/>
  <c r="AU5081" i="4"/>
  <c r="AU5082" i="4"/>
  <c r="AU5083" i="4"/>
  <c r="AU5084" i="4"/>
  <c r="AU5085" i="4"/>
  <c r="AU5086" i="4"/>
  <c r="AU5087" i="4"/>
  <c r="AU5088" i="4"/>
  <c r="AU5089" i="4"/>
  <c r="AU5090" i="4"/>
  <c r="AU5091" i="4"/>
  <c r="AU5092" i="4"/>
  <c r="AU5093" i="4"/>
  <c r="AU5094" i="4"/>
  <c r="AU5095" i="4"/>
  <c r="AU5096" i="4"/>
  <c r="AU5097" i="4"/>
  <c r="AU5098" i="4"/>
  <c r="AU5099" i="4"/>
  <c r="AU5100" i="4"/>
  <c r="AU5101" i="4"/>
  <c r="AU5102" i="4"/>
  <c r="AU5103" i="4"/>
  <c r="AU5104" i="4"/>
  <c r="AU5105" i="4"/>
  <c r="AU5106" i="4"/>
  <c r="AU5107" i="4"/>
  <c r="AU5108" i="4"/>
  <c r="AU5109" i="4"/>
  <c r="AU5110" i="4"/>
  <c r="AU5111" i="4"/>
  <c r="AU5112" i="4"/>
  <c r="AU5113" i="4"/>
  <c r="AU5114" i="4"/>
  <c r="AU5115" i="4"/>
  <c r="AU5116" i="4"/>
  <c r="AU5117" i="4"/>
  <c r="AU5118" i="4"/>
  <c r="AU5119" i="4"/>
  <c r="AU5120" i="4"/>
  <c r="AU5121" i="4"/>
  <c r="AU5122" i="4"/>
  <c r="AU5123" i="4"/>
  <c r="AU5124" i="4"/>
  <c r="AU5125" i="4"/>
  <c r="AU5126" i="4"/>
  <c r="AU5127" i="4"/>
  <c r="AU5128" i="4"/>
  <c r="AU5129" i="4"/>
  <c r="AU5130" i="4"/>
  <c r="AU5131" i="4"/>
  <c r="AU5132" i="4"/>
  <c r="AU5133" i="4"/>
  <c r="AU5134" i="4"/>
  <c r="AU5135" i="4"/>
  <c r="AU5136" i="4"/>
  <c r="AU5137" i="4"/>
  <c r="AU5138" i="4"/>
  <c r="AU5139" i="4"/>
  <c r="AU5140" i="4"/>
  <c r="AU5141" i="4"/>
  <c r="AU5142" i="4"/>
  <c r="AU5143" i="4"/>
  <c r="AU5144" i="4"/>
  <c r="AU5145" i="4"/>
  <c r="AU5146" i="4"/>
  <c r="AU5147" i="4"/>
  <c r="AU5148" i="4"/>
  <c r="AU5149" i="4"/>
  <c r="AU5150" i="4"/>
  <c r="AU5151" i="4"/>
  <c r="AU5152" i="4"/>
  <c r="AU5153" i="4"/>
  <c r="AU5154" i="4"/>
  <c r="AU5155" i="4"/>
  <c r="AU5156" i="4"/>
  <c r="AU5157" i="4"/>
  <c r="AU5158" i="4"/>
  <c r="AU5159" i="4"/>
  <c r="AU5160" i="4"/>
  <c r="AU5161" i="4"/>
  <c r="AU5162" i="4"/>
  <c r="AU5163" i="4"/>
  <c r="AU5164" i="4"/>
  <c r="AU5165" i="4"/>
  <c r="AU5166" i="4"/>
  <c r="AU5167" i="4"/>
  <c r="AU5168" i="4"/>
  <c r="AU5169" i="4"/>
  <c r="AU5170" i="4"/>
  <c r="AU5171" i="4"/>
  <c r="AU5172" i="4"/>
  <c r="AU5173" i="4"/>
  <c r="AU5174" i="4"/>
  <c r="AU5175" i="4"/>
  <c r="AU5176" i="4"/>
  <c r="AU5177" i="4"/>
  <c r="AU5178" i="4"/>
  <c r="AU5179" i="4"/>
  <c r="AU5180" i="4"/>
  <c r="AU5181" i="4"/>
  <c r="AU5182" i="4"/>
  <c r="AU5183" i="4"/>
  <c r="AU5184" i="4"/>
  <c r="AU5185" i="4"/>
  <c r="AU5186" i="4"/>
  <c r="AU5187" i="4"/>
  <c r="AU5188" i="4"/>
  <c r="AU5189" i="4"/>
  <c r="AU5190" i="4"/>
  <c r="AU5191" i="4"/>
  <c r="AU5192" i="4"/>
  <c r="AU5193" i="4"/>
  <c r="AU5194" i="4"/>
  <c r="AU5195" i="4"/>
  <c r="AU5196" i="4"/>
  <c r="AU5197" i="4"/>
  <c r="AU5198" i="4"/>
  <c r="AU5199" i="4"/>
  <c r="AU5200" i="4"/>
  <c r="AU5201" i="4"/>
  <c r="AU5202" i="4"/>
  <c r="AU5203" i="4"/>
  <c r="AU5204" i="4"/>
  <c r="AU5205" i="4"/>
  <c r="AU5206" i="4"/>
  <c r="AU5207" i="4"/>
  <c r="AU5208" i="4"/>
  <c r="AU5209" i="4"/>
  <c r="AU5210" i="4"/>
  <c r="AU5211" i="4"/>
  <c r="AU5212" i="4"/>
  <c r="AU5213" i="4"/>
  <c r="AU5214" i="4"/>
  <c r="AU5215" i="4"/>
  <c r="AU5216" i="4"/>
  <c r="AU5217" i="4"/>
  <c r="AU5218" i="4"/>
  <c r="AU5219" i="4"/>
  <c r="AU5220" i="4"/>
  <c r="AU5221" i="4"/>
  <c r="AU5222" i="4"/>
  <c r="AU5223" i="4"/>
  <c r="AU5224" i="4"/>
  <c r="AU5225" i="4"/>
  <c r="AU5226" i="4"/>
  <c r="AU5227" i="4"/>
  <c r="AU5228" i="4"/>
  <c r="AU5229" i="4"/>
  <c r="AU5230" i="4"/>
  <c r="AU5231" i="4"/>
  <c r="AU5232" i="4"/>
  <c r="AU5233" i="4"/>
  <c r="AU5234" i="4"/>
  <c r="AU5235" i="4"/>
  <c r="AU5236" i="4"/>
  <c r="AU5237" i="4"/>
  <c r="AU5238" i="4"/>
  <c r="AU5239" i="4"/>
  <c r="AU5240" i="4"/>
  <c r="AU5241" i="4"/>
  <c r="AU5242" i="4"/>
  <c r="AU5243" i="4"/>
  <c r="AU5244" i="4"/>
  <c r="AU5245" i="4"/>
  <c r="AU5246" i="4"/>
  <c r="AU5247" i="4"/>
  <c r="AU5248" i="4"/>
  <c r="AU5249" i="4"/>
  <c r="AU5250" i="4"/>
  <c r="AU5251" i="4"/>
  <c r="AU5252" i="4"/>
  <c r="AU5253" i="4"/>
  <c r="AU5254" i="4"/>
  <c r="AU5255" i="4"/>
  <c r="AU5256" i="4"/>
  <c r="AU5257" i="4"/>
  <c r="AU5258" i="4"/>
  <c r="AU5259" i="4"/>
  <c r="AU5260" i="4"/>
  <c r="AU5261" i="4"/>
  <c r="AU5262" i="4"/>
  <c r="AU5263" i="4"/>
  <c r="AU5264" i="4"/>
  <c r="AU5265" i="4"/>
  <c r="AU5266" i="4"/>
  <c r="AU5267" i="4"/>
  <c r="AU5268" i="4"/>
  <c r="AU5269" i="4"/>
  <c r="AU5270" i="4"/>
  <c r="AU5271" i="4"/>
  <c r="AU5272" i="4"/>
  <c r="AU5273" i="4"/>
  <c r="AU5274" i="4"/>
  <c r="AU5275" i="4"/>
  <c r="AU5276" i="4"/>
  <c r="AU5277" i="4"/>
  <c r="AU5278" i="4"/>
  <c r="AU5279" i="4"/>
  <c r="AU5280" i="4"/>
  <c r="AU5281" i="4"/>
  <c r="AU5282" i="4"/>
  <c r="AU5283" i="4"/>
  <c r="AU5284" i="4"/>
  <c r="AU5285" i="4"/>
  <c r="AU5286" i="4"/>
  <c r="AU5287" i="4"/>
  <c r="AU5288" i="4"/>
  <c r="AU5289" i="4"/>
  <c r="AU5290" i="4"/>
  <c r="AU5291" i="4"/>
  <c r="AU5292" i="4"/>
  <c r="AU5293" i="4"/>
  <c r="AU5294" i="4"/>
  <c r="AU5295" i="4"/>
  <c r="AU5296" i="4"/>
  <c r="AU5297" i="4"/>
  <c r="AU5298" i="4"/>
  <c r="AU5299" i="4"/>
  <c r="AU5300" i="4"/>
  <c r="AU5301" i="4"/>
  <c r="AU5302" i="4"/>
  <c r="AU5303" i="4"/>
  <c r="AU5304" i="4"/>
  <c r="AU5305" i="4"/>
  <c r="AU5306" i="4"/>
  <c r="AU5307" i="4"/>
  <c r="AU5308" i="4"/>
  <c r="AU5309" i="4"/>
  <c r="AU5310" i="4"/>
  <c r="AU5311" i="4"/>
  <c r="AU5312" i="4"/>
  <c r="AU5313" i="4"/>
  <c r="AU5314" i="4"/>
  <c r="AU5315" i="4"/>
  <c r="AU5316" i="4"/>
  <c r="AU5317" i="4"/>
  <c r="AU5318" i="4"/>
  <c r="AU5319" i="4"/>
  <c r="AU5320" i="4"/>
  <c r="AU5321" i="4"/>
  <c r="AU5322" i="4"/>
  <c r="AU5323" i="4"/>
  <c r="AU5324" i="4"/>
  <c r="AU5325" i="4"/>
  <c r="AU5326" i="4"/>
  <c r="AU5327" i="4"/>
  <c r="AU5328" i="4"/>
  <c r="AU5329" i="4"/>
  <c r="AU5330" i="4"/>
  <c r="AU5331" i="4"/>
  <c r="B29" i="10"/>
  <c r="A11" i="10"/>
  <c r="C38" i="6"/>
  <c r="C26" i="6"/>
  <c r="Y50" i="3"/>
  <c r="V50" i="3"/>
  <c r="S50" i="3"/>
  <c r="P50" i="3"/>
  <c r="M50" i="3"/>
  <c r="J50" i="3"/>
  <c r="G50" i="3"/>
  <c r="D50" i="3"/>
  <c r="Y31" i="3" l="1"/>
  <c r="V31" i="3"/>
  <c r="S31" i="3"/>
  <c r="P31" i="3"/>
  <c r="M31" i="3"/>
  <c r="J31" i="3"/>
  <c r="G31" i="3"/>
  <c r="D31" i="3"/>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200" i="4"/>
  <c r="BC201" i="4"/>
  <c r="BC202" i="4"/>
  <c r="BC203" i="4"/>
  <c r="BC204" i="4"/>
  <c r="BC205" i="4"/>
  <c r="BC206" i="4"/>
  <c r="BC207" i="4"/>
  <c r="BC208" i="4"/>
  <c r="BC209" i="4"/>
  <c r="BC210" i="4"/>
  <c r="BC211" i="4"/>
  <c r="BC212" i="4"/>
  <c r="BC213" i="4"/>
  <c r="BC214" i="4"/>
  <c r="BC215" i="4"/>
  <c r="BC216" i="4"/>
  <c r="BC217" i="4"/>
  <c r="BC218" i="4"/>
  <c r="BC219" i="4"/>
  <c r="BC220" i="4"/>
  <c r="BC221" i="4"/>
  <c r="BC222" i="4"/>
  <c r="BC223" i="4"/>
  <c r="BC224" i="4"/>
  <c r="BC225" i="4"/>
  <c r="BC226" i="4"/>
  <c r="BC227" i="4"/>
  <c r="BC228" i="4"/>
  <c r="BC229" i="4"/>
  <c r="BC230" i="4"/>
  <c r="BC231" i="4"/>
  <c r="BC232" i="4"/>
  <c r="BC233" i="4"/>
  <c r="BC234" i="4"/>
  <c r="BC235" i="4"/>
  <c r="BC236" i="4"/>
  <c r="BC237" i="4"/>
  <c r="BC238" i="4"/>
  <c r="BC239" i="4"/>
  <c r="BC240" i="4"/>
  <c r="BC241" i="4"/>
  <c r="BC242" i="4"/>
  <c r="BC243" i="4"/>
  <c r="BC244" i="4"/>
  <c r="BC245" i="4"/>
  <c r="BC246" i="4"/>
  <c r="BC247" i="4"/>
  <c r="BC248" i="4"/>
  <c r="BC249" i="4"/>
  <c r="BC250" i="4"/>
  <c r="BC251" i="4"/>
  <c r="BC252" i="4"/>
  <c r="BC253" i="4"/>
  <c r="BC254" i="4"/>
  <c r="BC255" i="4"/>
  <c r="BC256" i="4"/>
  <c r="BC257" i="4"/>
  <c r="BC258" i="4"/>
  <c r="BC259" i="4"/>
  <c r="BC260" i="4"/>
  <c r="BC261" i="4"/>
  <c r="BC262" i="4"/>
  <c r="BC263" i="4"/>
  <c r="BC264" i="4"/>
  <c r="BC265" i="4"/>
  <c r="BC266" i="4"/>
  <c r="BC267" i="4"/>
  <c r="BC268" i="4"/>
  <c r="BC269" i="4"/>
  <c r="BC270" i="4"/>
  <c r="BC271" i="4"/>
  <c r="BC272" i="4"/>
  <c r="BC273" i="4"/>
  <c r="BC274" i="4"/>
  <c r="BC275" i="4"/>
  <c r="BC276" i="4"/>
  <c r="BC277" i="4"/>
  <c r="BC278" i="4"/>
  <c r="BC279" i="4"/>
  <c r="BC280" i="4"/>
  <c r="BC281" i="4"/>
  <c r="BC282" i="4"/>
  <c r="BC283" i="4"/>
  <c r="BC284" i="4"/>
  <c r="BC285" i="4"/>
  <c r="BC286" i="4"/>
  <c r="BC287" i="4"/>
  <c r="BC288" i="4"/>
  <c r="BC289" i="4"/>
  <c r="BC290" i="4"/>
  <c r="BC291" i="4"/>
  <c r="BC292" i="4"/>
  <c r="BC293" i="4"/>
  <c r="BC294" i="4"/>
  <c r="BC295" i="4"/>
  <c r="BC296" i="4"/>
  <c r="BC297" i="4"/>
  <c r="BC298" i="4"/>
  <c r="BC299" i="4"/>
  <c r="BC300" i="4"/>
  <c r="BC301" i="4"/>
  <c r="BC302" i="4"/>
  <c r="BC303" i="4"/>
  <c r="BC304" i="4"/>
  <c r="BC305" i="4"/>
  <c r="BC306" i="4"/>
  <c r="BC307" i="4"/>
  <c r="BC308" i="4"/>
  <c r="BC309" i="4"/>
  <c r="BC310" i="4"/>
  <c r="BC311" i="4"/>
  <c r="BC312" i="4"/>
  <c r="BC313" i="4"/>
  <c r="BC314" i="4"/>
  <c r="BC315" i="4"/>
  <c r="BC316" i="4"/>
  <c r="BC317" i="4"/>
  <c r="BC318" i="4"/>
  <c r="BC319" i="4"/>
  <c r="BC320" i="4"/>
  <c r="BC321" i="4"/>
  <c r="BC322" i="4"/>
  <c r="BC323" i="4"/>
  <c r="BC324" i="4"/>
  <c r="BC325" i="4"/>
  <c r="BC326" i="4"/>
  <c r="BC327" i="4"/>
  <c r="BC328" i="4"/>
  <c r="BC329" i="4"/>
  <c r="BC330" i="4"/>
  <c r="BC331" i="4"/>
  <c r="BC332" i="4"/>
  <c r="BC333" i="4"/>
  <c r="BC334" i="4"/>
  <c r="BC335" i="4"/>
  <c r="BC336" i="4"/>
  <c r="BC337" i="4"/>
  <c r="BC338" i="4"/>
  <c r="BC339" i="4"/>
  <c r="BC340" i="4"/>
  <c r="BC341" i="4"/>
  <c r="BC342" i="4"/>
  <c r="BC343" i="4"/>
  <c r="BC344" i="4"/>
  <c r="BC345" i="4"/>
  <c r="BC346" i="4"/>
  <c r="BC347" i="4"/>
  <c r="BC348" i="4"/>
  <c r="BC349" i="4"/>
  <c r="BC350" i="4"/>
  <c r="BC351" i="4"/>
  <c r="BC352" i="4"/>
  <c r="BC353" i="4"/>
  <c r="BC354" i="4"/>
  <c r="BC355" i="4"/>
  <c r="BC356" i="4"/>
  <c r="BC357" i="4"/>
  <c r="BC358" i="4"/>
  <c r="BC359" i="4"/>
  <c r="BC360" i="4"/>
  <c r="BC361" i="4"/>
  <c r="BC362" i="4"/>
  <c r="BC363" i="4"/>
  <c r="BC364" i="4"/>
  <c r="BC365" i="4"/>
  <c r="BC366" i="4"/>
  <c r="BC367" i="4"/>
  <c r="BC368" i="4"/>
  <c r="BC369" i="4"/>
  <c r="BC370" i="4"/>
  <c r="BC371" i="4"/>
  <c r="BC372" i="4"/>
  <c r="BC373" i="4"/>
  <c r="BC374" i="4"/>
  <c r="BC375" i="4"/>
  <c r="BC376" i="4"/>
  <c r="BC377" i="4"/>
  <c r="BC378" i="4"/>
  <c r="BC379" i="4"/>
  <c r="BC380" i="4"/>
  <c r="BC381" i="4"/>
  <c r="BC382" i="4"/>
  <c r="BC383" i="4"/>
  <c r="BC384" i="4"/>
  <c r="BC385" i="4"/>
  <c r="BC386" i="4"/>
  <c r="BC387" i="4"/>
  <c r="BC388" i="4"/>
  <c r="BC389" i="4"/>
  <c r="BC390" i="4"/>
  <c r="BC391" i="4"/>
  <c r="BC392" i="4"/>
  <c r="BC393" i="4"/>
  <c r="BC394" i="4"/>
  <c r="BC395" i="4"/>
  <c r="BC396" i="4"/>
  <c r="BC397" i="4"/>
  <c r="BC398" i="4"/>
  <c r="BC399" i="4"/>
  <c r="BC400" i="4"/>
  <c r="BC401" i="4"/>
  <c r="BC402" i="4"/>
  <c r="BC403" i="4"/>
  <c r="BC404" i="4"/>
  <c r="BC405" i="4"/>
  <c r="BC406" i="4"/>
  <c r="BC407" i="4"/>
  <c r="BC408" i="4"/>
  <c r="BC409" i="4"/>
  <c r="BC410" i="4"/>
  <c r="BC411" i="4"/>
  <c r="BC412" i="4"/>
  <c r="BC413" i="4"/>
  <c r="BC414" i="4"/>
  <c r="BC415" i="4"/>
  <c r="BC416" i="4"/>
  <c r="BC417" i="4"/>
  <c r="BC418" i="4"/>
  <c r="BC419" i="4"/>
  <c r="BC420" i="4"/>
  <c r="BC421" i="4"/>
  <c r="BC422" i="4"/>
  <c r="BC423" i="4"/>
  <c r="BC424" i="4"/>
  <c r="BC425" i="4"/>
  <c r="BC426" i="4"/>
  <c r="BC427" i="4"/>
  <c r="BC428" i="4"/>
  <c r="BC429" i="4"/>
  <c r="BC430" i="4"/>
  <c r="BC431" i="4"/>
  <c r="BC432" i="4"/>
  <c r="BC433" i="4"/>
  <c r="BC434" i="4"/>
  <c r="BC435" i="4"/>
  <c r="BC436" i="4"/>
  <c r="BC437" i="4"/>
  <c r="BC438" i="4"/>
  <c r="BC439" i="4"/>
  <c r="BC440" i="4"/>
  <c r="BC441" i="4"/>
  <c r="BC442" i="4"/>
  <c r="BC443" i="4"/>
  <c r="BC444" i="4"/>
  <c r="BC445" i="4"/>
  <c r="BC446" i="4"/>
  <c r="BC447" i="4"/>
  <c r="BC448" i="4"/>
  <c r="BC449" i="4"/>
  <c r="BC450" i="4"/>
  <c r="BC451" i="4"/>
  <c r="BC452" i="4"/>
  <c r="BC453" i="4"/>
  <c r="BC454" i="4"/>
  <c r="BC455" i="4"/>
  <c r="BC456" i="4"/>
  <c r="BC457" i="4"/>
  <c r="BC458" i="4"/>
  <c r="BC459" i="4"/>
  <c r="BC460" i="4"/>
  <c r="BC461" i="4"/>
  <c r="BC462" i="4"/>
  <c r="BC463" i="4"/>
  <c r="BC464" i="4"/>
  <c r="BC465" i="4"/>
  <c r="BC466" i="4"/>
  <c r="BC467" i="4"/>
  <c r="BC468" i="4"/>
  <c r="BC469" i="4"/>
  <c r="BC470" i="4"/>
  <c r="BC471" i="4"/>
  <c r="BC472" i="4"/>
  <c r="BC473" i="4"/>
  <c r="BC474" i="4"/>
  <c r="BC475" i="4"/>
  <c r="BC476" i="4"/>
  <c r="BC477" i="4"/>
  <c r="BC478" i="4"/>
  <c r="BC479" i="4"/>
  <c r="BC480" i="4"/>
  <c r="BC481" i="4"/>
  <c r="BC482" i="4"/>
  <c r="BC483" i="4"/>
  <c r="BC484" i="4"/>
  <c r="BC485" i="4"/>
  <c r="BC486" i="4"/>
  <c r="BC487" i="4"/>
  <c r="BC488" i="4"/>
  <c r="BC489" i="4"/>
  <c r="BC490" i="4"/>
  <c r="BC491" i="4"/>
  <c r="BC492" i="4"/>
  <c r="BC493" i="4"/>
  <c r="BC494" i="4"/>
  <c r="BC495" i="4"/>
  <c r="BC496" i="4"/>
  <c r="BC497" i="4"/>
  <c r="BC498" i="4"/>
  <c r="BC499" i="4"/>
  <c r="BC500" i="4"/>
  <c r="BC501" i="4"/>
  <c r="BC502" i="4"/>
  <c r="BC503" i="4"/>
  <c r="BC504" i="4"/>
  <c r="BC505" i="4"/>
  <c r="BC506" i="4"/>
  <c r="BC507" i="4"/>
  <c r="BC508" i="4"/>
  <c r="BC509" i="4"/>
  <c r="BC510" i="4"/>
  <c r="BC511" i="4"/>
  <c r="BC512" i="4"/>
  <c r="BC513" i="4"/>
  <c r="BC514" i="4"/>
  <c r="BC515" i="4"/>
  <c r="BC516" i="4"/>
  <c r="BC517" i="4"/>
  <c r="BC518" i="4"/>
  <c r="BC519" i="4"/>
  <c r="BC520" i="4"/>
  <c r="BC521" i="4"/>
  <c r="BC522" i="4"/>
  <c r="BC523" i="4"/>
  <c r="BC524" i="4"/>
  <c r="BC525" i="4"/>
  <c r="BC526" i="4"/>
  <c r="BC527" i="4"/>
  <c r="BC528" i="4"/>
  <c r="BC529" i="4"/>
  <c r="BC530" i="4"/>
  <c r="BC531" i="4"/>
  <c r="BC532" i="4"/>
  <c r="BC533" i="4"/>
  <c r="BC534" i="4"/>
  <c r="BC535" i="4"/>
  <c r="BC536" i="4"/>
  <c r="BC537" i="4"/>
  <c r="BC538" i="4"/>
  <c r="BC539" i="4"/>
  <c r="BC540" i="4"/>
  <c r="BC541" i="4"/>
  <c r="BC542" i="4"/>
  <c r="BC543" i="4"/>
  <c r="BC544" i="4"/>
  <c r="BC545" i="4"/>
  <c r="BC546" i="4"/>
  <c r="BC547" i="4"/>
  <c r="BC548" i="4"/>
  <c r="BC549" i="4"/>
  <c r="BC550" i="4"/>
  <c r="BC551" i="4"/>
  <c r="BC552" i="4"/>
  <c r="BC553" i="4"/>
  <c r="BC554" i="4"/>
  <c r="BC555" i="4"/>
  <c r="BC556" i="4"/>
  <c r="BC557" i="4"/>
  <c r="BC558" i="4"/>
  <c r="BC559" i="4"/>
  <c r="BC560" i="4"/>
  <c r="BC561" i="4"/>
  <c r="BC562" i="4"/>
  <c r="BC563" i="4"/>
  <c r="BC564" i="4"/>
  <c r="BC565" i="4"/>
  <c r="BC566" i="4"/>
  <c r="BC567" i="4"/>
  <c r="BC568" i="4"/>
  <c r="BC569" i="4"/>
  <c r="BC570" i="4"/>
  <c r="BC571" i="4"/>
  <c r="BC572" i="4"/>
  <c r="BC573" i="4"/>
  <c r="BC574" i="4"/>
  <c r="BC575" i="4"/>
  <c r="BC576" i="4"/>
  <c r="BC577" i="4"/>
  <c r="BC578" i="4"/>
  <c r="BC579" i="4"/>
  <c r="BC580" i="4"/>
  <c r="BC581" i="4"/>
  <c r="BC582" i="4"/>
  <c r="BC583" i="4"/>
  <c r="BC584" i="4"/>
  <c r="BC585" i="4"/>
  <c r="BC586" i="4"/>
  <c r="BC587" i="4"/>
  <c r="BC588" i="4"/>
  <c r="BC589" i="4"/>
  <c r="BC590" i="4"/>
  <c r="BC591" i="4"/>
  <c r="BC592" i="4"/>
  <c r="BC593" i="4"/>
  <c r="BC594" i="4"/>
  <c r="BC595" i="4"/>
  <c r="BC596" i="4"/>
  <c r="BC597" i="4"/>
  <c r="BC598" i="4"/>
  <c r="BC599" i="4"/>
  <c r="BC600" i="4"/>
  <c r="BC601" i="4"/>
  <c r="BC602" i="4"/>
  <c r="BC603" i="4"/>
  <c r="BC604" i="4"/>
  <c r="BC605" i="4"/>
  <c r="BC606" i="4"/>
  <c r="BC607" i="4"/>
  <c r="BC608" i="4"/>
  <c r="BC609" i="4"/>
  <c r="BC610" i="4"/>
  <c r="BC611" i="4"/>
  <c r="BC612" i="4"/>
  <c r="BC613" i="4"/>
  <c r="BC614" i="4"/>
  <c r="BC615" i="4"/>
  <c r="BC616" i="4"/>
  <c r="BC617" i="4"/>
  <c r="BC618" i="4"/>
  <c r="BC619" i="4"/>
  <c r="BC620" i="4"/>
  <c r="BC621" i="4"/>
  <c r="BC622" i="4"/>
  <c r="BC623" i="4"/>
  <c r="BC624" i="4"/>
  <c r="BC625" i="4"/>
  <c r="BC626" i="4"/>
  <c r="BC627" i="4"/>
  <c r="BC628" i="4"/>
  <c r="BC629" i="4"/>
  <c r="BC630" i="4"/>
  <c r="BC631" i="4"/>
  <c r="BC632" i="4"/>
  <c r="BC633" i="4"/>
  <c r="BC634" i="4"/>
  <c r="BC635" i="4"/>
  <c r="BC636" i="4"/>
  <c r="BC637" i="4"/>
  <c r="BC638" i="4"/>
  <c r="BC639" i="4"/>
  <c r="BC640" i="4"/>
  <c r="BC641" i="4"/>
  <c r="BC642" i="4"/>
  <c r="BC643" i="4"/>
  <c r="BC644" i="4"/>
  <c r="BC645" i="4"/>
  <c r="BC646" i="4"/>
  <c r="BC647" i="4"/>
  <c r="BC648" i="4"/>
  <c r="BC649" i="4"/>
  <c r="BC650" i="4"/>
  <c r="BC651" i="4"/>
  <c r="BC652" i="4"/>
  <c r="BC653" i="4"/>
  <c r="BC654" i="4"/>
  <c r="BC655" i="4"/>
  <c r="BC656" i="4"/>
  <c r="BC657" i="4"/>
  <c r="BC658" i="4"/>
  <c r="BC659" i="4"/>
  <c r="BC660" i="4"/>
  <c r="BC661" i="4"/>
  <c r="BC662" i="4"/>
  <c r="BC663" i="4"/>
  <c r="BC664" i="4"/>
  <c r="BC665" i="4"/>
  <c r="BC666" i="4"/>
  <c r="BC667" i="4"/>
  <c r="BC668" i="4"/>
  <c r="BC669" i="4"/>
  <c r="BC670" i="4"/>
  <c r="BC671" i="4"/>
  <c r="BC672" i="4"/>
  <c r="BC673" i="4"/>
  <c r="BC674" i="4"/>
  <c r="BC675" i="4"/>
  <c r="BC676" i="4"/>
  <c r="BC677" i="4"/>
  <c r="BC678" i="4"/>
  <c r="BC679" i="4"/>
  <c r="BC680" i="4"/>
  <c r="BC681" i="4"/>
  <c r="BC682" i="4"/>
  <c r="BC683" i="4"/>
  <c r="BC684" i="4"/>
  <c r="BC685" i="4"/>
  <c r="BC686" i="4"/>
  <c r="BC687" i="4"/>
  <c r="BC688" i="4"/>
  <c r="BC689" i="4"/>
  <c r="BC690" i="4"/>
  <c r="BC691" i="4"/>
  <c r="BC692" i="4"/>
  <c r="BC693" i="4"/>
  <c r="BC694" i="4"/>
  <c r="BC695" i="4"/>
  <c r="BC696" i="4"/>
  <c r="BC697" i="4"/>
  <c r="BC698" i="4"/>
  <c r="BC699" i="4"/>
  <c r="BC700" i="4"/>
  <c r="BC701" i="4"/>
  <c r="BC702" i="4"/>
  <c r="BC703" i="4"/>
  <c r="BC704" i="4"/>
  <c r="BC705" i="4"/>
  <c r="BC706" i="4"/>
  <c r="BC707" i="4"/>
  <c r="BC708" i="4"/>
  <c r="BC709" i="4"/>
  <c r="BC710" i="4"/>
  <c r="BC711" i="4"/>
  <c r="BC712" i="4"/>
  <c r="BC713" i="4"/>
  <c r="BC714" i="4"/>
  <c r="BC715" i="4"/>
  <c r="BC716" i="4"/>
  <c r="BC717" i="4"/>
  <c r="BC718" i="4"/>
  <c r="BC719" i="4"/>
  <c r="BC720" i="4"/>
  <c r="BC721" i="4"/>
  <c r="BC722" i="4"/>
  <c r="BC723" i="4"/>
  <c r="BC724" i="4"/>
  <c r="BC725" i="4"/>
  <c r="BC726" i="4"/>
  <c r="BC727" i="4"/>
  <c r="BC728" i="4"/>
  <c r="BC729" i="4"/>
  <c r="BC730" i="4"/>
  <c r="BC731" i="4"/>
  <c r="BC732" i="4"/>
  <c r="BC733" i="4"/>
  <c r="BC734" i="4"/>
  <c r="BC735" i="4"/>
  <c r="BC736" i="4"/>
  <c r="BC737" i="4"/>
  <c r="BC738" i="4"/>
  <c r="BC739" i="4"/>
  <c r="BC740" i="4"/>
  <c r="BC741" i="4"/>
  <c r="BC742" i="4"/>
  <c r="BC743" i="4"/>
  <c r="BC744" i="4"/>
  <c r="BC745" i="4"/>
  <c r="BC746" i="4"/>
  <c r="BC747" i="4"/>
  <c r="BC748" i="4"/>
  <c r="BC749" i="4"/>
  <c r="BC750" i="4"/>
  <c r="BC751" i="4"/>
  <c r="BC752" i="4"/>
  <c r="BC753" i="4"/>
  <c r="BC754" i="4"/>
  <c r="BC755" i="4"/>
  <c r="BC756" i="4"/>
  <c r="BC757" i="4"/>
  <c r="BC758" i="4"/>
  <c r="BC759" i="4"/>
  <c r="BC760" i="4"/>
  <c r="BC761" i="4"/>
  <c r="BC762" i="4"/>
  <c r="BC763" i="4"/>
  <c r="BC764" i="4"/>
  <c r="BC765" i="4"/>
  <c r="BC766" i="4"/>
  <c r="BC767" i="4"/>
  <c r="BC768" i="4"/>
  <c r="BC769" i="4"/>
  <c r="BC770" i="4"/>
  <c r="BC771" i="4"/>
  <c r="BC772" i="4"/>
  <c r="BC773" i="4"/>
  <c r="BC774" i="4"/>
  <c r="BC775" i="4"/>
  <c r="BC776" i="4"/>
  <c r="BC777" i="4"/>
  <c r="BC778" i="4"/>
  <c r="BC779" i="4"/>
  <c r="BC780" i="4"/>
  <c r="BC781" i="4"/>
  <c r="BC782" i="4"/>
  <c r="BC783" i="4"/>
  <c r="BC784" i="4"/>
  <c r="BC785" i="4"/>
  <c r="BC786" i="4"/>
  <c r="BC787" i="4"/>
  <c r="BC788" i="4"/>
  <c r="BC789" i="4"/>
  <c r="BC790" i="4"/>
  <c r="BC791" i="4"/>
  <c r="BC792" i="4"/>
  <c r="BC793" i="4"/>
  <c r="BC794" i="4"/>
  <c r="BC795" i="4"/>
  <c r="BC796" i="4"/>
  <c r="BC797" i="4"/>
  <c r="BC798" i="4"/>
  <c r="BC799" i="4"/>
  <c r="BC800" i="4"/>
  <c r="BC801" i="4"/>
  <c r="BC802" i="4"/>
  <c r="BC803" i="4"/>
  <c r="BC804" i="4"/>
  <c r="BC805" i="4"/>
  <c r="BC806" i="4"/>
  <c r="BC807" i="4"/>
  <c r="BC808" i="4"/>
  <c r="BC809" i="4"/>
  <c r="BC810" i="4"/>
  <c r="BC811" i="4"/>
  <c r="BC812" i="4"/>
  <c r="BC813" i="4"/>
  <c r="BC814" i="4"/>
  <c r="BC815" i="4"/>
  <c r="BC816" i="4"/>
  <c r="BC817" i="4"/>
  <c r="BC818" i="4"/>
  <c r="BC819" i="4"/>
  <c r="BC820" i="4"/>
  <c r="BC821" i="4"/>
  <c r="BC822" i="4"/>
  <c r="BC823" i="4"/>
  <c r="BC824" i="4"/>
  <c r="BC825" i="4"/>
  <c r="BC826" i="4"/>
  <c r="BC827" i="4"/>
  <c r="BC828" i="4"/>
  <c r="BC829" i="4"/>
  <c r="BC830" i="4"/>
  <c r="BC831" i="4"/>
  <c r="BC832" i="4"/>
  <c r="BC833" i="4"/>
  <c r="BC834" i="4"/>
  <c r="BC835" i="4"/>
  <c r="BC836" i="4"/>
  <c r="BC837" i="4"/>
  <c r="BC838" i="4"/>
  <c r="BC839" i="4"/>
  <c r="BC840" i="4"/>
  <c r="BC841" i="4"/>
  <c r="BC842" i="4"/>
  <c r="BC843" i="4"/>
  <c r="BC844" i="4"/>
  <c r="BC845" i="4"/>
  <c r="BC846" i="4"/>
  <c r="BC847" i="4"/>
  <c r="BC848" i="4"/>
  <c r="BC849" i="4"/>
  <c r="BC850" i="4"/>
  <c r="BC851" i="4"/>
  <c r="BC852" i="4"/>
  <c r="BC853" i="4"/>
  <c r="BC854" i="4"/>
  <c r="BC855" i="4"/>
  <c r="BC856" i="4"/>
  <c r="BC857" i="4"/>
  <c r="BC858" i="4"/>
  <c r="BC859" i="4"/>
  <c r="BC860" i="4"/>
  <c r="BC861" i="4"/>
  <c r="BC862" i="4"/>
  <c r="BC863" i="4"/>
  <c r="BC864" i="4"/>
  <c r="BC865" i="4"/>
  <c r="BC866" i="4"/>
  <c r="BC867" i="4"/>
  <c r="BC868" i="4"/>
  <c r="BC869" i="4"/>
  <c r="BC870" i="4"/>
  <c r="BC871" i="4"/>
  <c r="BC872" i="4"/>
  <c r="BC873" i="4"/>
  <c r="BC874" i="4"/>
  <c r="BC875" i="4"/>
  <c r="BC876" i="4"/>
  <c r="BC877" i="4"/>
  <c r="BC878" i="4"/>
  <c r="BC879" i="4"/>
  <c r="BC880" i="4"/>
  <c r="BC881" i="4"/>
  <c r="BC882" i="4"/>
  <c r="BC883" i="4"/>
  <c r="BC884" i="4"/>
  <c r="BC885" i="4"/>
  <c r="BC886" i="4"/>
  <c r="BC887" i="4"/>
  <c r="BC888" i="4"/>
  <c r="BC889" i="4"/>
  <c r="BC890" i="4"/>
  <c r="BC891" i="4"/>
  <c r="BC892" i="4"/>
  <c r="BC893" i="4"/>
  <c r="BC894" i="4"/>
  <c r="BC895" i="4"/>
  <c r="BC896" i="4"/>
  <c r="BC897" i="4"/>
  <c r="BC898" i="4"/>
  <c r="BC899" i="4"/>
  <c r="BC900" i="4"/>
  <c r="BC901" i="4"/>
  <c r="BC902" i="4"/>
  <c r="BC903" i="4"/>
  <c r="BC904" i="4"/>
  <c r="BC905" i="4"/>
  <c r="BC906" i="4"/>
  <c r="BC907" i="4"/>
  <c r="BC908" i="4"/>
  <c r="BC909" i="4"/>
  <c r="BC910" i="4"/>
  <c r="BC911" i="4"/>
  <c r="BC912" i="4"/>
  <c r="BC913" i="4"/>
  <c r="BC914" i="4"/>
  <c r="BC915" i="4"/>
  <c r="BC916" i="4"/>
  <c r="BC917" i="4"/>
  <c r="BC918" i="4"/>
  <c r="BC919" i="4"/>
  <c r="BC920" i="4"/>
  <c r="BC921" i="4"/>
  <c r="BC922" i="4"/>
  <c r="BC923" i="4"/>
  <c r="BC924" i="4"/>
  <c r="BC925" i="4"/>
  <c r="BC926" i="4"/>
  <c r="BC927" i="4"/>
  <c r="BC928" i="4"/>
  <c r="BC929" i="4"/>
  <c r="BC930" i="4"/>
  <c r="BC931" i="4"/>
  <c r="BC932" i="4"/>
  <c r="BC933" i="4"/>
  <c r="BC934" i="4"/>
  <c r="BC935" i="4"/>
  <c r="BC936" i="4"/>
  <c r="BC937" i="4"/>
  <c r="BC938" i="4"/>
  <c r="BC939" i="4"/>
  <c r="BC940" i="4"/>
  <c r="BC941" i="4"/>
  <c r="BC942" i="4"/>
  <c r="BC943" i="4"/>
  <c r="BC944" i="4"/>
  <c r="BC945" i="4"/>
  <c r="BC946" i="4"/>
  <c r="BC947" i="4"/>
  <c r="BC948" i="4"/>
  <c r="BC949" i="4"/>
  <c r="BC950" i="4"/>
  <c r="BC951" i="4"/>
  <c r="BC952" i="4"/>
  <c r="BC953" i="4"/>
  <c r="BC954" i="4"/>
  <c r="BC955" i="4"/>
  <c r="BC956" i="4"/>
  <c r="BC957" i="4"/>
  <c r="BC958" i="4"/>
  <c r="BC959" i="4"/>
  <c r="BC960" i="4"/>
  <c r="BC961" i="4"/>
  <c r="BC962" i="4"/>
  <c r="BC963" i="4"/>
  <c r="BC964" i="4"/>
  <c r="BC965" i="4"/>
  <c r="BC966" i="4"/>
  <c r="BC967" i="4"/>
  <c r="BC968" i="4"/>
  <c r="BC969" i="4"/>
  <c r="BC970" i="4"/>
  <c r="BC971" i="4"/>
  <c r="BC972" i="4"/>
  <c r="BC973" i="4"/>
  <c r="BC974" i="4"/>
  <c r="BC975" i="4"/>
  <c r="BC976" i="4"/>
  <c r="BC977" i="4"/>
  <c r="BC978" i="4"/>
  <c r="BC979" i="4"/>
  <c r="BC980" i="4"/>
  <c r="BC981" i="4"/>
  <c r="BC982" i="4"/>
  <c r="BC983" i="4"/>
  <c r="BC984" i="4"/>
  <c r="BC985" i="4"/>
  <c r="BC986" i="4"/>
  <c r="BC987" i="4"/>
  <c r="BC988" i="4"/>
  <c r="BC989" i="4"/>
  <c r="BC990" i="4"/>
  <c r="BC991" i="4"/>
  <c r="BC992" i="4"/>
  <c r="BC993" i="4"/>
  <c r="BC994" i="4"/>
  <c r="BC995" i="4"/>
  <c r="BC996" i="4"/>
  <c r="BC997" i="4"/>
  <c r="BC998" i="4"/>
  <c r="BC999" i="4"/>
  <c r="BC1000" i="4"/>
  <c r="BC1001" i="4"/>
  <c r="BC1002" i="4"/>
  <c r="BC1003" i="4"/>
  <c r="BC1004" i="4"/>
  <c r="BC1005" i="4"/>
  <c r="BC1006" i="4"/>
  <c r="BC1007" i="4"/>
  <c r="BC1008" i="4"/>
  <c r="BC1009" i="4"/>
  <c r="BC1010" i="4"/>
  <c r="BC1011" i="4"/>
  <c r="BC1012" i="4"/>
  <c r="BC1013" i="4"/>
  <c r="BC1014" i="4"/>
  <c r="BC1015" i="4"/>
  <c r="BC1016" i="4"/>
  <c r="BC1017" i="4"/>
  <c r="BC1018" i="4"/>
  <c r="BC1019" i="4"/>
  <c r="BC1020" i="4"/>
  <c r="BC1021" i="4"/>
  <c r="BC1022" i="4"/>
  <c r="BC1023" i="4"/>
  <c r="BC1024" i="4"/>
  <c r="BC1025" i="4"/>
  <c r="BC1026" i="4"/>
  <c r="BC1027" i="4"/>
  <c r="BC1028" i="4"/>
  <c r="BC1029" i="4"/>
  <c r="BC1030" i="4"/>
  <c r="BC1031" i="4"/>
  <c r="BC1032" i="4"/>
  <c r="BC1033" i="4"/>
  <c r="BC1034" i="4"/>
  <c r="BC1035" i="4"/>
  <c r="BC1036" i="4"/>
  <c r="BC1037" i="4"/>
  <c r="BC1038" i="4"/>
  <c r="BC1039" i="4"/>
  <c r="BC1040" i="4"/>
  <c r="BC1041" i="4"/>
  <c r="BC1042" i="4"/>
  <c r="BC1043" i="4"/>
  <c r="BC1044" i="4"/>
  <c r="BC1045" i="4"/>
  <c r="BC1046" i="4"/>
  <c r="BC1047" i="4"/>
  <c r="BC1048" i="4"/>
  <c r="BC1049" i="4"/>
  <c r="BC1050" i="4"/>
  <c r="BC1051" i="4"/>
  <c r="BC1052" i="4"/>
  <c r="BC1053" i="4"/>
  <c r="BC1054" i="4"/>
  <c r="BC1055" i="4"/>
  <c r="BC1056" i="4"/>
  <c r="BC1057" i="4"/>
  <c r="BC1058" i="4"/>
  <c r="BC1059" i="4"/>
  <c r="BC1060" i="4"/>
  <c r="BC1061" i="4"/>
  <c r="BC1062" i="4"/>
  <c r="BC1063" i="4"/>
  <c r="BC1064" i="4"/>
  <c r="BC1065" i="4"/>
  <c r="BC1066" i="4"/>
  <c r="BC1067" i="4"/>
  <c r="BC1068" i="4"/>
  <c r="BC1069" i="4"/>
  <c r="BC1070" i="4"/>
  <c r="BC1071" i="4"/>
  <c r="BC1072" i="4"/>
  <c r="BC1073" i="4"/>
  <c r="BC1074" i="4"/>
  <c r="BC1075" i="4"/>
  <c r="BC1076" i="4"/>
  <c r="BC1077" i="4"/>
  <c r="BC1078" i="4"/>
  <c r="BC1079" i="4"/>
  <c r="BC1080" i="4"/>
  <c r="BC1081" i="4"/>
  <c r="BC1082" i="4"/>
  <c r="BC1083" i="4"/>
  <c r="BC1084" i="4"/>
  <c r="BC1085" i="4"/>
  <c r="BC1086" i="4"/>
  <c r="BC1087" i="4"/>
  <c r="BC1088" i="4"/>
  <c r="BC1089" i="4"/>
  <c r="BC1090" i="4"/>
  <c r="BC1091" i="4"/>
  <c r="BC1092" i="4"/>
  <c r="BC1093" i="4"/>
  <c r="BC1094" i="4"/>
  <c r="BC1095" i="4"/>
  <c r="BC1096" i="4"/>
  <c r="BC1097" i="4"/>
  <c r="BC1098" i="4"/>
  <c r="BC1099" i="4"/>
  <c r="BC1100" i="4"/>
  <c r="BC1101" i="4"/>
  <c r="BC1102" i="4"/>
  <c r="BC1103" i="4"/>
  <c r="BC1104" i="4"/>
  <c r="BC1105" i="4"/>
  <c r="BC1106" i="4"/>
  <c r="BC1107" i="4"/>
  <c r="BC1108" i="4"/>
  <c r="BC1109" i="4"/>
  <c r="BC1110" i="4"/>
  <c r="BC1111" i="4"/>
  <c r="BC1112" i="4"/>
  <c r="BC1113" i="4"/>
  <c r="BC1114" i="4"/>
  <c r="BC1115" i="4"/>
  <c r="BC1116" i="4"/>
  <c r="BC1117" i="4"/>
  <c r="BC1118" i="4"/>
  <c r="BC1119" i="4"/>
  <c r="BC1120" i="4"/>
  <c r="BC1121" i="4"/>
  <c r="BC1122" i="4"/>
  <c r="BC1123" i="4"/>
  <c r="BC1124" i="4"/>
  <c r="BC1125" i="4"/>
  <c r="BC1126" i="4"/>
  <c r="BC1127" i="4"/>
  <c r="BC1128" i="4"/>
  <c r="BC1129" i="4"/>
  <c r="BC1130" i="4"/>
  <c r="BC1131" i="4"/>
  <c r="BC1132" i="4"/>
  <c r="BC1133" i="4"/>
  <c r="BC1134" i="4"/>
  <c r="BC1135" i="4"/>
  <c r="BC1136" i="4"/>
  <c r="BC1137" i="4"/>
  <c r="BC1138" i="4"/>
  <c r="BC1139" i="4"/>
  <c r="BC1140" i="4"/>
  <c r="BC1141" i="4"/>
  <c r="BC1142" i="4"/>
  <c r="BC1143" i="4"/>
  <c r="BC1144" i="4"/>
  <c r="BC1145" i="4"/>
  <c r="BC1146" i="4"/>
  <c r="BC1147" i="4"/>
  <c r="BC1148" i="4"/>
  <c r="BC1149" i="4"/>
  <c r="BC1150" i="4"/>
  <c r="BC1151" i="4"/>
  <c r="BC1152" i="4"/>
  <c r="BC1153" i="4"/>
  <c r="BC1154" i="4"/>
  <c r="BC1155" i="4"/>
  <c r="BC1156" i="4"/>
  <c r="BC1157" i="4"/>
  <c r="BC1158" i="4"/>
  <c r="BC1159" i="4"/>
  <c r="BC1160" i="4"/>
  <c r="BC1161" i="4"/>
  <c r="BC1162" i="4"/>
  <c r="BC1163" i="4"/>
  <c r="BC1164" i="4"/>
  <c r="BC1165" i="4"/>
  <c r="BC1166" i="4"/>
  <c r="BC1167" i="4"/>
  <c r="BC1168" i="4"/>
  <c r="BC1169" i="4"/>
  <c r="BC1170" i="4"/>
  <c r="BC1171" i="4"/>
  <c r="BC1172" i="4"/>
  <c r="BC1173" i="4"/>
  <c r="BC1174" i="4"/>
  <c r="BC1175" i="4"/>
  <c r="BC1176" i="4"/>
  <c r="BC1177" i="4"/>
  <c r="BC1178" i="4"/>
  <c r="BC1179" i="4"/>
  <c r="BC1180" i="4"/>
  <c r="BC1181" i="4"/>
  <c r="BC1182" i="4"/>
  <c r="BC1183" i="4"/>
  <c r="BC1184" i="4"/>
  <c r="BC1185" i="4"/>
  <c r="BC1186" i="4"/>
  <c r="BC1187" i="4"/>
  <c r="BC1188" i="4"/>
  <c r="BC1189" i="4"/>
  <c r="BC1190" i="4"/>
  <c r="BC1191" i="4"/>
  <c r="BC1192" i="4"/>
  <c r="BC1193" i="4"/>
  <c r="BC1194" i="4"/>
  <c r="BC1195" i="4"/>
  <c r="BC1196" i="4"/>
  <c r="BC1197" i="4"/>
  <c r="BC1198" i="4"/>
  <c r="BC1199" i="4"/>
  <c r="BC1200" i="4"/>
  <c r="BC1201" i="4"/>
  <c r="BC1202" i="4"/>
  <c r="BC1203" i="4"/>
  <c r="BC1204" i="4"/>
  <c r="BC1205" i="4"/>
  <c r="BC1206" i="4"/>
  <c r="BC1207" i="4"/>
  <c r="BC1208" i="4"/>
  <c r="BC1209" i="4"/>
  <c r="BC1210" i="4"/>
  <c r="BC1211" i="4"/>
  <c r="BC1212" i="4"/>
  <c r="BC1213" i="4"/>
  <c r="BC1214" i="4"/>
  <c r="BC1215" i="4"/>
  <c r="BC1216" i="4"/>
  <c r="BC1217" i="4"/>
  <c r="BC1218" i="4"/>
  <c r="BC1219" i="4"/>
  <c r="BC1220" i="4"/>
  <c r="BC1221" i="4"/>
  <c r="BC1222" i="4"/>
  <c r="BC1223" i="4"/>
  <c r="BC1224" i="4"/>
  <c r="BC1225" i="4"/>
  <c r="BC1226" i="4"/>
  <c r="BC1227" i="4"/>
  <c r="BC1228" i="4"/>
  <c r="BC1229" i="4"/>
  <c r="BC1230" i="4"/>
  <c r="BC1231" i="4"/>
  <c r="BC1232" i="4"/>
  <c r="BC1233" i="4"/>
  <c r="BC1234" i="4"/>
  <c r="BC1235" i="4"/>
  <c r="BC1236" i="4"/>
  <c r="BC1237" i="4"/>
  <c r="BC1238" i="4"/>
  <c r="BC1239" i="4"/>
  <c r="BC1240" i="4"/>
  <c r="BC1241" i="4"/>
  <c r="BC1242" i="4"/>
  <c r="BC1243" i="4"/>
  <c r="BC1244" i="4"/>
  <c r="BC1245" i="4"/>
  <c r="BC1246" i="4"/>
  <c r="BC1247" i="4"/>
  <c r="BC1248" i="4"/>
  <c r="BC1249" i="4"/>
  <c r="BC1250" i="4"/>
  <c r="BC1251" i="4"/>
  <c r="BC1252" i="4"/>
  <c r="BC1253" i="4"/>
  <c r="BC1254" i="4"/>
  <c r="BC1255" i="4"/>
  <c r="BC1256" i="4"/>
  <c r="BC1257" i="4"/>
  <c r="BC1258" i="4"/>
  <c r="BC1259" i="4"/>
  <c r="BC1260" i="4"/>
  <c r="BC1261" i="4"/>
  <c r="BC1262" i="4"/>
  <c r="BC1263" i="4"/>
  <c r="BC1264" i="4"/>
  <c r="BC1265" i="4"/>
  <c r="BC1266" i="4"/>
  <c r="BC1267" i="4"/>
  <c r="BC1268" i="4"/>
  <c r="BC1269" i="4"/>
  <c r="BC1270" i="4"/>
  <c r="BC1271" i="4"/>
  <c r="BC1272" i="4"/>
  <c r="BC1273" i="4"/>
  <c r="BC1274" i="4"/>
  <c r="BC1275" i="4"/>
  <c r="BC1276" i="4"/>
  <c r="BC1277" i="4"/>
  <c r="BC1278" i="4"/>
  <c r="BC1279" i="4"/>
  <c r="BC1280" i="4"/>
  <c r="BC1281" i="4"/>
  <c r="BC1282" i="4"/>
  <c r="BC1283" i="4"/>
  <c r="BC1284" i="4"/>
  <c r="BC1285" i="4"/>
  <c r="BC1286" i="4"/>
  <c r="BC1287" i="4"/>
  <c r="BC1288" i="4"/>
  <c r="BC1289" i="4"/>
  <c r="BC1290" i="4"/>
  <c r="BC1291" i="4"/>
  <c r="BC1292" i="4"/>
  <c r="BC1293" i="4"/>
  <c r="BC1294" i="4"/>
  <c r="BC1295" i="4"/>
  <c r="BC1296" i="4"/>
  <c r="BC1297" i="4"/>
  <c r="BC1298" i="4"/>
  <c r="BC1299" i="4"/>
  <c r="BC1300" i="4"/>
  <c r="BC1301" i="4"/>
  <c r="BC1302" i="4"/>
  <c r="BC1303" i="4"/>
  <c r="BC1304" i="4"/>
  <c r="BC1305" i="4"/>
  <c r="BC1306" i="4"/>
  <c r="BC1307" i="4"/>
  <c r="BC1308" i="4"/>
  <c r="BC1309" i="4"/>
  <c r="BC1310" i="4"/>
  <c r="BC1311" i="4"/>
  <c r="BC1312" i="4"/>
  <c r="BC1313" i="4"/>
  <c r="BC1314" i="4"/>
  <c r="BC1315" i="4"/>
  <c r="BC1316" i="4"/>
  <c r="BC1317" i="4"/>
  <c r="BC1318" i="4"/>
  <c r="BC1319" i="4"/>
  <c r="BC1320" i="4"/>
  <c r="BC1321" i="4"/>
  <c r="BC1322" i="4"/>
  <c r="BC1323" i="4"/>
  <c r="BC1324" i="4"/>
  <c r="BC1325" i="4"/>
  <c r="BC1326" i="4"/>
  <c r="BC1327" i="4"/>
  <c r="BC1328" i="4"/>
  <c r="BC1329" i="4"/>
  <c r="BC1330" i="4"/>
  <c r="BC1331" i="4"/>
  <c r="BC1332" i="4"/>
  <c r="BC1333" i="4"/>
  <c r="BC1334" i="4"/>
  <c r="BC1335" i="4"/>
  <c r="BC1336" i="4"/>
  <c r="BC1337" i="4"/>
  <c r="BC1338" i="4"/>
  <c r="BC1339" i="4"/>
  <c r="BC1340" i="4"/>
  <c r="BC1341" i="4"/>
  <c r="BC1342" i="4"/>
  <c r="BC1343" i="4"/>
  <c r="BC1344" i="4"/>
  <c r="BC1345" i="4"/>
  <c r="BC1346" i="4"/>
  <c r="BC1347" i="4"/>
  <c r="BC1348" i="4"/>
  <c r="BC1349" i="4"/>
  <c r="BC1350" i="4"/>
  <c r="BC1351" i="4"/>
  <c r="BC1352" i="4"/>
  <c r="BC1353" i="4"/>
  <c r="BC1354" i="4"/>
  <c r="BC1355" i="4"/>
  <c r="BC1356" i="4"/>
  <c r="BC1357" i="4"/>
  <c r="BC1358" i="4"/>
  <c r="BC1359" i="4"/>
  <c r="BC1360" i="4"/>
  <c r="BC1361" i="4"/>
  <c r="BC1362" i="4"/>
  <c r="BC1363" i="4"/>
  <c r="BC1364" i="4"/>
  <c r="BC1365" i="4"/>
  <c r="BC1366" i="4"/>
  <c r="BC1367" i="4"/>
  <c r="BC1368" i="4"/>
  <c r="BC1369" i="4"/>
  <c r="BC1370" i="4"/>
  <c r="BC1371" i="4"/>
  <c r="BC1372" i="4"/>
  <c r="BC1373" i="4"/>
  <c r="BC1374" i="4"/>
  <c r="BC1375" i="4"/>
  <c r="BC1376" i="4"/>
  <c r="BC1377" i="4"/>
  <c r="BC1378" i="4"/>
  <c r="BC1379" i="4"/>
  <c r="BC1380" i="4"/>
  <c r="BC1381" i="4"/>
  <c r="BC1382" i="4"/>
  <c r="BC1383" i="4"/>
  <c r="BC1384" i="4"/>
  <c r="BC1385" i="4"/>
  <c r="BC1386" i="4"/>
  <c r="BC1387" i="4"/>
  <c r="BC1388" i="4"/>
  <c r="BC1389" i="4"/>
  <c r="BC1390" i="4"/>
  <c r="BC1391" i="4"/>
  <c r="BC1392" i="4"/>
  <c r="BC1393" i="4"/>
  <c r="BC1394" i="4"/>
  <c r="BC1395" i="4"/>
  <c r="BC1396" i="4"/>
  <c r="BC1397" i="4"/>
  <c r="BC1398" i="4"/>
  <c r="BC1399" i="4"/>
  <c r="BC1400" i="4"/>
  <c r="BC1401" i="4"/>
  <c r="BC1402" i="4"/>
  <c r="BC1403" i="4"/>
  <c r="BC1404" i="4"/>
  <c r="BC1405" i="4"/>
  <c r="BC1406" i="4"/>
  <c r="BC1407" i="4"/>
  <c r="BC1408" i="4"/>
  <c r="BC1409" i="4"/>
  <c r="BC1410" i="4"/>
  <c r="BC1411" i="4"/>
  <c r="BC1412" i="4"/>
  <c r="BC1413" i="4"/>
  <c r="BC1414" i="4"/>
  <c r="BC1415" i="4"/>
  <c r="BC1416" i="4"/>
  <c r="BC1417" i="4"/>
  <c r="BC1418" i="4"/>
  <c r="BC1419" i="4"/>
  <c r="BC1420" i="4"/>
  <c r="BC1421" i="4"/>
  <c r="BC1422" i="4"/>
  <c r="BC1423" i="4"/>
  <c r="BC1424" i="4"/>
  <c r="BC1425" i="4"/>
  <c r="BC1426" i="4"/>
  <c r="BC1427" i="4"/>
  <c r="BC1428" i="4"/>
  <c r="BC1429" i="4"/>
  <c r="BC1430" i="4"/>
  <c r="BC1431" i="4"/>
  <c r="BC1432" i="4"/>
  <c r="BC1433" i="4"/>
  <c r="BC1434" i="4"/>
  <c r="BC1435" i="4"/>
  <c r="BC1436" i="4"/>
  <c r="BC1437" i="4"/>
  <c r="BC1438" i="4"/>
  <c r="BC1439" i="4"/>
  <c r="BC1440" i="4"/>
  <c r="BC1441" i="4"/>
  <c r="BC1442" i="4"/>
  <c r="BC1443" i="4"/>
  <c r="BC1444" i="4"/>
  <c r="BC1445" i="4"/>
  <c r="BC1446" i="4"/>
  <c r="BC1447" i="4"/>
  <c r="BC1448" i="4"/>
  <c r="BC1449" i="4"/>
  <c r="BC1450" i="4"/>
  <c r="BC1451" i="4"/>
  <c r="BC1452" i="4"/>
  <c r="BC1453" i="4"/>
  <c r="BC1454" i="4"/>
  <c r="BC1455" i="4"/>
  <c r="BC1456" i="4"/>
  <c r="BC1457" i="4"/>
  <c r="BC1458" i="4"/>
  <c r="BC1459" i="4"/>
  <c r="BC1460" i="4"/>
  <c r="BC1461" i="4"/>
  <c r="BC1462" i="4"/>
  <c r="BC1463" i="4"/>
  <c r="BC1464" i="4"/>
  <c r="BC1465" i="4"/>
  <c r="BC1466" i="4"/>
  <c r="BC1467" i="4"/>
  <c r="BC1468" i="4"/>
  <c r="BC1469" i="4"/>
  <c r="BC1470" i="4"/>
  <c r="BC1471" i="4"/>
  <c r="BC1472" i="4"/>
  <c r="BC1473" i="4"/>
  <c r="BC1474" i="4"/>
  <c r="BC1475" i="4"/>
  <c r="BC1476" i="4"/>
  <c r="BC1477" i="4"/>
  <c r="BC1478" i="4"/>
  <c r="BC1479" i="4"/>
  <c r="BC1480" i="4"/>
  <c r="BC1481" i="4"/>
  <c r="BC1482" i="4"/>
  <c r="BC1483" i="4"/>
  <c r="BC1484" i="4"/>
  <c r="BC1485" i="4"/>
  <c r="BC1486" i="4"/>
  <c r="BC1487" i="4"/>
  <c r="BC1488" i="4"/>
  <c r="BC1489" i="4"/>
  <c r="BC1490" i="4"/>
  <c r="BC1491" i="4"/>
  <c r="BC1492" i="4"/>
  <c r="BC1493" i="4"/>
  <c r="BC1494" i="4"/>
  <c r="BC1495" i="4"/>
  <c r="BC1496" i="4"/>
  <c r="BC1497" i="4"/>
  <c r="BC1498" i="4"/>
  <c r="BC1499" i="4"/>
  <c r="BC1500" i="4"/>
  <c r="BC1501" i="4"/>
  <c r="BC1502" i="4"/>
  <c r="BC1503" i="4"/>
  <c r="BC1504" i="4"/>
  <c r="BC1505" i="4"/>
  <c r="BC1506" i="4"/>
  <c r="BC1507" i="4"/>
  <c r="BC1508" i="4"/>
  <c r="BC1509" i="4"/>
  <c r="BC1510" i="4"/>
  <c r="BC1511" i="4"/>
  <c r="BC1512" i="4"/>
  <c r="BC1513" i="4"/>
  <c r="BC1514" i="4"/>
  <c r="BC1515" i="4"/>
  <c r="BC1516" i="4"/>
  <c r="BC1517" i="4"/>
  <c r="BC1518" i="4"/>
  <c r="BC1519" i="4"/>
  <c r="BC1520" i="4"/>
  <c r="BC1521" i="4"/>
  <c r="BC1522" i="4"/>
  <c r="BC1523" i="4"/>
  <c r="BC1524" i="4"/>
  <c r="BC1525" i="4"/>
  <c r="BC1526" i="4"/>
  <c r="BC1527" i="4"/>
  <c r="BC1528" i="4"/>
  <c r="BC1529" i="4"/>
  <c r="BC1530" i="4"/>
  <c r="BC1531" i="4"/>
  <c r="BC1532" i="4"/>
  <c r="BC1533" i="4"/>
  <c r="BC1534" i="4"/>
  <c r="BC1535" i="4"/>
  <c r="BC1536" i="4"/>
  <c r="BC1537" i="4"/>
  <c r="BC1538" i="4"/>
  <c r="BC1539" i="4"/>
  <c r="BC1540" i="4"/>
  <c r="BC1541" i="4"/>
  <c r="BC1542" i="4"/>
  <c r="BC1543" i="4"/>
  <c r="BC1544" i="4"/>
  <c r="BC1545" i="4"/>
  <c r="BC1546" i="4"/>
  <c r="BC1547" i="4"/>
  <c r="BC1548" i="4"/>
  <c r="BC1549" i="4"/>
  <c r="BC1550" i="4"/>
  <c r="BC1551" i="4"/>
  <c r="BC1552" i="4"/>
  <c r="BC1553" i="4"/>
  <c r="BC1554" i="4"/>
  <c r="BC1555" i="4"/>
  <c r="BC1556" i="4"/>
  <c r="BC1557" i="4"/>
  <c r="BC1558" i="4"/>
  <c r="BC1559" i="4"/>
  <c r="BC1560" i="4"/>
  <c r="BC1561" i="4"/>
  <c r="BC1562" i="4"/>
  <c r="BC1563" i="4"/>
  <c r="BC1564" i="4"/>
  <c r="BC1565" i="4"/>
  <c r="BC1566" i="4"/>
  <c r="BC1567" i="4"/>
  <c r="BC1568" i="4"/>
  <c r="BC1569" i="4"/>
  <c r="BC1570" i="4"/>
  <c r="BC1571" i="4"/>
  <c r="BC1572" i="4"/>
  <c r="BC1573" i="4"/>
  <c r="BC1574" i="4"/>
  <c r="BC1575" i="4"/>
  <c r="BC1576" i="4"/>
  <c r="BC1577" i="4"/>
  <c r="BC1578" i="4"/>
  <c r="BC1579" i="4"/>
  <c r="BC1580" i="4"/>
  <c r="BC1581" i="4"/>
  <c r="BC1582" i="4"/>
  <c r="BC1583" i="4"/>
  <c r="BC1584" i="4"/>
  <c r="BC1585" i="4"/>
  <c r="BC1586" i="4"/>
  <c r="BC1587" i="4"/>
  <c r="BC1588" i="4"/>
  <c r="BC1589" i="4"/>
  <c r="BC1590" i="4"/>
  <c r="BC1591" i="4"/>
  <c r="BC1592" i="4"/>
  <c r="BC1593" i="4"/>
  <c r="BC1594" i="4"/>
  <c r="BC1595" i="4"/>
  <c r="BC1596" i="4"/>
  <c r="BC1597" i="4"/>
  <c r="BC1598" i="4"/>
  <c r="BC1599" i="4"/>
  <c r="BC1600" i="4"/>
  <c r="BC1601" i="4"/>
  <c r="BC1602" i="4"/>
  <c r="BC1603" i="4"/>
  <c r="BC1604" i="4"/>
  <c r="BC1605" i="4"/>
  <c r="BC1606" i="4"/>
  <c r="BC1607" i="4"/>
  <c r="BC1608" i="4"/>
  <c r="BC1609" i="4"/>
  <c r="BC1610" i="4"/>
  <c r="BC1611" i="4"/>
  <c r="BC1612" i="4"/>
  <c r="BC1613" i="4"/>
  <c r="BC1614" i="4"/>
  <c r="BC1615" i="4"/>
  <c r="BC1616" i="4"/>
  <c r="BC1617" i="4"/>
  <c r="BC1618" i="4"/>
  <c r="BC1619" i="4"/>
  <c r="BC1620" i="4"/>
  <c r="BC1621" i="4"/>
  <c r="BC1622" i="4"/>
  <c r="BC1623" i="4"/>
  <c r="BC1624" i="4"/>
  <c r="BC1625" i="4"/>
  <c r="BC1626" i="4"/>
  <c r="BC1627" i="4"/>
  <c r="BC1628" i="4"/>
  <c r="BC1629" i="4"/>
  <c r="BC1630" i="4"/>
  <c r="BC1631" i="4"/>
  <c r="BC1632" i="4"/>
  <c r="BC1633" i="4"/>
  <c r="BC1634" i="4"/>
  <c r="BC1635" i="4"/>
  <c r="BC1636" i="4"/>
  <c r="BC1637" i="4"/>
  <c r="BC1638" i="4"/>
  <c r="BC1639" i="4"/>
  <c r="BC1640" i="4"/>
  <c r="BC1641" i="4"/>
  <c r="BC1642" i="4"/>
  <c r="BC1643" i="4"/>
  <c r="BC1644" i="4"/>
  <c r="BC1645" i="4"/>
  <c r="BC1646" i="4"/>
  <c r="BC1647" i="4"/>
  <c r="BC1648" i="4"/>
  <c r="BC1649" i="4"/>
  <c r="BC1650" i="4"/>
  <c r="BC1651" i="4"/>
  <c r="BC1652" i="4"/>
  <c r="BC1653" i="4"/>
  <c r="BC1654" i="4"/>
  <c r="BC1655" i="4"/>
  <c r="BC1656" i="4"/>
  <c r="BC1657" i="4"/>
  <c r="BC1658" i="4"/>
  <c r="BC1659" i="4"/>
  <c r="BC1660" i="4"/>
  <c r="BC1661" i="4"/>
  <c r="BC1662" i="4"/>
  <c r="BC1663" i="4"/>
  <c r="BC1664" i="4"/>
  <c r="BC1665" i="4"/>
  <c r="BC1666" i="4"/>
  <c r="BC1667" i="4"/>
  <c r="BC1668" i="4"/>
  <c r="BC1669" i="4"/>
  <c r="BC1670" i="4"/>
  <c r="BC1671" i="4"/>
  <c r="BC1672" i="4"/>
  <c r="BC1673" i="4"/>
  <c r="BC1674" i="4"/>
  <c r="BC1675" i="4"/>
  <c r="BC1676" i="4"/>
  <c r="BC1677" i="4"/>
  <c r="BC1678" i="4"/>
  <c r="BC1679" i="4"/>
  <c r="BC1680" i="4"/>
  <c r="BC1681" i="4"/>
  <c r="BC1682" i="4"/>
  <c r="BC1683" i="4"/>
  <c r="BC1684" i="4"/>
  <c r="BC1685" i="4"/>
  <c r="BC1686" i="4"/>
  <c r="BC1687" i="4"/>
  <c r="BC1688" i="4"/>
  <c r="BC1689" i="4"/>
  <c r="BC1690" i="4"/>
  <c r="BC1691" i="4"/>
  <c r="BC1692" i="4"/>
  <c r="BC1693" i="4"/>
  <c r="BC1694" i="4"/>
  <c r="BC1695" i="4"/>
  <c r="BC1696" i="4"/>
  <c r="BC1697" i="4"/>
  <c r="BC1698" i="4"/>
  <c r="BC1699" i="4"/>
  <c r="BC1700" i="4"/>
  <c r="BC1701" i="4"/>
  <c r="BC1702" i="4"/>
  <c r="BC1703" i="4"/>
  <c r="BC1704" i="4"/>
  <c r="BC1705" i="4"/>
  <c r="BC1706" i="4"/>
  <c r="BC1707" i="4"/>
  <c r="BC1708" i="4"/>
  <c r="BC1709" i="4"/>
  <c r="BC1710" i="4"/>
  <c r="BC1711" i="4"/>
  <c r="BC1712" i="4"/>
  <c r="BC1713" i="4"/>
  <c r="BC1714" i="4"/>
  <c r="BC1715" i="4"/>
  <c r="BC1716" i="4"/>
  <c r="BC1717" i="4"/>
  <c r="BC1718" i="4"/>
  <c r="BC1719" i="4"/>
  <c r="BC1720" i="4"/>
  <c r="BC1721" i="4"/>
  <c r="BC1722" i="4"/>
  <c r="BC1723" i="4"/>
  <c r="BC1724" i="4"/>
  <c r="BC1725" i="4"/>
  <c r="BC1726" i="4"/>
  <c r="BC1727" i="4"/>
  <c r="BC1728" i="4"/>
  <c r="BC1729" i="4"/>
  <c r="BC1730" i="4"/>
  <c r="BC1731" i="4"/>
  <c r="BC1732" i="4"/>
  <c r="BC1733" i="4"/>
  <c r="BC1734" i="4"/>
  <c r="BC1735" i="4"/>
  <c r="BC1736" i="4"/>
  <c r="BC1737" i="4"/>
  <c r="BC1738" i="4"/>
  <c r="BC1739" i="4"/>
  <c r="BC1740" i="4"/>
  <c r="BC1741" i="4"/>
  <c r="BC1742" i="4"/>
  <c r="BC1743" i="4"/>
  <c r="BC1744" i="4"/>
  <c r="BC1745" i="4"/>
  <c r="BC1746" i="4"/>
  <c r="BC1747" i="4"/>
  <c r="BC1748" i="4"/>
  <c r="BC1749" i="4"/>
  <c r="BC1750" i="4"/>
  <c r="BC1751" i="4"/>
  <c r="BC1752" i="4"/>
  <c r="BC1753" i="4"/>
  <c r="BC1754" i="4"/>
  <c r="BC1755" i="4"/>
  <c r="BC1756" i="4"/>
  <c r="BC1757" i="4"/>
  <c r="BC1758" i="4"/>
  <c r="BC1759" i="4"/>
  <c r="BC1760" i="4"/>
  <c r="BC1761" i="4"/>
  <c r="BC1762" i="4"/>
  <c r="BC1763" i="4"/>
  <c r="BC1764" i="4"/>
  <c r="BC1765" i="4"/>
  <c r="BC1766" i="4"/>
  <c r="BC1767" i="4"/>
  <c r="BC1768" i="4"/>
  <c r="BC1769" i="4"/>
  <c r="BC1770" i="4"/>
  <c r="BC1771" i="4"/>
  <c r="BC1772" i="4"/>
  <c r="BC1773" i="4"/>
  <c r="BC1774" i="4"/>
  <c r="BC1775" i="4"/>
  <c r="BC1776" i="4"/>
  <c r="BC1777" i="4"/>
  <c r="BC1778" i="4"/>
  <c r="BC1779" i="4"/>
  <c r="BC1780" i="4"/>
  <c r="BC1781" i="4"/>
  <c r="BC1782" i="4"/>
  <c r="BC1783" i="4"/>
  <c r="BC1784" i="4"/>
  <c r="BC1785" i="4"/>
  <c r="BC1786" i="4"/>
  <c r="BC1787" i="4"/>
  <c r="BC1788" i="4"/>
  <c r="BC1789" i="4"/>
  <c r="BC1790" i="4"/>
  <c r="BC1791" i="4"/>
  <c r="BC1792" i="4"/>
  <c r="BC1793" i="4"/>
  <c r="BC1794" i="4"/>
  <c r="BC1795" i="4"/>
  <c r="BC1796" i="4"/>
  <c r="BC1797" i="4"/>
  <c r="BC1798" i="4"/>
  <c r="BC1799" i="4"/>
  <c r="BC1800" i="4"/>
  <c r="BC1801" i="4"/>
  <c r="BC1802" i="4"/>
  <c r="BC1803" i="4"/>
  <c r="BC1804" i="4"/>
  <c r="BC1805" i="4"/>
  <c r="BC1806" i="4"/>
  <c r="BC1807" i="4"/>
  <c r="BC1808" i="4"/>
  <c r="BC1809" i="4"/>
  <c r="BC1810" i="4"/>
  <c r="BC1811" i="4"/>
  <c r="BC1812" i="4"/>
  <c r="BC1813" i="4"/>
  <c r="BC1814" i="4"/>
  <c r="BC1815" i="4"/>
  <c r="BC1816" i="4"/>
  <c r="BC1817" i="4"/>
  <c r="BC1818" i="4"/>
  <c r="BC1819" i="4"/>
  <c r="BC1820" i="4"/>
  <c r="BC1821" i="4"/>
  <c r="BC1822" i="4"/>
  <c r="BC1823" i="4"/>
  <c r="BC1824" i="4"/>
  <c r="BC1825" i="4"/>
  <c r="BC1826" i="4"/>
  <c r="BC1827" i="4"/>
  <c r="BC1828" i="4"/>
  <c r="BC1829" i="4"/>
  <c r="BC1830" i="4"/>
  <c r="BC1831" i="4"/>
  <c r="BC1832" i="4"/>
  <c r="BC1833" i="4"/>
  <c r="BC1834" i="4"/>
  <c r="BC1835" i="4"/>
  <c r="BC1836" i="4"/>
  <c r="BC1837" i="4"/>
  <c r="BC1838" i="4"/>
  <c r="BC1839" i="4"/>
  <c r="BC1840" i="4"/>
  <c r="BC1841" i="4"/>
  <c r="BC1842" i="4"/>
  <c r="BC1843" i="4"/>
  <c r="BC1844" i="4"/>
  <c r="BC1845" i="4"/>
  <c r="BC1846" i="4"/>
  <c r="BC1847" i="4"/>
  <c r="BC1848" i="4"/>
  <c r="BC1849" i="4"/>
  <c r="BC1850" i="4"/>
  <c r="BC1851" i="4"/>
  <c r="BC1852" i="4"/>
  <c r="BC1853" i="4"/>
  <c r="BC1854" i="4"/>
  <c r="BC1855" i="4"/>
  <c r="BC1856" i="4"/>
  <c r="BC1857" i="4"/>
  <c r="BC1858" i="4"/>
  <c r="BC1859" i="4"/>
  <c r="BC1860" i="4"/>
  <c r="BC1861" i="4"/>
  <c r="BC1862" i="4"/>
  <c r="BC1863" i="4"/>
  <c r="BC1864" i="4"/>
  <c r="BC1865" i="4"/>
  <c r="BC1866" i="4"/>
  <c r="BC1867" i="4"/>
  <c r="BC1868" i="4"/>
  <c r="BC1869" i="4"/>
  <c r="BC1870" i="4"/>
  <c r="BC1871" i="4"/>
  <c r="BC1872" i="4"/>
  <c r="BC1873" i="4"/>
  <c r="BC1874" i="4"/>
  <c r="BC1875" i="4"/>
  <c r="BC1876" i="4"/>
  <c r="BC1877" i="4"/>
  <c r="BC1878" i="4"/>
  <c r="BC1879" i="4"/>
  <c r="BC1880" i="4"/>
  <c r="BC1881" i="4"/>
  <c r="BC1882" i="4"/>
  <c r="BC1883" i="4"/>
  <c r="BC1884" i="4"/>
  <c r="BC1885" i="4"/>
  <c r="BC1886" i="4"/>
  <c r="BC1887" i="4"/>
  <c r="BC1888" i="4"/>
  <c r="BC1889" i="4"/>
  <c r="BC1890" i="4"/>
  <c r="BC1891" i="4"/>
  <c r="BC1892" i="4"/>
  <c r="BC1893" i="4"/>
  <c r="BC1894" i="4"/>
  <c r="BC1895" i="4"/>
  <c r="BC1896" i="4"/>
  <c r="BC1897" i="4"/>
  <c r="BC1898" i="4"/>
  <c r="BC1899" i="4"/>
  <c r="BC1900" i="4"/>
  <c r="BC1901" i="4"/>
  <c r="BC1902" i="4"/>
  <c r="BC1903" i="4"/>
  <c r="BC1904" i="4"/>
  <c r="BC1905" i="4"/>
  <c r="BC1906" i="4"/>
  <c r="BC1907" i="4"/>
  <c r="BC1908" i="4"/>
  <c r="BC1909" i="4"/>
  <c r="BC1910" i="4"/>
  <c r="BC1911" i="4"/>
  <c r="BC1912" i="4"/>
  <c r="BC1913" i="4"/>
  <c r="BC1914" i="4"/>
  <c r="BC1915" i="4"/>
  <c r="BC1916" i="4"/>
  <c r="BC1917" i="4"/>
  <c r="BC1918" i="4"/>
  <c r="BC1919" i="4"/>
  <c r="BC1920" i="4"/>
  <c r="BC1921" i="4"/>
  <c r="BC1922" i="4"/>
  <c r="BC1923" i="4"/>
  <c r="BC1924" i="4"/>
  <c r="BC1925" i="4"/>
  <c r="BC1926" i="4"/>
  <c r="BC1927" i="4"/>
  <c r="BC1928" i="4"/>
  <c r="BC1929" i="4"/>
  <c r="BC1930" i="4"/>
  <c r="BC1931" i="4"/>
  <c r="BC1932" i="4"/>
  <c r="BC1933" i="4"/>
  <c r="BC1934" i="4"/>
  <c r="BC1935" i="4"/>
  <c r="BC1936" i="4"/>
  <c r="BC1937" i="4"/>
  <c r="BC1938" i="4"/>
  <c r="BC1939" i="4"/>
  <c r="BC1940" i="4"/>
  <c r="BC1941" i="4"/>
  <c r="BC1942" i="4"/>
  <c r="BC1943" i="4"/>
  <c r="BC1944" i="4"/>
  <c r="BC1945" i="4"/>
  <c r="BC1946" i="4"/>
  <c r="BC1947" i="4"/>
  <c r="BC1948" i="4"/>
  <c r="BC1949" i="4"/>
  <c r="BC1950" i="4"/>
  <c r="BC1951" i="4"/>
  <c r="BC1952" i="4"/>
  <c r="BC1953" i="4"/>
  <c r="BC1954" i="4"/>
  <c r="BC1955" i="4"/>
  <c r="BC1956" i="4"/>
  <c r="BC1957" i="4"/>
  <c r="BC1958" i="4"/>
  <c r="BC1959" i="4"/>
  <c r="BC1960" i="4"/>
  <c r="BC1961" i="4"/>
  <c r="BC1962" i="4"/>
  <c r="BC1963" i="4"/>
  <c r="BC1964" i="4"/>
  <c r="BC1965" i="4"/>
  <c r="BC1966" i="4"/>
  <c r="BC1967" i="4"/>
  <c r="BC1968" i="4"/>
  <c r="BC1969" i="4"/>
  <c r="BC1970" i="4"/>
  <c r="BC1971" i="4"/>
  <c r="BC1972" i="4"/>
  <c r="BC1973" i="4"/>
  <c r="BC1974" i="4"/>
  <c r="BC1975" i="4"/>
  <c r="BC1976" i="4"/>
  <c r="BC1977" i="4"/>
  <c r="BC1978" i="4"/>
  <c r="BC1979" i="4"/>
  <c r="BC1980" i="4"/>
  <c r="BC1981" i="4"/>
  <c r="BC1982" i="4"/>
  <c r="BC1983" i="4"/>
  <c r="BC1984" i="4"/>
  <c r="BC1985" i="4"/>
  <c r="BC1986" i="4"/>
  <c r="BC1987" i="4"/>
  <c r="BC1988" i="4"/>
  <c r="BC1989" i="4"/>
  <c r="BC1990" i="4"/>
  <c r="BC1991" i="4"/>
  <c r="BC1992" i="4"/>
  <c r="BC1993" i="4"/>
  <c r="BC1994" i="4"/>
  <c r="BC1995" i="4"/>
  <c r="BC1996" i="4"/>
  <c r="BC1997" i="4"/>
  <c r="BC1998" i="4"/>
  <c r="BC1999" i="4"/>
  <c r="BC2000" i="4"/>
  <c r="BC2001" i="4"/>
  <c r="BC2002" i="4"/>
  <c r="BC2003" i="4"/>
  <c r="BC2004" i="4"/>
  <c r="BC2005" i="4"/>
  <c r="BC2006" i="4"/>
  <c r="BC2007" i="4"/>
  <c r="BC2008" i="4"/>
  <c r="BC2009" i="4"/>
  <c r="BC2010" i="4"/>
  <c r="BC2011" i="4"/>
  <c r="BC2012" i="4"/>
  <c r="BC2013" i="4"/>
  <c r="BC2014" i="4"/>
  <c r="BC2015" i="4"/>
  <c r="BC2016" i="4"/>
  <c r="BC2017" i="4"/>
  <c r="BC2018" i="4"/>
  <c r="BC2019" i="4"/>
  <c r="BC2020" i="4"/>
  <c r="BC2021" i="4"/>
  <c r="BC2022" i="4"/>
  <c r="BC2023" i="4"/>
  <c r="BC2024" i="4"/>
  <c r="BC2025" i="4"/>
  <c r="BC2026" i="4"/>
  <c r="BC2027" i="4"/>
  <c r="BC2028" i="4"/>
  <c r="BC2029" i="4"/>
  <c r="BC2030" i="4"/>
  <c r="BC2031" i="4"/>
  <c r="BC2032" i="4"/>
  <c r="BC2033" i="4"/>
  <c r="BC2034" i="4"/>
  <c r="BC2035" i="4"/>
  <c r="BC2036" i="4"/>
  <c r="BC2037" i="4"/>
  <c r="BC2038" i="4"/>
  <c r="BC2039" i="4"/>
  <c r="BC2040" i="4"/>
  <c r="BC2041" i="4"/>
  <c r="BC2042" i="4"/>
  <c r="BC2043" i="4"/>
  <c r="BC2044" i="4"/>
  <c r="BC2045" i="4"/>
  <c r="BC2046" i="4"/>
  <c r="BC2047" i="4"/>
  <c r="BC2048" i="4"/>
  <c r="BC2049" i="4"/>
  <c r="BC2050" i="4"/>
  <c r="BC2051" i="4"/>
  <c r="BC2052" i="4"/>
  <c r="BC2053" i="4"/>
  <c r="BC2054" i="4"/>
  <c r="BC2055" i="4"/>
  <c r="BC2056" i="4"/>
  <c r="BC2057" i="4"/>
  <c r="BC2058" i="4"/>
  <c r="BC2059" i="4"/>
  <c r="BC2060" i="4"/>
  <c r="BC2061" i="4"/>
  <c r="BC2062" i="4"/>
  <c r="BC2063" i="4"/>
  <c r="BC2064" i="4"/>
  <c r="BC2065" i="4"/>
  <c r="BC2066" i="4"/>
  <c r="BC2067" i="4"/>
  <c r="BC2068" i="4"/>
  <c r="BC2069" i="4"/>
  <c r="BC2070" i="4"/>
  <c r="BC2071" i="4"/>
  <c r="BC2072" i="4"/>
  <c r="BC2073" i="4"/>
  <c r="BC2074" i="4"/>
  <c r="BC2075" i="4"/>
  <c r="BC2076" i="4"/>
  <c r="BC2077" i="4"/>
  <c r="BC2078" i="4"/>
  <c r="BC2079" i="4"/>
  <c r="BC2080" i="4"/>
  <c r="BC2081" i="4"/>
  <c r="BC2082" i="4"/>
  <c r="BC2083" i="4"/>
  <c r="BC2084" i="4"/>
  <c r="BC2085" i="4"/>
  <c r="BC2086" i="4"/>
  <c r="BC2087" i="4"/>
  <c r="BC2088" i="4"/>
  <c r="BC2089" i="4"/>
  <c r="BC2090" i="4"/>
  <c r="BC2091" i="4"/>
  <c r="BC2092" i="4"/>
  <c r="BC2093" i="4"/>
  <c r="BC2094" i="4"/>
  <c r="BC2095" i="4"/>
  <c r="BC2096" i="4"/>
  <c r="BC2097" i="4"/>
  <c r="BC2098" i="4"/>
  <c r="BC2099" i="4"/>
  <c r="BC2100" i="4"/>
  <c r="BC2101" i="4"/>
  <c r="BC2102" i="4"/>
  <c r="BC2103" i="4"/>
  <c r="BC2104" i="4"/>
  <c r="BC2105" i="4"/>
  <c r="BC2106" i="4"/>
  <c r="BC2107" i="4"/>
  <c r="BC2108" i="4"/>
  <c r="BC2109" i="4"/>
  <c r="BC2110" i="4"/>
  <c r="BC2111" i="4"/>
  <c r="BC2112" i="4"/>
  <c r="BC2113" i="4"/>
  <c r="BC2114" i="4"/>
  <c r="BC2115" i="4"/>
  <c r="BC2116" i="4"/>
  <c r="BC2117" i="4"/>
  <c r="BC2118" i="4"/>
  <c r="BC2119" i="4"/>
  <c r="BC2120" i="4"/>
  <c r="BC2121" i="4"/>
  <c r="BC2122" i="4"/>
  <c r="BC2123" i="4"/>
  <c r="BC2124" i="4"/>
  <c r="BC2125" i="4"/>
  <c r="BC2126" i="4"/>
  <c r="BC2127" i="4"/>
  <c r="BC2128" i="4"/>
  <c r="BC2129" i="4"/>
  <c r="BC2130" i="4"/>
  <c r="BC2131" i="4"/>
  <c r="BC2132" i="4"/>
  <c r="BC2133" i="4"/>
  <c r="BC2134" i="4"/>
  <c r="BC2135" i="4"/>
  <c r="BC2136" i="4"/>
  <c r="BC2137" i="4"/>
  <c r="BC2138" i="4"/>
  <c r="BC2139" i="4"/>
  <c r="BC2140" i="4"/>
  <c r="BC2141" i="4"/>
  <c r="BC2142" i="4"/>
  <c r="BC2143" i="4"/>
  <c r="BC2144" i="4"/>
  <c r="BC2145" i="4"/>
  <c r="BC2146" i="4"/>
  <c r="BC2147" i="4"/>
  <c r="BC2148" i="4"/>
  <c r="BC2149" i="4"/>
  <c r="BC2150" i="4"/>
  <c r="BC2151" i="4"/>
  <c r="BC2152" i="4"/>
  <c r="BC2153" i="4"/>
  <c r="BC2154" i="4"/>
  <c r="BC2155" i="4"/>
  <c r="BC2156" i="4"/>
  <c r="BC2157" i="4"/>
  <c r="BC2158" i="4"/>
  <c r="BC2159" i="4"/>
  <c r="BC2160" i="4"/>
  <c r="BC2161" i="4"/>
  <c r="BC2162" i="4"/>
  <c r="BC2163" i="4"/>
  <c r="BC2164" i="4"/>
  <c r="BC2165" i="4"/>
  <c r="BC2166" i="4"/>
  <c r="BC2167" i="4"/>
  <c r="BC2168" i="4"/>
  <c r="BC2169" i="4"/>
  <c r="BC2170" i="4"/>
  <c r="BC2171" i="4"/>
  <c r="BC2172" i="4"/>
  <c r="BC2173" i="4"/>
  <c r="BC2174" i="4"/>
  <c r="BC2175" i="4"/>
  <c r="BC2176" i="4"/>
  <c r="BC2177" i="4"/>
  <c r="BC2178" i="4"/>
  <c r="BC2179" i="4"/>
  <c r="BC2180" i="4"/>
  <c r="BC2181" i="4"/>
  <c r="BC2182" i="4"/>
  <c r="BC2183" i="4"/>
  <c r="BC2184" i="4"/>
  <c r="BC2185" i="4"/>
  <c r="BC2186" i="4"/>
  <c r="BC2187" i="4"/>
  <c r="BC2188" i="4"/>
  <c r="BC2189" i="4"/>
  <c r="BC2190" i="4"/>
  <c r="BC2191" i="4"/>
  <c r="BC2192" i="4"/>
  <c r="BC2193" i="4"/>
  <c r="BC2194" i="4"/>
  <c r="BC2195" i="4"/>
  <c r="BC2196" i="4"/>
  <c r="BC2197" i="4"/>
  <c r="BC2198" i="4"/>
  <c r="BC2199" i="4"/>
  <c r="BC2200" i="4"/>
  <c r="BC2201" i="4"/>
  <c r="BC2202" i="4"/>
  <c r="BC2203" i="4"/>
  <c r="BC2204" i="4"/>
  <c r="BC2205" i="4"/>
  <c r="BC2206" i="4"/>
  <c r="BC2207" i="4"/>
  <c r="BC2208" i="4"/>
  <c r="BC2209" i="4"/>
  <c r="BC2210" i="4"/>
  <c r="BC2211" i="4"/>
  <c r="BC2212" i="4"/>
  <c r="BC2213" i="4"/>
  <c r="BC2214" i="4"/>
  <c r="BC2215" i="4"/>
  <c r="BC2216" i="4"/>
  <c r="BC2217" i="4"/>
  <c r="BC2218" i="4"/>
  <c r="BC2219" i="4"/>
  <c r="BC2220" i="4"/>
  <c r="BC2221" i="4"/>
  <c r="BC2222" i="4"/>
  <c r="BC2223" i="4"/>
  <c r="BC2224" i="4"/>
  <c r="BC2225" i="4"/>
  <c r="BC2226" i="4"/>
  <c r="BC2227" i="4"/>
  <c r="BC2228" i="4"/>
  <c r="BC2229" i="4"/>
  <c r="BC2230" i="4"/>
  <c r="BC2231" i="4"/>
  <c r="BC2232" i="4"/>
  <c r="BC2233" i="4"/>
  <c r="BC2234" i="4"/>
  <c r="BC2235" i="4"/>
  <c r="BC2236" i="4"/>
  <c r="BC2237" i="4"/>
  <c r="BC2238" i="4"/>
  <c r="BC2239" i="4"/>
  <c r="BC2240" i="4"/>
  <c r="BC2241" i="4"/>
  <c r="BC2242" i="4"/>
  <c r="BC2243" i="4"/>
  <c r="BC2244" i="4"/>
  <c r="BC2245" i="4"/>
  <c r="BC2246" i="4"/>
  <c r="BC2247" i="4"/>
  <c r="BC2248" i="4"/>
  <c r="BC2249" i="4"/>
  <c r="BC2250" i="4"/>
  <c r="BC2251" i="4"/>
  <c r="BC2252" i="4"/>
  <c r="BC2253" i="4"/>
  <c r="BC2254" i="4"/>
  <c r="BC2255" i="4"/>
  <c r="BC2256" i="4"/>
  <c r="BC2257" i="4"/>
  <c r="BC2258" i="4"/>
  <c r="BC2259" i="4"/>
  <c r="BC2260" i="4"/>
  <c r="BC2261" i="4"/>
  <c r="BC2262" i="4"/>
  <c r="BC2263" i="4"/>
  <c r="BC2264" i="4"/>
  <c r="BC2265" i="4"/>
  <c r="BC2266" i="4"/>
  <c r="BC2267" i="4"/>
  <c r="BC2268" i="4"/>
  <c r="BC2269" i="4"/>
  <c r="BC2270" i="4"/>
  <c r="BC2271" i="4"/>
  <c r="BC2272" i="4"/>
  <c r="BC2273" i="4"/>
  <c r="BC2274" i="4"/>
  <c r="BC2275" i="4"/>
  <c r="BC2276" i="4"/>
  <c r="BC2277" i="4"/>
  <c r="BC2278" i="4"/>
  <c r="BC2279" i="4"/>
  <c r="BC2280" i="4"/>
  <c r="BC2281" i="4"/>
  <c r="BC2282" i="4"/>
  <c r="BC2283" i="4"/>
  <c r="BC2284" i="4"/>
  <c r="BC2285" i="4"/>
  <c r="BC2286" i="4"/>
  <c r="BC2287" i="4"/>
  <c r="BC2288" i="4"/>
  <c r="BC2289" i="4"/>
  <c r="BC2290" i="4"/>
  <c r="BC2291" i="4"/>
  <c r="BC2292" i="4"/>
  <c r="BC2293" i="4"/>
  <c r="BC2294" i="4"/>
  <c r="BC2295" i="4"/>
  <c r="BC2296" i="4"/>
  <c r="BC2297" i="4"/>
  <c r="BC2298" i="4"/>
  <c r="BC2299" i="4"/>
  <c r="BC2300" i="4"/>
  <c r="BC2301" i="4"/>
  <c r="BC2302" i="4"/>
  <c r="BC2303" i="4"/>
  <c r="BC2304" i="4"/>
  <c r="BC2305" i="4"/>
  <c r="BC2306" i="4"/>
  <c r="BC2307" i="4"/>
  <c r="BC2308" i="4"/>
  <c r="BC2309" i="4"/>
  <c r="BC2310" i="4"/>
  <c r="BC2311" i="4"/>
  <c r="BC2312" i="4"/>
  <c r="BC2313" i="4"/>
  <c r="BC2314" i="4"/>
  <c r="BC2315" i="4"/>
  <c r="BC2316" i="4"/>
  <c r="BC2317" i="4"/>
  <c r="BC2318" i="4"/>
  <c r="BC2319" i="4"/>
  <c r="BC2320" i="4"/>
  <c r="BC2321" i="4"/>
  <c r="BC2322" i="4"/>
  <c r="BC2323" i="4"/>
  <c r="BC2324" i="4"/>
  <c r="BC2325" i="4"/>
  <c r="BC2326" i="4"/>
  <c r="BC2327" i="4"/>
  <c r="BC2328" i="4"/>
  <c r="BC2329" i="4"/>
  <c r="BC2330" i="4"/>
  <c r="BC2331" i="4"/>
  <c r="BC2332" i="4"/>
  <c r="BC2333" i="4"/>
  <c r="BC2334" i="4"/>
  <c r="BC2335" i="4"/>
  <c r="BC2336" i="4"/>
  <c r="BC2337" i="4"/>
  <c r="BC2338" i="4"/>
  <c r="BC2339" i="4"/>
  <c r="BC2340" i="4"/>
  <c r="BC2341" i="4"/>
  <c r="BC2342" i="4"/>
  <c r="BC2343" i="4"/>
  <c r="BC2344" i="4"/>
  <c r="BC2345" i="4"/>
  <c r="BC2346" i="4"/>
  <c r="BC2347" i="4"/>
  <c r="BC2348" i="4"/>
  <c r="BC2349" i="4"/>
  <c r="BC2350" i="4"/>
  <c r="BC2351" i="4"/>
  <c r="BC2352" i="4"/>
  <c r="BC2353" i="4"/>
  <c r="BC2354" i="4"/>
  <c r="BC2355" i="4"/>
  <c r="BC2356" i="4"/>
  <c r="BC2357" i="4"/>
  <c r="BC2358" i="4"/>
  <c r="BC2359" i="4"/>
  <c r="BC2360" i="4"/>
  <c r="BC2361" i="4"/>
  <c r="BC2362" i="4"/>
  <c r="BC2363" i="4"/>
  <c r="BC2364" i="4"/>
  <c r="BC2365" i="4"/>
  <c r="BC2366" i="4"/>
  <c r="BC2367" i="4"/>
  <c r="BC2368" i="4"/>
  <c r="BC2369" i="4"/>
  <c r="BC2370" i="4"/>
  <c r="BC2371" i="4"/>
  <c r="BC2372" i="4"/>
  <c r="BC2373" i="4"/>
  <c r="BC2374" i="4"/>
  <c r="BC2375" i="4"/>
  <c r="BC2376" i="4"/>
  <c r="BC2377" i="4"/>
  <c r="BC2378" i="4"/>
  <c r="BC2379" i="4"/>
  <c r="BC2380" i="4"/>
  <c r="BC2381" i="4"/>
  <c r="BC2382" i="4"/>
  <c r="BC2383" i="4"/>
  <c r="BC2384" i="4"/>
  <c r="BC2385" i="4"/>
  <c r="BC2386" i="4"/>
  <c r="BC2387" i="4"/>
  <c r="BC2388" i="4"/>
  <c r="BC2389" i="4"/>
  <c r="BC2390" i="4"/>
  <c r="BC2391" i="4"/>
  <c r="BC2392" i="4"/>
  <c r="BC2393" i="4"/>
  <c r="BC2394" i="4"/>
  <c r="BC2395" i="4"/>
  <c r="BC2396" i="4"/>
  <c r="BC2397" i="4"/>
  <c r="BC2398" i="4"/>
  <c r="BC2399" i="4"/>
  <c r="BC2400" i="4"/>
  <c r="BC2401" i="4"/>
  <c r="BC2402" i="4"/>
  <c r="BC2403" i="4"/>
  <c r="BC2404" i="4"/>
  <c r="BC2405" i="4"/>
  <c r="BC2406" i="4"/>
  <c r="BC2407" i="4"/>
  <c r="BC2408" i="4"/>
  <c r="BC2409" i="4"/>
  <c r="BC2410" i="4"/>
  <c r="BC2411" i="4"/>
  <c r="BC2412" i="4"/>
  <c r="BC2413" i="4"/>
  <c r="BC2414" i="4"/>
  <c r="BC2415" i="4"/>
  <c r="BC2416" i="4"/>
  <c r="BC2417" i="4"/>
  <c r="BC2418" i="4"/>
  <c r="BC2419" i="4"/>
  <c r="BC2420" i="4"/>
  <c r="BC2421" i="4"/>
  <c r="BC2422" i="4"/>
  <c r="BC2423" i="4"/>
  <c r="BC2424" i="4"/>
  <c r="BC2425" i="4"/>
  <c r="BC2426" i="4"/>
  <c r="BC2427" i="4"/>
  <c r="BC2428" i="4"/>
  <c r="BC2429" i="4"/>
  <c r="BC2430" i="4"/>
  <c r="BC2431" i="4"/>
  <c r="BC2432" i="4"/>
  <c r="BC2433" i="4"/>
  <c r="BC2434" i="4"/>
  <c r="BC2435" i="4"/>
  <c r="BC2436" i="4"/>
  <c r="BC2437" i="4"/>
  <c r="BC2438" i="4"/>
  <c r="BC2439" i="4"/>
  <c r="BC2440" i="4"/>
  <c r="BC2441" i="4"/>
  <c r="BC2442" i="4"/>
  <c r="BC2443" i="4"/>
  <c r="BC2444" i="4"/>
  <c r="BC2445" i="4"/>
  <c r="BC2446" i="4"/>
  <c r="BC2447" i="4"/>
  <c r="BC2448" i="4"/>
  <c r="BC2449" i="4"/>
  <c r="BC2450" i="4"/>
  <c r="BC2451" i="4"/>
  <c r="BC2452" i="4"/>
  <c r="BC2453" i="4"/>
  <c r="BC2454" i="4"/>
  <c r="BC2455" i="4"/>
  <c r="BC2456" i="4"/>
  <c r="BC2457" i="4"/>
  <c r="BC2458" i="4"/>
  <c r="BC2459" i="4"/>
  <c r="BC2460" i="4"/>
  <c r="BC2461" i="4"/>
  <c r="BC2462" i="4"/>
  <c r="BC2463" i="4"/>
  <c r="BC2464" i="4"/>
  <c r="BC2465" i="4"/>
  <c r="BC2466" i="4"/>
  <c r="BC2467" i="4"/>
  <c r="BC2468" i="4"/>
  <c r="BC2469" i="4"/>
  <c r="BC2470" i="4"/>
  <c r="BC2471" i="4"/>
  <c r="BC2472" i="4"/>
  <c r="BC2473" i="4"/>
  <c r="BC2474" i="4"/>
  <c r="BC2475" i="4"/>
  <c r="BC2476" i="4"/>
  <c r="BC2477" i="4"/>
  <c r="BC2478" i="4"/>
  <c r="BC2479" i="4"/>
  <c r="BC2480" i="4"/>
  <c r="BC2481" i="4"/>
  <c r="BC2482" i="4"/>
  <c r="BC2483" i="4"/>
  <c r="BC2484" i="4"/>
  <c r="BC2485" i="4"/>
  <c r="BC2486" i="4"/>
  <c r="BC2487" i="4"/>
  <c r="BC2488" i="4"/>
  <c r="BC2489" i="4"/>
  <c r="BC2490" i="4"/>
  <c r="BC2491" i="4"/>
  <c r="BC2492" i="4"/>
  <c r="BC2493" i="4"/>
  <c r="BC2494" i="4"/>
  <c r="BC2495" i="4"/>
  <c r="BC2496" i="4"/>
  <c r="BC2497" i="4"/>
  <c r="BC2498" i="4"/>
  <c r="BC2499" i="4"/>
  <c r="BC2500" i="4"/>
  <c r="BC2501" i="4"/>
  <c r="BC2502" i="4"/>
  <c r="BC2503" i="4"/>
  <c r="BC2504" i="4"/>
  <c r="BC2505" i="4"/>
  <c r="BC2506" i="4"/>
  <c r="BC2507" i="4"/>
  <c r="BC2508" i="4"/>
  <c r="BC2509" i="4"/>
  <c r="BC2510" i="4"/>
  <c r="BC2511" i="4"/>
  <c r="BC2512" i="4"/>
  <c r="BC2513" i="4"/>
  <c r="BC2514" i="4"/>
  <c r="BC2515" i="4"/>
  <c r="BC2516" i="4"/>
  <c r="BC2517" i="4"/>
  <c r="BC2518" i="4"/>
  <c r="BC2519" i="4"/>
  <c r="BC2520" i="4"/>
  <c r="BC2521" i="4"/>
  <c r="BC2522" i="4"/>
  <c r="BC2523" i="4"/>
  <c r="BC2524" i="4"/>
  <c r="BC2525" i="4"/>
  <c r="BC2526" i="4"/>
  <c r="BC2527" i="4"/>
  <c r="BC2528" i="4"/>
  <c r="BC2529" i="4"/>
  <c r="BC2530" i="4"/>
  <c r="BC2531" i="4"/>
  <c r="BC2532" i="4"/>
  <c r="BC2533" i="4"/>
  <c r="BC2534" i="4"/>
  <c r="BC2535" i="4"/>
  <c r="BC2536" i="4"/>
  <c r="BC2537" i="4"/>
  <c r="BC2538" i="4"/>
  <c r="BC2539" i="4"/>
  <c r="BC2540" i="4"/>
  <c r="BC2541" i="4"/>
  <c r="BC2542" i="4"/>
  <c r="BC2543" i="4"/>
  <c r="BC2544" i="4"/>
  <c r="BC2545" i="4"/>
  <c r="BC2546" i="4"/>
  <c r="BC2547" i="4"/>
  <c r="BC2548" i="4"/>
  <c r="BC2549" i="4"/>
  <c r="BC2550" i="4"/>
  <c r="BC2551" i="4"/>
  <c r="BC2552" i="4"/>
  <c r="BC2553" i="4"/>
  <c r="BC2554" i="4"/>
  <c r="BC2555" i="4"/>
  <c r="BC2556" i="4"/>
  <c r="BC2557" i="4"/>
  <c r="BC2558" i="4"/>
  <c r="BC2559" i="4"/>
  <c r="BC2560" i="4"/>
  <c r="BC2561" i="4"/>
  <c r="BC2562" i="4"/>
  <c r="BC2563" i="4"/>
  <c r="BC2564" i="4"/>
  <c r="BC2565" i="4"/>
  <c r="BC2566" i="4"/>
  <c r="BC2567" i="4"/>
  <c r="BC2568" i="4"/>
  <c r="BC2569" i="4"/>
  <c r="BC2570" i="4"/>
  <c r="BC2571" i="4"/>
  <c r="BC2572" i="4"/>
  <c r="BC2573" i="4"/>
  <c r="BC2574" i="4"/>
  <c r="BC2575" i="4"/>
  <c r="BC2576" i="4"/>
  <c r="BC2577" i="4"/>
  <c r="BC2578" i="4"/>
  <c r="BC2579" i="4"/>
  <c r="BC2580" i="4"/>
  <c r="BC2581" i="4"/>
  <c r="BC2582" i="4"/>
  <c r="BC2583" i="4"/>
  <c r="BC2584" i="4"/>
  <c r="BC2585" i="4"/>
  <c r="BC2586" i="4"/>
  <c r="BC2587" i="4"/>
  <c r="BC2588" i="4"/>
  <c r="BC2589" i="4"/>
  <c r="BC2590" i="4"/>
  <c r="BC2591" i="4"/>
  <c r="BC2592" i="4"/>
  <c r="BC2593" i="4"/>
  <c r="BC2594" i="4"/>
  <c r="BC2595" i="4"/>
  <c r="BC2596" i="4"/>
  <c r="BC2597" i="4"/>
  <c r="BC2598" i="4"/>
  <c r="BC2599" i="4"/>
  <c r="BC2600" i="4"/>
  <c r="BC2601" i="4"/>
  <c r="BC2602" i="4"/>
  <c r="BC2603" i="4"/>
  <c r="BC2604" i="4"/>
  <c r="BC2605" i="4"/>
  <c r="BC2606" i="4"/>
  <c r="BC2607" i="4"/>
  <c r="BC2608" i="4"/>
  <c r="BC2609" i="4"/>
  <c r="BC2610" i="4"/>
  <c r="BC2611" i="4"/>
  <c r="BC2612" i="4"/>
  <c r="BC2613" i="4"/>
  <c r="BC2614" i="4"/>
  <c r="BC2615" i="4"/>
  <c r="BC2616" i="4"/>
  <c r="BC2617" i="4"/>
  <c r="BC2618" i="4"/>
  <c r="BC2619" i="4"/>
  <c r="BC2620" i="4"/>
  <c r="BC2621" i="4"/>
  <c r="BC2622" i="4"/>
  <c r="BC2623" i="4"/>
  <c r="BC2624" i="4"/>
  <c r="BC2625" i="4"/>
  <c r="BC2626" i="4"/>
  <c r="BC2627" i="4"/>
  <c r="BC2628" i="4"/>
  <c r="BC2629" i="4"/>
  <c r="BC2630" i="4"/>
  <c r="BC2631" i="4"/>
  <c r="BC2632" i="4"/>
  <c r="BC2633" i="4"/>
  <c r="BC2634" i="4"/>
  <c r="BC2635" i="4"/>
  <c r="BC2636" i="4"/>
  <c r="BC2637" i="4"/>
  <c r="BC2638" i="4"/>
  <c r="BC2639" i="4"/>
  <c r="BC2640" i="4"/>
  <c r="BC2641" i="4"/>
  <c r="BC2642" i="4"/>
  <c r="BC2643" i="4"/>
  <c r="BC2644" i="4"/>
  <c r="BC2645" i="4"/>
  <c r="BC2646" i="4"/>
  <c r="BC2647" i="4"/>
  <c r="BC2648" i="4"/>
  <c r="BC2649" i="4"/>
  <c r="BC2650" i="4"/>
  <c r="BC2651" i="4"/>
  <c r="BC2652" i="4"/>
  <c r="BC2653" i="4"/>
  <c r="BC2654" i="4"/>
  <c r="BC2655" i="4"/>
  <c r="BC2656" i="4"/>
  <c r="BC2657" i="4"/>
  <c r="BC2658" i="4"/>
  <c r="BC2659" i="4"/>
  <c r="BC2660" i="4"/>
  <c r="BC2661" i="4"/>
  <c r="BC2662" i="4"/>
  <c r="BC2663" i="4"/>
  <c r="BC2664" i="4"/>
  <c r="BC2665" i="4"/>
  <c r="BC2666" i="4"/>
  <c r="BC2667" i="4"/>
  <c r="BC2668" i="4"/>
  <c r="BC2669" i="4"/>
  <c r="BC2670" i="4"/>
  <c r="BC2671" i="4"/>
  <c r="BC2672" i="4"/>
  <c r="BC2673" i="4"/>
  <c r="BC2674" i="4"/>
  <c r="BC2675" i="4"/>
  <c r="BC2676" i="4"/>
  <c r="BC2677" i="4"/>
  <c r="BC2678" i="4"/>
  <c r="BC2679" i="4"/>
  <c r="BC2680" i="4"/>
  <c r="BC2681" i="4"/>
  <c r="BC2682" i="4"/>
  <c r="BC2683" i="4"/>
  <c r="BC2684" i="4"/>
  <c r="BC2685" i="4"/>
  <c r="BC2686" i="4"/>
  <c r="BC2687" i="4"/>
  <c r="BC2688" i="4"/>
  <c r="BC2689" i="4"/>
  <c r="BC2690" i="4"/>
  <c r="BC2691" i="4"/>
  <c r="BC2692" i="4"/>
  <c r="BC2693" i="4"/>
  <c r="BC2694" i="4"/>
  <c r="BC2695" i="4"/>
  <c r="BC2696" i="4"/>
  <c r="BC2697" i="4"/>
  <c r="BC2698" i="4"/>
  <c r="BC2699" i="4"/>
  <c r="BC2700" i="4"/>
  <c r="BC2701" i="4"/>
  <c r="BC2702" i="4"/>
  <c r="BC2703" i="4"/>
  <c r="BC2704" i="4"/>
  <c r="BC2705" i="4"/>
  <c r="BC2706" i="4"/>
  <c r="BC2707" i="4"/>
  <c r="BC2708" i="4"/>
  <c r="BC2709" i="4"/>
  <c r="BC2710" i="4"/>
  <c r="BC2711" i="4"/>
  <c r="BC2712" i="4"/>
  <c r="BC2713" i="4"/>
  <c r="BC2714" i="4"/>
  <c r="BC2715" i="4"/>
  <c r="BC2716" i="4"/>
  <c r="BC2717" i="4"/>
  <c r="BC2718" i="4"/>
  <c r="BC2719" i="4"/>
  <c r="BC2720" i="4"/>
  <c r="BC2721" i="4"/>
  <c r="BC2722" i="4"/>
  <c r="BC2723" i="4"/>
  <c r="BC2724" i="4"/>
  <c r="BC2725" i="4"/>
  <c r="BC2726" i="4"/>
  <c r="BC2727" i="4"/>
  <c r="BC2728" i="4"/>
  <c r="BC2729" i="4"/>
  <c r="BC2730" i="4"/>
  <c r="BC2731" i="4"/>
  <c r="BC2732" i="4"/>
  <c r="BC2733" i="4"/>
  <c r="BC2734" i="4"/>
  <c r="BC2735" i="4"/>
  <c r="BC2736" i="4"/>
  <c r="BC2737" i="4"/>
  <c r="BC2738" i="4"/>
  <c r="BC2739" i="4"/>
  <c r="BC2740" i="4"/>
  <c r="BC2741" i="4"/>
  <c r="BC2742" i="4"/>
  <c r="BC2743" i="4"/>
  <c r="BC2744" i="4"/>
  <c r="BC2745" i="4"/>
  <c r="BC2746" i="4"/>
  <c r="BC2747" i="4"/>
  <c r="BC2748" i="4"/>
  <c r="BC2749" i="4"/>
  <c r="BC2750" i="4"/>
  <c r="BC2751" i="4"/>
  <c r="BC2752" i="4"/>
  <c r="BC2753" i="4"/>
  <c r="BC2754" i="4"/>
  <c r="BC2755" i="4"/>
  <c r="BC2756" i="4"/>
  <c r="BC2757" i="4"/>
  <c r="BC2758" i="4"/>
  <c r="BC2759" i="4"/>
  <c r="BC2760" i="4"/>
  <c r="BC2761" i="4"/>
  <c r="BC2762" i="4"/>
  <c r="BC2763" i="4"/>
  <c r="BC2764" i="4"/>
  <c r="BC2765" i="4"/>
  <c r="BC2766" i="4"/>
  <c r="BC2767" i="4"/>
  <c r="BC2768" i="4"/>
  <c r="BC2769" i="4"/>
  <c r="BC2770" i="4"/>
  <c r="BC2771" i="4"/>
  <c r="BC2772" i="4"/>
  <c r="BC2773" i="4"/>
  <c r="BC2774" i="4"/>
  <c r="BC2775" i="4"/>
  <c r="BC2776" i="4"/>
  <c r="BC2777" i="4"/>
  <c r="BC2778" i="4"/>
  <c r="BC2779" i="4"/>
  <c r="BC2780" i="4"/>
  <c r="BC2781" i="4"/>
  <c r="BC2782" i="4"/>
  <c r="BC2783" i="4"/>
  <c r="BC2784" i="4"/>
  <c r="BC2785" i="4"/>
  <c r="BC2786" i="4"/>
  <c r="BC2787" i="4"/>
  <c r="BC2788" i="4"/>
  <c r="BC2789" i="4"/>
  <c r="BC2790" i="4"/>
  <c r="BC2791" i="4"/>
  <c r="BC2792" i="4"/>
  <c r="BC2793" i="4"/>
  <c r="BC2794" i="4"/>
  <c r="BC2795" i="4"/>
  <c r="BC2796" i="4"/>
  <c r="BC2797" i="4"/>
  <c r="BC2798" i="4"/>
  <c r="BC2799" i="4"/>
  <c r="BC2800" i="4"/>
  <c r="BC2801" i="4"/>
  <c r="BC2802" i="4"/>
  <c r="BC2803" i="4"/>
  <c r="BC2804" i="4"/>
  <c r="BC2805" i="4"/>
  <c r="BC2806" i="4"/>
  <c r="BC2807" i="4"/>
  <c r="BC2808" i="4"/>
  <c r="BC2809" i="4"/>
  <c r="BC2810" i="4"/>
  <c r="BC2811" i="4"/>
  <c r="BC2812" i="4"/>
  <c r="BC2813" i="4"/>
  <c r="BC2814" i="4"/>
  <c r="BC2815" i="4"/>
  <c r="BC2816" i="4"/>
  <c r="BC2817" i="4"/>
  <c r="BC2818" i="4"/>
  <c r="BC2819" i="4"/>
  <c r="BC2820" i="4"/>
  <c r="BC2821" i="4"/>
  <c r="BC2822" i="4"/>
  <c r="BC2823" i="4"/>
  <c r="BC2824" i="4"/>
  <c r="BC2825" i="4"/>
  <c r="BC2826" i="4"/>
  <c r="BC2827" i="4"/>
  <c r="BC2828" i="4"/>
  <c r="BC2829" i="4"/>
  <c r="BC2830" i="4"/>
  <c r="BC2831" i="4"/>
  <c r="BC2832" i="4"/>
  <c r="BC2833" i="4"/>
  <c r="BC2834" i="4"/>
  <c r="BC2835" i="4"/>
  <c r="BC2836" i="4"/>
  <c r="BC2837" i="4"/>
  <c r="BC2838" i="4"/>
  <c r="BC2839" i="4"/>
  <c r="BC2840" i="4"/>
  <c r="BC2841" i="4"/>
  <c r="BC2842" i="4"/>
  <c r="BC2843" i="4"/>
  <c r="BC2844" i="4"/>
  <c r="BC2845" i="4"/>
  <c r="BC2846" i="4"/>
  <c r="BC2847" i="4"/>
  <c r="BC2848" i="4"/>
  <c r="BC2849" i="4"/>
  <c r="BC2850" i="4"/>
  <c r="BC2851" i="4"/>
  <c r="BC2852" i="4"/>
  <c r="BC2853" i="4"/>
  <c r="BC2854" i="4"/>
  <c r="BC2855" i="4"/>
  <c r="BC2856" i="4"/>
  <c r="BC2857" i="4"/>
  <c r="BC2858" i="4"/>
  <c r="BC2859" i="4"/>
  <c r="BC2860" i="4"/>
  <c r="BC2861" i="4"/>
  <c r="BC2862" i="4"/>
  <c r="BC2863" i="4"/>
  <c r="BC2864" i="4"/>
  <c r="BC2865" i="4"/>
  <c r="BC2866" i="4"/>
  <c r="BC2867" i="4"/>
  <c r="BC2868" i="4"/>
  <c r="BC2869" i="4"/>
  <c r="BC2870" i="4"/>
  <c r="BC2871" i="4"/>
  <c r="BC2872" i="4"/>
  <c r="BC2873" i="4"/>
  <c r="BC2874" i="4"/>
  <c r="BC2875" i="4"/>
  <c r="BC2876" i="4"/>
  <c r="BC2877" i="4"/>
  <c r="BC2878" i="4"/>
  <c r="BC2879" i="4"/>
  <c r="BC2880" i="4"/>
  <c r="BC2881" i="4"/>
  <c r="BC2882" i="4"/>
  <c r="BC2883" i="4"/>
  <c r="BC2884" i="4"/>
  <c r="BC2885" i="4"/>
  <c r="BC2886" i="4"/>
  <c r="BC2887" i="4"/>
  <c r="BC2888" i="4"/>
  <c r="BC2889" i="4"/>
  <c r="BC2890" i="4"/>
  <c r="BC2891" i="4"/>
  <c r="BC2892" i="4"/>
  <c r="BC2893" i="4"/>
  <c r="BC2894" i="4"/>
  <c r="BC2895" i="4"/>
  <c r="BC2896" i="4"/>
  <c r="BC2897" i="4"/>
  <c r="BC2898" i="4"/>
  <c r="BC2899" i="4"/>
  <c r="BC2900" i="4"/>
  <c r="BC2901" i="4"/>
  <c r="BC2902" i="4"/>
  <c r="BC2903" i="4"/>
  <c r="BC2904" i="4"/>
  <c r="BC2905" i="4"/>
  <c r="BC2906" i="4"/>
  <c r="BC2907" i="4"/>
  <c r="BC2908" i="4"/>
  <c r="BC2909" i="4"/>
  <c r="BC2910" i="4"/>
  <c r="BC2911" i="4"/>
  <c r="BC2912" i="4"/>
  <c r="BC2913" i="4"/>
  <c r="BC2914" i="4"/>
  <c r="BC2915" i="4"/>
  <c r="BC2916" i="4"/>
  <c r="BC2917" i="4"/>
  <c r="BC2918" i="4"/>
  <c r="BC2919" i="4"/>
  <c r="BC2920" i="4"/>
  <c r="BC2921" i="4"/>
  <c r="BC2922" i="4"/>
  <c r="BC2923" i="4"/>
  <c r="BC2924" i="4"/>
  <c r="BC2925" i="4"/>
  <c r="BC2926" i="4"/>
  <c r="BC2927" i="4"/>
  <c r="BC2928" i="4"/>
  <c r="BC2929" i="4"/>
  <c r="BC2930" i="4"/>
  <c r="BC2931" i="4"/>
  <c r="BC2932" i="4"/>
  <c r="BC2933" i="4"/>
  <c r="BC2934" i="4"/>
  <c r="BC2935" i="4"/>
  <c r="BC2936" i="4"/>
  <c r="BC2937" i="4"/>
  <c r="BC2938" i="4"/>
  <c r="BC2939" i="4"/>
  <c r="BC2940" i="4"/>
  <c r="BC2941" i="4"/>
  <c r="BC2942" i="4"/>
  <c r="BC2943" i="4"/>
  <c r="BC2944" i="4"/>
  <c r="BC2945" i="4"/>
  <c r="BC2946" i="4"/>
  <c r="BC2947" i="4"/>
  <c r="BC2948" i="4"/>
  <c r="BC2949" i="4"/>
  <c r="BC2950" i="4"/>
  <c r="BC2951" i="4"/>
  <c r="BC2952" i="4"/>
  <c r="BC2953" i="4"/>
  <c r="BC2954" i="4"/>
  <c r="BC2955" i="4"/>
  <c r="BC2956" i="4"/>
  <c r="BC2957" i="4"/>
  <c r="BC2958" i="4"/>
  <c r="BC2959" i="4"/>
  <c r="BC2960" i="4"/>
  <c r="BC2961" i="4"/>
  <c r="BC2962" i="4"/>
  <c r="BC2963" i="4"/>
  <c r="BC2964" i="4"/>
  <c r="BC2965" i="4"/>
  <c r="BC2966" i="4"/>
  <c r="BC2967" i="4"/>
  <c r="BC2968" i="4"/>
  <c r="BC2969" i="4"/>
  <c r="BC2970" i="4"/>
  <c r="BC2971" i="4"/>
  <c r="BC2972" i="4"/>
  <c r="BC2973" i="4"/>
  <c r="BC2974" i="4"/>
  <c r="BC2975" i="4"/>
  <c r="BC2976" i="4"/>
  <c r="BC2977" i="4"/>
  <c r="BC2978" i="4"/>
  <c r="BC2979" i="4"/>
  <c r="BC2980" i="4"/>
  <c r="BC2981" i="4"/>
  <c r="BC2982" i="4"/>
  <c r="BC2983" i="4"/>
  <c r="BC2984" i="4"/>
  <c r="BC2985" i="4"/>
  <c r="BC2986" i="4"/>
  <c r="BC2987" i="4"/>
  <c r="BC2988" i="4"/>
  <c r="BC2989" i="4"/>
  <c r="BC2990" i="4"/>
  <c r="BC2991" i="4"/>
  <c r="BC2992" i="4"/>
  <c r="BC2993" i="4"/>
  <c r="BC2994" i="4"/>
  <c r="BC2995" i="4"/>
  <c r="BC2996" i="4"/>
  <c r="BC2997" i="4"/>
  <c r="BC2998" i="4"/>
  <c r="BC2999" i="4"/>
  <c r="BC3000" i="4"/>
  <c r="BC3001" i="4"/>
  <c r="BC3002" i="4"/>
  <c r="BC3003" i="4"/>
  <c r="BC3004" i="4"/>
  <c r="BC3005" i="4"/>
  <c r="BC3006" i="4"/>
  <c r="BC3007" i="4"/>
  <c r="BC3008" i="4"/>
  <c r="BC3009" i="4"/>
  <c r="BC3010" i="4"/>
  <c r="BC3011" i="4"/>
  <c r="BC3012" i="4"/>
  <c r="BC3013" i="4"/>
  <c r="BC3014" i="4"/>
  <c r="BC3015" i="4"/>
  <c r="BC3016" i="4"/>
  <c r="BC3017" i="4"/>
  <c r="BC3018" i="4"/>
  <c r="BC3019" i="4"/>
  <c r="BC3020" i="4"/>
  <c r="BC3021" i="4"/>
  <c r="BC3022" i="4"/>
  <c r="BC3023" i="4"/>
  <c r="BC3024" i="4"/>
  <c r="BC3025" i="4"/>
  <c r="BC3026" i="4"/>
  <c r="BC3027" i="4"/>
  <c r="BC3028" i="4"/>
  <c r="BC3029" i="4"/>
  <c r="BC3030" i="4"/>
  <c r="BC3031" i="4"/>
  <c r="BC3032" i="4"/>
  <c r="BC3033" i="4"/>
  <c r="BC3034" i="4"/>
  <c r="BC3035" i="4"/>
  <c r="BC3036" i="4"/>
  <c r="BC3037" i="4"/>
  <c r="BC3038" i="4"/>
  <c r="BC3039" i="4"/>
  <c r="BC3040" i="4"/>
  <c r="BC3041" i="4"/>
  <c r="BC3042" i="4"/>
  <c r="BC3043" i="4"/>
  <c r="BC3044" i="4"/>
  <c r="BC3045" i="4"/>
  <c r="BC3046" i="4"/>
  <c r="BC3047" i="4"/>
  <c r="BC3048" i="4"/>
  <c r="BC3049" i="4"/>
  <c r="BC3050" i="4"/>
  <c r="BC3051" i="4"/>
  <c r="BC3052" i="4"/>
  <c r="BC3053" i="4"/>
  <c r="BC3054" i="4"/>
  <c r="BC3055" i="4"/>
  <c r="BC3056" i="4"/>
  <c r="BC3057" i="4"/>
  <c r="BC3058" i="4"/>
  <c r="BC3059" i="4"/>
  <c r="BC3060" i="4"/>
  <c r="BC3061" i="4"/>
  <c r="BC3062" i="4"/>
  <c r="BC3063" i="4"/>
  <c r="BC3064" i="4"/>
  <c r="BC3065" i="4"/>
  <c r="BC3066" i="4"/>
  <c r="BC3067" i="4"/>
  <c r="BC3068" i="4"/>
  <c r="BC3069" i="4"/>
  <c r="BC3070" i="4"/>
  <c r="BC3071" i="4"/>
  <c r="BC3072" i="4"/>
  <c r="BC3073" i="4"/>
  <c r="BC3074" i="4"/>
  <c r="BC3075" i="4"/>
  <c r="BC3076" i="4"/>
  <c r="BC3077" i="4"/>
  <c r="BC3078" i="4"/>
  <c r="BC3079" i="4"/>
  <c r="BC3080" i="4"/>
  <c r="BC3081" i="4"/>
  <c r="BC3082" i="4"/>
  <c r="BC3083" i="4"/>
  <c r="BC3084" i="4"/>
  <c r="BC3085" i="4"/>
  <c r="BC3086" i="4"/>
  <c r="BC3087" i="4"/>
  <c r="BC3088" i="4"/>
  <c r="BC3089" i="4"/>
  <c r="BC3090" i="4"/>
  <c r="BC3091" i="4"/>
  <c r="BC3092" i="4"/>
  <c r="BC3093" i="4"/>
  <c r="BC3094" i="4"/>
  <c r="BC3095" i="4"/>
  <c r="BC3096" i="4"/>
  <c r="BC3097" i="4"/>
  <c r="BC3098" i="4"/>
  <c r="BC3099" i="4"/>
  <c r="BC3100" i="4"/>
  <c r="BC3101" i="4"/>
  <c r="BC3102" i="4"/>
  <c r="BC3103" i="4"/>
  <c r="BC3104" i="4"/>
  <c r="BC3105" i="4"/>
  <c r="BC3106" i="4"/>
  <c r="BC3107" i="4"/>
  <c r="BC3108" i="4"/>
  <c r="BC3109" i="4"/>
  <c r="BC3110" i="4"/>
  <c r="BC3111" i="4"/>
  <c r="BC3112" i="4"/>
  <c r="BC3113" i="4"/>
  <c r="BC3114" i="4"/>
  <c r="BC3115" i="4"/>
  <c r="BC3116" i="4"/>
  <c r="BC3117" i="4"/>
  <c r="BC3118" i="4"/>
  <c r="BC3119" i="4"/>
  <c r="BC3120" i="4"/>
  <c r="BC3121" i="4"/>
  <c r="BC3122" i="4"/>
  <c r="BC3123" i="4"/>
  <c r="BC3124" i="4"/>
  <c r="BC3125" i="4"/>
  <c r="BC3126" i="4"/>
  <c r="BC3127" i="4"/>
  <c r="BC3128" i="4"/>
  <c r="BC3129" i="4"/>
  <c r="BC3130" i="4"/>
  <c r="BC3131" i="4"/>
  <c r="BC3132" i="4"/>
  <c r="BC3133" i="4"/>
  <c r="BC3134" i="4"/>
  <c r="BC3135" i="4"/>
  <c r="BC3136" i="4"/>
  <c r="BC3137" i="4"/>
  <c r="BC3138" i="4"/>
  <c r="BC3139" i="4"/>
  <c r="BC3140" i="4"/>
  <c r="BC3141" i="4"/>
  <c r="BC3142" i="4"/>
  <c r="BC3143" i="4"/>
  <c r="BC3144" i="4"/>
  <c r="BC3145" i="4"/>
  <c r="BC3146" i="4"/>
  <c r="BC3147" i="4"/>
  <c r="BC3148" i="4"/>
  <c r="BC3149" i="4"/>
  <c r="BC3150" i="4"/>
  <c r="BC3151" i="4"/>
  <c r="BC3152" i="4"/>
  <c r="BC3153" i="4"/>
  <c r="BC3154" i="4"/>
  <c r="BC3155" i="4"/>
  <c r="BC3156" i="4"/>
  <c r="BC3157" i="4"/>
  <c r="BC3158" i="4"/>
  <c r="BC3159" i="4"/>
  <c r="BC3160" i="4"/>
  <c r="BC3161" i="4"/>
  <c r="BC3162" i="4"/>
  <c r="BC3163" i="4"/>
  <c r="BC3164" i="4"/>
  <c r="BC3165" i="4"/>
  <c r="BC3166" i="4"/>
  <c r="BC3167" i="4"/>
  <c r="BC3168" i="4"/>
  <c r="BC3169" i="4"/>
  <c r="BC3170" i="4"/>
  <c r="BC3171" i="4"/>
  <c r="BC3172" i="4"/>
  <c r="BC3173" i="4"/>
  <c r="BC3174" i="4"/>
  <c r="BC3175" i="4"/>
  <c r="BC3176" i="4"/>
  <c r="BC3177" i="4"/>
  <c r="BC3178" i="4"/>
  <c r="BC3179" i="4"/>
  <c r="BC3180" i="4"/>
  <c r="BC3181" i="4"/>
  <c r="BC3182" i="4"/>
  <c r="BC3183" i="4"/>
  <c r="BC3184" i="4"/>
  <c r="BC3185" i="4"/>
  <c r="BC3186" i="4"/>
  <c r="BC3187" i="4"/>
  <c r="BC3188" i="4"/>
  <c r="BC3189" i="4"/>
  <c r="BC3190" i="4"/>
  <c r="BC3191" i="4"/>
  <c r="BC3192" i="4"/>
  <c r="BC3193" i="4"/>
  <c r="BC3194" i="4"/>
  <c r="BC3195" i="4"/>
  <c r="BC3196" i="4"/>
  <c r="BC3197" i="4"/>
  <c r="BC3198" i="4"/>
  <c r="BC3199" i="4"/>
  <c r="BC3200" i="4"/>
  <c r="BC3201" i="4"/>
  <c r="BC3202" i="4"/>
  <c r="BC3203" i="4"/>
  <c r="BC3204" i="4"/>
  <c r="BC3205" i="4"/>
  <c r="BC3206" i="4"/>
  <c r="BC3207" i="4"/>
  <c r="BC3208" i="4"/>
  <c r="BC3209" i="4"/>
  <c r="BC3210" i="4"/>
  <c r="BC3211" i="4"/>
  <c r="BC3212" i="4"/>
  <c r="BC3213" i="4"/>
  <c r="BC3214" i="4"/>
  <c r="BC3215" i="4"/>
  <c r="BC3216" i="4"/>
  <c r="BC3217" i="4"/>
  <c r="BC3218" i="4"/>
  <c r="BC3219" i="4"/>
  <c r="BC3220" i="4"/>
  <c r="BC3221" i="4"/>
  <c r="BC3222" i="4"/>
  <c r="BC3223" i="4"/>
  <c r="BC3224" i="4"/>
  <c r="BC3225" i="4"/>
  <c r="BC3226" i="4"/>
  <c r="BC3227" i="4"/>
  <c r="BC3228" i="4"/>
  <c r="BC3229" i="4"/>
  <c r="BC3230" i="4"/>
  <c r="BC3231" i="4"/>
  <c r="BC3232" i="4"/>
  <c r="BC3233" i="4"/>
  <c r="BC3234" i="4"/>
  <c r="BC3235" i="4"/>
  <c r="BC3236" i="4"/>
  <c r="BC3237" i="4"/>
  <c r="BC3238" i="4"/>
  <c r="BC3239" i="4"/>
  <c r="BC3240" i="4"/>
  <c r="BC3241" i="4"/>
  <c r="BC3242" i="4"/>
  <c r="BC3243" i="4"/>
  <c r="BC3244" i="4"/>
  <c r="BC3245" i="4"/>
  <c r="BC3246" i="4"/>
  <c r="BC3247" i="4"/>
  <c r="BC3248" i="4"/>
  <c r="BC3249" i="4"/>
  <c r="BC3250" i="4"/>
  <c r="BC3251" i="4"/>
  <c r="BC3252" i="4"/>
  <c r="BC3253" i="4"/>
  <c r="BC3254" i="4"/>
  <c r="BC3255" i="4"/>
  <c r="BC3256" i="4"/>
  <c r="BC3257" i="4"/>
  <c r="BC3258" i="4"/>
  <c r="BC3259" i="4"/>
  <c r="BC3260" i="4"/>
  <c r="BC3261" i="4"/>
  <c r="BC3262" i="4"/>
  <c r="BC3263" i="4"/>
  <c r="BC3264" i="4"/>
  <c r="BC3265" i="4"/>
  <c r="BC3266" i="4"/>
  <c r="BC3267" i="4"/>
  <c r="BC3268" i="4"/>
  <c r="BC3269" i="4"/>
  <c r="BC3270" i="4"/>
  <c r="BC3271" i="4"/>
  <c r="BC3272" i="4"/>
  <c r="BC3273" i="4"/>
  <c r="BC3274" i="4"/>
  <c r="BC3275" i="4"/>
  <c r="BC3276" i="4"/>
  <c r="BC3277" i="4"/>
  <c r="BC3278" i="4"/>
  <c r="BC3279" i="4"/>
  <c r="BC3280" i="4"/>
  <c r="BC3281" i="4"/>
  <c r="BC3282" i="4"/>
  <c r="BC3283" i="4"/>
  <c r="BC3284" i="4"/>
  <c r="BC3285" i="4"/>
  <c r="BC3286" i="4"/>
  <c r="BC3287" i="4"/>
  <c r="BC3288" i="4"/>
  <c r="BC3289" i="4"/>
  <c r="BC3290" i="4"/>
  <c r="BC3291" i="4"/>
  <c r="BC3292" i="4"/>
  <c r="BC3293" i="4"/>
  <c r="BC3294" i="4"/>
  <c r="BC3295" i="4"/>
  <c r="BC3296" i="4"/>
  <c r="BC3297" i="4"/>
  <c r="BC3298" i="4"/>
  <c r="BC3299" i="4"/>
  <c r="BC3300" i="4"/>
  <c r="BC3301" i="4"/>
  <c r="BC3302" i="4"/>
  <c r="BC3303" i="4"/>
  <c r="BC3304" i="4"/>
  <c r="BC3305" i="4"/>
  <c r="BC3306" i="4"/>
  <c r="BC3307" i="4"/>
  <c r="BC3308" i="4"/>
  <c r="BC3309" i="4"/>
  <c r="BC3310" i="4"/>
  <c r="BC3311" i="4"/>
  <c r="BC3312" i="4"/>
  <c r="BC3313" i="4"/>
  <c r="BC3314" i="4"/>
  <c r="BC3315" i="4"/>
  <c r="BC3316" i="4"/>
  <c r="BC3317" i="4"/>
  <c r="BC3318" i="4"/>
  <c r="BC3319" i="4"/>
  <c r="BC3320" i="4"/>
  <c r="BC3321" i="4"/>
  <c r="BC3322" i="4"/>
  <c r="BC3323" i="4"/>
  <c r="BC3324" i="4"/>
  <c r="BC3325" i="4"/>
  <c r="BC3326" i="4"/>
  <c r="BC3327" i="4"/>
  <c r="BC3328" i="4"/>
  <c r="BC3329" i="4"/>
  <c r="BC3330" i="4"/>
  <c r="BC3331" i="4"/>
  <c r="BC3332" i="4"/>
  <c r="BC3333" i="4"/>
  <c r="BC3334" i="4"/>
  <c r="BC3335" i="4"/>
  <c r="BC3336" i="4"/>
  <c r="BC3337" i="4"/>
  <c r="BC3338" i="4"/>
  <c r="BC3339" i="4"/>
  <c r="BC3340" i="4"/>
  <c r="BC3341" i="4"/>
  <c r="BC3342" i="4"/>
  <c r="BC3343" i="4"/>
  <c r="BC3344" i="4"/>
  <c r="BC3345" i="4"/>
  <c r="BC3346" i="4"/>
  <c r="BC3347" i="4"/>
  <c r="BC3348" i="4"/>
  <c r="BC3349" i="4"/>
  <c r="BC3350" i="4"/>
  <c r="BC3351" i="4"/>
  <c r="BC3352" i="4"/>
  <c r="BC3353" i="4"/>
  <c r="BC3354" i="4"/>
  <c r="BC3355" i="4"/>
  <c r="BC3356" i="4"/>
  <c r="BC3357" i="4"/>
  <c r="BC3358" i="4"/>
  <c r="BC3359" i="4"/>
  <c r="BC3360" i="4"/>
  <c r="BC3361" i="4"/>
  <c r="BC3362" i="4"/>
  <c r="BC3363" i="4"/>
  <c r="BC3364" i="4"/>
  <c r="BC3365" i="4"/>
  <c r="BC3366" i="4"/>
  <c r="BC3367" i="4"/>
  <c r="BC3368" i="4"/>
  <c r="BC3369" i="4"/>
  <c r="BC3370" i="4"/>
  <c r="BC3371" i="4"/>
  <c r="BC3372" i="4"/>
  <c r="BC3373" i="4"/>
  <c r="BC3374" i="4"/>
  <c r="BC3375" i="4"/>
  <c r="BC3376" i="4"/>
  <c r="BC3377" i="4"/>
  <c r="BC3378" i="4"/>
  <c r="BC3379" i="4"/>
  <c r="BC3380" i="4"/>
  <c r="BC3381" i="4"/>
  <c r="BC3382" i="4"/>
  <c r="BC3383" i="4"/>
  <c r="BC3384" i="4"/>
  <c r="BC3385" i="4"/>
  <c r="BC3386" i="4"/>
  <c r="BC3387" i="4"/>
  <c r="BC3388" i="4"/>
  <c r="BC3389" i="4"/>
  <c r="BC3390" i="4"/>
  <c r="BC3391" i="4"/>
  <c r="BC3392" i="4"/>
  <c r="BC3393" i="4"/>
  <c r="BC3394" i="4"/>
  <c r="BC3395" i="4"/>
  <c r="BC3396" i="4"/>
  <c r="BC3397" i="4"/>
  <c r="BC3398" i="4"/>
  <c r="BC3399" i="4"/>
  <c r="BC3400" i="4"/>
  <c r="BC3401" i="4"/>
  <c r="BC3402" i="4"/>
  <c r="BC3403" i="4"/>
  <c r="BC3404" i="4"/>
  <c r="BC3405" i="4"/>
  <c r="BC3406" i="4"/>
  <c r="BC3407" i="4"/>
  <c r="BC3408" i="4"/>
  <c r="BC3409" i="4"/>
  <c r="BC3410" i="4"/>
  <c r="BC3411" i="4"/>
  <c r="BC3412" i="4"/>
  <c r="BC3413" i="4"/>
  <c r="BC3414" i="4"/>
  <c r="BC3415" i="4"/>
  <c r="BC3416" i="4"/>
  <c r="BC3417" i="4"/>
  <c r="BC3418" i="4"/>
  <c r="BC3419" i="4"/>
  <c r="BC3420" i="4"/>
  <c r="BC3421" i="4"/>
  <c r="BC3422" i="4"/>
  <c r="BC3423" i="4"/>
  <c r="BC3424" i="4"/>
  <c r="BC3425" i="4"/>
  <c r="BC3426" i="4"/>
  <c r="BC3427" i="4"/>
  <c r="BC3428" i="4"/>
  <c r="BC3429" i="4"/>
  <c r="BC3430" i="4"/>
  <c r="BC3431" i="4"/>
  <c r="BC3432" i="4"/>
  <c r="BC3433" i="4"/>
  <c r="BC3434" i="4"/>
  <c r="BC3435" i="4"/>
  <c r="BC3436" i="4"/>
  <c r="BC3437" i="4"/>
  <c r="BC3438" i="4"/>
  <c r="BC3439" i="4"/>
  <c r="BC3440" i="4"/>
  <c r="BC3441" i="4"/>
  <c r="BC3442" i="4"/>
  <c r="BC3443" i="4"/>
  <c r="BC3444" i="4"/>
  <c r="BC3445" i="4"/>
  <c r="BC3446" i="4"/>
  <c r="BC3447" i="4"/>
  <c r="BC3448" i="4"/>
  <c r="BC3449" i="4"/>
  <c r="BC3450" i="4"/>
  <c r="BC3451" i="4"/>
  <c r="BC3452" i="4"/>
  <c r="BC3453" i="4"/>
  <c r="BC3454" i="4"/>
  <c r="BC3455" i="4"/>
  <c r="BC3456" i="4"/>
  <c r="BC3457" i="4"/>
  <c r="BC3458" i="4"/>
  <c r="BC3459" i="4"/>
  <c r="BC3460" i="4"/>
  <c r="BC3461" i="4"/>
  <c r="BC3462" i="4"/>
  <c r="BC3463" i="4"/>
  <c r="BC3464" i="4"/>
  <c r="BC3465" i="4"/>
  <c r="BC3466" i="4"/>
  <c r="BC3467" i="4"/>
  <c r="BC3468" i="4"/>
  <c r="BC3469" i="4"/>
  <c r="BC3470" i="4"/>
  <c r="BC3471" i="4"/>
  <c r="BC3472" i="4"/>
  <c r="BC3473" i="4"/>
  <c r="BC3474" i="4"/>
  <c r="BC3475" i="4"/>
  <c r="BC3476" i="4"/>
  <c r="BC3477" i="4"/>
  <c r="BC3478" i="4"/>
  <c r="BC3479" i="4"/>
  <c r="BC3480" i="4"/>
  <c r="BC3481" i="4"/>
  <c r="BC3482" i="4"/>
  <c r="BC3483" i="4"/>
  <c r="BC3484" i="4"/>
  <c r="BC3485" i="4"/>
  <c r="BC3486" i="4"/>
  <c r="BC3487" i="4"/>
  <c r="BC3488" i="4"/>
  <c r="BC3489" i="4"/>
  <c r="BC3490" i="4"/>
  <c r="BC3491" i="4"/>
  <c r="BC3492" i="4"/>
  <c r="BC3493" i="4"/>
  <c r="BC3494" i="4"/>
  <c r="BC3495" i="4"/>
  <c r="BC3496" i="4"/>
  <c r="BC3497" i="4"/>
  <c r="BC3498" i="4"/>
  <c r="BC3499" i="4"/>
  <c r="BC3500" i="4"/>
  <c r="BC3501" i="4"/>
  <c r="BC3502" i="4"/>
  <c r="BC3503" i="4"/>
  <c r="BC3504" i="4"/>
  <c r="BC3505" i="4"/>
  <c r="BC3506" i="4"/>
  <c r="BC3507" i="4"/>
  <c r="BC3508" i="4"/>
  <c r="BC3509" i="4"/>
  <c r="BC3510" i="4"/>
  <c r="BC3511" i="4"/>
  <c r="BC3512" i="4"/>
  <c r="BC3513" i="4"/>
  <c r="BC3514" i="4"/>
  <c r="BC3515" i="4"/>
  <c r="BC3516" i="4"/>
  <c r="BC3517" i="4"/>
  <c r="BC3518" i="4"/>
  <c r="BC3519" i="4"/>
  <c r="BC3520" i="4"/>
  <c r="BC3521" i="4"/>
  <c r="BC3522" i="4"/>
  <c r="BC3523" i="4"/>
  <c r="BC3524" i="4"/>
  <c r="BC3525" i="4"/>
  <c r="BC3526" i="4"/>
  <c r="BC3527" i="4"/>
  <c r="BC3528" i="4"/>
  <c r="BC3529" i="4"/>
  <c r="BC3530" i="4"/>
  <c r="BC3531" i="4"/>
  <c r="BC3532" i="4"/>
  <c r="BC3533" i="4"/>
  <c r="BC3534" i="4"/>
  <c r="BC3535" i="4"/>
  <c r="BC3536" i="4"/>
  <c r="BC3537" i="4"/>
  <c r="BC3538" i="4"/>
  <c r="BC3539" i="4"/>
  <c r="BC3540" i="4"/>
  <c r="BC3541" i="4"/>
  <c r="BC3542" i="4"/>
  <c r="BC3543" i="4"/>
  <c r="BC3544" i="4"/>
  <c r="BC3545" i="4"/>
  <c r="BC3546" i="4"/>
  <c r="BC3547" i="4"/>
  <c r="BC3548" i="4"/>
  <c r="BC3549" i="4"/>
  <c r="BC3550" i="4"/>
  <c r="BC3551" i="4"/>
  <c r="BC3552" i="4"/>
  <c r="BC3553" i="4"/>
  <c r="BC3554" i="4"/>
  <c r="BC3555" i="4"/>
  <c r="BC3556" i="4"/>
  <c r="BC3557" i="4"/>
  <c r="BC3558" i="4"/>
  <c r="BC3559" i="4"/>
  <c r="BC3560" i="4"/>
  <c r="BC3561" i="4"/>
  <c r="BC3562" i="4"/>
  <c r="BC3563" i="4"/>
  <c r="BC3564" i="4"/>
  <c r="BC3565" i="4"/>
  <c r="BC3566" i="4"/>
  <c r="BC3567" i="4"/>
  <c r="BC3568" i="4"/>
  <c r="BC3569" i="4"/>
  <c r="BC3570" i="4"/>
  <c r="BC3571" i="4"/>
  <c r="BC3572" i="4"/>
  <c r="BC3573" i="4"/>
  <c r="BC3574" i="4"/>
  <c r="BC3575" i="4"/>
  <c r="BC3576" i="4"/>
  <c r="BC3577" i="4"/>
  <c r="BC3578" i="4"/>
  <c r="BC3579" i="4"/>
  <c r="BC3580" i="4"/>
  <c r="BC3581" i="4"/>
  <c r="BC3582" i="4"/>
  <c r="BC3583" i="4"/>
  <c r="BC3584" i="4"/>
  <c r="BC3585" i="4"/>
  <c r="BC3586" i="4"/>
  <c r="BC3587" i="4"/>
  <c r="BC3588" i="4"/>
  <c r="BC3589" i="4"/>
  <c r="BC3590" i="4"/>
  <c r="BC3591" i="4"/>
  <c r="BC3592" i="4"/>
  <c r="BC3593" i="4"/>
  <c r="BC3594" i="4"/>
  <c r="BC3595" i="4"/>
  <c r="BC3596" i="4"/>
  <c r="BC3597" i="4"/>
  <c r="BC3598" i="4"/>
  <c r="BC3599" i="4"/>
  <c r="BC3600" i="4"/>
  <c r="BC3601" i="4"/>
  <c r="BC3602" i="4"/>
  <c r="BC3603" i="4"/>
  <c r="BC3604" i="4"/>
  <c r="BC3605" i="4"/>
  <c r="BC3606" i="4"/>
  <c r="BC3607" i="4"/>
  <c r="BC3608" i="4"/>
  <c r="BC3609" i="4"/>
  <c r="BC3610" i="4"/>
  <c r="BC3611" i="4"/>
  <c r="BC3612" i="4"/>
  <c r="BC3613" i="4"/>
  <c r="BC3614" i="4"/>
  <c r="BC3615" i="4"/>
  <c r="BC3616" i="4"/>
  <c r="BC3617" i="4"/>
  <c r="BC3618" i="4"/>
  <c r="BC3619" i="4"/>
  <c r="BC3620" i="4"/>
  <c r="BC3621" i="4"/>
  <c r="BC3622" i="4"/>
  <c r="BC3623" i="4"/>
  <c r="BC3624" i="4"/>
  <c r="BC3625" i="4"/>
  <c r="BC3626" i="4"/>
  <c r="BC3627" i="4"/>
  <c r="BC3628" i="4"/>
  <c r="BC3629" i="4"/>
  <c r="BC3630" i="4"/>
  <c r="BC3631" i="4"/>
  <c r="BC3632" i="4"/>
  <c r="BC3633" i="4"/>
  <c r="BC3634" i="4"/>
  <c r="BC3635" i="4"/>
  <c r="BC3636" i="4"/>
  <c r="BC3637" i="4"/>
  <c r="BC3638" i="4"/>
  <c r="BC3639" i="4"/>
  <c r="BC3640" i="4"/>
  <c r="BC3641" i="4"/>
  <c r="BC3642" i="4"/>
  <c r="BC3643" i="4"/>
  <c r="BC3644" i="4"/>
  <c r="BC3645" i="4"/>
  <c r="BC3646" i="4"/>
  <c r="BC3647" i="4"/>
  <c r="BC3648" i="4"/>
  <c r="BC3649" i="4"/>
  <c r="BC3650" i="4"/>
  <c r="BC3651" i="4"/>
  <c r="BC3652" i="4"/>
  <c r="BC3653" i="4"/>
  <c r="BC3654" i="4"/>
  <c r="BC3655" i="4"/>
  <c r="BC3656" i="4"/>
  <c r="BC3657" i="4"/>
  <c r="BC3658" i="4"/>
  <c r="BC3659" i="4"/>
  <c r="BC3660" i="4"/>
  <c r="BC3661" i="4"/>
  <c r="BC3662" i="4"/>
  <c r="BC3663" i="4"/>
  <c r="BC3664" i="4"/>
  <c r="BC3665" i="4"/>
  <c r="BC3666" i="4"/>
  <c r="BC3667" i="4"/>
  <c r="BC3668" i="4"/>
  <c r="BC3669" i="4"/>
  <c r="BC3670" i="4"/>
  <c r="BC3671" i="4"/>
  <c r="BC3672" i="4"/>
  <c r="BC3673" i="4"/>
  <c r="BC3674" i="4"/>
  <c r="BC3675" i="4"/>
  <c r="BC3676" i="4"/>
  <c r="BC3677" i="4"/>
  <c r="BC3678" i="4"/>
  <c r="BC3679" i="4"/>
  <c r="BC3680" i="4"/>
  <c r="BC3681" i="4"/>
  <c r="BC3682" i="4"/>
  <c r="BC3683" i="4"/>
  <c r="BC3684" i="4"/>
  <c r="BC3685" i="4"/>
  <c r="BC3686" i="4"/>
  <c r="BC3687" i="4"/>
  <c r="BC3688" i="4"/>
  <c r="BC3689" i="4"/>
  <c r="BC3690" i="4"/>
  <c r="BC3691" i="4"/>
  <c r="BC3692" i="4"/>
  <c r="BC3693" i="4"/>
  <c r="BC3694" i="4"/>
  <c r="BC3695" i="4"/>
  <c r="BC3696" i="4"/>
  <c r="BC3697" i="4"/>
  <c r="BC3698" i="4"/>
  <c r="BC3699" i="4"/>
  <c r="BC3700" i="4"/>
  <c r="BC3701" i="4"/>
  <c r="BC3702" i="4"/>
  <c r="BC3703" i="4"/>
  <c r="BC3704" i="4"/>
  <c r="BC3705" i="4"/>
  <c r="BC3706" i="4"/>
  <c r="BC3707" i="4"/>
  <c r="BC3708" i="4"/>
  <c r="BC3709" i="4"/>
  <c r="BC3710" i="4"/>
  <c r="BC3711" i="4"/>
  <c r="BC3712" i="4"/>
  <c r="BC3713" i="4"/>
  <c r="BC3714" i="4"/>
  <c r="BC3715" i="4"/>
  <c r="BC3716" i="4"/>
  <c r="BC3717" i="4"/>
  <c r="BC3718" i="4"/>
  <c r="BC3719" i="4"/>
  <c r="BC3720" i="4"/>
  <c r="BC3721" i="4"/>
  <c r="BC3722" i="4"/>
  <c r="BC3723" i="4"/>
  <c r="BC3724" i="4"/>
  <c r="BC3725" i="4"/>
  <c r="BC3726" i="4"/>
  <c r="BC3727" i="4"/>
  <c r="BC3728" i="4"/>
  <c r="BC3729" i="4"/>
  <c r="BC3730" i="4"/>
  <c r="BC3731" i="4"/>
  <c r="BC3732" i="4"/>
  <c r="BC3733" i="4"/>
  <c r="BC3734" i="4"/>
  <c r="BC3735" i="4"/>
  <c r="BC3736" i="4"/>
  <c r="BC3737" i="4"/>
  <c r="BC3738" i="4"/>
  <c r="BC3739" i="4"/>
  <c r="BC3740" i="4"/>
  <c r="BC3741" i="4"/>
  <c r="BC3742" i="4"/>
  <c r="BC3743" i="4"/>
  <c r="BC3744" i="4"/>
  <c r="BC3745" i="4"/>
  <c r="BC3746" i="4"/>
  <c r="BC3747" i="4"/>
  <c r="BC3748" i="4"/>
  <c r="BC3749" i="4"/>
  <c r="BC3750" i="4"/>
  <c r="BC3751" i="4"/>
  <c r="BC3752" i="4"/>
  <c r="BC3753" i="4"/>
  <c r="BC3754" i="4"/>
  <c r="BC3755" i="4"/>
  <c r="BC3756" i="4"/>
  <c r="BC3757" i="4"/>
  <c r="BC3758" i="4"/>
  <c r="BC3759" i="4"/>
  <c r="BC3760" i="4"/>
  <c r="BC3761" i="4"/>
  <c r="BC3762" i="4"/>
  <c r="BC3763" i="4"/>
  <c r="BC3764" i="4"/>
  <c r="BC3765" i="4"/>
  <c r="BC3766" i="4"/>
  <c r="BC3767" i="4"/>
  <c r="BC3768" i="4"/>
  <c r="BC3769" i="4"/>
  <c r="BC3770" i="4"/>
  <c r="BC3771" i="4"/>
  <c r="BC3772" i="4"/>
  <c r="BC3773" i="4"/>
  <c r="BC3774" i="4"/>
  <c r="BC3775" i="4"/>
  <c r="BC3776" i="4"/>
  <c r="BC3777" i="4"/>
  <c r="BC3778" i="4"/>
  <c r="BC3779" i="4"/>
  <c r="BC3780" i="4"/>
  <c r="BC3781" i="4"/>
  <c r="BC3782" i="4"/>
  <c r="BC3783" i="4"/>
  <c r="BC3784" i="4"/>
  <c r="BC3785" i="4"/>
  <c r="BC3786" i="4"/>
  <c r="BC3787" i="4"/>
  <c r="BC3788" i="4"/>
  <c r="BC3789" i="4"/>
  <c r="BC3790" i="4"/>
  <c r="BC3791" i="4"/>
  <c r="BC3792" i="4"/>
  <c r="BC3793" i="4"/>
  <c r="BC3794" i="4"/>
  <c r="BC3795" i="4"/>
  <c r="BC3796" i="4"/>
  <c r="BC3797" i="4"/>
  <c r="BC3798" i="4"/>
  <c r="BC3799" i="4"/>
  <c r="BC3800" i="4"/>
  <c r="BC3801" i="4"/>
  <c r="BC3802" i="4"/>
  <c r="BC3803" i="4"/>
  <c r="BC3804" i="4"/>
  <c r="BC3805" i="4"/>
  <c r="BC3806" i="4"/>
  <c r="BC3807" i="4"/>
  <c r="BC3808" i="4"/>
  <c r="BC3809" i="4"/>
  <c r="BC3810" i="4"/>
  <c r="BC3811" i="4"/>
  <c r="BC3812" i="4"/>
  <c r="BC3813" i="4"/>
  <c r="BC3814" i="4"/>
  <c r="BC3815" i="4"/>
  <c r="BC3816" i="4"/>
  <c r="BC3817" i="4"/>
  <c r="BC3818" i="4"/>
  <c r="BC3819" i="4"/>
  <c r="BC3820" i="4"/>
  <c r="BC3821" i="4"/>
  <c r="BC3822" i="4"/>
  <c r="BC3823" i="4"/>
  <c r="BC3824" i="4"/>
  <c r="BC3825" i="4"/>
  <c r="BC3826" i="4"/>
  <c r="BC3827" i="4"/>
  <c r="BC3828" i="4"/>
  <c r="BC3829" i="4"/>
  <c r="BC3830" i="4"/>
  <c r="BC3831" i="4"/>
  <c r="BC3832" i="4"/>
  <c r="BC3833" i="4"/>
  <c r="BC3834" i="4"/>
  <c r="BC3835" i="4"/>
  <c r="BC3836" i="4"/>
  <c r="BC3837" i="4"/>
  <c r="BC3838" i="4"/>
  <c r="BC3839" i="4"/>
  <c r="BC3840" i="4"/>
  <c r="BC3841" i="4"/>
  <c r="BC3842" i="4"/>
  <c r="BC3843" i="4"/>
  <c r="BC3844" i="4"/>
  <c r="BC3845" i="4"/>
  <c r="BC3846" i="4"/>
  <c r="BC3847" i="4"/>
  <c r="BC3848" i="4"/>
  <c r="BC3849" i="4"/>
  <c r="BC3850" i="4"/>
  <c r="BC3851" i="4"/>
  <c r="BC3852" i="4"/>
  <c r="BC3853" i="4"/>
  <c r="BC3854" i="4"/>
  <c r="BC3855" i="4"/>
  <c r="BC3856" i="4"/>
  <c r="BC3857" i="4"/>
  <c r="BC3858" i="4"/>
  <c r="BC3859" i="4"/>
  <c r="BC3860" i="4"/>
  <c r="BC3861" i="4"/>
  <c r="BC3862" i="4"/>
  <c r="BC3863" i="4"/>
  <c r="BC3864" i="4"/>
  <c r="BC3865" i="4"/>
  <c r="BC3866" i="4"/>
  <c r="BC3867" i="4"/>
  <c r="BC3868" i="4"/>
  <c r="BC3869" i="4"/>
  <c r="BC3870" i="4"/>
  <c r="BC3871" i="4"/>
  <c r="BC3872" i="4"/>
  <c r="BC3873" i="4"/>
  <c r="BC3874" i="4"/>
  <c r="BC3875" i="4"/>
  <c r="BC3876" i="4"/>
  <c r="BC3877" i="4"/>
  <c r="BC3878" i="4"/>
  <c r="BC3879" i="4"/>
  <c r="BC3880" i="4"/>
  <c r="BC3881" i="4"/>
  <c r="BC3882" i="4"/>
  <c r="BC3883" i="4"/>
  <c r="BC3884" i="4"/>
  <c r="BC3885" i="4"/>
  <c r="BC3886" i="4"/>
  <c r="BC3887" i="4"/>
  <c r="BC3888" i="4"/>
  <c r="BC3889" i="4"/>
  <c r="BC3890" i="4"/>
  <c r="BC3891" i="4"/>
  <c r="BC3892" i="4"/>
  <c r="BC3893" i="4"/>
  <c r="BC3894" i="4"/>
  <c r="BC3895" i="4"/>
  <c r="BC3896" i="4"/>
  <c r="BC3897" i="4"/>
  <c r="BC3898" i="4"/>
  <c r="BC3899" i="4"/>
  <c r="BC3900" i="4"/>
  <c r="BC3901" i="4"/>
  <c r="BC3902" i="4"/>
  <c r="BC3903" i="4"/>
  <c r="BC3904" i="4"/>
  <c r="BC3905" i="4"/>
  <c r="BC3906" i="4"/>
  <c r="BC3907" i="4"/>
  <c r="BC3908" i="4"/>
  <c r="BC3909" i="4"/>
  <c r="BC3910" i="4"/>
  <c r="BC3911" i="4"/>
  <c r="BC3912" i="4"/>
  <c r="BC3913" i="4"/>
  <c r="BC3914" i="4"/>
  <c r="BC3915" i="4"/>
  <c r="BC3916" i="4"/>
  <c r="BC3917" i="4"/>
  <c r="BC3918" i="4"/>
  <c r="BC3919" i="4"/>
  <c r="BC3920" i="4"/>
  <c r="BC3921" i="4"/>
  <c r="BC3922" i="4"/>
  <c r="BC3923" i="4"/>
  <c r="BC3924" i="4"/>
  <c r="BC3925" i="4"/>
  <c r="BC3926" i="4"/>
  <c r="BC3927" i="4"/>
  <c r="BC3928" i="4"/>
  <c r="BC3929" i="4"/>
  <c r="BC3930" i="4"/>
  <c r="BC3931" i="4"/>
  <c r="BC3932" i="4"/>
  <c r="BC3933" i="4"/>
  <c r="BC3934" i="4"/>
  <c r="BC3935" i="4"/>
  <c r="BC3936" i="4"/>
  <c r="BC3937" i="4"/>
  <c r="BC3938" i="4"/>
  <c r="BC3939" i="4"/>
  <c r="BC3940" i="4"/>
  <c r="BC3941" i="4"/>
  <c r="BC3942" i="4"/>
  <c r="BC3943" i="4"/>
  <c r="BC3944" i="4"/>
  <c r="BC3945" i="4"/>
  <c r="BC3946" i="4"/>
  <c r="BC3947" i="4"/>
  <c r="BC3948" i="4"/>
  <c r="BC3949" i="4"/>
  <c r="BC3950" i="4"/>
  <c r="BC3951" i="4"/>
  <c r="BC3952" i="4"/>
  <c r="BC3953" i="4"/>
  <c r="BC3954" i="4"/>
  <c r="BC3955" i="4"/>
  <c r="BC3956" i="4"/>
  <c r="BC3957" i="4"/>
  <c r="BC3958" i="4"/>
  <c r="BC3959" i="4"/>
  <c r="BC3960" i="4"/>
  <c r="BC3961" i="4"/>
  <c r="BC3962" i="4"/>
  <c r="BC3963" i="4"/>
  <c r="BC3964" i="4"/>
  <c r="BC3965" i="4"/>
  <c r="BC3966" i="4"/>
  <c r="BC3967" i="4"/>
  <c r="BC3968" i="4"/>
  <c r="BC3969" i="4"/>
  <c r="BC3970" i="4"/>
  <c r="BC3971" i="4"/>
  <c r="BC3972" i="4"/>
  <c r="BC3973" i="4"/>
  <c r="BC3974" i="4"/>
  <c r="BC3975" i="4"/>
  <c r="BC3976" i="4"/>
  <c r="BC3977" i="4"/>
  <c r="BC3978" i="4"/>
  <c r="BC3979" i="4"/>
  <c r="BC3980" i="4"/>
  <c r="BC3981" i="4"/>
  <c r="BC3982" i="4"/>
  <c r="BC3983" i="4"/>
  <c r="BC3984" i="4"/>
  <c r="BC3985" i="4"/>
  <c r="BC3986" i="4"/>
  <c r="BC3987" i="4"/>
  <c r="BC3988" i="4"/>
  <c r="BC3989" i="4"/>
  <c r="BC3990" i="4"/>
  <c r="BC3991" i="4"/>
  <c r="BC3992" i="4"/>
  <c r="BC3993" i="4"/>
  <c r="BC3994" i="4"/>
  <c r="BC3995" i="4"/>
  <c r="BC3996" i="4"/>
  <c r="BC3997" i="4"/>
  <c r="BC3998" i="4"/>
  <c r="BC3999" i="4"/>
  <c r="BC4000" i="4"/>
  <c r="BC4001" i="4"/>
  <c r="BC4002" i="4"/>
  <c r="BC4003" i="4"/>
  <c r="BC4004" i="4"/>
  <c r="BC4005" i="4"/>
  <c r="BC4006" i="4"/>
  <c r="BC4007" i="4"/>
  <c r="BC4008" i="4"/>
  <c r="BC4009" i="4"/>
  <c r="BC4010" i="4"/>
  <c r="BC4011" i="4"/>
  <c r="BC4012" i="4"/>
  <c r="BC4013" i="4"/>
  <c r="BC4014" i="4"/>
  <c r="BC4015" i="4"/>
  <c r="BC4016" i="4"/>
  <c r="BC4017" i="4"/>
  <c r="BC4018" i="4"/>
  <c r="BC4019" i="4"/>
  <c r="BC4020" i="4"/>
  <c r="BC4021" i="4"/>
  <c r="BC4022" i="4"/>
  <c r="BC4023" i="4"/>
  <c r="BC4024" i="4"/>
  <c r="BC4025" i="4"/>
  <c r="BC4026" i="4"/>
  <c r="BC4027" i="4"/>
  <c r="BC4028" i="4"/>
  <c r="BC4029" i="4"/>
  <c r="BC4030" i="4"/>
  <c r="BC4031" i="4"/>
  <c r="BC4032" i="4"/>
  <c r="BC4033" i="4"/>
  <c r="BC4034" i="4"/>
  <c r="BC4035" i="4"/>
  <c r="BC4036" i="4"/>
  <c r="BC4037" i="4"/>
  <c r="BC4038" i="4"/>
  <c r="BC4039" i="4"/>
  <c r="BC4040" i="4"/>
  <c r="BC4041" i="4"/>
  <c r="BC4042" i="4"/>
  <c r="BC4043" i="4"/>
  <c r="BC4044" i="4"/>
  <c r="BC4045" i="4"/>
  <c r="BC4046" i="4"/>
  <c r="BC4047" i="4"/>
  <c r="BC4048" i="4"/>
  <c r="BC4049" i="4"/>
  <c r="BC4050" i="4"/>
  <c r="BC4051" i="4"/>
  <c r="BC4052" i="4"/>
  <c r="BC4053" i="4"/>
  <c r="BC4054" i="4"/>
  <c r="BC4055" i="4"/>
  <c r="BC4056" i="4"/>
  <c r="BC4057" i="4"/>
  <c r="BC4058" i="4"/>
  <c r="BC4059" i="4"/>
  <c r="BC4060" i="4"/>
  <c r="BC4061" i="4"/>
  <c r="BC4062" i="4"/>
  <c r="BC4063" i="4"/>
  <c r="BC4064" i="4"/>
  <c r="BC4065" i="4"/>
  <c r="BC4066" i="4"/>
  <c r="BC4067" i="4"/>
  <c r="BC4068" i="4"/>
  <c r="BC4069" i="4"/>
  <c r="BC4070" i="4"/>
  <c r="BC4071" i="4"/>
  <c r="BC4072" i="4"/>
  <c r="BC4073" i="4"/>
  <c r="BC4074" i="4"/>
  <c r="BC4075" i="4"/>
  <c r="BC4076" i="4"/>
  <c r="BC4077" i="4"/>
  <c r="BC4078" i="4"/>
  <c r="BC4079" i="4"/>
  <c r="BC4080" i="4"/>
  <c r="BC4081" i="4"/>
  <c r="BC4082" i="4"/>
  <c r="BC4083" i="4"/>
  <c r="BC4084" i="4"/>
  <c r="BC4085" i="4"/>
  <c r="BC4086" i="4"/>
  <c r="BC4087" i="4"/>
  <c r="BC4088" i="4"/>
  <c r="BC4089" i="4"/>
  <c r="BC4090" i="4"/>
  <c r="BC4091" i="4"/>
  <c r="BC4092" i="4"/>
  <c r="BC4093" i="4"/>
  <c r="BC4094" i="4"/>
  <c r="BC4095" i="4"/>
  <c r="BC4096" i="4"/>
  <c r="BC4097" i="4"/>
  <c r="BC4098" i="4"/>
  <c r="BC4099" i="4"/>
  <c r="BC4100" i="4"/>
  <c r="BC4101" i="4"/>
  <c r="BC4102" i="4"/>
  <c r="BC4103" i="4"/>
  <c r="BC4104" i="4"/>
  <c r="BC4105" i="4"/>
  <c r="BC4106" i="4"/>
  <c r="BC4107" i="4"/>
  <c r="BC4108" i="4"/>
  <c r="BC4109" i="4"/>
  <c r="BC4110" i="4"/>
  <c r="BC4111" i="4"/>
  <c r="BC4112" i="4"/>
  <c r="BC4113" i="4"/>
  <c r="BC4114" i="4"/>
  <c r="BC4115" i="4"/>
  <c r="BC4116" i="4"/>
  <c r="BC4117" i="4"/>
  <c r="BC4118" i="4"/>
  <c r="BC4119" i="4"/>
  <c r="BC4120" i="4"/>
  <c r="BC4121" i="4"/>
  <c r="BC4122" i="4"/>
  <c r="BC4123" i="4"/>
  <c r="BC4124" i="4"/>
  <c r="BC4125" i="4"/>
  <c r="BC4126" i="4"/>
  <c r="BC4127" i="4"/>
  <c r="BC4128" i="4"/>
  <c r="BC4129" i="4"/>
  <c r="BC4130" i="4"/>
  <c r="BC4131" i="4"/>
  <c r="BC4132" i="4"/>
  <c r="BC4133" i="4"/>
  <c r="BC4134" i="4"/>
  <c r="BC4135" i="4"/>
  <c r="BC4136" i="4"/>
  <c r="BC4137" i="4"/>
  <c r="BC4138" i="4"/>
  <c r="BC4139" i="4"/>
  <c r="BC4140" i="4"/>
  <c r="BC4141" i="4"/>
  <c r="BC4142" i="4"/>
  <c r="BC4143" i="4"/>
  <c r="BC4144" i="4"/>
  <c r="BC4145" i="4"/>
  <c r="BC4146" i="4"/>
  <c r="BC4147" i="4"/>
  <c r="BC4148" i="4"/>
  <c r="BC4149" i="4"/>
  <c r="BC4150" i="4"/>
  <c r="BC4151" i="4"/>
  <c r="BC4152" i="4"/>
  <c r="BC4153" i="4"/>
  <c r="BC4154" i="4"/>
  <c r="BC4155" i="4"/>
  <c r="BC4156" i="4"/>
  <c r="BC4157" i="4"/>
  <c r="BC4158" i="4"/>
  <c r="BC4159" i="4"/>
  <c r="BC4160" i="4"/>
  <c r="BC4161" i="4"/>
  <c r="BC4162" i="4"/>
  <c r="BC4163" i="4"/>
  <c r="BC4164" i="4"/>
  <c r="BC4165" i="4"/>
  <c r="BC4166" i="4"/>
  <c r="BC4167" i="4"/>
  <c r="BC4168" i="4"/>
  <c r="BC4169" i="4"/>
  <c r="BC4170" i="4"/>
  <c r="BC4171" i="4"/>
  <c r="BC4172" i="4"/>
  <c r="BC4173" i="4"/>
  <c r="BC4174" i="4"/>
  <c r="BC4175" i="4"/>
  <c r="BC4176" i="4"/>
  <c r="BC4177" i="4"/>
  <c r="BC4178" i="4"/>
  <c r="BC4179" i="4"/>
  <c r="BC4180" i="4"/>
  <c r="BC4181" i="4"/>
  <c r="BC4182" i="4"/>
  <c r="BC4183" i="4"/>
  <c r="BC4184" i="4"/>
  <c r="BC4185" i="4"/>
  <c r="BC4186" i="4"/>
  <c r="BC4187" i="4"/>
  <c r="BC4188" i="4"/>
  <c r="BC4189" i="4"/>
  <c r="BC4190" i="4"/>
  <c r="BC4191" i="4"/>
  <c r="BC4192" i="4"/>
  <c r="BC4193" i="4"/>
  <c r="BC4194" i="4"/>
  <c r="BC4195" i="4"/>
  <c r="BC4196" i="4"/>
  <c r="BC4197" i="4"/>
  <c r="BC4198" i="4"/>
  <c r="BC4199" i="4"/>
  <c r="BC4200" i="4"/>
  <c r="BC4201" i="4"/>
  <c r="BC4202" i="4"/>
  <c r="BC4203" i="4"/>
  <c r="BC4204" i="4"/>
  <c r="BC4205" i="4"/>
  <c r="BC4206" i="4"/>
  <c r="BC4207" i="4"/>
  <c r="BC4208" i="4"/>
  <c r="BC4209" i="4"/>
  <c r="BC4210" i="4"/>
  <c r="BC4211" i="4"/>
  <c r="BC4212" i="4"/>
  <c r="BC4213" i="4"/>
  <c r="BC4214" i="4"/>
  <c r="BC4215" i="4"/>
  <c r="BC4216" i="4"/>
  <c r="BC4217" i="4"/>
  <c r="BC4218" i="4"/>
  <c r="BC4219" i="4"/>
  <c r="BC4220" i="4"/>
  <c r="BC4221" i="4"/>
  <c r="BC4222" i="4"/>
  <c r="BC4223" i="4"/>
  <c r="BC4224" i="4"/>
  <c r="BC4225" i="4"/>
  <c r="BC4226" i="4"/>
  <c r="BC4227" i="4"/>
  <c r="BC4228" i="4"/>
  <c r="BC4229" i="4"/>
  <c r="BC4230" i="4"/>
  <c r="BC4231" i="4"/>
  <c r="BC4232" i="4"/>
  <c r="BC4233" i="4"/>
  <c r="BC4234" i="4"/>
  <c r="BC4235" i="4"/>
  <c r="BC4236" i="4"/>
  <c r="BC4237" i="4"/>
  <c r="BC4238" i="4"/>
  <c r="BC4239" i="4"/>
  <c r="BC4240" i="4"/>
  <c r="BC4241" i="4"/>
  <c r="BC4242" i="4"/>
  <c r="BC4243" i="4"/>
  <c r="BC4244" i="4"/>
  <c r="BC4245" i="4"/>
  <c r="BC4246" i="4"/>
  <c r="BC4247" i="4"/>
  <c r="BC4248" i="4"/>
  <c r="BC4249" i="4"/>
  <c r="BC4250" i="4"/>
  <c r="BC4251" i="4"/>
  <c r="BC4252" i="4"/>
  <c r="BC4253" i="4"/>
  <c r="BC4254" i="4"/>
  <c r="BC4255" i="4"/>
  <c r="BC4256" i="4"/>
  <c r="BC4257" i="4"/>
  <c r="BC4258" i="4"/>
  <c r="BC4259" i="4"/>
  <c r="BC4260" i="4"/>
  <c r="BC4261" i="4"/>
  <c r="BC4262" i="4"/>
  <c r="BC4263" i="4"/>
  <c r="BC4264" i="4"/>
  <c r="BC4265" i="4"/>
  <c r="BC4266" i="4"/>
  <c r="BC4267" i="4"/>
  <c r="BC4268" i="4"/>
  <c r="BC4269" i="4"/>
  <c r="BC4270" i="4"/>
  <c r="BC4271" i="4"/>
  <c r="BC4272" i="4"/>
  <c r="BC4273" i="4"/>
  <c r="BC4274" i="4"/>
  <c r="BC4275" i="4"/>
  <c r="BC4276" i="4"/>
  <c r="BC4277" i="4"/>
  <c r="BC4278" i="4"/>
  <c r="BC4279" i="4"/>
  <c r="BC4280" i="4"/>
  <c r="BC4281" i="4"/>
  <c r="BC4282" i="4"/>
  <c r="BC4283" i="4"/>
  <c r="BC4284" i="4"/>
  <c r="BC4285" i="4"/>
  <c r="BC4286" i="4"/>
  <c r="BC4287" i="4"/>
  <c r="BC4288" i="4"/>
  <c r="BC4289" i="4"/>
  <c r="BC4290" i="4"/>
  <c r="BC4291" i="4"/>
  <c r="BC4292" i="4"/>
  <c r="BC4293" i="4"/>
  <c r="BC4294" i="4"/>
  <c r="BC4295" i="4"/>
  <c r="BC4296" i="4"/>
  <c r="BC4297" i="4"/>
  <c r="BC4298" i="4"/>
  <c r="BC4299" i="4"/>
  <c r="BC4300" i="4"/>
  <c r="BC4301" i="4"/>
  <c r="BC4302" i="4"/>
  <c r="BC4303" i="4"/>
  <c r="BC4304" i="4"/>
  <c r="BC4305" i="4"/>
  <c r="BC4306" i="4"/>
  <c r="BC4307" i="4"/>
  <c r="BC4308" i="4"/>
  <c r="BC4309" i="4"/>
  <c r="BC4310" i="4"/>
  <c r="BC4311" i="4"/>
  <c r="BC4312" i="4"/>
  <c r="BC4313" i="4"/>
  <c r="BC4314" i="4"/>
  <c r="BC4315" i="4"/>
  <c r="BC4316" i="4"/>
  <c r="BC4317" i="4"/>
  <c r="BC4318" i="4"/>
  <c r="BC4319" i="4"/>
  <c r="BC4320" i="4"/>
  <c r="BC4321" i="4"/>
  <c r="BC4322" i="4"/>
  <c r="BC4323" i="4"/>
  <c r="BC4324" i="4"/>
  <c r="BC4325" i="4"/>
  <c r="BC4326" i="4"/>
  <c r="BC4327" i="4"/>
  <c r="BC4328" i="4"/>
  <c r="BC4329" i="4"/>
  <c r="BC4330" i="4"/>
  <c r="BC4331" i="4"/>
  <c r="BC4332" i="4"/>
  <c r="BC4333" i="4"/>
  <c r="BC4334" i="4"/>
  <c r="BC4335" i="4"/>
  <c r="BC4336" i="4"/>
  <c r="BC4337" i="4"/>
  <c r="BC4338" i="4"/>
  <c r="BC4339" i="4"/>
  <c r="BC4340" i="4"/>
  <c r="BC4341" i="4"/>
  <c r="BC4342" i="4"/>
  <c r="BC4343" i="4"/>
  <c r="BC4344" i="4"/>
  <c r="BC4345" i="4"/>
  <c r="BC4346" i="4"/>
  <c r="BC4347" i="4"/>
  <c r="BC4348" i="4"/>
  <c r="BC4349" i="4"/>
  <c r="BC4350" i="4"/>
  <c r="BC4351" i="4"/>
  <c r="BC4352" i="4"/>
  <c r="BC4353" i="4"/>
  <c r="BC4354" i="4"/>
  <c r="BC4355" i="4"/>
  <c r="BC4356" i="4"/>
  <c r="BC4357" i="4"/>
  <c r="BC4358" i="4"/>
  <c r="BC4359" i="4"/>
  <c r="BC4360" i="4"/>
  <c r="BC4361" i="4"/>
  <c r="BC4362" i="4"/>
  <c r="BC4363" i="4"/>
  <c r="BC4364" i="4"/>
  <c r="BC4365" i="4"/>
  <c r="BC4366" i="4"/>
  <c r="BC4367" i="4"/>
  <c r="BC4368" i="4"/>
  <c r="BC4369" i="4"/>
  <c r="BC4370" i="4"/>
  <c r="BC4371" i="4"/>
  <c r="BC4372" i="4"/>
  <c r="BC4373" i="4"/>
  <c r="BC4374" i="4"/>
  <c r="BC4375" i="4"/>
  <c r="BC4376" i="4"/>
  <c r="BC4377" i="4"/>
  <c r="BC4378" i="4"/>
  <c r="BC4379" i="4"/>
  <c r="BC4380" i="4"/>
  <c r="BC4381" i="4"/>
  <c r="BC4382" i="4"/>
  <c r="BC4383" i="4"/>
  <c r="BC4384" i="4"/>
  <c r="BC4385" i="4"/>
  <c r="BC4386" i="4"/>
  <c r="BC4387" i="4"/>
  <c r="BC4388" i="4"/>
  <c r="BC4389" i="4"/>
  <c r="BC4390" i="4"/>
  <c r="BC4391" i="4"/>
  <c r="BC4392" i="4"/>
  <c r="BC4393" i="4"/>
  <c r="BC4394" i="4"/>
  <c r="BC4395" i="4"/>
  <c r="BC4396" i="4"/>
  <c r="BC4397" i="4"/>
  <c r="BC4398" i="4"/>
  <c r="BC4399" i="4"/>
  <c r="BC4400" i="4"/>
  <c r="BC4401" i="4"/>
  <c r="BC4402" i="4"/>
  <c r="BC4403" i="4"/>
  <c r="BC4404" i="4"/>
  <c r="BC4405" i="4"/>
  <c r="BC4406" i="4"/>
  <c r="BC4407" i="4"/>
  <c r="BC4408" i="4"/>
  <c r="BC4409" i="4"/>
  <c r="BC4410" i="4"/>
  <c r="BC4411" i="4"/>
  <c r="BC4412" i="4"/>
  <c r="BC4413" i="4"/>
  <c r="BC4414" i="4"/>
  <c r="BC4415" i="4"/>
  <c r="BC4416" i="4"/>
  <c r="BC4417" i="4"/>
  <c r="BC4418" i="4"/>
  <c r="BC4419" i="4"/>
  <c r="BC4420" i="4"/>
  <c r="BC4421" i="4"/>
  <c r="BC4422" i="4"/>
  <c r="BC4423" i="4"/>
  <c r="BC4424" i="4"/>
  <c r="BC4425" i="4"/>
  <c r="BC4426" i="4"/>
  <c r="BC4427" i="4"/>
  <c r="BC4428" i="4"/>
  <c r="BC4429" i="4"/>
  <c r="BC4430" i="4"/>
  <c r="BC4431" i="4"/>
  <c r="BC4432" i="4"/>
  <c r="BC4433" i="4"/>
  <c r="BC4434" i="4"/>
  <c r="BC4435" i="4"/>
  <c r="BC4436" i="4"/>
  <c r="BC4437" i="4"/>
  <c r="BC4438" i="4"/>
  <c r="BC4439" i="4"/>
  <c r="BC4440" i="4"/>
  <c r="BC4441" i="4"/>
  <c r="BC4442" i="4"/>
  <c r="BC4443" i="4"/>
  <c r="BC4444" i="4"/>
  <c r="BC4445" i="4"/>
  <c r="BC4446" i="4"/>
  <c r="BC4447" i="4"/>
  <c r="BC4448" i="4"/>
  <c r="BC4449" i="4"/>
  <c r="BC4450" i="4"/>
  <c r="BC4451" i="4"/>
  <c r="BC4452" i="4"/>
  <c r="BC4453" i="4"/>
  <c r="BC4454" i="4"/>
  <c r="BC4455" i="4"/>
  <c r="BC4456" i="4"/>
  <c r="BC4457" i="4"/>
  <c r="BC4458" i="4"/>
  <c r="BC4459" i="4"/>
  <c r="BC4460" i="4"/>
  <c r="BC4461" i="4"/>
  <c r="BC4462" i="4"/>
  <c r="BC4463" i="4"/>
  <c r="BC4464" i="4"/>
  <c r="BC4465" i="4"/>
  <c r="BC4466" i="4"/>
  <c r="BC4467" i="4"/>
  <c r="BC4468" i="4"/>
  <c r="BC4469" i="4"/>
  <c r="BC4470" i="4"/>
  <c r="BC4471" i="4"/>
  <c r="BC4472" i="4"/>
  <c r="BC4473" i="4"/>
  <c r="BC4474" i="4"/>
  <c r="BC4475" i="4"/>
  <c r="BC4476" i="4"/>
  <c r="BC4477" i="4"/>
  <c r="BC4478" i="4"/>
  <c r="BC4479" i="4"/>
  <c r="BC4480" i="4"/>
  <c r="BC4481" i="4"/>
  <c r="BC4482" i="4"/>
  <c r="BC4483" i="4"/>
  <c r="BC4484" i="4"/>
  <c r="BC4485" i="4"/>
  <c r="BC4486" i="4"/>
  <c r="BC4487" i="4"/>
  <c r="BC4488" i="4"/>
  <c r="BC4489" i="4"/>
  <c r="BC4490" i="4"/>
  <c r="BC4491" i="4"/>
  <c r="BC4492" i="4"/>
  <c r="BC4493" i="4"/>
  <c r="BC4494" i="4"/>
  <c r="BC4495" i="4"/>
  <c r="BC4496" i="4"/>
  <c r="BC4497" i="4"/>
  <c r="BC4498" i="4"/>
  <c r="BC4499" i="4"/>
  <c r="BC4500" i="4"/>
  <c r="BC4501" i="4"/>
  <c r="BC4502" i="4"/>
  <c r="BC4503" i="4"/>
  <c r="BC4504" i="4"/>
  <c r="BC4505" i="4"/>
  <c r="BC4506" i="4"/>
  <c r="BC4507" i="4"/>
  <c r="BC4508" i="4"/>
  <c r="BC4509" i="4"/>
  <c r="BC4510" i="4"/>
  <c r="BC4511" i="4"/>
  <c r="BC4512" i="4"/>
  <c r="BC4513" i="4"/>
  <c r="BC4514" i="4"/>
  <c r="BC4515" i="4"/>
  <c r="BC4516" i="4"/>
  <c r="BC4517" i="4"/>
  <c r="BC4518" i="4"/>
  <c r="BC4519" i="4"/>
  <c r="BC4520" i="4"/>
  <c r="BC4521" i="4"/>
  <c r="BC4522" i="4"/>
  <c r="BC4523" i="4"/>
  <c r="BC4524" i="4"/>
  <c r="BC4525" i="4"/>
  <c r="BC4526" i="4"/>
  <c r="BC4527" i="4"/>
  <c r="BC4528" i="4"/>
  <c r="BC4529" i="4"/>
  <c r="BC4530" i="4"/>
  <c r="BC4531" i="4"/>
  <c r="BC4532" i="4"/>
  <c r="BC4533" i="4"/>
  <c r="BC4534" i="4"/>
  <c r="BC4535" i="4"/>
  <c r="BC4536" i="4"/>
  <c r="BC4537" i="4"/>
  <c r="BC4538" i="4"/>
  <c r="BC4539" i="4"/>
  <c r="BC4540" i="4"/>
  <c r="BC4541" i="4"/>
  <c r="BC4542" i="4"/>
  <c r="BC4543" i="4"/>
  <c r="BC4544" i="4"/>
  <c r="BC4545" i="4"/>
  <c r="BC4546" i="4"/>
  <c r="BC4547" i="4"/>
  <c r="BC4548" i="4"/>
  <c r="BC4549" i="4"/>
  <c r="BC4550" i="4"/>
  <c r="BC4551" i="4"/>
  <c r="BC4552" i="4"/>
  <c r="BC4553" i="4"/>
  <c r="BC4554" i="4"/>
  <c r="BC4555" i="4"/>
  <c r="BC4556" i="4"/>
  <c r="BC4557" i="4"/>
  <c r="BC4558" i="4"/>
  <c r="BC4559" i="4"/>
  <c r="BC4560" i="4"/>
  <c r="BC4561" i="4"/>
  <c r="BC4562" i="4"/>
  <c r="BC4563" i="4"/>
  <c r="BC4564" i="4"/>
  <c r="BC4565" i="4"/>
  <c r="BC4566" i="4"/>
  <c r="BC4567" i="4"/>
  <c r="BC4568" i="4"/>
  <c r="BC4569" i="4"/>
  <c r="BC4570" i="4"/>
  <c r="BC4571" i="4"/>
  <c r="BC4572" i="4"/>
  <c r="BC4573" i="4"/>
  <c r="BC4574" i="4"/>
  <c r="BC4575" i="4"/>
  <c r="BC4576" i="4"/>
  <c r="BC4577" i="4"/>
  <c r="BC4578" i="4"/>
  <c r="BC4579" i="4"/>
  <c r="BC4580" i="4"/>
  <c r="BC4581" i="4"/>
  <c r="BC4582" i="4"/>
  <c r="BC4583" i="4"/>
  <c r="BC4584" i="4"/>
  <c r="BC4585" i="4"/>
  <c r="BC4586" i="4"/>
  <c r="BC4587" i="4"/>
  <c r="BC4588" i="4"/>
  <c r="BC4589" i="4"/>
  <c r="BC4590" i="4"/>
  <c r="BC4591" i="4"/>
  <c r="BC4592" i="4"/>
  <c r="BC4593" i="4"/>
  <c r="BC4594" i="4"/>
  <c r="BC4595" i="4"/>
  <c r="BC4596" i="4"/>
  <c r="BC4597" i="4"/>
  <c r="BC4598" i="4"/>
  <c r="BC4599" i="4"/>
  <c r="BC4600" i="4"/>
  <c r="BC4601" i="4"/>
  <c r="BC4602" i="4"/>
  <c r="BC4603" i="4"/>
  <c r="BC4604" i="4"/>
  <c r="BC4605" i="4"/>
  <c r="BC4606" i="4"/>
  <c r="BC4607" i="4"/>
  <c r="BC4608" i="4"/>
  <c r="BC4609" i="4"/>
  <c r="BC4610" i="4"/>
  <c r="BC4611" i="4"/>
  <c r="BC4612" i="4"/>
  <c r="BC4613" i="4"/>
  <c r="BC4614" i="4"/>
  <c r="BC4615" i="4"/>
  <c r="BC4616" i="4"/>
  <c r="BC4617" i="4"/>
  <c r="BC4618" i="4"/>
  <c r="BC4619" i="4"/>
  <c r="BC4620" i="4"/>
  <c r="BC4621" i="4"/>
  <c r="BC4622" i="4"/>
  <c r="BC4623" i="4"/>
  <c r="BC4624" i="4"/>
  <c r="BC4625" i="4"/>
  <c r="BC4626" i="4"/>
  <c r="BC4627" i="4"/>
  <c r="BC4628" i="4"/>
  <c r="BC4629" i="4"/>
  <c r="BC4630" i="4"/>
  <c r="BC4631" i="4"/>
  <c r="BC4632" i="4"/>
  <c r="BC4633" i="4"/>
  <c r="BC4634" i="4"/>
  <c r="BC4635" i="4"/>
  <c r="BC4636" i="4"/>
  <c r="BC4637" i="4"/>
  <c r="BC4638" i="4"/>
  <c r="BC4639" i="4"/>
  <c r="BC4640" i="4"/>
  <c r="BC4641" i="4"/>
  <c r="BC4642" i="4"/>
  <c r="BC4643" i="4"/>
  <c r="BC4644" i="4"/>
  <c r="BC4645" i="4"/>
  <c r="BC4646" i="4"/>
  <c r="BC4647" i="4"/>
  <c r="BC4648" i="4"/>
  <c r="BC4649" i="4"/>
  <c r="BC4650" i="4"/>
  <c r="BC4651" i="4"/>
  <c r="BC4652" i="4"/>
  <c r="BC4653" i="4"/>
  <c r="BC4654" i="4"/>
  <c r="BC4655" i="4"/>
  <c r="BC4656" i="4"/>
  <c r="BC4657" i="4"/>
  <c r="BC4658" i="4"/>
  <c r="BC4659" i="4"/>
  <c r="BC4660" i="4"/>
  <c r="BC4661" i="4"/>
  <c r="BC4662" i="4"/>
  <c r="BC4663" i="4"/>
  <c r="BC4664" i="4"/>
  <c r="BC4665" i="4"/>
  <c r="BC4666" i="4"/>
  <c r="BC4667" i="4"/>
  <c r="BC4668" i="4"/>
  <c r="BC4669" i="4"/>
  <c r="BC4670" i="4"/>
  <c r="BC4671" i="4"/>
  <c r="BC4672" i="4"/>
  <c r="BC4673" i="4"/>
  <c r="BC4674" i="4"/>
  <c r="BC4675" i="4"/>
  <c r="BC4676" i="4"/>
  <c r="BC4677" i="4"/>
  <c r="BC4678" i="4"/>
  <c r="BC4679" i="4"/>
  <c r="BC4680" i="4"/>
  <c r="BC4681" i="4"/>
  <c r="BC4682" i="4"/>
  <c r="BC4683" i="4"/>
  <c r="BC4684" i="4"/>
  <c r="BC4685" i="4"/>
  <c r="BC4686" i="4"/>
  <c r="BC4687" i="4"/>
  <c r="BC4688" i="4"/>
  <c r="BC4689" i="4"/>
  <c r="BC4690" i="4"/>
  <c r="BC4691" i="4"/>
  <c r="BC4692" i="4"/>
  <c r="BC4693" i="4"/>
  <c r="BC4694" i="4"/>
  <c r="BC4695" i="4"/>
  <c r="BC4696" i="4"/>
  <c r="BC4697" i="4"/>
  <c r="BC4698" i="4"/>
  <c r="BC4699" i="4"/>
  <c r="BC4700" i="4"/>
  <c r="BC4701" i="4"/>
  <c r="BC4702" i="4"/>
  <c r="BC4703" i="4"/>
  <c r="BC4704" i="4"/>
  <c r="BC4705" i="4"/>
  <c r="BC4706" i="4"/>
  <c r="BC4707" i="4"/>
  <c r="BC4708" i="4"/>
  <c r="BC4709" i="4"/>
  <c r="BC4710" i="4"/>
  <c r="BC4711" i="4"/>
  <c r="BC4712" i="4"/>
  <c r="BC4713" i="4"/>
  <c r="BC4714" i="4"/>
  <c r="BC4715" i="4"/>
  <c r="BC4716" i="4"/>
  <c r="BC4717" i="4"/>
  <c r="BC4718" i="4"/>
  <c r="BC4719" i="4"/>
  <c r="BC4720" i="4"/>
  <c r="BC4721" i="4"/>
  <c r="BC4722" i="4"/>
  <c r="BC4723" i="4"/>
  <c r="BC4724" i="4"/>
  <c r="BC4725" i="4"/>
  <c r="BC4726" i="4"/>
  <c r="BC4727" i="4"/>
  <c r="BC4728" i="4"/>
  <c r="BC4729" i="4"/>
  <c r="BC4730" i="4"/>
  <c r="BC4731" i="4"/>
  <c r="BC4732" i="4"/>
  <c r="BC4733" i="4"/>
  <c r="BC4734" i="4"/>
  <c r="BC4735" i="4"/>
  <c r="BC4736" i="4"/>
  <c r="BC4737" i="4"/>
  <c r="BC4738" i="4"/>
  <c r="BC4739" i="4"/>
  <c r="BC4740" i="4"/>
  <c r="BC4741" i="4"/>
  <c r="BC4742" i="4"/>
  <c r="BC4743" i="4"/>
  <c r="BC4744" i="4"/>
  <c r="BC4745" i="4"/>
  <c r="BC4746" i="4"/>
  <c r="BC4747" i="4"/>
  <c r="BC4748" i="4"/>
  <c r="BC4749" i="4"/>
  <c r="BC4750" i="4"/>
  <c r="BC4751" i="4"/>
  <c r="BC4752" i="4"/>
  <c r="BC4753" i="4"/>
  <c r="BC4754" i="4"/>
  <c r="BC4755" i="4"/>
  <c r="BC4756" i="4"/>
  <c r="BC4757" i="4"/>
  <c r="BC4758" i="4"/>
  <c r="BC4759" i="4"/>
  <c r="BC4760" i="4"/>
  <c r="BC4761" i="4"/>
  <c r="BC4762" i="4"/>
  <c r="BC4763" i="4"/>
  <c r="BC4764" i="4"/>
  <c r="BC4765" i="4"/>
  <c r="BC4766" i="4"/>
  <c r="BC4767" i="4"/>
  <c r="BC4768" i="4"/>
  <c r="BC4769" i="4"/>
  <c r="BC4770" i="4"/>
  <c r="BC4771" i="4"/>
  <c r="BC4772" i="4"/>
  <c r="BC4773" i="4"/>
  <c r="BC4774" i="4"/>
  <c r="BC4775" i="4"/>
  <c r="BC4776" i="4"/>
  <c r="BC4777" i="4"/>
  <c r="BC4778" i="4"/>
  <c r="BC4779" i="4"/>
  <c r="BC4780" i="4"/>
  <c r="BC4781" i="4"/>
  <c r="BC4782" i="4"/>
  <c r="BC4783" i="4"/>
  <c r="BC4784" i="4"/>
  <c r="BC4785" i="4"/>
  <c r="BC4786" i="4"/>
  <c r="BC4787" i="4"/>
  <c r="BC4788" i="4"/>
  <c r="BC4789" i="4"/>
  <c r="BC4790" i="4"/>
  <c r="BC4791" i="4"/>
  <c r="BC4792" i="4"/>
  <c r="BC4793" i="4"/>
  <c r="BC4794" i="4"/>
  <c r="BC4795" i="4"/>
  <c r="BC4796" i="4"/>
  <c r="BC4797" i="4"/>
  <c r="BC4798" i="4"/>
  <c r="BC4799" i="4"/>
  <c r="BC4800" i="4"/>
  <c r="BC4801" i="4"/>
  <c r="BC4802" i="4"/>
  <c r="BC4803" i="4"/>
  <c r="BC4804" i="4"/>
  <c r="BC4805" i="4"/>
  <c r="BC4806" i="4"/>
  <c r="BC4807" i="4"/>
  <c r="BC4808" i="4"/>
  <c r="BC4809" i="4"/>
  <c r="BC4810" i="4"/>
  <c r="BC4811" i="4"/>
  <c r="BC4812" i="4"/>
  <c r="BC4813" i="4"/>
  <c r="BC4814" i="4"/>
  <c r="BC4815" i="4"/>
  <c r="BC4816" i="4"/>
  <c r="BC4817" i="4"/>
  <c r="BC4818" i="4"/>
  <c r="BC4819" i="4"/>
  <c r="BC4820" i="4"/>
  <c r="BC4821" i="4"/>
  <c r="BC4822" i="4"/>
  <c r="BC4823" i="4"/>
  <c r="BC4824" i="4"/>
  <c r="BC4825" i="4"/>
  <c r="BC4826" i="4"/>
  <c r="BC4827" i="4"/>
  <c r="BC4828" i="4"/>
  <c r="BC4829" i="4"/>
  <c r="BC4830" i="4"/>
  <c r="BC4831" i="4"/>
  <c r="BC4832" i="4"/>
  <c r="BC4833" i="4"/>
  <c r="BC4834" i="4"/>
  <c r="BC4835" i="4"/>
  <c r="BC4836" i="4"/>
  <c r="BC4837" i="4"/>
  <c r="BC4838" i="4"/>
  <c r="BC4839" i="4"/>
  <c r="BC4840" i="4"/>
  <c r="BC4841" i="4"/>
  <c r="BC4842" i="4"/>
  <c r="BC4843" i="4"/>
  <c r="BC4844" i="4"/>
  <c r="BC4845" i="4"/>
  <c r="BC4846" i="4"/>
  <c r="BC4847" i="4"/>
  <c r="BC4848" i="4"/>
  <c r="BC4849" i="4"/>
  <c r="BC4850" i="4"/>
  <c r="BC4851" i="4"/>
  <c r="BC4852" i="4"/>
  <c r="BC4853" i="4"/>
  <c r="BC4854" i="4"/>
  <c r="BC4855" i="4"/>
  <c r="BC4856" i="4"/>
  <c r="BC4857" i="4"/>
  <c r="BC4858" i="4"/>
  <c r="BC4859" i="4"/>
  <c r="BC4860" i="4"/>
  <c r="BC4861" i="4"/>
  <c r="BC4862" i="4"/>
  <c r="BC4863" i="4"/>
  <c r="BC4864" i="4"/>
  <c r="BC4865" i="4"/>
  <c r="BC4866" i="4"/>
  <c r="BC4867" i="4"/>
  <c r="BC4868" i="4"/>
  <c r="BC4869" i="4"/>
  <c r="BC4870" i="4"/>
  <c r="BC4871" i="4"/>
  <c r="BC4872" i="4"/>
  <c r="BC4873" i="4"/>
  <c r="BC4874" i="4"/>
  <c r="BC4875" i="4"/>
  <c r="BC4876" i="4"/>
  <c r="BC4877" i="4"/>
  <c r="BC4878" i="4"/>
  <c r="BC4879" i="4"/>
  <c r="BC4880" i="4"/>
  <c r="BC4881" i="4"/>
  <c r="BC4882" i="4"/>
  <c r="BC4883" i="4"/>
  <c r="BC4884" i="4"/>
  <c r="BC4885" i="4"/>
  <c r="BC4886" i="4"/>
  <c r="BC4887" i="4"/>
  <c r="BC4888" i="4"/>
  <c r="BC4889" i="4"/>
  <c r="BC4890" i="4"/>
  <c r="BC4891" i="4"/>
  <c r="BC4892" i="4"/>
  <c r="BC4893" i="4"/>
  <c r="BC4894" i="4"/>
  <c r="BC4895" i="4"/>
  <c r="BC4896" i="4"/>
  <c r="BC4897" i="4"/>
  <c r="BC4898" i="4"/>
  <c r="BC4899" i="4"/>
  <c r="BC4900" i="4"/>
  <c r="BC4901" i="4"/>
  <c r="BC4902" i="4"/>
  <c r="BC4903" i="4"/>
  <c r="BC4904" i="4"/>
  <c r="BC4905" i="4"/>
  <c r="BC4906" i="4"/>
  <c r="BC4907" i="4"/>
  <c r="BC4908" i="4"/>
  <c r="BC4909" i="4"/>
  <c r="BC4910" i="4"/>
  <c r="BC4911" i="4"/>
  <c r="BC4912" i="4"/>
  <c r="BC4913" i="4"/>
  <c r="BC4914" i="4"/>
  <c r="BC4915" i="4"/>
  <c r="BC4916" i="4"/>
  <c r="BC4917" i="4"/>
  <c r="BC4918" i="4"/>
  <c r="BC4919" i="4"/>
  <c r="BC4920" i="4"/>
  <c r="BC4921" i="4"/>
  <c r="BC4922" i="4"/>
  <c r="BC4923" i="4"/>
  <c r="BC4924" i="4"/>
  <c r="BC4925" i="4"/>
  <c r="BC4926" i="4"/>
  <c r="BC4927" i="4"/>
  <c r="BC4928" i="4"/>
  <c r="BC4929" i="4"/>
  <c r="BC4930" i="4"/>
  <c r="BC4931" i="4"/>
  <c r="BC4932" i="4"/>
  <c r="BC4933" i="4"/>
  <c r="BC4934" i="4"/>
  <c r="BC4935" i="4"/>
  <c r="BC4936" i="4"/>
  <c r="BC4937" i="4"/>
  <c r="BC4938" i="4"/>
  <c r="BC4939" i="4"/>
  <c r="BC4940" i="4"/>
  <c r="BC4941" i="4"/>
  <c r="BC4942" i="4"/>
  <c r="BC4943" i="4"/>
  <c r="BC4944" i="4"/>
  <c r="BC4945" i="4"/>
  <c r="BC4946" i="4"/>
  <c r="BC4947" i="4"/>
  <c r="BC4948" i="4"/>
  <c r="BC4949" i="4"/>
  <c r="BC4950" i="4"/>
  <c r="BC4951" i="4"/>
  <c r="BC4952" i="4"/>
  <c r="BC4953" i="4"/>
  <c r="BC4954" i="4"/>
  <c r="BC4955" i="4"/>
  <c r="BC4956" i="4"/>
  <c r="BC4957" i="4"/>
  <c r="BC4958" i="4"/>
  <c r="BC4959" i="4"/>
  <c r="BC4960" i="4"/>
  <c r="BC4961" i="4"/>
  <c r="BC4962" i="4"/>
  <c r="BC4963" i="4"/>
  <c r="BC4964" i="4"/>
  <c r="BC4965" i="4"/>
  <c r="BC4966" i="4"/>
  <c r="BC4967" i="4"/>
  <c r="BC4968" i="4"/>
  <c r="BC4969" i="4"/>
  <c r="BC4970" i="4"/>
  <c r="BC4971" i="4"/>
  <c r="BC4972" i="4"/>
  <c r="BC4973" i="4"/>
  <c r="BC4974" i="4"/>
  <c r="BC4975" i="4"/>
  <c r="BC4976" i="4"/>
  <c r="BC4977" i="4"/>
  <c r="BC4978" i="4"/>
  <c r="BC4979" i="4"/>
  <c r="BC4980" i="4"/>
  <c r="BC4981" i="4"/>
  <c r="BC4982" i="4"/>
  <c r="BC4983" i="4"/>
  <c r="BC4984" i="4"/>
  <c r="BC4985" i="4"/>
  <c r="BC4986" i="4"/>
  <c r="BC4987" i="4"/>
  <c r="BC4988" i="4"/>
  <c r="BC4989" i="4"/>
  <c r="BC4990" i="4"/>
  <c r="BC4991" i="4"/>
  <c r="BC4992" i="4"/>
  <c r="BC4993" i="4"/>
  <c r="BC4994" i="4"/>
  <c r="BC4995" i="4"/>
  <c r="BC4996" i="4"/>
  <c r="BC4997" i="4"/>
  <c r="BC4998" i="4"/>
  <c r="BC4999" i="4"/>
  <c r="BC5000" i="4"/>
  <c r="BC5001" i="4"/>
  <c r="BC5002" i="4"/>
  <c r="BC5003" i="4"/>
  <c r="BC5004" i="4"/>
  <c r="BC5005" i="4"/>
  <c r="BC5006" i="4"/>
  <c r="BC5007" i="4"/>
  <c r="BC5008" i="4"/>
  <c r="BC5009" i="4"/>
  <c r="BC5010" i="4"/>
  <c r="BC5011" i="4"/>
  <c r="BC5012" i="4"/>
  <c r="BC5013" i="4"/>
  <c r="BC5014" i="4"/>
  <c r="BC5015" i="4"/>
  <c r="BC5016" i="4"/>
  <c r="BC5017" i="4"/>
  <c r="BC5018" i="4"/>
  <c r="BC5019" i="4"/>
  <c r="BC5020" i="4"/>
  <c r="BC5021" i="4"/>
  <c r="BC5022" i="4"/>
  <c r="BC5023" i="4"/>
  <c r="BC5024" i="4"/>
  <c r="BC5025" i="4"/>
  <c r="BC5026" i="4"/>
  <c r="BC5027" i="4"/>
  <c r="BC5028" i="4"/>
  <c r="BC5029" i="4"/>
  <c r="BC5030" i="4"/>
  <c r="BC5031" i="4"/>
  <c r="BC5032" i="4"/>
  <c r="BC5033" i="4"/>
  <c r="BC5034" i="4"/>
  <c r="BC5035" i="4"/>
  <c r="BC5036" i="4"/>
  <c r="BC5037" i="4"/>
  <c r="BC5038" i="4"/>
  <c r="BC5039" i="4"/>
  <c r="BC5040" i="4"/>
  <c r="BC5041" i="4"/>
  <c r="BC5042" i="4"/>
  <c r="BC5043" i="4"/>
  <c r="BC5044" i="4"/>
  <c r="BC5045" i="4"/>
  <c r="BC5046" i="4"/>
  <c r="BC5047" i="4"/>
  <c r="BC5048" i="4"/>
  <c r="BC5049" i="4"/>
  <c r="BC5050" i="4"/>
  <c r="BC5051" i="4"/>
  <c r="BC5052" i="4"/>
  <c r="BC5053" i="4"/>
  <c r="BC5054" i="4"/>
  <c r="BC5055" i="4"/>
  <c r="BC5056" i="4"/>
  <c r="BC5057" i="4"/>
  <c r="BC5058" i="4"/>
  <c r="BC5059" i="4"/>
  <c r="BC5060" i="4"/>
  <c r="BC5061" i="4"/>
  <c r="BC5062" i="4"/>
  <c r="BC5063" i="4"/>
  <c r="BC5064" i="4"/>
  <c r="BC5065" i="4"/>
  <c r="BC5066" i="4"/>
  <c r="BC5067" i="4"/>
  <c r="BC5068" i="4"/>
  <c r="BC5069" i="4"/>
  <c r="BC5070" i="4"/>
  <c r="BC5071" i="4"/>
  <c r="BC5072" i="4"/>
  <c r="BC5073" i="4"/>
  <c r="BC5074" i="4"/>
  <c r="BC5075" i="4"/>
  <c r="BC5076" i="4"/>
  <c r="BC5077" i="4"/>
  <c r="BC5078" i="4"/>
  <c r="BC5079" i="4"/>
  <c r="BC5080" i="4"/>
  <c r="BC5081" i="4"/>
  <c r="BC5082" i="4"/>
  <c r="BC5083" i="4"/>
  <c r="BC5084" i="4"/>
  <c r="BC5085" i="4"/>
  <c r="BC5086" i="4"/>
  <c r="BC5087" i="4"/>
  <c r="BC5088" i="4"/>
  <c r="BC5089" i="4"/>
  <c r="BC5090" i="4"/>
  <c r="BC5091" i="4"/>
  <c r="BC5092" i="4"/>
  <c r="BC5093" i="4"/>
  <c r="BC5094" i="4"/>
  <c r="BC5095" i="4"/>
  <c r="BC5096" i="4"/>
  <c r="BC5097" i="4"/>
  <c r="BC5098" i="4"/>
  <c r="BC5099" i="4"/>
  <c r="BC5100" i="4"/>
  <c r="BC5101" i="4"/>
  <c r="BC5102" i="4"/>
  <c r="BC5103" i="4"/>
  <c r="BC5104" i="4"/>
  <c r="BC5105" i="4"/>
  <c r="BC5106" i="4"/>
  <c r="BC5107" i="4"/>
  <c r="BC5108" i="4"/>
  <c r="BC5109" i="4"/>
  <c r="BC5110" i="4"/>
  <c r="BC5111" i="4"/>
  <c r="BC5112" i="4"/>
  <c r="BC5113" i="4"/>
  <c r="BC5114" i="4"/>
  <c r="BC5115" i="4"/>
  <c r="BC5116" i="4"/>
  <c r="BC5117" i="4"/>
  <c r="BC5118" i="4"/>
  <c r="BC5119" i="4"/>
  <c r="BC5120" i="4"/>
  <c r="BC5121" i="4"/>
  <c r="BC5122" i="4"/>
  <c r="BC5123" i="4"/>
  <c r="BC5124" i="4"/>
  <c r="BC5125" i="4"/>
  <c r="BC5126" i="4"/>
  <c r="BC5127" i="4"/>
  <c r="BC5128" i="4"/>
  <c r="BC5129" i="4"/>
  <c r="BC5130" i="4"/>
  <c r="BC5131" i="4"/>
  <c r="BC5132" i="4"/>
  <c r="BC5133" i="4"/>
  <c r="BC5134" i="4"/>
  <c r="BC5135" i="4"/>
  <c r="BC5136" i="4"/>
  <c r="BC5137" i="4"/>
  <c r="BC5138" i="4"/>
  <c r="BC5139" i="4"/>
  <c r="BC5140" i="4"/>
  <c r="BC5141" i="4"/>
  <c r="BC5142" i="4"/>
  <c r="BC5143" i="4"/>
  <c r="BC5144" i="4"/>
  <c r="BC5145" i="4"/>
  <c r="BC5146" i="4"/>
  <c r="BC5147" i="4"/>
  <c r="BC5148" i="4"/>
  <c r="BC5149" i="4"/>
  <c r="BC5150" i="4"/>
  <c r="BC5151" i="4"/>
  <c r="BC5152" i="4"/>
  <c r="BC5153" i="4"/>
  <c r="BC5154" i="4"/>
  <c r="BC5155" i="4"/>
  <c r="BC5156" i="4"/>
  <c r="BC5157" i="4"/>
  <c r="BC5158" i="4"/>
  <c r="BC5159" i="4"/>
  <c r="BC5160" i="4"/>
  <c r="BC5161" i="4"/>
  <c r="BC5162" i="4"/>
  <c r="BC5163" i="4"/>
  <c r="BC5164" i="4"/>
  <c r="BC5165" i="4"/>
  <c r="BC5166" i="4"/>
  <c r="BC5167" i="4"/>
  <c r="BC5168" i="4"/>
  <c r="BC5169" i="4"/>
  <c r="BC5170" i="4"/>
  <c r="BC5171" i="4"/>
  <c r="BC5172" i="4"/>
  <c r="BC5173" i="4"/>
  <c r="BC5174" i="4"/>
  <c r="BC5175" i="4"/>
  <c r="BC5176" i="4"/>
  <c r="BC5177" i="4"/>
  <c r="BC5178" i="4"/>
  <c r="BC5179" i="4"/>
  <c r="BC5180" i="4"/>
  <c r="BC5181" i="4"/>
  <c r="BC5182" i="4"/>
  <c r="BC5183" i="4"/>
  <c r="BC5184" i="4"/>
  <c r="BC5185" i="4"/>
  <c r="BC5186" i="4"/>
  <c r="BC5187" i="4"/>
  <c r="BC5188" i="4"/>
  <c r="BC5189" i="4"/>
  <c r="BC5190" i="4"/>
  <c r="BC5191" i="4"/>
  <c r="BC5192" i="4"/>
  <c r="BC5193" i="4"/>
  <c r="BC5194" i="4"/>
  <c r="BC5195" i="4"/>
  <c r="BC5196" i="4"/>
  <c r="BC5197" i="4"/>
  <c r="BC5198" i="4"/>
  <c r="BC5199" i="4"/>
  <c r="BC5200" i="4"/>
  <c r="BC5201" i="4"/>
  <c r="BC5202" i="4"/>
  <c r="BC5203" i="4"/>
  <c r="BC5204" i="4"/>
  <c r="BC5205" i="4"/>
  <c r="BC5206" i="4"/>
  <c r="BC5207" i="4"/>
  <c r="BC5208" i="4"/>
  <c r="BC5209" i="4"/>
  <c r="BC5210" i="4"/>
  <c r="BC5211" i="4"/>
  <c r="BC5212" i="4"/>
  <c r="BC5213" i="4"/>
  <c r="BC5214" i="4"/>
  <c r="BC5215" i="4"/>
  <c r="BC5216" i="4"/>
  <c r="BC5217" i="4"/>
  <c r="BC5218" i="4"/>
  <c r="BC5219" i="4"/>
  <c r="BC5220" i="4"/>
  <c r="BC5221" i="4"/>
  <c r="BC5222" i="4"/>
  <c r="BC5223" i="4"/>
  <c r="BC5224" i="4"/>
  <c r="BC5225" i="4"/>
  <c r="BC5226" i="4"/>
  <c r="BC5227" i="4"/>
  <c r="BC5228" i="4"/>
  <c r="BC5229" i="4"/>
  <c r="BC5230" i="4"/>
  <c r="BC5231" i="4"/>
  <c r="BC5232" i="4"/>
  <c r="BC5233" i="4"/>
  <c r="BC5234" i="4"/>
  <c r="BC5235" i="4"/>
  <c r="BC5236" i="4"/>
  <c r="BC5237" i="4"/>
  <c r="BC5238" i="4"/>
  <c r="BC5239" i="4"/>
  <c r="BC5240" i="4"/>
  <c r="BC5241" i="4"/>
  <c r="BC5242" i="4"/>
  <c r="BC5243" i="4"/>
  <c r="BC5244" i="4"/>
  <c r="BC5245" i="4"/>
  <c r="BC5246" i="4"/>
  <c r="BC5247" i="4"/>
  <c r="BC5248" i="4"/>
  <c r="BC5249" i="4"/>
  <c r="BC5250" i="4"/>
  <c r="BC5251" i="4"/>
  <c r="BC5252" i="4"/>
  <c r="BC5253" i="4"/>
  <c r="BC5254" i="4"/>
  <c r="BC5255" i="4"/>
  <c r="BC5256" i="4"/>
  <c r="BC5257" i="4"/>
  <c r="BC5258" i="4"/>
  <c r="BC5259" i="4"/>
  <c r="BC5260" i="4"/>
  <c r="BC5261" i="4"/>
  <c r="BC5262" i="4"/>
  <c r="BC5263" i="4"/>
  <c r="BC5264" i="4"/>
  <c r="BC5265" i="4"/>
  <c r="BC5266" i="4"/>
  <c r="BC5267" i="4"/>
  <c r="BC5268" i="4"/>
  <c r="BC5269" i="4"/>
  <c r="BC5270" i="4"/>
  <c r="BC5271" i="4"/>
  <c r="BC5272" i="4"/>
  <c r="BC5273" i="4"/>
  <c r="BC5274" i="4"/>
  <c r="BC5275" i="4"/>
  <c r="BC5276" i="4"/>
  <c r="BC5277" i="4"/>
  <c r="BC5278" i="4"/>
  <c r="BC5279" i="4"/>
  <c r="BC5280" i="4"/>
  <c r="BC5281" i="4"/>
  <c r="BC5282" i="4"/>
  <c r="BC5283" i="4"/>
  <c r="BC5284" i="4"/>
  <c r="BC5285" i="4"/>
  <c r="BC5286" i="4"/>
  <c r="BC5287" i="4"/>
  <c r="BC5288" i="4"/>
  <c r="BC5289" i="4"/>
  <c r="BC5290" i="4"/>
  <c r="BC5291" i="4"/>
  <c r="BC5292" i="4"/>
  <c r="BC5293" i="4"/>
  <c r="BC5294" i="4"/>
  <c r="BC5295" i="4"/>
  <c r="BC5296" i="4"/>
  <c r="BC5297" i="4"/>
  <c r="BC5298" i="4"/>
  <c r="BC5299" i="4"/>
  <c r="BC5300" i="4"/>
  <c r="BC5301" i="4"/>
  <c r="BC5302" i="4"/>
  <c r="BC5303" i="4"/>
  <c r="BC5304" i="4"/>
  <c r="BC5305" i="4"/>
  <c r="BC5306" i="4"/>
  <c r="BC5307" i="4"/>
  <c r="BC5308" i="4"/>
  <c r="BC5309" i="4"/>
  <c r="BC5310" i="4"/>
  <c r="BC5311" i="4"/>
  <c r="BC5312" i="4"/>
  <c r="BC5313" i="4"/>
  <c r="BC5314" i="4"/>
  <c r="BC5315" i="4"/>
  <c r="BC5316" i="4"/>
  <c r="BC5317" i="4"/>
  <c r="BC5318" i="4"/>
  <c r="BC5319" i="4"/>
  <c r="BC5320" i="4"/>
  <c r="BC5321" i="4"/>
  <c r="BC5322" i="4"/>
  <c r="BC5323" i="4"/>
  <c r="BC5324" i="4"/>
  <c r="BC5325" i="4"/>
  <c r="BC5326" i="4"/>
  <c r="BC5327" i="4"/>
  <c r="BC5328" i="4"/>
  <c r="BC5329" i="4"/>
  <c r="BC5330" i="4"/>
  <c r="BC5331" i="4"/>
  <c r="BC6" i="4"/>
  <c r="R49" i="1"/>
  <c r="R50" i="1" s="1"/>
  <c r="P49" i="1"/>
  <c r="O49" i="1"/>
  <c r="N49" i="1" s="1"/>
  <c r="M49" i="1"/>
  <c r="M50" i="1" s="1"/>
  <c r="L49" i="1"/>
  <c r="L50" i="1" s="1"/>
  <c r="R34" i="1"/>
  <c r="R35" i="1" s="1"/>
  <c r="P34" i="1"/>
  <c r="O34" i="1"/>
  <c r="N34" i="1" s="1"/>
  <c r="M34" i="1"/>
  <c r="M35" i="1" s="1"/>
  <c r="L34" i="1"/>
  <c r="L35" i="1" s="1"/>
  <c r="R19" i="1"/>
  <c r="P19" i="1"/>
  <c r="Q19" i="1" s="1"/>
  <c r="O19" i="1"/>
  <c r="N19" i="1" s="1"/>
  <c r="M19" i="1"/>
  <c r="L19" i="1"/>
  <c r="R5" i="1"/>
  <c r="P5" i="1"/>
  <c r="Q5" i="1" s="1"/>
  <c r="O5" i="1"/>
  <c r="N5" i="1" s="1"/>
  <c r="M5" i="1"/>
  <c r="L5" i="1"/>
  <c r="I57" i="1"/>
  <c r="I58" i="1" s="1"/>
  <c r="H57" i="1"/>
  <c r="H58" i="1" s="1"/>
  <c r="F57" i="1"/>
  <c r="E57" i="1"/>
  <c r="D57" i="1" s="1"/>
  <c r="C57" i="1"/>
  <c r="C58" i="1" s="1"/>
  <c r="B57" i="1"/>
  <c r="B58" i="1" s="1"/>
  <c r="I41" i="1"/>
  <c r="I42" i="1" s="1"/>
  <c r="H41" i="1"/>
  <c r="H42" i="1" s="1"/>
  <c r="F41" i="1"/>
  <c r="E41" i="1"/>
  <c r="D41" i="1" s="1"/>
  <c r="C41" i="1"/>
  <c r="C42" i="1" s="1"/>
  <c r="B41" i="1"/>
  <c r="B42" i="1" s="1"/>
  <c r="I25" i="1"/>
  <c r="H25" i="1"/>
  <c r="F25" i="1"/>
  <c r="G25" i="1" s="1"/>
  <c r="E25" i="1"/>
  <c r="D25" i="1" s="1"/>
  <c r="C25" i="1"/>
  <c r="B25" i="1"/>
  <c r="I11" i="1"/>
  <c r="H11" i="1"/>
  <c r="F11" i="1"/>
  <c r="G11" i="1" s="1"/>
  <c r="E11" i="1"/>
  <c r="D11" i="1" s="1"/>
  <c r="C11" i="1"/>
  <c r="B11" i="1"/>
  <c r="BI7" i="4"/>
  <c r="BI8" i="4"/>
  <c r="BI9" i="4"/>
  <c r="BI10" i="4"/>
  <c r="BI11" i="4"/>
  <c r="BI12" i="4"/>
  <c r="BI13" i="4"/>
  <c r="BI14" i="4"/>
  <c r="BI15" i="4"/>
  <c r="BI16" i="4"/>
  <c r="BI17" i="4"/>
  <c r="BI18" i="4"/>
  <c r="BI19" i="4"/>
  <c r="BI20" i="4"/>
  <c r="BI21" i="4"/>
  <c r="BI22" i="4"/>
  <c r="BI23" i="4"/>
  <c r="BI24" i="4"/>
  <c r="BI25" i="4"/>
  <c r="BI26" i="4"/>
  <c r="BI27" i="4"/>
  <c r="BI28" i="4"/>
  <c r="BI29" i="4"/>
  <c r="BI30" i="4"/>
  <c r="BI31" i="4"/>
  <c r="BI32" i="4"/>
  <c r="BI33" i="4"/>
  <c r="BI34" i="4"/>
  <c r="BI35" i="4"/>
  <c r="BI36" i="4"/>
  <c r="BI37" i="4"/>
  <c r="BI38" i="4"/>
  <c r="BI39" i="4"/>
  <c r="BI40" i="4"/>
  <c r="BI41" i="4"/>
  <c r="BI42" i="4"/>
  <c r="BI43" i="4"/>
  <c r="BI44" i="4"/>
  <c r="BI45" i="4"/>
  <c r="BI46" i="4"/>
  <c r="BI47" i="4"/>
  <c r="BI48" i="4"/>
  <c r="BI49" i="4"/>
  <c r="BI50" i="4"/>
  <c r="BI51" i="4"/>
  <c r="BI52" i="4"/>
  <c r="BI53" i="4"/>
  <c r="BI54" i="4"/>
  <c r="BI55" i="4"/>
  <c r="BI56" i="4"/>
  <c r="BI57" i="4"/>
  <c r="BI58" i="4"/>
  <c r="BI59" i="4"/>
  <c r="BI60" i="4"/>
  <c r="BI61" i="4"/>
  <c r="BI62" i="4"/>
  <c r="BI63" i="4"/>
  <c r="BI64" i="4"/>
  <c r="BI65" i="4"/>
  <c r="BI66" i="4"/>
  <c r="BI67" i="4"/>
  <c r="BI68" i="4"/>
  <c r="BI69" i="4"/>
  <c r="BI70" i="4"/>
  <c r="BI71" i="4"/>
  <c r="BI72" i="4"/>
  <c r="BI73" i="4"/>
  <c r="BI74" i="4"/>
  <c r="BI75" i="4"/>
  <c r="BI76" i="4"/>
  <c r="BI77" i="4"/>
  <c r="BI78" i="4"/>
  <c r="BI79" i="4"/>
  <c r="BI80" i="4"/>
  <c r="BI81" i="4"/>
  <c r="BI82" i="4"/>
  <c r="BI83" i="4"/>
  <c r="BI84" i="4"/>
  <c r="BI85" i="4"/>
  <c r="BI86" i="4"/>
  <c r="BI87" i="4"/>
  <c r="BI88" i="4"/>
  <c r="BI89" i="4"/>
  <c r="BI90" i="4"/>
  <c r="BI91" i="4"/>
  <c r="BI92" i="4"/>
  <c r="BI93" i="4"/>
  <c r="BI94" i="4"/>
  <c r="BI95" i="4"/>
  <c r="BI96" i="4"/>
  <c r="BI97" i="4"/>
  <c r="BI98" i="4"/>
  <c r="BI99" i="4"/>
  <c r="BI100" i="4"/>
  <c r="BI101" i="4"/>
  <c r="BI102" i="4"/>
  <c r="BI103" i="4"/>
  <c r="BI104" i="4"/>
  <c r="BI105" i="4"/>
  <c r="BI106" i="4"/>
  <c r="BI107" i="4"/>
  <c r="BI108" i="4"/>
  <c r="BI109" i="4"/>
  <c r="BI110" i="4"/>
  <c r="BI111" i="4"/>
  <c r="BI112" i="4"/>
  <c r="BI113" i="4"/>
  <c r="BI114" i="4"/>
  <c r="BI115" i="4"/>
  <c r="BI116" i="4"/>
  <c r="BI117" i="4"/>
  <c r="BI118" i="4"/>
  <c r="BI119" i="4"/>
  <c r="BI120" i="4"/>
  <c r="BI121" i="4"/>
  <c r="BI122" i="4"/>
  <c r="BI123" i="4"/>
  <c r="BI124" i="4"/>
  <c r="BI125" i="4"/>
  <c r="BI126" i="4"/>
  <c r="BI127" i="4"/>
  <c r="BI128" i="4"/>
  <c r="BI129" i="4"/>
  <c r="BI130" i="4"/>
  <c r="BI131" i="4"/>
  <c r="BI132" i="4"/>
  <c r="BI133" i="4"/>
  <c r="BI134" i="4"/>
  <c r="BI135" i="4"/>
  <c r="BI136" i="4"/>
  <c r="BI137" i="4"/>
  <c r="BI138" i="4"/>
  <c r="BI139" i="4"/>
  <c r="BI140" i="4"/>
  <c r="BI141" i="4"/>
  <c r="BI142" i="4"/>
  <c r="BI143" i="4"/>
  <c r="BI144" i="4"/>
  <c r="BI145" i="4"/>
  <c r="BI146" i="4"/>
  <c r="BI147" i="4"/>
  <c r="BI148" i="4"/>
  <c r="BI149" i="4"/>
  <c r="BI150" i="4"/>
  <c r="BI151" i="4"/>
  <c r="BI152" i="4"/>
  <c r="BI153" i="4"/>
  <c r="BI154" i="4"/>
  <c r="BI155" i="4"/>
  <c r="BI156" i="4"/>
  <c r="BI157" i="4"/>
  <c r="BI158" i="4"/>
  <c r="BI159" i="4"/>
  <c r="BI160" i="4"/>
  <c r="BI161" i="4"/>
  <c r="BI162" i="4"/>
  <c r="BI163" i="4"/>
  <c r="BI164" i="4"/>
  <c r="BI165" i="4"/>
  <c r="BI166" i="4"/>
  <c r="BI167" i="4"/>
  <c r="BI168" i="4"/>
  <c r="BI169" i="4"/>
  <c r="BI170" i="4"/>
  <c r="BI171" i="4"/>
  <c r="BI172" i="4"/>
  <c r="BI173" i="4"/>
  <c r="BI174" i="4"/>
  <c r="BI175" i="4"/>
  <c r="BI176" i="4"/>
  <c r="BI177" i="4"/>
  <c r="BI178" i="4"/>
  <c r="BI179" i="4"/>
  <c r="BI180" i="4"/>
  <c r="BI181" i="4"/>
  <c r="BI182" i="4"/>
  <c r="BI183" i="4"/>
  <c r="BI184" i="4"/>
  <c r="BI185" i="4"/>
  <c r="BI186" i="4"/>
  <c r="BI187" i="4"/>
  <c r="BI188" i="4"/>
  <c r="BI189" i="4"/>
  <c r="BI190" i="4"/>
  <c r="BI191" i="4"/>
  <c r="BI192" i="4"/>
  <c r="BI193" i="4"/>
  <c r="BI194" i="4"/>
  <c r="BI195" i="4"/>
  <c r="BI196" i="4"/>
  <c r="BI197" i="4"/>
  <c r="BI198" i="4"/>
  <c r="BI199" i="4"/>
  <c r="BI200" i="4"/>
  <c r="BI201" i="4"/>
  <c r="BI202" i="4"/>
  <c r="BI203" i="4"/>
  <c r="BI204" i="4"/>
  <c r="BI205" i="4"/>
  <c r="BI206" i="4"/>
  <c r="BI207" i="4"/>
  <c r="BI208" i="4"/>
  <c r="BI209" i="4"/>
  <c r="BI210" i="4"/>
  <c r="BI211" i="4"/>
  <c r="BI212" i="4"/>
  <c r="BI213" i="4"/>
  <c r="BI214" i="4"/>
  <c r="BI215" i="4"/>
  <c r="BI216" i="4"/>
  <c r="BI217" i="4"/>
  <c r="BI218" i="4"/>
  <c r="BI219" i="4"/>
  <c r="BI220" i="4"/>
  <c r="BI221" i="4"/>
  <c r="BI222" i="4"/>
  <c r="BI223" i="4"/>
  <c r="BI224" i="4"/>
  <c r="BI225" i="4"/>
  <c r="BI226" i="4"/>
  <c r="BI227" i="4"/>
  <c r="BI228" i="4"/>
  <c r="BI229" i="4"/>
  <c r="BI230" i="4"/>
  <c r="BI231" i="4"/>
  <c r="BI232" i="4"/>
  <c r="BI233" i="4"/>
  <c r="BI234" i="4"/>
  <c r="BI235" i="4"/>
  <c r="BI236" i="4"/>
  <c r="BI237" i="4"/>
  <c r="BI238" i="4"/>
  <c r="BI239" i="4"/>
  <c r="BI240" i="4"/>
  <c r="BI241" i="4"/>
  <c r="BI242" i="4"/>
  <c r="BI243" i="4"/>
  <c r="BI244" i="4"/>
  <c r="BI245" i="4"/>
  <c r="BI246" i="4"/>
  <c r="BI247" i="4"/>
  <c r="BI248" i="4"/>
  <c r="BI249" i="4"/>
  <c r="BI250" i="4"/>
  <c r="BI251" i="4"/>
  <c r="BI252" i="4"/>
  <c r="BI253" i="4"/>
  <c r="BI254" i="4"/>
  <c r="BI255" i="4"/>
  <c r="BI256" i="4"/>
  <c r="BI257" i="4"/>
  <c r="BI258" i="4"/>
  <c r="BI259" i="4"/>
  <c r="BI260" i="4"/>
  <c r="BI261" i="4"/>
  <c r="BI262" i="4"/>
  <c r="BI263" i="4"/>
  <c r="BI264" i="4"/>
  <c r="BI265" i="4"/>
  <c r="BI266" i="4"/>
  <c r="BI267" i="4"/>
  <c r="BI268" i="4"/>
  <c r="BI269" i="4"/>
  <c r="BI270" i="4"/>
  <c r="BI271" i="4"/>
  <c r="BI272" i="4"/>
  <c r="BI273" i="4"/>
  <c r="BI274" i="4"/>
  <c r="BI275" i="4"/>
  <c r="BI276" i="4"/>
  <c r="BI277" i="4"/>
  <c r="BI278" i="4"/>
  <c r="BI279" i="4"/>
  <c r="BI280" i="4"/>
  <c r="BI281" i="4"/>
  <c r="BI282" i="4"/>
  <c r="BI283" i="4"/>
  <c r="BI284" i="4"/>
  <c r="BI285" i="4"/>
  <c r="BI286" i="4"/>
  <c r="BI287" i="4"/>
  <c r="BI288" i="4"/>
  <c r="BI289" i="4"/>
  <c r="BI290" i="4"/>
  <c r="BI291" i="4"/>
  <c r="BI292" i="4"/>
  <c r="BI293" i="4"/>
  <c r="BI294" i="4"/>
  <c r="BI295" i="4"/>
  <c r="BI296" i="4"/>
  <c r="BI297" i="4"/>
  <c r="BI298" i="4"/>
  <c r="BI299" i="4"/>
  <c r="BI300" i="4"/>
  <c r="BI301" i="4"/>
  <c r="BI302" i="4"/>
  <c r="BI303" i="4"/>
  <c r="BI304" i="4"/>
  <c r="BI305" i="4"/>
  <c r="BI306" i="4"/>
  <c r="BI307" i="4"/>
  <c r="BI308" i="4"/>
  <c r="BI309" i="4"/>
  <c r="BI310" i="4"/>
  <c r="BI311" i="4"/>
  <c r="BI312" i="4"/>
  <c r="BI313" i="4"/>
  <c r="BI314" i="4"/>
  <c r="BI315" i="4"/>
  <c r="BI316" i="4"/>
  <c r="BI317" i="4"/>
  <c r="BI318" i="4"/>
  <c r="BI319" i="4"/>
  <c r="BI320" i="4"/>
  <c r="BI321" i="4"/>
  <c r="BI322" i="4"/>
  <c r="BI323" i="4"/>
  <c r="BI324" i="4"/>
  <c r="BI325" i="4"/>
  <c r="BI326" i="4"/>
  <c r="BI327" i="4"/>
  <c r="BI328" i="4"/>
  <c r="BI329" i="4"/>
  <c r="BI330" i="4"/>
  <c r="BI331" i="4"/>
  <c r="BI332" i="4"/>
  <c r="BI333" i="4"/>
  <c r="BI334" i="4"/>
  <c r="BI335" i="4"/>
  <c r="BI336" i="4"/>
  <c r="BI337" i="4"/>
  <c r="BI338" i="4"/>
  <c r="BI339" i="4"/>
  <c r="BI340" i="4"/>
  <c r="BI341" i="4"/>
  <c r="BI342" i="4"/>
  <c r="BI343" i="4"/>
  <c r="BI344" i="4"/>
  <c r="BI345" i="4"/>
  <c r="BI346" i="4"/>
  <c r="BI347" i="4"/>
  <c r="BI348" i="4"/>
  <c r="BI349" i="4"/>
  <c r="BI350" i="4"/>
  <c r="BI351" i="4"/>
  <c r="BI352" i="4"/>
  <c r="BI353" i="4"/>
  <c r="BI354" i="4"/>
  <c r="BI355" i="4"/>
  <c r="BI356" i="4"/>
  <c r="BI357" i="4"/>
  <c r="BI358" i="4"/>
  <c r="BI359" i="4"/>
  <c r="BI360" i="4"/>
  <c r="BI361" i="4"/>
  <c r="BI362" i="4"/>
  <c r="BI363" i="4"/>
  <c r="BI364" i="4"/>
  <c r="BI365" i="4"/>
  <c r="BI366" i="4"/>
  <c r="BI367" i="4"/>
  <c r="BI368" i="4"/>
  <c r="BI369" i="4"/>
  <c r="BI370" i="4"/>
  <c r="BI371" i="4"/>
  <c r="BI372" i="4"/>
  <c r="BI373" i="4"/>
  <c r="BI374" i="4"/>
  <c r="BI375" i="4"/>
  <c r="BI376" i="4"/>
  <c r="BI377" i="4"/>
  <c r="BI378" i="4"/>
  <c r="BI379" i="4"/>
  <c r="BI380" i="4"/>
  <c r="BI381" i="4"/>
  <c r="BI382" i="4"/>
  <c r="BI383" i="4"/>
  <c r="BI384" i="4"/>
  <c r="BI385" i="4"/>
  <c r="BI386" i="4"/>
  <c r="BI387" i="4"/>
  <c r="BI388" i="4"/>
  <c r="BI389" i="4"/>
  <c r="BI390" i="4"/>
  <c r="BI391" i="4"/>
  <c r="BI392" i="4"/>
  <c r="BI393" i="4"/>
  <c r="BI394" i="4"/>
  <c r="BI395" i="4"/>
  <c r="BI396" i="4"/>
  <c r="BI397" i="4"/>
  <c r="BI398" i="4"/>
  <c r="BI399" i="4"/>
  <c r="BI400" i="4"/>
  <c r="BI401" i="4"/>
  <c r="BI402" i="4"/>
  <c r="BI403" i="4"/>
  <c r="BI404" i="4"/>
  <c r="BI405" i="4"/>
  <c r="BI406" i="4"/>
  <c r="BI407" i="4"/>
  <c r="BI408" i="4"/>
  <c r="BI409" i="4"/>
  <c r="BI410" i="4"/>
  <c r="BI411" i="4"/>
  <c r="BI412" i="4"/>
  <c r="BI413" i="4"/>
  <c r="BI414" i="4"/>
  <c r="BI415" i="4"/>
  <c r="BI416" i="4"/>
  <c r="BI417" i="4"/>
  <c r="BI418" i="4"/>
  <c r="BI419" i="4"/>
  <c r="BI420" i="4"/>
  <c r="BI421" i="4"/>
  <c r="BI422" i="4"/>
  <c r="BI423" i="4"/>
  <c r="BI424" i="4"/>
  <c r="BI425" i="4"/>
  <c r="BI426" i="4"/>
  <c r="BI427" i="4"/>
  <c r="BI428" i="4"/>
  <c r="BI429" i="4"/>
  <c r="BI430" i="4"/>
  <c r="BI431" i="4"/>
  <c r="BI432" i="4"/>
  <c r="BI433" i="4"/>
  <c r="BI434" i="4"/>
  <c r="BI435" i="4"/>
  <c r="BI436" i="4"/>
  <c r="BI437" i="4"/>
  <c r="BI438" i="4"/>
  <c r="BI439" i="4"/>
  <c r="BI440" i="4"/>
  <c r="BI441" i="4"/>
  <c r="BI442" i="4"/>
  <c r="BI443" i="4"/>
  <c r="BI444" i="4"/>
  <c r="BI445" i="4"/>
  <c r="BI446" i="4"/>
  <c r="BI447" i="4"/>
  <c r="BI448" i="4"/>
  <c r="BI449" i="4"/>
  <c r="BI450" i="4"/>
  <c r="BI451" i="4"/>
  <c r="BI452" i="4"/>
  <c r="BI453" i="4"/>
  <c r="BI454" i="4"/>
  <c r="BI455" i="4"/>
  <c r="BI456" i="4"/>
  <c r="BI457" i="4"/>
  <c r="BI458" i="4"/>
  <c r="BI459" i="4"/>
  <c r="BI460" i="4"/>
  <c r="BI461" i="4"/>
  <c r="BI462" i="4"/>
  <c r="BI463" i="4"/>
  <c r="BI464" i="4"/>
  <c r="BI465" i="4"/>
  <c r="BI466" i="4"/>
  <c r="BI467" i="4"/>
  <c r="BI468" i="4"/>
  <c r="BI469" i="4"/>
  <c r="BI470" i="4"/>
  <c r="BI471" i="4"/>
  <c r="BI472" i="4"/>
  <c r="BI473" i="4"/>
  <c r="BI474" i="4"/>
  <c r="BI475" i="4"/>
  <c r="BI476" i="4"/>
  <c r="BI477" i="4"/>
  <c r="BI478" i="4"/>
  <c r="BI479" i="4"/>
  <c r="BI480" i="4"/>
  <c r="BI481" i="4"/>
  <c r="BI482" i="4"/>
  <c r="BI483" i="4"/>
  <c r="BI484" i="4"/>
  <c r="BI485" i="4"/>
  <c r="BI486" i="4"/>
  <c r="BI487" i="4"/>
  <c r="BI488" i="4"/>
  <c r="BI489" i="4"/>
  <c r="BI490" i="4"/>
  <c r="BI491" i="4"/>
  <c r="BI492" i="4"/>
  <c r="BI493" i="4"/>
  <c r="BI494" i="4"/>
  <c r="BI495" i="4"/>
  <c r="BI496" i="4"/>
  <c r="BI497" i="4"/>
  <c r="BI498" i="4"/>
  <c r="BI499" i="4"/>
  <c r="BI500" i="4"/>
  <c r="BI501" i="4"/>
  <c r="BI502" i="4"/>
  <c r="BI503" i="4"/>
  <c r="BI504" i="4"/>
  <c r="BI505" i="4"/>
  <c r="BI506" i="4"/>
  <c r="BI507" i="4"/>
  <c r="BI508" i="4"/>
  <c r="BI509" i="4"/>
  <c r="BI510" i="4"/>
  <c r="BI511" i="4"/>
  <c r="BI512" i="4"/>
  <c r="BI513" i="4"/>
  <c r="BI514" i="4"/>
  <c r="BI515" i="4"/>
  <c r="BI516" i="4"/>
  <c r="BI517" i="4"/>
  <c r="BI518" i="4"/>
  <c r="BI519" i="4"/>
  <c r="BI520" i="4"/>
  <c r="BI521" i="4"/>
  <c r="BI522" i="4"/>
  <c r="BI523" i="4"/>
  <c r="BI524" i="4"/>
  <c r="BI525" i="4"/>
  <c r="BI526" i="4"/>
  <c r="BI527" i="4"/>
  <c r="BI528" i="4"/>
  <c r="BI529" i="4"/>
  <c r="BI530" i="4"/>
  <c r="BI531" i="4"/>
  <c r="BI532" i="4"/>
  <c r="BI533" i="4"/>
  <c r="BI534" i="4"/>
  <c r="BI535" i="4"/>
  <c r="BI536" i="4"/>
  <c r="BI537" i="4"/>
  <c r="BI538" i="4"/>
  <c r="BI539" i="4"/>
  <c r="BI540" i="4"/>
  <c r="BI541" i="4"/>
  <c r="BI542" i="4"/>
  <c r="BI543" i="4"/>
  <c r="BI544" i="4"/>
  <c r="BI545" i="4"/>
  <c r="BI546" i="4"/>
  <c r="BI547" i="4"/>
  <c r="BI548" i="4"/>
  <c r="BI549" i="4"/>
  <c r="BI550" i="4"/>
  <c r="BI551" i="4"/>
  <c r="BI552" i="4"/>
  <c r="BI553" i="4"/>
  <c r="BI554" i="4"/>
  <c r="BI555" i="4"/>
  <c r="BI556" i="4"/>
  <c r="BI557" i="4"/>
  <c r="BI558" i="4"/>
  <c r="BI559" i="4"/>
  <c r="BI560" i="4"/>
  <c r="BI561" i="4"/>
  <c r="BI562" i="4"/>
  <c r="BI563" i="4"/>
  <c r="BI564" i="4"/>
  <c r="BI565" i="4"/>
  <c r="BI566" i="4"/>
  <c r="BI567" i="4"/>
  <c r="BI568" i="4"/>
  <c r="BI569" i="4"/>
  <c r="BI570" i="4"/>
  <c r="BI571" i="4"/>
  <c r="BI572" i="4"/>
  <c r="BI573" i="4"/>
  <c r="BI574" i="4"/>
  <c r="BI575" i="4"/>
  <c r="BI576" i="4"/>
  <c r="BI577" i="4"/>
  <c r="BI578" i="4"/>
  <c r="BI579" i="4"/>
  <c r="BI580" i="4"/>
  <c r="BI581" i="4"/>
  <c r="BI582" i="4"/>
  <c r="BI583" i="4"/>
  <c r="BI584" i="4"/>
  <c r="BI585" i="4"/>
  <c r="BI586" i="4"/>
  <c r="BI587" i="4"/>
  <c r="BI588" i="4"/>
  <c r="BI589" i="4"/>
  <c r="BI590" i="4"/>
  <c r="BI591" i="4"/>
  <c r="BI592" i="4"/>
  <c r="BI593" i="4"/>
  <c r="BI594" i="4"/>
  <c r="BI595" i="4"/>
  <c r="BI596" i="4"/>
  <c r="BI597" i="4"/>
  <c r="BI598" i="4"/>
  <c r="BI599" i="4"/>
  <c r="BI600" i="4"/>
  <c r="BI601" i="4"/>
  <c r="BI602" i="4"/>
  <c r="BI603" i="4"/>
  <c r="BI604" i="4"/>
  <c r="BI605" i="4"/>
  <c r="BI606" i="4"/>
  <c r="BI607" i="4"/>
  <c r="BI608" i="4"/>
  <c r="BI609" i="4"/>
  <c r="BI610" i="4"/>
  <c r="BI611" i="4"/>
  <c r="BI612" i="4"/>
  <c r="BI613" i="4"/>
  <c r="BI614" i="4"/>
  <c r="BI615" i="4"/>
  <c r="BI616" i="4"/>
  <c r="BI617" i="4"/>
  <c r="BI618" i="4"/>
  <c r="BI619" i="4"/>
  <c r="BI620" i="4"/>
  <c r="BI621" i="4"/>
  <c r="BI622" i="4"/>
  <c r="BI623" i="4"/>
  <c r="BI624" i="4"/>
  <c r="BI625" i="4"/>
  <c r="BI626" i="4"/>
  <c r="BI627" i="4"/>
  <c r="BI628" i="4"/>
  <c r="BI629" i="4"/>
  <c r="BI630" i="4"/>
  <c r="BI631" i="4"/>
  <c r="BI632" i="4"/>
  <c r="BI633" i="4"/>
  <c r="BI634" i="4"/>
  <c r="BI635" i="4"/>
  <c r="BI636" i="4"/>
  <c r="BI637" i="4"/>
  <c r="BI638" i="4"/>
  <c r="BI639" i="4"/>
  <c r="BI640" i="4"/>
  <c r="BI641" i="4"/>
  <c r="BI642" i="4"/>
  <c r="BI643" i="4"/>
  <c r="BI644" i="4"/>
  <c r="BI645" i="4"/>
  <c r="BI646" i="4"/>
  <c r="BI647" i="4"/>
  <c r="BI648" i="4"/>
  <c r="BI649" i="4"/>
  <c r="BI650" i="4"/>
  <c r="BI651" i="4"/>
  <c r="BI652" i="4"/>
  <c r="BI653" i="4"/>
  <c r="BI654" i="4"/>
  <c r="BI655" i="4"/>
  <c r="BI656" i="4"/>
  <c r="BI657" i="4"/>
  <c r="BI658" i="4"/>
  <c r="BI659" i="4"/>
  <c r="BI660" i="4"/>
  <c r="BI661" i="4"/>
  <c r="BI662" i="4"/>
  <c r="BI663" i="4"/>
  <c r="BI664" i="4"/>
  <c r="BI665" i="4"/>
  <c r="BI666" i="4"/>
  <c r="BI667" i="4"/>
  <c r="BI668" i="4"/>
  <c r="BI669" i="4"/>
  <c r="BI670" i="4"/>
  <c r="BI671" i="4"/>
  <c r="BI672" i="4"/>
  <c r="BI673" i="4"/>
  <c r="BI674" i="4"/>
  <c r="BI675" i="4"/>
  <c r="BI676" i="4"/>
  <c r="BI677" i="4"/>
  <c r="BI678" i="4"/>
  <c r="BI679" i="4"/>
  <c r="BI680" i="4"/>
  <c r="BI681" i="4"/>
  <c r="BI682" i="4"/>
  <c r="BI683" i="4"/>
  <c r="BI684" i="4"/>
  <c r="BI685" i="4"/>
  <c r="BI686" i="4"/>
  <c r="BI687" i="4"/>
  <c r="BI688" i="4"/>
  <c r="BI689" i="4"/>
  <c r="BI690" i="4"/>
  <c r="BI691" i="4"/>
  <c r="BI692" i="4"/>
  <c r="BI693" i="4"/>
  <c r="BI694" i="4"/>
  <c r="BI695" i="4"/>
  <c r="BI696" i="4"/>
  <c r="BI697" i="4"/>
  <c r="BI698" i="4"/>
  <c r="BI699" i="4"/>
  <c r="BI700" i="4"/>
  <c r="BI701" i="4"/>
  <c r="BI702" i="4"/>
  <c r="BI703" i="4"/>
  <c r="BI704" i="4"/>
  <c r="BI705" i="4"/>
  <c r="BI706" i="4"/>
  <c r="BI707" i="4"/>
  <c r="BI708" i="4"/>
  <c r="BI709" i="4"/>
  <c r="BI710" i="4"/>
  <c r="BI711" i="4"/>
  <c r="BI712" i="4"/>
  <c r="BI713" i="4"/>
  <c r="BI714" i="4"/>
  <c r="BI715" i="4"/>
  <c r="BI716" i="4"/>
  <c r="BI717" i="4"/>
  <c r="BI718" i="4"/>
  <c r="BI719" i="4"/>
  <c r="BI720" i="4"/>
  <c r="BI721" i="4"/>
  <c r="BI722" i="4"/>
  <c r="BI723" i="4"/>
  <c r="BI724" i="4"/>
  <c r="BI725" i="4"/>
  <c r="BI726" i="4"/>
  <c r="BI727" i="4"/>
  <c r="BI728" i="4"/>
  <c r="BI729" i="4"/>
  <c r="BI730" i="4"/>
  <c r="BI731" i="4"/>
  <c r="BI732" i="4"/>
  <c r="BI733" i="4"/>
  <c r="BI734" i="4"/>
  <c r="BI735" i="4"/>
  <c r="BI736" i="4"/>
  <c r="BI737" i="4"/>
  <c r="BI738" i="4"/>
  <c r="BI739" i="4"/>
  <c r="BI740" i="4"/>
  <c r="BI741" i="4"/>
  <c r="BI742" i="4"/>
  <c r="BI743" i="4"/>
  <c r="BI744" i="4"/>
  <c r="BI745" i="4"/>
  <c r="BI746" i="4"/>
  <c r="BI747" i="4"/>
  <c r="BI748" i="4"/>
  <c r="BI749" i="4"/>
  <c r="BI750" i="4"/>
  <c r="BI751" i="4"/>
  <c r="BI752" i="4"/>
  <c r="BI753" i="4"/>
  <c r="BI754" i="4"/>
  <c r="BI755" i="4"/>
  <c r="BI756" i="4"/>
  <c r="BI757" i="4"/>
  <c r="BI758" i="4"/>
  <c r="BI759" i="4"/>
  <c r="BI760" i="4"/>
  <c r="BI761" i="4"/>
  <c r="BI762" i="4"/>
  <c r="BI763" i="4"/>
  <c r="BI764" i="4"/>
  <c r="BI765" i="4"/>
  <c r="BI766" i="4"/>
  <c r="BI767" i="4"/>
  <c r="BI768" i="4"/>
  <c r="BI769" i="4"/>
  <c r="BI770" i="4"/>
  <c r="BI771" i="4"/>
  <c r="BI772" i="4"/>
  <c r="BI773" i="4"/>
  <c r="BI774" i="4"/>
  <c r="BI775" i="4"/>
  <c r="BI776" i="4"/>
  <c r="BI777" i="4"/>
  <c r="BI778" i="4"/>
  <c r="BI779" i="4"/>
  <c r="BI780" i="4"/>
  <c r="BI781" i="4"/>
  <c r="BI782" i="4"/>
  <c r="BI783" i="4"/>
  <c r="BI784" i="4"/>
  <c r="BI785" i="4"/>
  <c r="BI786" i="4"/>
  <c r="BI787" i="4"/>
  <c r="BI788" i="4"/>
  <c r="BI789" i="4"/>
  <c r="BI790" i="4"/>
  <c r="BI791" i="4"/>
  <c r="BI792" i="4"/>
  <c r="BI793" i="4"/>
  <c r="BI794" i="4"/>
  <c r="BI795" i="4"/>
  <c r="BI796" i="4"/>
  <c r="BI797" i="4"/>
  <c r="BI798" i="4"/>
  <c r="BI799" i="4"/>
  <c r="BI800" i="4"/>
  <c r="BI801" i="4"/>
  <c r="BI802" i="4"/>
  <c r="BI803" i="4"/>
  <c r="BI804" i="4"/>
  <c r="BI805" i="4"/>
  <c r="BI806" i="4"/>
  <c r="BI807" i="4"/>
  <c r="BI808" i="4"/>
  <c r="BI809" i="4"/>
  <c r="BI810" i="4"/>
  <c r="BI811" i="4"/>
  <c r="BI812" i="4"/>
  <c r="BI813" i="4"/>
  <c r="BI814" i="4"/>
  <c r="BI815" i="4"/>
  <c r="BI816" i="4"/>
  <c r="BI817" i="4"/>
  <c r="BI818" i="4"/>
  <c r="BI819" i="4"/>
  <c r="BI820" i="4"/>
  <c r="BI821" i="4"/>
  <c r="BI822" i="4"/>
  <c r="BI823" i="4"/>
  <c r="BI824" i="4"/>
  <c r="BI825" i="4"/>
  <c r="BI826" i="4"/>
  <c r="BI827" i="4"/>
  <c r="BI828" i="4"/>
  <c r="BI829" i="4"/>
  <c r="BI830" i="4"/>
  <c r="BI831" i="4"/>
  <c r="BI832" i="4"/>
  <c r="BI833" i="4"/>
  <c r="BI834" i="4"/>
  <c r="BI835" i="4"/>
  <c r="BI836" i="4"/>
  <c r="BI837" i="4"/>
  <c r="BI838" i="4"/>
  <c r="BI839" i="4"/>
  <c r="BI840" i="4"/>
  <c r="BI841" i="4"/>
  <c r="BI842" i="4"/>
  <c r="BI843" i="4"/>
  <c r="BI844" i="4"/>
  <c r="BI845" i="4"/>
  <c r="BI846" i="4"/>
  <c r="BI847" i="4"/>
  <c r="BI848" i="4"/>
  <c r="BI849" i="4"/>
  <c r="BI850" i="4"/>
  <c r="BI851" i="4"/>
  <c r="BI852" i="4"/>
  <c r="BI853" i="4"/>
  <c r="BI854" i="4"/>
  <c r="BI855" i="4"/>
  <c r="BI856" i="4"/>
  <c r="BI857" i="4"/>
  <c r="BI858" i="4"/>
  <c r="BI859" i="4"/>
  <c r="BI860" i="4"/>
  <c r="BI861" i="4"/>
  <c r="BI862" i="4"/>
  <c r="BI863" i="4"/>
  <c r="BI864" i="4"/>
  <c r="BI865" i="4"/>
  <c r="BI866" i="4"/>
  <c r="BI867" i="4"/>
  <c r="BI868" i="4"/>
  <c r="BI869" i="4"/>
  <c r="BI870" i="4"/>
  <c r="BI871" i="4"/>
  <c r="BI872" i="4"/>
  <c r="BI873" i="4"/>
  <c r="BI874" i="4"/>
  <c r="BI875" i="4"/>
  <c r="BI876" i="4"/>
  <c r="BI877" i="4"/>
  <c r="BI878" i="4"/>
  <c r="BI879" i="4"/>
  <c r="BI880" i="4"/>
  <c r="BI881" i="4"/>
  <c r="BI882" i="4"/>
  <c r="BI883" i="4"/>
  <c r="BI884" i="4"/>
  <c r="BI885" i="4"/>
  <c r="BI886" i="4"/>
  <c r="BI887" i="4"/>
  <c r="BI888" i="4"/>
  <c r="BI889" i="4"/>
  <c r="BI890" i="4"/>
  <c r="BI891" i="4"/>
  <c r="BI892" i="4"/>
  <c r="BI893" i="4"/>
  <c r="BI894" i="4"/>
  <c r="BI895" i="4"/>
  <c r="BI896" i="4"/>
  <c r="BI897" i="4"/>
  <c r="BI898" i="4"/>
  <c r="BI899" i="4"/>
  <c r="BI900" i="4"/>
  <c r="BI901" i="4"/>
  <c r="BI902" i="4"/>
  <c r="BI903" i="4"/>
  <c r="BI904" i="4"/>
  <c r="BI905" i="4"/>
  <c r="BI906" i="4"/>
  <c r="BI907" i="4"/>
  <c r="BI908" i="4"/>
  <c r="BI909" i="4"/>
  <c r="BI910" i="4"/>
  <c r="BI911" i="4"/>
  <c r="BI912" i="4"/>
  <c r="BI913" i="4"/>
  <c r="BI914" i="4"/>
  <c r="BI915" i="4"/>
  <c r="BI916" i="4"/>
  <c r="BI917" i="4"/>
  <c r="BI918" i="4"/>
  <c r="BI919" i="4"/>
  <c r="BI920" i="4"/>
  <c r="BI921" i="4"/>
  <c r="BI922" i="4"/>
  <c r="BI923" i="4"/>
  <c r="BI924" i="4"/>
  <c r="BI925" i="4"/>
  <c r="BI926" i="4"/>
  <c r="BI927" i="4"/>
  <c r="BI928" i="4"/>
  <c r="BI929" i="4"/>
  <c r="BI930" i="4"/>
  <c r="BI931" i="4"/>
  <c r="BI932" i="4"/>
  <c r="BI933" i="4"/>
  <c r="BI934" i="4"/>
  <c r="BI935" i="4"/>
  <c r="BI936" i="4"/>
  <c r="BI937" i="4"/>
  <c r="BI938" i="4"/>
  <c r="BI939" i="4"/>
  <c r="BI940" i="4"/>
  <c r="BI941" i="4"/>
  <c r="BI942" i="4"/>
  <c r="BI943" i="4"/>
  <c r="BI944" i="4"/>
  <c r="BI945" i="4"/>
  <c r="BI946" i="4"/>
  <c r="BI947" i="4"/>
  <c r="BI948" i="4"/>
  <c r="BI949" i="4"/>
  <c r="BI950" i="4"/>
  <c r="BI951" i="4"/>
  <c r="BI952" i="4"/>
  <c r="BI953" i="4"/>
  <c r="BI954" i="4"/>
  <c r="BI955" i="4"/>
  <c r="BI956" i="4"/>
  <c r="BI957" i="4"/>
  <c r="BI958" i="4"/>
  <c r="BI959" i="4"/>
  <c r="BI960" i="4"/>
  <c r="BI961" i="4"/>
  <c r="BI962" i="4"/>
  <c r="BI963" i="4"/>
  <c r="BI964" i="4"/>
  <c r="BI965" i="4"/>
  <c r="BI966" i="4"/>
  <c r="BI967" i="4"/>
  <c r="BI968" i="4"/>
  <c r="BI969" i="4"/>
  <c r="BI970" i="4"/>
  <c r="BI971" i="4"/>
  <c r="BI972" i="4"/>
  <c r="BI973" i="4"/>
  <c r="BI974" i="4"/>
  <c r="BI975" i="4"/>
  <c r="BI976" i="4"/>
  <c r="BI977" i="4"/>
  <c r="BI978" i="4"/>
  <c r="BI979" i="4"/>
  <c r="BI980" i="4"/>
  <c r="BI981" i="4"/>
  <c r="BI982" i="4"/>
  <c r="BI983" i="4"/>
  <c r="BI984" i="4"/>
  <c r="BI985" i="4"/>
  <c r="BI986" i="4"/>
  <c r="BI987" i="4"/>
  <c r="BI988" i="4"/>
  <c r="BI989" i="4"/>
  <c r="BI990" i="4"/>
  <c r="BI991" i="4"/>
  <c r="BI992" i="4"/>
  <c r="BI993" i="4"/>
  <c r="BI994" i="4"/>
  <c r="BI995" i="4"/>
  <c r="BI996" i="4"/>
  <c r="BI997" i="4"/>
  <c r="BI998" i="4"/>
  <c r="BI999" i="4"/>
  <c r="BI1000" i="4"/>
  <c r="BI1001" i="4"/>
  <c r="BI1002" i="4"/>
  <c r="BI1003" i="4"/>
  <c r="BI1004" i="4"/>
  <c r="BI1005" i="4"/>
  <c r="BI1006" i="4"/>
  <c r="BI1007" i="4"/>
  <c r="BI1008" i="4"/>
  <c r="BI1009" i="4"/>
  <c r="BI1010" i="4"/>
  <c r="BI1011" i="4"/>
  <c r="BI1012" i="4"/>
  <c r="BI1013" i="4"/>
  <c r="BI1014" i="4"/>
  <c r="BI1015" i="4"/>
  <c r="BI1016" i="4"/>
  <c r="BI1017" i="4"/>
  <c r="BI1018" i="4"/>
  <c r="BI1019" i="4"/>
  <c r="BI1020" i="4"/>
  <c r="BI1021" i="4"/>
  <c r="BI1022" i="4"/>
  <c r="BI1023" i="4"/>
  <c r="BI1024" i="4"/>
  <c r="BI1025" i="4"/>
  <c r="BI1026" i="4"/>
  <c r="BI1027" i="4"/>
  <c r="BI1028" i="4"/>
  <c r="BI1029" i="4"/>
  <c r="BI1030" i="4"/>
  <c r="BI1031" i="4"/>
  <c r="BI1032" i="4"/>
  <c r="BI1033" i="4"/>
  <c r="BI1034" i="4"/>
  <c r="BI1035" i="4"/>
  <c r="BI1036" i="4"/>
  <c r="BI1037" i="4"/>
  <c r="BI1038" i="4"/>
  <c r="BI1039" i="4"/>
  <c r="BI1040" i="4"/>
  <c r="BI1041" i="4"/>
  <c r="BI1042" i="4"/>
  <c r="BI1043" i="4"/>
  <c r="BI1044" i="4"/>
  <c r="BI1045" i="4"/>
  <c r="BI1046" i="4"/>
  <c r="BI1047" i="4"/>
  <c r="BI1048" i="4"/>
  <c r="BI1049" i="4"/>
  <c r="BI1050" i="4"/>
  <c r="BI1051" i="4"/>
  <c r="BI1052" i="4"/>
  <c r="BI1053" i="4"/>
  <c r="BI1054" i="4"/>
  <c r="BI1055" i="4"/>
  <c r="BI1056" i="4"/>
  <c r="BI1057" i="4"/>
  <c r="BI1058" i="4"/>
  <c r="BI1059" i="4"/>
  <c r="BI1060" i="4"/>
  <c r="BI1061" i="4"/>
  <c r="BI1062" i="4"/>
  <c r="BI1063" i="4"/>
  <c r="BI1064" i="4"/>
  <c r="BI1065" i="4"/>
  <c r="BI1066" i="4"/>
  <c r="BI1067" i="4"/>
  <c r="BI1068" i="4"/>
  <c r="BI1069" i="4"/>
  <c r="BI1070" i="4"/>
  <c r="BI1071" i="4"/>
  <c r="BI1072" i="4"/>
  <c r="BI1073" i="4"/>
  <c r="BI1074" i="4"/>
  <c r="BI1075" i="4"/>
  <c r="BI1076" i="4"/>
  <c r="BI1077" i="4"/>
  <c r="BI1078" i="4"/>
  <c r="BI1079" i="4"/>
  <c r="BI1080" i="4"/>
  <c r="BI1081" i="4"/>
  <c r="BI1082" i="4"/>
  <c r="BI1083" i="4"/>
  <c r="BI1084" i="4"/>
  <c r="BI1085" i="4"/>
  <c r="BI1086" i="4"/>
  <c r="BI1087" i="4"/>
  <c r="BI1088" i="4"/>
  <c r="BI1089" i="4"/>
  <c r="BI1090" i="4"/>
  <c r="BI1091" i="4"/>
  <c r="BI1092" i="4"/>
  <c r="BI1093" i="4"/>
  <c r="BI1094" i="4"/>
  <c r="BI1095" i="4"/>
  <c r="BI1096" i="4"/>
  <c r="BI1097" i="4"/>
  <c r="BI1098" i="4"/>
  <c r="BI1099" i="4"/>
  <c r="BI1100" i="4"/>
  <c r="BI1101" i="4"/>
  <c r="BI1102" i="4"/>
  <c r="BI1103" i="4"/>
  <c r="BI1104" i="4"/>
  <c r="BI1105" i="4"/>
  <c r="BI1106" i="4"/>
  <c r="BI1107" i="4"/>
  <c r="BI1108" i="4"/>
  <c r="BI1109" i="4"/>
  <c r="BI1110" i="4"/>
  <c r="BI1111" i="4"/>
  <c r="BI1112" i="4"/>
  <c r="BI1113" i="4"/>
  <c r="BI1114" i="4"/>
  <c r="BI1115" i="4"/>
  <c r="BI1116" i="4"/>
  <c r="BI1117" i="4"/>
  <c r="BI1118" i="4"/>
  <c r="BI1119" i="4"/>
  <c r="BI1120" i="4"/>
  <c r="BI1121" i="4"/>
  <c r="BI1122" i="4"/>
  <c r="BI1123" i="4"/>
  <c r="BI1124" i="4"/>
  <c r="BI1125" i="4"/>
  <c r="BI1126" i="4"/>
  <c r="BI1127" i="4"/>
  <c r="BI1128" i="4"/>
  <c r="BI1129" i="4"/>
  <c r="BI1130" i="4"/>
  <c r="BI1131" i="4"/>
  <c r="BI1132" i="4"/>
  <c r="BI1133" i="4"/>
  <c r="BI1134" i="4"/>
  <c r="BI1135" i="4"/>
  <c r="BI1136" i="4"/>
  <c r="BI1137" i="4"/>
  <c r="BI1138" i="4"/>
  <c r="BI1139" i="4"/>
  <c r="BI1140" i="4"/>
  <c r="BI1141" i="4"/>
  <c r="BI1142" i="4"/>
  <c r="BI1143" i="4"/>
  <c r="BI1144" i="4"/>
  <c r="BI1145" i="4"/>
  <c r="BI1146" i="4"/>
  <c r="BI1147" i="4"/>
  <c r="BI1148" i="4"/>
  <c r="BI1149" i="4"/>
  <c r="BI1150" i="4"/>
  <c r="BI1151" i="4"/>
  <c r="BI1152" i="4"/>
  <c r="BI1153" i="4"/>
  <c r="BI1154" i="4"/>
  <c r="BI1155" i="4"/>
  <c r="BI1156" i="4"/>
  <c r="BI1157" i="4"/>
  <c r="BI1158" i="4"/>
  <c r="BI1159" i="4"/>
  <c r="BI1160" i="4"/>
  <c r="BI1161" i="4"/>
  <c r="BI1162" i="4"/>
  <c r="BI1163" i="4"/>
  <c r="BI1164" i="4"/>
  <c r="BI1165" i="4"/>
  <c r="BI1166" i="4"/>
  <c r="BI1167" i="4"/>
  <c r="BI1168" i="4"/>
  <c r="BI1169" i="4"/>
  <c r="BI1170" i="4"/>
  <c r="BI1171" i="4"/>
  <c r="BI1172" i="4"/>
  <c r="BI1173" i="4"/>
  <c r="BI1174" i="4"/>
  <c r="BI1175" i="4"/>
  <c r="BI1176" i="4"/>
  <c r="BI1177" i="4"/>
  <c r="BI1178" i="4"/>
  <c r="BI1179" i="4"/>
  <c r="BI1180" i="4"/>
  <c r="BI1181" i="4"/>
  <c r="BI1182" i="4"/>
  <c r="BI1183" i="4"/>
  <c r="BI1184" i="4"/>
  <c r="BI1185" i="4"/>
  <c r="BI1186" i="4"/>
  <c r="BI1187" i="4"/>
  <c r="BI1188" i="4"/>
  <c r="BI1189" i="4"/>
  <c r="BI1190" i="4"/>
  <c r="BI1191" i="4"/>
  <c r="BI1192" i="4"/>
  <c r="BI1193" i="4"/>
  <c r="BI1194" i="4"/>
  <c r="BI1195" i="4"/>
  <c r="BI1196" i="4"/>
  <c r="BI1197" i="4"/>
  <c r="BI1198" i="4"/>
  <c r="BI1199" i="4"/>
  <c r="BI1200" i="4"/>
  <c r="BI1201" i="4"/>
  <c r="BI1202" i="4"/>
  <c r="BI1203" i="4"/>
  <c r="BI1204" i="4"/>
  <c r="BI1205" i="4"/>
  <c r="BI1206" i="4"/>
  <c r="BI1207" i="4"/>
  <c r="BI1208" i="4"/>
  <c r="BI1209" i="4"/>
  <c r="BI1210" i="4"/>
  <c r="BI1211" i="4"/>
  <c r="BI1212" i="4"/>
  <c r="BI1213" i="4"/>
  <c r="BI1214" i="4"/>
  <c r="BI1215" i="4"/>
  <c r="BI1216" i="4"/>
  <c r="BI1217" i="4"/>
  <c r="BI1218" i="4"/>
  <c r="BI1219" i="4"/>
  <c r="BI1220" i="4"/>
  <c r="BI1221" i="4"/>
  <c r="BI1222" i="4"/>
  <c r="BI1223" i="4"/>
  <c r="BI1224" i="4"/>
  <c r="BI1225" i="4"/>
  <c r="BI1226" i="4"/>
  <c r="BI1227" i="4"/>
  <c r="BI1228" i="4"/>
  <c r="BI1229" i="4"/>
  <c r="BI1230" i="4"/>
  <c r="BI1231" i="4"/>
  <c r="BI1232" i="4"/>
  <c r="BI1233" i="4"/>
  <c r="BI1234" i="4"/>
  <c r="BI1235" i="4"/>
  <c r="BI1236" i="4"/>
  <c r="BI1237" i="4"/>
  <c r="BI1238" i="4"/>
  <c r="BI1239" i="4"/>
  <c r="BI1240" i="4"/>
  <c r="BI1241" i="4"/>
  <c r="BI1242" i="4"/>
  <c r="BI1243" i="4"/>
  <c r="BI1244" i="4"/>
  <c r="BI1245" i="4"/>
  <c r="BI1246" i="4"/>
  <c r="BI1247" i="4"/>
  <c r="BI1248" i="4"/>
  <c r="BI1249" i="4"/>
  <c r="BI1250" i="4"/>
  <c r="BI1251" i="4"/>
  <c r="BI1252" i="4"/>
  <c r="BI1253" i="4"/>
  <c r="BI1254" i="4"/>
  <c r="BI1255" i="4"/>
  <c r="BI1256" i="4"/>
  <c r="BI1257" i="4"/>
  <c r="BI1258" i="4"/>
  <c r="BI1259" i="4"/>
  <c r="BI1260" i="4"/>
  <c r="BI1261" i="4"/>
  <c r="BI1262" i="4"/>
  <c r="BI1263" i="4"/>
  <c r="BI1264" i="4"/>
  <c r="BI1265" i="4"/>
  <c r="BI1266" i="4"/>
  <c r="BI1267" i="4"/>
  <c r="BI1268" i="4"/>
  <c r="BI1269" i="4"/>
  <c r="BI1270" i="4"/>
  <c r="BI1271" i="4"/>
  <c r="BI1272" i="4"/>
  <c r="BI1273" i="4"/>
  <c r="BI1274" i="4"/>
  <c r="BI1275" i="4"/>
  <c r="BI1276" i="4"/>
  <c r="BI1277" i="4"/>
  <c r="BI1278" i="4"/>
  <c r="BI1279" i="4"/>
  <c r="BI1280" i="4"/>
  <c r="BI1281" i="4"/>
  <c r="BI1282" i="4"/>
  <c r="BI1283" i="4"/>
  <c r="BI1284" i="4"/>
  <c r="BI1285" i="4"/>
  <c r="BI1286" i="4"/>
  <c r="BI1287" i="4"/>
  <c r="BI1288" i="4"/>
  <c r="BI1289" i="4"/>
  <c r="BI1290" i="4"/>
  <c r="BI1291" i="4"/>
  <c r="BI1292" i="4"/>
  <c r="BI1293" i="4"/>
  <c r="BI1294" i="4"/>
  <c r="BI1295" i="4"/>
  <c r="BI1296" i="4"/>
  <c r="BI1297" i="4"/>
  <c r="BI1298" i="4"/>
  <c r="BI1299" i="4"/>
  <c r="BI1300" i="4"/>
  <c r="BI1301" i="4"/>
  <c r="BI1302" i="4"/>
  <c r="BI1303" i="4"/>
  <c r="BI1304" i="4"/>
  <c r="BI1305" i="4"/>
  <c r="BI1306" i="4"/>
  <c r="BI1307" i="4"/>
  <c r="BI1308" i="4"/>
  <c r="BI1309" i="4"/>
  <c r="BI1310" i="4"/>
  <c r="BI1311" i="4"/>
  <c r="BI1312" i="4"/>
  <c r="BI1313" i="4"/>
  <c r="BI1314" i="4"/>
  <c r="BI1315" i="4"/>
  <c r="BI1316" i="4"/>
  <c r="BI1317" i="4"/>
  <c r="BI1318" i="4"/>
  <c r="BI1319" i="4"/>
  <c r="BI1320" i="4"/>
  <c r="BI1321" i="4"/>
  <c r="BI1322" i="4"/>
  <c r="BI1323" i="4"/>
  <c r="BI1324" i="4"/>
  <c r="BI1325" i="4"/>
  <c r="BI1326" i="4"/>
  <c r="BI1327" i="4"/>
  <c r="BI1328" i="4"/>
  <c r="BI1329" i="4"/>
  <c r="BI1330" i="4"/>
  <c r="BI1331" i="4"/>
  <c r="BI1332" i="4"/>
  <c r="BI1333" i="4"/>
  <c r="BI1334" i="4"/>
  <c r="BI1335" i="4"/>
  <c r="BI1336" i="4"/>
  <c r="BI1337" i="4"/>
  <c r="BI1338" i="4"/>
  <c r="BI1339" i="4"/>
  <c r="BI1340" i="4"/>
  <c r="BI1341" i="4"/>
  <c r="BI1342" i="4"/>
  <c r="BI1343" i="4"/>
  <c r="BI1344" i="4"/>
  <c r="BI1345" i="4"/>
  <c r="BI1346" i="4"/>
  <c r="BI1347" i="4"/>
  <c r="BI1348" i="4"/>
  <c r="BI1349" i="4"/>
  <c r="BI1350" i="4"/>
  <c r="BI1351" i="4"/>
  <c r="BI1352" i="4"/>
  <c r="BI1353" i="4"/>
  <c r="BI1354" i="4"/>
  <c r="BI1355" i="4"/>
  <c r="BI1356" i="4"/>
  <c r="BI1357" i="4"/>
  <c r="BI1358" i="4"/>
  <c r="BI1359" i="4"/>
  <c r="BI1360" i="4"/>
  <c r="BI1361" i="4"/>
  <c r="BI1362" i="4"/>
  <c r="BI1363" i="4"/>
  <c r="BI1364" i="4"/>
  <c r="BI1365" i="4"/>
  <c r="BI1366" i="4"/>
  <c r="BI1367" i="4"/>
  <c r="BI1368" i="4"/>
  <c r="BI1369" i="4"/>
  <c r="BI1370" i="4"/>
  <c r="BI1371" i="4"/>
  <c r="BI1372" i="4"/>
  <c r="BI1373" i="4"/>
  <c r="BI1374" i="4"/>
  <c r="BI1375" i="4"/>
  <c r="BI1376" i="4"/>
  <c r="BI1377" i="4"/>
  <c r="BI1378" i="4"/>
  <c r="BI1379" i="4"/>
  <c r="BI1380" i="4"/>
  <c r="BI1381" i="4"/>
  <c r="BI1382" i="4"/>
  <c r="BI1383" i="4"/>
  <c r="BI1384" i="4"/>
  <c r="BI1385" i="4"/>
  <c r="BI1386" i="4"/>
  <c r="BI1387" i="4"/>
  <c r="BI1388" i="4"/>
  <c r="BI1389" i="4"/>
  <c r="BI1390" i="4"/>
  <c r="BI1391" i="4"/>
  <c r="BI1392" i="4"/>
  <c r="BI1393" i="4"/>
  <c r="BI1394" i="4"/>
  <c r="BI1395" i="4"/>
  <c r="BI1396" i="4"/>
  <c r="BI1397" i="4"/>
  <c r="BI1398" i="4"/>
  <c r="BI1399" i="4"/>
  <c r="BI1400" i="4"/>
  <c r="BI1401" i="4"/>
  <c r="BI1402" i="4"/>
  <c r="BI1403" i="4"/>
  <c r="BI1404" i="4"/>
  <c r="BI1405" i="4"/>
  <c r="BI1406" i="4"/>
  <c r="BI1407" i="4"/>
  <c r="BI1408" i="4"/>
  <c r="BI1409" i="4"/>
  <c r="BI1410" i="4"/>
  <c r="BI1411" i="4"/>
  <c r="BI1412" i="4"/>
  <c r="BI1413" i="4"/>
  <c r="BI1414" i="4"/>
  <c r="BI1415" i="4"/>
  <c r="BI1416" i="4"/>
  <c r="BI1417" i="4"/>
  <c r="BI1418" i="4"/>
  <c r="BI1419" i="4"/>
  <c r="BI1420" i="4"/>
  <c r="BI1421" i="4"/>
  <c r="BI1422" i="4"/>
  <c r="BI1423" i="4"/>
  <c r="BI1424" i="4"/>
  <c r="BI1425" i="4"/>
  <c r="BI1426" i="4"/>
  <c r="BI1427" i="4"/>
  <c r="BI1428" i="4"/>
  <c r="BI1429" i="4"/>
  <c r="BI1430" i="4"/>
  <c r="BI1431" i="4"/>
  <c r="BI1432" i="4"/>
  <c r="BI1433" i="4"/>
  <c r="BI1434" i="4"/>
  <c r="BI1435" i="4"/>
  <c r="BI1436" i="4"/>
  <c r="BI1437" i="4"/>
  <c r="BI1438" i="4"/>
  <c r="BI1439" i="4"/>
  <c r="BI1440" i="4"/>
  <c r="BI1441" i="4"/>
  <c r="BI1442" i="4"/>
  <c r="BI1443" i="4"/>
  <c r="BI1444" i="4"/>
  <c r="BI1445" i="4"/>
  <c r="BI1446" i="4"/>
  <c r="BI1447" i="4"/>
  <c r="BI1448" i="4"/>
  <c r="BI1449" i="4"/>
  <c r="BI1450" i="4"/>
  <c r="BI1451" i="4"/>
  <c r="BI1452" i="4"/>
  <c r="BI1453" i="4"/>
  <c r="BI1454" i="4"/>
  <c r="BI1455" i="4"/>
  <c r="BI1456" i="4"/>
  <c r="BI1457" i="4"/>
  <c r="BI1458" i="4"/>
  <c r="BI1459" i="4"/>
  <c r="BI1460" i="4"/>
  <c r="BI1461" i="4"/>
  <c r="BI1462" i="4"/>
  <c r="BI1463" i="4"/>
  <c r="BI1464" i="4"/>
  <c r="BI1465" i="4"/>
  <c r="BI1466" i="4"/>
  <c r="BI1467" i="4"/>
  <c r="BI1468" i="4"/>
  <c r="BI1469" i="4"/>
  <c r="BI1470" i="4"/>
  <c r="BI1471" i="4"/>
  <c r="BI1472" i="4"/>
  <c r="BI1473" i="4"/>
  <c r="BI1474" i="4"/>
  <c r="BI1475" i="4"/>
  <c r="BI1476" i="4"/>
  <c r="BI1477" i="4"/>
  <c r="BI1478" i="4"/>
  <c r="BI1479" i="4"/>
  <c r="BI1480" i="4"/>
  <c r="BI1481" i="4"/>
  <c r="BI1482" i="4"/>
  <c r="BI1483" i="4"/>
  <c r="BI1484" i="4"/>
  <c r="BI1485" i="4"/>
  <c r="BI1486" i="4"/>
  <c r="BI1487" i="4"/>
  <c r="BI1488" i="4"/>
  <c r="BI1489" i="4"/>
  <c r="BI1490" i="4"/>
  <c r="BI1491" i="4"/>
  <c r="BI1492" i="4"/>
  <c r="BI1493" i="4"/>
  <c r="BI1494" i="4"/>
  <c r="BI1495" i="4"/>
  <c r="BI1496" i="4"/>
  <c r="BI1497" i="4"/>
  <c r="BI1498" i="4"/>
  <c r="BI1499" i="4"/>
  <c r="BI1500" i="4"/>
  <c r="BI1501" i="4"/>
  <c r="BI1502" i="4"/>
  <c r="BI1503" i="4"/>
  <c r="BI1504" i="4"/>
  <c r="BI1505" i="4"/>
  <c r="BI1506" i="4"/>
  <c r="BI1507" i="4"/>
  <c r="BI1508" i="4"/>
  <c r="BI1509" i="4"/>
  <c r="BI1510" i="4"/>
  <c r="BI1511" i="4"/>
  <c r="BI1512" i="4"/>
  <c r="BI1513" i="4"/>
  <c r="BI1514" i="4"/>
  <c r="BI1515" i="4"/>
  <c r="BI1516" i="4"/>
  <c r="BI1517" i="4"/>
  <c r="BI1518" i="4"/>
  <c r="BI1519" i="4"/>
  <c r="BI1520" i="4"/>
  <c r="BI1521" i="4"/>
  <c r="BI1522" i="4"/>
  <c r="BI1523" i="4"/>
  <c r="BI1524" i="4"/>
  <c r="BI1525" i="4"/>
  <c r="BI1526" i="4"/>
  <c r="BI1527" i="4"/>
  <c r="BI1528" i="4"/>
  <c r="BI1529" i="4"/>
  <c r="BI1530" i="4"/>
  <c r="BI1531" i="4"/>
  <c r="BI1532" i="4"/>
  <c r="BI1533" i="4"/>
  <c r="BI1534" i="4"/>
  <c r="BI1535" i="4"/>
  <c r="BI1536" i="4"/>
  <c r="BI1537" i="4"/>
  <c r="BI1538" i="4"/>
  <c r="BI1539" i="4"/>
  <c r="BI1540" i="4"/>
  <c r="BI1541" i="4"/>
  <c r="BI1542" i="4"/>
  <c r="BI1543" i="4"/>
  <c r="BI1544" i="4"/>
  <c r="BI1545" i="4"/>
  <c r="BI1546" i="4"/>
  <c r="BI1547" i="4"/>
  <c r="BI1548" i="4"/>
  <c r="BI1549" i="4"/>
  <c r="BI1550" i="4"/>
  <c r="BI1551" i="4"/>
  <c r="BI1552" i="4"/>
  <c r="BI1553" i="4"/>
  <c r="BI1554" i="4"/>
  <c r="BI1555" i="4"/>
  <c r="BI1556" i="4"/>
  <c r="BI1557" i="4"/>
  <c r="BI1558" i="4"/>
  <c r="BI1559" i="4"/>
  <c r="BI1560" i="4"/>
  <c r="BI1561" i="4"/>
  <c r="BI1562" i="4"/>
  <c r="BI1563" i="4"/>
  <c r="BI1564" i="4"/>
  <c r="BI1565" i="4"/>
  <c r="BI1566" i="4"/>
  <c r="BI1567" i="4"/>
  <c r="BI1568" i="4"/>
  <c r="BI1569" i="4"/>
  <c r="BI1570" i="4"/>
  <c r="BI1571" i="4"/>
  <c r="BI1572" i="4"/>
  <c r="BI1573" i="4"/>
  <c r="BI1574" i="4"/>
  <c r="BI1575" i="4"/>
  <c r="BI1576" i="4"/>
  <c r="BI1577" i="4"/>
  <c r="BI1578" i="4"/>
  <c r="BI1579" i="4"/>
  <c r="BI1580" i="4"/>
  <c r="BI1581" i="4"/>
  <c r="BI1582" i="4"/>
  <c r="BI1583" i="4"/>
  <c r="BI1584" i="4"/>
  <c r="BI1585" i="4"/>
  <c r="BI1586" i="4"/>
  <c r="BI1587" i="4"/>
  <c r="BI1588" i="4"/>
  <c r="BI1589" i="4"/>
  <c r="BI1590" i="4"/>
  <c r="BI1591" i="4"/>
  <c r="BI1592" i="4"/>
  <c r="BI1593" i="4"/>
  <c r="BI1594" i="4"/>
  <c r="BI1595" i="4"/>
  <c r="BI1596" i="4"/>
  <c r="BI1597" i="4"/>
  <c r="BI1598" i="4"/>
  <c r="BI1599" i="4"/>
  <c r="BI1600" i="4"/>
  <c r="BI1601" i="4"/>
  <c r="BI1602" i="4"/>
  <c r="BI1603" i="4"/>
  <c r="BI1604" i="4"/>
  <c r="BI1605" i="4"/>
  <c r="BI1606" i="4"/>
  <c r="BI1607" i="4"/>
  <c r="BI1608" i="4"/>
  <c r="BI1609" i="4"/>
  <c r="BI1610" i="4"/>
  <c r="BI1611" i="4"/>
  <c r="BI1612" i="4"/>
  <c r="BI1613" i="4"/>
  <c r="BI1614" i="4"/>
  <c r="BI1615" i="4"/>
  <c r="BI1616" i="4"/>
  <c r="BI1617" i="4"/>
  <c r="BI1618" i="4"/>
  <c r="BI1619" i="4"/>
  <c r="BI1620" i="4"/>
  <c r="BI1621" i="4"/>
  <c r="BI1622" i="4"/>
  <c r="BI1623" i="4"/>
  <c r="BI1624" i="4"/>
  <c r="BI1625" i="4"/>
  <c r="BI1626" i="4"/>
  <c r="BI1627" i="4"/>
  <c r="BI1628" i="4"/>
  <c r="BI1629" i="4"/>
  <c r="BI1630" i="4"/>
  <c r="BI1631" i="4"/>
  <c r="BI1632" i="4"/>
  <c r="BI1633" i="4"/>
  <c r="BI1634" i="4"/>
  <c r="BI1635" i="4"/>
  <c r="BI1636" i="4"/>
  <c r="BI1637" i="4"/>
  <c r="BI1638" i="4"/>
  <c r="BI1639" i="4"/>
  <c r="BI1640" i="4"/>
  <c r="BI1641" i="4"/>
  <c r="BI1642" i="4"/>
  <c r="BI1643" i="4"/>
  <c r="BI1644" i="4"/>
  <c r="BI1645" i="4"/>
  <c r="BI1646" i="4"/>
  <c r="BI1647" i="4"/>
  <c r="BI1648" i="4"/>
  <c r="BI1649" i="4"/>
  <c r="BI1650" i="4"/>
  <c r="BI1651" i="4"/>
  <c r="BI1652" i="4"/>
  <c r="BI1653" i="4"/>
  <c r="BI1654" i="4"/>
  <c r="BI1655" i="4"/>
  <c r="BI1656" i="4"/>
  <c r="BI1657" i="4"/>
  <c r="BI1658" i="4"/>
  <c r="BI1659" i="4"/>
  <c r="BI1660" i="4"/>
  <c r="BI1661" i="4"/>
  <c r="BI1662" i="4"/>
  <c r="BI1663" i="4"/>
  <c r="BI1664" i="4"/>
  <c r="BI1665" i="4"/>
  <c r="BI1666" i="4"/>
  <c r="BI1667" i="4"/>
  <c r="BI1668" i="4"/>
  <c r="BI1669" i="4"/>
  <c r="BI1670" i="4"/>
  <c r="BI1671" i="4"/>
  <c r="BI1672" i="4"/>
  <c r="BI1673" i="4"/>
  <c r="BI1674" i="4"/>
  <c r="BI1675" i="4"/>
  <c r="BI1676" i="4"/>
  <c r="BI1677" i="4"/>
  <c r="BI1678" i="4"/>
  <c r="BI1679" i="4"/>
  <c r="BI1680" i="4"/>
  <c r="BI1681" i="4"/>
  <c r="BI1682" i="4"/>
  <c r="BI1683" i="4"/>
  <c r="BI1684" i="4"/>
  <c r="BI1685" i="4"/>
  <c r="BI1686" i="4"/>
  <c r="BI1687" i="4"/>
  <c r="BI1688" i="4"/>
  <c r="BI1689" i="4"/>
  <c r="BI1690" i="4"/>
  <c r="BI1691" i="4"/>
  <c r="BI1692" i="4"/>
  <c r="BI1693" i="4"/>
  <c r="BI1694" i="4"/>
  <c r="BI1695" i="4"/>
  <c r="BI1696" i="4"/>
  <c r="BI1697" i="4"/>
  <c r="BI1698" i="4"/>
  <c r="BI1699" i="4"/>
  <c r="BI1700" i="4"/>
  <c r="BI1701" i="4"/>
  <c r="BI1702" i="4"/>
  <c r="BI1703" i="4"/>
  <c r="BI1704" i="4"/>
  <c r="BI1705" i="4"/>
  <c r="BI1706" i="4"/>
  <c r="BI1707" i="4"/>
  <c r="BI1708" i="4"/>
  <c r="BI1709" i="4"/>
  <c r="BI1710" i="4"/>
  <c r="BI1711" i="4"/>
  <c r="BI1712" i="4"/>
  <c r="BI1713" i="4"/>
  <c r="BI1714" i="4"/>
  <c r="BI1715" i="4"/>
  <c r="BI1716" i="4"/>
  <c r="BI1717" i="4"/>
  <c r="BI1718" i="4"/>
  <c r="BI1719" i="4"/>
  <c r="BI1720" i="4"/>
  <c r="BI1721" i="4"/>
  <c r="BI1722" i="4"/>
  <c r="BI1723" i="4"/>
  <c r="BI1724" i="4"/>
  <c r="BI1725" i="4"/>
  <c r="BI1726" i="4"/>
  <c r="BI1727" i="4"/>
  <c r="BI1728" i="4"/>
  <c r="BI1729" i="4"/>
  <c r="BI1730" i="4"/>
  <c r="BI1731" i="4"/>
  <c r="BI1732" i="4"/>
  <c r="BI1733" i="4"/>
  <c r="BI1734" i="4"/>
  <c r="BI1735" i="4"/>
  <c r="BI1736" i="4"/>
  <c r="BI1737" i="4"/>
  <c r="BI1738" i="4"/>
  <c r="BI1739" i="4"/>
  <c r="BI1740" i="4"/>
  <c r="BI1741" i="4"/>
  <c r="BI1742" i="4"/>
  <c r="BI1743" i="4"/>
  <c r="BI1744" i="4"/>
  <c r="BI1745" i="4"/>
  <c r="BI1746" i="4"/>
  <c r="BI1747" i="4"/>
  <c r="BI1748" i="4"/>
  <c r="BI1749" i="4"/>
  <c r="BI1750" i="4"/>
  <c r="BI1751" i="4"/>
  <c r="BI1752" i="4"/>
  <c r="BI1753" i="4"/>
  <c r="BI1754" i="4"/>
  <c r="BI1755" i="4"/>
  <c r="BI1756" i="4"/>
  <c r="BI1757" i="4"/>
  <c r="BI1758" i="4"/>
  <c r="BI1759" i="4"/>
  <c r="BI1760" i="4"/>
  <c r="BI1761" i="4"/>
  <c r="BI1762" i="4"/>
  <c r="BI1763" i="4"/>
  <c r="BI1764" i="4"/>
  <c r="BI1765" i="4"/>
  <c r="BI1766" i="4"/>
  <c r="BI1767" i="4"/>
  <c r="BI1768" i="4"/>
  <c r="BI1769" i="4"/>
  <c r="BI1770" i="4"/>
  <c r="BI1771" i="4"/>
  <c r="BI1772" i="4"/>
  <c r="BI1773" i="4"/>
  <c r="BI1774" i="4"/>
  <c r="BI1775" i="4"/>
  <c r="BI1776" i="4"/>
  <c r="BI1777" i="4"/>
  <c r="BI1778" i="4"/>
  <c r="BI1779" i="4"/>
  <c r="BI1780" i="4"/>
  <c r="BI1781" i="4"/>
  <c r="BI1782" i="4"/>
  <c r="BI1783" i="4"/>
  <c r="BI1784" i="4"/>
  <c r="BI1785" i="4"/>
  <c r="BI1786" i="4"/>
  <c r="BI1787" i="4"/>
  <c r="BI1788" i="4"/>
  <c r="BI1789" i="4"/>
  <c r="BI1790" i="4"/>
  <c r="BI1791" i="4"/>
  <c r="BI1792" i="4"/>
  <c r="BI1793" i="4"/>
  <c r="BI1794" i="4"/>
  <c r="BI1795" i="4"/>
  <c r="BI1796" i="4"/>
  <c r="BI1797" i="4"/>
  <c r="BI1798" i="4"/>
  <c r="BI1799" i="4"/>
  <c r="BI1800" i="4"/>
  <c r="BI1801" i="4"/>
  <c r="BI1802" i="4"/>
  <c r="BI1803" i="4"/>
  <c r="BI1804" i="4"/>
  <c r="BI1805" i="4"/>
  <c r="BI1806" i="4"/>
  <c r="BI1807" i="4"/>
  <c r="BI1808" i="4"/>
  <c r="BI1809" i="4"/>
  <c r="BI1810" i="4"/>
  <c r="BI1811" i="4"/>
  <c r="BI1812" i="4"/>
  <c r="BI1813" i="4"/>
  <c r="BI1814" i="4"/>
  <c r="BI1815" i="4"/>
  <c r="BI1816" i="4"/>
  <c r="BI1817" i="4"/>
  <c r="BI1818" i="4"/>
  <c r="BI1819" i="4"/>
  <c r="BI1820" i="4"/>
  <c r="BI1821" i="4"/>
  <c r="BI1822" i="4"/>
  <c r="BI1823" i="4"/>
  <c r="BI1824" i="4"/>
  <c r="BI1825" i="4"/>
  <c r="BI1826" i="4"/>
  <c r="BI1827" i="4"/>
  <c r="BI1828" i="4"/>
  <c r="BI1829" i="4"/>
  <c r="BI1830" i="4"/>
  <c r="BI1831" i="4"/>
  <c r="BI1832" i="4"/>
  <c r="BI1833" i="4"/>
  <c r="BI1834" i="4"/>
  <c r="BI1835" i="4"/>
  <c r="BI1836" i="4"/>
  <c r="BI1837" i="4"/>
  <c r="BI1838" i="4"/>
  <c r="BI1839" i="4"/>
  <c r="BI1840" i="4"/>
  <c r="BI1841" i="4"/>
  <c r="BI1842" i="4"/>
  <c r="BI1843" i="4"/>
  <c r="BI1844" i="4"/>
  <c r="BI1845" i="4"/>
  <c r="BI1846" i="4"/>
  <c r="BI1847" i="4"/>
  <c r="BI1848" i="4"/>
  <c r="BI1849" i="4"/>
  <c r="BI1850" i="4"/>
  <c r="BI1851" i="4"/>
  <c r="BI1852" i="4"/>
  <c r="BI1853" i="4"/>
  <c r="BI1854" i="4"/>
  <c r="BI1855" i="4"/>
  <c r="BI1856" i="4"/>
  <c r="BI1857" i="4"/>
  <c r="BI1858" i="4"/>
  <c r="BI1859" i="4"/>
  <c r="BI1860" i="4"/>
  <c r="BI1861" i="4"/>
  <c r="BI1862" i="4"/>
  <c r="BI1863" i="4"/>
  <c r="BI1864" i="4"/>
  <c r="BI1865" i="4"/>
  <c r="BI1866" i="4"/>
  <c r="BI1867" i="4"/>
  <c r="BI1868" i="4"/>
  <c r="BI1869" i="4"/>
  <c r="BI1870" i="4"/>
  <c r="BI1871" i="4"/>
  <c r="BI1872" i="4"/>
  <c r="BI1873" i="4"/>
  <c r="BI1874" i="4"/>
  <c r="BI1875" i="4"/>
  <c r="BI1876" i="4"/>
  <c r="BI1877" i="4"/>
  <c r="BI1878" i="4"/>
  <c r="BI1879" i="4"/>
  <c r="BI1880" i="4"/>
  <c r="BI1881" i="4"/>
  <c r="BI1882" i="4"/>
  <c r="BI1883" i="4"/>
  <c r="BI1884" i="4"/>
  <c r="BI1885" i="4"/>
  <c r="BI1886" i="4"/>
  <c r="BI1887" i="4"/>
  <c r="BI1888" i="4"/>
  <c r="BI1889" i="4"/>
  <c r="BI1890" i="4"/>
  <c r="BI1891" i="4"/>
  <c r="BI1892" i="4"/>
  <c r="BI1893" i="4"/>
  <c r="BI1894" i="4"/>
  <c r="BI1895" i="4"/>
  <c r="BI1896" i="4"/>
  <c r="BI1897" i="4"/>
  <c r="BI1898" i="4"/>
  <c r="BI1899" i="4"/>
  <c r="BI1900" i="4"/>
  <c r="BI1901" i="4"/>
  <c r="BI1902" i="4"/>
  <c r="BI1903" i="4"/>
  <c r="BI1904" i="4"/>
  <c r="BI1905" i="4"/>
  <c r="BI1906" i="4"/>
  <c r="BI1907" i="4"/>
  <c r="BI1908" i="4"/>
  <c r="BI1909" i="4"/>
  <c r="BI1910" i="4"/>
  <c r="BI1911" i="4"/>
  <c r="BI1912" i="4"/>
  <c r="BI1913" i="4"/>
  <c r="BI1914" i="4"/>
  <c r="BI1915" i="4"/>
  <c r="BI1916" i="4"/>
  <c r="BI1917" i="4"/>
  <c r="BI1918" i="4"/>
  <c r="BI1919" i="4"/>
  <c r="BI1920" i="4"/>
  <c r="BI1921" i="4"/>
  <c r="BI1922" i="4"/>
  <c r="BI1923" i="4"/>
  <c r="BI1924" i="4"/>
  <c r="BI1925" i="4"/>
  <c r="BI1926" i="4"/>
  <c r="BI1927" i="4"/>
  <c r="BI1928" i="4"/>
  <c r="BI1929" i="4"/>
  <c r="BI1930" i="4"/>
  <c r="BI1931" i="4"/>
  <c r="BI1932" i="4"/>
  <c r="BI1933" i="4"/>
  <c r="BI1934" i="4"/>
  <c r="BI1935" i="4"/>
  <c r="BI1936" i="4"/>
  <c r="BI1937" i="4"/>
  <c r="BI1938" i="4"/>
  <c r="BI1939" i="4"/>
  <c r="BI1940" i="4"/>
  <c r="BI1941" i="4"/>
  <c r="BI1942" i="4"/>
  <c r="BI1943" i="4"/>
  <c r="BI1944" i="4"/>
  <c r="BI1945" i="4"/>
  <c r="BI1946" i="4"/>
  <c r="BI1947" i="4"/>
  <c r="BI1948" i="4"/>
  <c r="BI1949" i="4"/>
  <c r="BI1950" i="4"/>
  <c r="BI1951" i="4"/>
  <c r="BI1952" i="4"/>
  <c r="BI1953" i="4"/>
  <c r="BI1954" i="4"/>
  <c r="BI1955" i="4"/>
  <c r="BI1956" i="4"/>
  <c r="BI1957" i="4"/>
  <c r="BI1958" i="4"/>
  <c r="BI1959" i="4"/>
  <c r="BI1960" i="4"/>
  <c r="BI1961" i="4"/>
  <c r="BI1962" i="4"/>
  <c r="BI1963" i="4"/>
  <c r="BI1964" i="4"/>
  <c r="BI1965" i="4"/>
  <c r="BI1966" i="4"/>
  <c r="BI1967" i="4"/>
  <c r="BI1968" i="4"/>
  <c r="BI1969" i="4"/>
  <c r="BI1970" i="4"/>
  <c r="BI1971" i="4"/>
  <c r="BI1972" i="4"/>
  <c r="BI1973" i="4"/>
  <c r="BI1974" i="4"/>
  <c r="BI1975" i="4"/>
  <c r="BI1976" i="4"/>
  <c r="BI1977" i="4"/>
  <c r="BI1978" i="4"/>
  <c r="BI1979" i="4"/>
  <c r="BI1980" i="4"/>
  <c r="BI1981" i="4"/>
  <c r="BI1982" i="4"/>
  <c r="BI1983" i="4"/>
  <c r="BI1984" i="4"/>
  <c r="BI1985" i="4"/>
  <c r="BI1986" i="4"/>
  <c r="BI1987" i="4"/>
  <c r="BI1988" i="4"/>
  <c r="BI1989" i="4"/>
  <c r="BI1990" i="4"/>
  <c r="BI1991" i="4"/>
  <c r="BI1992" i="4"/>
  <c r="BI1993" i="4"/>
  <c r="BI1994" i="4"/>
  <c r="BI1995" i="4"/>
  <c r="BI1996" i="4"/>
  <c r="BI1997" i="4"/>
  <c r="BI1998" i="4"/>
  <c r="BI1999" i="4"/>
  <c r="BI2000" i="4"/>
  <c r="BI2001" i="4"/>
  <c r="BI2002" i="4"/>
  <c r="BI2003" i="4"/>
  <c r="BI2004" i="4"/>
  <c r="BI2005" i="4"/>
  <c r="BI2006" i="4"/>
  <c r="BI2007" i="4"/>
  <c r="BI2008" i="4"/>
  <c r="BI2009" i="4"/>
  <c r="BI2010" i="4"/>
  <c r="BI2011" i="4"/>
  <c r="BI2012" i="4"/>
  <c r="BI2013" i="4"/>
  <c r="BI2014" i="4"/>
  <c r="BI2015" i="4"/>
  <c r="BI2016" i="4"/>
  <c r="BI2017" i="4"/>
  <c r="BI2018" i="4"/>
  <c r="BI2019" i="4"/>
  <c r="BI2020" i="4"/>
  <c r="BI2021" i="4"/>
  <c r="BI2022" i="4"/>
  <c r="BI2023" i="4"/>
  <c r="BI2024" i="4"/>
  <c r="BI2025" i="4"/>
  <c r="BI2026" i="4"/>
  <c r="BI2027" i="4"/>
  <c r="BI2028" i="4"/>
  <c r="BI2029" i="4"/>
  <c r="BI2030" i="4"/>
  <c r="BI2031" i="4"/>
  <c r="BI2032" i="4"/>
  <c r="BI2033" i="4"/>
  <c r="BI2034" i="4"/>
  <c r="BI2035" i="4"/>
  <c r="BI2036" i="4"/>
  <c r="BI2037" i="4"/>
  <c r="BI2038" i="4"/>
  <c r="BI2039" i="4"/>
  <c r="BI2040" i="4"/>
  <c r="BI2041" i="4"/>
  <c r="BI2042" i="4"/>
  <c r="BI2043" i="4"/>
  <c r="BI2044" i="4"/>
  <c r="BI2045" i="4"/>
  <c r="BI2046" i="4"/>
  <c r="BI2047" i="4"/>
  <c r="BI2048" i="4"/>
  <c r="BI2049" i="4"/>
  <c r="BI2050" i="4"/>
  <c r="BI2051" i="4"/>
  <c r="BI2052" i="4"/>
  <c r="BI2053" i="4"/>
  <c r="BI2054" i="4"/>
  <c r="BI2055" i="4"/>
  <c r="BI2056" i="4"/>
  <c r="BI2057" i="4"/>
  <c r="BI2058" i="4"/>
  <c r="BI2059" i="4"/>
  <c r="BI2060" i="4"/>
  <c r="BI2061" i="4"/>
  <c r="BI2062" i="4"/>
  <c r="BI2063" i="4"/>
  <c r="BI2064" i="4"/>
  <c r="BI2065" i="4"/>
  <c r="BI2066" i="4"/>
  <c r="BI2067" i="4"/>
  <c r="BI2068" i="4"/>
  <c r="BI2069" i="4"/>
  <c r="BI2070" i="4"/>
  <c r="BI2071" i="4"/>
  <c r="BI2072" i="4"/>
  <c r="BI2073" i="4"/>
  <c r="BI2074" i="4"/>
  <c r="BI2075" i="4"/>
  <c r="BI2076" i="4"/>
  <c r="BI2077" i="4"/>
  <c r="BI2078" i="4"/>
  <c r="BI2079" i="4"/>
  <c r="BI2080" i="4"/>
  <c r="BI2081" i="4"/>
  <c r="BI2082" i="4"/>
  <c r="BI2083" i="4"/>
  <c r="BI2084" i="4"/>
  <c r="BI2085" i="4"/>
  <c r="BI2086" i="4"/>
  <c r="BI2087" i="4"/>
  <c r="BI2088" i="4"/>
  <c r="BI2089" i="4"/>
  <c r="BI2090" i="4"/>
  <c r="BI2091" i="4"/>
  <c r="BI2092" i="4"/>
  <c r="BI2093" i="4"/>
  <c r="BI2094" i="4"/>
  <c r="BI2095" i="4"/>
  <c r="BI2096" i="4"/>
  <c r="BI2097" i="4"/>
  <c r="BI2098" i="4"/>
  <c r="BI2099" i="4"/>
  <c r="BI2100" i="4"/>
  <c r="BI2101" i="4"/>
  <c r="BI2102" i="4"/>
  <c r="BI2103" i="4"/>
  <c r="BI2104" i="4"/>
  <c r="BI2105" i="4"/>
  <c r="BI2106" i="4"/>
  <c r="BI2107" i="4"/>
  <c r="BI2108" i="4"/>
  <c r="BI2109" i="4"/>
  <c r="BI2110" i="4"/>
  <c r="BI2111" i="4"/>
  <c r="BI2112" i="4"/>
  <c r="BI2113" i="4"/>
  <c r="BI2114" i="4"/>
  <c r="BI2115" i="4"/>
  <c r="BI2116" i="4"/>
  <c r="BI2117" i="4"/>
  <c r="BI2118" i="4"/>
  <c r="BI2119" i="4"/>
  <c r="BI2120" i="4"/>
  <c r="BI2121" i="4"/>
  <c r="BI2122" i="4"/>
  <c r="BI2123" i="4"/>
  <c r="BI2124" i="4"/>
  <c r="BI2125" i="4"/>
  <c r="BI2126" i="4"/>
  <c r="BI2127" i="4"/>
  <c r="BI2128" i="4"/>
  <c r="BI2129" i="4"/>
  <c r="BI2130" i="4"/>
  <c r="BI2131" i="4"/>
  <c r="BI2132" i="4"/>
  <c r="BI2133" i="4"/>
  <c r="BI2134" i="4"/>
  <c r="BI2135" i="4"/>
  <c r="BI2136" i="4"/>
  <c r="BI2137" i="4"/>
  <c r="BI2138" i="4"/>
  <c r="BI2139" i="4"/>
  <c r="BI2140" i="4"/>
  <c r="BI2141" i="4"/>
  <c r="BI2142" i="4"/>
  <c r="BI2143" i="4"/>
  <c r="BI2144" i="4"/>
  <c r="BI2145" i="4"/>
  <c r="BI2146" i="4"/>
  <c r="BI2147" i="4"/>
  <c r="BI2148" i="4"/>
  <c r="BI2149" i="4"/>
  <c r="BI2150" i="4"/>
  <c r="BI2151" i="4"/>
  <c r="BI2152" i="4"/>
  <c r="BI2153" i="4"/>
  <c r="BI2154" i="4"/>
  <c r="BI2155" i="4"/>
  <c r="BI2156" i="4"/>
  <c r="BI2157" i="4"/>
  <c r="BI2158" i="4"/>
  <c r="BI2159" i="4"/>
  <c r="BI2160" i="4"/>
  <c r="BI2161" i="4"/>
  <c r="BI2162" i="4"/>
  <c r="BI2163" i="4"/>
  <c r="BI2164" i="4"/>
  <c r="BI2165" i="4"/>
  <c r="BI2166" i="4"/>
  <c r="BI2167" i="4"/>
  <c r="BI2168" i="4"/>
  <c r="BI2169" i="4"/>
  <c r="BI2170" i="4"/>
  <c r="BI2171" i="4"/>
  <c r="BI2172" i="4"/>
  <c r="BI2173" i="4"/>
  <c r="BI2174" i="4"/>
  <c r="BI2175" i="4"/>
  <c r="BI2176" i="4"/>
  <c r="BI2177" i="4"/>
  <c r="BI2178" i="4"/>
  <c r="BI2179" i="4"/>
  <c r="BI2180" i="4"/>
  <c r="BI2181" i="4"/>
  <c r="BI2182" i="4"/>
  <c r="BI2183" i="4"/>
  <c r="BI2184" i="4"/>
  <c r="BI2185" i="4"/>
  <c r="BI2186" i="4"/>
  <c r="BI2187" i="4"/>
  <c r="BI2188" i="4"/>
  <c r="BI2189" i="4"/>
  <c r="BI2190" i="4"/>
  <c r="BI2191" i="4"/>
  <c r="BI2192" i="4"/>
  <c r="BI2193" i="4"/>
  <c r="BI2194" i="4"/>
  <c r="BI2195" i="4"/>
  <c r="BI2196" i="4"/>
  <c r="BI2197" i="4"/>
  <c r="BI2198" i="4"/>
  <c r="BI2199" i="4"/>
  <c r="BI2200" i="4"/>
  <c r="BI2201" i="4"/>
  <c r="BI2202" i="4"/>
  <c r="BI2203" i="4"/>
  <c r="BI2204" i="4"/>
  <c r="BI2205" i="4"/>
  <c r="BI2206" i="4"/>
  <c r="BI2207" i="4"/>
  <c r="BI2208" i="4"/>
  <c r="BI2209" i="4"/>
  <c r="BI2210" i="4"/>
  <c r="BI2211" i="4"/>
  <c r="BI2212" i="4"/>
  <c r="BI2213" i="4"/>
  <c r="BI2214" i="4"/>
  <c r="BI2215" i="4"/>
  <c r="BI2216" i="4"/>
  <c r="BI2217" i="4"/>
  <c r="BI2218" i="4"/>
  <c r="BI2219" i="4"/>
  <c r="BI2220" i="4"/>
  <c r="BI2221" i="4"/>
  <c r="BI2222" i="4"/>
  <c r="BI2223" i="4"/>
  <c r="BI2224" i="4"/>
  <c r="BI2225" i="4"/>
  <c r="BI2226" i="4"/>
  <c r="BI2227" i="4"/>
  <c r="BI2228" i="4"/>
  <c r="BI2229" i="4"/>
  <c r="BI2230" i="4"/>
  <c r="BI2231" i="4"/>
  <c r="BI2232" i="4"/>
  <c r="BI2233" i="4"/>
  <c r="BI2234" i="4"/>
  <c r="BI2235" i="4"/>
  <c r="BI2236" i="4"/>
  <c r="BI2237" i="4"/>
  <c r="BI2238" i="4"/>
  <c r="BI2239" i="4"/>
  <c r="BI2240" i="4"/>
  <c r="BI2241" i="4"/>
  <c r="BI2242" i="4"/>
  <c r="BI2243" i="4"/>
  <c r="BI2244" i="4"/>
  <c r="BI2245" i="4"/>
  <c r="BI2246" i="4"/>
  <c r="BI2247" i="4"/>
  <c r="BI2248" i="4"/>
  <c r="BI2249" i="4"/>
  <c r="BI2250" i="4"/>
  <c r="BI2251" i="4"/>
  <c r="BI2252" i="4"/>
  <c r="BI2253" i="4"/>
  <c r="BI2254" i="4"/>
  <c r="BI2255" i="4"/>
  <c r="BI2256" i="4"/>
  <c r="BI2257" i="4"/>
  <c r="BI2258" i="4"/>
  <c r="BI2259" i="4"/>
  <c r="BI2260" i="4"/>
  <c r="BI2261" i="4"/>
  <c r="BI2262" i="4"/>
  <c r="BI2263" i="4"/>
  <c r="BI2264" i="4"/>
  <c r="BI2265" i="4"/>
  <c r="BI2266" i="4"/>
  <c r="BI2267" i="4"/>
  <c r="BI2268" i="4"/>
  <c r="BI2269" i="4"/>
  <c r="BI2270" i="4"/>
  <c r="BI2271" i="4"/>
  <c r="BI2272" i="4"/>
  <c r="BI2273" i="4"/>
  <c r="BI2274" i="4"/>
  <c r="BI2275" i="4"/>
  <c r="BI2276" i="4"/>
  <c r="BI2277" i="4"/>
  <c r="BI2278" i="4"/>
  <c r="BI2279" i="4"/>
  <c r="BI2280" i="4"/>
  <c r="BI2281" i="4"/>
  <c r="BI2282" i="4"/>
  <c r="BI2283" i="4"/>
  <c r="BI2284" i="4"/>
  <c r="BI2285" i="4"/>
  <c r="BI2286" i="4"/>
  <c r="BI2287" i="4"/>
  <c r="BI2288" i="4"/>
  <c r="BI2289" i="4"/>
  <c r="BI2290" i="4"/>
  <c r="BI2291" i="4"/>
  <c r="BI2292" i="4"/>
  <c r="BI2293" i="4"/>
  <c r="BI2294" i="4"/>
  <c r="BI2295" i="4"/>
  <c r="BI2296" i="4"/>
  <c r="BI2297" i="4"/>
  <c r="BI2298" i="4"/>
  <c r="BI2299" i="4"/>
  <c r="BI2300" i="4"/>
  <c r="BI2301" i="4"/>
  <c r="BI2302" i="4"/>
  <c r="BI2303" i="4"/>
  <c r="BI2304" i="4"/>
  <c r="BI2305" i="4"/>
  <c r="BI2306" i="4"/>
  <c r="BI2307" i="4"/>
  <c r="BI2308" i="4"/>
  <c r="BI2309" i="4"/>
  <c r="BI2310" i="4"/>
  <c r="BI2311" i="4"/>
  <c r="BI2312" i="4"/>
  <c r="BI2313" i="4"/>
  <c r="BI2314" i="4"/>
  <c r="BI2315" i="4"/>
  <c r="BI2316" i="4"/>
  <c r="BI2317" i="4"/>
  <c r="BI2318" i="4"/>
  <c r="BI2319" i="4"/>
  <c r="BI2320" i="4"/>
  <c r="BI2321" i="4"/>
  <c r="BI2322" i="4"/>
  <c r="BI2323" i="4"/>
  <c r="BI2324" i="4"/>
  <c r="BI2325" i="4"/>
  <c r="BI2326" i="4"/>
  <c r="BI2327" i="4"/>
  <c r="BI2328" i="4"/>
  <c r="BI2329" i="4"/>
  <c r="BI2330" i="4"/>
  <c r="BI2331" i="4"/>
  <c r="BI2332" i="4"/>
  <c r="BI2333" i="4"/>
  <c r="BI2334" i="4"/>
  <c r="BI2335" i="4"/>
  <c r="BI2336" i="4"/>
  <c r="BI2337" i="4"/>
  <c r="BI2338" i="4"/>
  <c r="BI2339" i="4"/>
  <c r="BI2340" i="4"/>
  <c r="BI2341" i="4"/>
  <c r="BI2342" i="4"/>
  <c r="BI2343" i="4"/>
  <c r="BI2344" i="4"/>
  <c r="BI2345" i="4"/>
  <c r="BI2346" i="4"/>
  <c r="BI2347" i="4"/>
  <c r="BI2348" i="4"/>
  <c r="BI2349" i="4"/>
  <c r="BI2350" i="4"/>
  <c r="BI2351" i="4"/>
  <c r="BI2352" i="4"/>
  <c r="BI2353" i="4"/>
  <c r="BI2354" i="4"/>
  <c r="BI2355" i="4"/>
  <c r="BI2356" i="4"/>
  <c r="BI2357" i="4"/>
  <c r="BI2358" i="4"/>
  <c r="BI2359" i="4"/>
  <c r="BI2360" i="4"/>
  <c r="BI2361" i="4"/>
  <c r="BI2362" i="4"/>
  <c r="BI2363" i="4"/>
  <c r="BI2364" i="4"/>
  <c r="BI2365" i="4"/>
  <c r="BI2366" i="4"/>
  <c r="BI2367" i="4"/>
  <c r="BI2368" i="4"/>
  <c r="BI2369" i="4"/>
  <c r="BI2370" i="4"/>
  <c r="BI2371" i="4"/>
  <c r="BI2372" i="4"/>
  <c r="BI2373" i="4"/>
  <c r="BI2374" i="4"/>
  <c r="BI2375" i="4"/>
  <c r="BI2376" i="4"/>
  <c r="BI2377" i="4"/>
  <c r="BI2378" i="4"/>
  <c r="BI2379" i="4"/>
  <c r="BI2380" i="4"/>
  <c r="BI2381" i="4"/>
  <c r="BI2382" i="4"/>
  <c r="BI2383" i="4"/>
  <c r="BI2384" i="4"/>
  <c r="BI2385" i="4"/>
  <c r="BI2386" i="4"/>
  <c r="BI2387" i="4"/>
  <c r="BI2388" i="4"/>
  <c r="BI2389" i="4"/>
  <c r="BI2390" i="4"/>
  <c r="BI2391" i="4"/>
  <c r="BI2392" i="4"/>
  <c r="BI2393" i="4"/>
  <c r="BI2394" i="4"/>
  <c r="BI2395" i="4"/>
  <c r="BI2396" i="4"/>
  <c r="BI2397" i="4"/>
  <c r="BI2398" i="4"/>
  <c r="BI2399" i="4"/>
  <c r="BI2400" i="4"/>
  <c r="BI2401" i="4"/>
  <c r="BI2402" i="4"/>
  <c r="BI2403" i="4"/>
  <c r="BI2404" i="4"/>
  <c r="BI2405" i="4"/>
  <c r="BI2406" i="4"/>
  <c r="BI2407" i="4"/>
  <c r="BI2408" i="4"/>
  <c r="BI2409" i="4"/>
  <c r="BI2410" i="4"/>
  <c r="BI2411" i="4"/>
  <c r="BI2412" i="4"/>
  <c r="BI2413" i="4"/>
  <c r="BI2414" i="4"/>
  <c r="BI2415" i="4"/>
  <c r="BI2416" i="4"/>
  <c r="BI2417" i="4"/>
  <c r="BI2418" i="4"/>
  <c r="BI2419" i="4"/>
  <c r="BI2420" i="4"/>
  <c r="BI2421" i="4"/>
  <c r="BI2422" i="4"/>
  <c r="BI2423" i="4"/>
  <c r="BI2424" i="4"/>
  <c r="BI2425" i="4"/>
  <c r="BI2426" i="4"/>
  <c r="BI2427" i="4"/>
  <c r="BI2428" i="4"/>
  <c r="BI2429" i="4"/>
  <c r="BI2430" i="4"/>
  <c r="BI2431" i="4"/>
  <c r="BI2432" i="4"/>
  <c r="BI2433" i="4"/>
  <c r="BI2434" i="4"/>
  <c r="BI2435" i="4"/>
  <c r="BI2436" i="4"/>
  <c r="BI2437" i="4"/>
  <c r="BI2438" i="4"/>
  <c r="BI2439" i="4"/>
  <c r="BI2440" i="4"/>
  <c r="BI2441" i="4"/>
  <c r="BI2442" i="4"/>
  <c r="BI2443" i="4"/>
  <c r="BI2444" i="4"/>
  <c r="BI2445" i="4"/>
  <c r="BI2446" i="4"/>
  <c r="BI2447" i="4"/>
  <c r="BI2448" i="4"/>
  <c r="BI2449" i="4"/>
  <c r="BI2450" i="4"/>
  <c r="BI2451" i="4"/>
  <c r="BI2452" i="4"/>
  <c r="BI2453" i="4"/>
  <c r="BI2454" i="4"/>
  <c r="BI2455" i="4"/>
  <c r="BI2456" i="4"/>
  <c r="BI2457" i="4"/>
  <c r="BI2458" i="4"/>
  <c r="BI2459" i="4"/>
  <c r="BI2460" i="4"/>
  <c r="BI2461" i="4"/>
  <c r="BI2462" i="4"/>
  <c r="BI2463" i="4"/>
  <c r="BI2464" i="4"/>
  <c r="BI2465" i="4"/>
  <c r="BI2466" i="4"/>
  <c r="BI2467" i="4"/>
  <c r="BI2468" i="4"/>
  <c r="BI2469" i="4"/>
  <c r="BI2470" i="4"/>
  <c r="BI2471" i="4"/>
  <c r="BI2472" i="4"/>
  <c r="BI2473" i="4"/>
  <c r="BI2474" i="4"/>
  <c r="BI2475" i="4"/>
  <c r="BI2476" i="4"/>
  <c r="BI2477" i="4"/>
  <c r="BI2478" i="4"/>
  <c r="BI2479" i="4"/>
  <c r="BI2480" i="4"/>
  <c r="BI2481" i="4"/>
  <c r="BI2482" i="4"/>
  <c r="BI2483" i="4"/>
  <c r="BI2484" i="4"/>
  <c r="BI2485" i="4"/>
  <c r="BI2486" i="4"/>
  <c r="BI2487" i="4"/>
  <c r="BI2488" i="4"/>
  <c r="BI2489" i="4"/>
  <c r="BI2490" i="4"/>
  <c r="BI2491" i="4"/>
  <c r="BI2492" i="4"/>
  <c r="BI2493" i="4"/>
  <c r="BI2494" i="4"/>
  <c r="BI2495" i="4"/>
  <c r="BI2496" i="4"/>
  <c r="BI2497" i="4"/>
  <c r="BI2498" i="4"/>
  <c r="BI2499" i="4"/>
  <c r="BI2500" i="4"/>
  <c r="BI2501" i="4"/>
  <c r="BI2502" i="4"/>
  <c r="BI2503" i="4"/>
  <c r="BI2504" i="4"/>
  <c r="BI2505" i="4"/>
  <c r="BI2506" i="4"/>
  <c r="BI2507" i="4"/>
  <c r="BI2508" i="4"/>
  <c r="BI2509" i="4"/>
  <c r="BI2510" i="4"/>
  <c r="BI2511" i="4"/>
  <c r="BI2512" i="4"/>
  <c r="BI2513" i="4"/>
  <c r="BI2514" i="4"/>
  <c r="BI2515" i="4"/>
  <c r="BI2516" i="4"/>
  <c r="BI2517" i="4"/>
  <c r="BI2518" i="4"/>
  <c r="BI2519" i="4"/>
  <c r="BI2520" i="4"/>
  <c r="BI2521" i="4"/>
  <c r="BI2522" i="4"/>
  <c r="BI2523" i="4"/>
  <c r="BI2524" i="4"/>
  <c r="BI2525" i="4"/>
  <c r="BI2526" i="4"/>
  <c r="BI2527" i="4"/>
  <c r="BI2528" i="4"/>
  <c r="BI2529" i="4"/>
  <c r="BI2530" i="4"/>
  <c r="BI2531" i="4"/>
  <c r="BI2532" i="4"/>
  <c r="BI2533" i="4"/>
  <c r="BI2534" i="4"/>
  <c r="BI2535" i="4"/>
  <c r="BI2536" i="4"/>
  <c r="BI2537" i="4"/>
  <c r="BI2538" i="4"/>
  <c r="BI2539" i="4"/>
  <c r="BI2540" i="4"/>
  <c r="BI2541" i="4"/>
  <c r="BI2542" i="4"/>
  <c r="BI2543" i="4"/>
  <c r="BI2544" i="4"/>
  <c r="BI2545" i="4"/>
  <c r="BI2546" i="4"/>
  <c r="BI2547" i="4"/>
  <c r="BI2548" i="4"/>
  <c r="BI2549" i="4"/>
  <c r="BI2550" i="4"/>
  <c r="BI2551" i="4"/>
  <c r="BI2552" i="4"/>
  <c r="BI2553" i="4"/>
  <c r="BI2554" i="4"/>
  <c r="BI2555" i="4"/>
  <c r="BI2556" i="4"/>
  <c r="BI2557" i="4"/>
  <c r="BI2558" i="4"/>
  <c r="BI2559" i="4"/>
  <c r="BI2560" i="4"/>
  <c r="BI2561" i="4"/>
  <c r="BI2562" i="4"/>
  <c r="BI2563" i="4"/>
  <c r="BI2564" i="4"/>
  <c r="BI2565" i="4"/>
  <c r="BI2566" i="4"/>
  <c r="BI2567" i="4"/>
  <c r="BI2568" i="4"/>
  <c r="BI2569" i="4"/>
  <c r="BI2570" i="4"/>
  <c r="BI2571" i="4"/>
  <c r="BI2572" i="4"/>
  <c r="BI2573" i="4"/>
  <c r="BI2574" i="4"/>
  <c r="BI2575" i="4"/>
  <c r="BI2576" i="4"/>
  <c r="BI2577" i="4"/>
  <c r="BI2578" i="4"/>
  <c r="BI2579" i="4"/>
  <c r="BI2580" i="4"/>
  <c r="BI2581" i="4"/>
  <c r="BI2582" i="4"/>
  <c r="BI2583" i="4"/>
  <c r="BI2584" i="4"/>
  <c r="BI2585" i="4"/>
  <c r="BI2586" i="4"/>
  <c r="BI2587" i="4"/>
  <c r="BI2588" i="4"/>
  <c r="BI2589" i="4"/>
  <c r="BI2590" i="4"/>
  <c r="BI2591" i="4"/>
  <c r="BI2592" i="4"/>
  <c r="BI2593" i="4"/>
  <c r="BI2594" i="4"/>
  <c r="BI2595" i="4"/>
  <c r="BI2596" i="4"/>
  <c r="BI2597" i="4"/>
  <c r="BI2598" i="4"/>
  <c r="BI2599" i="4"/>
  <c r="BI2600" i="4"/>
  <c r="BI2601" i="4"/>
  <c r="BI2602" i="4"/>
  <c r="BI2603" i="4"/>
  <c r="BI2604" i="4"/>
  <c r="BI2605" i="4"/>
  <c r="BI2606" i="4"/>
  <c r="BI2607" i="4"/>
  <c r="BI2608" i="4"/>
  <c r="BI2609" i="4"/>
  <c r="BI2610" i="4"/>
  <c r="BI2611" i="4"/>
  <c r="BI2612" i="4"/>
  <c r="BI2613" i="4"/>
  <c r="BI2614" i="4"/>
  <c r="BI2615" i="4"/>
  <c r="BI2616" i="4"/>
  <c r="BI2617" i="4"/>
  <c r="BI2618" i="4"/>
  <c r="BI2619" i="4"/>
  <c r="BI2620" i="4"/>
  <c r="BI2621" i="4"/>
  <c r="BI2622" i="4"/>
  <c r="BI2623" i="4"/>
  <c r="BI2624" i="4"/>
  <c r="BI2625" i="4"/>
  <c r="BI2626" i="4"/>
  <c r="BI2627" i="4"/>
  <c r="BI2628" i="4"/>
  <c r="BI2629" i="4"/>
  <c r="BI2630" i="4"/>
  <c r="BI2631" i="4"/>
  <c r="BI2632" i="4"/>
  <c r="BI2633" i="4"/>
  <c r="BI2634" i="4"/>
  <c r="BI2635" i="4"/>
  <c r="BI2636" i="4"/>
  <c r="BI2637" i="4"/>
  <c r="BI2638" i="4"/>
  <c r="BI2639" i="4"/>
  <c r="BI2640" i="4"/>
  <c r="BI2641" i="4"/>
  <c r="BI2642" i="4"/>
  <c r="BI2643" i="4"/>
  <c r="BI2644" i="4"/>
  <c r="BI2645" i="4"/>
  <c r="BI2646" i="4"/>
  <c r="BI2647" i="4"/>
  <c r="BI2648" i="4"/>
  <c r="BI2649" i="4"/>
  <c r="BI2650" i="4"/>
  <c r="BI2651" i="4"/>
  <c r="BI2652" i="4"/>
  <c r="BI2653" i="4"/>
  <c r="BI2654" i="4"/>
  <c r="BI2655" i="4"/>
  <c r="BI2656" i="4"/>
  <c r="BI2657" i="4"/>
  <c r="BI2658" i="4"/>
  <c r="BI2659" i="4"/>
  <c r="BI2660" i="4"/>
  <c r="BI2661" i="4"/>
  <c r="BI2662" i="4"/>
  <c r="BI2663" i="4"/>
  <c r="BI2664" i="4"/>
  <c r="BI2665" i="4"/>
  <c r="BI2666" i="4"/>
  <c r="BI2667" i="4"/>
  <c r="BI2668" i="4"/>
  <c r="BI2669" i="4"/>
  <c r="BI2670" i="4"/>
  <c r="BI2671" i="4"/>
  <c r="BI2672" i="4"/>
  <c r="BI2673" i="4"/>
  <c r="BI2674" i="4"/>
  <c r="BI2675" i="4"/>
  <c r="BI2676" i="4"/>
  <c r="BI2677" i="4"/>
  <c r="BI2678" i="4"/>
  <c r="BI2679" i="4"/>
  <c r="BI2680" i="4"/>
  <c r="BI2681" i="4"/>
  <c r="BI2682" i="4"/>
  <c r="BI2683" i="4"/>
  <c r="BI2684" i="4"/>
  <c r="BI2685" i="4"/>
  <c r="BI2686" i="4"/>
  <c r="BI2687" i="4"/>
  <c r="BI2688" i="4"/>
  <c r="BI2689" i="4"/>
  <c r="BI2690" i="4"/>
  <c r="BI2691" i="4"/>
  <c r="BI2692" i="4"/>
  <c r="BI2693" i="4"/>
  <c r="BI2694" i="4"/>
  <c r="BI2695" i="4"/>
  <c r="BI2696" i="4"/>
  <c r="BI2697" i="4"/>
  <c r="BI2698" i="4"/>
  <c r="BI2699" i="4"/>
  <c r="BI2700" i="4"/>
  <c r="BI2701" i="4"/>
  <c r="BI2702" i="4"/>
  <c r="BI2703" i="4"/>
  <c r="BI2704" i="4"/>
  <c r="BI2705" i="4"/>
  <c r="BI2706" i="4"/>
  <c r="BI2707" i="4"/>
  <c r="BI2708" i="4"/>
  <c r="BI2709" i="4"/>
  <c r="BI2710" i="4"/>
  <c r="BI2711" i="4"/>
  <c r="BI2712" i="4"/>
  <c r="BI2713" i="4"/>
  <c r="BI2714" i="4"/>
  <c r="BI2715" i="4"/>
  <c r="BI2716" i="4"/>
  <c r="BI2717" i="4"/>
  <c r="BI2718" i="4"/>
  <c r="BI2719" i="4"/>
  <c r="BI2720" i="4"/>
  <c r="BI2721" i="4"/>
  <c r="BI2722" i="4"/>
  <c r="BI2723" i="4"/>
  <c r="BI2724" i="4"/>
  <c r="BI2725" i="4"/>
  <c r="BI2726" i="4"/>
  <c r="BI2727" i="4"/>
  <c r="BI2728" i="4"/>
  <c r="BI2729" i="4"/>
  <c r="BI2730" i="4"/>
  <c r="BI2731" i="4"/>
  <c r="BI2732" i="4"/>
  <c r="BI2733" i="4"/>
  <c r="BI2734" i="4"/>
  <c r="BI2735" i="4"/>
  <c r="BI2736" i="4"/>
  <c r="BI2737" i="4"/>
  <c r="BI2738" i="4"/>
  <c r="BI2739" i="4"/>
  <c r="BI2740" i="4"/>
  <c r="BI2741" i="4"/>
  <c r="BI2742" i="4"/>
  <c r="BI2743" i="4"/>
  <c r="BI2744" i="4"/>
  <c r="BI2745" i="4"/>
  <c r="BI2746" i="4"/>
  <c r="BI2747" i="4"/>
  <c r="BI2748" i="4"/>
  <c r="BI2749" i="4"/>
  <c r="BI2750" i="4"/>
  <c r="BI2751" i="4"/>
  <c r="BI2752" i="4"/>
  <c r="BI2753" i="4"/>
  <c r="BI2754" i="4"/>
  <c r="BI2755" i="4"/>
  <c r="BI2756" i="4"/>
  <c r="BI2757" i="4"/>
  <c r="BI2758" i="4"/>
  <c r="BI2759" i="4"/>
  <c r="BI2760" i="4"/>
  <c r="BI2761" i="4"/>
  <c r="BI2762" i="4"/>
  <c r="BI2763" i="4"/>
  <c r="BI2764" i="4"/>
  <c r="BI2765" i="4"/>
  <c r="BI2766" i="4"/>
  <c r="BI2767" i="4"/>
  <c r="BI2768" i="4"/>
  <c r="BI2769" i="4"/>
  <c r="BI2770" i="4"/>
  <c r="BI2771" i="4"/>
  <c r="BI2772" i="4"/>
  <c r="BI2773" i="4"/>
  <c r="BI2774" i="4"/>
  <c r="BI2775" i="4"/>
  <c r="BI2776" i="4"/>
  <c r="BI2777" i="4"/>
  <c r="BI2778" i="4"/>
  <c r="BI2779" i="4"/>
  <c r="BI2780" i="4"/>
  <c r="BI2781" i="4"/>
  <c r="BI2782" i="4"/>
  <c r="BI2783" i="4"/>
  <c r="BI2784" i="4"/>
  <c r="BI2785" i="4"/>
  <c r="BI2786" i="4"/>
  <c r="BI2787" i="4"/>
  <c r="BI2788" i="4"/>
  <c r="BI2789" i="4"/>
  <c r="BI2790" i="4"/>
  <c r="BI2791" i="4"/>
  <c r="BI2792" i="4"/>
  <c r="BI2793" i="4"/>
  <c r="BI2794" i="4"/>
  <c r="BI2795" i="4"/>
  <c r="BI2796" i="4"/>
  <c r="BI2797" i="4"/>
  <c r="BI2798" i="4"/>
  <c r="BI2799" i="4"/>
  <c r="BI2800" i="4"/>
  <c r="BI2801" i="4"/>
  <c r="BI2802" i="4"/>
  <c r="BI2803" i="4"/>
  <c r="BI2804" i="4"/>
  <c r="BI2805" i="4"/>
  <c r="BI2806" i="4"/>
  <c r="BI2807" i="4"/>
  <c r="BI2808" i="4"/>
  <c r="BI2809" i="4"/>
  <c r="BI2810" i="4"/>
  <c r="BI2811" i="4"/>
  <c r="BI2812" i="4"/>
  <c r="BI2813" i="4"/>
  <c r="BI2814" i="4"/>
  <c r="BI2815" i="4"/>
  <c r="BI2816" i="4"/>
  <c r="BI2817" i="4"/>
  <c r="BI2818" i="4"/>
  <c r="BI2819" i="4"/>
  <c r="BI2820" i="4"/>
  <c r="BI2821" i="4"/>
  <c r="BI2822" i="4"/>
  <c r="BI2823" i="4"/>
  <c r="BI2824" i="4"/>
  <c r="BI2825" i="4"/>
  <c r="BI2826" i="4"/>
  <c r="BI2827" i="4"/>
  <c r="BI2828" i="4"/>
  <c r="BI2829" i="4"/>
  <c r="BI2830" i="4"/>
  <c r="BI2831" i="4"/>
  <c r="BI2832" i="4"/>
  <c r="BI2833" i="4"/>
  <c r="BI2834" i="4"/>
  <c r="BI2835" i="4"/>
  <c r="BI2836" i="4"/>
  <c r="BI2837" i="4"/>
  <c r="BI2838" i="4"/>
  <c r="BI2839" i="4"/>
  <c r="BI2840" i="4"/>
  <c r="BI2841" i="4"/>
  <c r="BI2842" i="4"/>
  <c r="BI2843" i="4"/>
  <c r="BI2844" i="4"/>
  <c r="BI2845" i="4"/>
  <c r="BI2846" i="4"/>
  <c r="BI2847" i="4"/>
  <c r="BI2848" i="4"/>
  <c r="BI2849" i="4"/>
  <c r="BI2850" i="4"/>
  <c r="BI2851" i="4"/>
  <c r="BI2852" i="4"/>
  <c r="BI2853" i="4"/>
  <c r="BI2854" i="4"/>
  <c r="BI2855" i="4"/>
  <c r="BI2856" i="4"/>
  <c r="BI2857" i="4"/>
  <c r="BI2858" i="4"/>
  <c r="BI2859" i="4"/>
  <c r="BI2860" i="4"/>
  <c r="BI2861" i="4"/>
  <c r="BI2862" i="4"/>
  <c r="BI2863" i="4"/>
  <c r="BI2864" i="4"/>
  <c r="BI2865" i="4"/>
  <c r="BI2866" i="4"/>
  <c r="BI2867" i="4"/>
  <c r="BI2868" i="4"/>
  <c r="BI2869" i="4"/>
  <c r="BI2870" i="4"/>
  <c r="BI2871" i="4"/>
  <c r="BI2872" i="4"/>
  <c r="BI2873" i="4"/>
  <c r="BI2874" i="4"/>
  <c r="BI2875" i="4"/>
  <c r="BI2876" i="4"/>
  <c r="BI2877" i="4"/>
  <c r="BI2878" i="4"/>
  <c r="BI2879" i="4"/>
  <c r="BI2880" i="4"/>
  <c r="BI2881" i="4"/>
  <c r="BI2882" i="4"/>
  <c r="BI2883" i="4"/>
  <c r="BI2884" i="4"/>
  <c r="BI2885" i="4"/>
  <c r="BI2886" i="4"/>
  <c r="BI2887" i="4"/>
  <c r="BI2888" i="4"/>
  <c r="BI2889" i="4"/>
  <c r="BI2890" i="4"/>
  <c r="BI2891" i="4"/>
  <c r="BI2892" i="4"/>
  <c r="BI2893" i="4"/>
  <c r="BI2894" i="4"/>
  <c r="BI2895" i="4"/>
  <c r="BI2896" i="4"/>
  <c r="BI2897" i="4"/>
  <c r="BI2898" i="4"/>
  <c r="BI2899" i="4"/>
  <c r="BI2900" i="4"/>
  <c r="BI2901" i="4"/>
  <c r="BI2902" i="4"/>
  <c r="BI2903" i="4"/>
  <c r="BI2904" i="4"/>
  <c r="BI2905" i="4"/>
  <c r="BI2906" i="4"/>
  <c r="BI2907" i="4"/>
  <c r="BI2908" i="4"/>
  <c r="BI2909" i="4"/>
  <c r="BI2910" i="4"/>
  <c r="BI2911" i="4"/>
  <c r="BI2912" i="4"/>
  <c r="BI2913" i="4"/>
  <c r="BI2914" i="4"/>
  <c r="BI2915" i="4"/>
  <c r="BI2916" i="4"/>
  <c r="BI2917" i="4"/>
  <c r="BI2918" i="4"/>
  <c r="BI2919" i="4"/>
  <c r="BI2920" i="4"/>
  <c r="BI2921" i="4"/>
  <c r="BI2922" i="4"/>
  <c r="BI2923" i="4"/>
  <c r="BI2924" i="4"/>
  <c r="BI2925" i="4"/>
  <c r="BI2926" i="4"/>
  <c r="BI2927" i="4"/>
  <c r="BI2928" i="4"/>
  <c r="BI2929" i="4"/>
  <c r="BI2930" i="4"/>
  <c r="BI2931" i="4"/>
  <c r="BI2932" i="4"/>
  <c r="BI2933" i="4"/>
  <c r="BI2934" i="4"/>
  <c r="BI2935" i="4"/>
  <c r="BI2936" i="4"/>
  <c r="BI2937" i="4"/>
  <c r="BI2938" i="4"/>
  <c r="BI2939" i="4"/>
  <c r="BI2940" i="4"/>
  <c r="BI2941" i="4"/>
  <c r="BI2942" i="4"/>
  <c r="BI2943" i="4"/>
  <c r="BI2944" i="4"/>
  <c r="BI2945" i="4"/>
  <c r="BI2946" i="4"/>
  <c r="BI2947" i="4"/>
  <c r="BI2948" i="4"/>
  <c r="BI2949" i="4"/>
  <c r="BI2950" i="4"/>
  <c r="BI2951" i="4"/>
  <c r="BI2952" i="4"/>
  <c r="BI2953" i="4"/>
  <c r="BI2954" i="4"/>
  <c r="BI2955" i="4"/>
  <c r="BI2956" i="4"/>
  <c r="BI2957" i="4"/>
  <c r="BI2958" i="4"/>
  <c r="BI2959" i="4"/>
  <c r="BI2960" i="4"/>
  <c r="BI2961" i="4"/>
  <c r="BI2962" i="4"/>
  <c r="BI2963" i="4"/>
  <c r="BI2964" i="4"/>
  <c r="BI2965" i="4"/>
  <c r="BI2966" i="4"/>
  <c r="BI2967" i="4"/>
  <c r="BI2968" i="4"/>
  <c r="BI2969" i="4"/>
  <c r="BI2970" i="4"/>
  <c r="BI2971" i="4"/>
  <c r="BI2972" i="4"/>
  <c r="BI2973" i="4"/>
  <c r="BI2974" i="4"/>
  <c r="BI2975" i="4"/>
  <c r="BI2976" i="4"/>
  <c r="BI2977" i="4"/>
  <c r="BI2978" i="4"/>
  <c r="BI2979" i="4"/>
  <c r="BI2980" i="4"/>
  <c r="BI2981" i="4"/>
  <c r="BI2982" i="4"/>
  <c r="BI2983" i="4"/>
  <c r="BI2984" i="4"/>
  <c r="BI2985" i="4"/>
  <c r="BI2986" i="4"/>
  <c r="BI2987" i="4"/>
  <c r="BI2988" i="4"/>
  <c r="BI2989" i="4"/>
  <c r="BI2990" i="4"/>
  <c r="BI2991" i="4"/>
  <c r="BI2992" i="4"/>
  <c r="BI2993" i="4"/>
  <c r="BI2994" i="4"/>
  <c r="BI2995" i="4"/>
  <c r="BI2996" i="4"/>
  <c r="BI2997" i="4"/>
  <c r="BI2998" i="4"/>
  <c r="BI2999" i="4"/>
  <c r="BI3000" i="4"/>
  <c r="BI3001" i="4"/>
  <c r="BI3002" i="4"/>
  <c r="BI3003" i="4"/>
  <c r="BI3004" i="4"/>
  <c r="BI3005" i="4"/>
  <c r="BI3006" i="4"/>
  <c r="BI3007" i="4"/>
  <c r="BI3008" i="4"/>
  <c r="BI3009" i="4"/>
  <c r="BI3010" i="4"/>
  <c r="BI3011" i="4"/>
  <c r="BI3012" i="4"/>
  <c r="BI3013" i="4"/>
  <c r="BI3014" i="4"/>
  <c r="BI3015" i="4"/>
  <c r="BI3016" i="4"/>
  <c r="BI3017" i="4"/>
  <c r="BI3018" i="4"/>
  <c r="BI3019" i="4"/>
  <c r="BI3020" i="4"/>
  <c r="BI3021" i="4"/>
  <c r="BI3022" i="4"/>
  <c r="BI3023" i="4"/>
  <c r="BI3024" i="4"/>
  <c r="BI3025" i="4"/>
  <c r="BI3026" i="4"/>
  <c r="BI3027" i="4"/>
  <c r="BI3028" i="4"/>
  <c r="BI3029" i="4"/>
  <c r="BI3030" i="4"/>
  <c r="BI3031" i="4"/>
  <c r="BI3032" i="4"/>
  <c r="BI3033" i="4"/>
  <c r="BI3034" i="4"/>
  <c r="BI3035" i="4"/>
  <c r="BI3036" i="4"/>
  <c r="BI3037" i="4"/>
  <c r="BI3038" i="4"/>
  <c r="BI3039" i="4"/>
  <c r="BI3040" i="4"/>
  <c r="BI3041" i="4"/>
  <c r="BI3042" i="4"/>
  <c r="BI3043" i="4"/>
  <c r="BI3044" i="4"/>
  <c r="BI3045" i="4"/>
  <c r="BI3046" i="4"/>
  <c r="BI3047" i="4"/>
  <c r="BI3048" i="4"/>
  <c r="BI3049" i="4"/>
  <c r="BI3050" i="4"/>
  <c r="BI3051" i="4"/>
  <c r="BI3052" i="4"/>
  <c r="BI3053" i="4"/>
  <c r="BI3054" i="4"/>
  <c r="BI3055" i="4"/>
  <c r="BI3056" i="4"/>
  <c r="BI3057" i="4"/>
  <c r="BI3058" i="4"/>
  <c r="BI3059" i="4"/>
  <c r="BI3060" i="4"/>
  <c r="BI3061" i="4"/>
  <c r="BI3062" i="4"/>
  <c r="BI3063" i="4"/>
  <c r="BI3064" i="4"/>
  <c r="BI3065" i="4"/>
  <c r="BI3066" i="4"/>
  <c r="BI3067" i="4"/>
  <c r="BI3068" i="4"/>
  <c r="BI3069" i="4"/>
  <c r="BI3070" i="4"/>
  <c r="BI3071" i="4"/>
  <c r="BI3072" i="4"/>
  <c r="BI3073" i="4"/>
  <c r="BI3074" i="4"/>
  <c r="BI3075" i="4"/>
  <c r="BI3076" i="4"/>
  <c r="BI3077" i="4"/>
  <c r="BI3078" i="4"/>
  <c r="BI3079" i="4"/>
  <c r="BI3080" i="4"/>
  <c r="BI3081" i="4"/>
  <c r="BI3082" i="4"/>
  <c r="BI3083" i="4"/>
  <c r="BI3084" i="4"/>
  <c r="BI3085" i="4"/>
  <c r="BI3086" i="4"/>
  <c r="BI3087" i="4"/>
  <c r="BI3088" i="4"/>
  <c r="BI3089" i="4"/>
  <c r="BI3090" i="4"/>
  <c r="BI3091" i="4"/>
  <c r="BI3092" i="4"/>
  <c r="BI3093" i="4"/>
  <c r="BI3094" i="4"/>
  <c r="BI3095" i="4"/>
  <c r="BI3096" i="4"/>
  <c r="BI3097" i="4"/>
  <c r="BI3098" i="4"/>
  <c r="BI3099" i="4"/>
  <c r="BI3100" i="4"/>
  <c r="BI3101" i="4"/>
  <c r="BI3102" i="4"/>
  <c r="BI3103" i="4"/>
  <c r="BI3104" i="4"/>
  <c r="BI3105" i="4"/>
  <c r="BI3106" i="4"/>
  <c r="BI3107" i="4"/>
  <c r="BI3108" i="4"/>
  <c r="BI3109" i="4"/>
  <c r="BI3110" i="4"/>
  <c r="BI3111" i="4"/>
  <c r="BI3112" i="4"/>
  <c r="BI3113" i="4"/>
  <c r="BI3114" i="4"/>
  <c r="BI3115" i="4"/>
  <c r="BI3116" i="4"/>
  <c r="BI3117" i="4"/>
  <c r="BI3118" i="4"/>
  <c r="BI3119" i="4"/>
  <c r="BI3120" i="4"/>
  <c r="BI3121" i="4"/>
  <c r="BI3122" i="4"/>
  <c r="BI3123" i="4"/>
  <c r="BI3124" i="4"/>
  <c r="BI3125" i="4"/>
  <c r="BI3126" i="4"/>
  <c r="BI3127" i="4"/>
  <c r="BI3128" i="4"/>
  <c r="BI3129" i="4"/>
  <c r="BI3130" i="4"/>
  <c r="BI3131" i="4"/>
  <c r="BI3132" i="4"/>
  <c r="BI3133" i="4"/>
  <c r="BI3134" i="4"/>
  <c r="BI3135" i="4"/>
  <c r="BI3136" i="4"/>
  <c r="BI3137" i="4"/>
  <c r="BI3138" i="4"/>
  <c r="BI3139" i="4"/>
  <c r="BI3140" i="4"/>
  <c r="BI3141" i="4"/>
  <c r="BI3142" i="4"/>
  <c r="BI3143" i="4"/>
  <c r="BI3144" i="4"/>
  <c r="BI3145" i="4"/>
  <c r="BI3146" i="4"/>
  <c r="BI3147" i="4"/>
  <c r="BI3148" i="4"/>
  <c r="BI3149" i="4"/>
  <c r="BI3150" i="4"/>
  <c r="BI3151" i="4"/>
  <c r="BI3152" i="4"/>
  <c r="BI3153" i="4"/>
  <c r="BI3154" i="4"/>
  <c r="BI3155" i="4"/>
  <c r="BI3156" i="4"/>
  <c r="BI3157" i="4"/>
  <c r="BI3158" i="4"/>
  <c r="BI3159" i="4"/>
  <c r="BI3160" i="4"/>
  <c r="BI3161" i="4"/>
  <c r="BI3162" i="4"/>
  <c r="BI3163" i="4"/>
  <c r="BI3164" i="4"/>
  <c r="BI3165" i="4"/>
  <c r="BI3166" i="4"/>
  <c r="BI3167" i="4"/>
  <c r="BI3168" i="4"/>
  <c r="BI3169" i="4"/>
  <c r="BI3170" i="4"/>
  <c r="BI3171" i="4"/>
  <c r="BI3172" i="4"/>
  <c r="BI3173" i="4"/>
  <c r="BI3174" i="4"/>
  <c r="BI3175" i="4"/>
  <c r="BI3176" i="4"/>
  <c r="BI3177" i="4"/>
  <c r="BI3178" i="4"/>
  <c r="BI3179" i="4"/>
  <c r="BI3180" i="4"/>
  <c r="BI3181" i="4"/>
  <c r="BI3182" i="4"/>
  <c r="BI3183" i="4"/>
  <c r="BI3184" i="4"/>
  <c r="BI3185" i="4"/>
  <c r="BI3186" i="4"/>
  <c r="BI3187" i="4"/>
  <c r="BI3188" i="4"/>
  <c r="BI3189" i="4"/>
  <c r="BI3190" i="4"/>
  <c r="BI3191" i="4"/>
  <c r="BI3192" i="4"/>
  <c r="BI3193" i="4"/>
  <c r="BI3194" i="4"/>
  <c r="BI3195" i="4"/>
  <c r="BI3196" i="4"/>
  <c r="BI3197" i="4"/>
  <c r="BI3198" i="4"/>
  <c r="BI3199" i="4"/>
  <c r="BI3200" i="4"/>
  <c r="BI3201" i="4"/>
  <c r="BI3202" i="4"/>
  <c r="BI3203" i="4"/>
  <c r="BI3204" i="4"/>
  <c r="BI3205" i="4"/>
  <c r="BI3206" i="4"/>
  <c r="BI3207" i="4"/>
  <c r="BI3208" i="4"/>
  <c r="BI3209" i="4"/>
  <c r="BI3210" i="4"/>
  <c r="BI3211" i="4"/>
  <c r="BI3212" i="4"/>
  <c r="BI3213" i="4"/>
  <c r="BI3214" i="4"/>
  <c r="BI3215" i="4"/>
  <c r="BI3216" i="4"/>
  <c r="BI3217" i="4"/>
  <c r="BI3218" i="4"/>
  <c r="BI3219" i="4"/>
  <c r="BI3220" i="4"/>
  <c r="BI3221" i="4"/>
  <c r="BI3222" i="4"/>
  <c r="BI3223" i="4"/>
  <c r="BI3224" i="4"/>
  <c r="BI3225" i="4"/>
  <c r="BI3226" i="4"/>
  <c r="BI3227" i="4"/>
  <c r="BI3228" i="4"/>
  <c r="BI3229" i="4"/>
  <c r="BI3230" i="4"/>
  <c r="BI3231" i="4"/>
  <c r="BI3232" i="4"/>
  <c r="BI3233" i="4"/>
  <c r="BI3234" i="4"/>
  <c r="BI3235" i="4"/>
  <c r="BI3236" i="4"/>
  <c r="BI3237" i="4"/>
  <c r="BI3238" i="4"/>
  <c r="BI3239" i="4"/>
  <c r="BI3240" i="4"/>
  <c r="BI3241" i="4"/>
  <c r="BI3242" i="4"/>
  <c r="BI3243" i="4"/>
  <c r="BI3244" i="4"/>
  <c r="BI3245" i="4"/>
  <c r="BI3246" i="4"/>
  <c r="BI3247" i="4"/>
  <c r="BI3248" i="4"/>
  <c r="BI3249" i="4"/>
  <c r="BI3250" i="4"/>
  <c r="BI3251" i="4"/>
  <c r="BI3252" i="4"/>
  <c r="BI3253" i="4"/>
  <c r="BI3254" i="4"/>
  <c r="BI3255" i="4"/>
  <c r="BI3256" i="4"/>
  <c r="BI3257" i="4"/>
  <c r="BI3258" i="4"/>
  <c r="BI3259" i="4"/>
  <c r="BI3260" i="4"/>
  <c r="BI3261" i="4"/>
  <c r="BI3262" i="4"/>
  <c r="BI3263" i="4"/>
  <c r="BI3264" i="4"/>
  <c r="BI3265" i="4"/>
  <c r="BI3266" i="4"/>
  <c r="BI3267" i="4"/>
  <c r="BI3268" i="4"/>
  <c r="BI3269" i="4"/>
  <c r="BI3270" i="4"/>
  <c r="BI3271" i="4"/>
  <c r="BI3272" i="4"/>
  <c r="BI3273" i="4"/>
  <c r="BI3274" i="4"/>
  <c r="BI3275" i="4"/>
  <c r="BI3276" i="4"/>
  <c r="BI3277" i="4"/>
  <c r="BI3278" i="4"/>
  <c r="BI3279" i="4"/>
  <c r="BI3280" i="4"/>
  <c r="BI3281" i="4"/>
  <c r="BI3282" i="4"/>
  <c r="BI3283" i="4"/>
  <c r="BI3284" i="4"/>
  <c r="BI3285" i="4"/>
  <c r="BI3286" i="4"/>
  <c r="BI3287" i="4"/>
  <c r="BI3288" i="4"/>
  <c r="BI3289" i="4"/>
  <c r="BI3290" i="4"/>
  <c r="BI3291" i="4"/>
  <c r="BI3292" i="4"/>
  <c r="BI3293" i="4"/>
  <c r="BI3294" i="4"/>
  <c r="BI3295" i="4"/>
  <c r="BI3296" i="4"/>
  <c r="BI3297" i="4"/>
  <c r="BI3298" i="4"/>
  <c r="BI3299" i="4"/>
  <c r="BI3300" i="4"/>
  <c r="BI3301" i="4"/>
  <c r="BI3302" i="4"/>
  <c r="BI3303" i="4"/>
  <c r="BI3304" i="4"/>
  <c r="BI3305" i="4"/>
  <c r="BI3306" i="4"/>
  <c r="BI3307" i="4"/>
  <c r="BI3308" i="4"/>
  <c r="BI3309" i="4"/>
  <c r="BI3310" i="4"/>
  <c r="BI3311" i="4"/>
  <c r="BI3312" i="4"/>
  <c r="BI3313" i="4"/>
  <c r="BI3314" i="4"/>
  <c r="BI3315" i="4"/>
  <c r="BI3316" i="4"/>
  <c r="BI3317" i="4"/>
  <c r="BI3318" i="4"/>
  <c r="BI3319" i="4"/>
  <c r="BI3320" i="4"/>
  <c r="BI3321" i="4"/>
  <c r="BI3322" i="4"/>
  <c r="BI3323" i="4"/>
  <c r="BI3324" i="4"/>
  <c r="BI3325" i="4"/>
  <c r="BI3326" i="4"/>
  <c r="BI3327" i="4"/>
  <c r="BI3328" i="4"/>
  <c r="BI3329" i="4"/>
  <c r="BI3330" i="4"/>
  <c r="BI3331" i="4"/>
  <c r="BI3332" i="4"/>
  <c r="BI3333" i="4"/>
  <c r="BI3334" i="4"/>
  <c r="BI3335" i="4"/>
  <c r="BI3336" i="4"/>
  <c r="BI3337" i="4"/>
  <c r="BI3338" i="4"/>
  <c r="BI3339" i="4"/>
  <c r="BI3340" i="4"/>
  <c r="BI3341" i="4"/>
  <c r="BI3342" i="4"/>
  <c r="BI3343" i="4"/>
  <c r="BI3344" i="4"/>
  <c r="BI3345" i="4"/>
  <c r="BI3346" i="4"/>
  <c r="BI3347" i="4"/>
  <c r="BI3348" i="4"/>
  <c r="BI3349" i="4"/>
  <c r="BI3350" i="4"/>
  <c r="BI3351" i="4"/>
  <c r="BI3352" i="4"/>
  <c r="BI3353" i="4"/>
  <c r="BI3354" i="4"/>
  <c r="BI3355" i="4"/>
  <c r="BI3356" i="4"/>
  <c r="BI3357" i="4"/>
  <c r="BI3358" i="4"/>
  <c r="BI3359" i="4"/>
  <c r="BI3360" i="4"/>
  <c r="BI3361" i="4"/>
  <c r="BI3362" i="4"/>
  <c r="BI3363" i="4"/>
  <c r="BI3364" i="4"/>
  <c r="BI3365" i="4"/>
  <c r="BI3366" i="4"/>
  <c r="BI3367" i="4"/>
  <c r="BI3368" i="4"/>
  <c r="BI3369" i="4"/>
  <c r="BI3370" i="4"/>
  <c r="BI3371" i="4"/>
  <c r="BI3372" i="4"/>
  <c r="BI3373" i="4"/>
  <c r="BI3374" i="4"/>
  <c r="BI3375" i="4"/>
  <c r="BI3376" i="4"/>
  <c r="BI3377" i="4"/>
  <c r="BI3378" i="4"/>
  <c r="BI3379" i="4"/>
  <c r="BI3380" i="4"/>
  <c r="BI3381" i="4"/>
  <c r="BI3382" i="4"/>
  <c r="BI3383" i="4"/>
  <c r="BI3384" i="4"/>
  <c r="BI3385" i="4"/>
  <c r="BI3386" i="4"/>
  <c r="BI3387" i="4"/>
  <c r="BI3388" i="4"/>
  <c r="BI3389" i="4"/>
  <c r="BI3390" i="4"/>
  <c r="BI3391" i="4"/>
  <c r="BI3392" i="4"/>
  <c r="BI3393" i="4"/>
  <c r="BI3394" i="4"/>
  <c r="BI3395" i="4"/>
  <c r="BI3396" i="4"/>
  <c r="BI3397" i="4"/>
  <c r="BI3398" i="4"/>
  <c r="BI3399" i="4"/>
  <c r="BI3400" i="4"/>
  <c r="BI3401" i="4"/>
  <c r="BI3402" i="4"/>
  <c r="BI3403" i="4"/>
  <c r="BI3404" i="4"/>
  <c r="BI3405" i="4"/>
  <c r="BI3406" i="4"/>
  <c r="BI3407" i="4"/>
  <c r="BI3408" i="4"/>
  <c r="BI3409" i="4"/>
  <c r="BI3410" i="4"/>
  <c r="BI3411" i="4"/>
  <c r="BI3412" i="4"/>
  <c r="BI3413" i="4"/>
  <c r="BI3414" i="4"/>
  <c r="BI3415" i="4"/>
  <c r="BI3416" i="4"/>
  <c r="BI3417" i="4"/>
  <c r="BI3418" i="4"/>
  <c r="BI3419" i="4"/>
  <c r="BI3420" i="4"/>
  <c r="BI3421" i="4"/>
  <c r="BI3422" i="4"/>
  <c r="BI3423" i="4"/>
  <c r="BI3424" i="4"/>
  <c r="BI3425" i="4"/>
  <c r="BI3426" i="4"/>
  <c r="BI3427" i="4"/>
  <c r="BI3428" i="4"/>
  <c r="BI3429" i="4"/>
  <c r="BI3430" i="4"/>
  <c r="BI3431" i="4"/>
  <c r="BI3432" i="4"/>
  <c r="BI3433" i="4"/>
  <c r="BI3434" i="4"/>
  <c r="BI3435" i="4"/>
  <c r="BI3436" i="4"/>
  <c r="BI3437" i="4"/>
  <c r="BI3438" i="4"/>
  <c r="BI3439" i="4"/>
  <c r="BI3440" i="4"/>
  <c r="BI3441" i="4"/>
  <c r="BI3442" i="4"/>
  <c r="BI3443" i="4"/>
  <c r="BI3444" i="4"/>
  <c r="BI3445" i="4"/>
  <c r="BI3446" i="4"/>
  <c r="BI3447" i="4"/>
  <c r="BI3448" i="4"/>
  <c r="BI3449" i="4"/>
  <c r="BI3450" i="4"/>
  <c r="BI3451" i="4"/>
  <c r="BI3452" i="4"/>
  <c r="BI3453" i="4"/>
  <c r="BI3454" i="4"/>
  <c r="BI3455" i="4"/>
  <c r="BI3456" i="4"/>
  <c r="BI3457" i="4"/>
  <c r="BI3458" i="4"/>
  <c r="BI3459" i="4"/>
  <c r="BI3460" i="4"/>
  <c r="BI3461" i="4"/>
  <c r="BI3462" i="4"/>
  <c r="BI3463" i="4"/>
  <c r="BI3464" i="4"/>
  <c r="BI3465" i="4"/>
  <c r="BI3466" i="4"/>
  <c r="BI3467" i="4"/>
  <c r="BI3468" i="4"/>
  <c r="BI3469" i="4"/>
  <c r="BI3470" i="4"/>
  <c r="BI3471" i="4"/>
  <c r="BI3472" i="4"/>
  <c r="BI3473" i="4"/>
  <c r="BI3474" i="4"/>
  <c r="BI3475" i="4"/>
  <c r="BI3476" i="4"/>
  <c r="BI3477" i="4"/>
  <c r="BI3478" i="4"/>
  <c r="BI3479" i="4"/>
  <c r="BI3480" i="4"/>
  <c r="BI3481" i="4"/>
  <c r="BI3482" i="4"/>
  <c r="BI3483" i="4"/>
  <c r="BI3484" i="4"/>
  <c r="BI3485" i="4"/>
  <c r="BI3486" i="4"/>
  <c r="BI3487" i="4"/>
  <c r="BI3488" i="4"/>
  <c r="BI3489" i="4"/>
  <c r="BI3490" i="4"/>
  <c r="BI3491" i="4"/>
  <c r="BI3492" i="4"/>
  <c r="BI3493" i="4"/>
  <c r="BI3494" i="4"/>
  <c r="BI3495" i="4"/>
  <c r="BI3496" i="4"/>
  <c r="BI3497" i="4"/>
  <c r="BI3498" i="4"/>
  <c r="BI3499" i="4"/>
  <c r="BI3500" i="4"/>
  <c r="BI3501" i="4"/>
  <c r="BI3502" i="4"/>
  <c r="BI3503" i="4"/>
  <c r="BI3504" i="4"/>
  <c r="BI3505" i="4"/>
  <c r="BI3506" i="4"/>
  <c r="BI3507" i="4"/>
  <c r="BI3508" i="4"/>
  <c r="BI3509" i="4"/>
  <c r="BI3510" i="4"/>
  <c r="BI3511" i="4"/>
  <c r="BI3512" i="4"/>
  <c r="BI3513" i="4"/>
  <c r="BI3514" i="4"/>
  <c r="BI3515" i="4"/>
  <c r="BI3516" i="4"/>
  <c r="BI3517" i="4"/>
  <c r="BI3518" i="4"/>
  <c r="BI3519" i="4"/>
  <c r="BI3520" i="4"/>
  <c r="BI3521" i="4"/>
  <c r="BI3522" i="4"/>
  <c r="BI3523" i="4"/>
  <c r="BI3524" i="4"/>
  <c r="BI3525" i="4"/>
  <c r="BI3526" i="4"/>
  <c r="BI3527" i="4"/>
  <c r="BI3528" i="4"/>
  <c r="BI3529" i="4"/>
  <c r="BI3530" i="4"/>
  <c r="BI3531" i="4"/>
  <c r="BI3532" i="4"/>
  <c r="BI3533" i="4"/>
  <c r="BI3534" i="4"/>
  <c r="BI3535" i="4"/>
  <c r="BI3536" i="4"/>
  <c r="BI3537" i="4"/>
  <c r="BI3538" i="4"/>
  <c r="BI3539" i="4"/>
  <c r="BI3540" i="4"/>
  <c r="BI3541" i="4"/>
  <c r="BI3542" i="4"/>
  <c r="BI3543" i="4"/>
  <c r="BI3544" i="4"/>
  <c r="BI3545" i="4"/>
  <c r="BI3546" i="4"/>
  <c r="BI3547" i="4"/>
  <c r="BI3548" i="4"/>
  <c r="BI3549" i="4"/>
  <c r="BI3550" i="4"/>
  <c r="BI3551" i="4"/>
  <c r="BI3552" i="4"/>
  <c r="BI3553" i="4"/>
  <c r="BI3554" i="4"/>
  <c r="BI3555" i="4"/>
  <c r="BI3556" i="4"/>
  <c r="BI3557" i="4"/>
  <c r="BI3558" i="4"/>
  <c r="BI3559" i="4"/>
  <c r="BI3560" i="4"/>
  <c r="BI3561" i="4"/>
  <c r="BI3562" i="4"/>
  <c r="BI3563" i="4"/>
  <c r="BI3564" i="4"/>
  <c r="BI3565" i="4"/>
  <c r="BI3566" i="4"/>
  <c r="BI3567" i="4"/>
  <c r="BI3568" i="4"/>
  <c r="BI3569" i="4"/>
  <c r="BI3570" i="4"/>
  <c r="BI3571" i="4"/>
  <c r="BI3572" i="4"/>
  <c r="BI3573" i="4"/>
  <c r="BI3574" i="4"/>
  <c r="BI3575" i="4"/>
  <c r="BI3576" i="4"/>
  <c r="BI3577" i="4"/>
  <c r="BI3578" i="4"/>
  <c r="BI3579" i="4"/>
  <c r="BI3580" i="4"/>
  <c r="BI3581" i="4"/>
  <c r="BI3582" i="4"/>
  <c r="BI3583" i="4"/>
  <c r="BI3584" i="4"/>
  <c r="BI3585" i="4"/>
  <c r="BI3586" i="4"/>
  <c r="BI3587" i="4"/>
  <c r="BI3588" i="4"/>
  <c r="BI3589" i="4"/>
  <c r="BI3590" i="4"/>
  <c r="BI3591" i="4"/>
  <c r="BI3592" i="4"/>
  <c r="BI3593" i="4"/>
  <c r="BI3594" i="4"/>
  <c r="BI3595" i="4"/>
  <c r="BI3596" i="4"/>
  <c r="BI3597" i="4"/>
  <c r="BI3598" i="4"/>
  <c r="BI3599" i="4"/>
  <c r="BI3600" i="4"/>
  <c r="BI3601" i="4"/>
  <c r="BI3602" i="4"/>
  <c r="BI3603" i="4"/>
  <c r="BI3604" i="4"/>
  <c r="BI3605" i="4"/>
  <c r="BI3606" i="4"/>
  <c r="BI3607" i="4"/>
  <c r="BI3608" i="4"/>
  <c r="BI3609" i="4"/>
  <c r="BI3610" i="4"/>
  <c r="BI3611" i="4"/>
  <c r="BI3612" i="4"/>
  <c r="BI3613" i="4"/>
  <c r="BI3614" i="4"/>
  <c r="BI3615" i="4"/>
  <c r="BI3616" i="4"/>
  <c r="BI3617" i="4"/>
  <c r="BI3618" i="4"/>
  <c r="BI3619" i="4"/>
  <c r="BI3620" i="4"/>
  <c r="BI3621" i="4"/>
  <c r="BI3622" i="4"/>
  <c r="BI3623" i="4"/>
  <c r="BI3624" i="4"/>
  <c r="BI3625" i="4"/>
  <c r="BI3626" i="4"/>
  <c r="BI3627" i="4"/>
  <c r="BI3628" i="4"/>
  <c r="BI3629" i="4"/>
  <c r="BI3630" i="4"/>
  <c r="BI3631" i="4"/>
  <c r="BI3632" i="4"/>
  <c r="BI3633" i="4"/>
  <c r="BI3634" i="4"/>
  <c r="BI3635" i="4"/>
  <c r="BI3636" i="4"/>
  <c r="BI3637" i="4"/>
  <c r="BI3638" i="4"/>
  <c r="BI3639" i="4"/>
  <c r="BI3640" i="4"/>
  <c r="BI3641" i="4"/>
  <c r="BI3642" i="4"/>
  <c r="BI3643" i="4"/>
  <c r="BI3644" i="4"/>
  <c r="BI3645" i="4"/>
  <c r="BI3646" i="4"/>
  <c r="BI3647" i="4"/>
  <c r="BI3648" i="4"/>
  <c r="BI3649" i="4"/>
  <c r="BI3650" i="4"/>
  <c r="BI3651" i="4"/>
  <c r="BI3652" i="4"/>
  <c r="BI3653" i="4"/>
  <c r="BI3654" i="4"/>
  <c r="BI3655" i="4"/>
  <c r="BI3656" i="4"/>
  <c r="BI3657" i="4"/>
  <c r="BI3658" i="4"/>
  <c r="BI3659" i="4"/>
  <c r="BI3660" i="4"/>
  <c r="BI3661" i="4"/>
  <c r="BI3662" i="4"/>
  <c r="BI3663" i="4"/>
  <c r="BI3664" i="4"/>
  <c r="BI3665" i="4"/>
  <c r="BI3666" i="4"/>
  <c r="BI3667" i="4"/>
  <c r="BI3668" i="4"/>
  <c r="BI3669" i="4"/>
  <c r="BI3670" i="4"/>
  <c r="BI3671" i="4"/>
  <c r="BI3672" i="4"/>
  <c r="BI3673" i="4"/>
  <c r="BI3674" i="4"/>
  <c r="BI3675" i="4"/>
  <c r="BI3676" i="4"/>
  <c r="BI3677" i="4"/>
  <c r="BI3678" i="4"/>
  <c r="BI3679" i="4"/>
  <c r="BI3680" i="4"/>
  <c r="BI3681" i="4"/>
  <c r="BI3682" i="4"/>
  <c r="BI3683" i="4"/>
  <c r="BI3684" i="4"/>
  <c r="BI3685" i="4"/>
  <c r="BI3686" i="4"/>
  <c r="BI3687" i="4"/>
  <c r="BI3688" i="4"/>
  <c r="BI3689" i="4"/>
  <c r="BI3690" i="4"/>
  <c r="BI3691" i="4"/>
  <c r="BI3692" i="4"/>
  <c r="BI3693" i="4"/>
  <c r="BI3694" i="4"/>
  <c r="BI3695" i="4"/>
  <c r="BI3696" i="4"/>
  <c r="BI3697" i="4"/>
  <c r="BI3698" i="4"/>
  <c r="BI3699" i="4"/>
  <c r="BI3700" i="4"/>
  <c r="BI3701" i="4"/>
  <c r="BI3702" i="4"/>
  <c r="BI3703" i="4"/>
  <c r="BI3704" i="4"/>
  <c r="BI3705" i="4"/>
  <c r="BI3706" i="4"/>
  <c r="BI3707" i="4"/>
  <c r="BI3708" i="4"/>
  <c r="BI3709" i="4"/>
  <c r="BI3710" i="4"/>
  <c r="BI3711" i="4"/>
  <c r="BI3712" i="4"/>
  <c r="BI3713" i="4"/>
  <c r="BI3714" i="4"/>
  <c r="BI3715" i="4"/>
  <c r="BI3716" i="4"/>
  <c r="BI3717" i="4"/>
  <c r="BI3718" i="4"/>
  <c r="BI3719" i="4"/>
  <c r="BI3720" i="4"/>
  <c r="BI3721" i="4"/>
  <c r="BI3722" i="4"/>
  <c r="BI3723" i="4"/>
  <c r="BI3724" i="4"/>
  <c r="BI3725" i="4"/>
  <c r="BI3726" i="4"/>
  <c r="BI3727" i="4"/>
  <c r="BI3728" i="4"/>
  <c r="BI3729" i="4"/>
  <c r="BI3730" i="4"/>
  <c r="BI3731" i="4"/>
  <c r="BI3732" i="4"/>
  <c r="BI3733" i="4"/>
  <c r="BI3734" i="4"/>
  <c r="BI3735" i="4"/>
  <c r="BI3736" i="4"/>
  <c r="BI3737" i="4"/>
  <c r="BI3738" i="4"/>
  <c r="BI3739" i="4"/>
  <c r="BI3740" i="4"/>
  <c r="BI3741" i="4"/>
  <c r="BI3742" i="4"/>
  <c r="BI3743" i="4"/>
  <c r="BI3744" i="4"/>
  <c r="BI3745" i="4"/>
  <c r="BI3746" i="4"/>
  <c r="BI3747" i="4"/>
  <c r="BI3748" i="4"/>
  <c r="BI3749" i="4"/>
  <c r="BI3750" i="4"/>
  <c r="BI3751" i="4"/>
  <c r="BI3752" i="4"/>
  <c r="BI3753" i="4"/>
  <c r="BI3754" i="4"/>
  <c r="BI3755" i="4"/>
  <c r="BI3756" i="4"/>
  <c r="BI3757" i="4"/>
  <c r="BI3758" i="4"/>
  <c r="BI3759" i="4"/>
  <c r="BI3760" i="4"/>
  <c r="BI3761" i="4"/>
  <c r="BI3762" i="4"/>
  <c r="BI3763" i="4"/>
  <c r="BI3764" i="4"/>
  <c r="BI3765" i="4"/>
  <c r="BI3766" i="4"/>
  <c r="BI3767" i="4"/>
  <c r="BI3768" i="4"/>
  <c r="BI3769" i="4"/>
  <c r="BI3770" i="4"/>
  <c r="BI3771" i="4"/>
  <c r="BI3772" i="4"/>
  <c r="BI3773" i="4"/>
  <c r="BI3774" i="4"/>
  <c r="BI3775" i="4"/>
  <c r="BI3776" i="4"/>
  <c r="BI3777" i="4"/>
  <c r="BI3778" i="4"/>
  <c r="BI3779" i="4"/>
  <c r="BI3780" i="4"/>
  <c r="BI3781" i="4"/>
  <c r="BI3782" i="4"/>
  <c r="BI3783" i="4"/>
  <c r="BI3784" i="4"/>
  <c r="BI3785" i="4"/>
  <c r="BI3786" i="4"/>
  <c r="BI3787" i="4"/>
  <c r="BI3788" i="4"/>
  <c r="BI3789" i="4"/>
  <c r="BI3790" i="4"/>
  <c r="BI3791" i="4"/>
  <c r="BI3792" i="4"/>
  <c r="BI3793" i="4"/>
  <c r="BI3794" i="4"/>
  <c r="BI3795" i="4"/>
  <c r="BI3796" i="4"/>
  <c r="BI3797" i="4"/>
  <c r="BI3798" i="4"/>
  <c r="BI3799" i="4"/>
  <c r="BI3800" i="4"/>
  <c r="BI3801" i="4"/>
  <c r="BI3802" i="4"/>
  <c r="BI3803" i="4"/>
  <c r="BI3804" i="4"/>
  <c r="BI3805" i="4"/>
  <c r="BI3806" i="4"/>
  <c r="BI3807" i="4"/>
  <c r="BI3808" i="4"/>
  <c r="BI3809" i="4"/>
  <c r="BI3810" i="4"/>
  <c r="BI3811" i="4"/>
  <c r="BI3812" i="4"/>
  <c r="BI3813" i="4"/>
  <c r="BI3814" i="4"/>
  <c r="BI3815" i="4"/>
  <c r="BI3816" i="4"/>
  <c r="BI3817" i="4"/>
  <c r="BI3818" i="4"/>
  <c r="BI3819" i="4"/>
  <c r="BI3820" i="4"/>
  <c r="BI3821" i="4"/>
  <c r="BI3822" i="4"/>
  <c r="BI3823" i="4"/>
  <c r="BI3824" i="4"/>
  <c r="BI3825" i="4"/>
  <c r="BI3826" i="4"/>
  <c r="BI3827" i="4"/>
  <c r="BI3828" i="4"/>
  <c r="BI3829" i="4"/>
  <c r="BI3830" i="4"/>
  <c r="BI3831" i="4"/>
  <c r="BI3832" i="4"/>
  <c r="BI3833" i="4"/>
  <c r="BI3834" i="4"/>
  <c r="BI3835" i="4"/>
  <c r="BI3836" i="4"/>
  <c r="BI3837" i="4"/>
  <c r="BI3838" i="4"/>
  <c r="BI3839" i="4"/>
  <c r="BI3840" i="4"/>
  <c r="BI3841" i="4"/>
  <c r="BI3842" i="4"/>
  <c r="BI3843" i="4"/>
  <c r="BI3844" i="4"/>
  <c r="BI3845" i="4"/>
  <c r="BI3846" i="4"/>
  <c r="BI3847" i="4"/>
  <c r="BI3848" i="4"/>
  <c r="BI3849" i="4"/>
  <c r="BI3850" i="4"/>
  <c r="BI3851" i="4"/>
  <c r="BI3852" i="4"/>
  <c r="BI3853" i="4"/>
  <c r="BI3854" i="4"/>
  <c r="BI3855" i="4"/>
  <c r="BI3856" i="4"/>
  <c r="BI3857" i="4"/>
  <c r="BI3858" i="4"/>
  <c r="BI3859" i="4"/>
  <c r="BI3860" i="4"/>
  <c r="BI3861" i="4"/>
  <c r="BI3862" i="4"/>
  <c r="BI3863" i="4"/>
  <c r="BI3864" i="4"/>
  <c r="BI3865" i="4"/>
  <c r="BI3866" i="4"/>
  <c r="BI3867" i="4"/>
  <c r="BI3868" i="4"/>
  <c r="BI3869" i="4"/>
  <c r="BI3870" i="4"/>
  <c r="BI3871" i="4"/>
  <c r="BI3872" i="4"/>
  <c r="BI3873" i="4"/>
  <c r="BI3874" i="4"/>
  <c r="BI3875" i="4"/>
  <c r="BI3876" i="4"/>
  <c r="BI3877" i="4"/>
  <c r="BI3878" i="4"/>
  <c r="BI3879" i="4"/>
  <c r="BI3880" i="4"/>
  <c r="BI3881" i="4"/>
  <c r="BI3882" i="4"/>
  <c r="BI3883" i="4"/>
  <c r="BI3884" i="4"/>
  <c r="BI3885" i="4"/>
  <c r="BI3886" i="4"/>
  <c r="BI3887" i="4"/>
  <c r="BI3888" i="4"/>
  <c r="BI3889" i="4"/>
  <c r="BI3890" i="4"/>
  <c r="BI3891" i="4"/>
  <c r="BI3892" i="4"/>
  <c r="BI3893" i="4"/>
  <c r="BI3894" i="4"/>
  <c r="BI3895" i="4"/>
  <c r="BI3896" i="4"/>
  <c r="BI3897" i="4"/>
  <c r="BI3898" i="4"/>
  <c r="BI3899" i="4"/>
  <c r="BI3900" i="4"/>
  <c r="BI3901" i="4"/>
  <c r="BI3902" i="4"/>
  <c r="BI3903" i="4"/>
  <c r="BI3904" i="4"/>
  <c r="BI3905" i="4"/>
  <c r="BI3906" i="4"/>
  <c r="BI3907" i="4"/>
  <c r="BI3908" i="4"/>
  <c r="BI3909" i="4"/>
  <c r="BI3910" i="4"/>
  <c r="BI3911" i="4"/>
  <c r="BI3912" i="4"/>
  <c r="BI3913" i="4"/>
  <c r="BI3914" i="4"/>
  <c r="BI3915" i="4"/>
  <c r="BI3916" i="4"/>
  <c r="BI3917" i="4"/>
  <c r="BI3918" i="4"/>
  <c r="BI3919" i="4"/>
  <c r="BI3920" i="4"/>
  <c r="BI3921" i="4"/>
  <c r="BI3922" i="4"/>
  <c r="BI3923" i="4"/>
  <c r="BI3924" i="4"/>
  <c r="BI3925" i="4"/>
  <c r="BI3926" i="4"/>
  <c r="BI3927" i="4"/>
  <c r="BI3928" i="4"/>
  <c r="BI3929" i="4"/>
  <c r="BI3930" i="4"/>
  <c r="BI3931" i="4"/>
  <c r="BI3932" i="4"/>
  <c r="BI3933" i="4"/>
  <c r="BI3934" i="4"/>
  <c r="BI3935" i="4"/>
  <c r="BI3936" i="4"/>
  <c r="BI3937" i="4"/>
  <c r="BI3938" i="4"/>
  <c r="BI3939" i="4"/>
  <c r="BI3940" i="4"/>
  <c r="BI3941" i="4"/>
  <c r="BI3942" i="4"/>
  <c r="BI3943" i="4"/>
  <c r="BI3944" i="4"/>
  <c r="BI3945" i="4"/>
  <c r="BI3946" i="4"/>
  <c r="BI3947" i="4"/>
  <c r="BI3948" i="4"/>
  <c r="BI3949" i="4"/>
  <c r="BI3950" i="4"/>
  <c r="BI3951" i="4"/>
  <c r="BI3952" i="4"/>
  <c r="BI3953" i="4"/>
  <c r="BI3954" i="4"/>
  <c r="BI3955" i="4"/>
  <c r="BI3956" i="4"/>
  <c r="BI3957" i="4"/>
  <c r="BI3958" i="4"/>
  <c r="BI3959" i="4"/>
  <c r="BI3960" i="4"/>
  <c r="BI3961" i="4"/>
  <c r="BI3962" i="4"/>
  <c r="BI3963" i="4"/>
  <c r="BI3964" i="4"/>
  <c r="BI3965" i="4"/>
  <c r="BI3966" i="4"/>
  <c r="BI3967" i="4"/>
  <c r="BI3968" i="4"/>
  <c r="BI3969" i="4"/>
  <c r="BI3970" i="4"/>
  <c r="BI3971" i="4"/>
  <c r="BI3972" i="4"/>
  <c r="BI3973" i="4"/>
  <c r="BI3974" i="4"/>
  <c r="BI3975" i="4"/>
  <c r="BI3976" i="4"/>
  <c r="BI3977" i="4"/>
  <c r="BI3978" i="4"/>
  <c r="BI3979" i="4"/>
  <c r="BI3980" i="4"/>
  <c r="BI3981" i="4"/>
  <c r="BI3982" i="4"/>
  <c r="BI3983" i="4"/>
  <c r="BI3984" i="4"/>
  <c r="BI3985" i="4"/>
  <c r="BI3986" i="4"/>
  <c r="BI3987" i="4"/>
  <c r="BI3988" i="4"/>
  <c r="BI3989" i="4"/>
  <c r="BI3990" i="4"/>
  <c r="BI3991" i="4"/>
  <c r="BI3992" i="4"/>
  <c r="BI3993" i="4"/>
  <c r="BI3994" i="4"/>
  <c r="BI3995" i="4"/>
  <c r="BI3996" i="4"/>
  <c r="BI3997" i="4"/>
  <c r="BI3998" i="4"/>
  <c r="BI3999" i="4"/>
  <c r="BI4000" i="4"/>
  <c r="BI4001" i="4"/>
  <c r="BI4002" i="4"/>
  <c r="BI4003" i="4"/>
  <c r="BI4004" i="4"/>
  <c r="BI4005" i="4"/>
  <c r="BI4006" i="4"/>
  <c r="BI4007" i="4"/>
  <c r="BI4008" i="4"/>
  <c r="BI4009" i="4"/>
  <c r="BI4010" i="4"/>
  <c r="BI4011" i="4"/>
  <c r="BI4012" i="4"/>
  <c r="BI4013" i="4"/>
  <c r="BI4014" i="4"/>
  <c r="BI4015" i="4"/>
  <c r="BI4016" i="4"/>
  <c r="BI4017" i="4"/>
  <c r="BI4018" i="4"/>
  <c r="BI4019" i="4"/>
  <c r="BI4020" i="4"/>
  <c r="BI4021" i="4"/>
  <c r="BI4022" i="4"/>
  <c r="BI4023" i="4"/>
  <c r="BI4024" i="4"/>
  <c r="BI4025" i="4"/>
  <c r="BI4026" i="4"/>
  <c r="BI4027" i="4"/>
  <c r="BI4028" i="4"/>
  <c r="BI4029" i="4"/>
  <c r="BI4030" i="4"/>
  <c r="BI4031" i="4"/>
  <c r="BI4032" i="4"/>
  <c r="BI4033" i="4"/>
  <c r="BI4034" i="4"/>
  <c r="BI4035" i="4"/>
  <c r="BI4036" i="4"/>
  <c r="BI4037" i="4"/>
  <c r="BI4038" i="4"/>
  <c r="BI4039" i="4"/>
  <c r="BI4040" i="4"/>
  <c r="BI4041" i="4"/>
  <c r="BI4042" i="4"/>
  <c r="BI4043" i="4"/>
  <c r="BI4044" i="4"/>
  <c r="BI4045" i="4"/>
  <c r="BI4046" i="4"/>
  <c r="BI4047" i="4"/>
  <c r="BI4048" i="4"/>
  <c r="BI4049" i="4"/>
  <c r="BI4050" i="4"/>
  <c r="BI4051" i="4"/>
  <c r="BI4052" i="4"/>
  <c r="BI4053" i="4"/>
  <c r="BI4054" i="4"/>
  <c r="BI4055" i="4"/>
  <c r="BI4056" i="4"/>
  <c r="BI4057" i="4"/>
  <c r="BI4058" i="4"/>
  <c r="BI4059" i="4"/>
  <c r="BI4060" i="4"/>
  <c r="BI4061" i="4"/>
  <c r="BI4062" i="4"/>
  <c r="BI4063" i="4"/>
  <c r="BI4064" i="4"/>
  <c r="BI4065" i="4"/>
  <c r="BI4066" i="4"/>
  <c r="BI4067" i="4"/>
  <c r="BI4068" i="4"/>
  <c r="BI4069" i="4"/>
  <c r="BI4070" i="4"/>
  <c r="BI4071" i="4"/>
  <c r="BI4072" i="4"/>
  <c r="BI4073" i="4"/>
  <c r="BI4074" i="4"/>
  <c r="BI4075" i="4"/>
  <c r="BI4076" i="4"/>
  <c r="BI4077" i="4"/>
  <c r="BI4078" i="4"/>
  <c r="BI4079" i="4"/>
  <c r="BI4080" i="4"/>
  <c r="BI4081" i="4"/>
  <c r="BI4082" i="4"/>
  <c r="BI4083" i="4"/>
  <c r="BI4084" i="4"/>
  <c r="BI4085" i="4"/>
  <c r="BI4086" i="4"/>
  <c r="BI4087" i="4"/>
  <c r="BI4088" i="4"/>
  <c r="BI4089" i="4"/>
  <c r="BI4090" i="4"/>
  <c r="BI4091" i="4"/>
  <c r="BI4092" i="4"/>
  <c r="BI4093" i="4"/>
  <c r="BI4094" i="4"/>
  <c r="BI4095" i="4"/>
  <c r="BI4096" i="4"/>
  <c r="BI4097" i="4"/>
  <c r="BI4098" i="4"/>
  <c r="BI4099" i="4"/>
  <c r="BI4100" i="4"/>
  <c r="BI4101" i="4"/>
  <c r="BI4102" i="4"/>
  <c r="BI4103" i="4"/>
  <c r="BI4104" i="4"/>
  <c r="BI4105" i="4"/>
  <c r="BI4106" i="4"/>
  <c r="BI4107" i="4"/>
  <c r="BI4108" i="4"/>
  <c r="BI4109" i="4"/>
  <c r="BI4110" i="4"/>
  <c r="BI4111" i="4"/>
  <c r="BI4112" i="4"/>
  <c r="BI4113" i="4"/>
  <c r="BI4114" i="4"/>
  <c r="BI4115" i="4"/>
  <c r="BI4116" i="4"/>
  <c r="BI4117" i="4"/>
  <c r="BI4118" i="4"/>
  <c r="BI4119" i="4"/>
  <c r="BI4120" i="4"/>
  <c r="BI4121" i="4"/>
  <c r="BI4122" i="4"/>
  <c r="BI4123" i="4"/>
  <c r="BI4124" i="4"/>
  <c r="BI4125" i="4"/>
  <c r="BI4126" i="4"/>
  <c r="BI4127" i="4"/>
  <c r="BI4128" i="4"/>
  <c r="BI4129" i="4"/>
  <c r="BI4130" i="4"/>
  <c r="BI4131" i="4"/>
  <c r="BI4132" i="4"/>
  <c r="BI4133" i="4"/>
  <c r="BI4134" i="4"/>
  <c r="BI4135" i="4"/>
  <c r="BI4136" i="4"/>
  <c r="BI4137" i="4"/>
  <c r="BI4138" i="4"/>
  <c r="BI4139" i="4"/>
  <c r="BI4140" i="4"/>
  <c r="BI4141" i="4"/>
  <c r="BI4142" i="4"/>
  <c r="BI4143" i="4"/>
  <c r="BI4144" i="4"/>
  <c r="BI4145" i="4"/>
  <c r="BI4146" i="4"/>
  <c r="BI4147" i="4"/>
  <c r="BI4148" i="4"/>
  <c r="BI4149" i="4"/>
  <c r="BI4150" i="4"/>
  <c r="BI4151" i="4"/>
  <c r="BI4152" i="4"/>
  <c r="BI4153" i="4"/>
  <c r="BI4154" i="4"/>
  <c r="BI4155" i="4"/>
  <c r="BI4156" i="4"/>
  <c r="BI4157" i="4"/>
  <c r="BI4158" i="4"/>
  <c r="BI4159" i="4"/>
  <c r="BI4160" i="4"/>
  <c r="BI4161" i="4"/>
  <c r="BI4162" i="4"/>
  <c r="BI4163" i="4"/>
  <c r="BI4164" i="4"/>
  <c r="BI4165" i="4"/>
  <c r="BI4166" i="4"/>
  <c r="BI4167" i="4"/>
  <c r="BI4168" i="4"/>
  <c r="BI4169" i="4"/>
  <c r="BI4170" i="4"/>
  <c r="BI4171" i="4"/>
  <c r="BI4172" i="4"/>
  <c r="BI4173" i="4"/>
  <c r="BI4174" i="4"/>
  <c r="BI4175" i="4"/>
  <c r="BI4176" i="4"/>
  <c r="BI4177" i="4"/>
  <c r="BI4178" i="4"/>
  <c r="BI4179" i="4"/>
  <c r="BI4180" i="4"/>
  <c r="BI4181" i="4"/>
  <c r="BI4182" i="4"/>
  <c r="BI4183" i="4"/>
  <c r="BI4184" i="4"/>
  <c r="BI4185" i="4"/>
  <c r="BI4186" i="4"/>
  <c r="BI4187" i="4"/>
  <c r="BI4188" i="4"/>
  <c r="BI4189" i="4"/>
  <c r="BI4190" i="4"/>
  <c r="BI4191" i="4"/>
  <c r="BI4192" i="4"/>
  <c r="BI4193" i="4"/>
  <c r="BI4194" i="4"/>
  <c r="BI4195" i="4"/>
  <c r="BI4196" i="4"/>
  <c r="BI4197" i="4"/>
  <c r="BI4198" i="4"/>
  <c r="BI4199" i="4"/>
  <c r="BI4200" i="4"/>
  <c r="BI4201" i="4"/>
  <c r="BI4202" i="4"/>
  <c r="BI4203" i="4"/>
  <c r="BI4204" i="4"/>
  <c r="BI4205" i="4"/>
  <c r="BI4206" i="4"/>
  <c r="BI4207" i="4"/>
  <c r="BI4208" i="4"/>
  <c r="BI4209" i="4"/>
  <c r="BI4210" i="4"/>
  <c r="BI4211" i="4"/>
  <c r="BI4212" i="4"/>
  <c r="BI4213" i="4"/>
  <c r="BI4214" i="4"/>
  <c r="BI4215" i="4"/>
  <c r="BI4216" i="4"/>
  <c r="BI4217" i="4"/>
  <c r="BI4218" i="4"/>
  <c r="BI4219" i="4"/>
  <c r="BI4220" i="4"/>
  <c r="BI4221" i="4"/>
  <c r="BI4222" i="4"/>
  <c r="BI4223" i="4"/>
  <c r="BI4224" i="4"/>
  <c r="BI4225" i="4"/>
  <c r="BI4226" i="4"/>
  <c r="BI4227" i="4"/>
  <c r="BI4228" i="4"/>
  <c r="BI4229" i="4"/>
  <c r="BI4230" i="4"/>
  <c r="BI4231" i="4"/>
  <c r="BI4232" i="4"/>
  <c r="BI4233" i="4"/>
  <c r="BI4234" i="4"/>
  <c r="BI4235" i="4"/>
  <c r="BI4236" i="4"/>
  <c r="BI4237" i="4"/>
  <c r="BI4238" i="4"/>
  <c r="BI4239" i="4"/>
  <c r="BI4240" i="4"/>
  <c r="BI4241" i="4"/>
  <c r="BI4242" i="4"/>
  <c r="BI4243" i="4"/>
  <c r="BI4244" i="4"/>
  <c r="BI4245" i="4"/>
  <c r="BI4246" i="4"/>
  <c r="BI4247" i="4"/>
  <c r="BI4248" i="4"/>
  <c r="BI4249" i="4"/>
  <c r="BI4250" i="4"/>
  <c r="BI4251" i="4"/>
  <c r="BI4252" i="4"/>
  <c r="BI4253" i="4"/>
  <c r="BI4254" i="4"/>
  <c r="BI4255" i="4"/>
  <c r="BI4256" i="4"/>
  <c r="BI4257" i="4"/>
  <c r="BI4258" i="4"/>
  <c r="BI4259" i="4"/>
  <c r="BI4260" i="4"/>
  <c r="BI4261" i="4"/>
  <c r="BI4262" i="4"/>
  <c r="BI4263" i="4"/>
  <c r="BI4264" i="4"/>
  <c r="BI4265" i="4"/>
  <c r="BI4266" i="4"/>
  <c r="BI4267" i="4"/>
  <c r="BI4268" i="4"/>
  <c r="BI4269" i="4"/>
  <c r="BI4270" i="4"/>
  <c r="BI4271" i="4"/>
  <c r="BI4272" i="4"/>
  <c r="BI4273" i="4"/>
  <c r="BI4274" i="4"/>
  <c r="BI4275" i="4"/>
  <c r="BI4276" i="4"/>
  <c r="BI4277" i="4"/>
  <c r="BI4278" i="4"/>
  <c r="BI4279" i="4"/>
  <c r="BI4280" i="4"/>
  <c r="BI4281" i="4"/>
  <c r="BI4282" i="4"/>
  <c r="BI4283" i="4"/>
  <c r="BI4284" i="4"/>
  <c r="BI4285" i="4"/>
  <c r="BI4286" i="4"/>
  <c r="BI4287" i="4"/>
  <c r="BI4288" i="4"/>
  <c r="BI4289" i="4"/>
  <c r="BI4290" i="4"/>
  <c r="BI4291" i="4"/>
  <c r="BI4292" i="4"/>
  <c r="BI4293" i="4"/>
  <c r="BI4294" i="4"/>
  <c r="BI4295" i="4"/>
  <c r="BI4296" i="4"/>
  <c r="BI4297" i="4"/>
  <c r="BI4298" i="4"/>
  <c r="BI4299" i="4"/>
  <c r="BI4300" i="4"/>
  <c r="BI4301" i="4"/>
  <c r="BI4302" i="4"/>
  <c r="BI4303" i="4"/>
  <c r="BI4304" i="4"/>
  <c r="BI4305" i="4"/>
  <c r="BI4306" i="4"/>
  <c r="BI4307" i="4"/>
  <c r="BI4308" i="4"/>
  <c r="BI4309" i="4"/>
  <c r="BI4310" i="4"/>
  <c r="BI4311" i="4"/>
  <c r="BI4312" i="4"/>
  <c r="BI4313" i="4"/>
  <c r="BI4314" i="4"/>
  <c r="BI4315" i="4"/>
  <c r="BI4316" i="4"/>
  <c r="BI4317" i="4"/>
  <c r="BI4318" i="4"/>
  <c r="BI4319" i="4"/>
  <c r="BI4320" i="4"/>
  <c r="BI4321" i="4"/>
  <c r="BI4322" i="4"/>
  <c r="BI4323" i="4"/>
  <c r="BI4324" i="4"/>
  <c r="BI4325" i="4"/>
  <c r="BI4326" i="4"/>
  <c r="BI4327" i="4"/>
  <c r="BI4328" i="4"/>
  <c r="BI4329" i="4"/>
  <c r="BI4330" i="4"/>
  <c r="BI4331" i="4"/>
  <c r="BI4332" i="4"/>
  <c r="BI4333" i="4"/>
  <c r="BI4334" i="4"/>
  <c r="BI4335" i="4"/>
  <c r="BI4336" i="4"/>
  <c r="BI4337" i="4"/>
  <c r="BI4338" i="4"/>
  <c r="BI4339" i="4"/>
  <c r="BI4340" i="4"/>
  <c r="BI4341" i="4"/>
  <c r="BI4342" i="4"/>
  <c r="BI4343" i="4"/>
  <c r="BI4344" i="4"/>
  <c r="BI4345" i="4"/>
  <c r="BI4346" i="4"/>
  <c r="BI4347" i="4"/>
  <c r="BI4348" i="4"/>
  <c r="BI4349" i="4"/>
  <c r="BI4350" i="4"/>
  <c r="BI4351" i="4"/>
  <c r="BI4352" i="4"/>
  <c r="BI4353" i="4"/>
  <c r="BI4354" i="4"/>
  <c r="BI4355" i="4"/>
  <c r="BI4356" i="4"/>
  <c r="BI4357" i="4"/>
  <c r="BI4358" i="4"/>
  <c r="BI4359" i="4"/>
  <c r="BI4360" i="4"/>
  <c r="BI4361" i="4"/>
  <c r="BI4362" i="4"/>
  <c r="BI4363" i="4"/>
  <c r="BI4364" i="4"/>
  <c r="BI4365" i="4"/>
  <c r="BI4366" i="4"/>
  <c r="BI4367" i="4"/>
  <c r="BI4368" i="4"/>
  <c r="BI4369" i="4"/>
  <c r="BI4370" i="4"/>
  <c r="BI4371" i="4"/>
  <c r="BI4372" i="4"/>
  <c r="BI4373" i="4"/>
  <c r="BI4374" i="4"/>
  <c r="BI4375" i="4"/>
  <c r="BI4376" i="4"/>
  <c r="BI4377" i="4"/>
  <c r="BI4378" i="4"/>
  <c r="BI4379" i="4"/>
  <c r="BI4380" i="4"/>
  <c r="BI4381" i="4"/>
  <c r="BI4382" i="4"/>
  <c r="BI4383" i="4"/>
  <c r="BI4384" i="4"/>
  <c r="BI4385" i="4"/>
  <c r="BI4386" i="4"/>
  <c r="BI4387" i="4"/>
  <c r="BI4388" i="4"/>
  <c r="BI4389" i="4"/>
  <c r="BI4390" i="4"/>
  <c r="BI4391" i="4"/>
  <c r="BI4392" i="4"/>
  <c r="BI4393" i="4"/>
  <c r="BI4394" i="4"/>
  <c r="BI4395" i="4"/>
  <c r="BI4396" i="4"/>
  <c r="BI4397" i="4"/>
  <c r="BI4398" i="4"/>
  <c r="BI4399" i="4"/>
  <c r="BI4400" i="4"/>
  <c r="BI4401" i="4"/>
  <c r="BI4402" i="4"/>
  <c r="BI4403" i="4"/>
  <c r="BI4404" i="4"/>
  <c r="BI4405" i="4"/>
  <c r="BI4406" i="4"/>
  <c r="BI4407" i="4"/>
  <c r="BI4408" i="4"/>
  <c r="BI4409" i="4"/>
  <c r="BI4410" i="4"/>
  <c r="BI4411" i="4"/>
  <c r="BI4412" i="4"/>
  <c r="BI4413" i="4"/>
  <c r="BI4414" i="4"/>
  <c r="BI4415" i="4"/>
  <c r="BI4416" i="4"/>
  <c r="BI4417" i="4"/>
  <c r="BI4418" i="4"/>
  <c r="BI4419" i="4"/>
  <c r="BI4420" i="4"/>
  <c r="BI4421" i="4"/>
  <c r="BI4422" i="4"/>
  <c r="BI4423" i="4"/>
  <c r="BI4424" i="4"/>
  <c r="BI4425" i="4"/>
  <c r="BI4426" i="4"/>
  <c r="BI4427" i="4"/>
  <c r="BI4428" i="4"/>
  <c r="BI4429" i="4"/>
  <c r="BI4430" i="4"/>
  <c r="BI4431" i="4"/>
  <c r="BI4432" i="4"/>
  <c r="BI4433" i="4"/>
  <c r="BI4434" i="4"/>
  <c r="BI4435" i="4"/>
  <c r="BI4436" i="4"/>
  <c r="BI4437" i="4"/>
  <c r="BI4438" i="4"/>
  <c r="BI4439" i="4"/>
  <c r="BI4440" i="4"/>
  <c r="BI4441" i="4"/>
  <c r="BI4442" i="4"/>
  <c r="BI4443" i="4"/>
  <c r="BI4444" i="4"/>
  <c r="BI4445" i="4"/>
  <c r="BI4446" i="4"/>
  <c r="BI4447" i="4"/>
  <c r="BI4448" i="4"/>
  <c r="BI4449" i="4"/>
  <c r="BI4450" i="4"/>
  <c r="BI4451" i="4"/>
  <c r="BI4452" i="4"/>
  <c r="BI4453" i="4"/>
  <c r="BI4454" i="4"/>
  <c r="BI4455" i="4"/>
  <c r="BI4456" i="4"/>
  <c r="BI4457" i="4"/>
  <c r="BI4458" i="4"/>
  <c r="BI4459" i="4"/>
  <c r="BI4460" i="4"/>
  <c r="BI4461" i="4"/>
  <c r="BI4462" i="4"/>
  <c r="BI4463" i="4"/>
  <c r="BI4464" i="4"/>
  <c r="BI4465" i="4"/>
  <c r="BI4466" i="4"/>
  <c r="BI4467" i="4"/>
  <c r="BI4468" i="4"/>
  <c r="BI4469" i="4"/>
  <c r="BI4470" i="4"/>
  <c r="BI4471" i="4"/>
  <c r="BI4472" i="4"/>
  <c r="BI4473" i="4"/>
  <c r="BI4474" i="4"/>
  <c r="BI4475" i="4"/>
  <c r="BI4476" i="4"/>
  <c r="BI4477" i="4"/>
  <c r="BI4478" i="4"/>
  <c r="BI4479" i="4"/>
  <c r="BI4480" i="4"/>
  <c r="BI4481" i="4"/>
  <c r="BI4482" i="4"/>
  <c r="BI4483" i="4"/>
  <c r="BI4484" i="4"/>
  <c r="BI4485" i="4"/>
  <c r="BI4486" i="4"/>
  <c r="BI4487" i="4"/>
  <c r="BI4488" i="4"/>
  <c r="BI4489" i="4"/>
  <c r="BI4490" i="4"/>
  <c r="BI4491" i="4"/>
  <c r="BI4492" i="4"/>
  <c r="BI4493" i="4"/>
  <c r="BI4494" i="4"/>
  <c r="BI4495" i="4"/>
  <c r="BI4496" i="4"/>
  <c r="BI4497" i="4"/>
  <c r="BI4498" i="4"/>
  <c r="BI4499" i="4"/>
  <c r="BI4500" i="4"/>
  <c r="BI4501" i="4"/>
  <c r="BI4502" i="4"/>
  <c r="BI4503" i="4"/>
  <c r="BI4504" i="4"/>
  <c r="BI4505" i="4"/>
  <c r="BI4506" i="4"/>
  <c r="BI4507" i="4"/>
  <c r="BI4508" i="4"/>
  <c r="BI4509" i="4"/>
  <c r="BI4510" i="4"/>
  <c r="BI4511" i="4"/>
  <c r="BI4512" i="4"/>
  <c r="BI4513" i="4"/>
  <c r="BI4514" i="4"/>
  <c r="BI4515" i="4"/>
  <c r="BI4516" i="4"/>
  <c r="BI4517" i="4"/>
  <c r="BI4518" i="4"/>
  <c r="BI4519" i="4"/>
  <c r="BI4520" i="4"/>
  <c r="BI4521" i="4"/>
  <c r="BI4522" i="4"/>
  <c r="BI4523" i="4"/>
  <c r="BI4524" i="4"/>
  <c r="BI4525" i="4"/>
  <c r="BI4526" i="4"/>
  <c r="BI4527" i="4"/>
  <c r="BI4528" i="4"/>
  <c r="BI4529" i="4"/>
  <c r="BI4530" i="4"/>
  <c r="BI4531" i="4"/>
  <c r="BI4532" i="4"/>
  <c r="BI4533" i="4"/>
  <c r="BI4534" i="4"/>
  <c r="BI4535" i="4"/>
  <c r="BI4536" i="4"/>
  <c r="BI4537" i="4"/>
  <c r="BI4538" i="4"/>
  <c r="BI4539" i="4"/>
  <c r="BI4540" i="4"/>
  <c r="BI4541" i="4"/>
  <c r="BI4542" i="4"/>
  <c r="BI4543" i="4"/>
  <c r="BI4544" i="4"/>
  <c r="BI4545" i="4"/>
  <c r="BI4546" i="4"/>
  <c r="BI4547" i="4"/>
  <c r="BI4548" i="4"/>
  <c r="BI4549" i="4"/>
  <c r="BI4550" i="4"/>
  <c r="BI4551" i="4"/>
  <c r="BI4552" i="4"/>
  <c r="BI4553" i="4"/>
  <c r="BI4554" i="4"/>
  <c r="BI4555" i="4"/>
  <c r="BI4556" i="4"/>
  <c r="BI4557" i="4"/>
  <c r="BI4558" i="4"/>
  <c r="BI4559" i="4"/>
  <c r="BI4560" i="4"/>
  <c r="BI4561" i="4"/>
  <c r="BI4562" i="4"/>
  <c r="BI4563" i="4"/>
  <c r="BI4564" i="4"/>
  <c r="BI4565" i="4"/>
  <c r="BI4566" i="4"/>
  <c r="BI4567" i="4"/>
  <c r="BI4568" i="4"/>
  <c r="BI4569" i="4"/>
  <c r="BI4570" i="4"/>
  <c r="BI4571" i="4"/>
  <c r="BI4572" i="4"/>
  <c r="BI4573" i="4"/>
  <c r="BI4574" i="4"/>
  <c r="BI4575" i="4"/>
  <c r="BI4576" i="4"/>
  <c r="BI4577" i="4"/>
  <c r="BI4578" i="4"/>
  <c r="BI4579" i="4"/>
  <c r="BI4580" i="4"/>
  <c r="BI4581" i="4"/>
  <c r="BI4582" i="4"/>
  <c r="BI4583" i="4"/>
  <c r="BI4584" i="4"/>
  <c r="BI4585" i="4"/>
  <c r="BI4586" i="4"/>
  <c r="BI4587" i="4"/>
  <c r="BI4588" i="4"/>
  <c r="BI4589" i="4"/>
  <c r="BI4590" i="4"/>
  <c r="BI4591" i="4"/>
  <c r="BI4592" i="4"/>
  <c r="BI4593" i="4"/>
  <c r="BI4594" i="4"/>
  <c r="BI4595" i="4"/>
  <c r="BI4596" i="4"/>
  <c r="BI4597" i="4"/>
  <c r="BI4598" i="4"/>
  <c r="BI4599" i="4"/>
  <c r="BI4600" i="4"/>
  <c r="BI4601" i="4"/>
  <c r="BI4602" i="4"/>
  <c r="BI4603" i="4"/>
  <c r="BI4604" i="4"/>
  <c r="BI4605" i="4"/>
  <c r="BI4606" i="4"/>
  <c r="BI4607" i="4"/>
  <c r="BI4608" i="4"/>
  <c r="BI4609" i="4"/>
  <c r="BI4610" i="4"/>
  <c r="BI4611" i="4"/>
  <c r="BI4612" i="4"/>
  <c r="BI4613" i="4"/>
  <c r="BI4614" i="4"/>
  <c r="BI4615" i="4"/>
  <c r="BI4616" i="4"/>
  <c r="BI4617" i="4"/>
  <c r="BI4618" i="4"/>
  <c r="BI4619" i="4"/>
  <c r="BI4620" i="4"/>
  <c r="BI4621" i="4"/>
  <c r="BI4622" i="4"/>
  <c r="BI4623" i="4"/>
  <c r="BI4624" i="4"/>
  <c r="BI4625" i="4"/>
  <c r="BI4626" i="4"/>
  <c r="BI4627" i="4"/>
  <c r="BI4628" i="4"/>
  <c r="BI4629" i="4"/>
  <c r="BI4630" i="4"/>
  <c r="BI4631" i="4"/>
  <c r="BI4632" i="4"/>
  <c r="BI4633" i="4"/>
  <c r="BI4634" i="4"/>
  <c r="BI4635" i="4"/>
  <c r="BI4636" i="4"/>
  <c r="BI4637" i="4"/>
  <c r="BI4638" i="4"/>
  <c r="BI4639" i="4"/>
  <c r="BI4640" i="4"/>
  <c r="BI4641" i="4"/>
  <c r="BI4642" i="4"/>
  <c r="BI4643" i="4"/>
  <c r="BI4644" i="4"/>
  <c r="BI4645" i="4"/>
  <c r="BI4646" i="4"/>
  <c r="BI4647" i="4"/>
  <c r="BI4648" i="4"/>
  <c r="BI4649" i="4"/>
  <c r="BI4650" i="4"/>
  <c r="BI4651" i="4"/>
  <c r="BI4652" i="4"/>
  <c r="BI4653" i="4"/>
  <c r="BI4654" i="4"/>
  <c r="BI4655" i="4"/>
  <c r="BI4656" i="4"/>
  <c r="BI4657" i="4"/>
  <c r="BI4658" i="4"/>
  <c r="BI4659" i="4"/>
  <c r="BI4660" i="4"/>
  <c r="BI4661" i="4"/>
  <c r="BI4662" i="4"/>
  <c r="BI4663" i="4"/>
  <c r="BI4664" i="4"/>
  <c r="BI4665" i="4"/>
  <c r="BI4666" i="4"/>
  <c r="BI4667" i="4"/>
  <c r="BI4668" i="4"/>
  <c r="BI4669" i="4"/>
  <c r="BI4670" i="4"/>
  <c r="BI4671" i="4"/>
  <c r="BI4672" i="4"/>
  <c r="BI4673" i="4"/>
  <c r="BI4674" i="4"/>
  <c r="BI4675" i="4"/>
  <c r="BI4676" i="4"/>
  <c r="BI4677" i="4"/>
  <c r="BI4678" i="4"/>
  <c r="BI4679" i="4"/>
  <c r="BI4680" i="4"/>
  <c r="BI4681" i="4"/>
  <c r="BI4682" i="4"/>
  <c r="BI4683" i="4"/>
  <c r="BI4684" i="4"/>
  <c r="BI4685" i="4"/>
  <c r="BI4686" i="4"/>
  <c r="BI4687" i="4"/>
  <c r="BI4688" i="4"/>
  <c r="BI4689" i="4"/>
  <c r="BI4690" i="4"/>
  <c r="BI4691" i="4"/>
  <c r="BI4692" i="4"/>
  <c r="BI4693" i="4"/>
  <c r="BI4694" i="4"/>
  <c r="BI4695" i="4"/>
  <c r="BI4696" i="4"/>
  <c r="BI4697" i="4"/>
  <c r="BI4698" i="4"/>
  <c r="BI4699" i="4"/>
  <c r="BI4700" i="4"/>
  <c r="BI4701" i="4"/>
  <c r="BI4702" i="4"/>
  <c r="BI4703" i="4"/>
  <c r="BI4704" i="4"/>
  <c r="BI4705" i="4"/>
  <c r="BI4706" i="4"/>
  <c r="BI4707" i="4"/>
  <c r="BI4708" i="4"/>
  <c r="BI4709" i="4"/>
  <c r="BI4710" i="4"/>
  <c r="BI4711" i="4"/>
  <c r="BI4712" i="4"/>
  <c r="BI4713" i="4"/>
  <c r="BI4714" i="4"/>
  <c r="BI4715" i="4"/>
  <c r="BI4716" i="4"/>
  <c r="BI4717" i="4"/>
  <c r="BI4718" i="4"/>
  <c r="BI4719" i="4"/>
  <c r="BI4720" i="4"/>
  <c r="BI4721" i="4"/>
  <c r="BI4722" i="4"/>
  <c r="BI4723" i="4"/>
  <c r="BI4724" i="4"/>
  <c r="BI4725" i="4"/>
  <c r="BI4726" i="4"/>
  <c r="BI4727" i="4"/>
  <c r="BI4728" i="4"/>
  <c r="BI4729" i="4"/>
  <c r="BI4730" i="4"/>
  <c r="BI4731" i="4"/>
  <c r="BI4732" i="4"/>
  <c r="BI4733" i="4"/>
  <c r="BI4734" i="4"/>
  <c r="BI4735" i="4"/>
  <c r="BI4736" i="4"/>
  <c r="BI4737" i="4"/>
  <c r="BI4738" i="4"/>
  <c r="BI4739" i="4"/>
  <c r="BI4740" i="4"/>
  <c r="BI4741" i="4"/>
  <c r="BI4742" i="4"/>
  <c r="BI4743" i="4"/>
  <c r="BI4744" i="4"/>
  <c r="BI4745" i="4"/>
  <c r="BI4746" i="4"/>
  <c r="BI4747" i="4"/>
  <c r="BI4748" i="4"/>
  <c r="BI4749" i="4"/>
  <c r="BI4750" i="4"/>
  <c r="BI4751" i="4"/>
  <c r="BI4752" i="4"/>
  <c r="BI4753" i="4"/>
  <c r="BI4754" i="4"/>
  <c r="BI4755" i="4"/>
  <c r="BI4756" i="4"/>
  <c r="BI4757" i="4"/>
  <c r="BI4758" i="4"/>
  <c r="BI4759" i="4"/>
  <c r="BI4760" i="4"/>
  <c r="BI4761" i="4"/>
  <c r="BI4762" i="4"/>
  <c r="BI4763" i="4"/>
  <c r="BI4764" i="4"/>
  <c r="BI4765" i="4"/>
  <c r="BI4766" i="4"/>
  <c r="BI4767" i="4"/>
  <c r="BI4768" i="4"/>
  <c r="BI4769" i="4"/>
  <c r="BI4770" i="4"/>
  <c r="BI4771" i="4"/>
  <c r="BI4772" i="4"/>
  <c r="BI4773" i="4"/>
  <c r="BI4774" i="4"/>
  <c r="BI4775" i="4"/>
  <c r="BI4776" i="4"/>
  <c r="BI4777" i="4"/>
  <c r="BI4778" i="4"/>
  <c r="BI4779" i="4"/>
  <c r="BI4780" i="4"/>
  <c r="BI4781" i="4"/>
  <c r="BI4782" i="4"/>
  <c r="BI4783" i="4"/>
  <c r="BI4784" i="4"/>
  <c r="BI4785" i="4"/>
  <c r="BI4786" i="4"/>
  <c r="BI4787" i="4"/>
  <c r="BI4788" i="4"/>
  <c r="BI4789" i="4"/>
  <c r="BI4790" i="4"/>
  <c r="BI4791" i="4"/>
  <c r="BI4792" i="4"/>
  <c r="BI4793" i="4"/>
  <c r="BI4794" i="4"/>
  <c r="BI4795" i="4"/>
  <c r="BI4796" i="4"/>
  <c r="BI4797" i="4"/>
  <c r="BI4798" i="4"/>
  <c r="BI4799" i="4"/>
  <c r="BI4800" i="4"/>
  <c r="BI4801" i="4"/>
  <c r="BI4802" i="4"/>
  <c r="BI4803" i="4"/>
  <c r="BI4804" i="4"/>
  <c r="BI4805" i="4"/>
  <c r="BI4806" i="4"/>
  <c r="BI4807" i="4"/>
  <c r="BI4808" i="4"/>
  <c r="BI4809" i="4"/>
  <c r="BI4810" i="4"/>
  <c r="BI4811" i="4"/>
  <c r="BI4812" i="4"/>
  <c r="BI4813" i="4"/>
  <c r="BI4814" i="4"/>
  <c r="BI4815" i="4"/>
  <c r="BI4816" i="4"/>
  <c r="BI4817" i="4"/>
  <c r="BI4818" i="4"/>
  <c r="BI4819" i="4"/>
  <c r="BI4820" i="4"/>
  <c r="BI4821" i="4"/>
  <c r="BI4822" i="4"/>
  <c r="BI4823" i="4"/>
  <c r="BI4824" i="4"/>
  <c r="BI4825" i="4"/>
  <c r="BI4826" i="4"/>
  <c r="BI4827" i="4"/>
  <c r="BI4828" i="4"/>
  <c r="BI4829" i="4"/>
  <c r="BI4830" i="4"/>
  <c r="BI4831" i="4"/>
  <c r="BI4832" i="4"/>
  <c r="BI4833" i="4"/>
  <c r="BI4834" i="4"/>
  <c r="BI4835" i="4"/>
  <c r="BI4836" i="4"/>
  <c r="BI4837" i="4"/>
  <c r="BI4838" i="4"/>
  <c r="BI4839" i="4"/>
  <c r="BI4840" i="4"/>
  <c r="BI4841" i="4"/>
  <c r="BI4842" i="4"/>
  <c r="BI4843" i="4"/>
  <c r="BI4844" i="4"/>
  <c r="BI4845" i="4"/>
  <c r="BI4846" i="4"/>
  <c r="BI4847" i="4"/>
  <c r="BI4848" i="4"/>
  <c r="BI4849" i="4"/>
  <c r="BI4850" i="4"/>
  <c r="BI4851" i="4"/>
  <c r="BI4852" i="4"/>
  <c r="BI4853" i="4"/>
  <c r="BI4854" i="4"/>
  <c r="BI4855" i="4"/>
  <c r="BI4856" i="4"/>
  <c r="BI4857" i="4"/>
  <c r="BI4858" i="4"/>
  <c r="BI4859" i="4"/>
  <c r="BI4860" i="4"/>
  <c r="BI4861" i="4"/>
  <c r="BI4862" i="4"/>
  <c r="BI4863" i="4"/>
  <c r="BI4864" i="4"/>
  <c r="BI4865" i="4"/>
  <c r="BI4866" i="4"/>
  <c r="BI4867" i="4"/>
  <c r="BI4868" i="4"/>
  <c r="BI4869" i="4"/>
  <c r="BI4870" i="4"/>
  <c r="BI4871" i="4"/>
  <c r="BI4872" i="4"/>
  <c r="BI4873" i="4"/>
  <c r="BI4874" i="4"/>
  <c r="BI4875" i="4"/>
  <c r="BI4876" i="4"/>
  <c r="BI4877" i="4"/>
  <c r="BI4878" i="4"/>
  <c r="BI4879" i="4"/>
  <c r="BI4880" i="4"/>
  <c r="BI4881" i="4"/>
  <c r="BI4882" i="4"/>
  <c r="BI4883" i="4"/>
  <c r="BI4884" i="4"/>
  <c r="BI4885" i="4"/>
  <c r="BI4886" i="4"/>
  <c r="BI4887" i="4"/>
  <c r="BI4888" i="4"/>
  <c r="BI4889" i="4"/>
  <c r="BI4890" i="4"/>
  <c r="BI4891" i="4"/>
  <c r="BI4892" i="4"/>
  <c r="BI4893" i="4"/>
  <c r="BI4894" i="4"/>
  <c r="BI4895" i="4"/>
  <c r="BI4896" i="4"/>
  <c r="BI4897" i="4"/>
  <c r="BI4898" i="4"/>
  <c r="BI4899" i="4"/>
  <c r="BI4900" i="4"/>
  <c r="BI4901" i="4"/>
  <c r="BI4902" i="4"/>
  <c r="BI4903" i="4"/>
  <c r="BI4904" i="4"/>
  <c r="BI4905" i="4"/>
  <c r="BI4906" i="4"/>
  <c r="BI4907" i="4"/>
  <c r="BI4908" i="4"/>
  <c r="BI4909" i="4"/>
  <c r="BI4910" i="4"/>
  <c r="BI4911" i="4"/>
  <c r="BI4912" i="4"/>
  <c r="BI4913" i="4"/>
  <c r="BI4914" i="4"/>
  <c r="BI4915" i="4"/>
  <c r="BI4916" i="4"/>
  <c r="BI4917" i="4"/>
  <c r="BI4918" i="4"/>
  <c r="BI4919" i="4"/>
  <c r="BI4920" i="4"/>
  <c r="BI4921" i="4"/>
  <c r="BI4922" i="4"/>
  <c r="BI4923" i="4"/>
  <c r="BI4924" i="4"/>
  <c r="BI4925" i="4"/>
  <c r="BI4926" i="4"/>
  <c r="BI4927" i="4"/>
  <c r="BI4928" i="4"/>
  <c r="BI4929" i="4"/>
  <c r="BI4930" i="4"/>
  <c r="BI4931" i="4"/>
  <c r="BI4932" i="4"/>
  <c r="BI4933" i="4"/>
  <c r="BI4934" i="4"/>
  <c r="BI4935" i="4"/>
  <c r="BI4936" i="4"/>
  <c r="BI4937" i="4"/>
  <c r="BI4938" i="4"/>
  <c r="BI4939" i="4"/>
  <c r="BI4940" i="4"/>
  <c r="BI4941" i="4"/>
  <c r="BI4942" i="4"/>
  <c r="BI4943" i="4"/>
  <c r="BI4944" i="4"/>
  <c r="BI4945" i="4"/>
  <c r="BI4946" i="4"/>
  <c r="BI4947" i="4"/>
  <c r="BI4948" i="4"/>
  <c r="BI4949" i="4"/>
  <c r="BI4950" i="4"/>
  <c r="BI4951" i="4"/>
  <c r="BI4952" i="4"/>
  <c r="BI4953" i="4"/>
  <c r="BI4954" i="4"/>
  <c r="BI4955" i="4"/>
  <c r="BI4956" i="4"/>
  <c r="BI4957" i="4"/>
  <c r="BI4958" i="4"/>
  <c r="BI4959" i="4"/>
  <c r="BI4960" i="4"/>
  <c r="BI4961" i="4"/>
  <c r="BI4962" i="4"/>
  <c r="BI4963" i="4"/>
  <c r="BI4964" i="4"/>
  <c r="BI4965" i="4"/>
  <c r="BI4966" i="4"/>
  <c r="BI4967" i="4"/>
  <c r="BI4968" i="4"/>
  <c r="BI4969" i="4"/>
  <c r="BI4970" i="4"/>
  <c r="BI4971" i="4"/>
  <c r="BI4972" i="4"/>
  <c r="BI4973" i="4"/>
  <c r="BI4974" i="4"/>
  <c r="BI4975" i="4"/>
  <c r="BI4976" i="4"/>
  <c r="BI4977" i="4"/>
  <c r="BI4978" i="4"/>
  <c r="BI4979" i="4"/>
  <c r="BI4980" i="4"/>
  <c r="BI4981" i="4"/>
  <c r="BI4982" i="4"/>
  <c r="BI4983" i="4"/>
  <c r="BI4984" i="4"/>
  <c r="BI4985" i="4"/>
  <c r="BI4986" i="4"/>
  <c r="BI4987" i="4"/>
  <c r="BI4988" i="4"/>
  <c r="BI4989" i="4"/>
  <c r="BI4990" i="4"/>
  <c r="BI4991" i="4"/>
  <c r="BI4992" i="4"/>
  <c r="BI4993" i="4"/>
  <c r="BI4994" i="4"/>
  <c r="BI4995" i="4"/>
  <c r="BI4996" i="4"/>
  <c r="BI4997" i="4"/>
  <c r="BI4998" i="4"/>
  <c r="BI4999" i="4"/>
  <c r="BI5000" i="4"/>
  <c r="BI5001" i="4"/>
  <c r="BI5002" i="4"/>
  <c r="BI5003" i="4"/>
  <c r="BI5004" i="4"/>
  <c r="BI5005" i="4"/>
  <c r="BI5006" i="4"/>
  <c r="BI5007" i="4"/>
  <c r="BI5008" i="4"/>
  <c r="BI5009" i="4"/>
  <c r="BI5010" i="4"/>
  <c r="BI5011" i="4"/>
  <c r="BI5012" i="4"/>
  <c r="BI5013" i="4"/>
  <c r="BI5014" i="4"/>
  <c r="BI5015" i="4"/>
  <c r="BI5016" i="4"/>
  <c r="BI5017" i="4"/>
  <c r="BI5018" i="4"/>
  <c r="BI5019" i="4"/>
  <c r="BI5020" i="4"/>
  <c r="BI5021" i="4"/>
  <c r="BI5022" i="4"/>
  <c r="BI5023" i="4"/>
  <c r="BI5024" i="4"/>
  <c r="BI5025" i="4"/>
  <c r="BI5026" i="4"/>
  <c r="BI5027" i="4"/>
  <c r="BI5028" i="4"/>
  <c r="BI5029" i="4"/>
  <c r="BI5030" i="4"/>
  <c r="BI5031" i="4"/>
  <c r="BI5032" i="4"/>
  <c r="BI5033" i="4"/>
  <c r="BI5034" i="4"/>
  <c r="BI5035" i="4"/>
  <c r="BI5036" i="4"/>
  <c r="BI5037" i="4"/>
  <c r="BI5038" i="4"/>
  <c r="BI5039" i="4"/>
  <c r="BI5040" i="4"/>
  <c r="BI5041" i="4"/>
  <c r="BI5042" i="4"/>
  <c r="BI5043" i="4"/>
  <c r="BI5044" i="4"/>
  <c r="BI5045" i="4"/>
  <c r="BI5046" i="4"/>
  <c r="BI5047" i="4"/>
  <c r="BI5048" i="4"/>
  <c r="BI5049" i="4"/>
  <c r="BI5050" i="4"/>
  <c r="BI5051" i="4"/>
  <c r="BI5052" i="4"/>
  <c r="BI5053" i="4"/>
  <c r="BI5054" i="4"/>
  <c r="BI5055" i="4"/>
  <c r="BI5056" i="4"/>
  <c r="BI5057" i="4"/>
  <c r="BI5058" i="4"/>
  <c r="BI5059" i="4"/>
  <c r="BI5060" i="4"/>
  <c r="BI5061" i="4"/>
  <c r="BI5062" i="4"/>
  <c r="BI5063" i="4"/>
  <c r="BI5064" i="4"/>
  <c r="BI5065" i="4"/>
  <c r="BI5066" i="4"/>
  <c r="BI5067" i="4"/>
  <c r="BI5068" i="4"/>
  <c r="BI5069" i="4"/>
  <c r="BI5070" i="4"/>
  <c r="BI5071" i="4"/>
  <c r="BI5072" i="4"/>
  <c r="BI5073" i="4"/>
  <c r="BI5074" i="4"/>
  <c r="BI5075" i="4"/>
  <c r="BI5076" i="4"/>
  <c r="BI5077" i="4"/>
  <c r="BI5078" i="4"/>
  <c r="BI5079" i="4"/>
  <c r="BI5080" i="4"/>
  <c r="BI5081" i="4"/>
  <c r="BI5082" i="4"/>
  <c r="BI5083" i="4"/>
  <c r="BI5084" i="4"/>
  <c r="BI5085" i="4"/>
  <c r="BI5086" i="4"/>
  <c r="BI5087" i="4"/>
  <c r="BI5088" i="4"/>
  <c r="BI5089" i="4"/>
  <c r="BI5090" i="4"/>
  <c r="BI5091" i="4"/>
  <c r="BI5092" i="4"/>
  <c r="BI5093" i="4"/>
  <c r="BI5094" i="4"/>
  <c r="BI5095" i="4"/>
  <c r="BI5096" i="4"/>
  <c r="BI5097" i="4"/>
  <c r="BI5098" i="4"/>
  <c r="BI5099" i="4"/>
  <c r="BI5100" i="4"/>
  <c r="BI5101" i="4"/>
  <c r="BI5102" i="4"/>
  <c r="BI5103" i="4"/>
  <c r="BI5104" i="4"/>
  <c r="BI5105" i="4"/>
  <c r="BI5106" i="4"/>
  <c r="BI5107" i="4"/>
  <c r="BI5108" i="4"/>
  <c r="BI5109" i="4"/>
  <c r="BI5110" i="4"/>
  <c r="BI5111" i="4"/>
  <c r="BI5112" i="4"/>
  <c r="BI5113" i="4"/>
  <c r="BI5114" i="4"/>
  <c r="BI5115" i="4"/>
  <c r="BI5116" i="4"/>
  <c r="BI5117" i="4"/>
  <c r="BI5118" i="4"/>
  <c r="BI5119" i="4"/>
  <c r="BI5120" i="4"/>
  <c r="BI5121" i="4"/>
  <c r="BI5122" i="4"/>
  <c r="BI5123" i="4"/>
  <c r="BI5124" i="4"/>
  <c r="BI5125" i="4"/>
  <c r="BI5126" i="4"/>
  <c r="BI5127" i="4"/>
  <c r="BI5128" i="4"/>
  <c r="BI5129" i="4"/>
  <c r="BI5130" i="4"/>
  <c r="BI5131" i="4"/>
  <c r="BI5132" i="4"/>
  <c r="BI5133" i="4"/>
  <c r="BI5134" i="4"/>
  <c r="BI5135" i="4"/>
  <c r="BI5136" i="4"/>
  <c r="BI5137" i="4"/>
  <c r="BI5138" i="4"/>
  <c r="BI5139" i="4"/>
  <c r="BI5140" i="4"/>
  <c r="BI5141" i="4"/>
  <c r="BI5142" i="4"/>
  <c r="BI5143" i="4"/>
  <c r="BI5144" i="4"/>
  <c r="BI5145" i="4"/>
  <c r="BI5146" i="4"/>
  <c r="BI5147" i="4"/>
  <c r="BI5148" i="4"/>
  <c r="BI5149" i="4"/>
  <c r="BI5150" i="4"/>
  <c r="BI5151" i="4"/>
  <c r="BI5152" i="4"/>
  <c r="BI5153" i="4"/>
  <c r="BI5154" i="4"/>
  <c r="BI5155" i="4"/>
  <c r="BI5156" i="4"/>
  <c r="BI5157" i="4"/>
  <c r="BI5158" i="4"/>
  <c r="BI5159" i="4"/>
  <c r="BI5160" i="4"/>
  <c r="BI5161" i="4"/>
  <c r="BI5162" i="4"/>
  <c r="BI5163" i="4"/>
  <c r="BI5164" i="4"/>
  <c r="BI5165" i="4"/>
  <c r="BI5166" i="4"/>
  <c r="BI5167" i="4"/>
  <c r="BI5168" i="4"/>
  <c r="BI5169" i="4"/>
  <c r="BI5170" i="4"/>
  <c r="BI5171" i="4"/>
  <c r="BI5172" i="4"/>
  <c r="BI5173" i="4"/>
  <c r="BI5174" i="4"/>
  <c r="BI5175" i="4"/>
  <c r="BI5176" i="4"/>
  <c r="BI5177" i="4"/>
  <c r="BI5178" i="4"/>
  <c r="BI5179" i="4"/>
  <c r="BI5180" i="4"/>
  <c r="BI5181" i="4"/>
  <c r="BI5182" i="4"/>
  <c r="BI5183" i="4"/>
  <c r="BI5184" i="4"/>
  <c r="BI5185" i="4"/>
  <c r="BI5186" i="4"/>
  <c r="BI5187" i="4"/>
  <c r="BI5188" i="4"/>
  <c r="BI5189" i="4"/>
  <c r="BI5190" i="4"/>
  <c r="BI5191" i="4"/>
  <c r="BI5192" i="4"/>
  <c r="BI5193" i="4"/>
  <c r="BI5194" i="4"/>
  <c r="BI5195" i="4"/>
  <c r="BI5196" i="4"/>
  <c r="BI5197" i="4"/>
  <c r="BI5198" i="4"/>
  <c r="BI5199" i="4"/>
  <c r="BI5200" i="4"/>
  <c r="BI5201" i="4"/>
  <c r="BI5202" i="4"/>
  <c r="BI5203" i="4"/>
  <c r="BI5204" i="4"/>
  <c r="BI5205" i="4"/>
  <c r="BI5206" i="4"/>
  <c r="BI5207" i="4"/>
  <c r="BI5208" i="4"/>
  <c r="BI5209" i="4"/>
  <c r="BI5210" i="4"/>
  <c r="BI5211" i="4"/>
  <c r="BI5212" i="4"/>
  <c r="BI5213" i="4"/>
  <c r="BI5214" i="4"/>
  <c r="BI5215" i="4"/>
  <c r="BI5216" i="4"/>
  <c r="BI5217" i="4"/>
  <c r="BI5218" i="4"/>
  <c r="BI5219" i="4"/>
  <c r="BI5220" i="4"/>
  <c r="BI5221" i="4"/>
  <c r="BI5222" i="4"/>
  <c r="BI5223" i="4"/>
  <c r="BI5224" i="4"/>
  <c r="BI5225" i="4"/>
  <c r="BI5226" i="4"/>
  <c r="BI5227" i="4"/>
  <c r="BI5228" i="4"/>
  <c r="BI5229" i="4"/>
  <c r="BI5230" i="4"/>
  <c r="BI5231" i="4"/>
  <c r="BI5232" i="4"/>
  <c r="BI5233" i="4"/>
  <c r="BI5234" i="4"/>
  <c r="BI5235" i="4"/>
  <c r="BI5236" i="4"/>
  <c r="BI5237" i="4"/>
  <c r="BI5238" i="4"/>
  <c r="BI5239" i="4"/>
  <c r="BI5240" i="4"/>
  <c r="BI5241" i="4"/>
  <c r="BI5242" i="4"/>
  <c r="BI5243" i="4"/>
  <c r="BI5244" i="4"/>
  <c r="BI5245" i="4"/>
  <c r="BI5246" i="4"/>
  <c r="BI5247" i="4"/>
  <c r="BI5248" i="4"/>
  <c r="BI5249" i="4"/>
  <c r="BI5250" i="4"/>
  <c r="BI5251" i="4"/>
  <c r="BI5252" i="4"/>
  <c r="BI5253" i="4"/>
  <c r="BI5254" i="4"/>
  <c r="BI5255" i="4"/>
  <c r="BI5256" i="4"/>
  <c r="BI5257" i="4"/>
  <c r="BI5258" i="4"/>
  <c r="BI5259" i="4"/>
  <c r="BI5260" i="4"/>
  <c r="BI5261" i="4"/>
  <c r="BI5262" i="4"/>
  <c r="BI5263" i="4"/>
  <c r="BI5264" i="4"/>
  <c r="BI5265" i="4"/>
  <c r="BI5266" i="4"/>
  <c r="BI5267" i="4"/>
  <c r="BI5268" i="4"/>
  <c r="BI5269" i="4"/>
  <c r="BI5270" i="4"/>
  <c r="BI5271" i="4"/>
  <c r="BI5272" i="4"/>
  <c r="BI5273" i="4"/>
  <c r="BI5274" i="4"/>
  <c r="BI5275" i="4"/>
  <c r="BI5276" i="4"/>
  <c r="BI5277" i="4"/>
  <c r="BI5278" i="4"/>
  <c r="BI5279" i="4"/>
  <c r="BI5280" i="4"/>
  <c r="BI5281" i="4"/>
  <c r="BI5282" i="4"/>
  <c r="BI5283" i="4"/>
  <c r="BI5284" i="4"/>
  <c r="BI5285" i="4"/>
  <c r="BI5286" i="4"/>
  <c r="BI5287" i="4"/>
  <c r="BI5288" i="4"/>
  <c r="BI5289" i="4"/>
  <c r="BI5290" i="4"/>
  <c r="BI5291" i="4"/>
  <c r="BI5292" i="4"/>
  <c r="BI5293" i="4"/>
  <c r="BI5294" i="4"/>
  <c r="BI5295" i="4"/>
  <c r="BI5296" i="4"/>
  <c r="BI5297" i="4"/>
  <c r="BI5298" i="4"/>
  <c r="BI5299" i="4"/>
  <c r="BI5300" i="4"/>
  <c r="BI5301" i="4"/>
  <c r="BI5302" i="4"/>
  <c r="BI5303" i="4"/>
  <c r="BI5304" i="4"/>
  <c r="BI5305" i="4"/>
  <c r="BI5306" i="4"/>
  <c r="BI5307" i="4"/>
  <c r="BI5308" i="4"/>
  <c r="BI5309" i="4"/>
  <c r="BI5310" i="4"/>
  <c r="BI5311" i="4"/>
  <c r="BI5312" i="4"/>
  <c r="BI5313" i="4"/>
  <c r="BI5314" i="4"/>
  <c r="BI5315" i="4"/>
  <c r="BI5316" i="4"/>
  <c r="BI5317" i="4"/>
  <c r="BI5318" i="4"/>
  <c r="BI5319" i="4"/>
  <c r="BI5320" i="4"/>
  <c r="BI5321" i="4"/>
  <c r="BI5322" i="4"/>
  <c r="BI5323" i="4"/>
  <c r="BI5324" i="4"/>
  <c r="BI5325" i="4"/>
  <c r="BI5326" i="4"/>
  <c r="BI5327" i="4"/>
  <c r="BI5328" i="4"/>
  <c r="BI5329" i="4"/>
  <c r="BI5330" i="4"/>
  <c r="BI5331" i="4"/>
  <c r="BI6" i="4"/>
  <c r="BF813" i="4"/>
  <c r="BF814" i="4"/>
  <c r="BF815" i="4"/>
  <c r="BF816" i="4"/>
  <c r="BF817" i="4"/>
  <c r="BF818" i="4"/>
  <c r="BF819" i="4"/>
  <c r="BF820" i="4"/>
  <c r="BF821" i="4"/>
  <c r="BF822" i="4"/>
  <c r="BF823" i="4"/>
  <c r="BF824" i="4"/>
  <c r="BF825" i="4"/>
  <c r="BF826" i="4"/>
  <c r="BF827" i="4"/>
  <c r="BF828" i="4"/>
  <c r="BF829" i="4"/>
  <c r="BF830" i="4"/>
  <c r="BF831" i="4"/>
  <c r="BF832" i="4"/>
  <c r="BF833" i="4"/>
  <c r="BF834" i="4"/>
  <c r="BF835" i="4"/>
  <c r="BF836" i="4"/>
  <c r="BF837" i="4"/>
  <c r="BF838" i="4"/>
  <c r="BF839" i="4"/>
  <c r="BF840" i="4"/>
  <c r="BF841" i="4"/>
  <c r="BF842" i="4"/>
  <c r="BF843" i="4"/>
  <c r="BF844" i="4"/>
  <c r="BF845" i="4"/>
  <c r="BF846" i="4"/>
  <c r="BF847" i="4"/>
  <c r="BF848" i="4"/>
  <c r="BF849" i="4"/>
  <c r="BF850" i="4"/>
  <c r="BF851" i="4"/>
  <c r="BF852" i="4"/>
  <c r="BF853" i="4"/>
  <c r="BF854" i="4"/>
  <c r="BF855" i="4"/>
  <c r="BF856" i="4"/>
  <c r="BF857" i="4"/>
  <c r="BF858" i="4"/>
  <c r="BF859" i="4"/>
  <c r="BF860" i="4"/>
  <c r="BF861" i="4"/>
  <c r="BF862" i="4"/>
  <c r="BF863" i="4"/>
  <c r="BF864" i="4"/>
  <c r="BF865" i="4"/>
  <c r="BF866" i="4"/>
  <c r="BF867" i="4"/>
  <c r="BF868" i="4"/>
  <c r="BF869" i="4"/>
  <c r="BF870" i="4"/>
  <c r="BF871" i="4"/>
  <c r="BF872" i="4"/>
  <c r="BF873" i="4"/>
  <c r="BF874" i="4"/>
  <c r="BF875" i="4"/>
  <c r="BF876" i="4"/>
  <c r="BF877" i="4"/>
  <c r="BF878" i="4"/>
  <c r="BF879" i="4"/>
  <c r="BF880" i="4"/>
  <c r="BF881" i="4"/>
  <c r="BF882" i="4"/>
  <c r="BF883" i="4"/>
  <c r="BF884" i="4"/>
  <c r="BF885" i="4"/>
  <c r="BF886" i="4"/>
  <c r="BF887" i="4"/>
  <c r="BF888" i="4"/>
  <c r="BF889" i="4"/>
  <c r="BF890" i="4"/>
  <c r="BF891" i="4"/>
  <c r="BF892" i="4"/>
  <c r="BF893" i="4"/>
  <c r="BF894" i="4"/>
  <c r="BF895" i="4"/>
  <c r="BF896" i="4"/>
  <c r="BF897" i="4"/>
  <c r="BF898" i="4"/>
  <c r="BF899" i="4"/>
  <c r="BF900" i="4"/>
  <c r="BF901" i="4"/>
  <c r="BF902" i="4"/>
  <c r="BF903" i="4"/>
  <c r="BF904" i="4"/>
  <c r="BF905" i="4"/>
  <c r="BF906" i="4"/>
  <c r="BF907" i="4"/>
  <c r="BF908" i="4"/>
  <c r="BF909" i="4"/>
  <c r="BF910" i="4"/>
  <c r="BF911" i="4"/>
  <c r="BF912" i="4"/>
  <c r="BF913" i="4"/>
  <c r="BF914" i="4"/>
  <c r="BF915" i="4"/>
  <c r="BF916" i="4"/>
  <c r="BF917" i="4"/>
  <c r="BF918" i="4"/>
  <c r="BF919" i="4"/>
  <c r="BF920" i="4"/>
  <c r="BF921" i="4"/>
  <c r="BF922" i="4"/>
  <c r="BF923" i="4"/>
  <c r="BF924" i="4"/>
  <c r="BF925" i="4"/>
  <c r="BF926" i="4"/>
  <c r="BF927" i="4"/>
  <c r="BF928" i="4"/>
  <c r="BF929" i="4"/>
  <c r="BF930" i="4"/>
  <c r="BF931" i="4"/>
  <c r="BF932" i="4"/>
  <c r="BF933" i="4"/>
  <c r="BF934" i="4"/>
  <c r="BF935" i="4"/>
  <c r="BF936" i="4"/>
  <c r="BF937" i="4"/>
  <c r="BF938" i="4"/>
  <c r="BF939" i="4"/>
  <c r="BF940" i="4"/>
  <c r="BF941" i="4"/>
  <c r="BF942" i="4"/>
  <c r="BF943" i="4"/>
  <c r="BF944" i="4"/>
  <c r="BF945" i="4"/>
  <c r="BF946" i="4"/>
  <c r="BF947" i="4"/>
  <c r="BF948" i="4"/>
  <c r="BF949" i="4"/>
  <c r="BF950" i="4"/>
  <c r="BF951" i="4"/>
  <c r="BF952" i="4"/>
  <c r="BF953" i="4"/>
  <c r="BF954" i="4"/>
  <c r="BF955" i="4"/>
  <c r="BF956" i="4"/>
  <c r="BF957" i="4"/>
  <c r="BF958" i="4"/>
  <c r="BF959" i="4"/>
  <c r="BF960" i="4"/>
  <c r="BF961" i="4"/>
  <c r="BF962" i="4"/>
  <c r="BF963" i="4"/>
  <c r="BF964" i="4"/>
  <c r="BF965" i="4"/>
  <c r="BF966" i="4"/>
  <c r="BF967" i="4"/>
  <c r="BF968" i="4"/>
  <c r="BF969" i="4"/>
  <c r="BF970" i="4"/>
  <c r="BF971" i="4"/>
  <c r="BF972" i="4"/>
  <c r="BF973" i="4"/>
  <c r="BF974" i="4"/>
  <c r="BF975" i="4"/>
  <c r="BF976" i="4"/>
  <c r="BF977" i="4"/>
  <c r="BF978" i="4"/>
  <c r="BF979" i="4"/>
  <c r="BF980" i="4"/>
  <c r="BF981" i="4"/>
  <c r="BF982" i="4"/>
  <c r="BF983" i="4"/>
  <c r="BF984" i="4"/>
  <c r="BF985" i="4"/>
  <c r="BF986" i="4"/>
  <c r="BF987" i="4"/>
  <c r="BF988" i="4"/>
  <c r="BF989" i="4"/>
  <c r="BF990" i="4"/>
  <c r="BF991" i="4"/>
  <c r="BF992" i="4"/>
  <c r="BF993" i="4"/>
  <c r="BF994" i="4"/>
  <c r="BF995" i="4"/>
  <c r="BF996" i="4"/>
  <c r="BF997" i="4"/>
  <c r="BF998" i="4"/>
  <c r="BF999" i="4"/>
  <c r="BF1000" i="4"/>
  <c r="BF1001" i="4"/>
  <c r="BF1002" i="4"/>
  <c r="BF1003" i="4"/>
  <c r="BF1004" i="4"/>
  <c r="BF1005" i="4"/>
  <c r="BF1006" i="4"/>
  <c r="BF1007" i="4"/>
  <c r="BF1008" i="4"/>
  <c r="BF1009" i="4"/>
  <c r="BF1010" i="4"/>
  <c r="BF1011" i="4"/>
  <c r="BF1012" i="4"/>
  <c r="BF1013" i="4"/>
  <c r="BF1014" i="4"/>
  <c r="BF1015" i="4"/>
  <c r="BF1016" i="4"/>
  <c r="BF1017" i="4"/>
  <c r="BF1018" i="4"/>
  <c r="BF1019" i="4"/>
  <c r="BF1020" i="4"/>
  <c r="BF1021" i="4"/>
  <c r="BF1022" i="4"/>
  <c r="BF1023" i="4"/>
  <c r="BF1024" i="4"/>
  <c r="BF1025" i="4"/>
  <c r="BF1026" i="4"/>
  <c r="BF1027" i="4"/>
  <c r="BF1028" i="4"/>
  <c r="BF1029" i="4"/>
  <c r="BF1030" i="4"/>
  <c r="BF1031" i="4"/>
  <c r="BF1032" i="4"/>
  <c r="BF1033" i="4"/>
  <c r="BF1034" i="4"/>
  <c r="BF1035" i="4"/>
  <c r="BF1036" i="4"/>
  <c r="BF1037" i="4"/>
  <c r="BF1038" i="4"/>
  <c r="BF1039" i="4"/>
  <c r="BF1040" i="4"/>
  <c r="BF1041" i="4"/>
  <c r="BF1042" i="4"/>
  <c r="BF1043" i="4"/>
  <c r="BF1044" i="4"/>
  <c r="BF1045" i="4"/>
  <c r="BF1046" i="4"/>
  <c r="BF1047" i="4"/>
  <c r="BF1048" i="4"/>
  <c r="BF1049" i="4"/>
  <c r="BF1050" i="4"/>
  <c r="BF1051" i="4"/>
  <c r="BF1052" i="4"/>
  <c r="BF1053" i="4"/>
  <c r="BF1054" i="4"/>
  <c r="BF1055" i="4"/>
  <c r="BF1056" i="4"/>
  <c r="BF1057" i="4"/>
  <c r="BF1058" i="4"/>
  <c r="BF1059" i="4"/>
  <c r="BF1060" i="4"/>
  <c r="BF1061" i="4"/>
  <c r="BF1062" i="4"/>
  <c r="BF1063" i="4"/>
  <c r="BF1064" i="4"/>
  <c r="BF1065" i="4"/>
  <c r="BF1066" i="4"/>
  <c r="BF1067" i="4"/>
  <c r="BF1068" i="4"/>
  <c r="BF1069" i="4"/>
  <c r="BF1070" i="4"/>
  <c r="BF1071" i="4"/>
  <c r="BF1072" i="4"/>
  <c r="BF1073" i="4"/>
  <c r="BF1074" i="4"/>
  <c r="BF1075" i="4"/>
  <c r="BF1076" i="4"/>
  <c r="BF1077" i="4"/>
  <c r="BF1078" i="4"/>
  <c r="BF1079" i="4"/>
  <c r="BF1080" i="4"/>
  <c r="BF1081" i="4"/>
  <c r="BF1082" i="4"/>
  <c r="BF1083" i="4"/>
  <c r="BF1084" i="4"/>
  <c r="BF1085" i="4"/>
  <c r="BF1086" i="4"/>
  <c r="BF1087" i="4"/>
  <c r="BF1088" i="4"/>
  <c r="BF1089" i="4"/>
  <c r="BF1090" i="4"/>
  <c r="BF1091" i="4"/>
  <c r="BF1092" i="4"/>
  <c r="BF1093" i="4"/>
  <c r="BF1094" i="4"/>
  <c r="BF1095" i="4"/>
  <c r="BF1096" i="4"/>
  <c r="BF1097" i="4"/>
  <c r="BF1098" i="4"/>
  <c r="BF1099" i="4"/>
  <c r="BF1100" i="4"/>
  <c r="BF1101" i="4"/>
  <c r="BF1102" i="4"/>
  <c r="BF1103" i="4"/>
  <c r="BF1104" i="4"/>
  <c r="BF1105" i="4"/>
  <c r="BF1106" i="4"/>
  <c r="BF1107" i="4"/>
  <c r="BF1108" i="4"/>
  <c r="BF1109" i="4"/>
  <c r="BF1110" i="4"/>
  <c r="BF1111" i="4"/>
  <c r="BF1112" i="4"/>
  <c r="BF1113" i="4"/>
  <c r="BF1114" i="4"/>
  <c r="BF1115" i="4"/>
  <c r="BF1116" i="4"/>
  <c r="BF1117" i="4"/>
  <c r="BF1118" i="4"/>
  <c r="BF1119" i="4"/>
  <c r="BF1120" i="4"/>
  <c r="BF1121" i="4"/>
  <c r="BF1122" i="4"/>
  <c r="BF1123" i="4"/>
  <c r="BF1124" i="4"/>
  <c r="BF1125" i="4"/>
  <c r="BF1126" i="4"/>
  <c r="BF1127" i="4"/>
  <c r="BF1128" i="4"/>
  <c r="BF1129" i="4"/>
  <c r="BF1130" i="4"/>
  <c r="BF1131" i="4"/>
  <c r="BF1132" i="4"/>
  <c r="BF1133" i="4"/>
  <c r="BF1134" i="4"/>
  <c r="BF1135" i="4"/>
  <c r="BF1136" i="4"/>
  <c r="BF1137" i="4"/>
  <c r="BF1138" i="4"/>
  <c r="BF1139" i="4"/>
  <c r="BF1140" i="4"/>
  <c r="BF1141" i="4"/>
  <c r="BF1142" i="4"/>
  <c r="BF1143" i="4"/>
  <c r="BF1144" i="4"/>
  <c r="BF1145" i="4"/>
  <c r="BF1146" i="4"/>
  <c r="BF1147" i="4"/>
  <c r="BF1148" i="4"/>
  <c r="BF1149" i="4"/>
  <c r="BF1150" i="4"/>
  <c r="BF1151" i="4"/>
  <c r="BF1152" i="4"/>
  <c r="BF1153" i="4"/>
  <c r="BF1154" i="4"/>
  <c r="BF1155" i="4"/>
  <c r="BF1156" i="4"/>
  <c r="BF1157" i="4"/>
  <c r="BF1158" i="4"/>
  <c r="BF1159" i="4"/>
  <c r="BF1160" i="4"/>
  <c r="BF1161" i="4"/>
  <c r="BF1162" i="4"/>
  <c r="BF1163" i="4"/>
  <c r="BF1164" i="4"/>
  <c r="BF1165" i="4"/>
  <c r="BF1166" i="4"/>
  <c r="BF1167" i="4"/>
  <c r="BF1168" i="4"/>
  <c r="BF1169" i="4"/>
  <c r="BF1170" i="4"/>
  <c r="BF1171" i="4"/>
  <c r="BF1172" i="4"/>
  <c r="BF1173" i="4"/>
  <c r="BF1174" i="4"/>
  <c r="BF1175" i="4"/>
  <c r="BF1176" i="4"/>
  <c r="BF1177" i="4"/>
  <c r="BF1178" i="4"/>
  <c r="BF1179" i="4"/>
  <c r="BF1180" i="4"/>
  <c r="BF1181" i="4"/>
  <c r="BF1182" i="4"/>
  <c r="BF1183" i="4"/>
  <c r="BF1184" i="4"/>
  <c r="BF1185" i="4"/>
  <c r="BF1186" i="4"/>
  <c r="BF1187" i="4"/>
  <c r="BF1188" i="4"/>
  <c r="BF1189" i="4"/>
  <c r="BF1190" i="4"/>
  <c r="BF1191" i="4"/>
  <c r="BF1192" i="4"/>
  <c r="BF1193" i="4"/>
  <c r="BF1194" i="4"/>
  <c r="BF1195" i="4"/>
  <c r="BF1196" i="4"/>
  <c r="BF1197" i="4"/>
  <c r="BF1198" i="4"/>
  <c r="BF1199" i="4"/>
  <c r="BF1200" i="4"/>
  <c r="BF1201" i="4"/>
  <c r="BF1202" i="4"/>
  <c r="BF1203" i="4"/>
  <c r="BF1204" i="4"/>
  <c r="BF1205" i="4"/>
  <c r="BF1206" i="4"/>
  <c r="BF1207" i="4"/>
  <c r="BF1208" i="4"/>
  <c r="BF1209" i="4"/>
  <c r="BF1210" i="4"/>
  <c r="BF1211" i="4"/>
  <c r="BF1212" i="4"/>
  <c r="BF1213" i="4"/>
  <c r="BF1214" i="4"/>
  <c r="BF1215" i="4"/>
  <c r="BF1216" i="4"/>
  <c r="BF1217" i="4"/>
  <c r="BF1218" i="4"/>
  <c r="BF1219" i="4"/>
  <c r="BF1220" i="4"/>
  <c r="BF1221" i="4"/>
  <c r="BF1222" i="4"/>
  <c r="BF1223" i="4"/>
  <c r="BF1224" i="4"/>
  <c r="BF1225" i="4"/>
  <c r="BF1226" i="4"/>
  <c r="BF1227" i="4"/>
  <c r="BF1228" i="4"/>
  <c r="BF1229" i="4"/>
  <c r="BF1230" i="4"/>
  <c r="BF1231" i="4"/>
  <c r="BF1232" i="4"/>
  <c r="BF1233" i="4"/>
  <c r="BF1234" i="4"/>
  <c r="BF1235" i="4"/>
  <c r="BF1236" i="4"/>
  <c r="BF1237" i="4"/>
  <c r="BF1238" i="4"/>
  <c r="BF1239" i="4"/>
  <c r="BF1240" i="4"/>
  <c r="BF1241" i="4"/>
  <c r="BF1242" i="4"/>
  <c r="BF1243" i="4"/>
  <c r="BF1244" i="4"/>
  <c r="BF1245" i="4"/>
  <c r="BF1246" i="4"/>
  <c r="BF1247" i="4"/>
  <c r="BF1248" i="4"/>
  <c r="BF1249" i="4"/>
  <c r="BF1250" i="4"/>
  <c r="BF1251" i="4"/>
  <c r="BF1252" i="4"/>
  <c r="BF1253" i="4"/>
  <c r="BF1254" i="4"/>
  <c r="BF1255" i="4"/>
  <c r="BF1256" i="4"/>
  <c r="BF1257" i="4"/>
  <c r="BF1258" i="4"/>
  <c r="BF1259" i="4"/>
  <c r="BF1260" i="4"/>
  <c r="BF1261" i="4"/>
  <c r="BF1262" i="4"/>
  <c r="BF1263" i="4"/>
  <c r="BF1264" i="4"/>
  <c r="BF1265" i="4"/>
  <c r="BF1266" i="4"/>
  <c r="BF1267" i="4"/>
  <c r="BF1268" i="4"/>
  <c r="BF1269" i="4"/>
  <c r="BF1270" i="4"/>
  <c r="BF1271" i="4"/>
  <c r="BF1272" i="4"/>
  <c r="BF1273" i="4"/>
  <c r="BF1274" i="4"/>
  <c r="BF1275" i="4"/>
  <c r="BF1276" i="4"/>
  <c r="BF1277" i="4"/>
  <c r="BF1278" i="4"/>
  <c r="BF1279" i="4"/>
  <c r="BF1280" i="4"/>
  <c r="BF1281" i="4"/>
  <c r="BF1282" i="4"/>
  <c r="BF1283" i="4"/>
  <c r="BF1284" i="4"/>
  <c r="BF1285" i="4"/>
  <c r="BF1286" i="4"/>
  <c r="BF1287" i="4"/>
  <c r="BF1288" i="4"/>
  <c r="BF1289" i="4"/>
  <c r="BF1290" i="4"/>
  <c r="BF1291" i="4"/>
  <c r="BF1292" i="4"/>
  <c r="BF1293" i="4"/>
  <c r="BF1294" i="4"/>
  <c r="BF1295" i="4"/>
  <c r="BF1296" i="4"/>
  <c r="BF1297" i="4"/>
  <c r="BF1298" i="4"/>
  <c r="BF1299" i="4"/>
  <c r="BF1300" i="4"/>
  <c r="BF1301" i="4"/>
  <c r="BF1302" i="4"/>
  <c r="BF1303" i="4"/>
  <c r="BF1304" i="4"/>
  <c r="BF1305" i="4"/>
  <c r="BF1306" i="4"/>
  <c r="BF1307" i="4"/>
  <c r="BF1308" i="4"/>
  <c r="BF1309" i="4"/>
  <c r="BF1310" i="4"/>
  <c r="BF1311" i="4"/>
  <c r="BF1312" i="4"/>
  <c r="BF1313" i="4"/>
  <c r="BF1314" i="4"/>
  <c r="BF1315" i="4"/>
  <c r="BF1316" i="4"/>
  <c r="BF1317" i="4"/>
  <c r="BF1318" i="4"/>
  <c r="BF1319" i="4"/>
  <c r="BF1320" i="4"/>
  <c r="BF1321" i="4"/>
  <c r="BF1322" i="4"/>
  <c r="BF1323" i="4"/>
  <c r="BF1324" i="4"/>
  <c r="BF1325" i="4"/>
  <c r="BF1326" i="4"/>
  <c r="BF1327" i="4"/>
  <c r="BF1328" i="4"/>
  <c r="BF1329" i="4"/>
  <c r="BF1330" i="4"/>
  <c r="BF1331" i="4"/>
  <c r="BF1332" i="4"/>
  <c r="BF1333" i="4"/>
  <c r="BF1334" i="4"/>
  <c r="BF1335" i="4"/>
  <c r="BF1336" i="4"/>
  <c r="BF1337" i="4"/>
  <c r="BF1338" i="4"/>
  <c r="BF1339" i="4"/>
  <c r="BF1340" i="4"/>
  <c r="BF1341" i="4"/>
  <c r="BF1342" i="4"/>
  <c r="BF1343" i="4"/>
  <c r="BF1344" i="4"/>
  <c r="BF1345" i="4"/>
  <c r="BF1346" i="4"/>
  <c r="BF1347" i="4"/>
  <c r="BF1348" i="4"/>
  <c r="BF1349" i="4"/>
  <c r="BF1350" i="4"/>
  <c r="BF1351" i="4"/>
  <c r="BF1352" i="4"/>
  <c r="BF1353" i="4"/>
  <c r="BF1354" i="4"/>
  <c r="BF1355" i="4"/>
  <c r="BF1356" i="4"/>
  <c r="BF1357" i="4"/>
  <c r="BF1358" i="4"/>
  <c r="BF1359" i="4"/>
  <c r="BF1360" i="4"/>
  <c r="BF1361" i="4"/>
  <c r="BF1362" i="4"/>
  <c r="BF1363" i="4"/>
  <c r="BF1364" i="4"/>
  <c r="BF1365" i="4"/>
  <c r="BF1366" i="4"/>
  <c r="BF1367" i="4"/>
  <c r="BF1368" i="4"/>
  <c r="BF1369" i="4"/>
  <c r="BF1370" i="4"/>
  <c r="BF1371" i="4"/>
  <c r="BF1372" i="4"/>
  <c r="BF1373" i="4"/>
  <c r="BF1374" i="4"/>
  <c r="BF1375" i="4"/>
  <c r="BF1376" i="4"/>
  <c r="BF1377" i="4"/>
  <c r="BF1378" i="4"/>
  <c r="BF1379" i="4"/>
  <c r="BF1380" i="4"/>
  <c r="BF1381" i="4"/>
  <c r="BF1382" i="4"/>
  <c r="BF1383" i="4"/>
  <c r="BF1384" i="4"/>
  <c r="BF1385" i="4"/>
  <c r="BF1386" i="4"/>
  <c r="BF1387" i="4"/>
  <c r="BF1388" i="4"/>
  <c r="BF1389" i="4"/>
  <c r="BF1390" i="4"/>
  <c r="BF1391" i="4"/>
  <c r="BF1392" i="4"/>
  <c r="BF1393" i="4"/>
  <c r="BF1394" i="4"/>
  <c r="BF1395" i="4"/>
  <c r="BF1396" i="4"/>
  <c r="BF1397" i="4"/>
  <c r="BF1398" i="4"/>
  <c r="BF1399" i="4"/>
  <c r="BF1400" i="4"/>
  <c r="BF1401" i="4"/>
  <c r="BF1402" i="4"/>
  <c r="BF1403" i="4"/>
  <c r="BF1404" i="4"/>
  <c r="BF1405" i="4"/>
  <c r="BF1406" i="4"/>
  <c r="BF1407" i="4"/>
  <c r="BF1408" i="4"/>
  <c r="BF1409" i="4"/>
  <c r="BF1410" i="4"/>
  <c r="BF1411" i="4"/>
  <c r="BF1412" i="4"/>
  <c r="BF1413" i="4"/>
  <c r="BF1414" i="4"/>
  <c r="BF1415" i="4"/>
  <c r="BF1416" i="4"/>
  <c r="BF1417" i="4"/>
  <c r="BF1418" i="4"/>
  <c r="BF1419" i="4"/>
  <c r="BF1420" i="4"/>
  <c r="BF1421" i="4"/>
  <c r="BF1422" i="4"/>
  <c r="BF1423" i="4"/>
  <c r="BF1424" i="4"/>
  <c r="BF1425" i="4"/>
  <c r="BF1426" i="4"/>
  <c r="BF1427" i="4"/>
  <c r="BF1428" i="4"/>
  <c r="BF1429" i="4"/>
  <c r="BF1430" i="4"/>
  <c r="BF1431" i="4"/>
  <c r="BF1432" i="4"/>
  <c r="BF1433" i="4"/>
  <c r="BF1434" i="4"/>
  <c r="BF1435" i="4"/>
  <c r="BF1436" i="4"/>
  <c r="BF1437" i="4"/>
  <c r="BF1438" i="4"/>
  <c r="BF1439" i="4"/>
  <c r="BF1440" i="4"/>
  <c r="BF1441" i="4"/>
  <c r="BF1442" i="4"/>
  <c r="BF1443" i="4"/>
  <c r="BF1444" i="4"/>
  <c r="BF1445" i="4"/>
  <c r="BF1446" i="4"/>
  <c r="BF1447" i="4"/>
  <c r="BF1448" i="4"/>
  <c r="BF1449" i="4"/>
  <c r="BF1450" i="4"/>
  <c r="BF1451" i="4"/>
  <c r="BF1452" i="4"/>
  <c r="BF1453" i="4"/>
  <c r="BF1454" i="4"/>
  <c r="BF1455" i="4"/>
  <c r="BF1456" i="4"/>
  <c r="BF1457" i="4"/>
  <c r="BF1458" i="4"/>
  <c r="BF1459" i="4"/>
  <c r="BF1460" i="4"/>
  <c r="BF1461" i="4"/>
  <c r="BF1462" i="4"/>
  <c r="BF1463" i="4"/>
  <c r="BF1464" i="4"/>
  <c r="BF1465" i="4"/>
  <c r="BF1466" i="4"/>
  <c r="BF1467" i="4"/>
  <c r="BF1468" i="4"/>
  <c r="BF1469" i="4"/>
  <c r="BF1470" i="4"/>
  <c r="BF1471" i="4"/>
  <c r="BF1472" i="4"/>
  <c r="BF1473" i="4"/>
  <c r="BF1474" i="4"/>
  <c r="BF1475" i="4"/>
  <c r="BF1476" i="4"/>
  <c r="BF1477" i="4"/>
  <c r="BF1478" i="4"/>
  <c r="BF1479" i="4"/>
  <c r="BF1480" i="4"/>
  <c r="BF1481" i="4"/>
  <c r="BF1482" i="4"/>
  <c r="BF1483" i="4"/>
  <c r="BF1484" i="4"/>
  <c r="BF1485" i="4"/>
  <c r="BF1486" i="4"/>
  <c r="BF1487" i="4"/>
  <c r="BF1488" i="4"/>
  <c r="BF1489" i="4"/>
  <c r="BF1490" i="4"/>
  <c r="BF1491" i="4"/>
  <c r="BF1492" i="4"/>
  <c r="BF1493" i="4"/>
  <c r="BF1494" i="4"/>
  <c r="BF1495" i="4"/>
  <c r="BF1496" i="4"/>
  <c r="BF1497" i="4"/>
  <c r="BF1498" i="4"/>
  <c r="BF1499" i="4"/>
  <c r="BF1500" i="4"/>
  <c r="BF1501" i="4"/>
  <c r="BF1502" i="4"/>
  <c r="BF1503" i="4"/>
  <c r="BF1504" i="4"/>
  <c r="BF1505" i="4"/>
  <c r="BF1506" i="4"/>
  <c r="BF1507" i="4"/>
  <c r="BF1508" i="4"/>
  <c r="BF1509" i="4"/>
  <c r="BF1510" i="4"/>
  <c r="BF1511" i="4"/>
  <c r="BF1512" i="4"/>
  <c r="BF1513" i="4"/>
  <c r="BF1514" i="4"/>
  <c r="BF1515" i="4"/>
  <c r="BF1516" i="4"/>
  <c r="BF1517" i="4"/>
  <c r="BF1518" i="4"/>
  <c r="BF1519" i="4"/>
  <c r="BF1520" i="4"/>
  <c r="BF1521" i="4"/>
  <c r="BF1522" i="4"/>
  <c r="BF1523" i="4"/>
  <c r="BF1524" i="4"/>
  <c r="BF1525" i="4"/>
  <c r="BF1526" i="4"/>
  <c r="BF1527" i="4"/>
  <c r="BF1528" i="4"/>
  <c r="BF1529" i="4"/>
  <c r="BF1530" i="4"/>
  <c r="BF1531" i="4"/>
  <c r="BF1532" i="4"/>
  <c r="BF1533" i="4"/>
  <c r="BF1534" i="4"/>
  <c r="BF1535" i="4"/>
  <c r="BF1536" i="4"/>
  <c r="BF1537" i="4"/>
  <c r="BF1538" i="4"/>
  <c r="BF1539" i="4"/>
  <c r="BF1540" i="4"/>
  <c r="BF1541" i="4"/>
  <c r="BF1542" i="4"/>
  <c r="BF1543" i="4"/>
  <c r="BF1544" i="4"/>
  <c r="BF1545" i="4"/>
  <c r="BF1546" i="4"/>
  <c r="BF1547" i="4"/>
  <c r="BF1548" i="4"/>
  <c r="BF1549" i="4"/>
  <c r="BF1550" i="4"/>
  <c r="BF1551" i="4"/>
  <c r="BF1552" i="4"/>
  <c r="BF1553" i="4"/>
  <c r="BF1554" i="4"/>
  <c r="BF1555" i="4"/>
  <c r="BF1556" i="4"/>
  <c r="BF1557" i="4"/>
  <c r="BF1558" i="4"/>
  <c r="BF1559" i="4"/>
  <c r="BF1560" i="4"/>
  <c r="BF1561" i="4"/>
  <c r="BF1562" i="4"/>
  <c r="BF1563" i="4"/>
  <c r="BF1564" i="4"/>
  <c r="BF1565" i="4"/>
  <c r="BF1566" i="4"/>
  <c r="BF1567" i="4"/>
  <c r="BF1568" i="4"/>
  <c r="BF1569" i="4"/>
  <c r="BF1570" i="4"/>
  <c r="BF1571" i="4"/>
  <c r="BF1572" i="4"/>
  <c r="BF1573" i="4"/>
  <c r="BF1574" i="4"/>
  <c r="BF1575" i="4"/>
  <c r="BF1576" i="4"/>
  <c r="BF1577" i="4"/>
  <c r="BF1578" i="4"/>
  <c r="BF1579" i="4"/>
  <c r="BF1580" i="4"/>
  <c r="BF1581" i="4"/>
  <c r="BF1582" i="4"/>
  <c r="BF1583" i="4"/>
  <c r="BF1584" i="4"/>
  <c r="BF1585" i="4"/>
  <c r="BF1586" i="4"/>
  <c r="BF1587" i="4"/>
  <c r="BF1588" i="4"/>
  <c r="BF1589" i="4"/>
  <c r="BF1590" i="4"/>
  <c r="BF1591" i="4"/>
  <c r="BF1592" i="4"/>
  <c r="BF1593" i="4"/>
  <c r="BF1594" i="4"/>
  <c r="BF1595" i="4"/>
  <c r="BF1596" i="4"/>
  <c r="BF1597" i="4"/>
  <c r="BF1598" i="4"/>
  <c r="BF1599" i="4"/>
  <c r="BF1600" i="4"/>
  <c r="BF1601" i="4"/>
  <c r="BF1602" i="4"/>
  <c r="BF1603" i="4"/>
  <c r="BF1604" i="4"/>
  <c r="BF1605" i="4"/>
  <c r="BF1606" i="4"/>
  <c r="BF1607" i="4"/>
  <c r="BF1608" i="4"/>
  <c r="BF1609" i="4"/>
  <c r="BF1610" i="4"/>
  <c r="BF1611" i="4"/>
  <c r="BF1612" i="4"/>
  <c r="BF1613" i="4"/>
  <c r="BF1614" i="4"/>
  <c r="BF1615" i="4"/>
  <c r="BF1616" i="4"/>
  <c r="BF1617" i="4"/>
  <c r="BF1618" i="4"/>
  <c r="BF1619" i="4"/>
  <c r="BF1620" i="4"/>
  <c r="BF1621" i="4"/>
  <c r="BF1622" i="4"/>
  <c r="BF1623" i="4"/>
  <c r="BF1624" i="4"/>
  <c r="BF1625" i="4"/>
  <c r="BF1626" i="4"/>
  <c r="BF1627" i="4"/>
  <c r="BF1628" i="4"/>
  <c r="BF1629" i="4"/>
  <c r="BF1630" i="4"/>
  <c r="BF1631" i="4"/>
  <c r="BF1632" i="4"/>
  <c r="BF1633" i="4"/>
  <c r="BF1634" i="4"/>
  <c r="BF1635" i="4"/>
  <c r="BF1636" i="4"/>
  <c r="BF1637" i="4"/>
  <c r="BF1638" i="4"/>
  <c r="BF1639" i="4"/>
  <c r="BF1640" i="4"/>
  <c r="BF1641" i="4"/>
  <c r="BF1642" i="4"/>
  <c r="BF1643" i="4"/>
  <c r="BF1644" i="4"/>
  <c r="BF1645" i="4"/>
  <c r="BF1646" i="4"/>
  <c r="BF1647" i="4"/>
  <c r="BF1648" i="4"/>
  <c r="BF1649" i="4"/>
  <c r="BF1650" i="4"/>
  <c r="BF1651" i="4"/>
  <c r="BF1652" i="4"/>
  <c r="BF1653" i="4"/>
  <c r="BF1654" i="4"/>
  <c r="BF1655" i="4"/>
  <c r="BF1656" i="4"/>
  <c r="BF1657" i="4"/>
  <c r="BF1658" i="4"/>
  <c r="BF1659" i="4"/>
  <c r="BF1660" i="4"/>
  <c r="BF1661" i="4"/>
  <c r="BF1662" i="4"/>
  <c r="BF1663" i="4"/>
  <c r="BF1664" i="4"/>
  <c r="BF1665" i="4"/>
  <c r="BF1666" i="4"/>
  <c r="BF1667" i="4"/>
  <c r="BF1668" i="4"/>
  <c r="BF1669" i="4"/>
  <c r="BF1670" i="4"/>
  <c r="BF1671" i="4"/>
  <c r="BF1672" i="4"/>
  <c r="BF1673" i="4"/>
  <c r="BF1674" i="4"/>
  <c r="BF1675" i="4"/>
  <c r="BF1676" i="4"/>
  <c r="BF1677" i="4"/>
  <c r="BF1678" i="4"/>
  <c r="BF1679" i="4"/>
  <c r="BF1680" i="4"/>
  <c r="BF1681" i="4"/>
  <c r="BF1682" i="4"/>
  <c r="BF1683" i="4"/>
  <c r="BF1684" i="4"/>
  <c r="BF1685" i="4"/>
  <c r="BF1686" i="4"/>
  <c r="BF1687" i="4"/>
  <c r="BF1688" i="4"/>
  <c r="BF1689" i="4"/>
  <c r="BF1690" i="4"/>
  <c r="BF1691" i="4"/>
  <c r="BF1692" i="4"/>
  <c r="BF1693" i="4"/>
  <c r="BF1694" i="4"/>
  <c r="BF1695" i="4"/>
  <c r="BF1696" i="4"/>
  <c r="BF1697" i="4"/>
  <c r="BF1698" i="4"/>
  <c r="BF1699" i="4"/>
  <c r="BF1700" i="4"/>
  <c r="BF1701" i="4"/>
  <c r="BF1702" i="4"/>
  <c r="BF1703" i="4"/>
  <c r="BF1704" i="4"/>
  <c r="BF1705" i="4"/>
  <c r="BF1706" i="4"/>
  <c r="BF1707" i="4"/>
  <c r="BF1708" i="4"/>
  <c r="BF1709" i="4"/>
  <c r="BF1710" i="4"/>
  <c r="BF1711" i="4"/>
  <c r="BF1712" i="4"/>
  <c r="BF1713" i="4"/>
  <c r="BF1714" i="4"/>
  <c r="BF1715" i="4"/>
  <c r="BF1716" i="4"/>
  <c r="BF1717" i="4"/>
  <c r="BF1718" i="4"/>
  <c r="BF1719" i="4"/>
  <c r="BF1720" i="4"/>
  <c r="BF1721" i="4"/>
  <c r="BF1722" i="4"/>
  <c r="BF1723" i="4"/>
  <c r="BF1724" i="4"/>
  <c r="BF1725" i="4"/>
  <c r="BF1726" i="4"/>
  <c r="BF1727" i="4"/>
  <c r="BF1728" i="4"/>
  <c r="BF1729" i="4"/>
  <c r="BF1730" i="4"/>
  <c r="BF1731" i="4"/>
  <c r="BF1732" i="4"/>
  <c r="BF1733" i="4"/>
  <c r="BF1734" i="4"/>
  <c r="BF1735" i="4"/>
  <c r="BF1736" i="4"/>
  <c r="BF1737" i="4"/>
  <c r="BF1738" i="4"/>
  <c r="BF1739" i="4"/>
  <c r="BF1740" i="4"/>
  <c r="BF1741" i="4"/>
  <c r="BF1742" i="4"/>
  <c r="BF1743" i="4"/>
  <c r="BF1744" i="4"/>
  <c r="BF1745" i="4"/>
  <c r="BF1746" i="4"/>
  <c r="BF1747" i="4"/>
  <c r="BF1748" i="4"/>
  <c r="BF1749" i="4"/>
  <c r="BF1750" i="4"/>
  <c r="BF1751" i="4"/>
  <c r="BF1752" i="4"/>
  <c r="BF1753" i="4"/>
  <c r="BF1754" i="4"/>
  <c r="BF1755" i="4"/>
  <c r="BF1756" i="4"/>
  <c r="BF1757" i="4"/>
  <c r="BF1758" i="4"/>
  <c r="BF1759" i="4"/>
  <c r="BF1760" i="4"/>
  <c r="BF1761" i="4"/>
  <c r="BF1762" i="4"/>
  <c r="BF1763" i="4"/>
  <c r="BF1764" i="4"/>
  <c r="BF1765" i="4"/>
  <c r="BF1766" i="4"/>
  <c r="BF1767" i="4"/>
  <c r="BF1768" i="4"/>
  <c r="BF1769" i="4"/>
  <c r="BF1770" i="4"/>
  <c r="BF1771" i="4"/>
  <c r="BF1772" i="4"/>
  <c r="BF1773" i="4"/>
  <c r="BF1774" i="4"/>
  <c r="BF1775" i="4"/>
  <c r="BF1776" i="4"/>
  <c r="BF1777" i="4"/>
  <c r="BF1778" i="4"/>
  <c r="BF1779" i="4"/>
  <c r="BF1780" i="4"/>
  <c r="BF1781" i="4"/>
  <c r="BF1782" i="4"/>
  <c r="BF1783" i="4"/>
  <c r="BF1784" i="4"/>
  <c r="BF1785" i="4"/>
  <c r="BF1786" i="4"/>
  <c r="BF1787" i="4"/>
  <c r="BF1788" i="4"/>
  <c r="BF1789" i="4"/>
  <c r="BF1790" i="4"/>
  <c r="BF1791" i="4"/>
  <c r="BF1792" i="4"/>
  <c r="BF1793" i="4"/>
  <c r="BF1794" i="4"/>
  <c r="BF1795" i="4"/>
  <c r="BF1796" i="4"/>
  <c r="BF1797" i="4"/>
  <c r="BF1798" i="4"/>
  <c r="BF1799" i="4"/>
  <c r="BF1800" i="4"/>
  <c r="BF1801" i="4"/>
  <c r="BF1802" i="4"/>
  <c r="BF1803" i="4"/>
  <c r="BF1804" i="4"/>
  <c r="BF1805" i="4"/>
  <c r="BF1806" i="4"/>
  <c r="BF1807" i="4"/>
  <c r="BF1808" i="4"/>
  <c r="BF1809" i="4"/>
  <c r="BF1810" i="4"/>
  <c r="BF1811" i="4"/>
  <c r="BF1812" i="4"/>
  <c r="BF1813" i="4"/>
  <c r="BF1814" i="4"/>
  <c r="BF1815" i="4"/>
  <c r="BF1816" i="4"/>
  <c r="BF1817" i="4"/>
  <c r="BF1818" i="4"/>
  <c r="BF1819" i="4"/>
  <c r="BF1820" i="4"/>
  <c r="BF1821" i="4"/>
  <c r="BF1822" i="4"/>
  <c r="BF1823" i="4"/>
  <c r="BF1824" i="4"/>
  <c r="BF1825" i="4"/>
  <c r="BF1826" i="4"/>
  <c r="BF1827" i="4"/>
  <c r="BF1828" i="4"/>
  <c r="BF1829" i="4"/>
  <c r="BF1830" i="4"/>
  <c r="BF1831" i="4"/>
  <c r="BF1832" i="4"/>
  <c r="BF1833" i="4"/>
  <c r="BF1834" i="4"/>
  <c r="BF1835" i="4"/>
  <c r="BF1836" i="4"/>
  <c r="BF1837" i="4"/>
  <c r="BF1838" i="4"/>
  <c r="BF1839" i="4"/>
  <c r="BF1840" i="4"/>
  <c r="BF1841" i="4"/>
  <c r="BF1842" i="4"/>
  <c r="BF1843" i="4"/>
  <c r="BF1844" i="4"/>
  <c r="BF1845" i="4"/>
  <c r="BF1846" i="4"/>
  <c r="BF1847" i="4"/>
  <c r="BF1848" i="4"/>
  <c r="BF1849" i="4"/>
  <c r="BF1850" i="4"/>
  <c r="BF1851" i="4"/>
  <c r="BF1852" i="4"/>
  <c r="BF1853" i="4"/>
  <c r="BF1854" i="4"/>
  <c r="BF1855" i="4"/>
  <c r="BF1856" i="4"/>
  <c r="BF1857" i="4"/>
  <c r="BF1858" i="4"/>
  <c r="BF1859" i="4"/>
  <c r="BF1860" i="4"/>
  <c r="BF1861" i="4"/>
  <c r="BF1862" i="4"/>
  <c r="BF1863" i="4"/>
  <c r="BF1864" i="4"/>
  <c r="BF1865" i="4"/>
  <c r="BF1866" i="4"/>
  <c r="BF1867" i="4"/>
  <c r="BF1868" i="4"/>
  <c r="BF1869" i="4"/>
  <c r="BF1870" i="4"/>
  <c r="BF1871" i="4"/>
  <c r="BF1872" i="4"/>
  <c r="BF1873" i="4"/>
  <c r="BF1874" i="4"/>
  <c r="BF1875" i="4"/>
  <c r="BF1876" i="4"/>
  <c r="BF1877" i="4"/>
  <c r="BF1878" i="4"/>
  <c r="BF1879" i="4"/>
  <c r="BF1880" i="4"/>
  <c r="BF1881" i="4"/>
  <c r="BF1882" i="4"/>
  <c r="BF1883" i="4"/>
  <c r="BF1884" i="4"/>
  <c r="BF1885" i="4"/>
  <c r="BF1886" i="4"/>
  <c r="BF1887" i="4"/>
  <c r="BF1888" i="4"/>
  <c r="BF1889" i="4"/>
  <c r="BF1890" i="4"/>
  <c r="BF1891" i="4"/>
  <c r="BF1892" i="4"/>
  <c r="BF1893" i="4"/>
  <c r="BF1894" i="4"/>
  <c r="BF1895" i="4"/>
  <c r="BF1896" i="4"/>
  <c r="BF1897" i="4"/>
  <c r="BF1898" i="4"/>
  <c r="BF1899" i="4"/>
  <c r="BF1900" i="4"/>
  <c r="BF1901" i="4"/>
  <c r="BF1902" i="4"/>
  <c r="BF1903" i="4"/>
  <c r="BF1904" i="4"/>
  <c r="BF1905" i="4"/>
  <c r="BF1906" i="4"/>
  <c r="BF1907" i="4"/>
  <c r="BF1908" i="4"/>
  <c r="BF1909" i="4"/>
  <c r="BF1910" i="4"/>
  <c r="BF1911" i="4"/>
  <c r="BF1912" i="4"/>
  <c r="BF1913" i="4"/>
  <c r="BF1914" i="4"/>
  <c r="BF1915" i="4"/>
  <c r="BF1916" i="4"/>
  <c r="BF1917" i="4"/>
  <c r="BF1918" i="4"/>
  <c r="BF1919" i="4"/>
  <c r="BF1920" i="4"/>
  <c r="BF1921" i="4"/>
  <c r="BF1922" i="4"/>
  <c r="BF1923" i="4"/>
  <c r="BF1924" i="4"/>
  <c r="BF1925" i="4"/>
  <c r="BF1926" i="4"/>
  <c r="BF1927" i="4"/>
  <c r="BF1928" i="4"/>
  <c r="BF1929" i="4"/>
  <c r="BF1930" i="4"/>
  <c r="BF1931" i="4"/>
  <c r="BF1932" i="4"/>
  <c r="BF1933" i="4"/>
  <c r="BF1934" i="4"/>
  <c r="BF1935" i="4"/>
  <c r="BF1936" i="4"/>
  <c r="BF1937" i="4"/>
  <c r="BF1938" i="4"/>
  <c r="BF1939" i="4"/>
  <c r="BF1940" i="4"/>
  <c r="BF1941" i="4"/>
  <c r="BF1942" i="4"/>
  <c r="BF1943" i="4"/>
  <c r="BF1944" i="4"/>
  <c r="BF1945" i="4"/>
  <c r="BF1946" i="4"/>
  <c r="BF1947" i="4"/>
  <c r="BF1948" i="4"/>
  <c r="BF1949" i="4"/>
  <c r="BF1950" i="4"/>
  <c r="BF1951" i="4"/>
  <c r="BF1952" i="4"/>
  <c r="BF1953" i="4"/>
  <c r="BF1954" i="4"/>
  <c r="BF1955" i="4"/>
  <c r="BF1956" i="4"/>
  <c r="BF1957" i="4"/>
  <c r="BF1958" i="4"/>
  <c r="BF1959" i="4"/>
  <c r="BF1960" i="4"/>
  <c r="BF1961" i="4"/>
  <c r="BF1962" i="4"/>
  <c r="BF1963" i="4"/>
  <c r="BF1964" i="4"/>
  <c r="BF1965" i="4"/>
  <c r="BF1966" i="4"/>
  <c r="BF1967" i="4"/>
  <c r="BF1968" i="4"/>
  <c r="BF1969" i="4"/>
  <c r="BF1970" i="4"/>
  <c r="BF1971" i="4"/>
  <c r="BF1972" i="4"/>
  <c r="BF1973" i="4"/>
  <c r="BF1974" i="4"/>
  <c r="BF1975" i="4"/>
  <c r="BF1976" i="4"/>
  <c r="BF1977" i="4"/>
  <c r="BF1978" i="4"/>
  <c r="BF1979" i="4"/>
  <c r="BF1980" i="4"/>
  <c r="BF1981" i="4"/>
  <c r="BF1982" i="4"/>
  <c r="BF1983" i="4"/>
  <c r="BF1984" i="4"/>
  <c r="BF1985" i="4"/>
  <c r="BF1986" i="4"/>
  <c r="BF1987" i="4"/>
  <c r="BF1988" i="4"/>
  <c r="BF1989" i="4"/>
  <c r="BF1990" i="4"/>
  <c r="BF1991" i="4"/>
  <c r="BF1992" i="4"/>
  <c r="BF1993" i="4"/>
  <c r="BF1994" i="4"/>
  <c r="BF1995" i="4"/>
  <c r="BF1996" i="4"/>
  <c r="BF1997" i="4"/>
  <c r="BF1998" i="4"/>
  <c r="BF1999" i="4"/>
  <c r="BF2000" i="4"/>
  <c r="BF2001" i="4"/>
  <c r="BF2002" i="4"/>
  <c r="BF2003" i="4"/>
  <c r="BF2004" i="4"/>
  <c r="BF2005" i="4"/>
  <c r="BF2006" i="4"/>
  <c r="BF2007" i="4"/>
  <c r="BF2008" i="4"/>
  <c r="BF2009" i="4"/>
  <c r="BF2010" i="4"/>
  <c r="BF2011" i="4"/>
  <c r="BF2012" i="4"/>
  <c r="BF2013" i="4"/>
  <c r="BF2014" i="4"/>
  <c r="BF2015" i="4"/>
  <c r="BF2016" i="4"/>
  <c r="BF2017" i="4"/>
  <c r="BF2018" i="4"/>
  <c r="BF2019" i="4"/>
  <c r="BF2020" i="4"/>
  <c r="BF2021" i="4"/>
  <c r="BF2022" i="4"/>
  <c r="BF2023" i="4"/>
  <c r="BF2024" i="4"/>
  <c r="BF2025" i="4"/>
  <c r="BF2026" i="4"/>
  <c r="BF2027" i="4"/>
  <c r="BF2028" i="4"/>
  <c r="BF2029" i="4"/>
  <c r="BF2030" i="4"/>
  <c r="BF2031" i="4"/>
  <c r="BF2032" i="4"/>
  <c r="BF2033" i="4"/>
  <c r="BF2034" i="4"/>
  <c r="BF2035" i="4"/>
  <c r="BF2036" i="4"/>
  <c r="BF2037" i="4"/>
  <c r="BF2038" i="4"/>
  <c r="BF2039" i="4"/>
  <c r="BF2040" i="4"/>
  <c r="BF2041" i="4"/>
  <c r="BF2042" i="4"/>
  <c r="BF2043" i="4"/>
  <c r="BF2044" i="4"/>
  <c r="BF2045" i="4"/>
  <c r="BF2046" i="4"/>
  <c r="BF2047" i="4"/>
  <c r="BF2048" i="4"/>
  <c r="BF2049" i="4"/>
  <c r="BF2050" i="4"/>
  <c r="BF2051" i="4"/>
  <c r="BF2052" i="4"/>
  <c r="BF2053" i="4"/>
  <c r="BF2054" i="4"/>
  <c r="BF2055" i="4"/>
  <c r="BF2056" i="4"/>
  <c r="BF2057" i="4"/>
  <c r="BF2058" i="4"/>
  <c r="BF2059" i="4"/>
  <c r="BF2060" i="4"/>
  <c r="BF2061" i="4"/>
  <c r="BF2062" i="4"/>
  <c r="BF2063" i="4"/>
  <c r="BF2064" i="4"/>
  <c r="BF2065" i="4"/>
  <c r="BF2066" i="4"/>
  <c r="BF2067" i="4"/>
  <c r="BF2068" i="4"/>
  <c r="BF2069" i="4"/>
  <c r="BF2070" i="4"/>
  <c r="BF2071" i="4"/>
  <c r="BF2072" i="4"/>
  <c r="BF2073" i="4"/>
  <c r="BF2074" i="4"/>
  <c r="BF2075" i="4"/>
  <c r="BF2076" i="4"/>
  <c r="BF2077" i="4"/>
  <c r="BF2078" i="4"/>
  <c r="BF2079" i="4"/>
  <c r="BF2080" i="4"/>
  <c r="BF2081" i="4"/>
  <c r="BF2082" i="4"/>
  <c r="BF2083" i="4"/>
  <c r="BF2084" i="4"/>
  <c r="BF2085" i="4"/>
  <c r="BF2086" i="4"/>
  <c r="BF2087" i="4"/>
  <c r="BF2088" i="4"/>
  <c r="BF2089" i="4"/>
  <c r="BF2090" i="4"/>
  <c r="BF2091" i="4"/>
  <c r="BF2092" i="4"/>
  <c r="BF2093" i="4"/>
  <c r="BF2094" i="4"/>
  <c r="BF2095" i="4"/>
  <c r="BF2096" i="4"/>
  <c r="BF2097" i="4"/>
  <c r="BF2098" i="4"/>
  <c r="BF2099" i="4"/>
  <c r="BF2100" i="4"/>
  <c r="BF2101" i="4"/>
  <c r="BF2102" i="4"/>
  <c r="BF2103" i="4"/>
  <c r="BF2104" i="4"/>
  <c r="BF2105" i="4"/>
  <c r="BF2106" i="4"/>
  <c r="BF2107" i="4"/>
  <c r="BF2108" i="4"/>
  <c r="BF2109" i="4"/>
  <c r="BF2110" i="4"/>
  <c r="BF2111" i="4"/>
  <c r="BF2112" i="4"/>
  <c r="BF2113" i="4"/>
  <c r="BF2114" i="4"/>
  <c r="BF2115" i="4"/>
  <c r="BF2116" i="4"/>
  <c r="BF2117" i="4"/>
  <c r="BF2118" i="4"/>
  <c r="BF2119" i="4"/>
  <c r="BF2120" i="4"/>
  <c r="BF2121" i="4"/>
  <c r="BF2122" i="4"/>
  <c r="BF2123" i="4"/>
  <c r="BF2124" i="4"/>
  <c r="BF2125" i="4"/>
  <c r="BF2126" i="4"/>
  <c r="BF2127" i="4"/>
  <c r="BF2128" i="4"/>
  <c r="BF2129" i="4"/>
  <c r="BF2130" i="4"/>
  <c r="BF2131" i="4"/>
  <c r="BF2132" i="4"/>
  <c r="BF2133" i="4"/>
  <c r="BF2134" i="4"/>
  <c r="BF2135" i="4"/>
  <c r="BF2136" i="4"/>
  <c r="BF2137" i="4"/>
  <c r="BF2138" i="4"/>
  <c r="BF2139" i="4"/>
  <c r="BF2140" i="4"/>
  <c r="BF2141" i="4"/>
  <c r="BF2142" i="4"/>
  <c r="BF2143" i="4"/>
  <c r="BF2144" i="4"/>
  <c r="BF2145" i="4"/>
  <c r="BF2146" i="4"/>
  <c r="BF2147" i="4"/>
  <c r="BF2148" i="4"/>
  <c r="BF2149" i="4"/>
  <c r="BF2150" i="4"/>
  <c r="BF2151" i="4"/>
  <c r="BF2152" i="4"/>
  <c r="BF2153" i="4"/>
  <c r="BF2154" i="4"/>
  <c r="BF2155" i="4"/>
  <c r="BF2156" i="4"/>
  <c r="BF2157" i="4"/>
  <c r="BF2158" i="4"/>
  <c r="BF2159" i="4"/>
  <c r="BF2160" i="4"/>
  <c r="BF2161" i="4"/>
  <c r="BF2162" i="4"/>
  <c r="BF2163" i="4"/>
  <c r="BF2164" i="4"/>
  <c r="BF2165" i="4"/>
  <c r="BF2166" i="4"/>
  <c r="BF2167" i="4"/>
  <c r="BF2168" i="4"/>
  <c r="BF2169" i="4"/>
  <c r="BF2170" i="4"/>
  <c r="BF2171" i="4"/>
  <c r="BF2172" i="4"/>
  <c r="BF2173" i="4"/>
  <c r="BF2174" i="4"/>
  <c r="BF2175" i="4"/>
  <c r="BF2176" i="4"/>
  <c r="BF2177" i="4"/>
  <c r="BF2178" i="4"/>
  <c r="BF2179" i="4"/>
  <c r="BF2180" i="4"/>
  <c r="BF2181" i="4"/>
  <c r="BF2182" i="4"/>
  <c r="BF2183" i="4"/>
  <c r="BF2184" i="4"/>
  <c r="BF2185" i="4"/>
  <c r="BF2186" i="4"/>
  <c r="BF2187" i="4"/>
  <c r="BF2188" i="4"/>
  <c r="BF2189" i="4"/>
  <c r="BF2190" i="4"/>
  <c r="BF2191" i="4"/>
  <c r="BF2192" i="4"/>
  <c r="BF2193" i="4"/>
  <c r="BF2194" i="4"/>
  <c r="BF2195" i="4"/>
  <c r="BF2196" i="4"/>
  <c r="BF2197" i="4"/>
  <c r="BF2198" i="4"/>
  <c r="BF2199" i="4"/>
  <c r="BF2200" i="4"/>
  <c r="BF2201" i="4"/>
  <c r="BF2202" i="4"/>
  <c r="BF2203" i="4"/>
  <c r="BF2204" i="4"/>
  <c r="BF2205" i="4"/>
  <c r="BF2206" i="4"/>
  <c r="BF2207" i="4"/>
  <c r="BF2208" i="4"/>
  <c r="BF2209" i="4"/>
  <c r="BF2210" i="4"/>
  <c r="BF2211" i="4"/>
  <c r="BF2212" i="4"/>
  <c r="BF2213" i="4"/>
  <c r="BF2214" i="4"/>
  <c r="BF2215" i="4"/>
  <c r="BF2216" i="4"/>
  <c r="BF2217" i="4"/>
  <c r="BF2218" i="4"/>
  <c r="BF2219" i="4"/>
  <c r="BF2220" i="4"/>
  <c r="BF2221" i="4"/>
  <c r="BF2222" i="4"/>
  <c r="BF2223" i="4"/>
  <c r="BF2224" i="4"/>
  <c r="BF2225" i="4"/>
  <c r="BF2226" i="4"/>
  <c r="BF2227" i="4"/>
  <c r="BF2228" i="4"/>
  <c r="BF2229" i="4"/>
  <c r="BF2230" i="4"/>
  <c r="BF2231" i="4"/>
  <c r="BF2232" i="4"/>
  <c r="BF2233" i="4"/>
  <c r="BF2234" i="4"/>
  <c r="BF2235" i="4"/>
  <c r="BF2236" i="4"/>
  <c r="BF2237" i="4"/>
  <c r="BF2238" i="4"/>
  <c r="BF2239" i="4"/>
  <c r="BF2240" i="4"/>
  <c r="BF2241" i="4"/>
  <c r="BF2242" i="4"/>
  <c r="BF2243" i="4"/>
  <c r="BF2244" i="4"/>
  <c r="BF2245" i="4"/>
  <c r="BF2246" i="4"/>
  <c r="BF2247" i="4"/>
  <c r="BF2248" i="4"/>
  <c r="BF2249" i="4"/>
  <c r="BF2250" i="4"/>
  <c r="BF2251" i="4"/>
  <c r="BF2252" i="4"/>
  <c r="BF2253" i="4"/>
  <c r="BF2254" i="4"/>
  <c r="BF2255" i="4"/>
  <c r="BF2256" i="4"/>
  <c r="BF2257" i="4"/>
  <c r="BF2258" i="4"/>
  <c r="BF2259" i="4"/>
  <c r="BF2260" i="4"/>
  <c r="BF2261" i="4"/>
  <c r="BF2262" i="4"/>
  <c r="BF2263" i="4"/>
  <c r="BF2264" i="4"/>
  <c r="BF2265" i="4"/>
  <c r="BF2266" i="4"/>
  <c r="BF2267" i="4"/>
  <c r="BF2268" i="4"/>
  <c r="BF2269" i="4"/>
  <c r="BF2270" i="4"/>
  <c r="BF2271" i="4"/>
  <c r="BF2272" i="4"/>
  <c r="BF2273" i="4"/>
  <c r="BF2274" i="4"/>
  <c r="BF2275" i="4"/>
  <c r="BF2276" i="4"/>
  <c r="BF2277" i="4"/>
  <c r="BF2278" i="4"/>
  <c r="BF2279" i="4"/>
  <c r="BF2280" i="4"/>
  <c r="BF2281" i="4"/>
  <c r="BF2282" i="4"/>
  <c r="BF2283" i="4"/>
  <c r="BF2284" i="4"/>
  <c r="BF2285" i="4"/>
  <c r="BF2286" i="4"/>
  <c r="BF2287" i="4"/>
  <c r="BF2288" i="4"/>
  <c r="BF2289" i="4"/>
  <c r="BF2290" i="4"/>
  <c r="BF2291" i="4"/>
  <c r="BF2292" i="4"/>
  <c r="BF2293" i="4"/>
  <c r="BF2294" i="4"/>
  <c r="BF2295" i="4"/>
  <c r="BF2296" i="4"/>
  <c r="BF2297" i="4"/>
  <c r="BF2298" i="4"/>
  <c r="BF2299" i="4"/>
  <c r="BF2300" i="4"/>
  <c r="BF2301" i="4"/>
  <c r="BF2302" i="4"/>
  <c r="BF2303" i="4"/>
  <c r="BF2304" i="4"/>
  <c r="BF2305" i="4"/>
  <c r="BF2306" i="4"/>
  <c r="BF2307" i="4"/>
  <c r="BF2308" i="4"/>
  <c r="BF2309" i="4"/>
  <c r="BF2310" i="4"/>
  <c r="BF2311" i="4"/>
  <c r="BF2312" i="4"/>
  <c r="BF2313" i="4"/>
  <c r="BF2314" i="4"/>
  <c r="BF2315" i="4"/>
  <c r="BF2316" i="4"/>
  <c r="BF2317" i="4"/>
  <c r="BF2318" i="4"/>
  <c r="BF2319" i="4"/>
  <c r="BF2320" i="4"/>
  <c r="BF2321" i="4"/>
  <c r="BF2322" i="4"/>
  <c r="BF2323" i="4"/>
  <c r="BF2324" i="4"/>
  <c r="BF2325" i="4"/>
  <c r="BF2326" i="4"/>
  <c r="BF2327" i="4"/>
  <c r="BF2328" i="4"/>
  <c r="BF2329" i="4"/>
  <c r="BF2330" i="4"/>
  <c r="BF2331" i="4"/>
  <c r="BF2332" i="4"/>
  <c r="BF2333" i="4"/>
  <c r="BF2334" i="4"/>
  <c r="BF2335" i="4"/>
  <c r="BF2336" i="4"/>
  <c r="BF2337" i="4"/>
  <c r="BF2338" i="4"/>
  <c r="BF2339" i="4"/>
  <c r="BF2340" i="4"/>
  <c r="BF2341" i="4"/>
  <c r="BF2342" i="4"/>
  <c r="BF2343" i="4"/>
  <c r="BF2344" i="4"/>
  <c r="BF2345" i="4"/>
  <c r="BF2346" i="4"/>
  <c r="BF2347" i="4"/>
  <c r="BF2348" i="4"/>
  <c r="BF2349" i="4"/>
  <c r="BF2350" i="4"/>
  <c r="BF2351" i="4"/>
  <c r="BF2352" i="4"/>
  <c r="BF2353" i="4"/>
  <c r="BF2354" i="4"/>
  <c r="BF2355" i="4"/>
  <c r="BF2356" i="4"/>
  <c r="BF2357" i="4"/>
  <c r="BF2358" i="4"/>
  <c r="BF2359" i="4"/>
  <c r="BF2360" i="4"/>
  <c r="BF2361" i="4"/>
  <c r="BF2362" i="4"/>
  <c r="BF2363" i="4"/>
  <c r="BF2364" i="4"/>
  <c r="BF2365" i="4"/>
  <c r="BF2366" i="4"/>
  <c r="BF2367" i="4"/>
  <c r="BF2368" i="4"/>
  <c r="BF2369" i="4"/>
  <c r="BF2370" i="4"/>
  <c r="BF2371" i="4"/>
  <c r="BF2372" i="4"/>
  <c r="BF2373" i="4"/>
  <c r="BF2374" i="4"/>
  <c r="BF2375" i="4"/>
  <c r="BF2376" i="4"/>
  <c r="BF2377" i="4"/>
  <c r="BF2378" i="4"/>
  <c r="BF2379" i="4"/>
  <c r="BF2380" i="4"/>
  <c r="BF2381" i="4"/>
  <c r="BF2382" i="4"/>
  <c r="BF2383" i="4"/>
  <c r="BF2384" i="4"/>
  <c r="BF2385" i="4"/>
  <c r="BF2386" i="4"/>
  <c r="BF2387" i="4"/>
  <c r="BF2388" i="4"/>
  <c r="BF2389" i="4"/>
  <c r="BF2390" i="4"/>
  <c r="BF2391" i="4"/>
  <c r="BF2392" i="4"/>
  <c r="BF2393" i="4"/>
  <c r="BF2394" i="4"/>
  <c r="BF2395" i="4"/>
  <c r="BF2396" i="4"/>
  <c r="BF2397" i="4"/>
  <c r="BF2398" i="4"/>
  <c r="BF2399" i="4"/>
  <c r="BF2400" i="4"/>
  <c r="BF2401" i="4"/>
  <c r="BF2402" i="4"/>
  <c r="BF2403" i="4"/>
  <c r="BF2404" i="4"/>
  <c r="BF2405" i="4"/>
  <c r="BF2406" i="4"/>
  <c r="BF2407" i="4"/>
  <c r="BF2408" i="4"/>
  <c r="BF2409" i="4"/>
  <c r="BF2410" i="4"/>
  <c r="BF2411" i="4"/>
  <c r="BF2412" i="4"/>
  <c r="BF2413" i="4"/>
  <c r="BF2414" i="4"/>
  <c r="BF2415" i="4"/>
  <c r="BF2416" i="4"/>
  <c r="BF2417" i="4"/>
  <c r="BF2418" i="4"/>
  <c r="BF2419" i="4"/>
  <c r="BF2420" i="4"/>
  <c r="BF2421" i="4"/>
  <c r="BF2422" i="4"/>
  <c r="BF2423" i="4"/>
  <c r="BF2424" i="4"/>
  <c r="BF2425" i="4"/>
  <c r="BF2426" i="4"/>
  <c r="BF2427" i="4"/>
  <c r="BF2428" i="4"/>
  <c r="BF2429" i="4"/>
  <c r="BF2430" i="4"/>
  <c r="BF2431" i="4"/>
  <c r="BF2432" i="4"/>
  <c r="BF2433" i="4"/>
  <c r="BF2434" i="4"/>
  <c r="BF2435" i="4"/>
  <c r="BF2436" i="4"/>
  <c r="BF2437" i="4"/>
  <c r="BF2438" i="4"/>
  <c r="BF2439" i="4"/>
  <c r="BF2440" i="4"/>
  <c r="BF2441" i="4"/>
  <c r="BF2442" i="4"/>
  <c r="BF2443" i="4"/>
  <c r="BF2444" i="4"/>
  <c r="BF2445" i="4"/>
  <c r="BF2446" i="4"/>
  <c r="BF2447" i="4"/>
  <c r="BF2448" i="4"/>
  <c r="BF2449" i="4"/>
  <c r="BF2450" i="4"/>
  <c r="BF2451" i="4"/>
  <c r="BF2452" i="4"/>
  <c r="BF2453" i="4"/>
  <c r="BF2454" i="4"/>
  <c r="BF2455" i="4"/>
  <c r="BF2456" i="4"/>
  <c r="BF2457" i="4"/>
  <c r="BF2458" i="4"/>
  <c r="BF2459" i="4"/>
  <c r="BF2460" i="4"/>
  <c r="BF2461" i="4"/>
  <c r="BF2462" i="4"/>
  <c r="BF2463" i="4"/>
  <c r="BF2464" i="4"/>
  <c r="BF2465" i="4"/>
  <c r="BF2466" i="4"/>
  <c r="BF2467" i="4"/>
  <c r="BF2468" i="4"/>
  <c r="BF2469" i="4"/>
  <c r="BF2470" i="4"/>
  <c r="BF2471" i="4"/>
  <c r="BF2472" i="4"/>
  <c r="BF2473" i="4"/>
  <c r="BF2474" i="4"/>
  <c r="BF2475" i="4"/>
  <c r="BF2476" i="4"/>
  <c r="BF2477" i="4"/>
  <c r="BF2478" i="4"/>
  <c r="BF2479" i="4"/>
  <c r="BF2480" i="4"/>
  <c r="BF2481" i="4"/>
  <c r="BF2482" i="4"/>
  <c r="BF2483" i="4"/>
  <c r="BF2484" i="4"/>
  <c r="BF2485" i="4"/>
  <c r="BF2486" i="4"/>
  <c r="BF2487" i="4"/>
  <c r="BF2488" i="4"/>
  <c r="BF2489" i="4"/>
  <c r="BF2490" i="4"/>
  <c r="BF2491" i="4"/>
  <c r="BF2492" i="4"/>
  <c r="BF2493" i="4"/>
  <c r="BF2494" i="4"/>
  <c r="BF2495" i="4"/>
  <c r="BF2496" i="4"/>
  <c r="BF2497" i="4"/>
  <c r="BF2498" i="4"/>
  <c r="BF2499" i="4"/>
  <c r="BF2500" i="4"/>
  <c r="BF2501" i="4"/>
  <c r="BF2502" i="4"/>
  <c r="BF2503" i="4"/>
  <c r="BF2504" i="4"/>
  <c r="BF2505" i="4"/>
  <c r="BF2506" i="4"/>
  <c r="BF2507" i="4"/>
  <c r="BF2508" i="4"/>
  <c r="BF2509" i="4"/>
  <c r="BF2510" i="4"/>
  <c r="BF2511" i="4"/>
  <c r="BF2512" i="4"/>
  <c r="BF2513" i="4"/>
  <c r="BF2514" i="4"/>
  <c r="BF2515" i="4"/>
  <c r="BF2516" i="4"/>
  <c r="BF2517" i="4"/>
  <c r="BF2518" i="4"/>
  <c r="BF2519" i="4"/>
  <c r="BF2520" i="4"/>
  <c r="BF2521" i="4"/>
  <c r="BF2522" i="4"/>
  <c r="BF2523" i="4"/>
  <c r="BF2524" i="4"/>
  <c r="BF2525" i="4"/>
  <c r="BF2526" i="4"/>
  <c r="BF2527" i="4"/>
  <c r="BF2528" i="4"/>
  <c r="BF2529" i="4"/>
  <c r="BF2530" i="4"/>
  <c r="BF2531" i="4"/>
  <c r="BF2532" i="4"/>
  <c r="BF2533" i="4"/>
  <c r="BF2534" i="4"/>
  <c r="BF2535" i="4"/>
  <c r="BF2536" i="4"/>
  <c r="BF2537" i="4"/>
  <c r="BF2538" i="4"/>
  <c r="BF2539" i="4"/>
  <c r="BF2540" i="4"/>
  <c r="BF2541" i="4"/>
  <c r="BF2542" i="4"/>
  <c r="BF2543" i="4"/>
  <c r="BF2544" i="4"/>
  <c r="BF2545" i="4"/>
  <c r="BF2546" i="4"/>
  <c r="BF2547" i="4"/>
  <c r="BF2548" i="4"/>
  <c r="BF2549" i="4"/>
  <c r="BF2550" i="4"/>
  <c r="BF2551" i="4"/>
  <c r="BF2552" i="4"/>
  <c r="BF2553" i="4"/>
  <c r="BF2554" i="4"/>
  <c r="BF2555" i="4"/>
  <c r="BF2556" i="4"/>
  <c r="BF2557" i="4"/>
  <c r="BF2558" i="4"/>
  <c r="BF2559" i="4"/>
  <c r="BF2560" i="4"/>
  <c r="BF2561" i="4"/>
  <c r="BF2562" i="4"/>
  <c r="BF2563" i="4"/>
  <c r="BF2564" i="4"/>
  <c r="BF2565" i="4"/>
  <c r="BF2566" i="4"/>
  <c r="BF2567" i="4"/>
  <c r="BF2568" i="4"/>
  <c r="BF2569" i="4"/>
  <c r="BF2570" i="4"/>
  <c r="BF2571" i="4"/>
  <c r="BF2572" i="4"/>
  <c r="BF2573" i="4"/>
  <c r="BF2574" i="4"/>
  <c r="BF2575" i="4"/>
  <c r="BF2576" i="4"/>
  <c r="BF2577" i="4"/>
  <c r="BF2578" i="4"/>
  <c r="BF2579" i="4"/>
  <c r="BF2580" i="4"/>
  <c r="BF2581" i="4"/>
  <c r="BF2582" i="4"/>
  <c r="BF2583" i="4"/>
  <c r="BF2584" i="4"/>
  <c r="BF2585" i="4"/>
  <c r="BF2586" i="4"/>
  <c r="BF2587" i="4"/>
  <c r="BF2588" i="4"/>
  <c r="BF2589" i="4"/>
  <c r="BF2590" i="4"/>
  <c r="BF2591" i="4"/>
  <c r="BF2592" i="4"/>
  <c r="BF2593" i="4"/>
  <c r="BF2594" i="4"/>
  <c r="BF2595" i="4"/>
  <c r="BF2596" i="4"/>
  <c r="BF2597" i="4"/>
  <c r="BF2598" i="4"/>
  <c r="BF2599" i="4"/>
  <c r="BF2600" i="4"/>
  <c r="BF2601" i="4"/>
  <c r="BF2602" i="4"/>
  <c r="BF2603" i="4"/>
  <c r="BF2604" i="4"/>
  <c r="BF2605" i="4"/>
  <c r="BF2606" i="4"/>
  <c r="BF2607" i="4"/>
  <c r="BF2608" i="4"/>
  <c r="BF2609" i="4"/>
  <c r="BF2610" i="4"/>
  <c r="BF2611" i="4"/>
  <c r="BF2612" i="4"/>
  <c r="BF2613" i="4"/>
  <c r="BF2614" i="4"/>
  <c r="BF2615" i="4"/>
  <c r="BF2616" i="4"/>
  <c r="BF2617" i="4"/>
  <c r="BF2618" i="4"/>
  <c r="BF2619" i="4"/>
  <c r="BF2620" i="4"/>
  <c r="BF2621" i="4"/>
  <c r="BF2622" i="4"/>
  <c r="BF2623" i="4"/>
  <c r="BF2624" i="4"/>
  <c r="BF2625" i="4"/>
  <c r="BF2626" i="4"/>
  <c r="BF2627" i="4"/>
  <c r="BF2628" i="4"/>
  <c r="BF2629" i="4"/>
  <c r="BF2630" i="4"/>
  <c r="BF2631" i="4"/>
  <c r="BF2632" i="4"/>
  <c r="BF2633" i="4"/>
  <c r="BF2634" i="4"/>
  <c r="BF2635" i="4"/>
  <c r="BF2636" i="4"/>
  <c r="BF2637" i="4"/>
  <c r="BF2638" i="4"/>
  <c r="BF2639" i="4"/>
  <c r="BF2640" i="4"/>
  <c r="BF2641" i="4"/>
  <c r="BF2642" i="4"/>
  <c r="BF2643" i="4"/>
  <c r="BF2644" i="4"/>
  <c r="BF2645" i="4"/>
  <c r="BF2646" i="4"/>
  <c r="BF2647" i="4"/>
  <c r="BF2648" i="4"/>
  <c r="BF2649" i="4"/>
  <c r="BF2650" i="4"/>
  <c r="BF2651" i="4"/>
  <c r="BF2652" i="4"/>
  <c r="BF2653" i="4"/>
  <c r="BF2654" i="4"/>
  <c r="BF2655" i="4"/>
  <c r="BF2656" i="4"/>
  <c r="BF2657" i="4"/>
  <c r="BF2658" i="4"/>
  <c r="BF2659" i="4"/>
  <c r="BF2660" i="4"/>
  <c r="BF2661" i="4"/>
  <c r="BF2662" i="4"/>
  <c r="BF2663" i="4"/>
  <c r="BF2664" i="4"/>
  <c r="BF2665" i="4"/>
  <c r="BF2666" i="4"/>
  <c r="BF2667" i="4"/>
  <c r="BF2668" i="4"/>
  <c r="BF2669" i="4"/>
  <c r="BF2670" i="4"/>
  <c r="BF2671" i="4"/>
  <c r="BF2672" i="4"/>
  <c r="BF2673" i="4"/>
  <c r="BF2674" i="4"/>
  <c r="BF2675" i="4"/>
  <c r="BF2676" i="4"/>
  <c r="BF2677" i="4"/>
  <c r="BF2678" i="4"/>
  <c r="BF2679" i="4"/>
  <c r="BF2680" i="4"/>
  <c r="BF2681" i="4"/>
  <c r="BF2682" i="4"/>
  <c r="BF2683" i="4"/>
  <c r="BF2684" i="4"/>
  <c r="BF2685" i="4"/>
  <c r="BF2686" i="4"/>
  <c r="BF2687" i="4"/>
  <c r="BF2688" i="4"/>
  <c r="BF2689" i="4"/>
  <c r="BF2690" i="4"/>
  <c r="BF2691" i="4"/>
  <c r="BF2692" i="4"/>
  <c r="BF2693" i="4"/>
  <c r="BF2694" i="4"/>
  <c r="BF2695" i="4"/>
  <c r="BF2696" i="4"/>
  <c r="BF2697" i="4"/>
  <c r="BF2698" i="4"/>
  <c r="BF2699" i="4"/>
  <c r="BF2700" i="4"/>
  <c r="BF2701" i="4"/>
  <c r="BF2702" i="4"/>
  <c r="BF2703" i="4"/>
  <c r="BF2704" i="4"/>
  <c r="BF2705" i="4"/>
  <c r="BF2706" i="4"/>
  <c r="BF2707" i="4"/>
  <c r="BF2708" i="4"/>
  <c r="BF2709" i="4"/>
  <c r="BF2710" i="4"/>
  <c r="BF2711" i="4"/>
  <c r="BF2712" i="4"/>
  <c r="BF2713" i="4"/>
  <c r="BF2714" i="4"/>
  <c r="BF2715" i="4"/>
  <c r="BF2716" i="4"/>
  <c r="BF2717" i="4"/>
  <c r="BF2718" i="4"/>
  <c r="BF2719" i="4"/>
  <c r="BF2720" i="4"/>
  <c r="BF2721" i="4"/>
  <c r="BF2722" i="4"/>
  <c r="BF2723" i="4"/>
  <c r="BF2724" i="4"/>
  <c r="BF2725" i="4"/>
  <c r="BF2726" i="4"/>
  <c r="BF2727" i="4"/>
  <c r="BF2728" i="4"/>
  <c r="BF2729" i="4"/>
  <c r="BF2730" i="4"/>
  <c r="BF2731" i="4"/>
  <c r="BF2732" i="4"/>
  <c r="BF2733" i="4"/>
  <c r="BF2734" i="4"/>
  <c r="BF2735" i="4"/>
  <c r="BF2736" i="4"/>
  <c r="BF2737" i="4"/>
  <c r="BF2738" i="4"/>
  <c r="BF2739" i="4"/>
  <c r="BF2740" i="4"/>
  <c r="BF2741" i="4"/>
  <c r="BF2742" i="4"/>
  <c r="BF2743" i="4"/>
  <c r="BF2744" i="4"/>
  <c r="BF2745" i="4"/>
  <c r="BF2746" i="4"/>
  <c r="BF2747" i="4"/>
  <c r="BF2748" i="4"/>
  <c r="BF2749" i="4"/>
  <c r="BF2750" i="4"/>
  <c r="BF2751" i="4"/>
  <c r="BF2752" i="4"/>
  <c r="BF2753" i="4"/>
  <c r="BF2754" i="4"/>
  <c r="BF2755" i="4"/>
  <c r="BF2756" i="4"/>
  <c r="BF2757" i="4"/>
  <c r="BF2758" i="4"/>
  <c r="BF2759" i="4"/>
  <c r="BF2760" i="4"/>
  <c r="BF2761" i="4"/>
  <c r="BF2762" i="4"/>
  <c r="BF2763" i="4"/>
  <c r="BF2764" i="4"/>
  <c r="BF2765" i="4"/>
  <c r="BF2766" i="4"/>
  <c r="BF2767" i="4"/>
  <c r="BF2768" i="4"/>
  <c r="BF2769" i="4"/>
  <c r="BF2770" i="4"/>
  <c r="BF2771" i="4"/>
  <c r="BF2772" i="4"/>
  <c r="BF2773" i="4"/>
  <c r="BF2774" i="4"/>
  <c r="BF2775" i="4"/>
  <c r="BF2776" i="4"/>
  <c r="BF2777" i="4"/>
  <c r="BF2778" i="4"/>
  <c r="BF2779" i="4"/>
  <c r="BF2780" i="4"/>
  <c r="BF2781" i="4"/>
  <c r="BF2782" i="4"/>
  <c r="BF2783" i="4"/>
  <c r="BF2784" i="4"/>
  <c r="BF2785" i="4"/>
  <c r="BF2786" i="4"/>
  <c r="BF2787" i="4"/>
  <c r="BF2788" i="4"/>
  <c r="BF2789" i="4"/>
  <c r="BF2790" i="4"/>
  <c r="BF2791" i="4"/>
  <c r="BF2792" i="4"/>
  <c r="BF2793" i="4"/>
  <c r="BF2794" i="4"/>
  <c r="BF2795" i="4"/>
  <c r="BF2796" i="4"/>
  <c r="BF2797" i="4"/>
  <c r="BF2798" i="4"/>
  <c r="BF2799" i="4"/>
  <c r="BF2800" i="4"/>
  <c r="BF2801" i="4"/>
  <c r="BF2802" i="4"/>
  <c r="BF2803" i="4"/>
  <c r="BF2804" i="4"/>
  <c r="BF2805" i="4"/>
  <c r="BF2806" i="4"/>
  <c r="BF2807" i="4"/>
  <c r="BF2808" i="4"/>
  <c r="BF2809" i="4"/>
  <c r="BF2810" i="4"/>
  <c r="BF2811" i="4"/>
  <c r="BF2812" i="4"/>
  <c r="BF2813" i="4"/>
  <c r="BF2814" i="4"/>
  <c r="BF2815" i="4"/>
  <c r="BF2816" i="4"/>
  <c r="BF2817" i="4"/>
  <c r="BF2818" i="4"/>
  <c r="BF2819" i="4"/>
  <c r="BF2820" i="4"/>
  <c r="BF2821" i="4"/>
  <c r="BF2822" i="4"/>
  <c r="BF2823" i="4"/>
  <c r="BF2824" i="4"/>
  <c r="BF2825" i="4"/>
  <c r="BF2826" i="4"/>
  <c r="BF2827" i="4"/>
  <c r="BF2828" i="4"/>
  <c r="BF2829" i="4"/>
  <c r="BF2830" i="4"/>
  <c r="BF2831" i="4"/>
  <c r="BF2832" i="4"/>
  <c r="BF2833" i="4"/>
  <c r="BF2834" i="4"/>
  <c r="BF2835" i="4"/>
  <c r="BF2836" i="4"/>
  <c r="BF2837" i="4"/>
  <c r="BF2838" i="4"/>
  <c r="BF2839" i="4"/>
  <c r="BF2840" i="4"/>
  <c r="BF2841" i="4"/>
  <c r="BF2842" i="4"/>
  <c r="BF2843" i="4"/>
  <c r="BF2844" i="4"/>
  <c r="BF2845" i="4"/>
  <c r="BF2846" i="4"/>
  <c r="BF2847" i="4"/>
  <c r="BF2848" i="4"/>
  <c r="BF2849" i="4"/>
  <c r="BF2850" i="4"/>
  <c r="BF2851" i="4"/>
  <c r="BF2852" i="4"/>
  <c r="BF2853" i="4"/>
  <c r="BF2854" i="4"/>
  <c r="BF2855" i="4"/>
  <c r="BF2856" i="4"/>
  <c r="BF2857" i="4"/>
  <c r="BF2858" i="4"/>
  <c r="BF2859" i="4"/>
  <c r="BF2860" i="4"/>
  <c r="BF2861" i="4"/>
  <c r="BF2862" i="4"/>
  <c r="BF2863" i="4"/>
  <c r="BF2864" i="4"/>
  <c r="BF2865" i="4"/>
  <c r="BF2866" i="4"/>
  <c r="BF2867" i="4"/>
  <c r="BF2868" i="4"/>
  <c r="BF2869" i="4"/>
  <c r="BF2870" i="4"/>
  <c r="BF2871" i="4"/>
  <c r="BF2872" i="4"/>
  <c r="BF2873" i="4"/>
  <c r="BF2874" i="4"/>
  <c r="BF2875" i="4"/>
  <c r="BF2876" i="4"/>
  <c r="BF2877" i="4"/>
  <c r="BF2878" i="4"/>
  <c r="BF2879" i="4"/>
  <c r="BF2880" i="4"/>
  <c r="BF2881" i="4"/>
  <c r="BF2882" i="4"/>
  <c r="BF2883" i="4"/>
  <c r="BF2884" i="4"/>
  <c r="BF2885" i="4"/>
  <c r="BF2886" i="4"/>
  <c r="BF2887" i="4"/>
  <c r="BF2888" i="4"/>
  <c r="BF2889" i="4"/>
  <c r="BF2890" i="4"/>
  <c r="BF2891" i="4"/>
  <c r="BF2892" i="4"/>
  <c r="BF2893" i="4"/>
  <c r="BF2894" i="4"/>
  <c r="BF2895" i="4"/>
  <c r="BF2896" i="4"/>
  <c r="BF2897" i="4"/>
  <c r="BF2898" i="4"/>
  <c r="BF2899" i="4"/>
  <c r="BF2900" i="4"/>
  <c r="BF2901" i="4"/>
  <c r="BF2902" i="4"/>
  <c r="BF2903" i="4"/>
  <c r="BF2904" i="4"/>
  <c r="BF2905" i="4"/>
  <c r="BF2906" i="4"/>
  <c r="BF2907" i="4"/>
  <c r="BF2908" i="4"/>
  <c r="BF2909" i="4"/>
  <c r="BF2910" i="4"/>
  <c r="BF2911" i="4"/>
  <c r="BF2912" i="4"/>
  <c r="BF2913" i="4"/>
  <c r="BF2914" i="4"/>
  <c r="BF2915" i="4"/>
  <c r="BF2916" i="4"/>
  <c r="BF2917" i="4"/>
  <c r="BF2918" i="4"/>
  <c r="BF2919" i="4"/>
  <c r="BF2920" i="4"/>
  <c r="BF2921" i="4"/>
  <c r="BF2922" i="4"/>
  <c r="BF2923" i="4"/>
  <c r="BF2924" i="4"/>
  <c r="BF2925" i="4"/>
  <c r="BF2926" i="4"/>
  <c r="BF2927" i="4"/>
  <c r="BF2928" i="4"/>
  <c r="BF2929" i="4"/>
  <c r="BF2930" i="4"/>
  <c r="BF2931" i="4"/>
  <c r="BF2932" i="4"/>
  <c r="BF2933" i="4"/>
  <c r="BF2934" i="4"/>
  <c r="BF2935" i="4"/>
  <c r="BF2936" i="4"/>
  <c r="BF2937" i="4"/>
  <c r="BF2938" i="4"/>
  <c r="BF2939" i="4"/>
  <c r="BF2940" i="4"/>
  <c r="BF2941" i="4"/>
  <c r="BF2942" i="4"/>
  <c r="BF2943" i="4"/>
  <c r="BF2944" i="4"/>
  <c r="BF2945" i="4"/>
  <c r="BF2946" i="4"/>
  <c r="BF2947" i="4"/>
  <c r="BF2948" i="4"/>
  <c r="BF2949" i="4"/>
  <c r="BF2950" i="4"/>
  <c r="BF2951" i="4"/>
  <c r="BF2952" i="4"/>
  <c r="BF2953" i="4"/>
  <c r="BF2954" i="4"/>
  <c r="BF2955" i="4"/>
  <c r="BF2956" i="4"/>
  <c r="BF2957" i="4"/>
  <c r="BF2958" i="4"/>
  <c r="BF2959" i="4"/>
  <c r="BF2960" i="4"/>
  <c r="BF2961" i="4"/>
  <c r="BF2962" i="4"/>
  <c r="BF2963" i="4"/>
  <c r="BF2964" i="4"/>
  <c r="BF2965" i="4"/>
  <c r="BF2966" i="4"/>
  <c r="BF2967" i="4"/>
  <c r="BF2968" i="4"/>
  <c r="BF2969" i="4"/>
  <c r="BF2970" i="4"/>
  <c r="BF2971" i="4"/>
  <c r="BF2972" i="4"/>
  <c r="BF2973" i="4"/>
  <c r="BF2974" i="4"/>
  <c r="BF2975" i="4"/>
  <c r="BF2976" i="4"/>
  <c r="BF2977" i="4"/>
  <c r="BF2978" i="4"/>
  <c r="BF2979" i="4"/>
  <c r="BF2980" i="4"/>
  <c r="BF2981" i="4"/>
  <c r="BF2982" i="4"/>
  <c r="BF2983" i="4"/>
  <c r="BF2984" i="4"/>
  <c r="BF2985" i="4"/>
  <c r="BF2986" i="4"/>
  <c r="BF2987" i="4"/>
  <c r="BF2988" i="4"/>
  <c r="BF2989" i="4"/>
  <c r="BF2990" i="4"/>
  <c r="BF2991" i="4"/>
  <c r="BF2992" i="4"/>
  <c r="BF2993" i="4"/>
  <c r="BF2994" i="4"/>
  <c r="BF2995" i="4"/>
  <c r="BF2996" i="4"/>
  <c r="BF2997" i="4"/>
  <c r="BF2998" i="4"/>
  <c r="BF2999" i="4"/>
  <c r="BF3000" i="4"/>
  <c r="BF3001" i="4"/>
  <c r="BF3002" i="4"/>
  <c r="BF3003" i="4"/>
  <c r="BF3004" i="4"/>
  <c r="BF3005" i="4"/>
  <c r="BF3006" i="4"/>
  <c r="BF3007" i="4"/>
  <c r="BF3008" i="4"/>
  <c r="BF3009" i="4"/>
  <c r="BF3010" i="4"/>
  <c r="BF3011" i="4"/>
  <c r="BF3012" i="4"/>
  <c r="BF3013" i="4"/>
  <c r="BF3014" i="4"/>
  <c r="BF3015" i="4"/>
  <c r="BF3016" i="4"/>
  <c r="BF3017" i="4"/>
  <c r="BF3018" i="4"/>
  <c r="BF3019" i="4"/>
  <c r="BF3020" i="4"/>
  <c r="BF3021" i="4"/>
  <c r="BF3022" i="4"/>
  <c r="BF3023" i="4"/>
  <c r="BF3024" i="4"/>
  <c r="BF3025" i="4"/>
  <c r="BF3026" i="4"/>
  <c r="BF3027" i="4"/>
  <c r="BF3028" i="4"/>
  <c r="BF3029" i="4"/>
  <c r="BF3030" i="4"/>
  <c r="BF3031" i="4"/>
  <c r="BF3032" i="4"/>
  <c r="BF3033" i="4"/>
  <c r="BF3034" i="4"/>
  <c r="BF3035" i="4"/>
  <c r="BF3036" i="4"/>
  <c r="BF3037" i="4"/>
  <c r="BF3038" i="4"/>
  <c r="BF3039" i="4"/>
  <c r="BF3040" i="4"/>
  <c r="BF3041" i="4"/>
  <c r="BF3042" i="4"/>
  <c r="BF3043" i="4"/>
  <c r="BF3044" i="4"/>
  <c r="BF3045" i="4"/>
  <c r="BF3046" i="4"/>
  <c r="BF3047" i="4"/>
  <c r="BF3048" i="4"/>
  <c r="BF3049" i="4"/>
  <c r="BF3050" i="4"/>
  <c r="BF3051" i="4"/>
  <c r="BF3052" i="4"/>
  <c r="BF3053" i="4"/>
  <c r="BF3054" i="4"/>
  <c r="BF3055" i="4"/>
  <c r="BF3056" i="4"/>
  <c r="BF3057" i="4"/>
  <c r="BF3058" i="4"/>
  <c r="BF3059" i="4"/>
  <c r="BF3060" i="4"/>
  <c r="BF3061" i="4"/>
  <c r="BF3062" i="4"/>
  <c r="BF3063" i="4"/>
  <c r="BF3064" i="4"/>
  <c r="BF3065" i="4"/>
  <c r="BF3066" i="4"/>
  <c r="BF3067" i="4"/>
  <c r="BF3068" i="4"/>
  <c r="BF3069" i="4"/>
  <c r="BF3070" i="4"/>
  <c r="BF3071" i="4"/>
  <c r="BF3072" i="4"/>
  <c r="BF3073" i="4"/>
  <c r="BF3074" i="4"/>
  <c r="BF3075" i="4"/>
  <c r="BF3076" i="4"/>
  <c r="BF3077" i="4"/>
  <c r="BF3078" i="4"/>
  <c r="BF3079" i="4"/>
  <c r="BF3080" i="4"/>
  <c r="BF3081" i="4"/>
  <c r="BF3082" i="4"/>
  <c r="BF3083" i="4"/>
  <c r="BF3084" i="4"/>
  <c r="BF3085" i="4"/>
  <c r="BF3086" i="4"/>
  <c r="BF3087" i="4"/>
  <c r="BF3088" i="4"/>
  <c r="BF3089" i="4"/>
  <c r="BF3090" i="4"/>
  <c r="BF3091" i="4"/>
  <c r="BF3092" i="4"/>
  <c r="BF3093" i="4"/>
  <c r="BF3094" i="4"/>
  <c r="BF3095" i="4"/>
  <c r="BF3096" i="4"/>
  <c r="BF3097" i="4"/>
  <c r="BF3098" i="4"/>
  <c r="BF3099" i="4"/>
  <c r="BF3100" i="4"/>
  <c r="BF3101" i="4"/>
  <c r="BF3102" i="4"/>
  <c r="BF3103" i="4"/>
  <c r="BF3104" i="4"/>
  <c r="BF3105" i="4"/>
  <c r="BF3106" i="4"/>
  <c r="BF3107" i="4"/>
  <c r="BF3108" i="4"/>
  <c r="BF3109" i="4"/>
  <c r="BF3110" i="4"/>
  <c r="BF3111" i="4"/>
  <c r="BF3112" i="4"/>
  <c r="BF3113" i="4"/>
  <c r="BF3114" i="4"/>
  <c r="BF3115" i="4"/>
  <c r="BF3116" i="4"/>
  <c r="BF3117" i="4"/>
  <c r="BF3118" i="4"/>
  <c r="BF3119" i="4"/>
  <c r="BF3120" i="4"/>
  <c r="BF3121" i="4"/>
  <c r="BF3122" i="4"/>
  <c r="BF3123" i="4"/>
  <c r="BF3124" i="4"/>
  <c r="BF3125" i="4"/>
  <c r="BF3126" i="4"/>
  <c r="BF3127" i="4"/>
  <c r="BF3128" i="4"/>
  <c r="BF3129" i="4"/>
  <c r="BF3130" i="4"/>
  <c r="BF3131" i="4"/>
  <c r="BF3132" i="4"/>
  <c r="BF3133" i="4"/>
  <c r="BF3134" i="4"/>
  <c r="BF3135" i="4"/>
  <c r="BF3136" i="4"/>
  <c r="BF3137" i="4"/>
  <c r="BF3138" i="4"/>
  <c r="BF3139" i="4"/>
  <c r="BF3140" i="4"/>
  <c r="BF3141" i="4"/>
  <c r="BF3142" i="4"/>
  <c r="BF3143" i="4"/>
  <c r="BF3144" i="4"/>
  <c r="BF3145" i="4"/>
  <c r="BF3146" i="4"/>
  <c r="BF3147" i="4"/>
  <c r="BF3148" i="4"/>
  <c r="BF3149" i="4"/>
  <c r="BF3150" i="4"/>
  <c r="BF3151" i="4"/>
  <c r="BF3152" i="4"/>
  <c r="BF3153" i="4"/>
  <c r="BF3154" i="4"/>
  <c r="BF3155" i="4"/>
  <c r="BF3156" i="4"/>
  <c r="BF3157" i="4"/>
  <c r="BF3158" i="4"/>
  <c r="BF3159" i="4"/>
  <c r="BF3160" i="4"/>
  <c r="BF3161" i="4"/>
  <c r="BF3162" i="4"/>
  <c r="BF3163" i="4"/>
  <c r="BF3164" i="4"/>
  <c r="BF3165" i="4"/>
  <c r="BF3166" i="4"/>
  <c r="BF3167" i="4"/>
  <c r="BF3168" i="4"/>
  <c r="BF3169" i="4"/>
  <c r="BF3170" i="4"/>
  <c r="BF3171" i="4"/>
  <c r="BF3172" i="4"/>
  <c r="BF3173" i="4"/>
  <c r="BF3174" i="4"/>
  <c r="BF3175" i="4"/>
  <c r="BF3176" i="4"/>
  <c r="BF3177" i="4"/>
  <c r="BF3178" i="4"/>
  <c r="BF3179" i="4"/>
  <c r="BF3180" i="4"/>
  <c r="BF3181" i="4"/>
  <c r="BF3182" i="4"/>
  <c r="BF3183" i="4"/>
  <c r="BF3184" i="4"/>
  <c r="BF3185" i="4"/>
  <c r="BF3186" i="4"/>
  <c r="BF3187" i="4"/>
  <c r="BF3188" i="4"/>
  <c r="BF3189" i="4"/>
  <c r="BF3190" i="4"/>
  <c r="BF3191" i="4"/>
  <c r="BF3192" i="4"/>
  <c r="BF3193" i="4"/>
  <c r="BF3194" i="4"/>
  <c r="BF3195" i="4"/>
  <c r="BF3196" i="4"/>
  <c r="BF3197" i="4"/>
  <c r="BF3198" i="4"/>
  <c r="BF3199" i="4"/>
  <c r="BF3200" i="4"/>
  <c r="BF3201" i="4"/>
  <c r="BF3202" i="4"/>
  <c r="BF3203" i="4"/>
  <c r="BF3204" i="4"/>
  <c r="BF3205" i="4"/>
  <c r="BF3206" i="4"/>
  <c r="BF3207" i="4"/>
  <c r="BF3208" i="4"/>
  <c r="BF3209" i="4"/>
  <c r="BF3210" i="4"/>
  <c r="BF3211" i="4"/>
  <c r="BF3212" i="4"/>
  <c r="BF3213" i="4"/>
  <c r="BF3214" i="4"/>
  <c r="BF3215" i="4"/>
  <c r="BF3216" i="4"/>
  <c r="BF3217" i="4"/>
  <c r="BF3218" i="4"/>
  <c r="BF3219" i="4"/>
  <c r="BF3220" i="4"/>
  <c r="BF3221" i="4"/>
  <c r="BF3222" i="4"/>
  <c r="BF3223" i="4"/>
  <c r="BF3224" i="4"/>
  <c r="BF3225" i="4"/>
  <c r="BF3226" i="4"/>
  <c r="BF3227" i="4"/>
  <c r="BF3228" i="4"/>
  <c r="BF3229" i="4"/>
  <c r="BF3230" i="4"/>
  <c r="BF3231" i="4"/>
  <c r="BF3232" i="4"/>
  <c r="BF3233" i="4"/>
  <c r="BF3234" i="4"/>
  <c r="BF3235" i="4"/>
  <c r="BF3236" i="4"/>
  <c r="BF3237" i="4"/>
  <c r="BF3238" i="4"/>
  <c r="BF3239" i="4"/>
  <c r="BF3240" i="4"/>
  <c r="BF3241" i="4"/>
  <c r="BF3242" i="4"/>
  <c r="BF3243" i="4"/>
  <c r="BF3244" i="4"/>
  <c r="BF3245" i="4"/>
  <c r="BF3246" i="4"/>
  <c r="BF3247" i="4"/>
  <c r="BF3248" i="4"/>
  <c r="BF3249" i="4"/>
  <c r="BF3250" i="4"/>
  <c r="BF3251" i="4"/>
  <c r="BF3252" i="4"/>
  <c r="BF3253" i="4"/>
  <c r="BF3254" i="4"/>
  <c r="BF3255" i="4"/>
  <c r="BF3256" i="4"/>
  <c r="BF3257" i="4"/>
  <c r="BF3258" i="4"/>
  <c r="BF3259" i="4"/>
  <c r="BF3260" i="4"/>
  <c r="BF3261" i="4"/>
  <c r="BF3262" i="4"/>
  <c r="BF3263" i="4"/>
  <c r="BF3264" i="4"/>
  <c r="BF3265" i="4"/>
  <c r="BF3266" i="4"/>
  <c r="BF3267" i="4"/>
  <c r="BF3268" i="4"/>
  <c r="BF3269" i="4"/>
  <c r="BF3270" i="4"/>
  <c r="BF3271" i="4"/>
  <c r="BF3272" i="4"/>
  <c r="BF3273" i="4"/>
  <c r="BF3274" i="4"/>
  <c r="BF3275" i="4"/>
  <c r="BF3276" i="4"/>
  <c r="BF3277" i="4"/>
  <c r="BF3278" i="4"/>
  <c r="BF3279" i="4"/>
  <c r="BF3280" i="4"/>
  <c r="BF3281" i="4"/>
  <c r="BF3282" i="4"/>
  <c r="BF3283" i="4"/>
  <c r="BF3284" i="4"/>
  <c r="BF3285" i="4"/>
  <c r="BF3286" i="4"/>
  <c r="BF3287" i="4"/>
  <c r="BF3288" i="4"/>
  <c r="BF3289" i="4"/>
  <c r="BF3290" i="4"/>
  <c r="BF3291" i="4"/>
  <c r="BF3292" i="4"/>
  <c r="BF3293" i="4"/>
  <c r="BF3294" i="4"/>
  <c r="BF3295" i="4"/>
  <c r="BF3296" i="4"/>
  <c r="BF3297" i="4"/>
  <c r="BF3298" i="4"/>
  <c r="BF3299" i="4"/>
  <c r="BF3300" i="4"/>
  <c r="BF3301" i="4"/>
  <c r="BF3302" i="4"/>
  <c r="BF3303" i="4"/>
  <c r="BF3304" i="4"/>
  <c r="BF3305" i="4"/>
  <c r="BF3306" i="4"/>
  <c r="BF3307" i="4"/>
  <c r="BF3308" i="4"/>
  <c r="BF3309" i="4"/>
  <c r="BF3310" i="4"/>
  <c r="BF3311" i="4"/>
  <c r="BF3312" i="4"/>
  <c r="BF3313" i="4"/>
  <c r="BF3314" i="4"/>
  <c r="BF3315" i="4"/>
  <c r="BF3316" i="4"/>
  <c r="BF3317" i="4"/>
  <c r="BF3318" i="4"/>
  <c r="BF3319" i="4"/>
  <c r="BF3320" i="4"/>
  <c r="BF3321" i="4"/>
  <c r="BF3322" i="4"/>
  <c r="BF3323" i="4"/>
  <c r="BF3324" i="4"/>
  <c r="BF3325" i="4"/>
  <c r="BF3326" i="4"/>
  <c r="BF3327" i="4"/>
  <c r="BF3328" i="4"/>
  <c r="BF3329" i="4"/>
  <c r="BF3330" i="4"/>
  <c r="BF3331" i="4"/>
  <c r="BF3332" i="4"/>
  <c r="BF3333" i="4"/>
  <c r="BF3334" i="4"/>
  <c r="BF3335" i="4"/>
  <c r="BF3336" i="4"/>
  <c r="BF3337" i="4"/>
  <c r="BF3338" i="4"/>
  <c r="BF3339" i="4"/>
  <c r="BF3340" i="4"/>
  <c r="BF3341" i="4"/>
  <c r="BF3342" i="4"/>
  <c r="BF3343" i="4"/>
  <c r="BF3344" i="4"/>
  <c r="BF3345" i="4"/>
  <c r="BF3346" i="4"/>
  <c r="BF3347" i="4"/>
  <c r="BF3348" i="4"/>
  <c r="BF3349" i="4"/>
  <c r="BF3350" i="4"/>
  <c r="BF3351" i="4"/>
  <c r="BF3352" i="4"/>
  <c r="BF3353" i="4"/>
  <c r="BF3354" i="4"/>
  <c r="BF3355" i="4"/>
  <c r="BF3356" i="4"/>
  <c r="BF3357" i="4"/>
  <c r="BF3358" i="4"/>
  <c r="BF3359" i="4"/>
  <c r="BF3360" i="4"/>
  <c r="BF3361" i="4"/>
  <c r="BF3362" i="4"/>
  <c r="BF3363" i="4"/>
  <c r="BF3364" i="4"/>
  <c r="BF3365" i="4"/>
  <c r="BF3366" i="4"/>
  <c r="BF3367" i="4"/>
  <c r="BF3368" i="4"/>
  <c r="BF3369" i="4"/>
  <c r="BF3370" i="4"/>
  <c r="BF3371" i="4"/>
  <c r="BF3372" i="4"/>
  <c r="BF3373" i="4"/>
  <c r="BF3374" i="4"/>
  <c r="BF3375" i="4"/>
  <c r="BF3376" i="4"/>
  <c r="BF3377" i="4"/>
  <c r="BF3378" i="4"/>
  <c r="BF3379" i="4"/>
  <c r="BF3380" i="4"/>
  <c r="BF3381" i="4"/>
  <c r="BF3382" i="4"/>
  <c r="BF3383" i="4"/>
  <c r="BF3384" i="4"/>
  <c r="BF3385" i="4"/>
  <c r="BF3386" i="4"/>
  <c r="BF3387" i="4"/>
  <c r="BF3388" i="4"/>
  <c r="BF3389" i="4"/>
  <c r="BF3390" i="4"/>
  <c r="BF3391" i="4"/>
  <c r="BF3392" i="4"/>
  <c r="BF3393" i="4"/>
  <c r="BF3394" i="4"/>
  <c r="BF3395" i="4"/>
  <c r="BF3396" i="4"/>
  <c r="BF3397" i="4"/>
  <c r="BF3398" i="4"/>
  <c r="BF3399" i="4"/>
  <c r="BF3400" i="4"/>
  <c r="BF3401" i="4"/>
  <c r="BF3402" i="4"/>
  <c r="BF3403" i="4"/>
  <c r="BF3404" i="4"/>
  <c r="BF3405" i="4"/>
  <c r="BF3406" i="4"/>
  <c r="BF3407" i="4"/>
  <c r="BF3408" i="4"/>
  <c r="BF3409" i="4"/>
  <c r="BF3410" i="4"/>
  <c r="BF3411" i="4"/>
  <c r="BF3412" i="4"/>
  <c r="BF3413" i="4"/>
  <c r="BF3414" i="4"/>
  <c r="BF3415" i="4"/>
  <c r="BF3416" i="4"/>
  <c r="BF3417" i="4"/>
  <c r="BF3418" i="4"/>
  <c r="BF3419" i="4"/>
  <c r="BF3420" i="4"/>
  <c r="BF3421" i="4"/>
  <c r="BF3422" i="4"/>
  <c r="BF3423" i="4"/>
  <c r="BF3424" i="4"/>
  <c r="BF3425" i="4"/>
  <c r="BF3426" i="4"/>
  <c r="BF3427" i="4"/>
  <c r="BF3428" i="4"/>
  <c r="BF3429" i="4"/>
  <c r="BF3430" i="4"/>
  <c r="BF3431" i="4"/>
  <c r="BF3432" i="4"/>
  <c r="BF3433" i="4"/>
  <c r="BF3434" i="4"/>
  <c r="BF3435" i="4"/>
  <c r="BF3436" i="4"/>
  <c r="BF3437" i="4"/>
  <c r="BF3438" i="4"/>
  <c r="BF3439" i="4"/>
  <c r="BF3440" i="4"/>
  <c r="BF3441" i="4"/>
  <c r="BF3442" i="4"/>
  <c r="BF3443" i="4"/>
  <c r="BF3444" i="4"/>
  <c r="BF3445" i="4"/>
  <c r="BF3446" i="4"/>
  <c r="BF3447" i="4"/>
  <c r="BF3448" i="4"/>
  <c r="BF3449" i="4"/>
  <c r="BF3450" i="4"/>
  <c r="BF3451" i="4"/>
  <c r="BF3452" i="4"/>
  <c r="BF3453" i="4"/>
  <c r="BF3454" i="4"/>
  <c r="BF3455" i="4"/>
  <c r="BF3456" i="4"/>
  <c r="BF3457" i="4"/>
  <c r="BF3458" i="4"/>
  <c r="BF3459" i="4"/>
  <c r="BF3460" i="4"/>
  <c r="BF3461" i="4"/>
  <c r="BF3462" i="4"/>
  <c r="BF3463" i="4"/>
  <c r="BF3464" i="4"/>
  <c r="BF3465" i="4"/>
  <c r="BF3466" i="4"/>
  <c r="BF3467" i="4"/>
  <c r="BF3468" i="4"/>
  <c r="BF3469" i="4"/>
  <c r="BF3470" i="4"/>
  <c r="BF3471" i="4"/>
  <c r="BF3472" i="4"/>
  <c r="BF3473" i="4"/>
  <c r="BF3474" i="4"/>
  <c r="BF3475" i="4"/>
  <c r="BF3476" i="4"/>
  <c r="BF3477" i="4"/>
  <c r="BF3478" i="4"/>
  <c r="BF3479" i="4"/>
  <c r="BF3480" i="4"/>
  <c r="BF3481" i="4"/>
  <c r="BF3482" i="4"/>
  <c r="BF3483" i="4"/>
  <c r="BF3484" i="4"/>
  <c r="BF3485" i="4"/>
  <c r="BF3486" i="4"/>
  <c r="BF3487" i="4"/>
  <c r="BF3488" i="4"/>
  <c r="BF3489" i="4"/>
  <c r="BF3490" i="4"/>
  <c r="BF3491" i="4"/>
  <c r="BF3492" i="4"/>
  <c r="BF3493" i="4"/>
  <c r="BF3494" i="4"/>
  <c r="BF3495" i="4"/>
  <c r="BF3496" i="4"/>
  <c r="BF3497" i="4"/>
  <c r="BF3498" i="4"/>
  <c r="BF3499" i="4"/>
  <c r="BF3500" i="4"/>
  <c r="BF3501" i="4"/>
  <c r="BF3502" i="4"/>
  <c r="BF3503" i="4"/>
  <c r="BF3504" i="4"/>
  <c r="BF3505" i="4"/>
  <c r="BF3506" i="4"/>
  <c r="BF3507" i="4"/>
  <c r="BF3508" i="4"/>
  <c r="BF3509" i="4"/>
  <c r="BF3510" i="4"/>
  <c r="BF3511" i="4"/>
  <c r="BF3512" i="4"/>
  <c r="BF3513" i="4"/>
  <c r="BF3514" i="4"/>
  <c r="BF3515" i="4"/>
  <c r="BF3516" i="4"/>
  <c r="BF3517" i="4"/>
  <c r="BF3518" i="4"/>
  <c r="BF3519" i="4"/>
  <c r="BF3520" i="4"/>
  <c r="BF3521" i="4"/>
  <c r="BF3522" i="4"/>
  <c r="BF3523" i="4"/>
  <c r="BF3524" i="4"/>
  <c r="BF3525" i="4"/>
  <c r="BF3526" i="4"/>
  <c r="BF3527" i="4"/>
  <c r="BF3528" i="4"/>
  <c r="BF3529" i="4"/>
  <c r="BF3530" i="4"/>
  <c r="BF3531" i="4"/>
  <c r="BF3532" i="4"/>
  <c r="BF3533" i="4"/>
  <c r="BF3534" i="4"/>
  <c r="BF3535" i="4"/>
  <c r="BF3536" i="4"/>
  <c r="BF3537" i="4"/>
  <c r="BF3538" i="4"/>
  <c r="BF3539" i="4"/>
  <c r="BF3540" i="4"/>
  <c r="BF3541" i="4"/>
  <c r="BF3542" i="4"/>
  <c r="BF3543" i="4"/>
  <c r="BF3544" i="4"/>
  <c r="BF3545" i="4"/>
  <c r="BF3546" i="4"/>
  <c r="BF3547" i="4"/>
  <c r="BF3548" i="4"/>
  <c r="BF3549" i="4"/>
  <c r="BF3550" i="4"/>
  <c r="BF3551" i="4"/>
  <c r="BF3552" i="4"/>
  <c r="BF3553" i="4"/>
  <c r="BF3554" i="4"/>
  <c r="BF3555" i="4"/>
  <c r="BF3556" i="4"/>
  <c r="BF3557" i="4"/>
  <c r="BF3558" i="4"/>
  <c r="BF3559" i="4"/>
  <c r="BF3560" i="4"/>
  <c r="BF3561" i="4"/>
  <c r="BF3562" i="4"/>
  <c r="BF3563" i="4"/>
  <c r="BF3564" i="4"/>
  <c r="BF3565" i="4"/>
  <c r="BF3566" i="4"/>
  <c r="BF3567" i="4"/>
  <c r="BF3568" i="4"/>
  <c r="BF3569" i="4"/>
  <c r="BF3570" i="4"/>
  <c r="BF3571" i="4"/>
  <c r="BF3572" i="4"/>
  <c r="BF3573" i="4"/>
  <c r="BF3574" i="4"/>
  <c r="BF3575" i="4"/>
  <c r="BF3576" i="4"/>
  <c r="BF3577" i="4"/>
  <c r="BF3578" i="4"/>
  <c r="BF3579" i="4"/>
  <c r="BF3580" i="4"/>
  <c r="BF3581" i="4"/>
  <c r="BF3582" i="4"/>
  <c r="BF3583" i="4"/>
  <c r="BF3584" i="4"/>
  <c r="BF3585" i="4"/>
  <c r="BF3586" i="4"/>
  <c r="BF3587" i="4"/>
  <c r="BF3588" i="4"/>
  <c r="BF3589" i="4"/>
  <c r="BF3590" i="4"/>
  <c r="BF3591" i="4"/>
  <c r="BF3592" i="4"/>
  <c r="BF3593" i="4"/>
  <c r="BF3594" i="4"/>
  <c r="BF3595" i="4"/>
  <c r="BF3596" i="4"/>
  <c r="BF3597" i="4"/>
  <c r="BF3598" i="4"/>
  <c r="BF3599" i="4"/>
  <c r="BF3600" i="4"/>
  <c r="BF3601" i="4"/>
  <c r="BF3602" i="4"/>
  <c r="BF3603" i="4"/>
  <c r="BF3604" i="4"/>
  <c r="BF3605" i="4"/>
  <c r="BF3606" i="4"/>
  <c r="BF3607" i="4"/>
  <c r="BF3608" i="4"/>
  <c r="BF3609" i="4"/>
  <c r="BF3610" i="4"/>
  <c r="BF3611" i="4"/>
  <c r="BF3612" i="4"/>
  <c r="BF3613" i="4"/>
  <c r="BF3614" i="4"/>
  <c r="BF3615" i="4"/>
  <c r="BF3616" i="4"/>
  <c r="BF3617" i="4"/>
  <c r="BF3618" i="4"/>
  <c r="BF3619" i="4"/>
  <c r="BF3620" i="4"/>
  <c r="BF3621" i="4"/>
  <c r="BF3622" i="4"/>
  <c r="BF3623" i="4"/>
  <c r="BF3624" i="4"/>
  <c r="BF3625" i="4"/>
  <c r="BF3626" i="4"/>
  <c r="BF3627" i="4"/>
  <c r="BF3628" i="4"/>
  <c r="BF3629" i="4"/>
  <c r="BF3630" i="4"/>
  <c r="BF3631" i="4"/>
  <c r="BF3632" i="4"/>
  <c r="BF3633" i="4"/>
  <c r="BF3634" i="4"/>
  <c r="BF3635" i="4"/>
  <c r="BF3636" i="4"/>
  <c r="BF3637" i="4"/>
  <c r="BF3638" i="4"/>
  <c r="BF3639" i="4"/>
  <c r="BF3640" i="4"/>
  <c r="BF3641" i="4"/>
  <c r="BF3642" i="4"/>
  <c r="BF3643" i="4"/>
  <c r="BF3644" i="4"/>
  <c r="BF3645" i="4"/>
  <c r="BF3646" i="4"/>
  <c r="BF3647" i="4"/>
  <c r="BF3648" i="4"/>
  <c r="BF3649" i="4"/>
  <c r="BF3650" i="4"/>
  <c r="BF3651" i="4"/>
  <c r="BF3652" i="4"/>
  <c r="BF3653" i="4"/>
  <c r="BF3654" i="4"/>
  <c r="BF3655" i="4"/>
  <c r="BF3656" i="4"/>
  <c r="BF3657" i="4"/>
  <c r="BF3658" i="4"/>
  <c r="BF3659" i="4"/>
  <c r="BF3660" i="4"/>
  <c r="BF3661" i="4"/>
  <c r="BF3662" i="4"/>
  <c r="BF3663" i="4"/>
  <c r="BF3664" i="4"/>
  <c r="BF3665" i="4"/>
  <c r="BF3666" i="4"/>
  <c r="BF3667" i="4"/>
  <c r="BF3668" i="4"/>
  <c r="BF3669" i="4"/>
  <c r="BF3670" i="4"/>
  <c r="BF3671" i="4"/>
  <c r="BF3672" i="4"/>
  <c r="BF3673" i="4"/>
  <c r="BF3674" i="4"/>
  <c r="BF3675" i="4"/>
  <c r="BF3676" i="4"/>
  <c r="BF3677" i="4"/>
  <c r="BF3678" i="4"/>
  <c r="BF3679" i="4"/>
  <c r="BF3680" i="4"/>
  <c r="BF3681" i="4"/>
  <c r="BF3682" i="4"/>
  <c r="BF3683" i="4"/>
  <c r="BF3684" i="4"/>
  <c r="BF3685" i="4"/>
  <c r="BF3686" i="4"/>
  <c r="BF3687" i="4"/>
  <c r="BF3688" i="4"/>
  <c r="BF3689" i="4"/>
  <c r="BF3690" i="4"/>
  <c r="BF3691" i="4"/>
  <c r="BF3692" i="4"/>
  <c r="BF3693" i="4"/>
  <c r="BF3694" i="4"/>
  <c r="BF3695" i="4"/>
  <c r="BF3696" i="4"/>
  <c r="BF3697" i="4"/>
  <c r="BF3698" i="4"/>
  <c r="BF3699" i="4"/>
  <c r="BF3700" i="4"/>
  <c r="BF3701" i="4"/>
  <c r="BF3702" i="4"/>
  <c r="BF3703" i="4"/>
  <c r="BF3704" i="4"/>
  <c r="BF3705" i="4"/>
  <c r="BF3706" i="4"/>
  <c r="BF3707" i="4"/>
  <c r="BF3708" i="4"/>
  <c r="BF3709" i="4"/>
  <c r="BF3710" i="4"/>
  <c r="BF3711" i="4"/>
  <c r="BF3712" i="4"/>
  <c r="BF3713" i="4"/>
  <c r="BF3714" i="4"/>
  <c r="BF3715" i="4"/>
  <c r="BF3716" i="4"/>
  <c r="BF3717" i="4"/>
  <c r="BF3718" i="4"/>
  <c r="BF3719" i="4"/>
  <c r="BF3720" i="4"/>
  <c r="BF3721" i="4"/>
  <c r="BF3722" i="4"/>
  <c r="BF3723" i="4"/>
  <c r="BF3724" i="4"/>
  <c r="BF3725" i="4"/>
  <c r="BF3726" i="4"/>
  <c r="BF3727" i="4"/>
  <c r="BF3728" i="4"/>
  <c r="BF3729" i="4"/>
  <c r="BF3730" i="4"/>
  <c r="BF3731" i="4"/>
  <c r="BF3732" i="4"/>
  <c r="BF3733" i="4"/>
  <c r="BF3734" i="4"/>
  <c r="BF3735" i="4"/>
  <c r="BF3736" i="4"/>
  <c r="BF3737" i="4"/>
  <c r="BF3738" i="4"/>
  <c r="BF3739" i="4"/>
  <c r="BF3740" i="4"/>
  <c r="BF3741" i="4"/>
  <c r="BF3742" i="4"/>
  <c r="BF3743" i="4"/>
  <c r="BF3744" i="4"/>
  <c r="BF3745" i="4"/>
  <c r="BF3746" i="4"/>
  <c r="BF3747" i="4"/>
  <c r="BF3748" i="4"/>
  <c r="BF3749" i="4"/>
  <c r="BF3750" i="4"/>
  <c r="BF3751" i="4"/>
  <c r="BF3752" i="4"/>
  <c r="BF3753" i="4"/>
  <c r="BF3754" i="4"/>
  <c r="BF3755" i="4"/>
  <c r="BF3756" i="4"/>
  <c r="BF3757" i="4"/>
  <c r="BF3758" i="4"/>
  <c r="BF3759" i="4"/>
  <c r="BF3760" i="4"/>
  <c r="BF3761" i="4"/>
  <c r="BF3762" i="4"/>
  <c r="BF3763" i="4"/>
  <c r="BF3764" i="4"/>
  <c r="BF3765" i="4"/>
  <c r="BF3766" i="4"/>
  <c r="BF3767" i="4"/>
  <c r="BF3768" i="4"/>
  <c r="BF3769" i="4"/>
  <c r="BF3770" i="4"/>
  <c r="BF3771" i="4"/>
  <c r="BF3772" i="4"/>
  <c r="BF3773" i="4"/>
  <c r="BF3774" i="4"/>
  <c r="BF3775" i="4"/>
  <c r="BF3776" i="4"/>
  <c r="BF3777" i="4"/>
  <c r="BF3778" i="4"/>
  <c r="BF3779" i="4"/>
  <c r="BF3780" i="4"/>
  <c r="BF3781" i="4"/>
  <c r="BF3782" i="4"/>
  <c r="BF3783" i="4"/>
  <c r="BF3784" i="4"/>
  <c r="BF3785" i="4"/>
  <c r="BF3786" i="4"/>
  <c r="BF3787" i="4"/>
  <c r="BF3788" i="4"/>
  <c r="BF3789" i="4"/>
  <c r="BF3790" i="4"/>
  <c r="BF3791" i="4"/>
  <c r="BF3792" i="4"/>
  <c r="BF3793" i="4"/>
  <c r="BF3794" i="4"/>
  <c r="BF3795" i="4"/>
  <c r="BF3796" i="4"/>
  <c r="BF3797" i="4"/>
  <c r="BF3798" i="4"/>
  <c r="BF3799" i="4"/>
  <c r="BF3800" i="4"/>
  <c r="BF3801" i="4"/>
  <c r="BF3802" i="4"/>
  <c r="BF3803" i="4"/>
  <c r="BF3804" i="4"/>
  <c r="BF3805" i="4"/>
  <c r="BF3806" i="4"/>
  <c r="BF3807" i="4"/>
  <c r="BF3808" i="4"/>
  <c r="BF3809" i="4"/>
  <c r="BF3810" i="4"/>
  <c r="BF3811" i="4"/>
  <c r="BF3812" i="4"/>
  <c r="BF3813" i="4"/>
  <c r="BF3814" i="4"/>
  <c r="BF3815" i="4"/>
  <c r="BF3816" i="4"/>
  <c r="BF3817" i="4"/>
  <c r="BF3818" i="4"/>
  <c r="BF3819" i="4"/>
  <c r="BF3820" i="4"/>
  <c r="BF3821" i="4"/>
  <c r="BF3822" i="4"/>
  <c r="BF3823" i="4"/>
  <c r="BF3824" i="4"/>
  <c r="BF3825" i="4"/>
  <c r="BF3826" i="4"/>
  <c r="BF3827" i="4"/>
  <c r="BF3828" i="4"/>
  <c r="BF3829" i="4"/>
  <c r="BF3830" i="4"/>
  <c r="BF3831" i="4"/>
  <c r="BF3832" i="4"/>
  <c r="BF3833" i="4"/>
  <c r="BF3834" i="4"/>
  <c r="BF3835" i="4"/>
  <c r="BF3836" i="4"/>
  <c r="BF3837" i="4"/>
  <c r="BF3838" i="4"/>
  <c r="BF3839" i="4"/>
  <c r="BF3840" i="4"/>
  <c r="BF3841" i="4"/>
  <c r="BF3842" i="4"/>
  <c r="BF3843" i="4"/>
  <c r="BF3844" i="4"/>
  <c r="BF3845" i="4"/>
  <c r="BF3846" i="4"/>
  <c r="BF3847" i="4"/>
  <c r="BF3848" i="4"/>
  <c r="BF3849" i="4"/>
  <c r="BF3850" i="4"/>
  <c r="BF3851" i="4"/>
  <c r="BF3852" i="4"/>
  <c r="BF3853" i="4"/>
  <c r="BF3854" i="4"/>
  <c r="BF3855" i="4"/>
  <c r="BF3856" i="4"/>
  <c r="BF3857" i="4"/>
  <c r="BF3858" i="4"/>
  <c r="BF3859" i="4"/>
  <c r="BF3860" i="4"/>
  <c r="BF3861" i="4"/>
  <c r="BF3862" i="4"/>
  <c r="BF3863" i="4"/>
  <c r="BF3864" i="4"/>
  <c r="BF3865" i="4"/>
  <c r="BF3866" i="4"/>
  <c r="BF3867" i="4"/>
  <c r="BF3868" i="4"/>
  <c r="BF3869" i="4"/>
  <c r="BF3870" i="4"/>
  <c r="BF3871" i="4"/>
  <c r="BF3872" i="4"/>
  <c r="BF3873" i="4"/>
  <c r="BF3874" i="4"/>
  <c r="BF3875" i="4"/>
  <c r="BF3876" i="4"/>
  <c r="BF3877" i="4"/>
  <c r="BF3878" i="4"/>
  <c r="BF3879" i="4"/>
  <c r="BF3880" i="4"/>
  <c r="BF3881" i="4"/>
  <c r="BF3882" i="4"/>
  <c r="BF3883" i="4"/>
  <c r="BF3884" i="4"/>
  <c r="BF3885" i="4"/>
  <c r="BF3886" i="4"/>
  <c r="BF3887" i="4"/>
  <c r="BF3888" i="4"/>
  <c r="BF3889" i="4"/>
  <c r="BF3890" i="4"/>
  <c r="BF3891" i="4"/>
  <c r="BF3892" i="4"/>
  <c r="BF3893" i="4"/>
  <c r="BF3894" i="4"/>
  <c r="BF3895" i="4"/>
  <c r="BF3896" i="4"/>
  <c r="BF3897" i="4"/>
  <c r="BF3898" i="4"/>
  <c r="BF3899" i="4"/>
  <c r="BF3900" i="4"/>
  <c r="BF3901" i="4"/>
  <c r="BF3902" i="4"/>
  <c r="BF3903" i="4"/>
  <c r="BF3904" i="4"/>
  <c r="BF3905" i="4"/>
  <c r="BF3906" i="4"/>
  <c r="BF3907" i="4"/>
  <c r="BF3908" i="4"/>
  <c r="BF3909" i="4"/>
  <c r="BF3910" i="4"/>
  <c r="BF3911" i="4"/>
  <c r="BF3912" i="4"/>
  <c r="BF3913" i="4"/>
  <c r="BF3914" i="4"/>
  <c r="BF3915" i="4"/>
  <c r="BF3916" i="4"/>
  <c r="BF3917" i="4"/>
  <c r="BF3918" i="4"/>
  <c r="BF3919" i="4"/>
  <c r="BF3920" i="4"/>
  <c r="BF3921" i="4"/>
  <c r="BF3922" i="4"/>
  <c r="BF3923" i="4"/>
  <c r="BF3924" i="4"/>
  <c r="BF3925" i="4"/>
  <c r="BF3926" i="4"/>
  <c r="BF3927" i="4"/>
  <c r="BF3928" i="4"/>
  <c r="BF3929" i="4"/>
  <c r="BF3930" i="4"/>
  <c r="BF3931" i="4"/>
  <c r="BF3932" i="4"/>
  <c r="BF3933" i="4"/>
  <c r="BF3934" i="4"/>
  <c r="BF3935" i="4"/>
  <c r="BF3936" i="4"/>
  <c r="BF3937" i="4"/>
  <c r="BF3938" i="4"/>
  <c r="BF3939" i="4"/>
  <c r="BF3940" i="4"/>
  <c r="BF3941" i="4"/>
  <c r="BF3942" i="4"/>
  <c r="BF3943" i="4"/>
  <c r="BF3944" i="4"/>
  <c r="BF3945" i="4"/>
  <c r="BF3946" i="4"/>
  <c r="BF3947" i="4"/>
  <c r="BF3948" i="4"/>
  <c r="BF3949" i="4"/>
  <c r="BF3950" i="4"/>
  <c r="BF3951" i="4"/>
  <c r="BF3952" i="4"/>
  <c r="BF3953" i="4"/>
  <c r="BF3954" i="4"/>
  <c r="BF3955" i="4"/>
  <c r="BF3956" i="4"/>
  <c r="BF3957" i="4"/>
  <c r="BF3958" i="4"/>
  <c r="BF3959" i="4"/>
  <c r="BF3960" i="4"/>
  <c r="BF3961" i="4"/>
  <c r="BF3962" i="4"/>
  <c r="BF3963" i="4"/>
  <c r="BF3964" i="4"/>
  <c r="BF3965" i="4"/>
  <c r="BF3966" i="4"/>
  <c r="BF3967" i="4"/>
  <c r="BF3968" i="4"/>
  <c r="BF3969" i="4"/>
  <c r="BF3970" i="4"/>
  <c r="BF3971" i="4"/>
  <c r="BF3972" i="4"/>
  <c r="BF3973" i="4"/>
  <c r="BF3974" i="4"/>
  <c r="BF3975" i="4"/>
  <c r="BF3976" i="4"/>
  <c r="BF3977" i="4"/>
  <c r="BF3978" i="4"/>
  <c r="BF3979" i="4"/>
  <c r="BF3980" i="4"/>
  <c r="BF3981" i="4"/>
  <c r="BF3982" i="4"/>
  <c r="BF3983" i="4"/>
  <c r="BF3984" i="4"/>
  <c r="BF3985" i="4"/>
  <c r="BF3986" i="4"/>
  <c r="BF3987" i="4"/>
  <c r="BF3988" i="4"/>
  <c r="BF3989" i="4"/>
  <c r="BF3990" i="4"/>
  <c r="BF3991" i="4"/>
  <c r="BF3992" i="4"/>
  <c r="BF3993" i="4"/>
  <c r="BF3994" i="4"/>
  <c r="BF3995" i="4"/>
  <c r="BF3996" i="4"/>
  <c r="BF3997" i="4"/>
  <c r="BF3998" i="4"/>
  <c r="BF3999" i="4"/>
  <c r="BF4000" i="4"/>
  <c r="BF4001" i="4"/>
  <c r="BF4002" i="4"/>
  <c r="BF4003" i="4"/>
  <c r="BF4004" i="4"/>
  <c r="BF4005" i="4"/>
  <c r="BF4006" i="4"/>
  <c r="BF4007" i="4"/>
  <c r="BF4008" i="4"/>
  <c r="BF4009" i="4"/>
  <c r="BF4010" i="4"/>
  <c r="BF4011" i="4"/>
  <c r="BF4012" i="4"/>
  <c r="BF4013" i="4"/>
  <c r="BF4014" i="4"/>
  <c r="BF4015" i="4"/>
  <c r="BF4016" i="4"/>
  <c r="BF4017" i="4"/>
  <c r="BF4018" i="4"/>
  <c r="BF4019" i="4"/>
  <c r="BF4020" i="4"/>
  <c r="BF4021" i="4"/>
  <c r="BF4022" i="4"/>
  <c r="BF4023" i="4"/>
  <c r="BF4024" i="4"/>
  <c r="BF4025" i="4"/>
  <c r="BF4026" i="4"/>
  <c r="BF4027" i="4"/>
  <c r="BF4028" i="4"/>
  <c r="BF4029" i="4"/>
  <c r="BF4030" i="4"/>
  <c r="BF4031" i="4"/>
  <c r="BF4032" i="4"/>
  <c r="BF4033" i="4"/>
  <c r="BF4034" i="4"/>
  <c r="BF4035" i="4"/>
  <c r="BF4036" i="4"/>
  <c r="BF4037" i="4"/>
  <c r="BF4038" i="4"/>
  <c r="BF4039" i="4"/>
  <c r="BF4040" i="4"/>
  <c r="BF4041" i="4"/>
  <c r="BF4042" i="4"/>
  <c r="BF4043" i="4"/>
  <c r="BF4044" i="4"/>
  <c r="BF4045" i="4"/>
  <c r="BF4046" i="4"/>
  <c r="BF4047" i="4"/>
  <c r="BF4048" i="4"/>
  <c r="BF4049" i="4"/>
  <c r="BF4050" i="4"/>
  <c r="BF4051" i="4"/>
  <c r="BF4052" i="4"/>
  <c r="BF4053" i="4"/>
  <c r="BF4054" i="4"/>
  <c r="BF4055" i="4"/>
  <c r="BF4056" i="4"/>
  <c r="BF4057" i="4"/>
  <c r="BF4058" i="4"/>
  <c r="BF4059" i="4"/>
  <c r="BF4060" i="4"/>
  <c r="BF4061" i="4"/>
  <c r="BF4062" i="4"/>
  <c r="BF4063" i="4"/>
  <c r="BF4064" i="4"/>
  <c r="BF4065" i="4"/>
  <c r="BF4066" i="4"/>
  <c r="BF4067" i="4"/>
  <c r="BF4068" i="4"/>
  <c r="BF4069" i="4"/>
  <c r="BF4070" i="4"/>
  <c r="BF4071" i="4"/>
  <c r="BF4072" i="4"/>
  <c r="BF4073" i="4"/>
  <c r="BF4074" i="4"/>
  <c r="BF4075" i="4"/>
  <c r="BF4076" i="4"/>
  <c r="BF4077" i="4"/>
  <c r="BF4078" i="4"/>
  <c r="BF4079" i="4"/>
  <c r="BF4080" i="4"/>
  <c r="BF4081" i="4"/>
  <c r="BF4082" i="4"/>
  <c r="BF4083" i="4"/>
  <c r="BF4084" i="4"/>
  <c r="BF4085" i="4"/>
  <c r="BF4086" i="4"/>
  <c r="BF4087" i="4"/>
  <c r="BF4088" i="4"/>
  <c r="BF4089" i="4"/>
  <c r="BF4090" i="4"/>
  <c r="BF4091" i="4"/>
  <c r="BF4092" i="4"/>
  <c r="BF4093" i="4"/>
  <c r="BF4094" i="4"/>
  <c r="BF4095" i="4"/>
  <c r="BF4096" i="4"/>
  <c r="BF4097" i="4"/>
  <c r="BF4098" i="4"/>
  <c r="BF4099" i="4"/>
  <c r="BF4100" i="4"/>
  <c r="BF4101" i="4"/>
  <c r="BF4102" i="4"/>
  <c r="BF4103" i="4"/>
  <c r="BF4104" i="4"/>
  <c r="BF4105" i="4"/>
  <c r="BF4106" i="4"/>
  <c r="BF4107" i="4"/>
  <c r="BF4108" i="4"/>
  <c r="BF4109" i="4"/>
  <c r="BF4110" i="4"/>
  <c r="BF4111" i="4"/>
  <c r="BF4112" i="4"/>
  <c r="BF4113" i="4"/>
  <c r="BF4114" i="4"/>
  <c r="BF4115" i="4"/>
  <c r="BF4116" i="4"/>
  <c r="BF4117" i="4"/>
  <c r="BF4118" i="4"/>
  <c r="BF4119" i="4"/>
  <c r="BF4120" i="4"/>
  <c r="BF4121" i="4"/>
  <c r="BF4122" i="4"/>
  <c r="BF4123" i="4"/>
  <c r="BF4124" i="4"/>
  <c r="BF4125" i="4"/>
  <c r="BF4126" i="4"/>
  <c r="BF4127" i="4"/>
  <c r="BF4128" i="4"/>
  <c r="BF4129" i="4"/>
  <c r="BF4130" i="4"/>
  <c r="BF4131" i="4"/>
  <c r="BF4132" i="4"/>
  <c r="BF4133" i="4"/>
  <c r="BF4134" i="4"/>
  <c r="BF4135" i="4"/>
  <c r="BF4136" i="4"/>
  <c r="BF4137" i="4"/>
  <c r="BF4138" i="4"/>
  <c r="BF4139" i="4"/>
  <c r="BF4140" i="4"/>
  <c r="BF4141" i="4"/>
  <c r="BF4142" i="4"/>
  <c r="BF4143" i="4"/>
  <c r="BF4144" i="4"/>
  <c r="BF4145" i="4"/>
  <c r="BF4146" i="4"/>
  <c r="BF4147" i="4"/>
  <c r="BF4148" i="4"/>
  <c r="BF4149" i="4"/>
  <c r="BF4150" i="4"/>
  <c r="BF4151" i="4"/>
  <c r="BF4152" i="4"/>
  <c r="BF4153" i="4"/>
  <c r="BF4154" i="4"/>
  <c r="BF4155" i="4"/>
  <c r="BF4156" i="4"/>
  <c r="BF4157" i="4"/>
  <c r="BF4158" i="4"/>
  <c r="BF4159" i="4"/>
  <c r="BF4160" i="4"/>
  <c r="BF4161" i="4"/>
  <c r="BF4162" i="4"/>
  <c r="BF4163" i="4"/>
  <c r="BF4164" i="4"/>
  <c r="BF4165" i="4"/>
  <c r="BF4166" i="4"/>
  <c r="BF4167" i="4"/>
  <c r="BF4168" i="4"/>
  <c r="BF4169" i="4"/>
  <c r="BF4170" i="4"/>
  <c r="BF4171" i="4"/>
  <c r="BF4172" i="4"/>
  <c r="BF4173" i="4"/>
  <c r="BF4174" i="4"/>
  <c r="BF4175" i="4"/>
  <c r="BF4176" i="4"/>
  <c r="BF4177" i="4"/>
  <c r="BF4178" i="4"/>
  <c r="BF4179" i="4"/>
  <c r="BF4180" i="4"/>
  <c r="BF4181" i="4"/>
  <c r="BF4182" i="4"/>
  <c r="BF4183" i="4"/>
  <c r="BF4184" i="4"/>
  <c r="BF4185" i="4"/>
  <c r="BF4186" i="4"/>
  <c r="BF4187" i="4"/>
  <c r="BF4188" i="4"/>
  <c r="BF4189" i="4"/>
  <c r="BF4190" i="4"/>
  <c r="BF4191" i="4"/>
  <c r="BF4192" i="4"/>
  <c r="BF4193" i="4"/>
  <c r="BF4194" i="4"/>
  <c r="BF4195" i="4"/>
  <c r="BF4196" i="4"/>
  <c r="BF4197" i="4"/>
  <c r="BF4198" i="4"/>
  <c r="BF4199" i="4"/>
  <c r="BF4200" i="4"/>
  <c r="BF4201" i="4"/>
  <c r="BF4202" i="4"/>
  <c r="BF4203" i="4"/>
  <c r="BF4204" i="4"/>
  <c r="BF4205" i="4"/>
  <c r="BF4206" i="4"/>
  <c r="BF4207" i="4"/>
  <c r="BF4208" i="4"/>
  <c r="BF4209" i="4"/>
  <c r="BF4210" i="4"/>
  <c r="BF4211" i="4"/>
  <c r="BF4212" i="4"/>
  <c r="BF4213" i="4"/>
  <c r="BF4214" i="4"/>
  <c r="BF4215" i="4"/>
  <c r="BF4216" i="4"/>
  <c r="BF4217" i="4"/>
  <c r="BF4218" i="4"/>
  <c r="BF4219" i="4"/>
  <c r="BF4220" i="4"/>
  <c r="BF4221" i="4"/>
  <c r="BF4222" i="4"/>
  <c r="BF4223" i="4"/>
  <c r="BF4224" i="4"/>
  <c r="BF4225" i="4"/>
  <c r="BF4226" i="4"/>
  <c r="BF4227" i="4"/>
  <c r="BF4228" i="4"/>
  <c r="BF4229" i="4"/>
  <c r="BF4230" i="4"/>
  <c r="BF4231" i="4"/>
  <c r="BF4232" i="4"/>
  <c r="BF4233" i="4"/>
  <c r="BF4234" i="4"/>
  <c r="BF4235" i="4"/>
  <c r="BF4236" i="4"/>
  <c r="BF4237" i="4"/>
  <c r="BF4238" i="4"/>
  <c r="BF4239" i="4"/>
  <c r="BF4240" i="4"/>
  <c r="BF4241" i="4"/>
  <c r="BF4242" i="4"/>
  <c r="BF4243" i="4"/>
  <c r="BF4244" i="4"/>
  <c r="BF4245" i="4"/>
  <c r="BF4246" i="4"/>
  <c r="BF4247" i="4"/>
  <c r="BF4248" i="4"/>
  <c r="BF4249" i="4"/>
  <c r="BF4250" i="4"/>
  <c r="BF4251" i="4"/>
  <c r="BF4252" i="4"/>
  <c r="BF4253" i="4"/>
  <c r="BF4254" i="4"/>
  <c r="BF4255" i="4"/>
  <c r="BF4256" i="4"/>
  <c r="BF4257" i="4"/>
  <c r="BF4258" i="4"/>
  <c r="BF4259" i="4"/>
  <c r="BF4260" i="4"/>
  <c r="BF4261" i="4"/>
  <c r="BF4262" i="4"/>
  <c r="BF4263" i="4"/>
  <c r="BF4264" i="4"/>
  <c r="BF4265" i="4"/>
  <c r="BF4266" i="4"/>
  <c r="BF4267" i="4"/>
  <c r="BF4268" i="4"/>
  <c r="BF4269" i="4"/>
  <c r="BF4270" i="4"/>
  <c r="BF4271" i="4"/>
  <c r="BF4272" i="4"/>
  <c r="BF4273" i="4"/>
  <c r="BF4274" i="4"/>
  <c r="BF4275" i="4"/>
  <c r="BF4276" i="4"/>
  <c r="BF4277" i="4"/>
  <c r="BF4278" i="4"/>
  <c r="BF4279" i="4"/>
  <c r="BF4280" i="4"/>
  <c r="BF4281" i="4"/>
  <c r="BF4282" i="4"/>
  <c r="BF4283" i="4"/>
  <c r="BF4284" i="4"/>
  <c r="BF4285" i="4"/>
  <c r="BF4286" i="4"/>
  <c r="BF4287" i="4"/>
  <c r="BF4288" i="4"/>
  <c r="BF4289" i="4"/>
  <c r="BF4290" i="4"/>
  <c r="BF4291" i="4"/>
  <c r="BF4292" i="4"/>
  <c r="BF4293" i="4"/>
  <c r="BF4294" i="4"/>
  <c r="BF4295" i="4"/>
  <c r="BF4296" i="4"/>
  <c r="BF4297" i="4"/>
  <c r="BF4298" i="4"/>
  <c r="BF4299" i="4"/>
  <c r="BF4300" i="4"/>
  <c r="BF4301" i="4"/>
  <c r="BF4302" i="4"/>
  <c r="BF4303" i="4"/>
  <c r="BF4304" i="4"/>
  <c r="BF4305" i="4"/>
  <c r="BF4306" i="4"/>
  <c r="BF4307" i="4"/>
  <c r="BF4308" i="4"/>
  <c r="BF4309" i="4"/>
  <c r="BF4310" i="4"/>
  <c r="BF4311" i="4"/>
  <c r="BF4312" i="4"/>
  <c r="BF4313" i="4"/>
  <c r="BF4314" i="4"/>
  <c r="BF4315" i="4"/>
  <c r="BF4316" i="4"/>
  <c r="BF4317" i="4"/>
  <c r="BF4318" i="4"/>
  <c r="BF4319" i="4"/>
  <c r="BF4320" i="4"/>
  <c r="BF4321" i="4"/>
  <c r="BF4322" i="4"/>
  <c r="BF4323" i="4"/>
  <c r="BF4324" i="4"/>
  <c r="BF4325" i="4"/>
  <c r="BF4326" i="4"/>
  <c r="BF4327" i="4"/>
  <c r="BF4328" i="4"/>
  <c r="BF4329" i="4"/>
  <c r="BF4330" i="4"/>
  <c r="BF4331" i="4"/>
  <c r="BF4332" i="4"/>
  <c r="BF4333" i="4"/>
  <c r="BF4334" i="4"/>
  <c r="BF4335" i="4"/>
  <c r="BF4336" i="4"/>
  <c r="BF4337" i="4"/>
  <c r="BF4338" i="4"/>
  <c r="BF4339" i="4"/>
  <c r="BF4340" i="4"/>
  <c r="BF4341" i="4"/>
  <c r="BF4342" i="4"/>
  <c r="BF4343" i="4"/>
  <c r="BF4344" i="4"/>
  <c r="BF4345" i="4"/>
  <c r="BF4346" i="4"/>
  <c r="BF4347" i="4"/>
  <c r="BF4348" i="4"/>
  <c r="BF4349" i="4"/>
  <c r="BF4350" i="4"/>
  <c r="BF4351" i="4"/>
  <c r="BF4352" i="4"/>
  <c r="BF4353" i="4"/>
  <c r="BF4354" i="4"/>
  <c r="BF4355" i="4"/>
  <c r="BF4356" i="4"/>
  <c r="BF4357" i="4"/>
  <c r="BF4358" i="4"/>
  <c r="BF4359" i="4"/>
  <c r="BF4360" i="4"/>
  <c r="BF4361" i="4"/>
  <c r="BF4362" i="4"/>
  <c r="BF4363" i="4"/>
  <c r="BF4364" i="4"/>
  <c r="BF4365" i="4"/>
  <c r="BF4366" i="4"/>
  <c r="BF4367" i="4"/>
  <c r="BF4368" i="4"/>
  <c r="BF4369" i="4"/>
  <c r="BF4370" i="4"/>
  <c r="BF4371" i="4"/>
  <c r="BF4372" i="4"/>
  <c r="BF4373" i="4"/>
  <c r="BF4374" i="4"/>
  <c r="BF4375" i="4"/>
  <c r="BF4376" i="4"/>
  <c r="BF4377" i="4"/>
  <c r="BF4378" i="4"/>
  <c r="BF4379" i="4"/>
  <c r="BF4380" i="4"/>
  <c r="BF4381" i="4"/>
  <c r="BF4382" i="4"/>
  <c r="BF4383" i="4"/>
  <c r="BF4384" i="4"/>
  <c r="BF4385" i="4"/>
  <c r="BF4386" i="4"/>
  <c r="BF4387" i="4"/>
  <c r="BF4388" i="4"/>
  <c r="BF4389" i="4"/>
  <c r="BF4390" i="4"/>
  <c r="BF4391" i="4"/>
  <c r="BF4392" i="4"/>
  <c r="BF4393" i="4"/>
  <c r="BF4394" i="4"/>
  <c r="BF4395" i="4"/>
  <c r="BF4396" i="4"/>
  <c r="BF4397" i="4"/>
  <c r="BF4398" i="4"/>
  <c r="BF4399" i="4"/>
  <c r="BF4400" i="4"/>
  <c r="BF4401" i="4"/>
  <c r="BF4402" i="4"/>
  <c r="BF4403" i="4"/>
  <c r="BF4404" i="4"/>
  <c r="BF4405" i="4"/>
  <c r="BF4406" i="4"/>
  <c r="BF4407" i="4"/>
  <c r="BF4408" i="4"/>
  <c r="BF4409" i="4"/>
  <c r="BF4410" i="4"/>
  <c r="BF4411" i="4"/>
  <c r="BF4412" i="4"/>
  <c r="BF4413" i="4"/>
  <c r="BF4414" i="4"/>
  <c r="BF4415" i="4"/>
  <c r="BF4416" i="4"/>
  <c r="BF4417" i="4"/>
  <c r="BF4418" i="4"/>
  <c r="BF4419" i="4"/>
  <c r="BF4420" i="4"/>
  <c r="BF4421" i="4"/>
  <c r="BF4422" i="4"/>
  <c r="BF4423" i="4"/>
  <c r="BF4424" i="4"/>
  <c r="BF4425" i="4"/>
  <c r="BF4426" i="4"/>
  <c r="BF4427" i="4"/>
  <c r="BF4428" i="4"/>
  <c r="BF4429" i="4"/>
  <c r="BF4430" i="4"/>
  <c r="BF4431" i="4"/>
  <c r="BF4432" i="4"/>
  <c r="BF4433" i="4"/>
  <c r="BF4434" i="4"/>
  <c r="BF4435" i="4"/>
  <c r="BF4436" i="4"/>
  <c r="BF4437" i="4"/>
  <c r="BF4438" i="4"/>
  <c r="BF4439" i="4"/>
  <c r="BF4440" i="4"/>
  <c r="BF4441" i="4"/>
  <c r="BF4442" i="4"/>
  <c r="BF4443" i="4"/>
  <c r="BF4444" i="4"/>
  <c r="BF4445" i="4"/>
  <c r="BF4446" i="4"/>
  <c r="BF4447" i="4"/>
  <c r="BF4448" i="4"/>
  <c r="BF4449" i="4"/>
  <c r="BF4450" i="4"/>
  <c r="BF4451" i="4"/>
  <c r="BF4452" i="4"/>
  <c r="BF4453" i="4"/>
  <c r="BF4454" i="4"/>
  <c r="BF4455" i="4"/>
  <c r="BF4456" i="4"/>
  <c r="BF4457" i="4"/>
  <c r="BF4458" i="4"/>
  <c r="BF4459" i="4"/>
  <c r="BF4460" i="4"/>
  <c r="BF4461" i="4"/>
  <c r="BF4462" i="4"/>
  <c r="BF4463" i="4"/>
  <c r="BF4464" i="4"/>
  <c r="BF4465" i="4"/>
  <c r="BF4466" i="4"/>
  <c r="BF4467" i="4"/>
  <c r="BF4468" i="4"/>
  <c r="BF4469" i="4"/>
  <c r="BF4470" i="4"/>
  <c r="BF4471" i="4"/>
  <c r="BF4472" i="4"/>
  <c r="BF4473" i="4"/>
  <c r="BF4474" i="4"/>
  <c r="BF4475" i="4"/>
  <c r="BF4476" i="4"/>
  <c r="BF4477" i="4"/>
  <c r="BF4478" i="4"/>
  <c r="BF4479" i="4"/>
  <c r="BF4480" i="4"/>
  <c r="BF4481" i="4"/>
  <c r="BF4482" i="4"/>
  <c r="BF4483" i="4"/>
  <c r="BF4484" i="4"/>
  <c r="BF4485" i="4"/>
  <c r="BF4486" i="4"/>
  <c r="BF4487" i="4"/>
  <c r="BF4488" i="4"/>
  <c r="BF4489" i="4"/>
  <c r="BF4490" i="4"/>
  <c r="BF4491" i="4"/>
  <c r="BF4492" i="4"/>
  <c r="BF4493" i="4"/>
  <c r="BF4494" i="4"/>
  <c r="BF4495" i="4"/>
  <c r="BF4496" i="4"/>
  <c r="BF4497" i="4"/>
  <c r="BF4498" i="4"/>
  <c r="BF4499" i="4"/>
  <c r="BF4500" i="4"/>
  <c r="BF4501" i="4"/>
  <c r="BF4502" i="4"/>
  <c r="BF4503" i="4"/>
  <c r="BF4504" i="4"/>
  <c r="BF4505" i="4"/>
  <c r="BF4506" i="4"/>
  <c r="BF4507" i="4"/>
  <c r="BF4508" i="4"/>
  <c r="BF4509" i="4"/>
  <c r="BF4510" i="4"/>
  <c r="BF4511" i="4"/>
  <c r="BF4512" i="4"/>
  <c r="BF4513" i="4"/>
  <c r="BF4514" i="4"/>
  <c r="BF4515" i="4"/>
  <c r="BF4516" i="4"/>
  <c r="BF4517" i="4"/>
  <c r="BF4518" i="4"/>
  <c r="BF4519" i="4"/>
  <c r="BF4520" i="4"/>
  <c r="BF4521" i="4"/>
  <c r="BF4522" i="4"/>
  <c r="BF4523" i="4"/>
  <c r="BF4524" i="4"/>
  <c r="BF4525" i="4"/>
  <c r="BF4526" i="4"/>
  <c r="BF4527" i="4"/>
  <c r="BF4528" i="4"/>
  <c r="BF4529" i="4"/>
  <c r="BF4530" i="4"/>
  <c r="BF4531" i="4"/>
  <c r="BF4532" i="4"/>
  <c r="BF4533" i="4"/>
  <c r="BF4534" i="4"/>
  <c r="BF4535" i="4"/>
  <c r="BF4536" i="4"/>
  <c r="BF4537" i="4"/>
  <c r="BF4538" i="4"/>
  <c r="BF4539" i="4"/>
  <c r="BF4540" i="4"/>
  <c r="BF4541" i="4"/>
  <c r="BF4542" i="4"/>
  <c r="BF4543" i="4"/>
  <c r="BF4544" i="4"/>
  <c r="BF4545" i="4"/>
  <c r="BF4546" i="4"/>
  <c r="BF4547" i="4"/>
  <c r="BF4548" i="4"/>
  <c r="BF4549" i="4"/>
  <c r="BF4550" i="4"/>
  <c r="BF4551" i="4"/>
  <c r="BF4552" i="4"/>
  <c r="BF4553" i="4"/>
  <c r="BF4554" i="4"/>
  <c r="BF4555" i="4"/>
  <c r="BF4556" i="4"/>
  <c r="BF4557" i="4"/>
  <c r="BF4558" i="4"/>
  <c r="BF4559" i="4"/>
  <c r="BF4560" i="4"/>
  <c r="BF4561" i="4"/>
  <c r="BF4562" i="4"/>
  <c r="BF4563" i="4"/>
  <c r="BF4564" i="4"/>
  <c r="BF4565" i="4"/>
  <c r="BF4566" i="4"/>
  <c r="BF4567" i="4"/>
  <c r="BF4568" i="4"/>
  <c r="BF4569" i="4"/>
  <c r="BF4570" i="4"/>
  <c r="BF4571" i="4"/>
  <c r="BF4572" i="4"/>
  <c r="BF4573" i="4"/>
  <c r="BF4574" i="4"/>
  <c r="BF4575" i="4"/>
  <c r="BF4576" i="4"/>
  <c r="BF4577" i="4"/>
  <c r="BF4578" i="4"/>
  <c r="BF4579" i="4"/>
  <c r="BF4580" i="4"/>
  <c r="BF4581" i="4"/>
  <c r="BF4582" i="4"/>
  <c r="BF4583" i="4"/>
  <c r="BF4584" i="4"/>
  <c r="BF4585" i="4"/>
  <c r="BF4586" i="4"/>
  <c r="BF4587" i="4"/>
  <c r="BF4588" i="4"/>
  <c r="BF4589" i="4"/>
  <c r="BF4590" i="4"/>
  <c r="BF4591" i="4"/>
  <c r="BF4592" i="4"/>
  <c r="BF4593" i="4"/>
  <c r="BF4594" i="4"/>
  <c r="BF4595" i="4"/>
  <c r="BF4596" i="4"/>
  <c r="BF4597" i="4"/>
  <c r="BF4598" i="4"/>
  <c r="BF4599" i="4"/>
  <c r="BF4600" i="4"/>
  <c r="BF4601" i="4"/>
  <c r="BF4602" i="4"/>
  <c r="BF4603" i="4"/>
  <c r="BF4604" i="4"/>
  <c r="BF4605" i="4"/>
  <c r="BF4606" i="4"/>
  <c r="BF4607" i="4"/>
  <c r="BF4608" i="4"/>
  <c r="BF4609" i="4"/>
  <c r="BF4610" i="4"/>
  <c r="BF4611" i="4"/>
  <c r="BF4612" i="4"/>
  <c r="BF4613" i="4"/>
  <c r="BF4614" i="4"/>
  <c r="BF4615" i="4"/>
  <c r="BF4616" i="4"/>
  <c r="BF4617" i="4"/>
  <c r="BF4618" i="4"/>
  <c r="BF4619" i="4"/>
  <c r="BF4620" i="4"/>
  <c r="BF4621" i="4"/>
  <c r="BF4622" i="4"/>
  <c r="BF4623" i="4"/>
  <c r="BF4624" i="4"/>
  <c r="BF4625" i="4"/>
  <c r="BF4626" i="4"/>
  <c r="BF4627" i="4"/>
  <c r="BF4628" i="4"/>
  <c r="BF4629" i="4"/>
  <c r="BF4630" i="4"/>
  <c r="BF4631" i="4"/>
  <c r="BF4632" i="4"/>
  <c r="BF4633" i="4"/>
  <c r="BF4634" i="4"/>
  <c r="BF4635" i="4"/>
  <c r="BF4636" i="4"/>
  <c r="BF4637" i="4"/>
  <c r="BF4638" i="4"/>
  <c r="BF4639" i="4"/>
  <c r="BF4640" i="4"/>
  <c r="BF4641" i="4"/>
  <c r="BF4642" i="4"/>
  <c r="BF4643" i="4"/>
  <c r="BF4644" i="4"/>
  <c r="BF4645" i="4"/>
  <c r="BF4646" i="4"/>
  <c r="BF4647" i="4"/>
  <c r="BF4648" i="4"/>
  <c r="BF4649" i="4"/>
  <c r="BF4650" i="4"/>
  <c r="BF4651" i="4"/>
  <c r="BF4652" i="4"/>
  <c r="BF4653" i="4"/>
  <c r="BF4654" i="4"/>
  <c r="BF4655" i="4"/>
  <c r="BF4656" i="4"/>
  <c r="BF4657" i="4"/>
  <c r="BF4658" i="4"/>
  <c r="BF4659" i="4"/>
  <c r="BF4660" i="4"/>
  <c r="BF4661" i="4"/>
  <c r="BF4662" i="4"/>
  <c r="BF4663" i="4"/>
  <c r="BF4664" i="4"/>
  <c r="BF4665" i="4"/>
  <c r="BF4666" i="4"/>
  <c r="BF4667" i="4"/>
  <c r="BF4668" i="4"/>
  <c r="BF4669" i="4"/>
  <c r="BF4670" i="4"/>
  <c r="BF4671" i="4"/>
  <c r="BF4672" i="4"/>
  <c r="BF4673" i="4"/>
  <c r="BF4674" i="4"/>
  <c r="BF4675" i="4"/>
  <c r="BF4676" i="4"/>
  <c r="BF4677" i="4"/>
  <c r="BF4678" i="4"/>
  <c r="BF4679" i="4"/>
  <c r="BF4680" i="4"/>
  <c r="BF4681" i="4"/>
  <c r="BF4682" i="4"/>
  <c r="BF4683" i="4"/>
  <c r="BF4684" i="4"/>
  <c r="BF4685" i="4"/>
  <c r="BF4686" i="4"/>
  <c r="BF4687" i="4"/>
  <c r="BF4688" i="4"/>
  <c r="BF4689" i="4"/>
  <c r="BF4690" i="4"/>
  <c r="BF4691" i="4"/>
  <c r="BF4692" i="4"/>
  <c r="BF4693" i="4"/>
  <c r="BF4694" i="4"/>
  <c r="BF4695" i="4"/>
  <c r="BF4696" i="4"/>
  <c r="BF4697" i="4"/>
  <c r="BF4698" i="4"/>
  <c r="BF4699" i="4"/>
  <c r="BF4700" i="4"/>
  <c r="BF4701" i="4"/>
  <c r="BF4702" i="4"/>
  <c r="BF4703" i="4"/>
  <c r="BF4704" i="4"/>
  <c r="BF4705" i="4"/>
  <c r="BF4706" i="4"/>
  <c r="BF4707" i="4"/>
  <c r="BF4708" i="4"/>
  <c r="BF4709" i="4"/>
  <c r="BF4710" i="4"/>
  <c r="BF4711" i="4"/>
  <c r="BF4712" i="4"/>
  <c r="BF4713" i="4"/>
  <c r="BF4714" i="4"/>
  <c r="BF4715" i="4"/>
  <c r="BF4716" i="4"/>
  <c r="BF4717" i="4"/>
  <c r="BF4718" i="4"/>
  <c r="BF4719" i="4"/>
  <c r="BF4720" i="4"/>
  <c r="BF4721" i="4"/>
  <c r="BF4722" i="4"/>
  <c r="BF4723" i="4"/>
  <c r="BF4724" i="4"/>
  <c r="BF4725" i="4"/>
  <c r="BF4726" i="4"/>
  <c r="BF4727" i="4"/>
  <c r="BF4728" i="4"/>
  <c r="BF4729" i="4"/>
  <c r="BF4730" i="4"/>
  <c r="BF4731" i="4"/>
  <c r="BF4732" i="4"/>
  <c r="BF4733" i="4"/>
  <c r="BF4734" i="4"/>
  <c r="BF4735" i="4"/>
  <c r="BF4736" i="4"/>
  <c r="BF4737" i="4"/>
  <c r="BF4738" i="4"/>
  <c r="BF4739" i="4"/>
  <c r="BF4740" i="4"/>
  <c r="BF4741" i="4"/>
  <c r="BF4742" i="4"/>
  <c r="BF4743" i="4"/>
  <c r="BF4744" i="4"/>
  <c r="BF4745" i="4"/>
  <c r="BF4746" i="4"/>
  <c r="BF4747" i="4"/>
  <c r="BF4748" i="4"/>
  <c r="BF4749" i="4"/>
  <c r="BF4750" i="4"/>
  <c r="BF4751" i="4"/>
  <c r="BF4752" i="4"/>
  <c r="BF4753" i="4"/>
  <c r="BF4754" i="4"/>
  <c r="BF4755" i="4"/>
  <c r="BF4756" i="4"/>
  <c r="BF4757" i="4"/>
  <c r="BF4758" i="4"/>
  <c r="BF4759" i="4"/>
  <c r="BF4760" i="4"/>
  <c r="BF4761" i="4"/>
  <c r="BF4762" i="4"/>
  <c r="BF4763" i="4"/>
  <c r="BF4764" i="4"/>
  <c r="BF4765" i="4"/>
  <c r="BF4766" i="4"/>
  <c r="BF4767" i="4"/>
  <c r="BF4768" i="4"/>
  <c r="BF4769" i="4"/>
  <c r="BF4770" i="4"/>
  <c r="BF4771" i="4"/>
  <c r="BF4772" i="4"/>
  <c r="BF4773" i="4"/>
  <c r="BF4774" i="4"/>
  <c r="BF4775" i="4"/>
  <c r="BF4776" i="4"/>
  <c r="BF4777" i="4"/>
  <c r="BF4778" i="4"/>
  <c r="BF4779" i="4"/>
  <c r="BF4780" i="4"/>
  <c r="BF4781" i="4"/>
  <c r="BF4782" i="4"/>
  <c r="BF4783" i="4"/>
  <c r="BF4784" i="4"/>
  <c r="BF4785" i="4"/>
  <c r="BF4786" i="4"/>
  <c r="BF4787" i="4"/>
  <c r="BF4788" i="4"/>
  <c r="BF4789" i="4"/>
  <c r="BF4790" i="4"/>
  <c r="BF4791" i="4"/>
  <c r="BF4792" i="4"/>
  <c r="BF4793" i="4"/>
  <c r="BF4794" i="4"/>
  <c r="BF4795" i="4"/>
  <c r="BF4796" i="4"/>
  <c r="BF4797" i="4"/>
  <c r="BF4798" i="4"/>
  <c r="BF4799" i="4"/>
  <c r="BF4800" i="4"/>
  <c r="BF4801" i="4"/>
  <c r="BF4802" i="4"/>
  <c r="BF4803" i="4"/>
  <c r="BF4804" i="4"/>
  <c r="BF4805" i="4"/>
  <c r="BF4806" i="4"/>
  <c r="BF4807" i="4"/>
  <c r="BF4808" i="4"/>
  <c r="BF4809" i="4"/>
  <c r="BF4810" i="4"/>
  <c r="BF4811" i="4"/>
  <c r="BF4812" i="4"/>
  <c r="BF4813" i="4"/>
  <c r="BF4814" i="4"/>
  <c r="BF4815" i="4"/>
  <c r="BF4816" i="4"/>
  <c r="BF4817" i="4"/>
  <c r="BF4818" i="4"/>
  <c r="BF4819" i="4"/>
  <c r="BF4820" i="4"/>
  <c r="BF4821" i="4"/>
  <c r="BF4822" i="4"/>
  <c r="BF4823" i="4"/>
  <c r="BF4824" i="4"/>
  <c r="BF4825" i="4"/>
  <c r="BF4826" i="4"/>
  <c r="BF4827" i="4"/>
  <c r="BF4828" i="4"/>
  <c r="BF4829" i="4"/>
  <c r="BF4830" i="4"/>
  <c r="BF4831" i="4"/>
  <c r="BF4832" i="4"/>
  <c r="BF4833" i="4"/>
  <c r="BF4834" i="4"/>
  <c r="BF4835" i="4"/>
  <c r="BF4836" i="4"/>
  <c r="BF4837" i="4"/>
  <c r="BF4838" i="4"/>
  <c r="BF4839" i="4"/>
  <c r="BF4840" i="4"/>
  <c r="BF4841" i="4"/>
  <c r="BF4842" i="4"/>
  <c r="BF4843" i="4"/>
  <c r="BF4844" i="4"/>
  <c r="BF4845" i="4"/>
  <c r="BF4846" i="4"/>
  <c r="BF4847" i="4"/>
  <c r="BF4848" i="4"/>
  <c r="BF4849" i="4"/>
  <c r="BF4850" i="4"/>
  <c r="BF4851" i="4"/>
  <c r="BF4852" i="4"/>
  <c r="BF4853" i="4"/>
  <c r="BF4854" i="4"/>
  <c r="BF4855" i="4"/>
  <c r="BF4856" i="4"/>
  <c r="BF4857" i="4"/>
  <c r="BF4858" i="4"/>
  <c r="BF4859" i="4"/>
  <c r="BF4860" i="4"/>
  <c r="BF4861" i="4"/>
  <c r="BF4862" i="4"/>
  <c r="BF4863" i="4"/>
  <c r="BF4864" i="4"/>
  <c r="BF4865" i="4"/>
  <c r="BF4866" i="4"/>
  <c r="BF4867" i="4"/>
  <c r="BF4868" i="4"/>
  <c r="BF4869" i="4"/>
  <c r="BF4870" i="4"/>
  <c r="BF4871" i="4"/>
  <c r="BF4872" i="4"/>
  <c r="BF4873" i="4"/>
  <c r="BF4874" i="4"/>
  <c r="BF4875" i="4"/>
  <c r="BF4876" i="4"/>
  <c r="BF4877" i="4"/>
  <c r="BF4878" i="4"/>
  <c r="BF4879" i="4"/>
  <c r="BF4880" i="4"/>
  <c r="BF4881" i="4"/>
  <c r="BF4882" i="4"/>
  <c r="BF4883" i="4"/>
  <c r="BF4884" i="4"/>
  <c r="BF4885" i="4"/>
  <c r="BF4886" i="4"/>
  <c r="BF4887" i="4"/>
  <c r="BF4888" i="4"/>
  <c r="BF4889" i="4"/>
  <c r="BF4890" i="4"/>
  <c r="BF4891" i="4"/>
  <c r="BF4892" i="4"/>
  <c r="BF4893" i="4"/>
  <c r="BF4894" i="4"/>
  <c r="BF4895" i="4"/>
  <c r="BF4896" i="4"/>
  <c r="BF4897" i="4"/>
  <c r="BF4898" i="4"/>
  <c r="BF4899" i="4"/>
  <c r="BF4900" i="4"/>
  <c r="BF4901" i="4"/>
  <c r="BF4902" i="4"/>
  <c r="BF4903" i="4"/>
  <c r="BF4904" i="4"/>
  <c r="BF4905" i="4"/>
  <c r="BF4906" i="4"/>
  <c r="BF4907" i="4"/>
  <c r="BF4908" i="4"/>
  <c r="BF4909" i="4"/>
  <c r="BF4910" i="4"/>
  <c r="BF4911" i="4"/>
  <c r="BF4912" i="4"/>
  <c r="BF4913" i="4"/>
  <c r="BF4914" i="4"/>
  <c r="BF4915" i="4"/>
  <c r="BF4916" i="4"/>
  <c r="BF4917" i="4"/>
  <c r="BF4918" i="4"/>
  <c r="BF4919" i="4"/>
  <c r="BF4920" i="4"/>
  <c r="BF4921" i="4"/>
  <c r="BF4922" i="4"/>
  <c r="BF4923" i="4"/>
  <c r="BF4924" i="4"/>
  <c r="BF4925" i="4"/>
  <c r="BF4926" i="4"/>
  <c r="BF4927" i="4"/>
  <c r="BF4928" i="4"/>
  <c r="BF4929" i="4"/>
  <c r="BF4930" i="4"/>
  <c r="BF4931" i="4"/>
  <c r="BF4932" i="4"/>
  <c r="BF4933" i="4"/>
  <c r="BF4934" i="4"/>
  <c r="BF4935" i="4"/>
  <c r="BF4936" i="4"/>
  <c r="BF4937" i="4"/>
  <c r="BF4938" i="4"/>
  <c r="BF4939" i="4"/>
  <c r="BF4940" i="4"/>
  <c r="BF4941" i="4"/>
  <c r="BF4942" i="4"/>
  <c r="BF4943" i="4"/>
  <c r="BF4944" i="4"/>
  <c r="BF4945" i="4"/>
  <c r="BF4946" i="4"/>
  <c r="BF4947" i="4"/>
  <c r="BF4948" i="4"/>
  <c r="BF4949" i="4"/>
  <c r="BF4950" i="4"/>
  <c r="BF4951" i="4"/>
  <c r="BF4952" i="4"/>
  <c r="BF4953" i="4"/>
  <c r="BF4954" i="4"/>
  <c r="BF4955" i="4"/>
  <c r="BF4956" i="4"/>
  <c r="BF4957" i="4"/>
  <c r="BF4958" i="4"/>
  <c r="BF4959" i="4"/>
  <c r="BF4960" i="4"/>
  <c r="BF4961" i="4"/>
  <c r="BF4962" i="4"/>
  <c r="BF4963" i="4"/>
  <c r="BF4964" i="4"/>
  <c r="BF4965" i="4"/>
  <c r="BF4966" i="4"/>
  <c r="BF4967" i="4"/>
  <c r="BF4968" i="4"/>
  <c r="BF4969" i="4"/>
  <c r="BF4970" i="4"/>
  <c r="BF4971" i="4"/>
  <c r="BF4972" i="4"/>
  <c r="BF4973" i="4"/>
  <c r="BF4974" i="4"/>
  <c r="BF4975" i="4"/>
  <c r="BF4976" i="4"/>
  <c r="BF4977" i="4"/>
  <c r="BF4978" i="4"/>
  <c r="BF4979" i="4"/>
  <c r="BF4980" i="4"/>
  <c r="BF4981" i="4"/>
  <c r="BF4982" i="4"/>
  <c r="BF4983" i="4"/>
  <c r="BF4984" i="4"/>
  <c r="BF4985" i="4"/>
  <c r="BF4986" i="4"/>
  <c r="BF4987" i="4"/>
  <c r="BF4988" i="4"/>
  <c r="BF4989" i="4"/>
  <c r="BF4990" i="4"/>
  <c r="BF4991" i="4"/>
  <c r="BF4992" i="4"/>
  <c r="BF4993" i="4"/>
  <c r="BF4994" i="4"/>
  <c r="BF4995" i="4"/>
  <c r="BF4996" i="4"/>
  <c r="BF4997" i="4"/>
  <c r="BF4998" i="4"/>
  <c r="BF4999" i="4"/>
  <c r="BF5000" i="4"/>
  <c r="BF5001" i="4"/>
  <c r="BF5002" i="4"/>
  <c r="BF5003" i="4"/>
  <c r="BF5004" i="4"/>
  <c r="BF5005" i="4"/>
  <c r="BF5006" i="4"/>
  <c r="BF5007" i="4"/>
  <c r="BF5008" i="4"/>
  <c r="BF5009" i="4"/>
  <c r="BF5010" i="4"/>
  <c r="BF5011" i="4"/>
  <c r="BF5012" i="4"/>
  <c r="BF5013" i="4"/>
  <c r="BF5014" i="4"/>
  <c r="BF5015" i="4"/>
  <c r="BF5016" i="4"/>
  <c r="BF5017" i="4"/>
  <c r="BF5018" i="4"/>
  <c r="BF5019" i="4"/>
  <c r="BF5020" i="4"/>
  <c r="BF5021" i="4"/>
  <c r="BF5022" i="4"/>
  <c r="BF5023" i="4"/>
  <c r="BF5024" i="4"/>
  <c r="BF5025" i="4"/>
  <c r="BF5026" i="4"/>
  <c r="BF5027" i="4"/>
  <c r="BF5028" i="4"/>
  <c r="BF5029" i="4"/>
  <c r="BF5030" i="4"/>
  <c r="BF5031" i="4"/>
  <c r="BF5032" i="4"/>
  <c r="BF5033" i="4"/>
  <c r="BF5034" i="4"/>
  <c r="BF5035" i="4"/>
  <c r="BF5036" i="4"/>
  <c r="BF5037" i="4"/>
  <c r="BF5038" i="4"/>
  <c r="BF5039" i="4"/>
  <c r="BF5040" i="4"/>
  <c r="BF5041" i="4"/>
  <c r="BF5042" i="4"/>
  <c r="BF5043" i="4"/>
  <c r="BF5044" i="4"/>
  <c r="BF5045" i="4"/>
  <c r="BF5046" i="4"/>
  <c r="BF5047" i="4"/>
  <c r="BF5048" i="4"/>
  <c r="BF5049" i="4"/>
  <c r="BF5050" i="4"/>
  <c r="BF5051" i="4"/>
  <c r="BF5052" i="4"/>
  <c r="BF5053" i="4"/>
  <c r="BF5054" i="4"/>
  <c r="BF5055" i="4"/>
  <c r="BF5056" i="4"/>
  <c r="BF5057" i="4"/>
  <c r="BF5058" i="4"/>
  <c r="BF5059" i="4"/>
  <c r="BF5060" i="4"/>
  <c r="BF5061" i="4"/>
  <c r="BF5062" i="4"/>
  <c r="BF5063" i="4"/>
  <c r="BF5064" i="4"/>
  <c r="BF5065" i="4"/>
  <c r="BF5066" i="4"/>
  <c r="BF5067" i="4"/>
  <c r="BF5068" i="4"/>
  <c r="BF5069" i="4"/>
  <c r="BF5070" i="4"/>
  <c r="BF5071" i="4"/>
  <c r="BF5072" i="4"/>
  <c r="BF5073" i="4"/>
  <c r="BF5074" i="4"/>
  <c r="BF5075" i="4"/>
  <c r="BF5076" i="4"/>
  <c r="BF5077" i="4"/>
  <c r="BF5078" i="4"/>
  <c r="BF5079" i="4"/>
  <c r="BF5080" i="4"/>
  <c r="BF5081" i="4"/>
  <c r="BF5082" i="4"/>
  <c r="BF5083" i="4"/>
  <c r="BF5084" i="4"/>
  <c r="BF5085" i="4"/>
  <c r="BF5086" i="4"/>
  <c r="BF5087" i="4"/>
  <c r="BF5088" i="4"/>
  <c r="BF5089" i="4"/>
  <c r="BF5090" i="4"/>
  <c r="BF5091" i="4"/>
  <c r="BF5092" i="4"/>
  <c r="BF5093" i="4"/>
  <c r="BF5094" i="4"/>
  <c r="BF5095" i="4"/>
  <c r="BF5096" i="4"/>
  <c r="BF5097" i="4"/>
  <c r="BF5098" i="4"/>
  <c r="BF5099" i="4"/>
  <c r="BF5100" i="4"/>
  <c r="BF5101" i="4"/>
  <c r="BF5102" i="4"/>
  <c r="BF5103" i="4"/>
  <c r="BF5104" i="4"/>
  <c r="BF5105" i="4"/>
  <c r="BF5106" i="4"/>
  <c r="BF5107" i="4"/>
  <c r="BF5108" i="4"/>
  <c r="BF5109" i="4"/>
  <c r="BF5110" i="4"/>
  <c r="BF5111" i="4"/>
  <c r="BF5112" i="4"/>
  <c r="BF5113" i="4"/>
  <c r="BF5114" i="4"/>
  <c r="BF5115" i="4"/>
  <c r="BF5116" i="4"/>
  <c r="BF5117" i="4"/>
  <c r="BF5118" i="4"/>
  <c r="BF5119" i="4"/>
  <c r="BF5120" i="4"/>
  <c r="BF5121" i="4"/>
  <c r="BF5122" i="4"/>
  <c r="BF5123" i="4"/>
  <c r="BF5124" i="4"/>
  <c r="BF5125" i="4"/>
  <c r="BF5126" i="4"/>
  <c r="BF5127" i="4"/>
  <c r="BF5128" i="4"/>
  <c r="BF5129" i="4"/>
  <c r="BF5130" i="4"/>
  <c r="BF5131" i="4"/>
  <c r="BF5132" i="4"/>
  <c r="BF5133" i="4"/>
  <c r="BF5134" i="4"/>
  <c r="BF5135" i="4"/>
  <c r="BF5136" i="4"/>
  <c r="BF5137" i="4"/>
  <c r="BF5138" i="4"/>
  <c r="BF5139" i="4"/>
  <c r="BF5140" i="4"/>
  <c r="BF5141" i="4"/>
  <c r="BF5142" i="4"/>
  <c r="BF5143" i="4"/>
  <c r="BF5144" i="4"/>
  <c r="BF5145" i="4"/>
  <c r="BF5146" i="4"/>
  <c r="BF5147" i="4"/>
  <c r="BF5148" i="4"/>
  <c r="BF5149" i="4"/>
  <c r="BF5150" i="4"/>
  <c r="BF5151" i="4"/>
  <c r="BF5152" i="4"/>
  <c r="BF5153" i="4"/>
  <c r="BF5154" i="4"/>
  <c r="BF5155" i="4"/>
  <c r="BF5156" i="4"/>
  <c r="BF5157" i="4"/>
  <c r="BF5158" i="4"/>
  <c r="BF5159" i="4"/>
  <c r="BF5160" i="4"/>
  <c r="BF5161" i="4"/>
  <c r="BF5162" i="4"/>
  <c r="BF5163" i="4"/>
  <c r="BF5164" i="4"/>
  <c r="BF5165" i="4"/>
  <c r="BF5166" i="4"/>
  <c r="BF5167" i="4"/>
  <c r="BF5168" i="4"/>
  <c r="BF5169" i="4"/>
  <c r="BF5170" i="4"/>
  <c r="BF5171" i="4"/>
  <c r="BF5172" i="4"/>
  <c r="BF5173" i="4"/>
  <c r="BF5174" i="4"/>
  <c r="BF5175" i="4"/>
  <c r="BF5176" i="4"/>
  <c r="BF5177" i="4"/>
  <c r="BF5178" i="4"/>
  <c r="BF5179" i="4"/>
  <c r="BF5180" i="4"/>
  <c r="BF5181" i="4"/>
  <c r="BF5182" i="4"/>
  <c r="BF5183" i="4"/>
  <c r="BF5184" i="4"/>
  <c r="BF5185" i="4"/>
  <c r="BF5186" i="4"/>
  <c r="BF5187" i="4"/>
  <c r="BF5188" i="4"/>
  <c r="BF5189" i="4"/>
  <c r="BF5190" i="4"/>
  <c r="BF5191" i="4"/>
  <c r="BF5192" i="4"/>
  <c r="BF5193" i="4"/>
  <c r="BF5194" i="4"/>
  <c r="BF5195" i="4"/>
  <c r="BF5196" i="4"/>
  <c r="BF5197" i="4"/>
  <c r="BF5198" i="4"/>
  <c r="BF5199" i="4"/>
  <c r="BF5200" i="4"/>
  <c r="BF5201" i="4"/>
  <c r="BF5202" i="4"/>
  <c r="BF5203" i="4"/>
  <c r="BF5204" i="4"/>
  <c r="BF5205" i="4"/>
  <c r="BF5206" i="4"/>
  <c r="BF5207" i="4"/>
  <c r="BF5208" i="4"/>
  <c r="BF5209" i="4"/>
  <c r="BF5210" i="4"/>
  <c r="BF5211" i="4"/>
  <c r="BF5212" i="4"/>
  <c r="BF5213" i="4"/>
  <c r="BF5214" i="4"/>
  <c r="BF5215" i="4"/>
  <c r="BF5216" i="4"/>
  <c r="BF5217" i="4"/>
  <c r="BF5218" i="4"/>
  <c r="BF5219" i="4"/>
  <c r="BF5220" i="4"/>
  <c r="BF5221" i="4"/>
  <c r="BF5222" i="4"/>
  <c r="BF5223" i="4"/>
  <c r="BF5224" i="4"/>
  <c r="BF5225" i="4"/>
  <c r="BF5226" i="4"/>
  <c r="BF5227" i="4"/>
  <c r="BF5228" i="4"/>
  <c r="BF5229" i="4"/>
  <c r="BF5230" i="4"/>
  <c r="BF5231" i="4"/>
  <c r="BF5232" i="4"/>
  <c r="BF5233" i="4"/>
  <c r="BF5234" i="4"/>
  <c r="BF5235" i="4"/>
  <c r="BF5236" i="4"/>
  <c r="BF5237" i="4"/>
  <c r="BF5238" i="4"/>
  <c r="BF5239" i="4"/>
  <c r="BF5240" i="4"/>
  <c r="BF5241" i="4"/>
  <c r="BF5242" i="4"/>
  <c r="BF5243" i="4"/>
  <c r="BF5244" i="4"/>
  <c r="BF5245" i="4"/>
  <c r="BF5246" i="4"/>
  <c r="BF5247" i="4"/>
  <c r="BF5248" i="4"/>
  <c r="BF5249" i="4"/>
  <c r="BF5250" i="4"/>
  <c r="BF5251" i="4"/>
  <c r="BF5252" i="4"/>
  <c r="BF5253" i="4"/>
  <c r="BF5254" i="4"/>
  <c r="BF5255" i="4"/>
  <c r="BF5256" i="4"/>
  <c r="BF5257" i="4"/>
  <c r="BF5258" i="4"/>
  <c r="BF5259" i="4"/>
  <c r="BF5260" i="4"/>
  <c r="BF5261" i="4"/>
  <c r="BF5262" i="4"/>
  <c r="BF5263" i="4"/>
  <c r="BF5264" i="4"/>
  <c r="BF5265" i="4"/>
  <c r="BF5266" i="4"/>
  <c r="BF5267" i="4"/>
  <c r="BF5268" i="4"/>
  <c r="BF5269" i="4"/>
  <c r="BF5270" i="4"/>
  <c r="BF5271" i="4"/>
  <c r="BF5272" i="4"/>
  <c r="BF5273" i="4"/>
  <c r="BF5274" i="4"/>
  <c r="BF5275" i="4"/>
  <c r="BF5276" i="4"/>
  <c r="BF5277" i="4"/>
  <c r="BF5278" i="4"/>
  <c r="BF5279" i="4"/>
  <c r="BF5280" i="4"/>
  <c r="BF5281" i="4"/>
  <c r="BF5282" i="4"/>
  <c r="BF5283" i="4"/>
  <c r="BF5284" i="4"/>
  <c r="BF5285" i="4"/>
  <c r="BF5286" i="4"/>
  <c r="BF5287" i="4"/>
  <c r="BF5288" i="4"/>
  <c r="BF5289" i="4"/>
  <c r="BF5290" i="4"/>
  <c r="BF5291" i="4"/>
  <c r="BF5292" i="4"/>
  <c r="BF5293" i="4"/>
  <c r="BF5294" i="4"/>
  <c r="BF5295" i="4"/>
  <c r="BF5296" i="4"/>
  <c r="BF5297" i="4"/>
  <c r="BF5298" i="4"/>
  <c r="BF5299" i="4"/>
  <c r="BF5300" i="4"/>
  <c r="BF5301" i="4"/>
  <c r="BF5302" i="4"/>
  <c r="BF5303" i="4"/>
  <c r="BF5304" i="4"/>
  <c r="BF5305" i="4"/>
  <c r="BF5306" i="4"/>
  <c r="BF5307" i="4"/>
  <c r="BF5308" i="4"/>
  <c r="BF5309" i="4"/>
  <c r="BF5310" i="4"/>
  <c r="BF5311" i="4"/>
  <c r="BF5312" i="4"/>
  <c r="BF5313" i="4"/>
  <c r="BF5314" i="4"/>
  <c r="BF5315" i="4"/>
  <c r="BF5316" i="4"/>
  <c r="BF5317" i="4"/>
  <c r="BF5318" i="4"/>
  <c r="BF5319" i="4"/>
  <c r="BF5320" i="4"/>
  <c r="BF5321" i="4"/>
  <c r="BF5322" i="4"/>
  <c r="BF5323" i="4"/>
  <c r="BF5324" i="4"/>
  <c r="BF5325" i="4"/>
  <c r="BF5326" i="4"/>
  <c r="BF5327" i="4"/>
  <c r="BF5328" i="4"/>
  <c r="BF5329" i="4"/>
  <c r="BF5330" i="4"/>
  <c r="BF5331" i="4"/>
  <c r="BE1073" i="4"/>
  <c r="BE1074" i="4"/>
  <c r="BE1075" i="4"/>
  <c r="BE1076" i="4"/>
  <c r="BE1077" i="4"/>
  <c r="BE1078" i="4"/>
  <c r="BE1079" i="4"/>
  <c r="BE1080" i="4"/>
  <c r="BE1081" i="4"/>
  <c r="BE1082" i="4"/>
  <c r="BE1083" i="4"/>
  <c r="BE1084" i="4"/>
  <c r="BE1085" i="4"/>
  <c r="BE1086" i="4"/>
  <c r="BE1087" i="4"/>
  <c r="BE1088" i="4"/>
  <c r="BE1089" i="4"/>
  <c r="BE1090" i="4"/>
  <c r="BE1091" i="4"/>
  <c r="BE1092" i="4"/>
  <c r="BE1093" i="4"/>
  <c r="BE1094" i="4"/>
  <c r="BE1095" i="4"/>
  <c r="BE1096" i="4"/>
  <c r="BE1097" i="4"/>
  <c r="BE1098" i="4"/>
  <c r="BE1099" i="4"/>
  <c r="BE1100" i="4"/>
  <c r="BE1101" i="4"/>
  <c r="BE1102" i="4"/>
  <c r="BE1103" i="4"/>
  <c r="BE1104" i="4"/>
  <c r="BE1105" i="4"/>
  <c r="BE1106" i="4"/>
  <c r="BE1107" i="4"/>
  <c r="BE1108" i="4"/>
  <c r="BE1109" i="4"/>
  <c r="BE1110" i="4"/>
  <c r="BE1111" i="4"/>
  <c r="BE1112" i="4"/>
  <c r="BE1113" i="4"/>
  <c r="BE1114" i="4"/>
  <c r="BE1115" i="4"/>
  <c r="BE1116" i="4"/>
  <c r="BE1117" i="4"/>
  <c r="BE1118" i="4"/>
  <c r="BE1119" i="4"/>
  <c r="BE1120" i="4"/>
  <c r="BE1121" i="4"/>
  <c r="BE1122" i="4"/>
  <c r="BE1123" i="4"/>
  <c r="BE1124" i="4"/>
  <c r="BE1125" i="4"/>
  <c r="BE1126" i="4"/>
  <c r="BE1127" i="4"/>
  <c r="BE1128" i="4"/>
  <c r="BE1129" i="4"/>
  <c r="BE1130" i="4"/>
  <c r="BE1131" i="4"/>
  <c r="BE1132" i="4"/>
  <c r="BE1133" i="4"/>
  <c r="BE1134" i="4"/>
  <c r="BE1135" i="4"/>
  <c r="BE1136" i="4"/>
  <c r="BE1137" i="4"/>
  <c r="BE1138" i="4"/>
  <c r="BE1139" i="4"/>
  <c r="BE1140" i="4"/>
  <c r="BE1141" i="4"/>
  <c r="BE1142" i="4"/>
  <c r="BE1143" i="4"/>
  <c r="BE1144" i="4"/>
  <c r="BE1145" i="4"/>
  <c r="BE1146" i="4"/>
  <c r="BE1147" i="4"/>
  <c r="BE1148" i="4"/>
  <c r="BE1149" i="4"/>
  <c r="BE1150" i="4"/>
  <c r="BE1151" i="4"/>
  <c r="BE1152" i="4"/>
  <c r="BE1153" i="4"/>
  <c r="BE1154" i="4"/>
  <c r="BE1155" i="4"/>
  <c r="BE1156" i="4"/>
  <c r="BE1157" i="4"/>
  <c r="BE1158" i="4"/>
  <c r="BE1159" i="4"/>
  <c r="BE1160" i="4"/>
  <c r="BE1161" i="4"/>
  <c r="BE1162" i="4"/>
  <c r="BE1163" i="4"/>
  <c r="BE1164" i="4"/>
  <c r="BE1165" i="4"/>
  <c r="BE1166" i="4"/>
  <c r="BE1167" i="4"/>
  <c r="BE1168" i="4"/>
  <c r="BE1169" i="4"/>
  <c r="BE1170" i="4"/>
  <c r="BE1171" i="4"/>
  <c r="BE1172" i="4"/>
  <c r="BE1173" i="4"/>
  <c r="BE1174" i="4"/>
  <c r="BE1175" i="4"/>
  <c r="BE1176" i="4"/>
  <c r="BE1177" i="4"/>
  <c r="BE1178" i="4"/>
  <c r="BE1179" i="4"/>
  <c r="BE1180" i="4"/>
  <c r="BE1181" i="4"/>
  <c r="BE1182" i="4"/>
  <c r="BE1183" i="4"/>
  <c r="BE1184" i="4"/>
  <c r="BE1185" i="4"/>
  <c r="BE1186" i="4"/>
  <c r="BE1187" i="4"/>
  <c r="BE1188" i="4"/>
  <c r="BE1189" i="4"/>
  <c r="BE1190" i="4"/>
  <c r="BE1191" i="4"/>
  <c r="BE1192" i="4"/>
  <c r="BE1193" i="4"/>
  <c r="BE1194" i="4"/>
  <c r="BE1195" i="4"/>
  <c r="BE1196" i="4"/>
  <c r="BE1197" i="4"/>
  <c r="BE1198" i="4"/>
  <c r="BE1199" i="4"/>
  <c r="BE1200" i="4"/>
  <c r="BE1201" i="4"/>
  <c r="BE1202" i="4"/>
  <c r="BE1203" i="4"/>
  <c r="BE1204" i="4"/>
  <c r="BE1205" i="4"/>
  <c r="BE1206" i="4"/>
  <c r="BE1207" i="4"/>
  <c r="BE1208" i="4"/>
  <c r="BE1209" i="4"/>
  <c r="BE1210" i="4"/>
  <c r="BE1211" i="4"/>
  <c r="BE1212" i="4"/>
  <c r="BE1213" i="4"/>
  <c r="BE1214" i="4"/>
  <c r="BE1215" i="4"/>
  <c r="BE1216" i="4"/>
  <c r="BE1217" i="4"/>
  <c r="BE1218" i="4"/>
  <c r="BE1219" i="4"/>
  <c r="BE1220" i="4"/>
  <c r="BE1221" i="4"/>
  <c r="BE1222" i="4"/>
  <c r="BE1223" i="4"/>
  <c r="BE1224" i="4"/>
  <c r="BE1225" i="4"/>
  <c r="BE1226" i="4"/>
  <c r="BE1227" i="4"/>
  <c r="BE1228" i="4"/>
  <c r="BE1229" i="4"/>
  <c r="BE1230" i="4"/>
  <c r="BE1231" i="4"/>
  <c r="BE1232" i="4"/>
  <c r="BE1233" i="4"/>
  <c r="BE1234" i="4"/>
  <c r="BE1235" i="4"/>
  <c r="BE1236" i="4"/>
  <c r="BE1237" i="4"/>
  <c r="BE1238" i="4"/>
  <c r="BE1239" i="4"/>
  <c r="BE1240" i="4"/>
  <c r="BE1241" i="4"/>
  <c r="BE1242" i="4"/>
  <c r="BE1243" i="4"/>
  <c r="BE1244" i="4"/>
  <c r="BE1245" i="4"/>
  <c r="BE1246" i="4"/>
  <c r="BE1247" i="4"/>
  <c r="BE1248" i="4"/>
  <c r="BE1249" i="4"/>
  <c r="BE1250" i="4"/>
  <c r="BE1251" i="4"/>
  <c r="BE1252" i="4"/>
  <c r="BE1253" i="4"/>
  <c r="BE1254" i="4"/>
  <c r="BE1255" i="4"/>
  <c r="BE1256" i="4"/>
  <c r="BE1257" i="4"/>
  <c r="BE1258" i="4"/>
  <c r="BE1259" i="4"/>
  <c r="BE1260" i="4"/>
  <c r="BE1261" i="4"/>
  <c r="BE1262" i="4"/>
  <c r="BE1263" i="4"/>
  <c r="BE1264" i="4"/>
  <c r="BE1265" i="4"/>
  <c r="BE1266" i="4"/>
  <c r="BE1267" i="4"/>
  <c r="BE1268" i="4"/>
  <c r="BE1269" i="4"/>
  <c r="BE1270" i="4"/>
  <c r="BE1271" i="4"/>
  <c r="BE1272" i="4"/>
  <c r="BE1273" i="4"/>
  <c r="BE1274" i="4"/>
  <c r="BE1275" i="4"/>
  <c r="BE1276" i="4"/>
  <c r="BE1277" i="4"/>
  <c r="BE1278" i="4"/>
  <c r="BE1279" i="4"/>
  <c r="BE1280" i="4"/>
  <c r="BE1281" i="4"/>
  <c r="BE1282" i="4"/>
  <c r="BE1283" i="4"/>
  <c r="BE1284" i="4"/>
  <c r="BE1285" i="4"/>
  <c r="BE1286" i="4"/>
  <c r="BE1287" i="4"/>
  <c r="BE1288" i="4"/>
  <c r="BE1289" i="4"/>
  <c r="BE1290" i="4"/>
  <c r="BE1291" i="4"/>
  <c r="BE1292" i="4"/>
  <c r="BE1293" i="4"/>
  <c r="BE1294" i="4"/>
  <c r="BE1295" i="4"/>
  <c r="BE1296" i="4"/>
  <c r="BE1297" i="4"/>
  <c r="BE1298" i="4"/>
  <c r="BE1299" i="4"/>
  <c r="BE1300" i="4"/>
  <c r="BE1301" i="4"/>
  <c r="BE1302" i="4"/>
  <c r="BE1303" i="4"/>
  <c r="BE1304" i="4"/>
  <c r="BE1305" i="4"/>
  <c r="BE1306" i="4"/>
  <c r="BE1307" i="4"/>
  <c r="BE1308" i="4"/>
  <c r="BE1309" i="4"/>
  <c r="BE1310" i="4"/>
  <c r="BE1311" i="4"/>
  <c r="BE1312" i="4"/>
  <c r="BE1313" i="4"/>
  <c r="BE1314" i="4"/>
  <c r="BE1315" i="4"/>
  <c r="BE1316" i="4"/>
  <c r="BE1317" i="4"/>
  <c r="BE1318" i="4"/>
  <c r="BE1319" i="4"/>
  <c r="BE1320" i="4"/>
  <c r="BE1321" i="4"/>
  <c r="BE1322" i="4"/>
  <c r="BE1323" i="4"/>
  <c r="BE1324" i="4"/>
  <c r="BE1325" i="4"/>
  <c r="BE1326" i="4"/>
  <c r="BE1327" i="4"/>
  <c r="BE1328" i="4"/>
  <c r="BE1329" i="4"/>
  <c r="BE1330" i="4"/>
  <c r="BE1331" i="4"/>
  <c r="BE1332" i="4"/>
  <c r="BE1333" i="4"/>
  <c r="BE1334" i="4"/>
  <c r="BE1335" i="4"/>
  <c r="BE1336" i="4"/>
  <c r="BE1337" i="4"/>
  <c r="BE1338" i="4"/>
  <c r="BE1339" i="4"/>
  <c r="BE1340" i="4"/>
  <c r="BE1341" i="4"/>
  <c r="BE1342" i="4"/>
  <c r="BE1343" i="4"/>
  <c r="BE1344" i="4"/>
  <c r="BE1345" i="4"/>
  <c r="BE1346" i="4"/>
  <c r="BE1347" i="4"/>
  <c r="BE1348" i="4"/>
  <c r="BE1349" i="4"/>
  <c r="BE1350" i="4"/>
  <c r="BE1351" i="4"/>
  <c r="BE1352" i="4"/>
  <c r="BE1353" i="4"/>
  <c r="BE1354" i="4"/>
  <c r="BE1355" i="4"/>
  <c r="BE1356" i="4"/>
  <c r="BE1357" i="4"/>
  <c r="BE1358" i="4"/>
  <c r="BE1359" i="4"/>
  <c r="BE1360" i="4"/>
  <c r="BE1361" i="4"/>
  <c r="BE1362" i="4"/>
  <c r="BE1363" i="4"/>
  <c r="BE1364" i="4"/>
  <c r="BE1365" i="4"/>
  <c r="BE1366" i="4"/>
  <c r="BE1367" i="4"/>
  <c r="BE1368" i="4"/>
  <c r="BE1369" i="4"/>
  <c r="BE1370" i="4"/>
  <c r="BE1371" i="4"/>
  <c r="BE1372" i="4"/>
  <c r="BE1373" i="4"/>
  <c r="BE1374" i="4"/>
  <c r="BE1375" i="4"/>
  <c r="BE1376" i="4"/>
  <c r="BE1377" i="4"/>
  <c r="BE1378" i="4"/>
  <c r="BE1379" i="4"/>
  <c r="BE1380" i="4"/>
  <c r="BE1381" i="4"/>
  <c r="BE1382" i="4"/>
  <c r="BE1383" i="4"/>
  <c r="BE1384" i="4"/>
  <c r="BE1385" i="4"/>
  <c r="BE1386" i="4"/>
  <c r="BE1387" i="4"/>
  <c r="BE1388" i="4"/>
  <c r="BE1389" i="4"/>
  <c r="BE1390" i="4"/>
  <c r="BE1391" i="4"/>
  <c r="BE1392" i="4"/>
  <c r="BE1393" i="4"/>
  <c r="BE1394" i="4"/>
  <c r="BE1395" i="4"/>
  <c r="BE1396" i="4"/>
  <c r="BE1397" i="4"/>
  <c r="BE1398" i="4"/>
  <c r="BE1399" i="4"/>
  <c r="BE1400" i="4"/>
  <c r="BE1401" i="4"/>
  <c r="BE1402" i="4"/>
  <c r="BE1403" i="4"/>
  <c r="BE1404" i="4"/>
  <c r="BE1405" i="4"/>
  <c r="BE1406" i="4"/>
  <c r="BE1407" i="4"/>
  <c r="BE1408" i="4"/>
  <c r="BE1409" i="4"/>
  <c r="BE1410" i="4"/>
  <c r="BE1411" i="4"/>
  <c r="BE1412" i="4"/>
  <c r="BE1413" i="4"/>
  <c r="BE1414" i="4"/>
  <c r="BE1415" i="4"/>
  <c r="BE1416" i="4"/>
  <c r="BE1417" i="4"/>
  <c r="BE1418" i="4"/>
  <c r="BE1419" i="4"/>
  <c r="BE1420" i="4"/>
  <c r="BE1421" i="4"/>
  <c r="BE1422" i="4"/>
  <c r="BE1423" i="4"/>
  <c r="BE1424" i="4"/>
  <c r="BE1425" i="4"/>
  <c r="BE1426" i="4"/>
  <c r="BE1427" i="4"/>
  <c r="BE1428" i="4"/>
  <c r="BE1429" i="4"/>
  <c r="BE1430" i="4"/>
  <c r="BE1431" i="4"/>
  <c r="BE1432" i="4"/>
  <c r="BE1433" i="4"/>
  <c r="BE1434" i="4"/>
  <c r="BE1435" i="4"/>
  <c r="BE1436" i="4"/>
  <c r="BE1437" i="4"/>
  <c r="BE1438" i="4"/>
  <c r="BE1439" i="4"/>
  <c r="BE1440" i="4"/>
  <c r="BE1441" i="4"/>
  <c r="BE1442" i="4"/>
  <c r="BE1443" i="4"/>
  <c r="BE1444" i="4"/>
  <c r="BE1445" i="4"/>
  <c r="BE1446" i="4"/>
  <c r="BE1447" i="4"/>
  <c r="BE1448" i="4"/>
  <c r="BE1449" i="4"/>
  <c r="BE1450" i="4"/>
  <c r="BE1451" i="4"/>
  <c r="BE1452" i="4"/>
  <c r="BE1453" i="4"/>
  <c r="BE1454" i="4"/>
  <c r="BE1455" i="4"/>
  <c r="BE1456" i="4"/>
  <c r="BE1457" i="4"/>
  <c r="BE1458" i="4"/>
  <c r="BE1459" i="4"/>
  <c r="BE1460" i="4"/>
  <c r="BE1461" i="4"/>
  <c r="BE1462" i="4"/>
  <c r="BE1463" i="4"/>
  <c r="BE1464" i="4"/>
  <c r="BE1465" i="4"/>
  <c r="BE1466" i="4"/>
  <c r="BE1467" i="4"/>
  <c r="BE1468" i="4"/>
  <c r="BE1469" i="4"/>
  <c r="BE1470" i="4"/>
  <c r="BE1471" i="4"/>
  <c r="BE1472" i="4"/>
  <c r="BE1473" i="4"/>
  <c r="BE1474" i="4"/>
  <c r="BE1475" i="4"/>
  <c r="BE1476" i="4"/>
  <c r="BE1477" i="4"/>
  <c r="BE1478" i="4"/>
  <c r="BE1479" i="4"/>
  <c r="BE1480" i="4"/>
  <c r="BE1481" i="4"/>
  <c r="BE1482" i="4"/>
  <c r="BE1483" i="4"/>
  <c r="BE1484" i="4"/>
  <c r="BE1485" i="4"/>
  <c r="BE1486" i="4"/>
  <c r="BE1487" i="4"/>
  <c r="BE1488" i="4"/>
  <c r="BE1489" i="4"/>
  <c r="BE1490" i="4"/>
  <c r="BE1491" i="4"/>
  <c r="BE1492" i="4"/>
  <c r="BE1493" i="4"/>
  <c r="BE1494" i="4"/>
  <c r="BE1495" i="4"/>
  <c r="BE1496" i="4"/>
  <c r="BE1497" i="4"/>
  <c r="BE1498" i="4"/>
  <c r="BE1499" i="4"/>
  <c r="BE1500" i="4"/>
  <c r="BE1501" i="4"/>
  <c r="BE1502" i="4"/>
  <c r="BE1503" i="4"/>
  <c r="BE1504" i="4"/>
  <c r="BE1505" i="4"/>
  <c r="BE1506" i="4"/>
  <c r="BE1507" i="4"/>
  <c r="BE1508" i="4"/>
  <c r="BE1509" i="4"/>
  <c r="BE1510" i="4"/>
  <c r="BE1511" i="4"/>
  <c r="BE1512" i="4"/>
  <c r="BE1513" i="4"/>
  <c r="BE1514" i="4"/>
  <c r="BE1515" i="4"/>
  <c r="BE1516" i="4"/>
  <c r="BE1517" i="4"/>
  <c r="BE1518" i="4"/>
  <c r="BE1519" i="4"/>
  <c r="BE1520" i="4"/>
  <c r="BE1521" i="4"/>
  <c r="BE1522" i="4"/>
  <c r="BE1523" i="4"/>
  <c r="BE1524" i="4"/>
  <c r="BE1525" i="4"/>
  <c r="BE1526" i="4"/>
  <c r="BE1527" i="4"/>
  <c r="BE1528" i="4"/>
  <c r="BE1529" i="4"/>
  <c r="BE1530" i="4"/>
  <c r="BE1531" i="4"/>
  <c r="BE1532" i="4"/>
  <c r="BE1533" i="4"/>
  <c r="BE1534" i="4"/>
  <c r="BE1535" i="4"/>
  <c r="BE1536" i="4"/>
  <c r="BE1537" i="4"/>
  <c r="BE1538" i="4"/>
  <c r="BE1539" i="4"/>
  <c r="BE1540" i="4"/>
  <c r="BE1541" i="4"/>
  <c r="BE1542" i="4"/>
  <c r="BE1543" i="4"/>
  <c r="BE1544" i="4"/>
  <c r="BE1545" i="4"/>
  <c r="BE1546" i="4"/>
  <c r="BE1547" i="4"/>
  <c r="BE1548" i="4"/>
  <c r="BE1549" i="4"/>
  <c r="BE1550" i="4"/>
  <c r="BE1551" i="4"/>
  <c r="BE1552" i="4"/>
  <c r="BE1553" i="4"/>
  <c r="BE1554" i="4"/>
  <c r="BE1555" i="4"/>
  <c r="BE1556" i="4"/>
  <c r="BE1557" i="4"/>
  <c r="BE1558" i="4"/>
  <c r="BE1559" i="4"/>
  <c r="BE1560" i="4"/>
  <c r="BE1561" i="4"/>
  <c r="BE1562" i="4"/>
  <c r="BE1563" i="4"/>
  <c r="BE1564" i="4"/>
  <c r="BE1565" i="4"/>
  <c r="BE1566" i="4"/>
  <c r="BE1567" i="4"/>
  <c r="BE1568" i="4"/>
  <c r="BE1569" i="4"/>
  <c r="BE1570" i="4"/>
  <c r="BE1571" i="4"/>
  <c r="BE1572" i="4"/>
  <c r="BE1573" i="4"/>
  <c r="BE1574" i="4"/>
  <c r="BE1575" i="4"/>
  <c r="BE1576" i="4"/>
  <c r="BE1577" i="4"/>
  <c r="BE1578" i="4"/>
  <c r="BE1579" i="4"/>
  <c r="BE1580" i="4"/>
  <c r="BE1581" i="4"/>
  <c r="BE1582" i="4"/>
  <c r="BE1583" i="4"/>
  <c r="BE1584" i="4"/>
  <c r="BE1585" i="4"/>
  <c r="BE1586" i="4"/>
  <c r="BE1587" i="4"/>
  <c r="BE1588" i="4"/>
  <c r="BE1589" i="4"/>
  <c r="BE1590" i="4"/>
  <c r="BE1591" i="4"/>
  <c r="BE1592" i="4"/>
  <c r="BE1593" i="4"/>
  <c r="BE1594" i="4"/>
  <c r="BE1595" i="4"/>
  <c r="BE1596" i="4"/>
  <c r="BE1597" i="4"/>
  <c r="BE1598" i="4"/>
  <c r="BE1599" i="4"/>
  <c r="BE1600" i="4"/>
  <c r="BE1601" i="4"/>
  <c r="BE1602" i="4"/>
  <c r="BE1603" i="4"/>
  <c r="BE1604" i="4"/>
  <c r="BE1605" i="4"/>
  <c r="BE1606" i="4"/>
  <c r="BE1607" i="4"/>
  <c r="BE1608" i="4"/>
  <c r="BE1609" i="4"/>
  <c r="BE1610" i="4"/>
  <c r="BE1611" i="4"/>
  <c r="BE1612" i="4"/>
  <c r="BE1613" i="4"/>
  <c r="BE1614" i="4"/>
  <c r="BE1615" i="4"/>
  <c r="BE1616" i="4"/>
  <c r="BE1617" i="4"/>
  <c r="BE1618" i="4"/>
  <c r="BE1619" i="4"/>
  <c r="BE1620" i="4"/>
  <c r="BE1621" i="4"/>
  <c r="BE1622" i="4"/>
  <c r="BE1623" i="4"/>
  <c r="BE1624" i="4"/>
  <c r="BE1625" i="4"/>
  <c r="BE1626" i="4"/>
  <c r="BE1627" i="4"/>
  <c r="BE1628" i="4"/>
  <c r="BE1629" i="4"/>
  <c r="BE1630" i="4"/>
  <c r="BE1631" i="4"/>
  <c r="BE1632" i="4"/>
  <c r="BE1633" i="4"/>
  <c r="BE1634" i="4"/>
  <c r="BE1635" i="4"/>
  <c r="BE1636" i="4"/>
  <c r="BE1637" i="4"/>
  <c r="BE1638" i="4"/>
  <c r="BE1639" i="4"/>
  <c r="BE1640" i="4"/>
  <c r="BE1641" i="4"/>
  <c r="BE1642" i="4"/>
  <c r="BE1643" i="4"/>
  <c r="BE1644" i="4"/>
  <c r="BE1645" i="4"/>
  <c r="BE1646" i="4"/>
  <c r="BE1647" i="4"/>
  <c r="BE1648" i="4"/>
  <c r="BE1649" i="4"/>
  <c r="BE1650" i="4"/>
  <c r="BE1651" i="4"/>
  <c r="BE1652" i="4"/>
  <c r="BE1653" i="4"/>
  <c r="BE1654" i="4"/>
  <c r="BE1655" i="4"/>
  <c r="BE1656" i="4"/>
  <c r="BE1657" i="4"/>
  <c r="BE1658" i="4"/>
  <c r="BE1659" i="4"/>
  <c r="BE1660" i="4"/>
  <c r="BE1661" i="4"/>
  <c r="BE1662" i="4"/>
  <c r="BE1663" i="4"/>
  <c r="BE1664" i="4"/>
  <c r="BE1665" i="4"/>
  <c r="BE1666" i="4"/>
  <c r="BE1667" i="4"/>
  <c r="BE1668" i="4"/>
  <c r="BE1669" i="4"/>
  <c r="BE1670" i="4"/>
  <c r="BE1671" i="4"/>
  <c r="BE1672" i="4"/>
  <c r="BE1673" i="4"/>
  <c r="BE1674" i="4"/>
  <c r="BE1675" i="4"/>
  <c r="BE1676" i="4"/>
  <c r="BE1677" i="4"/>
  <c r="BE1678" i="4"/>
  <c r="BE1679" i="4"/>
  <c r="BE1680" i="4"/>
  <c r="BE1681" i="4"/>
  <c r="BE1682" i="4"/>
  <c r="BE1683" i="4"/>
  <c r="BE1684" i="4"/>
  <c r="BE1685" i="4"/>
  <c r="BE1686" i="4"/>
  <c r="BE1687" i="4"/>
  <c r="BE1688" i="4"/>
  <c r="BE1689" i="4"/>
  <c r="BE1690" i="4"/>
  <c r="BE1691" i="4"/>
  <c r="BE1692" i="4"/>
  <c r="BE1693" i="4"/>
  <c r="BE1694" i="4"/>
  <c r="BE1695" i="4"/>
  <c r="BE1696" i="4"/>
  <c r="BE1697" i="4"/>
  <c r="BE1698" i="4"/>
  <c r="BE1699" i="4"/>
  <c r="BE1700" i="4"/>
  <c r="BE1701" i="4"/>
  <c r="BE1702" i="4"/>
  <c r="BE1703" i="4"/>
  <c r="BE1704" i="4"/>
  <c r="BE1705" i="4"/>
  <c r="BE1706" i="4"/>
  <c r="BE1707" i="4"/>
  <c r="BE1708" i="4"/>
  <c r="BE1709" i="4"/>
  <c r="BE1710" i="4"/>
  <c r="BE1711" i="4"/>
  <c r="BE1712" i="4"/>
  <c r="BE1713" i="4"/>
  <c r="BE1714" i="4"/>
  <c r="BE1715" i="4"/>
  <c r="BE1716" i="4"/>
  <c r="BE1717" i="4"/>
  <c r="BE1718" i="4"/>
  <c r="BE1719" i="4"/>
  <c r="BE1720" i="4"/>
  <c r="BE1721" i="4"/>
  <c r="BE1722" i="4"/>
  <c r="BE1723" i="4"/>
  <c r="BE1724" i="4"/>
  <c r="BE1725" i="4"/>
  <c r="BE1726" i="4"/>
  <c r="BE1727" i="4"/>
  <c r="BE1728" i="4"/>
  <c r="BE1729" i="4"/>
  <c r="BE1730" i="4"/>
  <c r="BE1731" i="4"/>
  <c r="BE1732" i="4"/>
  <c r="BE1733" i="4"/>
  <c r="BE1734" i="4"/>
  <c r="BE1735" i="4"/>
  <c r="BE1736" i="4"/>
  <c r="BE1737" i="4"/>
  <c r="BE1738" i="4"/>
  <c r="BE1739" i="4"/>
  <c r="BE1740" i="4"/>
  <c r="BE1741" i="4"/>
  <c r="BE1742" i="4"/>
  <c r="BE1743" i="4"/>
  <c r="BE1744" i="4"/>
  <c r="BE1745" i="4"/>
  <c r="BE1746" i="4"/>
  <c r="BE1747" i="4"/>
  <c r="BE1748" i="4"/>
  <c r="BE1749" i="4"/>
  <c r="BE1750" i="4"/>
  <c r="BE1751" i="4"/>
  <c r="BE1752" i="4"/>
  <c r="BE1753" i="4"/>
  <c r="BE1754" i="4"/>
  <c r="BE1755" i="4"/>
  <c r="BE1756" i="4"/>
  <c r="BE1757" i="4"/>
  <c r="BE1758" i="4"/>
  <c r="BE1759" i="4"/>
  <c r="BE1760" i="4"/>
  <c r="BE1761" i="4"/>
  <c r="BE1762" i="4"/>
  <c r="BE1763" i="4"/>
  <c r="BE1764" i="4"/>
  <c r="BE1765" i="4"/>
  <c r="BE1766" i="4"/>
  <c r="BE1767" i="4"/>
  <c r="BE1768" i="4"/>
  <c r="BE1769" i="4"/>
  <c r="BE1770" i="4"/>
  <c r="BE1771" i="4"/>
  <c r="BE1772" i="4"/>
  <c r="BE1773" i="4"/>
  <c r="BE1774" i="4"/>
  <c r="BE1775" i="4"/>
  <c r="BE1776" i="4"/>
  <c r="BE1777" i="4"/>
  <c r="BE1778" i="4"/>
  <c r="BE1779" i="4"/>
  <c r="BE1780" i="4"/>
  <c r="BE1781" i="4"/>
  <c r="BE1782" i="4"/>
  <c r="BE1783" i="4"/>
  <c r="BE1784" i="4"/>
  <c r="BE1785" i="4"/>
  <c r="BE1786" i="4"/>
  <c r="BE1787" i="4"/>
  <c r="BE1788" i="4"/>
  <c r="BE1789" i="4"/>
  <c r="BE1790" i="4"/>
  <c r="BE1791" i="4"/>
  <c r="BE1792" i="4"/>
  <c r="BE1793" i="4"/>
  <c r="BE1794" i="4"/>
  <c r="BE1795" i="4"/>
  <c r="BE1796" i="4"/>
  <c r="BE1797" i="4"/>
  <c r="BE1798" i="4"/>
  <c r="BE1799" i="4"/>
  <c r="BE1800" i="4"/>
  <c r="BE1801" i="4"/>
  <c r="BE1802" i="4"/>
  <c r="BE1803" i="4"/>
  <c r="BE1804" i="4"/>
  <c r="BE1805" i="4"/>
  <c r="BE1806" i="4"/>
  <c r="BE1807" i="4"/>
  <c r="BE1808" i="4"/>
  <c r="BE1809" i="4"/>
  <c r="BE1810" i="4"/>
  <c r="BE1811" i="4"/>
  <c r="BE1812" i="4"/>
  <c r="BE1813" i="4"/>
  <c r="BE1814" i="4"/>
  <c r="BE1815" i="4"/>
  <c r="BE1816" i="4"/>
  <c r="BE1817" i="4"/>
  <c r="BE1818" i="4"/>
  <c r="BE1819" i="4"/>
  <c r="BE1820" i="4"/>
  <c r="BE1821" i="4"/>
  <c r="BE1822" i="4"/>
  <c r="BE1823" i="4"/>
  <c r="BE1824" i="4"/>
  <c r="BE1825" i="4"/>
  <c r="BE1826" i="4"/>
  <c r="BE1827" i="4"/>
  <c r="BE1828" i="4"/>
  <c r="BE1829" i="4"/>
  <c r="BE1830" i="4"/>
  <c r="BE1831" i="4"/>
  <c r="BE1832" i="4"/>
  <c r="BE1833" i="4"/>
  <c r="BE1834" i="4"/>
  <c r="BE1835" i="4"/>
  <c r="BE1836" i="4"/>
  <c r="BE1837" i="4"/>
  <c r="BE1838" i="4"/>
  <c r="BE1839" i="4"/>
  <c r="BE1840" i="4"/>
  <c r="BE1841" i="4"/>
  <c r="BE1842" i="4"/>
  <c r="BE1843" i="4"/>
  <c r="BE1844" i="4"/>
  <c r="BE1845" i="4"/>
  <c r="BE1846" i="4"/>
  <c r="BE1847" i="4"/>
  <c r="BE1848" i="4"/>
  <c r="BE1849" i="4"/>
  <c r="BE1850" i="4"/>
  <c r="BE1851" i="4"/>
  <c r="BE1852" i="4"/>
  <c r="BE1853" i="4"/>
  <c r="BE1854" i="4"/>
  <c r="BE1855" i="4"/>
  <c r="BE1856" i="4"/>
  <c r="BE1857" i="4"/>
  <c r="BE1858" i="4"/>
  <c r="BE1859" i="4"/>
  <c r="BE1860" i="4"/>
  <c r="BE1861" i="4"/>
  <c r="BE1862" i="4"/>
  <c r="BE1863" i="4"/>
  <c r="BE1864" i="4"/>
  <c r="BE1865" i="4"/>
  <c r="BE1866" i="4"/>
  <c r="BE1867" i="4"/>
  <c r="BE1868" i="4"/>
  <c r="BE1869" i="4"/>
  <c r="BE1870" i="4"/>
  <c r="BE1871" i="4"/>
  <c r="BE1872" i="4"/>
  <c r="BE1873" i="4"/>
  <c r="BE1874" i="4"/>
  <c r="BE1875" i="4"/>
  <c r="BE1876" i="4"/>
  <c r="BE1877" i="4"/>
  <c r="BE1878" i="4"/>
  <c r="BE1879" i="4"/>
  <c r="BE1880" i="4"/>
  <c r="BE1881" i="4"/>
  <c r="BE1882" i="4"/>
  <c r="BE1883" i="4"/>
  <c r="BE1884" i="4"/>
  <c r="BE1885" i="4"/>
  <c r="BE1886" i="4"/>
  <c r="BE1887" i="4"/>
  <c r="BE1888" i="4"/>
  <c r="BE1889" i="4"/>
  <c r="BE1890" i="4"/>
  <c r="BE1891" i="4"/>
  <c r="BE1892" i="4"/>
  <c r="BE1893" i="4"/>
  <c r="BE1894" i="4"/>
  <c r="BE1895" i="4"/>
  <c r="BE1896" i="4"/>
  <c r="BE1897" i="4"/>
  <c r="BE1898" i="4"/>
  <c r="BE1899" i="4"/>
  <c r="BE1900" i="4"/>
  <c r="BE1901" i="4"/>
  <c r="BE1902" i="4"/>
  <c r="BE1903" i="4"/>
  <c r="BE1904" i="4"/>
  <c r="BE1905" i="4"/>
  <c r="BE1906" i="4"/>
  <c r="BE1907" i="4"/>
  <c r="BE1908" i="4"/>
  <c r="BE1909" i="4"/>
  <c r="BE1910" i="4"/>
  <c r="BE1911" i="4"/>
  <c r="BE1912" i="4"/>
  <c r="BE1913" i="4"/>
  <c r="BE1914" i="4"/>
  <c r="BE1915" i="4"/>
  <c r="BE1916" i="4"/>
  <c r="BE1917" i="4"/>
  <c r="BE1918" i="4"/>
  <c r="BE1919" i="4"/>
  <c r="BE1920" i="4"/>
  <c r="BE1921" i="4"/>
  <c r="BE1922" i="4"/>
  <c r="BE1923" i="4"/>
  <c r="BE1924" i="4"/>
  <c r="BE1925" i="4"/>
  <c r="BE1926" i="4"/>
  <c r="BE1927" i="4"/>
  <c r="BE1928" i="4"/>
  <c r="BE1929" i="4"/>
  <c r="BE1930" i="4"/>
  <c r="BE1931" i="4"/>
  <c r="BE1932" i="4"/>
  <c r="BE1933" i="4"/>
  <c r="BE1934" i="4"/>
  <c r="BE1935" i="4"/>
  <c r="BE1936" i="4"/>
  <c r="BE1937" i="4"/>
  <c r="BE1938" i="4"/>
  <c r="BE1939" i="4"/>
  <c r="BE1940" i="4"/>
  <c r="BE1941" i="4"/>
  <c r="BE1942" i="4"/>
  <c r="BE1943" i="4"/>
  <c r="BE1944" i="4"/>
  <c r="BE1945" i="4"/>
  <c r="BE1946" i="4"/>
  <c r="BE1947" i="4"/>
  <c r="BE1948" i="4"/>
  <c r="BE1949" i="4"/>
  <c r="BE1950" i="4"/>
  <c r="BE1951" i="4"/>
  <c r="BE1952" i="4"/>
  <c r="BE1953" i="4"/>
  <c r="BE1954" i="4"/>
  <c r="BE1955" i="4"/>
  <c r="BE1956" i="4"/>
  <c r="BE1957" i="4"/>
  <c r="BE1958" i="4"/>
  <c r="BE1959" i="4"/>
  <c r="BE1960" i="4"/>
  <c r="BE1961" i="4"/>
  <c r="BE1962" i="4"/>
  <c r="BE1963" i="4"/>
  <c r="BE1964" i="4"/>
  <c r="BE1965" i="4"/>
  <c r="BE1966" i="4"/>
  <c r="BE1967" i="4"/>
  <c r="BE1968" i="4"/>
  <c r="BE1969" i="4"/>
  <c r="BE1970" i="4"/>
  <c r="BE1971" i="4"/>
  <c r="BE1972" i="4"/>
  <c r="BE1973" i="4"/>
  <c r="BE1974" i="4"/>
  <c r="BE1975" i="4"/>
  <c r="BE1976" i="4"/>
  <c r="BE1977" i="4"/>
  <c r="BE1978" i="4"/>
  <c r="BE1979" i="4"/>
  <c r="BE1980" i="4"/>
  <c r="BE1981" i="4"/>
  <c r="BE1982" i="4"/>
  <c r="BE1983" i="4"/>
  <c r="BE1984" i="4"/>
  <c r="BE1985" i="4"/>
  <c r="BE1986" i="4"/>
  <c r="BE1987" i="4"/>
  <c r="BE1988" i="4"/>
  <c r="BE1989" i="4"/>
  <c r="BE1990" i="4"/>
  <c r="BE1991" i="4"/>
  <c r="BE1992" i="4"/>
  <c r="BE1993" i="4"/>
  <c r="BE1994" i="4"/>
  <c r="BE1995" i="4"/>
  <c r="BE1996" i="4"/>
  <c r="BE1997" i="4"/>
  <c r="BE1998" i="4"/>
  <c r="BE1999" i="4"/>
  <c r="BE2000" i="4"/>
  <c r="BE2001" i="4"/>
  <c r="BE2002" i="4"/>
  <c r="BE2003" i="4"/>
  <c r="BE2004" i="4"/>
  <c r="BE2005" i="4"/>
  <c r="BE2006" i="4"/>
  <c r="BE2007" i="4"/>
  <c r="BE2008" i="4"/>
  <c r="BE2009" i="4"/>
  <c r="BE2010" i="4"/>
  <c r="BE2011" i="4"/>
  <c r="BE2012" i="4"/>
  <c r="BE2013" i="4"/>
  <c r="BE2014" i="4"/>
  <c r="BE2015" i="4"/>
  <c r="BE2016" i="4"/>
  <c r="BE2017" i="4"/>
  <c r="BE2018" i="4"/>
  <c r="BE2019" i="4"/>
  <c r="BE2020" i="4"/>
  <c r="BE2021" i="4"/>
  <c r="BE2022" i="4"/>
  <c r="BE2023" i="4"/>
  <c r="BE2024" i="4"/>
  <c r="BE2025" i="4"/>
  <c r="BE2026" i="4"/>
  <c r="BE2027" i="4"/>
  <c r="BE2028" i="4"/>
  <c r="BE2029" i="4"/>
  <c r="BE2030" i="4"/>
  <c r="BE2031" i="4"/>
  <c r="BE2032" i="4"/>
  <c r="BE2033" i="4"/>
  <c r="BE2034" i="4"/>
  <c r="BE2035" i="4"/>
  <c r="BE2036" i="4"/>
  <c r="BE2037" i="4"/>
  <c r="BE2038" i="4"/>
  <c r="BE2039" i="4"/>
  <c r="BE2040" i="4"/>
  <c r="BE2041" i="4"/>
  <c r="BE2042" i="4"/>
  <c r="BE2043" i="4"/>
  <c r="BE2044" i="4"/>
  <c r="BE2045" i="4"/>
  <c r="BE2046" i="4"/>
  <c r="BE2047" i="4"/>
  <c r="BE2048" i="4"/>
  <c r="BE2049" i="4"/>
  <c r="BE2050" i="4"/>
  <c r="BE2051" i="4"/>
  <c r="BE2052" i="4"/>
  <c r="BE2053" i="4"/>
  <c r="BE2054" i="4"/>
  <c r="BE2055" i="4"/>
  <c r="BE2056" i="4"/>
  <c r="BE2057" i="4"/>
  <c r="BE2058" i="4"/>
  <c r="BE2059" i="4"/>
  <c r="BE2060" i="4"/>
  <c r="BE2061" i="4"/>
  <c r="BE2062" i="4"/>
  <c r="BE2063" i="4"/>
  <c r="BE2064" i="4"/>
  <c r="BE2065" i="4"/>
  <c r="BE2066" i="4"/>
  <c r="BE2067" i="4"/>
  <c r="BE2068" i="4"/>
  <c r="BE2069" i="4"/>
  <c r="BE2070" i="4"/>
  <c r="BE2071" i="4"/>
  <c r="BE2072" i="4"/>
  <c r="BE2073" i="4"/>
  <c r="BE2074" i="4"/>
  <c r="BE2075" i="4"/>
  <c r="BE2076" i="4"/>
  <c r="BE2077" i="4"/>
  <c r="BE2078" i="4"/>
  <c r="BE2079" i="4"/>
  <c r="BE2080" i="4"/>
  <c r="BE2081" i="4"/>
  <c r="BE2082" i="4"/>
  <c r="BE2083" i="4"/>
  <c r="BE2084" i="4"/>
  <c r="BE2085" i="4"/>
  <c r="BE2086" i="4"/>
  <c r="BE2087" i="4"/>
  <c r="BE2088" i="4"/>
  <c r="BE2089" i="4"/>
  <c r="BE2090" i="4"/>
  <c r="BE2091" i="4"/>
  <c r="BE2092" i="4"/>
  <c r="BE2093" i="4"/>
  <c r="BE2094" i="4"/>
  <c r="BE2095" i="4"/>
  <c r="BE2096" i="4"/>
  <c r="BE2097" i="4"/>
  <c r="BE2098" i="4"/>
  <c r="BE2099" i="4"/>
  <c r="BE2100" i="4"/>
  <c r="BE2101" i="4"/>
  <c r="BE2102" i="4"/>
  <c r="BE2103" i="4"/>
  <c r="BE2104" i="4"/>
  <c r="BE2105" i="4"/>
  <c r="BE2106" i="4"/>
  <c r="BE2107" i="4"/>
  <c r="BE2108" i="4"/>
  <c r="BE2109" i="4"/>
  <c r="BE2110" i="4"/>
  <c r="BE2111" i="4"/>
  <c r="BE2112" i="4"/>
  <c r="BE2113" i="4"/>
  <c r="BE2114" i="4"/>
  <c r="BE2115" i="4"/>
  <c r="BE2116" i="4"/>
  <c r="BE2117" i="4"/>
  <c r="BE2118" i="4"/>
  <c r="BE2119" i="4"/>
  <c r="BE2120" i="4"/>
  <c r="BE2121" i="4"/>
  <c r="BE2122" i="4"/>
  <c r="BE2123" i="4"/>
  <c r="BE2124" i="4"/>
  <c r="BE2125" i="4"/>
  <c r="BE2126" i="4"/>
  <c r="BE2127" i="4"/>
  <c r="BE2128" i="4"/>
  <c r="BE2129" i="4"/>
  <c r="BE2130" i="4"/>
  <c r="BE2131" i="4"/>
  <c r="BE2132" i="4"/>
  <c r="BE2133" i="4"/>
  <c r="BE2134" i="4"/>
  <c r="BE2135" i="4"/>
  <c r="BE2136" i="4"/>
  <c r="BE2137" i="4"/>
  <c r="BE2138" i="4"/>
  <c r="BE2139" i="4"/>
  <c r="BE2140" i="4"/>
  <c r="BE2141" i="4"/>
  <c r="BE2142" i="4"/>
  <c r="BE2143" i="4"/>
  <c r="BE2144" i="4"/>
  <c r="BE2145" i="4"/>
  <c r="BE2146" i="4"/>
  <c r="BE2147" i="4"/>
  <c r="BE2148" i="4"/>
  <c r="BE2149" i="4"/>
  <c r="BE2150" i="4"/>
  <c r="BE2151" i="4"/>
  <c r="BE2152" i="4"/>
  <c r="BE2153" i="4"/>
  <c r="BE2154" i="4"/>
  <c r="BE2155" i="4"/>
  <c r="BE2156" i="4"/>
  <c r="BE2157" i="4"/>
  <c r="BE2158" i="4"/>
  <c r="BE2159" i="4"/>
  <c r="BE2160" i="4"/>
  <c r="BE2161" i="4"/>
  <c r="BE2162" i="4"/>
  <c r="BE2163" i="4"/>
  <c r="BE2164" i="4"/>
  <c r="BE2165" i="4"/>
  <c r="BE2166" i="4"/>
  <c r="BE2167" i="4"/>
  <c r="BE2168" i="4"/>
  <c r="BE2169" i="4"/>
  <c r="BE2170" i="4"/>
  <c r="BE2171" i="4"/>
  <c r="BE2172" i="4"/>
  <c r="BE2173" i="4"/>
  <c r="BE2174" i="4"/>
  <c r="BE2175" i="4"/>
  <c r="BE2176" i="4"/>
  <c r="BE2177" i="4"/>
  <c r="BE2178" i="4"/>
  <c r="BE2179" i="4"/>
  <c r="BE2180" i="4"/>
  <c r="BE2181" i="4"/>
  <c r="BE2182" i="4"/>
  <c r="BE2183" i="4"/>
  <c r="BE2184" i="4"/>
  <c r="BE2185" i="4"/>
  <c r="BE2186" i="4"/>
  <c r="BE2187" i="4"/>
  <c r="BE2188" i="4"/>
  <c r="BE2189" i="4"/>
  <c r="BE2190" i="4"/>
  <c r="BE2191" i="4"/>
  <c r="BE2192" i="4"/>
  <c r="BE2193" i="4"/>
  <c r="BE2194" i="4"/>
  <c r="BE2195" i="4"/>
  <c r="BE2196" i="4"/>
  <c r="BE2197" i="4"/>
  <c r="BE2198" i="4"/>
  <c r="BE2199" i="4"/>
  <c r="BE2200" i="4"/>
  <c r="BE2201" i="4"/>
  <c r="BE2202" i="4"/>
  <c r="BE2203" i="4"/>
  <c r="BE2204" i="4"/>
  <c r="BE2205" i="4"/>
  <c r="BE2206" i="4"/>
  <c r="BE2207" i="4"/>
  <c r="BE2208" i="4"/>
  <c r="BE2209" i="4"/>
  <c r="BE2210" i="4"/>
  <c r="BE2211" i="4"/>
  <c r="BE2212" i="4"/>
  <c r="BE2213" i="4"/>
  <c r="BE2214" i="4"/>
  <c r="BE2215" i="4"/>
  <c r="BE2216" i="4"/>
  <c r="BE2217" i="4"/>
  <c r="BE2218" i="4"/>
  <c r="BE2219" i="4"/>
  <c r="BE2220" i="4"/>
  <c r="BE2221" i="4"/>
  <c r="BE2222" i="4"/>
  <c r="BE2223" i="4"/>
  <c r="BE2224" i="4"/>
  <c r="BE2225" i="4"/>
  <c r="BE2226" i="4"/>
  <c r="BE2227" i="4"/>
  <c r="BE2228" i="4"/>
  <c r="BE2229" i="4"/>
  <c r="BE2230" i="4"/>
  <c r="BE2231" i="4"/>
  <c r="BE2232" i="4"/>
  <c r="BE2233" i="4"/>
  <c r="BE2234" i="4"/>
  <c r="BE2235" i="4"/>
  <c r="BE2236" i="4"/>
  <c r="BE2237" i="4"/>
  <c r="BE2238" i="4"/>
  <c r="BE2239" i="4"/>
  <c r="BE2240" i="4"/>
  <c r="BE2241" i="4"/>
  <c r="BE2242" i="4"/>
  <c r="BE2243" i="4"/>
  <c r="BE2244" i="4"/>
  <c r="BE2245" i="4"/>
  <c r="BE2246" i="4"/>
  <c r="BE2247" i="4"/>
  <c r="BE2248" i="4"/>
  <c r="BE2249" i="4"/>
  <c r="BE2250" i="4"/>
  <c r="BE2251" i="4"/>
  <c r="BE2252" i="4"/>
  <c r="BE2253" i="4"/>
  <c r="BE2254" i="4"/>
  <c r="BE2255" i="4"/>
  <c r="BE2256" i="4"/>
  <c r="BE2257" i="4"/>
  <c r="BE2258" i="4"/>
  <c r="BE2259" i="4"/>
  <c r="BE2260" i="4"/>
  <c r="BE2261" i="4"/>
  <c r="BE2262" i="4"/>
  <c r="BE2263" i="4"/>
  <c r="BE2264" i="4"/>
  <c r="BE2265" i="4"/>
  <c r="BE2266" i="4"/>
  <c r="BE2267" i="4"/>
  <c r="BE2268" i="4"/>
  <c r="BE2269" i="4"/>
  <c r="BE2270" i="4"/>
  <c r="BE2271" i="4"/>
  <c r="BE2272" i="4"/>
  <c r="BE2273" i="4"/>
  <c r="BE2274" i="4"/>
  <c r="BE2275" i="4"/>
  <c r="BE2276" i="4"/>
  <c r="BE2277" i="4"/>
  <c r="BE2278" i="4"/>
  <c r="BE2279" i="4"/>
  <c r="BE2280" i="4"/>
  <c r="BE2281" i="4"/>
  <c r="BE2282" i="4"/>
  <c r="BE2283" i="4"/>
  <c r="BE2284" i="4"/>
  <c r="BE2285" i="4"/>
  <c r="BE2286" i="4"/>
  <c r="BE2287" i="4"/>
  <c r="BE2288" i="4"/>
  <c r="BE2289" i="4"/>
  <c r="BE2290" i="4"/>
  <c r="BE2291" i="4"/>
  <c r="BE2292" i="4"/>
  <c r="BE2293" i="4"/>
  <c r="BE2294" i="4"/>
  <c r="BE2295" i="4"/>
  <c r="BE2296" i="4"/>
  <c r="BE2297" i="4"/>
  <c r="BE2298" i="4"/>
  <c r="BE2299" i="4"/>
  <c r="BE2300" i="4"/>
  <c r="BE2301" i="4"/>
  <c r="BE2302" i="4"/>
  <c r="BE2303" i="4"/>
  <c r="BE2304" i="4"/>
  <c r="BE2305" i="4"/>
  <c r="BE2306" i="4"/>
  <c r="BE2307" i="4"/>
  <c r="BE2308" i="4"/>
  <c r="BE2309" i="4"/>
  <c r="BE2310" i="4"/>
  <c r="BE2311" i="4"/>
  <c r="BE2312" i="4"/>
  <c r="BE2313" i="4"/>
  <c r="BE2314" i="4"/>
  <c r="BE2315" i="4"/>
  <c r="BE2316" i="4"/>
  <c r="BE2317" i="4"/>
  <c r="BE2318" i="4"/>
  <c r="BE2319" i="4"/>
  <c r="BE2320" i="4"/>
  <c r="BE2321" i="4"/>
  <c r="BE2322" i="4"/>
  <c r="BE2323" i="4"/>
  <c r="BE2324" i="4"/>
  <c r="BE2325" i="4"/>
  <c r="BE2326" i="4"/>
  <c r="BE2327" i="4"/>
  <c r="BE2328" i="4"/>
  <c r="BE2329" i="4"/>
  <c r="BE2330" i="4"/>
  <c r="BE2331" i="4"/>
  <c r="BE2332" i="4"/>
  <c r="BE2333" i="4"/>
  <c r="BE2334" i="4"/>
  <c r="BE2335" i="4"/>
  <c r="BE2336" i="4"/>
  <c r="BE2337" i="4"/>
  <c r="BE2338" i="4"/>
  <c r="BE2339" i="4"/>
  <c r="BE2340" i="4"/>
  <c r="BE2341" i="4"/>
  <c r="BE2342" i="4"/>
  <c r="BE2343" i="4"/>
  <c r="BE2344" i="4"/>
  <c r="BE2345" i="4"/>
  <c r="BE2346" i="4"/>
  <c r="BE2347" i="4"/>
  <c r="BE2348" i="4"/>
  <c r="BE2349" i="4"/>
  <c r="BE2350" i="4"/>
  <c r="BE2351" i="4"/>
  <c r="BE2352" i="4"/>
  <c r="BE2353" i="4"/>
  <c r="BE2354" i="4"/>
  <c r="BE2355" i="4"/>
  <c r="BE2356" i="4"/>
  <c r="BE2357" i="4"/>
  <c r="BE2358" i="4"/>
  <c r="BE2359" i="4"/>
  <c r="BE2360" i="4"/>
  <c r="BE2361" i="4"/>
  <c r="BE2362" i="4"/>
  <c r="BE2363" i="4"/>
  <c r="BE2364" i="4"/>
  <c r="BE2365" i="4"/>
  <c r="BE2366" i="4"/>
  <c r="BE2367" i="4"/>
  <c r="BE2368" i="4"/>
  <c r="BE2369" i="4"/>
  <c r="BE2370" i="4"/>
  <c r="BE2371" i="4"/>
  <c r="BE2372" i="4"/>
  <c r="BE2373" i="4"/>
  <c r="BE2374" i="4"/>
  <c r="BE2375" i="4"/>
  <c r="BE2376" i="4"/>
  <c r="BE2377" i="4"/>
  <c r="BE2378" i="4"/>
  <c r="BE2379" i="4"/>
  <c r="BE2380" i="4"/>
  <c r="BE2381" i="4"/>
  <c r="BE2382" i="4"/>
  <c r="BE2383" i="4"/>
  <c r="BE2384" i="4"/>
  <c r="BE2385" i="4"/>
  <c r="BE2386" i="4"/>
  <c r="BE2387" i="4"/>
  <c r="BE2388" i="4"/>
  <c r="BE2389" i="4"/>
  <c r="BE2390" i="4"/>
  <c r="BE2391" i="4"/>
  <c r="BE2392" i="4"/>
  <c r="BE2393" i="4"/>
  <c r="BE2394" i="4"/>
  <c r="BE2395" i="4"/>
  <c r="BE2396" i="4"/>
  <c r="BE2397" i="4"/>
  <c r="BE2398" i="4"/>
  <c r="BE2399" i="4"/>
  <c r="BE2400" i="4"/>
  <c r="BE2401" i="4"/>
  <c r="BE2402" i="4"/>
  <c r="BE2403" i="4"/>
  <c r="BE2404" i="4"/>
  <c r="BE2405" i="4"/>
  <c r="BE2406" i="4"/>
  <c r="BE2407" i="4"/>
  <c r="BE2408" i="4"/>
  <c r="BE2409" i="4"/>
  <c r="BE2410" i="4"/>
  <c r="BE2411" i="4"/>
  <c r="BE2412" i="4"/>
  <c r="BE2413" i="4"/>
  <c r="BE2414" i="4"/>
  <c r="BE2415" i="4"/>
  <c r="BE2416" i="4"/>
  <c r="BE2417" i="4"/>
  <c r="BE2418" i="4"/>
  <c r="BE2419" i="4"/>
  <c r="BE2420" i="4"/>
  <c r="BE2421" i="4"/>
  <c r="BE2422" i="4"/>
  <c r="BE2423" i="4"/>
  <c r="BE2424" i="4"/>
  <c r="BE2425" i="4"/>
  <c r="BE2426" i="4"/>
  <c r="BE2427" i="4"/>
  <c r="BE2428" i="4"/>
  <c r="BE2429" i="4"/>
  <c r="BE2430" i="4"/>
  <c r="BE2431" i="4"/>
  <c r="BE2432" i="4"/>
  <c r="BE2433" i="4"/>
  <c r="BE2434" i="4"/>
  <c r="BE2435" i="4"/>
  <c r="BE2436" i="4"/>
  <c r="BE2437" i="4"/>
  <c r="BE2438" i="4"/>
  <c r="BE2439" i="4"/>
  <c r="BE2440" i="4"/>
  <c r="BE2441" i="4"/>
  <c r="BE2442" i="4"/>
  <c r="BE2443" i="4"/>
  <c r="BE2444" i="4"/>
  <c r="BE2445" i="4"/>
  <c r="BE2446" i="4"/>
  <c r="BE2447" i="4"/>
  <c r="BE2448" i="4"/>
  <c r="BE2449" i="4"/>
  <c r="BE2450" i="4"/>
  <c r="BE2451" i="4"/>
  <c r="BE2452" i="4"/>
  <c r="BE2453" i="4"/>
  <c r="BE2454" i="4"/>
  <c r="BE2455" i="4"/>
  <c r="BE2456" i="4"/>
  <c r="BE2457" i="4"/>
  <c r="BE2458" i="4"/>
  <c r="BE2459" i="4"/>
  <c r="BE2460" i="4"/>
  <c r="BE2461" i="4"/>
  <c r="BE2462" i="4"/>
  <c r="BE2463" i="4"/>
  <c r="BE2464" i="4"/>
  <c r="BE2465" i="4"/>
  <c r="BE2466" i="4"/>
  <c r="BE2467" i="4"/>
  <c r="BE2468" i="4"/>
  <c r="BE2469" i="4"/>
  <c r="BE2470" i="4"/>
  <c r="BE2471" i="4"/>
  <c r="BE2472" i="4"/>
  <c r="BE2473" i="4"/>
  <c r="BE2474" i="4"/>
  <c r="BE2475" i="4"/>
  <c r="BE2476" i="4"/>
  <c r="BE2477" i="4"/>
  <c r="BE2478" i="4"/>
  <c r="BE2479" i="4"/>
  <c r="BE2480" i="4"/>
  <c r="BE2481" i="4"/>
  <c r="BE2482" i="4"/>
  <c r="BE2483" i="4"/>
  <c r="BE2484" i="4"/>
  <c r="BE2485" i="4"/>
  <c r="BE2486" i="4"/>
  <c r="BE2487" i="4"/>
  <c r="BE2488" i="4"/>
  <c r="BE2489" i="4"/>
  <c r="BE2490" i="4"/>
  <c r="BE2491" i="4"/>
  <c r="BE2492" i="4"/>
  <c r="BE2493" i="4"/>
  <c r="BE2494" i="4"/>
  <c r="BE2495" i="4"/>
  <c r="BE2496" i="4"/>
  <c r="BE2497" i="4"/>
  <c r="BE2498" i="4"/>
  <c r="BE2499" i="4"/>
  <c r="BE2500" i="4"/>
  <c r="BE2501" i="4"/>
  <c r="BE2502" i="4"/>
  <c r="BE2503" i="4"/>
  <c r="BE2504" i="4"/>
  <c r="BE2505" i="4"/>
  <c r="BE2506" i="4"/>
  <c r="BE2507" i="4"/>
  <c r="BE2508" i="4"/>
  <c r="BE2509" i="4"/>
  <c r="BE2510" i="4"/>
  <c r="BE2511" i="4"/>
  <c r="BE2512" i="4"/>
  <c r="BE2513" i="4"/>
  <c r="BE2514" i="4"/>
  <c r="BE2515" i="4"/>
  <c r="BE2516" i="4"/>
  <c r="BE2517" i="4"/>
  <c r="BE2518" i="4"/>
  <c r="BE2519" i="4"/>
  <c r="BE2520" i="4"/>
  <c r="BE2521" i="4"/>
  <c r="BE2522" i="4"/>
  <c r="BE2523" i="4"/>
  <c r="BE2524" i="4"/>
  <c r="BE2525" i="4"/>
  <c r="BE2526" i="4"/>
  <c r="BE2527" i="4"/>
  <c r="BE2528" i="4"/>
  <c r="BE2529" i="4"/>
  <c r="BE2530" i="4"/>
  <c r="BE2531" i="4"/>
  <c r="BE2532" i="4"/>
  <c r="BE2533" i="4"/>
  <c r="BE2534" i="4"/>
  <c r="BE2535" i="4"/>
  <c r="BE2536" i="4"/>
  <c r="BE2537" i="4"/>
  <c r="BE2538" i="4"/>
  <c r="BE2539" i="4"/>
  <c r="BE2540" i="4"/>
  <c r="BE2541" i="4"/>
  <c r="BE2542" i="4"/>
  <c r="BE2543" i="4"/>
  <c r="BE2544" i="4"/>
  <c r="BE2545" i="4"/>
  <c r="BE2546" i="4"/>
  <c r="BE2547" i="4"/>
  <c r="BE2548" i="4"/>
  <c r="BE2549" i="4"/>
  <c r="BE2550" i="4"/>
  <c r="BE2551" i="4"/>
  <c r="BE2552" i="4"/>
  <c r="BE2553" i="4"/>
  <c r="BE2554" i="4"/>
  <c r="BE2555" i="4"/>
  <c r="BE2556" i="4"/>
  <c r="BE2557" i="4"/>
  <c r="BE2558" i="4"/>
  <c r="BE2559" i="4"/>
  <c r="BE2560" i="4"/>
  <c r="BE2561" i="4"/>
  <c r="BE2562" i="4"/>
  <c r="BE2563" i="4"/>
  <c r="BE2564" i="4"/>
  <c r="BE2565" i="4"/>
  <c r="BE2566" i="4"/>
  <c r="BE2567" i="4"/>
  <c r="BE2568" i="4"/>
  <c r="BE2569" i="4"/>
  <c r="BE2570" i="4"/>
  <c r="BE2571" i="4"/>
  <c r="BE2572" i="4"/>
  <c r="BE2573" i="4"/>
  <c r="BE2574" i="4"/>
  <c r="BE2575" i="4"/>
  <c r="BE2576" i="4"/>
  <c r="BE2577" i="4"/>
  <c r="BE2578" i="4"/>
  <c r="BE2579" i="4"/>
  <c r="BE2580" i="4"/>
  <c r="BE2581" i="4"/>
  <c r="BE2582" i="4"/>
  <c r="BE2583" i="4"/>
  <c r="BE2584" i="4"/>
  <c r="BE2585" i="4"/>
  <c r="BE2586" i="4"/>
  <c r="BE2587" i="4"/>
  <c r="BE2588" i="4"/>
  <c r="BE2589" i="4"/>
  <c r="BE2590" i="4"/>
  <c r="BE2591" i="4"/>
  <c r="BE2592" i="4"/>
  <c r="BE2593" i="4"/>
  <c r="BE2594" i="4"/>
  <c r="BE2595" i="4"/>
  <c r="BE2596" i="4"/>
  <c r="BE2597" i="4"/>
  <c r="BE2598" i="4"/>
  <c r="BE2599" i="4"/>
  <c r="BE2600" i="4"/>
  <c r="BE2601" i="4"/>
  <c r="BE2602" i="4"/>
  <c r="BE2603" i="4"/>
  <c r="BE2604" i="4"/>
  <c r="BE2605" i="4"/>
  <c r="BE2606" i="4"/>
  <c r="BE2607" i="4"/>
  <c r="BE2608" i="4"/>
  <c r="BE2609" i="4"/>
  <c r="BE2610" i="4"/>
  <c r="BE2611" i="4"/>
  <c r="BE2612" i="4"/>
  <c r="BE2613" i="4"/>
  <c r="BE2614" i="4"/>
  <c r="BE2615" i="4"/>
  <c r="BE2616" i="4"/>
  <c r="BE2617" i="4"/>
  <c r="BE2618" i="4"/>
  <c r="BE2619" i="4"/>
  <c r="BE2620" i="4"/>
  <c r="BE2621" i="4"/>
  <c r="BE2622" i="4"/>
  <c r="BE2623" i="4"/>
  <c r="BE2624" i="4"/>
  <c r="BE2625" i="4"/>
  <c r="BE2626" i="4"/>
  <c r="BE2627" i="4"/>
  <c r="BE2628" i="4"/>
  <c r="BE2629" i="4"/>
  <c r="BE2630" i="4"/>
  <c r="BE2631" i="4"/>
  <c r="BE2632" i="4"/>
  <c r="BE2633" i="4"/>
  <c r="BE2634" i="4"/>
  <c r="BE2635" i="4"/>
  <c r="BE2636" i="4"/>
  <c r="BE2637" i="4"/>
  <c r="BE2638" i="4"/>
  <c r="BE2639" i="4"/>
  <c r="BE2640" i="4"/>
  <c r="BE2641" i="4"/>
  <c r="BE2642" i="4"/>
  <c r="BE2643" i="4"/>
  <c r="BE2644" i="4"/>
  <c r="BE2645" i="4"/>
  <c r="BE2646" i="4"/>
  <c r="BE2647" i="4"/>
  <c r="BE2648" i="4"/>
  <c r="BE2649" i="4"/>
  <c r="BE2650" i="4"/>
  <c r="BE2651" i="4"/>
  <c r="BE2652" i="4"/>
  <c r="BE2653" i="4"/>
  <c r="BE2654" i="4"/>
  <c r="BE2655" i="4"/>
  <c r="BE2656" i="4"/>
  <c r="BE2657" i="4"/>
  <c r="BE2658" i="4"/>
  <c r="BE2659" i="4"/>
  <c r="BE2660" i="4"/>
  <c r="BE2661" i="4"/>
  <c r="BE2662" i="4"/>
  <c r="BE2663" i="4"/>
  <c r="BE2664" i="4"/>
  <c r="BE2665" i="4"/>
  <c r="BE2666" i="4"/>
  <c r="BE2667" i="4"/>
  <c r="BE2668" i="4"/>
  <c r="BE2669" i="4"/>
  <c r="BE2670" i="4"/>
  <c r="BE2671" i="4"/>
  <c r="BE2672" i="4"/>
  <c r="BE2673" i="4"/>
  <c r="BE2674" i="4"/>
  <c r="BE2675" i="4"/>
  <c r="BE2676" i="4"/>
  <c r="BE2677" i="4"/>
  <c r="BE2678" i="4"/>
  <c r="BE2679" i="4"/>
  <c r="BE2680" i="4"/>
  <c r="BE2681" i="4"/>
  <c r="BE2682" i="4"/>
  <c r="BE2683" i="4"/>
  <c r="BE2684" i="4"/>
  <c r="BE2685" i="4"/>
  <c r="BE2686" i="4"/>
  <c r="BE2687" i="4"/>
  <c r="BE2688" i="4"/>
  <c r="BE2689" i="4"/>
  <c r="BE2690" i="4"/>
  <c r="BE2691" i="4"/>
  <c r="BE2692" i="4"/>
  <c r="BE2693" i="4"/>
  <c r="BE2694" i="4"/>
  <c r="BE2695" i="4"/>
  <c r="BE2696" i="4"/>
  <c r="BE2697" i="4"/>
  <c r="BE2698" i="4"/>
  <c r="BE2699" i="4"/>
  <c r="BE2700" i="4"/>
  <c r="BE2701" i="4"/>
  <c r="BE2702" i="4"/>
  <c r="BE2703" i="4"/>
  <c r="BE2704" i="4"/>
  <c r="BE2705" i="4"/>
  <c r="BE2706" i="4"/>
  <c r="BE2707" i="4"/>
  <c r="BE2708" i="4"/>
  <c r="BE2709" i="4"/>
  <c r="BE2710" i="4"/>
  <c r="BE2711" i="4"/>
  <c r="BE2712" i="4"/>
  <c r="BE2713" i="4"/>
  <c r="BE2714" i="4"/>
  <c r="BE2715" i="4"/>
  <c r="BE2716" i="4"/>
  <c r="BE2717" i="4"/>
  <c r="BE2718" i="4"/>
  <c r="BE2719" i="4"/>
  <c r="BE2720" i="4"/>
  <c r="BE2721" i="4"/>
  <c r="BE2722" i="4"/>
  <c r="BE2723" i="4"/>
  <c r="BE2724" i="4"/>
  <c r="BE2725" i="4"/>
  <c r="BE2726" i="4"/>
  <c r="BE2727" i="4"/>
  <c r="BE2728" i="4"/>
  <c r="BE2729" i="4"/>
  <c r="BE2730" i="4"/>
  <c r="BE2731" i="4"/>
  <c r="BE2732" i="4"/>
  <c r="BE2733" i="4"/>
  <c r="BE2734" i="4"/>
  <c r="BE2735" i="4"/>
  <c r="BE2736" i="4"/>
  <c r="BE2737" i="4"/>
  <c r="BE2738" i="4"/>
  <c r="BE2739" i="4"/>
  <c r="BE2740" i="4"/>
  <c r="BE2741" i="4"/>
  <c r="BE2742" i="4"/>
  <c r="BE2743" i="4"/>
  <c r="BE2744" i="4"/>
  <c r="BE2745" i="4"/>
  <c r="BE2746" i="4"/>
  <c r="BE2747" i="4"/>
  <c r="BE2748" i="4"/>
  <c r="BE2749" i="4"/>
  <c r="BE2750" i="4"/>
  <c r="BE2751" i="4"/>
  <c r="BE2752" i="4"/>
  <c r="BE2753" i="4"/>
  <c r="BE2754" i="4"/>
  <c r="BE2755" i="4"/>
  <c r="BE2756" i="4"/>
  <c r="BE2757" i="4"/>
  <c r="BE2758" i="4"/>
  <c r="BE2759" i="4"/>
  <c r="BE2760" i="4"/>
  <c r="BE2761" i="4"/>
  <c r="BE2762" i="4"/>
  <c r="BE2763" i="4"/>
  <c r="BE2764" i="4"/>
  <c r="BE2765" i="4"/>
  <c r="BE2766" i="4"/>
  <c r="BE2767" i="4"/>
  <c r="BE2768" i="4"/>
  <c r="BE2769" i="4"/>
  <c r="BE2770" i="4"/>
  <c r="BE2771" i="4"/>
  <c r="BE2772" i="4"/>
  <c r="BE2773" i="4"/>
  <c r="BE2774" i="4"/>
  <c r="BE2775" i="4"/>
  <c r="BE2776" i="4"/>
  <c r="BE2777" i="4"/>
  <c r="BE2778" i="4"/>
  <c r="BE2779" i="4"/>
  <c r="BE2780" i="4"/>
  <c r="BE2781" i="4"/>
  <c r="BE2782" i="4"/>
  <c r="BE2783" i="4"/>
  <c r="BE2784" i="4"/>
  <c r="BE2785" i="4"/>
  <c r="BE2786" i="4"/>
  <c r="BE2787" i="4"/>
  <c r="BE2788" i="4"/>
  <c r="BE2789" i="4"/>
  <c r="BE2790" i="4"/>
  <c r="BE2791" i="4"/>
  <c r="BE2792" i="4"/>
  <c r="BE2793" i="4"/>
  <c r="BE2794" i="4"/>
  <c r="BE2795" i="4"/>
  <c r="BE2796" i="4"/>
  <c r="BE2797" i="4"/>
  <c r="BE2798" i="4"/>
  <c r="BE2799" i="4"/>
  <c r="BE2800" i="4"/>
  <c r="BE2801" i="4"/>
  <c r="BE2802" i="4"/>
  <c r="BE2803" i="4"/>
  <c r="BE2804" i="4"/>
  <c r="BE2805" i="4"/>
  <c r="BE2806" i="4"/>
  <c r="BE2807" i="4"/>
  <c r="BE2808" i="4"/>
  <c r="BE2809" i="4"/>
  <c r="BE2810" i="4"/>
  <c r="BE2811" i="4"/>
  <c r="BE2812" i="4"/>
  <c r="BE2813" i="4"/>
  <c r="BE2814" i="4"/>
  <c r="BE2815" i="4"/>
  <c r="BE2816" i="4"/>
  <c r="BE2817" i="4"/>
  <c r="BE2818" i="4"/>
  <c r="BE2819" i="4"/>
  <c r="BE2820" i="4"/>
  <c r="BE2821" i="4"/>
  <c r="BE2822" i="4"/>
  <c r="BE2823" i="4"/>
  <c r="BE2824" i="4"/>
  <c r="BE2825" i="4"/>
  <c r="BE2826" i="4"/>
  <c r="BE2827" i="4"/>
  <c r="BE2828" i="4"/>
  <c r="BE2829" i="4"/>
  <c r="BE2830" i="4"/>
  <c r="BE2831" i="4"/>
  <c r="BE2832" i="4"/>
  <c r="BE2833" i="4"/>
  <c r="BE2834" i="4"/>
  <c r="BE2835" i="4"/>
  <c r="BE2836" i="4"/>
  <c r="BE2837" i="4"/>
  <c r="BE2838" i="4"/>
  <c r="BE2839" i="4"/>
  <c r="BE2840" i="4"/>
  <c r="BE2841" i="4"/>
  <c r="BE2842" i="4"/>
  <c r="BE2843" i="4"/>
  <c r="BE2844" i="4"/>
  <c r="BE2845" i="4"/>
  <c r="BE2846" i="4"/>
  <c r="BE2847" i="4"/>
  <c r="BE2848" i="4"/>
  <c r="BE2849" i="4"/>
  <c r="BE2850" i="4"/>
  <c r="BE2851" i="4"/>
  <c r="BE2852" i="4"/>
  <c r="BE2853" i="4"/>
  <c r="BE2854" i="4"/>
  <c r="BE2855" i="4"/>
  <c r="BE2856" i="4"/>
  <c r="BE2857" i="4"/>
  <c r="BE2858" i="4"/>
  <c r="BE2859" i="4"/>
  <c r="BE2860" i="4"/>
  <c r="BE2861" i="4"/>
  <c r="BE2862" i="4"/>
  <c r="BE2863" i="4"/>
  <c r="BE2864" i="4"/>
  <c r="BE2865" i="4"/>
  <c r="BE2866" i="4"/>
  <c r="BE2867" i="4"/>
  <c r="BE2868" i="4"/>
  <c r="BE2869" i="4"/>
  <c r="BE2870" i="4"/>
  <c r="BE2871" i="4"/>
  <c r="BE2872" i="4"/>
  <c r="BE2873" i="4"/>
  <c r="BE2874" i="4"/>
  <c r="BE2875" i="4"/>
  <c r="BE2876" i="4"/>
  <c r="BE2877" i="4"/>
  <c r="BE2878" i="4"/>
  <c r="BE2879" i="4"/>
  <c r="BE2880" i="4"/>
  <c r="BE2881" i="4"/>
  <c r="BE2882" i="4"/>
  <c r="BE2883" i="4"/>
  <c r="BE2884" i="4"/>
  <c r="BE2885" i="4"/>
  <c r="BE2886" i="4"/>
  <c r="BE2887" i="4"/>
  <c r="BE2888" i="4"/>
  <c r="BE2889" i="4"/>
  <c r="BE2890" i="4"/>
  <c r="BE2891" i="4"/>
  <c r="BE2892" i="4"/>
  <c r="BE2893" i="4"/>
  <c r="BE2894" i="4"/>
  <c r="BE2895" i="4"/>
  <c r="BE2896" i="4"/>
  <c r="BE2897" i="4"/>
  <c r="BE2898" i="4"/>
  <c r="BE2899" i="4"/>
  <c r="BE2900" i="4"/>
  <c r="BE2901" i="4"/>
  <c r="BE2902" i="4"/>
  <c r="BE2903" i="4"/>
  <c r="BE2904" i="4"/>
  <c r="BE2905" i="4"/>
  <c r="BE2906" i="4"/>
  <c r="BE2907" i="4"/>
  <c r="BE2908" i="4"/>
  <c r="BE2909" i="4"/>
  <c r="BE2910" i="4"/>
  <c r="BE2911" i="4"/>
  <c r="BE2912" i="4"/>
  <c r="BE2913" i="4"/>
  <c r="BE2914" i="4"/>
  <c r="BE2915" i="4"/>
  <c r="BE2916" i="4"/>
  <c r="BE2917" i="4"/>
  <c r="BE2918" i="4"/>
  <c r="BE2919" i="4"/>
  <c r="BE2920" i="4"/>
  <c r="BE2921" i="4"/>
  <c r="BE2922" i="4"/>
  <c r="BE2923" i="4"/>
  <c r="BE2924" i="4"/>
  <c r="BE2925" i="4"/>
  <c r="BE2926" i="4"/>
  <c r="BE2927" i="4"/>
  <c r="BE2928" i="4"/>
  <c r="BE2929" i="4"/>
  <c r="BE2930" i="4"/>
  <c r="BE2931" i="4"/>
  <c r="BE2932" i="4"/>
  <c r="BE2933" i="4"/>
  <c r="BE2934" i="4"/>
  <c r="BE2935" i="4"/>
  <c r="BE2936" i="4"/>
  <c r="BE2937" i="4"/>
  <c r="BE2938" i="4"/>
  <c r="BE2939" i="4"/>
  <c r="BE2940" i="4"/>
  <c r="BE2941" i="4"/>
  <c r="BE2942" i="4"/>
  <c r="BE2943" i="4"/>
  <c r="BE2944" i="4"/>
  <c r="BE2945" i="4"/>
  <c r="BE2946" i="4"/>
  <c r="BE2947" i="4"/>
  <c r="BE2948" i="4"/>
  <c r="BE2949" i="4"/>
  <c r="BE2950" i="4"/>
  <c r="BE2951" i="4"/>
  <c r="BE2952" i="4"/>
  <c r="BE2953" i="4"/>
  <c r="BE2954" i="4"/>
  <c r="BE2955" i="4"/>
  <c r="BE2956" i="4"/>
  <c r="BE2957" i="4"/>
  <c r="BE2958" i="4"/>
  <c r="BE2959" i="4"/>
  <c r="BE2960" i="4"/>
  <c r="BE2961" i="4"/>
  <c r="BE2962" i="4"/>
  <c r="BE2963" i="4"/>
  <c r="BE2964" i="4"/>
  <c r="BE2965" i="4"/>
  <c r="BE2966" i="4"/>
  <c r="BE2967" i="4"/>
  <c r="BE2968" i="4"/>
  <c r="BE2969" i="4"/>
  <c r="BE2970" i="4"/>
  <c r="BE2971" i="4"/>
  <c r="BE2972" i="4"/>
  <c r="BE2973" i="4"/>
  <c r="BE2974" i="4"/>
  <c r="BE2975" i="4"/>
  <c r="BE2976" i="4"/>
  <c r="BE2977" i="4"/>
  <c r="BE2978" i="4"/>
  <c r="BE2979" i="4"/>
  <c r="BE2980" i="4"/>
  <c r="BE2981" i="4"/>
  <c r="BE2982" i="4"/>
  <c r="BE2983" i="4"/>
  <c r="BE2984" i="4"/>
  <c r="BE2985" i="4"/>
  <c r="BE2986" i="4"/>
  <c r="BE2987" i="4"/>
  <c r="BE2988" i="4"/>
  <c r="BE2989" i="4"/>
  <c r="BE2990" i="4"/>
  <c r="BE2991" i="4"/>
  <c r="BE2992" i="4"/>
  <c r="BE2993" i="4"/>
  <c r="BE2994" i="4"/>
  <c r="BE2995" i="4"/>
  <c r="BE2996" i="4"/>
  <c r="BE2997" i="4"/>
  <c r="BE2998" i="4"/>
  <c r="BE2999" i="4"/>
  <c r="BE3000" i="4"/>
  <c r="BE3001" i="4"/>
  <c r="BE3002" i="4"/>
  <c r="BE3003" i="4"/>
  <c r="BE3004" i="4"/>
  <c r="BE3005" i="4"/>
  <c r="BE3006" i="4"/>
  <c r="BE3007" i="4"/>
  <c r="BE3008" i="4"/>
  <c r="BE3009" i="4"/>
  <c r="BE3010" i="4"/>
  <c r="BE3011" i="4"/>
  <c r="BE3012" i="4"/>
  <c r="BE3013" i="4"/>
  <c r="BE3014" i="4"/>
  <c r="BE3015" i="4"/>
  <c r="BE3016" i="4"/>
  <c r="BE3017" i="4"/>
  <c r="BE3018" i="4"/>
  <c r="BE3019" i="4"/>
  <c r="BE3020" i="4"/>
  <c r="BE3021" i="4"/>
  <c r="BE3022" i="4"/>
  <c r="BE3023" i="4"/>
  <c r="BE3024" i="4"/>
  <c r="BE3025" i="4"/>
  <c r="BE3026" i="4"/>
  <c r="BE3027" i="4"/>
  <c r="BE3028" i="4"/>
  <c r="BE3029" i="4"/>
  <c r="BE3030" i="4"/>
  <c r="BE3031" i="4"/>
  <c r="BE3032" i="4"/>
  <c r="BE3033" i="4"/>
  <c r="BE3034" i="4"/>
  <c r="BE3035" i="4"/>
  <c r="BE3036" i="4"/>
  <c r="BE3037" i="4"/>
  <c r="BE3038" i="4"/>
  <c r="BE3039" i="4"/>
  <c r="BE3040" i="4"/>
  <c r="BE3041" i="4"/>
  <c r="BE3042" i="4"/>
  <c r="BE3043" i="4"/>
  <c r="BE3044" i="4"/>
  <c r="BE3045" i="4"/>
  <c r="BE3046" i="4"/>
  <c r="BE3047" i="4"/>
  <c r="BE3048" i="4"/>
  <c r="BE3049" i="4"/>
  <c r="BE3050" i="4"/>
  <c r="BE3051" i="4"/>
  <c r="BE3052" i="4"/>
  <c r="BE3053" i="4"/>
  <c r="BE3054" i="4"/>
  <c r="BE3055" i="4"/>
  <c r="BE3056" i="4"/>
  <c r="BE3057" i="4"/>
  <c r="BE3058" i="4"/>
  <c r="BE3059" i="4"/>
  <c r="BE3060" i="4"/>
  <c r="BE3061" i="4"/>
  <c r="BE3062" i="4"/>
  <c r="BE3063" i="4"/>
  <c r="BE3064" i="4"/>
  <c r="BE3065" i="4"/>
  <c r="BE3066" i="4"/>
  <c r="BE3067" i="4"/>
  <c r="BE3068" i="4"/>
  <c r="BE3069" i="4"/>
  <c r="BE3070" i="4"/>
  <c r="BE3071" i="4"/>
  <c r="BE3072" i="4"/>
  <c r="BE3073" i="4"/>
  <c r="BE3074" i="4"/>
  <c r="BE3075" i="4"/>
  <c r="BE3076" i="4"/>
  <c r="BE3077" i="4"/>
  <c r="BE3078" i="4"/>
  <c r="BE3079" i="4"/>
  <c r="BE3080" i="4"/>
  <c r="BE3081" i="4"/>
  <c r="BE3082" i="4"/>
  <c r="BE3083" i="4"/>
  <c r="BE3084" i="4"/>
  <c r="BE3085" i="4"/>
  <c r="BE3086" i="4"/>
  <c r="BE3087" i="4"/>
  <c r="BE3088" i="4"/>
  <c r="BE3089" i="4"/>
  <c r="BE3090" i="4"/>
  <c r="BE3091" i="4"/>
  <c r="BE3092" i="4"/>
  <c r="BE3093" i="4"/>
  <c r="BE3094" i="4"/>
  <c r="BE3095" i="4"/>
  <c r="BE3096" i="4"/>
  <c r="BE3097" i="4"/>
  <c r="BE3098" i="4"/>
  <c r="BE3099" i="4"/>
  <c r="BE3100" i="4"/>
  <c r="BE3101" i="4"/>
  <c r="BE3102" i="4"/>
  <c r="BE3103" i="4"/>
  <c r="BE3104" i="4"/>
  <c r="BE3105" i="4"/>
  <c r="BE3106" i="4"/>
  <c r="BE3107" i="4"/>
  <c r="BE3108" i="4"/>
  <c r="BE3109" i="4"/>
  <c r="BE3110" i="4"/>
  <c r="BE3111" i="4"/>
  <c r="BE3112" i="4"/>
  <c r="BE3113" i="4"/>
  <c r="BE3114" i="4"/>
  <c r="BE3115" i="4"/>
  <c r="BE3116" i="4"/>
  <c r="BE3117" i="4"/>
  <c r="BE3118" i="4"/>
  <c r="BE3119" i="4"/>
  <c r="BE3120" i="4"/>
  <c r="BE3121" i="4"/>
  <c r="BE3122" i="4"/>
  <c r="BE3123" i="4"/>
  <c r="BE3124" i="4"/>
  <c r="BE3125" i="4"/>
  <c r="BE3126" i="4"/>
  <c r="BE3127" i="4"/>
  <c r="BE3128" i="4"/>
  <c r="BE3129" i="4"/>
  <c r="BE3130" i="4"/>
  <c r="BE3131" i="4"/>
  <c r="BE3132" i="4"/>
  <c r="BE3133" i="4"/>
  <c r="BE3134" i="4"/>
  <c r="BE3135" i="4"/>
  <c r="BE3136" i="4"/>
  <c r="BE3137" i="4"/>
  <c r="BE3138" i="4"/>
  <c r="BE3139" i="4"/>
  <c r="BE3140" i="4"/>
  <c r="BE3141" i="4"/>
  <c r="BE3142" i="4"/>
  <c r="BE3143" i="4"/>
  <c r="BE3144" i="4"/>
  <c r="BE3145" i="4"/>
  <c r="BE3146" i="4"/>
  <c r="BE3147" i="4"/>
  <c r="BE3148" i="4"/>
  <c r="BE3149" i="4"/>
  <c r="BE3150" i="4"/>
  <c r="BE3151" i="4"/>
  <c r="BE3152" i="4"/>
  <c r="BE3153" i="4"/>
  <c r="BE3154" i="4"/>
  <c r="BE3155" i="4"/>
  <c r="BE3156" i="4"/>
  <c r="BE3157" i="4"/>
  <c r="BE3158" i="4"/>
  <c r="BE3159" i="4"/>
  <c r="BE3160" i="4"/>
  <c r="BE3161" i="4"/>
  <c r="BE3162" i="4"/>
  <c r="BE3163" i="4"/>
  <c r="BE3164" i="4"/>
  <c r="BE3165" i="4"/>
  <c r="BE3166" i="4"/>
  <c r="BE3167" i="4"/>
  <c r="BE3168" i="4"/>
  <c r="BE3169" i="4"/>
  <c r="BE3170" i="4"/>
  <c r="BE3171" i="4"/>
  <c r="BE3172" i="4"/>
  <c r="BE3173" i="4"/>
  <c r="BE3174" i="4"/>
  <c r="BE3175" i="4"/>
  <c r="BE3176" i="4"/>
  <c r="BE3177" i="4"/>
  <c r="BE3178" i="4"/>
  <c r="BE3179" i="4"/>
  <c r="BE3180" i="4"/>
  <c r="BE3181" i="4"/>
  <c r="BE3182" i="4"/>
  <c r="BE3183" i="4"/>
  <c r="BE3184" i="4"/>
  <c r="BE3185" i="4"/>
  <c r="BE3186" i="4"/>
  <c r="BE3187" i="4"/>
  <c r="BE3188" i="4"/>
  <c r="BE3189" i="4"/>
  <c r="BE3190" i="4"/>
  <c r="BE3191" i="4"/>
  <c r="BE3192" i="4"/>
  <c r="BE3193" i="4"/>
  <c r="BE3194" i="4"/>
  <c r="BE3195" i="4"/>
  <c r="BE3196" i="4"/>
  <c r="BE3197" i="4"/>
  <c r="BE3198" i="4"/>
  <c r="BE3199" i="4"/>
  <c r="BE3200" i="4"/>
  <c r="BE3201" i="4"/>
  <c r="BE3202" i="4"/>
  <c r="BE3203" i="4"/>
  <c r="BE3204" i="4"/>
  <c r="BE3205" i="4"/>
  <c r="BE3206" i="4"/>
  <c r="BE3207" i="4"/>
  <c r="BE3208" i="4"/>
  <c r="BE3209" i="4"/>
  <c r="BE3210" i="4"/>
  <c r="BE3211" i="4"/>
  <c r="BE3212" i="4"/>
  <c r="BE3213" i="4"/>
  <c r="BE3214" i="4"/>
  <c r="BE3215" i="4"/>
  <c r="BE3216" i="4"/>
  <c r="BE3217" i="4"/>
  <c r="BE3218" i="4"/>
  <c r="BE3219" i="4"/>
  <c r="BE3220" i="4"/>
  <c r="BE3221" i="4"/>
  <c r="BE3222" i="4"/>
  <c r="BE3223" i="4"/>
  <c r="BE3224" i="4"/>
  <c r="BE3225" i="4"/>
  <c r="BE3226" i="4"/>
  <c r="BE3227" i="4"/>
  <c r="BE3228" i="4"/>
  <c r="BE3229" i="4"/>
  <c r="BE3230" i="4"/>
  <c r="BE3231" i="4"/>
  <c r="BE3232" i="4"/>
  <c r="BE3233" i="4"/>
  <c r="BE3234" i="4"/>
  <c r="BE3235" i="4"/>
  <c r="BE3236" i="4"/>
  <c r="BE3237" i="4"/>
  <c r="BE3238" i="4"/>
  <c r="BE3239" i="4"/>
  <c r="BE3240" i="4"/>
  <c r="BE3241" i="4"/>
  <c r="BE3242" i="4"/>
  <c r="BE3243" i="4"/>
  <c r="BE3244" i="4"/>
  <c r="BE3245" i="4"/>
  <c r="BE3246" i="4"/>
  <c r="BE3247" i="4"/>
  <c r="BE3248" i="4"/>
  <c r="BE3249" i="4"/>
  <c r="BE3250" i="4"/>
  <c r="BE3251" i="4"/>
  <c r="BE3252" i="4"/>
  <c r="BE3253" i="4"/>
  <c r="BE3254" i="4"/>
  <c r="BE3255" i="4"/>
  <c r="BE3256" i="4"/>
  <c r="BE3257" i="4"/>
  <c r="BE3258" i="4"/>
  <c r="BE3259" i="4"/>
  <c r="BE3260" i="4"/>
  <c r="BE3261" i="4"/>
  <c r="BE3262" i="4"/>
  <c r="BE3263" i="4"/>
  <c r="BE3264" i="4"/>
  <c r="BE3265" i="4"/>
  <c r="BE3266" i="4"/>
  <c r="BE3267" i="4"/>
  <c r="BE3268" i="4"/>
  <c r="BE3269" i="4"/>
  <c r="BE3270" i="4"/>
  <c r="BE3271" i="4"/>
  <c r="BE3272" i="4"/>
  <c r="BE3273" i="4"/>
  <c r="BE3274" i="4"/>
  <c r="BE3275" i="4"/>
  <c r="BE3276" i="4"/>
  <c r="BE3277" i="4"/>
  <c r="BE3278" i="4"/>
  <c r="BE3279" i="4"/>
  <c r="BE3280" i="4"/>
  <c r="BE3281" i="4"/>
  <c r="BE3282" i="4"/>
  <c r="BE3283" i="4"/>
  <c r="BE3284" i="4"/>
  <c r="BE3285" i="4"/>
  <c r="BE3286" i="4"/>
  <c r="BE3287" i="4"/>
  <c r="BE3288" i="4"/>
  <c r="BE3289" i="4"/>
  <c r="BE3290" i="4"/>
  <c r="BE3291" i="4"/>
  <c r="BE3292" i="4"/>
  <c r="BE3293" i="4"/>
  <c r="BE3294" i="4"/>
  <c r="BE3295" i="4"/>
  <c r="BE3296" i="4"/>
  <c r="BE3297" i="4"/>
  <c r="BE3298" i="4"/>
  <c r="BE3299" i="4"/>
  <c r="BE3300" i="4"/>
  <c r="BE3301" i="4"/>
  <c r="BE3302" i="4"/>
  <c r="BE3303" i="4"/>
  <c r="BE3304" i="4"/>
  <c r="BE3305" i="4"/>
  <c r="BE3306" i="4"/>
  <c r="BE3307" i="4"/>
  <c r="BE3308" i="4"/>
  <c r="BE3309" i="4"/>
  <c r="BE3310" i="4"/>
  <c r="BE3311" i="4"/>
  <c r="BE3312" i="4"/>
  <c r="BE3313" i="4"/>
  <c r="BE3314" i="4"/>
  <c r="BE3315" i="4"/>
  <c r="BE3316" i="4"/>
  <c r="BE3317" i="4"/>
  <c r="BE3318" i="4"/>
  <c r="BE3319" i="4"/>
  <c r="BE3320" i="4"/>
  <c r="BE3321" i="4"/>
  <c r="BE3322" i="4"/>
  <c r="BE3323" i="4"/>
  <c r="BE3324" i="4"/>
  <c r="BE3325" i="4"/>
  <c r="BE3326" i="4"/>
  <c r="BE3327" i="4"/>
  <c r="BE3328" i="4"/>
  <c r="BE3329" i="4"/>
  <c r="BE3330" i="4"/>
  <c r="BE3331" i="4"/>
  <c r="BE3332" i="4"/>
  <c r="BE3333" i="4"/>
  <c r="BE3334" i="4"/>
  <c r="BE3335" i="4"/>
  <c r="BE3336" i="4"/>
  <c r="BE3337" i="4"/>
  <c r="BE3338" i="4"/>
  <c r="BE3339" i="4"/>
  <c r="BE3340" i="4"/>
  <c r="BE3341" i="4"/>
  <c r="BE3342" i="4"/>
  <c r="BE3343" i="4"/>
  <c r="BE3344" i="4"/>
  <c r="BE3345" i="4"/>
  <c r="BE3346" i="4"/>
  <c r="BE3347" i="4"/>
  <c r="BE3348" i="4"/>
  <c r="BE3349" i="4"/>
  <c r="BE3350" i="4"/>
  <c r="BE3351" i="4"/>
  <c r="BE3352" i="4"/>
  <c r="BE3353" i="4"/>
  <c r="BE3354" i="4"/>
  <c r="BE3355" i="4"/>
  <c r="BE3356" i="4"/>
  <c r="BE3357" i="4"/>
  <c r="BE3358" i="4"/>
  <c r="BE3359" i="4"/>
  <c r="BE3360" i="4"/>
  <c r="BE3361" i="4"/>
  <c r="BE3362" i="4"/>
  <c r="BE3363" i="4"/>
  <c r="BE3364" i="4"/>
  <c r="BE3365" i="4"/>
  <c r="BE3366" i="4"/>
  <c r="BE3367" i="4"/>
  <c r="BE3368" i="4"/>
  <c r="BE3369" i="4"/>
  <c r="BE3370" i="4"/>
  <c r="BE3371" i="4"/>
  <c r="BE3372" i="4"/>
  <c r="BE3373" i="4"/>
  <c r="BE3374" i="4"/>
  <c r="BE3375" i="4"/>
  <c r="BE3376" i="4"/>
  <c r="BE3377" i="4"/>
  <c r="BE3378" i="4"/>
  <c r="BE3379" i="4"/>
  <c r="BE3380" i="4"/>
  <c r="BE3381" i="4"/>
  <c r="BE3382" i="4"/>
  <c r="BE3383" i="4"/>
  <c r="BE3384" i="4"/>
  <c r="BE3385" i="4"/>
  <c r="BE3386" i="4"/>
  <c r="BE3387" i="4"/>
  <c r="BE3388" i="4"/>
  <c r="BE3389" i="4"/>
  <c r="BE3390" i="4"/>
  <c r="BE3391" i="4"/>
  <c r="BE3392" i="4"/>
  <c r="BE3393" i="4"/>
  <c r="BE3394" i="4"/>
  <c r="BE3395" i="4"/>
  <c r="BE3396" i="4"/>
  <c r="BE3397" i="4"/>
  <c r="BE3398" i="4"/>
  <c r="BE3399" i="4"/>
  <c r="BE3400" i="4"/>
  <c r="BE3401" i="4"/>
  <c r="BE3402" i="4"/>
  <c r="BE3403" i="4"/>
  <c r="BE3404" i="4"/>
  <c r="BE3405" i="4"/>
  <c r="BE3406" i="4"/>
  <c r="BE3407" i="4"/>
  <c r="BE3408" i="4"/>
  <c r="BE3409" i="4"/>
  <c r="BE3410" i="4"/>
  <c r="BE3411" i="4"/>
  <c r="BE3412" i="4"/>
  <c r="BE3413" i="4"/>
  <c r="BE3414" i="4"/>
  <c r="BE3415" i="4"/>
  <c r="BE3416" i="4"/>
  <c r="BE3417" i="4"/>
  <c r="BE3418" i="4"/>
  <c r="BE3419" i="4"/>
  <c r="BE3420" i="4"/>
  <c r="BE3421" i="4"/>
  <c r="BE3422" i="4"/>
  <c r="BE3423" i="4"/>
  <c r="BE3424" i="4"/>
  <c r="BE3425" i="4"/>
  <c r="BE3426" i="4"/>
  <c r="BE3427" i="4"/>
  <c r="BE3428" i="4"/>
  <c r="BE3429" i="4"/>
  <c r="BE3430" i="4"/>
  <c r="BE3431" i="4"/>
  <c r="BE3432" i="4"/>
  <c r="BE3433" i="4"/>
  <c r="BE3434" i="4"/>
  <c r="BE3435" i="4"/>
  <c r="BE3436" i="4"/>
  <c r="BE3437" i="4"/>
  <c r="BE3438" i="4"/>
  <c r="BE3439" i="4"/>
  <c r="BE3440" i="4"/>
  <c r="BE3441" i="4"/>
  <c r="BE3442" i="4"/>
  <c r="BE3443" i="4"/>
  <c r="BE3444" i="4"/>
  <c r="BE3445" i="4"/>
  <c r="BE3446" i="4"/>
  <c r="BE3447" i="4"/>
  <c r="BE3448" i="4"/>
  <c r="BE3449" i="4"/>
  <c r="BE3450" i="4"/>
  <c r="BE3451" i="4"/>
  <c r="BE3452" i="4"/>
  <c r="BE3453" i="4"/>
  <c r="BE3454" i="4"/>
  <c r="BE3455" i="4"/>
  <c r="BE3456" i="4"/>
  <c r="BE3457" i="4"/>
  <c r="BE3458" i="4"/>
  <c r="BE3459" i="4"/>
  <c r="BE3460" i="4"/>
  <c r="BE3461" i="4"/>
  <c r="BE3462" i="4"/>
  <c r="BE3463" i="4"/>
  <c r="BE3464" i="4"/>
  <c r="BE3465" i="4"/>
  <c r="BE3466" i="4"/>
  <c r="BE3467" i="4"/>
  <c r="BE3468" i="4"/>
  <c r="BE3469" i="4"/>
  <c r="BE3470" i="4"/>
  <c r="BE3471" i="4"/>
  <c r="BE3472" i="4"/>
  <c r="BE3473" i="4"/>
  <c r="BE3474" i="4"/>
  <c r="BE3475" i="4"/>
  <c r="BE3476" i="4"/>
  <c r="BE3477" i="4"/>
  <c r="BE3478" i="4"/>
  <c r="BE3479" i="4"/>
  <c r="BE3480" i="4"/>
  <c r="BE3481" i="4"/>
  <c r="BE3482" i="4"/>
  <c r="BE3483" i="4"/>
  <c r="BE3484" i="4"/>
  <c r="BE3485" i="4"/>
  <c r="BE3486" i="4"/>
  <c r="BE3487" i="4"/>
  <c r="BE3488" i="4"/>
  <c r="BE3489" i="4"/>
  <c r="BE3490" i="4"/>
  <c r="BE3491" i="4"/>
  <c r="BE3492" i="4"/>
  <c r="BE3493" i="4"/>
  <c r="BE3494" i="4"/>
  <c r="BE3495" i="4"/>
  <c r="BE3496" i="4"/>
  <c r="BE3497" i="4"/>
  <c r="BE3498" i="4"/>
  <c r="BE3499" i="4"/>
  <c r="BE3500" i="4"/>
  <c r="BE3501" i="4"/>
  <c r="BE3502" i="4"/>
  <c r="BE3503" i="4"/>
  <c r="BE3504" i="4"/>
  <c r="BE3505" i="4"/>
  <c r="BE3506" i="4"/>
  <c r="BE3507" i="4"/>
  <c r="BE3508" i="4"/>
  <c r="BE3509" i="4"/>
  <c r="BE3510" i="4"/>
  <c r="BE3511" i="4"/>
  <c r="BE3512" i="4"/>
  <c r="BE3513" i="4"/>
  <c r="BE3514" i="4"/>
  <c r="BE3515" i="4"/>
  <c r="BE3516" i="4"/>
  <c r="BE3517" i="4"/>
  <c r="BE3518" i="4"/>
  <c r="BE3519" i="4"/>
  <c r="BE3520" i="4"/>
  <c r="BE3521" i="4"/>
  <c r="BE3522" i="4"/>
  <c r="BE3523" i="4"/>
  <c r="BE3524" i="4"/>
  <c r="BE3525" i="4"/>
  <c r="BE3526" i="4"/>
  <c r="BE3527" i="4"/>
  <c r="BE3528" i="4"/>
  <c r="BE3529" i="4"/>
  <c r="BE3530" i="4"/>
  <c r="BE3531" i="4"/>
  <c r="BE3532" i="4"/>
  <c r="BE3533" i="4"/>
  <c r="BE3534" i="4"/>
  <c r="BE3535" i="4"/>
  <c r="BE3536" i="4"/>
  <c r="BE3537" i="4"/>
  <c r="BE3538" i="4"/>
  <c r="BE3539" i="4"/>
  <c r="BE3540" i="4"/>
  <c r="BE3541" i="4"/>
  <c r="BE3542" i="4"/>
  <c r="BE3543" i="4"/>
  <c r="BE3544" i="4"/>
  <c r="BE3545" i="4"/>
  <c r="BE3546" i="4"/>
  <c r="BE3547" i="4"/>
  <c r="BE3548" i="4"/>
  <c r="BE3549" i="4"/>
  <c r="BE3550" i="4"/>
  <c r="BE3551" i="4"/>
  <c r="BE3552" i="4"/>
  <c r="BE3553" i="4"/>
  <c r="BE3554" i="4"/>
  <c r="BE3555" i="4"/>
  <c r="BE3556" i="4"/>
  <c r="BE3557" i="4"/>
  <c r="BE3558" i="4"/>
  <c r="BE3559" i="4"/>
  <c r="BE3560" i="4"/>
  <c r="BE3561" i="4"/>
  <c r="BE3562" i="4"/>
  <c r="BE3563" i="4"/>
  <c r="BE3564" i="4"/>
  <c r="BE3565" i="4"/>
  <c r="BE3566" i="4"/>
  <c r="BE3567" i="4"/>
  <c r="BE3568" i="4"/>
  <c r="BE3569" i="4"/>
  <c r="BE3570" i="4"/>
  <c r="BE3571" i="4"/>
  <c r="BE3572" i="4"/>
  <c r="BE3573" i="4"/>
  <c r="BE3574" i="4"/>
  <c r="BE3575" i="4"/>
  <c r="BE3576" i="4"/>
  <c r="BE3577" i="4"/>
  <c r="BE3578" i="4"/>
  <c r="BE3579" i="4"/>
  <c r="BE3580" i="4"/>
  <c r="BE3581" i="4"/>
  <c r="BE3582" i="4"/>
  <c r="BE3583" i="4"/>
  <c r="BE3584" i="4"/>
  <c r="BE3585" i="4"/>
  <c r="BE3586" i="4"/>
  <c r="BE3587" i="4"/>
  <c r="BE3588" i="4"/>
  <c r="BE3589" i="4"/>
  <c r="BE3590" i="4"/>
  <c r="BE3591" i="4"/>
  <c r="BE3592" i="4"/>
  <c r="BE3593" i="4"/>
  <c r="BE3594" i="4"/>
  <c r="BE3595" i="4"/>
  <c r="BE3596" i="4"/>
  <c r="BE3597" i="4"/>
  <c r="BE3598" i="4"/>
  <c r="BE3599" i="4"/>
  <c r="BE3600" i="4"/>
  <c r="BE3601" i="4"/>
  <c r="BE3602" i="4"/>
  <c r="BE3603" i="4"/>
  <c r="BE3604" i="4"/>
  <c r="BE3605" i="4"/>
  <c r="BE3606" i="4"/>
  <c r="BE3607" i="4"/>
  <c r="BE3608" i="4"/>
  <c r="BE3609" i="4"/>
  <c r="BE3610" i="4"/>
  <c r="BE3611" i="4"/>
  <c r="BE3612" i="4"/>
  <c r="BE3613" i="4"/>
  <c r="BE3614" i="4"/>
  <c r="BE3615" i="4"/>
  <c r="BE3616" i="4"/>
  <c r="BE3617" i="4"/>
  <c r="BE3618" i="4"/>
  <c r="BE3619" i="4"/>
  <c r="BE3620" i="4"/>
  <c r="BE3621" i="4"/>
  <c r="BE3622" i="4"/>
  <c r="BE3623" i="4"/>
  <c r="BE3624" i="4"/>
  <c r="BE3625" i="4"/>
  <c r="BE3626" i="4"/>
  <c r="BE3627" i="4"/>
  <c r="BE3628" i="4"/>
  <c r="BE3629" i="4"/>
  <c r="BE3630" i="4"/>
  <c r="BE3631" i="4"/>
  <c r="BE3632" i="4"/>
  <c r="BE3633" i="4"/>
  <c r="BE3634" i="4"/>
  <c r="BE3635" i="4"/>
  <c r="BE3636" i="4"/>
  <c r="BE3637" i="4"/>
  <c r="BE3638" i="4"/>
  <c r="BE3639" i="4"/>
  <c r="BE3640" i="4"/>
  <c r="BE3641" i="4"/>
  <c r="BE3642" i="4"/>
  <c r="BE3643" i="4"/>
  <c r="BE3644" i="4"/>
  <c r="BE3645" i="4"/>
  <c r="BE3646" i="4"/>
  <c r="BE3647" i="4"/>
  <c r="BE3648" i="4"/>
  <c r="BE3649" i="4"/>
  <c r="BE3650" i="4"/>
  <c r="BE3651" i="4"/>
  <c r="BE3652" i="4"/>
  <c r="BE3653" i="4"/>
  <c r="BE3654" i="4"/>
  <c r="BE3655" i="4"/>
  <c r="BE3656" i="4"/>
  <c r="BE3657" i="4"/>
  <c r="BE3658" i="4"/>
  <c r="BE3659" i="4"/>
  <c r="BE3660" i="4"/>
  <c r="BE3661" i="4"/>
  <c r="BE3662" i="4"/>
  <c r="BE3663" i="4"/>
  <c r="BE3664" i="4"/>
  <c r="BE3665" i="4"/>
  <c r="BE3666" i="4"/>
  <c r="BE3667" i="4"/>
  <c r="BE3668" i="4"/>
  <c r="BE3669" i="4"/>
  <c r="BE3670" i="4"/>
  <c r="BE3671" i="4"/>
  <c r="BE3672" i="4"/>
  <c r="BE3673" i="4"/>
  <c r="BE3674" i="4"/>
  <c r="BE3675" i="4"/>
  <c r="BE3676" i="4"/>
  <c r="BE3677" i="4"/>
  <c r="BE3678" i="4"/>
  <c r="BE3679" i="4"/>
  <c r="BE3680" i="4"/>
  <c r="BE3681" i="4"/>
  <c r="BE3682" i="4"/>
  <c r="BE3683" i="4"/>
  <c r="BE3684" i="4"/>
  <c r="BE3685" i="4"/>
  <c r="BE3686" i="4"/>
  <c r="BE3687" i="4"/>
  <c r="BE3688" i="4"/>
  <c r="BE3689" i="4"/>
  <c r="BE3690" i="4"/>
  <c r="BE3691" i="4"/>
  <c r="BE3692" i="4"/>
  <c r="BE3693" i="4"/>
  <c r="BE3694" i="4"/>
  <c r="BE3695" i="4"/>
  <c r="BE3696" i="4"/>
  <c r="BE3697" i="4"/>
  <c r="BE3698" i="4"/>
  <c r="BE3699" i="4"/>
  <c r="BE3700" i="4"/>
  <c r="BE3701" i="4"/>
  <c r="BE3702" i="4"/>
  <c r="BE3703" i="4"/>
  <c r="BE3704" i="4"/>
  <c r="BE3705" i="4"/>
  <c r="BE3706" i="4"/>
  <c r="BE3707" i="4"/>
  <c r="BE3708" i="4"/>
  <c r="BE3709" i="4"/>
  <c r="BE3710" i="4"/>
  <c r="BE3711" i="4"/>
  <c r="BE3712" i="4"/>
  <c r="BE3713" i="4"/>
  <c r="BE3714" i="4"/>
  <c r="BE3715" i="4"/>
  <c r="BE3716" i="4"/>
  <c r="BE3717" i="4"/>
  <c r="BE3718" i="4"/>
  <c r="BE3719" i="4"/>
  <c r="BE3720" i="4"/>
  <c r="BE3721" i="4"/>
  <c r="BE3722" i="4"/>
  <c r="BE3723" i="4"/>
  <c r="BE3724" i="4"/>
  <c r="BE3725" i="4"/>
  <c r="BE3726" i="4"/>
  <c r="BE3727" i="4"/>
  <c r="BE3728" i="4"/>
  <c r="BE3729" i="4"/>
  <c r="BE3730" i="4"/>
  <c r="BE3731" i="4"/>
  <c r="BE3732" i="4"/>
  <c r="BE3733" i="4"/>
  <c r="BE3734" i="4"/>
  <c r="BE3735" i="4"/>
  <c r="BE3736" i="4"/>
  <c r="BE3737" i="4"/>
  <c r="BE3738" i="4"/>
  <c r="BE3739" i="4"/>
  <c r="BE3740" i="4"/>
  <c r="BE3741" i="4"/>
  <c r="BE3742" i="4"/>
  <c r="BE3743" i="4"/>
  <c r="BE3744" i="4"/>
  <c r="BE3745" i="4"/>
  <c r="BE3746" i="4"/>
  <c r="BE3747" i="4"/>
  <c r="BE3748" i="4"/>
  <c r="BE3749" i="4"/>
  <c r="BE3750" i="4"/>
  <c r="BE3751" i="4"/>
  <c r="BE3752" i="4"/>
  <c r="BE3753" i="4"/>
  <c r="BE3754" i="4"/>
  <c r="BE3755" i="4"/>
  <c r="BE3756" i="4"/>
  <c r="BE3757" i="4"/>
  <c r="BE3758" i="4"/>
  <c r="BE3759" i="4"/>
  <c r="BE3760" i="4"/>
  <c r="BE3761" i="4"/>
  <c r="BE3762" i="4"/>
  <c r="BE3763" i="4"/>
  <c r="BE3764" i="4"/>
  <c r="BE3765" i="4"/>
  <c r="BE3766" i="4"/>
  <c r="BE3767" i="4"/>
  <c r="BE3768" i="4"/>
  <c r="BE3769" i="4"/>
  <c r="BE3770" i="4"/>
  <c r="BE3771" i="4"/>
  <c r="BE3772" i="4"/>
  <c r="BE3773" i="4"/>
  <c r="BE3774" i="4"/>
  <c r="BE3775" i="4"/>
  <c r="BE3776" i="4"/>
  <c r="BE3777" i="4"/>
  <c r="BE3778" i="4"/>
  <c r="BE3779" i="4"/>
  <c r="BE3780" i="4"/>
  <c r="BE3781" i="4"/>
  <c r="BE3782" i="4"/>
  <c r="BE3783" i="4"/>
  <c r="BE3784" i="4"/>
  <c r="BE3785" i="4"/>
  <c r="BE3786" i="4"/>
  <c r="BE3787" i="4"/>
  <c r="BE3788" i="4"/>
  <c r="BE3789" i="4"/>
  <c r="BE3790" i="4"/>
  <c r="BE3791" i="4"/>
  <c r="BE3792" i="4"/>
  <c r="BE3793" i="4"/>
  <c r="BE3794" i="4"/>
  <c r="BE3795" i="4"/>
  <c r="BE3796" i="4"/>
  <c r="BE3797" i="4"/>
  <c r="BE3798" i="4"/>
  <c r="BE3799" i="4"/>
  <c r="BE3800" i="4"/>
  <c r="BE3801" i="4"/>
  <c r="BE3802" i="4"/>
  <c r="BE3803" i="4"/>
  <c r="BE3804" i="4"/>
  <c r="BE3805" i="4"/>
  <c r="BE3806" i="4"/>
  <c r="BE3807" i="4"/>
  <c r="BE3808" i="4"/>
  <c r="BE3809" i="4"/>
  <c r="BE3810" i="4"/>
  <c r="BE3811" i="4"/>
  <c r="BE3812" i="4"/>
  <c r="BE3813" i="4"/>
  <c r="BE3814" i="4"/>
  <c r="BE3815" i="4"/>
  <c r="BE3816" i="4"/>
  <c r="BE3817" i="4"/>
  <c r="BE3818" i="4"/>
  <c r="BE3819" i="4"/>
  <c r="BE3820" i="4"/>
  <c r="BE3821" i="4"/>
  <c r="BE3822" i="4"/>
  <c r="BE3823" i="4"/>
  <c r="BE3824" i="4"/>
  <c r="BE3825" i="4"/>
  <c r="BE3826" i="4"/>
  <c r="BE3827" i="4"/>
  <c r="BE3828" i="4"/>
  <c r="BE3829" i="4"/>
  <c r="BE3830" i="4"/>
  <c r="BE3831" i="4"/>
  <c r="BE3832" i="4"/>
  <c r="BE3833" i="4"/>
  <c r="BE3834" i="4"/>
  <c r="BE3835" i="4"/>
  <c r="BE3836" i="4"/>
  <c r="BE3837" i="4"/>
  <c r="BE3838" i="4"/>
  <c r="BE3839" i="4"/>
  <c r="BE3840" i="4"/>
  <c r="BE3841" i="4"/>
  <c r="BE3842" i="4"/>
  <c r="BE3843" i="4"/>
  <c r="BE3844" i="4"/>
  <c r="BE3845" i="4"/>
  <c r="BE3846" i="4"/>
  <c r="BE3847" i="4"/>
  <c r="BE3848" i="4"/>
  <c r="BE3849" i="4"/>
  <c r="BE3850" i="4"/>
  <c r="BE3851" i="4"/>
  <c r="BE3852" i="4"/>
  <c r="BE3853" i="4"/>
  <c r="BE3854" i="4"/>
  <c r="BE3855" i="4"/>
  <c r="BE3856" i="4"/>
  <c r="BE3857" i="4"/>
  <c r="BE3858" i="4"/>
  <c r="BE3859" i="4"/>
  <c r="BE3860" i="4"/>
  <c r="BE3861" i="4"/>
  <c r="BE3862" i="4"/>
  <c r="BE3863" i="4"/>
  <c r="BE3864" i="4"/>
  <c r="BE3865" i="4"/>
  <c r="BE3866" i="4"/>
  <c r="BE3867" i="4"/>
  <c r="BE3868" i="4"/>
  <c r="BE3869" i="4"/>
  <c r="BE3870" i="4"/>
  <c r="BE3871" i="4"/>
  <c r="BE3872" i="4"/>
  <c r="BE3873" i="4"/>
  <c r="BE3874" i="4"/>
  <c r="BE3875" i="4"/>
  <c r="BE3876" i="4"/>
  <c r="BE3877" i="4"/>
  <c r="BE3878" i="4"/>
  <c r="BE3879" i="4"/>
  <c r="BE3880" i="4"/>
  <c r="BE3881" i="4"/>
  <c r="BE3882" i="4"/>
  <c r="BE3883" i="4"/>
  <c r="BE3884" i="4"/>
  <c r="BE3885" i="4"/>
  <c r="BE3886" i="4"/>
  <c r="BE3887" i="4"/>
  <c r="BE3888" i="4"/>
  <c r="BE3889" i="4"/>
  <c r="BE3890" i="4"/>
  <c r="BE3891" i="4"/>
  <c r="BE3892" i="4"/>
  <c r="BE3893" i="4"/>
  <c r="BE3894" i="4"/>
  <c r="BE3895" i="4"/>
  <c r="BE3896" i="4"/>
  <c r="BE3897" i="4"/>
  <c r="BE3898" i="4"/>
  <c r="BE3899" i="4"/>
  <c r="BE3900" i="4"/>
  <c r="BE3901" i="4"/>
  <c r="BE3902" i="4"/>
  <c r="BE3903" i="4"/>
  <c r="BE3904" i="4"/>
  <c r="BE3905" i="4"/>
  <c r="BE3906" i="4"/>
  <c r="BE3907" i="4"/>
  <c r="BE3908" i="4"/>
  <c r="BE3909" i="4"/>
  <c r="BE3910" i="4"/>
  <c r="BE3911" i="4"/>
  <c r="BE3912" i="4"/>
  <c r="BE3913" i="4"/>
  <c r="BE3914" i="4"/>
  <c r="BE3915" i="4"/>
  <c r="BE3916" i="4"/>
  <c r="BE3917" i="4"/>
  <c r="BE3918" i="4"/>
  <c r="BE3919" i="4"/>
  <c r="BE3920" i="4"/>
  <c r="BE3921" i="4"/>
  <c r="BE3922" i="4"/>
  <c r="BE3923" i="4"/>
  <c r="BE3924" i="4"/>
  <c r="BE3925" i="4"/>
  <c r="BE3926" i="4"/>
  <c r="BE3927" i="4"/>
  <c r="BE3928" i="4"/>
  <c r="BE3929" i="4"/>
  <c r="BE3930" i="4"/>
  <c r="BE3931" i="4"/>
  <c r="BE3932" i="4"/>
  <c r="BE3933" i="4"/>
  <c r="BE3934" i="4"/>
  <c r="BE3935" i="4"/>
  <c r="BE3936" i="4"/>
  <c r="BE3937" i="4"/>
  <c r="BE3938" i="4"/>
  <c r="BE3939" i="4"/>
  <c r="BE3940" i="4"/>
  <c r="BE3941" i="4"/>
  <c r="BE3942" i="4"/>
  <c r="BE3943" i="4"/>
  <c r="BE3944" i="4"/>
  <c r="BE3945" i="4"/>
  <c r="BE3946" i="4"/>
  <c r="BE3947" i="4"/>
  <c r="BE3948" i="4"/>
  <c r="BE3949" i="4"/>
  <c r="BE3950" i="4"/>
  <c r="BE3951" i="4"/>
  <c r="BE3952" i="4"/>
  <c r="BE3953" i="4"/>
  <c r="BE3954" i="4"/>
  <c r="BE3955" i="4"/>
  <c r="BE3956" i="4"/>
  <c r="BE3957" i="4"/>
  <c r="BE3958" i="4"/>
  <c r="BE3959" i="4"/>
  <c r="BE3960" i="4"/>
  <c r="BE3961" i="4"/>
  <c r="BE3962" i="4"/>
  <c r="BE3963" i="4"/>
  <c r="BE3964" i="4"/>
  <c r="BE3965" i="4"/>
  <c r="BE3966" i="4"/>
  <c r="BE3967" i="4"/>
  <c r="BE3968" i="4"/>
  <c r="BE3969" i="4"/>
  <c r="BE3970" i="4"/>
  <c r="BE3971" i="4"/>
  <c r="BE3972" i="4"/>
  <c r="BE3973" i="4"/>
  <c r="BE3974" i="4"/>
  <c r="BE3975" i="4"/>
  <c r="BE3976" i="4"/>
  <c r="BE3977" i="4"/>
  <c r="BE3978" i="4"/>
  <c r="BE3979" i="4"/>
  <c r="BE3980" i="4"/>
  <c r="BE3981" i="4"/>
  <c r="BE3982" i="4"/>
  <c r="BE3983" i="4"/>
  <c r="BE3984" i="4"/>
  <c r="BE3985" i="4"/>
  <c r="BE3986" i="4"/>
  <c r="BE3987" i="4"/>
  <c r="BE3988" i="4"/>
  <c r="BE3989" i="4"/>
  <c r="BE3990" i="4"/>
  <c r="BE3991" i="4"/>
  <c r="BE3992" i="4"/>
  <c r="BE3993" i="4"/>
  <c r="BE3994" i="4"/>
  <c r="BE3995" i="4"/>
  <c r="BE3996" i="4"/>
  <c r="BE3997" i="4"/>
  <c r="BE3998" i="4"/>
  <c r="BE3999" i="4"/>
  <c r="BE4000" i="4"/>
  <c r="BE4001" i="4"/>
  <c r="BE4002" i="4"/>
  <c r="BE4003" i="4"/>
  <c r="BE4004" i="4"/>
  <c r="BE4005" i="4"/>
  <c r="BE4006" i="4"/>
  <c r="BE4007" i="4"/>
  <c r="BE4008" i="4"/>
  <c r="BE4009" i="4"/>
  <c r="BE4010" i="4"/>
  <c r="BE4011" i="4"/>
  <c r="BE4012" i="4"/>
  <c r="BE4013" i="4"/>
  <c r="BE4014" i="4"/>
  <c r="BE4015" i="4"/>
  <c r="BE4016" i="4"/>
  <c r="BE4017" i="4"/>
  <c r="BE4018" i="4"/>
  <c r="BE4019" i="4"/>
  <c r="BE4020" i="4"/>
  <c r="BE4021" i="4"/>
  <c r="BE4022" i="4"/>
  <c r="BE4023" i="4"/>
  <c r="BE4024" i="4"/>
  <c r="BE4025" i="4"/>
  <c r="BE4026" i="4"/>
  <c r="BE4027" i="4"/>
  <c r="BE4028" i="4"/>
  <c r="BE4029" i="4"/>
  <c r="BE4030" i="4"/>
  <c r="BE4031" i="4"/>
  <c r="BE4032" i="4"/>
  <c r="BE4033" i="4"/>
  <c r="BE4034" i="4"/>
  <c r="BE4035" i="4"/>
  <c r="BE4036" i="4"/>
  <c r="BE4037" i="4"/>
  <c r="BE4038" i="4"/>
  <c r="BE4039" i="4"/>
  <c r="BE4040" i="4"/>
  <c r="BE4041" i="4"/>
  <c r="BE4042" i="4"/>
  <c r="BE4043" i="4"/>
  <c r="BE4044" i="4"/>
  <c r="BE4045" i="4"/>
  <c r="BE4046" i="4"/>
  <c r="BE4047" i="4"/>
  <c r="BE4048" i="4"/>
  <c r="BE4049" i="4"/>
  <c r="BE4050" i="4"/>
  <c r="BE4051" i="4"/>
  <c r="BE4052" i="4"/>
  <c r="BE4053" i="4"/>
  <c r="BE4054" i="4"/>
  <c r="BE4055" i="4"/>
  <c r="BE4056" i="4"/>
  <c r="BE4057" i="4"/>
  <c r="BE4058" i="4"/>
  <c r="BE4059" i="4"/>
  <c r="BE4060" i="4"/>
  <c r="BE4061" i="4"/>
  <c r="BE4062" i="4"/>
  <c r="BE4063" i="4"/>
  <c r="BE4064" i="4"/>
  <c r="BE4065" i="4"/>
  <c r="BE4066" i="4"/>
  <c r="BE4067" i="4"/>
  <c r="BE4068" i="4"/>
  <c r="BE4069" i="4"/>
  <c r="BE4070" i="4"/>
  <c r="BE4071" i="4"/>
  <c r="BE4072" i="4"/>
  <c r="BE4073" i="4"/>
  <c r="BE4074" i="4"/>
  <c r="BE4075" i="4"/>
  <c r="BE4076" i="4"/>
  <c r="BE4077" i="4"/>
  <c r="BE4078" i="4"/>
  <c r="BE4079" i="4"/>
  <c r="BE4080" i="4"/>
  <c r="BE4081" i="4"/>
  <c r="BE4082" i="4"/>
  <c r="BE4083" i="4"/>
  <c r="BE4084" i="4"/>
  <c r="BE4085" i="4"/>
  <c r="BE4086" i="4"/>
  <c r="BE4087" i="4"/>
  <c r="BE4088" i="4"/>
  <c r="BE4089" i="4"/>
  <c r="BE4090" i="4"/>
  <c r="BE4091" i="4"/>
  <c r="BE4092" i="4"/>
  <c r="BE4093" i="4"/>
  <c r="BE4094" i="4"/>
  <c r="BE4095" i="4"/>
  <c r="BE4096" i="4"/>
  <c r="BE4097" i="4"/>
  <c r="BE4098" i="4"/>
  <c r="BE4099" i="4"/>
  <c r="BE4100" i="4"/>
  <c r="BE4101" i="4"/>
  <c r="BE4102" i="4"/>
  <c r="BE4103" i="4"/>
  <c r="BE4104" i="4"/>
  <c r="BE4105" i="4"/>
  <c r="BE4106" i="4"/>
  <c r="BE4107" i="4"/>
  <c r="BE4108" i="4"/>
  <c r="BE4109" i="4"/>
  <c r="BE4110" i="4"/>
  <c r="BE4111" i="4"/>
  <c r="BE4112" i="4"/>
  <c r="BE4113" i="4"/>
  <c r="BE4114" i="4"/>
  <c r="BE4115" i="4"/>
  <c r="BE4116" i="4"/>
  <c r="BE4117" i="4"/>
  <c r="BE4118" i="4"/>
  <c r="BE4119" i="4"/>
  <c r="BE4120" i="4"/>
  <c r="BE4121" i="4"/>
  <c r="BE4122" i="4"/>
  <c r="BE4123" i="4"/>
  <c r="BE4124" i="4"/>
  <c r="BE4125" i="4"/>
  <c r="BE4126" i="4"/>
  <c r="BE4127" i="4"/>
  <c r="BE4128" i="4"/>
  <c r="BE4129" i="4"/>
  <c r="BE4130" i="4"/>
  <c r="BE4131" i="4"/>
  <c r="BE4132" i="4"/>
  <c r="BE4133" i="4"/>
  <c r="BE4134" i="4"/>
  <c r="BE4135" i="4"/>
  <c r="BE4136" i="4"/>
  <c r="BE4137" i="4"/>
  <c r="BE4138" i="4"/>
  <c r="BE4139" i="4"/>
  <c r="BE4140" i="4"/>
  <c r="BE4141" i="4"/>
  <c r="BE4142" i="4"/>
  <c r="BE4143" i="4"/>
  <c r="BE4144" i="4"/>
  <c r="BE4145" i="4"/>
  <c r="BE4146" i="4"/>
  <c r="BE4147" i="4"/>
  <c r="BE4148" i="4"/>
  <c r="BE4149" i="4"/>
  <c r="BE4150" i="4"/>
  <c r="BE4151" i="4"/>
  <c r="BE4152" i="4"/>
  <c r="BE4153" i="4"/>
  <c r="BE4154" i="4"/>
  <c r="BE4155" i="4"/>
  <c r="BE4156" i="4"/>
  <c r="BE4157" i="4"/>
  <c r="BE4158" i="4"/>
  <c r="BE4159" i="4"/>
  <c r="BE4160" i="4"/>
  <c r="BE4161" i="4"/>
  <c r="BE4162" i="4"/>
  <c r="BE4163" i="4"/>
  <c r="BE4164" i="4"/>
  <c r="BE4165" i="4"/>
  <c r="BE4166" i="4"/>
  <c r="BE4167" i="4"/>
  <c r="BE4168" i="4"/>
  <c r="BE4169" i="4"/>
  <c r="BE4170" i="4"/>
  <c r="BE4171" i="4"/>
  <c r="BE4172" i="4"/>
  <c r="BE4173" i="4"/>
  <c r="BE4174" i="4"/>
  <c r="BE4175" i="4"/>
  <c r="BE4176" i="4"/>
  <c r="BE4177" i="4"/>
  <c r="BE4178" i="4"/>
  <c r="BE4179" i="4"/>
  <c r="BE4180" i="4"/>
  <c r="BE4181" i="4"/>
  <c r="BE4182" i="4"/>
  <c r="BE4183" i="4"/>
  <c r="BE4184" i="4"/>
  <c r="BE4185" i="4"/>
  <c r="BE4186" i="4"/>
  <c r="BE4187" i="4"/>
  <c r="BE4188" i="4"/>
  <c r="BE4189" i="4"/>
  <c r="BE4190" i="4"/>
  <c r="BE4191" i="4"/>
  <c r="BE4192" i="4"/>
  <c r="BE4193" i="4"/>
  <c r="BE4194" i="4"/>
  <c r="BE4195" i="4"/>
  <c r="BE4196" i="4"/>
  <c r="BE4197" i="4"/>
  <c r="BE4198" i="4"/>
  <c r="BE4199" i="4"/>
  <c r="BE4200" i="4"/>
  <c r="BE4201" i="4"/>
  <c r="BE4202" i="4"/>
  <c r="BE4203" i="4"/>
  <c r="BE4204" i="4"/>
  <c r="BE4205" i="4"/>
  <c r="BE4206" i="4"/>
  <c r="BE4207" i="4"/>
  <c r="BE4208" i="4"/>
  <c r="BE4209" i="4"/>
  <c r="BE4210" i="4"/>
  <c r="BE4211" i="4"/>
  <c r="BE4212" i="4"/>
  <c r="BE4213" i="4"/>
  <c r="BE4214" i="4"/>
  <c r="BE4215" i="4"/>
  <c r="BE4216" i="4"/>
  <c r="BE4217" i="4"/>
  <c r="BE4218" i="4"/>
  <c r="BE4219" i="4"/>
  <c r="BE4220" i="4"/>
  <c r="BE4221" i="4"/>
  <c r="BE4222" i="4"/>
  <c r="BE4223" i="4"/>
  <c r="BE4224" i="4"/>
  <c r="BE4225" i="4"/>
  <c r="BE4226" i="4"/>
  <c r="BE4227" i="4"/>
  <c r="BE4228" i="4"/>
  <c r="BE4229" i="4"/>
  <c r="BE4230" i="4"/>
  <c r="BE4231" i="4"/>
  <c r="BE4232" i="4"/>
  <c r="BE4233" i="4"/>
  <c r="BE4234" i="4"/>
  <c r="BE4235" i="4"/>
  <c r="BE4236" i="4"/>
  <c r="BE4237" i="4"/>
  <c r="BE4238" i="4"/>
  <c r="BE4239" i="4"/>
  <c r="BE4240" i="4"/>
  <c r="BE4241" i="4"/>
  <c r="BE4242" i="4"/>
  <c r="BE4243" i="4"/>
  <c r="BE4244" i="4"/>
  <c r="BE4245" i="4"/>
  <c r="BE4246" i="4"/>
  <c r="BE4247" i="4"/>
  <c r="BE4248" i="4"/>
  <c r="BE4249" i="4"/>
  <c r="BE4250" i="4"/>
  <c r="BE4251" i="4"/>
  <c r="BE4252" i="4"/>
  <c r="BE4253" i="4"/>
  <c r="BE4254" i="4"/>
  <c r="BE4255" i="4"/>
  <c r="BE4256" i="4"/>
  <c r="BE4257" i="4"/>
  <c r="BE4258" i="4"/>
  <c r="BE4259" i="4"/>
  <c r="BE4260" i="4"/>
  <c r="BE4261" i="4"/>
  <c r="BE4262" i="4"/>
  <c r="BE4263" i="4"/>
  <c r="BE4264" i="4"/>
  <c r="BE4265" i="4"/>
  <c r="BE4266" i="4"/>
  <c r="BE4267" i="4"/>
  <c r="BE4268" i="4"/>
  <c r="BE4269" i="4"/>
  <c r="BE4270" i="4"/>
  <c r="BE4271" i="4"/>
  <c r="BE4272" i="4"/>
  <c r="BE4273" i="4"/>
  <c r="BE4274" i="4"/>
  <c r="BE4275" i="4"/>
  <c r="BE4276" i="4"/>
  <c r="BE4277" i="4"/>
  <c r="BE4278" i="4"/>
  <c r="BE4279" i="4"/>
  <c r="BE4280" i="4"/>
  <c r="BE4281" i="4"/>
  <c r="BE4282" i="4"/>
  <c r="BE4283" i="4"/>
  <c r="BE4284" i="4"/>
  <c r="BE4285" i="4"/>
  <c r="BE4286" i="4"/>
  <c r="BE4287" i="4"/>
  <c r="BE4288" i="4"/>
  <c r="BE4289" i="4"/>
  <c r="BE4290" i="4"/>
  <c r="BE4291" i="4"/>
  <c r="BE4292" i="4"/>
  <c r="BE4293" i="4"/>
  <c r="BE4294" i="4"/>
  <c r="BE4295" i="4"/>
  <c r="BE4296" i="4"/>
  <c r="BE4297" i="4"/>
  <c r="BE4298" i="4"/>
  <c r="BE4299" i="4"/>
  <c r="BE4300" i="4"/>
  <c r="BE4301" i="4"/>
  <c r="BE4302" i="4"/>
  <c r="BE4303" i="4"/>
  <c r="BE4304" i="4"/>
  <c r="BE4305" i="4"/>
  <c r="BE4306" i="4"/>
  <c r="BE4307" i="4"/>
  <c r="BE4308" i="4"/>
  <c r="BE4309" i="4"/>
  <c r="BE4310" i="4"/>
  <c r="BE4311" i="4"/>
  <c r="BE4312" i="4"/>
  <c r="BE4313" i="4"/>
  <c r="BE4314" i="4"/>
  <c r="BE4315" i="4"/>
  <c r="BE4316" i="4"/>
  <c r="BE4317" i="4"/>
  <c r="BE4318" i="4"/>
  <c r="BE4319" i="4"/>
  <c r="BE4320" i="4"/>
  <c r="BE4321" i="4"/>
  <c r="BE4322" i="4"/>
  <c r="BE4323" i="4"/>
  <c r="BE4324" i="4"/>
  <c r="BE4325" i="4"/>
  <c r="BE4326" i="4"/>
  <c r="BE4327" i="4"/>
  <c r="BE4328" i="4"/>
  <c r="BE4329" i="4"/>
  <c r="BE4330" i="4"/>
  <c r="BE4331" i="4"/>
  <c r="BE4332" i="4"/>
  <c r="BE4333" i="4"/>
  <c r="BE4334" i="4"/>
  <c r="BE4335" i="4"/>
  <c r="BE4336" i="4"/>
  <c r="BE4337" i="4"/>
  <c r="BE4338" i="4"/>
  <c r="BE4339" i="4"/>
  <c r="BE4340" i="4"/>
  <c r="BE4341" i="4"/>
  <c r="BE4342" i="4"/>
  <c r="BE4343" i="4"/>
  <c r="BE4344" i="4"/>
  <c r="BE4345" i="4"/>
  <c r="BE4346" i="4"/>
  <c r="BE4347" i="4"/>
  <c r="BE4348" i="4"/>
  <c r="BE4349" i="4"/>
  <c r="BE4350" i="4"/>
  <c r="BE4351" i="4"/>
  <c r="BE4352" i="4"/>
  <c r="BE4353" i="4"/>
  <c r="BE4354" i="4"/>
  <c r="BE4355" i="4"/>
  <c r="BE4356" i="4"/>
  <c r="BE4357" i="4"/>
  <c r="BE4358" i="4"/>
  <c r="BE4359" i="4"/>
  <c r="BE4360" i="4"/>
  <c r="BE4361" i="4"/>
  <c r="BE4362" i="4"/>
  <c r="BE4363" i="4"/>
  <c r="BE4364" i="4"/>
  <c r="BE4365" i="4"/>
  <c r="BE4366" i="4"/>
  <c r="BE4367" i="4"/>
  <c r="BE4368" i="4"/>
  <c r="BE4369" i="4"/>
  <c r="BE4370" i="4"/>
  <c r="BE4371" i="4"/>
  <c r="BE4372" i="4"/>
  <c r="BE4373" i="4"/>
  <c r="BE4374" i="4"/>
  <c r="BE4375" i="4"/>
  <c r="BE4376" i="4"/>
  <c r="BE4377" i="4"/>
  <c r="BE4378" i="4"/>
  <c r="BE4379" i="4"/>
  <c r="BE4380" i="4"/>
  <c r="BE4381" i="4"/>
  <c r="BE4382" i="4"/>
  <c r="BE4383" i="4"/>
  <c r="BE4384" i="4"/>
  <c r="BE4385" i="4"/>
  <c r="BE4386" i="4"/>
  <c r="BE4387" i="4"/>
  <c r="BE4388" i="4"/>
  <c r="BE4389" i="4"/>
  <c r="BE4390" i="4"/>
  <c r="BE4391" i="4"/>
  <c r="BE4392" i="4"/>
  <c r="BE4393" i="4"/>
  <c r="BE4394" i="4"/>
  <c r="BE4395" i="4"/>
  <c r="BE4396" i="4"/>
  <c r="BE4397" i="4"/>
  <c r="BE4398" i="4"/>
  <c r="BE4399" i="4"/>
  <c r="BE4400" i="4"/>
  <c r="BE4401" i="4"/>
  <c r="BE4402" i="4"/>
  <c r="BE4403" i="4"/>
  <c r="BE4404" i="4"/>
  <c r="BE4405" i="4"/>
  <c r="BE4406" i="4"/>
  <c r="BE4407" i="4"/>
  <c r="BE4408" i="4"/>
  <c r="BE4409" i="4"/>
  <c r="BE4410" i="4"/>
  <c r="BE4411" i="4"/>
  <c r="BE4412" i="4"/>
  <c r="BE4413" i="4"/>
  <c r="BE4414" i="4"/>
  <c r="BE4415" i="4"/>
  <c r="BE4416" i="4"/>
  <c r="BE4417" i="4"/>
  <c r="BE4418" i="4"/>
  <c r="BE4419" i="4"/>
  <c r="BE4420" i="4"/>
  <c r="BE4421" i="4"/>
  <c r="BE4422" i="4"/>
  <c r="BE4423" i="4"/>
  <c r="BE4424" i="4"/>
  <c r="BE4425" i="4"/>
  <c r="BE4426" i="4"/>
  <c r="BE4427" i="4"/>
  <c r="BE4428" i="4"/>
  <c r="BE4429" i="4"/>
  <c r="BE4430" i="4"/>
  <c r="BE4431" i="4"/>
  <c r="BE4432" i="4"/>
  <c r="BE4433" i="4"/>
  <c r="BE4434" i="4"/>
  <c r="BE4435" i="4"/>
  <c r="BE4436" i="4"/>
  <c r="BE4437" i="4"/>
  <c r="BE4438" i="4"/>
  <c r="BE4439" i="4"/>
  <c r="BE4440" i="4"/>
  <c r="BE4441" i="4"/>
  <c r="BE4442" i="4"/>
  <c r="BE4443" i="4"/>
  <c r="BE4444" i="4"/>
  <c r="BE4445" i="4"/>
  <c r="BE4446" i="4"/>
  <c r="BE4447" i="4"/>
  <c r="BE4448" i="4"/>
  <c r="BE4449" i="4"/>
  <c r="BE4450" i="4"/>
  <c r="BE4451" i="4"/>
  <c r="BE4452" i="4"/>
  <c r="BE4453" i="4"/>
  <c r="BE4454" i="4"/>
  <c r="BE4455" i="4"/>
  <c r="BE4456" i="4"/>
  <c r="BE4457" i="4"/>
  <c r="BE4458" i="4"/>
  <c r="BE4459" i="4"/>
  <c r="BE4460" i="4"/>
  <c r="BE4461" i="4"/>
  <c r="BE4462" i="4"/>
  <c r="BE4463" i="4"/>
  <c r="BE4464" i="4"/>
  <c r="BE4465" i="4"/>
  <c r="BE4466" i="4"/>
  <c r="BE4467" i="4"/>
  <c r="BE4468" i="4"/>
  <c r="BE4469" i="4"/>
  <c r="BE4470" i="4"/>
  <c r="BE4471" i="4"/>
  <c r="BE4472" i="4"/>
  <c r="BE4473" i="4"/>
  <c r="BE4474" i="4"/>
  <c r="BE4475" i="4"/>
  <c r="BE4476" i="4"/>
  <c r="BE4477" i="4"/>
  <c r="BE4478" i="4"/>
  <c r="BE4479" i="4"/>
  <c r="BE4480" i="4"/>
  <c r="BE4481" i="4"/>
  <c r="BE4482" i="4"/>
  <c r="BE4483" i="4"/>
  <c r="BE4484" i="4"/>
  <c r="BE4485" i="4"/>
  <c r="BE4486" i="4"/>
  <c r="BE4487" i="4"/>
  <c r="BE4488" i="4"/>
  <c r="BE4489" i="4"/>
  <c r="BE4490" i="4"/>
  <c r="BE4491" i="4"/>
  <c r="BE4492" i="4"/>
  <c r="BE4493" i="4"/>
  <c r="BE4494" i="4"/>
  <c r="BE4495" i="4"/>
  <c r="BE4496" i="4"/>
  <c r="BE4497" i="4"/>
  <c r="BE4498" i="4"/>
  <c r="BE4499" i="4"/>
  <c r="BE4500" i="4"/>
  <c r="BE4501" i="4"/>
  <c r="BE4502" i="4"/>
  <c r="BE4503" i="4"/>
  <c r="BE4504" i="4"/>
  <c r="BE4505" i="4"/>
  <c r="BE4506" i="4"/>
  <c r="BE4507" i="4"/>
  <c r="BE4508" i="4"/>
  <c r="BE4509" i="4"/>
  <c r="BE4510" i="4"/>
  <c r="BE4511" i="4"/>
  <c r="BE4512" i="4"/>
  <c r="BE4513" i="4"/>
  <c r="BE4514" i="4"/>
  <c r="BE4515" i="4"/>
  <c r="BE4516" i="4"/>
  <c r="BE4517" i="4"/>
  <c r="BE4518" i="4"/>
  <c r="BE4519" i="4"/>
  <c r="BE4520" i="4"/>
  <c r="BE4521" i="4"/>
  <c r="BE4522" i="4"/>
  <c r="BE4523" i="4"/>
  <c r="BE4524" i="4"/>
  <c r="BE4525" i="4"/>
  <c r="BE4526" i="4"/>
  <c r="BE4527" i="4"/>
  <c r="BE4528" i="4"/>
  <c r="BE4529" i="4"/>
  <c r="BE4530" i="4"/>
  <c r="BE4531" i="4"/>
  <c r="BE4532" i="4"/>
  <c r="BE4533" i="4"/>
  <c r="BE4534" i="4"/>
  <c r="BE4535" i="4"/>
  <c r="BE4536" i="4"/>
  <c r="BE4537" i="4"/>
  <c r="BE4538" i="4"/>
  <c r="BE4539" i="4"/>
  <c r="BE4540" i="4"/>
  <c r="BE4541" i="4"/>
  <c r="BE4542" i="4"/>
  <c r="BE4543" i="4"/>
  <c r="BE4544" i="4"/>
  <c r="BE4545" i="4"/>
  <c r="BE4546" i="4"/>
  <c r="BE4547" i="4"/>
  <c r="BE4548" i="4"/>
  <c r="BE4549" i="4"/>
  <c r="BE4550" i="4"/>
  <c r="BE4551" i="4"/>
  <c r="BE4552" i="4"/>
  <c r="BE4553" i="4"/>
  <c r="BE4554" i="4"/>
  <c r="BE4555" i="4"/>
  <c r="BE4556" i="4"/>
  <c r="BE4557" i="4"/>
  <c r="BE4558" i="4"/>
  <c r="BE4559" i="4"/>
  <c r="BE4560" i="4"/>
  <c r="BE4561" i="4"/>
  <c r="BE4562" i="4"/>
  <c r="BE4563" i="4"/>
  <c r="BE4564" i="4"/>
  <c r="BE4565" i="4"/>
  <c r="BE4566" i="4"/>
  <c r="BE4567" i="4"/>
  <c r="BE4568" i="4"/>
  <c r="BE4569" i="4"/>
  <c r="BE4570" i="4"/>
  <c r="BE4571" i="4"/>
  <c r="BE4572" i="4"/>
  <c r="BE4573" i="4"/>
  <c r="BE4574" i="4"/>
  <c r="BE4575" i="4"/>
  <c r="BE4576" i="4"/>
  <c r="BE4577" i="4"/>
  <c r="BE4578" i="4"/>
  <c r="BE4579" i="4"/>
  <c r="BE4580" i="4"/>
  <c r="BE4581" i="4"/>
  <c r="BE4582" i="4"/>
  <c r="BE4583" i="4"/>
  <c r="BE4584" i="4"/>
  <c r="BE4585" i="4"/>
  <c r="BE4586" i="4"/>
  <c r="BE4587" i="4"/>
  <c r="BE4588" i="4"/>
  <c r="BE4589" i="4"/>
  <c r="BE4590" i="4"/>
  <c r="BE4591" i="4"/>
  <c r="BE4592" i="4"/>
  <c r="BE4593" i="4"/>
  <c r="BE4594" i="4"/>
  <c r="BE4595" i="4"/>
  <c r="BE4596" i="4"/>
  <c r="BE4597" i="4"/>
  <c r="BE4598" i="4"/>
  <c r="BE4599" i="4"/>
  <c r="BE4600" i="4"/>
  <c r="BE4601" i="4"/>
  <c r="BE4602" i="4"/>
  <c r="BE4603" i="4"/>
  <c r="BE4604" i="4"/>
  <c r="BE4605" i="4"/>
  <c r="BE4606" i="4"/>
  <c r="BE4607" i="4"/>
  <c r="BE4608" i="4"/>
  <c r="BE4609" i="4"/>
  <c r="BE4610" i="4"/>
  <c r="BE4611" i="4"/>
  <c r="BE4612" i="4"/>
  <c r="BE4613" i="4"/>
  <c r="BE4614" i="4"/>
  <c r="BE4615" i="4"/>
  <c r="BE4616" i="4"/>
  <c r="BE4617" i="4"/>
  <c r="BE4618" i="4"/>
  <c r="BE4619" i="4"/>
  <c r="BE4620" i="4"/>
  <c r="BE4621" i="4"/>
  <c r="BE4622" i="4"/>
  <c r="BE4623" i="4"/>
  <c r="BE4624" i="4"/>
  <c r="BE4625" i="4"/>
  <c r="BE4626" i="4"/>
  <c r="BE4627" i="4"/>
  <c r="BE4628" i="4"/>
  <c r="BE4629" i="4"/>
  <c r="BE4630" i="4"/>
  <c r="BE4631" i="4"/>
  <c r="BE4632" i="4"/>
  <c r="BE4633" i="4"/>
  <c r="BE4634" i="4"/>
  <c r="BE4635" i="4"/>
  <c r="BE4636" i="4"/>
  <c r="BE4637" i="4"/>
  <c r="BE4638" i="4"/>
  <c r="BE4639" i="4"/>
  <c r="BE4640" i="4"/>
  <c r="BE4641" i="4"/>
  <c r="BE4642" i="4"/>
  <c r="BE4643" i="4"/>
  <c r="BE4644" i="4"/>
  <c r="BE4645" i="4"/>
  <c r="BE4646" i="4"/>
  <c r="BE4647" i="4"/>
  <c r="BE4648" i="4"/>
  <c r="BE4649" i="4"/>
  <c r="BE4650" i="4"/>
  <c r="BE4651" i="4"/>
  <c r="BE4652" i="4"/>
  <c r="BE4653" i="4"/>
  <c r="BE4654" i="4"/>
  <c r="BE4655" i="4"/>
  <c r="BE4656" i="4"/>
  <c r="BE4657" i="4"/>
  <c r="BE4658" i="4"/>
  <c r="BE4659" i="4"/>
  <c r="BE4660" i="4"/>
  <c r="BE4661" i="4"/>
  <c r="BE4662" i="4"/>
  <c r="BE4663" i="4"/>
  <c r="BE4664" i="4"/>
  <c r="BE4665" i="4"/>
  <c r="BE4666" i="4"/>
  <c r="BE4667" i="4"/>
  <c r="BE4668" i="4"/>
  <c r="BE4669" i="4"/>
  <c r="BE4670" i="4"/>
  <c r="BE4671" i="4"/>
  <c r="BE4672" i="4"/>
  <c r="BE4673" i="4"/>
  <c r="BE4674" i="4"/>
  <c r="BE4675" i="4"/>
  <c r="BE4676" i="4"/>
  <c r="BE4677" i="4"/>
  <c r="BE4678" i="4"/>
  <c r="BE4679" i="4"/>
  <c r="BE4680" i="4"/>
  <c r="BE4681" i="4"/>
  <c r="BE4682" i="4"/>
  <c r="BE4683" i="4"/>
  <c r="BE4684" i="4"/>
  <c r="BE4685" i="4"/>
  <c r="BE4686" i="4"/>
  <c r="BE4687" i="4"/>
  <c r="BE4688" i="4"/>
  <c r="BE4689" i="4"/>
  <c r="BE4690" i="4"/>
  <c r="BE4691" i="4"/>
  <c r="BE4692" i="4"/>
  <c r="BE4693" i="4"/>
  <c r="BE4694" i="4"/>
  <c r="BE4695" i="4"/>
  <c r="BE4696" i="4"/>
  <c r="BE4697" i="4"/>
  <c r="BE4698" i="4"/>
  <c r="BE4699" i="4"/>
  <c r="BE4700" i="4"/>
  <c r="BE4701" i="4"/>
  <c r="BE4702" i="4"/>
  <c r="BE4703" i="4"/>
  <c r="BE4704" i="4"/>
  <c r="BE4705" i="4"/>
  <c r="BE4706" i="4"/>
  <c r="BE4707" i="4"/>
  <c r="BE4708" i="4"/>
  <c r="BE4709" i="4"/>
  <c r="BE4710" i="4"/>
  <c r="BE4711" i="4"/>
  <c r="BE4712" i="4"/>
  <c r="BE4713" i="4"/>
  <c r="BE4714" i="4"/>
  <c r="BE4715" i="4"/>
  <c r="BE4716" i="4"/>
  <c r="BE4717" i="4"/>
  <c r="BE4718" i="4"/>
  <c r="BE4719" i="4"/>
  <c r="BE4720" i="4"/>
  <c r="BE4721" i="4"/>
  <c r="BE4722" i="4"/>
  <c r="BE4723" i="4"/>
  <c r="BE4724" i="4"/>
  <c r="BE4725" i="4"/>
  <c r="BE4726" i="4"/>
  <c r="BE4727" i="4"/>
  <c r="BE4728" i="4"/>
  <c r="BE4729" i="4"/>
  <c r="BE4730" i="4"/>
  <c r="BE4731" i="4"/>
  <c r="BE4732" i="4"/>
  <c r="BE4733" i="4"/>
  <c r="BE4734" i="4"/>
  <c r="BE4735" i="4"/>
  <c r="BE4736" i="4"/>
  <c r="BE4737" i="4"/>
  <c r="BE4738" i="4"/>
  <c r="BE4739" i="4"/>
  <c r="BE4740" i="4"/>
  <c r="BE4741" i="4"/>
  <c r="BE4742" i="4"/>
  <c r="BE4743" i="4"/>
  <c r="BE4744" i="4"/>
  <c r="BE4745" i="4"/>
  <c r="BE4746" i="4"/>
  <c r="BE4747" i="4"/>
  <c r="BE4748" i="4"/>
  <c r="BE4749" i="4"/>
  <c r="BE4750" i="4"/>
  <c r="BE4751" i="4"/>
  <c r="BE4752" i="4"/>
  <c r="BE4753" i="4"/>
  <c r="BE4754" i="4"/>
  <c r="BE4755" i="4"/>
  <c r="BE4756" i="4"/>
  <c r="BE4757" i="4"/>
  <c r="BE4758" i="4"/>
  <c r="BE4759" i="4"/>
  <c r="BE4760" i="4"/>
  <c r="BE4761" i="4"/>
  <c r="BE4762" i="4"/>
  <c r="BE4763" i="4"/>
  <c r="BE4764" i="4"/>
  <c r="BE4765" i="4"/>
  <c r="BE4766" i="4"/>
  <c r="BE4767" i="4"/>
  <c r="BE4768" i="4"/>
  <c r="BE4769" i="4"/>
  <c r="BE4770" i="4"/>
  <c r="BE4771" i="4"/>
  <c r="BE4772" i="4"/>
  <c r="BE4773" i="4"/>
  <c r="BE4774" i="4"/>
  <c r="BE4775" i="4"/>
  <c r="BE4776" i="4"/>
  <c r="BE4777" i="4"/>
  <c r="BE4778" i="4"/>
  <c r="BE4779" i="4"/>
  <c r="BE4780" i="4"/>
  <c r="BE4781" i="4"/>
  <c r="BE4782" i="4"/>
  <c r="BE4783" i="4"/>
  <c r="BE4784" i="4"/>
  <c r="BE4785" i="4"/>
  <c r="BE4786" i="4"/>
  <c r="BE4787" i="4"/>
  <c r="BE4788" i="4"/>
  <c r="BE4789" i="4"/>
  <c r="BE4790" i="4"/>
  <c r="BE4791" i="4"/>
  <c r="BE4792" i="4"/>
  <c r="BE4793" i="4"/>
  <c r="BE4794" i="4"/>
  <c r="BE4795" i="4"/>
  <c r="BE4796" i="4"/>
  <c r="BE4797" i="4"/>
  <c r="BE4798" i="4"/>
  <c r="BE4799" i="4"/>
  <c r="BE4800" i="4"/>
  <c r="BE4801" i="4"/>
  <c r="BE4802" i="4"/>
  <c r="BE4803" i="4"/>
  <c r="BE4804" i="4"/>
  <c r="BE4805" i="4"/>
  <c r="BE4806" i="4"/>
  <c r="BE4807" i="4"/>
  <c r="BE4808" i="4"/>
  <c r="BE4809" i="4"/>
  <c r="BE4810" i="4"/>
  <c r="BE4811" i="4"/>
  <c r="BE4812" i="4"/>
  <c r="BE4813" i="4"/>
  <c r="BE4814" i="4"/>
  <c r="BE4815" i="4"/>
  <c r="BE4816" i="4"/>
  <c r="BE4817" i="4"/>
  <c r="BE4818" i="4"/>
  <c r="BE4819" i="4"/>
  <c r="BE4820" i="4"/>
  <c r="BE4821" i="4"/>
  <c r="BE4822" i="4"/>
  <c r="BE4823" i="4"/>
  <c r="BE4824" i="4"/>
  <c r="BE4825" i="4"/>
  <c r="BE4826" i="4"/>
  <c r="BE4827" i="4"/>
  <c r="BE4828" i="4"/>
  <c r="BE4829" i="4"/>
  <c r="BE4830" i="4"/>
  <c r="BE4831" i="4"/>
  <c r="BE4832" i="4"/>
  <c r="BE4833" i="4"/>
  <c r="BE4834" i="4"/>
  <c r="BE4835" i="4"/>
  <c r="BE4836" i="4"/>
  <c r="BE4837" i="4"/>
  <c r="BE4838" i="4"/>
  <c r="BE4839" i="4"/>
  <c r="BE4840" i="4"/>
  <c r="BE4841" i="4"/>
  <c r="BE4842" i="4"/>
  <c r="BE4843" i="4"/>
  <c r="BE4844" i="4"/>
  <c r="BE4845" i="4"/>
  <c r="BE4846" i="4"/>
  <c r="BE4847" i="4"/>
  <c r="BE4848" i="4"/>
  <c r="BE4849" i="4"/>
  <c r="BE4850" i="4"/>
  <c r="BE4851" i="4"/>
  <c r="BE4852" i="4"/>
  <c r="BE4853" i="4"/>
  <c r="BE4854" i="4"/>
  <c r="BE4855" i="4"/>
  <c r="BE4856" i="4"/>
  <c r="BE4857" i="4"/>
  <c r="BE4858" i="4"/>
  <c r="BE4859" i="4"/>
  <c r="BE4860" i="4"/>
  <c r="BE4861" i="4"/>
  <c r="BE4862" i="4"/>
  <c r="BE4863" i="4"/>
  <c r="BE4864" i="4"/>
  <c r="BE4865" i="4"/>
  <c r="BE4866" i="4"/>
  <c r="BE4867" i="4"/>
  <c r="BE4868" i="4"/>
  <c r="BE4869" i="4"/>
  <c r="BE4870" i="4"/>
  <c r="BE4871" i="4"/>
  <c r="BE4872" i="4"/>
  <c r="BE4873" i="4"/>
  <c r="BE4874" i="4"/>
  <c r="BE4875" i="4"/>
  <c r="BE4876" i="4"/>
  <c r="BE4877" i="4"/>
  <c r="BE4878" i="4"/>
  <c r="BE4879" i="4"/>
  <c r="BE4880" i="4"/>
  <c r="BE4881" i="4"/>
  <c r="BE4882" i="4"/>
  <c r="BE4883" i="4"/>
  <c r="BE4884" i="4"/>
  <c r="BE4885" i="4"/>
  <c r="BE4886" i="4"/>
  <c r="BE4887" i="4"/>
  <c r="BE4888" i="4"/>
  <c r="BE4889" i="4"/>
  <c r="BE4890" i="4"/>
  <c r="BE4891" i="4"/>
  <c r="BE4892" i="4"/>
  <c r="BE4893" i="4"/>
  <c r="BE4894" i="4"/>
  <c r="BE4895" i="4"/>
  <c r="BE4896" i="4"/>
  <c r="BE4897" i="4"/>
  <c r="BE4898" i="4"/>
  <c r="BE4899" i="4"/>
  <c r="BE4900" i="4"/>
  <c r="BE4901" i="4"/>
  <c r="BE4902" i="4"/>
  <c r="BE4903" i="4"/>
  <c r="BE4904" i="4"/>
  <c r="BE4905" i="4"/>
  <c r="BE4906" i="4"/>
  <c r="BE4907" i="4"/>
  <c r="BE4908" i="4"/>
  <c r="BE4909" i="4"/>
  <c r="BE4910" i="4"/>
  <c r="BE4911" i="4"/>
  <c r="BE4912" i="4"/>
  <c r="BE4913" i="4"/>
  <c r="BE4914" i="4"/>
  <c r="BE4915" i="4"/>
  <c r="BE4916" i="4"/>
  <c r="BE4917" i="4"/>
  <c r="BE4918" i="4"/>
  <c r="BE4919" i="4"/>
  <c r="BE4920" i="4"/>
  <c r="BE4921" i="4"/>
  <c r="BE4922" i="4"/>
  <c r="BE4923" i="4"/>
  <c r="BE4924" i="4"/>
  <c r="BE4925" i="4"/>
  <c r="BE4926" i="4"/>
  <c r="BE4927" i="4"/>
  <c r="BE4928" i="4"/>
  <c r="BE4929" i="4"/>
  <c r="BE4930" i="4"/>
  <c r="BE4931" i="4"/>
  <c r="BE4932" i="4"/>
  <c r="BE4933" i="4"/>
  <c r="BE4934" i="4"/>
  <c r="BE4935" i="4"/>
  <c r="BE4936" i="4"/>
  <c r="BE4937" i="4"/>
  <c r="BE4938" i="4"/>
  <c r="BE4939" i="4"/>
  <c r="BE4940" i="4"/>
  <c r="BE4941" i="4"/>
  <c r="BE4942" i="4"/>
  <c r="BE4943" i="4"/>
  <c r="BE4944" i="4"/>
  <c r="BE4945" i="4"/>
  <c r="BE4946" i="4"/>
  <c r="BE4947" i="4"/>
  <c r="BE4948" i="4"/>
  <c r="BE4949" i="4"/>
  <c r="BE4950" i="4"/>
  <c r="BE4951" i="4"/>
  <c r="BE4952" i="4"/>
  <c r="BE4953" i="4"/>
  <c r="BE4954" i="4"/>
  <c r="BE4955" i="4"/>
  <c r="BE4956" i="4"/>
  <c r="BE4957" i="4"/>
  <c r="BE4958" i="4"/>
  <c r="BE4959" i="4"/>
  <c r="BE4960" i="4"/>
  <c r="BE4961" i="4"/>
  <c r="BE4962" i="4"/>
  <c r="BE4963" i="4"/>
  <c r="BE4964" i="4"/>
  <c r="BE4965" i="4"/>
  <c r="BE4966" i="4"/>
  <c r="BE4967" i="4"/>
  <c r="BE4968" i="4"/>
  <c r="BE4969" i="4"/>
  <c r="BE4970" i="4"/>
  <c r="BE4971" i="4"/>
  <c r="BE4972" i="4"/>
  <c r="BE4973" i="4"/>
  <c r="BE4974" i="4"/>
  <c r="BE4975" i="4"/>
  <c r="BE4976" i="4"/>
  <c r="BE4977" i="4"/>
  <c r="BE4978" i="4"/>
  <c r="BE4979" i="4"/>
  <c r="BE4980" i="4"/>
  <c r="BE4981" i="4"/>
  <c r="BE4982" i="4"/>
  <c r="BE4983" i="4"/>
  <c r="BE4984" i="4"/>
  <c r="BE4985" i="4"/>
  <c r="BE4986" i="4"/>
  <c r="BE4987" i="4"/>
  <c r="BE4988" i="4"/>
  <c r="BE4989" i="4"/>
  <c r="BE4990" i="4"/>
  <c r="BE4991" i="4"/>
  <c r="BE4992" i="4"/>
  <c r="BE4993" i="4"/>
  <c r="BE4994" i="4"/>
  <c r="BE4995" i="4"/>
  <c r="BE4996" i="4"/>
  <c r="BE4997" i="4"/>
  <c r="BE4998" i="4"/>
  <c r="BE4999" i="4"/>
  <c r="BE5000" i="4"/>
  <c r="BE5001" i="4"/>
  <c r="BE5002" i="4"/>
  <c r="BE5003" i="4"/>
  <c r="BE5004" i="4"/>
  <c r="BE5005" i="4"/>
  <c r="BE5006" i="4"/>
  <c r="BE5007" i="4"/>
  <c r="BE5008" i="4"/>
  <c r="BE5009" i="4"/>
  <c r="BE5010" i="4"/>
  <c r="BE5011" i="4"/>
  <c r="BE5012" i="4"/>
  <c r="BE5013" i="4"/>
  <c r="BE5014" i="4"/>
  <c r="BE5015" i="4"/>
  <c r="BE5016" i="4"/>
  <c r="BE5017" i="4"/>
  <c r="BE5018" i="4"/>
  <c r="BE5019" i="4"/>
  <c r="BE5020" i="4"/>
  <c r="BE5021" i="4"/>
  <c r="BE5022" i="4"/>
  <c r="BE5023" i="4"/>
  <c r="BE5024" i="4"/>
  <c r="BE5025" i="4"/>
  <c r="BE5026" i="4"/>
  <c r="BE5027" i="4"/>
  <c r="BE5028" i="4"/>
  <c r="BE5029" i="4"/>
  <c r="BE5030" i="4"/>
  <c r="BE5031" i="4"/>
  <c r="BE5032" i="4"/>
  <c r="BE5033" i="4"/>
  <c r="BE5034" i="4"/>
  <c r="BE5035" i="4"/>
  <c r="BE5036" i="4"/>
  <c r="BE5037" i="4"/>
  <c r="BE5038" i="4"/>
  <c r="BE5039" i="4"/>
  <c r="BE5040" i="4"/>
  <c r="BE5041" i="4"/>
  <c r="BE5042" i="4"/>
  <c r="BE5043" i="4"/>
  <c r="BE5044" i="4"/>
  <c r="BE5045" i="4"/>
  <c r="BE5046" i="4"/>
  <c r="BE5047" i="4"/>
  <c r="BE5048" i="4"/>
  <c r="BE5049" i="4"/>
  <c r="BE5050" i="4"/>
  <c r="BE5051" i="4"/>
  <c r="BE5052" i="4"/>
  <c r="BE5053" i="4"/>
  <c r="BE5054" i="4"/>
  <c r="BE5055" i="4"/>
  <c r="BE5056" i="4"/>
  <c r="BE5057" i="4"/>
  <c r="BE5058" i="4"/>
  <c r="BE5059" i="4"/>
  <c r="BE5060" i="4"/>
  <c r="BE5061" i="4"/>
  <c r="BE5062" i="4"/>
  <c r="BE5063" i="4"/>
  <c r="BE5064" i="4"/>
  <c r="BE5065" i="4"/>
  <c r="BE5066" i="4"/>
  <c r="BE5067" i="4"/>
  <c r="BE5068" i="4"/>
  <c r="BE5069" i="4"/>
  <c r="BE5070" i="4"/>
  <c r="BE5071" i="4"/>
  <c r="BE5072" i="4"/>
  <c r="BE5073" i="4"/>
  <c r="BE5074" i="4"/>
  <c r="BE5075" i="4"/>
  <c r="BE5076" i="4"/>
  <c r="BE5077" i="4"/>
  <c r="BE5078" i="4"/>
  <c r="BE5079" i="4"/>
  <c r="BE5080" i="4"/>
  <c r="BE5081" i="4"/>
  <c r="BE5082" i="4"/>
  <c r="BE5083" i="4"/>
  <c r="BE5084" i="4"/>
  <c r="BE5085" i="4"/>
  <c r="BE5086" i="4"/>
  <c r="BE5087" i="4"/>
  <c r="BE5088" i="4"/>
  <c r="BE5089" i="4"/>
  <c r="BE5090" i="4"/>
  <c r="BE5091" i="4"/>
  <c r="BE5092" i="4"/>
  <c r="BE5093" i="4"/>
  <c r="BE5094" i="4"/>
  <c r="BE5095" i="4"/>
  <c r="BE5096" i="4"/>
  <c r="BE5097" i="4"/>
  <c r="BE5098" i="4"/>
  <c r="BE5099" i="4"/>
  <c r="BE5100" i="4"/>
  <c r="BE5101" i="4"/>
  <c r="BE5102" i="4"/>
  <c r="BE5103" i="4"/>
  <c r="BE5104" i="4"/>
  <c r="BE5105" i="4"/>
  <c r="BE5106" i="4"/>
  <c r="BE5107" i="4"/>
  <c r="BE5108" i="4"/>
  <c r="BE5109" i="4"/>
  <c r="BE5110" i="4"/>
  <c r="BE5111" i="4"/>
  <c r="BE5112" i="4"/>
  <c r="BE5113" i="4"/>
  <c r="BE5114" i="4"/>
  <c r="BE5115" i="4"/>
  <c r="BE5116" i="4"/>
  <c r="BE5117" i="4"/>
  <c r="BE5118" i="4"/>
  <c r="BE5119" i="4"/>
  <c r="BE5120" i="4"/>
  <c r="BE5121" i="4"/>
  <c r="BE5122" i="4"/>
  <c r="BE5123" i="4"/>
  <c r="BE5124" i="4"/>
  <c r="BE5125" i="4"/>
  <c r="BE5126" i="4"/>
  <c r="BE5127" i="4"/>
  <c r="BE5128" i="4"/>
  <c r="BE5129" i="4"/>
  <c r="BE5130" i="4"/>
  <c r="BE5131" i="4"/>
  <c r="BE5132" i="4"/>
  <c r="BE5133" i="4"/>
  <c r="BE5134" i="4"/>
  <c r="BE5135" i="4"/>
  <c r="BE5136" i="4"/>
  <c r="BE5137" i="4"/>
  <c r="BE5138" i="4"/>
  <c r="BE5139" i="4"/>
  <c r="BE5140" i="4"/>
  <c r="BE5141" i="4"/>
  <c r="BE5142" i="4"/>
  <c r="BE5143" i="4"/>
  <c r="BE5144" i="4"/>
  <c r="BE5145" i="4"/>
  <c r="BE5146" i="4"/>
  <c r="BE5147" i="4"/>
  <c r="BE5148" i="4"/>
  <c r="BE5149" i="4"/>
  <c r="BE5150" i="4"/>
  <c r="BE5151" i="4"/>
  <c r="BE5152" i="4"/>
  <c r="BE5153" i="4"/>
  <c r="BE5154" i="4"/>
  <c r="BE5155" i="4"/>
  <c r="BE5156" i="4"/>
  <c r="BE5157" i="4"/>
  <c r="BE5158" i="4"/>
  <c r="BE5159" i="4"/>
  <c r="BE5160" i="4"/>
  <c r="BE5161" i="4"/>
  <c r="BE5162" i="4"/>
  <c r="BE5163" i="4"/>
  <c r="BE5164" i="4"/>
  <c r="BE5165" i="4"/>
  <c r="BE5166" i="4"/>
  <c r="BE5167" i="4"/>
  <c r="BE5168" i="4"/>
  <c r="BE5169" i="4"/>
  <c r="BE5170" i="4"/>
  <c r="BE5171" i="4"/>
  <c r="BE5172" i="4"/>
  <c r="BE5173" i="4"/>
  <c r="BE5174" i="4"/>
  <c r="BE5175" i="4"/>
  <c r="BE5176" i="4"/>
  <c r="BE5177" i="4"/>
  <c r="BE5178" i="4"/>
  <c r="BE5179" i="4"/>
  <c r="BE5180" i="4"/>
  <c r="BE5181" i="4"/>
  <c r="BE5182" i="4"/>
  <c r="BE5183" i="4"/>
  <c r="BE5184" i="4"/>
  <c r="BE5185" i="4"/>
  <c r="BE5186" i="4"/>
  <c r="BE5187" i="4"/>
  <c r="BE5188" i="4"/>
  <c r="BE5189" i="4"/>
  <c r="BE5190" i="4"/>
  <c r="BE5191" i="4"/>
  <c r="BE5192" i="4"/>
  <c r="BE5193" i="4"/>
  <c r="BE5194" i="4"/>
  <c r="BE5195" i="4"/>
  <c r="BE5196" i="4"/>
  <c r="BE5197" i="4"/>
  <c r="BE5198" i="4"/>
  <c r="BE5199" i="4"/>
  <c r="BE5200" i="4"/>
  <c r="BE5201" i="4"/>
  <c r="BE5202" i="4"/>
  <c r="BE5203" i="4"/>
  <c r="BE5204" i="4"/>
  <c r="BE5205" i="4"/>
  <c r="BE5206" i="4"/>
  <c r="BE5207" i="4"/>
  <c r="BE5208" i="4"/>
  <c r="BE5209" i="4"/>
  <c r="BE5210" i="4"/>
  <c r="BE5211" i="4"/>
  <c r="BE5212" i="4"/>
  <c r="BE5213" i="4"/>
  <c r="BE5214" i="4"/>
  <c r="BE5215" i="4"/>
  <c r="BE5216" i="4"/>
  <c r="BE5217" i="4"/>
  <c r="BE5218" i="4"/>
  <c r="BE5219" i="4"/>
  <c r="BE5220" i="4"/>
  <c r="BE5221" i="4"/>
  <c r="BE5222" i="4"/>
  <c r="BE5223" i="4"/>
  <c r="BE5224" i="4"/>
  <c r="BE5225" i="4"/>
  <c r="BE5226" i="4"/>
  <c r="BE5227" i="4"/>
  <c r="BE5228" i="4"/>
  <c r="BE5229" i="4"/>
  <c r="BE5230" i="4"/>
  <c r="BE5231" i="4"/>
  <c r="BE5232" i="4"/>
  <c r="BE5233" i="4"/>
  <c r="BE5234" i="4"/>
  <c r="BE5235" i="4"/>
  <c r="BE5236" i="4"/>
  <c r="BE5237" i="4"/>
  <c r="BE5238" i="4"/>
  <c r="BE5239" i="4"/>
  <c r="BE5240" i="4"/>
  <c r="BE5241" i="4"/>
  <c r="BE5242" i="4"/>
  <c r="BE5243" i="4"/>
  <c r="BE5244" i="4"/>
  <c r="BE5245" i="4"/>
  <c r="BE5246" i="4"/>
  <c r="BE5247" i="4"/>
  <c r="BE5248" i="4"/>
  <c r="BE5249" i="4"/>
  <c r="BE5250" i="4"/>
  <c r="BE5251" i="4"/>
  <c r="BE5252" i="4"/>
  <c r="BE5253" i="4"/>
  <c r="BE5254" i="4"/>
  <c r="BE5255" i="4"/>
  <c r="BE5256" i="4"/>
  <c r="BE5257" i="4"/>
  <c r="BE5258" i="4"/>
  <c r="BE5259" i="4"/>
  <c r="BE5260" i="4"/>
  <c r="BE5261" i="4"/>
  <c r="BE5262" i="4"/>
  <c r="BE5263" i="4"/>
  <c r="BE5264" i="4"/>
  <c r="BE5265" i="4"/>
  <c r="BE5266" i="4"/>
  <c r="BE5267" i="4"/>
  <c r="BE5268" i="4"/>
  <c r="BE5269" i="4"/>
  <c r="BE5270" i="4"/>
  <c r="BE5271" i="4"/>
  <c r="BE5272" i="4"/>
  <c r="BE5273" i="4"/>
  <c r="BE5274" i="4"/>
  <c r="BE5275" i="4"/>
  <c r="BE5276" i="4"/>
  <c r="BE5277" i="4"/>
  <c r="BE5278" i="4"/>
  <c r="BE5279" i="4"/>
  <c r="BE5280" i="4"/>
  <c r="BE5281" i="4"/>
  <c r="BE5282" i="4"/>
  <c r="BE5283" i="4"/>
  <c r="BE5284" i="4"/>
  <c r="BE5285" i="4"/>
  <c r="BE5286" i="4"/>
  <c r="BE5287" i="4"/>
  <c r="BE5288" i="4"/>
  <c r="BE5289" i="4"/>
  <c r="BE5290" i="4"/>
  <c r="BE5291" i="4"/>
  <c r="BE5292" i="4"/>
  <c r="BE5293" i="4"/>
  <c r="BE5294" i="4"/>
  <c r="BE5295" i="4"/>
  <c r="BE5296" i="4"/>
  <c r="BE5297" i="4"/>
  <c r="BE5298" i="4"/>
  <c r="BE5299" i="4"/>
  <c r="BE5300" i="4"/>
  <c r="BE5301" i="4"/>
  <c r="BE5302" i="4"/>
  <c r="BE5303" i="4"/>
  <c r="BE5304" i="4"/>
  <c r="BE5305" i="4"/>
  <c r="BE5306" i="4"/>
  <c r="BE5307" i="4"/>
  <c r="BE5308" i="4"/>
  <c r="BE5309" i="4"/>
  <c r="BE5310" i="4"/>
  <c r="BE5311" i="4"/>
  <c r="BE5312" i="4"/>
  <c r="BE5313" i="4"/>
  <c r="BE5314" i="4"/>
  <c r="BE5315" i="4"/>
  <c r="BE5316" i="4"/>
  <c r="BE5317" i="4"/>
  <c r="BE5318" i="4"/>
  <c r="BE5319" i="4"/>
  <c r="BE5320" i="4"/>
  <c r="BE5321" i="4"/>
  <c r="BE5322" i="4"/>
  <c r="BE5323" i="4"/>
  <c r="BE5324" i="4"/>
  <c r="BE5325" i="4"/>
  <c r="BE5326" i="4"/>
  <c r="BE5327" i="4"/>
  <c r="BE5328" i="4"/>
  <c r="BE5329" i="4"/>
  <c r="BE5330" i="4"/>
  <c r="BE5331" i="4"/>
  <c r="BD7" i="4"/>
  <c r="BD8" i="4"/>
  <c r="BD9" i="4"/>
  <c r="BD10" i="4"/>
  <c r="BD11" i="4"/>
  <c r="BD12" i="4"/>
  <c r="BD13" i="4"/>
  <c r="BD14" i="4"/>
  <c r="BD15" i="4"/>
  <c r="BD16" i="4"/>
  <c r="BD17" i="4"/>
  <c r="BD18" i="4"/>
  <c r="BD19" i="4"/>
  <c r="BD20" i="4"/>
  <c r="BD21" i="4"/>
  <c r="BD22" i="4"/>
  <c r="BD23" i="4"/>
  <c r="BD24" i="4"/>
  <c r="BD25" i="4"/>
  <c r="BD26" i="4"/>
  <c r="BD27" i="4"/>
  <c r="BD28" i="4"/>
  <c r="BD29" i="4"/>
  <c r="BD30" i="4"/>
  <c r="BD31" i="4"/>
  <c r="BD32" i="4"/>
  <c r="BD33" i="4"/>
  <c r="BD34" i="4"/>
  <c r="BD35" i="4"/>
  <c r="BD36" i="4"/>
  <c r="BD37" i="4"/>
  <c r="BD38" i="4"/>
  <c r="BD39" i="4"/>
  <c r="BD40" i="4"/>
  <c r="BD41" i="4"/>
  <c r="BD42" i="4"/>
  <c r="BD43" i="4"/>
  <c r="BD44" i="4"/>
  <c r="BD45" i="4"/>
  <c r="BD46" i="4"/>
  <c r="BD47" i="4"/>
  <c r="BD48" i="4"/>
  <c r="BD49" i="4"/>
  <c r="BD50" i="4"/>
  <c r="BD51" i="4"/>
  <c r="BD52" i="4"/>
  <c r="BD53" i="4"/>
  <c r="BD54" i="4"/>
  <c r="BD55" i="4"/>
  <c r="BD56" i="4"/>
  <c r="BD57" i="4"/>
  <c r="BD58" i="4"/>
  <c r="BD59" i="4"/>
  <c r="BD60" i="4"/>
  <c r="BD61" i="4"/>
  <c r="BD62" i="4"/>
  <c r="BD63" i="4"/>
  <c r="BD64" i="4"/>
  <c r="BD65" i="4"/>
  <c r="BD66" i="4"/>
  <c r="BD67" i="4"/>
  <c r="BD68" i="4"/>
  <c r="BD69" i="4"/>
  <c r="BD70" i="4"/>
  <c r="BD71" i="4"/>
  <c r="BD72" i="4"/>
  <c r="BD73" i="4"/>
  <c r="BD74" i="4"/>
  <c r="BD75" i="4"/>
  <c r="BD76" i="4"/>
  <c r="BD77" i="4"/>
  <c r="BD78" i="4"/>
  <c r="BD79" i="4"/>
  <c r="BD80" i="4"/>
  <c r="BD81" i="4"/>
  <c r="BD82" i="4"/>
  <c r="BD83" i="4"/>
  <c r="BD84" i="4"/>
  <c r="BD85" i="4"/>
  <c r="BD86" i="4"/>
  <c r="BD87" i="4"/>
  <c r="BD88" i="4"/>
  <c r="BD89" i="4"/>
  <c r="BD90" i="4"/>
  <c r="BD91" i="4"/>
  <c r="BD92" i="4"/>
  <c r="BD93" i="4"/>
  <c r="BD94" i="4"/>
  <c r="BD95" i="4"/>
  <c r="BD96" i="4"/>
  <c r="BD97" i="4"/>
  <c r="BD98" i="4"/>
  <c r="BD99" i="4"/>
  <c r="BD100" i="4"/>
  <c r="BD101" i="4"/>
  <c r="BD102" i="4"/>
  <c r="BD103" i="4"/>
  <c r="BD104" i="4"/>
  <c r="BD105" i="4"/>
  <c r="BD106" i="4"/>
  <c r="BD107" i="4"/>
  <c r="BD108" i="4"/>
  <c r="BD109" i="4"/>
  <c r="BD110" i="4"/>
  <c r="BD111" i="4"/>
  <c r="BD112" i="4"/>
  <c r="BD113" i="4"/>
  <c r="BD114" i="4"/>
  <c r="BD115" i="4"/>
  <c r="BD116" i="4"/>
  <c r="BD117" i="4"/>
  <c r="BD118" i="4"/>
  <c r="BD119" i="4"/>
  <c r="BD120" i="4"/>
  <c r="BD121" i="4"/>
  <c r="BD122" i="4"/>
  <c r="BD123" i="4"/>
  <c r="BD124" i="4"/>
  <c r="BD125" i="4"/>
  <c r="BD126" i="4"/>
  <c r="BD127" i="4"/>
  <c r="BD128" i="4"/>
  <c r="BD129" i="4"/>
  <c r="BD130" i="4"/>
  <c r="BD131" i="4"/>
  <c r="BD132" i="4"/>
  <c r="BD133" i="4"/>
  <c r="BD134" i="4"/>
  <c r="BD135" i="4"/>
  <c r="BD136" i="4"/>
  <c r="BD137" i="4"/>
  <c r="BD138" i="4"/>
  <c r="BD139" i="4"/>
  <c r="BD140" i="4"/>
  <c r="BD141" i="4"/>
  <c r="BD142" i="4"/>
  <c r="BD143" i="4"/>
  <c r="BD144" i="4"/>
  <c r="BD145" i="4"/>
  <c r="BD146" i="4"/>
  <c r="BD147" i="4"/>
  <c r="BD148" i="4"/>
  <c r="BD149" i="4"/>
  <c r="BD150" i="4"/>
  <c r="BD151" i="4"/>
  <c r="BD152" i="4"/>
  <c r="BD153" i="4"/>
  <c r="BD154" i="4"/>
  <c r="BD155" i="4"/>
  <c r="BD156" i="4"/>
  <c r="BD157" i="4"/>
  <c r="BD158" i="4"/>
  <c r="BD159" i="4"/>
  <c r="BD160" i="4"/>
  <c r="BD161" i="4"/>
  <c r="BD162" i="4"/>
  <c r="BD163" i="4"/>
  <c r="BD164" i="4"/>
  <c r="BD165" i="4"/>
  <c r="BD166" i="4"/>
  <c r="BD167" i="4"/>
  <c r="BD168" i="4"/>
  <c r="BD169" i="4"/>
  <c r="BD170" i="4"/>
  <c r="BD171" i="4"/>
  <c r="BD172" i="4"/>
  <c r="BD173" i="4"/>
  <c r="BD174" i="4"/>
  <c r="BD175" i="4"/>
  <c r="BD176" i="4"/>
  <c r="BD177" i="4"/>
  <c r="BD178" i="4"/>
  <c r="BD179" i="4"/>
  <c r="BD180" i="4"/>
  <c r="BD181" i="4"/>
  <c r="BD182" i="4"/>
  <c r="BD183" i="4"/>
  <c r="BD184" i="4"/>
  <c r="BD185" i="4"/>
  <c r="BD186" i="4"/>
  <c r="BD187" i="4"/>
  <c r="BD188" i="4"/>
  <c r="BD189" i="4"/>
  <c r="BD190" i="4"/>
  <c r="BD191" i="4"/>
  <c r="BD192" i="4"/>
  <c r="BD193" i="4"/>
  <c r="BD194" i="4"/>
  <c r="BD195" i="4"/>
  <c r="BD196" i="4"/>
  <c r="BD197" i="4"/>
  <c r="BD198" i="4"/>
  <c r="BD199" i="4"/>
  <c r="BD200" i="4"/>
  <c r="BD201" i="4"/>
  <c r="BD202" i="4"/>
  <c r="BD203" i="4"/>
  <c r="BD204" i="4"/>
  <c r="BD205" i="4"/>
  <c r="BD206" i="4"/>
  <c r="BD207" i="4"/>
  <c r="BD208" i="4"/>
  <c r="BD209" i="4"/>
  <c r="BD210" i="4"/>
  <c r="BD211" i="4"/>
  <c r="BD212" i="4"/>
  <c r="BD213" i="4"/>
  <c r="BD214" i="4"/>
  <c r="BD215" i="4"/>
  <c r="BD216" i="4"/>
  <c r="BD217" i="4"/>
  <c r="BD218" i="4"/>
  <c r="BD219" i="4"/>
  <c r="BD220" i="4"/>
  <c r="BD221" i="4"/>
  <c r="BD222" i="4"/>
  <c r="BD223" i="4"/>
  <c r="BD224" i="4"/>
  <c r="BD225" i="4"/>
  <c r="BD226" i="4"/>
  <c r="BD227" i="4"/>
  <c r="BD228" i="4"/>
  <c r="BD229" i="4"/>
  <c r="BD230" i="4"/>
  <c r="BD231" i="4"/>
  <c r="BD232" i="4"/>
  <c r="BD233" i="4"/>
  <c r="BD234" i="4"/>
  <c r="BD235" i="4"/>
  <c r="BD236" i="4"/>
  <c r="BD237" i="4"/>
  <c r="BD238" i="4"/>
  <c r="BD239" i="4"/>
  <c r="BD240" i="4"/>
  <c r="BD241" i="4"/>
  <c r="BD242" i="4"/>
  <c r="BD243" i="4"/>
  <c r="BD244" i="4"/>
  <c r="BD245" i="4"/>
  <c r="BD246" i="4"/>
  <c r="BD247" i="4"/>
  <c r="BD248" i="4"/>
  <c r="BD249" i="4"/>
  <c r="BD250" i="4"/>
  <c r="BD251" i="4"/>
  <c r="BD252" i="4"/>
  <c r="BD253" i="4"/>
  <c r="BD254" i="4"/>
  <c r="BD255" i="4"/>
  <c r="BD256" i="4"/>
  <c r="BD257" i="4"/>
  <c r="BD258" i="4"/>
  <c r="BD259" i="4"/>
  <c r="BD260" i="4"/>
  <c r="BD261" i="4"/>
  <c r="BD262" i="4"/>
  <c r="BD263" i="4"/>
  <c r="BD264" i="4"/>
  <c r="BD265" i="4"/>
  <c r="BD266" i="4"/>
  <c r="BD267" i="4"/>
  <c r="BD268" i="4"/>
  <c r="BD269" i="4"/>
  <c r="BD270" i="4"/>
  <c r="BD271" i="4"/>
  <c r="BD272" i="4"/>
  <c r="BD273" i="4"/>
  <c r="BD274" i="4"/>
  <c r="BD275" i="4"/>
  <c r="BD276" i="4"/>
  <c r="BD277" i="4"/>
  <c r="BD278" i="4"/>
  <c r="BD279" i="4"/>
  <c r="BD280" i="4"/>
  <c r="BD281" i="4"/>
  <c r="BD282" i="4"/>
  <c r="BD283" i="4"/>
  <c r="BD284" i="4"/>
  <c r="BD285" i="4"/>
  <c r="BD286" i="4"/>
  <c r="BD287" i="4"/>
  <c r="BD288" i="4"/>
  <c r="BD289" i="4"/>
  <c r="BD290" i="4"/>
  <c r="BD291" i="4"/>
  <c r="BD292" i="4"/>
  <c r="BD293" i="4"/>
  <c r="BD294" i="4"/>
  <c r="BD295" i="4"/>
  <c r="BD296" i="4"/>
  <c r="BD297" i="4"/>
  <c r="BD298" i="4"/>
  <c r="BD299" i="4"/>
  <c r="BD300" i="4"/>
  <c r="BD301" i="4"/>
  <c r="BD302" i="4"/>
  <c r="BD303" i="4"/>
  <c r="BD304" i="4"/>
  <c r="BD305" i="4"/>
  <c r="BD306" i="4"/>
  <c r="BD307" i="4"/>
  <c r="BD308" i="4"/>
  <c r="BD309" i="4"/>
  <c r="BD310" i="4"/>
  <c r="BD311" i="4"/>
  <c r="BD312" i="4"/>
  <c r="BD313" i="4"/>
  <c r="BD314" i="4"/>
  <c r="BD315" i="4"/>
  <c r="BD316" i="4"/>
  <c r="BD317" i="4"/>
  <c r="BD318" i="4"/>
  <c r="BD319" i="4"/>
  <c r="BD320" i="4"/>
  <c r="BD321" i="4"/>
  <c r="BD322" i="4"/>
  <c r="BD323" i="4"/>
  <c r="BD324" i="4"/>
  <c r="BD325" i="4"/>
  <c r="BD326" i="4"/>
  <c r="BD327" i="4"/>
  <c r="BD328" i="4"/>
  <c r="BD329" i="4"/>
  <c r="BD330" i="4"/>
  <c r="BD331" i="4"/>
  <c r="BD332" i="4"/>
  <c r="BD333" i="4"/>
  <c r="BD334" i="4"/>
  <c r="BD335" i="4"/>
  <c r="BD336" i="4"/>
  <c r="BD337" i="4"/>
  <c r="BD338" i="4"/>
  <c r="BD339" i="4"/>
  <c r="BD340" i="4"/>
  <c r="BD341" i="4"/>
  <c r="BD342" i="4"/>
  <c r="BD343" i="4"/>
  <c r="BD344" i="4"/>
  <c r="BD345" i="4"/>
  <c r="BD346" i="4"/>
  <c r="BD347" i="4"/>
  <c r="BD348" i="4"/>
  <c r="BD349" i="4"/>
  <c r="BD350" i="4"/>
  <c r="BD351" i="4"/>
  <c r="BD352" i="4"/>
  <c r="BD353" i="4"/>
  <c r="BD354" i="4"/>
  <c r="BD355" i="4"/>
  <c r="BD356" i="4"/>
  <c r="BD357" i="4"/>
  <c r="BD358" i="4"/>
  <c r="BD359" i="4"/>
  <c r="BD360" i="4"/>
  <c r="BD361" i="4"/>
  <c r="BD362" i="4"/>
  <c r="BD363" i="4"/>
  <c r="BD364" i="4"/>
  <c r="BD365" i="4"/>
  <c r="BD366" i="4"/>
  <c r="BD367" i="4"/>
  <c r="BD368" i="4"/>
  <c r="BD369" i="4"/>
  <c r="BD370" i="4"/>
  <c r="BD371" i="4"/>
  <c r="BD372" i="4"/>
  <c r="BD373" i="4"/>
  <c r="BD374" i="4"/>
  <c r="BD375" i="4"/>
  <c r="BD376" i="4"/>
  <c r="BD377" i="4"/>
  <c r="BD378" i="4"/>
  <c r="BD379" i="4"/>
  <c r="BD380" i="4"/>
  <c r="BD381" i="4"/>
  <c r="BD382" i="4"/>
  <c r="BD383" i="4"/>
  <c r="BD384" i="4"/>
  <c r="BD385" i="4"/>
  <c r="BD386" i="4"/>
  <c r="BD387" i="4"/>
  <c r="BD388" i="4"/>
  <c r="BD389" i="4"/>
  <c r="BD390" i="4"/>
  <c r="BD391" i="4"/>
  <c r="BD392" i="4"/>
  <c r="BD393" i="4"/>
  <c r="BD394" i="4"/>
  <c r="BD395" i="4"/>
  <c r="BD396" i="4"/>
  <c r="BD397" i="4"/>
  <c r="BD398" i="4"/>
  <c r="BD399" i="4"/>
  <c r="BD400" i="4"/>
  <c r="BD401" i="4"/>
  <c r="BD402" i="4"/>
  <c r="BD403" i="4"/>
  <c r="BD404" i="4"/>
  <c r="BD405" i="4"/>
  <c r="BD406" i="4"/>
  <c r="BD407" i="4"/>
  <c r="BD408" i="4"/>
  <c r="BD409" i="4"/>
  <c r="BD410" i="4"/>
  <c r="BD411" i="4"/>
  <c r="BD412" i="4"/>
  <c r="BD413" i="4"/>
  <c r="BD414" i="4"/>
  <c r="BD415" i="4"/>
  <c r="BD416" i="4"/>
  <c r="BD417" i="4"/>
  <c r="BD418" i="4"/>
  <c r="BD419" i="4"/>
  <c r="BD420" i="4"/>
  <c r="BD421" i="4"/>
  <c r="BD422" i="4"/>
  <c r="BD423" i="4"/>
  <c r="BD424" i="4"/>
  <c r="BD425" i="4"/>
  <c r="BD426" i="4"/>
  <c r="BD427" i="4"/>
  <c r="BD428" i="4"/>
  <c r="BD429" i="4"/>
  <c r="BD430" i="4"/>
  <c r="BD431" i="4"/>
  <c r="BD432" i="4"/>
  <c r="BD433" i="4"/>
  <c r="BD434" i="4"/>
  <c r="BD435" i="4"/>
  <c r="BD436" i="4"/>
  <c r="BD437" i="4"/>
  <c r="BD438" i="4"/>
  <c r="BD439" i="4"/>
  <c r="BD440" i="4"/>
  <c r="BD441" i="4"/>
  <c r="BD442" i="4"/>
  <c r="BD443" i="4"/>
  <c r="BD444" i="4"/>
  <c r="BD445" i="4"/>
  <c r="BD446" i="4"/>
  <c r="BD447" i="4"/>
  <c r="BD448" i="4"/>
  <c r="BD449" i="4"/>
  <c r="BD450" i="4"/>
  <c r="BD451" i="4"/>
  <c r="BD452" i="4"/>
  <c r="BD453" i="4"/>
  <c r="BD454" i="4"/>
  <c r="BD455" i="4"/>
  <c r="BD456" i="4"/>
  <c r="BD457" i="4"/>
  <c r="BD458" i="4"/>
  <c r="BD459" i="4"/>
  <c r="BD460" i="4"/>
  <c r="BD461" i="4"/>
  <c r="BD462" i="4"/>
  <c r="BD463" i="4"/>
  <c r="BD464" i="4"/>
  <c r="BD465" i="4"/>
  <c r="BD466" i="4"/>
  <c r="BD467" i="4"/>
  <c r="BD468" i="4"/>
  <c r="BD469" i="4"/>
  <c r="BD470" i="4"/>
  <c r="BD471" i="4"/>
  <c r="BD472" i="4"/>
  <c r="BD473" i="4"/>
  <c r="BD474" i="4"/>
  <c r="BD475" i="4"/>
  <c r="BD476" i="4"/>
  <c r="BD477" i="4"/>
  <c r="BD478" i="4"/>
  <c r="BD479" i="4"/>
  <c r="BD480" i="4"/>
  <c r="BD481" i="4"/>
  <c r="BD482" i="4"/>
  <c r="BD483" i="4"/>
  <c r="BD484" i="4"/>
  <c r="BD485" i="4"/>
  <c r="BD486" i="4"/>
  <c r="BD487" i="4"/>
  <c r="BD488" i="4"/>
  <c r="BD489" i="4"/>
  <c r="BD490" i="4"/>
  <c r="BD491" i="4"/>
  <c r="BD492" i="4"/>
  <c r="BD493" i="4"/>
  <c r="BD494" i="4"/>
  <c r="BD495" i="4"/>
  <c r="BD496" i="4"/>
  <c r="BD497" i="4"/>
  <c r="BD498" i="4"/>
  <c r="BD499" i="4"/>
  <c r="BD500" i="4"/>
  <c r="BD501" i="4"/>
  <c r="BD502" i="4"/>
  <c r="BD503" i="4"/>
  <c r="BD504" i="4"/>
  <c r="BD505" i="4"/>
  <c r="BD506" i="4"/>
  <c r="BD507" i="4"/>
  <c r="BD508" i="4"/>
  <c r="BD509" i="4"/>
  <c r="BD510" i="4"/>
  <c r="BD511" i="4"/>
  <c r="BD512" i="4"/>
  <c r="BD513" i="4"/>
  <c r="BD514" i="4"/>
  <c r="BD515" i="4"/>
  <c r="BD516" i="4"/>
  <c r="BD517" i="4"/>
  <c r="BD518" i="4"/>
  <c r="BD519" i="4"/>
  <c r="BD520" i="4"/>
  <c r="BD521" i="4"/>
  <c r="BD522" i="4"/>
  <c r="BD523" i="4"/>
  <c r="BD524" i="4"/>
  <c r="BD525" i="4"/>
  <c r="BD526" i="4"/>
  <c r="BD527" i="4"/>
  <c r="BD528" i="4"/>
  <c r="BD529" i="4"/>
  <c r="BD530" i="4"/>
  <c r="BD531" i="4"/>
  <c r="BD532" i="4"/>
  <c r="BD533" i="4"/>
  <c r="BD534" i="4"/>
  <c r="BD535" i="4"/>
  <c r="BD536" i="4"/>
  <c r="BD537" i="4"/>
  <c r="BD538" i="4"/>
  <c r="BD539" i="4"/>
  <c r="BD540" i="4"/>
  <c r="BD541" i="4"/>
  <c r="BD542" i="4"/>
  <c r="BD543" i="4"/>
  <c r="BD544" i="4"/>
  <c r="BD545" i="4"/>
  <c r="BD546" i="4"/>
  <c r="BD547" i="4"/>
  <c r="BD548" i="4"/>
  <c r="BD549" i="4"/>
  <c r="BD550" i="4"/>
  <c r="BD551" i="4"/>
  <c r="BD552" i="4"/>
  <c r="BD553" i="4"/>
  <c r="BD554" i="4"/>
  <c r="BD555" i="4"/>
  <c r="BD556" i="4"/>
  <c r="BD557" i="4"/>
  <c r="BD558" i="4"/>
  <c r="BD559" i="4"/>
  <c r="BD560" i="4"/>
  <c r="BD561" i="4"/>
  <c r="BD562" i="4"/>
  <c r="BD563" i="4"/>
  <c r="BD564" i="4"/>
  <c r="BD565" i="4"/>
  <c r="BD566" i="4"/>
  <c r="BD567" i="4"/>
  <c r="BD568" i="4"/>
  <c r="BD569" i="4"/>
  <c r="BD570" i="4"/>
  <c r="BD571" i="4"/>
  <c r="BD572" i="4"/>
  <c r="BD573" i="4"/>
  <c r="BD574" i="4"/>
  <c r="BD575" i="4"/>
  <c r="BD576" i="4"/>
  <c r="BD577" i="4"/>
  <c r="BD578" i="4"/>
  <c r="BD579" i="4"/>
  <c r="BD580" i="4"/>
  <c r="BD581" i="4"/>
  <c r="BD582" i="4"/>
  <c r="BD583" i="4"/>
  <c r="BD584" i="4"/>
  <c r="BD585" i="4"/>
  <c r="BD586" i="4"/>
  <c r="BD587" i="4"/>
  <c r="BD588" i="4"/>
  <c r="BD589" i="4"/>
  <c r="BD590" i="4"/>
  <c r="BD591" i="4"/>
  <c r="BD592" i="4"/>
  <c r="BD593" i="4"/>
  <c r="BD594" i="4"/>
  <c r="BD595" i="4"/>
  <c r="BD596" i="4"/>
  <c r="BD597" i="4"/>
  <c r="BD598" i="4"/>
  <c r="BD599" i="4"/>
  <c r="BD600" i="4"/>
  <c r="BD601" i="4"/>
  <c r="BD602" i="4"/>
  <c r="BD603" i="4"/>
  <c r="BD604" i="4"/>
  <c r="BD605" i="4"/>
  <c r="BD606" i="4"/>
  <c r="BD607" i="4"/>
  <c r="BD608" i="4"/>
  <c r="BD609" i="4"/>
  <c r="BD610" i="4"/>
  <c r="BD611" i="4"/>
  <c r="BD612" i="4"/>
  <c r="BD613" i="4"/>
  <c r="BD614" i="4"/>
  <c r="BD615" i="4"/>
  <c r="BD616" i="4"/>
  <c r="BD617" i="4"/>
  <c r="BD618" i="4"/>
  <c r="BD619" i="4"/>
  <c r="BD620" i="4"/>
  <c r="BD621" i="4"/>
  <c r="BD622" i="4"/>
  <c r="BD623" i="4"/>
  <c r="BD624" i="4"/>
  <c r="BD625" i="4"/>
  <c r="BD626" i="4"/>
  <c r="BD627" i="4"/>
  <c r="BD628" i="4"/>
  <c r="BD629" i="4"/>
  <c r="BD630" i="4"/>
  <c r="BD631" i="4"/>
  <c r="BD632" i="4"/>
  <c r="BD633" i="4"/>
  <c r="BD634" i="4"/>
  <c r="BD635" i="4"/>
  <c r="BD636" i="4"/>
  <c r="BD637" i="4"/>
  <c r="BD638" i="4"/>
  <c r="BD639" i="4"/>
  <c r="BD640" i="4"/>
  <c r="BD641" i="4"/>
  <c r="BD642" i="4"/>
  <c r="BD643" i="4"/>
  <c r="BD644" i="4"/>
  <c r="BD645" i="4"/>
  <c r="BD646" i="4"/>
  <c r="BD647" i="4"/>
  <c r="BD648" i="4"/>
  <c r="BD649" i="4"/>
  <c r="BD650" i="4"/>
  <c r="BD651" i="4"/>
  <c r="BD652" i="4"/>
  <c r="BD653" i="4"/>
  <c r="BD654" i="4"/>
  <c r="BD655" i="4"/>
  <c r="BD656" i="4"/>
  <c r="BD657" i="4"/>
  <c r="BD658" i="4"/>
  <c r="BD659" i="4"/>
  <c r="BD660" i="4"/>
  <c r="BD661" i="4"/>
  <c r="BD662" i="4"/>
  <c r="BD663" i="4"/>
  <c r="BD664" i="4"/>
  <c r="BD665" i="4"/>
  <c r="BD666" i="4"/>
  <c r="BD667" i="4"/>
  <c r="BD668" i="4"/>
  <c r="BD669" i="4"/>
  <c r="BD670" i="4"/>
  <c r="BD671" i="4"/>
  <c r="BD672" i="4"/>
  <c r="BD673" i="4"/>
  <c r="BD674" i="4"/>
  <c r="BD675" i="4"/>
  <c r="BD676" i="4"/>
  <c r="BD677" i="4"/>
  <c r="BD678" i="4"/>
  <c r="BD679" i="4"/>
  <c r="BD680" i="4"/>
  <c r="BD681" i="4"/>
  <c r="BD682" i="4"/>
  <c r="BD683" i="4"/>
  <c r="BD684" i="4"/>
  <c r="BD685" i="4"/>
  <c r="BD686" i="4"/>
  <c r="BD687" i="4"/>
  <c r="BD688" i="4"/>
  <c r="BD689" i="4"/>
  <c r="BD690" i="4"/>
  <c r="BD691" i="4"/>
  <c r="BD692" i="4"/>
  <c r="BD693" i="4"/>
  <c r="BD694" i="4"/>
  <c r="BD695" i="4"/>
  <c r="BD696" i="4"/>
  <c r="BD697" i="4"/>
  <c r="BD698" i="4"/>
  <c r="BD699" i="4"/>
  <c r="BD700" i="4"/>
  <c r="BD701" i="4"/>
  <c r="BD702" i="4"/>
  <c r="BD703" i="4"/>
  <c r="BD704" i="4"/>
  <c r="BD705" i="4"/>
  <c r="BD706" i="4"/>
  <c r="BD707" i="4"/>
  <c r="BD708" i="4"/>
  <c r="BD709" i="4"/>
  <c r="BD710" i="4"/>
  <c r="BD711" i="4"/>
  <c r="BD712" i="4"/>
  <c r="BD713" i="4"/>
  <c r="BD714" i="4"/>
  <c r="BD715" i="4"/>
  <c r="BD716" i="4"/>
  <c r="BD717" i="4"/>
  <c r="BD718" i="4"/>
  <c r="BD719" i="4"/>
  <c r="BD720" i="4"/>
  <c r="BD721" i="4"/>
  <c r="BD722" i="4"/>
  <c r="BD723" i="4"/>
  <c r="BD724" i="4"/>
  <c r="BD725" i="4"/>
  <c r="BD726" i="4"/>
  <c r="BD727" i="4"/>
  <c r="BD728" i="4"/>
  <c r="BD729" i="4"/>
  <c r="BD730" i="4"/>
  <c r="BD731" i="4"/>
  <c r="BD732" i="4"/>
  <c r="BD733" i="4"/>
  <c r="BD734" i="4"/>
  <c r="BD735" i="4"/>
  <c r="BD736" i="4"/>
  <c r="BD737" i="4"/>
  <c r="BD738" i="4"/>
  <c r="BD739" i="4"/>
  <c r="BD740" i="4"/>
  <c r="BD741" i="4"/>
  <c r="BD742" i="4"/>
  <c r="BD743" i="4"/>
  <c r="BD744" i="4"/>
  <c r="BD745" i="4"/>
  <c r="BD746" i="4"/>
  <c r="BD747" i="4"/>
  <c r="BD748" i="4"/>
  <c r="BD749" i="4"/>
  <c r="BD750" i="4"/>
  <c r="BD751" i="4"/>
  <c r="BD752" i="4"/>
  <c r="BD753" i="4"/>
  <c r="BD754" i="4"/>
  <c r="BD755" i="4"/>
  <c r="BD756" i="4"/>
  <c r="BD757" i="4"/>
  <c r="BD758" i="4"/>
  <c r="BD759" i="4"/>
  <c r="BD760" i="4"/>
  <c r="BD761" i="4"/>
  <c r="BD762" i="4"/>
  <c r="BD763" i="4"/>
  <c r="BD764" i="4"/>
  <c r="BD765" i="4"/>
  <c r="BD766" i="4"/>
  <c r="BD767" i="4"/>
  <c r="BD768" i="4"/>
  <c r="BD769" i="4"/>
  <c r="BD770" i="4"/>
  <c r="BD771" i="4"/>
  <c r="BD772" i="4"/>
  <c r="BD773" i="4"/>
  <c r="BD774" i="4"/>
  <c r="BD775" i="4"/>
  <c r="BD776" i="4"/>
  <c r="BD777" i="4"/>
  <c r="BD778" i="4"/>
  <c r="BD779" i="4"/>
  <c r="BD780" i="4"/>
  <c r="BD781" i="4"/>
  <c r="BD782" i="4"/>
  <c r="BD783" i="4"/>
  <c r="BD784" i="4"/>
  <c r="BD785" i="4"/>
  <c r="BD786" i="4"/>
  <c r="BD787" i="4"/>
  <c r="BD788" i="4"/>
  <c r="BD789" i="4"/>
  <c r="BD790" i="4"/>
  <c r="BD791" i="4"/>
  <c r="BD792" i="4"/>
  <c r="BD793" i="4"/>
  <c r="BD794" i="4"/>
  <c r="BD795" i="4"/>
  <c r="BD796" i="4"/>
  <c r="BD797" i="4"/>
  <c r="BD798" i="4"/>
  <c r="BD799" i="4"/>
  <c r="BD800" i="4"/>
  <c r="BD801" i="4"/>
  <c r="BD802" i="4"/>
  <c r="BD803" i="4"/>
  <c r="BD804" i="4"/>
  <c r="BD805" i="4"/>
  <c r="BD806" i="4"/>
  <c r="BD807" i="4"/>
  <c r="BD808" i="4"/>
  <c r="BD809" i="4"/>
  <c r="BD810" i="4"/>
  <c r="BD811" i="4"/>
  <c r="BD812" i="4"/>
  <c r="BD813" i="4"/>
  <c r="BD814" i="4"/>
  <c r="BD815" i="4"/>
  <c r="BD816" i="4"/>
  <c r="BD817" i="4"/>
  <c r="BD818" i="4"/>
  <c r="BD819" i="4"/>
  <c r="BD820" i="4"/>
  <c r="BD821" i="4"/>
  <c r="BD822" i="4"/>
  <c r="BD823" i="4"/>
  <c r="BD824" i="4"/>
  <c r="BD825" i="4"/>
  <c r="BD826" i="4"/>
  <c r="BD827" i="4"/>
  <c r="BD828" i="4"/>
  <c r="BD829" i="4"/>
  <c r="BD830" i="4"/>
  <c r="BD831" i="4"/>
  <c r="BD832" i="4"/>
  <c r="BD833" i="4"/>
  <c r="BD834" i="4"/>
  <c r="BD835" i="4"/>
  <c r="BD836" i="4"/>
  <c r="BD837" i="4"/>
  <c r="BD838" i="4"/>
  <c r="BD839" i="4"/>
  <c r="BD840" i="4"/>
  <c r="BD841" i="4"/>
  <c r="BD842" i="4"/>
  <c r="BD843" i="4"/>
  <c r="BD844" i="4"/>
  <c r="BD845" i="4"/>
  <c r="BD846" i="4"/>
  <c r="BD847" i="4"/>
  <c r="BD848" i="4"/>
  <c r="BD849" i="4"/>
  <c r="BD850" i="4"/>
  <c r="BD851" i="4"/>
  <c r="BD852" i="4"/>
  <c r="BD853" i="4"/>
  <c r="BD854" i="4"/>
  <c r="BD855" i="4"/>
  <c r="BD856" i="4"/>
  <c r="BD857" i="4"/>
  <c r="BD858" i="4"/>
  <c r="BD859" i="4"/>
  <c r="BD860" i="4"/>
  <c r="BD861" i="4"/>
  <c r="BD862" i="4"/>
  <c r="BD863" i="4"/>
  <c r="BD864" i="4"/>
  <c r="BD865" i="4"/>
  <c r="BD866" i="4"/>
  <c r="BD867" i="4"/>
  <c r="BD868" i="4"/>
  <c r="BD869" i="4"/>
  <c r="BD870" i="4"/>
  <c r="BD871" i="4"/>
  <c r="BD872" i="4"/>
  <c r="BD873" i="4"/>
  <c r="BD874" i="4"/>
  <c r="BD875" i="4"/>
  <c r="BD876" i="4"/>
  <c r="BD877" i="4"/>
  <c r="BD878" i="4"/>
  <c r="BD879" i="4"/>
  <c r="BD880" i="4"/>
  <c r="BD881" i="4"/>
  <c r="BD882" i="4"/>
  <c r="BD883" i="4"/>
  <c r="BD884" i="4"/>
  <c r="BD885" i="4"/>
  <c r="BD886" i="4"/>
  <c r="BD887" i="4"/>
  <c r="BD888" i="4"/>
  <c r="BD889" i="4"/>
  <c r="BD890" i="4"/>
  <c r="BD891" i="4"/>
  <c r="BD892" i="4"/>
  <c r="BD893" i="4"/>
  <c r="BD894" i="4"/>
  <c r="BD895" i="4"/>
  <c r="BD896" i="4"/>
  <c r="BD897" i="4"/>
  <c r="BD898" i="4"/>
  <c r="BD899" i="4"/>
  <c r="BD900" i="4"/>
  <c r="BD901" i="4"/>
  <c r="BD902" i="4"/>
  <c r="BD903" i="4"/>
  <c r="BD904" i="4"/>
  <c r="BD905" i="4"/>
  <c r="BD906" i="4"/>
  <c r="BD907" i="4"/>
  <c r="BD908" i="4"/>
  <c r="BD909" i="4"/>
  <c r="BD910" i="4"/>
  <c r="BD911" i="4"/>
  <c r="BD912" i="4"/>
  <c r="BD913" i="4"/>
  <c r="BD914" i="4"/>
  <c r="BD915" i="4"/>
  <c r="BD916" i="4"/>
  <c r="BD917" i="4"/>
  <c r="BD918" i="4"/>
  <c r="BD919" i="4"/>
  <c r="BD920" i="4"/>
  <c r="BD921" i="4"/>
  <c r="BD922" i="4"/>
  <c r="BD923" i="4"/>
  <c r="BD924" i="4"/>
  <c r="BD925" i="4"/>
  <c r="BD926" i="4"/>
  <c r="BD927" i="4"/>
  <c r="BD928" i="4"/>
  <c r="BD929" i="4"/>
  <c r="BD930" i="4"/>
  <c r="BD931" i="4"/>
  <c r="BD932" i="4"/>
  <c r="BD933" i="4"/>
  <c r="BD934" i="4"/>
  <c r="BD935" i="4"/>
  <c r="BD936" i="4"/>
  <c r="BD937" i="4"/>
  <c r="BD938" i="4"/>
  <c r="BD939" i="4"/>
  <c r="BD940" i="4"/>
  <c r="BD941" i="4"/>
  <c r="BD942" i="4"/>
  <c r="BD943" i="4"/>
  <c r="BD944" i="4"/>
  <c r="BD945" i="4"/>
  <c r="BD946" i="4"/>
  <c r="BD947" i="4"/>
  <c r="BD948" i="4"/>
  <c r="BD949" i="4"/>
  <c r="BD950" i="4"/>
  <c r="BD951" i="4"/>
  <c r="BD952" i="4"/>
  <c r="BD953" i="4"/>
  <c r="BD954" i="4"/>
  <c r="BD955" i="4"/>
  <c r="BD956" i="4"/>
  <c r="BD957" i="4"/>
  <c r="BD958" i="4"/>
  <c r="BD959" i="4"/>
  <c r="BD960" i="4"/>
  <c r="BD961" i="4"/>
  <c r="BD962" i="4"/>
  <c r="BD963" i="4"/>
  <c r="BD964" i="4"/>
  <c r="BD965" i="4"/>
  <c r="BD966" i="4"/>
  <c r="BD967" i="4"/>
  <c r="BD968" i="4"/>
  <c r="BD969" i="4"/>
  <c r="BD970" i="4"/>
  <c r="BD971" i="4"/>
  <c r="BD972" i="4"/>
  <c r="BD973" i="4"/>
  <c r="BD974" i="4"/>
  <c r="BD975" i="4"/>
  <c r="BD976" i="4"/>
  <c r="BD977" i="4"/>
  <c r="BD978" i="4"/>
  <c r="BD979" i="4"/>
  <c r="BD980" i="4"/>
  <c r="BD981" i="4"/>
  <c r="BD982" i="4"/>
  <c r="BD983" i="4"/>
  <c r="BD984" i="4"/>
  <c r="BD985" i="4"/>
  <c r="BD986" i="4"/>
  <c r="BD987" i="4"/>
  <c r="BD988" i="4"/>
  <c r="BD989" i="4"/>
  <c r="BD990" i="4"/>
  <c r="BD991" i="4"/>
  <c r="BD992" i="4"/>
  <c r="BD993" i="4"/>
  <c r="BD994" i="4"/>
  <c r="BD995" i="4"/>
  <c r="BD996" i="4"/>
  <c r="BD997" i="4"/>
  <c r="BD998" i="4"/>
  <c r="BD999" i="4"/>
  <c r="BD1000" i="4"/>
  <c r="BD1001" i="4"/>
  <c r="BD1002" i="4"/>
  <c r="BD1003" i="4"/>
  <c r="BD1004" i="4"/>
  <c r="BD1005" i="4"/>
  <c r="BD1006" i="4"/>
  <c r="BD1007" i="4"/>
  <c r="BD1008" i="4"/>
  <c r="BD1009" i="4"/>
  <c r="BD1010" i="4"/>
  <c r="BD1011" i="4"/>
  <c r="BD1012" i="4"/>
  <c r="BD1013" i="4"/>
  <c r="BD1014" i="4"/>
  <c r="BD1015" i="4"/>
  <c r="BD1016" i="4"/>
  <c r="BD1017" i="4"/>
  <c r="BD1018" i="4"/>
  <c r="BD1019" i="4"/>
  <c r="BD1020" i="4"/>
  <c r="BD1021" i="4"/>
  <c r="BD1022" i="4"/>
  <c r="BD1023" i="4"/>
  <c r="BD1024" i="4"/>
  <c r="BD1025" i="4"/>
  <c r="BD1026" i="4"/>
  <c r="BD1027" i="4"/>
  <c r="BD1028" i="4"/>
  <c r="BD1029" i="4"/>
  <c r="BD1030" i="4"/>
  <c r="BD1031" i="4"/>
  <c r="BD1032" i="4"/>
  <c r="BD1033" i="4"/>
  <c r="BD1034" i="4"/>
  <c r="BD1035" i="4"/>
  <c r="BD1036" i="4"/>
  <c r="BD1037" i="4"/>
  <c r="BD1038" i="4"/>
  <c r="BD1039" i="4"/>
  <c r="BD1040" i="4"/>
  <c r="BD1041" i="4"/>
  <c r="BD1042" i="4"/>
  <c r="BD1043" i="4"/>
  <c r="BD1044" i="4"/>
  <c r="BD1045" i="4"/>
  <c r="BD1046" i="4"/>
  <c r="BD1047" i="4"/>
  <c r="BD1048" i="4"/>
  <c r="BD1049" i="4"/>
  <c r="BD1050" i="4"/>
  <c r="BD1051" i="4"/>
  <c r="BD1052" i="4"/>
  <c r="BD1053" i="4"/>
  <c r="BD1054" i="4"/>
  <c r="BD1055" i="4"/>
  <c r="BD1056" i="4"/>
  <c r="BD1057" i="4"/>
  <c r="BD1058" i="4"/>
  <c r="BD1059" i="4"/>
  <c r="BD1060" i="4"/>
  <c r="BD1061" i="4"/>
  <c r="BD1062" i="4"/>
  <c r="BD1063" i="4"/>
  <c r="BD1064" i="4"/>
  <c r="BD1065" i="4"/>
  <c r="BD1066" i="4"/>
  <c r="BD1067" i="4"/>
  <c r="BD1068" i="4"/>
  <c r="BD1069" i="4"/>
  <c r="BD1070" i="4"/>
  <c r="BD1071" i="4"/>
  <c r="BD1072" i="4"/>
  <c r="BD1073" i="4"/>
  <c r="BD1074" i="4"/>
  <c r="BD1075" i="4"/>
  <c r="BD1076" i="4"/>
  <c r="BD1077" i="4"/>
  <c r="BD1078" i="4"/>
  <c r="BD1079" i="4"/>
  <c r="BD1080" i="4"/>
  <c r="BD1081" i="4"/>
  <c r="BD1082" i="4"/>
  <c r="BD1083" i="4"/>
  <c r="BD1084" i="4"/>
  <c r="BD1085" i="4"/>
  <c r="BD1086" i="4"/>
  <c r="BD1087" i="4"/>
  <c r="BD1088" i="4"/>
  <c r="BD1089" i="4"/>
  <c r="BD1090" i="4"/>
  <c r="BD1091" i="4"/>
  <c r="BD1092" i="4"/>
  <c r="BD1093" i="4"/>
  <c r="BD1094" i="4"/>
  <c r="BD1095" i="4"/>
  <c r="BD1096" i="4"/>
  <c r="BD1097" i="4"/>
  <c r="BD1098" i="4"/>
  <c r="BD1099" i="4"/>
  <c r="BD1100" i="4"/>
  <c r="BD1101" i="4"/>
  <c r="BD1102" i="4"/>
  <c r="BD1103" i="4"/>
  <c r="BD1104" i="4"/>
  <c r="BD1105" i="4"/>
  <c r="BD1106" i="4"/>
  <c r="BD1107" i="4"/>
  <c r="BD1108" i="4"/>
  <c r="BD1109" i="4"/>
  <c r="BD1110" i="4"/>
  <c r="BD1111" i="4"/>
  <c r="BD1112" i="4"/>
  <c r="BD1113" i="4"/>
  <c r="BD1114" i="4"/>
  <c r="BD1115" i="4"/>
  <c r="BD1116" i="4"/>
  <c r="BD1117" i="4"/>
  <c r="BD1118" i="4"/>
  <c r="BD1119" i="4"/>
  <c r="BD1120" i="4"/>
  <c r="BD1121" i="4"/>
  <c r="BD1122" i="4"/>
  <c r="BD1123" i="4"/>
  <c r="BD1124" i="4"/>
  <c r="BD1125" i="4"/>
  <c r="BD1126" i="4"/>
  <c r="BD1127" i="4"/>
  <c r="BD1128" i="4"/>
  <c r="BD1129" i="4"/>
  <c r="BD1130" i="4"/>
  <c r="BD1131" i="4"/>
  <c r="BD1132" i="4"/>
  <c r="BD1133" i="4"/>
  <c r="BD1134" i="4"/>
  <c r="BD1135" i="4"/>
  <c r="BD1136" i="4"/>
  <c r="BD1137" i="4"/>
  <c r="BD1138" i="4"/>
  <c r="BD1139" i="4"/>
  <c r="BD1140" i="4"/>
  <c r="BD1141" i="4"/>
  <c r="BD1142" i="4"/>
  <c r="BD1143" i="4"/>
  <c r="BD1144" i="4"/>
  <c r="BD1145" i="4"/>
  <c r="BD1146" i="4"/>
  <c r="BD1147" i="4"/>
  <c r="BD1148" i="4"/>
  <c r="BD1149" i="4"/>
  <c r="BD1150" i="4"/>
  <c r="BD1151" i="4"/>
  <c r="BD1152" i="4"/>
  <c r="BD1153" i="4"/>
  <c r="BD1154" i="4"/>
  <c r="BD1155" i="4"/>
  <c r="BD1156" i="4"/>
  <c r="BD1157" i="4"/>
  <c r="BD1158" i="4"/>
  <c r="BD1159" i="4"/>
  <c r="BD1160" i="4"/>
  <c r="BD1161" i="4"/>
  <c r="BD1162" i="4"/>
  <c r="BD1163" i="4"/>
  <c r="BD1164" i="4"/>
  <c r="BD1165" i="4"/>
  <c r="BD1166" i="4"/>
  <c r="BD1167" i="4"/>
  <c r="BD1168" i="4"/>
  <c r="BD1169" i="4"/>
  <c r="BD1170" i="4"/>
  <c r="BD1171" i="4"/>
  <c r="BD1172" i="4"/>
  <c r="BD1173" i="4"/>
  <c r="BD1174" i="4"/>
  <c r="BD1175" i="4"/>
  <c r="BD1176" i="4"/>
  <c r="BD1177" i="4"/>
  <c r="BD1178" i="4"/>
  <c r="BD1179" i="4"/>
  <c r="BD1180" i="4"/>
  <c r="BD1181" i="4"/>
  <c r="BD1182" i="4"/>
  <c r="BD1183" i="4"/>
  <c r="BD1184" i="4"/>
  <c r="BD1185" i="4"/>
  <c r="BD1186" i="4"/>
  <c r="BD1187" i="4"/>
  <c r="BD1188" i="4"/>
  <c r="BD1189" i="4"/>
  <c r="BD1190" i="4"/>
  <c r="BD1191" i="4"/>
  <c r="BD1192" i="4"/>
  <c r="BD1193" i="4"/>
  <c r="BD1194" i="4"/>
  <c r="BD1195" i="4"/>
  <c r="BD1196" i="4"/>
  <c r="BD1197" i="4"/>
  <c r="BD1198" i="4"/>
  <c r="BD1199" i="4"/>
  <c r="BD1200" i="4"/>
  <c r="BD1201" i="4"/>
  <c r="BD1202" i="4"/>
  <c r="BD1203" i="4"/>
  <c r="BD1204" i="4"/>
  <c r="BD1205" i="4"/>
  <c r="BD1206" i="4"/>
  <c r="BD1207" i="4"/>
  <c r="BD1208" i="4"/>
  <c r="BD1209" i="4"/>
  <c r="BD1210" i="4"/>
  <c r="BD1211" i="4"/>
  <c r="BD1212" i="4"/>
  <c r="BD1213" i="4"/>
  <c r="BD1214" i="4"/>
  <c r="BD1215" i="4"/>
  <c r="BD1216" i="4"/>
  <c r="BD1217" i="4"/>
  <c r="BD1218" i="4"/>
  <c r="BD1219" i="4"/>
  <c r="BD1220" i="4"/>
  <c r="BD1221" i="4"/>
  <c r="BD1222" i="4"/>
  <c r="BD1223" i="4"/>
  <c r="BD1224" i="4"/>
  <c r="BD1225" i="4"/>
  <c r="BD1226" i="4"/>
  <c r="BD1227" i="4"/>
  <c r="BD1228" i="4"/>
  <c r="BD1229" i="4"/>
  <c r="BD1230" i="4"/>
  <c r="BD1231" i="4"/>
  <c r="BD1232" i="4"/>
  <c r="BD1233" i="4"/>
  <c r="BD1234" i="4"/>
  <c r="BD1235" i="4"/>
  <c r="BD1236" i="4"/>
  <c r="BD1237" i="4"/>
  <c r="BD1238" i="4"/>
  <c r="BD1239" i="4"/>
  <c r="BD1240" i="4"/>
  <c r="BD1241" i="4"/>
  <c r="BD1242" i="4"/>
  <c r="BD1243" i="4"/>
  <c r="BD1244" i="4"/>
  <c r="BD1245" i="4"/>
  <c r="BD1246" i="4"/>
  <c r="BD1247" i="4"/>
  <c r="BD1248" i="4"/>
  <c r="BD1249" i="4"/>
  <c r="BD1250" i="4"/>
  <c r="BD1251" i="4"/>
  <c r="BD1252" i="4"/>
  <c r="BD1253" i="4"/>
  <c r="BD1254" i="4"/>
  <c r="BD1255" i="4"/>
  <c r="BD1256" i="4"/>
  <c r="BD1257" i="4"/>
  <c r="BD1258" i="4"/>
  <c r="BD1259" i="4"/>
  <c r="BD1260" i="4"/>
  <c r="BD1261" i="4"/>
  <c r="BD1262" i="4"/>
  <c r="BD1263" i="4"/>
  <c r="BD1264" i="4"/>
  <c r="BD1265" i="4"/>
  <c r="BD1266" i="4"/>
  <c r="BD1267" i="4"/>
  <c r="BD1268" i="4"/>
  <c r="BD1269" i="4"/>
  <c r="BD1270" i="4"/>
  <c r="BD1271" i="4"/>
  <c r="BD1272" i="4"/>
  <c r="BD1273" i="4"/>
  <c r="BD1274" i="4"/>
  <c r="BD1275" i="4"/>
  <c r="BD1276" i="4"/>
  <c r="BD1277" i="4"/>
  <c r="BD1278" i="4"/>
  <c r="BD1279" i="4"/>
  <c r="BD1280" i="4"/>
  <c r="BD1281" i="4"/>
  <c r="BD1282" i="4"/>
  <c r="BD1283" i="4"/>
  <c r="BD1284" i="4"/>
  <c r="BD1285" i="4"/>
  <c r="BD1286" i="4"/>
  <c r="BD1287" i="4"/>
  <c r="BD1288" i="4"/>
  <c r="BD1289" i="4"/>
  <c r="BD1290" i="4"/>
  <c r="BD1291" i="4"/>
  <c r="BD1292" i="4"/>
  <c r="BD1293" i="4"/>
  <c r="BD1294" i="4"/>
  <c r="BD1295" i="4"/>
  <c r="BD1296" i="4"/>
  <c r="BD1297" i="4"/>
  <c r="BD1298" i="4"/>
  <c r="BD1299" i="4"/>
  <c r="BD1300" i="4"/>
  <c r="BD1301" i="4"/>
  <c r="BD1302" i="4"/>
  <c r="BD1303" i="4"/>
  <c r="BD1304" i="4"/>
  <c r="BD1305" i="4"/>
  <c r="BD1306" i="4"/>
  <c r="BD1307" i="4"/>
  <c r="BD1308" i="4"/>
  <c r="BD1309" i="4"/>
  <c r="BD1310" i="4"/>
  <c r="BD1311" i="4"/>
  <c r="BD1312" i="4"/>
  <c r="BD1313" i="4"/>
  <c r="BD1314" i="4"/>
  <c r="BD1315" i="4"/>
  <c r="BD1316" i="4"/>
  <c r="BD1317" i="4"/>
  <c r="BD1318" i="4"/>
  <c r="BD1319" i="4"/>
  <c r="BD1320" i="4"/>
  <c r="BD1321" i="4"/>
  <c r="BD1322" i="4"/>
  <c r="BD1323" i="4"/>
  <c r="BD1324" i="4"/>
  <c r="BD1325" i="4"/>
  <c r="BD1326" i="4"/>
  <c r="BD1327" i="4"/>
  <c r="BD1328" i="4"/>
  <c r="BD1329" i="4"/>
  <c r="BD1330" i="4"/>
  <c r="BD1331" i="4"/>
  <c r="BD1332" i="4"/>
  <c r="BD1333" i="4"/>
  <c r="BD1334" i="4"/>
  <c r="BD1335" i="4"/>
  <c r="BD1336" i="4"/>
  <c r="BD1337" i="4"/>
  <c r="BD1338" i="4"/>
  <c r="BD1339" i="4"/>
  <c r="BD1340" i="4"/>
  <c r="BD1341" i="4"/>
  <c r="BD1342" i="4"/>
  <c r="BD1343" i="4"/>
  <c r="BD1344" i="4"/>
  <c r="BD1345" i="4"/>
  <c r="BD1346" i="4"/>
  <c r="BD1347" i="4"/>
  <c r="BD1348" i="4"/>
  <c r="BD1349" i="4"/>
  <c r="BD1350" i="4"/>
  <c r="BD1351" i="4"/>
  <c r="BD1352" i="4"/>
  <c r="BD1353" i="4"/>
  <c r="BD1354" i="4"/>
  <c r="BD1355" i="4"/>
  <c r="BD1356" i="4"/>
  <c r="BD1357" i="4"/>
  <c r="BD1358" i="4"/>
  <c r="BD1359" i="4"/>
  <c r="BD1360" i="4"/>
  <c r="BD1361" i="4"/>
  <c r="BD1362" i="4"/>
  <c r="BD1363" i="4"/>
  <c r="BD1364" i="4"/>
  <c r="BD1365" i="4"/>
  <c r="BD1366" i="4"/>
  <c r="BD1367" i="4"/>
  <c r="BD1368" i="4"/>
  <c r="BD1369" i="4"/>
  <c r="BD1370" i="4"/>
  <c r="BD1371" i="4"/>
  <c r="BD1372" i="4"/>
  <c r="BD1373" i="4"/>
  <c r="BD1374" i="4"/>
  <c r="BD1375" i="4"/>
  <c r="BD1376" i="4"/>
  <c r="BD1377" i="4"/>
  <c r="BD1378" i="4"/>
  <c r="BD1379" i="4"/>
  <c r="BD1380" i="4"/>
  <c r="BD1381" i="4"/>
  <c r="BD1382" i="4"/>
  <c r="BD1383" i="4"/>
  <c r="BD1384" i="4"/>
  <c r="BD1385" i="4"/>
  <c r="BD1386" i="4"/>
  <c r="BD1387" i="4"/>
  <c r="BD1388" i="4"/>
  <c r="BD1389" i="4"/>
  <c r="BD1390" i="4"/>
  <c r="BD1391" i="4"/>
  <c r="BD1392" i="4"/>
  <c r="BD1393" i="4"/>
  <c r="BD1394" i="4"/>
  <c r="BD1395" i="4"/>
  <c r="BD1396" i="4"/>
  <c r="BD1397" i="4"/>
  <c r="BD1398" i="4"/>
  <c r="BD1399" i="4"/>
  <c r="BD1400" i="4"/>
  <c r="BD1401" i="4"/>
  <c r="BD1402" i="4"/>
  <c r="BD1403" i="4"/>
  <c r="BD1404" i="4"/>
  <c r="BD1405" i="4"/>
  <c r="BD1406" i="4"/>
  <c r="BD1407" i="4"/>
  <c r="BD1408" i="4"/>
  <c r="BD1409" i="4"/>
  <c r="BD1410" i="4"/>
  <c r="BD1411" i="4"/>
  <c r="BD1412" i="4"/>
  <c r="BD1413" i="4"/>
  <c r="BD1414" i="4"/>
  <c r="BD1415" i="4"/>
  <c r="BD1416" i="4"/>
  <c r="BD1417" i="4"/>
  <c r="BD1418" i="4"/>
  <c r="BD1419" i="4"/>
  <c r="BD1420" i="4"/>
  <c r="BD1421" i="4"/>
  <c r="BD1422" i="4"/>
  <c r="BD1423" i="4"/>
  <c r="BD1424" i="4"/>
  <c r="BD1425" i="4"/>
  <c r="BD1426" i="4"/>
  <c r="BD1427" i="4"/>
  <c r="BD1428" i="4"/>
  <c r="BD1429" i="4"/>
  <c r="BD1430" i="4"/>
  <c r="BD1431" i="4"/>
  <c r="BD1432" i="4"/>
  <c r="BD1433" i="4"/>
  <c r="BD1434" i="4"/>
  <c r="BD1435" i="4"/>
  <c r="BD1436" i="4"/>
  <c r="BD1437" i="4"/>
  <c r="BD1438" i="4"/>
  <c r="BD1439" i="4"/>
  <c r="BD1440" i="4"/>
  <c r="BD1441" i="4"/>
  <c r="BD1442" i="4"/>
  <c r="BD1443" i="4"/>
  <c r="BD1444" i="4"/>
  <c r="BD1445" i="4"/>
  <c r="BD1446" i="4"/>
  <c r="BD1447" i="4"/>
  <c r="BD1448" i="4"/>
  <c r="BD1449" i="4"/>
  <c r="BD1450" i="4"/>
  <c r="BD1451" i="4"/>
  <c r="BD1452" i="4"/>
  <c r="BD1453" i="4"/>
  <c r="BD1454" i="4"/>
  <c r="BD1455" i="4"/>
  <c r="BD1456" i="4"/>
  <c r="BD1457" i="4"/>
  <c r="BD1458" i="4"/>
  <c r="BD1459" i="4"/>
  <c r="BD1460" i="4"/>
  <c r="BD1461" i="4"/>
  <c r="BD1462" i="4"/>
  <c r="BD1463" i="4"/>
  <c r="BD1464" i="4"/>
  <c r="BD1465" i="4"/>
  <c r="BD1466" i="4"/>
  <c r="BD1467" i="4"/>
  <c r="BD1468" i="4"/>
  <c r="BD1469" i="4"/>
  <c r="BD1470" i="4"/>
  <c r="BD1471" i="4"/>
  <c r="BD1472" i="4"/>
  <c r="BD1473" i="4"/>
  <c r="BD1474" i="4"/>
  <c r="BD1475" i="4"/>
  <c r="BD1476" i="4"/>
  <c r="BD1477" i="4"/>
  <c r="BD1478" i="4"/>
  <c r="BD1479" i="4"/>
  <c r="BD1480" i="4"/>
  <c r="BD1481" i="4"/>
  <c r="BD1482" i="4"/>
  <c r="BD1483" i="4"/>
  <c r="BD1484" i="4"/>
  <c r="BD1485" i="4"/>
  <c r="BD1486" i="4"/>
  <c r="BD1487" i="4"/>
  <c r="BD1488" i="4"/>
  <c r="BD1489" i="4"/>
  <c r="BD1490" i="4"/>
  <c r="BD1491" i="4"/>
  <c r="BD1492" i="4"/>
  <c r="BD1493" i="4"/>
  <c r="BD1494" i="4"/>
  <c r="BD1495" i="4"/>
  <c r="BD1496" i="4"/>
  <c r="BD1497" i="4"/>
  <c r="BD1498" i="4"/>
  <c r="BD1499" i="4"/>
  <c r="BD1500" i="4"/>
  <c r="BD1501" i="4"/>
  <c r="BD1502" i="4"/>
  <c r="BD1503" i="4"/>
  <c r="BD1504" i="4"/>
  <c r="BD1505" i="4"/>
  <c r="BD1506" i="4"/>
  <c r="BD1507" i="4"/>
  <c r="BD1508" i="4"/>
  <c r="BD1509" i="4"/>
  <c r="BD1510" i="4"/>
  <c r="BD1511" i="4"/>
  <c r="BD1512" i="4"/>
  <c r="BD1513" i="4"/>
  <c r="BD1514" i="4"/>
  <c r="BD1515" i="4"/>
  <c r="BD1516" i="4"/>
  <c r="BD1517" i="4"/>
  <c r="BD1518" i="4"/>
  <c r="BD1519" i="4"/>
  <c r="BD1520" i="4"/>
  <c r="BD1521" i="4"/>
  <c r="BD1522" i="4"/>
  <c r="BD1523" i="4"/>
  <c r="BD1524" i="4"/>
  <c r="BD1525" i="4"/>
  <c r="BD1526" i="4"/>
  <c r="BD1527" i="4"/>
  <c r="BD1528" i="4"/>
  <c r="BD1529" i="4"/>
  <c r="BD1530" i="4"/>
  <c r="BD1531" i="4"/>
  <c r="BD1532" i="4"/>
  <c r="BD1533" i="4"/>
  <c r="BD1534" i="4"/>
  <c r="BD1535" i="4"/>
  <c r="BD1536" i="4"/>
  <c r="BD1537" i="4"/>
  <c r="BD1538" i="4"/>
  <c r="BD1539" i="4"/>
  <c r="BD1540" i="4"/>
  <c r="BD1541" i="4"/>
  <c r="BD1542" i="4"/>
  <c r="BD1543" i="4"/>
  <c r="BD1544" i="4"/>
  <c r="BD1545" i="4"/>
  <c r="BD1546" i="4"/>
  <c r="BD1547" i="4"/>
  <c r="BD1548" i="4"/>
  <c r="BD1549" i="4"/>
  <c r="BD1550" i="4"/>
  <c r="BD1551" i="4"/>
  <c r="BD1552" i="4"/>
  <c r="BD1553" i="4"/>
  <c r="BD1554" i="4"/>
  <c r="BD1555" i="4"/>
  <c r="BD1556" i="4"/>
  <c r="BD1557" i="4"/>
  <c r="BD1558" i="4"/>
  <c r="BD1559" i="4"/>
  <c r="BD1560" i="4"/>
  <c r="BD1561" i="4"/>
  <c r="BD1562" i="4"/>
  <c r="BD1563" i="4"/>
  <c r="BD1564" i="4"/>
  <c r="BD1565" i="4"/>
  <c r="BD1566" i="4"/>
  <c r="BD1567" i="4"/>
  <c r="BD1568" i="4"/>
  <c r="BD1569" i="4"/>
  <c r="BD1570" i="4"/>
  <c r="BD1571" i="4"/>
  <c r="BD1572" i="4"/>
  <c r="BD1573" i="4"/>
  <c r="BD1574" i="4"/>
  <c r="BD1575" i="4"/>
  <c r="BD1576" i="4"/>
  <c r="BD1577" i="4"/>
  <c r="BD1578" i="4"/>
  <c r="BD1579" i="4"/>
  <c r="BD1580" i="4"/>
  <c r="BD1581" i="4"/>
  <c r="BD1582" i="4"/>
  <c r="BD1583" i="4"/>
  <c r="BD1584" i="4"/>
  <c r="BD1585" i="4"/>
  <c r="BD1586" i="4"/>
  <c r="BD1587" i="4"/>
  <c r="BD1588" i="4"/>
  <c r="BD1589" i="4"/>
  <c r="BD1590" i="4"/>
  <c r="BD1591" i="4"/>
  <c r="BD1592" i="4"/>
  <c r="BD1593" i="4"/>
  <c r="BD1594" i="4"/>
  <c r="BD1595" i="4"/>
  <c r="BD1596" i="4"/>
  <c r="BD1597" i="4"/>
  <c r="BD1598" i="4"/>
  <c r="BD1599" i="4"/>
  <c r="BD1600" i="4"/>
  <c r="BD1601" i="4"/>
  <c r="BD1602" i="4"/>
  <c r="BD1603" i="4"/>
  <c r="BD1604" i="4"/>
  <c r="BD1605" i="4"/>
  <c r="BD1606" i="4"/>
  <c r="BD1607" i="4"/>
  <c r="BD1608" i="4"/>
  <c r="BD1609" i="4"/>
  <c r="BD1610" i="4"/>
  <c r="BD1611" i="4"/>
  <c r="BD1612" i="4"/>
  <c r="BD1613" i="4"/>
  <c r="BD1614" i="4"/>
  <c r="BD1615" i="4"/>
  <c r="BD1616" i="4"/>
  <c r="BD1617" i="4"/>
  <c r="BD1618" i="4"/>
  <c r="BD1619" i="4"/>
  <c r="BD1620" i="4"/>
  <c r="BD1621" i="4"/>
  <c r="BD1622" i="4"/>
  <c r="BD1623" i="4"/>
  <c r="BD1624" i="4"/>
  <c r="BD1625" i="4"/>
  <c r="BD1626" i="4"/>
  <c r="BD1627" i="4"/>
  <c r="BD1628" i="4"/>
  <c r="BD1629" i="4"/>
  <c r="BD1630" i="4"/>
  <c r="BD1631" i="4"/>
  <c r="BD1632" i="4"/>
  <c r="BD1633" i="4"/>
  <c r="BD1634" i="4"/>
  <c r="BD1635" i="4"/>
  <c r="BD1636" i="4"/>
  <c r="BD1637" i="4"/>
  <c r="BD1638" i="4"/>
  <c r="BD1639" i="4"/>
  <c r="BD1640" i="4"/>
  <c r="BD1641" i="4"/>
  <c r="BD1642" i="4"/>
  <c r="BD1643" i="4"/>
  <c r="BD1644" i="4"/>
  <c r="BD1645" i="4"/>
  <c r="BD1646" i="4"/>
  <c r="BD1647" i="4"/>
  <c r="BD1648" i="4"/>
  <c r="BD1649" i="4"/>
  <c r="BD1650" i="4"/>
  <c r="BD1651" i="4"/>
  <c r="BD1652" i="4"/>
  <c r="BD1653" i="4"/>
  <c r="BD1654" i="4"/>
  <c r="BD1655" i="4"/>
  <c r="BD1656" i="4"/>
  <c r="BD1657" i="4"/>
  <c r="BD1658" i="4"/>
  <c r="BD1659" i="4"/>
  <c r="BD1660" i="4"/>
  <c r="BD1661" i="4"/>
  <c r="BD1662" i="4"/>
  <c r="BD1663" i="4"/>
  <c r="BD1664" i="4"/>
  <c r="BD1665" i="4"/>
  <c r="BD1666" i="4"/>
  <c r="BD1667" i="4"/>
  <c r="BD1668" i="4"/>
  <c r="BD1669" i="4"/>
  <c r="BD1670" i="4"/>
  <c r="BD1671" i="4"/>
  <c r="BD1672" i="4"/>
  <c r="BD1673" i="4"/>
  <c r="BD1674" i="4"/>
  <c r="BD1675" i="4"/>
  <c r="BD1676" i="4"/>
  <c r="BD1677" i="4"/>
  <c r="BD1678" i="4"/>
  <c r="BD1679" i="4"/>
  <c r="BD1680" i="4"/>
  <c r="BD1681" i="4"/>
  <c r="BD1682" i="4"/>
  <c r="BD1683" i="4"/>
  <c r="BD1684" i="4"/>
  <c r="BD1685" i="4"/>
  <c r="BD1686" i="4"/>
  <c r="BD1687" i="4"/>
  <c r="BD1688" i="4"/>
  <c r="BD1689" i="4"/>
  <c r="BD1690" i="4"/>
  <c r="BD1691" i="4"/>
  <c r="BD1692" i="4"/>
  <c r="BD1693" i="4"/>
  <c r="BD1694" i="4"/>
  <c r="BD1695" i="4"/>
  <c r="BD1696" i="4"/>
  <c r="BD1697" i="4"/>
  <c r="BD1698" i="4"/>
  <c r="BD1699" i="4"/>
  <c r="BD1700" i="4"/>
  <c r="BD1701" i="4"/>
  <c r="BD1702" i="4"/>
  <c r="BD1703" i="4"/>
  <c r="BD1704" i="4"/>
  <c r="BD1705" i="4"/>
  <c r="BD1706" i="4"/>
  <c r="BD1707" i="4"/>
  <c r="BD1708" i="4"/>
  <c r="BD1709" i="4"/>
  <c r="BD1710" i="4"/>
  <c r="BD1711" i="4"/>
  <c r="BD1712" i="4"/>
  <c r="BD1713" i="4"/>
  <c r="BD1714" i="4"/>
  <c r="BD1715" i="4"/>
  <c r="BD1716" i="4"/>
  <c r="BD1717" i="4"/>
  <c r="BD1718" i="4"/>
  <c r="BD1719" i="4"/>
  <c r="BD1720" i="4"/>
  <c r="BD1721" i="4"/>
  <c r="BD1722" i="4"/>
  <c r="BD1723" i="4"/>
  <c r="BD1724" i="4"/>
  <c r="BD1725" i="4"/>
  <c r="BD1726" i="4"/>
  <c r="BD1727" i="4"/>
  <c r="BD1728" i="4"/>
  <c r="BD1729" i="4"/>
  <c r="BD1730" i="4"/>
  <c r="BD1731" i="4"/>
  <c r="BD1732" i="4"/>
  <c r="BD1733" i="4"/>
  <c r="BD1734" i="4"/>
  <c r="BD1735" i="4"/>
  <c r="BD1736" i="4"/>
  <c r="BD1737" i="4"/>
  <c r="BD1738" i="4"/>
  <c r="BD1739" i="4"/>
  <c r="BD1740" i="4"/>
  <c r="BD1741" i="4"/>
  <c r="BD1742" i="4"/>
  <c r="BD1743" i="4"/>
  <c r="BD1744" i="4"/>
  <c r="BD1745" i="4"/>
  <c r="BD1746" i="4"/>
  <c r="BD1747" i="4"/>
  <c r="BD1748" i="4"/>
  <c r="BD1749" i="4"/>
  <c r="BD1750" i="4"/>
  <c r="BD1751" i="4"/>
  <c r="BD1752" i="4"/>
  <c r="BD1753" i="4"/>
  <c r="BD1754" i="4"/>
  <c r="BD1755" i="4"/>
  <c r="BD1756" i="4"/>
  <c r="BD1757" i="4"/>
  <c r="BD1758" i="4"/>
  <c r="BD1759" i="4"/>
  <c r="BD1760" i="4"/>
  <c r="BD1761" i="4"/>
  <c r="BD1762" i="4"/>
  <c r="BD1763" i="4"/>
  <c r="BD1764" i="4"/>
  <c r="BD1765" i="4"/>
  <c r="BD1766" i="4"/>
  <c r="BD1767" i="4"/>
  <c r="BD1768" i="4"/>
  <c r="BD1769" i="4"/>
  <c r="BD1770" i="4"/>
  <c r="BD1771" i="4"/>
  <c r="BD1772" i="4"/>
  <c r="BD1773" i="4"/>
  <c r="BD1774" i="4"/>
  <c r="BD1775" i="4"/>
  <c r="BD1776" i="4"/>
  <c r="BD1777" i="4"/>
  <c r="BD1778" i="4"/>
  <c r="BD1779" i="4"/>
  <c r="BD1780" i="4"/>
  <c r="BD1781" i="4"/>
  <c r="BD1782" i="4"/>
  <c r="BD1783" i="4"/>
  <c r="BD1784" i="4"/>
  <c r="BD1785" i="4"/>
  <c r="BD1786" i="4"/>
  <c r="BD1787" i="4"/>
  <c r="BD1788" i="4"/>
  <c r="BD1789" i="4"/>
  <c r="BD1790" i="4"/>
  <c r="BD1791" i="4"/>
  <c r="BD1792" i="4"/>
  <c r="BD1793" i="4"/>
  <c r="BD1794" i="4"/>
  <c r="BD1795" i="4"/>
  <c r="BD1796" i="4"/>
  <c r="BD1797" i="4"/>
  <c r="BD1798" i="4"/>
  <c r="BD1799" i="4"/>
  <c r="BD1800" i="4"/>
  <c r="BD1801" i="4"/>
  <c r="BD1802" i="4"/>
  <c r="BD1803" i="4"/>
  <c r="BD1804" i="4"/>
  <c r="BD1805" i="4"/>
  <c r="BD1806" i="4"/>
  <c r="BD1807" i="4"/>
  <c r="BD1808" i="4"/>
  <c r="BD1809" i="4"/>
  <c r="BD1810" i="4"/>
  <c r="BD1811" i="4"/>
  <c r="BD1812" i="4"/>
  <c r="BD1813" i="4"/>
  <c r="BD1814" i="4"/>
  <c r="BD1815" i="4"/>
  <c r="BD1816" i="4"/>
  <c r="BD1817" i="4"/>
  <c r="BD1818" i="4"/>
  <c r="BD1819" i="4"/>
  <c r="BD1820" i="4"/>
  <c r="BD1821" i="4"/>
  <c r="BD1822" i="4"/>
  <c r="BD1823" i="4"/>
  <c r="BD1824" i="4"/>
  <c r="BD1825" i="4"/>
  <c r="BD1826" i="4"/>
  <c r="BD1827" i="4"/>
  <c r="BD1828" i="4"/>
  <c r="BD1829" i="4"/>
  <c r="BD1830" i="4"/>
  <c r="BD1831" i="4"/>
  <c r="BD1832" i="4"/>
  <c r="BD1833" i="4"/>
  <c r="BD1834" i="4"/>
  <c r="BD1835" i="4"/>
  <c r="BD1836" i="4"/>
  <c r="BD1837" i="4"/>
  <c r="BD1838" i="4"/>
  <c r="BD1839" i="4"/>
  <c r="BD1840" i="4"/>
  <c r="BD1841" i="4"/>
  <c r="BD1842" i="4"/>
  <c r="BD1843" i="4"/>
  <c r="BD1844" i="4"/>
  <c r="BD1845" i="4"/>
  <c r="BD1846" i="4"/>
  <c r="BD1847" i="4"/>
  <c r="BD1848" i="4"/>
  <c r="BD1849" i="4"/>
  <c r="BD1850" i="4"/>
  <c r="BD1851" i="4"/>
  <c r="BD1852" i="4"/>
  <c r="BD1853" i="4"/>
  <c r="BD1854" i="4"/>
  <c r="BD1855" i="4"/>
  <c r="BD1856" i="4"/>
  <c r="BD1857" i="4"/>
  <c r="BD1858" i="4"/>
  <c r="BD1859" i="4"/>
  <c r="BD1860" i="4"/>
  <c r="BD1861" i="4"/>
  <c r="BD1862" i="4"/>
  <c r="BD1863" i="4"/>
  <c r="BD1864" i="4"/>
  <c r="BD1865" i="4"/>
  <c r="BD1866" i="4"/>
  <c r="BD1867" i="4"/>
  <c r="BD1868" i="4"/>
  <c r="BD1869" i="4"/>
  <c r="BD1870" i="4"/>
  <c r="BD1871" i="4"/>
  <c r="BD1872" i="4"/>
  <c r="BD1873" i="4"/>
  <c r="BD1874" i="4"/>
  <c r="BD1875" i="4"/>
  <c r="BD1876" i="4"/>
  <c r="BD1877" i="4"/>
  <c r="BD1878" i="4"/>
  <c r="BD1879" i="4"/>
  <c r="BD1880" i="4"/>
  <c r="BD1881" i="4"/>
  <c r="BD1882" i="4"/>
  <c r="BD1883" i="4"/>
  <c r="BD1884" i="4"/>
  <c r="BD1885" i="4"/>
  <c r="BD1886" i="4"/>
  <c r="BD1887" i="4"/>
  <c r="BD1888" i="4"/>
  <c r="BD1889" i="4"/>
  <c r="BD1890" i="4"/>
  <c r="BD1891" i="4"/>
  <c r="BD1892" i="4"/>
  <c r="BD1893" i="4"/>
  <c r="BD1894" i="4"/>
  <c r="BD1895" i="4"/>
  <c r="BD1896" i="4"/>
  <c r="BD1897" i="4"/>
  <c r="BD1898" i="4"/>
  <c r="BD1899" i="4"/>
  <c r="BD1900" i="4"/>
  <c r="BD1901" i="4"/>
  <c r="BD1902" i="4"/>
  <c r="BD1903" i="4"/>
  <c r="BD1904" i="4"/>
  <c r="BD1905" i="4"/>
  <c r="BD1906" i="4"/>
  <c r="BD1907" i="4"/>
  <c r="BD1908" i="4"/>
  <c r="BD1909" i="4"/>
  <c r="BD1910" i="4"/>
  <c r="BD1911" i="4"/>
  <c r="BD1912" i="4"/>
  <c r="BD1913" i="4"/>
  <c r="BD1914" i="4"/>
  <c r="BD1915" i="4"/>
  <c r="BD1916" i="4"/>
  <c r="BD1917" i="4"/>
  <c r="BD1918" i="4"/>
  <c r="BD1919" i="4"/>
  <c r="BD1920" i="4"/>
  <c r="BD1921" i="4"/>
  <c r="BD1922" i="4"/>
  <c r="BD1923" i="4"/>
  <c r="BD1924" i="4"/>
  <c r="BD1925" i="4"/>
  <c r="BD1926" i="4"/>
  <c r="BD1927" i="4"/>
  <c r="BD1928" i="4"/>
  <c r="BD1929" i="4"/>
  <c r="BD1930" i="4"/>
  <c r="BD1931" i="4"/>
  <c r="BD1932" i="4"/>
  <c r="BD1933" i="4"/>
  <c r="BD1934" i="4"/>
  <c r="BD1935" i="4"/>
  <c r="BD1936" i="4"/>
  <c r="BD1937" i="4"/>
  <c r="BD1938" i="4"/>
  <c r="BD1939" i="4"/>
  <c r="BD1940" i="4"/>
  <c r="BD1941" i="4"/>
  <c r="BD1942" i="4"/>
  <c r="BD1943" i="4"/>
  <c r="BD1944" i="4"/>
  <c r="BD1945" i="4"/>
  <c r="BD1946" i="4"/>
  <c r="BD1947" i="4"/>
  <c r="BD1948" i="4"/>
  <c r="BD1949" i="4"/>
  <c r="BD1950" i="4"/>
  <c r="BD1951" i="4"/>
  <c r="BD1952" i="4"/>
  <c r="BD1953" i="4"/>
  <c r="BD1954" i="4"/>
  <c r="BD1955" i="4"/>
  <c r="BD1956" i="4"/>
  <c r="BD1957" i="4"/>
  <c r="BD1958" i="4"/>
  <c r="BD1959" i="4"/>
  <c r="BD1960" i="4"/>
  <c r="BD1961" i="4"/>
  <c r="BD1962" i="4"/>
  <c r="BD1963" i="4"/>
  <c r="BD1964" i="4"/>
  <c r="BD1965" i="4"/>
  <c r="BD1966" i="4"/>
  <c r="BD1967" i="4"/>
  <c r="BD1968" i="4"/>
  <c r="BD1969" i="4"/>
  <c r="BD1970" i="4"/>
  <c r="BD1971" i="4"/>
  <c r="BD1972" i="4"/>
  <c r="BD1973" i="4"/>
  <c r="BD1974" i="4"/>
  <c r="BD1975" i="4"/>
  <c r="BD1976" i="4"/>
  <c r="BD1977" i="4"/>
  <c r="BD1978" i="4"/>
  <c r="BD1979" i="4"/>
  <c r="BD1980" i="4"/>
  <c r="BD1981" i="4"/>
  <c r="BD1982" i="4"/>
  <c r="BD1983" i="4"/>
  <c r="BD1984" i="4"/>
  <c r="BD1985" i="4"/>
  <c r="BD1986" i="4"/>
  <c r="BD1987" i="4"/>
  <c r="BD1988" i="4"/>
  <c r="BD1989" i="4"/>
  <c r="BD1990" i="4"/>
  <c r="BD1991" i="4"/>
  <c r="BD1992" i="4"/>
  <c r="BD1993" i="4"/>
  <c r="BD1994" i="4"/>
  <c r="BD1995" i="4"/>
  <c r="BD1996" i="4"/>
  <c r="BD1997" i="4"/>
  <c r="BD1998" i="4"/>
  <c r="BD1999" i="4"/>
  <c r="BD2000" i="4"/>
  <c r="BD2001" i="4"/>
  <c r="BD2002" i="4"/>
  <c r="BD2003" i="4"/>
  <c r="BD2004" i="4"/>
  <c r="BD2005" i="4"/>
  <c r="BD2006" i="4"/>
  <c r="BD2007" i="4"/>
  <c r="BD2008" i="4"/>
  <c r="BD2009" i="4"/>
  <c r="BD2010" i="4"/>
  <c r="BD2011" i="4"/>
  <c r="BD2012" i="4"/>
  <c r="BD2013" i="4"/>
  <c r="BD2014" i="4"/>
  <c r="BD2015" i="4"/>
  <c r="BD2016" i="4"/>
  <c r="BD2017" i="4"/>
  <c r="BD2018" i="4"/>
  <c r="BD2019" i="4"/>
  <c r="BD2020" i="4"/>
  <c r="BD2021" i="4"/>
  <c r="BD2022" i="4"/>
  <c r="BD2023" i="4"/>
  <c r="BD2024" i="4"/>
  <c r="BD2025" i="4"/>
  <c r="BD2026" i="4"/>
  <c r="BD2027" i="4"/>
  <c r="BD2028" i="4"/>
  <c r="BD2029" i="4"/>
  <c r="BD2030" i="4"/>
  <c r="BD2031" i="4"/>
  <c r="BD2032" i="4"/>
  <c r="BD2033" i="4"/>
  <c r="BD2034" i="4"/>
  <c r="BD2035" i="4"/>
  <c r="BD2036" i="4"/>
  <c r="BD2037" i="4"/>
  <c r="BD2038" i="4"/>
  <c r="BD2039" i="4"/>
  <c r="BD2040" i="4"/>
  <c r="BD2041" i="4"/>
  <c r="BD2042" i="4"/>
  <c r="BD2043" i="4"/>
  <c r="BD2044" i="4"/>
  <c r="BD2045" i="4"/>
  <c r="BD2046" i="4"/>
  <c r="BD2047" i="4"/>
  <c r="BD2048" i="4"/>
  <c r="BD2049" i="4"/>
  <c r="BD2050" i="4"/>
  <c r="BD2051" i="4"/>
  <c r="BD2052" i="4"/>
  <c r="BD2053" i="4"/>
  <c r="BD2054" i="4"/>
  <c r="BD2055" i="4"/>
  <c r="BD2056" i="4"/>
  <c r="BD2057" i="4"/>
  <c r="BD2058" i="4"/>
  <c r="BD2059" i="4"/>
  <c r="BD2060" i="4"/>
  <c r="BD2061" i="4"/>
  <c r="BD2062" i="4"/>
  <c r="BD2063" i="4"/>
  <c r="BD2064" i="4"/>
  <c r="BD2065" i="4"/>
  <c r="BD2066" i="4"/>
  <c r="BD2067" i="4"/>
  <c r="BD2068" i="4"/>
  <c r="BD2069" i="4"/>
  <c r="BD2070" i="4"/>
  <c r="BD2071" i="4"/>
  <c r="BD2072" i="4"/>
  <c r="BD2073" i="4"/>
  <c r="BD2074" i="4"/>
  <c r="BD2075" i="4"/>
  <c r="BD2076" i="4"/>
  <c r="BD2077" i="4"/>
  <c r="BD2078" i="4"/>
  <c r="BD2079" i="4"/>
  <c r="BD2080" i="4"/>
  <c r="BD2081" i="4"/>
  <c r="BD2082" i="4"/>
  <c r="BD2083" i="4"/>
  <c r="BD2084" i="4"/>
  <c r="BD2085" i="4"/>
  <c r="BD2086" i="4"/>
  <c r="BD2087" i="4"/>
  <c r="BD2088" i="4"/>
  <c r="BD2089" i="4"/>
  <c r="BD2090" i="4"/>
  <c r="BD2091" i="4"/>
  <c r="BD2092" i="4"/>
  <c r="BD2093" i="4"/>
  <c r="BD2094" i="4"/>
  <c r="BD2095" i="4"/>
  <c r="BD2096" i="4"/>
  <c r="BD2097" i="4"/>
  <c r="BD2098" i="4"/>
  <c r="BD2099" i="4"/>
  <c r="BD2100" i="4"/>
  <c r="BD2101" i="4"/>
  <c r="BD2102" i="4"/>
  <c r="BD2103" i="4"/>
  <c r="BD2104" i="4"/>
  <c r="BD2105" i="4"/>
  <c r="BD2106" i="4"/>
  <c r="BD2107" i="4"/>
  <c r="BD2108" i="4"/>
  <c r="BD2109" i="4"/>
  <c r="BD2110" i="4"/>
  <c r="BD2111" i="4"/>
  <c r="BD2112" i="4"/>
  <c r="BD2113" i="4"/>
  <c r="BD2114" i="4"/>
  <c r="BD2115" i="4"/>
  <c r="BD2116" i="4"/>
  <c r="BD2117" i="4"/>
  <c r="BD2118" i="4"/>
  <c r="BD2119" i="4"/>
  <c r="BD2120" i="4"/>
  <c r="BD2121" i="4"/>
  <c r="BD2122" i="4"/>
  <c r="BD2123" i="4"/>
  <c r="BD2124" i="4"/>
  <c r="BD2125" i="4"/>
  <c r="BD2126" i="4"/>
  <c r="BD2127" i="4"/>
  <c r="BD2128" i="4"/>
  <c r="BD2129" i="4"/>
  <c r="BD2130" i="4"/>
  <c r="BD2131" i="4"/>
  <c r="BD2132" i="4"/>
  <c r="BD2133" i="4"/>
  <c r="BD2134" i="4"/>
  <c r="BD2135" i="4"/>
  <c r="BD2136" i="4"/>
  <c r="BD2137" i="4"/>
  <c r="BD2138" i="4"/>
  <c r="BD2139" i="4"/>
  <c r="BD2140" i="4"/>
  <c r="BD2141" i="4"/>
  <c r="BD2142" i="4"/>
  <c r="BD2143" i="4"/>
  <c r="BD2144" i="4"/>
  <c r="BD2145" i="4"/>
  <c r="BD2146" i="4"/>
  <c r="BD2147" i="4"/>
  <c r="BD2148" i="4"/>
  <c r="BD2149" i="4"/>
  <c r="BD2150" i="4"/>
  <c r="BD2151" i="4"/>
  <c r="BD2152" i="4"/>
  <c r="BD2153" i="4"/>
  <c r="BD2154" i="4"/>
  <c r="BD2155" i="4"/>
  <c r="BD2156" i="4"/>
  <c r="BD2157" i="4"/>
  <c r="BD2158" i="4"/>
  <c r="BD2159" i="4"/>
  <c r="BD2160" i="4"/>
  <c r="BD2161" i="4"/>
  <c r="BD2162" i="4"/>
  <c r="BD2163" i="4"/>
  <c r="BD2164" i="4"/>
  <c r="BD2165" i="4"/>
  <c r="BD2166" i="4"/>
  <c r="BD2167" i="4"/>
  <c r="BD2168" i="4"/>
  <c r="BD2169" i="4"/>
  <c r="BD2170" i="4"/>
  <c r="BD2171" i="4"/>
  <c r="BD2172" i="4"/>
  <c r="BD2173" i="4"/>
  <c r="BD2174" i="4"/>
  <c r="BD2175" i="4"/>
  <c r="BD2176" i="4"/>
  <c r="BD2177" i="4"/>
  <c r="BD2178" i="4"/>
  <c r="BD2179" i="4"/>
  <c r="BD2180" i="4"/>
  <c r="BD2181" i="4"/>
  <c r="BD2182" i="4"/>
  <c r="BD2183" i="4"/>
  <c r="BD2184" i="4"/>
  <c r="BD2185" i="4"/>
  <c r="BD2186" i="4"/>
  <c r="BD2187" i="4"/>
  <c r="BD2188" i="4"/>
  <c r="BD2189" i="4"/>
  <c r="BD2190" i="4"/>
  <c r="BD2191" i="4"/>
  <c r="BD2192" i="4"/>
  <c r="BD2193" i="4"/>
  <c r="BD2194" i="4"/>
  <c r="BD2195" i="4"/>
  <c r="BD2196" i="4"/>
  <c r="BD2197" i="4"/>
  <c r="BD2198" i="4"/>
  <c r="BD2199" i="4"/>
  <c r="BD2200" i="4"/>
  <c r="BD2201" i="4"/>
  <c r="BD2202" i="4"/>
  <c r="BD2203" i="4"/>
  <c r="BD2204" i="4"/>
  <c r="BD2205" i="4"/>
  <c r="BD2206" i="4"/>
  <c r="BD2207" i="4"/>
  <c r="BD2208" i="4"/>
  <c r="BD2209" i="4"/>
  <c r="BD2210" i="4"/>
  <c r="BD2211" i="4"/>
  <c r="BD2212" i="4"/>
  <c r="BD2213" i="4"/>
  <c r="BD2214" i="4"/>
  <c r="BD2215" i="4"/>
  <c r="BD2216" i="4"/>
  <c r="BD2217" i="4"/>
  <c r="BD2218" i="4"/>
  <c r="BD2219" i="4"/>
  <c r="BD2220" i="4"/>
  <c r="BD2221" i="4"/>
  <c r="BD2222" i="4"/>
  <c r="BD2223" i="4"/>
  <c r="BD2224" i="4"/>
  <c r="BD2225" i="4"/>
  <c r="BD2226" i="4"/>
  <c r="BD2227" i="4"/>
  <c r="BD2228" i="4"/>
  <c r="BD2229" i="4"/>
  <c r="BD2230" i="4"/>
  <c r="BD2231" i="4"/>
  <c r="BD2232" i="4"/>
  <c r="BD2233" i="4"/>
  <c r="BD2234" i="4"/>
  <c r="BD2235" i="4"/>
  <c r="BD2236" i="4"/>
  <c r="BD2237" i="4"/>
  <c r="BD2238" i="4"/>
  <c r="BD2239" i="4"/>
  <c r="BD2240" i="4"/>
  <c r="BD2241" i="4"/>
  <c r="BD2242" i="4"/>
  <c r="BD2243" i="4"/>
  <c r="BD2244" i="4"/>
  <c r="BD2245" i="4"/>
  <c r="BD2246" i="4"/>
  <c r="BD2247" i="4"/>
  <c r="BD2248" i="4"/>
  <c r="BD2249" i="4"/>
  <c r="BD2250" i="4"/>
  <c r="BD2251" i="4"/>
  <c r="BD2252" i="4"/>
  <c r="BD2253" i="4"/>
  <c r="BD2254" i="4"/>
  <c r="BD2255" i="4"/>
  <c r="BD2256" i="4"/>
  <c r="BD2257" i="4"/>
  <c r="BD2258" i="4"/>
  <c r="BD2259" i="4"/>
  <c r="BD2260" i="4"/>
  <c r="BD2261" i="4"/>
  <c r="BD2262" i="4"/>
  <c r="BD2263" i="4"/>
  <c r="BD2264" i="4"/>
  <c r="BD2265" i="4"/>
  <c r="BD2266" i="4"/>
  <c r="BD2267" i="4"/>
  <c r="BD2268" i="4"/>
  <c r="BD2269" i="4"/>
  <c r="BD2270" i="4"/>
  <c r="BD2271" i="4"/>
  <c r="BD2272" i="4"/>
  <c r="BD2273" i="4"/>
  <c r="BD2274" i="4"/>
  <c r="BD2275" i="4"/>
  <c r="BD2276" i="4"/>
  <c r="BD2277" i="4"/>
  <c r="BD2278" i="4"/>
  <c r="BD2279" i="4"/>
  <c r="BD2280" i="4"/>
  <c r="BD2281" i="4"/>
  <c r="BD2282" i="4"/>
  <c r="BD2283" i="4"/>
  <c r="BD2284" i="4"/>
  <c r="BD2285" i="4"/>
  <c r="BD2286" i="4"/>
  <c r="BD2287" i="4"/>
  <c r="BD2288" i="4"/>
  <c r="BD2289" i="4"/>
  <c r="BD2290" i="4"/>
  <c r="BD2291" i="4"/>
  <c r="BD2292" i="4"/>
  <c r="BD2293" i="4"/>
  <c r="BD2294" i="4"/>
  <c r="BD2295" i="4"/>
  <c r="BD2296" i="4"/>
  <c r="BD2297" i="4"/>
  <c r="BD2298" i="4"/>
  <c r="BD2299" i="4"/>
  <c r="BD2300" i="4"/>
  <c r="BD2301" i="4"/>
  <c r="BD2302" i="4"/>
  <c r="BD2303" i="4"/>
  <c r="BD2304" i="4"/>
  <c r="BD2305" i="4"/>
  <c r="BD2306" i="4"/>
  <c r="BD2307" i="4"/>
  <c r="BD2308" i="4"/>
  <c r="BD2309" i="4"/>
  <c r="BD2310" i="4"/>
  <c r="BD2311" i="4"/>
  <c r="BD2312" i="4"/>
  <c r="BD2313" i="4"/>
  <c r="BD2314" i="4"/>
  <c r="BD2315" i="4"/>
  <c r="BD2316" i="4"/>
  <c r="BD2317" i="4"/>
  <c r="BD2318" i="4"/>
  <c r="BD2319" i="4"/>
  <c r="BD2320" i="4"/>
  <c r="BD2321" i="4"/>
  <c r="BD2322" i="4"/>
  <c r="BD2323" i="4"/>
  <c r="BD2324" i="4"/>
  <c r="BD2325" i="4"/>
  <c r="BD2326" i="4"/>
  <c r="BD2327" i="4"/>
  <c r="BD2328" i="4"/>
  <c r="BD2329" i="4"/>
  <c r="BD2330" i="4"/>
  <c r="BD2331" i="4"/>
  <c r="BD2332" i="4"/>
  <c r="BD2333" i="4"/>
  <c r="BD2334" i="4"/>
  <c r="BD2335" i="4"/>
  <c r="BD2336" i="4"/>
  <c r="BD2337" i="4"/>
  <c r="BD2338" i="4"/>
  <c r="BD2339" i="4"/>
  <c r="BD2340" i="4"/>
  <c r="BD2341" i="4"/>
  <c r="BD2342" i="4"/>
  <c r="BD2343" i="4"/>
  <c r="BD2344" i="4"/>
  <c r="BD2345" i="4"/>
  <c r="BD2346" i="4"/>
  <c r="BD2347" i="4"/>
  <c r="BD2348" i="4"/>
  <c r="BD2349" i="4"/>
  <c r="BD2350" i="4"/>
  <c r="BD2351" i="4"/>
  <c r="BD2352" i="4"/>
  <c r="BD2353" i="4"/>
  <c r="BD2354" i="4"/>
  <c r="BD2355" i="4"/>
  <c r="BD2356" i="4"/>
  <c r="BD2357" i="4"/>
  <c r="BD2358" i="4"/>
  <c r="BD2359" i="4"/>
  <c r="BD2360" i="4"/>
  <c r="BD2361" i="4"/>
  <c r="BD2362" i="4"/>
  <c r="BD2363" i="4"/>
  <c r="BD2364" i="4"/>
  <c r="BD2365" i="4"/>
  <c r="BD2366" i="4"/>
  <c r="BD2367" i="4"/>
  <c r="BD2368" i="4"/>
  <c r="BD2369" i="4"/>
  <c r="BD2370" i="4"/>
  <c r="BD2371" i="4"/>
  <c r="BD2372" i="4"/>
  <c r="BD2373" i="4"/>
  <c r="BD2374" i="4"/>
  <c r="BD2375" i="4"/>
  <c r="BD2376" i="4"/>
  <c r="BD2377" i="4"/>
  <c r="BD2378" i="4"/>
  <c r="BD2379" i="4"/>
  <c r="BD2380" i="4"/>
  <c r="BD2381" i="4"/>
  <c r="BD2382" i="4"/>
  <c r="BD2383" i="4"/>
  <c r="BD2384" i="4"/>
  <c r="BD2385" i="4"/>
  <c r="BD2386" i="4"/>
  <c r="BD2387" i="4"/>
  <c r="BD2388" i="4"/>
  <c r="BD2389" i="4"/>
  <c r="BD2390" i="4"/>
  <c r="BD2391" i="4"/>
  <c r="BD2392" i="4"/>
  <c r="BD2393" i="4"/>
  <c r="BD2394" i="4"/>
  <c r="BD2395" i="4"/>
  <c r="BD2396" i="4"/>
  <c r="BD2397" i="4"/>
  <c r="BD2398" i="4"/>
  <c r="BD2399" i="4"/>
  <c r="BD2400" i="4"/>
  <c r="BD2401" i="4"/>
  <c r="BD2402" i="4"/>
  <c r="BD2403" i="4"/>
  <c r="BD2404" i="4"/>
  <c r="BD2405" i="4"/>
  <c r="BD2406" i="4"/>
  <c r="BD2407" i="4"/>
  <c r="BD2408" i="4"/>
  <c r="BD2409" i="4"/>
  <c r="BD2410" i="4"/>
  <c r="BD2411" i="4"/>
  <c r="BD2412" i="4"/>
  <c r="BD2413" i="4"/>
  <c r="BD2414" i="4"/>
  <c r="BD2415" i="4"/>
  <c r="BD2416" i="4"/>
  <c r="BD2417" i="4"/>
  <c r="BD2418" i="4"/>
  <c r="BD2419" i="4"/>
  <c r="BD2420" i="4"/>
  <c r="BD2421" i="4"/>
  <c r="BD2422" i="4"/>
  <c r="BD2423" i="4"/>
  <c r="BD2424" i="4"/>
  <c r="BD2425" i="4"/>
  <c r="BD2426" i="4"/>
  <c r="BD2427" i="4"/>
  <c r="BD2428" i="4"/>
  <c r="BD2429" i="4"/>
  <c r="BD2430" i="4"/>
  <c r="BD2431" i="4"/>
  <c r="BD2432" i="4"/>
  <c r="BD2433" i="4"/>
  <c r="BD2434" i="4"/>
  <c r="BD2435" i="4"/>
  <c r="BD2436" i="4"/>
  <c r="BD2437" i="4"/>
  <c r="BD2438" i="4"/>
  <c r="BD2439" i="4"/>
  <c r="BD2440" i="4"/>
  <c r="BD2441" i="4"/>
  <c r="BD2442" i="4"/>
  <c r="BD2443" i="4"/>
  <c r="BD2444" i="4"/>
  <c r="BD2445" i="4"/>
  <c r="BD2446" i="4"/>
  <c r="BD2447" i="4"/>
  <c r="BD2448" i="4"/>
  <c r="BD2449" i="4"/>
  <c r="BD2450" i="4"/>
  <c r="BD2451" i="4"/>
  <c r="BD2452" i="4"/>
  <c r="BD2453" i="4"/>
  <c r="BD2454" i="4"/>
  <c r="BD2455" i="4"/>
  <c r="BD2456" i="4"/>
  <c r="BD2457" i="4"/>
  <c r="BD2458" i="4"/>
  <c r="BD2459" i="4"/>
  <c r="BD2460" i="4"/>
  <c r="BD2461" i="4"/>
  <c r="BD2462" i="4"/>
  <c r="BD2463" i="4"/>
  <c r="BD2464" i="4"/>
  <c r="BD2465" i="4"/>
  <c r="BD2466" i="4"/>
  <c r="BD2467" i="4"/>
  <c r="BD2468" i="4"/>
  <c r="BD2469" i="4"/>
  <c r="BD2470" i="4"/>
  <c r="BD2471" i="4"/>
  <c r="BD2472" i="4"/>
  <c r="BD2473" i="4"/>
  <c r="BD2474" i="4"/>
  <c r="BD2475" i="4"/>
  <c r="BD2476" i="4"/>
  <c r="BD2477" i="4"/>
  <c r="BD2478" i="4"/>
  <c r="BD2479" i="4"/>
  <c r="BD2480" i="4"/>
  <c r="BD2481" i="4"/>
  <c r="BD2482" i="4"/>
  <c r="BD2483" i="4"/>
  <c r="BD2484" i="4"/>
  <c r="BD2485" i="4"/>
  <c r="BD2486" i="4"/>
  <c r="BD2487" i="4"/>
  <c r="BD2488" i="4"/>
  <c r="BD2489" i="4"/>
  <c r="BD2490" i="4"/>
  <c r="BD2491" i="4"/>
  <c r="BD2492" i="4"/>
  <c r="BD2493" i="4"/>
  <c r="BD2494" i="4"/>
  <c r="BD2495" i="4"/>
  <c r="BD2496" i="4"/>
  <c r="BD2497" i="4"/>
  <c r="BD2498" i="4"/>
  <c r="BD2499" i="4"/>
  <c r="BD2500" i="4"/>
  <c r="BD2501" i="4"/>
  <c r="BD2502" i="4"/>
  <c r="BD2503" i="4"/>
  <c r="BD2504" i="4"/>
  <c r="BD2505" i="4"/>
  <c r="BD2506" i="4"/>
  <c r="BD2507" i="4"/>
  <c r="BD2508" i="4"/>
  <c r="BD2509" i="4"/>
  <c r="BD2510" i="4"/>
  <c r="BD2511" i="4"/>
  <c r="BD2512" i="4"/>
  <c r="BD2513" i="4"/>
  <c r="BD2514" i="4"/>
  <c r="BD2515" i="4"/>
  <c r="BD2516" i="4"/>
  <c r="BD2517" i="4"/>
  <c r="BD2518" i="4"/>
  <c r="BD2519" i="4"/>
  <c r="BD2520" i="4"/>
  <c r="BD2521" i="4"/>
  <c r="BD2522" i="4"/>
  <c r="BD2523" i="4"/>
  <c r="BD2524" i="4"/>
  <c r="BD2525" i="4"/>
  <c r="BD2526" i="4"/>
  <c r="BD2527" i="4"/>
  <c r="BD2528" i="4"/>
  <c r="BD2529" i="4"/>
  <c r="BD2530" i="4"/>
  <c r="BD2531" i="4"/>
  <c r="BD2532" i="4"/>
  <c r="BD2533" i="4"/>
  <c r="BD2534" i="4"/>
  <c r="BD2535" i="4"/>
  <c r="BD2536" i="4"/>
  <c r="BD2537" i="4"/>
  <c r="BD2538" i="4"/>
  <c r="BD2539" i="4"/>
  <c r="BD2540" i="4"/>
  <c r="BD2541" i="4"/>
  <c r="BD2542" i="4"/>
  <c r="BD2543" i="4"/>
  <c r="BD2544" i="4"/>
  <c r="BD2545" i="4"/>
  <c r="BD2546" i="4"/>
  <c r="BD2547" i="4"/>
  <c r="BD2548" i="4"/>
  <c r="BD2549" i="4"/>
  <c r="BD2550" i="4"/>
  <c r="BD2551" i="4"/>
  <c r="BD2552" i="4"/>
  <c r="BD2553" i="4"/>
  <c r="BD2554" i="4"/>
  <c r="BD2555" i="4"/>
  <c r="BD2556" i="4"/>
  <c r="BD2557" i="4"/>
  <c r="BD2558" i="4"/>
  <c r="BD2559" i="4"/>
  <c r="BD2560" i="4"/>
  <c r="BD2561" i="4"/>
  <c r="BD2562" i="4"/>
  <c r="BD2563" i="4"/>
  <c r="BD2564" i="4"/>
  <c r="BD2565" i="4"/>
  <c r="BD2566" i="4"/>
  <c r="BD2567" i="4"/>
  <c r="BD2568" i="4"/>
  <c r="BD2569" i="4"/>
  <c r="BD2570" i="4"/>
  <c r="BD2571" i="4"/>
  <c r="BD2572" i="4"/>
  <c r="BD2573" i="4"/>
  <c r="BD2574" i="4"/>
  <c r="BD2575" i="4"/>
  <c r="BD2576" i="4"/>
  <c r="BD2577" i="4"/>
  <c r="BD2578" i="4"/>
  <c r="BD2579" i="4"/>
  <c r="BD2580" i="4"/>
  <c r="BD2581" i="4"/>
  <c r="BD2582" i="4"/>
  <c r="BD2583" i="4"/>
  <c r="BD2584" i="4"/>
  <c r="BD2585" i="4"/>
  <c r="BD2586" i="4"/>
  <c r="BD2587" i="4"/>
  <c r="BD2588" i="4"/>
  <c r="BD2589" i="4"/>
  <c r="BD2590" i="4"/>
  <c r="BD2591" i="4"/>
  <c r="BD2592" i="4"/>
  <c r="BD2593" i="4"/>
  <c r="BD2594" i="4"/>
  <c r="BD2595" i="4"/>
  <c r="BD2596" i="4"/>
  <c r="BD2597" i="4"/>
  <c r="BD2598" i="4"/>
  <c r="BD2599" i="4"/>
  <c r="BD2600" i="4"/>
  <c r="BD2601" i="4"/>
  <c r="BD2602" i="4"/>
  <c r="BD2603" i="4"/>
  <c r="BD2604" i="4"/>
  <c r="BD2605" i="4"/>
  <c r="BD2606" i="4"/>
  <c r="BD2607" i="4"/>
  <c r="BD2608" i="4"/>
  <c r="BD2609" i="4"/>
  <c r="BD2610" i="4"/>
  <c r="BD2611" i="4"/>
  <c r="BD2612" i="4"/>
  <c r="BD2613" i="4"/>
  <c r="BD2614" i="4"/>
  <c r="BD2615" i="4"/>
  <c r="BD2616" i="4"/>
  <c r="BD2617" i="4"/>
  <c r="BD2618" i="4"/>
  <c r="BD2619" i="4"/>
  <c r="BD2620" i="4"/>
  <c r="BD2621" i="4"/>
  <c r="BD2622" i="4"/>
  <c r="BD2623" i="4"/>
  <c r="BD2624" i="4"/>
  <c r="BD2625" i="4"/>
  <c r="BD2626" i="4"/>
  <c r="BD2627" i="4"/>
  <c r="BD2628" i="4"/>
  <c r="BD2629" i="4"/>
  <c r="BD2630" i="4"/>
  <c r="BD2631" i="4"/>
  <c r="BD2632" i="4"/>
  <c r="BD2633" i="4"/>
  <c r="BD2634" i="4"/>
  <c r="BD2635" i="4"/>
  <c r="BD2636" i="4"/>
  <c r="BD2637" i="4"/>
  <c r="BD2638" i="4"/>
  <c r="BD2639" i="4"/>
  <c r="BD2640" i="4"/>
  <c r="BD2641" i="4"/>
  <c r="BD2642" i="4"/>
  <c r="BD2643" i="4"/>
  <c r="BD2644" i="4"/>
  <c r="BD2645" i="4"/>
  <c r="BD2646" i="4"/>
  <c r="BD2647" i="4"/>
  <c r="BD2648" i="4"/>
  <c r="BD2649" i="4"/>
  <c r="BD2650" i="4"/>
  <c r="BD2651" i="4"/>
  <c r="BD2652" i="4"/>
  <c r="BD2653" i="4"/>
  <c r="BD2654" i="4"/>
  <c r="BD2655" i="4"/>
  <c r="BD2656" i="4"/>
  <c r="BD2657" i="4"/>
  <c r="BD2658" i="4"/>
  <c r="BD2659" i="4"/>
  <c r="BD2660" i="4"/>
  <c r="BD2661" i="4"/>
  <c r="BD2662" i="4"/>
  <c r="BD2663" i="4"/>
  <c r="BD2664" i="4"/>
  <c r="BD2665" i="4"/>
  <c r="BD2666" i="4"/>
  <c r="BD2667" i="4"/>
  <c r="BD2668" i="4"/>
  <c r="BD2669" i="4"/>
  <c r="BD2670" i="4"/>
  <c r="BD2671" i="4"/>
  <c r="BD2672" i="4"/>
  <c r="BD2673" i="4"/>
  <c r="BD2674" i="4"/>
  <c r="BD2675" i="4"/>
  <c r="BD2676" i="4"/>
  <c r="BD2677" i="4"/>
  <c r="BD2678" i="4"/>
  <c r="BD2679" i="4"/>
  <c r="BD2680" i="4"/>
  <c r="BD2681" i="4"/>
  <c r="BD2682" i="4"/>
  <c r="BD2683" i="4"/>
  <c r="BD2684" i="4"/>
  <c r="BD2685" i="4"/>
  <c r="BD2686" i="4"/>
  <c r="BD2687" i="4"/>
  <c r="BD2688" i="4"/>
  <c r="BD2689" i="4"/>
  <c r="BD2690" i="4"/>
  <c r="BD2691" i="4"/>
  <c r="BD2692" i="4"/>
  <c r="BD2693" i="4"/>
  <c r="BD2694" i="4"/>
  <c r="BD2695" i="4"/>
  <c r="BD2696" i="4"/>
  <c r="BD2697" i="4"/>
  <c r="BD2698" i="4"/>
  <c r="BD2699" i="4"/>
  <c r="BD2700" i="4"/>
  <c r="BD2701" i="4"/>
  <c r="BD2702" i="4"/>
  <c r="BD2703" i="4"/>
  <c r="BD2704" i="4"/>
  <c r="BD2705" i="4"/>
  <c r="BD2706" i="4"/>
  <c r="BD2707" i="4"/>
  <c r="BD2708" i="4"/>
  <c r="BD2709" i="4"/>
  <c r="BD2710" i="4"/>
  <c r="BD2711" i="4"/>
  <c r="BD2712" i="4"/>
  <c r="BD2713" i="4"/>
  <c r="BD2714" i="4"/>
  <c r="BD2715" i="4"/>
  <c r="BD2716" i="4"/>
  <c r="BD2717" i="4"/>
  <c r="BD2718" i="4"/>
  <c r="BD2719" i="4"/>
  <c r="BD2720" i="4"/>
  <c r="BD2721" i="4"/>
  <c r="BD2722" i="4"/>
  <c r="BD2723" i="4"/>
  <c r="BD2724" i="4"/>
  <c r="BD2725" i="4"/>
  <c r="BD2726" i="4"/>
  <c r="BD2727" i="4"/>
  <c r="BD2728" i="4"/>
  <c r="BD2729" i="4"/>
  <c r="BD2730" i="4"/>
  <c r="BD2731" i="4"/>
  <c r="BD2732" i="4"/>
  <c r="BD2733" i="4"/>
  <c r="BD2734" i="4"/>
  <c r="BD2735" i="4"/>
  <c r="BD2736" i="4"/>
  <c r="BD2737" i="4"/>
  <c r="BD2738" i="4"/>
  <c r="BD2739" i="4"/>
  <c r="BD2740" i="4"/>
  <c r="BD2741" i="4"/>
  <c r="BD2742" i="4"/>
  <c r="BD2743" i="4"/>
  <c r="BD2744" i="4"/>
  <c r="BD2745" i="4"/>
  <c r="BD2746" i="4"/>
  <c r="BD2747" i="4"/>
  <c r="BD2748" i="4"/>
  <c r="BD2749" i="4"/>
  <c r="BD2750" i="4"/>
  <c r="BD2751" i="4"/>
  <c r="BD2752" i="4"/>
  <c r="BD2753" i="4"/>
  <c r="BD2754" i="4"/>
  <c r="BD2755" i="4"/>
  <c r="BD2756" i="4"/>
  <c r="BD2757" i="4"/>
  <c r="BD2758" i="4"/>
  <c r="BD2759" i="4"/>
  <c r="BD2760" i="4"/>
  <c r="BD2761" i="4"/>
  <c r="BD2762" i="4"/>
  <c r="BD2763" i="4"/>
  <c r="BD2764" i="4"/>
  <c r="BD2765" i="4"/>
  <c r="BD2766" i="4"/>
  <c r="BD2767" i="4"/>
  <c r="BD2768" i="4"/>
  <c r="BD2769" i="4"/>
  <c r="BD2770" i="4"/>
  <c r="BD2771" i="4"/>
  <c r="BD2772" i="4"/>
  <c r="BD2773" i="4"/>
  <c r="BD2774" i="4"/>
  <c r="BD2775" i="4"/>
  <c r="BD2776" i="4"/>
  <c r="BD2777" i="4"/>
  <c r="BD2778" i="4"/>
  <c r="BD2779" i="4"/>
  <c r="BD2780" i="4"/>
  <c r="BD2781" i="4"/>
  <c r="BD2782" i="4"/>
  <c r="BD2783" i="4"/>
  <c r="BD2784" i="4"/>
  <c r="BD2785" i="4"/>
  <c r="BD2786" i="4"/>
  <c r="BD2787" i="4"/>
  <c r="BD2788" i="4"/>
  <c r="BD2789" i="4"/>
  <c r="BD2790" i="4"/>
  <c r="BD2791" i="4"/>
  <c r="BD2792" i="4"/>
  <c r="BD2793" i="4"/>
  <c r="BD2794" i="4"/>
  <c r="BD2795" i="4"/>
  <c r="BD2796" i="4"/>
  <c r="BD2797" i="4"/>
  <c r="BD2798" i="4"/>
  <c r="BD2799" i="4"/>
  <c r="BD2800" i="4"/>
  <c r="BD2801" i="4"/>
  <c r="BD2802" i="4"/>
  <c r="BD2803" i="4"/>
  <c r="BD2804" i="4"/>
  <c r="BD2805" i="4"/>
  <c r="BD2806" i="4"/>
  <c r="BD2807" i="4"/>
  <c r="BD2808" i="4"/>
  <c r="BD2809" i="4"/>
  <c r="BD2810" i="4"/>
  <c r="BD2811" i="4"/>
  <c r="BD2812" i="4"/>
  <c r="BD2813" i="4"/>
  <c r="BD2814" i="4"/>
  <c r="BD2815" i="4"/>
  <c r="BD2816" i="4"/>
  <c r="BD2817" i="4"/>
  <c r="BD2818" i="4"/>
  <c r="BD2819" i="4"/>
  <c r="BD2820" i="4"/>
  <c r="BD2821" i="4"/>
  <c r="BD2822" i="4"/>
  <c r="BD2823" i="4"/>
  <c r="BD2824" i="4"/>
  <c r="BD2825" i="4"/>
  <c r="BD2826" i="4"/>
  <c r="BD2827" i="4"/>
  <c r="BD2828" i="4"/>
  <c r="BD2829" i="4"/>
  <c r="BD2830" i="4"/>
  <c r="BD2831" i="4"/>
  <c r="BD2832" i="4"/>
  <c r="BD2833" i="4"/>
  <c r="BD2834" i="4"/>
  <c r="BD2835" i="4"/>
  <c r="BD2836" i="4"/>
  <c r="BD2837" i="4"/>
  <c r="BD2838" i="4"/>
  <c r="BD2839" i="4"/>
  <c r="BD2840" i="4"/>
  <c r="BD2841" i="4"/>
  <c r="BD2842" i="4"/>
  <c r="BD2843" i="4"/>
  <c r="BD2844" i="4"/>
  <c r="BD2845" i="4"/>
  <c r="BD2846" i="4"/>
  <c r="BD2847" i="4"/>
  <c r="BD2848" i="4"/>
  <c r="BD2849" i="4"/>
  <c r="BD2850" i="4"/>
  <c r="BD2851" i="4"/>
  <c r="BD2852" i="4"/>
  <c r="BD2853" i="4"/>
  <c r="BD2854" i="4"/>
  <c r="BD2855" i="4"/>
  <c r="BD2856" i="4"/>
  <c r="BD2857" i="4"/>
  <c r="BD2858" i="4"/>
  <c r="BD2859" i="4"/>
  <c r="BD2860" i="4"/>
  <c r="BD2861" i="4"/>
  <c r="BD2862" i="4"/>
  <c r="BD2863" i="4"/>
  <c r="BD2864" i="4"/>
  <c r="BD2865" i="4"/>
  <c r="BD2866" i="4"/>
  <c r="BD2867" i="4"/>
  <c r="BD2868" i="4"/>
  <c r="BD2869" i="4"/>
  <c r="BD2870" i="4"/>
  <c r="BD2871" i="4"/>
  <c r="BD2872" i="4"/>
  <c r="BD2873" i="4"/>
  <c r="BD2874" i="4"/>
  <c r="BD2875" i="4"/>
  <c r="BD2876" i="4"/>
  <c r="BD2877" i="4"/>
  <c r="BD2878" i="4"/>
  <c r="BD2879" i="4"/>
  <c r="BD2880" i="4"/>
  <c r="BD2881" i="4"/>
  <c r="BD2882" i="4"/>
  <c r="BD2883" i="4"/>
  <c r="BD2884" i="4"/>
  <c r="BD2885" i="4"/>
  <c r="BD2886" i="4"/>
  <c r="BD2887" i="4"/>
  <c r="BD2888" i="4"/>
  <c r="BD2889" i="4"/>
  <c r="BD2890" i="4"/>
  <c r="BD2891" i="4"/>
  <c r="BD2892" i="4"/>
  <c r="BD2893" i="4"/>
  <c r="BD2894" i="4"/>
  <c r="BD2895" i="4"/>
  <c r="BD2896" i="4"/>
  <c r="BD2897" i="4"/>
  <c r="BD2898" i="4"/>
  <c r="BD2899" i="4"/>
  <c r="BD2900" i="4"/>
  <c r="BD2901" i="4"/>
  <c r="BD2902" i="4"/>
  <c r="BD2903" i="4"/>
  <c r="BD2904" i="4"/>
  <c r="BD2905" i="4"/>
  <c r="BD2906" i="4"/>
  <c r="BD2907" i="4"/>
  <c r="BD2908" i="4"/>
  <c r="BD2909" i="4"/>
  <c r="BD2910" i="4"/>
  <c r="BD2911" i="4"/>
  <c r="BD2912" i="4"/>
  <c r="BD2913" i="4"/>
  <c r="BD2914" i="4"/>
  <c r="BD2915" i="4"/>
  <c r="BD2916" i="4"/>
  <c r="BD2917" i="4"/>
  <c r="BD2918" i="4"/>
  <c r="BD2919" i="4"/>
  <c r="BD2920" i="4"/>
  <c r="BD2921" i="4"/>
  <c r="BD2922" i="4"/>
  <c r="BD2923" i="4"/>
  <c r="BD2924" i="4"/>
  <c r="BD2925" i="4"/>
  <c r="BD2926" i="4"/>
  <c r="BD2927" i="4"/>
  <c r="BD2928" i="4"/>
  <c r="BD2929" i="4"/>
  <c r="BD2930" i="4"/>
  <c r="BD2931" i="4"/>
  <c r="BD2932" i="4"/>
  <c r="BD2933" i="4"/>
  <c r="BD2934" i="4"/>
  <c r="BD2935" i="4"/>
  <c r="BD2936" i="4"/>
  <c r="BD2937" i="4"/>
  <c r="BD2938" i="4"/>
  <c r="BD2939" i="4"/>
  <c r="BD2940" i="4"/>
  <c r="BD2941" i="4"/>
  <c r="BD2942" i="4"/>
  <c r="BD2943" i="4"/>
  <c r="BD2944" i="4"/>
  <c r="BD2945" i="4"/>
  <c r="BD2946" i="4"/>
  <c r="BD2947" i="4"/>
  <c r="BD2948" i="4"/>
  <c r="BD2949" i="4"/>
  <c r="BD2950" i="4"/>
  <c r="BD2951" i="4"/>
  <c r="BD2952" i="4"/>
  <c r="BD2953" i="4"/>
  <c r="BD2954" i="4"/>
  <c r="BD2955" i="4"/>
  <c r="BD2956" i="4"/>
  <c r="BD2957" i="4"/>
  <c r="BD2958" i="4"/>
  <c r="BD2959" i="4"/>
  <c r="BD2960" i="4"/>
  <c r="BD2961" i="4"/>
  <c r="BD2962" i="4"/>
  <c r="BD2963" i="4"/>
  <c r="BD2964" i="4"/>
  <c r="BD2965" i="4"/>
  <c r="BD2966" i="4"/>
  <c r="BD2967" i="4"/>
  <c r="BD2968" i="4"/>
  <c r="BD2969" i="4"/>
  <c r="BD2970" i="4"/>
  <c r="BD2971" i="4"/>
  <c r="BD2972" i="4"/>
  <c r="BD2973" i="4"/>
  <c r="BD2974" i="4"/>
  <c r="BD2975" i="4"/>
  <c r="BD2976" i="4"/>
  <c r="BD2977" i="4"/>
  <c r="BD2978" i="4"/>
  <c r="BD2979" i="4"/>
  <c r="BD2980" i="4"/>
  <c r="BD2981" i="4"/>
  <c r="BD2982" i="4"/>
  <c r="BD2983" i="4"/>
  <c r="BD2984" i="4"/>
  <c r="BD2985" i="4"/>
  <c r="BD2986" i="4"/>
  <c r="BD2987" i="4"/>
  <c r="BD2988" i="4"/>
  <c r="BD2989" i="4"/>
  <c r="BD2990" i="4"/>
  <c r="BD2991" i="4"/>
  <c r="BD2992" i="4"/>
  <c r="BD2993" i="4"/>
  <c r="BD2994" i="4"/>
  <c r="BD2995" i="4"/>
  <c r="BD2996" i="4"/>
  <c r="BD2997" i="4"/>
  <c r="BD2998" i="4"/>
  <c r="BD2999" i="4"/>
  <c r="BD3000" i="4"/>
  <c r="BD3001" i="4"/>
  <c r="BD3002" i="4"/>
  <c r="BD3003" i="4"/>
  <c r="BD3004" i="4"/>
  <c r="BD3005" i="4"/>
  <c r="BD3006" i="4"/>
  <c r="BD3007" i="4"/>
  <c r="BD3008" i="4"/>
  <c r="BD3009" i="4"/>
  <c r="BD3010" i="4"/>
  <c r="BD3011" i="4"/>
  <c r="BD3012" i="4"/>
  <c r="BD3013" i="4"/>
  <c r="BD3014" i="4"/>
  <c r="BD3015" i="4"/>
  <c r="BD3016" i="4"/>
  <c r="BD3017" i="4"/>
  <c r="BD3018" i="4"/>
  <c r="BD3019" i="4"/>
  <c r="BD3020" i="4"/>
  <c r="BD3021" i="4"/>
  <c r="BD3022" i="4"/>
  <c r="BD3023" i="4"/>
  <c r="BD3024" i="4"/>
  <c r="BD3025" i="4"/>
  <c r="BD3026" i="4"/>
  <c r="BD3027" i="4"/>
  <c r="BD3028" i="4"/>
  <c r="BD3029" i="4"/>
  <c r="BD3030" i="4"/>
  <c r="BD3031" i="4"/>
  <c r="BD3032" i="4"/>
  <c r="BD3033" i="4"/>
  <c r="BD3034" i="4"/>
  <c r="BD3035" i="4"/>
  <c r="BD3036" i="4"/>
  <c r="BD3037" i="4"/>
  <c r="BD3038" i="4"/>
  <c r="BD3039" i="4"/>
  <c r="BD3040" i="4"/>
  <c r="BD3041" i="4"/>
  <c r="BD3042" i="4"/>
  <c r="BD3043" i="4"/>
  <c r="BD3044" i="4"/>
  <c r="BD3045" i="4"/>
  <c r="BD3046" i="4"/>
  <c r="BD3047" i="4"/>
  <c r="BD3048" i="4"/>
  <c r="BD3049" i="4"/>
  <c r="BD3050" i="4"/>
  <c r="BD3051" i="4"/>
  <c r="BD3052" i="4"/>
  <c r="BD3053" i="4"/>
  <c r="BD3054" i="4"/>
  <c r="BD3055" i="4"/>
  <c r="BD3056" i="4"/>
  <c r="BD3057" i="4"/>
  <c r="BD3058" i="4"/>
  <c r="BD3059" i="4"/>
  <c r="BD3060" i="4"/>
  <c r="BD3061" i="4"/>
  <c r="BD3062" i="4"/>
  <c r="BD3063" i="4"/>
  <c r="BD3064" i="4"/>
  <c r="BD3065" i="4"/>
  <c r="BD3066" i="4"/>
  <c r="BD3067" i="4"/>
  <c r="BD3068" i="4"/>
  <c r="BD3069" i="4"/>
  <c r="BD3070" i="4"/>
  <c r="BD3071" i="4"/>
  <c r="BD3072" i="4"/>
  <c r="BD3073" i="4"/>
  <c r="BD3074" i="4"/>
  <c r="BD3075" i="4"/>
  <c r="BD3076" i="4"/>
  <c r="BD3077" i="4"/>
  <c r="BD3078" i="4"/>
  <c r="BD3079" i="4"/>
  <c r="BD3080" i="4"/>
  <c r="BD3081" i="4"/>
  <c r="BD3082" i="4"/>
  <c r="BD3083" i="4"/>
  <c r="BD3084" i="4"/>
  <c r="BD3085" i="4"/>
  <c r="BD3086" i="4"/>
  <c r="BD3087" i="4"/>
  <c r="BD3088" i="4"/>
  <c r="BD3089" i="4"/>
  <c r="BD3090" i="4"/>
  <c r="BD3091" i="4"/>
  <c r="BD3092" i="4"/>
  <c r="BD3093" i="4"/>
  <c r="BD3094" i="4"/>
  <c r="BD3095" i="4"/>
  <c r="BD3096" i="4"/>
  <c r="BD3097" i="4"/>
  <c r="BD3098" i="4"/>
  <c r="BD3099" i="4"/>
  <c r="BD3100" i="4"/>
  <c r="BD3101" i="4"/>
  <c r="BD3102" i="4"/>
  <c r="BD3103" i="4"/>
  <c r="BD3104" i="4"/>
  <c r="BD3105" i="4"/>
  <c r="BD3106" i="4"/>
  <c r="BD3107" i="4"/>
  <c r="BD3108" i="4"/>
  <c r="BD3109" i="4"/>
  <c r="BD3110" i="4"/>
  <c r="BD3111" i="4"/>
  <c r="BD3112" i="4"/>
  <c r="BD3113" i="4"/>
  <c r="BD3114" i="4"/>
  <c r="BD3115" i="4"/>
  <c r="BD3116" i="4"/>
  <c r="BD3117" i="4"/>
  <c r="BD3118" i="4"/>
  <c r="BD3119" i="4"/>
  <c r="BD3120" i="4"/>
  <c r="BD3121" i="4"/>
  <c r="BD3122" i="4"/>
  <c r="BD3123" i="4"/>
  <c r="BD3124" i="4"/>
  <c r="BD3125" i="4"/>
  <c r="BD3126" i="4"/>
  <c r="BD3127" i="4"/>
  <c r="BD3128" i="4"/>
  <c r="BD3129" i="4"/>
  <c r="BD3130" i="4"/>
  <c r="BD3131" i="4"/>
  <c r="BD3132" i="4"/>
  <c r="BD3133" i="4"/>
  <c r="BD3134" i="4"/>
  <c r="BD3135" i="4"/>
  <c r="BD3136" i="4"/>
  <c r="BD3137" i="4"/>
  <c r="BD3138" i="4"/>
  <c r="BD3139" i="4"/>
  <c r="BD3140" i="4"/>
  <c r="BD3141" i="4"/>
  <c r="BD3142" i="4"/>
  <c r="BD3143" i="4"/>
  <c r="BD3144" i="4"/>
  <c r="BD3145" i="4"/>
  <c r="BD3146" i="4"/>
  <c r="BD3147" i="4"/>
  <c r="BD3148" i="4"/>
  <c r="BD3149" i="4"/>
  <c r="BD3150" i="4"/>
  <c r="BD3151" i="4"/>
  <c r="BD3152" i="4"/>
  <c r="BD3153" i="4"/>
  <c r="BD3154" i="4"/>
  <c r="BD3155" i="4"/>
  <c r="BD3156" i="4"/>
  <c r="BD3157" i="4"/>
  <c r="BD3158" i="4"/>
  <c r="BD3159" i="4"/>
  <c r="BD3160" i="4"/>
  <c r="BD3161" i="4"/>
  <c r="BD3162" i="4"/>
  <c r="BD3163" i="4"/>
  <c r="BD3164" i="4"/>
  <c r="BD3165" i="4"/>
  <c r="BD3166" i="4"/>
  <c r="BD3167" i="4"/>
  <c r="BD3168" i="4"/>
  <c r="BD3169" i="4"/>
  <c r="BD3170" i="4"/>
  <c r="BD3171" i="4"/>
  <c r="BD3172" i="4"/>
  <c r="BD3173" i="4"/>
  <c r="BD3174" i="4"/>
  <c r="BD3175" i="4"/>
  <c r="BD3176" i="4"/>
  <c r="BD3177" i="4"/>
  <c r="BD3178" i="4"/>
  <c r="BD3179" i="4"/>
  <c r="BD3180" i="4"/>
  <c r="BD3181" i="4"/>
  <c r="BD3182" i="4"/>
  <c r="BD3183" i="4"/>
  <c r="BD3184" i="4"/>
  <c r="BD3185" i="4"/>
  <c r="BD3186" i="4"/>
  <c r="BD3187" i="4"/>
  <c r="BD3188" i="4"/>
  <c r="BD3189" i="4"/>
  <c r="BD3190" i="4"/>
  <c r="BD3191" i="4"/>
  <c r="BD3192" i="4"/>
  <c r="BD3193" i="4"/>
  <c r="BD3194" i="4"/>
  <c r="BD3195" i="4"/>
  <c r="BD3196" i="4"/>
  <c r="BD3197" i="4"/>
  <c r="BD3198" i="4"/>
  <c r="BD3199" i="4"/>
  <c r="BD3200" i="4"/>
  <c r="BD3201" i="4"/>
  <c r="BD3202" i="4"/>
  <c r="BD3203" i="4"/>
  <c r="BD3204" i="4"/>
  <c r="BD3205" i="4"/>
  <c r="BD3206" i="4"/>
  <c r="BD3207" i="4"/>
  <c r="BD3208" i="4"/>
  <c r="BD3209" i="4"/>
  <c r="BD3210" i="4"/>
  <c r="BD3211" i="4"/>
  <c r="BD3212" i="4"/>
  <c r="BD3213" i="4"/>
  <c r="BD3214" i="4"/>
  <c r="BD3215" i="4"/>
  <c r="BD3216" i="4"/>
  <c r="BD3217" i="4"/>
  <c r="BD3218" i="4"/>
  <c r="BD3219" i="4"/>
  <c r="BD3220" i="4"/>
  <c r="BD3221" i="4"/>
  <c r="BD3222" i="4"/>
  <c r="BD3223" i="4"/>
  <c r="BD3224" i="4"/>
  <c r="BD3225" i="4"/>
  <c r="BD3226" i="4"/>
  <c r="BD3227" i="4"/>
  <c r="BD3228" i="4"/>
  <c r="BD3229" i="4"/>
  <c r="BD3230" i="4"/>
  <c r="BD3231" i="4"/>
  <c r="BD3232" i="4"/>
  <c r="BD3233" i="4"/>
  <c r="BD3234" i="4"/>
  <c r="BD3235" i="4"/>
  <c r="BD3236" i="4"/>
  <c r="BD3237" i="4"/>
  <c r="BD3238" i="4"/>
  <c r="BD3239" i="4"/>
  <c r="BD3240" i="4"/>
  <c r="BD3241" i="4"/>
  <c r="BD3242" i="4"/>
  <c r="BD3243" i="4"/>
  <c r="BD3244" i="4"/>
  <c r="BD3245" i="4"/>
  <c r="BD3246" i="4"/>
  <c r="BD3247" i="4"/>
  <c r="BD3248" i="4"/>
  <c r="BD3249" i="4"/>
  <c r="BD3250" i="4"/>
  <c r="BD3251" i="4"/>
  <c r="BD3252" i="4"/>
  <c r="BD3253" i="4"/>
  <c r="BD3254" i="4"/>
  <c r="BD3255" i="4"/>
  <c r="BD3256" i="4"/>
  <c r="BD3257" i="4"/>
  <c r="BD3258" i="4"/>
  <c r="BD3259" i="4"/>
  <c r="BD3260" i="4"/>
  <c r="BD3261" i="4"/>
  <c r="BD3262" i="4"/>
  <c r="BD3263" i="4"/>
  <c r="BD3264" i="4"/>
  <c r="BD3265" i="4"/>
  <c r="BD3266" i="4"/>
  <c r="BD3267" i="4"/>
  <c r="BD3268" i="4"/>
  <c r="BD3269" i="4"/>
  <c r="BD3270" i="4"/>
  <c r="BD3271" i="4"/>
  <c r="BD3272" i="4"/>
  <c r="BD3273" i="4"/>
  <c r="BD3274" i="4"/>
  <c r="BD3275" i="4"/>
  <c r="BD3276" i="4"/>
  <c r="BD3277" i="4"/>
  <c r="BD3278" i="4"/>
  <c r="BD3279" i="4"/>
  <c r="BD3280" i="4"/>
  <c r="BD3281" i="4"/>
  <c r="BD3282" i="4"/>
  <c r="BD3283" i="4"/>
  <c r="BD3284" i="4"/>
  <c r="BD3285" i="4"/>
  <c r="BD3286" i="4"/>
  <c r="BD3287" i="4"/>
  <c r="BD3288" i="4"/>
  <c r="BD3289" i="4"/>
  <c r="BD3290" i="4"/>
  <c r="BD3291" i="4"/>
  <c r="BD3292" i="4"/>
  <c r="BD3293" i="4"/>
  <c r="BD3294" i="4"/>
  <c r="BD3295" i="4"/>
  <c r="BD3296" i="4"/>
  <c r="BD3297" i="4"/>
  <c r="BD3298" i="4"/>
  <c r="BD3299" i="4"/>
  <c r="BD3300" i="4"/>
  <c r="BD3301" i="4"/>
  <c r="BD3302" i="4"/>
  <c r="BD3303" i="4"/>
  <c r="BD3304" i="4"/>
  <c r="BD3305" i="4"/>
  <c r="BD3306" i="4"/>
  <c r="BD3307" i="4"/>
  <c r="BD3308" i="4"/>
  <c r="BD3309" i="4"/>
  <c r="BD3310" i="4"/>
  <c r="BD3311" i="4"/>
  <c r="BD3312" i="4"/>
  <c r="BD3313" i="4"/>
  <c r="BD3314" i="4"/>
  <c r="BD3315" i="4"/>
  <c r="BD3316" i="4"/>
  <c r="BD3317" i="4"/>
  <c r="BD3318" i="4"/>
  <c r="BD3319" i="4"/>
  <c r="BD3320" i="4"/>
  <c r="BD3321" i="4"/>
  <c r="BD3322" i="4"/>
  <c r="BD3323" i="4"/>
  <c r="BD3324" i="4"/>
  <c r="BD3325" i="4"/>
  <c r="BD3326" i="4"/>
  <c r="BD3327" i="4"/>
  <c r="BD3328" i="4"/>
  <c r="BD3329" i="4"/>
  <c r="BD3330" i="4"/>
  <c r="BD3331" i="4"/>
  <c r="BD3332" i="4"/>
  <c r="BD3333" i="4"/>
  <c r="BD3334" i="4"/>
  <c r="BD3335" i="4"/>
  <c r="BD3336" i="4"/>
  <c r="BD3337" i="4"/>
  <c r="BD3338" i="4"/>
  <c r="BD3339" i="4"/>
  <c r="BD3340" i="4"/>
  <c r="BD3341" i="4"/>
  <c r="BD3342" i="4"/>
  <c r="BD3343" i="4"/>
  <c r="BD3344" i="4"/>
  <c r="BD3345" i="4"/>
  <c r="BD3346" i="4"/>
  <c r="BD3347" i="4"/>
  <c r="BD3348" i="4"/>
  <c r="BD3349" i="4"/>
  <c r="BD3350" i="4"/>
  <c r="BD3351" i="4"/>
  <c r="BD3352" i="4"/>
  <c r="BD3353" i="4"/>
  <c r="BD3354" i="4"/>
  <c r="BD3355" i="4"/>
  <c r="BD3356" i="4"/>
  <c r="BD3357" i="4"/>
  <c r="BD3358" i="4"/>
  <c r="BD3359" i="4"/>
  <c r="BD3360" i="4"/>
  <c r="BD3361" i="4"/>
  <c r="BD3362" i="4"/>
  <c r="BD3363" i="4"/>
  <c r="BD3364" i="4"/>
  <c r="BD3365" i="4"/>
  <c r="BD3366" i="4"/>
  <c r="BD3367" i="4"/>
  <c r="BD3368" i="4"/>
  <c r="BD3369" i="4"/>
  <c r="BD3370" i="4"/>
  <c r="BD3371" i="4"/>
  <c r="BD3372" i="4"/>
  <c r="BD3373" i="4"/>
  <c r="BD3374" i="4"/>
  <c r="BD3375" i="4"/>
  <c r="BD3376" i="4"/>
  <c r="BD3377" i="4"/>
  <c r="BD3378" i="4"/>
  <c r="BD3379" i="4"/>
  <c r="BD3380" i="4"/>
  <c r="BD3381" i="4"/>
  <c r="BD3382" i="4"/>
  <c r="BD3383" i="4"/>
  <c r="BD3384" i="4"/>
  <c r="BD3385" i="4"/>
  <c r="BD3386" i="4"/>
  <c r="BD3387" i="4"/>
  <c r="BD3388" i="4"/>
  <c r="BD3389" i="4"/>
  <c r="BD3390" i="4"/>
  <c r="BD3391" i="4"/>
  <c r="BD3392" i="4"/>
  <c r="BD3393" i="4"/>
  <c r="BD3394" i="4"/>
  <c r="BD3395" i="4"/>
  <c r="BD3396" i="4"/>
  <c r="BD3397" i="4"/>
  <c r="BD3398" i="4"/>
  <c r="BD3399" i="4"/>
  <c r="BD3400" i="4"/>
  <c r="BD3401" i="4"/>
  <c r="BD3402" i="4"/>
  <c r="BD3403" i="4"/>
  <c r="BD3404" i="4"/>
  <c r="BD3405" i="4"/>
  <c r="BD3406" i="4"/>
  <c r="BD3407" i="4"/>
  <c r="BD3408" i="4"/>
  <c r="BD3409" i="4"/>
  <c r="BD3410" i="4"/>
  <c r="BD3411" i="4"/>
  <c r="BD3412" i="4"/>
  <c r="BD3413" i="4"/>
  <c r="BD3414" i="4"/>
  <c r="BD3415" i="4"/>
  <c r="BD3416" i="4"/>
  <c r="BD3417" i="4"/>
  <c r="BD3418" i="4"/>
  <c r="BD3419" i="4"/>
  <c r="BD3420" i="4"/>
  <c r="BD3421" i="4"/>
  <c r="BD3422" i="4"/>
  <c r="BD3423" i="4"/>
  <c r="BD3424" i="4"/>
  <c r="BD3425" i="4"/>
  <c r="BD3426" i="4"/>
  <c r="BD3427" i="4"/>
  <c r="BD3428" i="4"/>
  <c r="BD3429" i="4"/>
  <c r="BD3430" i="4"/>
  <c r="BD3431" i="4"/>
  <c r="BD3432" i="4"/>
  <c r="BD3433" i="4"/>
  <c r="BD3434" i="4"/>
  <c r="BD3435" i="4"/>
  <c r="BD3436" i="4"/>
  <c r="BD3437" i="4"/>
  <c r="BD3438" i="4"/>
  <c r="BD3439" i="4"/>
  <c r="BD3440" i="4"/>
  <c r="BD3441" i="4"/>
  <c r="BD3442" i="4"/>
  <c r="BD3443" i="4"/>
  <c r="BD3444" i="4"/>
  <c r="BD3445" i="4"/>
  <c r="BD3446" i="4"/>
  <c r="BD3447" i="4"/>
  <c r="BD3448" i="4"/>
  <c r="BD3449" i="4"/>
  <c r="BD3450" i="4"/>
  <c r="BD3451" i="4"/>
  <c r="BD3452" i="4"/>
  <c r="BD3453" i="4"/>
  <c r="BD3454" i="4"/>
  <c r="BD3455" i="4"/>
  <c r="BD3456" i="4"/>
  <c r="BD3457" i="4"/>
  <c r="BD3458" i="4"/>
  <c r="BD3459" i="4"/>
  <c r="BD3460" i="4"/>
  <c r="BD3461" i="4"/>
  <c r="BD3462" i="4"/>
  <c r="BD3463" i="4"/>
  <c r="BD3464" i="4"/>
  <c r="BD3465" i="4"/>
  <c r="BD3466" i="4"/>
  <c r="BD3467" i="4"/>
  <c r="BD3468" i="4"/>
  <c r="BD3469" i="4"/>
  <c r="BD3470" i="4"/>
  <c r="BD3471" i="4"/>
  <c r="BD3472" i="4"/>
  <c r="BD3473" i="4"/>
  <c r="BD3474" i="4"/>
  <c r="BD3475" i="4"/>
  <c r="BD3476" i="4"/>
  <c r="BD3477" i="4"/>
  <c r="BD3478" i="4"/>
  <c r="BD3479" i="4"/>
  <c r="BD3480" i="4"/>
  <c r="BD3481" i="4"/>
  <c r="BD3482" i="4"/>
  <c r="BD3483" i="4"/>
  <c r="BD3484" i="4"/>
  <c r="BD3485" i="4"/>
  <c r="BD3486" i="4"/>
  <c r="BD3487" i="4"/>
  <c r="BD3488" i="4"/>
  <c r="BD3489" i="4"/>
  <c r="BD3490" i="4"/>
  <c r="BD3491" i="4"/>
  <c r="BD3492" i="4"/>
  <c r="BD3493" i="4"/>
  <c r="BD3494" i="4"/>
  <c r="BD3495" i="4"/>
  <c r="BD3496" i="4"/>
  <c r="BD3497" i="4"/>
  <c r="BD3498" i="4"/>
  <c r="BD3499" i="4"/>
  <c r="BD3500" i="4"/>
  <c r="BD3501" i="4"/>
  <c r="BD3502" i="4"/>
  <c r="BD3503" i="4"/>
  <c r="BD3504" i="4"/>
  <c r="BD3505" i="4"/>
  <c r="BD3506" i="4"/>
  <c r="BD3507" i="4"/>
  <c r="BD3508" i="4"/>
  <c r="BD3509" i="4"/>
  <c r="BD3510" i="4"/>
  <c r="BD3511" i="4"/>
  <c r="BD3512" i="4"/>
  <c r="BD3513" i="4"/>
  <c r="BD3514" i="4"/>
  <c r="BD3515" i="4"/>
  <c r="BD3516" i="4"/>
  <c r="BD3517" i="4"/>
  <c r="BD3518" i="4"/>
  <c r="BD3519" i="4"/>
  <c r="BD3520" i="4"/>
  <c r="BD3521" i="4"/>
  <c r="BD3522" i="4"/>
  <c r="BD3523" i="4"/>
  <c r="BD3524" i="4"/>
  <c r="BD3525" i="4"/>
  <c r="BD3526" i="4"/>
  <c r="BD3527" i="4"/>
  <c r="BD3528" i="4"/>
  <c r="BD3529" i="4"/>
  <c r="BD3530" i="4"/>
  <c r="BD3531" i="4"/>
  <c r="BD3532" i="4"/>
  <c r="BD3533" i="4"/>
  <c r="BD3534" i="4"/>
  <c r="BD3535" i="4"/>
  <c r="BD3536" i="4"/>
  <c r="BD3537" i="4"/>
  <c r="BD3538" i="4"/>
  <c r="BD3539" i="4"/>
  <c r="BD3540" i="4"/>
  <c r="BD3541" i="4"/>
  <c r="BD3542" i="4"/>
  <c r="BD3543" i="4"/>
  <c r="BD3544" i="4"/>
  <c r="BD3545" i="4"/>
  <c r="BD3546" i="4"/>
  <c r="BD3547" i="4"/>
  <c r="BD3548" i="4"/>
  <c r="BD3549" i="4"/>
  <c r="BD3550" i="4"/>
  <c r="BD3551" i="4"/>
  <c r="BD3552" i="4"/>
  <c r="BD3553" i="4"/>
  <c r="BD3554" i="4"/>
  <c r="BD3555" i="4"/>
  <c r="BD3556" i="4"/>
  <c r="BD3557" i="4"/>
  <c r="BD3558" i="4"/>
  <c r="BD3559" i="4"/>
  <c r="BD3560" i="4"/>
  <c r="BD3561" i="4"/>
  <c r="BD3562" i="4"/>
  <c r="BD3563" i="4"/>
  <c r="BD3564" i="4"/>
  <c r="BD3565" i="4"/>
  <c r="BD3566" i="4"/>
  <c r="BD3567" i="4"/>
  <c r="BD3568" i="4"/>
  <c r="BD3569" i="4"/>
  <c r="BD3570" i="4"/>
  <c r="BD3571" i="4"/>
  <c r="BD3572" i="4"/>
  <c r="BD3573" i="4"/>
  <c r="BD3574" i="4"/>
  <c r="BD3575" i="4"/>
  <c r="BD3576" i="4"/>
  <c r="BD3577" i="4"/>
  <c r="BD3578" i="4"/>
  <c r="BD3579" i="4"/>
  <c r="BD3580" i="4"/>
  <c r="BD3581" i="4"/>
  <c r="BD3582" i="4"/>
  <c r="BD3583" i="4"/>
  <c r="BD3584" i="4"/>
  <c r="BD3585" i="4"/>
  <c r="BD3586" i="4"/>
  <c r="BD3587" i="4"/>
  <c r="BD3588" i="4"/>
  <c r="BD3589" i="4"/>
  <c r="BD3590" i="4"/>
  <c r="BD3591" i="4"/>
  <c r="BD3592" i="4"/>
  <c r="BD3593" i="4"/>
  <c r="BD3594" i="4"/>
  <c r="BD3595" i="4"/>
  <c r="BD3596" i="4"/>
  <c r="BD3597" i="4"/>
  <c r="BD3598" i="4"/>
  <c r="BD3599" i="4"/>
  <c r="BD3600" i="4"/>
  <c r="BD3601" i="4"/>
  <c r="BD3602" i="4"/>
  <c r="BD3603" i="4"/>
  <c r="BD3604" i="4"/>
  <c r="BD3605" i="4"/>
  <c r="BD3606" i="4"/>
  <c r="BD3607" i="4"/>
  <c r="BD3608" i="4"/>
  <c r="BD3609" i="4"/>
  <c r="BD3610" i="4"/>
  <c r="BD3611" i="4"/>
  <c r="BD3612" i="4"/>
  <c r="BD3613" i="4"/>
  <c r="BD3614" i="4"/>
  <c r="BD3615" i="4"/>
  <c r="BD3616" i="4"/>
  <c r="BD3617" i="4"/>
  <c r="BD3618" i="4"/>
  <c r="BD3619" i="4"/>
  <c r="BD3620" i="4"/>
  <c r="BD3621" i="4"/>
  <c r="BD3622" i="4"/>
  <c r="BD3623" i="4"/>
  <c r="BD3624" i="4"/>
  <c r="BD3625" i="4"/>
  <c r="BD3626" i="4"/>
  <c r="BD3627" i="4"/>
  <c r="BD3628" i="4"/>
  <c r="BD3629" i="4"/>
  <c r="BD3630" i="4"/>
  <c r="BD3631" i="4"/>
  <c r="BD3632" i="4"/>
  <c r="BD3633" i="4"/>
  <c r="BD3634" i="4"/>
  <c r="BD3635" i="4"/>
  <c r="BD3636" i="4"/>
  <c r="BD3637" i="4"/>
  <c r="BD3638" i="4"/>
  <c r="BD3639" i="4"/>
  <c r="BD3640" i="4"/>
  <c r="BD3641" i="4"/>
  <c r="BD3642" i="4"/>
  <c r="BD3643" i="4"/>
  <c r="BD3644" i="4"/>
  <c r="BD3645" i="4"/>
  <c r="BD3646" i="4"/>
  <c r="BD3647" i="4"/>
  <c r="BD3648" i="4"/>
  <c r="BD3649" i="4"/>
  <c r="BD3650" i="4"/>
  <c r="BD3651" i="4"/>
  <c r="BD3652" i="4"/>
  <c r="BD3653" i="4"/>
  <c r="BD3654" i="4"/>
  <c r="BD3655" i="4"/>
  <c r="BD3656" i="4"/>
  <c r="BD3657" i="4"/>
  <c r="BD3658" i="4"/>
  <c r="BD3659" i="4"/>
  <c r="BD3660" i="4"/>
  <c r="BD3661" i="4"/>
  <c r="BD3662" i="4"/>
  <c r="BD3663" i="4"/>
  <c r="BD3664" i="4"/>
  <c r="BD3665" i="4"/>
  <c r="BD3666" i="4"/>
  <c r="BD3667" i="4"/>
  <c r="BD3668" i="4"/>
  <c r="BD3669" i="4"/>
  <c r="BD3670" i="4"/>
  <c r="BD3671" i="4"/>
  <c r="BD3672" i="4"/>
  <c r="BD3673" i="4"/>
  <c r="BD3674" i="4"/>
  <c r="BD3675" i="4"/>
  <c r="BD3676" i="4"/>
  <c r="BD3677" i="4"/>
  <c r="BD3678" i="4"/>
  <c r="BD3679" i="4"/>
  <c r="BD3680" i="4"/>
  <c r="BD3681" i="4"/>
  <c r="BD3682" i="4"/>
  <c r="BD3683" i="4"/>
  <c r="BD3684" i="4"/>
  <c r="BD3685" i="4"/>
  <c r="BD3686" i="4"/>
  <c r="BD3687" i="4"/>
  <c r="BD3688" i="4"/>
  <c r="BD3689" i="4"/>
  <c r="BD3690" i="4"/>
  <c r="BD3691" i="4"/>
  <c r="BD3692" i="4"/>
  <c r="BD3693" i="4"/>
  <c r="BD3694" i="4"/>
  <c r="BD3695" i="4"/>
  <c r="BD3696" i="4"/>
  <c r="BD3697" i="4"/>
  <c r="BD3698" i="4"/>
  <c r="BD3699" i="4"/>
  <c r="BD3700" i="4"/>
  <c r="BD3701" i="4"/>
  <c r="BD3702" i="4"/>
  <c r="BD3703" i="4"/>
  <c r="BD3704" i="4"/>
  <c r="BD3705" i="4"/>
  <c r="BD3706" i="4"/>
  <c r="BD3707" i="4"/>
  <c r="BD3708" i="4"/>
  <c r="BD3709" i="4"/>
  <c r="BD3710" i="4"/>
  <c r="BD3711" i="4"/>
  <c r="BD3712" i="4"/>
  <c r="BD3713" i="4"/>
  <c r="BD3714" i="4"/>
  <c r="BD3715" i="4"/>
  <c r="BD3716" i="4"/>
  <c r="BD3717" i="4"/>
  <c r="BD3718" i="4"/>
  <c r="BD3719" i="4"/>
  <c r="BD3720" i="4"/>
  <c r="BD3721" i="4"/>
  <c r="BD3722" i="4"/>
  <c r="BD3723" i="4"/>
  <c r="BD3724" i="4"/>
  <c r="BD3725" i="4"/>
  <c r="BD3726" i="4"/>
  <c r="BD3727" i="4"/>
  <c r="BD3728" i="4"/>
  <c r="BD3729" i="4"/>
  <c r="BD3730" i="4"/>
  <c r="BD3731" i="4"/>
  <c r="BD3732" i="4"/>
  <c r="BD3733" i="4"/>
  <c r="BD3734" i="4"/>
  <c r="BD3735" i="4"/>
  <c r="BD3736" i="4"/>
  <c r="BD3737" i="4"/>
  <c r="BD3738" i="4"/>
  <c r="BD3739" i="4"/>
  <c r="BD3740" i="4"/>
  <c r="BD3741" i="4"/>
  <c r="BD3742" i="4"/>
  <c r="BD3743" i="4"/>
  <c r="BD3744" i="4"/>
  <c r="BD3745" i="4"/>
  <c r="BD3746" i="4"/>
  <c r="BD3747" i="4"/>
  <c r="BD3748" i="4"/>
  <c r="BD3749" i="4"/>
  <c r="BD3750" i="4"/>
  <c r="BD3751" i="4"/>
  <c r="BD3752" i="4"/>
  <c r="BD3753" i="4"/>
  <c r="BD3754" i="4"/>
  <c r="BD3755" i="4"/>
  <c r="BD3756" i="4"/>
  <c r="BD3757" i="4"/>
  <c r="BD3758" i="4"/>
  <c r="BD3759" i="4"/>
  <c r="BD3760" i="4"/>
  <c r="BD3761" i="4"/>
  <c r="BD3762" i="4"/>
  <c r="BD3763" i="4"/>
  <c r="BD3764" i="4"/>
  <c r="BD3765" i="4"/>
  <c r="BD3766" i="4"/>
  <c r="BD3767" i="4"/>
  <c r="BD3768" i="4"/>
  <c r="BD3769" i="4"/>
  <c r="BD3770" i="4"/>
  <c r="BD3771" i="4"/>
  <c r="BD3772" i="4"/>
  <c r="BD3773" i="4"/>
  <c r="BD3774" i="4"/>
  <c r="BD3775" i="4"/>
  <c r="BD3776" i="4"/>
  <c r="BD3777" i="4"/>
  <c r="BD3778" i="4"/>
  <c r="BD3779" i="4"/>
  <c r="BD3780" i="4"/>
  <c r="BD3781" i="4"/>
  <c r="BD3782" i="4"/>
  <c r="BD3783" i="4"/>
  <c r="BD3784" i="4"/>
  <c r="BD3785" i="4"/>
  <c r="BD3786" i="4"/>
  <c r="BD3787" i="4"/>
  <c r="BD3788" i="4"/>
  <c r="BD3789" i="4"/>
  <c r="BD3790" i="4"/>
  <c r="BD3791" i="4"/>
  <c r="BD3792" i="4"/>
  <c r="BD3793" i="4"/>
  <c r="BD3794" i="4"/>
  <c r="BD3795" i="4"/>
  <c r="BD3796" i="4"/>
  <c r="BD3797" i="4"/>
  <c r="BD3798" i="4"/>
  <c r="BD3799" i="4"/>
  <c r="BD3800" i="4"/>
  <c r="BD3801" i="4"/>
  <c r="BD3802" i="4"/>
  <c r="BD3803" i="4"/>
  <c r="BD3804" i="4"/>
  <c r="BD3805" i="4"/>
  <c r="BD3806" i="4"/>
  <c r="BD3807" i="4"/>
  <c r="BD3808" i="4"/>
  <c r="BD3809" i="4"/>
  <c r="BD3810" i="4"/>
  <c r="BD3811" i="4"/>
  <c r="BD3812" i="4"/>
  <c r="BD3813" i="4"/>
  <c r="BD3814" i="4"/>
  <c r="BD3815" i="4"/>
  <c r="BD3816" i="4"/>
  <c r="BD3817" i="4"/>
  <c r="BD3818" i="4"/>
  <c r="BD3819" i="4"/>
  <c r="BD3820" i="4"/>
  <c r="BD3821" i="4"/>
  <c r="BD3822" i="4"/>
  <c r="BD3823" i="4"/>
  <c r="BD3824" i="4"/>
  <c r="BD3825" i="4"/>
  <c r="BD3826" i="4"/>
  <c r="BD3827" i="4"/>
  <c r="BD3828" i="4"/>
  <c r="BD3829" i="4"/>
  <c r="BD3830" i="4"/>
  <c r="BD3831" i="4"/>
  <c r="BD3832" i="4"/>
  <c r="BD3833" i="4"/>
  <c r="BD3834" i="4"/>
  <c r="BD3835" i="4"/>
  <c r="BD3836" i="4"/>
  <c r="BD3837" i="4"/>
  <c r="BD3838" i="4"/>
  <c r="BD3839" i="4"/>
  <c r="BD3840" i="4"/>
  <c r="BD3841" i="4"/>
  <c r="BD3842" i="4"/>
  <c r="BD3843" i="4"/>
  <c r="BD3844" i="4"/>
  <c r="BD3845" i="4"/>
  <c r="BD3846" i="4"/>
  <c r="BD3847" i="4"/>
  <c r="BD3848" i="4"/>
  <c r="BD3849" i="4"/>
  <c r="BD3850" i="4"/>
  <c r="BD3851" i="4"/>
  <c r="BD3852" i="4"/>
  <c r="BD3853" i="4"/>
  <c r="BD3854" i="4"/>
  <c r="BD3855" i="4"/>
  <c r="BD3856" i="4"/>
  <c r="BD3857" i="4"/>
  <c r="BD3858" i="4"/>
  <c r="BD3859" i="4"/>
  <c r="BD3860" i="4"/>
  <c r="BD3861" i="4"/>
  <c r="BD3862" i="4"/>
  <c r="BD3863" i="4"/>
  <c r="BD3864" i="4"/>
  <c r="BD3865" i="4"/>
  <c r="BD3866" i="4"/>
  <c r="BD3867" i="4"/>
  <c r="BD3868" i="4"/>
  <c r="BD3869" i="4"/>
  <c r="BD3870" i="4"/>
  <c r="BD3871" i="4"/>
  <c r="BD3872" i="4"/>
  <c r="BD3873" i="4"/>
  <c r="BD3874" i="4"/>
  <c r="BD3875" i="4"/>
  <c r="BD3876" i="4"/>
  <c r="BD3877" i="4"/>
  <c r="BD3878" i="4"/>
  <c r="BD3879" i="4"/>
  <c r="BD3880" i="4"/>
  <c r="BD3881" i="4"/>
  <c r="BD3882" i="4"/>
  <c r="BD3883" i="4"/>
  <c r="BD3884" i="4"/>
  <c r="BD3885" i="4"/>
  <c r="BD3886" i="4"/>
  <c r="BD3887" i="4"/>
  <c r="BD3888" i="4"/>
  <c r="BD3889" i="4"/>
  <c r="BD3890" i="4"/>
  <c r="BD3891" i="4"/>
  <c r="BD3892" i="4"/>
  <c r="BD3893" i="4"/>
  <c r="BD3894" i="4"/>
  <c r="BD3895" i="4"/>
  <c r="BD3896" i="4"/>
  <c r="BD3897" i="4"/>
  <c r="BD3898" i="4"/>
  <c r="BD3899" i="4"/>
  <c r="BD3900" i="4"/>
  <c r="BD3901" i="4"/>
  <c r="BD3902" i="4"/>
  <c r="BD3903" i="4"/>
  <c r="BD3904" i="4"/>
  <c r="BD3905" i="4"/>
  <c r="BD3906" i="4"/>
  <c r="BD3907" i="4"/>
  <c r="BD3908" i="4"/>
  <c r="BD3909" i="4"/>
  <c r="BD3910" i="4"/>
  <c r="BD3911" i="4"/>
  <c r="BD3912" i="4"/>
  <c r="BD3913" i="4"/>
  <c r="BD3914" i="4"/>
  <c r="BD3915" i="4"/>
  <c r="BD3916" i="4"/>
  <c r="BD3917" i="4"/>
  <c r="BD3918" i="4"/>
  <c r="BD3919" i="4"/>
  <c r="BD3920" i="4"/>
  <c r="BD3921" i="4"/>
  <c r="BD3922" i="4"/>
  <c r="BD3923" i="4"/>
  <c r="BD3924" i="4"/>
  <c r="BD3925" i="4"/>
  <c r="BD3926" i="4"/>
  <c r="BD3927" i="4"/>
  <c r="BD3928" i="4"/>
  <c r="BD3929" i="4"/>
  <c r="BD3930" i="4"/>
  <c r="BD3931" i="4"/>
  <c r="BD3932" i="4"/>
  <c r="BD3933" i="4"/>
  <c r="BD3934" i="4"/>
  <c r="BD3935" i="4"/>
  <c r="BD3936" i="4"/>
  <c r="BD3937" i="4"/>
  <c r="BD3938" i="4"/>
  <c r="BD3939" i="4"/>
  <c r="BD3940" i="4"/>
  <c r="BD3941" i="4"/>
  <c r="BD3942" i="4"/>
  <c r="BD3943" i="4"/>
  <c r="BD3944" i="4"/>
  <c r="BD3945" i="4"/>
  <c r="BD3946" i="4"/>
  <c r="BD3947" i="4"/>
  <c r="BD3948" i="4"/>
  <c r="BD3949" i="4"/>
  <c r="BD3950" i="4"/>
  <c r="BD3951" i="4"/>
  <c r="BD3952" i="4"/>
  <c r="BD3953" i="4"/>
  <c r="BD3954" i="4"/>
  <c r="BD3955" i="4"/>
  <c r="BD3956" i="4"/>
  <c r="BD3957" i="4"/>
  <c r="BD3958" i="4"/>
  <c r="BD3959" i="4"/>
  <c r="BD3960" i="4"/>
  <c r="BD3961" i="4"/>
  <c r="BD3962" i="4"/>
  <c r="BD3963" i="4"/>
  <c r="BD3964" i="4"/>
  <c r="BD3965" i="4"/>
  <c r="BD3966" i="4"/>
  <c r="BD3967" i="4"/>
  <c r="BD3968" i="4"/>
  <c r="BD3969" i="4"/>
  <c r="BD3970" i="4"/>
  <c r="BD3971" i="4"/>
  <c r="BD3972" i="4"/>
  <c r="BD3973" i="4"/>
  <c r="BD3974" i="4"/>
  <c r="BD3975" i="4"/>
  <c r="BD3976" i="4"/>
  <c r="BD3977" i="4"/>
  <c r="BD3978" i="4"/>
  <c r="BD3979" i="4"/>
  <c r="BD3980" i="4"/>
  <c r="BD3981" i="4"/>
  <c r="BD3982" i="4"/>
  <c r="BD3983" i="4"/>
  <c r="BD3984" i="4"/>
  <c r="BD3985" i="4"/>
  <c r="BD3986" i="4"/>
  <c r="BD3987" i="4"/>
  <c r="BD3988" i="4"/>
  <c r="BD3989" i="4"/>
  <c r="BD3990" i="4"/>
  <c r="BD3991" i="4"/>
  <c r="BD3992" i="4"/>
  <c r="BD3993" i="4"/>
  <c r="BD3994" i="4"/>
  <c r="BD3995" i="4"/>
  <c r="BD3996" i="4"/>
  <c r="BD3997" i="4"/>
  <c r="BD3998" i="4"/>
  <c r="BD3999" i="4"/>
  <c r="BD4000" i="4"/>
  <c r="BD4001" i="4"/>
  <c r="BD4002" i="4"/>
  <c r="BD4003" i="4"/>
  <c r="BD4004" i="4"/>
  <c r="BD4005" i="4"/>
  <c r="BD4006" i="4"/>
  <c r="BD4007" i="4"/>
  <c r="BD4008" i="4"/>
  <c r="BD4009" i="4"/>
  <c r="BD4010" i="4"/>
  <c r="BD4011" i="4"/>
  <c r="BD4012" i="4"/>
  <c r="BD4013" i="4"/>
  <c r="BD4014" i="4"/>
  <c r="BD4015" i="4"/>
  <c r="BD4016" i="4"/>
  <c r="BD4017" i="4"/>
  <c r="BD4018" i="4"/>
  <c r="BD4019" i="4"/>
  <c r="BD4020" i="4"/>
  <c r="BD4021" i="4"/>
  <c r="BD4022" i="4"/>
  <c r="BD4023" i="4"/>
  <c r="BD4024" i="4"/>
  <c r="BD4025" i="4"/>
  <c r="BD4026" i="4"/>
  <c r="BD4027" i="4"/>
  <c r="BD4028" i="4"/>
  <c r="BD4029" i="4"/>
  <c r="BD4030" i="4"/>
  <c r="BD4031" i="4"/>
  <c r="BD4032" i="4"/>
  <c r="BD4033" i="4"/>
  <c r="BD4034" i="4"/>
  <c r="BD4035" i="4"/>
  <c r="BD4036" i="4"/>
  <c r="BD4037" i="4"/>
  <c r="BD4038" i="4"/>
  <c r="BD4039" i="4"/>
  <c r="BD4040" i="4"/>
  <c r="BD4041" i="4"/>
  <c r="BD4042" i="4"/>
  <c r="BD4043" i="4"/>
  <c r="BD4044" i="4"/>
  <c r="BD4045" i="4"/>
  <c r="BD4046" i="4"/>
  <c r="BD4047" i="4"/>
  <c r="BD4048" i="4"/>
  <c r="BD4049" i="4"/>
  <c r="BD4050" i="4"/>
  <c r="BD4051" i="4"/>
  <c r="BD4052" i="4"/>
  <c r="BD4053" i="4"/>
  <c r="BD4054" i="4"/>
  <c r="BD4055" i="4"/>
  <c r="BD4056" i="4"/>
  <c r="BD4057" i="4"/>
  <c r="BD4058" i="4"/>
  <c r="BD4059" i="4"/>
  <c r="BD4060" i="4"/>
  <c r="BD4061" i="4"/>
  <c r="BD4062" i="4"/>
  <c r="BD4063" i="4"/>
  <c r="BD4064" i="4"/>
  <c r="BD4065" i="4"/>
  <c r="BD4066" i="4"/>
  <c r="BD4067" i="4"/>
  <c r="BD4068" i="4"/>
  <c r="BD4069" i="4"/>
  <c r="BD4070" i="4"/>
  <c r="BD4071" i="4"/>
  <c r="BD4072" i="4"/>
  <c r="BD4073" i="4"/>
  <c r="BD4074" i="4"/>
  <c r="BD4075" i="4"/>
  <c r="BD4076" i="4"/>
  <c r="BD4077" i="4"/>
  <c r="BD4078" i="4"/>
  <c r="BD4079" i="4"/>
  <c r="BD4080" i="4"/>
  <c r="BD4081" i="4"/>
  <c r="BD4082" i="4"/>
  <c r="BD4083" i="4"/>
  <c r="BD4084" i="4"/>
  <c r="BD4085" i="4"/>
  <c r="BD4086" i="4"/>
  <c r="BD4087" i="4"/>
  <c r="BD4088" i="4"/>
  <c r="BD4089" i="4"/>
  <c r="BD4090" i="4"/>
  <c r="BD4091" i="4"/>
  <c r="BD4092" i="4"/>
  <c r="BD4093" i="4"/>
  <c r="BD4094" i="4"/>
  <c r="BD4095" i="4"/>
  <c r="BD4096" i="4"/>
  <c r="BD4097" i="4"/>
  <c r="BD4098" i="4"/>
  <c r="BD4099" i="4"/>
  <c r="BD4100" i="4"/>
  <c r="BD4101" i="4"/>
  <c r="BD4102" i="4"/>
  <c r="BD4103" i="4"/>
  <c r="BD4104" i="4"/>
  <c r="BD4105" i="4"/>
  <c r="BD4106" i="4"/>
  <c r="BD4107" i="4"/>
  <c r="BD4108" i="4"/>
  <c r="BD4109" i="4"/>
  <c r="BD4110" i="4"/>
  <c r="BD4111" i="4"/>
  <c r="BD4112" i="4"/>
  <c r="BD4113" i="4"/>
  <c r="BD4114" i="4"/>
  <c r="BD4115" i="4"/>
  <c r="BD4116" i="4"/>
  <c r="BD4117" i="4"/>
  <c r="BD4118" i="4"/>
  <c r="BD4119" i="4"/>
  <c r="BD4120" i="4"/>
  <c r="BD4121" i="4"/>
  <c r="BD4122" i="4"/>
  <c r="BD4123" i="4"/>
  <c r="BD4124" i="4"/>
  <c r="BD4125" i="4"/>
  <c r="BD4126" i="4"/>
  <c r="BD4127" i="4"/>
  <c r="BD4128" i="4"/>
  <c r="BD4129" i="4"/>
  <c r="BD4130" i="4"/>
  <c r="BD4131" i="4"/>
  <c r="BD4132" i="4"/>
  <c r="BD4133" i="4"/>
  <c r="BD4134" i="4"/>
  <c r="BD4135" i="4"/>
  <c r="BD4136" i="4"/>
  <c r="BD4137" i="4"/>
  <c r="BD4138" i="4"/>
  <c r="BD4139" i="4"/>
  <c r="BD4140" i="4"/>
  <c r="BD4141" i="4"/>
  <c r="BD4142" i="4"/>
  <c r="BD4143" i="4"/>
  <c r="BD4144" i="4"/>
  <c r="BD4145" i="4"/>
  <c r="BD4146" i="4"/>
  <c r="BD4147" i="4"/>
  <c r="BD4148" i="4"/>
  <c r="BD4149" i="4"/>
  <c r="BD4150" i="4"/>
  <c r="BD4151" i="4"/>
  <c r="BD4152" i="4"/>
  <c r="BD4153" i="4"/>
  <c r="BD4154" i="4"/>
  <c r="BD4155" i="4"/>
  <c r="BD4156" i="4"/>
  <c r="BD4157" i="4"/>
  <c r="BD4158" i="4"/>
  <c r="BD4159" i="4"/>
  <c r="BD4160" i="4"/>
  <c r="BD4161" i="4"/>
  <c r="BD4162" i="4"/>
  <c r="BD4163" i="4"/>
  <c r="BD4164" i="4"/>
  <c r="BD4165" i="4"/>
  <c r="BD4166" i="4"/>
  <c r="BD4167" i="4"/>
  <c r="BD4168" i="4"/>
  <c r="BD4169" i="4"/>
  <c r="BD4170" i="4"/>
  <c r="BD4171" i="4"/>
  <c r="BD4172" i="4"/>
  <c r="BD4173" i="4"/>
  <c r="BD4174" i="4"/>
  <c r="BD4175" i="4"/>
  <c r="BD4176" i="4"/>
  <c r="BD4177" i="4"/>
  <c r="BD4178" i="4"/>
  <c r="BD4179" i="4"/>
  <c r="BD4180" i="4"/>
  <c r="BD4181" i="4"/>
  <c r="BD4182" i="4"/>
  <c r="BD4183" i="4"/>
  <c r="BD4184" i="4"/>
  <c r="BD4185" i="4"/>
  <c r="BD4186" i="4"/>
  <c r="BD4187" i="4"/>
  <c r="BD4188" i="4"/>
  <c r="BD4189" i="4"/>
  <c r="BD4190" i="4"/>
  <c r="BD4191" i="4"/>
  <c r="BD4192" i="4"/>
  <c r="BD4193" i="4"/>
  <c r="BD4194" i="4"/>
  <c r="BD4195" i="4"/>
  <c r="BD4196" i="4"/>
  <c r="BD4197" i="4"/>
  <c r="BD4198" i="4"/>
  <c r="BD4199" i="4"/>
  <c r="BD4200" i="4"/>
  <c r="BD4201" i="4"/>
  <c r="BD4202" i="4"/>
  <c r="BD4203" i="4"/>
  <c r="BD4204" i="4"/>
  <c r="BD4205" i="4"/>
  <c r="BD4206" i="4"/>
  <c r="BD4207" i="4"/>
  <c r="BD4208" i="4"/>
  <c r="BD4209" i="4"/>
  <c r="BD4210" i="4"/>
  <c r="BD4211" i="4"/>
  <c r="BD4212" i="4"/>
  <c r="BD4213" i="4"/>
  <c r="BD4214" i="4"/>
  <c r="BD4215" i="4"/>
  <c r="BD4216" i="4"/>
  <c r="BD4217" i="4"/>
  <c r="BD4218" i="4"/>
  <c r="BD4219" i="4"/>
  <c r="BD4220" i="4"/>
  <c r="BD4221" i="4"/>
  <c r="BD4222" i="4"/>
  <c r="BD4223" i="4"/>
  <c r="BD4224" i="4"/>
  <c r="BD4225" i="4"/>
  <c r="BD4226" i="4"/>
  <c r="BD4227" i="4"/>
  <c r="BD4228" i="4"/>
  <c r="BD4229" i="4"/>
  <c r="BD4230" i="4"/>
  <c r="BD4231" i="4"/>
  <c r="BD4232" i="4"/>
  <c r="BD4233" i="4"/>
  <c r="BD4234" i="4"/>
  <c r="BD4235" i="4"/>
  <c r="BD4236" i="4"/>
  <c r="BD4237" i="4"/>
  <c r="BD4238" i="4"/>
  <c r="BD4239" i="4"/>
  <c r="BD4240" i="4"/>
  <c r="BD4241" i="4"/>
  <c r="BD4242" i="4"/>
  <c r="BD4243" i="4"/>
  <c r="BD4244" i="4"/>
  <c r="BD4245" i="4"/>
  <c r="BD4246" i="4"/>
  <c r="BD4247" i="4"/>
  <c r="BD4248" i="4"/>
  <c r="BD4249" i="4"/>
  <c r="BD4250" i="4"/>
  <c r="BD4251" i="4"/>
  <c r="BD4252" i="4"/>
  <c r="BD4253" i="4"/>
  <c r="BD4254" i="4"/>
  <c r="BD4255" i="4"/>
  <c r="BD4256" i="4"/>
  <c r="BD4257" i="4"/>
  <c r="BD4258" i="4"/>
  <c r="BD4259" i="4"/>
  <c r="BD4260" i="4"/>
  <c r="BD4261" i="4"/>
  <c r="BD4262" i="4"/>
  <c r="BD4263" i="4"/>
  <c r="BD4264" i="4"/>
  <c r="BD4265" i="4"/>
  <c r="BD4266" i="4"/>
  <c r="BD4267" i="4"/>
  <c r="BD4268" i="4"/>
  <c r="BD4269" i="4"/>
  <c r="BD4270" i="4"/>
  <c r="BD4271" i="4"/>
  <c r="BD4272" i="4"/>
  <c r="BD4273" i="4"/>
  <c r="BD4274" i="4"/>
  <c r="BD4275" i="4"/>
  <c r="BD4276" i="4"/>
  <c r="BD4277" i="4"/>
  <c r="BD4278" i="4"/>
  <c r="BD4279" i="4"/>
  <c r="BD4280" i="4"/>
  <c r="BD4281" i="4"/>
  <c r="BD4282" i="4"/>
  <c r="BD4283" i="4"/>
  <c r="BD4284" i="4"/>
  <c r="BD4285" i="4"/>
  <c r="BD4286" i="4"/>
  <c r="BD4287" i="4"/>
  <c r="BD4288" i="4"/>
  <c r="BD4289" i="4"/>
  <c r="BD4290" i="4"/>
  <c r="BD4291" i="4"/>
  <c r="BD4292" i="4"/>
  <c r="BD4293" i="4"/>
  <c r="BD4294" i="4"/>
  <c r="BD4295" i="4"/>
  <c r="BD4296" i="4"/>
  <c r="BD4297" i="4"/>
  <c r="BD4298" i="4"/>
  <c r="BD4299" i="4"/>
  <c r="BD4300" i="4"/>
  <c r="BD4301" i="4"/>
  <c r="BD4302" i="4"/>
  <c r="BD4303" i="4"/>
  <c r="BD4304" i="4"/>
  <c r="BD4305" i="4"/>
  <c r="BD4306" i="4"/>
  <c r="BD4307" i="4"/>
  <c r="BD4308" i="4"/>
  <c r="BD4309" i="4"/>
  <c r="BD4310" i="4"/>
  <c r="BD4311" i="4"/>
  <c r="BD4312" i="4"/>
  <c r="BD4313" i="4"/>
  <c r="BD4314" i="4"/>
  <c r="BD4315" i="4"/>
  <c r="BD4316" i="4"/>
  <c r="BD4317" i="4"/>
  <c r="BD4318" i="4"/>
  <c r="BD4319" i="4"/>
  <c r="BD4320" i="4"/>
  <c r="BD4321" i="4"/>
  <c r="BD4322" i="4"/>
  <c r="BD4323" i="4"/>
  <c r="BD4324" i="4"/>
  <c r="BD4325" i="4"/>
  <c r="BD4326" i="4"/>
  <c r="BD4327" i="4"/>
  <c r="BD4328" i="4"/>
  <c r="BD4329" i="4"/>
  <c r="BD4330" i="4"/>
  <c r="BD4331" i="4"/>
  <c r="BD4332" i="4"/>
  <c r="BD4333" i="4"/>
  <c r="BD4334" i="4"/>
  <c r="BD4335" i="4"/>
  <c r="BD4336" i="4"/>
  <c r="BD4337" i="4"/>
  <c r="BD4338" i="4"/>
  <c r="BD4339" i="4"/>
  <c r="BD4340" i="4"/>
  <c r="BD4341" i="4"/>
  <c r="BD4342" i="4"/>
  <c r="BD4343" i="4"/>
  <c r="BD4344" i="4"/>
  <c r="BD4345" i="4"/>
  <c r="BD4346" i="4"/>
  <c r="BD4347" i="4"/>
  <c r="BD4348" i="4"/>
  <c r="BD4349" i="4"/>
  <c r="BD4350" i="4"/>
  <c r="BD4351" i="4"/>
  <c r="BD4352" i="4"/>
  <c r="BD4353" i="4"/>
  <c r="BD4354" i="4"/>
  <c r="BD4355" i="4"/>
  <c r="BD4356" i="4"/>
  <c r="BD4357" i="4"/>
  <c r="BD4358" i="4"/>
  <c r="BD4359" i="4"/>
  <c r="BD4360" i="4"/>
  <c r="BD4361" i="4"/>
  <c r="BD4362" i="4"/>
  <c r="BD4363" i="4"/>
  <c r="BD4364" i="4"/>
  <c r="BD4365" i="4"/>
  <c r="BD4366" i="4"/>
  <c r="BD4367" i="4"/>
  <c r="BD4368" i="4"/>
  <c r="BD4369" i="4"/>
  <c r="BD4370" i="4"/>
  <c r="BD4371" i="4"/>
  <c r="BD4372" i="4"/>
  <c r="BD4373" i="4"/>
  <c r="BD4374" i="4"/>
  <c r="BD4375" i="4"/>
  <c r="BD4376" i="4"/>
  <c r="BD4377" i="4"/>
  <c r="BD4378" i="4"/>
  <c r="BD4379" i="4"/>
  <c r="BD4380" i="4"/>
  <c r="BD4381" i="4"/>
  <c r="BD4382" i="4"/>
  <c r="BD4383" i="4"/>
  <c r="BD4384" i="4"/>
  <c r="BD4385" i="4"/>
  <c r="BD4386" i="4"/>
  <c r="BD4387" i="4"/>
  <c r="BD4388" i="4"/>
  <c r="BD4389" i="4"/>
  <c r="BD4390" i="4"/>
  <c r="BD4391" i="4"/>
  <c r="BD4392" i="4"/>
  <c r="BD4393" i="4"/>
  <c r="BD4394" i="4"/>
  <c r="BD4395" i="4"/>
  <c r="BD4396" i="4"/>
  <c r="BD4397" i="4"/>
  <c r="BD4398" i="4"/>
  <c r="BD4399" i="4"/>
  <c r="BD4400" i="4"/>
  <c r="BD4401" i="4"/>
  <c r="BD4402" i="4"/>
  <c r="BD4403" i="4"/>
  <c r="BD4404" i="4"/>
  <c r="BD4405" i="4"/>
  <c r="BD4406" i="4"/>
  <c r="BD4407" i="4"/>
  <c r="BD4408" i="4"/>
  <c r="BD4409" i="4"/>
  <c r="BD4410" i="4"/>
  <c r="BD4411" i="4"/>
  <c r="BD4412" i="4"/>
  <c r="BD4413" i="4"/>
  <c r="BD4414" i="4"/>
  <c r="BD4415" i="4"/>
  <c r="BD4416" i="4"/>
  <c r="BD4417" i="4"/>
  <c r="BD4418" i="4"/>
  <c r="BD4419" i="4"/>
  <c r="BD4420" i="4"/>
  <c r="BD4421" i="4"/>
  <c r="BD4422" i="4"/>
  <c r="BD4423" i="4"/>
  <c r="BD4424" i="4"/>
  <c r="BD4425" i="4"/>
  <c r="BD4426" i="4"/>
  <c r="BD4427" i="4"/>
  <c r="BD4428" i="4"/>
  <c r="BD4429" i="4"/>
  <c r="BD4430" i="4"/>
  <c r="BD4431" i="4"/>
  <c r="BD4432" i="4"/>
  <c r="BD4433" i="4"/>
  <c r="BD4434" i="4"/>
  <c r="BD4435" i="4"/>
  <c r="BD4436" i="4"/>
  <c r="BD4437" i="4"/>
  <c r="BD4438" i="4"/>
  <c r="BD4439" i="4"/>
  <c r="BD4440" i="4"/>
  <c r="BD4441" i="4"/>
  <c r="BD4442" i="4"/>
  <c r="BD4443" i="4"/>
  <c r="BD4444" i="4"/>
  <c r="BD4445" i="4"/>
  <c r="BD4446" i="4"/>
  <c r="BD4447" i="4"/>
  <c r="BD4448" i="4"/>
  <c r="BD4449" i="4"/>
  <c r="BD4450" i="4"/>
  <c r="BD4451" i="4"/>
  <c r="BD4452" i="4"/>
  <c r="BD4453" i="4"/>
  <c r="BD4454" i="4"/>
  <c r="BD4455" i="4"/>
  <c r="BD4456" i="4"/>
  <c r="BD4457" i="4"/>
  <c r="BD4458" i="4"/>
  <c r="BD4459" i="4"/>
  <c r="BD4460" i="4"/>
  <c r="BD4461" i="4"/>
  <c r="BD4462" i="4"/>
  <c r="BD4463" i="4"/>
  <c r="BD4464" i="4"/>
  <c r="BD4465" i="4"/>
  <c r="BD4466" i="4"/>
  <c r="BD4467" i="4"/>
  <c r="BD4468" i="4"/>
  <c r="BD4469" i="4"/>
  <c r="BD4470" i="4"/>
  <c r="BD4471" i="4"/>
  <c r="BD4472" i="4"/>
  <c r="BD4473" i="4"/>
  <c r="BD4474" i="4"/>
  <c r="BD4475" i="4"/>
  <c r="BD4476" i="4"/>
  <c r="BD4477" i="4"/>
  <c r="BD4478" i="4"/>
  <c r="BD4479" i="4"/>
  <c r="BD4480" i="4"/>
  <c r="BD4481" i="4"/>
  <c r="BD4482" i="4"/>
  <c r="BD4483" i="4"/>
  <c r="BD4484" i="4"/>
  <c r="BD4485" i="4"/>
  <c r="BD4486" i="4"/>
  <c r="BD4487" i="4"/>
  <c r="BD4488" i="4"/>
  <c r="BD4489" i="4"/>
  <c r="BD4490" i="4"/>
  <c r="BD4491" i="4"/>
  <c r="BD4492" i="4"/>
  <c r="BD4493" i="4"/>
  <c r="BD4494" i="4"/>
  <c r="BD4495" i="4"/>
  <c r="BD4496" i="4"/>
  <c r="BD4497" i="4"/>
  <c r="BD4498" i="4"/>
  <c r="BD4499" i="4"/>
  <c r="BD4500" i="4"/>
  <c r="BD4501" i="4"/>
  <c r="BD4502" i="4"/>
  <c r="BD4503" i="4"/>
  <c r="BD4504" i="4"/>
  <c r="BD4505" i="4"/>
  <c r="BD4506" i="4"/>
  <c r="BD4507" i="4"/>
  <c r="BD4508" i="4"/>
  <c r="BD4509" i="4"/>
  <c r="BD4510" i="4"/>
  <c r="BD4511" i="4"/>
  <c r="BD4512" i="4"/>
  <c r="BD4513" i="4"/>
  <c r="BD4514" i="4"/>
  <c r="BD4515" i="4"/>
  <c r="BD4516" i="4"/>
  <c r="BD4517" i="4"/>
  <c r="BD4518" i="4"/>
  <c r="BD4519" i="4"/>
  <c r="BD4520" i="4"/>
  <c r="BD4521" i="4"/>
  <c r="BD4522" i="4"/>
  <c r="BD4523" i="4"/>
  <c r="BD4524" i="4"/>
  <c r="BD4525" i="4"/>
  <c r="BD4526" i="4"/>
  <c r="BD4527" i="4"/>
  <c r="BD4528" i="4"/>
  <c r="BD4529" i="4"/>
  <c r="BD4530" i="4"/>
  <c r="BD4531" i="4"/>
  <c r="BD4532" i="4"/>
  <c r="BD4533" i="4"/>
  <c r="BD4534" i="4"/>
  <c r="BD4535" i="4"/>
  <c r="BD4536" i="4"/>
  <c r="BD4537" i="4"/>
  <c r="BD4538" i="4"/>
  <c r="BD4539" i="4"/>
  <c r="BD4540" i="4"/>
  <c r="BD4541" i="4"/>
  <c r="BD4542" i="4"/>
  <c r="BD4543" i="4"/>
  <c r="BD4544" i="4"/>
  <c r="BD4545" i="4"/>
  <c r="BD4546" i="4"/>
  <c r="BD4547" i="4"/>
  <c r="BD4548" i="4"/>
  <c r="BD4549" i="4"/>
  <c r="BD4550" i="4"/>
  <c r="BD4551" i="4"/>
  <c r="BD4552" i="4"/>
  <c r="BD4553" i="4"/>
  <c r="BD4554" i="4"/>
  <c r="BD4555" i="4"/>
  <c r="BD4556" i="4"/>
  <c r="BD4557" i="4"/>
  <c r="BD4558" i="4"/>
  <c r="BD4559" i="4"/>
  <c r="BD4560" i="4"/>
  <c r="BD4561" i="4"/>
  <c r="BD4562" i="4"/>
  <c r="BD4563" i="4"/>
  <c r="BD4564" i="4"/>
  <c r="BD4565" i="4"/>
  <c r="BD4566" i="4"/>
  <c r="BD4567" i="4"/>
  <c r="BD4568" i="4"/>
  <c r="BD4569" i="4"/>
  <c r="BD4570" i="4"/>
  <c r="BD4571" i="4"/>
  <c r="BD4572" i="4"/>
  <c r="BD4573" i="4"/>
  <c r="BD4574" i="4"/>
  <c r="BD4575" i="4"/>
  <c r="BD4576" i="4"/>
  <c r="BD4577" i="4"/>
  <c r="BD4578" i="4"/>
  <c r="BD4579" i="4"/>
  <c r="BD4580" i="4"/>
  <c r="BD4581" i="4"/>
  <c r="BD4582" i="4"/>
  <c r="BD4583" i="4"/>
  <c r="BD4584" i="4"/>
  <c r="BD4585" i="4"/>
  <c r="BD4586" i="4"/>
  <c r="BD4587" i="4"/>
  <c r="BD4588" i="4"/>
  <c r="BD4589" i="4"/>
  <c r="BD4590" i="4"/>
  <c r="BD4591" i="4"/>
  <c r="BD4592" i="4"/>
  <c r="BD4593" i="4"/>
  <c r="BD4594" i="4"/>
  <c r="BD4595" i="4"/>
  <c r="BD4596" i="4"/>
  <c r="BD4597" i="4"/>
  <c r="BD4598" i="4"/>
  <c r="BD4599" i="4"/>
  <c r="BD4600" i="4"/>
  <c r="BD4601" i="4"/>
  <c r="BD4602" i="4"/>
  <c r="BD4603" i="4"/>
  <c r="BD4604" i="4"/>
  <c r="BD4605" i="4"/>
  <c r="BD4606" i="4"/>
  <c r="BD4607" i="4"/>
  <c r="BD4608" i="4"/>
  <c r="BD4609" i="4"/>
  <c r="BD4610" i="4"/>
  <c r="BD4611" i="4"/>
  <c r="BD4612" i="4"/>
  <c r="BD4613" i="4"/>
  <c r="BD4614" i="4"/>
  <c r="BD4615" i="4"/>
  <c r="BD4616" i="4"/>
  <c r="BD4617" i="4"/>
  <c r="BD4618" i="4"/>
  <c r="BD4619" i="4"/>
  <c r="BD4620" i="4"/>
  <c r="BD4621" i="4"/>
  <c r="BD4622" i="4"/>
  <c r="BD4623" i="4"/>
  <c r="BD4624" i="4"/>
  <c r="BD4625" i="4"/>
  <c r="BD4626" i="4"/>
  <c r="BD4627" i="4"/>
  <c r="BD4628" i="4"/>
  <c r="BD4629" i="4"/>
  <c r="BD4630" i="4"/>
  <c r="BD4631" i="4"/>
  <c r="BD4632" i="4"/>
  <c r="BD4633" i="4"/>
  <c r="BD4634" i="4"/>
  <c r="BD4635" i="4"/>
  <c r="BD4636" i="4"/>
  <c r="BD4637" i="4"/>
  <c r="BD4638" i="4"/>
  <c r="BD4639" i="4"/>
  <c r="BD4640" i="4"/>
  <c r="BD4641" i="4"/>
  <c r="BD4642" i="4"/>
  <c r="BD4643" i="4"/>
  <c r="BD4644" i="4"/>
  <c r="BD4645" i="4"/>
  <c r="BD4646" i="4"/>
  <c r="BD4647" i="4"/>
  <c r="BD4648" i="4"/>
  <c r="BD4649" i="4"/>
  <c r="BD4650" i="4"/>
  <c r="BD4651" i="4"/>
  <c r="BD4652" i="4"/>
  <c r="BD4653" i="4"/>
  <c r="BD4654" i="4"/>
  <c r="BD4655" i="4"/>
  <c r="BD4656" i="4"/>
  <c r="BD4657" i="4"/>
  <c r="BD4658" i="4"/>
  <c r="BD4659" i="4"/>
  <c r="BD4660" i="4"/>
  <c r="BD4661" i="4"/>
  <c r="BD4662" i="4"/>
  <c r="BD4663" i="4"/>
  <c r="BD4664" i="4"/>
  <c r="BD4665" i="4"/>
  <c r="BD4666" i="4"/>
  <c r="BD4667" i="4"/>
  <c r="BD4668" i="4"/>
  <c r="BD4669" i="4"/>
  <c r="BD4670" i="4"/>
  <c r="BD4671" i="4"/>
  <c r="BD4672" i="4"/>
  <c r="BD4673" i="4"/>
  <c r="BD4674" i="4"/>
  <c r="BD4675" i="4"/>
  <c r="BD4676" i="4"/>
  <c r="BD4677" i="4"/>
  <c r="BD4678" i="4"/>
  <c r="BD4679" i="4"/>
  <c r="BD4680" i="4"/>
  <c r="BD4681" i="4"/>
  <c r="BD4682" i="4"/>
  <c r="BD4683" i="4"/>
  <c r="BD4684" i="4"/>
  <c r="BD4685" i="4"/>
  <c r="BD4686" i="4"/>
  <c r="BD4687" i="4"/>
  <c r="BD4688" i="4"/>
  <c r="BD4689" i="4"/>
  <c r="BD4690" i="4"/>
  <c r="BD4691" i="4"/>
  <c r="BD4692" i="4"/>
  <c r="BD4693" i="4"/>
  <c r="BD4694" i="4"/>
  <c r="BD4695" i="4"/>
  <c r="BD4696" i="4"/>
  <c r="BD4697" i="4"/>
  <c r="BD4698" i="4"/>
  <c r="BD4699" i="4"/>
  <c r="BD4700" i="4"/>
  <c r="BD4701" i="4"/>
  <c r="BD4702" i="4"/>
  <c r="BD4703" i="4"/>
  <c r="BD4704" i="4"/>
  <c r="BD4705" i="4"/>
  <c r="BD4706" i="4"/>
  <c r="BD4707" i="4"/>
  <c r="BD4708" i="4"/>
  <c r="BD4709" i="4"/>
  <c r="BD4710" i="4"/>
  <c r="BD4711" i="4"/>
  <c r="BD4712" i="4"/>
  <c r="BD4713" i="4"/>
  <c r="BD4714" i="4"/>
  <c r="BD4715" i="4"/>
  <c r="BD4716" i="4"/>
  <c r="BD4717" i="4"/>
  <c r="BD4718" i="4"/>
  <c r="BD4719" i="4"/>
  <c r="BD4720" i="4"/>
  <c r="BD4721" i="4"/>
  <c r="BD4722" i="4"/>
  <c r="BD4723" i="4"/>
  <c r="BD4724" i="4"/>
  <c r="BD4725" i="4"/>
  <c r="BD4726" i="4"/>
  <c r="BD4727" i="4"/>
  <c r="BD4728" i="4"/>
  <c r="BD4729" i="4"/>
  <c r="BD4730" i="4"/>
  <c r="BD4731" i="4"/>
  <c r="BD4732" i="4"/>
  <c r="BD4733" i="4"/>
  <c r="BD4734" i="4"/>
  <c r="BD4735" i="4"/>
  <c r="BD4736" i="4"/>
  <c r="BD4737" i="4"/>
  <c r="BD4738" i="4"/>
  <c r="BD4739" i="4"/>
  <c r="BD4740" i="4"/>
  <c r="BD4741" i="4"/>
  <c r="BD4742" i="4"/>
  <c r="BD4743" i="4"/>
  <c r="BD4744" i="4"/>
  <c r="BD4745" i="4"/>
  <c r="BD4746" i="4"/>
  <c r="BD4747" i="4"/>
  <c r="BD4748" i="4"/>
  <c r="BD4749" i="4"/>
  <c r="BD4750" i="4"/>
  <c r="BD4751" i="4"/>
  <c r="BD4752" i="4"/>
  <c r="BD4753" i="4"/>
  <c r="BD4754" i="4"/>
  <c r="BD4755" i="4"/>
  <c r="BD4756" i="4"/>
  <c r="BD4757" i="4"/>
  <c r="BD4758" i="4"/>
  <c r="BD4759" i="4"/>
  <c r="BD4760" i="4"/>
  <c r="BD4761" i="4"/>
  <c r="BD4762" i="4"/>
  <c r="BD4763" i="4"/>
  <c r="BD4764" i="4"/>
  <c r="BD4765" i="4"/>
  <c r="BD4766" i="4"/>
  <c r="BD4767" i="4"/>
  <c r="BD4768" i="4"/>
  <c r="BD4769" i="4"/>
  <c r="BD4770" i="4"/>
  <c r="BD4771" i="4"/>
  <c r="BD4772" i="4"/>
  <c r="BD4773" i="4"/>
  <c r="BD4774" i="4"/>
  <c r="BD4775" i="4"/>
  <c r="BD4776" i="4"/>
  <c r="BD4777" i="4"/>
  <c r="BD4778" i="4"/>
  <c r="BD4779" i="4"/>
  <c r="BD4780" i="4"/>
  <c r="BD4781" i="4"/>
  <c r="BD4782" i="4"/>
  <c r="BD4783" i="4"/>
  <c r="BD4784" i="4"/>
  <c r="BD4785" i="4"/>
  <c r="BD4786" i="4"/>
  <c r="BD4787" i="4"/>
  <c r="BD4788" i="4"/>
  <c r="BD4789" i="4"/>
  <c r="BD4790" i="4"/>
  <c r="BD4791" i="4"/>
  <c r="BD4792" i="4"/>
  <c r="BD4793" i="4"/>
  <c r="BD4794" i="4"/>
  <c r="BD4795" i="4"/>
  <c r="BD4796" i="4"/>
  <c r="BD4797" i="4"/>
  <c r="BD4798" i="4"/>
  <c r="BD4799" i="4"/>
  <c r="BD4800" i="4"/>
  <c r="BD4801" i="4"/>
  <c r="BD4802" i="4"/>
  <c r="BD4803" i="4"/>
  <c r="BD4804" i="4"/>
  <c r="BD4805" i="4"/>
  <c r="BD4806" i="4"/>
  <c r="BD4807" i="4"/>
  <c r="BD4808" i="4"/>
  <c r="BD4809" i="4"/>
  <c r="BD4810" i="4"/>
  <c r="BD4811" i="4"/>
  <c r="BD4812" i="4"/>
  <c r="BD4813" i="4"/>
  <c r="BD4814" i="4"/>
  <c r="BD4815" i="4"/>
  <c r="BD4816" i="4"/>
  <c r="BD4817" i="4"/>
  <c r="BD4818" i="4"/>
  <c r="BD4819" i="4"/>
  <c r="BD4820" i="4"/>
  <c r="BD4821" i="4"/>
  <c r="BD4822" i="4"/>
  <c r="BD4823" i="4"/>
  <c r="BD4824" i="4"/>
  <c r="BD4825" i="4"/>
  <c r="BD4826" i="4"/>
  <c r="BD4827" i="4"/>
  <c r="BD4828" i="4"/>
  <c r="BD4829" i="4"/>
  <c r="BD4830" i="4"/>
  <c r="BD4831" i="4"/>
  <c r="BD4832" i="4"/>
  <c r="BD4833" i="4"/>
  <c r="BD4834" i="4"/>
  <c r="BD4835" i="4"/>
  <c r="BD4836" i="4"/>
  <c r="BD4837" i="4"/>
  <c r="BD4838" i="4"/>
  <c r="BD4839" i="4"/>
  <c r="BD4840" i="4"/>
  <c r="BD4841" i="4"/>
  <c r="BD4842" i="4"/>
  <c r="BD4843" i="4"/>
  <c r="BD4844" i="4"/>
  <c r="BD4845" i="4"/>
  <c r="BD4846" i="4"/>
  <c r="BD4847" i="4"/>
  <c r="BD4848" i="4"/>
  <c r="BD4849" i="4"/>
  <c r="BD4850" i="4"/>
  <c r="BD4851" i="4"/>
  <c r="BD4852" i="4"/>
  <c r="BD4853" i="4"/>
  <c r="BD4854" i="4"/>
  <c r="BD4855" i="4"/>
  <c r="BD4856" i="4"/>
  <c r="BD4857" i="4"/>
  <c r="BD4858" i="4"/>
  <c r="BD4859" i="4"/>
  <c r="BD4860" i="4"/>
  <c r="BD4861" i="4"/>
  <c r="BD4862" i="4"/>
  <c r="BD4863" i="4"/>
  <c r="BD4864" i="4"/>
  <c r="BD4865" i="4"/>
  <c r="BD4866" i="4"/>
  <c r="BD4867" i="4"/>
  <c r="BD4868" i="4"/>
  <c r="BD4869" i="4"/>
  <c r="BD4870" i="4"/>
  <c r="BD4871" i="4"/>
  <c r="BD4872" i="4"/>
  <c r="BD4873" i="4"/>
  <c r="BD4874" i="4"/>
  <c r="BD4875" i="4"/>
  <c r="BD4876" i="4"/>
  <c r="BD4877" i="4"/>
  <c r="BD4878" i="4"/>
  <c r="BD4879" i="4"/>
  <c r="BD4880" i="4"/>
  <c r="BD4881" i="4"/>
  <c r="BD4882" i="4"/>
  <c r="BD4883" i="4"/>
  <c r="BD4884" i="4"/>
  <c r="BD4885" i="4"/>
  <c r="BD4886" i="4"/>
  <c r="BD4887" i="4"/>
  <c r="BD4888" i="4"/>
  <c r="BD4889" i="4"/>
  <c r="BD4890" i="4"/>
  <c r="BD4891" i="4"/>
  <c r="BD4892" i="4"/>
  <c r="BD4893" i="4"/>
  <c r="BD4894" i="4"/>
  <c r="BD4895" i="4"/>
  <c r="BD4896" i="4"/>
  <c r="BD4897" i="4"/>
  <c r="BD4898" i="4"/>
  <c r="BD4899" i="4"/>
  <c r="BD4900" i="4"/>
  <c r="BD4901" i="4"/>
  <c r="BD4902" i="4"/>
  <c r="BD4903" i="4"/>
  <c r="BD4904" i="4"/>
  <c r="BD4905" i="4"/>
  <c r="BD4906" i="4"/>
  <c r="BD4907" i="4"/>
  <c r="BD4908" i="4"/>
  <c r="BD4909" i="4"/>
  <c r="BD4910" i="4"/>
  <c r="BD4911" i="4"/>
  <c r="BD4912" i="4"/>
  <c r="BD4913" i="4"/>
  <c r="BD4914" i="4"/>
  <c r="BD4915" i="4"/>
  <c r="BD4916" i="4"/>
  <c r="BD4917" i="4"/>
  <c r="BD4918" i="4"/>
  <c r="BD4919" i="4"/>
  <c r="BD4920" i="4"/>
  <c r="BD4921" i="4"/>
  <c r="BD4922" i="4"/>
  <c r="BD4923" i="4"/>
  <c r="BD4924" i="4"/>
  <c r="BD4925" i="4"/>
  <c r="BD4926" i="4"/>
  <c r="BD4927" i="4"/>
  <c r="BD4928" i="4"/>
  <c r="BD4929" i="4"/>
  <c r="BD4930" i="4"/>
  <c r="BD4931" i="4"/>
  <c r="BD4932" i="4"/>
  <c r="BD4933" i="4"/>
  <c r="BD4934" i="4"/>
  <c r="BD4935" i="4"/>
  <c r="BD4936" i="4"/>
  <c r="BD4937" i="4"/>
  <c r="BD4938" i="4"/>
  <c r="BD4939" i="4"/>
  <c r="BD4940" i="4"/>
  <c r="BD4941" i="4"/>
  <c r="BD4942" i="4"/>
  <c r="BD4943" i="4"/>
  <c r="BD4944" i="4"/>
  <c r="BD4945" i="4"/>
  <c r="BD4946" i="4"/>
  <c r="BD4947" i="4"/>
  <c r="BD4948" i="4"/>
  <c r="BD4949" i="4"/>
  <c r="BD4950" i="4"/>
  <c r="BD4951" i="4"/>
  <c r="BD4952" i="4"/>
  <c r="BD4953" i="4"/>
  <c r="BD4954" i="4"/>
  <c r="BD4955" i="4"/>
  <c r="BD4956" i="4"/>
  <c r="BD4957" i="4"/>
  <c r="BD4958" i="4"/>
  <c r="BD4959" i="4"/>
  <c r="BD4960" i="4"/>
  <c r="BD4961" i="4"/>
  <c r="BD4962" i="4"/>
  <c r="BD4963" i="4"/>
  <c r="BD4964" i="4"/>
  <c r="BD4965" i="4"/>
  <c r="BD4966" i="4"/>
  <c r="BD4967" i="4"/>
  <c r="BD4968" i="4"/>
  <c r="BD4969" i="4"/>
  <c r="BD4970" i="4"/>
  <c r="BD4971" i="4"/>
  <c r="BD4972" i="4"/>
  <c r="BD4973" i="4"/>
  <c r="BD4974" i="4"/>
  <c r="BD4975" i="4"/>
  <c r="BD4976" i="4"/>
  <c r="BD4977" i="4"/>
  <c r="BD4978" i="4"/>
  <c r="BD4979" i="4"/>
  <c r="BD4980" i="4"/>
  <c r="BD4981" i="4"/>
  <c r="BD4982" i="4"/>
  <c r="BD4983" i="4"/>
  <c r="BD4984" i="4"/>
  <c r="BD4985" i="4"/>
  <c r="BD4986" i="4"/>
  <c r="BD4987" i="4"/>
  <c r="BD4988" i="4"/>
  <c r="BD4989" i="4"/>
  <c r="BD4990" i="4"/>
  <c r="BD4991" i="4"/>
  <c r="BD4992" i="4"/>
  <c r="BD4993" i="4"/>
  <c r="BD4994" i="4"/>
  <c r="BD4995" i="4"/>
  <c r="BD4996" i="4"/>
  <c r="BD4997" i="4"/>
  <c r="BD4998" i="4"/>
  <c r="BD4999" i="4"/>
  <c r="BD5000" i="4"/>
  <c r="BD5001" i="4"/>
  <c r="BD5002" i="4"/>
  <c r="BD5003" i="4"/>
  <c r="BD5004" i="4"/>
  <c r="BD5005" i="4"/>
  <c r="BD5006" i="4"/>
  <c r="BD5007" i="4"/>
  <c r="BD5008" i="4"/>
  <c r="BD5009" i="4"/>
  <c r="BD5010" i="4"/>
  <c r="BD5011" i="4"/>
  <c r="BD5012" i="4"/>
  <c r="BD5013" i="4"/>
  <c r="BD5014" i="4"/>
  <c r="BD5015" i="4"/>
  <c r="BD5016" i="4"/>
  <c r="BD5017" i="4"/>
  <c r="BD5018" i="4"/>
  <c r="BD5019" i="4"/>
  <c r="BD5020" i="4"/>
  <c r="BD5021" i="4"/>
  <c r="BD5022" i="4"/>
  <c r="BD5023" i="4"/>
  <c r="BD5024" i="4"/>
  <c r="BD5025" i="4"/>
  <c r="BD5026" i="4"/>
  <c r="BD5027" i="4"/>
  <c r="BD5028" i="4"/>
  <c r="BD5029" i="4"/>
  <c r="BD5030" i="4"/>
  <c r="BD5031" i="4"/>
  <c r="BD5032" i="4"/>
  <c r="BD5033" i="4"/>
  <c r="BD5034" i="4"/>
  <c r="BD5035" i="4"/>
  <c r="BD5036" i="4"/>
  <c r="BD5037" i="4"/>
  <c r="BD5038" i="4"/>
  <c r="BD5039" i="4"/>
  <c r="BD5040" i="4"/>
  <c r="BD5041" i="4"/>
  <c r="BD5042" i="4"/>
  <c r="BD5043" i="4"/>
  <c r="BD5044" i="4"/>
  <c r="BD5045" i="4"/>
  <c r="BD5046" i="4"/>
  <c r="BD5047" i="4"/>
  <c r="BD5048" i="4"/>
  <c r="BD5049" i="4"/>
  <c r="BD5050" i="4"/>
  <c r="BD5051" i="4"/>
  <c r="BD5052" i="4"/>
  <c r="BD5053" i="4"/>
  <c r="BD5054" i="4"/>
  <c r="BD5055" i="4"/>
  <c r="BD5056" i="4"/>
  <c r="BD5057" i="4"/>
  <c r="BD5058" i="4"/>
  <c r="BD5059" i="4"/>
  <c r="BD5060" i="4"/>
  <c r="BD5061" i="4"/>
  <c r="BD5062" i="4"/>
  <c r="BD5063" i="4"/>
  <c r="BD5064" i="4"/>
  <c r="BD5065" i="4"/>
  <c r="BD5066" i="4"/>
  <c r="BD5067" i="4"/>
  <c r="BD5068" i="4"/>
  <c r="BD5069" i="4"/>
  <c r="BD5070" i="4"/>
  <c r="BD5071" i="4"/>
  <c r="BD5072" i="4"/>
  <c r="BD5073" i="4"/>
  <c r="BD5074" i="4"/>
  <c r="BD5075" i="4"/>
  <c r="BD5076" i="4"/>
  <c r="BD5077" i="4"/>
  <c r="BD5078" i="4"/>
  <c r="BD5079" i="4"/>
  <c r="BD5080" i="4"/>
  <c r="BD5081" i="4"/>
  <c r="BD5082" i="4"/>
  <c r="BD5083" i="4"/>
  <c r="BD5084" i="4"/>
  <c r="BD5085" i="4"/>
  <c r="BD5086" i="4"/>
  <c r="BD5087" i="4"/>
  <c r="BD5088" i="4"/>
  <c r="BD5089" i="4"/>
  <c r="BD5090" i="4"/>
  <c r="BD5091" i="4"/>
  <c r="BD5092" i="4"/>
  <c r="BD5093" i="4"/>
  <c r="BD5094" i="4"/>
  <c r="BD5095" i="4"/>
  <c r="BD5096" i="4"/>
  <c r="BD5097" i="4"/>
  <c r="BD5098" i="4"/>
  <c r="BD5099" i="4"/>
  <c r="BD5100" i="4"/>
  <c r="BD5101" i="4"/>
  <c r="BD5102" i="4"/>
  <c r="BD5103" i="4"/>
  <c r="BD5104" i="4"/>
  <c r="BD5105" i="4"/>
  <c r="BD5106" i="4"/>
  <c r="BD5107" i="4"/>
  <c r="BD5108" i="4"/>
  <c r="BD5109" i="4"/>
  <c r="BD5110" i="4"/>
  <c r="BD5111" i="4"/>
  <c r="BD5112" i="4"/>
  <c r="BD5113" i="4"/>
  <c r="BD5114" i="4"/>
  <c r="BD5115" i="4"/>
  <c r="BD5116" i="4"/>
  <c r="BD5117" i="4"/>
  <c r="BD5118" i="4"/>
  <c r="BD5119" i="4"/>
  <c r="BD5120" i="4"/>
  <c r="BD5121" i="4"/>
  <c r="BD5122" i="4"/>
  <c r="BD5123" i="4"/>
  <c r="BD5124" i="4"/>
  <c r="BD5125" i="4"/>
  <c r="BD5126" i="4"/>
  <c r="BD5127" i="4"/>
  <c r="BD5128" i="4"/>
  <c r="BD5129" i="4"/>
  <c r="BD5130" i="4"/>
  <c r="BD5131" i="4"/>
  <c r="BD5132" i="4"/>
  <c r="BD5133" i="4"/>
  <c r="BD5134" i="4"/>
  <c r="BD5135" i="4"/>
  <c r="BD5136" i="4"/>
  <c r="BD5137" i="4"/>
  <c r="BD5138" i="4"/>
  <c r="BD5139" i="4"/>
  <c r="BD5140" i="4"/>
  <c r="BD5141" i="4"/>
  <c r="BD5142" i="4"/>
  <c r="BD5143" i="4"/>
  <c r="BD5144" i="4"/>
  <c r="BD5145" i="4"/>
  <c r="BD5146" i="4"/>
  <c r="BD5147" i="4"/>
  <c r="BD5148" i="4"/>
  <c r="BD5149" i="4"/>
  <c r="BD5150" i="4"/>
  <c r="BD5151" i="4"/>
  <c r="BD5152" i="4"/>
  <c r="BD5153" i="4"/>
  <c r="BD5154" i="4"/>
  <c r="BD5155" i="4"/>
  <c r="BD5156" i="4"/>
  <c r="BD5157" i="4"/>
  <c r="BD5158" i="4"/>
  <c r="BD5159" i="4"/>
  <c r="BD5160" i="4"/>
  <c r="BD5161" i="4"/>
  <c r="BD5162" i="4"/>
  <c r="BD5163" i="4"/>
  <c r="BD5164" i="4"/>
  <c r="BD5165" i="4"/>
  <c r="BD5166" i="4"/>
  <c r="BD5167" i="4"/>
  <c r="BD5168" i="4"/>
  <c r="BD5169" i="4"/>
  <c r="BD5170" i="4"/>
  <c r="BD5171" i="4"/>
  <c r="BD5172" i="4"/>
  <c r="BD5173" i="4"/>
  <c r="BD5174" i="4"/>
  <c r="BD5175" i="4"/>
  <c r="BD5176" i="4"/>
  <c r="BD5177" i="4"/>
  <c r="BD5178" i="4"/>
  <c r="BD5179" i="4"/>
  <c r="BD5180" i="4"/>
  <c r="BD5181" i="4"/>
  <c r="BD5182" i="4"/>
  <c r="BD5183" i="4"/>
  <c r="BD5184" i="4"/>
  <c r="BD5185" i="4"/>
  <c r="BD5186" i="4"/>
  <c r="BD5187" i="4"/>
  <c r="BD5188" i="4"/>
  <c r="BD5189" i="4"/>
  <c r="BD5190" i="4"/>
  <c r="BD5191" i="4"/>
  <c r="BD5192" i="4"/>
  <c r="BD5193" i="4"/>
  <c r="BD5194" i="4"/>
  <c r="BD5195" i="4"/>
  <c r="BD5196" i="4"/>
  <c r="BD5197" i="4"/>
  <c r="BD5198" i="4"/>
  <c r="BD5199" i="4"/>
  <c r="BD5200" i="4"/>
  <c r="BD5201" i="4"/>
  <c r="BD5202" i="4"/>
  <c r="BD5203" i="4"/>
  <c r="BD5204" i="4"/>
  <c r="BD5205" i="4"/>
  <c r="BD5206" i="4"/>
  <c r="BD5207" i="4"/>
  <c r="BD5208" i="4"/>
  <c r="BD5209" i="4"/>
  <c r="BD5210" i="4"/>
  <c r="BD5211" i="4"/>
  <c r="BD5212" i="4"/>
  <c r="BD5213" i="4"/>
  <c r="BD5214" i="4"/>
  <c r="BD5215" i="4"/>
  <c r="BD5216" i="4"/>
  <c r="BD5217" i="4"/>
  <c r="BD5218" i="4"/>
  <c r="BD5219" i="4"/>
  <c r="BD5220" i="4"/>
  <c r="BD5221" i="4"/>
  <c r="BD5222" i="4"/>
  <c r="BD5223" i="4"/>
  <c r="BD5224" i="4"/>
  <c r="BD5225" i="4"/>
  <c r="BD5226" i="4"/>
  <c r="BD5227" i="4"/>
  <c r="BD5228" i="4"/>
  <c r="BD5229" i="4"/>
  <c r="BD5230" i="4"/>
  <c r="BD5231" i="4"/>
  <c r="BD5232" i="4"/>
  <c r="BD5233" i="4"/>
  <c r="BD5234" i="4"/>
  <c r="BD5235" i="4"/>
  <c r="BD5236" i="4"/>
  <c r="BD5237" i="4"/>
  <c r="BD5238" i="4"/>
  <c r="BD5239" i="4"/>
  <c r="BD5240" i="4"/>
  <c r="BD5241" i="4"/>
  <c r="BD5242" i="4"/>
  <c r="BD5243" i="4"/>
  <c r="BD5244" i="4"/>
  <c r="BD5245" i="4"/>
  <c r="BD5246" i="4"/>
  <c r="BD5247" i="4"/>
  <c r="BD5248" i="4"/>
  <c r="BD5249" i="4"/>
  <c r="BD5250" i="4"/>
  <c r="BD5251" i="4"/>
  <c r="BD5252" i="4"/>
  <c r="BD5253" i="4"/>
  <c r="BD5254" i="4"/>
  <c r="BD5255" i="4"/>
  <c r="BD5256" i="4"/>
  <c r="BD5257" i="4"/>
  <c r="BD5258" i="4"/>
  <c r="BD5259" i="4"/>
  <c r="BD5260" i="4"/>
  <c r="BD5261" i="4"/>
  <c r="BD5262" i="4"/>
  <c r="BD5263" i="4"/>
  <c r="BD5264" i="4"/>
  <c r="BD5265" i="4"/>
  <c r="BD5266" i="4"/>
  <c r="BD5267" i="4"/>
  <c r="BD5268" i="4"/>
  <c r="BD5269" i="4"/>
  <c r="BD5270" i="4"/>
  <c r="BD5271" i="4"/>
  <c r="BD5272" i="4"/>
  <c r="BD5273" i="4"/>
  <c r="BD5274" i="4"/>
  <c r="BD5275" i="4"/>
  <c r="BD5276" i="4"/>
  <c r="BD5277" i="4"/>
  <c r="BD5278" i="4"/>
  <c r="BD5279" i="4"/>
  <c r="BD5280" i="4"/>
  <c r="BD5281" i="4"/>
  <c r="BD5282" i="4"/>
  <c r="BD5283" i="4"/>
  <c r="BD5284" i="4"/>
  <c r="BD5285" i="4"/>
  <c r="BD5286" i="4"/>
  <c r="BD5287" i="4"/>
  <c r="BD5288" i="4"/>
  <c r="BD5289" i="4"/>
  <c r="BD5290" i="4"/>
  <c r="BD5291" i="4"/>
  <c r="BD5292" i="4"/>
  <c r="BD5293" i="4"/>
  <c r="BD5294" i="4"/>
  <c r="BD5295" i="4"/>
  <c r="BD5296" i="4"/>
  <c r="BD5297" i="4"/>
  <c r="BD5298" i="4"/>
  <c r="BD5299" i="4"/>
  <c r="BD5300" i="4"/>
  <c r="BD5301" i="4"/>
  <c r="BD5302" i="4"/>
  <c r="BD5303" i="4"/>
  <c r="BD5304" i="4"/>
  <c r="BD5305" i="4"/>
  <c r="BD5306" i="4"/>
  <c r="BD5307" i="4"/>
  <c r="BD5308" i="4"/>
  <c r="BD5309" i="4"/>
  <c r="BD5310" i="4"/>
  <c r="BD5311" i="4"/>
  <c r="BD5312" i="4"/>
  <c r="BD5313" i="4"/>
  <c r="BD5314" i="4"/>
  <c r="BD5315" i="4"/>
  <c r="BD5316" i="4"/>
  <c r="BD5317" i="4"/>
  <c r="BD5318" i="4"/>
  <c r="BD5319" i="4"/>
  <c r="BD5320" i="4"/>
  <c r="BD5321" i="4"/>
  <c r="BD5322" i="4"/>
  <c r="BD5323" i="4"/>
  <c r="BD5324" i="4"/>
  <c r="BD5325" i="4"/>
  <c r="BD5326" i="4"/>
  <c r="BD5327" i="4"/>
  <c r="BD5328" i="4"/>
  <c r="BD5329" i="4"/>
  <c r="BD5330" i="4"/>
  <c r="BD5331" i="4"/>
  <c r="BD6" i="4"/>
  <c r="BB6" i="4"/>
  <c r="BB7" i="4"/>
  <c r="BB8" i="4"/>
  <c r="BB9" i="4"/>
  <c r="BB10" i="4"/>
  <c r="BB11" i="4"/>
  <c r="BB12" i="4"/>
  <c r="BB13" i="4"/>
  <c r="BB14" i="4"/>
  <c r="BB15" i="4"/>
  <c r="BB16" i="4"/>
  <c r="BB17" i="4"/>
  <c r="BB18" i="4"/>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B200" i="4"/>
  <c r="BB201" i="4"/>
  <c r="BB202" i="4"/>
  <c r="BB203" i="4"/>
  <c r="BB204" i="4"/>
  <c r="BB205" i="4"/>
  <c r="BB206" i="4"/>
  <c r="BB207" i="4"/>
  <c r="BB208" i="4"/>
  <c r="BB209" i="4"/>
  <c r="BB210" i="4"/>
  <c r="BB211" i="4"/>
  <c r="BB212" i="4"/>
  <c r="BB213" i="4"/>
  <c r="BB214" i="4"/>
  <c r="BB215" i="4"/>
  <c r="BB216" i="4"/>
  <c r="BB217" i="4"/>
  <c r="BB218" i="4"/>
  <c r="BB219" i="4"/>
  <c r="BB220" i="4"/>
  <c r="BB221" i="4"/>
  <c r="BB222" i="4"/>
  <c r="BB223" i="4"/>
  <c r="BB224" i="4"/>
  <c r="BB225" i="4"/>
  <c r="BB226" i="4"/>
  <c r="BB227" i="4"/>
  <c r="BB228" i="4"/>
  <c r="BB229" i="4"/>
  <c r="BB230" i="4"/>
  <c r="BB231" i="4"/>
  <c r="BB232" i="4"/>
  <c r="BB233" i="4"/>
  <c r="BB234" i="4"/>
  <c r="BB235" i="4"/>
  <c r="BB236" i="4"/>
  <c r="BB237" i="4"/>
  <c r="BB238" i="4"/>
  <c r="BB239" i="4"/>
  <c r="BB240" i="4"/>
  <c r="BB241" i="4"/>
  <c r="BB242" i="4"/>
  <c r="BB243" i="4"/>
  <c r="BB244" i="4"/>
  <c r="BB245" i="4"/>
  <c r="BB246" i="4"/>
  <c r="BB247" i="4"/>
  <c r="BB248" i="4"/>
  <c r="BB249" i="4"/>
  <c r="BB250" i="4"/>
  <c r="BB251" i="4"/>
  <c r="BB252" i="4"/>
  <c r="BB253" i="4"/>
  <c r="BB254" i="4"/>
  <c r="BB255" i="4"/>
  <c r="BB256" i="4"/>
  <c r="BB257" i="4"/>
  <c r="BB258" i="4"/>
  <c r="BB259" i="4"/>
  <c r="BB260" i="4"/>
  <c r="BB261" i="4"/>
  <c r="BB262" i="4"/>
  <c r="BB263" i="4"/>
  <c r="BB264" i="4"/>
  <c r="BB265" i="4"/>
  <c r="BB266" i="4"/>
  <c r="BB267" i="4"/>
  <c r="BB268" i="4"/>
  <c r="BB269" i="4"/>
  <c r="BB270" i="4"/>
  <c r="BB271" i="4"/>
  <c r="BB272" i="4"/>
  <c r="BB273" i="4"/>
  <c r="BB274" i="4"/>
  <c r="BB275" i="4"/>
  <c r="BB276" i="4"/>
  <c r="BB277" i="4"/>
  <c r="BB278" i="4"/>
  <c r="BB279" i="4"/>
  <c r="BB280" i="4"/>
  <c r="BB281" i="4"/>
  <c r="BB282" i="4"/>
  <c r="BB283" i="4"/>
  <c r="BB284" i="4"/>
  <c r="BB285" i="4"/>
  <c r="BB286" i="4"/>
  <c r="BB287" i="4"/>
  <c r="BB288" i="4"/>
  <c r="BB289" i="4"/>
  <c r="BB290" i="4"/>
  <c r="BB291" i="4"/>
  <c r="BB292" i="4"/>
  <c r="BB293" i="4"/>
  <c r="BB294" i="4"/>
  <c r="BB295" i="4"/>
  <c r="BB296" i="4"/>
  <c r="BB297" i="4"/>
  <c r="BB298" i="4"/>
  <c r="BB299" i="4"/>
  <c r="BB300" i="4"/>
  <c r="BB301" i="4"/>
  <c r="BB302" i="4"/>
  <c r="BB303" i="4"/>
  <c r="BB304" i="4"/>
  <c r="BB305" i="4"/>
  <c r="BB306" i="4"/>
  <c r="BB307" i="4"/>
  <c r="BB308" i="4"/>
  <c r="BB309" i="4"/>
  <c r="BB310" i="4"/>
  <c r="BB311" i="4"/>
  <c r="BB312" i="4"/>
  <c r="BB313" i="4"/>
  <c r="BB314" i="4"/>
  <c r="BB315" i="4"/>
  <c r="BB316" i="4"/>
  <c r="BB317" i="4"/>
  <c r="BB318" i="4"/>
  <c r="BB319" i="4"/>
  <c r="BB320" i="4"/>
  <c r="BB321" i="4"/>
  <c r="BB322" i="4"/>
  <c r="BB323" i="4"/>
  <c r="BB324" i="4"/>
  <c r="BB325" i="4"/>
  <c r="BB326" i="4"/>
  <c r="BB327" i="4"/>
  <c r="BB328" i="4"/>
  <c r="BB329" i="4"/>
  <c r="BB330" i="4"/>
  <c r="BB331" i="4"/>
  <c r="BB332" i="4"/>
  <c r="BB333" i="4"/>
  <c r="BB334" i="4"/>
  <c r="BB335" i="4"/>
  <c r="BB336" i="4"/>
  <c r="BB337" i="4"/>
  <c r="BB338" i="4"/>
  <c r="BB339" i="4"/>
  <c r="BB340" i="4"/>
  <c r="BB341" i="4"/>
  <c r="BB342" i="4"/>
  <c r="BB343" i="4"/>
  <c r="BB344" i="4"/>
  <c r="BB345" i="4"/>
  <c r="BB346" i="4"/>
  <c r="BB347" i="4"/>
  <c r="BB348" i="4"/>
  <c r="BB349" i="4"/>
  <c r="BB350" i="4"/>
  <c r="BB351" i="4"/>
  <c r="BB352" i="4"/>
  <c r="BB353" i="4"/>
  <c r="BB354" i="4"/>
  <c r="BB355" i="4"/>
  <c r="BB356" i="4"/>
  <c r="BB357" i="4"/>
  <c r="BB358" i="4"/>
  <c r="BB359" i="4"/>
  <c r="BB360" i="4"/>
  <c r="BB361" i="4"/>
  <c r="BB362" i="4"/>
  <c r="BB363" i="4"/>
  <c r="BB364" i="4"/>
  <c r="BB365" i="4"/>
  <c r="BB366" i="4"/>
  <c r="BB367" i="4"/>
  <c r="BB368" i="4"/>
  <c r="BB369" i="4"/>
  <c r="BB370" i="4"/>
  <c r="BB371" i="4"/>
  <c r="BB372" i="4"/>
  <c r="BB373" i="4"/>
  <c r="BB374" i="4"/>
  <c r="BB375" i="4"/>
  <c r="BB376" i="4"/>
  <c r="BB377" i="4"/>
  <c r="BB378" i="4"/>
  <c r="BB379" i="4"/>
  <c r="BB380" i="4"/>
  <c r="BB381" i="4"/>
  <c r="BB382" i="4"/>
  <c r="BB383" i="4"/>
  <c r="BB384" i="4"/>
  <c r="BB385" i="4"/>
  <c r="BB386" i="4"/>
  <c r="BB387" i="4"/>
  <c r="BB388" i="4"/>
  <c r="BB389" i="4"/>
  <c r="BB390" i="4"/>
  <c r="BB391" i="4"/>
  <c r="BB392" i="4"/>
  <c r="BB393" i="4"/>
  <c r="BB394" i="4"/>
  <c r="BB395" i="4"/>
  <c r="BB396" i="4"/>
  <c r="BB397" i="4"/>
  <c r="BB398" i="4"/>
  <c r="BB399" i="4"/>
  <c r="BB400" i="4"/>
  <c r="BB401" i="4"/>
  <c r="BB402" i="4"/>
  <c r="BB403" i="4"/>
  <c r="BB404" i="4"/>
  <c r="BB405" i="4"/>
  <c r="BB406" i="4"/>
  <c r="BB407" i="4"/>
  <c r="BB408" i="4"/>
  <c r="BB409" i="4"/>
  <c r="BB410" i="4"/>
  <c r="BB411" i="4"/>
  <c r="BB412" i="4"/>
  <c r="BB413" i="4"/>
  <c r="BB414" i="4"/>
  <c r="BB415" i="4"/>
  <c r="BB416" i="4"/>
  <c r="BB417" i="4"/>
  <c r="BB418" i="4"/>
  <c r="BB419" i="4"/>
  <c r="BB420" i="4"/>
  <c r="BB421" i="4"/>
  <c r="BB422" i="4"/>
  <c r="BB423" i="4"/>
  <c r="BB424" i="4"/>
  <c r="BB425" i="4"/>
  <c r="BB426" i="4"/>
  <c r="BB427" i="4"/>
  <c r="BB428" i="4"/>
  <c r="BB429" i="4"/>
  <c r="BB430" i="4"/>
  <c r="BB431" i="4"/>
  <c r="BB432" i="4"/>
  <c r="BB433" i="4"/>
  <c r="BB434" i="4"/>
  <c r="BB435" i="4"/>
  <c r="BB436" i="4"/>
  <c r="BB437" i="4"/>
  <c r="BB438" i="4"/>
  <c r="BB439" i="4"/>
  <c r="BB440" i="4"/>
  <c r="BB441" i="4"/>
  <c r="BB442" i="4"/>
  <c r="BB443" i="4"/>
  <c r="BB444" i="4"/>
  <c r="BB445" i="4"/>
  <c r="BB446" i="4"/>
  <c r="BB447" i="4"/>
  <c r="BB448" i="4"/>
  <c r="BB449" i="4"/>
  <c r="BB450" i="4"/>
  <c r="BB451" i="4"/>
  <c r="BB452" i="4"/>
  <c r="BB453" i="4"/>
  <c r="BB454" i="4"/>
  <c r="BB455" i="4"/>
  <c r="BB456" i="4"/>
  <c r="BB457" i="4"/>
  <c r="BB458" i="4"/>
  <c r="BB459" i="4"/>
  <c r="BB460" i="4"/>
  <c r="BB461" i="4"/>
  <c r="BB462" i="4"/>
  <c r="BB463" i="4"/>
  <c r="BB464" i="4"/>
  <c r="BB465" i="4"/>
  <c r="BB466" i="4"/>
  <c r="BB467" i="4"/>
  <c r="BB468" i="4"/>
  <c r="BB469" i="4"/>
  <c r="BB470" i="4"/>
  <c r="BB471" i="4"/>
  <c r="BB472" i="4"/>
  <c r="BB473" i="4"/>
  <c r="BB474" i="4"/>
  <c r="BB475" i="4"/>
  <c r="BB476" i="4"/>
  <c r="BB477" i="4"/>
  <c r="BB478" i="4"/>
  <c r="BB479" i="4"/>
  <c r="BB480" i="4"/>
  <c r="BB481" i="4"/>
  <c r="BB482" i="4"/>
  <c r="BB483" i="4"/>
  <c r="BB484" i="4"/>
  <c r="BB485" i="4"/>
  <c r="BB486" i="4"/>
  <c r="BB487" i="4"/>
  <c r="BB488" i="4"/>
  <c r="BB489" i="4"/>
  <c r="BB490" i="4"/>
  <c r="BB491" i="4"/>
  <c r="BB492" i="4"/>
  <c r="BB493" i="4"/>
  <c r="BB494" i="4"/>
  <c r="BB495" i="4"/>
  <c r="BB496" i="4"/>
  <c r="BB497" i="4"/>
  <c r="BB498" i="4"/>
  <c r="BB499" i="4"/>
  <c r="BB500" i="4"/>
  <c r="BB501" i="4"/>
  <c r="BB502" i="4"/>
  <c r="BB503" i="4"/>
  <c r="BB504" i="4"/>
  <c r="BB505" i="4"/>
  <c r="BB506" i="4"/>
  <c r="BB507" i="4"/>
  <c r="BB508" i="4"/>
  <c r="BB509" i="4"/>
  <c r="BB510" i="4"/>
  <c r="BB511" i="4"/>
  <c r="BB512" i="4"/>
  <c r="BB513" i="4"/>
  <c r="BB514" i="4"/>
  <c r="BB515" i="4"/>
  <c r="BB516" i="4"/>
  <c r="BB517" i="4"/>
  <c r="BB518" i="4"/>
  <c r="BB519" i="4"/>
  <c r="BB520" i="4"/>
  <c r="BB521" i="4"/>
  <c r="BB522" i="4"/>
  <c r="BB523" i="4"/>
  <c r="BB524" i="4"/>
  <c r="BB525" i="4"/>
  <c r="BB526" i="4"/>
  <c r="BB527" i="4"/>
  <c r="BB528" i="4"/>
  <c r="BB529" i="4"/>
  <c r="BB530" i="4"/>
  <c r="BB531" i="4"/>
  <c r="BB532" i="4"/>
  <c r="BB533" i="4"/>
  <c r="BB534" i="4"/>
  <c r="BB535" i="4"/>
  <c r="BB536" i="4"/>
  <c r="BB537" i="4"/>
  <c r="BB538" i="4"/>
  <c r="BB539" i="4"/>
  <c r="BB540" i="4"/>
  <c r="BB541" i="4"/>
  <c r="BB542" i="4"/>
  <c r="BB543" i="4"/>
  <c r="BB544" i="4"/>
  <c r="BB545" i="4"/>
  <c r="BB546" i="4"/>
  <c r="BB547" i="4"/>
  <c r="BB548" i="4"/>
  <c r="BB549" i="4"/>
  <c r="BB550" i="4"/>
  <c r="BB551" i="4"/>
  <c r="BB552" i="4"/>
  <c r="BB553" i="4"/>
  <c r="BB554" i="4"/>
  <c r="BB555" i="4"/>
  <c r="BB556" i="4"/>
  <c r="BB557" i="4"/>
  <c r="BB558" i="4"/>
  <c r="BB559" i="4"/>
  <c r="BB560" i="4"/>
  <c r="BB561" i="4"/>
  <c r="BB562" i="4"/>
  <c r="BB563" i="4"/>
  <c r="BB564" i="4"/>
  <c r="BB565" i="4"/>
  <c r="BB566" i="4"/>
  <c r="BB567" i="4"/>
  <c r="BB568" i="4"/>
  <c r="BB569" i="4"/>
  <c r="BB570" i="4"/>
  <c r="BB571" i="4"/>
  <c r="BB572" i="4"/>
  <c r="BB573" i="4"/>
  <c r="BB574" i="4"/>
  <c r="BB575" i="4"/>
  <c r="BB576" i="4"/>
  <c r="BB577" i="4"/>
  <c r="BB578" i="4"/>
  <c r="BB579" i="4"/>
  <c r="BB580" i="4"/>
  <c r="BB581" i="4"/>
  <c r="BB582" i="4"/>
  <c r="BB583" i="4"/>
  <c r="BB584" i="4"/>
  <c r="BB585" i="4"/>
  <c r="BB586" i="4"/>
  <c r="BB587" i="4"/>
  <c r="BB588" i="4"/>
  <c r="BB589" i="4"/>
  <c r="BB590" i="4"/>
  <c r="BB591" i="4"/>
  <c r="BB592" i="4"/>
  <c r="BB593" i="4"/>
  <c r="BB594" i="4"/>
  <c r="BB595" i="4"/>
  <c r="BB596" i="4"/>
  <c r="BB597" i="4"/>
  <c r="BB598" i="4"/>
  <c r="BB599" i="4"/>
  <c r="BB600" i="4"/>
  <c r="BB601" i="4"/>
  <c r="BB602" i="4"/>
  <c r="BB603" i="4"/>
  <c r="BB604" i="4"/>
  <c r="BB605" i="4"/>
  <c r="BB606" i="4"/>
  <c r="BB607" i="4"/>
  <c r="BB608" i="4"/>
  <c r="BB609" i="4"/>
  <c r="BB610" i="4"/>
  <c r="BB611" i="4"/>
  <c r="BB612" i="4"/>
  <c r="BB613" i="4"/>
  <c r="BB614" i="4"/>
  <c r="BB615" i="4"/>
  <c r="BB616" i="4"/>
  <c r="BB617" i="4"/>
  <c r="BB618" i="4"/>
  <c r="BB619" i="4"/>
  <c r="BB620" i="4"/>
  <c r="BB621" i="4"/>
  <c r="BB622" i="4"/>
  <c r="BB623" i="4"/>
  <c r="BB624" i="4"/>
  <c r="BB625" i="4"/>
  <c r="BB626" i="4"/>
  <c r="BB627" i="4"/>
  <c r="BB628" i="4"/>
  <c r="BB629" i="4"/>
  <c r="BB630" i="4"/>
  <c r="BB631" i="4"/>
  <c r="BB632" i="4"/>
  <c r="BB633" i="4"/>
  <c r="BB634" i="4"/>
  <c r="BB635" i="4"/>
  <c r="BB636" i="4"/>
  <c r="BB637" i="4"/>
  <c r="BB638" i="4"/>
  <c r="BB639" i="4"/>
  <c r="BB640" i="4"/>
  <c r="BB641" i="4"/>
  <c r="BB642" i="4"/>
  <c r="BB643" i="4"/>
  <c r="BB644" i="4"/>
  <c r="BB645" i="4"/>
  <c r="BB646" i="4"/>
  <c r="BB647" i="4"/>
  <c r="BB648" i="4"/>
  <c r="BB649" i="4"/>
  <c r="BB650" i="4"/>
  <c r="BB651" i="4"/>
  <c r="BB652" i="4"/>
  <c r="BB653" i="4"/>
  <c r="BB654" i="4"/>
  <c r="BB655" i="4"/>
  <c r="BB656" i="4"/>
  <c r="BB657" i="4"/>
  <c r="BB658" i="4"/>
  <c r="BB659" i="4"/>
  <c r="BB660" i="4"/>
  <c r="BB661" i="4"/>
  <c r="BB662" i="4"/>
  <c r="BB663" i="4"/>
  <c r="BB664" i="4"/>
  <c r="BB665" i="4"/>
  <c r="BB666" i="4"/>
  <c r="BB667" i="4"/>
  <c r="BB668" i="4"/>
  <c r="BB669" i="4"/>
  <c r="BB670" i="4"/>
  <c r="BB671" i="4"/>
  <c r="BB672" i="4"/>
  <c r="BB673" i="4"/>
  <c r="BB674" i="4"/>
  <c r="BB675" i="4"/>
  <c r="BB676" i="4"/>
  <c r="BB677" i="4"/>
  <c r="BB678" i="4"/>
  <c r="BB679" i="4"/>
  <c r="BB680" i="4"/>
  <c r="BB681" i="4"/>
  <c r="BB682" i="4"/>
  <c r="BB683" i="4"/>
  <c r="BB684" i="4"/>
  <c r="BB685" i="4"/>
  <c r="BB686" i="4"/>
  <c r="BB687" i="4"/>
  <c r="BB688" i="4"/>
  <c r="BB689" i="4"/>
  <c r="BB690" i="4"/>
  <c r="BB691" i="4"/>
  <c r="BB692" i="4"/>
  <c r="BB693" i="4"/>
  <c r="BB694" i="4"/>
  <c r="BB695" i="4"/>
  <c r="BB696" i="4"/>
  <c r="BB697" i="4"/>
  <c r="BB698" i="4"/>
  <c r="BB699" i="4"/>
  <c r="BB700" i="4"/>
  <c r="BB701" i="4"/>
  <c r="BB702" i="4"/>
  <c r="BB703" i="4"/>
  <c r="BB704" i="4"/>
  <c r="BB705" i="4"/>
  <c r="BB706" i="4"/>
  <c r="BB707" i="4"/>
  <c r="BB708" i="4"/>
  <c r="BB709" i="4"/>
  <c r="BB710" i="4"/>
  <c r="BB711" i="4"/>
  <c r="BB712" i="4"/>
  <c r="BB713" i="4"/>
  <c r="BB714" i="4"/>
  <c r="BB715" i="4"/>
  <c r="BB716" i="4"/>
  <c r="BB717" i="4"/>
  <c r="BB718" i="4"/>
  <c r="BB719" i="4"/>
  <c r="BB720" i="4"/>
  <c r="BB721" i="4"/>
  <c r="BB722" i="4"/>
  <c r="BB723" i="4"/>
  <c r="BB724" i="4"/>
  <c r="BB725" i="4"/>
  <c r="BB726" i="4"/>
  <c r="BB727" i="4"/>
  <c r="BB728" i="4"/>
  <c r="BB729" i="4"/>
  <c r="BB730" i="4"/>
  <c r="BB731" i="4"/>
  <c r="BB732" i="4"/>
  <c r="BB733" i="4"/>
  <c r="BB734" i="4"/>
  <c r="BB735" i="4"/>
  <c r="BB736" i="4"/>
  <c r="BB737" i="4"/>
  <c r="BB738" i="4"/>
  <c r="BB739" i="4"/>
  <c r="BB740" i="4"/>
  <c r="BB741" i="4"/>
  <c r="BB742" i="4"/>
  <c r="BB743" i="4"/>
  <c r="BB744" i="4"/>
  <c r="BB745" i="4"/>
  <c r="BB746" i="4"/>
  <c r="BB747" i="4"/>
  <c r="BB748" i="4"/>
  <c r="BB749" i="4"/>
  <c r="BB750" i="4"/>
  <c r="BB751" i="4"/>
  <c r="BB752" i="4"/>
  <c r="BB753" i="4"/>
  <c r="BB754" i="4"/>
  <c r="BB755" i="4"/>
  <c r="BB756" i="4"/>
  <c r="BB757" i="4"/>
  <c r="BB758" i="4"/>
  <c r="BB759" i="4"/>
  <c r="BB760" i="4"/>
  <c r="BB761" i="4"/>
  <c r="BB762" i="4"/>
  <c r="BB763" i="4"/>
  <c r="BB764" i="4"/>
  <c r="BB765" i="4"/>
  <c r="BB766" i="4"/>
  <c r="BB767" i="4"/>
  <c r="BB768" i="4"/>
  <c r="BB769" i="4"/>
  <c r="BB770" i="4"/>
  <c r="BB771" i="4"/>
  <c r="BB772" i="4"/>
  <c r="BB773" i="4"/>
  <c r="BB774" i="4"/>
  <c r="BB775" i="4"/>
  <c r="BB776" i="4"/>
  <c r="BB777" i="4"/>
  <c r="BB778" i="4"/>
  <c r="BB779" i="4"/>
  <c r="BB780" i="4"/>
  <c r="BB781" i="4"/>
  <c r="BB782" i="4"/>
  <c r="BB783" i="4"/>
  <c r="BB784" i="4"/>
  <c r="BB785" i="4"/>
  <c r="BB786" i="4"/>
  <c r="BB787" i="4"/>
  <c r="BB788" i="4"/>
  <c r="BB789" i="4"/>
  <c r="BB790" i="4"/>
  <c r="BB791" i="4"/>
  <c r="BB792" i="4"/>
  <c r="BB793" i="4"/>
  <c r="BB794" i="4"/>
  <c r="BB795" i="4"/>
  <c r="BB796" i="4"/>
  <c r="BB797" i="4"/>
  <c r="BB798" i="4"/>
  <c r="BB799" i="4"/>
  <c r="BB800" i="4"/>
  <c r="BB801" i="4"/>
  <c r="BB802" i="4"/>
  <c r="BB803" i="4"/>
  <c r="BB804" i="4"/>
  <c r="BB805" i="4"/>
  <c r="BB806" i="4"/>
  <c r="BB807" i="4"/>
  <c r="BB808" i="4"/>
  <c r="BB809" i="4"/>
  <c r="BB810" i="4"/>
  <c r="BB811" i="4"/>
  <c r="BB812" i="4"/>
  <c r="BB813" i="4"/>
  <c r="BB814" i="4"/>
  <c r="BB815" i="4"/>
  <c r="BB816" i="4"/>
  <c r="BB817" i="4"/>
  <c r="BB818" i="4"/>
  <c r="BB819" i="4"/>
  <c r="BB820" i="4"/>
  <c r="BB821" i="4"/>
  <c r="BB822" i="4"/>
  <c r="BB823" i="4"/>
  <c r="BB824" i="4"/>
  <c r="BB825" i="4"/>
  <c r="BB826" i="4"/>
  <c r="BB827" i="4"/>
  <c r="BB828" i="4"/>
  <c r="BB829" i="4"/>
  <c r="BB830" i="4"/>
  <c r="BB831" i="4"/>
  <c r="BB832" i="4"/>
  <c r="BB833" i="4"/>
  <c r="BB834" i="4"/>
  <c r="BB835" i="4"/>
  <c r="BB836" i="4"/>
  <c r="BB837" i="4"/>
  <c r="BB838" i="4"/>
  <c r="BB839" i="4"/>
  <c r="BB840" i="4"/>
  <c r="BB841" i="4"/>
  <c r="BB842" i="4"/>
  <c r="BB843" i="4"/>
  <c r="BB844" i="4"/>
  <c r="BB845" i="4"/>
  <c r="BB846" i="4"/>
  <c r="BB847" i="4"/>
  <c r="BB848" i="4"/>
  <c r="BB849" i="4"/>
  <c r="BB850" i="4"/>
  <c r="BB851" i="4"/>
  <c r="BB852" i="4"/>
  <c r="BB853" i="4"/>
  <c r="BB854" i="4"/>
  <c r="BB855" i="4"/>
  <c r="BB856" i="4"/>
  <c r="BB857" i="4"/>
  <c r="BB858" i="4"/>
  <c r="BB859" i="4"/>
  <c r="BB860" i="4"/>
  <c r="BB861" i="4"/>
  <c r="BB862" i="4"/>
  <c r="BB863" i="4"/>
  <c r="BB864" i="4"/>
  <c r="BB865" i="4"/>
  <c r="BB866" i="4"/>
  <c r="BB867" i="4"/>
  <c r="BB868" i="4"/>
  <c r="BB869" i="4"/>
  <c r="BB870" i="4"/>
  <c r="BB871" i="4"/>
  <c r="BB872" i="4"/>
  <c r="BB873" i="4"/>
  <c r="BB874" i="4"/>
  <c r="BB875" i="4"/>
  <c r="BB876" i="4"/>
  <c r="BB877" i="4"/>
  <c r="BB878" i="4"/>
  <c r="BB879" i="4"/>
  <c r="BB880" i="4"/>
  <c r="BB881" i="4"/>
  <c r="BB882" i="4"/>
  <c r="BB883" i="4"/>
  <c r="BB884" i="4"/>
  <c r="BB885" i="4"/>
  <c r="BB886" i="4"/>
  <c r="BB887" i="4"/>
  <c r="BB888" i="4"/>
  <c r="BB889" i="4"/>
  <c r="BB890" i="4"/>
  <c r="BB891" i="4"/>
  <c r="BB892" i="4"/>
  <c r="BB893" i="4"/>
  <c r="BB894" i="4"/>
  <c r="BB895" i="4"/>
  <c r="BB896" i="4"/>
  <c r="BB897" i="4"/>
  <c r="BB898" i="4"/>
  <c r="BB899" i="4"/>
  <c r="BB900" i="4"/>
  <c r="BB901" i="4"/>
  <c r="BB902" i="4"/>
  <c r="BB903" i="4"/>
  <c r="BB904" i="4"/>
  <c r="BB905" i="4"/>
  <c r="BB906" i="4"/>
  <c r="BB907" i="4"/>
  <c r="BB908" i="4"/>
  <c r="BB909" i="4"/>
  <c r="BB910" i="4"/>
  <c r="BB911" i="4"/>
  <c r="BB912" i="4"/>
  <c r="BB913" i="4"/>
  <c r="BB914" i="4"/>
  <c r="BB915" i="4"/>
  <c r="BB916" i="4"/>
  <c r="BB917" i="4"/>
  <c r="BB918" i="4"/>
  <c r="BB919" i="4"/>
  <c r="BB920" i="4"/>
  <c r="BB921" i="4"/>
  <c r="BB922" i="4"/>
  <c r="BB923" i="4"/>
  <c r="BB924" i="4"/>
  <c r="BB925" i="4"/>
  <c r="BB926" i="4"/>
  <c r="BB927" i="4"/>
  <c r="BB928" i="4"/>
  <c r="BB929" i="4"/>
  <c r="BB930" i="4"/>
  <c r="BB931" i="4"/>
  <c r="BB932" i="4"/>
  <c r="BB933" i="4"/>
  <c r="BB934" i="4"/>
  <c r="BB935" i="4"/>
  <c r="BB936" i="4"/>
  <c r="BB937" i="4"/>
  <c r="BB938" i="4"/>
  <c r="BB939" i="4"/>
  <c r="BB940" i="4"/>
  <c r="BB941" i="4"/>
  <c r="BB942" i="4"/>
  <c r="BB943" i="4"/>
  <c r="BB944" i="4"/>
  <c r="BB945" i="4"/>
  <c r="BB946" i="4"/>
  <c r="BB947" i="4"/>
  <c r="BB948" i="4"/>
  <c r="BB949" i="4"/>
  <c r="BB950" i="4"/>
  <c r="BB951" i="4"/>
  <c r="BB952" i="4"/>
  <c r="BB953" i="4"/>
  <c r="BB954" i="4"/>
  <c r="BB955" i="4"/>
  <c r="BB956" i="4"/>
  <c r="BB957" i="4"/>
  <c r="BB958" i="4"/>
  <c r="BB959" i="4"/>
  <c r="BB960" i="4"/>
  <c r="BB961" i="4"/>
  <c r="BB962" i="4"/>
  <c r="BB963" i="4"/>
  <c r="BB964" i="4"/>
  <c r="BB965" i="4"/>
  <c r="BB966" i="4"/>
  <c r="BB967" i="4"/>
  <c r="BB968" i="4"/>
  <c r="BB969" i="4"/>
  <c r="BB970" i="4"/>
  <c r="BB971" i="4"/>
  <c r="BB972" i="4"/>
  <c r="BB973" i="4"/>
  <c r="BB974" i="4"/>
  <c r="BB975" i="4"/>
  <c r="BB976" i="4"/>
  <c r="BB977" i="4"/>
  <c r="BB978" i="4"/>
  <c r="BB979" i="4"/>
  <c r="BB980" i="4"/>
  <c r="BB981" i="4"/>
  <c r="BB982" i="4"/>
  <c r="BB983" i="4"/>
  <c r="BB984" i="4"/>
  <c r="BB985" i="4"/>
  <c r="BB986" i="4"/>
  <c r="BB987" i="4"/>
  <c r="BB988" i="4"/>
  <c r="BB989" i="4"/>
  <c r="BB990" i="4"/>
  <c r="BB991" i="4"/>
  <c r="BB992" i="4"/>
  <c r="BB993" i="4"/>
  <c r="BB994" i="4"/>
  <c r="BB995" i="4"/>
  <c r="BB996" i="4"/>
  <c r="BB997" i="4"/>
  <c r="BB998" i="4"/>
  <c r="BB999" i="4"/>
  <c r="BB1000" i="4"/>
  <c r="BB1001" i="4"/>
  <c r="BB1002" i="4"/>
  <c r="BB1003" i="4"/>
  <c r="BB1004" i="4"/>
  <c r="BB1005" i="4"/>
  <c r="BB1006" i="4"/>
  <c r="BB1007" i="4"/>
  <c r="BB1008" i="4"/>
  <c r="BB1009" i="4"/>
  <c r="BB1010" i="4"/>
  <c r="BB1011" i="4"/>
  <c r="BB1012" i="4"/>
  <c r="BB1013" i="4"/>
  <c r="BB1014" i="4"/>
  <c r="BB1015" i="4"/>
  <c r="BB1016" i="4"/>
  <c r="BB1017" i="4"/>
  <c r="BB1018" i="4"/>
  <c r="BB1019" i="4"/>
  <c r="BB1020" i="4"/>
  <c r="BB1021" i="4"/>
  <c r="BB1022" i="4"/>
  <c r="BB1023" i="4"/>
  <c r="BB1024" i="4"/>
  <c r="BB1025" i="4"/>
  <c r="BB1026" i="4"/>
  <c r="BB1027" i="4"/>
  <c r="BB1028" i="4"/>
  <c r="BB1029" i="4"/>
  <c r="BB1030" i="4"/>
  <c r="BB1031" i="4"/>
  <c r="BB1032" i="4"/>
  <c r="BB1033" i="4"/>
  <c r="BB1034" i="4"/>
  <c r="BB1035" i="4"/>
  <c r="BB1036" i="4"/>
  <c r="BB1037" i="4"/>
  <c r="BB1038" i="4"/>
  <c r="BB1039" i="4"/>
  <c r="BB1040" i="4"/>
  <c r="BB1041" i="4"/>
  <c r="BB1042" i="4"/>
  <c r="BB1043" i="4"/>
  <c r="BB1044" i="4"/>
  <c r="BB1045" i="4"/>
  <c r="BB1046" i="4"/>
  <c r="BB1047" i="4"/>
  <c r="BB1048" i="4"/>
  <c r="BB1049" i="4"/>
  <c r="BB1050" i="4"/>
  <c r="BB1051" i="4"/>
  <c r="BB1052" i="4"/>
  <c r="BB1053" i="4"/>
  <c r="BB1054" i="4"/>
  <c r="BB1055" i="4"/>
  <c r="BB1056" i="4"/>
  <c r="BB1057" i="4"/>
  <c r="BB1058" i="4"/>
  <c r="BB1059" i="4"/>
  <c r="BB1060" i="4"/>
  <c r="BB1061" i="4"/>
  <c r="BB1062" i="4"/>
  <c r="BB1063" i="4"/>
  <c r="BB1064" i="4"/>
  <c r="BB1065" i="4"/>
  <c r="BB1066" i="4"/>
  <c r="BB1067" i="4"/>
  <c r="BB1068" i="4"/>
  <c r="BB1069" i="4"/>
  <c r="BB1070" i="4"/>
  <c r="BB1071" i="4"/>
  <c r="BB1072" i="4"/>
  <c r="BB1073" i="4"/>
  <c r="BB1074" i="4"/>
  <c r="BB1075" i="4"/>
  <c r="BB1076" i="4"/>
  <c r="BB1077" i="4"/>
  <c r="BB1078" i="4"/>
  <c r="BB1079" i="4"/>
  <c r="BB1080" i="4"/>
  <c r="BB1081" i="4"/>
  <c r="BB1082" i="4"/>
  <c r="BB1083" i="4"/>
  <c r="BB1084" i="4"/>
  <c r="BB1085" i="4"/>
  <c r="BB1086" i="4"/>
  <c r="BB1087" i="4"/>
  <c r="BB1088" i="4"/>
  <c r="BB1089" i="4"/>
  <c r="BB1090" i="4"/>
  <c r="BB1091" i="4"/>
  <c r="BB1092" i="4"/>
  <c r="BB1093" i="4"/>
  <c r="BB1094" i="4"/>
  <c r="BB1095" i="4"/>
  <c r="BB1096" i="4"/>
  <c r="BB1097" i="4"/>
  <c r="BB1098" i="4"/>
  <c r="BB1099" i="4"/>
  <c r="BB1100" i="4"/>
  <c r="BB1101" i="4"/>
  <c r="BB1102" i="4"/>
  <c r="BB1103" i="4"/>
  <c r="BB1104" i="4"/>
  <c r="BB1105" i="4"/>
  <c r="BB1106" i="4"/>
  <c r="BB1107" i="4"/>
  <c r="BB1108" i="4"/>
  <c r="BB1109" i="4"/>
  <c r="BB1110" i="4"/>
  <c r="BB1111" i="4"/>
  <c r="BB1112" i="4"/>
  <c r="BB1113" i="4"/>
  <c r="BB1114" i="4"/>
  <c r="BB1115" i="4"/>
  <c r="BB1116" i="4"/>
  <c r="BB1117" i="4"/>
  <c r="BB1118" i="4"/>
  <c r="BB1119" i="4"/>
  <c r="BB1120" i="4"/>
  <c r="BB1121" i="4"/>
  <c r="BB1122" i="4"/>
  <c r="BB1123" i="4"/>
  <c r="BB1124" i="4"/>
  <c r="BB1125" i="4"/>
  <c r="BB1126" i="4"/>
  <c r="BB1127" i="4"/>
  <c r="BB1128" i="4"/>
  <c r="BB1129" i="4"/>
  <c r="BB1130" i="4"/>
  <c r="BB1131" i="4"/>
  <c r="BB1132" i="4"/>
  <c r="BB1133" i="4"/>
  <c r="BB1134" i="4"/>
  <c r="BB1135" i="4"/>
  <c r="BB1136" i="4"/>
  <c r="BB1137" i="4"/>
  <c r="BB1138" i="4"/>
  <c r="BB1139" i="4"/>
  <c r="BB1140" i="4"/>
  <c r="BB1141" i="4"/>
  <c r="BB1142" i="4"/>
  <c r="BB1143" i="4"/>
  <c r="BB1144" i="4"/>
  <c r="BB1145" i="4"/>
  <c r="BB1146" i="4"/>
  <c r="BB1147" i="4"/>
  <c r="BB1148" i="4"/>
  <c r="BB1149" i="4"/>
  <c r="BB1150" i="4"/>
  <c r="BB1151" i="4"/>
  <c r="BB1152" i="4"/>
  <c r="BB1153" i="4"/>
  <c r="BB1154" i="4"/>
  <c r="BB1155" i="4"/>
  <c r="BB1156" i="4"/>
  <c r="BB1157" i="4"/>
  <c r="BB1158" i="4"/>
  <c r="BB1159" i="4"/>
  <c r="BB1160" i="4"/>
  <c r="BB1161" i="4"/>
  <c r="BB1162" i="4"/>
  <c r="BB1163" i="4"/>
  <c r="BB1164" i="4"/>
  <c r="BB1165" i="4"/>
  <c r="BB1166" i="4"/>
  <c r="BB1167" i="4"/>
  <c r="BB1168" i="4"/>
  <c r="BB1169" i="4"/>
  <c r="BB1170" i="4"/>
  <c r="BB1171" i="4"/>
  <c r="BB1172" i="4"/>
  <c r="BB1173" i="4"/>
  <c r="BB1174" i="4"/>
  <c r="BB1175" i="4"/>
  <c r="BB1176" i="4"/>
  <c r="BB1177" i="4"/>
  <c r="BB1178" i="4"/>
  <c r="BB1179" i="4"/>
  <c r="BB1180" i="4"/>
  <c r="BB1181" i="4"/>
  <c r="BB1182" i="4"/>
  <c r="BB1183" i="4"/>
  <c r="BB1184" i="4"/>
  <c r="BB1185" i="4"/>
  <c r="BB1186" i="4"/>
  <c r="BB1187" i="4"/>
  <c r="BB1188" i="4"/>
  <c r="BB1189" i="4"/>
  <c r="BB1190" i="4"/>
  <c r="BB1191" i="4"/>
  <c r="BB1192" i="4"/>
  <c r="BB1193" i="4"/>
  <c r="BB1194" i="4"/>
  <c r="BB1195" i="4"/>
  <c r="BB1196" i="4"/>
  <c r="BB1197" i="4"/>
  <c r="BB1198" i="4"/>
  <c r="BB1199" i="4"/>
  <c r="BB1200" i="4"/>
  <c r="BB1201" i="4"/>
  <c r="BB1202" i="4"/>
  <c r="BB1203" i="4"/>
  <c r="BB1204" i="4"/>
  <c r="BB1205" i="4"/>
  <c r="BB1206" i="4"/>
  <c r="BB1207" i="4"/>
  <c r="BB1208" i="4"/>
  <c r="BB1209" i="4"/>
  <c r="BB1210" i="4"/>
  <c r="BB1211" i="4"/>
  <c r="BB1212" i="4"/>
  <c r="BB1213" i="4"/>
  <c r="BB1214" i="4"/>
  <c r="BB1215" i="4"/>
  <c r="BB1216" i="4"/>
  <c r="BB1217" i="4"/>
  <c r="BB1218" i="4"/>
  <c r="BB1219" i="4"/>
  <c r="BB1220" i="4"/>
  <c r="BB1221" i="4"/>
  <c r="BB1222" i="4"/>
  <c r="BB1223" i="4"/>
  <c r="BB1224" i="4"/>
  <c r="BB1225" i="4"/>
  <c r="BB1226" i="4"/>
  <c r="BB1227" i="4"/>
  <c r="BB1228" i="4"/>
  <c r="BB1229" i="4"/>
  <c r="BB1230" i="4"/>
  <c r="BB1231" i="4"/>
  <c r="BB1232" i="4"/>
  <c r="BB1233" i="4"/>
  <c r="BB1234" i="4"/>
  <c r="BB1235" i="4"/>
  <c r="BB1236" i="4"/>
  <c r="BB1237" i="4"/>
  <c r="BB1238" i="4"/>
  <c r="BB1239" i="4"/>
  <c r="BB1240" i="4"/>
  <c r="BB1241" i="4"/>
  <c r="BB1242" i="4"/>
  <c r="BB1243" i="4"/>
  <c r="BB1244" i="4"/>
  <c r="BB1245" i="4"/>
  <c r="BB1246" i="4"/>
  <c r="BB1247" i="4"/>
  <c r="BB1248" i="4"/>
  <c r="BB1249" i="4"/>
  <c r="BB1250" i="4"/>
  <c r="BB1251" i="4"/>
  <c r="BB1252" i="4"/>
  <c r="BB1253" i="4"/>
  <c r="BB1254" i="4"/>
  <c r="BB1255" i="4"/>
  <c r="BB1256" i="4"/>
  <c r="BB1257" i="4"/>
  <c r="BB1258" i="4"/>
  <c r="BB1259" i="4"/>
  <c r="BB1260" i="4"/>
  <c r="BB1261" i="4"/>
  <c r="BB1262" i="4"/>
  <c r="BB1263" i="4"/>
  <c r="BB1264" i="4"/>
  <c r="BB1265" i="4"/>
  <c r="BB1266" i="4"/>
  <c r="BB1267" i="4"/>
  <c r="BB1268" i="4"/>
  <c r="BB1269" i="4"/>
  <c r="BB1270" i="4"/>
  <c r="BB1271" i="4"/>
  <c r="BB1272" i="4"/>
  <c r="BB1273" i="4"/>
  <c r="BB1274" i="4"/>
  <c r="BB1275" i="4"/>
  <c r="BB1276" i="4"/>
  <c r="BB1277" i="4"/>
  <c r="BB1278" i="4"/>
  <c r="BB1279" i="4"/>
  <c r="BB1280" i="4"/>
  <c r="BB1281" i="4"/>
  <c r="BB1282" i="4"/>
  <c r="BB1283" i="4"/>
  <c r="BB1284" i="4"/>
  <c r="BB1285" i="4"/>
  <c r="BB1286" i="4"/>
  <c r="BB1287" i="4"/>
  <c r="BB1288" i="4"/>
  <c r="BB1289" i="4"/>
  <c r="BB1290" i="4"/>
  <c r="BB1291" i="4"/>
  <c r="BB1292" i="4"/>
  <c r="BB1293" i="4"/>
  <c r="BB1294" i="4"/>
  <c r="BB1295" i="4"/>
  <c r="BB1296" i="4"/>
  <c r="BB1297" i="4"/>
  <c r="BB1298" i="4"/>
  <c r="BB1299" i="4"/>
  <c r="BB1300" i="4"/>
  <c r="BB1301" i="4"/>
  <c r="BB1302" i="4"/>
  <c r="BB1303" i="4"/>
  <c r="BB1304" i="4"/>
  <c r="BB1305" i="4"/>
  <c r="BB1306" i="4"/>
  <c r="BB1307" i="4"/>
  <c r="BB1308" i="4"/>
  <c r="BB1309" i="4"/>
  <c r="BB1310" i="4"/>
  <c r="BB1311" i="4"/>
  <c r="BB1312" i="4"/>
  <c r="BB1313" i="4"/>
  <c r="BB1314" i="4"/>
  <c r="BB1315" i="4"/>
  <c r="BB1316" i="4"/>
  <c r="BB1317" i="4"/>
  <c r="BB1318" i="4"/>
  <c r="BB1319" i="4"/>
  <c r="BB1320" i="4"/>
  <c r="BB1321" i="4"/>
  <c r="BB1322" i="4"/>
  <c r="BB1323" i="4"/>
  <c r="BB1324" i="4"/>
  <c r="BB1325" i="4"/>
  <c r="BB1326" i="4"/>
  <c r="BB1327" i="4"/>
  <c r="BB1328" i="4"/>
  <c r="BB1329" i="4"/>
  <c r="BB1330" i="4"/>
  <c r="BB1331" i="4"/>
  <c r="BB1332" i="4"/>
  <c r="BB1333" i="4"/>
  <c r="BB1334" i="4"/>
  <c r="BB1335" i="4"/>
  <c r="BB1336" i="4"/>
  <c r="BB1337" i="4"/>
  <c r="BB1338" i="4"/>
  <c r="BB1339" i="4"/>
  <c r="BB1340" i="4"/>
  <c r="BB1341" i="4"/>
  <c r="BB1342" i="4"/>
  <c r="BB1343" i="4"/>
  <c r="BB1344" i="4"/>
  <c r="BB1345" i="4"/>
  <c r="BB1346" i="4"/>
  <c r="BB1347" i="4"/>
  <c r="BB1348" i="4"/>
  <c r="BB1349" i="4"/>
  <c r="BB1350" i="4"/>
  <c r="BB1351" i="4"/>
  <c r="BB1352" i="4"/>
  <c r="BB1353" i="4"/>
  <c r="BB1354" i="4"/>
  <c r="BB1355" i="4"/>
  <c r="BB1356" i="4"/>
  <c r="BB1357" i="4"/>
  <c r="BB1358" i="4"/>
  <c r="BB1359" i="4"/>
  <c r="BB1360" i="4"/>
  <c r="BB1361" i="4"/>
  <c r="BB1362" i="4"/>
  <c r="BB1363" i="4"/>
  <c r="BB1364" i="4"/>
  <c r="BB1365" i="4"/>
  <c r="BB1366" i="4"/>
  <c r="BB1367" i="4"/>
  <c r="BB1368" i="4"/>
  <c r="BB1369" i="4"/>
  <c r="BB1370" i="4"/>
  <c r="BB1371" i="4"/>
  <c r="BB1372" i="4"/>
  <c r="BB1373" i="4"/>
  <c r="BB1374" i="4"/>
  <c r="BB1375" i="4"/>
  <c r="BB1376" i="4"/>
  <c r="BB1377" i="4"/>
  <c r="BB1378" i="4"/>
  <c r="BB1379" i="4"/>
  <c r="BB1380" i="4"/>
  <c r="BB1381" i="4"/>
  <c r="BB1382" i="4"/>
  <c r="BB1383" i="4"/>
  <c r="BB1384" i="4"/>
  <c r="BB1385" i="4"/>
  <c r="BB1386" i="4"/>
  <c r="BB1387" i="4"/>
  <c r="BB1388" i="4"/>
  <c r="BB1389" i="4"/>
  <c r="BB1390" i="4"/>
  <c r="BB1391" i="4"/>
  <c r="BB1392" i="4"/>
  <c r="BB1393" i="4"/>
  <c r="BB1394" i="4"/>
  <c r="BB1395" i="4"/>
  <c r="BB1396" i="4"/>
  <c r="BB1397" i="4"/>
  <c r="BB1398" i="4"/>
  <c r="BB1399" i="4"/>
  <c r="BB1400" i="4"/>
  <c r="BB1401" i="4"/>
  <c r="BB1402" i="4"/>
  <c r="BB1403" i="4"/>
  <c r="BB1404" i="4"/>
  <c r="BB1405" i="4"/>
  <c r="BB1406" i="4"/>
  <c r="BB1407" i="4"/>
  <c r="BB1408" i="4"/>
  <c r="BB1409" i="4"/>
  <c r="BB1410" i="4"/>
  <c r="BB1411" i="4"/>
  <c r="BB1412" i="4"/>
  <c r="BB1413" i="4"/>
  <c r="BB1414" i="4"/>
  <c r="BB1415" i="4"/>
  <c r="BB1416" i="4"/>
  <c r="BB1417" i="4"/>
  <c r="BB1418" i="4"/>
  <c r="BB1419" i="4"/>
  <c r="BB1420" i="4"/>
  <c r="BB1421" i="4"/>
  <c r="BB1422" i="4"/>
  <c r="BB1423" i="4"/>
  <c r="BB1424" i="4"/>
  <c r="BB1425" i="4"/>
  <c r="BB1426" i="4"/>
  <c r="BB1427" i="4"/>
  <c r="BB1428" i="4"/>
  <c r="BB1429" i="4"/>
  <c r="BB1430" i="4"/>
  <c r="BB1431" i="4"/>
  <c r="BB1432" i="4"/>
  <c r="BB1433" i="4"/>
  <c r="BB1434" i="4"/>
  <c r="BB1435" i="4"/>
  <c r="BB1436" i="4"/>
  <c r="BB1437" i="4"/>
  <c r="BB1438" i="4"/>
  <c r="BB1439" i="4"/>
  <c r="BB1440" i="4"/>
  <c r="BB1441" i="4"/>
  <c r="BB1442" i="4"/>
  <c r="BB1443" i="4"/>
  <c r="BB1444" i="4"/>
  <c r="BB1445" i="4"/>
  <c r="BB1446" i="4"/>
  <c r="BB1447" i="4"/>
  <c r="BB1448" i="4"/>
  <c r="BB1449" i="4"/>
  <c r="BB1450" i="4"/>
  <c r="BB1451" i="4"/>
  <c r="BB1452" i="4"/>
  <c r="BB1453" i="4"/>
  <c r="BB1454" i="4"/>
  <c r="BB1455" i="4"/>
  <c r="BB1456" i="4"/>
  <c r="BB1457" i="4"/>
  <c r="BB1458" i="4"/>
  <c r="BB1459" i="4"/>
  <c r="BB1460" i="4"/>
  <c r="BB1461" i="4"/>
  <c r="BB1462" i="4"/>
  <c r="BB1463" i="4"/>
  <c r="BB1464" i="4"/>
  <c r="BB1465" i="4"/>
  <c r="BB1466" i="4"/>
  <c r="BB1467" i="4"/>
  <c r="BB1468" i="4"/>
  <c r="BB1469" i="4"/>
  <c r="BB1470" i="4"/>
  <c r="BB1471" i="4"/>
  <c r="BB1472" i="4"/>
  <c r="BB1473" i="4"/>
  <c r="BB1474" i="4"/>
  <c r="BB1475" i="4"/>
  <c r="BB1476" i="4"/>
  <c r="BB1477" i="4"/>
  <c r="BB1478" i="4"/>
  <c r="BB1479" i="4"/>
  <c r="BB1480" i="4"/>
  <c r="BB1481" i="4"/>
  <c r="BB1482" i="4"/>
  <c r="BB1483" i="4"/>
  <c r="BB1484" i="4"/>
  <c r="BB1485" i="4"/>
  <c r="BB1486" i="4"/>
  <c r="BB1487" i="4"/>
  <c r="BB1488" i="4"/>
  <c r="BB1489" i="4"/>
  <c r="BB1490" i="4"/>
  <c r="BB1491" i="4"/>
  <c r="BB1492" i="4"/>
  <c r="BB1493" i="4"/>
  <c r="BB1494" i="4"/>
  <c r="BB1495" i="4"/>
  <c r="BB1496" i="4"/>
  <c r="BB1497" i="4"/>
  <c r="BB1498" i="4"/>
  <c r="BB1499" i="4"/>
  <c r="BB1500" i="4"/>
  <c r="BB1501" i="4"/>
  <c r="BB1502" i="4"/>
  <c r="BB1503" i="4"/>
  <c r="BB1504" i="4"/>
  <c r="BB1505" i="4"/>
  <c r="BB1506" i="4"/>
  <c r="BB1507" i="4"/>
  <c r="BB1508" i="4"/>
  <c r="BB1509" i="4"/>
  <c r="BB1510" i="4"/>
  <c r="BB1511" i="4"/>
  <c r="BB1512" i="4"/>
  <c r="BB1513" i="4"/>
  <c r="BB1514" i="4"/>
  <c r="BB1515" i="4"/>
  <c r="BB1516" i="4"/>
  <c r="BB1517" i="4"/>
  <c r="BB1518" i="4"/>
  <c r="BB1519" i="4"/>
  <c r="BB1520" i="4"/>
  <c r="BB1521" i="4"/>
  <c r="BB1522" i="4"/>
  <c r="BB1523" i="4"/>
  <c r="BB1524" i="4"/>
  <c r="BB1525" i="4"/>
  <c r="BB1526" i="4"/>
  <c r="BB1527" i="4"/>
  <c r="BB1528" i="4"/>
  <c r="BB1529" i="4"/>
  <c r="BB1530" i="4"/>
  <c r="BB1531" i="4"/>
  <c r="BB1532" i="4"/>
  <c r="BB1533" i="4"/>
  <c r="BB1534" i="4"/>
  <c r="BB1535" i="4"/>
  <c r="BB1536" i="4"/>
  <c r="BB1537" i="4"/>
  <c r="BB1538" i="4"/>
  <c r="BB1539" i="4"/>
  <c r="BB1540" i="4"/>
  <c r="BB1541" i="4"/>
  <c r="BB1542" i="4"/>
  <c r="BB1543" i="4"/>
  <c r="BB1544" i="4"/>
  <c r="BB1545" i="4"/>
  <c r="BB1546" i="4"/>
  <c r="BB1547" i="4"/>
  <c r="BB1548" i="4"/>
  <c r="BB1549" i="4"/>
  <c r="BB1550" i="4"/>
  <c r="BB1551" i="4"/>
  <c r="BB1552" i="4"/>
  <c r="BB1553" i="4"/>
  <c r="BB1554" i="4"/>
  <c r="BB1555" i="4"/>
  <c r="BB1556" i="4"/>
  <c r="BB1557" i="4"/>
  <c r="BB1558" i="4"/>
  <c r="BB1559" i="4"/>
  <c r="BB1560" i="4"/>
  <c r="BB1561" i="4"/>
  <c r="BB1562" i="4"/>
  <c r="BB1563" i="4"/>
  <c r="BB1564" i="4"/>
  <c r="BB1565" i="4"/>
  <c r="BB1566" i="4"/>
  <c r="BB1567" i="4"/>
  <c r="BB1568" i="4"/>
  <c r="BB1569" i="4"/>
  <c r="BB1570" i="4"/>
  <c r="BB1571" i="4"/>
  <c r="BB1572" i="4"/>
  <c r="BB1573" i="4"/>
  <c r="BB1574" i="4"/>
  <c r="BB1575" i="4"/>
  <c r="BB1576" i="4"/>
  <c r="BB1577" i="4"/>
  <c r="BB1578" i="4"/>
  <c r="BB1579" i="4"/>
  <c r="BB1580" i="4"/>
  <c r="BB1581" i="4"/>
  <c r="BB1582" i="4"/>
  <c r="BB1583" i="4"/>
  <c r="BB1584" i="4"/>
  <c r="BB1585" i="4"/>
  <c r="BB1586" i="4"/>
  <c r="BB1587" i="4"/>
  <c r="BB1588" i="4"/>
  <c r="BB1589" i="4"/>
  <c r="BB1590" i="4"/>
  <c r="BB1591" i="4"/>
  <c r="BB1592" i="4"/>
  <c r="BB1593" i="4"/>
  <c r="BB1594" i="4"/>
  <c r="BB1595" i="4"/>
  <c r="BB1596" i="4"/>
  <c r="BB1597" i="4"/>
  <c r="BB1598" i="4"/>
  <c r="BB1599" i="4"/>
  <c r="BB1600" i="4"/>
  <c r="BB1601" i="4"/>
  <c r="BB1602" i="4"/>
  <c r="BB1603" i="4"/>
  <c r="BB1604" i="4"/>
  <c r="BB1605" i="4"/>
  <c r="BB1606" i="4"/>
  <c r="BB1607" i="4"/>
  <c r="BB1608" i="4"/>
  <c r="BB1609" i="4"/>
  <c r="BB1610" i="4"/>
  <c r="BB1611" i="4"/>
  <c r="BB1612" i="4"/>
  <c r="BB1613" i="4"/>
  <c r="BB1614" i="4"/>
  <c r="BB1615" i="4"/>
  <c r="BB1616" i="4"/>
  <c r="BB1617" i="4"/>
  <c r="BB1618" i="4"/>
  <c r="BB1619" i="4"/>
  <c r="BB1620" i="4"/>
  <c r="BB1621" i="4"/>
  <c r="BB1622" i="4"/>
  <c r="BB1623" i="4"/>
  <c r="BB1624" i="4"/>
  <c r="BB1625" i="4"/>
  <c r="BB1626" i="4"/>
  <c r="BB1627" i="4"/>
  <c r="BB1628" i="4"/>
  <c r="BB1629" i="4"/>
  <c r="BB1630" i="4"/>
  <c r="BB1631" i="4"/>
  <c r="BB1632" i="4"/>
  <c r="BB1633" i="4"/>
  <c r="BB1634" i="4"/>
  <c r="BB1635" i="4"/>
  <c r="BB1636" i="4"/>
  <c r="BB1637" i="4"/>
  <c r="BB1638" i="4"/>
  <c r="BB1639" i="4"/>
  <c r="BB1640" i="4"/>
  <c r="BB1641" i="4"/>
  <c r="BB1642" i="4"/>
  <c r="BB1643" i="4"/>
  <c r="BB1644" i="4"/>
  <c r="BB1645" i="4"/>
  <c r="BB1646" i="4"/>
  <c r="BB1647" i="4"/>
  <c r="BB1648" i="4"/>
  <c r="BB1649" i="4"/>
  <c r="BB1650" i="4"/>
  <c r="BB1651" i="4"/>
  <c r="BB1652" i="4"/>
  <c r="BB1653" i="4"/>
  <c r="BB1654" i="4"/>
  <c r="BB1655" i="4"/>
  <c r="BB1656" i="4"/>
  <c r="BB1657" i="4"/>
  <c r="BB1658" i="4"/>
  <c r="BB1659" i="4"/>
  <c r="BB1660" i="4"/>
  <c r="BB1661" i="4"/>
  <c r="BB1662" i="4"/>
  <c r="BB1663" i="4"/>
  <c r="BB1664" i="4"/>
  <c r="BB1665" i="4"/>
  <c r="BB1666" i="4"/>
  <c r="BB1667" i="4"/>
  <c r="BB1668" i="4"/>
  <c r="BB1669" i="4"/>
  <c r="BB1670" i="4"/>
  <c r="BB1671" i="4"/>
  <c r="BB1672" i="4"/>
  <c r="BB1673" i="4"/>
  <c r="BB1674" i="4"/>
  <c r="BB1675" i="4"/>
  <c r="BB1676" i="4"/>
  <c r="BB1677" i="4"/>
  <c r="BB1678" i="4"/>
  <c r="BB1679" i="4"/>
  <c r="BB1680" i="4"/>
  <c r="BB1681" i="4"/>
  <c r="BB1682" i="4"/>
  <c r="BB1683" i="4"/>
  <c r="BB1684" i="4"/>
  <c r="BB1685" i="4"/>
  <c r="BB1686" i="4"/>
  <c r="BB1687" i="4"/>
  <c r="BB1688" i="4"/>
  <c r="BB1689" i="4"/>
  <c r="BB1690" i="4"/>
  <c r="BB1691" i="4"/>
  <c r="BB1692" i="4"/>
  <c r="BB1693" i="4"/>
  <c r="BB1694" i="4"/>
  <c r="BB1695" i="4"/>
  <c r="BB1696" i="4"/>
  <c r="BB1697" i="4"/>
  <c r="BB1698" i="4"/>
  <c r="BB1699" i="4"/>
  <c r="BB1700" i="4"/>
  <c r="BB1701" i="4"/>
  <c r="BB1702" i="4"/>
  <c r="BB1703" i="4"/>
  <c r="BB1704" i="4"/>
  <c r="BB1705" i="4"/>
  <c r="BB1706" i="4"/>
  <c r="BB1707" i="4"/>
  <c r="BB1708" i="4"/>
  <c r="BB1709" i="4"/>
  <c r="BB1710" i="4"/>
  <c r="BB1711" i="4"/>
  <c r="BB1712" i="4"/>
  <c r="BB1713" i="4"/>
  <c r="BB1714" i="4"/>
  <c r="BB1715" i="4"/>
  <c r="BB1716" i="4"/>
  <c r="BB1717" i="4"/>
  <c r="BB1718" i="4"/>
  <c r="BB1719" i="4"/>
  <c r="BB1720" i="4"/>
  <c r="BB1721" i="4"/>
  <c r="BB1722" i="4"/>
  <c r="BB1723" i="4"/>
  <c r="BB1724" i="4"/>
  <c r="BB1725" i="4"/>
  <c r="BB1726" i="4"/>
  <c r="BB1727" i="4"/>
  <c r="BB1728" i="4"/>
  <c r="BB1729" i="4"/>
  <c r="BB1730" i="4"/>
  <c r="BB1731" i="4"/>
  <c r="BB1732" i="4"/>
  <c r="BB1733" i="4"/>
  <c r="BB1734" i="4"/>
  <c r="BB1735" i="4"/>
  <c r="BB1736" i="4"/>
  <c r="BB1737" i="4"/>
  <c r="BB1738" i="4"/>
  <c r="BB1739" i="4"/>
  <c r="BB1740" i="4"/>
  <c r="BB1741" i="4"/>
  <c r="BB1742" i="4"/>
  <c r="BB1743" i="4"/>
  <c r="BB1744" i="4"/>
  <c r="BB1745" i="4"/>
  <c r="BB1746" i="4"/>
  <c r="BB1747" i="4"/>
  <c r="BB1748" i="4"/>
  <c r="BB1749" i="4"/>
  <c r="BB1750" i="4"/>
  <c r="BB1751" i="4"/>
  <c r="BB1752" i="4"/>
  <c r="BB1753" i="4"/>
  <c r="BB1754" i="4"/>
  <c r="BB1755" i="4"/>
  <c r="BB1756" i="4"/>
  <c r="BB1757" i="4"/>
  <c r="BB1758" i="4"/>
  <c r="BB1759" i="4"/>
  <c r="BB1760" i="4"/>
  <c r="BB1761" i="4"/>
  <c r="BB1762" i="4"/>
  <c r="BB1763" i="4"/>
  <c r="BB1764" i="4"/>
  <c r="BB1765" i="4"/>
  <c r="BB1766" i="4"/>
  <c r="BB1767" i="4"/>
  <c r="BB1768" i="4"/>
  <c r="BB1769" i="4"/>
  <c r="BB1770" i="4"/>
  <c r="BB1771" i="4"/>
  <c r="BB1772" i="4"/>
  <c r="BB1773" i="4"/>
  <c r="BB1774" i="4"/>
  <c r="BB1775" i="4"/>
  <c r="BB1776" i="4"/>
  <c r="BB1777" i="4"/>
  <c r="BB1778" i="4"/>
  <c r="BB1779" i="4"/>
  <c r="BB1780" i="4"/>
  <c r="BB1781" i="4"/>
  <c r="BB1782" i="4"/>
  <c r="BB1783" i="4"/>
  <c r="BB1784" i="4"/>
  <c r="BB1785" i="4"/>
  <c r="BB1786" i="4"/>
  <c r="BB1787" i="4"/>
  <c r="BB1788" i="4"/>
  <c r="BB1789" i="4"/>
  <c r="BB1790" i="4"/>
  <c r="BB1791" i="4"/>
  <c r="BB1792" i="4"/>
  <c r="BB1793" i="4"/>
  <c r="BB1794" i="4"/>
  <c r="BB1795" i="4"/>
  <c r="BB1796" i="4"/>
  <c r="BB1797" i="4"/>
  <c r="BB1798" i="4"/>
  <c r="BB1799" i="4"/>
  <c r="BB1800" i="4"/>
  <c r="BB1801" i="4"/>
  <c r="BB1802" i="4"/>
  <c r="BB1803" i="4"/>
  <c r="BB1804" i="4"/>
  <c r="BB1805" i="4"/>
  <c r="BB1806" i="4"/>
  <c r="BB1807" i="4"/>
  <c r="BB1808" i="4"/>
  <c r="BB1809" i="4"/>
  <c r="BB1810" i="4"/>
  <c r="BB1811" i="4"/>
  <c r="BB1812" i="4"/>
  <c r="BB1813" i="4"/>
  <c r="BB1814" i="4"/>
  <c r="BB1815" i="4"/>
  <c r="BB1816" i="4"/>
  <c r="BB1817" i="4"/>
  <c r="BB1818" i="4"/>
  <c r="BB1819" i="4"/>
  <c r="BB1820" i="4"/>
  <c r="BB1821" i="4"/>
  <c r="BB1822" i="4"/>
  <c r="BB1823" i="4"/>
  <c r="BB1824" i="4"/>
  <c r="BB1825" i="4"/>
  <c r="BB1826" i="4"/>
  <c r="BB1827" i="4"/>
  <c r="BB1828" i="4"/>
  <c r="BB1829" i="4"/>
  <c r="BB1830" i="4"/>
  <c r="BB1831" i="4"/>
  <c r="BB1832" i="4"/>
  <c r="BB1833" i="4"/>
  <c r="BB1834" i="4"/>
  <c r="BB1835" i="4"/>
  <c r="BB1836" i="4"/>
  <c r="BB1837" i="4"/>
  <c r="BB1838" i="4"/>
  <c r="BB1839" i="4"/>
  <c r="BB1840" i="4"/>
  <c r="BB1841" i="4"/>
  <c r="BB1842" i="4"/>
  <c r="BB1843" i="4"/>
  <c r="BB1844" i="4"/>
  <c r="BB1845" i="4"/>
  <c r="BB1846" i="4"/>
  <c r="BB1847" i="4"/>
  <c r="BB1848" i="4"/>
  <c r="BB1849" i="4"/>
  <c r="BB1850" i="4"/>
  <c r="BB1851" i="4"/>
  <c r="BB1852" i="4"/>
  <c r="BB1853" i="4"/>
  <c r="BB1854" i="4"/>
  <c r="BB1855" i="4"/>
  <c r="BB1856" i="4"/>
  <c r="BB1857" i="4"/>
  <c r="BB1858" i="4"/>
  <c r="BB1859" i="4"/>
  <c r="BB1860" i="4"/>
  <c r="BB1861" i="4"/>
  <c r="BB1862" i="4"/>
  <c r="BB1863" i="4"/>
  <c r="BB1864" i="4"/>
  <c r="BB1865" i="4"/>
  <c r="BB1866" i="4"/>
  <c r="BB1867" i="4"/>
  <c r="BB1868" i="4"/>
  <c r="BB1869" i="4"/>
  <c r="BB1870" i="4"/>
  <c r="BB1871" i="4"/>
  <c r="BB1872" i="4"/>
  <c r="BB1873" i="4"/>
  <c r="BB1874" i="4"/>
  <c r="BB1875" i="4"/>
  <c r="BB1876" i="4"/>
  <c r="BB1877" i="4"/>
  <c r="BB1878" i="4"/>
  <c r="BB1879" i="4"/>
  <c r="BB1880" i="4"/>
  <c r="BB1881" i="4"/>
  <c r="BB1882" i="4"/>
  <c r="BB1883" i="4"/>
  <c r="BB1884" i="4"/>
  <c r="BB1885" i="4"/>
  <c r="BB1886" i="4"/>
  <c r="BB1887" i="4"/>
  <c r="BB1888" i="4"/>
  <c r="BB1889" i="4"/>
  <c r="BB1890" i="4"/>
  <c r="BB1891" i="4"/>
  <c r="BB1892" i="4"/>
  <c r="BB1893" i="4"/>
  <c r="BB1894" i="4"/>
  <c r="BB1895" i="4"/>
  <c r="BB1896" i="4"/>
  <c r="BB1897" i="4"/>
  <c r="BB1898" i="4"/>
  <c r="BB1899" i="4"/>
  <c r="BB1900" i="4"/>
  <c r="BB1901" i="4"/>
  <c r="BB1902" i="4"/>
  <c r="BB1903" i="4"/>
  <c r="BB1904" i="4"/>
  <c r="BB1905" i="4"/>
  <c r="BB1906" i="4"/>
  <c r="BB1907" i="4"/>
  <c r="BB1908" i="4"/>
  <c r="BB1909" i="4"/>
  <c r="BB1910" i="4"/>
  <c r="BB1911" i="4"/>
  <c r="BB1912" i="4"/>
  <c r="BB1913" i="4"/>
  <c r="BB1914" i="4"/>
  <c r="BB1915" i="4"/>
  <c r="BB1916" i="4"/>
  <c r="BB1917" i="4"/>
  <c r="BB1918" i="4"/>
  <c r="BB1919" i="4"/>
  <c r="BB1920" i="4"/>
  <c r="BB1921" i="4"/>
  <c r="BB1922" i="4"/>
  <c r="BB1923" i="4"/>
  <c r="BB1924" i="4"/>
  <c r="BB1925" i="4"/>
  <c r="BB1926" i="4"/>
  <c r="BB1927" i="4"/>
  <c r="BB1928" i="4"/>
  <c r="BB1929" i="4"/>
  <c r="BB1930" i="4"/>
  <c r="BB1931" i="4"/>
  <c r="BB1932" i="4"/>
  <c r="BB1933" i="4"/>
  <c r="BB1934" i="4"/>
  <c r="BB1935" i="4"/>
  <c r="BB1936" i="4"/>
  <c r="BB1937" i="4"/>
  <c r="BB1938" i="4"/>
  <c r="BB1939" i="4"/>
  <c r="BB1940" i="4"/>
  <c r="BB1941" i="4"/>
  <c r="BB1942" i="4"/>
  <c r="BB1943" i="4"/>
  <c r="BB1944" i="4"/>
  <c r="BB1945" i="4"/>
  <c r="BB1946" i="4"/>
  <c r="BB1947" i="4"/>
  <c r="BB1948" i="4"/>
  <c r="BB1949" i="4"/>
  <c r="BB1950" i="4"/>
  <c r="BB1951" i="4"/>
  <c r="BB1952" i="4"/>
  <c r="BB1953" i="4"/>
  <c r="BB1954" i="4"/>
  <c r="BB1955" i="4"/>
  <c r="BB1956" i="4"/>
  <c r="BB1957" i="4"/>
  <c r="BB1958" i="4"/>
  <c r="BB1959" i="4"/>
  <c r="BB1960" i="4"/>
  <c r="BB1961" i="4"/>
  <c r="BB1962" i="4"/>
  <c r="BB1963" i="4"/>
  <c r="BB1964" i="4"/>
  <c r="BB1965" i="4"/>
  <c r="BB1966" i="4"/>
  <c r="BB1967" i="4"/>
  <c r="BB1968" i="4"/>
  <c r="BB1969" i="4"/>
  <c r="BB1970" i="4"/>
  <c r="BB1971" i="4"/>
  <c r="BB1972" i="4"/>
  <c r="BB1973" i="4"/>
  <c r="BB1974" i="4"/>
  <c r="BB1975" i="4"/>
  <c r="BB1976" i="4"/>
  <c r="BB1977" i="4"/>
  <c r="BB1978" i="4"/>
  <c r="BB1979" i="4"/>
  <c r="BB1980" i="4"/>
  <c r="BB1981" i="4"/>
  <c r="BB1982" i="4"/>
  <c r="BB1983" i="4"/>
  <c r="BB1984" i="4"/>
  <c r="BB1985" i="4"/>
  <c r="BB1986" i="4"/>
  <c r="BB1987" i="4"/>
  <c r="BB1988" i="4"/>
  <c r="BB1989" i="4"/>
  <c r="BB1990" i="4"/>
  <c r="BB1991" i="4"/>
  <c r="BB1992" i="4"/>
  <c r="BB1993" i="4"/>
  <c r="BB1994" i="4"/>
  <c r="BB1995" i="4"/>
  <c r="BB1996" i="4"/>
  <c r="BB1997" i="4"/>
  <c r="BB1998" i="4"/>
  <c r="BB1999" i="4"/>
  <c r="BB2000" i="4"/>
  <c r="BB2001" i="4"/>
  <c r="BB2002" i="4"/>
  <c r="BB2003" i="4"/>
  <c r="BB2004" i="4"/>
  <c r="BB2005" i="4"/>
  <c r="BB2006" i="4"/>
  <c r="BB2007" i="4"/>
  <c r="BB2008" i="4"/>
  <c r="BB2009" i="4"/>
  <c r="BB2010" i="4"/>
  <c r="BB2011" i="4"/>
  <c r="BB2012" i="4"/>
  <c r="BB2013" i="4"/>
  <c r="BB2014" i="4"/>
  <c r="BB2015" i="4"/>
  <c r="BB2016" i="4"/>
  <c r="BB2017" i="4"/>
  <c r="BB2018" i="4"/>
  <c r="BB2019" i="4"/>
  <c r="BB2020" i="4"/>
  <c r="BB2021" i="4"/>
  <c r="BB2022" i="4"/>
  <c r="BB2023" i="4"/>
  <c r="BB2024" i="4"/>
  <c r="BB2025" i="4"/>
  <c r="BB2026" i="4"/>
  <c r="BB2027" i="4"/>
  <c r="BB2028" i="4"/>
  <c r="BB2029" i="4"/>
  <c r="BB2030" i="4"/>
  <c r="BB2031" i="4"/>
  <c r="BB2032" i="4"/>
  <c r="BB2033" i="4"/>
  <c r="BB2034" i="4"/>
  <c r="BB2035" i="4"/>
  <c r="BB2036" i="4"/>
  <c r="BB2037" i="4"/>
  <c r="BB2038" i="4"/>
  <c r="BB2039" i="4"/>
  <c r="BB2040" i="4"/>
  <c r="BB2041" i="4"/>
  <c r="BB2042" i="4"/>
  <c r="BB2043" i="4"/>
  <c r="BB2044" i="4"/>
  <c r="BB2045" i="4"/>
  <c r="BB2046" i="4"/>
  <c r="BB2047" i="4"/>
  <c r="BB2048" i="4"/>
  <c r="BB2049" i="4"/>
  <c r="BB2050" i="4"/>
  <c r="BB2051" i="4"/>
  <c r="BB2052" i="4"/>
  <c r="BB2053" i="4"/>
  <c r="BB2054" i="4"/>
  <c r="BB2055" i="4"/>
  <c r="BB2056" i="4"/>
  <c r="BB2057" i="4"/>
  <c r="BB2058" i="4"/>
  <c r="BB2059" i="4"/>
  <c r="BB2060" i="4"/>
  <c r="BB2061" i="4"/>
  <c r="BB2062" i="4"/>
  <c r="BB2063" i="4"/>
  <c r="BB2064" i="4"/>
  <c r="BB2065" i="4"/>
  <c r="BB2066" i="4"/>
  <c r="BB2067" i="4"/>
  <c r="BB2068" i="4"/>
  <c r="BB2069" i="4"/>
  <c r="BB2070" i="4"/>
  <c r="BB2071" i="4"/>
  <c r="BB2072" i="4"/>
  <c r="BB2073" i="4"/>
  <c r="BB2074" i="4"/>
  <c r="BB2075" i="4"/>
  <c r="BB2076" i="4"/>
  <c r="BB2077" i="4"/>
  <c r="BB2078" i="4"/>
  <c r="BB2079" i="4"/>
  <c r="BB2080" i="4"/>
  <c r="BB2081" i="4"/>
  <c r="BB2082" i="4"/>
  <c r="BB2083" i="4"/>
  <c r="BB2084" i="4"/>
  <c r="BB2085" i="4"/>
  <c r="BB2086" i="4"/>
  <c r="BB2087" i="4"/>
  <c r="BB2088" i="4"/>
  <c r="BB2089" i="4"/>
  <c r="BB2090" i="4"/>
  <c r="BB2091" i="4"/>
  <c r="BB2092" i="4"/>
  <c r="BB2093" i="4"/>
  <c r="BB2094" i="4"/>
  <c r="BB2095" i="4"/>
  <c r="BB2096" i="4"/>
  <c r="BB2097" i="4"/>
  <c r="BB2098" i="4"/>
  <c r="BB2099" i="4"/>
  <c r="BB2100" i="4"/>
  <c r="BB2101" i="4"/>
  <c r="BB2102" i="4"/>
  <c r="BB2103" i="4"/>
  <c r="BB2104" i="4"/>
  <c r="BB2105" i="4"/>
  <c r="BB2106" i="4"/>
  <c r="BB2107" i="4"/>
  <c r="BB2108" i="4"/>
  <c r="BB2109" i="4"/>
  <c r="BB2110" i="4"/>
  <c r="BB2111" i="4"/>
  <c r="BB2112" i="4"/>
  <c r="BB2113" i="4"/>
  <c r="BB2114" i="4"/>
  <c r="BB2115" i="4"/>
  <c r="BB2116" i="4"/>
  <c r="BB2117" i="4"/>
  <c r="BB2118" i="4"/>
  <c r="BB2119" i="4"/>
  <c r="BB2120" i="4"/>
  <c r="BB2121" i="4"/>
  <c r="BB2122" i="4"/>
  <c r="BB2123" i="4"/>
  <c r="BB2124" i="4"/>
  <c r="BB2125" i="4"/>
  <c r="BB2126" i="4"/>
  <c r="BB2127" i="4"/>
  <c r="BB2128" i="4"/>
  <c r="BB2129" i="4"/>
  <c r="BB2130" i="4"/>
  <c r="BB2131" i="4"/>
  <c r="BB2132" i="4"/>
  <c r="BB2133" i="4"/>
  <c r="BB2134" i="4"/>
  <c r="BB2135" i="4"/>
  <c r="BB2136" i="4"/>
  <c r="BB2137" i="4"/>
  <c r="BB2138" i="4"/>
  <c r="BB2139" i="4"/>
  <c r="BB2140" i="4"/>
  <c r="BB2141" i="4"/>
  <c r="BB2142" i="4"/>
  <c r="BB2143" i="4"/>
  <c r="BB2144" i="4"/>
  <c r="BB2145" i="4"/>
  <c r="BB2146" i="4"/>
  <c r="BB2147" i="4"/>
  <c r="BB2148" i="4"/>
  <c r="BB2149" i="4"/>
  <c r="BB2150" i="4"/>
  <c r="BB2151" i="4"/>
  <c r="BB2152" i="4"/>
  <c r="BB2153" i="4"/>
  <c r="BB2154" i="4"/>
  <c r="BB2155" i="4"/>
  <c r="BB2156" i="4"/>
  <c r="BB2157" i="4"/>
  <c r="BB2158" i="4"/>
  <c r="BB2159" i="4"/>
  <c r="BB2160" i="4"/>
  <c r="BB2161" i="4"/>
  <c r="BB2162" i="4"/>
  <c r="BB2163" i="4"/>
  <c r="BB2164" i="4"/>
  <c r="BB2165" i="4"/>
  <c r="BB2166" i="4"/>
  <c r="BB2167" i="4"/>
  <c r="BB2168" i="4"/>
  <c r="BB2169" i="4"/>
  <c r="BB2170" i="4"/>
  <c r="BB2171" i="4"/>
  <c r="BB2172" i="4"/>
  <c r="BB2173" i="4"/>
  <c r="BB2174" i="4"/>
  <c r="BB2175" i="4"/>
  <c r="BB2176" i="4"/>
  <c r="BB2177" i="4"/>
  <c r="BB2178" i="4"/>
  <c r="BB2179" i="4"/>
  <c r="BB2180" i="4"/>
  <c r="BB2181" i="4"/>
  <c r="BB2182" i="4"/>
  <c r="BB2183" i="4"/>
  <c r="BB2184" i="4"/>
  <c r="BB2185" i="4"/>
  <c r="BB2186" i="4"/>
  <c r="BB2187" i="4"/>
  <c r="BB2188" i="4"/>
  <c r="BB2189" i="4"/>
  <c r="BB2190" i="4"/>
  <c r="BB2191" i="4"/>
  <c r="BB2192" i="4"/>
  <c r="BB2193" i="4"/>
  <c r="BB2194" i="4"/>
  <c r="BB2195" i="4"/>
  <c r="BB2196" i="4"/>
  <c r="BB2197" i="4"/>
  <c r="BB2198" i="4"/>
  <c r="BB2199" i="4"/>
  <c r="BB2200" i="4"/>
  <c r="BB2201" i="4"/>
  <c r="BB2202" i="4"/>
  <c r="BB2203" i="4"/>
  <c r="BB2204" i="4"/>
  <c r="BB2205" i="4"/>
  <c r="BB2206" i="4"/>
  <c r="BB2207" i="4"/>
  <c r="BB2208" i="4"/>
  <c r="BB2209" i="4"/>
  <c r="BB2210" i="4"/>
  <c r="BB2211" i="4"/>
  <c r="BB2212" i="4"/>
  <c r="BB2213" i="4"/>
  <c r="BB2214" i="4"/>
  <c r="BB2215" i="4"/>
  <c r="BB2216" i="4"/>
  <c r="BB2217" i="4"/>
  <c r="BB2218" i="4"/>
  <c r="BB2219" i="4"/>
  <c r="BB2220" i="4"/>
  <c r="BB2221" i="4"/>
  <c r="BB2222" i="4"/>
  <c r="BB2223" i="4"/>
  <c r="BB2224" i="4"/>
  <c r="BB2225" i="4"/>
  <c r="BB2226" i="4"/>
  <c r="BB2227" i="4"/>
  <c r="BB2228" i="4"/>
  <c r="BB2229" i="4"/>
  <c r="BB2230" i="4"/>
  <c r="BB2231" i="4"/>
  <c r="BB2232" i="4"/>
  <c r="BB2233" i="4"/>
  <c r="BB2234" i="4"/>
  <c r="BB2235" i="4"/>
  <c r="BB2236" i="4"/>
  <c r="BB2237" i="4"/>
  <c r="BB2238" i="4"/>
  <c r="BB2239" i="4"/>
  <c r="BB2240" i="4"/>
  <c r="BB2241" i="4"/>
  <c r="BB2242" i="4"/>
  <c r="BB2243" i="4"/>
  <c r="BB2244" i="4"/>
  <c r="BB2245" i="4"/>
  <c r="BB2246" i="4"/>
  <c r="BB2247" i="4"/>
  <c r="BB2248" i="4"/>
  <c r="BB2249" i="4"/>
  <c r="BB2250" i="4"/>
  <c r="BB2251" i="4"/>
  <c r="BB2252" i="4"/>
  <c r="BB2253" i="4"/>
  <c r="BB2254" i="4"/>
  <c r="BB2255" i="4"/>
  <c r="BB2256" i="4"/>
  <c r="BB2257" i="4"/>
  <c r="BB2258" i="4"/>
  <c r="BB2259" i="4"/>
  <c r="BB2260" i="4"/>
  <c r="BB2261" i="4"/>
  <c r="BB2262" i="4"/>
  <c r="BB2263" i="4"/>
  <c r="BB2264" i="4"/>
  <c r="BB2265" i="4"/>
  <c r="BB2266" i="4"/>
  <c r="BB2267" i="4"/>
  <c r="BB2268" i="4"/>
  <c r="BB2269" i="4"/>
  <c r="BB2270" i="4"/>
  <c r="BB2271" i="4"/>
  <c r="BB2272" i="4"/>
  <c r="BB2273" i="4"/>
  <c r="BB2274" i="4"/>
  <c r="BB2275" i="4"/>
  <c r="BB2276" i="4"/>
  <c r="BB2277" i="4"/>
  <c r="BB2278" i="4"/>
  <c r="BB2279" i="4"/>
  <c r="BB2280" i="4"/>
  <c r="BB2281" i="4"/>
  <c r="BB2282" i="4"/>
  <c r="BB2283" i="4"/>
  <c r="BB2284" i="4"/>
  <c r="BB2285" i="4"/>
  <c r="BB2286" i="4"/>
  <c r="BB2287" i="4"/>
  <c r="BB2288" i="4"/>
  <c r="BB2289" i="4"/>
  <c r="BB2290" i="4"/>
  <c r="BB2291" i="4"/>
  <c r="BB2292" i="4"/>
  <c r="BB2293" i="4"/>
  <c r="BB2294" i="4"/>
  <c r="BB2295" i="4"/>
  <c r="BB2296" i="4"/>
  <c r="BB2297" i="4"/>
  <c r="BB2298" i="4"/>
  <c r="BB2299" i="4"/>
  <c r="BB2300" i="4"/>
  <c r="BB2301" i="4"/>
  <c r="BB2302" i="4"/>
  <c r="BB2303" i="4"/>
  <c r="BB2304" i="4"/>
  <c r="BB2305" i="4"/>
  <c r="BB2306" i="4"/>
  <c r="BB2307" i="4"/>
  <c r="BB2308" i="4"/>
  <c r="BB2309" i="4"/>
  <c r="BB2310" i="4"/>
  <c r="BB2311" i="4"/>
  <c r="BB2312" i="4"/>
  <c r="BB2313" i="4"/>
  <c r="BB2314" i="4"/>
  <c r="BB2315" i="4"/>
  <c r="BB2316" i="4"/>
  <c r="BB2317" i="4"/>
  <c r="BB2318" i="4"/>
  <c r="BB2319" i="4"/>
  <c r="BB2320" i="4"/>
  <c r="BB2321" i="4"/>
  <c r="BB2322" i="4"/>
  <c r="BB2323" i="4"/>
  <c r="BB2324" i="4"/>
  <c r="BB2325" i="4"/>
  <c r="BB2326" i="4"/>
  <c r="BB2327" i="4"/>
  <c r="BB2328" i="4"/>
  <c r="BB2329" i="4"/>
  <c r="BB2330" i="4"/>
  <c r="BB2331" i="4"/>
  <c r="BB2332" i="4"/>
  <c r="BB2333" i="4"/>
  <c r="BB2334" i="4"/>
  <c r="BB2335" i="4"/>
  <c r="BB2336" i="4"/>
  <c r="BB2337" i="4"/>
  <c r="BB2338" i="4"/>
  <c r="BB2339" i="4"/>
  <c r="BB2340" i="4"/>
  <c r="BB2341" i="4"/>
  <c r="BB2342" i="4"/>
  <c r="BB2343" i="4"/>
  <c r="BB2344" i="4"/>
  <c r="BB2345" i="4"/>
  <c r="BB2346" i="4"/>
  <c r="BB2347" i="4"/>
  <c r="BB2348" i="4"/>
  <c r="BB2349" i="4"/>
  <c r="BB2350" i="4"/>
  <c r="BB2351" i="4"/>
  <c r="BB2352" i="4"/>
  <c r="BB2353" i="4"/>
  <c r="BB2354" i="4"/>
  <c r="BB2355" i="4"/>
  <c r="BB2356" i="4"/>
  <c r="BB2357" i="4"/>
  <c r="BB2358" i="4"/>
  <c r="BB2359" i="4"/>
  <c r="BB2360" i="4"/>
  <c r="BB2361" i="4"/>
  <c r="BB2362" i="4"/>
  <c r="BB2363" i="4"/>
  <c r="BB2364" i="4"/>
  <c r="BB2365" i="4"/>
  <c r="BB2366" i="4"/>
  <c r="BB2367" i="4"/>
  <c r="BB2368" i="4"/>
  <c r="BB2369" i="4"/>
  <c r="BB2370" i="4"/>
  <c r="BB2371" i="4"/>
  <c r="BB2372" i="4"/>
  <c r="BB2373" i="4"/>
  <c r="BB2374" i="4"/>
  <c r="BB2375" i="4"/>
  <c r="BB2376" i="4"/>
  <c r="BB2377" i="4"/>
  <c r="BB2378" i="4"/>
  <c r="BB2379" i="4"/>
  <c r="BB2380" i="4"/>
  <c r="BB2381" i="4"/>
  <c r="BB2382" i="4"/>
  <c r="BB2383" i="4"/>
  <c r="BB2384" i="4"/>
  <c r="BB2385" i="4"/>
  <c r="BB2386" i="4"/>
  <c r="BB2387" i="4"/>
  <c r="BB2388" i="4"/>
  <c r="BB2389" i="4"/>
  <c r="BB2390" i="4"/>
  <c r="BB2391" i="4"/>
  <c r="BB2392" i="4"/>
  <c r="BB2393" i="4"/>
  <c r="BB2394" i="4"/>
  <c r="BB2395" i="4"/>
  <c r="BB2396" i="4"/>
  <c r="BB2397" i="4"/>
  <c r="BB2398" i="4"/>
  <c r="BB2399" i="4"/>
  <c r="BB2400" i="4"/>
  <c r="BB2401" i="4"/>
  <c r="BB2402" i="4"/>
  <c r="BB2403" i="4"/>
  <c r="BB2404" i="4"/>
  <c r="BB2405" i="4"/>
  <c r="BB2406" i="4"/>
  <c r="BB2407" i="4"/>
  <c r="BB2408" i="4"/>
  <c r="BB2409" i="4"/>
  <c r="BB2410" i="4"/>
  <c r="BB2411" i="4"/>
  <c r="BB2412" i="4"/>
  <c r="BB2413" i="4"/>
  <c r="BB2414" i="4"/>
  <c r="BB2415" i="4"/>
  <c r="BB2416" i="4"/>
  <c r="BB2417" i="4"/>
  <c r="BB2418" i="4"/>
  <c r="BB2419" i="4"/>
  <c r="BB2420" i="4"/>
  <c r="BB2421" i="4"/>
  <c r="BB2422" i="4"/>
  <c r="BB2423" i="4"/>
  <c r="BB2424" i="4"/>
  <c r="BB2425" i="4"/>
  <c r="BB2426" i="4"/>
  <c r="BB2427" i="4"/>
  <c r="BB2428" i="4"/>
  <c r="BB2429" i="4"/>
  <c r="BB2430" i="4"/>
  <c r="BB2431" i="4"/>
  <c r="BB2432" i="4"/>
  <c r="BB2433" i="4"/>
  <c r="BB2434" i="4"/>
  <c r="BB2435" i="4"/>
  <c r="BB2436" i="4"/>
  <c r="BB2437" i="4"/>
  <c r="BB2438" i="4"/>
  <c r="BB2439" i="4"/>
  <c r="BB2440" i="4"/>
  <c r="BB2441" i="4"/>
  <c r="BB2442" i="4"/>
  <c r="BB2443" i="4"/>
  <c r="BB2444" i="4"/>
  <c r="BB2445" i="4"/>
  <c r="BB2446" i="4"/>
  <c r="BB2447" i="4"/>
  <c r="BB2448" i="4"/>
  <c r="BB2449" i="4"/>
  <c r="BB2450" i="4"/>
  <c r="BB2451" i="4"/>
  <c r="BB2452" i="4"/>
  <c r="BB2453" i="4"/>
  <c r="BB2454" i="4"/>
  <c r="BB2455" i="4"/>
  <c r="BB2456" i="4"/>
  <c r="BB2457" i="4"/>
  <c r="BB2458" i="4"/>
  <c r="BB2459" i="4"/>
  <c r="BB2460" i="4"/>
  <c r="BB2461" i="4"/>
  <c r="BB2462" i="4"/>
  <c r="BB2463" i="4"/>
  <c r="BB2464" i="4"/>
  <c r="BB2465" i="4"/>
  <c r="BB2466" i="4"/>
  <c r="BB2467" i="4"/>
  <c r="BB2468" i="4"/>
  <c r="BB2469" i="4"/>
  <c r="BB2470" i="4"/>
  <c r="BB2471" i="4"/>
  <c r="BB2472" i="4"/>
  <c r="BB2473" i="4"/>
  <c r="BB2474" i="4"/>
  <c r="BB2475" i="4"/>
  <c r="BB2476" i="4"/>
  <c r="BB2477" i="4"/>
  <c r="BB2478" i="4"/>
  <c r="BB2479" i="4"/>
  <c r="BB2480" i="4"/>
  <c r="BB2481" i="4"/>
  <c r="BB2482" i="4"/>
  <c r="BB2483" i="4"/>
  <c r="BB2484" i="4"/>
  <c r="BB2485" i="4"/>
  <c r="BB2486" i="4"/>
  <c r="BB2487" i="4"/>
  <c r="BB2488" i="4"/>
  <c r="BB2489" i="4"/>
  <c r="BB2490" i="4"/>
  <c r="BB2491" i="4"/>
  <c r="BB2492" i="4"/>
  <c r="BB2493" i="4"/>
  <c r="BB2494" i="4"/>
  <c r="BB2495" i="4"/>
  <c r="BB2496" i="4"/>
  <c r="BB2497" i="4"/>
  <c r="BB2498" i="4"/>
  <c r="BB2499" i="4"/>
  <c r="BB2500" i="4"/>
  <c r="BB2501" i="4"/>
  <c r="BB2502" i="4"/>
  <c r="BB2503" i="4"/>
  <c r="BB2504" i="4"/>
  <c r="BB2505" i="4"/>
  <c r="BB2506" i="4"/>
  <c r="BB2507" i="4"/>
  <c r="BB2508" i="4"/>
  <c r="BB2509" i="4"/>
  <c r="BB2510" i="4"/>
  <c r="BB2511" i="4"/>
  <c r="BB2512" i="4"/>
  <c r="BB2513" i="4"/>
  <c r="BB2514" i="4"/>
  <c r="BB2515" i="4"/>
  <c r="BB2516" i="4"/>
  <c r="BB2517" i="4"/>
  <c r="BB2518" i="4"/>
  <c r="BB2519" i="4"/>
  <c r="BB2520" i="4"/>
  <c r="BB2521" i="4"/>
  <c r="BB2522" i="4"/>
  <c r="BB2523" i="4"/>
  <c r="BB2524" i="4"/>
  <c r="BB2525" i="4"/>
  <c r="BB2526" i="4"/>
  <c r="BB2527" i="4"/>
  <c r="BB2528" i="4"/>
  <c r="BB2529" i="4"/>
  <c r="BB2530" i="4"/>
  <c r="BB2531" i="4"/>
  <c r="BB2532" i="4"/>
  <c r="BB2533" i="4"/>
  <c r="BB2534" i="4"/>
  <c r="BB2535" i="4"/>
  <c r="BB2536" i="4"/>
  <c r="BB2537" i="4"/>
  <c r="BB2538" i="4"/>
  <c r="BB2539" i="4"/>
  <c r="BB2540" i="4"/>
  <c r="BB2541" i="4"/>
  <c r="BB2542" i="4"/>
  <c r="BB2543" i="4"/>
  <c r="BB2544" i="4"/>
  <c r="BB2545" i="4"/>
  <c r="BB2546" i="4"/>
  <c r="BB2547" i="4"/>
  <c r="BB2548" i="4"/>
  <c r="BB2549" i="4"/>
  <c r="BB2550" i="4"/>
  <c r="BB2551" i="4"/>
  <c r="BB2552" i="4"/>
  <c r="BB2553" i="4"/>
  <c r="BB2554" i="4"/>
  <c r="BB2555" i="4"/>
  <c r="BB2556" i="4"/>
  <c r="BB2557" i="4"/>
  <c r="BB2558" i="4"/>
  <c r="BB2559" i="4"/>
  <c r="BB2560" i="4"/>
  <c r="BB2561" i="4"/>
  <c r="BB2562" i="4"/>
  <c r="BB2563" i="4"/>
  <c r="BB2564" i="4"/>
  <c r="BB2565" i="4"/>
  <c r="BB2566" i="4"/>
  <c r="BB2567" i="4"/>
  <c r="BB2568" i="4"/>
  <c r="BB2569" i="4"/>
  <c r="BB2570" i="4"/>
  <c r="BB2571" i="4"/>
  <c r="BB2572" i="4"/>
  <c r="BB2573" i="4"/>
  <c r="BB2574" i="4"/>
  <c r="BB2575" i="4"/>
  <c r="BB2576" i="4"/>
  <c r="BB2577" i="4"/>
  <c r="BB2578" i="4"/>
  <c r="BB2579" i="4"/>
  <c r="BB2580" i="4"/>
  <c r="BB2581" i="4"/>
  <c r="BB2582" i="4"/>
  <c r="BB2583" i="4"/>
  <c r="BB2584" i="4"/>
  <c r="BB2585" i="4"/>
  <c r="BB2586" i="4"/>
  <c r="BB2587" i="4"/>
  <c r="BB2588" i="4"/>
  <c r="BB2589" i="4"/>
  <c r="BB2590" i="4"/>
  <c r="BB2591" i="4"/>
  <c r="BB2592" i="4"/>
  <c r="BB2593" i="4"/>
  <c r="BB2594" i="4"/>
  <c r="BB2595" i="4"/>
  <c r="BB2596" i="4"/>
  <c r="BB2597" i="4"/>
  <c r="BB2598" i="4"/>
  <c r="BB2599" i="4"/>
  <c r="BB2600" i="4"/>
  <c r="BB2601" i="4"/>
  <c r="BB2602" i="4"/>
  <c r="BB2603" i="4"/>
  <c r="BB2604" i="4"/>
  <c r="BB2605" i="4"/>
  <c r="BB2606" i="4"/>
  <c r="BB2607" i="4"/>
  <c r="BB2608" i="4"/>
  <c r="BB2609" i="4"/>
  <c r="BB2610" i="4"/>
  <c r="BB2611" i="4"/>
  <c r="BB2612" i="4"/>
  <c r="BB2613" i="4"/>
  <c r="BB2614" i="4"/>
  <c r="BB2615" i="4"/>
  <c r="BB2616" i="4"/>
  <c r="BB2617" i="4"/>
  <c r="BB2618" i="4"/>
  <c r="BB2619" i="4"/>
  <c r="BB2620" i="4"/>
  <c r="BB2621" i="4"/>
  <c r="BB2622" i="4"/>
  <c r="BB2623" i="4"/>
  <c r="BB2624" i="4"/>
  <c r="BB2625" i="4"/>
  <c r="BB2626" i="4"/>
  <c r="BB2627" i="4"/>
  <c r="BB2628" i="4"/>
  <c r="BB2629" i="4"/>
  <c r="BB2630" i="4"/>
  <c r="BB2631" i="4"/>
  <c r="BB2632" i="4"/>
  <c r="BB2633" i="4"/>
  <c r="BB2634" i="4"/>
  <c r="BB2635" i="4"/>
  <c r="BB2636" i="4"/>
  <c r="BB2637" i="4"/>
  <c r="BB2638" i="4"/>
  <c r="BB2639" i="4"/>
  <c r="BB2640" i="4"/>
  <c r="BB2641" i="4"/>
  <c r="BB2642" i="4"/>
  <c r="BB2643" i="4"/>
  <c r="BB2644" i="4"/>
  <c r="BB2645" i="4"/>
  <c r="BB2646" i="4"/>
  <c r="BB2647" i="4"/>
  <c r="BB2648" i="4"/>
  <c r="BB2649" i="4"/>
  <c r="BB2650" i="4"/>
  <c r="BB2651" i="4"/>
  <c r="BB2652" i="4"/>
  <c r="BB2653" i="4"/>
  <c r="BB2654" i="4"/>
  <c r="BB2655" i="4"/>
  <c r="BB2656" i="4"/>
  <c r="BB2657" i="4"/>
  <c r="BB2658" i="4"/>
  <c r="BB2659" i="4"/>
  <c r="BB2660" i="4"/>
  <c r="BB2661" i="4"/>
  <c r="BB2662" i="4"/>
  <c r="BB2663" i="4"/>
  <c r="BB2664" i="4"/>
  <c r="BB2665" i="4"/>
  <c r="BB2666" i="4"/>
  <c r="BB2667" i="4"/>
  <c r="BB2668" i="4"/>
  <c r="BB2669" i="4"/>
  <c r="BB2670" i="4"/>
  <c r="BB2671" i="4"/>
  <c r="BB2672" i="4"/>
  <c r="BB2673" i="4"/>
  <c r="BB2674" i="4"/>
  <c r="BB2675" i="4"/>
  <c r="BB2676" i="4"/>
  <c r="BB2677" i="4"/>
  <c r="BB2678" i="4"/>
  <c r="BB2679" i="4"/>
  <c r="BB2680" i="4"/>
  <c r="BB2681" i="4"/>
  <c r="BB2682" i="4"/>
  <c r="BB2683" i="4"/>
  <c r="BB2684" i="4"/>
  <c r="BB2685" i="4"/>
  <c r="BB2686" i="4"/>
  <c r="BB2687" i="4"/>
  <c r="BB2688" i="4"/>
  <c r="BB2689" i="4"/>
  <c r="BB2690" i="4"/>
  <c r="BB2691" i="4"/>
  <c r="BB2692" i="4"/>
  <c r="BB2693" i="4"/>
  <c r="BB2694" i="4"/>
  <c r="BB2695" i="4"/>
  <c r="BB2696" i="4"/>
  <c r="BB2697" i="4"/>
  <c r="BB2698" i="4"/>
  <c r="BB2699" i="4"/>
  <c r="BB2700" i="4"/>
  <c r="BB2701" i="4"/>
  <c r="BB2702" i="4"/>
  <c r="BB2703" i="4"/>
  <c r="BB2704" i="4"/>
  <c r="BB2705" i="4"/>
  <c r="BB2706" i="4"/>
  <c r="BB2707" i="4"/>
  <c r="BB2708" i="4"/>
  <c r="BB2709" i="4"/>
  <c r="BB2710" i="4"/>
  <c r="BB2711" i="4"/>
  <c r="BB2712" i="4"/>
  <c r="BB2713" i="4"/>
  <c r="BB2714" i="4"/>
  <c r="BB2715" i="4"/>
  <c r="BB2716" i="4"/>
  <c r="BB2717" i="4"/>
  <c r="BB2718" i="4"/>
  <c r="BB2719" i="4"/>
  <c r="BB2720" i="4"/>
  <c r="BB2721" i="4"/>
  <c r="BB2722" i="4"/>
  <c r="BB2723" i="4"/>
  <c r="BB2724" i="4"/>
  <c r="BB2725" i="4"/>
  <c r="BB2726" i="4"/>
  <c r="BB2727" i="4"/>
  <c r="BB2728" i="4"/>
  <c r="BB2729" i="4"/>
  <c r="BB2730" i="4"/>
  <c r="BB2731" i="4"/>
  <c r="BB2732" i="4"/>
  <c r="BB2733" i="4"/>
  <c r="BB2734" i="4"/>
  <c r="BB2735" i="4"/>
  <c r="BB2736" i="4"/>
  <c r="BB2737" i="4"/>
  <c r="BB2738" i="4"/>
  <c r="BB2739" i="4"/>
  <c r="BB2740" i="4"/>
  <c r="BB2741" i="4"/>
  <c r="BB2742" i="4"/>
  <c r="BB2743" i="4"/>
  <c r="BB2744" i="4"/>
  <c r="BB2745" i="4"/>
  <c r="BB2746" i="4"/>
  <c r="BB2747" i="4"/>
  <c r="BB2748" i="4"/>
  <c r="BB2749" i="4"/>
  <c r="BB2750" i="4"/>
  <c r="BB2751" i="4"/>
  <c r="BB2752" i="4"/>
  <c r="BB2753" i="4"/>
  <c r="BB2754" i="4"/>
  <c r="BB2755" i="4"/>
  <c r="BB2756" i="4"/>
  <c r="BB2757" i="4"/>
  <c r="BB2758" i="4"/>
  <c r="BB2759" i="4"/>
  <c r="BB2760" i="4"/>
  <c r="BB2761" i="4"/>
  <c r="BB2762" i="4"/>
  <c r="BB2763" i="4"/>
  <c r="BB2764" i="4"/>
  <c r="BB2765" i="4"/>
  <c r="BB2766" i="4"/>
  <c r="BB2767" i="4"/>
  <c r="BB2768" i="4"/>
  <c r="BB2769" i="4"/>
  <c r="BB2770" i="4"/>
  <c r="BB2771" i="4"/>
  <c r="BB2772" i="4"/>
  <c r="BB2773" i="4"/>
  <c r="BB2774" i="4"/>
  <c r="BB2775" i="4"/>
  <c r="BB2776" i="4"/>
  <c r="BB2777" i="4"/>
  <c r="BB2778" i="4"/>
  <c r="BB2779" i="4"/>
  <c r="BB2780" i="4"/>
  <c r="BB2781" i="4"/>
  <c r="BB2782" i="4"/>
  <c r="BB2783" i="4"/>
  <c r="BB2784" i="4"/>
  <c r="BB2785" i="4"/>
  <c r="BB2786" i="4"/>
  <c r="BB2787" i="4"/>
  <c r="BB2788" i="4"/>
  <c r="BB2789" i="4"/>
  <c r="BB2790" i="4"/>
  <c r="BB2791" i="4"/>
  <c r="BB2792" i="4"/>
  <c r="BB2793" i="4"/>
  <c r="BB2794" i="4"/>
  <c r="BB2795" i="4"/>
  <c r="BB2796" i="4"/>
  <c r="BB2797" i="4"/>
  <c r="BB2798" i="4"/>
  <c r="BB2799" i="4"/>
  <c r="BB2800" i="4"/>
  <c r="BB2801" i="4"/>
  <c r="BB2802" i="4"/>
  <c r="BB2803" i="4"/>
  <c r="BB2804" i="4"/>
  <c r="BB2805" i="4"/>
  <c r="BB2806" i="4"/>
  <c r="BB2807" i="4"/>
  <c r="BB2808" i="4"/>
  <c r="BB2809" i="4"/>
  <c r="BB2810" i="4"/>
  <c r="BB2811" i="4"/>
  <c r="BB2812" i="4"/>
  <c r="BB2813" i="4"/>
  <c r="BB2814" i="4"/>
  <c r="BB2815" i="4"/>
  <c r="BB2816" i="4"/>
  <c r="BB2817" i="4"/>
  <c r="BB2818" i="4"/>
  <c r="BB2819" i="4"/>
  <c r="BB2820" i="4"/>
  <c r="BB2821" i="4"/>
  <c r="BB2822" i="4"/>
  <c r="BB2823" i="4"/>
  <c r="BB2824" i="4"/>
  <c r="BB2825" i="4"/>
  <c r="BB2826" i="4"/>
  <c r="BB2827" i="4"/>
  <c r="BB2828" i="4"/>
  <c r="BB2829" i="4"/>
  <c r="BB2830" i="4"/>
  <c r="BB2831" i="4"/>
  <c r="BB2832" i="4"/>
  <c r="BB2833" i="4"/>
  <c r="BB2834" i="4"/>
  <c r="BB2835" i="4"/>
  <c r="BB2836" i="4"/>
  <c r="BB2837" i="4"/>
  <c r="BB2838" i="4"/>
  <c r="BB2839" i="4"/>
  <c r="BB2840" i="4"/>
  <c r="BB2841" i="4"/>
  <c r="BB2842" i="4"/>
  <c r="BB2843" i="4"/>
  <c r="BB2844" i="4"/>
  <c r="BB2845" i="4"/>
  <c r="BB2846" i="4"/>
  <c r="BB2847" i="4"/>
  <c r="BB2848" i="4"/>
  <c r="BB2849" i="4"/>
  <c r="BB2850" i="4"/>
  <c r="BB2851" i="4"/>
  <c r="BB2852" i="4"/>
  <c r="BB2853" i="4"/>
  <c r="BB2854" i="4"/>
  <c r="BB2855" i="4"/>
  <c r="BB2856" i="4"/>
  <c r="BB2857" i="4"/>
  <c r="BB2858" i="4"/>
  <c r="BB2859" i="4"/>
  <c r="BB2860" i="4"/>
  <c r="BB2861" i="4"/>
  <c r="BB2862" i="4"/>
  <c r="BB2863" i="4"/>
  <c r="BB2864" i="4"/>
  <c r="BB2865" i="4"/>
  <c r="BB2866" i="4"/>
  <c r="BB2867" i="4"/>
  <c r="BB2868" i="4"/>
  <c r="BB2869" i="4"/>
  <c r="BB2870" i="4"/>
  <c r="BB2871" i="4"/>
  <c r="BB2872" i="4"/>
  <c r="BB2873" i="4"/>
  <c r="BB2874" i="4"/>
  <c r="BB2875" i="4"/>
  <c r="BB2876" i="4"/>
  <c r="BB2877" i="4"/>
  <c r="BB2878" i="4"/>
  <c r="BB2879" i="4"/>
  <c r="BB2880" i="4"/>
  <c r="BB2881" i="4"/>
  <c r="BB2882" i="4"/>
  <c r="BB2883" i="4"/>
  <c r="BB2884" i="4"/>
  <c r="BB2885" i="4"/>
  <c r="BB2886" i="4"/>
  <c r="BB2887" i="4"/>
  <c r="BB2888" i="4"/>
  <c r="BB2889" i="4"/>
  <c r="BB2890" i="4"/>
  <c r="BB2891" i="4"/>
  <c r="BB2892" i="4"/>
  <c r="BB2893" i="4"/>
  <c r="BB2894" i="4"/>
  <c r="BB2895" i="4"/>
  <c r="BB2896" i="4"/>
  <c r="BB2897" i="4"/>
  <c r="BB2898" i="4"/>
  <c r="BB2899" i="4"/>
  <c r="BB2900" i="4"/>
  <c r="BB2901" i="4"/>
  <c r="BB2902" i="4"/>
  <c r="BB2903" i="4"/>
  <c r="BB2904" i="4"/>
  <c r="BB2905" i="4"/>
  <c r="BB2906" i="4"/>
  <c r="BB2907" i="4"/>
  <c r="BB2908" i="4"/>
  <c r="BB2909" i="4"/>
  <c r="BB2910" i="4"/>
  <c r="BB2911" i="4"/>
  <c r="BB2912" i="4"/>
  <c r="BB2913" i="4"/>
  <c r="BB2914" i="4"/>
  <c r="BB2915" i="4"/>
  <c r="BB2916" i="4"/>
  <c r="BB2917" i="4"/>
  <c r="BB2918" i="4"/>
  <c r="BB2919" i="4"/>
  <c r="BB2920" i="4"/>
  <c r="BB2921" i="4"/>
  <c r="BB2922" i="4"/>
  <c r="BB2923" i="4"/>
  <c r="BB2924" i="4"/>
  <c r="BB2925" i="4"/>
  <c r="BB2926" i="4"/>
  <c r="BB2927" i="4"/>
  <c r="BB2928" i="4"/>
  <c r="BB2929" i="4"/>
  <c r="BB2930" i="4"/>
  <c r="BB2931" i="4"/>
  <c r="BB2932" i="4"/>
  <c r="BB2933" i="4"/>
  <c r="BB2934" i="4"/>
  <c r="BB2935" i="4"/>
  <c r="BB2936" i="4"/>
  <c r="BB2937" i="4"/>
  <c r="BB2938" i="4"/>
  <c r="BB2939" i="4"/>
  <c r="BB2940" i="4"/>
  <c r="BB2941" i="4"/>
  <c r="BB2942" i="4"/>
  <c r="BB2943" i="4"/>
  <c r="BB2944" i="4"/>
  <c r="BB2945" i="4"/>
  <c r="BB2946" i="4"/>
  <c r="BB2947" i="4"/>
  <c r="BB2948" i="4"/>
  <c r="BB2949" i="4"/>
  <c r="BB2950" i="4"/>
  <c r="BB2951" i="4"/>
  <c r="BB2952" i="4"/>
  <c r="BB2953" i="4"/>
  <c r="BB2954" i="4"/>
  <c r="BB2955" i="4"/>
  <c r="BB2956" i="4"/>
  <c r="BB2957" i="4"/>
  <c r="BB2958" i="4"/>
  <c r="BB2959" i="4"/>
  <c r="BB2960" i="4"/>
  <c r="BB2961" i="4"/>
  <c r="BB2962" i="4"/>
  <c r="BB2963" i="4"/>
  <c r="BB2964" i="4"/>
  <c r="BB2965" i="4"/>
  <c r="BB2966" i="4"/>
  <c r="BB2967" i="4"/>
  <c r="BB2968" i="4"/>
  <c r="BB2969" i="4"/>
  <c r="BB2970" i="4"/>
  <c r="BB2971" i="4"/>
  <c r="BB2972" i="4"/>
  <c r="BB2973" i="4"/>
  <c r="BB2974" i="4"/>
  <c r="BB2975" i="4"/>
  <c r="BB2976" i="4"/>
  <c r="BB2977" i="4"/>
  <c r="BB2978" i="4"/>
  <c r="BB2979" i="4"/>
  <c r="BB2980" i="4"/>
  <c r="BB2981" i="4"/>
  <c r="BB2982" i="4"/>
  <c r="BB2983" i="4"/>
  <c r="BB2984" i="4"/>
  <c r="BB2985" i="4"/>
  <c r="BB2986" i="4"/>
  <c r="BB2987" i="4"/>
  <c r="BB2988" i="4"/>
  <c r="BB2989" i="4"/>
  <c r="BB2990" i="4"/>
  <c r="BB2991" i="4"/>
  <c r="BB2992" i="4"/>
  <c r="BB2993" i="4"/>
  <c r="BB2994" i="4"/>
  <c r="BB2995" i="4"/>
  <c r="BB2996" i="4"/>
  <c r="BB2997" i="4"/>
  <c r="BB2998" i="4"/>
  <c r="BB2999" i="4"/>
  <c r="BB3000" i="4"/>
  <c r="BB3001" i="4"/>
  <c r="BB3002" i="4"/>
  <c r="BB3003" i="4"/>
  <c r="BB3004" i="4"/>
  <c r="BB3005" i="4"/>
  <c r="BB3006" i="4"/>
  <c r="BB3007" i="4"/>
  <c r="BB3008" i="4"/>
  <c r="BB3009" i="4"/>
  <c r="BB3010" i="4"/>
  <c r="BB3011" i="4"/>
  <c r="BB3012" i="4"/>
  <c r="BB3013" i="4"/>
  <c r="BB3014" i="4"/>
  <c r="BB3015" i="4"/>
  <c r="BB3016" i="4"/>
  <c r="BB3017" i="4"/>
  <c r="BB3018" i="4"/>
  <c r="BB3019" i="4"/>
  <c r="BB3020" i="4"/>
  <c r="BB3021" i="4"/>
  <c r="BB3022" i="4"/>
  <c r="BB3023" i="4"/>
  <c r="BB3024" i="4"/>
  <c r="BB3025" i="4"/>
  <c r="BB3026" i="4"/>
  <c r="BB3027" i="4"/>
  <c r="BB3028" i="4"/>
  <c r="BB3029" i="4"/>
  <c r="BB3030" i="4"/>
  <c r="BB3031" i="4"/>
  <c r="BB3032" i="4"/>
  <c r="BB3033" i="4"/>
  <c r="BB3034" i="4"/>
  <c r="BB3035" i="4"/>
  <c r="BB3036" i="4"/>
  <c r="BB3037" i="4"/>
  <c r="BB3038" i="4"/>
  <c r="BB3039" i="4"/>
  <c r="BB3040" i="4"/>
  <c r="BB3041" i="4"/>
  <c r="BB3042" i="4"/>
  <c r="BB3043" i="4"/>
  <c r="BB3044" i="4"/>
  <c r="BB3045" i="4"/>
  <c r="BB3046" i="4"/>
  <c r="BB3047" i="4"/>
  <c r="BB3048" i="4"/>
  <c r="BB3049" i="4"/>
  <c r="BB3050" i="4"/>
  <c r="BB3051" i="4"/>
  <c r="BB3052" i="4"/>
  <c r="BB3053" i="4"/>
  <c r="BB3054" i="4"/>
  <c r="BB3055" i="4"/>
  <c r="BB3056" i="4"/>
  <c r="BB3057" i="4"/>
  <c r="BB3058" i="4"/>
  <c r="BB3059" i="4"/>
  <c r="BB3060" i="4"/>
  <c r="BB3061" i="4"/>
  <c r="BB3062" i="4"/>
  <c r="BB3063" i="4"/>
  <c r="BB3064" i="4"/>
  <c r="BB3065" i="4"/>
  <c r="BB3066" i="4"/>
  <c r="BB3067" i="4"/>
  <c r="BB3068" i="4"/>
  <c r="BB3069" i="4"/>
  <c r="BB3070" i="4"/>
  <c r="BB3071" i="4"/>
  <c r="BB3072" i="4"/>
  <c r="BB3073" i="4"/>
  <c r="BB3074" i="4"/>
  <c r="BB3075" i="4"/>
  <c r="BB3076" i="4"/>
  <c r="BB3077" i="4"/>
  <c r="BB3078" i="4"/>
  <c r="BB3079" i="4"/>
  <c r="BB3080" i="4"/>
  <c r="BB3081" i="4"/>
  <c r="BB3082" i="4"/>
  <c r="BB3083" i="4"/>
  <c r="BB3084" i="4"/>
  <c r="BB3085" i="4"/>
  <c r="BB3086" i="4"/>
  <c r="BB3087" i="4"/>
  <c r="BB3088" i="4"/>
  <c r="BB3089" i="4"/>
  <c r="BB3090" i="4"/>
  <c r="BB3091" i="4"/>
  <c r="BB3092" i="4"/>
  <c r="BB3093" i="4"/>
  <c r="BB3094" i="4"/>
  <c r="BB3095" i="4"/>
  <c r="BB3096" i="4"/>
  <c r="BB3097" i="4"/>
  <c r="BB3098" i="4"/>
  <c r="BB3099" i="4"/>
  <c r="BB3100" i="4"/>
  <c r="BB3101" i="4"/>
  <c r="BB3102" i="4"/>
  <c r="BB3103" i="4"/>
  <c r="BB3104" i="4"/>
  <c r="BB3105" i="4"/>
  <c r="BB3106" i="4"/>
  <c r="BB3107" i="4"/>
  <c r="BB3108" i="4"/>
  <c r="BB3109" i="4"/>
  <c r="BB3110" i="4"/>
  <c r="BB3111" i="4"/>
  <c r="BB3112" i="4"/>
  <c r="BB3113" i="4"/>
  <c r="BB3114" i="4"/>
  <c r="BB3115" i="4"/>
  <c r="BB3116" i="4"/>
  <c r="BB3117" i="4"/>
  <c r="BB3118" i="4"/>
  <c r="BB3119" i="4"/>
  <c r="BB3120" i="4"/>
  <c r="BB3121" i="4"/>
  <c r="BB3122" i="4"/>
  <c r="BB3123" i="4"/>
  <c r="BB3124" i="4"/>
  <c r="BB3125" i="4"/>
  <c r="BB3126" i="4"/>
  <c r="BB3127" i="4"/>
  <c r="BB3128" i="4"/>
  <c r="BB3129" i="4"/>
  <c r="BB3130" i="4"/>
  <c r="BB3131" i="4"/>
  <c r="BB3132" i="4"/>
  <c r="BB3133" i="4"/>
  <c r="BB3134" i="4"/>
  <c r="BB3135" i="4"/>
  <c r="BB3136" i="4"/>
  <c r="BB3137" i="4"/>
  <c r="BB3138" i="4"/>
  <c r="BB3139" i="4"/>
  <c r="BB3140" i="4"/>
  <c r="BB3141" i="4"/>
  <c r="BB3142" i="4"/>
  <c r="BB3143" i="4"/>
  <c r="BB3144" i="4"/>
  <c r="BB3145" i="4"/>
  <c r="BB3146" i="4"/>
  <c r="BB3147" i="4"/>
  <c r="BB3148" i="4"/>
  <c r="BB3149" i="4"/>
  <c r="BB3150" i="4"/>
  <c r="BB3151" i="4"/>
  <c r="BB3152" i="4"/>
  <c r="BB3153" i="4"/>
  <c r="BB3154" i="4"/>
  <c r="BB3155" i="4"/>
  <c r="BB3156" i="4"/>
  <c r="BB3157" i="4"/>
  <c r="BB3158" i="4"/>
  <c r="BB3159" i="4"/>
  <c r="BB3160" i="4"/>
  <c r="BB3161" i="4"/>
  <c r="BB3162" i="4"/>
  <c r="BB3163" i="4"/>
  <c r="BB3164" i="4"/>
  <c r="BB3165" i="4"/>
  <c r="BB3166" i="4"/>
  <c r="BB3167" i="4"/>
  <c r="BB3168" i="4"/>
  <c r="BB3169" i="4"/>
  <c r="BB3170" i="4"/>
  <c r="BB3171" i="4"/>
  <c r="BB3172" i="4"/>
  <c r="BB3173" i="4"/>
  <c r="BB3174" i="4"/>
  <c r="BB3175" i="4"/>
  <c r="BB3176" i="4"/>
  <c r="BB3177" i="4"/>
  <c r="BB3178" i="4"/>
  <c r="BB3179" i="4"/>
  <c r="BB3180" i="4"/>
  <c r="BB3181" i="4"/>
  <c r="BB3182" i="4"/>
  <c r="BB3183" i="4"/>
  <c r="BB3184" i="4"/>
  <c r="BB3185" i="4"/>
  <c r="BB3186" i="4"/>
  <c r="BB3187" i="4"/>
  <c r="BB3188" i="4"/>
  <c r="BB3189" i="4"/>
  <c r="BB3190" i="4"/>
  <c r="BB3191" i="4"/>
  <c r="BB3192" i="4"/>
  <c r="BB3193" i="4"/>
  <c r="BB3194" i="4"/>
  <c r="BB3195" i="4"/>
  <c r="BB3196" i="4"/>
  <c r="BB3197" i="4"/>
  <c r="BB3198" i="4"/>
  <c r="BB3199" i="4"/>
  <c r="BB3200" i="4"/>
  <c r="BB3201" i="4"/>
  <c r="BB3202" i="4"/>
  <c r="BB3203" i="4"/>
  <c r="BB3204" i="4"/>
  <c r="BB3205" i="4"/>
  <c r="BB3206" i="4"/>
  <c r="BB3207" i="4"/>
  <c r="BB3208" i="4"/>
  <c r="BB3209" i="4"/>
  <c r="BB3210" i="4"/>
  <c r="BB3211" i="4"/>
  <c r="BB3212" i="4"/>
  <c r="BB3213" i="4"/>
  <c r="BB3214" i="4"/>
  <c r="BB3215" i="4"/>
  <c r="BB3216" i="4"/>
  <c r="BB3217" i="4"/>
  <c r="BB3218" i="4"/>
  <c r="BB3219" i="4"/>
  <c r="BB3220" i="4"/>
  <c r="BB3221" i="4"/>
  <c r="BB3222" i="4"/>
  <c r="BB3223" i="4"/>
  <c r="BB3224" i="4"/>
  <c r="BB3225" i="4"/>
  <c r="BB3226" i="4"/>
  <c r="BB3227" i="4"/>
  <c r="BB3228" i="4"/>
  <c r="BB3229" i="4"/>
  <c r="BB3230" i="4"/>
  <c r="BB3231" i="4"/>
  <c r="BB3232" i="4"/>
  <c r="BB3233" i="4"/>
  <c r="BB3234" i="4"/>
  <c r="BB3235" i="4"/>
  <c r="BB3236" i="4"/>
  <c r="BB3237" i="4"/>
  <c r="BB3238" i="4"/>
  <c r="BB3239" i="4"/>
  <c r="BB3240" i="4"/>
  <c r="BB3241" i="4"/>
  <c r="BB3242" i="4"/>
  <c r="BB3243" i="4"/>
  <c r="BB3244" i="4"/>
  <c r="BB3245" i="4"/>
  <c r="BB3246" i="4"/>
  <c r="BB3247" i="4"/>
  <c r="BB3248" i="4"/>
  <c r="BB3249" i="4"/>
  <c r="BB3250" i="4"/>
  <c r="BB3251" i="4"/>
  <c r="BB3252" i="4"/>
  <c r="BB3253" i="4"/>
  <c r="BB3254" i="4"/>
  <c r="BB3255" i="4"/>
  <c r="BB3256" i="4"/>
  <c r="BB3257" i="4"/>
  <c r="BB3258" i="4"/>
  <c r="BB3259" i="4"/>
  <c r="BB3260" i="4"/>
  <c r="BB3261" i="4"/>
  <c r="BB3262" i="4"/>
  <c r="BB3263" i="4"/>
  <c r="BB3264" i="4"/>
  <c r="BB3265" i="4"/>
  <c r="BB3266" i="4"/>
  <c r="BB3267" i="4"/>
  <c r="BB3268" i="4"/>
  <c r="BB3269" i="4"/>
  <c r="BB3270" i="4"/>
  <c r="BB3271" i="4"/>
  <c r="BB3272" i="4"/>
  <c r="BB3273" i="4"/>
  <c r="BB3274" i="4"/>
  <c r="BB3275" i="4"/>
  <c r="BB3276" i="4"/>
  <c r="BB3277" i="4"/>
  <c r="BB3278" i="4"/>
  <c r="BB3279" i="4"/>
  <c r="BB3280" i="4"/>
  <c r="BB3281" i="4"/>
  <c r="BB3282" i="4"/>
  <c r="BB3283" i="4"/>
  <c r="BB3284" i="4"/>
  <c r="BB3285" i="4"/>
  <c r="BB3286" i="4"/>
  <c r="BB3287" i="4"/>
  <c r="BB3288" i="4"/>
  <c r="BB3289" i="4"/>
  <c r="BB3290" i="4"/>
  <c r="BB3291" i="4"/>
  <c r="BB3292" i="4"/>
  <c r="BB3293" i="4"/>
  <c r="BB3294" i="4"/>
  <c r="BB3295" i="4"/>
  <c r="BB3296" i="4"/>
  <c r="BB3297" i="4"/>
  <c r="BB3298" i="4"/>
  <c r="BB3299" i="4"/>
  <c r="BB3300" i="4"/>
  <c r="BB3301" i="4"/>
  <c r="BB3302" i="4"/>
  <c r="BB3303" i="4"/>
  <c r="BB3304" i="4"/>
  <c r="BB3305" i="4"/>
  <c r="BB3306" i="4"/>
  <c r="BB3307" i="4"/>
  <c r="BB3308" i="4"/>
  <c r="BB3309" i="4"/>
  <c r="BB3310" i="4"/>
  <c r="BB3311" i="4"/>
  <c r="BB3312" i="4"/>
  <c r="BB3313" i="4"/>
  <c r="BB3314" i="4"/>
  <c r="BB3315" i="4"/>
  <c r="BB3316" i="4"/>
  <c r="BB3317" i="4"/>
  <c r="BB3318" i="4"/>
  <c r="BB3319" i="4"/>
  <c r="BB3320" i="4"/>
  <c r="BB3321" i="4"/>
  <c r="BB3322" i="4"/>
  <c r="BB3323" i="4"/>
  <c r="BB3324" i="4"/>
  <c r="BB3325" i="4"/>
  <c r="BB3326" i="4"/>
  <c r="BB3327" i="4"/>
  <c r="BB3328" i="4"/>
  <c r="BB3329" i="4"/>
  <c r="BB3330" i="4"/>
  <c r="BB3331" i="4"/>
  <c r="BB3332" i="4"/>
  <c r="BB3333" i="4"/>
  <c r="BB3334" i="4"/>
  <c r="BB3335" i="4"/>
  <c r="BB3336" i="4"/>
  <c r="BB3337" i="4"/>
  <c r="BB3338" i="4"/>
  <c r="BB3339" i="4"/>
  <c r="BB3340" i="4"/>
  <c r="BB3341" i="4"/>
  <c r="BB3342" i="4"/>
  <c r="BB3343" i="4"/>
  <c r="BB3344" i="4"/>
  <c r="BB3345" i="4"/>
  <c r="BB3346" i="4"/>
  <c r="BB3347" i="4"/>
  <c r="BB3348" i="4"/>
  <c r="BB3349" i="4"/>
  <c r="BB3350" i="4"/>
  <c r="BB3351" i="4"/>
  <c r="BB3352" i="4"/>
  <c r="BB3353" i="4"/>
  <c r="BB3354" i="4"/>
  <c r="BB3355" i="4"/>
  <c r="BB3356" i="4"/>
  <c r="BB3357" i="4"/>
  <c r="BB3358" i="4"/>
  <c r="BB3359" i="4"/>
  <c r="BB3360" i="4"/>
  <c r="BB3361" i="4"/>
  <c r="BB3362" i="4"/>
  <c r="BB3363" i="4"/>
  <c r="BB3364" i="4"/>
  <c r="BB3365" i="4"/>
  <c r="BB3366" i="4"/>
  <c r="BB3367" i="4"/>
  <c r="BB3368" i="4"/>
  <c r="BB3369" i="4"/>
  <c r="BB3370" i="4"/>
  <c r="BB3371" i="4"/>
  <c r="BB3372" i="4"/>
  <c r="BB3373" i="4"/>
  <c r="BB3374" i="4"/>
  <c r="BB3375" i="4"/>
  <c r="BB3376" i="4"/>
  <c r="BB3377" i="4"/>
  <c r="BB3378" i="4"/>
  <c r="BB3379" i="4"/>
  <c r="BB3380" i="4"/>
  <c r="BB3381" i="4"/>
  <c r="BB3382" i="4"/>
  <c r="BB3383" i="4"/>
  <c r="BB3384" i="4"/>
  <c r="BB3385" i="4"/>
  <c r="BB3386" i="4"/>
  <c r="BB3387" i="4"/>
  <c r="BB3388" i="4"/>
  <c r="BB3389" i="4"/>
  <c r="BB3390" i="4"/>
  <c r="BB3391" i="4"/>
  <c r="BB3392" i="4"/>
  <c r="BB3393" i="4"/>
  <c r="BB3394" i="4"/>
  <c r="BB3395" i="4"/>
  <c r="BB3396" i="4"/>
  <c r="BB3397" i="4"/>
  <c r="BB3398" i="4"/>
  <c r="BB3399" i="4"/>
  <c r="BB3400" i="4"/>
  <c r="BB3401" i="4"/>
  <c r="BB3402" i="4"/>
  <c r="BB3403" i="4"/>
  <c r="BB3404" i="4"/>
  <c r="BB3405" i="4"/>
  <c r="BB3406" i="4"/>
  <c r="BB3407" i="4"/>
  <c r="BB3408" i="4"/>
  <c r="BB3409" i="4"/>
  <c r="BB3410" i="4"/>
  <c r="BB3411" i="4"/>
  <c r="BB3412" i="4"/>
  <c r="BB3413" i="4"/>
  <c r="BB3414" i="4"/>
  <c r="BB3415" i="4"/>
  <c r="BB3416" i="4"/>
  <c r="BB3417" i="4"/>
  <c r="BB3418" i="4"/>
  <c r="BB3419" i="4"/>
  <c r="BB3420" i="4"/>
  <c r="BB3421" i="4"/>
  <c r="BB3422" i="4"/>
  <c r="BB3423" i="4"/>
  <c r="BB3424" i="4"/>
  <c r="BB3425" i="4"/>
  <c r="BB3426" i="4"/>
  <c r="BB3427" i="4"/>
  <c r="BB3428" i="4"/>
  <c r="BB3429" i="4"/>
  <c r="BB3430" i="4"/>
  <c r="BB3431" i="4"/>
  <c r="BB3432" i="4"/>
  <c r="BB3433" i="4"/>
  <c r="BB3434" i="4"/>
  <c r="BB3435" i="4"/>
  <c r="BB3436" i="4"/>
  <c r="BB3437" i="4"/>
  <c r="BB3438" i="4"/>
  <c r="BB3439" i="4"/>
  <c r="BB3440" i="4"/>
  <c r="BB3441" i="4"/>
  <c r="BB3442" i="4"/>
  <c r="BB3443" i="4"/>
  <c r="BB3444" i="4"/>
  <c r="BB3445" i="4"/>
  <c r="BB3446" i="4"/>
  <c r="BB3447" i="4"/>
  <c r="BB3448" i="4"/>
  <c r="BB3449" i="4"/>
  <c r="BB3450" i="4"/>
  <c r="BB3451" i="4"/>
  <c r="BB3452" i="4"/>
  <c r="BB3453" i="4"/>
  <c r="BB3454" i="4"/>
  <c r="BB3455" i="4"/>
  <c r="BB3456" i="4"/>
  <c r="BB3457" i="4"/>
  <c r="BB3458" i="4"/>
  <c r="BB3459" i="4"/>
  <c r="BB3460" i="4"/>
  <c r="BB3461" i="4"/>
  <c r="BB3462" i="4"/>
  <c r="BB3463" i="4"/>
  <c r="BB3464" i="4"/>
  <c r="BB3465" i="4"/>
  <c r="BB3466" i="4"/>
  <c r="BB3467" i="4"/>
  <c r="BB3468" i="4"/>
  <c r="BB3469" i="4"/>
  <c r="BB3470" i="4"/>
  <c r="BB3471" i="4"/>
  <c r="BB3472" i="4"/>
  <c r="BB3473" i="4"/>
  <c r="BB3474" i="4"/>
  <c r="BB3475" i="4"/>
  <c r="BB3476" i="4"/>
  <c r="BB3477" i="4"/>
  <c r="BB3478" i="4"/>
  <c r="BB3479" i="4"/>
  <c r="BB3480" i="4"/>
  <c r="BB3481" i="4"/>
  <c r="BB3482" i="4"/>
  <c r="BB3483" i="4"/>
  <c r="BB3484" i="4"/>
  <c r="BB3485" i="4"/>
  <c r="BB3486" i="4"/>
  <c r="BB3487" i="4"/>
  <c r="BB3488" i="4"/>
  <c r="BB3489" i="4"/>
  <c r="BB3490" i="4"/>
  <c r="BB3491" i="4"/>
  <c r="BB3492" i="4"/>
  <c r="BB3493" i="4"/>
  <c r="BB3494" i="4"/>
  <c r="BB3495" i="4"/>
  <c r="BB3496" i="4"/>
  <c r="BB3497" i="4"/>
  <c r="BB3498" i="4"/>
  <c r="BB3499" i="4"/>
  <c r="BB3500" i="4"/>
  <c r="BB3501" i="4"/>
  <c r="BB3502" i="4"/>
  <c r="BB3503" i="4"/>
  <c r="BB3504" i="4"/>
  <c r="BB3505" i="4"/>
  <c r="BB3506" i="4"/>
  <c r="BB3507" i="4"/>
  <c r="BB3508" i="4"/>
  <c r="BB3509" i="4"/>
  <c r="BB3510" i="4"/>
  <c r="BB3511" i="4"/>
  <c r="BB3512" i="4"/>
  <c r="BB3513" i="4"/>
  <c r="BB3514" i="4"/>
  <c r="BB3515" i="4"/>
  <c r="BB3516" i="4"/>
  <c r="BB3517" i="4"/>
  <c r="BB3518" i="4"/>
  <c r="BB3519" i="4"/>
  <c r="BB3520" i="4"/>
  <c r="BB3521" i="4"/>
  <c r="BB3522" i="4"/>
  <c r="BB3523" i="4"/>
  <c r="BB3524" i="4"/>
  <c r="BB3525" i="4"/>
  <c r="BB3526" i="4"/>
  <c r="BB3527" i="4"/>
  <c r="BB3528" i="4"/>
  <c r="BB3529" i="4"/>
  <c r="BB3530" i="4"/>
  <c r="BB3531" i="4"/>
  <c r="BB3532" i="4"/>
  <c r="BB3533" i="4"/>
  <c r="BB3534" i="4"/>
  <c r="BB3535" i="4"/>
  <c r="BB3536" i="4"/>
  <c r="BB3537" i="4"/>
  <c r="BB3538" i="4"/>
  <c r="BB3539" i="4"/>
  <c r="BB3540" i="4"/>
  <c r="BB3541" i="4"/>
  <c r="BB3542" i="4"/>
  <c r="BB3543" i="4"/>
  <c r="BB3544" i="4"/>
  <c r="BB3545" i="4"/>
  <c r="BB3546" i="4"/>
  <c r="BB3547" i="4"/>
  <c r="BB3548" i="4"/>
  <c r="BB3549" i="4"/>
  <c r="BB3550" i="4"/>
  <c r="BB3551" i="4"/>
  <c r="BB3552" i="4"/>
  <c r="BB3553" i="4"/>
  <c r="BB3554" i="4"/>
  <c r="BB3555" i="4"/>
  <c r="BB3556" i="4"/>
  <c r="BB3557" i="4"/>
  <c r="BB3558" i="4"/>
  <c r="BB3559" i="4"/>
  <c r="BB3560" i="4"/>
  <c r="BB3561" i="4"/>
  <c r="BB3562" i="4"/>
  <c r="BB3563" i="4"/>
  <c r="BB3564" i="4"/>
  <c r="BB3565" i="4"/>
  <c r="BB3566" i="4"/>
  <c r="BB3567" i="4"/>
  <c r="BB3568" i="4"/>
  <c r="BB3569" i="4"/>
  <c r="BB3570" i="4"/>
  <c r="BB3571" i="4"/>
  <c r="BB3572" i="4"/>
  <c r="BB3573" i="4"/>
  <c r="BB3574" i="4"/>
  <c r="BB3575" i="4"/>
  <c r="BB3576" i="4"/>
  <c r="BB3577" i="4"/>
  <c r="BB3578" i="4"/>
  <c r="BB3579" i="4"/>
  <c r="BB3580" i="4"/>
  <c r="BB3581" i="4"/>
  <c r="BB3582" i="4"/>
  <c r="BB3583" i="4"/>
  <c r="BB3584" i="4"/>
  <c r="BB3585" i="4"/>
  <c r="BB3586" i="4"/>
  <c r="BB3587" i="4"/>
  <c r="BB3588" i="4"/>
  <c r="BB3589" i="4"/>
  <c r="BB3590" i="4"/>
  <c r="BB3591" i="4"/>
  <c r="BB3592" i="4"/>
  <c r="BB3593" i="4"/>
  <c r="BB3594" i="4"/>
  <c r="BB3595" i="4"/>
  <c r="BB3596" i="4"/>
  <c r="BB3597" i="4"/>
  <c r="BB3598" i="4"/>
  <c r="BB3599" i="4"/>
  <c r="BB3600" i="4"/>
  <c r="BB3601" i="4"/>
  <c r="BB3602" i="4"/>
  <c r="BB3603" i="4"/>
  <c r="BB3604" i="4"/>
  <c r="BB3605" i="4"/>
  <c r="BB3606" i="4"/>
  <c r="BB3607" i="4"/>
  <c r="BB3608" i="4"/>
  <c r="BB3609" i="4"/>
  <c r="BB3610" i="4"/>
  <c r="BB3611" i="4"/>
  <c r="BB3612" i="4"/>
  <c r="BB3613" i="4"/>
  <c r="BB3614" i="4"/>
  <c r="BB3615" i="4"/>
  <c r="BB3616" i="4"/>
  <c r="BB3617" i="4"/>
  <c r="BB3618" i="4"/>
  <c r="BB3619" i="4"/>
  <c r="BB3620" i="4"/>
  <c r="BB3621" i="4"/>
  <c r="BB3622" i="4"/>
  <c r="BB3623" i="4"/>
  <c r="BB3624" i="4"/>
  <c r="BB3625" i="4"/>
  <c r="BB3626" i="4"/>
  <c r="BB3627" i="4"/>
  <c r="BB3628" i="4"/>
  <c r="BB3629" i="4"/>
  <c r="BB3630" i="4"/>
  <c r="BB3631" i="4"/>
  <c r="BB3632" i="4"/>
  <c r="BB3633" i="4"/>
  <c r="BB3634" i="4"/>
  <c r="BB3635" i="4"/>
  <c r="BB3636" i="4"/>
  <c r="BB3637" i="4"/>
  <c r="BB3638" i="4"/>
  <c r="BB3639" i="4"/>
  <c r="BB3640" i="4"/>
  <c r="BB3641" i="4"/>
  <c r="BB3642" i="4"/>
  <c r="BB3643" i="4"/>
  <c r="BB3644" i="4"/>
  <c r="BB3645" i="4"/>
  <c r="BB3646" i="4"/>
  <c r="BB3647" i="4"/>
  <c r="BB3648" i="4"/>
  <c r="BB3649" i="4"/>
  <c r="BB3650" i="4"/>
  <c r="BB3651" i="4"/>
  <c r="BB3652" i="4"/>
  <c r="BB3653" i="4"/>
  <c r="BB3654" i="4"/>
  <c r="BB3655" i="4"/>
  <c r="BB3656" i="4"/>
  <c r="BB3657" i="4"/>
  <c r="BB3658" i="4"/>
  <c r="BB3659" i="4"/>
  <c r="BB3660" i="4"/>
  <c r="BB3661" i="4"/>
  <c r="BB3662" i="4"/>
  <c r="BB3663" i="4"/>
  <c r="BB3664" i="4"/>
  <c r="BB3665" i="4"/>
  <c r="BB3666" i="4"/>
  <c r="BB3667" i="4"/>
  <c r="BB3668" i="4"/>
  <c r="BB3669" i="4"/>
  <c r="BB3670" i="4"/>
  <c r="BB3671" i="4"/>
  <c r="BB3672" i="4"/>
  <c r="BB3673" i="4"/>
  <c r="BB3674" i="4"/>
  <c r="BB3675" i="4"/>
  <c r="BB3676" i="4"/>
  <c r="BB3677" i="4"/>
  <c r="BB3678" i="4"/>
  <c r="BB3679" i="4"/>
  <c r="BB3680" i="4"/>
  <c r="BB3681" i="4"/>
  <c r="BB3682" i="4"/>
  <c r="BB3683" i="4"/>
  <c r="BB3684" i="4"/>
  <c r="BB3685" i="4"/>
  <c r="BB3686" i="4"/>
  <c r="BB3687" i="4"/>
  <c r="BB3688" i="4"/>
  <c r="BB3689" i="4"/>
  <c r="BB3690" i="4"/>
  <c r="BB3691" i="4"/>
  <c r="BB3692" i="4"/>
  <c r="BB3693" i="4"/>
  <c r="BB3694" i="4"/>
  <c r="BB3695" i="4"/>
  <c r="BB3696" i="4"/>
  <c r="BB3697" i="4"/>
  <c r="BB3698" i="4"/>
  <c r="BB3699" i="4"/>
  <c r="BB3700" i="4"/>
  <c r="BB3701" i="4"/>
  <c r="BB3702" i="4"/>
  <c r="BB3703" i="4"/>
  <c r="BB3704" i="4"/>
  <c r="BB3705" i="4"/>
  <c r="BB3706" i="4"/>
  <c r="BB3707" i="4"/>
  <c r="BB3708" i="4"/>
  <c r="BB3709" i="4"/>
  <c r="BB3710" i="4"/>
  <c r="BB3711" i="4"/>
  <c r="BB3712" i="4"/>
  <c r="BB3713" i="4"/>
  <c r="BB3714" i="4"/>
  <c r="BB3715" i="4"/>
  <c r="BB3716" i="4"/>
  <c r="BB3717" i="4"/>
  <c r="BB3718" i="4"/>
  <c r="BB3719" i="4"/>
  <c r="BB3720" i="4"/>
  <c r="BB3721" i="4"/>
  <c r="BB3722" i="4"/>
  <c r="BB3723" i="4"/>
  <c r="BB3724" i="4"/>
  <c r="BB3725" i="4"/>
  <c r="BB3726" i="4"/>
  <c r="BB3727" i="4"/>
  <c r="BB3728" i="4"/>
  <c r="BB3729" i="4"/>
  <c r="BB3730" i="4"/>
  <c r="BB3731" i="4"/>
  <c r="BB3732" i="4"/>
  <c r="BB3733" i="4"/>
  <c r="BB3734" i="4"/>
  <c r="BB3735" i="4"/>
  <c r="BB3736" i="4"/>
  <c r="BB3737" i="4"/>
  <c r="BB3738" i="4"/>
  <c r="BB3739" i="4"/>
  <c r="BB3740" i="4"/>
  <c r="BB3741" i="4"/>
  <c r="BB3742" i="4"/>
  <c r="BB3743" i="4"/>
  <c r="BB3744" i="4"/>
  <c r="BB3745" i="4"/>
  <c r="BB3746" i="4"/>
  <c r="BB3747" i="4"/>
  <c r="BB3748" i="4"/>
  <c r="BB3749" i="4"/>
  <c r="BB3750" i="4"/>
  <c r="BB3751" i="4"/>
  <c r="BB3752" i="4"/>
  <c r="BB3753" i="4"/>
  <c r="BB3754" i="4"/>
  <c r="BB3755" i="4"/>
  <c r="BB3756" i="4"/>
  <c r="BB3757" i="4"/>
  <c r="BB3758" i="4"/>
  <c r="BB3759" i="4"/>
  <c r="BB3760" i="4"/>
  <c r="BB3761" i="4"/>
  <c r="BB3762" i="4"/>
  <c r="BB3763" i="4"/>
  <c r="BB3764" i="4"/>
  <c r="BB3765" i="4"/>
  <c r="BB3766" i="4"/>
  <c r="BB3767" i="4"/>
  <c r="BB3768" i="4"/>
  <c r="BB3769" i="4"/>
  <c r="BB3770" i="4"/>
  <c r="BB3771" i="4"/>
  <c r="BB3772" i="4"/>
  <c r="BB3773" i="4"/>
  <c r="BB3774" i="4"/>
  <c r="BB3775" i="4"/>
  <c r="BB3776" i="4"/>
  <c r="BB3777" i="4"/>
  <c r="BB3778" i="4"/>
  <c r="BB3779" i="4"/>
  <c r="BB3780" i="4"/>
  <c r="BB3781" i="4"/>
  <c r="BB3782" i="4"/>
  <c r="BB3783" i="4"/>
  <c r="BB3784" i="4"/>
  <c r="BB3785" i="4"/>
  <c r="BB3786" i="4"/>
  <c r="BB3787" i="4"/>
  <c r="BB3788" i="4"/>
  <c r="BB3789" i="4"/>
  <c r="BB3790" i="4"/>
  <c r="BB3791" i="4"/>
  <c r="BB3792" i="4"/>
  <c r="BB3793" i="4"/>
  <c r="BB3794" i="4"/>
  <c r="BB3795" i="4"/>
  <c r="BB3796" i="4"/>
  <c r="BB3797" i="4"/>
  <c r="BB3798" i="4"/>
  <c r="BB3799" i="4"/>
  <c r="BB3800" i="4"/>
  <c r="BB3801" i="4"/>
  <c r="BB3802" i="4"/>
  <c r="BB3803" i="4"/>
  <c r="BB3804" i="4"/>
  <c r="BB3805" i="4"/>
  <c r="BB3806" i="4"/>
  <c r="BB3807" i="4"/>
  <c r="BB3808" i="4"/>
  <c r="BB3809" i="4"/>
  <c r="BB3810" i="4"/>
  <c r="BB3811" i="4"/>
  <c r="BB3812" i="4"/>
  <c r="BB3813" i="4"/>
  <c r="BB3814" i="4"/>
  <c r="BB3815" i="4"/>
  <c r="BB3816" i="4"/>
  <c r="BB3817" i="4"/>
  <c r="BB3818" i="4"/>
  <c r="BB3819" i="4"/>
  <c r="BB3820" i="4"/>
  <c r="BB3821" i="4"/>
  <c r="BB3822" i="4"/>
  <c r="BB3823" i="4"/>
  <c r="BB3824" i="4"/>
  <c r="BB3825" i="4"/>
  <c r="BB3826" i="4"/>
  <c r="BB3827" i="4"/>
  <c r="BB3828" i="4"/>
  <c r="BB3829" i="4"/>
  <c r="BB3830" i="4"/>
  <c r="BB3831" i="4"/>
  <c r="BB3832" i="4"/>
  <c r="BB3833" i="4"/>
  <c r="BB3834" i="4"/>
  <c r="BB3835" i="4"/>
  <c r="BB3836" i="4"/>
  <c r="BB3837" i="4"/>
  <c r="BB3838" i="4"/>
  <c r="BB3839" i="4"/>
  <c r="BB3840" i="4"/>
  <c r="BB3841" i="4"/>
  <c r="BB3842" i="4"/>
  <c r="BB3843" i="4"/>
  <c r="BB3844" i="4"/>
  <c r="BB3845" i="4"/>
  <c r="BB3846" i="4"/>
  <c r="BB3847" i="4"/>
  <c r="BB3848" i="4"/>
  <c r="BB3849" i="4"/>
  <c r="BB3850" i="4"/>
  <c r="BB3851" i="4"/>
  <c r="BB3852" i="4"/>
  <c r="BB3853" i="4"/>
  <c r="BB3854" i="4"/>
  <c r="BB3855" i="4"/>
  <c r="BB3856" i="4"/>
  <c r="BB3857" i="4"/>
  <c r="BB3858" i="4"/>
  <c r="BB3859" i="4"/>
  <c r="BB3860" i="4"/>
  <c r="BB3861" i="4"/>
  <c r="BB3862" i="4"/>
  <c r="BB3863" i="4"/>
  <c r="BB3864" i="4"/>
  <c r="BB3865" i="4"/>
  <c r="BB3866" i="4"/>
  <c r="BB3867" i="4"/>
  <c r="BB3868" i="4"/>
  <c r="BB3869" i="4"/>
  <c r="BB3870" i="4"/>
  <c r="BB3871" i="4"/>
  <c r="BB3872" i="4"/>
  <c r="BB3873" i="4"/>
  <c r="BB3874" i="4"/>
  <c r="BB3875" i="4"/>
  <c r="BB3876" i="4"/>
  <c r="BB3877" i="4"/>
  <c r="BB3878" i="4"/>
  <c r="BB3879" i="4"/>
  <c r="BB3880" i="4"/>
  <c r="BB3881" i="4"/>
  <c r="BB3882" i="4"/>
  <c r="BB3883" i="4"/>
  <c r="BB3884" i="4"/>
  <c r="BB3885" i="4"/>
  <c r="BB3886" i="4"/>
  <c r="BB3887" i="4"/>
  <c r="BB3888" i="4"/>
  <c r="BB3889" i="4"/>
  <c r="BB3890" i="4"/>
  <c r="BB3891" i="4"/>
  <c r="BB3892" i="4"/>
  <c r="BB3893" i="4"/>
  <c r="BB3894" i="4"/>
  <c r="BB3895" i="4"/>
  <c r="BB3896" i="4"/>
  <c r="BB3897" i="4"/>
  <c r="BB3898" i="4"/>
  <c r="BB3899" i="4"/>
  <c r="BB3900" i="4"/>
  <c r="BB3901" i="4"/>
  <c r="BB3902" i="4"/>
  <c r="BB3903" i="4"/>
  <c r="BB3904" i="4"/>
  <c r="BB3905" i="4"/>
  <c r="BB3906" i="4"/>
  <c r="BB3907" i="4"/>
  <c r="BB3908" i="4"/>
  <c r="BB3909" i="4"/>
  <c r="BB3910" i="4"/>
  <c r="BB3911" i="4"/>
  <c r="BB3912" i="4"/>
  <c r="BB3913" i="4"/>
  <c r="BB3914" i="4"/>
  <c r="BB3915" i="4"/>
  <c r="BB3916" i="4"/>
  <c r="BB3917" i="4"/>
  <c r="BB3918" i="4"/>
  <c r="BB3919" i="4"/>
  <c r="BB3920" i="4"/>
  <c r="BB3921" i="4"/>
  <c r="BB3922" i="4"/>
  <c r="BB3923" i="4"/>
  <c r="BB3924" i="4"/>
  <c r="BB3925" i="4"/>
  <c r="BB3926" i="4"/>
  <c r="BB3927" i="4"/>
  <c r="BB3928" i="4"/>
  <c r="BB3929" i="4"/>
  <c r="BB3930" i="4"/>
  <c r="BB3931" i="4"/>
  <c r="BB3932" i="4"/>
  <c r="BB3933" i="4"/>
  <c r="BB3934" i="4"/>
  <c r="BB3935" i="4"/>
  <c r="BB3936" i="4"/>
  <c r="BB3937" i="4"/>
  <c r="BB3938" i="4"/>
  <c r="BB3939" i="4"/>
  <c r="BB3940" i="4"/>
  <c r="BB3941" i="4"/>
  <c r="BB3942" i="4"/>
  <c r="BB3943" i="4"/>
  <c r="BB3944" i="4"/>
  <c r="BB3945" i="4"/>
  <c r="BB3946" i="4"/>
  <c r="BB3947" i="4"/>
  <c r="BB3948" i="4"/>
  <c r="BB3949" i="4"/>
  <c r="BB3950" i="4"/>
  <c r="BB3951" i="4"/>
  <c r="BB3952" i="4"/>
  <c r="BB3953" i="4"/>
  <c r="BB3954" i="4"/>
  <c r="BB3955" i="4"/>
  <c r="BB3956" i="4"/>
  <c r="BB3957" i="4"/>
  <c r="BB3958" i="4"/>
  <c r="BB3959" i="4"/>
  <c r="BB3960" i="4"/>
  <c r="BB3961" i="4"/>
  <c r="BB3962" i="4"/>
  <c r="BB3963" i="4"/>
  <c r="BB3964" i="4"/>
  <c r="BB3965" i="4"/>
  <c r="BB3966" i="4"/>
  <c r="BB3967" i="4"/>
  <c r="BB3968" i="4"/>
  <c r="BB3969" i="4"/>
  <c r="BB3970" i="4"/>
  <c r="BB3971" i="4"/>
  <c r="BB3972" i="4"/>
  <c r="BB3973" i="4"/>
  <c r="BB3974" i="4"/>
  <c r="BB3975" i="4"/>
  <c r="BB3976" i="4"/>
  <c r="BB3977" i="4"/>
  <c r="BB3978" i="4"/>
  <c r="BB3979" i="4"/>
  <c r="BB3980" i="4"/>
  <c r="BB3981" i="4"/>
  <c r="BB3982" i="4"/>
  <c r="BB3983" i="4"/>
  <c r="BB3984" i="4"/>
  <c r="BB3985" i="4"/>
  <c r="BB3986" i="4"/>
  <c r="BB3987" i="4"/>
  <c r="BB3988" i="4"/>
  <c r="BB3989" i="4"/>
  <c r="BB3990" i="4"/>
  <c r="BB3991" i="4"/>
  <c r="BB3992" i="4"/>
  <c r="BB3993" i="4"/>
  <c r="BB3994" i="4"/>
  <c r="BB3995" i="4"/>
  <c r="BB3996" i="4"/>
  <c r="BB3997" i="4"/>
  <c r="BB3998" i="4"/>
  <c r="BB3999" i="4"/>
  <c r="BB4000" i="4"/>
  <c r="BB4001" i="4"/>
  <c r="BB4002" i="4"/>
  <c r="BB4003" i="4"/>
  <c r="BB4004" i="4"/>
  <c r="BB4005" i="4"/>
  <c r="BB4006" i="4"/>
  <c r="BB4007" i="4"/>
  <c r="BB4008" i="4"/>
  <c r="BB4009" i="4"/>
  <c r="BB4010" i="4"/>
  <c r="BB4011" i="4"/>
  <c r="BB4012" i="4"/>
  <c r="BB4013" i="4"/>
  <c r="BB4014" i="4"/>
  <c r="BB4015" i="4"/>
  <c r="BB4016" i="4"/>
  <c r="BB4017" i="4"/>
  <c r="BB4018" i="4"/>
  <c r="BB4019" i="4"/>
  <c r="BB4020" i="4"/>
  <c r="BB4021" i="4"/>
  <c r="BB4022" i="4"/>
  <c r="BB4023" i="4"/>
  <c r="BB4024" i="4"/>
  <c r="BB4025" i="4"/>
  <c r="BB4026" i="4"/>
  <c r="BB4027" i="4"/>
  <c r="BB4028" i="4"/>
  <c r="BB4029" i="4"/>
  <c r="BB4030" i="4"/>
  <c r="BB4031" i="4"/>
  <c r="BB4032" i="4"/>
  <c r="BB4033" i="4"/>
  <c r="BB4034" i="4"/>
  <c r="BB4035" i="4"/>
  <c r="BB4036" i="4"/>
  <c r="BB4037" i="4"/>
  <c r="BB4038" i="4"/>
  <c r="BB4039" i="4"/>
  <c r="BB4040" i="4"/>
  <c r="BB4041" i="4"/>
  <c r="BB4042" i="4"/>
  <c r="BB4043" i="4"/>
  <c r="BB4044" i="4"/>
  <c r="BB4045" i="4"/>
  <c r="BB4046" i="4"/>
  <c r="BB4047" i="4"/>
  <c r="BB4048" i="4"/>
  <c r="BB4049" i="4"/>
  <c r="BB4050" i="4"/>
  <c r="BB4051" i="4"/>
  <c r="BB4052" i="4"/>
  <c r="BB4053" i="4"/>
  <c r="BB4054" i="4"/>
  <c r="BB4055" i="4"/>
  <c r="BB4056" i="4"/>
  <c r="BB4057" i="4"/>
  <c r="BB4058" i="4"/>
  <c r="BB4059" i="4"/>
  <c r="BB4060" i="4"/>
  <c r="BB4061" i="4"/>
  <c r="BB4062" i="4"/>
  <c r="BB4063" i="4"/>
  <c r="BB4064" i="4"/>
  <c r="BB4065" i="4"/>
  <c r="BB4066" i="4"/>
  <c r="BB4067" i="4"/>
  <c r="BB4068" i="4"/>
  <c r="BB4069" i="4"/>
  <c r="BB4070" i="4"/>
  <c r="BB4071" i="4"/>
  <c r="BB4072" i="4"/>
  <c r="BB4073" i="4"/>
  <c r="BB4074" i="4"/>
  <c r="BB4075" i="4"/>
  <c r="BB4076" i="4"/>
  <c r="BB4077" i="4"/>
  <c r="BB4078" i="4"/>
  <c r="BB4079" i="4"/>
  <c r="BB4080" i="4"/>
  <c r="BB4081" i="4"/>
  <c r="BB4082" i="4"/>
  <c r="BB4083" i="4"/>
  <c r="BB4084" i="4"/>
  <c r="BB4085" i="4"/>
  <c r="BB4086" i="4"/>
  <c r="BB4087" i="4"/>
  <c r="BB4088" i="4"/>
  <c r="BB4089" i="4"/>
  <c r="BB4090" i="4"/>
  <c r="BB4091" i="4"/>
  <c r="BB4092" i="4"/>
  <c r="BB4093" i="4"/>
  <c r="BB4094" i="4"/>
  <c r="BB4095" i="4"/>
  <c r="BB4096" i="4"/>
  <c r="BB4097" i="4"/>
  <c r="BB4098" i="4"/>
  <c r="BB4099" i="4"/>
  <c r="BB4100" i="4"/>
  <c r="BB4101" i="4"/>
  <c r="BB4102" i="4"/>
  <c r="BB4103" i="4"/>
  <c r="BB4104" i="4"/>
  <c r="BB4105" i="4"/>
  <c r="BB4106" i="4"/>
  <c r="BB4107" i="4"/>
  <c r="BB4108" i="4"/>
  <c r="BB4109" i="4"/>
  <c r="BB4110" i="4"/>
  <c r="BB4111" i="4"/>
  <c r="BB4112" i="4"/>
  <c r="BB4113" i="4"/>
  <c r="BB4114" i="4"/>
  <c r="BB4115" i="4"/>
  <c r="BB4116" i="4"/>
  <c r="BB4117" i="4"/>
  <c r="BB4118" i="4"/>
  <c r="BB4119" i="4"/>
  <c r="BB4120" i="4"/>
  <c r="BB4121" i="4"/>
  <c r="BB4122" i="4"/>
  <c r="BB4123" i="4"/>
  <c r="BB4124" i="4"/>
  <c r="BB4125" i="4"/>
  <c r="BB4126" i="4"/>
  <c r="BB4127" i="4"/>
  <c r="BB4128" i="4"/>
  <c r="BB4129" i="4"/>
  <c r="BB4130" i="4"/>
  <c r="BB4131" i="4"/>
  <c r="BB4132" i="4"/>
  <c r="BB4133" i="4"/>
  <c r="BB4134" i="4"/>
  <c r="BB4135" i="4"/>
  <c r="BB4136" i="4"/>
  <c r="BB4137" i="4"/>
  <c r="BB4138" i="4"/>
  <c r="BB4139" i="4"/>
  <c r="BB4140" i="4"/>
  <c r="BB4141" i="4"/>
  <c r="BB4142" i="4"/>
  <c r="BB4143" i="4"/>
  <c r="BB4144" i="4"/>
  <c r="BB4145" i="4"/>
  <c r="BB4146" i="4"/>
  <c r="BB4147" i="4"/>
  <c r="BB4148" i="4"/>
  <c r="BB4149" i="4"/>
  <c r="BB4150" i="4"/>
  <c r="BB4151" i="4"/>
  <c r="BB4152" i="4"/>
  <c r="BB4153" i="4"/>
  <c r="BB4154" i="4"/>
  <c r="BB4155" i="4"/>
  <c r="BB4156" i="4"/>
  <c r="BB4157" i="4"/>
  <c r="BB4158" i="4"/>
  <c r="BB4159" i="4"/>
  <c r="BB4160" i="4"/>
  <c r="BB4161" i="4"/>
  <c r="BB4162" i="4"/>
  <c r="BB4163" i="4"/>
  <c r="BB4164" i="4"/>
  <c r="BB4165" i="4"/>
  <c r="BB4166" i="4"/>
  <c r="BB4167" i="4"/>
  <c r="BB4168" i="4"/>
  <c r="BB4169" i="4"/>
  <c r="BB4170" i="4"/>
  <c r="BB4171" i="4"/>
  <c r="BB4172" i="4"/>
  <c r="BB4173" i="4"/>
  <c r="BB4174" i="4"/>
  <c r="BB4175" i="4"/>
  <c r="BB4176" i="4"/>
  <c r="BB4177" i="4"/>
  <c r="BB4178" i="4"/>
  <c r="BB4179" i="4"/>
  <c r="BB4180" i="4"/>
  <c r="BB4181" i="4"/>
  <c r="BB4182" i="4"/>
  <c r="BB4183" i="4"/>
  <c r="BB4184" i="4"/>
  <c r="BB4185" i="4"/>
  <c r="BB4186" i="4"/>
  <c r="BB4187" i="4"/>
  <c r="BB4188" i="4"/>
  <c r="BB4189" i="4"/>
  <c r="BB4190" i="4"/>
  <c r="BB4191" i="4"/>
  <c r="BB4192" i="4"/>
  <c r="BB4193" i="4"/>
  <c r="BB4194" i="4"/>
  <c r="BB4195" i="4"/>
  <c r="BB4196" i="4"/>
  <c r="BB4197" i="4"/>
  <c r="BB4198" i="4"/>
  <c r="BB4199" i="4"/>
  <c r="BB4200" i="4"/>
  <c r="BB4201" i="4"/>
  <c r="BB4202" i="4"/>
  <c r="BB4203" i="4"/>
  <c r="BB4204" i="4"/>
  <c r="BB4205" i="4"/>
  <c r="BB4206" i="4"/>
  <c r="BB4207" i="4"/>
  <c r="BB4208" i="4"/>
  <c r="BB4209" i="4"/>
  <c r="BB4210" i="4"/>
  <c r="BB4211" i="4"/>
  <c r="BB4212" i="4"/>
  <c r="BB4213" i="4"/>
  <c r="BB4214" i="4"/>
  <c r="BB4215" i="4"/>
  <c r="BB4216" i="4"/>
  <c r="BB4217" i="4"/>
  <c r="BB4218" i="4"/>
  <c r="BB4219" i="4"/>
  <c r="BB4220" i="4"/>
  <c r="BB4221" i="4"/>
  <c r="BB4222" i="4"/>
  <c r="BB4223" i="4"/>
  <c r="BB4224" i="4"/>
  <c r="BB4225" i="4"/>
  <c r="BB4226" i="4"/>
  <c r="BB4227" i="4"/>
  <c r="BB4228" i="4"/>
  <c r="BB4229" i="4"/>
  <c r="BB4230" i="4"/>
  <c r="BB4231" i="4"/>
  <c r="BB4232" i="4"/>
  <c r="BB4233" i="4"/>
  <c r="BB4234" i="4"/>
  <c r="BB4235" i="4"/>
  <c r="BB4236" i="4"/>
  <c r="BB4237" i="4"/>
  <c r="BB4238" i="4"/>
  <c r="BB4239" i="4"/>
  <c r="BB4240" i="4"/>
  <c r="BB4241" i="4"/>
  <c r="BB4242" i="4"/>
  <c r="BB4243" i="4"/>
  <c r="BB4244" i="4"/>
  <c r="BB4245" i="4"/>
  <c r="BB4246" i="4"/>
  <c r="BB4247" i="4"/>
  <c r="BB4248" i="4"/>
  <c r="BB4249" i="4"/>
  <c r="BB4250" i="4"/>
  <c r="BB4251" i="4"/>
  <c r="BB4252" i="4"/>
  <c r="BB4253" i="4"/>
  <c r="BB4254" i="4"/>
  <c r="BB4255" i="4"/>
  <c r="BB4256" i="4"/>
  <c r="BB4257" i="4"/>
  <c r="BB4258" i="4"/>
  <c r="BB4259" i="4"/>
  <c r="BB4260" i="4"/>
  <c r="BB4261" i="4"/>
  <c r="BB4262" i="4"/>
  <c r="BB4263" i="4"/>
  <c r="BB4264" i="4"/>
  <c r="BB4265" i="4"/>
  <c r="BB4266" i="4"/>
  <c r="BB4267" i="4"/>
  <c r="BB4268" i="4"/>
  <c r="BB4269" i="4"/>
  <c r="BB4270" i="4"/>
  <c r="BB4271" i="4"/>
  <c r="BB4272" i="4"/>
  <c r="BB4273" i="4"/>
  <c r="BB4274" i="4"/>
  <c r="BB4275" i="4"/>
  <c r="BB4276" i="4"/>
  <c r="BB4277" i="4"/>
  <c r="BB4278" i="4"/>
  <c r="BB4279" i="4"/>
  <c r="BB4280" i="4"/>
  <c r="BB4281" i="4"/>
  <c r="BB4282" i="4"/>
  <c r="BB4283" i="4"/>
  <c r="BB4284" i="4"/>
  <c r="BB4285" i="4"/>
  <c r="BB4286" i="4"/>
  <c r="BB4287" i="4"/>
  <c r="BB4288" i="4"/>
  <c r="BB4289" i="4"/>
  <c r="BB4290" i="4"/>
  <c r="BB4291" i="4"/>
  <c r="BB4292" i="4"/>
  <c r="BB4293" i="4"/>
  <c r="BB4294" i="4"/>
  <c r="BB4295" i="4"/>
  <c r="BB4296" i="4"/>
  <c r="BB4297" i="4"/>
  <c r="BB4298" i="4"/>
  <c r="BB4299" i="4"/>
  <c r="BB4300" i="4"/>
  <c r="BB4301" i="4"/>
  <c r="BB4302" i="4"/>
  <c r="BB4303" i="4"/>
  <c r="BB4304" i="4"/>
  <c r="BB4305" i="4"/>
  <c r="BB4306" i="4"/>
  <c r="BB4307" i="4"/>
  <c r="BB4308" i="4"/>
  <c r="BB4309" i="4"/>
  <c r="BB4310" i="4"/>
  <c r="BB4311" i="4"/>
  <c r="BB4312" i="4"/>
  <c r="BB4313" i="4"/>
  <c r="BB4314" i="4"/>
  <c r="BB4315" i="4"/>
  <c r="BB4316" i="4"/>
  <c r="BB4317" i="4"/>
  <c r="BB4318" i="4"/>
  <c r="BB4319" i="4"/>
  <c r="BB4320" i="4"/>
  <c r="BB4321" i="4"/>
  <c r="BB4322" i="4"/>
  <c r="BB4323" i="4"/>
  <c r="BB4324" i="4"/>
  <c r="BB4325" i="4"/>
  <c r="BB4326" i="4"/>
  <c r="BB4327" i="4"/>
  <c r="BB4328" i="4"/>
  <c r="BB4329" i="4"/>
  <c r="BB4330" i="4"/>
  <c r="BB4331" i="4"/>
  <c r="BB4332" i="4"/>
  <c r="BB4333" i="4"/>
  <c r="BB4334" i="4"/>
  <c r="BB4335" i="4"/>
  <c r="BB4336" i="4"/>
  <c r="BB4337" i="4"/>
  <c r="BB4338" i="4"/>
  <c r="BB4339" i="4"/>
  <c r="BB4340" i="4"/>
  <c r="BB4341" i="4"/>
  <c r="BB4342" i="4"/>
  <c r="BB4343" i="4"/>
  <c r="BB4344" i="4"/>
  <c r="BB4345" i="4"/>
  <c r="BB4346" i="4"/>
  <c r="BB4347" i="4"/>
  <c r="BB4348" i="4"/>
  <c r="BB4349" i="4"/>
  <c r="BB4350" i="4"/>
  <c r="BB4351" i="4"/>
  <c r="BB4352" i="4"/>
  <c r="BB4353" i="4"/>
  <c r="BB4354" i="4"/>
  <c r="BB4355" i="4"/>
  <c r="BB4356" i="4"/>
  <c r="BB4357" i="4"/>
  <c r="BB4358" i="4"/>
  <c r="BB4359" i="4"/>
  <c r="BB4360" i="4"/>
  <c r="BB4361" i="4"/>
  <c r="BB4362" i="4"/>
  <c r="BB4363" i="4"/>
  <c r="BB4364" i="4"/>
  <c r="BB4365" i="4"/>
  <c r="BB4366" i="4"/>
  <c r="BB4367" i="4"/>
  <c r="BB4368" i="4"/>
  <c r="BB4369" i="4"/>
  <c r="BB4370" i="4"/>
  <c r="BB4371" i="4"/>
  <c r="BB4372" i="4"/>
  <c r="BB4373" i="4"/>
  <c r="BB4374" i="4"/>
  <c r="BB4375" i="4"/>
  <c r="BB4376" i="4"/>
  <c r="BB4377" i="4"/>
  <c r="BB4378" i="4"/>
  <c r="BB4379" i="4"/>
  <c r="BB4380" i="4"/>
  <c r="BB4381" i="4"/>
  <c r="BB4382" i="4"/>
  <c r="BB4383" i="4"/>
  <c r="BB4384" i="4"/>
  <c r="BB4385" i="4"/>
  <c r="BB4386" i="4"/>
  <c r="BB4387" i="4"/>
  <c r="BB4388" i="4"/>
  <c r="BB4389" i="4"/>
  <c r="BB4390" i="4"/>
  <c r="BB4391" i="4"/>
  <c r="BB4392" i="4"/>
  <c r="BB4393" i="4"/>
  <c r="BB4394" i="4"/>
  <c r="BB4395" i="4"/>
  <c r="BB4396" i="4"/>
  <c r="BB4397" i="4"/>
  <c r="BB4398" i="4"/>
  <c r="BB4399" i="4"/>
  <c r="BB4400" i="4"/>
  <c r="BB4401" i="4"/>
  <c r="BB4402" i="4"/>
  <c r="BB4403" i="4"/>
  <c r="BB4404" i="4"/>
  <c r="BB4405" i="4"/>
  <c r="BB4406" i="4"/>
  <c r="BB4407" i="4"/>
  <c r="BB4408" i="4"/>
  <c r="BB4409" i="4"/>
  <c r="BB4410" i="4"/>
  <c r="BB4411" i="4"/>
  <c r="BB4412" i="4"/>
  <c r="BB4413" i="4"/>
  <c r="BB4414" i="4"/>
  <c r="BB4415" i="4"/>
  <c r="BB4416" i="4"/>
  <c r="BB4417" i="4"/>
  <c r="BB4418" i="4"/>
  <c r="BB4419" i="4"/>
  <c r="BB4420" i="4"/>
  <c r="BB4421" i="4"/>
  <c r="BB4422" i="4"/>
  <c r="BB4423" i="4"/>
  <c r="BB4424" i="4"/>
  <c r="BB4425" i="4"/>
  <c r="BB4426" i="4"/>
  <c r="BB4427" i="4"/>
  <c r="BB4428" i="4"/>
  <c r="BB4429" i="4"/>
  <c r="BB4430" i="4"/>
  <c r="BB4431" i="4"/>
  <c r="BB4432" i="4"/>
  <c r="BB4433" i="4"/>
  <c r="BB4434" i="4"/>
  <c r="BB4435" i="4"/>
  <c r="BB4436" i="4"/>
  <c r="BB4437" i="4"/>
  <c r="BB4438" i="4"/>
  <c r="BB4439" i="4"/>
  <c r="BB4440" i="4"/>
  <c r="BB4441" i="4"/>
  <c r="BB4442" i="4"/>
  <c r="BB4443" i="4"/>
  <c r="BB4444" i="4"/>
  <c r="BB4445" i="4"/>
  <c r="BB4446" i="4"/>
  <c r="BB4447" i="4"/>
  <c r="BB4448" i="4"/>
  <c r="BB4449" i="4"/>
  <c r="BB4450" i="4"/>
  <c r="BB4451" i="4"/>
  <c r="BB4452" i="4"/>
  <c r="BB4453" i="4"/>
  <c r="BB4454" i="4"/>
  <c r="BB4455" i="4"/>
  <c r="BB4456" i="4"/>
  <c r="BB4457" i="4"/>
  <c r="BB4458" i="4"/>
  <c r="BB4459" i="4"/>
  <c r="BB4460" i="4"/>
  <c r="BB4461" i="4"/>
  <c r="BB4462" i="4"/>
  <c r="BB4463" i="4"/>
  <c r="BB4464" i="4"/>
  <c r="BB4465" i="4"/>
  <c r="BB4466" i="4"/>
  <c r="BB4467" i="4"/>
  <c r="BB4468" i="4"/>
  <c r="BB4469" i="4"/>
  <c r="BB4470" i="4"/>
  <c r="BB4471" i="4"/>
  <c r="BB4472" i="4"/>
  <c r="BB4473" i="4"/>
  <c r="BB4474" i="4"/>
  <c r="BB4475" i="4"/>
  <c r="BB4476" i="4"/>
  <c r="BB4477" i="4"/>
  <c r="BB4478" i="4"/>
  <c r="BB4479" i="4"/>
  <c r="BB4480" i="4"/>
  <c r="BB4481" i="4"/>
  <c r="BB4482" i="4"/>
  <c r="BB4483" i="4"/>
  <c r="BB4484" i="4"/>
  <c r="BB4485" i="4"/>
  <c r="BB4486" i="4"/>
  <c r="BB4487" i="4"/>
  <c r="BB4488" i="4"/>
  <c r="BB4489" i="4"/>
  <c r="BB4490" i="4"/>
  <c r="BB4491" i="4"/>
  <c r="BB4492" i="4"/>
  <c r="BB4493" i="4"/>
  <c r="BB4494" i="4"/>
  <c r="BB4495" i="4"/>
  <c r="BB4496" i="4"/>
  <c r="BB4497" i="4"/>
  <c r="BB4498" i="4"/>
  <c r="BB4499" i="4"/>
  <c r="BB4500" i="4"/>
  <c r="BB4501" i="4"/>
  <c r="BB4502" i="4"/>
  <c r="BB4503" i="4"/>
  <c r="BB4504" i="4"/>
  <c r="BB4505" i="4"/>
  <c r="BB4506" i="4"/>
  <c r="BB4507" i="4"/>
  <c r="BB4508" i="4"/>
  <c r="BB4509" i="4"/>
  <c r="BB4510" i="4"/>
  <c r="BB4511" i="4"/>
  <c r="BB4512" i="4"/>
  <c r="BB4513" i="4"/>
  <c r="BB4514" i="4"/>
  <c r="BB4515" i="4"/>
  <c r="BB4516" i="4"/>
  <c r="BB4517" i="4"/>
  <c r="BB4518" i="4"/>
  <c r="BB4519" i="4"/>
  <c r="BB4520" i="4"/>
  <c r="BB4521" i="4"/>
  <c r="BB4522" i="4"/>
  <c r="BB4523" i="4"/>
  <c r="BB4524" i="4"/>
  <c r="BB4525" i="4"/>
  <c r="BB4526" i="4"/>
  <c r="BB4527" i="4"/>
  <c r="BB4528" i="4"/>
  <c r="BB4529" i="4"/>
  <c r="BB4530" i="4"/>
  <c r="BB4531" i="4"/>
  <c r="BB4532" i="4"/>
  <c r="BB4533" i="4"/>
  <c r="BB4534" i="4"/>
  <c r="BB4535" i="4"/>
  <c r="BB4536" i="4"/>
  <c r="BB4537" i="4"/>
  <c r="BB4538" i="4"/>
  <c r="BB4539" i="4"/>
  <c r="BB4540" i="4"/>
  <c r="BB4541" i="4"/>
  <c r="BB4542" i="4"/>
  <c r="BB4543" i="4"/>
  <c r="BB4544" i="4"/>
  <c r="BB4545" i="4"/>
  <c r="BB4546" i="4"/>
  <c r="BB4547" i="4"/>
  <c r="BB4548" i="4"/>
  <c r="BB4549" i="4"/>
  <c r="BB4550" i="4"/>
  <c r="BB4551" i="4"/>
  <c r="BB4552" i="4"/>
  <c r="BB4553" i="4"/>
  <c r="BB4554" i="4"/>
  <c r="BB4555" i="4"/>
  <c r="BB4556" i="4"/>
  <c r="BB4557" i="4"/>
  <c r="BB4558" i="4"/>
  <c r="BB4559" i="4"/>
  <c r="BB4560" i="4"/>
  <c r="BB4561" i="4"/>
  <c r="BB4562" i="4"/>
  <c r="BB4563" i="4"/>
  <c r="BB4564" i="4"/>
  <c r="BB4565" i="4"/>
  <c r="BB4566" i="4"/>
  <c r="BB4567" i="4"/>
  <c r="BB4568" i="4"/>
  <c r="BB4569" i="4"/>
  <c r="BB4570" i="4"/>
  <c r="BB4571" i="4"/>
  <c r="BB4572" i="4"/>
  <c r="BB4573" i="4"/>
  <c r="BB4574" i="4"/>
  <c r="BB4575" i="4"/>
  <c r="BB4576" i="4"/>
  <c r="BB4577" i="4"/>
  <c r="BB4578" i="4"/>
  <c r="BB4579" i="4"/>
  <c r="BB4580" i="4"/>
  <c r="BB4581" i="4"/>
  <c r="BB4582" i="4"/>
  <c r="BB4583" i="4"/>
  <c r="BB4584" i="4"/>
  <c r="BB4585" i="4"/>
  <c r="BB4586" i="4"/>
  <c r="BB4587" i="4"/>
  <c r="BB4588" i="4"/>
  <c r="BB4589" i="4"/>
  <c r="BB4590" i="4"/>
  <c r="BB4591" i="4"/>
  <c r="BB4592" i="4"/>
  <c r="BB4593" i="4"/>
  <c r="BB4594" i="4"/>
  <c r="BB4595" i="4"/>
  <c r="BB4596" i="4"/>
  <c r="BB4597" i="4"/>
  <c r="BB4598" i="4"/>
  <c r="BB4599" i="4"/>
  <c r="BB4600" i="4"/>
  <c r="BB4601" i="4"/>
  <c r="BB4602" i="4"/>
  <c r="BB4603" i="4"/>
  <c r="BB4604" i="4"/>
  <c r="BB4605" i="4"/>
  <c r="BB4606" i="4"/>
  <c r="BB4607" i="4"/>
  <c r="BB4608" i="4"/>
  <c r="BB4609" i="4"/>
  <c r="BB4610" i="4"/>
  <c r="BB4611" i="4"/>
  <c r="BB4612" i="4"/>
  <c r="BB4613" i="4"/>
  <c r="BB4614" i="4"/>
  <c r="BB4615" i="4"/>
  <c r="BB4616" i="4"/>
  <c r="BB4617" i="4"/>
  <c r="BB4618" i="4"/>
  <c r="BB4619" i="4"/>
  <c r="BB4620" i="4"/>
  <c r="BB4621" i="4"/>
  <c r="BB4622" i="4"/>
  <c r="BB4623" i="4"/>
  <c r="BB4624" i="4"/>
  <c r="BB4625" i="4"/>
  <c r="BB4626" i="4"/>
  <c r="BB4627" i="4"/>
  <c r="BB4628" i="4"/>
  <c r="BB4629" i="4"/>
  <c r="BB4630" i="4"/>
  <c r="BB4631" i="4"/>
  <c r="BB4632" i="4"/>
  <c r="BB4633" i="4"/>
  <c r="BB4634" i="4"/>
  <c r="BB4635" i="4"/>
  <c r="BB4636" i="4"/>
  <c r="BB4637" i="4"/>
  <c r="BB4638" i="4"/>
  <c r="BB4639" i="4"/>
  <c r="BB4640" i="4"/>
  <c r="BB4641" i="4"/>
  <c r="BB4642" i="4"/>
  <c r="BB4643" i="4"/>
  <c r="BB4644" i="4"/>
  <c r="BB4645" i="4"/>
  <c r="BB4646" i="4"/>
  <c r="BB4647" i="4"/>
  <c r="BB4648" i="4"/>
  <c r="BB4649" i="4"/>
  <c r="BB4650" i="4"/>
  <c r="BB4651" i="4"/>
  <c r="BB4652" i="4"/>
  <c r="BB4653" i="4"/>
  <c r="BB4654" i="4"/>
  <c r="BB4655" i="4"/>
  <c r="BB4656" i="4"/>
  <c r="BB4657" i="4"/>
  <c r="BB4658" i="4"/>
  <c r="BB4659" i="4"/>
  <c r="BB4660" i="4"/>
  <c r="BB4661" i="4"/>
  <c r="BB4662" i="4"/>
  <c r="BB4663" i="4"/>
  <c r="BB4664" i="4"/>
  <c r="BB4665" i="4"/>
  <c r="BB4666" i="4"/>
  <c r="BB4667" i="4"/>
  <c r="BB4668" i="4"/>
  <c r="BB4669" i="4"/>
  <c r="BB4670" i="4"/>
  <c r="BB4671" i="4"/>
  <c r="BB4672" i="4"/>
  <c r="BB4673" i="4"/>
  <c r="BB4674" i="4"/>
  <c r="BB4675" i="4"/>
  <c r="BB4676" i="4"/>
  <c r="BB4677" i="4"/>
  <c r="BB4678" i="4"/>
  <c r="BB4679" i="4"/>
  <c r="BB4680" i="4"/>
  <c r="BB4681" i="4"/>
  <c r="BB4682" i="4"/>
  <c r="BB4683" i="4"/>
  <c r="BB4684" i="4"/>
  <c r="BB4685" i="4"/>
  <c r="BB4686" i="4"/>
  <c r="BB4687" i="4"/>
  <c r="BB4688" i="4"/>
  <c r="BB4689" i="4"/>
  <c r="BB4690" i="4"/>
  <c r="BB4691" i="4"/>
  <c r="BB4692" i="4"/>
  <c r="BB4693" i="4"/>
  <c r="BB4694" i="4"/>
  <c r="BB4695" i="4"/>
  <c r="BB4696" i="4"/>
  <c r="BB4697" i="4"/>
  <c r="BB4698" i="4"/>
  <c r="BB4699" i="4"/>
  <c r="BB4700" i="4"/>
  <c r="BB4701" i="4"/>
  <c r="BB4702" i="4"/>
  <c r="BB4703" i="4"/>
  <c r="BB4704" i="4"/>
  <c r="BB4705" i="4"/>
  <c r="BB4706" i="4"/>
  <c r="BB4707" i="4"/>
  <c r="BB4708" i="4"/>
  <c r="BB4709" i="4"/>
  <c r="BB4710" i="4"/>
  <c r="BB4711" i="4"/>
  <c r="BB4712" i="4"/>
  <c r="BB4713" i="4"/>
  <c r="BB4714" i="4"/>
  <c r="BB4715" i="4"/>
  <c r="BB4716" i="4"/>
  <c r="BB4717" i="4"/>
  <c r="BB4718" i="4"/>
  <c r="BB4719" i="4"/>
  <c r="BB4720" i="4"/>
  <c r="BB4721" i="4"/>
  <c r="BB4722" i="4"/>
  <c r="BB4723" i="4"/>
  <c r="BB4724" i="4"/>
  <c r="BB4725" i="4"/>
  <c r="BB4726" i="4"/>
  <c r="BB4727" i="4"/>
  <c r="BB4728" i="4"/>
  <c r="BB4729" i="4"/>
  <c r="BB4730" i="4"/>
  <c r="BB4731" i="4"/>
  <c r="BB4732" i="4"/>
  <c r="BB4733" i="4"/>
  <c r="BB4734" i="4"/>
  <c r="BB4735" i="4"/>
  <c r="BB4736" i="4"/>
  <c r="BB4737" i="4"/>
  <c r="BB4738" i="4"/>
  <c r="BB4739" i="4"/>
  <c r="BB4740" i="4"/>
  <c r="BB4741" i="4"/>
  <c r="BB4742" i="4"/>
  <c r="BB4743" i="4"/>
  <c r="BB4744" i="4"/>
  <c r="BB4745" i="4"/>
  <c r="BB4746" i="4"/>
  <c r="BB4747" i="4"/>
  <c r="BB4748" i="4"/>
  <c r="BB4749" i="4"/>
  <c r="BB4750" i="4"/>
  <c r="BB4751" i="4"/>
  <c r="BB4752" i="4"/>
  <c r="BB4753" i="4"/>
  <c r="BB4754" i="4"/>
  <c r="BB4755" i="4"/>
  <c r="BB4756" i="4"/>
  <c r="BB4757" i="4"/>
  <c r="BB4758" i="4"/>
  <c r="BB4759" i="4"/>
  <c r="BB4760" i="4"/>
  <c r="BB4761" i="4"/>
  <c r="BB4762" i="4"/>
  <c r="BB4763" i="4"/>
  <c r="BB4764" i="4"/>
  <c r="BB4765" i="4"/>
  <c r="BB4766" i="4"/>
  <c r="BB4767" i="4"/>
  <c r="BB4768" i="4"/>
  <c r="BB4769" i="4"/>
  <c r="BB4770" i="4"/>
  <c r="BB4771" i="4"/>
  <c r="BB4772" i="4"/>
  <c r="BB4773" i="4"/>
  <c r="BB4774" i="4"/>
  <c r="BB4775" i="4"/>
  <c r="BB4776" i="4"/>
  <c r="BB4777" i="4"/>
  <c r="BB4778" i="4"/>
  <c r="BB4779" i="4"/>
  <c r="BB4780" i="4"/>
  <c r="BB4781" i="4"/>
  <c r="BB4782" i="4"/>
  <c r="BB4783" i="4"/>
  <c r="BB4784" i="4"/>
  <c r="BB4785" i="4"/>
  <c r="BB4786" i="4"/>
  <c r="BB4787" i="4"/>
  <c r="BB4788" i="4"/>
  <c r="BB4789" i="4"/>
  <c r="BB4790" i="4"/>
  <c r="BB4791" i="4"/>
  <c r="BB4792" i="4"/>
  <c r="BB4793" i="4"/>
  <c r="BB4794" i="4"/>
  <c r="BB4795" i="4"/>
  <c r="BB4796" i="4"/>
  <c r="BB4797" i="4"/>
  <c r="BB4798" i="4"/>
  <c r="BB4799" i="4"/>
  <c r="BB4800" i="4"/>
  <c r="BB4801" i="4"/>
  <c r="BB4802" i="4"/>
  <c r="BB4803" i="4"/>
  <c r="BB4804" i="4"/>
  <c r="BB4805" i="4"/>
  <c r="BB4806" i="4"/>
  <c r="BB4807" i="4"/>
  <c r="BB4808" i="4"/>
  <c r="BB4809" i="4"/>
  <c r="BB4810" i="4"/>
  <c r="BB4811" i="4"/>
  <c r="BB4812" i="4"/>
  <c r="BB4813" i="4"/>
  <c r="BB4814" i="4"/>
  <c r="BB4815" i="4"/>
  <c r="BB4816" i="4"/>
  <c r="BB4817" i="4"/>
  <c r="BB4818" i="4"/>
  <c r="BB4819" i="4"/>
  <c r="BB4820" i="4"/>
  <c r="BB4821" i="4"/>
  <c r="BB4822" i="4"/>
  <c r="BB4823" i="4"/>
  <c r="BB4824" i="4"/>
  <c r="BB4825" i="4"/>
  <c r="BB4826" i="4"/>
  <c r="BB4827" i="4"/>
  <c r="BB4828" i="4"/>
  <c r="BB4829" i="4"/>
  <c r="BB4830" i="4"/>
  <c r="BB4831" i="4"/>
  <c r="BB4832" i="4"/>
  <c r="BB4833" i="4"/>
  <c r="BB4834" i="4"/>
  <c r="BB4835" i="4"/>
  <c r="BB4836" i="4"/>
  <c r="BB4837" i="4"/>
  <c r="BB4838" i="4"/>
  <c r="BB4839" i="4"/>
  <c r="BB4840" i="4"/>
  <c r="BB4841" i="4"/>
  <c r="BB4842" i="4"/>
  <c r="BB4843" i="4"/>
  <c r="BB4844" i="4"/>
  <c r="BB4845" i="4"/>
  <c r="BB4846" i="4"/>
  <c r="BB4847" i="4"/>
  <c r="BB4848" i="4"/>
  <c r="BB4849" i="4"/>
  <c r="BB4850" i="4"/>
  <c r="BB4851" i="4"/>
  <c r="BB4852" i="4"/>
  <c r="BB4853" i="4"/>
  <c r="BB4854" i="4"/>
  <c r="BB4855" i="4"/>
  <c r="BB4856" i="4"/>
  <c r="BB4857" i="4"/>
  <c r="BB4858" i="4"/>
  <c r="BB4859" i="4"/>
  <c r="BB4860" i="4"/>
  <c r="BB4861" i="4"/>
  <c r="BB4862" i="4"/>
  <c r="BB4863" i="4"/>
  <c r="BB4864" i="4"/>
  <c r="BB4865" i="4"/>
  <c r="BB4866" i="4"/>
  <c r="BB4867" i="4"/>
  <c r="BB4868" i="4"/>
  <c r="BB4869" i="4"/>
  <c r="BB4870" i="4"/>
  <c r="BB4871" i="4"/>
  <c r="BB4872" i="4"/>
  <c r="BB4873" i="4"/>
  <c r="BB4874" i="4"/>
  <c r="BB4875" i="4"/>
  <c r="BB4876" i="4"/>
  <c r="BB4877" i="4"/>
  <c r="BB4878" i="4"/>
  <c r="BB4879" i="4"/>
  <c r="BB4880" i="4"/>
  <c r="BB4881" i="4"/>
  <c r="BB4882" i="4"/>
  <c r="BB4883" i="4"/>
  <c r="BB4884" i="4"/>
  <c r="BB4885" i="4"/>
  <c r="BB4886" i="4"/>
  <c r="BB4887" i="4"/>
  <c r="BB4888" i="4"/>
  <c r="BB4889" i="4"/>
  <c r="BB4890" i="4"/>
  <c r="BB4891" i="4"/>
  <c r="BB4892" i="4"/>
  <c r="BB4893" i="4"/>
  <c r="BB4894" i="4"/>
  <c r="BB4895" i="4"/>
  <c r="BB4896" i="4"/>
  <c r="BB4897" i="4"/>
  <c r="BB4898" i="4"/>
  <c r="BB4899" i="4"/>
  <c r="BB4900" i="4"/>
  <c r="BB4901" i="4"/>
  <c r="BB4902" i="4"/>
  <c r="BB4903" i="4"/>
  <c r="BB4904" i="4"/>
  <c r="BB4905" i="4"/>
  <c r="BB4906" i="4"/>
  <c r="BB4907" i="4"/>
  <c r="BB4908" i="4"/>
  <c r="BB4909" i="4"/>
  <c r="BB4910" i="4"/>
  <c r="BB4911" i="4"/>
  <c r="BB4912" i="4"/>
  <c r="BB4913" i="4"/>
  <c r="BB4914" i="4"/>
  <c r="BB4915" i="4"/>
  <c r="BB4916" i="4"/>
  <c r="BB4917" i="4"/>
  <c r="BB4918" i="4"/>
  <c r="BB4919" i="4"/>
  <c r="BB4920" i="4"/>
  <c r="BB4921" i="4"/>
  <c r="BB4922" i="4"/>
  <c r="BB4923" i="4"/>
  <c r="BB4924" i="4"/>
  <c r="BB4925" i="4"/>
  <c r="BB4926" i="4"/>
  <c r="BB4927" i="4"/>
  <c r="BB4928" i="4"/>
  <c r="BB4929" i="4"/>
  <c r="BB4930" i="4"/>
  <c r="BB4931" i="4"/>
  <c r="BB4932" i="4"/>
  <c r="BB4933" i="4"/>
  <c r="BB4934" i="4"/>
  <c r="BB4935" i="4"/>
  <c r="BB4936" i="4"/>
  <c r="BB4937" i="4"/>
  <c r="BB4938" i="4"/>
  <c r="BB4939" i="4"/>
  <c r="BB4940" i="4"/>
  <c r="BB4941" i="4"/>
  <c r="BB4942" i="4"/>
  <c r="BB4943" i="4"/>
  <c r="BB4944" i="4"/>
  <c r="BB4945" i="4"/>
  <c r="BB4946" i="4"/>
  <c r="BB4947" i="4"/>
  <c r="BB4948" i="4"/>
  <c r="BB4949" i="4"/>
  <c r="BB4950" i="4"/>
  <c r="BB4951" i="4"/>
  <c r="BB4952" i="4"/>
  <c r="BB4953" i="4"/>
  <c r="BB4954" i="4"/>
  <c r="BB4955" i="4"/>
  <c r="BB4956" i="4"/>
  <c r="BB4957" i="4"/>
  <c r="BB4958" i="4"/>
  <c r="BB4959" i="4"/>
  <c r="BB4960" i="4"/>
  <c r="BB4961" i="4"/>
  <c r="BB4962" i="4"/>
  <c r="BB4963" i="4"/>
  <c r="BB4964" i="4"/>
  <c r="BB4965" i="4"/>
  <c r="BB4966" i="4"/>
  <c r="BB4967" i="4"/>
  <c r="BB4968" i="4"/>
  <c r="BB4969" i="4"/>
  <c r="BB4970" i="4"/>
  <c r="BB4971" i="4"/>
  <c r="BB4972" i="4"/>
  <c r="BB4973" i="4"/>
  <c r="BB4974" i="4"/>
  <c r="BB4975" i="4"/>
  <c r="BB4976" i="4"/>
  <c r="BB4977" i="4"/>
  <c r="BB4978" i="4"/>
  <c r="BB4979" i="4"/>
  <c r="BB4980" i="4"/>
  <c r="BB4981" i="4"/>
  <c r="BB4982" i="4"/>
  <c r="BB4983" i="4"/>
  <c r="BB4984" i="4"/>
  <c r="BB4985" i="4"/>
  <c r="BB4986" i="4"/>
  <c r="BB4987" i="4"/>
  <c r="BB4988" i="4"/>
  <c r="BB4989" i="4"/>
  <c r="BB4990" i="4"/>
  <c r="BB4991" i="4"/>
  <c r="BB4992" i="4"/>
  <c r="BB4993" i="4"/>
  <c r="BB4994" i="4"/>
  <c r="BB4995" i="4"/>
  <c r="BB4996" i="4"/>
  <c r="BB4997" i="4"/>
  <c r="BB4998" i="4"/>
  <c r="BB4999" i="4"/>
  <c r="BB5000" i="4"/>
  <c r="BB5001" i="4"/>
  <c r="BB5002" i="4"/>
  <c r="BB5003" i="4"/>
  <c r="BB5004" i="4"/>
  <c r="BB5005" i="4"/>
  <c r="BB5006" i="4"/>
  <c r="BB5007" i="4"/>
  <c r="BB5008" i="4"/>
  <c r="BB5009" i="4"/>
  <c r="BB5010" i="4"/>
  <c r="BB5011" i="4"/>
  <c r="BB5012" i="4"/>
  <c r="BB5013" i="4"/>
  <c r="BB5014" i="4"/>
  <c r="BB5015" i="4"/>
  <c r="BB5016" i="4"/>
  <c r="BB5017" i="4"/>
  <c r="BB5018" i="4"/>
  <c r="BB5019" i="4"/>
  <c r="BB5020" i="4"/>
  <c r="BB5021" i="4"/>
  <c r="BB5022" i="4"/>
  <c r="BB5023" i="4"/>
  <c r="BB5024" i="4"/>
  <c r="BB5025" i="4"/>
  <c r="BB5026" i="4"/>
  <c r="BB5027" i="4"/>
  <c r="BB5028" i="4"/>
  <c r="BB5029" i="4"/>
  <c r="BB5030" i="4"/>
  <c r="BB5031" i="4"/>
  <c r="BB5032" i="4"/>
  <c r="BB5033" i="4"/>
  <c r="BB5034" i="4"/>
  <c r="BB5035" i="4"/>
  <c r="BB5036" i="4"/>
  <c r="BB5037" i="4"/>
  <c r="BB5038" i="4"/>
  <c r="BB5039" i="4"/>
  <c r="BB5040" i="4"/>
  <c r="BB5041" i="4"/>
  <c r="BB5042" i="4"/>
  <c r="BB5043" i="4"/>
  <c r="BB5044" i="4"/>
  <c r="BB5045" i="4"/>
  <c r="BB5046" i="4"/>
  <c r="BB5047" i="4"/>
  <c r="BB5048" i="4"/>
  <c r="BB5049" i="4"/>
  <c r="BB5050" i="4"/>
  <c r="BB5051" i="4"/>
  <c r="BB5052" i="4"/>
  <c r="BB5053" i="4"/>
  <c r="BB5054" i="4"/>
  <c r="BB5055" i="4"/>
  <c r="BB5056" i="4"/>
  <c r="BB5057" i="4"/>
  <c r="BB5058" i="4"/>
  <c r="BB5059" i="4"/>
  <c r="BB5060" i="4"/>
  <c r="BB5061" i="4"/>
  <c r="BB5062" i="4"/>
  <c r="BB5063" i="4"/>
  <c r="BB5064" i="4"/>
  <c r="BB5065" i="4"/>
  <c r="BB5066" i="4"/>
  <c r="BB5067" i="4"/>
  <c r="BB5068" i="4"/>
  <c r="BB5069" i="4"/>
  <c r="BB5070" i="4"/>
  <c r="BB5071" i="4"/>
  <c r="BB5072" i="4"/>
  <c r="BB5073" i="4"/>
  <c r="BB5074" i="4"/>
  <c r="BB5075" i="4"/>
  <c r="BB5076" i="4"/>
  <c r="BB5077" i="4"/>
  <c r="BB5078" i="4"/>
  <c r="BB5079" i="4"/>
  <c r="BB5080" i="4"/>
  <c r="BB5081" i="4"/>
  <c r="BB5082" i="4"/>
  <c r="BB5083" i="4"/>
  <c r="BB5084" i="4"/>
  <c r="BB5085" i="4"/>
  <c r="BB5086" i="4"/>
  <c r="BB5087" i="4"/>
  <c r="BB5088" i="4"/>
  <c r="BB5089" i="4"/>
  <c r="BB5090" i="4"/>
  <c r="BB5091" i="4"/>
  <c r="BB5092" i="4"/>
  <c r="BB5093" i="4"/>
  <c r="BB5094" i="4"/>
  <c r="BB5095" i="4"/>
  <c r="BB5096" i="4"/>
  <c r="BB5097" i="4"/>
  <c r="BB5098" i="4"/>
  <c r="BB5099" i="4"/>
  <c r="BB5100" i="4"/>
  <c r="BB5101" i="4"/>
  <c r="BB5102" i="4"/>
  <c r="BB5103" i="4"/>
  <c r="BB5104" i="4"/>
  <c r="BB5105" i="4"/>
  <c r="BB5106" i="4"/>
  <c r="BB5107" i="4"/>
  <c r="BB5108" i="4"/>
  <c r="BB5109" i="4"/>
  <c r="BB5110" i="4"/>
  <c r="BB5111" i="4"/>
  <c r="BB5112" i="4"/>
  <c r="BB5113" i="4"/>
  <c r="BB5114" i="4"/>
  <c r="BB5115" i="4"/>
  <c r="BB5116" i="4"/>
  <c r="BB5117" i="4"/>
  <c r="BB5118" i="4"/>
  <c r="BB5119" i="4"/>
  <c r="BB5120" i="4"/>
  <c r="BB5121" i="4"/>
  <c r="BB5122" i="4"/>
  <c r="BB5123" i="4"/>
  <c r="BB5124" i="4"/>
  <c r="BB5125" i="4"/>
  <c r="BB5126" i="4"/>
  <c r="BB5127" i="4"/>
  <c r="BB5128" i="4"/>
  <c r="BB5129" i="4"/>
  <c r="BB5130" i="4"/>
  <c r="BB5131" i="4"/>
  <c r="BB5132" i="4"/>
  <c r="BB5133" i="4"/>
  <c r="BB5134" i="4"/>
  <c r="BB5135" i="4"/>
  <c r="BB5136" i="4"/>
  <c r="BB5137" i="4"/>
  <c r="BB5138" i="4"/>
  <c r="BB5139" i="4"/>
  <c r="BB5140" i="4"/>
  <c r="BB5141" i="4"/>
  <c r="BB5142" i="4"/>
  <c r="BB5143" i="4"/>
  <c r="BB5144" i="4"/>
  <c r="BB5145" i="4"/>
  <c r="BB5146" i="4"/>
  <c r="BB5147" i="4"/>
  <c r="BB5148" i="4"/>
  <c r="BB5149" i="4"/>
  <c r="BB5150" i="4"/>
  <c r="BB5151" i="4"/>
  <c r="BB5152" i="4"/>
  <c r="BB5153" i="4"/>
  <c r="BB5154" i="4"/>
  <c r="BB5155" i="4"/>
  <c r="BB5156" i="4"/>
  <c r="BB5157" i="4"/>
  <c r="BB5158" i="4"/>
  <c r="BB5159" i="4"/>
  <c r="BB5160" i="4"/>
  <c r="BB5161" i="4"/>
  <c r="BB5162" i="4"/>
  <c r="BB5163" i="4"/>
  <c r="BB5164" i="4"/>
  <c r="BB5165" i="4"/>
  <c r="BB5166" i="4"/>
  <c r="BB5167" i="4"/>
  <c r="BB5168" i="4"/>
  <c r="BB5169" i="4"/>
  <c r="BB5170" i="4"/>
  <c r="BB5171" i="4"/>
  <c r="BB5172" i="4"/>
  <c r="BB5173" i="4"/>
  <c r="BB5174" i="4"/>
  <c r="BB5175" i="4"/>
  <c r="BB5176" i="4"/>
  <c r="BB5177" i="4"/>
  <c r="BB5178" i="4"/>
  <c r="BB5179" i="4"/>
  <c r="BB5180" i="4"/>
  <c r="BB5181" i="4"/>
  <c r="BB5182" i="4"/>
  <c r="BB5183" i="4"/>
  <c r="BB5184" i="4"/>
  <c r="BB5185" i="4"/>
  <c r="BB5186" i="4"/>
  <c r="BB5187" i="4"/>
  <c r="BB5188" i="4"/>
  <c r="BB5189" i="4"/>
  <c r="BB5190" i="4"/>
  <c r="BB5191" i="4"/>
  <c r="BB5192" i="4"/>
  <c r="BB5193" i="4"/>
  <c r="BB5194" i="4"/>
  <c r="BB5195" i="4"/>
  <c r="BB5196" i="4"/>
  <c r="BB5197" i="4"/>
  <c r="BB5198" i="4"/>
  <c r="BB5199" i="4"/>
  <c r="BB5200" i="4"/>
  <c r="BB5201" i="4"/>
  <c r="BB5202" i="4"/>
  <c r="BB5203" i="4"/>
  <c r="BB5204" i="4"/>
  <c r="BB5205" i="4"/>
  <c r="BB5206" i="4"/>
  <c r="BB5207" i="4"/>
  <c r="BB5208" i="4"/>
  <c r="BB5209" i="4"/>
  <c r="BB5210" i="4"/>
  <c r="BB5211" i="4"/>
  <c r="BB5212" i="4"/>
  <c r="BB5213" i="4"/>
  <c r="BB5214" i="4"/>
  <c r="BB5215" i="4"/>
  <c r="BB5216" i="4"/>
  <c r="BB5217" i="4"/>
  <c r="BB5218" i="4"/>
  <c r="BB5219" i="4"/>
  <c r="BB5220" i="4"/>
  <c r="BB5221" i="4"/>
  <c r="BB5222" i="4"/>
  <c r="BB5223" i="4"/>
  <c r="BB5224" i="4"/>
  <c r="BB5225" i="4"/>
  <c r="BB5226" i="4"/>
  <c r="BB5227" i="4"/>
  <c r="BB5228" i="4"/>
  <c r="BB5229" i="4"/>
  <c r="BB5230" i="4"/>
  <c r="BB5231" i="4"/>
  <c r="BB5232" i="4"/>
  <c r="BB5233" i="4"/>
  <c r="BB5234" i="4"/>
  <c r="BB5235" i="4"/>
  <c r="BB5236" i="4"/>
  <c r="BB5237" i="4"/>
  <c r="BB5238" i="4"/>
  <c r="BB5239" i="4"/>
  <c r="BB5240" i="4"/>
  <c r="BB5241" i="4"/>
  <c r="BB5242" i="4"/>
  <c r="BB5243" i="4"/>
  <c r="BB5244" i="4"/>
  <c r="BB5245" i="4"/>
  <c r="BB5246" i="4"/>
  <c r="BB5247" i="4"/>
  <c r="BB5248" i="4"/>
  <c r="BB5249" i="4"/>
  <c r="BB5250" i="4"/>
  <c r="BB5251" i="4"/>
  <c r="BB5252" i="4"/>
  <c r="BB5253" i="4"/>
  <c r="BB5254" i="4"/>
  <c r="BB5255" i="4"/>
  <c r="BB5256" i="4"/>
  <c r="BB5257" i="4"/>
  <c r="BB5258" i="4"/>
  <c r="BB5259" i="4"/>
  <c r="BB5260" i="4"/>
  <c r="BB5261" i="4"/>
  <c r="BB5262" i="4"/>
  <c r="BB5263" i="4"/>
  <c r="BB5264" i="4"/>
  <c r="BB5265" i="4"/>
  <c r="BB5266" i="4"/>
  <c r="BB5267" i="4"/>
  <c r="BB5268" i="4"/>
  <c r="BB5269" i="4"/>
  <c r="BB5270" i="4"/>
  <c r="BB5271" i="4"/>
  <c r="BB5272" i="4"/>
  <c r="BB5273" i="4"/>
  <c r="BB5274" i="4"/>
  <c r="BB5275" i="4"/>
  <c r="BB5276" i="4"/>
  <c r="BB5277" i="4"/>
  <c r="BB5278" i="4"/>
  <c r="BB5279" i="4"/>
  <c r="BB5280" i="4"/>
  <c r="BB5281" i="4"/>
  <c r="BB5282" i="4"/>
  <c r="BB5283" i="4"/>
  <c r="BB5284" i="4"/>
  <c r="BB5285" i="4"/>
  <c r="BB5286" i="4"/>
  <c r="BB5287" i="4"/>
  <c r="BB5288" i="4"/>
  <c r="BB5289" i="4"/>
  <c r="BB5290" i="4"/>
  <c r="BB5291" i="4"/>
  <c r="BB5292" i="4"/>
  <c r="BB5293" i="4"/>
  <c r="BB5294" i="4"/>
  <c r="BB5295" i="4"/>
  <c r="BB5296" i="4"/>
  <c r="BB5297" i="4"/>
  <c r="BB5298" i="4"/>
  <c r="BB5299" i="4"/>
  <c r="BB5300" i="4"/>
  <c r="BB5301" i="4"/>
  <c r="BB5302" i="4"/>
  <c r="BB5303" i="4"/>
  <c r="BB5304" i="4"/>
  <c r="BB5305" i="4"/>
  <c r="BB5306" i="4"/>
  <c r="BB5307" i="4"/>
  <c r="BB5308" i="4"/>
  <c r="BB5309" i="4"/>
  <c r="BB5310" i="4"/>
  <c r="BB5311" i="4"/>
  <c r="BB5312" i="4"/>
  <c r="BB5313" i="4"/>
  <c r="BB5314" i="4"/>
  <c r="BB5315" i="4"/>
  <c r="BB5316" i="4"/>
  <c r="BB5317" i="4"/>
  <c r="BB5318" i="4"/>
  <c r="BB5319" i="4"/>
  <c r="BB5320" i="4"/>
  <c r="BB5321" i="4"/>
  <c r="BB5322" i="4"/>
  <c r="BB5323" i="4"/>
  <c r="BB5324" i="4"/>
  <c r="BB5325" i="4"/>
  <c r="BB5326" i="4"/>
  <c r="BB5327" i="4"/>
  <c r="BB5328" i="4"/>
  <c r="BB5329" i="4"/>
  <c r="BB5330" i="4"/>
  <c r="BB5331" i="4"/>
  <c r="C50" i="7"/>
  <c r="C49" i="7"/>
  <c r="C48" i="7"/>
  <c r="C47" i="7"/>
  <c r="C46" i="7"/>
  <c r="C45" i="7"/>
  <c r="C44" i="7"/>
  <c r="W14" i="3"/>
  <c r="T14" i="3"/>
  <c r="Q14" i="3"/>
  <c r="N14" i="3"/>
  <c r="K14" i="3"/>
  <c r="H14" i="3"/>
  <c r="E14" i="3"/>
  <c r="B14" i="3"/>
  <c r="AB4" i="7"/>
  <c r="Z4" i="7"/>
  <c r="X4" i="7"/>
  <c r="V4" i="7"/>
  <c r="T4" i="7"/>
  <c r="R4" i="7"/>
  <c r="P4" i="7"/>
  <c r="N4" i="7"/>
  <c r="B40" i="1"/>
  <c r="C40" i="1"/>
  <c r="E40" i="1"/>
  <c r="D40" i="1" s="1"/>
  <c r="F40" i="1"/>
  <c r="G40" i="1" s="1"/>
  <c r="H40" i="1"/>
  <c r="I40" i="1"/>
  <c r="B56" i="1"/>
  <c r="C56" i="1"/>
  <c r="E56" i="1"/>
  <c r="D56" i="1" s="1"/>
  <c r="F56" i="1"/>
  <c r="G56" i="1" s="1"/>
  <c r="H56" i="1"/>
  <c r="I56" i="1"/>
  <c r="M164" i="3"/>
  <c r="M179" i="3" s="1"/>
  <c r="Y6" i="3"/>
  <c r="X7" i="3" s="1"/>
  <c r="V6" i="3"/>
  <c r="U7" i="3" s="1"/>
  <c r="S6" i="3"/>
  <c r="R7" i="3" s="1"/>
  <c r="P6" i="3"/>
  <c r="O7" i="3" s="1"/>
  <c r="M6" i="3"/>
  <c r="L7" i="3" s="1"/>
  <c r="J6" i="3"/>
  <c r="I7" i="3" s="1"/>
  <c r="X8" i="3"/>
  <c r="U8" i="3"/>
  <c r="R8" i="3"/>
  <c r="O8" i="3"/>
  <c r="L8" i="3"/>
  <c r="I8" i="3"/>
  <c r="F8" i="3"/>
  <c r="G6" i="3"/>
  <c r="F7" i="3" s="1"/>
  <c r="C8" i="3"/>
  <c r="D6" i="3"/>
  <c r="AK14" i="5"/>
  <c r="AN34" i="5" s="1"/>
  <c r="AF14" i="5"/>
  <c r="AA14" i="5"/>
  <c r="AD34" i="5" s="1"/>
  <c r="V14" i="5"/>
  <c r="Q14" i="5"/>
  <c r="L14" i="5"/>
  <c r="G14" i="5"/>
  <c r="B14" i="5"/>
  <c r="AI34" i="5" l="1"/>
  <c r="J34" i="5"/>
  <c r="BJ5280" i="4"/>
  <c r="BL5280" i="4"/>
  <c r="BK5280" i="4"/>
  <c r="BJ5232" i="4"/>
  <c r="BL5232" i="4"/>
  <c r="BK5232" i="4"/>
  <c r="BJ5176" i="4"/>
  <c r="BL5176" i="4"/>
  <c r="BK5176" i="4"/>
  <c r="BJ5112" i="4"/>
  <c r="BL5112" i="4"/>
  <c r="BK5112" i="4"/>
  <c r="BJ5056" i="4"/>
  <c r="BL5056" i="4"/>
  <c r="BK5056" i="4"/>
  <c r="BJ4992" i="4"/>
  <c r="BL4992" i="4"/>
  <c r="BK4992" i="4"/>
  <c r="BJ4936" i="4"/>
  <c r="BL4936" i="4"/>
  <c r="BK4936" i="4"/>
  <c r="BJ4872" i="4"/>
  <c r="BL4872" i="4"/>
  <c r="BK4872" i="4"/>
  <c r="BJ4808" i="4"/>
  <c r="BL4808" i="4"/>
  <c r="BK4808" i="4"/>
  <c r="BJ4760" i="4"/>
  <c r="BL4760" i="4"/>
  <c r="BK4760" i="4"/>
  <c r="BJ4712" i="4"/>
  <c r="BL4712" i="4"/>
  <c r="BK4712" i="4"/>
  <c r="BJ4648" i="4"/>
  <c r="BL4648" i="4"/>
  <c r="BK4648" i="4"/>
  <c r="BJ4592" i="4"/>
  <c r="BL4592" i="4"/>
  <c r="BK4592" i="4"/>
  <c r="BJ4536" i="4"/>
  <c r="BL4536" i="4"/>
  <c r="BK4536" i="4"/>
  <c r="BJ4480" i="4"/>
  <c r="BK4480" i="4"/>
  <c r="BL4480" i="4"/>
  <c r="BJ4432" i="4"/>
  <c r="BL4432" i="4"/>
  <c r="BK4432" i="4"/>
  <c r="BJ4376" i="4"/>
  <c r="BK4376" i="4"/>
  <c r="BL4376" i="4"/>
  <c r="BJ4320" i="4"/>
  <c r="BL4320" i="4"/>
  <c r="BK4320" i="4"/>
  <c r="BJ4256" i="4"/>
  <c r="BL4256" i="4"/>
  <c r="BK4256" i="4"/>
  <c r="BJ4200" i="4"/>
  <c r="BL4200" i="4"/>
  <c r="BK4200" i="4"/>
  <c r="BJ4152" i="4"/>
  <c r="BL4152" i="4"/>
  <c r="BK4152" i="4"/>
  <c r="BJ4096" i="4"/>
  <c r="BK4096" i="4"/>
  <c r="BL4096" i="4"/>
  <c r="BJ4040" i="4"/>
  <c r="BL4040" i="4"/>
  <c r="BK4040" i="4"/>
  <c r="BJ3976" i="4"/>
  <c r="BL3976" i="4"/>
  <c r="BK3976" i="4"/>
  <c r="BJ3920" i="4"/>
  <c r="BL3920" i="4"/>
  <c r="BK3920" i="4"/>
  <c r="BJ3864" i="4"/>
  <c r="BL3864" i="4"/>
  <c r="BK3864" i="4"/>
  <c r="BJ3816" i="4"/>
  <c r="BL3816" i="4"/>
  <c r="BK3816" i="4"/>
  <c r="BJ3760" i="4"/>
  <c r="BL3760" i="4"/>
  <c r="BK3760" i="4"/>
  <c r="BJ3704" i="4"/>
  <c r="BL3704" i="4"/>
  <c r="BK3704" i="4"/>
  <c r="BJ3640" i="4"/>
  <c r="BL3640" i="4"/>
  <c r="BK3640" i="4"/>
  <c r="BJ3592" i="4"/>
  <c r="BL3592" i="4"/>
  <c r="BK3592" i="4"/>
  <c r="BJ3544" i="4"/>
  <c r="BL3544" i="4"/>
  <c r="BK3544" i="4"/>
  <c r="BJ3488" i="4"/>
  <c r="BL3488" i="4"/>
  <c r="BK3488" i="4"/>
  <c r="BJ3432" i="4"/>
  <c r="BL3432" i="4"/>
  <c r="BK3432" i="4"/>
  <c r="BJ3360" i="4"/>
  <c r="BL3360" i="4"/>
  <c r="BK3360" i="4"/>
  <c r="BJ3304" i="4"/>
  <c r="BL3304" i="4"/>
  <c r="BK3304" i="4"/>
  <c r="BJ3240" i="4"/>
  <c r="BL3240" i="4"/>
  <c r="BK3240" i="4"/>
  <c r="BJ3160" i="4"/>
  <c r="BL3160" i="4"/>
  <c r="BK3160" i="4"/>
  <c r="BJ3112" i="4"/>
  <c r="BL3112" i="4"/>
  <c r="BK3112" i="4"/>
  <c r="BJ3056" i="4"/>
  <c r="BL3056" i="4"/>
  <c r="BK3056" i="4"/>
  <c r="BJ3000" i="4"/>
  <c r="BL3000" i="4"/>
  <c r="BK3000" i="4"/>
  <c r="BJ2944" i="4"/>
  <c r="BL2944" i="4"/>
  <c r="BK2944" i="4"/>
  <c r="BJ2888" i="4"/>
  <c r="BL2888" i="4"/>
  <c r="BK2888" i="4"/>
  <c r="BJ2832" i="4"/>
  <c r="BL2832" i="4"/>
  <c r="BK2832" i="4"/>
  <c r="BJ2776" i="4"/>
  <c r="BL2776" i="4"/>
  <c r="BK2776" i="4"/>
  <c r="BJ2728" i="4"/>
  <c r="BL2728" i="4"/>
  <c r="BK2728" i="4"/>
  <c r="BJ2664" i="4"/>
  <c r="BL2664" i="4"/>
  <c r="BK2664" i="4"/>
  <c r="BJ2608" i="4"/>
  <c r="BL2608" i="4"/>
  <c r="BK2608" i="4"/>
  <c r="BJ2552" i="4"/>
  <c r="BL2552" i="4"/>
  <c r="BK2552" i="4"/>
  <c r="BJ2488" i="4"/>
  <c r="BL2488" i="4"/>
  <c r="BK2488" i="4"/>
  <c r="BJ2408" i="4"/>
  <c r="BL2408" i="4"/>
  <c r="BK2408" i="4"/>
  <c r="BJ2352" i="4"/>
  <c r="BL2352" i="4"/>
  <c r="BK2352" i="4"/>
  <c r="BJ2296" i="4"/>
  <c r="BL2296" i="4"/>
  <c r="BK2296" i="4"/>
  <c r="BJ2240" i="4"/>
  <c r="BL2240" i="4"/>
  <c r="BK2240" i="4"/>
  <c r="BJ2192" i="4"/>
  <c r="BL2192" i="4"/>
  <c r="BK2192" i="4"/>
  <c r="BJ2136" i="4"/>
  <c r="BL2136" i="4"/>
  <c r="BK2136" i="4"/>
  <c r="BJ2072" i="4"/>
  <c r="BL2072" i="4"/>
  <c r="BK2072" i="4"/>
  <c r="BJ2016" i="4"/>
  <c r="BL2016" i="4"/>
  <c r="BK2016" i="4"/>
  <c r="BJ1960" i="4"/>
  <c r="BL1960" i="4"/>
  <c r="BK1960" i="4"/>
  <c r="BJ1896" i="4"/>
  <c r="BL1896" i="4"/>
  <c r="BK1896" i="4"/>
  <c r="BJ1840" i="4"/>
  <c r="BL1840" i="4"/>
  <c r="BK1840" i="4"/>
  <c r="BJ1784" i="4"/>
  <c r="BL1784" i="4"/>
  <c r="BK1784" i="4"/>
  <c r="BJ1720" i="4"/>
  <c r="BL1720" i="4"/>
  <c r="BK1720" i="4"/>
  <c r="BJ1680" i="4"/>
  <c r="BL1680" i="4"/>
  <c r="BK1680" i="4"/>
  <c r="BJ1632" i="4"/>
  <c r="BL1632" i="4"/>
  <c r="BK1632" i="4"/>
  <c r="BJ1576" i="4"/>
  <c r="BL1576" i="4"/>
  <c r="BK1576" i="4"/>
  <c r="BJ1536" i="4"/>
  <c r="BL1536" i="4"/>
  <c r="BK1536" i="4"/>
  <c r="BJ1480" i="4"/>
  <c r="BL1480" i="4"/>
  <c r="BK1480" i="4"/>
  <c r="BJ1424" i="4"/>
  <c r="BL1424" i="4"/>
  <c r="BK1424" i="4"/>
  <c r="BJ1384" i="4"/>
  <c r="BL1384" i="4"/>
  <c r="BK1384" i="4"/>
  <c r="BJ1320" i="4"/>
  <c r="BL1320" i="4"/>
  <c r="BK1320" i="4"/>
  <c r="BJ1256" i="4"/>
  <c r="BL1256" i="4"/>
  <c r="BK1256" i="4"/>
  <c r="BJ1200" i="4"/>
  <c r="BL1200" i="4"/>
  <c r="BK1200" i="4"/>
  <c r="BJ1136" i="4"/>
  <c r="BL1136" i="4"/>
  <c r="BK1136" i="4"/>
  <c r="BJ1080" i="4"/>
  <c r="BL1080" i="4"/>
  <c r="BK1080" i="4"/>
  <c r="BJ1024" i="4"/>
  <c r="BL1024" i="4"/>
  <c r="BK1024" i="4"/>
  <c r="BJ968" i="4"/>
  <c r="BL968" i="4"/>
  <c r="BK968" i="4"/>
  <c r="BJ920" i="4"/>
  <c r="BL920" i="4"/>
  <c r="BK920" i="4"/>
  <c r="BJ872" i="4"/>
  <c r="BL872" i="4"/>
  <c r="BK872" i="4"/>
  <c r="BJ816" i="4"/>
  <c r="BL816" i="4"/>
  <c r="BK816" i="4"/>
  <c r="BJ760" i="4"/>
  <c r="BL760" i="4"/>
  <c r="BK760" i="4"/>
  <c r="BJ712" i="4"/>
  <c r="BL712" i="4"/>
  <c r="BK712" i="4"/>
  <c r="BJ656" i="4"/>
  <c r="BL656" i="4"/>
  <c r="BK656" i="4"/>
  <c r="BJ600" i="4"/>
  <c r="BL600" i="4"/>
  <c r="BK600" i="4"/>
  <c r="BJ536" i="4"/>
  <c r="BL536" i="4"/>
  <c r="BK536" i="4"/>
  <c r="BJ464" i="4"/>
  <c r="BL464" i="4"/>
  <c r="BK464" i="4"/>
  <c r="BJ408" i="4"/>
  <c r="BL408" i="4"/>
  <c r="BK408" i="4"/>
  <c r="BJ368" i="4"/>
  <c r="BL368" i="4"/>
  <c r="BK368" i="4"/>
  <c r="BJ5324" i="4"/>
  <c r="BL5324" i="4"/>
  <c r="BK5324" i="4"/>
  <c r="BJ5316" i="4"/>
  <c r="BL5316" i="4"/>
  <c r="BK5316" i="4"/>
  <c r="BJ5308" i="4"/>
  <c r="BL5308" i="4"/>
  <c r="BK5308" i="4"/>
  <c r="BJ5300" i="4"/>
  <c r="BL5300" i="4"/>
  <c r="BK5300" i="4"/>
  <c r="BJ5292" i="4"/>
  <c r="BL5292" i="4"/>
  <c r="BK5292" i="4"/>
  <c r="BJ5284" i="4"/>
  <c r="BL5284" i="4"/>
  <c r="BK5284" i="4"/>
  <c r="BJ5276" i="4"/>
  <c r="BL5276" i="4"/>
  <c r="BK5276" i="4"/>
  <c r="BJ5268" i="4"/>
  <c r="BL5268" i="4"/>
  <c r="BK5268" i="4"/>
  <c r="BJ5260" i="4"/>
  <c r="BL5260" i="4"/>
  <c r="BK5260" i="4"/>
  <c r="BJ5252" i="4"/>
  <c r="BL5252" i="4"/>
  <c r="BK5252" i="4"/>
  <c r="BJ5244" i="4"/>
  <c r="BL5244" i="4"/>
  <c r="BK5244" i="4"/>
  <c r="BJ5236" i="4"/>
  <c r="BL5236" i="4"/>
  <c r="BK5236" i="4"/>
  <c r="BJ5228" i="4"/>
  <c r="BL5228" i="4"/>
  <c r="BK5228" i="4"/>
  <c r="BJ5220" i="4"/>
  <c r="BL5220" i="4"/>
  <c r="BK5220" i="4"/>
  <c r="BJ5212" i="4"/>
  <c r="BL5212" i="4"/>
  <c r="BK5212" i="4"/>
  <c r="BJ5204" i="4"/>
  <c r="BL5204" i="4"/>
  <c r="BK5204" i="4"/>
  <c r="BJ5196" i="4"/>
  <c r="BL5196" i="4"/>
  <c r="BK5196" i="4"/>
  <c r="BJ5188" i="4"/>
  <c r="BL5188" i="4"/>
  <c r="BK5188" i="4"/>
  <c r="BJ5180" i="4"/>
  <c r="BL5180" i="4"/>
  <c r="BK5180" i="4"/>
  <c r="BJ5172" i="4"/>
  <c r="BL5172" i="4"/>
  <c r="BK5172" i="4"/>
  <c r="BJ5164" i="4"/>
  <c r="BL5164" i="4"/>
  <c r="BK5164" i="4"/>
  <c r="BJ5156" i="4"/>
  <c r="BL5156" i="4"/>
  <c r="BK5156" i="4"/>
  <c r="BJ5148" i="4"/>
  <c r="BL5148" i="4"/>
  <c r="BK5148" i="4"/>
  <c r="BJ5140" i="4"/>
  <c r="BL5140" i="4"/>
  <c r="BK5140" i="4"/>
  <c r="BJ5132" i="4"/>
  <c r="BL5132" i="4"/>
  <c r="BK5132" i="4"/>
  <c r="BJ5124" i="4"/>
  <c r="BL5124" i="4"/>
  <c r="BK5124" i="4"/>
  <c r="BJ5116" i="4"/>
  <c r="BL5116" i="4"/>
  <c r="BK5116" i="4"/>
  <c r="BJ5108" i="4"/>
  <c r="BL5108" i="4"/>
  <c r="BK5108" i="4"/>
  <c r="BJ5100" i="4"/>
  <c r="BL5100" i="4"/>
  <c r="BK5100" i="4"/>
  <c r="BJ5092" i="4"/>
  <c r="BL5092" i="4"/>
  <c r="BK5092" i="4"/>
  <c r="BJ5084" i="4"/>
  <c r="BL5084" i="4"/>
  <c r="BK5084" i="4"/>
  <c r="BJ5076" i="4"/>
  <c r="BL5076" i="4"/>
  <c r="BK5076" i="4"/>
  <c r="BJ5068" i="4"/>
  <c r="BL5068" i="4"/>
  <c r="BK5068" i="4"/>
  <c r="BJ5060" i="4"/>
  <c r="BL5060" i="4"/>
  <c r="BK5060" i="4"/>
  <c r="BJ5052" i="4"/>
  <c r="BL5052" i="4"/>
  <c r="BK5052" i="4"/>
  <c r="BJ5044" i="4"/>
  <c r="BL5044" i="4"/>
  <c r="BK5044" i="4"/>
  <c r="BJ5036" i="4"/>
  <c r="BL5036" i="4"/>
  <c r="BK5036" i="4"/>
  <c r="BJ5028" i="4"/>
  <c r="BL5028" i="4"/>
  <c r="BK5028" i="4"/>
  <c r="BJ5020" i="4"/>
  <c r="BL5020" i="4"/>
  <c r="BK5020" i="4"/>
  <c r="BJ5012" i="4"/>
  <c r="BL5012" i="4"/>
  <c r="BK5012" i="4"/>
  <c r="BJ5004" i="4"/>
  <c r="BL5004" i="4"/>
  <c r="BK5004" i="4"/>
  <c r="BJ4996" i="4"/>
  <c r="BL4996" i="4"/>
  <c r="BK4996" i="4"/>
  <c r="BJ4988" i="4"/>
  <c r="BL4988" i="4"/>
  <c r="BK4988" i="4"/>
  <c r="BJ4980" i="4"/>
  <c r="BL4980" i="4"/>
  <c r="BK4980" i="4"/>
  <c r="BJ4972" i="4"/>
  <c r="BL4972" i="4"/>
  <c r="BK4972" i="4"/>
  <c r="BJ4964" i="4"/>
  <c r="BL4964" i="4"/>
  <c r="BK4964" i="4"/>
  <c r="BJ4956" i="4"/>
  <c r="BL4956" i="4"/>
  <c r="BK4956" i="4"/>
  <c r="BJ4948" i="4"/>
  <c r="BL4948" i="4"/>
  <c r="BK4948" i="4"/>
  <c r="BJ4940" i="4"/>
  <c r="BL4940" i="4"/>
  <c r="BK4940" i="4"/>
  <c r="BJ4932" i="4"/>
  <c r="BL4932" i="4"/>
  <c r="BK4932" i="4"/>
  <c r="BJ4924" i="4"/>
  <c r="BL4924" i="4"/>
  <c r="BK4924" i="4"/>
  <c r="BJ4916" i="4"/>
  <c r="BL4916" i="4"/>
  <c r="BK4916" i="4"/>
  <c r="BJ4908" i="4"/>
  <c r="BL4908" i="4"/>
  <c r="BK4908" i="4"/>
  <c r="BJ4900" i="4"/>
  <c r="BL4900" i="4"/>
  <c r="BK4900" i="4"/>
  <c r="BJ4892" i="4"/>
  <c r="BL4892" i="4"/>
  <c r="BK4892" i="4"/>
  <c r="BJ4884" i="4"/>
  <c r="BL4884" i="4"/>
  <c r="BK4884" i="4"/>
  <c r="BJ4876" i="4"/>
  <c r="BL4876" i="4"/>
  <c r="BK4876" i="4"/>
  <c r="BJ4868" i="4"/>
  <c r="BL4868" i="4"/>
  <c r="BK4868" i="4"/>
  <c r="BJ4860" i="4"/>
  <c r="BL4860" i="4"/>
  <c r="BK4860" i="4"/>
  <c r="BJ4852" i="4"/>
  <c r="BL4852" i="4"/>
  <c r="BK4852" i="4"/>
  <c r="BJ4844" i="4"/>
  <c r="BL4844" i="4"/>
  <c r="BK4844" i="4"/>
  <c r="BJ4836" i="4"/>
  <c r="BL4836" i="4"/>
  <c r="BK4836" i="4"/>
  <c r="BJ4828" i="4"/>
  <c r="BL4828" i="4"/>
  <c r="BK4828" i="4"/>
  <c r="BJ4820" i="4"/>
  <c r="BL4820" i="4"/>
  <c r="BK4820" i="4"/>
  <c r="BJ4812" i="4"/>
  <c r="BL4812" i="4"/>
  <c r="BK4812" i="4"/>
  <c r="BJ4804" i="4"/>
  <c r="BL4804" i="4"/>
  <c r="BK4804" i="4"/>
  <c r="BJ4796" i="4"/>
  <c r="BL4796" i="4"/>
  <c r="BK4796" i="4"/>
  <c r="BJ4788" i="4"/>
  <c r="BL4788" i="4"/>
  <c r="BK4788" i="4"/>
  <c r="BJ4780" i="4"/>
  <c r="BL4780" i="4"/>
  <c r="BK4780" i="4"/>
  <c r="BJ4772" i="4"/>
  <c r="BL4772" i="4"/>
  <c r="BK4772" i="4"/>
  <c r="BJ4764" i="4"/>
  <c r="BL4764" i="4"/>
  <c r="BK4764" i="4"/>
  <c r="BJ4756" i="4"/>
  <c r="BL4756" i="4"/>
  <c r="BK4756" i="4"/>
  <c r="BJ4748" i="4"/>
  <c r="BL4748" i="4"/>
  <c r="BK4748" i="4"/>
  <c r="BJ4740" i="4"/>
  <c r="BL4740" i="4"/>
  <c r="BK4740" i="4"/>
  <c r="BJ4732" i="4"/>
  <c r="BL4732" i="4"/>
  <c r="BK4732" i="4"/>
  <c r="BJ4724" i="4"/>
  <c r="BL4724" i="4"/>
  <c r="BK4724" i="4"/>
  <c r="BJ4716" i="4"/>
  <c r="BL4716" i="4"/>
  <c r="BK4716" i="4"/>
  <c r="BJ4708" i="4"/>
  <c r="BL4708" i="4"/>
  <c r="BK4708" i="4"/>
  <c r="BJ4700" i="4"/>
  <c r="BL4700" i="4"/>
  <c r="BK4700" i="4"/>
  <c r="BJ4692" i="4"/>
  <c r="BL4692" i="4"/>
  <c r="BK4692" i="4"/>
  <c r="BJ4684" i="4"/>
  <c r="BL4684" i="4"/>
  <c r="BK4684" i="4"/>
  <c r="BJ4676" i="4"/>
  <c r="BL4676" i="4"/>
  <c r="BK4676" i="4"/>
  <c r="BJ4668" i="4"/>
  <c r="BL4668" i="4"/>
  <c r="BK4668" i="4"/>
  <c r="BJ4660" i="4"/>
  <c r="BL4660" i="4"/>
  <c r="BK4660" i="4"/>
  <c r="BJ4652" i="4"/>
  <c r="BL4652" i="4"/>
  <c r="BK4652" i="4"/>
  <c r="BJ4644" i="4"/>
  <c r="BL4644" i="4"/>
  <c r="BK4644" i="4"/>
  <c r="BJ4636" i="4"/>
  <c r="BL4636" i="4"/>
  <c r="BK4636" i="4"/>
  <c r="BJ4628" i="4"/>
  <c r="BL4628" i="4"/>
  <c r="BK4628" i="4"/>
  <c r="BJ4620" i="4"/>
  <c r="BL4620" i="4"/>
  <c r="BK4620" i="4"/>
  <c r="BJ4612" i="4"/>
  <c r="BL4612" i="4"/>
  <c r="BK4612" i="4"/>
  <c r="BJ4604" i="4"/>
  <c r="BL4604" i="4"/>
  <c r="BK4604" i="4"/>
  <c r="BJ4596" i="4"/>
  <c r="BL4596" i="4"/>
  <c r="BK4596" i="4"/>
  <c r="BJ4588" i="4"/>
  <c r="BK4588" i="4"/>
  <c r="BL4588" i="4"/>
  <c r="BJ4580" i="4"/>
  <c r="BL4580" i="4"/>
  <c r="BK4580" i="4"/>
  <c r="BJ4572" i="4"/>
  <c r="BL4572" i="4"/>
  <c r="BK4572" i="4"/>
  <c r="BJ4564" i="4"/>
  <c r="BL4564" i="4"/>
  <c r="BK4564" i="4"/>
  <c r="BJ4556" i="4"/>
  <c r="BL4556" i="4"/>
  <c r="BK4556" i="4"/>
  <c r="BJ4548" i="4"/>
  <c r="BL4548" i="4"/>
  <c r="BK4548" i="4"/>
  <c r="BJ4540" i="4"/>
  <c r="BL4540" i="4"/>
  <c r="BK4540" i="4"/>
  <c r="BJ4532" i="4"/>
  <c r="BL4532" i="4"/>
  <c r="BK4532" i="4"/>
  <c r="BJ4524" i="4"/>
  <c r="BK4524" i="4"/>
  <c r="BL4524" i="4"/>
  <c r="BJ4516" i="4"/>
  <c r="BL4516" i="4"/>
  <c r="BK4516" i="4"/>
  <c r="BJ4508" i="4"/>
  <c r="BL4508" i="4"/>
  <c r="BK4508" i="4"/>
  <c r="BJ4500" i="4"/>
  <c r="BL4500" i="4"/>
  <c r="BK4500" i="4"/>
  <c r="BJ4492" i="4"/>
  <c r="BL4492" i="4"/>
  <c r="BK4492" i="4"/>
  <c r="BJ4484" i="4"/>
  <c r="BL4484" i="4"/>
  <c r="BK4484" i="4"/>
  <c r="BJ4476" i="4"/>
  <c r="BL4476" i="4"/>
  <c r="BK4476" i="4"/>
  <c r="BJ4468" i="4"/>
  <c r="BL4468" i="4"/>
  <c r="BK4468" i="4"/>
  <c r="BJ4460" i="4"/>
  <c r="BL4460" i="4"/>
  <c r="BK4460" i="4"/>
  <c r="BJ4452" i="4"/>
  <c r="BL4452" i="4"/>
  <c r="BK4452" i="4"/>
  <c r="BJ4444" i="4"/>
  <c r="BL4444" i="4"/>
  <c r="BK4444" i="4"/>
  <c r="BJ4436" i="4"/>
  <c r="BL4436" i="4"/>
  <c r="BK4436" i="4"/>
  <c r="BJ4428" i="4"/>
  <c r="BL4428" i="4"/>
  <c r="BK4428" i="4"/>
  <c r="BJ4420" i="4"/>
  <c r="BL4420" i="4"/>
  <c r="BK4420" i="4"/>
  <c r="BJ4412" i="4"/>
  <c r="BL4412" i="4"/>
  <c r="BK4412" i="4"/>
  <c r="BJ4404" i="4"/>
  <c r="BL4404" i="4"/>
  <c r="BK4404" i="4"/>
  <c r="BJ4396" i="4"/>
  <c r="BK4396" i="4"/>
  <c r="BL4396" i="4"/>
  <c r="BJ4388" i="4"/>
  <c r="BL4388" i="4"/>
  <c r="BK4388" i="4"/>
  <c r="BJ4380" i="4"/>
  <c r="BL4380" i="4"/>
  <c r="BK4380" i="4"/>
  <c r="BJ4372" i="4"/>
  <c r="BL4372" i="4"/>
  <c r="BK4372" i="4"/>
  <c r="BJ4364" i="4"/>
  <c r="BL4364" i="4"/>
  <c r="BK4364" i="4"/>
  <c r="BJ4356" i="4"/>
  <c r="BL4356" i="4"/>
  <c r="BK4356" i="4"/>
  <c r="BJ4348" i="4"/>
  <c r="BL4348" i="4"/>
  <c r="BK4348" i="4"/>
  <c r="BJ4340" i="4"/>
  <c r="BL4340" i="4"/>
  <c r="BK4340" i="4"/>
  <c r="BJ4332" i="4"/>
  <c r="BK4332" i="4"/>
  <c r="BL4332" i="4"/>
  <c r="BJ4324" i="4"/>
  <c r="BL4324" i="4"/>
  <c r="BK4324" i="4"/>
  <c r="BJ4316" i="4"/>
  <c r="BL4316" i="4"/>
  <c r="BK4316" i="4"/>
  <c r="BJ4308" i="4"/>
  <c r="BL4308" i="4"/>
  <c r="BK4308" i="4"/>
  <c r="BJ4300" i="4"/>
  <c r="BL4300" i="4"/>
  <c r="BK4300" i="4"/>
  <c r="BJ4292" i="4"/>
  <c r="BL4292" i="4"/>
  <c r="BK4292" i="4"/>
  <c r="BJ4284" i="4"/>
  <c r="BL4284" i="4"/>
  <c r="BK4284" i="4"/>
  <c r="BJ4276" i="4"/>
  <c r="BL4276" i="4"/>
  <c r="BK4276" i="4"/>
  <c r="BJ4268" i="4"/>
  <c r="BL4268" i="4"/>
  <c r="BK4268" i="4"/>
  <c r="BJ4260" i="4"/>
  <c r="BL4260" i="4"/>
  <c r="BK4260" i="4"/>
  <c r="BJ4252" i="4"/>
  <c r="BL4252" i="4"/>
  <c r="BK4252" i="4"/>
  <c r="BJ4244" i="4"/>
  <c r="BL4244" i="4"/>
  <c r="BK4244" i="4"/>
  <c r="BJ4236" i="4"/>
  <c r="BL4236" i="4"/>
  <c r="BK4236" i="4"/>
  <c r="BJ4228" i="4"/>
  <c r="BL4228" i="4"/>
  <c r="BK4228" i="4"/>
  <c r="BJ4220" i="4"/>
  <c r="BL4220" i="4"/>
  <c r="BK4220" i="4"/>
  <c r="BJ4212" i="4"/>
  <c r="BL4212" i="4"/>
  <c r="BK4212" i="4"/>
  <c r="BJ4204" i="4"/>
  <c r="BL4204" i="4"/>
  <c r="BK4204" i="4"/>
  <c r="BJ4196" i="4"/>
  <c r="BL4196" i="4"/>
  <c r="BK4196" i="4"/>
  <c r="BJ4188" i="4"/>
  <c r="BL4188" i="4"/>
  <c r="BK4188" i="4"/>
  <c r="BJ4180" i="4"/>
  <c r="BL4180" i="4"/>
  <c r="BK4180" i="4"/>
  <c r="BJ4172" i="4"/>
  <c r="BL4172" i="4"/>
  <c r="BK4172" i="4"/>
  <c r="BJ4164" i="4"/>
  <c r="BL4164" i="4"/>
  <c r="BK4164" i="4"/>
  <c r="BJ4156" i="4"/>
  <c r="BL4156" i="4"/>
  <c r="BK4156" i="4"/>
  <c r="BJ4148" i="4"/>
  <c r="BL4148" i="4"/>
  <c r="BK4148" i="4"/>
  <c r="BJ4140" i="4"/>
  <c r="BL4140" i="4"/>
  <c r="BK4140" i="4"/>
  <c r="BJ4132" i="4"/>
  <c r="BL4132" i="4"/>
  <c r="BK4132" i="4"/>
  <c r="BJ4124" i="4"/>
  <c r="BL4124" i="4"/>
  <c r="BK4124" i="4"/>
  <c r="BJ4116" i="4"/>
  <c r="BL4116" i="4"/>
  <c r="BK4116" i="4"/>
  <c r="BJ4108" i="4"/>
  <c r="BL4108" i="4"/>
  <c r="BK4108" i="4"/>
  <c r="BJ4100" i="4"/>
  <c r="BL4100" i="4"/>
  <c r="BK4100" i="4"/>
  <c r="BJ4092" i="4"/>
  <c r="BL4092" i="4"/>
  <c r="BK4092" i="4"/>
  <c r="BJ4084" i="4"/>
  <c r="BL4084" i="4"/>
  <c r="BK4084" i="4"/>
  <c r="BJ4076" i="4"/>
  <c r="BK4076" i="4"/>
  <c r="BL4076" i="4"/>
  <c r="BJ4068" i="4"/>
  <c r="BL4068" i="4"/>
  <c r="BK4068" i="4"/>
  <c r="BJ4060" i="4"/>
  <c r="BL4060" i="4"/>
  <c r="BK4060" i="4"/>
  <c r="BJ4052" i="4"/>
  <c r="BL4052" i="4"/>
  <c r="BK4052" i="4"/>
  <c r="BJ4044" i="4"/>
  <c r="BL4044" i="4"/>
  <c r="BK4044" i="4"/>
  <c r="BJ4036" i="4"/>
  <c r="BL4036" i="4"/>
  <c r="BK4036" i="4"/>
  <c r="BJ4028" i="4"/>
  <c r="BL4028" i="4"/>
  <c r="BK4028" i="4"/>
  <c r="BJ4020" i="4"/>
  <c r="BL4020" i="4"/>
  <c r="BK4020" i="4"/>
  <c r="BJ4012" i="4"/>
  <c r="BL4012" i="4"/>
  <c r="BK4012" i="4"/>
  <c r="BJ4004" i="4"/>
  <c r="BL4004" i="4"/>
  <c r="BK4004" i="4"/>
  <c r="BJ3996" i="4"/>
  <c r="BL3996" i="4"/>
  <c r="BK3996" i="4"/>
  <c r="BJ3988" i="4"/>
  <c r="BL3988" i="4"/>
  <c r="BK3988" i="4"/>
  <c r="BJ3980" i="4"/>
  <c r="BL3980" i="4"/>
  <c r="BK3980" i="4"/>
  <c r="BJ3972" i="4"/>
  <c r="BL3972" i="4"/>
  <c r="BK3972" i="4"/>
  <c r="BJ3964" i="4"/>
  <c r="BL3964" i="4"/>
  <c r="BK3964" i="4"/>
  <c r="BJ3956" i="4"/>
  <c r="BL3956" i="4"/>
  <c r="BK3956" i="4"/>
  <c r="BJ3948" i="4"/>
  <c r="BL3948" i="4"/>
  <c r="BK3948" i="4"/>
  <c r="BJ3940" i="4"/>
  <c r="BL3940" i="4"/>
  <c r="BK3940" i="4"/>
  <c r="BJ3932" i="4"/>
  <c r="BL3932" i="4"/>
  <c r="BK3932" i="4"/>
  <c r="BJ3924" i="4"/>
  <c r="BL3924" i="4"/>
  <c r="BK3924" i="4"/>
  <c r="BJ3916" i="4"/>
  <c r="BL3916" i="4"/>
  <c r="BK3916" i="4"/>
  <c r="BJ3908" i="4"/>
  <c r="BL3908" i="4"/>
  <c r="BK3908" i="4"/>
  <c r="BJ3900" i="4"/>
  <c r="BL3900" i="4"/>
  <c r="BK3900" i="4"/>
  <c r="BJ3892" i="4"/>
  <c r="BL3892" i="4"/>
  <c r="BK3892" i="4"/>
  <c r="BJ3884" i="4"/>
  <c r="BL3884" i="4"/>
  <c r="BK3884" i="4"/>
  <c r="BJ3876" i="4"/>
  <c r="BL3876" i="4"/>
  <c r="BK3876" i="4"/>
  <c r="BJ3868" i="4"/>
  <c r="BL3868" i="4"/>
  <c r="BK3868" i="4"/>
  <c r="BJ3860" i="4"/>
  <c r="BL3860" i="4"/>
  <c r="BK3860" i="4"/>
  <c r="BJ3852" i="4"/>
  <c r="BL3852" i="4"/>
  <c r="BK3852" i="4"/>
  <c r="BJ3844" i="4"/>
  <c r="BL3844" i="4"/>
  <c r="BK3844" i="4"/>
  <c r="BJ3836" i="4"/>
  <c r="BL3836" i="4"/>
  <c r="BK3836" i="4"/>
  <c r="BJ3828" i="4"/>
  <c r="BL3828" i="4"/>
  <c r="BK3828" i="4"/>
  <c r="BJ3820" i="4"/>
  <c r="BL3820" i="4"/>
  <c r="BK3820" i="4"/>
  <c r="BJ3812" i="4"/>
  <c r="BL3812" i="4"/>
  <c r="BK3812" i="4"/>
  <c r="BJ3804" i="4"/>
  <c r="BL3804" i="4"/>
  <c r="BK3804" i="4"/>
  <c r="BJ3796" i="4"/>
  <c r="BL3796" i="4"/>
  <c r="BK3796" i="4"/>
  <c r="BJ3788" i="4"/>
  <c r="BL3788" i="4"/>
  <c r="BK3788" i="4"/>
  <c r="BJ3780" i="4"/>
  <c r="BL3780" i="4"/>
  <c r="BK3780" i="4"/>
  <c r="BJ3772" i="4"/>
  <c r="BL3772" i="4"/>
  <c r="BK3772" i="4"/>
  <c r="BJ3764" i="4"/>
  <c r="BL3764" i="4"/>
  <c r="BK3764" i="4"/>
  <c r="BJ3756" i="4"/>
  <c r="BL3756" i="4"/>
  <c r="BK3756" i="4"/>
  <c r="BJ3748" i="4"/>
  <c r="BL3748" i="4"/>
  <c r="BK3748" i="4"/>
  <c r="BJ3740" i="4"/>
  <c r="BL3740" i="4"/>
  <c r="BK3740" i="4"/>
  <c r="BJ3732" i="4"/>
  <c r="BL3732" i="4"/>
  <c r="BK3732" i="4"/>
  <c r="BJ3724" i="4"/>
  <c r="BL3724" i="4"/>
  <c r="BK3724" i="4"/>
  <c r="BJ3716" i="4"/>
  <c r="BL3716" i="4"/>
  <c r="BK3716" i="4"/>
  <c r="BJ3708" i="4"/>
  <c r="BL3708" i="4"/>
  <c r="BK3708" i="4"/>
  <c r="BJ3700" i="4"/>
  <c r="BL3700" i="4"/>
  <c r="BK3700" i="4"/>
  <c r="BJ3692" i="4"/>
  <c r="BL3692" i="4"/>
  <c r="BK3692" i="4"/>
  <c r="BJ3684" i="4"/>
  <c r="BL3684" i="4"/>
  <c r="BK3684" i="4"/>
  <c r="BJ3676" i="4"/>
  <c r="BL3676" i="4"/>
  <c r="BK3676" i="4"/>
  <c r="BJ3668" i="4"/>
  <c r="BL3668" i="4"/>
  <c r="BK3668" i="4"/>
  <c r="BJ3660" i="4"/>
  <c r="BL3660" i="4"/>
  <c r="BK3660" i="4"/>
  <c r="BJ3652" i="4"/>
  <c r="BL3652" i="4"/>
  <c r="BK3652" i="4"/>
  <c r="BJ3644" i="4"/>
  <c r="BL3644" i="4"/>
  <c r="BK3644" i="4"/>
  <c r="BJ3636" i="4"/>
  <c r="BL3636" i="4"/>
  <c r="BK3636" i="4"/>
  <c r="BJ3628" i="4"/>
  <c r="BL3628" i="4"/>
  <c r="BK3628" i="4"/>
  <c r="BJ3620" i="4"/>
  <c r="BL3620" i="4"/>
  <c r="BK3620" i="4"/>
  <c r="BJ3612" i="4"/>
  <c r="BL3612" i="4"/>
  <c r="BK3612" i="4"/>
  <c r="BJ3604" i="4"/>
  <c r="BL3604" i="4"/>
  <c r="BK3604" i="4"/>
  <c r="BJ3596" i="4"/>
  <c r="BL3596" i="4"/>
  <c r="BK3596" i="4"/>
  <c r="BJ3588" i="4"/>
  <c r="BL3588" i="4"/>
  <c r="BK3588" i="4"/>
  <c r="BJ3580" i="4"/>
  <c r="BL3580" i="4"/>
  <c r="BK3580" i="4"/>
  <c r="BJ3572" i="4"/>
  <c r="BL3572" i="4"/>
  <c r="BK3572" i="4"/>
  <c r="BJ3564" i="4"/>
  <c r="BL3564" i="4"/>
  <c r="BK3564" i="4"/>
  <c r="BJ3556" i="4"/>
  <c r="BL3556" i="4"/>
  <c r="BK3556" i="4"/>
  <c r="BJ3548" i="4"/>
  <c r="BL3548" i="4"/>
  <c r="BK3548" i="4"/>
  <c r="BJ3540" i="4"/>
  <c r="BL3540" i="4"/>
  <c r="BK3540" i="4"/>
  <c r="BJ3532" i="4"/>
  <c r="BL3532" i="4"/>
  <c r="BK3532" i="4"/>
  <c r="BJ3524" i="4"/>
  <c r="BL3524" i="4"/>
  <c r="BK3524" i="4"/>
  <c r="BJ3516" i="4"/>
  <c r="BL3516" i="4"/>
  <c r="BK3516" i="4"/>
  <c r="BJ3508" i="4"/>
  <c r="BL3508" i="4"/>
  <c r="BK3508" i="4"/>
  <c r="BJ3500" i="4"/>
  <c r="BL3500" i="4"/>
  <c r="BK3500" i="4"/>
  <c r="BJ3492" i="4"/>
  <c r="BL3492" i="4"/>
  <c r="BK3492" i="4"/>
  <c r="BJ3484" i="4"/>
  <c r="BL3484" i="4"/>
  <c r="BK3484" i="4"/>
  <c r="BJ3476" i="4"/>
  <c r="BL3476" i="4"/>
  <c r="BK3476" i="4"/>
  <c r="BJ3468" i="4"/>
  <c r="BL3468" i="4"/>
  <c r="BK3468" i="4"/>
  <c r="BJ3460" i="4"/>
  <c r="BL3460" i="4"/>
  <c r="BK3460" i="4"/>
  <c r="BJ3452" i="4"/>
  <c r="BL3452" i="4"/>
  <c r="BK3452" i="4"/>
  <c r="BJ3444" i="4"/>
  <c r="BL3444" i="4"/>
  <c r="BK3444" i="4"/>
  <c r="BJ3436" i="4"/>
  <c r="BL3436" i="4"/>
  <c r="BK3436" i="4"/>
  <c r="BJ3428" i="4"/>
  <c r="BL3428" i="4"/>
  <c r="BK3428" i="4"/>
  <c r="BJ3420" i="4"/>
  <c r="BL3420" i="4"/>
  <c r="BK3420" i="4"/>
  <c r="BJ3412" i="4"/>
  <c r="BL3412" i="4"/>
  <c r="BK3412" i="4"/>
  <c r="BJ3404" i="4"/>
  <c r="BL3404" i="4"/>
  <c r="BK3404" i="4"/>
  <c r="BJ3396" i="4"/>
  <c r="BL3396" i="4"/>
  <c r="BK3396" i="4"/>
  <c r="BJ3388" i="4"/>
  <c r="BL3388" i="4"/>
  <c r="BK3388" i="4"/>
  <c r="BJ3380" i="4"/>
  <c r="BL3380" i="4"/>
  <c r="BK3380" i="4"/>
  <c r="BJ3372" i="4"/>
  <c r="BL3372" i="4"/>
  <c r="BK3372" i="4"/>
  <c r="BJ3364" i="4"/>
  <c r="BL3364" i="4"/>
  <c r="BK3364" i="4"/>
  <c r="BJ3356" i="4"/>
  <c r="BL3356" i="4"/>
  <c r="BK3356" i="4"/>
  <c r="BJ3348" i="4"/>
  <c r="BL3348" i="4"/>
  <c r="BK3348" i="4"/>
  <c r="BJ3340" i="4"/>
  <c r="BL3340" i="4"/>
  <c r="BK3340" i="4"/>
  <c r="BJ3332" i="4"/>
  <c r="BL3332" i="4"/>
  <c r="BK3332" i="4"/>
  <c r="BJ3324" i="4"/>
  <c r="BL3324" i="4"/>
  <c r="BK3324" i="4"/>
  <c r="BJ3316" i="4"/>
  <c r="BL3316" i="4"/>
  <c r="BK3316" i="4"/>
  <c r="BJ3308" i="4"/>
  <c r="BL3308" i="4"/>
  <c r="BK3308" i="4"/>
  <c r="BJ3300" i="4"/>
  <c r="BL3300" i="4"/>
  <c r="BK3300" i="4"/>
  <c r="BJ3292" i="4"/>
  <c r="BL3292" i="4"/>
  <c r="BK3292" i="4"/>
  <c r="BJ3284" i="4"/>
  <c r="BL3284" i="4"/>
  <c r="BK3284" i="4"/>
  <c r="BJ3276" i="4"/>
  <c r="BL3276" i="4"/>
  <c r="BK3276" i="4"/>
  <c r="BJ3268" i="4"/>
  <c r="BL3268" i="4"/>
  <c r="BK3268" i="4"/>
  <c r="BJ3260" i="4"/>
  <c r="BL3260" i="4"/>
  <c r="BK3260" i="4"/>
  <c r="BJ3252" i="4"/>
  <c r="BL3252" i="4"/>
  <c r="BK3252" i="4"/>
  <c r="BJ3244" i="4"/>
  <c r="BL3244" i="4"/>
  <c r="BK3244" i="4"/>
  <c r="BJ3236" i="4"/>
  <c r="BL3236" i="4"/>
  <c r="BK3236" i="4"/>
  <c r="BJ3228" i="4"/>
  <c r="BL3228" i="4"/>
  <c r="BK3228" i="4"/>
  <c r="BJ3220" i="4"/>
  <c r="BL3220" i="4"/>
  <c r="BK3220" i="4"/>
  <c r="BJ3212" i="4"/>
  <c r="BL3212" i="4"/>
  <c r="BK3212" i="4"/>
  <c r="BJ3204" i="4"/>
  <c r="BL3204" i="4"/>
  <c r="BK3204" i="4"/>
  <c r="BJ3196" i="4"/>
  <c r="BL3196" i="4"/>
  <c r="BK3196" i="4"/>
  <c r="BJ3188" i="4"/>
  <c r="BL3188" i="4"/>
  <c r="BK3188" i="4"/>
  <c r="BJ3180" i="4"/>
  <c r="BL3180" i="4"/>
  <c r="BK3180" i="4"/>
  <c r="BJ3172" i="4"/>
  <c r="BL3172" i="4"/>
  <c r="BK3172" i="4"/>
  <c r="BJ3164" i="4"/>
  <c r="BL3164" i="4"/>
  <c r="BK3164" i="4"/>
  <c r="BJ3156" i="4"/>
  <c r="BL3156" i="4"/>
  <c r="BK3156" i="4"/>
  <c r="BJ3148" i="4"/>
  <c r="BL3148" i="4"/>
  <c r="BK3148" i="4"/>
  <c r="BJ3140" i="4"/>
  <c r="BL3140" i="4"/>
  <c r="BK3140" i="4"/>
  <c r="BJ3132" i="4"/>
  <c r="BL3132" i="4"/>
  <c r="BK3132" i="4"/>
  <c r="BJ3124" i="4"/>
  <c r="BL3124" i="4"/>
  <c r="BK3124" i="4"/>
  <c r="BJ3116" i="4"/>
  <c r="BL3116" i="4"/>
  <c r="BK3116" i="4"/>
  <c r="BJ3108" i="4"/>
  <c r="BL3108" i="4"/>
  <c r="BK3108" i="4"/>
  <c r="BJ3100" i="4"/>
  <c r="BL3100" i="4"/>
  <c r="BK3100" i="4"/>
  <c r="BJ3092" i="4"/>
  <c r="BL3092" i="4"/>
  <c r="BK3092" i="4"/>
  <c r="BJ3084" i="4"/>
  <c r="BL3084" i="4"/>
  <c r="BK3084" i="4"/>
  <c r="BJ3076" i="4"/>
  <c r="BL3076" i="4"/>
  <c r="BK3076" i="4"/>
  <c r="BJ3068" i="4"/>
  <c r="BL3068" i="4"/>
  <c r="BK3068" i="4"/>
  <c r="BJ3060" i="4"/>
  <c r="BL3060" i="4"/>
  <c r="BK3060" i="4"/>
  <c r="BJ3052" i="4"/>
  <c r="BL3052" i="4"/>
  <c r="BK3052" i="4"/>
  <c r="BJ3044" i="4"/>
  <c r="BL3044" i="4"/>
  <c r="BK3044" i="4"/>
  <c r="BJ3036" i="4"/>
  <c r="BL3036" i="4"/>
  <c r="BK3036" i="4"/>
  <c r="BJ3028" i="4"/>
  <c r="BL3028" i="4"/>
  <c r="BK3028" i="4"/>
  <c r="BJ3020" i="4"/>
  <c r="BL3020" i="4"/>
  <c r="BK3020" i="4"/>
  <c r="BJ3012" i="4"/>
  <c r="BL3012" i="4"/>
  <c r="BK3012" i="4"/>
  <c r="BJ3004" i="4"/>
  <c r="BL3004" i="4"/>
  <c r="BK3004" i="4"/>
  <c r="BJ2996" i="4"/>
  <c r="BL2996" i="4"/>
  <c r="BK2996" i="4"/>
  <c r="BJ2988" i="4"/>
  <c r="BL2988" i="4"/>
  <c r="BK2988" i="4"/>
  <c r="BJ2980" i="4"/>
  <c r="BL2980" i="4"/>
  <c r="BK2980" i="4"/>
  <c r="BJ2972" i="4"/>
  <c r="BL2972" i="4"/>
  <c r="BK2972" i="4"/>
  <c r="BJ2964" i="4"/>
  <c r="BL2964" i="4"/>
  <c r="BK2964" i="4"/>
  <c r="BJ2956" i="4"/>
  <c r="BL2956" i="4"/>
  <c r="BK2956" i="4"/>
  <c r="BJ2948" i="4"/>
  <c r="BL2948" i="4"/>
  <c r="BK2948" i="4"/>
  <c r="BJ2940" i="4"/>
  <c r="BL2940" i="4"/>
  <c r="BK2940" i="4"/>
  <c r="BJ2932" i="4"/>
  <c r="BL2932" i="4"/>
  <c r="BK2932" i="4"/>
  <c r="BJ2924" i="4"/>
  <c r="BL2924" i="4"/>
  <c r="BK2924" i="4"/>
  <c r="BJ2916" i="4"/>
  <c r="BL2916" i="4"/>
  <c r="BK2916" i="4"/>
  <c r="BJ2908" i="4"/>
  <c r="BL2908" i="4"/>
  <c r="BK2908" i="4"/>
  <c r="BJ2900" i="4"/>
  <c r="BL2900" i="4"/>
  <c r="BK2900" i="4"/>
  <c r="BJ2892" i="4"/>
  <c r="BL2892" i="4"/>
  <c r="BK2892" i="4"/>
  <c r="BJ2884" i="4"/>
  <c r="BL2884" i="4"/>
  <c r="BK2884" i="4"/>
  <c r="BJ2876" i="4"/>
  <c r="BL2876" i="4"/>
  <c r="BK2876" i="4"/>
  <c r="BJ2868" i="4"/>
  <c r="BL2868" i="4"/>
  <c r="BK2868" i="4"/>
  <c r="BJ2860" i="4"/>
  <c r="BL2860" i="4"/>
  <c r="BK2860" i="4"/>
  <c r="BJ2852" i="4"/>
  <c r="BL2852" i="4"/>
  <c r="BK2852" i="4"/>
  <c r="BJ2844" i="4"/>
  <c r="BL2844" i="4"/>
  <c r="BK2844" i="4"/>
  <c r="BJ2836" i="4"/>
  <c r="BL2836" i="4"/>
  <c r="BK2836" i="4"/>
  <c r="BJ2828" i="4"/>
  <c r="BL2828" i="4"/>
  <c r="BK2828" i="4"/>
  <c r="BJ2820" i="4"/>
  <c r="BL2820" i="4"/>
  <c r="BK2820" i="4"/>
  <c r="BJ2812" i="4"/>
  <c r="BL2812" i="4"/>
  <c r="BK2812" i="4"/>
  <c r="BJ2804" i="4"/>
  <c r="BL2804" i="4"/>
  <c r="BK2804" i="4"/>
  <c r="BJ2796" i="4"/>
  <c r="BL2796" i="4"/>
  <c r="BK2796" i="4"/>
  <c r="BJ2788" i="4"/>
  <c r="BL2788" i="4"/>
  <c r="BK2788" i="4"/>
  <c r="BJ2780" i="4"/>
  <c r="BL2780" i="4"/>
  <c r="BK2780" i="4"/>
  <c r="BJ2772" i="4"/>
  <c r="BL2772" i="4"/>
  <c r="BK2772" i="4"/>
  <c r="BJ2764" i="4"/>
  <c r="BL2764" i="4"/>
  <c r="BK2764" i="4"/>
  <c r="BJ2756" i="4"/>
  <c r="BL2756" i="4"/>
  <c r="BK2756" i="4"/>
  <c r="BJ2748" i="4"/>
  <c r="BL2748" i="4"/>
  <c r="BK2748" i="4"/>
  <c r="BJ2740" i="4"/>
  <c r="BL2740" i="4"/>
  <c r="BK2740" i="4"/>
  <c r="BJ2732" i="4"/>
  <c r="BL2732" i="4"/>
  <c r="BK2732" i="4"/>
  <c r="BJ2724" i="4"/>
  <c r="BL2724" i="4"/>
  <c r="BK2724" i="4"/>
  <c r="BJ2716" i="4"/>
  <c r="BL2716" i="4"/>
  <c r="BK2716" i="4"/>
  <c r="BJ2708" i="4"/>
  <c r="BL2708" i="4"/>
  <c r="BK2708" i="4"/>
  <c r="BJ2700" i="4"/>
  <c r="BL2700" i="4"/>
  <c r="BK2700" i="4"/>
  <c r="BJ2692" i="4"/>
  <c r="BL2692" i="4"/>
  <c r="BK2692" i="4"/>
  <c r="BJ2684" i="4"/>
  <c r="BL2684" i="4"/>
  <c r="BK2684" i="4"/>
  <c r="BJ2676" i="4"/>
  <c r="BL2676" i="4"/>
  <c r="BK2676" i="4"/>
  <c r="BJ2668" i="4"/>
  <c r="BL2668" i="4"/>
  <c r="BK2668" i="4"/>
  <c r="BJ2660" i="4"/>
  <c r="BL2660" i="4"/>
  <c r="BK2660" i="4"/>
  <c r="BJ2652" i="4"/>
  <c r="BL2652" i="4"/>
  <c r="BK2652" i="4"/>
  <c r="BJ2644" i="4"/>
  <c r="BL2644" i="4"/>
  <c r="BK2644" i="4"/>
  <c r="BJ2636" i="4"/>
  <c r="BL2636" i="4"/>
  <c r="BK2636" i="4"/>
  <c r="BJ2628" i="4"/>
  <c r="BL2628" i="4"/>
  <c r="BK2628" i="4"/>
  <c r="BJ2620" i="4"/>
  <c r="BL2620" i="4"/>
  <c r="BK2620" i="4"/>
  <c r="BJ2612" i="4"/>
  <c r="BL2612" i="4"/>
  <c r="BK2612" i="4"/>
  <c r="BJ2604" i="4"/>
  <c r="BL2604" i="4"/>
  <c r="BK2604" i="4"/>
  <c r="BJ2596" i="4"/>
  <c r="BL2596" i="4"/>
  <c r="BK2596" i="4"/>
  <c r="BJ2588" i="4"/>
  <c r="BL2588" i="4"/>
  <c r="BK2588" i="4"/>
  <c r="BJ2580" i="4"/>
  <c r="BL2580" i="4"/>
  <c r="BK2580" i="4"/>
  <c r="BJ2572" i="4"/>
  <c r="BL2572" i="4"/>
  <c r="BK2572" i="4"/>
  <c r="BJ2564" i="4"/>
  <c r="BL2564" i="4"/>
  <c r="BK2564" i="4"/>
  <c r="BJ2556" i="4"/>
  <c r="BL2556" i="4"/>
  <c r="BK2556" i="4"/>
  <c r="BJ2548" i="4"/>
  <c r="BL2548" i="4"/>
  <c r="BK2548" i="4"/>
  <c r="BJ2540" i="4"/>
  <c r="BL2540" i="4"/>
  <c r="BK2540" i="4"/>
  <c r="BJ2532" i="4"/>
  <c r="BL2532" i="4"/>
  <c r="BK2532" i="4"/>
  <c r="BJ2524" i="4"/>
  <c r="BL2524" i="4"/>
  <c r="BK2524" i="4"/>
  <c r="BJ2516" i="4"/>
  <c r="BL2516" i="4"/>
  <c r="BK2516" i="4"/>
  <c r="BJ2508" i="4"/>
  <c r="BL2508" i="4"/>
  <c r="BK2508" i="4"/>
  <c r="BJ2500" i="4"/>
  <c r="BL2500" i="4"/>
  <c r="BK2500" i="4"/>
  <c r="BJ2492" i="4"/>
  <c r="BL2492" i="4"/>
  <c r="BK2492" i="4"/>
  <c r="BJ2484" i="4"/>
  <c r="BL2484" i="4"/>
  <c r="BK2484" i="4"/>
  <c r="BJ2476" i="4"/>
  <c r="BL2476" i="4"/>
  <c r="BK2476" i="4"/>
  <c r="BJ2468" i="4"/>
  <c r="BL2468" i="4"/>
  <c r="BK2468" i="4"/>
  <c r="BJ2460" i="4"/>
  <c r="BL2460" i="4"/>
  <c r="BK2460" i="4"/>
  <c r="BJ2452" i="4"/>
  <c r="BL2452" i="4"/>
  <c r="BK2452" i="4"/>
  <c r="BJ2444" i="4"/>
  <c r="BL2444" i="4"/>
  <c r="BK2444" i="4"/>
  <c r="BJ2436" i="4"/>
  <c r="BL2436" i="4"/>
  <c r="BK2436" i="4"/>
  <c r="BJ2428" i="4"/>
  <c r="BK2428" i="4"/>
  <c r="BL2428" i="4"/>
  <c r="BJ2420" i="4"/>
  <c r="BL2420" i="4"/>
  <c r="BK2420" i="4"/>
  <c r="BJ2412" i="4"/>
  <c r="BL2412" i="4"/>
  <c r="BK2412" i="4"/>
  <c r="BJ2404" i="4"/>
  <c r="BL2404" i="4"/>
  <c r="BK2404" i="4"/>
  <c r="BJ2396" i="4"/>
  <c r="BL2396" i="4"/>
  <c r="BK2396" i="4"/>
  <c r="BJ2388" i="4"/>
  <c r="BL2388" i="4"/>
  <c r="BK2388" i="4"/>
  <c r="BJ2380" i="4"/>
  <c r="BL2380" i="4"/>
  <c r="BK2380" i="4"/>
  <c r="BJ2372" i="4"/>
  <c r="BL2372" i="4"/>
  <c r="BK2372" i="4"/>
  <c r="BJ2364" i="4"/>
  <c r="BL2364" i="4"/>
  <c r="BK2364" i="4"/>
  <c r="BJ2356" i="4"/>
  <c r="BL2356" i="4"/>
  <c r="BK2356" i="4"/>
  <c r="BJ2348" i="4"/>
  <c r="BL2348" i="4"/>
  <c r="BK2348" i="4"/>
  <c r="BJ2340" i="4"/>
  <c r="BL2340" i="4"/>
  <c r="BK2340" i="4"/>
  <c r="BJ2332" i="4"/>
  <c r="BL2332" i="4"/>
  <c r="BK2332" i="4"/>
  <c r="BJ2324" i="4"/>
  <c r="BL2324" i="4"/>
  <c r="BK2324" i="4"/>
  <c r="BJ2316" i="4"/>
  <c r="BL2316" i="4"/>
  <c r="BK2316" i="4"/>
  <c r="BJ2308" i="4"/>
  <c r="BL2308" i="4"/>
  <c r="BK2308" i="4"/>
  <c r="BJ2300" i="4"/>
  <c r="BL2300" i="4"/>
  <c r="BK2300" i="4"/>
  <c r="BJ2292" i="4"/>
  <c r="BL2292" i="4"/>
  <c r="BK2292" i="4"/>
  <c r="BJ2284" i="4"/>
  <c r="BL2284" i="4"/>
  <c r="BK2284" i="4"/>
  <c r="BJ2276" i="4"/>
  <c r="BL2276" i="4"/>
  <c r="BK2276" i="4"/>
  <c r="BJ2268" i="4"/>
  <c r="BL2268" i="4"/>
  <c r="BK2268" i="4"/>
  <c r="BJ2260" i="4"/>
  <c r="BL2260" i="4"/>
  <c r="BK2260" i="4"/>
  <c r="BJ2252" i="4"/>
  <c r="BL2252" i="4"/>
  <c r="BK2252" i="4"/>
  <c r="BJ2244" i="4"/>
  <c r="BL2244" i="4"/>
  <c r="BK2244" i="4"/>
  <c r="BJ2236" i="4"/>
  <c r="BL2236" i="4"/>
  <c r="BK2236" i="4"/>
  <c r="BJ2228" i="4"/>
  <c r="BL2228" i="4"/>
  <c r="BK2228" i="4"/>
  <c r="BJ2220" i="4"/>
  <c r="BL2220" i="4"/>
  <c r="BK2220" i="4"/>
  <c r="BJ2212" i="4"/>
  <c r="BL2212" i="4"/>
  <c r="BK2212" i="4"/>
  <c r="BJ2204" i="4"/>
  <c r="BL2204" i="4"/>
  <c r="BK2204" i="4"/>
  <c r="BJ2196" i="4"/>
  <c r="BL2196" i="4"/>
  <c r="BK2196" i="4"/>
  <c r="BJ2188" i="4"/>
  <c r="BL2188" i="4"/>
  <c r="BK2188" i="4"/>
  <c r="BJ2180" i="4"/>
  <c r="BL2180" i="4"/>
  <c r="BK2180" i="4"/>
  <c r="BJ2172" i="4"/>
  <c r="BL2172" i="4"/>
  <c r="BK2172" i="4"/>
  <c r="BJ2164" i="4"/>
  <c r="BL2164" i="4"/>
  <c r="BK2164" i="4"/>
  <c r="BJ2156" i="4"/>
  <c r="BL2156" i="4"/>
  <c r="BK2156" i="4"/>
  <c r="BJ2148" i="4"/>
  <c r="BL2148" i="4"/>
  <c r="BK2148" i="4"/>
  <c r="BJ2140" i="4"/>
  <c r="BL2140" i="4"/>
  <c r="BK2140" i="4"/>
  <c r="BJ2132" i="4"/>
  <c r="BL2132" i="4"/>
  <c r="BK2132" i="4"/>
  <c r="BJ2124" i="4"/>
  <c r="BL2124" i="4"/>
  <c r="BK2124" i="4"/>
  <c r="BJ2116" i="4"/>
  <c r="BL2116" i="4"/>
  <c r="BK2116" i="4"/>
  <c r="BJ2108" i="4"/>
  <c r="BL2108" i="4"/>
  <c r="BK2108" i="4"/>
  <c r="BJ2100" i="4"/>
  <c r="BL2100" i="4"/>
  <c r="BK2100" i="4"/>
  <c r="BJ2092" i="4"/>
  <c r="BL2092" i="4"/>
  <c r="BK2092" i="4"/>
  <c r="BJ2084" i="4"/>
  <c r="BL2084" i="4"/>
  <c r="BK2084" i="4"/>
  <c r="BJ2076" i="4"/>
  <c r="BL2076" i="4"/>
  <c r="BK2076" i="4"/>
  <c r="BJ2068" i="4"/>
  <c r="BL2068" i="4"/>
  <c r="BK2068" i="4"/>
  <c r="BJ2060" i="4"/>
  <c r="BL2060" i="4"/>
  <c r="BK2060" i="4"/>
  <c r="BJ2052" i="4"/>
  <c r="BL2052" i="4"/>
  <c r="BK2052" i="4"/>
  <c r="BJ2044" i="4"/>
  <c r="BL2044" i="4"/>
  <c r="BK2044" i="4"/>
  <c r="BJ2036" i="4"/>
  <c r="BL2036" i="4"/>
  <c r="BK2036" i="4"/>
  <c r="BJ2028" i="4"/>
  <c r="BL2028" i="4"/>
  <c r="BK2028" i="4"/>
  <c r="BJ2020" i="4"/>
  <c r="BL2020" i="4"/>
  <c r="BK2020" i="4"/>
  <c r="BJ2012" i="4"/>
  <c r="BL2012" i="4"/>
  <c r="BK2012" i="4"/>
  <c r="BJ2004" i="4"/>
  <c r="BL2004" i="4"/>
  <c r="BK2004" i="4"/>
  <c r="BJ1996" i="4"/>
  <c r="BL1996" i="4"/>
  <c r="BK1996" i="4"/>
  <c r="BJ1988" i="4"/>
  <c r="BL1988" i="4"/>
  <c r="BK1988" i="4"/>
  <c r="BJ1980" i="4"/>
  <c r="BL1980" i="4"/>
  <c r="BK1980" i="4"/>
  <c r="BJ1972" i="4"/>
  <c r="BL1972" i="4"/>
  <c r="BK1972" i="4"/>
  <c r="BJ1964" i="4"/>
  <c r="BL1964" i="4"/>
  <c r="BK1964" i="4"/>
  <c r="BJ1956" i="4"/>
  <c r="BL1956" i="4"/>
  <c r="BK1956" i="4"/>
  <c r="BJ1948" i="4"/>
  <c r="BL1948" i="4"/>
  <c r="BK1948" i="4"/>
  <c r="BJ1940" i="4"/>
  <c r="BL1940" i="4"/>
  <c r="BK1940" i="4"/>
  <c r="BJ1932" i="4"/>
  <c r="BL1932" i="4"/>
  <c r="BK1932" i="4"/>
  <c r="BJ1924" i="4"/>
  <c r="BL1924" i="4"/>
  <c r="BK1924" i="4"/>
  <c r="BJ1916" i="4"/>
  <c r="BL1916" i="4"/>
  <c r="BK1916" i="4"/>
  <c r="BJ1908" i="4"/>
  <c r="BL1908" i="4"/>
  <c r="BK1908" i="4"/>
  <c r="BJ1900" i="4"/>
  <c r="BL1900" i="4"/>
  <c r="BK1900" i="4"/>
  <c r="BJ1892" i="4"/>
  <c r="BL1892" i="4"/>
  <c r="BK1892" i="4"/>
  <c r="BJ1884" i="4"/>
  <c r="BL1884" i="4"/>
  <c r="BK1884" i="4"/>
  <c r="BJ1876" i="4"/>
  <c r="BL1876" i="4"/>
  <c r="BK1876" i="4"/>
  <c r="BJ1868" i="4"/>
  <c r="BL1868" i="4"/>
  <c r="BK1868" i="4"/>
  <c r="BJ1860" i="4"/>
  <c r="BL1860" i="4"/>
  <c r="BK1860" i="4"/>
  <c r="BJ1852" i="4"/>
  <c r="BL1852" i="4"/>
  <c r="BK1852" i="4"/>
  <c r="BJ1844" i="4"/>
  <c r="BL1844" i="4"/>
  <c r="BK1844" i="4"/>
  <c r="BJ1836" i="4"/>
  <c r="BL1836" i="4"/>
  <c r="BK1836" i="4"/>
  <c r="BJ1828" i="4"/>
  <c r="BL1828" i="4"/>
  <c r="BK1828" i="4"/>
  <c r="BJ1820" i="4"/>
  <c r="BL1820" i="4"/>
  <c r="BK1820" i="4"/>
  <c r="BJ1812" i="4"/>
  <c r="BL1812" i="4"/>
  <c r="BK1812" i="4"/>
  <c r="BJ1804" i="4"/>
  <c r="BL1804" i="4"/>
  <c r="BK1804" i="4"/>
  <c r="BJ1796" i="4"/>
  <c r="BL1796" i="4"/>
  <c r="BK1796" i="4"/>
  <c r="BJ1788" i="4"/>
  <c r="BL1788" i="4"/>
  <c r="BK1788" i="4"/>
  <c r="BJ1780" i="4"/>
  <c r="BL1780" i="4"/>
  <c r="BK1780" i="4"/>
  <c r="BJ1772" i="4"/>
  <c r="BL1772" i="4"/>
  <c r="BK1772" i="4"/>
  <c r="BJ1764" i="4"/>
  <c r="BL1764" i="4"/>
  <c r="BK1764" i="4"/>
  <c r="BJ1756" i="4"/>
  <c r="BL1756" i="4"/>
  <c r="BK1756" i="4"/>
  <c r="BJ1748" i="4"/>
  <c r="BL1748" i="4"/>
  <c r="BK1748" i="4"/>
  <c r="BJ1740" i="4"/>
  <c r="BL1740" i="4"/>
  <c r="BK1740" i="4"/>
  <c r="BJ1732" i="4"/>
  <c r="BL1732" i="4"/>
  <c r="BK1732" i="4"/>
  <c r="BJ1724" i="4"/>
  <c r="BL1724" i="4"/>
  <c r="BK1724" i="4"/>
  <c r="BJ1716" i="4"/>
  <c r="BL1716" i="4"/>
  <c r="BK1716" i="4"/>
  <c r="BJ1708" i="4"/>
  <c r="BL1708" i="4"/>
  <c r="BK1708" i="4"/>
  <c r="BJ1700" i="4"/>
  <c r="BL1700" i="4"/>
  <c r="BK1700" i="4"/>
  <c r="BJ1692" i="4"/>
  <c r="BL1692" i="4"/>
  <c r="BK1692" i="4"/>
  <c r="BJ1684" i="4"/>
  <c r="BL1684" i="4"/>
  <c r="BK1684" i="4"/>
  <c r="BJ1676" i="4"/>
  <c r="BL1676" i="4"/>
  <c r="BK1676" i="4"/>
  <c r="BJ1668" i="4"/>
  <c r="BL1668" i="4"/>
  <c r="BK1668" i="4"/>
  <c r="BJ1660" i="4"/>
  <c r="BL1660" i="4"/>
  <c r="BK1660" i="4"/>
  <c r="BJ1652" i="4"/>
  <c r="BL1652" i="4"/>
  <c r="BK1652" i="4"/>
  <c r="BJ1644" i="4"/>
  <c r="BL1644" i="4"/>
  <c r="BK1644" i="4"/>
  <c r="BJ1636" i="4"/>
  <c r="BL1636" i="4"/>
  <c r="BK1636" i="4"/>
  <c r="BJ1628" i="4"/>
  <c r="BL1628" i="4"/>
  <c r="BK1628" i="4"/>
  <c r="BJ1620" i="4"/>
  <c r="BL1620" i="4"/>
  <c r="BK1620" i="4"/>
  <c r="BJ1612" i="4"/>
  <c r="BL1612" i="4"/>
  <c r="BK1612" i="4"/>
  <c r="BJ1604" i="4"/>
  <c r="BL1604" i="4"/>
  <c r="BK1604" i="4"/>
  <c r="BJ1596" i="4"/>
  <c r="BL1596" i="4"/>
  <c r="BK1596" i="4"/>
  <c r="BJ1588" i="4"/>
  <c r="BL1588" i="4"/>
  <c r="BK1588" i="4"/>
  <c r="BJ1580" i="4"/>
  <c r="BL1580" i="4"/>
  <c r="BK1580" i="4"/>
  <c r="BJ1572" i="4"/>
  <c r="BL1572" i="4"/>
  <c r="BK1572" i="4"/>
  <c r="BJ1564" i="4"/>
  <c r="BL1564" i="4"/>
  <c r="BK1564" i="4"/>
  <c r="BJ1556" i="4"/>
  <c r="BL1556" i="4"/>
  <c r="BK1556" i="4"/>
  <c r="BJ1548" i="4"/>
  <c r="BL1548" i="4"/>
  <c r="BK1548" i="4"/>
  <c r="BJ1540" i="4"/>
  <c r="BL1540" i="4"/>
  <c r="BK1540" i="4"/>
  <c r="BJ1532" i="4"/>
  <c r="BL1532" i="4"/>
  <c r="BK1532" i="4"/>
  <c r="BJ1524" i="4"/>
  <c r="BL1524" i="4"/>
  <c r="BK1524" i="4"/>
  <c r="BJ1516" i="4"/>
  <c r="BL1516" i="4"/>
  <c r="BK1516" i="4"/>
  <c r="BJ1508" i="4"/>
  <c r="BL1508" i="4"/>
  <c r="BK1508" i="4"/>
  <c r="BJ1500" i="4"/>
  <c r="BL1500" i="4"/>
  <c r="BK1500" i="4"/>
  <c r="BJ1492" i="4"/>
  <c r="BL1492" i="4"/>
  <c r="BK1492" i="4"/>
  <c r="BJ1484" i="4"/>
  <c r="BL1484" i="4"/>
  <c r="BK1484" i="4"/>
  <c r="BJ1476" i="4"/>
  <c r="BL1476" i="4"/>
  <c r="BK1476" i="4"/>
  <c r="BJ1468" i="4"/>
  <c r="BL1468" i="4"/>
  <c r="BK1468" i="4"/>
  <c r="BJ1460" i="4"/>
  <c r="BL1460" i="4"/>
  <c r="BK1460" i="4"/>
  <c r="BJ1452" i="4"/>
  <c r="BL1452" i="4"/>
  <c r="BK1452" i="4"/>
  <c r="BJ1444" i="4"/>
  <c r="BL1444" i="4"/>
  <c r="BK1444" i="4"/>
  <c r="BJ1436" i="4"/>
  <c r="BL1436" i="4"/>
  <c r="BK1436" i="4"/>
  <c r="BJ1428" i="4"/>
  <c r="BL1428" i="4"/>
  <c r="BK1428" i="4"/>
  <c r="BJ1420" i="4"/>
  <c r="BL1420" i="4"/>
  <c r="BK1420" i="4"/>
  <c r="BJ1412" i="4"/>
  <c r="BL1412" i="4"/>
  <c r="BK1412" i="4"/>
  <c r="BJ1404" i="4"/>
  <c r="BL1404" i="4"/>
  <c r="BK1404" i="4"/>
  <c r="BJ1396" i="4"/>
  <c r="BL1396" i="4"/>
  <c r="BK1396" i="4"/>
  <c r="BJ1388" i="4"/>
  <c r="BL1388" i="4"/>
  <c r="BK1388" i="4"/>
  <c r="BJ1380" i="4"/>
  <c r="BL1380" i="4"/>
  <c r="BK1380" i="4"/>
  <c r="BJ1372" i="4"/>
  <c r="BL1372" i="4"/>
  <c r="BK1372" i="4"/>
  <c r="BJ1364" i="4"/>
  <c r="BL1364" i="4"/>
  <c r="BK1364" i="4"/>
  <c r="BJ1356" i="4"/>
  <c r="BL1356" i="4"/>
  <c r="BK1356" i="4"/>
  <c r="BJ1348" i="4"/>
  <c r="BK1348" i="4"/>
  <c r="BL1348" i="4"/>
  <c r="BJ1340" i="4"/>
  <c r="BL1340" i="4"/>
  <c r="BK1340" i="4"/>
  <c r="BJ1332" i="4"/>
  <c r="BL1332" i="4"/>
  <c r="BK1332" i="4"/>
  <c r="BJ1324" i="4"/>
  <c r="BL1324" i="4"/>
  <c r="BK1324" i="4"/>
  <c r="BJ1316" i="4"/>
  <c r="BL1316" i="4"/>
  <c r="BK1316" i="4"/>
  <c r="BJ1308" i="4"/>
  <c r="BL1308" i="4"/>
  <c r="BK1308" i="4"/>
  <c r="BJ1300" i="4"/>
  <c r="BL1300" i="4"/>
  <c r="BK1300" i="4"/>
  <c r="BJ1292" i="4"/>
  <c r="BL1292" i="4"/>
  <c r="BK1292" i="4"/>
  <c r="BJ1284" i="4"/>
  <c r="BL1284" i="4"/>
  <c r="BK1284" i="4"/>
  <c r="BJ1276" i="4"/>
  <c r="BL1276" i="4"/>
  <c r="BK1276" i="4"/>
  <c r="BJ1268" i="4"/>
  <c r="BL1268" i="4"/>
  <c r="BK1268" i="4"/>
  <c r="BJ1260" i="4"/>
  <c r="BL1260" i="4"/>
  <c r="BK1260" i="4"/>
  <c r="BJ1252" i="4"/>
  <c r="BL1252" i="4"/>
  <c r="BK1252" i="4"/>
  <c r="BJ1244" i="4"/>
  <c r="BL1244" i="4"/>
  <c r="BK1244" i="4"/>
  <c r="BJ1236" i="4"/>
  <c r="BL1236" i="4"/>
  <c r="BK1236" i="4"/>
  <c r="BJ1228" i="4"/>
  <c r="BL1228" i="4"/>
  <c r="BK1228" i="4"/>
  <c r="BJ1220" i="4"/>
  <c r="BL1220" i="4"/>
  <c r="BK1220" i="4"/>
  <c r="BJ1212" i="4"/>
  <c r="BL1212" i="4"/>
  <c r="BK1212" i="4"/>
  <c r="BJ1204" i="4"/>
  <c r="BL1204" i="4"/>
  <c r="BK1204" i="4"/>
  <c r="BJ1196" i="4"/>
  <c r="BL1196" i="4"/>
  <c r="BK1196" i="4"/>
  <c r="BJ1188" i="4"/>
  <c r="BL1188" i="4"/>
  <c r="BK1188" i="4"/>
  <c r="BJ1180" i="4"/>
  <c r="BL1180" i="4"/>
  <c r="BK1180" i="4"/>
  <c r="BJ1172" i="4"/>
  <c r="BL1172" i="4"/>
  <c r="BK1172" i="4"/>
  <c r="BJ1164" i="4"/>
  <c r="BL1164" i="4"/>
  <c r="BK1164" i="4"/>
  <c r="BJ1156" i="4"/>
  <c r="BL1156" i="4"/>
  <c r="BK1156" i="4"/>
  <c r="BJ1148" i="4"/>
  <c r="BL1148" i="4"/>
  <c r="BK1148" i="4"/>
  <c r="BJ1140" i="4"/>
  <c r="BL1140" i="4"/>
  <c r="BK1140" i="4"/>
  <c r="BJ1132" i="4"/>
  <c r="BL1132" i="4"/>
  <c r="BK1132" i="4"/>
  <c r="BJ1124" i="4"/>
  <c r="BL1124" i="4"/>
  <c r="BK1124" i="4"/>
  <c r="BJ1116" i="4"/>
  <c r="BL1116" i="4"/>
  <c r="BK1116" i="4"/>
  <c r="BJ1108" i="4"/>
  <c r="BL1108" i="4"/>
  <c r="BK1108" i="4"/>
  <c r="BJ1100" i="4"/>
  <c r="BL1100" i="4"/>
  <c r="BK1100" i="4"/>
  <c r="BJ1092" i="4"/>
  <c r="BL1092" i="4"/>
  <c r="BK1092" i="4"/>
  <c r="BJ1084" i="4"/>
  <c r="BL1084" i="4"/>
  <c r="BK1084" i="4"/>
  <c r="BJ1076" i="4"/>
  <c r="BL1076" i="4"/>
  <c r="BK1076" i="4"/>
  <c r="BJ1068" i="4"/>
  <c r="BL1068" i="4"/>
  <c r="BK1068" i="4"/>
  <c r="BJ1060" i="4"/>
  <c r="BL1060" i="4"/>
  <c r="BK1060" i="4"/>
  <c r="BJ1052" i="4"/>
  <c r="BL1052" i="4"/>
  <c r="BK1052" i="4"/>
  <c r="BJ1044" i="4"/>
  <c r="BL1044" i="4"/>
  <c r="BK1044" i="4"/>
  <c r="BJ1036" i="4"/>
  <c r="BL1036" i="4"/>
  <c r="BK1036" i="4"/>
  <c r="BJ1028" i="4"/>
  <c r="BL1028" i="4"/>
  <c r="BK1028" i="4"/>
  <c r="BJ1020" i="4"/>
  <c r="BL1020" i="4"/>
  <c r="BK1020" i="4"/>
  <c r="BJ1012" i="4"/>
  <c r="BL1012" i="4"/>
  <c r="BK1012" i="4"/>
  <c r="BJ1004" i="4"/>
  <c r="BL1004" i="4"/>
  <c r="BK1004" i="4"/>
  <c r="BJ996" i="4"/>
  <c r="BL996" i="4"/>
  <c r="BK996" i="4"/>
  <c r="BJ988" i="4"/>
  <c r="BL988" i="4"/>
  <c r="BK988" i="4"/>
  <c r="BJ980" i="4"/>
  <c r="BL980" i="4"/>
  <c r="BK980" i="4"/>
  <c r="BJ972" i="4"/>
  <c r="BL972" i="4"/>
  <c r="BK972" i="4"/>
  <c r="BJ964" i="4"/>
  <c r="BL964" i="4"/>
  <c r="BK964" i="4"/>
  <c r="BJ956" i="4"/>
  <c r="BL956" i="4"/>
  <c r="BK956" i="4"/>
  <c r="BJ948" i="4"/>
  <c r="BL948" i="4"/>
  <c r="BK948" i="4"/>
  <c r="BJ940" i="4"/>
  <c r="BL940" i="4"/>
  <c r="BK940" i="4"/>
  <c r="BJ932" i="4"/>
  <c r="BL932" i="4"/>
  <c r="BK932" i="4"/>
  <c r="BJ924" i="4"/>
  <c r="BL924" i="4"/>
  <c r="BK924" i="4"/>
  <c r="BJ916" i="4"/>
  <c r="BL916" i="4"/>
  <c r="BK916" i="4"/>
  <c r="BJ908" i="4"/>
  <c r="BL908" i="4"/>
  <c r="BK908" i="4"/>
  <c r="BJ900" i="4"/>
  <c r="BL900" i="4"/>
  <c r="BK900" i="4"/>
  <c r="BJ892" i="4"/>
  <c r="BL892" i="4"/>
  <c r="BK892" i="4"/>
  <c r="BJ884" i="4"/>
  <c r="BL884" i="4"/>
  <c r="BK884" i="4"/>
  <c r="BJ876" i="4"/>
  <c r="BL876" i="4"/>
  <c r="BK876" i="4"/>
  <c r="BJ868" i="4"/>
  <c r="BL868" i="4"/>
  <c r="BK868" i="4"/>
  <c r="BJ860" i="4"/>
  <c r="BL860" i="4"/>
  <c r="BK860" i="4"/>
  <c r="BJ852" i="4"/>
  <c r="BL852" i="4"/>
  <c r="BK852" i="4"/>
  <c r="BJ844" i="4"/>
  <c r="BL844" i="4"/>
  <c r="BK844" i="4"/>
  <c r="BJ836" i="4"/>
  <c r="BL836" i="4"/>
  <c r="BK836" i="4"/>
  <c r="BJ828" i="4"/>
  <c r="BL828" i="4"/>
  <c r="BK828" i="4"/>
  <c r="BJ820" i="4"/>
  <c r="BL820" i="4"/>
  <c r="BK820" i="4"/>
  <c r="BJ812" i="4"/>
  <c r="BL812" i="4"/>
  <c r="BK812" i="4"/>
  <c r="BJ804" i="4"/>
  <c r="BL804" i="4"/>
  <c r="BK804" i="4"/>
  <c r="BJ796" i="4"/>
  <c r="BL796" i="4"/>
  <c r="BK796" i="4"/>
  <c r="BJ788" i="4"/>
  <c r="BL788" i="4"/>
  <c r="BK788" i="4"/>
  <c r="BJ780" i="4"/>
  <c r="BL780" i="4"/>
  <c r="BK780" i="4"/>
  <c r="BJ772" i="4"/>
  <c r="BL772" i="4"/>
  <c r="BK772" i="4"/>
  <c r="BJ764" i="4"/>
  <c r="BL764" i="4"/>
  <c r="BK764" i="4"/>
  <c r="BJ756" i="4"/>
  <c r="BL756" i="4"/>
  <c r="BK756" i="4"/>
  <c r="BJ748" i="4"/>
  <c r="BL748" i="4"/>
  <c r="BK748" i="4"/>
  <c r="BJ740" i="4"/>
  <c r="BL740" i="4"/>
  <c r="BK740" i="4"/>
  <c r="BJ732" i="4"/>
  <c r="BL732" i="4"/>
  <c r="BK732" i="4"/>
  <c r="BJ724" i="4"/>
  <c r="BL724" i="4"/>
  <c r="BK724" i="4"/>
  <c r="BJ716" i="4"/>
  <c r="BL716" i="4"/>
  <c r="BK716" i="4"/>
  <c r="BJ708" i="4"/>
  <c r="BL708" i="4"/>
  <c r="BK708" i="4"/>
  <c r="BJ700" i="4"/>
  <c r="BL700" i="4"/>
  <c r="BK700" i="4"/>
  <c r="BJ692" i="4"/>
  <c r="BL692" i="4"/>
  <c r="BK692" i="4"/>
  <c r="BJ684" i="4"/>
  <c r="BL684" i="4"/>
  <c r="BK684" i="4"/>
  <c r="BJ676" i="4"/>
  <c r="BL676" i="4"/>
  <c r="BK676" i="4"/>
  <c r="BJ668" i="4"/>
  <c r="BL668" i="4"/>
  <c r="BK668" i="4"/>
  <c r="BJ660" i="4"/>
  <c r="BL660" i="4"/>
  <c r="BK660" i="4"/>
  <c r="BJ652" i="4"/>
  <c r="BL652" i="4"/>
  <c r="BK652" i="4"/>
  <c r="BJ644" i="4"/>
  <c r="BL644" i="4"/>
  <c r="BK644" i="4"/>
  <c r="BJ636" i="4"/>
  <c r="BL636" i="4"/>
  <c r="BK636" i="4"/>
  <c r="BJ628" i="4"/>
  <c r="BL628" i="4"/>
  <c r="BK628" i="4"/>
  <c r="BJ620" i="4"/>
  <c r="BL620" i="4"/>
  <c r="BK620" i="4"/>
  <c r="BJ612" i="4"/>
  <c r="BL612" i="4"/>
  <c r="BK612" i="4"/>
  <c r="BJ604" i="4"/>
  <c r="BL604" i="4"/>
  <c r="BK604" i="4"/>
  <c r="BJ596" i="4"/>
  <c r="BL596" i="4"/>
  <c r="BK596" i="4"/>
  <c r="BJ588" i="4"/>
  <c r="BL588" i="4"/>
  <c r="BK588" i="4"/>
  <c r="BJ580" i="4"/>
  <c r="BL580" i="4"/>
  <c r="BK580" i="4"/>
  <c r="BJ572" i="4"/>
  <c r="BL572" i="4"/>
  <c r="BK572" i="4"/>
  <c r="BJ564" i="4"/>
  <c r="BL564" i="4"/>
  <c r="BK564" i="4"/>
  <c r="BJ556" i="4"/>
  <c r="BL556" i="4"/>
  <c r="BK556" i="4"/>
  <c r="BJ548" i="4"/>
  <c r="BL548" i="4"/>
  <c r="BK548" i="4"/>
  <c r="BJ540" i="4"/>
  <c r="BL540" i="4"/>
  <c r="BK540" i="4"/>
  <c r="BJ532" i="4"/>
  <c r="BL532" i="4"/>
  <c r="BK532" i="4"/>
  <c r="BJ524" i="4"/>
  <c r="BL524" i="4"/>
  <c r="BK524" i="4"/>
  <c r="BJ516" i="4"/>
  <c r="BL516" i="4"/>
  <c r="BK516" i="4"/>
  <c r="BJ508" i="4"/>
  <c r="BL508" i="4"/>
  <c r="BK508" i="4"/>
  <c r="BJ500" i="4"/>
  <c r="BL500" i="4"/>
  <c r="BK500" i="4"/>
  <c r="BJ492" i="4"/>
  <c r="BL492" i="4"/>
  <c r="BK492" i="4"/>
  <c r="BJ484" i="4"/>
  <c r="BL484" i="4"/>
  <c r="BK484" i="4"/>
  <c r="BJ476" i="4"/>
  <c r="BL476" i="4"/>
  <c r="BK476" i="4"/>
  <c r="BJ468" i="4"/>
  <c r="BL468" i="4"/>
  <c r="BK468" i="4"/>
  <c r="BJ460" i="4"/>
  <c r="BL460" i="4"/>
  <c r="BK460" i="4"/>
  <c r="BJ452" i="4"/>
  <c r="BL452" i="4"/>
  <c r="BK452" i="4"/>
  <c r="BJ444" i="4"/>
  <c r="BL444" i="4"/>
  <c r="BK444" i="4"/>
  <c r="BJ436" i="4"/>
  <c r="BL436" i="4"/>
  <c r="BK436" i="4"/>
  <c r="BJ428" i="4"/>
  <c r="BL428" i="4"/>
  <c r="BK428" i="4"/>
  <c r="BJ420" i="4"/>
  <c r="BL420" i="4"/>
  <c r="BK420" i="4"/>
  <c r="BJ412" i="4"/>
  <c r="BL412" i="4"/>
  <c r="BK412" i="4"/>
  <c r="BJ404" i="4"/>
  <c r="BL404" i="4"/>
  <c r="BK404" i="4"/>
  <c r="BJ396" i="4"/>
  <c r="BL396" i="4"/>
  <c r="BK396" i="4"/>
  <c r="BJ388" i="4"/>
  <c r="BL388" i="4"/>
  <c r="BK388" i="4"/>
  <c r="BJ380" i="4"/>
  <c r="BL380" i="4"/>
  <c r="BK380" i="4"/>
  <c r="BJ372" i="4"/>
  <c r="BL372" i="4"/>
  <c r="BK372" i="4"/>
  <c r="BJ364" i="4"/>
  <c r="BL364" i="4"/>
  <c r="BK364" i="4"/>
  <c r="BJ356" i="4"/>
  <c r="BL356" i="4"/>
  <c r="BK356" i="4"/>
  <c r="BJ348" i="4"/>
  <c r="BL348" i="4"/>
  <c r="BK348" i="4"/>
  <c r="BJ340" i="4"/>
  <c r="BL340" i="4"/>
  <c r="BK340" i="4"/>
  <c r="BJ332" i="4"/>
  <c r="BL332" i="4"/>
  <c r="BK332" i="4"/>
  <c r="BJ324" i="4"/>
  <c r="BL324" i="4"/>
  <c r="BK324" i="4"/>
  <c r="BJ5288" i="4"/>
  <c r="BL5288" i="4"/>
  <c r="BK5288" i="4"/>
  <c r="BJ5224" i="4"/>
  <c r="BL5224" i="4"/>
  <c r="BK5224" i="4"/>
  <c r="BJ5160" i="4"/>
  <c r="BL5160" i="4"/>
  <c r="BK5160" i="4"/>
  <c r="BJ5096" i="4"/>
  <c r="BL5096" i="4"/>
  <c r="BK5096" i="4"/>
  <c r="BJ5040" i="4"/>
  <c r="BL5040" i="4"/>
  <c r="BK5040" i="4"/>
  <c r="BJ4984" i="4"/>
  <c r="BL4984" i="4"/>
  <c r="BK4984" i="4"/>
  <c r="BJ4920" i="4"/>
  <c r="BL4920" i="4"/>
  <c r="BK4920" i="4"/>
  <c r="BJ4864" i="4"/>
  <c r="BL4864" i="4"/>
  <c r="BK4864" i="4"/>
  <c r="BJ4816" i="4"/>
  <c r="BL4816" i="4"/>
  <c r="BK4816" i="4"/>
  <c r="BJ4768" i="4"/>
  <c r="BL4768" i="4"/>
  <c r="BK4768" i="4"/>
  <c r="BJ4704" i="4"/>
  <c r="BK4704" i="4"/>
  <c r="BL4704" i="4"/>
  <c r="BJ4656" i="4"/>
  <c r="BK4656" i="4"/>
  <c r="BL4656" i="4"/>
  <c r="BJ4600" i="4"/>
  <c r="BL4600" i="4"/>
  <c r="BK4600" i="4"/>
  <c r="BJ4544" i="4"/>
  <c r="BK4544" i="4"/>
  <c r="BL4544" i="4"/>
  <c r="BJ4488" i="4"/>
  <c r="BL4488" i="4"/>
  <c r="BK4488" i="4"/>
  <c r="BJ4424" i="4"/>
  <c r="BL4424" i="4"/>
  <c r="BK4424" i="4"/>
  <c r="BJ4368" i="4"/>
  <c r="BL4368" i="4"/>
  <c r="BK4368" i="4"/>
  <c r="BJ4312" i="4"/>
  <c r="BK4312" i="4"/>
  <c r="BL4312" i="4"/>
  <c r="BJ4264" i="4"/>
  <c r="BL4264" i="4"/>
  <c r="BK4264" i="4"/>
  <c r="BJ4208" i="4"/>
  <c r="BL4208" i="4"/>
  <c r="BK4208" i="4"/>
  <c r="BJ4144" i="4"/>
  <c r="BL4144" i="4"/>
  <c r="BK4144" i="4"/>
  <c r="BJ4080" i="4"/>
  <c r="BL4080" i="4"/>
  <c r="BK4080" i="4"/>
  <c r="BJ4024" i="4"/>
  <c r="BL4024" i="4"/>
  <c r="BK4024" i="4"/>
  <c r="BJ3968" i="4"/>
  <c r="BL3968" i="4"/>
  <c r="BK3968" i="4"/>
  <c r="BJ3912" i="4"/>
  <c r="BL3912" i="4"/>
  <c r="BK3912" i="4"/>
  <c r="BJ3856" i="4"/>
  <c r="BL3856" i="4"/>
  <c r="BK3856" i="4"/>
  <c r="BJ3808" i="4"/>
  <c r="BL3808" i="4"/>
  <c r="BK3808" i="4"/>
  <c r="BJ3752" i="4"/>
  <c r="BL3752" i="4"/>
  <c r="BK3752" i="4"/>
  <c r="BJ3688" i="4"/>
  <c r="BL3688" i="4"/>
  <c r="BK3688" i="4"/>
  <c r="BJ3632" i="4"/>
  <c r="BL3632" i="4"/>
  <c r="BK3632" i="4"/>
  <c r="BJ3576" i="4"/>
  <c r="BL3576" i="4"/>
  <c r="BK3576" i="4"/>
  <c r="BJ3520" i="4"/>
  <c r="BL3520" i="4"/>
  <c r="BK3520" i="4"/>
  <c r="BJ3472" i="4"/>
  <c r="BL3472" i="4"/>
  <c r="BK3472" i="4"/>
  <c r="BJ3416" i="4"/>
  <c r="BL3416" i="4"/>
  <c r="BK3416" i="4"/>
  <c r="BJ3368" i="4"/>
  <c r="BL3368" i="4"/>
  <c r="BK3368" i="4"/>
  <c r="BJ3312" i="4"/>
  <c r="BL3312" i="4"/>
  <c r="BK3312" i="4"/>
  <c r="BJ3256" i="4"/>
  <c r="BL3256" i="4"/>
  <c r="BK3256" i="4"/>
  <c r="BJ3208" i="4"/>
  <c r="BL3208" i="4"/>
  <c r="BK3208" i="4"/>
  <c r="BJ3144" i="4"/>
  <c r="BL3144" i="4"/>
  <c r="BK3144" i="4"/>
  <c r="BJ3088" i="4"/>
  <c r="BL3088" i="4"/>
  <c r="BK3088" i="4"/>
  <c r="BJ3032" i="4"/>
  <c r="BL3032" i="4"/>
  <c r="BK3032" i="4"/>
  <c r="BJ2984" i="4"/>
  <c r="BL2984" i="4"/>
  <c r="BK2984" i="4"/>
  <c r="BJ2928" i="4"/>
  <c r="BL2928" i="4"/>
  <c r="BK2928" i="4"/>
  <c r="BJ2872" i="4"/>
  <c r="BL2872" i="4"/>
  <c r="BK2872" i="4"/>
  <c r="BJ2816" i="4"/>
  <c r="BL2816" i="4"/>
  <c r="BK2816" i="4"/>
  <c r="BJ2760" i="4"/>
  <c r="BL2760" i="4"/>
  <c r="BK2760" i="4"/>
  <c r="BJ2712" i="4"/>
  <c r="BL2712" i="4"/>
  <c r="BK2712" i="4"/>
  <c r="BJ2656" i="4"/>
  <c r="BL2656" i="4"/>
  <c r="BK2656" i="4"/>
  <c r="BJ2600" i="4"/>
  <c r="BL2600" i="4"/>
  <c r="BK2600" i="4"/>
  <c r="BJ2528" i="4"/>
  <c r="BL2528" i="4"/>
  <c r="BK2528" i="4"/>
  <c r="BJ2464" i="4"/>
  <c r="BL2464" i="4"/>
  <c r="BK2464" i="4"/>
  <c r="BJ2416" i="4"/>
  <c r="BL2416" i="4"/>
  <c r="BK2416" i="4"/>
  <c r="BJ2360" i="4"/>
  <c r="BL2360" i="4"/>
  <c r="BK2360" i="4"/>
  <c r="BJ2304" i="4"/>
  <c r="BL2304" i="4"/>
  <c r="BK2304" i="4"/>
  <c r="BJ2264" i="4"/>
  <c r="BL2264" i="4"/>
  <c r="BK2264" i="4"/>
  <c r="BJ2208" i="4"/>
  <c r="BL2208" i="4"/>
  <c r="BK2208" i="4"/>
  <c r="BJ2144" i="4"/>
  <c r="BL2144" i="4"/>
  <c r="BK2144" i="4"/>
  <c r="BJ2088" i="4"/>
  <c r="BL2088" i="4"/>
  <c r="BK2088" i="4"/>
  <c r="BJ1992" i="4"/>
  <c r="BL1992" i="4"/>
  <c r="BK1992" i="4"/>
  <c r="BJ1936" i="4"/>
  <c r="BL1936" i="4"/>
  <c r="BK1936" i="4"/>
  <c r="BJ1880" i="4"/>
  <c r="BL1880" i="4"/>
  <c r="BK1880" i="4"/>
  <c r="BJ1824" i="4"/>
  <c r="BL1824" i="4"/>
  <c r="BK1824" i="4"/>
  <c r="BJ1776" i="4"/>
  <c r="BL1776" i="4"/>
  <c r="BK1776" i="4"/>
  <c r="BJ1728" i="4"/>
  <c r="BL1728" i="4"/>
  <c r="BK1728" i="4"/>
  <c r="BJ1688" i="4"/>
  <c r="BL1688" i="4"/>
  <c r="BK1688" i="4"/>
  <c r="BJ1624" i="4"/>
  <c r="BL1624" i="4"/>
  <c r="BK1624" i="4"/>
  <c r="BJ1568" i="4"/>
  <c r="BL1568" i="4"/>
  <c r="BK1568" i="4"/>
  <c r="BJ1512" i="4"/>
  <c r="BL1512" i="4"/>
  <c r="BK1512" i="4"/>
  <c r="BJ1456" i="4"/>
  <c r="BL1456" i="4"/>
  <c r="BK1456" i="4"/>
  <c r="BJ1376" i="4"/>
  <c r="BL1376" i="4"/>
  <c r="BK1376" i="4"/>
  <c r="BJ1328" i="4"/>
  <c r="BL1328" i="4"/>
  <c r="BK1328" i="4"/>
  <c r="BJ1264" i="4"/>
  <c r="BL1264" i="4"/>
  <c r="BK1264" i="4"/>
  <c r="BJ1192" i="4"/>
  <c r="BL1192" i="4"/>
  <c r="BK1192" i="4"/>
  <c r="BJ1144" i="4"/>
  <c r="BL1144" i="4"/>
  <c r="BK1144" i="4"/>
  <c r="BJ1088" i="4"/>
  <c r="BL1088" i="4"/>
  <c r="BK1088" i="4"/>
  <c r="BJ1032" i="4"/>
  <c r="BL1032" i="4"/>
  <c r="BK1032" i="4"/>
  <c r="BJ976" i="4"/>
  <c r="BL976" i="4"/>
  <c r="BK976" i="4"/>
  <c r="BJ928" i="4"/>
  <c r="BL928" i="4"/>
  <c r="BK928" i="4"/>
  <c r="BJ880" i="4"/>
  <c r="BL880" i="4"/>
  <c r="BK880" i="4"/>
  <c r="BJ824" i="4"/>
  <c r="BL824" i="4"/>
  <c r="BK824" i="4"/>
  <c r="BJ776" i="4"/>
  <c r="BL776" i="4"/>
  <c r="BK776" i="4"/>
  <c r="BJ744" i="4"/>
  <c r="BL744" i="4"/>
  <c r="BK744" i="4"/>
  <c r="BJ688" i="4"/>
  <c r="BL688" i="4"/>
  <c r="BK688" i="4"/>
  <c r="BJ640" i="4"/>
  <c r="BL640" i="4"/>
  <c r="BK640" i="4"/>
  <c r="BJ584" i="4"/>
  <c r="BL584" i="4"/>
  <c r="BK584" i="4"/>
  <c r="BJ528" i="4"/>
  <c r="BL528" i="4"/>
  <c r="BK528" i="4"/>
  <c r="BJ480" i="4"/>
  <c r="BL480" i="4"/>
  <c r="BK480" i="4"/>
  <c r="BJ424" i="4"/>
  <c r="BL424" i="4"/>
  <c r="BK424" i="4"/>
  <c r="BJ376" i="4"/>
  <c r="BL376" i="4"/>
  <c r="BK376" i="4"/>
  <c r="BJ320" i="4"/>
  <c r="BL320" i="4"/>
  <c r="BK320" i="4"/>
  <c r="BJ5331" i="4"/>
  <c r="BL5331" i="4"/>
  <c r="BK5331" i="4"/>
  <c r="BJ5323" i="4"/>
  <c r="BL5323" i="4"/>
  <c r="BK5323" i="4"/>
  <c r="BJ5315" i="4"/>
  <c r="BL5315" i="4"/>
  <c r="BK5315" i="4"/>
  <c r="BJ5307" i="4"/>
  <c r="BL5307" i="4"/>
  <c r="BK5307" i="4"/>
  <c r="BJ5299" i="4"/>
  <c r="BL5299" i="4"/>
  <c r="BK5299" i="4"/>
  <c r="BJ5291" i="4"/>
  <c r="BL5291" i="4"/>
  <c r="BK5291" i="4"/>
  <c r="BJ5283" i="4"/>
  <c r="BL5283" i="4"/>
  <c r="BK5283" i="4"/>
  <c r="BJ5275" i="4"/>
  <c r="BL5275" i="4"/>
  <c r="BK5275" i="4"/>
  <c r="BJ5267" i="4"/>
  <c r="BL5267" i="4"/>
  <c r="BK5267" i="4"/>
  <c r="BJ5259" i="4"/>
  <c r="BL5259" i="4"/>
  <c r="BK5259" i="4"/>
  <c r="BJ5251" i="4"/>
  <c r="BL5251" i="4"/>
  <c r="BK5251" i="4"/>
  <c r="BJ5243" i="4"/>
  <c r="BL5243" i="4"/>
  <c r="BK5243" i="4"/>
  <c r="BJ5235" i="4"/>
  <c r="BL5235" i="4"/>
  <c r="BK5235" i="4"/>
  <c r="BJ5227" i="4"/>
  <c r="BL5227" i="4"/>
  <c r="BK5227" i="4"/>
  <c r="BJ5219" i="4"/>
  <c r="BL5219" i="4"/>
  <c r="BK5219" i="4"/>
  <c r="BJ5211" i="4"/>
  <c r="BL5211" i="4"/>
  <c r="BK5211" i="4"/>
  <c r="BJ5203" i="4"/>
  <c r="BL5203" i="4"/>
  <c r="BK5203" i="4"/>
  <c r="BJ5195" i="4"/>
  <c r="BL5195" i="4"/>
  <c r="BK5195" i="4"/>
  <c r="BJ5187" i="4"/>
  <c r="BL5187" i="4"/>
  <c r="BK5187" i="4"/>
  <c r="BJ5179" i="4"/>
  <c r="BL5179" i="4"/>
  <c r="BK5179" i="4"/>
  <c r="BJ5171" i="4"/>
  <c r="BL5171" i="4"/>
  <c r="BK5171" i="4"/>
  <c r="BJ5163" i="4"/>
  <c r="BL5163" i="4"/>
  <c r="BK5163" i="4"/>
  <c r="BJ5155" i="4"/>
  <c r="BL5155" i="4"/>
  <c r="BK5155" i="4"/>
  <c r="BJ5147" i="4"/>
  <c r="BL5147" i="4"/>
  <c r="BK5147" i="4"/>
  <c r="BJ5139" i="4"/>
  <c r="BL5139" i="4"/>
  <c r="BK5139" i="4"/>
  <c r="BJ5131" i="4"/>
  <c r="BL5131" i="4"/>
  <c r="BK5131" i="4"/>
  <c r="BJ5123" i="4"/>
  <c r="BL5123" i="4"/>
  <c r="BK5123" i="4"/>
  <c r="BJ5115" i="4"/>
  <c r="BL5115" i="4"/>
  <c r="BK5115" i="4"/>
  <c r="BJ5107" i="4"/>
  <c r="BL5107" i="4"/>
  <c r="BK5107" i="4"/>
  <c r="BJ5099" i="4"/>
  <c r="BL5099" i="4"/>
  <c r="BK5099" i="4"/>
  <c r="BJ5091" i="4"/>
  <c r="BL5091" i="4"/>
  <c r="BK5091" i="4"/>
  <c r="BJ5083" i="4"/>
  <c r="BL5083" i="4"/>
  <c r="BK5083" i="4"/>
  <c r="BJ5075" i="4"/>
  <c r="BL5075" i="4"/>
  <c r="BK5075" i="4"/>
  <c r="BJ5067" i="4"/>
  <c r="BL5067" i="4"/>
  <c r="BK5067" i="4"/>
  <c r="BJ5059" i="4"/>
  <c r="BL5059" i="4"/>
  <c r="BK5059" i="4"/>
  <c r="BJ5051" i="4"/>
  <c r="BL5051" i="4"/>
  <c r="BK5051" i="4"/>
  <c r="BJ5043" i="4"/>
  <c r="BL5043" i="4"/>
  <c r="BK5043" i="4"/>
  <c r="BJ5035" i="4"/>
  <c r="BL5035" i="4"/>
  <c r="BK5035" i="4"/>
  <c r="BJ5027" i="4"/>
  <c r="BL5027" i="4"/>
  <c r="BK5027" i="4"/>
  <c r="BJ5019" i="4"/>
  <c r="BL5019" i="4"/>
  <c r="BK5019" i="4"/>
  <c r="BJ5011" i="4"/>
  <c r="BL5011" i="4"/>
  <c r="BK5011" i="4"/>
  <c r="BJ5003" i="4"/>
  <c r="BL5003" i="4"/>
  <c r="BK5003" i="4"/>
  <c r="BJ4995" i="4"/>
  <c r="BL4995" i="4"/>
  <c r="BK4995" i="4"/>
  <c r="BJ4987" i="4"/>
  <c r="BL4987" i="4"/>
  <c r="BK4987" i="4"/>
  <c r="BJ4979" i="4"/>
  <c r="BL4979" i="4"/>
  <c r="BK4979" i="4"/>
  <c r="BJ4971" i="4"/>
  <c r="BL4971" i="4"/>
  <c r="BK4971" i="4"/>
  <c r="BJ4963" i="4"/>
  <c r="BL4963" i="4"/>
  <c r="BK4963" i="4"/>
  <c r="BJ4955" i="4"/>
  <c r="BL4955" i="4"/>
  <c r="BK4955" i="4"/>
  <c r="BJ4947" i="4"/>
  <c r="BL4947" i="4"/>
  <c r="BK4947" i="4"/>
  <c r="BJ4939" i="4"/>
  <c r="BL4939" i="4"/>
  <c r="BK4939" i="4"/>
  <c r="BJ4931" i="4"/>
  <c r="BL4931" i="4"/>
  <c r="BK4931" i="4"/>
  <c r="BJ4923" i="4"/>
  <c r="BL4923" i="4"/>
  <c r="BK4923" i="4"/>
  <c r="BJ4915" i="4"/>
  <c r="BL4915" i="4"/>
  <c r="BK4915" i="4"/>
  <c r="BJ4907" i="4"/>
  <c r="BL4907" i="4"/>
  <c r="BK4907" i="4"/>
  <c r="BJ4899" i="4"/>
  <c r="BL4899" i="4"/>
  <c r="BK4899" i="4"/>
  <c r="BJ4891" i="4"/>
  <c r="BL4891" i="4"/>
  <c r="BK4891" i="4"/>
  <c r="BJ4883" i="4"/>
  <c r="BL4883" i="4"/>
  <c r="BK4883" i="4"/>
  <c r="BJ4875" i="4"/>
  <c r="BL4875" i="4"/>
  <c r="BK4875" i="4"/>
  <c r="BJ4867" i="4"/>
  <c r="BL4867" i="4"/>
  <c r="BK4867" i="4"/>
  <c r="BJ4859" i="4"/>
  <c r="BL4859" i="4"/>
  <c r="BK4859" i="4"/>
  <c r="BJ4851" i="4"/>
  <c r="BL4851" i="4"/>
  <c r="BK4851" i="4"/>
  <c r="BJ4843" i="4"/>
  <c r="BL4843" i="4"/>
  <c r="BK4843" i="4"/>
  <c r="BJ4835" i="4"/>
  <c r="BL4835" i="4"/>
  <c r="BK4835" i="4"/>
  <c r="BJ4827" i="4"/>
  <c r="BL4827" i="4"/>
  <c r="BK4827" i="4"/>
  <c r="BJ4819" i="4"/>
  <c r="BL4819" i="4"/>
  <c r="BK4819" i="4"/>
  <c r="BJ4811" i="4"/>
  <c r="BL4811" i="4"/>
  <c r="BK4811" i="4"/>
  <c r="BJ4803" i="4"/>
  <c r="BL4803" i="4"/>
  <c r="BK4803" i="4"/>
  <c r="BJ4795" i="4"/>
  <c r="BL4795" i="4"/>
  <c r="BK4795" i="4"/>
  <c r="BJ4787" i="4"/>
  <c r="BL4787" i="4"/>
  <c r="BK4787" i="4"/>
  <c r="BJ4779" i="4"/>
  <c r="BL4779" i="4"/>
  <c r="BK4779" i="4"/>
  <c r="BJ4771" i="4"/>
  <c r="BL4771" i="4"/>
  <c r="BK4771" i="4"/>
  <c r="BJ4763" i="4"/>
  <c r="BL4763" i="4"/>
  <c r="BK4763" i="4"/>
  <c r="BJ4755" i="4"/>
  <c r="BL4755" i="4"/>
  <c r="BK4755" i="4"/>
  <c r="BJ4747" i="4"/>
  <c r="BL4747" i="4"/>
  <c r="BK4747" i="4"/>
  <c r="BJ4739" i="4"/>
  <c r="BL4739" i="4"/>
  <c r="BK4739" i="4"/>
  <c r="BJ4731" i="4"/>
  <c r="BL4731" i="4"/>
  <c r="BK4731" i="4"/>
  <c r="BJ4723" i="4"/>
  <c r="BL4723" i="4"/>
  <c r="BK4723" i="4"/>
  <c r="BJ4715" i="4"/>
  <c r="BL4715" i="4"/>
  <c r="BK4715" i="4"/>
  <c r="BJ4707" i="4"/>
  <c r="BL4707" i="4"/>
  <c r="BK4707" i="4"/>
  <c r="BJ4699" i="4"/>
  <c r="BL4699" i="4"/>
  <c r="BK4699" i="4"/>
  <c r="BJ4691" i="4"/>
  <c r="BL4691" i="4"/>
  <c r="BK4691" i="4"/>
  <c r="BJ4683" i="4"/>
  <c r="BL4683" i="4"/>
  <c r="BK4683" i="4"/>
  <c r="BJ4675" i="4"/>
  <c r="BL4675" i="4"/>
  <c r="BK4675" i="4"/>
  <c r="BJ4667" i="4"/>
  <c r="BL4667" i="4"/>
  <c r="BK4667" i="4"/>
  <c r="BJ4659" i="4"/>
  <c r="BL4659" i="4"/>
  <c r="BK4659" i="4"/>
  <c r="BJ4651" i="4"/>
  <c r="BL4651" i="4"/>
  <c r="BK4651" i="4"/>
  <c r="BJ4643" i="4"/>
  <c r="BL4643" i="4"/>
  <c r="BK4643" i="4"/>
  <c r="BJ4635" i="4"/>
  <c r="BL4635" i="4"/>
  <c r="BK4635" i="4"/>
  <c r="BJ4627" i="4"/>
  <c r="BL4627" i="4"/>
  <c r="BK4627" i="4"/>
  <c r="BJ4619" i="4"/>
  <c r="BL4619" i="4"/>
  <c r="BK4619" i="4"/>
  <c r="BJ4611" i="4"/>
  <c r="BL4611" i="4"/>
  <c r="BK4611" i="4"/>
  <c r="BJ4603" i="4"/>
  <c r="BL4603" i="4"/>
  <c r="BK4603" i="4"/>
  <c r="BJ4595" i="4"/>
  <c r="BL4595" i="4"/>
  <c r="BK4595" i="4"/>
  <c r="BJ4587" i="4"/>
  <c r="BL4587" i="4"/>
  <c r="BK4587" i="4"/>
  <c r="BJ4579" i="4"/>
  <c r="BL4579" i="4"/>
  <c r="BK4579" i="4"/>
  <c r="BJ4571" i="4"/>
  <c r="BL4571" i="4"/>
  <c r="BK4571" i="4"/>
  <c r="BJ4563" i="4"/>
  <c r="BL4563" i="4"/>
  <c r="BK4563" i="4"/>
  <c r="BJ4555" i="4"/>
  <c r="BL4555" i="4"/>
  <c r="BK4555" i="4"/>
  <c r="BJ4547" i="4"/>
  <c r="BL4547" i="4"/>
  <c r="BK4547" i="4"/>
  <c r="BJ4539" i="4"/>
  <c r="BL4539" i="4"/>
  <c r="BK4539" i="4"/>
  <c r="BJ4531" i="4"/>
  <c r="BL4531" i="4"/>
  <c r="BK4531" i="4"/>
  <c r="BJ4523" i="4"/>
  <c r="BL4523" i="4"/>
  <c r="BK4523" i="4"/>
  <c r="BJ4515" i="4"/>
  <c r="BL4515" i="4"/>
  <c r="BK4515" i="4"/>
  <c r="BJ4507" i="4"/>
  <c r="BL4507" i="4"/>
  <c r="BK4507" i="4"/>
  <c r="BJ4499" i="4"/>
  <c r="BL4499" i="4"/>
  <c r="BK4499" i="4"/>
  <c r="BJ4491" i="4"/>
  <c r="BL4491" i="4"/>
  <c r="BK4491" i="4"/>
  <c r="BJ4483" i="4"/>
  <c r="BL4483" i="4"/>
  <c r="BK4483" i="4"/>
  <c r="BJ4475" i="4"/>
  <c r="BL4475" i="4"/>
  <c r="BK4475" i="4"/>
  <c r="BJ4467" i="4"/>
  <c r="BL4467" i="4"/>
  <c r="BK4467" i="4"/>
  <c r="BJ4459" i="4"/>
  <c r="BL4459" i="4"/>
  <c r="BK4459" i="4"/>
  <c r="BJ4451" i="4"/>
  <c r="BL4451" i="4"/>
  <c r="BK4451" i="4"/>
  <c r="BJ4443" i="4"/>
  <c r="BL4443" i="4"/>
  <c r="BK4443" i="4"/>
  <c r="BJ4435" i="4"/>
  <c r="BL4435" i="4"/>
  <c r="BK4435" i="4"/>
  <c r="BJ4427" i="4"/>
  <c r="BL4427" i="4"/>
  <c r="BK4427" i="4"/>
  <c r="BJ4419" i="4"/>
  <c r="BL4419" i="4"/>
  <c r="BK4419" i="4"/>
  <c r="BJ4411" i="4"/>
  <c r="BL4411" i="4"/>
  <c r="BK4411" i="4"/>
  <c r="BJ4403" i="4"/>
  <c r="BL4403" i="4"/>
  <c r="BK4403" i="4"/>
  <c r="BJ4395" i="4"/>
  <c r="BL4395" i="4"/>
  <c r="BK4395" i="4"/>
  <c r="BJ4387" i="4"/>
  <c r="BL4387" i="4"/>
  <c r="BK4387" i="4"/>
  <c r="BJ4379" i="4"/>
  <c r="BL4379" i="4"/>
  <c r="BK4379" i="4"/>
  <c r="BJ4371" i="4"/>
  <c r="BL4371" i="4"/>
  <c r="BK4371" i="4"/>
  <c r="BJ4363" i="4"/>
  <c r="BL4363" i="4"/>
  <c r="BK4363" i="4"/>
  <c r="BJ4355" i="4"/>
  <c r="BL4355" i="4"/>
  <c r="BK4355" i="4"/>
  <c r="BJ4347" i="4"/>
  <c r="BL4347" i="4"/>
  <c r="BK4347" i="4"/>
  <c r="BJ4339" i="4"/>
  <c r="BL4339" i="4"/>
  <c r="BK4339" i="4"/>
  <c r="BJ4331" i="4"/>
  <c r="BL4331" i="4"/>
  <c r="BK4331" i="4"/>
  <c r="BJ4323" i="4"/>
  <c r="BL4323" i="4"/>
  <c r="BK4323" i="4"/>
  <c r="BJ4315" i="4"/>
  <c r="BL4315" i="4"/>
  <c r="BK4315" i="4"/>
  <c r="BJ4307" i="4"/>
  <c r="BL4307" i="4"/>
  <c r="BK4307" i="4"/>
  <c r="BJ4299" i="4"/>
  <c r="BL4299" i="4"/>
  <c r="BK4299" i="4"/>
  <c r="BJ4291" i="4"/>
  <c r="BL4291" i="4"/>
  <c r="BK4291" i="4"/>
  <c r="BJ4283" i="4"/>
  <c r="BL4283" i="4"/>
  <c r="BK4283" i="4"/>
  <c r="BJ4275" i="4"/>
  <c r="BL4275" i="4"/>
  <c r="BK4275" i="4"/>
  <c r="BJ4267" i="4"/>
  <c r="BL4267" i="4"/>
  <c r="BK4267" i="4"/>
  <c r="BJ4259" i="4"/>
  <c r="BL4259" i="4"/>
  <c r="BK4259" i="4"/>
  <c r="BJ4251" i="4"/>
  <c r="BL4251" i="4"/>
  <c r="BK4251" i="4"/>
  <c r="BJ4243" i="4"/>
  <c r="BL4243" i="4"/>
  <c r="BK4243" i="4"/>
  <c r="BJ4235" i="4"/>
  <c r="BL4235" i="4"/>
  <c r="BK4235" i="4"/>
  <c r="BJ4227" i="4"/>
  <c r="BL4227" i="4"/>
  <c r="BK4227" i="4"/>
  <c r="BJ4219" i="4"/>
  <c r="BL4219" i="4"/>
  <c r="BK4219" i="4"/>
  <c r="BJ4211" i="4"/>
  <c r="BL4211" i="4"/>
  <c r="BK4211" i="4"/>
  <c r="BJ4203" i="4"/>
  <c r="BL4203" i="4"/>
  <c r="BK4203" i="4"/>
  <c r="BJ4195" i="4"/>
  <c r="BL4195" i="4"/>
  <c r="BK4195" i="4"/>
  <c r="BJ4187" i="4"/>
  <c r="BL4187" i="4"/>
  <c r="BK4187" i="4"/>
  <c r="BJ4179" i="4"/>
  <c r="BL4179" i="4"/>
  <c r="BK4179" i="4"/>
  <c r="BJ4171" i="4"/>
  <c r="BL4171" i="4"/>
  <c r="BK4171" i="4"/>
  <c r="BJ4163" i="4"/>
  <c r="BL4163" i="4"/>
  <c r="BK4163" i="4"/>
  <c r="BJ4155" i="4"/>
  <c r="BL4155" i="4"/>
  <c r="BK4155" i="4"/>
  <c r="BJ4147" i="4"/>
  <c r="BL4147" i="4"/>
  <c r="BK4147" i="4"/>
  <c r="BJ4139" i="4"/>
  <c r="BL4139" i="4"/>
  <c r="BK4139" i="4"/>
  <c r="BJ4131" i="4"/>
  <c r="BL4131" i="4"/>
  <c r="BK4131" i="4"/>
  <c r="BJ4123" i="4"/>
  <c r="BL4123" i="4"/>
  <c r="BK4123" i="4"/>
  <c r="BJ4115" i="4"/>
  <c r="BL4115" i="4"/>
  <c r="BK4115" i="4"/>
  <c r="BJ4107" i="4"/>
  <c r="BL4107" i="4"/>
  <c r="BK4107" i="4"/>
  <c r="BJ4099" i="4"/>
  <c r="BL4099" i="4"/>
  <c r="BK4099" i="4"/>
  <c r="BJ4091" i="4"/>
  <c r="BL4091" i="4"/>
  <c r="BK4091" i="4"/>
  <c r="BJ4083" i="4"/>
  <c r="BL4083" i="4"/>
  <c r="BK4083" i="4"/>
  <c r="BJ4075" i="4"/>
  <c r="BL4075" i="4"/>
  <c r="BK4075" i="4"/>
  <c r="BJ4067" i="4"/>
  <c r="BL4067" i="4"/>
  <c r="BK4067" i="4"/>
  <c r="BJ4059" i="4"/>
  <c r="BL4059" i="4"/>
  <c r="BK4059" i="4"/>
  <c r="BJ4051" i="4"/>
  <c r="BL4051" i="4"/>
  <c r="BK4051" i="4"/>
  <c r="BJ4043" i="4"/>
  <c r="BL4043" i="4"/>
  <c r="BK4043" i="4"/>
  <c r="BJ4035" i="4"/>
  <c r="BL4035" i="4"/>
  <c r="BK4035" i="4"/>
  <c r="BJ4027" i="4"/>
  <c r="BL4027" i="4"/>
  <c r="BK4027" i="4"/>
  <c r="BJ4019" i="4"/>
  <c r="BL4019" i="4"/>
  <c r="BK4019" i="4"/>
  <c r="BJ4011" i="4"/>
  <c r="BL4011" i="4"/>
  <c r="BK4011" i="4"/>
  <c r="BJ4003" i="4"/>
  <c r="BL4003" i="4"/>
  <c r="BK4003" i="4"/>
  <c r="BJ3995" i="4"/>
  <c r="BL3995" i="4"/>
  <c r="BK3995" i="4"/>
  <c r="BJ3987" i="4"/>
  <c r="BL3987" i="4"/>
  <c r="BK3987" i="4"/>
  <c r="BJ3979" i="4"/>
  <c r="BL3979" i="4"/>
  <c r="BK3979" i="4"/>
  <c r="BJ3971" i="4"/>
  <c r="BL3971" i="4"/>
  <c r="BK3971" i="4"/>
  <c r="BJ3963" i="4"/>
  <c r="BL3963" i="4"/>
  <c r="BK3963" i="4"/>
  <c r="BJ3955" i="4"/>
  <c r="BL3955" i="4"/>
  <c r="BK3955" i="4"/>
  <c r="BJ3947" i="4"/>
  <c r="BL3947" i="4"/>
  <c r="BK3947" i="4"/>
  <c r="BJ3939" i="4"/>
  <c r="BL3939" i="4"/>
  <c r="BK3939" i="4"/>
  <c r="BJ3931" i="4"/>
  <c r="BL3931" i="4"/>
  <c r="BK3931" i="4"/>
  <c r="BJ3923" i="4"/>
  <c r="BL3923" i="4"/>
  <c r="BK3923" i="4"/>
  <c r="BJ3915" i="4"/>
  <c r="BL3915" i="4"/>
  <c r="BK3915" i="4"/>
  <c r="BJ3907" i="4"/>
  <c r="BL3907" i="4"/>
  <c r="BK3907" i="4"/>
  <c r="BJ3899" i="4"/>
  <c r="BL3899" i="4"/>
  <c r="BK3899" i="4"/>
  <c r="BJ3891" i="4"/>
  <c r="BL3891" i="4"/>
  <c r="BK3891" i="4"/>
  <c r="BJ3883" i="4"/>
  <c r="BL3883" i="4"/>
  <c r="BK3883" i="4"/>
  <c r="BJ3875" i="4"/>
  <c r="BL3875" i="4"/>
  <c r="BK3875" i="4"/>
  <c r="BJ3867" i="4"/>
  <c r="BL3867" i="4"/>
  <c r="BK3867" i="4"/>
  <c r="BJ3859" i="4"/>
  <c r="BL3859" i="4"/>
  <c r="BK3859" i="4"/>
  <c r="BJ3851" i="4"/>
  <c r="BL3851" i="4"/>
  <c r="BK3851" i="4"/>
  <c r="BJ3843" i="4"/>
  <c r="BL3843" i="4"/>
  <c r="BK3843" i="4"/>
  <c r="BJ3835" i="4"/>
  <c r="BL3835" i="4"/>
  <c r="BK3835" i="4"/>
  <c r="BJ3827" i="4"/>
  <c r="BL3827" i="4"/>
  <c r="BK3827" i="4"/>
  <c r="BJ3819" i="4"/>
  <c r="BL3819" i="4"/>
  <c r="BK3819" i="4"/>
  <c r="BJ3811" i="4"/>
  <c r="BL3811" i="4"/>
  <c r="BK3811" i="4"/>
  <c r="BJ3803" i="4"/>
  <c r="BL3803" i="4"/>
  <c r="BK3803" i="4"/>
  <c r="BJ3795" i="4"/>
  <c r="BL3795" i="4"/>
  <c r="BK3795" i="4"/>
  <c r="BJ3787" i="4"/>
  <c r="BL3787" i="4"/>
  <c r="BK3787" i="4"/>
  <c r="BJ3779" i="4"/>
  <c r="BL3779" i="4"/>
  <c r="BK3779" i="4"/>
  <c r="BJ3771" i="4"/>
  <c r="BL3771" i="4"/>
  <c r="BK3771" i="4"/>
  <c r="BJ3763" i="4"/>
  <c r="BL3763" i="4"/>
  <c r="BK3763" i="4"/>
  <c r="BJ3755" i="4"/>
  <c r="BL3755" i="4"/>
  <c r="BK3755" i="4"/>
  <c r="BJ3747" i="4"/>
  <c r="BL3747" i="4"/>
  <c r="BK3747" i="4"/>
  <c r="BJ3739" i="4"/>
  <c r="BL3739" i="4"/>
  <c r="BK3739" i="4"/>
  <c r="BJ3731" i="4"/>
  <c r="BL3731" i="4"/>
  <c r="BK3731" i="4"/>
  <c r="BJ3723" i="4"/>
  <c r="BL3723" i="4"/>
  <c r="BK3723" i="4"/>
  <c r="BJ3715" i="4"/>
  <c r="BL3715" i="4"/>
  <c r="BK3715" i="4"/>
  <c r="BJ3707" i="4"/>
  <c r="BL3707" i="4"/>
  <c r="BK3707" i="4"/>
  <c r="BJ3699" i="4"/>
  <c r="BL3699" i="4"/>
  <c r="BK3699" i="4"/>
  <c r="BJ3691" i="4"/>
  <c r="BL3691" i="4"/>
  <c r="BK3691" i="4"/>
  <c r="BJ3683" i="4"/>
  <c r="BL3683" i="4"/>
  <c r="BK3683" i="4"/>
  <c r="BJ3675" i="4"/>
  <c r="BL3675" i="4"/>
  <c r="BK3675" i="4"/>
  <c r="BJ3667" i="4"/>
  <c r="BL3667" i="4"/>
  <c r="BK3667" i="4"/>
  <c r="BJ3659" i="4"/>
  <c r="BL3659" i="4"/>
  <c r="BK3659" i="4"/>
  <c r="BJ3651" i="4"/>
  <c r="BL3651" i="4"/>
  <c r="BK3651" i="4"/>
  <c r="BJ3643" i="4"/>
  <c r="BL3643" i="4"/>
  <c r="BK3643" i="4"/>
  <c r="BJ3635" i="4"/>
  <c r="BL3635" i="4"/>
  <c r="BK3635" i="4"/>
  <c r="BJ3627" i="4"/>
  <c r="BL3627" i="4"/>
  <c r="BK3627" i="4"/>
  <c r="BJ3619" i="4"/>
  <c r="BL3619" i="4"/>
  <c r="BK3619" i="4"/>
  <c r="BJ3611" i="4"/>
  <c r="BL3611" i="4"/>
  <c r="BK3611" i="4"/>
  <c r="BJ3603" i="4"/>
  <c r="BL3603" i="4"/>
  <c r="BK3603" i="4"/>
  <c r="BJ3595" i="4"/>
  <c r="BL3595" i="4"/>
  <c r="BK3595" i="4"/>
  <c r="BJ3587" i="4"/>
  <c r="BL3587" i="4"/>
  <c r="BK3587" i="4"/>
  <c r="BJ3579" i="4"/>
  <c r="BL3579" i="4"/>
  <c r="BK3579" i="4"/>
  <c r="BJ3571" i="4"/>
  <c r="BL3571" i="4"/>
  <c r="BK3571" i="4"/>
  <c r="BJ3563" i="4"/>
  <c r="BL3563" i="4"/>
  <c r="BK3563" i="4"/>
  <c r="BJ3555" i="4"/>
  <c r="BL3555" i="4"/>
  <c r="BK3555" i="4"/>
  <c r="BJ3547" i="4"/>
  <c r="BL3547" i="4"/>
  <c r="BK3547" i="4"/>
  <c r="BJ3539" i="4"/>
  <c r="BL3539" i="4"/>
  <c r="BK3539" i="4"/>
  <c r="BJ3531" i="4"/>
  <c r="BL3531" i="4"/>
  <c r="BK3531" i="4"/>
  <c r="BJ3523" i="4"/>
  <c r="BL3523" i="4"/>
  <c r="BK3523" i="4"/>
  <c r="BJ3515" i="4"/>
  <c r="BL3515" i="4"/>
  <c r="BK3515" i="4"/>
  <c r="BJ3507" i="4"/>
  <c r="BL3507" i="4"/>
  <c r="BK3507" i="4"/>
  <c r="BJ3499" i="4"/>
  <c r="BL3499" i="4"/>
  <c r="BK3499" i="4"/>
  <c r="BJ3491" i="4"/>
  <c r="BL3491" i="4"/>
  <c r="BK3491" i="4"/>
  <c r="BJ3483" i="4"/>
  <c r="BL3483" i="4"/>
  <c r="BK3483" i="4"/>
  <c r="BJ3475" i="4"/>
  <c r="BL3475" i="4"/>
  <c r="BK3475" i="4"/>
  <c r="BJ3467" i="4"/>
  <c r="BL3467" i="4"/>
  <c r="BK3467" i="4"/>
  <c r="BJ3459" i="4"/>
  <c r="BL3459" i="4"/>
  <c r="BK3459" i="4"/>
  <c r="BJ3451" i="4"/>
  <c r="BL3451" i="4"/>
  <c r="BK3451" i="4"/>
  <c r="BJ3443" i="4"/>
  <c r="BL3443" i="4"/>
  <c r="BK3443" i="4"/>
  <c r="BJ3435" i="4"/>
  <c r="BL3435" i="4"/>
  <c r="BK3435" i="4"/>
  <c r="BJ3427" i="4"/>
  <c r="BL3427" i="4"/>
  <c r="BK3427" i="4"/>
  <c r="BJ3419" i="4"/>
  <c r="BL3419" i="4"/>
  <c r="BK3419" i="4"/>
  <c r="BJ3411" i="4"/>
  <c r="BL3411" i="4"/>
  <c r="BK3411" i="4"/>
  <c r="BJ3403" i="4"/>
  <c r="BL3403" i="4"/>
  <c r="BK3403" i="4"/>
  <c r="BJ3395" i="4"/>
  <c r="BL3395" i="4"/>
  <c r="BK3395" i="4"/>
  <c r="BJ3387" i="4"/>
  <c r="BL3387" i="4"/>
  <c r="BK3387" i="4"/>
  <c r="BJ3379" i="4"/>
  <c r="BL3379" i="4"/>
  <c r="BK3379" i="4"/>
  <c r="BJ3371" i="4"/>
  <c r="BL3371" i="4"/>
  <c r="BK3371" i="4"/>
  <c r="BJ3363" i="4"/>
  <c r="BL3363" i="4"/>
  <c r="BK3363" i="4"/>
  <c r="BJ3355" i="4"/>
  <c r="BL3355" i="4"/>
  <c r="BK3355" i="4"/>
  <c r="BJ3347" i="4"/>
  <c r="BL3347" i="4"/>
  <c r="BK3347" i="4"/>
  <c r="BJ3339" i="4"/>
  <c r="BL3339" i="4"/>
  <c r="BK3339" i="4"/>
  <c r="BJ3331" i="4"/>
  <c r="BL3331" i="4"/>
  <c r="BK3331" i="4"/>
  <c r="BJ3323" i="4"/>
  <c r="BL3323" i="4"/>
  <c r="BK3323" i="4"/>
  <c r="BJ3315" i="4"/>
  <c r="BL3315" i="4"/>
  <c r="BK3315" i="4"/>
  <c r="BJ3307" i="4"/>
  <c r="BL3307" i="4"/>
  <c r="BK3307" i="4"/>
  <c r="BJ3299" i="4"/>
  <c r="BL3299" i="4"/>
  <c r="BK3299" i="4"/>
  <c r="BJ3291" i="4"/>
  <c r="BL3291" i="4"/>
  <c r="BK3291" i="4"/>
  <c r="BJ3283" i="4"/>
  <c r="BL3283" i="4"/>
  <c r="BK3283" i="4"/>
  <c r="BJ3275" i="4"/>
  <c r="BL3275" i="4"/>
  <c r="BK3275" i="4"/>
  <c r="BJ3267" i="4"/>
  <c r="BL3267" i="4"/>
  <c r="BK3267" i="4"/>
  <c r="BJ3259" i="4"/>
  <c r="BL3259" i="4"/>
  <c r="BK3259" i="4"/>
  <c r="BJ3251" i="4"/>
  <c r="BL3251" i="4"/>
  <c r="BK3251" i="4"/>
  <c r="BJ3243" i="4"/>
  <c r="BL3243" i="4"/>
  <c r="BK3243" i="4"/>
  <c r="BJ3235" i="4"/>
  <c r="BL3235" i="4"/>
  <c r="BK3235" i="4"/>
  <c r="BJ3227" i="4"/>
  <c r="BL3227" i="4"/>
  <c r="BK3227" i="4"/>
  <c r="BJ3219" i="4"/>
  <c r="BL3219" i="4"/>
  <c r="BK3219" i="4"/>
  <c r="BJ3211" i="4"/>
  <c r="BL3211" i="4"/>
  <c r="BK3211" i="4"/>
  <c r="BJ3203" i="4"/>
  <c r="BL3203" i="4"/>
  <c r="BK3203" i="4"/>
  <c r="BJ3195" i="4"/>
  <c r="BL3195" i="4"/>
  <c r="BK3195" i="4"/>
  <c r="BJ3187" i="4"/>
  <c r="BL3187" i="4"/>
  <c r="BK3187" i="4"/>
  <c r="BJ3179" i="4"/>
  <c r="BL3179" i="4"/>
  <c r="BK3179" i="4"/>
  <c r="BJ3171" i="4"/>
  <c r="BL3171" i="4"/>
  <c r="BK3171" i="4"/>
  <c r="BJ3163" i="4"/>
  <c r="BL3163" i="4"/>
  <c r="BK3163" i="4"/>
  <c r="BJ3155" i="4"/>
  <c r="BL3155" i="4"/>
  <c r="BK3155" i="4"/>
  <c r="BJ3147" i="4"/>
  <c r="BL3147" i="4"/>
  <c r="BK3147" i="4"/>
  <c r="BJ3139" i="4"/>
  <c r="BL3139" i="4"/>
  <c r="BK3139" i="4"/>
  <c r="BJ3131" i="4"/>
  <c r="BL3131" i="4"/>
  <c r="BK3131" i="4"/>
  <c r="BJ3123" i="4"/>
  <c r="BL3123" i="4"/>
  <c r="BK3123" i="4"/>
  <c r="BJ3115" i="4"/>
  <c r="BL3115" i="4"/>
  <c r="BK3115" i="4"/>
  <c r="BJ3107" i="4"/>
  <c r="BL3107" i="4"/>
  <c r="BK3107" i="4"/>
  <c r="BJ3099" i="4"/>
  <c r="BL3099" i="4"/>
  <c r="BK3099" i="4"/>
  <c r="BJ3091" i="4"/>
  <c r="BL3091" i="4"/>
  <c r="BK3091" i="4"/>
  <c r="BJ3083" i="4"/>
  <c r="BL3083" i="4"/>
  <c r="BK3083" i="4"/>
  <c r="BJ3075" i="4"/>
  <c r="BL3075" i="4"/>
  <c r="BK3075" i="4"/>
  <c r="BJ3067" i="4"/>
  <c r="BL3067" i="4"/>
  <c r="BK3067" i="4"/>
  <c r="BJ3059" i="4"/>
  <c r="BL3059" i="4"/>
  <c r="BK3059" i="4"/>
  <c r="BJ3051" i="4"/>
  <c r="BL3051" i="4"/>
  <c r="BK3051" i="4"/>
  <c r="BJ3043" i="4"/>
  <c r="BL3043" i="4"/>
  <c r="BK3043" i="4"/>
  <c r="BJ3035" i="4"/>
  <c r="BL3035" i="4"/>
  <c r="BK3035" i="4"/>
  <c r="BJ3027" i="4"/>
  <c r="BL3027" i="4"/>
  <c r="BK3027" i="4"/>
  <c r="BJ3019" i="4"/>
  <c r="BL3019" i="4"/>
  <c r="BK3019" i="4"/>
  <c r="BJ3011" i="4"/>
  <c r="BL3011" i="4"/>
  <c r="BK3011" i="4"/>
  <c r="BJ3003" i="4"/>
  <c r="BL3003" i="4"/>
  <c r="BK3003" i="4"/>
  <c r="BJ2995" i="4"/>
  <c r="BL2995" i="4"/>
  <c r="BK2995" i="4"/>
  <c r="BJ2987" i="4"/>
  <c r="BL2987" i="4"/>
  <c r="BK2987" i="4"/>
  <c r="BJ2979" i="4"/>
  <c r="BL2979" i="4"/>
  <c r="BK2979" i="4"/>
  <c r="BJ2971" i="4"/>
  <c r="BL2971" i="4"/>
  <c r="BK2971" i="4"/>
  <c r="BJ2963" i="4"/>
  <c r="BL2963" i="4"/>
  <c r="BK2963" i="4"/>
  <c r="BJ2955" i="4"/>
  <c r="BL2955" i="4"/>
  <c r="BK2955" i="4"/>
  <c r="BJ2947" i="4"/>
  <c r="BL2947" i="4"/>
  <c r="BK2947" i="4"/>
  <c r="BJ2939" i="4"/>
  <c r="BL2939" i="4"/>
  <c r="BK2939" i="4"/>
  <c r="BJ2931" i="4"/>
  <c r="BL2931" i="4"/>
  <c r="BK2931" i="4"/>
  <c r="BJ2923" i="4"/>
  <c r="BL2923" i="4"/>
  <c r="BK2923" i="4"/>
  <c r="BJ2915" i="4"/>
  <c r="BL2915" i="4"/>
  <c r="BK2915" i="4"/>
  <c r="BJ2907" i="4"/>
  <c r="BL2907" i="4"/>
  <c r="BK2907" i="4"/>
  <c r="BJ2899" i="4"/>
  <c r="BL2899" i="4"/>
  <c r="BK2899" i="4"/>
  <c r="BJ2891" i="4"/>
  <c r="BL2891" i="4"/>
  <c r="BK2891" i="4"/>
  <c r="BJ2883" i="4"/>
  <c r="BL2883" i="4"/>
  <c r="BK2883" i="4"/>
  <c r="BJ2875" i="4"/>
  <c r="BL2875" i="4"/>
  <c r="BK2875" i="4"/>
  <c r="BJ2867" i="4"/>
  <c r="BL2867" i="4"/>
  <c r="BK2867" i="4"/>
  <c r="BJ2859" i="4"/>
  <c r="BL2859" i="4"/>
  <c r="BK2859" i="4"/>
  <c r="BJ2851" i="4"/>
  <c r="BL2851" i="4"/>
  <c r="BK2851" i="4"/>
  <c r="BJ2843" i="4"/>
  <c r="BL2843" i="4"/>
  <c r="BK2843" i="4"/>
  <c r="BJ2835" i="4"/>
  <c r="BL2835" i="4"/>
  <c r="BK2835" i="4"/>
  <c r="BJ2827" i="4"/>
  <c r="BL2827" i="4"/>
  <c r="BK2827" i="4"/>
  <c r="BJ2819" i="4"/>
  <c r="BL2819" i="4"/>
  <c r="BK2819" i="4"/>
  <c r="BJ2811" i="4"/>
  <c r="BL2811" i="4"/>
  <c r="BK2811" i="4"/>
  <c r="BJ2803" i="4"/>
  <c r="BL2803" i="4"/>
  <c r="BK2803" i="4"/>
  <c r="BJ2795" i="4"/>
  <c r="BL2795" i="4"/>
  <c r="BK2795" i="4"/>
  <c r="BJ2787" i="4"/>
  <c r="BL2787" i="4"/>
  <c r="BK2787" i="4"/>
  <c r="BJ2779" i="4"/>
  <c r="BL2779" i="4"/>
  <c r="BK2779" i="4"/>
  <c r="BJ2771" i="4"/>
  <c r="BL2771" i="4"/>
  <c r="BK2771" i="4"/>
  <c r="BJ2763" i="4"/>
  <c r="BL2763" i="4"/>
  <c r="BK2763" i="4"/>
  <c r="BJ2755" i="4"/>
  <c r="BL2755" i="4"/>
  <c r="BK2755" i="4"/>
  <c r="BJ2747" i="4"/>
  <c r="BL2747" i="4"/>
  <c r="BK2747" i="4"/>
  <c r="BJ2739" i="4"/>
  <c r="BL2739" i="4"/>
  <c r="BK2739" i="4"/>
  <c r="BJ2731" i="4"/>
  <c r="BL2731" i="4"/>
  <c r="BK2731" i="4"/>
  <c r="BJ2723" i="4"/>
  <c r="BL2723" i="4"/>
  <c r="BK2723" i="4"/>
  <c r="BJ2715" i="4"/>
  <c r="BL2715" i="4"/>
  <c r="BK2715" i="4"/>
  <c r="BJ2707" i="4"/>
  <c r="BL2707" i="4"/>
  <c r="BK2707" i="4"/>
  <c r="BJ2699" i="4"/>
  <c r="BL2699" i="4"/>
  <c r="BK2699" i="4"/>
  <c r="BJ2691" i="4"/>
  <c r="BL2691" i="4"/>
  <c r="BK2691" i="4"/>
  <c r="BJ2683" i="4"/>
  <c r="BL2683" i="4"/>
  <c r="BK2683" i="4"/>
  <c r="BJ2675" i="4"/>
  <c r="BL2675" i="4"/>
  <c r="BK2675" i="4"/>
  <c r="BJ2667" i="4"/>
  <c r="BL2667" i="4"/>
  <c r="BK2667" i="4"/>
  <c r="BJ2659" i="4"/>
  <c r="BL2659" i="4"/>
  <c r="BK2659" i="4"/>
  <c r="BJ2651" i="4"/>
  <c r="BL2651" i="4"/>
  <c r="BK2651" i="4"/>
  <c r="BJ2643" i="4"/>
  <c r="BL2643" i="4"/>
  <c r="BK2643" i="4"/>
  <c r="BJ2635" i="4"/>
  <c r="BL2635" i="4"/>
  <c r="BK2635" i="4"/>
  <c r="BJ2627" i="4"/>
  <c r="BL2627" i="4"/>
  <c r="BK2627" i="4"/>
  <c r="BJ2619" i="4"/>
  <c r="BL2619" i="4"/>
  <c r="BK2619" i="4"/>
  <c r="BJ2611" i="4"/>
  <c r="BL2611" i="4"/>
  <c r="BK2611" i="4"/>
  <c r="BJ2603" i="4"/>
  <c r="BL2603" i="4"/>
  <c r="BK2603" i="4"/>
  <c r="BJ2595" i="4"/>
  <c r="BL2595" i="4"/>
  <c r="BK2595" i="4"/>
  <c r="BJ2587" i="4"/>
  <c r="BL2587" i="4"/>
  <c r="BK2587" i="4"/>
  <c r="BJ2579" i="4"/>
  <c r="BL2579" i="4"/>
  <c r="BK2579" i="4"/>
  <c r="BJ2571" i="4"/>
  <c r="BL2571" i="4"/>
  <c r="BK2571" i="4"/>
  <c r="BJ2563" i="4"/>
  <c r="BL2563" i="4"/>
  <c r="BK2563" i="4"/>
  <c r="BJ2555" i="4"/>
  <c r="BL2555" i="4"/>
  <c r="BK2555" i="4"/>
  <c r="BJ2547" i="4"/>
  <c r="BL2547" i="4"/>
  <c r="BK2547" i="4"/>
  <c r="BJ2539" i="4"/>
  <c r="BL2539" i="4"/>
  <c r="BK2539" i="4"/>
  <c r="BJ2531" i="4"/>
  <c r="BL2531" i="4"/>
  <c r="BK2531" i="4"/>
  <c r="BJ2523" i="4"/>
  <c r="BL2523" i="4"/>
  <c r="BK2523" i="4"/>
  <c r="BJ2515" i="4"/>
  <c r="BL2515" i="4"/>
  <c r="BK2515" i="4"/>
  <c r="BJ2507" i="4"/>
  <c r="BL2507" i="4"/>
  <c r="BK2507" i="4"/>
  <c r="BJ2499" i="4"/>
  <c r="BL2499" i="4"/>
  <c r="BK2499" i="4"/>
  <c r="BJ2491" i="4"/>
  <c r="BL2491" i="4"/>
  <c r="BK2491" i="4"/>
  <c r="BJ2483" i="4"/>
  <c r="BL2483" i="4"/>
  <c r="BK2483" i="4"/>
  <c r="BJ2475" i="4"/>
  <c r="BL2475" i="4"/>
  <c r="BK2475" i="4"/>
  <c r="BJ2467" i="4"/>
  <c r="BL2467" i="4"/>
  <c r="BK2467" i="4"/>
  <c r="BJ2459" i="4"/>
  <c r="BL2459" i="4"/>
  <c r="BK2459" i="4"/>
  <c r="BJ2451" i="4"/>
  <c r="BL2451" i="4"/>
  <c r="BK2451" i="4"/>
  <c r="BJ2443" i="4"/>
  <c r="BL2443" i="4"/>
  <c r="BK2443" i="4"/>
  <c r="BJ2435" i="4"/>
  <c r="BL2435" i="4"/>
  <c r="BK2435" i="4"/>
  <c r="BJ2427" i="4"/>
  <c r="BL2427" i="4"/>
  <c r="BK2427" i="4"/>
  <c r="BJ2419" i="4"/>
  <c r="BL2419" i="4"/>
  <c r="BK2419" i="4"/>
  <c r="BJ2411" i="4"/>
  <c r="BL2411" i="4"/>
  <c r="BK2411" i="4"/>
  <c r="BJ2403" i="4"/>
  <c r="BL2403" i="4"/>
  <c r="BK2403" i="4"/>
  <c r="BJ2395" i="4"/>
  <c r="BL2395" i="4"/>
  <c r="BK2395" i="4"/>
  <c r="BJ2387" i="4"/>
  <c r="BL2387" i="4"/>
  <c r="BK2387" i="4"/>
  <c r="BJ2379" i="4"/>
  <c r="BL2379" i="4"/>
  <c r="BK2379" i="4"/>
  <c r="BJ2371" i="4"/>
  <c r="BL2371" i="4"/>
  <c r="BK2371" i="4"/>
  <c r="BJ2363" i="4"/>
  <c r="BL2363" i="4"/>
  <c r="BK2363" i="4"/>
  <c r="BJ2355" i="4"/>
  <c r="BL2355" i="4"/>
  <c r="BK2355" i="4"/>
  <c r="BJ2347" i="4"/>
  <c r="BL2347" i="4"/>
  <c r="BK2347" i="4"/>
  <c r="BJ2339" i="4"/>
  <c r="BL2339" i="4"/>
  <c r="BK2339" i="4"/>
  <c r="BJ2331" i="4"/>
  <c r="BL2331" i="4"/>
  <c r="BK2331" i="4"/>
  <c r="BJ2323" i="4"/>
  <c r="BL2323" i="4"/>
  <c r="BK2323" i="4"/>
  <c r="BJ2315" i="4"/>
  <c r="BL2315" i="4"/>
  <c r="BK2315" i="4"/>
  <c r="BJ2307" i="4"/>
  <c r="BL2307" i="4"/>
  <c r="BK2307" i="4"/>
  <c r="BJ2299" i="4"/>
  <c r="BL2299" i="4"/>
  <c r="BK2299" i="4"/>
  <c r="BJ2291" i="4"/>
  <c r="BL2291" i="4"/>
  <c r="BK2291" i="4"/>
  <c r="BJ2283" i="4"/>
  <c r="BL2283" i="4"/>
  <c r="BK2283" i="4"/>
  <c r="BJ2275" i="4"/>
  <c r="BL2275" i="4"/>
  <c r="BK2275" i="4"/>
  <c r="BJ2267" i="4"/>
  <c r="BL2267" i="4"/>
  <c r="BK2267" i="4"/>
  <c r="BJ2259" i="4"/>
  <c r="BL2259" i="4"/>
  <c r="BK2259" i="4"/>
  <c r="BJ2251" i="4"/>
  <c r="BL2251" i="4"/>
  <c r="BK2251" i="4"/>
  <c r="BJ2243" i="4"/>
  <c r="BL2243" i="4"/>
  <c r="BK2243" i="4"/>
  <c r="BJ2235" i="4"/>
  <c r="BL2235" i="4"/>
  <c r="BK2235" i="4"/>
  <c r="BJ2227" i="4"/>
  <c r="BL2227" i="4"/>
  <c r="BK2227" i="4"/>
  <c r="BJ2219" i="4"/>
  <c r="BL2219" i="4"/>
  <c r="BK2219" i="4"/>
  <c r="BJ2211" i="4"/>
  <c r="BL2211" i="4"/>
  <c r="BK2211" i="4"/>
  <c r="BJ2203" i="4"/>
  <c r="BL2203" i="4"/>
  <c r="BK2203" i="4"/>
  <c r="BJ2195" i="4"/>
  <c r="BL2195" i="4"/>
  <c r="BK2195" i="4"/>
  <c r="BJ2187" i="4"/>
  <c r="BL2187" i="4"/>
  <c r="BK2187" i="4"/>
  <c r="BJ2179" i="4"/>
  <c r="BL2179" i="4"/>
  <c r="BK2179" i="4"/>
  <c r="BJ2171" i="4"/>
  <c r="BL2171" i="4"/>
  <c r="BK2171" i="4"/>
  <c r="BJ2163" i="4"/>
  <c r="BL2163" i="4"/>
  <c r="BK2163" i="4"/>
  <c r="BJ2155" i="4"/>
  <c r="BL2155" i="4"/>
  <c r="BK2155" i="4"/>
  <c r="BJ2147" i="4"/>
  <c r="BL2147" i="4"/>
  <c r="BK2147" i="4"/>
  <c r="BJ2139" i="4"/>
  <c r="BL2139" i="4"/>
  <c r="BK2139" i="4"/>
  <c r="BJ2131" i="4"/>
  <c r="BL2131" i="4"/>
  <c r="BK2131" i="4"/>
  <c r="BJ2123" i="4"/>
  <c r="BL2123" i="4"/>
  <c r="BK2123" i="4"/>
  <c r="BJ2115" i="4"/>
  <c r="BL2115" i="4"/>
  <c r="BK2115" i="4"/>
  <c r="BJ2107" i="4"/>
  <c r="BL2107" i="4"/>
  <c r="BK2107" i="4"/>
  <c r="BJ2099" i="4"/>
  <c r="BL2099" i="4"/>
  <c r="BK2099" i="4"/>
  <c r="BJ2091" i="4"/>
  <c r="BL2091" i="4"/>
  <c r="BK2091" i="4"/>
  <c r="BJ2083" i="4"/>
  <c r="BL2083" i="4"/>
  <c r="BK2083" i="4"/>
  <c r="BJ2075" i="4"/>
  <c r="BL2075" i="4"/>
  <c r="BK2075" i="4"/>
  <c r="BJ2067" i="4"/>
  <c r="BL2067" i="4"/>
  <c r="BK2067" i="4"/>
  <c r="BJ2059" i="4"/>
  <c r="BL2059" i="4"/>
  <c r="BK2059" i="4"/>
  <c r="BJ2051" i="4"/>
  <c r="BL2051" i="4"/>
  <c r="BK2051" i="4"/>
  <c r="BJ2043" i="4"/>
  <c r="BL2043" i="4"/>
  <c r="BK2043" i="4"/>
  <c r="BJ2035" i="4"/>
  <c r="BL2035" i="4"/>
  <c r="BK2035" i="4"/>
  <c r="BJ2027" i="4"/>
  <c r="BL2027" i="4"/>
  <c r="BK2027" i="4"/>
  <c r="BJ2019" i="4"/>
  <c r="BL2019" i="4"/>
  <c r="BK2019" i="4"/>
  <c r="BJ2011" i="4"/>
  <c r="BL2011" i="4"/>
  <c r="BK2011" i="4"/>
  <c r="BJ2003" i="4"/>
  <c r="BL2003" i="4"/>
  <c r="BK2003" i="4"/>
  <c r="BJ1995" i="4"/>
  <c r="BL1995" i="4"/>
  <c r="BK1995" i="4"/>
  <c r="BJ1987" i="4"/>
  <c r="BL1987" i="4"/>
  <c r="BK1987" i="4"/>
  <c r="BJ1979" i="4"/>
  <c r="BL1979" i="4"/>
  <c r="BK1979" i="4"/>
  <c r="BJ1971" i="4"/>
  <c r="BL1971" i="4"/>
  <c r="BK1971" i="4"/>
  <c r="BJ1963" i="4"/>
  <c r="BL1963" i="4"/>
  <c r="BK1963" i="4"/>
  <c r="BJ1955" i="4"/>
  <c r="BL1955" i="4"/>
  <c r="BK1955" i="4"/>
  <c r="BJ1947" i="4"/>
  <c r="BL1947" i="4"/>
  <c r="BK1947" i="4"/>
  <c r="BJ1939" i="4"/>
  <c r="BL1939" i="4"/>
  <c r="BK1939" i="4"/>
  <c r="BJ1931" i="4"/>
  <c r="BL1931" i="4"/>
  <c r="BK1931" i="4"/>
  <c r="BJ1923" i="4"/>
  <c r="BL1923" i="4"/>
  <c r="BK1923" i="4"/>
  <c r="BJ1915" i="4"/>
  <c r="BL1915" i="4"/>
  <c r="BK1915" i="4"/>
  <c r="BJ1907" i="4"/>
  <c r="BL1907" i="4"/>
  <c r="BK1907" i="4"/>
  <c r="BJ1899" i="4"/>
  <c r="BL1899" i="4"/>
  <c r="BK1899" i="4"/>
  <c r="BJ1891" i="4"/>
  <c r="BL1891" i="4"/>
  <c r="BK1891" i="4"/>
  <c r="BJ1883" i="4"/>
  <c r="BL1883" i="4"/>
  <c r="BK1883" i="4"/>
  <c r="BJ1875" i="4"/>
  <c r="BL1875" i="4"/>
  <c r="BK1875" i="4"/>
  <c r="BJ1867" i="4"/>
  <c r="BL1867" i="4"/>
  <c r="BK1867" i="4"/>
  <c r="BJ1859" i="4"/>
  <c r="BL1859" i="4"/>
  <c r="BK1859" i="4"/>
  <c r="BJ1851" i="4"/>
  <c r="BL1851" i="4"/>
  <c r="BK1851" i="4"/>
  <c r="BJ1843" i="4"/>
  <c r="BL1843" i="4"/>
  <c r="BK1843" i="4"/>
  <c r="BJ1835" i="4"/>
  <c r="BL1835" i="4"/>
  <c r="BK1835" i="4"/>
  <c r="BJ1827" i="4"/>
  <c r="BL1827" i="4"/>
  <c r="BK1827" i="4"/>
  <c r="BJ1819" i="4"/>
  <c r="BL1819" i="4"/>
  <c r="BK1819" i="4"/>
  <c r="BJ1811" i="4"/>
  <c r="BL1811" i="4"/>
  <c r="BK1811" i="4"/>
  <c r="BJ1803" i="4"/>
  <c r="BL1803" i="4"/>
  <c r="BK1803" i="4"/>
  <c r="BJ1795" i="4"/>
  <c r="BL1795" i="4"/>
  <c r="BK1795" i="4"/>
  <c r="BJ1787" i="4"/>
  <c r="BL1787" i="4"/>
  <c r="BK1787" i="4"/>
  <c r="BJ1779" i="4"/>
  <c r="BL1779" i="4"/>
  <c r="BK1779" i="4"/>
  <c r="BJ1771" i="4"/>
  <c r="BL1771" i="4"/>
  <c r="BK1771" i="4"/>
  <c r="BJ1763" i="4"/>
  <c r="BL1763" i="4"/>
  <c r="BK1763" i="4"/>
  <c r="BJ1755" i="4"/>
  <c r="BL1755" i="4"/>
  <c r="BK1755" i="4"/>
  <c r="BJ1747" i="4"/>
  <c r="BL1747" i="4"/>
  <c r="BK1747" i="4"/>
  <c r="BJ1739" i="4"/>
  <c r="BL1739" i="4"/>
  <c r="BK1739" i="4"/>
  <c r="BJ1731" i="4"/>
  <c r="BL1731" i="4"/>
  <c r="BK1731" i="4"/>
  <c r="BJ1723" i="4"/>
  <c r="BL1723" i="4"/>
  <c r="BK1723" i="4"/>
  <c r="BJ1715" i="4"/>
  <c r="BL1715" i="4"/>
  <c r="BK1715" i="4"/>
  <c r="BJ1707" i="4"/>
  <c r="BL1707" i="4"/>
  <c r="BK1707" i="4"/>
  <c r="BJ1699" i="4"/>
  <c r="BL1699" i="4"/>
  <c r="BK1699" i="4"/>
  <c r="BJ1691" i="4"/>
  <c r="BL1691" i="4"/>
  <c r="BK1691" i="4"/>
  <c r="BJ1683" i="4"/>
  <c r="BL1683" i="4"/>
  <c r="BK1683" i="4"/>
  <c r="BJ1675" i="4"/>
  <c r="BL1675" i="4"/>
  <c r="BK1675" i="4"/>
  <c r="BJ1667" i="4"/>
  <c r="BL1667" i="4"/>
  <c r="BK1667" i="4"/>
  <c r="BJ1659" i="4"/>
  <c r="BL1659" i="4"/>
  <c r="BK1659" i="4"/>
  <c r="BJ1651" i="4"/>
  <c r="BL1651" i="4"/>
  <c r="BK1651" i="4"/>
  <c r="BJ1643" i="4"/>
  <c r="BL1643" i="4"/>
  <c r="BK1643" i="4"/>
  <c r="BJ1635" i="4"/>
  <c r="BL1635" i="4"/>
  <c r="BK1635" i="4"/>
  <c r="BJ1627" i="4"/>
  <c r="BL1627" i="4"/>
  <c r="BK1627" i="4"/>
  <c r="BJ1619" i="4"/>
  <c r="BL1619" i="4"/>
  <c r="BK1619" i="4"/>
  <c r="BJ1611" i="4"/>
  <c r="BL1611" i="4"/>
  <c r="BK1611" i="4"/>
  <c r="BJ1603" i="4"/>
  <c r="BL1603" i="4"/>
  <c r="BK1603" i="4"/>
  <c r="BJ1595" i="4"/>
  <c r="BL1595" i="4"/>
  <c r="BK1595" i="4"/>
  <c r="BJ1587" i="4"/>
  <c r="BL1587" i="4"/>
  <c r="BK1587" i="4"/>
  <c r="BJ1579" i="4"/>
  <c r="BL1579" i="4"/>
  <c r="BK1579" i="4"/>
  <c r="BJ1571" i="4"/>
  <c r="BL1571" i="4"/>
  <c r="BK1571" i="4"/>
  <c r="BJ1563" i="4"/>
  <c r="BL1563" i="4"/>
  <c r="BK1563" i="4"/>
  <c r="BJ1555" i="4"/>
  <c r="BL1555" i="4"/>
  <c r="BK1555" i="4"/>
  <c r="BJ1547" i="4"/>
  <c r="BL1547" i="4"/>
  <c r="BK1547" i="4"/>
  <c r="BJ1539" i="4"/>
  <c r="BL1539" i="4"/>
  <c r="BK1539" i="4"/>
  <c r="BJ1531" i="4"/>
  <c r="BL1531" i="4"/>
  <c r="BK1531" i="4"/>
  <c r="BJ1523" i="4"/>
  <c r="BL1523" i="4"/>
  <c r="BK1523" i="4"/>
  <c r="BJ1515" i="4"/>
  <c r="BL1515" i="4"/>
  <c r="BK1515" i="4"/>
  <c r="BJ1507" i="4"/>
  <c r="BL1507" i="4"/>
  <c r="BK1507" i="4"/>
  <c r="BJ1499" i="4"/>
  <c r="BL1499" i="4"/>
  <c r="BK1499" i="4"/>
  <c r="BJ1491" i="4"/>
  <c r="BL1491" i="4"/>
  <c r="BK1491" i="4"/>
  <c r="BJ1483" i="4"/>
  <c r="BL1483" i="4"/>
  <c r="BK1483" i="4"/>
  <c r="BJ1475" i="4"/>
  <c r="BL1475" i="4"/>
  <c r="BK1475" i="4"/>
  <c r="BJ1467" i="4"/>
  <c r="BL1467" i="4"/>
  <c r="BK1467" i="4"/>
  <c r="BJ1459" i="4"/>
  <c r="BL1459" i="4"/>
  <c r="BK1459" i="4"/>
  <c r="BJ1451" i="4"/>
  <c r="BL1451" i="4"/>
  <c r="BK1451" i="4"/>
  <c r="BJ1443" i="4"/>
  <c r="BL1443" i="4"/>
  <c r="BK1443" i="4"/>
  <c r="BJ1435" i="4"/>
  <c r="BL1435" i="4"/>
  <c r="BK1435" i="4"/>
  <c r="BJ1427" i="4"/>
  <c r="BL1427" i="4"/>
  <c r="BK1427" i="4"/>
  <c r="BJ1419" i="4"/>
  <c r="BL1419" i="4"/>
  <c r="BK1419" i="4"/>
  <c r="BJ1411" i="4"/>
  <c r="BL1411" i="4"/>
  <c r="BK1411" i="4"/>
  <c r="BJ1403" i="4"/>
  <c r="BL1403" i="4"/>
  <c r="BK1403" i="4"/>
  <c r="BJ1395" i="4"/>
  <c r="BL1395" i="4"/>
  <c r="BK1395" i="4"/>
  <c r="BJ1387" i="4"/>
  <c r="BL1387" i="4"/>
  <c r="BK1387" i="4"/>
  <c r="BJ1379" i="4"/>
  <c r="BL1379" i="4"/>
  <c r="BK1379" i="4"/>
  <c r="BJ1371" i="4"/>
  <c r="BL1371" i="4"/>
  <c r="BK1371" i="4"/>
  <c r="BJ1363" i="4"/>
  <c r="BL1363" i="4"/>
  <c r="BK1363" i="4"/>
  <c r="BJ1355" i="4"/>
  <c r="BL1355" i="4"/>
  <c r="BK1355" i="4"/>
  <c r="BJ1347" i="4"/>
  <c r="BL1347" i="4"/>
  <c r="BK1347" i="4"/>
  <c r="BJ1339" i="4"/>
  <c r="BL1339" i="4"/>
  <c r="BK1339" i="4"/>
  <c r="BJ1331" i="4"/>
  <c r="BL1331" i="4"/>
  <c r="BK1331" i="4"/>
  <c r="BJ1323" i="4"/>
  <c r="BL1323" i="4"/>
  <c r="BK1323" i="4"/>
  <c r="BJ1315" i="4"/>
  <c r="BL1315" i="4"/>
  <c r="BK1315" i="4"/>
  <c r="BJ1307" i="4"/>
  <c r="BL1307" i="4"/>
  <c r="BK1307" i="4"/>
  <c r="BJ1299" i="4"/>
  <c r="BL1299" i="4"/>
  <c r="BK1299" i="4"/>
  <c r="BJ1291" i="4"/>
  <c r="BL1291" i="4"/>
  <c r="BK1291" i="4"/>
  <c r="BJ1283" i="4"/>
  <c r="BL1283" i="4"/>
  <c r="BK1283" i="4"/>
  <c r="BJ1275" i="4"/>
  <c r="BL1275" i="4"/>
  <c r="BK1275" i="4"/>
  <c r="BJ1267" i="4"/>
  <c r="BL1267" i="4"/>
  <c r="BK1267" i="4"/>
  <c r="BJ1259" i="4"/>
  <c r="BL1259" i="4"/>
  <c r="BK1259" i="4"/>
  <c r="BJ1251" i="4"/>
  <c r="BL1251" i="4"/>
  <c r="BK1251" i="4"/>
  <c r="BJ1243" i="4"/>
  <c r="BL1243" i="4"/>
  <c r="BK1243" i="4"/>
  <c r="BJ1235" i="4"/>
  <c r="BL1235" i="4"/>
  <c r="BK1235" i="4"/>
  <c r="BJ1227" i="4"/>
  <c r="BL1227" i="4"/>
  <c r="BK1227" i="4"/>
  <c r="BJ1219" i="4"/>
  <c r="BL1219" i="4"/>
  <c r="BK1219" i="4"/>
  <c r="BJ1211" i="4"/>
  <c r="BL1211" i="4"/>
  <c r="BK1211" i="4"/>
  <c r="BJ1203" i="4"/>
  <c r="BL1203" i="4"/>
  <c r="BK1203" i="4"/>
  <c r="BJ1195" i="4"/>
  <c r="BL1195" i="4"/>
  <c r="BK1195" i="4"/>
  <c r="BJ1187" i="4"/>
  <c r="BL1187" i="4"/>
  <c r="BK1187" i="4"/>
  <c r="BJ1179" i="4"/>
  <c r="BL1179" i="4"/>
  <c r="BK1179" i="4"/>
  <c r="BJ1171" i="4"/>
  <c r="BL1171" i="4"/>
  <c r="BK1171" i="4"/>
  <c r="BJ1163" i="4"/>
  <c r="BL1163" i="4"/>
  <c r="BK1163" i="4"/>
  <c r="BJ1155" i="4"/>
  <c r="BL1155" i="4"/>
  <c r="BK1155" i="4"/>
  <c r="BJ1147" i="4"/>
  <c r="BL1147" i="4"/>
  <c r="BK1147" i="4"/>
  <c r="BJ1139" i="4"/>
  <c r="BL1139" i="4"/>
  <c r="BK1139" i="4"/>
  <c r="BJ1131" i="4"/>
  <c r="BL1131" i="4"/>
  <c r="BK1131" i="4"/>
  <c r="BJ1123" i="4"/>
  <c r="BL1123" i="4"/>
  <c r="BK1123" i="4"/>
  <c r="BJ1115" i="4"/>
  <c r="BL1115" i="4"/>
  <c r="BK1115" i="4"/>
  <c r="BJ1107" i="4"/>
  <c r="BL1107" i="4"/>
  <c r="BK1107" i="4"/>
  <c r="BJ1099" i="4"/>
  <c r="BL1099" i="4"/>
  <c r="BK1099" i="4"/>
  <c r="BJ1091" i="4"/>
  <c r="BL1091" i="4"/>
  <c r="BK1091" i="4"/>
  <c r="BJ1083" i="4"/>
  <c r="BL1083" i="4"/>
  <c r="BK1083" i="4"/>
  <c r="BJ1075" i="4"/>
  <c r="BL1075" i="4"/>
  <c r="BK1075" i="4"/>
  <c r="BJ1067" i="4"/>
  <c r="BL1067" i="4"/>
  <c r="BK1067" i="4"/>
  <c r="BJ1059" i="4"/>
  <c r="BL1059" i="4"/>
  <c r="BK1059" i="4"/>
  <c r="BJ1051" i="4"/>
  <c r="BL1051" i="4"/>
  <c r="BK1051" i="4"/>
  <c r="BJ1043" i="4"/>
  <c r="BL1043" i="4"/>
  <c r="BK1043" i="4"/>
  <c r="BJ1035" i="4"/>
  <c r="BL1035" i="4"/>
  <c r="BK1035" i="4"/>
  <c r="BJ1027" i="4"/>
  <c r="BL1027" i="4"/>
  <c r="BK1027" i="4"/>
  <c r="BJ1019" i="4"/>
  <c r="BL1019" i="4"/>
  <c r="BK1019" i="4"/>
  <c r="BJ1011" i="4"/>
  <c r="BL1011" i="4"/>
  <c r="BK1011" i="4"/>
  <c r="BJ1003" i="4"/>
  <c r="BL1003" i="4"/>
  <c r="BK1003" i="4"/>
  <c r="BJ995" i="4"/>
  <c r="BL995" i="4"/>
  <c r="BK995" i="4"/>
  <c r="BJ987" i="4"/>
  <c r="BL987" i="4"/>
  <c r="BK987" i="4"/>
  <c r="BJ979" i="4"/>
  <c r="BL979" i="4"/>
  <c r="BK979" i="4"/>
  <c r="BJ971" i="4"/>
  <c r="BL971" i="4"/>
  <c r="BK971" i="4"/>
  <c r="BJ963" i="4"/>
  <c r="BL963" i="4"/>
  <c r="BK963" i="4"/>
  <c r="BJ955" i="4"/>
  <c r="BL955" i="4"/>
  <c r="BK955" i="4"/>
  <c r="BJ947" i="4"/>
  <c r="BL947" i="4"/>
  <c r="BK947" i="4"/>
  <c r="BJ939" i="4"/>
  <c r="BL939" i="4"/>
  <c r="BK939" i="4"/>
  <c r="BJ931" i="4"/>
  <c r="BL931" i="4"/>
  <c r="BK931" i="4"/>
  <c r="BJ923" i="4"/>
  <c r="BL923" i="4"/>
  <c r="BK923" i="4"/>
  <c r="BJ915" i="4"/>
  <c r="BL915" i="4"/>
  <c r="BK915" i="4"/>
  <c r="BJ907" i="4"/>
  <c r="BL907" i="4"/>
  <c r="BK907" i="4"/>
  <c r="BJ899" i="4"/>
  <c r="BL899" i="4"/>
  <c r="BK899" i="4"/>
  <c r="BJ891" i="4"/>
  <c r="BL891" i="4"/>
  <c r="BK891" i="4"/>
  <c r="BJ883" i="4"/>
  <c r="BL883" i="4"/>
  <c r="BK883" i="4"/>
  <c r="BJ875" i="4"/>
  <c r="BL875" i="4"/>
  <c r="BK875" i="4"/>
  <c r="BJ867" i="4"/>
  <c r="BL867" i="4"/>
  <c r="BK867" i="4"/>
  <c r="BJ859" i="4"/>
  <c r="BL859" i="4"/>
  <c r="BK859" i="4"/>
  <c r="BJ851" i="4"/>
  <c r="BL851" i="4"/>
  <c r="BK851" i="4"/>
  <c r="BJ843" i="4"/>
  <c r="BL843" i="4"/>
  <c r="BK843" i="4"/>
  <c r="BJ835" i="4"/>
  <c r="BL835" i="4"/>
  <c r="BK835" i="4"/>
  <c r="BJ827" i="4"/>
  <c r="BL827" i="4"/>
  <c r="BK827" i="4"/>
  <c r="BJ819" i="4"/>
  <c r="BL819" i="4"/>
  <c r="BK819" i="4"/>
  <c r="BJ811" i="4"/>
  <c r="BL811" i="4"/>
  <c r="BK811" i="4"/>
  <c r="BJ803" i="4"/>
  <c r="BL803" i="4"/>
  <c r="BK803" i="4"/>
  <c r="BJ795" i="4"/>
  <c r="BL795" i="4"/>
  <c r="BK795" i="4"/>
  <c r="BJ787" i="4"/>
  <c r="BL787" i="4"/>
  <c r="BK787" i="4"/>
  <c r="BJ779" i="4"/>
  <c r="BL779" i="4"/>
  <c r="BK779" i="4"/>
  <c r="BJ771" i="4"/>
  <c r="BL771" i="4"/>
  <c r="BK771" i="4"/>
  <c r="BJ763" i="4"/>
  <c r="BL763" i="4"/>
  <c r="BK763" i="4"/>
  <c r="BJ755" i="4"/>
  <c r="BL755" i="4"/>
  <c r="BK755" i="4"/>
  <c r="BJ747" i="4"/>
  <c r="BL747" i="4"/>
  <c r="BK747" i="4"/>
  <c r="BJ739" i="4"/>
  <c r="BL739" i="4"/>
  <c r="BK739" i="4"/>
  <c r="BJ731" i="4"/>
  <c r="BL731" i="4"/>
  <c r="BK731" i="4"/>
  <c r="BJ723" i="4"/>
  <c r="BL723" i="4"/>
  <c r="BK723" i="4"/>
  <c r="BJ715" i="4"/>
  <c r="BL715" i="4"/>
  <c r="BK715" i="4"/>
  <c r="BJ707" i="4"/>
  <c r="BL707" i="4"/>
  <c r="BK707" i="4"/>
  <c r="BJ699" i="4"/>
  <c r="BL699" i="4"/>
  <c r="BK699" i="4"/>
  <c r="BJ691" i="4"/>
  <c r="BL691" i="4"/>
  <c r="BK691" i="4"/>
  <c r="BJ683" i="4"/>
  <c r="BL683" i="4"/>
  <c r="BK683" i="4"/>
  <c r="BJ675" i="4"/>
  <c r="BL675" i="4"/>
  <c r="BK675" i="4"/>
  <c r="BJ667" i="4"/>
  <c r="BL667" i="4"/>
  <c r="BK667" i="4"/>
  <c r="BJ659" i="4"/>
  <c r="BL659" i="4"/>
  <c r="BK659" i="4"/>
  <c r="BJ651" i="4"/>
  <c r="BL651" i="4"/>
  <c r="BK651" i="4"/>
  <c r="BJ643" i="4"/>
  <c r="BL643" i="4"/>
  <c r="BK643" i="4"/>
  <c r="BJ635" i="4"/>
  <c r="BL635" i="4"/>
  <c r="BK635" i="4"/>
  <c r="BJ627" i="4"/>
  <c r="BL627" i="4"/>
  <c r="BK627" i="4"/>
  <c r="BJ619" i="4"/>
  <c r="BL619" i="4"/>
  <c r="BK619" i="4"/>
  <c r="BJ611" i="4"/>
  <c r="BL611" i="4"/>
  <c r="BK611" i="4"/>
  <c r="BJ603" i="4"/>
  <c r="BL603" i="4"/>
  <c r="BK603" i="4"/>
  <c r="BJ595" i="4"/>
  <c r="BL595" i="4"/>
  <c r="BK595" i="4"/>
  <c r="BJ587" i="4"/>
  <c r="BL587" i="4"/>
  <c r="BK587" i="4"/>
  <c r="BJ579" i="4"/>
  <c r="BL579" i="4"/>
  <c r="BK579" i="4"/>
  <c r="BJ571" i="4"/>
  <c r="BL571" i="4"/>
  <c r="BK571" i="4"/>
  <c r="BJ563" i="4"/>
  <c r="BL563" i="4"/>
  <c r="BK563" i="4"/>
  <c r="BJ555" i="4"/>
  <c r="BL555" i="4"/>
  <c r="BK555" i="4"/>
  <c r="BJ547" i="4"/>
  <c r="BL547" i="4"/>
  <c r="BK547" i="4"/>
  <c r="BJ539" i="4"/>
  <c r="BL539" i="4"/>
  <c r="BK539" i="4"/>
  <c r="BJ531" i="4"/>
  <c r="BL531" i="4"/>
  <c r="BK531" i="4"/>
  <c r="BJ523" i="4"/>
  <c r="BL523" i="4"/>
  <c r="BK523" i="4"/>
  <c r="BJ515" i="4"/>
  <c r="BL515" i="4"/>
  <c r="BK515" i="4"/>
  <c r="BJ507" i="4"/>
  <c r="BL507" i="4"/>
  <c r="BK507" i="4"/>
  <c r="BJ499" i="4"/>
  <c r="BL499" i="4"/>
  <c r="BK499" i="4"/>
  <c r="BJ491" i="4"/>
  <c r="BL491" i="4"/>
  <c r="BK491" i="4"/>
  <c r="BJ483" i="4"/>
  <c r="BL483" i="4"/>
  <c r="BK483" i="4"/>
  <c r="BJ475" i="4"/>
  <c r="BL475" i="4"/>
  <c r="BK475" i="4"/>
  <c r="BJ467" i="4"/>
  <c r="BL467" i="4"/>
  <c r="BK467" i="4"/>
  <c r="BJ459" i="4"/>
  <c r="BL459" i="4"/>
  <c r="BK459" i="4"/>
  <c r="BJ451" i="4"/>
  <c r="BL451" i="4"/>
  <c r="BK451" i="4"/>
  <c r="BJ443" i="4"/>
  <c r="BL443" i="4"/>
  <c r="BK443" i="4"/>
  <c r="BJ435" i="4"/>
  <c r="BL435" i="4"/>
  <c r="BK435" i="4"/>
  <c r="BJ427" i="4"/>
  <c r="BL427" i="4"/>
  <c r="BK427" i="4"/>
  <c r="BJ419" i="4"/>
  <c r="BL419" i="4"/>
  <c r="BK419" i="4"/>
  <c r="BJ411" i="4"/>
  <c r="BL411" i="4"/>
  <c r="BK411" i="4"/>
  <c r="BJ403" i="4"/>
  <c r="BL403" i="4"/>
  <c r="BK403" i="4"/>
  <c r="BJ395" i="4"/>
  <c r="BL395" i="4"/>
  <c r="BK395" i="4"/>
  <c r="BJ387" i="4"/>
  <c r="BL387" i="4"/>
  <c r="BK387" i="4"/>
  <c r="BJ379" i="4"/>
  <c r="BL379" i="4"/>
  <c r="BK379" i="4"/>
  <c r="BJ371" i="4"/>
  <c r="BL371" i="4"/>
  <c r="BK371" i="4"/>
  <c r="BJ363" i="4"/>
  <c r="BL363" i="4"/>
  <c r="BK363" i="4"/>
  <c r="BJ355" i="4"/>
  <c r="BL355" i="4"/>
  <c r="BK355" i="4"/>
  <c r="BJ347" i="4"/>
  <c r="BL347" i="4"/>
  <c r="BK347" i="4"/>
  <c r="BJ339" i="4"/>
  <c r="BL339" i="4"/>
  <c r="BK339" i="4"/>
  <c r="BJ331" i="4"/>
  <c r="BL331" i="4"/>
  <c r="BK331" i="4"/>
  <c r="BJ323" i="4"/>
  <c r="BL323" i="4"/>
  <c r="BK323" i="4"/>
  <c r="BJ5296" i="4"/>
  <c r="BL5296" i="4"/>
  <c r="BK5296" i="4"/>
  <c r="BJ5240" i="4"/>
  <c r="BL5240" i="4"/>
  <c r="BK5240" i="4"/>
  <c r="BJ5184" i="4"/>
  <c r="BL5184" i="4"/>
  <c r="BK5184" i="4"/>
  <c r="BJ5128" i="4"/>
  <c r="BL5128" i="4"/>
  <c r="BK5128" i="4"/>
  <c r="BJ5072" i="4"/>
  <c r="BL5072" i="4"/>
  <c r="BK5072" i="4"/>
  <c r="BJ5016" i="4"/>
  <c r="BL5016" i="4"/>
  <c r="BK5016" i="4"/>
  <c r="BJ4960" i="4"/>
  <c r="BL4960" i="4"/>
  <c r="BK4960" i="4"/>
  <c r="BJ4904" i="4"/>
  <c r="BL4904" i="4"/>
  <c r="BK4904" i="4"/>
  <c r="BJ4848" i="4"/>
  <c r="BL4848" i="4"/>
  <c r="BK4848" i="4"/>
  <c r="BJ4792" i="4"/>
  <c r="BL4792" i="4"/>
  <c r="BK4792" i="4"/>
  <c r="BJ4736" i="4"/>
  <c r="BK4736" i="4"/>
  <c r="BL4736" i="4"/>
  <c r="BJ4680" i="4"/>
  <c r="BL4680" i="4"/>
  <c r="BK4680" i="4"/>
  <c r="BJ4624" i="4"/>
  <c r="BK4624" i="4"/>
  <c r="BL4624" i="4"/>
  <c r="BJ4568" i="4"/>
  <c r="BK4568" i="4"/>
  <c r="BL4568" i="4"/>
  <c r="BJ4512" i="4"/>
  <c r="BL4512" i="4"/>
  <c r="BK4512" i="4"/>
  <c r="BJ4456" i="4"/>
  <c r="BL4456" i="4"/>
  <c r="BK4456" i="4"/>
  <c r="BJ4400" i="4"/>
  <c r="BL4400" i="4"/>
  <c r="BK4400" i="4"/>
  <c r="BJ4344" i="4"/>
  <c r="BL4344" i="4"/>
  <c r="BK4344" i="4"/>
  <c r="BJ4288" i="4"/>
  <c r="BK4288" i="4"/>
  <c r="BL4288" i="4"/>
  <c r="BJ4232" i="4"/>
  <c r="BL4232" i="4"/>
  <c r="BK4232" i="4"/>
  <c r="BJ4176" i="4"/>
  <c r="BL4176" i="4"/>
  <c r="BK4176" i="4"/>
  <c r="BJ4120" i="4"/>
  <c r="BK4120" i="4"/>
  <c r="BL4120" i="4"/>
  <c r="BJ4064" i="4"/>
  <c r="BL4064" i="4"/>
  <c r="BK4064" i="4"/>
  <c r="BJ4008" i="4"/>
  <c r="BL4008" i="4"/>
  <c r="BK4008" i="4"/>
  <c r="BJ3952" i="4"/>
  <c r="BL3952" i="4"/>
  <c r="BK3952" i="4"/>
  <c r="BJ3904" i="4"/>
  <c r="BL3904" i="4"/>
  <c r="BK3904" i="4"/>
  <c r="BJ3848" i="4"/>
  <c r="BL3848" i="4"/>
  <c r="BK3848" i="4"/>
  <c r="BJ3784" i="4"/>
  <c r="BL3784" i="4"/>
  <c r="BK3784" i="4"/>
  <c r="BJ3720" i="4"/>
  <c r="BL3720" i="4"/>
  <c r="BK3720" i="4"/>
  <c r="BJ3656" i="4"/>
  <c r="BL3656" i="4"/>
  <c r="BK3656" i="4"/>
  <c r="BJ3600" i="4"/>
  <c r="BL3600" i="4"/>
  <c r="BK3600" i="4"/>
  <c r="BJ3528" i="4"/>
  <c r="BL3528" i="4"/>
  <c r="BK3528" i="4"/>
  <c r="BJ3464" i="4"/>
  <c r="BL3464" i="4"/>
  <c r="BK3464" i="4"/>
  <c r="BJ3408" i="4"/>
  <c r="BL3408" i="4"/>
  <c r="BK3408" i="4"/>
  <c r="BJ3352" i="4"/>
  <c r="BL3352" i="4"/>
  <c r="BK3352" i="4"/>
  <c r="BJ3280" i="4"/>
  <c r="BL3280" i="4"/>
  <c r="BK3280" i="4"/>
  <c r="BJ3200" i="4"/>
  <c r="BL3200" i="4"/>
  <c r="BK3200" i="4"/>
  <c r="BJ3104" i="4"/>
  <c r="BL3104" i="4"/>
  <c r="BK3104" i="4"/>
  <c r="BJ3048" i="4"/>
  <c r="BL3048" i="4"/>
  <c r="BK3048" i="4"/>
  <c r="BJ2992" i="4"/>
  <c r="BL2992" i="4"/>
  <c r="BK2992" i="4"/>
  <c r="BJ2936" i="4"/>
  <c r="BL2936" i="4"/>
  <c r="BK2936" i="4"/>
  <c r="BJ2880" i="4"/>
  <c r="BL2880" i="4"/>
  <c r="BK2880" i="4"/>
  <c r="BJ2824" i="4"/>
  <c r="BL2824" i="4"/>
  <c r="BK2824" i="4"/>
  <c r="BJ2768" i="4"/>
  <c r="BL2768" i="4"/>
  <c r="BK2768" i="4"/>
  <c r="BJ2704" i="4"/>
  <c r="BL2704" i="4"/>
  <c r="BK2704" i="4"/>
  <c r="BJ2648" i="4"/>
  <c r="BL2648" i="4"/>
  <c r="BK2648" i="4"/>
  <c r="BJ2592" i="4"/>
  <c r="BL2592" i="4"/>
  <c r="BK2592" i="4"/>
  <c r="BJ2536" i="4"/>
  <c r="BL2536" i="4"/>
  <c r="BK2536" i="4"/>
  <c r="BJ2480" i="4"/>
  <c r="BL2480" i="4"/>
  <c r="BK2480" i="4"/>
  <c r="BJ2432" i="4"/>
  <c r="BL2432" i="4"/>
  <c r="BK2432" i="4"/>
  <c r="BJ2384" i="4"/>
  <c r="BL2384" i="4"/>
  <c r="BK2384" i="4"/>
  <c r="BJ2328" i="4"/>
  <c r="BL2328" i="4"/>
  <c r="BK2328" i="4"/>
  <c r="BJ2272" i="4"/>
  <c r="BL2272" i="4"/>
  <c r="BK2272" i="4"/>
  <c r="BJ2216" i="4"/>
  <c r="BL2216" i="4"/>
  <c r="BK2216" i="4"/>
  <c r="BJ2160" i="4"/>
  <c r="BL2160" i="4"/>
  <c r="BK2160" i="4"/>
  <c r="BJ2096" i="4"/>
  <c r="BL2096" i="4"/>
  <c r="BK2096" i="4"/>
  <c r="BJ2040" i="4"/>
  <c r="BL2040" i="4"/>
  <c r="BK2040" i="4"/>
  <c r="BJ1984" i="4"/>
  <c r="BL1984" i="4"/>
  <c r="BK1984" i="4"/>
  <c r="BJ1912" i="4"/>
  <c r="BL1912" i="4"/>
  <c r="BK1912" i="4"/>
  <c r="BJ1856" i="4"/>
  <c r="BL1856" i="4"/>
  <c r="BK1856" i="4"/>
  <c r="BJ1800" i="4"/>
  <c r="BL1800" i="4"/>
  <c r="BK1800" i="4"/>
  <c r="BJ1736" i="4"/>
  <c r="BL1736" i="4"/>
  <c r="BK1736" i="4"/>
  <c r="BJ1656" i="4"/>
  <c r="BL1656" i="4"/>
  <c r="BK1656" i="4"/>
  <c r="BJ1600" i="4"/>
  <c r="BL1600" i="4"/>
  <c r="BK1600" i="4"/>
  <c r="BJ1544" i="4"/>
  <c r="BL1544" i="4"/>
  <c r="BK1544" i="4"/>
  <c r="BJ1488" i="4"/>
  <c r="BL1488" i="4"/>
  <c r="BK1488" i="4"/>
  <c r="BJ1432" i="4"/>
  <c r="BL1432" i="4"/>
  <c r="BK1432" i="4"/>
  <c r="BJ1368" i="4"/>
  <c r="BL1368" i="4"/>
  <c r="BK1368" i="4"/>
  <c r="BJ1312" i="4"/>
  <c r="BL1312" i="4"/>
  <c r="BK1312" i="4"/>
  <c r="BJ1240" i="4"/>
  <c r="BL1240" i="4"/>
  <c r="BK1240" i="4"/>
  <c r="BJ1184" i="4"/>
  <c r="BL1184" i="4"/>
  <c r="BK1184" i="4"/>
  <c r="BJ1120" i="4"/>
  <c r="BL1120" i="4"/>
  <c r="BK1120" i="4"/>
  <c r="BJ1048" i="4"/>
  <c r="BL1048" i="4"/>
  <c r="BK1048" i="4"/>
  <c r="BJ984" i="4"/>
  <c r="BL984" i="4"/>
  <c r="BK984" i="4"/>
  <c r="BJ912" i="4"/>
  <c r="BL912" i="4"/>
  <c r="BK912" i="4"/>
  <c r="BJ840" i="4"/>
  <c r="BL840" i="4"/>
  <c r="BK840" i="4"/>
  <c r="BJ768" i="4"/>
  <c r="BL768" i="4"/>
  <c r="BK768" i="4"/>
  <c r="BJ704" i="4"/>
  <c r="BL704" i="4"/>
  <c r="BK704" i="4"/>
  <c r="BJ632" i="4"/>
  <c r="BL632" i="4"/>
  <c r="BK632" i="4"/>
  <c r="BJ560" i="4"/>
  <c r="BL560" i="4"/>
  <c r="BK560" i="4"/>
  <c r="BJ504" i="4"/>
  <c r="BL504" i="4"/>
  <c r="BK504" i="4"/>
  <c r="BJ432" i="4"/>
  <c r="BL432" i="4"/>
  <c r="BK432" i="4"/>
  <c r="BJ352" i="4"/>
  <c r="BL352" i="4"/>
  <c r="BK352" i="4"/>
  <c r="BJ5330" i="4"/>
  <c r="BL5330" i="4"/>
  <c r="BK5330" i="4"/>
  <c r="BJ5322" i="4"/>
  <c r="BL5322" i="4"/>
  <c r="BK5322" i="4"/>
  <c r="BJ5314" i="4"/>
  <c r="BL5314" i="4"/>
  <c r="BK5314" i="4"/>
  <c r="BJ5306" i="4"/>
  <c r="BL5306" i="4"/>
  <c r="BK5306" i="4"/>
  <c r="BJ5298" i="4"/>
  <c r="BL5298" i="4"/>
  <c r="BK5298" i="4"/>
  <c r="BJ5290" i="4"/>
  <c r="BL5290" i="4"/>
  <c r="BK5290" i="4"/>
  <c r="BJ5282" i="4"/>
  <c r="BL5282" i="4"/>
  <c r="BK5282" i="4"/>
  <c r="BJ5274" i="4"/>
  <c r="BL5274" i="4"/>
  <c r="BK5274" i="4"/>
  <c r="BJ5266" i="4"/>
  <c r="BL5266" i="4"/>
  <c r="BK5266" i="4"/>
  <c r="BJ5258" i="4"/>
  <c r="BL5258" i="4"/>
  <c r="BK5258" i="4"/>
  <c r="BJ5250" i="4"/>
  <c r="BL5250" i="4"/>
  <c r="BK5250" i="4"/>
  <c r="BJ5242" i="4"/>
  <c r="BL5242" i="4"/>
  <c r="BK5242" i="4"/>
  <c r="BJ5234" i="4"/>
  <c r="BL5234" i="4"/>
  <c r="BK5234" i="4"/>
  <c r="BJ5226" i="4"/>
  <c r="BL5226" i="4"/>
  <c r="BK5226" i="4"/>
  <c r="BJ5218" i="4"/>
  <c r="BL5218" i="4"/>
  <c r="BK5218" i="4"/>
  <c r="BJ5210" i="4"/>
  <c r="BL5210" i="4"/>
  <c r="BK5210" i="4"/>
  <c r="BJ5202" i="4"/>
  <c r="BL5202" i="4"/>
  <c r="BK5202" i="4"/>
  <c r="BJ5194" i="4"/>
  <c r="BL5194" i="4"/>
  <c r="BK5194" i="4"/>
  <c r="BJ5186" i="4"/>
  <c r="BL5186" i="4"/>
  <c r="BK5186" i="4"/>
  <c r="BJ5178" i="4"/>
  <c r="BL5178" i="4"/>
  <c r="BK5178" i="4"/>
  <c r="BJ5170" i="4"/>
  <c r="BL5170" i="4"/>
  <c r="BK5170" i="4"/>
  <c r="BJ5162" i="4"/>
  <c r="BL5162" i="4"/>
  <c r="BK5162" i="4"/>
  <c r="BJ5154" i="4"/>
  <c r="BL5154" i="4"/>
  <c r="BK5154" i="4"/>
  <c r="BJ5146" i="4"/>
  <c r="BL5146" i="4"/>
  <c r="BK5146" i="4"/>
  <c r="BJ5138" i="4"/>
  <c r="BL5138" i="4"/>
  <c r="BK5138" i="4"/>
  <c r="BJ5130" i="4"/>
  <c r="BL5130" i="4"/>
  <c r="BK5130" i="4"/>
  <c r="BJ5122" i="4"/>
  <c r="BL5122" i="4"/>
  <c r="BK5122" i="4"/>
  <c r="BJ5114" i="4"/>
  <c r="BL5114" i="4"/>
  <c r="BK5114" i="4"/>
  <c r="BJ5106" i="4"/>
  <c r="BL5106" i="4"/>
  <c r="BK5106" i="4"/>
  <c r="BJ5098" i="4"/>
  <c r="BL5098" i="4"/>
  <c r="BK5098" i="4"/>
  <c r="BJ5090" i="4"/>
  <c r="BL5090" i="4"/>
  <c r="BK5090" i="4"/>
  <c r="BJ5082" i="4"/>
  <c r="BL5082" i="4"/>
  <c r="BK5082" i="4"/>
  <c r="BJ5074" i="4"/>
  <c r="BL5074" i="4"/>
  <c r="BK5074" i="4"/>
  <c r="BJ5066" i="4"/>
  <c r="BL5066" i="4"/>
  <c r="BK5066" i="4"/>
  <c r="BJ5058" i="4"/>
  <c r="BL5058" i="4"/>
  <c r="BK5058" i="4"/>
  <c r="BJ5050" i="4"/>
  <c r="BL5050" i="4"/>
  <c r="BK5050" i="4"/>
  <c r="BJ5042" i="4"/>
  <c r="BL5042" i="4"/>
  <c r="BK5042" i="4"/>
  <c r="BJ5034" i="4"/>
  <c r="BL5034" i="4"/>
  <c r="BK5034" i="4"/>
  <c r="BJ5026" i="4"/>
  <c r="BL5026" i="4"/>
  <c r="BK5026" i="4"/>
  <c r="BJ5018" i="4"/>
  <c r="BL5018" i="4"/>
  <c r="BK5018" i="4"/>
  <c r="BJ5010" i="4"/>
  <c r="BL5010" i="4"/>
  <c r="BK5010" i="4"/>
  <c r="BJ5002" i="4"/>
  <c r="BL5002" i="4"/>
  <c r="BK5002" i="4"/>
  <c r="BJ4994" i="4"/>
  <c r="BL4994" i="4"/>
  <c r="BK4994" i="4"/>
  <c r="BJ4986" i="4"/>
  <c r="BL4986" i="4"/>
  <c r="BK4986" i="4"/>
  <c r="BJ4978" i="4"/>
  <c r="BL4978" i="4"/>
  <c r="BK4978" i="4"/>
  <c r="BJ4970" i="4"/>
  <c r="BL4970" i="4"/>
  <c r="BK4970" i="4"/>
  <c r="BJ4962" i="4"/>
  <c r="BL4962" i="4"/>
  <c r="BK4962" i="4"/>
  <c r="BJ4954" i="4"/>
  <c r="BL4954" i="4"/>
  <c r="BK4954" i="4"/>
  <c r="BJ4946" i="4"/>
  <c r="BL4946" i="4"/>
  <c r="BK4946" i="4"/>
  <c r="BJ4938" i="4"/>
  <c r="BL4938" i="4"/>
  <c r="BK4938" i="4"/>
  <c r="BJ4930" i="4"/>
  <c r="BK4930" i="4"/>
  <c r="BL4930" i="4"/>
  <c r="BJ4922" i="4"/>
  <c r="BL4922" i="4"/>
  <c r="BK4922" i="4"/>
  <c r="BJ4914" i="4"/>
  <c r="BL4914" i="4"/>
  <c r="BK4914" i="4"/>
  <c r="BJ4906" i="4"/>
  <c r="BL4906" i="4"/>
  <c r="BK4906" i="4"/>
  <c r="BJ4898" i="4"/>
  <c r="BL4898" i="4"/>
  <c r="BK4898" i="4"/>
  <c r="BJ4890" i="4"/>
  <c r="BL4890" i="4"/>
  <c r="BK4890" i="4"/>
  <c r="BJ4882" i="4"/>
  <c r="BL4882" i="4"/>
  <c r="BK4882" i="4"/>
  <c r="BJ4874" i="4"/>
  <c r="BL4874" i="4"/>
  <c r="BK4874" i="4"/>
  <c r="BJ4866" i="4"/>
  <c r="BL4866" i="4"/>
  <c r="BK4866" i="4"/>
  <c r="BJ4858" i="4"/>
  <c r="BL4858" i="4"/>
  <c r="BK4858" i="4"/>
  <c r="BJ4850" i="4"/>
  <c r="BL4850" i="4"/>
  <c r="BK4850" i="4"/>
  <c r="BJ4842" i="4"/>
  <c r="BL4842" i="4"/>
  <c r="BK4842" i="4"/>
  <c r="BJ4834" i="4"/>
  <c r="BL4834" i="4"/>
  <c r="BK4834" i="4"/>
  <c r="BJ4826" i="4"/>
  <c r="BL4826" i="4"/>
  <c r="BK4826" i="4"/>
  <c r="BJ4818" i="4"/>
  <c r="BL4818" i="4"/>
  <c r="BK4818" i="4"/>
  <c r="BJ4810" i="4"/>
  <c r="BL4810" i="4"/>
  <c r="BK4810" i="4"/>
  <c r="BJ4802" i="4"/>
  <c r="BL4802" i="4"/>
  <c r="BK4802" i="4"/>
  <c r="BJ4794" i="4"/>
  <c r="BL4794" i="4"/>
  <c r="BK4794" i="4"/>
  <c r="BJ4786" i="4"/>
  <c r="BL4786" i="4"/>
  <c r="BK4786" i="4"/>
  <c r="BJ4778" i="4"/>
  <c r="BL4778" i="4"/>
  <c r="BK4778" i="4"/>
  <c r="BJ4770" i="4"/>
  <c r="BL4770" i="4"/>
  <c r="BK4770" i="4"/>
  <c r="BJ4762" i="4"/>
  <c r="BL4762" i="4"/>
  <c r="BK4762" i="4"/>
  <c r="BJ4754" i="4"/>
  <c r="BL4754" i="4"/>
  <c r="BK4754" i="4"/>
  <c r="BJ4746" i="4"/>
  <c r="BL4746" i="4"/>
  <c r="BK4746" i="4"/>
  <c r="BJ4738" i="4"/>
  <c r="BL4738" i="4"/>
  <c r="BK4738" i="4"/>
  <c r="BJ4730" i="4"/>
  <c r="BL4730" i="4"/>
  <c r="BK4730" i="4"/>
  <c r="BJ4722" i="4"/>
  <c r="BL4722" i="4"/>
  <c r="BK4722" i="4"/>
  <c r="BJ4714" i="4"/>
  <c r="BL4714" i="4"/>
  <c r="BK4714" i="4"/>
  <c r="BJ4706" i="4"/>
  <c r="BL4706" i="4"/>
  <c r="BK4706" i="4"/>
  <c r="BJ4698" i="4"/>
  <c r="BL4698" i="4"/>
  <c r="BK4698" i="4"/>
  <c r="BJ4690" i="4"/>
  <c r="BL4690" i="4"/>
  <c r="BK4690" i="4"/>
  <c r="BJ4682" i="4"/>
  <c r="BL4682" i="4"/>
  <c r="BK4682" i="4"/>
  <c r="BJ4674" i="4"/>
  <c r="BL4674" i="4"/>
  <c r="BK4674" i="4"/>
  <c r="BJ4666" i="4"/>
  <c r="BL4666" i="4"/>
  <c r="BK4666" i="4"/>
  <c r="BJ4658" i="4"/>
  <c r="BL4658" i="4"/>
  <c r="BK4658" i="4"/>
  <c r="BJ4650" i="4"/>
  <c r="BL4650" i="4"/>
  <c r="BK4650" i="4"/>
  <c r="BJ4642" i="4"/>
  <c r="BL4642" i="4"/>
  <c r="BK4642" i="4"/>
  <c r="BJ4634" i="4"/>
  <c r="BL4634" i="4"/>
  <c r="BK4634" i="4"/>
  <c r="BJ4626" i="4"/>
  <c r="BL4626" i="4"/>
  <c r="BK4626" i="4"/>
  <c r="BJ4618" i="4"/>
  <c r="BL4618" i="4"/>
  <c r="BK4618" i="4"/>
  <c r="BJ4610" i="4"/>
  <c r="BL4610" i="4"/>
  <c r="BK4610" i="4"/>
  <c r="BJ4602" i="4"/>
  <c r="BL4602" i="4"/>
  <c r="BK4602" i="4"/>
  <c r="BJ4594" i="4"/>
  <c r="BL4594" i="4"/>
  <c r="BK4594" i="4"/>
  <c r="BJ4586" i="4"/>
  <c r="BL4586" i="4"/>
  <c r="BK4586" i="4"/>
  <c r="BJ4578" i="4"/>
  <c r="BL4578" i="4"/>
  <c r="BK4578" i="4"/>
  <c r="BJ4570" i="4"/>
  <c r="BL4570" i="4"/>
  <c r="BK4570" i="4"/>
  <c r="BJ4562" i="4"/>
  <c r="BL4562" i="4"/>
  <c r="BK4562" i="4"/>
  <c r="BJ4554" i="4"/>
  <c r="BL4554" i="4"/>
  <c r="BK4554" i="4"/>
  <c r="BJ4546" i="4"/>
  <c r="BL4546" i="4"/>
  <c r="BK4546" i="4"/>
  <c r="BJ4538" i="4"/>
  <c r="BL4538" i="4"/>
  <c r="BK4538" i="4"/>
  <c r="BJ4530" i="4"/>
  <c r="BL4530" i="4"/>
  <c r="BK4530" i="4"/>
  <c r="BJ4522" i="4"/>
  <c r="BL4522" i="4"/>
  <c r="BK4522" i="4"/>
  <c r="BJ4514" i="4"/>
  <c r="BL4514" i="4"/>
  <c r="BK4514" i="4"/>
  <c r="BJ4506" i="4"/>
  <c r="BL4506" i="4"/>
  <c r="BK4506" i="4"/>
  <c r="BJ4498" i="4"/>
  <c r="BL4498" i="4"/>
  <c r="BK4498" i="4"/>
  <c r="BJ4490" i="4"/>
  <c r="BL4490" i="4"/>
  <c r="BK4490" i="4"/>
  <c r="BJ4482" i="4"/>
  <c r="BL4482" i="4"/>
  <c r="BK4482" i="4"/>
  <c r="BJ4474" i="4"/>
  <c r="BL4474" i="4"/>
  <c r="BK4474" i="4"/>
  <c r="BJ4466" i="4"/>
  <c r="BL4466" i="4"/>
  <c r="BK4466" i="4"/>
  <c r="BJ4458" i="4"/>
  <c r="BL4458" i="4"/>
  <c r="BK4458" i="4"/>
  <c r="BJ4450" i="4"/>
  <c r="BL4450" i="4"/>
  <c r="BK4450" i="4"/>
  <c r="BJ4442" i="4"/>
  <c r="BL4442" i="4"/>
  <c r="BK4442" i="4"/>
  <c r="BJ4434" i="4"/>
  <c r="BL4434" i="4"/>
  <c r="BK4434" i="4"/>
  <c r="BJ4426" i="4"/>
  <c r="BL4426" i="4"/>
  <c r="BK4426" i="4"/>
  <c r="BJ4418" i="4"/>
  <c r="BL4418" i="4"/>
  <c r="BK4418" i="4"/>
  <c r="BJ4410" i="4"/>
  <c r="BL4410" i="4"/>
  <c r="BK4410" i="4"/>
  <c r="BJ4402" i="4"/>
  <c r="BL4402" i="4"/>
  <c r="BK4402" i="4"/>
  <c r="BJ4394" i="4"/>
  <c r="BL4394" i="4"/>
  <c r="BK4394" i="4"/>
  <c r="BJ4386" i="4"/>
  <c r="BL4386" i="4"/>
  <c r="BK4386" i="4"/>
  <c r="BJ4378" i="4"/>
  <c r="BL4378" i="4"/>
  <c r="BK4378" i="4"/>
  <c r="BJ4370" i="4"/>
  <c r="BL4370" i="4"/>
  <c r="BK4370" i="4"/>
  <c r="BJ4362" i="4"/>
  <c r="BL4362" i="4"/>
  <c r="BK4362" i="4"/>
  <c r="BJ4354" i="4"/>
  <c r="BL4354" i="4"/>
  <c r="BK4354" i="4"/>
  <c r="BJ4346" i="4"/>
  <c r="BL4346" i="4"/>
  <c r="BK4346" i="4"/>
  <c r="BJ4338" i="4"/>
  <c r="BL4338" i="4"/>
  <c r="BK4338" i="4"/>
  <c r="BJ4330" i="4"/>
  <c r="BL4330" i="4"/>
  <c r="BK4330" i="4"/>
  <c r="BJ4322" i="4"/>
  <c r="BL4322" i="4"/>
  <c r="BK4322" i="4"/>
  <c r="BJ4314" i="4"/>
  <c r="BL4314" i="4"/>
  <c r="BK4314" i="4"/>
  <c r="BJ4306" i="4"/>
  <c r="BL4306" i="4"/>
  <c r="BK4306" i="4"/>
  <c r="BJ4298" i="4"/>
  <c r="BL4298" i="4"/>
  <c r="BK4298" i="4"/>
  <c r="BJ4290" i="4"/>
  <c r="BL4290" i="4"/>
  <c r="BK4290" i="4"/>
  <c r="BJ4282" i="4"/>
  <c r="BL4282" i="4"/>
  <c r="BK4282" i="4"/>
  <c r="BJ4274" i="4"/>
  <c r="BL4274" i="4"/>
  <c r="BK4274" i="4"/>
  <c r="BJ4266" i="4"/>
  <c r="BL4266" i="4"/>
  <c r="BK4266" i="4"/>
  <c r="BJ4258" i="4"/>
  <c r="BL4258" i="4"/>
  <c r="BK4258" i="4"/>
  <c r="BJ4250" i="4"/>
  <c r="BL4250" i="4"/>
  <c r="BK4250" i="4"/>
  <c r="BJ4242" i="4"/>
  <c r="BL4242" i="4"/>
  <c r="BK4242" i="4"/>
  <c r="BJ4234" i="4"/>
  <c r="BL4234" i="4"/>
  <c r="BK4234" i="4"/>
  <c r="BJ4226" i="4"/>
  <c r="BL4226" i="4"/>
  <c r="BK4226" i="4"/>
  <c r="BJ4218" i="4"/>
  <c r="BL4218" i="4"/>
  <c r="BK4218" i="4"/>
  <c r="BJ4210" i="4"/>
  <c r="BL4210" i="4"/>
  <c r="BK4210" i="4"/>
  <c r="BJ4202" i="4"/>
  <c r="BL4202" i="4"/>
  <c r="BK4202" i="4"/>
  <c r="BJ4194" i="4"/>
  <c r="BL4194" i="4"/>
  <c r="BK4194" i="4"/>
  <c r="BJ4186" i="4"/>
  <c r="BL4186" i="4"/>
  <c r="BK4186" i="4"/>
  <c r="BJ4178" i="4"/>
  <c r="BL4178" i="4"/>
  <c r="BK4178" i="4"/>
  <c r="BJ4170" i="4"/>
  <c r="BL4170" i="4"/>
  <c r="BK4170" i="4"/>
  <c r="BJ4162" i="4"/>
  <c r="BL4162" i="4"/>
  <c r="BK4162" i="4"/>
  <c r="BJ4154" i="4"/>
  <c r="BL4154" i="4"/>
  <c r="BK4154" i="4"/>
  <c r="BJ4146" i="4"/>
  <c r="BL4146" i="4"/>
  <c r="BK4146" i="4"/>
  <c r="BJ4138" i="4"/>
  <c r="BL4138" i="4"/>
  <c r="BK4138" i="4"/>
  <c r="BJ4130" i="4"/>
  <c r="BL4130" i="4"/>
  <c r="BK4130" i="4"/>
  <c r="BJ4122" i="4"/>
  <c r="BL4122" i="4"/>
  <c r="BK4122" i="4"/>
  <c r="BJ4114" i="4"/>
  <c r="BL4114" i="4"/>
  <c r="BK4114" i="4"/>
  <c r="BJ4106" i="4"/>
  <c r="BL4106" i="4"/>
  <c r="BK4106" i="4"/>
  <c r="BJ4098" i="4"/>
  <c r="BL4098" i="4"/>
  <c r="BK4098" i="4"/>
  <c r="BJ4090" i="4"/>
  <c r="BL4090" i="4"/>
  <c r="BK4090" i="4"/>
  <c r="BJ4082" i="4"/>
  <c r="BL4082" i="4"/>
  <c r="BK4082" i="4"/>
  <c r="BJ4074" i="4"/>
  <c r="BL4074" i="4"/>
  <c r="BK4074" i="4"/>
  <c r="BJ4066" i="4"/>
  <c r="BL4066" i="4"/>
  <c r="BK4066" i="4"/>
  <c r="BJ4058" i="4"/>
  <c r="BL4058" i="4"/>
  <c r="BK4058" i="4"/>
  <c r="BJ4050" i="4"/>
  <c r="BL4050" i="4"/>
  <c r="BK4050" i="4"/>
  <c r="BJ4042" i="4"/>
  <c r="BL4042" i="4"/>
  <c r="BK4042" i="4"/>
  <c r="BJ4034" i="4"/>
  <c r="BL4034" i="4"/>
  <c r="BK4034" i="4"/>
  <c r="BJ4026" i="4"/>
  <c r="BL4026" i="4"/>
  <c r="BK4026" i="4"/>
  <c r="BJ4018" i="4"/>
  <c r="BL4018" i="4"/>
  <c r="BK4018" i="4"/>
  <c r="BJ4010" i="4"/>
  <c r="BL4010" i="4"/>
  <c r="BK4010" i="4"/>
  <c r="BJ4002" i="4"/>
  <c r="BL4002" i="4"/>
  <c r="BK4002" i="4"/>
  <c r="BJ3994" i="4"/>
  <c r="BL3994" i="4"/>
  <c r="BK3994" i="4"/>
  <c r="BJ3986" i="4"/>
  <c r="BL3986" i="4"/>
  <c r="BK3986" i="4"/>
  <c r="BJ3978" i="4"/>
  <c r="BL3978" i="4"/>
  <c r="BK3978" i="4"/>
  <c r="BJ3970" i="4"/>
  <c r="BL3970" i="4"/>
  <c r="BK3970" i="4"/>
  <c r="BJ3962" i="4"/>
  <c r="BL3962" i="4"/>
  <c r="BK3962" i="4"/>
  <c r="BJ3954" i="4"/>
  <c r="BL3954" i="4"/>
  <c r="BK3954" i="4"/>
  <c r="BJ3946" i="4"/>
  <c r="BL3946" i="4"/>
  <c r="BK3946" i="4"/>
  <c r="BJ3938" i="4"/>
  <c r="BL3938" i="4"/>
  <c r="BK3938" i="4"/>
  <c r="BJ3930" i="4"/>
  <c r="BL3930" i="4"/>
  <c r="BK3930" i="4"/>
  <c r="BJ3922" i="4"/>
  <c r="BL3922" i="4"/>
  <c r="BK3922" i="4"/>
  <c r="BJ3914" i="4"/>
  <c r="BL3914" i="4"/>
  <c r="BK3914" i="4"/>
  <c r="BJ3906" i="4"/>
  <c r="BL3906" i="4"/>
  <c r="BK3906" i="4"/>
  <c r="BJ3898" i="4"/>
  <c r="BL3898" i="4"/>
  <c r="BK3898" i="4"/>
  <c r="BJ3890" i="4"/>
  <c r="BL3890" i="4"/>
  <c r="BK3890" i="4"/>
  <c r="BJ3882" i="4"/>
  <c r="BL3882" i="4"/>
  <c r="BK3882" i="4"/>
  <c r="BJ3874" i="4"/>
  <c r="BL3874" i="4"/>
  <c r="BK3874" i="4"/>
  <c r="BJ3866" i="4"/>
  <c r="BL3866" i="4"/>
  <c r="BK3866" i="4"/>
  <c r="BJ3858" i="4"/>
  <c r="BL3858" i="4"/>
  <c r="BK3858" i="4"/>
  <c r="BJ3850" i="4"/>
  <c r="BL3850" i="4"/>
  <c r="BK3850" i="4"/>
  <c r="BJ3842" i="4"/>
  <c r="BL3842" i="4"/>
  <c r="BK3842" i="4"/>
  <c r="BJ3834" i="4"/>
  <c r="BL3834" i="4"/>
  <c r="BK3834" i="4"/>
  <c r="BJ3826" i="4"/>
  <c r="BL3826" i="4"/>
  <c r="BK3826" i="4"/>
  <c r="BJ3818" i="4"/>
  <c r="BL3818" i="4"/>
  <c r="BK3818" i="4"/>
  <c r="BJ3810" i="4"/>
  <c r="BL3810" i="4"/>
  <c r="BK3810" i="4"/>
  <c r="BJ3802" i="4"/>
  <c r="BL3802" i="4"/>
  <c r="BK3802" i="4"/>
  <c r="BJ3794" i="4"/>
  <c r="BL3794" i="4"/>
  <c r="BK3794" i="4"/>
  <c r="BJ3786" i="4"/>
  <c r="BL3786" i="4"/>
  <c r="BK3786" i="4"/>
  <c r="BJ3778" i="4"/>
  <c r="BL3778" i="4"/>
  <c r="BK3778" i="4"/>
  <c r="BJ3770" i="4"/>
  <c r="BL3770" i="4"/>
  <c r="BK3770" i="4"/>
  <c r="BJ3762" i="4"/>
  <c r="BL3762" i="4"/>
  <c r="BK3762" i="4"/>
  <c r="BJ3754" i="4"/>
  <c r="BL3754" i="4"/>
  <c r="BK3754" i="4"/>
  <c r="BJ3746" i="4"/>
  <c r="BL3746" i="4"/>
  <c r="BK3746" i="4"/>
  <c r="BJ3738" i="4"/>
  <c r="BL3738" i="4"/>
  <c r="BK3738" i="4"/>
  <c r="BJ3730" i="4"/>
  <c r="BL3730" i="4"/>
  <c r="BK3730" i="4"/>
  <c r="BJ3722" i="4"/>
  <c r="BL3722" i="4"/>
  <c r="BK3722" i="4"/>
  <c r="BJ3714" i="4"/>
  <c r="BL3714" i="4"/>
  <c r="BK3714" i="4"/>
  <c r="BJ3706" i="4"/>
  <c r="BL3706" i="4"/>
  <c r="BK3706" i="4"/>
  <c r="BJ3698" i="4"/>
  <c r="BL3698" i="4"/>
  <c r="BK3698" i="4"/>
  <c r="BJ3690" i="4"/>
  <c r="BL3690" i="4"/>
  <c r="BK3690" i="4"/>
  <c r="BJ3682" i="4"/>
  <c r="BL3682" i="4"/>
  <c r="BK3682" i="4"/>
  <c r="BJ3674" i="4"/>
  <c r="BL3674" i="4"/>
  <c r="BK3674" i="4"/>
  <c r="BJ3666" i="4"/>
  <c r="BL3666" i="4"/>
  <c r="BK3666" i="4"/>
  <c r="BJ3658" i="4"/>
  <c r="BL3658" i="4"/>
  <c r="BK3658" i="4"/>
  <c r="BJ3650" i="4"/>
  <c r="BL3650" i="4"/>
  <c r="BK3650" i="4"/>
  <c r="BJ3642" i="4"/>
  <c r="BL3642" i="4"/>
  <c r="BK3642" i="4"/>
  <c r="BJ3634" i="4"/>
  <c r="BL3634" i="4"/>
  <c r="BK3634" i="4"/>
  <c r="BJ3626" i="4"/>
  <c r="BL3626" i="4"/>
  <c r="BK3626" i="4"/>
  <c r="BJ3618" i="4"/>
  <c r="BL3618" i="4"/>
  <c r="BK3618" i="4"/>
  <c r="BJ3610" i="4"/>
  <c r="BL3610" i="4"/>
  <c r="BK3610" i="4"/>
  <c r="BJ3602" i="4"/>
  <c r="BL3602" i="4"/>
  <c r="BK3602" i="4"/>
  <c r="BJ3594" i="4"/>
  <c r="BL3594" i="4"/>
  <c r="BK3594" i="4"/>
  <c r="BJ3586" i="4"/>
  <c r="BL3586" i="4"/>
  <c r="BK3586" i="4"/>
  <c r="BJ3578" i="4"/>
  <c r="BL3578" i="4"/>
  <c r="BK3578" i="4"/>
  <c r="BJ3570" i="4"/>
  <c r="BL3570" i="4"/>
  <c r="BK3570" i="4"/>
  <c r="BJ3562" i="4"/>
  <c r="BL3562" i="4"/>
  <c r="BK3562" i="4"/>
  <c r="BJ3554" i="4"/>
  <c r="BL3554" i="4"/>
  <c r="BK3554" i="4"/>
  <c r="BJ3546" i="4"/>
  <c r="BL3546" i="4"/>
  <c r="BK3546" i="4"/>
  <c r="BJ3538" i="4"/>
  <c r="BL3538" i="4"/>
  <c r="BK3538" i="4"/>
  <c r="BJ3530" i="4"/>
  <c r="BL3530" i="4"/>
  <c r="BK3530" i="4"/>
  <c r="BJ3522" i="4"/>
  <c r="BL3522" i="4"/>
  <c r="BK3522" i="4"/>
  <c r="BJ3514" i="4"/>
  <c r="BL3514" i="4"/>
  <c r="BK3514" i="4"/>
  <c r="BJ3506" i="4"/>
  <c r="BL3506" i="4"/>
  <c r="BK3506" i="4"/>
  <c r="BJ3498" i="4"/>
  <c r="BL3498" i="4"/>
  <c r="BK3498" i="4"/>
  <c r="BJ3490" i="4"/>
  <c r="BL3490" i="4"/>
  <c r="BK3490" i="4"/>
  <c r="BJ3482" i="4"/>
  <c r="BL3482" i="4"/>
  <c r="BK3482" i="4"/>
  <c r="BJ3474" i="4"/>
  <c r="BL3474" i="4"/>
  <c r="BK3474" i="4"/>
  <c r="BJ3466" i="4"/>
  <c r="BL3466" i="4"/>
  <c r="BK3466" i="4"/>
  <c r="BJ3458" i="4"/>
  <c r="BL3458" i="4"/>
  <c r="BK3458" i="4"/>
  <c r="BJ3450" i="4"/>
  <c r="BL3450" i="4"/>
  <c r="BK3450" i="4"/>
  <c r="BJ3442" i="4"/>
  <c r="BL3442" i="4"/>
  <c r="BK3442" i="4"/>
  <c r="BJ3434" i="4"/>
  <c r="BL3434" i="4"/>
  <c r="BK3434" i="4"/>
  <c r="BJ3426" i="4"/>
  <c r="BL3426" i="4"/>
  <c r="BK3426" i="4"/>
  <c r="BJ3418" i="4"/>
  <c r="BL3418" i="4"/>
  <c r="BK3418" i="4"/>
  <c r="BJ3410" i="4"/>
  <c r="BL3410" i="4"/>
  <c r="BK3410" i="4"/>
  <c r="BJ3402" i="4"/>
  <c r="BL3402" i="4"/>
  <c r="BK3402" i="4"/>
  <c r="BJ3394" i="4"/>
  <c r="BL3394" i="4"/>
  <c r="BK3394" i="4"/>
  <c r="BJ3386" i="4"/>
  <c r="BL3386" i="4"/>
  <c r="BK3386" i="4"/>
  <c r="BJ3378" i="4"/>
  <c r="BL3378" i="4"/>
  <c r="BK3378" i="4"/>
  <c r="BJ3370" i="4"/>
  <c r="BL3370" i="4"/>
  <c r="BK3370" i="4"/>
  <c r="BJ3362" i="4"/>
  <c r="BL3362" i="4"/>
  <c r="BK3362" i="4"/>
  <c r="BJ3354" i="4"/>
  <c r="BL3354" i="4"/>
  <c r="BK3354" i="4"/>
  <c r="BJ3346" i="4"/>
  <c r="BL3346" i="4"/>
  <c r="BK3346" i="4"/>
  <c r="BJ3338" i="4"/>
  <c r="BL3338" i="4"/>
  <c r="BK3338" i="4"/>
  <c r="BJ3330" i="4"/>
  <c r="BL3330" i="4"/>
  <c r="BK3330" i="4"/>
  <c r="BJ3322" i="4"/>
  <c r="BL3322" i="4"/>
  <c r="BK3322" i="4"/>
  <c r="BJ3314" i="4"/>
  <c r="BL3314" i="4"/>
  <c r="BK3314" i="4"/>
  <c r="BJ3306" i="4"/>
  <c r="BL3306" i="4"/>
  <c r="BK3306" i="4"/>
  <c r="BJ3298" i="4"/>
  <c r="BL3298" i="4"/>
  <c r="BK3298" i="4"/>
  <c r="BJ3290" i="4"/>
  <c r="BL3290" i="4"/>
  <c r="BK3290" i="4"/>
  <c r="BJ3282" i="4"/>
  <c r="BL3282" i="4"/>
  <c r="BK3282" i="4"/>
  <c r="BJ3274" i="4"/>
  <c r="BL3274" i="4"/>
  <c r="BK3274" i="4"/>
  <c r="BJ3266" i="4"/>
  <c r="BL3266" i="4"/>
  <c r="BK3266" i="4"/>
  <c r="BJ3258" i="4"/>
  <c r="BL3258" i="4"/>
  <c r="BK3258" i="4"/>
  <c r="BJ3250" i="4"/>
  <c r="BL3250" i="4"/>
  <c r="BK3250" i="4"/>
  <c r="BJ3242" i="4"/>
  <c r="BL3242" i="4"/>
  <c r="BK3242" i="4"/>
  <c r="BJ3234" i="4"/>
  <c r="BL3234" i="4"/>
  <c r="BK3234" i="4"/>
  <c r="BJ3226" i="4"/>
  <c r="BL3226" i="4"/>
  <c r="BK3226" i="4"/>
  <c r="BJ3218" i="4"/>
  <c r="BL3218" i="4"/>
  <c r="BK3218" i="4"/>
  <c r="BJ3210" i="4"/>
  <c r="BL3210" i="4"/>
  <c r="BK3210" i="4"/>
  <c r="BJ3202" i="4"/>
  <c r="BL3202" i="4"/>
  <c r="BK3202" i="4"/>
  <c r="BJ3194" i="4"/>
  <c r="BL3194" i="4"/>
  <c r="BK3194" i="4"/>
  <c r="BJ3186" i="4"/>
  <c r="BL3186" i="4"/>
  <c r="BK3186" i="4"/>
  <c r="BJ3178" i="4"/>
  <c r="BL3178" i="4"/>
  <c r="BK3178" i="4"/>
  <c r="BJ3170" i="4"/>
  <c r="BL3170" i="4"/>
  <c r="BK3170" i="4"/>
  <c r="BJ3162" i="4"/>
  <c r="BL3162" i="4"/>
  <c r="BK3162" i="4"/>
  <c r="BJ3154" i="4"/>
  <c r="BL3154" i="4"/>
  <c r="BK3154" i="4"/>
  <c r="BJ3146" i="4"/>
  <c r="BL3146" i="4"/>
  <c r="BK3146" i="4"/>
  <c r="BJ3138" i="4"/>
  <c r="BL3138" i="4"/>
  <c r="BK3138" i="4"/>
  <c r="BJ3130" i="4"/>
  <c r="BL3130" i="4"/>
  <c r="BK3130" i="4"/>
  <c r="BJ3122" i="4"/>
  <c r="BL3122" i="4"/>
  <c r="BK3122" i="4"/>
  <c r="BJ3114" i="4"/>
  <c r="BL3114" i="4"/>
  <c r="BK3114" i="4"/>
  <c r="BJ3106" i="4"/>
  <c r="BL3106" i="4"/>
  <c r="BK3106" i="4"/>
  <c r="BJ3098" i="4"/>
  <c r="BL3098" i="4"/>
  <c r="BK3098" i="4"/>
  <c r="BJ3090" i="4"/>
  <c r="BL3090" i="4"/>
  <c r="BK3090" i="4"/>
  <c r="BJ3082" i="4"/>
  <c r="BL3082" i="4"/>
  <c r="BK3082" i="4"/>
  <c r="BJ3074" i="4"/>
  <c r="BL3074" i="4"/>
  <c r="BK3074" i="4"/>
  <c r="BJ3066" i="4"/>
  <c r="BL3066" i="4"/>
  <c r="BK3066" i="4"/>
  <c r="BJ3058" i="4"/>
  <c r="BL3058" i="4"/>
  <c r="BK3058" i="4"/>
  <c r="BJ3050" i="4"/>
  <c r="BL3050" i="4"/>
  <c r="BK3050" i="4"/>
  <c r="BJ3042" i="4"/>
  <c r="BL3042" i="4"/>
  <c r="BK3042" i="4"/>
  <c r="BJ3034" i="4"/>
  <c r="BL3034" i="4"/>
  <c r="BK3034" i="4"/>
  <c r="BJ3026" i="4"/>
  <c r="BL3026" i="4"/>
  <c r="BK3026" i="4"/>
  <c r="BJ3018" i="4"/>
  <c r="BL3018" i="4"/>
  <c r="BK3018" i="4"/>
  <c r="BJ3010" i="4"/>
  <c r="BL3010" i="4"/>
  <c r="BK3010" i="4"/>
  <c r="BJ3002" i="4"/>
  <c r="BL3002" i="4"/>
  <c r="BK3002" i="4"/>
  <c r="BJ2994" i="4"/>
  <c r="BL2994" i="4"/>
  <c r="BK2994" i="4"/>
  <c r="BJ2986" i="4"/>
  <c r="BL2986" i="4"/>
  <c r="BK2986" i="4"/>
  <c r="BJ2978" i="4"/>
  <c r="BL2978" i="4"/>
  <c r="BK2978" i="4"/>
  <c r="BJ2970" i="4"/>
  <c r="BL2970" i="4"/>
  <c r="BK2970" i="4"/>
  <c r="BJ2962" i="4"/>
  <c r="BL2962" i="4"/>
  <c r="BK2962" i="4"/>
  <c r="BJ2954" i="4"/>
  <c r="BL2954" i="4"/>
  <c r="BK2954" i="4"/>
  <c r="BJ2946" i="4"/>
  <c r="BL2946" i="4"/>
  <c r="BK2946" i="4"/>
  <c r="BJ2938" i="4"/>
  <c r="BL2938" i="4"/>
  <c r="BK2938" i="4"/>
  <c r="BJ2930" i="4"/>
  <c r="BL2930" i="4"/>
  <c r="BK2930" i="4"/>
  <c r="BJ2922" i="4"/>
  <c r="BL2922" i="4"/>
  <c r="BK2922" i="4"/>
  <c r="BJ2914" i="4"/>
  <c r="BL2914" i="4"/>
  <c r="BK2914" i="4"/>
  <c r="BJ2906" i="4"/>
  <c r="BL2906" i="4"/>
  <c r="BK2906" i="4"/>
  <c r="BJ2898" i="4"/>
  <c r="BL2898" i="4"/>
  <c r="BK2898" i="4"/>
  <c r="BJ2890" i="4"/>
  <c r="BL2890" i="4"/>
  <c r="BK2890" i="4"/>
  <c r="BJ2882" i="4"/>
  <c r="BL2882" i="4"/>
  <c r="BK2882" i="4"/>
  <c r="BJ2874" i="4"/>
  <c r="BL2874" i="4"/>
  <c r="BK2874" i="4"/>
  <c r="BJ2866" i="4"/>
  <c r="BL2866" i="4"/>
  <c r="BK2866" i="4"/>
  <c r="BJ2858" i="4"/>
  <c r="BL2858" i="4"/>
  <c r="BK2858" i="4"/>
  <c r="BJ2850" i="4"/>
  <c r="BL2850" i="4"/>
  <c r="BK2850" i="4"/>
  <c r="BJ2842" i="4"/>
  <c r="BL2842" i="4"/>
  <c r="BK2842" i="4"/>
  <c r="BJ2834" i="4"/>
  <c r="BL2834" i="4"/>
  <c r="BK2834" i="4"/>
  <c r="BJ2826" i="4"/>
  <c r="BL2826" i="4"/>
  <c r="BK2826" i="4"/>
  <c r="BJ2818" i="4"/>
  <c r="BL2818" i="4"/>
  <c r="BK2818" i="4"/>
  <c r="BJ2810" i="4"/>
  <c r="BL2810" i="4"/>
  <c r="BK2810" i="4"/>
  <c r="BJ2802" i="4"/>
  <c r="BL2802" i="4"/>
  <c r="BK2802" i="4"/>
  <c r="BJ2794" i="4"/>
  <c r="BL2794" i="4"/>
  <c r="BK2794" i="4"/>
  <c r="BJ2786" i="4"/>
  <c r="BL2786" i="4"/>
  <c r="BK2786" i="4"/>
  <c r="BJ2778" i="4"/>
  <c r="BL2778" i="4"/>
  <c r="BK2778" i="4"/>
  <c r="BJ2770" i="4"/>
  <c r="BL2770" i="4"/>
  <c r="BK2770" i="4"/>
  <c r="BJ2762" i="4"/>
  <c r="BL2762" i="4"/>
  <c r="BK2762" i="4"/>
  <c r="BJ2754" i="4"/>
  <c r="BL2754" i="4"/>
  <c r="BK2754" i="4"/>
  <c r="BJ2746" i="4"/>
  <c r="BL2746" i="4"/>
  <c r="BK2746" i="4"/>
  <c r="BJ2738" i="4"/>
  <c r="BL2738" i="4"/>
  <c r="BK2738" i="4"/>
  <c r="BJ2730" i="4"/>
  <c r="BL2730" i="4"/>
  <c r="BK2730" i="4"/>
  <c r="BJ2722" i="4"/>
  <c r="BL2722" i="4"/>
  <c r="BK2722" i="4"/>
  <c r="BJ2714" i="4"/>
  <c r="BL2714" i="4"/>
  <c r="BK2714" i="4"/>
  <c r="BJ2706" i="4"/>
  <c r="BL2706" i="4"/>
  <c r="BK2706" i="4"/>
  <c r="BJ2698" i="4"/>
  <c r="BL2698" i="4"/>
  <c r="BK2698" i="4"/>
  <c r="BJ2690" i="4"/>
  <c r="BL2690" i="4"/>
  <c r="BK2690" i="4"/>
  <c r="BJ2682" i="4"/>
  <c r="BL2682" i="4"/>
  <c r="BK2682" i="4"/>
  <c r="BJ2674" i="4"/>
  <c r="BL2674" i="4"/>
  <c r="BK2674" i="4"/>
  <c r="BJ2666" i="4"/>
  <c r="BL2666" i="4"/>
  <c r="BK2666" i="4"/>
  <c r="BJ2658" i="4"/>
  <c r="BL2658" i="4"/>
  <c r="BK2658" i="4"/>
  <c r="BJ2650" i="4"/>
  <c r="BL2650" i="4"/>
  <c r="BK2650" i="4"/>
  <c r="BJ2642" i="4"/>
  <c r="BL2642" i="4"/>
  <c r="BK2642" i="4"/>
  <c r="BJ2634" i="4"/>
  <c r="BL2634" i="4"/>
  <c r="BK2634" i="4"/>
  <c r="BJ2626" i="4"/>
  <c r="BL2626" i="4"/>
  <c r="BK2626" i="4"/>
  <c r="BJ2618" i="4"/>
  <c r="BL2618" i="4"/>
  <c r="BK2618" i="4"/>
  <c r="BJ2610" i="4"/>
  <c r="BL2610" i="4"/>
  <c r="BK2610" i="4"/>
  <c r="BJ2602" i="4"/>
  <c r="BL2602" i="4"/>
  <c r="BK2602" i="4"/>
  <c r="BJ2594" i="4"/>
  <c r="BL2594" i="4"/>
  <c r="BK2594" i="4"/>
  <c r="BJ2586" i="4"/>
  <c r="BL2586" i="4"/>
  <c r="BK2586" i="4"/>
  <c r="BJ2578" i="4"/>
  <c r="BL2578" i="4"/>
  <c r="BK2578" i="4"/>
  <c r="BJ2570" i="4"/>
  <c r="BL2570" i="4"/>
  <c r="BK2570" i="4"/>
  <c r="BJ2562" i="4"/>
  <c r="BL2562" i="4"/>
  <c r="BK2562" i="4"/>
  <c r="BJ2554" i="4"/>
  <c r="BL2554" i="4"/>
  <c r="BK2554" i="4"/>
  <c r="BJ2546" i="4"/>
  <c r="BL2546" i="4"/>
  <c r="BK2546" i="4"/>
  <c r="BJ2538" i="4"/>
  <c r="BL2538" i="4"/>
  <c r="BK2538" i="4"/>
  <c r="BJ2530" i="4"/>
  <c r="BL2530" i="4"/>
  <c r="BK2530" i="4"/>
  <c r="BJ2522" i="4"/>
  <c r="BL2522" i="4"/>
  <c r="BK2522" i="4"/>
  <c r="BJ2514" i="4"/>
  <c r="BL2514" i="4"/>
  <c r="BK2514" i="4"/>
  <c r="BJ2506" i="4"/>
  <c r="BL2506" i="4"/>
  <c r="BK2506" i="4"/>
  <c r="BJ2498" i="4"/>
  <c r="BL2498" i="4"/>
  <c r="BK2498" i="4"/>
  <c r="BJ2490" i="4"/>
  <c r="BL2490" i="4"/>
  <c r="BK2490" i="4"/>
  <c r="BJ2482" i="4"/>
  <c r="BL2482" i="4"/>
  <c r="BK2482" i="4"/>
  <c r="BJ2474" i="4"/>
  <c r="BL2474" i="4"/>
  <c r="BK2474" i="4"/>
  <c r="BJ2466" i="4"/>
  <c r="BL2466" i="4"/>
  <c r="BK2466" i="4"/>
  <c r="BJ2458" i="4"/>
  <c r="BL2458" i="4"/>
  <c r="BK2458" i="4"/>
  <c r="BJ2450" i="4"/>
  <c r="BL2450" i="4"/>
  <c r="BK2450" i="4"/>
  <c r="BJ2442" i="4"/>
  <c r="BL2442" i="4"/>
  <c r="BK2442" i="4"/>
  <c r="BJ2434" i="4"/>
  <c r="BL2434" i="4"/>
  <c r="BK2434" i="4"/>
  <c r="BJ2426" i="4"/>
  <c r="BL2426" i="4"/>
  <c r="BK2426" i="4"/>
  <c r="BJ2418" i="4"/>
  <c r="BL2418" i="4"/>
  <c r="BK2418" i="4"/>
  <c r="BJ2410" i="4"/>
  <c r="BL2410" i="4"/>
  <c r="BK2410" i="4"/>
  <c r="BJ2402" i="4"/>
  <c r="BL2402" i="4"/>
  <c r="BK2402" i="4"/>
  <c r="BJ2394" i="4"/>
  <c r="BL2394" i="4"/>
  <c r="BK2394" i="4"/>
  <c r="BJ2386" i="4"/>
  <c r="BL2386" i="4"/>
  <c r="BK2386" i="4"/>
  <c r="BJ2378" i="4"/>
  <c r="BL2378" i="4"/>
  <c r="BK2378" i="4"/>
  <c r="BJ2370" i="4"/>
  <c r="BL2370" i="4"/>
  <c r="BK2370" i="4"/>
  <c r="BJ2362" i="4"/>
  <c r="BL2362" i="4"/>
  <c r="BK2362" i="4"/>
  <c r="BJ2354" i="4"/>
  <c r="BL2354" i="4"/>
  <c r="BK2354" i="4"/>
  <c r="BJ2346" i="4"/>
  <c r="BL2346" i="4"/>
  <c r="BK2346" i="4"/>
  <c r="BJ2338" i="4"/>
  <c r="BL2338" i="4"/>
  <c r="BK2338" i="4"/>
  <c r="BJ2330" i="4"/>
  <c r="BL2330" i="4"/>
  <c r="BK2330" i="4"/>
  <c r="BJ2322" i="4"/>
  <c r="BL2322" i="4"/>
  <c r="BK2322" i="4"/>
  <c r="BJ2314" i="4"/>
  <c r="BL2314" i="4"/>
  <c r="BK2314" i="4"/>
  <c r="BJ2306" i="4"/>
  <c r="BL2306" i="4"/>
  <c r="BK2306" i="4"/>
  <c r="BJ2298" i="4"/>
  <c r="BL2298" i="4"/>
  <c r="BK2298" i="4"/>
  <c r="BJ2290" i="4"/>
  <c r="BL2290" i="4"/>
  <c r="BK2290" i="4"/>
  <c r="BJ2282" i="4"/>
  <c r="BL2282" i="4"/>
  <c r="BK2282" i="4"/>
  <c r="BJ2274" i="4"/>
  <c r="BL2274" i="4"/>
  <c r="BK2274" i="4"/>
  <c r="BJ2266" i="4"/>
  <c r="BL2266" i="4"/>
  <c r="BK2266" i="4"/>
  <c r="BJ2258" i="4"/>
  <c r="BL2258" i="4"/>
  <c r="BK2258" i="4"/>
  <c r="BJ2250" i="4"/>
  <c r="BL2250" i="4"/>
  <c r="BK2250" i="4"/>
  <c r="BJ2242" i="4"/>
  <c r="BL2242" i="4"/>
  <c r="BK2242" i="4"/>
  <c r="BJ2234" i="4"/>
  <c r="BL2234" i="4"/>
  <c r="BK2234" i="4"/>
  <c r="BJ2226" i="4"/>
  <c r="BL2226" i="4"/>
  <c r="BK2226" i="4"/>
  <c r="BJ2218" i="4"/>
  <c r="BL2218" i="4"/>
  <c r="BK2218" i="4"/>
  <c r="BJ2210" i="4"/>
  <c r="BL2210" i="4"/>
  <c r="BK2210" i="4"/>
  <c r="BJ2202" i="4"/>
  <c r="BL2202" i="4"/>
  <c r="BK2202" i="4"/>
  <c r="BJ2194" i="4"/>
  <c r="BL2194" i="4"/>
  <c r="BK2194" i="4"/>
  <c r="BJ2186" i="4"/>
  <c r="BL2186" i="4"/>
  <c r="BK2186" i="4"/>
  <c r="BJ2178" i="4"/>
  <c r="BL2178" i="4"/>
  <c r="BK2178" i="4"/>
  <c r="BJ2170" i="4"/>
  <c r="BL2170" i="4"/>
  <c r="BK2170" i="4"/>
  <c r="BJ2162" i="4"/>
  <c r="BL2162" i="4"/>
  <c r="BK2162" i="4"/>
  <c r="BJ2154" i="4"/>
  <c r="BL2154" i="4"/>
  <c r="BK2154" i="4"/>
  <c r="BJ2146" i="4"/>
  <c r="BL2146" i="4"/>
  <c r="BK2146" i="4"/>
  <c r="BJ2138" i="4"/>
  <c r="BL2138" i="4"/>
  <c r="BK2138" i="4"/>
  <c r="BJ2130" i="4"/>
  <c r="BL2130" i="4"/>
  <c r="BK2130" i="4"/>
  <c r="BJ2122" i="4"/>
  <c r="BL2122" i="4"/>
  <c r="BK2122" i="4"/>
  <c r="BJ2114" i="4"/>
  <c r="BL2114" i="4"/>
  <c r="BK2114" i="4"/>
  <c r="BJ2106" i="4"/>
  <c r="BL2106" i="4"/>
  <c r="BK2106" i="4"/>
  <c r="BJ2098" i="4"/>
  <c r="BL2098" i="4"/>
  <c r="BK2098" i="4"/>
  <c r="BJ2090" i="4"/>
  <c r="BL2090" i="4"/>
  <c r="BK2090" i="4"/>
  <c r="BJ2082" i="4"/>
  <c r="BL2082" i="4"/>
  <c r="BK2082" i="4"/>
  <c r="BJ2074" i="4"/>
  <c r="BL2074" i="4"/>
  <c r="BK2074" i="4"/>
  <c r="BJ2066" i="4"/>
  <c r="BL2066" i="4"/>
  <c r="BK2066" i="4"/>
  <c r="BJ2058" i="4"/>
  <c r="BL2058" i="4"/>
  <c r="BK2058" i="4"/>
  <c r="BJ2050" i="4"/>
  <c r="BL2050" i="4"/>
  <c r="BK2050" i="4"/>
  <c r="BJ2042" i="4"/>
  <c r="BL2042" i="4"/>
  <c r="BK2042" i="4"/>
  <c r="BJ2034" i="4"/>
  <c r="BL2034" i="4"/>
  <c r="BK2034" i="4"/>
  <c r="BJ2026" i="4"/>
  <c r="BL2026" i="4"/>
  <c r="BK2026" i="4"/>
  <c r="BJ2018" i="4"/>
  <c r="BL2018" i="4"/>
  <c r="BK2018" i="4"/>
  <c r="BJ2010" i="4"/>
  <c r="BL2010" i="4"/>
  <c r="BK2010" i="4"/>
  <c r="BJ2002" i="4"/>
  <c r="BL2002" i="4"/>
  <c r="BK2002" i="4"/>
  <c r="BJ1994" i="4"/>
  <c r="BL1994" i="4"/>
  <c r="BK1994" i="4"/>
  <c r="BJ1986" i="4"/>
  <c r="BL1986" i="4"/>
  <c r="BK1986" i="4"/>
  <c r="BJ1978" i="4"/>
  <c r="BL1978" i="4"/>
  <c r="BK1978" i="4"/>
  <c r="BJ1970" i="4"/>
  <c r="BL1970" i="4"/>
  <c r="BK1970" i="4"/>
  <c r="BJ1962" i="4"/>
  <c r="BL1962" i="4"/>
  <c r="BK1962" i="4"/>
  <c r="BJ1954" i="4"/>
  <c r="BL1954" i="4"/>
  <c r="BK1954" i="4"/>
  <c r="BJ1946" i="4"/>
  <c r="BL1946" i="4"/>
  <c r="BK1946" i="4"/>
  <c r="BJ1938" i="4"/>
  <c r="BL1938" i="4"/>
  <c r="BK1938" i="4"/>
  <c r="BJ1930" i="4"/>
  <c r="BL1930" i="4"/>
  <c r="BK1930" i="4"/>
  <c r="BJ1922" i="4"/>
  <c r="BL1922" i="4"/>
  <c r="BK1922" i="4"/>
  <c r="BJ1914" i="4"/>
  <c r="BL1914" i="4"/>
  <c r="BK1914" i="4"/>
  <c r="BJ1906" i="4"/>
  <c r="BL1906" i="4"/>
  <c r="BK1906" i="4"/>
  <c r="BJ1898" i="4"/>
  <c r="BL1898" i="4"/>
  <c r="BK1898" i="4"/>
  <c r="BJ1890" i="4"/>
  <c r="BL1890" i="4"/>
  <c r="BK1890" i="4"/>
  <c r="BJ1882" i="4"/>
  <c r="BL1882" i="4"/>
  <c r="BK1882" i="4"/>
  <c r="BJ1874" i="4"/>
  <c r="BL1874" i="4"/>
  <c r="BK1874" i="4"/>
  <c r="BJ1866" i="4"/>
  <c r="BL1866" i="4"/>
  <c r="BK1866" i="4"/>
  <c r="BJ1858" i="4"/>
  <c r="BL1858" i="4"/>
  <c r="BK1858" i="4"/>
  <c r="BJ1850" i="4"/>
  <c r="BL1850" i="4"/>
  <c r="BK1850" i="4"/>
  <c r="BJ1842" i="4"/>
  <c r="BL1842" i="4"/>
  <c r="BK1842" i="4"/>
  <c r="BJ1834" i="4"/>
  <c r="BL1834" i="4"/>
  <c r="BK1834" i="4"/>
  <c r="BJ1826" i="4"/>
  <c r="BL1826" i="4"/>
  <c r="BK1826" i="4"/>
  <c r="BJ1818" i="4"/>
  <c r="BL1818" i="4"/>
  <c r="BK1818" i="4"/>
  <c r="BJ1810" i="4"/>
  <c r="BL1810" i="4"/>
  <c r="BK1810" i="4"/>
  <c r="BJ1802" i="4"/>
  <c r="BL1802" i="4"/>
  <c r="BK1802" i="4"/>
  <c r="BJ1794" i="4"/>
  <c r="BL1794" i="4"/>
  <c r="BK1794" i="4"/>
  <c r="BJ1786" i="4"/>
  <c r="BL1786" i="4"/>
  <c r="BK1786" i="4"/>
  <c r="BJ1778" i="4"/>
  <c r="BL1778" i="4"/>
  <c r="BK1778" i="4"/>
  <c r="BJ1770" i="4"/>
  <c r="BL1770" i="4"/>
  <c r="BK1770" i="4"/>
  <c r="BJ1762" i="4"/>
  <c r="BL1762" i="4"/>
  <c r="BK1762" i="4"/>
  <c r="BJ1754" i="4"/>
  <c r="BL1754" i="4"/>
  <c r="BK1754" i="4"/>
  <c r="BJ1746" i="4"/>
  <c r="BL1746" i="4"/>
  <c r="BK1746" i="4"/>
  <c r="BJ1738" i="4"/>
  <c r="BL1738" i="4"/>
  <c r="BK1738" i="4"/>
  <c r="BJ1730" i="4"/>
  <c r="BL1730" i="4"/>
  <c r="BK1730" i="4"/>
  <c r="BJ1722" i="4"/>
  <c r="BL1722" i="4"/>
  <c r="BK1722" i="4"/>
  <c r="BJ1714" i="4"/>
  <c r="BL1714" i="4"/>
  <c r="BK1714" i="4"/>
  <c r="BJ1706" i="4"/>
  <c r="BL1706" i="4"/>
  <c r="BK1706" i="4"/>
  <c r="BJ1698" i="4"/>
  <c r="BL1698" i="4"/>
  <c r="BK1698" i="4"/>
  <c r="BJ1690" i="4"/>
  <c r="BL1690" i="4"/>
  <c r="BK1690" i="4"/>
  <c r="BJ1682" i="4"/>
  <c r="BL1682" i="4"/>
  <c r="BK1682" i="4"/>
  <c r="BJ1674" i="4"/>
  <c r="BL1674" i="4"/>
  <c r="BK1674" i="4"/>
  <c r="BJ1666" i="4"/>
  <c r="BL1666" i="4"/>
  <c r="BK1666" i="4"/>
  <c r="BJ1658" i="4"/>
  <c r="BL1658" i="4"/>
  <c r="BK1658" i="4"/>
  <c r="BJ1650" i="4"/>
  <c r="BL1650" i="4"/>
  <c r="BK1650" i="4"/>
  <c r="BJ1642" i="4"/>
  <c r="BL1642" i="4"/>
  <c r="BK1642" i="4"/>
  <c r="BJ1634" i="4"/>
  <c r="BL1634" i="4"/>
  <c r="BK1634" i="4"/>
  <c r="BJ1626" i="4"/>
  <c r="BL1626" i="4"/>
  <c r="BK1626" i="4"/>
  <c r="BJ1618" i="4"/>
  <c r="BL1618" i="4"/>
  <c r="BK1618" i="4"/>
  <c r="BJ1610" i="4"/>
  <c r="BL1610" i="4"/>
  <c r="BK1610" i="4"/>
  <c r="BJ1602" i="4"/>
  <c r="BL1602" i="4"/>
  <c r="BK1602" i="4"/>
  <c r="BJ1594" i="4"/>
  <c r="BL1594" i="4"/>
  <c r="BK1594" i="4"/>
  <c r="BJ1586" i="4"/>
  <c r="BL1586" i="4"/>
  <c r="BK1586" i="4"/>
  <c r="BJ1578" i="4"/>
  <c r="BL1578" i="4"/>
  <c r="BK1578" i="4"/>
  <c r="BJ1570" i="4"/>
  <c r="BL1570" i="4"/>
  <c r="BK1570" i="4"/>
  <c r="BJ1562" i="4"/>
  <c r="BL1562" i="4"/>
  <c r="BK1562" i="4"/>
  <c r="BJ1554" i="4"/>
  <c r="BL1554" i="4"/>
  <c r="BK1554" i="4"/>
  <c r="BJ1546" i="4"/>
  <c r="BL1546" i="4"/>
  <c r="BK1546" i="4"/>
  <c r="BJ1538" i="4"/>
  <c r="BL1538" i="4"/>
  <c r="BK1538" i="4"/>
  <c r="BJ1530" i="4"/>
  <c r="BL1530" i="4"/>
  <c r="BK1530" i="4"/>
  <c r="BJ1522" i="4"/>
  <c r="BL1522" i="4"/>
  <c r="BK1522" i="4"/>
  <c r="BJ1514" i="4"/>
  <c r="BL1514" i="4"/>
  <c r="BK1514" i="4"/>
  <c r="BJ1506" i="4"/>
  <c r="BL1506" i="4"/>
  <c r="BK1506" i="4"/>
  <c r="BJ1498" i="4"/>
  <c r="BL1498" i="4"/>
  <c r="BK1498" i="4"/>
  <c r="BJ1490" i="4"/>
  <c r="BL1490" i="4"/>
  <c r="BK1490" i="4"/>
  <c r="BJ1482" i="4"/>
  <c r="BL1482" i="4"/>
  <c r="BK1482" i="4"/>
  <c r="BJ1474" i="4"/>
  <c r="BL1474" i="4"/>
  <c r="BK1474" i="4"/>
  <c r="BJ1466" i="4"/>
  <c r="BL1466" i="4"/>
  <c r="BK1466" i="4"/>
  <c r="BJ1458" i="4"/>
  <c r="BL1458" i="4"/>
  <c r="BK1458" i="4"/>
  <c r="BJ1450" i="4"/>
  <c r="BL1450" i="4"/>
  <c r="BK1450" i="4"/>
  <c r="BJ1442" i="4"/>
  <c r="BL1442" i="4"/>
  <c r="BK1442" i="4"/>
  <c r="BJ1434" i="4"/>
  <c r="BL1434" i="4"/>
  <c r="BK1434" i="4"/>
  <c r="BJ1426" i="4"/>
  <c r="BL1426" i="4"/>
  <c r="BK1426" i="4"/>
  <c r="BJ1418" i="4"/>
  <c r="BL1418" i="4"/>
  <c r="BK1418" i="4"/>
  <c r="BJ1410" i="4"/>
  <c r="BL1410" i="4"/>
  <c r="BK1410" i="4"/>
  <c r="BJ1402" i="4"/>
  <c r="BL1402" i="4"/>
  <c r="BK1402" i="4"/>
  <c r="BJ1394" i="4"/>
  <c r="BL1394" i="4"/>
  <c r="BK1394" i="4"/>
  <c r="BJ1386" i="4"/>
  <c r="BL1386" i="4"/>
  <c r="BK1386" i="4"/>
  <c r="BJ1378" i="4"/>
  <c r="BL1378" i="4"/>
  <c r="BK1378" i="4"/>
  <c r="BJ1370" i="4"/>
  <c r="BL1370" i="4"/>
  <c r="BK1370" i="4"/>
  <c r="BJ1362" i="4"/>
  <c r="BL1362" i="4"/>
  <c r="BK1362" i="4"/>
  <c r="BJ1354" i="4"/>
  <c r="BL1354" i="4"/>
  <c r="BK1354" i="4"/>
  <c r="BJ1346" i="4"/>
  <c r="BL1346" i="4"/>
  <c r="BK1346" i="4"/>
  <c r="BJ1338" i="4"/>
  <c r="BL1338" i="4"/>
  <c r="BK1338" i="4"/>
  <c r="BJ1330" i="4"/>
  <c r="BL1330" i="4"/>
  <c r="BK1330" i="4"/>
  <c r="BJ1322" i="4"/>
  <c r="BL1322" i="4"/>
  <c r="BK1322" i="4"/>
  <c r="BJ1314" i="4"/>
  <c r="BL1314" i="4"/>
  <c r="BK1314" i="4"/>
  <c r="BJ1306" i="4"/>
  <c r="BL1306" i="4"/>
  <c r="BK1306" i="4"/>
  <c r="BJ1298" i="4"/>
  <c r="BL1298" i="4"/>
  <c r="BK1298" i="4"/>
  <c r="BJ1290" i="4"/>
  <c r="BL1290" i="4"/>
  <c r="BK1290" i="4"/>
  <c r="BJ1282" i="4"/>
  <c r="BL1282" i="4"/>
  <c r="BK1282" i="4"/>
  <c r="BJ1274" i="4"/>
  <c r="BL1274" i="4"/>
  <c r="BK1274" i="4"/>
  <c r="BJ1266" i="4"/>
  <c r="BL1266" i="4"/>
  <c r="BK1266" i="4"/>
  <c r="BJ1258" i="4"/>
  <c r="BL1258" i="4"/>
  <c r="BK1258" i="4"/>
  <c r="BJ1250" i="4"/>
  <c r="BL1250" i="4"/>
  <c r="BK1250" i="4"/>
  <c r="BJ1242" i="4"/>
  <c r="BL1242" i="4"/>
  <c r="BK1242" i="4"/>
  <c r="BJ1234" i="4"/>
  <c r="BL1234" i="4"/>
  <c r="BK1234" i="4"/>
  <c r="BJ1226" i="4"/>
  <c r="BL1226" i="4"/>
  <c r="BK1226" i="4"/>
  <c r="BJ1218" i="4"/>
  <c r="BL1218" i="4"/>
  <c r="BK1218" i="4"/>
  <c r="BJ1210" i="4"/>
  <c r="BL1210" i="4"/>
  <c r="BK1210" i="4"/>
  <c r="BJ1202" i="4"/>
  <c r="BL1202" i="4"/>
  <c r="BK1202" i="4"/>
  <c r="BJ1194" i="4"/>
  <c r="BL1194" i="4"/>
  <c r="BK1194" i="4"/>
  <c r="BJ1186" i="4"/>
  <c r="BL1186" i="4"/>
  <c r="BK1186" i="4"/>
  <c r="BJ1178" i="4"/>
  <c r="BL1178" i="4"/>
  <c r="BK1178" i="4"/>
  <c r="BJ1170" i="4"/>
  <c r="BL1170" i="4"/>
  <c r="BK1170" i="4"/>
  <c r="BJ1162" i="4"/>
  <c r="BL1162" i="4"/>
  <c r="BK1162" i="4"/>
  <c r="BJ1154" i="4"/>
  <c r="BL1154" i="4"/>
  <c r="BK1154" i="4"/>
  <c r="BJ1146" i="4"/>
  <c r="BL1146" i="4"/>
  <c r="BK1146" i="4"/>
  <c r="BJ1138" i="4"/>
  <c r="BL1138" i="4"/>
  <c r="BK1138" i="4"/>
  <c r="BJ1130" i="4"/>
  <c r="BL1130" i="4"/>
  <c r="BK1130" i="4"/>
  <c r="BJ1122" i="4"/>
  <c r="BL1122" i="4"/>
  <c r="BK1122" i="4"/>
  <c r="BJ1114" i="4"/>
  <c r="BL1114" i="4"/>
  <c r="BK1114" i="4"/>
  <c r="BJ1106" i="4"/>
  <c r="BL1106" i="4"/>
  <c r="BK1106" i="4"/>
  <c r="BJ1098" i="4"/>
  <c r="BL1098" i="4"/>
  <c r="BK1098" i="4"/>
  <c r="BJ1090" i="4"/>
  <c r="BL1090" i="4"/>
  <c r="BK1090" i="4"/>
  <c r="BJ1082" i="4"/>
  <c r="BL1082" i="4"/>
  <c r="BK1082" i="4"/>
  <c r="BJ1074" i="4"/>
  <c r="BL1074" i="4"/>
  <c r="BK1074" i="4"/>
  <c r="BJ1066" i="4"/>
  <c r="BL1066" i="4"/>
  <c r="BK1066" i="4"/>
  <c r="BJ1058" i="4"/>
  <c r="BL1058" i="4"/>
  <c r="BK1058" i="4"/>
  <c r="BJ1050" i="4"/>
  <c r="BL1050" i="4"/>
  <c r="BK1050" i="4"/>
  <c r="BJ1042" i="4"/>
  <c r="BL1042" i="4"/>
  <c r="BK1042" i="4"/>
  <c r="BJ1034" i="4"/>
  <c r="BL1034" i="4"/>
  <c r="BK1034" i="4"/>
  <c r="BJ1026" i="4"/>
  <c r="BL1026" i="4"/>
  <c r="BK1026" i="4"/>
  <c r="BJ1018" i="4"/>
  <c r="BL1018" i="4"/>
  <c r="BK1018" i="4"/>
  <c r="BJ1010" i="4"/>
  <c r="BL1010" i="4"/>
  <c r="BK1010" i="4"/>
  <c r="BJ1002" i="4"/>
  <c r="BL1002" i="4"/>
  <c r="BK1002" i="4"/>
  <c r="BJ994" i="4"/>
  <c r="BL994" i="4"/>
  <c r="BK994" i="4"/>
  <c r="BJ986" i="4"/>
  <c r="BL986" i="4"/>
  <c r="BK986" i="4"/>
  <c r="BJ978" i="4"/>
  <c r="BL978" i="4"/>
  <c r="BK978" i="4"/>
  <c r="BJ970" i="4"/>
  <c r="BL970" i="4"/>
  <c r="BK970" i="4"/>
  <c r="BJ962" i="4"/>
  <c r="BL962" i="4"/>
  <c r="BK962" i="4"/>
  <c r="BJ954" i="4"/>
  <c r="BL954" i="4"/>
  <c r="BK954" i="4"/>
  <c r="BJ946" i="4"/>
  <c r="BL946" i="4"/>
  <c r="BK946" i="4"/>
  <c r="BJ938" i="4"/>
  <c r="BL938" i="4"/>
  <c r="BK938" i="4"/>
  <c r="BJ930" i="4"/>
  <c r="BL930" i="4"/>
  <c r="BK930" i="4"/>
  <c r="BJ922" i="4"/>
  <c r="BL922" i="4"/>
  <c r="BK922" i="4"/>
  <c r="BJ914" i="4"/>
  <c r="BL914" i="4"/>
  <c r="BK914" i="4"/>
  <c r="BJ906" i="4"/>
  <c r="BL906" i="4"/>
  <c r="BK906" i="4"/>
  <c r="BJ898" i="4"/>
  <c r="BL898" i="4"/>
  <c r="BK898" i="4"/>
  <c r="BJ890" i="4"/>
  <c r="BL890" i="4"/>
  <c r="BK890" i="4"/>
  <c r="BJ882" i="4"/>
  <c r="BL882" i="4"/>
  <c r="BK882" i="4"/>
  <c r="BJ874" i="4"/>
  <c r="BL874" i="4"/>
  <c r="BK874" i="4"/>
  <c r="BJ866" i="4"/>
  <c r="BL866" i="4"/>
  <c r="BK866" i="4"/>
  <c r="BJ858" i="4"/>
  <c r="BL858" i="4"/>
  <c r="BK858" i="4"/>
  <c r="BJ850" i="4"/>
  <c r="BL850" i="4"/>
  <c r="BK850" i="4"/>
  <c r="BJ842" i="4"/>
  <c r="BL842" i="4"/>
  <c r="BK842" i="4"/>
  <c r="BJ834" i="4"/>
  <c r="BL834" i="4"/>
  <c r="BK834" i="4"/>
  <c r="BJ826" i="4"/>
  <c r="BL826" i="4"/>
  <c r="BK826" i="4"/>
  <c r="BJ818" i="4"/>
  <c r="BL818" i="4"/>
  <c r="BK818" i="4"/>
  <c r="BJ810" i="4"/>
  <c r="BL810" i="4"/>
  <c r="BK810" i="4"/>
  <c r="BJ802" i="4"/>
  <c r="BL802" i="4"/>
  <c r="BK802" i="4"/>
  <c r="BJ794" i="4"/>
  <c r="BL794" i="4"/>
  <c r="BK794" i="4"/>
  <c r="BJ786" i="4"/>
  <c r="BL786" i="4"/>
  <c r="BK786" i="4"/>
  <c r="BJ778" i="4"/>
  <c r="BL778" i="4"/>
  <c r="BK778" i="4"/>
  <c r="BJ770" i="4"/>
  <c r="BL770" i="4"/>
  <c r="BK770" i="4"/>
  <c r="BJ762" i="4"/>
  <c r="BL762" i="4"/>
  <c r="BK762" i="4"/>
  <c r="BJ754" i="4"/>
  <c r="BL754" i="4"/>
  <c r="BK754" i="4"/>
  <c r="BJ746" i="4"/>
  <c r="BL746" i="4"/>
  <c r="BK746" i="4"/>
  <c r="BJ738" i="4"/>
  <c r="BL738" i="4"/>
  <c r="BK738" i="4"/>
  <c r="BJ730" i="4"/>
  <c r="BL730" i="4"/>
  <c r="BK730" i="4"/>
  <c r="BJ722" i="4"/>
  <c r="BL722" i="4"/>
  <c r="BK722" i="4"/>
  <c r="BJ714" i="4"/>
  <c r="BL714" i="4"/>
  <c r="BK714" i="4"/>
  <c r="BJ706" i="4"/>
  <c r="BL706" i="4"/>
  <c r="BK706" i="4"/>
  <c r="BJ698" i="4"/>
  <c r="BL698" i="4"/>
  <c r="BK698" i="4"/>
  <c r="BJ690" i="4"/>
  <c r="BL690" i="4"/>
  <c r="BK690" i="4"/>
  <c r="BJ682" i="4"/>
  <c r="BL682" i="4"/>
  <c r="BK682" i="4"/>
  <c r="BJ674" i="4"/>
  <c r="BL674" i="4"/>
  <c r="BK674" i="4"/>
  <c r="BJ666" i="4"/>
  <c r="BL666" i="4"/>
  <c r="BK666" i="4"/>
  <c r="BJ658" i="4"/>
  <c r="BL658" i="4"/>
  <c r="BK658" i="4"/>
  <c r="BJ650" i="4"/>
  <c r="BL650" i="4"/>
  <c r="BK650" i="4"/>
  <c r="BJ642" i="4"/>
  <c r="BL642" i="4"/>
  <c r="BK642" i="4"/>
  <c r="BJ634" i="4"/>
  <c r="BL634" i="4"/>
  <c r="BK634" i="4"/>
  <c r="BJ626" i="4"/>
  <c r="BL626" i="4"/>
  <c r="BK626" i="4"/>
  <c r="BJ618" i="4"/>
  <c r="BL618" i="4"/>
  <c r="BK618" i="4"/>
  <c r="BJ610" i="4"/>
  <c r="BL610" i="4"/>
  <c r="BK610" i="4"/>
  <c r="BJ602" i="4"/>
  <c r="BL602" i="4"/>
  <c r="BK602" i="4"/>
  <c r="BJ594" i="4"/>
  <c r="BL594" i="4"/>
  <c r="BK594" i="4"/>
  <c r="BJ586" i="4"/>
  <c r="BL586" i="4"/>
  <c r="BK586" i="4"/>
  <c r="BJ578" i="4"/>
  <c r="BL578" i="4"/>
  <c r="BK578" i="4"/>
  <c r="BJ570" i="4"/>
  <c r="BL570" i="4"/>
  <c r="BK570" i="4"/>
  <c r="BJ562" i="4"/>
  <c r="BL562" i="4"/>
  <c r="BK562" i="4"/>
  <c r="BJ554" i="4"/>
  <c r="BL554" i="4"/>
  <c r="BK554" i="4"/>
  <c r="BJ546" i="4"/>
  <c r="BL546" i="4"/>
  <c r="BK546" i="4"/>
  <c r="BJ538" i="4"/>
  <c r="BL538" i="4"/>
  <c r="BK538" i="4"/>
  <c r="BJ530" i="4"/>
  <c r="BL530" i="4"/>
  <c r="BK530" i="4"/>
  <c r="BJ522" i="4"/>
  <c r="BL522" i="4"/>
  <c r="BK522" i="4"/>
  <c r="BJ514" i="4"/>
  <c r="BL514" i="4"/>
  <c r="BK514" i="4"/>
  <c r="BJ506" i="4"/>
  <c r="BL506" i="4"/>
  <c r="BK506" i="4"/>
  <c r="BJ498" i="4"/>
  <c r="BL498" i="4"/>
  <c r="BK498" i="4"/>
  <c r="BJ490" i="4"/>
  <c r="BL490" i="4"/>
  <c r="BK490" i="4"/>
  <c r="BJ482" i="4"/>
  <c r="BL482" i="4"/>
  <c r="BK482" i="4"/>
  <c r="BJ474" i="4"/>
  <c r="BL474" i="4"/>
  <c r="BK474" i="4"/>
  <c r="BJ466" i="4"/>
  <c r="BL466" i="4"/>
  <c r="BK466" i="4"/>
  <c r="BJ458" i="4"/>
  <c r="BL458" i="4"/>
  <c r="BK458" i="4"/>
  <c r="BJ450" i="4"/>
  <c r="BL450" i="4"/>
  <c r="BK450" i="4"/>
  <c r="BJ442" i="4"/>
  <c r="BL442" i="4"/>
  <c r="BK442" i="4"/>
  <c r="BJ434" i="4"/>
  <c r="BL434" i="4"/>
  <c r="BK434" i="4"/>
  <c r="BJ426" i="4"/>
  <c r="BL426" i="4"/>
  <c r="BK426" i="4"/>
  <c r="BJ418" i="4"/>
  <c r="BL418" i="4"/>
  <c r="BK418" i="4"/>
  <c r="BJ410" i="4"/>
  <c r="BL410" i="4"/>
  <c r="BK410" i="4"/>
  <c r="BJ402" i="4"/>
  <c r="BL402" i="4"/>
  <c r="BK402" i="4"/>
  <c r="BJ394" i="4"/>
  <c r="BL394" i="4"/>
  <c r="BK394" i="4"/>
  <c r="BJ386" i="4"/>
  <c r="BL386" i="4"/>
  <c r="BK386" i="4"/>
  <c r="BJ378" i="4"/>
  <c r="BL378" i="4"/>
  <c r="BK378" i="4"/>
  <c r="BJ370" i="4"/>
  <c r="BL370" i="4"/>
  <c r="BK370" i="4"/>
  <c r="BJ362" i="4"/>
  <c r="BL362" i="4"/>
  <c r="BK362" i="4"/>
  <c r="BJ354" i="4"/>
  <c r="BL354" i="4"/>
  <c r="BK354" i="4"/>
  <c r="BJ346" i="4"/>
  <c r="BL346" i="4"/>
  <c r="BK346" i="4"/>
  <c r="BJ338" i="4"/>
  <c r="BL338" i="4"/>
  <c r="BK338" i="4"/>
  <c r="BJ330" i="4"/>
  <c r="BL330" i="4"/>
  <c r="BK330" i="4"/>
  <c r="BJ322" i="4"/>
  <c r="BL322" i="4"/>
  <c r="BK322" i="4"/>
  <c r="BJ5312" i="4"/>
  <c r="BL5312" i="4"/>
  <c r="BK5312" i="4"/>
  <c r="BJ5248" i="4"/>
  <c r="BL5248" i="4"/>
  <c r="BK5248" i="4"/>
  <c r="BJ5200" i="4"/>
  <c r="BL5200" i="4"/>
  <c r="BK5200" i="4"/>
  <c r="BJ5144" i="4"/>
  <c r="BL5144" i="4"/>
  <c r="BK5144" i="4"/>
  <c r="BJ5088" i="4"/>
  <c r="BL5088" i="4"/>
  <c r="BK5088" i="4"/>
  <c r="BJ5032" i="4"/>
  <c r="BL5032" i="4"/>
  <c r="BK5032" i="4"/>
  <c r="BJ4976" i="4"/>
  <c r="BL4976" i="4"/>
  <c r="BK4976" i="4"/>
  <c r="BJ4928" i="4"/>
  <c r="BL4928" i="4"/>
  <c r="BK4928" i="4"/>
  <c r="BJ4880" i="4"/>
  <c r="BL4880" i="4"/>
  <c r="BK4880" i="4"/>
  <c r="BJ4824" i="4"/>
  <c r="BL4824" i="4"/>
  <c r="BK4824" i="4"/>
  <c r="BJ4752" i="4"/>
  <c r="BK4752" i="4"/>
  <c r="BL4752" i="4"/>
  <c r="BJ4688" i="4"/>
  <c r="BK4688" i="4"/>
  <c r="BL4688" i="4"/>
  <c r="BJ4632" i="4"/>
  <c r="BL4632" i="4"/>
  <c r="BK4632" i="4"/>
  <c r="BJ4576" i="4"/>
  <c r="BL4576" i="4"/>
  <c r="BK4576" i="4"/>
  <c r="BJ4520" i="4"/>
  <c r="BL4520" i="4"/>
  <c r="BK4520" i="4"/>
  <c r="BJ4464" i="4"/>
  <c r="BL4464" i="4"/>
  <c r="BK4464" i="4"/>
  <c r="BJ4408" i="4"/>
  <c r="BL4408" i="4"/>
  <c r="BK4408" i="4"/>
  <c r="BJ4360" i="4"/>
  <c r="BL4360" i="4"/>
  <c r="BK4360" i="4"/>
  <c r="BJ4296" i="4"/>
  <c r="BL4296" i="4"/>
  <c r="BK4296" i="4"/>
  <c r="BJ4240" i="4"/>
  <c r="BL4240" i="4"/>
  <c r="BK4240" i="4"/>
  <c r="BJ4184" i="4"/>
  <c r="BK4184" i="4"/>
  <c r="BL4184" i="4"/>
  <c r="BJ4136" i="4"/>
  <c r="BL4136" i="4"/>
  <c r="BK4136" i="4"/>
  <c r="BJ4088" i="4"/>
  <c r="BL4088" i="4"/>
  <c r="BK4088" i="4"/>
  <c r="BJ4032" i="4"/>
  <c r="BK4032" i="4"/>
  <c r="BL4032" i="4"/>
  <c r="BJ3984" i="4"/>
  <c r="BL3984" i="4"/>
  <c r="BK3984" i="4"/>
  <c r="BJ3928" i="4"/>
  <c r="BL3928" i="4"/>
  <c r="BK3928" i="4"/>
  <c r="BJ3880" i="4"/>
  <c r="BL3880" i="4"/>
  <c r="BK3880" i="4"/>
  <c r="BJ3824" i="4"/>
  <c r="BL3824" i="4"/>
  <c r="BK3824" i="4"/>
  <c r="BJ3776" i="4"/>
  <c r="BL3776" i="4"/>
  <c r="BK3776" i="4"/>
  <c r="BJ3736" i="4"/>
  <c r="BL3736" i="4"/>
  <c r="BK3736" i="4"/>
  <c r="BJ3696" i="4"/>
  <c r="BL3696" i="4"/>
  <c r="BK3696" i="4"/>
  <c r="BJ3648" i="4"/>
  <c r="BL3648" i="4"/>
  <c r="BK3648" i="4"/>
  <c r="BJ3584" i="4"/>
  <c r="BL3584" i="4"/>
  <c r="BK3584" i="4"/>
  <c r="BJ3536" i="4"/>
  <c r="BL3536" i="4"/>
  <c r="BK3536" i="4"/>
  <c r="BJ3480" i="4"/>
  <c r="BL3480" i="4"/>
  <c r="BK3480" i="4"/>
  <c r="BJ3424" i="4"/>
  <c r="BL3424" i="4"/>
  <c r="BK3424" i="4"/>
  <c r="BJ3376" i="4"/>
  <c r="BL3376" i="4"/>
  <c r="BK3376" i="4"/>
  <c r="BJ3320" i="4"/>
  <c r="BL3320" i="4"/>
  <c r="BK3320" i="4"/>
  <c r="BJ3264" i="4"/>
  <c r="BL3264" i="4"/>
  <c r="BK3264" i="4"/>
  <c r="BJ3216" i="4"/>
  <c r="BL3216" i="4"/>
  <c r="BK3216" i="4"/>
  <c r="BJ3168" i="4"/>
  <c r="BL3168" i="4"/>
  <c r="BK3168" i="4"/>
  <c r="BJ3120" i="4"/>
  <c r="BL3120" i="4"/>
  <c r="BK3120" i="4"/>
  <c r="BJ3064" i="4"/>
  <c r="BL3064" i="4"/>
  <c r="BK3064" i="4"/>
  <c r="BJ3008" i="4"/>
  <c r="BL3008" i="4"/>
  <c r="BK3008" i="4"/>
  <c r="BJ2952" i="4"/>
  <c r="BL2952" i="4"/>
  <c r="BK2952" i="4"/>
  <c r="BJ2896" i="4"/>
  <c r="BL2896" i="4"/>
  <c r="BK2896" i="4"/>
  <c r="BJ2840" i="4"/>
  <c r="BL2840" i="4"/>
  <c r="BK2840" i="4"/>
  <c r="BJ2784" i="4"/>
  <c r="BL2784" i="4"/>
  <c r="BK2784" i="4"/>
  <c r="BJ2736" i="4"/>
  <c r="BL2736" i="4"/>
  <c r="BK2736" i="4"/>
  <c r="BJ2680" i="4"/>
  <c r="BL2680" i="4"/>
  <c r="BK2680" i="4"/>
  <c r="BJ2640" i="4"/>
  <c r="BL2640" i="4"/>
  <c r="BK2640" i="4"/>
  <c r="BJ2584" i="4"/>
  <c r="BL2584" i="4"/>
  <c r="BK2584" i="4"/>
  <c r="BJ2544" i="4"/>
  <c r="BL2544" i="4"/>
  <c r="BK2544" i="4"/>
  <c r="BJ2496" i="4"/>
  <c r="BL2496" i="4"/>
  <c r="BK2496" i="4"/>
  <c r="BJ2440" i="4"/>
  <c r="BL2440" i="4"/>
  <c r="BK2440" i="4"/>
  <c r="BJ2376" i="4"/>
  <c r="BL2376" i="4"/>
  <c r="BK2376" i="4"/>
  <c r="BJ2320" i="4"/>
  <c r="BL2320" i="4"/>
  <c r="BK2320" i="4"/>
  <c r="BJ2248" i="4"/>
  <c r="BL2248" i="4"/>
  <c r="BK2248" i="4"/>
  <c r="BJ2184" i="4"/>
  <c r="BL2184" i="4"/>
  <c r="BK2184" i="4"/>
  <c r="BJ2128" i="4"/>
  <c r="BL2128" i="4"/>
  <c r="BK2128" i="4"/>
  <c r="BJ2080" i="4"/>
  <c r="BL2080" i="4"/>
  <c r="BK2080" i="4"/>
  <c r="BJ2032" i="4"/>
  <c r="BL2032" i="4"/>
  <c r="BK2032" i="4"/>
  <c r="BJ1976" i="4"/>
  <c r="BL1976" i="4"/>
  <c r="BK1976" i="4"/>
  <c r="BJ1928" i="4"/>
  <c r="BL1928" i="4"/>
  <c r="BK1928" i="4"/>
  <c r="BJ1888" i="4"/>
  <c r="BL1888" i="4"/>
  <c r="BK1888" i="4"/>
  <c r="BJ1848" i="4"/>
  <c r="BL1848" i="4"/>
  <c r="BK1848" i="4"/>
  <c r="BJ1792" i="4"/>
  <c r="BL1792" i="4"/>
  <c r="BK1792" i="4"/>
  <c r="BJ1744" i="4"/>
  <c r="BL1744" i="4"/>
  <c r="BK1744" i="4"/>
  <c r="BJ1672" i="4"/>
  <c r="BL1672" i="4"/>
  <c r="BK1672" i="4"/>
  <c r="BJ1608" i="4"/>
  <c r="BL1608" i="4"/>
  <c r="BK1608" i="4"/>
  <c r="BJ1552" i="4"/>
  <c r="BL1552" i="4"/>
  <c r="BK1552" i="4"/>
  <c r="BJ1496" i="4"/>
  <c r="BL1496" i="4"/>
  <c r="BK1496" i="4"/>
  <c r="BJ1440" i="4"/>
  <c r="BL1440" i="4"/>
  <c r="BK1440" i="4"/>
  <c r="BJ1400" i="4"/>
  <c r="BL1400" i="4"/>
  <c r="BK1400" i="4"/>
  <c r="BJ1344" i="4"/>
  <c r="BL1344" i="4"/>
  <c r="BK1344" i="4"/>
  <c r="BJ1304" i="4"/>
  <c r="BL1304" i="4"/>
  <c r="BK1304" i="4"/>
  <c r="BJ1272" i="4"/>
  <c r="BL1272" i="4"/>
  <c r="BK1272" i="4"/>
  <c r="BJ1216" i="4"/>
  <c r="BL1216" i="4"/>
  <c r="BK1216" i="4"/>
  <c r="BJ1176" i="4"/>
  <c r="BL1176" i="4"/>
  <c r="BK1176" i="4"/>
  <c r="BJ1128" i="4"/>
  <c r="BL1128" i="4"/>
  <c r="BK1128" i="4"/>
  <c r="BJ1072" i="4"/>
  <c r="BL1072" i="4"/>
  <c r="BK1072" i="4"/>
  <c r="BJ1016" i="4"/>
  <c r="BL1016" i="4"/>
  <c r="BK1016" i="4"/>
  <c r="BJ960" i="4"/>
  <c r="BL960" i="4"/>
  <c r="BK960" i="4"/>
  <c r="BJ904" i="4"/>
  <c r="BL904" i="4"/>
  <c r="BK904" i="4"/>
  <c r="BJ856" i="4"/>
  <c r="BL856" i="4"/>
  <c r="BK856" i="4"/>
  <c r="BJ808" i="4"/>
  <c r="BL808" i="4"/>
  <c r="BK808" i="4"/>
  <c r="BJ728" i="4"/>
  <c r="BL728" i="4"/>
  <c r="BK728" i="4"/>
  <c r="BJ672" i="4"/>
  <c r="BL672" i="4"/>
  <c r="BK672" i="4"/>
  <c r="BJ608" i="4"/>
  <c r="BL608" i="4"/>
  <c r="BK608" i="4"/>
  <c r="BJ552" i="4"/>
  <c r="BL552" i="4"/>
  <c r="BK552" i="4"/>
  <c r="BJ496" i="4"/>
  <c r="BL496" i="4"/>
  <c r="BK496" i="4"/>
  <c r="BJ456" i="4"/>
  <c r="BL456" i="4"/>
  <c r="BK456" i="4"/>
  <c r="BJ400" i="4"/>
  <c r="BL400" i="4"/>
  <c r="BK400" i="4"/>
  <c r="BJ336" i="4"/>
  <c r="BL336" i="4"/>
  <c r="BK336" i="4"/>
  <c r="BJ5329" i="4"/>
  <c r="BL5329" i="4"/>
  <c r="BK5329" i="4"/>
  <c r="BJ5321" i="4"/>
  <c r="BL5321" i="4"/>
  <c r="BK5321" i="4"/>
  <c r="BJ5313" i="4"/>
  <c r="BL5313" i="4"/>
  <c r="BK5313" i="4"/>
  <c r="BJ5305" i="4"/>
  <c r="BL5305" i="4"/>
  <c r="BK5305" i="4"/>
  <c r="BJ5297" i="4"/>
  <c r="BL5297" i="4"/>
  <c r="BK5297" i="4"/>
  <c r="BJ5289" i="4"/>
  <c r="BL5289" i="4"/>
  <c r="BK5289" i="4"/>
  <c r="BJ5281" i="4"/>
  <c r="BL5281" i="4"/>
  <c r="BK5281" i="4"/>
  <c r="BJ5273" i="4"/>
  <c r="BL5273" i="4"/>
  <c r="BK5273" i="4"/>
  <c r="BJ5265" i="4"/>
  <c r="BL5265" i="4"/>
  <c r="BK5265" i="4"/>
  <c r="BJ5257" i="4"/>
  <c r="BL5257" i="4"/>
  <c r="BK5257" i="4"/>
  <c r="BJ5249" i="4"/>
  <c r="BL5249" i="4"/>
  <c r="BK5249" i="4"/>
  <c r="BJ5241" i="4"/>
  <c r="BL5241" i="4"/>
  <c r="BK5241" i="4"/>
  <c r="BJ5233" i="4"/>
  <c r="BL5233" i="4"/>
  <c r="BK5233" i="4"/>
  <c r="BJ5225" i="4"/>
  <c r="BL5225" i="4"/>
  <c r="BK5225" i="4"/>
  <c r="BJ5217" i="4"/>
  <c r="BL5217" i="4"/>
  <c r="BK5217" i="4"/>
  <c r="BJ5209" i="4"/>
  <c r="BL5209" i="4"/>
  <c r="BK5209" i="4"/>
  <c r="BJ5201" i="4"/>
  <c r="BL5201" i="4"/>
  <c r="BK5201" i="4"/>
  <c r="BJ5193" i="4"/>
  <c r="BL5193" i="4"/>
  <c r="BK5193" i="4"/>
  <c r="BJ5185" i="4"/>
  <c r="BL5185" i="4"/>
  <c r="BK5185" i="4"/>
  <c r="BJ5177" i="4"/>
  <c r="BL5177" i="4"/>
  <c r="BK5177" i="4"/>
  <c r="BJ5169" i="4"/>
  <c r="BL5169" i="4"/>
  <c r="BK5169" i="4"/>
  <c r="BJ5161" i="4"/>
  <c r="BL5161" i="4"/>
  <c r="BK5161" i="4"/>
  <c r="BJ5153" i="4"/>
  <c r="BL5153" i="4"/>
  <c r="BK5153" i="4"/>
  <c r="BJ5145" i="4"/>
  <c r="BL5145" i="4"/>
  <c r="BK5145" i="4"/>
  <c r="BJ5137" i="4"/>
  <c r="BL5137" i="4"/>
  <c r="BK5137" i="4"/>
  <c r="BJ5129" i="4"/>
  <c r="BL5129" i="4"/>
  <c r="BK5129" i="4"/>
  <c r="BJ5121" i="4"/>
  <c r="BL5121" i="4"/>
  <c r="BK5121" i="4"/>
  <c r="BJ5113" i="4"/>
  <c r="BL5113" i="4"/>
  <c r="BK5113" i="4"/>
  <c r="BJ5105" i="4"/>
  <c r="BL5105" i="4"/>
  <c r="BK5105" i="4"/>
  <c r="BJ5097" i="4"/>
  <c r="BL5097" i="4"/>
  <c r="BK5097" i="4"/>
  <c r="BJ5089" i="4"/>
  <c r="BL5089" i="4"/>
  <c r="BK5089" i="4"/>
  <c r="BJ5081" i="4"/>
  <c r="BL5081" i="4"/>
  <c r="BK5081" i="4"/>
  <c r="BJ5073" i="4"/>
  <c r="BL5073" i="4"/>
  <c r="BK5073" i="4"/>
  <c r="BJ5065" i="4"/>
  <c r="BL5065" i="4"/>
  <c r="BK5065" i="4"/>
  <c r="BJ5057" i="4"/>
  <c r="BL5057" i="4"/>
  <c r="BK5057" i="4"/>
  <c r="BJ5049" i="4"/>
  <c r="BL5049" i="4"/>
  <c r="BK5049" i="4"/>
  <c r="BJ5041" i="4"/>
  <c r="BL5041" i="4"/>
  <c r="BK5041" i="4"/>
  <c r="BJ5033" i="4"/>
  <c r="BL5033" i="4"/>
  <c r="BK5033" i="4"/>
  <c r="BJ5025" i="4"/>
  <c r="BL5025" i="4"/>
  <c r="BK5025" i="4"/>
  <c r="BJ5017" i="4"/>
  <c r="BL5017" i="4"/>
  <c r="BK5017" i="4"/>
  <c r="BJ5009" i="4"/>
  <c r="BL5009" i="4"/>
  <c r="BK5009" i="4"/>
  <c r="BJ5001" i="4"/>
  <c r="BL5001" i="4"/>
  <c r="BK5001" i="4"/>
  <c r="BJ4993" i="4"/>
  <c r="BL4993" i="4"/>
  <c r="BK4993" i="4"/>
  <c r="BJ4985" i="4"/>
  <c r="BL4985" i="4"/>
  <c r="BK4985" i="4"/>
  <c r="BJ4977" i="4"/>
  <c r="BL4977" i="4"/>
  <c r="BK4977" i="4"/>
  <c r="BJ4969" i="4"/>
  <c r="BL4969" i="4"/>
  <c r="BK4969" i="4"/>
  <c r="BJ4961" i="4"/>
  <c r="BL4961" i="4"/>
  <c r="BK4961" i="4"/>
  <c r="BJ4953" i="4"/>
  <c r="BL4953" i="4"/>
  <c r="BK4953" i="4"/>
  <c r="BJ4945" i="4"/>
  <c r="BL4945" i="4"/>
  <c r="BK4945" i="4"/>
  <c r="BJ4937" i="4"/>
  <c r="BL4937" i="4"/>
  <c r="BK4937" i="4"/>
  <c r="BJ4929" i="4"/>
  <c r="BL4929" i="4"/>
  <c r="BK4929" i="4"/>
  <c r="BJ4921" i="4"/>
  <c r="BL4921" i="4"/>
  <c r="BK4921" i="4"/>
  <c r="BJ4913" i="4"/>
  <c r="BL4913" i="4"/>
  <c r="BK4913" i="4"/>
  <c r="BJ4905" i="4"/>
  <c r="BK4905" i="4"/>
  <c r="BL4905" i="4"/>
  <c r="BJ4897" i="4"/>
  <c r="BL4897" i="4"/>
  <c r="BK4897" i="4"/>
  <c r="BJ4889" i="4"/>
  <c r="BL4889" i="4"/>
  <c r="BK4889" i="4"/>
  <c r="BJ4881" i="4"/>
  <c r="BL4881" i="4"/>
  <c r="BK4881" i="4"/>
  <c r="BJ4873" i="4"/>
  <c r="BL4873" i="4"/>
  <c r="BK4873" i="4"/>
  <c r="BJ4865" i="4"/>
  <c r="BL4865" i="4"/>
  <c r="BK4865" i="4"/>
  <c r="BJ4857" i="4"/>
  <c r="BL4857" i="4"/>
  <c r="BK4857" i="4"/>
  <c r="BJ4849" i="4"/>
  <c r="BL4849" i="4"/>
  <c r="BK4849" i="4"/>
  <c r="BJ4841" i="4"/>
  <c r="BL4841" i="4"/>
  <c r="BK4841" i="4"/>
  <c r="BJ4833" i="4"/>
  <c r="BL4833" i="4"/>
  <c r="BK4833" i="4"/>
  <c r="BJ4825" i="4"/>
  <c r="BL4825" i="4"/>
  <c r="BK4825" i="4"/>
  <c r="BJ4817" i="4"/>
  <c r="BL4817" i="4"/>
  <c r="BK4817" i="4"/>
  <c r="BJ4809" i="4"/>
  <c r="BL4809" i="4"/>
  <c r="BK4809" i="4"/>
  <c r="BJ4801" i="4"/>
  <c r="BL4801" i="4"/>
  <c r="BK4801" i="4"/>
  <c r="BJ4793" i="4"/>
  <c r="BL4793" i="4"/>
  <c r="BK4793" i="4"/>
  <c r="BJ4785" i="4"/>
  <c r="BL4785" i="4"/>
  <c r="BK4785" i="4"/>
  <c r="BJ4777" i="4"/>
  <c r="BL4777" i="4"/>
  <c r="BK4777" i="4"/>
  <c r="BJ4769" i="4"/>
  <c r="BL4769" i="4"/>
  <c r="BK4769" i="4"/>
  <c r="BJ4761" i="4"/>
  <c r="BL4761" i="4"/>
  <c r="BK4761" i="4"/>
  <c r="BJ4753" i="4"/>
  <c r="BL4753" i="4"/>
  <c r="BK4753" i="4"/>
  <c r="BJ4745" i="4"/>
  <c r="BL4745" i="4"/>
  <c r="BK4745" i="4"/>
  <c r="BJ4737" i="4"/>
  <c r="BL4737" i="4"/>
  <c r="BK4737" i="4"/>
  <c r="BJ4729" i="4"/>
  <c r="BL4729" i="4"/>
  <c r="BK4729" i="4"/>
  <c r="BJ4721" i="4"/>
  <c r="BL4721" i="4"/>
  <c r="BK4721" i="4"/>
  <c r="BJ4713" i="4"/>
  <c r="BL4713" i="4"/>
  <c r="BK4713" i="4"/>
  <c r="BJ4705" i="4"/>
  <c r="BL4705" i="4"/>
  <c r="BK4705" i="4"/>
  <c r="BJ4697" i="4"/>
  <c r="BL4697" i="4"/>
  <c r="BK4697" i="4"/>
  <c r="BJ4689" i="4"/>
  <c r="BL4689" i="4"/>
  <c r="BK4689" i="4"/>
  <c r="BJ4681" i="4"/>
  <c r="BL4681" i="4"/>
  <c r="BK4681" i="4"/>
  <c r="BJ4673" i="4"/>
  <c r="BL4673" i="4"/>
  <c r="BK4673" i="4"/>
  <c r="BJ4665" i="4"/>
  <c r="BL4665" i="4"/>
  <c r="BK4665" i="4"/>
  <c r="BJ4657" i="4"/>
  <c r="BL4657" i="4"/>
  <c r="BK4657" i="4"/>
  <c r="BJ4649" i="4"/>
  <c r="BL4649" i="4"/>
  <c r="BK4649" i="4"/>
  <c r="BJ4641" i="4"/>
  <c r="BL4641" i="4"/>
  <c r="BK4641" i="4"/>
  <c r="BJ4633" i="4"/>
  <c r="BL4633" i="4"/>
  <c r="BK4633" i="4"/>
  <c r="BJ4625" i="4"/>
  <c r="BL4625" i="4"/>
  <c r="BK4625" i="4"/>
  <c r="BJ4617" i="4"/>
  <c r="BL4617" i="4"/>
  <c r="BK4617" i="4"/>
  <c r="BJ4609" i="4"/>
  <c r="BL4609" i="4"/>
  <c r="BK4609" i="4"/>
  <c r="BJ4601" i="4"/>
  <c r="BL4601" i="4"/>
  <c r="BK4601" i="4"/>
  <c r="BJ4593" i="4"/>
  <c r="BL4593" i="4"/>
  <c r="BK4593" i="4"/>
  <c r="BJ4585" i="4"/>
  <c r="BL4585" i="4"/>
  <c r="BK4585" i="4"/>
  <c r="BJ4577" i="4"/>
  <c r="BL4577" i="4"/>
  <c r="BK4577" i="4"/>
  <c r="BJ4569" i="4"/>
  <c r="BL4569" i="4"/>
  <c r="BK4569" i="4"/>
  <c r="BJ4561" i="4"/>
  <c r="BL4561" i="4"/>
  <c r="BK4561" i="4"/>
  <c r="BJ4553" i="4"/>
  <c r="BL4553" i="4"/>
  <c r="BK4553" i="4"/>
  <c r="BJ4545" i="4"/>
  <c r="BL4545" i="4"/>
  <c r="BK4545" i="4"/>
  <c r="BJ4537" i="4"/>
  <c r="BL4537" i="4"/>
  <c r="BK4537" i="4"/>
  <c r="BJ4529" i="4"/>
  <c r="BL4529" i="4"/>
  <c r="BK4529" i="4"/>
  <c r="BJ4521" i="4"/>
  <c r="BL4521" i="4"/>
  <c r="BK4521" i="4"/>
  <c r="BJ4513" i="4"/>
  <c r="BL4513" i="4"/>
  <c r="BK4513" i="4"/>
  <c r="BJ4505" i="4"/>
  <c r="BL4505" i="4"/>
  <c r="BK4505" i="4"/>
  <c r="BJ4497" i="4"/>
  <c r="BL4497" i="4"/>
  <c r="BK4497" i="4"/>
  <c r="BJ4489" i="4"/>
  <c r="BL4489" i="4"/>
  <c r="BK4489" i="4"/>
  <c r="BJ4481" i="4"/>
  <c r="BL4481" i="4"/>
  <c r="BK4481" i="4"/>
  <c r="BJ4473" i="4"/>
  <c r="BL4473" i="4"/>
  <c r="BK4473" i="4"/>
  <c r="BJ4465" i="4"/>
  <c r="BL4465" i="4"/>
  <c r="BK4465" i="4"/>
  <c r="BJ4457" i="4"/>
  <c r="BL4457" i="4"/>
  <c r="BK4457" i="4"/>
  <c r="BJ4449" i="4"/>
  <c r="BL4449" i="4"/>
  <c r="BK4449" i="4"/>
  <c r="BJ4441" i="4"/>
  <c r="BL4441" i="4"/>
  <c r="BK4441" i="4"/>
  <c r="BJ4433" i="4"/>
  <c r="BL4433" i="4"/>
  <c r="BK4433" i="4"/>
  <c r="BJ4425" i="4"/>
  <c r="BL4425" i="4"/>
  <c r="BK4425" i="4"/>
  <c r="BJ4417" i="4"/>
  <c r="BL4417" i="4"/>
  <c r="BK4417" i="4"/>
  <c r="BJ4409" i="4"/>
  <c r="BL4409" i="4"/>
  <c r="BK4409" i="4"/>
  <c r="BJ4401" i="4"/>
  <c r="BL4401" i="4"/>
  <c r="BK4401" i="4"/>
  <c r="BJ4393" i="4"/>
  <c r="BL4393" i="4"/>
  <c r="BK4393" i="4"/>
  <c r="BJ4385" i="4"/>
  <c r="BL4385" i="4"/>
  <c r="BK4385" i="4"/>
  <c r="BJ4377" i="4"/>
  <c r="BL4377" i="4"/>
  <c r="BK4377" i="4"/>
  <c r="BJ4369" i="4"/>
  <c r="BL4369" i="4"/>
  <c r="BK4369" i="4"/>
  <c r="BJ4361" i="4"/>
  <c r="BL4361" i="4"/>
  <c r="BK4361" i="4"/>
  <c r="BJ4353" i="4"/>
  <c r="BL4353" i="4"/>
  <c r="BK4353" i="4"/>
  <c r="BJ4345" i="4"/>
  <c r="BL4345" i="4"/>
  <c r="BK4345" i="4"/>
  <c r="BJ4337" i="4"/>
  <c r="BL4337" i="4"/>
  <c r="BK4337" i="4"/>
  <c r="BJ4329" i="4"/>
  <c r="BL4329" i="4"/>
  <c r="BK4329" i="4"/>
  <c r="BJ4321" i="4"/>
  <c r="BL4321" i="4"/>
  <c r="BK4321" i="4"/>
  <c r="BJ4313" i="4"/>
  <c r="BL4313" i="4"/>
  <c r="BK4313" i="4"/>
  <c r="BJ4305" i="4"/>
  <c r="BL4305" i="4"/>
  <c r="BK4305" i="4"/>
  <c r="BJ4297" i="4"/>
  <c r="BL4297" i="4"/>
  <c r="BK4297" i="4"/>
  <c r="BJ4289" i="4"/>
  <c r="BL4289" i="4"/>
  <c r="BK4289" i="4"/>
  <c r="BJ4281" i="4"/>
  <c r="BL4281" i="4"/>
  <c r="BK4281" i="4"/>
  <c r="BJ4273" i="4"/>
  <c r="BL4273" i="4"/>
  <c r="BK4273" i="4"/>
  <c r="BJ4265" i="4"/>
  <c r="BL4265" i="4"/>
  <c r="BK4265" i="4"/>
  <c r="BJ4257" i="4"/>
  <c r="BL4257" i="4"/>
  <c r="BK4257" i="4"/>
  <c r="BJ4249" i="4"/>
  <c r="BL4249" i="4"/>
  <c r="BK4249" i="4"/>
  <c r="BJ4241" i="4"/>
  <c r="BL4241" i="4"/>
  <c r="BK4241" i="4"/>
  <c r="BJ4233" i="4"/>
  <c r="BL4233" i="4"/>
  <c r="BK4233" i="4"/>
  <c r="BJ4225" i="4"/>
  <c r="BL4225" i="4"/>
  <c r="BK4225" i="4"/>
  <c r="BJ4217" i="4"/>
  <c r="BL4217" i="4"/>
  <c r="BK4217" i="4"/>
  <c r="BJ4209" i="4"/>
  <c r="BL4209" i="4"/>
  <c r="BK4209" i="4"/>
  <c r="BJ4201" i="4"/>
  <c r="BL4201" i="4"/>
  <c r="BK4201" i="4"/>
  <c r="BJ4193" i="4"/>
  <c r="BL4193" i="4"/>
  <c r="BK4193" i="4"/>
  <c r="BJ4185" i="4"/>
  <c r="BL4185" i="4"/>
  <c r="BK4185" i="4"/>
  <c r="BJ4177" i="4"/>
  <c r="BL4177" i="4"/>
  <c r="BK4177" i="4"/>
  <c r="BJ4169" i="4"/>
  <c r="BL4169" i="4"/>
  <c r="BK4169" i="4"/>
  <c r="BJ4161" i="4"/>
  <c r="BL4161" i="4"/>
  <c r="BK4161" i="4"/>
  <c r="BJ4153" i="4"/>
  <c r="BL4153" i="4"/>
  <c r="BK4153" i="4"/>
  <c r="BJ4145" i="4"/>
  <c r="BL4145" i="4"/>
  <c r="BK4145" i="4"/>
  <c r="BJ4137" i="4"/>
  <c r="BL4137" i="4"/>
  <c r="BK4137" i="4"/>
  <c r="BJ4129" i="4"/>
  <c r="BL4129" i="4"/>
  <c r="BK4129" i="4"/>
  <c r="BJ4121" i="4"/>
  <c r="BL4121" i="4"/>
  <c r="BK4121" i="4"/>
  <c r="BJ4113" i="4"/>
  <c r="BL4113" i="4"/>
  <c r="BK4113" i="4"/>
  <c r="BJ4105" i="4"/>
  <c r="BL4105" i="4"/>
  <c r="BK4105" i="4"/>
  <c r="BJ4097" i="4"/>
  <c r="BL4097" i="4"/>
  <c r="BK4097" i="4"/>
  <c r="BJ4089" i="4"/>
  <c r="BL4089" i="4"/>
  <c r="BK4089" i="4"/>
  <c r="BJ4081" i="4"/>
  <c r="BL4081" i="4"/>
  <c r="BK4081" i="4"/>
  <c r="BJ4073" i="4"/>
  <c r="BL4073" i="4"/>
  <c r="BK4073" i="4"/>
  <c r="BJ4065" i="4"/>
  <c r="BL4065" i="4"/>
  <c r="BK4065" i="4"/>
  <c r="BJ4057" i="4"/>
  <c r="BL4057" i="4"/>
  <c r="BK4057" i="4"/>
  <c r="BJ4049" i="4"/>
  <c r="BL4049" i="4"/>
  <c r="BK4049" i="4"/>
  <c r="BJ4041" i="4"/>
  <c r="BL4041" i="4"/>
  <c r="BK4041" i="4"/>
  <c r="BJ4033" i="4"/>
  <c r="BL4033" i="4"/>
  <c r="BK4033" i="4"/>
  <c r="BJ4025" i="4"/>
  <c r="BL4025" i="4"/>
  <c r="BK4025" i="4"/>
  <c r="BJ4017" i="4"/>
  <c r="BL4017" i="4"/>
  <c r="BK4017" i="4"/>
  <c r="BJ4009" i="4"/>
  <c r="BL4009" i="4"/>
  <c r="BK4009" i="4"/>
  <c r="BJ4001" i="4"/>
  <c r="BL4001" i="4"/>
  <c r="BK4001" i="4"/>
  <c r="BJ3993" i="4"/>
  <c r="BL3993" i="4"/>
  <c r="BK3993" i="4"/>
  <c r="BJ3985" i="4"/>
  <c r="BL3985" i="4"/>
  <c r="BK3985" i="4"/>
  <c r="BJ3977" i="4"/>
  <c r="BL3977" i="4"/>
  <c r="BK3977" i="4"/>
  <c r="BJ3969" i="4"/>
  <c r="BL3969" i="4"/>
  <c r="BK3969" i="4"/>
  <c r="BJ3961" i="4"/>
  <c r="BL3961" i="4"/>
  <c r="BK3961" i="4"/>
  <c r="BJ3953" i="4"/>
  <c r="BL3953" i="4"/>
  <c r="BK3953" i="4"/>
  <c r="BJ3945" i="4"/>
  <c r="BL3945" i="4"/>
  <c r="BK3945" i="4"/>
  <c r="BJ3937" i="4"/>
  <c r="BL3937" i="4"/>
  <c r="BK3937" i="4"/>
  <c r="BJ3929" i="4"/>
  <c r="BL3929" i="4"/>
  <c r="BK3929" i="4"/>
  <c r="BJ3921" i="4"/>
  <c r="BL3921" i="4"/>
  <c r="BK3921" i="4"/>
  <c r="BJ3913" i="4"/>
  <c r="BL3913" i="4"/>
  <c r="BK3913" i="4"/>
  <c r="BJ3905" i="4"/>
  <c r="BL3905" i="4"/>
  <c r="BK3905" i="4"/>
  <c r="BJ3897" i="4"/>
  <c r="BL3897" i="4"/>
  <c r="BK3897" i="4"/>
  <c r="BJ3889" i="4"/>
  <c r="BL3889" i="4"/>
  <c r="BK3889" i="4"/>
  <c r="BJ3881" i="4"/>
  <c r="BL3881" i="4"/>
  <c r="BK3881" i="4"/>
  <c r="BJ3873" i="4"/>
  <c r="BL3873" i="4"/>
  <c r="BK3873" i="4"/>
  <c r="BJ3865" i="4"/>
  <c r="BL3865" i="4"/>
  <c r="BK3865" i="4"/>
  <c r="BJ3857" i="4"/>
  <c r="BL3857" i="4"/>
  <c r="BK3857" i="4"/>
  <c r="BJ3849" i="4"/>
  <c r="BL3849" i="4"/>
  <c r="BK3849" i="4"/>
  <c r="BJ3841" i="4"/>
  <c r="BL3841" i="4"/>
  <c r="BK3841" i="4"/>
  <c r="BJ3833" i="4"/>
  <c r="BL3833" i="4"/>
  <c r="BK3833" i="4"/>
  <c r="BJ3825" i="4"/>
  <c r="BL3825" i="4"/>
  <c r="BK3825" i="4"/>
  <c r="BJ3817" i="4"/>
  <c r="BL3817" i="4"/>
  <c r="BK3817" i="4"/>
  <c r="BJ3809" i="4"/>
  <c r="BL3809" i="4"/>
  <c r="BK3809" i="4"/>
  <c r="BJ3801" i="4"/>
  <c r="BL3801" i="4"/>
  <c r="BK3801" i="4"/>
  <c r="BJ3793" i="4"/>
  <c r="BL3793" i="4"/>
  <c r="BK3793" i="4"/>
  <c r="BJ3785" i="4"/>
  <c r="BL3785" i="4"/>
  <c r="BK3785" i="4"/>
  <c r="BJ3777" i="4"/>
  <c r="BL3777" i="4"/>
  <c r="BK3777" i="4"/>
  <c r="BJ3769" i="4"/>
  <c r="BL3769" i="4"/>
  <c r="BK3769" i="4"/>
  <c r="BJ3761" i="4"/>
  <c r="BL3761" i="4"/>
  <c r="BK3761" i="4"/>
  <c r="BJ3753" i="4"/>
  <c r="BL3753" i="4"/>
  <c r="BK3753" i="4"/>
  <c r="BJ3745" i="4"/>
  <c r="BL3745" i="4"/>
  <c r="BK3745" i="4"/>
  <c r="BJ3737" i="4"/>
  <c r="BL3737" i="4"/>
  <c r="BK3737" i="4"/>
  <c r="BJ3729" i="4"/>
  <c r="BL3729" i="4"/>
  <c r="BK3729" i="4"/>
  <c r="BJ3721" i="4"/>
  <c r="BL3721" i="4"/>
  <c r="BK3721" i="4"/>
  <c r="BJ3713" i="4"/>
  <c r="BL3713" i="4"/>
  <c r="BK3713" i="4"/>
  <c r="BJ3705" i="4"/>
  <c r="BL3705" i="4"/>
  <c r="BK3705" i="4"/>
  <c r="BJ3697" i="4"/>
  <c r="BL3697" i="4"/>
  <c r="BK3697" i="4"/>
  <c r="BJ3689" i="4"/>
  <c r="BL3689" i="4"/>
  <c r="BK3689" i="4"/>
  <c r="BJ3681" i="4"/>
  <c r="BL3681" i="4"/>
  <c r="BK3681" i="4"/>
  <c r="BJ3673" i="4"/>
  <c r="BL3673" i="4"/>
  <c r="BK3673" i="4"/>
  <c r="BJ3665" i="4"/>
  <c r="BL3665" i="4"/>
  <c r="BK3665" i="4"/>
  <c r="BJ3657" i="4"/>
  <c r="BL3657" i="4"/>
  <c r="BK3657" i="4"/>
  <c r="BJ3649" i="4"/>
  <c r="BL3649" i="4"/>
  <c r="BK3649" i="4"/>
  <c r="BJ3641" i="4"/>
  <c r="BL3641" i="4"/>
  <c r="BK3641" i="4"/>
  <c r="BJ3633" i="4"/>
  <c r="BL3633" i="4"/>
  <c r="BK3633" i="4"/>
  <c r="BJ3625" i="4"/>
  <c r="BL3625" i="4"/>
  <c r="BK3625" i="4"/>
  <c r="BJ3617" i="4"/>
  <c r="BL3617" i="4"/>
  <c r="BK3617" i="4"/>
  <c r="BJ3609" i="4"/>
  <c r="BL3609" i="4"/>
  <c r="BK3609" i="4"/>
  <c r="BJ3601" i="4"/>
  <c r="BL3601" i="4"/>
  <c r="BK3601" i="4"/>
  <c r="BJ3593" i="4"/>
  <c r="BL3593" i="4"/>
  <c r="BK3593" i="4"/>
  <c r="BJ3585" i="4"/>
  <c r="BL3585" i="4"/>
  <c r="BK3585" i="4"/>
  <c r="BJ3577" i="4"/>
  <c r="BL3577" i="4"/>
  <c r="BK3577" i="4"/>
  <c r="BJ3569" i="4"/>
  <c r="BL3569" i="4"/>
  <c r="BK3569" i="4"/>
  <c r="BJ3561" i="4"/>
  <c r="BL3561" i="4"/>
  <c r="BK3561" i="4"/>
  <c r="BJ3553" i="4"/>
  <c r="BL3553" i="4"/>
  <c r="BK3553" i="4"/>
  <c r="BJ3545" i="4"/>
  <c r="BL3545" i="4"/>
  <c r="BK3545" i="4"/>
  <c r="BJ3537" i="4"/>
  <c r="BL3537" i="4"/>
  <c r="BK3537" i="4"/>
  <c r="BJ3529" i="4"/>
  <c r="BL3529" i="4"/>
  <c r="BK3529" i="4"/>
  <c r="BJ3521" i="4"/>
  <c r="BL3521" i="4"/>
  <c r="BK3521" i="4"/>
  <c r="BJ3513" i="4"/>
  <c r="BL3513" i="4"/>
  <c r="BK3513" i="4"/>
  <c r="BJ3505" i="4"/>
  <c r="BL3505" i="4"/>
  <c r="BK3505" i="4"/>
  <c r="BJ3497" i="4"/>
  <c r="BL3497" i="4"/>
  <c r="BK3497" i="4"/>
  <c r="BJ3489" i="4"/>
  <c r="BL3489" i="4"/>
  <c r="BK3489" i="4"/>
  <c r="BJ3481" i="4"/>
  <c r="BL3481" i="4"/>
  <c r="BK3481" i="4"/>
  <c r="BJ3473" i="4"/>
  <c r="BL3473" i="4"/>
  <c r="BK3473" i="4"/>
  <c r="BJ3465" i="4"/>
  <c r="BL3465" i="4"/>
  <c r="BK3465" i="4"/>
  <c r="BJ3457" i="4"/>
  <c r="BL3457" i="4"/>
  <c r="BK3457" i="4"/>
  <c r="BJ3449" i="4"/>
  <c r="BL3449" i="4"/>
  <c r="BK3449" i="4"/>
  <c r="BJ3441" i="4"/>
  <c r="BL3441" i="4"/>
  <c r="BK3441" i="4"/>
  <c r="BJ3433" i="4"/>
  <c r="BL3433" i="4"/>
  <c r="BK3433" i="4"/>
  <c r="BJ3425" i="4"/>
  <c r="BL3425" i="4"/>
  <c r="BK3425" i="4"/>
  <c r="BJ3417" i="4"/>
  <c r="BL3417" i="4"/>
  <c r="BK3417" i="4"/>
  <c r="BJ3409" i="4"/>
  <c r="BL3409" i="4"/>
  <c r="BK3409" i="4"/>
  <c r="BJ3401" i="4"/>
  <c r="BL3401" i="4"/>
  <c r="BK3401" i="4"/>
  <c r="BJ3393" i="4"/>
  <c r="BL3393" i="4"/>
  <c r="BK3393" i="4"/>
  <c r="BJ3385" i="4"/>
  <c r="BL3385" i="4"/>
  <c r="BK3385" i="4"/>
  <c r="BJ3377" i="4"/>
  <c r="BL3377" i="4"/>
  <c r="BK3377" i="4"/>
  <c r="BJ3369" i="4"/>
  <c r="BL3369" i="4"/>
  <c r="BK3369" i="4"/>
  <c r="BJ3361" i="4"/>
  <c r="BL3361" i="4"/>
  <c r="BK3361" i="4"/>
  <c r="BJ3353" i="4"/>
  <c r="BL3353" i="4"/>
  <c r="BK3353" i="4"/>
  <c r="BJ3345" i="4"/>
  <c r="BL3345" i="4"/>
  <c r="BK3345" i="4"/>
  <c r="BJ3337" i="4"/>
  <c r="BL3337" i="4"/>
  <c r="BK3337" i="4"/>
  <c r="BJ3329" i="4"/>
  <c r="BL3329" i="4"/>
  <c r="BK3329" i="4"/>
  <c r="BJ3321" i="4"/>
  <c r="BL3321" i="4"/>
  <c r="BK3321" i="4"/>
  <c r="BJ3313" i="4"/>
  <c r="BL3313" i="4"/>
  <c r="BK3313" i="4"/>
  <c r="BJ3305" i="4"/>
  <c r="BL3305" i="4"/>
  <c r="BK3305" i="4"/>
  <c r="BJ3297" i="4"/>
  <c r="BL3297" i="4"/>
  <c r="BK3297" i="4"/>
  <c r="BJ3289" i="4"/>
  <c r="BL3289" i="4"/>
  <c r="BK3289" i="4"/>
  <c r="BJ3281" i="4"/>
  <c r="BL3281" i="4"/>
  <c r="BK3281" i="4"/>
  <c r="BJ3273" i="4"/>
  <c r="BL3273" i="4"/>
  <c r="BK3273" i="4"/>
  <c r="BJ3265" i="4"/>
  <c r="BL3265" i="4"/>
  <c r="BK3265" i="4"/>
  <c r="BJ3257" i="4"/>
  <c r="BL3257" i="4"/>
  <c r="BK3257" i="4"/>
  <c r="BJ3249" i="4"/>
  <c r="BL3249" i="4"/>
  <c r="BK3249" i="4"/>
  <c r="BJ3241" i="4"/>
  <c r="BL3241" i="4"/>
  <c r="BK3241" i="4"/>
  <c r="BJ3233" i="4"/>
  <c r="BL3233" i="4"/>
  <c r="BK3233" i="4"/>
  <c r="BJ3225" i="4"/>
  <c r="BL3225" i="4"/>
  <c r="BK3225" i="4"/>
  <c r="BJ3217" i="4"/>
  <c r="BL3217" i="4"/>
  <c r="BK3217" i="4"/>
  <c r="BJ3209" i="4"/>
  <c r="BL3209" i="4"/>
  <c r="BK3209" i="4"/>
  <c r="BJ3201" i="4"/>
  <c r="BL3201" i="4"/>
  <c r="BK3201" i="4"/>
  <c r="BJ3193" i="4"/>
  <c r="BL3193" i="4"/>
  <c r="BK3193" i="4"/>
  <c r="BJ3185" i="4"/>
  <c r="BL3185" i="4"/>
  <c r="BK3185" i="4"/>
  <c r="BJ3177" i="4"/>
  <c r="BL3177" i="4"/>
  <c r="BK3177" i="4"/>
  <c r="BJ3169" i="4"/>
  <c r="BL3169" i="4"/>
  <c r="BK3169" i="4"/>
  <c r="BJ3161" i="4"/>
  <c r="BL3161" i="4"/>
  <c r="BK3161" i="4"/>
  <c r="BJ3153" i="4"/>
  <c r="BL3153" i="4"/>
  <c r="BK3153" i="4"/>
  <c r="BJ3145" i="4"/>
  <c r="BL3145" i="4"/>
  <c r="BK3145" i="4"/>
  <c r="BJ3137" i="4"/>
  <c r="BL3137" i="4"/>
  <c r="BK3137" i="4"/>
  <c r="BJ3129" i="4"/>
  <c r="BL3129" i="4"/>
  <c r="BK3129" i="4"/>
  <c r="BJ3121" i="4"/>
  <c r="BL3121" i="4"/>
  <c r="BK3121" i="4"/>
  <c r="BJ3113" i="4"/>
  <c r="BL3113" i="4"/>
  <c r="BK3113" i="4"/>
  <c r="BJ3105" i="4"/>
  <c r="BL3105" i="4"/>
  <c r="BK3105" i="4"/>
  <c r="BJ3097" i="4"/>
  <c r="BL3097" i="4"/>
  <c r="BK3097" i="4"/>
  <c r="BJ3089" i="4"/>
  <c r="BL3089" i="4"/>
  <c r="BK3089" i="4"/>
  <c r="BJ3081" i="4"/>
  <c r="BL3081" i="4"/>
  <c r="BK3081" i="4"/>
  <c r="BJ3073" i="4"/>
  <c r="BL3073" i="4"/>
  <c r="BK3073" i="4"/>
  <c r="BJ3065" i="4"/>
  <c r="BL3065" i="4"/>
  <c r="BK3065" i="4"/>
  <c r="BJ3057" i="4"/>
  <c r="BL3057" i="4"/>
  <c r="BK3057" i="4"/>
  <c r="BJ3049" i="4"/>
  <c r="BL3049" i="4"/>
  <c r="BK3049" i="4"/>
  <c r="BJ3041" i="4"/>
  <c r="BL3041" i="4"/>
  <c r="BK3041" i="4"/>
  <c r="BJ3033" i="4"/>
  <c r="BL3033" i="4"/>
  <c r="BK3033" i="4"/>
  <c r="BJ3025" i="4"/>
  <c r="BL3025" i="4"/>
  <c r="BK3025" i="4"/>
  <c r="BJ3017" i="4"/>
  <c r="BL3017" i="4"/>
  <c r="BK3017" i="4"/>
  <c r="BJ3009" i="4"/>
  <c r="BL3009" i="4"/>
  <c r="BK3009" i="4"/>
  <c r="BJ3001" i="4"/>
  <c r="BL3001" i="4"/>
  <c r="BK3001" i="4"/>
  <c r="BJ2993" i="4"/>
  <c r="BL2993" i="4"/>
  <c r="BK2993" i="4"/>
  <c r="BJ2985" i="4"/>
  <c r="BL2985" i="4"/>
  <c r="BK2985" i="4"/>
  <c r="BJ2977" i="4"/>
  <c r="BL2977" i="4"/>
  <c r="BK2977" i="4"/>
  <c r="BJ2969" i="4"/>
  <c r="BL2969" i="4"/>
  <c r="BK2969" i="4"/>
  <c r="BJ2961" i="4"/>
  <c r="BL2961" i="4"/>
  <c r="BK2961" i="4"/>
  <c r="BJ2953" i="4"/>
  <c r="BL2953" i="4"/>
  <c r="BK2953" i="4"/>
  <c r="BJ2945" i="4"/>
  <c r="BL2945" i="4"/>
  <c r="BK2945" i="4"/>
  <c r="BJ2937" i="4"/>
  <c r="BL2937" i="4"/>
  <c r="BK2937" i="4"/>
  <c r="BJ2929" i="4"/>
  <c r="BL2929" i="4"/>
  <c r="BK2929" i="4"/>
  <c r="BJ2921" i="4"/>
  <c r="BL2921" i="4"/>
  <c r="BK2921" i="4"/>
  <c r="BJ2913" i="4"/>
  <c r="BL2913" i="4"/>
  <c r="BK2913" i="4"/>
  <c r="BJ2905" i="4"/>
  <c r="BL2905" i="4"/>
  <c r="BK2905" i="4"/>
  <c r="BJ2897" i="4"/>
  <c r="BL2897" i="4"/>
  <c r="BK2897" i="4"/>
  <c r="BJ2889" i="4"/>
  <c r="BL2889" i="4"/>
  <c r="BK2889" i="4"/>
  <c r="BJ2881" i="4"/>
  <c r="BL2881" i="4"/>
  <c r="BK2881" i="4"/>
  <c r="BJ2873" i="4"/>
  <c r="BL2873" i="4"/>
  <c r="BK2873" i="4"/>
  <c r="BJ2865" i="4"/>
  <c r="BL2865" i="4"/>
  <c r="BK2865" i="4"/>
  <c r="BJ2857" i="4"/>
  <c r="BL2857" i="4"/>
  <c r="BK2857" i="4"/>
  <c r="BJ2849" i="4"/>
  <c r="BL2849" i="4"/>
  <c r="BK2849" i="4"/>
  <c r="BJ2841" i="4"/>
  <c r="BL2841" i="4"/>
  <c r="BK2841" i="4"/>
  <c r="BJ2833" i="4"/>
  <c r="BL2833" i="4"/>
  <c r="BK2833" i="4"/>
  <c r="BJ2825" i="4"/>
  <c r="BL2825" i="4"/>
  <c r="BK2825" i="4"/>
  <c r="BJ2817" i="4"/>
  <c r="BL2817" i="4"/>
  <c r="BK2817" i="4"/>
  <c r="BJ2809" i="4"/>
  <c r="BL2809" i="4"/>
  <c r="BK2809" i="4"/>
  <c r="BJ2801" i="4"/>
  <c r="BL2801" i="4"/>
  <c r="BK2801" i="4"/>
  <c r="BJ2793" i="4"/>
  <c r="BL2793" i="4"/>
  <c r="BK2793" i="4"/>
  <c r="BJ2785" i="4"/>
  <c r="BL2785" i="4"/>
  <c r="BK2785" i="4"/>
  <c r="BJ2777" i="4"/>
  <c r="BL2777" i="4"/>
  <c r="BK2777" i="4"/>
  <c r="BJ2769" i="4"/>
  <c r="BL2769" i="4"/>
  <c r="BK2769" i="4"/>
  <c r="BJ2761" i="4"/>
  <c r="BL2761" i="4"/>
  <c r="BK2761" i="4"/>
  <c r="BJ2753" i="4"/>
  <c r="BL2753" i="4"/>
  <c r="BK2753" i="4"/>
  <c r="BJ2745" i="4"/>
  <c r="BL2745" i="4"/>
  <c r="BK2745" i="4"/>
  <c r="BJ2737" i="4"/>
  <c r="BL2737" i="4"/>
  <c r="BK2737" i="4"/>
  <c r="BJ2729" i="4"/>
  <c r="BL2729" i="4"/>
  <c r="BK2729" i="4"/>
  <c r="BJ2721" i="4"/>
  <c r="BL2721" i="4"/>
  <c r="BK2721" i="4"/>
  <c r="BJ2713" i="4"/>
  <c r="BL2713" i="4"/>
  <c r="BK2713" i="4"/>
  <c r="BJ2705" i="4"/>
  <c r="BL2705" i="4"/>
  <c r="BK2705" i="4"/>
  <c r="BJ2697" i="4"/>
  <c r="BL2697" i="4"/>
  <c r="BK2697" i="4"/>
  <c r="BJ2689" i="4"/>
  <c r="BL2689" i="4"/>
  <c r="BK2689" i="4"/>
  <c r="BJ2681" i="4"/>
  <c r="BL2681" i="4"/>
  <c r="BK2681" i="4"/>
  <c r="BJ2673" i="4"/>
  <c r="BL2673" i="4"/>
  <c r="BK2673" i="4"/>
  <c r="BJ2665" i="4"/>
  <c r="BL2665" i="4"/>
  <c r="BK2665" i="4"/>
  <c r="BJ2657" i="4"/>
  <c r="BL2657" i="4"/>
  <c r="BK2657" i="4"/>
  <c r="BJ2649" i="4"/>
  <c r="BL2649" i="4"/>
  <c r="BK2649" i="4"/>
  <c r="BJ2641" i="4"/>
  <c r="BL2641" i="4"/>
  <c r="BK2641" i="4"/>
  <c r="BJ2633" i="4"/>
  <c r="BL2633" i="4"/>
  <c r="BK2633" i="4"/>
  <c r="BJ2625" i="4"/>
  <c r="BL2625" i="4"/>
  <c r="BK2625" i="4"/>
  <c r="BJ2617" i="4"/>
  <c r="BL2617" i="4"/>
  <c r="BK2617" i="4"/>
  <c r="BJ2609" i="4"/>
  <c r="BL2609" i="4"/>
  <c r="BK2609" i="4"/>
  <c r="BJ2601" i="4"/>
  <c r="BL2601" i="4"/>
  <c r="BK2601" i="4"/>
  <c r="BJ2593" i="4"/>
  <c r="BL2593" i="4"/>
  <c r="BK2593" i="4"/>
  <c r="BJ2585" i="4"/>
  <c r="BL2585" i="4"/>
  <c r="BK2585" i="4"/>
  <c r="BJ2577" i="4"/>
  <c r="BL2577" i="4"/>
  <c r="BK2577" i="4"/>
  <c r="BJ2569" i="4"/>
  <c r="BL2569" i="4"/>
  <c r="BK2569" i="4"/>
  <c r="BJ2561" i="4"/>
  <c r="BL2561" i="4"/>
  <c r="BK2561" i="4"/>
  <c r="BJ2553" i="4"/>
  <c r="BL2553" i="4"/>
  <c r="BK2553" i="4"/>
  <c r="BJ2545" i="4"/>
  <c r="BL2545" i="4"/>
  <c r="BK2545" i="4"/>
  <c r="BJ2537" i="4"/>
  <c r="BL2537" i="4"/>
  <c r="BK2537" i="4"/>
  <c r="BJ2529" i="4"/>
  <c r="BL2529" i="4"/>
  <c r="BK2529" i="4"/>
  <c r="BJ2521" i="4"/>
  <c r="BL2521" i="4"/>
  <c r="BK2521" i="4"/>
  <c r="BJ2513" i="4"/>
  <c r="BL2513" i="4"/>
  <c r="BK2513" i="4"/>
  <c r="BJ2505" i="4"/>
  <c r="BL2505" i="4"/>
  <c r="BK2505" i="4"/>
  <c r="BJ2497" i="4"/>
  <c r="BL2497" i="4"/>
  <c r="BK2497" i="4"/>
  <c r="BJ2489" i="4"/>
  <c r="BL2489" i="4"/>
  <c r="BK2489" i="4"/>
  <c r="BJ2481" i="4"/>
  <c r="BL2481" i="4"/>
  <c r="BK2481" i="4"/>
  <c r="BJ2473" i="4"/>
  <c r="BL2473" i="4"/>
  <c r="BK2473" i="4"/>
  <c r="BJ2465" i="4"/>
  <c r="BL2465" i="4"/>
  <c r="BK2465" i="4"/>
  <c r="BJ2457" i="4"/>
  <c r="BL2457" i="4"/>
  <c r="BK2457" i="4"/>
  <c r="BJ2449" i="4"/>
  <c r="BL2449" i="4"/>
  <c r="BK2449" i="4"/>
  <c r="BJ2441" i="4"/>
  <c r="BL2441" i="4"/>
  <c r="BK2441" i="4"/>
  <c r="BJ2433" i="4"/>
  <c r="BL2433" i="4"/>
  <c r="BK2433" i="4"/>
  <c r="BJ2425" i="4"/>
  <c r="BL2425" i="4"/>
  <c r="BK2425" i="4"/>
  <c r="BJ2417" i="4"/>
  <c r="BL2417" i="4"/>
  <c r="BK2417" i="4"/>
  <c r="BJ2409" i="4"/>
  <c r="BL2409" i="4"/>
  <c r="BK2409" i="4"/>
  <c r="BJ2401" i="4"/>
  <c r="BL2401" i="4"/>
  <c r="BK2401" i="4"/>
  <c r="BJ2393" i="4"/>
  <c r="BL2393" i="4"/>
  <c r="BK2393" i="4"/>
  <c r="BJ2385" i="4"/>
  <c r="BL2385" i="4"/>
  <c r="BK2385" i="4"/>
  <c r="BJ2377" i="4"/>
  <c r="BL2377" i="4"/>
  <c r="BK2377" i="4"/>
  <c r="BJ2369" i="4"/>
  <c r="BL2369" i="4"/>
  <c r="BK2369" i="4"/>
  <c r="BJ2361" i="4"/>
  <c r="BL2361" i="4"/>
  <c r="BK2361" i="4"/>
  <c r="BJ2353" i="4"/>
  <c r="BL2353" i="4"/>
  <c r="BK2353" i="4"/>
  <c r="BJ2345" i="4"/>
  <c r="BL2345" i="4"/>
  <c r="BK2345" i="4"/>
  <c r="BJ2337" i="4"/>
  <c r="BL2337" i="4"/>
  <c r="BK2337" i="4"/>
  <c r="BJ2329" i="4"/>
  <c r="BL2329" i="4"/>
  <c r="BK2329" i="4"/>
  <c r="BJ2321" i="4"/>
  <c r="BL2321" i="4"/>
  <c r="BK2321" i="4"/>
  <c r="BJ2313" i="4"/>
  <c r="BL2313" i="4"/>
  <c r="BK2313" i="4"/>
  <c r="BJ2305" i="4"/>
  <c r="BL2305" i="4"/>
  <c r="BK2305" i="4"/>
  <c r="BJ2297" i="4"/>
  <c r="BL2297" i="4"/>
  <c r="BK2297" i="4"/>
  <c r="BJ2289" i="4"/>
  <c r="BL2289" i="4"/>
  <c r="BK2289" i="4"/>
  <c r="BJ2281" i="4"/>
  <c r="BL2281" i="4"/>
  <c r="BK2281" i="4"/>
  <c r="BJ2273" i="4"/>
  <c r="BL2273" i="4"/>
  <c r="BK2273" i="4"/>
  <c r="BJ2265" i="4"/>
  <c r="BL2265" i="4"/>
  <c r="BK2265" i="4"/>
  <c r="BJ2257" i="4"/>
  <c r="BL2257" i="4"/>
  <c r="BK2257" i="4"/>
  <c r="BJ2249" i="4"/>
  <c r="BL2249" i="4"/>
  <c r="BK2249" i="4"/>
  <c r="BJ2241" i="4"/>
  <c r="BL2241" i="4"/>
  <c r="BK2241" i="4"/>
  <c r="BJ2233" i="4"/>
  <c r="BL2233" i="4"/>
  <c r="BK2233" i="4"/>
  <c r="BJ2225" i="4"/>
  <c r="BL2225" i="4"/>
  <c r="BK2225" i="4"/>
  <c r="BJ2217" i="4"/>
  <c r="BL2217" i="4"/>
  <c r="BK2217" i="4"/>
  <c r="BJ2209" i="4"/>
  <c r="BL2209" i="4"/>
  <c r="BK2209" i="4"/>
  <c r="BJ2201" i="4"/>
  <c r="BL2201" i="4"/>
  <c r="BK2201" i="4"/>
  <c r="BJ2193" i="4"/>
  <c r="BL2193" i="4"/>
  <c r="BK2193" i="4"/>
  <c r="BJ2185" i="4"/>
  <c r="BL2185" i="4"/>
  <c r="BK2185" i="4"/>
  <c r="BJ2177" i="4"/>
  <c r="BL2177" i="4"/>
  <c r="BK2177" i="4"/>
  <c r="BJ2169" i="4"/>
  <c r="BL2169" i="4"/>
  <c r="BK2169" i="4"/>
  <c r="BJ2161" i="4"/>
  <c r="BL2161" i="4"/>
  <c r="BK2161" i="4"/>
  <c r="BJ2153" i="4"/>
  <c r="BL2153" i="4"/>
  <c r="BK2153" i="4"/>
  <c r="BJ2145" i="4"/>
  <c r="BL2145" i="4"/>
  <c r="BK2145" i="4"/>
  <c r="BJ2137" i="4"/>
  <c r="BL2137" i="4"/>
  <c r="BK2137" i="4"/>
  <c r="BJ2129" i="4"/>
  <c r="BL2129" i="4"/>
  <c r="BK2129" i="4"/>
  <c r="BJ2121" i="4"/>
  <c r="BL2121" i="4"/>
  <c r="BK2121" i="4"/>
  <c r="BJ2113" i="4"/>
  <c r="BL2113" i="4"/>
  <c r="BK2113" i="4"/>
  <c r="BJ2105" i="4"/>
  <c r="BL2105" i="4"/>
  <c r="BK2105" i="4"/>
  <c r="BJ2097" i="4"/>
  <c r="BL2097" i="4"/>
  <c r="BK2097" i="4"/>
  <c r="BJ2089" i="4"/>
  <c r="BL2089" i="4"/>
  <c r="BK2089" i="4"/>
  <c r="BJ2081" i="4"/>
  <c r="BL2081" i="4"/>
  <c r="BK2081" i="4"/>
  <c r="BJ2073" i="4"/>
  <c r="BL2073" i="4"/>
  <c r="BK2073" i="4"/>
  <c r="BJ2065" i="4"/>
  <c r="BL2065" i="4"/>
  <c r="BK2065" i="4"/>
  <c r="BJ2057" i="4"/>
  <c r="BL2057" i="4"/>
  <c r="BK2057" i="4"/>
  <c r="BJ2049" i="4"/>
  <c r="BL2049" i="4"/>
  <c r="BK2049" i="4"/>
  <c r="BJ2041" i="4"/>
  <c r="BL2041" i="4"/>
  <c r="BK2041" i="4"/>
  <c r="BJ2033" i="4"/>
  <c r="BL2033" i="4"/>
  <c r="BK2033" i="4"/>
  <c r="BJ2025" i="4"/>
  <c r="BL2025" i="4"/>
  <c r="BK2025" i="4"/>
  <c r="BJ2017" i="4"/>
  <c r="BL2017" i="4"/>
  <c r="BK2017" i="4"/>
  <c r="BJ2009" i="4"/>
  <c r="BL2009" i="4"/>
  <c r="BK2009" i="4"/>
  <c r="BJ2001" i="4"/>
  <c r="BL2001" i="4"/>
  <c r="BK2001" i="4"/>
  <c r="BJ1993" i="4"/>
  <c r="BL1993" i="4"/>
  <c r="BK1993" i="4"/>
  <c r="BJ1985" i="4"/>
  <c r="BL1985" i="4"/>
  <c r="BK1985" i="4"/>
  <c r="BJ1977" i="4"/>
  <c r="BL1977" i="4"/>
  <c r="BK1977" i="4"/>
  <c r="BJ1969" i="4"/>
  <c r="BL1969" i="4"/>
  <c r="BK1969" i="4"/>
  <c r="BJ1961" i="4"/>
  <c r="BL1961" i="4"/>
  <c r="BK1961" i="4"/>
  <c r="BJ1953" i="4"/>
  <c r="BL1953" i="4"/>
  <c r="BK1953" i="4"/>
  <c r="BJ1945" i="4"/>
  <c r="BL1945" i="4"/>
  <c r="BK1945" i="4"/>
  <c r="BJ1937" i="4"/>
  <c r="BL1937" i="4"/>
  <c r="BK1937" i="4"/>
  <c r="BJ1929" i="4"/>
  <c r="BL1929" i="4"/>
  <c r="BK1929" i="4"/>
  <c r="BJ1921" i="4"/>
  <c r="BL1921" i="4"/>
  <c r="BK1921" i="4"/>
  <c r="BJ1913" i="4"/>
  <c r="BL1913" i="4"/>
  <c r="BK1913" i="4"/>
  <c r="BJ1905" i="4"/>
  <c r="BL1905" i="4"/>
  <c r="BK1905" i="4"/>
  <c r="BJ1897" i="4"/>
  <c r="BL1897" i="4"/>
  <c r="BK1897" i="4"/>
  <c r="BJ1889" i="4"/>
  <c r="BL1889" i="4"/>
  <c r="BK1889" i="4"/>
  <c r="BJ1881" i="4"/>
  <c r="BL1881" i="4"/>
  <c r="BK1881" i="4"/>
  <c r="BJ1873" i="4"/>
  <c r="BL1873" i="4"/>
  <c r="BK1873" i="4"/>
  <c r="BJ1865" i="4"/>
  <c r="BL1865" i="4"/>
  <c r="BK1865" i="4"/>
  <c r="BJ1857" i="4"/>
  <c r="BL1857" i="4"/>
  <c r="BK1857" i="4"/>
  <c r="BJ1849" i="4"/>
  <c r="BL1849" i="4"/>
  <c r="BK1849" i="4"/>
  <c r="BJ1841" i="4"/>
  <c r="BL1841" i="4"/>
  <c r="BK1841" i="4"/>
  <c r="BJ1833" i="4"/>
  <c r="BL1833" i="4"/>
  <c r="BK1833" i="4"/>
  <c r="BJ1825" i="4"/>
  <c r="BL1825" i="4"/>
  <c r="BK1825" i="4"/>
  <c r="BJ1817" i="4"/>
  <c r="BL1817" i="4"/>
  <c r="BK1817" i="4"/>
  <c r="BJ1809" i="4"/>
  <c r="BL1809" i="4"/>
  <c r="BK1809" i="4"/>
  <c r="BJ1801" i="4"/>
  <c r="BL1801" i="4"/>
  <c r="BK1801" i="4"/>
  <c r="BJ1793" i="4"/>
  <c r="BL1793" i="4"/>
  <c r="BK1793" i="4"/>
  <c r="BJ1785" i="4"/>
  <c r="BL1785" i="4"/>
  <c r="BK1785" i="4"/>
  <c r="BJ1777" i="4"/>
  <c r="BL1777" i="4"/>
  <c r="BK1777" i="4"/>
  <c r="BJ1769" i="4"/>
  <c r="BL1769" i="4"/>
  <c r="BK1769" i="4"/>
  <c r="BJ1761" i="4"/>
  <c r="BL1761" i="4"/>
  <c r="BK1761" i="4"/>
  <c r="BJ1753" i="4"/>
  <c r="BL1753" i="4"/>
  <c r="BK1753" i="4"/>
  <c r="BJ1745" i="4"/>
  <c r="BL1745" i="4"/>
  <c r="BK1745" i="4"/>
  <c r="BJ1737" i="4"/>
  <c r="BL1737" i="4"/>
  <c r="BK1737" i="4"/>
  <c r="BJ1729" i="4"/>
  <c r="BL1729" i="4"/>
  <c r="BK1729" i="4"/>
  <c r="BJ1721" i="4"/>
  <c r="BL1721" i="4"/>
  <c r="BK1721" i="4"/>
  <c r="BJ1713" i="4"/>
  <c r="BL1713" i="4"/>
  <c r="BK1713" i="4"/>
  <c r="BJ1705" i="4"/>
  <c r="BL1705" i="4"/>
  <c r="BK1705" i="4"/>
  <c r="BJ1697" i="4"/>
  <c r="BL1697" i="4"/>
  <c r="BK1697" i="4"/>
  <c r="BJ1689" i="4"/>
  <c r="BL1689" i="4"/>
  <c r="BK1689" i="4"/>
  <c r="BJ1681" i="4"/>
  <c r="BL1681" i="4"/>
  <c r="BK1681" i="4"/>
  <c r="BJ1673" i="4"/>
  <c r="BL1673" i="4"/>
  <c r="BK1673" i="4"/>
  <c r="BJ1665" i="4"/>
  <c r="BL1665" i="4"/>
  <c r="BK1665" i="4"/>
  <c r="BJ1657" i="4"/>
  <c r="BL1657" i="4"/>
  <c r="BK1657" i="4"/>
  <c r="BJ1649" i="4"/>
  <c r="BL1649" i="4"/>
  <c r="BK1649" i="4"/>
  <c r="BJ1641" i="4"/>
  <c r="BL1641" i="4"/>
  <c r="BK1641" i="4"/>
  <c r="BJ1633" i="4"/>
  <c r="BL1633" i="4"/>
  <c r="BK1633" i="4"/>
  <c r="BJ1625" i="4"/>
  <c r="BL1625" i="4"/>
  <c r="BK1625" i="4"/>
  <c r="BJ1617" i="4"/>
  <c r="BL1617" i="4"/>
  <c r="BK1617" i="4"/>
  <c r="BJ1609" i="4"/>
  <c r="BL1609" i="4"/>
  <c r="BK1609" i="4"/>
  <c r="BJ1601" i="4"/>
  <c r="BL1601" i="4"/>
  <c r="BK1601" i="4"/>
  <c r="BJ1593" i="4"/>
  <c r="BL1593" i="4"/>
  <c r="BK1593" i="4"/>
  <c r="BJ1585" i="4"/>
  <c r="BL1585" i="4"/>
  <c r="BK1585" i="4"/>
  <c r="BJ1577" i="4"/>
  <c r="BL1577" i="4"/>
  <c r="BK1577" i="4"/>
  <c r="BJ1569" i="4"/>
  <c r="BL1569" i="4"/>
  <c r="BK1569" i="4"/>
  <c r="BJ1561" i="4"/>
  <c r="BL1561" i="4"/>
  <c r="BK1561" i="4"/>
  <c r="BJ1553" i="4"/>
  <c r="BL1553" i="4"/>
  <c r="BK1553" i="4"/>
  <c r="BJ1545" i="4"/>
  <c r="BL1545" i="4"/>
  <c r="BK1545" i="4"/>
  <c r="BJ1537" i="4"/>
  <c r="BL1537" i="4"/>
  <c r="BK1537" i="4"/>
  <c r="BJ1529" i="4"/>
  <c r="BL1529" i="4"/>
  <c r="BK1529" i="4"/>
  <c r="BJ1521" i="4"/>
  <c r="BL1521" i="4"/>
  <c r="BK1521" i="4"/>
  <c r="BJ1513" i="4"/>
  <c r="BL1513" i="4"/>
  <c r="BK1513" i="4"/>
  <c r="BJ1505" i="4"/>
  <c r="BL1505" i="4"/>
  <c r="BK1505" i="4"/>
  <c r="BJ1497" i="4"/>
  <c r="BL1497" i="4"/>
  <c r="BK1497" i="4"/>
  <c r="BJ1489" i="4"/>
  <c r="BL1489" i="4"/>
  <c r="BK1489" i="4"/>
  <c r="BJ1481" i="4"/>
  <c r="BL1481" i="4"/>
  <c r="BK1481" i="4"/>
  <c r="BJ1473" i="4"/>
  <c r="BL1473" i="4"/>
  <c r="BK1473" i="4"/>
  <c r="BJ1465" i="4"/>
  <c r="BL1465" i="4"/>
  <c r="BK1465" i="4"/>
  <c r="BJ1457" i="4"/>
  <c r="BL1457" i="4"/>
  <c r="BK1457" i="4"/>
  <c r="BJ1449" i="4"/>
  <c r="BL1449" i="4"/>
  <c r="BK1449" i="4"/>
  <c r="BJ1441" i="4"/>
  <c r="BL1441" i="4"/>
  <c r="BK1441" i="4"/>
  <c r="BJ1433" i="4"/>
  <c r="BL1433" i="4"/>
  <c r="BK1433" i="4"/>
  <c r="BJ1425" i="4"/>
  <c r="BL1425" i="4"/>
  <c r="BK1425" i="4"/>
  <c r="BJ1417" i="4"/>
  <c r="BL1417" i="4"/>
  <c r="BK1417" i="4"/>
  <c r="BJ1409" i="4"/>
  <c r="BL1409" i="4"/>
  <c r="BK1409" i="4"/>
  <c r="BJ1401" i="4"/>
  <c r="BL1401" i="4"/>
  <c r="BK1401" i="4"/>
  <c r="BJ1393" i="4"/>
  <c r="BL1393" i="4"/>
  <c r="BK1393" i="4"/>
  <c r="BJ1385" i="4"/>
  <c r="BL1385" i="4"/>
  <c r="BK1385" i="4"/>
  <c r="BJ1377" i="4"/>
  <c r="BL1377" i="4"/>
  <c r="BK1377" i="4"/>
  <c r="BJ1369" i="4"/>
  <c r="BL1369" i="4"/>
  <c r="BK1369" i="4"/>
  <c r="BJ1361" i="4"/>
  <c r="BL1361" i="4"/>
  <c r="BK1361" i="4"/>
  <c r="BJ1353" i="4"/>
  <c r="BL1353" i="4"/>
  <c r="BK1353" i="4"/>
  <c r="BJ1345" i="4"/>
  <c r="BL1345" i="4"/>
  <c r="BK1345" i="4"/>
  <c r="BJ1337" i="4"/>
  <c r="BL1337" i="4"/>
  <c r="BK1337" i="4"/>
  <c r="BJ1329" i="4"/>
  <c r="BL1329" i="4"/>
  <c r="BK1329" i="4"/>
  <c r="BJ1321" i="4"/>
  <c r="BL1321" i="4"/>
  <c r="BK1321" i="4"/>
  <c r="BJ1313" i="4"/>
  <c r="BL1313" i="4"/>
  <c r="BK1313" i="4"/>
  <c r="BJ1305" i="4"/>
  <c r="BL1305" i="4"/>
  <c r="BK1305" i="4"/>
  <c r="BJ1297" i="4"/>
  <c r="BL1297" i="4"/>
  <c r="BK1297" i="4"/>
  <c r="BJ1289" i="4"/>
  <c r="BL1289" i="4"/>
  <c r="BK1289" i="4"/>
  <c r="BJ1281" i="4"/>
  <c r="BL1281" i="4"/>
  <c r="BK1281" i="4"/>
  <c r="BJ1273" i="4"/>
  <c r="BL1273" i="4"/>
  <c r="BK1273" i="4"/>
  <c r="BJ1265" i="4"/>
  <c r="BL1265" i="4"/>
  <c r="BK1265" i="4"/>
  <c r="BJ1257" i="4"/>
  <c r="BL1257" i="4"/>
  <c r="BK1257" i="4"/>
  <c r="BJ1249" i="4"/>
  <c r="BL1249" i="4"/>
  <c r="BK1249" i="4"/>
  <c r="BJ1241" i="4"/>
  <c r="BL1241" i="4"/>
  <c r="BK1241" i="4"/>
  <c r="BJ1233" i="4"/>
  <c r="BL1233" i="4"/>
  <c r="BK1233" i="4"/>
  <c r="BJ1225" i="4"/>
  <c r="BL1225" i="4"/>
  <c r="BK1225" i="4"/>
  <c r="BJ1217" i="4"/>
  <c r="BL1217" i="4"/>
  <c r="BK1217" i="4"/>
  <c r="BJ1209" i="4"/>
  <c r="BL1209" i="4"/>
  <c r="BK1209" i="4"/>
  <c r="BJ1201" i="4"/>
  <c r="BL1201" i="4"/>
  <c r="BK1201" i="4"/>
  <c r="BJ1193" i="4"/>
  <c r="BL1193" i="4"/>
  <c r="BK1193" i="4"/>
  <c r="BJ1185" i="4"/>
  <c r="BL1185" i="4"/>
  <c r="BK1185" i="4"/>
  <c r="BJ1177" i="4"/>
  <c r="BL1177" i="4"/>
  <c r="BK1177" i="4"/>
  <c r="BJ1169" i="4"/>
  <c r="BL1169" i="4"/>
  <c r="BK1169" i="4"/>
  <c r="BJ1161" i="4"/>
  <c r="BL1161" i="4"/>
  <c r="BK1161" i="4"/>
  <c r="BJ1153" i="4"/>
  <c r="BL1153" i="4"/>
  <c r="BK1153" i="4"/>
  <c r="BJ1145" i="4"/>
  <c r="BL1145" i="4"/>
  <c r="BK1145" i="4"/>
  <c r="BJ1137" i="4"/>
  <c r="BL1137" i="4"/>
  <c r="BK1137" i="4"/>
  <c r="BJ1129" i="4"/>
  <c r="BL1129" i="4"/>
  <c r="BK1129" i="4"/>
  <c r="BJ1121" i="4"/>
  <c r="BL1121" i="4"/>
  <c r="BK1121" i="4"/>
  <c r="BJ1113" i="4"/>
  <c r="BL1113" i="4"/>
  <c r="BK1113" i="4"/>
  <c r="BJ1105" i="4"/>
  <c r="BL1105" i="4"/>
  <c r="BK1105" i="4"/>
  <c r="BJ1097" i="4"/>
  <c r="BL1097" i="4"/>
  <c r="BK1097" i="4"/>
  <c r="BJ1089" i="4"/>
  <c r="BL1089" i="4"/>
  <c r="BK1089" i="4"/>
  <c r="BJ1081" i="4"/>
  <c r="BL1081" i="4"/>
  <c r="BK1081" i="4"/>
  <c r="BJ1073" i="4"/>
  <c r="BL1073" i="4"/>
  <c r="BK1073" i="4"/>
  <c r="BJ1065" i="4"/>
  <c r="BL1065" i="4"/>
  <c r="BK1065" i="4"/>
  <c r="BJ1057" i="4"/>
  <c r="BL1057" i="4"/>
  <c r="BK1057" i="4"/>
  <c r="BJ1049" i="4"/>
  <c r="BL1049" i="4"/>
  <c r="BK1049" i="4"/>
  <c r="BJ1041" i="4"/>
  <c r="BL1041" i="4"/>
  <c r="BK1041" i="4"/>
  <c r="BJ1033" i="4"/>
  <c r="BL1033" i="4"/>
  <c r="BK1033" i="4"/>
  <c r="BJ1025" i="4"/>
  <c r="BL1025" i="4"/>
  <c r="BK1025" i="4"/>
  <c r="BJ1017" i="4"/>
  <c r="BL1017" i="4"/>
  <c r="BK1017" i="4"/>
  <c r="BJ1009" i="4"/>
  <c r="BL1009" i="4"/>
  <c r="BK1009" i="4"/>
  <c r="BJ1001" i="4"/>
  <c r="BL1001" i="4"/>
  <c r="BK1001" i="4"/>
  <c r="BJ993" i="4"/>
  <c r="BL993" i="4"/>
  <c r="BK993" i="4"/>
  <c r="BJ985" i="4"/>
  <c r="BL985" i="4"/>
  <c r="BK985" i="4"/>
  <c r="BJ977" i="4"/>
  <c r="BL977" i="4"/>
  <c r="BK977" i="4"/>
  <c r="BJ969" i="4"/>
  <c r="BL969" i="4"/>
  <c r="BK969" i="4"/>
  <c r="BJ961" i="4"/>
  <c r="BL961" i="4"/>
  <c r="BK961" i="4"/>
  <c r="BJ953" i="4"/>
  <c r="BL953" i="4"/>
  <c r="BK953" i="4"/>
  <c r="BJ945" i="4"/>
  <c r="BL945" i="4"/>
  <c r="BK945" i="4"/>
  <c r="BJ937" i="4"/>
  <c r="BL937" i="4"/>
  <c r="BK937" i="4"/>
  <c r="BJ929" i="4"/>
  <c r="BL929" i="4"/>
  <c r="BK929" i="4"/>
  <c r="BJ921" i="4"/>
  <c r="BL921" i="4"/>
  <c r="BK921" i="4"/>
  <c r="BJ913" i="4"/>
  <c r="BL913" i="4"/>
  <c r="BK913" i="4"/>
  <c r="BJ905" i="4"/>
  <c r="BL905" i="4"/>
  <c r="BK905" i="4"/>
  <c r="BJ897" i="4"/>
  <c r="BL897" i="4"/>
  <c r="BK897" i="4"/>
  <c r="BJ889" i="4"/>
  <c r="BL889" i="4"/>
  <c r="BK889" i="4"/>
  <c r="BJ881" i="4"/>
  <c r="BL881" i="4"/>
  <c r="BK881" i="4"/>
  <c r="BJ873" i="4"/>
  <c r="BL873" i="4"/>
  <c r="BK873" i="4"/>
  <c r="BJ865" i="4"/>
  <c r="BL865" i="4"/>
  <c r="BK865" i="4"/>
  <c r="BJ857" i="4"/>
  <c r="BL857" i="4"/>
  <c r="BK857" i="4"/>
  <c r="BJ849" i="4"/>
  <c r="BL849" i="4"/>
  <c r="BK849" i="4"/>
  <c r="BJ841" i="4"/>
  <c r="BL841" i="4"/>
  <c r="BK841" i="4"/>
  <c r="BJ833" i="4"/>
  <c r="BL833" i="4"/>
  <c r="BK833" i="4"/>
  <c r="BJ825" i="4"/>
  <c r="BL825" i="4"/>
  <c r="BK825" i="4"/>
  <c r="BJ817" i="4"/>
  <c r="BL817" i="4"/>
  <c r="BK817" i="4"/>
  <c r="BJ809" i="4"/>
  <c r="BL809" i="4"/>
  <c r="BK809" i="4"/>
  <c r="BJ801" i="4"/>
  <c r="BL801" i="4"/>
  <c r="BK801" i="4"/>
  <c r="BJ793" i="4"/>
  <c r="BL793" i="4"/>
  <c r="BK793" i="4"/>
  <c r="BJ785" i="4"/>
  <c r="BL785" i="4"/>
  <c r="BK785" i="4"/>
  <c r="BJ777" i="4"/>
  <c r="BL777" i="4"/>
  <c r="BK777" i="4"/>
  <c r="BJ769" i="4"/>
  <c r="BL769" i="4"/>
  <c r="BK769" i="4"/>
  <c r="BJ761" i="4"/>
  <c r="BL761" i="4"/>
  <c r="BK761" i="4"/>
  <c r="BJ753" i="4"/>
  <c r="BL753" i="4"/>
  <c r="BK753" i="4"/>
  <c r="BJ745" i="4"/>
  <c r="BL745" i="4"/>
  <c r="BK745" i="4"/>
  <c r="BJ737" i="4"/>
  <c r="BL737" i="4"/>
  <c r="BK737" i="4"/>
  <c r="BJ729" i="4"/>
  <c r="BL729" i="4"/>
  <c r="BK729" i="4"/>
  <c r="BJ721" i="4"/>
  <c r="BL721" i="4"/>
  <c r="BK721" i="4"/>
  <c r="BJ713" i="4"/>
  <c r="BL713" i="4"/>
  <c r="BK713" i="4"/>
  <c r="BJ705" i="4"/>
  <c r="BL705" i="4"/>
  <c r="BK705" i="4"/>
  <c r="BJ697" i="4"/>
  <c r="BL697" i="4"/>
  <c r="BK697" i="4"/>
  <c r="BJ689" i="4"/>
  <c r="BL689" i="4"/>
  <c r="BK689" i="4"/>
  <c r="BJ681" i="4"/>
  <c r="BL681" i="4"/>
  <c r="BK681" i="4"/>
  <c r="BJ673" i="4"/>
  <c r="BL673" i="4"/>
  <c r="BK673" i="4"/>
  <c r="BJ665" i="4"/>
  <c r="BL665" i="4"/>
  <c r="BK665" i="4"/>
  <c r="BJ657" i="4"/>
  <c r="BL657" i="4"/>
  <c r="BK657" i="4"/>
  <c r="BJ649" i="4"/>
  <c r="BL649" i="4"/>
  <c r="BK649" i="4"/>
  <c r="BJ641" i="4"/>
  <c r="BL641" i="4"/>
  <c r="BK641" i="4"/>
  <c r="BJ633" i="4"/>
  <c r="BL633" i="4"/>
  <c r="BK633" i="4"/>
  <c r="BJ625" i="4"/>
  <c r="BL625" i="4"/>
  <c r="BK625" i="4"/>
  <c r="BJ617" i="4"/>
  <c r="BL617" i="4"/>
  <c r="BK617" i="4"/>
  <c r="BJ609" i="4"/>
  <c r="BL609" i="4"/>
  <c r="BK609" i="4"/>
  <c r="BJ601" i="4"/>
  <c r="BL601" i="4"/>
  <c r="BK601" i="4"/>
  <c r="BJ593" i="4"/>
  <c r="BL593" i="4"/>
  <c r="BK593" i="4"/>
  <c r="BJ585" i="4"/>
  <c r="BL585" i="4"/>
  <c r="BK585" i="4"/>
  <c r="BJ577" i="4"/>
  <c r="BL577" i="4"/>
  <c r="BK577" i="4"/>
  <c r="BJ569" i="4"/>
  <c r="BL569" i="4"/>
  <c r="BK569" i="4"/>
  <c r="BJ561" i="4"/>
  <c r="BL561" i="4"/>
  <c r="BK561" i="4"/>
  <c r="BJ553" i="4"/>
  <c r="BL553" i="4"/>
  <c r="BK553" i="4"/>
  <c r="BJ545" i="4"/>
  <c r="BL545" i="4"/>
  <c r="BK545" i="4"/>
  <c r="BJ537" i="4"/>
  <c r="BL537" i="4"/>
  <c r="BK537" i="4"/>
  <c r="BJ529" i="4"/>
  <c r="BL529" i="4"/>
  <c r="BK529" i="4"/>
  <c r="BJ521" i="4"/>
  <c r="BL521" i="4"/>
  <c r="BK521" i="4"/>
  <c r="BJ513" i="4"/>
  <c r="BL513" i="4"/>
  <c r="BK513" i="4"/>
  <c r="BJ505" i="4"/>
  <c r="BL505" i="4"/>
  <c r="BK505" i="4"/>
  <c r="BJ497" i="4"/>
  <c r="BL497" i="4"/>
  <c r="BK497" i="4"/>
  <c r="BJ489" i="4"/>
  <c r="BL489" i="4"/>
  <c r="BK489" i="4"/>
  <c r="BJ481" i="4"/>
  <c r="BL481" i="4"/>
  <c r="BK481" i="4"/>
  <c r="BJ473" i="4"/>
  <c r="BL473" i="4"/>
  <c r="BK473" i="4"/>
  <c r="BJ465" i="4"/>
  <c r="BL465" i="4"/>
  <c r="BK465" i="4"/>
  <c r="BJ457" i="4"/>
  <c r="BL457" i="4"/>
  <c r="BK457" i="4"/>
  <c r="BJ449" i="4"/>
  <c r="BL449" i="4"/>
  <c r="BK449" i="4"/>
  <c r="BJ441" i="4"/>
  <c r="BL441" i="4"/>
  <c r="BK441" i="4"/>
  <c r="BJ433" i="4"/>
  <c r="BL433" i="4"/>
  <c r="BK433" i="4"/>
  <c r="BJ425" i="4"/>
  <c r="BL425" i="4"/>
  <c r="BK425" i="4"/>
  <c r="BJ417" i="4"/>
  <c r="BL417" i="4"/>
  <c r="BK417" i="4"/>
  <c r="BJ409" i="4"/>
  <c r="BL409" i="4"/>
  <c r="BK409" i="4"/>
  <c r="BJ401" i="4"/>
  <c r="BL401" i="4"/>
  <c r="BK401" i="4"/>
  <c r="BJ393" i="4"/>
  <c r="BL393" i="4"/>
  <c r="BK393" i="4"/>
  <c r="BJ385" i="4"/>
  <c r="BL385" i="4"/>
  <c r="BK385" i="4"/>
  <c r="BJ377" i="4"/>
  <c r="BL377" i="4"/>
  <c r="BK377" i="4"/>
  <c r="BJ369" i="4"/>
  <c r="BL369" i="4"/>
  <c r="BK369" i="4"/>
  <c r="BJ361" i="4"/>
  <c r="BL361" i="4"/>
  <c r="BK361" i="4"/>
  <c r="BJ353" i="4"/>
  <c r="BL353" i="4"/>
  <c r="BK353" i="4"/>
  <c r="BJ345" i="4"/>
  <c r="BL345" i="4"/>
  <c r="BK345" i="4"/>
  <c r="BJ337" i="4"/>
  <c r="BL337" i="4"/>
  <c r="BK337" i="4"/>
  <c r="BJ329" i="4"/>
  <c r="BL329" i="4"/>
  <c r="BK329" i="4"/>
  <c r="BJ321" i="4"/>
  <c r="BL321" i="4"/>
  <c r="BK321" i="4"/>
  <c r="BJ5304" i="4"/>
  <c r="BL5304" i="4"/>
  <c r="BK5304" i="4"/>
  <c r="BJ5256" i="4"/>
  <c r="BL5256" i="4"/>
  <c r="BK5256" i="4"/>
  <c r="BJ5216" i="4"/>
  <c r="BL5216" i="4"/>
  <c r="BK5216" i="4"/>
  <c r="BJ5168" i="4"/>
  <c r="BL5168" i="4"/>
  <c r="BK5168" i="4"/>
  <c r="BJ5120" i="4"/>
  <c r="BL5120" i="4"/>
  <c r="BK5120" i="4"/>
  <c r="BJ5064" i="4"/>
  <c r="BL5064" i="4"/>
  <c r="BK5064" i="4"/>
  <c r="BJ5008" i="4"/>
  <c r="BL5008" i="4"/>
  <c r="BK5008" i="4"/>
  <c r="BJ4952" i="4"/>
  <c r="BL4952" i="4"/>
  <c r="BK4952" i="4"/>
  <c r="BJ4896" i="4"/>
  <c r="BL4896" i="4"/>
  <c r="BK4896" i="4"/>
  <c r="BJ4840" i="4"/>
  <c r="BL4840" i="4"/>
  <c r="BK4840" i="4"/>
  <c r="BJ4784" i="4"/>
  <c r="BL4784" i="4"/>
  <c r="BK4784" i="4"/>
  <c r="BJ4728" i="4"/>
  <c r="BL4728" i="4"/>
  <c r="BK4728" i="4"/>
  <c r="BJ4672" i="4"/>
  <c r="BK4672" i="4"/>
  <c r="BL4672" i="4"/>
  <c r="BJ4616" i="4"/>
  <c r="BL4616" i="4"/>
  <c r="BK4616" i="4"/>
  <c r="BJ4552" i="4"/>
  <c r="BL4552" i="4"/>
  <c r="BK4552" i="4"/>
  <c r="BJ4496" i="4"/>
  <c r="BL4496" i="4"/>
  <c r="BK4496" i="4"/>
  <c r="BJ4440" i="4"/>
  <c r="BK4440" i="4"/>
  <c r="BL4440" i="4"/>
  <c r="BJ4384" i="4"/>
  <c r="BL4384" i="4"/>
  <c r="BK4384" i="4"/>
  <c r="BJ4336" i="4"/>
  <c r="BL4336" i="4"/>
  <c r="BK4336" i="4"/>
  <c r="BJ4280" i="4"/>
  <c r="BL4280" i="4"/>
  <c r="BK4280" i="4"/>
  <c r="BJ4224" i="4"/>
  <c r="BK4224" i="4"/>
  <c r="BL4224" i="4"/>
  <c r="BJ4168" i="4"/>
  <c r="BL4168" i="4"/>
  <c r="BK4168" i="4"/>
  <c r="BJ4112" i="4"/>
  <c r="BL4112" i="4"/>
  <c r="BK4112" i="4"/>
  <c r="BJ4056" i="4"/>
  <c r="BK4056" i="4"/>
  <c r="BL4056" i="4"/>
  <c r="BJ4000" i="4"/>
  <c r="BL4000" i="4"/>
  <c r="BK4000" i="4"/>
  <c r="BJ3944" i="4"/>
  <c r="BL3944" i="4"/>
  <c r="BK3944" i="4"/>
  <c r="BJ3888" i="4"/>
  <c r="BL3888" i="4"/>
  <c r="BK3888" i="4"/>
  <c r="BJ3832" i="4"/>
  <c r="BL3832" i="4"/>
  <c r="BK3832" i="4"/>
  <c r="BJ3768" i="4"/>
  <c r="BL3768" i="4"/>
  <c r="BK3768" i="4"/>
  <c r="BJ3712" i="4"/>
  <c r="BL3712" i="4"/>
  <c r="BK3712" i="4"/>
  <c r="BJ3664" i="4"/>
  <c r="BL3664" i="4"/>
  <c r="BK3664" i="4"/>
  <c r="BJ3608" i="4"/>
  <c r="BL3608" i="4"/>
  <c r="BK3608" i="4"/>
  <c r="BJ3552" i="4"/>
  <c r="BL3552" i="4"/>
  <c r="BK3552" i="4"/>
  <c r="BJ3496" i="4"/>
  <c r="BL3496" i="4"/>
  <c r="BK3496" i="4"/>
  <c r="BJ3448" i="4"/>
  <c r="BL3448" i="4"/>
  <c r="BK3448" i="4"/>
  <c r="BJ3392" i="4"/>
  <c r="BL3392" i="4"/>
  <c r="BK3392" i="4"/>
  <c r="BJ3336" i="4"/>
  <c r="BL3336" i="4"/>
  <c r="BK3336" i="4"/>
  <c r="BJ3288" i="4"/>
  <c r="BL3288" i="4"/>
  <c r="BK3288" i="4"/>
  <c r="BJ3232" i="4"/>
  <c r="BL3232" i="4"/>
  <c r="BK3232" i="4"/>
  <c r="BJ3192" i="4"/>
  <c r="BL3192" i="4"/>
  <c r="BK3192" i="4"/>
  <c r="BJ3152" i="4"/>
  <c r="BL3152" i="4"/>
  <c r="BK3152" i="4"/>
  <c r="BJ3096" i="4"/>
  <c r="BL3096" i="4"/>
  <c r="BK3096" i="4"/>
  <c r="BJ3040" i="4"/>
  <c r="BL3040" i="4"/>
  <c r="BK3040" i="4"/>
  <c r="BJ2976" i="4"/>
  <c r="BL2976" i="4"/>
  <c r="BK2976" i="4"/>
  <c r="BJ2920" i="4"/>
  <c r="BL2920" i="4"/>
  <c r="BK2920" i="4"/>
  <c r="BJ2864" i="4"/>
  <c r="BL2864" i="4"/>
  <c r="BK2864" i="4"/>
  <c r="BJ2800" i="4"/>
  <c r="BL2800" i="4"/>
  <c r="BK2800" i="4"/>
  <c r="BJ2744" i="4"/>
  <c r="BL2744" i="4"/>
  <c r="BK2744" i="4"/>
  <c r="BJ2696" i="4"/>
  <c r="BL2696" i="4"/>
  <c r="BK2696" i="4"/>
  <c r="BJ2624" i="4"/>
  <c r="BL2624" i="4"/>
  <c r="BK2624" i="4"/>
  <c r="BJ2568" i="4"/>
  <c r="BL2568" i="4"/>
  <c r="BK2568" i="4"/>
  <c r="BJ2504" i="4"/>
  <c r="BL2504" i="4"/>
  <c r="BK2504" i="4"/>
  <c r="BJ2448" i="4"/>
  <c r="BL2448" i="4"/>
  <c r="BK2448" i="4"/>
  <c r="BJ2392" i="4"/>
  <c r="BL2392" i="4"/>
  <c r="BK2392" i="4"/>
  <c r="BJ2336" i="4"/>
  <c r="BL2336" i="4"/>
  <c r="BK2336" i="4"/>
  <c r="BJ2280" i="4"/>
  <c r="BL2280" i="4"/>
  <c r="BK2280" i="4"/>
  <c r="BJ2232" i="4"/>
  <c r="BL2232" i="4"/>
  <c r="BK2232" i="4"/>
  <c r="BJ2176" i="4"/>
  <c r="BL2176" i="4"/>
  <c r="BK2176" i="4"/>
  <c r="BJ2120" i="4"/>
  <c r="BL2120" i="4"/>
  <c r="BK2120" i="4"/>
  <c r="BJ2056" i="4"/>
  <c r="BL2056" i="4"/>
  <c r="BK2056" i="4"/>
  <c r="BJ2008" i="4"/>
  <c r="BL2008" i="4"/>
  <c r="BK2008" i="4"/>
  <c r="BJ1952" i="4"/>
  <c r="BL1952" i="4"/>
  <c r="BK1952" i="4"/>
  <c r="BJ1904" i="4"/>
  <c r="BL1904" i="4"/>
  <c r="BK1904" i="4"/>
  <c r="BJ1832" i="4"/>
  <c r="BL1832" i="4"/>
  <c r="BK1832" i="4"/>
  <c r="BJ1760" i="4"/>
  <c r="BL1760" i="4"/>
  <c r="BK1760" i="4"/>
  <c r="BJ1704" i="4"/>
  <c r="BL1704" i="4"/>
  <c r="BK1704" i="4"/>
  <c r="BJ1648" i="4"/>
  <c r="BL1648" i="4"/>
  <c r="BK1648" i="4"/>
  <c r="BJ1584" i="4"/>
  <c r="BL1584" i="4"/>
  <c r="BK1584" i="4"/>
  <c r="BJ1520" i="4"/>
  <c r="BL1520" i="4"/>
  <c r="BK1520" i="4"/>
  <c r="BJ1472" i="4"/>
  <c r="BL1472" i="4"/>
  <c r="BK1472" i="4"/>
  <c r="BJ1416" i="4"/>
  <c r="BL1416" i="4"/>
  <c r="BK1416" i="4"/>
  <c r="BJ1352" i="4"/>
  <c r="BL1352" i="4"/>
  <c r="BK1352" i="4"/>
  <c r="BJ1288" i="4"/>
  <c r="BL1288" i="4"/>
  <c r="BK1288" i="4"/>
  <c r="BJ1224" i="4"/>
  <c r="BL1224" i="4"/>
  <c r="BK1224" i="4"/>
  <c r="BJ1160" i="4"/>
  <c r="BL1160" i="4"/>
  <c r="BK1160" i="4"/>
  <c r="BJ1104" i="4"/>
  <c r="BL1104" i="4"/>
  <c r="BK1104" i="4"/>
  <c r="BJ1064" i="4"/>
  <c r="BL1064" i="4"/>
  <c r="BK1064" i="4"/>
  <c r="BJ1000" i="4"/>
  <c r="BL1000" i="4"/>
  <c r="BK1000" i="4"/>
  <c r="BJ944" i="4"/>
  <c r="BL944" i="4"/>
  <c r="BK944" i="4"/>
  <c r="BJ888" i="4"/>
  <c r="BL888" i="4"/>
  <c r="BK888" i="4"/>
  <c r="BJ832" i="4"/>
  <c r="BL832" i="4"/>
  <c r="BK832" i="4"/>
  <c r="BJ784" i="4"/>
  <c r="BL784" i="4"/>
  <c r="BK784" i="4"/>
  <c r="BJ720" i="4"/>
  <c r="BL720" i="4"/>
  <c r="BK720" i="4"/>
  <c r="BJ680" i="4"/>
  <c r="BL680" i="4"/>
  <c r="BK680" i="4"/>
  <c r="BJ624" i="4"/>
  <c r="BL624" i="4"/>
  <c r="BK624" i="4"/>
  <c r="BJ576" i="4"/>
  <c r="BL576" i="4"/>
  <c r="BK576" i="4"/>
  <c r="BJ520" i="4"/>
  <c r="BL520" i="4"/>
  <c r="BK520" i="4"/>
  <c r="BJ472" i="4"/>
  <c r="BL472" i="4"/>
  <c r="BK472" i="4"/>
  <c r="BJ416" i="4"/>
  <c r="BL416" i="4"/>
  <c r="BK416" i="4"/>
  <c r="BJ360" i="4"/>
  <c r="BL360" i="4"/>
  <c r="BK360" i="4"/>
  <c r="BJ5327" i="4"/>
  <c r="BL5327" i="4"/>
  <c r="BK5327" i="4"/>
  <c r="BJ5319" i="4"/>
  <c r="BL5319" i="4"/>
  <c r="BK5319" i="4"/>
  <c r="BJ5311" i="4"/>
  <c r="BL5311" i="4"/>
  <c r="BK5311" i="4"/>
  <c r="BJ5303" i="4"/>
  <c r="BL5303" i="4"/>
  <c r="BK5303" i="4"/>
  <c r="BJ5295" i="4"/>
  <c r="BL5295" i="4"/>
  <c r="BK5295" i="4"/>
  <c r="BJ5287" i="4"/>
  <c r="BL5287" i="4"/>
  <c r="BK5287" i="4"/>
  <c r="BJ5279" i="4"/>
  <c r="BL5279" i="4"/>
  <c r="BK5279" i="4"/>
  <c r="BJ5271" i="4"/>
  <c r="BL5271" i="4"/>
  <c r="BK5271" i="4"/>
  <c r="BJ5263" i="4"/>
  <c r="BL5263" i="4"/>
  <c r="BK5263" i="4"/>
  <c r="BJ5255" i="4"/>
  <c r="BL5255" i="4"/>
  <c r="BK5255" i="4"/>
  <c r="BJ5247" i="4"/>
  <c r="BL5247" i="4"/>
  <c r="BK5247" i="4"/>
  <c r="BJ5239" i="4"/>
  <c r="BL5239" i="4"/>
  <c r="BK5239" i="4"/>
  <c r="BJ5231" i="4"/>
  <c r="BL5231" i="4"/>
  <c r="BK5231" i="4"/>
  <c r="BJ5223" i="4"/>
  <c r="BL5223" i="4"/>
  <c r="BK5223" i="4"/>
  <c r="BJ5215" i="4"/>
  <c r="BL5215" i="4"/>
  <c r="BK5215" i="4"/>
  <c r="BJ5207" i="4"/>
  <c r="BL5207" i="4"/>
  <c r="BK5207" i="4"/>
  <c r="BJ5199" i="4"/>
  <c r="BL5199" i="4"/>
  <c r="BK5199" i="4"/>
  <c r="BJ5191" i="4"/>
  <c r="BL5191" i="4"/>
  <c r="BK5191" i="4"/>
  <c r="BJ5183" i="4"/>
  <c r="BL5183" i="4"/>
  <c r="BK5183" i="4"/>
  <c r="BJ5175" i="4"/>
  <c r="BL5175" i="4"/>
  <c r="BK5175" i="4"/>
  <c r="BJ5167" i="4"/>
  <c r="BL5167" i="4"/>
  <c r="BK5167" i="4"/>
  <c r="BJ5159" i="4"/>
  <c r="BL5159" i="4"/>
  <c r="BK5159" i="4"/>
  <c r="BJ5151" i="4"/>
  <c r="BL5151" i="4"/>
  <c r="BK5151" i="4"/>
  <c r="BJ5143" i="4"/>
  <c r="BL5143" i="4"/>
  <c r="BK5143" i="4"/>
  <c r="BJ5135" i="4"/>
  <c r="BL5135" i="4"/>
  <c r="BK5135" i="4"/>
  <c r="BJ5127" i="4"/>
  <c r="BL5127" i="4"/>
  <c r="BK5127" i="4"/>
  <c r="BJ5119" i="4"/>
  <c r="BL5119" i="4"/>
  <c r="BK5119" i="4"/>
  <c r="BJ5111" i="4"/>
  <c r="BL5111" i="4"/>
  <c r="BK5111" i="4"/>
  <c r="BJ5103" i="4"/>
  <c r="BL5103" i="4"/>
  <c r="BK5103" i="4"/>
  <c r="BJ5095" i="4"/>
  <c r="BL5095" i="4"/>
  <c r="BK5095" i="4"/>
  <c r="BJ5087" i="4"/>
  <c r="BL5087" i="4"/>
  <c r="BK5087" i="4"/>
  <c r="BJ5079" i="4"/>
  <c r="BL5079" i="4"/>
  <c r="BK5079" i="4"/>
  <c r="BJ5071" i="4"/>
  <c r="BL5071" i="4"/>
  <c r="BK5071" i="4"/>
  <c r="BJ5063" i="4"/>
  <c r="BL5063" i="4"/>
  <c r="BK5063" i="4"/>
  <c r="BJ5055" i="4"/>
  <c r="BL5055" i="4"/>
  <c r="BK5055" i="4"/>
  <c r="BJ5047" i="4"/>
  <c r="BL5047" i="4"/>
  <c r="BK5047" i="4"/>
  <c r="BJ5039" i="4"/>
  <c r="BL5039" i="4"/>
  <c r="BK5039" i="4"/>
  <c r="BJ5031" i="4"/>
  <c r="BL5031" i="4"/>
  <c r="BK5031" i="4"/>
  <c r="BJ5023" i="4"/>
  <c r="BL5023" i="4"/>
  <c r="BK5023" i="4"/>
  <c r="BJ5015" i="4"/>
  <c r="BL5015" i="4"/>
  <c r="BK5015" i="4"/>
  <c r="BJ5007" i="4"/>
  <c r="BL5007" i="4"/>
  <c r="BK5007" i="4"/>
  <c r="BJ4999" i="4"/>
  <c r="BL4999" i="4"/>
  <c r="BK4999" i="4"/>
  <c r="BJ4991" i="4"/>
  <c r="BL4991" i="4"/>
  <c r="BK4991" i="4"/>
  <c r="BJ4983" i="4"/>
  <c r="BL4983" i="4"/>
  <c r="BK4983" i="4"/>
  <c r="BJ4975" i="4"/>
  <c r="BL4975" i="4"/>
  <c r="BK4975" i="4"/>
  <c r="BJ4967" i="4"/>
  <c r="BL4967" i="4"/>
  <c r="BK4967" i="4"/>
  <c r="BJ4959" i="4"/>
  <c r="BL4959" i="4"/>
  <c r="BK4959" i="4"/>
  <c r="BJ4951" i="4"/>
  <c r="BL4951" i="4"/>
  <c r="BK4951" i="4"/>
  <c r="BJ4943" i="4"/>
  <c r="BL4943" i="4"/>
  <c r="BK4943" i="4"/>
  <c r="BJ4935" i="4"/>
  <c r="BL4935" i="4"/>
  <c r="BK4935" i="4"/>
  <c r="BJ4927" i="4"/>
  <c r="BL4927" i="4"/>
  <c r="BK4927" i="4"/>
  <c r="BJ4919" i="4"/>
  <c r="BL4919" i="4"/>
  <c r="BK4919" i="4"/>
  <c r="BJ4911" i="4"/>
  <c r="BL4911" i="4"/>
  <c r="BK4911" i="4"/>
  <c r="BJ4903" i="4"/>
  <c r="BL4903" i="4"/>
  <c r="BK4903" i="4"/>
  <c r="BJ4895" i="4"/>
  <c r="BL4895" i="4"/>
  <c r="BK4895" i="4"/>
  <c r="BJ4887" i="4"/>
  <c r="BL4887" i="4"/>
  <c r="BK4887" i="4"/>
  <c r="BJ4879" i="4"/>
  <c r="BL4879" i="4"/>
  <c r="BK4879" i="4"/>
  <c r="BJ4871" i="4"/>
  <c r="BL4871" i="4"/>
  <c r="BK4871" i="4"/>
  <c r="BJ4863" i="4"/>
  <c r="BL4863" i="4"/>
  <c r="BK4863" i="4"/>
  <c r="BJ4855" i="4"/>
  <c r="BL4855" i="4"/>
  <c r="BK4855" i="4"/>
  <c r="BJ4847" i="4"/>
  <c r="BL4847" i="4"/>
  <c r="BK4847" i="4"/>
  <c r="BJ4839" i="4"/>
  <c r="BL4839" i="4"/>
  <c r="BK4839" i="4"/>
  <c r="BJ4831" i="4"/>
  <c r="BL4831" i="4"/>
  <c r="BK4831" i="4"/>
  <c r="BJ4823" i="4"/>
  <c r="BL4823" i="4"/>
  <c r="BK4823" i="4"/>
  <c r="BJ4815" i="4"/>
  <c r="BL4815" i="4"/>
  <c r="BK4815" i="4"/>
  <c r="BJ4807" i="4"/>
  <c r="BL4807" i="4"/>
  <c r="BK4807" i="4"/>
  <c r="BJ4799" i="4"/>
  <c r="BL4799" i="4"/>
  <c r="BK4799" i="4"/>
  <c r="BJ4791" i="4"/>
  <c r="BL4791" i="4"/>
  <c r="BK4791" i="4"/>
  <c r="BJ4783" i="4"/>
  <c r="BL4783" i="4"/>
  <c r="BK4783" i="4"/>
  <c r="BJ4775" i="4"/>
  <c r="BL4775" i="4"/>
  <c r="BK4775" i="4"/>
  <c r="BJ4767" i="4"/>
  <c r="BL4767" i="4"/>
  <c r="BK4767" i="4"/>
  <c r="BJ4759" i="4"/>
  <c r="BL4759" i="4"/>
  <c r="BK4759" i="4"/>
  <c r="BJ4751" i="4"/>
  <c r="BL4751" i="4"/>
  <c r="BK4751" i="4"/>
  <c r="BJ4743" i="4"/>
  <c r="BL4743" i="4"/>
  <c r="BK4743" i="4"/>
  <c r="BJ4735" i="4"/>
  <c r="BL4735" i="4"/>
  <c r="BK4735" i="4"/>
  <c r="BJ4727" i="4"/>
  <c r="BL4727" i="4"/>
  <c r="BK4727" i="4"/>
  <c r="BJ4719" i="4"/>
  <c r="BL4719" i="4"/>
  <c r="BK4719" i="4"/>
  <c r="BJ4711" i="4"/>
  <c r="BL4711" i="4"/>
  <c r="BK4711" i="4"/>
  <c r="BJ4703" i="4"/>
  <c r="BL4703" i="4"/>
  <c r="BK4703" i="4"/>
  <c r="BJ4695" i="4"/>
  <c r="BL4695" i="4"/>
  <c r="BK4695" i="4"/>
  <c r="BJ4687" i="4"/>
  <c r="BL4687" i="4"/>
  <c r="BK4687" i="4"/>
  <c r="BJ4679" i="4"/>
  <c r="BL4679" i="4"/>
  <c r="BK4679" i="4"/>
  <c r="BJ4671" i="4"/>
  <c r="BL4671" i="4"/>
  <c r="BK4671" i="4"/>
  <c r="BJ4663" i="4"/>
  <c r="BL4663" i="4"/>
  <c r="BK4663" i="4"/>
  <c r="BJ4655" i="4"/>
  <c r="BL4655" i="4"/>
  <c r="BK4655" i="4"/>
  <c r="BJ4647" i="4"/>
  <c r="BL4647" i="4"/>
  <c r="BK4647" i="4"/>
  <c r="BJ4639" i="4"/>
  <c r="BL4639" i="4"/>
  <c r="BK4639" i="4"/>
  <c r="BJ4631" i="4"/>
  <c r="BL4631" i="4"/>
  <c r="BK4631" i="4"/>
  <c r="BJ4623" i="4"/>
  <c r="BL4623" i="4"/>
  <c r="BK4623" i="4"/>
  <c r="BJ4615" i="4"/>
  <c r="BL4615" i="4"/>
  <c r="BK4615" i="4"/>
  <c r="BJ4607" i="4"/>
  <c r="BL4607" i="4"/>
  <c r="BK4607" i="4"/>
  <c r="BJ4599" i="4"/>
  <c r="BL4599" i="4"/>
  <c r="BK4599" i="4"/>
  <c r="BJ4591" i="4"/>
  <c r="BL4591" i="4"/>
  <c r="BK4591" i="4"/>
  <c r="BJ4583" i="4"/>
  <c r="BL4583" i="4"/>
  <c r="BK4583" i="4"/>
  <c r="BJ4575" i="4"/>
  <c r="BL4575" i="4"/>
  <c r="BK4575" i="4"/>
  <c r="BJ4567" i="4"/>
  <c r="BL4567" i="4"/>
  <c r="BK4567" i="4"/>
  <c r="BJ4559" i="4"/>
  <c r="BL4559" i="4"/>
  <c r="BK4559" i="4"/>
  <c r="BJ4551" i="4"/>
  <c r="BL4551" i="4"/>
  <c r="BK4551" i="4"/>
  <c r="BJ4543" i="4"/>
  <c r="BL4543" i="4"/>
  <c r="BK4543" i="4"/>
  <c r="BJ4535" i="4"/>
  <c r="BL4535" i="4"/>
  <c r="BK4535" i="4"/>
  <c r="BJ4527" i="4"/>
  <c r="BL4527" i="4"/>
  <c r="BK4527" i="4"/>
  <c r="BJ4519" i="4"/>
  <c r="BL4519" i="4"/>
  <c r="BK4519" i="4"/>
  <c r="BJ4511" i="4"/>
  <c r="BL4511" i="4"/>
  <c r="BK4511" i="4"/>
  <c r="BJ4503" i="4"/>
  <c r="BL4503" i="4"/>
  <c r="BK4503" i="4"/>
  <c r="BJ4495" i="4"/>
  <c r="BL4495" i="4"/>
  <c r="BK4495" i="4"/>
  <c r="BJ4487" i="4"/>
  <c r="BL4487" i="4"/>
  <c r="BK4487" i="4"/>
  <c r="BJ4479" i="4"/>
  <c r="BL4479" i="4"/>
  <c r="BK4479" i="4"/>
  <c r="BJ4471" i="4"/>
  <c r="BL4471" i="4"/>
  <c r="BK4471" i="4"/>
  <c r="BJ4463" i="4"/>
  <c r="BL4463" i="4"/>
  <c r="BK4463" i="4"/>
  <c r="BJ4455" i="4"/>
  <c r="BL4455" i="4"/>
  <c r="BK4455" i="4"/>
  <c r="BJ4447" i="4"/>
  <c r="BL4447" i="4"/>
  <c r="BK4447" i="4"/>
  <c r="BJ4439" i="4"/>
  <c r="BL4439" i="4"/>
  <c r="BK4439" i="4"/>
  <c r="BJ4431" i="4"/>
  <c r="BL4431" i="4"/>
  <c r="BK4431" i="4"/>
  <c r="BJ4423" i="4"/>
  <c r="BL4423" i="4"/>
  <c r="BK4423" i="4"/>
  <c r="BJ4415" i="4"/>
  <c r="BL4415" i="4"/>
  <c r="BK4415" i="4"/>
  <c r="BJ4407" i="4"/>
  <c r="BL4407" i="4"/>
  <c r="BK4407" i="4"/>
  <c r="BJ4399" i="4"/>
  <c r="BL4399" i="4"/>
  <c r="BK4399" i="4"/>
  <c r="BJ4391" i="4"/>
  <c r="BL4391" i="4"/>
  <c r="BK4391" i="4"/>
  <c r="BJ4383" i="4"/>
  <c r="BL4383" i="4"/>
  <c r="BK4383" i="4"/>
  <c r="BJ4375" i="4"/>
  <c r="BL4375" i="4"/>
  <c r="BK4375" i="4"/>
  <c r="BJ4367" i="4"/>
  <c r="BL4367" i="4"/>
  <c r="BK4367" i="4"/>
  <c r="BJ4359" i="4"/>
  <c r="BL4359" i="4"/>
  <c r="BK4359" i="4"/>
  <c r="BJ4351" i="4"/>
  <c r="BL4351" i="4"/>
  <c r="BK4351" i="4"/>
  <c r="BJ4343" i="4"/>
  <c r="BL4343" i="4"/>
  <c r="BK4343" i="4"/>
  <c r="BJ4335" i="4"/>
  <c r="BL4335" i="4"/>
  <c r="BK4335" i="4"/>
  <c r="BJ4327" i="4"/>
  <c r="BL4327" i="4"/>
  <c r="BK4327" i="4"/>
  <c r="BJ4319" i="4"/>
  <c r="BL4319" i="4"/>
  <c r="BK4319" i="4"/>
  <c r="BJ4311" i="4"/>
  <c r="BL4311" i="4"/>
  <c r="BK4311" i="4"/>
  <c r="BJ4303" i="4"/>
  <c r="BL4303" i="4"/>
  <c r="BK4303" i="4"/>
  <c r="BJ4295" i="4"/>
  <c r="BL4295" i="4"/>
  <c r="BK4295" i="4"/>
  <c r="BJ4287" i="4"/>
  <c r="BL4287" i="4"/>
  <c r="BK4287" i="4"/>
  <c r="BJ4279" i="4"/>
  <c r="BL4279" i="4"/>
  <c r="BK4279" i="4"/>
  <c r="BJ4271" i="4"/>
  <c r="BL4271" i="4"/>
  <c r="BK4271" i="4"/>
  <c r="BJ4263" i="4"/>
  <c r="BL4263" i="4"/>
  <c r="BK4263" i="4"/>
  <c r="BJ4255" i="4"/>
  <c r="BL4255" i="4"/>
  <c r="BK4255" i="4"/>
  <c r="BJ4247" i="4"/>
  <c r="BL4247" i="4"/>
  <c r="BK4247" i="4"/>
  <c r="BJ4239" i="4"/>
  <c r="BL4239" i="4"/>
  <c r="BK4239" i="4"/>
  <c r="BJ4231" i="4"/>
  <c r="BL4231" i="4"/>
  <c r="BK4231" i="4"/>
  <c r="BJ4223" i="4"/>
  <c r="BL4223" i="4"/>
  <c r="BK4223" i="4"/>
  <c r="BJ4215" i="4"/>
  <c r="BL4215" i="4"/>
  <c r="BK4215" i="4"/>
  <c r="BJ4207" i="4"/>
  <c r="BL4207" i="4"/>
  <c r="BK4207" i="4"/>
  <c r="BJ4199" i="4"/>
  <c r="BL4199" i="4"/>
  <c r="BK4199" i="4"/>
  <c r="BJ4191" i="4"/>
  <c r="BL4191" i="4"/>
  <c r="BK4191" i="4"/>
  <c r="BJ4183" i="4"/>
  <c r="BL4183" i="4"/>
  <c r="BK4183" i="4"/>
  <c r="BJ4175" i="4"/>
  <c r="BL4175" i="4"/>
  <c r="BK4175" i="4"/>
  <c r="BJ4167" i="4"/>
  <c r="BL4167" i="4"/>
  <c r="BK4167" i="4"/>
  <c r="BJ4159" i="4"/>
  <c r="BL4159" i="4"/>
  <c r="BK4159" i="4"/>
  <c r="BJ4151" i="4"/>
  <c r="BL4151" i="4"/>
  <c r="BK4151" i="4"/>
  <c r="BJ4143" i="4"/>
  <c r="BL4143" i="4"/>
  <c r="BK4143" i="4"/>
  <c r="BJ4135" i="4"/>
  <c r="BL4135" i="4"/>
  <c r="BK4135" i="4"/>
  <c r="BJ4127" i="4"/>
  <c r="BL4127" i="4"/>
  <c r="BK4127" i="4"/>
  <c r="BJ4119" i="4"/>
  <c r="BL4119" i="4"/>
  <c r="BK4119" i="4"/>
  <c r="BJ4111" i="4"/>
  <c r="BL4111" i="4"/>
  <c r="BK4111" i="4"/>
  <c r="BJ4103" i="4"/>
  <c r="BL4103" i="4"/>
  <c r="BK4103" i="4"/>
  <c r="BJ4095" i="4"/>
  <c r="BL4095" i="4"/>
  <c r="BK4095" i="4"/>
  <c r="BJ4087" i="4"/>
  <c r="BL4087" i="4"/>
  <c r="BK4087" i="4"/>
  <c r="BJ4079" i="4"/>
  <c r="BL4079" i="4"/>
  <c r="BK4079" i="4"/>
  <c r="BJ4071" i="4"/>
  <c r="BL4071" i="4"/>
  <c r="BK4071" i="4"/>
  <c r="BJ4063" i="4"/>
  <c r="BL4063" i="4"/>
  <c r="BK4063" i="4"/>
  <c r="BJ4055" i="4"/>
  <c r="BL4055" i="4"/>
  <c r="BK4055" i="4"/>
  <c r="BJ4047" i="4"/>
  <c r="BL4047" i="4"/>
  <c r="BK4047" i="4"/>
  <c r="BJ4039" i="4"/>
  <c r="BL4039" i="4"/>
  <c r="BK4039" i="4"/>
  <c r="BJ4031" i="4"/>
  <c r="BL4031" i="4"/>
  <c r="BK4031" i="4"/>
  <c r="BJ4023" i="4"/>
  <c r="BL4023" i="4"/>
  <c r="BK4023" i="4"/>
  <c r="BJ4015" i="4"/>
  <c r="BL4015" i="4"/>
  <c r="BK4015" i="4"/>
  <c r="BJ4007" i="4"/>
  <c r="BL4007" i="4"/>
  <c r="BK4007" i="4"/>
  <c r="BJ3999" i="4"/>
  <c r="BL3999" i="4"/>
  <c r="BK3999" i="4"/>
  <c r="BJ3991" i="4"/>
  <c r="BL3991" i="4"/>
  <c r="BK3991" i="4"/>
  <c r="BJ3983" i="4"/>
  <c r="BL3983" i="4"/>
  <c r="BK3983" i="4"/>
  <c r="BJ3975" i="4"/>
  <c r="BL3975" i="4"/>
  <c r="BK3975" i="4"/>
  <c r="BJ3967" i="4"/>
  <c r="BL3967" i="4"/>
  <c r="BK3967" i="4"/>
  <c r="BJ3959" i="4"/>
  <c r="BL3959" i="4"/>
  <c r="BK3959" i="4"/>
  <c r="BJ3951" i="4"/>
  <c r="BL3951" i="4"/>
  <c r="BK3951" i="4"/>
  <c r="BJ3943" i="4"/>
  <c r="BL3943" i="4"/>
  <c r="BK3943" i="4"/>
  <c r="BJ3935" i="4"/>
  <c r="BL3935" i="4"/>
  <c r="BK3935" i="4"/>
  <c r="BJ3927" i="4"/>
  <c r="BL3927" i="4"/>
  <c r="BK3927" i="4"/>
  <c r="BJ3919" i="4"/>
  <c r="BL3919" i="4"/>
  <c r="BK3919" i="4"/>
  <c r="BJ3911" i="4"/>
  <c r="BL3911" i="4"/>
  <c r="BK3911" i="4"/>
  <c r="BJ3903" i="4"/>
  <c r="BL3903" i="4"/>
  <c r="BK3903" i="4"/>
  <c r="BJ3895" i="4"/>
  <c r="BL3895" i="4"/>
  <c r="BK3895" i="4"/>
  <c r="BJ3887" i="4"/>
  <c r="BL3887" i="4"/>
  <c r="BK3887" i="4"/>
  <c r="BJ3879" i="4"/>
  <c r="BL3879" i="4"/>
  <c r="BK3879" i="4"/>
  <c r="BJ3871" i="4"/>
  <c r="BL3871" i="4"/>
  <c r="BK3871" i="4"/>
  <c r="BJ3863" i="4"/>
  <c r="BL3863" i="4"/>
  <c r="BK3863" i="4"/>
  <c r="BJ3855" i="4"/>
  <c r="BL3855" i="4"/>
  <c r="BK3855" i="4"/>
  <c r="BJ3847" i="4"/>
  <c r="BL3847" i="4"/>
  <c r="BK3847" i="4"/>
  <c r="BJ3839" i="4"/>
  <c r="BL3839" i="4"/>
  <c r="BK3839" i="4"/>
  <c r="BJ3831" i="4"/>
  <c r="BL3831" i="4"/>
  <c r="BK3831" i="4"/>
  <c r="BJ3823" i="4"/>
  <c r="BL3823" i="4"/>
  <c r="BK3823" i="4"/>
  <c r="BJ3815" i="4"/>
  <c r="BL3815" i="4"/>
  <c r="BK3815" i="4"/>
  <c r="BJ3807" i="4"/>
  <c r="BL3807" i="4"/>
  <c r="BK3807" i="4"/>
  <c r="BJ3799" i="4"/>
  <c r="BL3799" i="4"/>
  <c r="BK3799" i="4"/>
  <c r="BJ3791" i="4"/>
  <c r="BL3791" i="4"/>
  <c r="BK3791" i="4"/>
  <c r="BJ3783" i="4"/>
  <c r="BL3783" i="4"/>
  <c r="BK3783" i="4"/>
  <c r="BJ3775" i="4"/>
  <c r="BL3775" i="4"/>
  <c r="BK3775" i="4"/>
  <c r="BJ3767" i="4"/>
  <c r="BL3767" i="4"/>
  <c r="BK3767" i="4"/>
  <c r="BJ3759" i="4"/>
  <c r="BL3759" i="4"/>
  <c r="BK3759" i="4"/>
  <c r="BJ3751" i="4"/>
  <c r="BL3751" i="4"/>
  <c r="BK3751" i="4"/>
  <c r="BJ3743" i="4"/>
  <c r="BL3743" i="4"/>
  <c r="BK3743" i="4"/>
  <c r="BJ3735" i="4"/>
  <c r="BL3735" i="4"/>
  <c r="BK3735" i="4"/>
  <c r="BJ3727" i="4"/>
  <c r="BL3727" i="4"/>
  <c r="BK3727" i="4"/>
  <c r="BJ3719" i="4"/>
  <c r="BL3719" i="4"/>
  <c r="BK3719" i="4"/>
  <c r="BJ3711" i="4"/>
  <c r="BL3711" i="4"/>
  <c r="BK3711" i="4"/>
  <c r="BJ3703" i="4"/>
  <c r="BL3703" i="4"/>
  <c r="BK3703" i="4"/>
  <c r="BJ3695" i="4"/>
  <c r="BL3695" i="4"/>
  <c r="BK3695" i="4"/>
  <c r="BJ3687" i="4"/>
  <c r="BL3687" i="4"/>
  <c r="BK3687" i="4"/>
  <c r="BJ3679" i="4"/>
  <c r="BL3679" i="4"/>
  <c r="BK3679" i="4"/>
  <c r="BJ3671" i="4"/>
  <c r="BL3671" i="4"/>
  <c r="BK3671" i="4"/>
  <c r="BJ3663" i="4"/>
  <c r="BL3663" i="4"/>
  <c r="BK3663" i="4"/>
  <c r="BJ3655" i="4"/>
  <c r="BL3655" i="4"/>
  <c r="BK3655" i="4"/>
  <c r="BJ3647" i="4"/>
  <c r="BL3647" i="4"/>
  <c r="BK3647" i="4"/>
  <c r="BJ3639" i="4"/>
  <c r="BL3639" i="4"/>
  <c r="BK3639" i="4"/>
  <c r="BJ3631" i="4"/>
  <c r="BL3631" i="4"/>
  <c r="BK3631" i="4"/>
  <c r="BJ3623" i="4"/>
  <c r="BL3623" i="4"/>
  <c r="BK3623" i="4"/>
  <c r="BJ3615" i="4"/>
  <c r="BL3615" i="4"/>
  <c r="BK3615" i="4"/>
  <c r="BJ3607" i="4"/>
  <c r="BL3607" i="4"/>
  <c r="BK3607" i="4"/>
  <c r="BJ3599" i="4"/>
  <c r="BL3599" i="4"/>
  <c r="BK3599" i="4"/>
  <c r="BJ3591" i="4"/>
  <c r="BL3591" i="4"/>
  <c r="BK3591" i="4"/>
  <c r="BJ3583" i="4"/>
  <c r="BL3583" i="4"/>
  <c r="BK3583" i="4"/>
  <c r="BJ3575" i="4"/>
  <c r="BL3575" i="4"/>
  <c r="BK3575" i="4"/>
  <c r="BJ3567" i="4"/>
  <c r="BL3567" i="4"/>
  <c r="BK3567" i="4"/>
  <c r="BJ3559" i="4"/>
  <c r="BL3559" i="4"/>
  <c r="BK3559" i="4"/>
  <c r="BJ3551" i="4"/>
  <c r="BL3551" i="4"/>
  <c r="BK3551" i="4"/>
  <c r="BJ3543" i="4"/>
  <c r="BL3543" i="4"/>
  <c r="BK3543" i="4"/>
  <c r="BJ3535" i="4"/>
  <c r="BL3535" i="4"/>
  <c r="BK3535" i="4"/>
  <c r="BJ3527" i="4"/>
  <c r="BL3527" i="4"/>
  <c r="BK3527" i="4"/>
  <c r="BJ3519" i="4"/>
  <c r="BL3519" i="4"/>
  <c r="BK3519" i="4"/>
  <c r="BJ3511" i="4"/>
  <c r="BL3511" i="4"/>
  <c r="BK3511" i="4"/>
  <c r="BJ3503" i="4"/>
  <c r="BL3503" i="4"/>
  <c r="BK3503" i="4"/>
  <c r="BJ3495" i="4"/>
  <c r="BL3495" i="4"/>
  <c r="BK3495" i="4"/>
  <c r="BJ3487" i="4"/>
  <c r="BL3487" i="4"/>
  <c r="BK3487" i="4"/>
  <c r="BJ3479" i="4"/>
  <c r="BL3479" i="4"/>
  <c r="BK3479" i="4"/>
  <c r="BJ3471" i="4"/>
  <c r="BL3471" i="4"/>
  <c r="BK3471" i="4"/>
  <c r="BJ3463" i="4"/>
  <c r="BL3463" i="4"/>
  <c r="BK3463" i="4"/>
  <c r="BJ3455" i="4"/>
  <c r="BL3455" i="4"/>
  <c r="BK3455" i="4"/>
  <c r="BJ3447" i="4"/>
  <c r="BL3447" i="4"/>
  <c r="BK3447" i="4"/>
  <c r="BJ3439" i="4"/>
  <c r="BL3439" i="4"/>
  <c r="BK3439" i="4"/>
  <c r="BJ3431" i="4"/>
  <c r="BL3431" i="4"/>
  <c r="BK3431" i="4"/>
  <c r="BJ3423" i="4"/>
  <c r="BL3423" i="4"/>
  <c r="BK3423" i="4"/>
  <c r="BJ3415" i="4"/>
  <c r="BL3415" i="4"/>
  <c r="BK3415" i="4"/>
  <c r="BJ3407" i="4"/>
  <c r="BL3407" i="4"/>
  <c r="BK3407" i="4"/>
  <c r="BJ3399" i="4"/>
  <c r="BL3399" i="4"/>
  <c r="BK3399" i="4"/>
  <c r="BJ3391" i="4"/>
  <c r="BL3391" i="4"/>
  <c r="BK3391" i="4"/>
  <c r="BJ3383" i="4"/>
  <c r="BL3383" i="4"/>
  <c r="BK3383" i="4"/>
  <c r="BJ3375" i="4"/>
  <c r="BL3375" i="4"/>
  <c r="BK3375" i="4"/>
  <c r="BJ3367" i="4"/>
  <c r="BL3367" i="4"/>
  <c r="BK3367" i="4"/>
  <c r="BJ3359" i="4"/>
  <c r="BL3359" i="4"/>
  <c r="BK3359" i="4"/>
  <c r="BJ3351" i="4"/>
  <c r="BL3351" i="4"/>
  <c r="BK3351" i="4"/>
  <c r="BJ3343" i="4"/>
  <c r="BL3343" i="4"/>
  <c r="BK3343" i="4"/>
  <c r="BJ3335" i="4"/>
  <c r="BL3335" i="4"/>
  <c r="BK3335" i="4"/>
  <c r="BJ3327" i="4"/>
  <c r="BL3327" i="4"/>
  <c r="BK3327" i="4"/>
  <c r="BJ3319" i="4"/>
  <c r="BL3319" i="4"/>
  <c r="BK3319" i="4"/>
  <c r="BJ3311" i="4"/>
  <c r="BL3311" i="4"/>
  <c r="BK3311" i="4"/>
  <c r="BJ3303" i="4"/>
  <c r="BL3303" i="4"/>
  <c r="BK3303" i="4"/>
  <c r="BJ3295" i="4"/>
  <c r="BL3295" i="4"/>
  <c r="BK3295" i="4"/>
  <c r="BJ3287" i="4"/>
  <c r="BL3287" i="4"/>
  <c r="BK3287" i="4"/>
  <c r="BJ3279" i="4"/>
  <c r="BL3279" i="4"/>
  <c r="BK3279" i="4"/>
  <c r="BJ3271" i="4"/>
  <c r="BL3271" i="4"/>
  <c r="BK3271" i="4"/>
  <c r="BJ3263" i="4"/>
  <c r="BL3263" i="4"/>
  <c r="BK3263" i="4"/>
  <c r="BJ3255" i="4"/>
  <c r="BL3255" i="4"/>
  <c r="BK3255" i="4"/>
  <c r="BJ3247" i="4"/>
  <c r="BL3247" i="4"/>
  <c r="BK3247" i="4"/>
  <c r="BJ3239" i="4"/>
  <c r="BL3239" i="4"/>
  <c r="BK3239" i="4"/>
  <c r="BJ3231" i="4"/>
  <c r="BL3231" i="4"/>
  <c r="BK3231" i="4"/>
  <c r="BJ3223" i="4"/>
  <c r="BL3223" i="4"/>
  <c r="BK3223" i="4"/>
  <c r="BJ3215" i="4"/>
  <c r="BL3215" i="4"/>
  <c r="BK3215" i="4"/>
  <c r="BJ3207" i="4"/>
  <c r="BL3207" i="4"/>
  <c r="BK3207" i="4"/>
  <c r="BJ3199" i="4"/>
  <c r="BL3199" i="4"/>
  <c r="BK3199" i="4"/>
  <c r="BJ3191" i="4"/>
  <c r="BL3191" i="4"/>
  <c r="BK3191" i="4"/>
  <c r="BJ3183" i="4"/>
  <c r="BL3183" i="4"/>
  <c r="BK3183" i="4"/>
  <c r="BJ3175" i="4"/>
  <c r="BL3175" i="4"/>
  <c r="BK3175" i="4"/>
  <c r="BJ3167" i="4"/>
  <c r="BL3167" i="4"/>
  <c r="BK3167" i="4"/>
  <c r="BJ3159" i="4"/>
  <c r="BL3159" i="4"/>
  <c r="BK3159" i="4"/>
  <c r="BJ3151" i="4"/>
  <c r="BL3151" i="4"/>
  <c r="BK3151" i="4"/>
  <c r="BJ3143" i="4"/>
  <c r="BL3143" i="4"/>
  <c r="BK3143" i="4"/>
  <c r="BJ3135" i="4"/>
  <c r="BL3135" i="4"/>
  <c r="BK3135" i="4"/>
  <c r="BJ3127" i="4"/>
  <c r="BL3127" i="4"/>
  <c r="BK3127" i="4"/>
  <c r="BJ3119" i="4"/>
  <c r="BL3119" i="4"/>
  <c r="BK3119" i="4"/>
  <c r="BJ3111" i="4"/>
  <c r="BL3111" i="4"/>
  <c r="BK3111" i="4"/>
  <c r="BJ3103" i="4"/>
  <c r="BL3103" i="4"/>
  <c r="BK3103" i="4"/>
  <c r="BJ3095" i="4"/>
  <c r="BL3095" i="4"/>
  <c r="BK3095" i="4"/>
  <c r="BJ3087" i="4"/>
  <c r="BL3087" i="4"/>
  <c r="BK3087" i="4"/>
  <c r="BJ3079" i="4"/>
  <c r="BL3079" i="4"/>
  <c r="BK3079" i="4"/>
  <c r="BJ3071" i="4"/>
  <c r="BL3071" i="4"/>
  <c r="BK3071" i="4"/>
  <c r="BJ3063" i="4"/>
  <c r="BL3063" i="4"/>
  <c r="BK3063" i="4"/>
  <c r="BJ3055" i="4"/>
  <c r="BL3055" i="4"/>
  <c r="BK3055" i="4"/>
  <c r="BJ3047" i="4"/>
  <c r="BL3047" i="4"/>
  <c r="BK3047" i="4"/>
  <c r="BJ3039" i="4"/>
  <c r="BL3039" i="4"/>
  <c r="BK3039" i="4"/>
  <c r="BJ3031" i="4"/>
  <c r="BL3031" i="4"/>
  <c r="BK3031" i="4"/>
  <c r="BJ3023" i="4"/>
  <c r="BL3023" i="4"/>
  <c r="BK3023" i="4"/>
  <c r="BJ3015" i="4"/>
  <c r="BL3015" i="4"/>
  <c r="BK3015" i="4"/>
  <c r="BJ3007" i="4"/>
  <c r="BL3007" i="4"/>
  <c r="BK3007" i="4"/>
  <c r="BJ2999" i="4"/>
  <c r="BL2999" i="4"/>
  <c r="BK2999" i="4"/>
  <c r="BJ2991" i="4"/>
  <c r="BL2991" i="4"/>
  <c r="BK2991" i="4"/>
  <c r="BJ2983" i="4"/>
  <c r="BL2983" i="4"/>
  <c r="BK2983" i="4"/>
  <c r="BJ2975" i="4"/>
  <c r="BL2975" i="4"/>
  <c r="BK2975" i="4"/>
  <c r="BJ2967" i="4"/>
  <c r="BL2967" i="4"/>
  <c r="BK2967" i="4"/>
  <c r="BJ2959" i="4"/>
  <c r="BL2959" i="4"/>
  <c r="BK2959" i="4"/>
  <c r="BJ2951" i="4"/>
  <c r="BL2951" i="4"/>
  <c r="BK2951" i="4"/>
  <c r="BJ2943" i="4"/>
  <c r="BL2943" i="4"/>
  <c r="BK2943" i="4"/>
  <c r="BJ2935" i="4"/>
  <c r="BL2935" i="4"/>
  <c r="BK2935" i="4"/>
  <c r="BJ2927" i="4"/>
  <c r="BL2927" i="4"/>
  <c r="BK2927" i="4"/>
  <c r="BJ2919" i="4"/>
  <c r="BL2919" i="4"/>
  <c r="BK2919" i="4"/>
  <c r="BJ2911" i="4"/>
  <c r="BL2911" i="4"/>
  <c r="BK2911" i="4"/>
  <c r="BJ2903" i="4"/>
  <c r="BL2903" i="4"/>
  <c r="BK2903" i="4"/>
  <c r="BJ2895" i="4"/>
  <c r="BL2895" i="4"/>
  <c r="BK2895" i="4"/>
  <c r="BJ2887" i="4"/>
  <c r="BL2887" i="4"/>
  <c r="BK2887" i="4"/>
  <c r="BJ2879" i="4"/>
  <c r="BL2879" i="4"/>
  <c r="BK2879" i="4"/>
  <c r="BJ2871" i="4"/>
  <c r="BL2871" i="4"/>
  <c r="BK2871" i="4"/>
  <c r="BJ2863" i="4"/>
  <c r="BL2863" i="4"/>
  <c r="BK2863" i="4"/>
  <c r="BJ2855" i="4"/>
  <c r="BL2855" i="4"/>
  <c r="BK2855" i="4"/>
  <c r="BJ2847" i="4"/>
  <c r="BL2847" i="4"/>
  <c r="BK2847" i="4"/>
  <c r="BJ2839" i="4"/>
  <c r="BL2839" i="4"/>
  <c r="BK2839" i="4"/>
  <c r="BJ2831" i="4"/>
  <c r="BL2831" i="4"/>
  <c r="BK2831" i="4"/>
  <c r="BJ2823" i="4"/>
  <c r="BL2823" i="4"/>
  <c r="BK2823" i="4"/>
  <c r="BJ2815" i="4"/>
  <c r="BL2815" i="4"/>
  <c r="BK2815" i="4"/>
  <c r="BJ2807" i="4"/>
  <c r="BL2807" i="4"/>
  <c r="BK2807" i="4"/>
  <c r="BJ2799" i="4"/>
  <c r="BL2799" i="4"/>
  <c r="BK2799" i="4"/>
  <c r="BJ2791" i="4"/>
  <c r="BL2791" i="4"/>
  <c r="BK2791" i="4"/>
  <c r="BJ2783" i="4"/>
  <c r="BL2783" i="4"/>
  <c r="BK2783" i="4"/>
  <c r="BJ2775" i="4"/>
  <c r="BL2775" i="4"/>
  <c r="BK2775" i="4"/>
  <c r="BJ2767" i="4"/>
  <c r="BL2767" i="4"/>
  <c r="BK2767" i="4"/>
  <c r="BJ2759" i="4"/>
  <c r="BL2759" i="4"/>
  <c r="BK2759" i="4"/>
  <c r="BJ2751" i="4"/>
  <c r="BL2751" i="4"/>
  <c r="BK2751" i="4"/>
  <c r="BJ2743" i="4"/>
  <c r="BL2743" i="4"/>
  <c r="BK2743" i="4"/>
  <c r="BJ2735" i="4"/>
  <c r="BL2735" i="4"/>
  <c r="BK2735" i="4"/>
  <c r="BJ2727" i="4"/>
  <c r="BL2727" i="4"/>
  <c r="BK2727" i="4"/>
  <c r="BJ2719" i="4"/>
  <c r="BL2719" i="4"/>
  <c r="BK2719" i="4"/>
  <c r="BJ2711" i="4"/>
  <c r="BL2711" i="4"/>
  <c r="BK2711" i="4"/>
  <c r="BJ2703" i="4"/>
  <c r="BL2703" i="4"/>
  <c r="BK2703" i="4"/>
  <c r="BJ2695" i="4"/>
  <c r="BL2695" i="4"/>
  <c r="BK2695" i="4"/>
  <c r="BJ2687" i="4"/>
  <c r="BL2687" i="4"/>
  <c r="BK2687" i="4"/>
  <c r="BJ2679" i="4"/>
  <c r="BL2679" i="4"/>
  <c r="BK2679" i="4"/>
  <c r="BJ2671" i="4"/>
  <c r="BL2671" i="4"/>
  <c r="BK2671" i="4"/>
  <c r="BJ2663" i="4"/>
  <c r="BL2663" i="4"/>
  <c r="BK2663" i="4"/>
  <c r="BJ2655" i="4"/>
  <c r="BL2655" i="4"/>
  <c r="BK2655" i="4"/>
  <c r="BJ2647" i="4"/>
  <c r="BL2647" i="4"/>
  <c r="BK2647" i="4"/>
  <c r="BJ2639" i="4"/>
  <c r="BL2639" i="4"/>
  <c r="BK2639" i="4"/>
  <c r="BJ2631" i="4"/>
  <c r="BL2631" i="4"/>
  <c r="BK2631" i="4"/>
  <c r="BJ2623" i="4"/>
  <c r="BL2623" i="4"/>
  <c r="BK2623" i="4"/>
  <c r="BJ2615" i="4"/>
  <c r="BL2615" i="4"/>
  <c r="BK2615" i="4"/>
  <c r="BJ2607" i="4"/>
  <c r="BL2607" i="4"/>
  <c r="BK2607" i="4"/>
  <c r="BJ2599" i="4"/>
  <c r="BL2599" i="4"/>
  <c r="BK2599" i="4"/>
  <c r="BJ2591" i="4"/>
  <c r="BL2591" i="4"/>
  <c r="BK2591" i="4"/>
  <c r="BJ2583" i="4"/>
  <c r="BL2583" i="4"/>
  <c r="BK2583" i="4"/>
  <c r="BJ2575" i="4"/>
  <c r="BL2575" i="4"/>
  <c r="BK2575" i="4"/>
  <c r="BJ2567" i="4"/>
  <c r="BL2567" i="4"/>
  <c r="BK2567" i="4"/>
  <c r="BJ2559" i="4"/>
  <c r="BL2559" i="4"/>
  <c r="BK2559" i="4"/>
  <c r="BJ2551" i="4"/>
  <c r="BL2551" i="4"/>
  <c r="BK2551" i="4"/>
  <c r="BJ2543" i="4"/>
  <c r="BL2543" i="4"/>
  <c r="BK2543" i="4"/>
  <c r="BJ2535" i="4"/>
  <c r="BL2535" i="4"/>
  <c r="BK2535" i="4"/>
  <c r="BJ2527" i="4"/>
  <c r="BL2527" i="4"/>
  <c r="BK2527" i="4"/>
  <c r="BJ2519" i="4"/>
  <c r="BL2519" i="4"/>
  <c r="BK2519" i="4"/>
  <c r="BJ2511" i="4"/>
  <c r="BL2511" i="4"/>
  <c r="BK2511" i="4"/>
  <c r="BJ2503" i="4"/>
  <c r="BL2503" i="4"/>
  <c r="BK2503" i="4"/>
  <c r="BJ2495" i="4"/>
  <c r="BL2495" i="4"/>
  <c r="BK2495" i="4"/>
  <c r="BJ2487" i="4"/>
  <c r="BL2487" i="4"/>
  <c r="BK2487" i="4"/>
  <c r="BJ2479" i="4"/>
  <c r="BL2479" i="4"/>
  <c r="BK2479" i="4"/>
  <c r="BJ2471" i="4"/>
  <c r="BL2471" i="4"/>
  <c r="BK2471" i="4"/>
  <c r="BJ2463" i="4"/>
  <c r="BL2463" i="4"/>
  <c r="BK2463" i="4"/>
  <c r="BJ2455" i="4"/>
  <c r="BL2455" i="4"/>
  <c r="BK2455" i="4"/>
  <c r="BJ2447" i="4"/>
  <c r="BL2447" i="4"/>
  <c r="BK2447" i="4"/>
  <c r="BJ2439" i="4"/>
  <c r="BL2439" i="4"/>
  <c r="BK2439" i="4"/>
  <c r="BJ2431" i="4"/>
  <c r="BL2431" i="4"/>
  <c r="BK2431" i="4"/>
  <c r="BJ2423" i="4"/>
  <c r="BL2423" i="4"/>
  <c r="BK2423" i="4"/>
  <c r="BJ2415" i="4"/>
  <c r="BL2415" i="4"/>
  <c r="BK2415" i="4"/>
  <c r="BJ2407" i="4"/>
  <c r="BL2407" i="4"/>
  <c r="BK2407" i="4"/>
  <c r="BJ2399" i="4"/>
  <c r="BL2399" i="4"/>
  <c r="BK2399" i="4"/>
  <c r="BJ2391" i="4"/>
  <c r="BL2391" i="4"/>
  <c r="BK2391" i="4"/>
  <c r="BJ2383" i="4"/>
  <c r="BL2383" i="4"/>
  <c r="BK2383" i="4"/>
  <c r="BJ2375" i="4"/>
  <c r="BL2375" i="4"/>
  <c r="BK2375" i="4"/>
  <c r="BJ2367" i="4"/>
  <c r="BL2367" i="4"/>
  <c r="BK2367" i="4"/>
  <c r="BJ2359" i="4"/>
  <c r="BL2359" i="4"/>
  <c r="BK2359" i="4"/>
  <c r="BJ2351" i="4"/>
  <c r="BL2351" i="4"/>
  <c r="BK2351" i="4"/>
  <c r="BJ2343" i="4"/>
  <c r="BL2343" i="4"/>
  <c r="BK2343" i="4"/>
  <c r="BJ2335" i="4"/>
  <c r="BL2335" i="4"/>
  <c r="BK2335" i="4"/>
  <c r="BJ2327" i="4"/>
  <c r="BL2327" i="4"/>
  <c r="BK2327" i="4"/>
  <c r="BJ2319" i="4"/>
  <c r="BL2319" i="4"/>
  <c r="BK2319" i="4"/>
  <c r="BJ2311" i="4"/>
  <c r="BL2311" i="4"/>
  <c r="BK2311" i="4"/>
  <c r="BJ2303" i="4"/>
  <c r="BL2303" i="4"/>
  <c r="BK2303" i="4"/>
  <c r="BJ2295" i="4"/>
  <c r="BL2295" i="4"/>
  <c r="BK2295" i="4"/>
  <c r="BJ2287" i="4"/>
  <c r="BL2287" i="4"/>
  <c r="BK2287" i="4"/>
  <c r="BJ2279" i="4"/>
  <c r="BL2279" i="4"/>
  <c r="BK2279" i="4"/>
  <c r="BJ2271" i="4"/>
  <c r="BL2271" i="4"/>
  <c r="BK2271" i="4"/>
  <c r="BJ2263" i="4"/>
  <c r="BL2263" i="4"/>
  <c r="BK2263" i="4"/>
  <c r="BJ2255" i="4"/>
  <c r="BL2255" i="4"/>
  <c r="BK2255" i="4"/>
  <c r="BJ2247" i="4"/>
  <c r="BL2247" i="4"/>
  <c r="BK2247" i="4"/>
  <c r="BJ2239" i="4"/>
  <c r="BL2239" i="4"/>
  <c r="BK2239" i="4"/>
  <c r="BJ2231" i="4"/>
  <c r="BL2231" i="4"/>
  <c r="BK2231" i="4"/>
  <c r="BJ2223" i="4"/>
  <c r="BL2223" i="4"/>
  <c r="BK2223" i="4"/>
  <c r="BJ2215" i="4"/>
  <c r="BL2215" i="4"/>
  <c r="BK2215" i="4"/>
  <c r="BJ2207" i="4"/>
  <c r="BL2207" i="4"/>
  <c r="BK2207" i="4"/>
  <c r="BJ2199" i="4"/>
  <c r="BL2199" i="4"/>
  <c r="BK2199" i="4"/>
  <c r="BJ2191" i="4"/>
  <c r="BL2191" i="4"/>
  <c r="BK2191" i="4"/>
  <c r="BJ2183" i="4"/>
  <c r="BL2183" i="4"/>
  <c r="BK2183" i="4"/>
  <c r="BJ2175" i="4"/>
  <c r="BL2175" i="4"/>
  <c r="BK2175" i="4"/>
  <c r="BJ2167" i="4"/>
  <c r="BL2167" i="4"/>
  <c r="BK2167" i="4"/>
  <c r="BJ2159" i="4"/>
  <c r="BL2159" i="4"/>
  <c r="BK2159" i="4"/>
  <c r="BJ2151" i="4"/>
  <c r="BL2151" i="4"/>
  <c r="BK2151" i="4"/>
  <c r="BJ2143" i="4"/>
  <c r="BL2143" i="4"/>
  <c r="BK2143" i="4"/>
  <c r="BJ2135" i="4"/>
  <c r="BL2135" i="4"/>
  <c r="BK2135" i="4"/>
  <c r="BJ2127" i="4"/>
  <c r="BL2127" i="4"/>
  <c r="BK2127" i="4"/>
  <c r="BJ2119" i="4"/>
  <c r="BL2119" i="4"/>
  <c r="BK2119" i="4"/>
  <c r="BJ2111" i="4"/>
  <c r="BL2111" i="4"/>
  <c r="BK2111" i="4"/>
  <c r="BJ2103" i="4"/>
  <c r="BL2103" i="4"/>
  <c r="BK2103" i="4"/>
  <c r="BJ2095" i="4"/>
  <c r="BL2095" i="4"/>
  <c r="BK2095" i="4"/>
  <c r="BJ2087" i="4"/>
  <c r="BL2087" i="4"/>
  <c r="BK2087" i="4"/>
  <c r="BJ2079" i="4"/>
  <c r="BL2079" i="4"/>
  <c r="BK2079" i="4"/>
  <c r="BJ2071" i="4"/>
  <c r="BL2071" i="4"/>
  <c r="BK2071" i="4"/>
  <c r="BJ2063" i="4"/>
  <c r="BL2063" i="4"/>
  <c r="BK2063" i="4"/>
  <c r="BJ2055" i="4"/>
  <c r="BL2055" i="4"/>
  <c r="BK2055" i="4"/>
  <c r="BJ2047" i="4"/>
  <c r="BL2047" i="4"/>
  <c r="BK2047" i="4"/>
  <c r="BJ2039" i="4"/>
  <c r="BL2039" i="4"/>
  <c r="BK2039" i="4"/>
  <c r="BJ2031" i="4"/>
  <c r="BL2031" i="4"/>
  <c r="BK2031" i="4"/>
  <c r="BJ2023" i="4"/>
  <c r="BL2023" i="4"/>
  <c r="BK2023" i="4"/>
  <c r="BJ2015" i="4"/>
  <c r="BL2015" i="4"/>
  <c r="BK2015" i="4"/>
  <c r="BJ2007" i="4"/>
  <c r="BL2007" i="4"/>
  <c r="BK2007" i="4"/>
  <c r="BJ1999" i="4"/>
  <c r="BL1999" i="4"/>
  <c r="BK1999" i="4"/>
  <c r="BJ1991" i="4"/>
  <c r="BL1991" i="4"/>
  <c r="BK1991" i="4"/>
  <c r="BJ1983" i="4"/>
  <c r="BL1983" i="4"/>
  <c r="BK1983" i="4"/>
  <c r="BJ1975" i="4"/>
  <c r="BL1975" i="4"/>
  <c r="BK1975" i="4"/>
  <c r="BJ1967" i="4"/>
  <c r="BL1967" i="4"/>
  <c r="BK1967" i="4"/>
  <c r="BJ1959" i="4"/>
  <c r="BL1959" i="4"/>
  <c r="BK1959" i="4"/>
  <c r="BJ1951" i="4"/>
  <c r="BL1951" i="4"/>
  <c r="BK1951" i="4"/>
  <c r="BJ1943" i="4"/>
  <c r="BL1943" i="4"/>
  <c r="BK1943" i="4"/>
  <c r="BJ1935" i="4"/>
  <c r="BL1935" i="4"/>
  <c r="BK1935" i="4"/>
  <c r="BJ1927" i="4"/>
  <c r="BL1927" i="4"/>
  <c r="BK1927" i="4"/>
  <c r="BJ1919" i="4"/>
  <c r="BL1919" i="4"/>
  <c r="BK1919" i="4"/>
  <c r="BJ1911" i="4"/>
  <c r="BL1911" i="4"/>
  <c r="BK1911" i="4"/>
  <c r="BJ1903" i="4"/>
  <c r="BL1903" i="4"/>
  <c r="BK1903" i="4"/>
  <c r="BJ1895" i="4"/>
  <c r="BL1895" i="4"/>
  <c r="BK1895" i="4"/>
  <c r="BJ1887" i="4"/>
  <c r="BL1887" i="4"/>
  <c r="BK1887" i="4"/>
  <c r="BJ1879" i="4"/>
  <c r="BL1879" i="4"/>
  <c r="BK1879" i="4"/>
  <c r="BJ1871" i="4"/>
  <c r="BL1871" i="4"/>
  <c r="BK1871" i="4"/>
  <c r="BJ1863" i="4"/>
  <c r="BL1863" i="4"/>
  <c r="BK1863" i="4"/>
  <c r="BJ1855" i="4"/>
  <c r="BL1855" i="4"/>
  <c r="BK1855" i="4"/>
  <c r="BJ1847" i="4"/>
  <c r="BL1847" i="4"/>
  <c r="BK1847" i="4"/>
  <c r="BJ1839" i="4"/>
  <c r="BL1839" i="4"/>
  <c r="BK1839" i="4"/>
  <c r="BJ1831" i="4"/>
  <c r="BL1831" i="4"/>
  <c r="BK1831" i="4"/>
  <c r="BJ1823" i="4"/>
  <c r="BL1823" i="4"/>
  <c r="BK1823" i="4"/>
  <c r="BJ1815" i="4"/>
  <c r="BL1815" i="4"/>
  <c r="BK1815" i="4"/>
  <c r="BJ1807" i="4"/>
  <c r="BL1807" i="4"/>
  <c r="BK1807" i="4"/>
  <c r="BJ1799" i="4"/>
  <c r="BL1799" i="4"/>
  <c r="BK1799" i="4"/>
  <c r="BJ1791" i="4"/>
  <c r="BL1791" i="4"/>
  <c r="BK1791" i="4"/>
  <c r="BJ1783" i="4"/>
  <c r="BL1783" i="4"/>
  <c r="BK1783" i="4"/>
  <c r="BJ1775" i="4"/>
  <c r="BL1775" i="4"/>
  <c r="BK1775" i="4"/>
  <c r="BJ1767" i="4"/>
  <c r="BL1767" i="4"/>
  <c r="BK1767" i="4"/>
  <c r="BJ1759" i="4"/>
  <c r="BL1759" i="4"/>
  <c r="BK1759" i="4"/>
  <c r="BJ1751" i="4"/>
  <c r="BL1751" i="4"/>
  <c r="BK1751" i="4"/>
  <c r="BJ1743" i="4"/>
  <c r="BL1743" i="4"/>
  <c r="BK1743" i="4"/>
  <c r="BJ1735" i="4"/>
  <c r="BL1735" i="4"/>
  <c r="BK1735" i="4"/>
  <c r="BJ1727" i="4"/>
  <c r="BL1727" i="4"/>
  <c r="BK1727" i="4"/>
  <c r="BJ1719" i="4"/>
  <c r="BL1719" i="4"/>
  <c r="BK1719" i="4"/>
  <c r="BJ1711" i="4"/>
  <c r="BL1711" i="4"/>
  <c r="BK1711" i="4"/>
  <c r="BJ1703" i="4"/>
  <c r="BL1703" i="4"/>
  <c r="BK1703" i="4"/>
  <c r="BJ1695" i="4"/>
  <c r="BL1695" i="4"/>
  <c r="BK1695" i="4"/>
  <c r="BJ1687" i="4"/>
  <c r="BL1687" i="4"/>
  <c r="BK1687" i="4"/>
  <c r="BJ1679" i="4"/>
  <c r="BL1679" i="4"/>
  <c r="BK1679" i="4"/>
  <c r="BJ1671" i="4"/>
  <c r="BL1671" i="4"/>
  <c r="BK1671" i="4"/>
  <c r="BJ1663" i="4"/>
  <c r="BL1663" i="4"/>
  <c r="BK1663" i="4"/>
  <c r="BJ1655" i="4"/>
  <c r="BL1655" i="4"/>
  <c r="BK1655" i="4"/>
  <c r="BJ1647" i="4"/>
  <c r="BL1647" i="4"/>
  <c r="BK1647" i="4"/>
  <c r="BJ1639" i="4"/>
  <c r="BL1639" i="4"/>
  <c r="BK1639" i="4"/>
  <c r="BJ1631" i="4"/>
  <c r="BL1631" i="4"/>
  <c r="BK1631" i="4"/>
  <c r="BJ1623" i="4"/>
  <c r="BL1623" i="4"/>
  <c r="BK1623" i="4"/>
  <c r="BJ1615" i="4"/>
  <c r="BL1615" i="4"/>
  <c r="BK1615" i="4"/>
  <c r="BJ1607" i="4"/>
  <c r="BL1607" i="4"/>
  <c r="BK1607" i="4"/>
  <c r="BJ1599" i="4"/>
  <c r="BL1599" i="4"/>
  <c r="BK1599" i="4"/>
  <c r="BJ1591" i="4"/>
  <c r="BL1591" i="4"/>
  <c r="BK1591" i="4"/>
  <c r="BJ1583" i="4"/>
  <c r="BL1583" i="4"/>
  <c r="BK1583" i="4"/>
  <c r="BJ1575" i="4"/>
  <c r="BL1575" i="4"/>
  <c r="BK1575" i="4"/>
  <c r="BJ1567" i="4"/>
  <c r="BL1567" i="4"/>
  <c r="BK1567" i="4"/>
  <c r="BJ1559" i="4"/>
  <c r="BL1559" i="4"/>
  <c r="BK1559" i="4"/>
  <c r="BJ1551" i="4"/>
  <c r="BL1551" i="4"/>
  <c r="BK1551" i="4"/>
  <c r="BJ1543" i="4"/>
  <c r="BL1543" i="4"/>
  <c r="BK1543" i="4"/>
  <c r="BJ1535" i="4"/>
  <c r="BL1535" i="4"/>
  <c r="BK1535" i="4"/>
  <c r="BJ1527" i="4"/>
  <c r="BL1527" i="4"/>
  <c r="BK1527" i="4"/>
  <c r="BJ1519" i="4"/>
  <c r="BL1519" i="4"/>
  <c r="BK1519" i="4"/>
  <c r="BJ1511" i="4"/>
  <c r="BL1511" i="4"/>
  <c r="BK1511" i="4"/>
  <c r="BJ1503" i="4"/>
  <c r="BL1503" i="4"/>
  <c r="BK1503" i="4"/>
  <c r="BJ1495" i="4"/>
  <c r="BL1495" i="4"/>
  <c r="BK1495" i="4"/>
  <c r="BJ1487" i="4"/>
  <c r="BL1487" i="4"/>
  <c r="BK1487" i="4"/>
  <c r="BJ1479" i="4"/>
  <c r="BL1479" i="4"/>
  <c r="BK1479" i="4"/>
  <c r="BJ1471" i="4"/>
  <c r="BL1471" i="4"/>
  <c r="BK1471" i="4"/>
  <c r="BJ1463" i="4"/>
  <c r="BL1463" i="4"/>
  <c r="BK1463" i="4"/>
  <c r="BJ1455" i="4"/>
  <c r="BL1455" i="4"/>
  <c r="BK1455" i="4"/>
  <c r="BJ1447" i="4"/>
  <c r="BL1447" i="4"/>
  <c r="BK1447" i="4"/>
  <c r="BJ1439" i="4"/>
  <c r="BL1439" i="4"/>
  <c r="BK1439" i="4"/>
  <c r="BJ1431" i="4"/>
  <c r="BL1431" i="4"/>
  <c r="BK1431" i="4"/>
  <c r="BJ1423" i="4"/>
  <c r="BL1423" i="4"/>
  <c r="BK1423" i="4"/>
  <c r="BJ1415" i="4"/>
  <c r="BL1415" i="4"/>
  <c r="BK1415" i="4"/>
  <c r="BJ1407" i="4"/>
  <c r="BL1407" i="4"/>
  <c r="BK1407" i="4"/>
  <c r="BJ1399" i="4"/>
  <c r="BL1399" i="4"/>
  <c r="BK1399" i="4"/>
  <c r="BJ1391" i="4"/>
  <c r="BL1391" i="4"/>
  <c r="BK1391" i="4"/>
  <c r="BJ1383" i="4"/>
  <c r="BL1383" i="4"/>
  <c r="BK1383" i="4"/>
  <c r="BJ1375" i="4"/>
  <c r="BL1375" i="4"/>
  <c r="BK1375" i="4"/>
  <c r="BJ1367" i="4"/>
  <c r="BL1367" i="4"/>
  <c r="BK1367" i="4"/>
  <c r="BJ1359" i="4"/>
  <c r="BL1359" i="4"/>
  <c r="BK1359" i="4"/>
  <c r="BJ1351" i="4"/>
  <c r="BL1351" i="4"/>
  <c r="BK1351" i="4"/>
  <c r="BJ1343" i="4"/>
  <c r="BL1343" i="4"/>
  <c r="BK1343" i="4"/>
  <c r="BJ1335" i="4"/>
  <c r="BL1335" i="4"/>
  <c r="BK1335" i="4"/>
  <c r="BJ1327" i="4"/>
  <c r="BL1327" i="4"/>
  <c r="BK1327" i="4"/>
  <c r="BJ1319" i="4"/>
  <c r="BL1319" i="4"/>
  <c r="BK1319" i="4"/>
  <c r="BJ1311" i="4"/>
  <c r="BL1311" i="4"/>
  <c r="BK1311" i="4"/>
  <c r="BJ1303" i="4"/>
  <c r="BL1303" i="4"/>
  <c r="BK1303" i="4"/>
  <c r="BJ1295" i="4"/>
  <c r="BL1295" i="4"/>
  <c r="BK1295" i="4"/>
  <c r="BJ1287" i="4"/>
  <c r="BL1287" i="4"/>
  <c r="BK1287" i="4"/>
  <c r="BJ1279" i="4"/>
  <c r="BL1279" i="4"/>
  <c r="BK1279" i="4"/>
  <c r="BJ1271" i="4"/>
  <c r="BL1271" i="4"/>
  <c r="BK1271" i="4"/>
  <c r="BJ1263" i="4"/>
  <c r="BL1263" i="4"/>
  <c r="BK1263" i="4"/>
  <c r="BJ1255" i="4"/>
  <c r="BL1255" i="4"/>
  <c r="BK1255" i="4"/>
  <c r="BJ1247" i="4"/>
  <c r="BL1247" i="4"/>
  <c r="BK1247" i="4"/>
  <c r="BJ1239" i="4"/>
  <c r="BL1239" i="4"/>
  <c r="BK1239" i="4"/>
  <c r="BJ1231" i="4"/>
  <c r="BL1231" i="4"/>
  <c r="BK1231" i="4"/>
  <c r="BJ1223" i="4"/>
  <c r="BL1223" i="4"/>
  <c r="BK1223" i="4"/>
  <c r="BJ1215" i="4"/>
  <c r="BL1215" i="4"/>
  <c r="BK1215" i="4"/>
  <c r="BJ1207" i="4"/>
  <c r="BL1207" i="4"/>
  <c r="BK1207" i="4"/>
  <c r="BJ1199" i="4"/>
  <c r="BL1199" i="4"/>
  <c r="BK1199" i="4"/>
  <c r="BJ1191" i="4"/>
  <c r="BL1191" i="4"/>
  <c r="BK1191" i="4"/>
  <c r="BJ1183" i="4"/>
  <c r="BL1183" i="4"/>
  <c r="BK1183" i="4"/>
  <c r="BJ1175" i="4"/>
  <c r="BL1175" i="4"/>
  <c r="BK1175" i="4"/>
  <c r="BJ1167" i="4"/>
  <c r="BL1167" i="4"/>
  <c r="BK1167" i="4"/>
  <c r="BJ1159" i="4"/>
  <c r="BL1159" i="4"/>
  <c r="BK1159" i="4"/>
  <c r="BJ1151" i="4"/>
  <c r="BL1151" i="4"/>
  <c r="BK1151" i="4"/>
  <c r="BJ1143" i="4"/>
  <c r="BL1143" i="4"/>
  <c r="BK1143" i="4"/>
  <c r="BJ1135" i="4"/>
  <c r="BL1135" i="4"/>
  <c r="BK1135" i="4"/>
  <c r="BJ1127" i="4"/>
  <c r="BL1127" i="4"/>
  <c r="BK1127" i="4"/>
  <c r="BJ1119" i="4"/>
  <c r="BL1119" i="4"/>
  <c r="BK1119" i="4"/>
  <c r="BJ1111" i="4"/>
  <c r="BL1111" i="4"/>
  <c r="BK1111" i="4"/>
  <c r="BJ1103" i="4"/>
  <c r="BL1103" i="4"/>
  <c r="BK1103" i="4"/>
  <c r="BJ1095" i="4"/>
  <c r="BL1095" i="4"/>
  <c r="BK1095" i="4"/>
  <c r="BJ1087" i="4"/>
  <c r="BL1087" i="4"/>
  <c r="BK1087" i="4"/>
  <c r="BJ1079" i="4"/>
  <c r="BL1079" i="4"/>
  <c r="BK1079" i="4"/>
  <c r="BJ1071" i="4"/>
  <c r="BL1071" i="4"/>
  <c r="BK1071" i="4"/>
  <c r="BJ1063" i="4"/>
  <c r="BL1063" i="4"/>
  <c r="BK1063" i="4"/>
  <c r="BJ1055" i="4"/>
  <c r="BL1055" i="4"/>
  <c r="BK1055" i="4"/>
  <c r="BJ1047" i="4"/>
  <c r="BL1047" i="4"/>
  <c r="BK1047" i="4"/>
  <c r="BJ1039" i="4"/>
  <c r="BL1039" i="4"/>
  <c r="BK1039" i="4"/>
  <c r="BJ1031" i="4"/>
  <c r="BL1031" i="4"/>
  <c r="BK1031" i="4"/>
  <c r="BJ1023" i="4"/>
  <c r="BL1023" i="4"/>
  <c r="BK1023" i="4"/>
  <c r="BJ1015" i="4"/>
  <c r="BL1015" i="4"/>
  <c r="BK1015" i="4"/>
  <c r="BJ1007" i="4"/>
  <c r="BL1007" i="4"/>
  <c r="BK1007" i="4"/>
  <c r="BJ999" i="4"/>
  <c r="BL999" i="4"/>
  <c r="BK999" i="4"/>
  <c r="BJ991" i="4"/>
  <c r="BL991" i="4"/>
  <c r="BK991" i="4"/>
  <c r="BJ983" i="4"/>
  <c r="BL983" i="4"/>
  <c r="BK983" i="4"/>
  <c r="BJ975" i="4"/>
  <c r="BL975" i="4"/>
  <c r="BK975" i="4"/>
  <c r="BJ967" i="4"/>
  <c r="BL967" i="4"/>
  <c r="BK967" i="4"/>
  <c r="BJ959" i="4"/>
  <c r="BL959" i="4"/>
  <c r="BK959" i="4"/>
  <c r="BJ951" i="4"/>
  <c r="BL951" i="4"/>
  <c r="BK951" i="4"/>
  <c r="BJ943" i="4"/>
  <c r="BL943" i="4"/>
  <c r="BK943" i="4"/>
  <c r="BJ935" i="4"/>
  <c r="BL935" i="4"/>
  <c r="BK935" i="4"/>
  <c r="BJ927" i="4"/>
  <c r="BL927" i="4"/>
  <c r="BK927" i="4"/>
  <c r="BJ919" i="4"/>
  <c r="BL919" i="4"/>
  <c r="BK919" i="4"/>
  <c r="BJ911" i="4"/>
  <c r="BL911" i="4"/>
  <c r="BK911" i="4"/>
  <c r="BJ903" i="4"/>
  <c r="BL903" i="4"/>
  <c r="BK903" i="4"/>
  <c r="BJ895" i="4"/>
  <c r="BL895" i="4"/>
  <c r="BK895" i="4"/>
  <c r="BJ887" i="4"/>
  <c r="BL887" i="4"/>
  <c r="BK887" i="4"/>
  <c r="BJ879" i="4"/>
  <c r="BL879" i="4"/>
  <c r="BK879" i="4"/>
  <c r="BJ871" i="4"/>
  <c r="BL871" i="4"/>
  <c r="BK871" i="4"/>
  <c r="BJ863" i="4"/>
  <c r="BL863" i="4"/>
  <c r="BK863" i="4"/>
  <c r="BJ855" i="4"/>
  <c r="BL855" i="4"/>
  <c r="BK855" i="4"/>
  <c r="BJ847" i="4"/>
  <c r="BL847" i="4"/>
  <c r="BK847" i="4"/>
  <c r="BJ839" i="4"/>
  <c r="BL839" i="4"/>
  <c r="BK839" i="4"/>
  <c r="BJ831" i="4"/>
  <c r="BL831" i="4"/>
  <c r="BK831" i="4"/>
  <c r="BJ823" i="4"/>
  <c r="BL823" i="4"/>
  <c r="BK823" i="4"/>
  <c r="BJ815" i="4"/>
  <c r="BL815" i="4"/>
  <c r="BK815" i="4"/>
  <c r="BJ807" i="4"/>
  <c r="BL807" i="4"/>
  <c r="BK807" i="4"/>
  <c r="BJ799" i="4"/>
  <c r="BL799" i="4"/>
  <c r="BK799" i="4"/>
  <c r="BJ791" i="4"/>
  <c r="BL791" i="4"/>
  <c r="BK791" i="4"/>
  <c r="BJ783" i="4"/>
  <c r="BL783" i="4"/>
  <c r="BK783" i="4"/>
  <c r="BJ775" i="4"/>
  <c r="BL775" i="4"/>
  <c r="BK775" i="4"/>
  <c r="BJ767" i="4"/>
  <c r="BL767" i="4"/>
  <c r="BK767" i="4"/>
  <c r="BJ759" i="4"/>
  <c r="BL759" i="4"/>
  <c r="BK759" i="4"/>
  <c r="BJ751" i="4"/>
  <c r="BL751" i="4"/>
  <c r="BK751" i="4"/>
  <c r="BJ743" i="4"/>
  <c r="BL743" i="4"/>
  <c r="BK743" i="4"/>
  <c r="BJ735" i="4"/>
  <c r="BL735" i="4"/>
  <c r="BK735" i="4"/>
  <c r="BJ727" i="4"/>
  <c r="BL727" i="4"/>
  <c r="BK727" i="4"/>
  <c r="BJ719" i="4"/>
  <c r="BL719" i="4"/>
  <c r="BK719" i="4"/>
  <c r="BJ711" i="4"/>
  <c r="BL711" i="4"/>
  <c r="BK711" i="4"/>
  <c r="BJ703" i="4"/>
  <c r="BL703" i="4"/>
  <c r="BK703" i="4"/>
  <c r="BJ695" i="4"/>
  <c r="BL695" i="4"/>
  <c r="BK695" i="4"/>
  <c r="BJ687" i="4"/>
  <c r="BL687" i="4"/>
  <c r="BK687" i="4"/>
  <c r="BJ679" i="4"/>
  <c r="BL679" i="4"/>
  <c r="BK679" i="4"/>
  <c r="BJ671" i="4"/>
  <c r="BL671" i="4"/>
  <c r="BK671" i="4"/>
  <c r="BJ663" i="4"/>
  <c r="BL663" i="4"/>
  <c r="BK663" i="4"/>
  <c r="BJ655" i="4"/>
  <c r="BL655" i="4"/>
  <c r="BK655" i="4"/>
  <c r="BJ647" i="4"/>
  <c r="BL647" i="4"/>
  <c r="BK647" i="4"/>
  <c r="BJ639" i="4"/>
  <c r="BL639" i="4"/>
  <c r="BK639" i="4"/>
  <c r="BJ631" i="4"/>
  <c r="BL631" i="4"/>
  <c r="BK631" i="4"/>
  <c r="BJ623" i="4"/>
  <c r="BL623" i="4"/>
  <c r="BK623" i="4"/>
  <c r="BJ615" i="4"/>
  <c r="BL615" i="4"/>
  <c r="BK615" i="4"/>
  <c r="BJ607" i="4"/>
  <c r="BL607" i="4"/>
  <c r="BK607" i="4"/>
  <c r="BJ599" i="4"/>
  <c r="BL599" i="4"/>
  <c r="BK599" i="4"/>
  <c r="BJ591" i="4"/>
  <c r="BL591" i="4"/>
  <c r="BK591" i="4"/>
  <c r="BJ583" i="4"/>
  <c r="BL583" i="4"/>
  <c r="BK583" i="4"/>
  <c r="BJ575" i="4"/>
  <c r="BL575" i="4"/>
  <c r="BK575" i="4"/>
  <c r="BJ567" i="4"/>
  <c r="BL567" i="4"/>
  <c r="BK567" i="4"/>
  <c r="BJ559" i="4"/>
  <c r="BL559" i="4"/>
  <c r="BK559" i="4"/>
  <c r="BJ551" i="4"/>
  <c r="BL551" i="4"/>
  <c r="BK551" i="4"/>
  <c r="BJ543" i="4"/>
  <c r="BL543" i="4"/>
  <c r="BK543" i="4"/>
  <c r="BJ535" i="4"/>
  <c r="BL535" i="4"/>
  <c r="BK535" i="4"/>
  <c r="BJ527" i="4"/>
  <c r="BL527" i="4"/>
  <c r="BK527" i="4"/>
  <c r="BJ519" i="4"/>
  <c r="BL519" i="4"/>
  <c r="BK519" i="4"/>
  <c r="BJ511" i="4"/>
  <c r="BL511" i="4"/>
  <c r="BK511" i="4"/>
  <c r="BJ503" i="4"/>
  <c r="BL503" i="4"/>
  <c r="BK503" i="4"/>
  <c r="BJ495" i="4"/>
  <c r="BL495" i="4"/>
  <c r="BK495" i="4"/>
  <c r="BJ487" i="4"/>
  <c r="BL487" i="4"/>
  <c r="BK487" i="4"/>
  <c r="BJ479" i="4"/>
  <c r="BL479" i="4"/>
  <c r="BK479" i="4"/>
  <c r="BJ471" i="4"/>
  <c r="BL471" i="4"/>
  <c r="BK471" i="4"/>
  <c r="BJ463" i="4"/>
  <c r="BL463" i="4"/>
  <c r="BK463" i="4"/>
  <c r="BJ455" i="4"/>
  <c r="BL455" i="4"/>
  <c r="BK455" i="4"/>
  <c r="BJ447" i="4"/>
  <c r="BL447" i="4"/>
  <c r="BK447" i="4"/>
  <c r="BJ439" i="4"/>
  <c r="BL439" i="4"/>
  <c r="BK439" i="4"/>
  <c r="BJ431" i="4"/>
  <c r="BL431" i="4"/>
  <c r="BK431" i="4"/>
  <c r="BJ423" i="4"/>
  <c r="BL423" i="4"/>
  <c r="BK423" i="4"/>
  <c r="BJ415" i="4"/>
  <c r="BL415" i="4"/>
  <c r="BK415" i="4"/>
  <c r="BJ407" i="4"/>
  <c r="BL407" i="4"/>
  <c r="BK407" i="4"/>
  <c r="BJ399" i="4"/>
  <c r="BL399" i="4"/>
  <c r="BK399" i="4"/>
  <c r="BJ391" i="4"/>
  <c r="BL391" i="4"/>
  <c r="BK391" i="4"/>
  <c r="BJ383" i="4"/>
  <c r="BL383" i="4"/>
  <c r="BK383" i="4"/>
  <c r="BJ375" i="4"/>
  <c r="BL375" i="4"/>
  <c r="BK375" i="4"/>
  <c r="BJ367" i="4"/>
  <c r="BL367" i="4"/>
  <c r="BK367" i="4"/>
  <c r="BJ359" i="4"/>
  <c r="BL359" i="4"/>
  <c r="BK359" i="4"/>
  <c r="BJ351" i="4"/>
  <c r="BL351" i="4"/>
  <c r="BK351" i="4"/>
  <c r="BJ343" i="4"/>
  <c r="BL343" i="4"/>
  <c r="BK343" i="4"/>
  <c r="BJ335" i="4"/>
  <c r="BL335" i="4"/>
  <c r="BK335" i="4"/>
  <c r="BJ327" i="4"/>
  <c r="BL327" i="4"/>
  <c r="BK327" i="4"/>
  <c r="BJ5328" i="4"/>
  <c r="BL5328" i="4"/>
  <c r="BK5328" i="4"/>
  <c r="BJ5272" i="4"/>
  <c r="BL5272" i="4"/>
  <c r="BK5272" i="4"/>
  <c r="BJ5208" i="4"/>
  <c r="BL5208" i="4"/>
  <c r="BK5208" i="4"/>
  <c r="BJ5152" i="4"/>
  <c r="BL5152" i="4"/>
  <c r="BK5152" i="4"/>
  <c r="BJ5104" i="4"/>
  <c r="BL5104" i="4"/>
  <c r="BK5104" i="4"/>
  <c r="BJ5048" i="4"/>
  <c r="BL5048" i="4"/>
  <c r="BK5048" i="4"/>
  <c r="BJ5000" i="4"/>
  <c r="BL5000" i="4"/>
  <c r="BK5000" i="4"/>
  <c r="BJ4944" i="4"/>
  <c r="BL4944" i="4"/>
  <c r="BK4944" i="4"/>
  <c r="BJ4888" i="4"/>
  <c r="BL4888" i="4"/>
  <c r="BK4888" i="4"/>
  <c r="BJ4832" i="4"/>
  <c r="BL4832" i="4"/>
  <c r="BK4832" i="4"/>
  <c r="BJ4776" i="4"/>
  <c r="BL4776" i="4"/>
  <c r="BK4776" i="4"/>
  <c r="BJ4720" i="4"/>
  <c r="BK4720" i="4"/>
  <c r="BL4720" i="4"/>
  <c r="BJ4664" i="4"/>
  <c r="BL4664" i="4"/>
  <c r="BK4664" i="4"/>
  <c r="BJ4608" i="4"/>
  <c r="BK4608" i="4"/>
  <c r="BL4608" i="4"/>
  <c r="BJ4560" i="4"/>
  <c r="BL4560" i="4"/>
  <c r="BK4560" i="4"/>
  <c r="BJ4504" i="4"/>
  <c r="BK4504" i="4"/>
  <c r="BL4504" i="4"/>
  <c r="BJ4448" i="4"/>
  <c r="BL4448" i="4"/>
  <c r="BK4448" i="4"/>
  <c r="BJ4392" i="4"/>
  <c r="BL4392" i="4"/>
  <c r="BK4392" i="4"/>
  <c r="BJ4328" i="4"/>
  <c r="BL4328" i="4"/>
  <c r="BK4328" i="4"/>
  <c r="BJ4272" i="4"/>
  <c r="BL4272" i="4"/>
  <c r="BK4272" i="4"/>
  <c r="BJ4216" i="4"/>
  <c r="BL4216" i="4"/>
  <c r="BK4216" i="4"/>
  <c r="BJ4160" i="4"/>
  <c r="BK4160" i="4"/>
  <c r="BL4160" i="4"/>
  <c r="BJ4104" i="4"/>
  <c r="BL4104" i="4"/>
  <c r="BK4104" i="4"/>
  <c r="BJ4048" i="4"/>
  <c r="BL4048" i="4"/>
  <c r="BK4048" i="4"/>
  <c r="BJ3992" i="4"/>
  <c r="BL3992" i="4"/>
  <c r="BK3992" i="4"/>
  <c r="BJ3936" i="4"/>
  <c r="BL3936" i="4"/>
  <c r="BK3936" i="4"/>
  <c r="BJ3872" i="4"/>
  <c r="BL3872" i="4"/>
  <c r="BK3872" i="4"/>
  <c r="BJ3792" i="4"/>
  <c r="BL3792" i="4"/>
  <c r="BK3792" i="4"/>
  <c r="BJ3728" i="4"/>
  <c r="BL3728" i="4"/>
  <c r="BK3728" i="4"/>
  <c r="BJ3672" i="4"/>
  <c r="BL3672" i="4"/>
  <c r="BK3672" i="4"/>
  <c r="BJ3616" i="4"/>
  <c r="BL3616" i="4"/>
  <c r="BK3616" i="4"/>
  <c r="BJ3568" i="4"/>
  <c r="BL3568" i="4"/>
  <c r="BK3568" i="4"/>
  <c r="BJ3512" i="4"/>
  <c r="BL3512" i="4"/>
  <c r="BK3512" i="4"/>
  <c r="BJ3456" i="4"/>
  <c r="BL3456" i="4"/>
  <c r="BK3456" i="4"/>
  <c r="BJ3400" i="4"/>
  <c r="BL3400" i="4"/>
  <c r="BK3400" i="4"/>
  <c r="BJ3344" i="4"/>
  <c r="BL3344" i="4"/>
  <c r="BK3344" i="4"/>
  <c r="BJ3296" i="4"/>
  <c r="BL3296" i="4"/>
  <c r="BK3296" i="4"/>
  <c r="BJ3248" i="4"/>
  <c r="BL3248" i="4"/>
  <c r="BK3248" i="4"/>
  <c r="BJ3184" i="4"/>
  <c r="BL3184" i="4"/>
  <c r="BK3184" i="4"/>
  <c r="BJ3136" i="4"/>
  <c r="BL3136" i="4"/>
  <c r="BK3136" i="4"/>
  <c r="BJ3080" i="4"/>
  <c r="BL3080" i="4"/>
  <c r="BK3080" i="4"/>
  <c r="BJ3024" i="4"/>
  <c r="BL3024" i="4"/>
  <c r="BK3024" i="4"/>
  <c r="BJ2968" i="4"/>
  <c r="BL2968" i="4"/>
  <c r="BK2968" i="4"/>
  <c r="BJ2912" i="4"/>
  <c r="BL2912" i="4"/>
  <c r="BK2912" i="4"/>
  <c r="BJ2848" i="4"/>
  <c r="BL2848" i="4"/>
  <c r="BK2848" i="4"/>
  <c r="BJ2792" i="4"/>
  <c r="BL2792" i="4"/>
  <c r="BK2792" i="4"/>
  <c r="BJ2720" i="4"/>
  <c r="BL2720" i="4"/>
  <c r="BK2720" i="4"/>
  <c r="BJ2672" i="4"/>
  <c r="BL2672" i="4"/>
  <c r="BK2672" i="4"/>
  <c r="BJ2616" i="4"/>
  <c r="BL2616" i="4"/>
  <c r="BK2616" i="4"/>
  <c r="BJ2560" i="4"/>
  <c r="BL2560" i="4"/>
  <c r="BK2560" i="4"/>
  <c r="BJ2512" i="4"/>
  <c r="BL2512" i="4"/>
  <c r="BK2512" i="4"/>
  <c r="BJ2456" i="4"/>
  <c r="BL2456" i="4"/>
  <c r="BK2456" i="4"/>
  <c r="BJ2400" i="4"/>
  <c r="BL2400" i="4"/>
  <c r="BK2400" i="4"/>
  <c r="BJ2344" i="4"/>
  <c r="BL2344" i="4"/>
  <c r="BK2344" i="4"/>
  <c r="BJ2288" i="4"/>
  <c r="BL2288" i="4"/>
  <c r="BK2288" i="4"/>
  <c r="BJ2224" i="4"/>
  <c r="BL2224" i="4"/>
  <c r="BK2224" i="4"/>
  <c r="BJ2168" i="4"/>
  <c r="BL2168" i="4"/>
  <c r="BK2168" i="4"/>
  <c r="BJ2112" i="4"/>
  <c r="BL2112" i="4"/>
  <c r="BK2112" i="4"/>
  <c r="BJ2064" i="4"/>
  <c r="BL2064" i="4"/>
  <c r="BK2064" i="4"/>
  <c r="BJ2024" i="4"/>
  <c r="BL2024" i="4"/>
  <c r="BK2024" i="4"/>
  <c r="BJ1968" i="4"/>
  <c r="BL1968" i="4"/>
  <c r="BK1968" i="4"/>
  <c r="BJ1920" i="4"/>
  <c r="BL1920" i="4"/>
  <c r="BK1920" i="4"/>
  <c r="BJ1864" i="4"/>
  <c r="BL1864" i="4"/>
  <c r="BK1864" i="4"/>
  <c r="BJ1808" i="4"/>
  <c r="BL1808" i="4"/>
  <c r="BK1808" i="4"/>
  <c r="BJ1752" i="4"/>
  <c r="BL1752" i="4"/>
  <c r="BK1752" i="4"/>
  <c r="BJ1696" i="4"/>
  <c r="BL1696" i="4"/>
  <c r="BK1696" i="4"/>
  <c r="BJ1640" i="4"/>
  <c r="BL1640" i="4"/>
  <c r="BK1640" i="4"/>
  <c r="BJ1592" i="4"/>
  <c r="BL1592" i="4"/>
  <c r="BK1592" i="4"/>
  <c r="BJ1528" i="4"/>
  <c r="BL1528" i="4"/>
  <c r="BK1528" i="4"/>
  <c r="BJ1464" i="4"/>
  <c r="BL1464" i="4"/>
  <c r="BK1464" i="4"/>
  <c r="BJ1408" i="4"/>
  <c r="BL1408" i="4"/>
  <c r="BK1408" i="4"/>
  <c r="BJ1360" i="4"/>
  <c r="BL1360" i="4"/>
  <c r="BK1360" i="4"/>
  <c r="BJ1296" i="4"/>
  <c r="BL1296" i="4"/>
  <c r="BK1296" i="4"/>
  <c r="BJ1232" i="4"/>
  <c r="BL1232" i="4"/>
  <c r="BK1232" i="4"/>
  <c r="BJ1168" i="4"/>
  <c r="BL1168" i="4"/>
  <c r="BK1168" i="4"/>
  <c r="BJ1112" i="4"/>
  <c r="BL1112" i="4"/>
  <c r="BK1112" i="4"/>
  <c r="BJ1056" i="4"/>
  <c r="BL1056" i="4"/>
  <c r="BK1056" i="4"/>
  <c r="BJ1008" i="4"/>
  <c r="BL1008" i="4"/>
  <c r="BK1008" i="4"/>
  <c r="BJ952" i="4"/>
  <c r="BL952" i="4"/>
  <c r="BK952" i="4"/>
  <c r="BJ896" i="4"/>
  <c r="BL896" i="4"/>
  <c r="BK896" i="4"/>
  <c r="BJ848" i="4"/>
  <c r="BL848" i="4"/>
  <c r="BK848" i="4"/>
  <c r="BJ792" i="4"/>
  <c r="BL792" i="4"/>
  <c r="BK792" i="4"/>
  <c r="BJ752" i="4"/>
  <c r="BL752" i="4"/>
  <c r="BK752" i="4"/>
  <c r="BJ696" i="4"/>
  <c r="BL696" i="4"/>
  <c r="BK696" i="4"/>
  <c r="BJ648" i="4"/>
  <c r="BL648" i="4"/>
  <c r="BK648" i="4"/>
  <c r="BJ592" i="4"/>
  <c r="BL592" i="4"/>
  <c r="BK592" i="4"/>
  <c r="BJ544" i="4"/>
  <c r="BL544" i="4"/>
  <c r="BK544" i="4"/>
  <c r="BJ488" i="4"/>
  <c r="BL488" i="4"/>
  <c r="BK488" i="4"/>
  <c r="BJ440" i="4"/>
  <c r="BL440" i="4"/>
  <c r="BK440" i="4"/>
  <c r="BJ384" i="4"/>
  <c r="BL384" i="4"/>
  <c r="BK384" i="4"/>
  <c r="BJ328" i="4"/>
  <c r="BL328" i="4"/>
  <c r="BK328" i="4"/>
  <c r="BJ5326" i="4"/>
  <c r="BL5326" i="4"/>
  <c r="BK5326" i="4"/>
  <c r="BJ5318" i="4"/>
  <c r="BL5318" i="4"/>
  <c r="BK5318" i="4"/>
  <c r="BJ5310" i="4"/>
  <c r="BL5310" i="4"/>
  <c r="BK5310" i="4"/>
  <c r="BJ5302" i="4"/>
  <c r="BL5302" i="4"/>
  <c r="BK5302" i="4"/>
  <c r="BJ5294" i="4"/>
  <c r="BL5294" i="4"/>
  <c r="BK5294" i="4"/>
  <c r="BJ5286" i="4"/>
  <c r="BL5286" i="4"/>
  <c r="BK5286" i="4"/>
  <c r="BJ5278" i="4"/>
  <c r="BL5278" i="4"/>
  <c r="BK5278" i="4"/>
  <c r="BJ5270" i="4"/>
  <c r="BL5270" i="4"/>
  <c r="BK5270" i="4"/>
  <c r="BJ5262" i="4"/>
  <c r="BL5262" i="4"/>
  <c r="BK5262" i="4"/>
  <c r="BJ5254" i="4"/>
  <c r="BL5254" i="4"/>
  <c r="BK5254" i="4"/>
  <c r="BJ5246" i="4"/>
  <c r="BL5246" i="4"/>
  <c r="BK5246" i="4"/>
  <c r="BJ5238" i="4"/>
  <c r="BL5238" i="4"/>
  <c r="BK5238" i="4"/>
  <c r="BJ5230" i="4"/>
  <c r="BL5230" i="4"/>
  <c r="BK5230" i="4"/>
  <c r="BJ5222" i="4"/>
  <c r="BL5222" i="4"/>
  <c r="BK5222" i="4"/>
  <c r="BJ5214" i="4"/>
  <c r="BL5214" i="4"/>
  <c r="BK5214" i="4"/>
  <c r="BJ5206" i="4"/>
  <c r="BL5206" i="4"/>
  <c r="BK5206" i="4"/>
  <c r="BJ5198" i="4"/>
  <c r="BL5198" i="4"/>
  <c r="BK5198" i="4"/>
  <c r="BJ5190" i="4"/>
  <c r="BL5190" i="4"/>
  <c r="BK5190" i="4"/>
  <c r="BJ5182" i="4"/>
  <c r="BL5182" i="4"/>
  <c r="BK5182" i="4"/>
  <c r="BJ5174" i="4"/>
  <c r="BL5174" i="4"/>
  <c r="BK5174" i="4"/>
  <c r="BJ5166" i="4"/>
  <c r="BL5166" i="4"/>
  <c r="BK5166" i="4"/>
  <c r="BJ5158" i="4"/>
  <c r="BL5158" i="4"/>
  <c r="BK5158" i="4"/>
  <c r="BJ5150" i="4"/>
  <c r="BL5150" i="4"/>
  <c r="BK5150" i="4"/>
  <c r="BJ5142" i="4"/>
  <c r="BL5142" i="4"/>
  <c r="BK5142" i="4"/>
  <c r="BJ5134" i="4"/>
  <c r="BL5134" i="4"/>
  <c r="BK5134" i="4"/>
  <c r="BJ5126" i="4"/>
  <c r="BL5126" i="4"/>
  <c r="BK5126" i="4"/>
  <c r="BJ5118" i="4"/>
  <c r="BL5118" i="4"/>
  <c r="BK5118" i="4"/>
  <c r="BJ5110" i="4"/>
  <c r="BL5110" i="4"/>
  <c r="BK5110" i="4"/>
  <c r="BJ5102" i="4"/>
  <c r="BL5102" i="4"/>
  <c r="BK5102" i="4"/>
  <c r="BJ5094" i="4"/>
  <c r="BL5094" i="4"/>
  <c r="BK5094" i="4"/>
  <c r="BJ5086" i="4"/>
  <c r="BL5086" i="4"/>
  <c r="BK5086" i="4"/>
  <c r="BJ5078" i="4"/>
  <c r="BL5078" i="4"/>
  <c r="BK5078" i="4"/>
  <c r="BJ5070" i="4"/>
  <c r="BL5070" i="4"/>
  <c r="BK5070" i="4"/>
  <c r="BJ5062" i="4"/>
  <c r="BL5062" i="4"/>
  <c r="BK5062" i="4"/>
  <c r="BJ5054" i="4"/>
  <c r="BL5054" i="4"/>
  <c r="BK5054" i="4"/>
  <c r="BJ5046" i="4"/>
  <c r="BL5046" i="4"/>
  <c r="BK5046" i="4"/>
  <c r="BJ5038" i="4"/>
  <c r="BL5038" i="4"/>
  <c r="BK5038" i="4"/>
  <c r="BJ5030" i="4"/>
  <c r="BL5030" i="4"/>
  <c r="BK5030" i="4"/>
  <c r="BJ5022" i="4"/>
  <c r="BL5022" i="4"/>
  <c r="BK5022" i="4"/>
  <c r="BJ5014" i="4"/>
  <c r="BL5014" i="4"/>
  <c r="BK5014" i="4"/>
  <c r="BJ5006" i="4"/>
  <c r="BL5006" i="4"/>
  <c r="BK5006" i="4"/>
  <c r="BJ4998" i="4"/>
  <c r="BL4998" i="4"/>
  <c r="BK4998" i="4"/>
  <c r="BJ4990" i="4"/>
  <c r="BL4990" i="4"/>
  <c r="BK4990" i="4"/>
  <c r="BJ4982" i="4"/>
  <c r="BL4982" i="4"/>
  <c r="BK4982" i="4"/>
  <c r="BJ4974" i="4"/>
  <c r="BL4974" i="4"/>
  <c r="BK4974" i="4"/>
  <c r="BJ4966" i="4"/>
  <c r="BL4966" i="4"/>
  <c r="BK4966" i="4"/>
  <c r="BJ4958" i="4"/>
  <c r="BL4958" i="4"/>
  <c r="BK4958" i="4"/>
  <c r="BJ4950" i="4"/>
  <c r="BL4950" i="4"/>
  <c r="BK4950" i="4"/>
  <c r="BJ4942" i="4"/>
  <c r="BL4942" i="4"/>
  <c r="BK4942" i="4"/>
  <c r="BJ4934" i="4"/>
  <c r="BL4934" i="4"/>
  <c r="BK4934" i="4"/>
  <c r="BJ4926" i="4"/>
  <c r="BL4926" i="4"/>
  <c r="BK4926" i="4"/>
  <c r="BJ4918" i="4"/>
  <c r="BL4918" i="4"/>
  <c r="BK4918" i="4"/>
  <c r="BJ4910" i="4"/>
  <c r="BL4910" i="4"/>
  <c r="BK4910" i="4"/>
  <c r="BJ4902" i="4"/>
  <c r="BL4902" i="4"/>
  <c r="BK4902" i="4"/>
  <c r="BJ4894" i="4"/>
  <c r="BL4894" i="4"/>
  <c r="BK4894" i="4"/>
  <c r="BJ4886" i="4"/>
  <c r="BL4886" i="4"/>
  <c r="BK4886" i="4"/>
  <c r="BJ4878" i="4"/>
  <c r="BL4878" i="4"/>
  <c r="BK4878" i="4"/>
  <c r="BJ4870" i="4"/>
  <c r="BL4870" i="4"/>
  <c r="BK4870" i="4"/>
  <c r="BJ4862" i="4"/>
  <c r="BL4862" i="4"/>
  <c r="BK4862" i="4"/>
  <c r="BJ4854" i="4"/>
  <c r="BL4854" i="4"/>
  <c r="BK4854" i="4"/>
  <c r="BJ4846" i="4"/>
  <c r="BK4846" i="4"/>
  <c r="BL4846" i="4"/>
  <c r="BJ4838" i="4"/>
  <c r="BL4838" i="4"/>
  <c r="BK4838" i="4"/>
  <c r="BJ4830" i="4"/>
  <c r="BL4830" i="4"/>
  <c r="BK4830" i="4"/>
  <c r="BJ4822" i="4"/>
  <c r="BL4822" i="4"/>
  <c r="BK4822" i="4"/>
  <c r="BJ4814" i="4"/>
  <c r="BL4814" i="4"/>
  <c r="BK4814" i="4"/>
  <c r="BJ4806" i="4"/>
  <c r="BL4806" i="4"/>
  <c r="BK4806" i="4"/>
  <c r="BJ4798" i="4"/>
  <c r="BL4798" i="4"/>
  <c r="BK4798" i="4"/>
  <c r="BJ4790" i="4"/>
  <c r="BL4790" i="4"/>
  <c r="BK4790" i="4"/>
  <c r="BJ4782" i="4"/>
  <c r="BL4782" i="4"/>
  <c r="BK4782" i="4"/>
  <c r="BJ4774" i="4"/>
  <c r="BL4774" i="4"/>
  <c r="BK4774" i="4"/>
  <c r="BJ4766" i="4"/>
  <c r="BL4766" i="4"/>
  <c r="BK4766" i="4"/>
  <c r="BJ4758" i="4"/>
  <c r="BL4758" i="4"/>
  <c r="BK4758" i="4"/>
  <c r="BJ4750" i="4"/>
  <c r="BL4750" i="4"/>
  <c r="BK4750" i="4"/>
  <c r="BJ4742" i="4"/>
  <c r="BL4742" i="4"/>
  <c r="BK4742" i="4"/>
  <c r="BJ4734" i="4"/>
  <c r="BL4734" i="4"/>
  <c r="BK4734" i="4"/>
  <c r="BJ4726" i="4"/>
  <c r="BL4726" i="4"/>
  <c r="BK4726" i="4"/>
  <c r="BJ4718" i="4"/>
  <c r="BK4718" i="4"/>
  <c r="BL4718" i="4"/>
  <c r="BJ4710" i="4"/>
  <c r="BL4710" i="4"/>
  <c r="BK4710" i="4"/>
  <c r="BJ4702" i="4"/>
  <c r="BK4702" i="4"/>
  <c r="BL4702" i="4"/>
  <c r="BJ4694" i="4"/>
  <c r="BL4694" i="4"/>
  <c r="BK4694" i="4"/>
  <c r="BJ4686" i="4"/>
  <c r="BL4686" i="4"/>
  <c r="BK4686" i="4"/>
  <c r="BJ4678" i="4"/>
  <c r="BL4678" i="4"/>
  <c r="BK4678" i="4"/>
  <c r="BJ4670" i="4"/>
  <c r="BK4670" i="4"/>
  <c r="BL4670" i="4"/>
  <c r="BJ4662" i="4"/>
  <c r="BL4662" i="4"/>
  <c r="BK4662" i="4"/>
  <c r="BJ4654" i="4"/>
  <c r="BK4654" i="4"/>
  <c r="BL4654" i="4"/>
  <c r="BJ4646" i="4"/>
  <c r="BL4646" i="4"/>
  <c r="BK4646" i="4"/>
  <c r="BJ4638" i="4"/>
  <c r="BL4638" i="4"/>
  <c r="BK4638" i="4"/>
  <c r="BJ4630" i="4"/>
  <c r="BL4630" i="4"/>
  <c r="BK4630" i="4"/>
  <c r="BJ4622" i="4"/>
  <c r="BL4622" i="4"/>
  <c r="BK4622" i="4"/>
  <c r="BJ4614" i="4"/>
  <c r="BL4614" i="4"/>
  <c r="BK4614" i="4"/>
  <c r="BJ4606" i="4"/>
  <c r="BL4606" i="4"/>
  <c r="BK4606" i="4"/>
  <c r="BJ4598" i="4"/>
  <c r="BL4598" i="4"/>
  <c r="BK4598" i="4"/>
  <c r="BJ4590" i="4"/>
  <c r="BL4590" i="4"/>
  <c r="BK4590" i="4"/>
  <c r="BJ4582" i="4"/>
  <c r="BL4582" i="4"/>
  <c r="BK4582" i="4"/>
  <c r="BJ4574" i="4"/>
  <c r="BL4574" i="4"/>
  <c r="BK4574" i="4"/>
  <c r="BJ4566" i="4"/>
  <c r="BK4566" i="4"/>
  <c r="BL4566" i="4"/>
  <c r="BJ4558" i="4"/>
  <c r="BL4558" i="4"/>
  <c r="BK4558" i="4"/>
  <c r="BJ4550" i="4"/>
  <c r="BL4550" i="4"/>
  <c r="BK4550" i="4"/>
  <c r="BJ4542" i="4"/>
  <c r="BL4542" i="4"/>
  <c r="BK4542" i="4"/>
  <c r="BJ4534" i="4"/>
  <c r="BL4534" i="4"/>
  <c r="BK4534" i="4"/>
  <c r="BJ4526" i="4"/>
  <c r="BL4526" i="4"/>
  <c r="BK4526" i="4"/>
  <c r="BJ4518" i="4"/>
  <c r="BL4518" i="4"/>
  <c r="BK4518" i="4"/>
  <c r="BJ4510" i="4"/>
  <c r="BL4510" i="4"/>
  <c r="BK4510" i="4"/>
  <c r="BJ4502" i="4"/>
  <c r="BK4502" i="4"/>
  <c r="BL4502" i="4"/>
  <c r="BJ4494" i="4"/>
  <c r="BL4494" i="4"/>
  <c r="BK4494" i="4"/>
  <c r="BJ4486" i="4"/>
  <c r="BL4486" i="4"/>
  <c r="BK4486" i="4"/>
  <c r="BJ4478" i="4"/>
  <c r="BL4478" i="4"/>
  <c r="BK4478" i="4"/>
  <c r="BJ4470" i="4"/>
  <c r="BL4470" i="4"/>
  <c r="BK4470" i="4"/>
  <c r="BJ4462" i="4"/>
  <c r="BL4462" i="4"/>
  <c r="BK4462" i="4"/>
  <c r="BJ4454" i="4"/>
  <c r="BL4454" i="4"/>
  <c r="BK4454" i="4"/>
  <c r="BJ4446" i="4"/>
  <c r="BL4446" i="4"/>
  <c r="BK4446" i="4"/>
  <c r="BJ4438" i="4"/>
  <c r="BL4438" i="4"/>
  <c r="BK4438" i="4"/>
  <c r="BJ4430" i="4"/>
  <c r="BL4430" i="4"/>
  <c r="BK4430" i="4"/>
  <c r="BJ4422" i="4"/>
  <c r="BL4422" i="4"/>
  <c r="BK4422" i="4"/>
  <c r="BJ4414" i="4"/>
  <c r="BL4414" i="4"/>
  <c r="BK4414" i="4"/>
  <c r="BJ4406" i="4"/>
  <c r="BL4406" i="4"/>
  <c r="BK4406" i="4"/>
  <c r="BJ4398" i="4"/>
  <c r="BL4398" i="4"/>
  <c r="BK4398" i="4"/>
  <c r="BJ4390" i="4"/>
  <c r="BL4390" i="4"/>
  <c r="BK4390" i="4"/>
  <c r="BJ4382" i="4"/>
  <c r="BL4382" i="4"/>
  <c r="BK4382" i="4"/>
  <c r="BJ4374" i="4"/>
  <c r="BK4374" i="4"/>
  <c r="BL4374" i="4"/>
  <c r="BJ4366" i="4"/>
  <c r="BL4366" i="4"/>
  <c r="BK4366" i="4"/>
  <c r="BJ4358" i="4"/>
  <c r="BL4358" i="4"/>
  <c r="BK4358" i="4"/>
  <c r="BJ4350" i="4"/>
  <c r="BL4350" i="4"/>
  <c r="BK4350" i="4"/>
  <c r="BJ4342" i="4"/>
  <c r="BL4342" i="4"/>
  <c r="BK4342" i="4"/>
  <c r="BJ4334" i="4"/>
  <c r="BL4334" i="4"/>
  <c r="BK4334" i="4"/>
  <c r="BJ4326" i="4"/>
  <c r="BL4326" i="4"/>
  <c r="BK4326" i="4"/>
  <c r="BJ4318" i="4"/>
  <c r="BL4318" i="4"/>
  <c r="BK4318" i="4"/>
  <c r="BJ4310" i="4"/>
  <c r="BL4310" i="4"/>
  <c r="BK4310" i="4"/>
  <c r="BJ4302" i="4"/>
  <c r="BL4302" i="4"/>
  <c r="BK4302" i="4"/>
  <c r="BJ4294" i="4"/>
  <c r="BL4294" i="4"/>
  <c r="BK4294" i="4"/>
  <c r="BJ4286" i="4"/>
  <c r="BL4286" i="4"/>
  <c r="BK4286" i="4"/>
  <c r="BJ4278" i="4"/>
  <c r="BL4278" i="4"/>
  <c r="BK4278" i="4"/>
  <c r="BJ4270" i="4"/>
  <c r="BL4270" i="4"/>
  <c r="BK4270" i="4"/>
  <c r="BJ4262" i="4"/>
  <c r="BL4262" i="4"/>
  <c r="BK4262" i="4"/>
  <c r="BJ4254" i="4"/>
  <c r="BL4254" i="4"/>
  <c r="BK4254" i="4"/>
  <c r="BJ4246" i="4"/>
  <c r="BK4246" i="4"/>
  <c r="BL4246" i="4"/>
  <c r="BJ4238" i="4"/>
  <c r="BL4238" i="4"/>
  <c r="BK4238" i="4"/>
  <c r="BJ4230" i="4"/>
  <c r="BL4230" i="4"/>
  <c r="BK4230" i="4"/>
  <c r="BJ4222" i="4"/>
  <c r="BL4222" i="4"/>
  <c r="BK4222" i="4"/>
  <c r="BJ4214" i="4"/>
  <c r="BL4214" i="4"/>
  <c r="BK4214" i="4"/>
  <c r="BJ4206" i="4"/>
  <c r="BL4206" i="4"/>
  <c r="BK4206" i="4"/>
  <c r="BJ4198" i="4"/>
  <c r="BL4198" i="4"/>
  <c r="BK4198" i="4"/>
  <c r="BJ4190" i="4"/>
  <c r="BL4190" i="4"/>
  <c r="BK4190" i="4"/>
  <c r="BJ4182" i="4"/>
  <c r="BK4182" i="4"/>
  <c r="BL4182" i="4"/>
  <c r="BJ4174" i="4"/>
  <c r="BL4174" i="4"/>
  <c r="BK4174" i="4"/>
  <c r="BJ4166" i="4"/>
  <c r="BL4166" i="4"/>
  <c r="BK4166" i="4"/>
  <c r="BJ4158" i="4"/>
  <c r="BL4158" i="4"/>
  <c r="BK4158" i="4"/>
  <c r="BJ4150" i="4"/>
  <c r="BL4150" i="4"/>
  <c r="BK4150" i="4"/>
  <c r="BJ4142" i="4"/>
  <c r="BL4142" i="4"/>
  <c r="BK4142" i="4"/>
  <c r="BJ4134" i="4"/>
  <c r="BL4134" i="4"/>
  <c r="BK4134" i="4"/>
  <c r="BJ4126" i="4"/>
  <c r="BL4126" i="4"/>
  <c r="BK4126" i="4"/>
  <c r="BJ4118" i="4"/>
  <c r="BL4118" i="4"/>
  <c r="BK4118" i="4"/>
  <c r="BJ4110" i="4"/>
  <c r="BL4110" i="4"/>
  <c r="BK4110" i="4"/>
  <c r="BJ4102" i="4"/>
  <c r="BL4102" i="4"/>
  <c r="BK4102" i="4"/>
  <c r="BJ4094" i="4"/>
  <c r="BL4094" i="4"/>
  <c r="BK4094" i="4"/>
  <c r="BJ4086" i="4"/>
  <c r="BL4086" i="4"/>
  <c r="BK4086" i="4"/>
  <c r="BJ4078" i="4"/>
  <c r="BL4078" i="4"/>
  <c r="BK4078" i="4"/>
  <c r="BJ4070" i="4"/>
  <c r="BL4070" i="4"/>
  <c r="BK4070" i="4"/>
  <c r="BJ4062" i="4"/>
  <c r="BL4062" i="4"/>
  <c r="BK4062" i="4"/>
  <c r="BJ4054" i="4"/>
  <c r="BK4054" i="4"/>
  <c r="BL4054" i="4"/>
  <c r="BJ4046" i="4"/>
  <c r="BL4046" i="4"/>
  <c r="BK4046" i="4"/>
  <c r="BJ4038" i="4"/>
  <c r="BL4038" i="4"/>
  <c r="BK4038" i="4"/>
  <c r="BJ4030" i="4"/>
  <c r="BL4030" i="4"/>
  <c r="BK4030" i="4"/>
  <c r="BJ4022" i="4"/>
  <c r="BL4022" i="4"/>
  <c r="BK4022" i="4"/>
  <c r="BJ4014" i="4"/>
  <c r="BL4014" i="4"/>
  <c r="BK4014" i="4"/>
  <c r="BJ4006" i="4"/>
  <c r="BL4006" i="4"/>
  <c r="BK4006" i="4"/>
  <c r="BJ3998" i="4"/>
  <c r="BL3998" i="4"/>
  <c r="BK3998" i="4"/>
  <c r="BJ3990" i="4"/>
  <c r="BL3990" i="4"/>
  <c r="BK3990" i="4"/>
  <c r="BJ3982" i="4"/>
  <c r="BK3982" i="4"/>
  <c r="BL3982" i="4"/>
  <c r="BJ3974" i="4"/>
  <c r="BL3974" i="4"/>
  <c r="BK3974" i="4"/>
  <c r="BJ3966" i="4"/>
  <c r="BL3966" i="4"/>
  <c r="BK3966" i="4"/>
  <c r="BJ3958" i="4"/>
  <c r="BL3958" i="4"/>
  <c r="BK3958" i="4"/>
  <c r="BJ3950" i="4"/>
  <c r="BL3950" i="4"/>
  <c r="BK3950" i="4"/>
  <c r="BJ3942" i="4"/>
  <c r="BL3942" i="4"/>
  <c r="BK3942" i="4"/>
  <c r="BJ3934" i="4"/>
  <c r="BL3934" i="4"/>
  <c r="BK3934" i="4"/>
  <c r="BJ3926" i="4"/>
  <c r="BL3926" i="4"/>
  <c r="BK3926" i="4"/>
  <c r="BJ3918" i="4"/>
  <c r="BK3918" i="4"/>
  <c r="BL3918" i="4"/>
  <c r="BJ3910" i="4"/>
  <c r="BL3910" i="4"/>
  <c r="BK3910" i="4"/>
  <c r="BJ3902" i="4"/>
  <c r="BL3902" i="4"/>
  <c r="BK3902" i="4"/>
  <c r="BJ3894" i="4"/>
  <c r="BL3894" i="4"/>
  <c r="BK3894" i="4"/>
  <c r="BJ3886" i="4"/>
  <c r="BL3886" i="4"/>
  <c r="BK3886" i="4"/>
  <c r="BJ3878" i="4"/>
  <c r="BL3878" i="4"/>
  <c r="BK3878" i="4"/>
  <c r="BJ3870" i="4"/>
  <c r="BL3870" i="4"/>
  <c r="BK3870" i="4"/>
  <c r="BJ3862" i="4"/>
  <c r="BL3862" i="4"/>
  <c r="BK3862" i="4"/>
  <c r="BJ3854" i="4"/>
  <c r="BL3854" i="4"/>
  <c r="BK3854" i="4"/>
  <c r="BJ3846" i="4"/>
  <c r="BL3846" i="4"/>
  <c r="BK3846" i="4"/>
  <c r="BJ3838" i="4"/>
  <c r="BL3838" i="4"/>
  <c r="BK3838" i="4"/>
  <c r="BJ3830" i="4"/>
  <c r="BL3830" i="4"/>
  <c r="BK3830" i="4"/>
  <c r="BJ3822" i="4"/>
  <c r="BL3822" i="4"/>
  <c r="BK3822" i="4"/>
  <c r="BJ3814" i="4"/>
  <c r="BL3814" i="4"/>
  <c r="BK3814" i="4"/>
  <c r="BJ3806" i="4"/>
  <c r="BL3806" i="4"/>
  <c r="BK3806" i="4"/>
  <c r="BJ3798" i="4"/>
  <c r="BL3798" i="4"/>
  <c r="BK3798" i="4"/>
  <c r="BJ3790" i="4"/>
  <c r="BL3790" i="4"/>
  <c r="BK3790" i="4"/>
  <c r="BJ3782" i="4"/>
  <c r="BL3782" i="4"/>
  <c r="BK3782" i="4"/>
  <c r="BJ3774" i="4"/>
  <c r="BL3774" i="4"/>
  <c r="BK3774" i="4"/>
  <c r="BJ3766" i="4"/>
  <c r="BL3766" i="4"/>
  <c r="BK3766" i="4"/>
  <c r="BJ3758" i="4"/>
  <c r="BL3758" i="4"/>
  <c r="BK3758" i="4"/>
  <c r="BJ3750" i="4"/>
  <c r="BL3750" i="4"/>
  <c r="BK3750" i="4"/>
  <c r="BJ3742" i="4"/>
  <c r="BL3742" i="4"/>
  <c r="BK3742" i="4"/>
  <c r="BJ3734" i="4"/>
  <c r="BL3734" i="4"/>
  <c r="BK3734" i="4"/>
  <c r="BJ3726" i="4"/>
  <c r="BL3726" i="4"/>
  <c r="BK3726" i="4"/>
  <c r="BJ3718" i="4"/>
  <c r="BL3718" i="4"/>
  <c r="BK3718" i="4"/>
  <c r="BJ3710" i="4"/>
  <c r="BL3710" i="4"/>
  <c r="BK3710" i="4"/>
  <c r="BJ3702" i="4"/>
  <c r="BL3702" i="4"/>
  <c r="BK3702" i="4"/>
  <c r="BJ3694" i="4"/>
  <c r="BL3694" i="4"/>
  <c r="BK3694" i="4"/>
  <c r="BJ3686" i="4"/>
  <c r="BL3686" i="4"/>
  <c r="BK3686" i="4"/>
  <c r="BJ3678" i="4"/>
  <c r="BL3678" i="4"/>
  <c r="BK3678" i="4"/>
  <c r="BJ3670" i="4"/>
  <c r="BL3670" i="4"/>
  <c r="BK3670" i="4"/>
  <c r="BJ3662" i="4"/>
  <c r="BK3662" i="4"/>
  <c r="BL3662" i="4"/>
  <c r="BJ3654" i="4"/>
  <c r="BL3654" i="4"/>
  <c r="BK3654" i="4"/>
  <c r="BJ3646" i="4"/>
  <c r="BL3646" i="4"/>
  <c r="BK3646" i="4"/>
  <c r="BJ3638" i="4"/>
  <c r="BL3638" i="4"/>
  <c r="BK3638" i="4"/>
  <c r="BJ3630" i="4"/>
  <c r="BL3630" i="4"/>
  <c r="BK3630" i="4"/>
  <c r="BJ3622" i="4"/>
  <c r="BL3622" i="4"/>
  <c r="BK3622" i="4"/>
  <c r="BJ3614" i="4"/>
  <c r="BL3614" i="4"/>
  <c r="BK3614" i="4"/>
  <c r="BJ3606" i="4"/>
  <c r="BL3606" i="4"/>
  <c r="BK3606" i="4"/>
  <c r="BJ3598" i="4"/>
  <c r="BK3598" i="4"/>
  <c r="BL3598" i="4"/>
  <c r="BJ3590" i="4"/>
  <c r="BL3590" i="4"/>
  <c r="BK3590" i="4"/>
  <c r="BJ3582" i="4"/>
  <c r="BL3582" i="4"/>
  <c r="BK3582" i="4"/>
  <c r="BJ3574" i="4"/>
  <c r="BL3574" i="4"/>
  <c r="BK3574" i="4"/>
  <c r="BJ3566" i="4"/>
  <c r="BL3566" i="4"/>
  <c r="BK3566" i="4"/>
  <c r="BJ3558" i="4"/>
  <c r="BL3558" i="4"/>
  <c r="BK3558" i="4"/>
  <c r="BJ3550" i="4"/>
  <c r="BL3550" i="4"/>
  <c r="BK3550" i="4"/>
  <c r="BJ3542" i="4"/>
  <c r="BL3542" i="4"/>
  <c r="BK3542" i="4"/>
  <c r="BJ3534" i="4"/>
  <c r="BK3534" i="4"/>
  <c r="BL3534" i="4"/>
  <c r="BJ3526" i="4"/>
  <c r="BL3526" i="4"/>
  <c r="BK3526" i="4"/>
  <c r="BJ3518" i="4"/>
  <c r="BL3518" i="4"/>
  <c r="BK3518" i="4"/>
  <c r="BJ3510" i="4"/>
  <c r="BL3510" i="4"/>
  <c r="BK3510" i="4"/>
  <c r="BJ3502" i="4"/>
  <c r="BL3502" i="4"/>
  <c r="BK3502" i="4"/>
  <c r="BJ3494" i="4"/>
  <c r="BL3494" i="4"/>
  <c r="BK3494" i="4"/>
  <c r="BJ3486" i="4"/>
  <c r="BL3486" i="4"/>
  <c r="BK3486" i="4"/>
  <c r="BJ3478" i="4"/>
  <c r="BL3478" i="4"/>
  <c r="BK3478" i="4"/>
  <c r="BJ3470" i="4"/>
  <c r="BK3470" i="4"/>
  <c r="BL3470" i="4"/>
  <c r="BJ3462" i="4"/>
  <c r="BL3462" i="4"/>
  <c r="BK3462" i="4"/>
  <c r="BJ3454" i="4"/>
  <c r="BL3454" i="4"/>
  <c r="BK3454" i="4"/>
  <c r="BJ3446" i="4"/>
  <c r="BL3446" i="4"/>
  <c r="BK3446" i="4"/>
  <c r="BJ3438" i="4"/>
  <c r="BL3438" i="4"/>
  <c r="BK3438" i="4"/>
  <c r="BJ3430" i="4"/>
  <c r="BL3430" i="4"/>
  <c r="BK3430" i="4"/>
  <c r="BJ3422" i="4"/>
  <c r="BL3422" i="4"/>
  <c r="BK3422" i="4"/>
  <c r="BJ3414" i="4"/>
  <c r="BL3414" i="4"/>
  <c r="BK3414" i="4"/>
  <c r="BJ3406" i="4"/>
  <c r="BK3406" i="4"/>
  <c r="BL3406" i="4"/>
  <c r="BJ3398" i="4"/>
  <c r="BL3398" i="4"/>
  <c r="BK3398" i="4"/>
  <c r="BJ3390" i="4"/>
  <c r="BL3390" i="4"/>
  <c r="BK3390" i="4"/>
  <c r="BJ3382" i="4"/>
  <c r="BL3382" i="4"/>
  <c r="BK3382" i="4"/>
  <c r="BJ3374" i="4"/>
  <c r="BL3374" i="4"/>
  <c r="BK3374" i="4"/>
  <c r="BJ3366" i="4"/>
  <c r="BL3366" i="4"/>
  <c r="BK3366" i="4"/>
  <c r="BJ3358" i="4"/>
  <c r="BL3358" i="4"/>
  <c r="BK3358" i="4"/>
  <c r="BJ3350" i="4"/>
  <c r="BL3350" i="4"/>
  <c r="BK3350" i="4"/>
  <c r="BJ3342" i="4"/>
  <c r="BL3342" i="4"/>
  <c r="BK3342" i="4"/>
  <c r="BJ3334" i="4"/>
  <c r="BL3334" i="4"/>
  <c r="BK3334" i="4"/>
  <c r="BJ3326" i="4"/>
  <c r="BL3326" i="4"/>
  <c r="BK3326" i="4"/>
  <c r="BJ3318" i="4"/>
  <c r="BL3318" i="4"/>
  <c r="BK3318" i="4"/>
  <c r="BJ3310" i="4"/>
  <c r="BL3310" i="4"/>
  <c r="BK3310" i="4"/>
  <c r="BJ3302" i="4"/>
  <c r="BL3302" i="4"/>
  <c r="BK3302" i="4"/>
  <c r="BJ3294" i="4"/>
  <c r="BL3294" i="4"/>
  <c r="BK3294" i="4"/>
  <c r="BJ3286" i="4"/>
  <c r="BL3286" i="4"/>
  <c r="BK3286" i="4"/>
  <c r="BJ3278" i="4"/>
  <c r="BL3278" i="4"/>
  <c r="BK3278" i="4"/>
  <c r="BJ3270" i="4"/>
  <c r="BL3270" i="4"/>
  <c r="BK3270" i="4"/>
  <c r="BJ3262" i="4"/>
  <c r="BL3262" i="4"/>
  <c r="BK3262" i="4"/>
  <c r="BJ3254" i="4"/>
  <c r="BL3254" i="4"/>
  <c r="BK3254" i="4"/>
  <c r="BJ3246" i="4"/>
  <c r="BL3246" i="4"/>
  <c r="BK3246" i="4"/>
  <c r="BJ3238" i="4"/>
  <c r="BL3238" i="4"/>
  <c r="BK3238" i="4"/>
  <c r="BJ3230" i="4"/>
  <c r="BL3230" i="4"/>
  <c r="BK3230" i="4"/>
  <c r="BJ3222" i="4"/>
  <c r="BL3222" i="4"/>
  <c r="BK3222" i="4"/>
  <c r="BJ3214" i="4"/>
  <c r="BK3214" i="4"/>
  <c r="BL3214" i="4"/>
  <c r="BJ3206" i="4"/>
  <c r="BK3206" i="4"/>
  <c r="BL3206" i="4"/>
  <c r="BJ3198" i="4"/>
  <c r="BK3198" i="4"/>
  <c r="BL3198" i="4"/>
  <c r="BJ3190" i="4"/>
  <c r="BL3190" i="4"/>
  <c r="BK3190" i="4"/>
  <c r="BJ3182" i="4"/>
  <c r="BL3182" i="4"/>
  <c r="BK3182" i="4"/>
  <c r="BJ3174" i="4"/>
  <c r="BL3174" i="4"/>
  <c r="BK3174" i="4"/>
  <c r="BJ3166" i="4"/>
  <c r="BL3166" i="4"/>
  <c r="BK3166" i="4"/>
  <c r="BJ3158" i="4"/>
  <c r="BK3158" i="4"/>
  <c r="BL3158" i="4"/>
  <c r="BJ3150" i="4"/>
  <c r="BK3150" i="4"/>
  <c r="BL3150" i="4"/>
  <c r="BJ3142" i="4"/>
  <c r="BK3142" i="4"/>
  <c r="BL3142" i="4"/>
  <c r="BJ3134" i="4"/>
  <c r="BK3134" i="4"/>
  <c r="BL3134" i="4"/>
  <c r="BJ3126" i="4"/>
  <c r="BL3126" i="4"/>
  <c r="BK3126" i="4"/>
  <c r="BJ3118" i="4"/>
  <c r="BL3118" i="4"/>
  <c r="BK3118" i="4"/>
  <c r="BJ3110" i="4"/>
  <c r="BL3110" i="4"/>
  <c r="BK3110" i="4"/>
  <c r="BJ3102" i="4"/>
  <c r="BL3102" i="4"/>
  <c r="BK3102" i="4"/>
  <c r="BJ3094" i="4"/>
  <c r="BK3094" i="4"/>
  <c r="BL3094" i="4"/>
  <c r="BJ3086" i="4"/>
  <c r="BK3086" i="4"/>
  <c r="BL3086" i="4"/>
  <c r="BJ3078" i="4"/>
  <c r="BK3078" i="4"/>
  <c r="BL3078" i="4"/>
  <c r="BJ3070" i="4"/>
  <c r="BK3070" i="4"/>
  <c r="BL3070" i="4"/>
  <c r="BJ3062" i="4"/>
  <c r="BL3062" i="4"/>
  <c r="BK3062" i="4"/>
  <c r="BJ3054" i="4"/>
  <c r="BL3054" i="4"/>
  <c r="BK3054" i="4"/>
  <c r="BJ3046" i="4"/>
  <c r="BL3046" i="4"/>
  <c r="BK3046" i="4"/>
  <c r="BJ3038" i="4"/>
  <c r="BL3038" i="4"/>
  <c r="BK3038" i="4"/>
  <c r="BJ3030" i="4"/>
  <c r="BK3030" i="4"/>
  <c r="BL3030" i="4"/>
  <c r="BJ3022" i="4"/>
  <c r="BK3022" i="4"/>
  <c r="BL3022" i="4"/>
  <c r="BJ3014" i="4"/>
  <c r="BK3014" i="4"/>
  <c r="BL3014" i="4"/>
  <c r="BJ3006" i="4"/>
  <c r="BK3006" i="4"/>
  <c r="BL3006" i="4"/>
  <c r="BJ2998" i="4"/>
  <c r="BL2998" i="4"/>
  <c r="BK2998" i="4"/>
  <c r="BJ2990" i="4"/>
  <c r="BL2990" i="4"/>
  <c r="BK2990" i="4"/>
  <c r="BJ2982" i="4"/>
  <c r="BL2982" i="4"/>
  <c r="BK2982" i="4"/>
  <c r="BJ2974" i="4"/>
  <c r="BL2974" i="4"/>
  <c r="BK2974" i="4"/>
  <c r="BJ2966" i="4"/>
  <c r="BK2966" i="4"/>
  <c r="BL2966" i="4"/>
  <c r="BJ2958" i="4"/>
  <c r="BK2958" i="4"/>
  <c r="BL2958" i="4"/>
  <c r="BJ2950" i="4"/>
  <c r="BK2950" i="4"/>
  <c r="BL2950" i="4"/>
  <c r="BJ2942" i="4"/>
  <c r="BK2942" i="4"/>
  <c r="BL2942" i="4"/>
  <c r="BJ2934" i="4"/>
  <c r="BL2934" i="4"/>
  <c r="BK2934" i="4"/>
  <c r="BJ2926" i="4"/>
  <c r="BL2926" i="4"/>
  <c r="BK2926" i="4"/>
  <c r="BJ2918" i="4"/>
  <c r="BL2918" i="4"/>
  <c r="BK2918" i="4"/>
  <c r="BJ2910" i="4"/>
  <c r="BL2910" i="4"/>
  <c r="BK2910" i="4"/>
  <c r="BJ2902" i="4"/>
  <c r="BK2902" i="4"/>
  <c r="BL2902" i="4"/>
  <c r="BJ2894" i="4"/>
  <c r="BK2894" i="4"/>
  <c r="BL2894" i="4"/>
  <c r="BJ2886" i="4"/>
  <c r="BK2886" i="4"/>
  <c r="BL2886" i="4"/>
  <c r="BJ2878" i="4"/>
  <c r="BK2878" i="4"/>
  <c r="BL2878" i="4"/>
  <c r="BJ2870" i="4"/>
  <c r="BL2870" i="4"/>
  <c r="BK2870" i="4"/>
  <c r="BJ2862" i="4"/>
  <c r="BL2862" i="4"/>
  <c r="BK2862" i="4"/>
  <c r="BJ2854" i="4"/>
  <c r="BL2854" i="4"/>
  <c r="BK2854" i="4"/>
  <c r="BJ2846" i="4"/>
  <c r="BL2846" i="4"/>
  <c r="BK2846" i="4"/>
  <c r="BJ2838" i="4"/>
  <c r="BK2838" i="4"/>
  <c r="BL2838" i="4"/>
  <c r="BJ2830" i="4"/>
  <c r="BK2830" i="4"/>
  <c r="BL2830" i="4"/>
  <c r="BJ2822" i="4"/>
  <c r="BK2822" i="4"/>
  <c r="BL2822" i="4"/>
  <c r="BJ2814" i="4"/>
  <c r="BK2814" i="4"/>
  <c r="BL2814" i="4"/>
  <c r="BJ2806" i="4"/>
  <c r="BL2806" i="4"/>
  <c r="BK2806" i="4"/>
  <c r="BJ2798" i="4"/>
  <c r="BL2798" i="4"/>
  <c r="BK2798" i="4"/>
  <c r="BJ2790" i="4"/>
  <c r="BL2790" i="4"/>
  <c r="BK2790" i="4"/>
  <c r="BJ2782" i="4"/>
  <c r="BL2782" i="4"/>
  <c r="BK2782" i="4"/>
  <c r="BJ2774" i="4"/>
  <c r="BK2774" i="4"/>
  <c r="BL2774" i="4"/>
  <c r="BJ2766" i="4"/>
  <c r="BK2766" i="4"/>
  <c r="BL2766" i="4"/>
  <c r="BJ2758" i="4"/>
  <c r="BK2758" i="4"/>
  <c r="BL2758" i="4"/>
  <c r="BJ2750" i="4"/>
  <c r="BK2750" i="4"/>
  <c r="BL2750" i="4"/>
  <c r="BJ2742" i="4"/>
  <c r="BL2742" i="4"/>
  <c r="BK2742" i="4"/>
  <c r="BJ2734" i="4"/>
  <c r="BL2734" i="4"/>
  <c r="BK2734" i="4"/>
  <c r="BJ2726" i="4"/>
  <c r="BL2726" i="4"/>
  <c r="BK2726" i="4"/>
  <c r="BJ2718" i="4"/>
  <c r="BL2718" i="4"/>
  <c r="BK2718" i="4"/>
  <c r="BJ2710" i="4"/>
  <c r="BK2710" i="4"/>
  <c r="BL2710" i="4"/>
  <c r="BJ2702" i="4"/>
  <c r="BK2702" i="4"/>
  <c r="BL2702" i="4"/>
  <c r="BJ2694" i="4"/>
  <c r="BK2694" i="4"/>
  <c r="BL2694" i="4"/>
  <c r="BJ2686" i="4"/>
  <c r="BK2686" i="4"/>
  <c r="BL2686" i="4"/>
  <c r="BJ2678" i="4"/>
  <c r="BL2678" i="4"/>
  <c r="BK2678" i="4"/>
  <c r="BJ2670" i="4"/>
  <c r="BL2670" i="4"/>
  <c r="BK2670" i="4"/>
  <c r="BJ2662" i="4"/>
  <c r="BL2662" i="4"/>
  <c r="BK2662" i="4"/>
  <c r="BJ2654" i="4"/>
  <c r="BL2654" i="4"/>
  <c r="BK2654" i="4"/>
  <c r="BJ2646" i="4"/>
  <c r="BK2646" i="4"/>
  <c r="BL2646" i="4"/>
  <c r="BJ2638" i="4"/>
  <c r="BK2638" i="4"/>
  <c r="BL2638" i="4"/>
  <c r="BJ2630" i="4"/>
  <c r="BK2630" i="4"/>
  <c r="BL2630" i="4"/>
  <c r="BJ2622" i="4"/>
  <c r="BK2622" i="4"/>
  <c r="BL2622" i="4"/>
  <c r="BJ2614" i="4"/>
  <c r="BL2614" i="4"/>
  <c r="BK2614" i="4"/>
  <c r="BJ2606" i="4"/>
  <c r="BL2606" i="4"/>
  <c r="BK2606" i="4"/>
  <c r="BJ2598" i="4"/>
  <c r="BL2598" i="4"/>
  <c r="BK2598" i="4"/>
  <c r="BJ2590" i="4"/>
  <c r="BL2590" i="4"/>
  <c r="BK2590" i="4"/>
  <c r="BJ2582" i="4"/>
  <c r="BK2582" i="4"/>
  <c r="BL2582" i="4"/>
  <c r="BJ2574" i="4"/>
  <c r="BK2574" i="4"/>
  <c r="BL2574" i="4"/>
  <c r="BJ2566" i="4"/>
  <c r="BK2566" i="4"/>
  <c r="BL2566" i="4"/>
  <c r="BJ2558" i="4"/>
  <c r="BK2558" i="4"/>
  <c r="BL2558" i="4"/>
  <c r="BJ2550" i="4"/>
  <c r="BL2550" i="4"/>
  <c r="BK2550" i="4"/>
  <c r="BJ2542" i="4"/>
  <c r="BL2542" i="4"/>
  <c r="BK2542" i="4"/>
  <c r="BJ2534" i="4"/>
  <c r="BL2534" i="4"/>
  <c r="BK2534" i="4"/>
  <c r="BJ2526" i="4"/>
  <c r="BL2526" i="4"/>
  <c r="BK2526" i="4"/>
  <c r="BJ2518" i="4"/>
  <c r="BK2518" i="4"/>
  <c r="BL2518" i="4"/>
  <c r="BJ2510" i="4"/>
  <c r="BK2510" i="4"/>
  <c r="BL2510" i="4"/>
  <c r="BJ2502" i="4"/>
  <c r="BK2502" i="4"/>
  <c r="BL2502" i="4"/>
  <c r="BJ2494" i="4"/>
  <c r="BK2494" i="4"/>
  <c r="BL2494" i="4"/>
  <c r="BJ2486" i="4"/>
  <c r="BL2486" i="4"/>
  <c r="BK2486" i="4"/>
  <c r="BJ2478" i="4"/>
  <c r="BL2478" i="4"/>
  <c r="BK2478" i="4"/>
  <c r="BJ2470" i="4"/>
  <c r="BL2470" i="4"/>
  <c r="BK2470" i="4"/>
  <c r="BJ2462" i="4"/>
  <c r="BL2462" i="4"/>
  <c r="BK2462" i="4"/>
  <c r="BJ2454" i="4"/>
  <c r="BL2454" i="4"/>
  <c r="BK2454" i="4"/>
  <c r="BJ2446" i="4"/>
  <c r="BL2446" i="4"/>
  <c r="BK2446" i="4"/>
  <c r="BJ2438" i="4"/>
  <c r="BL2438" i="4"/>
  <c r="BK2438" i="4"/>
  <c r="BJ2430" i="4"/>
  <c r="BL2430" i="4"/>
  <c r="BK2430" i="4"/>
  <c r="BJ2422" i="4"/>
  <c r="BL2422" i="4"/>
  <c r="BK2422" i="4"/>
  <c r="BJ2414" i="4"/>
  <c r="BL2414" i="4"/>
  <c r="BK2414" i="4"/>
  <c r="BJ2406" i="4"/>
  <c r="BL2406" i="4"/>
  <c r="BK2406" i="4"/>
  <c r="BJ2398" i="4"/>
  <c r="BL2398" i="4"/>
  <c r="BK2398" i="4"/>
  <c r="BJ2390" i="4"/>
  <c r="BL2390" i="4"/>
  <c r="BK2390" i="4"/>
  <c r="BJ2382" i="4"/>
  <c r="BL2382" i="4"/>
  <c r="BK2382" i="4"/>
  <c r="BJ2374" i="4"/>
  <c r="BL2374" i="4"/>
  <c r="BK2374" i="4"/>
  <c r="BJ2366" i="4"/>
  <c r="BL2366" i="4"/>
  <c r="BK2366" i="4"/>
  <c r="BJ2358" i="4"/>
  <c r="BL2358" i="4"/>
  <c r="BK2358" i="4"/>
  <c r="BJ2350" i="4"/>
  <c r="BL2350" i="4"/>
  <c r="BK2350" i="4"/>
  <c r="BJ2342" i="4"/>
  <c r="BL2342" i="4"/>
  <c r="BK2342" i="4"/>
  <c r="BJ2334" i="4"/>
  <c r="BL2334" i="4"/>
  <c r="BK2334" i="4"/>
  <c r="BJ2326" i="4"/>
  <c r="BL2326" i="4"/>
  <c r="BK2326" i="4"/>
  <c r="BJ2318" i="4"/>
  <c r="BL2318" i="4"/>
  <c r="BK2318" i="4"/>
  <c r="BJ2310" i="4"/>
  <c r="BL2310" i="4"/>
  <c r="BK2310" i="4"/>
  <c r="BJ2302" i="4"/>
  <c r="BL2302" i="4"/>
  <c r="BK2302" i="4"/>
  <c r="BJ2294" i="4"/>
  <c r="BL2294" i="4"/>
  <c r="BK2294" i="4"/>
  <c r="BJ2286" i="4"/>
  <c r="BL2286" i="4"/>
  <c r="BK2286" i="4"/>
  <c r="BJ2278" i="4"/>
  <c r="BL2278" i="4"/>
  <c r="BK2278" i="4"/>
  <c r="BJ2270" i="4"/>
  <c r="BL2270" i="4"/>
  <c r="BK2270" i="4"/>
  <c r="BJ2262" i="4"/>
  <c r="BL2262" i="4"/>
  <c r="BK2262" i="4"/>
  <c r="BJ2254" i="4"/>
  <c r="BL2254" i="4"/>
  <c r="BK2254" i="4"/>
  <c r="BJ2246" i="4"/>
  <c r="BL2246" i="4"/>
  <c r="BK2246" i="4"/>
  <c r="BJ2238" i="4"/>
  <c r="BL2238" i="4"/>
  <c r="BK2238" i="4"/>
  <c r="BJ2230" i="4"/>
  <c r="BL2230" i="4"/>
  <c r="BK2230" i="4"/>
  <c r="BJ2222" i="4"/>
  <c r="BL2222" i="4"/>
  <c r="BK2222" i="4"/>
  <c r="BJ2214" i="4"/>
  <c r="BL2214" i="4"/>
  <c r="BK2214" i="4"/>
  <c r="BJ2206" i="4"/>
  <c r="BL2206" i="4"/>
  <c r="BK2206" i="4"/>
  <c r="BJ2198" i="4"/>
  <c r="BL2198" i="4"/>
  <c r="BK2198" i="4"/>
  <c r="BJ2190" i="4"/>
  <c r="BL2190" i="4"/>
  <c r="BK2190" i="4"/>
  <c r="BJ2182" i="4"/>
  <c r="BL2182" i="4"/>
  <c r="BK2182" i="4"/>
  <c r="BJ2174" i="4"/>
  <c r="BL2174" i="4"/>
  <c r="BK2174" i="4"/>
  <c r="BJ2166" i="4"/>
  <c r="BL2166" i="4"/>
  <c r="BK2166" i="4"/>
  <c r="BJ2158" i="4"/>
  <c r="BL2158" i="4"/>
  <c r="BK2158" i="4"/>
  <c r="BJ2150" i="4"/>
  <c r="BL2150" i="4"/>
  <c r="BK2150" i="4"/>
  <c r="BJ2142" i="4"/>
  <c r="BL2142" i="4"/>
  <c r="BK2142" i="4"/>
  <c r="BJ2134" i="4"/>
  <c r="BL2134" i="4"/>
  <c r="BK2134" i="4"/>
  <c r="BJ2126" i="4"/>
  <c r="BL2126" i="4"/>
  <c r="BK2126" i="4"/>
  <c r="BJ2118" i="4"/>
  <c r="BL2118" i="4"/>
  <c r="BK2118" i="4"/>
  <c r="BJ2110" i="4"/>
  <c r="BL2110" i="4"/>
  <c r="BK2110" i="4"/>
  <c r="BJ2102" i="4"/>
  <c r="BL2102" i="4"/>
  <c r="BK2102" i="4"/>
  <c r="BJ2094" i="4"/>
  <c r="BL2094" i="4"/>
  <c r="BK2094" i="4"/>
  <c r="BJ2086" i="4"/>
  <c r="BL2086" i="4"/>
  <c r="BK2086" i="4"/>
  <c r="BJ2078" i="4"/>
  <c r="BL2078" i="4"/>
  <c r="BK2078" i="4"/>
  <c r="BJ2070" i="4"/>
  <c r="BL2070" i="4"/>
  <c r="BK2070" i="4"/>
  <c r="BJ2062" i="4"/>
  <c r="BL2062" i="4"/>
  <c r="BK2062" i="4"/>
  <c r="BJ2054" i="4"/>
  <c r="BL2054" i="4"/>
  <c r="BK2054" i="4"/>
  <c r="BJ2046" i="4"/>
  <c r="BL2046" i="4"/>
  <c r="BK2046" i="4"/>
  <c r="BJ2038" i="4"/>
  <c r="BL2038" i="4"/>
  <c r="BK2038" i="4"/>
  <c r="BJ2030" i="4"/>
  <c r="BL2030" i="4"/>
  <c r="BK2030" i="4"/>
  <c r="BJ2022" i="4"/>
  <c r="BL2022" i="4"/>
  <c r="BK2022" i="4"/>
  <c r="BJ2014" i="4"/>
  <c r="BL2014" i="4"/>
  <c r="BK2014" i="4"/>
  <c r="BJ2006" i="4"/>
  <c r="BL2006" i="4"/>
  <c r="BK2006" i="4"/>
  <c r="BJ1998" i="4"/>
  <c r="BL1998" i="4"/>
  <c r="BK1998" i="4"/>
  <c r="BJ1990" i="4"/>
  <c r="BL1990" i="4"/>
  <c r="BK1990" i="4"/>
  <c r="BJ1982" i="4"/>
  <c r="BL1982" i="4"/>
  <c r="BK1982" i="4"/>
  <c r="BJ1974" i="4"/>
  <c r="BL1974" i="4"/>
  <c r="BK1974" i="4"/>
  <c r="BJ1966" i="4"/>
  <c r="BL1966" i="4"/>
  <c r="BK1966" i="4"/>
  <c r="BJ1958" i="4"/>
  <c r="BL1958" i="4"/>
  <c r="BK1958" i="4"/>
  <c r="BJ1950" i="4"/>
  <c r="BL1950" i="4"/>
  <c r="BK1950" i="4"/>
  <c r="BJ1942" i="4"/>
  <c r="BL1942" i="4"/>
  <c r="BK1942" i="4"/>
  <c r="BJ1934" i="4"/>
  <c r="BL1934" i="4"/>
  <c r="BK1934" i="4"/>
  <c r="BJ1926" i="4"/>
  <c r="BL1926" i="4"/>
  <c r="BK1926" i="4"/>
  <c r="BJ1918" i="4"/>
  <c r="BL1918" i="4"/>
  <c r="BK1918" i="4"/>
  <c r="BJ1910" i="4"/>
  <c r="BL1910" i="4"/>
  <c r="BK1910" i="4"/>
  <c r="BJ1902" i="4"/>
  <c r="BL1902" i="4"/>
  <c r="BK1902" i="4"/>
  <c r="BJ1894" i="4"/>
  <c r="BL1894" i="4"/>
  <c r="BK1894" i="4"/>
  <c r="BJ1886" i="4"/>
  <c r="BL1886" i="4"/>
  <c r="BK1886" i="4"/>
  <c r="BJ1878" i="4"/>
  <c r="BL1878" i="4"/>
  <c r="BK1878" i="4"/>
  <c r="BJ1870" i="4"/>
  <c r="BL1870" i="4"/>
  <c r="BK1870" i="4"/>
  <c r="BJ1862" i="4"/>
  <c r="BL1862" i="4"/>
  <c r="BK1862" i="4"/>
  <c r="BJ1854" i="4"/>
  <c r="BL1854" i="4"/>
  <c r="BK1854" i="4"/>
  <c r="BJ1846" i="4"/>
  <c r="BL1846" i="4"/>
  <c r="BK1846" i="4"/>
  <c r="BJ1838" i="4"/>
  <c r="BL1838" i="4"/>
  <c r="BK1838" i="4"/>
  <c r="BJ1830" i="4"/>
  <c r="BL1830" i="4"/>
  <c r="BK1830" i="4"/>
  <c r="BJ1822" i="4"/>
  <c r="BL1822" i="4"/>
  <c r="BK1822" i="4"/>
  <c r="BJ1814" i="4"/>
  <c r="BL1814" i="4"/>
  <c r="BK1814" i="4"/>
  <c r="BJ1806" i="4"/>
  <c r="BL1806" i="4"/>
  <c r="BK1806" i="4"/>
  <c r="BJ1798" i="4"/>
  <c r="BL1798" i="4"/>
  <c r="BK1798" i="4"/>
  <c r="BJ1790" i="4"/>
  <c r="BL1790" i="4"/>
  <c r="BK1790" i="4"/>
  <c r="BJ1782" i="4"/>
  <c r="BL1782" i="4"/>
  <c r="BK1782" i="4"/>
  <c r="BJ1774" i="4"/>
  <c r="BL1774" i="4"/>
  <c r="BK1774" i="4"/>
  <c r="BJ1766" i="4"/>
  <c r="BL1766" i="4"/>
  <c r="BK1766" i="4"/>
  <c r="BJ1758" i="4"/>
  <c r="BL1758" i="4"/>
  <c r="BK1758" i="4"/>
  <c r="BJ1750" i="4"/>
  <c r="BL1750" i="4"/>
  <c r="BK1750" i="4"/>
  <c r="BJ1742" i="4"/>
  <c r="BL1742" i="4"/>
  <c r="BK1742" i="4"/>
  <c r="BJ1734" i="4"/>
  <c r="BL1734" i="4"/>
  <c r="BK1734" i="4"/>
  <c r="BJ1726" i="4"/>
  <c r="BL1726" i="4"/>
  <c r="BK1726" i="4"/>
  <c r="BJ1718" i="4"/>
  <c r="BL1718" i="4"/>
  <c r="BK1718" i="4"/>
  <c r="BJ1710" i="4"/>
  <c r="BL1710" i="4"/>
  <c r="BK1710" i="4"/>
  <c r="BJ1702" i="4"/>
  <c r="BL1702" i="4"/>
  <c r="BK1702" i="4"/>
  <c r="BJ1694" i="4"/>
  <c r="BL1694" i="4"/>
  <c r="BK1694" i="4"/>
  <c r="BJ1686" i="4"/>
  <c r="BL1686" i="4"/>
  <c r="BK1686" i="4"/>
  <c r="BJ1678" i="4"/>
  <c r="BL1678" i="4"/>
  <c r="BK1678" i="4"/>
  <c r="BJ1670" i="4"/>
  <c r="BL1670" i="4"/>
  <c r="BK1670" i="4"/>
  <c r="BJ1662" i="4"/>
  <c r="BL1662" i="4"/>
  <c r="BK1662" i="4"/>
  <c r="BJ1654" i="4"/>
  <c r="BL1654" i="4"/>
  <c r="BK1654" i="4"/>
  <c r="BJ1646" i="4"/>
  <c r="BL1646" i="4"/>
  <c r="BK1646" i="4"/>
  <c r="BJ1638" i="4"/>
  <c r="BL1638" i="4"/>
  <c r="BK1638" i="4"/>
  <c r="BJ1630" i="4"/>
  <c r="BL1630" i="4"/>
  <c r="BK1630" i="4"/>
  <c r="BJ1622" i="4"/>
  <c r="BL1622" i="4"/>
  <c r="BK1622" i="4"/>
  <c r="BJ1614" i="4"/>
  <c r="BL1614" i="4"/>
  <c r="BK1614" i="4"/>
  <c r="BJ1606" i="4"/>
  <c r="BL1606" i="4"/>
  <c r="BK1606" i="4"/>
  <c r="BJ1598" i="4"/>
  <c r="BL1598" i="4"/>
  <c r="BK1598" i="4"/>
  <c r="BJ1590" i="4"/>
  <c r="BL1590" i="4"/>
  <c r="BK1590" i="4"/>
  <c r="BJ1582" i="4"/>
  <c r="BL1582" i="4"/>
  <c r="BK1582" i="4"/>
  <c r="BJ1574" i="4"/>
  <c r="BL1574" i="4"/>
  <c r="BK1574" i="4"/>
  <c r="BJ1566" i="4"/>
  <c r="BL1566" i="4"/>
  <c r="BK1566" i="4"/>
  <c r="BJ1558" i="4"/>
  <c r="BL1558" i="4"/>
  <c r="BK1558" i="4"/>
  <c r="BJ1550" i="4"/>
  <c r="BL1550" i="4"/>
  <c r="BK1550" i="4"/>
  <c r="BJ1542" i="4"/>
  <c r="BL1542" i="4"/>
  <c r="BK1542" i="4"/>
  <c r="BJ1534" i="4"/>
  <c r="BL1534" i="4"/>
  <c r="BK1534" i="4"/>
  <c r="BJ1526" i="4"/>
  <c r="BL1526" i="4"/>
  <c r="BK1526" i="4"/>
  <c r="BJ1518" i="4"/>
  <c r="BL1518" i="4"/>
  <c r="BK1518" i="4"/>
  <c r="BJ1510" i="4"/>
  <c r="BL1510" i="4"/>
  <c r="BK1510" i="4"/>
  <c r="BJ1502" i="4"/>
  <c r="BL1502" i="4"/>
  <c r="BK1502" i="4"/>
  <c r="BJ1494" i="4"/>
  <c r="BL1494" i="4"/>
  <c r="BK1494" i="4"/>
  <c r="BJ1486" i="4"/>
  <c r="BL1486" i="4"/>
  <c r="BK1486" i="4"/>
  <c r="BJ1478" i="4"/>
  <c r="BL1478" i="4"/>
  <c r="BK1478" i="4"/>
  <c r="BJ1470" i="4"/>
  <c r="BL1470" i="4"/>
  <c r="BK1470" i="4"/>
  <c r="BJ1462" i="4"/>
  <c r="BL1462" i="4"/>
  <c r="BK1462" i="4"/>
  <c r="BJ1454" i="4"/>
  <c r="BL1454" i="4"/>
  <c r="BK1454" i="4"/>
  <c r="BJ1446" i="4"/>
  <c r="BL1446" i="4"/>
  <c r="BK1446" i="4"/>
  <c r="BJ1438" i="4"/>
  <c r="BL1438" i="4"/>
  <c r="BK1438" i="4"/>
  <c r="BJ1430" i="4"/>
  <c r="BL1430" i="4"/>
  <c r="BK1430" i="4"/>
  <c r="BJ1422" i="4"/>
  <c r="BL1422" i="4"/>
  <c r="BK1422" i="4"/>
  <c r="BJ1414" i="4"/>
  <c r="BL1414" i="4"/>
  <c r="BK1414" i="4"/>
  <c r="BJ1406" i="4"/>
  <c r="BL1406" i="4"/>
  <c r="BK1406" i="4"/>
  <c r="BJ1398" i="4"/>
  <c r="BL1398" i="4"/>
  <c r="BK1398" i="4"/>
  <c r="BJ1390" i="4"/>
  <c r="BL1390" i="4"/>
  <c r="BK1390" i="4"/>
  <c r="BJ1382" i="4"/>
  <c r="BL1382" i="4"/>
  <c r="BK1382" i="4"/>
  <c r="BJ1374" i="4"/>
  <c r="BL1374" i="4"/>
  <c r="BK1374" i="4"/>
  <c r="BJ1366" i="4"/>
  <c r="BL1366" i="4"/>
  <c r="BK1366" i="4"/>
  <c r="BJ1358" i="4"/>
  <c r="BL1358" i="4"/>
  <c r="BK1358" i="4"/>
  <c r="BJ1350" i="4"/>
  <c r="BL1350" i="4"/>
  <c r="BK1350" i="4"/>
  <c r="BJ1342" i="4"/>
  <c r="BL1342" i="4"/>
  <c r="BK1342" i="4"/>
  <c r="BJ1334" i="4"/>
  <c r="BL1334" i="4"/>
  <c r="BK1334" i="4"/>
  <c r="BJ1326" i="4"/>
  <c r="BL1326" i="4"/>
  <c r="BK1326" i="4"/>
  <c r="BJ1318" i="4"/>
  <c r="BL1318" i="4"/>
  <c r="BK1318" i="4"/>
  <c r="BJ1310" i="4"/>
  <c r="BL1310" i="4"/>
  <c r="BK1310" i="4"/>
  <c r="BJ1302" i="4"/>
  <c r="BL1302" i="4"/>
  <c r="BK1302" i="4"/>
  <c r="BJ1294" i="4"/>
  <c r="BL1294" i="4"/>
  <c r="BK1294" i="4"/>
  <c r="BJ1286" i="4"/>
  <c r="BL1286" i="4"/>
  <c r="BK1286" i="4"/>
  <c r="BJ1278" i="4"/>
  <c r="BL1278" i="4"/>
  <c r="BK1278" i="4"/>
  <c r="BJ1270" i="4"/>
  <c r="BL1270" i="4"/>
  <c r="BK1270" i="4"/>
  <c r="BJ1262" i="4"/>
  <c r="BL1262" i="4"/>
  <c r="BK1262" i="4"/>
  <c r="BJ1254" i="4"/>
  <c r="BL1254" i="4"/>
  <c r="BK1254" i="4"/>
  <c r="BJ1246" i="4"/>
  <c r="BL1246" i="4"/>
  <c r="BK1246" i="4"/>
  <c r="BJ1238" i="4"/>
  <c r="BL1238" i="4"/>
  <c r="BK1238" i="4"/>
  <c r="BJ1230" i="4"/>
  <c r="BL1230" i="4"/>
  <c r="BK1230" i="4"/>
  <c r="BJ1222" i="4"/>
  <c r="BL1222" i="4"/>
  <c r="BK1222" i="4"/>
  <c r="BJ1214" i="4"/>
  <c r="BL1214" i="4"/>
  <c r="BK1214" i="4"/>
  <c r="BJ1206" i="4"/>
  <c r="BL1206" i="4"/>
  <c r="BK1206" i="4"/>
  <c r="BJ1198" i="4"/>
  <c r="BL1198" i="4"/>
  <c r="BK1198" i="4"/>
  <c r="BJ1190" i="4"/>
  <c r="BL1190" i="4"/>
  <c r="BK1190" i="4"/>
  <c r="BJ1182" i="4"/>
  <c r="BL1182" i="4"/>
  <c r="BK1182" i="4"/>
  <c r="BJ1174" i="4"/>
  <c r="BL1174" i="4"/>
  <c r="BK1174" i="4"/>
  <c r="BJ1166" i="4"/>
  <c r="BL1166" i="4"/>
  <c r="BK1166" i="4"/>
  <c r="BJ1158" i="4"/>
  <c r="BL1158" i="4"/>
  <c r="BK1158" i="4"/>
  <c r="BJ1150" i="4"/>
  <c r="BL1150" i="4"/>
  <c r="BK1150" i="4"/>
  <c r="BJ1142" i="4"/>
  <c r="BL1142" i="4"/>
  <c r="BK1142" i="4"/>
  <c r="BJ1134" i="4"/>
  <c r="BL1134" i="4"/>
  <c r="BK1134" i="4"/>
  <c r="BJ1126" i="4"/>
  <c r="BL1126" i="4"/>
  <c r="BK1126" i="4"/>
  <c r="BJ1118" i="4"/>
  <c r="BL1118" i="4"/>
  <c r="BK1118" i="4"/>
  <c r="BJ1110" i="4"/>
  <c r="BL1110" i="4"/>
  <c r="BK1110" i="4"/>
  <c r="BJ1102" i="4"/>
  <c r="BL1102" i="4"/>
  <c r="BK1102" i="4"/>
  <c r="BJ1094" i="4"/>
  <c r="BL1094" i="4"/>
  <c r="BK1094" i="4"/>
  <c r="BJ1086" i="4"/>
  <c r="BL1086" i="4"/>
  <c r="BK1086" i="4"/>
  <c r="BJ1078" i="4"/>
  <c r="BL1078" i="4"/>
  <c r="BK1078" i="4"/>
  <c r="BJ1070" i="4"/>
  <c r="BL1070" i="4"/>
  <c r="BK1070" i="4"/>
  <c r="BJ1062" i="4"/>
  <c r="BL1062" i="4"/>
  <c r="BK1062" i="4"/>
  <c r="BJ1054" i="4"/>
  <c r="BL1054" i="4"/>
  <c r="BK1054" i="4"/>
  <c r="BJ1046" i="4"/>
  <c r="BL1046" i="4"/>
  <c r="BK1046" i="4"/>
  <c r="BJ1038" i="4"/>
  <c r="BL1038" i="4"/>
  <c r="BK1038" i="4"/>
  <c r="BJ1030" i="4"/>
  <c r="BL1030" i="4"/>
  <c r="BK1030" i="4"/>
  <c r="BJ1022" i="4"/>
  <c r="BL1022" i="4"/>
  <c r="BK1022" i="4"/>
  <c r="BJ1014" i="4"/>
  <c r="BL1014" i="4"/>
  <c r="BK1014" i="4"/>
  <c r="BJ1006" i="4"/>
  <c r="BL1006" i="4"/>
  <c r="BK1006" i="4"/>
  <c r="BJ998" i="4"/>
  <c r="BL998" i="4"/>
  <c r="BK998" i="4"/>
  <c r="BJ990" i="4"/>
  <c r="BL990" i="4"/>
  <c r="BK990" i="4"/>
  <c r="BJ982" i="4"/>
  <c r="BL982" i="4"/>
  <c r="BK982" i="4"/>
  <c r="BJ974" i="4"/>
  <c r="BL974" i="4"/>
  <c r="BK974" i="4"/>
  <c r="BJ966" i="4"/>
  <c r="BL966" i="4"/>
  <c r="BK966" i="4"/>
  <c r="BJ958" i="4"/>
  <c r="BL958" i="4"/>
  <c r="BK958" i="4"/>
  <c r="BJ950" i="4"/>
  <c r="BL950" i="4"/>
  <c r="BK950" i="4"/>
  <c r="BJ942" i="4"/>
  <c r="BL942" i="4"/>
  <c r="BK942" i="4"/>
  <c r="BJ934" i="4"/>
  <c r="BL934" i="4"/>
  <c r="BK934" i="4"/>
  <c r="BJ926" i="4"/>
  <c r="BL926" i="4"/>
  <c r="BK926" i="4"/>
  <c r="BJ918" i="4"/>
  <c r="BL918" i="4"/>
  <c r="BK918" i="4"/>
  <c r="BJ910" i="4"/>
  <c r="BL910" i="4"/>
  <c r="BK910" i="4"/>
  <c r="BJ902" i="4"/>
  <c r="BL902" i="4"/>
  <c r="BK902" i="4"/>
  <c r="BJ894" i="4"/>
  <c r="BL894" i="4"/>
  <c r="BK894" i="4"/>
  <c r="BJ886" i="4"/>
  <c r="BL886" i="4"/>
  <c r="BK886" i="4"/>
  <c r="BJ878" i="4"/>
  <c r="BL878" i="4"/>
  <c r="BK878" i="4"/>
  <c r="BJ870" i="4"/>
  <c r="BL870" i="4"/>
  <c r="BK870" i="4"/>
  <c r="BJ862" i="4"/>
  <c r="BL862" i="4"/>
  <c r="BK862" i="4"/>
  <c r="BJ854" i="4"/>
  <c r="BL854" i="4"/>
  <c r="BK854" i="4"/>
  <c r="BJ846" i="4"/>
  <c r="BL846" i="4"/>
  <c r="BK846" i="4"/>
  <c r="BJ838" i="4"/>
  <c r="BL838" i="4"/>
  <c r="BK838" i="4"/>
  <c r="BJ830" i="4"/>
  <c r="BL830" i="4"/>
  <c r="BK830" i="4"/>
  <c r="BJ822" i="4"/>
  <c r="BL822" i="4"/>
  <c r="BK822" i="4"/>
  <c r="BJ814" i="4"/>
  <c r="BL814" i="4"/>
  <c r="BK814" i="4"/>
  <c r="BJ806" i="4"/>
  <c r="BL806" i="4"/>
  <c r="BK806" i="4"/>
  <c r="BJ798" i="4"/>
  <c r="BL798" i="4"/>
  <c r="BK798" i="4"/>
  <c r="BJ790" i="4"/>
  <c r="BL790" i="4"/>
  <c r="BK790" i="4"/>
  <c r="BJ782" i="4"/>
  <c r="BL782" i="4"/>
  <c r="BK782" i="4"/>
  <c r="BJ774" i="4"/>
  <c r="BL774" i="4"/>
  <c r="BK774" i="4"/>
  <c r="BJ766" i="4"/>
  <c r="BL766" i="4"/>
  <c r="BK766" i="4"/>
  <c r="BJ758" i="4"/>
  <c r="BL758" i="4"/>
  <c r="BK758" i="4"/>
  <c r="BJ750" i="4"/>
  <c r="BL750" i="4"/>
  <c r="BK750" i="4"/>
  <c r="BJ742" i="4"/>
  <c r="BL742" i="4"/>
  <c r="BK742" i="4"/>
  <c r="BJ734" i="4"/>
  <c r="BL734" i="4"/>
  <c r="BK734" i="4"/>
  <c r="BJ726" i="4"/>
  <c r="BL726" i="4"/>
  <c r="BK726" i="4"/>
  <c r="BJ718" i="4"/>
  <c r="BL718" i="4"/>
  <c r="BK718" i="4"/>
  <c r="BJ710" i="4"/>
  <c r="BL710" i="4"/>
  <c r="BK710" i="4"/>
  <c r="BJ702" i="4"/>
  <c r="BL702" i="4"/>
  <c r="BK702" i="4"/>
  <c r="BJ694" i="4"/>
  <c r="BL694" i="4"/>
  <c r="BK694" i="4"/>
  <c r="BJ686" i="4"/>
  <c r="BL686" i="4"/>
  <c r="BK686" i="4"/>
  <c r="BJ678" i="4"/>
  <c r="BL678" i="4"/>
  <c r="BK678" i="4"/>
  <c r="BJ670" i="4"/>
  <c r="BL670" i="4"/>
  <c r="BK670" i="4"/>
  <c r="BJ662" i="4"/>
  <c r="BL662" i="4"/>
  <c r="BK662" i="4"/>
  <c r="BJ654" i="4"/>
  <c r="BL654" i="4"/>
  <c r="BK654" i="4"/>
  <c r="BJ646" i="4"/>
  <c r="BL646" i="4"/>
  <c r="BK646" i="4"/>
  <c r="BJ638" i="4"/>
  <c r="BL638" i="4"/>
  <c r="BK638" i="4"/>
  <c r="BJ630" i="4"/>
  <c r="BL630" i="4"/>
  <c r="BK630" i="4"/>
  <c r="BJ622" i="4"/>
  <c r="BL622" i="4"/>
  <c r="BK622" i="4"/>
  <c r="BJ614" i="4"/>
  <c r="BL614" i="4"/>
  <c r="BK614" i="4"/>
  <c r="BJ606" i="4"/>
  <c r="BL606" i="4"/>
  <c r="BK606" i="4"/>
  <c r="BJ598" i="4"/>
  <c r="BL598" i="4"/>
  <c r="BK598" i="4"/>
  <c r="BJ590" i="4"/>
  <c r="BL590" i="4"/>
  <c r="BK590" i="4"/>
  <c r="BJ582" i="4"/>
  <c r="BL582" i="4"/>
  <c r="BK582" i="4"/>
  <c r="BJ574" i="4"/>
  <c r="BL574" i="4"/>
  <c r="BK574" i="4"/>
  <c r="BJ566" i="4"/>
  <c r="BL566" i="4"/>
  <c r="BK566" i="4"/>
  <c r="BJ558" i="4"/>
  <c r="BL558" i="4"/>
  <c r="BK558" i="4"/>
  <c r="BJ550" i="4"/>
  <c r="BL550" i="4"/>
  <c r="BK550" i="4"/>
  <c r="BJ542" i="4"/>
  <c r="BL542" i="4"/>
  <c r="BK542" i="4"/>
  <c r="BJ534" i="4"/>
  <c r="BL534" i="4"/>
  <c r="BK534" i="4"/>
  <c r="BJ526" i="4"/>
  <c r="BL526" i="4"/>
  <c r="BK526" i="4"/>
  <c r="BJ518" i="4"/>
  <c r="BL518" i="4"/>
  <c r="BK518" i="4"/>
  <c r="BJ510" i="4"/>
  <c r="BL510" i="4"/>
  <c r="BK510" i="4"/>
  <c r="BJ502" i="4"/>
  <c r="BL502" i="4"/>
  <c r="BK502" i="4"/>
  <c r="BJ494" i="4"/>
  <c r="BL494" i="4"/>
  <c r="BK494" i="4"/>
  <c r="BJ486" i="4"/>
  <c r="BL486" i="4"/>
  <c r="BK486" i="4"/>
  <c r="BJ478" i="4"/>
  <c r="BL478" i="4"/>
  <c r="BK478" i="4"/>
  <c r="BJ470" i="4"/>
  <c r="BL470" i="4"/>
  <c r="BK470" i="4"/>
  <c r="BJ462" i="4"/>
  <c r="BL462" i="4"/>
  <c r="BK462" i="4"/>
  <c r="BJ454" i="4"/>
  <c r="BL454" i="4"/>
  <c r="BK454" i="4"/>
  <c r="BJ446" i="4"/>
  <c r="BL446" i="4"/>
  <c r="BK446" i="4"/>
  <c r="BJ438" i="4"/>
  <c r="BL438" i="4"/>
  <c r="BK438" i="4"/>
  <c r="BJ430" i="4"/>
  <c r="BL430" i="4"/>
  <c r="BK430" i="4"/>
  <c r="BJ422" i="4"/>
  <c r="BL422" i="4"/>
  <c r="BK422" i="4"/>
  <c r="BJ414" i="4"/>
  <c r="BL414" i="4"/>
  <c r="BK414" i="4"/>
  <c r="BJ406" i="4"/>
  <c r="BL406" i="4"/>
  <c r="BK406" i="4"/>
  <c r="BJ398" i="4"/>
  <c r="BL398" i="4"/>
  <c r="BK398" i="4"/>
  <c r="BJ390" i="4"/>
  <c r="BL390" i="4"/>
  <c r="BK390" i="4"/>
  <c r="BJ382" i="4"/>
  <c r="BL382" i="4"/>
  <c r="BK382" i="4"/>
  <c r="BJ374" i="4"/>
  <c r="BL374" i="4"/>
  <c r="BK374" i="4"/>
  <c r="BJ366" i="4"/>
  <c r="BL366" i="4"/>
  <c r="BK366" i="4"/>
  <c r="BJ358" i="4"/>
  <c r="BL358" i="4"/>
  <c r="BK358" i="4"/>
  <c r="BJ350" i="4"/>
  <c r="BL350" i="4"/>
  <c r="BK350" i="4"/>
  <c r="BJ342" i="4"/>
  <c r="BL342" i="4"/>
  <c r="BK342" i="4"/>
  <c r="BJ334" i="4"/>
  <c r="BL334" i="4"/>
  <c r="BK334" i="4"/>
  <c r="BJ326" i="4"/>
  <c r="BL326" i="4"/>
  <c r="BK326" i="4"/>
  <c r="BJ5320" i="4"/>
  <c r="BL5320" i="4"/>
  <c r="BK5320" i="4"/>
  <c r="BJ5264" i="4"/>
  <c r="BL5264" i="4"/>
  <c r="BK5264" i="4"/>
  <c r="BJ5192" i="4"/>
  <c r="BL5192" i="4"/>
  <c r="BK5192" i="4"/>
  <c r="BJ5136" i="4"/>
  <c r="BL5136" i="4"/>
  <c r="BK5136" i="4"/>
  <c r="BJ5080" i="4"/>
  <c r="BL5080" i="4"/>
  <c r="BK5080" i="4"/>
  <c r="BJ5024" i="4"/>
  <c r="BL5024" i="4"/>
  <c r="BK5024" i="4"/>
  <c r="BJ4968" i="4"/>
  <c r="BL4968" i="4"/>
  <c r="BK4968" i="4"/>
  <c r="BJ4912" i="4"/>
  <c r="BL4912" i="4"/>
  <c r="BK4912" i="4"/>
  <c r="BJ4856" i="4"/>
  <c r="BL4856" i="4"/>
  <c r="BK4856" i="4"/>
  <c r="BJ4800" i="4"/>
  <c r="BL4800" i="4"/>
  <c r="BK4800" i="4"/>
  <c r="BJ4744" i="4"/>
  <c r="BL4744" i="4"/>
  <c r="BK4744" i="4"/>
  <c r="BJ4696" i="4"/>
  <c r="BL4696" i="4"/>
  <c r="BK4696" i="4"/>
  <c r="BJ4640" i="4"/>
  <c r="BK4640" i="4"/>
  <c r="BL4640" i="4"/>
  <c r="BJ4584" i="4"/>
  <c r="BL4584" i="4"/>
  <c r="BK4584" i="4"/>
  <c r="BJ4528" i="4"/>
  <c r="BL4528" i="4"/>
  <c r="BK4528" i="4"/>
  <c r="BJ4472" i="4"/>
  <c r="BL4472" i="4"/>
  <c r="BK4472" i="4"/>
  <c r="BJ4416" i="4"/>
  <c r="BK4416" i="4"/>
  <c r="BL4416" i="4"/>
  <c r="BJ4352" i="4"/>
  <c r="BK4352" i="4"/>
  <c r="BL4352" i="4"/>
  <c r="BJ4304" i="4"/>
  <c r="BL4304" i="4"/>
  <c r="BK4304" i="4"/>
  <c r="BJ4248" i="4"/>
  <c r="BK4248" i="4"/>
  <c r="BL4248" i="4"/>
  <c r="BJ4192" i="4"/>
  <c r="BL4192" i="4"/>
  <c r="BK4192" i="4"/>
  <c r="BJ4128" i="4"/>
  <c r="BL4128" i="4"/>
  <c r="BK4128" i="4"/>
  <c r="BJ4072" i="4"/>
  <c r="BL4072" i="4"/>
  <c r="BK4072" i="4"/>
  <c r="BJ4016" i="4"/>
  <c r="BL4016" i="4"/>
  <c r="BK4016" i="4"/>
  <c r="BJ3960" i="4"/>
  <c r="BL3960" i="4"/>
  <c r="BK3960" i="4"/>
  <c r="BJ3896" i="4"/>
  <c r="BL3896" i="4"/>
  <c r="BK3896" i="4"/>
  <c r="BJ3840" i="4"/>
  <c r="BL3840" i="4"/>
  <c r="BK3840" i="4"/>
  <c r="BJ3800" i="4"/>
  <c r="BL3800" i="4"/>
  <c r="BK3800" i="4"/>
  <c r="BJ3744" i="4"/>
  <c r="BL3744" i="4"/>
  <c r="BK3744" i="4"/>
  <c r="BJ3680" i="4"/>
  <c r="BL3680" i="4"/>
  <c r="BK3680" i="4"/>
  <c r="BJ3624" i="4"/>
  <c r="BL3624" i="4"/>
  <c r="BK3624" i="4"/>
  <c r="BL3560" i="4"/>
  <c r="BJ3560" i="4"/>
  <c r="BK3560" i="4"/>
  <c r="BJ3504" i="4"/>
  <c r="BL3504" i="4"/>
  <c r="BK3504" i="4"/>
  <c r="BJ3440" i="4"/>
  <c r="BL3440" i="4"/>
  <c r="BK3440" i="4"/>
  <c r="BJ3384" i="4"/>
  <c r="BL3384" i="4"/>
  <c r="BK3384" i="4"/>
  <c r="BJ3328" i="4"/>
  <c r="BL3328" i="4"/>
  <c r="BK3328" i="4"/>
  <c r="BJ3272" i="4"/>
  <c r="BL3272" i="4"/>
  <c r="BK3272" i="4"/>
  <c r="BJ3224" i="4"/>
  <c r="BL3224" i="4"/>
  <c r="BK3224" i="4"/>
  <c r="BJ3176" i="4"/>
  <c r="BL3176" i="4"/>
  <c r="BK3176" i="4"/>
  <c r="BJ3128" i="4"/>
  <c r="BL3128" i="4"/>
  <c r="BK3128" i="4"/>
  <c r="BJ3072" i="4"/>
  <c r="BL3072" i="4"/>
  <c r="BK3072" i="4"/>
  <c r="BJ3016" i="4"/>
  <c r="BL3016" i="4"/>
  <c r="BK3016" i="4"/>
  <c r="BJ2960" i="4"/>
  <c r="BL2960" i="4"/>
  <c r="BK2960" i="4"/>
  <c r="BJ2904" i="4"/>
  <c r="BL2904" i="4"/>
  <c r="BK2904" i="4"/>
  <c r="BJ2856" i="4"/>
  <c r="BL2856" i="4"/>
  <c r="BK2856" i="4"/>
  <c r="BJ2808" i="4"/>
  <c r="BL2808" i="4"/>
  <c r="BK2808" i="4"/>
  <c r="BJ2752" i="4"/>
  <c r="BL2752" i="4"/>
  <c r="BK2752" i="4"/>
  <c r="BJ2688" i="4"/>
  <c r="BL2688" i="4"/>
  <c r="BK2688" i="4"/>
  <c r="BJ2632" i="4"/>
  <c r="BL2632" i="4"/>
  <c r="BK2632" i="4"/>
  <c r="BJ2576" i="4"/>
  <c r="BL2576" i="4"/>
  <c r="BK2576" i="4"/>
  <c r="BJ2520" i="4"/>
  <c r="BL2520" i="4"/>
  <c r="BK2520" i="4"/>
  <c r="BJ2472" i="4"/>
  <c r="BL2472" i="4"/>
  <c r="BK2472" i="4"/>
  <c r="BJ2424" i="4"/>
  <c r="BL2424" i="4"/>
  <c r="BK2424" i="4"/>
  <c r="BJ2368" i="4"/>
  <c r="BL2368" i="4"/>
  <c r="BK2368" i="4"/>
  <c r="BJ2312" i="4"/>
  <c r="BL2312" i="4"/>
  <c r="BK2312" i="4"/>
  <c r="BJ2256" i="4"/>
  <c r="BL2256" i="4"/>
  <c r="BK2256" i="4"/>
  <c r="BJ2200" i="4"/>
  <c r="BL2200" i="4"/>
  <c r="BK2200" i="4"/>
  <c r="BJ2152" i="4"/>
  <c r="BL2152" i="4"/>
  <c r="BK2152" i="4"/>
  <c r="BJ2104" i="4"/>
  <c r="BL2104" i="4"/>
  <c r="BK2104" i="4"/>
  <c r="BJ2048" i="4"/>
  <c r="BL2048" i="4"/>
  <c r="BK2048" i="4"/>
  <c r="BJ2000" i="4"/>
  <c r="BL2000" i="4"/>
  <c r="BK2000" i="4"/>
  <c r="BJ1944" i="4"/>
  <c r="BL1944" i="4"/>
  <c r="BK1944" i="4"/>
  <c r="BJ1872" i="4"/>
  <c r="BL1872" i="4"/>
  <c r="BK1872" i="4"/>
  <c r="BJ1816" i="4"/>
  <c r="BL1816" i="4"/>
  <c r="BK1816" i="4"/>
  <c r="BJ1768" i="4"/>
  <c r="BL1768" i="4"/>
  <c r="BK1768" i="4"/>
  <c r="BJ1712" i="4"/>
  <c r="BL1712" i="4"/>
  <c r="BK1712" i="4"/>
  <c r="BJ1664" i="4"/>
  <c r="BL1664" i="4"/>
  <c r="BK1664" i="4"/>
  <c r="BJ1616" i="4"/>
  <c r="BL1616" i="4"/>
  <c r="BK1616" i="4"/>
  <c r="BJ1560" i="4"/>
  <c r="BL1560" i="4"/>
  <c r="BK1560" i="4"/>
  <c r="BJ1504" i="4"/>
  <c r="BL1504" i="4"/>
  <c r="BK1504" i="4"/>
  <c r="BJ1448" i="4"/>
  <c r="BL1448" i="4"/>
  <c r="BK1448" i="4"/>
  <c r="BJ1392" i="4"/>
  <c r="BL1392" i="4"/>
  <c r="BK1392" i="4"/>
  <c r="BJ1336" i="4"/>
  <c r="BL1336" i="4"/>
  <c r="BK1336" i="4"/>
  <c r="BJ1280" i="4"/>
  <c r="BL1280" i="4"/>
  <c r="BK1280" i="4"/>
  <c r="BJ1248" i="4"/>
  <c r="BL1248" i="4"/>
  <c r="BK1248" i="4"/>
  <c r="BJ1208" i="4"/>
  <c r="BL1208" i="4"/>
  <c r="BK1208" i="4"/>
  <c r="BJ1152" i="4"/>
  <c r="BL1152" i="4"/>
  <c r="BK1152" i="4"/>
  <c r="BJ1096" i="4"/>
  <c r="BL1096" i="4"/>
  <c r="BK1096" i="4"/>
  <c r="BJ1040" i="4"/>
  <c r="BL1040" i="4"/>
  <c r="BK1040" i="4"/>
  <c r="BJ992" i="4"/>
  <c r="BL992" i="4"/>
  <c r="BK992" i="4"/>
  <c r="BJ936" i="4"/>
  <c r="BL936" i="4"/>
  <c r="BK936" i="4"/>
  <c r="BJ864" i="4"/>
  <c r="BL864" i="4"/>
  <c r="BK864" i="4"/>
  <c r="BJ800" i="4"/>
  <c r="BL800" i="4"/>
  <c r="BK800" i="4"/>
  <c r="BJ736" i="4"/>
  <c r="BL736" i="4"/>
  <c r="BK736" i="4"/>
  <c r="BJ664" i="4"/>
  <c r="BL664" i="4"/>
  <c r="BK664" i="4"/>
  <c r="BJ616" i="4"/>
  <c r="BL616" i="4"/>
  <c r="BK616" i="4"/>
  <c r="BJ568" i="4"/>
  <c r="BL568" i="4"/>
  <c r="BK568" i="4"/>
  <c r="BJ512" i="4"/>
  <c r="BL512" i="4"/>
  <c r="BK512" i="4"/>
  <c r="BJ448" i="4"/>
  <c r="BL448" i="4"/>
  <c r="BK448" i="4"/>
  <c r="BJ392" i="4"/>
  <c r="BL392" i="4"/>
  <c r="BK392" i="4"/>
  <c r="BJ344" i="4"/>
  <c r="BL344" i="4"/>
  <c r="BK344" i="4"/>
  <c r="BJ5325" i="4"/>
  <c r="BK5325" i="4"/>
  <c r="BL5325" i="4"/>
  <c r="BJ5317" i="4"/>
  <c r="BK5317" i="4"/>
  <c r="BL5317" i="4"/>
  <c r="BJ5309" i="4"/>
  <c r="BL5309" i="4"/>
  <c r="BK5309" i="4"/>
  <c r="BJ5301" i="4"/>
  <c r="BL5301" i="4"/>
  <c r="BK5301" i="4"/>
  <c r="BJ5293" i="4"/>
  <c r="BL5293" i="4"/>
  <c r="BK5293" i="4"/>
  <c r="BJ5285" i="4"/>
  <c r="BL5285" i="4"/>
  <c r="BK5285" i="4"/>
  <c r="BJ5277" i="4"/>
  <c r="BL5277" i="4"/>
  <c r="BK5277" i="4"/>
  <c r="BJ5269" i="4"/>
  <c r="BK5269" i="4"/>
  <c r="BL5269" i="4"/>
  <c r="BJ5261" i="4"/>
  <c r="BK5261" i="4"/>
  <c r="BL5261" i="4"/>
  <c r="BJ5253" i="4"/>
  <c r="BK5253" i="4"/>
  <c r="BL5253" i="4"/>
  <c r="BJ5245" i="4"/>
  <c r="BL5245" i="4"/>
  <c r="BK5245" i="4"/>
  <c r="BJ5237" i="4"/>
  <c r="BL5237" i="4"/>
  <c r="BK5237" i="4"/>
  <c r="BJ5229" i="4"/>
  <c r="BL5229" i="4"/>
  <c r="BK5229" i="4"/>
  <c r="BJ5221" i="4"/>
  <c r="BL5221" i="4"/>
  <c r="BK5221" i="4"/>
  <c r="BJ5213" i="4"/>
  <c r="BL5213" i="4"/>
  <c r="BK5213" i="4"/>
  <c r="BJ5205" i="4"/>
  <c r="BK5205" i="4"/>
  <c r="BL5205" i="4"/>
  <c r="BJ5197" i="4"/>
  <c r="BL5197" i="4"/>
  <c r="BK5197" i="4"/>
  <c r="BJ5189" i="4"/>
  <c r="BK5189" i="4"/>
  <c r="BL5189" i="4"/>
  <c r="BJ5181" i="4"/>
  <c r="BL5181" i="4"/>
  <c r="BK5181" i="4"/>
  <c r="BJ5173" i="4"/>
  <c r="BL5173" i="4"/>
  <c r="BK5173" i="4"/>
  <c r="BJ5165" i="4"/>
  <c r="BL5165" i="4"/>
  <c r="BK5165" i="4"/>
  <c r="BJ5157" i="4"/>
  <c r="BL5157" i="4"/>
  <c r="BK5157" i="4"/>
  <c r="BJ5149" i="4"/>
  <c r="BL5149" i="4"/>
  <c r="BK5149" i="4"/>
  <c r="BJ5141" i="4"/>
  <c r="BK5141" i="4"/>
  <c r="BL5141" i="4"/>
  <c r="BJ5133" i="4"/>
  <c r="BK5133" i="4"/>
  <c r="BL5133" i="4"/>
  <c r="BJ5125" i="4"/>
  <c r="BK5125" i="4"/>
  <c r="BL5125" i="4"/>
  <c r="BJ5117" i="4"/>
  <c r="BL5117" i="4"/>
  <c r="BK5117" i="4"/>
  <c r="BJ5109" i="4"/>
  <c r="BL5109" i="4"/>
  <c r="BK5109" i="4"/>
  <c r="BJ5101" i="4"/>
  <c r="BL5101" i="4"/>
  <c r="BK5101" i="4"/>
  <c r="BJ5093" i="4"/>
  <c r="BL5093" i="4"/>
  <c r="BK5093" i="4"/>
  <c r="BJ5085" i="4"/>
  <c r="BL5085" i="4"/>
  <c r="BK5085" i="4"/>
  <c r="BJ5077" i="4"/>
  <c r="BK5077" i="4"/>
  <c r="BL5077" i="4"/>
  <c r="BJ5069" i="4"/>
  <c r="BL5069" i="4"/>
  <c r="BK5069" i="4"/>
  <c r="BJ5061" i="4"/>
  <c r="BK5061" i="4"/>
  <c r="BL5061" i="4"/>
  <c r="BJ5053" i="4"/>
  <c r="BL5053" i="4"/>
  <c r="BK5053" i="4"/>
  <c r="BJ5045" i="4"/>
  <c r="BL5045" i="4"/>
  <c r="BK5045" i="4"/>
  <c r="BJ5037" i="4"/>
  <c r="BL5037" i="4"/>
  <c r="BK5037" i="4"/>
  <c r="BJ5029" i="4"/>
  <c r="BL5029" i="4"/>
  <c r="BK5029" i="4"/>
  <c r="BJ5021" i="4"/>
  <c r="BL5021" i="4"/>
  <c r="BK5021" i="4"/>
  <c r="BJ5013" i="4"/>
  <c r="BK5013" i="4"/>
  <c r="BL5013" i="4"/>
  <c r="BJ5005" i="4"/>
  <c r="BL5005" i="4"/>
  <c r="BK5005" i="4"/>
  <c r="BJ4997" i="4"/>
  <c r="BK4997" i="4"/>
  <c r="BL4997" i="4"/>
  <c r="BJ4989" i="4"/>
  <c r="BL4989" i="4"/>
  <c r="BK4989" i="4"/>
  <c r="BJ4981" i="4"/>
  <c r="BL4981" i="4"/>
  <c r="BK4981" i="4"/>
  <c r="BJ4973" i="4"/>
  <c r="BL4973" i="4"/>
  <c r="BK4973" i="4"/>
  <c r="BJ4965" i="4"/>
  <c r="BL4965" i="4"/>
  <c r="BK4965" i="4"/>
  <c r="BJ4957" i="4"/>
  <c r="BL4957" i="4"/>
  <c r="BK4957" i="4"/>
  <c r="BJ4949" i="4"/>
  <c r="BK4949" i="4"/>
  <c r="BL4949" i="4"/>
  <c r="BJ4941" i="4"/>
  <c r="BK4941" i="4"/>
  <c r="BL4941" i="4"/>
  <c r="BJ4933" i="4"/>
  <c r="BL4933" i="4"/>
  <c r="BK4933" i="4"/>
  <c r="BJ4925" i="4"/>
  <c r="BL4925" i="4"/>
  <c r="BK4925" i="4"/>
  <c r="BJ4917" i="4"/>
  <c r="BL4917" i="4"/>
  <c r="BK4917" i="4"/>
  <c r="BJ4909" i="4"/>
  <c r="BL4909" i="4"/>
  <c r="BK4909" i="4"/>
  <c r="BJ4901" i="4"/>
  <c r="BL4901" i="4"/>
  <c r="BK4901" i="4"/>
  <c r="BJ4893" i="4"/>
  <c r="BL4893" i="4"/>
  <c r="BK4893" i="4"/>
  <c r="BJ4885" i="4"/>
  <c r="BL4885" i="4"/>
  <c r="BK4885" i="4"/>
  <c r="BJ4877" i="4"/>
  <c r="BL4877" i="4"/>
  <c r="BK4877" i="4"/>
  <c r="BJ4869" i="4"/>
  <c r="BL4869" i="4"/>
  <c r="BK4869" i="4"/>
  <c r="BJ4861" i="4"/>
  <c r="BL4861" i="4"/>
  <c r="BK4861" i="4"/>
  <c r="BJ4853" i="4"/>
  <c r="BL4853" i="4"/>
  <c r="BK4853" i="4"/>
  <c r="BJ4845" i="4"/>
  <c r="BL4845" i="4"/>
  <c r="BK4845" i="4"/>
  <c r="BJ4837" i="4"/>
  <c r="BL4837" i="4"/>
  <c r="BK4837" i="4"/>
  <c r="BJ4829" i="4"/>
  <c r="BL4829" i="4"/>
  <c r="BK4829" i="4"/>
  <c r="BJ4821" i="4"/>
  <c r="BL4821" i="4"/>
  <c r="BK4821" i="4"/>
  <c r="BJ4813" i="4"/>
  <c r="BL4813" i="4"/>
  <c r="BK4813" i="4"/>
  <c r="BJ4805" i="4"/>
  <c r="BL4805" i="4"/>
  <c r="BK4805" i="4"/>
  <c r="BJ4797" i="4"/>
  <c r="BL4797" i="4"/>
  <c r="BK4797" i="4"/>
  <c r="BJ4789" i="4"/>
  <c r="BL4789" i="4"/>
  <c r="BK4789" i="4"/>
  <c r="BJ4781" i="4"/>
  <c r="BL4781" i="4"/>
  <c r="BK4781" i="4"/>
  <c r="BJ4773" i="4"/>
  <c r="BL4773" i="4"/>
  <c r="BK4773" i="4"/>
  <c r="BJ4765" i="4"/>
  <c r="BL4765" i="4"/>
  <c r="BK4765" i="4"/>
  <c r="BJ4757" i="4"/>
  <c r="BL4757" i="4"/>
  <c r="BK4757" i="4"/>
  <c r="BJ4749" i="4"/>
  <c r="BL4749" i="4"/>
  <c r="BK4749" i="4"/>
  <c r="BJ4741" i="4"/>
  <c r="BL4741" i="4"/>
  <c r="BK4741" i="4"/>
  <c r="BJ4733" i="4"/>
  <c r="BL4733" i="4"/>
  <c r="BK4733" i="4"/>
  <c r="BJ4725" i="4"/>
  <c r="BL4725" i="4"/>
  <c r="BK4725" i="4"/>
  <c r="BJ4717" i="4"/>
  <c r="BL4717" i="4"/>
  <c r="BK4717" i="4"/>
  <c r="BJ4709" i="4"/>
  <c r="BL4709" i="4"/>
  <c r="BK4709" i="4"/>
  <c r="BJ4701" i="4"/>
  <c r="BL4701" i="4"/>
  <c r="BK4701" i="4"/>
  <c r="BJ4693" i="4"/>
  <c r="BL4693" i="4"/>
  <c r="BK4693" i="4"/>
  <c r="BJ4685" i="4"/>
  <c r="BL4685" i="4"/>
  <c r="BK4685" i="4"/>
  <c r="BJ4677" i="4"/>
  <c r="BL4677" i="4"/>
  <c r="BK4677" i="4"/>
  <c r="BJ4669" i="4"/>
  <c r="BL4669" i="4"/>
  <c r="BK4669" i="4"/>
  <c r="BJ4661" i="4"/>
  <c r="BL4661" i="4"/>
  <c r="BK4661" i="4"/>
  <c r="BJ4653" i="4"/>
  <c r="BL4653" i="4"/>
  <c r="BK4653" i="4"/>
  <c r="BJ4645" i="4"/>
  <c r="BL4645" i="4"/>
  <c r="BK4645" i="4"/>
  <c r="BJ4637" i="4"/>
  <c r="BL4637" i="4"/>
  <c r="BK4637" i="4"/>
  <c r="BJ4629" i="4"/>
  <c r="BL4629" i="4"/>
  <c r="BK4629" i="4"/>
  <c r="BJ4621" i="4"/>
  <c r="BL4621" i="4"/>
  <c r="BK4621" i="4"/>
  <c r="BJ4613" i="4"/>
  <c r="BL4613" i="4"/>
  <c r="BK4613" i="4"/>
  <c r="BJ4605" i="4"/>
  <c r="BL4605" i="4"/>
  <c r="BK4605" i="4"/>
  <c r="BJ4597" i="4"/>
  <c r="BL4597" i="4"/>
  <c r="BK4597" i="4"/>
  <c r="BJ4589" i="4"/>
  <c r="BL4589" i="4"/>
  <c r="BK4589" i="4"/>
  <c r="BJ4581" i="4"/>
  <c r="BL4581" i="4"/>
  <c r="BK4581" i="4"/>
  <c r="BJ4573" i="4"/>
  <c r="BL4573" i="4"/>
  <c r="BK4573" i="4"/>
  <c r="BJ4565" i="4"/>
  <c r="BL4565" i="4"/>
  <c r="BK4565" i="4"/>
  <c r="BJ4557" i="4"/>
  <c r="BL4557" i="4"/>
  <c r="BK4557" i="4"/>
  <c r="BJ4549" i="4"/>
  <c r="BL4549" i="4"/>
  <c r="BK4549" i="4"/>
  <c r="BJ4541" i="4"/>
  <c r="BL4541" i="4"/>
  <c r="BK4541" i="4"/>
  <c r="BJ4533" i="4"/>
  <c r="BL4533" i="4"/>
  <c r="BK4533" i="4"/>
  <c r="BJ4525" i="4"/>
  <c r="BL4525" i="4"/>
  <c r="BK4525" i="4"/>
  <c r="BJ4517" i="4"/>
  <c r="BL4517" i="4"/>
  <c r="BK4517" i="4"/>
  <c r="BJ4509" i="4"/>
  <c r="BL4509" i="4"/>
  <c r="BK4509" i="4"/>
  <c r="BJ4501" i="4"/>
  <c r="BL4501" i="4"/>
  <c r="BK4501" i="4"/>
  <c r="BJ4493" i="4"/>
  <c r="BL4493" i="4"/>
  <c r="BK4493" i="4"/>
  <c r="BJ4485" i="4"/>
  <c r="BL4485" i="4"/>
  <c r="BK4485" i="4"/>
  <c r="BJ4477" i="4"/>
  <c r="BL4477" i="4"/>
  <c r="BK4477" i="4"/>
  <c r="BJ4469" i="4"/>
  <c r="BL4469" i="4"/>
  <c r="BK4469" i="4"/>
  <c r="BJ4461" i="4"/>
  <c r="BL4461" i="4"/>
  <c r="BK4461" i="4"/>
  <c r="BJ4453" i="4"/>
  <c r="BL4453" i="4"/>
  <c r="BK4453" i="4"/>
  <c r="BJ4445" i="4"/>
  <c r="BL4445" i="4"/>
  <c r="BK4445" i="4"/>
  <c r="BJ4437" i="4"/>
  <c r="BL4437" i="4"/>
  <c r="BK4437" i="4"/>
  <c r="BJ4429" i="4"/>
  <c r="BL4429" i="4"/>
  <c r="BK4429" i="4"/>
  <c r="BJ4421" i="4"/>
  <c r="BL4421" i="4"/>
  <c r="BK4421" i="4"/>
  <c r="BJ4413" i="4"/>
  <c r="BL4413" i="4"/>
  <c r="BK4413" i="4"/>
  <c r="BJ4405" i="4"/>
  <c r="BL4405" i="4"/>
  <c r="BK4405" i="4"/>
  <c r="BJ4397" i="4"/>
  <c r="BL4397" i="4"/>
  <c r="BK4397" i="4"/>
  <c r="BJ4389" i="4"/>
  <c r="BL4389" i="4"/>
  <c r="BK4389" i="4"/>
  <c r="BJ4381" i="4"/>
  <c r="BL4381" i="4"/>
  <c r="BK4381" i="4"/>
  <c r="BJ4373" i="4"/>
  <c r="BL4373" i="4"/>
  <c r="BK4373" i="4"/>
  <c r="BJ4365" i="4"/>
  <c r="BL4365" i="4"/>
  <c r="BK4365" i="4"/>
  <c r="BJ4357" i="4"/>
  <c r="BL4357" i="4"/>
  <c r="BK4357" i="4"/>
  <c r="BJ4349" i="4"/>
  <c r="BL4349" i="4"/>
  <c r="BK4349" i="4"/>
  <c r="BJ4341" i="4"/>
  <c r="BL4341" i="4"/>
  <c r="BK4341" i="4"/>
  <c r="BJ4333" i="4"/>
  <c r="BL4333" i="4"/>
  <c r="BK4333" i="4"/>
  <c r="BJ4325" i="4"/>
  <c r="BL4325" i="4"/>
  <c r="BK4325" i="4"/>
  <c r="BJ4317" i="4"/>
  <c r="BL4317" i="4"/>
  <c r="BK4317" i="4"/>
  <c r="BJ4309" i="4"/>
  <c r="BL4309" i="4"/>
  <c r="BK4309" i="4"/>
  <c r="BJ4301" i="4"/>
  <c r="BL4301" i="4"/>
  <c r="BK4301" i="4"/>
  <c r="BJ4293" i="4"/>
  <c r="BL4293" i="4"/>
  <c r="BK4293" i="4"/>
  <c r="BJ4285" i="4"/>
  <c r="BL4285" i="4"/>
  <c r="BK4285" i="4"/>
  <c r="BJ4277" i="4"/>
  <c r="BL4277" i="4"/>
  <c r="BK4277" i="4"/>
  <c r="BJ4269" i="4"/>
  <c r="BL4269" i="4"/>
  <c r="BK4269" i="4"/>
  <c r="BJ4261" i="4"/>
  <c r="BL4261" i="4"/>
  <c r="BK4261" i="4"/>
  <c r="BJ4253" i="4"/>
  <c r="BL4253" i="4"/>
  <c r="BK4253" i="4"/>
  <c r="BJ4245" i="4"/>
  <c r="BL4245" i="4"/>
  <c r="BK4245" i="4"/>
  <c r="BJ4237" i="4"/>
  <c r="BL4237" i="4"/>
  <c r="BK4237" i="4"/>
  <c r="BJ4229" i="4"/>
  <c r="BL4229" i="4"/>
  <c r="BK4229" i="4"/>
  <c r="BJ4221" i="4"/>
  <c r="BL4221" i="4"/>
  <c r="BK4221" i="4"/>
  <c r="BJ4213" i="4"/>
  <c r="BL4213" i="4"/>
  <c r="BK4213" i="4"/>
  <c r="BJ4205" i="4"/>
  <c r="BL4205" i="4"/>
  <c r="BK4205" i="4"/>
  <c r="BJ4197" i="4"/>
  <c r="BL4197" i="4"/>
  <c r="BK4197" i="4"/>
  <c r="BJ4189" i="4"/>
  <c r="BL4189" i="4"/>
  <c r="BK4189" i="4"/>
  <c r="BJ4181" i="4"/>
  <c r="BL4181" i="4"/>
  <c r="BK4181" i="4"/>
  <c r="BJ4173" i="4"/>
  <c r="BL4173" i="4"/>
  <c r="BK4173" i="4"/>
  <c r="BJ4165" i="4"/>
  <c r="BL4165" i="4"/>
  <c r="BK4165" i="4"/>
  <c r="BJ4157" i="4"/>
  <c r="BL4157" i="4"/>
  <c r="BK4157" i="4"/>
  <c r="BJ4149" i="4"/>
  <c r="BL4149" i="4"/>
  <c r="BK4149" i="4"/>
  <c r="BJ4141" i="4"/>
  <c r="BL4141" i="4"/>
  <c r="BK4141" i="4"/>
  <c r="BJ4133" i="4"/>
  <c r="BL4133" i="4"/>
  <c r="BK4133" i="4"/>
  <c r="BJ4125" i="4"/>
  <c r="BL4125" i="4"/>
  <c r="BK4125" i="4"/>
  <c r="BJ4117" i="4"/>
  <c r="BL4117" i="4"/>
  <c r="BK4117" i="4"/>
  <c r="BJ4109" i="4"/>
  <c r="BL4109" i="4"/>
  <c r="BK4109" i="4"/>
  <c r="BJ4101" i="4"/>
  <c r="BL4101" i="4"/>
  <c r="BK4101" i="4"/>
  <c r="BJ4093" i="4"/>
  <c r="BL4093" i="4"/>
  <c r="BK4093" i="4"/>
  <c r="BJ4085" i="4"/>
  <c r="BL4085" i="4"/>
  <c r="BK4085" i="4"/>
  <c r="BJ4077" i="4"/>
  <c r="BL4077" i="4"/>
  <c r="BK4077" i="4"/>
  <c r="BJ4069" i="4"/>
  <c r="BL4069" i="4"/>
  <c r="BK4069" i="4"/>
  <c r="BJ4061" i="4"/>
  <c r="BL4061" i="4"/>
  <c r="BK4061" i="4"/>
  <c r="BJ4053" i="4"/>
  <c r="BL4053" i="4"/>
  <c r="BK4053" i="4"/>
  <c r="BJ4045" i="4"/>
  <c r="BL4045" i="4"/>
  <c r="BK4045" i="4"/>
  <c r="BJ4037" i="4"/>
  <c r="BL4037" i="4"/>
  <c r="BK4037" i="4"/>
  <c r="BJ4029" i="4"/>
  <c r="BL4029" i="4"/>
  <c r="BK4029" i="4"/>
  <c r="BJ4021" i="4"/>
  <c r="BL4021" i="4"/>
  <c r="BK4021" i="4"/>
  <c r="BJ4013" i="4"/>
  <c r="BL4013" i="4"/>
  <c r="BK4013" i="4"/>
  <c r="BJ4005" i="4"/>
  <c r="BL4005" i="4"/>
  <c r="BK4005" i="4"/>
  <c r="BJ3997" i="4"/>
  <c r="BL3997" i="4"/>
  <c r="BK3997" i="4"/>
  <c r="BJ3989" i="4"/>
  <c r="BL3989" i="4"/>
  <c r="BK3989" i="4"/>
  <c r="BJ3981" i="4"/>
  <c r="BL3981" i="4"/>
  <c r="BK3981" i="4"/>
  <c r="BJ3973" i="4"/>
  <c r="BL3973" i="4"/>
  <c r="BK3973" i="4"/>
  <c r="BJ3965" i="4"/>
  <c r="BL3965" i="4"/>
  <c r="BK3965" i="4"/>
  <c r="BJ3957" i="4"/>
  <c r="BL3957" i="4"/>
  <c r="BK3957" i="4"/>
  <c r="BJ3949" i="4"/>
  <c r="BL3949" i="4"/>
  <c r="BK3949" i="4"/>
  <c r="BJ3941" i="4"/>
  <c r="BL3941" i="4"/>
  <c r="BK3941" i="4"/>
  <c r="BJ3933" i="4"/>
  <c r="BL3933" i="4"/>
  <c r="BK3933" i="4"/>
  <c r="BJ3925" i="4"/>
  <c r="BL3925" i="4"/>
  <c r="BK3925" i="4"/>
  <c r="BJ3917" i="4"/>
  <c r="BL3917" i="4"/>
  <c r="BK3917" i="4"/>
  <c r="BJ3909" i="4"/>
  <c r="BL3909" i="4"/>
  <c r="BK3909" i="4"/>
  <c r="BJ3901" i="4"/>
  <c r="BL3901" i="4"/>
  <c r="BK3901" i="4"/>
  <c r="BJ3893" i="4"/>
  <c r="BL3893" i="4"/>
  <c r="BK3893" i="4"/>
  <c r="BJ3885" i="4"/>
  <c r="BL3885" i="4"/>
  <c r="BK3885" i="4"/>
  <c r="BJ3877" i="4"/>
  <c r="BL3877" i="4"/>
  <c r="BK3877" i="4"/>
  <c r="BJ3869" i="4"/>
  <c r="BL3869" i="4"/>
  <c r="BK3869" i="4"/>
  <c r="BJ3861" i="4"/>
  <c r="BL3861" i="4"/>
  <c r="BK3861" i="4"/>
  <c r="BJ3853" i="4"/>
  <c r="BL3853" i="4"/>
  <c r="BK3853" i="4"/>
  <c r="BJ3845" i="4"/>
  <c r="BL3845" i="4"/>
  <c r="BK3845" i="4"/>
  <c r="BJ3837" i="4"/>
  <c r="BL3837" i="4"/>
  <c r="BK3837" i="4"/>
  <c r="BJ3829" i="4"/>
  <c r="BL3829" i="4"/>
  <c r="BK3829" i="4"/>
  <c r="BJ3821" i="4"/>
  <c r="BL3821" i="4"/>
  <c r="BK3821" i="4"/>
  <c r="BJ3813" i="4"/>
  <c r="BL3813" i="4"/>
  <c r="BK3813" i="4"/>
  <c r="BJ3805" i="4"/>
  <c r="BL3805" i="4"/>
  <c r="BK3805" i="4"/>
  <c r="BJ3797" i="4"/>
  <c r="BL3797" i="4"/>
  <c r="BK3797" i="4"/>
  <c r="BJ3789" i="4"/>
  <c r="BL3789" i="4"/>
  <c r="BK3789" i="4"/>
  <c r="BJ3781" i="4"/>
  <c r="BL3781" i="4"/>
  <c r="BK3781" i="4"/>
  <c r="BJ3773" i="4"/>
  <c r="BL3773" i="4"/>
  <c r="BK3773" i="4"/>
  <c r="BJ3765" i="4"/>
  <c r="BL3765" i="4"/>
  <c r="BK3765" i="4"/>
  <c r="BJ3757" i="4"/>
  <c r="BL3757" i="4"/>
  <c r="BK3757" i="4"/>
  <c r="BJ3749" i="4"/>
  <c r="BL3749" i="4"/>
  <c r="BK3749" i="4"/>
  <c r="BJ3741" i="4"/>
  <c r="BL3741" i="4"/>
  <c r="BK3741" i="4"/>
  <c r="BJ3733" i="4"/>
  <c r="BL3733" i="4"/>
  <c r="BK3733" i="4"/>
  <c r="BJ3725" i="4"/>
  <c r="BL3725" i="4"/>
  <c r="BK3725" i="4"/>
  <c r="BJ3717" i="4"/>
  <c r="BL3717" i="4"/>
  <c r="BK3717" i="4"/>
  <c r="BJ3709" i="4"/>
  <c r="BL3709" i="4"/>
  <c r="BK3709" i="4"/>
  <c r="BJ3701" i="4"/>
  <c r="BL3701" i="4"/>
  <c r="BK3701" i="4"/>
  <c r="BJ3693" i="4"/>
  <c r="BL3693" i="4"/>
  <c r="BK3693" i="4"/>
  <c r="BJ3685" i="4"/>
  <c r="BL3685" i="4"/>
  <c r="BK3685" i="4"/>
  <c r="BJ3677" i="4"/>
  <c r="BL3677" i="4"/>
  <c r="BK3677" i="4"/>
  <c r="BJ3669" i="4"/>
  <c r="BL3669" i="4"/>
  <c r="BK3669" i="4"/>
  <c r="BJ3661" i="4"/>
  <c r="BL3661" i="4"/>
  <c r="BK3661" i="4"/>
  <c r="BJ3653" i="4"/>
  <c r="BL3653" i="4"/>
  <c r="BK3653" i="4"/>
  <c r="BJ3645" i="4"/>
  <c r="BL3645" i="4"/>
  <c r="BK3645" i="4"/>
  <c r="BJ3637" i="4"/>
  <c r="BL3637" i="4"/>
  <c r="BK3637" i="4"/>
  <c r="BJ3629" i="4"/>
  <c r="BL3629" i="4"/>
  <c r="BK3629" i="4"/>
  <c r="BJ3621" i="4"/>
  <c r="BL3621" i="4"/>
  <c r="BK3621" i="4"/>
  <c r="BJ3613" i="4"/>
  <c r="BL3613" i="4"/>
  <c r="BK3613" i="4"/>
  <c r="BJ3605" i="4"/>
  <c r="BL3605" i="4"/>
  <c r="BK3605" i="4"/>
  <c r="BJ3597" i="4"/>
  <c r="BL3597" i="4"/>
  <c r="BK3597" i="4"/>
  <c r="BJ3589" i="4"/>
  <c r="BL3589" i="4"/>
  <c r="BK3589" i="4"/>
  <c r="BJ3581" i="4"/>
  <c r="BL3581" i="4"/>
  <c r="BK3581" i="4"/>
  <c r="BJ3573" i="4"/>
  <c r="BL3573" i="4"/>
  <c r="BK3573" i="4"/>
  <c r="BJ3565" i="4"/>
  <c r="BL3565" i="4"/>
  <c r="BK3565" i="4"/>
  <c r="BJ3557" i="4"/>
  <c r="BL3557" i="4"/>
  <c r="BK3557" i="4"/>
  <c r="BJ3549" i="4"/>
  <c r="BL3549" i="4"/>
  <c r="BK3549" i="4"/>
  <c r="BJ3541" i="4"/>
  <c r="BL3541" i="4"/>
  <c r="BK3541" i="4"/>
  <c r="BJ3533" i="4"/>
  <c r="BL3533" i="4"/>
  <c r="BK3533" i="4"/>
  <c r="BJ3525" i="4"/>
  <c r="BL3525" i="4"/>
  <c r="BK3525" i="4"/>
  <c r="BJ3517" i="4"/>
  <c r="BL3517" i="4"/>
  <c r="BK3517" i="4"/>
  <c r="BJ3509" i="4"/>
  <c r="BL3509" i="4"/>
  <c r="BK3509" i="4"/>
  <c r="BJ3501" i="4"/>
  <c r="BL3501" i="4"/>
  <c r="BK3501" i="4"/>
  <c r="BJ3493" i="4"/>
  <c r="BL3493" i="4"/>
  <c r="BK3493" i="4"/>
  <c r="BJ3485" i="4"/>
  <c r="BL3485" i="4"/>
  <c r="BK3485" i="4"/>
  <c r="BJ3477" i="4"/>
  <c r="BL3477" i="4"/>
  <c r="BK3477" i="4"/>
  <c r="BJ3469" i="4"/>
  <c r="BL3469" i="4"/>
  <c r="BK3469" i="4"/>
  <c r="BJ3461" i="4"/>
  <c r="BL3461" i="4"/>
  <c r="BK3461" i="4"/>
  <c r="BJ3453" i="4"/>
  <c r="BL3453" i="4"/>
  <c r="BK3453" i="4"/>
  <c r="BJ3445" i="4"/>
  <c r="BL3445" i="4"/>
  <c r="BK3445" i="4"/>
  <c r="BJ3437" i="4"/>
  <c r="BL3437" i="4"/>
  <c r="BK3437" i="4"/>
  <c r="BJ3429" i="4"/>
  <c r="BL3429" i="4"/>
  <c r="BK3429" i="4"/>
  <c r="BJ3421" i="4"/>
  <c r="BL3421" i="4"/>
  <c r="BK3421" i="4"/>
  <c r="BJ3413" i="4"/>
  <c r="BL3413" i="4"/>
  <c r="BK3413" i="4"/>
  <c r="BJ3405" i="4"/>
  <c r="BL3405" i="4"/>
  <c r="BK3405" i="4"/>
  <c r="BJ3397" i="4"/>
  <c r="BL3397" i="4"/>
  <c r="BK3397" i="4"/>
  <c r="BJ3389" i="4"/>
  <c r="BL3389" i="4"/>
  <c r="BK3389" i="4"/>
  <c r="BJ3381" i="4"/>
  <c r="BL3381" i="4"/>
  <c r="BK3381" i="4"/>
  <c r="BJ3373" i="4"/>
  <c r="BL3373" i="4"/>
  <c r="BK3373" i="4"/>
  <c r="BJ3365" i="4"/>
  <c r="BL3365" i="4"/>
  <c r="BK3365" i="4"/>
  <c r="BJ3357" i="4"/>
  <c r="BL3357" i="4"/>
  <c r="BK3357" i="4"/>
  <c r="BJ3349" i="4"/>
  <c r="BL3349" i="4"/>
  <c r="BK3349" i="4"/>
  <c r="BJ3341" i="4"/>
  <c r="BL3341" i="4"/>
  <c r="BK3341" i="4"/>
  <c r="BJ3333" i="4"/>
  <c r="BL3333" i="4"/>
  <c r="BK3333" i="4"/>
  <c r="BJ3325" i="4"/>
  <c r="BL3325" i="4"/>
  <c r="BK3325" i="4"/>
  <c r="BJ3317" i="4"/>
  <c r="BL3317" i="4"/>
  <c r="BK3317" i="4"/>
  <c r="BJ3309" i="4"/>
  <c r="BL3309" i="4"/>
  <c r="BK3309" i="4"/>
  <c r="BJ3301" i="4"/>
  <c r="BL3301" i="4"/>
  <c r="BK3301" i="4"/>
  <c r="BJ3293" i="4"/>
  <c r="BL3293" i="4"/>
  <c r="BK3293" i="4"/>
  <c r="BJ3285" i="4"/>
  <c r="BL3285" i="4"/>
  <c r="BK3285" i="4"/>
  <c r="BJ3277" i="4"/>
  <c r="BL3277" i="4"/>
  <c r="BK3277" i="4"/>
  <c r="BJ3269" i="4"/>
  <c r="BL3269" i="4"/>
  <c r="BK3269" i="4"/>
  <c r="BJ3261" i="4"/>
  <c r="BL3261" i="4"/>
  <c r="BK3261" i="4"/>
  <c r="BJ3253" i="4"/>
  <c r="BL3253" i="4"/>
  <c r="BK3253" i="4"/>
  <c r="BJ3245" i="4"/>
  <c r="BL3245" i="4"/>
  <c r="BK3245" i="4"/>
  <c r="BJ3237" i="4"/>
  <c r="BL3237" i="4"/>
  <c r="BK3237" i="4"/>
  <c r="BJ3229" i="4"/>
  <c r="BL3229" i="4"/>
  <c r="BK3229" i="4"/>
  <c r="BJ3221" i="4"/>
  <c r="BL3221" i="4"/>
  <c r="BK3221" i="4"/>
  <c r="BJ3213" i="4"/>
  <c r="BL3213" i="4"/>
  <c r="BK3213" i="4"/>
  <c r="BJ3205" i="4"/>
  <c r="BL3205" i="4"/>
  <c r="BK3205" i="4"/>
  <c r="BJ3197" i="4"/>
  <c r="BL3197" i="4"/>
  <c r="BK3197" i="4"/>
  <c r="BJ3189" i="4"/>
  <c r="BL3189" i="4"/>
  <c r="BK3189" i="4"/>
  <c r="BJ3181" i="4"/>
  <c r="BL3181" i="4"/>
  <c r="BK3181" i="4"/>
  <c r="BJ3173" i="4"/>
  <c r="BL3173" i="4"/>
  <c r="BK3173" i="4"/>
  <c r="BJ3165" i="4"/>
  <c r="BL3165" i="4"/>
  <c r="BK3165" i="4"/>
  <c r="BJ3157" i="4"/>
  <c r="BL3157" i="4"/>
  <c r="BK3157" i="4"/>
  <c r="BJ3149" i="4"/>
  <c r="BL3149" i="4"/>
  <c r="BK3149" i="4"/>
  <c r="BJ3141" i="4"/>
  <c r="BL3141" i="4"/>
  <c r="BK3141" i="4"/>
  <c r="BJ3133" i="4"/>
  <c r="BL3133" i="4"/>
  <c r="BK3133" i="4"/>
  <c r="BJ3125" i="4"/>
  <c r="BL3125" i="4"/>
  <c r="BK3125" i="4"/>
  <c r="BJ3117" i="4"/>
  <c r="BL3117" i="4"/>
  <c r="BK3117" i="4"/>
  <c r="BJ3109" i="4"/>
  <c r="BL3109" i="4"/>
  <c r="BK3109" i="4"/>
  <c r="BJ3101" i="4"/>
  <c r="BL3101" i="4"/>
  <c r="BK3101" i="4"/>
  <c r="BJ3093" i="4"/>
  <c r="BL3093" i="4"/>
  <c r="BK3093" i="4"/>
  <c r="BJ3085" i="4"/>
  <c r="BL3085" i="4"/>
  <c r="BK3085" i="4"/>
  <c r="BJ3077" i="4"/>
  <c r="BL3077" i="4"/>
  <c r="BK3077" i="4"/>
  <c r="BJ3069" i="4"/>
  <c r="BL3069" i="4"/>
  <c r="BK3069" i="4"/>
  <c r="BJ3061" i="4"/>
  <c r="BL3061" i="4"/>
  <c r="BK3061" i="4"/>
  <c r="BJ3053" i="4"/>
  <c r="BL3053" i="4"/>
  <c r="BK3053" i="4"/>
  <c r="BJ3045" i="4"/>
  <c r="BL3045" i="4"/>
  <c r="BK3045" i="4"/>
  <c r="BJ3037" i="4"/>
  <c r="BL3037" i="4"/>
  <c r="BK3037" i="4"/>
  <c r="BJ3029" i="4"/>
  <c r="BL3029" i="4"/>
  <c r="BK3029" i="4"/>
  <c r="BJ3021" i="4"/>
  <c r="BL3021" i="4"/>
  <c r="BK3021" i="4"/>
  <c r="BJ3013" i="4"/>
  <c r="BL3013" i="4"/>
  <c r="BK3013" i="4"/>
  <c r="BJ3005" i="4"/>
  <c r="BL3005" i="4"/>
  <c r="BK3005" i="4"/>
  <c r="BJ2997" i="4"/>
  <c r="BL2997" i="4"/>
  <c r="BK2997" i="4"/>
  <c r="BJ2989" i="4"/>
  <c r="BL2989" i="4"/>
  <c r="BK2989" i="4"/>
  <c r="BJ2981" i="4"/>
  <c r="BL2981" i="4"/>
  <c r="BK2981" i="4"/>
  <c r="BJ2973" i="4"/>
  <c r="BL2973" i="4"/>
  <c r="BK2973" i="4"/>
  <c r="BJ2965" i="4"/>
  <c r="BL2965" i="4"/>
  <c r="BK2965" i="4"/>
  <c r="BJ2957" i="4"/>
  <c r="BL2957" i="4"/>
  <c r="BK2957" i="4"/>
  <c r="BJ2949" i="4"/>
  <c r="BL2949" i="4"/>
  <c r="BK2949" i="4"/>
  <c r="BJ2941" i="4"/>
  <c r="BL2941" i="4"/>
  <c r="BK2941" i="4"/>
  <c r="BJ2933" i="4"/>
  <c r="BL2933" i="4"/>
  <c r="BK2933" i="4"/>
  <c r="BJ2925" i="4"/>
  <c r="BL2925" i="4"/>
  <c r="BK2925" i="4"/>
  <c r="BJ2917" i="4"/>
  <c r="BL2917" i="4"/>
  <c r="BK2917" i="4"/>
  <c r="BJ2909" i="4"/>
  <c r="BL2909" i="4"/>
  <c r="BK2909" i="4"/>
  <c r="BJ2901" i="4"/>
  <c r="BL2901" i="4"/>
  <c r="BK2901" i="4"/>
  <c r="BJ2893" i="4"/>
  <c r="BL2893" i="4"/>
  <c r="BK2893" i="4"/>
  <c r="BJ2885" i="4"/>
  <c r="BL2885" i="4"/>
  <c r="BK2885" i="4"/>
  <c r="BJ2877" i="4"/>
  <c r="BL2877" i="4"/>
  <c r="BK2877" i="4"/>
  <c r="BJ2869" i="4"/>
  <c r="BL2869" i="4"/>
  <c r="BK2869" i="4"/>
  <c r="BJ2861" i="4"/>
  <c r="BL2861" i="4"/>
  <c r="BK2861" i="4"/>
  <c r="BJ2853" i="4"/>
  <c r="BL2853" i="4"/>
  <c r="BK2853" i="4"/>
  <c r="BJ2845" i="4"/>
  <c r="BL2845" i="4"/>
  <c r="BK2845" i="4"/>
  <c r="BJ2837" i="4"/>
  <c r="BL2837" i="4"/>
  <c r="BK2837" i="4"/>
  <c r="BJ2829" i="4"/>
  <c r="BL2829" i="4"/>
  <c r="BK2829" i="4"/>
  <c r="BJ2821" i="4"/>
  <c r="BL2821" i="4"/>
  <c r="BK2821" i="4"/>
  <c r="BJ2813" i="4"/>
  <c r="BL2813" i="4"/>
  <c r="BK2813" i="4"/>
  <c r="BJ2805" i="4"/>
  <c r="BL2805" i="4"/>
  <c r="BK2805" i="4"/>
  <c r="BJ2797" i="4"/>
  <c r="BL2797" i="4"/>
  <c r="BK2797" i="4"/>
  <c r="BJ2789" i="4"/>
  <c r="BL2789" i="4"/>
  <c r="BK2789" i="4"/>
  <c r="BJ2781" i="4"/>
  <c r="BL2781" i="4"/>
  <c r="BK2781" i="4"/>
  <c r="BJ2773" i="4"/>
  <c r="BL2773" i="4"/>
  <c r="BK2773" i="4"/>
  <c r="BJ2765" i="4"/>
  <c r="BL2765" i="4"/>
  <c r="BK2765" i="4"/>
  <c r="BJ2757" i="4"/>
  <c r="BL2757" i="4"/>
  <c r="BK2757" i="4"/>
  <c r="BJ2749" i="4"/>
  <c r="BL2749" i="4"/>
  <c r="BK2749" i="4"/>
  <c r="BJ2741" i="4"/>
  <c r="BL2741" i="4"/>
  <c r="BK2741" i="4"/>
  <c r="BJ2733" i="4"/>
  <c r="BL2733" i="4"/>
  <c r="BK2733" i="4"/>
  <c r="BJ2725" i="4"/>
  <c r="BL2725" i="4"/>
  <c r="BK2725" i="4"/>
  <c r="BJ2717" i="4"/>
  <c r="BL2717" i="4"/>
  <c r="BK2717" i="4"/>
  <c r="BJ2709" i="4"/>
  <c r="BL2709" i="4"/>
  <c r="BK2709" i="4"/>
  <c r="BJ2701" i="4"/>
  <c r="BL2701" i="4"/>
  <c r="BK2701" i="4"/>
  <c r="BJ2693" i="4"/>
  <c r="BL2693" i="4"/>
  <c r="BK2693" i="4"/>
  <c r="BJ2685" i="4"/>
  <c r="BL2685" i="4"/>
  <c r="BK2685" i="4"/>
  <c r="BJ2677" i="4"/>
  <c r="BL2677" i="4"/>
  <c r="BK2677" i="4"/>
  <c r="BJ2669" i="4"/>
  <c r="BL2669" i="4"/>
  <c r="BK2669" i="4"/>
  <c r="BJ2661" i="4"/>
  <c r="BL2661" i="4"/>
  <c r="BK2661" i="4"/>
  <c r="BJ2653" i="4"/>
  <c r="BL2653" i="4"/>
  <c r="BK2653" i="4"/>
  <c r="BJ2645" i="4"/>
  <c r="BL2645" i="4"/>
  <c r="BK2645" i="4"/>
  <c r="BJ2637" i="4"/>
  <c r="BL2637" i="4"/>
  <c r="BK2637" i="4"/>
  <c r="BJ2629" i="4"/>
  <c r="BL2629" i="4"/>
  <c r="BK2629" i="4"/>
  <c r="BJ2621" i="4"/>
  <c r="BL2621" i="4"/>
  <c r="BK2621" i="4"/>
  <c r="BJ2613" i="4"/>
  <c r="BL2613" i="4"/>
  <c r="BK2613" i="4"/>
  <c r="BJ2605" i="4"/>
  <c r="BL2605" i="4"/>
  <c r="BK2605" i="4"/>
  <c r="BJ2597" i="4"/>
  <c r="BL2597" i="4"/>
  <c r="BK2597" i="4"/>
  <c r="BJ2589" i="4"/>
  <c r="BL2589" i="4"/>
  <c r="BK2589" i="4"/>
  <c r="BJ2581" i="4"/>
  <c r="BL2581" i="4"/>
  <c r="BK2581" i="4"/>
  <c r="BJ2573" i="4"/>
  <c r="BL2573" i="4"/>
  <c r="BK2573" i="4"/>
  <c r="BJ2565" i="4"/>
  <c r="BL2565" i="4"/>
  <c r="BK2565" i="4"/>
  <c r="BJ2557" i="4"/>
  <c r="BL2557" i="4"/>
  <c r="BK2557" i="4"/>
  <c r="BJ2549" i="4"/>
  <c r="BL2549" i="4"/>
  <c r="BK2549" i="4"/>
  <c r="BJ2541" i="4"/>
  <c r="BL2541" i="4"/>
  <c r="BK2541" i="4"/>
  <c r="BJ2533" i="4"/>
  <c r="BL2533" i="4"/>
  <c r="BK2533" i="4"/>
  <c r="BJ2525" i="4"/>
  <c r="BL2525" i="4"/>
  <c r="BK2525" i="4"/>
  <c r="BJ2517" i="4"/>
  <c r="BL2517" i="4"/>
  <c r="BK2517" i="4"/>
  <c r="BJ2509" i="4"/>
  <c r="BL2509" i="4"/>
  <c r="BK2509" i="4"/>
  <c r="BJ2501" i="4"/>
  <c r="BL2501" i="4"/>
  <c r="BK2501" i="4"/>
  <c r="BJ2493" i="4"/>
  <c r="BL2493" i="4"/>
  <c r="BK2493" i="4"/>
  <c r="BJ2485" i="4"/>
  <c r="BL2485" i="4"/>
  <c r="BK2485" i="4"/>
  <c r="BJ2477" i="4"/>
  <c r="BL2477" i="4"/>
  <c r="BK2477" i="4"/>
  <c r="BJ2469" i="4"/>
  <c r="BL2469" i="4"/>
  <c r="BK2469" i="4"/>
  <c r="BJ2461" i="4"/>
  <c r="BL2461" i="4"/>
  <c r="BK2461" i="4"/>
  <c r="BJ2453" i="4"/>
  <c r="BL2453" i="4"/>
  <c r="BK2453" i="4"/>
  <c r="BJ2445" i="4"/>
  <c r="BL2445" i="4"/>
  <c r="BK2445" i="4"/>
  <c r="BJ2437" i="4"/>
  <c r="BL2437" i="4"/>
  <c r="BK2437" i="4"/>
  <c r="BJ2429" i="4"/>
  <c r="BL2429" i="4"/>
  <c r="BK2429" i="4"/>
  <c r="BJ2421" i="4"/>
  <c r="BL2421" i="4"/>
  <c r="BK2421" i="4"/>
  <c r="BJ2413" i="4"/>
  <c r="BL2413" i="4"/>
  <c r="BK2413" i="4"/>
  <c r="BJ2405" i="4"/>
  <c r="BK2405" i="4"/>
  <c r="BL2405" i="4"/>
  <c r="BJ2397" i="4"/>
  <c r="BL2397" i="4"/>
  <c r="BK2397" i="4"/>
  <c r="BJ2389" i="4"/>
  <c r="BL2389" i="4"/>
  <c r="BK2389" i="4"/>
  <c r="BJ2381" i="4"/>
  <c r="BK2381" i="4"/>
  <c r="BL2381" i="4"/>
  <c r="BJ2373" i="4"/>
  <c r="BL2373" i="4"/>
  <c r="BK2373" i="4"/>
  <c r="BJ2365" i="4"/>
  <c r="BL2365" i="4"/>
  <c r="BK2365" i="4"/>
  <c r="BJ2357" i="4"/>
  <c r="BL2357" i="4"/>
  <c r="BK2357" i="4"/>
  <c r="BJ2349" i="4"/>
  <c r="BK2349" i="4"/>
  <c r="BL2349" i="4"/>
  <c r="BJ2341" i="4"/>
  <c r="BL2341" i="4"/>
  <c r="BK2341" i="4"/>
  <c r="BJ2333" i="4"/>
  <c r="BL2333" i="4"/>
  <c r="BK2333" i="4"/>
  <c r="BJ2325" i="4"/>
  <c r="BL2325" i="4"/>
  <c r="BK2325" i="4"/>
  <c r="BJ2317" i="4"/>
  <c r="BK2317" i="4"/>
  <c r="BL2317" i="4"/>
  <c r="BJ2309" i="4"/>
  <c r="BL2309" i="4"/>
  <c r="BK2309" i="4"/>
  <c r="BJ2301" i="4"/>
  <c r="BL2301" i="4"/>
  <c r="BK2301" i="4"/>
  <c r="BJ2293" i="4"/>
  <c r="BL2293" i="4"/>
  <c r="BK2293" i="4"/>
  <c r="BJ2285" i="4"/>
  <c r="BL2285" i="4"/>
  <c r="BK2285" i="4"/>
  <c r="BJ2277" i="4"/>
  <c r="BL2277" i="4"/>
  <c r="BK2277" i="4"/>
  <c r="BJ2269" i="4"/>
  <c r="BL2269" i="4"/>
  <c r="BK2269" i="4"/>
  <c r="BJ2261" i="4"/>
  <c r="BL2261" i="4"/>
  <c r="BK2261" i="4"/>
  <c r="BJ2253" i="4"/>
  <c r="BL2253" i="4"/>
  <c r="BK2253" i="4"/>
  <c r="BJ2245" i="4"/>
  <c r="BL2245" i="4"/>
  <c r="BK2245" i="4"/>
  <c r="BJ2237" i="4"/>
  <c r="BL2237" i="4"/>
  <c r="BK2237" i="4"/>
  <c r="BJ2229" i="4"/>
  <c r="BL2229" i="4"/>
  <c r="BK2229" i="4"/>
  <c r="BJ2221" i="4"/>
  <c r="BL2221" i="4"/>
  <c r="BK2221" i="4"/>
  <c r="BJ2213" i="4"/>
  <c r="BL2213" i="4"/>
  <c r="BK2213" i="4"/>
  <c r="BJ2205" i="4"/>
  <c r="BL2205" i="4"/>
  <c r="BK2205" i="4"/>
  <c r="BJ2197" i="4"/>
  <c r="BL2197" i="4"/>
  <c r="BK2197" i="4"/>
  <c r="BJ2189" i="4"/>
  <c r="BK2189" i="4"/>
  <c r="BL2189" i="4"/>
  <c r="BJ2181" i="4"/>
  <c r="BL2181" i="4"/>
  <c r="BK2181" i="4"/>
  <c r="BJ2173" i="4"/>
  <c r="BL2173" i="4"/>
  <c r="BK2173" i="4"/>
  <c r="BJ2165" i="4"/>
  <c r="BL2165" i="4"/>
  <c r="BK2165" i="4"/>
  <c r="BJ2157" i="4"/>
  <c r="BK2157" i="4"/>
  <c r="BL2157" i="4"/>
  <c r="BJ2149" i="4"/>
  <c r="BL2149" i="4"/>
  <c r="BK2149" i="4"/>
  <c r="BJ2141" i="4"/>
  <c r="BL2141" i="4"/>
  <c r="BK2141" i="4"/>
  <c r="BJ2133" i="4"/>
  <c r="BL2133" i="4"/>
  <c r="BK2133" i="4"/>
  <c r="BJ2125" i="4"/>
  <c r="BK2125" i="4"/>
  <c r="BL2125" i="4"/>
  <c r="BJ2117" i="4"/>
  <c r="BL2117" i="4"/>
  <c r="BK2117" i="4"/>
  <c r="BJ2109" i="4"/>
  <c r="BL2109" i="4"/>
  <c r="BK2109" i="4"/>
  <c r="BJ2101" i="4"/>
  <c r="BL2101" i="4"/>
  <c r="BK2101" i="4"/>
  <c r="BJ2093" i="4"/>
  <c r="BK2093" i="4"/>
  <c r="BL2093" i="4"/>
  <c r="BJ2085" i="4"/>
  <c r="BL2085" i="4"/>
  <c r="BK2085" i="4"/>
  <c r="BJ2077" i="4"/>
  <c r="BL2077" i="4"/>
  <c r="BK2077" i="4"/>
  <c r="BJ2069" i="4"/>
  <c r="BL2069" i="4"/>
  <c r="BK2069" i="4"/>
  <c r="BJ2061" i="4"/>
  <c r="BK2061" i="4"/>
  <c r="BL2061" i="4"/>
  <c r="BJ2053" i="4"/>
  <c r="BL2053" i="4"/>
  <c r="BK2053" i="4"/>
  <c r="BJ2045" i="4"/>
  <c r="BL2045" i="4"/>
  <c r="BK2045" i="4"/>
  <c r="BJ2037" i="4"/>
  <c r="BL2037" i="4"/>
  <c r="BK2037" i="4"/>
  <c r="BJ2029" i="4"/>
  <c r="BL2029" i="4"/>
  <c r="BK2029" i="4"/>
  <c r="BJ2021" i="4"/>
  <c r="BL2021" i="4"/>
  <c r="BK2021" i="4"/>
  <c r="BJ2013" i="4"/>
  <c r="BL2013" i="4"/>
  <c r="BK2013" i="4"/>
  <c r="BJ2005" i="4"/>
  <c r="BL2005" i="4"/>
  <c r="BK2005" i="4"/>
  <c r="BJ1997" i="4"/>
  <c r="BL1997" i="4"/>
  <c r="BK1997" i="4"/>
  <c r="BJ1989" i="4"/>
  <c r="BL1989" i="4"/>
  <c r="BK1989" i="4"/>
  <c r="BJ1981" i="4"/>
  <c r="BL1981" i="4"/>
  <c r="BK1981" i="4"/>
  <c r="BJ1973" i="4"/>
  <c r="BL1973" i="4"/>
  <c r="BK1973" i="4"/>
  <c r="BJ1965" i="4"/>
  <c r="BL1965" i="4"/>
  <c r="BK1965" i="4"/>
  <c r="BJ1957" i="4"/>
  <c r="BL1957" i="4"/>
  <c r="BK1957" i="4"/>
  <c r="BJ1949" i="4"/>
  <c r="BL1949" i="4"/>
  <c r="BK1949" i="4"/>
  <c r="BJ1941" i="4"/>
  <c r="BL1941" i="4"/>
  <c r="BK1941" i="4"/>
  <c r="BJ1933" i="4"/>
  <c r="BK1933" i="4"/>
  <c r="BL1933" i="4"/>
  <c r="BJ1925" i="4"/>
  <c r="BL1925" i="4"/>
  <c r="BK1925" i="4"/>
  <c r="BJ1917" i="4"/>
  <c r="BL1917" i="4"/>
  <c r="BK1917" i="4"/>
  <c r="BJ1909" i="4"/>
  <c r="BL1909" i="4"/>
  <c r="BK1909" i="4"/>
  <c r="BJ1901" i="4"/>
  <c r="BK1901" i="4"/>
  <c r="BL1901" i="4"/>
  <c r="BJ1893" i="4"/>
  <c r="BL1893" i="4"/>
  <c r="BK1893" i="4"/>
  <c r="BJ1885" i="4"/>
  <c r="BL1885" i="4"/>
  <c r="BK1885" i="4"/>
  <c r="BJ1877" i="4"/>
  <c r="BL1877" i="4"/>
  <c r="BK1877" i="4"/>
  <c r="BJ1869" i="4"/>
  <c r="BK1869" i="4"/>
  <c r="BL1869" i="4"/>
  <c r="BJ1861" i="4"/>
  <c r="BL1861" i="4"/>
  <c r="BK1861" i="4"/>
  <c r="BJ1853" i="4"/>
  <c r="BL1853" i="4"/>
  <c r="BK1853" i="4"/>
  <c r="BJ1845" i="4"/>
  <c r="BL1845" i="4"/>
  <c r="BK1845" i="4"/>
  <c r="BJ1837" i="4"/>
  <c r="BK1837" i="4"/>
  <c r="BL1837" i="4"/>
  <c r="BJ1829" i="4"/>
  <c r="BL1829" i="4"/>
  <c r="BK1829" i="4"/>
  <c r="BJ1821" i="4"/>
  <c r="BL1821" i="4"/>
  <c r="BK1821" i="4"/>
  <c r="BJ1813" i="4"/>
  <c r="BL1813" i="4"/>
  <c r="BK1813" i="4"/>
  <c r="BJ1805" i="4"/>
  <c r="BK1805" i="4"/>
  <c r="BL1805" i="4"/>
  <c r="BJ1797" i="4"/>
  <c r="BL1797" i="4"/>
  <c r="BK1797" i="4"/>
  <c r="BJ1789" i="4"/>
  <c r="BL1789" i="4"/>
  <c r="BK1789" i="4"/>
  <c r="BJ1781" i="4"/>
  <c r="BL1781" i="4"/>
  <c r="BK1781" i="4"/>
  <c r="BJ1773" i="4"/>
  <c r="BL1773" i="4"/>
  <c r="BK1773" i="4"/>
  <c r="BJ1765" i="4"/>
  <c r="BL1765" i="4"/>
  <c r="BK1765" i="4"/>
  <c r="BJ1757" i="4"/>
  <c r="BL1757" i="4"/>
  <c r="BK1757" i="4"/>
  <c r="BJ1749" i="4"/>
  <c r="BL1749" i="4"/>
  <c r="BK1749" i="4"/>
  <c r="BJ1741" i="4"/>
  <c r="BL1741" i="4"/>
  <c r="BK1741" i="4"/>
  <c r="BJ1733" i="4"/>
  <c r="BL1733" i="4"/>
  <c r="BK1733" i="4"/>
  <c r="BJ1725" i="4"/>
  <c r="BL1725" i="4"/>
  <c r="BK1725" i="4"/>
  <c r="BJ1717" i="4"/>
  <c r="BL1717" i="4"/>
  <c r="BK1717" i="4"/>
  <c r="BJ1709" i="4"/>
  <c r="BL1709" i="4"/>
  <c r="BK1709" i="4"/>
  <c r="BJ1701" i="4"/>
  <c r="BL1701" i="4"/>
  <c r="BK1701" i="4"/>
  <c r="BJ1693" i="4"/>
  <c r="BL1693" i="4"/>
  <c r="BK1693" i="4"/>
  <c r="BJ1685" i="4"/>
  <c r="BL1685" i="4"/>
  <c r="BK1685" i="4"/>
  <c r="BJ1677" i="4"/>
  <c r="BL1677" i="4"/>
  <c r="BK1677" i="4"/>
  <c r="BJ1669" i="4"/>
  <c r="BL1669" i="4"/>
  <c r="BK1669" i="4"/>
  <c r="BJ1661" i="4"/>
  <c r="BL1661" i="4"/>
  <c r="BK1661" i="4"/>
  <c r="BJ1653" i="4"/>
  <c r="BL1653" i="4"/>
  <c r="BK1653" i="4"/>
  <c r="BJ1645" i="4"/>
  <c r="BL1645" i="4"/>
  <c r="BK1645" i="4"/>
  <c r="BJ1637" i="4"/>
  <c r="BL1637" i="4"/>
  <c r="BK1637" i="4"/>
  <c r="BJ1629" i="4"/>
  <c r="BL1629" i="4"/>
  <c r="BK1629" i="4"/>
  <c r="BJ1621" i="4"/>
  <c r="BL1621" i="4"/>
  <c r="BK1621" i="4"/>
  <c r="BJ1613" i="4"/>
  <c r="BL1613" i="4"/>
  <c r="BK1613" i="4"/>
  <c r="BJ1605" i="4"/>
  <c r="BL1605" i="4"/>
  <c r="BK1605" i="4"/>
  <c r="BJ1597" i="4"/>
  <c r="BL1597" i="4"/>
  <c r="BK1597" i="4"/>
  <c r="BJ1589" i="4"/>
  <c r="BL1589" i="4"/>
  <c r="BK1589" i="4"/>
  <c r="BJ1581" i="4"/>
  <c r="BL1581" i="4"/>
  <c r="BK1581" i="4"/>
  <c r="BJ1573" i="4"/>
  <c r="BL1573" i="4"/>
  <c r="BK1573" i="4"/>
  <c r="BJ1565" i="4"/>
  <c r="BL1565" i="4"/>
  <c r="BK1565" i="4"/>
  <c r="BJ1557" i="4"/>
  <c r="BL1557" i="4"/>
  <c r="BK1557" i="4"/>
  <c r="BJ1549" i="4"/>
  <c r="BK1549" i="4"/>
  <c r="BL1549" i="4"/>
  <c r="BJ1541" i="4"/>
  <c r="BL1541" i="4"/>
  <c r="BK1541" i="4"/>
  <c r="BJ1533" i="4"/>
  <c r="BL1533" i="4"/>
  <c r="BK1533" i="4"/>
  <c r="BJ1525" i="4"/>
  <c r="BL1525" i="4"/>
  <c r="BK1525" i="4"/>
  <c r="BJ1517" i="4"/>
  <c r="BL1517" i="4"/>
  <c r="BK1517" i="4"/>
  <c r="BJ1509" i="4"/>
  <c r="BL1509" i="4"/>
  <c r="BK1509" i="4"/>
  <c r="BJ1501" i="4"/>
  <c r="BL1501" i="4"/>
  <c r="BK1501" i="4"/>
  <c r="BJ1493" i="4"/>
  <c r="BL1493" i="4"/>
  <c r="BK1493" i="4"/>
  <c r="BJ1485" i="4"/>
  <c r="BK1485" i="4"/>
  <c r="BL1485" i="4"/>
  <c r="BJ1477" i="4"/>
  <c r="BL1477" i="4"/>
  <c r="BK1477" i="4"/>
  <c r="BJ1469" i="4"/>
  <c r="BL1469" i="4"/>
  <c r="BK1469" i="4"/>
  <c r="BJ1461" i="4"/>
  <c r="BL1461" i="4"/>
  <c r="BK1461" i="4"/>
  <c r="BJ1453" i="4"/>
  <c r="BL1453" i="4"/>
  <c r="BK1453" i="4"/>
  <c r="BJ1445" i="4"/>
  <c r="BL1445" i="4"/>
  <c r="BK1445" i="4"/>
  <c r="BJ1437" i="4"/>
  <c r="BL1437" i="4"/>
  <c r="BK1437" i="4"/>
  <c r="BJ1429" i="4"/>
  <c r="BL1429" i="4"/>
  <c r="BK1429" i="4"/>
  <c r="BJ1421" i="4"/>
  <c r="BK1421" i="4"/>
  <c r="BL1421" i="4"/>
  <c r="BJ1413" i="4"/>
  <c r="BL1413" i="4"/>
  <c r="BK1413" i="4"/>
  <c r="BJ1405" i="4"/>
  <c r="BL1405" i="4"/>
  <c r="BK1405" i="4"/>
  <c r="BJ1397" i="4"/>
  <c r="BL1397" i="4"/>
  <c r="BK1397" i="4"/>
  <c r="BJ1389" i="4"/>
  <c r="BL1389" i="4"/>
  <c r="BK1389" i="4"/>
  <c r="BJ1381" i="4"/>
  <c r="BL1381" i="4"/>
  <c r="BK1381" i="4"/>
  <c r="BJ1373" i="4"/>
  <c r="BL1373" i="4"/>
  <c r="BK1373" i="4"/>
  <c r="BJ1365" i="4"/>
  <c r="BL1365" i="4"/>
  <c r="BK1365" i="4"/>
  <c r="BJ1357" i="4"/>
  <c r="BL1357" i="4"/>
  <c r="BK1357" i="4"/>
  <c r="BJ1349" i="4"/>
  <c r="BL1349" i="4"/>
  <c r="BK1349" i="4"/>
  <c r="BJ1341" i="4"/>
  <c r="BL1341" i="4"/>
  <c r="BK1341" i="4"/>
  <c r="BJ1333" i="4"/>
  <c r="BL1333" i="4"/>
  <c r="BK1333" i="4"/>
  <c r="BJ1325" i="4"/>
  <c r="BL1325" i="4"/>
  <c r="BK1325" i="4"/>
  <c r="BJ1317" i="4"/>
  <c r="BL1317" i="4"/>
  <c r="BK1317" i="4"/>
  <c r="BJ1309" i="4"/>
  <c r="BL1309" i="4"/>
  <c r="BK1309" i="4"/>
  <c r="BJ1301" i="4"/>
  <c r="BL1301" i="4"/>
  <c r="BK1301" i="4"/>
  <c r="BJ1293" i="4"/>
  <c r="BL1293" i="4"/>
  <c r="BK1293" i="4"/>
  <c r="BJ1285" i="4"/>
  <c r="BL1285" i="4"/>
  <c r="BK1285" i="4"/>
  <c r="BJ1277" i="4"/>
  <c r="BL1277" i="4"/>
  <c r="BK1277" i="4"/>
  <c r="BJ1269" i="4"/>
  <c r="BL1269" i="4"/>
  <c r="BK1269" i="4"/>
  <c r="BJ1261" i="4"/>
  <c r="BL1261" i="4"/>
  <c r="BK1261" i="4"/>
  <c r="BJ1253" i="4"/>
  <c r="BL1253" i="4"/>
  <c r="BK1253" i="4"/>
  <c r="BJ1245" i="4"/>
  <c r="BL1245" i="4"/>
  <c r="BK1245" i="4"/>
  <c r="BJ1237" i="4"/>
  <c r="BL1237" i="4"/>
  <c r="BK1237" i="4"/>
  <c r="BJ1229" i="4"/>
  <c r="BL1229" i="4"/>
  <c r="BK1229" i="4"/>
  <c r="BJ1221" i="4"/>
  <c r="BL1221" i="4"/>
  <c r="BK1221" i="4"/>
  <c r="BJ1213" i="4"/>
  <c r="BL1213" i="4"/>
  <c r="BK1213" i="4"/>
  <c r="BJ1205" i="4"/>
  <c r="BL1205" i="4"/>
  <c r="BK1205" i="4"/>
  <c r="BJ1197" i="4"/>
  <c r="BL1197" i="4"/>
  <c r="BK1197" i="4"/>
  <c r="BJ1189" i="4"/>
  <c r="BL1189" i="4"/>
  <c r="BK1189" i="4"/>
  <c r="BJ1181" i="4"/>
  <c r="BL1181" i="4"/>
  <c r="BK1181" i="4"/>
  <c r="BJ1173" i="4"/>
  <c r="BL1173" i="4"/>
  <c r="BK1173" i="4"/>
  <c r="BJ1165" i="4"/>
  <c r="BL1165" i="4"/>
  <c r="BK1165" i="4"/>
  <c r="BJ1157" i="4"/>
  <c r="BL1157" i="4"/>
  <c r="BK1157" i="4"/>
  <c r="BJ1149" i="4"/>
  <c r="BL1149" i="4"/>
  <c r="BK1149" i="4"/>
  <c r="BJ1141" i="4"/>
  <c r="BL1141" i="4"/>
  <c r="BK1141" i="4"/>
  <c r="BJ1133" i="4"/>
  <c r="BL1133" i="4"/>
  <c r="BK1133" i="4"/>
  <c r="BJ1125" i="4"/>
  <c r="BL1125" i="4"/>
  <c r="BK1125" i="4"/>
  <c r="BJ1117" i="4"/>
  <c r="BL1117" i="4"/>
  <c r="BK1117" i="4"/>
  <c r="BJ1109" i="4"/>
  <c r="BL1109" i="4"/>
  <c r="BK1109" i="4"/>
  <c r="BJ1101" i="4"/>
  <c r="BL1101" i="4"/>
  <c r="BK1101" i="4"/>
  <c r="BJ1093" i="4"/>
  <c r="BL1093" i="4"/>
  <c r="BK1093" i="4"/>
  <c r="BJ1085" i="4"/>
  <c r="BL1085" i="4"/>
  <c r="BK1085" i="4"/>
  <c r="BJ1077" i="4"/>
  <c r="BL1077" i="4"/>
  <c r="BK1077" i="4"/>
  <c r="BJ1069" i="4"/>
  <c r="BL1069" i="4"/>
  <c r="BK1069" i="4"/>
  <c r="BJ1061" i="4"/>
  <c r="BL1061" i="4"/>
  <c r="BK1061" i="4"/>
  <c r="BJ1053" i="4"/>
  <c r="BL1053" i="4"/>
  <c r="BK1053" i="4"/>
  <c r="BJ1045" i="4"/>
  <c r="BL1045" i="4"/>
  <c r="BK1045" i="4"/>
  <c r="BJ1037" i="4"/>
  <c r="BL1037" i="4"/>
  <c r="BK1037" i="4"/>
  <c r="BJ1029" i="4"/>
  <c r="BL1029" i="4"/>
  <c r="BK1029" i="4"/>
  <c r="BJ1021" i="4"/>
  <c r="BL1021" i="4"/>
  <c r="BK1021" i="4"/>
  <c r="BJ1013" i="4"/>
  <c r="BL1013" i="4"/>
  <c r="BK1013" i="4"/>
  <c r="BJ1005" i="4"/>
  <c r="BL1005" i="4"/>
  <c r="BK1005" i="4"/>
  <c r="BJ997" i="4"/>
  <c r="BL997" i="4"/>
  <c r="BK997" i="4"/>
  <c r="BJ989" i="4"/>
  <c r="BL989" i="4"/>
  <c r="BK989" i="4"/>
  <c r="BJ981" i="4"/>
  <c r="BL981" i="4"/>
  <c r="BK981" i="4"/>
  <c r="BJ973" i="4"/>
  <c r="BL973" i="4"/>
  <c r="BK973" i="4"/>
  <c r="BJ965" i="4"/>
  <c r="BL965" i="4"/>
  <c r="BK965" i="4"/>
  <c r="BJ957" i="4"/>
  <c r="BL957" i="4"/>
  <c r="BK957" i="4"/>
  <c r="BJ949" i="4"/>
  <c r="BL949" i="4"/>
  <c r="BK949" i="4"/>
  <c r="BJ941" i="4"/>
  <c r="BL941" i="4"/>
  <c r="BK941" i="4"/>
  <c r="BJ933" i="4"/>
  <c r="BL933" i="4"/>
  <c r="BK933" i="4"/>
  <c r="BJ925" i="4"/>
  <c r="BL925" i="4"/>
  <c r="BK925" i="4"/>
  <c r="BJ917" i="4"/>
  <c r="BL917" i="4"/>
  <c r="BK917" i="4"/>
  <c r="BJ909" i="4"/>
  <c r="BL909" i="4"/>
  <c r="BK909" i="4"/>
  <c r="BJ901" i="4"/>
  <c r="BL901" i="4"/>
  <c r="BK901" i="4"/>
  <c r="BJ893" i="4"/>
  <c r="BL893" i="4"/>
  <c r="BK893" i="4"/>
  <c r="BJ885" i="4"/>
  <c r="BL885" i="4"/>
  <c r="BK885" i="4"/>
  <c r="BJ877" i="4"/>
  <c r="BL877" i="4"/>
  <c r="BK877" i="4"/>
  <c r="BJ869" i="4"/>
  <c r="BL869" i="4"/>
  <c r="BK869" i="4"/>
  <c r="BJ861" i="4"/>
  <c r="BL861" i="4"/>
  <c r="BK861" i="4"/>
  <c r="BJ853" i="4"/>
  <c r="BL853" i="4"/>
  <c r="BK853" i="4"/>
  <c r="BJ845" i="4"/>
  <c r="BL845" i="4"/>
  <c r="BK845" i="4"/>
  <c r="BJ837" i="4"/>
  <c r="BL837" i="4"/>
  <c r="BK837" i="4"/>
  <c r="BJ829" i="4"/>
  <c r="BL829" i="4"/>
  <c r="BK829" i="4"/>
  <c r="BJ821" i="4"/>
  <c r="BL821" i="4"/>
  <c r="BK821" i="4"/>
  <c r="BJ813" i="4"/>
  <c r="BL813" i="4"/>
  <c r="BK813" i="4"/>
  <c r="BJ805" i="4"/>
  <c r="BL805" i="4"/>
  <c r="BK805" i="4"/>
  <c r="BJ797" i="4"/>
  <c r="BL797" i="4"/>
  <c r="BK797" i="4"/>
  <c r="BJ789" i="4"/>
  <c r="BL789" i="4"/>
  <c r="BK789" i="4"/>
  <c r="BJ781" i="4"/>
  <c r="BL781" i="4"/>
  <c r="BK781" i="4"/>
  <c r="BJ773" i="4"/>
  <c r="BL773" i="4"/>
  <c r="BK773" i="4"/>
  <c r="BJ765" i="4"/>
  <c r="BL765" i="4"/>
  <c r="BK765" i="4"/>
  <c r="BJ757" i="4"/>
  <c r="BL757" i="4"/>
  <c r="BK757" i="4"/>
  <c r="BJ749" i="4"/>
  <c r="BL749" i="4"/>
  <c r="BK749" i="4"/>
  <c r="BJ741" i="4"/>
  <c r="BL741" i="4"/>
  <c r="BK741" i="4"/>
  <c r="BJ733" i="4"/>
  <c r="BL733" i="4"/>
  <c r="BK733" i="4"/>
  <c r="BJ725" i="4"/>
  <c r="BL725" i="4"/>
  <c r="BK725" i="4"/>
  <c r="BJ717" i="4"/>
  <c r="BL717" i="4"/>
  <c r="BK717" i="4"/>
  <c r="BJ709" i="4"/>
  <c r="BL709" i="4"/>
  <c r="BK709" i="4"/>
  <c r="BJ701" i="4"/>
  <c r="BL701" i="4"/>
  <c r="BK701" i="4"/>
  <c r="BJ693" i="4"/>
  <c r="BL693" i="4"/>
  <c r="BK693" i="4"/>
  <c r="BJ685" i="4"/>
  <c r="BL685" i="4"/>
  <c r="BK685" i="4"/>
  <c r="BJ677" i="4"/>
  <c r="BL677" i="4"/>
  <c r="BK677" i="4"/>
  <c r="BJ669" i="4"/>
  <c r="BL669" i="4"/>
  <c r="BK669" i="4"/>
  <c r="BJ661" i="4"/>
  <c r="BL661" i="4"/>
  <c r="BK661" i="4"/>
  <c r="BJ653" i="4"/>
  <c r="BL653" i="4"/>
  <c r="BK653" i="4"/>
  <c r="BJ645" i="4"/>
  <c r="BL645" i="4"/>
  <c r="BK645" i="4"/>
  <c r="BJ637" i="4"/>
  <c r="BL637" i="4"/>
  <c r="BK637" i="4"/>
  <c r="BJ629" i="4"/>
  <c r="BL629" i="4"/>
  <c r="BK629" i="4"/>
  <c r="BJ621" i="4"/>
  <c r="BL621" i="4"/>
  <c r="BK621" i="4"/>
  <c r="BJ613" i="4"/>
  <c r="BL613" i="4"/>
  <c r="BK613" i="4"/>
  <c r="BJ605" i="4"/>
  <c r="BL605" i="4"/>
  <c r="BK605" i="4"/>
  <c r="BJ597" i="4"/>
  <c r="BL597" i="4"/>
  <c r="BK597" i="4"/>
  <c r="BJ589" i="4"/>
  <c r="BL589" i="4"/>
  <c r="BK589" i="4"/>
  <c r="BJ581" i="4"/>
  <c r="BL581" i="4"/>
  <c r="BK581" i="4"/>
  <c r="BJ573" i="4"/>
  <c r="BL573" i="4"/>
  <c r="BK573" i="4"/>
  <c r="BJ565" i="4"/>
  <c r="BL565" i="4"/>
  <c r="BK565" i="4"/>
  <c r="BJ557" i="4"/>
  <c r="BL557" i="4"/>
  <c r="BK557" i="4"/>
  <c r="BJ549" i="4"/>
  <c r="BL549" i="4"/>
  <c r="BK549" i="4"/>
  <c r="BJ541" i="4"/>
  <c r="BL541" i="4"/>
  <c r="BK541" i="4"/>
  <c r="BJ533" i="4"/>
  <c r="BL533" i="4"/>
  <c r="BK533" i="4"/>
  <c r="BJ525" i="4"/>
  <c r="BL525" i="4"/>
  <c r="BK525" i="4"/>
  <c r="BJ517" i="4"/>
  <c r="BL517" i="4"/>
  <c r="BK517" i="4"/>
  <c r="BJ509" i="4"/>
  <c r="BL509" i="4"/>
  <c r="BK509" i="4"/>
  <c r="BJ501" i="4"/>
  <c r="BL501" i="4"/>
  <c r="BK501" i="4"/>
  <c r="BJ493" i="4"/>
  <c r="BL493" i="4"/>
  <c r="BK493" i="4"/>
  <c r="BJ485" i="4"/>
  <c r="BL485" i="4"/>
  <c r="BK485" i="4"/>
  <c r="BJ477" i="4"/>
  <c r="BL477" i="4"/>
  <c r="BK477" i="4"/>
  <c r="BJ469" i="4"/>
  <c r="BL469" i="4"/>
  <c r="BK469" i="4"/>
  <c r="BJ461" i="4"/>
  <c r="BL461" i="4"/>
  <c r="BK461" i="4"/>
  <c r="BJ453" i="4"/>
  <c r="BL453" i="4"/>
  <c r="BK453" i="4"/>
  <c r="BJ445" i="4"/>
  <c r="BL445" i="4"/>
  <c r="BK445" i="4"/>
  <c r="BJ437" i="4"/>
  <c r="BL437" i="4"/>
  <c r="BK437" i="4"/>
  <c r="BJ429" i="4"/>
  <c r="BL429" i="4"/>
  <c r="BK429" i="4"/>
  <c r="BJ421" i="4"/>
  <c r="BL421" i="4"/>
  <c r="BK421" i="4"/>
  <c r="BJ413" i="4"/>
  <c r="BL413" i="4"/>
  <c r="BK413" i="4"/>
  <c r="BJ405" i="4"/>
  <c r="BL405" i="4"/>
  <c r="BK405" i="4"/>
  <c r="BJ397" i="4"/>
  <c r="BL397" i="4"/>
  <c r="BK397" i="4"/>
  <c r="BJ389" i="4"/>
  <c r="BL389" i="4"/>
  <c r="BK389" i="4"/>
  <c r="BJ381" i="4"/>
  <c r="BL381" i="4"/>
  <c r="BK381" i="4"/>
  <c r="BJ373" i="4"/>
  <c r="BL373" i="4"/>
  <c r="BK373" i="4"/>
  <c r="BJ365" i="4"/>
  <c r="BL365" i="4"/>
  <c r="BK365" i="4"/>
  <c r="BJ357" i="4"/>
  <c r="BL357" i="4"/>
  <c r="BK357" i="4"/>
  <c r="BJ349" i="4"/>
  <c r="BL349" i="4"/>
  <c r="BK349" i="4"/>
  <c r="BJ341" i="4"/>
  <c r="BL341" i="4"/>
  <c r="BK341" i="4"/>
  <c r="BJ333" i="4"/>
  <c r="BL333" i="4"/>
  <c r="BK333" i="4"/>
  <c r="BJ325" i="4"/>
  <c r="BL325" i="4"/>
  <c r="BK325" i="4"/>
  <c r="P50" i="1"/>
  <c r="Q50" i="1" s="1"/>
  <c r="Q49" i="1"/>
  <c r="P35" i="1"/>
  <c r="Q35" i="1" s="1"/>
  <c r="Q34" i="1"/>
  <c r="F58" i="1"/>
  <c r="G58" i="1" s="1"/>
  <c r="G57" i="1"/>
  <c r="F42" i="1"/>
  <c r="G42" i="1" s="1"/>
  <c r="G41" i="1"/>
  <c r="B11" i="5"/>
  <c r="E58" i="1"/>
  <c r="D58" i="1" s="1"/>
  <c r="O35" i="1"/>
  <c r="N35" i="1" s="1"/>
  <c r="E42" i="1"/>
  <c r="D42" i="1" s="1"/>
  <c r="O50" i="1"/>
  <c r="N50" i="1" s="1"/>
  <c r="AK11" i="5"/>
  <c r="AF11" i="5"/>
  <c r="L11" i="5"/>
  <c r="Q11" i="5"/>
  <c r="G11" i="5"/>
  <c r="V11" i="5"/>
  <c r="B12" i="1"/>
  <c r="C12" i="1"/>
  <c r="E12" i="1"/>
  <c r="D12" i="1" s="1"/>
  <c r="F12" i="1"/>
  <c r="G12" i="1" s="1"/>
  <c r="H12" i="1"/>
  <c r="I12" i="1"/>
  <c r="B26" i="1"/>
  <c r="C26" i="1"/>
  <c r="E26" i="1"/>
  <c r="D26" i="1" s="1"/>
  <c r="F26" i="1"/>
  <c r="G26" i="1" s="1"/>
  <c r="H26" i="1"/>
  <c r="I26" i="1"/>
  <c r="L6" i="1"/>
  <c r="M6" i="1"/>
  <c r="O6" i="1"/>
  <c r="N6" i="1" s="1"/>
  <c r="P6" i="1"/>
  <c r="Q6" i="1" s="1"/>
  <c r="R6" i="1"/>
  <c r="L20" i="1"/>
  <c r="M20" i="1"/>
  <c r="O20" i="1"/>
  <c r="N20" i="1" s="1"/>
  <c r="P20" i="1"/>
  <c r="Q20" i="1" s="1"/>
  <c r="R20" i="1"/>
  <c r="AA11" i="5"/>
  <c r="C6" i="3"/>
  <c r="C7" i="3"/>
  <c r="BG5326" i="4"/>
  <c r="BG5318" i="4"/>
  <c r="BG5310" i="4"/>
  <c r="BG5302" i="4"/>
  <c r="BG5294" i="4"/>
  <c r="BG5286" i="4"/>
  <c r="BG5278" i="4"/>
  <c r="BG5270" i="4"/>
  <c r="BG5262" i="4"/>
  <c r="BG5254" i="4"/>
  <c r="BG5246" i="4"/>
  <c r="BG5238" i="4"/>
  <c r="BG5230" i="4"/>
  <c r="BG5222" i="4"/>
  <c r="BG5214" i="4"/>
  <c r="BG5206" i="4"/>
  <c r="BG5198" i="4"/>
  <c r="BG5190" i="4"/>
  <c r="BG5182" i="4"/>
  <c r="BG5174" i="4"/>
  <c r="BG5166" i="4"/>
  <c r="BG5158" i="4"/>
  <c r="BG5150" i="4"/>
  <c r="BG5142" i="4"/>
  <c r="BG5134" i="4"/>
  <c r="BG5126" i="4"/>
  <c r="BG5118" i="4"/>
  <c r="BG5110" i="4"/>
  <c r="BG5102" i="4"/>
  <c r="BG5094" i="4"/>
  <c r="BG5086" i="4"/>
  <c r="BG5078" i="4"/>
  <c r="BG5070" i="4"/>
  <c r="BG5062" i="4"/>
  <c r="BG5054" i="4"/>
  <c r="BG5046" i="4"/>
  <c r="BG5038" i="4"/>
  <c r="BG5030" i="4"/>
  <c r="BG5022" i="4"/>
  <c r="BG5014" i="4"/>
  <c r="BG5006" i="4"/>
  <c r="BG4998" i="4"/>
  <c r="BG4990" i="4"/>
  <c r="BG4982" i="4"/>
  <c r="BG4974" i="4"/>
  <c r="BG4966" i="4"/>
  <c r="BG4958" i="4"/>
  <c r="BG4950" i="4"/>
  <c r="BG4942" i="4"/>
  <c r="BG4934" i="4"/>
  <c r="BG4926" i="4"/>
  <c r="BG4918" i="4"/>
  <c r="BG4910" i="4"/>
  <c r="BG4902" i="4"/>
  <c r="BG4894" i="4"/>
  <c r="BG4886" i="4"/>
  <c r="BG4878" i="4"/>
  <c r="BG4870" i="4"/>
  <c r="BG4862" i="4"/>
  <c r="BG4854" i="4"/>
  <c r="BG4846" i="4"/>
  <c r="BG4838" i="4"/>
  <c r="BG4830" i="4"/>
  <c r="BG4822" i="4"/>
  <c r="BG4814" i="4"/>
  <c r="BG4806" i="4"/>
  <c r="BG4798" i="4"/>
  <c r="BG4790" i="4"/>
  <c r="BG4782" i="4"/>
  <c r="BG4774" i="4"/>
  <c r="BG4766" i="4"/>
  <c r="BG4758" i="4"/>
  <c r="BG4750" i="4"/>
  <c r="BG4742" i="4"/>
  <c r="BG4734" i="4"/>
  <c r="BG4726" i="4"/>
  <c r="BG4718" i="4"/>
  <c r="BG4710" i="4"/>
  <c r="BG4702" i="4"/>
  <c r="BG4694" i="4"/>
  <c r="BG4686" i="4"/>
  <c r="BG4678" i="4"/>
  <c r="BG4670" i="4"/>
  <c r="BG4662" i="4"/>
  <c r="BG4654" i="4"/>
  <c r="BG4646" i="4"/>
  <c r="BG4638" i="4"/>
  <c r="BG4630" i="4"/>
  <c r="BG4622" i="4"/>
  <c r="BG4614" i="4"/>
  <c r="BG4606" i="4"/>
  <c r="BG4598" i="4"/>
  <c r="BG4590" i="4"/>
  <c r="BG4582" i="4"/>
  <c r="BG4574" i="4"/>
  <c r="BG4566" i="4"/>
  <c r="BG4558" i="4"/>
  <c r="BG4550" i="4"/>
  <c r="BG4542" i="4"/>
  <c r="BG4534" i="4"/>
  <c r="BG4526" i="4"/>
  <c r="BG4518" i="4"/>
  <c r="BG4510" i="4"/>
  <c r="BG4502" i="4"/>
  <c r="BG4494" i="4"/>
  <c r="BG4486" i="4"/>
  <c r="BG4478" i="4"/>
  <c r="BG4470" i="4"/>
  <c r="BG4462" i="4"/>
  <c r="BG4454" i="4"/>
  <c r="BG4446" i="4"/>
  <c r="BG4438" i="4"/>
  <c r="BG4430" i="4"/>
  <c r="BG4422" i="4"/>
  <c r="BG4414" i="4"/>
  <c r="BG4406" i="4"/>
  <c r="BG4398" i="4"/>
  <c r="BG4390" i="4"/>
  <c r="BG4382" i="4"/>
  <c r="BG4374" i="4"/>
  <c r="BG4366" i="4"/>
  <c r="BG4358" i="4"/>
  <c r="BG4350" i="4"/>
  <c r="BG4342" i="4"/>
  <c r="BG4334" i="4"/>
  <c r="BG4326" i="4"/>
  <c r="BG4318" i="4"/>
  <c r="BG4310" i="4"/>
  <c r="BG4302" i="4"/>
  <c r="BG4294" i="4"/>
  <c r="BG4286" i="4"/>
  <c r="BG4278" i="4"/>
  <c r="BG4270" i="4"/>
  <c r="BG4262" i="4"/>
  <c r="BG4254" i="4"/>
  <c r="BG4246" i="4"/>
  <c r="BG4238" i="4"/>
  <c r="BG4230" i="4"/>
  <c r="BG4222" i="4"/>
  <c r="BG4214" i="4"/>
  <c r="BG4206" i="4"/>
  <c r="BG4198" i="4"/>
  <c r="BG4190" i="4"/>
  <c r="BG4182" i="4"/>
  <c r="BG4174" i="4"/>
  <c r="BG4166" i="4"/>
  <c r="BG4158" i="4"/>
  <c r="BG4150" i="4"/>
  <c r="BG4142" i="4"/>
  <c r="BG4134" i="4"/>
  <c r="BG4126" i="4"/>
  <c r="BG4118" i="4"/>
  <c r="BG4110" i="4"/>
  <c r="BG4102" i="4"/>
  <c r="BG4094" i="4"/>
  <c r="BG4086" i="4"/>
  <c r="BG4078" i="4"/>
  <c r="BG4070" i="4"/>
  <c r="BG4062" i="4"/>
  <c r="BG4054" i="4"/>
  <c r="BG4046" i="4"/>
  <c r="BG4038" i="4"/>
  <c r="BG4030" i="4"/>
  <c r="BG4022" i="4"/>
  <c r="BG4014" i="4"/>
  <c r="BG4006" i="4"/>
  <c r="BG3998" i="4"/>
  <c r="BG3990" i="4"/>
  <c r="BG3982" i="4"/>
  <c r="BG3974" i="4"/>
  <c r="BG3966" i="4"/>
  <c r="BG3958" i="4"/>
  <c r="BG3950" i="4"/>
  <c r="BG3942" i="4"/>
  <c r="BG3934" i="4"/>
  <c r="BG3926" i="4"/>
  <c r="BG3918" i="4"/>
  <c r="BG3910" i="4"/>
  <c r="BG3902" i="4"/>
  <c r="BG3894" i="4"/>
  <c r="BG3886" i="4"/>
  <c r="BG3878" i="4"/>
  <c r="BG3870" i="4"/>
  <c r="BG3862" i="4"/>
  <c r="BG3854" i="4"/>
  <c r="BG3846" i="4"/>
  <c r="BG3838" i="4"/>
  <c r="BG3830" i="4"/>
  <c r="BG3822" i="4"/>
  <c r="BG3814" i="4"/>
  <c r="BG3806" i="4"/>
  <c r="BG3798" i="4"/>
  <c r="BG3790" i="4"/>
  <c r="BG3782" i="4"/>
  <c r="BG3774" i="4"/>
  <c r="BG3766" i="4"/>
  <c r="BG3758" i="4"/>
  <c r="BG3750" i="4"/>
  <c r="BG3742" i="4"/>
  <c r="BG3734" i="4"/>
  <c r="BG3726" i="4"/>
  <c r="BG3718" i="4"/>
  <c r="BG3710" i="4"/>
  <c r="BG3702" i="4"/>
  <c r="BG3694" i="4"/>
  <c r="BG3686" i="4"/>
  <c r="BG3678" i="4"/>
  <c r="BG3670" i="4"/>
  <c r="BG3662" i="4"/>
  <c r="BG3654" i="4"/>
  <c r="BG3646" i="4"/>
  <c r="BG3638" i="4"/>
  <c r="BG3630" i="4"/>
  <c r="BG3622" i="4"/>
  <c r="BG3614" i="4"/>
  <c r="BG3606" i="4"/>
  <c r="BG3598" i="4"/>
  <c r="BG3590" i="4"/>
  <c r="BG3582" i="4"/>
  <c r="BG3574" i="4"/>
  <c r="BG3566" i="4"/>
  <c r="BG3558" i="4"/>
  <c r="BG3550" i="4"/>
  <c r="BG3542" i="4"/>
  <c r="BG3534" i="4"/>
  <c r="BG3526" i="4"/>
  <c r="BG3518" i="4"/>
  <c r="BG3510" i="4"/>
  <c r="BG3502" i="4"/>
  <c r="BG3494" i="4"/>
  <c r="BG3486" i="4"/>
  <c r="BG3478" i="4"/>
  <c r="BG3470" i="4"/>
  <c r="BG3462" i="4"/>
  <c r="BG3454" i="4"/>
  <c r="BG3446" i="4"/>
  <c r="BG3438" i="4"/>
  <c r="BG3430" i="4"/>
  <c r="BG3422" i="4"/>
  <c r="BG3414" i="4"/>
  <c r="BG3406" i="4"/>
  <c r="BG3398" i="4"/>
  <c r="BG3390" i="4"/>
  <c r="BG3382" i="4"/>
  <c r="BG3374" i="4"/>
  <c r="BG3366" i="4"/>
  <c r="BG3358" i="4"/>
  <c r="BG3350" i="4"/>
  <c r="BG3342" i="4"/>
  <c r="BG3334" i="4"/>
  <c r="BG3326" i="4"/>
  <c r="BG3318" i="4"/>
  <c r="BG3310" i="4"/>
  <c r="BG3302" i="4"/>
  <c r="BG3294" i="4"/>
  <c r="BG3286" i="4"/>
  <c r="BG3278" i="4"/>
  <c r="BG3270" i="4"/>
  <c r="BG3262" i="4"/>
  <c r="BG3254" i="4"/>
  <c r="BG3246" i="4"/>
  <c r="BG3238" i="4"/>
  <c r="BG3230" i="4"/>
  <c r="BG3222" i="4"/>
  <c r="BG3214" i="4"/>
  <c r="BG3206" i="4"/>
  <c r="BG3198" i="4"/>
  <c r="BG3190" i="4"/>
  <c r="BG3182" i="4"/>
  <c r="BG3174" i="4"/>
  <c r="BG3166" i="4"/>
  <c r="BG3158" i="4"/>
  <c r="BG3150" i="4"/>
  <c r="BG3142" i="4"/>
  <c r="BG3134" i="4"/>
  <c r="BG3126" i="4"/>
  <c r="BG3118" i="4"/>
  <c r="BG3110" i="4"/>
  <c r="BG3102" i="4"/>
  <c r="BG3094" i="4"/>
  <c r="BG3086" i="4"/>
  <c r="BG3078" i="4"/>
  <c r="BG3070" i="4"/>
  <c r="BG3062" i="4"/>
  <c r="BG3054" i="4"/>
  <c r="BG3046" i="4"/>
  <c r="BG3038" i="4"/>
  <c r="BG3030" i="4"/>
  <c r="BG3022" i="4"/>
  <c r="BG3014" i="4"/>
  <c r="BG3006" i="4"/>
  <c r="BG2998" i="4"/>
  <c r="BG2990" i="4"/>
  <c r="BG2982" i="4"/>
  <c r="BG2974" i="4"/>
  <c r="BG2966" i="4"/>
  <c r="BG2958" i="4"/>
  <c r="BG2950" i="4"/>
  <c r="BG2942" i="4"/>
  <c r="BG2934" i="4"/>
  <c r="BG2926" i="4"/>
  <c r="BG2918" i="4"/>
  <c r="BG2910" i="4"/>
  <c r="BG2902" i="4"/>
  <c r="BG2894" i="4"/>
  <c r="BG2886" i="4"/>
  <c r="BG2878" i="4"/>
  <c r="BG2870" i="4"/>
  <c r="BG2862" i="4"/>
  <c r="BG2854" i="4"/>
  <c r="BG2846" i="4"/>
  <c r="BG2838" i="4"/>
  <c r="BG2830" i="4"/>
  <c r="BG2822" i="4"/>
  <c r="BG2814" i="4"/>
  <c r="BG2806" i="4"/>
  <c r="BG2798" i="4"/>
  <c r="BG2790" i="4"/>
  <c r="BG2782" i="4"/>
  <c r="BG2774" i="4"/>
  <c r="BG2766" i="4"/>
  <c r="BG2758" i="4"/>
  <c r="BG2750" i="4"/>
  <c r="BG2742" i="4"/>
  <c r="BG2734" i="4"/>
  <c r="BG2726" i="4"/>
  <c r="BG2718" i="4"/>
  <c r="BG2710" i="4"/>
  <c r="BG2702" i="4"/>
  <c r="BG2694" i="4"/>
  <c r="BG2686" i="4"/>
  <c r="BG2678" i="4"/>
  <c r="BG2670" i="4"/>
  <c r="BG2662" i="4"/>
  <c r="BG2654" i="4"/>
  <c r="BG2646" i="4"/>
  <c r="BG2638" i="4"/>
  <c r="BG2630" i="4"/>
  <c r="BG2622" i="4"/>
  <c r="BG2614" i="4"/>
  <c r="BG2606" i="4"/>
  <c r="BG2598" i="4"/>
  <c r="BG2590" i="4"/>
  <c r="BG2582" i="4"/>
  <c r="BG2574" i="4"/>
  <c r="BG2566" i="4"/>
  <c r="BG2558" i="4"/>
  <c r="BG2550" i="4"/>
  <c r="BG2542" i="4"/>
  <c r="BG2534" i="4"/>
  <c r="BG2526" i="4"/>
  <c r="BG2518" i="4"/>
  <c r="BG2510" i="4"/>
  <c r="BG2502" i="4"/>
  <c r="BG2494" i="4"/>
  <c r="BG2486" i="4"/>
  <c r="BG2478" i="4"/>
  <c r="BG2470" i="4"/>
  <c r="BG2462" i="4"/>
  <c r="BG2454" i="4"/>
  <c r="BG2446" i="4"/>
  <c r="BG2438" i="4"/>
  <c r="BG2430" i="4"/>
  <c r="BG2422" i="4"/>
  <c r="BG2414" i="4"/>
  <c r="BG2406" i="4"/>
  <c r="BG2398" i="4"/>
  <c r="BG2390" i="4"/>
  <c r="BG2382" i="4"/>
  <c r="BG2374" i="4"/>
  <c r="BG2366" i="4"/>
  <c r="BG2358" i="4"/>
  <c r="BG2350" i="4"/>
  <c r="BG2342" i="4"/>
  <c r="BG2334" i="4"/>
  <c r="BG2326" i="4"/>
  <c r="BG2318" i="4"/>
  <c r="BG2310" i="4"/>
  <c r="BG2302" i="4"/>
  <c r="BG2294" i="4"/>
  <c r="BG2286" i="4"/>
  <c r="BG2278" i="4"/>
  <c r="BG2270" i="4"/>
  <c r="BG2262" i="4"/>
  <c r="BG2254" i="4"/>
  <c r="BG2246" i="4"/>
  <c r="BG2238" i="4"/>
  <c r="BG2230" i="4"/>
  <c r="BG2222" i="4"/>
  <c r="BG2214" i="4"/>
  <c r="BG2206" i="4"/>
  <c r="BG2198" i="4"/>
  <c r="BG2190" i="4"/>
  <c r="BG2182" i="4"/>
  <c r="BG2174" i="4"/>
  <c r="BG2166" i="4"/>
  <c r="BG2158" i="4"/>
  <c r="BG2150" i="4"/>
  <c r="BG2142" i="4"/>
  <c r="BG2134" i="4"/>
  <c r="BG2126" i="4"/>
  <c r="BG2118" i="4"/>
  <c r="BG2110" i="4"/>
  <c r="BG2102" i="4"/>
  <c r="BG2094" i="4"/>
  <c r="BG2086" i="4"/>
  <c r="BG2078" i="4"/>
  <c r="BG2070" i="4"/>
  <c r="BG2062" i="4"/>
  <c r="BG2054" i="4"/>
  <c r="BG2046" i="4"/>
  <c r="BG2038" i="4"/>
  <c r="BG2030" i="4"/>
  <c r="BG2022" i="4"/>
  <c r="BG2014" i="4"/>
  <c r="BG2006" i="4"/>
  <c r="BG1998" i="4"/>
  <c r="BG1990" i="4"/>
  <c r="BG1982" i="4"/>
  <c r="BG1974" i="4"/>
  <c r="BG1966" i="4"/>
  <c r="BG1958" i="4"/>
  <c r="BG1950" i="4"/>
  <c r="BG1942" i="4"/>
  <c r="BG1934" i="4"/>
  <c r="BG1926" i="4"/>
  <c r="BG1918" i="4"/>
  <c r="BG1910" i="4"/>
  <c r="BG1902" i="4"/>
  <c r="BG1894" i="4"/>
  <c r="BG1886" i="4"/>
  <c r="BG1878" i="4"/>
  <c r="BG1870" i="4"/>
  <c r="BG1862" i="4"/>
  <c r="BG1854" i="4"/>
  <c r="BG1846" i="4"/>
  <c r="BG1838" i="4"/>
  <c r="BG1830" i="4"/>
  <c r="BG1822" i="4"/>
  <c r="BG1814" i="4"/>
  <c r="BG1806" i="4"/>
  <c r="BG1798" i="4"/>
  <c r="BG1790" i="4"/>
  <c r="BG1782" i="4"/>
  <c r="BG1774" i="4"/>
  <c r="BG1766" i="4"/>
  <c r="BG1758" i="4"/>
  <c r="BG1750" i="4"/>
  <c r="BG1742" i="4"/>
  <c r="BG1734" i="4"/>
  <c r="BG1726" i="4"/>
  <c r="BG1718" i="4"/>
  <c r="BG1710" i="4"/>
  <c r="BG1702" i="4"/>
  <c r="BG1694" i="4"/>
  <c r="BG1686" i="4"/>
  <c r="BG1678" i="4"/>
  <c r="BG1670" i="4"/>
  <c r="BG1662" i="4"/>
  <c r="BG1654" i="4"/>
  <c r="BG1646" i="4"/>
  <c r="BG1638" i="4"/>
  <c r="BG1630" i="4"/>
  <c r="BG1622" i="4"/>
  <c r="BG1614" i="4"/>
  <c r="BG1606" i="4"/>
  <c r="BG1598" i="4"/>
  <c r="BG1590" i="4"/>
  <c r="BG1582" i="4"/>
  <c r="BG1574" i="4"/>
  <c r="BG1566" i="4"/>
  <c r="BG1558" i="4"/>
  <c r="BG1550" i="4"/>
  <c r="BG1542" i="4"/>
  <c r="BG1534" i="4"/>
  <c r="BG1526" i="4"/>
  <c r="BG1518" i="4"/>
  <c r="BG1510" i="4"/>
  <c r="BG1502" i="4"/>
  <c r="BG1494" i="4"/>
  <c r="BG1486" i="4"/>
  <c r="BG1478" i="4"/>
  <c r="BG1470" i="4"/>
  <c r="BG1462" i="4"/>
  <c r="BG1454" i="4"/>
  <c r="BG1446" i="4"/>
  <c r="BG1438" i="4"/>
  <c r="BG1430" i="4"/>
  <c r="BG1422" i="4"/>
  <c r="BG1414" i="4"/>
  <c r="BG1406" i="4"/>
  <c r="BG1398" i="4"/>
  <c r="BG1390" i="4"/>
  <c r="BG1382" i="4"/>
  <c r="BG1374" i="4"/>
  <c r="BG1366" i="4"/>
  <c r="BG1358" i="4"/>
  <c r="BG1350" i="4"/>
  <c r="BG1342" i="4"/>
  <c r="BG1334" i="4"/>
  <c r="BG1326" i="4"/>
  <c r="BG1318" i="4"/>
  <c r="BG1310" i="4"/>
  <c r="BG1302" i="4"/>
  <c r="BG1294" i="4"/>
  <c r="BG1286" i="4"/>
  <c r="BG1278" i="4"/>
  <c r="BG1270" i="4"/>
  <c r="BG1262" i="4"/>
  <c r="BG1254" i="4"/>
  <c r="BG1246" i="4"/>
  <c r="BG1238" i="4"/>
  <c r="BG1230" i="4"/>
  <c r="BG1222" i="4"/>
  <c r="BG1214" i="4"/>
  <c r="BG1206" i="4"/>
  <c r="BG1198" i="4"/>
  <c r="BG1190" i="4"/>
  <c r="BG1182" i="4"/>
  <c r="BG1174" i="4"/>
  <c r="BG1166" i="4"/>
  <c r="BG1158" i="4"/>
  <c r="BG1150" i="4"/>
  <c r="BG1142" i="4"/>
  <c r="BG1134" i="4"/>
  <c r="BG1126" i="4"/>
  <c r="BG1118" i="4"/>
  <c r="BG1110" i="4"/>
  <c r="BG1102" i="4"/>
  <c r="BG1094" i="4"/>
  <c r="BG1086" i="4"/>
  <c r="BG1078" i="4"/>
  <c r="BG5325" i="4"/>
  <c r="BG5317" i="4"/>
  <c r="BG5309" i="4"/>
  <c r="BG5301" i="4"/>
  <c r="BG5293" i="4"/>
  <c r="BG5285" i="4"/>
  <c r="BG5277" i="4"/>
  <c r="BG5269" i="4"/>
  <c r="BG5261" i="4"/>
  <c r="BG5253" i="4"/>
  <c r="BG5245" i="4"/>
  <c r="BG5237" i="4"/>
  <c r="BG5229" i="4"/>
  <c r="BG5221" i="4"/>
  <c r="BG5213" i="4"/>
  <c r="BG5205" i="4"/>
  <c r="BG5197" i="4"/>
  <c r="BG5189" i="4"/>
  <c r="BG5181" i="4"/>
  <c r="BG5173" i="4"/>
  <c r="BG5165" i="4"/>
  <c r="BG5157" i="4"/>
  <c r="BG5149" i="4"/>
  <c r="BG5141" i="4"/>
  <c r="BG5133" i="4"/>
  <c r="BG5125" i="4"/>
  <c r="BG5117" i="4"/>
  <c r="BG5109" i="4"/>
  <c r="BG5101" i="4"/>
  <c r="BG5093" i="4"/>
  <c r="BG5085" i="4"/>
  <c r="BG5077" i="4"/>
  <c r="BG5069" i="4"/>
  <c r="BG5061" i="4"/>
  <c r="BG5053" i="4"/>
  <c r="BG5045" i="4"/>
  <c r="BG5037" i="4"/>
  <c r="BG5029" i="4"/>
  <c r="BG5021" i="4"/>
  <c r="BG5013" i="4"/>
  <c r="BG5005" i="4"/>
  <c r="BG4997" i="4"/>
  <c r="BG4989" i="4"/>
  <c r="BG4981" i="4"/>
  <c r="BG4973" i="4"/>
  <c r="BG4965" i="4"/>
  <c r="BG4957" i="4"/>
  <c r="BG5324" i="4"/>
  <c r="BG5316" i="4"/>
  <c r="BG5308" i="4"/>
  <c r="BG5300" i="4"/>
  <c r="BG5292" i="4"/>
  <c r="BG5284" i="4"/>
  <c r="BG5276" i="4"/>
  <c r="BG5268" i="4"/>
  <c r="BG5260" i="4"/>
  <c r="BG5252" i="4"/>
  <c r="BG5244" i="4"/>
  <c r="BG5236" i="4"/>
  <c r="BG5228" i="4"/>
  <c r="BG5220" i="4"/>
  <c r="BG5212" i="4"/>
  <c r="BG5204" i="4"/>
  <c r="BG5196" i="4"/>
  <c r="BG5188" i="4"/>
  <c r="BG5180" i="4"/>
  <c r="BG5172" i="4"/>
  <c r="BG5164" i="4"/>
  <c r="BG5156" i="4"/>
  <c r="BG5148" i="4"/>
  <c r="BG5140" i="4"/>
  <c r="BG5132" i="4"/>
  <c r="BG5124" i="4"/>
  <c r="BG5116" i="4"/>
  <c r="BG5108" i="4"/>
  <c r="BG5100" i="4"/>
  <c r="BG5092" i="4"/>
  <c r="BG5084" i="4"/>
  <c r="BG5076" i="4"/>
  <c r="BG5068" i="4"/>
  <c r="BG5060" i="4"/>
  <c r="BG5052" i="4"/>
  <c r="BG5044" i="4"/>
  <c r="BG5036" i="4"/>
  <c r="BG5028" i="4"/>
  <c r="BG5020" i="4"/>
  <c r="BG5012" i="4"/>
  <c r="BG5004" i="4"/>
  <c r="BG4996" i="4"/>
  <c r="BG4988" i="4"/>
  <c r="BG4980" i="4"/>
  <c r="BG4972" i="4"/>
  <c r="BG4964" i="4"/>
  <c r="BG4956" i="4"/>
  <c r="BG4948" i="4"/>
  <c r="BG4940" i="4"/>
  <c r="BG4932" i="4"/>
  <c r="BG4924" i="4"/>
  <c r="BG4916" i="4"/>
  <c r="BG4908" i="4"/>
  <c r="BG4900" i="4"/>
  <c r="BG4892" i="4"/>
  <c r="BG4884" i="4"/>
  <c r="BG4876" i="4"/>
  <c r="BG4868" i="4"/>
  <c r="BG4860" i="4"/>
  <c r="BG4852" i="4"/>
  <c r="BG4844" i="4"/>
  <c r="BG4836" i="4"/>
  <c r="BG4828" i="4"/>
  <c r="BG4820" i="4"/>
  <c r="BG4812" i="4"/>
  <c r="BG4804" i="4"/>
  <c r="BG4796" i="4"/>
  <c r="BG4788" i="4"/>
  <c r="BG4780" i="4"/>
  <c r="BG4772" i="4"/>
  <c r="BG4764" i="4"/>
  <c r="BG4756" i="4"/>
  <c r="BG4748" i="4"/>
  <c r="BG4740" i="4"/>
  <c r="BG4732" i="4"/>
  <c r="BG4724" i="4"/>
  <c r="BG4716" i="4"/>
  <c r="BG4708" i="4"/>
  <c r="BG4700" i="4"/>
  <c r="BG4692" i="4"/>
  <c r="BG4684" i="4"/>
  <c r="BG4676" i="4"/>
  <c r="BG4668" i="4"/>
  <c r="BG4660" i="4"/>
  <c r="BG4652" i="4"/>
  <c r="BG4644" i="4"/>
  <c r="BG4636" i="4"/>
  <c r="BG4628" i="4"/>
  <c r="BG4620" i="4"/>
  <c r="BG4612" i="4"/>
  <c r="BG4604" i="4"/>
  <c r="BG4596" i="4"/>
  <c r="BG4588" i="4"/>
  <c r="BG4580" i="4"/>
  <c r="BG5331" i="4"/>
  <c r="BG5323" i="4"/>
  <c r="BG5315" i="4"/>
  <c r="BG5307" i="4"/>
  <c r="BG5299" i="4"/>
  <c r="BG5291" i="4"/>
  <c r="BG5283" i="4"/>
  <c r="BG5275" i="4"/>
  <c r="BG5267" i="4"/>
  <c r="BG5259" i="4"/>
  <c r="BG5251" i="4"/>
  <c r="BG5243" i="4"/>
  <c r="BG5235" i="4"/>
  <c r="BG5227" i="4"/>
  <c r="BG5219" i="4"/>
  <c r="BG5211" i="4"/>
  <c r="BG5203" i="4"/>
  <c r="BG5195" i="4"/>
  <c r="BG5187" i="4"/>
  <c r="BG5179" i="4"/>
  <c r="BG5171" i="4"/>
  <c r="BG5163" i="4"/>
  <c r="BG5155" i="4"/>
  <c r="BG5147" i="4"/>
  <c r="BG5139" i="4"/>
  <c r="BG5131" i="4"/>
  <c r="BG5123" i="4"/>
  <c r="BG5115" i="4"/>
  <c r="BG5107" i="4"/>
  <c r="BG5099" i="4"/>
  <c r="BG5091" i="4"/>
  <c r="BG5083" i="4"/>
  <c r="BG5075" i="4"/>
  <c r="BG5067" i="4"/>
  <c r="BG5059" i="4"/>
  <c r="BG5051" i="4"/>
  <c r="BG5043" i="4"/>
  <c r="BG5035" i="4"/>
  <c r="BG5027" i="4"/>
  <c r="BG5019" i="4"/>
  <c r="BG5011" i="4"/>
  <c r="BG5003" i="4"/>
  <c r="BG4995" i="4"/>
  <c r="BG4987" i="4"/>
  <c r="BG4979" i="4"/>
  <c r="BG4971" i="4"/>
  <c r="BG4963" i="4"/>
  <c r="BG4955" i="4"/>
  <c r="BG4947" i="4"/>
  <c r="BG4939" i="4"/>
  <c r="BG4931" i="4"/>
  <c r="BG4923" i="4"/>
  <c r="BG4915" i="4"/>
  <c r="BG4907" i="4"/>
  <c r="BG4899" i="4"/>
  <c r="BG4891" i="4"/>
  <c r="BG4883" i="4"/>
  <c r="BG4875" i="4"/>
  <c r="BG4867" i="4"/>
  <c r="BG4859" i="4"/>
  <c r="BG4851" i="4"/>
  <c r="BG4843" i="4"/>
  <c r="BG4835" i="4"/>
  <c r="BG4827" i="4"/>
  <c r="BG4819" i="4"/>
  <c r="BG4811" i="4"/>
  <c r="BG4803" i="4"/>
  <c r="BG4795" i="4"/>
  <c r="BG4787" i="4"/>
  <c r="BG4779" i="4"/>
  <c r="BG4771" i="4"/>
  <c r="BG4763" i="4"/>
  <c r="BG4755" i="4"/>
  <c r="BG4747" i="4"/>
  <c r="BG4739" i="4"/>
  <c r="BG4731" i="4"/>
  <c r="BG4723" i="4"/>
  <c r="BG4715" i="4"/>
  <c r="BG4707" i="4"/>
  <c r="BG4699" i="4"/>
  <c r="BG4691" i="4"/>
  <c r="BG4683" i="4"/>
  <c r="BG4675" i="4"/>
  <c r="BG4667" i="4"/>
  <c r="BG4659" i="4"/>
  <c r="BG4651" i="4"/>
  <c r="BG4643" i="4"/>
  <c r="BG4635" i="4"/>
  <c r="BG4627" i="4"/>
  <c r="BG4619" i="4"/>
  <c r="BG4611" i="4"/>
  <c r="BG4603" i="4"/>
  <c r="BG4595" i="4"/>
  <c r="BG4587" i="4"/>
  <c r="BG4579" i="4"/>
  <c r="BG4571" i="4"/>
  <c r="BG4563" i="4"/>
  <c r="BG4555" i="4"/>
  <c r="BG4547" i="4"/>
  <c r="BG4539" i="4"/>
  <c r="BG4531" i="4"/>
  <c r="BG4523" i="4"/>
  <c r="BG4515" i="4"/>
  <c r="BG4507" i="4"/>
  <c r="BG4499" i="4"/>
  <c r="BG4491" i="4"/>
  <c r="BG4483" i="4"/>
  <c r="BG4475" i="4"/>
  <c r="BG4467" i="4"/>
  <c r="BG4459" i="4"/>
  <c r="BG4451" i="4"/>
  <c r="BG4443" i="4"/>
  <c r="BG4435" i="4"/>
  <c r="BG4427" i="4"/>
  <c r="BG4419" i="4"/>
  <c r="BG4411" i="4"/>
  <c r="BG4403" i="4"/>
  <c r="BG4395" i="4"/>
  <c r="BG4387" i="4"/>
  <c r="BG4379" i="4"/>
  <c r="BG4371" i="4"/>
  <c r="BG4363" i="4"/>
  <c r="BG4355" i="4"/>
  <c r="BG4347" i="4"/>
  <c r="BG4339" i="4"/>
  <c r="BG4331" i="4"/>
  <c r="BG4323" i="4"/>
  <c r="BG4315" i="4"/>
  <c r="BG4307" i="4"/>
  <c r="BG4299" i="4"/>
  <c r="BG4291" i="4"/>
  <c r="BG4283" i="4"/>
  <c r="BG4275" i="4"/>
  <c r="BG4267" i="4"/>
  <c r="BG4259" i="4"/>
  <c r="BG4251" i="4"/>
  <c r="BG4243" i="4"/>
  <c r="BG5330" i="4"/>
  <c r="BG5322" i="4"/>
  <c r="BG5314" i="4"/>
  <c r="BG5306" i="4"/>
  <c r="BG5298" i="4"/>
  <c r="BG5290" i="4"/>
  <c r="BG5282" i="4"/>
  <c r="BG5274" i="4"/>
  <c r="BG5266" i="4"/>
  <c r="BG5258" i="4"/>
  <c r="BG5250" i="4"/>
  <c r="BG5242" i="4"/>
  <c r="BG5234" i="4"/>
  <c r="BG5226" i="4"/>
  <c r="BG5218" i="4"/>
  <c r="BG5210" i="4"/>
  <c r="BG5202" i="4"/>
  <c r="BG5194" i="4"/>
  <c r="BG5186" i="4"/>
  <c r="BG5178" i="4"/>
  <c r="BG5170" i="4"/>
  <c r="BG5162" i="4"/>
  <c r="BG5154" i="4"/>
  <c r="BG5146" i="4"/>
  <c r="BG5138" i="4"/>
  <c r="BG5130" i="4"/>
  <c r="BG5122" i="4"/>
  <c r="BG5114" i="4"/>
  <c r="BG5106" i="4"/>
  <c r="BG5098" i="4"/>
  <c r="BG5090" i="4"/>
  <c r="BG5082" i="4"/>
  <c r="BG5074" i="4"/>
  <c r="BG5066" i="4"/>
  <c r="BG5058" i="4"/>
  <c r="BG5050" i="4"/>
  <c r="BG5042" i="4"/>
  <c r="BG5034" i="4"/>
  <c r="BG5026" i="4"/>
  <c r="BG5018" i="4"/>
  <c r="BG5010" i="4"/>
  <c r="BG5002" i="4"/>
  <c r="BG4994" i="4"/>
  <c r="BG4986" i="4"/>
  <c r="BG4978" i="4"/>
  <c r="BG4970" i="4"/>
  <c r="BG4962" i="4"/>
  <c r="BG4954" i="4"/>
  <c r="BG4946" i="4"/>
  <c r="BG4938" i="4"/>
  <c r="BG4930" i="4"/>
  <c r="BG4922" i="4"/>
  <c r="BG4914" i="4"/>
  <c r="BG4906" i="4"/>
  <c r="BG4898" i="4"/>
  <c r="BG4890" i="4"/>
  <c r="BG4882" i="4"/>
  <c r="BG4874" i="4"/>
  <c r="BG4866" i="4"/>
  <c r="BG4858" i="4"/>
  <c r="BG4850" i="4"/>
  <c r="BG4842" i="4"/>
  <c r="BG4834" i="4"/>
  <c r="BG4826" i="4"/>
  <c r="BG4818" i="4"/>
  <c r="BG4810" i="4"/>
  <c r="BG4802" i="4"/>
  <c r="BG4794" i="4"/>
  <c r="BG4786" i="4"/>
  <c r="BG4778" i="4"/>
  <c r="BG4770" i="4"/>
  <c r="BG4762" i="4"/>
  <c r="BG4754" i="4"/>
  <c r="BG4746" i="4"/>
  <c r="BG4738" i="4"/>
  <c r="BG4730" i="4"/>
  <c r="BG4722" i="4"/>
  <c r="BG4714" i="4"/>
  <c r="BG4706" i="4"/>
  <c r="BG4698" i="4"/>
  <c r="BG4690" i="4"/>
  <c r="BG4682" i="4"/>
  <c r="BG4674" i="4"/>
  <c r="BG4666" i="4"/>
  <c r="BG4658" i="4"/>
  <c r="BG4650" i="4"/>
  <c r="BG4642" i="4"/>
  <c r="BG4634" i="4"/>
  <c r="BG4626" i="4"/>
  <c r="BG4618" i="4"/>
  <c r="BG4610" i="4"/>
  <c r="BG4602" i="4"/>
  <c r="BG4594" i="4"/>
  <c r="BG4586" i="4"/>
  <c r="BG5329" i="4"/>
  <c r="BG5321" i="4"/>
  <c r="BG5313" i="4"/>
  <c r="BG5305" i="4"/>
  <c r="BG5297" i="4"/>
  <c r="BG5289" i="4"/>
  <c r="BG5281" i="4"/>
  <c r="BG5273" i="4"/>
  <c r="BG5265" i="4"/>
  <c r="BG5257" i="4"/>
  <c r="BG5249" i="4"/>
  <c r="BG5241" i="4"/>
  <c r="BG5233" i="4"/>
  <c r="BG5225" i="4"/>
  <c r="BG5217" i="4"/>
  <c r="BG5209" i="4"/>
  <c r="BG5201" i="4"/>
  <c r="BG5193" i="4"/>
  <c r="BG5185" i="4"/>
  <c r="BG5177" i="4"/>
  <c r="BG5169" i="4"/>
  <c r="BG5161" i="4"/>
  <c r="BG5153" i="4"/>
  <c r="BG5145" i="4"/>
  <c r="BG5137" i="4"/>
  <c r="BG5129" i="4"/>
  <c r="BG5121" i="4"/>
  <c r="BG5113" i="4"/>
  <c r="BG5105" i="4"/>
  <c r="BG5097" i="4"/>
  <c r="BG5089" i="4"/>
  <c r="BG5081" i="4"/>
  <c r="BG5073" i="4"/>
  <c r="BG5065" i="4"/>
  <c r="BG5057" i="4"/>
  <c r="BG5049" i="4"/>
  <c r="BG5041" i="4"/>
  <c r="BG5033" i="4"/>
  <c r="BG5025" i="4"/>
  <c r="BG5017" i="4"/>
  <c r="BG5009" i="4"/>
  <c r="BG5001" i="4"/>
  <c r="BG4993" i="4"/>
  <c r="BG4985" i="4"/>
  <c r="BG4977" i="4"/>
  <c r="BG4969" i="4"/>
  <c r="BG4961" i="4"/>
  <c r="BG4953" i="4"/>
  <c r="BG4945" i="4"/>
  <c r="BG4937" i="4"/>
  <c r="BG4929" i="4"/>
  <c r="BG4921" i="4"/>
  <c r="BG4913" i="4"/>
  <c r="BG4905" i="4"/>
  <c r="BG4897" i="4"/>
  <c r="BG4889" i="4"/>
  <c r="BG4881" i="4"/>
  <c r="BG4873" i="4"/>
  <c r="BG4865" i="4"/>
  <c r="BG4857" i="4"/>
  <c r="BG4849" i="4"/>
  <c r="BG4841" i="4"/>
  <c r="BG4833" i="4"/>
  <c r="BG4825" i="4"/>
  <c r="BG4817" i="4"/>
  <c r="BG4809" i="4"/>
  <c r="BG4801" i="4"/>
  <c r="BG4793" i="4"/>
  <c r="BG4785" i="4"/>
  <c r="BG4777" i="4"/>
  <c r="BG4769" i="4"/>
  <c r="BG4761" i="4"/>
  <c r="BG4753" i="4"/>
  <c r="BG4745" i="4"/>
  <c r="BG4737" i="4"/>
  <c r="BG4729" i="4"/>
  <c r="BG4721" i="4"/>
  <c r="BG4713" i="4"/>
  <c r="BG4705" i="4"/>
  <c r="BG4697" i="4"/>
  <c r="BG4689" i="4"/>
  <c r="BG4681" i="4"/>
  <c r="BG4673" i="4"/>
  <c r="BG4665" i="4"/>
  <c r="BG4657" i="4"/>
  <c r="BG4649" i="4"/>
  <c r="BG4641" i="4"/>
  <c r="BG4633" i="4"/>
  <c r="BG4625" i="4"/>
  <c r="BG4617" i="4"/>
  <c r="BG4609" i="4"/>
  <c r="BG4601" i="4"/>
  <c r="BG4593" i="4"/>
  <c r="BG4585" i="4"/>
  <c r="BG4577" i="4"/>
  <c r="BG4569" i="4"/>
  <c r="BG4561" i="4"/>
  <c r="BG4553" i="4"/>
  <c r="BG4545" i="4"/>
  <c r="BG4537" i="4"/>
  <c r="BG4529" i="4"/>
  <c r="BG4521" i="4"/>
  <c r="BG4513" i="4"/>
  <c r="BG4505" i="4"/>
  <c r="BG4497" i="4"/>
  <c r="BG5328" i="4"/>
  <c r="BG5320" i="4"/>
  <c r="BG5312" i="4"/>
  <c r="BG5304" i="4"/>
  <c r="BG5296" i="4"/>
  <c r="BG5288" i="4"/>
  <c r="BG5280" i="4"/>
  <c r="BG5272" i="4"/>
  <c r="BG5264" i="4"/>
  <c r="BG5256" i="4"/>
  <c r="BG5248" i="4"/>
  <c r="BG5240" i="4"/>
  <c r="BG5232" i="4"/>
  <c r="BG5224" i="4"/>
  <c r="BG5216" i="4"/>
  <c r="BG5208" i="4"/>
  <c r="BG5200" i="4"/>
  <c r="BG5192" i="4"/>
  <c r="BG5184" i="4"/>
  <c r="BG5176" i="4"/>
  <c r="BG5168" i="4"/>
  <c r="BG5160" i="4"/>
  <c r="BG5152" i="4"/>
  <c r="BG5144" i="4"/>
  <c r="BG5136" i="4"/>
  <c r="BG5128" i="4"/>
  <c r="BG5120" i="4"/>
  <c r="BG5112" i="4"/>
  <c r="BG5104" i="4"/>
  <c r="BG5096" i="4"/>
  <c r="BG5088" i="4"/>
  <c r="BG5080" i="4"/>
  <c r="BG5072" i="4"/>
  <c r="BG5064" i="4"/>
  <c r="BG5056" i="4"/>
  <c r="BG5048" i="4"/>
  <c r="BG5040" i="4"/>
  <c r="BG5032" i="4"/>
  <c r="BG5024" i="4"/>
  <c r="BG5016" i="4"/>
  <c r="BG5008" i="4"/>
  <c r="BG5000" i="4"/>
  <c r="BG4992" i="4"/>
  <c r="BG4984" i="4"/>
  <c r="BG4976" i="4"/>
  <c r="BG4968" i="4"/>
  <c r="BG4960" i="4"/>
  <c r="BG4952" i="4"/>
  <c r="BG4944" i="4"/>
  <c r="BG4936" i="4"/>
  <c r="BG4928" i="4"/>
  <c r="BG4920" i="4"/>
  <c r="BG4912" i="4"/>
  <c r="BG4904" i="4"/>
  <c r="BG4896" i="4"/>
  <c r="BG4888" i="4"/>
  <c r="BG4880" i="4"/>
  <c r="BG4872" i="4"/>
  <c r="BG4864" i="4"/>
  <c r="BG4856" i="4"/>
  <c r="BG4848" i="4"/>
  <c r="BG4840" i="4"/>
  <c r="BG4832" i="4"/>
  <c r="BG4824" i="4"/>
  <c r="BG4816" i="4"/>
  <c r="BG4808" i="4"/>
  <c r="BG4800" i="4"/>
  <c r="BG4792" i="4"/>
  <c r="BG4784" i="4"/>
  <c r="BG4776" i="4"/>
  <c r="BG4768" i="4"/>
  <c r="BG4760" i="4"/>
  <c r="BG4752" i="4"/>
  <c r="BG4744" i="4"/>
  <c r="BG4736" i="4"/>
  <c r="BG4728" i="4"/>
  <c r="BG4720" i="4"/>
  <c r="BG4712" i="4"/>
  <c r="BG4704" i="4"/>
  <c r="BG4696" i="4"/>
  <c r="BG4688" i="4"/>
  <c r="BG4680" i="4"/>
  <c r="BG4672" i="4"/>
  <c r="BG4664" i="4"/>
  <c r="BG4656" i="4"/>
  <c r="BG4648" i="4"/>
  <c r="BG4640" i="4"/>
  <c r="BG4632" i="4"/>
  <c r="BG4624" i="4"/>
  <c r="BG4616" i="4"/>
  <c r="BG4608" i="4"/>
  <c r="BG4600" i="4"/>
  <c r="BG4592" i="4"/>
  <c r="BG4584" i="4"/>
  <c r="BG4576" i="4"/>
  <c r="BG4568" i="4"/>
  <c r="BG4560" i="4"/>
  <c r="BG4552" i="4"/>
  <c r="BG4544" i="4"/>
  <c r="BG4536" i="4"/>
  <c r="BG4528" i="4"/>
  <c r="BG4520" i="4"/>
  <c r="BG4512" i="4"/>
  <c r="BG4504" i="4"/>
  <c r="BG4496" i="4"/>
  <c r="BG4488" i="4"/>
  <c r="BG4480" i="4"/>
  <c r="BG4472" i="4"/>
  <c r="BG4464" i="4"/>
  <c r="BG4456" i="4"/>
  <c r="BG4448" i="4"/>
  <c r="BG4440" i="4"/>
  <c r="BG4432" i="4"/>
  <c r="BG4424" i="4"/>
  <c r="BG4416" i="4"/>
  <c r="BG4408" i="4"/>
  <c r="BG4400" i="4"/>
  <c r="BG4392" i="4"/>
  <c r="BG4384" i="4"/>
  <c r="BG4376" i="4"/>
  <c r="BG4368" i="4"/>
  <c r="BG4360" i="4"/>
  <c r="BG4352" i="4"/>
  <c r="BG4344" i="4"/>
  <c r="BG4336" i="4"/>
  <c r="BG4328" i="4"/>
  <c r="BG4320" i="4"/>
  <c r="BG4312" i="4"/>
  <c r="BG4304" i="4"/>
  <c r="BG4296" i="4"/>
  <c r="BG4288" i="4"/>
  <c r="BG4280" i="4"/>
  <c r="BG4272" i="4"/>
  <c r="BG4264" i="4"/>
  <c r="BG4256" i="4"/>
  <c r="BG4248" i="4"/>
  <c r="BG4240" i="4"/>
  <c r="BG4232" i="4"/>
  <c r="BG4224" i="4"/>
  <c r="BG4216" i="4"/>
  <c r="BG4208" i="4"/>
  <c r="BG4200" i="4"/>
  <c r="BG4192" i="4"/>
  <c r="BG4184" i="4"/>
  <c r="BG4176" i="4"/>
  <c r="BG4168" i="4"/>
  <c r="BG4160" i="4"/>
  <c r="BG4152" i="4"/>
  <c r="BG4144" i="4"/>
  <c r="BG4136" i="4"/>
  <c r="BG4128" i="4"/>
  <c r="BG4120" i="4"/>
  <c r="BG4112" i="4"/>
  <c r="BG4104" i="4"/>
  <c r="BG4096" i="4"/>
  <c r="BG4088" i="4"/>
  <c r="BG4080" i="4"/>
  <c r="BG4072" i="4"/>
  <c r="BG5327" i="4"/>
  <c r="BG5319" i="4"/>
  <c r="BG5311" i="4"/>
  <c r="BG5303" i="4"/>
  <c r="BG5295" i="4"/>
  <c r="BG5287" i="4"/>
  <c r="BG5279" i="4"/>
  <c r="BG5271" i="4"/>
  <c r="BG5263" i="4"/>
  <c r="BG5255" i="4"/>
  <c r="BG5247" i="4"/>
  <c r="BG5239" i="4"/>
  <c r="BG5231" i="4"/>
  <c r="BG5223" i="4"/>
  <c r="BG5215" i="4"/>
  <c r="BG5207" i="4"/>
  <c r="BG5199" i="4"/>
  <c r="BG5191" i="4"/>
  <c r="BG5183" i="4"/>
  <c r="BG5175" i="4"/>
  <c r="BG5167" i="4"/>
  <c r="BG5159" i="4"/>
  <c r="BG5151" i="4"/>
  <c r="BG5143" i="4"/>
  <c r="BG5135" i="4"/>
  <c r="BG5127" i="4"/>
  <c r="BG5119" i="4"/>
  <c r="BG5111" i="4"/>
  <c r="BG5103" i="4"/>
  <c r="BG5095" i="4"/>
  <c r="BG5087" i="4"/>
  <c r="BG5079" i="4"/>
  <c r="BG5071" i="4"/>
  <c r="BG5063" i="4"/>
  <c r="BG5055" i="4"/>
  <c r="BG5047" i="4"/>
  <c r="BG5039" i="4"/>
  <c r="BG5031" i="4"/>
  <c r="BG5023" i="4"/>
  <c r="BG5015" i="4"/>
  <c r="BG5007" i="4"/>
  <c r="BG4999" i="4"/>
  <c r="BG4991" i="4"/>
  <c r="BG4983" i="4"/>
  <c r="BG4975" i="4"/>
  <c r="BG4967" i="4"/>
  <c r="BG4959" i="4"/>
  <c r="BG4951" i="4"/>
  <c r="BG4943" i="4"/>
  <c r="BG4935" i="4"/>
  <c r="BG4927" i="4"/>
  <c r="BG4919" i="4"/>
  <c r="BG4911" i="4"/>
  <c r="BG4903" i="4"/>
  <c r="BG4895" i="4"/>
  <c r="BG4887" i="4"/>
  <c r="BG4879" i="4"/>
  <c r="BG4871" i="4"/>
  <c r="BG4863" i="4"/>
  <c r="BG4855" i="4"/>
  <c r="BG4847" i="4"/>
  <c r="BG4839" i="4"/>
  <c r="BG4831" i="4"/>
  <c r="BG4823" i="4"/>
  <c r="BG4815" i="4"/>
  <c r="BG4807" i="4"/>
  <c r="BG4799" i="4"/>
  <c r="BG4791" i="4"/>
  <c r="BG4783" i="4"/>
  <c r="BG4775" i="4"/>
  <c r="BG4767" i="4"/>
  <c r="BG4759" i="4"/>
  <c r="BG4751" i="4"/>
  <c r="BG4743" i="4"/>
  <c r="BG4735" i="4"/>
  <c r="BG4727" i="4"/>
  <c r="BG4719" i="4"/>
  <c r="BG4711" i="4"/>
  <c r="BG4703" i="4"/>
  <c r="BG4695" i="4"/>
  <c r="BG4687" i="4"/>
  <c r="BG4679" i="4"/>
  <c r="BG4671" i="4"/>
  <c r="BG4663" i="4"/>
  <c r="BG4655" i="4"/>
  <c r="BG4647" i="4"/>
  <c r="BG4639" i="4"/>
  <c r="BG4631" i="4"/>
  <c r="BG4623" i="4"/>
  <c r="BG4615" i="4"/>
  <c r="BG4607" i="4"/>
  <c r="BG4599" i="4"/>
  <c r="BG4591" i="4"/>
  <c r="BG4583" i="4"/>
  <c r="BG4575" i="4"/>
  <c r="BG4567" i="4"/>
  <c r="BG4559" i="4"/>
  <c r="BG4551" i="4"/>
  <c r="BG4543" i="4"/>
  <c r="BG4535" i="4"/>
  <c r="BG4527" i="4"/>
  <c r="BG4519" i="4"/>
  <c r="BG4511" i="4"/>
  <c r="BG4503" i="4"/>
  <c r="BG4495" i="4"/>
  <c r="BG4487" i="4"/>
  <c r="BG4479" i="4"/>
  <c r="BG4471" i="4"/>
  <c r="BG4463" i="4"/>
  <c r="BG4455" i="4"/>
  <c r="BG4447" i="4"/>
  <c r="BG4439" i="4"/>
  <c r="BG4431" i="4"/>
  <c r="BG4423" i="4"/>
  <c r="BG4415" i="4"/>
  <c r="BG4407" i="4"/>
  <c r="BG4399" i="4"/>
  <c r="BG4391" i="4"/>
  <c r="BG4383" i="4"/>
  <c r="BG4375" i="4"/>
  <c r="BG4367" i="4"/>
  <c r="BG4359" i="4"/>
  <c r="BG4351" i="4"/>
  <c r="BG4343" i="4"/>
  <c r="BG4335" i="4"/>
  <c r="BG4327" i="4"/>
  <c r="BG4319" i="4"/>
  <c r="BG4311" i="4"/>
  <c r="BG4303" i="4"/>
  <c r="BG4295" i="4"/>
  <c r="BG4287" i="4"/>
  <c r="BG4279" i="4"/>
  <c r="BG4271" i="4"/>
  <c r="BG4263" i="4"/>
  <c r="BG4255" i="4"/>
  <c r="BG4247" i="4"/>
  <c r="BG4239" i="4"/>
  <c r="BG4231" i="4"/>
  <c r="BG4949" i="4"/>
  <c r="BG4941" i="4"/>
  <c r="BG4933" i="4"/>
  <c r="BG4925" i="4"/>
  <c r="BG4917" i="4"/>
  <c r="BG4909" i="4"/>
  <c r="BG4901" i="4"/>
  <c r="BG4893" i="4"/>
  <c r="BG4885" i="4"/>
  <c r="BG4877" i="4"/>
  <c r="BG4869" i="4"/>
  <c r="BG4861" i="4"/>
  <c r="BG4853" i="4"/>
  <c r="BG4845" i="4"/>
  <c r="BG4837" i="4"/>
  <c r="BG4829" i="4"/>
  <c r="BG4821" i="4"/>
  <c r="BG4813" i="4"/>
  <c r="BG4805" i="4"/>
  <c r="BG4797" i="4"/>
  <c r="BG4789" i="4"/>
  <c r="BG4781" i="4"/>
  <c r="BG4773" i="4"/>
  <c r="BG4765" i="4"/>
  <c r="BG4757" i="4"/>
  <c r="BG4749" i="4"/>
  <c r="BG4741" i="4"/>
  <c r="BG4733" i="4"/>
  <c r="BG4725" i="4"/>
  <c r="BG4717" i="4"/>
  <c r="BG4709" i="4"/>
  <c r="BG4701" i="4"/>
  <c r="BG4693" i="4"/>
  <c r="BG4685" i="4"/>
  <c r="BG4677" i="4"/>
  <c r="BG4669" i="4"/>
  <c r="BG4661" i="4"/>
  <c r="BG4653" i="4"/>
  <c r="BG4645" i="4"/>
  <c r="BG4637" i="4"/>
  <c r="BG4629" i="4"/>
  <c r="BG4621" i="4"/>
  <c r="BG4613" i="4"/>
  <c r="BG4605" i="4"/>
  <c r="BG4597" i="4"/>
  <c r="BG4589" i="4"/>
  <c r="BG4581" i="4"/>
  <c r="BG4573" i="4"/>
  <c r="BG4565" i="4"/>
  <c r="BG4557" i="4"/>
  <c r="BG4549" i="4"/>
  <c r="BG4541" i="4"/>
  <c r="BG4533" i="4"/>
  <c r="BG4525" i="4"/>
  <c r="BG4517" i="4"/>
  <c r="BG4509" i="4"/>
  <c r="BG4501" i="4"/>
  <c r="BG4493" i="4"/>
  <c r="BG4485" i="4"/>
  <c r="BG4477" i="4"/>
  <c r="BG4469" i="4"/>
  <c r="BG4461" i="4"/>
  <c r="BG4453" i="4"/>
  <c r="BG4445" i="4"/>
  <c r="BG4437" i="4"/>
  <c r="BG4429" i="4"/>
  <c r="BG4421" i="4"/>
  <c r="BG4413" i="4"/>
  <c r="BG4405" i="4"/>
  <c r="BG4397" i="4"/>
  <c r="BG4389" i="4"/>
  <c r="BG4381" i="4"/>
  <c r="BG4373" i="4"/>
  <c r="BG4365" i="4"/>
  <c r="BG4357" i="4"/>
  <c r="BG4349" i="4"/>
  <c r="BG4341" i="4"/>
  <c r="BG4333" i="4"/>
  <c r="BG4325" i="4"/>
  <c r="BG4317" i="4"/>
  <c r="BG4309" i="4"/>
  <c r="BG4301" i="4"/>
  <c r="BG4293" i="4"/>
  <c r="BG4285" i="4"/>
  <c r="BG4277" i="4"/>
  <c r="BG4269" i="4"/>
  <c r="BG4261" i="4"/>
  <c r="BG4253" i="4"/>
  <c r="BG4245" i="4"/>
  <c r="BG4237" i="4"/>
  <c r="BG4229" i="4"/>
  <c r="BG4221" i="4"/>
  <c r="BG4213" i="4"/>
  <c r="BG4205" i="4"/>
  <c r="BG4197" i="4"/>
  <c r="BG4189" i="4"/>
  <c r="BG4181" i="4"/>
  <c r="BG4173" i="4"/>
  <c r="BG4165" i="4"/>
  <c r="BG4157" i="4"/>
  <c r="BG4149" i="4"/>
  <c r="BG4141" i="4"/>
  <c r="BG4133" i="4"/>
  <c r="BG4125" i="4"/>
  <c r="BG4117" i="4"/>
  <c r="BG4109" i="4"/>
  <c r="BG4101" i="4"/>
  <c r="BG4093" i="4"/>
  <c r="BG4085" i="4"/>
  <c r="BG4077" i="4"/>
  <c r="BG4069" i="4"/>
  <c r="BG4061" i="4"/>
  <c r="BG4053" i="4"/>
  <c r="BG4045" i="4"/>
  <c r="BG4037" i="4"/>
  <c r="BG4029" i="4"/>
  <c r="BG4021" i="4"/>
  <c r="BG4013" i="4"/>
  <c r="BG4005" i="4"/>
  <c r="BG3997" i="4"/>
  <c r="BG3989" i="4"/>
  <c r="BG3981" i="4"/>
  <c r="BG3973" i="4"/>
  <c r="BG3965" i="4"/>
  <c r="BG3957" i="4"/>
  <c r="BG3949" i="4"/>
  <c r="BG3941" i="4"/>
  <c r="BG3933" i="4"/>
  <c r="BG3925" i="4"/>
  <c r="BG3917" i="4"/>
  <c r="BG3909" i="4"/>
  <c r="BG3901" i="4"/>
  <c r="BG3893" i="4"/>
  <c r="BG3885" i="4"/>
  <c r="BG3877" i="4"/>
  <c r="BG3869" i="4"/>
  <c r="BG3861" i="4"/>
  <c r="BG3853" i="4"/>
  <c r="BG3845" i="4"/>
  <c r="BG3837" i="4"/>
  <c r="BG3829" i="4"/>
  <c r="BG3821" i="4"/>
  <c r="BG3813" i="4"/>
  <c r="BG3805" i="4"/>
  <c r="BG3797" i="4"/>
  <c r="BG3789" i="4"/>
  <c r="BG3781" i="4"/>
  <c r="BG3773" i="4"/>
  <c r="BG3765" i="4"/>
  <c r="BG3757" i="4"/>
  <c r="BG3749" i="4"/>
  <c r="BG3741" i="4"/>
  <c r="BG3733" i="4"/>
  <c r="BG3725" i="4"/>
  <c r="BG3717" i="4"/>
  <c r="BG3709" i="4"/>
  <c r="BG3701" i="4"/>
  <c r="BG4572" i="4"/>
  <c r="BG4564" i="4"/>
  <c r="BG4556" i="4"/>
  <c r="BG4548" i="4"/>
  <c r="BG4540" i="4"/>
  <c r="BG4532" i="4"/>
  <c r="BG4524" i="4"/>
  <c r="BG4516" i="4"/>
  <c r="BG4508" i="4"/>
  <c r="BG4500" i="4"/>
  <c r="BG4492" i="4"/>
  <c r="BG4484" i="4"/>
  <c r="BG4476" i="4"/>
  <c r="BG4468" i="4"/>
  <c r="BG4460" i="4"/>
  <c r="BG4452" i="4"/>
  <c r="BG4444" i="4"/>
  <c r="BG4436" i="4"/>
  <c r="BG4428" i="4"/>
  <c r="BG4420" i="4"/>
  <c r="BG4412" i="4"/>
  <c r="BG4404" i="4"/>
  <c r="BG4396" i="4"/>
  <c r="BG4388" i="4"/>
  <c r="BG4380" i="4"/>
  <c r="BG4372" i="4"/>
  <c r="BG4364" i="4"/>
  <c r="BG4356" i="4"/>
  <c r="BG4348" i="4"/>
  <c r="BG4340" i="4"/>
  <c r="BG4332" i="4"/>
  <c r="BG4324" i="4"/>
  <c r="BG4316" i="4"/>
  <c r="BG4308" i="4"/>
  <c r="BG4300" i="4"/>
  <c r="BG4292" i="4"/>
  <c r="BG4284" i="4"/>
  <c r="BG4276" i="4"/>
  <c r="BG4268" i="4"/>
  <c r="BG4260" i="4"/>
  <c r="BG4252" i="4"/>
  <c r="BG4244" i="4"/>
  <c r="BG4236" i="4"/>
  <c r="BG4228" i="4"/>
  <c r="BG4220" i="4"/>
  <c r="BG4212" i="4"/>
  <c r="BG4204" i="4"/>
  <c r="BG4196" i="4"/>
  <c r="BG4188" i="4"/>
  <c r="BG4180" i="4"/>
  <c r="BG4172" i="4"/>
  <c r="BG4164" i="4"/>
  <c r="BG4156" i="4"/>
  <c r="BG4148" i="4"/>
  <c r="BG4140" i="4"/>
  <c r="BG4132" i="4"/>
  <c r="BG4124" i="4"/>
  <c r="BG4116" i="4"/>
  <c r="BG4108" i="4"/>
  <c r="BG4100" i="4"/>
  <c r="BG4092" i="4"/>
  <c r="BG4084" i="4"/>
  <c r="BG4076" i="4"/>
  <c r="BG4068" i="4"/>
  <c r="BG4060" i="4"/>
  <c r="BG4052" i="4"/>
  <c r="BG4044" i="4"/>
  <c r="BG4036" i="4"/>
  <c r="BG4028" i="4"/>
  <c r="BG4020" i="4"/>
  <c r="BG4012" i="4"/>
  <c r="BG4004" i="4"/>
  <c r="BG3996" i="4"/>
  <c r="BG3988" i="4"/>
  <c r="BG3980" i="4"/>
  <c r="BG3972" i="4"/>
  <c r="BG3964" i="4"/>
  <c r="BG3956" i="4"/>
  <c r="BG3948" i="4"/>
  <c r="BG3940" i="4"/>
  <c r="BG3932" i="4"/>
  <c r="BG3924" i="4"/>
  <c r="BG3916" i="4"/>
  <c r="BG3908" i="4"/>
  <c r="BG3900" i="4"/>
  <c r="BG3892" i="4"/>
  <c r="BG3884" i="4"/>
  <c r="BG3876" i="4"/>
  <c r="BG3868" i="4"/>
  <c r="BG3860" i="4"/>
  <c r="BG3852" i="4"/>
  <c r="BG3844" i="4"/>
  <c r="BG3836" i="4"/>
  <c r="BG3828" i="4"/>
  <c r="BG3820" i="4"/>
  <c r="BG3812" i="4"/>
  <c r="BG3804" i="4"/>
  <c r="BG3796" i="4"/>
  <c r="BG3788" i="4"/>
  <c r="BG3780" i="4"/>
  <c r="BG3772" i="4"/>
  <c r="BG3764" i="4"/>
  <c r="BG3756" i="4"/>
  <c r="BG3748" i="4"/>
  <c r="BG3740" i="4"/>
  <c r="BG3732" i="4"/>
  <c r="BG3724" i="4"/>
  <c r="BG3716" i="4"/>
  <c r="BG3708" i="4"/>
  <c r="BG3700" i="4"/>
  <c r="BG3692" i="4"/>
  <c r="BG3684" i="4"/>
  <c r="BG3676" i="4"/>
  <c r="BG3668" i="4"/>
  <c r="BG3660" i="4"/>
  <c r="BG3652" i="4"/>
  <c r="BG3644" i="4"/>
  <c r="BG3636" i="4"/>
  <c r="BG3628" i="4"/>
  <c r="BG3620" i="4"/>
  <c r="BG3612" i="4"/>
  <c r="BG3604" i="4"/>
  <c r="BG3596" i="4"/>
  <c r="BG3588" i="4"/>
  <c r="BG3580" i="4"/>
  <c r="BG3572" i="4"/>
  <c r="BG3564" i="4"/>
  <c r="BG3556" i="4"/>
  <c r="BG3548" i="4"/>
  <c r="BG3540" i="4"/>
  <c r="BG3532" i="4"/>
  <c r="BG3524" i="4"/>
  <c r="BG3516" i="4"/>
  <c r="BG3508" i="4"/>
  <c r="BG3500" i="4"/>
  <c r="BG3492" i="4"/>
  <c r="BG3484" i="4"/>
  <c r="BG3476" i="4"/>
  <c r="BG3468" i="4"/>
  <c r="BG3460" i="4"/>
  <c r="BG3452" i="4"/>
  <c r="BG3444" i="4"/>
  <c r="BG3436" i="4"/>
  <c r="BG3428" i="4"/>
  <c r="BG3420" i="4"/>
  <c r="BG3412" i="4"/>
  <c r="BG4235" i="4"/>
  <c r="BG4227" i="4"/>
  <c r="BG4219" i="4"/>
  <c r="BG4211" i="4"/>
  <c r="BG4203" i="4"/>
  <c r="BG4195" i="4"/>
  <c r="BG4187" i="4"/>
  <c r="BG4179" i="4"/>
  <c r="BG4171" i="4"/>
  <c r="BG4163" i="4"/>
  <c r="BG4155" i="4"/>
  <c r="BG4147" i="4"/>
  <c r="BG4139" i="4"/>
  <c r="BG4131" i="4"/>
  <c r="BG4123" i="4"/>
  <c r="BG4115" i="4"/>
  <c r="BG4107" i="4"/>
  <c r="BG4099" i="4"/>
  <c r="BG4091" i="4"/>
  <c r="BG4083" i="4"/>
  <c r="BG4075" i="4"/>
  <c r="BG4067" i="4"/>
  <c r="BG4059" i="4"/>
  <c r="BG4051" i="4"/>
  <c r="BG4043" i="4"/>
  <c r="BG4035" i="4"/>
  <c r="BG4027" i="4"/>
  <c r="BG4019" i="4"/>
  <c r="BG4011" i="4"/>
  <c r="BG4003" i="4"/>
  <c r="BG3995" i="4"/>
  <c r="BG3987" i="4"/>
  <c r="BG3979" i="4"/>
  <c r="BG3971" i="4"/>
  <c r="BG3963" i="4"/>
  <c r="BG3955" i="4"/>
  <c r="BG3947" i="4"/>
  <c r="BG3939" i="4"/>
  <c r="BG3931" i="4"/>
  <c r="BG3923" i="4"/>
  <c r="BG3915" i="4"/>
  <c r="BG3907" i="4"/>
  <c r="BG3899" i="4"/>
  <c r="BG3891" i="4"/>
  <c r="BG3883" i="4"/>
  <c r="BG3875" i="4"/>
  <c r="BG3867" i="4"/>
  <c r="BG3859" i="4"/>
  <c r="BG3851" i="4"/>
  <c r="BG3843" i="4"/>
  <c r="BG3835" i="4"/>
  <c r="BG3827" i="4"/>
  <c r="BG3819" i="4"/>
  <c r="BG3811" i="4"/>
  <c r="BG3803" i="4"/>
  <c r="BG3795" i="4"/>
  <c r="BG3787" i="4"/>
  <c r="BG3779" i="4"/>
  <c r="BG3771" i="4"/>
  <c r="BG3763" i="4"/>
  <c r="BG3755" i="4"/>
  <c r="BG3747" i="4"/>
  <c r="BG3739" i="4"/>
  <c r="BG3731" i="4"/>
  <c r="BG3723" i="4"/>
  <c r="BG3715" i="4"/>
  <c r="BG3707" i="4"/>
  <c r="BG3699" i="4"/>
  <c r="BG3691" i="4"/>
  <c r="BG3683" i="4"/>
  <c r="BG3675" i="4"/>
  <c r="BG3667" i="4"/>
  <c r="BG3659" i="4"/>
  <c r="BG3651" i="4"/>
  <c r="BG3643" i="4"/>
  <c r="BG3635" i="4"/>
  <c r="BG3627" i="4"/>
  <c r="BG3619" i="4"/>
  <c r="BG3611" i="4"/>
  <c r="BG3603" i="4"/>
  <c r="BG3595" i="4"/>
  <c r="BG3587" i="4"/>
  <c r="BG3579" i="4"/>
  <c r="BG3571" i="4"/>
  <c r="BG3563" i="4"/>
  <c r="BG3555" i="4"/>
  <c r="BG3547" i="4"/>
  <c r="BG3539" i="4"/>
  <c r="BG3531" i="4"/>
  <c r="BG3523" i="4"/>
  <c r="BG3515" i="4"/>
  <c r="BG3507" i="4"/>
  <c r="BG3499" i="4"/>
  <c r="BG3491" i="4"/>
  <c r="BG3483" i="4"/>
  <c r="BG3475" i="4"/>
  <c r="BG3467" i="4"/>
  <c r="BG3459" i="4"/>
  <c r="BG3451" i="4"/>
  <c r="BG3443" i="4"/>
  <c r="BG3435" i="4"/>
  <c r="BG3427" i="4"/>
  <c r="BG3419" i="4"/>
  <c r="BG3411" i="4"/>
  <c r="BG3403" i="4"/>
  <c r="BG3395" i="4"/>
  <c r="BG3387" i="4"/>
  <c r="BG3379" i="4"/>
  <c r="BG3371" i="4"/>
  <c r="BG3363" i="4"/>
  <c r="BG3355" i="4"/>
  <c r="BG3347" i="4"/>
  <c r="BG3339" i="4"/>
  <c r="BG3331" i="4"/>
  <c r="BG3323" i="4"/>
  <c r="BG3315" i="4"/>
  <c r="BG3307" i="4"/>
  <c r="BG3299" i="4"/>
  <c r="BG3291" i="4"/>
  <c r="BG3283" i="4"/>
  <c r="BG3275" i="4"/>
  <c r="BG3267" i="4"/>
  <c r="BG3259" i="4"/>
  <c r="BG3251" i="4"/>
  <c r="BG3243" i="4"/>
  <c r="BG4578" i="4"/>
  <c r="BG4570" i="4"/>
  <c r="BG4562" i="4"/>
  <c r="BG4554" i="4"/>
  <c r="BG4546" i="4"/>
  <c r="BG4538" i="4"/>
  <c r="BG4530" i="4"/>
  <c r="BG4522" i="4"/>
  <c r="BG4514" i="4"/>
  <c r="BG4506" i="4"/>
  <c r="BG4498" i="4"/>
  <c r="BG4490" i="4"/>
  <c r="BG4482" i="4"/>
  <c r="BG4474" i="4"/>
  <c r="BG4466" i="4"/>
  <c r="BG4458" i="4"/>
  <c r="BG4450" i="4"/>
  <c r="BG4442" i="4"/>
  <c r="BG4434" i="4"/>
  <c r="BG4426" i="4"/>
  <c r="BG4418" i="4"/>
  <c r="BG4410" i="4"/>
  <c r="BG4402" i="4"/>
  <c r="BG4394" i="4"/>
  <c r="BG4386" i="4"/>
  <c r="BG4378" i="4"/>
  <c r="BG4370" i="4"/>
  <c r="BG4362" i="4"/>
  <c r="BG4354" i="4"/>
  <c r="BG4346" i="4"/>
  <c r="BG4338" i="4"/>
  <c r="BG4330" i="4"/>
  <c r="BG4322" i="4"/>
  <c r="BG4314" i="4"/>
  <c r="BG4306" i="4"/>
  <c r="BG4298" i="4"/>
  <c r="BG4290" i="4"/>
  <c r="BG4282" i="4"/>
  <c r="BG4274" i="4"/>
  <c r="BG4266" i="4"/>
  <c r="BG4258" i="4"/>
  <c r="BG4250" i="4"/>
  <c r="BG4242" i="4"/>
  <c r="BG4234" i="4"/>
  <c r="BG4226" i="4"/>
  <c r="BG4218" i="4"/>
  <c r="BG4210" i="4"/>
  <c r="BG4202" i="4"/>
  <c r="BG4194" i="4"/>
  <c r="BG4186" i="4"/>
  <c r="BG4178" i="4"/>
  <c r="BG4170" i="4"/>
  <c r="BG4162" i="4"/>
  <c r="BG4154" i="4"/>
  <c r="BG4146" i="4"/>
  <c r="BG4138" i="4"/>
  <c r="BG4130" i="4"/>
  <c r="BG4122" i="4"/>
  <c r="BG4114" i="4"/>
  <c r="BG4106" i="4"/>
  <c r="BG4098" i="4"/>
  <c r="BG4090" i="4"/>
  <c r="BG4082" i="4"/>
  <c r="BG4074" i="4"/>
  <c r="BG4066" i="4"/>
  <c r="BG4058" i="4"/>
  <c r="BG4050" i="4"/>
  <c r="BG4042" i="4"/>
  <c r="BG4034" i="4"/>
  <c r="BG4026" i="4"/>
  <c r="BG4018" i="4"/>
  <c r="BG4010" i="4"/>
  <c r="BG4002" i="4"/>
  <c r="BG3994" i="4"/>
  <c r="BG3986" i="4"/>
  <c r="BG3978" i="4"/>
  <c r="BG3970" i="4"/>
  <c r="BG3962" i="4"/>
  <c r="BG3954" i="4"/>
  <c r="BG3946" i="4"/>
  <c r="BG3938" i="4"/>
  <c r="BG3930" i="4"/>
  <c r="BG3922" i="4"/>
  <c r="BG3914" i="4"/>
  <c r="BG3906" i="4"/>
  <c r="BG3898" i="4"/>
  <c r="BG3890" i="4"/>
  <c r="BG3882" i="4"/>
  <c r="BG3874" i="4"/>
  <c r="BG3866" i="4"/>
  <c r="BG3858" i="4"/>
  <c r="BG3850" i="4"/>
  <c r="BG3842" i="4"/>
  <c r="BG3834" i="4"/>
  <c r="BG3826" i="4"/>
  <c r="BG3818" i="4"/>
  <c r="BG3810" i="4"/>
  <c r="BG3802" i="4"/>
  <c r="BG3794" i="4"/>
  <c r="BG3786" i="4"/>
  <c r="BG3778" i="4"/>
  <c r="BG3770" i="4"/>
  <c r="BG3762" i="4"/>
  <c r="BG3754" i="4"/>
  <c r="BG3746" i="4"/>
  <c r="BG3738" i="4"/>
  <c r="BG3730" i="4"/>
  <c r="BG3722" i="4"/>
  <c r="BG3714" i="4"/>
  <c r="BG3706" i="4"/>
  <c r="BG3698" i="4"/>
  <c r="BG3690" i="4"/>
  <c r="BG3682" i="4"/>
  <c r="BG4489" i="4"/>
  <c r="BG4481" i="4"/>
  <c r="BG4473" i="4"/>
  <c r="BG4465" i="4"/>
  <c r="BG4457" i="4"/>
  <c r="BG4449" i="4"/>
  <c r="BG4441" i="4"/>
  <c r="BG4433" i="4"/>
  <c r="BG4425" i="4"/>
  <c r="BG4417" i="4"/>
  <c r="BG4409" i="4"/>
  <c r="BG4401" i="4"/>
  <c r="BG4393" i="4"/>
  <c r="BG4385" i="4"/>
  <c r="BG4377" i="4"/>
  <c r="BG4369" i="4"/>
  <c r="BG4361" i="4"/>
  <c r="BG4353" i="4"/>
  <c r="BG4345" i="4"/>
  <c r="BG4337" i="4"/>
  <c r="BG4329" i="4"/>
  <c r="BG4321" i="4"/>
  <c r="BG4313" i="4"/>
  <c r="BG4305" i="4"/>
  <c r="BG4297" i="4"/>
  <c r="BG4289" i="4"/>
  <c r="BG4281" i="4"/>
  <c r="BG4273" i="4"/>
  <c r="BG4265" i="4"/>
  <c r="BG4257" i="4"/>
  <c r="BG4249" i="4"/>
  <c r="BG4241" i="4"/>
  <c r="BG4233" i="4"/>
  <c r="BG4225" i="4"/>
  <c r="BG4217" i="4"/>
  <c r="BG4209" i="4"/>
  <c r="BG4201" i="4"/>
  <c r="BG4193" i="4"/>
  <c r="BG4185" i="4"/>
  <c r="BG4177" i="4"/>
  <c r="BG4169" i="4"/>
  <c r="BG4161" i="4"/>
  <c r="BG4153" i="4"/>
  <c r="BG4145" i="4"/>
  <c r="BG4137" i="4"/>
  <c r="BG4129" i="4"/>
  <c r="BG4121" i="4"/>
  <c r="BG4113" i="4"/>
  <c r="BG4105" i="4"/>
  <c r="BG4097" i="4"/>
  <c r="BG4089" i="4"/>
  <c r="BG4081" i="4"/>
  <c r="BG4073" i="4"/>
  <c r="BG4065" i="4"/>
  <c r="BG4057" i="4"/>
  <c r="BG4049" i="4"/>
  <c r="BG4041" i="4"/>
  <c r="BG4033" i="4"/>
  <c r="BG4025" i="4"/>
  <c r="BG4017" i="4"/>
  <c r="BG4009" i="4"/>
  <c r="BG4001" i="4"/>
  <c r="BG3993" i="4"/>
  <c r="BG3985" i="4"/>
  <c r="BG3977" i="4"/>
  <c r="BG3969" i="4"/>
  <c r="BG3961" i="4"/>
  <c r="BG3953" i="4"/>
  <c r="BG3945" i="4"/>
  <c r="BG3937" i="4"/>
  <c r="BG3929" i="4"/>
  <c r="BG3921" i="4"/>
  <c r="BG3913" i="4"/>
  <c r="BG3905" i="4"/>
  <c r="BG3897" i="4"/>
  <c r="BG3889" i="4"/>
  <c r="BG3881" i="4"/>
  <c r="BG3873" i="4"/>
  <c r="BG3865" i="4"/>
  <c r="BG3857" i="4"/>
  <c r="BG3849" i="4"/>
  <c r="BG3841" i="4"/>
  <c r="BG3833" i="4"/>
  <c r="BG3825" i="4"/>
  <c r="BG3817" i="4"/>
  <c r="BG3809" i="4"/>
  <c r="BG3801" i="4"/>
  <c r="BG3793" i="4"/>
  <c r="BG3785" i="4"/>
  <c r="BG3777" i="4"/>
  <c r="BG3769" i="4"/>
  <c r="BG3761" i="4"/>
  <c r="BG3753" i="4"/>
  <c r="BG3745" i="4"/>
  <c r="BG3737" i="4"/>
  <c r="BG3729" i="4"/>
  <c r="BG3721" i="4"/>
  <c r="BG3713" i="4"/>
  <c r="BG3705" i="4"/>
  <c r="BG3697" i="4"/>
  <c r="BG3689" i="4"/>
  <c r="BG3681" i="4"/>
  <c r="BG3673" i="4"/>
  <c r="BG3665" i="4"/>
  <c r="BG3657" i="4"/>
  <c r="BG3649" i="4"/>
  <c r="BG3641" i="4"/>
  <c r="BG3633" i="4"/>
  <c r="BG3625" i="4"/>
  <c r="BG3617" i="4"/>
  <c r="BG3609" i="4"/>
  <c r="BG3601" i="4"/>
  <c r="BG3593" i="4"/>
  <c r="BG3585" i="4"/>
  <c r="BG3577" i="4"/>
  <c r="BG3569" i="4"/>
  <c r="BG3561" i="4"/>
  <c r="BG3553" i="4"/>
  <c r="BG3545" i="4"/>
  <c r="BG3537" i="4"/>
  <c r="BG3529" i="4"/>
  <c r="BG3521" i="4"/>
  <c r="BG3513" i="4"/>
  <c r="BG3505" i="4"/>
  <c r="BG3497" i="4"/>
  <c r="BG3489" i="4"/>
  <c r="BG3481" i="4"/>
  <c r="BG3473" i="4"/>
  <c r="BG3465" i="4"/>
  <c r="BG3457" i="4"/>
  <c r="BG3449" i="4"/>
  <c r="BG3441" i="4"/>
  <c r="BG3433" i="4"/>
  <c r="BG3425" i="4"/>
  <c r="BG3417" i="4"/>
  <c r="BG3409" i="4"/>
  <c r="BG3401" i="4"/>
  <c r="BG3393" i="4"/>
  <c r="BG3385" i="4"/>
  <c r="BG3377" i="4"/>
  <c r="BG3369" i="4"/>
  <c r="BG3361" i="4"/>
  <c r="BG3353" i="4"/>
  <c r="BG3345" i="4"/>
  <c r="BG3337" i="4"/>
  <c r="BG3329" i="4"/>
  <c r="BG3321" i="4"/>
  <c r="BG3313" i="4"/>
  <c r="BG3305" i="4"/>
  <c r="BG3297" i="4"/>
  <c r="BG3289" i="4"/>
  <c r="BG3281" i="4"/>
  <c r="BG3273" i="4"/>
  <c r="BG3265" i="4"/>
  <c r="BG3257" i="4"/>
  <c r="BG3249" i="4"/>
  <c r="BG3241" i="4"/>
  <c r="BG3233" i="4"/>
  <c r="BG3225" i="4"/>
  <c r="BG3217" i="4"/>
  <c r="BG3209" i="4"/>
  <c r="BG3201" i="4"/>
  <c r="BG3193" i="4"/>
  <c r="BG3185" i="4"/>
  <c r="BG3177" i="4"/>
  <c r="BG3169" i="4"/>
  <c r="BG3161" i="4"/>
  <c r="BG3153" i="4"/>
  <c r="BG3145" i="4"/>
  <c r="BG3137" i="4"/>
  <c r="BG4064" i="4"/>
  <c r="BG4056" i="4"/>
  <c r="BG4048" i="4"/>
  <c r="BG4040" i="4"/>
  <c r="BG4032" i="4"/>
  <c r="BG4024" i="4"/>
  <c r="BG4016" i="4"/>
  <c r="BG4008" i="4"/>
  <c r="BG4000" i="4"/>
  <c r="BG3992" i="4"/>
  <c r="BG3984" i="4"/>
  <c r="BG3976" i="4"/>
  <c r="BG3968" i="4"/>
  <c r="BG3960" i="4"/>
  <c r="BG3952" i="4"/>
  <c r="BG3944" i="4"/>
  <c r="BG3936" i="4"/>
  <c r="BG3928" i="4"/>
  <c r="BG3920" i="4"/>
  <c r="BG3912" i="4"/>
  <c r="BG3904" i="4"/>
  <c r="BG3896" i="4"/>
  <c r="BG3888" i="4"/>
  <c r="BG3880" i="4"/>
  <c r="BG3872" i="4"/>
  <c r="BG3864" i="4"/>
  <c r="BG3856" i="4"/>
  <c r="BG3848" i="4"/>
  <c r="BG3840" i="4"/>
  <c r="BG3832" i="4"/>
  <c r="BG3824" i="4"/>
  <c r="BG3816" i="4"/>
  <c r="BG3808" i="4"/>
  <c r="BG3800" i="4"/>
  <c r="BG3792" i="4"/>
  <c r="BG3784" i="4"/>
  <c r="BG3776" i="4"/>
  <c r="BG3768" i="4"/>
  <c r="BG3760" i="4"/>
  <c r="BG3752" i="4"/>
  <c r="BG3744" i="4"/>
  <c r="BG3736" i="4"/>
  <c r="BG3728" i="4"/>
  <c r="BG3720" i="4"/>
  <c r="BG3712" i="4"/>
  <c r="BG3704" i="4"/>
  <c r="BG3696" i="4"/>
  <c r="BG3688" i="4"/>
  <c r="BG3680" i="4"/>
  <c r="BG3672" i="4"/>
  <c r="BG3664" i="4"/>
  <c r="BG3656" i="4"/>
  <c r="BG3648" i="4"/>
  <c r="BG3640" i="4"/>
  <c r="BG3632" i="4"/>
  <c r="BG3624" i="4"/>
  <c r="BG3616" i="4"/>
  <c r="BG3608" i="4"/>
  <c r="BG3600" i="4"/>
  <c r="BG3592" i="4"/>
  <c r="BG3584" i="4"/>
  <c r="BG3576" i="4"/>
  <c r="BG3568" i="4"/>
  <c r="BG3560" i="4"/>
  <c r="BG3552" i="4"/>
  <c r="BG3544" i="4"/>
  <c r="BG3536" i="4"/>
  <c r="BG3528" i="4"/>
  <c r="BG3520" i="4"/>
  <c r="BG3512" i="4"/>
  <c r="BG3504" i="4"/>
  <c r="BG3496" i="4"/>
  <c r="BG3488" i="4"/>
  <c r="BG3480" i="4"/>
  <c r="BG3472" i="4"/>
  <c r="BG3464" i="4"/>
  <c r="BG3456" i="4"/>
  <c r="BG3448" i="4"/>
  <c r="BG3440" i="4"/>
  <c r="BG3432" i="4"/>
  <c r="BG3424" i="4"/>
  <c r="BG3416" i="4"/>
  <c r="BG3408" i="4"/>
  <c r="BG3400" i="4"/>
  <c r="BG3392" i="4"/>
  <c r="BG3384" i="4"/>
  <c r="BG3376" i="4"/>
  <c r="BG3368" i="4"/>
  <c r="BG3360" i="4"/>
  <c r="BG3352" i="4"/>
  <c r="BG3344" i="4"/>
  <c r="BG3336" i="4"/>
  <c r="BG3328" i="4"/>
  <c r="BG3320" i="4"/>
  <c r="BG3312" i="4"/>
  <c r="BG3304" i="4"/>
  <c r="BG3296" i="4"/>
  <c r="BG3288" i="4"/>
  <c r="BG3280" i="4"/>
  <c r="BG3272" i="4"/>
  <c r="BG3264" i="4"/>
  <c r="BG3256" i="4"/>
  <c r="BG3248" i="4"/>
  <c r="BG3240" i="4"/>
  <c r="BG3232" i="4"/>
  <c r="BG3224" i="4"/>
  <c r="BG3216" i="4"/>
  <c r="BG3208" i="4"/>
  <c r="BG3200" i="4"/>
  <c r="BG3192" i="4"/>
  <c r="BG3184" i="4"/>
  <c r="BG3176" i="4"/>
  <c r="BG3168" i="4"/>
  <c r="BG3160" i="4"/>
  <c r="BG3152" i="4"/>
  <c r="BG3144" i="4"/>
  <c r="BG3136" i="4"/>
  <c r="BG3128" i="4"/>
  <c r="BG3120" i="4"/>
  <c r="BG4223" i="4"/>
  <c r="BG4215" i="4"/>
  <c r="BG4207" i="4"/>
  <c r="BG4199" i="4"/>
  <c r="BG4191" i="4"/>
  <c r="BG4183" i="4"/>
  <c r="BG4175" i="4"/>
  <c r="BG4167" i="4"/>
  <c r="BG4159" i="4"/>
  <c r="BG4151" i="4"/>
  <c r="BG4143" i="4"/>
  <c r="BG4135" i="4"/>
  <c r="BG4127" i="4"/>
  <c r="BG4119" i="4"/>
  <c r="BG4111" i="4"/>
  <c r="BG4103" i="4"/>
  <c r="BG4095" i="4"/>
  <c r="BG4087" i="4"/>
  <c r="BG4079" i="4"/>
  <c r="BG4071" i="4"/>
  <c r="BG4063" i="4"/>
  <c r="BG4055" i="4"/>
  <c r="BG4047" i="4"/>
  <c r="BG4039" i="4"/>
  <c r="BG4031" i="4"/>
  <c r="BG4023" i="4"/>
  <c r="BG4015" i="4"/>
  <c r="BG4007" i="4"/>
  <c r="BG3999" i="4"/>
  <c r="BG3991" i="4"/>
  <c r="BG3983" i="4"/>
  <c r="BG3975" i="4"/>
  <c r="BG3967" i="4"/>
  <c r="BG3959" i="4"/>
  <c r="BG3951" i="4"/>
  <c r="BG3943" i="4"/>
  <c r="BG3935" i="4"/>
  <c r="BG3927" i="4"/>
  <c r="BG3919" i="4"/>
  <c r="BG3911" i="4"/>
  <c r="BG3903" i="4"/>
  <c r="BG3895" i="4"/>
  <c r="BG3887" i="4"/>
  <c r="BG3879" i="4"/>
  <c r="BG3871" i="4"/>
  <c r="BG3863" i="4"/>
  <c r="BG3855" i="4"/>
  <c r="BG3847" i="4"/>
  <c r="BG3839" i="4"/>
  <c r="BG3831" i="4"/>
  <c r="BG3823" i="4"/>
  <c r="BG3815" i="4"/>
  <c r="BG3807" i="4"/>
  <c r="BG3799" i="4"/>
  <c r="BG3791" i="4"/>
  <c r="BG3783" i="4"/>
  <c r="BG3775" i="4"/>
  <c r="BG3767" i="4"/>
  <c r="BG3759" i="4"/>
  <c r="BG3751" i="4"/>
  <c r="BG3743" i="4"/>
  <c r="BG3735" i="4"/>
  <c r="BG3727" i="4"/>
  <c r="BG3719" i="4"/>
  <c r="BG3711" i="4"/>
  <c r="BG3703" i="4"/>
  <c r="BG3695" i="4"/>
  <c r="BG3687" i="4"/>
  <c r="BG3679" i="4"/>
  <c r="BG3671" i="4"/>
  <c r="BG3663" i="4"/>
  <c r="BG3655" i="4"/>
  <c r="BG3647" i="4"/>
  <c r="BG3639" i="4"/>
  <c r="BG3631" i="4"/>
  <c r="BG3623" i="4"/>
  <c r="BG3615" i="4"/>
  <c r="BG3607" i="4"/>
  <c r="BG3599" i="4"/>
  <c r="BG3591" i="4"/>
  <c r="BG3583" i="4"/>
  <c r="BG3575" i="4"/>
  <c r="BG3567" i="4"/>
  <c r="BG3559" i="4"/>
  <c r="BG3551" i="4"/>
  <c r="BG3543" i="4"/>
  <c r="BG3535" i="4"/>
  <c r="BG3527" i="4"/>
  <c r="BG3519" i="4"/>
  <c r="BG3511" i="4"/>
  <c r="BG3503" i="4"/>
  <c r="BG3495" i="4"/>
  <c r="BG3487" i="4"/>
  <c r="BG3479" i="4"/>
  <c r="BG3471" i="4"/>
  <c r="BG3463" i="4"/>
  <c r="BG3455" i="4"/>
  <c r="BG3447" i="4"/>
  <c r="BG3439" i="4"/>
  <c r="BG3431" i="4"/>
  <c r="BG3423" i="4"/>
  <c r="BG3415" i="4"/>
  <c r="BG3407" i="4"/>
  <c r="BG3399" i="4"/>
  <c r="BG3391" i="4"/>
  <c r="BG3383" i="4"/>
  <c r="BG3375" i="4"/>
  <c r="BG3367" i="4"/>
  <c r="BG3359" i="4"/>
  <c r="BG3351" i="4"/>
  <c r="BG3343" i="4"/>
  <c r="BG3335" i="4"/>
  <c r="BG3327" i="4"/>
  <c r="BG3319" i="4"/>
  <c r="BG3311" i="4"/>
  <c r="BG3303" i="4"/>
  <c r="BG3295" i="4"/>
  <c r="BG3287" i="4"/>
  <c r="BG3279" i="4"/>
  <c r="BG3271" i="4"/>
  <c r="BG3263" i="4"/>
  <c r="BG3255" i="4"/>
  <c r="BG3247" i="4"/>
  <c r="BG3239" i="4"/>
  <c r="BG3231" i="4"/>
  <c r="BG3223" i="4"/>
  <c r="BG3215" i="4"/>
  <c r="BG3693" i="4"/>
  <c r="BG3685" i="4"/>
  <c r="BG3677" i="4"/>
  <c r="BG3669" i="4"/>
  <c r="BG3661" i="4"/>
  <c r="BG3653" i="4"/>
  <c r="BG3645" i="4"/>
  <c r="BG3637" i="4"/>
  <c r="BG3629" i="4"/>
  <c r="BG3621" i="4"/>
  <c r="BG3613" i="4"/>
  <c r="BG3605" i="4"/>
  <c r="BG3597" i="4"/>
  <c r="BG3589" i="4"/>
  <c r="BG3581" i="4"/>
  <c r="BG3573" i="4"/>
  <c r="BG3565" i="4"/>
  <c r="BG3557" i="4"/>
  <c r="BG3549" i="4"/>
  <c r="BG3541" i="4"/>
  <c r="BG3533" i="4"/>
  <c r="BG3525" i="4"/>
  <c r="BG3517" i="4"/>
  <c r="BG3509" i="4"/>
  <c r="BG3501" i="4"/>
  <c r="BG3493" i="4"/>
  <c r="BG3485" i="4"/>
  <c r="BG3477" i="4"/>
  <c r="BG3469" i="4"/>
  <c r="BG3461" i="4"/>
  <c r="BG3453" i="4"/>
  <c r="BG3445" i="4"/>
  <c r="BG3437" i="4"/>
  <c r="BG3429" i="4"/>
  <c r="BG3421" i="4"/>
  <c r="BG3413" i="4"/>
  <c r="BG3405" i="4"/>
  <c r="BG3397" i="4"/>
  <c r="BG3389" i="4"/>
  <c r="BG3381" i="4"/>
  <c r="BG3373" i="4"/>
  <c r="BG3365" i="4"/>
  <c r="BG3357" i="4"/>
  <c r="BG3349" i="4"/>
  <c r="BG3341" i="4"/>
  <c r="BG3333" i="4"/>
  <c r="BG3325" i="4"/>
  <c r="BG3317" i="4"/>
  <c r="BG3309" i="4"/>
  <c r="BG3301" i="4"/>
  <c r="BG3293" i="4"/>
  <c r="BG3285" i="4"/>
  <c r="BG3277" i="4"/>
  <c r="BG3269" i="4"/>
  <c r="BG3261" i="4"/>
  <c r="BG3253" i="4"/>
  <c r="BG3245" i="4"/>
  <c r="BG3237" i="4"/>
  <c r="BG3229" i="4"/>
  <c r="BG3221" i="4"/>
  <c r="BG3213" i="4"/>
  <c r="BG3205" i="4"/>
  <c r="BG3197" i="4"/>
  <c r="BG3189" i="4"/>
  <c r="BG3181" i="4"/>
  <c r="BG3173" i="4"/>
  <c r="BG3165" i="4"/>
  <c r="BG3157" i="4"/>
  <c r="BG3149" i="4"/>
  <c r="BG3141" i="4"/>
  <c r="BG3133" i="4"/>
  <c r="BG3125" i="4"/>
  <c r="BG3117" i="4"/>
  <c r="BG3109" i="4"/>
  <c r="BG3101" i="4"/>
  <c r="BG3093" i="4"/>
  <c r="BG3085" i="4"/>
  <c r="BG3077" i="4"/>
  <c r="BG3069" i="4"/>
  <c r="BG3061" i="4"/>
  <c r="BG3053" i="4"/>
  <c r="BG3045" i="4"/>
  <c r="BG3037" i="4"/>
  <c r="BG3029" i="4"/>
  <c r="BG3021" i="4"/>
  <c r="BG3013" i="4"/>
  <c r="BG3005" i="4"/>
  <c r="BG2997" i="4"/>
  <c r="BG2989" i="4"/>
  <c r="BG2981" i="4"/>
  <c r="BG2973" i="4"/>
  <c r="BG2965" i="4"/>
  <c r="BG2957" i="4"/>
  <c r="BG2949" i="4"/>
  <c r="BG2941" i="4"/>
  <c r="BG2933" i="4"/>
  <c r="BG2925" i="4"/>
  <c r="BG2917" i="4"/>
  <c r="BG2909" i="4"/>
  <c r="BG2901" i="4"/>
  <c r="BG2893" i="4"/>
  <c r="BG2885" i="4"/>
  <c r="BG2877" i="4"/>
  <c r="BG2869" i="4"/>
  <c r="BG2861" i="4"/>
  <c r="BG2853" i="4"/>
  <c r="BG2845" i="4"/>
  <c r="BG2837" i="4"/>
  <c r="BG2829" i="4"/>
  <c r="BG2821" i="4"/>
  <c r="BG2813" i="4"/>
  <c r="BG2805" i="4"/>
  <c r="BG2797" i="4"/>
  <c r="BG2789" i="4"/>
  <c r="BG2781" i="4"/>
  <c r="BG2773" i="4"/>
  <c r="BG2765" i="4"/>
  <c r="BG2757" i="4"/>
  <c r="BG2749" i="4"/>
  <c r="BG2741" i="4"/>
  <c r="BG2733" i="4"/>
  <c r="BG2725" i="4"/>
  <c r="BG2717" i="4"/>
  <c r="BG2709" i="4"/>
  <c r="BG2701" i="4"/>
  <c r="BG2693" i="4"/>
  <c r="BG2685" i="4"/>
  <c r="BG2677" i="4"/>
  <c r="BG2669" i="4"/>
  <c r="BG2661" i="4"/>
  <c r="BG2653" i="4"/>
  <c r="BG2645" i="4"/>
  <c r="BG2637" i="4"/>
  <c r="BG2629" i="4"/>
  <c r="BG2621" i="4"/>
  <c r="BG2613" i="4"/>
  <c r="BG2605" i="4"/>
  <c r="BG2597" i="4"/>
  <c r="BG2589" i="4"/>
  <c r="BG2581" i="4"/>
  <c r="BG2573" i="4"/>
  <c r="BG2565" i="4"/>
  <c r="BG2557" i="4"/>
  <c r="BG2549" i="4"/>
  <c r="BG2541" i="4"/>
  <c r="BG2533" i="4"/>
  <c r="BG2525" i="4"/>
  <c r="BG2517" i="4"/>
  <c r="BG2509" i="4"/>
  <c r="BG2501" i="4"/>
  <c r="BG2493" i="4"/>
  <c r="BG2485" i="4"/>
  <c r="BG2477" i="4"/>
  <c r="BG2469" i="4"/>
  <c r="BG2461" i="4"/>
  <c r="BG2453" i="4"/>
  <c r="BG2445" i="4"/>
  <c r="BG2437" i="4"/>
  <c r="BG3404" i="4"/>
  <c r="BG3396" i="4"/>
  <c r="BG3388" i="4"/>
  <c r="BG3380" i="4"/>
  <c r="BG3372" i="4"/>
  <c r="BG3364" i="4"/>
  <c r="BG3356" i="4"/>
  <c r="BG3348" i="4"/>
  <c r="BG3340" i="4"/>
  <c r="BG3332" i="4"/>
  <c r="BG3324" i="4"/>
  <c r="BG3316" i="4"/>
  <c r="BG3308" i="4"/>
  <c r="BG3300" i="4"/>
  <c r="BG3292" i="4"/>
  <c r="BG3284" i="4"/>
  <c r="BG3276" i="4"/>
  <c r="BG3268" i="4"/>
  <c r="BG3260" i="4"/>
  <c r="BG3252" i="4"/>
  <c r="BG3244" i="4"/>
  <c r="BG3236" i="4"/>
  <c r="BG3228" i="4"/>
  <c r="BG3220" i="4"/>
  <c r="BG3212" i="4"/>
  <c r="BG3204" i="4"/>
  <c r="BG3196" i="4"/>
  <c r="BG3188" i="4"/>
  <c r="BG3180" i="4"/>
  <c r="BG3172" i="4"/>
  <c r="BG3164" i="4"/>
  <c r="BG3156" i="4"/>
  <c r="BG3148" i="4"/>
  <c r="BG3140" i="4"/>
  <c r="BG3132" i="4"/>
  <c r="BG3124" i="4"/>
  <c r="BG3116" i="4"/>
  <c r="BG3108" i="4"/>
  <c r="BG3100" i="4"/>
  <c r="BG3092" i="4"/>
  <c r="BG3084" i="4"/>
  <c r="BG3076" i="4"/>
  <c r="BG3068" i="4"/>
  <c r="BG3060" i="4"/>
  <c r="BG3052" i="4"/>
  <c r="BG3044" i="4"/>
  <c r="BG3036" i="4"/>
  <c r="BG3028" i="4"/>
  <c r="BG3020" i="4"/>
  <c r="BG3012" i="4"/>
  <c r="BG3004" i="4"/>
  <c r="BG2996" i="4"/>
  <c r="BG2988" i="4"/>
  <c r="BG2980" i="4"/>
  <c r="BG2972" i="4"/>
  <c r="BG2964" i="4"/>
  <c r="BG2956" i="4"/>
  <c r="BG2948" i="4"/>
  <c r="BG2940" i="4"/>
  <c r="BG2932" i="4"/>
  <c r="BG2924" i="4"/>
  <c r="BG2916" i="4"/>
  <c r="BG2908" i="4"/>
  <c r="BG2900" i="4"/>
  <c r="BG2892" i="4"/>
  <c r="BG2884" i="4"/>
  <c r="BG2876" i="4"/>
  <c r="BG2868" i="4"/>
  <c r="BG2860" i="4"/>
  <c r="BG2852" i="4"/>
  <c r="BG2844" i="4"/>
  <c r="BG2836" i="4"/>
  <c r="BG2828" i="4"/>
  <c r="BG2820" i="4"/>
  <c r="BG2812" i="4"/>
  <c r="BG2804" i="4"/>
  <c r="BG2796" i="4"/>
  <c r="BG2788" i="4"/>
  <c r="BG2780" i="4"/>
  <c r="BG2772" i="4"/>
  <c r="BG2764" i="4"/>
  <c r="BG2756" i="4"/>
  <c r="BG2748" i="4"/>
  <c r="BG2740" i="4"/>
  <c r="BG2732" i="4"/>
  <c r="BG2724" i="4"/>
  <c r="BG2716" i="4"/>
  <c r="BG2708" i="4"/>
  <c r="BG2700" i="4"/>
  <c r="BG2692" i="4"/>
  <c r="BG2684" i="4"/>
  <c r="BG2676" i="4"/>
  <c r="BG2668" i="4"/>
  <c r="BG2660" i="4"/>
  <c r="BG2652" i="4"/>
  <c r="BG2644" i="4"/>
  <c r="BG2636" i="4"/>
  <c r="BG2628" i="4"/>
  <c r="BG2620" i="4"/>
  <c r="BG2612" i="4"/>
  <c r="BG2604" i="4"/>
  <c r="BG2596" i="4"/>
  <c r="BG2588" i="4"/>
  <c r="BG2580" i="4"/>
  <c r="BG2572" i="4"/>
  <c r="BG2564" i="4"/>
  <c r="BG2556" i="4"/>
  <c r="BG2548" i="4"/>
  <c r="BG2540" i="4"/>
  <c r="BG2532" i="4"/>
  <c r="BG2524" i="4"/>
  <c r="BG2516" i="4"/>
  <c r="BG2508" i="4"/>
  <c r="BG2500" i="4"/>
  <c r="BG2492" i="4"/>
  <c r="BG2484" i="4"/>
  <c r="BG2476" i="4"/>
  <c r="BG2468" i="4"/>
  <c r="BG2460" i="4"/>
  <c r="BG2452" i="4"/>
  <c r="BG2444" i="4"/>
  <c r="BG2436" i="4"/>
  <c r="BG2428" i="4"/>
  <c r="BG2420" i="4"/>
  <c r="BG2412" i="4"/>
  <c r="BG2404" i="4"/>
  <c r="BG2396" i="4"/>
  <c r="BG2388" i="4"/>
  <c r="BG2380" i="4"/>
  <c r="BG2372" i="4"/>
  <c r="BG3235" i="4"/>
  <c r="BG3227" i="4"/>
  <c r="BG3219" i="4"/>
  <c r="BG3211" i="4"/>
  <c r="BG3203" i="4"/>
  <c r="BG3195" i="4"/>
  <c r="BG3187" i="4"/>
  <c r="BG3179" i="4"/>
  <c r="BG3171" i="4"/>
  <c r="BG3163" i="4"/>
  <c r="BG3155" i="4"/>
  <c r="BG3147" i="4"/>
  <c r="BG3139" i="4"/>
  <c r="BG3131" i="4"/>
  <c r="BG3123" i="4"/>
  <c r="BG3115" i="4"/>
  <c r="BG3107" i="4"/>
  <c r="BG3099" i="4"/>
  <c r="BG3091" i="4"/>
  <c r="BG3083" i="4"/>
  <c r="BG3075" i="4"/>
  <c r="BG3067" i="4"/>
  <c r="BG3059" i="4"/>
  <c r="BG3051" i="4"/>
  <c r="BG3043" i="4"/>
  <c r="BG3035" i="4"/>
  <c r="BG3027" i="4"/>
  <c r="BG3019" i="4"/>
  <c r="BG3011" i="4"/>
  <c r="BG3003" i="4"/>
  <c r="BG2995" i="4"/>
  <c r="BG2987" i="4"/>
  <c r="BG2979" i="4"/>
  <c r="BG2971" i="4"/>
  <c r="BG2963" i="4"/>
  <c r="BG2955" i="4"/>
  <c r="BG2947" i="4"/>
  <c r="BG2939" i="4"/>
  <c r="BG2931" i="4"/>
  <c r="BG2923" i="4"/>
  <c r="BG2915" i="4"/>
  <c r="BG2907" i="4"/>
  <c r="BG2899" i="4"/>
  <c r="BG2891" i="4"/>
  <c r="BG2883" i="4"/>
  <c r="BG2875" i="4"/>
  <c r="BG2867" i="4"/>
  <c r="BG2859" i="4"/>
  <c r="BG2851" i="4"/>
  <c r="BG2843" i="4"/>
  <c r="BG2835" i="4"/>
  <c r="BG2827" i="4"/>
  <c r="BG2819" i="4"/>
  <c r="BG2811" i="4"/>
  <c r="BG2803" i="4"/>
  <c r="BG2795" i="4"/>
  <c r="BG2787" i="4"/>
  <c r="BG2779" i="4"/>
  <c r="BG2771" i="4"/>
  <c r="BG2763" i="4"/>
  <c r="BG2755" i="4"/>
  <c r="BG2747" i="4"/>
  <c r="BG2739" i="4"/>
  <c r="BG2731" i="4"/>
  <c r="BG2723" i="4"/>
  <c r="BG2715" i="4"/>
  <c r="BG2707" i="4"/>
  <c r="BG2699" i="4"/>
  <c r="BG2691" i="4"/>
  <c r="BG2683" i="4"/>
  <c r="BG2675" i="4"/>
  <c r="BG2667" i="4"/>
  <c r="BG2659" i="4"/>
  <c r="BG2651" i="4"/>
  <c r="BG2643" i="4"/>
  <c r="BG2635" i="4"/>
  <c r="BG2627" i="4"/>
  <c r="BG2619" i="4"/>
  <c r="BG2611" i="4"/>
  <c r="BG2603" i="4"/>
  <c r="BG2595" i="4"/>
  <c r="BG2587" i="4"/>
  <c r="BG2579" i="4"/>
  <c r="BG2571" i="4"/>
  <c r="BG2563" i="4"/>
  <c r="BG2555" i="4"/>
  <c r="BG2547" i="4"/>
  <c r="BG2539" i="4"/>
  <c r="BG2531" i="4"/>
  <c r="BG2523" i="4"/>
  <c r="BG2515" i="4"/>
  <c r="BG2507" i="4"/>
  <c r="BG2499" i="4"/>
  <c r="BG2491" i="4"/>
  <c r="BG2483" i="4"/>
  <c r="BG2475" i="4"/>
  <c r="BG2467" i="4"/>
  <c r="BG2459" i="4"/>
  <c r="BG2451" i="4"/>
  <c r="BG2443" i="4"/>
  <c r="BG2435" i="4"/>
  <c r="BG2427" i="4"/>
  <c r="BG2419" i="4"/>
  <c r="BG2411" i="4"/>
  <c r="BG2403" i="4"/>
  <c r="BG2395" i="4"/>
  <c r="BG2387" i="4"/>
  <c r="BG2379" i="4"/>
  <c r="BG2371" i="4"/>
  <c r="BG2363" i="4"/>
  <c r="BG2355" i="4"/>
  <c r="BG2347" i="4"/>
  <c r="BG2339" i="4"/>
  <c r="BG2331" i="4"/>
  <c r="BG2323" i="4"/>
  <c r="BG2315" i="4"/>
  <c r="BG2307" i="4"/>
  <c r="BG2299" i="4"/>
  <c r="BG2291" i="4"/>
  <c r="BG2283" i="4"/>
  <c r="BG3674" i="4"/>
  <c r="BG3666" i="4"/>
  <c r="BG3658" i="4"/>
  <c r="BG3650" i="4"/>
  <c r="BG3642" i="4"/>
  <c r="BG3634" i="4"/>
  <c r="BG3626" i="4"/>
  <c r="BG3618" i="4"/>
  <c r="BG3610" i="4"/>
  <c r="BG3602" i="4"/>
  <c r="BG3594" i="4"/>
  <c r="BG3586" i="4"/>
  <c r="BG3578" i="4"/>
  <c r="BG3570" i="4"/>
  <c r="BG3562" i="4"/>
  <c r="BG3554" i="4"/>
  <c r="BG3546" i="4"/>
  <c r="BG3538" i="4"/>
  <c r="BG3530" i="4"/>
  <c r="BG3522" i="4"/>
  <c r="BG3514" i="4"/>
  <c r="BG3506" i="4"/>
  <c r="BG3498" i="4"/>
  <c r="BG3490" i="4"/>
  <c r="BG3482" i="4"/>
  <c r="BG3474" i="4"/>
  <c r="BG3466" i="4"/>
  <c r="BG3458" i="4"/>
  <c r="BG3450" i="4"/>
  <c r="BG3442" i="4"/>
  <c r="BG3434" i="4"/>
  <c r="BG3426" i="4"/>
  <c r="BG3418" i="4"/>
  <c r="BG3410" i="4"/>
  <c r="BG3402" i="4"/>
  <c r="BG3394" i="4"/>
  <c r="BG3386" i="4"/>
  <c r="BG3378" i="4"/>
  <c r="BG3370" i="4"/>
  <c r="BG3362" i="4"/>
  <c r="BG3354" i="4"/>
  <c r="BG3346" i="4"/>
  <c r="BG3338" i="4"/>
  <c r="BG3330" i="4"/>
  <c r="BG3322" i="4"/>
  <c r="BG3314" i="4"/>
  <c r="BG3306" i="4"/>
  <c r="BG3298" i="4"/>
  <c r="BG3290" i="4"/>
  <c r="BG3282" i="4"/>
  <c r="BG3274" i="4"/>
  <c r="BG3266" i="4"/>
  <c r="BG3258" i="4"/>
  <c r="BG3250" i="4"/>
  <c r="BG3242" i="4"/>
  <c r="BG3234" i="4"/>
  <c r="BG3226" i="4"/>
  <c r="BG3218" i="4"/>
  <c r="BG3210" i="4"/>
  <c r="BG3202" i="4"/>
  <c r="BG3194" i="4"/>
  <c r="BG3186" i="4"/>
  <c r="BG3178" i="4"/>
  <c r="BG3170" i="4"/>
  <c r="BG3162" i="4"/>
  <c r="BG3154" i="4"/>
  <c r="BG3146" i="4"/>
  <c r="BG3138" i="4"/>
  <c r="BG3130" i="4"/>
  <c r="BG3122" i="4"/>
  <c r="BG3114" i="4"/>
  <c r="BG3106" i="4"/>
  <c r="BG3098" i="4"/>
  <c r="BG3090" i="4"/>
  <c r="BG3082" i="4"/>
  <c r="BG3074" i="4"/>
  <c r="BG3066" i="4"/>
  <c r="BG3058" i="4"/>
  <c r="BG3050" i="4"/>
  <c r="BG3042" i="4"/>
  <c r="BG3034" i="4"/>
  <c r="BG3026" i="4"/>
  <c r="BG3018" i="4"/>
  <c r="BG3010" i="4"/>
  <c r="BG3002" i="4"/>
  <c r="BG2994" i="4"/>
  <c r="BG2986" i="4"/>
  <c r="BG2978" i="4"/>
  <c r="BG2970" i="4"/>
  <c r="BG2962" i="4"/>
  <c r="BG2954" i="4"/>
  <c r="BG2946" i="4"/>
  <c r="BG2938" i="4"/>
  <c r="BG2930" i="4"/>
  <c r="BG2922" i="4"/>
  <c r="BG2914" i="4"/>
  <c r="BG2906" i="4"/>
  <c r="BG2898" i="4"/>
  <c r="BG2890" i="4"/>
  <c r="BG2882" i="4"/>
  <c r="BG2874" i="4"/>
  <c r="BG2866" i="4"/>
  <c r="BG2858" i="4"/>
  <c r="BG2850" i="4"/>
  <c r="BG2842" i="4"/>
  <c r="BG2834" i="4"/>
  <c r="BG2826" i="4"/>
  <c r="BG2818" i="4"/>
  <c r="BG2810" i="4"/>
  <c r="BG2802" i="4"/>
  <c r="BG2794" i="4"/>
  <c r="BG2786" i="4"/>
  <c r="BG2778" i="4"/>
  <c r="BG2770" i="4"/>
  <c r="BG2762" i="4"/>
  <c r="BG2754" i="4"/>
  <c r="BG2746" i="4"/>
  <c r="BG2738" i="4"/>
  <c r="BG2730" i="4"/>
  <c r="BG2722" i="4"/>
  <c r="BG2714" i="4"/>
  <c r="BG2706" i="4"/>
  <c r="BG2698" i="4"/>
  <c r="BG2690" i="4"/>
  <c r="BG2682" i="4"/>
  <c r="BG2674" i="4"/>
  <c r="BG2666" i="4"/>
  <c r="BG2658" i="4"/>
  <c r="BG2650" i="4"/>
  <c r="BG2642" i="4"/>
  <c r="BG2634" i="4"/>
  <c r="BG2626" i="4"/>
  <c r="BG2618" i="4"/>
  <c r="BG2610" i="4"/>
  <c r="BG2602" i="4"/>
  <c r="BG2594" i="4"/>
  <c r="BG2586" i="4"/>
  <c r="BG2578" i="4"/>
  <c r="BG2570" i="4"/>
  <c r="BG2562" i="4"/>
  <c r="BG2554" i="4"/>
  <c r="BG2546" i="4"/>
  <c r="BG2538" i="4"/>
  <c r="BG2530" i="4"/>
  <c r="BG2522" i="4"/>
  <c r="BG2514" i="4"/>
  <c r="BG2506" i="4"/>
  <c r="BG2498" i="4"/>
  <c r="BG2490" i="4"/>
  <c r="BG2482" i="4"/>
  <c r="BG2474" i="4"/>
  <c r="BG2466" i="4"/>
  <c r="BG2458" i="4"/>
  <c r="BG2450" i="4"/>
  <c r="BG2442" i="4"/>
  <c r="BG2434" i="4"/>
  <c r="BG2426" i="4"/>
  <c r="BG2418" i="4"/>
  <c r="BG2410" i="4"/>
  <c r="BG2402" i="4"/>
  <c r="BG2394" i="4"/>
  <c r="BG2386" i="4"/>
  <c r="BG2378" i="4"/>
  <c r="BG2370" i="4"/>
  <c r="BG2362" i="4"/>
  <c r="BG2354" i="4"/>
  <c r="BG2346" i="4"/>
  <c r="BG2338" i="4"/>
  <c r="BG2330" i="4"/>
  <c r="BG2322" i="4"/>
  <c r="BG3129" i="4"/>
  <c r="BG3121" i="4"/>
  <c r="BG3113" i="4"/>
  <c r="BG3105" i="4"/>
  <c r="BG3097" i="4"/>
  <c r="BG3089" i="4"/>
  <c r="BG3081" i="4"/>
  <c r="BG3073" i="4"/>
  <c r="BG3065" i="4"/>
  <c r="BG3057" i="4"/>
  <c r="BG3049" i="4"/>
  <c r="BG3041" i="4"/>
  <c r="BG3033" i="4"/>
  <c r="BG3025" i="4"/>
  <c r="BG3017" i="4"/>
  <c r="BG3009" i="4"/>
  <c r="BG3001" i="4"/>
  <c r="BG2993" i="4"/>
  <c r="BG2985" i="4"/>
  <c r="BG2977" i="4"/>
  <c r="BG2969" i="4"/>
  <c r="BG2961" i="4"/>
  <c r="BG2953" i="4"/>
  <c r="BG2945" i="4"/>
  <c r="BG2937" i="4"/>
  <c r="BG2929" i="4"/>
  <c r="BG2921" i="4"/>
  <c r="BG2913" i="4"/>
  <c r="BG2905" i="4"/>
  <c r="BG2897" i="4"/>
  <c r="BG2889" i="4"/>
  <c r="BG2881" i="4"/>
  <c r="BG2873" i="4"/>
  <c r="BG2865" i="4"/>
  <c r="BG2857" i="4"/>
  <c r="BG2849" i="4"/>
  <c r="BG2841" i="4"/>
  <c r="BG2833" i="4"/>
  <c r="BG2825" i="4"/>
  <c r="BG2817" i="4"/>
  <c r="BG2809" i="4"/>
  <c r="BG2801" i="4"/>
  <c r="BG2793" i="4"/>
  <c r="BG2785" i="4"/>
  <c r="BG2777" i="4"/>
  <c r="BG2769" i="4"/>
  <c r="BG2761" i="4"/>
  <c r="BG2753" i="4"/>
  <c r="BG2745" i="4"/>
  <c r="BG2737" i="4"/>
  <c r="BG2729" i="4"/>
  <c r="BG2721" i="4"/>
  <c r="BG2713" i="4"/>
  <c r="BG2705" i="4"/>
  <c r="BG2697" i="4"/>
  <c r="BG2689" i="4"/>
  <c r="BG2681" i="4"/>
  <c r="BG2673" i="4"/>
  <c r="BG2665" i="4"/>
  <c r="BG2657" i="4"/>
  <c r="BG2649" i="4"/>
  <c r="BG2641" i="4"/>
  <c r="BG2633" i="4"/>
  <c r="BG2625" i="4"/>
  <c r="BG2617" i="4"/>
  <c r="BG2609" i="4"/>
  <c r="BG2601" i="4"/>
  <c r="BG2593" i="4"/>
  <c r="BG2585" i="4"/>
  <c r="BG2577" i="4"/>
  <c r="BG2569" i="4"/>
  <c r="BG2561" i="4"/>
  <c r="BG2553" i="4"/>
  <c r="BG2545" i="4"/>
  <c r="BG2537" i="4"/>
  <c r="BG2529" i="4"/>
  <c r="BG2521" i="4"/>
  <c r="BG2513" i="4"/>
  <c r="BG2505" i="4"/>
  <c r="BG2497" i="4"/>
  <c r="BG2489" i="4"/>
  <c r="BG2481" i="4"/>
  <c r="BG2473" i="4"/>
  <c r="BG2465" i="4"/>
  <c r="BG2457" i="4"/>
  <c r="BG2449" i="4"/>
  <c r="BG2441" i="4"/>
  <c r="BG2433" i="4"/>
  <c r="BG2425" i="4"/>
  <c r="BG2417" i="4"/>
  <c r="BG2409" i="4"/>
  <c r="BG2401" i="4"/>
  <c r="BG2393" i="4"/>
  <c r="BG2385" i="4"/>
  <c r="BG2377" i="4"/>
  <c r="BG3112" i="4"/>
  <c r="BG3104" i="4"/>
  <c r="BG3096" i="4"/>
  <c r="BG3088" i="4"/>
  <c r="BG3080" i="4"/>
  <c r="BG3072" i="4"/>
  <c r="BG3064" i="4"/>
  <c r="BG3056" i="4"/>
  <c r="BG3048" i="4"/>
  <c r="BG3040" i="4"/>
  <c r="BG3032" i="4"/>
  <c r="BG3024" i="4"/>
  <c r="BG3016" i="4"/>
  <c r="BG3008" i="4"/>
  <c r="BG3000" i="4"/>
  <c r="BG2992" i="4"/>
  <c r="BG2984" i="4"/>
  <c r="BG2976" i="4"/>
  <c r="BG2968" i="4"/>
  <c r="BG2960" i="4"/>
  <c r="BG2952" i="4"/>
  <c r="BG2944" i="4"/>
  <c r="BG2936" i="4"/>
  <c r="BG2928" i="4"/>
  <c r="BG2920" i="4"/>
  <c r="BG2912" i="4"/>
  <c r="BG2904" i="4"/>
  <c r="BG2896" i="4"/>
  <c r="BG2888" i="4"/>
  <c r="BG2880" i="4"/>
  <c r="BG2872" i="4"/>
  <c r="BG2864" i="4"/>
  <c r="BG2856" i="4"/>
  <c r="BG2848" i="4"/>
  <c r="BG2840" i="4"/>
  <c r="BG2832" i="4"/>
  <c r="BG2824" i="4"/>
  <c r="BG2816" i="4"/>
  <c r="BG2808" i="4"/>
  <c r="BG2800" i="4"/>
  <c r="BG2792" i="4"/>
  <c r="BG2784" i="4"/>
  <c r="BG2776" i="4"/>
  <c r="BG2768" i="4"/>
  <c r="BG2760" i="4"/>
  <c r="BG2752" i="4"/>
  <c r="BG2744" i="4"/>
  <c r="BG2736" i="4"/>
  <c r="BG2728" i="4"/>
  <c r="BG2720" i="4"/>
  <c r="BG2712" i="4"/>
  <c r="BG2704" i="4"/>
  <c r="BG2696" i="4"/>
  <c r="BG2688" i="4"/>
  <c r="BG2680" i="4"/>
  <c r="BG2672" i="4"/>
  <c r="BG2664" i="4"/>
  <c r="BG2656" i="4"/>
  <c r="BG2648" i="4"/>
  <c r="BG2640" i="4"/>
  <c r="BG2632" i="4"/>
  <c r="BG2624" i="4"/>
  <c r="BG2616" i="4"/>
  <c r="BG2608" i="4"/>
  <c r="BG2600" i="4"/>
  <c r="BG2592" i="4"/>
  <c r="BG2584" i="4"/>
  <c r="BG2576" i="4"/>
  <c r="BG2568" i="4"/>
  <c r="BG2560" i="4"/>
  <c r="BG2552" i="4"/>
  <c r="BG2544" i="4"/>
  <c r="BG2536" i="4"/>
  <c r="BG2528" i="4"/>
  <c r="BG2520" i="4"/>
  <c r="BG2512" i="4"/>
  <c r="BG2504" i="4"/>
  <c r="BG2496" i="4"/>
  <c r="BG2488" i="4"/>
  <c r="BG2480" i="4"/>
  <c r="BG2472" i="4"/>
  <c r="BG2464" i="4"/>
  <c r="BG2456" i="4"/>
  <c r="BG2448" i="4"/>
  <c r="BG2440" i="4"/>
  <c r="BG2432" i="4"/>
  <c r="BG2424" i="4"/>
  <c r="BG2416" i="4"/>
  <c r="BG2408" i="4"/>
  <c r="BG2400" i="4"/>
  <c r="BG2392" i="4"/>
  <c r="BG2384" i="4"/>
  <c r="BG2376" i="4"/>
  <c r="BG2368" i="4"/>
  <c r="BG2360" i="4"/>
  <c r="BG2352" i="4"/>
  <c r="BG2344" i="4"/>
  <c r="BG2336" i="4"/>
  <c r="BG2328" i="4"/>
  <c r="BG2320" i="4"/>
  <c r="BG2312" i="4"/>
  <c r="BG2304" i="4"/>
  <c r="BG3207" i="4"/>
  <c r="BG3199" i="4"/>
  <c r="BG3191" i="4"/>
  <c r="BG3183" i="4"/>
  <c r="BG3175" i="4"/>
  <c r="BG3167" i="4"/>
  <c r="BG3159" i="4"/>
  <c r="BG3151" i="4"/>
  <c r="BG3143" i="4"/>
  <c r="BG3135" i="4"/>
  <c r="BG3127" i="4"/>
  <c r="BG3119" i="4"/>
  <c r="BG3111" i="4"/>
  <c r="BG3103" i="4"/>
  <c r="BG3095" i="4"/>
  <c r="BG3087" i="4"/>
  <c r="BG3079" i="4"/>
  <c r="BG3071" i="4"/>
  <c r="BG3063" i="4"/>
  <c r="BG3055" i="4"/>
  <c r="BG3047" i="4"/>
  <c r="BG3039" i="4"/>
  <c r="BG3031" i="4"/>
  <c r="BG3023" i="4"/>
  <c r="BG3015" i="4"/>
  <c r="BG3007" i="4"/>
  <c r="BG2999" i="4"/>
  <c r="BG2991" i="4"/>
  <c r="BG2983" i="4"/>
  <c r="BG2975" i="4"/>
  <c r="BG2967" i="4"/>
  <c r="BG2959" i="4"/>
  <c r="BG2951" i="4"/>
  <c r="BG2943" i="4"/>
  <c r="BG2935" i="4"/>
  <c r="BG2927" i="4"/>
  <c r="BG2919" i="4"/>
  <c r="BG2911" i="4"/>
  <c r="BG2903" i="4"/>
  <c r="BG2895" i="4"/>
  <c r="BG2887" i="4"/>
  <c r="BG2879" i="4"/>
  <c r="BG2871" i="4"/>
  <c r="BG2863" i="4"/>
  <c r="BG2855" i="4"/>
  <c r="BG2847" i="4"/>
  <c r="BG2839" i="4"/>
  <c r="BG2831" i="4"/>
  <c r="BG2823" i="4"/>
  <c r="BG2815" i="4"/>
  <c r="BG2807" i="4"/>
  <c r="BG2799" i="4"/>
  <c r="BG2791" i="4"/>
  <c r="BG2783" i="4"/>
  <c r="BG2775" i="4"/>
  <c r="BG2767" i="4"/>
  <c r="BG2759" i="4"/>
  <c r="BG2751" i="4"/>
  <c r="BG2743" i="4"/>
  <c r="BG2735" i="4"/>
  <c r="BG2727" i="4"/>
  <c r="BG2719" i="4"/>
  <c r="BG2711" i="4"/>
  <c r="BG2703" i="4"/>
  <c r="BG2695" i="4"/>
  <c r="BG2687" i="4"/>
  <c r="BG2679" i="4"/>
  <c r="BG2671" i="4"/>
  <c r="BG2663" i="4"/>
  <c r="BG2655" i="4"/>
  <c r="BG2647" i="4"/>
  <c r="BG2639" i="4"/>
  <c r="BG2631" i="4"/>
  <c r="BG2623" i="4"/>
  <c r="BG2615" i="4"/>
  <c r="BG2607" i="4"/>
  <c r="BG2599" i="4"/>
  <c r="BG2591" i="4"/>
  <c r="BG2583" i="4"/>
  <c r="BG2575" i="4"/>
  <c r="BG2567" i="4"/>
  <c r="BG2559" i="4"/>
  <c r="BG2551" i="4"/>
  <c r="BG2543" i="4"/>
  <c r="BG2535" i="4"/>
  <c r="BG2527" i="4"/>
  <c r="BG2519" i="4"/>
  <c r="BG2511" i="4"/>
  <c r="BG2503" i="4"/>
  <c r="BG2495" i="4"/>
  <c r="BG2487" i="4"/>
  <c r="BG2479" i="4"/>
  <c r="BG2471" i="4"/>
  <c r="BG2463" i="4"/>
  <c r="BG2455" i="4"/>
  <c r="BG2447" i="4"/>
  <c r="BG2439" i="4"/>
  <c r="BG2431" i="4"/>
  <c r="BG2423" i="4"/>
  <c r="BG2415" i="4"/>
  <c r="BG2407" i="4"/>
  <c r="BG2399" i="4"/>
  <c r="BG2391" i="4"/>
  <c r="BG2383" i="4"/>
  <c r="BG2375" i="4"/>
  <c r="BG2367" i="4"/>
  <c r="BG2359" i="4"/>
  <c r="BG2429" i="4"/>
  <c r="BG2421" i="4"/>
  <c r="BG2413" i="4"/>
  <c r="BG2405" i="4"/>
  <c r="BG2397" i="4"/>
  <c r="BG2389" i="4"/>
  <c r="BG2381" i="4"/>
  <c r="BG2373" i="4"/>
  <c r="BG2365" i="4"/>
  <c r="BG2357" i="4"/>
  <c r="BG2349" i="4"/>
  <c r="BG2341" i="4"/>
  <c r="BG2333" i="4"/>
  <c r="BG2325" i="4"/>
  <c r="BG2317" i="4"/>
  <c r="BG2309" i="4"/>
  <c r="BG2301" i="4"/>
  <c r="BG2293" i="4"/>
  <c r="BG2285" i="4"/>
  <c r="BG2277" i="4"/>
  <c r="BG2269" i="4"/>
  <c r="BG2261" i="4"/>
  <c r="BG2253" i="4"/>
  <c r="BG2245" i="4"/>
  <c r="BG2237" i="4"/>
  <c r="BG2229" i="4"/>
  <c r="BG2221" i="4"/>
  <c r="BG2213" i="4"/>
  <c r="BG2205" i="4"/>
  <c r="BG2197" i="4"/>
  <c r="BG2189" i="4"/>
  <c r="BG2181" i="4"/>
  <c r="BG2173" i="4"/>
  <c r="BG2165" i="4"/>
  <c r="BG2157" i="4"/>
  <c r="BG2149" i="4"/>
  <c r="BG2141" i="4"/>
  <c r="BG2133" i="4"/>
  <c r="BG2125" i="4"/>
  <c r="BG2117" i="4"/>
  <c r="BG2109" i="4"/>
  <c r="BG2101" i="4"/>
  <c r="BG2093" i="4"/>
  <c r="BG2085" i="4"/>
  <c r="BG2077" i="4"/>
  <c r="BG2069" i="4"/>
  <c r="BG2061" i="4"/>
  <c r="BG2053" i="4"/>
  <c r="BG2045" i="4"/>
  <c r="BG2037" i="4"/>
  <c r="BG2029" i="4"/>
  <c r="BG2021" i="4"/>
  <c r="BG2013" i="4"/>
  <c r="BG2005" i="4"/>
  <c r="BG1997" i="4"/>
  <c r="BG1989" i="4"/>
  <c r="BG1981" i="4"/>
  <c r="BG1973" i="4"/>
  <c r="BG1965" i="4"/>
  <c r="BG1957" i="4"/>
  <c r="BG1949" i="4"/>
  <c r="BG1941" i="4"/>
  <c r="BG1933" i="4"/>
  <c r="BG1925" i="4"/>
  <c r="BG1917" i="4"/>
  <c r="BG1909" i="4"/>
  <c r="BG1901" i="4"/>
  <c r="BG1893" i="4"/>
  <c r="BG1885" i="4"/>
  <c r="BG1877" i="4"/>
  <c r="BG1869" i="4"/>
  <c r="BG1861" i="4"/>
  <c r="BG1853" i="4"/>
  <c r="BG1845" i="4"/>
  <c r="BG1837" i="4"/>
  <c r="BG1829" i="4"/>
  <c r="BG1821" i="4"/>
  <c r="BG1813" i="4"/>
  <c r="BG1805" i="4"/>
  <c r="BG1797" i="4"/>
  <c r="BG1789" i="4"/>
  <c r="BG1781" i="4"/>
  <c r="BG1773" i="4"/>
  <c r="BG1765" i="4"/>
  <c r="BG1757" i="4"/>
  <c r="BG1749" i="4"/>
  <c r="BG1741" i="4"/>
  <c r="BG1733" i="4"/>
  <c r="BG1725" i="4"/>
  <c r="BG1717" i="4"/>
  <c r="BG1709" i="4"/>
  <c r="BG1701" i="4"/>
  <c r="BG1693" i="4"/>
  <c r="BG1685" i="4"/>
  <c r="BG1677" i="4"/>
  <c r="BG1669" i="4"/>
  <c r="BG1661" i="4"/>
  <c r="BG1653" i="4"/>
  <c r="BG1645" i="4"/>
  <c r="BG1637" i="4"/>
  <c r="BG1629" i="4"/>
  <c r="BG1621" i="4"/>
  <c r="BG1613" i="4"/>
  <c r="BG1605" i="4"/>
  <c r="BG1597" i="4"/>
  <c r="BG1589" i="4"/>
  <c r="BG1581" i="4"/>
  <c r="BG1573" i="4"/>
  <c r="BG1565" i="4"/>
  <c r="BG1557" i="4"/>
  <c r="BG1549" i="4"/>
  <c r="BG1541" i="4"/>
  <c r="BG1533" i="4"/>
  <c r="BG1525" i="4"/>
  <c r="BG1517" i="4"/>
  <c r="BG1509" i="4"/>
  <c r="BG1501" i="4"/>
  <c r="BG1493" i="4"/>
  <c r="BG1485" i="4"/>
  <c r="BG1477" i="4"/>
  <c r="BG1469" i="4"/>
  <c r="BG1461" i="4"/>
  <c r="BG1453" i="4"/>
  <c r="BG1445" i="4"/>
  <c r="BG1437" i="4"/>
  <c r="BG1429" i="4"/>
  <c r="BG1421" i="4"/>
  <c r="BG1413" i="4"/>
  <c r="BG1405" i="4"/>
  <c r="BG1397" i="4"/>
  <c r="BG1389" i="4"/>
  <c r="BG1381" i="4"/>
  <c r="BG1373" i="4"/>
  <c r="BG1365" i="4"/>
  <c r="BG1357" i="4"/>
  <c r="BG1349" i="4"/>
  <c r="BG1341" i="4"/>
  <c r="BG1333" i="4"/>
  <c r="BG1325" i="4"/>
  <c r="BG1317" i="4"/>
  <c r="BG1309" i="4"/>
  <c r="BG1301" i="4"/>
  <c r="BG1293" i="4"/>
  <c r="BG1285" i="4"/>
  <c r="BG1277" i="4"/>
  <c r="BG1269" i="4"/>
  <c r="BG1261" i="4"/>
  <c r="BG1253" i="4"/>
  <c r="BG1245" i="4"/>
  <c r="BG1237" i="4"/>
  <c r="BG1229" i="4"/>
  <c r="BG1221" i="4"/>
  <c r="BG1213" i="4"/>
  <c r="BG1205" i="4"/>
  <c r="BG1197" i="4"/>
  <c r="BG1189" i="4"/>
  <c r="BG1181" i="4"/>
  <c r="BG1173" i="4"/>
  <c r="BG1165" i="4"/>
  <c r="BG1157" i="4"/>
  <c r="BG1149" i="4"/>
  <c r="BG1141" i="4"/>
  <c r="BG1133" i="4"/>
  <c r="BG1125" i="4"/>
  <c r="BG1117" i="4"/>
  <c r="BG1109" i="4"/>
  <c r="BG1101" i="4"/>
  <c r="BG1093" i="4"/>
  <c r="BG1085" i="4"/>
  <c r="BG1077" i="4"/>
  <c r="BG2364" i="4"/>
  <c r="BG2356" i="4"/>
  <c r="BG2348" i="4"/>
  <c r="BG2340" i="4"/>
  <c r="BG2332" i="4"/>
  <c r="BG2324" i="4"/>
  <c r="BG2316" i="4"/>
  <c r="BG2308" i="4"/>
  <c r="BG2300" i="4"/>
  <c r="BG2292" i="4"/>
  <c r="BG2284" i="4"/>
  <c r="BG2276" i="4"/>
  <c r="BG2268" i="4"/>
  <c r="BG2260" i="4"/>
  <c r="BG2252" i="4"/>
  <c r="BG2244" i="4"/>
  <c r="BG2236" i="4"/>
  <c r="BG2228" i="4"/>
  <c r="BG2220" i="4"/>
  <c r="BG2212" i="4"/>
  <c r="BG2204" i="4"/>
  <c r="BG2196" i="4"/>
  <c r="BG2188" i="4"/>
  <c r="BG2180" i="4"/>
  <c r="BG2172" i="4"/>
  <c r="BG2164" i="4"/>
  <c r="BG2156" i="4"/>
  <c r="BG2148" i="4"/>
  <c r="BG2140" i="4"/>
  <c r="BG2132" i="4"/>
  <c r="BG2124" i="4"/>
  <c r="BG2116" i="4"/>
  <c r="BG2108" i="4"/>
  <c r="BG2100" i="4"/>
  <c r="BG2092" i="4"/>
  <c r="BG2084" i="4"/>
  <c r="BG2076" i="4"/>
  <c r="BG2068" i="4"/>
  <c r="BG2060" i="4"/>
  <c r="BG2052" i="4"/>
  <c r="BG2044" i="4"/>
  <c r="BG2036" i="4"/>
  <c r="BG2028" i="4"/>
  <c r="BG2020" i="4"/>
  <c r="BG2012" i="4"/>
  <c r="BG2004" i="4"/>
  <c r="BG1996" i="4"/>
  <c r="BG1988" i="4"/>
  <c r="BG1980" i="4"/>
  <c r="BG1972" i="4"/>
  <c r="BG1964" i="4"/>
  <c r="BG1956" i="4"/>
  <c r="BG1948" i="4"/>
  <c r="BG1940" i="4"/>
  <c r="BG1932" i="4"/>
  <c r="BG1924" i="4"/>
  <c r="BG1916" i="4"/>
  <c r="BG1908" i="4"/>
  <c r="BG1900" i="4"/>
  <c r="BG1892" i="4"/>
  <c r="BG1884" i="4"/>
  <c r="BG1876" i="4"/>
  <c r="BG1868" i="4"/>
  <c r="BG1860" i="4"/>
  <c r="BG1852" i="4"/>
  <c r="BG1844" i="4"/>
  <c r="BG1836" i="4"/>
  <c r="BG1828" i="4"/>
  <c r="BG1820" i="4"/>
  <c r="BG1812" i="4"/>
  <c r="BG1804" i="4"/>
  <c r="BG1796" i="4"/>
  <c r="BG1788" i="4"/>
  <c r="BG1780" i="4"/>
  <c r="BG1772" i="4"/>
  <c r="BG1764" i="4"/>
  <c r="BG1756" i="4"/>
  <c r="BG1748" i="4"/>
  <c r="BG1740" i="4"/>
  <c r="BG1732" i="4"/>
  <c r="BG1724" i="4"/>
  <c r="BG1716" i="4"/>
  <c r="BG1708" i="4"/>
  <c r="BG1700" i="4"/>
  <c r="BG1692" i="4"/>
  <c r="BG1684" i="4"/>
  <c r="BG1676" i="4"/>
  <c r="BG1668" i="4"/>
  <c r="BG1660" i="4"/>
  <c r="BG1652" i="4"/>
  <c r="BG1644" i="4"/>
  <c r="BG1636" i="4"/>
  <c r="BG1628" i="4"/>
  <c r="BG1620" i="4"/>
  <c r="BG1612" i="4"/>
  <c r="BG1604" i="4"/>
  <c r="BG1596" i="4"/>
  <c r="BG1588" i="4"/>
  <c r="BG1580" i="4"/>
  <c r="BG1572" i="4"/>
  <c r="BG1564" i="4"/>
  <c r="BG1556" i="4"/>
  <c r="BG1548" i="4"/>
  <c r="BG1540" i="4"/>
  <c r="BG1532" i="4"/>
  <c r="BG1524" i="4"/>
  <c r="BG1516" i="4"/>
  <c r="BG1508" i="4"/>
  <c r="BG1500" i="4"/>
  <c r="BG1492" i="4"/>
  <c r="BG1484" i="4"/>
  <c r="BG1476" i="4"/>
  <c r="BG1468" i="4"/>
  <c r="BG1460" i="4"/>
  <c r="BG1452" i="4"/>
  <c r="BG1444" i="4"/>
  <c r="BG1436" i="4"/>
  <c r="BG1428" i="4"/>
  <c r="BG1420" i="4"/>
  <c r="BG1412" i="4"/>
  <c r="BG1404" i="4"/>
  <c r="BG1396" i="4"/>
  <c r="BG1388" i="4"/>
  <c r="BG1380" i="4"/>
  <c r="BG1372" i="4"/>
  <c r="BG1364" i="4"/>
  <c r="BG1356" i="4"/>
  <c r="BG1348" i="4"/>
  <c r="BG1340" i="4"/>
  <c r="BG1332" i="4"/>
  <c r="BG1324" i="4"/>
  <c r="BG1316" i="4"/>
  <c r="BG1308" i="4"/>
  <c r="BG1300" i="4"/>
  <c r="BG1292" i="4"/>
  <c r="BG1284" i="4"/>
  <c r="BG1276" i="4"/>
  <c r="BG1268" i="4"/>
  <c r="BG1260" i="4"/>
  <c r="BG1252" i="4"/>
  <c r="BG1244" i="4"/>
  <c r="BG1236" i="4"/>
  <c r="BG1228" i="4"/>
  <c r="BG1220" i="4"/>
  <c r="BG1212" i="4"/>
  <c r="BG1204" i="4"/>
  <c r="BG1196" i="4"/>
  <c r="BG1188" i="4"/>
  <c r="BG1180" i="4"/>
  <c r="BG1172" i="4"/>
  <c r="BG1164" i="4"/>
  <c r="BG1156" i="4"/>
  <c r="BG1148" i="4"/>
  <c r="BG1140" i="4"/>
  <c r="BG1132" i="4"/>
  <c r="BG1124" i="4"/>
  <c r="BG1116" i="4"/>
  <c r="BG1108" i="4"/>
  <c r="BG1100" i="4"/>
  <c r="BG1092" i="4"/>
  <c r="BG1084" i="4"/>
  <c r="BG1076" i="4"/>
  <c r="BG2275" i="4"/>
  <c r="BG2267" i="4"/>
  <c r="BG2259" i="4"/>
  <c r="BG2251" i="4"/>
  <c r="BG2243" i="4"/>
  <c r="BG2235" i="4"/>
  <c r="BG2227" i="4"/>
  <c r="BG2219" i="4"/>
  <c r="BG2211" i="4"/>
  <c r="BG2203" i="4"/>
  <c r="BG2195" i="4"/>
  <c r="BG2187" i="4"/>
  <c r="BG2179" i="4"/>
  <c r="BG2171" i="4"/>
  <c r="BG2163" i="4"/>
  <c r="BG2155" i="4"/>
  <c r="BG2147" i="4"/>
  <c r="BG2139" i="4"/>
  <c r="BG2131" i="4"/>
  <c r="BG2123" i="4"/>
  <c r="BG2115" i="4"/>
  <c r="BG2107" i="4"/>
  <c r="BG2099" i="4"/>
  <c r="BG2091" i="4"/>
  <c r="BG2083" i="4"/>
  <c r="BG2075" i="4"/>
  <c r="BG2067" i="4"/>
  <c r="BG2059" i="4"/>
  <c r="BG2051" i="4"/>
  <c r="BG2043" i="4"/>
  <c r="BG2035" i="4"/>
  <c r="BG2027" i="4"/>
  <c r="BG2019" i="4"/>
  <c r="BG2011" i="4"/>
  <c r="BG2003" i="4"/>
  <c r="BG1995" i="4"/>
  <c r="BG1987" i="4"/>
  <c r="BG1979" i="4"/>
  <c r="BG1971" i="4"/>
  <c r="BG1963" i="4"/>
  <c r="BG1955" i="4"/>
  <c r="BG1947" i="4"/>
  <c r="BG1939" i="4"/>
  <c r="BG1931" i="4"/>
  <c r="BG1923" i="4"/>
  <c r="BG1915" i="4"/>
  <c r="BG1907" i="4"/>
  <c r="BG1899" i="4"/>
  <c r="BG1891" i="4"/>
  <c r="BG1883" i="4"/>
  <c r="BG1875" i="4"/>
  <c r="BG1867" i="4"/>
  <c r="BG1859" i="4"/>
  <c r="BG1851" i="4"/>
  <c r="BG1843" i="4"/>
  <c r="BG1835" i="4"/>
  <c r="BG1827" i="4"/>
  <c r="BG1819" i="4"/>
  <c r="BG1811" i="4"/>
  <c r="BG1803" i="4"/>
  <c r="BG1795" i="4"/>
  <c r="BG1787" i="4"/>
  <c r="BG1779" i="4"/>
  <c r="BG1771" i="4"/>
  <c r="BG1763" i="4"/>
  <c r="BG1755" i="4"/>
  <c r="BG1747" i="4"/>
  <c r="BG1739" i="4"/>
  <c r="BG1731" i="4"/>
  <c r="BG1723" i="4"/>
  <c r="BG1715" i="4"/>
  <c r="BG1707" i="4"/>
  <c r="BG1699" i="4"/>
  <c r="BG1691" i="4"/>
  <c r="BG1683" i="4"/>
  <c r="BG1675" i="4"/>
  <c r="BG1667" i="4"/>
  <c r="BG1659" i="4"/>
  <c r="BG1651" i="4"/>
  <c r="BG1643" i="4"/>
  <c r="BG1635" i="4"/>
  <c r="BG1627" i="4"/>
  <c r="BG1619" i="4"/>
  <c r="BG1611" i="4"/>
  <c r="BG1603" i="4"/>
  <c r="BG1595" i="4"/>
  <c r="BG1587" i="4"/>
  <c r="BG1579" i="4"/>
  <c r="BG1571" i="4"/>
  <c r="BG1563" i="4"/>
  <c r="BG1555" i="4"/>
  <c r="BG1547" i="4"/>
  <c r="BG1539" i="4"/>
  <c r="BG1531" i="4"/>
  <c r="BG1523" i="4"/>
  <c r="BG1515" i="4"/>
  <c r="BG1507" i="4"/>
  <c r="BG1499" i="4"/>
  <c r="BG1491" i="4"/>
  <c r="BG1483" i="4"/>
  <c r="BG1475" i="4"/>
  <c r="BG1467" i="4"/>
  <c r="BG1459" i="4"/>
  <c r="BG1451" i="4"/>
  <c r="BG1443" i="4"/>
  <c r="BG1435" i="4"/>
  <c r="BG1427" i="4"/>
  <c r="BG1419" i="4"/>
  <c r="BG1411" i="4"/>
  <c r="BG1403" i="4"/>
  <c r="BG1395" i="4"/>
  <c r="BG1387" i="4"/>
  <c r="BG1379" i="4"/>
  <c r="BG1371" i="4"/>
  <c r="BG1363" i="4"/>
  <c r="BG1355" i="4"/>
  <c r="BG1347" i="4"/>
  <c r="BG1339" i="4"/>
  <c r="BG1331" i="4"/>
  <c r="BG1323" i="4"/>
  <c r="BG1315" i="4"/>
  <c r="BG1307" i="4"/>
  <c r="BG1299" i="4"/>
  <c r="BG1291" i="4"/>
  <c r="BG1283" i="4"/>
  <c r="BG1275" i="4"/>
  <c r="BG1267" i="4"/>
  <c r="BG1259" i="4"/>
  <c r="BG1251" i="4"/>
  <c r="BG1243" i="4"/>
  <c r="BG1235" i="4"/>
  <c r="BG1227" i="4"/>
  <c r="BG1219" i="4"/>
  <c r="BG1211" i="4"/>
  <c r="BG1203" i="4"/>
  <c r="BG1195" i="4"/>
  <c r="BG1187" i="4"/>
  <c r="BG1179" i="4"/>
  <c r="BG1171" i="4"/>
  <c r="BG1163" i="4"/>
  <c r="BG1155" i="4"/>
  <c r="BG1147" i="4"/>
  <c r="BG1139" i="4"/>
  <c r="BG1131" i="4"/>
  <c r="BG1123" i="4"/>
  <c r="BG1115" i="4"/>
  <c r="BG1107" i="4"/>
  <c r="BG1099" i="4"/>
  <c r="BG1091" i="4"/>
  <c r="BG1083" i="4"/>
  <c r="BG1075" i="4"/>
  <c r="BG2314" i="4"/>
  <c r="BG2306" i="4"/>
  <c r="BG2298" i="4"/>
  <c r="BG2290" i="4"/>
  <c r="BG2282" i="4"/>
  <c r="BG2274" i="4"/>
  <c r="BG2266" i="4"/>
  <c r="BG2258" i="4"/>
  <c r="BG2250" i="4"/>
  <c r="BG2242" i="4"/>
  <c r="BG2234" i="4"/>
  <c r="BG2226" i="4"/>
  <c r="BG2218" i="4"/>
  <c r="BG2210" i="4"/>
  <c r="BG2202" i="4"/>
  <c r="BG2194" i="4"/>
  <c r="BG2186" i="4"/>
  <c r="BG2178" i="4"/>
  <c r="BG2170" i="4"/>
  <c r="BG2162" i="4"/>
  <c r="BG2154" i="4"/>
  <c r="BG2146" i="4"/>
  <c r="BG2138" i="4"/>
  <c r="BG2130" i="4"/>
  <c r="BG2122" i="4"/>
  <c r="BG2114" i="4"/>
  <c r="BG2106" i="4"/>
  <c r="BG2098" i="4"/>
  <c r="BG2090" i="4"/>
  <c r="BG2082" i="4"/>
  <c r="BG2074" i="4"/>
  <c r="BG2066" i="4"/>
  <c r="BG2058" i="4"/>
  <c r="BG2050" i="4"/>
  <c r="BG2042" i="4"/>
  <c r="BG2034" i="4"/>
  <c r="BG2026" i="4"/>
  <c r="BG2018" i="4"/>
  <c r="BG2010" i="4"/>
  <c r="BG2002" i="4"/>
  <c r="BG1994" i="4"/>
  <c r="BG1986" i="4"/>
  <c r="BG1978" i="4"/>
  <c r="BG1970" i="4"/>
  <c r="BG1962" i="4"/>
  <c r="BG1954" i="4"/>
  <c r="BG1946" i="4"/>
  <c r="BG1938" i="4"/>
  <c r="BG1930" i="4"/>
  <c r="BG1922" i="4"/>
  <c r="BG1914" i="4"/>
  <c r="BG1906" i="4"/>
  <c r="BG1898" i="4"/>
  <c r="BG1890" i="4"/>
  <c r="BG1882" i="4"/>
  <c r="BG1874" i="4"/>
  <c r="BG1866" i="4"/>
  <c r="BG1858" i="4"/>
  <c r="BG1850" i="4"/>
  <c r="BG1842" i="4"/>
  <c r="BG1834" i="4"/>
  <c r="BG1826" i="4"/>
  <c r="BG1818" i="4"/>
  <c r="BG1810" i="4"/>
  <c r="BG1802" i="4"/>
  <c r="BG1794" i="4"/>
  <c r="BG1786" i="4"/>
  <c r="BG1778" i="4"/>
  <c r="BG1770" i="4"/>
  <c r="BG1762" i="4"/>
  <c r="BG1754" i="4"/>
  <c r="BG1746" i="4"/>
  <c r="BG1738" i="4"/>
  <c r="BG1730" i="4"/>
  <c r="BG1722" i="4"/>
  <c r="BG1714" i="4"/>
  <c r="BG1706" i="4"/>
  <c r="BG1698" i="4"/>
  <c r="BG1690" i="4"/>
  <c r="BG1682" i="4"/>
  <c r="BG1674" i="4"/>
  <c r="BG1666" i="4"/>
  <c r="BG1658" i="4"/>
  <c r="BG1650" i="4"/>
  <c r="BG1642" i="4"/>
  <c r="BG1634" i="4"/>
  <c r="BG1626" i="4"/>
  <c r="BG1618" i="4"/>
  <c r="BG1610" i="4"/>
  <c r="BG1602" i="4"/>
  <c r="BG1594" i="4"/>
  <c r="BG1586" i="4"/>
  <c r="BG1578" i="4"/>
  <c r="BG1570" i="4"/>
  <c r="BG1562" i="4"/>
  <c r="BG1554" i="4"/>
  <c r="BG1546" i="4"/>
  <c r="BG1538" i="4"/>
  <c r="BG1530" i="4"/>
  <c r="BG1522" i="4"/>
  <c r="BG1514" i="4"/>
  <c r="BG1506" i="4"/>
  <c r="BG1498" i="4"/>
  <c r="BG1490" i="4"/>
  <c r="BG1482" i="4"/>
  <c r="BG1474" i="4"/>
  <c r="BG1466" i="4"/>
  <c r="BG1458" i="4"/>
  <c r="BG1450" i="4"/>
  <c r="BG1442" i="4"/>
  <c r="BG1434" i="4"/>
  <c r="BG1426" i="4"/>
  <c r="BG1418" i="4"/>
  <c r="BG1410" i="4"/>
  <c r="BG1402" i="4"/>
  <c r="BG1394" i="4"/>
  <c r="BG1386" i="4"/>
  <c r="BG1378" i="4"/>
  <c r="BG1370" i="4"/>
  <c r="BG1362" i="4"/>
  <c r="BG1354" i="4"/>
  <c r="BG1346" i="4"/>
  <c r="BG1338" i="4"/>
  <c r="BG1330" i="4"/>
  <c r="BG1322" i="4"/>
  <c r="BG1314" i="4"/>
  <c r="BG1306" i="4"/>
  <c r="BG1298" i="4"/>
  <c r="BG1290" i="4"/>
  <c r="BG1282" i="4"/>
  <c r="BG1274" i="4"/>
  <c r="BG1266" i="4"/>
  <c r="BG1258" i="4"/>
  <c r="BG1250" i="4"/>
  <c r="BG1242" i="4"/>
  <c r="BG1234" i="4"/>
  <c r="BG1226" i="4"/>
  <c r="BG1218" i="4"/>
  <c r="BG1210" i="4"/>
  <c r="BG1202" i="4"/>
  <c r="BG1194" i="4"/>
  <c r="BG1186" i="4"/>
  <c r="BG1178" i="4"/>
  <c r="BG1170" i="4"/>
  <c r="BG1162" i="4"/>
  <c r="BG1154" i="4"/>
  <c r="BG1146" i="4"/>
  <c r="BG1138" i="4"/>
  <c r="BG1130" i="4"/>
  <c r="BG1122" i="4"/>
  <c r="BG1114" i="4"/>
  <c r="BG1106" i="4"/>
  <c r="BG1098" i="4"/>
  <c r="BG1090" i="4"/>
  <c r="BG1082" i="4"/>
  <c r="BG1074" i="4"/>
  <c r="BG2369" i="4"/>
  <c r="BG2361" i="4"/>
  <c r="BG2353" i="4"/>
  <c r="BG2345" i="4"/>
  <c r="BG2337" i="4"/>
  <c r="BG2329" i="4"/>
  <c r="BG2321" i="4"/>
  <c r="BG2313" i="4"/>
  <c r="BG2305" i="4"/>
  <c r="BG2297" i="4"/>
  <c r="BG2289" i="4"/>
  <c r="BG2281" i="4"/>
  <c r="BG2273" i="4"/>
  <c r="BG2265" i="4"/>
  <c r="BG2257" i="4"/>
  <c r="BG2249" i="4"/>
  <c r="BG2241" i="4"/>
  <c r="BG2233" i="4"/>
  <c r="BG2225" i="4"/>
  <c r="BG2217" i="4"/>
  <c r="BG2209" i="4"/>
  <c r="BG2201" i="4"/>
  <c r="BG2193" i="4"/>
  <c r="BG2185" i="4"/>
  <c r="BG2177" i="4"/>
  <c r="BG2169" i="4"/>
  <c r="BG2161" i="4"/>
  <c r="BG2153" i="4"/>
  <c r="BG2145" i="4"/>
  <c r="BG2137" i="4"/>
  <c r="BG2129" i="4"/>
  <c r="BG2121" i="4"/>
  <c r="BG2113" i="4"/>
  <c r="BG2105" i="4"/>
  <c r="BG2097" i="4"/>
  <c r="BG2089" i="4"/>
  <c r="BG2081" i="4"/>
  <c r="BG2073" i="4"/>
  <c r="BG2065" i="4"/>
  <c r="BG2057" i="4"/>
  <c r="BG2049" i="4"/>
  <c r="BG2041" i="4"/>
  <c r="BG2033" i="4"/>
  <c r="BG2025" i="4"/>
  <c r="BG2017" i="4"/>
  <c r="BG2009" i="4"/>
  <c r="BG2001" i="4"/>
  <c r="BG1993" i="4"/>
  <c r="BG1985" i="4"/>
  <c r="BG1977" i="4"/>
  <c r="BG1969" i="4"/>
  <c r="BG1961" i="4"/>
  <c r="BG1953" i="4"/>
  <c r="BG1945" i="4"/>
  <c r="BG1937" i="4"/>
  <c r="BG1929" i="4"/>
  <c r="BG1921" i="4"/>
  <c r="BG1913" i="4"/>
  <c r="BG1905" i="4"/>
  <c r="BG1897" i="4"/>
  <c r="BG1889" i="4"/>
  <c r="BG1881" i="4"/>
  <c r="BG1873" i="4"/>
  <c r="BG1865" i="4"/>
  <c r="BG1857" i="4"/>
  <c r="BG1849" i="4"/>
  <c r="BG1841" i="4"/>
  <c r="BG1833" i="4"/>
  <c r="BG1825" i="4"/>
  <c r="BG1817" i="4"/>
  <c r="BG1809" i="4"/>
  <c r="BG1801" i="4"/>
  <c r="BG1793" i="4"/>
  <c r="BG1785" i="4"/>
  <c r="BG1777" i="4"/>
  <c r="BG1769" i="4"/>
  <c r="BG1761" i="4"/>
  <c r="BG1753" i="4"/>
  <c r="BG1745" i="4"/>
  <c r="BG1737" i="4"/>
  <c r="BG1729" i="4"/>
  <c r="BG1721" i="4"/>
  <c r="BG1713" i="4"/>
  <c r="BG1705" i="4"/>
  <c r="BG1697" i="4"/>
  <c r="BG1689" i="4"/>
  <c r="BG1681" i="4"/>
  <c r="BG1673" i="4"/>
  <c r="BG1665" i="4"/>
  <c r="BG1657" i="4"/>
  <c r="BG1649" i="4"/>
  <c r="BG1641" i="4"/>
  <c r="BG1633" i="4"/>
  <c r="BG1625" i="4"/>
  <c r="BG1617" i="4"/>
  <c r="BG1609" i="4"/>
  <c r="BG1601" i="4"/>
  <c r="BG1593" i="4"/>
  <c r="BG1585" i="4"/>
  <c r="BG1577" i="4"/>
  <c r="BG1569" i="4"/>
  <c r="BG1561" i="4"/>
  <c r="BG1553" i="4"/>
  <c r="BG1545" i="4"/>
  <c r="BG1537" i="4"/>
  <c r="BG1529" i="4"/>
  <c r="BG1521" i="4"/>
  <c r="BG1513" i="4"/>
  <c r="BG1505" i="4"/>
  <c r="BG1497" i="4"/>
  <c r="BG1489" i="4"/>
  <c r="BG1481" i="4"/>
  <c r="BG1473" i="4"/>
  <c r="BG1465" i="4"/>
  <c r="BG1457" i="4"/>
  <c r="BG1449" i="4"/>
  <c r="BG1441" i="4"/>
  <c r="BG1433" i="4"/>
  <c r="BG1425" i="4"/>
  <c r="BG1417" i="4"/>
  <c r="BG1409" i="4"/>
  <c r="BG1401" i="4"/>
  <c r="BG1393" i="4"/>
  <c r="BG1385" i="4"/>
  <c r="BG1377" i="4"/>
  <c r="BG1369" i="4"/>
  <c r="BG1361" i="4"/>
  <c r="BG1353" i="4"/>
  <c r="BG1345" i="4"/>
  <c r="BG1337" i="4"/>
  <c r="BG1329" i="4"/>
  <c r="BG1321" i="4"/>
  <c r="BG1313" i="4"/>
  <c r="BG1305" i="4"/>
  <c r="BG1297" i="4"/>
  <c r="BG1289" i="4"/>
  <c r="BG1281" i="4"/>
  <c r="BG1273" i="4"/>
  <c r="BG1265" i="4"/>
  <c r="BG1257" i="4"/>
  <c r="BG1249" i="4"/>
  <c r="BG1241" i="4"/>
  <c r="BG1233" i="4"/>
  <c r="BG1225" i="4"/>
  <c r="BG1217" i="4"/>
  <c r="BG1209" i="4"/>
  <c r="BG1201" i="4"/>
  <c r="BG1193" i="4"/>
  <c r="BG1185" i="4"/>
  <c r="BG1177" i="4"/>
  <c r="BG1169" i="4"/>
  <c r="BG1161" i="4"/>
  <c r="BG1153" i="4"/>
  <c r="BG1145" i="4"/>
  <c r="BG1137" i="4"/>
  <c r="BG1129" i="4"/>
  <c r="BG1121" i="4"/>
  <c r="BG1113" i="4"/>
  <c r="BG1105" i="4"/>
  <c r="BG1097" i="4"/>
  <c r="BG1089" i="4"/>
  <c r="BG1081" i="4"/>
  <c r="BG1073" i="4"/>
  <c r="BG2296" i="4"/>
  <c r="BG2288" i="4"/>
  <c r="BG2280" i="4"/>
  <c r="BG2272" i="4"/>
  <c r="BG2264" i="4"/>
  <c r="BG2256" i="4"/>
  <c r="BG2248" i="4"/>
  <c r="BG2240" i="4"/>
  <c r="BG2232" i="4"/>
  <c r="BG2224" i="4"/>
  <c r="BG2216" i="4"/>
  <c r="BG2208" i="4"/>
  <c r="BG2200" i="4"/>
  <c r="BG2192" i="4"/>
  <c r="BG2184" i="4"/>
  <c r="BG2176" i="4"/>
  <c r="BG2168" i="4"/>
  <c r="BG2160" i="4"/>
  <c r="BG2152" i="4"/>
  <c r="BG2144" i="4"/>
  <c r="BG2136" i="4"/>
  <c r="BG2128" i="4"/>
  <c r="BG2120" i="4"/>
  <c r="BG2112" i="4"/>
  <c r="BG2104" i="4"/>
  <c r="BG2096" i="4"/>
  <c r="BG2088" i="4"/>
  <c r="BG2080" i="4"/>
  <c r="BG2072" i="4"/>
  <c r="BG2064" i="4"/>
  <c r="BG2056" i="4"/>
  <c r="BG2048" i="4"/>
  <c r="BG2040" i="4"/>
  <c r="BG2032" i="4"/>
  <c r="BG2024" i="4"/>
  <c r="BG2016" i="4"/>
  <c r="BG2008" i="4"/>
  <c r="BG2000" i="4"/>
  <c r="BG1992" i="4"/>
  <c r="BG1984" i="4"/>
  <c r="BG1976" i="4"/>
  <c r="BG1968" i="4"/>
  <c r="BG1960" i="4"/>
  <c r="BG1952" i="4"/>
  <c r="BG1944" i="4"/>
  <c r="BG1936" i="4"/>
  <c r="BG1928" i="4"/>
  <c r="BG1920" i="4"/>
  <c r="BG1912" i="4"/>
  <c r="BG1904" i="4"/>
  <c r="BG1896" i="4"/>
  <c r="BG1888" i="4"/>
  <c r="BG1880" i="4"/>
  <c r="BG1872" i="4"/>
  <c r="BG1864" i="4"/>
  <c r="BG1856" i="4"/>
  <c r="BG1848" i="4"/>
  <c r="BG1840" i="4"/>
  <c r="BG1832" i="4"/>
  <c r="BG1824" i="4"/>
  <c r="BG1816" i="4"/>
  <c r="BG1808" i="4"/>
  <c r="BG1800" i="4"/>
  <c r="BG1792" i="4"/>
  <c r="BG1784" i="4"/>
  <c r="BG1776" i="4"/>
  <c r="BG1768" i="4"/>
  <c r="BG1760" i="4"/>
  <c r="BG1752" i="4"/>
  <c r="BG1744" i="4"/>
  <c r="BG1736" i="4"/>
  <c r="BG1728" i="4"/>
  <c r="BG1720" i="4"/>
  <c r="BG1712" i="4"/>
  <c r="BG1704" i="4"/>
  <c r="BG1696" i="4"/>
  <c r="BG1688" i="4"/>
  <c r="BG1680" i="4"/>
  <c r="BG1672" i="4"/>
  <c r="BG1664" i="4"/>
  <c r="BG1656" i="4"/>
  <c r="BG1648" i="4"/>
  <c r="BG1640" i="4"/>
  <c r="BG1632" i="4"/>
  <c r="BG1624" i="4"/>
  <c r="BG1616" i="4"/>
  <c r="BG1608" i="4"/>
  <c r="BG1600" i="4"/>
  <c r="BG1592" i="4"/>
  <c r="BG1584" i="4"/>
  <c r="BG1576" i="4"/>
  <c r="BG1568" i="4"/>
  <c r="BG1560" i="4"/>
  <c r="BG1552" i="4"/>
  <c r="BG1544" i="4"/>
  <c r="BG1536" i="4"/>
  <c r="BG1528" i="4"/>
  <c r="BG1520" i="4"/>
  <c r="BG1512" i="4"/>
  <c r="BG1504" i="4"/>
  <c r="BG1496" i="4"/>
  <c r="BG1488" i="4"/>
  <c r="BG1480" i="4"/>
  <c r="BG1472" i="4"/>
  <c r="BG1464" i="4"/>
  <c r="BG1456" i="4"/>
  <c r="BG1448" i="4"/>
  <c r="BG1440" i="4"/>
  <c r="BG1432" i="4"/>
  <c r="BG1424" i="4"/>
  <c r="BG1416" i="4"/>
  <c r="BG1408" i="4"/>
  <c r="BG1400" i="4"/>
  <c r="BG1392" i="4"/>
  <c r="BG1384" i="4"/>
  <c r="BG1376" i="4"/>
  <c r="BG1368" i="4"/>
  <c r="BG1360" i="4"/>
  <c r="BG1352" i="4"/>
  <c r="BG1344" i="4"/>
  <c r="BG1336" i="4"/>
  <c r="BG1328" i="4"/>
  <c r="BG1320" i="4"/>
  <c r="BG1312" i="4"/>
  <c r="BG1304" i="4"/>
  <c r="BG1296" i="4"/>
  <c r="BG1288" i="4"/>
  <c r="BG1280" i="4"/>
  <c r="BG1272" i="4"/>
  <c r="BG1264" i="4"/>
  <c r="BG1256" i="4"/>
  <c r="BG1248" i="4"/>
  <c r="BG1240" i="4"/>
  <c r="BG1232" i="4"/>
  <c r="BG1224" i="4"/>
  <c r="BG1216" i="4"/>
  <c r="BG1208" i="4"/>
  <c r="BG1200" i="4"/>
  <c r="BG1192" i="4"/>
  <c r="BG1184" i="4"/>
  <c r="BG1176" i="4"/>
  <c r="BG1168" i="4"/>
  <c r="BG1160" i="4"/>
  <c r="BG1152" i="4"/>
  <c r="BG1144" i="4"/>
  <c r="BG1136" i="4"/>
  <c r="BG1128" i="4"/>
  <c r="BG1120" i="4"/>
  <c r="BG1112" i="4"/>
  <c r="BG1104" i="4"/>
  <c r="BG1096" i="4"/>
  <c r="BG1088" i="4"/>
  <c r="BG1080" i="4"/>
  <c r="BG2351" i="4"/>
  <c r="BG2343" i="4"/>
  <c r="BG2335" i="4"/>
  <c r="BG2327" i="4"/>
  <c r="BG2319" i="4"/>
  <c r="BG2311" i="4"/>
  <c r="BG2303" i="4"/>
  <c r="BG2295" i="4"/>
  <c r="BG2287" i="4"/>
  <c r="BG2279" i="4"/>
  <c r="BG2271" i="4"/>
  <c r="BG2263" i="4"/>
  <c r="BG2255" i="4"/>
  <c r="BG2247" i="4"/>
  <c r="BG2239" i="4"/>
  <c r="BG2231" i="4"/>
  <c r="BG2223" i="4"/>
  <c r="BG2215" i="4"/>
  <c r="BG2207" i="4"/>
  <c r="BG2199" i="4"/>
  <c r="BG2191" i="4"/>
  <c r="BG2183" i="4"/>
  <c r="BG2175" i="4"/>
  <c r="BG2167" i="4"/>
  <c r="BG2159" i="4"/>
  <c r="BG2151" i="4"/>
  <c r="BG2143" i="4"/>
  <c r="BG2135" i="4"/>
  <c r="BG2127" i="4"/>
  <c r="BG2119" i="4"/>
  <c r="BG2111" i="4"/>
  <c r="BG2103" i="4"/>
  <c r="BG2095" i="4"/>
  <c r="BG2087" i="4"/>
  <c r="BG2079" i="4"/>
  <c r="BG2071" i="4"/>
  <c r="BG2063" i="4"/>
  <c r="BG2055" i="4"/>
  <c r="BG2047" i="4"/>
  <c r="BG2039" i="4"/>
  <c r="BG2031" i="4"/>
  <c r="BG2023" i="4"/>
  <c r="BG2015" i="4"/>
  <c r="BG2007" i="4"/>
  <c r="BG1999" i="4"/>
  <c r="BG1991" i="4"/>
  <c r="BG1983" i="4"/>
  <c r="BG1975" i="4"/>
  <c r="BG1967" i="4"/>
  <c r="BG1959" i="4"/>
  <c r="BG1951" i="4"/>
  <c r="BG1943" i="4"/>
  <c r="BG1935" i="4"/>
  <c r="BG1927" i="4"/>
  <c r="BG1919" i="4"/>
  <c r="BG1911" i="4"/>
  <c r="BG1903" i="4"/>
  <c r="BG1895" i="4"/>
  <c r="BG1887" i="4"/>
  <c r="BG1879" i="4"/>
  <c r="BG1871" i="4"/>
  <c r="BG1863" i="4"/>
  <c r="BG1855" i="4"/>
  <c r="BG1847" i="4"/>
  <c r="BG1839" i="4"/>
  <c r="BG1831" i="4"/>
  <c r="BG1823" i="4"/>
  <c r="BG1815" i="4"/>
  <c r="BG1807" i="4"/>
  <c r="BG1799" i="4"/>
  <c r="BG1791" i="4"/>
  <c r="BG1783" i="4"/>
  <c r="BG1775" i="4"/>
  <c r="BG1767" i="4"/>
  <c r="BG1759" i="4"/>
  <c r="BG1751" i="4"/>
  <c r="BG1743" i="4"/>
  <c r="BG1735" i="4"/>
  <c r="BG1727" i="4"/>
  <c r="BG1719" i="4"/>
  <c r="BG1711" i="4"/>
  <c r="BG1703" i="4"/>
  <c r="BG1695" i="4"/>
  <c r="BG1687" i="4"/>
  <c r="BG1679" i="4"/>
  <c r="BG1671" i="4"/>
  <c r="BG1663" i="4"/>
  <c r="BG1655" i="4"/>
  <c r="BG1647" i="4"/>
  <c r="BG1639" i="4"/>
  <c r="BG1631" i="4"/>
  <c r="BG1623" i="4"/>
  <c r="BG1615" i="4"/>
  <c r="BG1607" i="4"/>
  <c r="BG1599" i="4"/>
  <c r="BG1591" i="4"/>
  <c r="BG1583" i="4"/>
  <c r="BG1575" i="4"/>
  <c r="BG1567" i="4"/>
  <c r="BG1559" i="4"/>
  <c r="BG1551" i="4"/>
  <c r="BG1543" i="4"/>
  <c r="BG1535" i="4"/>
  <c r="BG1527" i="4"/>
  <c r="BG1519" i="4"/>
  <c r="BG1511" i="4"/>
  <c r="BG1503" i="4"/>
  <c r="BG1495" i="4"/>
  <c r="BG1487" i="4"/>
  <c r="BG1479" i="4"/>
  <c r="BG1471" i="4"/>
  <c r="BG1463" i="4"/>
  <c r="BG1455" i="4"/>
  <c r="BG1447" i="4"/>
  <c r="BG1439" i="4"/>
  <c r="BG1431" i="4"/>
  <c r="BG1423" i="4"/>
  <c r="BG1415" i="4"/>
  <c r="BG1407" i="4"/>
  <c r="BG1399" i="4"/>
  <c r="BG1391" i="4"/>
  <c r="BG1383" i="4"/>
  <c r="BG1375" i="4"/>
  <c r="BG1367" i="4"/>
  <c r="BG1359" i="4"/>
  <c r="BG1351" i="4"/>
  <c r="BG1343" i="4"/>
  <c r="BG1335" i="4"/>
  <c r="BG1327" i="4"/>
  <c r="BG1319" i="4"/>
  <c r="BG1311" i="4"/>
  <c r="BG1303" i="4"/>
  <c r="BG1295" i="4"/>
  <c r="BG1287" i="4"/>
  <c r="BG1279" i="4"/>
  <c r="BG1271" i="4"/>
  <c r="BG1263" i="4"/>
  <c r="BG1255" i="4"/>
  <c r="BG1247" i="4"/>
  <c r="BG1239" i="4"/>
  <c r="BG1231" i="4"/>
  <c r="BG1223" i="4"/>
  <c r="BG1215" i="4"/>
  <c r="BG1207" i="4"/>
  <c r="BG1199" i="4"/>
  <c r="BG1191" i="4"/>
  <c r="BG1183" i="4"/>
  <c r="BG1175" i="4"/>
  <c r="BG1167" i="4"/>
  <c r="BG1159" i="4"/>
  <c r="BG1151" i="4"/>
  <c r="BG1143" i="4"/>
  <c r="BG1135" i="4"/>
  <c r="BG1127" i="4"/>
  <c r="BG1119" i="4"/>
  <c r="BG1111" i="4"/>
  <c r="BG1103" i="4"/>
  <c r="BG1095" i="4"/>
  <c r="BG1087" i="4"/>
  <c r="BG1079" i="4"/>
  <c r="BG6" i="4"/>
  <c r="G193" i="16"/>
  <c r="J193" i="16"/>
  <c r="M193" i="16"/>
  <c r="P193" i="16"/>
  <c r="S193" i="16"/>
  <c r="V193" i="16"/>
  <c r="Y193" i="16"/>
  <c r="D193" i="16"/>
  <c r="BG900" i="4"/>
  <c r="BG892" i="4"/>
  <c r="BG884" i="4"/>
  <c r="BG876" i="4"/>
  <c r="BG868" i="4"/>
  <c r="BG1068" i="4"/>
  <c r="BG1060" i="4"/>
  <c r="BG1052" i="4"/>
  <c r="BG1044" i="4"/>
  <c r="BG1036" i="4"/>
  <c r="BG1028" i="4"/>
  <c r="BG1020" i="4"/>
  <c r="BG1012" i="4"/>
  <c r="BG1004" i="4"/>
  <c r="BG996" i="4"/>
  <c r="BG988" i="4"/>
  <c r="BG980" i="4"/>
  <c r="BG972" i="4"/>
  <c r="BG964" i="4"/>
  <c r="BG956" i="4"/>
  <c r="BG948" i="4"/>
  <c r="BG940" i="4"/>
  <c r="BG932" i="4"/>
  <c r="BG924" i="4"/>
  <c r="BG916" i="4"/>
  <c r="BG908" i="4"/>
  <c r="BG1070" i="4"/>
  <c r="BG1062" i="4"/>
  <c r="BG1054" i="4"/>
  <c r="BG1046" i="4"/>
  <c r="BG1038" i="4"/>
  <c r="BG1030" i="4"/>
  <c r="BG1022" i="4"/>
  <c r="BG1014" i="4"/>
  <c r="BG1006" i="4"/>
  <c r="BG998" i="4"/>
  <c r="BG990" i="4"/>
  <c r="BG982" i="4"/>
  <c r="BG974" i="4"/>
  <c r="BG966" i="4"/>
  <c r="BG958" i="4"/>
  <c r="BG950" i="4"/>
  <c r="BG942" i="4"/>
  <c r="BG934" i="4"/>
  <c r="BG926" i="4"/>
  <c r="BG918" i="4"/>
  <c r="BG910" i="4"/>
  <c r="BG902" i="4"/>
  <c r="BG894" i="4"/>
  <c r="BG886" i="4"/>
  <c r="BG878" i="4"/>
  <c r="BG870" i="4"/>
  <c r="BG862" i="4"/>
  <c r="BG854" i="4"/>
  <c r="BG846" i="4"/>
  <c r="BG838" i="4"/>
  <c r="BG830" i="4"/>
  <c r="BG860" i="4"/>
  <c r="BG852" i="4"/>
  <c r="BG844" i="4"/>
  <c r="BG836" i="4"/>
  <c r="BG828" i="4"/>
  <c r="BG820" i="4"/>
  <c r="BG812" i="4"/>
  <c r="BG804" i="4"/>
  <c r="BG796" i="4"/>
  <c r="BG788" i="4"/>
  <c r="BG1067" i="4"/>
  <c r="BG1059" i="4"/>
  <c r="BG1051" i="4"/>
  <c r="BG1043" i="4"/>
  <c r="BG1035" i="4"/>
  <c r="BG1027" i="4"/>
  <c r="BG1019" i="4"/>
  <c r="BG1011" i="4"/>
  <c r="BG1003" i="4"/>
  <c r="BG822" i="4"/>
  <c r="BG814" i="4"/>
  <c r="BG806" i="4"/>
  <c r="BG798" i="4"/>
  <c r="BG790" i="4"/>
  <c r="BG782" i="4"/>
  <c r="BG774" i="4"/>
  <c r="BG766" i="4"/>
  <c r="BG758" i="4"/>
  <c r="BG750" i="4"/>
  <c r="BG742" i="4"/>
  <c r="BG734" i="4"/>
  <c r="BG726" i="4"/>
  <c r="BG718" i="4"/>
  <c r="BG710" i="4"/>
  <c r="BG702" i="4"/>
  <c r="BG694" i="4"/>
  <c r="BG686" i="4"/>
  <c r="BG678" i="4"/>
  <c r="BG670" i="4"/>
  <c r="BG662" i="4"/>
  <c r="BG654" i="4"/>
  <c r="BG646" i="4"/>
  <c r="BG638" i="4"/>
  <c r="BG630" i="4"/>
  <c r="BG622" i="4"/>
  <c r="BG614" i="4"/>
  <c r="BG606" i="4"/>
  <c r="BG598" i="4"/>
  <c r="BG590" i="4"/>
  <c r="BG582" i="4"/>
  <c r="BG574" i="4"/>
  <c r="BG566" i="4"/>
  <c r="BG558" i="4"/>
  <c r="BG550" i="4"/>
  <c r="BG542" i="4"/>
  <c r="BG534" i="4"/>
  <c r="BG526" i="4"/>
  <c r="BG518" i="4"/>
  <c r="BG510" i="4"/>
  <c r="BG502" i="4"/>
  <c r="BG494" i="4"/>
  <c r="BG486" i="4"/>
  <c r="BG478" i="4"/>
  <c r="BG470" i="4"/>
  <c r="BG462" i="4"/>
  <c r="BG454" i="4"/>
  <c r="BG446" i="4"/>
  <c r="BG438" i="4"/>
  <c r="BG430" i="4"/>
  <c r="BG422" i="4"/>
  <c r="BG414" i="4"/>
  <c r="BG406" i="4"/>
  <c r="BG398" i="4"/>
  <c r="BG390" i="4"/>
  <c r="BG382" i="4"/>
  <c r="BG374" i="4"/>
  <c r="BG366" i="4"/>
  <c r="BG358" i="4"/>
  <c r="BG350" i="4"/>
  <c r="BG342" i="4"/>
  <c r="BG334" i="4"/>
  <c r="BG326" i="4"/>
  <c r="BG318" i="4"/>
  <c r="BG310" i="4"/>
  <c r="BG302" i="4"/>
  <c r="BG294" i="4"/>
  <c r="BG286" i="4"/>
  <c r="BG278" i="4"/>
  <c r="BG270" i="4"/>
  <c r="BG262" i="4"/>
  <c r="BG254" i="4"/>
  <c r="BG246" i="4"/>
  <c r="BG238" i="4"/>
  <c r="BG230" i="4"/>
  <c r="BG222" i="4"/>
  <c r="BG214" i="4"/>
  <c r="BG206" i="4"/>
  <c r="BG198" i="4"/>
  <c r="BG190" i="4"/>
  <c r="BG182" i="4"/>
  <c r="BG174" i="4"/>
  <c r="BG166" i="4"/>
  <c r="BG158" i="4"/>
  <c r="BG150" i="4"/>
  <c r="BG995" i="4"/>
  <c r="BG142" i="4"/>
  <c r="BG134" i="4"/>
  <c r="BG126" i="4"/>
  <c r="BG118" i="4"/>
  <c r="BG110" i="4"/>
  <c r="BG102" i="4"/>
  <c r="BG94" i="4"/>
  <c r="BG86" i="4"/>
  <c r="BG78" i="4"/>
  <c r="BG70" i="4"/>
  <c r="BG62" i="4"/>
  <c r="BG54" i="4"/>
  <c r="BG46" i="4"/>
  <c r="BG38" i="4"/>
  <c r="BG30" i="4"/>
  <c r="BG22" i="4"/>
  <c r="BG14" i="4"/>
  <c r="BG1069" i="4"/>
  <c r="BG1061" i="4"/>
  <c r="BG1053" i="4"/>
  <c r="BG1045" i="4"/>
  <c r="BG1037" i="4"/>
  <c r="BG1029" i="4"/>
  <c r="BG1021" i="4"/>
  <c r="BG1013" i="4"/>
  <c r="BG1005" i="4"/>
  <c r="BG997" i="4"/>
  <c r="BG989" i="4"/>
  <c r="BG981" i="4"/>
  <c r="BG973" i="4"/>
  <c r="BG965" i="4"/>
  <c r="BG957" i="4"/>
  <c r="BG949" i="4"/>
  <c r="BG941" i="4"/>
  <c r="BG933" i="4"/>
  <c r="BG925" i="4"/>
  <c r="BG917" i="4"/>
  <c r="BG909" i="4"/>
  <c r="BG901" i="4"/>
  <c r="BG893" i="4"/>
  <c r="BG885" i="4"/>
  <c r="BG877" i="4"/>
  <c r="BG869" i="4"/>
  <c r="BG861" i="4"/>
  <c r="BG853" i="4"/>
  <c r="BG845" i="4"/>
  <c r="BG837" i="4"/>
  <c r="BG829" i="4"/>
  <c r="BG821" i="4"/>
  <c r="BG813" i="4"/>
  <c r="BG805" i="4"/>
  <c r="BG797" i="4"/>
  <c r="BG789" i="4"/>
  <c r="BG781" i="4"/>
  <c r="BG773" i="4"/>
  <c r="BG765" i="4"/>
  <c r="BG757" i="4"/>
  <c r="BG749" i="4"/>
  <c r="BG741" i="4"/>
  <c r="BG733" i="4"/>
  <c r="BG725" i="4"/>
  <c r="BG717" i="4"/>
  <c r="BG709" i="4"/>
  <c r="BG701" i="4"/>
  <c r="BG693" i="4"/>
  <c r="BG685" i="4"/>
  <c r="BG677" i="4"/>
  <c r="BG669" i="4"/>
  <c r="BG661" i="4"/>
  <c r="BG653" i="4"/>
  <c r="BG645" i="4"/>
  <c r="BG637" i="4"/>
  <c r="BG629" i="4"/>
  <c r="BG621" i="4"/>
  <c r="BG613" i="4"/>
  <c r="BG605" i="4"/>
  <c r="BG597" i="4"/>
  <c r="BG589" i="4"/>
  <c r="BG581" i="4"/>
  <c r="BG573" i="4"/>
  <c r="BG565" i="4"/>
  <c r="BG780" i="4"/>
  <c r="BG772" i="4"/>
  <c r="BG764" i="4"/>
  <c r="BG756" i="4"/>
  <c r="BG748" i="4"/>
  <c r="BG740" i="4"/>
  <c r="BG732" i="4"/>
  <c r="BG724" i="4"/>
  <c r="BG716" i="4"/>
  <c r="BG708" i="4"/>
  <c r="BG700" i="4"/>
  <c r="BG692" i="4"/>
  <c r="BG684" i="4"/>
  <c r="BG676" i="4"/>
  <c r="BG668" i="4"/>
  <c r="BG660" i="4"/>
  <c r="BG652" i="4"/>
  <c r="BG644" i="4"/>
  <c r="BG636" i="4"/>
  <c r="BG628" i="4"/>
  <c r="BG620" i="4"/>
  <c r="BG612" i="4"/>
  <c r="BG604" i="4"/>
  <c r="BG596" i="4"/>
  <c r="BG588" i="4"/>
  <c r="BG580" i="4"/>
  <c r="BG572" i="4"/>
  <c r="BG564" i="4"/>
  <c r="BG556" i="4"/>
  <c r="BG548" i="4"/>
  <c r="BG540" i="4"/>
  <c r="BG532" i="4"/>
  <c r="BG524" i="4"/>
  <c r="BG516" i="4"/>
  <c r="BG508" i="4"/>
  <c r="BG500" i="4"/>
  <c r="BG492" i="4"/>
  <c r="BG484" i="4"/>
  <c r="BG476" i="4"/>
  <c r="BG468" i="4"/>
  <c r="BG460" i="4"/>
  <c r="BG452" i="4"/>
  <c r="BG444" i="4"/>
  <c r="BG436" i="4"/>
  <c r="BG428" i="4"/>
  <c r="BG420" i="4"/>
  <c r="BG412" i="4"/>
  <c r="BG404" i="4"/>
  <c r="BG396" i="4"/>
  <c r="BG388" i="4"/>
  <c r="BG380" i="4"/>
  <c r="BG372" i="4"/>
  <c r="BG364" i="4"/>
  <c r="BG356" i="4"/>
  <c r="BG348" i="4"/>
  <c r="BG340" i="4"/>
  <c r="BG332" i="4"/>
  <c r="BG324" i="4"/>
  <c r="BG316" i="4"/>
  <c r="BG308" i="4"/>
  <c r="BG300" i="4"/>
  <c r="BG292" i="4"/>
  <c r="BG284" i="4"/>
  <c r="BG276" i="4"/>
  <c r="BG268" i="4"/>
  <c r="BG260" i="4"/>
  <c r="BG252" i="4"/>
  <c r="BG244" i="4"/>
  <c r="BG236" i="4"/>
  <c r="BG228" i="4"/>
  <c r="BG220" i="4"/>
  <c r="BG212" i="4"/>
  <c r="BG204" i="4"/>
  <c r="BG196" i="4"/>
  <c r="BG188" i="4"/>
  <c r="BG180" i="4"/>
  <c r="BG172" i="4"/>
  <c r="BG164" i="4"/>
  <c r="BG156" i="4"/>
  <c r="BG148" i="4"/>
  <c r="BG140" i="4"/>
  <c r="BG132" i="4"/>
  <c r="BG124" i="4"/>
  <c r="BG116" i="4"/>
  <c r="BG108" i="4"/>
  <c r="BG987" i="4"/>
  <c r="BG979" i="4"/>
  <c r="BG971" i="4"/>
  <c r="BG963" i="4"/>
  <c r="BG955" i="4"/>
  <c r="BG947" i="4"/>
  <c r="BG939" i="4"/>
  <c r="BG931" i="4"/>
  <c r="BG923" i="4"/>
  <c r="BG915" i="4"/>
  <c r="BG907" i="4"/>
  <c r="BG899" i="4"/>
  <c r="BG891" i="4"/>
  <c r="BG883" i="4"/>
  <c r="BG875" i="4"/>
  <c r="BG867" i="4"/>
  <c r="BG859" i="4"/>
  <c r="BG851" i="4"/>
  <c r="BG843" i="4"/>
  <c r="BG835" i="4"/>
  <c r="BG827" i="4"/>
  <c r="BG819" i="4"/>
  <c r="BG811" i="4"/>
  <c r="BG803" i="4"/>
  <c r="BG795" i="4"/>
  <c r="BG787" i="4"/>
  <c r="BG779" i="4"/>
  <c r="BG771" i="4"/>
  <c r="BG763" i="4"/>
  <c r="BG755" i="4"/>
  <c r="BG747" i="4"/>
  <c r="BG739" i="4"/>
  <c r="BG731" i="4"/>
  <c r="BG723" i="4"/>
  <c r="BG715" i="4"/>
  <c r="BG707" i="4"/>
  <c r="BG699" i="4"/>
  <c r="BG691" i="4"/>
  <c r="BG683" i="4"/>
  <c r="BG1066" i="4"/>
  <c r="BG1058" i="4"/>
  <c r="BG1050" i="4"/>
  <c r="BG1042" i="4"/>
  <c r="BG1034" i="4"/>
  <c r="BG1026" i="4"/>
  <c r="BG1018" i="4"/>
  <c r="BG1010" i="4"/>
  <c r="BG1002" i="4"/>
  <c r="BG994" i="4"/>
  <c r="BG986" i="4"/>
  <c r="BG978" i="4"/>
  <c r="BG970" i="4"/>
  <c r="BG962" i="4"/>
  <c r="BG954" i="4"/>
  <c r="BG946" i="4"/>
  <c r="BG938" i="4"/>
  <c r="BG930" i="4"/>
  <c r="BG922" i="4"/>
  <c r="BG914" i="4"/>
  <c r="BG906" i="4"/>
  <c r="BG898" i="4"/>
  <c r="BG890" i="4"/>
  <c r="BG882" i="4"/>
  <c r="BG874" i="4"/>
  <c r="BG866" i="4"/>
  <c r="BG858" i="4"/>
  <c r="BG850" i="4"/>
  <c r="BG842" i="4"/>
  <c r="BG834" i="4"/>
  <c r="BG826" i="4"/>
  <c r="BG818" i="4"/>
  <c r="BG810" i="4"/>
  <c r="BG802" i="4"/>
  <c r="BG794" i="4"/>
  <c r="BG786" i="4"/>
  <c r="BG778" i="4"/>
  <c r="BG770" i="4"/>
  <c r="BG762" i="4"/>
  <c r="BG754" i="4"/>
  <c r="BG746" i="4"/>
  <c r="BG738" i="4"/>
  <c r="BG730" i="4"/>
  <c r="BG722" i="4"/>
  <c r="BG714" i="4"/>
  <c r="BG706" i="4"/>
  <c r="BG698" i="4"/>
  <c r="BG690" i="4"/>
  <c r="BG1065" i="4"/>
  <c r="BG1057" i="4"/>
  <c r="BG1049" i="4"/>
  <c r="BG1041" i="4"/>
  <c r="BG1033" i="4"/>
  <c r="BG1025" i="4"/>
  <c r="BG1017" i="4"/>
  <c r="BG1009" i="4"/>
  <c r="BG1001" i="4"/>
  <c r="BG993" i="4"/>
  <c r="BG985" i="4"/>
  <c r="BG977" i="4"/>
  <c r="BG969" i="4"/>
  <c r="BG961" i="4"/>
  <c r="BG953" i="4"/>
  <c r="BG945" i="4"/>
  <c r="BG937" i="4"/>
  <c r="BG929" i="4"/>
  <c r="BG921" i="4"/>
  <c r="BG913" i="4"/>
  <c r="BG905" i="4"/>
  <c r="BG897" i="4"/>
  <c r="BG889" i="4"/>
  <c r="BG881" i="4"/>
  <c r="BG873" i="4"/>
  <c r="BG865" i="4"/>
  <c r="BG857" i="4"/>
  <c r="BG849" i="4"/>
  <c r="BG841" i="4"/>
  <c r="BG833" i="4"/>
  <c r="BG825" i="4"/>
  <c r="BG817" i="4"/>
  <c r="BG809" i="4"/>
  <c r="BG801" i="4"/>
  <c r="BG793" i="4"/>
  <c r="BG785" i="4"/>
  <c r="BG777" i="4"/>
  <c r="BG769" i="4"/>
  <c r="BG761" i="4"/>
  <c r="BG753" i="4"/>
  <c r="BG745" i="4"/>
  <c r="BG737" i="4"/>
  <c r="BG729" i="4"/>
  <c r="BG721" i="4"/>
  <c r="BG713" i="4"/>
  <c r="BG705" i="4"/>
  <c r="BG697" i="4"/>
  <c r="BG689" i="4"/>
  <c r="BG1072" i="4"/>
  <c r="BG1064" i="4"/>
  <c r="BG1056" i="4"/>
  <c r="BG1048" i="4"/>
  <c r="BG1040" i="4"/>
  <c r="BG1032" i="4"/>
  <c r="BG1024" i="4"/>
  <c r="BG1016" i="4"/>
  <c r="BG1008" i="4"/>
  <c r="BG1000" i="4"/>
  <c r="BG992" i="4"/>
  <c r="BG984" i="4"/>
  <c r="BG976" i="4"/>
  <c r="BG968" i="4"/>
  <c r="BG960" i="4"/>
  <c r="BG952" i="4"/>
  <c r="BG944" i="4"/>
  <c r="BG936" i="4"/>
  <c r="BG928" i="4"/>
  <c r="BG920" i="4"/>
  <c r="BG912" i="4"/>
  <c r="BG904" i="4"/>
  <c r="BG896" i="4"/>
  <c r="BG888" i="4"/>
  <c r="BG880" i="4"/>
  <c r="BG872" i="4"/>
  <c r="BG864" i="4"/>
  <c r="BG856" i="4"/>
  <c r="BG848" i="4"/>
  <c r="BG840" i="4"/>
  <c r="BG832" i="4"/>
  <c r="BG824" i="4"/>
  <c r="BG816" i="4"/>
  <c r="BG808" i="4"/>
  <c r="BG800" i="4"/>
  <c r="BG792" i="4"/>
  <c r="BG784" i="4"/>
  <c r="BG776" i="4"/>
  <c r="BG768" i="4"/>
  <c r="BG760" i="4"/>
  <c r="BG752" i="4"/>
  <c r="BG744" i="4"/>
  <c r="BG736" i="4"/>
  <c r="BG728" i="4"/>
  <c r="BG720" i="4"/>
  <c r="BG712" i="4"/>
  <c r="BG704" i="4"/>
  <c r="BG696" i="4"/>
  <c r="BG688" i="4"/>
  <c r="BG680" i="4"/>
  <c r="BG1071" i="4"/>
  <c r="BG1063" i="4"/>
  <c r="BG1055" i="4"/>
  <c r="BG1047" i="4"/>
  <c r="BG1039" i="4"/>
  <c r="BG1031" i="4"/>
  <c r="BG1023" i="4"/>
  <c r="BG1015" i="4"/>
  <c r="BG1007" i="4"/>
  <c r="BG999" i="4"/>
  <c r="BG991" i="4"/>
  <c r="BG983" i="4"/>
  <c r="BG975" i="4"/>
  <c r="BG967" i="4"/>
  <c r="BG959" i="4"/>
  <c r="BG951" i="4"/>
  <c r="BG943" i="4"/>
  <c r="BG935" i="4"/>
  <c r="BG927" i="4"/>
  <c r="BG919" i="4"/>
  <c r="BG911" i="4"/>
  <c r="BG903" i="4"/>
  <c r="BG895" i="4"/>
  <c r="BG887" i="4"/>
  <c r="BG879" i="4"/>
  <c r="BG871" i="4"/>
  <c r="BG863" i="4"/>
  <c r="BG855" i="4"/>
  <c r="BG847" i="4"/>
  <c r="BG839" i="4"/>
  <c r="BG831" i="4"/>
  <c r="BG823" i="4"/>
  <c r="BG815" i="4"/>
  <c r="BG807" i="4"/>
  <c r="BG799" i="4"/>
  <c r="BG791" i="4"/>
  <c r="BG783" i="4"/>
  <c r="BG775" i="4"/>
  <c r="BG767" i="4"/>
  <c r="BG759" i="4"/>
  <c r="BG751" i="4"/>
  <c r="BG743" i="4"/>
  <c r="BG735" i="4"/>
  <c r="BG727" i="4"/>
  <c r="BG719" i="4"/>
  <c r="BG711" i="4"/>
  <c r="BG703" i="4"/>
  <c r="BG695" i="4"/>
  <c r="BG687" i="4"/>
  <c r="BG557" i="4"/>
  <c r="BG549" i="4"/>
  <c r="BG541" i="4"/>
  <c r="BG533" i="4"/>
  <c r="BG525" i="4"/>
  <c r="BG517" i="4"/>
  <c r="BG509" i="4"/>
  <c r="BG501" i="4"/>
  <c r="BG493" i="4"/>
  <c r="BG485" i="4"/>
  <c r="BG477" i="4"/>
  <c r="BG469" i="4"/>
  <c r="BG461" i="4"/>
  <c r="BG453" i="4"/>
  <c r="BG445" i="4"/>
  <c r="BG437" i="4"/>
  <c r="BG429" i="4"/>
  <c r="BG421" i="4"/>
  <c r="BG413" i="4"/>
  <c r="BG405" i="4"/>
  <c r="BG397" i="4"/>
  <c r="BG389" i="4"/>
  <c r="BG381" i="4"/>
  <c r="BG373" i="4"/>
  <c r="BG365" i="4"/>
  <c r="BG357" i="4"/>
  <c r="BG349" i="4"/>
  <c r="BG341" i="4"/>
  <c r="BG333" i="4"/>
  <c r="BG325" i="4"/>
  <c r="BG317" i="4"/>
  <c r="BG309" i="4"/>
  <c r="BG301" i="4"/>
  <c r="BG293" i="4"/>
  <c r="BG285" i="4"/>
  <c r="BG277" i="4"/>
  <c r="BG269" i="4"/>
  <c r="BG261" i="4"/>
  <c r="BG253" i="4"/>
  <c r="BG245" i="4"/>
  <c r="BG237" i="4"/>
  <c r="BG229" i="4"/>
  <c r="BG221" i="4"/>
  <c r="BG213" i="4"/>
  <c r="BG205" i="4"/>
  <c r="BG197" i="4"/>
  <c r="BG189" i="4"/>
  <c r="BG181" i="4"/>
  <c r="BG173" i="4"/>
  <c r="BG165" i="4"/>
  <c r="BG157" i="4"/>
  <c r="BG149" i="4"/>
  <c r="BG141" i="4"/>
  <c r="BG133" i="4"/>
  <c r="BG125" i="4"/>
  <c r="BG117" i="4"/>
  <c r="BG109" i="4"/>
  <c r="BG101" i="4"/>
  <c r="BG93" i="4"/>
  <c r="BG85" i="4"/>
  <c r="BG77" i="4"/>
  <c r="BG69" i="4"/>
  <c r="BG61" i="4"/>
  <c r="BG53" i="4"/>
  <c r="BG45" i="4"/>
  <c r="BG37" i="4"/>
  <c r="BG29" i="4"/>
  <c r="BG21" i="4"/>
  <c r="BG13" i="4"/>
  <c r="BG100" i="4"/>
  <c r="BG92" i="4"/>
  <c r="BG84" i="4"/>
  <c r="BG76" i="4"/>
  <c r="BG68" i="4"/>
  <c r="BG60" i="4"/>
  <c r="BG52" i="4"/>
  <c r="BG44" i="4"/>
  <c r="BG36" i="4"/>
  <c r="BG28" i="4"/>
  <c r="BG20" i="4"/>
  <c r="BG12" i="4"/>
  <c r="BG675" i="4"/>
  <c r="BG667" i="4"/>
  <c r="BG659" i="4"/>
  <c r="BG651" i="4"/>
  <c r="BG643" i="4"/>
  <c r="BG635" i="4"/>
  <c r="BG627" i="4"/>
  <c r="BG619" i="4"/>
  <c r="BG611" i="4"/>
  <c r="BG603" i="4"/>
  <c r="BG595" i="4"/>
  <c r="BG587" i="4"/>
  <c r="BG579" i="4"/>
  <c r="BG571" i="4"/>
  <c r="BG563" i="4"/>
  <c r="BG555" i="4"/>
  <c r="BG547" i="4"/>
  <c r="BG539" i="4"/>
  <c r="BG531" i="4"/>
  <c r="BG523" i="4"/>
  <c r="BG515" i="4"/>
  <c r="BG507" i="4"/>
  <c r="BG499" i="4"/>
  <c r="BG491" i="4"/>
  <c r="BG483" i="4"/>
  <c r="BG475" i="4"/>
  <c r="BG467" i="4"/>
  <c r="BG459" i="4"/>
  <c r="BG451" i="4"/>
  <c r="BG443" i="4"/>
  <c r="BG435" i="4"/>
  <c r="BG427" i="4"/>
  <c r="BG419" i="4"/>
  <c r="BG411" i="4"/>
  <c r="BG403" i="4"/>
  <c r="BG395" i="4"/>
  <c r="BG387" i="4"/>
  <c r="BG379" i="4"/>
  <c r="BG371" i="4"/>
  <c r="BG363" i="4"/>
  <c r="BG355" i="4"/>
  <c r="BG347" i="4"/>
  <c r="BG339" i="4"/>
  <c r="BG331" i="4"/>
  <c r="BG323" i="4"/>
  <c r="BG315" i="4"/>
  <c r="BG307" i="4"/>
  <c r="BG299" i="4"/>
  <c r="BG291" i="4"/>
  <c r="BG283" i="4"/>
  <c r="BG275" i="4"/>
  <c r="BG267" i="4"/>
  <c r="BG259" i="4"/>
  <c r="BG251" i="4"/>
  <c r="BG243" i="4"/>
  <c r="BG235" i="4"/>
  <c r="BG227" i="4"/>
  <c r="BG219" i="4"/>
  <c r="BG211" i="4"/>
  <c r="BG203" i="4"/>
  <c r="BG195" i="4"/>
  <c r="BG187" i="4"/>
  <c r="BG179" i="4"/>
  <c r="BG171" i="4"/>
  <c r="BG163" i="4"/>
  <c r="BG155" i="4"/>
  <c r="BG147" i="4"/>
  <c r="BG139" i="4"/>
  <c r="BG131" i="4"/>
  <c r="BG123" i="4"/>
  <c r="BG115" i="4"/>
  <c r="BG107" i="4"/>
  <c r="BG99" i="4"/>
  <c r="BG91" i="4"/>
  <c r="BG83" i="4"/>
  <c r="BG75" i="4"/>
  <c r="BG67" i="4"/>
  <c r="BG59" i="4"/>
  <c r="BG51" i="4"/>
  <c r="BG43" i="4"/>
  <c r="BG35" i="4"/>
  <c r="BG27" i="4"/>
  <c r="BG19" i="4"/>
  <c r="BG11" i="4"/>
  <c r="BG682" i="4"/>
  <c r="BG674" i="4"/>
  <c r="BG666" i="4"/>
  <c r="BG658" i="4"/>
  <c r="BG650" i="4"/>
  <c r="BG642" i="4"/>
  <c r="BG634" i="4"/>
  <c r="BG626" i="4"/>
  <c r="BG618" i="4"/>
  <c r="BG610" i="4"/>
  <c r="BG602" i="4"/>
  <c r="BG594" i="4"/>
  <c r="BG586" i="4"/>
  <c r="BG578" i="4"/>
  <c r="BG570" i="4"/>
  <c r="BG562" i="4"/>
  <c r="BG554" i="4"/>
  <c r="BG546" i="4"/>
  <c r="BG538" i="4"/>
  <c r="BG530" i="4"/>
  <c r="BG522" i="4"/>
  <c r="BG514" i="4"/>
  <c r="BG506" i="4"/>
  <c r="BG498" i="4"/>
  <c r="BG490" i="4"/>
  <c r="BG482" i="4"/>
  <c r="BG474" i="4"/>
  <c r="BG466" i="4"/>
  <c r="BG458" i="4"/>
  <c r="BG450" i="4"/>
  <c r="BG442" i="4"/>
  <c r="BG434" i="4"/>
  <c r="BG426" i="4"/>
  <c r="BG418" i="4"/>
  <c r="BG410" i="4"/>
  <c r="BG402" i="4"/>
  <c r="BG394" i="4"/>
  <c r="BG386" i="4"/>
  <c r="BG378" i="4"/>
  <c r="BG370" i="4"/>
  <c r="BG362" i="4"/>
  <c r="BG354" i="4"/>
  <c r="BG346" i="4"/>
  <c r="BG338" i="4"/>
  <c r="BG330" i="4"/>
  <c r="BG322" i="4"/>
  <c r="BG314" i="4"/>
  <c r="BG306" i="4"/>
  <c r="BG298" i="4"/>
  <c r="BG290" i="4"/>
  <c r="BG282" i="4"/>
  <c r="BG274" i="4"/>
  <c r="BG266" i="4"/>
  <c r="BG258" i="4"/>
  <c r="BG250" i="4"/>
  <c r="BG242" i="4"/>
  <c r="BG234" i="4"/>
  <c r="BG226" i="4"/>
  <c r="BG218" i="4"/>
  <c r="BG210" i="4"/>
  <c r="BG202" i="4"/>
  <c r="BG194" i="4"/>
  <c r="BG186" i="4"/>
  <c r="BG178" i="4"/>
  <c r="BG170" i="4"/>
  <c r="BG162" i="4"/>
  <c r="BG154" i="4"/>
  <c r="BG146" i="4"/>
  <c r="BG138" i="4"/>
  <c r="BG130" i="4"/>
  <c r="BG122" i="4"/>
  <c r="BG114" i="4"/>
  <c r="BG106" i="4"/>
  <c r="BG98" i="4"/>
  <c r="BG90" i="4"/>
  <c r="BG82" i="4"/>
  <c r="BG74" i="4"/>
  <c r="BG66" i="4"/>
  <c r="BG58" i="4"/>
  <c r="BG50" i="4"/>
  <c r="BG42" i="4"/>
  <c r="BG34" i="4"/>
  <c r="BG26" i="4"/>
  <c r="BG18" i="4"/>
  <c r="BG10" i="4"/>
  <c r="BG681" i="4"/>
  <c r="BG673" i="4"/>
  <c r="BG665" i="4"/>
  <c r="BG657" i="4"/>
  <c r="BG649" i="4"/>
  <c r="BG641" i="4"/>
  <c r="BG633" i="4"/>
  <c r="BG625" i="4"/>
  <c r="BG617" i="4"/>
  <c r="BG609" i="4"/>
  <c r="BG601" i="4"/>
  <c r="BG593" i="4"/>
  <c r="BG585" i="4"/>
  <c r="BG577" i="4"/>
  <c r="BG569" i="4"/>
  <c r="BG561" i="4"/>
  <c r="BG553" i="4"/>
  <c r="BG545" i="4"/>
  <c r="BG537" i="4"/>
  <c r="BG529" i="4"/>
  <c r="BG521" i="4"/>
  <c r="BG513" i="4"/>
  <c r="BG505" i="4"/>
  <c r="BG497" i="4"/>
  <c r="BG489" i="4"/>
  <c r="BG481" i="4"/>
  <c r="BG473" i="4"/>
  <c r="BG465" i="4"/>
  <c r="BG457" i="4"/>
  <c r="BG449" i="4"/>
  <c r="BG441" i="4"/>
  <c r="BG433" i="4"/>
  <c r="BG425" i="4"/>
  <c r="BG417" i="4"/>
  <c r="BG409" i="4"/>
  <c r="BG401" i="4"/>
  <c r="BG393" i="4"/>
  <c r="BG385" i="4"/>
  <c r="BG377" i="4"/>
  <c r="BG369" i="4"/>
  <c r="BG361" i="4"/>
  <c r="BG353" i="4"/>
  <c r="BG345" i="4"/>
  <c r="BG337" i="4"/>
  <c r="BG329" i="4"/>
  <c r="BG321" i="4"/>
  <c r="BG313" i="4"/>
  <c r="BG305" i="4"/>
  <c r="BG297" i="4"/>
  <c r="BG289" i="4"/>
  <c r="BG281" i="4"/>
  <c r="BG273" i="4"/>
  <c r="BG265" i="4"/>
  <c r="BG257" i="4"/>
  <c r="BG249" i="4"/>
  <c r="BG241" i="4"/>
  <c r="BG233" i="4"/>
  <c r="BG225" i="4"/>
  <c r="BG217" i="4"/>
  <c r="BG209" i="4"/>
  <c r="BG201" i="4"/>
  <c r="BG193" i="4"/>
  <c r="BG185" i="4"/>
  <c r="BG177" i="4"/>
  <c r="BG169" i="4"/>
  <c r="BG161" i="4"/>
  <c r="BG153" i="4"/>
  <c r="BG145" i="4"/>
  <c r="BG137" i="4"/>
  <c r="BG129" i="4"/>
  <c r="BG121" i="4"/>
  <c r="BG113" i="4"/>
  <c r="BG105" i="4"/>
  <c r="BG97" i="4"/>
  <c r="BG89" i="4"/>
  <c r="BG81" i="4"/>
  <c r="BG73" i="4"/>
  <c r="BG65" i="4"/>
  <c r="BG57" i="4"/>
  <c r="BG49" i="4"/>
  <c r="BG41" i="4"/>
  <c r="BG33" i="4"/>
  <c r="BG25" i="4"/>
  <c r="BG17" i="4"/>
  <c r="BG9" i="4"/>
  <c r="BG672" i="4"/>
  <c r="BG664" i="4"/>
  <c r="BG656" i="4"/>
  <c r="BG648" i="4"/>
  <c r="BG640" i="4"/>
  <c r="BG632" i="4"/>
  <c r="BG624" i="4"/>
  <c r="BG616" i="4"/>
  <c r="BG608" i="4"/>
  <c r="BG600" i="4"/>
  <c r="BG592" i="4"/>
  <c r="BG584" i="4"/>
  <c r="BG576" i="4"/>
  <c r="BG568" i="4"/>
  <c r="BG560" i="4"/>
  <c r="BG552" i="4"/>
  <c r="BG544" i="4"/>
  <c r="BG536" i="4"/>
  <c r="BG528" i="4"/>
  <c r="BG520" i="4"/>
  <c r="BG512" i="4"/>
  <c r="BG504" i="4"/>
  <c r="BG496" i="4"/>
  <c r="BG488" i="4"/>
  <c r="BG480" i="4"/>
  <c r="BG472" i="4"/>
  <c r="BG464" i="4"/>
  <c r="BG456" i="4"/>
  <c r="BG448" i="4"/>
  <c r="BG440" i="4"/>
  <c r="BG432" i="4"/>
  <c r="BG424" i="4"/>
  <c r="BG416" i="4"/>
  <c r="BG408" i="4"/>
  <c r="BG400" i="4"/>
  <c r="BG392" i="4"/>
  <c r="BG384" i="4"/>
  <c r="BG376" i="4"/>
  <c r="BG368" i="4"/>
  <c r="BG360" i="4"/>
  <c r="BG352" i="4"/>
  <c r="BG344" i="4"/>
  <c r="BG336" i="4"/>
  <c r="BG328" i="4"/>
  <c r="BG320" i="4"/>
  <c r="BG312" i="4"/>
  <c r="BG304" i="4"/>
  <c r="BG296" i="4"/>
  <c r="BG288" i="4"/>
  <c r="BG280" i="4"/>
  <c r="BG272" i="4"/>
  <c r="BG264" i="4"/>
  <c r="BG256" i="4"/>
  <c r="BG248" i="4"/>
  <c r="BG240" i="4"/>
  <c r="BG232" i="4"/>
  <c r="BG224" i="4"/>
  <c r="BG216" i="4"/>
  <c r="BG208" i="4"/>
  <c r="BG200" i="4"/>
  <c r="BG192" i="4"/>
  <c r="BG184" i="4"/>
  <c r="BG176" i="4"/>
  <c r="BG168" i="4"/>
  <c r="BG160" i="4"/>
  <c r="BG152" i="4"/>
  <c r="BG144" i="4"/>
  <c r="BG136" i="4"/>
  <c r="BG128" i="4"/>
  <c r="BG120" i="4"/>
  <c r="BG112" i="4"/>
  <c r="BG104" i="4"/>
  <c r="BG96" i="4"/>
  <c r="BG88" i="4"/>
  <c r="BG80" i="4"/>
  <c r="BG72" i="4"/>
  <c r="BG64" i="4"/>
  <c r="BG56" i="4"/>
  <c r="BG48" i="4"/>
  <c r="BG40" i="4"/>
  <c r="BG32" i="4"/>
  <c r="BG24" i="4"/>
  <c r="BG16" i="4"/>
  <c r="BG8" i="4"/>
  <c r="BG679" i="4"/>
  <c r="BG671" i="4"/>
  <c r="BG663" i="4"/>
  <c r="BG655" i="4"/>
  <c r="BG647" i="4"/>
  <c r="BG639" i="4"/>
  <c r="BG631" i="4"/>
  <c r="BG623" i="4"/>
  <c r="BG615" i="4"/>
  <c r="BG607" i="4"/>
  <c r="BG599" i="4"/>
  <c r="BG591" i="4"/>
  <c r="BG583" i="4"/>
  <c r="BG575" i="4"/>
  <c r="BG567" i="4"/>
  <c r="BG559" i="4"/>
  <c r="BG551" i="4"/>
  <c r="BG543" i="4"/>
  <c r="BG535" i="4"/>
  <c r="BG527" i="4"/>
  <c r="BG519" i="4"/>
  <c r="BG511" i="4"/>
  <c r="BG503" i="4"/>
  <c r="BG495" i="4"/>
  <c r="BG487" i="4"/>
  <c r="BG479" i="4"/>
  <c r="BG471" i="4"/>
  <c r="BG463" i="4"/>
  <c r="BG455" i="4"/>
  <c r="BG447" i="4"/>
  <c r="BG439" i="4"/>
  <c r="BG431" i="4"/>
  <c r="BG423" i="4"/>
  <c r="BG415" i="4"/>
  <c r="BG407" i="4"/>
  <c r="BG399" i="4"/>
  <c r="BG391" i="4"/>
  <c r="BG383" i="4"/>
  <c r="BG375" i="4"/>
  <c r="BG367" i="4"/>
  <c r="BG359" i="4"/>
  <c r="BG351" i="4"/>
  <c r="BG343" i="4"/>
  <c r="BG335" i="4"/>
  <c r="BG327" i="4"/>
  <c r="BG319" i="4"/>
  <c r="BG311" i="4"/>
  <c r="BG303" i="4"/>
  <c r="BG295" i="4"/>
  <c r="BG287" i="4"/>
  <c r="BG279" i="4"/>
  <c r="BG271" i="4"/>
  <c r="BG263" i="4"/>
  <c r="BG255" i="4"/>
  <c r="BG247" i="4"/>
  <c r="BG239" i="4"/>
  <c r="BG231" i="4"/>
  <c r="BG223" i="4"/>
  <c r="BG215" i="4"/>
  <c r="BG207" i="4"/>
  <c r="BG199" i="4"/>
  <c r="BG191" i="4"/>
  <c r="BG183" i="4"/>
  <c r="BG175" i="4"/>
  <c r="BG167" i="4"/>
  <c r="BG159" i="4"/>
  <c r="BG151" i="4"/>
  <c r="BG143" i="4"/>
  <c r="BG135" i="4"/>
  <c r="BG127" i="4"/>
  <c r="BG119" i="4"/>
  <c r="BG111" i="4"/>
  <c r="BG103" i="4"/>
  <c r="BG95" i="4"/>
  <c r="BG87" i="4"/>
  <c r="BG79" i="4"/>
  <c r="BG71" i="4"/>
  <c r="BG63" i="4"/>
  <c r="BG55" i="4"/>
  <c r="BG47" i="4"/>
  <c r="BG39" i="4"/>
  <c r="BG31" i="4"/>
  <c r="BG23" i="4"/>
  <c r="BG15" i="4"/>
  <c r="BG7" i="4"/>
  <c r="N51" i="3"/>
  <c r="N24" i="16" s="1"/>
  <c r="R6" i="3"/>
  <c r="Q51" i="3"/>
  <c r="Q24" i="16" s="1"/>
  <c r="X6" i="3"/>
  <c r="W51" i="3"/>
  <c r="W24" i="16" s="1"/>
  <c r="B51" i="3"/>
  <c r="B24" i="16" s="1"/>
  <c r="F6" i="3"/>
  <c r="E51" i="3"/>
  <c r="E24" i="16" s="1"/>
  <c r="I6" i="3"/>
  <c r="H51" i="3"/>
  <c r="H24" i="16" s="1"/>
  <c r="U6" i="3"/>
  <c r="T51" i="3"/>
  <c r="T24" i="16" s="1"/>
  <c r="L6" i="3"/>
  <c r="K51" i="3"/>
  <c r="K24" i="16" s="1"/>
  <c r="E16" i="3"/>
  <c r="V22" i="3"/>
  <c r="E44" i="3"/>
  <c r="E36" i="3"/>
  <c r="V26" i="3"/>
  <c r="E25" i="3"/>
  <c r="H39" i="3"/>
  <c r="Y23" i="3"/>
  <c r="T16" i="3"/>
  <c r="K34" i="3"/>
  <c r="F70" i="3"/>
  <c r="H20" i="3"/>
  <c r="T24" i="3"/>
  <c r="K42" i="3"/>
  <c r="T35" i="3"/>
  <c r="B22" i="3"/>
  <c r="K15" i="3"/>
  <c r="W19" i="3"/>
  <c r="B34" i="3"/>
  <c r="T43" i="3"/>
  <c r="K23" i="3"/>
  <c r="B20" i="3"/>
  <c r="B42" i="3"/>
  <c r="W38" i="3"/>
  <c r="O20" i="3"/>
  <c r="R23" i="3"/>
  <c r="O21" i="3"/>
  <c r="O25" i="3"/>
  <c r="U22" i="3"/>
  <c r="U26" i="3"/>
  <c r="X23" i="3"/>
  <c r="C70" i="3"/>
  <c r="B21" i="3"/>
  <c r="E15" i="3"/>
  <c r="E24" i="3"/>
  <c r="H19" i="3"/>
  <c r="K22" i="3"/>
  <c r="N17" i="3"/>
  <c r="N25" i="3"/>
  <c r="Q20" i="3"/>
  <c r="T15" i="3"/>
  <c r="T23" i="3"/>
  <c r="W18" i="3"/>
  <c r="W26" i="3"/>
  <c r="B33" i="3"/>
  <c r="B41" i="3"/>
  <c r="E35" i="3"/>
  <c r="E43" i="3"/>
  <c r="H38" i="3"/>
  <c r="K33" i="3"/>
  <c r="K41" i="3"/>
  <c r="N36" i="3"/>
  <c r="N44" i="3"/>
  <c r="Q39" i="3"/>
  <c r="T34" i="3"/>
  <c r="T42" i="3"/>
  <c r="W37" i="3"/>
  <c r="P20" i="3"/>
  <c r="P25" i="3"/>
  <c r="R20" i="3"/>
  <c r="R24" i="3"/>
  <c r="O22" i="3"/>
  <c r="O26" i="3"/>
  <c r="U23" i="3"/>
  <c r="X20" i="3"/>
  <c r="X24" i="3"/>
  <c r="I70" i="3"/>
  <c r="B23" i="3"/>
  <c r="E17" i="3"/>
  <c r="E26" i="3"/>
  <c r="H21" i="3"/>
  <c r="K16" i="3"/>
  <c r="K24" i="3"/>
  <c r="N19" i="3"/>
  <c r="Q22" i="3"/>
  <c r="T17" i="3"/>
  <c r="T25" i="3"/>
  <c r="W20" i="3"/>
  <c r="B35" i="3"/>
  <c r="B43" i="3"/>
  <c r="E37" i="3"/>
  <c r="H32" i="3"/>
  <c r="H5" i="16" s="1"/>
  <c r="H40" i="3"/>
  <c r="K35" i="3"/>
  <c r="K43" i="3"/>
  <c r="N38" i="3"/>
  <c r="Q33" i="3"/>
  <c r="Q41" i="3"/>
  <c r="T36" i="3"/>
  <c r="T44" i="3"/>
  <c r="W39" i="3"/>
  <c r="S23" i="3"/>
  <c r="P21" i="3"/>
  <c r="N18" i="3"/>
  <c r="N26" i="3"/>
  <c r="Q21" i="3"/>
  <c r="S20" i="3"/>
  <c r="S24" i="3"/>
  <c r="P22" i="3"/>
  <c r="P26" i="3"/>
  <c r="V23" i="3"/>
  <c r="Y20" i="3"/>
  <c r="Y24" i="3"/>
  <c r="L70" i="3"/>
  <c r="B15" i="3"/>
  <c r="B24" i="3"/>
  <c r="E18" i="3"/>
  <c r="H22" i="3"/>
  <c r="K17" i="3"/>
  <c r="K25" i="3"/>
  <c r="N20" i="3"/>
  <c r="Q15" i="3"/>
  <c r="Q23" i="3"/>
  <c r="T18" i="3"/>
  <c r="T26" i="3"/>
  <c r="W21" i="3"/>
  <c r="E22" i="3"/>
  <c r="B36" i="3"/>
  <c r="B44" i="3"/>
  <c r="E38" i="3"/>
  <c r="H33" i="3"/>
  <c r="H41" i="3"/>
  <c r="K36" i="3"/>
  <c r="K44" i="3"/>
  <c r="N39" i="3"/>
  <c r="Q34" i="3"/>
  <c r="Q42" i="3"/>
  <c r="T37" i="3"/>
  <c r="W32" i="3"/>
  <c r="W5" i="16" s="1"/>
  <c r="W40" i="3"/>
  <c r="N37" i="3"/>
  <c r="R21" i="3"/>
  <c r="R25" i="3"/>
  <c r="O23" i="3"/>
  <c r="U20" i="3"/>
  <c r="U24" i="3"/>
  <c r="X21" i="3"/>
  <c r="X25" i="3"/>
  <c r="O70" i="3"/>
  <c r="B16" i="3"/>
  <c r="B25" i="3"/>
  <c r="E19" i="3"/>
  <c r="H15" i="3"/>
  <c r="H23" i="3"/>
  <c r="K18" i="3"/>
  <c r="K26" i="3"/>
  <c r="N21" i="3"/>
  <c r="Q16" i="3"/>
  <c r="Q24" i="3"/>
  <c r="T19" i="3"/>
  <c r="W22" i="3"/>
  <c r="B37" i="3"/>
  <c r="B32" i="3"/>
  <c r="B5" i="16" s="1"/>
  <c r="E39" i="3"/>
  <c r="H34" i="3"/>
  <c r="H42" i="3"/>
  <c r="K37" i="3"/>
  <c r="N32" i="3"/>
  <c r="N5" i="16" s="1"/>
  <c r="N40" i="3"/>
  <c r="Q35" i="3"/>
  <c r="Q43" i="3"/>
  <c r="T38" i="3"/>
  <c r="W33" i="3"/>
  <c r="W41" i="3"/>
  <c r="Q32" i="3"/>
  <c r="Q5" i="16" s="1"/>
  <c r="S21" i="3"/>
  <c r="S25" i="3"/>
  <c r="P23" i="3"/>
  <c r="V20" i="3"/>
  <c r="V24" i="3"/>
  <c r="Y21" i="3"/>
  <c r="Y25" i="3"/>
  <c r="R70" i="3"/>
  <c r="B17" i="3"/>
  <c r="M8" i="7" s="1"/>
  <c r="B26" i="3"/>
  <c r="E20" i="3"/>
  <c r="H16" i="3"/>
  <c r="H24" i="3"/>
  <c r="K19" i="3"/>
  <c r="N22" i="3"/>
  <c r="Q17" i="3"/>
  <c r="Q25" i="3"/>
  <c r="T20" i="3"/>
  <c r="W15" i="3"/>
  <c r="W23" i="3"/>
  <c r="B38" i="3"/>
  <c r="E32" i="3"/>
  <c r="E5" i="16" s="1"/>
  <c r="E40" i="3"/>
  <c r="H35" i="3"/>
  <c r="H43" i="3"/>
  <c r="K38" i="3"/>
  <c r="N33" i="3"/>
  <c r="N41" i="3"/>
  <c r="Q36" i="3"/>
  <c r="Q44" i="3"/>
  <c r="T39" i="3"/>
  <c r="W34" i="3"/>
  <c r="W42" i="3"/>
  <c r="Q40" i="3"/>
  <c r="R22" i="3"/>
  <c r="R26" i="3"/>
  <c r="O24" i="3"/>
  <c r="U21" i="3"/>
  <c r="U25" i="3"/>
  <c r="X22" i="3"/>
  <c r="X26" i="3"/>
  <c r="U70" i="3"/>
  <c r="B18" i="3"/>
  <c r="E21" i="3"/>
  <c r="H17" i="3"/>
  <c r="H25" i="3"/>
  <c r="K20" i="3"/>
  <c r="N15" i="3"/>
  <c r="N23" i="3"/>
  <c r="Q18" i="3"/>
  <c r="Q26" i="3"/>
  <c r="T21" i="3"/>
  <c r="W16" i="3"/>
  <c r="W24" i="3"/>
  <c r="B39" i="3"/>
  <c r="E33" i="3"/>
  <c r="E41" i="3"/>
  <c r="H36" i="3"/>
  <c r="H44" i="3"/>
  <c r="K39" i="3"/>
  <c r="N34" i="3"/>
  <c r="N42" i="3"/>
  <c r="Q37" i="3"/>
  <c r="T32" i="3"/>
  <c r="T5" i="16" s="1"/>
  <c r="T40" i="3"/>
  <c r="W35" i="3"/>
  <c r="W43" i="3"/>
  <c r="S22" i="3"/>
  <c r="S26" i="3"/>
  <c r="P24" i="3"/>
  <c r="V21" i="3"/>
  <c r="V25" i="3"/>
  <c r="Y22" i="3"/>
  <c r="Y26" i="3"/>
  <c r="X70" i="3"/>
  <c r="B19" i="3"/>
  <c r="M10" i="7" s="1"/>
  <c r="E23" i="3"/>
  <c r="H18" i="3"/>
  <c r="H26" i="3"/>
  <c r="K21" i="3"/>
  <c r="N16" i="3"/>
  <c r="N24" i="3"/>
  <c r="Q19" i="3"/>
  <c r="T22" i="3"/>
  <c r="W17" i="3"/>
  <c r="W25" i="3"/>
  <c r="B40" i="3"/>
  <c r="E34" i="3"/>
  <c r="E42" i="3"/>
  <c r="H37" i="3"/>
  <c r="K32" i="3"/>
  <c r="K5" i="16" s="1"/>
  <c r="K40" i="3"/>
  <c r="N35" i="3"/>
  <c r="N43" i="3"/>
  <c r="Q38" i="3"/>
  <c r="T33" i="3"/>
  <c r="T41" i="3"/>
  <c r="W36" i="3"/>
  <c r="W44" i="3"/>
  <c r="M225" i="3"/>
  <c r="Y225" i="3"/>
  <c r="P225" i="3"/>
  <c r="J225" i="3"/>
  <c r="V225" i="3"/>
  <c r="S225" i="3"/>
  <c r="O6" i="3"/>
  <c r="D225" i="3"/>
  <c r="G225" i="3" l="1"/>
  <c r="F97" i="3"/>
  <c r="F96" i="3"/>
  <c r="F98" i="3"/>
  <c r="F95" i="3"/>
  <c r="F94" i="3"/>
  <c r="F93" i="3"/>
  <c r="F100" i="3"/>
  <c r="F92" i="3"/>
  <c r="F99" i="3"/>
  <c r="Y115" i="3"/>
  <c r="X129" i="3" s="1"/>
  <c r="Y202" i="3"/>
  <c r="J115" i="3"/>
  <c r="I119" i="3" s="1"/>
  <c r="J202" i="3"/>
  <c r="S115" i="3"/>
  <c r="R122" i="3" s="1"/>
  <c r="S202" i="3"/>
  <c r="P115" i="3"/>
  <c r="O121" i="3" s="1"/>
  <c r="P202" i="3"/>
  <c r="V115" i="3"/>
  <c r="U129" i="3" s="1"/>
  <c r="V202" i="3"/>
  <c r="G115" i="3"/>
  <c r="F124" i="3" s="1"/>
  <c r="G202" i="3"/>
  <c r="M115" i="3"/>
  <c r="L125" i="3" s="1"/>
  <c r="M202" i="3"/>
  <c r="D115" i="3"/>
  <c r="C121" i="3" s="1"/>
  <c r="D202" i="3"/>
  <c r="X119" i="3"/>
  <c r="W63" i="3"/>
  <c r="W36" i="16" s="1"/>
  <c r="W75" i="16" s="1"/>
  <c r="W17" i="16"/>
  <c r="W56" i="16" s="1"/>
  <c r="K44" i="16"/>
  <c r="K107" i="16" s="1"/>
  <c r="N53" i="3"/>
  <c r="N26" i="16" s="1"/>
  <c r="N65" i="16" s="1"/>
  <c r="N7" i="16"/>
  <c r="N46" i="16" s="1"/>
  <c r="T58" i="3"/>
  <c r="T31" i="16" s="1"/>
  <c r="T70" i="16" s="1"/>
  <c r="T12" i="16"/>
  <c r="T51" i="16" s="1"/>
  <c r="E59" i="3"/>
  <c r="E32" i="16" s="1"/>
  <c r="E71" i="16" s="1"/>
  <c r="E13" i="16"/>
  <c r="E52" i="16" s="1"/>
  <c r="N44" i="16"/>
  <c r="N107" i="16" s="1"/>
  <c r="T56" i="3"/>
  <c r="T29" i="16" s="1"/>
  <c r="T68" i="16" s="1"/>
  <c r="T10" i="16"/>
  <c r="T49" i="16" s="1"/>
  <c r="E57" i="3"/>
  <c r="E30" i="16" s="1"/>
  <c r="E69" i="16" s="1"/>
  <c r="E11" i="16"/>
  <c r="E50" i="16" s="1"/>
  <c r="T63" i="3"/>
  <c r="T36" i="16" s="1"/>
  <c r="T75" i="16" s="1"/>
  <c r="T17" i="16"/>
  <c r="T56" i="16" s="1"/>
  <c r="H44" i="16"/>
  <c r="H107" i="16" s="1"/>
  <c r="K60" i="3"/>
  <c r="K33" i="16" s="1"/>
  <c r="K72" i="16" s="1"/>
  <c r="K14" i="16"/>
  <c r="K53" i="16" s="1"/>
  <c r="T63" i="16"/>
  <c r="W63" i="16"/>
  <c r="W55" i="3"/>
  <c r="W28" i="16" s="1"/>
  <c r="W67" i="16" s="1"/>
  <c r="W9" i="16"/>
  <c r="W48" i="16" s="1"/>
  <c r="H56" i="3"/>
  <c r="H29" i="16" s="1"/>
  <c r="H68" i="16" s="1"/>
  <c r="H10" i="16"/>
  <c r="H49" i="16" s="1"/>
  <c r="K58" i="3"/>
  <c r="K31" i="16" s="1"/>
  <c r="K70" i="16" s="1"/>
  <c r="K12" i="16"/>
  <c r="K51" i="16" s="1"/>
  <c r="Q63" i="3"/>
  <c r="Q36" i="16" s="1"/>
  <c r="Q75" i="16" s="1"/>
  <c r="Q17" i="16"/>
  <c r="Q56" i="16" s="1"/>
  <c r="E44" i="16"/>
  <c r="E107" i="16" s="1"/>
  <c r="Q44" i="16"/>
  <c r="Q107" i="16" s="1"/>
  <c r="K56" i="3"/>
  <c r="K29" i="16" s="1"/>
  <c r="K68" i="16" s="1"/>
  <c r="K10" i="16"/>
  <c r="K49" i="16" s="1"/>
  <c r="Q61" i="3"/>
  <c r="Q34" i="16" s="1"/>
  <c r="Q73" i="16" s="1"/>
  <c r="Q15" i="16"/>
  <c r="Q54" i="16" s="1"/>
  <c r="B63" i="3"/>
  <c r="B36" i="16" s="1"/>
  <c r="B75" i="16" s="1"/>
  <c r="B138" i="16" s="1"/>
  <c r="B178" i="16" s="1"/>
  <c r="B17" i="16"/>
  <c r="B56" i="16" s="1"/>
  <c r="B119" i="16" s="1"/>
  <c r="B159" i="16" s="1"/>
  <c r="T55" i="3"/>
  <c r="T28" i="16" s="1"/>
  <c r="T67" i="16" s="1"/>
  <c r="T9" i="16"/>
  <c r="T48" i="16" s="1"/>
  <c r="E56" i="3"/>
  <c r="E29" i="16" s="1"/>
  <c r="E68" i="16" s="1"/>
  <c r="E10" i="16"/>
  <c r="E49" i="16" s="1"/>
  <c r="K52" i="3"/>
  <c r="K25" i="16" s="1"/>
  <c r="K64" i="16" s="1"/>
  <c r="K6" i="16"/>
  <c r="K45" i="16" s="1"/>
  <c r="T62" i="3"/>
  <c r="T35" i="16" s="1"/>
  <c r="T74" i="16" s="1"/>
  <c r="T16" i="16"/>
  <c r="T55" i="16" s="1"/>
  <c r="E55" i="3"/>
  <c r="E28" i="16" s="1"/>
  <c r="E67" i="16" s="1"/>
  <c r="E9" i="16"/>
  <c r="E48" i="16" s="1"/>
  <c r="T60" i="3"/>
  <c r="T33" i="16" s="1"/>
  <c r="T72" i="16" s="1"/>
  <c r="T14" i="16"/>
  <c r="T53" i="16" s="1"/>
  <c r="E61" i="3"/>
  <c r="E34" i="16" s="1"/>
  <c r="E73" i="16" s="1"/>
  <c r="E15" i="16"/>
  <c r="E54" i="16" s="1"/>
  <c r="W62" i="3"/>
  <c r="W35" i="16" s="1"/>
  <c r="W74" i="16" s="1"/>
  <c r="W16" i="16"/>
  <c r="W55" i="16" s="1"/>
  <c r="H63" i="3"/>
  <c r="H36" i="16" s="1"/>
  <c r="H75" i="16" s="1"/>
  <c r="H17" i="16"/>
  <c r="H56" i="16" s="1"/>
  <c r="Q55" i="3"/>
  <c r="Q28" i="16" s="1"/>
  <c r="Q67" i="16" s="1"/>
  <c r="Q9" i="16"/>
  <c r="Q48" i="16" s="1"/>
  <c r="B57" i="3"/>
  <c r="B30" i="16" s="1"/>
  <c r="B69" i="16" s="1"/>
  <c r="B132" i="16" s="1"/>
  <c r="B172" i="16" s="1"/>
  <c r="B11" i="16"/>
  <c r="B50" i="16" s="1"/>
  <c r="B113" i="16" s="1"/>
  <c r="B153" i="16" s="1"/>
  <c r="W60" i="3"/>
  <c r="W33" i="16" s="1"/>
  <c r="W72" i="16" s="1"/>
  <c r="W14" i="16"/>
  <c r="W53" i="16" s="1"/>
  <c r="H61" i="3"/>
  <c r="H34" i="16" s="1"/>
  <c r="H73" i="16" s="1"/>
  <c r="H15" i="16"/>
  <c r="H54" i="16" s="1"/>
  <c r="Q53" i="3"/>
  <c r="Q26" i="16" s="1"/>
  <c r="Q65" i="16" s="1"/>
  <c r="Q7" i="16"/>
  <c r="Q46" i="16" s="1"/>
  <c r="B55" i="3"/>
  <c r="B28" i="16" s="1"/>
  <c r="B67" i="16" s="1"/>
  <c r="B130" i="16" s="1"/>
  <c r="B170" i="16" s="1"/>
  <c r="B9" i="16"/>
  <c r="B48" i="16" s="1"/>
  <c r="B111" i="16" s="1"/>
  <c r="B151" i="16" s="1"/>
  <c r="Q60" i="3"/>
  <c r="Q33" i="16" s="1"/>
  <c r="Q72" i="16" s="1"/>
  <c r="Q14" i="16"/>
  <c r="Q53" i="16" s="1"/>
  <c r="B62" i="3"/>
  <c r="B35" i="16" s="1"/>
  <c r="B74" i="16" s="1"/>
  <c r="B137" i="16" s="1"/>
  <c r="B177" i="16" s="1"/>
  <c r="B16" i="16"/>
  <c r="B55" i="16" s="1"/>
  <c r="B118" i="16" s="1"/>
  <c r="B158" i="16" s="1"/>
  <c r="W56" i="3"/>
  <c r="W29" i="16" s="1"/>
  <c r="W68" i="16" s="1"/>
  <c r="W10" i="16"/>
  <c r="W49" i="16" s="1"/>
  <c r="H57" i="3"/>
  <c r="H30" i="16" s="1"/>
  <c r="H69" i="16" s="1"/>
  <c r="H11" i="16"/>
  <c r="H50" i="16" s="1"/>
  <c r="B53" i="3"/>
  <c r="B26" i="16" s="1"/>
  <c r="B65" i="16" s="1"/>
  <c r="B128" i="16" s="1"/>
  <c r="B168" i="16" s="1"/>
  <c r="B7" i="16"/>
  <c r="B46" i="16" s="1"/>
  <c r="B109" i="16" s="1"/>
  <c r="B149" i="16" s="1"/>
  <c r="H63" i="16"/>
  <c r="Q63" i="16"/>
  <c r="T52" i="3"/>
  <c r="T25" i="16" s="1"/>
  <c r="T64" i="16" s="1"/>
  <c r="T6" i="16"/>
  <c r="T45" i="16" s="1"/>
  <c r="E53" i="3"/>
  <c r="E26" i="16" s="1"/>
  <c r="E65" i="16" s="1"/>
  <c r="E7" i="16"/>
  <c r="E46" i="16" s="1"/>
  <c r="W54" i="3"/>
  <c r="W27" i="16" s="1"/>
  <c r="W66" i="16" s="1"/>
  <c r="W8" i="16"/>
  <c r="W47" i="16" s="1"/>
  <c r="H55" i="3"/>
  <c r="H28" i="16" s="1"/>
  <c r="H67" i="16" s="1"/>
  <c r="H9" i="16"/>
  <c r="H48" i="16" s="1"/>
  <c r="N60" i="3"/>
  <c r="N33" i="16" s="1"/>
  <c r="N72" i="16" s="1"/>
  <c r="N14" i="16"/>
  <c r="N53" i="16" s="1"/>
  <c r="W52" i="3"/>
  <c r="W25" i="16" s="1"/>
  <c r="W64" i="16" s="1"/>
  <c r="W6" i="16"/>
  <c r="W45" i="16" s="1"/>
  <c r="H53" i="3"/>
  <c r="H26" i="16" s="1"/>
  <c r="H65" i="16" s="1"/>
  <c r="H7" i="16"/>
  <c r="H46" i="16" s="1"/>
  <c r="N58" i="3"/>
  <c r="N31" i="16" s="1"/>
  <c r="N70" i="16" s="1"/>
  <c r="N12" i="16"/>
  <c r="N51" i="16" s="1"/>
  <c r="Q52" i="3"/>
  <c r="Q25" i="16" s="1"/>
  <c r="Q64" i="16" s="1"/>
  <c r="Q6" i="16"/>
  <c r="Q45" i="16" s="1"/>
  <c r="B54" i="3"/>
  <c r="B27" i="16" s="1"/>
  <c r="B66" i="16" s="1"/>
  <c r="B129" i="16" s="1"/>
  <c r="B169" i="16" s="1"/>
  <c r="B8" i="16"/>
  <c r="B47" i="16" s="1"/>
  <c r="B110" i="16" s="1"/>
  <c r="B150" i="16" s="1"/>
  <c r="T61" i="3"/>
  <c r="T34" i="16" s="1"/>
  <c r="T73" i="16" s="1"/>
  <c r="T15" i="16"/>
  <c r="T54" i="16" s="1"/>
  <c r="E62" i="3"/>
  <c r="E35" i="16" s="1"/>
  <c r="E74" i="16" s="1"/>
  <c r="E16" i="16"/>
  <c r="E55" i="16" s="1"/>
  <c r="K53" i="3"/>
  <c r="K26" i="16" s="1"/>
  <c r="K65" i="16" s="1"/>
  <c r="K7" i="16"/>
  <c r="K46" i="16" s="1"/>
  <c r="E63" i="3"/>
  <c r="E36" i="16" s="1"/>
  <c r="E75" i="16" s="1"/>
  <c r="E17" i="16"/>
  <c r="E56" i="16" s="1"/>
  <c r="Q57" i="3"/>
  <c r="Q30" i="16" s="1"/>
  <c r="Q69" i="16" s="1"/>
  <c r="Q11" i="16"/>
  <c r="Q50" i="16" s="1"/>
  <c r="B59" i="3"/>
  <c r="B32" i="16" s="1"/>
  <c r="B71" i="16" s="1"/>
  <c r="B134" i="16" s="1"/>
  <c r="B174" i="16" s="1"/>
  <c r="B13" i="16"/>
  <c r="B52" i="16" s="1"/>
  <c r="B115" i="16" s="1"/>
  <c r="B155" i="16" s="1"/>
  <c r="T59" i="3"/>
  <c r="T32" i="16" s="1"/>
  <c r="T71" i="16" s="1"/>
  <c r="T13" i="16"/>
  <c r="T52" i="16" s="1"/>
  <c r="E60" i="3"/>
  <c r="E33" i="16" s="1"/>
  <c r="E72" i="16" s="1"/>
  <c r="E14" i="16"/>
  <c r="E53" i="16" s="1"/>
  <c r="N52" i="3"/>
  <c r="N25" i="16" s="1"/>
  <c r="N64" i="16" s="1"/>
  <c r="N6" i="16"/>
  <c r="N45" i="16" s="1"/>
  <c r="T57" i="3"/>
  <c r="T30" i="16" s="1"/>
  <c r="T69" i="16" s="1"/>
  <c r="T11" i="16"/>
  <c r="T50" i="16" s="1"/>
  <c r="E58" i="3"/>
  <c r="E31" i="16" s="1"/>
  <c r="E70" i="16" s="1"/>
  <c r="E12" i="16"/>
  <c r="E51" i="16" s="1"/>
  <c r="K63" i="3"/>
  <c r="K36" i="16" s="1"/>
  <c r="K75" i="16" s="1"/>
  <c r="K17" i="16"/>
  <c r="K56" i="16" s="1"/>
  <c r="N57" i="3"/>
  <c r="N30" i="16" s="1"/>
  <c r="N69" i="16" s="1"/>
  <c r="N11" i="16"/>
  <c r="N50" i="16" s="1"/>
  <c r="T53" i="3"/>
  <c r="T26" i="16" s="1"/>
  <c r="T65" i="16" s="1"/>
  <c r="T7" i="16"/>
  <c r="T46" i="16" s="1"/>
  <c r="E54" i="3"/>
  <c r="E27" i="16" s="1"/>
  <c r="E66" i="16" s="1"/>
  <c r="E8" i="16"/>
  <c r="E47" i="16" s="1"/>
  <c r="W57" i="3"/>
  <c r="W30" i="16" s="1"/>
  <c r="W69" i="16" s="1"/>
  <c r="W11" i="16"/>
  <c r="W50" i="16" s="1"/>
  <c r="E63" i="16"/>
  <c r="N63" i="16"/>
  <c r="N62" i="3"/>
  <c r="N35" i="16" s="1"/>
  <c r="N74" i="16" s="1"/>
  <c r="N16" i="16"/>
  <c r="N55" i="16" s="1"/>
  <c r="T44" i="16"/>
  <c r="T107" i="16" s="1"/>
  <c r="E52" i="3"/>
  <c r="E25" i="16" s="1"/>
  <c r="E64" i="16" s="1"/>
  <c r="E6" i="16"/>
  <c r="E45" i="16" s="1"/>
  <c r="Q59" i="3"/>
  <c r="Q32" i="16" s="1"/>
  <c r="Q71" i="16" s="1"/>
  <c r="Q13" i="16"/>
  <c r="Q52" i="16" s="1"/>
  <c r="K57" i="3"/>
  <c r="K30" i="16" s="1"/>
  <c r="K69" i="16" s="1"/>
  <c r="K11" i="16"/>
  <c r="K50" i="16" s="1"/>
  <c r="Q62" i="3"/>
  <c r="Q35" i="16" s="1"/>
  <c r="Q74" i="16" s="1"/>
  <c r="Q16" i="16"/>
  <c r="Q55" i="16" s="1"/>
  <c r="B44" i="16"/>
  <c r="B107" i="16" s="1"/>
  <c r="N56" i="3"/>
  <c r="N29" i="16" s="1"/>
  <c r="N68" i="16" s="1"/>
  <c r="N10" i="16"/>
  <c r="N49" i="16" s="1"/>
  <c r="K55" i="3"/>
  <c r="K28" i="16" s="1"/>
  <c r="K67" i="16" s="1"/>
  <c r="K9" i="16"/>
  <c r="K48" i="16" s="1"/>
  <c r="K62" i="3"/>
  <c r="K35" i="16" s="1"/>
  <c r="K74" i="16" s="1"/>
  <c r="K16" i="16"/>
  <c r="K55" i="16" s="1"/>
  <c r="Q58" i="3"/>
  <c r="Q31" i="16" s="1"/>
  <c r="Q70" i="16" s="1"/>
  <c r="Q12" i="16"/>
  <c r="Q51" i="16" s="1"/>
  <c r="B60" i="3"/>
  <c r="B33" i="16" s="1"/>
  <c r="B72" i="16" s="1"/>
  <c r="B135" i="16" s="1"/>
  <c r="B175" i="16" s="1"/>
  <c r="B14" i="16"/>
  <c r="B53" i="16" s="1"/>
  <c r="B116" i="16" s="1"/>
  <c r="B156" i="16" s="1"/>
  <c r="B61" i="3"/>
  <c r="B34" i="16" s="1"/>
  <c r="B73" i="16" s="1"/>
  <c r="B136" i="16" s="1"/>
  <c r="B176" i="16" s="1"/>
  <c r="B15" i="16"/>
  <c r="B54" i="16" s="1"/>
  <c r="B117" i="16" s="1"/>
  <c r="B157" i="16" s="1"/>
  <c r="N54" i="3"/>
  <c r="N27" i="16" s="1"/>
  <c r="N66" i="16" s="1"/>
  <c r="N8" i="16"/>
  <c r="N47" i="16" s="1"/>
  <c r="Q56" i="3"/>
  <c r="Q29" i="16" s="1"/>
  <c r="Q68" i="16" s="1"/>
  <c r="Q10" i="16"/>
  <c r="Q49" i="16" s="1"/>
  <c r="B58" i="3"/>
  <c r="B31" i="16" s="1"/>
  <c r="B70" i="16" s="1"/>
  <c r="B133" i="16" s="1"/>
  <c r="B173" i="16" s="1"/>
  <c r="B12" i="16"/>
  <c r="B51" i="16" s="1"/>
  <c r="B114" i="16" s="1"/>
  <c r="B154" i="16" s="1"/>
  <c r="W61" i="3"/>
  <c r="W34" i="16" s="1"/>
  <c r="W73" i="16" s="1"/>
  <c r="W15" i="16"/>
  <c r="W54" i="16" s="1"/>
  <c r="H62" i="3"/>
  <c r="H35" i="16" s="1"/>
  <c r="H74" i="16" s="1"/>
  <c r="H16" i="16"/>
  <c r="H55" i="16" s="1"/>
  <c r="Q54" i="3"/>
  <c r="Q27" i="16" s="1"/>
  <c r="Q66" i="16" s="1"/>
  <c r="Q8" i="16"/>
  <c r="Q47" i="16" s="1"/>
  <c r="B56" i="3"/>
  <c r="B29" i="16" s="1"/>
  <c r="B68" i="16" s="1"/>
  <c r="B131" i="16" s="1"/>
  <c r="B171" i="16" s="1"/>
  <c r="B10" i="16"/>
  <c r="B49" i="16" s="1"/>
  <c r="B112" i="16" s="1"/>
  <c r="B152" i="16" s="1"/>
  <c r="W59" i="3"/>
  <c r="W32" i="16" s="1"/>
  <c r="W71" i="16" s="1"/>
  <c r="W13" i="16"/>
  <c r="W52" i="16" s="1"/>
  <c r="H60" i="3"/>
  <c r="H33" i="16" s="1"/>
  <c r="H72" i="16" s="1"/>
  <c r="H14" i="16"/>
  <c r="H53" i="16" s="1"/>
  <c r="K54" i="3"/>
  <c r="K27" i="16" s="1"/>
  <c r="K66" i="16" s="1"/>
  <c r="K8" i="16"/>
  <c r="K47" i="16" s="1"/>
  <c r="N63" i="3"/>
  <c r="N36" i="16" s="1"/>
  <c r="N75" i="16" s="1"/>
  <c r="N17" i="16"/>
  <c r="N56" i="16" s="1"/>
  <c r="B52" i="3"/>
  <c r="B25" i="16" s="1"/>
  <c r="B64" i="16" s="1"/>
  <c r="B127" i="16" s="1"/>
  <c r="B167" i="16" s="1"/>
  <c r="B6" i="16"/>
  <c r="B45" i="16" s="1"/>
  <c r="B108" i="16" s="1"/>
  <c r="B148" i="16" s="1"/>
  <c r="T54" i="3"/>
  <c r="T27" i="16" s="1"/>
  <c r="T66" i="16" s="1"/>
  <c r="T8" i="16"/>
  <c r="T47" i="16" s="1"/>
  <c r="H58" i="3"/>
  <c r="H31" i="16" s="1"/>
  <c r="H70" i="16" s="1"/>
  <c r="H12" i="16"/>
  <c r="H51" i="16" s="1"/>
  <c r="K63" i="16"/>
  <c r="B63" i="16"/>
  <c r="K59" i="3"/>
  <c r="K32" i="16" s="1"/>
  <c r="K71" i="16" s="1"/>
  <c r="K13" i="16"/>
  <c r="K52" i="16" s="1"/>
  <c r="N61" i="3"/>
  <c r="N34" i="16" s="1"/>
  <c r="N73" i="16" s="1"/>
  <c r="N15" i="16"/>
  <c r="N54" i="16" s="1"/>
  <c r="W53" i="3"/>
  <c r="W26" i="16" s="1"/>
  <c r="W65" i="16" s="1"/>
  <c r="W7" i="16"/>
  <c r="W46" i="16" s="1"/>
  <c r="H54" i="3"/>
  <c r="H27" i="16" s="1"/>
  <c r="H66" i="16" s="1"/>
  <c r="H8" i="16"/>
  <c r="H47" i="16" s="1"/>
  <c r="N59" i="3"/>
  <c r="N32" i="16" s="1"/>
  <c r="N71" i="16" s="1"/>
  <c r="N13" i="16"/>
  <c r="N52" i="16" s="1"/>
  <c r="W44" i="16"/>
  <c r="W107" i="16" s="1"/>
  <c r="H52" i="3"/>
  <c r="H25" i="16" s="1"/>
  <c r="H64" i="16" s="1"/>
  <c r="H6" i="16"/>
  <c r="H45" i="16" s="1"/>
  <c r="W58" i="3"/>
  <c r="W31" i="16" s="1"/>
  <c r="W70" i="16" s="1"/>
  <c r="W12" i="16"/>
  <c r="W51" i="16" s="1"/>
  <c r="H59" i="3"/>
  <c r="H32" i="16" s="1"/>
  <c r="H71" i="16" s="1"/>
  <c r="H13" i="16"/>
  <c r="H52" i="16" s="1"/>
  <c r="N55" i="3"/>
  <c r="N28" i="16" s="1"/>
  <c r="N67" i="16" s="1"/>
  <c r="N9" i="16"/>
  <c r="N48" i="16" s="1"/>
  <c r="K61" i="3"/>
  <c r="K34" i="16" s="1"/>
  <c r="K73" i="16" s="1"/>
  <c r="K15" i="16"/>
  <c r="K54" i="16" s="1"/>
  <c r="M9" i="7"/>
  <c r="M7" i="7"/>
  <c r="M6" i="7"/>
  <c r="J107" i="3"/>
  <c r="S107" i="3"/>
  <c r="P107" i="3"/>
  <c r="V107" i="3"/>
  <c r="Y107" i="3"/>
  <c r="D107" i="3"/>
  <c r="G107" i="3"/>
  <c r="M107" i="3"/>
  <c r="G97" i="1"/>
  <c r="D97" i="1"/>
  <c r="G96" i="1"/>
  <c r="D96" i="1"/>
  <c r="G95" i="1"/>
  <c r="D95" i="1"/>
  <c r="G94" i="1"/>
  <c r="D94" i="1"/>
  <c r="G93" i="1"/>
  <c r="D93" i="1"/>
  <c r="G92" i="1"/>
  <c r="D92" i="1"/>
  <c r="G91" i="1"/>
  <c r="D91" i="1"/>
  <c r="G90" i="1"/>
  <c r="D90" i="1"/>
  <c r="G86" i="1"/>
  <c r="D86" i="1"/>
  <c r="G85" i="1"/>
  <c r="D85" i="1"/>
  <c r="G84" i="1"/>
  <c r="D84" i="1"/>
  <c r="G83" i="1"/>
  <c r="D83" i="1"/>
  <c r="G82" i="1"/>
  <c r="D82" i="1"/>
  <c r="G81" i="1"/>
  <c r="D81" i="1"/>
  <c r="G80" i="1"/>
  <c r="D80" i="1"/>
  <c r="G79" i="1"/>
  <c r="D79" i="1"/>
  <c r="R33" i="1"/>
  <c r="P33" i="1"/>
  <c r="Q33" i="1" s="1"/>
  <c r="O33" i="1"/>
  <c r="N33" i="1" s="1"/>
  <c r="M33" i="1"/>
  <c r="R32" i="1"/>
  <c r="P32" i="1"/>
  <c r="Q32" i="1" s="1"/>
  <c r="O32" i="1"/>
  <c r="N32" i="1" s="1"/>
  <c r="M32" i="1"/>
  <c r="R48" i="1"/>
  <c r="P48" i="1"/>
  <c r="Q48" i="1" s="1"/>
  <c r="O48" i="1"/>
  <c r="N48" i="1" s="1"/>
  <c r="M48" i="1"/>
  <c r="R47" i="1"/>
  <c r="P47" i="1"/>
  <c r="Q47" i="1" s="1"/>
  <c r="O47" i="1"/>
  <c r="N47" i="1" s="1"/>
  <c r="M47" i="1"/>
  <c r="R46" i="1"/>
  <c r="P46" i="1"/>
  <c r="Q46" i="1" s="1"/>
  <c r="O46" i="1"/>
  <c r="N46" i="1" s="1"/>
  <c r="M46" i="1"/>
  <c r="R31" i="1"/>
  <c r="P31" i="1"/>
  <c r="Q31" i="1" s="1"/>
  <c r="O31" i="1"/>
  <c r="N31" i="1" s="1"/>
  <c r="M31" i="1"/>
  <c r="L32" i="1"/>
  <c r="L33" i="1"/>
  <c r="L47" i="1"/>
  <c r="L48" i="1"/>
  <c r="L46" i="1"/>
  <c r="L31" i="1"/>
  <c r="I55" i="1"/>
  <c r="H55" i="1"/>
  <c r="F55" i="1"/>
  <c r="G55" i="1" s="1"/>
  <c r="E55" i="1"/>
  <c r="D55" i="1" s="1"/>
  <c r="C55" i="1"/>
  <c r="I54" i="1"/>
  <c r="H54" i="1"/>
  <c r="F54" i="1"/>
  <c r="G54" i="1" s="1"/>
  <c r="E54" i="1"/>
  <c r="D54" i="1" s="1"/>
  <c r="C54" i="1"/>
  <c r="I53" i="1"/>
  <c r="H53" i="1"/>
  <c r="F53" i="1"/>
  <c r="G53" i="1" s="1"/>
  <c r="E53" i="1"/>
  <c r="D53" i="1" s="1"/>
  <c r="C53" i="1"/>
  <c r="I52" i="1"/>
  <c r="H52" i="1"/>
  <c r="F52" i="1"/>
  <c r="G52" i="1" s="1"/>
  <c r="E52" i="1"/>
  <c r="D52" i="1" s="1"/>
  <c r="C52" i="1"/>
  <c r="I51" i="1"/>
  <c r="H51" i="1"/>
  <c r="F51" i="1"/>
  <c r="G51" i="1" s="1"/>
  <c r="E51" i="1"/>
  <c r="D51" i="1" s="1"/>
  <c r="C51" i="1"/>
  <c r="I50" i="1"/>
  <c r="H50" i="1"/>
  <c r="F50" i="1"/>
  <c r="G50" i="1" s="1"/>
  <c r="E50" i="1"/>
  <c r="D50" i="1" s="1"/>
  <c r="C50" i="1"/>
  <c r="I49" i="1"/>
  <c r="H49" i="1"/>
  <c r="F49" i="1"/>
  <c r="G49" i="1" s="1"/>
  <c r="E49" i="1"/>
  <c r="D49" i="1" s="1"/>
  <c r="C49" i="1"/>
  <c r="I48" i="1"/>
  <c r="H48" i="1"/>
  <c r="F48" i="1"/>
  <c r="G48" i="1" s="1"/>
  <c r="E48" i="1"/>
  <c r="D48" i="1" s="1"/>
  <c r="C48" i="1"/>
  <c r="I47" i="1"/>
  <c r="H47" i="1"/>
  <c r="F47" i="1"/>
  <c r="G47" i="1" s="1"/>
  <c r="E47" i="1"/>
  <c r="D47" i="1" s="1"/>
  <c r="C47" i="1"/>
  <c r="B48" i="1"/>
  <c r="B49" i="1"/>
  <c r="B50" i="1"/>
  <c r="B51" i="1"/>
  <c r="B52" i="1"/>
  <c r="B53" i="1"/>
  <c r="B54" i="1"/>
  <c r="B55" i="1"/>
  <c r="B47" i="1"/>
  <c r="B31" i="1"/>
  <c r="I39" i="1"/>
  <c r="H39" i="1"/>
  <c r="F39" i="1"/>
  <c r="G39" i="1" s="1"/>
  <c r="E39" i="1"/>
  <c r="D39" i="1" s="1"/>
  <c r="C39" i="1"/>
  <c r="B39" i="1"/>
  <c r="I38" i="1"/>
  <c r="H38" i="1"/>
  <c r="F38" i="1"/>
  <c r="G38" i="1" s="1"/>
  <c r="E38" i="1"/>
  <c r="D38" i="1" s="1"/>
  <c r="C38" i="1"/>
  <c r="B38" i="1"/>
  <c r="I37" i="1"/>
  <c r="H37" i="1"/>
  <c r="F37" i="1"/>
  <c r="G37" i="1" s="1"/>
  <c r="E37" i="1"/>
  <c r="D37" i="1" s="1"/>
  <c r="C37" i="1"/>
  <c r="B37" i="1"/>
  <c r="I36" i="1"/>
  <c r="H36" i="1"/>
  <c r="F36" i="1"/>
  <c r="G36" i="1" s="1"/>
  <c r="E36" i="1"/>
  <c r="D36" i="1" s="1"/>
  <c r="C36" i="1"/>
  <c r="B36" i="1"/>
  <c r="I35" i="1"/>
  <c r="H35" i="1"/>
  <c r="F35" i="1"/>
  <c r="G35" i="1" s="1"/>
  <c r="E35" i="1"/>
  <c r="D35" i="1" s="1"/>
  <c r="C35" i="1"/>
  <c r="B35" i="1"/>
  <c r="I34" i="1"/>
  <c r="H34" i="1"/>
  <c r="F34" i="1"/>
  <c r="G34" i="1" s="1"/>
  <c r="E34" i="1"/>
  <c r="D34" i="1" s="1"/>
  <c r="C34" i="1"/>
  <c r="B34" i="1"/>
  <c r="I33" i="1"/>
  <c r="H33" i="1"/>
  <c r="F33" i="1"/>
  <c r="G33" i="1" s="1"/>
  <c r="E33" i="1"/>
  <c r="D33" i="1" s="1"/>
  <c r="C33" i="1"/>
  <c r="B33" i="1"/>
  <c r="I32" i="1"/>
  <c r="H32" i="1"/>
  <c r="F32" i="1"/>
  <c r="G32" i="1" s="1"/>
  <c r="E32" i="1"/>
  <c r="D32" i="1" s="1"/>
  <c r="C32" i="1"/>
  <c r="B32" i="1"/>
  <c r="I31" i="1"/>
  <c r="H31" i="1"/>
  <c r="F31" i="1"/>
  <c r="G31" i="1" s="1"/>
  <c r="E31" i="1"/>
  <c r="D31" i="1" s="1"/>
  <c r="C31" i="1"/>
  <c r="B3" i="1"/>
  <c r="R18" i="1"/>
  <c r="P18" i="1"/>
  <c r="Q18" i="1" s="1"/>
  <c r="O18" i="1"/>
  <c r="N18" i="1" s="1"/>
  <c r="M18" i="1"/>
  <c r="L18" i="1"/>
  <c r="R4" i="1"/>
  <c r="P4" i="1"/>
  <c r="Q4" i="1" s="1"/>
  <c r="O4" i="1"/>
  <c r="N4" i="1" s="1"/>
  <c r="M4" i="1"/>
  <c r="L4" i="1"/>
  <c r="R17" i="1"/>
  <c r="P17" i="1"/>
  <c r="Q17" i="1" s="1"/>
  <c r="O17" i="1"/>
  <c r="N17" i="1" s="1"/>
  <c r="M17" i="1"/>
  <c r="L17" i="1"/>
  <c r="L3" i="1"/>
  <c r="R3" i="1"/>
  <c r="P3" i="1"/>
  <c r="Q3" i="1" s="1"/>
  <c r="O3" i="1"/>
  <c r="N3" i="1" s="1"/>
  <c r="M3" i="1"/>
  <c r="I24" i="1"/>
  <c r="H24" i="1"/>
  <c r="F24" i="1"/>
  <c r="G24" i="1" s="1"/>
  <c r="E24" i="1"/>
  <c r="D24" i="1" s="1"/>
  <c r="C24" i="1"/>
  <c r="I23" i="1"/>
  <c r="H23" i="1"/>
  <c r="F23" i="1"/>
  <c r="G23" i="1" s="1"/>
  <c r="E23" i="1"/>
  <c r="D23" i="1" s="1"/>
  <c r="C23" i="1"/>
  <c r="I22" i="1"/>
  <c r="H22" i="1"/>
  <c r="F22" i="1"/>
  <c r="G22" i="1" s="1"/>
  <c r="E22" i="1"/>
  <c r="D22" i="1" s="1"/>
  <c r="C22" i="1"/>
  <c r="I21" i="1"/>
  <c r="H21" i="1"/>
  <c r="F21" i="1"/>
  <c r="G21" i="1" s="1"/>
  <c r="E21" i="1"/>
  <c r="D21" i="1" s="1"/>
  <c r="C21" i="1"/>
  <c r="I20" i="1"/>
  <c r="H20" i="1"/>
  <c r="F20" i="1"/>
  <c r="G20" i="1" s="1"/>
  <c r="E20" i="1"/>
  <c r="D20" i="1" s="1"/>
  <c r="C20" i="1"/>
  <c r="I19" i="1"/>
  <c r="H19" i="1"/>
  <c r="F19" i="1"/>
  <c r="G19" i="1" s="1"/>
  <c r="E19" i="1"/>
  <c r="D19" i="1" s="1"/>
  <c r="C19" i="1"/>
  <c r="I18" i="1"/>
  <c r="H18" i="1"/>
  <c r="F18" i="1"/>
  <c r="G18" i="1" s="1"/>
  <c r="E18" i="1"/>
  <c r="D18" i="1" s="1"/>
  <c r="C18" i="1"/>
  <c r="I17" i="1"/>
  <c r="H17" i="1"/>
  <c r="F17" i="1"/>
  <c r="G17" i="1" s="1"/>
  <c r="E17" i="1"/>
  <c r="D17" i="1" s="1"/>
  <c r="C17" i="1"/>
  <c r="C4" i="1"/>
  <c r="E4" i="1"/>
  <c r="D4" i="1" s="1"/>
  <c r="F4" i="1"/>
  <c r="G4" i="1" s="1"/>
  <c r="H4" i="1"/>
  <c r="I4" i="1"/>
  <c r="C5" i="1"/>
  <c r="E5" i="1"/>
  <c r="D5" i="1" s="1"/>
  <c r="F5" i="1"/>
  <c r="G5" i="1" s="1"/>
  <c r="H5" i="1"/>
  <c r="I5" i="1"/>
  <c r="C6" i="1"/>
  <c r="E6" i="1"/>
  <c r="D6" i="1" s="1"/>
  <c r="F6" i="1"/>
  <c r="G6" i="1" s="1"/>
  <c r="H6" i="1"/>
  <c r="I6" i="1"/>
  <c r="C7" i="1"/>
  <c r="E7" i="1"/>
  <c r="D7" i="1" s="1"/>
  <c r="F7" i="1"/>
  <c r="G7" i="1" s="1"/>
  <c r="H7" i="1"/>
  <c r="I7" i="1"/>
  <c r="C8" i="1"/>
  <c r="E8" i="1"/>
  <c r="D8" i="1" s="1"/>
  <c r="F8" i="1"/>
  <c r="G8" i="1" s="1"/>
  <c r="H8" i="1"/>
  <c r="I8" i="1"/>
  <c r="C9" i="1"/>
  <c r="E9" i="1"/>
  <c r="D9" i="1" s="1"/>
  <c r="F9" i="1"/>
  <c r="G9" i="1" s="1"/>
  <c r="H9" i="1"/>
  <c r="I9" i="1"/>
  <c r="C10" i="1"/>
  <c r="E10" i="1"/>
  <c r="D10" i="1" s="1"/>
  <c r="F10" i="1"/>
  <c r="G10" i="1" s="1"/>
  <c r="H10" i="1"/>
  <c r="I10" i="1"/>
  <c r="I3" i="1"/>
  <c r="H3" i="1"/>
  <c r="F3" i="1"/>
  <c r="G3" i="1" s="1"/>
  <c r="E3" i="1"/>
  <c r="D3" i="1" s="1"/>
  <c r="C3" i="1"/>
  <c r="B24" i="1"/>
  <c r="B23" i="1"/>
  <c r="B22" i="1"/>
  <c r="B21" i="1"/>
  <c r="B20" i="1"/>
  <c r="B19" i="1"/>
  <c r="B18" i="1"/>
  <c r="B17" i="1"/>
  <c r="B10" i="1"/>
  <c r="B9" i="1"/>
  <c r="B8" i="1"/>
  <c r="B7" i="1"/>
  <c r="B6" i="1"/>
  <c r="B5" i="1"/>
  <c r="B4" i="1"/>
  <c r="I122" i="3" l="1"/>
  <c r="I120" i="3"/>
  <c r="I129" i="3"/>
  <c r="I130" i="3"/>
  <c r="I123" i="3"/>
  <c r="I116" i="3"/>
  <c r="R125" i="3"/>
  <c r="I125" i="3"/>
  <c r="R128" i="3"/>
  <c r="F127" i="3"/>
  <c r="I126" i="3"/>
  <c r="I118" i="3"/>
  <c r="I128" i="3"/>
  <c r="I117" i="3"/>
  <c r="U116" i="3"/>
  <c r="X127" i="3"/>
  <c r="U119" i="3"/>
  <c r="X124" i="3"/>
  <c r="X120" i="3"/>
  <c r="X117" i="3"/>
  <c r="X128" i="3"/>
  <c r="X125" i="3"/>
  <c r="X121" i="3"/>
  <c r="X118" i="3"/>
  <c r="X116" i="3"/>
  <c r="X126" i="3"/>
  <c r="X122" i="3"/>
  <c r="I121" i="3"/>
  <c r="I124" i="3"/>
  <c r="X123" i="3"/>
  <c r="X130" i="3"/>
  <c r="F117" i="3"/>
  <c r="F128" i="3"/>
  <c r="F121" i="3"/>
  <c r="F120" i="3"/>
  <c r="F125" i="3"/>
  <c r="I127" i="3"/>
  <c r="F129" i="3"/>
  <c r="F126" i="3"/>
  <c r="F118" i="3"/>
  <c r="F119" i="3"/>
  <c r="F122" i="3"/>
  <c r="L129" i="3"/>
  <c r="O122" i="3"/>
  <c r="O127" i="3"/>
  <c r="O129" i="3"/>
  <c r="O119" i="3"/>
  <c r="O130" i="3"/>
  <c r="O128" i="3"/>
  <c r="O116" i="3"/>
  <c r="O117" i="3"/>
  <c r="O125" i="3"/>
  <c r="F130" i="3"/>
  <c r="O118" i="3"/>
  <c r="F123" i="3"/>
  <c r="R124" i="3"/>
  <c r="R127" i="3"/>
  <c r="L120" i="3"/>
  <c r="R116" i="3"/>
  <c r="R119" i="3"/>
  <c r="L124" i="3"/>
  <c r="O123" i="3"/>
  <c r="O126" i="3"/>
  <c r="R117" i="3"/>
  <c r="R120" i="3"/>
  <c r="L121" i="3"/>
  <c r="L126" i="3"/>
  <c r="R130" i="3"/>
  <c r="L122" i="3"/>
  <c r="O124" i="3"/>
  <c r="R121" i="3"/>
  <c r="R118" i="3"/>
  <c r="L130" i="3"/>
  <c r="O120" i="3"/>
  <c r="R123" i="3"/>
  <c r="R126" i="3"/>
  <c r="L123" i="3"/>
  <c r="R129" i="3"/>
  <c r="L116" i="3"/>
  <c r="L127" i="3"/>
  <c r="F116" i="3"/>
  <c r="X210" i="3"/>
  <c r="X202" i="3"/>
  <c r="X205" i="3"/>
  <c r="X209" i="3"/>
  <c r="X206" i="3"/>
  <c r="X203" i="3"/>
  <c r="X208" i="3"/>
  <c r="X204" i="3"/>
  <c r="X207" i="3"/>
  <c r="L118" i="3"/>
  <c r="C118" i="3"/>
  <c r="C122" i="3"/>
  <c r="C123" i="3"/>
  <c r="C129" i="3"/>
  <c r="C117" i="3"/>
  <c r="C130" i="3"/>
  <c r="C126" i="3"/>
  <c r="C124" i="3"/>
  <c r="C127" i="3"/>
  <c r="C116" i="3"/>
  <c r="C119" i="3"/>
  <c r="C125" i="3"/>
  <c r="C128" i="3"/>
  <c r="C120" i="3"/>
  <c r="U122" i="3"/>
  <c r="U206" i="3"/>
  <c r="U205" i="3"/>
  <c r="U204" i="3"/>
  <c r="U203" i="3"/>
  <c r="U210" i="3"/>
  <c r="U202" i="3"/>
  <c r="U209" i="3"/>
  <c r="U207" i="3"/>
  <c r="U208" i="3"/>
  <c r="U124" i="3"/>
  <c r="U127" i="3"/>
  <c r="O208" i="3"/>
  <c r="O207" i="3"/>
  <c r="O206" i="3"/>
  <c r="O204" i="3"/>
  <c r="O205" i="3"/>
  <c r="O203" i="3"/>
  <c r="O209" i="3"/>
  <c r="O210" i="3"/>
  <c r="O202" i="3"/>
  <c r="U117" i="3"/>
  <c r="U120" i="3"/>
  <c r="U125" i="3"/>
  <c r="U128" i="3"/>
  <c r="L209" i="3"/>
  <c r="L207" i="3"/>
  <c r="L205" i="3"/>
  <c r="L206" i="3"/>
  <c r="L204" i="3"/>
  <c r="L210" i="3"/>
  <c r="L202" i="3"/>
  <c r="L208" i="3"/>
  <c r="L203" i="3"/>
  <c r="R207" i="3"/>
  <c r="R206" i="3"/>
  <c r="R205" i="3"/>
  <c r="R204" i="3"/>
  <c r="R203" i="3"/>
  <c r="R210" i="3"/>
  <c r="R202" i="3"/>
  <c r="R208" i="3"/>
  <c r="R209" i="3"/>
  <c r="U123" i="3"/>
  <c r="U130" i="3"/>
  <c r="U118" i="3"/>
  <c r="U121" i="3"/>
  <c r="L119" i="3"/>
  <c r="L117" i="3"/>
  <c r="F203" i="3"/>
  <c r="F202" i="3"/>
  <c r="F209" i="3"/>
  <c r="F207" i="3"/>
  <c r="F208" i="3"/>
  <c r="F206" i="3"/>
  <c r="F204" i="3"/>
  <c r="F210" i="3"/>
  <c r="F205" i="3"/>
  <c r="I210" i="3"/>
  <c r="I202" i="3"/>
  <c r="I208" i="3"/>
  <c r="I206" i="3"/>
  <c r="I207" i="3"/>
  <c r="I205" i="3"/>
  <c r="I204" i="3"/>
  <c r="I203" i="3"/>
  <c r="I209" i="3"/>
  <c r="U126" i="3"/>
  <c r="L128" i="3"/>
  <c r="C206" i="3"/>
  <c r="C205" i="3"/>
  <c r="C204" i="3"/>
  <c r="C203" i="3"/>
  <c r="C210" i="3"/>
  <c r="C202" i="3"/>
  <c r="C209" i="3"/>
  <c r="C208" i="3"/>
  <c r="C207" i="3"/>
  <c r="Q128" i="16"/>
  <c r="Q168" i="16" s="1"/>
  <c r="Q130" i="16"/>
  <c r="Q170" i="16" s="1"/>
  <c r="T135" i="16"/>
  <c r="T175" i="16" s="1"/>
  <c r="E131" i="16"/>
  <c r="E171" i="16" s="1"/>
  <c r="K131" i="16"/>
  <c r="K171" i="16" s="1"/>
  <c r="H131" i="16"/>
  <c r="H171" i="16" s="1"/>
  <c r="T119" i="16"/>
  <c r="T159" i="16" s="1"/>
  <c r="E134" i="16"/>
  <c r="E174" i="16" s="1"/>
  <c r="Q133" i="16"/>
  <c r="Q173" i="16" s="1"/>
  <c r="Q118" i="16"/>
  <c r="Q158" i="16" s="1"/>
  <c r="T127" i="16"/>
  <c r="T167" i="16" s="1"/>
  <c r="W131" i="16"/>
  <c r="W171" i="16" s="1"/>
  <c r="K136" i="16"/>
  <c r="K176" i="16" s="1"/>
  <c r="H127" i="16"/>
  <c r="H167" i="16" s="1"/>
  <c r="N117" i="16"/>
  <c r="N157" i="16" s="1"/>
  <c r="T110" i="16"/>
  <c r="T150" i="16" s="1"/>
  <c r="H116" i="16"/>
  <c r="H156" i="16" s="1"/>
  <c r="H118" i="16"/>
  <c r="H158" i="16" s="1"/>
  <c r="N110" i="16"/>
  <c r="N150" i="16" s="1"/>
  <c r="K118" i="16"/>
  <c r="K158" i="16" s="1"/>
  <c r="Q137" i="16"/>
  <c r="Q177" i="16" s="1"/>
  <c r="N118" i="16"/>
  <c r="N158" i="16" s="1"/>
  <c r="T109" i="16"/>
  <c r="T149" i="16" s="1"/>
  <c r="T113" i="16"/>
  <c r="T153" i="16" s="1"/>
  <c r="E118" i="16"/>
  <c r="E158" i="16" s="1"/>
  <c r="N114" i="16"/>
  <c r="N154" i="16" s="1"/>
  <c r="H111" i="16"/>
  <c r="H151" i="16" s="1"/>
  <c r="H117" i="16"/>
  <c r="H157" i="16" s="1"/>
  <c r="H119" i="16"/>
  <c r="H159" i="16" s="1"/>
  <c r="E111" i="16"/>
  <c r="E151" i="16" s="1"/>
  <c r="T111" i="16"/>
  <c r="T151" i="16" s="1"/>
  <c r="W111" i="16"/>
  <c r="W151" i="16" s="1"/>
  <c r="T138" i="16"/>
  <c r="T178" i="16" s="1"/>
  <c r="T114" i="16"/>
  <c r="T154" i="16" s="1"/>
  <c r="H133" i="16"/>
  <c r="H173" i="16" s="1"/>
  <c r="Q131" i="16"/>
  <c r="Q171" i="16" s="1"/>
  <c r="E129" i="16"/>
  <c r="E169" i="16" s="1"/>
  <c r="T129" i="16"/>
  <c r="T169" i="16" s="1"/>
  <c r="H137" i="16"/>
  <c r="H177" i="16" s="1"/>
  <c r="T128" i="16"/>
  <c r="T168" i="16" s="1"/>
  <c r="T132" i="16"/>
  <c r="T172" i="16" s="1"/>
  <c r="N133" i="16"/>
  <c r="N173" i="16" s="1"/>
  <c r="H130" i="16"/>
  <c r="H170" i="16" s="1"/>
  <c r="H136" i="16"/>
  <c r="H176" i="16" s="1"/>
  <c r="H138" i="16"/>
  <c r="H178" i="16" s="1"/>
  <c r="E130" i="16"/>
  <c r="E170" i="16" s="1"/>
  <c r="T130" i="16"/>
  <c r="T170" i="16" s="1"/>
  <c r="W130" i="16"/>
  <c r="W170" i="16" s="1"/>
  <c r="E113" i="16"/>
  <c r="E153" i="16" s="1"/>
  <c r="T133" i="16"/>
  <c r="T173" i="16" s="1"/>
  <c r="W128" i="16"/>
  <c r="W168" i="16" s="1"/>
  <c r="K129" i="16"/>
  <c r="K169" i="16" s="1"/>
  <c r="K128" i="16"/>
  <c r="K168" i="16" s="1"/>
  <c r="N111" i="16"/>
  <c r="N151" i="16" s="1"/>
  <c r="H135" i="16"/>
  <c r="H175" i="16" s="1"/>
  <c r="N129" i="16"/>
  <c r="N169" i="16" s="1"/>
  <c r="K137" i="16"/>
  <c r="K177" i="16" s="1"/>
  <c r="K113" i="16"/>
  <c r="K153" i="16" s="1"/>
  <c r="N137" i="16"/>
  <c r="N177" i="16" s="1"/>
  <c r="E137" i="16"/>
  <c r="E177" i="16" s="1"/>
  <c r="N130" i="16"/>
  <c r="N170" i="16" s="1"/>
  <c r="N115" i="16"/>
  <c r="N155" i="16" s="1"/>
  <c r="K115" i="16"/>
  <c r="K155" i="16" s="1"/>
  <c r="W115" i="16"/>
  <c r="W155" i="16" s="1"/>
  <c r="W117" i="16"/>
  <c r="W157" i="16" s="1"/>
  <c r="K111" i="16"/>
  <c r="K151" i="16" s="1"/>
  <c r="K132" i="16"/>
  <c r="K172" i="16" s="1"/>
  <c r="N113" i="16"/>
  <c r="N153" i="16" s="1"/>
  <c r="N108" i="16"/>
  <c r="N148" i="16" s="1"/>
  <c r="Q113" i="16"/>
  <c r="Q153" i="16" s="1"/>
  <c r="T117" i="16"/>
  <c r="T157" i="16" s="1"/>
  <c r="H109" i="16"/>
  <c r="H149" i="16" s="1"/>
  <c r="W110" i="16"/>
  <c r="W150" i="16" s="1"/>
  <c r="Q116" i="16"/>
  <c r="Q156" i="16" s="1"/>
  <c r="W116" i="16"/>
  <c r="W156" i="16" s="1"/>
  <c r="W118" i="16"/>
  <c r="W158" i="16" s="1"/>
  <c r="T118" i="16"/>
  <c r="T158" i="16" s="1"/>
  <c r="Q119" i="16"/>
  <c r="Q159" i="16" s="1"/>
  <c r="E132" i="16"/>
  <c r="E172" i="16" s="1"/>
  <c r="N109" i="16"/>
  <c r="N149" i="16" s="1"/>
  <c r="N135" i="16"/>
  <c r="N175" i="16" s="1"/>
  <c r="K130" i="16"/>
  <c r="K170" i="16" s="1"/>
  <c r="Q115" i="16"/>
  <c r="Q155" i="16" s="1"/>
  <c r="N127" i="16"/>
  <c r="N167" i="16" s="1"/>
  <c r="Q132" i="16"/>
  <c r="Q172" i="16" s="1"/>
  <c r="T136" i="16"/>
  <c r="T176" i="16" s="1"/>
  <c r="H128" i="16"/>
  <c r="H168" i="16" s="1"/>
  <c r="W129" i="16"/>
  <c r="W169" i="16" s="1"/>
  <c r="Q135" i="16"/>
  <c r="Q175" i="16" s="1"/>
  <c r="W135" i="16"/>
  <c r="W175" i="16" s="1"/>
  <c r="W137" i="16"/>
  <c r="W177" i="16" s="1"/>
  <c r="T137" i="16"/>
  <c r="T177" i="16" s="1"/>
  <c r="Q138" i="16"/>
  <c r="Q178" i="16" s="1"/>
  <c r="T112" i="16"/>
  <c r="T152" i="16" s="1"/>
  <c r="N128" i="16"/>
  <c r="N168" i="16" s="1"/>
  <c r="H108" i="16"/>
  <c r="H148" i="16" s="1"/>
  <c r="Q129" i="16"/>
  <c r="Q169" i="16" s="1"/>
  <c r="E133" i="16"/>
  <c r="E173" i="16" s="1"/>
  <c r="N136" i="16"/>
  <c r="N176" i="16" s="1"/>
  <c r="H115" i="16"/>
  <c r="H155" i="16" s="1"/>
  <c r="K134" i="16"/>
  <c r="K174" i="16" s="1"/>
  <c r="N132" i="16"/>
  <c r="N172" i="16" s="1"/>
  <c r="H134" i="16"/>
  <c r="H174" i="16" s="1"/>
  <c r="H110" i="16"/>
  <c r="H150" i="16" s="1"/>
  <c r="N119" i="16"/>
  <c r="N159" i="16" s="1"/>
  <c r="N112" i="16"/>
  <c r="N152" i="16" s="1"/>
  <c r="Q134" i="16"/>
  <c r="Q174" i="16" s="1"/>
  <c r="W113" i="16"/>
  <c r="W153" i="16" s="1"/>
  <c r="K119" i="16"/>
  <c r="K159" i="16" s="1"/>
  <c r="E116" i="16"/>
  <c r="E156" i="16" s="1"/>
  <c r="E119" i="16"/>
  <c r="E159" i="16" s="1"/>
  <c r="W108" i="16"/>
  <c r="W148" i="16" s="1"/>
  <c r="E109" i="16"/>
  <c r="E149" i="16" s="1"/>
  <c r="H113" i="16"/>
  <c r="H153" i="16" s="1"/>
  <c r="E117" i="16"/>
  <c r="E157" i="16" s="1"/>
  <c r="K108" i="16"/>
  <c r="K148" i="16" s="1"/>
  <c r="Q117" i="16"/>
  <c r="Q157" i="16" s="1"/>
  <c r="K114" i="16"/>
  <c r="K154" i="16" s="1"/>
  <c r="K116" i="16"/>
  <c r="K156" i="16" s="1"/>
  <c r="T131" i="16"/>
  <c r="T171" i="16" s="1"/>
  <c r="Q127" i="16"/>
  <c r="Q167" i="16" s="1"/>
  <c r="N134" i="16"/>
  <c r="N174" i="16" s="1"/>
  <c r="W136" i="16"/>
  <c r="W176" i="16" s="1"/>
  <c r="H129" i="16"/>
  <c r="H169" i="16" s="1"/>
  <c r="N131" i="16"/>
  <c r="N171" i="16" s="1"/>
  <c r="E108" i="16"/>
  <c r="E148" i="16" s="1"/>
  <c r="E135" i="16"/>
  <c r="E175" i="16" s="1"/>
  <c r="W127" i="16"/>
  <c r="W167" i="16" s="1"/>
  <c r="E128" i="16"/>
  <c r="E168" i="16" s="1"/>
  <c r="H132" i="16"/>
  <c r="H172" i="16" s="1"/>
  <c r="E136" i="16"/>
  <c r="E176" i="16" s="1"/>
  <c r="K127" i="16"/>
  <c r="K167" i="16" s="1"/>
  <c r="Q136" i="16"/>
  <c r="Q176" i="16" s="1"/>
  <c r="K133" i="16"/>
  <c r="K173" i="16" s="1"/>
  <c r="K135" i="16"/>
  <c r="K175" i="16" s="1"/>
  <c r="W119" i="16"/>
  <c r="W159" i="16" s="1"/>
  <c r="K117" i="16"/>
  <c r="K157" i="16" s="1"/>
  <c r="T134" i="16"/>
  <c r="T174" i="16" s="1"/>
  <c r="W134" i="16"/>
  <c r="W174" i="16" s="1"/>
  <c r="W114" i="16"/>
  <c r="W154" i="16" s="1"/>
  <c r="N138" i="16"/>
  <c r="N178" i="16" s="1"/>
  <c r="W132" i="16"/>
  <c r="W172" i="16" s="1"/>
  <c r="K138" i="16"/>
  <c r="K178" i="16" s="1"/>
  <c r="E138" i="16"/>
  <c r="E178" i="16" s="1"/>
  <c r="W133" i="16"/>
  <c r="W173" i="16" s="1"/>
  <c r="W109" i="16"/>
  <c r="W149" i="16" s="1"/>
  <c r="H114" i="16"/>
  <c r="H154" i="16" s="1"/>
  <c r="K110" i="16"/>
  <c r="K150" i="16" s="1"/>
  <c r="Q110" i="16"/>
  <c r="Q150" i="16" s="1"/>
  <c r="Q112" i="16"/>
  <c r="Q152" i="16" s="1"/>
  <c r="Q114" i="16"/>
  <c r="Q154" i="16" s="1"/>
  <c r="E127" i="16"/>
  <c r="E167" i="16" s="1"/>
  <c r="E110" i="16"/>
  <c r="E150" i="16" s="1"/>
  <c r="E114" i="16"/>
  <c r="E154" i="16" s="1"/>
  <c r="T115" i="16"/>
  <c r="T155" i="16" s="1"/>
  <c r="K109" i="16"/>
  <c r="K149" i="16" s="1"/>
  <c r="Q108" i="16"/>
  <c r="Q148" i="16" s="1"/>
  <c r="N116" i="16"/>
  <c r="N156" i="16" s="1"/>
  <c r="T108" i="16"/>
  <c r="T148" i="16" s="1"/>
  <c r="W112" i="16"/>
  <c r="W152" i="16" s="1"/>
  <c r="Q109" i="16"/>
  <c r="Q149" i="16" s="1"/>
  <c r="Q111" i="16"/>
  <c r="Q151" i="16" s="1"/>
  <c r="T116" i="16"/>
  <c r="T156" i="16" s="1"/>
  <c r="E112" i="16"/>
  <c r="E152" i="16" s="1"/>
  <c r="K112" i="16"/>
  <c r="K152" i="16" s="1"/>
  <c r="H112" i="16"/>
  <c r="H152" i="16" s="1"/>
  <c r="E115" i="16"/>
  <c r="E155" i="16" s="1"/>
  <c r="W138" i="16"/>
  <c r="W178" i="16" s="1"/>
  <c r="X108" i="3"/>
  <c r="F108" i="3"/>
  <c r="C108" i="3"/>
  <c r="M139" i="3"/>
  <c r="U108" i="3"/>
  <c r="T147" i="16"/>
  <c r="B147" i="16"/>
  <c r="Q147" i="16"/>
  <c r="W147" i="16"/>
  <c r="E147" i="16"/>
  <c r="K147" i="16"/>
  <c r="N147" i="16"/>
  <c r="H147" i="16"/>
  <c r="Q126" i="16"/>
  <c r="Q166" i="16" s="1"/>
  <c r="Q79" i="16"/>
  <c r="H126" i="16"/>
  <c r="H166" i="16" s="1"/>
  <c r="H79" i="16"/>
  <c r="K126" i="16"/>
  <c r="K166" i="16" s="1"/>
  <c r="K79" i="16"/>
  <c r="N126" i="16"/>
  <c r="N166" i="16" s="1"/>
  <c r="N79" i="16"/>
  <c r="W126" i="16"/>
  <c r="W166" i="16" s="1"/>
  <c r="W79" i="16"/>
  <c r="E126" i="16"/>
  <c r="E166" i="16" s="1"/>
  <c r="E79" i="16"/>
  <c r="T126" i="16"/>
  <c r="T166" i="16" s="1"/>
  <c r="T79" i="16"/>
  <c r="B126" i="16"/>
  <c r="B166" i="16" s="1"/>
  <c r="B79" i="16"/>
  <c r="J139" i="3"/>
  <c r="J155" i="3" s="1"/>
  <c r="J164" i="3" s="1"/>
  <c r="J179" i="3" s="1"/>
  <c r="R108" i="3"/>
  <c r="G139" i="3"/>
  <c r="G155" i="3" s="1"/>
  <c r="G164" i="3" s="1"/>
  <c r="G179" i="3" s="1"/>
  <c r="O108" i="3"/>
  <c r="D139" i="3"/>
  <c r="D155" i="3" s="1"/>
  <c r="D164" i="3" s="1"/>
  <c r="D179" i="3" s="1"/>
  <c r="V139" i="3"/>
  <c r="V155" i="3" s="1"/>
  <c r="V164" i="3" s="1"/>
  <c r="V179" i="3" s="1"/>
  <c r="S139" i="3"/>
  <c r="S155" i="3" s="1"/>
  <c r="S164" i="3" s="1"/>
  <c r="S179" i="3" s="1"/>
  <c r="Y139" i="3"/>
  <c r="Y155" i="3" s="1"/>
  <c r="Y164" i="3" s="1"/>
  <c r="Y179" i="3" s="1"/>
  <c r="L108" i="3"/>
  <c r="P139" i="3"/>
  <c r="P155" i="3" s="1"/>
  <c r="P164" i="3" s="1"/>
  <c r="P179" i="3" s="1"/>
  <c r="I108" i="3"/>
  <c r="D48" i="6"/>
  <c r="A39" i="10"/>
  <c r="B53" i="10"/>
  <c r="I9" i="27" l="1"/>
  <c r="B16" i="14"/>
  <c r="G106" i="5"/>
  <c r="B106" i="5"/>
  <c r="V106" i="5"/>
  <c r="AA106" i="5"/>
  <c r="Q106" i="5"/>
  <c r="AK106" i="5"/>
  <c r="L106" i="5"/>
  <c r="D99" i="16"/>
  <c r="E99" i="16"/>
  <c r="E98" i="16"/>
  <c r="D98" i="16"/>
  <c r="E97" i="16"/>
  <c r="E101" i="16"/>
  <c r="D101" i="16"/>
  <c r="E100" i="16"/>
  <c r="D100" i="16"/>
  <c r="A92" i="19"/>
  <c r="A91" i="19"/>
  <c r="M120" i="19" l="1"/>
  <c r="M117" i="19"/>
  <c r="M114" i="19"/>
  <c r="M113" i="19"/>
  <c r="M111" i="19"/>
  <c r="M110" i="19"/>
  <c r="M108" i="19"/>
  <c r="M107" i="19"/>
  <c r="M105" i="19"/>
  <c r="M104" i="19"/>
  <c r="M101" i="19"/>
  <c r="M100" i="19"/>
  <c r="M99" i="19"/>
  <c r="M96" i="19"/>
  <c r="M95" i="19"/>
  <c r="M94" i="19"/>
  <c r="M93" i="19"/>
  <c r="M90" i="19"/>
  <c r="M89" i="19"/>
  <c r="M88" i="19"/>
  <c r="M87" i="19"/>
  <c r="M86" i="19"/>
  <c r="M85" i="19"/>
  <c r="M84" i="19"/>
  <c r="M83" i="19"/>
  <c r="M82" i="19"/>
  <c r="M81" i="19"/>
  <c r="M80" i="19"/>
  <c r="M79" i="19"/>
  <c r="M78" i="19"/>
  <c r="M77" i="19"/>
  <c r="M76" i="19"/>
  <c r="M75" i="19"/>
  <c r="M74" i="19"/>
  <c r="M72" i="19"/>
  <c r="M71" i="19"/>
  <c r="M70" i="19"/>
  <c r="M69" i="19"/>
  <c r="M67" i="19"/>
  <c r="M66" i="19"/>
  <c r="M65" i="19"/>
  <c r="M63" i="19"/>
  <c r="M61" i="19"/>
  <c r="M59" i="19"/>
  <c r="M54" i="19"/>
  <c r="M53" i="19"/>
  <c r="M46" i="19"/>
  <c r="M40" i="19"/>
  <c r="M39" i="19"/>
  <c r="M38" i="19"/>
  <c r="M37" i="19"/>
  <c r="B3" i="5" l="1"/>
  <c r="A17" i="27" s="1"/>
  <c r="D195" i="3"/>
  <c r="K194" i="3"/>
  <c r="J194" i="3"/>
  <c r="I194" i="3"/>
  <c r="H194" i="3"/>
  <c r="G194" i="3"/>
  <c r="F194" i="3"/>
  <c r="E194" i="3"/>
  <c r="D194" i="3"/>
  <c r="E192" i="3"/>
  <c r="F192" i="3" s="1"/>
  <c r="F195" i="3" s="1"/>
  <c r="E30" i="5" l="1"/>
  <c r="C229" i="16"/>
  <c r="C217" i="16"/>
  <c r="B112" i="5"/>
  <c r="B78" i="11" s="1"/>
  <c r="B40" i="11"/>
  <c r="B47" i="11" s="1"/>
  <c r="L105" i="7"/>
  <c r="I39" i="7"/>
  <c r="E28" i="5"/>
  <c r="E22" i="5"/>
  <c r="E26" i="5"/>
  <c r="E195" i="3"/>
  <c r="G192" i="3"/>
  <c r="G195" i="3" s="1"/>
  <c r="B89" i="11" l="1"/>
  <c r="B80" i="11"/>
  <c r="B79" i="11"/>
  <c r="J39" i="7"/>
  <c r="L39" i="7" s="1"/>
  <c r="R39" i="7" s="1"/>
  <c r="E287" i="13"/>
  <c r="D287" i="13"/>
  <c r="H192" i="3"/>
  <c r="H195" i="3" s="1"/>
  <c r="K50" i="11" l="1"/>
  <c r="K51" i="11" s="1"/>
  <c r="M39" i="7"/>
  <c r="C253" i="13"/>
  <c r="C256" i="13" s="1"/>
  <c r="C210" i="13"/>
  <c r="C242" i="13" s="1"/>
  <c r="C364" i="13"/>
  <c r="C378" i="13" s="1"/>
  <c r="K39" i="7"/>
  <c r="Q39" i="7" s="1"/>
  <c r="C287" i="13"/>
  <c r="C301" i="13" s="1"/>
  <c r="C178" i="13"/>
  <c r="C330" i="13"/>
  <c r="I192" i="3"/>
  <c r="I195" i="3" s="1"/>
  <c r="C105" i="16" l="1"/>
  <c r="C3" i="16"/>
  <c r="C145" i="16"/>
  <c r="C42" i="16"/>
  <c r="D105" i="16"/>
  <c r="C61" i="16"/>
  <c r="C22" i="16"/>
  <c r="D164" i="16"/>
  <c r="D22" i="16"/>
  <c r="C164" i="16"/>
  <c r="N39" i="7"/>
  <c r="D42" i="16"/>
  <c r="C124" i="16"/>
  <c r="D3" i="16"/>
  <c r="D124" i="16"/>
  <c r="D61" i="16"/>
  <c r="O39" i="7"/>
  <c r="P39" i="7"/>
  <c r="C333" i="13"/>
  <c r="C367" i="13" s="1"/>
  <c r="D145" i="16"/>
  <c r="C181" i="13"/>
  <c r="C213" i="13" s="1"/>
  <c r="C259" i="13"/>
  <c r="C336" i="13" s="1"/>
  <c r="C370" i="13" s="1"/>
  <c r="C267" i="13"/>
  <c r="E243" i="13" s="1"/>
  <c r="E244" i="13" s="1"/>
  <c r="C262" i="13"/>
  <c r="C339" i="13" s="1"/>
  <c r="C373" i="13" s="1"/>
  <c r="C263" i="13"/>
  <c r="C297" i="13" s="1"/>
  <c r="C261" i="13"/>
  <c r="C338" i="13" s="1"/>
  <c r="C372" i="13" s="1"/>
  <c r="C290" i="13"/>
  <c r="C257" i="13"/>
  <c r="C260" i="13"/>
  <c r="C337" i="13" s="1"/>
  <c r="C371" i="13" s="1"/>
  <c r="C266" i="13"/>
  <c r="C343" i="13" s="1"/>
  <c r="C377" i="13" s="1"/>
  <c r="C264" i="13"/>
  <c r="C341" i="13" s="1"/>
  <c r="C375" i="13" s="1"/>
  <c r="C258" i="13"/>
  <c r="C255" i="13"/>
  <c r="C265" i="13"/>
  <c r="J192" i="3"/>
  <c r="J195" i="3" s="1"/>
  <c r="D72" i="16" l="1"/>
  <c r="D68" i="16"/>
  <c r="D75" i="16"/>
  <c r="D71" i="16"/>
  <c r="D67" i="16"/>
  <c r="D65" i="16"/>
  <c r="D74" i="16"/>
  <c r="D70" i="16"/>
  <c r="D66" i="16"/>
  <c r="D73" i="16"/>
  <c r="D69" i="16"/>
  <c r="D64" i="16"/>
  <c r="C73" i="16"/>
  <c r="C69" i="16"/>
  <c r="C65" i="16"/>
  <c r="C64" i="16"/>
  <c r="C72" i="16"/>
  <c r="C68" i="16"/>
  <c r="C75" i="16"/>
  <c r="C71" i="16"/>
  <c r="C67" i="16"/>
  <c r="C74" i="16"/>
  <c r="C70" i="16"/>
  <c r="C66" i="16"/>
  <c r="D56" i="16"/>
  <c r="D52" i="16"/>
  <c r="D48" i="16"/>
  <c r="D45" i="16"/>
  <c r="D55" i="16"/>
  <c r="D51" i="16"/>
  <c r="D47" i="16"/>
  <c r="D54" i="16"/>
  <c r="D50" i="16"/>
  <c r="D46" i="16"/>
  <c r="D53" i="16"/>
  <c r="D49" i="16"/>
  <c r="C53" i="16"/>
  <c r="C49" i="16"/>
  <c r="C56" i="16"/>
  <c r="C52" i="16"/>
  <c r="C48" i="16"/>
  <c r="C45" i="16"/>
  <c r="C55" i="16"/>
  <c r="C51" i="16"/>
  <c r="C47" i="16"/>
  <c r="C54" i="16"/>
  <c r="C50" i="16"/>
  <c r="C46" i="16"/>
  <c r="C293" i="13"/>
  <c r="C185" i="13"/>
  <c r="C217" i="13" s="1"/>
  <c r="C340" i="13"/>
  <c r="C374" i="13" s="1"/>
  <c r="C191" i="13"/>
  <c r="C223" i="13" s="1"/>
  <c r="C344" i="13"/>
  <c r="C296" i="13"/>
  <c r="C188" i="13"/>
  <c r="C220" i="13" s="1"/>
  <c r="C180" i="13"/>
  <c r="C212" i="13" s="1"/>
  <c r="C187" i="13"/>
  <c r="C219" i="13" s="1"/>
  <c r="C292" i="13"/>
  <c r="C298" i="13"/>
  <c r="C300" i="13"/>
  <c r="C184" i="13"/>
  <c r="C216" i="13" s="1"/>
  <c r="C294" i="13"/>
  <c r="C291" i="13"/>
  <c r="C342" i="13"/>
  <c r="C376" i="13" s="1"/>
  <c r="C186" i="13"/>
  <c r="C218" i="13" s="1"/>
  <c r="C182" i="13"/>
  <c r="C214" i="13" s="1"/>
  <c r="C334" i="13"/>
  <c r="C368" i="13" s="1"/>
  <c r="C189" i="13"/>
  <c r="C221" i="13" s="1"/>
  <c r="C299" i="13"/>
  <c r="C190" i="13"/>
  <c r="C222" i="13" s="1"/>
  <c r="C183" i="13"/>
  <c r="C215" i="13" s="1"/>
  <c r="C295" i="13"/>
  <c r="C335" i="13"/>
  <c r="C369" i="13" s="1"/>
  <c r="C289" i="13"/>
  <c r="C332" i="13"/>
  <c r="C366" i="13" s="1"/>
  <c r="K192" i="3"/>
  <c r="K195" i="3" s="1"/>
  <c r="D196" i="3" l="1"/>
  <c r="D86" i="10" l="1"/>
  <c r="D97" i="10" l="1"/>
  <c r="C89" i="10" l="1"/>
  <c r="D89" i="10"/>
  <c r="B89" i="10"/>
  <c r="B113" i="10" l="1"/>
  <c r="C113" i="10"/>
  <c r="D28" i="11"/>
  <c r="C28" i="11"/>
  <c r="B28" i="11"/>
  <c r="C33" i="6"/>
  <c r="E24" i="11"/>
  <c r="D24" i="11"/>
  <c r="A112" i="5" s="1"/>
  <c r="C24" i="11"/>
  <c r="B24" i="11"/>
  <c r="D91" i="10"/>
  <c r="D90" i="10"/>
  <c r="C90" i="10" s="1"/>
  <c r="D85" i="10"/>
  <c r="C85" i="10"/>
  <c r="B85" i="10"/>
  <c r="D88" i="10"/>
  <c r="C88" i="10"/>
  <c r="B88" i="10"/>
  <c r="C95" i="10"/>
  <c r="C25" i="11" s="1"/>
  <c r="B95" i="10"/>
  <c r="B25" i="11" s="1"/>
  <c r="D65" i="10"/>
  <c r="D71" i="10"/>
  <c r="D70" i="10"/>
  <c r="D69" i="10"/>
  <c r="D68" i="10"/>
  <c r="D67" i="10"/>
  <c r="D66" i="10"/>
  <c r="B30" i="10"/>
  <c r="B32" i="10"/>
  <c r="B47" i="10" s="1"/>
  <c r="B19" i="10"/>
  <c r="B20" i="11"/>
  <c r="D98" i="10" s="1"/>
  <c r="B6" i="10"/>
  <c r="A62" i="10" s="1"/>
  <c r="B15" i="11"/>
  <c r="B5" i="10"/>
  <c r="L3" i="17"/>
  <c r="M3" i="17"/>
  <c r="A90" i="11" l="1"/>
  <c r="A91" i="11"/>
  <c r="A89" i="11"/>
  <c r="B111" i="5"/>
  <c r="A78" i="11"/>
  <c r="A74" i="11"/>
  <c r="A76" i="11"/>
  <c r="A70" i="11"/>
  <c r="A72" i="11"/>
  <c r="C91" i="10"/>
  <c r="C111" i="10" s="1"/>
  <c r="B33" i="10"/>
  <c r="B48" i="10" s="1"/>
  <c r="D102" i="10" s="1"/>
  <c r="B43" i="10"/>
  <c r="D107" i="10" s="1"/>
  <c r="B42" i="10"/>
  <c r="D106" i="10" s="1"/>
  <c r="D113" i="10"/>
  <c r="A69" i="11"/>
  <c r="D101" i="10"/>
  <c r="C103" i="10"/>
  <c r="B90" i="10"/>
  <c r="A25" i="10"/>
  <c r="A27" i="10"/>
  <c r="A29" i="10"/>
  <c r="A26" i="10"/>
  <c r="A30" i="10"/>
  <c r="A32" i="10"/>
  <c r="A33" i="10"/>
  <c r="C108" i="10" l="1"/>
  <c r="C112" i="10" s="1"/>
  <c r="C114" i="10" s="1"/>
  <c r="C116" i="10" s="1"/>
  <c r="C117" i="10" s="1"/>
  <c r="B91" i="10"/>
  <c r="B111" i="10" s="1"/>
  <c r="B103" i="10" l="1"/>
  <c r="B108" i="10"/>
  <c r="C115" i="10"/>
  <c r="C29" i="11"/>
  <c r="E9" i="3"/>
  <c r="K58" i="19"/>
  <c r="M58" i="19" s="1"/>
  <c r="K56" i="19"/>
  <c r="M56" i="19" s="1"/>
  <c r="K55" i="19"/>
  <c r="M55" i="19" s="1"/>
  <c r="K52" i="19"/>
  <c r="M52" i="19" s="1"/>
  <c r="K51" i="19"/>
  <c r="M51" i="19" s="1"/>
  <c r="K50" i="19"/>
  <c r="M50" i="19" s="1"/>
  <c r="K49" i="19"/>
  <c r="M49" i="19" s="1"/>
  <c r="K48" i="19"/>
  <c r="M48" i="19" s="1"/>
  <c r="K47" i="19"/>
  <c r="M47" i="19" s="1"/>
  <c r="K44" i="19"/>
  <c r="M44" i="19" s="1"/>
  <c r="K43" i="19"/>
  <c r="M43" i="19" s="1"/>
  <c r="K42" i="19"/>
  <c r="M42" i="19" s="1"/>
  <c r="P48" i="13"/>
  <c r="P46" i="13"/>
  <c r="E117" i="19"/>
  <c r="E56" i="19"/>
  <c r="E55" i="19"/>
  <c r="E51" i="19"/>
  <c r="E50" i="19"/>
  <c r="E49" i="19"/>
  <c r="E47" i="19"/>
  <c r="E44" i="19"/>
  <c r="E43" i="19"/>
  <c r="E42" i="19"/>
  <c r="F41" i="19"/>
  <c r="E40" i="19"/>
  <c r="B112" i="10" l="1"/>
  <c r="B115" i="10" s="1"/>
  <c r="AK12" i="5"/>
  <c r="AF12" i="5"/>
  <c r="AA12" i="5"/>
  <c r="V12" i="5"/>
  <c r="Q12" i="5"/>
  <c r="L12" i="5"/>
  <c r="G12" i="5"/>
  <c r="B12" i="5"/>
  <c r="Z107" i="3"/>
  <c r="W107" i="3"/>
  <c r="T107" i="3"/>
  <c r="Q107" i="3"/>
  <c r="N107" i="3"/>
  <c r="K107" i="3"/>
  <c r="H107" i="3"/>
  <c r="X171" i="3"/>
  <c r="X170" i="3"/>
  <c r="X169" i="3"/>
  <c r="X168" i="3"/>
  <c r="X167" i="3"/>
  <c r="X166" i="3"/>
  <c r="X165" i="3"/>
  <c r="X164" i="3"/>
  <c r="U171" i="3"/>
  <c r="U170" i="3"/>
  <c r="U169" i="3"/>
  <c r="U168" i="3"/>
  <c r="U167" i="3"/>
  <c r="U166" i="3"/>
  <c r="U165" i="3"/>
  <c r="U164" i="3"/>
  <c r="R171" i="3"/>
  <c r="R170" i="3"/>
  <c r="R169" i="3"/>
  <c r="R168" i="3"/>
  <c r="R167" i="3"/>
  <c r="R166" i="3"/>
  <c r="R165" i="3"/>
  <c r="R164" i="3"/>
  <c r="O171" i="3"/>
  <c r="O170" i="3"/>
  <c r="O169" i="3"/>
  <c r="O168" i="3"/>
  <c r="O167" i="3"/>
  <c r="O166" i="3"/>
  <c r="O165" i="3"/>
  <c r="O164" i="3"/>
  <c r="L171" i="3"/>
  <c r="L170" i="3"/>
  <c r="L169" i="3"/>
  <c r="L168" i="3"/>
  <c r="L167" i="3"/>
  <c r="L166" i="3"/>
  <c r="L165" i="3"/>
  <c r="L164" i="3"/>
  <c r="I171" i="3"/>
  <c r="I170" i="3"/>
  <c r="I169" i="3"/>
  <c r="I168" i="3"/>
  <c r="I167" i="3"/>
  <c r="I166" i="3"/>
  <c r="I165" i="3"/>
  <c r="I164" i="3"/>
  <c r="F171" i="3"/>
  <c r="F170" i="3"/>
  <c r="F169" i="3"/>
  <c r="F168" i="3"/>
  <c r="F167" i="3"/>
  <c r="F166" i="3"/>
  <c r="F165" i="3"/>
  <c r="F164" i="3"/>
  <c r="C171" i="3"/>
  <c r="C170" i="3"/>
  <c r="C169" i="3"/>
  <c r="C168" i="3"/>
  <c r="C167" i="3"/>
  <c r="C166" i="3"/>
  <c r="C165" i="3"/>
  <c r="C164" i="3"/>
  <c r="X148" i="3"/>
  <c r="X147" i="3"/>
  <c r="X146" i="3"/>
  <c r="X145" i="3"/>
  <c r="X144" i="3"/>
  <c r="X143" i="3"/>
  <c r="X142" i="3"/>
  <c r="X141" i="3"/>
  <c r="X139" i="3"/>
  <c r="U148" i="3"/>
  <c r="U147" i="3"/>
  <c r="U146" i="3"/>
  <c r="U145" i="3"/>
  <c r="U144" i="3"/>
  <c r="U143" i="3"/>
  <c r="U142" i="3"/>
  <c r="U141" i="3"/>
  <c r="U139" i="3"/>
  <c r="R148" i="3"/>
  <c r="R147" i="3"/>
  <c r="R146" i="3"/>
  <c r="R145" i="3"/>
  <c r="R144" i="3"/>
  <c r="R143" i="3"/>
  <c r="R142" i="3"/>
  <c r="R141" i="3"/>
  <c r="R139" i="3"/>
  <c r="O148" i="3"/>
  <c r="O147" i="3"/>
  <c r="O146" i="3"/>
  <c r="O145" i="3"/>
  <c r="O144" i="3"/>
  <c r="O143" i="3"/>
  <c r="O142" i="3"/>
  <c r="O141" i="3"/>
  <c r="O139" i="3"/>
  <c r="L148" i="3"/>
  <c r="L147" i="3"/>
  <c r="L146" i="3"/>
  <c r="L145" i="3"/>
  <c r="L144" i="3"/>
  <c r="L143" i="3"/>
  <c r="L142" i="3"/>
  <c r="L141" i="3"/>
  <c r="L139" i="3"/>
  <c r="I148" i="3"/>
  <c r="I147" i="3"/>
  <c r="I146" i="3"/>
  <c r="I145" i="3"/>
  <c r="I144" i="3"/>
  <c r="I143" i="3"/>
  <c r="I142" i="3"/>
  <c r="I141" i="3"/>
  <c r="I139" i="3"/>
  <c r="C148" i="3"/>
  <c r="C147" i="3"/>
  <c r="C146" i="3"/>
  <c r="C145" i="3"/>
  <c r="C144" i="3"/>
  <c r="C143" i="3"/>
  <c r="C142" i="3"/>
  <c r="C141" i="3"/>
  <c r="C139" i="3"/>
  <c r="F148" i="3"/>
  <c r="F147" i="3"/>
  <c r="F146" i="3"/>
  <c r="F145" i="3"/>
  <c r="F144" i="3"/>
  <c r="F143" i="3"/>
  <c r="F142" i="3"/>
  <c r="F141" i="3"/>
  <c r="F139" i="3"/>
  <c r="B114" i="10" l="1"/>
  <c r="B116" i="10" s="1"/>
  <c r="B117" i="10" l="1"/>
  <c r="B29" i="11"/>
  <c r="AS8" i="4" l="1"/>
  <c r="B8" i="7"/>
  <c r="B9" i="7" s="1"/>
  <c r="B10" i="7" s="1"/>
  <c r="B11" i="7" s="1"/>
  <c r="B12" i="7" s="1"/>
  <c r="B13" i="7" s="1"/>
  <c r="B14" i="7" s="1"/>
  <c r="B15" i="7" s="1"/>
  <c r="A40" i="11" l="1"/>
  <c r="M117" i="13"/>
  <c r="L117" i="13"/>
  <c r="K117" i="13"/>
  <c r="J117" i="13"/>
  <c r="M138" i="13"/>
  <c r="L138" i="13"/>
  <c r="K138" i="13"/>
  <c r="J138" i="13"/>
  <c r="O110" i="19"/>
  <c r="P110" i="19" s="1"/>
  <c r="L110" i="19"/>
  <c r="N110" i="19"/>
  <c r="J110" i="19"/>
  <c r="O111" i="19"/>
  <c r="L111" i="19"/>
  <c r="N111" i="19" s="1"/>
  <c r="J111" i="19"/>
  <c r="P53" i="13"/>
  <c r="P54" i="13" s="1"/>
  <c r="P55" i="13" s="1"/>
  <c r="P56" i="13" s="1"/>
  <c r="P57" i="13" s="1"/>
  <c r="P58" i="13" s="1"/>
  <c r="P60" i="13"/>
  <c r="P61" i="13" s="1"/>
  <c r="P62" i="13" s="1"/>
  <c r="P63" i="13" s="1"/>
  <c r="P64" i="13" s="1"/>
  <c r="P65" i="13" s="1"/>
  <c r="A38" i="19"/>
  <c r="A39" i="19"/>
  <c r="A40" i="19"/>
  <c r="A41" i="19"/>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O107" i="19"/>
  <c r="P107" i="19" s="1"/>
  <c r="O105" i="19"/>
  <c r="P105" i="19"/>
  <c r="P104" i="19"/>
  <c r="O102" i="19"/>
  <c r="O101" i="19"/>
  <c r="P101" i="19" s="1"/>
  <c r="O100" i="19"/>
  <c r="P100" i="19" s="1"/>
  <c r="O99" i="19"/>
  <c r="P99" i="19"/>
  <c r="O96" i="19"/>
  <c r="P96" i="19" s="1"/>
  <c r="O95" i="19"/>
  <c r="P95" i="19" s="1"/>
  <c r="O94" i="19"/>
  <c r="P94" i="19" s="1"/>
  <c r="O93" i="19"/>
  <c r="P93" i="19"/>
  <c r="O90" i="19"/>
  <c r="P90" i="19" s="1"/>
  <c r="O89" i="19"/>
  <c r="P89" i="19" s="1"/>
  <c r="O88" i="19"/>
  <c r="P88" i="19" s="1"/>
  <c r="O87" i="19"/>
  <c r="P87" i="19"/>
  <c r="O86" i="19"/>
  <c r="P86" i="19" s="1"/>
  <c r="O85" i="19"/>
  <c r="P85" i="19" s="1"/>
  <c r="O84" i="19"/>
  <c r="P84" i="19" s="1"/>
  <c r="O82" i="19"/>
  <c r="P82" i="19"/>
  <c r="O81" i="19"/>
  <c r="P81" i="19" s="1"/>
  <c r="O80" i="19"/>
  <c r="P80" i="19" s="1"/>
  <c r="O79" i="19"/>
  <c r="P79" i="19" s="1"/>
  <c r="O78" i="19"/>
  <c r="P78" i="19"/>
  <c r="O77" i="19"/>
  <c r="P77" i="19" s="1"/>
  <c r="O76" i="19"/>
  <c r="P76" i="19" s="1"/>
  <c r="O75" i="19"/>
  <c r="P75" i="19" s="1"/>
  <c r="O74" i="19"/>
  <c r="P74" i="19"/>
  <c r="O72" i="19"/>
  <c r="P72" i="19" s="1"/>
  <c r="O71" i="19"/>
  <c r="P71" i="19" s="1"/>
  <c r="O70" i="19"/>
  <c r="P70" i="19" s="1"/>
  <c r="O69" i="19"/>
  <c r="P69" i="19"/>
  <c r="O67" i="19"/>
  <c r="P67" i="19" s="1"/>
  <c r="O66" i="19"/>
  <c r="P66" i="19" s="1"/>
  <c r="O65" i="19"/>
  <c r="P65" i="19" s="1"/>
  <c r="O63" i="19"/>
  <c r="P63" i="19"/>
  <c r="O61" i="19"/>
  <c r="P61" i="19" s="1"/>
  <c r="O59" i="19"/>
  <c r="P59" i="19" s="1"/>
  <c r="O58" i="19"/>
  <c r="P58" i="19" s="1"/>
  <c r="O56" i="19"/>
  <c r="P56" i="19"/>
  <c r="O55" i="19"/>
  <c r="P55" i="19" s="1"/>
  <c r="O54" i="19"/>
  <c r="P54" i="19" s="1"/>
  <c r="O53" i="19"/>
  <c r="P53" i="19" s="1"/>
  <c r="O52" i="19"/>
  <c r="P52" i="19"/>
  <c r="O51" i="19"/>
  <c r="P51" i="19" s="1"/>
  <c r="O50" i="19"/>
  <c r="P50" i="19" s="1"/>
  <c r="O49" i="19"/>
  <c r="P49" i="19" s="1"/>
  <c r="O48" i="19"/>
  <c r="P48" i="19"/>
  <c r="O47" i="19"/>
  <c r="P47" i="19" s="1"/>
  <c r="O46" i="19"/>
  <c r="P46" i="19" s="1"/>
  <c r="O44" i="19"/>
  <c r="P44" i="19" s="1"/>
  <c r="O43" i="19"/>
  <c r="P43" i="19"/>
  <c r="O42" i="19"/>
  <c r="P42" i="19" s="1"/>
  <c r="O40" i="19"/>
  <c r="P40" i="19" s="1"/>
  <c r="O39" i="19"/>
  <c r="P39" i="19" s="1"/>
  <c r="O38" i="19"/>
  <c r="P38" i="19"/>
  <c r="O37" i="19"/>
  <c r="P37" i="19" s="1"/>
  <c r="L107" i="19"/>
  <c r="N107" i="19" s="1"/>
  <c r="L105" i="19"/>
  <c r="N105" i="19" s="1"/>
  <c r="L104" i="19"/>
  <c r="N104" i="19"/>
  <c r="L102" i="19"/>
  <c r="L101" i="19"/>
  <c r="N101" i="19"/>
  <c r="L100" i="19"/>
  <c r="N100" i="19"/>
  <c r="L99" i="19"/>
  <c r="N99" i="19"/>
  <c r="L96" i="19"/>
  <c r="N96" i="19" s="1"/>
  <c r="L95" i="19"/>
  <c r="N95" i="19"/>
  <c r="L94" i="19"/>
  <c r="N94" i="19"/>
  <c r="L93" i="19"/>
  <c r="N93" i="19"/>
  <c r="L90" i="19"/>
  <c r="N90" i="19" s="1"/>
  <c r="L89" i="19"/>
  <c r="N89" i="19"/>
  <c r="L88" i="19"/>
  <c r="N88" i="19"/>
  <c r="L87" i="19"/>
  <c r="N87" i="19"/>
  <c r="L86" i="19"/>
  <c r="N86" i="19" s="1"/>
  <c r="L85" i="19"/>
  <c r="N85" i="19"/>
  <c r="L84" i="19"/>
  <c r="N84" i="19"/>
  <c r="L82" i="19"/>
  <c r="N82" i="19"/>
  <c r="L81" i="19"/>
  <c r="N81" i="19" s="1"/>
  <c r="L80" i="19"/>
  <c r="N80" i="19"/>
  <c r="L79" i="19"/>
  <c r="N79" i="19"/>
  <c r="L78" i="19"/>
  <c r="N78" i="19"/>
  <c r="L77" i="19"/>
  <c r="N77" i="19" s="1"/>
  <c r="L76" i="19"/>
  <c r="N76" i="19"/>
  <c r="L75" i="19"/>
  <c r="N75" i="19"/>
  <c r="L74" i="19"/>
  <c r="N74" i="19"/>
  <c r="L72" i="19"/>
  <c r="N72" i="19" s="1"/>
  <c r="L71" i="19"/>
  <c r="N71" i="19"/>
  <c r="L70" i="19"/>
  <c r="N70" i="19"/>
  <c r="L69" i="19"/>
  <c r="N69" i="19"/>
  <c r="L67" i="19"/>
  <c r="N67" i="19" s="1"/>
  <c r="L66" i="19"/>
  <c r="N66" i="19"/>
  <c r="L65" i="19"/>
  <c r="N65" i="19"/>
  <c r="L63" i="19"/>
  <c r="N63" i="19"/>
  <c r="L61" i="19"/>
  <c r="N61" i="19" s="1"/>
  <c r="L59" i="19"/>
  <c r="N59" i="19"/>
  <c r="L58" i="19"/>
  <c r="N58" i="19"/>
  <c r="L56" i="19"/>
  <c r="N56" i="19"/>
  <c r="L55" i="19"/>
  <c r="N55" i="19" s="1"/>
  <c r="L54" i="19"/>
  <c r="N54" i="19"/>
  <c r="L53" i="19"/>
  <c r="N53" i="19"/>
  <c r="L52" i="19"/>
  <c r="N52" i="19"/>
  <c r="L51" i="19"/>
  <c r="N51" i="19" s="1"/>
  <c r="L50" i="19"/>
  <c r="N50" i="19"/>
  <c r="L49" i="19"/>
  <c r="N49" i="19"/>
  <c r="L48" i="19"/>
  <c r="N48" i="19"/>
  <c r="L47" i="19"/>
  <c r="N47" i="19" s="1"/>
  <c r="L46" i="19"/>
  <c r="N46" i="19"/>
  <c r="L44" i="19"/>
  <c r="N44" i="19"/>
  <c r="L43" i="19"/>
  <c r="N43" i="19"/>
  <c r="L42" i="19"/>
  <c r="N42" i="19" s="1"/>
  <c r="L40" i="19"/>
  <c r="N40" i="19"/>
  <c r="L39" i="19"/>
  <c r="N39" i="19"/>
  <c r="L38" i="19"/>
  <c r="N38" i="19"/>
  <c r="L37" i="19"/>
  <c r="N37" i="19" s="1"/>
  <c r="P83" i="19"/>
  <c r="O83" i="19"/>
  <c r="N83" i="19"/>
  <c r="L83" i="19"/>
  <c r="J83" i="19"/>
  <c r="I83" i="19"/>
  <c r="H83" i="19"/>
  <c r="F83" i="19"/>
  <c r="P108" i="19"/>
  <c r="N108" i="19"/>
  <c r="O120" i="19"/>
  <c r="P120" i="19"/>
  <c r="O117" i="19"/>
  <c r="P117" i="19"/>
  <c r="O114" i="19"/>
  <c r="P114" i="19" s="1"/>
  <c r="O113" i="19"/>
  <c r="P113" i="19"/>
  <c r="P111" i="19"/>
  <c r="O108" i="19"/>
  <c r="L120" i="19"/>
  <c r="N120" i="19"/>
  <c r="L117" i="19"/>
  <c r="N117" i="19" s="1"/>
  <c r="L114" i="19"/>
  <c r="N114" i="19"/>
  <c r="L113" i="19"/>
  <c r="N113" i="19"/>
  <c r="L108" i="19"/>
  <c r="J120" i="19"/>
  <c r="J117" i="19"/>
  <c r="J114" i="19"/>
  <c r="J113" i="19"/>
  <c r="J108" i="19"/>
  <c r="F108" i="19"/>
  <c r="J107" i="19"/>
  <c r="J105" i="19"/>
  <c r="J104" i="19"/>
  <c r="J102" i="19"/>
  <c r="J101" i="19"/>
  <c r="J100" i="19"/>
  <c r="J99" i="19"/>
  <c r="J96" i="19"/>
  <c r="J95" i="19"/>
  <c r="J94" i="19"/>
  <c r="J93" i="19"/>
  <c r="J90" i="19"/>
  <c r="J89" i="19"/>
  <c r="J88" i="19"/>
  <c r="J87" i="19"/>
  <c r="J86" i="19"/>
  <c r="J85" i="19"/>
  <c r="J84" i="19"/>
  <c r="J82" i="19"/>
  <c r="J81" i="19"/>
  <c r="J80" i="19"/>
  <c r="J79" i="19"/>
  <c r="J78" i="19"/>
  <c r="J77" i="19"/>
  <c r="J76" i="19"/>
  <c r="J75" i="19"/>
  <c r="J74" i="19"/>
  <c r="J72" i="19"/>
  <c r="J71" i="19"/>
  <c r="J70" i="19"/>
  <c r="J69" i="19"/>
  <c r="J67" i="19"/>
  <c r="J66" i="19"/>
  <c r="J65" i="19"/>
  <c r="J63" i="19"/>
  <c r="J61" i="19"/>
  <c r="J59" i="19"/>
  <c r="J58" i="19"/>
  <c r="J54" i="19"/>
  <c r="J56" i="19"/>
  <c r="J55" i="19"/>
  <c r="J53" i="19"/>
  <c r="J52" i="19"/>
  <c r="J51" i="19"/>
  <c r="J50" i="19"/>
  <c r="J49" i="19"/>
  <c r="J48" i="19"/>
  <c r="J47" i="19"/>
  <c r="J46" i="19"/>
  <c r="J44" i="19"/>
  <c r="J43" i="19"/>
  <c r="J42" i="19"/>
  <c r="J39" i="19"/>
  <c r="J38" i="19"/>
  <c r="J37" i="19"/>
  <c r="H120" i="19"/>
  <c r="I120" i="19" s="1"/>
  <c r="H117" i="19"/>
  <c r="I117" i="19"/>
  <c r="H114" i="19"/>
  <c r="I114" i="19"/>
  <c r="H113" i="19"/>
  <c r="I113" i="19" s="1"/>
  <c r="H111" i="19"/>
  <c r="I111" i="19" s="1"/>
  <c r="H110" i="19"/>
  <c r="I110" i="19"/>
  <c r="H108" i="19"/>
  <c r="I108" i="19"/>
  <c r="H107" i="19"/>
  <c r="I107" i="19" s="1"/>
  <c r="H105" i="19"/>
  <c r="I105" i="19" s="1"/>
  <c r="I104" i="19"/>
  <c r="H101" i="19"/>
  <c r="I101" i="19" s="1"/>
  <c r="H100" i="19"/>
  <c r="I100" i="19"/>
  <c r="H99" i="19"/>
  <c r="I99" i="19"/>
  <c r="H98" i="19"/>
  <c r="H96" i="19"/>
  <c r="I96" i="19"/>
  <c r="H95" i="19"/>
  <c r="I95" i="19"/>
  <c r="H94" i="19"/>
  <c r="I94" i="19" s="1"/>
  <c r="H93" i="19"/>
  <c r="I93" i="19" s="1"/>
  <c r="H90" i="19"/>
  <c r="I90" i="19"/>
  <c r="H89" i="19"/>
  <c r="I89" i="19"/>
  <c r="H88" i="19"/>
  <c r="I88" i="19" s="1"/>
  <c r="H87" i="19"/>
  <c r="I87" i="19" s="1"/>
  <c r="H86" i="19"/>
  <c r="I86" i="19"/>
  <c r="H85" i="19"/>
  <c r="I85" i="19"/>
  <c r="H84" i="19"/>
  <c r="I84" i="19" s="1"/>
  <c r="H82" i="19"/>
  <c r="I82" i="19" s="1"/>
  <c r="H81" i="19"/>
  <c r="I81" i="19"/>
  <c r="H80" i="19"/>
  <c r="I80" i="19"/>
  <c r="H79" i="19"/>
  <c r="I79" i="19" s="1"/>
  <c r="H78" i="19"/>
  <c r="I78" i="19" s="1"/>
  <c r="H77" i="19"/>
  <c r="I77" i="19"/>
  <c r="H76" i="19"/>
  <c r="I76" i="19"/>
  <c r="H75" i="19"/>
  <c r="I75" i="19" s="1"/>
  <c r="H74" i="19"/>
  <c r="I74" i="19" s="1"/>
  <c r="H72" i="19"/>
  <c r="I72" i="19" s="1"/>
  <c r="H71" i="19"/>
  <c r="I71" i="19"/>
  <c r="H70" i="19"/>
  <c r="I70" i="19" s="1"/>
  <c r="H69" i="19"/>
  <c r="I69" i="19" s="1"/>
  <c r="H67" i="19"/>
  <c r="I67" i="19" s="1"/>
  <c r="H66" i="19"/>
  <c r="I66" i="19"/>
  <c r="H65" i="19"/>
  <c r="I65" i="19" s="1"/>
  <c r="H39" i="19"/>
  <c r="I39" i="19" s="1"/>
  <c r="H38" i="19"/>
  <c r="I38" i="19"/>
  <c r="D83" i="19"/>
  <c r="D120" i="19"/>
  <c r="F120" i="19"/>
  <c r="D117" i="19"/>
  <c r="F117" i="19" s="1"/>
  <c r="D114" i="19"/>
  <c r="F114" i="19" s="1"/>
  <c r="D113" i="19"/>
  <c r="F113" i="19" s="1"/>
  <c r="D111" i="19"/>
  <c r="F111" i="19"/>
  <c r="D110" i="19"/>
  <c r="F110" i="19" s="1"/>
  <c r="D108" i="19"/>
  <c r="D105" i="19"/>
  <c r="F105" i="19"/>
  <c r="D104" i="19"/>
  <c r="F104" i="19" s="1"/>
  <c r="D101" i="19"/>
  <c r="F101" i="19"/>
  <c r="D100" i="19"/>
  <c r="F100" i="19"/>
  <c r="D99" i="19"/>
  <c r="F99" i="19"/>
  <c r="D98" i="19"/>
  <c r="D96" i="19"/>
  <c r="F96" i="19"/>
  <c r="D95" i="19"/>
  <c r="F95" i="19" s="1"/>
  <c r="D94" i="19"/>
  <c r="F94" i="19" s="1"/>
  <c r="D93" i="19"/>
  <c r="F93" i="19" s="1"/>
  <c r="D90" i="19"/>
  <c r="F90" i="19"/>
  <c r="D89" i="19"/>
  <c r="F89" i="19" s="1"/>
  <c r="D88" i="19"/>
  <c r="F88" i="19" s="1"/>
  <c r="D87" i="19"/>
  <c r="F87" i="19" s="1"/>
  <c r="D86" i="19"/>
  <c r="F86" i="19"/>
  <c r="D85" i="19"/>
  <c r="F85" i="19" s="1"/>
  <c r="D84" i="19"/>
  <c r="F84" i="19" s="1"/>
  <c r="D82" i="19"/>
  <c r="F82" i="19" s="1"/>
  <c r="D81" i="19"/>
  <c r="F81" i="19"/>
  <c r="D80" i="19"/>
  <c r="F80" i="19" s="1"/>
  <c r="D79" i="19"/>
  <c r="F79" i="19" s="1"/>
  <c r="D78" i="19"/>
  <c r="F78" i="19" s="1"/>
  <c r="D77" i="19"/>
  <c r="F77" i="19"/>
  <c r="D76" i="19"/>
  <c r="F76" i="19" s="1"/>
  <c r="D75" i="19"/>
  <c r="F75" i="19" s="1"/>
  <c r="D74" i="19"/>
  <c r="F74" i="19" s="1"/>
  <c r="D72" i="19"/>
  <c r="F72" i="19"/>
  <c r="D71" i="19"/>
  <c r="F71" i="19" s="1"/>
  <c r="D70" i="19"/>
  <c r="F70" i="19" s="1"/>
  <c r="D69" i="19"/>
  <c r="F69" i="19" s="1"/>
  <c r="D67" i="19"/>
  <c r="F67" i="19"/>
  <c r="D66" i="19"/>
  <c r="F66" i="19" s="1"/>
  <c r="D65" i="19"/>
  <c r="F65" i="19" s="1"/>
  <c r="D63" i="19"/>
  <c r="F63" i="19" s="1"/>
  <c r="D61" i="19"/>
  <c r="F61" i="19"/>
  <c r="D59" i="19"/>
  <c r="F59" i="19" s="1"/>
  <c r="D58" i="19"/>
  <c r="F58" i="19" s="1"/>
  <c r="D56" i="19"/>
  <c r="F56" i="19" s="1"/>
  <c r="D55" i="19"/>
  <c r="F55" i="19"/>
  <c r="D51" i="19"/>
  <c r="F51" i="19" s="1"/>
  <c r="D50" i="19"/>
  <c r="F50" i="19" s="1"/>
  <c r="D49" i="19"/>
  <c r="F49" i="19" s="1"/>
  <c r="D47" i="19"/>
  <c r="F47" i="19"/>
  <c r="D44" i="19"/>
  <c r="F44" i="19" s="1"/>
  <c r="D43" i="19"/>
  <c r="F43" i="19" s="1"/>
  <c r="D42" i="19"/>
  <c r="F42" i="19" s="1"/>
  <c r="D40" i="19"/>
  <c r="F40" i="19"/>
  <c r="D39" i="19"/>
  <c r="F39" i="19" s="1"/>
  <c r="D38" i="19"/>
  <c r="F38" i="19" s="1"/>
  <c r="N39" i="13"/>
  <c r="N89" i="13" s="1"/>
  <c r="M39" i="13"/>
  <c r="M89" i="13" s="1"/>
  <c r="L39" i="13"/>
  <c r="L89" i="13" s="1"/>
  <c r="K39" i="13"/>
  <c r="K89" i="13" s="1"/>
  <c r="C9" i="13"/>
  <c r="C6" i="13"/>
  <c r="A43" i="10"/>
  <c r="A48" i="10"/>
  <c r="A42" i="10"/>
  <c r="A47" i="10"/>
  <c r="AK3" i="5"/>
  <c r="A24" i="27" s="1"/>
  <c r="AF3" i="5"/>
  <c r="A23" i="27" s="1"/>
  <c r="AA3" i="5"/>
  <c r="A22" i="27" s="1"/>
  <c r="V3" i="5"/>
  <c r="A21" i="27" s="1"/>
  <c r="Q3" i="5"/>
  <c r="A20" i="27" s="1"/>
  <c r="Z108" i="3"/>
  <c r="W108" i="3"/>
  <c r="T108" i="3"/>
  <c r="Q108" i="3"/>
  <c r="AP114" i="4"/>
  <c r="Z4" i="4"/>
  <c r="AA4" i="4"/>
  <c r="AB4" i="4"/>
  <c r="AD4" i="4"/>
  <c r="AE4" i="4"/>
  <c r="AC4" i="4"/>
  <c r="D31" i="6"/>
  <c r="AX3" i="17"/>
  <c r="Q3" i="17"/>
  <c r="P3" i="17"/>
  <c r="J3" i="17"/>
  <c r="B3" i="17"/>
  <c r="I3" i="17"/>
  <c r="AM17" i="4"/>
  <c r="AP17" i="4"/>
  <c r="AQ5331" i="4"/>
  <c r="AQ5330" i="4"/>
  <c r="AQ5329" i="4"/>
  <c r="AQ5328" i="4"/>
  <c r="AQ5327" i="4"/>
  <c r="AQ5326" i="4"/>
  <c r="AQ5325" i="4"/>
  <c r="AQ5324" i="4"/>
  <c r="AQ5323" i="4"/>
  <c r="AQ5322" i="4"/>
  <c r="AQ5321" i="4"/>
  <c r="AQ5320" i="4"/>
  <c r="AQ5319" i="4"/>
  <c r="AQ5318" i="4"/>
  <c r="AQ5317" i="4"/>
  <c r="AQ5316" i="4"/>
  <c r="AQ5315" i="4"/>
  <c r="AQ5314" i="4"/>
  <c r="AQ5313" i="4"/>
  <c r="AQ5312" i="4"/>
  <c r="AQ5311" i="4"/>
  <c r="AQ5310" i="4"/>
  <c r="AQ5309" i="4"/>
  <c r="AQ5308" i="4"/>
  <c r="AQ5307" i="4"/>
  <c r="AQ5306" i="4"/>
  <c r="AQ5305" i="4"/>
  <c r="AQ5304" i="4"/>
  <c r="AQ5303" i="4"/>
  <c r="AQ5302" i="4"/>
  <c r="AQ5301" i="4"/>
  <c r="AQ5300" i="4"/>
  <c r="AQ5299" i="4"/>
  <c r="AQ5298" i="4"/>
  <c r="AQ5297" i="4"/>
  <c r="AQ5296" i="4"/>
  <c r="AQ5295" i="4"/>
  <c r="AQ5294" i="4"/>
  <c r="AQ5293" i="4"/>
  <c r="AQ5292" i="4"/>
  <c r="AQ5291" i="4"/>
  <c r="AQ5290" i="4"/>
  <c r="AQ5289" i="4"/>
  <c r="AQ5288" i="4"/>
  <c r="AQ5287" i="4"/>
  <c r="AQ5286" i="4"/>
  <c r="AQ5285" i="4"/>
  <c r="AQ5284" i="4"/>
  <c r="AQ5283" i="4"/>
  <c r="AQ5282" i="4"/>
  <c r="AQ5281" i="4"/>
  <c r="AQ5280" i="4"/>
  <c r="AQ5279" i="4"/>
  <c r="AQ5278" i="4"/>
  <c r="AQ5277" i="4"/>
  <c r="AQ5276" i="4"/>
  <c r="AQ5275" i="4"/>
  <c r="AQ5274" i="4"/>
  <c r="AQ5273" i="4"/>
  <c r="AQ5272" i="4"/>
  <c r="AQ5271" i="4"/>
  <c r="AQ5270" i="4"/>
  <c r="AQ5269" i="4"/>
  <c r="AQ5268" i="4"/>
  <c r="AQ5267" i="4"/>
  <c r="AQ5266" i="4"/>
  <c r="AQ5265" i="4"/>
  <c r="AQ5264" i="4"/>
  <c r="AQ5263" i="4"/>
  <c r="AQ5262" i="4"/>
  <c r="AQ5261" i="4"/>
  <c r="AQ5260" i="4"/>
  <c r="AQ5259" i="4"/>
  <c r="AQ5258" i="4"/>
  <c r="AQ5257" i="4"/>
  <c r="AQ5256" i="4"/>
  <c r="AQ5255" i="4"/>
  <c r="AQ5254" i="4"/>
  <c r="AQ5253" i="4"/>
  <c r="AQ5252" i="4"/>
  <c r="AQ5251" i="4"/>
  <c r="AQ5250" i="4"/>
  <c r="AQ5249" i="4"/>
  <c r="AQ5248" i="4"/>
  <c r="AQ5247" i="4"/>
  <c r="AQ5246" i="4"/>
  <c r="AQ5245" i="4"/>
  <c r="AQ5244" i="4"/>
  <c r="AQ5243" i="4"/>
  <c r="AQ5242" i="4"/>
  <c r="AQ5241" i="4"/>
  <c r="AQ5240" i="4"/>
  <c r="AQ5239" i="4"/>
  <c r="AQ5238" i="4"/>
  <c r="AQ5237" i="4"/>
  <c r="AQ5236" i="4"/>
  <c r="AQ5235" i="4"/>
  <c r="AQ5234" i="4"/>
  <c r="AQ5233" i="4"/>
  <c r="AQ5232" i="4"/>
  <c r="AQ5231" i="4"/>
  <c r="AQ5230" i="4"/>
  <c r="AQ5229" i="4"/>
  <c r="AQ5228" i="4"/>
  <c r="AQ5227" i="4"/>
  <c r="AQ5226" i="4"/>
  <c r="AQ5225" i="4"/>
  <c r="AQ5224" i="4"/>
  <c r="AQ5223" i="4"/>
  <c r="AQ5222" i="4"/>
  <c r="AQ5221" i="4"/>
  <c r="AQ5220" i="4"/>
  <c r="AQ5219" i="4"/>
  <c r="AQ5218" i="4"/>
  <c r="AQ5217" i="4"/>
  <c r="AQ5216" i="4"/>
  <c r="AQ5215" i="4"/>
  <c r="AQ5214" i="4"/>
  <c r="AQ5213" i="4"/>
  <c r="AQ5212" i="4"/>
  <c r="AQ5211" i="4"/>
  <c r="AQ5210" i="4"/>
  <c r="AQ5209" i="4"/>
  <c r="AQ5208" i="4"/>
  <c r="AQ5207" i="4"/>
  <c r="AQ5206" i="4"/>
  <c r="AQ5205" i="4"/>
  <c r="AQ5204" i="4"/>
  <c r="AQ5203" i="4"/>
  <c r="AQ5202" i="4"/>
  <c r="AQ5201" i="4"/>
  <c r="AQ5200" i="4"/>
  <c r="AQ5199" i="4"/>
  <c r="AQ5198" i="4"/>
  <c r="AQ5197" i="4"/>
  <c r="AQ5196" i="4"/>
  <c r="AQ5195" i="4"/>
  <c r="AQ5194" i="4"/>
  <c r="AQ5193" i="4"/>
  <c r="AQ5192" i="4"/>
  <c r="AQ5191" i="4"/>
  <c r="AQ5190" i="4"/>
  <c r="AQ5189" i="4"/>
  <c r="AQ5188" i="4"/>
  <c r="AQ5187" i="4"/>
  <c r="AQ5186" i="4"/>
  <c r="AQ5185" i="4"/>
  <c r="AQ5184" i="4"/>
  <c r="AQ5183" i="4"/>
  <c r="AQ5182" i="4"/>
  <c r="AQ5181" i="4"/>
  <c r="AQ5180" i="4"/>
  <c r="AQ5179" i="4"/>
  <c r="AQ5178" i="4"/>
  <c r="AQ5177" i="4"/>
  <c r="AQ5176" i="4"/>
  <c r="AQ5175" i="4"/>
  <c r="AQ5174" i="4"/>
  <c r="AQ5173" i="4"/>
  <c r="AQ5172" i="4"/>
  <c r="AQ5171" i="4"/>
  <c r="AQ5170" i="4"/>
  <c r="AQ5169" i="4"/>
  <c r="AQ5168" i="4"/>
  <c r="AQ5167" i="4"/>
  <c r="AQ5166" i="4"/>
  <c r="AQ5165" i="4"/>
  <c r="AQ5164" i="4"/>
  <c r="AQ5163" i="4"/>
  <c r="AQ5162" i="4"/>
  <c r="AQ5161" i="4"/>
  <c r="AQ5160" i="4"/>
  <c r="AQ5159" i="4"/>
  <c r="AQ5158" i="4"/>
  <c r="AQ5157" i="4"/>
  <c r="AQ5156" i="4"/>
  <c r="AQ5155" i="4"/>
  <c r="AQ5154" i="4"/>
  <c r="AQ5153" i="4"/>
  <c r="AQ5152" i="4"/>
  <c r="AQ5151" i="4"/>
  <c r="AQ5150" i="4"/>
  <c r="AQ5149" i="4"/>
  <c r="AQ5148" i="4"/>
  <c r="AQ5147" i="4"/>
  <c r="AQ5146" i="4"/>
  <c r="AQ5145" i="4"/>
  <c r="AQ5144" i="4"/>
  <c r="AQ5143" i="4"/>
  <c r="AQ5142" i="4"/>
  <c r="AQ5141" i="4"/>
  <c r="AQ5140" i="4"/>
  <c r="AQ5139" i="4"/>
  <c r="AQ5138" i="4"/>
  <c r="AQ5137" i="4"/>
  <c r="AQ5136" i="4"/>
  <c r="AQ5135" i="4"/>
  <c r="AQ5134" i="4"/>
  <c r="AQ5133" i="4"/>
  <c r="AQ5132" i="4"/>
  <c r="AQ5131" i="4"/>
  <c r="AQ5130" i="4"/>
  <c r="AQ5129" i="4"/>
  <c r="AQ5128" i="4"/>
  <c r="AQ5127" i="4"/>
  <c r="AQ5126" i="4"/>
  <c r="AQ5125" i="4"/>
  <c r="AQ5124" i="4"/>
  <c r="AQ5123" i="4"/>
  <c r="AQ5122" i="4"/>
  <c r="AQ5121" i="4"/>
  <c r="AQ5120" i="4"/>
  <c r="AQ5119" i="4"/>
  <c r="AQ5118" i="4"/>
  <c r="AQ5117" i="4"/>
  <c r="AQ5116" i="4"/>
  <c r="AQ5115" i="4"/>
  <c r="AQ5114" i="4"/>
  <c r="AQ5113" i="4"/>
  <c r="AQ5112" i="4"/>
  <c r="AQ5111" i="4"/>
  <c r="AQ5110" i="4"/>
  <c r="AQ5109" i="4"/>
  <c r="AQ5108" i="4"/>
  <c r="AQ5107" i="4"/>
  <c r="AQ5106" i="4"/>
  <c r="AQ5105" i="4"/>
  <c r="AQ5104" i="4"/>
  <c r="AQ5103" i="4"/>
  <c r="AQ5102" i="4"/>
  <c r="AQ5101" i="4"/>
  <c r="AQ5100" i="4"/>
  <c r="AQ5099" i="4"/>
  <c r="AQ5098" i="4"/>
  <c r="AQ5097" i="4"/>
  <c r="AQ5096" i="4"/>
  <c r="AQ5095" i="4"/>
  <c r="AQ5094" i="4"/>
  <c r="AQ5093" i="4"/>
  <c r="AQ5092" i="4"/>
  <c r="AQ5091" i="4"/>
  <c r="AQ5090" i="4"/>
  <c r="AQ5089" i="4"/>
  <c r="AQ5088" i="4"/>
  <c r="AQ5087" i="4"/>
  <c r="AQ5086" i="4"/>
  <c r="AQ5085" i="4"/>
  <c r="AQ5084" i="4"/>
  <c r="AQ5083" i="4"/>
  <c r="AQ5082" i="4"/>
  <c r="AQ5081" i="4"/>
  <c r="AQ5080" i="4"/>
  <c r="AQ5079" i="4"/>
  <c r="AQ5078" i="4"/>
  <c r="AQ5077" i="4"/>
  <c r="AQ5076" i="4"/>
  <c r="AQ5075" i="4"/>
  <c r="AQ5074" i="4"/>
  <c r="AQ5073" i="4"/>
  <c r="AQ5072" i="4"/>
  <c r="AQ5071" i="4"/>
  <c r="AQ5070" i="4"/>
  <c r="AQ5069" i="4"/>
  <c r="AQ5068" i="4"/>
  <c r="AQ5067" i="4"/>
  <c r="AQ5066" i="4"/>
  <c r="AQ5065" i="4"/>
  <c r="AQ5064" i="4"/>
  <c r="AQ5063" i="4"/>
  <c r="AQ5062" i="4"/>
  <c r="AQ5061" i="4"/>
  <c r="AQ5060" i="4"/>
  <c r="AQ5059" i="4"/>
  <c r="AQ5058" i="4"/>
  <c r="AQ5057" i="4"/>
  <c r="AQ5056" i="4"/>
  <c r="AQ5055" i="4"/>
  <c r="AQ5054" i="4"/>
  <c r="AQ5053" i="4"/>
  <c r="AQ5052" i="4"/>
  <c r="AQ5051" i="4"/>
  <c r="AQ5050" i="4"/>
  <c r="AQ5049" i="4"/>
  <c r="AQ5048" i="4"/>
  <c r="AQ5047" i="4"/>
  <c r="AQ5046" i="4"/>
  <c r="AQ5045" i="4"/>
  <c r="AQ5044" i="4"/>
  <c r="AQ5043" i="4"/>
  <c r="AQ5042" i="4"/>
  <c r="AQ5041" i="4"/>
  <c r="AQ5040" i="4"/>
  <c r="AQ5039" i="4"/>
  <c r="AQ5038" i="4"/>
  <c r="AQ5037" i="4"/>
  <c r="AQ5036" i="4"/>
  <c r="AQ5035" i="4"/>
  <c r="AQ5034" i="4"/>
  <c r="AQ5033" i="4"/>
  <c r="AQ5032" i="4"/>
  <c r="AQ5031" i="4"/>
  <c r="AQ5030" i="4"/>
  <c r="AQ5029" i="4"/>
  <c r="AQ5028" i="4"/>
  <c r="AQ5027" i="4"/>
  <c r="AQ5026" i="4"/>
  <c r="AQ5025" i="4"/>
  <c r="AQ5024" i="4"/>
  <c r="AQ5023" i="4"/>
  <c r="AQ5022" i="4"/>
  <c r="AQ5021" i="4"/>
  <c r="AQ5020" i="4"/>
  <c r="AQ5019" i="4"/>
  <c r="AQ5018" i="4"/>
  <c r="AQ5017" i="4"/>
  <c r="AQ5016" i="4"/>
  <c r="AQ5015" i="4"/>
  <c r="AQ5014" i="4"/>
  <c r="AQ5013" i="4"/>
  <c r="AQ5012" i="4"/>
  <c r="AQ5011" i="4"/>
  <c r="AQ5010" i="4"/>
  <c r="AQ5009" i="4"/>
  <c r="AQ5008" i="4"/>
  <c r="AQ5007" i="4"/>
  <c r="AQ5006" i="4"/>
  <c r="AQ5005" i="4"/>
  <c r="AQ5004" i="4"/>
  <c r="AQ5003" i="4"/>
  <c r="AQ5002" i="4"/>
  <c r="AQ5001" i="4"/>
  <c r="AQ5000" i="4"/>
  <c r="AQ4999" i="4"/>
  <c r="AQ4998" i="4"/>
  <c r="AQ4997" i="4"/>
  <c r="AQ4996" i="4"/>
  <c r="AQ4995" i="4"/>
  <c r="AQ4994" i="4"/>
  <c r="AQ4993" i="4"/>
  <c r="AQ4992" i="4"/>
  <c r="AQ4991" i="4"/>
  <c r="AQ4990" i="4"/>
  <c r="AQ4989" i="4"/>
  <c r="AQ4988" i="4"/>
  <c r="AQ4987" i="4"/>
  <c r="AQ4986" i="4"/>
  <c r="AQ4985" i="4"/>
  <c r="AQ4984" i="4"/>
  <c r="AQ4983" i="4"/>
  <c r="AQ4982" i="4"/>
  <c r="AQ4981" i="4"/>
  <c r="AQ4980" i="4"/>
  <c r="AQ4979" i="4"/>
  <c r="AQ4978" i="4"/>
  <c r="AQ4977" i="4"/>
  <c r="AQ4976" i="4"/>
  <c r="AQ4975" i="4"/>
  <c r="AQ4974" i="4"/>
  <c r="AQ4973" i="4"/>
  <c r="AQ4972" i="4"/>
  <c r="AQ4971" i="4"/>
  <c r="AQ4970" i="4"/>
  <c r="AQ4969" i="4"/>
  <c r="AQ4968" i="4"/>
  <c r="AQ4967" i="4"/>
  <c r="AQ4966" i="4"/>
  <c r="AQ4965" i="4"/>
  <c r="AQ4964" i="4"/>
  <c r="AQ4963" i="4"/>
  <c r="AQ4962" i="4"/>
  <c r="AQ4961" i="4"/>
  <c r="AQ4960" i="4"/>
  <c r="AQ4959" i="4"/>
  <c r="AQ4958" i="4"/>
  <c r="AQ4957" i="4"/>
  <c r="AQ4956" i="4"/>
  <c r="AQ4955" i="4"/>
  <c r="AQ4954" i="4"/>
  <c r="AQ4953" i="4"/>
  <c r="AQ4952" i="4"/>
  <c r="AQ4951" i="4"/>
  <c r="AQ4950" i="4"/>
  <c r="AQ4949" i="4"/>
  <c r="AQ4948" i="4"/>
  <c r="AQ4947" i="4"/>
  <c r="AQ4946" i="4"/>
  <c r="AQ4945" i="4"/>
  <c r="AQ4944" i="4"/>
  <c r="AQ4943" i="4"/>
  <c r="AQ4942" i="4"/>
  <c r="AQ4941" i="4"/>
  <c r="AQ4940" i="4"/>
  <c r="AQ4939" i="4"/>
  <c r="AQ4938" i="4"/>
  <c r="AQ4937" i="4"/>
  <c r="AQ4936" i="4"/>
  <c r="AQ4935" i="4"/>
  <c r="AQ4934" i="4"/>
  <c r="AQ4933" i="4"/>
  <c r="AQ4932" i="4"/>
  <c r="AQ4931" i="4"/>
  <c r="AQ4930" i="4"/>
  <c r="AQ4929" i="4"/>
  <c r="AQ4928" i="4"/>
  <c r="AQ4927" i="4"/>
  <c r="AQ4926" i="4"/>
  <c r="AQ4925" i="4"/>
  <c r="AQ4924" i="4"/>
  <c r="AQ4923" i="4"/>
  <c r="AQ4922" i="4"/>
  <c r="AQ4921" i="4"/>
  <c r="AQ4920" i="4"/>
  <c r="AQ4919" i="4"/>
  <c r="AQ4918" i="4"/>
  <c r="AQ4917" i="4"/>
  <c r="AQ4916" i="4"/>
  <c r="AQ4915" i="4"/>
  <c r="AQ4914" i="4"/>
  <c r="AQ4913" i="4"/>
  <c r="AQ4912" i="4"/>
  <c r="AQ4911" i="4"/>
  <c r="AQ4910" i="4"/>
  <c r="AQ4909" i="4"/>
  <c r="AQ4908" i="4"/>
  <c r="AQ4907" i="4"/>
  <c r="AQ4906" i="4"/>
  <c r="AQ4905" i="4"/>
  <c r="AQ4904" i="4"/>
  <c r="AQ4903" i="4"/>
  <c r="AQ4902" i="4"/>
  <c r="AQ4901" i="4"/>
  <c r="AQ4900" i="4"/>
  <c r="AQ4899" i="4"/>
  <c r="AQ4898" i="4"/>
  <c r="AQ4897" i="4"/>
  <c r="AQ4896" i="4"/>
  <c r="AQ4895" i="4"/>
  <c r="AQ4894" i="4"/>
  <c r="AQ4893" i="4"/>
  <c r="AQ4892" i="4"/>
  <c r="AQ4891" i="4"/>
  <c r="AQ4890" i="4"/>
  <c r="AQ4889" i="4"/>
  <c r="AQ4888" i="4"/>
  <c r="AQ4887" i="4"/>
  <c r="AQ4886" i="4"/>
  <c r="AQ4885" i="4"/>
  <c r="AQ4884" i="4"/>
  <c r="AQ4883" i="4"/>
  <c r="AQ4882" i="4"/>
  <c r="AQ4881" i="4"/>
  <c r="AQ4880" i="4"/>
  <c r="AQ4879" i="4"/>
  <c r="AQ4878" i="4"/>
  <c r="AQ4877" i="4"/>
  <c r="AQ4876" i="4"/>
  <c r="AQ4875" i="4"/>
  <c r="AQ4874" i="4"/>
  <c r="AQ4873" i="4"/>
  <c r="AQ4872" i="4"/>
  <c r="AQ4871" i="4"/>
  <c r="AQ4870" i="4"/>
  <c r="AQ4869" i="4"/>
  <c r="AQ4868" i="4"/>
  <c r="AQ4867" i="4"/>
  <c r="AQ4866" i="4"/>
  <c r="AQ4865" i="4"/>
  <c r="AQ4864" i="4"/>
  <c r="AQ4863" i="4"/>
  <c r="AQ4862" i="4"/>
  <c r="AQ4861" i="4"/>
  <c r="AQ4860" i="4"/>
  <c r="AQ4859" i="4"/>
  <c r="AQ4858" i="4"/>
  <c r="AQ4857" i="4"/>
  <c r="AQ4856" i="4"/>
  <c r="AQ4855" i="4"/>
  <c r="AQ4854" i="4"/>
  <c r="AQ4853" i="4"/>
  <c r="AQ4852" i="4"/>
  <c r="AQ4851" i="4"/>
  <c r="AQ4850" i="4"/>
  <c r="AQ4849" i="4"/>
  <c r="AQ4848" i="4"/>
  <c r="AQ4847" i="4"/>
  <c r="AQ4846" i="4"/>
  <c r="AQ4845" i="4"/>
  <c r="AQ4844" i="4"/>
  <c r="AQ4843" i="4"/>
  <c r="AQ4842" i="4"/>
  <c r="AQ4841" i="4"/>
  <c r="AQ4840" i="4"/>
  <c r="AQ4839" i="4"/>
  <c r="AQ4838" i="4"/>
  <c r="AQ4837" i="4"/>
  <c r="AQ4836" i="4"/>
  <c r="AQ4835" i="4"/>
  <c r="AQ4834" i="4"/>
  <c r="AQ4833" i="4"/>
  <c r="AQ4832" i="4"/>
  <c r="AQ4831" i="4"/>
  <c r="AQ4830" i="4"/>
  <c r="AQ4829" i="4"/>
  <c r="AQ4828" i="4"/>
  <c r="AQ4827" i="4"/>
  <c r="AQ4826" i="4"/>
  <c r="AQ4825" i="4"/>
  <c r="AQ4824" i="4"/>
  <c r="AQ4823" i="4"/>
  <c r="AQ4822" i="4"/>
  <c r="AQ4821" i="4"/>
  <c r="AQ4820" i="4"/>
  <c r="AQ4819" i="4"/>
  <c r="AQ4818" i="4"/>
  <c r="AQ4817" i="4"/>
  <c r="AQ4816" i="4"/>
  <c r="AQ4815" i="4"/>
  <c r="AQ4814" i="4"/>
  <c r="AQ4813" i="4"/>
  <c r="AQ4812" i="4"/>
  <c r="AQ4811" i="4"/>
  <c r="AQ4810" i="4"/>
  <c r="AQ4809" i="4"/>
  <c r="AQ4808" i="4"/>
  <c r="AQ4807" i="4"/>
  <c r="AQ4806" i="4"/>
  <c r="AQ4805" i="4"/>
  <c r="AQ4804" i="4"/>
  <c r="AQ4803" i="4"/>
  <c r="AQ4802" i="4"/>
  <c r="AQ4801" i="4"/>
  <c r="AQ4800" i="4"/>
  <c r="AQ4799" i="4"/>
  <c r="AQ4798" i="4"/>
  <c r="AQ4797" i="4"/>
  <c r="AQ4796" i="4"/>
  <c r="AQ4795" i="4"/>
  <c r="AQ4794" i="4"/>
  <c r="AQ4793" i="4"/>
  <c r="AQ4792" i="4"/>
  <c r="AQ4791" i="4"/>
  <c r="AQ4790" i="4"/>
  <c r="AQ4789" i="4"/>
  <c r="AQ4788" i="4"/>
  <c r="AQ4787" i="4"/>
  <c r="AQ4786" i="4"/>
  <c r="AQ4785" i="4"/>
  <c r="AQ4784" i="4"/>
  <c r="AQ4783" i="4"/>
  <c r="AQ4782" i="4"/>
  <c r="AQ4781" i="4"/>
  <c r="AQ4780" i="4"/>
  <c r="AQ4779" i="4"/>
  <c r="AQ4778" i="4"/>
  <c r="AQ4777" i="4"/>
  <c r="AQ4776" i="4"/>
  <c r="AQ4775" i="4"/>
  <c r="AQ4774" i="4"/>
  <c r="AQ4773" i="4"/>
  <c r="AQ4772" i="4"/>
  <c r="AQ4771" i="4"/>
  <c r="AQ4770" i="4"/>
  <c r="AQ4769" i="4"/>
  <c r="AQ4768" i="4"/>
  <c r="AQ4767" i="4"/>
  <c r="AQ4766" i="4"/>
  <c r="AQ4765" i="4"/>
  <c r="AQ4764" i="4"/>
  <c r="AQ4763" i="4"/>
  <c r="AQ4762" i="4"/>
  <c r="AQ4761" i="4"/>
  <c r="AQ4760" i="4"/>
  <c r="AQ4759" i="4"/>
  <c r="AQ4758" i="4"/>
  <c r="AQ4757" i="4"/>
  <c r="AQ4756" i="4"/>
  <c r="AQ4755" i="4"/>
  <c r="AQ4754" i="4"/>
  <c r="AQ4753" i="4"/>
  <c r="AQ4752" i="4"/>
  <c r="AQ4751" i="4"/>
  <c r="AQ4750" i="4"/>
  <c r="AQ4749" i="4"/>
  <c r="AQ4748" i="4"/>
  <c r="AQ4747" i="4"/>
  <c r="AQ4746" i="4"/>
  <c r="AQ4745" i="4"/>
  <c r="AQ4744" i="4"/>
  <c r="AQ4743" i="4"/>
  <c r="AQ4742" i="4"/>
  <c r="AQ4741" i="4"/>
  <c r="AQ4740" i="4"/>
  <c r="AQ4739" i="4"/>
  <c r="AQ4738" i="4"/>
  <c r="AQ4737" i="4"/>
  <c r="AQ4736" i="4"/>
  <c r="AQ4735" i="4"/>
  <c r="AQ4734" i="4"/>
  <c r="AQ4733" i="4"/>
  <c r="AQ4732" i="4"/>
  <c r="AQ4731" i="4"/>
  <c r="AQ4730" i="4"/>
  <c r="AQ4729" i="4"/>
  <c r="AQ4728" i="4"/>
  <c r="AQ4727" i="4"/>
  <c r="AQ4726" i="4"/>
  <c r="AQ4725" i="4"/>
  <c r="AQ4724" i="4"/>
  <c r="AQ4723" i="4"/>
  <c r="AQ4722" i="4"/>
  <c r="AQ4721" i="4"/>
  <c r="AQ4720" i="4"/>
  <c r="AQ4719" i="4"/>
  <c r="AQ4718" i="4"/>
  <c r="AQ4717" i="4"/>
  <c r="AQ4716" i="4"/>
  <c r="AQ4715" i="4"/>
  <c r="AQ4714" i="4"/>
  <c r="AQ4713" i="4"/>
  <c r="AQ4712" i="4"/>
  <c r="AQ4711" i="4"/>
  <c r="AQ4710" i="4"/>
  <c r="AQ4709" i="4"/>
  <c r="AQ4708" i="4"/>
  <c r="AQ4707" i="4"/>
  <c r="AQ4706" i="4"/>
  <c r="AQ4705" i="4"/>
  <c r="AQ4704" i="4"/>
  <c r="AQ4703" i="4"/>
  <c r="AQ4702" i="4"/>
  <c r="AQ4701" i="4"/>
  <c r="AQ4700" i="4"/>
  <c r="AQ4699" i="4"/>
  <c r="AQ4698" i="4"/>
  <c r="AQ4697" i="4"/>
  <c r="AQ4696" i="4"/>
  <c r="AQ4695" i="4"/>
  <c r="AQ4694" i="4"/>
  <c r="AQ4693" i="4"/>
  <c r="AQ4692" i="4"/>
  <c r="AQ4691" i="4"/>
  <c r="AQ4690" i="4"/>
  <c r="AQ4689" i="4"/>
  <c r="AQ4688" i="4"/>
  <c r="AQ4687" i="4"/>
  <c r="AQ4686" i="4"/>
  <c r="AQ4685" i="4"/>
  <c r="AQ4684" i="4"/>
  <c r="AQ4683" i="4"/>
  <c r="AQ4682" i="4"/>
  <c r="AQ4681" i="4"/>
  <c r="AQ4680" i="4"/>
  <c r="AQ4679" i="4"/>
  <c r="AQ4678" i="4"/>
  <c r="AQ4677" i="4"/>
  <c r="AQ4676" i="4"/>
  <c r="AQ4675" i="4"/>
  <c r="AQ4674" i="4"/>
  <c r="AQ4673" i="4"/>
  <c r="AQ4672" i="4"/>
  <c r="AQ4671" i="4"/>
  <c r="AQ4670" i="4"/>
  <c r="AQ4669" i="4"/>
  <c r="AQ4668" i="4"/>
  <c r="AQ4667" i="4"/>
  <c r="AQ4666" i="4"/>
  <c r="AQ4665" i="4"/>
  <c r="AQ4664" i="4"/>
  <c r="AQ4663" i="4"/>
  <c r="AQ4662" i="4"/>
  <c r="AQ4661" i="4"/>
  <c r="AQ4660" i="4"/>
  <c r="AQ4659" i="4"/>
  <c r="AQ4658" i="4"/>
  <c r="AQ4657" i="4"/>
  <c r="AQ4656" i="4"/>
  <c r="AQ4655" i="4"/>
  <c r="AQ4654" i="4"/>
  <c r="AQ4653" i="4"/>
  <c r="AQ4652" i="4"/>
  <c r="AQ4651" i="4"/>
  <c r="AQ4650" i="4"/>
  <c r="AQ4649" i="4"/>
  <c r="AQ4648" i="4"/>
  <c r="AQ4647" i="4"/>
  <c r="AQ4646" i="4"/>
  <c r="AQ4645" i="4"/>
  <c r="AQ4644" i="4"/>
  <c r="AQ4643" i="4"/>
  <c r="AQ4642" i="4"/>
  <c r="AQ4641" i="4"/>
  <c r="AQ4640" i="4"/>
  <c r="AQ4639" i="4"/>
  <c r="AQ4638" i="4"/>
  <c r="AQ4637" i="4"/>
  <c r="AQ4636" i="4"/>
  <c r="AQ4635" i="4"/>
  <c r="AQ4634" i="4"/>
  <c r="AQ4633" i="4"/>
  <c r="AQ4632" i="4"/>
  <c r="AQ4631" i="4"/>
  <c r="AQ4630" i="4"/>
  <c r="AQ4629" i="4"/>
  <c r="AQ4628" i="4"/>
  <c r="AQ4627" i="4"/>
  <c r="AQ4626" i="4"/>
  <c r="AQ4625" i="4"/>
  <c r="AQ4624" i="4"/>
  <c r="AQ4623" i="4"/>
  <c r="AQ4622" i="4"/>
  <c r="AQ4621" i="4"/>
  <c r="AQ4620" i="4"/>
  <c r="AQ4619" i="4"/>
  <c r="AQ4618" i="4"/>
  <c r="AQ4617" i="4"/>
  <c r="AQ4616" i="4"/>
  <c r="AQ4615" i="4"/>
  <c r="AQ4614" i="4"/>
  <c r="AQ4613" i="4"/>
  <c r="AQ4612" i="4"/>
  <c r="AQ4611" i="4"/>
  <c r="AQ4610" i="4"/>
  <c r="AQ4609" i="4"/>
  <c r="AQ4608" i="4"/>
  <c r="AQ4607" i="4"/>
  <c r="AQ4606" i="4"/>
  <c r="AQ4605" i="4"/>
  <c r="AQ4604" i="4"/>
  <c r="AQ4603" i="4"/>
  <c r="AQ4602" i="4"/>
  <c r="AQ4601" i="4"/>
  <c r="AQ4600" i="4"/>
  <c r="AQ4599" i="4"/>
  <c r="AQ4598" i="4"/>
  <c r="AQ4597" i="4"/>
  <c r="AQ4596" i="4"/>
  <c r="AQ4595" i="4"/>
  <c r="AQ4594" i="4"/>
  <c r="AQ4593" i="4"/>
  <c r="AQ4592" i="4"/>
  <c r="AQ4591" i="4"/>
  <c r="AQ4590" i="4"/>
  <c r="AQ4589" i="4"/>
  <c r="AQ4588" i="4"/>
  <c r="AQ4587" i="4"/>
  <c r="AQ4586" i="4"/>
  <c r="AQ4585" i="4"/>
  <c r="AQ4584" i="4"/>
  <c r="AQ4583" i="4"/>
  <c r="AQ4582" i="4"/>
  <c r="AQ4581" i="4"/>
  <c r="AQ4580" i="4"/>
  <c r="AQ4579" i="4"/>
  <c r="AQ4578" i="4"/>
  <c r="AQ4577" i="4"/>
  <c r="AQ4576" i="4"/>
  <c r="AQ4575" i="4"/>
  <c r="AQ4574" i="4"/>
  <c r="AQ4573" i="4"/>
  <c r="AQ4572" i="4"/>
  <c r="AQ4571" i="4"/>
  <c r="AQ4570" i="4"/>
  <c r="AQ4569" i="4"/>
  <c r="AQ4568" i="4"/>
  <c r="AQ4567" i="4"/>
  <c r="AQ4566" i="4"/>
  <c r="AQ4565" i="4"/>
  <c r="AQ4564" i="4"/>
  <c r="AQ4563" i="4"/>
  <c r="AQ4562" i="4"/>
  <c r="AQ4561" i="4"/>
  <c r="AQ4560" i="4"/>
  <c r="AQ4559" i="4"/>
  <c r="AQ4558" i="4"/>
  <c r="AQ4557" i="4"/>
  <c r="AQ4556" i="4"/>
  <c r="AQ4555" i="4"/>
  <c r="AQ4554" i="4"/>
  <c r="AQ4553" i="4"/>
  <c r="AQ4552" i="4"/>
  <c r="AQ4551" i="4"/>
  <c r="AQ4550" i="4"/>
  <c r="AQ4549" i="4"/>
  <c r="AQ4548" i="4"/>
  <c r="AQ4547" i="4"/>
  <c r="AQ4546" i="4"/>
  <c r="AQ4545" i="4"/>
  <c r="AQ4544" i="4"/>
  <c r="AQ4543" i="4"/>
  <c r="AQ4542" i="4"/>
  <c r="AQ4541" i="4"/>
  <c r="AQ4540" i="4"/>
  <c r="AQ4539" i="4"/>
  <c r="AQ4538" i="4"/>
  <c r="AQ4537" i="4"/>
  <c r="AQ4536" i="4"/>
  <c r="AQ4535" i="4"/>
  <c r="AQ4534" i="4"/>
  <c r="AQ4533" i="4"/>
  <c r="AQ4532" i="4"/>
  <c r="AQ4531" i="4"/>
  <c r="AQ4530" i="4"/>
  <c r="AQ4529" i="4"/>
  <c r="AQ4528" i="4"/>
  <c r="AQ4527" i="4"/>
  <c r="AQ4526" i="4"/>
  <c r="AQ4525" i="4"/>
  <c r="AQ4524" i="4"/>
  <c r="AQ4523" i="4"/>
  <c r="AQ4522" i="4"/>
  <c r="AQ4521" i="4"/>
  <c r="AQ4520" i="4"/>
  <c r="AQ4519" i="4"/>
  <c r="AQ4518" i="4"/>
  <c r="AQ4517" i="4"/>
  <c r="AQ4516" i="4"/>
  <c r="AQ4515" i="4"/>
  <c r="AQ4514" i="4"/>
  <c r="AQ4513" i="4"/>
  <c r="AQ4512" i="4"/>
  <c r="AQ4511" i="4"/>
  <c r="AQ4510" i="4"/>
  <c r="AQ4509" i="4"/>
  <c r="AQ4508" i="4"/>
  <c r="AQ4507" i="4"/>
  <c r="AQ4506" i="4"/>
  <c r="AQ4505" i="4"/>
  <c r="AQ4504" i="4"/>
  <c r="AQ4503" i="4"/>
  <c r="AQ4502" i="4"/>
  <c r="AQ4501" i="4"/>
  <c r="AQ4500" i="4"/>
  <c r="AQ4499" i="4"/>
  <c r="AQ4498" i="4"/>
  <c r="AQ4497" i="4"/>
  <c r="AQ4496" i="4"/>
  <c r="AQ4495" i="4"/>
  <c r="AQ4494" i="4"/>
  <c r="AQ4493" i="4"/>
  <c r="AQ4492" i="4"/>
  <c r="AQ4491" i="4"/>
  <c r="AQ4490" i="4"/>
  <c r="AQ4489" i="4"/>
  <c r="AQ4488" i="4"/>
  <c r="AQ4487" i="4"/>
  <c r="AQ4486" i="4"/>
  <c r="AQ4485" i="4"/>
  <c r="AQ4484" i="4"/>
  <c r="AQ4483" i="4"/>
  <c r="AQ4482" i="4"/>
  <c r="AQ4481" i="4"/>
  <c r="AQ4480" i="4"/>
  <c r="AQ4479" i="4"/>
  <c r="AQ4478" i="4"/>
  <c r="AQ4477" i="4"/>
  <c r="AQ4476" i="4"/>
  <c r="AQ4475" i="4"/>
  <c r="AQ4474" i="4"/>
  <c r="AQ4473" i="4"/>
  <c r="AQ4472" i="4"/>
  <c r="AQ4471" i="4"/>
  <c r="AQ4470" i="4"/>
  <c r="AQ4469" i="4"/>
  <c r="AQ4468" i="4"/>
  <c r="AQ4467" i="4"/>
  <c r="AQ4466" i="4"/>
  <c r="AQ4465" i="4"/>
  <c r="AQ4464" i="4"/>
  <c r="AQ4463" i="4"/>
  <c r="AQ4462" i="4"/>
  <c r="AQ4461" i="4"/>
  <c r="AQ4460" i="4"/>
  <c r="AQ4459" i="4"/>
  <c r="AQ4458" i="4"/>
  <c r="AQ4457" i="4"/>
  <c r="AQ4456" i="4"/>
  <c r="AQ4455" i="4"/>
  <c r="AQ4454" i="4"/>
  <c r="AQ4453" i="4"/>
  <c r="AQ4452" i="4"/>
  <c r="AQ4451" i="4"/>
  <c r="AQ4450" i="4"/>
  <c r="AQ4449" i="4"/>
  <c r="AQ4448" i="4"/>
  <c r="AQ4447" i="4"/>
  <c r="AQ4446" i="4"/>
  <c r="AQ4445" i="4"/>
  <c r="AQ4444" i="4"/>
  <c r="AQ4443" i="4"/>
  <c r="AQ4442" i="4"/>
  <c r="AQ4441" i="4"/>
  <c r="AQ4440" i="4"/>
  <c r="AQ4439" i="4"/>
  <c r="AQ4438" i="4"/>
  <c r="AQ4437" i="4"/>
  <c r="AQ4436" i="4"/>
  <c r="AQ4435" i="4"/>
  <c r="AQ4434" i="4"/>
  <c r="AQ4433" i="4"/>
  <c r="AQ4432" i="4"/>
  <c r="AQ4431" i="4"/>
  <c r="AQ4430" i="4"/>
  <c r="AQ4429" i="4"/>
  <c r="AQ4428" i="4"/>
  <c r="AQ4427" i="4"/>
  <c r="AQ4426" i="4"/>
  <c r="AQ4425" i="4"/>
  <c r="AQ4424" i="4"/>
  <c r="AQ4423" i="4"/>
  <c r="AQ4422" i="4"/>
  <c r="AQ4421" i="4"/>
  <c r="AQ4420" i="4"/>
  <c r="AQ4419" i="4"/>
  <c r="AQ4418" i="4"/>
  <c r="AQ4417" i="4"/>
  <c r="AQ4416" i="4"/>
  <c r="AQ4415" i="4"/>
  <c r="AQ4414" i="4"/>
  <c r="AQ4413" i="4"/>
  <c r="AQ4412" i="4"/>
  <c r="AQ4411" i="4"/>
  <c r="AQ4410" i="4"/>
  <c r="AQ4409" i="4"/>
  <c r="AQ4408" i="4"/>
  <c r="AQ4407" i="4"/>
  <c r="AQ4406" i="4"/>
  <c r="AQ4405" i="4"/>
  <c r="AQ4404" i="4"/>
  <c r="AQ4403" i="4"/>
  <c r="AQ4402" i="4"/>
  <c r="AQ4401" i="4"/>
  <c r="AQ4400" i="4"/>
  <c r="AQ4399" i="4"/>
  <c r="AQ4398" i="4"/>
  <c r="AQ4397" i="4"/>
  <c r="AQ4396" i="4"/>
  <c r="AQ4395" i="4"/>
  <c r="AQ4394" i="4"/>
  <c r="AQ4393" i="4"/>
  <c r="AQ4392" i="4"/>
  <c r="AQ4391" i="4"/>
  <c r="AQ4390" i="4"/>
  <c r="AQ4389" i="4"/>
  <c r="AQ4388" i="4"/>
  <c r="AQ4387" i="4"/>
  <c r="AQ4386" i="4"/>
  <c r="AQ4385" i="4"/>
  <c r="AQ4384" i="4"/>
  <c r="AQ4383" i="4"/>
  <c r="AQ4382" i="4"/>
  <c r="AQ4381" i="4"/>
  <c r="AQ4380" i="4"/>
  <c r="AQ4379" i="4"/>
  <c r="AQ4378" i="4"/>
  <c r="AQ4377" i="4"/>
  <c r="AQ4376" i="4"/>
  <c r="AQ4375" i="4"/>
  <c r="AQ4374" i="4"/>
  <c r="AQ4373" i="4"/>
  <c r="AQ4372" i="4"/>
  <c r="AQ4371" i="4"/>
  <c r="AQ4370" i="4"/>
  <c r="AQ4369" i="4"/>
  <c r="AQ4368" i="4"/>
  <c r="AQ4367" i="4"/>
  <c r="AQ4366" i="4"/>
  <c r="AQ4365" i="4"/>
  <c r="AQ4364" i="4"/>
  <c r="AQ4363" i="4"/>
  <c r="AQ4362" i="4"/>
  <c r="AQ4361" i="4"/>
  <c r="AQ4360" i="4"/>
  <c r="AQ4359" i="4"/>
  <c r="AQ4358" i="4"/>
  <c r="AQ4357" i="4"/>
  <c r="AQ4356" i="4"/>
  <c r="AQ4355" i="4"/>
  <c r="AQ4354" i="4"/>
  <c r="AQ4353" i="4"/>
  <c r="AQ4352" i="4"/>
  <c r="AQ4351" i="4"/>
  <c r="AQ4350" i="4"/>
  <c r="AQ4349" i="4"/>
  <c r="AQ4348" i="4"/>
  <c r="AQ4347" i="4"/>
  <c r="AQ4346" i="4"/>
  <c r="AQ4345" i="4"/>
  <c r="AQ4344" i="4"/>
  <c r="AQ4343" i="4"/>
  <c r="AQ4342" i="4"/>
  <c r="AQ4341" i="4"/>
  <c r="AQ4340" i="4"/>
  <c r="AQ4339" i="4"/>
  <c r="AQ4338" i="4"/>
  <c r="AQ4337" i="4"/>
  <c r="AQ4336" i="4"/>
  <c r="AQ4335" i="4"/>
  <c r="AQ4334" i="4"/>
  <c r="AQ4333" i="4"/>
  <c r="AQ4332" i="4"/>
  <c r="AQ4331" i="4"/>
  <c r="AQ4330" i="4"/>
  <c r="AQ4329" i="4"/>
  <c r="AQ4328" i="4"/>
  <c r="AQ4327" i="4"/>
  <c r="AQ4326" i="4"/>
  <c r="AQ4325" i="4"/>
  <c r="AQ4324" i="4"/>
  <c r="AQ4323" i="4"/>
  <c r="AQ4322" i="4"/>
  <c r="AQ4321" i="4"/>
  <c r="AQ4320" i="4"/>
  <c r="AQ4319" i="4"/>
  <c r="AQ4318" i="4"/>
  <c r="AQ4317" i="4"/>
  <c r="AQ4316" i="4"/>
  <c r="AQ4315" i="4"/>
  <c r="AQ4314" i="4"/>
  <c r="AQ4313" i="4"/>
  <c r="AQ4312" i="4"/>
  <c r="AQ4311" i="4"/>
  <c r="AQ4310" i="4"/>
  <c r="AQ4309" i="4"/>
  <c r="AQ4308" i="4"/>
  <c r="AQ4307" i="4"/>
  <c r="AQ4306" i="4"/>
  <c r="AQ4305" i="4"/>
  <c r="AQ4304" i="4"/>
  <c r="AQ4303" i="4"/>
  <c r="AQ4302" i="4"/>
  <c r="AQ4301" i="4"/>
  <c r="AQ4300" i="4"/>
  <c r="AQ4299" i="4"/>
  <c r="AQ4298" i="4"/>
  <c r="AQ4297" i="4"/>
  <c r="AQ4296" i="4"/>
  <c r="AQ4295" i="4"/>
  <c r="AQ4294" i="4"/>
  <c r="AQ4293" i="4"/>
  <c r="AQ4292" i="4"/>
  <c r="AQ4291" i="4"/>
  <c r="AQ4290" i="4"/>
  <c r="AQ4289" i="4"/>
  <c r="AQ4288" i="4"/>
  <c r="AQ4287" i="4"/>
  <c r="AQ4286" i="4"/>
  <c r="AQ4285" i="4"/>
  <c r="AQ4284" i="4"/>
  <c r="AQ4283" i="4"/>
  <c r="AQ4282" i="4"/>
  <c r="AQ4281" i="4"/>
  <c r="AQ4280" i="4"/>
  <c r="AQ4279" i="4"/>
  <c r="AQ4278" i="4"/>
  <c r="AQ4277" i="4"/>
  <c r="AQ4276" i="4"/>
  <c r="AQ4275" i="4"/>
  <c r="AQ4274" i="4"/>
  <c r="AQ4273" i="4"/>
  <c r="AQ4272" i="4"/>
  <c r="AQ4271" i="4"/>
  <c r="AQ4270" i="4"/>
  <c r="AQ4269" i="4"/>
  <c r="AQ4268" i="4"/>
  <c r="AQ4267" i="4"/>
  <c r="AQ4266" i="4"/>
  <c r="AQ4265" i="4"/>
  <c r="AQ4264" i="4"/>
  <c r="AQ4263" i="4"/>
  <c r="AQ4262" i="4"/>
  <c r="AQ4261" i="4"/>
  <c r="AQ4260" i="4"/>
  <c r="AQ4259" i="4"/>
  <c r="AQ4258" i="4"/>
  <c r="AQ4257" i="4"/>
  <c r="AQ4256" i="4"/>
  <c r="AQ4255" i="4"/>
  <c r="AQ4254" i="4"/>
  <c r="AQ4253" i="4"/>
  <c r="AQ4252" i="4"/>
  <c r="AQ4251" i="4"/>
  <c r="AQ4250" i="4"/>
  <c r="AQ4249" i="4"/>
  <c r="AQ4248" i="4"/>
  <c r="AQ4247" i="4"/>
  <c r="AQ4246" i="4"/>
  <c r="AQ4245" i="4"/>
  <c r="AQ4244" i="4"/>
  <c r="AQ4243" i="4"/>
  <c r="AQ4242" i="4"/>
  <c r="AQ4241" i="4"/>
  <c r="AQ4240" i="4"/>
  <c r="AQ4239" i="4"/>
  <c r="AQ4238" i="4"/>
  <c r="AQ4237" i="4"/>
  <c r="AQ4236" i="4"/>
  <c r="AQ4235" i="4"/>
  <c r="AQ4234" i="4"/>
  <c r="AQ4233" i="4"/>
  <c r="AQ4232" i="4"/>
  <c r="AQ4231" i="4"/>
  <c r="AQ4230" i="4"/>
  <c r="AQ4229" i="4"/>
  <c r="AQ4228" i="4"/>
  <c r="AQ4227" i="4"/>
  <c r="AQ4226" i="4"/>
  <c r="AQ4225" i="4"/>
  <c r="AQ4224" i="4"/>
  <c r="AQ4223" i="4"/>
  <c r="AQ4222" i="4"/>
  <c r="AQ4221" i="4"/>
  <c r="AQ4220" i="4"/>
  <c r="AQ4219" i="4"/>
  <c r="AQ4218" i="4"/>
  <c r="AQ4217" i="4"/>
  <c r="AQ4216" i="4"/>
  <c r="AQ4215" i="4"/>
  <c r="AQ4214" i="4"/>
  <c r="AQ4213" i="4"/>
  <c r="AQ4212" i="4"/>
  <c r="AQ4211" i="4"/>
  <c r="AQ4210" i="4"/>
  <c r="AQ4209" i="4"/>
  <c r="AQ4208" i="4"/>
  <c r="AQ4207" i="4"/>
  <c r="AQ4206" i="4"/>
  <c r="AQ4205" i="4"/>
  <c r="AQ4204" i="4"/>
  <c r="AQ4203" i="4"/>
  <c r="AQ4202" i="4"/>
  <c r="AQ4201" i="4"/>
  <c r="AQ4200" i="4"/>
  <c r="AQ4199" i="4"/>
  <c r="AQ4198" i="4"/>
  <c r="AQ4197" i="4"/>
  <c r="AQ4196" i="4"/>
  <c r="AQ4195" i="4"/>
  <c r="AQ4194" i="4"/>
  <c r="AQ4193" i="4"/>
  <c r="AQ4192" i="4"/>
  <c r="AQ4191" i="4"/>
  <c r="AQ4190" i="4"/>
  <c r="AQ4189" i="4"/>
  <c r="AQ4188" i="4"/>
  <c r="AQ4187" i="4"/>
  <c r="AQ4186" i="4"/>
  <c r="AQ4185" i="4"/>
  <c r="AQ4184" i="4"/>
  <c r="AQ4183" i="4"/>
  <c r="AQ4182" i="4"/>
  <c r="AQ4181" i="4"/>
  <c r="AQ4180" i="4"/>
  <c r="AQ4179" i="4"/>
  <c r="AQ4178" i="4"/>
  <c r="AQ4177" i="4"/>
  <c r="AQ4176" i="4"/>
  <c r="AQ4175" i="4"/>
  <c r="AQ4174" i="4"/>
  <c r="AQ4173" i="4"/>
  <c r="AQ4172" i="4"/>
  <c r="AQ4171" i="4"/>
  <c r="AQ4170" i="4"/>
  <c r="AQ4169" i="4"/>
  <c r="AQ4168" i="4"/>
  <c r="AQ4167" i="4"/>
  <c r="AQ4166" i="4"/>
  <c r="AQ4165" i="4"/>
  <c r="AQ4164" i="4"/>
  <c r="AQ4163" i="4"/>
  <c r="AQ4162" i="4"/>
  <c r="AQ4161" i="4"/>
  <c r="AQ4160" i="4"/>
  <c r="AQ4159" i="4"/>
  <c r="AQ4158" i="4"/>
  <c r="AQ4157" i="4"/>
  <c r="AQ4156" i="4"/>
  <c r="AQ4155" i="4"/>
  <c r="AQ4154" i="4"/>
  <c r="AQ4153" i="4"/>
  <c r="AQ4152" i="4"/>
  <c r="AQ4151" i="4"/>
  <c r="AQ4150" i="4"/>
  <c r="AQ4149" i="4"/>
  <c r="AQ4148" i="4"/>
  <c r="AQ4147" i="4"/>
  <c r="AQ4146" i="4"/>
  <c r="AQ4145" i="4"/>
  <c r="AQ4144" i="4"/>
  <c r="AQ4143" i="4"/>
  <c r="AQ4142" i="4"/>
  <c r="AQ4141" i="4"/>
  <c r="AQ4140" i="4"/>
  <c r="AQ4139" i="4"/>
  <c r="AQ4138" i="4"/>
  <c r="AQ4137" i="4"/>
  <c r="AQ4136" i="4"/>
  <c r="AQ4135" i="4"/>
  <c r="AQ4134" i="4"/>
  <c r="AQ4133" i="4"/>
  <c r="AQ4132" i="4"/>
  <c r="AQ4131" i="4"/>
  <c r="AQ4130" i="4"/>
  <c r="AQ4129" i="4"/>
  <c r="AQ4128" i="4"/>
  <c r="AQ4127" i="4"/>
  <c r="AQ4126" i="4"/>
  <c r="AQ4125" i="4"/>
  <c r="AQ4124" i="4"/>
  <c r="AQ4123" i="4"/>
  <c r="AQ4122" i="4"/>
  <c r="AQ4121" i="4"/>
  <c r="AQ4120" i="4"/>
  <c r="AQ4119" i="4"/>
  <c r="AQ4118" i="4"/>
  <c r="AQ4117" i="4"/>
  <c r="AQ4116" i="4"/>
  <c r="AQ4115" i="4"/>
  <c r="AQ4114" i="4"/>
  <c r="AQ4113" i="4"/>
  <c r="AQ4112" i="4"/>
  <c r="AQ4111" i="4"/>
  <c r="AQ4110" i="4"/>
  <c r="AQ4109" i="4"/>
  <c r="AQ4108" i="4"/>
  <c r="AQ4107" i="4"/>
  <c r="AQ4106" i="4"/>
  <c r="AQ4105" i="4"/>
  <c r="AQ4104" i="4"/>
  <c r="AQ4103" i="4"/>
  <c r="AQ4102" i="4"/>
  <c r="AQ4101" i="4"/>
  <c r="AQ4100" i="4"/>
  <c r="AQ4099" i="4"/>
  <c r="AQ4098" i="4"/>
  <c r="AQ4097" i="4"/>
  <c r="AQ4096" i="4"/>
  <c r="AQ4095" i="4"/>
  <c r="AQ4094" i="4"/>
  <c r="AQ4093" i="4"/>
  <c r="AQ4092" i="4"/>
  <c r="AQ4091" i="4"/>
  <c r="AQ4090" i="4"/>
  <c r="AQ4089" i="4"/>
  <c r="AQ4088" i="4"/>
  <c r="AQ4087" i="4"/>
  <c r="AQ4086" i="4"/>
  <c r="AQ4085" i="4"/>
  <c r="AQ4084" i="4"/>
  <c r="AQ4083" i="4"/>
  <c r="AQ4082" i="4"/>
  <c r="AQ4081" i="4"/>
  <c r="AQ4080" i="4"/>
  <c r="AQ4079" i="4"/>
  <c r="AQ4078" i="4"/>
  <c r="AQ4077" i="4"/>
  <c r="AQ4076" i="4"/>
  <c r="AQ4075" i="4"/>
  <c r="AQ4074" i="4"/>
  <c r="AQ4073" i="4"/>
  <c r="AQ4072" i="4"/>
  <c r="AQ4071" i="4"/>
  <c r="AQ4070" i="4"/>
  <c r="AQ4069" i="4"/>
  <c r="AQ4068" i="4"/>
  <c r="AQ4067" i="4"/>
  <c r="AQ4066" i="4"/>
  <c r="AQ4065" i="4"/>
  <c r="AQ4064" i="4"/>
  <c r="AQ4063" i="4"/>
  <c r="AQ4062" i="4"/>
  <c r="AQ4061" i="4"/>
  <c r="AQ4060" i="4"/>
  <c r="AQ4059" i="4"/>
  <c r="AQ4058" i="4"/>
  <c r="AQ4057" i="4"/>
  <c r="AQ4056" i="4"/>
  <c r="AQ4055" i="4"/>
  <c r="AQ4054" i="4"/>
  <c r="AQ4053" i="4"/>
  <c r="AQ4052" i="4"/>
  <c r="AQ4051" i="4"/>
  <c r="AQ4050" i="4"/>
  <c r="AQ4049" i="4"/>
  <c r="AQ4048" i="4"/>
  <c r="AQ4047" i="4"/>
  <c r="AQ4046" i="4"/>
  <c r="AQ4045" i="4"/>
  <c r="AQ4044" i="4"/>
  <c r="AQ4043" i="4"/>
  <c r="AQ4042" i="4"/>
  <c r="AQ4041" i="4"/>
  <c r="AQ4040" i="4"/>
  <c r="AQ4039" i="4"/>
  <c r="AQ4038" i="4"/>
  <c r="AQ4037" i="4"/>
  <c r="AQ4036" i="4"/>
  <c r="AQ4035" i="4"/>
  <c r="AQ4034" i="4"/>
  <c r="AQ4033" i="4"/>
  <c r="AQ4032" i="4"/>
  <c r="AQ4031" i="4"/>
  <c r="AQ4030" i="4"/>
  <c r="AQ4029" i="4"/>
  <c r="AQ4028" i="4"/>
  <c r="AQ4027" i="4"/>
  <c r="AQ4026" i="4"/>
  <c r="AQ4025" i="4"/>
  <c r="AQ4024" i="4"/>
  <c r="AQ4023" i="4"/>
  <c r="AQ4022" i="4"/>
  <c r="AQ4021" i="4"/>
  <c r="AQ4020" i="4"/>
  <c r="AQ4019" i="4"/>
  <c r="AQ4018" i="4"/>
  <c r="AQ4017" i="4"/>
  <c r="AQ4016" i="4"/>
  <c r="AQ4015" i="4"/>
  <c r="AQ4014" i="4"/>
  <c r="AQ4013" i="4"/>
  <c r="AQ4012" i="4"/>
  <c r="AQ4011" i="4"/>
  <c r="AQ4010" i="4"/>
  <c r="AQ4009" i="4"/>
  <c r="AQ4008" i="4"/>
  <c r="AQ4007" i="4"/>
  <c r="AQ4006" i="4"/>
  <c r="AQ4005" i="4"/>
  <c r="AQ4004" i="4"/>
  <c r="AQ4003" i="4"/>
  <c r="AQ4002" i="4"/>
  <c r="AQ4001" i="4"/>
  <c r="AQ4000" i="4"/>
  <c r="AQ3999" i="4"/>
  <c r="AQ3998" i="4"/>
  <c r="AQ3997" i="4"/>
  <c r="AQ3996" i="4"/>
  <c r="AQ3995" i="4"/>
  <c r="AQ3994" i="4"/>
  <c r="AQ3993" i="4"/>
  <c r="AQ3992" i="4"/>
  <c r="AQ3991" i="4"/>
  <c r="AQ3990" i="4"/>
  <c r="AQ3989" i="4"/>
  <c r="AQ3988" i="4"/>
  <c r="AQ3987" i="4"/>
  <c r="AQ3986" i="4"/>
  <c r="AQ3985" i="4"/>
  <c r="AQ3984" i="4"/>
  <c r="AQ3983" i="4"/>
  <c r="AQ3982" i="4"/>
  <c r="AQ3981" i="4"/>
  <c r="AQ3980" i="4"/>
  <c r="AQ3979" i="4"/>
  <c r="AQ3978" i="4"/>
  <c r="AQ3977" i="4"/>
  <c r="AQ3976" i="4"/>
  <c r="AQ3975" i="4"/>
  <c r="AQ3974" i="4"/>
  <c r="AQ3973" i="4"/>
  <c r="AQ3972" i="4"/>
  <c r="AQ3971" i="4"/>
  <c r="AQ3970" i="4"/>
  <c r="AQ3969" i="4"/>
  <c r="AQ3968" i="4"/>
  <c r="AQ3967" i="4"/>
  <c r="AQ3966" i="4"/>
  <c r="AQ3965" i="4"/>
  <c r="AQ3964" i="4"/>
  <c r="AQ3963" i="4"/>
  <c r="AQ3962" i="4"/>
  <c r="AQ3961" i="4"/>
  <c r="AQ3960" i="4"/>
  <c r="AQ3959" i="4"/>
  <c r="AQ3958" i="4"/>
  <c r="AQ3957" i="4"/>
  <c r="AQ3956" i="4"/>
  <c r="AQ3955" i="4"/>
  <c r="AQ3954" i="4"/>
  <c r="AQ3953" i="4"/>
  <c r="AQ3952" i="4"/>
  <c r="AQ3951" i="4"/>
  <c r="AQ3950" i="4"/>
  <c r="AQ3949" i="4"/>
  <c r="AQ3948" i="4"/>
  <c r="AQ3947" i="4"/>
  <c r="AQ3946" i="4"/>
  <c r="AQ3945" i="4"/>
  <c r="AQ3944" i="4"/>
  <c r="AQ3943" i="4"/>
  <c r="AQ3942" i="4"/>
  <c r="AQ3941" i="4"/>
  <c r="AQ3940" i="4"/>
  <c r="AQ3939" i="4"/>
  <c r="AQ3938" i="4"/>
  <c r="AQ3937" i="4"/>
  <c r="AQ3936" i="4"/>
  <c r="AQ3935" i="4"/>
  <c r="AQ3934" i="4"/>
  <c r="AQ3933" i="4"/>
  <c r="AQ3932" i="4"/>
  <c r="AQ3931" i="4"/>
  <c r="AQ3930" i="4"/>
  <c r="AQ3929" i="4"/>
  <c r="AQ3928" i="4"/>
  <c r="AQ3927" i="4"/>
  <c r="AQ3926" i="4"/>
  <c r="AQ3925" i="4"/>
  <c r="AQ3924" i="4"/>
  <c r="AQ3923" i="4"/>
  <c r="AQ3922" i="4"/>
  <c r="AQ3921" i="4"/>
  <c r="AQ3920" i="4"/>
  <c r="AQ3919" i="4"/>
  <c r="AQ3918" i="4"/>
  <c r="AQ3917" i="4"/>
  <c r="AQ3916" i="4"/>
  <c r="AQ3915" i="4"/>
  <c r="AQ3914" i="4"/>
  <c r="AQ3913" i="4"/>
  <c r="AQ3912" i="4"/>
  <c r="AQ3911" i="4"/>
  <c r="AQ3910" i="4"/>
  <c r="AQ3909" i="4"/>
  <c r="AQ3908" i="4"/>
  <c r="AQ3907" i="4"/>
  <c r="AQ3906" i="4"/>
  <c r="AQ3905" i="4"/>
  <c r="AQ3904" i="4"/>
  <c r="AQ3903" i="4"/>
  <c r="AQ3902" i="4"/>
  <c r="AQ3901" i="4"/>
  <c r="AQ3900" i="4"/>
  <c r="AQ3899" i="4"/>
  <c r="AQ3898" i="4"/>
  <c r="AQ3897" i="4"/>
  <c r="AQ3896" i="4"/>
  <c r="AQ3895" i="4"/>
  <c r="AQ3894" i="4"/>
  <c r="AQ3893" i="4"/>
  <c r="AQ3892" i="4"/>
  <c r="AQ3891" i="4"/>
  <c r="AQ3890" i="4"/>
  <c r="AQ3889" i="4"/>
  <c r="AQ3888" i="4"/>
  <c r="AQ3887" i="4"/>
  <c r="AQ3886" i="4"/>
  <c r="AQ3885" i="4"/>
  <c r="AQ3884" i="4"/>
  <c r="AQ3883" i="4"/>
  <c r="AQ3882" i="4"/>
  <c r="AQ3881" i="4"/>
  <c r="AQ3880" i="4"/>
  <c r="AQ3879" i="4"/>
  <c r="AQ3878" i="4"/>
  <c r="AQ3877" i="4"/>
  <c r="AQ3876" i="4"/>
  <c r="AQ3875" i="4"/>
  <c r="AQ3874" i="4"/>
  <c r="AQ3873" i="4"/>
  <c r="AQ3872" i="4"/>
  <c r="AQ3871" i="4"/>
  <c r="AQ3870" i="4"/>
  <c r="AQ3869" i="4"/>
  <c r="AQ3868" i="4"/>
  <c r="AQ3867" i="4"/>
  <c r="AQ3866" i="4"/>
  <c r="AQ3865" i="4"/>
  <c r="AQ3864" i="4"/>
  <c r="AQ3863" i="4"/>
  <c r="AQ3862" i="4"/>
  <c r="AQ3861" i="4"/>
  <c r="AQ3860" i="4"/>
  <c r="AQ3859" i="4"/>
  <c r="AQ3858" i="4"/>
  <c r="AQ3857" i="4"/>
  <c r="AQ3856" i="4"/>
  <c r="AQ3855" i="4"/>
  <c r="AQ3854" i="4"/>
  <c r="AQ3853" i="4"/>
  <c r="AQ3852" i="4"/>
  <c r="AQ3851" i="4"/>
  <c r="AQ3850" i="4"/>
  <c r="AQ3849" i="4"/>
  <c r="AQ3848" i="4"/>
  <c r="AQ3847" i="4"/>
  <c r="AQ3846" i="4"/>
  <c r="AQ3845" i="4"/>
  <c r="AQ3844" i="4"/>
  <c r="AQ3843" i="4"/>
  <c r="AQ3842" i="4"/>
  <c r="AQ3841" i="4"/>
  <c r="AQ3840" i="4"/>
  <c r="AQ3839" i="4"/>
  <c r="AQ3838" i="4"/>
  <c r="AQ3837" i="4"/>
  <c r="AQ3836" i="4"/>
  <c r="AQ3835" i="4"/>
  <c r="AQ3834" i="4"/>
  <c r="AQ3833" i="4"/>
  <c r="AQ3832" i="4"/>
  <c r="AQ3831" i="4"/>
  <c r="AQ3830" i="4"/>
  <c r="AQ3829" i="4"/>
  <c r="AQ3828" i="4"/>
  <c r="AQ3827" i="4"/>
  <c r="AQ3826" i="4"/>
  <c r="AQ3825" i="4"/>
  <c r="AQ3824" i="4"/>
  <c r="AQ3823" i="4"/>
  <c r="AQ3822" i="4"/>
  <c r="AQ3821" i="4"/>
  <c r="AQ3820" i="4"/>
  <c r="AQ3819" i="4"/>
  <c r="AQ3818" i="4"/>
  <c r="AQ3817" i="4"/>
  <c r="AQ3816" i="4"/>
  <c r="AQ3815" i="4"/>
  <c r="AQ3814" i="4"/>
  <c r="AQ3813" i="4"/>
  <c r="AQ3812" i="4"/>
  <c r="AQ3811" i="4"/>
  <c r="AQ3810" i="4"/>
  <c r="AQ3809" i="4"/>
  <c r="AQ3808" i="4"/>
  <c r="AQ3807" i="4"/>
  <c r="AQ3806" i="4"/>
  <c r="AQ3805" i="4"/>
  <c r="AQ3804" i="4"/>
  <c r="AQ3803" i="4"/>
  <c r="AQ3802" i="4"/>
  <c r="AQ3801" i="4"/>
  <c r="AQ3800" i="4"/>
  <c r="AQ3799" i="4"/>
  <c r="AQ3798" i="4"/>
  <c r="AQ3797" i="4"/>
  <c r="AQ3796" i="4"/>
  <c r="AQ3795" i="4"/>
  <c r="AQ3794" i="4"/>
  <c r="AQ3793" i="4"/>
  <c r="AQ3792" i="4"/>
  <c r="AQ3791" i="4"/>
  <c r="AQ3790" i="4"/>
  <c r="AQ3789" i="4"/>
  <c r="AQ3788" i="4"/>
  <c r="AQ3787" i="4"/>
  <c r="AQ3786" i="4"/>
  <c r="AQ3785" i="4"/>
  <c r="AQ3784" i="4"/>
  <c r="AQ3783" i="4"/>
  <c r="AQ3782" i="4"/>
  <c r="AQ3781" i="4"/>
  <c r="AQ3780" i="4"/>
  <c r="AQ3779" i="4"/>
  <c r="AQ3778" i="4"/>
  <c r="AQ3777" i="4"/>
  <c r="AQ3776" i="4"/>
  <c r="AQ3775" i="4"/>
  <c r="AQ3774" i="4"/>
  <c r="AQ3773" i="4"/>
  <c r="AQ3772" i="4"/>
  <c r="AQ3771" i="4"/>
  <c r="AQ3770" i="4"/>
  <c r="AQ3769" i="4"/>
  <c r="AQ3768" i="4"/>
  <c r="AQ3767" i="4"/>
  <c r="AQ3766" i="4"/>
  <c r="AQ3765" i="4"/>
  <c r="AQ3764" i="4"/>
  <c r="AQ3763" i="4"/>
  <c r="AQ3762" i="4"/>
  <c r="AQ3761" i="4"/>
  <c r="AQ3760" i="4"/>
  <c r="AQ3759" i="4"/>
  <c r="AQ3758" i="4"/>
  <c r="AQ3757" i="4"/>
  <c r="AQ3756" i="4"/>
  <c r="AQ3755" i="4"/>
  <c r="AQ3754" i="4"/>
  <c r="AQ3753" i="4"/>
  <c r="AQ3752" i="4"/>
  <c r="AQ3751" i="4"/>
  <c r="AQ3750" i="4"/>
  <c r="AQ3749" i="4"/>
  <c r="AQ3748" i="4"/>
  <c r="AQ3747" i="4"/>
  <c r="AQ3746" i="4"/>
  <c r="AQ3745" i="4"/>
  <c r="AQ3744" i="4"/>
  <c r="AQ3743" i="4"/>
  <c r="AQ3742" i="4"/>
  <c r="AQ3741" i="4"/>
  <c r="AQ3740" i="4"/>
  <c r="AQ3739" i="4"/>
  <c r="AQ3738" i="4"/>
  <c r="AQ3737" i="4"/>
  <c r="AQ3736" i="4"/>
  <c r="AQ3735" i="4"/>
  <c r="AQ3734" i="4"/>
  <c r="AQ3733" i="4"/>
  <c r="AQ3732" i="4"/>
  <c r="AQ3731" i="4"/>
  <c r="AQ3730" i="4"/>
  <c r="AQ3729" i="4"/>
  <c r="AQ3728" i="4"/>
  <c r="AQ3727" i="4"/>
  <c r="AQ3726" i="4"/>
  <c r="AQ3725" i="4"/>
  <c r="AQ3724" i="4"/>
  <c r="AQ3723" i="4"/>
  <c r="AQ3722" i="4"/>
  <c r="AQ3721" i="4"/>
  <c r="AQ3720" i="4"/>
  <c r="AQ3719" i="4"/>
  <c r="AQ3718" i="4"/>
  <c r="AQ3717" i="4"/>
  <c r="AQ3716" i="4"/>
  <c r="AQ3715" i="4"/>
  <c r="AQ3714" i="4"/>
  <c r="AQ3713" i="4"/>
  <c r="AQ3712" i="4"/>
  <c r="AQ3711" i="4"/>
  <c r="AQ3710" i="4"/>
  <c r="AQ3709" i="4"/>
  <c r="AQ3708" i="4"/>
  <c r="AQ3707" i="4"/>
  <c r="AQ3706" i="4"/>
  <c r="AQ3705" i="4"/>
  <c r="AQ3704" i="4"/>
  <c r="AQ3703" i="4"/>
  <c r="AQ3702" i="4"/>
  <c r="AQ3701" i="4"/>
  <c r="AQ3700" i="4"/>
  <c r="AQ3699" i="4"/>
  <c r="AQ3698" i="4"/>
  <c r="AQ3697" i="4"/>
  <c r="AQ3696" i="4"/>
  <c r="AQ3695" i="4"/>
  <c r="AQ3694" i="4"/>
  <c r="AQ3693" i="4"/>
  <c r="AQ3692" i="4"/>
  <c r="AQ3691" i="4"/>
  <c r="AQ3690" i="4"/>
  <c r="AQ3689" i="4"/>
  <c r="AQ3688" i="4"/>
  <c r="AQ3687" i="4"/>
  <c r="AQ3686" i="4"/>
  <c r="AQ3685" i="4"/>
  <c r="AQ3684" i="4"/>
  <c r="AQ3683" i="4"/>
  <c r="AQ3682" i="4"/>
  <c r="AQ3681" i="4"/>
  <c r="AQ3680" i="4"/>
  <c r="AQ3679" i="4"/>
  <c r="AQ3678" i="4"/>
  <c r="AQ3677" i="4"/>
  <c r="AQ3676" i="4"/>
  <c r="AQ3675" i="4"/>
  <c r="AQ3674" i="4"/>
  <c r="AQ3673" i="4"/>
  <c r="AQ3672" i="4"/>
  <c r="AQ3671" i="4"/>
  <c r="AQ3670" i="4"/>
  <c r="AQ3669" i="4"/>
  <c r="AQ3668" i="4"/>
  <c r="AQ3667" i="4"/>
  <c r="AQ3666" i="4"/>
  <c r="AQ3665" i="4"/>
  <c r="AQ3664" i="4"/>
  <c r="AQ3663" i="4"/>
  <c r="AQ3662" i="4"/>
  <c r="AQ3661" i="4"/>
  <c r="AQ3660" i="4"/>
  <c r="AQ3659" i="4"/>
  <c r="AQ3658" i="4"/>
  <c r="AQ3657" i="4"/>
  <c r="AQ3656" i="4"/>
  <c r="AQ3655" i="4"/>
  <c r="AQ3654" i="4"/>
  <c r="AQ3653" i="4"/>
  <c r="AQ3652" i="4"/>
  <c r="AQ3651" i="4"/>
  <c r="AQ3650" i="4"/>
  <c r="AQ3649" i="4"/>
  <c r="AQ3648" i="4"/>
  <c r="AQ3647" i="4"/>
  <c r="AQ3646" i="4"/>
  <c r="AQ3645" i="4"/>
  <c r="AQ3644" i="4"/>
  <c r="AQ3643" i="4"/>
  <c r="AQ3642" i="4"/>
  <c r="AQ3641" i="4"/>
  <c r="AQ3640" i="4"/>
  <c r="AQ3639" i="4"/>
  <c r="AQ3638" i="4"/>
  <c r="AQ3637" i="4"/>
  <c r="AQ3636" i="4"/>
  <c r="AQ3635" i="4"/>
  <c r="AQ3634" i="4"/>
  <c r="AQ3633" i="4"/>
  <c r="AQ3632" i="4"/>
  <c r="AQ3631" i="4"/>
  <c r="AQ3630" i="4"/>
  <c r="AQ3629" i="4"/>
  <c r="AQ3628" i="4"/>
  <c r="AQ3627" i="4"/>
  <c r="AQ3626" i="4"/>
  <c r="AQ3625" i="4"/>
  <c r="AQ3624" i="4"/>
  <c r="AQ3623" i="4"/>
  <c r="AQ3622" i="4"/>
  <c r="AQ3621" i="4"/>
  <c r="AQ3620" i="4"/>
  <c r="AQ3619" i="4"/>
  <c r="AQ3618" i="4"/>
  <c r="AQ3617" i="4"/>
  <c r="AQ3616" i="4"/>
  <c r="AQ3615" i="4"/>
  <c r="AQ3614" i="4"/>
  <c r="AQ3613" i="4"/>
  <c r="AQ3612" i="4"/>
  <c r="AQ3611" i="4"/>
  <c r="AQ3610" i="4"/>
  <c r="AQ3609" i="4"/>
  <c r="AQ3608" i="4"/>
  <c r="AQ3607" i="4"/>
  <c r="AQ3606" i="4"/>
  <c r="AQ3605" i="4"/>
  <c r="AQ3604" i="4"/>
  <c r="AQ3603" i="4"/>
  <c r="AQ3602" i="4"/>
  <c r="AQ3601" i="4"/>
  <c r="AQ3600" i="4"/>
  <c r="AQ3599" i="4"/>
  <c r="AQ3598" i="4"/>
  <c r="AQ3597" i="4"/>
  <c r="AQ3596" i="4"/>
  <c r="AQ3595" i="4"/>
  <c r="AQ3594" i="4"/>
  <c r="AQ3593" i="4"/>
  <c r="AQ3592" i="4"/>
  <c r="AQ3591" i="4"/>
  <c r="AQ3590" i="4"/>
  <c r="AQ3589" i="4"/>
  <c r="AQ3588" i="4"/>
  <c r="AQ3587" i="4"/>
  <c r="AQ3586" i="4"/>
  <c r="AQ3585" i="4"/>
  <c r="AQ3584" i="4"/>
  <c r="AQ3583" i="4"/>
  <c r="AQ3582" i="4"/>
  <c r="AQ3581" i="4"/>
  <c r="AQ3580" i="4"/>
  <c r="AQ3579" i="4"/>
  <c r="AQ3578" i="4"/>
  <c r="AQ3577" i="4"/>
  <c r="AQ3576" i="4"/>
  <c r="AQ3575" i="4"/>
  <c r="AQ3574" i="4"/>
  <c r="AQ3573" i="4"/>
  <c r="AQ3572" i="4"/>
  <c r="AQ3571" i="4"/>
  <c r="AQ3570" i="4"/>
  <c r="AQ3569" i="4"/>
  <c r="AQ3568" i="4"/>
  <c r="AQ3567" i="4"/>
  <c r="AQ3566" i="4"/>
  <c r="AQ3565" i="4"/>
  <c r="AQ3564" i="4"/>
  <c r="AQ3563" i="4"/>
  <c r="AQ3562" i="4"/>
  <c r="AQ3561" i="4"/>
  <c r="AQ3560" i="4"/>
  <c r="AQ3559" i="4"/>
  <c r="AQ3558" i="4"/>
  <c r="AQ3557" i="4"/>
  <c r="AQ3556" i="4"/>
  <c r="AQ3555" i="4"/>
  <c r="AQ3554" i="4"/>
  <c r="AQ3553" i="4"/>
  <c r="AQ3552" i="4"/>
  <c r="AQ3551" i="4"/>
  <c r="AQ3550" i="4"/>
  <c r="AQ3549" i="4"/>
  <c r="AQ3548" i="4"/>
  <c r="AQ3547" i="4"/>
  <c r="AQ3546" i="4"/>
  <c r="AQ3545" i="4"/>
  <c r="AQ3544" i="4"/>
  <c r="AQ3543" i="4"/>
  <c r="AQ3542" i="4"/>
  <c r="AQ3541" i="4"/>
  <c r="AQ3540" i="4"/>
  <c r="AQ3539" i="4"/>
  <c r="AQ3538" i="4"/>
  <c r="AQ3537" i="4"/>
  <c r="AQ3536" i="4"/>
  <c r="AQ3535" i="4"/>
  <c r="AQ3534" i="4"/>
  <c r="AQ3533" i="4"/>
  <c r="AQ3532" i="4"/>
  <c r="AQ3531" i="4"/>
  <c r="AQ3530" i="4"/>
  <c r="AQ3529" i="4"/>
  <c r="AQ3528" i="4"/>
  <c r="AQ3527" i="4"/>
  <c r="AQ3526" i="4"/>
  <c r="AQ3525" i="4"/>
  <c r="AQ3524" i="4"/>
  <c r="AQ3523" i="4"/>
  <c r="AQ3522" i="4"/>
  <c r="AQ3521" i="4"/>
  <c r="AQ3520" i="4"/>
  <c r="AQ3519" i="4"/>
  <c r="AQ3518" i="4"/>
  <c r="AQ3517" i="4"/>
  <c r="AQ3516" i="4"/>
  <c r="AQ3515" i="4"/>
  <c r="AQ3514" i="4"/>
  <c r="AQ3513" i="4"/>
  <c r="AQ3512" i="4"/>
  <c r="AQ3511" i="4"/>
  <c r="AQ3510" i="4"/>
  <c r="AQ3509" i="4"/>
  <c r="AQ3508" i="4"/>
  <c r="AQ3507" i="4"/>
  <c r="AQ3506" i="4"/>
  <c r="AQ3505" i="4"/>
  <c r="AQ3504" i="4"/>
  <c r="AQ3503" i="4"/>
  <c r="AQ3502" i="4"/>
  <c r="AQ3501" i="4"/>
  <c r="AQ3500" i="4"/>
  <c r="AQ3499" i="4"/>
  <c r="AQ3498" i="4"/>
  <c r="AQ3497" i="4"/>
  <c r="AQ3496" i="4"/>
  <c r="AQ3495" i="4"/>
  <c r="AQ3494" i="4"/>
  <c r="AQ3493" i="4"/>
  <c r="AQ3492" i="4"/>
  <c r="AQ3491" i="4"/>
  <c r="AQ3490" i="4"/>
  <c r="AQ3489" i="4"/>
  <c r="AQ3488" i="4"/>
  <c r="AQ3487" i="4"/>
  <c r="AQ3486" i="4"/>
  <c r="AQ3485" i="4"/>
  <c r="AQ3484" i="4"/>
  <c r="AQ3483" i="4"/>
  <c r="AQ3482" i="4"/>
  <c r="AQ3481" i="4"/>
  <c r="AQ3480" i="4"/>
  <c r="AQ3479" i="4"/>
  <c r="AQ3478" i="4"/>
  <c r="AQ3477" i="4"/>
  <c r="AQ3476" i="4"/>
  <c r="AQ3475" i="4"/>
  <c r="AQ3474" i="4"/>
  <c r="AQ3473" i="4"/>
  <c r="AQ3472" i="4"/>
  <c r="AQ3471" i="4"/>
  <c r="AQ3470" i="4"/>
  <c r="AQ3469" i="4"/>
  <c r="AQ3468" i="4"/>
  <c r="AQ3467" i="4"/>
  <c r="AQ3466" i="4"/>
  <c r="AQ3465" i="4"/>
  <c r="AQ3464" i="4"/>
  <c r="AQ3463" i="4"/>
  <c r="AQ3462" i="4"/>
  <c r="AQ3461" i="4"/>
  <c r="AQ3460" i="4"/>
  <c r="AQ3459" i="4"/>
  <c r="AQ3458" i="4"/>
  <c r="AQ3457" i="4"/>
  <c r="AQ3456" i="4"/>
  <c r="AQ3455" i="4"/>
  <c r="AQ3454" i="4"/>
  <c r="AQ3453" i="4"/>
  <c r="AQ3452" i="4"/>
  <c r="AQ3451" i="4"/>
  <c r="AQ3450" i="4"/>
  <c r="AQ3449" i="4"/>
  <c r="AQ3448" i="4"/>
  <c r="AQ3447" i="4"/>
  <c r="AQ3446" i="4"/>
  <c r="AQ3445" i="4"/>
  <c r="AQ3444" i="4"/>
  <c r="AQ3443" i="4"/>
  <c r="AQ3442" i="4"/>
  <c r="AQ3441" i="4"/>
  <c r="AQ3440" i="4"/>
  <c r="AQ3439" i="4"/>
  <c r="AQ3438" i="4"/>
  <c r="AQ3437" i="4"/>
  <c r="AQ3436" i="4"/>
  <c r="AQ3435" i="4"/>
  <c r="AQ3434" i="4"/>
  <c r="AQ3433" i="4"/>
  <c r="AQ3432" i="4"/>
  <c r="AQ3431" i="4"/>
  <c r="AQ3430" i="4"/>
  <c r="AQ3429" i="4"/>
  <c r="AQ3428" i="4"/>
  <c r="AQ3427" i="4"/>
  <c r="AQ3426" i="4"/>
  <c r="AQ3425" i="4"/>
  <c r="AQ3424" i="4"/>
  <c r="AQ3423" i="4"/>
  <c r="AQ3422" i="4"/>
  <c r="AQ3421" i="4"/>
  <c r="AQ3420" i="4"/>
  <c r="AQ3419" i="4"/>
  <c r="AQ3418" i="4"/>
  <c r="AQ3417" i="4"/>
  <c r="AQ3416" i="4"/>
  <c r="AQ3415" i="4"/>
  <c r="AQ3414" i="4"/>
  <c r="AQ3413" i="4"/>
  <c r="AQ3412" i="4"/>
  <c r="AQ3411" i="4"/>
  <c r="AQ3410" i="4"/>
  <c r="AQ3409" i="4"/>
  <c r="AQ3408" i="4"/>
  <c r="AQ3407" i="4"/>
  <c r="AQ3406" i="4"/>
  <c r="AQ3405" i="4"/>
  <c r="AQ3404" i="4"/>
  <c r="AQ3403" i="4"/>
  <c r="AQ3402" i="4"/>
  <c r="AQ3401" i="4"/>
  <c r="AQ3400" i="4"/>
  <c r="AQ3399" i="4"/>
  <c r="AQ3398" i="4"/>
  <c r="AQ3397" i="4"/>
  <c r="AQ3396" i="4"/>
  <c r="AQ3395" i="4"/>
  <c r="AQ3394" i="4"/>
  <c r="AQ3393" i="4"/>
  <c r="AQ3392" i="4"/>
  <c r="AQ3391" i="4"/>
  <c r="AQ3390" i="4"/>
  <c r="AQ3389" i="4"/>
  <c r="AQ3388" i="4"/>
  <c r="AQ3387" i="4"/>
  <c r="AQ3386" i="4"/>
  <c r="AQ3385" i="4"/>
  <c r="AQ3384" i="4"/>
  <c r="AQ3383" i="4"/>
  <c r="AQ3382" i="4"/>
  <c r="AQ3381" i="4"/>
  <c r="AQ3380" i="4"/>
  <c r="AQ3379" i="4"/>
  <c r="AQ3378" i="4"/>
  <c r="AQ3377" i="4"/>
  <c r="AQ3376" i="4"/>
  <c r="AQ3375" i="4"/>
  <c r="AQ3374" i="4"/>
  <c r="AQ3373" i="4"/>
  <c r="AQ3372" i="4"/>
  <c r="AQ3371" i="4"/>
  <c r="AQ3370" i="4"/>
  <c r="AQ3369" i="4"/>
  <c r="AQ3368" i="4"/>
  <c r="AQ3367" i="4"/>
  <c r="AQ3366" i="4"/>
  <c r="AQ3365" i="4"/>
  <c r="AQ3364" i="4"/>
  <c r="AQ3363" i="4"/>
  <c r="AQ3362" i="4"/>
  <c r="AQ3361" i="4"/>
  <c r="AQ3360" i="4"/>
  <c r="AQ3359" i="4"/>
  <c r="AQ3358" i="4"/>
  <c r="AQ3357" i="4"/>
  <c r="AQ3356" i="4"/>
  <c r="AQ3355" i="4"/>
  <c r="AQ3354" i="4"/>
  <c r="AQ3353" i="4"/>
  <c r="AQ3352" i="4"/>
  <c r="AQ3351" i="4"/>
  <c r="AQ3350" i="4"/>
  <c r="AQ3349" i="4"/>
  <c r="AQ3348" i="4"/>
  <c r="AQ3347" i="4"/>
  <c r="AQ3346" i="4"/>
  <c r="AQ3345" i="4"/>
  <c r="AQ3344" i="4"/>
  <c r="AQ3343" i="4"/>
  <c r="AQ3342" i="4"/>
  <c r="AQ3341" i="4"/>
  <c r="AQ3340" i="4"/>
  <c r="AQ3339" i="4"/>
  <c r="AQ3338" i="4"/>
  <c r="AQ3337" i="4"/>
  <c r="AQ3336" i="4"/>
  <c r="AQ3335" i="4"/>
  <c r="AQ3334" i="4"/>
  <c r="AQ3333" i="4"/>
  <c r="AQ3332" i="4"/>
  <c r="AQ3331" i="4"/>
  <c r="AQ3330" i="4"/>
  <c r="AQ3329" i="4"/>
  <c r="AQ3328" i="4"/>
  <c r="AQ3327" i="4"/>
  <c r="AQ3326" i="4"/>
  <c r="AQ3325" i="4"/>
  <c r="AQ3324" i="4"/>
  <c r="AQ3323" i="4"/>
  <c r="AQ3322" i="4"/>
  <c r="AQ3321" i="4"/>
  <c r="AQ3320" i="4"/>
  <c r="AQ3319" i="4"/>
  <c r="AQ3318" i="4"/>
  <c r="AQ3317" i="4"/>
  <c r="AQ3316" i="4"/>
  <c r="AQ3315" i="4"/>
  <c r="AQ3314" i="4"/>
  <c r="AQ3313" i="4"/>
  <c r="AQ3312" i="4"/>
  <c r="AQ3311" i="4"/>
  <c r="AQ3310" i="4"/>
  <c r="AQ3309" i="4"/>
  <c r="AQ3308" i="4"/>
  <c r="AQ3307" i="4"/>
  <c r="AQ3306" i="4"/>
  <c r="AQ3305" i="4"/>
  <c r="AQ3304" i="4"/>
  <c r="AQ3303" i="4"/>
  <c r="AQ3302" i="4"/>
  <c r="AQ3301" i="4"/>
  <c r="AQ3300" i="4"/>
  <c r="AQ3299" i="4"/>
  <c r="AQ3298" i="4"/>
  <c r="AQ3297" i="4"/>
  <c r="AQ3296" i="4"/>
  <c r="AQ3295" i="4"/>
  <c r="AQ3294" i="4"/>
  <c r="AQ3293" i="4"/>
  <c r="AQ3292" i="4"/>
  <c r="AQ3291" i="4"/>
  <c r="AQ3290" i="4"/>
  <c r="AQ3289" i="4"/>
  <c r="AQ3288" i="4"/>
  <c r="AQ3287" i="4"/>
  <c r="AQ3286" i="4"/>
  <c r="AQ3285" i="4"/>
  <c r="AQ3284" i="4"/>
  <c r="AQ3283" i="4"/>
  <c r="AQ3282" i="4"/>
  <c r="AQ3281" i="4"/>
  <c r="AQ3280" i="4"/>
  <c r="AQ3279" i="4"/>
  <c r="AQ3278" i="4"/>
  <c r="AQ3277" i="4"/>
  <c r="AQ3276" i="4"/>
  <c r="AQ3275" i="4"/>
  <c r="AQ3274" i="4"/>
  <c r="AQ3273" i="4"/>
  <c r="AQ3272" i="4"/>
  <c r="AQ3271" i="4"/>
  <c r="AQ3270" i="4"/>
  <c r="AQ3269" i="4"/>
  <c r="AQ3268" i="4"/>
  <c r="AQ3267" i="4"/>
  <c r="AQ3266" i="4"/>
  <c r="AQ3265" i="4"/>
  <c r="AQ3264" i="4"/>
  <c r="AQ3263" i="4"/>
  <c r="AQ3262" i="4"/>
  <c r="AQ3261" i="4"/>
  <c r="AQ3260" i="4"/>
  <c r="AQ3259" i="4"/>
  <c r="AQ3258" i="4"/>
  <c r="AQ3257" i="4"/>
  <c r="AQ3256" i="4"/>
  <c r="AQ3255" i="4"/>
  <c r="AQ3254" i="4"/>
  <c r="AQ3253" i="4"/>
  <c r="AQ3252" i="4"/>
  <c r="AQ3251" i="4"/>
  <c r="AQ3250" i="4"/>
  <c r="AQ3249" i="4"/>
  <c r="AQ3248" i="4"/>
  <c r="AQ3247" i="4"/>
  <c r="AQ3246" i="4"/>
  <c r="AQ3245" i="4"/>
  <c r="AQ3244" i="4"/>
  <c r="AQ3243" i="4"/>
  <c r="AQ3242" i="4"/>
  <c r="AQ3241" i="4"/>
  <c r="AQ3240" i="4"/>
  <c r="AQ3239" i="4"/>
  <c r="AQ3238" i="4"/>
  <c r="AQ3237" i="4"/>
  <c r="AQ3236" i="4"/>
  <c r="AQ3235" i="4"/>
  <c r="AQ3234" i="4"/>
  <c r="AQ3233" i="4"/>
  <c r="AQ3232" i="4"/>
  <c r="AQ3231" i="4"/>
  <c r="AQ3230" i="4"/>
  <c r="AQ3229" i="4"/>
  <c r="AQ3228" i="4"/>
  <c r="AQ3227" i="4"/>
  <c r="AQ3226" i="4"/>
  <c r="AQ3225" i="4"/>
  <c r="AQ3224" i="4"/>
  <c r="AQ3223" i="4"/>
  <c r="AQ3222" i="4"/>
  <c r="AQ3221" i="4"/>
  <c r="AQ3220" i="4"/>
  <c r="AQ3219" i="4"/>
  <c r="AQ3218" i="4"/>
  <c r="AQ3217" i="4"/>
  <c r="AQ3216" i="4"/>
  <c r="AQ3215" i="4"/>
  <c r="AQ3214" i="4"/>
  <c r="AQ3213" i="4"/>
  <c r="AQ3212" i="4"/>
  <c r="AQ3211" i="4"/>
  <c r="AQ3210" i="4"/>
  <c r="AQ3209" i="4"/>
  <c r="AQ3208" i="4"/>
  <c r="AQ3207" i="4"/>
  <c r="AQ3206" i="4"/>
  <c r="AQ3205" i="4"/>
  <c r="AQ3204" i="4"/>
  <c r="AQ3203" i="4"/>
  <c r="AQ3202" i="4"/>
  <c r="AQ3201" i="4"/>
  <c r="AQ3200" i="4"/>
  <c r="AQ3199" i="4"/>
  <c r="AQ3198" i="4"/>
  <c r="AQ3197" i="4"/>
  <c r="AQ3196" i="4"/>
  <c r="AQ3195" i="4"/>
  <c r="AQ3194" i="4"/>
  <c r="AQ3193" i="4"/>
  <c r="AQ3192" i="4"/>
  <c r="AQ3191" i="4"/>
  <c r="AQ3190" i="4"/>
  <c r="AQ3189" i="4"/>
  <c r="AQ3188" i="4"/>
  <c r="AQ3187" i="4"/>
  <c r="AQ3186" i="4"/>
  <c r="AQ3185" i="4"/>
  <c r="AQ3184" i="4"/>
  <c r="AQ3183" i="4"/>
  <c r="AQ3182" i="4"/>
  <c r="AQ3181" i="4"/>
  <c r="AQ3180" i="4"/>
  <c r="AQ3179" i="4"/>
  <c r="AQ3178" i="4"/>
  <c r="AQ3177" i="4"/>
  <c r="AQ3176" i="4"/>
  <c r="AQ3175" i="4"/>
  <c r="AQ3174" i="4"/>
  <c r="AQ3173" i="4"/>
  <c r="AQ3172" i="4"/>
  <c r="AQ3171" i="4"/>
  <c r="AQ3170" i="4"/>
  <c r="AQ3169" i="4"/>
  <c r="AQ3168" i="4"/>
  <c r="AQ3167" i="4"/>
  <c r="AQ3166" i="4"/>
  <c r="AQ3165" i="4"/>
  <c r="AQ3164" i="4"/>
  <c r="AQ3163" i="4"/>
  <c r="AQ3162" i="4"/>
  <c r="AQ3161" i="4"/>
  <c r="AQ3160" i="4"/>
  <c r="AQ3159" i="4"/>
  <c r="AQ3158" i="4"/>
  <c r="AQ3157" i="4"/>
  <c r="AQ3156" i="4"/>
  <c r="AQ3155" i="4"/>
  <c r="AQ3154" i="4"/>
  <c r="AQ3153" i="4"/>
  <c r="AQ3152" i="4"/>
  <c r="AQ3151" i="4"/>
  <c r="AQ3150" i="4"/>
  <c r="AQ3149" i="4"/>
  <c r="AQ3148" i="4"/>
  <c r="AQ3147" i="4"/>
  <c r="AQ3146" i="4"/>
  <c r="AQ3145" i="4"/>
  <c r="AQ3144" i="4"/>
  <c r="AQ3143" i="4"/>
  <c r="AQ3142" i="4"/>
  <c r="AQ3141" i="4"/>
  <c r="AQ3140" i="4"/>
  <c r="AQ3139" i="4"/>
  <c r="AQ3138" i="4"/>
  <c r="AQ3137" i="4"/>
  <c r="AQ3136" i="4"/>
  <c r="AQ3135" i="4"/>
  <c r="AQ3134" i="4"/>
  <c r="AQ3133" i="4"/>
  <c r="AQ3132" i="4"/>
  <c r="AQ3131" i="4"/>
  <c r="AQ3130" i="4"/>
  <c r="AQ3129" i="4"/>
  <c r="AQ3128" i="4"/>
  <c r="AQ3127" i="4"/>
  <c r="AQ3126" i="4"/>
  <c r="AQ3125" i="4"/>
  <c r="AQ3124" i="4"/>
  <c r="AQ3123" i="4"/>
  <c r="AQ3122" i="4"/>
  <c r="AQ3121" i="4"/>
  <c r="AQ3120" i="4"/>
  <c r="AQ3119" i="4"/>
  <c r="AQ3118" i="4"/>
  <c r="AQ3117" i="4"/>
  <c r="AQ3116" i="4"/>
  <c r="AQ3115" i="4"/>
  <c r="AQ3114" i="4"/>
  <c r="AQ3113" i="4"/>
  <c r="AQ3112" i="4"/>
  <c r="AQ3111" i="4"/>
  <c r="AQ3110" i="4"/>
  <c r="AQ3109" i="4"/>
  <c r="AQ3108" i="4"/>
  <c r="AQ3107" i="4"/>
  <c r="AQ3106" i="4"/>
  <c r="AQ3105" i="4"/>
  <c r="AQ3104" i="4"/>
  <c r="AQ3103" i="4"/>
  <c r="AQ3102" i="4"/>
  <c r="AQ3101" i="4"/>
  <c r="AQ3100" i="4"/>
  <c r="AQ3099" i="4"/>
  <c r="AQ3098" i="4"/>
  <c r="AQ3097" i="4"/>
  <c r="AQ3096" i="4"/>
  <c r="AQ3095" i="4"/>
  <c r="AQ3094" i="4"/>
  <c r="AQ3093" i="4"/>
  <c r="AQ3092" i="4"/>
  <c r="AQ3091" i="4"/>
  <c r="AQ3090" i="4"/>
  <c r="AQ3089" i="4"/>
  <c r="AQ3088" i="4"/>
  <c r="AQ3087" i="4"/>
  <c r="AQ3086" i="4"/>
  <c r="AQ3085" i="4"/>
  <c r="AQ3084" i="4"/>
  <c r="AQ3083" i="4"/>
  <c r="AQ3082" i="4"/>
  <c r="AQ3081" i="4"/>
  <c r="AQ3080" i="4"/>
  <c r="AQ3079" i="4"/>
  <c r="AQ3078" i="4"/>
  <c r="AQ3077" i="4"/>
  <c r="AQ3076" i="4"/>
  <c r="AQ3075" i="4"/>
  <c r="AQ3074" i="4"/>
  <c r="AQ3073" i="4"/>
  <c r="AQ3072" i="4"/>
  <c r="AQ3071" i="4"/>
  <c r="AQ3070" i="4"/>
  <c r="AQ3069" i="4"/>
  <c r="AQ3068" i="4"/>
  <c r="AQ3067" i="4"/>
  <c r="AQ3066" i="4"/>
  <c r="AQ3065" i="4"/>
  <c r="AQ3064" i="4"/>
  <c r="AQ3063" i="4"/>
  <c r="AQ3062" i="4"/>
  <c r="AQ3061" i="4"/>
  <c r="AQ3060" i="4"/>
  <c r="AQ3059" i="4"/>
  <c r="AQ3058" i="4"/>
  <c r="AQ3057" i="4"/>
  <c r="AQ3056" i="4"/>
  <c r="AQ3055" i="4"/>
  <c r="AQ3054" i="4"/>
  <c r="AQ3053" i="4"/>
  <c r="AQ3052" i="4"/>
  <c r="AQ3051" i="4"/>
  <c r="AQ3050" i="4"/>
  <c r="AQ3049" i="4"/>
  <c r="AQ3048" i="4"/>
  <c r="AQ3047" i="4"/>
  <c r="AQ3046" i="4"/>
  <c r="AQ3045" i="4"/>
  <c r="AQ3044" i="4"/>
  <c r="AQ3043" i="4"/>
  <c r="AQ3042" i="4"/>
  <c r="AQ3041" i="4"/>
  <c r="AQ3040" i="4"/>
  <c r="AQ3039" i="4"/>
  <c r="AQ3038" i="4"/>
  <c r="AQ3037" i="4"/>
  <c r="AQ3036" i="4"/>
  <c r="AQ3035" i="4"/>
  <c r="AQ3034" i="4"/>
  <c r="AQ3033" i="4"/>
  <c r="AQ3032" i="4"/>
  <c r="AQ3031" i="4"/>
  <c r="AQ3030" i="4"/>
  <c r="AQ3029" i="4"/>
  <c r="AQ3028" i="4"/>
  <c r="AQ3027" i="4"/>
  <c r="AQ3026" i="4"/>
  <c r="AQ3025" i="4"/>
  <c r="AQ3024" i="4"/>
  <c r="AQ3023" i="4"/>
  <c r="AQ3022" i="4"/>
  <c r="AQ3021" i="4"/>
  <c r="AQ3020" i="4"/>
  <c r="AQ3019" i="4"/>
  <c r="AQ3018" i="4"/>
  <c r="AQ3017" i="4"/>
  <c r="AQ3016" i="4"/>
  <c r="AQ3015" i="4"/>
  <c r="AQ3014" i="4"/>
  <c r="AQ3013" i="4"/>
  <c r="AQ3012" i="4"/>
  <c r="AQ3011" i="4"/>
  <c r="AQ3010" i="4"/>
  <c r="AQ3009" i="4"/>
  <c r="AQ3008" i="4"/>
  <c r="AQ3007" i="4"/>
  <c r="AQ3006" i="4"/>
  <c r="AQ3005" i="4"/>
  <c r="AQ3004" i="4"/>
  <c r="AQ3003" i="4"/>
  <c r="AQ3002" i="4"/>
  <c r="AQ3001" i="4"/>
  <c r="AQ3000" i="4"/>
  <c r="AQ2999" i="4"/>
  <c r="AQ2998" i="4"/>
  <c r="AQ2997" i="4"/>
  <c r="AQ2996" i="4"/>
  <c r="AQ2995" i="4"/>
  <c r="AQ2994" i="4"/>
  <c r="AQ2993" i="4"/>
  <c r="AQ2992" i="4"/>
  <c r="AQ2991" i="4"/>
  <c r="AQ2990" i="4"/>
  <c r="AQ2989" i="4"/>
  <c r="AQ2988" i="4"/>
  <c r="AQ2987" i="4"/>
  <c r="AQ2986" i="4"/>
  <c r="AQ2985" i="4"/>
  <c r="AQ2984" i="4"/>
  <c r="AQ2983" i="4"/>
  <c r="AQ2982" i="4"/>
  <c r="AQ2981" i="4"/>
  <c r="AQ2980" i="4"/>
  <c r="AQ2979" i="4"/>
  <c r="AQ2978" i="4"/>
  <c r="AQ2977" i="4"/>
  <c r="AQ2976" i="4"/>
  <c r="AQ2975" i="4"/>
  <c r="AQ2974" i="4"/>
  <c r="AQ2973" i="4"/>
  <c r="AQ2972" i="4"/>
  <c r="AQ2971" i="4"/>
  <c r="AQ2970" i="4"/>
  <c r="AQ2969" i="4"/>
  <c r="AQ2968" i="4"/>
  <c r="AQ2967" i="4"/>
  <c r="AQ2966" i="4"/>
  <c r="AQ2965" i="4"/>
  <c r="AQ2964" i="4"/>
  <c r="AQ2963" i="4"/>
  <c r="AQ2962" i="4"/>
  <c r="AQ2961" i="4"/>
  <c r="AQ2960" i="4"/>
  <c r="AQ2959" i="4"/>
  <c r="AQ2958" i="4"/>
  <c r="AQ2957" i="4"/>
  <c r="AQ2956" i="4"/>
  <c r="AQ2955" i="4"/>
  <c r="AQ2954" i="4"/>
  <c r="AQ2953" i="4"/>
  <c r="AQ2952" i="4"/>
  <c r="AQ2951" i="4"/>
  <c r="AQ2950" i="4"/>
  <c r="AQ2949" i="4"/>
  <c r="AQ2948" i="4"/>
  <c r="AQ2947" i="4"/>
  <c r="AQ2946" i="4"/>
  <c r="AQ2945" i="4"/>
  <c r="AQ2944" i="4"/>
  <c r="AQ2943" i="4"/>
  <c r="AQ2942" i="4"/>
  <c r="AQ2941" i="4"/>
  <c r="AQ2940" i="4"/>
  <c r="AQ2939" i="4"/>
  <c r="AQ2938" i="4"/>
  <c r="AQ2937" i="4"/>
  <c r="AQ2936" i="4"/>
  <c r="AQ2935" i="4"/>
  <c r="AQ2934" i="4"/>
  <c r="AQ2933" i="4"/>
  <c r="AQ2932" i="4"/>
  <c r="AQ2931" i="4"/>
  <c r="AQ2930" i="4"/>
  <c r="AQ2929" i="4"/>
  <c r="AQ2928" i="4"/>
  <c r="AQ2927" i="4"/>
  <c r="AQ2926" i="4"/>
  <c r="AQ2925" i="4"/>
  <c r="AQ2924" i="4"/>
  <c r="AQ2923" i="4"/>
  <c r="AQ2922" i="4"/>
  <c r="AQ2921" i="4"/>
  <c r="AQ2920" i="4"/>
  <c r="AQ2919" i="4"/>
  <c r="AQ2918" i="4"/>
  <c r="AQ2917" i="4"/>
  <c r="AQ2916" i="4"/>
  <c r="AQ2915" i="4"/>
  <c r="AQ2914" i="4"/>
  <c r="AQ2913" i="4"/>
  <c r="AQ2912" i="4"/>
  <c r="AQ2911" i="4"/>
  <c r="AQ2910" i="4"/>
  <c r="AQ2909" i="4"/>
  <c r="AQ2908" i="4"/>
  <c r="AQ2907" i="4"/>
  <c r="AQ2906" i="4"/>
  <c r="AQ2905" i="4"/>
  <c r="AQ2904" i="4"/>
  <c r="AQ2903" i="4"/>
  <c r="AQ2902" i="4"/>
  <c r="AQ2901" i="4"/>
  <c r="AQ2900" i="4"/>
  <c r="AQ2899" i="4"/>
  <c r="AQ2898" i="4"/>
  <c r="AQ2897" i="4"/>
  <c r="AQ2896" i="4"/>
  <c r="AQ2895" i="4"/>
  <c r="AQ2894" i="4"/>
  <c r="AQ2893" i="4"/>
  <c r="AQ2892" i="4"/>
  <c r="AQ2891" i="4"/>
  <c r="AQ2890" i="4"/>
  <c r="AQ2889" i="4"/>
  <c r="AQ2888" i="4"/>
  <c r="AQ2887" i="4"/>
  <c r="AQ2886" i="4"/>
  <c r="AQ2885" i="4"/>
  <c r="AQ2884" i="4"/>
  <c r="AQ2883" i="4"/>
  <c r="AQ2882" i="4"/>
  <c r="AQ2881" i="4"/>
  <c r="AQ2880" i="4"/>
  <c r="AQ2879" i="4"/>
  <c r="AQ2878" i="4"/>
  <c r="AQ2877" i="4"/>
  <c r="AQ2876" i="4"/>
  <c r="AQ2875" i="4"/>
  <c r="AQ2874" i="4"/>
  <c r="AQ2873" i="4"/>
  <c r="AQ2872" i="4"/>
  <c r="AQ2871" i="4"/>
  <c r="AQ2870" i="4"/>
  <c r="AQ2869" i="4"/>
  <c r="AQ2868" i="4"/>
  <c r="AQ2867" i="4"/>
  <c r="AQ2866" i="4"/>
  <c r="AQ2865" i="4"/>
  <c r="AQ2864" i="4"/>
  <c r="AQ2863" i="4"/>
  <c r="AQ2862" i="4"/>
  <c r="AQ2861" i="4"/>
  <c r="AQ2860" i="4"/>
  <c r="AQ2859" i="4"/>
  <c r="AQ2858" i="4"/>
  <c r="AQ2857" i="4"/>
  <c r="AQ2856" i="4"/>
  <c r="AQ2855" i="4"/>
  <c r="AQ2854" i="4"/>
  <c r="AQ2853" i="4"/>
  <c r="AQ2852" i="4"/>
  <c r="AQ2851" i="4"/>
  <c r="AQ2850" i="4"/>
  <c r="AQ2849" i="4"/>
  <c r="AQ2848" i="4"/>
  <c r="AQ2847" i="4"/>
  <c r="AQ2846" i="4"/>
  <c r="AQ2845" i="4"/>
  <c r="AQ2844" i="4"/>
  <c r="AQ2843" i="4"/>
  <c r="AQ2842" i="4"/>
  <c r="AQ2841" i="4"/>
  <c r="AQ2840" i="4"/>
  <c r="AQ2839" i="4"/>
  <c r="AQ2838" i="4"/>
  <c r="AQ2837" i="4"/>
  <c r="AQ2836" i="4"/>
  <c r="AQ2835" i="4"/>
  <c r="AQ2834" i="4"/>
  <c r="AQ2833" i="4"/>
  <c r="AQ2832" i="4"/>
  <c r="AQ2831" i="4"/>
  <c r="AQ2830" i="4"/>
  <c r="AQ2829" i="4"/>
  <c r="AQ2828" i="4"/>
  <c r="AQ2827" i="4"/>
  <c r="AQ2826" i="4"/>
  <c r="AQ2825" i="4"/>
  <c r="AQ2824" i="4"/>
  <c r="AQ2823" i="4"/>
  <c r="AQ2822" i="4"/>
  <c r="AQ2821" i="4"/>
  <c r="AQ2820" i="4"/>
  <c r="AQ2819" i="4"/>
  <c r="AQ2818" i="4"/>
  <c r="AQ2817" i="4"/>
  <c r="AQ2816" i="4"/>
  <c r="AQ2815" i="4"/>
  <c r="AQ2814" i="4"/>
  <c r="AQ2813" i="4"/>
  <c r="AQ2812" i="4"/>
  <c r="AQ2811" i="4"/>
  <c r="AQ2810" i="4"/>
  <c r="AQ2809" i="4"/>
  <c r="AQ2808" i="4"/>
  <c r="AQ2807" i="4"/>
  <c r="AQ2806" i="4"/>
  <c r="AQ2805" i="4"/>
  <c r="AQ2804" i="4"/>
  <c r="AQ2803" i="4"/>
  <c r="AQ2802" i="4"/>
  <c r="AQ2801" i="4"/>
  <c r="AQ2800" i="4"/>
  <c r="AQ2799" i="4"/>
  <c r="AQ2798" i="4"/>
  <c r="AQ2797" i="4"/>
  <c r="AQ2796" i="4"/>
  <c r="AQ2795" i="4"/>
  <c r="AQ2794" i="4"/>
  <c r="AQ2793" i="4"/>
  <c r="AQ2792" i="4"/>
  <c r="AQ2791" i="4"/>
  <c r="AQ2790" i="4"/>
  <c r="AQ2789" i="4"/>
  <c r="AQ2788" i="4"/>
  <c r="AQ2787" i="4"/>
  <c r="AQ2786" i="4"/>
  <c r="AQ2785" i="4"/>
  <c r="AQ2784" i="4"/>
  <c r="AQ2783" i="4"/>
  <c r="AQ2782" i="4"/>
  <c r="AQ2781" i="4"/>
  <c r="AQ2780" i="4"/>
  <c r="AQ2779" i="4"/>
  <c r="AQ2778" i="4"/>
  <c r="AQ2777" i="4"/>
  <c r="AQ2776" i="4"/>
  <c r="AQ2775" i="4"/>
  <c r="AQ2774" i="4"/>
  <c r="AQ2773" i="4"/>
  <c r="AQ2772" i="4"/>
  <c r="AQ2771" i="4"/>
  <c r="AQ2770" i="4"/>
  <c r="AQ2769" i="4"/>
  <c r="AQ2768" i="4"/>
  <c r="AQ2767" i="4"/>
  <c r="AQ2766" i="4"/>
  <c r="AQ2765" i="4"/>
  <c r="AQ2764" i="4"/>
  <c r="AQ2763" i="4"/>
  <c r="AQ2762" i="4"/>
  <c r="AQ2761" i="4"/>
  <c r="AQ2760" i="4"/>
  <c r="AQ2759" i="4"/>
  <c r="AQ2758" i="4"/>
  <c r="AQ2757" i="4"/>
  <c r="AQ2756" i="4"/>
  <c r="AQ2755" i="4"/>
  <c r="AQ2754" i="4"/>
  <c r="AQ2753" i="4"/>
  <c r="AQ2752" i="4"/>
  <c r="AQ2751" i="4"/>
  <c r="AQ2750" i="4"/>
  <c r="AQ2749" i="4"/>
  <c r="AQ2748" i="4"/>
  <c r="AQ2747" i="4"/>
  <c r="AQ2746" i="4"/>
  <c r="AQ2745" i="4"/>
  <c r="AQ2744" i="4"/>
  <c r="AQ2743" i="4"/>
  <c r="AQ2742" i="4"/>
  <c r="AQ2741" i="4"/>
  <c r="AQ2740" i="4"/>
  <c r="AQ2739" i="4"/>
  <c r="AQ2738" i="4"/>
  <c r="AQ2737" i="4"/>
  <c r="AQ2736" i="4"/>
  <c r="AQ2735" i="4"/>
  <c r="AQ2734" i="4"/>
  <c r="AQ2733" i="4"/>
  <c r="AQ2732" i="4"/>
  <c r="AQ2731" i="4"/>
  <c r="AQ2730" i="4"/>
  <c r="AQ2729" i="4"/>
  <c r="AQ2728" i="4"/>
  <c r="AQ2727" i="4"/>
  <c r="AQ2726" i="4"/>
  <c r="AQ2725" i="4"/>
  <c r="AQ2724" i="4"/>
  <c r="AQ2723" i="4"/>
  <c r="AQ2722" i="4"/>
  <c r="AQ2721" i="4"/>
  <c r="AQ2720" i="4"/>
  <c r="AQ2719" i="4"/>
  <c r="AQ2718" i="4"/>
  <c r="AQ2717" i="4"/>
  <c r="AQ2716" i="4"/>
  <c r="AQ2715" i="4"/>
  <c r="AQ2714" i="4"/>
  <c r="AQ2713" i="4"/>
  <c r="AQ2712" i="4"/>
  <c r="AQ2711" i="4"/>
  <c r="AQ2710" i="4"/>
  <c r="AQ2709" i="4"/>
  <c r="AQ2708" i="4"/>
  <c r="AQ2707" i="4"/>
  <c r="AQ2706" i="4"/>
  <c r="AQ2705" i="4"/>
  <c r="AQ2704" i="4"/>
  <c r="AQ2703" i="4"/>
  <c r="AQ2702" i="4"/>
  <c r="AQ2701" i="4"/>
  <c r="AQ2700" i="4"/>
  <c r="AQ2699" i="4"/>
  <c r="AQ2698" i="4"/>
  <c r="AQ2697" i="4"/>
  <c r="AQ2696" i="4"/>
  <c r="AQ2695" i="4"/>
  <c r="AQ2694" i="4"/>
  <c r="AQ2693" i="4"/>
  <c r="AQ2692" i="4"/>
  <c r="AQ2691" i="4"/>
  <c r="AQ2690" i="4"/>
  <c r="AQ2689" i="4"/>
  <c r="AQ2688" i="4"/>
  <c r="AQ2687" i="4"/>
  <c r="AQ2686" i="4"/>
  <c r="AQ2685" i="4"/>
  <c r="AQ2684" i="4"/>
  <c r="AQ2683" i="4"/>
  <c r="AQ2682" i="4"/>
  <c r="AQ2681" i="4"/>
  <c r="AQ2680" i="4"/>
  <c r="AQ2679" i="4"/>
  <c r="AQ2678" i="4"/>
  <c r="AQ2677" i="4"/>
  <c r="AQ2676" i="4"/>
  <c r="AQ2675" i="4"/>
  <c r="AQ2674" i="4"/>
  <c r="AQ2673" i="4"/>
  <c r="AQ2672" i="4"/>
  <c r="AQ2671" i="4"/>
  <c r="AQ2670" i="4"/>
  <c r="AQ2669" i="4"/>
  <c r="AQ2668" i="4"/>
  <c r="AQ2667" i="4"/>
  <c r="AQ2666" i="4"/>
  <c r="AQ2665" i="4"/>
  <c r="AQ2664" i="4"/>
  <c r="AQ2663" i="4"/>
  <c r="AQ2662" i="4"/>
  <c r="AQ2661" i="4"/>
  <c r="AQ2660" i="4"/>
  <c r="AQ2659" i="4"/>
  <c r="AQ2658" i="4"/>
  <c r="AQ2657" i="4"/>
  <c r="AQ2656" i="4"/>
  <c r="AQ2655" i="4"/>
  <c r="AQ2654" i="4"/>
  <c r="AQ2653" i="4"/>
  <c r="AQ2652" i="4"/>
  <c r="AQ2651" i="4"/>
  <c r="AQ2650" i="4"/>
  <c r="AQ2649" i="4"/>
  <c r="AQ2648" i="4"/>
  <c r="AQ2647" i="4"/>
  <c r="AQ2646" i="4"/>
  <c r="AQ2645" i="4"/>
  <c r="AQ2644" i="4"/>
  <c r="AQ2643" i="4"/>
  <c r="AQ2642" i="4"/>
  <c r="AQ2641" i="4"/>
  <c r="AQ2640" i="4"/>
  <c r="AQ2639" i="4"/>
  <c r="AQ2638" i="4"/>
  <c r="AQ2637" i="4"/>
  <c r="AQ2636" i="4"/>
  <c r="AQ2635" i="4"/>
  <c r="AQ2634" i="4"/>
  <c r="AQ2633" i="4"/>
  <c r="AQ2632" i="4"/>
  <c r="AQ2631" i="4"/>
  <c r="AQ2630" i="4"/>
  <c r="AQ2629" i="4"/>
  <c r="AQ2628" i="4"/>
  <c r="AQ2627" i="4"/>
  <c r="AQ2626" i="4"/>
  <c r="AQ2625" i="4"/>
  <c r="AQ2624" i="4"/>
  <c r="AQ2623" i="4"/>
  <c r="AQ2622" i="4"/>
  <c r="AQ2621" i="4"/>
  <c r="AQ2620" i="4"/>
  <c r="AQ2619" i="4"/>
  <c r="AQ2618" i="4"/>
  <c r="AQ2617" i="4"/>
  <c r="AQ2616" i="4"/>
  <c r="AQ2615" i="4"/>
  <c r="AQ2614" i="4"/>
  <c r="AQ2613" i="4"/>
  <c r="AQ2612" i="4"/>
  <c r="AQ2611" i="4"/>
  <c r="AQ2610" i="4"/>
  <c r="AQ2609" i="4"/>
  <c r="AQ2608" i="4"/>
  <c r="AQ2607" i="4"/>
  <c r="AQ2606" i="4"/>
  <c r="AQ2605" i="4"/>
  <c r="AQ2604" i="4"/>
  <c r="AQ2603" i="4"/>
  <c r="AQ2602" i="4"/>
  <c r="AQ2601" i="4"/>
  <c r="AQ2600" i="4"/>
  <c r="AQ2599" i="4"/>
  <c r="AQ2598" i="4"/>
  <c r="AQ2597" i="4"/>
  <c r="AQ2596" i="4"/>
  <c r="AQ2595" i="4"/>
  <c r="AQ2594" i="4"/>
  <c r="AQ2593" i="4"/>
  <c r="AQ2592" i="4"/>
  <c r="AQ2591" i="4"/>
  <c r="AQ2590" i="4"/>
  <c r="AQ2589" i="4"/>
  <c r="AQ2588" i="4"/>
  <c r="AQ2587" i="4"/>
  <c r="AQ2586" i="4"/>
  <c r="AQ2585" i="4"/>
  <c r="AQ2584" i="4"/>
  <c r="AQ2583" i="4"/>
  <c r="AQ2582" i="4"/>
  <c r="AQ2581" i="4"/>
  <c r="AQ2580" i="4"/>
  <c r="AQ2579" i="4"/>
  <c r="AQ2578" i="4"/>
  <c r="AQ2577" i="4"/>
  <c r="AQ2576" i="4"/>
  <c r="AQ2575" i="4"/>
  <c r="AQ2574" i="4"/>
  <c r="AQ2573" i="4"/>
  <c r="AQ2572" i="4"/>
  <c r="AQ2571" i="4"/>
  <c r="AQ2570" i="4"/>
  <c r="AQ2569" i="4"/>
  <c r="AQ2568" i="4"/>
  <c r="AQ2567" i="4"/>
  <c r="AQ2566" i="4"/>
  <c r="AQ2565" i="4"/>
  <c r="AQ2564" i="4"/>
  <c r="AQ2563" i="4"/>
  <c r="AQ2562" i="4"/>
  <c r="AQ2561" i="4"/>
  <c r="AQ2560" i="4"/>
  <c r="AQ2559" i="4"/>
  <c r="AQ2558" i="4"/>
  <c r="AQ2557" i="4"/>
  <c r="AQ2556" i="4"/>
  <c r="AQ2555" i="4"/>
  <c r="AQ2554" i="4"/>
  <c r="AQ2553" i="4"/>
  <c r="AQ2552" i="4"/>
  <c r="AQ2551" i="4"/>
  <c r="AQ2550" i="4"/>
  <c r="AQ2549" i="4"/>
  <c r="AQ2548" i="4"/>
  <c r="AQ2547" i="4"/>
  <c r="AQ2546" i="4"/>
  <c r="AQ2545" i="4"/>
  <c r="AQ2544" i="4"/>
  <c r="AQ2543" i="4"/>
  <c r="AQ2542" i="4"/>
  <c r="AQ2541" i="4"/>
  <c r="AQ2540" i="4"/>
  <c r="AQ2539" i="4"/>
  <c r="AQ2538" i="4"/>
  <c r="AQ2537" i="4"/>
  <c r="AQ2536" i="4"/>
  <c r="AQ2535" i="4"/>
  <c r="AQ2534" i="4"/>
  <c r="AQ2533" i="4"/>
  <c r="AQ2532" i="4"/>
  <c r="AQ2531" i="4"/>
  <c r="AQ2530" i="4"/>
  <c r="AQ2529" i="4"/>
  <c r="AQ2528" i="4"/>
  <c r="AQ2527" i="4"/>
  <c r="AQ2526" i="4"/>
  <c r="AQ2525" i="4"/>
  <c r="AQ2524" i="4"/>
  <c r="AQ2523" i="4"/>
  <c r="AQ2522" i="4"/>
  <c r="AQ2521" i="4"/>
  <c r="AQ2520" i="4"/>
  <c r="AQ2519" i="4"/>
  <c r="AQ2518" i="4"/>
  <c r="AQ2517" i="4"/>
  <c r="AQ2516" i="4"/>
  <c r="AQ2515" i="4"/>
  <c r="AQ2514" i="4"/>
  <c r="AQ2513" i="4"/>
  <c r="AQ2512" i="4"/>
  <c r="AQ2511" i="4"/>
  <c r="AQ2510" i="4"/>
  <c r="AQ2509" i="4"/>
  <c r="AQ2508" i="4"/>
  <c r="AQ2507" i="4"/>
  <c r="AQ2506" i="4"/>
  <c r="AQ2505" i="4"/>
  <c r="AQ2504" i="4"/>
  <c r="AQ2503" i="4"/>
  <c r="AQ2502" i="4"/>
  <c r="AQ2501" i="4"/>
  <c r="AQ2500" i="4"/>
  <c r="AQ2499" i="4"/>
  <c r="AQ2498" i="4"/>
  <c r="AQ2497" i="4"/>
  <c r="AQ2496" i="4"/>
  <c r="AQ2495" i="4"/>
  <c r="AQ2494" i="4"/>
  <c r="AQ2493" i="4"/>
  <c r="AQ2492" i="4"/>
  <c r="AQ2491" i="4"/>
  <c r="AQ2490" i="4"/>
  <c r="AQ2489" i="4"/>
  <c r="AQ2488" i="4"/>
  <c r="AQ2487" i="4"/>
  <c r="AQ2486" i="4"/>
  <c r="AQ2485" i="4"/>
  <c r="AQ2484" i="4"/>
  <c r="AQ2483" i="4"/>
  <c r="AQ2482" i="4"/>
  <c r="AQ2481" i="4"/>
  <c r="AQ2480" i="4"/>
  <c r="AQ2479" i="4"/>
  <c r="AQ2478" i="4"/>
  <c r="AQ2477" i="4"/>
  <c r="AQ2476" i="4"/>
  <c r="AQ2475" i="4"/>
  <c r="AQ2474" i="4"/>
  <c r="AQ2473" i="4"/>
  <c r="AQ2472" i="4"/>
  <c r="AQ2471" i="4"/>
  <c r="AQ2470" i="4"/>
  <c r="AQ2469" i="4"/>
  <c r="AQ2468" i="4"/>
  <c r="AQ2467" i="4"/>
  <c r="AQ2466" i="4"/>
  <c r="AQ2465" i="4"/>
  <c r="AQ2464" i="4"/>
  <c r="AQ2463" i="4"/>
  <c r="AQ2462" i="4"/>
  <c r="AQ2461" i="4"/>
  <c r="AQ2460" i="4"/>
  <c r="AQ2459" i="4"/>
  <c r="AQ2458" i="4"/>
  <c r="AQ2457" i="4"/>
  <c r="AQ2456" i="4"/>
  <c r="AQ2455" i="4"/>
  <c r="AQ2454" i="4"/>
  <c r="AQ2453" i="4"/>
  <c r="AQ2452" i="4"/>
  <c r="AQ2451" i="4"/>
  <c r="AQ2450" i="4"/>
  <c r="AQ2449" i="4"/>
  <c r="AQ2448" i="4"/>
  <c r="AQ2447" i="4"/>
  <c r="AQ2446" i="4"/>
  <c r="AQ2445" i="4"/>
  <c r="AQ2444" i="4"/>
  <c r="AQ2443" i="4"/>
  <c r="AQ2442" i="4"/>
  <c r="AQ2441" i="4"/>
  <c r="AQ2440" i="4"/>
  <c r="AQ2439" i="4"/>
  <c r="AQ2438" i="4"/>
  <c r="AQ2437" i="4"/>
  <c r="AQ2436" i="4"/>
  <c r="AQ2435" i="4"/>
  <c r="AQ2434" i="4"/>
  <c r="AQ2433" i="4"/>
  <c r="AQ2432" i="4"/>
  <c r="AQ2431" i="4"/>
  <c r="AQ2430" i="4"/>
  <c r="AQ2429" i="4"/>
  <c r="AQ2428" i="4"/>
  <c r="AQ2427" i="4"/>
  <c r="AQ2426" i="4"/>
  <c r="AQ2425" i="4"/>
  <c r="AQ2424" i="4"/>
  <c r="AQ2423" i="4"/>
  <c r="AQ2422" i="4"/>
  <c r="AQ2421" i="4"/>
  <c r="AQ2420" i="4"/>
  <c r="AQ2419" i="4"/>
  <c r="AQ2418" i="4"/>
  <c r="AQ2417" i="4"/>
  <c r="AQ2416" i="4"/>
  <c r="AQ2415" i="4"/>
  <c r="AQ2414" i="4"/>
  <c r="AQ2413" i="4"/>
  <c r="AQ2412" i="4"/>
  <c r="AQ2411" i="4"/>
  <c r="AQ2410" i="4"/>
  <c r="AQ2409" i="4"/>
  <c r="AQ2408" i="4"/>
  <c r="AQ2407" i="4"/>
  <c r="AQ2406" i="4"/>
  <c r="AQ2405" i="4"/>
  <c r="AQ2404" i="4"/>
  <c r="AQ2403" i="4"/>
  <c r="AQ2402" i="4"/>
  <c r="AQ2401" i="4"/>
  <c r="AQ2400" i="4"/>
  <c r="AQ2399" i="4"/>
  <c r="AQ2398" i="4"/>
  <c r="AQ2397" i="4"/>
  <c r="AQ2396" i="4"/>
  <c r="AQ2395" i="4"/>
  <c r="AQ2394" i="4"/>
  <c r="AQ2393" i="4"/>
  <c r="AQ2392" i="4"/>
  <c r="AQ2391" i="4"/>
  <c r="AQ2390" i="4"/>
  <c r="AQ2389" i="4"/>
  <c r="AQ2388" i="4"/>
  <c r="AQ2387" i="4"/>
  <c r="AQ2386" i="4"/>
  <c r="AQ2385" i="4"/>
  <c r="AQ2384" i="4"/>
  <c r="AQ2383" i="4"/>
  <c r="AQ2382" i="4"/>
  <c r="AQ2381" i="4"/>
  <c r="AQ2380" i="4"/>
  <c r="AQ2379" i="4"/>
  <c r="AQ2378" i="4"/>
  <c r="AQ2377" i="4"/>
  <c r="AQ2376" i="4"/>
  <c r="AQ2375" i="4"/>
  <c r="AQ2374" i="4"/>
  <c r="AQ2373" i="4"/>
  <c r="AQ2372" i="4"/>
  <c r="AQ2371" i="4"/>
  <c r="AQ2370" i="4"/>
  <c r="AQ2369" i="4"/>
  <c r="AQ2368" i="4"/>
  <c r="AQ2367" i="4"/>
  <c r="AQ2366" i="4"/>
  <c r="AQ2365" i="4"/>
  <c r="AQ2364" i="4"/>
  <c r="AQ2363" i="4"/>
  <c r="AQ2362" i="4"/>
  <c r="AQ2361" i="4"/>
  <c r="AQ2360" i="4"/>
  <c r="AQ2359" i="4"/>
  <c r="AQ2358" i="4"/>
  <c r="AQ2357" i="4"/>
  <c r="AQ2356" i="4"/>
  <c r="AQ2355" i="4"/>
  <c r="AQ2354" i="4"/>
  <c r="AQ2353" i="4"/>
  <c r="AQ2352" i="4"/>
  <c r="AQ2351" i="4"/>
  <c r="AQ2350" i="4"/>
  <c r="AQ2349" i="4"/>
  <c r="AQ2348" i="4"/>
  <c r="AQ2347" i="4"/>
  <c r="AQ2346" i="4"/>
  <c r="AQ2345" i="4"/>
  <c r="AQ2344" i="4"/>
  <c r="AQ2343" i="4"/>
  <c r="AQ2342" i="4"/>
  <c r="AQ2341" i="4"/>
  <c r="AQ2340" i="4"/>
  <c r="AQ2339" i="4"/>
  <c r="AQ2338" i="4"/>
  <c r="AQ2337" i="4"/>
  <c r="AQ2336" i="4"/>
  <c r="AQ2335" i="4"/>
  <c r="AQ2334" i="4"/>
  <c r="AQ2333" i="4"/>
  <c r="AQ2332" i="4"/>
  <c r="AQ2331" i="4"/>
  <c r="AQ2330" i="4"/>
  <c r="AQ2329" i="4"/>
  <c r="AQ2328" i="4"/>
  <c r="AQ2327" i="4"/>
  <c r="AQ2326" i="4"/>
  <c r="AQ2325" i="4"/>
  <c r="AQ2324" i="4"/>
  <c r="AQ2323" i="4"/>
  <c r="AQ2322" i="4"/>
  <c r="AQ2321" i="4"/>
  <c r="AQ2320" i="4"/>
  <c r="AQ2319" i="4"/>
  <c r="AQ2318" i="4"/>
  <c r="AQ2317" i="4"/>
  <c r="AQ2316" i="4"/>
  <c r="AQ2315" i="4"/>
  <c r="AQ2314" i="4"/>
  <c r="AQ2313" i="4"/>
  <c r="AQ2312" i="4"/>
  <c r="AQ2311" i="4"/>
  <c r="AQ2310" i="4"/>
  <c r="AQ2309" i="4"/>
  <c r="AQ2308" i="4"/>
  <c r="AQ2307" i="4"/>
  <c r="AQ2306" i="4"/>
  <c r="AQ2305" i="4"/>
  <c r="AQ2304" i="4"/>
  <c r="AQ2303" i="4"/>
  <c r="AQ2302" i="4"/>
  <c r="AQ2301" i="4"/>
  <c r="AQ2300" i="4"/>
  <c r="AQ2299" i="4"/>
  <c r="AQ2298" i="4"/>
  <c r="AQ2297" i="4"/>
  <c r="AQ2296" i="4"/>
  <c r="AQ2295" i="4"/>
  <c r="AQ2294" i="4"/>
  <c r="AQ2293" i="4"/>
  <c r="AQ2292" i="4"/>
  <c r="AQ2291" i="4"/>
  <c r="AQ2290" i="4"/>
  <c r="AQ2289" i="4"/>
  <c r="AQ2288" i="4"/>
  <c r="AQ2287" i="4"/>
  <c r="AQ2286" i="4"/>
  <c r="AQ2285" i="4"/>
  <c r="AQ2284" i="4"/>
  <c r="AQ2283" i="4"/>
  <c r="AQ2282" i="4"/>
  <c r="AQ2281" i="4"/>
  <c r="AQ2280" i="4"/>
  <c r="AQ2279" i="4"/>
  <c r="AQ2278" i="4"/>
  <c r="AQ2277" i="4"/>
  <c r="AQ2276" i="4"/>
  <c r="AQ2275" i="4"/>
  <c r="AQ2274" i="4"/>
  <c r="AQ2273" i="4"/>
  <c r="AQ2272" i="4"/>
  <c r="AQ2271" i="4"/>
  <c r="AQ2270" i="4"/>
  <c r="AQ2269" i="4"/>
  <c r="AQ2268" i="4"/>
  <c r="AQ2267" i="4"/>
  <c r="AQ2266" i="4"/>
  <c r="AQ2265" i="4"/>
  <c r="AQ2264" i="4"/>
  <c r="AQ2263" i="4"/>
  <c r="AQ2262" i="4"/>
  <c r="AQ2261" i="4"/>
  <c r="AQ2260" i="4"/>
  <c r="AQ2259" i="4"/>
  <c r="AQ2258" i="4"/>
  <c r="AQ2257" i="4"/>
  <c r="AQ2256" i="4"/>
  <c r="AQ2255" i="4"/>
  <c r="AQ2254" i="4"/>
  <c r="AQ2253" i="4"/>
  <c r="AQ2252" i="4"/>
  <c r="AQ2251" i="4"/>
  <c r="AQ2250" i="4"/>
  <c r="AQ2249" i="4"/>
  <c r="AQ2248" i="4"/>
  <c r="AQ2247" i="4"/>
  <c r="AQ2246" i="4"/>
  <c r="AQ2245" i="4"/>
  <c r="AQ2244" i="4"/>
  <c r="AQ2243" i="4"/>
  <c r="AQ2242" i="4"/>
  <c r="AQ2241" i="4"/>
  <c r="AQ2240" i="4"/>
  <c r="AQ2239" i="4"/>
  <c r="AQ2238" i="4"/>
  <c r="AQ2237" i="4"/>
  <c r="AQ2236" i="4"/>
  <c r="AQ2235" i="4"/>
  <c r="AQ2234" i="4"/>
  <c r="AQ2233" i="4"/>
  <c r="AQ2232" i="4"/>
  <c r="AQ2231" i="4"/>
  <c r="AQ2230" i="4"/>
  <c r="AQ2229" i="4"/>
  <c r="AQ2228" i="4"/>
  <c r="AQ2227" i="4"/>
  <c r="AQ2226" i="4"/>
  <c r="AQ2225" i="4"/>
  <c r="AQ2224" i="4"/>
  <c r="AQ2223" i="4"/>
  <c r="AQ2222" i="4"/>
  <c r="AQ2221" i="4"/>
  <c r="AQ2220" i="4"/>
  <c r="AQ2219" i="4"/>
  <c r="AQ2218" i="4"/>
  <c r="AQ2217" i="4"/>
  <c r="AQ2216" i="4"/>
  <c r="AQ2215" i="4"/>
  <c r="AQ2214" i="4"/>
  <c r="AQ2213" i="4"/>
  <c r="AQ2212" i="4"/>
  <c r="AQ2211" i="4"/>
  <c r="AQ2210" i="4"/>
  <c r="AQ2209" i="4"/>
  <c r="AQ2208" i="4"/>
  <c r="AQ2207" i="4"/>
  <c r="AQ2206" i="4"/>
  <c r="AQ2205" i="4"/>
  <c r="AQ2204" i="4"/>
  <c r="AQ2203" i="4"/>
  <c r="AQ2202" i="4"/>
  <c r="AQ2201" i="4"/>
  <c r="AQ2200" i="4"/>
  <c r="AQ2199" i="4"/>
  <c r="AQ2198" i="4"/>
  <c r="AQ2197" i="4"/>
  <c r="AQ2196" i="4"/>
  <c r="AQ2195" i="4"/>
  <c r="AQ2194" i="4"/>
  <c r="AQ2193" i="4"/>
  <c r="AQ2192" i="4"/>
  <c r="AQ2191" i="4"/>
  <c r="AQ2190" i="4"/>
  <c r="AQ2189" i="4"/>
  <c r="AQ2188" i="4"/>
  <c r="AQ2187" i="4"/>
  <c r="AQ2186" i="4"/>
  <c r="AQ2185" i="4"/>
  <c r="AQ2184" i="4"/>
  <c r="AQ2183" i="4"/>
  <c r="AQ2182" i="4"/>
  <c r="AQ2181" i="4"/>
  <c r="AQ2180" i="4"/>
  <c r="AQ2179" i="4"/>
  <c r="AQ2178" i="4"/>
  <c r="AQ2177" i="4"/>
  <c r="AQ2176" i="4"/>
  <c r="AQ2175" i="4"/>
  <c r="AQ2174" i="4"/>
  <c r="AQ2173" i="4"/>
  <c r="AQ2172" i="4"/>
  <c r="AQ2171" i="4"/>
  <c r="AQ2170" i="4"/>
  <c r="AQ2169" i="4"/>
  <c r="AQ2168" i="4"/>
  <c r="AQ2167" i="4"/>
  <c r="AQ2166" i="4"/>
  <c r="AQ2165" i="4"/>
  <c r="AQ2164" i="4"/>
  <c r="AQ2163" i="4"/>
  <c r="AQ2162" i="4"/>
  <c r="AQ2161" i="4"/>
  <c r="AQ2160" i="4"/>
  <c r="AQ2159" i="4"/>
  <c r="AQ2158" i="4"/>
  <c r="AQ2157" i="4"/>
  <c r="AQ2156" i="4"/>
  <c r="AQ2155" i="4"/>
  <c r="AQ2154" i="4"/>
  <c r="AQ2153" i="4"/>
  <c r="AQ2152" i="4"/>
  <c r="AQ2151" i="4"/>
  <c r="AQ2150" i="4"/>
  <c r="AQ2149" i="4"/>
  <c r="AQ2148" i="4"/>
  <c r="AQ2147" i="4"/>
  <c r="AQ2146" i="4"/>
  <c r="AQ2145" i="4"/>
  <c r="AQ2144" i="4"/>
  <c r="AQ2143" i="4"/>
  <c r="AQ2142" i="4"/>
  <c r="AQ2141" i="4"/>
  <c r="AQ2140" i="4"/>
  <c r="AQ2139" i="4"/>
  <c r="AQ2138" i="4"/>
  <c r="AQ2137" i="4"/>
  <c r="AQ2136" i="4"/>
  <c r="AQ2135" i="4"/>
  <c r="AQ2134" i="4"/>
  <c r="AQ2133" i="4"/>
  <c r="AQ2132" i="4"/>
  <c r="AQ2131" i="4"/>
  <c r="AQ2130" i="4"/>
  <c r="AQ2129" i="4"/>
  <c r="AQ2128" i="4"/>
  <c r="AQ2127" i="4"/>
  <c r="AQ2126" i="4"/>
  <c r="AQ2125" i="4"/>
  <c r="AQ2124" i="4"/>
  <c r="AQ2123" i="4"/>
  <c r="AQ2122" i="4"/>
  <c r="AQ2121" i="4"/>
  <c r="AQ2120" i="4"/>
  <c r="AQ2119" i="4"/>
  <c r="AQ2118" i="4"/>
  <c r="AQ2117" i="4"/>
  <c r="AQ2116" i="4"/>
  <c r="AQ2115" i="4"/>
  <c r="AQ2114" i="4"/>
  <c r="AQ2113" i="4"/>
  <c r="AQ2112" i="4"/>
  <c r="AQ2111" i="4"/>
  <c r="AQ2110" i="4"/>
  <c r="AQ2109" i="4"/>
  <c r="AQ2108" i="4"/>
  <c r="AQ2107" i="4"/>
  <c r="AQ2106" i="4"/>
  <c r="AQ2105" i="4"/>
  <c r="AQ2104" i="4"/>
  <c r="AQ2103" i="4"/>
  <c r="AQ2102" i="4"/>
  <c r="AQ2101" i="4"/>
  <c r="AQ2100" i="4"/>
  <c r="AQ2099" i="4"/>
  <c r="AQ2098" i="4"/>
  <c r="AQ2097" i="4"/>
  <c r="AQ2096" i="4"/>
  <c r="AQ2095" i="4"/>
  <c r="AQ2094" i="4"/>
  <c r="AQ2093" i="4"/>
  <c r="AQ2092" i="4"/>
  <c r="AQ2091" i="4"/>
  <c r="AQ2090" i="4"/>
  <c r="AQ2089" i="4"/>
  <c r="AQ2088" i="4"/>
  <c r="AQ2087" i="4"/>
  <c r="AQ2086" i="4"/>
  <c r="AQ2085" i="4"/>
  <c r="AQ2084" i="4"/>
  <c r="AQ2083" i="4"/>
  <c r="AQ2082" i="4"/>
  <c r="AQ2081" i="4"/>
  <c r="AQ2080" i="4"/>
  <c r="AQ2079" i="4"/>
  <c r="AQ2078" i="4"/>
  <c r="AQ2077" i="4"/>
  <c r="AQ2076" i="4"/>
  <c r="AQ2075" i="4"/>
  <c r="AQ2074" i="4"/>
  <c r="AQ2073" i="4"/>
  <c r="AQ2072" i="4"/>
  <c r="AQ2071" i="4"/>
  <c r="AQ2070" i="4"/>
  <c r="AQ2069" i="4"/>
  <c r="AQ2068" i="4"/>
  <c r="AQ2067" i="4"/>
  <c r="AQ2066" i="4"/>
  <c r="AQ2065" i="4"/>
  <c r="AQ2064" i="4"/>
  <c r="AQ2063" i="4"/>
  <c r="AQ2062" i="4"/>
  <c r="AQ2061" i="4"/>
  <c r="AQ2060" i="4"/>
  <c r="AQ2059" i="4"/>
  <c r="AQ2058" i="4"/>
  <c r="AQ2057" i="4"/>
  <c r="AQ2056" i="4"/>
  <c r="AQ2055" i="4"/>
  <c r="AQ2054" i="4"/>
  <c r="AQ2053" i="4"/>
  <c r="AQ2052" i="4"/>
  <c r="AQ2051" i="4"/>
  <c r="AQ2050" i="4"/>
  <c r="AQ2049" i="4"/>
  <c r="AQ2048" i="4"/>
  <c r="AQ2047" i="4"/>
  <c r="AQ2046" i="4"/>
  <c r="AQ2045" i="4"/>
  <c r="AQ2044" i="4"/>
  <c r="AQ2043" i="4"/>
  <c r="AQ2042" i="4"/>
  <c r="AQ2041" i="4"/>
  <c r="AQ2040" i="4"/>
  <c r="AQ2039" i="4"/>
  <c r="AQ2038" i="4"/>
  <c r="AQ2037" i="4"/>
  <c r="AQ2036" i="4"/>
  <c r="AQ2035" i="4"/>
  <c r="AQ2034" i="4"/>
  <c r="AQ2033" i="4"/>
  <c r="AQ2032" i="4"/>
  <c r="AQ2031" i="4"/>
  <c r="AQ2030" i="4"/>
  <c r="AQ2029" i="4"/>
  <c r="AQ2028" i="4"/>
  <c r="AQ2027" i="4"/>
  <c r="AQ2026" i="4"/>
  <c r="AQ2025" i="4"/>
  <c r="AQ2024" i="4"/>
  <c r="AQ2023" i="4"/>
  <c r="AQ2022" i="4"/>
  <c r="AQ2021" i="4"/>
  <c r="AQ2020" i="4"/>
  <c r="AQ2019" i="4"/>
  <c r="AQ2018" i="4"/>
  <c r="AQ2017" i="4"/>
  <c r="AQ2016" i="4"/>
  <c r="AQ2015" i="4"/>
  <c r="AQ2014" i="4"/>
  <c r="AQ2013" i="4"/>
  <c r="AQ2012" i="4"/>
  <c r="AQ2011" i="4"/>
  <c r="AQ2010" i="4"/>
  <c r="AQ2009" i="4"/>
  <c r="AQ2008" i="4"/>
  <c r="AQ2007" i="4"/>
  <c r="AQ2006" i="4"/>
  <c r="AQ2005" i="4"/>
  <c r="AQ2004" i="4"/>
  <c r="AQ2003" i="4"/>
  <c r="AQ2002" i="4"/>
  <c r="AQ2001" i="4"/>
  <c r="AQ2000" i="4"/>
  <c r="AQ1999" i="4"/>
  <c r="AQ1998" i="4"/>
  <c r="AQ1997" i="4"/>
  <c r="AQ1996" i="4"/>
  <c r="AQ1995" i="4"/>
  <c r="AQ1994" i="4"/>
  <c r="AQ1993" i="4"/>
  <c r="AQ1992" i="4"/>
  <c r="AQ1991" i="4"/>
  <c r="AQ1990" i="4"/>
  <c r="AQ1989" i="4"/>
  <c r="AQ1988" i="4"/>
  <c r="AQ1987" i="4"/>
  <c r="AQ1986" i="4"/>
  <c r="AQ1985" i="4"/>
  <c r="AQ1984" i="4"/>
  <c r="AQ1983" i="4"/>
  <c r="AQ1982" i="4"/>
  <c r="AQ1981" i="4"/>
  <c r="AQ1980" i="4"/>
  <c r="AQ1979" i="4"/>
  <c r="AQ1978" i="4"/>
  <c r="AQ1977" i="4"/>
  <c r="AQ1976" i="4"/>
  <c r="AQ1975" i="4"/>
  <c r="AQ1974" i="4"/>
  <c r="AQ1973" i="4"/>
  <c r="AQ1972" i="4"/>
  <c r="AQ1971" i="4"/>
  <c r="AQ1970" i="4"/>
  <c r="AQ1969" i="4"/>
  <c r="AQ1968" i="4"/>
  <c r="AQ1967" i="4"/>
  <c r="AQ1966" i="4"/>
  <c r="AQ1965" i="4"/>
  <c r="AQ1964" i="4"/>
  <c r="AQ1963" i="4"/>
  <c r="AQ1962" i="4"/>
  <c r="AQ1961" i="4"/>
  <c r="AQ1960" i="4"/>
  <c r="AQ1959" i="4"/>
  <c r="AQ1958" i="4"/>
  <c r="AQ1957" i="4"/>
  <c r="AQ1956" i="4"/>
  <c r="AQ1955" i="4"/>
  <c r="AQ1954" i="4"/>
  <c r="AQ1953" i="4"/>
  <c r="AQ1952" i="4"/>
  <c r="AQ1951" i="4"/>
  <c r="AQ1950" i="4"/>
  <c r="AQ1949" i="4"/>
  <c r="AQ1948" i="4"/>
  <c r="AQ1947" i="4"/>
  <c r="AQ1946" i="4"/>
  <c r="AQ1945" i="4"/>
  <c r="AQ1944" i="4"/>
  <c r="AQ1943" i="4"/>
  <c r="AQ1942" i="4"/>
  <c r="AQ1941" i="4"/>
  <c r="AQ1940" i="4"/>
  <c r="AQ1939" i="4"/>
  <c r="AQ1938" i="4"/>
  <c r="AQ1937" i="4"/>
  <c r="AQ1936" i="4"/>
  <c r="AQ1935" i="4"/>
  <c r="AQ1934" i="4"/>
  <c r="AQ1933" i="4"/>
  <c r="AQ1932" i="4"/>
  <c r="AQ1931" i="4"/>
  <c r="AQ1930" i="4"/>
  <c r="AQ1929" i="4"/>
  <c r="AQ1928" i="4"/>
  <c r="AQ1927" i="4"/>
  <c r="AQ1926" i="4"/>
  <c r="AQ1925" i="4"/>
  <c r="AQ1924" i="4"/>
  <c r="AQ1923" i="4"/>
  <c r="AQ1922" i="4"/>
  <c r="AQ1921" i="4"/>
  <c r="AQ1920" i="4"/>
  <c r="AQ1919" i="4"/>
  <c r="AQ1918" i="4"/>
  <c r="AQ1917" i="4"/>
  <c r="AQ1916" i="4"/>
  <c r="AQ1915" i="4"/>
  <c r="AQ1914" i="4"/>
  <c r="AQ1913" i="4"/>
  <c r="AQ1912" i="4"/>
  <c r="AQ1911" i="4"/>
  <c r="AQ1910" i="4"/>
  <c r="AQ1909" i="4"/>
  <c r="AQ1908" i="4"/>
  <c r="AQ1907" i="4"/>
  <c r="AQ1906" i="4"/>
  <c r="AQ1905" i="4"/>
  <c r="AQ1904" i="4"/>
  <c r="AQ1903" i="4"/>
  <c r="AQ1902" i="4"/>
  <c r="AQ1901" i="4"/>
  <c r="AQ1900" i="4"/>
  <c r="AQ1899" i="4"/>
  <c r="AQ1898" i="4"/>
  <c r="AQ1897" i="4"/>
  <c r="AQ1896" i="4"/>
  <c r="AQ1895" i="4"/>
  <c r="AQ1894" i="4"/>
  <c r="AQ1893" i="4"/>
  <c r="AQ1892" i="4"/>
  <c r="AQ1891" i="4"/>
  <c r="AQ1890" i="4"/>
  <c r="AQ1889" i="4"/>
  <c r="AQ1888" i="4"/>
  <c r="AQ1887" i="4"/>
  <c r="AQ1886" i="4"/>
  <c r="AQ1885" i="4"/>
  <c r="AQ1884" i="4"/>
  <c r="AQ1883" i="4"/>
  <c r="AQ1882" i="4"/>
  <c r="AQ1881" i="4"/>
  <c r="AQ1880" i="4"/>
  <c r="AQ1879" i="4"/>
  <c r="AQ1878" i="4"/>
  <c r="AQ1877" i="4"/>
  <c r="AQ1876" i="4"/>
  <c r="AQ1875" i="4"/>
  <c r="AQ1874" i="4"/>
  <c r="AQ1873" i="4"/>
  <c r="AQ1872" i="4"/>
  <c r="AQ1871" i="4"/>
  <c r="AQ1870" i="4"/>
  <c r="AQ1869" i="4"/>
  <c r="AQ1868" i="4"/>
  <c r="AQ1867" i="4"/>
  <c r="AQ1866" i="4"/>
  <c r="AQ1865" i="4"/>
  <c r="AQ1864" i="4"/>
  <c r="AQ1863" i="4"/>
  <c r="AQ1862" i="4"/>
  <c r="AQ1861" i="4"/>
  <c r="AQ1860" i="4"/>
  <c r="AQ1859" i="4"/>
  <c r="AQ1858" i="4"/>
  <c r="AQ1857" i="4"/>
  <c r="AQ1856" i="4"/>
  <c r="AQ1855" i="4"/>
  <c r="AQ1854" i="4"/>
  <c r="AQ1853" i="4"/>
  <c r="AQ1852" i="4"/>
  <c r="AQ1851" i="4"/>
  <c r="AQ1850" i="4"/>
  <c r="AQ1849" i="4"/>
  <c r="AQ1848" i="4"/>
  <c r="AQ1847" i="4"/>
  <c r="AQ1846" i="4"/>
  <c r="AQ1845" i="4"/>
  <c r="AQ1844" i="4"/>
  <c r="AQ1843" i="4"/>
  <c r="AQ1842" i="4"/>
  <c r="AQ1841" i="4"/>
  <c r="AQ1840" i="4"/>
  <c r="AQ1839" i="4"/>
  <c r="AQ1838" i="4"/>
  <c r="AQ1837" i="4"/>
  <c r="AQ1836" i="4"/>
  <c r="AQ1835" i="4"/>
  <c r="AQ1834" i="4"/>
  <c r="AQ1833" i="4"/>
  <c r="AQ1832" i="4"/>
  <c r="AQ1831" i="4"/>
  <c r="AQ1830" i="4"/>
  <c r="AQ1829" i="4"/>
  <c r="AQ1828" i="4"/>
  <c r="AQ1827" i="4"/>
  <c r="AQ1826" i="4"/>
  <c r="AQ1825" i="4"/>
  <c r="AQ1824" i="4"/>
  <c r="AQ1823" i="4"/>
  <c r="AQ1822" i="4"/>
  <c r="AQ1821" i="4"/>
  <c r="AQ1820" i="4"/>
  <c r="AQ1819" i="4"/>
  <c r="AQ1818" i="4"/>
  <c r="AQ1817" i="4"/>
  <c r="AQ1816" i="4"/>
  <c r="AQ1815" i="4"/>
  <c r="AQ1814" i="4"/>
  <c r="AQ1813" i="4"/>
  <c r="AQ1812" i="4"/>
  <c r="AQ1811" i="4"/>
  <c r="AQ1810" i="4"/>
  <c r="AQ1809" i="4"/>
  <c r="AQ1808" i="4"/>
  <c r="AQ1807" i="4"/>
  <c r="AQ1806" i="4"/>
  <c r="AQ1805" i="4"/>
  <c r="AQ1804" i="4"/>
  <c r="AQ1803" i="4"/>
  <c r="AQ1802" i="4"/>
  <c r="AQ1801" i="4"/>
  <c r="AQ1800" i="4"/>
  <c r="AQ1799" i="4"/>
  <c r="AQ1798" i="4"/>
  <c r="AQ1797" i="4"/>
  <c r="AQ1796" i="4"/>
  <c r="AQ1795" i="4"/>
  <c r="AQ1794" i="4"/>
  <c r="AQ1793" i="4"/>
  <c r="AQ1792" i="4"/>
  <c r="AQ1791" i="4"/>
  <c r="AQ1790" i="4"/>
  <c r="AQ1789" i="4"/>
  <c r="AQ1788" i="4"/>
  <c r="AQ1787" i="4"/>
  <c r="AQ1786" i="4"/>
  <c r="AQ1785" i="4"/>
  <c r="AQ1784" i="4"/>
  <c r="AQ1783" i="4"/>
  <c r="AQ1782" i="4"/>
  <c r="AQ1781" i="4"/>
  <c r="AQ1780" i="4"/>
  <c r="AQ1779" i="4"/>
  <c r="AQ1778" i="4"/>
  <c r="AQ1777" i="4"/>
  <c r="AQ1776" i="4"/>
  <c r="AQ1775" i="4"/>
  <c r="AQ1774" i="4"/>
  <c r="AQ1773" i="4"/>
  <c r="AQ1772" i="4"/>
  <c r="AQ1771" i="4"/>
  <c r="AQ1770" i="4"/>
  <c r="AQ1769" i="4"/>
  <c r="AQ1768" i="4"/>
  <c r="AQ1767" i="4"/>
  <c r="AQ1766" i="4"/>
  <c r="AQ1765" i="4"/>
  <c r="AQ1764" i="4"/>
  <c r="AQ1763" i="4"/>
  <c r="AQ1762" i="4"/>
  <c r="AQ1761" i="4"/>
  <c r="AQ1760" i="4"/>
  <c r="AQ1759" i="4"/>
  <c r="AQ1758" i="4"/>
  <c r="AQ1757" i="4"/>
  <c r="AQ1756" i="4"/>
  <c r="AQ1755" i="4"/>
  <c r="AQ1754" i="4"/>
  <c r="AQ1753" i="4"/>
  <c r="AQ1752" i="4"/>
  <c r="AQ1751" i="4"/>
  <c r="AQ1750" i="4"/>
  <c r="AQ1749" i="4"/>
  <c r="AQ1748" i="4"/>
  <c r="AQ1747" i="4"/>
  <c r="AQ1746" i="4"/>
  <c r="AQ1745" i="4"/>
  <c r="AQ1744" i="4"/>
  <c r="AQ1743" i="4"/>
  <c r="AQ1742" i="4"/>
  <c r="AQ1741" i="4"/>
  <c r="AQ1740" i="4"/>
  <c r="AQ1739" i="4"/>
  <c r="AQ1738" i="4"/>
  <c r="AQ1737" i="4"/>
  <c r="AQ1736" i="4"/>
  <c r="AQ1735" i="4"/>
  <c r="AQ1734" i="4"/>
  <c r="AQ1733" i="4"/>
  <c r="AQ1732" i="4"/>
  <c r="AQ1731" i="4"/>
  <c r="AQ1730" i="4"/>
  <c r="AQ1729" i="4"/>
  <c r="AQ1728" i="4"/>
  <c r="AQ1727" i="4"/>
  <c r="AQ1726" i="4"/>
  <c r="AQ1725" i="4"/>
  <c r="AQ1724" i="4"/>
  <c r="AQ1723" i="4"/>
  <c r="AQ1722" i="4"/>
  <c r="AQ1721" i="4"/>
  <c r="AQ1720" i="4"/>
  <c r="AQ1719" i="4"/>
  <c r="AQ1718" i="4"/>
  <c r="AQ1717" i="4"/>
  <c r="AQ1716" i="4"/>
  <c r="AQ1715" i="4"/>
  <c r="AQ1714" i="4"/>
  <c r="AQ1713" i="4"/>
  <c r="AQ1712" i="4"/>
  <c r="AQ1711" i="4"/>
  <c r="AQ1710" i="4"/>
  <c r="AQ1709" i="4"/>
  <c r="AQ1708" i="4"/>
  <c r="AQ1707" i="4"/>
  <c r="AQ1706" i="4"/>
  <c r="AQ1705" i="4"/>
  <c r="AQ1704" i="4"/>
  <c r="AQ1703" i="4"/>
  <c r="AQ1702" i="4"/>
  <c r="AQ1701" i="4"/>
  <c r="AQ1700" i="4"/>
  <c r="AQ1699" i="4"/>
  <c r="AQ1698" i="4"/>
  <c r="AQ1697" i="4"/>
  <c r="AQ1696" i="4"/>
  <c r="AQ1695" i="4"/>
  <c r="AQ1694" i="4"/>
  <c r="AQ1693" i="4"/>
  <c r="AQ1692" i="4"/>
  <c r="AQ1691" i="4"/>
  <c r="AQ1690" i="4"/>
  <c r="AQ1689" i="4"/>
  <c r="AQ1688" i="4"/>
  <c r="AQ1687" i="4"/>
  <c r="AQ1686" i="4"/>
  <c r="AQ1685" i="4"/>
  <c r="AQ1684" i="4"/>
  <c r="AQ1683" i="4"/>
  <c r="AQ1682" i="4"/>
  <c r="AQ1681" i="4"/>
  <c r="AQ1680" i="4"/>
  <c r="AQ1679" i="4"/>
  <c r="AQ1678" i="4"/>
  <c r="AQ1677" i="4"/>
  <c r="AQ1676" i="4"/>
  <c r="AQ1675" i="4"/>
  <c r="AQ1674" i="4"/>
  <c r="AQ1673" i="4"/>
  <c r="AQ1672" i="4"/>
  <c r="AQ1671" i="4"/>
  <c r="AQ1670" i="4"/>
  <c r="AQ1669" i="4"/>
  <c r="AQ1668" i="4"/>
  <c r="AQ1667" i="4"/>
  <c r="AQ1666" i="4"/>
  <c r="AQ1665" i="4"/>
  <c r="AQ1664" i="4"/>
  <c r="AQ1663" i="4"/>
  <c r="AQ1662" i="4"/>
  <c r="AQ1661" i="4"/>
  <c r="AQ1660" i="4"/>
  <c r="AQ1659" i="4"/>
  <c r="AQ1658" i="4"/>
  <c r="AQ1657" i="4"/>
  <c r="AQ1656" i="4"/>
  <c r="AQ1655" i="4"/>
  <c r="AQ1654" i="4"/>
  <c r="AQ1653" i="4"/>
  <c r="AQ1652" i="4"/>
  <c r="AQ1651" i="4"/>
  <c r="AQ1650" i="4"/>
  <c r="AQ1649" i="4"/>
  <c r="AQ1648" i="4"/>
  <c r="AQ1647" i="4"/>
  <c r="AQ1646" i="4"/>
  <c r="AQ1645" i="4"/>
  <c r="AQ1644" i="4"/>
  <c r="AQ1643" i="4"/>
  <c r="AQ1642" i="4"/>
  <c r="AQ1641" i="4"/>
  <c r="AQ1640" i="4"/>
  <c r="AQ1639" i="4"/>
  <c r="AQ1638" i="4"/>
  <c r="AQ1637" i="4"/>
  <c r="AQ1636" i="4"/>
  <c r="AQ1635" i="4"/>
  <c r="AQ1634" i="4"/>
  <c r="AQ1633" i="4"/>
  <c r="AQ1632" i="4"/>
  <c r="AQ1631" i="4"/>
  <c r="AQ1630" i="4"/>
  <c r="AQ1629" i="4"/>
  <c r="AQ1628" i="4"/>
  <c r="AQ1627" i="4"/>
  <c r="AQ1626" i="4"/>
  <c r="AQ1625" i="4"/>
  <c r="AQ1624" i="4"/>
  <c r="AQ1623" i="4"/>
  <c r="AQ1622" i="4"/>
  <c r="AQ1621" i="4"/>
  <c r="AQ1620" i="4"/>
  <c r="AQ1619" i="4"/>
  <c r="AQ1618" i="4"/>
  <c r="AQ1617" i="4"/>
  <c r="AQ1616" i="4"/>
  <c r="AQ1615" i="4"/>
  <c r="AQ1614" i="4"/>
  <c r="AQ1613" i="4"/>
  <c r="AQ1612" i="4"/>
  <c r="AQ1611" i="4"/>
  <c r="AQ1610" i="4"/>
  <c r="AQ1609" i="4"/>
  <c r="AQ1608" i="4"/>
  <c r="AQ1607" i="4"/>
  <c r="AQ1606" i="4"/>
  <c r="AQ1605" i="4"/>
  <c r="AQ1604" i="4"/>
  <c r="AQ1603" i="4"/>
  <c r="AQ1602" i="4"/>
  <c r="AQ1601" i="4"/>
  <c r="AQ1600" i="4"/>
  <c r="AQ1599" i="4"/>
  <c r="AQ1598" i="4"/>
  <c r="AQ1597" i="4"/>
  <c r="AQ1596" i="4"/>
  <c r="AQ1595" i="4"/>
  <c r="AQ1594" i="4"/>
  <c r="AQ1593" i="4"/>
  <c r="AQ1592" i="4"/>
  <c r="AQ1591" i="4"/>
  <c r="AQ1590" i="4"/>
  <c r="AQ1589" i="4"/>
  <c r="AQ1588" i="4"/>
  <c r="AQ1587" i="4"/>
  <c r="AQ1586" i="4"/>
  <c r="AQ1585" i="4"/>
  <c r="AQ1584" i="4"/>
  <c r="AQ1583" i="4"/>
  <c r="AQ1582" i="4"/>
  <c r="AQ1581" i="4"/>
  <c r="AQ1580" i="4"/>
  <c r="AQ1579" i="4"/>
  <c r="AQ1578" i="4"/>
  <c r="AQ1577" i="4"/>
  <c r="AQ1576" i="4"/>
  <c r="AQ1575" i="4"/>
  <c r="AQ1574" i="4"/>
  <c r="AQ1573" i="4"/>
  <c r="AQ1572" i="4"/>
  <c r="AQ1571" i="4"/>
  <c r="AQ1570" i="4"/>
  <c r="AQ1569" i="4"/>
  <c r="AQ1568" i="4"/>
  <c r="AQ1567" i="4"/>
  <c r="AQ1566" i="4"/>
  <c r="AQ1565" i="4"/>
  <c r="AQ1564" i="4"/>
  <c r="AQ1563" i="4"/>
  <c r="AQ1562" i="4"/>
  <c r="AQ1561" i="4"/>
  <c r="AQ1560" i="4"/>
  <c r="AQ1559" i="4"/>
  <c r="AQ1558" i="4"/>
  <c r="AQ1557" i="4"/>
  <c r="AQ1556" i="4"/>
  <c r="AQ1555" i="4"/>
  <c r="AQ1554" i="4"/>
  <c r="AQ1553" i="4"/>
  <c r="AQ1552" i="4"/>
  <c r="AQ1551" i="4"/>
  <c r="AQ1550" i="4"/>
  <c r="AQ1549" i="4"/>
  <c r="AQ1548" i="4"/>
  <c r="AQ1547" i="4"/>
  <c r="AQ1546" i="4"/>
  <c r="AQ1545" i="4"/>
  <c r="AQ1544" i="4"/>
  <c r="AQ1543" i="4"/>
  <c r="AQ1542" i="4"/>
  <c r="AQ1541" i="4"/>
  <c r="AQ1540" i="4"/>
  <c r="AQ1539" i="4"/>
  <c r="AQ1538" i="4"/>
  <c r="AQ1537" i="4"/>
  <c r="AQ1536" i="4"/>
  <c r="AQ1535" i="4"/>
  <c r="AQ1534" i="4"/>
  <c r="AQ1533" i="4"/>
  <c r="AQ1532" i="4"/>
  <c r="AQ1531" i="4"/>
  <c r="AQ1530" i="4"/>
  <c r="AQ1529" i="4"/>
  <c r="AQ1528" i="4"/>
  <c r="AQ1527" i="4"/>
  <c r="AQ1526" i="4"/>
  <c r="AQ1525" i="4"/>
  <c r="AQ1524" i="4"/>
  <c r="AQ1523" i="4"/>
  <c r="AQ1522" i="4"/>
  <c r="AQ1521" i="4"/>
  <c r="AQ1520" i="4"/>
  <c r="AQ1519" i="4"/>
  <c r="AQ1518" i="4"/>
  <c r="AQ1517" i="4"/>
  <c r="AQ1516" i="4"/>
  <c r="AQ1515" i="4"/>
  <c r="AQ1514" i="4"/>
  <c r="AQ1513" i="4"/>
  <c r="AQ1512" i="4"/>
  <c r="AQ1511" i="4"/>
  <c r="AQ1510" i="4"/>
  <c r="AQ1509" i="4"/>
  <c r="AQ1508" i="4"/>
  <c r="AQ1507" i="4"/>
  <c r="AQ1506" i="4"/>
  <c r="AQ1505" i="4"/>
  <c r="AQ1504" i="4"/>
  <c r="AQ1503" i="4"/>
  <c r="AQ1502" i="4"/>
  <c r="AQ1501" i="4"/>
  <c r="AQ1500" i="4"/>
  <c r="AQ1499" i="4"/>
  <c r="AQ1498" i="4"/>
  <c r="AQ1497" i="4"/>
  <c r="AQ1496" i="4"/>
  <c r="AQ1495" i="4"/>
  <c r="AQ1494" i="4"/>
  <c r="AQ1493" i="4"/>
  <c r="AQ1492" i="4"/>
  <c r="AQ1491" i="4"/>
  <c r="AQ1490" i="4"/>
  <c r="AQ1489" i="4"/>
  <c r="AQ1488" i="4"/>
  <c r="AQ1487" i="4"/>
  <c r="AQ1486" i="4"/>
  <c r="AQ1485" i="4"/>
  <c r="AQ1484" i="4"/>
  <c r="AQ1483" i="4"/>
  <c r="AQ1482" i="4"/>
  <c r="AQ1481" i="4"/>
  <c r="AQ1480" i="4"/>
  <c r="AQ1479" i="4"/>
  <c r="AQ1478" i="4"/>
  <c r="AQ1477" i="4"/>
  <c r="AQ1476" i="4"/>
  <c r="AQ1475" i="4"/>
  <c r="AQ1474" i="4"/>
  <c r="AQ1473" i="4"/>
  <c r="AQ1472" i="4"/>
  <c r="AQ1471" i="4"/>
  <c r="AQ1470" i="4"/>
  <c r="AQ1469" i="4"/>
  <c r="AQ1468" i="4"/>
  <c r="AQ1467" i="4"/>
  <c r="AQ1466" i="4"/>
  <c r="AQ1465" i="4"/>
  <c r="AQ1464" i="4"/>
  <c r="AQ1463" i="4"/>
  <c r="AQ1462" i="4"/>
  <c r="AQ1461" i="4"/>
  <c r="AQ1460" i="4"/>
  <c r="AQ1459" i="4"/>
  <c r="AQ1458" i="4"/>
  <c r="AQ1457" i="4"/>
  <c r="AQ1456" i="4"/>
  <c r="AQ1455" i="4"/>
  <c r="AQ1454" i="4"/>
  <c r="AQ1453" i="4"/>
  <c r="AQ1452" i="4"/>
  <c r="AQ1451" i="4"/>
  <c r="AQ1450" i="4"/>
  <c r="AQ1449" i="4"/>
  <c r="AQ1448" i="4"/>
  <c r="AQ1447" i="4"/>
  <c r="AQ1446" i="4"/>
  <c r="AQ1445" i="4"/>
  <c r="AQ1444" i="4"/>
  <c r="AQ1443" i="4"/>
  <c r="AQ1442" i="4"/>
  <c r="AQ1441" i="4"/>
  <c r="AQ1440" i="4"/>
  <c r="AQ1439" i="4"/>
  <c r="AQ1438" i="4"/>
  <c r="AQ1437" i="4"/>
  <c r="AQ1436" i="4"/>
  <c r="AQ1435" i="4"/>
  <c r="AQ1434" i="4"/>
  <c r="AQ1433" i="4"/>
  <c r="AQ1432" i="4"/>
  <c r="AQ1431" i="4"/>
  <c r="AQ1430" i="4"/>
  <c r="AQ1429" i="4"/>
  <c r="AQ1428" i="4"/>
  <c r="AQ1427" i="4"/>
  <c r="AQ1426" i="4"/>
  <c r="AQ1425" i="4"/>
  <c r="AQ1424" i="4"/>
  <c r="AQ1423" i="4"/>
  <c r="AQ1422" i="4"/>
  <c r="AQ1421" i="4"/>
  <c r="AQ1420" i="4"/>
  <c r="AQ1419" i="4"/>
  <c r="AQ1418" i="4"/>
  <c r="AQ1417" i="4"/>
  <c r="AQ1416" i="4"/>
  <c r="AQ1415" i="4"/>
  <c r="AQ1414" i="4"/>
  <c r="AQ1413" i="4"/>
  <c r="AQ1412" i="4"/>
  <c r="AQ1411" i="4"/>
  <c r="AQ1410" i="4"/>
  <c r="AQ1409" i="4"/>
  <c r="AQ1408" i="4"/>
  <c r="AQ1407" i="4"/>
  <c r="AQ1406" i="4"/>
  <c r="AQ1405" i="4"/>
  <c r="AQ1404" i="4"/>
  <c r="AQ1403" i="4"/>
  <c r="AQ1402" i="4"/>
  <c r="AQ1401" i="4"/>
  <c r="AQ1400" i="4"/>
  <c r="AQ1399" i="4"/>
  <c r="AQ1398" i="4"/>
  <c r="AQ1397" i="4"/>
  <c r="AQ1396" i="4"/>
  <c r="AQ1395" i="4"/>
  <c r="AQ1394" i="4"/>
  <c r="AQ1393" i="4"/>
  <c r="AQ1392" i="4"/>
  <c r="AQ1391" i="4"/>
  <c r="AQ1390" i="4"/>
  <c r="AQ1389" i="4"/>
  <c r="AQ1388" i="4"/>
  <c r="AQ1387" i="4"/>
  <c r="AQ1386" i="4"/>
  <c r="AQ1385" i="4"/>
  <c r="AQ1384" i="4"/>
  <c r="AQ1383" i="4"/>
  <c r="AQ1382" i="4"/>
  <c r="AQ1381" i="4"/>
  <c r="AQ1380" i="4"/>
  <c r="AQ1379" i="4"/>
  <c r="AQ1378" i="4"/>
  <c r="AQ1377" i="4"/>
  <c r="AQ1376" i="4"/>
  <c r="AQ1375" i="4"/>
  <c r="AQ1374" i="4"/>
  <c r="AQ1373" i="4"/>
  <c r="AQ1372" i="4"/>
  <c r="AQ1371" i="4"/>
  <c r="AQ1370" i="4"/>
  <c r="AQ1369" i="4"/>
  <c r="AQ1368" i="4"/>
  <c r="AQ1367" i="4"/>
  <c r="AQ1366" i="4"/>
  <c r="AQ1365" i="4"/>
  <c r="AQ1364" i="4"/>
  <c r="AQ1363" i="4"/>
  <c r="AQ1362" i="4"/>
  <c r="AQ1361" i="4"/>
  <c r="AQ1360" i="4"/>
  <c r="AQ1359" i="4"/>
  <c r="AQ1358" i="4"/>
  <c r="AQ1357" i="4"/>
  <c r="AQ1356" i="4"/>
  <c r="AQ1355" i="4"/>
  <c r="AQ1354" i="4"/>
  <c r="AQ1353" i="4"/>
  <c r="AQ1352" i="4"/>
  <c r="AQ1351" i="4"/>
  <c r="AQ1350" i="4"/>
  <c r="AQ1349" i="4"/>
  <c r="AQ1348" i="4"/>
  <c r="AQ1347" i="4"/>
  <c r="AQ1346" i="4"/>
  <c r="AQ1345" i="4"/>
  <c r="AQ1344" i="4"/>
  <c r="AQ1343" i="4"/>
  <c r="AQ1342" i="4"/>
  <c r="AQ1341" i="4"/>
  <c r="AQ1340" i="4"/>
  <c r="AQ1339" i="4"/>
  <c r="AQ1338" i="4"/>
  <c r="AQ1337" i="4"/>
  <c r="AQ1336" i="4"/>
  <c r="AQ1335" i="4"/>
  <c r="AQ1334" i="4"/>
  <c r="AQ1333" i="4"/>
  <c r="AQ1332" i="4"/>
  <c r="AQ1331" i="4"/>
  <c r="AQ1330" i="4"/>
  <c r="AQ1329" i="4"/>
  <c r="AQ1328" i="4"/>
  <c r="AQ1327" i="4"/>
  <c r="AQ1326" i="4"/>
  <c r="AQ1325" i="4"/>
  <c r="AQ1324" i="4"/>
  <c r="AQ1323" i="4"/>
  <c r="AQ1322" i="4"/>
  <c r="AQ1321" i="4"/>
  <c r="AQ1320" i="4"/>
  <c r="AQ1319" i="4"/>
  <c r="AQ1318" i="4"/>
  <c r="AQ1317" i="4"/>
  <c r="AQ1316" i="4"/>
  <c r="AQ1315" i="4"/>
  <c r="AQ1314" i="4"/>
  <c r="AQ1313" i="4"/>
  <c r="AQ1312" i="4"/>
  <c r="AQ1311" i="4"/>
  <c r="AQ1310" i="4"/>
  <c r="AQ1309" i="4"/>
  <c r="AQ1308" i="4"/>
  <c r="AQ1307" i="4"/>
  <c r="AQ1306" i="4"/>
  <c r="AQ1305" i="4"/>
  <c r="AQ1304" i="4"/>
  <c r="AQ1303" i="4"/>
  <c r="AQ1302" i="4"/>
  <c r="AQ1301" i="4"/>
  <c r="AQ1300" i="4"/>
  <c r="AQ1299" i="4"/>
  <c r="AQ1298" i="4"/>
  <c r="AQ1297" i="4"/>
  <c r="AQ1296" i="4"/>
  <c r="AQ1295" i="4"/>
  <c r="AQ1294" i="4"/>
  <c r="AQ1293" i="4"/>
  <c r="AQ1292" i="4"/>
  <c r="AQ1291" i="4"/>
  <c r="AQ1290" i="4"/>
  <c r="AQ1289" i="4"/>
  <c r="AQ1288" i="4"/>
  <c r="AQ1287" i="4"/>
  <c r="AQ1286" i="4"/>
  <c r="AQ1285" i="4"/>
  <c r="AQ1284" i="4"/>
  <c r="AQ1283" i="4"/>
  <c r="AQ1282" i="4"/>
  <c r="AQ1281" i="4"/>
  <c r="AQ1280" i="4"/>
  <c r="AQ1279" i="4"/>
  <c r="AQ1278" i="4"/>
  <c r="AQ1277" i="4"/>
  <c r="AQ1276" i="4"/>
  <c r="AQ1275" i="4"/>
  <c r="AQ1274" i="4"/>
  <c r="AQ1273" i="4"/>
  <c r="AQ1272" i="4"/>
  <c r="AQ1271" i="4"/>
  <c r="AQ1270" i="4"/>
  <c r="AQ1269" i="4"/>
  <c r="AQ1268" i="4"/>
  <c r="AQ1267" i="4"/>
  <c r="AQ1266" i="4"/>
  <c r="AQ1265" i="4"/>
  <c r="AQ1264" i="4"/>
  <c r="AQ1263" i="4"/>
  <c r="AQ1262" i="4"/>
  <c r="AQ1261" i="4"/>
  <c r="AQ1260" i="4"/>
  <c r="AQ1259" i="4"/>
  <c r="AQ1258" i="4"/>
  <c r="AQ1257" i="4"/>
  <c r="AQ1256" i="4"/>
  <c r="AQ1255" i="4"/>
  <c r="AQ1254" i="4"/>
  <c r="AQ1253" i="4"/>
  <c r="AQ1252" i="4"/>
  <c r="AQ1251" i="4"/>
  <c r="AQ1250" i="4"/>
  <c r="AQ1249" i="4"/>
  <c r="AQ1248" i="4"/>
  <c r="AQ1247" i="4"/>
  <c r="AQ1246" i="4"/>
  <c r="AQ1245" i="4"/>
  <c r="AQ1244" i="4"/>
  <c r="AQ1243" i="4"/>
  <c r="AQ1242" i="4"/>
  <c r="AQ1241" i="4"/>
  <c r="AQ1240" i="4"/>
  <c r="AQ1239" i="4"/>
  <c r="AQ1238" i="4"/>
  <c r="AQ1237" i="4"/>
  <c r="AQ1236" i="4"/>
  <c r="AQ1235" i="4"/>
  <c r="AQ1234" i="4"/>
  <c r="AQ1233" i="4"/>
  <c r="AQ1232" i="4"/>
  <c r="AQ1231" i="4"/>
  <c r="AQ1230" i="4"/>
  <c r="AQ1229" i="4"/>
  <c r="AQ1228" i="4"/>
  <c r="AQ1227" i="4"/>
  <c r="AQ1226" i="4"/>
  <c r="AQ1225" i="4"/>
  <c r="AQ1224" i="4"/>
  <c r="AQ1223" i="4"/>
  <c r="AQ1222" i="4"/>
  <c r="AQ1221" i="4"/>
  <c r="AQ1220" i="4"/>
  <c r="AQ1219" i="4"/>
  <c r="AQ1218" i="4"/>
  <c r="AQ1217" i="4"/>
  <c r="AQ1216" i="4"/>
  <c r="AQ1215" i="4"/>
  <c r="AQ1214" i="4"/>
  <c r="AQ1213" i="4"/>
  <c r="AQ1212" i="4"/>
  <c r="AQ1211" i="4"/>
  <c r="AQ1210" i="4"/>
  <c r="AQ1209" i="4"/>
  <c r="AQ1208" i="4"/>
  <c r="AQ1207" i="4"/>
  <c r="AQ1206" i="4"/>
  <c r="AQ1205" i="4"/>
  <c r="AQ1204" i="4"/>
  <c r="AQ1203" i="4"/>
  <c r="AQ1202" i="4"/>
  <c r="AQ1201" i="4"/>
  <c r="AQ1200" i="4"/>
  <c r="AQ1199" i="4"/>
  <c r="AQ1198" i="4"/>
  <c r="AQ1197" i="4"/>
  <c r="AQ1196" i="4"/>
  <c r="AQ1195" i="4"/>
  <c r="AQ1194" i="4"/>
  <c r="AQ1193" i="4"/>
  <c r="AQ1192" i="4"/>
  <c r="AQ1191" i="4"/>
  <c r="AQ1190" i="4"/>
  <c r="AQ1189" i="4"/>
  <c r="AQ1188" i="4"/>
  <c r="AQ1187" i="4"/>
  <c r="AQ1186" i="4"/>
  <c r="AQ1185" i="4"/>
  <c r="AQ1184" i="4"/>
  <c r="AQ1183" i="4"/>
  <c r="AQ1182" i="4"/>
  <c r="AQ1181" i="4"/>
  <c r="AQ1180" i="4"/>
  <c r="AQ1179" i="4"/>
  <c r="AQ1178" i="4"/>
  <c r="AQ1177" i="4"/>
  <c r="AQ1176" i="4"/>
  <c r="AQ1175" i="4"/>
  <c r="AQ1174" i="4"/>
  <c r="AQ1173" i="4"/>
  <c r="AQ1172" i="4"/>
  <c r="AQ1171" i="4"/>
  <c r="AQ1170" i="4"/>
  <c r="AQ1169" i="4"/>
  <c r="AQ1168" i="4"/>
  <c r="AQ1167" i="4"/>
  <c r="AQ1166" i="4"/>
  <c r="AQ1165" i="4"/>
  <c r="AQ1164" i="4"/>
  <c r="AQ1163" i="4"/>
  <c r="AQ1162" i="4"/>
  <c r="AQ1161" i="4"/>
  <c r="AQ1160" i="4"/>
  <c r="AQ1159" i="4"/>
  <c r="AQ1158" i="4"/>
  <c r="AQ1157" i="4"/>
  <c r="AQ1156" i="4"/>
  <c r="AQ1155" i="4"/>
  <c r="AQ1154" i="4"/>
  <c r="AQ1153" i="4"/>
  <c r="AQ1152" i="4"/>
  <c r="AQ1151" i="4"/>
  <c r="AQ1150" i="4"/>
  <c r="AQ1149" i="4"/>
  <c r="AQ1148" i="4"/>
  <c r="AQ1147" i="4"/>
  <c r="AQ1146" i="4"/>
  <c r="AQ1145" i="4"/>
  <c r="AQ1144" i="4"/>
  <c r="AQ1143" i="4"/>
  <c r="AQ1142" i="4"/>
  <c r="AQ1141" i="4"/>
  <c r="AQ1140" i="4"/>
  <c r="AQ1139" i="4"/>
  <c r="AQ1138" i="4"/>
  <c r="AQ1137" i="4"/>
  <c r="AQ1136" i="4"/>
  <c r="AQ1135" i="4"/>
  <c r="AQ1134" i="4"/>
  <c r="AQ1133" i="4"/>
  <c r="AQ1132" i="4"/>
  <c r="AQ1131" i="4"/>
  <c r="AQ1130" i="4"/>
  <c r="AQ1129" i="4"/>
  <c r="AQ1128" i="4"/>
  <c r="AQ1127" i="4"/>
  <c r="AQ1126" i="4"/>
  <c r="AQ1125" i="4"/>
  <c r="AQ1124" i="4"/>
  <c r="AQ1123" i="4"/>
  <c r="AQ1122" i="4"/>
  <c r="AQ1121" i="4"/>
  <c r="AQ1120" i="4"/>
  <c r="AQ1119" i="4"/>
  <c r="AQ1118" i="4"/>
  <c r="AQ1117" i="4"/>
  <c r="AQ1116" i="4"/>
  <c r="AQ1115" i="4"/>
  <c r="AQ1114" i="4"/>
  <c r="AQ1113" i="4"/>
  <c r="AQ1112" i="4"/>
  <c r="AQ1111" i="4"/>
  <c r="AQ1110" i="4"/>
  <c r="AQ1109" i="4"/>
  <c r="AQ1108" i="4"/>
  <c r="AQ1107" i="4"/>
  <c r="AQ1106" i="4"/>
  <c r="AQ1105" i="4"/>
  <c r="AQ1104" i="4"/>
  <c r="AQ1103" i="4"/>
  <c r="AQ1102" i="4"/>
  <c r="AQ1101" i="4"/>
  <c r="AQ1100" i="4"/>
  <c r="AQ1099" i="4"/>
  <c r="AQ1098" i="4"/>
  <c r="AQ1097" i="4"/>
  <c r="AQ1096" i="4"/>
  <c r="AQ1095" i="4"/>
  <c r="AQ1094" i="4"/>
  <c r="AQ1093" i="4"/>
  <c r="AQ1092" i="4"/>
  <c r="AQ1091" i="4"/>
  <c r="AQ1090" i="4"/>
  <c r="AQ1089" i="4"/>
  <c r="AQ1088" i="4"/>
  <c r="AQ1087" i="4"/>
  <c r="AQ1086" i="4"/>
  <c r="AQ1085" i="4"/>
  <c r="AQ1084" i="4"/>
  <c r="AQ1083" i="4"/>
  <c r="AQ1082" i="4"/>
  <c r="AQ1081" i="4"/>
  <c r="AQ1080" i="4"/>
  <c r="AQ1079" i="4"/>
  <c r="AQ1078" i="4"/>
  <c r="AQ1077" i="4"/>
  <c r="AQ1076" i="4"/>
  <c r="AQ1075" i="4"/>
  <c r="AQ1074" i="4"/>
  <c r="AQ1073" i="4"/>
  <c r="AQ1072" i="4"/>
  <c r="AQ1071" i="4"/>
  <c r="AQ1070" i="4"/>
  <c r="AQ1069" i="4"/>
  <c r="AQ1068" i="4"/>
  <c r="AQ1067" i="4"/>
  <c r="AQ1066" i="4"/>
  <c r="AQ1065" i="4"/>
  <c r="AQ1064" i="4"/>
  <c r="AQ1063" i="4"/>
  <c r="AQ1062" i="4"/>
  <c r="AQ1061" i="4"/>
  <c r="AQ1060" i="4"/>
  <c r="AQ1059" i="4"/>
  <c r="AQ1058" i="4"/>
  <c r="AQ1057" i="4"/>
  <c r="AQ1056" i="4"/>
  <c r="AQ1055" i="4"/>
  <c r="AQ1054" i="4"/>
  <c r="AQ1053" i="4"/>
  <c r="AQ1052" i="4"/>
  <c r="AQ1051" i="4"/>
  <c r="AQ1050" i="4"/>
  <c r="AQ1049" i="4"/>
  <c r="AQ1048" i="4"/>
  <c r="AQ1047" i="4"/>
  <c r="AQ1046" i="4"/>
  <c r="AQ1045" i="4"/>
  <c r="AQ1044" i="4"/>
  <c r="AQ1043" i="4"/>
  <c r="AQ1042" i="4"/>
  <c r="AQ1041" i="4"/>
  <c r="AQ1040" i="4"/>
  <c r="AQ1039" i="4"/>
  <c r="AQ1038" i="4"/>
  <c r="AQ1037" i="4"/>
  <c r="AQ1036" i="4"/>
  <c r="AQ1035" i="4"/>
  <c r="AQ1034" i="4"/>
  <c r="AQ1033" i="4"/>
  <c r="AQ1032" i="4"/>
  <c r="AQ1031" i="4"/>
  <c r="AQ1030" i="4"/>
  <c r="AQ1029" i="4"/>
  <c r="AQ1028" i="4"/>
  <c r="AQ1027" i="4"/>
  <c r="AQ1026" i="4"/>
  <c r="AQ1025" i="4"/>
  <c r="AQ1024" i="4"/>
  <c r="AQ1023" i="4"/>
  <c r="AQ1022" i="4"/>
  <c r="AQ1021" i="4"/>
  <c r="AQ1020" i="4"/>
  <c r="AQ1019" i="4"/>
  <c r="AQ1018" i="4"/>
  <c r="AQ1017" i="4"/>
  <c r="AQ1016" i="4"/>
  <c r="AQ1015" i="4"/>
  <c r="AQ1014" i="4"/>
  <c r="AQ1013" i="4"/>
  <c r="AQ1012" i="4"/>
  <c r="AQ1011" i="4"/>
  <c r="AQ1010" i="4"/>
  <c r="AQ1009" i="4"/>
  <c r="AQ1008" i="4"/>
  <c r="AQ1007" i="4"/>
  <c r="AQ1006" i="4"/>
  <c r="AQ1005" i="4"/>
  <c r="AQ1004" i="4"/>
  <c r="AQ1003" i="4"/>
  <c r="AQ1002" i="4"/>
  <c r="AQ1001" i="4"/>
  <c r="AQ1000" i="4"/>
  <c r="AQ999" i="4"/>
  <c r="AQ998" i="4"/>
  <c r="AQ997" i="4"/>
  <c r="AQ996" i="4"/>
  <c r="AQ995" i="4"/>
  <c r="AQ994" i="4"/>
  <c r="AQ993" i="4"/>
  <c r="AQ992" i="4"/>
  <c r="AQ991" i="4"/>
  <c r="AQ990" i="4"/>
  <c r="AQ989" i="4"/>
  <c r="AQ988" i="4"/>
  <c r="AQ987" i="4"/>
  <c r="AQ986" i="4"/>
  <c r="AQ985" i="4"/>
  <c r="AQ984" i="4"/>
  <c r="AQ983" i="4"/>
  <c r="AQ982" i="4"/>
  <c r="AQ981" i="4"/>
  <c r="AQ980" i="4"/>
  <c r="AQ979" i="4"/>
  <c r="AQ978" i="4"/>
  <c r="AQ977" i="4"/>
  <c r="AQ976" i="4"/>
  <c r="AQ975" i="4"/>
  <c r="AQ974" i="4"/>
  <c r="AQ973" i="4"/>
  <c r="AQ972" i="4"/>
  <c r="AQ971" i="4"/>
  <c r="AQ970" i="4"/>
  <c r="AQ969" i="4"/>
  <c r="AQ968" i="4"/>
  <c r="AQ967" i="4"/>
  <c r="AQ966" i="4"/>
  <c r="AQ965" i="4"/>
  <c r="AQ964" i="4"/>
  <c r="AQ963" i="4"/>
  <c r="AQ962" i="4"/>
  <c r="AQ961" i="4"/>
  <c r="AQ960" i="4"/>
  <c r="AQ959" i="4"/>
  <c r="AQ958" i="4"/>
  <c r="AQ957" i="4"/>
  <c r="AQ956" i="4"/>
  <c r="AQ955" i="4"/>
  <c r="AQ954" i="4"/>
  <c r="AQ953" i="4"/>
  <c r="AQ952" i="4"/>
  <c r="AQ951" i="4"/>
  <c r="AQ950" i="4"/>
  <c r="AQ949" i="4"/>
  <c r="AQ948" i="4"/>
  <c r="AQ947" i="4"/>
  <c r="AQ946" i="4"/>
  <c r="AQ945" i="4"/>
  <c r="AQ944" i="4"/>
  <c r="AQ943" i="4"/>
  <c r="AQ942" i="4"/>
  <c r="AQ941" i="4"/>
  <c r="AQ940" i="4"/>
  <c r="AQ939" i="4"/>
  <c r="AQ938" i="4"/>
  <c r="AQ937" i="4"/>
  <c r="AQ936" i="4"/>
  <c r="AQ935" i="4"/>
  <c r="AQ934" i="4"/>
  <c r="AQ933" i="4"/>
  <c r="AQ932" i="4"/>
  <c r="AQ931" i="4"/>
  <c r="AQ930" i="4"/>
  <c r="AQ929" i="4"/>
  <c r="AQ928" i="4"/>
  <c r="AQ927" i="4"/>
  <c r="AQ926" i="4"/>
  <c r="AQ925" i="4"/>
  <c r="AQ924" i="4"/>
  <c r="AQ923" i="4"/>
  <c r="AQ922" i="4"/>
  <c r="AQ921" i="4"/>
  <c r="AQ920" i="4"/>
  <c r="AQ919" i="4"/>
  <c r="AQ918" i="4"/>
  <c r="AQ917" i="4"/>
  <c r="AQ916" i="4"/>
  <c r="AQ915" i="4"/>
  <c r="AQ914" i="4"/>
  <c r="AQ913" i="4"/>
  <c r="AQ912" i="4"/>
  <c r="AQ911" i="4"/>
  <c r="AQ910" i="4"/>
  <c r="AQ909" i="4"/>
  <c r="AQ908" i="4"/>
  <c r="AQ907" i="4"/>
  <c r="AQ906" i="4"/>
  <c r="AQ905" i="4"/>
  <c r="AQ904" i="4"/>
  <c r="AQ903" i="4"/>
  <c r="AQ902" i="4"/>
  <c r="AQ901" i="4"/>
  <c r="AQ900" i="4"/>
  <c r="AQ899" i="4"/>
  <c r="AQ898" i="4"/>
  <c r="AQ897" i="4"/>
  <c r="AQ896" i="4"/>
  <c r="AQ895" i="4"/>
  <c r="AQ894" i="4"/>
  <c r="AQ893" i="4"/>
  <c r="AQ892" i="4"/>
  <c r="AQ891" i="4"/>
  <c r="AQ890" i="4"/>
  <c r="AQ889" i="4"/>
  <c r="AQ888" i="4"/>
  <c r="AQ887" i="4"/>
  <c r="AQ886" i="4"/>
  <c r="AQ885" i="4"/>
  <c r="AQ884" i="4"/>
  <c r="AQ883" i="4"/>
  <c r="AQ882" i="4"/>
  <c r="AQ881" i="4"/>
  <c r="AQ880" i="4"/>
  <c r="AQ879" i="4"/>
  <c r="AQ878" i="4"/>
  <c r="AQ877" i="4"/>
  <c r="AQ876" i="4"/>
  <c r="AQ875" i="4"/>
  <c r="AQ874" i="4"/>
  <c r="AQ873" i="4"/>
  <c r="AQ872" i="4"/>
  <c r="AQ871" i="4"/>
  <c r="AQ870" i="4"/>
  <c r="AQ869" i="4"/>
  <c r="AQ868" i="4"/>
  <c r="AQ867" i="4"/>
  <c r="AQ866" i="4"/>
  <c r="AQ865" i="4"/>
  <c r="AQ864" i="4"/>
  <c r="AQ863" i="4"/>
  <c r="AQ862" i="4"/>
  <c r="AQ861" i="4"/>
  <c r="AQ860" i="4"/>
  <c r="AQ859" i="4"/>
  <c r="AQ858" i="4"/>
  <c r="AQ857" i="4"/>
  <c r="AQ856" i="4"/>
  <c r="AQ855" i="4"/>
  <c r="AQ854" i="4"/>
  <c r="AQ853" i="4"/>
  <c r="AQ852" i="4"/>
  <c r="AQ851" i="4"/>
  <c r="AQ850" i="4"/>
  <c r="AQ849" i="4"/>
  <c r="AQ848" i="4"/>
  <c r="AQ847" i="4"/>
  <c r="AQ846" i="4"/>
  <c r="AQ845" i="4"/>
  <c r="AQ844" i="4"/>
  <c r="AQ843" i="4"/>
  <c r="AQ842" i="4"/>
  <c r="AQ841" i="4"/>
  <c r="AQ840" i="4"/>
  <c r="AQ839" i="4"/>
  <c r="AQ838" i="4"/>
  <c r="AQ837" i="4"/>
  <c r="AQ836" i="4"/>
  <c r="AQ835" i="4"/>
  <c r="AQ834" i="4"/>
  <c r="AQ833" i="4"/>
  <c r="AQ832" i="4"/>
  <c r="AQ831" i="4"/>
  <c r="AQ830" i="4"/>
  <c r="AQ829" i="4"/>
  <c r="AQ828" i="4"/>
  <c r="AQ827" i="4"/>
  <c r="AQ826" i="4"/>
  <c r="AQ825" i="4"/>
  <c r="AQ824" i="4"/>
  <c r="AQ823" i="4"/>
  <c r="AQ822" i="4"/>
  <c r="AQ821" i="4"/>
  <c r="AQ820" i="4"/>
  <c r="AQ819" i="4"/>
  <c r="AQ818" i="4"/>
  <c r="AQ817" i="4"/>
  <c r="AQ816" i="4"/>
  <c r="AQ815" i="4"/>
  <c r="AQ814" i="4"/>
  <c r="AQ813" i="4"/>
  <c r="AQ812" i="4"/>
  <c r="AQ811" i="4"/>
  <c r="AQ810" i="4"/>
  <c r="AQ809" i="4"/>
  <c r="AQ808" i="4"/>
  <c r="AQ807" i="4"/>
  <c r="AQ806" i="4"/>
  <c r="AQ805" i="4"/>
  <c r="AQ804" i="4"/>
  <c r="AQ803" i="4"/>
  <c r="AQ802" i="4"/>
  <c r="AQ801" i="4"/>
  <c r="AQ800" i="4"/>
  <c r="AQ799" i="4"/>
  <c r="AQ798" i="4"/>
  <c r="AQ797" i="4"/>
  <c r="AQ796" i="4"/>
  <c r="AQ795" i="4"/>
  <c r="AQ794" i="4"/>
  <c r="AQ793" i="4"/>
  <c r="AQ792" i="4"/>
  <c r="AQ791" i="4"/>
  <c r="AQ790" i="4"/>
  <c r="AQ789" i="4"/>
  <c r="AQ788" i="4"/>
  <c r="AQ787" i="4"/>
  <c r="AQ786" i="4"/>
  <c r="AQ785" i="4"/>
  <c r="AQ784" i="4"/>
  <c r="AQ783" i="4"/>
  <c r="AQ782" i="4"/>
  <c r="AQ781" i="4"/>
  <c r="AQ780" i="4"/>
  <c r="AQ779" i="4"/>
  <c r="AQ778" i="4"/>
  <c r="AQ777" i="4"/>
  <c r="AQ776" i="4"/>
  <c r="AQ775" i="4"/>
  <c r="AQ774" i="4"/>
  <c r="AQ773" i="4"/>
  <c r="AQ772" i="4"/>
  <c r="AQ771" i="4"/>
  <c r="AQ770" i="4"/>
  <c r="AQ769" i="4"/>
  <c r="AQ768" i="4"/>
  <c r="AQ767" i="4"/>
  <c r="AQ766" i="4"/>
  <c r="AQ765" i="4"/>
  <c r="AQ764" i="4"/>
  <c r="AQ763" i="4"/>
  <c r="AQ762" i="4"/>
  <c r="AQ761" i="4"/>
  <c r="AQ760" i="4"/>
  <c r="AQ759" i="4"/>
  <c r="AQ758" i="4"/>
  <c r="AQ757" i="4"/>
  <c r="AQ756" i="4"/>
  <c r="AQ755" i="4"/>
  <c r="AQ754" i="4"/>
  <c r="AQ753" i="4"/>
  <c r="AQ752" i="4"/>
  <c r="AQ751" i="4"/>
  <c r="AQ750" i="4"/>
  <c r="AQ749" i="4"/>
  <c r="AQ748" i="4"/>
  <c r="AQ747" i="4"/>
  <c r="AQ746" i="4"/>
  <c r="AQ745" i="4"/>
  <c r="AQ744" i="4"/>
  <c r="AQ743" i="4"/>
  <c r="AQ742" i="4"/>
  <c r="AQ741" i="4"/>
  <c r="AQ740" i="4"/>
  <c r="AQ739" i="4"/>
  <c r="AQ738" i="4"/>
  <c r="AQ737" i="4"/>
  <c r="AQ736" i="4"/>
  <c r="AQ735" i="4"/>
  <c r="AQ734" i="4"/>
  <c r="AQ733" i="4"/>
  <c r="AQ732" i="4"/>
  <c r="AQ731" i="4"/>
  <c r="AQ730" i="4"/>
  <c r="AQ729" i="4"/>
  <c r="AQ728" i="4"/>
  <c r="AQ727" i="4"/>
  <c r="AQ726" i="4"/>
  <c r="AQ725" i="4"/>
  <c r="AQ724" i="4"/>
  <c r="AQ723" i="4"/>
  <c r="AQ722" i="4"/>
  <c r="AQ721" i="4"/>
  <c r="AQ720" i="4"/>
  <c r="AQ719" i="4"/>
  <c r="AQ718" i="4"/>
  <c r="AQ717" i="4"/>
  <c r="AQ716" i="4"/>
  <c r="AQ715" i="4"/>
  <c r="AQ714" i="4"/>
  <c r="AQ713" i="4"/>
  <c r="AQ712" i="4"/>
  <c r="AQ711" i="4"/>
  <c r="AQ710" i="4"/>
  <c r="AQ709" i="4"/>
  <c r="AQ708" i="4"/>
  <c r="AQ707" i="4"/>
  <c r="AQ706" i="4"/>
  <c r="AQ705" i="4"/>
  <c r="AQ704" i="4"/>
  <c r="AQ703" i="4"/>
  <c r="AQ702" i="4"/>
  <c r="AQ701" i="4"/>
  <c r="AQ700" i="4"/>
  <c r="AQ699" i="4"/>
  <c r="AQ698" i="4"/>
  <c r="AQ697" i="4"/>
  <c r="AQ696" i="4"/>
  <c r="AQ695" i="4"/>
  <c r="AQ694" i="4"/>
  <c r="AQ693" i="4"/>
  <c r="AQ692" i="4"/>
  <c r="AQ691" i="4"/>
  <c r="AQ690" i="4"/>
  <c r="AQ689" i="4"/>
  <c r="AQ688" i="4"/>
  <c r="AQ687" i="4"/>
  <c r="AQ686" i="4"/>
  <c r="AQ685" i="4"/>
  <c r="AQ684" i="4"/>
  <c r="AQ683" i="4"/>
  <c r="AQ682" i="4"/>
  <c r="AQ681" i="4"/>
  <c r="AQ680" i="4"/>
  <c r="AQ679" i="4"/>
  <c r="AQ678" i="4"/>
  <c r="AQ677" i="4"/>
  <c r="AQ676" i="4"/>
  <c r="AQ675" i="4"/>
  <c r="AQ674" i="4"/>
  <c r="AQ673" i="4"/>
  <c r="AQ672" i="4"/>
  <c r="AQ671" i="4"/>
  <c r="AQ670" i="4"/>
  <c r="AQ669" i="4"/>
  <c r="AQ668" i="4"/>
  <c r="AQ667" i="4"/>
  <c r="AQ666" i="4"/>
  <c r="AQ665" i="4"/>
  <c r="AQ664" i="4"/>
  <c r="AQ663" i="4"/>
  <c r="AQ662" i="4"/>
  <c r="AQ661" i="4"/>
  <c r="AQ660" i="4"/>
  <c r="AQ659" i="4"/>
  <c r="AQ658" i="4"/>
  <c r="AQ657" i="4"/>
  <c r="AQ656" i="4"/>
  <c r="AQ655" i="4"/>
  <c r="AQ654" i="4"/>
  <c r="AQ653" i="4"/>
  <c r="AQ652" i="4"/>
  <c r="AQ651" i="4"/>
  <c r="AQ650" i="4"/>
  <c r="AQ649" i="4"/>
  <c r="AQ648" i="4"/>
  <c r="AQ647" i="4"/>
  <c r="AQ646" i="4"/>
  <c r="AQ645" i="4"/>
  <c r="AQ644" i="4"/>
  <c r="AQ643" i="4"/>
  <c r="AQ642" i="4"/>
  <c r="AQ641" i="4"/>
  <c r="AQ640" i="4"/>
  <c r="AQ639" i="4"/>
  <c r="AQ638" i="4"/>
  <c r="AQ637" i="4"/>
  <c r="AQ636" i="4"/>
  <c r="AQ635" i="4"/>
  <c r="AQ634" i="4"/>
  <c r="AQ633" i="4"/>
  <c r="AQ632" i="4"/>
  <c r="AQ631" i="4"/>
  <c r="AQ630" i="4"/>
  <c r="AQ629" i="4"/>
  <c r="AQ628" i="4"/>
  <c r="AQ627" i="4"/>
  <c r="AQ626" i="4"/>
  <c r="AQ625" i="4"/>
  <c r="AQ624" i="4"/>
  <c r="AQ623" i="4"/>
  <c r="AQ622" i="4"/>
  <c r="AQ621" i="4"/>
  <c r="AQ620" i="4"/>
  <c r="AQ619" i="4"/>
  <c r="AQ618" i="4"/>
  <c r="AQ617" i="4"/>
  <c r="AQ616" i="4"/>
  <c r="AQ615" i="4"/>
  <c r="AQ614" i="4"/>
  <c r="AQ613" i="4"/>
  <c r="AQ612" i="4"/>
  <c r="AQ611" i="4"/>
  <c r="AQ610" i="4"/>
  <c r="AQ609" i="4"/>
  <c r="AQ608" i="4"/>
  <c r="AQ607" i="4"/>
  <c r="AQ606" i="4"/>
  <c r="AQ605" i="4"/>
  <c r="AQ604" i="4"/>
  <c r="AQ603" i="4"/>
  <c r="AQ602" i="4"/>
  <c r="AQ601" i="4"/>
  <c r="AQ600" i="4"/>
  <c r="AQ599" i="4"/>
  <c r="AQ598" i="4"/>
  <c r="AQ597" i="4"/>
  <c r="AQ596" i="4"/>
  <c r="AQ595" i="4"/>
  <c r="AQ594" i="4"/>
  <c r="AQ593" i="4"/>
  <c r="AQ592" i="4"/>
  <c r="AQ591" i="4"/>
  <c r="AQ590" i="4"/>
  <c r="AQ589" i="4"/>
  <c r="AQ588" i="4"/>
  <c r="AQ587" i="4"/>
  <c r="AQ586" i="4"/>
  <c r="AQ585" i="4"/>
  <c r="AQ584" i="4"/>
  <c r="AQ583" i="4"/>
  <c r="AQ582" i="4"/>
  <c r="AQ581" i="4"/>
  <c r="AQ580" i="4"/>
  <c r="AQ579" i="4"/>
  <c r="AQ578" i="4"/>
  <c r="AQ577" i="4"/>
  <c r="AQ576" i="4"/>
  <c r="AQ575" i="4"/>
  <c r="AQ574" i="4"/>
  <c r="AQ573" i="4"/>
  <c r="AQ572" i="4"/>
  <c r="AQ571" i="4"/>
  <c r="AQ570" i="4"/>
  <c r="AQ569" i="4"/>
  <c r="AQ568" i="4"/>
  <c r="AQ567" i="4"/>
  <c r="AQ566" i="4"/>
  <c r="AQ565" i="4"/>
  <c r="AQ564" i="4"/>
  <c r="AQ563" i="4"/>
  <c r="AQ562" i="4"/>
  <c r="AQ561" i="4"/>
  <c r="AQ560" i="4"/>
  <c r="AQ559" i="4"/>
  <c r="AQ558" i="4"/>
  <c r="AQ557" i="4"/>
  <c r="AQ556" i="4"/>
  <c r="AQ555" i="4"/>
  <c r="AQ554" i="4"/>
  <c r="AQ553" i="4"/>
  <c r="AQ552" i="4"/>
  <c r="AQ551" i="4"/>
  <c r="AQ550" i="4"/>
  <c r="AQ549" i="4"/>
  <c r="AQ548" i="4"/>
  <c r="AQ547" i="4"/>
  <c r="AQ546" i="4"/>
  <c r="AQ545" i="4"/>
  <c r="AQ544" i="4"/>
  <c r="AQ543" i="4"/>
  <c r="AQ542" i="4"/>
  <c r="AQ541" i="4"/>
  <c r="AQ540" i="4"/>
  <c r="AQ539" i="4"/>
  <c r="AQ538" i="4"/>
  <c r="AQ537" i="4"/>
  <c r="AQ536" i="4"/>
  <c r="AQ535" i="4"/>
  <c r="AQ534" i="4"/>
  <c r="AQ533" i="4"/>
  <c r="AQ532" i="4"/>
  <c r="AQ531" i="4"/>
  <c r="AQ530" i="4"/>
  <c r="AQ529" i="4"/>
  <c r="AQ528" i="4"/>
  <c r="AQ527" i="4"/>
  <c r="AQ526" i="4"/>
  <c r="AQ525" i="4"/>
  <c r="AQ524" i="4"/>
  <c r="AQ523" i="4"/>
  <c r="AQ522" i="4"/>
  <c r="AQ521" i="4"/>
  <c r="AQ520" i="4"/>
  <c r="AQ519" i="4"/>
  <c r="AQ518" i="4"/>
  <c r="AQ517" i="4"/>
  <c r="AQ516" i="4"/>
  <c r="AQ515" i="4"/>
  <c r="AQ514" i="4"/>
  <c r="AQ513" i="4"/>
  <c r="AQ512" i="4"/>
  <c r="AQ511" i="4"/>
  <c r="AQ510" i="4"/>
  <c r="AQ509" i="4"/>
  <c r="AQ508" i="4"/>
  <c r="AQ507" i="4"/>
  <c r="AQ506" i="4"/>
  <c r="AQ505" i="4"/>
  <c r="AQ504" i="4"/>
  <c r="AQ503" i="4"/>
  <c r="AQ502" i="4"/>
  <c r="AQ501" i="4"/>
  <c r="AQ500" i="4"/>
  <c r="AQ499" i="4"/>
  <c r="AQ498" i="4"/>
  <c r="AQ497" i="4"/>
  <c r="AQ496" i="4"/>
  <c r="AQ495" i="4"/>
  <c r="AQ494" i="4"/>
  <c r="AQ493" i="4"/>
  <c r="AQ492" i="4"/>
  <c r="AQ491" i="4"/>
  <c r="AQ490" i="4"/>
  <c r="AQ489" i="4"/>
  <c r="AQ488" i="4"/>
  <c r="AQ487" i="4"/>
  <c r="AQ486" i="4"/>
  <c r="AQ485" i="4"/>
  <c r="AQ484" i="4"/>
  <c r="AQ483" i="4"/>
  <c r="AQ482" i="4"/>
  <c r="AQ481" i="4"/>
  <c r="AQ480" i="4"/>
  <c r="AQ479" i="4"/>
  <c r="AQ478" i="4"/>
  <c r="AQ477" i="4"/>
  <c r="AQ476" i="4"/>
  <c r="AQ475" i="4"/>
  <c r="AQ474" i="4"/>
  <c r="AQ473" i="4"/>
  <c r="AQ472" i="4"/>
  <c r="AQ471" i="4"/>
  <c r="AQ470" i="4"/>
  <c r="AQ469" i="4"/>
  <c r="AQ468" i="4"/>
  <c r="AQ467" i="4"/>
  <c r="AQ466" i="4"/>
  <c r="AQ465" i="4"/>
  <c r="AQ464" i="4"/>
  <c r="AQ463" i="4"/>
  <c r="AQ462" i="4"/>
  <c r="AQ461" i="4"/>
  <c r="AQ460" i="4"/>
  <c r="AQ459" i="4"/>
  <c r="AQ458" i="4"/>
  <c r="AQ457" i="4"/>
  <c r="AQ456" i="4"/>
  <c r="AQ455" i="4"/>
  <c r="AQ454" i="4"/>
  <c r="AQ453" i="4"/>
  <c r="AQ452" i="4"/>
  <c r="AQ451" i="4"/>
  <c r="AQ450" i="4"/>
  <c r="AQ449" i="4"/>
  <c r="AQ448" i="4"/>
  <c r="AQ447" i="4"/>
  <c r="AQ446" i="4"/>
  <c r="AQ445" i="4"/>
  <c r="AQ444" i="4"/>
  <c r="AQ443" i="4"/>
  <c r="AQ442" i="4"/>
  <c r="AQ441" i="4"/>
  <c r="AQ440" i="4"/>
  <c r="AQ439" i="4"/>
  <c r="AQ438" i="4"/>
  <c r="AQ437" i="4"/>
  <c r="AQ436" i="4"/>
  <c r="AQ435" i="4"/>
  <c r="AQ434" i="4"/>
  <c r="AQ433" i="4"/>
  <c r="AQ432" i="4"/>
  <c r="AQ431" i="4"/>
  <c r="AQ430" i="4"/>
  <c r="AQ429" i="4"/>
  <c r="AQ428" i="4"/>
  <c r="AQ427" i="4"/>
  <c r="AQ426" i="4"/>
  <c r="AQ425" i="4"/>
  <c r="AQ424" i="4"/>
  <c r="AQ423" i="4"/>
  <c r="AQ422" i="4"/>
  <c r="AQ421" i="4"/>
  <c r="AQ420" i="4"/>
  <c r="AQ419" i="4"/>
  <c r="AQ418" i="4"/>
  <c r="AQ417" i="4"/>
  <c r="AQ416" i="4"/>
  <c r="AQ415" i="4"/>
  <c r="AQ414" i="4"/>
  <c r="AQ413" i="4"/>
  <c r="AQ412" i="4"/>
  <c r="AQ411" i="4"/>
  <c r="AQ410" i="4"/>
  <c r="AQ409" i="4"/>
  <c r="AQ408" i="4"/>
  <c r="AQ407" i="4"/>
  <c r="AQ406" i="4"/>
  <c r="AQ405" i="4"/>
  <c r="AQ404" i="4"/>
  <c r="AQ403" i="4"/>
  <c r="AQ402" i="4"/>
  <c r="AQ401" i="4"/>
  <c r="AQ400" i="4"/>
  <c r="AQ399" i="4"/>
  <c r="AQ398" i="4"/>
  <c r="AQ397" i="4"/>
  <c r="AQ396" i="4"/>
  <c r="AQ395" i="4"/>
  <c r="AQ394" i="4"/>
  <c r="AQ393" i="4"/>
  <c r="AQ392" i="4"/>
  <c r="AQ391" i="4"/>
  <c r="AQ390" i="4"/>
  <c r="AQ389" i="4"/>
  <c r="AQ388" i="4"/>
  <c r="AQ387" i="4"/>
  <c r="AQ386" i="4"/>
  <c r="AQ385" i="4"/>
  <c r="AQ384" i="4"/>
  <c r="AQ383" i="4"/>
  <c r="AQ382" i="4"/>
  <c r="AQ381" i="4"/>
  <c r="AQ380" i="4"/>
  <c r="AQ379" i="4"/>
  <c r="AQ378" i="4"/>
  <c r="AQ377" i="4"/>
  <c r="AQ376" i="4"/>
  <c r="AQ375" i="4"/>
  <c r="AQ374" i="4"/>
  <c r="AQ373" i="4"/>
  <c r="AQ372" i="4"/>
  <c r="AQ371" i="4"/>
  <c r="AQ370" i="4"/>
  <c r="AQ369" i="4"/>
  <c r="AQ368" i="4"/>
  <c r="AQ367" i="4"/>
  <c r="AQ366" i="4"/>
  <c r="AQ365" i="4"/>
  <c r="AQ364" i="4"/>
  <c r="AQ363" i="4"/>
  <c r="AQ362" i="4"/>
  <c r="AQ361" i="4"/>
  <c r="AQ360" i="4"/>
  <c r="AQ359" i="4"/>
  <c r="AQ358" i="4"/>
  <c r="AQ357" i="4"/>
  <c r="AQ356" i="4"/>
  <c r="AQ355" i="4"/>
  <c r="AQ354" i="4"/>
  <c r="AQ353" i="4"/>
  <c r="AQ352" i="4"/>
  <c r="AQ351" i="4"/>
  <c r="AQ350" i="4"/>
  <c r="AQ349" i="4"/>
  <c r="AQ348" i="4"/>
  <c r="AQ347" i="4"/>
  <c r="AQ346" i="4"/>
  <c r="AQ345" i="4"/>
  <c r="AQ344" i="4"/>
  <c r="AQ343" i="4"/>
  <c r="AQ342" i="4"/>
  <c r="AQ341" i="4"/>
  <c r="AQ340" i="4"/>
  <c r="AQ339" i="4"/>
  <c r="AQ338" i="4"/>
  <c r="AQ337" i="4"/>
  <c r="AQ336" i="4"/>
  <c r="AQ335" i="4"/>
  <c r="AQ334" i="4"/>
  <c r="AQ333" i="4"/>
  <c r="AQ332" i="4"/>
  <c r="AQ331" i="4"/>
  <c r="AQ330" i="4"/>
  <c r="AQ329" i="4"/>
  <c r="AQ328" i="4"/>
  <c r="AQ327" i="4"/>
  <c r="AQ326" i="4"/>
  <c r="AQ325" i="4"/>
  <c r="AQ324" i="4"/>
  <c r="AQ323" i="4"/>
  <c r="AQ322" i="4"/>
  <c r="AQ321" i="4"/>
  <c r="AQ320" i="4"/>
  <c r="AQ319" i="4"/>
  <c r="AQ318" i="4"/>
  <c r="AQ317" i="4"/>
  <c r="AQ316" i="4"/>
  <c r="AQ315" i="4"/>
  <c r="AQ314" i="4"/>
  <c r="AQ313" i="4"/>
  <c r="AQ312" i="4"/>
  <c r="AQ311" i="4"/>
  <c r="AQ310" i="4"/>
  <c r="AQ309" i="4"/>
  <c r="AQ308" i="4"/>
  <c r="AQ307" i="4"/>
  <c r="AQ306" i="4"/>
  <c r="AQ305" i="4"/>
  <c r="AQ304" i="4"/>
  <c r="AQ303" i="4"/>
  <c r="AQ302" i="4"/>
  <c r="AQ301" i="4"/>
  <c r="AQ300" i="4"/>
  <c r="AQ299" i="4"/>
  <c r="AQ298" i="4"/>
  <c r="AQ297" i="4"/>
  <c r="AQ296" i="4"/>
  <c r="AQ295" i="4"/>
  <c r="AQ294" i="4"/>
  <c r="AQ293" i="4"/>
  <c r="AQ292" i="4"/>
  <c r="AQ291" i="4"/>
  <c r="AQ290" i="4"/>
  <c r="AQ289" i="4"/>
  <c r="AQ288" i="4"/>
  <c r="AQ287" i="4"/>
  <c r="AQ286" i="4"/>
  <c r="AQ285" i="4"/>
  <c r="AQ284" i="4"/>
  <c r="AQ283" i="4"/>
  <c r="AQ282" i="4"/>
  <c r="AQ281" i="4"/>
  <c r="AQ280" i="4"/>
  <c r="AQ279" i="4"/>
  <c r="AQ278" i="4"/>
  <c r="AQ277" i="4"/>
  <c r="AQ276" i="4"/>
  <c r="AQ275" i="4"/>
  <c r="AQ274" i="4"/>
  <c r="AQ273" i="4"/>
  <c r="AQ272" i="4"/>
  <c r="AQ271" i="4"/>
  <c r="AQ270" i="4"/>
  <c r="AQ269" i="4"/>
  <c r="AQ268" i="4"/>
  <c r="AQ267" i="4"/>
  <c r="AQ266" i="4"/>
  <c r="AQ265" i="4"/>
  <c r="AQ264" i="4"/>
  <c r="AQ263" i="4"/>
  <c r="AQ262" i="4"/>
  <c r="AQ261" i="4"/>
  <c r="AQ260" i="4"/>
  <c r="AQ259" i="4"/>
  <c r="AQ258" i="4"/>
  <c r="AQ257" i="4"/>
  <c r="AQ256" i="4"/>
  <c r="AQ255" i="4"/>
  <c r="AQ254" i="4"/>
  <c r="AQ253" i="4"/>
  <c r="AQ252" i="4"/>
  <c r="AQ251" i="4"/>
  <c r="AQ250" i="4"/>
  <c r="AQ249" i="4"/>
  <c r="AQ248" i="4"/>
  <c r="AQ247" i="4"/>
  <c r="AQ246" i="4"/>
  <c r="AQ245" i="4"/>
  <c r="AQ244" i="4"/>
  <c r="AQ243" i="4"/>
  <c r="AQ242" i="4"/>
  <c r="AQ241" i="4"/>
  <c r="AQ240" i="4"/>
  <c r="AQ239" i="4"/>
  <c r="AQ238" i="4"/>
  <c r="AQ237" i="4"/>
  <c r="AQ236" i="4"/>
  <c r="AQ235" i="4"/>
  <c r="AQ234" i="4"/>
  <c r="AQ233" i="4"/>
  <c r="AQ232" i="4"/>
  <c r="AQ231" i="4"/>
  <c r="AQ230" i="4"/>
  <c r="AQ229" i="4"/>
  <c r="AQ228" i="4"/>
  <c r="AQ227" i="4"/>
  <c r="AQ226" i="4"/>
  <c r="AQ225" i="4"/>
  <c r="AQ224" i="4"/>
  <c r="AQ223" i="4"/>
  <c r="AQ222" i="4"/>
  <c r="AQ221" i="4"/>
  <c r="AQ220" i="4"/>
  <c r="AQ219" i="4"/>
  <c r="AQ218" i="4"/>
  <c r="AQ217" i="4"/>
  <c r="AQ216" i="4"/>
  <c r="AQ215" i="4"/>
  <c r="AQ214" i="4"/>
  <c r="AQ213" i="4"/>
  <c r="AQ212" i="4"/>
  <c r="AQ211" i="4"/>
  <c r="AQ210" i="4"/>
  <c r="AQ209" i="4"/>
  <c r="AQ208" i="4"/>
  <c r="AQ207" i="4"/>
  <c r="AQ206" i="4"/>
  <c r="AQ205" i="4"/>
  <c r="AQ204" i="4"/>
  <c r="AQ203" i="4"/>
  <c r="AQ202" i="4"/>
  <c r="AQ201" i="4"/>
  <c r="AQ200" i="4"/>
  <c r="AQ199" i="4"/>
  <c r="AQ198" i="4"/>
  <c r="AQ197" i="4"/>
  <c r="AQ196" i="4"/>
  <c r="AQ195" i="4"/>
  <c r="AQ194" i="4"/>
  <c r="AQ193" i="4"/>
  <c r="AQ192" i="4"/>
  <c r="AQ191" i="4"/>
  <c r="AQ190" i="4"/>
  <c r="AQ189" i="4"/>
  <c r="AQ188" i="4"/>
  <c r="AQ187" i="4"/>
  <c r="AQ186" i="4"/>
  <c r="AQ185" i="4"/>
  <c r="AQ184" i="4"/>
  <c r="AQ183" i="4"/>
  <c r="AQ182" i="4"/>
  <c r="AQ181" i="4"/>
  <c r="AQ180" i="4"/>
  <c r="AQ179" i="4"/>
  <c r="AQ178" i="4"/>
  <c r="AQ177" i="4"/>
  <c r="AQ176" i="4"/>
  <c r="AQ175" i="4"/>
  <c r="AQ174" i="4"/>
  <c r="AQ173" i="4"/>
  <c r="AQ172" i="4"/>
  <c r="AQ171" i="4"/>
  <c r="AQ170" i="4"/>
  <c r="AQ169" i="4"/>
  <c r="AQ168" i="4"/>
  <c r="AQ167" i="4"/>
  <c r="AQ166" i="4"/>
  <c r="AQ165" i="4"/>
  <c r="AQ164" i="4"/>
  <c r="AQ163" i="4"/>
  <c r="AQ162" i="4"/>
  <c r="AQ161" i="4"/>
  <c r="AQ160" i="4"/>
  <c r="AQ159" i="4"/>
  <c r="AQ158" i="4"/>
  <c r="AQ157" i="4"/>
  <c r="AQ156" i="4"/>
  <c r="AQ155" i="4"/>
  <c r="AQ154" i="4"/>
  <c r="AQ153" i="4"/>
  <c r="AQ152" i="4"/>
  <c r="AQ151" i="4"/>
  <c r="AQ150" i="4"/>
  <c r="AQ149" i="4"/>
  <c r="AQ148" i="4"/>
  <c r="AQ147" i="4"/>
  <c r="AQ146" i="4"/>
  <c r="AQ145" i="4"/>
  <c r="AQ144" i="4"/>
  <c r="AQ143" i="4"/>
  <c r="AQ142" i="4"/>
  <c r="AQ141" i="4"/>
  <c r="AQ140" i="4"/>
  <c r="AQ139" i="4"/>
  <c r="AQ138" i="4"/>
  <c r="AQ137" i="4"/>
  <c r="AQ136" i="4"/>
  <c r="AQ135" i="4"/>
  <c r="AQ134" i="4"/>
  <c r="AQ133" i="4"/>
  <c r="AQ132" i="4"/>
  <c r="AQ124" i="4"/>
  <c r="AQ123" i="4"/>
  <c r="AQ122" i="4"/>
  <c r="AQ121" i="4"/>
  <c r="AQ120" i="4"/>
  <c r="AQ119" i="4"/>
  <c r="AQ112" i="4"/>
  <c r="AQ111" i="4"/>
  <c r="AQ110" i="4"/>
  <c r="AQ109" i="4"/>
  <c r="AQ108" i="4"/>
  <c r="AQ107" i="4"/>
  <c r="AQ106" i="4"/>
  <c r="AQ98" i="4"/>
  <c r="AQ97" i="4"/>
  <c r="AQ96" i="4"/>
  <c r="AQ95" i="4"/>
  <c r="AQ94" i="4"/>
  <c r="AQ93" i="4"/>
  <c r="AQ85" i="4"/>
  <c r="AQ84" i="4"/>
  <c r="AQ83" i="4"/>
  <c r="AQ82" i="4"/>
  <c r="AQ81" i="4"/>
  <c r="AQ80" i="4"/>
  <c r="AQ72" i="4"/>
  <c r="AQ71" i="4"/>
  <c r="AQ70" i="4"/>
  <c r="AQ69" i="4"/>
  <c r="AQ68" i="4"/>
  <c r="AQ67" i="4"/>
  <c r="AQ59" i="4"/>
  <c r="AQ58" i="4"/>
  <c r="AQ57" i="4"/>
  <c r="AQ56" i="4"/>
  <c r="AQ55" i="4"/>
  <c r="AQ54" i="4"/>
  <c r="AQ46" i="4"/>
  <c r="AQ45" i="4"/>
  <c r="AQ44" i="4"/>
  <c r="AQ43" i="4"/>
  <c r="AQ42" i="4"/>
  <c r="AQ41" i="4"/>
  <c r="AQ33" i="4"/>
  <c r="AQ32" i="4"/>
  <c r="AQ31" i="4"/>
  <c r="AQ30" i="4"/>
  <c r="AQ29" i="4"/>
  <c r="AQ28" i="4"/>
  <c r="AQ20" i="4"/>
  <c r="AQ19" i="4"/>
  <c r="AQ18" i="4"/>
  <c r="AQ17" i="4"/>
  <c r="AQ16" i="4"/>
  <c r="AQ15" i="4"/>
  <c r="AQ7" i="4"/>
  <c r="AQ6" i="4"/>
  <c r="AY5331" i="4"/>
  <c r="AY5330" i="4"/>
  <c r="AY5329" i="4"/>
  <c r="AY5328" i="4"/>
  <c r="AY5327" i="4"/>
  <c r="AY5326" i="4"/>
  <c r="AY5325" i="4"/>
  <c r="AY5324" i="4"/>
  <c r="AY5323" i="4"/>
  <c r="AY5322" i="4"/>
  <c r="AY5321" i="4"/>
  <c r="AY5320" i="4"/>
  <c r="AY5319" i="4"/>
  <c r="AY5318" i="4"/>
  <c r="AY5317" i="4"/>
  <c r="AY5316" i="4"/>
  <c r="AY5315" i="4"/>
  <c r="AY5314" i="4"/>
  <c r="AY5313" i="4"/>
  <c r="AY5312" i="4"/>
  <c r="AY5311" i="4"/>
  <c r="AY5310" i="4"/>
  <c r="AY5309" i="4"/>
  <c r="AY5308" i="4"/>
  <c r="AY5307" i="4"/>
  <c r="AY5306" i="4"/>
  <c r="AY5305" i="4"/>
  <c r="AY5304" i="4"/>
  <c r="AY5303" i="4"/>
  <c r="AY5302" i="4"/>
  <c r="AY5301" i="4"/>
  <c r="AY5300" i="4"/>
  <c r="AY5299" i="4"/>
  <c r="AY5298" i="4"/>
  <c r="AY5297" i="4"/>
  <c r="AY5296" i="4"/>
  <c r="AY5295" i="4"/>
  <c r="AY5294" i="4"/>
  <c r="AY5293" i="4"/>
  <c r="AY5292" i="4"/>
  <c r="AY5291" i="4"/>
  <c r="AY5290" i="4"/>
  <c r="AY5289" i="4"/>
  <c r="AY5288" i="4"/>
  <c r="AY5287" i="4"/>
  <c r="AY5286" i="4"/>
  <c r="AY5285" i="4"/>
  <c r="AY5284" i="4"/>
  <c r="AY5283" i="4"/>
  <c r="AY5282" i="4"/>
  <c r="AY5281" i="4"/>
  <c r="AY5280" i="4"/>
  <c r="AY5279" i="4"/>
  <c r="AY5278" i="4"/>
  <c r="AY5277" i="4"/>
  <c r="AY5276" i="4"/>
  <c r="AY5275" i="4"/>
  <c r="AY5274" i="4"/>
  <c r="AY5273" i="4"/>
  <c r="AY5272" i="4"/>
  <c r="AY5271" i="4"/>
  <c r="AY5270" i="4"/>
  <c r="AY5269" i="4"/>
  <c r="AY5268" i="4"/>
  <c r="AY5267" i="4"/>
  <c r="AY5266" i="4"/>
  <c r="AY5265" i="4"/>
  <c r="AY5264" i="4"/>
  <c r="AY5263" i="4"/>
  <c r="AY5262" i="4"/>
  <c r="AY5261" i="4"/>
  <c r="AY5260" i="4"/>
  <c r="AY5259" i="4"/>
  <c r="AY5258" i="4"/>
  <c r="AY5257" i="4"/>
  <c r="AY5256" i="4"/>
  <c r="AY5255" i="4"/>
  <c r="AY5254" i="4"/>
  <c r="AY5253" i="4"/>
  <c r="AY5252" i="4"/>
  <c r="AY5251" i="4"/>
  <c r="AY5250" i="4"/>
  <c r="AY5249" i="4"/>
  <c r="AY5248" i="4"/>
  <c r="AY5247" i="4"/>
  <c r="AY5246" i="4"/>
  <c r="AY5245" i="4"/>
  <c r="AY5244" i="4"/>
  <c r="AY5243" i="4"/>
  <c r="AY5242" i="4"/>
  <c r="AY5241" i="4"/>
  <c r="AY5240" i="4"/>
  <c r="AY5239" i="4"/>
  <c r="AY5238" i="4"/>
  <c r="AY5237" i="4"/>
  <c r="AY5236" i="4"/>
  <c r="AY5235" i="4"/>
  <c r="AY5234" i="4"/>
  <c r="AY5233" i="4"/>
  <c r="AY5232" i="4"/>
  <c r="AY5231" i="4"/>
  <c r="AY5230" i="4"/>
  <c r="AY5229" i="4"/>
  <c r="AY5228" i="4"/>
  <c r="AY5227" i="4"/>
  <c r="AY5226" i="4"/>
  <c r="AY5225" i="4"/>
  <c r="AY5224" i="4"/>
  <c r="AY5223" i="4"/>
  <c r="AY5222" i="4"/>
  <c r="AY5221" i="4"/>
  <c r="AY5220" i="4"/>
  <c r="AY5219" i="4"/>
  <c r="AY5218" i="4"/>
  <c r="AY5217" i="4"/>
  <c r="AY5216" i="4"/>
  <c r="AY5215" i="4"/>
  <c r="AY5214" i="4"/>
  <c r="AY5213" i="4"/>
  <c r="AY5212" i="4"/>
  <c r="AY5211" i="4"/>
  <c r="AY5210" i="4"/>
  <c r="AY5209" i="4"/>
  <c r="AY5208" i="4"/>
  <c r="AY5207" i="4"/>
  <c r="AY5206" i="4"/>
  <c r="AY5205" i="4"/>
  <c r="AY5204" i="4"/>
  <c r="AY5203" i="4"/>
  <c r="AY5202" i="4"/>
  <c r="AY5201" i="4"/>
  <c r="AY5200" i="4"/>
  <c r="AY5199" i="4"/>
  <c r="AY5198" i="4"/>
  <c r="AY5197" i="4"/>
  <c r="AY5196" i="4"/>
  <c r="AY5195" i="4"/>
  <c r="AY5194" i="4"/>
  <c r="AY5193" i="4"/>
  <c r="AY5192" i="4"/>
  <c r="AY5191" i="4"/>
  <c r="AY5190" i="4"/>
  <c r="AY5189" i="4"/>
  <c r="AY5188" i="4"/>
  <c r="AY5187" i="4"/>
  <c r="AY5186" i="4"/>
  <c r="AY5185" i="4"/>
  <c r="AY5184" i="4"/>
  <c r="AY5183" i="4"/>
  <c r="AY5182" i="4"/>
  <c r="AY5181" i="4"/>
  <c r="AY5180" i="4"/>
  <c r="AY5179" i="4"/>
  <c r="AY5178" i="4"/>
  <c r="AY5177" i="4"/>
  <c r="AY5176" i="4"/>
  <c r="AY5175" i="4"/>
  <c r="AY5174" i="4"/>
  <c r="AY5173" i="4"/>
  <c r="AY5172" i="4"/>
  <c r="AY5171" i="4"/>
  <c r="AY5170" i="4"/>
  <c r="AY5169" i="4"/>
  <c r="AY5168" i="4"/>
  <c r="AY5167" i="4"/>
  <c r="AY5166" i="4"/>
  <c r="AY5165" i="4"/>
  <c r="AY5164" i="4"/>
  <c r="AY5163" i="4"/>
  <c r="AY5162" i="4"/>
  <c r="AY5161" i="4"/>
  <c r="AY5160" i="4"/>
  <c r="AY5159" i="4"/>
  <c r="AY5158" i="4"/>
  <c r="AY5157" i="4"/>
  <c r="AY5156" i="4"/>
  <c r="AY5155" i="4"/>
  <c r="AY5154" i="4"/>
  <c r="AY5153" i="4"/>
  <c r="AY5152" i="4"/>
  <c r="AY5151" i="4"/>
  <c r="AY5150" i="4"/>
  <c r="AY5149" i="4"/>
  <c r="AY5148" i="4"/>
  <c r="AY5147" i="4"/>
  <c r="AY5146" i="4"/>
  <c r="AY5145" i="4"/>
  <c r="AY5144" i="4"/>
  <c r="AY5143" i="4"/>
  <c r="AY5142" i="4"/>
  <c r="AY5141" i="4"/>
  <c r="AY5140" i="4"/>
  <c r="AY5139" i="4"/>
  <c r="AY5138" i="4"/>
  <c r="AY5137" i="4"/>
  <c r="AY5136" i="4"/>
  <c r="AY5135" i="4"/>
  <c r="AY5134" i="4"/>
  <c r="AY5133" i="4"/>
  <c r="AY5132" i="4"/>
  <c r="AY5131" i="4"/>
  <c r="AY5130" i="4"/>
  <c r="AY5129" i="4"/>
  <c r="AY5128" i="4"/>
  <c r="AY5127" i="4"/>
  <c r="AY5126" i="4"/>
  <c r="AY5125" i="4"/>
  <c r="AY5124" i="4"/>
  <c r="AY5123" i="4"/>
  <c r="AY5122" i="4"/>
  <c r="AY5121" i="4"/>
  <c r="AY5120" i="4"/>
  <c r="AY5119" i="4"/>
  <c r="AY5118" i="4"/>
  <c r="AY5117" i="4"/>
  <c r="AY5116" i="4"/>
  <c r="AY5115" i="4"/>
  <c r="AY5114" i="4"/>
  <c r="AY5113" i="4"/>
  <c r="AY5112" i="4"/>
  <c r="AY5111" i="4"/>
  <c r="AY5110" i="4"/>
  <c r="AY5109" i="4"/>
  <c r="AY5108" i="4"/>
  <c r="AY5107" i="4"/>
  <c r="AY5106" i="4"/>
  <c r="AY5105" i="4"/>
  <c r="AY5104" i="4"/>
  <c r="AY5103" i="4"/>
  <c r="AY5102" i="4"/>
  <c r="AY5101" i="4"/>
  <c r="AY5100" i="4"/>
  <c r="AY5099" i="4"/>
  <c r="AY5098" i="4"/>
  <c r="AY5097" i="4"/>
  <c r="AY5096" i="4"/>
  <c r="AY5095" i="4"/>
  <c r="AY5094" i="4"/>
  <c r="AY5093" i="4"/>
  <c r="AY5092" i="4"/>
  <c r="AY5091" i="4"/>
  <c r="AY5090" i="4"/>
  <c r="AY5089" i="4"/>
  <c r="AY5088" i="4"/>
  <c r="AY5087" i="4"/>
  <c r="AY5086" i="4"/>
  <c r="AY5085" i="4"/>
  <c r="AY5084" i="4"/>
  <c r="AY5083" i="4"/>
  <c r="AY5082" i="4"/>
  <c r="AY5081" i="4"/>
  <c r="AY5080" i="4"/>
  <c r="AY5079" i="4"/>
  <c r="AY5078" i="4"/>
  <c r="AY5077" i="4"/>
  <c r="AY5076" i="4"/>
  <c r="AY5075" i="4"/>
  <c r="AY5074" i="4"/>
  <c r="AY5073" i="4"/>
  <c r="AY5072" i="4"/>
  <c r="AY5071" i="4"/>
  <c r="AY5070" i="4"/>
  <c r="AY5069" i="4"/>
  <c r="AY5068" i="4"/>
  <c r="AY5067" i="4"/>
  <c r="AY5066" i="4"/>
  <c r="AY5065" i="4"/>
  <c r="AY5064" i="4"/>
  <c r="AY5063" i="4"/>
  <c r="AY5062" i="4"/>
  <c r="AY5061" i="4"/>
  <c r="AY5060" i="4"/>
  <c r="AY5059" i="4"/>
  <c r="AY5058" i="4"/>
  <c r="AY5057" i="4"/>
  <c r="AY5056" i="4"/>
  <c r="AY5055" i="4"/>
  <c r="AY5054" i="4"/>
  <c r="AY5053" i="4"/>
  <c r="AY5052" i="4"/>
  <c r="AY5051" i="4"/>
  <c r="AY5050" i="4"/>
  <c r="AY5049" i="4"/>
  <c r="AY5048" i="4"/>
  <c r="AY5047" i="4"/>
  <c r="AY5046" i="4"/>
  <c r="AY5045" i="4"/>
  <c r="AY5044" i="4"/>
  <c r="AY5043" i="4"/>
  <c r="AY5042" i="4"/>
  <c r="AY5041" i="4"/>
  <c r="AY5040" i="4"/>
  <c r="AY5039" i="4"/>
  <c r="AY5038" i="4"/>
  <c r="AY5037" i="4"/>
  <c r="AY5036" i="4"/>
  <c r="AY5035" i="4"/>
  <c r="AY5034" i="4"/>
  <c r="AY5033" i="4"/>
  <c r="AY5032" i="4"/>
  <c r="AY5031" i="4"/>
  <c r="AY5030" i="4"/>
  <c r="AY5029" i="4"/>
  <c r="AY5028" i="4"/>
  <c r="AY5027" i="4"/>
  <c r="AY5026" i="4"/>
  <c r="AY5025" i="4"/>
  <c r="AY5024" i="4"/>
  <c r="AY5023" i="4"/>
  <c r="AY5022" i="4"/>
  <c r="AY5021" i="4"/>
  <c r="AY5020" i="4"/>
  <c r="AY5019" i="4"/>
  <c r="AY5018" i="4"/>
  <c r="AY5017" i="4"/>
  <c r="AY5016" i="4"/>
  <c r="AY5015" i="4"/>
  <c r="AY5014" i="4"/>
  <c r="AY5013" i="4"/>
  <c r="AY5012" i="4"/>
  <c r="AY5011" i="4"/>
  <c r="AY5010" i="4"/>
  <c r="AY5009" i="4"/>
  <c r="AY5008" i="4"/>
  <c r="AY5007" i="4"/>
  <c r="AY5006" i="4"/>
  <c r="AY5005" i="4"/>
  <c r="AY5004" i="4"/>
  <c r="AY5003" i="4"/>
  <c r="AY5002" i="4"/>
  <c r="AY5001" i="4"/>
  <c r="AY5000" i="4"/>
  <c r="AY4999" i="4"/>
  <c r="AY4998" i="4"/>
  <c r="AY4997" i="4"/>
  <c r="AY4996" i="4"/>
  <c r="AY4995" i="4"/>
  <c r="AY4994" i="4"/>
  <c r="AY4993" i="4"/>
  <c r="AY4992" i="4"/>
  <c r="AY4991" i="4"/>
  <c r="AY4990" i="4"/>
  <c r="AY4989" i="4"/>
  <c r="AY4988" i="4"/>
  <c r="AY4987" i="4"/>
  <c r="AY4986" i="4"/>
  <c r="AY4985" i="4"/>
  <c r="AY4984" i="4"/>
  <c r="AY4983" i="4"/>
  <c r="AY4982" i="4"/>
  <c r="AY4981" i="4"/>
  <c r="AY4980" i="4"/>
  <c r="AY4979" i="4"/>
  <c r="AY4978" i="4"/>
  <c r="AY4977" i="4"/>
  <c r="AY4976" i="4"/>
  <c r="AY4975" i="4"/>
  <c r="AY4974" i="4"/>
  <c r="AY4973" i="4"/>
  <c r="AY4972" i="4"/>
  <c r="AY4971" i="4"/>
  <c r="AY4970" i="4"/>
  <c r="AY4969" i="4"/>
  <c r="AY4968" i="4"/>
  <c r="AY4967" i="4"/>
  <c r="AY4966" i="4"/>
  <c r="AY4965" i="4"/>
  <c r="AY4964" i="4"/>
  <c r="AY4963" i="4"/>
  <c r="AY4962" i="4"/>
  <c r="AY4961" i="4"/>
  <c r="AY4960" i="4"/>
  <c r="AY4959" i="4"/>
  <c r="AY4958" i="4"/>
  <c r="AY4957" i="4"/>
  <c r="AY4956" i="4"/>
  <c r="AY4955" i="4"/>
  <c r="AY4954" i="4"/>
  <c r="AY4953" i="4"/>
  <c r="AY4952" i="4"/>
  <c r="AY4951" i="4"/>
  <c r="AY4950" i="4"/>
  <c r="AY4949" i="4"/>
  <c r="AY4948" i="4"/>
  <c r="AY4947" i="4"/>
  <c r="AY4946" i="4"/>
  <c r="AY4945" i="4"/>
  <c r="AY4944" i="4"/>
  <c r="AY4943" i="4"/>
  <c r="AY4942" i="4"/>
  <c r="AY4941" i="4"/>
  <c r="AY4940" i="4"/>
  <c r="AY4939" i="4"/>
  <c r="AY4938" i="4"/>
  <c r="AY4937" i="4"/>
  <c r="AY4936" i="4"/>
  <c r="AY4935" i="4"/>
  <c r="AY4934" i="4"/>
  <c r="AY4933" i="4"/>
  <c r="AY4932" i="4"/>
  <c r="AY4931" i="4"/>
  <c r="AY4930" i="4"/>
  <c r="AY4929" i="4"/>
  <c r="AY4928" i="4"/>
  <c r="AY4927" i="4"/>
  <c r="AY4926" i="4"/>
  <c r="AY4925" i="4"/>
  <c r="AY4924" i="4"/>
  <c r="AY4923" i="4"/>
  <c r="AY4922" i="4"/>
  <c r="AY4921" i="4"/>
  <c r="AY4920" i="4"/>
  <c r="AY4919" i="4"/>
  <c r="AY4918" i="4"/>
  <c r="AY4917" i="4"/>
  <c r="AY4916" i="4"/>
  <c r="AY4915" i="4"/>
  <c r="AY4914" i="4"/>
  <c r="AY4913" i="4"/>
  <c r="AY4912" i="4"/>
  <c r="AY4911" i="4"/>
  <c r="AY4910" i="4"/>
  <c r="AY4909" i="4"/>
  <c r="AY4908" i="4"/>
  <c r="AY4907" i="4"/>
  <c r="AY4906" i="4"/>
  <c r="AY4905" i="4"/>
  <c r="AY4904" i="4"/>
  <c r="AY4903" i="4"/>
  <c r="AY4902" i="4"/>
  <c r="AY4901" i="4"/>
  <c r="AY4900" i="4"/>
  <c r="AY4899" i="4"/>
  <c r="AY4898" i="4"/>
  <c r="AY4897" i="4"/>
  <c r="AY4896" i="4"/>
  <c r="AY4895" i="4"/>
  <c r="AY4894" i="4"/>
  <c r="AY4893" i="4"/>
  <c r="AY4892" i="4"/>
  <c r="AY4891" i="4"/>
  <c r="AY4890" i="4"/>
  <c r="AY4889" i="4"/>
  <c r="AY4888" i="4"/>
  <c r="AY4887" i="4"/>
  <c r="AY4886" i="4"/>
  <c r="AY4885" i="4"/>
  <c r="AY4884" i="4"/>
  <c r="AY4883" i="4"/>
  <c r="AY4882" i="4"/>
  <c r="AY4881" i="4"/>
  <c r="AY4880" i="4"/>
  <c r="AY4879" i="4"/>
  <c r="AY4878" i="4"/>
  <c r="AY4877" i="4"/>
  <c r="AY4876" i="4"/>
  <c r="AY4875" i="4"/>
  <c r="AY4874" i="4"/>
  <c r="AY4873" i="4"/>
  <c r="AY4872" i="4"/>
  <c r="AY4871" i="4"/>
  <c r="AY4870" i="4"/>
  <c r="AY4869" i="4"/>
  <c r="AY4868" i="4"/>
  <c r="AY4867" i="4"/>
  <c r="AY4866" i="4"/>
  <c r="AY4865" i="4"/>
  <c r="AY4864" i="4"/>
  <c r="AY4863" i="4"/>
  <c r="AY4862" i="4"/>
  <c r="AY4861" i="4"/>
  <c r="AY4860" i="4"/>
  <c r="AY4859" i="4"/>
  <c r="AY4858" i="4"/>
  <c r="AY4857" i="4"/>
  <c r="AY4856" i="4"/>
  <c r="AY4855" i="4"/>
  <c r="AY4854" i="4"/>
  <c r="AY4853" i="4"/>
  <c r="AY4852" i="4"/>
  <c r="AY4851" i="4"/>
  <c r="AY4850" i="4"/>
  <c r="AY4849" i="4"/>
  <c r="AY4848" i="4"/>
  <c r="AY4847" i="4"/>
  <c r="AY4846" i="4"/>
  <c r="AY4845" i="4"/>
  <c r="AY4844" i="4"/>
  <c r="AY4843" i="4"/>
  <c r="AY4842" i="4"/>
  <c r="AY4841" i="4"/>
  <c r="AY4840" i="4"/>
  <c r="AY4839" i="4"/>
  <c r="AY4838" i="4"/>
  <c r="AY4837" i="4"/>
  <c r="AY4836" i="4"/>
  <c r="AY4835" i="4"/>
  <c r="AY4834" i="4"/>
  <c r="AY4833" i="4"/>
  <c r="AY4832" i="4"/>
  <c r="AY4831" i="4"/>
  <c r="AY4830" i="4"/>
  <c r="AY4829" i="4"/>
  <c r="AY4828" i="4"/>
  <c r="AY4827" i="4"/>
  <c r="AY4826" i="4"/>
  <c r="AY4825" i="4"/>
  <c r="AY4824" i="4"/>
  <c r="AY4823" i="4"/>
  <c r="AY4822" i="4"/>
  <c r="AY4821" i="4"/>
  <c r="AY4820" i="4"/>
  <c r="AY4819" i="4"/>
  <c r="AY4818" i="4"/>
  <c r="AY4817" i="4"/>
  <c r="AY4816" i="4"/>
  <c r="AY4815" i="4"/>
  <c r="AY4814" i="4"/>
  <c r="AY4813" i="4"/>
  <c r="AY4812" i="4"/>
  <c r="AY4811" i="4"/>
  <c r="AY4810" i="4"/>
  <c r="AY4809" i="4"/>
  <c r="AY4808" i="4"/>
  <c r="AY4807" i="4"/>
  <c r="AY4806" i="4"/>
  <c r="AY4805" i="4"/>
  <c r="AY4804" i="4"/>
  <c r="AY4803" i="4"/>
  <c r="AY4802" i="4"/>
  <c r="AY4801" i="4"/>
  <c r="AY4800" i="4"/>
  <c r="AY4799" i="4"/>
  <c r="AY4798" i="4"/>
  <c r="AY4797" i="4"/>
  <c r="AY4796" i="4"/>
  <c r="AY4795" i="4"/>
  <c r="AY4794" i="4"/>
  <c r="AY4793" i="4"/>
  <c r="AY4792" i="4"/>
  <c r="AY4791" i="4"/>
  <c r="AY4790" i="4"/>
  <c r="AY4789" i="4"/>
  <c r="AY4788" i="4"/>
  <c r="AY4787" i="4"/>
  <c r="AY4786" i="4"/>
  <c r="AY4785" i="4"/>
  <c r="AY4784" i="4"/>
  <c r="AY4783" i="4"/>
  <c r="AY4782" i="4"/>
  <c r="AY4781" i="4"/>
  <c r="AY4780" i="4"/>
  <c r="AY4779" i="4"/>
  <c r="AY4778" i="4"/>
  <c r="AY4777" i="4"/>
  <c r="AY4776" i="4"/>
  <c r="AY4775" i="4"/>
  <c r="AY4774" i="4"/>
  <c r="AY4773" i="4"/>
  <c r="AY4772" i="4"/>
  <c r="AY4771" i="4"/>
  <c r="AY4770" i="4"/>
  <c r="AY4769" i="4"/>
  <c r="AY4768" i="4"/>
  <c r="AY4767" i="4"/>
  <c r="AY4766" i="4"/>
  <c r="AY4765" i="4"/>
  <c r="AY4764" i="4"/>
  <c r="AY4763" i="4"/>
  <c r="AY4762" i="4"/>
  <c r="AY4761" i="4"/>
  <c r="AY4760" i="4"/>
  <c r="AY4759" i="4"/>
  <c r="AY4758" i="4"/>
  <c r="AY4757" i="4"/>
  <c r="AY4756" i="4"/>
  <c r="AY4755" i="4"/>
  <c r="AY4754" i="4"/>
  <c r="AY4753" i="4"/>
  <c r="AY4752" i="4"/>
  <c r="AY4751" i="4"/>
  <c r="AY4750" i="4"/>
  <c r="AY4749" i="4"/>
  <c r="AY4748" i="4"/>
  <c r="AY4747" i="4"/>
  <c r="AY4746" i="4"/>
  <c r="AY4745" i="4"/>
  <c r="AY4744" i="4"/>
  <c r="AY4743" i="4"/>
  <c r="AY4742" i="4"/>
  <c r="AY4741" i="4"/>
  <c r="AY4740" i="4"/>
  <c r="AY4739" i="4"/>
  <c r="AY4738" i="4"/>
  <c r="AY4737" i="4"/>
  <c r="AY4736" i="4"/>
  <c r="AY4735" i="4"/>
  <c r="AY4734" i="4"/>
  <c r="AY4733" i="4"/>
  <c r="AY4732" i="4"/>
  <c r="AY4731" i="4"/>
  <c r="AY4730" i="4"/>
  <c r="AY4729" i="4"/>
  <c r="AY4728" i="4"/>
  <c r="AY4727" i="4"/>
  <c r="AY4726" i="4"/>
  <c r="AY4725" i="4"/>
  <c r="AY4724" i="4"/>
  <c r="AY4723" i="4"/>
  <c r="AY4722" i="4"/>
  <c r="AY4721" i="4"/>
  <c r="AY4720" i="4"/>
  <c r="AY4719" i="4"/>
  <c r="AY4718" i="4"/>
  <c r="AY4717" i="4"/>
  <c r="AY4716" i="4"/>
  <c r="AY4715" i="4"/>
  <c r="AY4714" i="4"/>
  <c r="AY4713" i="4"/>
  <c r="AY4712" i="4"/>
  <c r="AY4711" i="4"/>
  <c r="AY4710" i="4"/>
  <c r="AY4709" i="4"/>
  <c r="AY4708" i="4"/>
  <c r="AY4707" i="4"/>
  <c r="AY4706" i="4"/>
  <c r="AY4705" i="4"/>
  <c r="AY4704" i="4"/>
  <c r="AY4703" i="4"/>
  <c r="AY4702" i="4"/>
  <c r="AY4701" i="4"/>
  <c r="AY4700" i="4"/>
  <c r="AY4699" i="4"/>
  <c r="AY4698" i="4"/>
  <c r="AY4697" i="4"/>
  <c r="AY4696" i="4"/>
  <c r="AY4695" i="4"/>
  <c r="AY4694" i="4"/>
  <c r="AY4693" i="4"/>
  <c r="AY4692" i="4"/>
  <c r="AY4691" i="4"/>
  <c r="AY4690" i="4"/>
  <c r="AY4689" i="4"/>
  <c r="AY4688" i="4"/>
  <c r="AY4687" i="4"/>
  <c r="AY4686" i="4"/>
  <c r="AY4685" i="4"/>
  <c r="AY4684" i="4"/>
  <c r="AY4683" i="4"/>
  <c r="AY4682" i="4"/>
  <c r="AY4681" i="4"/>
  <c r="AY4680" i="4"/>
  <c r="AY4679" i="4"/>
  <c r="AY4678" i="4"/>
  <c r="AY4677" i="4"/>
  <c r="AY4676" i="4"/>
  <c r="AY4675" i="4"/>
  <c r="AY4674" i="4"/>
  <c r="AY4673" i="4"/>
  <c r="AY4672" i="4"/>
  <c r="AY4671" i="4"/>
  <c r="AY4670" i="4"/>
  <c r="AY4669" i="4"/>
  <c r="AY4668" i="4"/>
  <c r="AY4667" i="4"/>
  <c r="AY4666" i="4"/>
  <c r="AY4665" i="4"/>
  <c r="AY4664" i="4"/>
  <c r="AY4663" i="4"/>
  <c r="AY4662" i="4"/>
  <c r="AY4661" i="4"/>
  <c r="AY4660" i="4"/>
  <c r="AY4659" i="4"/>
  <c r="AY4658" i="4"/>
  <c r="AY4657" i="4"/>
  <c r="AY4656" i="4"/>
  <c r="AY4655" i="4"/>
  <c r="AY4654" i="4"/>
  <c r="AY4653" i="4"/>
  <c r="AY4652" i="4"/>
  <c r="AY4651" i="4"/>
  <c r="AY4650" i="4"/>
  <c r="AY4649" i="4"/>
  <c r="AY4648" i="4"/>
  <c r="AY4647" i="4"/>
  <c r="AY4646" i="4"/>
  <c r="AY4645" i="4"/>
  <c r="AY4644" i="4"/>
  <c r="AY4643" i="4"/>
  <c r="AY4642" i="4"/>
  <c r="AY4641" i="4"/>
  <c r="AY4640" i="4"/>
  <c r="AY4639" i="4"/>
  <c r="AY4638" i="4"/>
  <c r="AY4637" i="4"/>
  <c r="AY4636" i="4"/>
  <c r="AY4635" i="4"/>
  <c r="AY4634" i="4"/>
  <c r="AY4633" i="4"/>
  <c r="AY4632" i="4"/>
  <c r="AY4631" i="4"/>
  <c r="AY4630" i="4"/>
  <c r="AY4629" i="4"/>
  <c r="AY4628" i="4"/>
  <c r="AY4627" i="4"/>
  <c r="AY4626" i="4"/>
  <c r="AY4625" i="4"/>
  <c r="AY4624" i="4"/>
  <c r="AY4623" i="4"/>
  <c r="AY4622" i="4"/>
  <c r="AY4621" i="4"/>
  <c r="AY4620" i="4"/>
  <c r="AY4619" i="4"/>
  <c r="AY4618" i="4"/>
  <c r="AY4617" i="4"/>
  <c r="AY4616" i="4"/>
  <c r="AY4615" i="4"/>
  <c r="AY4614" i="4"/>
  <c r="AY4613" i="4"/>
  <c r="AY4612" i="4"/>
  <c r="AY4611" i="4"/>
  <c r="AY4610" i="4"/>
  <c r="AY4609" i="4"/>
  <c r="AY4608" i="4"/>
  <c r="AY4607" i="4"/>
  <c r="AY4606" i="4"/>
  <c r="AY4605" i="4"/>
  <c r="AY4604" i="4"/>
  <c r="AY4603" i="4"/>
  <c r="AY4602" i="4"/>
  <c r="AY4601" i="4"/>
  <c r="AY4600" i="4"/>
  <c r="AY4599" i="4"/>
  <c r="AY4598" i="4"/>
  <c r="AY4597" i="4"/>
  <c r="AY4596" i="4"/>
  <c r="AY4595" i="4"/>
  <c r="AY4594" i="4"/>
  <c r="AY4593" i="4"/>
  <c r="AY4592" i="4"/>
  <c r="AY4591" i="4"/>
  <c r="AY4590" i="4"/>
  <c r="AY4589" i="4"/>
  <c r="AY4588" i="4"/>
  <c r="AY4587" i="4"/>
  <c r="AY4586" i="4"/>
  <c r="AY4585" i="4"/>
  <c r="AY4584" i="4"/>
  <c r="AY4583" i="4"/>
  <c r="AY4582" i="4"/>
  <c r="AY4581" i="4"/>
  <c r="AY4580" i="4"/>
  <c r="AY4579" i="4"/>
  <c r="AY4578" i="4"/>
  <c r="AY4577" i="4"/>
  <c r="AY4576" i="4"/>
  <c r="AY4575" i="4"/>
  <c r="AY4574" i="4"/>
  <c r="AY4573" i="4"/>
  <c r="AY4572" i="4"/>
  <c r="AY4571" i="4"/>
  <c r="AY4570" i="4"/>
  <c r="AY4569" i="4"/>
  <c r="AY4568" i="4"/>
  <c r="AY4567" i="4"/>
  <c r="AY4566" i="4"/>
  <c r="AY4565" i="4"/>
  <c r="AY4564" i="4"/>
  <c r="AY4563" i="4"/>
  <c r="AY4562" i="4"/>
  <c r="AY4561" i="4"/>
  <c r="AY4560" i="4"/>
  <c r="AY4559" i="4"/>
  <c r="AY4558" i="4"/>
  <c r="AY4557" i="4"/>
  <c r="AY4556" i="4"/>
  <c r="AY4555" i="4"/>
  <c r="AY4554" i="4"/>
  <c r="AY4553" i="4"/>
  <c r="AY4552" i="4"/>
  <c r="AY4551" i="4"/>
  <c r="AY4550" i="4"/>
  <c r="AY4549" i="4"/>
  <c r="AY4548" i="4"/>
  <c r="AY4547" i="4"/>
  <c r="AY4546" i="4"/>
  <c r="AY4545" i="4"/>
  <c r="AY4544" i="4"/>
  <c r="AY4543" i="4"/>
  <c r="AY4542" i="4"/>
  <c r="AY4541" i="4"/>
  <c r="AY4540" i="4"/>
  <c r="AY4539" i="4"/>
  <c r="AY4538" i="4"/>
  <c r="AY4537" i="4"/>
  <c r="AY4536" i="4"/>
  <c r="AY4535" i="4"/>
  <c r="AY4534" i="4"/>
  <c r="AY4533" i="4"/>
  <c r="AY4532" i="4"/>
  <c r="AY4531" i="4"/>
  <c r="AY4530" i="4"/>
  <c r="AY4529" i="4"/>
  <c r="AY4528" i="4"/>
  <c r="AY4527" i="4"/>
  <c r="AY4526" i="4"/>
  <c r="AY4525" i="4"/>
  <c r="AY4524" i="4"/>
  <c r="AY4523" i="4"/>
  <c r="AY4522" i="4"/>
  <c r="AY4521" i="4"/>
  <c r="AY4520" i="4"/>
  <c r="AY4519" i="4"/>
  <c r="AY4518" i="4"/>
  <c r="AY4517" i="4"/>
  <c r="AY4516" i="4"/>
  <c r="AY4515" i="4"/>
  <c r="AY4514" i="4"/>
  <c r="AY4513" i="4"/>
  <c r="AY4512" i="4"/>
  <c r="AY4511" i="4"/>
  <c r="AY4510" i="4"/>
  <c r="AY4509" i="4"/>
  <c r="AY4508" i="4"/>
  <c r="AY4507" i="4"/>
  <c r="AY4506" i="4"/>
  <c r="AY4505" i="4"/>
  <c r="AY4504" i="4"/>
  <c r="AY4503" i="4"/>
  <c r="AY4502" i="4"/>
  <c r="AY4501" i="4"/>
  <c r="AY4500" i="4"/>
  <c r="AY4499" i="4"/>
  <c r="AY4498" i="4"/>
  <c r="AY4497" i="4"/>
  <c r="AY4496" i="4"/>
  <c r="AY4495" i="4"/>
  <c r="AY4494" i="4"/>
  <c r="AY4493" i="4"/>
  <c r="AY4492" i="4"/>
  <c r="AY4491" i="4"/>
  <c r="AY4490" i="4"/>
  <c r="AY4489" i="4"/>
  <c r="AY4488" i="4"/>
  <c r="AY4487" i="4"/>
  <c r="AY4486" i="4"/>
  <c r="AY4485" i="4"/>
  <c r="AY4484" i="4"/>
  <c r="AY4483" i="4"/>
  <c r="AY4482" i="4"/>
  <c r="AY4481" i="4"/>
  <c r="AY4480" i="4"/>
  <c r="AY4479" i="4"/>
  <c r="AY4478" i="4"/>
  <c r="AY4477" i="4"/>
  <c r="AY4476" i="4"/>
  <c r="AY4475" i="4"/>
  <c r="AY4474" i="4"/>
  <c r="AY4473" i="4"/>
  <c r="AY4472" i="4"/>
  <c r="AY4471" i="4"/>
  <c r="AY4470" i="4"/>
  <c r="AY4469" i="4"/>
  <c r="AY4468" i="4"/>
  <c r="AY4467" i="4"/>
  <c r="AY4466" i="4"/>
  <c r="AY4465" i="4"/>
  <c r="AY4464" i="4"/>
  <c r="AY4463" i="4"/>
  <c r="AY4462" i="4"/>
  <c r="AY4461" i="4"/>
  <c r="AY4460" i="4"/>
  <c r="AY4459" i="4"/>
  <c r="AY4458" i="4"/>
  <c r="AY4457" i="4"/>
  <c r="AY4456" i="4"/>
  <c r="AY4455" i="4"/>
  <c r="AY4454" i="4"/>
  <c r="AY4453" i="4"/>
  <c r="AY4452" i="4"/>
  <c r="AY4451" i="4"/>
  <c r="AY4450" i="4"/>
  <c r="AY4449" i="4"/>
  <c r="AY4448" i="4"/>
  <c r="AY4447" i="4"/>
  <c r="AY4446" i="4"/>
  <c r="AY4445" i="4"/>
  <c r="AY4444" i="4"/>
  <c r="AY4443" i="4"/>
  <c r="AY4442" i="4"/>
  <c r="AY4441" i="4"/>
  <c r="AY4440" i="4"/>
  <c r="AY4439" i="4"/>
  <c r="AY4438" i="4"/>
  <c r="AY4437" i="4"/>
  <c r="AY4436" i="4"/>
  <c r="AY4435" i="4"/>
  <c r="AY4434" i="4"/>
  <c r="AY4433" i="4"/>
  <c r="AY4432" i="4"/>
  <c r="AY4431" i="4"/>
  <c r="AY4430" i="4"/>
  <c r="AY4429" i="4"/>
  <c r="AY4428" i="4"/>
  <c r="AY4427" i="4"/>
  <c r="AY4426" i="4"/>
  <c r="AY4425" i="4"/>
  <c r="AY4424" i="4"/>
  <c r="AY4423" i="4"/>
  <c r="AY4422" i="4"/>
  <c r="AY4421" i="4"/>
  <c r="AY4420" i="4"/>
  <c r="AY4419" i="4"/>
  <c r="AY4418" i="4"/>
  <c r="AY4417" i="4"/>
  <c r="AY4416" i="4"/>
  <c r="AY4415" i="4"/>
  <c r="AY4414" i="4"/>
  <c r="AY4413" i="4"/>
  <c r="AY4412" i="4"/>
  <c r="AY4411" i="4"/>
  <c r="AY4410" i="4"/>
  <c r="AY4409" i="4"/>
  <c r="AY4408" i="4"/>
  <c r="AY4407" i="4"/>
  <c r="AY4406" i="4"/>
  <c r="AY4405" i="4"/>
  <c r="AY4404" i="4"/>
  <c r="AY4403" i="4"/>
  <c r="AY4402" i="4"/>
  <c r="AY4401" i="4"/>
  <c r="AY4400" i="4"/>
  <c r="AY4399" i="4"/>
  <c r="AY4398" i="4"/>
  <c r="AY4397" i="4"/>
  <c r="AY4396" i="4"/>
  <c r="AY4395" i="4"/>
  <c r="AY4394" i="4"/>
  <c r="AY4393" i="4"/>
  <c r="AY4392" i="4"/>
  <c r="AY4391" i="4"/>
  <c r="AY4390" i="4"/>
  <c r="AY4389" i="4"/>
  <c r="AY4388" i="4"/>
  <c r="AY4387" i="4"/>
  <c r="AY4386" i="4"/>
  <c r="AY4385" i="4"/>
  <c r="AY4384" i="4"/>
  <c r="AY4383" i="4"/>
  <c r="AY4382" i="4"/>
  <c r="AY4381" i="4"/>
  <c r="AY4380" i="4"/>
  <c r="AY4379" i="4"/>
  <c r="AY4378" i="4"/>
  <c r="AY4377" i="4"/>
  <c r="AY4376" i="4"/>
  <c r="AY4375" i="4"/>
  <c r="AY4374" i="4"/>
  <c r="AY4373" i="4"/>
  <c r="AY4372" i="4"/>
  <c r="AY4371" i="4"/>
  <c r="AY4370" i="4"/>
  <c r="AY4369" i="4"/>
  <c r="AY4368" i="4"/>
  <c r="AY4367" i="4"/>
  <c r="AY4366" i="4"/>
  <c r="AY4365" i="4"/>
  <c r="AY4364" i="4"/>
  <c r="AY4363" i="4"/>
  <c r="AY4362" i="4"/>
  <c r="AY4361" i="4"/>
  <c r="AY4360" i="4"/>
  <c r="AY4359" i="4"/>
  <c r="AY4358" i="4"/>
  <c r="AY4357" i="4"/>
  <c r="AY4356" i="4"/>
  <c r="AY4355" i="4"/>
  <c r="AY4354" i="4"/>
  <c r="AY4353" i="4"/>
  <c r="AY4352" i="4"/>
  <c r="AY4351" i="4"/>
  <c r="AY4350" i="4"/>
  <c r="AY4349" i="4"/>
  <c r="AY4348" i="4"/>
  <c r="AY4347" i="4"/>
  <c r="AY4346" i="4"/>
  <c r="AY4345" i="4"/>
  <c r="AY4344" i="4"/>
  <c r="AY4343" i="4"/>
  <c r="AY4342" i="4"/>
  <c r="AY4341" i="4"/>
  <c r="AY4340" i="4"/>
  <c r="AY4339" i="4"/>
  <c r="AY4338" i="4"/>
  <c r="AY4337" i="4"/>
  <c r="AY4336" i="4"/>
  <c r="AY4335" i="4"/>
  <c r="AY4334" i="4"/>
  <c r="AY4333" i="4"/>
  <c r="AY4332" i="4"/>
  <c r="AY4331" i="4"/>
  <c r="AY4330" i="4"/>
  <c r="AY4329" i="4"/>
  <c r="AY4328" i="4"/>
  <c r="AY4327" i="4"/>
  <c r="AY4326" i="4"/>
  <c r="AY4325" i="4"/>
  <c r="AY4324" i="4"/>
  <c r="AY4323" i="4"/>
  <c r="AY4322" i="4"/>
  <c r="AY4321" i="4"/>
  <c r="AY4320" i="4"/>
  <c r="AY4319" i="4"/>
  <c r="AY4318" i="4"/>
  <c r="AY4317" i="4"/>
  <c r="AY4316" i="4"/>
  <c r="AY4315" i="4"/>
  <c r="AY4314" i="4"/>
  <c r="AY4313" i="4"/>
  <c r="AY4312" i="4"/>
  <c r="AY4311" i="4"/>
  <c r="AY4310" i="4"/>
  <c r="AY4309" i="4"/>
  <c r="AY4308" i="4"/>
  <c r="AY4307" i="4"/>
  <c r="AY4306" i="4"/>
  <c r="AY4305" i="4"/>
  <c r="AY4304" i="4"/>
  <c r="AY4303" i="4"/>
  <c r="AY4302" i="4"/>
  <c r="AY4301" i="4"/>
  <c r="AY4300" i="4"/>
  <c r="AY4299" i="4"/>
  <c r="AY4298" i="4"/>
  <c r="AY4297" i="4"/>
  <c r="AY4296" i="4"/>
  <c r="AY4295" i="4"/>
  <c r="AY4294" i="4"/>
  <c r="AY4293" i="4"/>
  <c r="AY4292" i="4"/>
  <c r="AY4291" i="4"/>
  <c r="AY4290" i="4"/>
  <c r="AY4289" i="4"/>
  <c r="AY4288" i="4"/>
  <c r="AY4287" i="4"/>
  <c r="AY4286" i="4"/>
  <c r="AY4285" i="4"/>
  <c r="AY4284" i="4"/>
  <c r="AY4283" i="4"/>
  <c r="AY4282" i="4"/>
  <c r="AY4281" i="4"/>
  <c r="AY4280" i="4"/>
  <c r="AY4279" i="4"/>
  <c r="AY4278" i="4"/>
  <c r="AY4277" i="4"/>
  <c r="AY4276" i="4"/>
  <c r="AY4275" i="4"/>
  <c r="AY4274" i="4"/>
  <c r="AY4273" i="4"/>
  <c r="AY4272" i="4"/>
  <c r="AY4271" i="4"/>
  <c r="AY4270" i="4"/>
  <c r="AY4269" i="4"/>
  <c r="AY4268" i="4"/>
  <c r="AY4267" i="4"/>
  <c r="AY4266" i="4"/>
  <c r="AY4265" i="4"/>
  <c r="AY4264" i="4"/>
  <c r="AY4263" i="4"/>
  <c r="AY4262" i="4"/>
  <c r="AY4261" i="4"/>
  <c r="AY4260" i="4"/>
  <c r="AY4259" i="4"/>
  <c r="AY4258" i="4"/>
  <c r="AY4257" i="4"/>
  <c r="AY4256" i="4"/>
  <c r="AY4255" i="4"/>
  <c r="AY4254" i="4"/>
  <c r="AY4253" i="4"/>
  <c r="AY4252" i="4"/>
  <c r="AY4251" i="4"/>
  <c r="AY4250" i="4"/>
  <c r="AY4249" i="4"/>
  <c r="AY4248" i="4"/>
  <c r="AY4247" i="4"/>
  <c r="AY4246" i="4"/>
  <c r="AY4245" i="4"/>
  <c r="AY4244" i="4"/>
  <c r="AY4243" i="4"/>
  <c r="AY4242" i="4"/>
  <c r="AY4241" i="4"/>
  <c r="AY4240" i="4"/>
  <c r="AY4239" i="4"/>
  <c r="AY4238" i="4"/>
  <c r="AY4237" i="4"/>
  <c r="AY4236" i="4"/>
  <c r="AY4235" i="4"/>
  <c r="AY4234" i="4"/>
  <c r="AY4233" i="4"/>
  <c r="AY4232" i="4"/>
  <c r="AY4231" i="4"/>
  <c r="AY4230" i="4"/>
  <c r="AY4229" i="4"/>
  <c r="AY4228" i="4"/>
  <c r="AY4227" i="4"/>
  <c r="AY4226" i="4"/>
  <c r="AY4225" i="4"/>
  <c r="AY4224" i="4"/>
  <c r="AY4223" i="4"/>
  <c r="AY4222" i="4"/>
  <c r="AY4221" i="4"/>
  <c r="AY4220" i="4"/>
  <c r="AY4219" i="4"/>
  <c r="AY4218" i="4"/>
  <c r="AY4217" i="4"/>
  <c r="AY4216" i="4"/>
  <c r="AY4215" i="4"/>
  <c r="AY4214" i="4"/>
  <c r="AY4213" i="4"/>
  <c r="AY4212" i="4"/>
  <c r="AY4211" i="4"/>
  <c r="AY4210" i="4"/>
  <c r="AY4209" i="4"/>
  <c r="AY4208" i="4"/>
  <c r="AY4207" i="4"/>
  <c r="AY4206" i="4"/>
  <c r="AY4205" i="4"/>
  <c r="AY4204" i="4"/>
  <c r="AY4203" i="4"/>
  <c r="AY4202" i="4"/>
  <c r="AY4201" i="4"/>
  <c r="AY4200" i="4"/>
  <c r="AY4199" i="4"/>
  <c r="AY4198" i="4"/>
  <c r="AY4197" i="4"/>
  <c r="AY4196" i="4"/>
  <c r="AY4195" i="4"/>
  <c r="AY4194" i="4"/>
  <c r="AY4193" i="4"/>
  <c r="AY4192" i="4"/>
  <c r="AY4191" i="4"/>
  <c r="AY4190" i="4"/>
  <c r="AY4189" i="4"/>
  <c r="AY4188" i="4"/>
  <c r="AY4187" i="4"/>
  <c r="AY4186" i="4"/>
  <c r="AY4185" i="4"/>
  <c r="AY4184" i="4"/>
  <c r="AY4183" i="4"/>
  <c r="AY4182" i="4"/>
  <c r="AY4181" i="4"/>
  <c r="AY4180" i="4"/>
  <c r="AY4179" i="4"/>
  <c r="AY4178" i="4"/>
  <c r="AY4177" i="4"/>
  <c r="AY4176" i="4"/>
  <c r="AY4175" i="4"/>
  <c r="AY4174" i="4"/>
  <c r="AY4173" i="4"/>
  <c r="AY4172" i="4"/>
  <c r="AY4171" i="4"/>
  <c r="AY4170" i="4"/>
  <c r="AY4169" i="4"/>
  <c r="AY4168" i="4"/>
  <c r="AY4167" i="4"/>
  <c r="AY4166" i="4"/>
  <c r="AY4165" i="4"/>
  <c r="AY4164" i="4"/>
  <c r="AY4163" i="4"/>
  <c r="AY4162" i="4"/>
  <c r="AY4161" i="4"/>
  <c r="AY4160" i="4"/>
  <c r="AY4159" i="4"/>
  <c r="AY4158" i="4"/>
  <c r="AY4157" i="4"/>
  <c r="AY4156" i="4"/>
  <c r="AY4155" i="4"/>
  <c r="AY4154" i="4"/>
  <c r="AY4153" i="4"/>
  <c r="AY4152" i="4"/>
  <c r="AY4151" i="4"/>
  <c r="AY4150" i="4"/>
  <c r="AY4149" i="4"/>
  <c r="AY4148" i="4"/>
  <c r="AY4147" i="4"/>
  <c r="AY4146" i="4"/>
  <c r="AY4145" i="4"/>
  <c r="AY4144" i="4"/>
  <c r="AY4143" i="4"/>
  <c r="AY4142" i="4"/>
  <c r="AY4141" i="4"/>
  <c r="AY4140" i="4"/>
  <c r="AY4139" i="4"/>
  <c r="AY4138" i="4"/>
  <c r="AY4137" i="4"/>
  <c r="AY4136" i="4"/>
  <c r="AY4135" i="4"/>
  <c r="AY4134" i="4"/>
  <c r="AY4133" i="4"/>
  <c r="AY4132" i="4"/>
  <c r="AY4131" i="4"/>
  <c r="AY4130" i="4"/>
  <c r="AY4129" i="4"/>
  <c r="AY4128" i="4"/>
  <c r="AY4127" i="4"/>
  <c r="AY4126" i="4"/>
  <c r="AY4125" i="4"/>
  <c r="AY4124" i="4"/>
  <c r="AY4123" i="4"/>
  <c r="AY4122" i="4"/>
  <c r="AY4121" i="4"/>
  <c r="AY4120" i="4"/>
  <c r="AY4119" i="4"/>
  <c r="AY4118" i="4"/>
  <c r="AY4117" i="4"/>
  <c r="AY4116" i="4"/>
  <c r="AY4115" i="4"/>
  <c r="AY4114" i="4"/>
  <c r="AY4113" i="4"/>
  <c r="AY4112" i="4"/>
  <c r="AY4111" i="4"/>
  <c r="AY4110" i="4"/>
  <c r="AY4109" i="4"/>
  <c r="AY4108" i="4"/>
  <c r="AY4107" i="4"/>
  <c r="AY4106" i="4"/>
  <c r="AY4105" i="4"/>
  <c r="AY4104" i="4"/>
  <c r="AY4103" i="4"/>
  <c r="AY4102" i="4"/>
  <c r="AY4101" i="4"/>
  <c r="AY4100" i="4"/>
  <c r="AY4099" i="4"/>
  <c r="AY4098" i="4"/>
  <c r="AY4097" i="4"/>
  <c r="AY4096" i="4"/>
  <c r="AY4095" i="4"/>
  <c r="AY4094" i="4"/>
  <c r="AY4093" i="4"/>
  <c r="AY4092" i="4"/>
  <c r="AY4091" i="4"/>
  <c r="AY4090" i="4"/>
  <c r="AY4089" i="4"/>
  <c r="AY4088" i="4"/>
  <c r="AY4087" i="4"/>
  <c r="AY4086" i="4"/>
  <c r="AY4085" i="4"/>
  <c r="AY4084" i="4"/>
  <c r="AY4083" i="4"/>
  <c r="AY4082" i="4"/>
  <c r="AY4081" i="4"/>
  <c r="AY4080" i="4"/>
  <c r="AY4079" i="4"/>
  <c r="AY4078" i="4"/>
  <c r="AY4077" i="4"/>
  <c r="AY4076" i="4"/>
  <c r="AY4075" i="4"/>
  <c r="AY4074" i="4"/>
  <c r="AY4073" i="4"/>
  <c r="AY4072" i="4"/>
  <c r="AY4071" i="4"/>
  <c r="AY4070" i="4"/>
  <c r="AY4069" i="4"/>
  <c r="AY4068" i="4"/>
  <c r="AY4067" i="4"/>
  <c r="AY4066" i="4"/>
  <c r="AY4065" i="4"/>
  <c r="AY4064" i="4"/>
  <c r="AY4063" i="4"/>
  <c r="AY4062" i="4"/>
  <c r="AY4061" i="4"/>
  <c r="AY4060" i="4"/>
  <c r="AY4059" i="4"/>
  <c r="AY4058" i="4"/>
  <c r="AY4057" i="4"/>
  <c r="AY4056" i="4"/>
  <c r="AY4055" i="4"/>
  <c r="AY4054" i="4"/>
  <c r="AY4053" i="4"/>
  <c r="AY4052" i="4"/>
  <c r="AY4051" i="4"/>
  <c r="AY4050" i="4"/>
  <c r="AY4049" i="4"/>
  <c r="AY4048" i="4"/>
  <c r="AY4047" i="4"/>
  <c r="AY4046" i="4"/>
  <c r="AY4045" i="4"/>
  <c r="AY4044" i="4"/>
  <c r="AY4043" i="4"/>
  <c r="AY4042" i="4"/>
  <c r="AY4041" i="4"/>
  <c r="AY4040" i="4"/>
  <c r="AY4039" i="4"/>
  <c r="AY4038" i="4"/>
  <c r="AY4037" i="4"/>
  <c r="AY4036" i="4"/>
  <c r="AY4035" i="4"/>
  <c r="AY4034" i="4"/>
  <c r="AY4033" i="4"/>
  <c r="AY4032" i="4"/>
  <c r="AY4031" i="4"/>
  <c r="AY4030" i="4"/>
  <c r="AY4029" i="4"/>
  <c r="AY4028" i="4"/>
  <c r="AY4027" i="4"/>
  <c r="AY4026" i="4"/>
  <c r="AY4025" i="4"/>
  <c r="AY4024" i="4"/>
  <c r="AY4023" i="4"/>
  <c r="AY4022" i="4"/>
  <c r="AY4021" i="4"/>
  <c r="AY4020" i="4"/>
  <c r="AY4019" i="4"/>
  <c r="AY4018" i="4"/>
  <c r="AY4017" i="4"/>
  <c r="AY4016" i="4"/>
  <c r="AY4015" i="4"/>
  <c r="AY4014" i="4"/>
  <c r="AY4013" i="4"/>
  <c r="AY4012" i="4"/>
  <c r="AY4011" i="4"/>
  <c r="AY4010" i="4"/>
  <c r="AY4009" i="4"/>
  <c r="AY4008" i="4"/>
  <c r="AY4007" i="4"/>
  <c r="AY4006" i="4"/>
  <c r="AY4005" i="4"/>
  <c r="AY4004" i="4"/>
  <c r="AY4003" i="4"/>
  <c r="AY4002" i="4"/>
  <c r="AY4001" i="4"/>
  <c r="AY4000" i="4"/>
  <c r="AY3999" i="4"/>
  <c r="AY3998" i="4"/>
  <c r="AY3997" i="4"/>
  <c r="AY3996" i="4"/>
  <c r="AY3995" i="4"/>
  <c r="AY3994" i="4"/>
  <c r="AY3993" i="4"/>
  <c r="AY3992" i="4"/>
  <c r="AY3991" i="4"/>
  <c r="AY3990" i="4"/>
  <c r="AY3989" i="4"/>
  <c r="AY3988" i="4"/>
  <c r="AY3987" i="4"/>
  <c r="AY3986" i="4"/>
  <c r="AY3985" i="4"/>
  <c r="AY3984" i="4"/>
  <c r="AY3983" i="4"/>
  <c r="AY3982" i="4"/>
  <c r="AY3981" i="4"/>
  <c r="AY3980" i="4"/>
  <c r="AY3979" i="4"/>
  <c r="AY3978" i="4"/>
  <c r="AY3977" i="4"/>
  <c r="AY3976" i="4"/>
  <c r="AY3975" i="4"/>
  <c r="AY3974" i="4"/>
  <c r="AY3973" i="4"/>
  <c r="AY3972" i="4"/>
  <c r="AY3971" i="4"/>
  <c r="AY3970" i="4"/>
  <c r="AY3969" i="4"/>
  <c r="AY3968" i="4"/>
  <c r="AY3967" i="4"/>
  <c r="AY3966" i="4"/>
  <c r="AY3965" i="4"/>
  <c r="AY3964" i="4"/>
  <c r="AY3963" i="4"/>
  <c r="AY3962" i="4"/>
  <c r="AY3961" i="4"/>
  <c r="AY3960" i="4"/>
  <c r="AY3959" i="4"/>
  <c r="AY3958" i="4"/>
  <c r="AY3957" i="4"/>
  <c r="AY3956" i="4"/>
  <c r="AY3955" i="4"/>
  <c r="AY3954" i="4"/>
  <c r="AY3953" i="4"/>
  <c r="AY3952" i="4"/>
  <c r="AY3951" i="4"/>
  <c r="AY3950" i="4"/>
  <c r="AY3949" i="4"/>
  <c r="AY3948" i="4"/>
  <c r="AY3947" i="4"/>
  <c r="AY3946" i="4"/>
  <c r="AY3945" i="4"/>
  <c r="AY3944" i="4"/>
  <c r="AY3943" i="4"/>
  <c r="AY3942" i="4"/>
  <c r="AY3941" i="4"/>
  <c r="AY3940" i="4"/>
  <c r="AY3939" i="4"/>
  <c r="AY3938" i="4"/>
  <c r="AY3937" i="4"/>
  <c r="AY3936" i="4"/>
  <c r="AY3935" i="4"/>
  <c r="AY3934" i="4"/>
  <c r="AY3933" i="4"/>
  <c r="AY3932" i="4"/>
  <c r="AY3931" i="4"/>
  <c r="AY3930" i="4"/>
  <c r="AY3929" i="4"/>
  <c r="AY3928" i="4"/>
  <c r="AY3927" i="4"/>
  <c r="AY3926" i="4"/>
  <c r="AY3925" i="4"/>
  <c r="AY3924" i="4"/>
  <c r="AY3923" i="4"/>
  <c r="AY3922" i="4"/>
  <c r="AY3921" i="4"/>
  <c r="AY3920" i="4"/>
  <c r="AY3919" i="4"/>
  <c r="AY3918" i="4"/>
  <c r="AY3917" i="4"/>
  <c r="AY3916" i="4"/>
  <c r="AY3915" i="4"/>
  <c r="AY3914" i="4"/>
  <c r="AY3913" i="4"/>
  <c r="AY3912" i="4"/>
  <c r="AY3911" i="4"/>
  <c r="AY3910" i="4"/>
  <c r="AY3909" i="4"/>
  <c r="AY3908" i="4"/>
  <c r="AY3907" i="4"/>
  <c r="AY3906" i="4"/>
  <c r="AY3905" i="4"/>
  <c r="AY3904" i="4"/>
  <c r="AY3903" i="4"/>
  <c r="AY3902" i="4"/>
  <c r="AY3901" i="4"/>
  <c r="AY3900" i="4"/>
  <c r="AY3899" i="4"/>
  <c r="AY3898" i="4"/>
  <c r="AY3897" i="4"/>
  <c r="AY3896" i="4"/>
  <c r="AY3895" i="4"/>
  <c r="AY3894" i="4"/>
  <c r="AY3893" i="4"/>
  <c r="AY3892" i="4"/>
  <c r="AY3891" i="4"/>
  <c r="AY3890" i="4"/>
  <c r="AY3889" i="4"/>
  <c r="AY3888" i="4"/>
  <c r="AY3887" i="4"/>
  <c r="AY3886" i="4"/>
  <c r="AY3885" i="4"/>
  <c r="AY3884" i="4"/>
  <c r="AY3883" i="4"/>
  <c r="AY3882" i="4"/>
  <c r="AY3881" i="4"/>
  <c r="AY3880" i="4"/>
  <c r="AY3879" i="4"/>
  <c r="AY3878" i="4"/>
  <c r="AY3877" i="4"/>
  <c r="AY3876" i="4"/>
  <c r="AY3875" i="4"/>
  <c r="AY3874" i="4"/>
  <c r="AY3873" i="4"/>
  <c r="AY3872" i="4"/>
  <c r="AY3871" i="4"/>
  <c r="AY3870" i="4"/>
  <c r="AY3869" i="4"/>
  <c r="AY3868" i="4"/>
  <c r="AY3867" i="4"/>
  <c r="AY3866" i="4"/>
  <c r="AY3865" i="4"/>
  <c r="AY3864" i="4"/>
  <c r="AY3863" i="4"/>
  <c r="AY3862" i="4"/>
  <c r="AY3861" i="4"/>
  <c r="AY3860" i="4"/>
  <c r="AY3859" i="4"/>
  <c r="AY3858" i="4"/>
  <c r="AY3857" i="4"/>
  <c r="AY3856" i="4"/>
  <c r="AY3855" i="4"/>
  <c r="AY3854" i="4"/>
  <c r="AY3853" i="4"/>
  <c r="AY3852" i="4"/>
  <c r="AY3851" i="4"/>
  <c r="AY3850" i="4"/>
  <c r="AY3849" i="4"/>
  <c r="AY3848" i="4"/>
  <c r="AY3847" i="4"/>
  <c r="AY3846" i="4"/>
  <c r="AY3845" i="4"/>
  <c r="AY3844" i="4"/>
  <c r="AY3843" i="4"/>
  <c r="AY3842" i="4"/>
  <c r="AY3841" i="4"/>
  <c r="AY3840" i="4"/>
  <c r="AY3839" i="4"/>
  <c r="AY3838" i="4"/>
  <c r="AY3837" i="4"/>
  <c r="AY3836" i="4"/>
  <c r="AY3835" i="4"/>
  <c r="AY3834" i="4"/>
  <c r="AY3833" i="4"/>
  <c r="AY3832" i="4"/>
  <c r="AY3831" i="4"/>
  <c r="AY3830" i="4"/>
  <c r="AY3829" i="4"/>
  <c r="AY3828" i="4"/>
  <c r="AY3827" i="4"/>
  <c r="AY3826" i="4"/>
  <c r="AY3825" i="4"/>
  <c r="AY3824" i="4"/>
  <c r="AY3823" i="4"/>
  <c r="AY3822" i="4"/>
  <c r="AY3821" i="4"/>
  <c r="AY3820" i="4"/>
  <c r="AY3819" i="4"/>
  <c r="AY3818" i="4"/>
  <c r="AY3817" i="4"/>
  <c r="AY3816" i="4"/>
  <c r="AY3815" i="4"/>
  <c r="AY3814" i="4"/>
  <c r="AY3813" i="4"/>
  <c r="AY3812" i="4"/>
  <c r="AY3811" i="4"/>
  <c r="AY3810" i="4"/>
  <c r="AY3809" i="4"/>
  <c r="AY3808" i="4"/>
  <c r="AY3807" i="4"/>
  <c r="AY3806" i="4"/>
  <c r="AY3805" i="4"/>
  <c r="AY3804" i="4"/>
  <c r="AY3803" i="4"/>
  <c r="AY3802" i="4"/>
  <c r="AY3801" i="4"/>
  <c r="AY3800" i="4"/>
  <c r="AY3799" i="4"/>
  <c r="AY3798" i="4"/>
  <c r="AY3797" i="4"/>
  <c r="AY3796" i="4"/>
  <c r="AY3795" i="4"/>
  <c r="AY3794" i="4"/>
  <c r="AY3793" i="4"/>
  <c r="AY3792" i="4"/>
  <c r="AY3791" i="4"/>
  <c r="AY3790" i="4"/>
  <c r="AY3789" i="4"/>
  <c r="AY3788" i="4"/>
  <c r="AY3787" i="4"/>
  <c r="AY3786" i="4"/>
  <c r="AY3785" i="4"/>
  <c r="AY3784" i="4"/>
  <c r="AY3783" i="4"/>
  <c r="AY3782" i="4"/>
  <c r="AY3781" i="4"/>
  <c r="AY3780" i="4"/>
  <c r="AY3779" i="4"/>
  <c r="AY3778" i="4"/>
  <c r="AY3777" i="4"/>
  <c r="AY3776" i="4"/>
  <c r="AY3775" i="4"/>
  <c r="AY3774" i="4"/>
  <c r="AY3773" i="4"/>
  <c r="AY3772" i="4"/>
  <c r="AY3771" i="4"/>
  <c r="AY3770" i="4"/>
  <c r="AY3769" i="4"/>
  <c r="AY3768" i="4"/>
  <c r="AY3767" i="4"/>
  <c r="AY3766" i="4"/>
  <c r="AY3765" i="4"/>
  <c r="AY3764" i="4"/>
  <c r="AY3763" i="4"/>
  <c r="AY3762" i="4"/>
  <c r="AY3761" i="4"/>
  <c r="AY3760" i="4"/>
  <c r="AY3759" i="4"/>
  <c r="AY3758" i="4"/>
  <c r="AY3757" i="4"/>
  <c r="AY3756" i="4"/>
  <c r="AY3755" i="4"/>
  <c r="AY3754" i="4"/>
  <c r="AY3753" i="4"/>
  <c r="AY3752" i="4"/>
  <c r="AY3751" i="4"/>
  <c r="AY3750" i="4"/>
  <c r="AY3749" i="4"/>
  <c r="AY3748" i="4"/>
  <c r="AY3747" i="4"/>
  <c r="AY3746" i="4"/>
  <c r="AY3745" i="4"/>
  <c r="AY3744" i="4"/>
  <c r="AY3743" i="4"/>
  <c r="AY3742" i="4"/>
  <c r="AY3741" i="4"/>
  <c r="AY3740" i="4"/>
  <c r="AY3739" i="4"/>
  <c r="AY3738" i="4"/>
  <c r="AY3737" i="4"/>
  <c r="AY3736" i="4"/>
  <c r="AY3735" i="4"/>
  <c r="AY3734" i="4"/>
  <c r="AY3733" i="4"/>
  <c r="AY3732" i="4"/>
  <c r="AY3731" i="4"/>
  <c r="AY3730" i="4"/>
  <c r="AY3729" i="4"/>
  <c r="AY3728" i="4"/>
  <c r="AY3727" i="4"/>
  <c r="AY3726" i="4"/>
  <c r="AY3725" i="4"/>
  <c r="AY3724" i="4"/>
  <c r="AY3723" i="4"/>
  <c r="AY3722" i="4"/>
  <c r="AY3721" i="4"/>
  <c r="AY3720" i="4"/>
  <c r="AY3719" i="4"/>
  <c r="AY3718" i="4"/>
  <c r="AY3717" i="4"/>
  <c r="AY3716" i="4"/>
  <c r="AY3715" i="4"/>
  <c r="AY3714" i="4"/>
  <c r="AY3713" i="4"/>
  <c r="AY3712" i="4"/>
  <c r="AY3711" i="4"/>
  <c r="AY3710" i="4"/>
  <c r="AY3709" i="4"/>
  <c r="AY3708" i="4"/>
  <c r="AY3707" i="4"/>
  <c r="AY3706" i="4"/>
  <c r="AY3705" i="4"/>
  <c r="AY3704" i="4"/>
  <c r="AY3703" i="4"/>
  <c r="AY3702" i="4"/>
  <c r="AY3701" i="4"/>
  <c r="AY3700" i="4"/>
  <c r="AY3699" i="4"/>
  <c r="AY3698" i="4"/>
  <c r="AY3697" i="4"/>
  <c r="AY3696" i="4"/>
  <c r="AY3695" i="4"/>
  <c r="AY3694" i="4"/>
  <c r="AY3693" i="4"/>
  <c r="AY3692" i="4"/>
  <c r="AY3691" i="4"/>
  <c r="AY3690" i="4"/>
  <c r="AY3689" i="4"/>
  <c r="AY3688" i="4"/>
  <c r="AY3687" i="4"/>
  <c r="AY3686" i="4"/>
  <c r="AY3685" i="4"/>
  <c r="AY3684" i="4"/>
  <c r="AY3683" i="4"/>
  <c r="AY3682" i="4"/>
  <c r="AY3681" i="4"/>
  <c r="AY3680" i="4"/>
  <c r="AY3679" i="4"/>
  <c r="AY3678" i="4"/>
  <c r="AY3677" i="4"/>
  <c r="AY3676" i="4"/>
  <c r="AY3675" i="4"/>
  <c r="AY3674" i="4"/>
  <c r="AY3673" i="4"/>
  <c r="AY3672" i="4"/>
  <c r="AY3671" i="4"/>
  <c r="AY3670" i="4"/>
  <c r="AY3669" i="4"/>
  <c r="AY3668" i="4"/>
  <c r="AY3667" i="4"/>
  <c r="AY3666" i="4"/>
  <c r="AY3665" i="4"/>
  <c r="AY3664" i="4"/>
  <c r="AY3663" i="4"/>
  <c r="AY3662" i="4"/>
  <c r="AY3661" i="4"/>
  <c r="AY3660" i="4"/>
  <c r="AY3659" i="4"/>
  <c r="AY3658" i="4"/>
  <c r="AY3657" i="4"/>
  <c r="AY3656" i="4"/>
  <c r="AY3655" i="4"/>
  <c r="AY3654" i="4"/>
  <c r="AY3653" i="4"/>
  <c r="AY3652" i="4"/>
  <c r="AY3651" i="4"/>
  <c r="AY3650" i="4"/>
  <c r="AY3649" i="4"/>
  <c r="AY3648" i="4"/>
  <c r="AY3647" i="4"/>
  <c r="AY3646" i="4"/>
  <c r="AY3645" i="4"/>
  <c r="AY3644" i="4"/>
  <c r="AY3643" i="4"/>
  <c r="AY3642" i="4"/>
  <c r="AY3641" i="4"/>
  <c r="AY3640" i="4"/>
  <c r="AY3639" i="4"/>
  <c r="AY3638" i="4"/>
  <c r="AY3637" i="4"/>
  <c r="AY3636" i="4"/>
  <c r="AY3635" i="4"/>
  <c r="AY3634" i="4"/>
  <c r="AY3633" i="4"/>
  <c r="AY3632" i="4"/>
  <c r="AY3631" i="4"/>
  <c r="AY3630" i="4"/>
  <c r="AY3629" i="4"/>
  <c r="AY3628" i="4"/>
  <c r="AY3627" i="4"/>
  <c r="AY3626" i="4"/>
  <c r="AY3625" i="4"/>
  <c r="AY3624" i="4"/>
  <c r="AY3623" i="4"/>
  <c r="AY3622" i="4"/>
  <c r="AY3621" i="4"/>
  <c r="AY3620" i="4"/>
  <c r="AY3619" i="4"/>
  <c r="AY3618" i="4"/>
  <c r="AY3617" i="4"/>
  <c r="AY3616" i="4"/>
  <c r="AY3615" i="4"/>
  <c r="AY3614" i="4"/>
  <c r="AY3613" i="4"/>
  <c r="AY3612" i="4"/>
  <c r="AY3611" i="4"/>
  <c r="AY3610" i="4"/>
  <c r="AY3609" i="4"/>
  <c r="AY3608" i="4"/>
  <c r="AY3607" i="4"/>
  <c r="AY3606" i="4"/>
  <c r="AY3605" i="4"/>
  <c r="AY3604" i="4"/>
  <c r="AY3603" i="4"/>
  <c r="AY3602" i="4"/>
  <c r="AY3601" i="4"/>
  <c r="AY3600" i="4"/>
  <c r="AY3599" i="4"/>
  <c r="AY3598" i="4"/>
  <c r="AY3597" i="4"/>
  <c r="AY3596" i="4"/>
  <c r="AY3595" i="4"/>
  <c r="AY3594" i="4"/>
  <c r="AY3593" i="4"/>
  <c r="AY3592" i="4"/>
  <c r="AY3591" i="4"/>
  <c r="AY3590" i="4"/>
  <c r="AY3589" i="4"/>
  <c r="AY3588" i="4"/>
  <c r="AY3587" i="4"/>
  <c r="AY3586" i="4"/>
  <c r="AY3585" i="4"/>
  <c r="AY3584" i="4"/>
  <c r="AY3583" i="4"/>
  <c r="AY3582" i="4"/>
  <c r="AY3581" i="4"/>
  <c r="AY3580" i="4"/>
  <c r="AY3579" i="4"/>
  <c r="AY3578" i="4"/>
  <c r="AY3577" i="4"/>
  <c r="AY3576" i="4"/>
  <c r="AY3575" i="4"/>
  <c r="AY3574" i="4"/>
  <c r="AY3573" i="4"/>
  <c r="AY3572" i="4"/>
  <c r="AY3571" i="4"/>
  <c r="AY3570" i="4"/>
  <c r="AY3569" i="4"/>
  <c r="AY3568" i="4"/>
  <c r="AY3567" i="4"/>
  <c r="AY3566" i="4"/>
  <c r="AY3565" i="4"/>
  <c r="AY3564" i="4"/>
  <c r="AY3563" i="4"/>
  <c r="AY3562" i="4"/>
  <c r="AY3561" i="4"/>
  <c r="AY3560" i="4"/>
  <c r="AY3559" i="4"/>
  <c r="AY3558" i="4"/>
  <c r="AY3557" i="4"/>
  <c r="AY3556" i="4"/>
  <c r="AY3555" i="4"/>
  <c r="AY3554" i="4"/>
  <c r="AY3553" i="4"/>
  <c r="AY3552" i="4"/>
  <c r="AY3551" i="4"/>
  <c r="AY3550" i="4"/>
  <c r="AY3549" i="4"/>
  <c r="AY3548" i="4"/>
  <c r="AY3547" i="4"/>
  <c r="AY3546" i="4"/>
  <c r="AY3545" i="4"/>
  <c r="AY3544" i="4"/>
  <c r="AY3543" i="4"/>
  <c r="AY3542" i="4"/>
  <c r="AY3541" i="4"/>
  <c r="AY3540" i="4"/>
  <c r="AY3539" i="4"/>
  <c r="AY3538" i="4"/>
  <c r="AY3537" i="4"/>
  <c r="AY3536" i="4"/>
  <c r="AY3535" i="4"/>
  <c r="AY3534" i="4"/>
  <c r="AY3533" i="4"/>
  <c r="AY3532" i="4"/>
  <c r="AY3531" i="4"/>
  <c r="AY3530" i="4"/>
  <c r="AY3529" i="4"/>
  <c r="AY3528" i="4"/>
  <c r="AY3527" i="4"/>
  <c r="AY3526" i="4"/>
  <c r="AY3525" i="4"/>
  <c r="AY3524" i="4"/>
  <c r="AY3523" i="4"/>
  <c r="AY3522" i="4"/>
  <c r="AY3521" i="4"/>
  <c r="AY3520" i="4"/>
  <c r="AY3519" i="4"/>
  <c r="AY3518" i="4"/>
  <c r="AY3517" i="4"/>
  <c r="AY3516" i="4"/>
  <c r="AY3515" i="4"/>
  <c r="AY3514" i="4"/>
  <c r="AY3513" i="4"/>
  <c r="AY3512" i="4"/>
  <c r="AY3511" i="4"/>
  <c r="AY3510" i="4"/>
  <c r="AY3509" i="4"/>
  <c r="AY3508" i="4"/>
  <c r="AY3507" i="4"/>
  <c r="AY3506" i="4"/>
  <c r="AY3505" i="4"/>
  <c r="AY3504" i="4"/>
  <c r="AY3503" i="4"/>
  <c r="AY3502" i="4"/>
  <c r="AY3501" i="4"/>
  <c r="AY3500" i="4"/>
  <c r="AY3499" i="4"/>
  <c r="AY3498" i="4"/>
  <c r="AY3497" i="4"/>
  <c r="AY3496" i="4"/>
  <c r="AY3495" i="4"/>
  <c r="AY3494" i="4"/>
  <c r="AY3493" i="4"/>
  <c r="AY3492" i="4"/>
  <c r="AY3491" i="4"/>
  <c r="AY3490" i="4"/>
  <c r="AY3489" i="4"/>
  <c r="AY3488" i="4"/>
  <c r="AY3487" i="4"/>
  <c r="AY3486" i="4"/>
  <c r="AY3485" i="4"/>
  <c r="AY3484" i="4"/>
  <c r="AY3483" i="4"/>
  <c r="AY3482" i="4"/>
  <c r="AY3481" i="4"/>
  <c r="AY3480" i="4"/>
  <c r="AY3479" i="4"/>
  <c r="AY3478" i="4"/>
  <c r="AY3477" i="4"/>
  <c r="AY3476" i="4"/>
  <c r="AY3475" i="4"/>
  <c r="AY3474" i="4"/>
  <c r="AY3473" i="4"/>
  <c r="AY3472" i="4"/>
  <c r="AY3471" i="4"/>
  <c r="AY3470" i="4"/>
  <c r="AY3469" i="4"/>
  <c r="AY3468" i="4"/>
  <c r="AY3467" i="4"/>
  <c r="AY3466" i="4"/>
  <c r="AY3465" i="4"/>
  <c r="AY3464" i="4"/>
  <c r="AY3463" i="4"/>
  <c r="AY3462" i="4"/>
  <c r="AY3461" i="4"/>
  <c r="AY3460" i="4"/>
  <c r="AY3459" i="4"/>
  <c r="AY3458" i="4"/>
  <c r="AY3457" i="4"/>
  <c r="AY3456" i="4"/>
  <c r="AY3455" i="4"/>
  <c r="AY3454" i="4"/>
  <c r="AY3453" i="4"/>
  <c r="AY3452" i="4"/>
  <c r="AY3451" i="4"/>
  <c r="AY3450" i="4"/>
  <c r="AY3449" i="4"/>
  <c r="AY3448" i="4"/>
  <c r="AY3447" i="4"/>
  <c r="AY3446" i="4"/>
  <c r="AY3445" i="4"/>
  <c r="AY3444" i="4"/>
  <c r="AY3443" i="4"/>
  <c r="AY3442" i="4"/>
  <c r="AY3441" i="4"/>
  <c r="AY3440" i="4"/>
  <c r="AY3439" i="4"/>
  <c r="AY3438" i="4"/>
  <c r="AY3437" i="4"/>
  <c r="AY3436" i="4"/>
  <c r="AY3435" i="4"/>
  <c r="AY3434" i="4"/>
  <c r="AY3433" i="4"/>
  <c r="AY3432" i="4"/>
  <c r="AY3431" i="4"/>
  <c r="AY3430" i="4"/>
  <c r="AY3429" i="4"/>
  <c r="AY3428" i="4"/>
  <c r="AY3427" i="4"/>
  <c r="AY3426" i="4"/>
  <c r="AY3425" i="4"/>
  <c r="AY3424" i="4"/>
  <c r="AY3423" i="4"/>
  <c r="AY3422" i="4"/>
  <c r="AY3421" i="4"/>
  <c r="AY3420" i="4"/>
  <c r="AY3419" i="4"/>
  <c r="AY3418" i="4"/>
  <c r="AY3417" i="4"/>
  <c r="AY3416" i="4"/>
  <c r="AY3415" i="4"/>
  <c r="AY3414" i="4"/>
  <c r="AY3413" i="4"/>
  <c r="AY3412" i="4"/>
  <c r="AY3411" i="4"/>
  <c r="AY3410" i="4"/>
  <c r="AY3409" i="4"/>
  <c r="AY3408" i="4"/>
  <c r="AY3407" i="4"/>
  <c r="AY3406" i="4"/>
  <c r="AY3405" i="4"/>
  <c r="AY3404" i="4"/>
  <c r="AY3403" i="4"/>
  <c r="AY3402" i="4"/>
  <c r="AY3401" i="4"/>
  <c r="AY3400" i="4"/>
  <c r="AY3399" i="4"/>
  <c r="AY3398" i="4"/>
  <c r="AY3397" i="4"/>
  <c r="AY3396" i="4"/>
  <c r="AY3395" i="4"/>
  <c r="AY3394" i="4"/>
  <c r="AY3393" i="4"/>
  <c r="AY3392" i="4"/>
  <c r="AY3391" i="4"/>
  <c r="AY3390" i="4"/>
  <c r="AY3389" i="4"/>
  <c r="AY3388" i="4"/>
  <c r="AY3387" i="4"/>
  <c r="AY3386" i="4"/>
  <c r="AY3385" i="4"/>
  <c r="AY3384" i="4"/>
  <c r="AY3383" i="4"/>
  <c r="AY3382" i="4"/>
  <c r="AY3381" i="4"/>
  <c r="AY3380" i="4"/>
  <c r="AY3379" i="4"/>
  <c r="AY3378" i="4"/>
  <c r="AY3377" i="4"/>
  <c r="AY3376" i="4"/>
  <c r="AY3375" i="4"/>
  <c r="AY3374" i="4"/>
  <c r="AY3373" i="4"/>
  <c r="AY3372" i="4"/>
  <c r="AY3371" i="4"/>
  <c r="AY3370" i="4"/>
  <c r="AY3369" i="4"/>
  <c r="AY3368" i="4"/>
  <c r="AY3367" i="4"/>
  <c r="AY3366" i="4"/>
  <c r="AY3365" i="4"/>
  <c r="AY3364" i="4"/>
  <c r="AY3363" i="4"/>
  <c r="AY3362" i="4"/>
  <c r="AY3361" i="4"/>
  <c r="AY3360" i="4"/>
  <c r="AY3359" i="4"/>
  <c r="AY3358" i="4"/>
  <c r="AY3357" i="4"/>
  <c r="AY3356" i="4"/>
  <c r="AY3355" i="4"/>
  <c r="AY3354" i="4"/>
  <c r="AY3353" i="4"/>
  <c r="AY3352" i="4"/>
  <c r="AY3351" i="4"/>
  <c r="AY3350" i="4"/>
  <c r="AY3349" i="4"/>
  <c r="AY3348" i="4"/>
  <c r="AY3347" i="4"/>
  <c r="AY3346" i="4"/>
  <c r="AY3345" i="4"/>
  <c r="AY3344" i="4"/>
  <c r="AY3343" i="4"/>
  <c r="AY3342" i="4"/>
  <c r="AY3341" i="4"/>
  <c r="AY3340" i="4"/>
  <c r="AY3339" i="4"/>
  <c r="AY3338" i="4"/>
  <c r="AY3337" i="4"/>
  <c r="AY3336" i="4"/>
  <c r="AY3335" i="4"/>
  <c r="AY3334" i="4"/>
  <c r="AY3333" i="4"/>
  <c r="AY3332" i="4"/>
  <c r="AY3331" i="4"/>
  <c r="AY3330" i="4"/>
  <c r="AY3329" i="4"/>
  <c r="AY3328" i="4"/>
  <c r="AY3327" i="4"/>
  <c r="AY3326" i="4"/>
  <c r="AY3325" i="4"/>
  <c r="AY3324" i="4"/>
  <c r="AY3323" i="4"/>
  <c r="AY3322" i="4"/>
  <c r="AY3321" i="4"/>
  <c r="AY3320" i="4"/>
  <c r="AY3319" i="4"/>
  <c r="AY3318" i="4"/>
  <c r="AY3317" i="4"/>
  <c r="AY3316" i="4"/>
  <c r="AY3315" i="4"/>
  <c r="AY3314" i="4"/>
  <c r="AY3313" i="4"/>
  <c r="AY3312" i="4"/>
  <c r="AY3311" i="4"/>
  <c r="AY3310" i="4"/>
  <c r="AY3309" i="4"/>
  <c r="AY3308" i="4"/>
  <c r="AY3307" i="4"/>
  <c r="AY3306" i="4"/>
  <c r="AY3305" i="4"/>
  <c r="AY3304" i="4"/>
  <c r="AY3303" i="4"/>
  <c r="AY3302" i="4"/>
  <c r="AY3301" i="4"/>
  <c r="AY3300" i="4"/>
  <c r="AY3299" i="4"/>
  <c r="AY3298" i="4"/>
  <c r="AY3297" i="4"/>
  <c r="AY3296" i="4"/>
  <c r="AY3295" i="4"/>
  <c r="AY3294" i="4"/>
  <c r="AY3293" i="4"/>
  <c r="AY3292" i="4"/>
  <c r="AY3291" i="4"/>
  <c r="AY3290" i="4"/>
  <c r="AY3289" i="4"/>
  <c r="AY3288" i="4"/>
  <c r="AY3287" i="4"/>
  <c r="AY3286" i="4"/>
  <c r="AY3285" i="4"/>
  <c r="AY3284" i="4"/>
  <c r="AY3283" i="4"/>
  <c r="AY3282" i="4"/>
  <c r="AY3281" i="4"/>
  <c r="AY3280" i="4"/>
  <c r="AY3279" i="4"/>
  <c r="AY3278" i="4"/>
  <c r="AY3277" i="4"/>
  <c r="AY3276" i="4"/>
  <c r="AY3275" i="4"/>
  <c r="AY3274" i="4"/>
  <c r="AY3273" i="4"/>
  <c r="AY3272" i="4"/>
  <c r="AY3271" i="4"/>
  <c r="AY3270" i="4"/>
  <c r="AY3269" i="4"/>
  <c r="AY3268" i="4"/>
  <c r="AY3267" i="4"/>
  <c r="AY3266" i="4"/>
  <c r="AY3265" i="4"/>
  <c r="AY3264" i="4"/>
  <c r="AY3263" i="4"/>
  <c r="AY3262" i="4"/>
  <c r="AY3261" i="4"/>
  <c r="AY3260" i="4"/>
  <c r="AY3259" i="4"/>
  <c r="AY3258" i="4"/>
  <c r="AY3257" i="4"/>
  <c r="AY3256" i="4"/>
  <c r="AY3255" i="4"/>
  <c r="AY3254" i="4"/>
  <c r="AY3253" i="4"/>
  <c r="AY3252" i="4"/>
  <c r="AY3251" i="4"/>
  <c r="AY3250" i="4"/>
  <c r="AY3249" i="4"/>
  <c r="AY3248" i="4"/>
  <c r="AY3247" i="4"/>
  <c r="AY3246" i="4"/>
  <c r="AY3245" i="4"/>
  <c r="AY3244" i="4"/>
  <c r="AY3243" i="4"/>
  <c r="AY3242" i="4"/>
  <c r="AY3241" i="4"/>
  <c r="AY3240" i="4"/>
  <c r="AY3239" i="4"/>
  <c r="AY3238" i="4"/>
  <c r="AY3237" i="4"/>
  <c r="AY3236" i="4"/>
  <c r="AY3235" i="4"/>
  <c r="AY3234" i="4"/>
  <c r="AY3233" i="4"/>
  <c r="AY3232" i="4"/>
  <c r="AY3231" i="4"/>
  <c r="AY3230" i="4"/>
  <c r="AY3229" i="4"/>
  <c r="AY3228" i="4"/>
  <c r="AY3227" i="4"/>
  <c r="AY3226" i="4"/>
  <c r="AY3225" i="4"/>
  <c r="AY3224" i="4"/>
  <c r="AY3223" i="4"/>
  <c r="AY3222" i="4"/>
  <c r="AY3221" i="4"/>
  <c r="AY3220" i="4"/>
  <c r="AY3219" i="4"/>
  <c r="AY3218" i="4"/>
  <c r="AY3217" i="4"/>
  <c r="AY3216" i="4"/>
  <c r="AY3215" i="4"/>
  <c r="AY3214" i="4"/>
  <c r="AY3213" i="4"/>
  <c r="AY3212" i="4"/>
  <c r="AY3211" i="4"/>
  <c r="AY3210" i="4"/>
  <c r="AY3209" i="4"/>
  <c r="AY3208" i="4"/>
  <c r="AY3207" i="4"/>
  <c r="AY3206" i="4"/>
  <c r="AY3205" i="4"/>
  <c r="AY3204" i="4"/>
  <c r="AY3203" i="4"/>
  <c r="AY3202" i="4"/>
  <c r="AY3201" i="4"/>
  <c r="AY3200" i="4"/>
  <c r="AY3199" i="4"/>
  <c r="AY3198" i="4"/>
  <c r="AY3197" i="4"/>
  <c r="AY3196" i="4"/>
  <c r="AY3195" i="4"/>
  <c r="AY3194" i="4"/>
  <c r="AY3193" i="4"/>
  <c r="AY3192" i="4"/>
  <c r="AY3191" i="4"/>
  <c r="AY3190" i="4"/>
  <c r="AY3189" i="4"/>
  <c r="AY3188" i="4"/>
  <c r="AY3187" i="4"/>
  <c r="AY3186" i="4"/>
  <c r="AY3185" i="4"/>
  <c r="AY3184" i="4"/>
  <c r="AY3183" i="4"/>
  <c r="AY3182" i="4"/>
  <c r="AY3181" i="4"/>
  <c r="AY3180" i="4"/>
  <c r="AY3179" i="4"/>
  <c r="AY3178" i="4"/>
  <c r="AY3177" i="4"/>
  <c r="AY3176" i="4"/>
  <c r="AY3175" i="4"/>
  <c r="AY3174" i="4"/>
  <c r="AY3173" i="4"/>
  <c r="AY3172" i="4"/>
  <c r="AY3171" i="4"/>
  <c r="AY3170" i="4"/>
  <c r="AY3169" i="4"/>
  <c r="AY3168" i="4"/>
  <c r="AY3167" i="4"/>
  <c r="AY3166" i="4"/>
  <c r="AY3165" i="4"/>
  <c r="AY3164" i="4"/>
  <c r="AY3163" i="4"/>
  <c r="AY3162" i="4"/>
  <c r="AY3161" i="4"/>
  <c r="AY3160" i="4"/>
  <c r="AY3159" i="4"/>
  <c r="AY3158" i="4"/>
  <c r="AY3157" i="4"/>
  <c r="AY3156" i="4"/>
  <c r="AY3155" i="4"/>
  <c r="AY3154" i="4"/>
  <c r="AY3153" i="4"/>
  <c r="AY3152" i="4"/>
  <c r="AY3151" i="4"/>
  <c r="AY3150" i="4"/>
  <c r="AY3149" i="4"/>
  <c r="AY3148" i="4"/>
  <c r="AY3147" i="4"/>
  <c r="AY3146" i="4"/>
  <c r="AY3145" i="4"/>
  <c r="AY3144" i="4"/>
  <c r="AY3143" i="4"/>
  <c r="AY3142" i="4"/>
  <c r="AY3141" i="4"/>
  <c r="AY3140" i="4"/>
  <c r="AY3139" i="4"/>
  <c r="AY3138" i="4"/>
  <c r="AY3137" i="4"/>
  <c r="AY3136" i="4"/>
  <c r="AY3135" i="4"/>
  <c r="AY3134" i="4"/>
  <c r="AY3133" i="4"/>
  <c r="AY3132" i="4"/>
  <c r="AY3131" i="4"/>
  <c r="AY3130" i="4"/>
  <c r="AY3129" i="4"/>
  <c r="AY3128" i="4"/>
  <c r="AY3127" i="4"/>
  <c r="AY3126" i="4"/>
  <c r="AY3125" i="4"/>
  <c r="AY3124" i="4"/>
  <c r="AY3123" i="4"/>
  <c r="AY3122" i="4"/>
  <c r="AY3121" i="4"/>
  <c r="AY3120" i="4"/>
  <c r="AY3119" i="4"/>
  <c r="AY3118" i="4"/>
  <c r="AY3117" i="4"/>
  <c r="AY3116" i="4"/>
  <c r="AY3115" i="4"/>
  <c r="AY3114" i="4"/>
  <c r="AY3113" i="4"/>
  <c r="AY3112" i="4"/>
  <c r="AY3111" i="4"/>
  <c r="AY3110" i="4"/>
  <c r="AY3109" i="4"/>
  <c r="AY3108" i="4"/>
  <c r="AY3107" i="4"/>
  <c r="AY3106" i="4"/>
  <c r="AY3105" i="4"/>
  <c r="AY3104" i="4"/>
  <c r="AY3103" i="4"/>
  <c r="AY3102" i="4"/>
  <c r="AY3101" i="4"/>
  <c r="AY3100" i="4"/>
  <c r="AY3099" i="4"/>
  <c r="AY3098" i="4"/>
  <c r="AY3097" i="4"/>
  <c r="AY3096" i="4"/>
  <c r="AY3095" i="4"/>
  <c r="AY3094" i="4"/>
  <c r="AY3093" i="4"/>
  <c r="AY3092" i="4"/>
  <c r="AY3091" i="4"/>
  <c r="AY3090" i="4"/>
  <c r="AY3089" i="4"/>
  <c r="AY3088" i="4"/>
  <c r="AY3087" i="4"/>
  <c r="AY3086" i="4"/>
  <c r="AY3085" i="4"/>
  <c r="AY3084" i="4"/>
  <c r="AY3083" i="4"/>
  <c r="AY3082" i="4"/>
  <c r="AY3081" i="4"/>
  <c r="AY3080" i="4"/>
  <c r="AY3079" i="4"/>
  <c r="AY3078" i="4"/>
  <c r="AY3077" i="4"/>
  <c r="AY3076" i="4"/>
  <c r="AY3075" i="4"/>
  <c r="AY3074" i="4"/>
  <c r="AY3073" i="4"/>
  <c r="AY3072" i="4"/>
  <c r="AY3071" i="4"/>
  <c r="AY3070" i="4"/>
  <c r="AY3069" i="4"/>
  <c r="AY3068" i="4"/>
  <c r="AY3067" i="4"/>
  <c r="AY3066" i="4"/>
  <c r="AY3065" i="4"/>
  <c r="AY3064" i="4"/>
  <c r="AY3063" i="4"/>
  <c r="AY3062" i="4"/>
  <c r="AY3061" i="4"/>
  <c r="AY3060" i="4"/>
  <c r="AY3059" i="4"/>
  <c r="AY3058" i="4"/>
  <c r="AY3057" i="4"/>
  <c r="AY3056" i="4"/>
  <c r="AY3055" i="4"/>
  <c r="AY3054" i="4"/>
  <c r="AY3053" i="4"/>
  <c r="AY3052" i="4"/>
  <c r="AY3051" i="4"/>
  <c r="AY3050" i="4"/>
  <c r="AY3049" i="4"/>
  <c r="AY3048" i="4"/>
  <c r="AY3047" i="4"/>
  <c r="AY3046" i="4"/>
  <c r="AY3045" i="4"/>
  <c r="AY3044" i="4"/>
  <c r="AY3043" i="4"/>
  <c r="AY3042" i="4"/>
  <c r="AY3041" i="4"/>
  <c r="AY3040" i="4"/>
  <c r="AY3039" i="4"/>
  <c r="AY3038" i="4"/>
  <c r="AY3037" i="4"/>
  <c r="AY3036" i="4"/>
  <c r="AY3035" i="4"/>
  <c r="AY3034" i="4"/>
  <c r="AY3033" i="4"/>
  <c r="AY3032" i="4"/>
  <c r="AY3031" i="4"/>
  <c r="AY3030" i="4"/>
  <c r="AY3029" i="4"/>
  <c r="AY3028" i="4"/>
  <c r="AY3027" i="4"/>
  <c r="AY3026" i="4"/>
  <c r="AY3025" i="4"/>
  <c r="AY3024" i="4"/>
  <c r="AY3023" i="4"/>
  <c r="AY3022" i="4"/>
  <c r="AY3021" i="4"/>
  <c r="AY3020" i="4"/>
  <c r="AY3019" i="4"/>
  <c r="AY3018" i="4"/>
  <c r="AY3017" i="4"/>
  <c r="AY3016" i="4"/>
  <c r="AY3015" i="4"/>
  <c r="AY3014" i="4"/>
  <c r="AY3013" i="4"/>
  <c r="AY3012" i="4"/>
  <c r="AY3011" i="4"/>
  <c r="AY3010" i="4"/>
  <c r="AY3009" i="4"/>
  <c r="AY3008" i="4"/>
  <c r="AY3007" i="4"/>
  <c r="AY3006" i="4"/>
  <c r="AY3005" i="4"/>
  <c r="AY3004" i="4"/>
  <c r="AY3003" i="4"/>
  <c r="AY3002" i="4"/>
  <c r="AY3001" i="4"/>
  <c r="AY3000" i="4"/>
  <c r="AY2999" i="4"/>
  <c r="AY2998" i="4"/>
  <c r="AY2997" i="4"/>
  <c r="AY2996" i="4"/>
  <c r="AY2995" i="4"/>
  <c r="AY2994" i="4"/>
  <c r="AY2993" i="4"/>
  <c r="AY2992" i="4"/>
  <c r="AY2991" i="4"/>
  <c r="AY2990" i="4"/>
  <c r="AY2989" i="4"/>
  <c r="AY2988" i="4"/>
  <c r="AY2987" i="4"/>
  <c r="AY2986" i="4"/>
  <c r="AY2985" i="4"/>
  <c r="AY2984" i="4"/>
  <c r="AY2983" i="4"/>
  <c r="AY2982" i="4"/>
  <c r="AY2981" i="4"/>
  <c r="AY2980" i="4"/>
  <c r="AY2979" i="4"/>
  <c r="AY2978" i="4"/>
  <c r="AY2977" i="4"/>
  <c r="AY2976" i="4"/>
  <c r="AY2975" i="4"/>
  <c r="AY2974" i="4"/>
  <c r="AY2973" i="4"/>
  <c r="AY2972" i="4"/>
  <c r="AY2971" i="4"/>
  <c r="AY2970" i="4"/>
  <c r="AY2969" i="4"/>
  <c r="AY2968" i="4"/>
  <c r="AY2967" i="4"/>
  <c r="AY2966" i="4"/>
  <c r="AY2965" i="4"/>
  <c r="AY2964" i="4"/>
  <c r="AY2963" i="4"/>
  <c r="AY2962" i="4"/>
  <c r="AY2961" i="4"/>
  <c r="AY2960" i="4"/>
  <c r="AY2959" i="4"/>
  <c r="AY2958" i="4"/>
  <c r="AY2957" i="4"/>
  <c r="AY2956" i="4"/>
  <c r="AY2955" i="4"/>
  <c r="AY2954" i="4"/>
  <c r="AY2953" i="4"/>
  <c r="AY2952" i="4"/>
  <c r="AY2951" i="4"/>
  <c r="AY2950" i="4"/>
  <c r="AY2949" i="4"/>
  <c r="AY2948" i="4"/>
  <c r="AY2947" i="4"/>
  <c r="AY2946" i="4"/>
  <c r="AY2945" i="4"/>
  <c r="AY2944" i="4"/>
  <c r="AY2943" i="4"/>
  <c r="AY2942" i="4"/>
  <c r="AY2941" i="4"/>
  <c r="AY2940" i="4"/>
  <c r="AY2939" i="4"/>
  <c r="AY2938" i="4"/>
  <c r="AY2937" i="4"/>
  <c r="AY2936" i="4"/>
  <c r="AY2935" i="4"/>
  <c r="AY2934" i="4"/>
  <c r="AY2933" i="4"/>
  <c r="AY2932" i="4"/>
  <c r="AY2931" i="4"/>
  <c r="AY2930" i="4"/>
  <c r="AY2929" i="4"/>
  <c r="AY2928" i="4"/>
  <c r="AY2927" i="4"/>
  <c r="AY2926" i="4"/>
  <c r="AY2925" i="4"/>
  <c r="AY2924" i="4"/>
  <c r="AY2923" i="4"/>
  <c r="AY2922" i="4"/>
  <c r="AY2921" i="4"/>
  <c r="AY2920" i="4"/>
  <c r="AY2919" i="4"/>
  <c r="AY2918" i="4"/>
  <c r="AY2917" i="4"/>
  <c r="AY2916" i="4"/>
  <c r="AY2915" i="4"/>
  <c r="AY2914" i="4"/>
  <c r="AY2913" i="4"/>
  <c r="AY2912" i="4"/>
  <c r="AY2911" i="4"/>
  <c r="AY2910" i="4"/>
  <c r="AY2909" i="4"/>
  <c r="AY2908" i="4"/>
  <c r="AY2907" i="4"/>
  <c r="AY2906" i="4"/>
  <c r="AY2905" i="4"/>
  <c r="AY2904" i="4"/>
  <c r="AY2903" i="4"/>
  <c r="AY2902" i="4"/>
  <c r="AY2901" i="4"/>
  <c r="AY2900" i="4"/>
  <c r="AY2899" i="4"/>
  <c r="AY2898" i="4"/>
  <c r="AY2897" i="4"/>
  <c r="AY2896" i="4"/>
  <c r="AY2895" i="4"/>
  <c r="AY2894" i="4"/>
  <c r="AY2893" i="4"/>
  <c r="AY2892" i="4"/>
  <c r="AY2891" i="4"/>
  <c r="AY2890" i="4"/>
  <c r="AY2889" i="4"/>
  <c r="AY2888" i="4"/>
  <c r="AY2887" i="4"/>
  <c r="AY2886" i="4"/>
  <c r="AY2885" i="4"/>
  <c r="AY2884" i="4"/>
  <c r="AY2883" i="4"/>
  <c r="AY2882" i="4"/>
  <c r="AY2881" i="4"/>
  <c r="AY2880" i="4"/>
  <c r="AY2879" i="4"/>
  <c r="AY2878" i="4"/>
  <c r="AY2877" i="4"/>
  <c r="AY2876" i="4"/>
  <c r="AY2875" i="4"/>
  <c r="AY2874" i="4"/>
  <c r="AY2873" i="4"/>
  <c r="AY2872" i="4"/>
  <c r="AY2871" i="4"/>
  <c r="AY2870" i="4"/>
  <c r="AY2869" i="4"/>
  <c r="AY2868" i="4"/>
  <c r="AY2867" i="4"/>
  <c r="AY2866" i="4"/>
  <c r="AY2865" i="4"/>
  <c r="AY2864" i="4"/>
  <c r="AY2863" i="4"/>
  <c r="AY2862" i="4"/>
  <c r="AY2861" i="4"/>
  <c r="AY2860" i="4"/>
  <c r="AY2859" i="4"/>
  <c r="AY2858" i="4"/>
  <c r="AY2857" i="4"/>
  <c r="AY2856" i="4"/>
  <c r="AY2855" i="4"/>
  <c r="AY2854" i="4"/>
  <c r="AY2853" i="4"/>
  <c r="AY2852" i="4"/>
  <c r="AY2851" i="4"/>
  <c r="AY2850" i="4"/>
  <c r="AY2849" i="4"/>
  <c r="AY2848" i="4"/>
  <c r="AY2847" i="4"/>
  <c r="AY2846" i="4"/>
  <c r="AY2845" i="4"/>
  <c r="AY2844" i="4"/>
  <c r="AY2843" i="4"/>
  <c r="AY2842" i="4"/>
  <c r="AY2841" i="4"/>
  <c r="AY2840" i="4"/>
  <c r="AY2839" i="4"/>
  <c r="AY2838" i="4"/>
  <c r="AY2837" i="4"/>
  <c r="AY2836" i="4"/>
  <c r="AY2835" i="4"/>
  <c r="AY2834" i="4"/>
  <c r="AY2833" i="4"/>
  <c r="AY2832" i="4"/>
  <c r="AY2831" i="4"/>
  <c r="AY2830" i="4"/>
  <c r="AY2829" i="4"/>
  <c r="AY2828" i="4"/>
  <c r="AY2827" i="4"/>
  <c r="AY2826" i="4"/>
  <c r="AY2825" i="4"/>
  <c r="AY2824" i="4"/>
  <c r="AY2823" i="4"/>
  <c r="AY2822" i="4"/>
  <c r="AY2821" i="4"/>
  <c r="AY2820" i="4"/>
  <c r="AY2819" i="4"/>
  <c r="AY2818" i="4"/>
  <c r="AY2817" i="4"/>
  <c r="AY2816" i="4"/>
  <c r="AY2815" i="4"/>
  <c r="AY2814" i="4"/>
  <c r="AY2813" i="4"/>
  <c r="AY2812" i="4"/>
  <c r="AY2811" i="4"/>
  <c r="AY2810" i="4"/>
  <c r="AY2809" i="4"/>
  <c r="AY2808" i="4"/>
  <c r="AY2807" i="4"/>
  <c r="AY2806" i="4"/>
  <c r="AY2805" i="4"/>
  <c r="AY2804" i="4"/>
  <c r="AY2803" i="4"/>
  <c r="AY2802" i="4"/>
  <c r="AY2801" i="4"/>
  <c r="AY2800" i="4"/>
  <c r="AY2799" i="4"/>
  <c r="AY2798" i="4"/>
  <c r="AY2797" i="4"/>
  <c r="AY2796" i="4"/>
  <c r="AY2795" i="4"/>
  <c r="AY2794" i="4"/>
  <c r="AY2793" i="4"/>
  <c r="AY2792" i="4"/>
  <c r="AY2791" i="4"/>
  <c r="AY2790" i="4"/>
  <c r="AY2789" i="4"/>
  <c r="AY2788" i="4"/>
  <c r="AY2787" i="4"/>
  <c r="AY2786" i="4"/>
  <c r="AY2785" i="4"/>
  <c r="AY2784" i="4"/>
  <c r="AY2783" i="4"/>
  <c r="AY2782" i="4"/>
  <c r="AY2781" i="4"/>
  <c r="AY2780" i="4"/>
  <c r="AY2779" i="4"/>
  <c r="AY2778" i="4"/>
  <c r="AY2777" i="4"/>
  <c r="AY2776" i="4"/>
  <c r="AY2775" i="4"/>
  <c r="AY2774" i="4"/>
  <c r="AY2773" i="4"/>
  <c r="AY2772" i="4"/>
  <c r="AY2771" i="4"/>
  <c r="AY2770" i="4"/>
  <c r="AY2769" i="4"/>
  <c r="AY2768" i="4"/>
  <c r="AY2767" i="4"/>
  <c r="AY2766" i="4"/>
  <c r="AY2765" i="4"/>
  <c r="AY2764" i="4"/>
  <c r="AY2763" i="4"/>
  <c r="AY2762" i="4"/>
  <c r="AY2761" i="4"/>
  <c r="AY2760" i="4"/>
  <c r="AY2759" i="4"/>
  <c r="AY2758" i="4"/>
  <c r="AY2757" i="4"/>
  <c r="AY2756" i="4"/>
  <c r="AY2755" i="4"/>
  <c r="AY2754" i="4"/>
  <c r="AY2753" i="4"/>
  <c r="AY2752" i="4"/>
  <c r="AY2751" i="4"/>
  <c r="AY2750" i="4"/>
  <c r="AY2749" i="4"/>
  <c r="AY2748" i="4"/>
  <c r="AY2747" i="4"/>
  <c r="AY2746" i="4"/>
  <c r="AY2745" i="4"/>
  <c r="AY2744" i="4"/>
  <c r="AY2743" i="4"/>
  <c r="AY2742" i="4"/>
  <c r="AY2741" i="4"/>
  <c r="AY2740" i="4"/>
  <c r="AY2739" i="4"/>
  <c r="AY2738" i="4"/>
  <c r="AY2737" i="4"/>
  <c r="AY2736" i="4"/>
  <c r="AY2735" i="4"/>
  <c r="AY2734" i="4"/>
  <c r="AY2733" i="4"/>
  <c r="AY2732" i="4"/>
  <c r="AY2731" i="4"/>
  <c r="AY2730" i="4"/>
  <c r="AY2729" i="4"/>
  <c r="AY2728" i="4"/>
  <c r="AY2727" i="4"/>
  <c r="AY2726" i="4"/>
  <c r="AY2725" i="4"/>
  <c r="AY2724" i="4"/>
  <c r="AY2723" i="4"/>
  <c r="AY2722" i="4"/>
  <c r="AY2721" i="4"/>
  <c r="AY2720" i="4"/>
  <c r="AY2719" i="4"/>
  <c r="AY2718" i="4"/>
  <c r="AY2717" i="4"/>
  <c r="AY2716" i="4"/>
  <c r="AY2715" i="4"/>
  <c r="AY2714" i="4"/>
  <c r="AY2713" i="4"/>
  <c r="AY2712" i="4"/>
  <c r="AY2711" i="4"/>
  <c r="AY2710" i="4"/>
  <c r="AY2709" i="4"/>
  <c r="AY2708" i="4"/>
  <c r="AY2707" i="4"/>
  <c r="AY2706" i="4"/>
  <c r="AY2705" i="4"/>
  <c r="AY2704" i="4"/>
  <c r="AY2703" i="4"/>
  <c r="AY2702" i="4"/>
  <c r="AY2701" i="4"/>
  <c r="AY2700" i="4"/>
  <c r="AY2699" i="4"/>
  <c r="AY2698" i="4"/>
  <c r="AY2697" i="4"/>
  <c r="AY2696" i="4"/>
  <c r="AY2695" i="4"/>
  <c r="AY2694" i="4"/>
  <c r="AY2693" i="4"/>
  <c r="AY2692" i="4"/>
  <c r="AY2691" i="4"/>
  <c r="AY2690" i="4"/>
  <c r="AY2689" i="4"/>
  <c r="AY2688" i="4"/>
  <c r="AY2687" i="4"/>
  <c r="AY2686" i="4"/>
  <c r="AY2685" i="4"/>
  <c r="AY2684" i="4"/>
  <c r="AY2683" i="4"/>
  <c r="AY2682" i="4"/>
  <c r="AY2681" i="4"/>
  <c r="AY2680" i="4"/>
  <c r="AY2679" i="4"/>
  <c r="AY2678" i="4"/>
  <c r="AY2677" i="4"/>
  <c r="AY2676" i="4"/>
  <c r="AY2675" i="4"/>
  <c r="AY2674" i="4"/>
  <c r="AY2673" i="4"/>
  <c r="AY2672" i="4"/>
  <c r="AY2671" i="4"/>
  <c r="AY2670" i="4"/>
  <c r="AY2669" i="4"/>
  <c r="AY2668" i="4"/>
  <c r="AY2667" i="4"/>
  <c r="AY2666" i="4"/>
  <c r="AY2665" i="4"/>
  <c r="AY2664" i="4"/>
  <c r="AY2663" i="4"/>
  <c r="AY2662" i="4"/>
  <c r="AY2661" i="4"/>
  <c r="AY2660" i="4"/>
  <c r="AY2659" i="4"/>
  <c r="AY2658" i="4"/>
  <c r="AY2657" i="4"/>
  <c r="AY2656" i="4"/>
  <c r="AY2655" i="4"/>
  <c r="AY2654" i="4"/>
  <c r="AY2653" i="4"/>
  <c r="AY2652" i="4"/>
  <c r="AY2651" i="4"/>
  <c r="AY2650" i="4"/>
  <c r="AY2649" i="4"/>
  <c r="AY2648" i="4"/>
  <c r="AY2647" i="4"/>
  <c r="AY2646" i="4"/>
  <c r="AY2645" i="4"/>
  <c r="AY2644" i="4"/>
  <c r="AY2643" i="4"/>
  <c r="AY2642" i="4"/>
  <c r="AY2641" i="4"/>
  <c r="AY2640" i="4"/>
  <c r="AY2639" i="4"/>
  <c r="AY2638" i="4"/>
  <c r="AY2637" i="4"/>
  <c r="AY2636" i="4"/>
  <c r="AY2635" i="4"/>
  <c r="AY2634" i="4"/>
  <c r="AY2633" i="4"/>
  <c r="AY2632" i="4"/>
  <c r="AY2631" i="4"/>
  <c r="AY2630" i="4"/>
  <c r="AY2629" i="4"/>
  <c r="AY2628" i="4"/>
  <c r="AY2627" i="4"/>
  <c r="AY2626" i="4"/>
  <c r="AY2625" i="4"/>
  <c r="AY2624" i="4"/>
  <c r="AY2623" i="4"/>
  <c r="AY2622" i="4"/>
  <c r="AY2621" i="4"/>
  <c r="AY2620" i="4"/>
  <c r="AY2619" i="4"/>
  <c r="AY2618" i="4"/>
  <c r="AY2617" i="4"/>
  <c r="AY2616" i="4"/>
  <c r="AY2615" i="4"/>
  <c r="AY2614" i="4"/>
  <c r="AY2613" i="4"/>
  <c r="AY2612" i="4"/>
  <c r="AY2611" i="4"/>
  <c r="AY2610" i="4"/>
  <c r="AY2609" i="4"/>
  <c r="AY2608" i="4"/>
  <c r="AY2607" i="4"/>
  <c r="AY2606" i="4"/>
  <c r="AY2605" i="4"/>
  <c r="AY2604" i="4"/>
  <c r="AY2603" i="4"/>
  <c r="AY2602" i="4"/>
  <c r="AY2601" i="4"/>
  <c r="AY2600" i="4"/>
  <c r="AY2599" i="4"/>
  <c r="AY2598" i="4"/>
  <c r="AY2597" i="4"/>
  <c r="AY2596" i="4"/>
  <c r="AY2595" i="4"/>
  <c r="AY2594" i="4"/>
  <c r="AY2593" i="4"/>
  <c r="AY2592" i="4"/>
  <c r="AY2591" i="4"/>
  <c r="AY2590" i="4"/>
  <c r="AY2589" i="4"/>
  <c r="AY2588" i="4"/>
  <c r="AY2587" i="4"/>
  <c r="AY2586" i="4"/>
  <c r="AY2585" i="4"/>
  <c r="AY2584" i="4"/>
  <c r="AY2583" i="4"/>
  <c r="AY2582" i="4"/>
  <c r="AY2581" i="4"/>
  <c r="AY2580" i="4"/>
  <c r="AY2579" i="4"/>
  <c r="AY2578" i="4"/>
  <c r="AY2577" i="4"/>
  <c r="AY2576" i="4"/>
  <c r="AY2575" i="4"/>
  <c r="AY2574" i="4"/>
  <c r="AY2573" i="4"/>
  <c r="AY2572" i="4"/>
  <c r="AY2571" i="4"/>
  <c r="AY2570" i="4"/>
  <c r="AY2569" i="4"/>
  <c r="AY2568" i="4"/>
  <c r="AY2567" i="4"/>
  <c r="AY2566" i="4"/>
  <c r="AY2565" i="4"/>
  <c r="AY2564" i="4"/>
  <c r="AY2563" i="4"/>
  <c r="AY2562" i="4"/>
  <c r="AY2561" i="4"/>
  <c r="AY2560" i="4"/>
  <c r="AY2559" i="4"/>
  <c r="AY2558" i="4"/>
  <c r="AY2557" i="4"/>
  <c r="AY2556" i="4"/>
  <c r="AY2555" i="4"/>
  <c r="AY2554" i="4"/>
  <c r="AY2553" i="4"/>
  <c r="AY2552" i="4"/>
  <c r="AY2551" i="4"/>
  <c r="AY2550" i="4"/>
  <c r="AY2549" i="4"/>
  <c r="AY2548" i="4"/>
  <c r="AY2547" i="4"/>
  <c r="AY2546" i="4"/>
  <c r="AY2545" i="4"/>
  <c r="AY2544" i="4"/>
  <c r="AY2543" i="4"/>
  <c r="AY2542" i="4"/>
  <c r="AY2541" i="4"/>
  <c r="AY2540" i="4"/>
  <c r="AY2539" i="4"/>
  <c r="AY2538" i="4"/>
  <c r="AY2537" i="4"/>
  <c r="AY2536" i="4"/>
  <c r="AY2535" i="4"/>
  <c r="AY2534" i="4"/>
  <c r="AY2533" i="4"/>
  <c r="AY2532" i="4"/>
  <c r="AY2531" i="4"/>
  <c r="AY2530" i="4"/>
  <c r="AY2529" i="4"/>
  <c r="AY2528" i="4"/>
  <c r="AY2527" i="4"/>
  <c r="AY2526" i="4"/>
  <c r="AY2525" i="4"/>
  <c r="AY2524" i="4"/>
  <c r="AY2523" i="4"/>
  <c r="AY2522" i="4"/>
  <c r="AY2521" i="4"/>
  <c r="AY2520" i="4"/>
  <c r="AY2519" i="4"/>
  <c r="AY2518" i="4"/>
  <c r="AY2517" i="4"/>
  <c r="AY2516" i="4"/>
  <c r="AY2515" i="4"/>
  <c r="AY2514" i="4"/>
  <c r="AY2513" i="4"/>
  <c r="AY2512" i="4"/>
  <c r="AY2511" i="4"/>
  <c r="AY2510" i="4"/>
  <c r="AY2509" i="4"/>
  <c r="AY2508" i="4"/>
  <c r="AY2507" i="4"/>
  <c r="AY2506" i="4"/>
  <c r="AY2505" i="4"/>
  <c r="AY2504" i="4"/>
  <c r="AY2503" i="4"/>
  <c r="AY2502" i="4"/>
  <c r="AY2501" i="4"/>
  <c r="AY2500" i="4"/>
  <c r="AY2499" i="4"/>
  <c r="AY2498" i="4"/>
  <c r="AY2497" i="4"/>
  <c r="AY2496" i="4"/>
  <c r="AY2495" i="4"/>
  <c r="AY2494" i="4"/>
  <c r="AY2493" i="4"/>
  <c r="AY2492" i="4"/>
  <c r="AY2491" i="4"/>
  <c r="AY2490" i="4"/>
  <c r="AY2489" i="4"/>
  <c r="AY2488" i="4"/>
  <c r="AY2487" i="4"/>
  <c r="AY2486" i="4"/>
  <c r="AY2485" i="4"/>
  <c r="AY2484" i="4"/>
  <c r="AY2483" i="4"/>
  <c r="AY2482" i="4"/>
  <c r="AY2481" i="4"/>
  <c r="AY2480" i="4"/>
  <c r="AY2479" i="4"/>
  <c r="AY2478" i="4"/>
  <c r="AY2477" i="4"/>
  <c r="AY2476" i="4"/>
  <c r="AY2475" i="4"/>
  <c r="AY2474" i="4"/>
  <c r="AY2473" i="4"/>
  <c r="AY2472" i="4"/>
  <c r="AY2471" i="4"/>
  <c r="AY2470" i="4"/>
  <c r="AY2469" i="4"/>
  <c r="AY2468" i="4"/>
  <c r="AY2467" i="4"/>
  <c r="AY2466" i="4"/>
  <c r="AY2465" i="4"/>
  <c r="AY2464" i="4"/>
  <c r="AY2463" i="4"/>
  <c r="AY2462" i="4"/>
  <c r="AY2461" i="4"/>
  <c r="AY2460" i="4"/>
  <c r="AY2459" i="4"/>
  <c r="AY2458" i="4"/>
  <c r="AY2457" i="4"/>
  <c r="AY2456" i="4"/>
  <c r="AY2455" i="4"/>
  <c r="AY2454" i="4"/>
  <c r="AY2453" i="4"/>
  <c r="AY2452" i="4"/>
  <c r="AY2451" i="4"/>
  <c r="AY2450" i="4"/>
  <c r="AY2449" i="4"/>
  <c r="AY2448" i="4"/>
  <c r="AY2447" i="4"/>
  <c r="AY2446" i="4"/>
  <c r="AY2445" i="4"/>
  <c r="AY2444" i="4"/>
  <c r="AY2443" i="4"/>
  <c r="AY2442" i="4"/>
  <c r="AY2441" i="4"/>
  <c r="AY2440" i="4"/>
  <c r="AY2439" i="4"/>
  <c r="AY2438" i="4"/>
  <c r="AY2437" i="4"/>
  <c r="AY2436" i="4"/>
  <c r="AY2435" i="4"/>
  <c r="AY2434" i="4"/>
  <c r="AY2433" i="4"/>
  <c r="AY2432" i="4"/>
  <c r="AY2431" i="4"/>
  <c r="AY2430" i="4"/>
  <c r="AY2429" i="4"/>
  <c r="AY2428" i="4"/>
  <c r="AY2427" i="4"/>
  <c r="AY2426" i="4"/>
  <c r="AY2425" i="4"/>
  <c r="AY2424" i="4"/>
  <c r="AY2423" i="4"/>
  <c r="AY2422" i="4"/>
  <c r="AY2421" i="4"/>
  <c r="AY2420" i="4"/>
  <c r="AY2419" i="4"/>
  <c r="AY2418" i="4"/>
  <c r="AY2417" i="4"/>
  <c r="AY2416" i="4"/>
  <c r="AY2415" i="4"/>
  <c r="AY2414" i="4"/>
  <c r="AY2413" i="4"/>
  <c r="AY2412" i="4"/>
  <c r="AY2411" i="4"/>
  <c r="AY2410" i="4"/>
  <c r="AY2409" i="4"/>
  <c r="AY2408" i="4"/>
  <c r="AY2407" i="4"/>
  <c r="AY2406" i="4"/>
  <c r="AY2405" i="4"/>
  <c r="AY2404" i="4"/>
  <c r="AY2403" i="4"/>
  <c r="AY2402" i="4"/>
  <c r="AY2401" i="4"/>
  <c r="AY2400" i="4"/>
  <c r="AY2399" i="4"/>
  <c r="AY2398" i="4"/>
  <c r="AY2397" i="4"/>
  <c r="AY2396" i="4"/>
  <c r="AY2395" i="4"/>
  <c r="AY2394" i="4"/>
  <c r="AY2393" i="4"/>
  <c r="AY2392" i="4"/>
  <c r="AY2391" i="4"/>
  <c r="AY2390" i="4"/>
  <c r="AY2389" i="4"/>
  <c r="AY2388" i="4"/>
  <c r="AY2387" i="4"/>
  <c r="AY2386" i="4"/>
  <c r="AY2385" i="4"/>
  <c r="AY2384" i="4"/>
  <c r="AY2383" i="4"/>
  <c r="AY2382" i="4"/>
  <c r="AY2381" i="4"/>
  <c r="AY2380" i="4"/>
  <c r="AY2379" i="4"/>
  <c r="AY2378" i="4"/>
  <c r="AY2377" i="4"/>
  <c r="AY2376" i="4"/>
  <c r="AY2375" i="4"/>
  <c r="AY2374" i="4"/>
  <c r="AY2373" i="4"/>
  <c r="AY2372" i="4"/>
  <c r="AY2371" i="4"/>
  <c r="AY2370" i="4"/>
  <c r="AY2369" i="4"/>
  <c r="AY2368" i="4"/>
  <c r="AY2367" i="4"/>
  <c r="AY2366" i="4"/>
  <c r="AY2365" i="4"/>
  <c r="AY2364" i="4"/>
  <c r="AY2363" i="4"/>
  <c r="AY2362" i="4"/>
  <c r="AY2361" i="4"/>
  <c r="AY2360" i="4"/>
  <c r="AY2359" i="4"/>
  <c r="AY2358" i="4"/>
  <c r="AY2357" i="4"/>
  <c r="AY2356" i="4"/>
  <c r="AY2355" i="4"/>
  <c r="AY2354" i="4"/>
  <c r="AY2353" i="4"/>
  <c r="AY2352" i="4"/>
  <c r="AY2351" i="4"/>
  <c r="AY2350" i="4"/>
  <c r="AY2349" i="4"/>
  <c r="AY2348" i="4"/>
  <c r="AY2347" i="4"/>
  <c r="AY2346" i="4"/>
  <c r="AY2345" i="4"/>
  <c r="AY2344" i="4"/>
  <c r="AY2343" i="4"/>
  <c r="AY2342" i="4"/>
  <c r="AY2341" i="4"/>
  <c r="AY2340" i="4"/>
  <c r="AY2339" i="4"/>
  <c r="AY2338" i="4"/>
  <c r="AY2337" i="4"/>
  <c r="AY2336" i="4"/>
  <c r="AY2335" i="4"/>
  <c r="AY2334" i="4"/>
  <c r="AY2333" i="4"/>
  <c r="AY2332" i="4"/>
  <c r="AY2331" i="4"/>
  <c r="AY2330" i="4"/>
  <c r="AY2329" i="4"/>
  <c r="AY2328" i="4"/>
  <c r="AY2327" i="4"/>
  <c r="AY2326" i="4"/>
  <c r="AY2325" i="4"/>
  <c r="AY2324" i="4"/>
  <c r="AY2323" i="4"/>
  <c r="AY2322" i="4"/>
  <c r="AY2321" i="4"/>
  <c r="AY2320" i="4"/>
  <c r="AY2319" i="4"/>
  <c r="AY2318" i="4"/>
  <c r="AY2317" i="4"/>
  <c r="AY2316" i="4"/>
  <c r="AY2315" i="4"/>
  <c r="AY2314" i="4"/>
  <c r="AY2313" i="4"/>
  <c r="AY2312" i="4"/>
  <c r="AY2311" i="4"/>
  <c r="AY2310" i="4"/>
  <c r="AY2309" i="4"/>
  <c r="AY2308" i="4"/>
  <c r="AY2307" i="4"/>
  <c r="AY2306" i="4"/>
  <c r="AY2305" i="4"/>
  <c r="AY2304" i="4"/>
  <c r="AY2303" i="4"/>
  <c r="AY2302" i="4"/>
  <c r="AY2301" i="4"/>
  <c r="AY2300" i="4"/>
  <c r="AY2299" i="4"/>
  <c r="AY2298" i="4"/>
  <c r="AY2297" i="4"/>
  <c r="AY2296" i="4"/>
  <c r="AY2295" i="4"/>
  <c r="AY2294" i="4"/>
  <c r="AY2293" i="4"/>
  <c r="AY2292" i="4"/>
  <c r="AY2291" i="4"/>
  <c r="AY2290" i="4"/>
  <c r="AY2289" i="4"/>
  <c r="AY2288" i="4"/>
  <c r="AY2287" i="4"/>
  <c r="AY2286" i="4"/>
  <c r="AY2285" i="4"/>
  <c r="AY2284" i="4"/>
  <c r="AY2283" i="4"/>
  <c r="AY2282" i="4"/>
  <c r="AY2281" i="4"/>
  <c r="AY2280" i="4"/>
  <c r="AY2279" i="4"/>
  <c r="AY2278" i="4"/>
  <c r="AY2277" i="4"/>
  <c r="AY2276" i="4"/>
  <c r="AY2275" i="4"/>
  <c r="AY2274" i="4"/>
  <c r="AY2273" i="4"/>
  <c r="AY2272" i="4"/>
  <c r="AY2271" i="4"/>
  <c r="AY2270" i="4"/>
  <c r="AY2269" i="4"/>
  <c r="AY2268" i="4"/>
  <c r="AY2267" i="4"/>
  <c r="AY2266" i="4"/>
  <c r="AY2265" i="4"/>
  <c r="AY2264" i="4"/>
  <c r="AY2263" i="4"/>
  <c r="AY2262" i="4"/>
  <c r="AY2261" i="4"/>
  <c r="AY2260" i="4"/>
  <c r="AY2259" i="4"/>
  <c r="AY2258" i="4"/>
  <c r="AY2257" i="4"/>
  <c r="AY2256" i="4"/>
  <c r="AY2255" i="4"/>
  <c r="AY2254" i="4"/>
  <c r="AY2253" i="4"/>
  <c r="AY2252" i="4"/>
  <c r="AY2251" i="4"/>
  <c r="AY2250" i="4"/>
  <c r="AY2249" i="4"/>
  <c r="AY2248" i="4"/>
  <c r="AY2247" i="4"/>
  <c r="AY2246" i="4"/>
  <c r="AY2245" i="4"/>
  <c r="AY2244" i="4"/>
  <c r="AY2243" i="4"/>
  <c r="AY2242" i="4"/>
  <c r="AY2241" i="4"/>
  <c r="AY2240" i="4"/>
  <c r="AY2239" i="4"/>
  <c r="AY2238" i="4"/>
  <c r="AY2237" i="4"/>
  <c r="AY2236" i="4"/>
  <c r="AY2235" i="4"/>
  <c r="AY2234" i="4"/>
  <c r="AY2233" i="4"/>
  <c r="AY2232" i="4"/>
  <c r="AY2231" i="4"/>
  <c r="AY2230" i="4"/>
  <c r="AY2229" i="4"/>
  <c r="AY2228" i="4"/>
  <c r="AY2227" i="4"/>
  <c r="AY2226" i="4"/>
  <c r="AY2225" i="4"/>
  <c r="AY2224" i="4"/>
  <c r="AY2223" i="4"/>
  <c r="AY2222" i="4"/>
  <c r="AY2221" i="4"/>
  <c r="AY2220" i="4"/>
  <c r="AY2219" i="4"/>
  <c r="AY2218" i="4"/>
  <c r="AY2217" i="4"/>
  <c r="AY2216" i="4"/>
  <c r="AY2215" i="4"/>
  <c r="AY2214" i="4"/>
  <c r="AY2213" i="4"/>
  <c r="AY2212" i="4"/>
  <c r="AY2211" i="4"/>
  <c r="AY2210" i="4"/>
  <c r="AY2209" i="4"/>
  <c r="AY2208" i="4"/>
  <c r="AY2207" i="4"/>
  <c r="AY2206" i="4"/>
  <c r="AY2205" i="4"/>
  <c r="AY2204" i="4"/>
  <c r="AY2203" i="4"/>
  <c r="AY2202" i="4"/>
  <c r="AY2201" i="4"/>
  <c r="AY2200" i="4"/>
  <c r="AY2199" i="4"/>
  <c r="AY2198" i="4"/>
  <c r="AY2197" i="4"/>
  <c r="AY2196" i="4"/>
  <c r="AY2195" i="4"/>
  <c r="AY2194" i="4"/>
  <c r="AY2193" i="4"/>
  <c r="AY2192" i="4"/>
  <c r="AY2191" i="4"/>
  <c r="AY2190" i="4"/>
  <c r="AY2189" i="4"/>
  <c r="AY2188" i="4"/>
  <c r="AY2187" i="4"/>
  <c r="AY2186" i="4"/>
  <c r="AY2185" i="4"/>
  <c r="AY2184" i="4"/>
  <c r="AY2183" i="4"/>
  <c r="AY2182" i="4"/>
  <c r="AY2181" i="4"/>
  <c r="AY2180" i="4"/>
  <c r="AY2179" i="4"/>
  <c r="AY2178" i="4"/>
  <c r="AY2177" i="4"/>
  <c r="AY2176" i="4"/>
  <c r="AY2175" i="4"/>
  <c r="AY2174" i="4"/>
  <c r="AY2173" i="4"/>
  <c r="AY2172" i="4"/>
  <c r="AY2171" i="4"/>
  <c r="AY2170" i="4"/>
  <c r="AY2169" i="4"/>
  <c r="AY2168" i="4"/>
  <c r="AY2167" i="4"/>
  <c r="AY2166" i="4"/>
  <c r="AY2165" i="4"/>
  <c r="AY2164" i="4"/>
  <c r="AY2163" i="4"/>
  <c r="AY2162" i="4"/>
  <c r="AY2161" i="4"/>
  <c r="AY2160" i="4"/>
  <c r="AY2159" i="4"/>
  <c r="AY2158" i="4"/>
  <c r="AY2157" i="4"/>
  <c r="AY2156" i="4"/>
  <c r="AY2155" i="4"/>
  <c r="AY2154" i="4"/>
  <c r="AY2153" i="4"/>
  <c r="AY2152" i="4"/>
  <c r="AY2151" i="4"/>
  <c r="AY2150" i="4"/>
  <c r="AY2149" i="4"/>
  <c r="AY2148" i="4"/>
  <c r="AY2147" i="4"/>
  <c r="AY2146" i="4"/>
  <c r="AY2145" i="4"/>
  <c r="AY2144" i="4"/>
  <c r="AY2143" i="4"/>
  <c r="AY2142" i="4"/>
  <c r="AY2141" i="4"/>
  <c r="AY2140" i="4"/>
  <c r="AY2139" i="4"/>
  <c r="AY2138" i="4"/>
  <c r="AY2137" i="4"/>
  <c r="AY2136" i="4"/>
  <c r="AY2135" i="4"/>
  <c r="AY2134" i="4"/>
  <c r="AY2133" i="4"/>
  <c r="AY2132" i="4"/>
  <c r="AY2131" i="4"/>
  <c r="AY2130" i="4"/>
  <c r="AY2129" i="4"/>
  <c r="AY2128" i="4"/>
  <c r="AY2127" i="4"/>
  <c r="AY2126" i="4"/>
  <c r="AY2125" i="4"/>
  <c r="AY2124" i="4"/>
  <c r="AY2123" i="4"/>
  <c r="AY2122" i="4"/>
  <c r="AY2121" i="4"/>
  <c r="AY2120" i="4"/>
  <c r="AY2119" i="4"/>
  <c r="AY2118" i="4"/>
  <c r="AY2117" i="4"/>
  <c r="AY2116" i="4"/>
  <c r="AY2115" i="4"/>
  <c r="AY2114" i="4"/>
  <c r="AY2113" i="4"/>
  <c r="AY2112" i="4"/>
  <c r="AY2111" i="4"/>
  <c r="AY2110" i="4"/>
  <c r="AY2109" i="4"/>
  <c r="AY2108" i="4"/>
  <c r="AY2107" i="4"/>
  <c r="AY2106" i="4"/>
  <c r="AY2105" i="4"/>
  <c r="AY2104" i="4"/>
  <c r="AY2103" i="4"/>
  <c r="AY2102" i="4"/>
  <c r="AY2101" i="4"/>
  <c r="AY2100" i="4"/>
  <c r="AY2099" i="4"/>
  <c r="AY2098" i="4"/>
  <c r="AY2097" i="4"/>
  <c r="AY2096" i="4"/>
  <c r="AY2095" i="4"/>
  <c r="AY2094" i="4"/>
  <c r="AY2093" i="4"/>
  <c r="AY2092" i="4"/>
  <c r="AY2091" i="4"/>
  <c r="AY2090" i="4"/>
  <c r="AY2089" i="4"/>
  <c r="AY2088" i="4"/>
  <c r="AY2087" i="4"/>
  <c r="AY2086" i="4"/>
  <c r="AY2085" i="4"/>
  <c r="AY2084" i="4"/>
  <c r="AY2083" i="4"/>
  <c r="AY2082" i="4"/>
  <c r="AY2081" i="4"/>
  <c r="AY2080" i="4"/>
  <c r="AY2079" i="4"/>
  <c r="AY2078" i="4"/>
  <c r="AY2077" i="4"/>
  <c r="AY2076" i="4"/>
  <c r="AY2075" i="4"/>
  <c r="AY2074" i="4"/>
  <c r="AY2073" i="4"/>
  <c r="AY2072" i="4"/>
  <c r="AY2071" i="4"/>
  <c r="AY2070" i="4"/>
  <c r="AY2069" i="4"/>
  <c r="AY2068" i="4"/>
  <c r="AY2067" i="4"/>
  <c r="AY2066" i="4"/>
  <c r="AY2065" i="4"/>
  <c r="AY2064" i="4"/>
  <c r="AY2063" i="4"/>
  <c r="AY2062" i="4"/>
  <c r="AY2061" i="4"/>
  <c r="AY2060" i="4"/>
  <c r="AY2059" i="4"/>
  <c r="AY2058" i="4"/>
  <c r="AY2057" i="4"/>
  <c r="AY2056" i="4"/>
  <c r="AY2055" i="4"/>
  <c r="AY2054" i="4"/>
  <c r="AY2053" i="4"/>
  <c r="AY2052" i="4"/>
  <c r="AY2051" i="4"/>
  <c r="AY2050" i="4"/>
  <c r="AY2049" i="4"/>
  <c r="AY2048" i="4"/>
  <c r="AY2047" i="4"/>
  <c r="AY2046" i="4"/>
  <c r="AY2045" i="4"/>
  <c r="AY2044" i="4"/>
  <c r="AY2043" i="4"/>
  <c r="AY2042" i="4"/>
  <c r="AY2041" i="4"/>
  <c r="AY2040" i="4"/>
  <c r="AY2039" i="4"/>
  <c r="AY2038" i="4"/>
  <c r="AY2037" i="4"/>
  <c r="AY2036" i="4"/>
  <c r="AY2035" i="4"/>
  <c r="AY2034" i="4"/>
  <c r="AY2033" i="4"/>
  <c r="AY2032" i="4"/>
  <c r="AY2031" i="4"/>
  <c r="AY2030" i="4"/>
  <c r="AY2029" i="4"/>
  <c r="AY2028" i="4"/>
  <c r="AY2027" i="4"/>
  <c r="AY2026" i="4"/>
  <c r="AY2025" i="4"/>
  <c r="AY2024" i="4"/>
  <c r="AY2023" i="4"/>
  <c r="AY2022" i="4"/>
  <c r="AY2021" i="4"/>
  <c r="AY2020" i="4"/>
  <c r="AY2019" i="4"/>
  <c r="AY2018" i="4"/>
  <c r="AY2017" i="4"/>
  <c r="AY2016" i="4"/>
  <c r="AY2015" i="4"/>
  <c r="AY2014" i="4"/>
  <c r="AY2013" i="4"/>
  <c r="AY2012" i="4"/>
  <c r="AY2011" i="4"/>
  <c r="AY2010" i="4"/>
  <c r="AY2009" i="4"/>
  <c r="AY2008" i="4"/>
  <c r="AY2007" i="4"/>
  <c r="AY2006" i="4"/>
  <c r="AY2005" i="4"/>
  <c r="AY2004" i="4"/>
  <c r="AY2003" i="4"/>
  <c r="AY2002" i="4"/>
  <c r="AY2001" i="4"/>
  <c r="AY2000" i="4"/>
  <c r="AY1999" i="4"/>
  <c r="AY1998" i="4"/>
  <c r="AY1997" i="4"/>
  <c r="AY1996" i="4"/>
  <c r="AY1995" i="4"/>
  <c r="AY1994" i="4"/>
  <c r="AY1993" i="4"/>
  <c r="AY1992" i="4"/>
  <c r="AY1991" i="4"/>
  <c r="AY1990" i="4"/>
  <c r="AY1989" i="4"/>
  <c r="AY1988" i="4"/>
  <c r="AY1987" i="4"/>
  <c r="AY1986" i="4"/>
  <c r="AY1985" i="4"/>
  <c r="AY1984" i="4"/>
  <c r="AY1983" i="4"/>
  <c r="AY1982" i="4"/>
  <c r="AY1981" i="4"/>
  <c r="AY1980" i="4"/>
  <c r="AY1979" i="4"/>
  <c r="AY1978" i="4"/>
  <c r="AY1977" i="4"/>
  <c r="AY1976" i="4"/>
  <c r="AY1975" i="4"/>
  <c r="AY1974" i="4"/>
  <c r="AY1973" i="4"/>
  <c r="AY1972" i="4"/>
  <c r="AY1971" i="4"/>
  <c r="AY1970" i="4"/>
  <c r="AY1969" i="4"/>
  <c r="AY1968" i="4"/>
  <c r="AY1967" i="4"/>
  <c r="AY1966" i="4"/>
  <c r="AY1965" i="4"/>
  <c r="AY1964" i="4"/>
  <c r="AY1963" i="4"/>
  <c r="AY1962" i="4"/>
  <c r="AY1961" i="4"/>
  <c r="AY1960" i="4"/>
  <c r="AY1959" i="4"/>
  <c r="AY1958" i="4"/>
  <c r="AY1957" i="4"/>
  <c r="AY1956" i="4"/>
  <c r="AY1955" i="4"/>
  <c r="AY1954" i="4"/>
  <c r="AY1953" i="4"/>
  <c r="AY1952" i="4"/>
  <c r="AY1951" i="4"/>
  <c r="AY1950" i="4"/>
  <c r="AY1949" i="4"/>
  <c r="AY1948" i="4"/>
  <c r="AY1947" i="4"/>
  <c r="AY1946" i="4"/>
  <c r="AY1945" i="4"/>
  <c r="AY1944" i="4"/>
  <c r="AY1943" i="4"/>
  <c r="AY1942" i="4"/>
  <c r="AY1941" i="4"/>
  <c r="AY1940" i="4"/>
  <c r="AY1939" i="4"/>
  <c r="AY1938" i="4"/>
  <c r="AY1937" i="4"/>
  <c r="AY1936" i="4"/>
  <c r="AY1935" i="4"/>
  <c r="AY1934" i="4"/>
  <c r="AY1933" i="4"/>
  <c r="AY1932" i="4"/>
  <c r="AY1931" i="4"/>
  <c r="AY1930" i="4"/>
  <c r="AY1929" i="4"/>
  <c r="AY1928" i="4"/>
  <c r="AY1927" i="4"/>
  <c r="AY1926" i="4"/>
  <c r="AY1925" i="4"/>
  <c r="AY1924" i="4"/>
  <c r="AY1923" i="4"/>
  <c r="AY1922" i="4"/>
  <c r="AY1921" i="4"/>
  <c r="AY1920" i="4"/>
  <c r="AY1919" i="4"/>
  <c r="AY1918" i="4"/>
  <c r="AY1917" i="4"/>
  <c r="AY1916" i="4"/>
  <c r="AY1915" i="4"/>
  <c r="AY1914" i="4"/>
  <c r="AY1913" i="4"/>
  <c r="AY1912" i="4"/>
  <c r="AY1911" i="4"/>
  <c r="AY1910" i="4"/>
  <c r="AY1909" i="4"/>
  <c r="AY1908" i="4"/>
  <c r="AY1907" i="4"/>
  <c r="AY1906" i="4"/>
  <c r="AY1905" i="4"/>
  <c r="AY1904" i="4"/>
  <c r="AY1903" i="4"/>
  <c r="AY1902" i="4"/>
  <c r="AY1901" i="4"/>
  <c r="AY1900" i="4"/>
  <c r="AY1899" i="4"/>
  <c r="AY1898" i="4"/>
  <c r="AY1897" i="4"/>
  <c r="AY1896" i="4"/>
  <c r="AY1895" i="4"/>
  <c r="AY1894" i="4"/>
  <c r="AY1893" i="4"/>
  <c r="AY1892" i="4"/>
  <c r="AY1891" i="4"/>
  <c r="AY1890" i="4"/>
  <c r="AY1889" i="4"/>
  <c r="AY1888" i="4"/>
  <c r="AY1887" i="4"/>
  <c r="AY1886" i="4"/>
  <c r="AY1885" i="4"/>
  <c r="AY1884" i="4"/>
  <c r="AY1883" i="4"/>
  <c r="AY1882" i="4"/>
  <c r="AY1881" i="4"/>
  <c r="AY1880" i="4"/>
  <c r="AY1879" i="4"/>
  <c r="AY1878" i="4"/>
  <c r="AY1877" i="4"/>
  <c r="AY1876" i="4"/>
  <c r="AY1875" i="4"/>
  <c r="AY1874" i="4"/>
  <c r="AY1873" i="4"/>
  <c r="AY1872" i="4"/>
  <c r="AY1871" i="4"/>
  <c r="AY1870" i="4"/>
  <c r="AY1869" i="4"/>
  <c r="AY1868" i="4"/>
  <c r="AY1867" i="4"/>
  <c r="AY1866" i="4"/>
  <c r="AY1865" i="4"/>
  <c r="AY1864" i="4"/>
  <c r="AY1863" i="4"/>
  <c r="AY1862" i="4"/>
  <c r="AY1861" i="4"/>
  <c r="AY1860" i="4"/>
  <c r="AY1859" i="4"/>
  <c r="AY1858" i="4"/>
  <c r="AY1857" i="4"/>
  <c r="AY1856" i="4"/>
  <c r="AY1855" i="4"/>
  <c r="AY1854" i="4"/>
  <c r="AY1853" i="4"/>
  <c r="AY1852" i="4"/>
  <c r="AY1851" i="4"/>
  <c r="AY1850" i="4"/>
  <c r="AY1849" i="4"/>
  <c r="AY1848" i="4"/>
  <c r="AY1847" i="4"/>
  <c r="AY1846" i="4"/>
  <c r="AY1845" i="4"/>
  <c r="AY1844" i="4"/>
  <c r="AY1843" i="4"/>
  <c r="AY1842" i="4"/>
  <c r="AY1841" i="4"/>
  <c r="AY1840" i="4"/>
  <c r="AY1839" i="4"/>
  <c r="AY1838" i="4"/>
  <c r="AY1837" i="4"/>
  <c r="AY1836" i="4"/>
  <c r="AY1835" i="4"/>
  <c r="AY1834" i="4"/>
  <c r="AY1833" i="4"/>
  <c r="AY1832" i="4"/>
  <c r="AY1831" i="4"/>
  <c r="AY1830" i="4"/>
  <c r="AY1829" i="4"/>
  <c r="AY1828" i="4"/>
  <c r="AY1827" i="4"/>
  <c r="AY1826" i="4"/>
  <c r="AY1825" i="4"/>
  <c r="AY1824" i="4"/>
  <c r="AY1823" i="4"/>
  <c r="AY1822" i="4"/>
  <c r="AY1821" i="4"/>
  <c r="AY1820" i="4"/>
  <c r="AY1819" i="4"/>
  <c r="AY1818" i="4"/>
  <c r="AY1817" i="4"/>
  <c r="AY1816" i="4"/>
  <c r="AY1815" i="4"/>
  <c r="AY1814" i="4"/>
  <c r="AY1813" i="4"/>
  <c r="AY1812" i="4"/>
  <c r="AY1811" i="4"/>
  <c r="AY1810" i="4"/>
  <c r="AY1809" i="4"/>
  <c r="AY1808" i="4"/>
  <c r="AY1807" i="4"/>
  <c r="AY1806" i="4"/>
  <c r="AY1805" i="4"/>
  <c r="AY1804" i="4"/>
  <c r="AY1803" i="4"/>
  <c r="AY1802" i="4"/>
  <c r="AY1801" i="4"/>
  <c r="AY1800" i="4"/>
  <c r="AY1799" i="4"/>
  <c r="AY1798" i="4"/>
  <c r="AY1797" i="4"/>
  <c r="AY1796" i="4"/>
  <c r="AY1795" i="4"/>
  <c r="AY1794" i="4"/>
  <c r="AY1793" i="4"/>
  <c r="AY1792" i="4"/>
  <c r="AY1791" i="4"/>
  <c r="AY1790" i="4"/>
  <c r="AY1789" i="4"/>
  <c r="AY1788" i="4"/>
  <c r="AY1787" i="4"/>
  <c r="AY1786" i="4"/>
  <c r="AY1785" i="4"/>
  <c r="AY1784" i="4"/>
  <c r="AY1783" i="4"/>
  <c r="AY1782" i="4"/>
  <c r="AY1781" i="4"/>
  <c r="AY1780" i="4"/>
  <c r="AY1779" i="4"/>
  <c r="AY1778" i="4"/>
  <c r="AY1777" i="4"/>
  <c r="AY1776" i="4"/>
  <c r="AY1775" i="4"/>
  <c r="AY1774" i="4"/>
  <c r="AY1773" i="4"/>
  <c r="AY1772" i="4"/>
  <c r="AY1771" i="4"/>
  <c r="AY1770" i="4"/>
  <c r="AY1769" i="4"/>
  <c r="AY1768" i="4"/>
  <c r="AY1767" i="4"/>
  <c r="AY1766" i="4"/>
  <c r="AY1765" i="4"/>
  <c r="AY1764" i="4"/>
  <c r="AY1763" i="4"/>
  <c r="AY1762" i="4"/>
  <c r="AY1761" i="4"/>
  <c r="AY1760" i="4"/>
  <c r="AY1759" i="4"/>
  <c r="AY1758" i="4"/>
  <c r="AY1757" i="4"/>
  <c r="AY1756" i="4"/>
  <c r="AY1755" i="4"/>
  <c r="AY1754" i="4"/>
  <c r="AY1753" i="4"/>
  <c r="AY1752" i="4"/>
  <c r="AY1751" i="4"/>
  <c r="AY1750" i="4"/>
  <c r="AY1749" i="4"/>
  <c r="AY1748" i="4"/>
  <c r="AY1747" i="4"/>
  <c r="AY1746" i="4"/>
  <c r="AY1745" i="4"/>
  <c r="AY1744" i="4"/>
  <c r="AY1743" i="4"/>
  <c r="AY1742" i="4"/>
  <c r="AY1741" i="4"/>
  <c r="AY1740" i="4"/>
  <c r="AY1739" i="4"/>
  <c r="AY1738" i="4"/>
  <c r="AY1737" i="4"/>
  <c r="AY1736" i="4"/>
  <c r="AY1735" i="4"/>
  <c r="AY1734" i="4"/>
  <c r="AY1733" i="4"/>
  <c r="AY1732" i="4"/>
  <c r="AY1731" i="4"/>
  <c r="AY1730" i="4"/>
  <c r="AY1729" i="4"/>
  <c r="AY1728" i="4"/>
  <c r="AY1727" i="4"/>
  <c r="AY1726" i="4"/>
  <c r="AY1725" i="4"/>
  <c r="AY1724" i="4"/>
  <c r="AY1723" i="4"/>
  <c r="AY1722" i="4"/>
  <c r="AY1721" i="4"/>
  <c r="AY1720" i="4"/>
  <c r="AY1719" i="4"/>
  <c r="AY1718" i="4"/>
  <c r="AY1717" i="4"/>
  <c r="AY1716" i="4"/>
  <c r="AY1715" i="4"/>
  <c r="AY1714" i="4"/>
  <c r="AY1713" i="4"/>
  <c r="AY1712" i="4"/>
  <c r="AY1711" i="4"/>
  <c r="AY1710" i="4"/>
  <c r="AY1709" i="4"/>
  <c r="AY1708" i="4"/>
  <c r="AY1707" i="4"/>
  <c r="AY1706" i="4"/>
  <c r="AY1705" i="4"/>
  <c r="AY1704" i="4"/>
  <c r="AY1703" i="4"/>
  <c r="AY1702" i="4"/>
  <c r="AY1701" i="4"/>
  <c r="AY1700" i="4"/>
  <c r="AY1699" i="4"/>
  <c r="AY1698" i="4"/>
  <c r="AY1697" i="4"/>
  <c r="AY1696" i="4"/>
  <c r="AY1695" i="4"/>
  <c r="AY1694" i="4"/>
  <c r="AY1693" i="4"/>
  <c r="AY1692" i="4"/>
  <c r="AY1691" i="4"/>
  <c r="AY1690" i="4"/>
  <c r="AY1689" i="4"/>
  <c r="AY1688" i="4"/>
  <c r="AY1687" i="4"/>
  <c r="AY1686" i="4"/>
  <c r="AY1685" i="4"/>
  <c r="AY1684" i="4"/>
  <c r="AY1683" i="4"/>
  <c r="AY1682" i="4"/>
  <c r="AY1681" i="4"/>
  <c r="AY1680" i="4"/>
  <c r="AY1679" i="4"/>
  <c r="AY1678" i="4"/>
  <c r="AY1677" i="4"/>
  <c r="AY1676" i="4"/>
  <c r="AY1675" i="4"/>
  <c r="AY1674" i="4"/>
  <c r="AY1673" i="4"/>
  <c r="AY1672" i="4"/>
  <c r="AY1671" i="4"/>
  <c r="AY1670" i="4"/>
  <c r="AY1669" i="4"/>
  <c r="AY1668" i="4"/>
  <c r="AY1667" i="4"/>
  <c r="AY1666" i="4"/>
  <c r="AY1665" i="4"/>
  <c r="AY1664" i="4"/>
  <c r="AY1663" i="4"/>
  <c r="AY1662" i="4"/>
  <c r="AY1661" i="4"/>
  <c r="AY1660" i="4"/>
  <c r="AY1659" i="4"/>
  <c r="AY1658" i="4"/>
  <c r="AY1657" i="4"/>
  <c r="AY1656" i="4"/>
  <c r="AY1655" i="4"/>
  <c r="AY1654" i="4"/>
  <c r="AY1653" i="4"/>
  <c r="AY1652" i="4"/>
  <c r="AY1651" i="4"/>
  <c r="AY1650" i="4"/>
  <c r="AY1649" i="4"/>
  <c r="AY1648" i="4"/>
  <c r="AY1647" i="4"/>
  <c r="AY1646" i="4"/>
  <c r="AY1645" i="4"/>
  <c r="AY1644" i="4"/>
  <c r="AY1643" i="4"/>
  <c r="AY1642" i="4"/>
  <c r="AY1641" i="4"/>
  <c r="AY1640" i="4"/>
  <c r="AY1639" i="4"/>
  <c r="AY1638" i="4"/>
  <c r="AY1637" i="4"/>
  <c r="AY1636" i="4"/>
  <c r="AY1635" i="4"/>
  <c r="AY1634" i="4"/>
  <c r="AY1633" i="4"/>
  <c r="AY1632" i="4"/>
  <c r="AY1631" i="4"/>
  <c r="AY1630" i="4"/>
  <c r="AY1629" i="4"/>
  <c r="AY1628" i="4"/>
  <c r="AY1627" i="4"/>
  <c r="AY1626" i="4"/>
  <c r="AY1625" i="4"/>
  <c r="AY1624" i="4"/>
  <c r="AY1623" i="4"/>
  <c r="AY1622" i="4"/>
  <c r="AY1621" i="4"/>
  <c r="AY1620" i="4"/>
  <c r="AY1619" i="4"/>
  <c r="AY1618" i="4"/>
  <c r="AY1617" i="4"/>
  <c r="AY1616" i="4"/>
  <c r="AY1615" i="4"/>
  <c r="AY1614" i="4"/>
  <c r="AY1613" i="4"/>
  <c r="AY1612" i="4"/>
  <c r="AY1611" i="4"/>
  <c r="AY1610" i="4"/>
  <c r="AY1609" i="4"/>
  <c r="AY1608" i="4"/>
  <c r="AY1607" i="4"/>
  <c r="AY1606" i="4"/>
  <c r="AY1605" i="4"/>
  <c r="AY1604" i="4"/>
  <c r="AY1603" i="4"/>
  <c r="AY1602" i="4"/>
  <c r="AY1601" i="4"/>
  <c r="AY1600" i="4"/>
  <c r="AY1599" i="4"/>
  <c r="AY1598" i="4"/>
  <c r="AY1597" i="4"/>
  <c r="AY1596" i="4"/>
  <c r="AY1595" i="4"/>
  <c r="AY1594" i="4"/>
  <c r="AY1593" i="4"/>
  <c r="AY1592" i="4"/>
  <c r="AY1591" i="4"/>
  <c r="AY1590" i="4"/>
  <c r="AY1589" i="4"/>
  <c r="AY1588" i="4"/>
  <c r="AY1587" i="4"/>
  <c r="AY1586" i="4"/>
  <c r="AY1585" i="4"/>
  <c r="AY1584" i="4"/>
  <c r="AY1583" i="4"/>
  <c r="AY1582" i="4"/>
  <c r="AY1581" i="4"/>
  <c r="AY1580" i="4"/>
  <c r="AY1579" i="4"/>
  <c r="AY1578" i="4"/>
  <c r="AY1577" i="4"/>
  <c r="AY1576" i="4"/>
  <c r="AY1575" i="4"/>
  <c r="AY1574" i="4"/>
  <c r="AY1573" i="4"/>
  <c r="AY1572" i="4"/>
  <c r="AY1571" i="4"/>
  <c r="AY1570" i="4"/>
  <c r="AY1569" i="4"/>
  <c r="AY1568" i="4"/>
  <c r="AY1567" i="4"/>
  <c r="AY1566" i="4"/>
  <c r="AY1565" i="4"/>
  <c r="AY1564" i="4"/>
  <c r="AY1563" i="4"/>
  <c r="AY1562" i="4"/>
  <c r="AY1561" i="4"/>
  <c r="AY1560" i="4"/>
  <c r="AY1559" i="4"/>
  <c r="AY1558" i="4"/>
  <c r="AY1557" i="4"/>
  <c r="AY1556" i="4"/>
  <c r="AY1555" i="4"/>
  <c r="AY1554" i="4"/>
  <c r="AY1553" i="4"/>
  <c r="AY1552" i="4"/>
  <c r="AY1551" i="4"/>
  <c r="AY1550" i="4"/>
  <c r="AY1549" i="4"/>
  <c r="AY1548" i="4"/>
  <c r="AY1547" i="4"/>
  <c r="AY1546" i="4"/>
  <c r="AY1545" i="4"/>
  <c r="AY1544" i="4"/>
  <c r="AY1543" i="4"/>
  <c r="AY1542" i="4"/>
  <c r="AY1541" i="4"/>
  <c r="AY1540" i="4"/>
  <c r="AY1539" i="4"/>
  <c r="AY1538" i="4"/>
  <c r="AY1537" i="4"/>
  <c r="AY1536" i="4"/>
  <c r="AY1535" i="4"/>
  <c r="AY1534" i="4"/>
  <c r="AY1533" i="4"/>
  <c r="AY1532" i="4"/>
  <c r="AY1531" i="4"/>
  <c r="AY1530" i="4"/>
  <c r="AY1529" i="4"/>
  <c r="AY1528" i="4"/>
  <c r="AY1527" i="4"/>
  <c r="AY1526" i="4"/>
  <c r="AY1525" i="4"/>
  <c r="AY1524" i="4"/>
  <c r="AY1523" i="4"/>
  <c r="AY1522" i="4"/>
  <c r="AY1521" i="4"/>
  <c r="AY1520" i="4"/>
  <c r="AY1519" i="4"/>
  <c r="AY1518" i="4"/>
  <c r="AY1517" i="4"/>
  <c r="AY1516" i="4"/>
  <c r="AY1515" i="4"/>
  <c r="AY1514" i="4"/>
  <c r="AY1513" i="4"/>
  <c r="AY1512" i="4"/>
  <c r="AY1511" i="4"/>
  <c r="AY1510" i="4"/>
  <c r="AY1509" i="4"/>
  <c r="AY1508" i="4"/>
  <c r="AY1507" i="4"/>
  <c r="AY1506" i="4"/>
  <c r="AY1505" i="4"/>
  <c r="AY1504" i="4"/>
  <c r="AY1503" i="4"/>
  <c r="AY1502" i="4"/>
  <c r="AY1501" i="4"/>
  <c r="AY1500" i="4"/>
  <c r="AY1499" i="4"/>
  <c r="AY1498" i="4"/>
  <c r="AY1497" i="4"/>
  <c r="AY1496" i="4"/>
  <c r="AY1495" i="4"/>
  <c r="AY1494" i="4"/>
  <c r="AY1493" i="4"/>
  <c r="AY1492" i="4"/>
  <c r="AY1491" i="4"/>
  <c r="AY1490" i="4"/>
  <c r="AY1489" i="4"/>
  <c r="AY1488" i="4"/>
  <c r="AY1487" i="4"/>
  <c r="AY1486" i="4"/>
  <c r="AY1485" i="4"/>
  <c r="AY1484" i="4"/>
  <c r="AY1483" i="4"/>
  <c r="AY1482" i="4"/>
  <c r="AY1481" i="4"/>
  <c r="AY1480" i="4"/>
  <c r="AY1479" i="4"/>
  <c r="AY1478" i="4"/>
  <c r="AY1477" i="4"/>
  <c r="AY1476" i="4"/>
  <c r="AY1475" i="4"/>
  <c r="AY1474" i="4"/>
  <c r="AY1473" i="4"/>
  <c r="AY1472" i="4"/>
  <c r="AY1471" i="4"/>
  <c r="AY1470" i="4"/>
  <c r="AY1469" i="4"/>
  <c r="AY1468" i="4"/>
  <c r="AY1467" i="4"/>
  <c r="AY1466" i="4"/>
  <c r="AY1465" i="4"/>
  <c r="AY1464" i="4"/>
  <c r="AY1463" i="4"/>
  <c r="AY1462" i="4"/>
  <c r="AY1461" i="4"/>
  <c r="AY1460" i="4"/>
  <c r="AY1459" i="4"/>
  <c r="AY1458" i="4"/>
  <c r="AY1457" i="4"/>
  <c r="AY1456" i="4"/>
  <c r="AY1455" i="4"/>
  <c r="AY1454" i="4"/>
  <c r="AY1453" i="4"/>
  <c r="AY1452" i="4"/>
  <c r="AY1451" i="4"/>
  <c r="AY1450" i="4"/>
  <c r="AY1449" i="4"/>
  <c r="AY1448" i="4"/>
  <c r="AY1447" i="4"/>
  <c r="AY1446" i="4"/>
  <c r="AY1445" i="4"/>
  <c r="AY1444" i="4"/>
  <c r="AY1443" i="4"/>
  <c r="AY1442" i="4"/>
  <c r="AY1441" i="4"/>
  <c r="AY1440" i="4"/>
  <c r="AY1439" i="4"/>
  <c r="AY1438" i="4"/>
  <c r="AY1437" i="4"/>
  <c r="AY1436" i="4"/>
  <c r="AY1435" i="4"/>
  <c r="AY1434" i="4"/>
  <c r="AY1433" i="4"/>
  <c r="AY1432" i="4"/>
  <c r="AY1431" i="4"/>
  <c r="AY1430" i="4"/>
  <c r="AY1429" i="4"/>
  <c r="AY1428" i="4"/>
  <c r="AY1427" i="4"/>
  <c r="AY1426" i="4"/>
  <c r="AY1425" i="4"/>
  <c r="AY1424" i="4"/>
  <c r="AY1423" i="4"/>
  <c r="AY1422" i="4"/>
  <c r="AY1421" i="4"/>
  <c r="AY1420" i="4"/>
  <c r="AY1419" i="4"/>
  <c r="AY1418" i="4"/>
  <c r="AY1417" i="4"/>
  <c r="AY1416" i="4"/>
  <c r="AY1415" i="4"/>
  <c r="AY1414" i="4"/>
  <c r="AY1413" i="4"/>
  <c r="AY1412" i="4"/>
  <c r="AY1411" i="4"/>
  <c r="AY1410" i="4"/>
  <c r="AY1409" i="4"/>
  <c r="AY1408" i="4"/>
  <c r="AY1407" i="4"/>
  <c r="AY1406" i="4"/>
  <c r="AY1405" i="4"/>
  <c r="AY1404" i="4"/>
  <c r="AY1403" i="4"/>
  <c r="AY1402" i="4"/>
  <c r="AY1401" i="4"/>
  <c r="AY1400" i="4"/>
  <c r="AY1399" i="4"/>
  <c r="AY1398" i="4"/>
  <c r="AY1397" i="4"/>
  <c r="AY1396" i="4"/>
  <c r="AY1395" i="4"/>
  <c r="AY1394" i="4"/>
  <c r="AY1393" i="4"/>
  <c r="AY1392" i="4"/>
  <c r="AY1391" i="4"/>
  <c r="AY1390" i="4"/>
  <c r="AY1389" i="4"/>
  <c r="AY1388" i="4"/>
  <c r="AY1387" i="4"/>
  <c r="AY1386" i="4"/>
  <c r="AY1385" i="4"/>
  <c r="AY1384" i="4"/>
  <c r="AY1383" i="4"/>
  <c r="AY1382" i="4"/>
  <c r="AY1381" i="4"/>
  <c r="AY1380" i="4"/>
  <c r="AY1379" i="4"/>
  <c r="AY1378" i="4"/>
  <c r="AY1377" i="4"/>
  <c r="AY1376" i="4"/>
  <c r="AY1375" i="4"/>
  <c r="AY1374" i="4"/>
  <c r="AY1373" i="4"/>
  <c r="AY1372" i="4"/>
  <c r="AY1371" i="4"/>
  <c r="AY1370" i="4"/>
  <c r="AY1369" i="4"/>
  <c r="AY1368" i="4"/>
  <c r="AY1367" i="4"/>
  <c r="AY1366" i="4"/>
  <c r="AY1365" i="4"/>
  <c r="AY1364" i="4"/>
  <c r="AY1363" i="4"/>
  <c r="AY1362" i="4"/>
  <c r="AY1361" i="4"/>
  <c r="AY1360" i="4"/>
  <c r="AY1359" i="4"/>
  <c r="AY1358" i="4"/>
  <c r="AY1357" i="4"/>
  <c r="AY1356" i="4"/>
  <c r="AY1355" i="4"/>
  <c r="AY1354" i="4"/>
  <c r="AY1353" i="4"/>
  <c r="AY1352" i="4"/>
  <c r="AY1351" i="4"/>
  <c r="AY1350" i="4"/>
  <c r="AY1349" i="4"/>
  <c r="AY1348" i="4"/>
  <c r="AY1347" i="4"/>
  <c r="AY1346" i="4"/>
  <c r="AY1345" i="4"/>
  <c r="AY1344" i="4"/>
  <c r="AY1343" i="4"/>
  <c r="AY1342" i="4"/>
  <c r="AY1341" i="4"/>
  <c r="AY1340" i="4"/>
  <c r="AY1339" i="4"/>
  <c r="AY1338" i="4"/>
  <c r="AY1337" i="4"/>
  <c r="AY1336" i="4"/>
  <c r="AY1335" i="4"/>
  <c r="AY1334" i="4"/>
  <c r="AY1333" i="4"/>
  <c r="AY1332" i="4"/>
  <c r="AY1331" i="4"/>
  <c r="AY1330" i="4"/>
  <c r="AY1329" i="4"/>
  <c r="AY1328" i="4"/>
  <c r="AY1327" i="4"/>
  <c r="AY1326" i="4"/>
  <c r="AY1325" i="4"/>
  <c r="AY1324" i="4"/>
  <c r="AY1323" i="4"/>
  <c r="AY1322" i="4"/>
  <c r="AY1321" i="4"/>
  <c r="AY1320" i="4"/>
  <c r="AY1319" i="4"/>
  <c r="AY1318" i="4"/>
  <c r="AY1317" i="4"/>
  <c r="AY1316" i="4"/>
  <c r="AY1315" i="4"/>
  <c r="AY1314" i="4"/>
  <c r="AY1313" i="4"/>
  <c r="AY1312" i="4"/>
  <c r="AY1311" i="4"/>
  <c r="AY1310" i="4"/>
  <c r="AY1309" i="4"/>
  <c r="AY1308" i="4"/>
  <c r="AY1307" i="4"/>
  <c r="AY1306" i="4"/>
  <c r="AY1305" i="4"/>
  <c r="AY1304" i="4"/>
  <c r="AY1303" i="4"/>
  <c r="AY1302" i="4"/>
  <c r="AY1301" i="4"/>
  <c r="AY1300" i="4"/>
  <c r="AY1299" i="4"/>
  <c r="AY1298" i="4"/>
  <c r="AY1297" i="4"/>
  <c r="AY1296" i="4"/>
  <c r="AY1295" i="4"/>
  <c r="AY1294" i="4"/>
  <c r="AY1293" i="4"/>
  <c r="AY1292" i="4"/>
  <c r="AY1291" i="4"/>
  <c r="AY1290" i="4"/>
  <c r="AY1289" i="4"/>
  <c r="AY1288" i="4"/>
  <c r="AY1287" i="4"/>
  <c r="AY1286" i="4"/>
  <c r="AY1285" i="4"/>
  <c r="AY1284" i="4"/>
  <c r="AY1283" i="4"/>
  <c r="AY1282" i="4"/>
  <c r="AY1281" i="4"/>
  <c r="AY1280" i="4"/>
  <c r="AY1279" i="4"/>
  <c r="AY1278" i="4"/>
  <c r="AY1277" i="4"/>
  <c r="AY1276" i="4"/>
  <c r="AY1275" i="4"/>
  <c r="AY1274" i="4"/>
  <c r="AY1273" i="4"/>
  <c r="AY1272" i="4"/>
  <c r="AY1271" i="4"/>
  <c r="AY1270" i="4"/>
  <c r="AY1269" i="4"/>
  <c r="AY1268" i="4"/>
  <c r="AY1267" i="4"/>
  <c r="AY1266" i="4"/>
  <c r="AY1265" i="4"/>
  <c r="AY1264" i="4"/>
  <c r="AY1263" i="4"/>
  <c r="AY1262" i="4"/>
  <c r="AY1261" i="4"/>
  <c r="AY1260" i="4"/>
  <c r="AY1259" i="4"/>
  <c r="AY1258" i="4"/>
  <c r="AY1257" i="4"/>
  <c r="AY1256" i="4"/>
  <c r="AY1255" i="4"/>
  <c r="AY1254" i="4"/>
  <c r="AY1253" i="4"/>
  <c r="AY1252" i="4"/>
  <c r="AY1251" i="4"/>
  <c r="AY1250" i="4"/>
  <c r="AY1249" i="4"/>
  <c r="AY1248" i="4"/>
  <c r="AY1247" i="4"/>
  <c r="AY1246" i="4"/>
  <c r="AY1245" i="4"/>
  <c r="AY1244" i="4"/>
  <c r="AY1243" i="4"/>
  <c r="AY1242" i="4"/>
  <c r="AY1241" i="4"/>
  <c r="AY1240" i="4"/>
  <c r="AY1239" i="4"/>
  <c r="AY1238" i="4"/>
  <c r="AY1237" i="4"/>
  <c r="AY1236" i="4"/>
  <c r="AY1235" i="4"/>
  <c r="AY1234" i="4"/>
  <c r="AY1233" i="4"/>
  <c r="AY1232" i="4"/>
  <c r="AY1231" i="4"/>
  <c r="AY1230" i="4"/>
  <c r="AY1229" i="4"/>
  <c r="AY1228" i="4"/>
  <c r="AY1227" i="4"/>
  <c r="AY1226" i="4"/>
  <c r="AY1225" i="4"/>
  <c r="AY1224" i="4"/>
  <c r="AY1223" i="4"/>
  <c r="AY1222" i="4"/>
  <c r="AY1221" i="4"/>
  <c r="AY1220" i="4"/>
  <c r="AY1219" i="4"/>
  <c r="AY1218" i="4"/>
  <c r="AY1217" i="4"/>
  <c r="AY1216" i="4"/>
  <c r="AY1215" i="4"/>
  <c r="AY1214" i="4"/>
  <c r="AY1213" i="4"/>
  <c r="AY1212" i="4"/>
  <c r="AY1211" i="4"/>
  <c r="AY1210" i="4"/>
  <c r="AY1209" i="4"/>
  <c r="AY1208" i="4"/>
  <c r="AY1207" i="4"/>
  <c r="AY1206" i="4"/>
  <c r="AY1205" i="4"/>
  <c r="AY1204" i="4"/>
  <c r="AY1203" i="4"/>
  <c r="AY1202" i="4"/>
  <c r="AY1201" i="4"/>
  <c r="AY1200" i="4"/>
  <c r="AY1199" i="4"/>
  <c r="AY1198" i="4"/>
  <c r="AY1197" i="4"/>
  <c r="AY1196" i="4"/>
  <c r="AY1195" i="4"/>
  <c r="AY1194" i="4"/>
  <c r="AY1193" i="4"/>
  <c r="AY1192" i="4"/>
  <c r="AY1191" i="4"/>
  <c r="AY1190" i="4"/>
  <c r="AY1189" i="4"/>
  <c r="AY1188" i="4"/>
  <c r="AY1187" i="4"/>
  <c r="AY1186" i="4"/>
  <c r="AY1185" i="4"/>
  <c r="AY1184" i="4"/>
  <c r="AY1183" i="4"/>
  <c r="AY1182" i="4"/>
  <c r="AY1181" i="4"/>
  <c r="AY1180" i="4"/>
  <c r="AY1179" i="4"/>
  <c r="AY1178" i="4"/>
  <c r="AY1177" i="4"/>
  <c r="AY1176" i="4"/>
  <c r="AY1175" i="4"/>
  <c r="AY1174" i="4"/>
  <c r="AY1173" i="4"/>
  <c r="AY1172" i="4"/>
  <c r="AY1171" i="4"/>
  <c r="AY1170" i="4"/>
  <c r="AY1169" i="4"/>
  <c r="AY1168" i="4"/>
  <c r="AY1167" i="4"/>
  <c r="AY1166" i="4"/>
  <c r="AY1165" i="4"/>
  <c r="AY1164" i="4"/>
  <c r="AY1163" i="4"/>
  <c r="AY1162" i="4"/>
  <c r="AY1161" i="4"/>
  <c r="AY1160" i="4"/>
  <c r="AY1159" i="4"/>
  <c r="AY1158" i="4"/>
  <c r="AY1157" i="4"/>
  <c r="AY1156" i="4"/>
  <c r="AY1155" i="4"/>
  <c r="AY1154" i="4"/>
  <c r="AY1153" i="4"/>
  <c r="AY1152" i="4"/>
  <c r="AY1151" i="4"/>
  <c r="AY1150" i="4"/>
  <c r="AY1149" i="4"/>
  <c r="AY1148" i="4"/>
  <c r="AY1147" i="4"/>
  <c r="AY1146" i="4"/>
  <c r="AY1145" i="4"/>
  <c r="AY1144" i="4"/>
  <c r="AY1143" i="4"/>
  <c r="AY1142" i="4"/>
  <c r="AY1141" i="4"/>
  <c r="AY1140" i="4"/>
  <c r="AY1139" i="4"/>
  <c r="AY1138" i="4"/>
  <c r="AY1137" i="4"/>
  <c r="AY1136" i="4"/>
  <c r="AY1135" i="4"/>
  <c r="AY1134" i="4"/>
  <c r="AY1133" i="4"/>
  <c r="AY1132" i="4"/>
  <c r="AY1131" i="4"/>
  <c r="AY1130" i="4"/>
  <c r="AY1129" i="4"/>
  <c r="AY1128" i="4"/>
  <c r="AY1127" i="4"/>
  <c r="AY1126" i="4"/>
  <c r="AY1125" i="4"/>
  <c r="AY1124" i="4"/>
  <c r="AY1123" i="4"/>
  <c r="AY1122" i="4"/>
  <c r="AY1121" i="4"/>
  <c r="AY1120" i="4"/>
  <c r="AY1119" i="4"/>
  <c r="AY1118" i="4"/>
  <c r="AY1117" i="4"/>
  <c r="AY1116" i="4"/>
  <c r="AY1115" i="4"/>
  <c r="AY1114" i="4"/>
  <c r="AY1113" i="4"/>
  <c r="AY1112" i="4"/>
  <c r="AY1111" i="4"/>
  <c r="AY1110" i="4"/>
  <c r="AY1109" i="4"/>
  <c r="AY1108" i="4"/>
  <c r="AY1107" i="4"/>
  <c r="AY1106" i="4"/>
  <c r="AY1105" i="4"/>
  <c r="AY1104" i="4"/>
  <c r="AY1103" i="4"/>
  <c r="AY1102" i="4"/>
  <c r="AY1101" i="4"/>
  <c r="AY1100" i="4"/>
  <c r="AY1099" i="4"/>
  <c r="AY1098" i="4"/>
  <c r="AY1097" i="4"/>
  <c r="AY1096" i="4"/>
  <c r="AY1095" i="4"/>
  <c r="AY1094" i="4"/>
  <c r="AY1093" i="4"/>
  <c r="AY1092" i="4"/>
  <c r="AY1091" i="4"/>
  <c r="AY1090" i="4"/>
  <c r="AY1089" i="4"/>
  <c r="AY1088" i="4"/>
  <c r="AY1087" i="4"/>
  <c r="AY1086" i="4"/>
  <c r="AY1085" i="4"/>
  <c r="AY1084" i="4"/>
  <c r="AY1083" i="4"/>
  <c r="AY1082" i="4"/>
  <c r="AY1081" i="4"/>
  <c r="AY1080" i="4"/>
  <c r="AY1079" i="4"/>
  <c r="AY1078" i="4"/>
  <c r="AY1077" i="4"/>
  <c r="AY1076" i="4"/>
  <c r="AY1075" i="4"/>
  <c r="AY1074" i="4"/>
  <c r="AY1073" i="4"/>
  <c r="AY1072" i="4"/>
  <c r="AY1071" i="4"/>
  <c r="AY1070" i="4"/>
  <c r="AY1069" i="4"/>
  <c r="AY1068" i="4"/>
  <c r="AY1067" i="4"/>
  <c r="AY1066" i="4"/>
  <c r="AY1065" i="4"/>
  <c r="AY1064" i="4"/>
  <c r="AY1063" i="4"/>
  <c r="AY1062" i="4"/>
  <c r="AY1061" i="4"/>
  <c r="AY1060" i="4"/>
  <c r="AY1059" i="4"/>
  <c r="AY1058" i="4"/>
  <c r="AY1057" i="4"/>
  <c r="AY1056" i="4"/>
  <c r="AY1055" i="4"/>
  <c r="AY1054" i="4"/>
  <c r="AY1053" i="4"/>
  <c r="AY1052" i="4"/>
  <c r="AY1051" i="4"/>
  <c r="AY1050" i="4"/>
  <c r="AY1049" i="4"/>
  <c r="AY1048" i="4"/>
  <c r="AY1047" i="4"/>
  <c r="AY1046" i="4"/>
  <c r="AY1045" i="4"/>
  <c r="AY1044" i="4"/>
  <c r="AY1043" i="4"/>
  <c r="AY1042" i="4"/>
  <c r="AY1041" i="4"/>
  <c r="AY1040" i="4"/>
  <c r="AY1039" i="4"/>
  <c r="AY1038" i="4"/>
  <c r="AY1037" i="4"/>
  <c r="AY1036" i="4"/>
  <c r="AY1035" i="4"/>
  <c r="AY1034" i="4"/>
  <c r="AY1033" i="4"/>
  <c r="AY1032" i="4"/>
  <c r="AY1031" i="4"/>
  <c r="AY1030" i="4"/>
  <c r="AY1029" i="4"/>
  <c r="AY1028" i="4"/>
  <c r="AY1027" i="4"/>
  <c r="AY1026" i="4"/>
  <c r="AY1025" i="4"/>
  <c r="AY1024" i="4"/>
  <c r="AY1023" i="4"/>
  <c r="AY1022" i="4"/>
  <c r="AY1021" i="4"/>
  <c r="AY1020" i="4"/>
  <c r="AY1019" i="4"/>
  <c r="AY1018" i="4"/>
  <c r="AY1017" i="4"/>
  <c r="AY1016" i="4"/>
  <c r="AY1015" i="4"/>
  <c r="AY1014" i="4"/>
  <c r="AY1013" i="4"/>
  <c r="AY1012" i="4"/>
  <c r="AY1011" i="4"/>
  <c r="AY1010" i="4"/>
  <c r="AY1009" i="4"/>
  <c r="AY1008" i="4"/>
  <c r="AY1007" i="4"/>
  <c r="AY1006" i="4"/>
  <c r="AY1005" i="4"/>
  <c r="AY1004" i="4"/>
  <c r="AY1003" i="4"/>
  <c r="AY1002" i="4"/>
  <c r="AY1001" i="4"/>
  <c r="AY1000" i="4"/>
  <c r="AY999" i="4"/>
  <c r="AY998" i="4"/>
  <c r="AY997" i="4"/>
  <c r="AY996" i="4"/>
  <c r="AY995" i="4"/>
  <c r="AY994" i="4"/>
  <c r="AY993" i="4"/>
  <c r="AY992" i="4"/>
  <c r="AY991" i="4"/>
  <c r="AY990" i="4"/>
  <c r="AY989" i="4"/>
  <c r="AY988" i="4"/>
  <c r="AY987" i="4"/>
  <c r="AY986" i="4"/>
  <c r="AY985" i="4"/>
  <c r="AY984" i="4"/>
  <c r="AY983" i="4"/>
  <c r="AY982" i="4"/>
  <c r="AY981" i="4"/>
  <c r="AY980" i="4"/>
  <c r="AY979" i="4"/>
  <c r="AY978" i="4"/>
  <c r="AY977" i="4"/>
  <c r="AY976" i="4"/>
  <c r="AY975" i="4"/>
  <c r="AY974" i="4"/>
  <c r="AY973" i="4"/>
  <c r="AY972" i="4"/>
  <c r="AY971" i="4"/>
  <c r="AY970" i="4"/>
  <c r="AY969" i="4"/>
  <c r="AY968" i="4"/>
  <c r="AY967" i="4"/>
  <c r="AY966" i="4"/>
  <c r="AY965" i="4"/>
  <c r="AY964" i="4"/>
  <c r="AY963" i="4"/>
  <c r="AY962" i="4"/>
  <c r="AY961" i="4"/>
  <c r="AY960" i="4"/>
  <c r="AY959" i="4"/>
  <c r="AY958" i="4"/>
  <c r="AY957" i="4"/>
  <c r="AY956" i="4"/>
  <c r="AY955" i="4"/>
  <c r="AY954" i="4"/>
  <c r="AY953" i="4"/>
  <c r="AY952" i="4"/>
  <c r="AY951" i="4"/>
  <c r="AY950" i="4"/>
  <c r="AY949" i="4"/>
  <c r="AY948" i="4"/>
  <c r="AY947" i="4"/>
  <c r="AY946" i="4"/>
  <c r="AY945" i="4"/>
  <c r="AY944" i="4"/>
  <c r="AY943" i="4"/>
  <c r="AY942" i="4"/>
  <c r="AY941" i="4"/>
  <c r="AY940" i="4"/>
  <c r="AY939" i="4"/>
  <c r="AY938" i="4"/>
  <c r="AY937" i="4"/>
  <c r="AY936" i="4"/>
  <c r="AY935" i="4"/>
  <c r="AY934" i="4"/>
  <c r="AY933" i="4"/>
  <c r="AY932" i="4"/>
  <c r="AY931" i="4"/>
  <c r="AY930" i="4"/>
  <c r="AY929" i="4"/>
  <c r="AY928" i="4"/>
  <c r="AY927" i="4"/>
  <c r="AY926" i="4"/>
  <c r="AY925" i="4"/>
  <c r="AY924" i="4"/>
  <c r="AY923" i="4"/>
  <c r="AY922" i="4"/>
  <c r="AY921" i="4"/>
  <c r="AY920" i="4"/>
  <c r="AY919" i="4"/>
  <c r="AY918" i="4"/>
  <c r="AY917" i="4"/>
  <c r="AY916" i="4"/>
  <c r="AY915" i="4"/>
  <c r="AY914" i="4"/>
  <c r="AY913" i="4"/>
  <c r="AY912" i="4"/>
  <c r="AY911" i="4"/>
  <c r="AY910" i="4"/>
  <c r="AY909" i="4"/>
  <c r="AY908" i="4"/>
  <c r="AY907" i="4"/>
  <c r="AY906" i="4"/>
  <c r="AY905" i="4"/>
  <c r="AY904" i="4"/>
  <c r="AY903" i="4"/>
  <c r="AY902" i="4"/>
  <c r="AY901" i="4"/>
  <c r="AY900" i="4"/>
  <c r="AY899" i="4"/>
  <c r="AY898" i="4"/>
  <c r="AY897" i="4"/>
  <c r="AY896" i="4"/>
  <c r="AY895" i="4"/>
  <c r="AY894" i="4"/>
  <c r="AY893" i="4"/>
  <c r="AY892" i="4"/>
  <c r="AY891" i="4"/>
  <c r="AY890" i="4"/>
  <c r="AY889" i="4"/>
  <c r="AY888" i="4"/>
  <c r="AY887" i="4"/>
  <c r="AY886" i="4"/>
  <c r="AY885" i="4"/>
  <c r="AY884" i="4"/>
  <c r="AY883" i="4"/>
  <c r="AY882" i="4"/>
  <c r="AY881" i="4"/>
  <c r="AY880" i="4"/>
  <c r="AY879" i="4"/>
  <c r="AY878" i="4"/>
  <c r="AY877" i="4"/>
  <c r="AY876" i="4"/>
  <c r="AY875" i="4"/>
  <c r="AY874" i="4"/>
  <c r="AY873" i="4"/>
  <c r="AY872" i="4"/>
  <c r="AY871" i="4"/>
  <c r="AY870" i="4"/>
  <c r="AY869" i="4"/>
  <c r="AY868" i="4"/>
  <c r="AY867" i="4"/>
  <c r="AY866" i="4"/>
  <c r="AY865" i="4"/>
  <c r="AY864" i="4"/>
  <c r="AY863" i="4"/>
  <c r="AY862" i="4"/>
  <c r="AY861" i="4"/>
  <c r="AY860" i="4"/>
  <c r="AY859" i="4"/>
  <c r="AY858" i="4"/>
  <c r="AY857" i="4"/>
  <c r="AY856" i="4"/>
  <c r="AY855" i="4"/>
  <c r="AY854" i="4"/>
  <c r="AY853" i="4"/>
  <c r="AY852" i="4"/>
  <c r="AY851" i="4"/>
  <c r="AY850" i="4"/>
  <c r="AY849" i="4"/>
  <c r="AY848" i="4"/>
  <c r="AY847" i="4"/>
  <c r="AY846" i="4"/>
  <c r="AY845" i="4"/>
  <c r="AY844" i="4"/>
  <c r="AY843" i="4"/>
  <c r="AY842" i="4"/>
  <c r="AY841" i="4"/>
  <c r="AY840" i="4"/>
  <c r="AY839" i="4"/>
  <c r="AY838" i="4"/>
  <c r="AY837" i="4"/>
  <c r="AY836" i="4"/>
  <c r="AY835" i="4"/>
  <c r="AY834" i="4"/>
  <c r="AY833" i="4"/>
  <c r="AY832" i="4"/>
  <c r="AY831" i="4"/>
  <c r="AY830" i="4"/>
  <c r="AY829" i="4"/>
  <c r="AY828" i="4"/>
  <c r="AY827" i="4"/>
  <c r="AY826" i="4"/>
  <c r="AY825" i="4"/>
  <c r="AY824" i="4"/>
  <c r="AY823" i="4"/>
  <c r="AY822" i="4"/>
  <c r="AY821" i="4"/>
  <c r="AY820" i="4"/>
  <c r="AY819" i="4"/>
  <c r="AY818" i="4"/>
  <c r="AY817" i="4"/>
  <c r="AY816" i="4"/>
  <c r="AY815" i="4"/>
  <c r="AY814" i="4"/>
  <c r="AY813" i="4"/>
  <c r="AY812" i="4"/>
  <c r="AY811" i="4"/>
  <c r="AY810" i="4"/>
  <c r="AY809" i="4"/>
  <c r="AY808" i="4"/>
  <c r="AY807" i="4"/>
  <c r="AY806" i="4"/>
  <c r="AY805" i="4"/>
  <c r="AY804" i="4"/>
  <c r="AY803" i="4"/>
  <c r="AY802" i="4"/>
  <c r="AY801" i="4"/>
  <c r="AY800" i="4"/>
  <c r="AY799" i="4"/>
  <c r="AY798" i="4"/>
  <c r="AY797" i="4"/>
  <c r="AY796" i="4"/>
  <c r="AY795" i="4"/>
  <c r="AY794" i="4"/>
  <c r="AY793" i="4"/>
  <c r="AY792" i="4"/>
  <c r="AY791" i="4"/>
  <c r="AY790" i="4"/>
  <c r="AY789" i="4"/>
  <c r="AY788" i="4"/>
  <c r="AY787" i="4"/>
  <c r="AY786" i="4"/>
  <c r="AY785" i="4"/>
  <c r="AY784" i="4"/>
  <c r="AY783" i="4"/>
  <c r="AY782" i="4"/>
  <c r="AY781" i="4"/>
  <c r="AY780" i="4"/>
  <c r="AY779" i="4"/>
  <c r="AY778" i="4"/>
  <c r="AY777" i="4"/>
  <c r="AY776" i="4"/>
  <c r="AY775" i="4"/>
  <c r="AY774" i="4"/>
  <c r="AY773" i="4"/>
  <c r="AY772" i="4"/>
  <c r="AY771" i="4"/>
  <c r="AY770" i="4"/>
  <c r="AY769" i="4"/>
  <c r="AY768" i="4"/>
  <c r="AY767" i="4"/>
  <c r="AY766" i="4"/>
  <c r="AY765" i="4"/>
  <c r="AY764" i="4"/>
  <c r="AY763" i="4"/>
  <c r="AY762" i="4"/>
  <c r="AY761" i="4"/>
  <c r="AY760" i="4"/>
  <c r="AY759" i="4"/>
  <c r="AY758" i="4"/>
  <c r="AY757" i="4"/>
  <c r="AY756" i="4"/>
  <c r="AY755" i="4"/>
  <c r="AY754" i="4"/>
  <c r="AY753" i="4"/>
  <c r="AY752" i="4"/>
  <c r="AY751" i="4"/>
  <c r="AY750" i="4"/>
  <c r="AY749" i="4"/>
  <c r="AY748" i="4"/>
  <c r="AY747" i="4"/>
  <c r="AY746" i="4"/>
  <c r="AY745" i="4"/>
  <c r="AY744" i="4"/>
  <c r="AY743" i="4"/>
  <c r="AY742" i="4"/>
  <c r="AY741" i="4"/>
  <c r="AY740" i="4"/>
  <c r="AY739" i="4"/>
  <c r="AY738" i="4"/>
  <c r="AY737" i="4"/>
  <c r="AY736" i="4"/>
  <c r="AY735" i="4"/>
  <c r="AY734" i="4"/>
  <c r="AY733" i="4"/>
  <c r="AY732" i="4"/>
  <c r="AY731" i="4"/>
  <c r="AY730" i="4"/>
  <c r="AY729" i="4"/>
  <c r="AY728" i="4"/>
  <c r="AY727" i="4"/>
  <c r="AY726" i="4"/>
  <c r="AY725" i="4"/>
  <c r="AY724" i="4"/>
  <c r="AY723" i="4"/>
  <c r="AY722" i="4"/>
  <c r="AY721" i="4"/>
  <c r="AY720" i="4"/>
  <c r="AY719" i="4"/>
  <c r="AY718" i="4"/>
  <c r="AY717" i="4"/>
  <c r="AY716" i="4"/>
  <c r="AY715" i="4"/>
  <c r="AY714" i="4"/>
  <c r="AY713" i="4"/>
  <c r="AY712" i="4"/>
  <c r="AY711" i="4"/>
  <c r="AY710" i="4"/>
  <c r="AY709" i="4"/>
  <c r="AY708" i="4"/>
  <c r="AY707" i="4"/>
  <c r="AY706" i="4"/>
  <c r="AY705" i="4"/>
  <c r="AY704" i="4"/>
  <c r="AY703" i="4"/>
  <c r="AY702" i="4"/>
  <c r="AY701" i="4"/>
  <c r="AY700" i="4"/>
  <c r="AY699" i="4"/>
  <c r="AY698" i="4"/>
  <c r="AY697" i="4"/>
  <c r="AY696" i="4"/>
  <c r="AY695" i="4"/>
  <c r="AY694" i="4"/>
  <c r="AY693" i="4"/>
  <c r="AY692" i="4"/>
  <c r="AY691" i="4"/>
  <c r="AY690" i="4"/>
  <c r="AY689" i="4"/>
  <c r="AY688" i="4"/>
  <c r="AY687" i="4"/>
  <c r="AY686" i="4"/>
  <c r="AY685" i="4"/>
  <c r="AY684" i="4"/>
  <c r="AY683" i="4"/>
  <c r="AY682" i="4"/>
  <c r="AY681" i="4"/>
  <c r="AY680" i="4"/>
  <c r="AY679" i="4"/>
  <c r="AY678" i="4"/>
  <c r="AY677" i="4"/>
  <c r="AY676" i="4"/>
  <c r="AY675" i="4"/>
  <c r="AY674" i="4"/>
  <c r="AY673" i="4"/>
  <c r="AY672" i="4"/>
  <c r="AY671" i="4"/>
  <c r="AY670" i="4"/>
  <c r="AY669" i="4"/>
  <c r="AY668" i="4"/>
  <c r="AY667" i="4"/>
  <c r="AY666" i="4"/>
  <c r="AY665" i="4"/>
  <c r="AY664" i="4"/>
  <c r="AY663" i="4"/>
  <c r="AY662" i="4"/>
  <c r="AY661" i="4"/>
  <c r="AY660" i="4"/>
  <c r="AY659" i="4"/>
  <c r="AY658" i="4"/>
  <c r="AY657" i="4"/>
  <c r="AY656" i="4"/>
  <c r="AY655" i="4"/>
  <c r="AY654" i="4"/>
  <c r="AY653" i="4"/>
  <c r="AY652" i="4"/>
  <c r="AY651" i="4"/>
  <c r="AY650" i="4"/>
  <c r="AY649" i="4"/>
  <c r="AY648" i="4"/>
  <c r="AY647" i="4"/>
  <c r="AY646" i="4"/>
  <c r="AY645" i="4"/>
  <c r="AY644" i="4"/>
  <c r="AY643" i="4"/>
  <c r="AY642" i="4"/>
  <c r="AY641" i="4"/>
  <c r="AY640" i="4"/>
  <c r="AY639" i="4"/>
  <c r="AY638" i="4"/>
  <c r="AY637" i="4"/>
  <c r="AY636" i="4"/>
  <c r="AY635" i="4"/>
  <c r="AY634" i="4"/>
  <c r="AY633" i="4"/>
  <c r="AY632" i="4"/>
  <c r="AY631" i="4"/>
  <c r="AY630" i="4"/>
  <c r="AY629" i="4"/>
  <c r="AY628" i="4"/>
  <c r="AY627" i="4"/>
  <c r="AY626" i="4"/>
  <c r="AY625" i="4"/>
  <c r="AY624" i="4"/>
  <c r="AY623" i="4"/>
  <c r="AY622" i="4"/>
  <c r="AY621" i="4"/>
  <c r="AY620" i="4"/>
  <c r="AY619" i="4"/>
  <c r="AY618" i="4"/>
  <c r="AY617" i="4"/>
  <c r="AY616" i="4"/>
  <c r="AY615" i="4"/>
  <c r="AY614" i="4"/>
  <c r="AY613" i="4"/>
  <c r="AY612" i="4"/>
  <c r="AY611" i="4"/>
  <c r="AY610" i="4"/>
  <c r="AY609" i="4"/>
  <c r="AY608" i="4"/>
  <c r="AY607" i="4"/>
  <c r="AY606" i="4"/>
  <c r="AY605" i="4"/>
  <c r="AY604" i="4"/>
  <c r="AY603" i="4"/>
  <c r="AY602" i="4"/>
  <c r="AY601" i="4"/>
  <c r="AY600" i="4"/>
  <c r="AY599" i="4"/>
  <c r="AY598" i="4"/>
  <c r="AY597" i="4"/>
  <c r="AY596" i="4"/>
  <c r="AY595" i="4"/>
  <c r="AY594" i="4"/>
  <c r="AY593" i="4"/>
  <c r="AY592" i="4"/>
  <c r="AY591" i="4"/>
  <c r="AY590" i="4"/>
  <c r="AY589" i="4"/>
  <c r="AY588" i="4"/>
  <c r="AY587" i="4"/>
  <c r="AY586" i="4"/>
  <c r="AY585" i="4"/>
  <c r="AY584" i="4"/>
  <c r="AY583" i="4"/>
  <c r="AY582" i="4"/>
  <c r="AY581" i="4"/>
  <c r="AY580" i="4"/>
  <c r="AY579" i="4"/>
  <c r="AY578" i="4"/>
  <c r="AY577" i="4"/>
  <c r="AY576" i="4"/>
  <c r="AY575" i="4"/>
  <c r="AY574" i="4"/>
  <c r="AY573" i="4"/>
  <c r="AY572" i="4"/>
  <c r="AY571" i="4"/>
  <c r="AY570" i="4"/>
  <c r="AY569" i="4"/>
  <c r="AY568" i="4"/>
  <c r="AY567" i="4"/>
  <c r="AY566" i="4"/>
  <c r="AY565" i="4"/>
  <c r="AY564" i="4"/>
  <c r="AY563" i="4"/>
  <c r="AY562" i="4"/>
  <c r="AY561" i="4"/>
  <c r="AY560" i="4"/>
  <c r="AY559" i="4"/>
  <c r="AY558" i="4"/>
  <c r="AY557" i="4"/>
  <c r="AY556" i="4"/>
  <c r="AY555" i="4"/>
  <c r="AY554" i="4"/>
  <c r="AY553" i="4"/>
  <c r="AY552" i="4"/>
  <c r="AY551" i="4"/>
  <c r="AY550" i="4"/>
  <c r="AY549" i="4"/>
  <c r="AY548" i="4"/>
  <c r="AY547" i="4"/>
  <c r="AY546" i="4"/>
  <c r="AY545" i="4"/>
  <c r="AY544" i="4"/>
  <c r="AY543" i="4"/>
  <c r="AY542" i="4"/>
  <c r="AY541" i="4"/>
  <c r="AY540" i="4"/>
  <c r="AY539" i="4"/>
  <c r="AY538" i="4"/>
  <c r="AY537" i="4"/>
  <c r="AY536" i="4"/>
  <c r="AY535" i="4"/>
  <c r="AY534" i="4"/>
  <c r="AY533" i="4"/>
  <c r="AY532" i="4"/>
  <c r="AY531" i="4"/>
  <c r="AY530" i="4"/>
  <c r="AY529" i="4"/>
  <c r="AY528" i="4"/>
  <c r="AY527" i="4"/>
  <c r="AY526" i="4"/>
  <c r="AY525" i="4"/>
  <c r="AY524" i="4"/>
  <c r="AY523" i="4"/>
  <c r="AY522" i="4"/>
  <c r="AY521" i="4"/>
  <c r="AY520" i="4"/>
  <c r="AY519" i="4"/>
  <c r="AY518" i="4"/>
  <c r="AY517" i="4"/>
  <c r="AY516" i="4"/>
  <c r="AY515" i="4"/>
  <c r="AY514" i="4"/>
  <c r="AY513" i="4"/>
  <c r="AY512" i="4"/>
  <c r="AY511" i="4"/>
  <c r="AY510" i="4"/>
  <c r="AY509" i="4"/>
  <c r="AY508" i="4"/>
  <c r="AY507" i="4"/>
  <c r="AY506" i="4"/>
  <c r="AY505" i="4"/>
  <c r="AY504" i="4"/>
  <c r="AY503" i="4"/>
  <c r="AY502" i="4"/>
  <c r="AY501" i="4"/>
  <c r="AY500" i="4"/>
  <c r="AY499" i="4"/>
  <c r="AY498" i="4"/>
  <c r="AY497" i="4"/>
  <c r="AY496" i="4"/>
  <c r="AY495" i="4"/>
  <c r="AY494" i="4"/>
  <c r="AY493" i="4"/>
  <c r="AY492" i="4"/>
  <c r="AY491" i="4"/>
  <c r="AY490" i="4"/>
  <c r="AY489" i="4"/>
  <c r="AY488" i="4"/>
  <c r="AY487" i="4"/>
  <c r="AY486" i="4"/>
  <c r="AY485" i="4"/>
  <c r="AY484" i="4"/>
  <c r="AY483" i="4"/>
  <c r="AY482" i="4"/>
  <c r="AY481" i="4"/>
  <c r="AY480" i="4"/>
  <c r="AY479" i="4"/>
  <c r="AY478" i="4"/>
  <c r="AY477" i="4"/>
  <c r="AY476" i="4"/>
  <c r="AY475" i="4"/>
  <c r="AY474" i="4"/>
  <c r="AY473" i="4"/>
  <c r="AY472" i="4"/>
  <c r="AY471" i="4"/>
  <c r="AY470" i="4"/>
  <c r="AY469" i="4"/>
  <c r="AY468" i="4"/>
  <c r="AY467" i="4"/>
  <c r="AY466" i="4"/>
  <c r="AY465" i="4"/>
  <c r="AY464" i="4"/>
  <c r="AY463" i="4"/>
  <c r="AY462" i="4"/>
  <c r="AY461" i="4"/>
  <c r="AY460" i="4"/>
  <c r="AY459" i="4"/>
  <c r="AY458" i="4"/>
  <c r="AY457" i="4"/>
  <c r="AY456" i="4"/>
  <c r="AY455" i="4"/>
  <c r="AY454" i="4"/>
  <c r="AY453" i="4"/>
  <c r="AY452" i="4"/>
  <c r="AY451" i="4"/>
  <c r="AY450" i="4"/>
  <c r="AY449" i="4"/>
  <c r="AY448" i="4"/>
  <c r="AY447" i="4"/>
  <c r="AY446" i="4"/>
  <c r="AY445" i="4"/>
  <c r="AY444" i="4"/>
  <c r="AY443" i="4"/>
  <c r="AY442" i="4"/>
  <c r="AY441" i="4"/>
  <c r="AY440" i="4"/>
  <c r="AY439" i="4"/>
  <c r="AY438" i="4"/>
  <c r="AY437" i="4"/>
  <c r="AY436" i="4"/>
  <c r="AY435" i="4"/>
  <c r="AY434" i="4"/>
  <c r="AY433" i="4"/>
  <c r="AY432" i="4"/>
  <c r="AY431" i="4"/>
  <c r="AY430" i="4"/>
  <c r="AY429" i="4"/>
  <c r="AY428" i="4"/>
  <c r="AY427" i="4"/>
  <c r="AY426" i="4"/>
  <c r="AY425" i="4"/>
  <c r="AY424" i="4"/>
  <c r="AY423" i="4"/>
  <c r="AY422" i="4"/>
  <c r="AY421" i="4"/>
  <c r="AY420" i="4"/>
  <c r="AY419" i="4"/>
  <c r="AY418" i="4"/>
  <c r="AY417" i="4"/>
  <c r="AY416" i="4"/>
  <c r="AY415" i="4"/>
  <c r="AY414" i="4"/>
  <c r="AY413" i="4"/>
  <c r="AY412" i="4"/>
  <c r="AY411" i="4"/>
  <c r="AY410" i="4"/>
  <c r="AY409" i="4"/>
  <c r="AY408" i="4"/>
  <c r="AY407" i="4"/>
  <c r="AY406" i="4"/>
  <c r="AY405" i="4"/>
  <c r="AY404" i="4"/>
  <c r="AY403" i="4"/>
  <c r="AY402" i="4"/>
  <c r="AY401" i="4"/>
  <c r="AY400" i="4"/>
  <c r="AY399" i="4"/>
  <c r="AY398" i="4"/>
  <c r="AY397" i="4"/>
  <c r="AY396" i="4"/>
  <c r="AY395" i="4"/>
  <c r="AY394" i="4"/>
  <c r="AY393" i="4"/>
  <c r="AY392" i="4"/>
  <c r="AY391" i="4"/>
  <c r="AY390" i="4"/>
  <c r="AY389" i="4"/>
  <c r="AY388" i="4"/>
  <c r="AY387" i="4"/>
  <c r="AY386" i="4"/>
  <c r="AY385" i="4"/>
  <c r="AY384" i="4"/>
  <c r="AY383" i="4"/>
  <c r="AY382" i="4"/>
  <c r="AY381" i="4"/>
  <c r="AY380" i="4"/>
  <c r="AY379" i="4"/>
  <c r="AY378" i="4"/>
  <c r="AY377" i="4"/>
  <c r="AY376" i="4"/>
  <c r="AY375" i="4"/>
  <c r="AY374" i="4"/>
  <c r="AY373" i="4"/>
  <c r="AY372" i="4"/>
  <c r="AY371" i="4"/>
  <c r="AY370" i="4"/>
  <c r="AY369" i="4"/>
  <c r="AY368" i="4"/>
  <c r="AY367" i="4"/>
  <c r="AY366" i="4"/>
  <c r="AY365" i="4"/>
  <c r="AY364" i="4"/>
  <c r="AY363" i="4"/>
  <c r="AY362" i="4"/>
  <c r="AY361" i="4"/>
  <c r="AY360" i="4"/>
  <c r="AY359" i="4"/>
  <c r="AY358" i="4"/>
  <c r="AY357" i="4"/>
  <c r="AY356" i="4"/>
  <c r="AY355" i="4"/>
  <c r="AY354" i="4"/>
  <c r="AY353" i="4"/>
  <c r="AY352" i="4"/>
  <c r="AY351" i="4"/>
  <c r="AY350" i="4"/>
  <c r="AY349" i="4"/>
  <c r="AY348" i="4"/>
  <c r="AY347" i="4"/>
  <c r="AY346" i="4"/>
  <c r="AY345" i="4"/>
  <c r="AY344" i="4"/>
  <c r="AY343" i="4"/>
  <c r="AY342" i="4"/>
  <c r="AY341" i="4"/>
  <c r="AY340" i="4"/>
  <c r="AY339" i="4"/>
  <c r="AY338" i="4"/>
  <c r="AY337" i="4"/>
  <c r="AY336" i="4"/>
  <c r="AY335" i="4"/>
  <c r="AY334" i="4"/>
  <c r="AY333" i="4"/>
  <c r="AY332" i="4"/>
  <c r="AY331" i="4"/>
  <c r="AY330" i="4"/>
  <c r="AY329" i="4"/>
  <c r="AY328" i="4"/>
  <c r="AY327" i="4"/>
  <c r="AY326" i="4"/>
  <c r="AY325" i="4"/>
  <c r="AY324" i="4"/>
  <c r="AY323" i="4"/>
  <c r="AY322" i="4"/>
  <c r="AY321" i="4"/>
  <c r="AY320" i="4"/>
  <c r="AY319" i="4"/>
  <c r="AY318" i="4"/>
  <c r="AY317" i="4"/>
  <c r="AY316" i="4"/>
  <c r="AY315" i="4"/>
  <c r="AY314" i="4"/>
  <c r="AY313" i="4"/>
  <c r="AY312" i="4"/>
  <c r="AY311" i="4"/>
  <c r="AY310" i="4"/>
  <c r="AY309" i="4"/>
  <c r="AY308" i="4"/>
  <c r="AY307" i="4"/>
  <c r="AY306" i="4"/>
  <c r="AY305" i="4"/>
  <c r="AY304" i="4"/>
  <c r="AY303" i="4"/>
  <c r="AY302" i="4"/>
  <c r="AY301" i="4"/>
  <c r="AY300" i="4"/>
  <c r="AY299" i="4"/>
  <c r="AY298" i="4"/>
  <c r="AY297" i="4"/>
  <c r="AY296" i="4"/>
  <c r="AY295" i="4"/>
  <c r="AY294" i="4"/>
  <c r="AY293" i="4"/>
  <c r="AY292" i="4"/>
  <c r="AY291" i="4"/>
  <c r="AY290" i="4"/>
  <c r="AY289" i="4"/>
  <c r="AY288" i="4"/>
  <c r="AY287" i="4"/>
  <c r="AY286" i="4"/>
  <c r="AY285" i="4"/>
  <c r="AY284" i="4"/>
  <c r="AY283" i="4"/>
  <c r="AY282" i="4"/>
  <c r="AY281" i="4"/>
  <c r="AY280" i="4"/>
  <c r="AY279" i="4"/>
  <c r="AY278" i="4"/>
  <c r="AY277" i="4"/>
  <c r="AY276" i="4"/>
  <c r="AY275" i="4"/>
  <c r="AY274" i="4"/>
  <c r="AY273" i="4"/>
  <c r="AY272" i="4"/>
  <c r="AY271" i="4"/>
  <c r="AY270" i="4"/>
  <c r="AY269" i="4"/>
  <c r="AY268" i="4"/>
  <c r="AY267" i="4"/>
  <c r="AY266" i="4"/>
  <c r="AY265" i="4"/>
  <c r="AY264" i="4"/>
  <c r="AY263" i="4"/>
  <c r="AY262" i="4"/>
  <c r="AY261" i="4"/>
  <c r="AY260" i="4"/>
  <c r="AY259" i="4"/>
  <c r="AY258" i="4"/>
  <c r="AY257" i="4"/>
  <c r="AY256" i="4"/>
  <c r="AY255" i="4"/>
  <c r="AY254" i="4"/>
  <c r="AY253" i="4"/>
  <c r="AY252" i="4"/>
  <c r="AY251" i="4"/>
  <c r="AY250" i="4"/>
  <c r="AY249" i="4"/>
  <c r="AY248" i="4"/>
  <c r="AY247" i="4"/>
  <c r="AY246" i="4"/>
  <c r="AY245" i="4"/>
  <c r="AY244" i="4"/>
  <c r="AY243" i="4"/>
  <c r="AY242" i="4"/>
  <c r="AY241" i="4"/>
  <c r="AY240" i="4"/>
  <c r="AY239" i="4"/>
  <c r="AY238" i="4"/>
  <c r="AY237" i="4"/>
  <c r="AY236" i="4"/>
  <c r="AY235" i="4"/>
  <c r="AY234" i="4"/>
  <c r="AY233" i="4"/>
  <c r="AY232" i="4"/>
  <c r="AY231" i="4"/>
  <c r="AY230" i="4"/>
  <c r="AY229" i="4"/>
  <c r="AY228" i="4"/>
  <c r="AY227" i="4"/>
  <c r="AY226" i="4"/>
  <c r="AY225" i="4"/>
  <c r="AY224" i="4"/>
  <c r="AY223" i="4"/>
  <c r="AY222" i="4"/>
  <c r="AY221" i="4"/>
  <c r="AY220" i="4"/>
  <c r="AY219" i="4"/>
  <c r="AY218" i="4"/>
  <c r="AY217" i="4"/>
  <c r="AY216" i="4"/>
  <c r="AY215" i="4"/>
  <c r="AY214" i="4"/>
  <c r="AY213" i="4"/>
  <c r="AY212" i="4"/>
  <c r="AY211" i="4"/>
  <c r="AY210" i="4"/>
  <c r="AY209" i="4"/>
  <c r="AY208" i="4"/>
  <c r="AY207" i="4"/>
  <c r="AY206" i="4"/>
  <c r="AY205" i="4"/>
  <c r="AY204" i="4"/>
  <c r="AY203" i="4"/>
  <c r="AY202" i="4"/>
  <c r="AY201" i="4"/>
  <c r="AY200" i="4"/>
  <c r="AY199" i="4"/>
  <c r="AY198" i="4"/>
  <c r="AY197" i="4"/>
  <c r="AY196" i="4"/>
  <c r="AY195" i="4"/>
  <c r="AY194" i="4"/>
  <c r="AY193" i="4"/>
  <c r="AY192" i="4"/>
  <c r="AY191" i="4"/>
  <c r="AY190" i="4"/>
  <c r="AY189" i="4"/>
  <c r="AY188" i="4"/>
  <c r="AY187" i="4"/>
  <c r="AY186" i="4"/>
  <c r="AY185" i="4"/>
  <c r="AY184" i="4"/>
  <c r="AY183" i="4"/>
  <c r="AY182" i="4"/>
  <c r="AY181" i="4"/>
  <c r="AY180" i="4"/>
  <c r="AY179" i="4"/>
  <c r="AY178" i="4"/>
  <c r="AY177" i="4"/>
  <c r="AY176" i="4"/>
  <c r="AY175" i="4"/>
  <c r="AY174" i="4"/>
  <c r="AY173" i="4"/>
  <c r="AY172" i="4"/>
  <c r="AY171" i="4"/>
  <c r="AY170" i="4"/>
  <c r="AY169" i="4"/>
  <c r="AY168" i="4"/>
  <c r="AY167" i="4"/>
  <c r="AY166" i="4"/>
  <c r="AY165" i="4"/>
  <c r="AY164" i="4"/>
  <c r="AY163" i="4"/>
  <c r="AY162" i="4"/>
  <c r="AY161" i="4"/>
  <c r="AY160" i="4"/>
  <c r="AY159" i="4"/>
  <c r="AY158" i="4"/>
  <c r="AY157" i="4"/>
  <c r="AY156" i="4"/>
  <c r="AY155" i="4"/>
  <c r="AY154" i="4"/>
  <c r="AY153" i="4"/>
  <c r="AY152" i="4"/>
  <c r="AY151" i="4"/>
  <c r="AY150" i="4"/>
  <c r="AY149" i="4"/>
  <c r="AY148" i="4"/>
  <c r="AY147" i="4"/>
  <c r="AY146" i="4"/>
  <c r="AY145" i="4"/>
  <c r="AY144" i="4"/>
  <c r="AY143" i="4"/>
  <c r="AY142" i="4"/>
  <c r="AY141" i="4"/>
  <c r="AY140" i="4"/>
  <c r="AY139" i="4"/>
  <c r="AY138" i="4"/>
  <c r="AY137" i="4"/>
  <c r="AY136" i="4"/>
  <c r="AY135" i="4"/>
  <c r="AY134" i="4"/>
  <c r="AY133" i="4"/>
  <c r="AY132" i="4"/>
  <c r="AY131" i="4"/>
  <c r="AY130" i="4"/>
  <c r="AY129" i="4"/>
  <c r="AY128" i="4"/>
  <c r="AY127" i="4"/>
  <c r="AY126" i="4"/>
  <c r="AY125" i="4"/>
  <c r="AY124" i="4"/>
  <c r="AY123" i="4"/>
  <c r="AY122" i="4"/>
  <c r="AY121" i="4"/>
  <c r="AY120" i="4"/>
  <c r="AY119" i="4"/>
  <c r="AY118" i="4"/>
  <c r="AY117" i="4"/>
  <c r="AY116" i="4"/>
  <c r="AY115" i="4"/>
  <c r="AY114" i="4"/>
  <c r="AY113" i="4"/>
  <c r="AY112" i="4"/>
  <c r="AY111" i="4"/>
  <c r="AY110" i="4"/>
  <c r="AY109" i="4"/>
  <c r="AY108" i="4"/>
  <c r="AY107" i="4"/>
  <c r="AY106" i="4"/>
  <c r="AY105" i="4"/>
  <c r="AY104" i="4"/>
  <c r="AY103" i="4"/>
  <c r="AY102" i="4"/>
  <c r="AY101" i="4"/>
  <c r="AY100" i="4"/>
  <c r="AY99" i="4"/>
  <c r="AY98" i="4"/>
  <c r="AY97" i="4"/>
  <c r="AY96" i="4"/>
  <c r="AY95" i="4"/>
  <c r="AY94" i="4"/>
  <c r="AY93" i="4"/>
  <c r="AY92" i="4"/>
  <c r="AY91" i="4"/>
  <c r="AY90" i="4"/>
  <c r="AY89" i="4"/>
  <c r="AY88" i="4"/>
  <c r="AY87" i="4"/>
  <c r="AY86" i="4"/>
  <c r="AY85" i="4"/>
  <c r="AY84" i="4"/>
  <c r="AY83" i="4"/>
  <c r="AY82" i="4"/>
  <c r="AY81" i="4"/>
  <c r="AY80" i="4"/>
  <c r="AY79" i="4"/>
  <c r="AY78" i="4"/>
  <c r="AY77" i="4"/>
  <c r="AY76" i="4"/>
  <c r="AY75" i="4"/>
  <c r="AY74" i="4"/>
  <c r="AY73" i="4"/>
  <c r="AY72" i="4"/>
  <c r="AY71" i="4"/>
  <c r="AY70" i="4"/>
  <c r="AY69" i="4"/>
  <c r="AY68" i="4"/>
  <c r="AY67" i="4"/>
  <c r="AY66" i="4"/>
  <c r="AY65" i="4"/>
  <c r="AY64" i="4"/>
  <c r="AY63" i="4"/>
  <c r="AY62" i="4"/>
  <c r="AY61" i="4"/>
  <c r="AY60" i="4"/>
  <c r="AY59" i="4"/>
  <c r="AY58" i="4"/>
  <c r="AY57" i="4"/>
  <c r="AY56" i="4"/>
  <c r="AY55" i="4"/>
  <c r="AY54" i="4"/>
  <c r="AY53" i="4"/>
  <c r="AY52" i="4"/>
  <c r="AY51" i="4"/>
  <c r="AY50" i="4"/>
  <c r="AY49" i="4"/>
  <c r="AY48" i="4"/>
  <c r="AY47" i="4"/>
  <c r="AY46" i="4"/>
  <c r="AY45" i="4"/>
  <c r="AY44" i="4"/>
  <c r="AY43" i="4"/>
  <c r="AY42" i="4"/>
  <c r="AY41" i="4"/>
  <c r="AY40" i="4"/>
  <c r="AY39" i="4"/>
  <c r="AY38" i="4"/>
  <c r="AY37" i="4"/>
  <c r="AY36" i="4"/>
  <c r="AY35" i="4"/>
  <c r="AY34" i="4"/>
  <c r="AY33" i="4"/>
  <c r="AY32" i="4"/>
  <c r="AY31" i="4"/>
  <c r="AY30" i="4"/>
  <c r="AY29" i="4"/>
  <c r="AY28" i="4"/>
  <c r="AY27" i="4"/>
  <c r="AY26" i="4"/>
  <c r="AY25" i="4"/>
  <c r="AY24" i="4"/>
  <c r="AY23" i="4"/>
  <c r="AY22" i="4"/>
  <c r="AY21" i="4"/>
  <c r="AY20" i="4"/>
  <c r="AY19" i="4"/>
  <c r="AY18" i="4"/>
  <c r="AY17" i="4"/>
  <c r="AY16" i="4"/>
  <c r="AY15" i="4"/>
  <c r="AY14" i="4"/>
  <c r="AY13" i="4"/>
  <c r="AY12" i="4"/>
  <c r="AY11" i="4"/>
  <c r="AY10" i="4"/>
  <c r="AY9" i="4"/>
  <c r="AY8" i="4"/>
  <c r="AY7" i="4"/>
  <c r="AY6" i="4"/>
  <c r="AQ21" i="4"/>
  <c r="AQ34" i="4"/>
  <c r="AQ47" i="4"/>
  <c r="AQ60" i="4"/>
  <c r="AQ86" i="4"/>
  <c r="AQ99" i="4"/>
  <c r="AQ35" i="4"/>
  <c r="AQ48" i="4"/>
  <c r="AQ87" i="4"/>
  <c r="AQ100" i="4"/>
  <c r="E107" i="3"/>
  <c r="N108" i="3"/>
  <c r="K108" i="3"/>
  <c r="H108" i="3"/>
  <c r="E108" i="3"/>
  <c r="AQ101" i="4"/>
  <c r="AQ88" i="4"/>
  <c r="AQ49" i="4"/>
  <c r="AQ36" i="4"/>
  <c r="AQ89" i="4"/>
  <c r="AQ37" i="4"/>
  <c r="AQ50" i="4"/>
  <c r="AQ102" i="4"/>
  <c r="AQ38" i="4"/>
  <c r="AQ103" i="4"/>
  <c r="AQ51" i="4"/>
  <c r="AQ90" i="4"/>
  <c r="AQ40" i="4"/>
  <c r="AQ39" i="4"/>
  <c r="AQ53" i="4"/>
  <c r="AQ52" i="4"/>
  <c r="AQ92" i="4"/>
  <c r="AQ91" i="4"/>
  <c r="AQ105" i="4"/>
  <c r="AQ104" i="4"/>
  <c r="I117" i="13"/>
  <c r="H117" i="13"/>
  <c r="G117" i="13"/>
  <c r="F117" i="13"/>
  <c r="AO5127" i="4"/>
  <c r="AN5127" i="4"/>
  <c r="AM5127" i="4"/>
  <c r="BH5127" i="4"/>
  <c r="AX4127" i="4"/>
  <c r="AW4127" i="4"/>
  <c r="AV4127" i="4"/>
  <c r="AP4127" i="4"/>
  <c r="AO4127" i="4"/>
  <c r="AN4127" i="4"/>
  <c r="AM4127" i="4"/>
  <c r="BH4127" i="4"/>
  <c r="AX3127" i="4"/>
  <c r="AW3127" i="4"/>
  <c r="AV3127" i="4"/>
  <c r="AP3127" i="4"/>
  <c r="AO3127" i="4"/>
  <c r="AN3127" i="4"/>
  <c r="AM3127" i="4"/>
  <c r="BH3127" i="4"/>
  <c r="AX2127" i="4"/>
  <c r="AW2127" i="4"/>
  <c r="AV2127" i="4"/>
  <c r="AP2127" i="4"/>
  <c r="AO2127" i="4"/>
  <c r="AN2127" i="4"/>
  <c r="AM2127" i="4"/>
  <c r="BH2127" i="4"/>
  <c r="AX1279" i="4"/>
  <c r="AW1279" i="4"/>
  <c r="AV1279" i="4"/>
  <c r="AP1279" i="4"/>
  <c r="AO1279" i="4"/>
  <c r="AN1279" i="4"/>
  <c r="AM1279" i="4"/>
  <c r="BH1279" i="4"/>
  <c r="AX1278" i="4"/>
  <c r="AW1278" i="4"/>
  <c r="AV1278" i="4"/>
  <c r="AP1278" i="4"/>
  <c r="AO1278" i="4"/>
  <c r="AN1278" i="4"/>
  <c r="AM1278" i="4"/>
  <c r="BH1278" i="4"/>
  <c r="AX1277" i="4"/>
  <c r="AW1277" i="4"/>
  <c r="AV1277" i="4"/>
  <c r="AP1277" i="4"/>
  <c r="AO1277" i="4"/>
  <c r="AN1277" i="4"/>
  <c r="AM1277" i="4"/>
  <c r="BH1277" i="4"/>
  <c r="AX1276" i="4"/>
  <c r="AW1276" i="4"/>
  <c r="AV1276" i="4"/>
  <c r="AP1276" i="4"/>
  <c r="AO1276" i="4"/>
  <c r="AN1276" i="4"/>
  <c r="AM1276" i="4"/>
  <c r="BH1276" i="4"/>
  <c r="AX1275" i="4"/>
  <c r="AW1275" i="4"/>
  <c r="AV1275" i="4"/>
  <c r="AP1275" i="4"/>
  <c r="AO1275" i="4"/>
  <c r="AN1275" i="4"/>
  <c r="AM1275" i="4"/>
  <c r="BH1275" i="4"/>
  <c r="AX1274" i="4"/>
  <c r="AW1274" i="4"/>
  <c r="AV1274" i="4"/>
  <c r="AP1274" i="4"/>
  <c r="AO1274" i="4"/>
  <c r="AN1274" i="4"/>
  <c r="AM1274" i="4"/>
  <c r="BH1274" i="4"/>
  <c r="AX1273" i="4"/>
  <c r="AW1273" i="4"/>
  <c r="AV1273" i="4"/>
  <c r="AP1273" i="4"/>
  <c r="AO1273" i="4"/>
  <c r="AN1273" i="4"/>
  <c r="AM1273" i="4"/>
  <c r="BH1273" i="4"/>
  <c r="AX1272" i="4"/>
  <c r="AW1272" i="4"/>
  <c r="AV1272" i="4"/>
  <c r="AP1272" i="4"/>
  <c r="AO1272" i="4"/>
  <c r="AN1272" i="4"/>
  <c r="AM1272" i="4"/>
  <c r="BH1272" i="4"/>
  <c r="AX1271" i="4"/>
  <c r="AW1271" i="4"/>
  <c r="AV1271" i="4"/>
  <c r="AP1271" i="4"/>
  <c r="AO1271" i="4"/>
  <c r="AN1271" i="4"/>
  <c r="AM1271" i="4"/>
  <c r="BH1271" i="4"/>
  <c r="AX1270" i="4"/>
  <c r="AW1270" i="4"/>
  <c r="AV1270" i="4"/>
  <c r="AP1270" i="4"/>
  <c r="AO1270" i="4"/>
  <c r="AN1270" i="4"/>
  <c r="AM1270" i="4"/>
  <c r="BH1270" i="4"/>
  <c r="AX1127" i="4"/>
  <c r="AW1127" i="4"/>
  <c r="AV1127" i="4"/>
  <c r="AP1127" i="4"/>
  <c r="AO1127" i="4"/>
  <c r="AN1127" i="4"/>
  <c r="AM1127" i="4"/>
  <c r="BH1127" i="4"/>
  <c r="AX127" i="4"/>
  <c r="AW127" i="4"/>
  <c r="AV127" i="4"/>
  <c r="AX5127" i="4"/>
  <c r="AW5127" i="4"/>
  <c r="AV5127" i="4"/>
  <c r="AP5127" i="4"/>
  <c r="I39" i="13"/>
  <c r="I89" i="13" s="1"/>
  <c r="J39" i="13"/>
  <c r="J89" i="13" s="1"/>
  <c r="H39" i="13"/>
  <c r="G39" i="13"/>
  <c r="G46" i="13" s="1"/>
  <c r="C3" i="13"/>
  <c r="C2" i="13"/>
  <c r="D30" i="6"/>
  <c r="B13" i="14" s="1"/>
  <c r="B53" i="11"/>
  <c r="R42" i="12"/>
  <c r="Q42" i="12"/>
  <c r="P42" i="12"/>
  <c r="O42" i="12"/>
  <c r="N42" i="12"/>
  <c r="M42" i="12"/>
  <c r="L42" i="12"/>
  <c r="K42" i="12"/>
  <c r="J42" i="12"/>
  <c r="I42" i="12"/>
  <c r="H42" i="12"/>
  <c r="G42" i="12"/>
  <c r="F42" i="12"/>
  <c r="R41" i="12"/>
  <c r="Q41" i="12"/>
  <c r="P41" i="12"/>
  <c r="O41" i="12"/>
  <c r="N41" i="12"/>
  <c r="M41" i="12"/>
  <c r="L41" i="12"/>
  <c r="K41" i="12"/>
  <c r="J41" i="12"/>
  <c r="I41" i="12"/>
  <c r="H41" i="12"/>
  <c r="G41" i="12"/>
  <c r="F41" i="12"/>
  <c r="R40" i="12"/>
  <c r="Q40" i="12"/>
  <c r="P40" i="12"/>
  <c r="O40" i="12"/>
  <c r="N40" i="12"/>
  <c r="M40" i="12"/>
  <c r="L40" i="12"/>
  <c r="K40" i="12"/>
  <c r="J40" i="12"/>
  <c r="I40" i="12"/>
  <c r="H40" i="12"/>
  <c r="G40" i="12"/>
  <c r="F40" i="12"/>
  <c r="R39" i="12"/>
  <c r="Q39" i="12"/>
  <c r="P39" i="12"/>
  <c r="O39" i="12"/>
  <c r="N39" i="12"/>
  <c r="M39" i="12"/>
  <c r="L39" i="12"/>
  <c r="K39" i="12"/>
  <c r="J39" i="12"/>
  <c r="I39" i="12"/>
  <c r="H39" i="12"/>
  <c r="G39" i="12"/>
  <c r="F39" i="12"/>
  <c r="R38" i="12"/>
  <c r="Q38" i="12"/>
  <c r="P38" i="12"/>
  <c r="O38" i="12"/>
  <c r="N38" i="12"/>
  <c r="M38" i="12"/>
  <c r="L38" i="12"/>
  <c r="K38" i="12"/>
  <c r="J38" i="12"/>
  <c r="I38" i="12"/>
  <c r="H38" i="12"/>
  <c r="G38" i="12"/>
  <c r="F38" i="12"/>
  <c r="R37" i="12"/>
  <c r="Q37" i="12"/>
  <c r="P37" i="12"/>
  <c r="O37" i="12"/>
  <c r="N37" i="12"/>
  <c r="M37" i="12"/>
  <c r="L37" i="12"/>
  <c r="K37" i="12"/>
  <c r="J37" i="12"/>
  <c r="I37" i="12"/>
  <c r="H37" i="12"/>
  <c r="G37" i="12"/>
  <c r="F37" i="12"/>
  <c r="R36" i="12"/>
  <c r="Q36" i="12"/>
  <c r="P36" i="12"/>
  <c r="O36" i="12"/>
  <c r="N36" i="12"/>
  <c r="M36" i="12"/>
  <c r="L36" i="12"/>
  <c r="K36" i="12"/>
  <c r="J36" i="12"/>
  <c r="I36" i="12"/>
  <c r="H36" i="12"/>
  <c r="G36" i="12"/>
  <c r="F36" i="12"/>
  <c r="R35" i="12"/>
  <c r="Q35" i="12"/>
  <c r="P35" i="12"/>
  <c r="O35" i="12"/>
  <c r="N35" i="12"/>
  <c r="M35" i="12"/>
  <c r="L35" i="12"/>
  <c r="K35" i="12"/>
  <c r="J35" i="12"/>
  <c r="I35" i="12"/>
  <c r="H35" i="12"/>
  <c r="G35" i="12"/>
  <c r="F35" i="12"/>
  <c r="R34" i="12"/>
  <c r="Q34" i="12"/>
  <c r="P34" i="12"/>
  <c r="O34" i="12"/>
  <c r="N34" i="12"/>
  <c r="M34" i="12"/>
  <c r="L34" i="12"/>
  <c r="K34" i="12"/>
  <c r="J34" i="12"/>
  <c r="I34" i="12"/>
  <c r="H34" i="12"/>
  <c r="G34" i="12"/>
  <c r="F34" i="12"/>
  <c r="R33" i="12"/>
  <c r="Q33" i="12"/>
  <c r="P33" i="12"/>
  <c r="O33" i="12"/>
  <c r="N33" i="12"/>
  <c r="M33" i="12"/>
  <c r="L33" i="12"/>
  <c r="K33" i="12"/>
  <c r="J33" i="12"/>
  <c r="I33" i="12"/>
  <c r="H33" i="12"/>
  <c r="G33" i="12"/>
  <c r="F33" i="12"/>
  <c r="R32" i="12"/>
  <c r="Q32" i="12"/>
  <c r="P32" i="12"/>
  <c r="O32" i="12"/>
  <c r="N32" i="12"/>
  <c r="M32" i="12"/>
  <c r="L32" i="12"/>
  <c r="K32" i="12"/>
  <c r="J32" i="12"/>
  <c r="I32" i="12"/>
  <c r="H32" i="12"/>
  <c r="G32" i="12"/>
  <c r="F32" i="12"/>
  <c r="R31" i="12"/>
  <c r="Q31" i="12"/>
  <c r="P31" i="12"/>
  <c r="O31" i="12"/>
  <c r="N31" i="12"/>
  <c r="M31" i="12"/>
  <c r="L31" i="12"/>
  <c r="K31" i="12"/>
  <c r="J31" i="12"/>
  <c r="I31" i="12"/>
  <c r="H31" i="12"/>
  <c r="G31" i="12"/>
  <c r="F31" i="12"/>
  <c r="R30" i="12"/>
  <c r="Q30" i="12"/>
  <c r="P30" i="12"/>
  <c r="O30" i="12"/>
  <c r="N30" i="12"/>
  <c r="M30" i="12"/>
  <c r="L30" i="12"/>
  <c r="K30" i="12"/>
  <c r="J30" i="12"/>
  <c r="I30" i="12"/>
  <c r="H30" i="12"/>
  <c r="G30" i="12"/>
  <c r="F30" i="12"/>
  <c r="R29" i="12"/>
  <c r="Q29" i="12"/>
  <c r="P29" i="12"/>
  <c r="O29" i="12"/>
  <c r="N29" i="12"/>
  <c r="M29" i="12"/>
  <c r="L29" i="12"/>
  <c r="K29" i="12"/>
  <c r="J29" i="12"/>
  <c r="I29" i="12"/>
  <c r="H29" i="12"/>
  <c r="G29" i="12"/>
  <c r="F29" i="12"/>
  <c r="R28" i="12"/>
  <c r="Q28" i="12"/>
  <c r="P28" i="12"/>
  <c r="O28" i="12"/>
  <c r="N28" i="12"/>
  <c r="M28" i="12"/>
  <c r="L28" i="12"/>
  <c r="K28" i="12"/>
  <c r="J28" i="12"/>
  <c r="I28" i="12"/>
  <c r="H28" i="12"/>
  <c r="G28" i="12"/>
  <c r="F28" i="12"/>
  <c r="R27" i="12"/>
  <c r="Q27" i="12"/>
  <c r="P27" i="12"/>
  <c r="O27" i="12"/>
  <c r="N27" i="12"/>
  <c r="M27" i="12"/>
  <c r="L27" i="12"/>
  <c r="K27" i="12"/>
  <c r="J27" i="12"/>
  <c r="I27" i="12"/>
  <c r="H27" i="12"/>
  <c r="G27" i="12"/>
  <c r="F27" i="12"/>
  <c r="R26" i="12"/>
  <c r="Q26" i="12"/>
  <c r="P26" i="12"/>
  <c r="O26" i="12"/>
  <c r="N26" i="12"/>
  <c r="M26" i="12"/>
  <c r="L26" i="12"/>
  <c r="K26" i="12"/>
  <c r="J26" i="12"/>
  <c r="I26" i="12"/>
  <c r="H26" i="12"/>
  <c r="G26" i="12"/>
  <c r="F26" i="12"/>
  <c r="R25" i="12"/>
  <c r="Q25" i="12"/>
  <c r="P25" i="12"/>
  <c r="O25" i="12"/>
  <c r="N25" i="12"/>
  <c r="M25" i="12"/>
  <c r="L25" i="12"/>
  <c r="K25" i="12"/>
  <c r="J25" i="12"/>
  <c r="I25" i="12"/>
  <c r="H25" i="12"/>
  <c r="G25" i="12"/>
  <c r="F25" i="12"/>
  <c r="U86" i="9"/>
  <c r="O86" i="9"/>
  <c r="I86" i="9"/>
  <c r="C86" i="9"/>
  <c r="Q3" i="8"/>
  <c r="L3" i="8"/>
  <c r="U129" i="9"/>
  <c r="U128" i="9"/>
  <c r="U127" i="9"/>
  <c r="U126" i="9"/>
  <c r="U125" i="9"/>
  <c r="U124" i="9"/>
  <c r="U123" i="9"/>
  <c r="U122" i="9"/>
  <c r="O129" i="9"/>
  <c r="O128" i="9"/>
  <c r="O127" i="9"/>
  <c r="O126" i="9"/>
  <c r="O125" i="9"/>
  <c r="O124" i="9"/>
  <c r="O123" i="9"/>
  <c r="O122" i="9"/>
  <c r="I129" i="9"/>
  <c r="I128" i="9"/>
  <c r="I127" i="9"/>
  <c r="I126" i="9"/>
  <c r="I125" i="9"/>
  <c r="I124" i="9"/>
  <c r="I123" i="9"/>
  <c r="I122" i="9"/>
  <c r="C129" i="9"/>
  <c r="C128" i="9"/>
  <c r="C127" i="9"/>
  <c r="C126" i="9"/>
  <c r="C125" i="9"/>
  <c r="C124" i="9"/>
  <c r="C123" i="9"/>
  <c r="C122" i="9"/>
  <c r="C147" i="2"/>
  <c r="C18" i="6"/>
  <c r="B3" i="14" s="1"/>
  <c r="T24" i="8"/>
  <c r="O24" i="8"/>
  <c r="J24" i="8"/>
  <c r="E24" i="8"/>
  <c r="T22" i="8"/>
  <c r="O22" i="8"/>
  <c r="J22" i="8"/>
  <c r="E22" i="8"/>
  <c r="T20" i="8"/>
  <c r="O20" i="8"/>
  <c r="J20" i="8"/>
  <c r="E20" i="8"/>
  <c r="C172" i="2"/>
  <c r="C171" i="2"/>
  <c r="C170" i="2"/>
  <c r="I153" i="2"/>
  <c r="H153" i="2"/>
  <c r="G153" i="2"/>
  <c r="J153" i="2"/>
  <c r="M153" i="2"/>
  <c r="L153" i="2"/>
  <c r="K153" i="2"/>
  <c r="N153" i="2"/>
  <c r="N138" i="2"/>
  <c r="M138" i="2"/>
  <c r="L138" i="2"/>
  <c r="K138" i="2"/>
  <c r="J138" i="2"/>
  <c r="I138" i="2"/>
  <c r="H138" i="2"/>
  <c r="G138" i="2"/>
  <c r="B156" i="9"/>
  <c r="AR164" i="2"/>
  <c r="AQ164" i="2"/>
  <c r="AP164" i="2"/>
  <c r="AO164" i="2"/>
  <c r="AN164" i="2"/>
  <c r="AM164" i="2"/>
  <c r="AL164" i="2"/>
  <c r="AK164" i="2"/>
  <c r="AJ164" i="2"/>
  <c r="AI164" i="2"/>
  <c r="AH164" i="2"/>
  <c r="AG164" i="2"/>
  <c r="AF164" i="2"/>
  <c r="AE164" i="2"/>
  <c r="AD164" i="2"/>
  <c r="AC164" i="2"/>
  <c r="AB164" i="2"/>
  <c r="AA164" i="2"/>
  <c r="Z164" i="2"/>
  <c r="Y164" i="2"/>
  <c r="X164" i="2"/>
  <c r="W164" i="2"/>
  <c r="V164" i="2"/>
  <c r="U164" i="2"/>
  <c r="T164" i="2"/>
  <c r="S164" i="2"/>
  <c r="R164" i="2"/>
  <c r="Q164" i="2"/>
  <c r="P164" i="2"/>
  <c r="O164" i="2"/>
  <c r="N164" i="2"/>
  <c r="M164" i="2"/>
  <c r="L164" i="2"/>
  <c r="K164" i="2"/>
  <c r="J164" i="2"/>
  <c r="I164" i="2"/>
  <c r="H164" i="2"/>
  <c r="G164" i="2"/>
  <c r="F164" i="2"/>
  <c r="E164" i="2"/>
  <c r="D164" i="2"/>
  <c r="C164" i="2"/>
  <c r="AR163" i="2"/>
  <c r="AQ163" i="2"/>
  <c r="AP163" i="2"/>
  <c r="AO163" i="2"/>
  <c r="AN163" i="2"/>
  <c r="AM163" i="2"/>
  <c r="AL163" i="2"/>
  <c r="AK163" i="2"/>
  <c r="AJ163" i="2"/>
  <c r="AI163" i="2"/>
  <c r="AH163" i="2"/>
  <c r="AG163" i="2"/>
  <c r="AF163" i="2"/>
  <c r="AE163" i="2"/>
  <c r="AD163" i="2"/>
  <c r="AC163" i="2"/>
  <c r="AB163" i="2"/>
  <c r="AA163" i="2"/>
  <c r="Z163" i="2"/>
  <c r="Y163" i="2"/>
  <c r="X163" i="2"/>
  <c r="W163" i="2"/>
  <c r="V163" i="2"/>
  <c r="U163" i="2"/>
  <c r="T163" i="2"/>
  <c r="S163" i="2"/>
  <c r="R163" i="2"/>
  <c r="Q163" i="2"/>
  <c r="P163" i="2"/>
  <c r="O163" i="2"/>
  <c r="N163" i="2"/>
  <c r="M163" i="2"/>
  <c r="L163" i="2"/>
  <c r="K163" i="2"/>
  <c r="J163" i="2"/>
  <c r="I163" i="2"/>
  <c r="H163" i="2"/>
  <c r="G163" i="2"/>
  <c r="F163" i="2"/>
  <c r="E163" i="2"/>
  <c r="D163" i="2"/>
  <c r="C163" i="2"/>
  <c r="AR162" i="2"/>
  <c r="AQ162" i="2"/>
  <c r="AP162" i="2"/>
  <c r="AO162" i="2"/>
  <c r="AN162" i="2"/>
  <c r="AM162" i="2"/>
  <c r="AL162" i="2"/>
  <c r="AK162" i="2"/>
  <c r="AJ162" i="2"/>
  <c r="AI162" i="2"/>
  <c r="AH162" i="2"/>
  <c r="AG162" i="2"/>
  <c r="AF162" i="2"/>
  <c r="AE162" i="2"/>
  <c r="AD162" i="2"/>
  <c r="AC162" i="2"/>
  <c r="AB162" i="2"/>
  <c r="AA162" i="2"/>
  <c r="Z162" i="2"/>
  <c r="Y162" i="2"/>
  <c r="X162" i="2"/>
  <c r="W162" i="2"/>
  <c r="V162" i="2"/>
  <c r="U162" i="2"/>
  <c r="T162" i="2"/>
  <c r="S162" i="2"/>
  <c r="R162" i="2"/>
  <c r="Q162" i="2"/>
  <c r="P162" i="2"/>
  <c r="O162" i="2"/>
  <c r="N162" i="2"/>
  <c r="M162" i="2"/>
  <c r="L162" i="2"/>
  <c r="K162" i="2"/>
  <c r="J162" i="2"/>
  <c r="I162" i="2"/>
  <c r="H162" i="2"/>
  <c r="G162" i="2"/>
  <c r="F162" i="2"/>
  <c r="E162" i="2"/>
  <c r="D162" i="2"/>
  <c r="C162" i="2"/>
  <c r="AR161" i="2"/>
  <c r="AQ161" i="2"/>
  <c r="AP161" i="2"/>
  <c r="AO161" i="2"/>
  <c r="AN161" i="2"/>
  <c r="AM161" i="2"/>
  <c r="AL161" i="2"/>
  <c r="AK161" i="2"/>
  <c r="AJ161" i="2"/>
  <c r="AI161" i="2"/>
  <c r="AH161" i="2"/>
  <c r="AG161" i="2"/>
  <c r="AF161" i="2"/>
  <c r="AE161" i="2"/>
  <c r="AD161" i="2"/>
  <c r="AC161" i="2"/>
  <c r="AB161" i="2"/>
  <c r="AA161" i="2"/>
  <c r="Z161" i="2"/>
  <c r="Y161" i="2"/>
  <c r="X161" i="2"/>
  <c r="W161" i="2"/>
  <c r="V161" i="2"/>
  <c r="U161" i="2"/>
  <c r="T161" i="2"/>
  <c r="S161" i="2"/>
  <c r="R161" i="2"/>
  <c r="Q161" i="2"/>
  <c r="P161" i="2"/>
  <c r="O161" i="2"/>
  <c r="N161" i="2"/>
  <c r="M161" i="2"/>
  <c r="L161" i="2"/>
  <c r="K161" i="2"/>
  <c r="J161" i="2"/>
  <c r="I161" i="2"/>
  <c r="H161" i="2"/>
  <c r="G161" i="2"/>
  <c r="F161" i="2"/>
  <c r="E161" i="2"/>
  <c r="D161" i="2"/>
  <c r="C161" i="2"/>
  <c r="AR160" i="2"/>
  <c r="AQ160" i="2"/>
  <c r="AP160" i="2"/>
  <c r="AO160" i="2"/>
  <c r="AN160" i="2"/>
  <c r="AM160" i="2"/>
  <c r="AL160" i="2"/>
  <c r="AK160" i="2"/>
  <c r="AJ160" i="2"/>
  <c r="AI160" i="2"/>
  <c r="AH160" i="2"/>
  <c r="AG160" i="2"/>
  <c r="AF160" i="2"/>
  <c r="AE160" i="2"/>
  <c r="AD160" i="2"/>
  <c r="AC160" i="2"/>
  <c r="AB160" i="2"/>
  <c r="AA160" i="2"/>
  <c r="Z160" i="2"/>
  <c r="Y160" i="2"/>
  <c r="X160" i="2"/>
  <c r="W160" i="2"/>
  <c r="V160" i="2"/>
  <c r="U160" i="2"/>
  <c r="T160" i="2"/>
  <c r="S160" i="2"/>
  <c r="R160" i="2"/>
  <c r="Q160" i="2"/>
  <c r="P160" i="2"/>
  <c r="O160" i="2"/>
  <c r="N160" i="2"/>
  <c r="M160" i="2"/>
  <c r="L160" i="2"/>
  <c r="K160" i="2"/>
  <c r="J160" i="2"/>
  <c r="I160" i="2"/>
  <c r="H160" i="2"/>
  <c r="G160" i="2"/>
  <c r="F160" i="2"/>
  <c r="E160" i="2"/>
  <c r="D160" i="2"/>
  <c r="C160" i="2"/>
  <c r="AR159" i="2"/>
  <c r="AQ159" i="2"/>
  <c r="AP159" i="2"/>
  <c r="AO159" i="2"/>
  <c r="AN159" i="2"/>
  <c r="AM159" i="2"/>
  <c r="AL159" i="2"/>
  <c r="AK159" i="2"/>
  <c r="AJ159" i="2"/>
  <c r="AI159" i="2"/>
  <c r="AH159" i="2"/>
  <c r="AG159" i="2"/>
  <c r="AF159" i="2"/>
  <c r="AE159" i="2"/>
  <c r="AD159" i="2"/>
  <c r="AC159" i="2"/>
  <c r="AB159" i="2"/>
  <c r="AA159" i="2"/>
  <c r="Z159" i="2"/>
  <c r="Y159" i="2"/>
  <c r="X159" i="2"/>
  <c r="W159" i="2"/>
  <c r="V159" i="2"/>
  <c r="U159" i="2"/>
  <c r="T159" i="2"/>
  <c r="S159" i="2"/>
  <c r="R159" i="2"/>
  <c r="Q159" i="2"/>
  <c r="P159" i="2"/>
  <c r="O159" i="2"/>
  <c r="N159" i="2"/>
  <c r="M159" i="2"/>
  <c r="L159" i="2"/>
  <c r="K159" i="2"/>
  <c r="J159" i="2"/>
  <c r="I159" i="2"/>
  <c r="H159" i="2"/>
  <c r="G159" i="2"/>
  <c r="F159" i="2"/>
  <c r="E159" i="2"/>
  <c r="D159" i="2"/>
  <c r="C159" i="2"/>
  <c r="AR158" i="2"/>
  <c r="AQ158" i="2"/>
  <c r="AP158" i="2"/>
  <c r="AO158" i="2"/>
  <c r="AN158" i="2"/>
  <c r="AM158" i="2"/>
  <c r="AL158" i="2"/>
  <c r="AK158" i="2"/>
  <c r="AJ158" i="2"/>
  <c r="AI158" i="2"/>
  <c r="AH158" i="2"/>
  <c r="AG158" i="2"/>
  <c r="AF158" i="2"/>
  <c r="AE158" i="2"/>
  <c r="AD158" i="2"/>
  <c r="AC158" i="2"/>
  <c r="AB158" i="2"/>
  <c r="AA158" i="2"/>
  <c r="Z158" i="2"/>
  <c r="Y158" i="2"/>
  <c r="X158" i="2"/>
  <c r="W158" i="2"/>
  <c r="V158" i="2"/>
  <c r="U158" i="2"/>
  <c r="T158" i="2"/>
  <c r="S158" i="2"/>
  <c r="R158" i="2"/>
  <c r="Q158" i="2"/>
  <c r="P158" i="2"/>
  <c r="O158" i="2"/>
  <c r="N158" i="2"/>
  <c r="M158" i="2"/>
  <c r="L158" i="2"/>
  <c r="K158" i="2"/>
  <c r="J158" i="2"/>
  <c r="I158" i="2"/>
  <c r="H158" i="2"/>
  <c r="G158" i="2"/>
  <c r="F158" i="2"/>
  <c r="E158" i="2"/>
  <c r="D158" i="2"/>
  <c r="C158" i="2"/>
  <c r="AR157" i="2"/>
  <c r="AQ157" i="2"/>
  <c r="AP157" i="2"/>
  <c r="AO157" i="2"/>
  <c r="AN157" i="2"/>
  <c r="AM157" i="2"/>
  <c r="AL157" i="2"/>
  <c r="AK157" i="2"/>
  <c r="AJ157" i="2"/>
  <c r="AI157" i="2"/>
  <c r="AH157" i="2"/>
  <c r="AG157" i="2"/>
  <c r="AF157" i="2"/>
  <c r="AE157" i="2"/>
  <c r="AD157" i="2"/>
  <c r="AC157" i="2"/>
  <c r="AB157" i="2"/>
  <c r="AA157" i="2"/>
  <c r="Z157" i="2"/>
  <c r="Y157" i="2"/>
  <c r="X157" i="2"/>
  <c r="W157" i="2"/>
  <c r="V157" i="2"/>
  <c r="U157" i="2"/>
  <c r="T157" i="2"/>
  <c r="S157" i="2"/>
  <c r="R157" i="2"/>
  <c r="Q157" i="2"/>
  <c r="P157" i="2"/>
  <c r="O157" i="2"/>
  <c r="N157" i="2"/>
  <c r="M157" i="2"/>
  <c r="L157" i="2"/>
  <c r="K157" i="2"/>
  <c r="J157" i="2"/>
  <c r="I157" i="2"/>
  <c r="H157" i="2"/>
  <c r="G157" i="2"/>
  <c r="F157" i="2"/>
  <c r="E157" i="2"/>
  <c r="D157" i="2"/>
  <c r="C157" i="2"/>
  <c r="AR156" i="2"/>
  <c r="AQ156" i="2"/>
  <c r="AP156" i="2"/>
  <c r="AO156" i="2"/>
  <c r="AN156" i="2"/>
  <c r="AM156" i="2"/>
  <c r="AL156" i="2"/>
  <c r="AK156" i="2"/>
  <c r="AJ156" i="2"/>
  <c r="AI156" i="2"/>
  <c r="AH156" i="2"/>
  <c r="AG156" i="2"/>
  <c r="AF156" i="2"/>
  <c r="AE156" i="2"/>
  <c r="AD156" i="2"/>
  <c r="AC156" i="2"/>
  <c r="AB156" i="2"/>
  <c r="AA156" i="2"/>
  <c r="Z156" i="2"/>
  <c r="Y156" i="2"/>
  <c r="X156" i="2"/>
  <c r="W156" i="2"/>
  <c r="V156" i="2"/>
  <c r="U156" i="2"/>
  <c r="T156" i="2"/>
  <c r="S156" i="2"/>
  <c r="R156" i="2"/>
  <c r="Q156" i="2"/>
  <c r="P156" i="2"/>
  <c r="O156" i="2"/>
  <c r="N156" i="2"/>
  <c r="M156" i="2"/>
  <c r="L156" i="2"/>
  <c r="K156" i="2"/>
  <c r="J156" i="2"/>
  <c r="I156" i="2"/>
  <c r="H156" i="2"/>
  <c r="G156" i="2"/>
  <c r="F156" i="2"/>
  <c r="E156" i="2"/>
  <c r="D156" i="2"/>
  <c r="C156" i="2"/>
  <c r="AR155" i="2"/>
  <c r="AQ155" i="2"/>
  <c r="AP155" i="2"/>
  <c r="AO155" i="2"/>
  <c r="AN155" i="2"/>
  <c r="AM155" i="2"/>
  <c r="AL155" i="2"/>
  <c r="AK155" i="2"/>
  <c r="AJ155" i="2"/>
  <c r="AI155" i="2"/>
  <c r="AH155" i="2"/>
  <c r="AG155" i="2"/>
  <c r="AF155" i="2"/>
  <c r="AE155" i="2"/>
  <c r="AD155" i="2"/>
  <c r="AC155" i="2"/>
  <c r="AB155" i="2"/>
  <c r="AA155" i="2"/>
  <c r="Z155" i="2"/>
  <c r="Y155" i="2"/>
  <c r="X155" i="2"/>
  <c r="W155" i="2"/>
  <c r="V155" i="2"/>
  <c r="U155" i="2"/>
  <c r="T155" i="2"/>
  <c r="S155" i="2"/>
  <c r="R155" i="2"/>
  <c r="Q155" i="2"/>
  <c r="P155" i="2"/>
  <c r="O155" i="2"/>
  <c r="N155" i="2"/>
  <c r="M155" i="2"/>
  <c r="L155" i="2"/>
  <c r="K155" i="2"/>
  <c r="J155" i="2"/>
  <c r="I155" i="2"/>
  <c r="H155" i="2"/>
  <c r="G155" i="2"/>
  <c r="F155" i="2"/>
  <c r="E155" i="2"/>
  <c r="D155" i="2"/>
  <c r="C155" i="2"/>
  <c r="AR154" i="2"/>
  <c r="AQ154" i="2"/>
  <c r="AP154" i="2"/>
  <c r="AO154" i="2"/>
  <c r="AN154" i="2"/>
  <c r="AM154" i="2"/>
  <c r="AL154" i="2"/>
  <c r="AK154" i="2"/>
  <c r="AJ154" i="2"/>
  <c r="AI154" i="2"/>
  <c r="AH154" i="2"/>
  <c r="AG154" i="2"/>
  <c r="AF154" i="2"/>
  <c r="AE154" i="2"/>
  <c r="AD154" i="2"/>
  <c r="AC154" i="2"/>
  <c r="AB154" i="2"/>
  <c r="AA154" i="2"/>
  <c r="Z154" i="2"/>
  <c r="Y154" i="2"/>
  <c r="X154" i="2"/>
  <c r="W154" i="2"/>
  <c r="V154" i="2"/>
  <c r="U154" i="2"/>
  <c r="T154" i="2"/>
  <c r="S154" i="2"/>
  <c r="R154" i="2"/>
  <c r="Q154" i="2"/>
  <c r="P154" i="2"/>
  <c r="O154" i="2"/>
  <c r="N154" i="2"/>
  <c r="M154" i="2"/>
  <c r="L154" i="2"/>
  <c r="K154" i="2"/>
  <c r="J154" i="2"/>
  <c r="I154" i="2"/>
  <c r="H154" i="2"/>
  <c r="G154" i="2"/>
  <c r="F154" i="2"/>
  <c r="E154" i="2"/>
  <c r="D154" i="2"/>
  <c r="C154" i="2"/>
  <c r="AR153" i="2"/>
  <c r="AQ153" i="2"/>
  <c r="AP153" i="2"/>
  <c r="AO153" i="2"/>
  <c r="AN153" i="2"/>
  <c r="AM153" i="2"/>
  <c r="AL153" i="2"/>
  <c r="AK153" i="2"/>
  <c r="AJ153" i="2"/>
  <c r="AI153" i="2"/>
  <c r="AH153" i="2"/>
  <c r="AG153" i="2"/>
  <c r="AF153" i="2"/>
  <c r="AE153" i="2"/>
  <c r="AD153" i="2"/>
  <c r="AC153" i="2"/>
  <c r="AB153" i="2"/>
  <c r="AA153" i="2"/>
  <c r="Z153" i="2"/>
  <c r="Y153" i="2"/>
  <c r="X153" i="2"/>
  <c r="W153" i="2"/>
  <c r="V153" i="2"/>
  <c r="U153" i="2"/>
  <c r="T153" i="2"/>
  <c r="S153" i="2"/>
  <c r="R153" i="2"/>
  <c r="Q153" i="2"/>
  <c r="P153" i="2"/>
  <c r="O153" i="2"/>
  <c r="F153" i="2"/>
  <c r="E153" i="2"/>
  <c r="D153" i="2"/>
  <c r="C153" i="2"/>
  <c r="AR149" i="2"/>
  <c r="AQ149" i="2"/>
  <c r="AP149" i="2"/>
  <c r="AO149" i="2"/>
  <c r="AN149" i="2"/>
  <c r="AM149" i="2"/>
  <c r="AL149" i="2"/>
  <c r="AK149" i="2"/>
  <c r="AJ149" i="2"/>
  <c r="AI149" i="2"/>
  <c r="AH149" i="2"/>
  <c r="AG149" i="2"/>
  <c r="AF149" i="2"/>
  <c r="AE149" i="2"/>
  <c r="AD149" i="2"/>
  <c r="AR148" i="2"/>
  <c r="AQ148" i="2"/>
  <c r="AP148" i="2"/>
  <c r="AO148" i="2"/>
  <c r="AN148" i="2"/>
  <c r="AM148" i="2"/>
  <c r="AL148" i="2"/>
  <c r="AK148" i="2"/>
  <c r="AJ148" i="2"/>
  <c r="AI148" i="2"/>
  <c r="AH148" i="2"/>
  <c r="AG148" i="2"/>
  <c r="AF148" i="2"/>
  <c r="AE148" i="2"/>
  <c r="AD148" i="2"/>
  <c r="AR147" i="2"/>
  <c r="AQ147" i="2"/>
  <c r="AP147" i="2"/>
  <c r="AO147" i="2"/>
  <c r="AN147" i="2"/>
  <c r="AM147" i="2"/>
  <c r="AL147" i="2"/>
  <c r="AK147" i="2"/>
  <c r="AJ147" i="2"/>
  <c r="AI147" i="2"/>
  <c r="AH147" i="2"/>
  <c r="AG147" i="2"/>
  <c r="AF147" i="2"/>
  <c r="AE147" i="2"/>
  <c r="AD147" i="2"/>
  <c r="AR146" i="2"/>
  <c r="AQ146" i="2"/>
  <c r="AP146" i="2"/>
  <c r="AO146" i="2"/>
  <c r="AN146" i="2"/>
  <c r="AM146" i="2"/>
  <c r="AL146" i="2"/>
  <c r="AK146" i="2"/>
  <c r="AJ146" i="2"/>
  <c r="AI146" i="2"/>
  <c r="AH146" i="2"/>
  <c r="AG146" i="2"/>
  <c r="AF146" i="2"/>
  <c r="AE146" i="2"/>
  <c r="AD146" i="2"/>
  <c r="AR145" i="2"/>
  <c r="AQ145" i="2"/>
  <c r="AP145" i="2"/>
  <c r="AO145" i="2"/>
  <c r="AN145" i="2"/>
  <c r="AM145" i="2"/>
  <c r="AL145" i="2"/>
  <c r="AK145" i="2"/>
  <c r="AJ145" i="2"/>
  <c r="AI145" i="2"/>
  <c r="AH145" i="2"/>
  <c r="AG145" i="2"/>
  <c r="AF145" i="2"/>
  <c r="AE145" i="2"/>
  <c r="AD145" i="2"/>
  <c r="AR144" i="2"/>
  <c r="AQ144" i="2"/>
  <c r="AP144" i="2"/>
  <c r="AO144" i="2"/>
  <c r="AN144" i="2"/>
  <c r="AM144" i="2"/>
  <c r="AL144" i="2"/>
  <c r="AK144" i="2"/>
  <c r="AJ144" i="2"/>
  <c r="AI144" i="2"/>
  <c r="AH144" i="2"/>
  <c r="AG144" i="2"/>
  <c r="AF144" i="2"/>
  <c r="AE144" i="2"/>
  <c r="AD144" i="2"/>
  <c r="AR143" i="2"/>
  <c r="AQ143" i="2"/>
  <c r="AP143" i="2"/>
  <c r="AO143" i="2"/>
  <c r="AN143" i="2"/>
  <c r="AM143" i="2"/>
  <c r="AL143" i="2"/>
  <c r="AK143" i="2"/>
  <c r="AJ143" i="2"/>
  <c r="AI143" i="2"/>
  <c r="AH143" i="2"/>
  <c r="AG143" i="2"/>
  <c r="AF143" i="2"/>
  <c r="AE143" i="2"/>
  <c r="AD143" i="2"/>
  <c r="AR142" i="2"/>
  <c r="AQ142" i="2"/>
  <c r="AP142" i="2"/>
  <c r="AO142" i="2"/>
  <c r="AN142" i="2"/>
  <c r="AM142" i="2"/>
  <c r="AL142" i="2"/>
  <c r="AK142" i="2"/>
  <c r="AJ142" i="2"/>
  <c r="AI142" i="2"/>
  <c r="AH142" i="2"/>
  <c r="AG142" i="2"/>
  <c r="AF142" i="2"/>
  <c r="AE142" i="2"/>
  <c r="AD142" i="2"/>
  <c r="AR141" i="2"/>
  <c r="AQ141" i="2"/>
  <c r="AP141" i="2"/>
  <c r="AO141" i="2"/>
  <c r="AN141" i="2"/>
  <c r="AM141" i="2"/>
  <c r="AL141" i="2"/>
  <c r="AK141" i="2"/>
  <c r="AJ141" i="2"/>
  <c r="AI141" i="2"/>
  <c r="AH141" i="2"/>
  <c r="AG141" i="2"/>
  <c r="AF141" i="2"/>
  <c r="AE141" i="2"/>
  <c r="AD141" i="2"/>
  <c r="AR140" i="2"/>
  <c r="AQ140" i="2"/>
  <c r="AP140" i="2"/>
  <c r="AO140" i="2"/>
  <c r="AN140" i="2"/>
  <c r="AM140" i="2"/>
  <c r="AL140" i="2"/>
  <c r="AK140" i="2"/>
  <c r="AJ140" i="2"/>
  <c r="AI140" i="2"/>
  <c r="AH140" i="2"/>
  <c r="AG140" i="2"/>
  <c r="AF140" i="2"/>
  <c r="AE140" i="2"/>
  <c r="AD140" i="2"/>
  <c r="AR139" i="2"/>
  <c r="AQ139" i="2"/>
  <c r="AP139" i="2"/>
  <c r="AO139" i="2"/>
  <c r="AN139" i="2"/>
  <c r="AM139" i="2"/>
  <c r="AL139" i="2"/>
  <c r="AK139" i="2"/>
  <c r="AJ139" i="2"/>
  <c r="AI139" i="2"/>
  <c r="AH139" i="2"/>
  <c r="AG139" i="2"/>
  <c r="AF139" i="2"/>
  <c r="AE139" i="2"/>
  <c r="AD139" i="2"/>
  <c r="AR138" i="2"/>
  <c r="AQ138" i="2"/>
  <c r="AP138" i="2"/>
  <c r="AO138" i="2"/>
  <c r="AN138" i="2"/>
  <c r="AM138" i="2"/>
  <c r="AL138" i="2"/>
  <c r="AK138" i="2"/>
  <c r="AJ138" i="2"/>
  <c r="AI138" i="2"/>
  <c r="AH138" i="2"/>
  <c r="AG138" i="2"/>
  <c r="AF138" i="2"/>
  <c r="AE138" i="2"/>
  <c r="AD138" i="2"/>
  <c r="AC138" i="2"/>
  <c r="AB138" i="2"/>
  <c r="AA138" i="2"/>
  <c r="Z138" i="2"/>
  <c r="Y138" i="2"/>
  <c r="X138" i="2"/>
  <c r="W138" i="2"/>
  <c r="V138" i="2"/>
  <c r="U138" i="2"/>
  <c r="T138" i="2"/>
  <c r="S138" i="2"/>
  <c r="R138" i="2"/>
  <c r="Q138" i="2"/>
  <c r="P138" i="2"/>
  <c r="O138" i="2"/>
  <c r="AC149" i="2"/>
  <c r="AB149" i="2"/>
  <c r="AA149" i="2"/>
  <c r="Z149" i="2"/>
  <c r="Y149" i="2"/>
  <c r="X149" i="2"/>
  <c r="W149" i="2"/>
  <c r="V149" i="2"/>
  <c r="U149" i="2"/>
  <c r="T149" i="2"/>
  <c r="S149" i="2"/>
  <c r="R149" i="2"/>
  <c r="Q149" i="2"/>
  <c r="P149" i="2"/>
  <c r="O149" i="2"/>
  <c r="AC148" i="2"/>
  <c r="AB148" i="2"/>
  <c r="AA148" i="2"/>
  <c r="Z148" i="2"/>
  <c r="Y148" i="2"/>
  <c r="X148" i="2"/>
  <c r="W148" i="2"/>
  <c r="V148" i="2"/>
  <c r="U148" i="2"/>
  <c r="T148" i="2"/>
  <c r="S148" i="2"/>
  <c r="R148" i="2"/>
  <c r="Q148" i="2"/>
  <c r="P148" i="2"/>
  <c r="O148" i="2"/>
  <c r="AC147" i="2"/>
  <c r="AB147" i="2"/>
  <c r="AA147" i="2"/>
  <c r="Z147" i="2"/>
  <c r="Y147" i="2"/>
  <c r="X147" i="2"/>
  <c r="W147" i="2"/>
  <c r="V147" i="2"/>
  <c r="U147" i="2"/>
  <c r="T147" i="2"/>
  <c r="S147" i="2"/>
  <c r="R147" i="2"/>
  <c r="Q147" i="2"/>
  <c r="P147" i="2"/>
  <c r="O147" i="2"/>
  <c r="AC146" i="2"/>
  <c r="AB146" i="2"/>
  <c r="AA146" i="2"/>
  <c r="Z146" i="2"/>
  <c r="Y146" i="2"/>
  <c r="X146" i="2"/>
  <c r="W146" i="2"/>
  <c r="V146" i="2"/>
  <c r="U146" i="2"/>
  <c r="T146" i="2"/>
  <c r="S146" i="2"/>
  <c r="R146" i="2"/>
  <c r="Q146" i="2"/>
  <c r="P146" i="2"/>
  <c r="O146" i="2"/>
  <c r="AC145" i="2"/>
  <c r="AB145" i="2"/>
  <c r="AA145" i="2"/>
  <c r="Z145" i="2"/>
  <c r="Y145" i="2"/>
  <c r="X145" i="2"/>
  <c r="W145" i="2"/>
  <c r="V145" i="2"/>
  <c r="U145" i="2"/>
  <c r="T145" i="2"/>
  <c r="S145" i="2"/>
  <c r="R145" i="2"/>
  <c r="Q145" i="2"/>
  <c r="P145" i="2"/>
  <c r="O145" i="2"/>
  <c r="AC144" i="2"/>
  <c r="AB144" i="2"/>
  <c r="AA144" i="2"/>
  <c r="Z144" i="2"/>
  <c r="Y144" i="2"/>
  <c r="X144" i="2"/>
  <c r="W144" i="2"/>
  <c r="V144" i="2"/>
  <c r="U144" i="2"/>
  <c r="T144" i="2"/>
  <c r="S144" i="2"/>
  <c r="R144" i="2"/>
  <c r="Q144" i="2"/>
  <c r="P144" i="2"/>
  <c r="O144" i="2"/>
  <c r="AC143" i="2"/>
  <c r="AB143" i="2"/>
  <c r="AA143" i="2"/>
  <c r="Z143" i="2"/>
  <c r="Y143" i="2"/>
  <c r="X143" i="2"/>
  <c r="W143" i="2"/>
  <c r="V143" i="2"/>
  <c r="U143" i="2"/>
  <c r="T143" i="2"/>
  <c r="S143" i="2"/>
  <c r="R143" i="2"/>
  <c r="Q143" i="2"/>
  <c r="P143" i="2"/>
  <c r="O143" i="2"/>
  <c r="AC142" i="2"/>
  <c r="AB142" i="2"/>
  <c r="AA142" i="2"/>
  <c r="Z142" i="2"/>
  <c r="Y142" i="2"/>
  <c r="X142" i="2"/>
  <c r="W142" i="2"/>
  <c r="V142" i="2"/>
  <c r="U142" i="2"/>
  <c r="T142" i="2"/>
  <c r="S142" i="2"/>
  <c r="R142" i="2"/>
  <c r="Q142" i="2"/>
  <c r="P142" i="2"/>
  <c r="O142" i="2"/>
  <c r="AC141" i="2"/>
  <c r="AB141" i="2"/>
  <c r="AA141" i="2"/>
  <c r="Z141" i="2"/>
  <c r="Y141" i="2"/>
  <c r="X141" i="2"/>
  <c r="W141" i="2"/>
  <c r="V141" i="2"/>
  <c r="U141" i="2"/>
  <c r="T141" i="2"/>
  <c r="S141" i="2"/>
  <c r="R141" i="2"/>
  <c r="Q141" i="2"/>
  <c r="P141" i="2"/>
  <c r="O141" i="2"/>
  <c r="AC140" i="2"/>
  <c r="AB140" i="2"/>
  <c r="AA140" i="2"/>
  <c r="Z140" i="2"/>
  <c r="Y140" i="2"/>
  <c r="X140" i="2"/>
  <c r="W140" i="2"/>
  <c r="V140" i="2"/>
  <c r="U140" i="2"/>
  <c r="T140" i="2"/>
  <c r="S140" i="2"/>
  <c r="R140" i="2"/>
  <c r="Q140" i="2"/>
  <c r="P140" i="2"/>
  <c r="O140" i="2"/>
  <c r="AC139" i="2"/>
  <c r="AB139" i="2"/>
  <c r="AA139" i="2"/>
  <c r="Z139" i="2"/>
  <c r="Y139" i="2"/>
  <c r="X139" i="2"/>
  <c r="W139" i="2"/>
  <c r="V139" i="2"/>
  <c r="U139" i="2"/>
  <c r="T139" i="2"/>
  <c r="S139" i="2"/>
  <c r="R139" i="2"/>
  <c r="Q139" i="2"/>
  <c r="P139" i="2"/>
  <c r="O139" i="2"/>
  <c r="N149" i="2"/>
  <c r="M149" i="2"/>
  <c r="L149" i="2"/>
  <c r="K149" i="2"/>
  <c r="N148" i="2"/>
  <c r="M148" i="2"/>
  <c r="L148" i="2"/>
  <c r="K148" i="2"/>
  <c r="N147" i="2"/>
  <c r="M147" i="2"/>
  <c r="L147" i="2"/>
  <c r="K147" i="2"/>
  <c r="N146" i="2"/>
  <c r="M146" i="2"/>
  <c r="L146" i="2"/>
  <c r="K146" i="2"/>
  <c r="N145" i="2"/>
  <c r="M145" i="2"/>
  <c r="L145" i="2"/>
  <c r="K145" i="2"/>
  <c r="N144" i="2"/>
  <c r="M144" i="2"/>
  <c r="L144" i="2"/>
  <c r="K144" i="2"/>
  <c r="N143" i="2"/>
  <c r="M143" i="2"/>
  <c r="L143" i="2"/>
  <c r="K143" i="2"/>
  <c r="N142" i="2"/>
  <c r="M142" i="2"/>
  <c r="L142" i="2"/>
  <c r="K142" i="2"/>
  <c r="N141" i="2"/>
  <c r="M141" i="2"/>
  <c r="L141" i="2"/>
  <c r="K141" i="2"/>
  <c r="N140" i="2"/>
  <c r="M140" i="2"/>
  <c r="L140" i="2"/>
  <c r="K140" i="2"/>
  <c r="N139" i="2"/>
  <c r="M139" i="2"/>
  <c r="L139" i="2"/>
  <c r="K139" i="2"/>
  <c r="G140" i="2"/>
  <c r="H140" i="2"/>
  <c r="I140" i="2"/>
  <c r="J140" i="2"/>
  <c r="G141" i="2"/>
  <c r="H141" i="2"/>
  <c r="I141" i="2"/>
  <c r="J141" i="2"/>
  <c r="G142" i="2"/>
  <c r="H142" i="2"/>
  <c r="I142" i="2"/>
  <c r="J142" i="2"/>
  <c r="G143" i="2"/>
  <c r="H143" i="2"/>
  <c r="I143" i="2"/>
  <c r="J143" i="2"/>
  <c r="G144" i="2"/>
  <c r="H144" i="2"/>
  <c r="I144" i="2"/>
  <c r="J144" i="2"/>
  <c r="G145" i="2"/>
  <c r="H145" i="2"/>
  <c r="I145" i="2"/>
  <c r="J145" i="2"/>
  <c r="G146" i="2"/>
  <c r="H146" i="2"/>
  <c r="I146" i="2"/>
  <c r="J146" i="2"/>
  <c r="G147" i="2"/>
  <c r="H147" i="2"/>
  <c r="I147" i="2"/>
  <c r="J147" i="2"/>
  <c r="G148" i="2"/>
  <c r="H148" i="2"/>
  <c r="I148" i="2"/>
  <c r="J148" i="2"/>
  <c r="G149" i="2"/>
  <c r="H149" i="2"/>
  <c r="I149" i="2"/>
  <c r="J149" i="2"/>
  <c r="J139" i="2"/>
  <c r="I139" i="2"/>
  <c r="H139" i="2"/>
  <c r="G139" i="2"/>
  <c r="F149" i="2"/>
  <c r="E149" i="2"/>
  <c r="D149" i="2"/>
  <c r="C149" i="2"/>
  <c r="F148" i="2"/>
  <c r="E148" i="2"/>
  <c r="D148" i="2"/>
  <c r="C148" i="2"/>
  <c r="F147" i="2"/>
  <c r="E147" i="2"/>
  <c r="D147" i="2"/>
  <c r="F146" i="2"/>
  <c r="E146" i="2"/>
  <c r="D146" i="2"/>
  <c r="C146" i="2"/>
  <c r="F145" i="2"/>
  <c r="E145" i="2"/>
  <c r="D145" i="2"/>
  <c r="C145" i="2"/>
  <c r="F144" i="2"/>
  <c r="E144" i="2"/>
  <c r="D144" i="2"/>
  <c r="C144" i="2"/>
  <c r="F143" i="2"/>
  <c r="E143" i="2"/>
  <c r="D143" i="2"/>
  <c r="C143" i="2"/>
  <c r="F142" i="2"/>
  <c r="E142" i="2"/>
  <c r="D142" i="2"/>
  <c r="C142" i="2"/>
  <c r="F141" i="2"/>
  <c r="E141" i="2"/>
  <c r="D141" i="2"/>
  <c r="C141" i="2"/>
  <c r="F140" i="2"/>
  <c r="E140" i="2"/>
  <c r="D140" i="2"/>
  <c r="C140" i="2"/>
  <c r="F139" i="2"/>
  <c r="E139" i="2"/>
  <c r="D139" i="2"/>
  <c r="C139" i="2"/>
  <c r="F138" i="2"/>
  <c r="E138" i="2"/>
  <c r="D138" i="2"/>
  <c r="C138" i="2"/>
  <c r="B138" i="9"/>
  <c r="B139" i="9"/>
  <c r="B140" i="9"/>
  <c r="B68" i="9"/>
  <c r="G3" i="8"/>
  <c r="B3" i="8"/>
  <c r="X134" i="2"/>
  <c r="W134" i="2"/>
  <c r="V134" i="2"/>
  <c r="U134" i="2"/>
  <c r="T134" i="2"/>
  <c r="S134" i="2"/>
  <c r="R134" i="2"/>
  <c r="Q134" i="2"/>
  <c r="P134" i="2"/>
  <c r="O134" i="2"/>
  <c r="N134" i="2"/>
  <c r="M134" i="2"/>
  <c r="L134" i="2"/>
  <c r="K134" i="2"/>
  <c r="J134" i="2"/>
  <c r="I134" i="2"/>
  <c r="H134" i="2"/>
  <c r="G134" i="2"/>
  <c r="F134" i="2"/>
  <c r="E134" i="2"/>
  <c r="D134" i="2"/>
  <c r="C134" i="2"/>
  <c r="X133" i="2"/>
  <c r="W133" i="2"/>
  <c r="V133" i="2"/>
  <c r="U133" i="2"/>
  <c r="T133" i="2"/>
  <c r="S133" i="2"/>
  <c r="R133" i="2"/>
  <c r="Q133" i="2"/>
  <c r="P133" i="2"/>
  <c r="O133" i="2"/>
  <c r="N133" i="2"/>
  <c r="M133" i="2"/>
  <c r="L133" i="2"/>
  <c r="K133" i="2"/>
  <c r="J133" i="2"/>
  <c r="I133" i="2"/>
  <c r="H133" i="2"/>
  <c r="G133" i="2"/>
  <c r="F133" i="2"/>
  <c r="E133" i="2"/>
  <c r="D133" i="2"/>
  <c r="C133" i="2"/>
  <c r="X132" i="2"/>
  <c r="W132" i="2"/>
  <c r="V132" i="2"/>
  <c r="U132" i="2"/>
  <c r="T132" i="2"/>
  <c r="S132" i="2"/>
  <c r="R132" i="2"/>
  <c r="Q132" i="2"/>
  <c r="P132" i="2"/>
  <c r="O132" i="2"/>
  <c r="N132" i="2"/>
  <c r="M132" i="2"/>
  <c r="L132" i="2"/>
  <c r="K132" i="2"/>
  <c r="J132" i="2"/>
  <c r="I132" i="2"/>
  <c r="H132" i="2"/>
  <c r="G132" i="2"/>
  <c r="F132" i="2"/>
  <c r="E132" i="2"/>
  <c r="D132" i="2"/>
  <c r="C132" i="2"/>
  <c r="X131" i="2"/>
  <c r="W131" i="2"/>
  <c r="V131" i="2"/>
  <c r="U131" i="2"/>
  <c r="T131" i="2"/>
  <c r="S131" i="2"/>
  <c r="R131" i="2"/>
  <c r="Q131" i="2"/>
  <c r="P131" i="2"/>
  <c r="O131" i="2"/>
  <c r="N131" i="2"/>
  <c r="M131" i="2"/>
  <c r="L131" i="2"/>
  <c r="K131" i="2"/>
  <c r="J131" i="2"/>
  <c r="I131" i="2"/>
  <c r="H131" i="2"/>
  <c r="G131" i="2"/>
  <c r="F131" i="2"/>
  <c r="E131" i="2"/>
  <c r="D131" i="2"/>
  <c r="C131" i="2"/>
  <c r="X130" i="2"/>
  <c r="W130" i="2"/>
  <c r="V130" i="2"/>
  <c r="U130" i="2"/>
  <c r="T130" i="2"/>
  <c r="S130" i="2"/>
  <c r="R130" i="2"/>
  <c r="Q130" i="2"/>
  <c r="P130" i="2"/>
  <c r="O130" i="2"/>
  <c r="N130" i="2"/>
  <c r="M130" i="2"/>
  <c r="L130" i="2"/>
  <c r="K130" i="2"/>
  <c r="J130" i="2"/>
  <c r="I130" i="2"/>
  <c r="H130" i="2"/>
  <c r="G130" i="2"/>
  <c r="F130" i="2"/>
  <c r="E130" i="2"/>
  <c r="D130" i="2"/>
  <c r="C130" i="2"/>
  <c r="X129" i="2"/>
  <c r="W129" i="2"/>
  <c r="V129" i="2"/>
  <c r="U129" i="2"/>
  <c r="T129" i="2"/>
  <c r="S129" i="2"/>
  <c r="R129" i="2"/>
  <c r="Q129" i="2"/>
  <c r="P129" i="2"/>
  <c r="O129" i="2"/>
  <c r="N129" i="2"/>
  <c r="M129" i="2"/>
  <c r="L129" i="2"/>
  <c r="K129" i="2"/>
  <c r="J129" i="2"/>
  <c r="I129" i="2"/>
  <c r="H129" i="2"/>
  <c r="G129" i="2"/>
  <c r="F129" i="2"/>
  <c r="E129" i="2"/>
  <c r="D129" i="2"/>
  <c r="C129" i="2"/>
  <c r="X128" i="2"/>
  <c r="W128" i="2"/>
  <c r="V128" i="2"/>
  <c r="U128" i="2"/>
  <c r="T128" i="2"/>
  <c r="S128" i="2"/>
  <c r="R128" i="2"/>
  <c r="Q128" i="2"/>
  <c r="P128" i="2"/>
  <c r="O128" i="2"/>
  <c r="N128" i="2"/>
  <c r="M128" i="2"/>
  <c r="L128" i="2"/>
  <c r="K128" i="2"/>
  <c r="J128" i="2"/>
  <c r="I128" i="2"/>
  <c r="H128" i="2"/>
  <c r="G128" i="2"/>
  <c r="F128" i="2"/>
  <c r="E128" i="2"/>
  <c r="D128" i="2"/>
  <c r="C128" i="2"/>
  <c r="X127" i="2"/>
  <c r="W127" i="2"/>
  <c r="V127" i="2"/>
  <c r="U127" i="2"/>
  <c r="T127" i="2"/>
  <c r="S127" i="2"/>
  <c r="R127" i="2"/>
  <c r="Q127" i="2"/>
  <c r="P127" i="2"/>
  <c r="O127" i="2"/>
  <c r="N127" i="2"/>
  <c r="M127" i="2"/>
  <c r="L127" i="2"/>
  <c r="K127" i="2"/>
  <c r="J127" i="2"/>
  <c r="I127" i="2"/>
  <c r="H127" i="2"/>
  <c r="G127" i="2"/>
  <c r="F127" i="2"/>
  <c r="E127" i="2"/>
  <c r="D127" i="2"/>
  <c r="C127" i="2"/>
  <c r="X126" i="2"/>
  <c r="W126" i="2"/>
  <c r="V126" i="2"/>
  <c r="U126" i="2"/>
  <c r="T126" i="2"/>
  <c r="S126" i="2"/>
  <c r="R126" i="2"/>
  <c r="Q126" i="2"/>
  <c r="P126" i="2"/>
  <c r="O126" i="2"/>
  <c r="N126" i="2"/>
  <c r="M126" i="2"/>
  <c r="L126" i="2"/>
  <c r="K126" i="2"/>
  <c r="J126" i="2"/>
  <c r="I126" i="2"/>
  <c r="H126" i="2"/>
  <c r="G126" i="2"/>
  <c r="F126" i="2"/>
  <c r="E126" i="2"/>
  <c r="D126" i="2"/>
  <c r="C126" i="2"/>
  <c r="X125" i="2"/>
  <c r="W125" i="2"/>
  <c r="V125" i="2"/>
  <c r="U125" i="2"/>
  <c r="T125" i="2"/>
  <c r="S125" i="2"/>
  <c r="R125" i="2"/>
  <c r="Q125" i="2"/>
  <c r="P125" i="2"/>
  <c r="O125" i="2"/>
  <c r="N125" i="2"/>
  <c r="M125" i="2"/>
  <c r="L125" i="2"/>
  <c r="K125" i="2"/>
  <c r="J125" i="2"/>
  <c r="I125" i="2"/>
  <c r="H125" i="2"/>
  <c r="G125" i="2"/>
  <c r="F125" i="2"/>
  <c r="E125" i="2"/>
  <c r="D125" i="2"/>
  <c r="C125" i="2"/>
  <c r="X124" i="2"/>
  <c r="W124" i="2"/>
  <c r="V124" i="2"/>
  <c r="U124" i="2"/>
  <c r="T124" i="2"/>
  <c r="S124" i="2"/>
  <c r="R124" i="2"/>
  <c r="Q124" i="2"/>
  <c r="P124" i="2"/>
  <c r="O124" i="2"/>
  <c r="N124" i="2"/>
  <c r="M124" i="2"/>
  <c r="L124" i="2"/>
  <c r="K124" i="2"/>
  <c r="J124" i="2"/>
  <c r="I124" i="2"/>
  <c r="H124" i="2"/>
  <c r="G124" i="2"/>
  <c r="F124" i="2"/>
  <c r="E124" i="2"/>
  <c r="D124" i="2"/>
  <c r="C124" i="2"/>
  <c r="X123" i="2"/>
  <c r="W123" i="2"/>
  <c r="V123" i="2"/>
  <c r="U123" i="2"/>
  <c r="T123" i="2"/>
  <c r="S123" i="2"/>
  <c r="R123" i="2"/>
  <c r="Q123" i="2"/>
  <c r="P123" i="2"/>
  <c r="O123" i="2"/>
  <c r="N123" i="2"/>
  <c r="M123" i="2"/>
  <c r="L123" i="2"/>
  <c r="K123" i="2"/>
  <c r="J123" i="2"/>
  <c r="I123" i="2"/>
  <c r="H123" i="2"/>
  <c r="G123" i="2"/>
  <c r="F123" i="2"/>
  <c r="E123" i="2"/>
  <c r="D123" i="2"/>
  <c r="C123" i="2"/>
  <c r="X119" i="2"/>
  <c r="X118" i="2"/>
  <c r="X117" i="2"/>
  <c r="X116" i="2"/>
  <c r="X115" i="2"/>
  <c r="X114" i="2"/>
  <c r="X113" i="2"/>
  <c r="X112" i="2"/>
  <c r="X111" i="2"/>
  <c r="X110" i="2"/>
  <c r="X109" i="2"/>
  <c r="X108" i="2"/>
  <c r="W119" i="2"/>
  <c r="W118" i="2"/>
  <c r="W117" i="2"/>
  <c r="W116" i="2"/>
  <c r="W115" i="2"/>
  <c r="W114" i="2"/>
  <c r="W113" i="2"/>
  <c r="W112" i="2"/>
  <c r="W111" i="2"/>
  <c r="W110" i="2"/>
  <c r="W109" i="2"/>
  <c r="W108" i="2"/>
  <c r="Q119" i="2"/>
  <c r="Q118" i="2"/>
  <c r="Q117" i="2"/>
  <c r="Q116" i="2"/>
  <c r="Q115" i="2"/>
  <c r="Q114" i="2"/>
  <c r="Q113" i="2"/>
  <c r="Q112" i="2"/>
  <c r="Q111" i="2"/>
  <c r="Q110" i="2"/>
  <c r="Q109" i="2"/>
  <c r="Q108" i="2"/>
  <c r="V119" i="2"/>
  <c r="V118" i="2"/>
  <c r="V117" i="2"/>
  <c r="V116" i="2"/>
  <c r="V115" i="2"/>
  <c r="V114" i="2"/>
  <c r="V113" i="2"/>
  <c r="V112" i="2"/>
  <c r="V111" i="2"/>
  <c r="V110" i="2"/>
  <c r="V109" i="2"/>
  <c r="V108" i="2"/>
  <c r="T119" i="2"/>
  <c r="T118" i="2"/>
  <c r="T117" i="2"/>
  <c r="T116" i="2"/>
  <c r="T115" i="2"/>
  <c r="T114" i="2"/>
  <c r="T113" i="2"/>
  <c r="T112" i="2"/>
  <c r="T111" i="2"/>
  <c r="T110" i="2"/>
  <c r="T109" i="2"/>
  <c r="T108" i="2"/>
  <c r="S119" i="2"/>
  <c r="S118" i="2"/>
  <c r="S117" i="2"/>
  <c r="S116" i="2"/>
  <c r="S115" i="2"/>
  <c r="S114" i="2"/>
  <c r="S113" i="2"/>
  <c r="S112" i="2"/>
  <c r="S111" i="2"/>
  <c r="S110" i="2"/>
  <c r="S109" i="2"/>
  <c r="S108" i="2"/>
  <c r="P119" i="2"/>
  <c r="P118" i="2"/>
  <c r="P117" i="2"/>
  <c r="P116" i="2"/>
  <c r="P115" i="2"/>
  <c r="P114" i="2"/>
  <c r="P113" i="2"/>
  <c r="P112" i="2"/>
  <c r="P111" i="2"/>
  <c r="P110" i="2"/>
  <c r="P109" i="2"/>
  <c r="P108" i="2"/>
  <c r="U119" i="2"/>
  <c r="U118" i="2"/>
  <c r="U117" i="2"/>
  <c r="U116" i="2"/>
  <c r="U115" i="2"/>
  <c r="U114" i="2"/>
  <c r="U113" i="2"/>
  <c r="U112" i="2"/>
  <c r="U111" i="2"/>
  <c r="U110" i="2"/>
  <c r="U109" i="2"/>
  <c r="U108" i="2"/>
  <c r="R119" i="2"/>
  <c r="R118" i="2"/>
  <c r="R117" i="2"/>
  <c r="R116" i="2"/>
  <c r="R115" i="2"/>
  <c r="R114" i="2"/>
  <c r="R113" i="2"/>
  <c r="R112" i="2"/>
  <c r="R111" i="2"/>
  <c r="R110" i="2"/>
  <c r="R109" i="2"/>
  <c r="R108" i="2"/>
  <c r="O119" i="2"/>
  <c r="O118" i="2"/>
  <c r="O117" i="2"/>
  <c r="O116" i="2"/>
  <c r="O115" i="2"/>
  <c r="O114" i="2"/>
  <c r="O113" i="2"/>
  <c r="O112" i="2"/>
  <c r="O111" i="2"/>
  <c r="O110" i="2"/>
  <c r="O109" i="2"/>
  <c r="O108" i="2"/>
  <c r="N119" i="2"/>
  <c r="N118" i="2"/>
  <c r="N117" i="2"/>
  <c r="N116" i="2"/>
  <c r="N115" i="2"/>
  <c r="N114" i="2"/>
  <c r="N113" i="2"/>
  <c r="N112" i="2"/>
  <c r="N111" i="2"/>
  <c r="N110" i="2"/>
  <c r="N109" i="2"/>
  <c r="N108" i="2"/>
  <c r="M119" i="2"/>
  <c r="L119" i="2"/>
  <c r="M118" i="2"/>
  <c r="L118" i="2"/>
  <c r="M117" i="2"/>
  <c r="L117" i="2"/>
  <c r="M116" i="2"/>
  <c r="L116" i="2"/>
  <c r="M115" i="2"/>
  <c r="L115" i="2"/>
  <c r="M114" i="2"/>
  <c r="L114" i="2"/>
  <c r="M113" i="2"/>
  <c r="L113" i="2"/>
  <c r="M112" i="2"/>
  <c r="L112" i="2"/>
  <c r="M111" i="2"/>
  <c r="L111" i="2"/>
  <c r="M110" i="2"/>
  <c r="L110" i="2"/>
  <c r="L109" i="2"/>
  <c r="M109" i="2"/>
  <c r="K119" i="2"/>
  <c r="J119" i="2"/>
  <c r="K118" i="2"/>
  <c r="J118" i="2"/>
  <c r="K117" i="2"/>
  <c r="J117" i="2"/>
  <c r="K116" i="2"/>
  <c r="J116" i="2"/>
  <c r="K115" i="2"/>
  <c r="J115" i="2"/>
  <c r="K114" i="2"/>
  <c r="J114" i="2"/>
  <c r="K113" i="2"/>
  <c r="J113" i="2"/>
  <c r="K112" i="2"/>
  <c r="J112" i="2"/>
  <c r="K111" i="2"/>
  <c r="J111" i="2"/>
  <c r="K110" i="2"/>
  <c r="J110" i="2"/>
  <c r="J109" i="2"/>
  <c r="K109" i="2"/>
  <c r="I119" i="2"/>
  <c r="I118" i="2"/>
  <c r="I117" i="2"/>
  <c r="I116" i="2"/>
  <c r="I115" i="2"/>
  <c r="I114" i="2"/>
  <c r="I113" i="2"/>
  <c r="I112" i="2"/>
  <c r="I111" i="2"/>
  <c r="I110" i="2"/>
  <c r="I109" i="2"/>
  <c r="H119" i="2"/>
  <c r="G119" i="2"/>
  <c r="F119" i="2"/>
  <c r="H118" i="2"/>
  <c r="G118" i="2"/>
  <c r="F118" i="2"/>
  <c r="H117" i="2"/>
  <c r="G117" i="2"/>
  <c r="F117" i="2"/>
  <c r="H116" i="2"/>
  <c r="G116" i="2"/>
  <c r="F116" i="2"/>
  <c r="H115" i="2"/>
  <c r="G115" i="2"/>
  <c r="F115" i="2"/>
  <c r="H114" i="2"/>
  <c r="G114" i="2"/>
  <c r="F114" i="2"/>
  <c r="H113" i="2"/>
  <c r="G113" i="2"/>
  <c r="F113" i="2"/>
  <c r="H112" i="2"/>
  <c r="G112" i="2"/>
  <c r="F112" i="2"/>
  <c r="H111" i="2"/>
  <c r="G111" i="2"/>
  <c r="F111" i="2"/>
  <c r="H110" i="2"/>
  <c r="G110" i="2"/>
  <c r="F110" i="2"/>
  <c r="H109" i="2"/>
  <c r="G109" i="2"/>
  <c r="F109" i="2"/>
  <c r="M108" i="2"/>
  <c r="K108" i="2"/>
  <c r="L108" i="2"/>
  <c r="J108" i="2"/>
  <c r="I108" i="2"/>
  <c r="H108" i="2"/>
  <c r="G108" i="2"/>
  <c r="F108" i="2"/>
  <c r="E110" i="2"/>
  <c r="E111" i="2"/>
  <c r="E112" i="2"/>
  <c r="E113" i="2"/>
  <c r="E114" i="2"/>
  <c r="E115" i="2"/>
  <c r="E116" i="2"/>
  <c r="E117" i="2"/>
  <c r="E118" i="2"/>
  <c r="E119" i="2"/>
  <c r="E109" i="2"/>
  <c r="E108" i="2"/>
  <c r="D110" i="2"/>
  <c r="D111" i="2"/>
  <c r="D112" i="2"/>
  <c r="D113" i="2"/>
  <c r="D114" i="2"/>
  <c r="D115" i="2"/>
  <c r="D116" i="2"/>
  <c r="D117" i="2"/>
  <c r="D118" i="2"/>
  <c r="D119" i="2"/>
  <c r="D109" i="2"/>
  <c r="C119" i="2"/>
  <c r="C118" i="2"/>
  <c r="C117" i="2"/>
  <c r="C116" i="2"/>
  <c r="C115" i="2"/>
  <c r="C114" i="2"/>
  <c r="C113" i="2"/>
  <c r="C112" i="2"/>
  <c r="C111" i="2"/>
  <c r="C110" i="2"/>
  <c r="C109" i="2"/>
  <c r="D108" i="2"/>
  <c r="C108" i="2"/>
  <c r="U41" i="9"/>
  <c r="O41" i="9"/>
  <c r="O40" i="9"/>
  <c r="O39" i="9"/>
  <c r="O38" i="9"/>
  <c r="I41" i="9"/>
  <c r="I40" i="9"/>
  <c r="I39" i="9"/>
  <c r="I38" i="9"/>
  <c r="Y34" i="9"/>
  <c r="X34" i="9"/>
  <c r="Y33" i="9"/>
  <c r="X33" i="9"/>
  <c r="U40" i="9"/>
  <c r="Y32" i="9"/>
  <c r="X32" i="9"/>
  <c r="U39" i="9"/>
  <c r="Y31" i="9"/>
  <c r="X31" i="9"/>
  <c r="U38" i="9"/>
  <c r="S34" i="9"/>
  <c r="R34" i="9"/>
  <c r="S33" i="9"/>
  <c r="R33" i="9"/>
  <c r="S32" i="9"/>
  <c r="R32" i="9"/>
  <c r="S31" i="9"/>
  <c r="R31" i="9"/>
  <c r="M34" i="9"/>
  <c r="L34" i="9"/>
  <c r="M33" i="9"/>
  <c r="L33" i="9"/>
  <c r="M32" i="9"/>
  <c r="L32" i="9"/>
  <c r="M31" i="9"/>
  <c r="L31" i="9"/>
  <c r="G34" i="9"/>
  <c r="C41" i="9"/>
  <c r="G33" i="9"/>
  <c r="G32" i="9"/>
  <c r="G31" i="9"/>
  <c r="C38" i="9"/>
  <c r="F34" i="9"/>
  <c r="F33" i="9"/>
  <c r="F32" i="9"/>
  <c r="F31" i="9"/>
  <c r="U25" i="9"/>
  <c r="U24" i="9"/>
  <c r="U23" i="9"/>
  <c r="O25" i="9"/>
  <c r="O24" i="9"/>
  <c r="O23" i="9"/>
  <c r="I25" i="9"/>
  <c r="I24" i="9"/>
  <c r="I23" i="9"/>
  <c r="C25" i="9"/>
  <c r="C24" i="9"/>
  <c r="C23" i="9"/>
  <c r="L3" i="5"/>
  <c r="A19" i="27" s="1"/>
  <c r="G3" i="5"/>
  <c r="A18" i="27" s="1"/>
  <c r="C39" i="9"/>
  <c r="C40" i="9"/>
  <c r="C156" i="9"/>
  <c r="O156" i="9"/>
  <c r="C155" i="9"/>
  <c r="P139" i="9"/>
  <c r="B157" i="9"/>
  <c r="C157" i="9"/>
  <c r="D155" i="9"/>
  <c r="J155" i="9"/>
  <c r="P155" i="9"/>
  <c r="V155" i="9"/>
  <c r="I155" i="9"/>
  <c r="D156" i="9"/>
  <c r="J156" i="9"/>
  <c r="P156" i="9"/>
  <c r="V156" i="9"/>
  <c r="O155" i="9"/>
  <c r="I156" i="9"/>
  <c r="P157" i="9"/>
  <c r="U155" i="9"/>
  <c r="U156" i="9"/>
  <c r="C138" i="9"/>
  <c r="O137" i="9"/>
  <c r="I138" i="9"/>
  <c r="U137" i="9"/>
  <c r="O138" i="9"/>
  <c r="C137" i="9"/>
  <c r="P138" i="9"/>
  <c r="U138" i="9"/>
  <c r="I137" i="9"/>
  <c r="D137" i="9"/>
  <c r="P137" i="9"/>
  <c r="J67" i="9"/>
  <c r="D139" i="9"/>
  <c r="P67" i="9"/>
  <c r="J137" i="9"/>
  <c r="V137" i="9"/>
  <c r="V140" i="9"/>
  <c r="J140" i="9"/>
  <c r="B141" i="9"/>
  <c r="O140" i="9"/>
  <c r="U140" i="9"/>
  <c r="I140" i="9"/>
  <c r="P140" i="9"/>
  <c r="D140" i="9"/>
  <c r="C140" i="9"/>
  <c r="J138" i="9"/>
  <c r="V138" i="9"/>
  <c r="I139" i="9"/>
  <c r="U139" i="9"/>
  <c r="J139" i="9"/>
  <c r="V139" i="9"/>
  <c r="D138" i="9"/>
  <c r="C139" i="9"/>
  <c r="O139" i="9"/>
  <c r="V67" i="9"/>
  <c r="V68" i="9"/>
  <c r="U68" i="9"/>
  <c r="U67" i="9"/>
  <c r="D68" i="9"/>
  <c r="D67" i="9"/>
  <c r="O67" i="9"/>
  <c r="J68" i="9"/>
  <c r="P68" i="9"/>
  <c r="I67" i="9"/>
  <c r="I68" i="9"/>
  <c r="O68" i="9"/>
  <c r="C67" i="9"/>
  <c r="C68" i="9"/>
  <c r="B69" i="9"/>
  <c r="B70" i="9"/>
  <c r="B71" i="9"/>
  <c r="I157" i="9"/>
  <c r="D157" i="9"/>
  <c r="O157" i="9"/>
  <c r="J157" i="9"/>
  <c r="V157" i="9"/>
  <c r="B158" i="9"/>
  <c r="U157" i="9"/>
  <c r="U141" i="9"/>
  <c r="I141" i="9"/>
  <c r="P141" i="9"/>
  <c r="D141" i="9"/>
  <c r="J141" i="9"/>
  <c r="B142" i="9"/>
  <c r="O141" i="9"/>
  <c r="C141" i="9"/>
  <c r="V141" i="9"/>
  <c r="B72" i="9"/>
  <c r="P71" i="9"/>
  <c r="J71" i="9"/>
  <c r="I69" i="9"/>
  <c r="D69" i="9"/>
  <c r="I70" i="9"/>
  <c r="O69" i="9"/>
  <c r="P70" i="9"/>
  <c r="I71" i="9"/>
  <c r="V71" i="9"/>
  <c r="V70" i="9"/>
  <c r="P69" i="9"/>
  <c r="U71" i="9"/>
  <c r="C69" i="9"/>
  <c r="C71" i="9"/>
  <c r="O70" i="9"/>
  <c r="V69" i="9"/>
  <c r="U70" i="9"/>
  <c r="O71" i="9"/>
  <c r="C70" i="9"/>
  <c r="J70" i="9"/>
  <c r="J69" i="9"/>
  <c r="D71" i="9"/>
  <c r="D70" i="9"/>
  <c r="U69" i="9"/>
  <c r="B159" i="9"/>
  <c r="I158" i="9"/>
  <c r="V158" i="9"/>
  <c r="P158" i="9"/>
  <c r="J158" i="9"/>
  <c r="D158" i="9"/>
  <c r="C158" i="9"/>
  <c r="U158" i="9"/>
  <c r="O158" i="9"/>
  <c r="P142" i="9"/>
  <c r="P148" i="9" s="1"/>
  <c r="D142" i="9"/>
  <c r="D148" i="9" s="1"/>
  <c r="I142" i="9"/>
  <c r="I148" i="9" s="1"/>
  <c r="B143" i="9"/>
  <c r="O142" i="9"/>
  <c r="O148" i="9" s="1"/>
  <c r="C142" i="9"/>
  <c r="C148" i="9" s="1"/>
  <c r="V142" i="9"/>
  <c r="V148" i="9" s="1"/>
  <c r="J142" i="9"/>
  <c r="J148" i="9" s="1"/>
  <c r="U142" i="9"/>
  <c r="U148" i="9" s="1"/>
  <c r="B73" i="9"/>
  <c r="U72" i="9"/>
  <c r="U78" i="9" s="1"/>
  <c r="P72" i="9"/>
  <c r="P78" i="9" s="1"/>
  <c r="O72" i="9"/>
  <c r="O78" i="9" s="1"/>
  <c r="C72" i="9"/>
  <c r="C78" i="9" s="1"/>
  <c r="V72" i="9"/>
  <c r="V78" i="9" s="1"/>
  <c r="J72" i="9"/>
  <c r="J78" i="9" s="1"/>
  <c r="I72" i="9"/>
  <c r="I78" i="9" s="1"/>
  <c r="D72" i="9"/>
  <c r="D78" i="9" s="1"/>
  <c r="F3" i="4"/>
  <c r="B83" i="3"/>
  <c r="B84" i="3" s="1"/>
  <c r="J14" i="6"/>
  <c r="K9" i="6"/>
  <c r="D16" i="6" s="1"/>
  <c r="AX5331" i="4"/>
  <c r="AW5331" i="4"/>
  <c r="AV5331" i="4"/>
  <c r="AP5331" i="4"/>
  <c r="AO5331" i="4"/>
  <c r="AN5331" i="4"/>
  <c r="AM5331" i="4"/>
  <c r="BH5331" i="4"/>
  <c r="AX5330" i="4"/>
  <c r="AW5330" i="4"/>
  <c r="AV5330" i="4"/>
  <c r="AP5330" i="4"/>
  <c r="AO5330" i="4"/>
  <c r="AN5330" i="4"/>
  <c r="AM5330" i="4"/>
  <c r="BH5330" i="4"/>
  <c r="AX5329" i="4"/>
  <c r="AW5329" i="4"/>
  <c r="AV5329" i="4"/>
  <c r="AP5329" i="4"/>
  <c r="AO5329" i="4"/>
  <c r="AN5329" i="4"/>
  <c r="AM5329" i="4"/>
  <c r="BH5329" i="4"/>
  <c r="AX5328" i="4"/>
  <c r="AW5328" i="4"/>
  <c r="AV5328" i="4"/>
  <c r="AP5328" i="4"/>
  <c r="AO5328" i="4"/>
  <c r="AN5328" i="4"/>
  <c r="AM5328" i="4"/>
  <c r="BH5328" i="4"/>
  <c r="AX5327" i="4"/>
  <c r="AW5327" i="4"/>
  <c r="AV5327" i="4"/>
  <c r="AP5327" i="4"/>
  <c r="AO5327" i="4"/>
  <c r="AN5327" i="4"/>
  <c r="AM5327" i="4"/>
  <c r="BH5327" i="4"/>
  <c r="AX5326" i="4"/>
  <c r="AW5326" i="4"/>
  <c r="AV5326" i="4"/>
  <c r="AP5326" i="4"/>
  <c r="AO5326" i="4"/>
  <c r="AN5326" i="4"/>
  <c r="AM5326" i="4"/>
  <c r="BH5326" i="4"/>
  <c r="AX5325" i="4"/>
  <c r="AW5325" i="4"/>
  <c r="AV5325" i="4"/>
  <c r="AP5325" i="4"/>
  <c r="AO5325" i="4"/>
  <c r="AN5325" i="4"/>
  <c r="AM5325" i="4"/>
  <c r="BH5325" i="4"/>
  <c r="AX5324" i="4"/>
  <c r="AW5324" i="4"/>
  <c r="AV5324" i="4"/>
  <c r="AP5324" i="4"/>
  <c r="AO5324" i="4"/>
  <c r="AN5324" i="4"/>
  <c r="AM5324" i="4"/>
  <c r="BH5324" i="4"/>
  <c r="AX5323" i="4"/>
  <c r="AW5323" i="4"/>
  <c r="AV5323" i="4"/>
  <c r="AP5323" i="4"/>
  <c r="AO5323" i="4"/>
  <c r="AN5323" i="4"/>
  <c r="AM5323" i="4"/>
  <c r="BH5323" i="4"/>
  <c r="AX5322" i="4"/>
  <c r="AW5322" i="4"/>
  <c r="AV5322" i="4"/>
  <c r="AP5322" i="4"/>
  <c r="AO5322" i="4"/>
  <c r="AN5322" i="4"/>
  <c r="AM5322" i="4"/>
  <c r="BH5322" i="4"/>
  <c r="AX5321" i="4"/>
  <c r="AW5321" i="4"/>
  <c r="AV5321" i="4"/>
  <c r="AP5321" i="4"/>
  <c r="AO5321" i="4"/>
  <c r="AN5321" i="4"/>
  <c r="AM5321" i="4"/>
  <c r="BH5321" i="4"/>
  <c r="AX5320" i="4"/>
  <c r="AW5320" i="4"/>
  <c r="AV5320" i="4"/>
  <c r="AP5320" i="4"/>
  <c r="AO5320" i="4"/>
  <c r="AN5320" i="4"/>
  <c r="AM5320" i="4"/>
  <c r="BH5320" i="4"/>
  <c r="AX5319" i="4"/>
  <c r="AW5319" i="4"/>
  <c r="AV5319" i="4"/>
  <c r="AP5319" i="4"/>
  <c r="AO5319" i="4"/>
  <c r="AN5319" i="4"/>
  <c r="AM5319" i="4"/>
  <c r="BH5319" i="4"/>
  <c r="AX5318" i="4"/>
  <c r="AW5318" i="4"/>
  <c r="AV5318" i="4"/>
  <c r="AP5318" i="4"/>
  <c r="AO5318" i="4"/>
  <c r="AN5318" i="4"/>
  <c r="AM5318" i="4"/>
  <c r="BH5318" i="4"/>
  <c r="AX5317" i="4"/>
  <c r="AW5317" i="4"/>
  <c r="AV5317" i="4"/>
  <c r="AP5317" i="4"/>
  <c r="AO5317" i="4"/>
  <c r="AN5317" i="4"/>
  <c r="AM5317" i="4"/>
  <c r="BH5317" i="4"/>
  <c r="AX5316" i="4"/>
  <c r="AW5316" i="4"/>
  <c r="AV5316" i="4"/>
  <c r="AP5316" i="4"/>
  <c r="AO5316" i="4"/>
  <c r="AN5316" i="4"/>
  <c r="AM5316" i="4"/>
  <c r="BH5316" i="4"/>
  <c r="AX5315" i="4"/>
  <c r="AW5315" i="4"/>
  <c r="AV5315" i="4"/>
  <c r="AP5315" i="4"/>
  <c r="AO5315" i="4"/>
  <c r="AN5315" i="4"/>
  <c r="AM5315" i="4"/>
  <c r="BH5315" i="4"/>
  <c r="AX5314" i="4"/>
  <c r="AW5314" i="4"/>
  <c r="AV5314" i="4"/>
  <c r="AP5314" i="4"/>
  <c r="AO5314" i="4"/>
  <c r="AN5314" i="4"/>
  <c r="AM5314" i="4"/>
  <c r="BH5314" i="4"/>
  <c r="AX5313" i="4"/>
  <c r="AW5313" i="4"/>
  <c r="AV5313" i="4"/>
  <c r="AP5313" i="4"/>
  <c r="AO5313" i="4"/>
  <c r="AN5313" i="4"/>
  <c r="AM5313" i="4"/>
  <c r="BH5313" i="4"/>
  <c r="AX5312" i="4"/>
  <c r="AW5312" i="4"/>
  <c r="AV5312" i="4"/>
  <c r="AP5312" i="4"/>
  <c r="AO5312" i="4"/>
  <c r="AN5312" i="4"/>
  <c r="AM5312" i="4"/>
  <c r="BH5312" i="4"/>
  <c r="AX5311" i="4"/>
  <c r="AW5311" i="4"/>
  <c r="AV5311" i="4"/>
  <c r="AP5311" i="4"/>
  <c r="AO5311" i="4"/>
  <c r="AN5311" i="4"/>
  <c r="AM5311" i="4"/>
  <c r="BH5311" i="4"/>
  <c r="AX5310" i="4"/>
  <c r="AW5310" i="4"/>
  <c r="AV5310" i="4"/>
  <c r="AP5310" i="4"/>
  <c r="AO5310" i="4"/>
  <c r="AN5310" i="4"/>
  <c r="AM5310" i="4"/>
  <c r="BH5310" i="4"/>
  <c r="AX5309" i="4"/>
  <c r="AW5309" i="4"/>
  <c r="AV5309" i="4"/>
  <c r="AP5309" i="4"/>
  <c r="AO5309" i="4"/>
  <c r="AN5309" i="4"/>
  <c r="AM5309" i="4"/>
  <c r="BH5309" i="4"/>
  <c r="AX5308" i="4"/>
  <c r="AW5308" i="4"/>
  <c r="AV5308" i="4"/>
  <c r="AP5308" i="4"/>
  <c r="AO5308" i="4"/>
  <c r="AN5308" i="4"/>
  <c r="AM5308" i="4"/>
  <c r="BH5308" i="4"/>
  <c r="AX5307" i="4"/>
  <c r="AW5307" i="4"/>
  <c r="AV5307" i="4"/>
  <c r="AP5307" i="4"/>
  <c r="AO5307" i="4"/>
  <c r="AN5307" i="4"/>
  <c r="AM5307" i="4"/>
  <c r="BH5307" i="4"/>
  <c r="AX5306" i="4"/>
  <c r="AW5306" i="4"/>
  <c r="AV5306" i="4"/>
  <c r="AP5306" i="4"/>
  <c r="AO5306" i="4"/>
  <c r="AN5306" i="4"/>
  <c r="AM5306" i="4"/>
  <c r="BH5306" i="4"/>
  <c r="AX5305" i="4"/>
  <c r="AW5305" i="4"/>
  <c r="AV5305" i="4"/>
  <c r="AP5305" i="4"/>
  <c r="AO5305" i="4"/>
  <c r="AN5305" i="4"/>
  <c r="AM5305" i="4"/>
  <c r="BH5305" i="4"/>
  <c r="AX5304" i="4"/>
  <c r="AW5304" i="4"/>
  <c r="AV5304" i="4"/>
  <c r="AP5304" i="4"/>
  <c r="AO5304" i="4"/>
  <c r="AN5304" i="4"/>
  <c r="AM5304" i="4"/>
  <c r="BH5304" i="4"/>
  <c r="AX5303" i="4"/>
  <c r="AW5303" i="4"/>
  <c r="AV5303" i="4"/>
  <c r="AP5303" i="4"/>
  <c r="AO5303" i="4"/>
  <c r="AN5303" i="4"/>
  <c r="AM5303" i="4"/>
  <c r="BH5303" i="4"/>
  <c r="AX5302" i="4"/>
  <c r="AW5302" i="4"/>
  <c r="AV5302" i="4"/>
  <c r="AP5302" i="4"/>
  <c r="AO5302" i="4"/>
  <c r="AN5302" i="4"/>
  <c r="AM5302" i="4"/>
  <c r="BH5302" i="4"/>
  <c r="AX5301" i="4"/>
  <c r="AW5301" i="4"/>
  <c r="AV5301" i="4"/>
  <c r="AP5301" i="4"/>
  <c r="AO5301" i="4"/>
  <c r="AN5301" i="4"/>
  <c r="AM5301" i="4"/>
  <c r="BH5301" i="4"/>
  <c r="AX5300" i="4"/>
  <c r="AW5300" i="4"/>
  <c r="AV5300" i="4"/>
  <c r="AP5300" i="4"/>
  <c r="AO5300" i="4"/>
  <c r="AN5300" i="4"/>
  <c r="AM5300" i="4"/>
  <c r="BH5300" i="4"/>
  <c r="AX5299" i="4"/>
  <c r="AW5299" i="4"/>
  <c r="AV5299" i="4"/>
  <c r="AP5299" i="4"/>
  <c r="AO5299" i="4"/>
  <c r="AN5299" i="4"/>
  <c r="AM5299" i="4"/>
  <c r="BH5299" i="4"/>
  <c r="AX5298" i="4"/>
  <c r="AW5298" i="4"/>
  <c r="AV5298" i="4"/>
  <c r="AP5298" i="4"/>
  <c r="AO5298" i="4"/>
  <c r="AN5298" i="4"/>
  <c r="AM5298" i="4"/>
  <c r="BH5298" i="4"/>
  <c r="AX5297" i="4"/>
  <c r="AW5297" i="4"/>
  <c r="AV5297" i="4"/>
  <c r="AP5297" i="4"/>
  <c r="AO5297" i="4"/>
  <c r="AN5297" i="4"/>
  <c r="AM5297" i="4"/>
  <c r="BH5297" i="4"/>
  <c r="AX5296" i="4"/>
  <c r="AW5296" i="4"/>
  <c r="AV5296" i="4"/>
  <c r="AP5296" i="4"/>
  <c r="AO5296" i="4"/>
  <c r="AN5296" i="4"/>
  <c r="AM5296" i="4"/>
  <c r="BH5296" i="4"/>
  <c r="AX5295" i="4"/>
  <c r="AW5295" i="4"/>
  <c r="AV5295" i="4"/>
  <c r="AP5295" i="4"/>
  <c r="AO5295" i="4"/>
  <c r="AN5295" i="4"/>
  <c r="AM5295" i="4"/>
  <c r="BH5295" i="4"/>
  <c r="AX5294" i="4"/>
  <c r="AW5294" i="4"/>
  <c r="AV5294" i="4"/>
  <c r="AP5294" i="4"/>
  <c r="AO5294" i="4"/>
  <c r="AN5294" i="4"/>
  <c r="AM5294" i="4"/>
  <c r="BH5294" i="4"/>
  <c r="AX5293" i="4"/>
  <c r="AW5293" i="4"/>
  <c r="AV5293" i="4"/>
  <c r="AP5293" i="4"/>
  <c r="AO5293" i="4"/>
  <c r="AN5293" i="4"/>
  <c r="AM5293" i="4"/>
  <c r="BH5293" i="4"/>
  <c r="AX5292" i="4"/>
  <c r="AW5292" i="4"/>
  <c r="AV5292" i="4"/>
  <c r="AP5292" i="4"/>
  <c r="AO5292" i="4"/>
  <c r="AN5292" i="4"/>
  <c r="AM5292" i="4"/>
  <c r="BH5292" i="4"/>
  <c r="AX5291" i="4"/>
  <c r="AW5291" i="4"/>
  <c r="AV5291" i="4"/>
  <c r="AP5291" i="4"/>
  <c r="AO5291" i="4"/>
  <c r="AN5291" i="4"/>
  <c r="AM5291" i="4"/>
  <c r="BH5291" i="4"/>
  <c r="AX5290" i="4"/>
  <c r="AW5290" i="4"/>
  <c r="AV5290" i="4"/>
  <c r="AP5290" i="4"/>
  <c r="AO5290" i="4"/>
  <c r="AN5290" i="4"/>
  <c r="AM5290" i="4"/>
  <c r="BH5290" i="4"/>
  <c r="AX5289" i="4"/>
  <c r="AW5289" i="4"/>
  <c r="AV5289" i="4"/>
  <c r="AP5289" i="4"/>
  <c r="AO5289" i="4"/>
  <c r="AN5289" i="4"/>
  <c r="AM5289" i="4"/>
  <c r="BH5289" i="4"/>
  <c r="AX5288" i="4"/>
  <c r="AW5288" i="4"/>
  <c r="AV5288" i="4"/>
  <c r="AP5288" i="4"/>
  <c r="AO5288" i="4"/>
  <c r="AN5288" i="4"/>
  <c r="AM5288" i="4"/>
  <c r="BH5288" i="4"/>
  <c r="AX5287" i="4"/>
  <c r="AW5287" i="4"/>
  <c r="AV5287" i="4"/>
  <c r="AP5287" i="4"/>
  <c r="AO5287" i="4"/>
  <c r="AN5287" i="4"/>
  <c r="AM5287" i="4"/>
  <c r="BH5287" i="4"/>
  <c r="AX5286" i="4"/>
  <c r="AW5286" i="4"/>
  <c r="AV5286" i="4"/>
  <c r="AP5286" i="4"/>
  <c r="AO5286" i="4"/>
  <c r="AN5286" i="4"/>
  <c r="AM5286" i="4"/>
  <c r="BH5286" i="4"/>
  <c r="AX5285" i="4"/>
  <c r="AW5285" i="4"/>
  <c r="AV5285" i="4"/>
  <c r="AP5285" i="4"/>
  <c r="AO5285" i="4"/>
  <c r="AN5285" i="4"/>
  <c r="AM5285" i="4"/>
  <c r="BH5285" i="4"/>
  <c r="AX5284" i="4"/>
  <c r="AW5284" i="4"/>
  <c r="AV5284" i="4"/>
  <c r="AP5284" i="4"/>
  <c r="AO5284" i="4"/>
  <c r="AN5284" i="4"/>
  <c r="AM5284" i="4"/>
  <c r="BH5284" i="4"/>
  <c r="AX5283" i="4"/>
  <c r="AW5283" i="4"/>
  <c r="AV5283" i="4"/>
  <c r="AP5283" i="4"/>
  <c r="AO5283" i="4"/>
  <c r="AN5283" i="4"/>
  <c r="AM5283" i="4"/>
  <c r="BH5283" i="4"/>
  <c r="AX5282" i="4"/>
  <c r="AW5282" i="4"/>
  <c r="AV5282" i="4"/>
  <c r="AP5282" i="4"/>
  <c r="AO5282" i="4"/>
  <c r="AN5282" i="4"/>
  <c r="AM5282" i="4"/>
  <c r="BH5282" i="4"/>
  <c r="AX5281" i="4"/>
  <c r="AW5281" i="4"/>
  <c r="AV5281" i="4"/>
  <c r="AP5281" i="4"/>
  <c r="AO5281" i="4"/>
  <c r="AN5281" i="4"/>
  <c r="AM5281" i="4"/>
  <c r="BH5281" i="4"/>
  <c r="AX5280" i="4"/>
  <c r="AW5280" i="4"/>
  <c r="AV5280" i="4"/>
  <c r="AP5280" i="4"/>
  <c r="AO5280" i="4"/>
  <c r="AN5280" i="4"/>
  <c r="AM5280" i="4"/>
  <c r="BH5280" i="4"/>
  <c r="AX5279" i="4"/>
  <c r="AW5279" i="4"/>
  <c r="AV5279" i="4"/>
  <c r="AP5279" i="4"/>
  <c r="AO5279" i="4"/>
  <c r="AN5279" i="4"/>
  <c r="AM5279" i="4"/>
  <c r="BH5279" i="4"/>
  <c r="AX5278" i="4"/>
  <c r="AW5278" i="4"/>
  <c r="AV5278" i="4"/>
  <c r="AP5278" i="4"/>
  <c r="AO5278" i="4"/>
  <c r="AN5278" i="4"/>
  <c r="AM5278" i="4"/>
  <c r="BH5278" i="4"/>
  <c r="AX5277" i="4"/>
  <c r="AW5277" i="4"/>
  <c r="AV5277" i="4"/>
  <c r="AP5277" i="4"/>
  <c r="AO5277" i="4"/>
  <c r="AN5277" i="4"/>
  <c r="AM5277" i="4"/>
  <c r="BH5277" i="4"/>
  <c r="AX5276" i="4"/>
  <c r="AW5276" i="4"/>
  <c r="AV5276" i="4"/>
  <c r="AP5276" i="4"/>
  <c r="AO5276" i="4"/>
  <c r="AN5276" i="4"/>
  <c r="AM5276" i="4"/>
  <c r="BH5276" i="4"/>
  <c r="AX5275" i="4"/>
  <c r="AW5275" i="4"/>
  <c r="AV5275" i="4"/>
  <c r="AP5275" i="4"/>
  <c r="AO5275" i="4"/>
  <c r="AN5275" i="4"/>
  <c r="AM5275" i="4"/>
  <c r="BH5275" i="4"/>
  <c r="AX5274" i="4"/>
  <c r="AW5274" i="4"/>
  <c r="AV5274" i="4"/>
  <c r="AP5274" i="4"/>
  <c r="AO5274" i="4"/>
  <c r="AN5274" i="4"/>
  <c r="AM5274" i="4"/>
  <c r="BH5274" i="4"/>
  <c r="AX5273" i="4"/>
  <c r="AW5273" i="4"/>
  <c r="AV5273" i="4"/>
  <c r="AP5273" i="4"/>
  <c r="AO5273" i="4"/>
  <c r="AN5273" i="4"/>
  <c r="AM5273" i="4"/>
  <c r="BH5273" i="4"/>
  <c r="AX5272" i="4"/>
  <c r="AW5272" i="4"/>
  <c r="AV5272" i="4"/>
  <c r="AP5272" i="4"/>
  <c r="AO5272" i="4"/>
  <c r="AN5272" i="4"/>
  <c r="AM5272" i="4"/>
  <c r="BH5272" i="4"/>
  <c r="AX5271" i="4"/>
  <c r="AW5271" i="4"/>
  <c r="AV5271" i="4"/>
  <c r="AP5271" i="4"/>
  <c r="AO5271" i="4"/>
  <c r="AN5271" i="4"/>
  <c r="AM5271" i="4"/>
  <c r="BH5271" i="4"/>
  <c r="AX5270" i="4"/>
  <c r="AW5270" i="4"/>
  <c r="AV5270" i="4"/>
  <c r="AP5270" i="4"/>
  <c r="AO5270" i="4"/>
  <c r="AN5270" i="4"/>
  <c r="AM5270" i="4"/>
  <c r="BH5270" i="4"/>
  <c r="AX5269" i="4"/>
  <c r="AW5269" i="4"/>
  <c r="AV5269" i="4"/>
  <c r="AP5269" i="4"/>
  <c r="AO5269" i="4"/>
  <c r="AN5269" i="4"/>
  <c r="AM5269" i="4"/>
  <c r="BH5269" i="4"/>
  <c r="AX5268" i="4"/>
  <c r="AW5268" i="4"/>
  <c r="AV5268" i="4"/>
  <c r="AP5268" i="4"/>
  <c r="AO5268" i="4"/>
  <c r="AN5268" i="4"/>
  <c r="AM5268" i="4"/>
  <c r="BH5268" i="4"/>
  <c r="AX5267" i="4"/>
  <c r="AW5267" i="4"/>
  <c r="AV5267" i="4"/>
  <c r="AP5267" i="4"/>
  <c r="AO5267" i="4"/>
  <c r="AN5267" i="4"/>
  <c r="AM5267" i="4"/>
  <c r="BH5267" i="4"/>
  <c r="AX5266" i="4"/>
  <c r="AW5266" i="4"/>
  <c r="AV5266" i="4"/>
  <c r="AP5266" i="4"/>
  <c r="AO5266" i="4"/>
  <c r="AN5266" i="4"/>
  <c r="AM5266" i="4"/>
  <c r="BH5266" i="4"/>
  <c r="AX5265" i="4"/>
  <c r="AW5265" i="4"/>
  <c r="AV5265" i="4"/>
  <c r="AP5265" i="4"/>
  <c r="AO5265" i="4"/>
  <c r="AN5265" i="4"/>
  <c r="AM5265" i="4"/>
  <c r="BH5265" i="4"/>
  <c r="AX5264" i="4"/>
  <c r="AW5264" i="4"/>
  <c r="AV5264" i="4"/>
  <c r="AP5264" i="4"/>
  <c r="AO5264" i="4"/>
  <c r="AN5264" i="4"/>
  <c r="AM5264" i="4"/>
  <c r="BH5264" i="4"/>
  <c r="AX5263" i="4"/>
  <c r="AW5263" i="4"/>
  <c r="AV5263" i="4"/>
  <c r="AP5263" i="4"/>
  <c r="AO5263" i="4"/>
  <c r="AN5263" i="4"/>
  <c r="AM5263" i="4"/>
  <c r="BH5263" i="4"/>
  <c r="AX5262" i="4"/>
  <c r="AW5262" i="4"/>
  <c r="AV5262" i="4"/>
  <c r="AP5262" i="4"/>
  <c r="AO5262" i="4"/>
  <c r="AN5262" i="4"/>
  <c r="AM5262" i="4"/>
  <c r="BH5262" i="4"/>
  <c r="AX5261" i="4"/>
  <c r="AW5261" i="4"/>
  <c r="AV5261" i="4"/>
  <c r="AP5261" i="4"/>
  <c r="AO5261" i="4"/>
  <c r="AN5261" i="4"/>
  <c r="AM5261" i="4"/>
  <c r="BH5261" i="4"/>
  <c r="AX5260" i="4"/>
  <c r="AW5260" i="4"/>
  <c r="AV5260" i="4"/>
  <c r="AP5260" i="4"/>
  <c r="AO5260" i="4"/>
  <c r="AN5260" i="4"/>
  <c r="AM5260" i="4"/>
  <c r="BH5260" i="4"/>
  <c r="AX5259" i="4"/>
  <c r="AW5259" i="4"/>
  <c r="AV5259" i="4"/>
  <c r="AP5259" i="4"/>
  <c r="AO5259" i="4"/>
  <c r="AN5259" i="4"/>
  <c r="AM5259" i="4"/>
  <c r="BH5259" i="4"/>
  <c r="AX5258" i="4"/>
  <c r="AW5258" i="4"/>
  <c r="AV5258" i="4"/>
  <c r="AP5258" i="4"/>
  <c r="AO5258" i="4"/>
  <c r="AN5258" i="4"/>
  <c r="AM5258" i="4"/>
  <c r="BH5258" i="4"/>
  <c r="AX5257" i="4"/>
  <c r="AW5257" i="4"/>
  <c r="AV5257" i="4"/>
  <c r="AP5257" i="4"/>
  <c r="AO5257" i="4"/>
  <c r="AN5257" i="4"/>
  <c r="AM5257" i="4"/>
  <c r="BH5257" i="4"/>
  <c r="AX5256" i="4"/>
  <c r="AW5256" i="4"/>
  <c r="AV5256" i="4"/>
  <c r="AP5256" i="4"/>
  <c r="AO5256" i="4"/>
  <c r="AN5256" i="4"/>
  <c r="AM5256" i="4"/>
  <c r="BH5256" i="4"/>
  <c r="AX5255" i="4"/>
  <c r="AW5255" i="4"/>
  <c r="AV5255" i="4"/>
  <c r="AP5255" i="4"/>
  <c r="AO5255" i="4"/>
  <c r="AN5255" i="4"/>
  <c r="AM5255" i="4"/>
  <c r="BH5255" i="4"/>
  <c r="AX5254" i="4"/>
  <c r="AW5254" i="4"/>
  <c r="AV5254" i="4"/>
  <c r="AP5254" i="4"/>
  <c r="AO5254" i="4"/>
  <c r="AN5254" i="4"/>
  <c r="AM5254" i="4"/>
  <c r="BH5254" i="4"/>
  <c r="AX5253" i="4"/>
  <c r="AW5253" i="4"/>
  <c r="AV5253" i="4"/>
  <c r="AP5253" i="4"/>
  <c r="AO5253" i="4"/>
  <c r="AN5253" i="4"/>
  <c r="AM5253" i="4"/>
  <c r="BH5253" i="4"/>
  <c r="AX5252" i="4"/>
  <c r="AW5252" i="4"/>
  <c r="AV5252" i="4"/>
  <c r="AP5252" i="4"/>
  <c r="AO5252" i="4"/>
  <c r="AN5252" i="4"/>
  <c r="AM5252" i="4"/>
  <c r="BH5252" i="4"/>
  <c r="AX5251" i="4"/>
  <c r="AW5251" i="4"/>
  <c r="AV5251" i="4"/>
  <c r="AP5251" i="4"/>
  <c r="AO5251" i="4"/>
  <c r="AN5251" i="4"/>
  <c r="AM5251" i="4"/>
  <c r="BH5251" i="4"/>
  <c r="AX5250" i="4"/>
  <c r="AW5250" i="4"/>
  <c r="AV5250" i="4"/>
  <c r="AP5250" i="4"/>
  <c r="AO5250" i="4"/>
  <c r="AN5250" i="4"/>
  <c r="AM5250" i="4"/>
  <c r="BH5250" i="4"/>
  <c r="AX5249" i="4"/>
  <c r="AW5249" i="4"/>
  <c r="AV5249" i="4"/>
  <c r="AP5249" i="4"/>
  <c r="AO5249" i="4"/>
  <c r="AN5249" i="4"/>
  <c r="AM5249" i="4"/>
  <c r="BH5249" i="4"/>
  <c r="AX5248" i="4"/>
  <c r="AW5248" i="4"/>
  <c r="AV5248" i="4"/>
  <c r="AP5248" i="4"/>
  <c r="AO5248" i="4"/>
  <c r="AN5248" i="4"/>
  <c r="AM5248" i="4"/>
  <c r="BH5248" i="4"/>
  <c r="AX5247" i="4"/>
  <c r="AW5247" i="4"/>
  <c r="AV5247" i="4"/>
  <c r="AP5247" i="4"/>
  <c r="AO5247" i="4"/>
  <c r="AN5247" i="4"/>
  <c r="AM5247" i="4"/>
  <c r="BH5247" i="4"/>
  <c r="AX5246" i="4"/>
  <c r="AW5246" i="4"/>
  <c r="AV5246" i="4"/>
  <c r="AP5246" i="4"/>
  <c r="AO5246" i="4"/>
  <c r="AN5246" i="4"/>
  <c r="AM5246" i="4"/>
  <c r="BH5246" i="4"/>
  <c r="AX5245" i="4"/>
  <c r="AW5245" i="4"/>
  <c r="AV5245" i="4"/>
  <c r="AP5245" i="4"/>
  <c r="AO5245" i="4"/>
  <c r="AN5245" i="4"/>
  <c r="AM5245" i="4"/>
  <c r="BH5245" i="4"/>
  <c r="AX5244" i="4"/>
  <c r="AW5244" i="4"/>
  <c r="AV5244" i="4"/>
  <c r="AP5244" i="4"/>
  <c r="AO5244" i="4"/>
  <c r="AN5244" i="4"/>
  <c r="AM5244" i="4"/>
  <c r="BH5244" i="4"/>
  <c r="AX5243" i="4"/>
  <c r="AW5243" i="4"/>
  <c r="AV5243" i="4"/>
  <c r="AP5243" i="4"/>
  <c r="AO5243" i="4"/>
  <c r="AN5243" i="4"/>
  <c r="AM5243" i="4"/>
  <c r="BH5243" i="4"/>
  <c r="AX5242" i="4"/>
  <c r="AW5242" i="4"/>
  <c r="AV5242" i="4"/>
  <c r="AP5242" i="4"/>
  <c r="AO5242" i="4"/>
  <c r="AN5242" i="4"/>
  <c r="AM5242" i="4"/>
  <c r="BH5242" i="4"/>
  <c r="AX5241" i="4"/>
  <c r="AW5241" i="4"/>
  <c r="AV5241" i="4"/>
  <c r="AP5241" i="4"/>
  <c r="AO5241" i="4"/>
  <c r="AN5241" i="4"/>
  <c r="AM5241" i="4"/>
  <c r="BH5241" i="4"/>
  <c r="AX5240" i="4"/>
  <c r="AW5240" i="4"/>
  <c r="AV5240" i="4"/>
  <c r="AP5240" i="4"/>
  <c r="AO5240" i="4"/>
  <c r="AN5240" i="4"/>
  <c r="AM5240" i="4"/>
  <c r="BH5240" i="4"/>
  <c r="AX5239" i="4"/>
  <c r="AW5239" i="4"/>
  <c r="AV5239" i="4"/>
  <c r="AP5239" i="4"/>
  <c r="AO5239" i="4"/>
  <c r="AN5239" i="4"/>
  <c r="AM5239" i="4"/>
  <c r="BH5239" i="4"/>
  <c r="AX5238" i="4"/>
  <c r="AW5238" i="4"/>
  <c r="AV5238" i="4"/>
  <c r="AP5238" i="4"/>
  <c r="AO5238" i="4"/>
  <c r="AN5238" i="4"/>
  <c r="AM5238" i="4"/>
  <c r="BH5238" i="4"/>
  <c r="AX5237" i="4"/>
  <c r="AW5237" i="4"/>
  <c r="AV5237" i="4"/>
  <c r="AP5237" i="4"/>
  <c r="AO5237" i="4"/>
  <c r="AN5237" i="4"/>
  <c r="AM5237" i="4"/>
  <c r="BH5237" i="4"/>
  <c r="AX5236" i="4"/>
  <c r="AW5236" i="4"/>
  <c r="AV5236" i="4"/>
  <c r="AP5236" i="4"/>
  <c r="AO5236" i="4"/>
  <c r="AN5236" i="4"/>
  <c r="AM5236" i="4"/>
  <c r="BH5236" i="4"/>
  <c r="AX5235" i="4"/>
  <c r="AW5235" i="4"/>
  <c r="AV5235" i="4"/>
  <c r="AP5235" i="4"/>
  <c r="AO5235" i="4"/>
  <c r="AN5235" i="4"/>
  <c r="AM5235" i="4"/>
  <c r="BH5235" i="4"/>
  <c r="AX5234" i="4"/>
  <c r="AW5234" i="4"/>
  <c r="AV5234" i="4"/>
  <c r="AP5234" i="4"/>
  <c r="AO5234" i="4"/>
  <c r="AN5234" i="4"/>
  <c r="AM5234" i="4"/>
  <c r="BH5234" i="4"/>
  <c r="AX5233" i="4"/>
  <c r="AW5233" i="4"/>
  <c r="AV5233" i="4"/>
  <c r="AP5233" i="4"/>
  <c r="AO5233" i="4"/>
  <c r="AN5233" i="4"/>
  <c r="AM5233" i="4"/>
  <c r="BH5233" i="4"/>
  <c r="AX5232" i="4"/>
  <c r="AW5232" i="4"/>
  <c r="AV5232" i="4"/>
  <c r="AP5232" i="4"/>
  <c r="AO5232" i="4"/>
  <c r="AN5232" i="4"/>
  <c r="AM5232" i="4"/>
  <c r="BH5232" i="4"/>
  <c r="AX5231" i="4"/>
  <c r="AW5231" i="4"/>
  <c r="AV5231" i="4"/>
  <c r="AP5231" i="4"/>
  <c r="AO5231" i="4"/>
  <c r="AN5231" i="4"/>
  <c r="AM5231" i="4"/>
  <c r="BH5231" i="4"/>
  <c r="AX5230" i="4"/>
  <c r="AW5230" i="4"/>
  <c r="AV5230" i="4"/>
  <c r="AP5230" i="4"/>
  <c r="AO5230" i="4"/>
  <c r="AN5230" i="4"/>
  <c r="AM5230" i="4"/>
  <c r="BH5230" i="4"/>
  <c r="AX5229" i="4"/>
  <c r="AW5229" i="4"/>
  <c r="AV5229" i="4"/>
  <c r="AP5229" i="4"/>
  <c r="AO5229" i="4"/>
  <c r="AN5229" i="4"/>
  <c r="AM5229" i="4"/>
  <c r="BH5229" i="4"/>
  <c r="AX5228" i="4"/>
  <c r="AW5228" i="4"/>
  <c r="AV5228" i="4"/>
  <c r="AP5228" i="4"/>
  <c r="AO5228" i="4"/>
  <c r="AN5228" i="4"/>
  <c r="AM5228" i="4"/>
  <c r="BH5228" i="4"/>
  <c r="AX5227" i="4"/>
  <c r="AW5227" i="4"/>
  <c r="AV5227" i="4"/>
  <c r="AP5227" i="4"/>
  <c r="AO5227" i="4"/>
  <c r="AN5227" i="4"/>
  <c r="AM5227" i="4"/>
  <c r="BH5227" i="4"/>
  <c r="AX5226" i="4"/>
  <c r="AW5226" i="4"/>
  <c r="AV5226" i="4"/>
  <c r="AP5226" i="4"/>
  <c r="AO5226" i="4"/>
  <c r="AN5226" i="4"/>
  <c r="AM5226" i="4"/>
  <c r="BH5226" i="4"/>
  <c r="AX5225" i="4"/>
  <c r="AW5225" i="4"/>
  <c r="AV5225" i="4"/>
  <c r="AP5225" i="4"/>
  <c r="AO5225" i="4"/>
  <c r="AN5225" i="4"/>
  <c r="AM5225" i="4"/>
  <c r="BH5225" i="4"/>
  <c r="AX5224" i="4"/>
  <c r="AW5224" i="4"/>
  <c r="AV5224" i="4"/>
  <c r="AP5224" i="4"/>
  <c r="AO5224" i="4"/>
  <c r="AN5224" i="4"/>
  <c r="AM5224" i="4"/>
  <c r="BH5224" i="4"/>
  <c r="AX5223" i="4"/>
  <c r="AW5223" i="4"/>
  <c r="AV5223" i="4"/>
  <c r="AP5223" i="4"/>
  <c r="AO5223" i="4"/>
  <c r="AN5223" i="4"/>
  <c r="AM5223" i="4"/>
  <c r="BH5223" i="4"/>
  <c r="AX5222" i="4"/>
  <c r="AW5222" i="4"/>
  <c r="AV5222" i="4"/>
  <c r="AP5222" i="4"/>
  <c r="AO5222" i="4"/>
  <c r="AN5222" i="4"/>
  <c r="AM5222" i="4"/>
  <c r="BH5222" i="4"/>
  <c r="AX5221" i="4"/>
  <c r="AW5221" i="4"/>
  <c r="AV5221" i="4"/>
  <c r="AP5221" i="4"/>
  <c r="AO5221" i="4"/>
  <c r="AN5221" i="4"/>
  <c r="AM5221" i="4"/>
  <c r="BH5221" i="4"/>
  <c r="AX5220" i="4"/>
  <c r="AW5220" i="4"/>
  <c r="AV5220" i="4"/>
  <c r="AP5220" i="4"/>
  <c r="AO5220" i="4"/>
  <c r="AN5220" i="4"/>
  <c r="AM5220" i="4"/>
  <c r="BH5220" i="4"/>
  <c r="AX5219" i="4"/>
  <c r="AW5219" i="4"/>
  <c r="AV5219" i="4"/>
  <c r="AP5219" i="4"/>
  <c r="AO5219" i="4"/>
  <c r="AN5219" i="4"/>
  <c r="AM5219" i="4"/>
  <c r="BH5219" i="4"/>
  <c r="AX5218" i="4"/>
  <c r="AW5218" i="4"/>
  <c r="AV5218" i="4"/>
  <c r="AP5218" i="4"/>
  <c r="AO5218" i="4"/>
  <c r="AN5218" i="4"/>
  <c r="AM5218" i="4"/>
  <c r="BH5218" i="4"/>
  <c r="AX5217" i="4"/>
  <c r="AW5217" i="4"/>
  <c r="AV5217" i="4"/>
  <c r="AP5217" i="4"/>
  <c r="AO5217" i="4"/>
  <c r="AN5217" i="4"/>
  <c r="AM5217" i="4"/>
  <c r="BH5217" i="4"/>
  <c r="AX5216" i="4"/>
  <c r="AW5216" i="4"/>
  <c r="AV5216" i="4"/>
  <c r="AP5216" i="4"/>
  <c r="AO5216" i="4"/>
  <c r="AN5216" i="4"/>
  <c r="AM5216" i="4"/>
  <c r="BH5216" i="4"/>
  <c r="AX5215" i="4"/>
  <c r="AW5215" i="4"/>
  <c r="AV5215" i="4"/>
  <c r="AP5215" i="4"/>
  <c r="AO5215" i="4"/>
  <c r="AN5215" i="4"/>
  <c r="AM5215" i="4"/>
  <c r="BH5215" i="4"/>
  <c r="AX5214" i="4"/>
  <c r="AW5214" i="4"/>
  <c r="AV5214" i="4"/>
  <c r="AP5214" i="4"/>
  <c r="AO5214" i="4"/>
  <c r="AN5214" i="4"/>
  <c r="AM5214" i="4"/>
  <c r="BH5214" i="4"/>
  <c r="AX5213" i="4"/>
  <c r="AW5213" i="4"/>
  <c r="AV5213" i="4"/>
  <c r="AP5213" i="4"/>
  <c r="AO5213" i="4"/>
  <c r="AN5213" i="4"/>
  <c r="AM5213" i="4"/>
  <c r="BH5213" i="4"/>
  <c r="AX5212" i="4"/>
  <c r="AW5212" i="4"/>
  <c r="AV5212" i="4"/>
  <c r="AP5212" i="4"/>
  <c r="AO5212" i="4"/>
  <c r="AN5212" i="4"/>
  <c r="AM5212" i="4"/>
  <c r="BH5212" i="4"/>
  <c r="AX5211" i="4"/>
  <c r="AW5211" i="4"/>
  <c r="AV5211" i="4"/>
  <c r="AP5211" i="4"/>
  <c r="AO5211" i="4"/>
  <c r="AN5211" i="4"/>
  <c r="AM5211" i="4"/>
  <c r="BH5211" i="4"/>
  <c r="AX5210" i="4"/>
  <c r="AW5210" i="4"/>
  <c r="AV5210" i="4"/>
  <c r="AP5210" i="4"/>
  <c r="AO5210" i="4"/>
  <c r="AN5210" i="4"/>
  <c r="AM5210" i="4"/>
  <c r="BH5210" i="4"/>
  <c r="AX5209" i="4"/>
  <c r="AW5209" i="4"/>
  <c r="AV5209" i="4"/>
  <c r="AP5209" i="4"/>
  <c r="AO5209" i="4"/>
  <c r="AN5209" i="4"/>
  <c r="AM5209" i="4"/>
  <c r="BH5209" i="4"/>
  <c r="AX5208" i="4"/>
  <c r="AW5208" i="4"/>
  <c r="AV5208" i="4"/>
  <c r="AP5208" i="4"/>
  <c r="AO5208" i="4"/>
  <c r="AN5208" i="4"/>
  <c r="AM5208" i="4"/>
  <c r="BH5208" i="4"/>
  <c r="AX5207" i="4"/>
  <c r="AW5207" i="4"/>
  <c r="AV5207" i="4"/>
  <c r="AP5207" i="4"/>
  <c r="AO5207" i="4"/>
  <c r="AN5207" i="4"/>
  <c r="AM5207" i="4"/>
  <c r="BH5207" i="4"/>
  <c r="AX5206" i="4"/>
  <c r="AW5206" i="4"/>
  <c r="AV5206" i="4"/>
  <c r="AP5206" i="4"/>
  <c r="AO5206" i="4"/>
  <c r="AN5206" i="4"/>
  <c r="AM5206" i="4"/>
  <c r="BH5206" i="4"/>
  <c r="AX5205" i="4"/>
  <c r="AW5205" i="4"/>
  <c r="AV5205" i="4"/>
  <c r="AP5205" i="4"/>
  <c r="AO5205" i="4"/>
  <c r="AN5205" i="4"/>
  <c r="AM5205" i="4"/>
  <c r="BH5205" i="4"/>
  <c r="AX5204" i="4"/>
  <c r="AW5204" i="4"/>
  <c r="AV5204" i="4"/>
  <c r="AP5204" i="4"/>
  <c r="AO5204" i="4"/>
  <c r="AN5204" i="4"/>
  <c r="AM5204" i="4"/>
  <c r="BH5204" i="4"/>
  <c r="AX5203" i="4"/>
  <c r="AW5203" i="4"/>
  <c r="AV5203" i="4"/>
  <c r="AP5203" i="4"/>
  <c r="AO5203" i="4"/>
  <c r="AN5203" i="4"/>
  <c r="AM5203" i="4"/>
  <c r="BH5203" i="4"/>
  <c r="AX5202" i="4"/>
  <c r="AW5202" i="4"/>
  <c r="AV5202" i="4"/>
  <c r="AP5202" i="4"/>
  <c r="AO5202" i="4"/>
  <c r="AN5202" i="4"/>
  <c r="AM5202" i="4"/>
  <c r="BH5202" i="4"/>
  <c r="AX5201" i="4"/>
  <c r="AW5201" i="4"/>
  <c r="AV5201" i="4"/>
  <c r="AP5201" i="4"/>
  <c r="AO5201" i="4"/>
  <c r="AN5201" i="4"/>
  <c r="AM5201" i="4"/>
  <c r="BH5201" i="4"/>
  <c r="AX5200" i="4"/>
  <c r="AW5200" i="4"/>
  <c r="AV5200" i="4"/>
  <c r="AP5200" i="4"/>
  <c r="AO5200" i="4"/>
  <c r="AN5200" i="4"/>
  <c r="AM5200" i="4"/>
  <c r="BH5200" i="4"/>
  <c r="AX5199" i="4"/>
  <c r="AW5199" i="4"/>
  <c r="AV5199" i="4"/>
  <c r="AP5199" i="4"/>
  <c r="AO5199" i="4"/>
  <c r="AN5199" i="4"/>
  <c r="AM5199" i="4"/>
  <c r="BH5199" i="4"/>
  <c r="AX5198" i="4"/>
  <c r="AW5198" i="4"/>
  <c r="AV5198" i="4"/>
  <c r="AP5198" i="4"/>
  <c r="AO5198" i="4"/>
  <c r="AN5198" i="4"/>
  <c r="AM5198" i="4"/>
  <c r="BH5198" i="4"/>
  <c r="AX5197" i="4"/>
  <c r="AW5197" i="4"/>
  <c r="AV5197" i="4"/>
  <c r="AP5197" i="4"/>
  <c r="AO5197" i="4"/>
  <c r="AN5197" i="4"/>
  <c r="AM5197" i="4"/>
  <c r="BH5197" i="4"/>
  <c r="AX5196" i="4"/>
  <c r="AW5196" i="4"/>
  <c r="AV5196" i="4"/>
  <c r="AP5196" i="4"/>
  <c r="AO5196" i="4"/>
  <c r="AN5196" i="4"/>
  <c r="AM5196" i="4"/>
  <c r="BH5196" i="4"/>
  <c r="AX5195" i="4"/>
  <c r="AW5195" i="4"/>
  <c r="AV5195" i="4"/>
  <c r="AP5195" i="4"/>
  <c r="AO5195" i="4"/>
  <c r="AN5195" i="4"/>
  <c r="AM5195" i="4"/>
  <c r="BH5195" i="4"/>
  <c r="AX5194" i="4"/>
  <c r="AW5194" i="4"/>
  <c r="AV5194" i="4"/>
  <c r="AP5194" i="4"/>
  <c r="AO5194" i="4"/>
  <c r="AN5194" i="4"/>
  <c r="AM5194" i="4"/>
  <c r="BH5194" i="4"/>
  <c r="AX5193" i="4"/>
  <c r="AW5193" i="4"/>
  <c r="AV5193" i="4"/>
  <c r="AP5193" i="4"/>
  <c r="AO5193" i="4"/>
  <c r="AN5193" i="4"/>
  <c r="AM5193" i="4"/>
  <c r="BH5193" i="4"/>
  <c r="AX5192" i="4"/>
  <c r="AW5192" i="4"/>
  <c r="AV5192" i="4"/>
  <c r="AP5192" i="4"/>
  <c r="AO5192" i="4"/>
  <c r="AN5192" i="4"/>
  <c r="AM5192" i="4"/>
  <c r="BH5192" i="4"/>
  <c r="AX5191" i="4"/>
  <c r="AW5191" i="4"/>
  <c r="AV5191" i="4"/>
  <c r="AP5191" i="4"/>
  <c r="AO5191" i="4"/>
  <c r="AN5191" i="4"/>
  <c r="AM5191" i="4"/>
  <c r="BH5191" i="4"/>
  <c r="AX5190" i="4"/>
  <c r="AW5190" i="4"/>
  <c r="AV5190" i="4"/>
  <c r="AP5190" i="4"/>
  <c r="AO5190" i="4"/>
  <c r="AN5190" i="4"/>
  <c r="AM5190" i="4"/>
  <c r="BH5190" i="4"/>
  <c r="AX5189" i="4"/>
  <c r="AW5189" i="4"/>
  <c r="AV5189" i="4"/>
  <c r="AP5189" i="4"/>
  <c r="AO5189" i="4"/>
  <c r="AN5189" i="4"/>
  <c r="AM5189" i="4"/>
  <c r="BH5189" i="4"/>
  <c r="AX5188" i="4"/>
  <c r="AW5188" i="4"/>
  <c r="AV5188" i="4"/>
  <c r="AP5188" i="4"/>
  <c r="AO5188" i="4"/>
  <c r="AN5188" i="4"/>
  <c r="AM5188" i="4"/>
  <c r="BH5188" i="4"/>
  <c r="AX5187" i="4"/>
  <c r="AW5187" i="4"/>
  <c r="AV5187" i="4"/>
  <c r="AP5187" i="4"/>
  <c r="AO5187" i="4"/>
  <c r="AN5187" i="4"/>
  <c r="AM5187" i="4"/>
  <c r="BH5187" i="4"/>
  <c r="AX5186" i="4"/>
  <c r="AW5186" i="4"/>
  <c r="AV5186" i="4"/>
  <c r="AP5186" i="4"/>
  <c r="AO5186" i="4"/>
  <c r="AN5186" i="4"/>
  <c r="AM5186" i="4"/>
  <c r="BH5186" i="4"/>
  <c r="AX5185" i="4"/>
  <c r="AW5185" i="4"/>
  <c r="AV5185" i="4"/>
  <c r="AP5185" i="4"/>
  <c r="AO5185" i="4"/>
  <c r="AN5185" i="4"/>
  <c r="AM5185" i="4"/>
  <c r="BH5185" i="4"/>
  <c r="AX5184" i="4"/>
  <c r="AW5184" i="4"/>
  <c r="AV5184" i="4"/>
  <c r="AP5184" i="4"/>
  <c r="AO5184" i="4"/>
  <c r="AN5184" i="4"/>
  <c r="AM5184" i="4"/>
  <c r="BH5184" i="4"/>
  <c r="AX5183" i="4"/>
  <c r="AW5183" i="4"/>
  <c r="AV5183" i="4"/>
  <c r="AP5183" i="4"/>
  <c r="AO5183" i="4"/>
  <c r="AN5183" i="4"/>
  <c r="AM5183" i="4"/>
  <c r="BH5183" i="4"/>
  <c r="AX5182" i="4"/>
  <c r="AW5182" i="4"/>
  <c r="AV5182" i="4"/>
  <c r="AP5182" i="4"/>
  <c r="AO5182" i="4"/>
  <c r="AN5182" i="4"/>
  <c r="AM5182" i="4"/>
  <c r="BH5182" i="4"/>
  <c r="AX5181" i="4"/>
  <c r="AW5181" i="4"/>
  <c r="AV5181" i="4"/>
  <c r="AP5181" i="4"/>
  <c r="AO5181" i="4"/>
  <c r="AN5181" i="4"/>
  <c r="AM5181" i="4"/>
  <c r="BH5181" i="4"/>
  <c r="AX5180" i="4"/>
  <c r="AW5180" i="4"/>
  <c r="AV5180" i="4"/>
  <c r="AP5180" i="4"/>
  <c r="AO5180" i="4"/>
  <c r="AN5180" i="4"/>
  <c r="AM5180" i="4"/>
  <c r="BH5180" i="4"/>
  <c r="AX5179" i="4"/>
  <c r="AW5179" i="4"/>
  <c r="AV5179" i="4"/>
  <c r="AP5179" i="4"/>
  <c r="AO5179" i="4"/>
  <c r="AN5179" i="4"/>
  <c r="AM5179" i="4"/>
  <c r="BH5179" i="4"/>
  <c r="AX5178" i="4"/>
  <c r="AW5178" i="4"/>
  <c r="AV5178" i="4"/>
  <c r="AP5178" i="4"/>
  <c r="AO5178" i="4"/>
  <c r="AN5178" i="4"/>
  <c r="AM5178" i="4"/>
  <c r="BH5178" i="4"/>
  <c r="AX5177" i="4"/>
  <c r="AW5177" i="4"/>
  <c r="AV5177" i="4"/>
  <c r="AP5177" i="4"/>
  <c r="AO5177" i="4"/>
  <c r="AN5177" i="4"/>
  <c r="AM5177" i="4"/>
  <c r="BH5177" i="4"/>
  <c r="AX5176" i="4"/>
  <c r="AW5176" i="4"/>
  <c r="AV5176" i="4"/>
  <c r="AP5176" i="4"/>
  <c r="AO5176" i="4"/>
  <c r="AN5176" i="4"/>
  <c r="AM5176" i="4"/>
  <c r="BH5176" i="4"/>
  <c r="AX5175" i="4"/>
  <c r="AW5175" i="4"/>
  <c r="AV5175" i="4"/>
  <c r="AP5175" i="4"/>
  <c r="AO5175" i="4"/>
  <c r="AN5175" i="4"/>
  <c r="AM5175" i="4"/>
  <c r="BH5175" i="4"/>
  <c r="AX5174" i="4"/>
  <c r="AW5174" i="4"/>
  <c r="AV5174" i="4"/>
  <c r="AP5174" i="4"/>
  <c r="AO5174" i="4"/>
  <c r="AN5174" i="4"/>
  <c r="AM5174" i="4"/>
  <c r="BH5174" i="4"/>
  <c r="AX5173" i="4"/>
  <c r="AW5173" i="4"/>
  <c r="AV5173" i="4"/>
  <c r="AP5173" i="4"/>
  <c r="AO5173" i="4"/>
  <c r="AN5173" i="4"/>
  <c r="AM5173" i="4"/>
  <c r="BH5173" i="4"/>
  <c r="AX5172" i="4"/>
  <c r="AW5172" i="4"/>
  <c r="AV5172" i="4"/>
  <c r="AP5172" i="4"/>
  <c r="AO5172" i="4"/>
  <c r="AN5172" i="4"/>
  <c r="AM5172" i="4"/>
  <c r="BH5172" i="4"/>
  <c r="AX5171" i="4"/>
  <c r="AW5171" i="4"/>
  <c r="AV5171" i="4"/>
  <c r="AP5171" i="4"/>
  <c r="AO5171" i="4"/>
  <c r="AN5171" i="4"/>
  <c r="AM5171" i="4"/>
  <c r="BH5171" i="4"/>
  <c r="AX5170" i="4"/>
  <c r="AW5170" i="4"/>
  <c r="AV5170" i="4"/>
  <c r="AP5170" i="4"/>
  <c r="AO5170" i="4"/>
  <c r="AN5170" i="4"/>
  <c r="AM5170" i="4"/>
  <c r="BH5170" i="4"/>
  <c r="AX5169" i="4"/>
  <c r="AW5169" i="4"/>
  <c r="AV5169" i="4"/>
  <c r="AP5169" i="4"/>
  <c r="AO5169" i="4"/>
  <c r="AN5169" i="4"/>
  <c r="AM5169" i="4"/>
  <c r="BH5169" i="4"/>
  <c r="AX5168" i="4"/>
  <c r="AW5168" i="4"/>
  <c r="AV5168" i="4"/>
  <c r="AP5168" i="4"/>
  <c r="AO5168" i="4"/>
  <c r="AN5168" i="4"/>
  <c r="AM5168" i="4"/>
  <c r="BH5168" i="4"/>
  <c r="AX5167" i="4"/>
  <c r="AW5167" i="4"/>
  <c r="AV5167" i="4"/>
  <c r="AP5167" i="4"/>
  <c r="AO5167" i="4"/>
  <c r="AN5167" i="4"/>
  <c r="AM5167" i="4"/>
  <c r="BH5167" i="4"/>
  <c r="AX5166" i="4"/>
  <c r="AW5166" i="4"/>
  <c r="AV5166" i="4"/>
  <c r="AP5166" i="4"/>
  <c r="AO5166" i="4"/>
  <c r="AN5166" i="4"/>
  <c r="AM5166" i="4"/>
  <c r="BH5166" i="4"/>
  <c r="AX5165" i="4"/>
  <c r="AW5165" i="4"/>
  <c r="AV5165" i="4"/>
  <c r="AP5165" i="4"/>
  <c r="AO5165" i="4"/>
  <c r="AN5165" i="4"/>
  <c r="AM5165" i="4"/>
  <c r="BH5165" i="4"/>
  <c r="AX5164" i="4"/>
  <c r="AW5164" i="4"/>
  <c r="AV5164" i="4"/>
  <c r="AP5164" i="4"/>
  <c r="AO5164" i="4"/>
  <c r="AN5164" i="4"/>
  <c r="AM5164" i="4"/>
  <c r="BH5164" i="4"/>
  <c r="AX5163" i="4"/>
  <c r="AW5163" i="4"/>
  <c r="AV5163" i="4"/>
  <c r="AP5163" i="4"/>
  <c r="AO5163" i="4"/>
  <c r="AN5163" i="4"/>
  <c r="AM5163" i="4"/>
  <c r="BH5163" i="4"/>
  <c r="AX5162" i="4"/>
  <c r="AW5162" i="4"/>
  <c r="AV5162" i="4"/>
  <c r="AP5162" i="4"/>
  <c r="AO5162" i="4"/>
  <c r="AN5162" i="4"/>
  <c r="AM5162" i="4"/>
  <c r="BH5162" i="4"/>
  <c r="AX5161" i="4"/>
  <c r="AW5161" i="4"/>
  <c r="AV5161" i="4"/>
  <c r="AP5161" i="4"/>
  <c r="AO5161" i="4"/>
  <c r="AN5161" i="4"/>
  <c r="AM5161" i="4"/>
  <c r="BH5161" i="4"/>
  <c r="AX5160" i="4"/>
  <c r="AW5160" i="4"/>
  <c r="AV5160" i="4"/>
  <c r="AP5160" i="4"/>
  <c r="AO5160" i="4"/>
  <c r="AN5160" i="4"/>
  <c r="AM5160" i="4"/>
  <c r="BH5160" i="4"/>
  <c r="AX5159" i="4"/>
  <c r="AW5159" i="4"/>
  <c r="AV5159" i="4"/>
  <c r="AP5159" i="4"/>
  <c r="AO5159" i="4"/>
  <c r="AN5159" i="4"/>
  <c r="AM5159" i="4"/>
  <c r="BH5159" i="4"/>
  <c r="AX5158" i="4"/>
  <c r="AW5158" i="4"/>
  <c r="AV5158" i="4"/>
  <c r="AP5158" i="4"/>
  <c r="AO5158" i="4"/>
  <c r="AN5158" i="4"/>
  <c r="AM5158" i="4"/>
  <c r="BH5158" i="4"/>
  <c r="AX5157" i="4"/>
  <c r="AW5157" i="4"/>
  <c r="AV5157" i="4"/>
  <c r="AP5157" i="4"/>
  <c r="AO5157" i="4"/>
  <c r="AN5157" i="4"/>
  <c r="AM5157" i="4"/>
  <c r="BH5157" i="4"/>
  <c r="AX5156" i="4"/>
  <c r="AW5156" i="4"/>
  <c r="AV5156" i="4"/>
  <c r="AP5156" i="4"/>
  <c r="AO5156" i="4"/>
  <c r="AN5156" i="4"/>
  <c r="AM5156" i="4"/>
  <c r="BH5156" i="4"/>
  <c r="AX5155" i="4"/>
  <c r="AW5155" i="4"/>
  <c r="AV5155" i="4"/>
  <c r="AP5155" i="4"/>
  <c r="AO5155" i="4"/>
  <c r="AN5155" i="4"/>
  <c r="AM5155" i="4"/>
  <c r="BH5155" i="4"/>
  <c r="AX5154" i="4"/>
  <c r="AW5154" i="4"/>
  <c r="AV5154" i="4"/>
  <c r="AP5154" i="4"/>
  <c r="AO5154" i="4"/>
  <c r="AN5154" i="4"/>
  <c r="AM5154" i="4"/>
  <c r="BH5154" i="4"/>
  <c r="AX5153" i="4"/>
  <c r="AW5153" i="4"/>
  <c r="AV5153" i="4"/>
  <c r="AP5153" i="4"/>
  <c r="AO5153" i="4"/>
  <c r="AN5153" i="4"/>
  <c r="AM5153" i="4"/>
  <c r="BH5153" i="4"/>
  <c r="AX5152" i="4"/>
  <c r="AW5152" i="4"/>
  <c r="AV5152" i="4"/>
  <c r="AP5152" i="4"/>
  <c r="AO5152" i="4"/>
  <c r="AN5152" i="4"/>
  <c r="AM5152" i="4"/>
  <c r="BH5152" i="4"/>
  <c r="AX5151" i="4"/>
  <c r="AW5151" i="4"/>
  <c r="AV5151" i="4"/>
  <c r="AP5151" i="4"/>
  <c r="AO5151" i="4"/>
  <c r="AN5151" i="4"/>
  <c r="AM5151" i="4"/>
  <c r="BH5151" i="4"/>
  <c r="AX5150" i="4"/>
  <c r="AW5150" i="4"/>
  <c r="AV5150" i="4"/>
  <c r="AP5150" i="4"/>
  <c r="AO5150" i="4"/>
  <c r="AN5150" i="4"/>
  <c r="AM5150" i="4"/>
  <c r="BH5150" i="4"/>
  <c r="AX5149" i="4"/>
  <c r="AW5149" i="4"/>
  <c r="AV5149" i="4"/>
  <c r="AP5149" i="4"/>
  <c r="AO5149" i="4"/>
  <c r="AN5149" i="4"/>
  <c r="AM5149" i="4"/>
  <c r="BH5149" i="4"/>
  <c r="AX5148" i="4"/>
  <c r="AW5148" i="4"/>
  <c r="AV5148" i="4"/>
  <c r="AP5148" i="4"/>
  <c r="AO5148" i="4"/>
  <c r="AN5148" i="4"/>
  <c r="AM5148" i="4"/>
  <c r="BH5148" i="4"/>
  <c r="AX5147" i="4"/>
  <c r="AW5147" i="4"/>
  <c r="AV5147" i="4"/>
  <c r="AP5147" i="4"/>
  <c r="AO5147" i="4"/>
  <c r="AN5147" i="4"/>
  <c r="AM5147" i="4"/>
  <c r="BH5147" i="4"/>
  <c r="AX5146" i="4"/>
  <c r="AW5146" i="4"/>
  <c r="AV5146" i="4"/>
  <c r="AP5146" i="4"/>
  <c r="AO5146" i="4"/>
  <c r="AN5146" i="4"/>
  <c r="AM5146" i="4"/>
  <c r="BH5146" i="4"/>
  <c r="AX5145" i="4"/>
  <c r="AW5145" i="4"/>
  <c r="AV5145" i="4"/>
  <c r="AP5145" i="4"/>
  <c r="AO5145" i="4"/>
  <c r="AN5145" i="4"/>
  <c r="AM5145" i="4"/>
  <c r="BH5145" i="4"/>
  <c r="AX5144" i="4"/>
  <c r="AW5144" i="4"/>
  <c r="AV5144" i="4"/>
  <c r="AP5144" i="4"/>
  <c r="AO5144" i="4"/>
  <c r="AN5144" i="4"/>
  <c r="AM5144" i="4"/>
  <c r="BH5144" i="4"/>
  <c r="AX5143" i="4"/>
  <c r="AW5143" i="4"/>
  <c r="AV5143" i="4"/>
  <c r="AP5143" i="4"/>
  <c r="AO5143" i="4"/>
  <c r="AN5143" i="4"/>
  <c r="AM5143" i="4"/>
  <c r="BH5143" i="4"/>
  <c r="AX5142" i="4"/>
  <c r="AW5142" i="4"/>
  <c r="AV5142" i="4"/>
  <c r="AP5142" i="4"/>
  <c r="AO5142" i="4"/>
  <c r="AN5142" i="4"/>
  <c r="AM5142" i="4"/>
  <c r="BH5142" i="4"/>
  <c r="AX5141" i="4"/>
  <c r="AW5141" i="4"/>
  <c r="AV5141" i="4"/>
  <c r="AP5141" i="4"/>
  <c r="AO5141" i="4"/>
  <c r="AN5141" i="4"/>
  <c r="AM5141" i="4"/>
  <c r="BH5141" i="4"/>
  <c r="AX5140" i="4"/>
  <c r="AW5140" i="4"/>
  <c r="AV5140" i="4"/>
  <c r="AP5140" i="4"/>
  <c r="AO5140" i="4"/>
  <c r="AN5140" i="4"/>
  <c r="AM5140" i="4"/>
  <c r="BH5140" i="4"/>
  <c r="AX5139" i="4"/>
  <c r="AW5139" i="4"/>
  <c r="AV5139" i="4"/>
  <c r="AP5139" i="4"/>
  <c r="AO5139" i="4"/>
  <c r="AN5139" i="4"/>
  <c r="AM5139" i="4"/>
  <c r="BH5139" i="4"/>
  <c r="AX5138" i="4"/>
  <c r="AW5138" i="4"/>
  <c r="AV5138" i="4"/>
  <c r="AP5138" i="4"/>
  <c r="AO5138" i="4"/>
  <c r="AN5138" i="4"/>
  <c r="AM5138" i="4"/>
  <c r="BH5138" i="4"/>
  <c r="AX5137" i="4"/>
  <c r="AW5137" i="4"/>
  <c r="AV5137" i="4"/>
  <c r="AP5137" i="4"/>
  <c r="AO5137" i="4"/>
  <c r="AN5137" i="4"/>
  <c r="AM5137" i="4"/>
  <c r="BH5137" i="4"/>
  <c r="AX5136" i="4"/>
  <c r="AW5136" i="4"/>
  <c r="AV5136" i="4"/>
  <c r="AP5136" i="4"/>
  <c r="AO5136" i="4"/>
  <c r="AN5136" i="4"/>
  <c r="AM5136" i="4"/>
  <c r="BH5136" i="4"/>
  <c r="AX5135" i="4"/>
  <c r="AW5135" i="4"/>
  <c r="AV5135" i="4"/>
  <c r="AP5135" i="4"/>
  <c r="AO5135" i="4"/>
  <c r="AN5135" i="4"/>
  <c r="AM5135" i="4"/>
  <c r="BH5135" i="4"/>
  <c r="AX5134" i="4"/>
  <c r="AW5134" i="4"/>
  <c r="AV5134" i="4"/>
  <c r="AP5134" i="4"/>
  <c r="AO5134" i="4"/>
  <c r="AN5134" i="4"/>
  <c r="AM5134" i="4"/>
  <c r="BH5134" i="4"/>
  <c r="AX5133" i="4"/>
  <c r="AW5133" i="4"/>
  <c r="AV5133" i="4"/>
  <c r="AP5133" i="4"/>
  <c r="AO5133" i="4"/>
  <c r="AN5133" i="4"/>
  <c r="AM5133" i="4"/>
  <c r="BH5133" i="4"/>
  <c r="AX5132" i="4"/>
  <c r="AW5132" i="4"/>
  <c r="AV5132" i="4"/>
  <c r="AP5132" i="4"/>
  <c r="AO5132" i="4"/>
  <c r="AN5132" i="4"/>
  <c r="AM5132" i="4"/>
  <c r="BH5132" i="4"/>
  <c r="AX5131" i="4"/>
  <c r="AW5131" i="4"/>
  <c r="AV5131" i="4"/>
  <c r="AP5131" i="4"/>
  <c r="AO5131" i="4"/>
  <c r="AN5131" i="4"/>
  <c r="AM5131" i="4"/>
  <c r="BH5131" i="4"/>
  <c r="AX5130" i="4"/>
  <c r="AW5130" i="4"/>
  <c r="AV5130" i="4"/>
  <c r="AP5130" i="4"/>
  <c r="AO5130" i="4"/>
  <c r="AN5130" i="4"/>
  <c r="AM5130" i="4"/>
  <c r="BH5130" i="4"/>
  <c r="AX5129" i="4"/>
  <c r="AW5129" i="4"/>
  <c r="AV5129" i="4"/>
  <c r="AP5129" i="4"/>
  <c r="AO5129" i="4"/>
  <c r="AN5129" i="4"/>
  <c r="AM5129" i="4"/>
  <c r="BH5129" i="4"/>
  <c r="AX5128" i="4"/>
  <c r="AW5128" i="4"/>
  <c r="AV5128" i="4"/>
  <c r="AP5128" i="4"/>
  <c r="AO5128" i="4"/>
  <c r="AN5128" i="4"/>
  <c r="AM5128" i="4"/>
  <c r="BH5128" i="4"/>
  <c r="AX5126" i="4"/>
  <c r="AW5126" i="4"/>
  <c r="AV5126" i="4"/>
  <c r="AP5126" i="4"/>
  <c r="AO5126" i="4"/>
  <c r="AN5126" i="4"/>
  <c r="AM5126" i="4"/>
  <c r="BH5126" i="4"/>
  <c r="AX5125" i="4"/>
  <c r="AW5125" i="4"/>
  <c r="AV5125" i="4"/>
  <c r="AP5125" i="4"/>
  <c r="AO5125" i="4"/>
  <c r="AN5125" i="4"/>
  <c r="AM5125" i="4"/>
  <c r="BH5125" i="4"/>
  <c r="AX5124" i="4"/>
  <c r="AW5124" i="4"/>
  <c r="AV5124" i="4"/>
  <c r="AP5124" i="4"/>
  <c r="AO5124" i="4"/>
  <c r="AN5124" i="4"/>
  <c r="AM5124" i="4"/>
  <c r="BH5124" i="4"/>
  <c r="AX5123" i="4"/>
  <c r="AW5123" i="4"/>
  <c r="AV5123" i="4"/>
  <c r="AP5123" i="4"/>
  <c r="AO5123" i="4"/>
  <c r="AN5123" i="4"/>
  <c r="AM5123" i="4"/>
  <c r="BH5123" i="4"/>
  <c r="AX5122" i="4"/>
  <c r="AW5122" i="4"/>
  <c r="AV5122" i="4"/>
  <c r="AP5122" i="4"/>
  <c r="AO5122" i="4"/>
  <c r="AN5122" i="4"/>
  <c r="AM5122" i="4"/>
  <c r="BH5122" i="4"/>
  <c r="AX5121" i="4"/>
  <c r="AW5121" i="4"/>
  <c r="AV5121" i="4"/>
  <c r="AP5121" i="4"/>
  <c r="AO5121" i="4"/>
  <c r="AN5121" i="4"/>
  <c r="AM5121" i="4"/>
  <c r="BH5121" i="4"/>
  <c r="AX5120" i="4"/>
  <c r="AW5120" i="4"/>
  <c r="AV5120" i="4"/>
  <c r="AP5120" i="4"/>
  <c r="AO5120" i="4"/>
  <c r="AN5120" i="4"/>
  <c r="AM5120" i="4"/>
  <c r="BH5120" i="4"/>
  <c r="AX5119" i="4"/>
  <c r="AW5119" i="4"/>
  <c r="AV5119" i="4"/>
  <c r="AP5119" i="4"/>
  <c r="AO5119" i="4"/>
  <c r="AN5119" i="4"/>
  <c r="AM5119" i="4"/>
  <c r="BH5119" i="4"/>
  <c r="AX5118" i="4"/>
  <c r="AW5118" i="4"/>
  <c r="AV5118" i="4"/>
  <c r="AP5118" i="4"/>
  <c r="AO5118" i="4"/>
  <c r="AN5118" i="4"/>
  <c r="AM5118" i="4"/>
  <c r="BH5118" i="4"/>
  <c r="AX5117" i="4"/>
  <c r="AW5117" i="4"/>
  <c r="AV5117" i="4"/>
  <c r="AP5117" i="4"/>
  <c r="AO5117" i="4"/>
  <c r="AN5117" i="4"/>
  <c r="AM5117" i="4"/>
  <c r="BH5117" i="4"/>
  <c r="AX5116" i="4"/>
  <c r="AW5116" i="4"/>
  <c r="AV5116" i="4"/>
  <c r="AP5116" i="4"/>
  <c r="AO5116" i="4"/>
  <c r="AN5116" i="4"/>
  <c r="AM5116" i="4"/>
  <c r="BH5116" i="4"/>
  <c r="AX5115" i="4"/>
  <c r="AW5115" i="4"/>
  <c r="AV5115" i="4"/>
  <c r="AP5115" i="4"/>
  <c r="AO5115" i="4"/>
  <c r="AN5115" i="4"/>
  <c r="AM5115" i="4"/>
  <c r="BH5115" i="4"/>
  <c r="AX5114" i="4"/>
  <c r="AW5114" i="4"/>
  <c r="AV5114" i="4"/>
  <c r="AP5114" i="4"/>
  <c r="AO5114" i="4"/>
  <c r="AN5114" i="4"/>
  <c r="AM5114" i="4"/>
  <c r="BH5114" i="4"/>
  <c r="AX5113" i="4"/>
  <c r="AW5113" i="4"/>
  <c r="AV5113" i="4"/>
  <c r="AP5113" i="4"/>
  <c r="AO5113" i="4"/>
  <c r="AN5113" i="4"/>
  <c r="AM5113" i="4"/>
  <c r="BH5113" i="4"/>
  <c r="AX5112" i="4"/>
  <c r="AW5112" i="4"/>
  <c r="AV5112" i="4"/>
  <c r="AP5112" i="4"/>
  <c r="AO5112" i="4"/>
  <c r="AN5112" i="4"/>
  <c r="AM5112" i="4"/>
  <c r="BH5112" i="4"/>
  <c r="AX5111" i="4"/>
  <c r="AW5111" i="4"/>
  <c r="AV5111" i="4"/>
  <c r="AP5111" i="4"/>
  <c r="AO5111" i="4"/>
  <c r="AN5111" i="4"/>
  <c r="AM5111" i="4"/>
  <c r="BH5111" i="4"/>
  <c r="AX5110" i="4"/>
  <c r="AW5110" i="4"/>
  <c r="AV5110" i="4"/>
  <c r="AP5110" i="4"/>
  <c r="AO5110" i="4"/>
  <c r="AN5110" i="4"/>
  <c r="AM5110" i="4"/>
  <c r="BH5110" i="4"/>
  <c r="AX5109" i="4"/>
  <c r="AW5109" i="4"/>
  <c r="AV5109" i="4"/>
  <c r="AP5109" i="4"/>
  <c r="AO5109" i="4"/>
  <c r="AN5109" i="4"/>
  <c r="AM5109" i="4"/>
  <c r="BH5109" i="4"/>
  <c r="AX5108" i="4"/>
  <c r="AW5108" i="4"/>
  <c r="AV5108" i="4"/>
  <c r="AP5108" i="4"/>
  <c r="AO5108" i="4"/>
  <c r="AN5108" i="4"/>
  <c r="AM5108" i="4"/>
  <c r="BH5108" i="4"/>
  <c r="AX5107" i="4"/>
  <c r="AW5107" i="4"/>
  <c r="AV5107" i="4"/>
  <c r="AP5107" i="4"/>
  <c r="AO5107" i="4"/>
  <c r="AN5107" i="4"/>
  <c r="AM5107" i="4"/>
  <c r="BH5107" i="4"/>
  <c r="AX5106" i="4"/>
  <c r="AW5106" i="4"/>
  <c r="AV5106" i="4"/>
  <c r="AP5106" i="4"/>
  <c r="AO5106" i="4"/>
  <c r="AN5106" i="4"/>
  <c r="AM5106" i="4"/>
  <c r="BH5106" i="4"/>
  <c r="AX5105" i="4"/>
  <c r="AW5105" i="4"/>
  <c r="AV5105" i="4"/>
  <c r="AP5105" i="4"/>
  <c r="AO5105" i="4"/>
  <c r="AN5105" i="4"/>
  <c r="AM5105" i="4"/>
  <c r="BH5105" i="4"/>
  <c r="AX5104" i="4"/>
  <c r="AW5104" i="4"/>
  <c r="AV5104" i="4"/>
  <c r="AP5104" i="4"/>
  <c r="AO5104" i="4"/>
  <c r="AN5104" i="4"/>
  <c r="AM5104" i="4"/>
  <c r="BH5104" i="4"/>
  <c r="AX5103" i="4"/>
  <c r="AW5103" i="4"/>
  <c r="AV5103" i="4"/>
  <c r="AP5103" i="4"/>
  <c r="AO5103" i="4"/>
  <c r="AN5103" i="4"/>
  <c r="AM5103" i="4"/>
  <c r="BH5103" i="4"/>
  <c r="AX5102" i="4"/>
  <c r="AW5102" i="4"/>
  <c r="AV5102" i="4"/>
  <c r="AP5102" i="4"/>
  <c r="AO5102" i="4"/>
  <c r="AN5102" i="4"/>
  <c r="AM5102" i="4"/>
  <c r="BH5102" i="4"/>
  <c r="AX5101" i="4"/>
  <c r="AW5101" i="4"/>
  <c r="AV5101" i="4"/>
  <c r="AP5101" i="4"/>
  <c r="AO5101" i="4"/>
  <c r="AN5101" i="4"/>
  <c r="AM5101" i="4"/>
  <c r="BH5101" i="4"/>
  <c r="AX5100" i="4"/>
  <c r="AW5100" i="4"/>
  <c r="AV5100" i="4"/>
  <c r="AP5100" i="4"/>
  <c r="AO5100" i="4"/>
  <c r="AN5100" i="4"/>
  <c r="AM5100" i="4"/>
  <c r="BH5100" i="4"/>
  <c r="AX5099" i="4"/>
  <c r="AW5099" i="4"/>
  <c r="AV5099" i="4"/>
  <c r="AP5099" i="4"/>
  <c r="AO5099" i="4"/>
  <c r="AN5099" i="4"/>
  <c r="AM5099" i="4"/>
  <c r="BH5099" i="4"/>
  <c r="AX5098" i="4"/>
  <c r="AW5098" i="4"/>
  <c r="AV5098" i="4"/>
  <c r="AP5098" i="4"/>
  <c r="AO5098" i="4"/>
  <c r="AN5098" i="4"/>
  <c r="AM5098" i="4"/>
  <c r="BH5098" i="4"/>
  <c r="AX5097" i="4"/>
  <c r="AW5097" i="4"/>
  <c r="AV5097" i="4"/>
  <c r="AP5097" i="4"/>
  <c r="AO5097" i="4"/>
  <c r="AN5097" i="4"/>
  <c r="AM5097" i="4"/>
  <c r="BH5097" i="4"/>
  <c r="AX5096" i="4"/>
  <c r="AW5096" i="4"/>
  <c r="AV5096" i="4"/>
  <c r="AP5096" i="4"/>
  <c r="AO5096" i="4"/>
  <c r="AN5096" i="4"/>
  <c r="AM5096" i="4"/>
  <c r="BH5096" i="4"/>
  <c r="AX5095" i="4"/>
  <c r="AW5095" i="4"/>
  <c r="AV5095" i="4"/>
  <c r="AP5095" i="4"/>
  <c r="AO5095" i="4"/>
  <c r="AN5095" i="4"/>
  <c r="AM5095" i="4"/>
  <c r="BH5095" i="4"/>
  <c r="AX5094" i="4"/>
  <c r="AW5094" i="4"/>
  <c r="AV5094" i="4"/>
  <c r="AP5094" i="4"/>
  <c r="AO5094" i="4"/>
  <c r="AN5094" i="4"/>
  <c r="AM5094" i="4"/>
  <c r="BH5094" i="4"/>
  <c r="AX5093" i="4"/>
  <c r="AW5093" i="4"/>
  <c r="AV5093" i="4"/>
  <c r="AP5093" i="4"/>
  <c r="AO5093" i="4"/>
  <c r="AN5093" i="4"/>
  <c r="AM5093" i="4"/>
  <c r="BH5093" i="4"/>
  <c r="AX5092" i="4"/>
  <c r="AW5092" i="4"/>
  <c r="AV5092" i="4"/>
  <c r="AP5092" i="4"/>
  <c r="AO5092" i="4"/>
  <c r="AN5092" i="4"/>
  <c r="AM5092" i="4"/>
  <c r="BH5092" i="4"/>
  <c r="AX5091" i="4"/>
  <c r="AW5091" i="4"/>
  <c r="AV5091" i="4"/>
  <c r="AP5091" i="4"/>
  <c r="AO5091" i="4"/>
  <c r="AN5091" i="4"/>
  <c r="AM5091" i="4"/>
  <c r="BH5091" i="4"/>
  <c r="AX5090" i="4"/>
  <c r="AW5090" i="4"/>
  <c r="AV5090" i="4"/>
  <c r="AP5090" i="4"/>
  <c r="AO5090" i="4"/>
  <c r="AN5090" i="4"/>
  <c r="AM5090" i="4"/>
  <c r="BH5090" i="4"/>
  <c r="AX5089" i="4"/>
  <c r="AW5089" i="4"/>
  <c r="AV5089" i="4"/>
  <c r="AP5089" i="4"/>
  <c r="AO5089" i="4"/>
  <c r="AN5089" i="4"/>
  <c r="AM5089" i="4"/>
  <c r="BH5089" i="4"/>
  <c r="AX5088" i="4"/>
  <c r="AW5088" i="4"/>
  <c r="AV5088" i="4"/>
  <c r="AP5088" i="4"/>
  <c r="AO5088" i="4"/>
  <c r="AN5088" i="4"/>
  <c r="AM5088" i="4"/>
  <c r="BH5088" i="4"/>
  <c r="AX5087" i="4"/>
  <c r="AW5087" i="4"/>
  <c r="AV5087" i="4"/>
  <c r="AP5087" i="4"/>
  <c r="AO5087" i="4"/>
  <c r="AN5087" i="4"/>
  <c r="AM5087" i="4"/>
  <c r="BH5087" i="4"/>
  <c r="AX5086" i="4"/>
  <c r="AW5086" i="4"/>
  <c r="AV5086" i="4"/>
  <c r="AP5086" i="4"/>
  <c r="AO5086" i="4"/>
  <c r="AN5086" i="4"/>
  <c r="AM5086" i="4"/>
  <c r="BH5086" i="4"/>
  <c r="AX5085" i="4"/>
  <c r="AW5085" i="4"/>
  <c r="AV5085" i="4"/>
  <c r="AP5085" i="4"/>
  <c r="AO5085" i="4"/>
  <c r="AN5085" i="4"/>
  <c r="AM5085" i="4"/>
  <c r="BH5085" i="4"/>
  <c r="AX5084" i="4"/>
  <c r="AW5084" i="4"/>
  <c r="AV5084" i="4"/>
  <c r="AP5084" i="4"/>
  <c r="AO5084" i="4"/>
  <c r="AN5084" i="4"/>
  <c r="AM5084" i="4"/>
  <c r="BH5084" i="4"/>
  <c r="AX5083" i="4"/>
  <c r="AW5083" i="4"/>
  <c r="AV5083" i="4"/>
  <c r="AP5083" i="4"/>
  <c r="AO5083" i="4"/>
  <c r="AN5083" i="4"/>
  <c r="AM5083" i="4"/>
  <c r="BH5083" i="4"/>
  <c r="AX5082" i="4"/>
  <c r="AW5082" i="4"/>
  <c r="AV5082" i="4"/>
  <c r="AP5082" i="4"/>
  <c r="AO5082" i="4"/>
  <c r="AN5082" i="4"/>
  <c r="AM5082" i="4"/>
  <c r="BH5082" i="4"/>
  <c r="AX5081" i="4"/>
  <c r="AW5081" i="4"/>
  <c r="AV5081" i="4"/>
  <c r="AP5081" i="4"/>
  <c r="AO5081" i="4"/>
  <c r="AN5081" i="4"/>
  <c r="AM5081" i="4"/>
  <c r="BH5081" i="4"/>
  <c r="AX5080" i="4"/>
  <c r="AW5080" i="4"/>
  <c r="AV5080" i="4"/>
  <c r="AP5080" i="4"/>
  <c r="AO5080" i="4"/>
  <c r="AN5080" i="4"/>
  <c r="AM5080" i="4"/>
  <c r="BH5080" i="4"/>
  <c r="AX5079" i="4"/>
  <c r="AW5079" i="4"/>
  <c r="AV5079" i="4"/>
  <c r="AP5079" i="4"/>
  <c r="AO5079" i="4"/>
  <c r="AN5079" i="4"/>
  <c r="AM5079" i="4"/>
  <c r="BH5079" i="4"/>
  <c r="AX5078" i="4"/>
  <c r="AW5078" i="4"/>
  <c r="AV5078" i="4"/>
  <c r="AP5078" i="4"/>
  <c r="AO5078" i="4"/>
  <c r="AN5078" i="4"/>
  <c r="AM5078" i="4"/>
  <c r="BH5078" i="4"/>
  <c r="AX5077" i="4"/>
  <c r="AW5077" i="4"/>
  <c r="AV5077" i="4"/>
  <c r="AP5077" i="4"/>
  <c r="AO5077" i="4"/>
  <c r="AN5077" i="4"/>
  <c r="AM5077" i="4"/>
  <c r="BH5077" i="4"/>
  <c r="AX5076" i="4"/>
  <c r="AW5076" i="4"/>
  <c r="AV5076" i="4"/>
  <c r="AP5076" i="4"/>
  <c r="AO5076" i="4"/>
  <c r="AN5076" i="4"/>
  <c r="AM5076" i="4"/>
  <c r="BH5076" i="4"/>
  <c r="AX5075" i="4"/>
  <c r="AW5075" i="4"/>
  <c r="AV5075" i="4"/>
  <c r="AP5075" i="4"/>
  <c r="AO5075" i="4"/>
  <c r="AN5075" i="4"/>
  <c r="AM5075" i="4"/>
  <c r="BH5075" i="4"/>
  <c r="AX5074" i="4"/>
  <c r="AW5074" i="4"/>
  <c r="AV5074" i="4"/>
  <c r="AP5074" i="4"/>
  <c r="AO5074" i="4"/>
  <c r="AN5074" i="4"/>
  <c r="AM5074" i="4"/>
  <c r="BH5074" i="4"/>
  <c r="AX5073" i="4"/>
  <c r="AW5073" i="4"/>
  <c r="AV5073" i="4"/>
  <c r="AP5073" i="4"/>
  <c r="AO5073" i="4"/>
  <c r="AN5073" i="4"/>
  <c r="AM5073" i="4"/>
  <c r="BH5073" i="4"/>
  <c r="AX5072" i="4"/>
  <c r="AW5072" i="4"/>
  <c r="AV5072" i="4"/>
  <c r="AP5072" i="4"/>
  <c r="AO5072" i="4"/>
  <c r="AN5072" i="4"/>
  <c r="AM5072" i="4"/>
  <c r="BH5072" i="4"/>
  <c r="AX5071" i="4"/>
  <c r="AW5071" i="4"/>
  <c r="AV5071" i="4"/>
  <c r="AP5071" i="4"/>
  <c r="AO5071" i="4"/>
  <c r="AN5071" i="4"/>
  <c r="AM5071" i="4"/>
  <c r="BH5071" i="4"/>
  <c r="AX5070" i="4"/>
  <c r="AW5070" i="4"/>
  <c r="AV5070" i="4"/>
  <c r="AP5070" i="4"/>
  <c r="AO5070" i="4"/>
  <c r="AN5070" i="4"/>
  <c r="AM5070" i="4"/>
  <c r="BH5070" i="4"/>
  <c r="AX5069" i="4"/>
  <c r="AW5069" i="4"/>
  <c r="AV5069" i="4"/>
  <c r="AP5069" i="4"/>
  <c r="AO5069" i="4"/>
  <c r="AN5069" i="4"/>
  <c r="AM5069" i="4"/>
  <c r="BH5069" i="4"/>
  <c r="AX5068" i="4"/>
  <c r="AW5068" i="4"/>
  <c r="AV5068" i="4"/>
  <c r="AP5068" i="4"/>
  <c r="AO5068" i="4"/>
  <c r="AN5068" i="4"/>
  <c r="AM5068" i="4"/>
  <c r="BH5068" i="4"/>
  <c r="AX5067" i="4"/>
  <c r="AW5067" i="4"/>
  <c r="AV5067" i="4"/>
  <c r="AP5067" i="4"/>
  <c r="AO5067" i="4"/>
  <c r="AN5067" i="4"/>
  <c r="AM5067" i="4"/>
  <c r="BH5067" i="4"/>
  <c r="AX5066" i="4"/>
  <c r="AW5066" i="4"/>
  <c r="AV5066" i="4"/>
  <c r="AP5066" i="4"/>
  <c r="AO5066" i="4"/>
  <c r="AN5066" i="4"/>
  <c r="AM5066" i="4"/>
  <c r="BH5066" i="4"/>
  <c r="AX5065" i="4"/>
  <c r="AW5065" i="4"/>
  <c r="AV5065" i="4"/>
  <c r="AP5065" i="4"/>
  <c r="AO5065" i="4"/>
  <c r="AN5065" i="4"/>
  <c r="AM5065" i="4"/>
  <c r="BH5065" i="4"/>
  <c r="AX5064" i="4"/>
  <c r="AW5064" i="4"/>
  <c r="AV5064" i="4"/>
  <c r="AP5064" i="4"/>
  <c r="AO5064" i="4"/>
  <c r="AN5064" i="4"/>
  <c r="AM5064" i="4"/>
  <c r="BH5064" i="4"/>
  <c r="AX5063" i="4"/>
  <c r="AW5063" i="4"/>
  <c r="AV5063" i="4"/>
  <c r="AP5063" i="4"/>
  <c r="AO5063" i="4"/>
  <c r="AN5063" i="4"/>
  <c r="AM5063" i="4"/>
  <c r="BH5063" i="4"/>
  <c r="AX5062" i="4"/>
  <c r="AW5062" i="4"/>
  <c r="AV5062" i="4"/>
  <c r="AP5062" i="4"/>
  <c r="AO5062" i="4"/>
  <c r="AN5062" i="4"/>
  <c r="AM5062" i="4"/>
  <c r="BH5062" i="4"/>
  <c r="AX5061" i="4"/>
  <c r="AW5061" i="4"/>
  <c r="AV5061" i="4"/>
  <c r="AP5061" i="4"/>
  <c r="AO5061" i="4"/>
  <c r="AN5061" i="4"/>
  <c r="AM5061" i="4"/>
  <c r="BH5061" i="4"/>
  <c r="AX5060" i="4"/>
  <c r="AW5060" i="4"/>
  <c r="AV5060" i="4"/>
  <c r="AP5060" i="4"/>
  <c r="AO5060" i="4"/>
  <c r="AN5060" i="4"/>
  <c r="AM5060" i="4"/>
  <c r="BH5060" i="4"/>
  <c r="AX5059" i="4"/>
  <c r="AW5059" i="4"/>
  <c r="AV5059" i="4"/>
  <c r="AP5059" i="4"/>
  <c r="AO5059" i="4"/>
  <c r="AN5059" i="4"/>
  <c r="AM5059" i="4"/>
  <c r="BH5059" i="4"/>
  <c r="AX5058" i="4"/>
  <c r="AW5058" i="4"/>
  <c r="AV5058" i="4"/>
  <c r="AP5058" i="4"/>
  <c r="AO5058" i="4"/>
  <c r="AN5058" i="4"/>
  <c r="AM5058" i="4"/>
  <c r="BH5058" i="4"/>
  <c r="AX5057" i="4"/>
  <c r="AW5057" i="4"/>
  <c r="AV5057" i="4"/>
  <c r="AP5057" i="4"/>
  <c r="AO5057" i="4"/>
  <c r="AN5057" i="4"/>
  <c r="AM5057" i="4"/>
  <c r="BH5057" i="4"/>
  <c r="AX5056" i="4"/>
  <c r="AW5056" i="4"/>
  <c r="AV5056" i="4"/>
  <c r="AP5056" i="4"/>
  <c r="AO5056" i="4"/>
  <c r="AN5056" i="4"/>
  <c r="AM5056" i="4"/>
  <c r="BH5056" i="4"/>
  <c r="AX5055" i="4"/>
  <c r="AW5055" i="4"/>
  <c r="AV5055" i="4"/>
  <c r="AP5055" i="4"/>
  <c r="AO5055" i="4"/>
  <c r="AN5055" i="4"/>
  <c r="AM5055" i="4"/>
  <c r="BH5055" i="4"/>
  <c r="AX5054" i="4"/>
  <c r="AW5054" i="4"/>
  <c r="AV5054" i="4"/>
  <c r="AP5054" i="4"/>
  <c r="AO5054" i="4"/>
  <c r="AN5054" i="4"/>
  <c r="AM5054" i="4"/>
  <c r="BH5054" i="4"/>
  <c r="AX5053" i="4"/>
  <c r="AW5053" i="4"/>
  <c r="AV5053" i="4"/>
  <c r="AP5053" i="4"/>
  <c r="AO5053" i="4"/>
  <c r="AN5053" i="4"/>
  <c r="AM5053" i="4"/>
  <c r="BH5053" i="4"/>
  <c r="AX5052" i="4"/>
  <c r="AW5052" i="4"/>
  <c r="AV5052" i="4"/>
  <c r="AP5052" i="4"/>
  <c r="AO5052" i="4"/>
  <c r="AN5052" i="4"/>
  <c r="AM5052" i="4"/>
  <c r="BH5052" i="4"/>
  <c r="AX5051" i="4"/>
  <c r="AW5051" i="4"/>
  <c r="AV5051" i="4"/>
  <c r="AP5051" i="4"/>
  <c r="AO5051" i="4"/>
  <c r="AN5051" i="4"/>
  <c r="AM5051" i="4"/>
  <c r="BH5051" i="4"/>
  <c r="AX5050" i="4"/>
  <c r="AW5050" i="4"/>
  <c r="AV5050" i="4"/>
  <c r="AP5050" i="4"/>
  <c r="AO5050" i="4"/>
  <c r="AN5050" i="4"/>
  <c r="AM5050" i="4"/>
  <c r="BH5050" i="4"/>
  <c r="AX5049" i="4"/>
  <c r="AW5049" i="4"/>
  <c r="AV5049" i="4"/>
  <c r="AP5049" i="4"/>
  <c r="AO5049" i="4"/>
  <c r="AN5049" i="4"/>
  <c r="AM5049" i="4"/>
  <c r="BH5049" i="4"/>
  <c r="AX5048" i="4"/>
  <c r="AW5048" i="4"/>
  <c r="AV5048" i="4"/>
  <c r="AP5048" i="4"/>
  <c r="AO5048" i="4"/>
  <c r="AN5048" i="4"/>
  <c r="AM5048" i="4"/>
  <c r="BH5048" i="4"/>
  <c r="AX5047" i="4"/>
  <c r="AW5047" i="4"/>
  <c r="AV5047" i="4"/>
  <c r="AP5047" i="4"/>
  <c r="AO5047" i="4"/>
  <c r="AN5047" i="4"/>
  <c r="AM5047" i="4"/>
  <c r="BH5047" i="4"/>
  <c r="AX5046" i="4"/>
  <c r="AW5046" i="4"/>
  <c r="AV5046" i="4"/>
  <c r="AP5046" i="4"/>
  <c r="AO5046" i="4"/>
  <c r="AN5046" i="4"/>
  <c r="AM5046" i="4"/>
  <c r="BH5046" i="4"/>
  <c r="AX5045" i="4"/>
  <c r="AW5045" i="4"/>
  <c r="AV5045" i="4"/>
  <c r="AP5045" i="4"/>
  <c r="AO5045" i="4"/>
  <c r="AN5045" i="4"/>
  <c r="AM5045" i="4"/>
  <c r="BH5045" i="4"/>
  <c r="AX5044" i="4"/>
  <c r="AW5044" i="4"/>
  <c r="AV5044" i="4"/>
  <c r="AP5044" i="4"/>
  <c r="AO5044" i="4"/>
  <c r="AN5044" i="4"/>
  <c r="AM5044" i="4"/>
  <c r="BH5044" i="4"/>
  <c r="AX5043" i="4"/>
  <c r="AW5043" i="4"/>
  <c r="AV5043" i="4"/>
  <c r="AP5043" i="4"/>
  <c r="AO5043" i="4"/>
  <c r="AN5043" i="4"/>
  <c r="AM5043" i="4"/>
  <c r="BH5043" i="4"/>
  <c r="AX5042" i="4"/>
  <c r="AW5042" i="4"/>
  <c r="AV5042" i="4"/>
  <c r="AP5042" i="4"/>
  <c r="AO5042" i="4"/>
  <c r="AN5042" i="4"/>
  <c r="AM5042" i="4"/>
  <c r="BH5042" i="4"/>
  <c r="AX5041" i="4"/>
  <c r="AW5041" i="4"/>
  <c r="AV5041" i="4"/>
  <c r="AP5041" i="4"/>
  <c r="AO5041" i="4"/>
  <c r="AN5041" i="4"/>
  <c r="AM5041" i="4"/>
  <c r="BH5041" i="4"/>
  <c r="AX5040" i="4"/>
  <c r="AW5040" i="4"/>
  <c r="AV5040" i="4"/>
  <c r="AP5040" i="4"/>
  <c r="AO5040" i="4"/>
  <c r="AN5040" i="4"/>
  <c r="AM5040" i="4"/>
  <c r="BH5040" i="4"/>
  <c r="AX5039" i="4"/>
  <c r="AW5039" i="4"/>
  <c r="AV5039" i="4"/>
  <c r="AP5039" i="4"/>
  <c r="AO5039" i="4"/>
  <c r="AN5039" i="4"/>
  <c r="AM5039" i="4"/>
  <c r="BH5039" i="4"/>
  <c r="AX5038" i="4"/>
  <c r="AW5038" i="4"/>
  <c r="AV5038" i="4"/>
  <c r="AP5038" i="4"/>
  <c r="AO5038" i="4"/>
  <c r="AN5038" i="4"/>
  <c r="AM5038" i="4"/>
  <c r="BH5038" i="4"/>
  <c r="AX5037" i="4"/>
  <c r="AW5037" i="4"/>
  <c r="AV5037" i="4"/>
  <c r="AP5037" i="4"/>
  <c r="AO5037" i="4"/>
  <c r="AN5037" i="4"/>
  <c r="AM5037" i="4"/>
  <c r="BH5037" i="4"/>
  <c r="AX5036" i="4"/>
  <c r="AW5036" i="4"/>
  <c r="AV5036" i="4"/>
  <c r="AP5036" i="4"/>
  <c r="AO5036" i="4"/>
  <c r="AN5036" i="4"/>
  <c r="AM5036" i="4"/>
  <c r="BH5036" i="4"/>
  <c r="AX5035" i="4"/>
  <c r="AW5035" i="4"/>
  <c r="AV5035" i="4"/>
  <c r="AP5035" i="4"/>
  <c r="AO5035" i="4"/>
  <c r="AN5035" i="4"/>
  <c r="AM5035" i="4"/>
  <c r="BH5035" i="4"/>
  <c r="AX5034" i="4"/>
  <c r="AW5034" i="4"/>
  <c r="AV5034" i="4"/>
  <c r="AP5034" i="4"/>
  <c r="AO5034" i="4"/>
  <c r="AN5034" i="4"/>
  <c r="AM5034" i="4"/>
  <c r="BH5034" i="4"/>
  <c r="AX5033" i="4"/>
  <c r="AW5033" i="4"/>
  <c r="AV5033" i="4"/>
  <c r="AP5033" i="4"/>
  <c r="AO5033" i="4"/>
  <c r="AN5033" i="4"/>
  <c r="AM5033" i="4"/>
  <c r="BH5033" i="4"/>
  <c r="AX5032" i="4"/>
  <c r="AW5032" i="4"/>
  <c r="AV5032" i="4"/>
  <c r="AP5032" i="4"/>
  <c r="AO5032" i="4"/>
  <c r="AN5032" i="4"/>
  <c r="AM5032" i="4"/>
  <c r="BH5032" i="4"/>
  <c r="AX5031" i="4"/>
  <c r="AW5031" i="4"/>
  <c r="AV5031" i="4"/>
  <c r="AP5031" i="4"/>
  <c r="AO5031" i="4"/>
  <c r="AN5031" i="4"/>
  <c r="AM5031" i="4"/>
  <c r="BH5031" i="4"/>
  <c r="AX5030" i="4"/>
  <c r="AW5030" i="4"/>
  <c r="AV5030" i="4"/>
  <c r="AP5030" i="4"/>
  <c r="AO5030" i="4"/>
  <c r="AN5030" i="4"/>
  <c r="AM5030" i="4"/>
  <c r="BH5030" i="4"/>
  <c r="AX5029" i="4"/>
  <c r="AW5029" i="4"/>
  <c r="AV5029" i="4"/>
  <c r="AP5029" i="4"/>
  <c r="AO5029" i="4"/>
  <c r="AN5029" i="4"/>
  <c r="AM5029" i="4"/>
  <c r="BH5029" i="4"/>
  <c r="AX5028" i="4"/>
  <c r="AW5028" i="4"/>
  <c r="AV5028" i="4"/>
  <c r="AP5028" i="4"/>
  <c r="AO5028" i="4"/>
  <c r="AN5028" i="4"/>
  <c r="AM5028" i="4"/>
  <c r="BH5028" i="4"/>
  <c r="AX5027" i="4"/>
  <c r="AW5027" i="4"/>
  <c r="AV5027" i="4"/>
  <c r="AP5027" i="4"/>
  <c r="AO5027" i="4"/>
  <c r="AN5027" i="4"/>
  <c r="AM5027" i="4"/>
  <c r="BH5027" i="4"/>
  <c r="AX5026" i="4"/>
  <c r="AW5026" i="4"/>
  <c r="AV5026" i="4"/>
  <c r="AP5026" i="4"/>
  <c r="AO5026" i="4"/>
  <c r="AN5026" i="4"/>
  <c r="AM5026" i="4"/>
  <c r="BH5026" i="4"/>
  <c r="AX5025" i="4"/>
  <c r="AW5025" i="4"/>
  <c r="AV5025" i="4"/>
  <c r="AP5025" i="4"/>
  <c r="AO5025" i="4"/>
  <c r="AN5025" i="4"/>
  <c r="AM5025" i="4"/>
  <c r="BH5025" i="4"/>
  <c r="AX5024" i="4"/>
  <c r="AW5024" i="4"/>
  <c r="AV5024" i="4"/>
  <c r="AP5024" i="4"/>
  <c r="AO5024" i="4"/>
  <c r="AN5024" i="4"/>
  <c r="AM5024" i="4"/>
  <c r="BH5024" i="4"/>
  <c r="AX5023" i="4"/>
  <c r="AW5023" i="4"/>
  <c r="AV5023" i="4"/>
  <c r="AP5023" i="4"/>
  <c r="AO5023" i="4"/>
  <c r="AN5023" i="4"/>
  <c r="AM5023" i="4"/>
  <c r="BH5023" i="4"/>
  <c r="AX5022" i="4"/>
  <c r="AW5022" i="4"/>
  <c r="AV5022" i="4"/>
  <c r="AP5022" i="4"/>
  <c r="AO5022" i="4"/>
  <c r="AN5022" i="4"/>
  <c r="AM5022" i="4"/>
  <c r="BH5022" i="4"/>
  <c r="AX5021" i="4"/>
  <c r="AW5021" i="4"/>
  <c r="AV5021" i="4"/>
  <c r="AP5021" i="4"/>
  <c r="AO5021" i="4"/>
  <c r="AN5021" i="4"/>
  <c r="AM5021" i="4"/>
  <c r="BH5021" i="4"/>
  <c r="AX5020" i="4"/>
  <c r="AW5020" i="4"/>
  <c r="AV5020" i="4"/>
  <c r="AP5020" i="4"/>
  <c r="AO5020" i="4"/>
  <c r="AN5020" i="4"/>
  <c r="AM5020" i="4"/>
  <c r="BH5020" i="4"/>
  <c r="AX5019" i="4"/>
  <c r="AW5019" i="4"/>
  <c r="AV5019" i="4"/>
  <c r="AP5019" i="4"/>
  <c r="AO5019" i="4"/>
  <c r="AN5019" i="4"/>
  <c r="AM5019" i="4"/>
  <c r="BH5019" i="4"/>
  <c r="AX5018" i="4"/>
  <c r="AW5018" i="4"/>
  <c r="AV5018" i="4"/>
  <c r="AP5018" i="4"/>
  <c r="AO5018" i="4"/>
  <c r="AN5018" i="4"/>
  <c r="AM5018" i="4"/>
  <c r="BH5018" i="4"/>
  <c r="AX5017" i="4"/>
  <c r="AW5017" i="4"/>
  <c r="AV5017" i="4"/>
  <c r="AP5017" i="4"/>
  <c r="AO5017" i="4"/>
  <c r="AN5017" i="4"/>
  <c r="AM5017" i="4"/>
  <c r="BH5017" i="4"/>
  <c r="AX5016" i="4"/>
  <c r="AW5016" i="4"/>
  <c r="AV5016" i="4"/>
  <c r="AP5016" i="4"/>
  <c r="AO5016" i="4"/>
  <c r="AN5016" i="4"/>
  <c r="AM5016" i="4"/>
  <c r="BH5016" i="4"/>
  <c r="AX5015" i="4"/>
  <c r="AW5015" i="4"/>
  <c r="AV5015" i="4"/>
  <c r="AP5015" i="4"/>
  <c r="AO5015" i="4"/>
  <c r="AN5015" i="4"/>
  <c r="AM5015" i="4"/>
  <c r="BH5015" i="4"/>
  <c r="AX5014" i="4"/>
  <c r="AW5014" i="4"/>
  <c r="AV5014" i="4"/>
  <c r="AP5014" i="4"/>
  <c r="AO5014" i="4"/>
  <c r="AN5014" i="4"/>
  <c r="AM5014" i="4"/>
  <c r="BH5014" i="4"/>
  <c r="AX5013" i="4"/>
  <c r="AW5013" i="4"/>
  <c r="AV5013" i="4"/>
  <c r="AP5013" i="4"/>
  <c r="AO5013" i="4"/>
  <c r="AN5013" i="4"/>
  <c r="AM5013" i="4"/>
  <c r="BH5013" i="4"/>
  <c r="AX5012" i="4"/>
  <c r="AW5012" i="4"/>
  <c r="AV5012" i="4"/>
  <c r="AP5012" i="4"/>
  <c r="AO5012" i="4"/>
  <c r="AN5012" i="4"/>
  <c r="AM5012" i="4"/>
  <c r="BH5012" i="4"/>
  <c r="AX5011" i="4"/>
  <c r="AW5011" i="4"/>
  <c r="AV5011" i="4"/>
  <c r="AP5011" i="4"/>
  <c r="AO5011" i="4"/>
  <c r="AN5011" i="4"/>
  <c r="AM5011" i="4"/>
  <c r="BH5011" i="4"/>
  <c r="AX5010" i="4"/>
  <c r="AW5010" i="4"/>
  <c r="AV5010" i="4"/>
  <c r="AP5010" i="4"/>
  <c r="AO5010" i="4"/>
  <c r="AN5010" i="4"/>
  <c r="AM5010" i="4"/>
  <c r="BH5010" i="4"/>
  <c r="AX5009" i="4"/>
  <c r="AW5009" i="4"/>
  <c r="AV5009" i="4"/>
  <c r="AP5009" i="4"/>
  <c r="AO5009" i="4"/>
  <c r="AN5009" i="4"/>
  <c r="AM5009" i="4"/>
  <c r="BH5009" i="4"/>
  <c r="AX5008" i="4"/>
  <c r="AW5008" i="4"/>
  <c r="AV5008" i="4"/>
  <c r="AP5008" i="4"/>
  <c r="AO5008" i="4"/>
  <c r="AN5008" i="4"/>
  <c r="AM5008" i="4"/>
  <c r="BH5008" i="4"/>
  <c r="AX5007" i="4"/>
  <c r="AW5007" i="4"/>
  <c r="AV5007" i="4"/>
  <c r="AP5007" i="4"/>
  <c r="AO5007" i="4"/>
  <c r="AN5007" i="4"/>
  <c r="AM5007" i="4"/>
  <c r="BH5007" i="4"/>
  <c r="AX5006" i="4"/>
  <c r="AW5006" i="4"/>
  <c r="AV5006" i="4"/>
  <c r="AP5006" i="4"/>
  <c r="AO5006" i="4"/>
  <c r="AN5006" i="4"/>
  <c r="AM5006" i="4"/>
  <c r="BH5006" i="4"/>
  <c r="AX5005" i="4"/>
  <c r="AW5005" i="4"/>
  <c r="AV5005" i="4"/>
  <c r="AP5005" i="4"/>
  <c r="AO5005" i="4"/>
  <c r="AN5005" i="4"/>
  <c r="AM5005" i="4"/>
  <c r="BH5005" i="4"/>
  <c r="AX5004" i="4"/>
  <c r="AW5004" i="4"/>
  <c r="AV5004" i="4"/>
  <c r="AP5004" i="4"/>
  <c r="AO5004" i="4"/>
  <c r="AN5004" i="4"/>
  <c r="AM5004" i="4"/>
  <c r="BH5004" i="4"/>
  <c r="AX5003" i="4"/>
  <c r="AW5003" i="4"/>
  <c r="AV5003" i="4"/>
  <c r="AP5003" i="4"/>
  <c r="AO5003" i="4"/>
  <c r="AN5003" i="4"/>
  <c r="AM5003" i="4"/>
  <c r="BH5003" i="4"/>
  <c r="AX5002" i="4"/>
  <c r="AW5002" i="4"/>
  <c r="AV5002" i="4"/>
  <c r="AP5002" i="4"/>
  <c r="AO5002" i="4"/>
  <c r="AN5002" i="4"/>
  <c r="AM5002" i="4"/>
  <c r="BH5002" i="4"/>
  <c r="AX5001" i="4"/>
  <c r="AW5001" i="4"/>
  <c r="AV5001" i="4"/>
  <c r="AP5001" i="4"/>
  <c r="AO5001" i="4"/>
  <c r="AN5001" i="4"/>
  <c r="AM5001" i="4"/>
  <c r="BH5001" i="4"/>
  <c r="AX5000" i="4"/>
  <c r="AW5000" i="4"/>
  <c r="AV5000" i="4"/>
  <c r="AP5000" i="4"/>
  <c r="AO5000" i="4"/>
  <c r="AN5000" i="4"/>
  <c r="AM5000" i="4"/>
  <c r="BH5000" i="4"/>
  <c r="AX4999" i="4"/>
  <c r="AW4999" i="4"/>
  <c r="AV4999" i="4"/>
  <c r="AP4999" i="4"/>
  <c r="AO4999" i="4"/>
  <c r="AN4999" i="4"/>
  <c r="AM4999" i="4"/>
  <c r="BH4999" i="4"/>
  <c r="AX4998" i="4"/>
  <c r="AW4998" i="4"/>
  <c r="AV4998" i="4"/>
  <c r="AP4998" i="4"/>
  <c r="AO4998" i="4"/>
  <c r="AN4998" i="4"/>
  <c r="AM4998" i="4"/>
  <c r="BH4998" i="4"/>
  <c r="AX4997" i="4"/>
  <c r="AW4997" i="4"/>
  <c r="AV4997" i="4"/>
  <c r="AP4997" i="4"/>
  <c r="AO4997" i="4"/>
  <c r="AN4997" i="4"/>
  <c r="AM4997" i="4"/>
  <c r="BH4997" i="4"/>
  <c r="AX4996" i="4"/>
  <c r="AW4996" i="4"/>
  <c r="AV4996" i="4"/>
  <c r="AP4996" i="4"/>
  <c r="AO4996" i="4"/>
  <c r="AN4996" i="4"/>
  <c r="AM4996" i="4"/>
  <c r="BH4996" i="4"/>
  <c r="AX4995" i="4"/>
  <c r="AW4995" i="4"/>
  <c r="AV4995" i="4"/>
  <c r="AP4995" i="4"/>
  <c r="AO4995" i="4"/>
  <c r="AN4995" i="4"/>
  <c r="AM4995" i="4"/>
  <c r="BH4995" i="4"/>
  <c r="AX4994" i="4"/>
  <c r="AW4994" i="4"/>
  <c r="AV4994" i="4"/>
  <c r="AP4994" i="4"/>
  <c r="AO4994" i="4"/>
  <c r="AN4994" i="4"/>
  <c r="AM4994" i="4"/>
  <c r="BH4994" i="4"/>
  <c r="AX4993" i="4"/>
  <c r="AW4993" i="4"/>
  <c r="AV4993" i="4"/>
  <c r="AP4993" i="4"/>
  <c r="AO4993" i="4"/>
  <c r="AN4993" i="4"/>
  <c r="AM4993" i="4"/>
  <c r="BH4993" i="4"/>
  <c r="AX4992" i="4"/>
  <c r="AW4992" i="4"/>
  <c r="AV4992" i="4"/>
  <c r="AP4992" i="4"/>
  <c r="AO4992" i="4"/>
  <c r="AN4992" i="4"/>
  <c r="AM4992" i="4"/>
  <c r="BH4992" i="4"/>
  <c r="AX4991" i="4"/>
  <c r="AW4991" i="4"/>
  <c r="AV4991" i="4"/>
  <c r="AP4991" i="4"/>
  <c r="AO4991" i="4"/>
  <c r="AN4991" i="4"/>
  <c r="AM4991" i="4"/>
  <c r="BH4991" i="4"/>
  <c r="AX4990" i="4"/>
  <c r="AW4990" i="4"/>
  <c r="AV4990" i="4"/>
  <c r="AP4990" i="4"/>
  <c r="AO4990" i="4"/>
  <c r="AN4990" i="4"/>
  <c r="AM4990" i="4"/>
  <c r="BH4990" i="4"/>
  <c r="AX4989" i="4"/>
  <c r="AW4989" i="4"/>
  <c r="AV4989" i="4"/>
  <c r="AP4989" i="4"/>
  <c r="AO4989" i="4"/>
  <c r="AN4989" i="4"/>
  <c r="AM4989" i="4"/>
  <c r="BH4989" i="4"/>
  <c r="AX4988" i="4"/>
  <c r="AW4988" i="4"/>
  <c r="AV4988" i="4"/>
  <c r="AP4988" i="4"/>
  <c r="AO4988" i="4"/>
  <c r="AN4988" i="4"/>
  <c r="AM4988" i="4"/>
  <c r="BH4988" i="4"/>
  <c r="AX4987" i="4"/>
  <c r="AW4987" i="4"/>
  <c r="AV4987" i="4"/>
  <c r="AP4987" i="4"/>
  <c r="AO4987" i="4"/>
  <c r="AN4987" i="4"/>
  <c r="AM4987" i="4"/>
  <c r="BH4987" i="4"/>
  <c r="AX4986" i="4"/>
  <c r="AW4986" i="4"/>
  <c r="AV4986" i="4"/>
  <c r="AP4986" i="4"/>
  <c r="AO4986" i="4"/>
  <c r="AN4986" i="4"/>
  <c r="AM4986" i="4"/>
  <c r="BH4986" i="4"/>
  <c r="AX4985" i="4"/>
  <c r="AW4985" i="4"/>
  <c r="AV4985" i="4"/>
  <c r="AP4985" i="4"/>
  <c r="AO4985" i="4"/>
  <c r="AN4985" i="4"/>
  <c r="AM4985" i="4"/>
  <c r="BH4985" i="4"/>
  <c r="AX4984" i="4"/>
  <c r="AW4984" i="4"/>
  <c r="AV4984" i="4"/>
  <c r="AP4984" i="4"/>
  <c r="AO4984" i="4"/>
  <c r="AN4984" i="4"/>
  <c r="AM4984" i="4"/>
  <c r="BH4984" i="4"/>
  <c r="AX4983" i="4"/>
  <c r="AW4983" i="4"/>
  <c r="AV4983" i="4"/>
  <c r="AP4983" i="4"/>
  <c r="AO4983" i="4"/>
  <c r="AN4983" i="4"/>
  <c r="AM4983" i="4"/>
  <c r="BH4983" i="4"/>
  <c r="AX4982" i="4"/>
  <c r="AW4982" i="4"/>
  <c r="AV4982" i="4"/>
  <c r="AP4982" i="4"/>
  <c r="AO4982" i="4"/>
  <c r="AN4982" i="4"/>
  <c r="AM4982" i="4"/>
  <c r="BH4982" i="4"/>
  <c r="AX4981" i="4"/>
  <c r="AW4981" i="4"/>
  <c r="AV4981" i="4"/>
  <c r="AP4981" i="4"/>
  <c r="AO4981" i="4"/>
  <c r="AN4981" i="4"/>
  <c r="AM4981" i="4"/>
  <c r="BH4981" i="4"/>
  <c r="AX4980" i="4"/>
  <c r="AW4980" i="4"/>
  <c r="AV4980" i="4"/>
  <c r="AP4980" i="4"/>
  <c r="AO4980" i="4"/>
  <c r="AN4980" i="4"/>
  <c r="AM4980" i="4"/>
  <c r="BH4980" i="4"/>
  <c r="AX4979" i="4"/>
  <c r="AW4979" i="4"/>
  <c r="AV4979" i="4"/>
  <c r="AP4979" i="4"/>
  <c r="AO4979" i="4"/>
  <c r="AN4979" i="4"/>
  <c r="AM4979" i="4"/>
  <c r="BH4979" i="4"/>
  <c r="AX4978" i="4"/>
  <c r="AW4978" i="4"/>
  <c r="AV4978" i="4"/>
  <c r="AP4978" i="4"/>
  <c r="AO4978" i="4"/>
  <c r="AN4978" i="4"/>
  <c r="AM4978" i="4"/>
  <c r="BH4978" i="4"/>
  <c r="AX4977" i="4"/>
  <c r="AW4977" i="4"/>
  <c r="AV4977" i="4"/>
  <c r="AP4977" i="4"/>
  <c r="AO4977" i="4"/>
  <c r="AN4977" i="4"/>
  <c r="AM4977" i="4"/>
  <c r="BH4977" i="4"/>
  <c r="AX4976" i="4"/>
  <c r="AW4976" i="4"/>
  <c r="AV4976" i="4"/>
  <c r="AP4976" i="4"/>
  <c r="AO4976" i="4"/>
  <c r="AN4976" i="4"/>
  <c r="AM4976" i="4"/>
  <c r="BH4976" i="4"/>
  <c r="AX4975" i="4"/>
  <c r="AW4975" i="4"/>
  <c r="AV4975" i="4"/>
  <c r="AP4975" i="4"/>
  <c r="AO4975" i="4"/>
  <c r="AN4975" i="4"/>
  <c r="AM4975" i="4"/>
  <c r="BH4975" i="4"/>
  <c r="AX4974" i="4"/>
  <c r="AW4974" i="4"/>
  <c r="AV4974" i="4"/>
  <c r="AP4974" i="4"/>
  <c r="AO4974" i="4"/>
  <c r="AN4974" i="4"/>
  <c r="AM4974" i="4"/>
  <c r="BH4974" i="4"/>
  <c r="AX4973" i="4"/>
  <c r="AW4973" i="4"/>
  <c r="AV4973" i="4"/>
  <c r="AP4973" i="4"/>
  <c r="AO4973" i="4"/>
  <c r="AN4973" i="4"/>
  <c r="AM4973" i="4"/>
  <c r="BH4973" i="4"/>
  <c r="AX4972" i="4"/>
  <c r="AW4972" i="4"/>
  <c r="AV4972" i="4"/>
  <c r="AP4972" i="4"/>
  <c r="AO4972" i="4"/>
  <c r="AN4972" i="4"/>
  <c r="AM4972" i="4"/>
  <c r="BH4972" i="4"/>
  <c r="AX4971" i="4"/>
  <c r="AW4971" i="4"/>
  <c r="AV4971" i="4"/>
  <c r="AP4971" i="4"/>
  <c r="AO4971" i="4"/>
  <c r="AN4971" i="4"/>
  <c r="AM4971" i="4"/>
  <c r="BH4971" i="4"/>
  <c r="AX4970" i="4"/>
  <c r="AW4970" i="4"/>
  <c r="AV4970" i="4"/>
  <c r="AP4970" i="4"/>
  <c r="AO4970" i="4"/>
  <c r="AN4970" i="4"/>
  <c r="AM4970" i="4"/>
  <c r="BH4970" i="4"/>
  <c r="AX4969" i="4"/>
  <c r="AW4969" i="4"/>
  <c r="AV4969" i="4"/>
  <c r="AP4969" i="4"/>
  <c r="AO4969" i="4"/>
  <c r="AN4969" i="4"/>
  <c r="AM4969" i="4"/>
  <c r="BH4969" i="4"/>
  <c r="AX4968" i="4"/>
  <c r="AW4968" i="4"/>
  <c r="AV4968" i="4"/>
  <c r="AP4968" i="4"/>
  <c r="AO4968" i="4"/>
  <c r="AN4968" i="4"/>
  <c r="AM4968" i="4"/>
  <c r="BH4968" i="4"/>
  <c r="AX4967" i="4"/>
  <c r="AW4967" i="4"/>
  <c r="AV4967" i="4"/>
  <c r="AP4967" i="4"/>
  <c r="AO4967" i="4"/>
  <c r="AN4967" i="4"/>
  <c r="AM4967" i="4"/>
  <c r="BH4967" i="4"/>
  <c r="AX4966" i="4"/>
  <c r="AW4966" i="4"/>
  <c r="AV4966" i="4"/>
  <c r="AP4966" i="4"/>
  <c r="AO4966" i="4"/>
  <c r="AN4966" i="4"/>
  <c r="AM4966" i="4"/>
  <c r="BH4966" i="4"/>
  <c r="AX4965" i="4"/>
  <c r="AW4965" i="4"/>
  <c r="AV4965" i="4"/>
  <c r="AP4965" i="4"/>
  <c r="AO4965" i="4"/>
  <c r="AN4965" i="4"/>
  <c r="AM4965" i="4"/>
  <c r="BH4965" i="4"/>
  <c r="AX4964" i="4"/>
  <c r="AW4964" i="4"/>
  <c r="AV4964" i="4"/>
  <c r="AP4964" i="4"/>
  <c r="AO4964" i="4"/>
  <c r="AN4964" i="4"/>
  <c r="AM4964" i="4"/>
  <c r="BH4964" i="4"/>
  <c r="AX4963" i="4"/>
  <c r="AW4963" i="4"/>
  <c r="AV4963" i="4"/>
  <c r="AP4963" i="4"/>
  <c r="AO4963" i="4"/>
  <c r="AN4963" i="4"/>
  <c r="AM4963" i="4"/>
  <c r="BH4963" i="4"/>
  <c r="AX4962" i="4"/>
  <c r="AW4962" i="4"/>
  <c r="AV4962" i="4"/>
  <c r="AP4962" i="4"/>
  <c r="AO4962" i="4"/>
  <c r="AN4962" i="4"/>
  <c r="AM4962" i="4"/>
  <c r="BH4962" i="4"/>
  <c r="AX4961" i="4"/>
  <c r="AW4961" i="4"/>
  <c r="AV4961" i="4"/>
  <c r="AP4961" i="4"/>
  <c r="AO4961" i="4"/>
  <c r="AN4961" i="4"/>
  <c r="AM4961" i="4"/>
  <c r="BH4961" i="4"/>
  <c r="AX4960" i="4"/>
  <c r="AW4960" i="4"/>
  <c r="AV4960" i="4"/>
  <c r="AP4960" i="4"/>
  <c r="AO4960" i="4"/>
  <c r="AN4960" i="4"/>
  <c r="AM4960" i="4"/>
  <c r="BH4960" i="4"/>
  <c r="AX4959" i="4"/>
  <c r="AW4959" i="4"/>
  <c r="AV4959" i="4"/>
  <c r="AP4959" i="4"/>
  <c r="AO4959" i="4"/>
  <c r="AN4959" i="4"/>
  <c r="AM4959" i="4"/>
  <c r="BH4959" i="4"/>
  <c r="AX4958" i="4"/>
  <c r="AW4958" i="4"/>
  <c r="AV4958" i="4"/>
  <c r="AP4958" i="4"/>
  <c r="AO4958" i="4"/>
  <c r="AN4958" i="4"/>
  <c r="AM4958" i="4"/>
  <c r="BH4958" i="4"/>
  <c r="AX4957" i="4"/>
  <c r="AW4957" i="4"/>
  <c r="AV4957" i="4"/>
  <c r="AP4957" i="4"/>
  <c r="AO4957" i="4"/>
  <c r="AN4957" i="4"/>
  <c r="AM4957" i="4"/>
  <c r="BH4957" i="4"/>
  <c r="AX4956" i="4"/>
  <c r="AW4956" i="4"/>
  <c r="AV4956" i="4"/>
  <c r="AP4956" i="4"/>
  <c r="AO4956" i="4"/>
  <c r="AN4956" i="4"/>
  <c r="AM4956" i="4"/>
  <c r="BH4956" i="4"/>
  <c r="AX4955" i="4"/>
  <c r="AW4955" i="4"/>
  <c r="AV4955" i="4"/>
  <c r="AP4955" i="4"/>
  <c r="AO4955" i="4"/>
  <c r="AN4955" i="4"/>
  <c r="AM4955" i="4"/>
  <c r="BH4955" i="4"/>
  <c r="AX4954" i="4"/>
  <c r="AW4954" i="4"/>
  <c r="AV4954" i="4"/>
  <c r="AP4954" i="4"/>
  <c r="AO4954" i="4"/>
  <c r="AN4954" i="4"/>
  <c r="AM4954" i="4"/>
  <c r="BH4954" i="4"/>
  <c r="AX4953" i="4"/>
  <c r="AW4953" i="4"/>
  <c r="AV4953" i="4"/>
  <c r="AP4953" i="4"/>
  <c r="AO4953" i="4"/>
  <c r="AN4953" i="4"/>
  <c r="AM4953" i="4"/>
  <c r="BH4953" i="4"/>
  <c r="AX4952" i="4"/>
  <c r="AW4952" i="4"/>
  <c r="AV4952" i="4"/>
  <c r="AP4952" i="4"/>
  <c r="AO4952" i="4"/>
  <c r="AN4952" i="4"/>
  <c r="AM4952" i="4"/>
  <c r="BH4952" i="4"/>
  <c r="AX4951" i="4"/>
  <c r="AW4951" i="4"/>
  <c r="AV4951" i="4"/>
  <c r="AP4951" i="4"/>
  <c r="AO4951" i="4"/>
  <c r="AN4951" i="4"/>
  <c r="AM4951" i="4"/>
  <c r="BH4951" i="4"/>
  <c r="AX4950" i="4"/>
  <c r="AW4950" i="4"/>
  <c r="AV4950" i="4"/>
  <c r="AP4950" i="4"/>
  <c r="AO4950" i="4"/>
  <c r="AN4950" i="4"/>
  <c r="AM4950" i="4"/>
  <c r="BH4950" i="4"/>
  <c r="AX4949" i="4"/>
  <c r="AW4949" i="4"/>
  <c r="AV4949" i="4"/>
  <c r="AP4949" i="4"/>
  <c r="AO4949" i="4"/>
  <c r="AN4949" i="4"/>
  <c r="AM4949" i="4"/>
  <c r="BH4949" i="4"/>
  <c r="AX4948" i="4"/>
  <c r="AW4948" i="4"/>
  <c r="AV4948" i="4"/>
  <c r="AP4948" i="4"/>
  <c r="AO4948" i="4"/>
  <c r="AN4948" i="4"/>
  <c r="AM4948" i="4"/>
  <c r="BH4948" i="4"/>
  <c r="AX4947" i="4"/>
  <c r="AW4947" i="4"/>
  <c r="AV4947" i="4"/>
  <c r="AP4947" i="4"/>
  <c r="AO4947" i="4"/>
  <c r="AN4947" i="4"/>
  <c r="AM4947" i="4"/>
  <c r="BH4947" i="4"/>
  <c r="AX4946" i="4"/>
  <c r="AW4946" i="4"/>
  <c r="AV4946" i="4"/>
  <c r="AP4946" i="4"/>
  <c r="AO4946" i="4"/>
  <c r="AN4946" i="4"/>
  <c r="AM4946" i="4"/>
  <c r="BH4946" i="4"/>
  <c r="AX4945" i="4"/>
  <c r="AW4945" i="4"/>
  <c r="AV4945" i="4"/>
  <c r="AP4945" i="4"/>
  <c r="AO4945" i="4"/>
  <c r="AN4945" i="4"/>
  <c r="AM4945" i="4"/>
  <c r="BH4945" i="4"/>
  <c r="AX4944" i="4"/>
  <c r="AW4944" i="4"/>
  <c r="AV4944" i="4"/>
  <c r="AP4944" i="4"/>
  <c r="AO4944" i="4"/>
  <c r="AN4944" i="4"/>
  <c r="AM4944" i="4"/>
  <c r="BH4944" i="4"/>
  <c r="AX4943" i="4"/>
  <c r="AW4943" i="4"/>
  <c r="AV4943" i="4"/>
  <c r="AP4943" i="4"/>
  <c r="AO4943" i="4"/>
  <c r="AN4943" i="4"/>
  <c r="AM4943" i="4"/>
  <c r="BH4943" i="4"/>
  <c r="AX4942" i="4"/>
  <c r="AW4942" i="4"/>
  <c r="AV4942" i="4"/>
  <c r="AP4942" i="4"/>
  <c r="AO4942" i="4"/>
  <c r="AN4942" i="4"/>
  <c r="AM4942" i="4"/>
  <c r="BH4942" i="4"/>
  <c r="AX4941" i="4"/>
  <c r="AW4941" i="4"/>
  <c r="AV4941" i="4"/>
  <c r="AP4941" i="4"/>
  <c r="AO4941" i="4"/>
  <c r="AN4941" i="4"/>
  <c r="AM4941" i="4"/>
  <c r="BH4941" i="4"/>
  <c r="AX4940" i="4"/>
  <c r="AW4940" i="4"/>
  <c r="AV4940" i="4"/>
  <c r="AP4940" i="4"/>
  <c r="AO4940" i="4"/>
  <c r="AN4940" i="4"/>
  <c r="AM4940" i="4"/>
  <c r="BH4940" i="4"/>
  <c r="AX4939" i="4"/>
  <c r="AW4939" i="4"/>
  <c r="AV4939" i="4"/>
  <c r="AP4939" i="4"/>
  <c r="AO4939" i="4"/>
  <c r="AN4939" i="4"/>
  <c r="AM4939" i="4"/>
  <c r="BH4939" i="4"/>
  <c r="AX4938" i="4"/>
  <c r="AW4938" i="4"/>
  <c r="AV4938" i="4"/>
  <c r="AP4938" i="4"/>
  <c r="AO4938" i="4"/>
  <c r="AN4938" i="4"/>
  <c r="AM4938" i="4"/>
  <c r="BH4938" i="4"/>
  <c r="AX4937" i="4"/>
  <c r="AW4937" i="4"/>
  <c r="AV4937" i="4"/>
  <c r="AP4937" i="4"/>
  <c r="AO4937" i="4"/>
  <c r="AN4937" i="4"/>
  <c r="AM4937" i="4"/>
  <c r="BH4937" i="4"/>
  <c r="AX4936" i="4"/>
  <c r="AW4936" i="4"/>
  <c r="AV4936" i="4"/>
  <c r="AP4936" i="4"/>
  <c r="AO4936" i="4"/>
  <c r="AN4936" i="4"/>
  <c r="AM4936" i="4"/>
  <c r="BH4936" i="4"/>
  <c r="AX4935" i="4"/>
  <c r="AW4935" i="4"/>
  <c r="AV4935" i="4"/>
  <c r="AP4935" i="4"/>
  <c r="AO4935" i="4"/>
  <c r="AN4935" i="4"/>
  <c r="AM4935" i="4"/>
  <c r="BH4935" i="4"/>
  <c r="AX4934" i="4"/>
  <c r="AW4934" i="4"/>
  <c r="AV4934" i="4"/>
  <c r="AP4934" i="4"/>
  <c r="AO4934" i="4"/>
  <c r="AN4934" i="4"/>
  <c r="AM4934" i="4"/>
  <c r="BH4934" i="4"/>
  <c r="AX4933" i="4"/>
  <c r="AW4933" i="4"/>
  <c r="AV4933" i="4"/>
  <c r="AP4933" i="4"/>
  <c r="AO4933" i="4"/>
  <c r="AN4933" i="4"/>
  <c r="AM4933" i="4"/>
  <c r="BH4933" i="4"/>
  <c r="AX4932" i="4"/>
  <c r="AW4932" i="4"/>
  <c r="AV4932" i="4"/>
  <c r="AP4932" i="4"/>
  <c r="AO4932" i="4"/>
  <c r="AN4932" i="4"/>
  <c r="AM4932" i="4"/>
  <c r="BH4932" i="4"/>
  <c r="AX4931" i="4"/>
  <c r="AW4931" i="4"/>
  <c r="AV4931" i="4"/>
  <c r="AP4931" i="4"/>
  <c r="AO4931" i="4"/>
  <c r="AN4931" i="4"/>
  <c r="AM4931" i="4"/>
  <c r="BH4931" i="4"/>
  <c r="AX4930" i="4"/>
  <c r="AW4930" i="4"/>
  <c r="AV4930" i="4"/>
  <c r="AP4930" i="4"/>
  <c r="AO4930" i="4"/>
  <c r="AN4930" i="4"/>
  <c r="AM4930" i="4"/>
  <c r="BH4930" i="4"/>
  <c r="AX4929" i="4"/>
  <c r="AW4929" i="4"/>
  <c r="AV4929" i="4"/>
  <c r="AP4929" i="4"/>
  <c r="AO4929" i="4"/>
  <c r="AN4929" i="4"/>
  <c r="AM4929" i="4"/>
  <c r="BH4929" i="4"/>
  <c r="AX4928" i="4"/>
  <c r="AW4928" i="4"/>
  <c r="AV4928" i="4"/>
  <c r="AP4928" i="4"/>
  <c r="AO4928" i="4"/>
  <c r="AN4928" i="4"/>
  <c r="AM4928" i="4"/>
  <c r="BH4928" i="4"/>
  <c r="AX4927" i="4"/>
  <c r="AW4927" i="4"/>
  <c r="AV4927" i="4"/>
  <c r="AP4927" i="4"/>
  <c r="AO4927" i="4"/>
  <c r="AN4927" i="4"/>
  <c r="AM4927" i="4"/>
  <c r="BH4927" i="4"/>
  <c r="AX4926" i="4"/>
  <c r="AW4926" i="4"/>
  <c r="AV4926" i="4"/>
  <c r="AP4926" i="4"/>
  <c r="AO4926" i="4"/>
  <c r="AN4926" i="4"/>
  <c r="AM4926" i="4"/>
  <c r="BH4926" i="4"/>
  <c r="AX4925" i="4"/>
  <c r="AW4925" i="4"/>
  <c r="AV4925" i="4"/>
  <c r="AP4925" i="4"/>
  <c r="AO4925" i="4"/>
  <c r="AN4925" i="4"/>
  <c r="AM4925" i="4"/>
  <c r="BH4925" i="4"/>
  <c r="AX4924" i="4"/>
  <c r="AW4924" i="4"/>
  <c r="AV4924" i="4"/>
  <c r="AP4924" i="4"/>
  <c r="AO4924" i="4"/>
  <c r="AN4924" i="4"/>
  <c r="AM4924" i="4"/>
  <c r="BH4924" i="4"/>
  <c r="AX4923" i="4"/>
  <c r="AW4923" i="4"/>
  <c r="AV4923" i="4"/>
  <c r="AP4923" i="4"/>
  <c r="AO4923" i="4"/>
  <c r="AN4923" i="4"/>
  <c r="AM4923" i="4"/>
  <c r="BH4923" i="4"/>
  <c r="AX4922" i="4"/>
  <c r="AW4922" i="4"/>
  <c r="AV4922" i="4"/>
  <c r="AP4922" i="4"/>
  <c r="AO4922" i="4"/>
  <c r="AN4922" i="4"/>
  <c r="AM4922" i="4"/>
  <c r="BH4922" i="4"/>
  <c r="AX4921" i="4"/>
  <c r="AW4921" i="4"/>
  <c r="AV4921" i="4"/>
  <c r="AP4921" i="4"/>
  <c r="AO4921" i="4"/>
  <c r="AN4921" i="4"/>
  <c r="AM4921" i="4"/>
  <c r="BH4921" i="4"/>
  <c r="AX4920" i="4"/>
  <c r="AW4920" i="4"/>
  <c r="AV4920" i="4"/>
  <c r="AP4920" i="4"/>
  <c r="AO4920" i="4"/>
  <c r="AN4920" i="4"/>
  <c r="AM4920" i="4"/>
  <c r="BH4920" i="4"/>
  <c r="AX4919" i="4"/>
  <c r="AW4919" i="4"/>
  <c r="AV4919" i="4"/>
  <c r="AP4919" i="4"/>
  <c r="AO4919" i="4"/>
  <c r="AN4919" i="4"/>
  <c r="AM4919" i="4"/>
  <c r="BH4919" i="4"/>
  <c r="AX4918" i="4"/>
  <c r="AW4918" i="4"/>
  <c r="AV4918" i="4"/>
  <c r="AP4918" i="4"/>
  <c r="AO4918" i="4"/>
  <c r="AN4918" i="4"/>
  <c r="AM4918" i="4"/>
  <c r="BH4918" i="4"/>
  <c r="AX4917" i="4"/>
  <c r="AW4917" i="4"/>
  <c r="AV4917" i="4"/>
  <c r="AP4917" i="4"/>
  <c r="AO4917" i="4"/>
  <c r="AN4917" i="4"/>
  <c r="AM4917" i="4"/>
  <c r="BH4917" i="4"/>
  <c r="AX4916" i="4"/>
  <c r="AW4916" i="4"/>
  <c r="AV4916" i="4"/>
  <c r="AP4916" i="4"/>
  <c r="AO4916" i="4"/>
  <c r="AN4916" i="4"/>
  <c r="AM4916" i="4"/>
  <c r="BH4916" i="4"/>
  <c r="AX4915" i="4"/>
  <c r="AW4915" i="4"/>
  <c r="AV4915" i="4"/>
  <c r="AP4915" i="4"/>
  <c r="AO4915" i="4"/>
  <c r="AN4915" i="4"/>
  <c r="AM4915" i="4"/>
  <c r="BH4915" i="4"/>
  <c r="AX4914" i="4"/>
  <c r="AW4914" i="4"/>
  <c r="AV4914" i="4"/>
  <c r="AP4914" i="4"/>
  <c r="AO4914" i="4"/>
  <c r="AN4914" i="4"/>
  <c r="AM4914" i="4"/>
  <c r="BH4914" i="4"/>
  <c r="AX4913" i="4"/>
  <c r="AW4913" i="4"/>
  <c r="AV4913" i="4"/>
  <c r="AP4913" i="4"/>
  <c r="AO4913" i="4"/>
  <c r="AN4913" i="4"/>
  <c r="AM4913" i="4"/>
  <c r="BH4913" i="4"/>
  <c r="AX4912" i="4"/>
  <c r="AW4912" i="4"/>
  <c r="AV4912" i="4"/>
  <c r="AP4912" i="4"/>
  <c r="AO4912" i="4"/>
  <c r="AN4912" i="4"/>
  <c r="AM4912" i="4"/>
  <c r="BH4912" i="4"/>
  <c r="AX4911" i="4"/>
  <c r="AW4911" i="4"/>
  <c r="AV4911" i="4"/>
  <c r="AP4911" i="4"/>
  <c r="AO4911" i="4"/>
  <c r="AN4911" i="4"/>
  <c r="AM4911" i="4"/>
  <c r="BH4911" i="4"/>
  <c r="AX4910" i="4"/>
  <c r="AW4910" i="4"/>
  <c r="AV4910" i="4"/>
  <c r="AP4910" i="4"/>
  <c r="AO4910" i="4"/>
  <c r="AN4910" i="4"/>
  <c r="AM4910" i="4"/>
  <c r="BH4910" i="4"/>
  <c r="AX4909" i="4"/>
  <c r="AW4909" i="4"/>
  <c r="AV4909" i="4"/>
  <c r="AP4909" i="4"/>
  <c r="AO4909" i="4"/>
  <c r="AN4909" i="4"/>
  <c r="AM4909" i="4"/>
  <c r="BH4909" i="4"/>
  <c r="AX4908" i="4"/>
  <c r="AW4908" i="4"/>
  <c r="AV4908" i="4"/>
  <c r="AP4908" i="4"/>
  <c r="AO4908" i="4"/>
  <c r="AN4908" i="4"/>
  <c r="AM4908" i="4"/>
  <c r="BH4908" i="4"/>
  <c r="AX4907" i="4"/>
  <c r="AW4907" i="4"/>
  <c r="AV4907" i="4"/>
  <c r="AP4907" i="4"/>
  <c r="AO4907" i="4"/>
  <c r="AN4907" i="4"/>
  <c r="AM4907" i="4"/>
  <c r="BH4907" i="4"/>
  <c r="AX4906" i="4"/>
  <c r="AW4906" i="4"/>
  <c r="AV4906" i="4"/>
  <c r="AP4906" i="4"/>
  <c r="AO4906" i="4"/>
  <c r="AN4906" i="4"/>
  <c r="AM4906" i="4"/>
  <c r="BH4906" i="4"/>
  <c r="AX4905" i="4"/>
  <c r="AW4905" i="4"/>
  <c r="AV4905" i="4"/>
  <c r="AP4905" i="4"/>
  <c r="AO4905" i="4"/>
  <c r="AN4905" i="4"/>
  <c r="AM4905" i="4"/>
  <c r="BH4905" i="4"/>
  <c r="AX4904" i="4"/>
  <c r="AW4904" i="4"/>
  <c r="AV4904" i="4"/>
  <c r="AP4904" i="4"/>
  <c r="AO4904" i="4"/>
  <c r="AN4904" i="4"/>
  <c r="AM4904" i="4"/>
  <c r="BH4904" i="4"/>
  <c r="AX4903" i="4"/>
  <c r="AW4903" i="4"/>
  <c r="AV4903" i="4"/>
  <c r="AP4903" i="4"/>
  <c r="AO4903" i="4"/>
  <c r="AN4903" i="4"/>
  <c r="AM4903" i="4"/>
  <c r="BH4903" i="4"/>
  <c r="AX4902" i="4"/>
  <c r="AW4902" i="4"/>
  <c r="AV4902" i="4"/>
  <c r="AP4902" i="4"/>
  <c r="AO4902" i="4"/>
  <c r="AN4902" i="4"/>
  <c r="AM4902" i="4"/>
  <c r="BH4902" i="4"/>
  <c r="AX4901" i="4"/>
  <c r="AW4901" i="4"/>
  <c r="AV4901" i="4"/>
  <c r="AP4901" i="4"/>
  <c r="AO4901" i="4"/>
  <c r="AN4901" i="4"/>
  <c r="AM4901" i="4"/>
  <c r="BH4901" i="4"/>
  <c r="AX4900" i="4"/>
  <c r="AW4900" i="4"/>
  <c r="AV4900" i="4"/>
  <c r="AP4900" i="4"/>
  <c r="AO4900" i="4"/>
  <c r="AN4900" i="4"/>
  <c r="AM4900" i="4"/>
  <c r="BH4900" i="4"/>
  <c r="AX4899" i="4"/>
  <c r="AW4899" i="4"/>
  <c r="AV4899" i="4"/>
  <c r="AP4899" i="4"/>
  <c r="AO4899" i="4"/>
  <c r="AN4899" i="4"/>
  <c r="AM4899" i="4"/>
  <c r="BH4899" i="4"/>
  <c r="AX4898" i="4"/>
  <c r="AW4898" i="4"/>
  <c r="AV4898" i="4"/>
  <c r="AP4898" i="4"/>
  <c r="AO4898" i="4"/>
  <c r="AN4898" i="4"/>
  <c r="AM4898" i="4"/>
  <c r="BH4898" i="4"/>
  <c r="AX4897" i="4"/>
  <c r="AW4897" i="4"/>
  <c r="AV4897" i="4"/>
  <c r="AP4897" i="4"/>
  <c r="AO4897" i="4"/>
  <c r="AN4897" i="4"/>
  <c r="AM4897" i="4"/>
  <c r="BH4897" i="4"/>
  <c r="AX4896" i="4"/>
  <c r="AW4896" i="4"/>
  <c r="AV4896" i="4"/>
  <c r="AP4896" i="4"/>
  <c r="AO4896" i="4"/>
  <c r="AN4896" i="4"/>
  <c r="AM4896" i="4"/>
  <c r="BH4896" i="4"/>
  <c r="AX4895" i="4"/>
  <c r="AW4895" i="4"/>
  <c r="AV4895" i="4"/>
  <c r="AP4895" i="4"/>
  <c r="AO4895" i="4"/>
  <c r="AN4895" i="4"/>
  <c r="AM4895" i="4"/>
  <c r="BH4895" i="4"/>
  <c r="AX4894" i="4"/>
  <c r="AW4894" i="4"/>
  <c r="AV4894" i="4"/>
  <c r="AP4894" i="4"/>
  <c r="AO4894" i="4"/>
  <c r="AN4894" i="4"/>
  <c r="AM4894" i="4"/>
  <c r="BH4894" i="4"/>
  <c r="AX4893" i="4"/>
  <c r="AW4893" i="4"/>
  <c r="AV4893" i="4"/>
  <c r="AP4893" i="4"/>
  <c r="AO4893" i="4"/>
  <c r="AN4893" i="4"/>
  <c r="AM4893" i="4"/>
  <c r="BH4893" i="4"/>
  <c r="AX4892" i="4"/>
  <c r="AW4892" i="4"/>
  <c r="AV4892" i="4"/>
  <c r="AP4892" i="4"/>
  <c r="AO4892" i="4"/>
  <c r="AN4892" i="4"/>
  <c r="AM4892" i="4"/>
  <c r="BH4892" i="4"/>
  <c r="AX4891" i="4"/>
  <c r="AW4891" i="4"/>
  <c r="AV4891" i="4"/>
  <c r="AP4891" i="4"/>
  <c r="AO4891" i="4"/>
  <c r="AN4891" i="4"/>
  <c r="AM4891" i="4"/>
  <c r="BH4891" i="4"/>
  <c r="AX4890" i="4"/>
  <c r="AW4890" i="4"/>
  <c r="AV4890" i="4"/>
  <c r="AP4890" i="4"/>
  <c r="AO4890" i="4"/>
  <c r="AN4890" i="4"/>
  <c r="AM4890" i="4"/>
  <c r="BH4890" i="4"/>
  <c r="AX4889" i="4"/>
  <c r="AW4889" i="4"/>
  <c r="AV4889" i="4"/>
  <c r="AP4889" i="4"/>
  <c r="AO4889" i="4"/>
  <c r="AN4889" i="4"/>
  <c r="AM4889" i="4"/>
  <c r="BH4889" i="4"/>
  <c r="AX4888" i="4"/>
  <c r="AW4888" i="4"/>
  <c r="AV4888" i="4"/>
  <c r="AP4888" i="4"/>
  <c r="AO4888" i="4"/>
  <c r="AN4888" i="4"/>
  <c r="AM4888" i="4"/>
  <c r="BH4888" i="4"/>
  <c r="AX4887" i="4"/>
  <c r="AW4887" i="4"/>
  <c r="AV4887" i="4"/>
  <c r="AP4887" i="4"/>
  <c r="AO4887" i="4"/>
  <c r="AN4887" i="4"/>
  <c r="AM4887" i="4"/>
  <c r="BH4887" i="4"/>
  <c r="AX4886" i="4"/>
  <c r="AW4886" i="4"/>
  <c r="AV4886" i="4"/>
  <c r="AP4886" i="4"/>
  <c r="AO4886" i="4"/>
  <c r="AN4886" i="4"/>
  <c r="AM4886" i="4"/>
  <c r="BH4886" i="4"/>
  <c r="AX4885" i="4"/>
  <c r="AW4885" i="4"/>
  <c r="AV4885" i="4"/>
  <c r="AP4885" i="4"/>
  <c r="AO4885" i="4"/>
  <c r="AN4885" i="4"/>
  <c r="AM4885" i="4"/>
  <c r="BH4885" i="4"/>
  <c r="AX4884" i="4"/>
  <c r="AW4884" i="4"/>
  <c r="AV4884" i="4"/>
  <c r="AP4884" i="4"/>
  <c r="AO4884" i="4"/>
  <c r="AN4884" i="4"/>
  <c r="AM4884" i="4"/>
  <c r="BH4884" i="4"/>
  <c r="AX4883" i="4"/>
  <c r="AW4883" i="4"/>
  <c r="AV4883" i="4"/>
  <c r="AP4883" i="4"/>
  <c r="AO4883" i="4"/>
  <c r="AN4883" i="4"/>
  <c r="AM4883" i="4"/>
  <c r="BH4883" i="4"/>
  <c r="AX4882" i="4"/>
  <c r="AW4882" i="4"/>
  <c r="AV4882" i="4"/>
  <c r="AP4882" i="4"/>
  <c r="AO4882" i="4"/>
  <c r="AN4882" i="4"/>
  <c r="AM4882" i="4"/>
  <c r="BH4882" i="4"/>
  <c r="AX4881" i="4"/>
  <c r="AW4881" i="4"/>
  <c r="AV4881" i="4"/>
  <c r="AP4881" i="4"/>
  <c r="AO4881" i="4"/>
  <c r="AN4881" i="4"/>
  <c r="AM4881" i="4"/>
  <c r="BH4881" i="4"/>
  <c r="AX4880" i="4"/>
  <c r="AW4880" i="4"/>
  <c r="AV4880" i="4"/>
  <c r="AP4880" i="4"/>
  <c r="AO4880" i="4"/>
  <c r="AN4880" i="4"/>
  <c r="AM4880" i="4"/>
  <c r="BH4880" i="4"/>
  <c r="AX4879" i="4"/>
  <c r="AW4879" i="4"/>
  <c r="AV4879" i="4"/>
  <c r="AP4879" i="4"/>
  <c r="AO4879" i="4"/>
  <c r="AN4879" i="4"/>
  <c r="AM4879" i="4"/>
  <c r="BH4879" i="4"/>
  <c r="AX4878" i="4"/>
  <c r="AW4878" i="4"/>
  <c r="AV4878" i="4"/>
  <c r="AP4878" i="4"/>
  <c r="AO4878" i="4"/>
  <c r="AN4878" i="4"/>
  <c r="AM4878" i="4"/>
  <c r="BH4878" i="4"/>
  <c r="AX4877" i="4"/>
  <c r="AW4877" i="4"/>
  <c r="AV4877" i="4"/>
  <c r="AP4877" i="4"/>
  <c r="AO4877" i="4"/>
  <c r="AN4877" i="4"/>
  <c r="AM4877" i="4"/>
  <c r="BH4877" i="4"/>
  <c r="AX4876" i="4"/>
  <c r="AW4876" i="4"/>
  <c r="AV4876" i="4"/>
  <c r="AP4876" i="4"/>
  <c r="AO4876" i="4"/>
  <c r="AN4876" i="4"/>
  <c r="AM4876" i="4"/>
  <c r="BH4876" i="4"/>
  <c r="AX4875" i="4"/>
  <c r="AW4875" i="4"/>
  <c r="AV4875" i="4"/>
  <c r="AP4875" i="4"/>
  <c r="AO4875" i="4"/>
  <c r="AN4875" i="4"/>
  <c r="AM4875" i="4"/>
  <c r="BH4875" i="4"/>
  <c r="AX4874" i="4"/>
  <c r="AW4874" i="4"/>
  <c r="AV4874" i="4"/>
  <c r="AP4874" i="4"/>
  <c r="AO4874" i="4"/>
  <c r="AN4874" i="4"/>
  <c r="AM4874" i="4"/>
  <c r="BH4874" i="4"/>
  <c r="AX4873" i="4"/>
  <c r="AW4873" i="4"/>
  <c r="AV4873" i="4"/>
  <c r="AP4873" i="4"/>
  <c r="AO4873" i="4"/>
  <c r="AN4873" i="4"/>
  <c r="AM4873" i="4"/>
  <c r="BH4873" i="4"/>
  <c r="AX4872" i="4"/>
  <c r="AW4872" i="4"/>
  <c r="AV4872" i="4"/>
  <c r="AP4872" i="4"/>
  <c r="AO4872" i="4"/>
  <c r="AN4872" i="4"/>
  <c r="AM4872" i="4"/>
  <c r="BH4872" i="4"/>
  <c r="AX4871" i="4"/>
  <c r="AW4871" i="4"/>
  <c r="AV4871" i="4"/>
  <c r="AP4871" i="4"/>
  <c r="AO4871" i="4"/>
  <c r="AN4871" i="4"/>
  <c r="AM4871" i="4"/>
  <c r="BH4871" i="4"/>
  <c r="AX4870" i="4"/>
  <c r="AW4870" i="4"/>
  <c r="AV4870" i="4"/>
  <c r="AP4870" i="4"/>
  <c r="AO4870" i="4"/>
  <c r="AN4870" i="4"/>
  <c r="AM4870" i="4"/>
  <c r="BH4870" i="4"/>
  <c r="AX4869" i="4"/>
  <c r="AW4869" i="4"/>
  <c r="AV4869" i="4"/>
  <c r="AP4869" i="4"/>
  <c r="AO4869" i="4"/>
  <c r="AN4869" i="4"/>
  <c r="AM4869" i="4"/>
  <c r="BH4869" i="4"/>
  <c r="AX4868" i="4"/>
  <c r="AW4868" i="4"/>
  <c r="AV4868" i="4"/>
  <c r="AP4868" i="4"/>
  <c r="AO4868" i="4"/>
  <c r="AN4868" i="4"/>
  <c r="AM4868" i="4"/>
  <c r="BH4868" i="4"/>
  <c r="AX4867" i="4"/>
  <c r="AW4867" i="4"/>
  <c r="AV4867" i="4"/>
  <c r="AP4867" i="4"/>
  <c r="AO4867" i="4"/>
  <c r="AN4867" i="4"/>
  <c r="AM4867" i="4"/>
  <c r="BH4867" i="4"/>
  <c r="AX4866" i="4"/>
  <c r="AW4866" i="4"/>
  <c r="AV4866" i="4"/>
  <c r="AP4866" i="4"/>
  <c r="AO4866" i="4"/>
  <c r="AN4866" i="4"/>
  <c r="AM4866" i="4"/>
  <c r="BH4866" i="4"/>
  <c r="AX4865" i="4"/>
  <c r="AW4865" i="4"/>
  <c r="AV4865" i="4"/>
  <c r="AP4865" i="4"/>
  <c r="AO4865" i="4"/>
  <c r="AN4865" i="4"/>
  <c r="AM4865" i="4"/>
  <c r="BH4865" i="4"/>
  <c r="AX4864" i="4"/>
  <c r="AW4864" i="4"/>
  <c r="AV4864" i="4"/>
  <c r="AP4864" i="4"/>
  <c r="AO4864" i="4"/>
  <c r="AN4864" i="4"/>
  <c r="AM4864" i="4"/>
  <c r="BH4864" i="4"/>
  <c r="AX4863" i="4"/>
  <c r="AW4863" i="4"/>
  <c r="AV4863" i="4"/>
  <c r="AP4863" i="4"/>
  <c r="AO4863" i="4"/>
  <c r="AN4863" i="4"/>
  <c r="AM4863" i="4"/>
  <c r="BH4863" i="4"/>
  <c r="AX4862" i="4"/>
  <c r="AW4862" i="4"/>
  <c r="AV4862" i="4"/>
  <c r="AP4862" i="4"/>
  <c r="AO4862" i="4"/>
  <c r="AN4862" i="4"/>
  <c r="AM4862" i="4"/>
  <c r="BH4862" i="4"/>
  <c r="AX4861" i="4"/>
  <c r="AW4861" i="4"/>
  <c r="AV4861" i="4"/>
  <c r="AP4861" i="4"/>
  <c r="AO4861" i="4"/>
  <c r="AN4861" i="4"/>
  <c r="AM4861" i="4"/>
  <c r="BH4861" i="4"/>
  <c r="AX4860" i="4"/>
  <c r="AW4860" i="4"/>
  <c r="AV4860" i="4"/>
  <c r="AP4860" i="4"/>
  <c r="AO4860" i="4"/>
  <c r="AN4860" i="4"/>
  <c r="AM4860" i="4"/>
  <c r="BH4860" i="4"/>
  <c r="AX4859" i="4"/>
  <c r="AW4859" i="4"/>
  <c r="AV4859" i="4"/>
  <c r="AP4859" i="4"/>
  <c r="AO4859" i="4"/>
  <c r="AN4859" i="4"/>
  <c r="AM4859" i="4"/>
  <c r="BH4859" i="4"/>
  <c r="AX4858" i="4"/>
  <c r="AW4858" i="4"/>
  <c r="AV4858" i="4"/>
  <c r="AP4858" i="4"/>
  <c r="AO4858" i="4"/>
  <c r="AN4858" i="4"/>
  <c r="AM4858" i="4"/>
  <c r="BH4858" i="4"/>
  <c r="AX4857" i="4"/>
  <c r="AW4857" i="4"/>
  <c r="AV4857" i="4"/>
  <c r="AP4857" i="4"/>
  <c r="AO4857" i="4"/>
  <c r="AN4857" i="4"/>
  <c r="AM4857" i="4"/>
  <c r="BH4857" i="4"/>
  <c r="AX4856" i="4"/>
  <c r="AW4856" i="4"/>
  <c r="AV4856" i="4"/>
  <c r="AP4856" i="4"/>
  <c r="AO4856" i="4"/>
  <c r="AN4856" i="4"/>
  <c r="AM4856" i="4"/>
  <c r="BH4856" i="4"/>
  <c r="AX4855" i="4"/>
  <c r="AW4855" i="4"/>
  <c r="AV4855" i="4"/>
  <c r="AP4855" i="4"/>
  <c r="AO4855" i="4"/>
  <c r="AN4855" i="4"/>
  <c r="AM4855" i="4"/>
  <c r="BH4855" i="4"/>
  <c r="AX4854" i="4"/>
  <c r="AW4854" i="4"/>
  <c r="AV4854" i="4"/>
  <c r="AP4854" i="4"/>
  <c r="AO4854" i="4"/>
  <c r="AN4854" i="4"/>
  <c r="AM4854" i="4"/>
  <c r="BH4854" i="4"/>
  <c r="AX4853" i="4"/>
  <c r="AW4853" i="4"/>
  <c r="AV4853" i="4"/>
  <c r="AP4853" i="4"/>
  <c r="AO4853" i="4"/>
  <c r="AN4853" i="4"/>
  <c r="AM4853" i="4"/>
  <c r="BH4853" i="4"/>
  <c r="AX4852" i="4"/>
  <c r="AW4852" i="4"/>
  <c r="AV4852" i="4"/>
  <c r="AP4852" i="4"/>
  <c r="AO4852" i="4"/>
  <c r="AN4852" i="4"/>
  <c r="AM4852" i="4"/>
  <c r="BH4852" i="4"/>
  <c r="AX4851" i="4"/>
  <c r="AW4851" i="4"/>
  <c r="AV4851" i="4"/>
  <c r="AP4851" i="4"/>
  <c r="AO4851" i="4"/>
  <c r="AN4851" i="4"/>
  <c r="AM4851" i="4"/>
  <c r="BH4851" i="4"/>
  <c r="AX4850" i="4"/>
  <c r="AW4850" i="4"/>
  <c r="AV4850" i="4"/>
  <c r="AP4850" i="4"/>
  <c r="AO4850" i="4"/>
  <c r="AN4850" i="4"/>
  <c r="AM4850" i="4"/>
  <c r="BH4850" i="4"/>
  <c r="AX4849" i="4"/>
  <c r="AW4849" i="4"/>
  <c r="AV4849" i="4"/>
  <c r="AP4849" i="4"/>
  <c r="AO4849" i="4"/>
  <c r="AN4849" i="4"/>
  <c r="AM4849" i="4"/>
  <c r="BH4849" i="4"/>
  <c r="AX4848" i="4"/>
  <c r="AW4848" i="4"/>
  <c r="AV4848" i="4"/>
  <c r="AP4848" i="4"/>
  <c r="AO4848" i="4"/>
  <c r="AN4848" i="4"/>
  <c r="AM4848" i="4"/>
  <c r="BH4848" i="4"/>
  <c r="AX4847" i="4"/>
  <c r="AW4847" i="4"/>
  <c r="AV4847" i="4"/>
  <c r="AP4847" i="4"/>
  <c r="AO4847" i="4"/>
  <c r="AN4847" i="4"/>
  <c r="AM4847" i="4"/>
  <c r="BH4847" i="4"/>
  <c r="AX4846" i="4"/>
  <c r="AW4846" i="4"/>
  <c r="AV4846" i="4"/>
  <c r="AP4846" i="4"/>
  <c r="AO4846" i="4"/>
  <c r="AN4846" i="4"/>
  <c r="AM4846" i="4"/>
  <c r="BH4846" i="4"/>
  <c r="AX4845" i="4"/>
  <c r="AW4845" i="4"/>
  <c r="AV4845" i="4"/>
  <c r="AP4845" i="4"/>
  <c r="AO4845" i="4"/>
  <c r="AN4845" i="4"/>
  <c r="AM4845" i="4"/>
  <c r="BH4845" i="4"/>
  <c r="AX4844" i="4"/>
  <c r="AW4844" i="4"/>
  <c r="AV4844" i="4"/>
  <c r="AP4844" i="4"/>
  <c r="AO4844" i="4"/>
  <c r="AN4844" i="4"/>
  <c r="AM4844" i="4"/>
  <c r="BH4844" i="4"/>
  <c r="AX4843" i="4"/>
  <c r="AW4843" i="4"/>
  <c r="AV4843" i="4"/>
  <c r="AP4843" i="4"/>
  <c r="AO4843" i="4"/>
  <c r="AN4843" i="4"/>
  <c r="AM4843" i="4"/>
  <c r="BH4843" i="4"/>
  <c r="AX4842" i="4"/>
  <c r="AW4842" i="4"/>
  <c r="AV4842" i="4"/>
  <c r="AP4842" i="4"/>
  <c r="AO4842" i="4"/>
  <c r="AN4842" i="4"/>
  <c r="AM4842" i="4"/>
  <c r="BH4842" i="4"/>
  <c r="AX4841" i="4"/>
  <c r="AW4841" i="4"/>
  <c r="AV4841" i="4"/>
  <c r="AP4841" i="4"/>
  <c r="AO4841" i="4"/>
  <c r="AN4841" i="4"/>
  <c r="AM4841" i="4"/>
  <c r="BH4841" i="4"/>
  <c r="AX4840" i="4"/>
  <c r="AW4840" i="4"/>
  <c r="AV4840" i="4"/>
  <c r="AP4840" i="4"/>
  <c r="AO4840" i="4"/>
  <c r="AN4840" i="4"/>
  <c r="AM4840" i="4"/>
  <c r="BH4840" i="4"/>
  <c r="AX4839" i="4"/>
  <c r="AW4839" i="4"/>
  <c r="AV4839" i="4"/>
  <c r="AP4839" i="4"/>
  <c r="AO4839" i="4"/>
  <c r="AN4839" i="4"/>
  <c r="AM4839" i="4"/>
  <c r="BH4839" i="4"/>
  <c r="AX4838" i="4"/>
  <c r="AW4838" i="4"/>
  <c r="AV4838" i="4"/>
  <c r="AP4838" i="4"/>
  <c r="AO4838" i="4"/>
  <c r="AN4838" i="4"/>
  <c r="AM4838" i="4"/>
  <c r="BH4838" i="4"/>
  <c r="AX4837" i="4"/>
  <c r="AW4837" i="4"/>
  <c r="AV4837" i="4"/>
  <c r="AP4837" i="4"/>
  <c r="AO4837" i="4"/>
  <c r="AN4837" i="4"/>
  <c r="AM4837" i="4"/>
  <c r="BH4837" i="4"/>
  <c r="AX4836" i="4"/>
  <c r="AW4836" i="4"/>
  <c r="AV4836" i="4"/>
  <c r="AP4836" i="4"/>
  <c r="AO4836" i="4"/>
  <c r="AN4836" i="4"/>
  <c r="AM4836" i="4"/>
  <c r="BH4836" i="4"/>
  <c r="AX4835" i="4"/>
  <c r="AW4835" i="4"/>
  <c r="AV4835" i="4"/>
  <c r="AP4835" i="4"/>
  <c r="AO4835" i="4"/>
  <c r="AN4835" i="4"/>
  <c r="AM4835" i="4"/>
  <c r="BH4835" i="4"/>
  <c r="AX4834" i="4"/>
  <c r="AW4834" i="4"/>
  <c r="AV4834" i="4"/>
  <c r="AP4834" i="4"/>
  <c r="AO4834" i="4"/>
  <c r="AN4834" i="4"/>
  <c r="AM4834" i="4"/>
  <c r="BH4834" i="4"/>
  <c r="AX4833" i="4"/>
  <c r="AW4833" i="4"/>
  <c r="AV4833" i="4"/>
  <c r="AP4833" i="4"/>
  <c r="AO4833" i="4"/>
  <c r="AN4833" i="4"/>
  <c r="AM4833" i="4"/>
  <c r="BH4833" i="4"/>
  <c r="AX4832" i="4"/>
  <c r="AW4832" i="4"/>
  <c r="AV4832" i="4"/>
  <c r="AP4832" i="4"/>
  <c r="AO4832" i="4"/>
  <c r="AN4832" i="4"/>
  <c r="AM4832" i="4"/>
  <c r="BH4832" i="4"/>
  <c r="AX4831" i="4"/>
  <c r="AW4831" i="4"/>
  <c r="AV4831" i="4"/>
  <c r="AP4831" i="4"/>
  <c r="AO4831" i="4"/>
  <c r="AN4831" i="4"/>
  <c r="AM4831" i="4"/>
  <c r="BH4831" i="4"/>
  <c r="AX4830" i="4"/>
  <c r="AW4830" i="4"/>
  <c r="AV4830" i="4"/>
  <c r="AP4830" i="4"/>
  <c r="AO4830" i="4"/>
  <c r="AN4830" i="4"/>
  <c r="AM4830" i="4"/>
  <c r="BH4830" i="4"/>
  <c r="AX4829" i="4"/>
  <c r="AW4829" i="4"/>
  <c r="AV4829" i="4"/>
  <c r="AP4829" i="4"/>
  <c r="AO4829" i="4"/>
  <c r="AN4829" i="4"/>
  <c r="AM4829" i="4"/>
  <c r="BH4829" i="4"/>
  <c r="AX4828" i="4"/>
  <c r="AW4828" i="4"/>
  <c r="AV4828" i="4"/>
  <c r="AP4828" i="4"/>
  <c r="AO4828" i="4"/>
  <c r="AN4828" i="4"/>
  <c r="AM4828" i="4"/>
  <c r="BH4828" i="4"/>
  <c r="AX4827" i="4"/>
  <c r="AW4827" i="4"/>
  <c r="AV4827" i="4"/>
  <c r="AP4827" i="4"/>
  <c r="AO4827" i="4"/>
  <c r="AN4827" i="4"/>
  <c r="AM4827" i="4"/>
  <c r="BH4827" i="4"/>
  <c r="AX4826" i="4"/>
  <c r="AW4826" i="4"/>
  <c r="AV4826" i="4"/>
  <c r="AP4826" i="4"/>
  <c r="AO4826" i="4"/>
  <c r="AN4826" i="4"/>
  <c r="AM4826" i="4"/>
  <c r="BH4826" i="4"/>
  <c r="AX4825" i="4"/>
  <c r="AW4825" i="4"/>
  <c r="AV4825" i="4"/>
  <c r="AP4825" i="4"/>
  <c r="AO4825" i="4"/>
  <c r="AN4825" i="4"/>
  <c r="AM4825" i="4"/>
  <c r="BH4825" i="4"/>
  <c r="AX4824" i="4"/>
  <c r="AW4824" i="4"/>
  <c r="AV4824" i="4"/>
  <c r="AP4824" i="4"/>
  <c r="AO4824" i="4"/>
  <c r="AN4824" i="4"/>
  <c r="AM4824" i="4"/>
  <c r="BH4824" i="4"/>
  <c r="AX4823" i="4"/>
  <c r="AW4823" i="4"/>
  <c r="AV4823" i="4"/>
  <c r="AP4823" i="4"/>
  <c r="AO4823" i="4"/>
  <c r="AN4823" i="4"/>
  <c r="AM4823" i="4"/>
  <c r="BH4823" i="4"/>
  <c r="AX4822" i="4"/>
  <c r="AW4822" i="4"/>
  <c r="AV4822" i="4"/>
  <c r="AP4822" i="4"/>
  <c r="AO4822" i="4"/>
  <c r="AN4822" i="4"/>
  <c r="AM4822" i="4"/>
  <c r="BH4822" i="4"/>
  <c r="AX4821" i="4"/>
  <c r="AW4821" i="4"/>
  <c r="AV4821" i="4"/>
  <c r="AP4821" i="4"/>
  <c r="AO4821" i="4"/>
  <c r="AN4821" i="4"/>
  <c r="AM4821" i="4"/>
  <c r="BH4821" i="4"/>
  <c r="AX4820" i="4"/>
  <c r="AW4820" i="4"/>
  <c r="AV4820" i="4"/>
  <c r="AP4820" i="4"/>
  <c r="AO4820" i="4"/>
  <c r="AN4820" i="4"/>
  <c r="AM4820" i="4"/>
  <c r="BH4820" i="4"/>
  <c r="AX4819" i="4"/>
  <c r="AW4819" i="4"/>
  <c r="AV4819" i="4"/>
  <c r="AP4819" i="4"/>
  <c r="AO4819" i="4"/>
  <c r="AN4819" i="4"/>
  <c r="AM4819" i="4"/>
  <c r="BH4819" i="4"/>
  <c r="AX4818" i="4"/>
  <c r="AW4818" i="4"/>
  <c r="AV4818" i="4"/>
  <c r="AP4818" i="4"/>
  <c r="AO4818" i="4"/>
  <c r="AN4818" i="4"/>
  <c r="AM4818" i="4"/>
  <c r="BH4818" i="4"/>
  <c r="AX4817" i="4"/>
  <c r="AW4817" i="4"/>
  <c r="AV4817" i="4"/>
  <c r="AP4817" i="4"/>
  <c r="AO4817" i="4"/>
  <c r="AN4817" i="4"/>
  <c r="AM4817" i="4"/>
  <c r="BH4817" i="4"/>
  <c r="AX4816" i="4"/>
  <c r="AW4816" i="4"/>
  <c r="AV4816" i="4"/>
  <c r="AP4816" i="4"/>
  <c r="AO4816" i="4"/>
  <c r="AN4816" i="4"/>
  <c r="AM4816" i="4"/>
  <c r="BH4816" i="4"/>
  <c r="AX4815" i="4"/>
  <c r="AW4815" i="4"/>
  <c r="AV4815" i="4"/>
  <c r="AP4815" i="4"/>
  <c r="AO4815" i="4"/>
  <c r="AN4815" i="4"/>
  <c r="AM4815" i="4"/>
  <c r="BH4815" i="4"/>
  <c r="AX4814" i="4"/>
  <c r="AW4814" i="4"/>
  <c r="AV4814" i="4"/>
  <c r="AP4814" i="4"/>
  <c r="AO4814" i="4"/>
  <c r="AN4814" i="4"/>
  <c r="AM4814" i="4"/>
  <c r="BH4814" i="4"/>
  <c r="AX4813" i="4"/>
  <c r="AW4813" i="4"/>
  <c r="AV4813" i="4"/>
  <c r="AP4813" i="4"/>
  <c r="AO4813" i="4"/>
  <c r="AN4813" i="4"/>
  <c r="AM4813" i="4"/>
  <c r="BH4813" i="4"/>
  <c r="AX4812" i="4"/>
  <c r="AW4812" i="4"/>
  <c r="AV4812" i="4"/>
  <c r="AP4812" i="4"/>
  <c r="AO4812" i="4"/>
  <c r="AN4812" i="4"/>
  <c r="AM4812" i="4"/>
  <c r="BH4812" i="4"/>
  <c r="AX4811" i="4"/>
  <c r="AW4811" i="4"/>
  <c r="AV4811" i="4"/>
  <c r="AP4811" i="4"/>
  <c r="AO4811" i="4"/>
  <c r="AN4811" i="4"/>
  <c r="AM4811" i="4"/>
  <c r="BH4811" i="4"/>
  <c r="AX4810" i="4"/>
  <c r="AW4810" i="4"/>
  <c r="AV4810" i="4"/>
  <c r="AP4810" i="4"/>
  <c r="AO4810" i="4"/>
  <c r="AN4810" i="4"/>
  <c r="AM4810" i="4"/>
  <c r="BH4810" i="4"/>
  <c r="AX4809" i="4"/>
  <c r="AW4809" i="4"/>
  <c r="AV4809" i="4"/>
  <c r="AP4809" i="4"/>
  <c r="AO4809" i="4"/>
  <c r="AN4809" i="4"/>
  <c r="AM4809" i="4"/>
  <c r="BH4809" i="4"/>
  <c r="AX4808" i="4"/>
  <c r="AW4808" i="4"/>
  <c r="AV4808" i="4"/>
  <c r="AP4808" i="4"/>
  <c r="AO4808" i="4"/>
  <c r="AN4808" i="4"/>
  <c r="AM4808" i="4"/>
  <c r="BH4808" i="4"/>
  <c r="AX4807" i="4"/>
  <c r="AW4807" i="4"/>
  <c r="AV4807" i="4"/>
  <c r="AP4807" i="4"/>
  <c r="AO4807" i="4"/>
  <c r="AN4807" i="4"/>
  <c r="AM4807" i="4"/>
  <c r="BH4807" i="4"/>
  <c r="AX4806" i="4"/>
  <c r="AW4806" i="4"/>
  <c r="AV4806" i="4"/>
  <c r="AP4806" i="4"/>
  <c r="AO4806" i="4"/>
  <c r="AN4806" i="4"/>
  <c r="AM4806" i="4"/>
  <c r="BH4806" i="4"/>
  <c r="AX4805" i="4"/>
  <c r="AW4805" i="4"/>
  <c r="AV4805" i="4"/>
  <c r="AP4805" i="4"/>
  <c r="AO4805" i="4"/>
  <c r="AN4805" i="4"/>
  <c r="AM4805" i="4"/>
  <c r="BH4805" i="4"/>
  <c r="AX4804" i="4"/>
  <c r="AW4804" i="4"/>
  <c r="AV4804" i="4"/>
  <c r="AP4804" i="4"/>
  <c r="AO4804" i="4"/>
  <c r="AN4804" i="4"/>
  <c r="AM4804" i="4"/>
  <c r="BH4804" i="4"/>
  <c r="AX4803" i="4"/>
  <c r="AW4803" i="4"/>
  <c r="AV4803" i="4"/>
  <c r="AP4803" i="4"/>
  <c r="AO4803" i="4"/>
  <c r="AN4803" i="4"/>
  <c r="AM4803" i="4"/>
  <c r="BH4803" i="4"/>
  <c r="AX4802" i="4"/>
  <c r="AW4802" i="4"/>
  <c r="AV4802" i="4"/>
  <c r="AP4802" i="4"/>
  <c r="AO4802" i="4"/>
  <c r="AN4802" i="4"/>
  <c r="AM4802" i="4"/>
  <c r="BH4802" i="4"/>
  <c r="AX4801" i="4"/>
  <c r="AW4801" i="4"/>
  <c r="AV4801" i="4"/>
  <c r="AP4801" i="4"/>
  <c r="AO4801" i="4"/>
  <c r="AN4801" i="4"/>
  <c r="AM4801" i="4"/>
  <c r="BH4801" i="4"/>
  <c r="AX4800" i="4"/>
  <c r="AW4800" i="4"/>
  <c r="AV4800" i="4"/>
  <c r="AP4800" i="4"/>
  <c r="AO4800" i="4"/>
  <c r="AN4800" i="4"/>
  <c r="AM4800" i="4"/>
  <c r="BH4800" i="4"/>
  <c r="AX4799" i="4"/>
  <c r="AW4799" i="4"/>
  <c r="AV4799" i="4"/>
  <c r="AP4799" i="4"/>
  <c r="AO4799" i="4"/>
  <c r="AN4799" i="4"/>
  <c r="AM4799" i="4"/>
  <c r="BH4799" i="4"/>
  <c r="AX4798" i="4"/>
  <c r="AW4798" i="4"/>
  <c r="AV4798" i="4"/>
  <c r="AP4798" i="4"/>
  <c r="AO4798" i="4"/>
  <c r="AN4798" i="4"/>
  <c r="AM4798" i="4"/>
  <c r="BH4798" i="4"/>
  <c r="AX4797" i="4"/>
  <c r="AW4797" i="4"/>
  <c r="AV4797" i="4"/>
  <c r="AP4797" i="4"/>
  <c r="AO4797" i="4"/>
  <c r="AN4797" i="4"/>
  <c r="AM4797" i="4"/>
  <c r="BH4797" i="4"/>
  <c r="AX4796" i="4"/>
  <c r="AW4796" i="4"/>
  <c r="AV4796" i="4"/>
  <c r="AP4796" i="4"/>
  <c r="AO4796" i="4"/>
  <c r="AN4796" i="4"/>
  <c r="AM4796" i="4"/>
  <c r="BH4796" i="4"/>
  <c r="AX4795" i="4"/>
  <c r="AW4795" i="4"/>
  <c r="AV4795" i="4"/>
  <c r="AP4795" i="4"/>
  <c r="AO4795" i="4"/>
  <c r="AN4795" i="4"/>
  <c r="AM4795" i="4"/>
  <c r="BH4795" i="4"/>
  <c r="AX4794" i="4"/>
  <c r="AW4794" i="4"/>
  <c r="AV4794" i="4"/>
  <c r="AP4794" i="4"/>
  <c r="AO4794" i="4"/>
  <c r="AN4794" i="4"/>
  <c r="AM4794" i="4"/>
  <c r="BH4794" i="4"/>
  <c r="AX4793" i="4"/>
  <c r="AW4793" i="4"/>
  <c r="AV4793" i="4"/>
  <c r="AP4793" i="4"/>
  <c r="AO4793" i="4"/>
  <c r="AN4793" i="4"/>
  <c r="AM4793" i="4"/>
  <c r="BH4793" i="4"/>
  <c r="AX4792" i="4"/>
  <c r="AW4792" i="4"/>
  <c r="AV4792" i="4"/>
  <c r="AP4792" i="4"/>
  <c r="AO4792" i="4"/>
  <c r="AN4792" i="4"/>
  <c r="AM4792" i="4"/>
  <c r="BH4792" i="4"/>
  <c r="AX4791" i="4"/>
  <c r="AW4791" i="4"/>
  <c r="AV4791" i="4"/>
  <c r="AP4791" i="4"/>
  <c r="AO4791" i="4"/>
  <c r="AN4791" i="4"/>
  <c r="AM4791" i="4"/>
  <c r="BH4791" i="4"/>
  <c r="AX4790" i="4"/>
  <c r="AW4790" i="4"/>
  <c r="AV4790" i="4"/>
  <c r="AP4790" i="4"/>
  <c r="AO4790" i="4"/>
  <c r="AN4790" i="4"/>
  <c r="AM4790" i="4"/>
  <c r="BH4790" i="4"/>
  <c r="AX4789" i="4"/>
  <c r="AW4789" i="4"/>
  <c r="AV4789" i="4"/>
  <c r="AP4789" i="4"/>
  <c r="AO4789" i="4"/>
  <c r="AN4789" i="4"/>
  <c r="AM4789" i="4"/>
  <c r="BH4789" i="4"/>
  <c r="AX4788" i="4"/>
  <c r="AW4788" i="4"/>
  <c r="AV4788" i="4"/>
  <c r="AP4788" i="4"/>
  <c r="AO4788" i="4"/>
  <c r="AN4788" i="4"/>
  <c r="AM4788" i="4"/>
  <c r="BH4788" i="4"/>
  <c r="AX4787" i="4"/>
  <c r="AW4787" i="4"/>
  <c r="AV4787" i="4"/>
  <c r="AP4787" i="4"/>
  <c r="AO4787" i="4"/>
  <c r="AN4787" i="4"/>
  <c r="AM4787" i="4"/>
  <c r="BH4787" i="4"/>
  <c r="AX4786" i="4"/>
  <c r="AW4786" i="4"/>
  <c r="AV4786" i="4"/>
  <c r="AP4786" i="4"/>
  <c r="AO4786" i="4"/>
  <c r="AN4786" i="4"/>
  <c r="AM4786" i="4"/>
  <c r="BH4786" i="4"/>
  <c r="AX4785" i="4"/>
  <c r="AW4785" i="4"/>
  <c r="AV4785" i="4"/>
  <c r="AP4785" i="4"/>
  <c r="AO4785" i="4"/>
  <c r="AN4785" i="4"/>
  <c r="AM4785" i="4"/>
  <c r="BH4785" i="4"/>
  <c r="AX4784" i="4"/>
  <c r="AW4784" i="4"/>
  <c r="AV4784" i="4"/>
  <c r="AP4784" i="4"/>
  <c r="AO4784" i="4"/>
  <c r="AN4784" i="4"/>
  <c r="AM4784" i="4"/>
  <c r="BH4784" i="4"/>
  <c r="AX4783" i="4"/>
  <c r="AW4783" i="4"/>
  <c r="AV4783" i="4"/>
  <c r="AP4783" i="4"/>
  <c r="AO4783" i="4"/>
  <c r="AN4783" i="4"/>
  <c r="AM4783" i="4"/>
  <c r="BH4783" i="4"/>
  <c r="AX4782" i="4"/>
  <c r="AW4782" i="4"/>
  <c r="AV4782" i="4"/>
  <c r="AP4782" i="4"/>
  <c r="AO4782" i="4"/>
  <c r="AN4782" i="4"/>
  <c r="AM4782" i="4"/>
  <c r="BH4782" i="4"/>
  <c r="AX4781" i="4"/>
  <c r="AW4781" i="4"/>
  <c r="AV4781" i="4"/>
  <c r="AP4781" i="4"/>
  <c r="AO4781" i="4"/>
  <c r="AN4781" i="4"/>
  <c r="AM4781" i="4"/>
  <c r="BH4781" i="4"/>
  <c r="AX4780" i="4"/>
  <c r="AW4780" i="4"/>
  <c r="AV4780" i="4"/>
  <c r="AP4780" i="4"/>
  <c r="AO4780" i="4"/>
  <c r="AN4780" i="4"/>
  <c r="AM4780" i="4"/>
  <c r="BH4780" i="4"/>
  <c r="AX4779" i="4"/>
  <c r="AW4779" i="4"/>
  <c r="AV4779" i="4"/>
  <c r="AP4779" i="4"/>
  <c r="AO4779" i="4"/>
  <c r="AN4779" i="4"/>
  <c r="AM4779" i="4"/>
  <c r="BH4779" i="4"/>
  <c r="AX4778" i="4"/>
  <c r="AW4778" i="4"/>
  <c r="AV4778" i="4"/>
  <c r="AP4778" i="4"/>
  <c r="AO4778" i="4"/>
  <c r="AN4778" i="4"/>
  <c r="AM4778" i="4"/>
  <c r="BH4778" i="4"/>
  <c r="AX4777" i="4"/>
  <c r="AW4777" i="4"/>
  <c r="AV4777" i="4"/>
  <c r="AP4777" i="4"/>
  <c r="AO4777" i="4"/>
  <c r="AN4777" i="4"/>
  <c r="AM4777" i="4"/>
  <c r="BH4777" i="4"/>
  <c r="AX4776" i="4"/>
  <c r="AW4776" i="4"/>
  <c r="AV4776" i="4"/>
  <c r="AP4776" i="4"/>
  <c r="AO4776" i="4"/>
  <c r="AN4776" i="4"/>
  <c r="AM4776" i="4"/>
  <c r="BH4776" i="4"/>
  <c r="AX4775" i="4"/>
  <c r="AW4775" i="4"/>
  <c r="AV4775" i="4"/>
  <c r="AP4775" i="4"/>
  <c r="AO4775" i="4"/>
  <c r="AN4775" i="4"/>
  <c r="AM4775" i="4"/>
  <c r="BH4775" i="4"/>
  <c r="AX4774" i="4"/>
  <c r="AW4774" i="4"/>
  <c r="AV4774" i="4"/>
  <c r="AP4774" i="4"/>
  <c r="AO4774" i="4"/>
  <c r="AN4774" i="4"/>
  <c r="AM4774" i="4"/>
  <c r="BH4774" i="4"/>
  <c r="AX4773" i="4"/>
  <c r="AW4773" i="4"/>
  <c r="AV4773" i="4"/>
  <c r="AP4773" i="4"/>
  <c r="AO4773" i="4"/>
  <c r="AN4773" i="4"/>
  <c r="AM4773" i="4"/>
  <c r="BH4773" i="4"/>
  <c r="AX4772" i="4"/>
  <c r="AW4772" i="4"/>
  <c r="AV4772" i="4"/>
  <c r="AP4772" i="4"/>
  <c r="AO4772" i="4"/>
  <c r="AN4772" i="4"/>
  <c r="AM4772" i="4"/>
  <c r="BH4772" i="4"/>
  <c r="AX4771" i="4"/>
  <c r="AW4771" i="4"/>
  <c r="AV4771" i="4"/>
  <c r="AP4771" i="4"/>
  <c r="AO4771" i="4"/>
  <c r="AN4771" i="4"/>
  <c r="AM4771" i="4"/>
  <c r="BH4771" i="4"/>
  <c r="AX4770" i="4"/>
  <c r="AW4770" i="4"/>
  <c r="AV4770" i="4"/>
  <c r="AP4770" i="4"/>
  <c r="AO4770" i="4"/>
  <c r="AN4770" i="4"/>
  <c r="AM4770" i="4"/>
  <c r="BH4770" i="4"/>
  <c r="AX4769" i="4"/>
  <c r="AW4769" i="4"/>
  <c r="AV4769" i="4"/>
  <c r="AP4769" i="4"/>
  <c r="AO4769" i="4"/>
  <c r="AN4769" i="4"/>
  <c r="AM4769" i="4"/>
  <c r="BH4769" i="4"/>
  <c r="AX4768" i="4"/>
  <c r="AW4768" i="4"/>
  <c r="AV4768" i="4"/>
  <c r="AP4768" i="4"/>
  <c r="AO4768" i="4"/>
  <c r="AN4768" i="4"/>
  <c r="AM4768" i="4"/>
  <c r="BH4768" i="4"/>
  <c r="AX4767" i="4"/>
  <c r="AW4767" i="4"/>
  <c r="AV4767" i="4"/>
  <c r="AP4767" i="4"/>
  <c r="AO4767" i="4"/>
  <c r="AN4767" i="4"/>
  <c r="AM4767" i="4"/>
  <c r="BH4767" i="4"/>
  <c r="AX4766" i="4"/>
  <c r="AW4766" i="4"/>
  <c r="AV4766" i="4"/>
  <c r="AP4766" i="4"/>
  <c r="AO4766" i="4"/>
  <c r="AN4766" i="4"/>
  <c r="AM4766" i="4"/>
  <c r="BH4766" i="4"/>
  <c r="AX4765" i="4"/>
  <c r="AW4765" i="4"/>
  <c r="AV4765" i="4"/>
  <c r="AP4765" i="4"/>
  <c r="AO4765" i="4"/>
  <c r="AN4765" i="4"/>
  <c r="AM4765" i="4"/>
  <c r="BH4765" i="4"/>
  <c r="AX4764" i="4"/>
  <c r="AW4764" i="4"/>
  <c r="AV4764" i="4"/>
  <c r="AP4764" i="4"/>
  <c r="AO4764" i="4"/>
  <c r="AN4764" i="4"/>
  <c r="AM4764" i="4"/>
  <c r="BH4764" i="4"/>
  <c r="AX4763" i="4"/>
  <c r="AW4763" i="4"/>
  <c r="AV4763" i="4"/>
  <c r="AP4763" i="4"/>
  <c r="AO4763" i="4"/>
  <c r="AN4763" i="4"/>
  <c r="AM4763" i="4"/>
  <c r="BH4763" i="4"/>
  <c r="AX4762" i="4"/>
  <c r="AW4762" i="4"/>
  <c r="AV4762" i="4"/>
  <c r="AP4762" i="4"/>
  <c r="AO4762" i="4"/>
  <c r="AN4762" i="4"/>
  <c r="AM4762" i="4"/>
  <c r="BH4762" i="4"/>
  <c r="AX4761" i="4"/>
  <c r="AW4761" i="4"/>
  <c r="AV4761" i="4"/>
  <c r="AP4761" i="4"/>
  <c r="AO4761" i="4"/>
  <c r="AN4761" i="4"/>
  <c r="AM4761" i="4"/>
  <c r="BH4761" i="4"/>
  <c r="AX4760" i="4"/>
  <c r="AW4760" i="4"/>
  <c r="AV4760" i="4"/>
  <c r="AP4760" i="4"/>
  <c r="AO4760" i="4"/>
  <c r="AN4760" i="4"/>
  <c r="AM4760" i="4"/>
  <c r="BH4760" i="4"/>
  <c r="AX4759" i="4"/>
  <c r="AW4759" i="4"/>
  <c r="AV4759" i="4"/>
  <c r="AP4759" i="4"/>
  <c r="AO4759" i="4"/>
  <c r="AN4759" i="4"/>
  <c r="AM4759" i="4"/>
  <c r="BH4759" i="4"/>
  <c r="AX4758" i="4"/>
  <c r="AW4758" i="4"/>
  <c r="AV4758" i="4"/>
  <c r="AP4758" i="4"/>
  <c r="AO4758" i="4"/>
  <c r="AN4758" i="4"/>
  <c r="AM4758" i="4"/>
  <c r="BH4758" i="4"/>
  <c r="AX4757" i="4"/>
  <c r="AW4757" i="4"/>
  <c r="AV4757" i="4"/>
  <c r="AP4757" i="4"/>
  <c r="AO4757" i="4"/>
  <c r="AN4757" i="4"/>
  <c r="AM4757" i="4"/>
  <c r="BH4757" i="4"/>
  <c r="AX4756" i="4"/>
  <c r="AW4756" i="4"/>
  <c r="AV4756" i="4"/>
  <c r="AP4756" i="4"/>
  <c r="AO4756" i="4"/>
  <c r="AN4756" i="4"/>
  <c r="AM4756" i="4"/>
  <c r="BH4756" i="4"/>
  <c r="AX4755" i="4"/>
  <c r="AW4755" i="4"/>
  <c r="AV4755" i="4"/>
  <c r="AP4755" i="4"/>
  <c r="AO4755" i="4"/>
  <c r="AN4755" i="4"/>
  <c r="AM4755" i="4"/>
  <c r="BH4755" i="4"/>
  <c r="AX4754" i="4"/>
  <c r="AW4754" i="4"/>
  <c r="AV4754" i="4"/>
  <c r="AP4754" i="4"/>
  <c r="AO4754" i="4"/>
  <c r="AN4754" i="4"/>
  <c r="AM4754" i="4"/>
  <c r="BH4754" i="4"/>
  <c r="AX4753" i="4"/>
  <c r="AW4753" i="4"/>
  <c r="AV4753" i="4"/>
  <c r="AP4753" i="4"/>
  <c r="AO4753" i="4"/>
  <c r="AN4753" i="4"/>
  <c r="AM4753" i="4"/>
  <c r="BH4753" i="4"/>
  <c r="AX4752" i="4"/>
  <c r="AW4752" i="4"/>
  <c r="AV4752" i="4"/>
  <c r="AP4752" i="4"/>
  <c r="AO4752" i="4"/>
  <c r="AN4752" i="4"/>
  <c r="AM4752" i="4"/>
  <c r="BH4752" i="4"/>
  <c r="AX4751" i="4"/>
  <c r="AW4751" i="4"/>
  <c r="AV4751" i="4"/>
  <c r="AP4751" i="4"/>
  <c r="AO4751" i="4"/>
  <c r="AN4751" i="4"/>
  <c r="AM4751" i="4"/>
  <c r="BH4751" i="4"/>
  <c r="AX4750" i="4"/>
  <c r="AW4750" i="4"/>
  <c r="AV4750" i="4"/>
  <c r="AP4750" i="4"/>
  <c r="AO4750" i="4"/>
  <c r="AN4750" i="4"/>
  <c r="AM4750" i="4"/>
  <c r="BH4750" i="4"/>
  <c r="AX4749" i="4"/>
  <c r="AW4749" i="4"/>
  <c r="AV4749" i="4"/>
  <c r="AP4749" i="4"/>
  <c r="AO4749" i="4"/>
  <c r="AN4749" i="4"/>
  <c r="AM4749" i="4"/>
  <c r="BH4749" i="4"/>
  <c r="AX4748" i="4"/>
  <c r="AW4748" i="4"/>
  <c r="AV4748" i="4"/>
  <c r="AP4748" i="4"/>
  <c r="AO4748" i="4"/>
  <c r="AN4748" i="4"/>
  <c r="AM4748" i="4"/>
  <c r="BH4748" i="4"/>
  <c r="AX4747" i="4"/>
  <c r="AW4747" i="4"/>
  <c r="AV4747" i="4"/>
  <c r="AP4747" i="4"/>
  <c r="AO4747" i="4"/>
  <c r="AN4747" i="4"/>
  <c r="AM4747" i="4"/>
  <c r="BH4747" i="4"/>
  <c r="AX4746" i="4"/>
  <c r="AW4746" i="4"/>
  <c r="AV4746" i="4"/>
  <c r="AP4746" i="4"/>
  <c r="AO4746" i="4"/>
  <c r="AN4746" i="4"/>
  <c r="AM4746" i="4"/>
  <c r="BH4746" i="4"/>
  <c r="AX4745" i="4"/>
  <c r="AW4745" i="4"/>
  <c r="AV4745" i="4"/>
  <c r="AP4745" i="4"/>
  <c r="AO4745" i="4"/>
  <c r="AN4745" i="4"/>
  <c r="AM4745" i="4"/>
  <c r="BH4745" i="4"/>
  <c r="AX4744" i="4"/>
  <c r="AW4744" i="4"/>
  <c r="AV4744" i="4"/>
  <c r="AP4744" i="4"/>
  <c r="AO4744" i="4"/>
  <c r="AN4744" i="4"/>
  <c r="AM4744" i="4"/>
  <c r="BH4744" i="4"/>
  <c r="AX4743" i="4"/>
  <c r="AW4743" i="4"/>
  <c r="AV4743" i="4"/>
  <c r="AP4743" i="4"/>
  <c r="AO4743" i="4"/>
  <c r="AN4743" i="4"/>
  <c r="AM4743" i="4"/>
  <c r="BH4743" i="4"/>
  <c r="AX4742" i="4"/>
  <c r="AW4742" i="4"/>
  <c r="AV4742" i="4"/>
  <c r="AP4742" i="4"/>
  <c r="AO4742" i="4"/>
  <c r="AN4742" i="4"/>
  <c r="AM4742" i="4"/>
  <c r="BH4742" i="4"/>
  <c r="AX4741" i="4"/>
  <c r="AW4741" i="4"/>
  <c r="AV4741" i="4"/>
  <c r="AP4741" i="4"/>
  <c r="AO4741" i="4"/>
  <c r="AN4741" i="4"/>
  <c r="AM4741" i="4"/>
  <c r="BH4741" i="4"/>
  <c r="AX4740" i="4"/>
  <c r="AW4740" i="4"/>
  <c r="AV4740" i="4"/>
  <c r="AP4740" i="4"/>
  <c r="AO4740" i="4"/>
  <c r="AN4740" i="4"/>
  <c r="AM4740" i="4"/>
  <c r="BH4740" i="4"/>
  <c r="AX4739" i="4"/>
  <c r="AW4739" i="4"/>
  <c r="AV4739" i="4"/>
  <c r="AP4739" i="4"/>
  <c r="AO4739" i="4"/>
  <c r="AN4739" i="4"/>
  <c r="AM4739" i="4"/>
  <c r="BH4739" i="4"/>
  <c r="AX4738" i="4"/>
  <c r="AW4738" i="4"/>
  <c r="AV4738" i="4"/>
  <c r="AP4738" i="4"/>
  <c r="AO4738" i="4"/>
  <c r="AN4738" i="4"/>
  <c r="AM4738" i="4"/>
  <c r="BH4738" i="4"/>
  <c r="AX4737" i="4"/>
  <c r="AW4737" i="4"/>
  <c r="AV4737" i="4"/>
  <c r="AP4737" i="4"/>
  <c r="AO4737" i="4"/>
  <c r="AN4737" i="4"/>
  <c r="AM4737" i="4"/>
  <c r="BH4737" i="4"/>
  <c r="AX4736" i="4"/>
  <c r="AW4736" i="4"/>
  <c r="AV4736" i="4"/>
  <c r="AP4736" i="4"/>
  <c r="AO4736" i="4"/>
  <c r="AN4736" i="4"/>
  <c r="AM4736" i="4"/>
  <c r="BH4736" i="4"/>
  <c r="AX4735" i="4"/>
  <c r="AW4735" i="4"/>
  <c r="AV4735" i="4"/>
  <c r="AP4735" i="4"/>
  <c r="AO4735" i="4"/>
  <c r="AN4735" i="4"/>
  <c r="AM4735" i="4"/>
  <c r="BH4735" i="4"/>
  <c r="AX4734" i="4"/>
  <c r="AW4734" i="4"/>
  <c r="AV4734" i="4"/>
  <c r="AP4734" i="4"/>
  <c r="AO4734" i="4"/>
  <c r="AN4734" i="4"/>
  <c r="AM4734" i="4"/>
  <c r="BH4734" i="4"/>
  <c r="AX4733" i="4"/>
  <c r="AW4733" i="4"/>
  <c r="AV4733" i="4"/>
  <c r="AP4733" i="4"/>
  <c r="AO4733" i="4"/>
  <c r="AN4733" i="4"/>
  <c r="AM4733" i="4"/>
  <c r="BH4733" i="4"/>
  <c r="AX4732" i="4"/>
  <c r="AW4732" i="4"/>
  <c r="AV4732" i="4"/>
  <c r="AP4732" i="4"/>
  <c r="AO4732" i="4"/>
  <c r="AN4732" i="4"/>
  <c r="AM4732" i="4"/>
  <c r="BH4732" i="4"/>
  <c r="AX4731" i="4"/>
  <c r="AW4731" i="4"/>
  <c r="AV4731" i="4"/>
  <c r="AP4731" i="4"/>
  <c r="AO4731" i="4"/>
  <c r="AN4731" i="4"/>
  <c r="AM4731" i="4"/>
  <c r="BH4731" i="4"/>
  <c r="AX4730" i="4"/>
  <c r="AW4730" i="4"/>
  <c r="AV4730" i="4"/>
  <c r="AP4730" i="4"/>
  <c r="AO4730" i="4"/>
  <c r="AN4730" i="4"/>
  <c r="AM4730" i="4"/>
  <c r="BH4730" i="4"/>
  <c r="AX4729" i="4"/>
  <c r="AW4729" i="4"/>
  <c r="AV4729" i="4"/>
  <c r="AP4729" i="4"/>
  <c r="AO4729" i="4"/>
  <c r="AN4729" i="4"/>
  <c r="AM4729" i="4"/>
  <c r="BH4729" i="4"/>
  <c r="AX4728" i="4"/>
  <c r="AW4728" i="4"/>
  <c r="AV4728" i="4"/>
  <c r="AP4728" i="4"/>
  <c r="AO4728" i="4"/>
  <c r="AN4728" i="4"/>
  <c r="AM4728" i="4"/>
  <c r="BH4728" i="4"/>
  <c r="AX4727" i="4"/>
  <c r="AW4727" i="4"/>
  <c r="AV4727" i="4"/>
  <c r="AP4727" i="4"/>
  <c r="AO4727" i="4"/>
  <c r="AN4727" i="4"/>
  <c r="AM4727" i="4"/>
  <c r="BH4727" i="4"/>
  <c r="AX4726" i="4"/>
  <c r="AW4726" i="4"/>
  <c r="AV4726" i="4"/>
  <c r="AP4726" i="4"/>
  <c r="AO4726" i="4"/>
  <c r="AN4726" i="4"/>
  <c r="AM4726" i="4"/>
  <c r="BH4726" i="4"/>
  <c r="AX4725" i="4"/>
  <c r="AW4725" i="4"/>
  <c r="AV4725" i="4"/>
  <c r="AP4725" i="4"/>
  <c r="AO4725" i="4"/>
  <c r="AN4725" i="4"/>
  <c r="AM4725" i="4"/>
  <c r="BH4725" i="4"/>
  <c r="AX4724" i="4"/>
  <c r="AW4724" i="4"/>
  <c r="AV4724" i="4"/>
  <c r="AP4724" i="4"/>
  <c r="AO4724" i="4"/>
  <c r="AN4724" i="4"/>
  <c r="AM4724" i="4"/>
  <c r="BH4724" i="4"/>
  <c r="AX4723" i="4"/>
  <c r="AW4723" i="4"/>
  <c r="AV4723" i="4"/>
  <c r="AP4723" i="4"/>
  <c r="AO4723" i="4"/>
  <c r="AN4723" i="4"/>
  <c r="AM4723" i="4"/>
  <c r="BH4723" i="4"/>
  <c r="AX4722" i="4"/>
  <c r="AW4722" i="4"/>
  <c r="AV4722" i="4"/>
  <c r="AP4722" i="4"/>
  <c r="AO4722" i="4"/>
  <c r="AN4722" i="4"/>
  <c r="AM4722" i="4"/>
  <c r="BH4722" i="4"/>
  <c r="AX4721" i="4"/>
  <c r="AW4721" i="4"/>
  <c r="AV4721" i="4"/>
  <c r="AP4721" i="4"/>
  <c r="AO4721" i="4"/>
  <c r="AN4721" i="4"/>
  <c r="AM4721" i="4"/>
  <c r="BH4721" i="4"/>
  <c r="AX4720" i="4"/>
  <c r="AW4720" i="4"/>
  <c r="AV4720" i="4"/>
  <c r="AP4720" i="4"/>
  <c r="AO4720" i="4"/>
  <c r="AN4720" i="4"/>
  <c r="AM4720" i="4"/>
  <c r="BH4720" i="4"/>
  <c r="AX4719" i="4"/>
  <c r="AW4719" i="4"/>
  <c r="AV4719" i="4"/>
  <c r="AP4719" i="4"/>
  <c r="AO4719" i="4"/>
  <c r="AN4719" i="4"/>
  <c r="AM4719" i="4"/>
  <c r="BH4719" i="4"/>
  <c r="AX4718" i="4"/>
  <c r="AW4718" i="4"/>
  <c r="AV4718" i="4"/>
  <c r="AP4718" i="4"/>
  <c r="AO4718" i="4"/>
  <c r="AN4718" i="4"/>
  <c r="AM4718" i="4"/>
  <c r="BH4718" i="4"/>
  <c r="AX4717" i="4"/>
  <c r="AW4717" i="4"/>
  <c r="AV4717" i="4"/>
  <c r="AP4717" i="4"/>
  <c r="AO4717" i="4"/>
  <c r="AN4717" i="4"/>
  <c r="AM4717" i="4"/>
  <c r="BH4717" i="4"/>
  <c r="AX4716" i="4"/>
  <c r="AW4716" i="4"/>
  <c r="AV4716" i="4"/>
  <c r="AP4716" i="4"/>
  <c r="AO4716" i="4"/>
  <c r="AN4716" i="4"/>
  <c r="AM4716" i="4"/>
  <c r="BH4716" i="4"/>
  <c r="AX4715" i="4"/>
  <c r="AW4715" i="4"/>
  <c r="AV4715" i="4"/>
  <c r="AP4715" i="4"/>
  <c r="AO4715" i="4"/>
  <c r="AN4715" i="4"/>
  <c r="AM4715" i="4"/>
  <c r="BH4715" i="4"/>
  <c r="AX4714" i="4"/>
  <c r="AW4714" i="4"/>
  <c r="AV4714" i="4"/>
  <c r="AP4714" i="4"/>
  <c r="AO4714" i="4"/>
  <c r="AN4714" i="4"/>
  <c r="AM4714" i="4"/>
  <c r="BH4714" i="4"/>
  <c r="AX4713" i="4"/>
  <c r="AW4713" i="4"/>
  <c r="AV4713" i="4"/>
  <c r="AP4713" i="4"/>
  <c r="AO4713" i="4"/>
  <c r="AN4713" i="4"/>
  <c r="AM4713" i="4"/>
  <c r="BH4713" i="4"/>
  <c r="AX4712" i="4"/>
  <c r="AW4712" i="4"/>
  <c r="AV4712" i="4"/>
  <c r="AP4712" i="4"/>
  <c r="AO4712" i="4"/>
  <c r="AN4712" i="4"/>
  <c r="AM4712" i="4"/>
  <c r="BH4712" i="4"/>
  <c r="AX4711" i="4"/>
  <c r="AW4711" i="4"/>
  <c r="AV4711" i="4"/>
  <c r="AP4711" i="4"/>
  <c r="AO4711" i="4"/>
  <c r="AN4711" i="4"/>
  <c r="AM4711" i="4"/>
  <c r="BH4711" i="4"/>
  <c r="AX4710" i="4"/>
  <c r="AW4710" i="4"/>
  <c r="AV4710" i="4"/>
  <c r="AP4710" i="4"/>
  <c r="AO4710" i="4"/>
  <c r="AN4710" i="4"/>
  <c r="AM4710" i="4"/>
  <c r="BH4710" i="4"/>
  <c r="AX4709" i="4"/>
  <c r="AW4709" i="4"/>
  <c r="AV4709" i="4"/>
  <c r="AP4709" i="4"/>
  <c r="AO4709" i="4"/>
  <c r="AN4709" i="4"/>
  <c r="AM4709" i="4"/>
  <c r="BH4709" i="4"/>
  <c r="AX4708" i="4"/>
  <c r="AW4708" i="4"/>
  <c r="AV4708" i="4"/>
  <c r="AP4708" i="4"/>
  <c r="AO4708" i="4"/>
  <c r="AN4708" i="4"/>
  <c r="AM4708" i="4"/>
  <c r="BH4708" i="4"/>
  <c r="AX4707" i="4"/>
  <c r="AW4707" i="4"/>
  <c r="AV4707" i="4"/>
  <c r="AP4707" i="4"/>
  <c r="AO4707" i="4"/>
  <c r="AN4707" i="4"/>
  <c r="AM4707" i="4"/>
  <c r="BH4707" i="4"/>
  <c r="AX4706" i="4"/>
  <c r="AW4706" i="4"/>
  <c r="AV4706" i="4"/>
  <c r="AP4706" i="4"/>
  <c r="AO4706" i="4"/>
  <c r="AN4706" i="4"/>
  <c r="AM4706" i="4"/>
  <c r="BH4706" i="4"/>
  <c r="AX4705" i="4"/>
  <c r="AW4705" i="4"/>
  <c r="AV4705" i="4"/>
  <c r="AP4705" i="4"/>
  <c r="AO4705" i="4"/>
  <c r="AN4705" i="4"/>
  <c r="AM4705" i="4"/>
  <c r="BH4705" i="4"/>
  <c r="AX4704" i="4"/>
  <c r="AW4704" i="4"/>
  <c r="AV4704" i="4"/>
  <c r="AP4704" i="4"/>
  <c r="AO4704" i="4"/>
  <c r="AN4704" i="4"/>
  <c r="AM4704" i="4"/>
  <c r="BH4704" i="4"/>
  <c r="AX4703" i="4"/>
  <c r="AW4703" i="4"/>
  <c r="AV4703" i="4"/>
  <c r="AP4703" i="4"/>
  <c r="AO4703" i="4"/>
  <c r="AN4703" i="4"/>
  <c r="AM4703" i="4"/>
  <c r="BH4703" i="4"/>
  <c r="AX4702" i="4"/>
  <c r="AW4702" i="4"/>
  <c r="AV4702" i="4"/>
  <c r="AP4702" i="4"/>
  <c r="AO4702" i="4"/>
  <c r="AN4702" i="4"/>
  <c r="AM4702" i="4"/>
  <c r="BH4702" i="4"/>
  <c r="AX4701" i="4"/>
  <c r="AW4701" i="4"/>
  <c r="AV4701" i="4"/>
  <c r="AP4701" i="4"/>
  <c r="AO4701" i="4"/>
  <c r="AN4701" i="4"/>
  <c r="AM4701" i="4"/>
  <c r="BH4701" i="4"/>
  <c r="AX4700" i="4"/>
  <c r="AW4700" i="4"/>
  <c r="AV4700" i="4"/>
  <c r="AP4700" i="4"/>
  <c r="AO4700" i="4"/>
  <c r="AN4700" i="4"/>
  <c r="AM4700" i="4"/>
  <c r="BH4700" i="4"/>
  <c r="AX4699" i="4"/>
  <c r="AW4699" i="4"/>
  <c r="AV4699" i="4"/>
  <c r="AP4699" i="4"/>
  <c r="AO4699" i="4"/>
  <c r="AN4699" i="4"/>
  <c r="AM4699" i="4"/>
  <c r="BH4699" i="4"/>
  <c r="AX4698" i="4"/>
  <c r="AW4698" i="4"/>
  <c r="AV4698" i="4"/>
  <c r="AP4698" i="4"/>
  <c r="AO4698" i="4"/>
  <c r="AN4698" i="4"/>
  <c r="AM4698" i="4"/>
  <c r="BH4698" i="4"/>
  <c r="AX4697" i="4"/>
  <c r="AW4697" i="4"/>
  <c r="AV4697" i="4"/>
  <c r="AP4697" i="4"/>
  <c r="AO4697" i="4"/>
  <c r="AN4697" i="4"/>
  <c r="AM4697" i="4"/>
  <c r="BH4697" i="4"/>
  <c r="AX4696" i="4"/>
  <c r="AW4696" i="4"/>
  <c r="AV4696" i="4"/>
  <c r="AP4696" i="4"/>
  <c r="AO4696" i="4"/>
  <c r="AN4696" i="4"/>
  <c r="AM4696" i="4"/>
  <c r="BH4696" i="4"/>
  <c r="AX4695" i="4"/>
  <c r="AW4695" i="4"/>
  <c r="AV4695" i="4"/>
  <c r="AP4695" i="4"/>
  <c r="AO4695" i="4"/>
  <c r="AN4695" i="4"/>
  <c r="AM4695" i="4"/>
  <c r="BH4695" i="4"/>
  <c r="AX4694" i="4"/>
  <c r="AW4694" i="4"/>
  <c r="AV4694" i="4"/>
  <c r="AP4694" i="4"/>
  <c r="AO4694" i="4"/>
  <c r="AN4694" i="4"/>
  <c r="AM4694" i="4"/>
  <c r="BH4694" i="4"/>
  <c r="AX4693" i="4"/>
  <c r="AW4693" i="4"/>
  <c r="AV4693" i="4"/>
  <c r="AP4693" i="4"/>
  <c r="AO4693" i="4"/>
  <c r="AN4693" i="4"/>
  <c r="AM4693" i="4"/>
  <c r="BH4693" i="4"/>
  <c r="AX4692" i="4"/>
  <c r="AW4692" i="4"/>
  <c r="AV4692" i="4"/>
  <c r="AP4692" i="4"/>
  <c r="AO4692" i="4"/>
  <c r="AN4692" i="4"/>
  <c r="AM4692" i="4"/>
  <c r="BH4692" i="4"/>
  <c r="AX4691" i="4"/>
  <c r="AW4691" i="4"/>
  <c r="AV4691" i="4"/>
  <c r="AP4691" i="4"/>
  <c r="AO4691" i="4"/>
  <c r="AN4691" i="4"/>
  <c r="AM4691" i="4"/>
  <c r="BH4691" i="4"/>
  <c r="AX4690" i="4"/>
  <c r="AW4690" i="4"/>
  <c r="AV4690" i="4"/>
  <c r="AP4690" i="4"/>
  <c r="AO4690" i="4"/>
  <c r="AN4690" i="4"/>
  <c r="AM4690" i="4"/>
  <c r="BH4690" i="4"/>
  <c r="AX4689" i="4"/>
  <c r="AW4689" i="4"/>
  <c r="AV4689" i="4"/>
  <c r="AP4689" i="4"/>
  <c r="AO4689" i="4"/>
  <c r="AN4689" i="4"/>
  <c r="AM4689" i="4"/>
  <c r="BH4689" i="4"/>
  <c r="AX4688" i="4"/>
  <c r="AW4688" i="4"/>
  <c r="AV4688" i="4"/>
  <c r="AP4688" i="4"/>
  <c r="AO4688" i="4"/>
  <c r="AN4688" i="4"/>
  <c r="AM4688" i="4"/>
  <c r="BH4688" i="4"/>
  <c r="AX4687" i="4"/>
  <c r="AW4687" i="4"/>
  <c r="AV4687" i="4"/>
  <c r="AP4687" i="4"/>
  <c r="AO4687" i="4"/>
  <c r="AN4687" i="4"/>
  <c r="AM4687" i="4"/>
  <c r="BH4687" i="4"/>
  <c r="AX4686" i="4"/>
  <c r="AW4686" i="4"/>
  <c r="AV4686" i="4"/>
  <c r="AP4686" i="4"/>
  <c r="AO4686" i="4"/>
  <c r="AN4686" i="4"/>
  <c r="AM4686" i="4"/>
  <c r="BH4686" i="4"/>
  <c r="AX4685" i="4"/>
  <c r="AW4685" i="4"/>
  <c r="AV4685" i="4"/>
  <c r="AP4685" i="4"/>
  <c r="AO4685" i="4"/>
  <c r="AN4685" i="4"/>
  <c r="AM4685" i="4"/>
  <c r="BH4685" i="4"/>
  <c r="AX4684" i="4"/>
  <c r="AW4684" i="4"/>
  <c r="AV4684" i="4"/>
  <c r="AP4684" i="4"/>
  <c r="AO4684" i="4"/>
  <c r="AN4684" i="4"/>
  <c r="AM4684" i="4"/>
  <c r="BH4684" i="4"/>
  <c r="AX4683" i="4"/>
  <c r="AW4683" i="4"/>
  <c r="AV4683" i="4"/>
  <c r="AP4683" i="4"/>
  <c r="AO4683" i="4"/>
  <c r="AN4683" i="4"/>
  <c r="AM4683" i="4"/>
  <c r="BH4683" i="4"/>
  <c r="AX4682" i="4"/>
  <c r="AW4682" i="4"/>
  <c r="AV4682" i="4"/>
  <c r="AP4682" i="4"/>
  <c r="AO4682" i="4"/>
  <c r="AN4682" i="4"/>
  <c r="AM4682" i="4"/>
  <c r="BH4682" i="4"/>
  <c r="AX4681" i="4"/>
  <c r="AW4681" i="4"/>
  <c r="AV4681" i="4"/>
  <c r="AP4681" i="4"/>
  <c r="AO4681" i="4"/>
  <c r="AN4681" i="4"/>
  <c r="AM4681" i="4"/>
  <c r="BH4681" i="4"/>
  <c r="AX4680" i="4"/>
  <c r="AW4680" i="4"/>
  <c r="AV4680" i="4"/>
  <c r="AP4680" i="4"/>
  <c r="AO4680" i="4"/>
  <c r="AN4680" i="4"/>
  <c r="AM4680" i="4"/>
  <c r="BH4680" i="4"/>
  <c r="AX4679" i="4"/>
  <c r="AW4679" i="4"/>
  <c r="AV4679" i="4"/>
  <c r="AP4679" i="4"/>
  <c r="AO4679" i="4"/>
  <c r="AN4679" i="4"/>
  <c r="AM4679" i="4"/>
  <c r="BH4679" i="4"/>
  <c r="AX4678" i="4"/>
  <c r="AW4678" i="4"/>
  <c r="AV4678" i="4"/>
  <c r="AP4678" i="4"/>
  <c r="AO4678" i="4"/>
  <c r="AN4678" i="4"/>
  <c r="AM4678" i="4"/>
  <c r="BH4678" i="4"/>
  <c r="AX4677" i="4"/>
  <c r="AW4677" i="4"/>
  <c r="AV4677" i="4"/>
  <c r="AP4677" i="4"/>
  <c r="AO4677" i="4"/>
  <c r="AN4677" i="4"/>
  <c r="AM4677" i="4"/>
  <c r="BH4677" i="4"/>
  <c r="AX4676" i="4"/>
  <c r="AW4676" i="4"/>
  <c r="AV4676" i="4"/>
  <c r="AP4676" i="4"/>
  <c r="AO4676" i="4"/>
  <c r="AN4676" i="4"/>
  <c r="AM4676" i="4"/>
  <c r="BH4676" i="4"/>
  <c r="AX4675" i="4"/>
  <c r="AW4675" i="4"/>
  <c r="AV4675" i="4"/>
  <c r="AP4675" i="4"/>
  <c r="AO4675" i="4"/>
  <c r="AN4675" i="4"/>
  <c r="AM4675" i="4"/>
  <c r="BH4675" i="4"/>
  <c r="AX4674" i="4"/>
  <c r="AW4674" i="4"/>
  <c r="AV4674" i="4"/>
  <c r="AP4674" i="4"/>
  <c r="AO4674" i="4"/>
  <c r="AN4674" i="4"/>
  <c r="AM4674" i="4"/>
  <c r="BH4674" i="4"/>
  <c r="AX4673" i="4"/>
  <c r="AW4673" i="4"/>
  <c r="AV4673" i="4"/>
  <c r="AP4673" i="4"/>
  <c r="AO4673" i="4"/>
  <c r="AN4673" i="4"/>
  <c r="AM4673" i="4"/>
  <c r="BH4673" i="4"/>
  <c r="AX4672" i="4"/>
  <c r="AW4672" i="4"/>
  <c r="AV4672" i="4"/>
  <c r="AP4672" i="4"/>
  <c r="AO4672" i="4"/>
  <c r="AN4672" i="4"/>
  <c r="AM4672" i="4"/>
  <c r="BH4672" i="4"/>
  <c r="AX4671" i="4"/>
  <c r="AW4671" i="4"/>
  <c r="AV4671" i="4"/>
  <c r="AP4671" i="4"/>
  <c r="AO4671" i="4"/>
  <c r="AN4671" i="4"/>
  <c r="AM4671" i="4"/>
  <c r="BH4671" i="4"/>
  <c r="AX4670" i="4"/>
  <c r="AW4670" i="4"/>
  <c r="AV4670" i="4"/>
  <c r="AP4670" i="4"/>
  <c r="AO4670" i="4"/>
  <c r="AN4670" i="4"/>
  <c r="AM4670" i="4"/>
  <c r="BH4670" i="4"/>
  <c r="AX4669" i="4"/>
  <c r="AW4669" i="4"/>
  <c r="AV4669" i="4"/>
  <c r="AP4669" i="4"/>
  <c r="AO4669" i="4"/>
  <c r="AN4669" i="4"/>
  <c r="AM4669" i="4"/>
  <c r="BH4669" i="4"/>
  <c r="AX4668" i="4"/>
  <c r="AW4668" i="4"/>
  <c r="AV4668" i="4"/>
  <c r="AP4668" i="4"/>
  <c r="AO4668" i="4"/>
  <c r="AN4668" i="4"/>
  <c r="AM4668" i="4"/>
  <c r="BH4668" i="4"/>
  <c r="AX4667" i="4"/>
  <c r="AW4667" i="4"/>
  <c r="AV4667" i="4"/>
  <c r="AP4667" i="4"/>
  <c r="AO4667" i="4"/>
  <c r="AN4667" i="4"/>
  <c r="AM4667" i="4"/>
  <c r="BH4667" i="4"/>
  <c r="AX4666" i="4"/>
  <c r="AW4666" i="4"/>
  <c r="AV4666" i="4"/>
  <c r="AP4666" i="4"/>
  <c r="AO4666" i="4"/>
  <c r="AN4666" i="4"/>
  <c r="AM4666" i="4"/>
  <c r="BH4666" i="4"/>
  <c r="AX4665" i="4"/>
  <c r="AW4665" i="4"/>
  <c r="AV4665" i="4"/>
  <c r="AP4665" i="4"/>
  <c r="AO4665" i="4"/>
  <c r="AN4665" i="4"/>
  <c r="AM4665" i="4"/>
  <c r="BH4665" i="4"/>
  <c r="AX4664" i="4"/>
  <c r="AW4664" i="4"/>
  <c r="AV4664" i="4"/>
  <c r="AP4664" i="4"/>
  <c r="AO4664" i="4"/>
  <c r="AN4664" i="4"/>
  <c r="AM4664" i="4"/>
  <c r="BH4664" i="4"/>
  <c r="AX4663" i="4"/>
  <c r="AW4663" i="4"/>
  <c r="AV4663" i="4"/>
  <c r="AP4663" i="4"/>
  <c r="AO4663" i="4"/>
  <c r="AN4663" i="4"/>
  <c r="AM4663" i="4"/>
  <c r="BH4663" i="4"/>
  <c r="AX4662" i="4"/>
  <c r="AW4662" i="4"/>
  <c r="AV4662" i="4"/>
  <c r="AP4662" i="4"/>
  <c r="AO4662" i="4"/>
  <c r="AN4662" i="4"/>
  <c r="AM4662" i="4"/>
  <c r="BH4662" i="4"/>
  <c r="AX4661" i="4"/>
  <c r="AW4661" i="4"/>
  <c r="AV4661" i="4"/>
  <c r="AP4661" i="4"/>
  <c r="AO4661" i="4"/>
  <c r="AN4661" i="4"/>
  <c r="AM4661" i="4"/>
  <c r="BH4661" i="4"/>
  <c r="AX4660" i="4"/>
  <c r="AW4660" i="4"/>
  <c r="AV4660" i="4"/>
  <c r="AP4660" i="4"/>
  <c r="AO4660" i="4"/>
  <c r="AN4660" i="4"/>
  <c r="AM4660" i="4"/>
  <c r="BH4660" i="4"/>
  <c r="AX4659" i="4"/>
  <c r="AW4659" i="4"/>
  <c r="AV4659" i="4"/>
  <c r="AP4659" i="4"/>
  <c r="AO4659" i="4"/>
  <c r="AN4659" i="4"/>
  <c r="AM4659" i="4"/>
  <c r="BH4659" i="4"/>
  <c r="AX4658" i="4"/>
  <c r="AW4658" i="4"/>
  <c r="AV4658" i="4"/>
  <c r="AP4658" i="4"/>
  <c r="AO4658" i="4"/>
  <c r="AN4658" i="4"/>
  <c r="AM4658" i="4"/>
  <c r="BH4658" i="4"/>
  <c r="AX4657" i="4"/>
  <c r="AW4657" i="4"/>
  <c r="AV4657" i="4"/>
  <c r="AP4657" i="4"/>
  <c r="AO4657" i="4"/>
  <c r="AN4657" i="4"/>
  <c r="AM4657" i="4"/>
  <c r="BH4657" i="4"/>
  <c r="AX4656" i="4"/>
  <c r="AW4656" i="4"/>
  <c r="AV4656" i="4"/>
  <c r="AP4656" i="4"/>
  <c r="AO4656" i="4"/>
  <c r="AN4656" i="4"/>
  <c r="AM4656" i="4"/>
  <c r="BH4656" i="4"/>
  <c r="AX4655" i="4"/>
  <c r="AW4655" i="4"/>
  <c r="AV4655" i="4"/>
  <c r="AP4655" i="4"/>
  <c r="AO4655" i="4"/>
  <c r="AN4655" i="4"/>
  <c r="AM4655" i="4"/>
  <c r="BH4655" i="4"/>
  <c r="AX4654" i="4"/>
  <c r="AW4654" i="4"/>
  <c r="AV4654" i="4"/>
  <c r="AP4654" i="4"/>
  <c r="AO4654" i="4"/>
  <c r="AN4654" i="4"/>
  <c r="AM4654" i="4"/>
  <c r="BH4654" i="4"/>
  <c r="AX4653" i="4"/>
  <c r="AW4653" i="4"/>
  <c r="AV4653" i="4"/>
  <c r="AP4653" i="4"/>
  <c r="AO4653" i="4"/>
  <c r="AN4653" i="4"/>
  <c r="AM4653" i="4"/>
  <c r="BH4653" i="4"/>
  <c r="AX4652" i="4"/>
  <c r="AW4652" i="4"/>
  <c r="AV4652" i="4"/>
  <c r="AP4652" i="4"/>
  <c r="AO4652" i="4"/>
  <c r="AN4652" i="4"/>
  <c r="AM4652" i="4"/>
  <c r="BH4652" i="4"/>
  <c r="AX4651" i="4"/>
  <c r="AW4651" i="4"/>
  <c r="AV4651" i="4"/>
  <c r="AP4651" i="4"/>
  <c r="AO4651" i="4"/>
  <c r="AN4651" i="4"/>
  <c r="AM4651" i="4"/>
  <c r="BH4651" i="4"/>
  <c r="AX4650" i="4"/>
  <c r="AW4650" i="4"/>
  <c r="AV4650" i="4"/>
  <c r="AP4650" i="4"/>
  <c r="AO4650" i="4"/>
  <c r="AN4650" i="4"/>
  <c r="AM4650" i="4"/>
  <c r="BH4650" i="4"/>
  <c r="AX4649" i="4"/>
  <c r="AW4649" i="4"/>
  <c r="AV4649" i="4"/>
  <c r="AP4649" i="4"/>
  <c r="AO4649" i="4"/>
  <c r="AN4649" i="4"/>
  <c r="AM4649" i="4"/>
  <c r="BH4649" i="4"/>
  <c r="AX4648" i="4"/>
  <c r="AW4648" i="4"/>
  <c r="AV4648" i="4"/>
  <c r="AP4648" i="4"/>
  <c r="AO4648" i="4"/>
  <c r="AN4648" i="4"/>
  <c r="AM4648" i="4"/>
  <c r="BH4648" i="4"/>
  <c r="AX4647" i="4"/>
  <c r="AW4647" i="4"/>
  <c r="AV4647" i="4"/>
  <c r="AP4647" i="4"/>
  <c r="AO4647" i="4"/>
  <c r="AN4647" i="4"/>
  <c r="AM4647" i="4"/>
  <c r="BH4647" i="4"/>
  <c r="AX4646" i="4"/>
  <c r="AW4646" i="4"/>
  <c r="AV4646" i="4"/>
  <c r="AP4646" i="4"/>
  <c r="AO4646" i="4"/>
  <c r="AN4646" i="4"/>
  <c r="AM4646" i="4"/>
  <c r="BH4646" i="4"/>
  <c r="AX4645" i="4"/>
  <c r="AW4645" i="4"/>
  <c r="AV4645" i="4"/>
  <c r="AP4645" i="4"/>
  <c r="AO4645" i="4"/>
  <c r="AN4645" i="4"/>
  <c r="AM4645" i="4"/>
  <c r="BH4645" i="4"/>
  <c r="AX4644" i="4"/>
  <c r="AW4644" i="4"/>
  <c r="AV4644" i="4"/>
  <c r="AP4644" i="4"/>
  <c r="AO4644" i="4"/>
  <c r="AN4644" i="4"/>
  <c r="AM4644" i="4"/>
  <c r="BH4644" i="4"/>
  <c r="AX4643" i="4"/>
  <c r="AW4643" i="4"/>
  <c r="AV4643" i="4"/>
  <c r="AP4643" i="4"/>
  <c r="AO4643" i="4"/>
  <c r="AN4643" i="4"/>
  <c r="AM4643" i="4"/>
  <c r="BH4643" i="4"/>
  <c r="AX4642" i="4"/>
  <c r="AW4642" i="4"/>
  <c r="AV4642" i="4"/>
  <c r="AP4642" i="4"/>
  <c r="AO4642" i="4"/>
  <c r="AN4642" i="4"/>
  <c r="AM4642" i="4"/>
  <c r="BH4642" i="4"/>
  <c r="AX4641" i="4"/>
  <c r="AW4641" i="4"/>
  <c r="AV4641" i="4"/>
  <c r="AP4641" i="4"/>
  <c r="AO4641" i="4"/>
  <c r="AN4641" i="4"/>
  <c r="AM4641" i="4"/>
  <c r="BH4641" i="4"/>
  <c r="AX4640" i="4"/>
  <c r="AW4640" i="4"/>
  <c r="AV4640" i="4"/>
  <c r="AP4640" i="4"/>
  <c r="AO4640" i="4"/>
  <c r="AN4640" i="4"/>
  <c r="AM4640" i="4"/>
  <c r="BH4640" i="4"/>
  <c r="AX4639" i="4"/>
  <c r="AW4639" i="4"/>
  <c r="AV4639" i="4"/>
  <c r="AP4639" i="4"/>
  <c r="AO4639" i="4"/>
  <c r="AN4639" i="4"/>
  <c r="AM4639" i="4"/>
  <c r="BH4639" i="4"/>
  <c r="AX4638" i="4"/>
  <c r="AW4638" i="4"/>
  <c r="AV4638" i="4"/>
  <c r="AP4638" i="4"/>
  <c r="AO4638" i="4"/>
  <c r="AN4638" i="4"/>
  <c r="AM4638" i="4"/>
  <c r="BH4638" i="4"/>
  <c r="AX4637" i="4"/>
  <c r="AW4637" i="4"/>
  <c r="AV4637" i="4"/>
  <c r="AP4637" i="4"/>
  <c r="AO4637" i="4"/>
  <c r="AN4637" i="4"/>
  <c r="AM4637" i="4"/>
  <c r="BH4637" i="4"/>
  <c r="AX4636" i="4"/>
  <c r="AW4636" i="4"/>
  <c r="AV4636" i="4"/>
  <c r="AP4636" i="4"/>
  <c r="AO4636" i="4"/>
  <c r="AN4636" i="4"/>
  <c r="AM4636" i="4"/>
  <c r="BH4636" i="4"/>
  <c r="AX4635" i="4"/>
  <c r="AW4635" i="4"/>
  <c r="AV4635" i="4"/>
  <c r="AP4635" i="4"/>
  <c r="AO4635" i="4"/>
  <c r="AN4635" i="4"/>
  <c r="AM4635" i="4"/>
  <c r="BH4635" i="4"/>
  <c r="AX4634" i="4"/>
  <c r="AW4634" i="4"/>
  <c r="AV4634" i="4"/>
  <c r="AP4634" i="4"/>
  <c r="AO4634" i="4"/>
  <c r="AN4634" i="4"/>
  <c r="AM4634" i="4"/>
  <c r="BH4634" i="4"/>
  <c r="AX4633" i="4"/>
  <c r="AW4633" i="4"/>
  <c r="AV4633" i="4"/>
  <c r="AP4633" i="4"/>
  <c r="AO4633" i="4"/>
  <c r="AN4633" i="4"/>
  <c r="AM4633" i="4"/>
  <c r="BH4633" i="4"/>
  <c r="AX4632" i="4"/>
  <c r="AW4632" i="4"/>
  <c r="AV4632" i="4"/>
  <c r="AP4632" i="4"/>
  <c r="AO4632" i="4"/>
  <c r="AN4632" i="4"/>
  <c r="AM4632" i="4"/>
  <c r="BH4632" i="4"/>
  <c r="AX4631" i="4"/>
  <c r="AW4631" i="4"/>
  <c r="AV4631" i="4"/>
  <c r="AP4631" i="4"/>
  <c r="AO4631" i="4"/>
  <c r="AN4631" i="4"/>
  <c r="AM4631" i="4"/>
  <c r="BH4631" i="4"/>
  <c r="AX4630" i="4"/>
  <c r="AW4630" i="4"/>
  <c r="AV4630" i="4"/>
  <c r="AP4630" i="4"/>
  <c r="AO4630" i="4"/>
  <c r="AN4630" i="4"/>
  <c r="AM4630" i="4"/>
  <c r="BH4630" i="4"/>
  <c r="AX4629" i="4"/>
  <c r="AW4629" i="4"/>
  <c r="AV4629" i="4"/>
  <c r="AP4629" i="4"/>
  <c r="AO4629" i="4"/>
  <c r="AN4629" i="4"/>
  <c r="AM4629" i="4"/>
  <c r="BH4629" i="4"/>
  <c r="AX4628" i="4"/>
  <c r="AW4628" i="4"/>
  <c r="AV4628" i="4"/>
  <c r="AP4628" i="4"/>
  <c r="AO4628" i="4"/>
  <c r="AN4628" i="4"/>
  <c r="AM4628" i="4"/>
  <c r="BH4628" i="4"/>
  <c r="AX4627" i="4"/>
  <c r="AW4627" i="4"/>
  <c r="AV4627" i="4"/>
  <c r="AP4627" i="4"/>
  <c r="AO4627" i="4"/>
  <c r="AN4627" i="4"/>
  <c r="AM4627" i="4"/>
  <c r="BH4627" i="4"/>
  <c r="AX4626" i="4"/>
  <c r="AW4626" i="4"/>
  <c r="AV4626" i="4"/>
  <c r="AP4626" i="4"/>
  <c r="AO4626" i="4"/>
  <c r="AN4626" i="4"/>
  <c r="AM4626" i="4"/>
  <c r="BH4626" i="4"/>
  <c r="AX4625" i="4"/>
  <c r="AW4625" i="4"/>
  <c r="AV4625" i="4"/>
  <c r="AP4625" i="4"/>
  <c r="AO4625" i="4"/>
  <c r="AN4625" i="4"/>
  <c r="AM4625" i="4"/>
  <c r="BH4625" i="4"/>
  <c r="AX4624" i="4"/>
  <c r="AW4624" i="4"/>
  <c r="AV4624" i="4"/>
  <c r="AP4624" i="4"/>
  <c r="AO4624" i="4"/>
  <c r="AN4624" i="4"/>
  <c r="AM4624" i="4"/>
  <c r="BH4624" i="4"/>
  <c r="AX4623" i="4"/>
  <c r="AW4623" i="4"/>
  <c r="AV4623" i="4"/>
  <c r="AP4623" i="4"/>
  <c r="AO4623" i="4"/>
  <c r="AN4623" i="4"/>
  <c r="AM4623" i="4"/>
  <c r="BH4623" i="4"/>
  <c r="AX4622" i="4"/>
  <c r="AW4622" i="4"/>
  <c r="AV4622" i="4"/>
  <c r="AP4622" i="4"/>
  <c r="AO4622" i="4"/>
  <c r="AN4622" i="4"/>
  <c r="AM4622" i="4"/>
  <c r="BH4622" i="4"/>
  <c r="AX4621" i="4"/>
  <c r="AW4621" i="4"/>
  <c r="AV4621" i="4"/>
  <c r="AP4621" i="4"/>
  <c r="AO4621" i="4"/>
  <c r="AN4621" i="4"/>
  <c r="AM4621" i="4"/>
  <c r="BH4621" i="4"/>
  <c r="AX4620" i="4"/>
  <c r="AW4620" i="4"/>
  <c r="AV4620" i="4"/>
  <c r="AP4620" i="4"/>
  <c r="AO4620" i="4"/>
  <c r="AN4620" i="4"/>
  <c r="AM4620" i="4"/>
  <c r="BH4620" i="4"/>
  <c r="AX4619" i="4"/>
  <c r="AW4619" i="4"/>
  <c r="AV4619" i="4"/>
  <c r="AP4619" i="4"/>
  <c r="AO4619" i="4"/>
  <c r="AN4619" i="4"/>
  <c r="AM4619" i="4"/>
  <c r="BH4619" i="4"/>
  <c r="AX4618" i="4"/>
  <c r="AW4618" i="4"/>
  <c r="AV4618" i="4"/>
  <c r="AP4618" i="4"/>
  <c r="AO4618" i="4"/>
  <c r="AN4618" i="4"/>
  <c r="AM4618" i="4"/>
  <c r="BH4618" i="4"/>
  <c r="AX4617" i="4"/>
  <c r="AW4617" i="4"/>
  <c r="AV4617" i="4"/>
  <c r="AP4617" i="4"/>
  <c r="AO4617" i="4"/>
  <c r="AN4617" i="4"/>
  <c r="AM4617" i="4"/>
  <c r="BH4617" i="4"/>
  <c r="AX4616" i="4"/>
  <c r="AW4616" i="4"/>
  <c r="AV4616" i="4"/>
  <c r="AP4616" i="4"/>
  <c r="AO4616" i="4"/>
  <c r="AN4616" i="4"/>
  <c r="AM4616" i="4"/>
  <c r="BH4616" i="4"/>
  <c r="AX4615" i="4"/>
  <c r="AW4615" i="4"/>
  <c r="AV4615" i="4"/>
  <c r="AP4615" i="4"/>
  <c r="AO4615" i="4"/>
  <c r="AN4615" i="4"/>
  <c r="AM4615" i="4"/>
  <c r="BH4615" i="4"/>
  <c r="AX4614" i="4"/>
  <c r="AW4614" i="4"/>
  <c r="AV4614" i="4"/>
  <c r="AP4614" i="4"/>
  <c r="AO4614" i="4"/>
  <c r="AN4614" i="4"/>
  <c r="AM4614" i="4"/>
  <c r="BH4614" i="4"/>
  <c r="AX4613" i="4"/>
  <c r="AW4613" i="4"/>
  <c r="AV4613" i="4"/>
  <c r="AP4613" i="4"/>
  <c r="AO4613" i="4"/>
  <c r="AN4613" i="4"/>
  <c r="AM4613" i="4"/>
  <c r="BH4613" i="4"/>
  <c r="AX4612" i="4"/>
  <c r="AW4612" i="4"/>
  <c r="AV4612" i="4"/>
  <c r="AP4612" i="4"/>
  <c r="AO4612" i="4"/>
  <c r="AN4612" i="4"/>
  <c r="AM4612" i="4"/>
  <c r="BH4612" i="4"/>
  <c r="AX4611" i="4"/>
  <c r="AW4611" i="4"/>
  <c r="AV4611" i="4"/>
  <c r="AP4611" i="4"/>
  <c r="AO4611" i="4"/>
  <c r="AN4611" i="4"/>
  <c r="AM4611" i="4"/>
  <c r="BH4611" i="4"/>
  <c r="AX4610" i="4"/>
  <c r="AW4610" i="4"/>
  <c r="AV4610" i="4"/>
  <c r="AP4610" i="4"/>
  <c r="AO4610" i="4"/>
  <c r="AN4610" i="4"/>
  <c r="AM4610" i="4"/>
  <c r="BH4610" i="4"/>
  <c r="AX4609" i="4"/>
  <c r="AW4609" i="4"/>
  <c r="AV4609" i="4"/>
  <c r="AP4609" i="4"/>
  <c r="AO4609" i="4"/>
  <c r="AN4609" i="4"/>
  <c r="AM4609" i="4"/>
  <c r="BH4609" i="4"/>
  <c r="AX4608" i="4"/>
  <c r="AW4608" i="4"/>
  <c r="AV4608" i="4"/>
  <c r="AP4608" i="4"/>
  <c r="AO4608" i="4"/>
  <c r="AN4608" i="4"/>
  <c r="AM4608" i="4"/>
  <c r="BH4608" i="4"/>
  <c r="AX4607" i="4"/>
  <c r="AW4607" i="4"/>
  <c r="AV4607" i="4"/>
  <c r="AP4607" i="4"/>
  <c r="AO4607" i="4"/>
  <c r="AN4607" i="4"/>
  <c r="AM4607" i="4"/>
  <c r="BH4607" i="4"/>
  <c r="AX4606" i="4"/>
  <c r="AW4606" i="4"/>
  <c r="AV4606" i="4"/>
  <c r="AP4606" i="4"/>
  <c r="AO4606" i="4"/>
  <c r="AN4606" i="4"/>
  <c r="AM4606" i="4"/>
  <c r="BH4606" i="4"/>
  <c r="AX4605" i="4"/>
  <c r="AW4605" i="4"/>
  <c r="AV4605" i="4"/>
  <c r="AP4605" i="4"/>
  <c r="AO4605" i="4"/>
  <c r="AN4605" i="4"/>
  <c r="AM4605" i="4"/>
  <c r="BH4605" i="4"/>
  <c r="AX4604" i="4"/>
  <c r="AW4604" i="4"/>
  <c r="AV4604" i="4"/>
  <c r="AP4604" i="4"/>
  <c r="AO4604" i="4"/>
  <c r="AN4604" i="4"/>
  <c r="AM4604" i="4"/>
  <c r="BH4604" i="4"/>
  <c r="AX4603" i="4"/>
  <c r="AW4603" i="4"/>
  <c r="AV4603" i="4"/>
  <c r="AP4603" i="4"/>
  <c r="AO4603" i="4"/>
  <c r="AN4603" i="4"/>
  <c r="AM4603" i="4"/>
  <c r="BH4603" i="4"/>
  <c r="AX4602" i="4"/>
  <c r="AW4602" i="4"/>
  <c r="AV4602" i="4"/>
  <c r="AP4602" i="4"/>
  <c r="AO4602" i="4"/>
  <c r="AN4602" i="4"/>
  <c r="AM4602" i="4"/>
  <c r="BH4602" i="4"/>
  <c r="AX4601" i="4"/>
  <c r="AW4601" i="4"/>
  <c r="AV4601" i="4"/>
  <c r="AP4601" i="4"/>
  <c r="AO4601" i="4"/>
  <c r="AN4601" i="4"/>
  <c r="AM4601" i="4"/>
  <c r="BH4601" i="4"/>
  <c r="AX4600" i="4"/>
  <c r="AW4600" i="4"/>
  <c r="AV4600" i="4"/>
  <c r="AP4600" i="4"/>
  <c r="AO4600" i="4"/>
  <c r="AN4600" i="4"/>
  <c r="AM4600" i="4"/>
  <c r="BH4600" i="4"/>
  <c r="AX4599" i="4"/>
  <c r="AW4599" i="4"/>
  <c r="AV4599" i="4"/>
  <c r="AP4599" i="4"/>
  <c r="AO4599" i="4"/>
  <c r="AN4599" i="4"/>
  <c r="AM4599" i="4"/>
  <c r="BH4599" i="4"/>
  <c r="AX4598" i="4"/>
  <c r="AW4598" i="4"/>
  <c r="AV4598" i="4"/>
  <c r="AP4598" i="4"/>
  <c r="AO4598" i="4"/>
  <c r="AN4598" i="4"/>
  <c r="AM4598" i="4"/>
  <c r="BH4598" i="4"/>
  <c r="AX4597" i="4"/>
  <c r="AW4597" i="4"/>
  <c r="AV4597" i="4"/>
  <c r="AP4597" i="4"/>
  <c r="AO4597" i="4"/>
  <c r="AN4597" i="4"/>
  <c r="AM4597" i="4"/>
  <c r="BH4597" i="4"/>
  <c r="AX4596" i="4"/>
  <c r="AW4596" i="4"/>
  <c r="AV4596" i="4"/>
  <c r="AP4596" i="4"/>
  <c r="AO4596" i="4"/>
  <c r="AN4596" i="4"/>
  <c r="AM4596" i="4"/>
  <c r="BH4596" i="4"/>
  <c r="AX4595" i="4"/>
  <c r="AW4595" i="4"/>
  <c r="AV4595" i="4"/>
  <c r="AP4595" i="4"/>
  <c r="AO4595" i="4"/>
  <c r="AN4595" i="4"/>
  <c r="AM4595" i="4"/>
  <c r="BH4595" i="4"/>
  <c r="AX4594" i="4"/>
  <c r="AW4594" i="4"/>
  <c r="AV4594" i="4"/>
  <c r="AP4594" i="4"/>
  <c r="AO4594" i="4"/>
  <c r="AN4594" i="4"/>
  <c r="AM4594" i="4"/>
  <c r="BH4594" i="4"/>
  <c r="AX4593" i="4"/>
  <c r="AW4593" i="4"/>
  <c r="AV4593" i="4"/>
  <c r="AP4593" i="4"/>
  <c r="AO4593" i="4"/>
  <c r="AN4593" i="4"/>
  <c r="AM4593" i="4"/>
  <c r="BH4593" i="4"/>
  <c r="AX4592" i="4"/>
  <c r="AW4592" i="4"/>
  <c r="AV4592" i="4"/>
  <c r="AP4592" i="4"/>
  <c r="AO4592" i="4"/>
  <c r="AN4592" i="4"/>
  <c r="AM4592" i="4"/>
  <c r="BH4592" i="4"/>
  <c r="AX4591" i="4"/>
  <c r="AW4591" i="4"/>
  <c r="AV4591" i="4"/>
  <c r="AP4591" i="4"/>
  <c r="AO4591" i="4"/>
  <c r="AN4591" i="4"/>
  <c r="AM4591" i="4"/>
  <c r="BH4591" i="4"/>
  <c r="AX4590" i="4"/>
  <c r="AW4590" i="4"/>
  <c r="AV4590" i="4"/>
  <c r="AP4590" i="4"/>
  <c r="AO4590" i="4"/>
  <c r="AN4590" i="4"/>
  <c r="AM4590" i="4"/>
  <c r="BH4590" i="4"/>
  <c r="AX4589" i="4"/>
  <c r="AW4589" i="4"/>
  <c r="AV4589" i="4"/>
  <c r="AP4589" i="4"/>
  <c r="AO4589" i="4"/>
  <c r="AN4589" i="4"/>
  <c r="AM4589" i="4"/>
  <c r="BH4589" i="4"/>
  <c r="AX4588" i="4"/>
  <c r="AW4588" i="4"/>
  <c r="AV4588" i="4"/>
  <c r="AP4588" i="4"/>
  <c r="AO4588" i="4"/>
  <c r="AN4588" i="4"/>
  <c r="AM4588" i="4"/>
  <c r="BH4588" i="4"/>
  <c r="AX4587" i="4"/>
  <c r="AW4587" i="4"/>
  <c r="AV4587" i="4"/>
  <c r="AP4587" i="4"/>
  <c r="AO4587" i="4"/>
  <c r="AN4587" i="4"/>
  <c r="AM4587" i="4"/>
  <c r="BH4587" i="4"/>
  <c r="AX4586" i="4"/>
  <c r="AW4586" i="4"/>
  <c r="AV4586" i="4"/>
  <c r="AP4586" i="4"/>
  <c r="AO4586" i="4"/>
  <c r="AN4586" i="4"/>
  <c r="AM4586" i="4"/>
  <c r="BH4586" i="4"/>
  <c r="AX4585" i="4"/>
  <c r="AW4585" i="4"/>
  <c r="AV4585" i="4"/>
  <c r="AP4585" i="4"/>
  <c r="AO4585" i="4"/>
  <c r="AN4585" i="4"/>
  <c r="AM4585" i="4"/>
  <c r="BH4585" i="4"/>
  <c r="AX4584" i="4"/>
  <c r="AW4584" i="4"/>
  <c r="AV4584" i="4"/>
  <c r="AP4584" i="4"/>
  <c r="AO4584" i="4"/>
  <c r="AN4584" i="4"/>
  <c r="AM4584" i="4"/>
  <c r="BH4584" i="4"/>
  <c r="AX4583" i="4"/>
  <c r="AW4583" i="4"/>
  <c r="AV4583" i="4"/>
  <c r="AP4583" i="4"/>
  <c r="AO4583" i="4"/>
  <c r="AN4583" i="4"/>
  <c r="AM4583" i="4"/>
  <c r="BH4583" i="4"/>
  <c r="AX4582" i="4"/>
  <c r="AW4582" i="4"/>
  <c r="AV4582" i="4"/>
  <c r="AP4582" i="4"/>
  <c r="AO4582" i="4"/>
  <c r="AN4582" i="4"/>
  <c r="AM4582" i="4"/>
  <c r="BH4582" i="4"/>
  <c r="AX4581" i="4"/>
  <c r="AW4581" i="4"/>
  <c r="AV4581" i="4"/>
  <c r="AP4581" i="4"/>
  <c r="AO4581" i="4"/>
  <c r="AN4581" i="4"/>
  <c r="AM4581" i="4"/>
  <c r="BH4581" i="4"/>
  <c r="AX4580" i="4"/>
  <c r="AW4580" i="4"/>
  <c r="AV4580" i="4"/>
  <c r="AP4580" i="4"/>
  <c r="AO4580" i="4"/>
  <c r="AN4580" i="4"/>
  <c r="AM4580" i="4"/>
  <c r="BH4580" i="4"/>
  <c r="AX4579" i="4"/>
  <c r="AW4579" i="4"/>
  <c r="AV4579" i="4"/>
  <c r="AP4579" i="4"/>
  <c r="AO4579" i="4"/>
  <c r="AN4579" i="4"/>
  <c r="AM4579" i="4"/>
  <c r="BH4579" i="4"/>
  <c r="AX4578" i="4"/>
  <c r="AW4578" i="4"/>
  <c r="AV4578" i="4"/>
  <c r="AP4578" i="4"/>
  <c r="AO4578" i="4"/>
  <c r="AN4578" i="4"/>
  <c r="AM4578" i="4"/>
  <c r="BH4578" i="4"/>
  <c r="AX4577" i="4"/>
  <c r="AW4577" i="4"/>
  <c r="AV4577" i="4"/>
  <c r="AP4577" i="4"/>
  <c r="AO4577" i="4"/>
  <c r="AN4577" i="4"/>
  <c r="AM4577" i="4"/>
  <c r="BH4577" i="4"/>
  <c r="AX4576" i="4"/>
  <c r="AW4576" i="4"/>
  <c r="AV4576" i="4"/>
  <c r="AP4576" i="4"/>
  <c r="AO4576" i="4"/>
  <c r="AN4576" i="4"/>
  <c r="AM4576" i="4"/>
  <c r="BH4576" i="4"/>
  <c r="AX4575" i="4"/>
  <c r="AW4575" i="4"/>
  <c r="AV4575" i="4"/>
  <c r="AP4575" i="4"/>
  <c r="AO4575" i="4"/>
  <c r="AN4575" i="4"/>
  <c r="AM4575" i="4"/>
  <c r="BH4575" i="4"/>
  <c r="AX4574" i="4"/>
  <c r="AW4574" i="4"/>
  <c r="AV4574" i="4"/>
  <c r="AP4574" i="4"/>
  <c r="AO4574" i="4"/>
  <c r="AN4574" i="4"/>
  <c r="AM4574" i="4"/>
  <c r="BH4574" i="4"/>
  <c r="AX4573" i="4"/>
  <c r="AW4573" i="4"/>
  <c r="AV4573" i="4"/>
  <c r="AP4573" i="4"/>
  <c r="AO4573" i="4"/>
  <c r="AN4573" i="4"/>
  <c r="AM4573" i="4"/>
  <c r="BH4573" i="4"/>
  <c r="AX4572" i="4"/>
  <c r="AW4572" i="4"/>
  <c r="AV4572" i="4"/>
  <c r="AP4572" i="4"/>
  <c r="AO4572" i="4"/>
  <c r="AN4572" i="4"/>
  <c r="AM4572" i="4"/>
  <c r="BH4572" i="4"/>
  <c r="AX4571" i="4"/>
  <c r="AW4571" i="4"/>
  <c r="AV4571" i="4"/>
  <c r="AP4571" i="4"/>
  <c r="AO4571" i="4"/>
  <c r="AN4571" i="4"/>
  <c r="AM4571" i="4"/>
  <c r="BH4571" i="4"/>
  <c r="AX4570" i="4"/>
  <c r="AW4570" i="4"/>
  <c r="AV4570" i="4"/>
  <c r="AP4570" i="4"/>
  <c r="AO4570" i="4"/>
  <c r="AN4570" i="4"/>
  <c r="AM4570" i="4"/>
  <c r="BH4570" i="4"/>
  <c r="AX4569" i="4"/>
  <c r="AW4569" i="4"/>
  <c r="AV4569" i="4"/>
  <c r="AP4569" i="4"/>
  <c r="AO4569" i="4"/>
  <c r="AN4569" i="4"/>
  <c r="AM4569" i="4"/>
  <c r="BH4569" i="4"/>
  <c r="AX4568" i="4"/>
  <c r="AW4568" i="4"/>
  <c r="AV4568" i="4"/>
  <c r="AP4568" i="4"/>
  <c r="AO4568" i="4"/>
  <c r="AN4568" i="4"/>
  <c r="AM4568" i="4"/>
  <c r="BH4568" i="4"/>
  <c r="AX4567" i="4"/>
  <c r="AW4567" i="4"/>
  <c r="AV4567" i="4"/>
  <c r="AP4567" i="4"/>
  <c r="AO4567" i="4"/>
  <c r="AN4567" i="4"/>
  <c r="AM4567" i="4"/>
  <c r="BH4567" i="4"/>
  <c r="AX4566" i="4"/>
  <c r="AW4566" i="4"/>
  <c r="AV4566" i="4"/>
  <c r="AP4566" i="4"/>
  <c r="AO4566" i="4"/>
  <c r="AN4566" i="4"/>
  <c r="AM4566" i="4"/>
  <c r="BH4566" i="4"/>
  <c r="AX4565" i="4"/>
  <c r="AW4565" i="4"/>
  <c r="AV4565" i="4"/>
  <c r="AP4565" i="4"/>
  <c r="AO4565" i="4"/>
  <c r="AN4565" i="4"/>
  <c r="AM4565" i="4"/>
  <c r="BH4565" i="4"/>
  <c r="AX4564" i="4"/>
  <c r="AW4564" i="4"/>
  <c r="AV4564" i="4"/>
  <c r="AP4564" i="4"/>
  <c r="AO4564" i="4"/>
  <c r="AN4564" i="4"/>
  <c r="AM4564" i="4"/>
  <c r="BH4564" i="4"/>
  <c r="AX4563" i="4"/>
  <c r="AW4563" i="4"/>
  <c r="AV4563" i="4"/>
  <c r="AP4563" i="4"/>
  <c r="AO4563" i="4"/>
  <c r="AN4563" i="4"/>
  <c r="AM4563" i="4"/>
  <c r="BH4563" i="4"/>
  <c r="AX4562" i="4"/>
  <c r="AW4562" i="4"/>
  <c r="AV4562" i="4"/>
  <c r="AP4562" i="4"/>
  <c r="AO4562" i="4"/>
  <c r="AN4562" i="4"/>
  <c r="AM4562" i="4"/>
  <c r="BH4562" i="4"/>
  <c r="AX4561" i="4"/>
  <c r="AW4561" i="4"/>
  <c r="AV4561" i="4"/>
  <c r="AP4561" i="4"/>
  <c r="AO4561" i="4"/>
  <c r="AN4561" i="4"/>
  <c r="AM4561" i="4"/>
  <c r="BH4561" i="4"/>
  <c r="AX4560" i="4"/>
  <c r="AW4560" i="4"/>
  <c r="AV4560" i="4"/>
  <c r="AP4560" i="4"/>
  <c r="AO4560" i="4"/>
  <c r="AN4560" i="4"/>
  <c r="AM4560" i="4"/>
  <c r="BH4560" i="4"/>
  <c r="AX4559" i="4"/>
  <c r="AW4559" i="4"/>
  <c r="AV4559" i="4"/>
  <c r="AP4559" i="4"/>
  <c r="AO4559" i="4"/>
  <c r="AN4559" i="4"/>
  <c r="AM4559" i="4"/>
  <c r="BH4559" i="4"/>
  <c r="AX4558" i="4"/>
  <c r="AW4558" i="4"/>
  <c r="AV4558" i="4"/>
  <c r="AP4558" i="4"/>
  <c r="AO4558" i="4"/>
  <c r="AN4558" i="4"/>
  <c r="AM4558" i="4"/>
  <c r="BH4558" i="4"/>
  <c r="AX4557" i="4"/>
  <c r="AW4557" i="4"/>
  <c r="AV4557" i="4"/>
  <c r="AP4557" i="4"/>
  <c r="AO4557" i="4"/>
  <c r="AN4557" i="4"/>
  <c r="AM4557" i="4"/>
  <c r="BH4557" i="4"/>
  <c r="AX4556" i="4"/>
  <c r="AW4556" i="4"/>
  <c r="AV4556" i="4"/>
  <c r="AP4556" i="4"/>
  <c r="AO4556" i="4"/>
  <c r="AN4556" i="4"/>
  <c r="AM4556" i="4"/>
  <c r="BH4556" i="4"/>
  <c r="AX4555" i="4"/>
  <c r="AW4555" i="4"/>
  <c r="AV4555" i="4"/>
  <c r="AP4555" i="4"/>
  <c r="AO4555" i="4"/>
  <c r="AN4555" i="4"/>
  <c r="AM4555" i="4"/>
  <c r="BH4555" i="4"/>
  <c r="AX4554" i="4"/>
  <c r="AW4554" i="4"/>
  <c r="AV4554" i="4"/>
  <c r="AP4554" i="4"/>
  <c r="AO4554" i="4"/>
  <c r="AN4554" i="4"/>
  <c r="AM4554" i="4"/>
  <c r="BH4554" i="4"/>
  <c r="AX4553" i="4"/>
  <c r="AW4553" i="4"/>
  <c r="AV4553" i="4"/>
  <c r="AP4553" i="4"/>
  <c r="AO4553" i="4"/>
  <c r="AN4553" i="4"/>
  <c r="AM4553" i="4"/>
  <c r="BH4553" i="4"/>
  <c r="AX4552" i="4"/>
  <c r="AW4552" i="4"/>
  <c r="AV4552" i="4"/>
  <c r="AP4552" i="4"/>
  <c r="AO4552" i="4"/>
  <c r="AN4552" i="4"/>
  <c r="AM4552" i="4"/>
  <c r="BH4552" i="4"/>
  <c r="AX4551" i="4"/>
  <c r="AW4551" i="4"/>
  <c r="AV4551" i="4"/>
  <c r="AP4551" i="4"/>
  <c r="AO4551" i="4"/>
  <c r="AN4551" i="4"/>
  <c r="AM4551" i="4"/>
  <c r="BH4551" i="4"/>
  <c r="AX4550" i="4"/>
  <c r="AW4550" i="4"/>
  <c r="AV4550" i="4"/>
  <c r="AP4550" i="4"/>
  <c r="AO4550" i="4"/>
  <c r="AN4550" i="4"/>
  <c r="AM4550" i="4"/>
  <c r="BH4550" i="4"/>
  <c r="AX4549" i="4"/>
  <c r="AW4549" i="4"/>
  <c r="AV4549" i="4"/>
  <c r="AP4549" i="4"/>
  <c r="AO4549" i="4"/>
  <c r="AN4549" i="4"/>
  <c r="AM4549" i="4"/>
  <c r="BH4549" i="4"/>
  <c r="AX4548" i="4"/>
  <c r="AW4548" i="4"/>
  <c r="AV4548" i="4"/>
  <c r="AP4548" i="4"/>
  <c r="AO4548" i="4"/>
  <c r="AN4548" i="4"/>
  <c r="AM4548" i="4"/>
  <c r="BH4548" i="4"/>
  <c r="AX4547" i="4"/>
  <c r="AW4547" i="4"/>
  <c r="AV4547" i="4"/>
  <c r="AP4547" i="4"/>
  <c r="AO4547" i="4"/>
  <c r="AN4547" i="4"/>
  <c r="AM4547" i="4"/>
  <c r="BH4547" i="4"/>
  <c r="AX4546" i="4"/>
  <c r="AW4546" i="4"/>
  <c r="AV4546" i="4"/>
  <c r="AP4546" i="4"/>
  <c r="AO4546" i="4"/>
  <c r="AN4546" i="4"/>
  <c r="AM4546" i="4"/>
  <c r="BH4546" i="4"/>
  <c r="AX4545" i="4"/>
  <c r="AW4545" i="4"/>
  <c r="AV4545" i="4"/>
  <c r="AP4545" i="4"/>
  <c r="AO4545" i="4"/>
  <c r="AN4545" i="4"/>
  <c r="AM4545" i="4"/>
  <c r="BH4545" i="4"/>
  <c r="AX4544" i="4"/>
  <c r="AW4544" i="4"/>
  <c r="AV4544" i="4"/>
  <c r="AP4544" i="4"/>
  <c r="AO4544" i="4"/>
  <c r="AN4544" i="4"/>
  <c r="AM4544" i="4"/>
  <c r="BH4544" i="4"/>
  <c r="AX4543" i="4"/>
  <c r="AW4543" i="4"/>
  <c r="AV4543" i="4"/>
  <c r="AP4543" i="4"/>
  <c r="AO4543" i="4"/>
  <c r="AN4543" i="4"/>
  <c r="AM4543" i="4"/>
  <c r="BH4543" i="4"/>
  <c r="AX4542" i="4"/>
  <c r="AW4542" i="4"/>
  <c r="AV4542" i="4"/>
  <c r="AP4542" i="4"/>
  <c r="AO4542" i="4"/>
  <c r="AN4542" i="4"/>
  <c r="AM4542" i="4"/>
  <c r="BH4542" i="4"/>
  <c r="AX4541" i="4"/>
  <c r="AW4541" i="4"/>
  <c r="AV4541" i="4"/>
  <c r="AP4541" i="4"/>
  <c r="AO4541" i="4"/>
  <c r="AN4541" i="4"/>
  <c r="AM4541" i="4"/>
  <c r="BH4541" i="4"/>
  <c r="AX4540" i="4"/>
  <c r="AW4540" i="4"/>
  <c r="AV4540" i="4"/>
  <c r="AP4540" i="4"/>
  <c r="AO4540" i="4"/>
  <c r="AN4540" i="4"/>
  <c r="AM4540" i="4"/>
  <c r="BH4540" i="4"/>
  <c r="AX4539" i="4"/>
  <c r="AW4539" i="4"/>
  <c r="AV4539" i="4"/>
  <c r="AP4539" i="4"/>
  <c r="AO4539" i="4"/>
  <c r="AN4539" i="4"/>
  <c r="AM4539" i="4"/>
  <c r="BH4539" i="4"/>
  <c r="AX4538" i="4"/>
  <c r="AW4538" i="4"/>
  <c r="AV4538" i="4"/>
  <c r="AP4538" i="4"/>
  <c r="AO4538" i="4"/>
  <c r="AN4538" i="4"/>
  <c r="AM4538" i="4"/>
  <c r="BH4538" i="4"/>
  <c r="AX4537" i="4"/>
  <c r="AW4537" i="4"/>
  <c r="AV4537" i="4"/>
  <c r="AP4537" i="4"/>
  <c r="AO4537" i="4"/>
  <c r="AN4537" i="4"/>
  <c r="AM4537" i="4"/>
  <c r="BH4537" i="4"/>
  <c r="AX4536" i="4"/>
  <c r="AW4536" i="4"/>
  <c r="AV4536" i="4"/>
  <c r="AP4536" i="4"/>
  <c r="AO4536" i="4"/>
  <c r="AN4536" i="4"/>
  <c r="AM4536" i="4"/>
  <c r="BH4536" i="4"/>
  <c r="AX4535" i="4"/>
  <c r="AW4535" i="4"/>
  <c r="AV4535" i="4"/>
  <c r="AP4535" i="4"/>
  <c r="AO4535" i="4"/>
  <c r="AN4535" i="4"/>
  <c r="AM4535" i="4"/>
  <c r="BH4535" i="4"/>
  <c r="AX4534" i="4"/>
  <c r="AW4534" i="4"/>
  <c r="AV4534" i="4"/>
  <c r="AP4534" i="4"/>
  <c r="AO4534" i="4"/>
  <c r="AN4534" i="4"/>
  <c r="AM4534" i="4"/>
  <c r="BH4534" i="4"/>
  <c r="AX4533" i="4"/>
  <c r="AW4533" i="4"/>
  <c r="AV4533" i="4"/>
  <c r="AP4533" i="4"/>
  <c r="AO4533" i="4"/>
  <c r="AN4533" i="4"/>
  <c r="AM4533" i="4"/>
  <c r="BH4533" i="4"/>
  <c r="AX4532" i="4"/>
  <c r="AW4532" i="4"/>
  <c r="AV4532" i="4"/>
  <c r="AP4532" i="4"/>
  <c r="AO4532" i="4"/>
  <c r="AN4532" i="4"/>
  <c r="AM4532" i="4"/>
  <c r="BH4532" i="4"/>
  <c r="AX4531" i="4"/>
  <c r="AW4531" i="4"/>
  <c r="AV4531" i="4"/>
  <c r="AP4531" i="4"/>
  <c r="AO4531" i="4"/>
  <c r="AN4531" i="4"/>
  <c r="AM4531" i="4"/>
  <c r="BH4531" i="4"/>
  <c r="AX4530" i="4"/>
  <c r="AW4530" i="4"/>
  <c r="AV4530" i="4"/>
  <c r="AP4530" i="4"/>
  <c r="AO4530" i="4"/>
  <c r="AN4530" i="4"/>
  <c r="AM4530" i="4"/>
  <c r="BH4530" i="4"/>
  <c r="AX4529" i="4"/>
  <c r="AW4529" i="4"/>
  <c r="AV4529" i="4"/>
  <c r="AP4529" i="4"/>
  <c r="AO4529" i="4"/>
  <c r="AN4529" i="4"/>
  <c r="AM4529" i="4"/>
  <c r="BH4529" i="4"/>
  <c r="AX4528" i="4"/>
  <c r="AW4528" i="4"/>
  <c r="AV4528" i="4"/>
  <c r="AP4528" i="4"/>
  <c r="AO4528" i="4"/>
  <c r="AN4528" i="4"/>
  <c r="AM4528" i="4"/>
  <c r="BH4528" i="4"/>
  <c r="AX4527" i="4"/>
  <c r="AW4527" i="4"/>
  <c r="AV4527" i="4"/>
  <c r="AP4527" i="4"/>
  <c r="AO4527" i="4"/>
  <c r="AN4527" i="4"/>
  <c r="AM4527" i="4"/>
  <c r="BH4527" i="4"/>
  <c r="AX4526" i="4"/>
  <c r="AW4526" i="4"/>
  <c r="AV4526" i="4"/>
  <c r="AP4526" i="4"/>
  <c r="AO4526" i="4"/>
  <c r="AN4526" i="4"/>
  <c r="AM4526" i="4"/>
  <c r="BH4526" i="4"/>
  <c r="AX4525" i="4"/>
  <c r="AW4525" i="4"/>
  <c r="AV4525" i="4"/>
  <c r="AP4525" i="4"/>
  <c r="AO4525" i="4"/>
  <c r="AN4525" i="4"/>
  <c r="AM4525" i="4"/>
  <c r="BH4525" i="4"/>
  <c r="AX4524" i="4"/>
  <c r="AW4524" i="4"/>
  <c r="AV4524" i="4"/>
  <c r="AP4524" i="4"/>
  <c r="AO4524" i="4"/>
  <c r="AN4524" i="4"/>
  <c r="AM4524" i="4"/>
  <c r="BH4524" i="4"/>
  <c r="AX4523" i="4"/>
  <c r="AW4523" i="4"/>
  <c r="AV4523" i="4"/>
  <c r="AP4523" i="4"/>
  <c r="AO4523" i="4"/>
  <c r="AN4523" i="4"/>
  <c r="AM4523" i="4"/>
  <c r="BH4523" i="4"/>
  <c r="AX4522" i="4"/>
  <c r="AW4522" i="4"/>
  <c r="AV4522" i="4"/>
  <c r="AP4522" i="4"/>
  <c r="AO4522" i="4"/>
  <c r="AN4522" i="4"/>
  <c r="AM4522" i="4"/>
  <c r="BH4522" i="4"/>
  <c r="AX4521" i="4"/>
  <c r="AW4521" i="4"/>
  <c r="AV4521" i="4"/>
  <c r="AP4521" i="4"/>
  <c r="AO4521" i="4"/>
  <c r="AN4521" i="4"/>
  <c r="AM4521" i="4"/>
  <c r="BH4521" i="4"/>
  <c r="AX4520" i="4"/>
  <c r="AW4520" i="4"/>
  <c r="AV4520" i="4"/>
  <c r="AP4520" i="4"/>
  <c r="AO4520" i="4"/>
  <c r="AN4520" i="4"/>
  <c r="AM4520" i="4"/>
  <c r="BH4520" i="4"/>
  <c r="AX4519" i="4"/>
  <c r="AW4519" i="4"/>
  <c r="AV4519" i="4"/>
  <c r="AP4519" i="4"/>
  <c r="AO4519" i="4"/>
  <c r="AN4519" i="4"/>
  <c r="AM4519" i="4"/>
  <c r="BH4519" i="4"/>
  <c r="AX4518" i="4"/>
  <c r="AW4518" i="4"/>
  <c r="AV4518" i="4"/>
  <c r="AP4518" i="4"/>
  <c r="AO4518" i="4"/>
  <c r="AN4518" i="4"/>
  <c r="AM4518" i="4"/>
  <c r="BH4518" i="4"/>
  <c r="AX4517" i="4"/>
  <c r="AW4517" i="4"/>
  <c r="AV4517" i="4"/>
  <c r="AP4517" i="4"/>
  <c r="AO4517" i="4"/>
  <c r="AN4517" i="4"/>
  <c r="AM4517" i="4"/>
  <c r="BH4517" i="4"/>
  <c r="AX4516" i="4"/>
  <c r="AW4516" i="4"/>
  <c r="AV4516" i="4"/>
  <c r="AP4516" i="4"/>
  <c r="AO4516" i="4"/>
  <c r="AN4516" i="4"/>
  <c r="AM4516" i="4"/>
  <c r="BH4516" i="4"/>
  <c r="AX4515" i="4"/>
  <c r="AW4515" i="4"/>
  <c r="AV4515" i="4"/>
  <c r="AP4515" i="4"/>
  <c r="AO4515" i="4"/>
  <c r="AN4515" i="4"/>
  <c r="AM4515" i="4"/>
  <c r="BH4515" i="4"/>
  <c r="AX4514" i="4"/>
  <c r="AW4514" i="4"/>
  <c r="AV4514" i="4"/>
  <c r="AP4514" i="4"/>
  <c r="AO4514" i="4"/>
  <c r="AN4514" i="4"/>
  <c r="AM4514" i="4"/>
  <c r="BH4514" i="4"/>
  <c r="AX4513" i="4"/>
  <c r="AW4513" i="4"/>
  <c r="AV4513" i="4"/>
  <c r="AP4513" i="4"/>
  <c r="AO4513" i="4"/>
  <c r="AN4513" i="4"/>
  <c r="AM4513" i="4"/>
  <c r="BH4513" i="4"/>
  <c r="AX4512" i="4"/>
  <c r="AW4512" i="4"/>
  <c r="AV4512" i="4"/>
  <c r="AP4512" i="4"/>
  <c r="AO4512" i="4"/>
  <c r="AN4512" i="4"/>
  <c r="AM4512" i="4"/>
  <c r="BH4512" i="4"/>
  <c r="AX4511" i="4"/>
  <c r="AW4511" i="4"/>
  <c r="AV4511" i="4"/>
  <c r="AP4511" i="4"/>
  <c r="AO4511" i="4"/>
  <c r="AN4511" i="4"/>
  <c r="AM4511" i="4"/>
  <c r="BH4511" i="4"/>
  <c r="AX4510" i="4"/>
  <c r="AW4510" i="4"/>
  <c r="AV4510" i="4"/>
  <c r="AP4510" i="4"/>
  <c r="AO4510" i="4"/>
  <c r="AN4510" i="4"/>
  <c r="AM4510" i="4"/>
  <c r="BH4510" i="4"/>
  <c r="AX4509" i="4"/>
  <c r="AW4509" i="4"/>
  <c r="AV4509" i="4"/>
  <c r="AP4509" i="4"/>
  <c r="AO4509" i="4"/>
  <c r="AN4509" i="4"/>
  <c r="AM4509" i="4"/>
  <c r="BH4509" i="4"/>
  <c r="AX4508" i="4"/>
  <c r="AW4508" i="4"/>
  <c r="AV4508" i="4"/>
  <c r="AP4508" i="4"/>
  <c r="AO4508" i="4"/>
  <c r="AN4508" i="4"/>
  <c r="AM4508" i="4"/>
  <c r="BH4508" i="4"/>
  <c r="AX4507" i="4"/>
  <c r="AW4507" i="4"/>
  <c r="AV4507" i="4"/>
  <c r="AP4507" i="4"/>
  <c r="AO4507" i="4"/>
  <c r="AN4507" i="4"/>
  <c r="AM4507" i="4"/>
  <c r="BH4507" i="4"/>
  <c r="AX4506" i="4"/>
  <c r="AW4506" i="4"/>
  <c r="AV4506" i="4"/>
  <c r="AP4506" i="4"/>
  <c r="AO4506" i="4"/>
  <c r="AN4506" i="4"/>
  <c r="AM4506" i="4"/>
  <c r="BH4506" i="4"/>
  <c r="AX4505" i="4"/>
  <c r="AW4505" i="4"/>
  <c r="AV4505" i="4"/>
  <c r="AP4505" i="4"/>
  <c r="AO4505" i="4"/>
  <c r="AN4505" i="4"/>
  <c r="AM4505" i="4"/>
  <c r="BH4505" i="4"/>
  <c r="AX4504" i="4"/>
  <c r="AW4504" i="4"/>
  <c r="AV4504" i="4"/>
  <c r="AP4504" i="4"/>
  <c r="AO4504" i="4"/>
  <c r="AN4504" i="4"/>
  <c r="AM4504" i="4"/>
  <c r="BH4504" i="4"/>
  <c r="AX4503" i="4"/>
  <c r="AW4503" i="4"/>
  <c r="AV4503" i="4"/>
  <c r="AP4503" i="4"/>
  <c r="AO4503" i="4"/>
  <c r="AN4503" i="4"/>
  <c r="AM4503" i="4"/>
  <c r="BH4503" i="4"/>
  <c r="AX4502" i="4"/>
  <c r="AW4502" i="4"/>
  <c r="AV4502" i="4"/>
  <c r="AP4502" i="4"/>
  <c r="AO4502" i="4"/>
  <c r="AN4502" i="4"/>
  <c r="AM4502" i="4"/>
  <c r="BH4502" i="4"/>
  <c r="AX4501" i="4"/>
  <c r="AW4501" i="4"/>
  <c r="AV4501" i="4"/>
  <c r="AP4501" i="4"/>
  <c r="AO4501" i="4"/>
  <c r="AN4501" i="4"/>
  <c r="AM4501" i="4"/>
  <c r="BH4501" i="4"/>
  <c r="AX4500" i="4"/>
  <c r="AW4500" i="4"/>
  <c r="AV4500" i="4"/>
  <c r="AP4500" i="4"/>
  <c r="AO4500" i="4"/>
  <c r="AN4500" i="4"/>
  <c r="AM4500" i="4"/>
  <c r="BH4500" i="4"/>
  <c r="AX4499" i="4"/>
  <c r="AW4499" i="4"/>
  <c r="AV4499" i="4"/>
  <c r="AP4499" i="4"/>
  <c r="AO4499" i="4"/>
  <c r="AN4499" i="4"/>
  <c r="AM4499" i="4"/>
  <c r="BH4499" i="4"/>
  <c r="AX4498" i="4"/>
  <c r="AW4498" i="4"/>
  <c r="AV4498" i="4"/>
  <c r="AP4498" i="4"/>
  <c r="AO4498" i="4"/>
  <c r="AN4498" i="4"/>
  <c r="AM4498" i="4"/>
  <c r="BH4498" i="4"/>
  <c r="AX4497" i="4"/>
  <c r="AW4497" i="4"/>
  <c r="AV4497" i="4"/>
  <c r="AP4497" i="4"/>
  <c r="AO4497" i="4"/>
  <c r="AN4497" i="4"/>
  <c r="AM4497" i="4"/>
  <c r="BH4497" i="4"/>
  <c r="AX4496" i="4"/>
  <c r="AW4496" i="4"/>
  <c r="AV4496" i="4"/>
  <c r="AP4496" i="4"/>
  <c r="AO4496" i="4"/>
  <c r="AN4496" i="4"/>
  <c r="AM4496" i="4"/>
  <c r="BH4496" i="4"/>
  <c r="AX4495" i="4"/>
  <c r="AW4495" i="4"/>
  <c r="AV4495" i="4"/>
  <c r="AP4495" i="4"/>
  <c r="AO4495" i="4"/>
  <c r="AN4495" i="4"/>
  <c r="AM4495" i="4"/>
  <c r="BH4495" i="4"/>
  <c r="AX4494" i="4"/>
  <c r="AW4494" i="4"/>
  <c r="AV4494" i="4"/>
  <c r="AP4494" i="4"/>
  <c r="AO4494" i="4"/>
  <c r="AN4494" i="4"/>
  <c r="AM4494" i="4"/>
  <c r="BH4494" i="4"/>
  <c r="AX4493" i="4"/>
  <c r="AW4493" i="4"/>
  <c r="AV4493" i="4"/>
  <c r="AP4493" i="4"/>
  <c r="AO4493" i="4"/>
  <c r="AN4493" i="4"/>
  <c r="AM4493" i="4"/>
  <c r="BH4493" i="4"/>
  <c r="AX4492" i="4"/>
  <c r="AW4492" i="4"/>
  <c r="AV4492" i="4"/>
  <c r="AP4492" i="4"/>
  <c r="AO4492" i="4"/>
  <c r="AN4492" i="4"/>
  <c r="AM4492" i="4"/>
  <c r="BH4492" i="4"/>
  <c r="AX4491" i="4"/>
  <c r="AW4491" i="4"/>
  <c r="AV4491" i="4"/>
  <c r="AP4491" i="4"/>
  <c r="AO4491" i="4"/>
  <c r="AN4491" i="4"/>
  <c r="AM4491" i="4"/>
  <c r="BH4491" i="4"/>
  <c r="AX4490" i="4"/>
  <c r="AW4490" i="4"/>
  <c r="AV4490" i="4"/>
  <c r="AP4490" i="4"/>
  <c r="AO4490" i="4"/>
  <c r="AN4490" i="4"/>
  <c r="AM4490" i="4"/>
  <c r="BH4490" i="4"/>
  <c r="AX4489" i="4"/>
  <c r="AW4489" i="4"/>
  <c r="AV4489" i="4"/>
  <c r="AP4489" i="4"/>
  <c r="AO4489" i="4"/>
  <c r="AN4489" i="4"/>
  <c r="AM4489" i="4"/>
  <c r="BH4489" i="4"/>
  <c r="AX4488" i="4"/>
  <c r="AW4488" i="4"/>
  <c r="AV4488" i="4"/>
  <c r="AP4488" i="4"/>
  <c r="AO4488" i="4"/>
  <c r="AN4488" i="4"/>
  <c r="AM4488" i="4"/>
  <c r="BH4488" i="4"/>
  <c r="AX4487" i="4"/>
  <c r="AW4487" i="4"/>
  <c r="AV4487" i="4"/>
  <c r="AP4487" i="4"/>
  <c r="AO4487" i="4"/>
  <c r="AN4487" i="4"/>
  <c r="AM4487" i="4"/>
  <c r="BH4487" i="4"/>
  <c r="AX4486" i="4"/>
  <c r="AW4486" i="4"/>
  <c r="AV4486" i="4"/>
  <c r="AP4486" i="4"/>
  <c r="AO4486" i="4"/>
  <c r="AN4486" i="4"/>
  <c r="AM4486" i="4"/>
  <c r="BH4486" i="4"/>
  <c r="AX4485" i="4"/>
  <c r="AW4485" i="4"/>
  <c r="AV4485" i="4"/>
  <c r="AP4485" i="4"/>
  <c r="AO4485" i="4"/>
  <c r="AN4485" i="4"/>
  <c r="AM4485" i="4"/>
  <c r="BH4485" i="4"/>
  <c r="AX4484" i="4"/>
  <c r="AW4484" i="4"/>
  <c r="AV4484" i="4"/>
  <c r="AP4484" i="4"/>
  <c r="AO4484" i="4"/>
  <c r="AN4484" i="4"/>
  <c r="AM4484" i="4"/>
  <c r="BH4484" i="4"/>
  <c r="AX4483" i="4"/>
  <c r="AW4483" i="4"/>
  <c r="AV4483" i="4"/>
  <c r="AP4483" i="4"/>
  <c r="AO4483" i="4"/>
  <c r="AN4483" i="4"/>
  <c r="AM4483" i="4"/>
  <c r="BH4483" i="4"/>
  <c r="AX4482" i="4"/>
  <c r="AW4482" i="4"/>
  <c r="AV4482" i="4"/>
  <c r="AP4482" i="4"/>
  <c r="AO4482" i="4"/>
  <c r="AN4482" i="4"/>
  <c r="AM4482" i="4"/>
  <c r="BH4482" i="4"/>
  <c r="AX4481" i="4"/>
  <c r="AW4481" i="4"/>
  <c r="AV4481" i="4"/>
  <c r="AP4481" i="4"/>
  <c r="AO4481" i="4"/>
  <c r="AN4481" i="4"/>
  <c r="AM4481" i="4"/>
  <c r="BH4481" i="4"/>
  <c r="AX4480" i="4"/>
  <c r="AW4480" i="4"/>
  <c r="AV4480" i="4"/>
  <c r="AP4480" i="4"/>
  <c r="AO4480" i="4"/>
  <c r="AN4480" i="4"/>
  <c r="AM4480" i="4"/>
  <c r="BH4480" i="4"/>
  <c r="AX4479" i="4"/>
  <c r="AW4479" i="4"/>
  <c r="AV4479" i="4"/>
  <c r="AP4479" i="4"/>
  <c r="AO4479" i="4"/>
  <c r="AN4479" i="4"/>
  <c r="AM4479" i="4"/>
  <c r="BH4479" i="4"/>
  <c r="AX4478" i="4"/>
  <c r="AW4478" i="4"/>
  <c r="AV4478" i="4"/>
  <c r="AP4478" i="4"/>
  <c r="AO4478" i="4"/>
  <c r="AN4478" i="4"/>
  <c r="AM4478" i="4"/>
  <c r="BH4478" i="4"/>
  <c r="AX4477" i="4"/>
  <c r="AW4477" i="4"/>
  <c r="AV4477" i="4"/>
  <c r="AP4477" i="4"/>
  <c r="AO4477" i="4"/>
  <c r="AN4477" i="4"/>
  <c r="AM4477" i="4"/>
  <c r="BH4477" i="4"/>
  <c r="AX4476" i="4"/>
  <c r="AW4476" i="4"/>
  <c r="AV4476" i="4"/>
  <c r="AP4476" i="4"/>
  <c r="AO4476" i="4"/>
  <c r="AN4476" i="4"/>
  <c r="AM4476" i="4"/>
  <c r="BH4476" i="4"/>
  <c r="AX4475" i="4"/>
  <c r="AW4475" i="4"/>
  <c r="AV4475" i="4"/>
  <c r="AP4475" i="4"/>
  <c r="AO4475" i="4"/>
  <c r="AN4475" i="4"/>
  <c r="AM4475" i="4"/>
  <c r="BH4475" i="4"/>
  <c r="AX4474" i="4"/>
  <c r="AW4474" i="4"/>
  <c r="AV4474" i="4"/>
  <c r="AP4474" i="4"/>
  <c r="AO4474" i="4"/>
  <c r="AN4474" i="4"/>
  <c r="AM4474" i="4"/>
  <c r="BH4474" i="4"/>
  <c r="AX4473" i="4"/>
  <c r="AW4473" i="4"/>
  <c r="AV4473" i="4"/>
  <c r="AP4473" i="4"/>
  <c r="AO4473" i="4"/>
  <c r="AN4473" i="4"/>
  <c r="AM4473" i="4"/>
  <c r="BH4473" i="4"/>
  <c r="AX4472" i="4"/>
  <c r="AW4472" i="4"/>
  <c r="AV4472" i="4"/>
  <c r="AP4472" i="4"/>
  <c r="AO4472" i="4"/>
  <c r="AN4472" i="4"/>
  <c r="AM4472" i="4"/>
  <c r="BH4472" i="4"/>
  <c r="AX4471" i="4"/>
  <c r="AW4471" i="4"/>
  <c r="AV4471" i="4"/>
  <c r="AP4471" i="4"/>
  <c r="AO4471" i="4"/>
  <c r="AN4471" i="4"/>
  <c r="AM4471" i="4"/>
  <c r="BH4471" i="4"/>
  <c r="AX4470" i="4"/>
  <c r="AW4470" i="4"/>
  <c r="AV4470" i="4"/>
  <c r="AP4470" i="4"/>
  <c r="AO4470" i="4"/>
  <c r="AN4470" i="4"/>
  <c r="AM4470" i="4"/>
  <c r="BH4470" i="4"/>
  <c r="AX4469" i="4"/>
  <c r="AW4469" i="4"/>
  <c r="AV4469" i="4"/>
  <c r="AP4469" i="4"/>
  <c r="AO4469" i="4"/>
  <c r="AN4469" i="4"/>
  <c r="AM4469" i="4"/>
  <c r="BH4469" i="4"/>
  <c r="AX4468" i="4"/>
  <c r="AW4468" i="4"/>
  <c r="AV4468" i="4"/>
  <c r="AP4468" i="4"/>
  <c r="AO4468" i="4"/>
  <c r="AN4468" i="4"/>
  <c r="AM4468" i="4"/>
  <c r="BH4468" i="4"/>
  <c r="AX4467" i="4"/>
  <c r="AW4467" i="4"/>
  <c r="AV4467" i="4"/>
  <c r="AP4467" i="4"/>
  <c r="AO4467" i="4"/>
  <c r="AN4467" i="4"/>
  <c r="AM4467" i="4"/>
  <c r="BH4467" i="4"/>
  <c r="AX4466" i="4"/>
  <c r="AW4466" i="4"/>
  <c r="AV4466" i="4"/>
  <c r="AP4466" i="4"/>
  <c r="AO4466" i="4"/>
  <c r="AN4466" i="4"/>
  <c r="AM4466" i="4"/>
  <c r="BH4466" i="4"/>
  <c r="AX4465" i="4"/>
  <c r="AW4465" i="4"/>
  <c r="AV4465" i="4"/>
  <c r="AP4465" i="4"/>
  <c r="AO4465" i="4"/>
  <c r="AN4465" i="4"/>
  <c r="AM4465" i="4"/>
  <c r="BH4465" i="4"/>
  <c r="AX4464" i="4"/>
  <c r="AW4464" i="4"/>
  <c r="AV4464" i="4"/>
  <c r="AP4464" i="4"/>
  <c r="AO4464" i="4"/>
  <c r="AN4464" i="4"/>
  <c r="AM4464" i="4"/>
  <c r="BH4464" i="4"/>
  <c r="AX4463" i="4"/>
  <c r="AW4463" i="4"/>
  <c r="AV4463" i="4"/>
  <c r="AP4463" i="4"/>
  <c r="AO4463" i="4"/>
  <c r="AN4463" i="4"/>
  <c r="AM4463" i="4"/>
  <c r="BH4463" i="4"/>
  <c r="AX4462" i="4"/>
  <c r="AW4462" i="4"/>
  <c r="AV4462" i="4"/>
  <c r="AP4462" i="4"/>
  <c r="AO4462" i="4"/>
  <c r="AN4462" i="4"/>
  <c r="AM4462" i="4"/>
  <c r="BH4462" i="4"/>
  <c r="AX4461" i="4"/>
  <c r="AW4461" i="4"/>
  <c r="AV4461" i="4"/>
  <c r="AP4461" i="4"/>
  <c r="AO4461" i="4"/>
  <c r="AN4461" i="4"/>
  <c r="AM4461" i="4"/>
  <c r="BH4461" i="4"/>
  <c r="AX4460" i="4"/>
  <c r="AW4460" i="4"/>
  <c r="AV4460" i="4"/>
  <c r="AP4460" i="4"/>
  <c r="AO4460" i="4"/>
  <c r="AN4460" i="4"/>
  <c r="AM4460" i="4"/>
  <c r="BH4460" i="4"/>
  <c r="AX4459" i="4"/>
  <c r="AW4459" i="4"/>
  <c r="AV4459" i="4"/>
  <c r="AP4459" i="4"/>
  <c r="AO4459" i="4"/>
  <c r="AN4459" i="4"/>
  <c r="AM4459" i="4"/>
  <c r="BH4459" i="4"/>
  <c r="AX4458" i="4"/>
  <c r="AW4458" i="4"/>
  <c r="AV4458" i="4"/>
  <c r="AP4458" i="4"/>
  <c r="AO4458" i="4"/>
  <c r="AN4458" i="4"/>
  <c r="AM4458" i="4"/>
  <c r="BH4458" i="4"/>
  <c r="AX4457" i="4"/>
  <c r="AW4457" i="4"/>
  <c r="AV4457" i="4"/>
  <c r="AP4457" i="4"/>
  <c r="AO4457" i="4"/>
  <c r="AN4457" i="4"/>
  <c r="AM4457" i="4"/>
  <c r="BH4457" i="4"/>
  <c r="AX4456" i="4"/>
  <c r="AW4456" i="4"/>
  <c r="AV4456" i="4"/>
  <c r="AP4456" i="4"/>
  <c r="AO4456" i="4"/>
  <c r="AN4456" i="4"/>
  <c r="AM4456" i="4"/>
  <c r="BH4456" i="4"/>
  <c r="AX4455" i="4"/>
  <c r="AW4455" i="4"/>
  <c r="AV4455" i="4"/>
  <c r="AP4455" i="4"/>
  <c r="AO4455" i="4"/>
  <c r="AN4455" i="4"/>
  <c r="AM4455" i="4"/>
  <c r="BH4455" i="4"/>
  <c r="AX4454" i="4"/>
  <c r="AW4454" i="4"/>
  <c r="AV4454" i="4"/>
  <c r="AP4454" i="4"/>
  <c r="AO4454" i="4"/>
  <c r="AN4454" i="4"/>
  <c r="AM4454" i="4"/>
  <c r="BH4454" i="4"/>
  <c r="AX4453" i="4"/>
  <c r="AW4453" i="4"/>
  <c r="AV4453" i="4"/>
  <c r="AP4453" i="4"/>
  <c r="AO4453" i="4"/>
  <c r="AN4453" i="4"/>
  <c r="AM4453" i="4"/>
  <c r="BH4453" i="4"/>
  <c r="AX4452" i="4"/>
  <c r="AW4452" i="4"/>
  <c r="AV4452" i="4"/>
  <c r="AP4452" i="4"/>
  <c r="AO4452" i="4"/>
  <c r="AN4452" i="4"/>
  <c r="AM4452" i="4"/>
  <c r="BH4452" i="4"/>
  <c r="AX4451" i="4"/>
  <c r="AW4451" i="4"/>
  <c r="AV4451" i="4"/>
  <c r="AP4451" i="4"/>
  <c r="AO4451" i="4"/>
  <c r="AN4451" i="4"/>
  <c r="AM4451" i="4"/>
  <c r="BH4451" i="4"/>
  <c r="AX4450" i="4"/>
  <c r="AW4450" i="4"/>
  <c r="AV4450" i="4"/>
  <c r="AP4450" i="4"/>
  <c r="AO4450" i="4"/>
  <c r="AN4450" i="4"/>
  <c r="AM4450" i="4"/>
  <c r="BH4450" i="4"/>
  <c r="AX4449" i="4"/>
  <c r="AW4449" i="4"/>
  <c r="AV4449" i="4"/>
  <c r="AP4449" i="4"/>
  <c r="AO4449" i="4"/>
  <c r="AN4449" i="4"/>
  <c r="AM4449" i="4"/>
  <c r="BH4449" i="4"/>
  <c r="AX4448" i="4"/>
  <c r="AW4448" i="4"/>
  <c r="AV4448" i="4"/>
  <c r="AP4448" i="4"/>
  <c r="AO4448" i="4"/>
  <c r="AN4448" i="4"/>
  <c r="AM4448" i="4"/>
  <c r="BH4448" i="4"/>
  <c r="AX4447" i="4"/>
  <c r="AW4447" i="4"/>
  <c r="AV4447" i="4"/>
  <c r="AP4447" i="4"/>
  <c r="AO4447" i="4"/>
  <c r="AN4447" i="4"/>
  <c r="AM4447" i="4"/>
  <c r="BH4447" i="4"/>
  <c r="AX4446" i="4"/>
  <c r="AW4446" i="4"/>
  <c r="AV4446" i="4"/>
  <c r="AP4446" i="4"/>
  <c r="AO4446" i="4"/>
  <c r="AN4446" i="4"/>
  <c r="AM4446" i="4"/>
  <c r="BH4446" i="4"/>
  <c r="AX4445" i="4"/>
  <c r="AW4445" i="4"/>
  <c r="AV4445" i="4"/>
  <c r="AP4445" i="4"/>
  <c r="AO4445" i="4"/>
  <c r="AN4445" i="4"/>
  <c r="AM4445" i="4"/>
  <c r="BH4445" i="4"/>
  <c r="AX4444" i="4"/>
  <c r="AW4444" i="4"/>
  <c r="AV4444" i="4"/>
  <c r="AP4444" i="4"/>
  <c r="AO4444" i="4"/>
  <c r="AN4444" i="4"/>
  <c r="AM4444" i="4"/>
  <c r="BH4444" i="4"/>
  <c r="AX4443" i="4"/>
  <c r="AW4443" i="4"/>
  <c r="AV4443" i="4"/>
  <c r="AP4443" i="4"/>
  <c r="AO4443" i="4"/>
  <c r="AN4443" i="4"/>
  <c r="AM4443" i="4"/>
  <c r="BH4443" i="4"/>
  <c r="AX4442" i="4"/>
  <c r="AW4442" i="4"/>
  <c r="AV4442" i="4"/>
  <c r="AP4442" i="4"/>
  <c r="AO4442" i="4"/>
  <c r="AN4442" i="4"/>
  <c r="AM4442" i="4"/>
  <c r="BH4442" i="4"/>
  <c r="AX4441" i="4"/>
  <c r="AW4441" i="4"/>
  <c r="AV4441" i="4"/>
  <c r="AP4441" i="4"/>
  <c r="AO4441" i="4"/>
  <c r="AN4441" i="4"/>
  <c r="AM4441" i="4"/>
  <c r="BH4441" i="4"/>
  <c r="AX4440" i="4"/>
  <c r="AW4440" i="4"/>
  <c r="AV4440" i="4"/>
  <c r="AP4440" i="4"/>
  <c r="AO4440" i="4"/>
  <c r="AN4440" i="4"/>
  <c r="AM4440" i="4"/>
  <c r="BH4440" i="4"/>
  <c r="AX4439" i="4"/>
  <c r="AW4439" i="4"/>
  <c r="AV4439" i="4"/>
  <c r="AP4439" i="4"/>
  <c r="AO4439" i="4"/>
  <c r="AN4439" i="4"/>
  <c r="AM4439" i="4"/>
  <c r="BH4439" i="4"/>
  <c r="AX4438" i="4"/>
  <c r="AW4438" i="4"/>
  <c r="AV4438" i="4"/>
  <c r="AP4438" i="4"/>
  <c r="AO4438" i="4"/>
  <c r="AN4438" i="4"/>
  <c r="AM4438" i="4"/>
  <c r="BH4438" i="4"/>
  <c r="AX4437" i="4"/>
  <c r="AW4437" i="4"/>
  <c r="AV4437" i="4"/>
  <c r="AP4437" i="4"/>
  <c r="AO4437" i="4"/>
  <c r="AN4437" i="4"/>
  <c r="AM4437" i="4"/>
  <c r="BH4437" i="4"/>
  <c r="AX4436" i="4"/>
  <c r="AW4436" i="4"/>
  <c r="AV4436" i="4"/>
  <c r="AP4436" i="4"/>
  <c r="AO4436" i="4"/>
  <c r="AN4436" i="4"/>
  <c r="AM4436" i="4"/>
  <c r="BH4436" i="4"/>
  <c r="AX4435" i="4"/>
  <c r="AW4435" i="4"/>
  <c r="AV4435" i="4"/>
  <c r="AP4435" i="4"/>
  <c r="AO4435" i="4"/>
  <c r="AN4435" i="4"/>
  <c r="AM4435" i="4"/>
  <c r="BH4435" i="4"/>
  <c r="AX4434" i="4"/>
  <c r="AW4434" i="4"/>
  <c r="AV4434" i="4"/>
  <c r="AP4434" i="4"/>
  <c r="AO4434" i="4"/>
  <c r="AN4434" i="4"/>
  <c r="AM4434" i="4"/>
  <c r="BH4434" i="4"/>
  <c r="AX4433" i="4"/>
  <c r="AW4433" i="4"/>
  <c r="AV4433" i="4"/>
  <c r="AP4433" i="4"/>
  <c r="AO4433" i="4"/>
  <c r="AN4433" i="4"/>
  <c r="AM4433" i="4"/>
  <c r="BH4433" i="4"/>
  <c r="AX4432" i="4"/>
  <c r="AW4432" i="4"/>
  <c r="AV4432" i="4"/>
  <c r="AP4432" i="4"/>
  <c r="AO4432" i="4"/>
  <c r="AN4432" i="4"/>
  <c r="AM4432" i="4"/>
  <c r="BH4432" i="4"/>
  <c r="AX4431" i="4"/>
  <c r="AW4431" i="4"/>
  <c r="AV4431" i="4"/>
  <c r="AP4431" i="4"/>
  <c r="AO4431" i="4"/>
  <c r="AN4431" i="4"/>
  <c r="AM4431" i="4"/>
  <c r="BH4431" i="4"/>
  <c r="AX4430" i="4"/>
  <c r="AW4430" i="4"/>
  <c r="AV4430" i="4"/>
  <c r="AP4430" i="4"/>
  <c r="AO4430" i="4"/>
  <c r="AN4430" i="4"/>
  <c r="AM4430" i="4"/>
  <c r="BH4430" i="4"/>
  <c r="AX4429" i="4"/>
  <c r="AW4429" i="4"/>
  <c r="AV4429" i="4"/>
  <c r="AP4429" i="4"/>
  <c r="AO4429" i="4"/>
  <c r="AN4429" i="4"/>
  <c r="AM4429" i="4"/>
  <c r="BH4429" i="4"/>
  <c r="AX4428" i="4"/>
  <c r="AW4428" i="4"/>
  <c r="AV4428" i="4"/>
  <c r="AP4428" i="4"/>
  <c r="AO4428" i="4"/>
  <c r="AN4428" i="4"/>
  <c r="AM4428" i="4"/>
  <c r="BH4428" i="4"/>
  <c r="AX4427" i="4"/>
  <c r="AW4427" i="4"/>
  <c r="AV4427" i="4"/>
  <c r="AP4427" i="4"/>
  <c r="AO4427" i="4"/>
  <c r="AN4427" i="4"/>
  <c r="AM4427" i="4"/>
  <c r="BH4427" i="4"/>
  <c r="AX4426" i="4"/>
  <c r="AW4426" i="4"/>
  <c r="AV4426" i="4"/>
  <c r="AP4426" i="4"/>
  <c r="AO4426" i="4"/>
  <c r="AN4426" i="4"/>
  <c r="AM4426" i="4"/>
  <c r="BH4426" i="4"/>
  <c r="AX4425" i="4"/>
  <c r="AW4425" i="4"/>
  <c r="AV4425" i="4"/>
  <c r="AP4425" i="4"/>
  <c r="AO4425" i="4"/>
  <c r="AN4425" i="4"/>
  <c r="AM4425" i="4"/>
  <c r="BH4425" i="4"/>
  <c r="AX4424" i="4"/>
  <c r="AW4424" i="4"/>
  <c r="AV4424" i="4"/>
  <c r="AP4424" i="4"/>
  <c r="AO4424" i="4"/>
  <c r="AN4424" i="4"/>
  <c r="AM4424" i="4"/>
  <c r="BH4424" i="4"/>
  <c r="AX4423" i="4"/>
  <c r="AW4423" i="4"/>
  <c r="AV4423" i="4"/>
  <c r="AP4423" i="4"/>
  <c r="AO4423" i="4"/>
  <c r="AN4423" i="4"/>
  <c r="AM4423" i="4"/>
  <c r="BH4423" i="4"/>
  <c r="AX4422" i="4"/>
  <c r="AW4422" i="4"/>
  <c r="AV4422" i="4"/>
  <c r="AP4422" i="4"/>
  <c r="AO4422" i="4"/>
  <c r="AN4422" i="4"/>
  <c r="AM4422" i="4"/>
  <c r="BH4422" i="4"/>
  <c r="AX4421" i="4"/>
  <c r="AW4421" i="4"/>
  <c r="AV4421" i="4"/>
  <c r="AP4421" i="4"/>
  <c r="AO4421" i="4"/>
  <c r="AN4421" i="4"/>
  <c r="AM4421" i="4"/>
  <c r="BH4421" i="4"/>
  <c r="AX4420" i="4"/>
  <c r="AW4420" i="4"/>
  <c r="AV4420" i="4"/>
  <c r="AP4420" i="4"/>
  <c r="AO4420" i="4"/>
  <c r="AN4420" i="4"/>
  <c r="AM4420" i="4"/>
  <c r="BH4420" i="4"/>
  <c r="AX4419" i="4"/>
  <c r="AW4419" i="4"/>
  <c r="AV4419" i="4"/>
  <c r="AP4419" i="4"/>
  <c r="AO4419" i="4"/>
  <c r="AN4419" i="4"/>
  <c r="AM4419" i="4"/>
  <c r="BH4419" i="4"/>
  <c r="AX4418" i="4"/>
  <c r="AW4418" i="4"/>
  <c r="AV4418" i="4"/>
  <c r="AP4418" i="4"/>
  <c r="AO4418" i="4"/>
  <c r="AN4418" i="4"/>
  <c r="AM4418" i="4"/>
  <c r="BH4418" i="4"/>
  <c r="AX4417" i="4"/>
  <c r="AW4417" i="4"/>
  <c r="AV4417" i="4"/>
  <c r="AP4417" i="4"/>
  <c r="AO4417" i="4"/>
  <c r="AN4417" i="4"/>
  <c r="AM4417" i="4"/>
  <c r="BH4417" i="4"/>
  <c r="AX4416" i="4"/>
  <c r="AW4416" i="4"/>
  <c r="AV4416" i="4"/>
  <c r="AP4416" i="4"/>
  <c r="AO4416" i="4"/>
  <c r="AN4416" i="4"/>
  <c r="AM4416" i="4"/>
  <c r="BH4416" i="4"/>
  <c r="AX4415" i="4"/>
  <c r="AW4415" i="4"/>
  <c r="AV4415" i="4"/>
  <c r="AP4415" i="4"/>
  <c r="AO4415" i="4"/>
  <c r="AN4415" i="4"/>
  <c r="AM4415" i="4"/>
  <c r="BH4415" i="4"/>
  <c r="AX4414" i="4"/>
  <c r="AW4414" i="4"/>
  <c r="AV4414" i="4"/>
  <c r="AP4414" i="4"/>
  <c r="AO4414" i="4"/>
  <c r="AN4414" i="4"/>
  <c r="AM4414" i="4"/>
  <c r="BH4414" i="4"/>
  <c r="AX4413" i="4"/>
  <c r="AW4413" i="4"/>
  <c r="AV4413" i="4"/>
  <c r="AP4413" i="4"/>
  <c r="AO4413" i="4"/>
  <c r="AN4413" i="4"/>
  <c r="AM4413" i="4"/>
  <c r="BH4413" i="4"/>
  <c r="AX4412" i="4"/>
  <c r="AW4412" i="4"/>
  <c r="AV4412" i="4"/>
  <c r="AP4412" i="4"/>
  <c r="AO4412" i="4"/>
  <c r="AN4412" i="4"/>
  <c r="AM4412" i="4"/>
  <c r="BH4412" i="4"/>
  <c r="AX4411" i="4"/>
  <c r="AW4411" i="4"/>
  <c r="AV4411" i="4"/>
  <c r="AP4411" i="4"/>
  <c r="AO4411" i="4"/>
  <c r="AN4411" i="4"/>
  <c r="AM4411" i="4"/>
  <c r="BH4411" i="4"/>
  <c r="AX4410" i="4"/>
  <c r="AW4410" i="4"/>
  <c r="AV4410" i="4"/>
  <c r="AP4410" i="4"/>
  <c r="AO4410" i="4"/>
  <c r="AN4410" i="4"/>
  <c r="AM4410" i="4"/>
  <c r="BH4410" i="4"/>
  <c r="AX4409" i="4"/>
  <c r="AW4409" i="4"/>
  <c r="AV4409" i="4"/>
  <c r="AP4409" i="4"/>
  <c r="AO4409" i="4"/>
  <c r="AN4409" i="4"/>
  <c r="AM4409" i="4"/>
  <c r="BH4409" i="4"/>
  <c r="AX4408" i="4"/>
  <c r="AW4408" i="4"/>
  <c r="AV4408" i="4"/>
  <c r="AP4408" i="4"/>
  <c r="AO4408" i="4"/>
  <c r="AN4408" i="4"/>
  <c r="AM4408" i="4"/>
  <c r="BH4408" i="4"/>
  <c r="AX4407" i="4"/>
  <c r="AW4407" i="4"/>
  <c r="AV4407" i="4"/>
  <c r="AP4407" i="4"/>
  <c r="AO4407" i="4"/>
  <c r="AN4407" i="4"/>
  <c r="AM4407" i="4"/>
  <c r="BH4407" i="4"/>
  <c r="AX4406" i="4"/>
  <c r="AW4406" i="4"/>
  <c r="AV4406" i="4"/>
  <c r="AP4406" i="4"/>
  <c r="AO4406" i="4"/>
  <c r="AN4406" i="4"/>
  <c r="AM4406" i="4"/>
  <c r="BH4406" i="4"/>
  <c r="AX4405" i="4"/>
  <c r="AW4405" i="4"/>
  <c r="AV4405" i="4"/>
  <c r="AP4405" i="4"/>
  <c r="AO4405" i="4"/>
  <c r="AN4405" i="4"/>
  <c r="AM4405" i="4"/>
  <c r="BH4405" i="4"/>
  <c r="AX4404" i="4"/>
  <c r="AW4404" i="4"/>
  <c r="AV4404" i="4"/>
  <c r="AP4404" i="4"/>
  <c r="AO4404" i="4"/>
  <c r="AN4404" i="4"/>
  <c r="AM4404" i="4"/>
  <c r="BH4404" i="4"/>
  <c r="AX4403" i="4"/>
  <c r="AW4403" i="4"/>
  <c r="AV4403" i="4"/>
  <c r="AP4403" i="4"/>
  <c r="AO4403" i="4"/>
  <c r="AN4403" i="4"/>
  <c r="AM4403" i="4"/>
  <c r="BH4403" i="4"/>
  <c r="AX4402" i="4"/>
  <c r="AW4402" i="4"/>
  <c r="AV4402" i="4"/>
  <c r="AP4402" i="4"/>
  <c r="AO4402" i="4"/>
  <c r="AN4402" i="4"/>
  <c r="AM4402" i="4"/>
  <c r="BH4402" i="4"/>
  <c r="AX4401" i="4"/>
  <c r="AW4401" i="4"/>
  <c r="AV4401" i="4"/>
  <c r="AP4401" i="4"/>
  <c r="AO4401" i="4"/>
  <c r="AN4401" i="4"/>
  <c r="AM4401" i="4"/>
  <c r="BH4401" i="4"/>
  <c r="AX4400" i="4"/>
  <c r="AW4400" i="4"/>
  <c r="AV4400" i="4"/>
  <c r="AP4400" i="4"/>
  <c r="AO4400" i="4"/>
  <c r="AN4400" i="4"/>
  <c r="AM4400" i="4"/>
  <c r="BH4400" i="4"/>
  <c r="AX4399" i="4"/>
  <c r="AW4399" i="4"/>
  <c r="AV4399" i="4"/>
  <c r="AP4399" i="4"/>
  <c r="AO4399" i="4"/>
  <c r="AN4399" i="4"/>
  <c r="AM4399" i="4"/>
  <c r="BH4399" i="4"/>
  <c r="AX4398" i="4"/>
  <c r="AW4398" i="4"/>
  <c r="AV4398" i="4"/>
  <c r="AP4398" i="4"/>
  <c r="AO4398" i="4"/>
  <c r="AN4398" i="4"/>
  <c r="AM4398" i="4"/>
  <c r="BH4398" i="4"/>
  <c r="AX4397" i="4"/>
  <c r="AW4397" i="4"/>
  <c r="AV4397" i="4"/>
  <c r="AP4397" i="4"/>
  <c r="AO4397" i="4"/>
  <c r="AN4397" i="4"/>
  <c r="AM4397" i="4"/>
  <c r="BH4397" i="4"/>
  <c r="AX4396" i="4"/>
  <c r="AW4396" i="4"/>
  <c r="AV4396" i="4"/>
  <c r="AP4396" i="4"/>
  <c r="AO4396" i="4"/>
  <c r="AN4396" i="4"/>
  <c r="AM4396" i="4"/>
  <c r="BH4396" i="4"/>
  <c r="AX4395" i="4"/>
  <c r="AW4395" i="4"/>
  <c r="AV4395" i="4"/>
  <c r="AP4395" i="4"/>
  <c r="AO4395" i="4"/>
  <c r="AN4395" i="4"/>
  <c r="AM4395" i="4"/>
  <c r="BH4395" i="4"/>
  <c r="AX4394" i="4"/>
  <c r="AW4394" i="4"/>
  <c r="AV4394" i="4"/>
  <c r="AP4394" i="4"/>
  <c r="AO4394" i="4"/>
  <c r="AN4394" i="4"/>
  <c r="AM4394" i="4"/>
  <c r="BH4394" i="4"/>
  <c r="AX4393" i="4"/>
  <c r="AW4393" i="4"/>
  <c r="AV4393" i="4"/>
  <c r="AP4393" i="4"/>
  <c r="AO4393" i="4"/>
  <c r="AN4393" i="4"/>
  <c r="AM4393" i="4"/>
  <c r="BH4393" i="4"/>
  <c r="AX4392" i="4"/>
  <c r="AW4392" i="4"/>
  <c r="AV4392" i="4"/>
  <c r="AP4392" i="4"/>
  <c r="AO4392" i="4"/>
  <c r="AN4392" i="4"/>
  <c r="AM4392" i="4"/>
  <c r="BH4392" i="4"/>
  <c r="AX4391" i="4"/>
  <c r="AW4391" i="4"/>
  <c r="AV4391" i="4"/>
  <c r="AP4391" i="4"/>
  <c r="AO4391" i="4"/>
  <c r="AN4391" i="4"/>
  <c r="AM4391" i="4"/>
  <c r="BH4391" i="4"/>
  <c r="AX4390" i="4"/>
  <c r="AW4390" i="4"/>
  <c r="AV4390" i="4"/>
  <c r="AP4390" i="4"/>
  <c r="AO4390" i="4"/>
  <c r="AN4390" i="4"/>
  <c r="AM4390" i="4"/>
  <c r="BH4390" i="4"/>
  <c r="AX4389" i="4"/>
  <c r="AW4389" i="4"/>
  <c r="AV4389" i="4"/>
  <c r="AP4389" i="4"/>
  <c r="AO4389" i="4"/>
  <c r="AN4389" i="4"/>
  <c r="AM4389" i="4"/>
  <c r="BH4389" i="4"/>
  <c r="AX4388" i="4"/>
  <c r="AW4388" i="4"/>
  <c r="AV4388" i="4"/>
  <c r="AP4388" i="4"/>
  <c r="AO4388" i="4"/>
  <c r="AN4388" i="4"/>
  <c r="AM4388" i="4"/>
  <c r="BH4388" i="4"/>
  <c r="AX4387" i="4"/>
  <c r="AW4387" i="4"/>
  <c r="AV4387" i="4"/>
  <c r="AP4387" i="4"/>
  <c r="AO4387" i="4"/>
  <c r="AN4387" i="4"/>
  <c r="AM4387" i="4"/>
  <c r="BH4387" i="4"/>
  <c r="AX4386" i="4"/>
  <c r="AW4386" i="4"/>
  <c r="AV4386" i="4"/>
  <c r="AP4386" i="4"/>
  <c r="AO4386" i="4"/>
  <c r="AN4386" i="4"/>
  <c r="AM4386" i="4"/>
  <c r="BH4386" i="4"/>
  <c r="AX4385" i="4"/>
  <c r="AW4385" i="4"/>
  <c r="AV4385" i="4"/>
  <c r="AP4385" i="4"/>
  <c r="AO4385" i="4"/>
  <c r="AN4385" i="4"/>
  <c r="AM4385" i="4"/>
  <c r="BH4385" i="4"/>
  <c r="AX4384" i="4"/>
  <c r="AW4384" i="4"/>
  <c r="AV4384" i="4"/>
  <c r="AP4384" i="4"/>
  <c r="AO4384" i="4"/>
  <c r="AN4384" i="4"/>
  <c r="AM4384" i="4"/>
  <c r="BH4384" i="4"/>
  <c r="AX4383" i="4"/>
  <c r="AW4383" i="4"/>
  <c r="AV4383" i="4"/>
  <c r="AP4383" i="4"/>
  <c r="AO4383" i="4"/>
  <c r="AN4383" i="4"/>
  <c r="AM4383" i="4"/>
  <c r="BH4383" i="4"/>
  <c r="AX4382" i="4"/>
  <c r="AW4382" i="4"/>
  <c r="AV4382" i="4"/>
  <c r="AP4382" i="4"/>
  <c r="AO4382" i="4"/>
  <c r="AN4382" i="4"/>
  <c r="AM4382" i="4"/>
  <c r="BH4382" i="4"/>
  <c r="AX4381" i="4"/>
  <c r="AW4381" i="4"/>
  <c r="AV4381" i="4"/>
  <c r="AP4381" i="4"/>
  <c r="AO4381" i="4"/>
  <c r="AN4381" i="4"/>
  <c r="AM4381" i="4"/>
  <c r="BH4381" i="4"/>
  <c r="AX4380" i="4"/>
  <c r="AW4380" i="4"/>
  <c r="AV4380" i="4"/>
  <c r="AP4380" i="4"/>
  <c r="AO4380" i="4"/>
  <c r="AN4380" i="4"/>
  <c r="AM4380" i="4"/>
  <c r="BH4380" i="4"/>
  <c r="AX4379" i="4"/>
  <c r="AW4379" i="4"/>
  <c r="AV4379" i="4"/>
  <c r="AP4379" i="4"/>
  <c r="AO4379" i="4"/>
  <c r="AN4379" i="4"/>
  <c r="AM4379" i="4"/>
  <c r="BH4379" i="4"/>
  <c r="AX4378" i="4"/>
  <c r="AW4378" i="4"/>
  <c r="AV4378" i="4"/>
  <c r="AP4378" i="4"/>
  <c r="AO4378" i="4"/>
  <c r="AN4378" i="4"/>
  <c r="AM4378" i="4"/>
  <c r="BH4378" i="4"/>
  <c r="AX4377" i="4"/>
  <c r="AW4377" i="4"/>
  <c r="AV4377" i="4"/>
  <c r="AP4377" i="4"/>
  <c r="AO4377" i="4"/>
  <c r="AN4377" i="4"/>
  <c r="AM4377" i="4"/>
  <c r="BH4377" i="4"/>
  <c r="AX4376" i="4"/>
  <c r="AW4376" i="4"/>
  <c r="AV4376" i="4"/>
  <c r="AP4376" i="4"/>
  <c r="AO4376" i="4"/>
  <c r="AN4376" i="4"/>
  <c r="AM4376" i="4"/>
  <c r="BH4376" i="4"/>
  <c r="AX4375" i="4"/>
  <c r="AW4375" i="4"/>
  <c r="AV4375" i="4"/>
  <c r="AP4375" i="4"/>
  <c r="AO4375" i="4"/>
  <c r="AN4375" i="4"/>
  <c r="AM4375" i="4"/>
  <c r="BH4375" i="4"/>
  <c r="AX4374" i="4"/>
  <c r="AW4374" i="4"/>
  <c r="AV4374" i="4"/>
  <c r="AP4374" i="4"/>
  <c r="AO4374" i="4"/>
  <c r="AN4374" i="4"/>
  <c r="AM4374" i="4"/>
  <c r="BH4374" i="4"/>
  <c r="AX4373" i="4"/>
  <c r="AW4373" i="4"/>
  <c r="AV4373" i="4"/>
  <c r="AP4373" i="4"/>
  <c r="AO4373" i="4"/>
  <c r="AN4373" i="4"/>
  <c r="AM4373" i="4"/>
  <c r="BH4373" i="4"/>
  <c r="AX4372" i="4"/>
  <c r="AW4372" i="4"/>
  <c r="AV4372" i="4"/>
  <c r="AP4372" i="4"/>
  <c r="AO4372" i="4"/>
  <c r="AN4372" i="4"/>
  <c r="AM4372" i="4"/>
  <c r="BH4372" i="4"/>
  <c r="AX4371" i="4"/>
  <c r="AW4371" i="4"/>
  <c r="AV4371" i="4"/>
  <c r="AP4371" i="4"/>
  <c r="AO4371" i="4"/>
  <c r="AN4371" i="4"/>
  <c r="AM4371" i="4"/>
  <c r="BH4371" i="4"/>
  <c r="AX4370" i="4"/>
  <c r="AW4370" i="4"/>
  <c r="AV4370" i="4"/>
  <c r="AP4370" i="4"/>
  <c r="AO4370" i="4"/>
  <c r="AN4370" i="4"/>
  <c r="AM4370" i="4"/>
  <c r="BH4370" i="4"/>
  <c r="AX4369" i="4"/>
  <c r="AW4369" i="4"/>
  <c r="AV4369" i="4"/>
  <c r="AP4369" i="4"/>
  <c r="AO4369" i="4"/>
  <c r="AN4369" i="4"/>
  <c r="AM4369" i="4"/>
  <c r="BH4369" i="4"/>
  <c r="AX4368" i="4"/>
  <c r="AW4368" i="4"/>
  <c r="AV4368" i="4"/>
  <c r="AP4368" i="4"/>
  <c r="AO4368" i="4"/>
  <c r="AN4368" i="4"/>
  <c r="AM4368" i="4"/>
  <c r="BH4368" i="4"/>
  <c r="AX4367" i="4"/>
  <c r="AW4367" i="4"/>
  <c r="AV4367" i="4"/>
  <c r="AP4367" i="4"/>
  <c r="AO4367" i="4"/>
  <c r="AN4367" i="4"/>
  <c r="AM4367" i="4"/>
  <c r="BH4367" i="4"/>
  <c r="AX4366" i="4"/>
  <c r="AW4366" i="4"/>
  <c r="AV4366" i="4"/>
  <c r="AP4366" i="4"/>
  <c r="AO4366" i="4"/>
  <c r="AN4366" i="4"/>
  <c r="AM4366" i="4"/>
  <c r="BH4366" i="4"/>
  <c r="AX4365" i="4"/>
  <c r="AW4365" i="4"/>
  <c r="AV4365" i="4"/>
  <c r="AP4365" i="4"/>
  <c r="AO4365" i="4"/>
  <c r="AN4365" i="4"/>
  <c r="AM4365" i="4"/>
  <c r="BH4365" i="4"/>
  <c r="AX4364" i="4"/>
  <c r="AW4364" i="4"/>
  <c r="AV4364" i="4"/>
  <c r="AP4364" i="4"/>
  <c r="AO4364" i="4"/>
  <c r="AN4364" i="4"/>
  <c r="AM4364" i="4"/>
  <c r="BH4364" i="4"/>
  <c r="AX4363" i="4"/>
  <c r="AW4363" i="4"/>
  <c r="AV4363" i="4"/>
  <c r="AP4363" i="4"/>
  <c r="AO4363" i="4"/>
  <c r="AN4363" i="4"/>
  <c r="AM4363" i="4"/>
  <c r="BH4363" i="4"/>
  <c r="AX4362" i="4"/>
  <c r="AW4362" i="4"/>
  <c r="AV4362" i="4"/>
  <c r="AP4362" i="4"/>
  <c r="AO4362" i="4"/>
  <c r="AN4362" i="4"/>
  <c r="AM4362" i="4"/>
  <c r="BH4362" i="4"/>
  <c r="AX4361" i="4"/>
  <c r="AW4361" i="4"/>
  <c r="AV4361" i="4"/>
  <c r="AP4361" i="4"/>
  <c r="AO4361" i="4"/>
  <c r="AN4361" i="4"/>
  <c r="AM4361" i="4"/>
  <c r="BH4361" i="4"/>
  <c r="AX4360" i="4"/>
  <c r="AW4360" i="4"/>
  <c r="AV4360" i="4"/>
  <c r="AP4360" i="4"/>
  <c r="AO4360" i="4"/>
  <c r="AN4360" i="4"/>
  <c r="AM4360" i="4"/>
  <c r="BH4360" i="4"/>
  <c r="AX4359" i="4"/>
  <c r="AW4359" i="4"/>
  <c r="AV4359" i="4"/>
  <c r="AP4359" i="4"/>
  <c r="AO4359" i="4"/>
  <c r="AN4359" i="4"/>
  <c r="AM4359" i="4"/>
  <c r="BH4359" i="4"/>
  <c r="AX4358" i="4"/>
  <c r="AW4358" i="4"/>
  <c r="AV4358" i="4"/>
  <c r="AP4358" i="4"/>
  <c r="AO4358" i="4"/>
  <c r="AN4358" i="4"/>
  <c r="AM4358" i="4"/>
  <c r="BH4358" i="4"/>
  <c r="AX4357" i="4"/>
  <c r="AW4357" i="4"/>
  <c r="AV4357" i="4"/>
  <c r="AP4357" i="4"/>
  <c r="AO4357" i="4"/>
  <c r="AN4357" i="4"/>
  <c r="AM4357" i="4"/>
  <c r="BH4357" i="4"/>
  <c r="AX4356" i="4"/>
  <c r="AW4356" i="4"/>
  <c r="AV4356" i="4"/>
  <c r="AP4356" i="4"/>
  <c r="AO4356" i="4"/>
  <c r="AN4356" i="4"/>
  <c r="AM4356" i="4"/>
  <c r="BH4356" i="4"/>
  <c r="AX4355" i="4"/>
  <c r="AW4355" i="4"/>
  <c r="AV4355" i="4"/>
  <c r="AP4355" i="4"/>
  <c r="AO4355" i="4"/>
  <c r="AN4355" i="4"/>
  <c r="AM4355" i="4"/>
  <c r="BH4355" i="4"/>
  <c r="AX4354" i="4"/>
  <c r="AW4354" i="4"/>
  <c r="AV4354" i="4"/>
  <c r="AP4354" i="4"/>
  <c r="AO4354" i="4"/>
  <c r="AN4354" i="4"/>
  <c r="AM4354" i="4"/>
  <c r="BH4354" i="4"/>
  <c r="AX4353" i="4"/>
  <c r="AW4353" i="4"/>
  <c r="AV4353" i="4"/>
  <c r="AP4353" i="4"/>
  <c r="AO4353" i="4"/>
  <c r="AN4353" i="4"/>
  <c r="AM4353" i="4"/>
  <c r="BH4353" i="4"/>
  <c r="AX4352" i="4"/>
  <c r="AW4352" i="4"/>
  <c r="AV4352" i="4"/>
  <c r="AP4352" i="4"/>
  <c r="AO4352" i="4"/>
  <c r="AN4352" i="4"/>
  <c r="AM4352" i="4"/>
  <c r="BH4352" i="4"/>
  <c r="AX4351" i="4"/>
  <c r="AW4351" i="4"/>
  <c r="AV4351" i="4"/>
  <c r="AP4351" i="4"/>
  <c r="AO4351" i="4"/>
  <c r="AN4351" i="4"/>
  <c r="AM4351" i="4"/>
  <c r="BH4351" i="4"/>
  <c r="AX4350" i="4"/>
  <c r="AW4350" i="4"/>
  <c r="AV4350" i="4"/>
  <c r="AP4350" i="4"/>
  <c r="AO4350" i="4"/>
  <c r="AN4350" i="4"/>
  <c r="AM4350" i="4"/>
  <c r="BH4350" i="4"/>
  <c r="AX4349" i="4"/>
  <c r="AW4349" i="4"/>
  <c r="AV4349" i="4"/>
  <c r="AP4349" i="4"/>
  <c r="AO4349" i="4"/>
  <c r="AN4349" i="4"/>
  <c r="AM4349" i="4"/>
  <c r="BH4349" i="4"/>
  <c r="AX4348" i="4"/>
  <c r="AW4348" i="4"/>
  <c r="AV4348" i="4"/>
  <c r="AP4348" i="4"/>
  <c r="AO4348" i="4"/>
  <c r="AN4348" i="4"/>
  <c r="AM4348" i="4"/>
  <c r="BH4348" i="4"/>
  <c r="AX4347" i="4"/>
  <c r="AW4347" i="4"/>
  <c r="AV4347" i="4"/>
  <c r="AP4347" i="4"/>
  <c r="AO4347" i="4"/>
  <c r="AN4347" i="4"/>
  <c r="AM4347" i="4"/>
  <c r="BH4347" i="4"/>
  <c r="AX4346" i="4"/>
  <c r="AW4346" i="4"/>
  <c r="AV4346" i="4"/>
  <c r="AP4346" i="4"/>
  <c r="AO4346" i="4"/>
  <c r="AN4346" i="4"/>
  <c r="AM4346" i="4"/>
  <c r="BH4346" i="4"/>
  <c r="AX4345" i="4"/>
  <c r="AW4345" i="4"/>
  <c r="AV4345" i="4"/>
  <c r="AP4345" i="4"/>
  <c r="AO4345" i="4"/>
  <c r="AN4345" i="4"/>
  <c r="AM4345" i="4"/>
  <c r="BH4345" i="4"/>
  <c r="AX4344" i="4"/>
  <c r="AW4344" i="4"/>
  <c r="AV4344" i="4"/>
  <c r="AP4344" i="4"/>
  <c r="AO4344" i="4"/>
  <c r="AN4344" i="4"/>
  <c r="AM4344" i="4"/>
  <c r="BH4344" i="4"/>
  <c r="AX4343" i="4"/>
  <c r="AW4343" i="4"/>
  <c r="AV4343" i="4"/>
  <c r="AP4343" i="4"/>
  <c r="AO4343" i="4"/>
  <c r="AN4343" i="4"/>
  <c r="AM4343" i="4"/>
  <c r="BH4343" i="4"/>
  <c r="AX4342" i="4"/>
  <c r="AW4342" i="4"/>
  <c r="AV4342" i="4"/>
  <c r="AP4342" i="4"/>
  <c r="AO4342" i="4"/>
  <c r="AN4342" i="4"/>
  <c r="AM4342" i="4"/>
  <c r="BH4342" i="4"/>
  <c r="AX4341" i="4"/>
  <c r="AW4341" i="4"/>
  <c r="AV4341" i="4"/>
  <c r="AP4341" i="4"/>
  <c r="AO4341" i="4"/>
  <c r="AN4341" i="4"/>
  <c r="AM4341" i="4"/>
  <c r="BH4341" i="4"/>
  <c r="AX4340" i="4"/>
  <c r="AW4340" i="4"/>
  <c r="AV4340" i="4"/>
  <c r="AP4340" i="4"/>
  <c r="AO4340" i="4"/>
  <c r="AN4340" i="4"/>
  <c r="AM4340" i="4"/>
  <c r="BH4340" i="4"/>
  <c r="AX4339" i="4"/>
  <c r="AW4339" i="4"/>
  <c r="AV4339" i="4"/>
  <c r="AP4339" i="4"/>
  <c r="AO4339" i="4"/>
  <c r="AN4339" i="4"/>
  <c r="AM4339" i="4"/>
  <c r="BH4339" i="4"/>
  <c r="AX4338" i="4"/>
  <c r="AW4338" i="4"/>
  <c r="AV4338" i="4"/>
  <c r="AP4338" i="4"/>
  <c r="AO4338" i="4"/>
  <c r="AN4338" i="4"/>
  <c r="AM4338" i="4"/>
  <c r="BH4338" i="4"/>
  <c r="AX4337" i="4"/>
  <c r="AW4337" i="4"/>
  <c r="AV4337" i="4"/>
  <c r="AP4337" i="4"/>
  <c r="AO4337" i="4"/>
  <c r="AN4337" i="4"/>
  <c r="AM4337" i="4"/>
  <c r="BH4337" i="4"/>
  <c r="AX4336" i="4"/>
  <c r="AW4336" i="4"/>
  <c r="AV4336" i="4"/>
  <c r="AP4336" i="4"/>
  <c r="AO4336" i="4"/>
  <c r="AN4336" i="4"/>
  <c r="AM4336" i="4"/>
  <c r="BH4336" i="4"/>
  <c r="AX4335" i="4"/>
  <c r="AW4335" i="4"/>
  <c r="AV4335" i="4"/>
  <c r="AP4335" i="4"/>
  <c r="AO4335" i="4"/>
  <c r="AN4335" i="4"/>
  <c r="AM4335" i="4"/>
  <c r="BH4335" i="4"/>
  <c r="AX4334" i="4"/>
  <c r="AW4334" i="4"/>
  <c r="AV4334" i="4"/>
  <c r="AP4334" i="4"/>
  <c r="AO4334" i="4"/>
  <c r="AN4334" i="4"/>
  <c r="AM4334" i="4"/>
  <c r="BH4334" i="4"/>
  <c r="AX4333" i="4"/>
  <c r="AW4333" i="4"/>
  <c r="AV4333" i="4"/>
  <c r="AP4333" i="4"/>
  <c r="AO4333" i="4"/>
  <c r="AN4333" i="4"/>
  <c r="AM4333" i="4"/>
  <c r="BH4333" i="4"/>
  <c r="AX4332" i="4"/>
  <c r="AW4332" i="4"/>
  <c r="AV4332" i="4"/>
  <c r="AP4332" i="4"/>
  <c r="AO4332" i="4"/>
  <c r="AN4332" i="4"/>
  <c r="AM4332" i="4"/>
  <c r="BH4332" i="4"/>
  <c r="AX4331" i="4"/>
  <c r="AW4331" i="4"/>
  <c r="AV4331" i="4"/>
  <c r="AP4331" i="4"/>
  <c r="AO4331" i="4"/>
  <c r="AN4331" i="4"/>
  <c r="AM4331" i="4"/>
  <c r="BH4331" i="4"/>
  <c r="AX4330" i="4"/>
  <c r="AW4330" i="4"/>
  <c r="AV4330" i="4"/>
  <c r="AP4330" i="4"/>
  <c r="AO4330" i="4"/>
  <c r="AN4330" i="4"/>
  <c r="AM4330" i="4"/>
  <c r="BH4330" i="4"/>
  <c r="AX4329" i="4"/>
  <c r="AW4329" i="4"/>
  <c r="AV4329" i="4"/>
  <c r="AP4329" i="4"/>
  <c r="AO4329" i="4"/>
  <c r="AN4329" i="4"/>
  <c r="AM4329" i="4"/>
  <c r="BH4329" i="4"/>
  <c r="AX4328" i="4"/>
  <c r="AW4328" i="4"/>
  <c r="AV4328" i="4"/>
  <c r="AP4328" i="4"/>
  <c r="AO4328" i="4"/>
  <c r="AN4328" i="4"/>
  <c r="AM4328" i="4"/>
  <c r="BH4328" i="4"/>
  <c r="AX4327" i="4"/>
  <c r="AW4327" i="4"/>
  <c r="AV4327" i="4"/>
  <c r="AP4327" i="4"/>
  <c r="AO4327" i="4"/>
  <c r="AN4327" i="4"/>
  <c r="AM4327" i="4"/>
  <c r="BH4327" i="4"/>
  <c r="AX4326" i="4"/>
  <c r="AW4326" i="4"/>
  <c r="AV4326" i="4"/>
  <c r="AP4326" i="4"/>
  <c r="AO4326" i="4"/>
  <c r="AN4326" i="4"/>
  <c r="AM4326" i="4"/>
  <c r="BH4326" i="4"/>
  <c r="AX4325" i="4"/>
  <c r="AW4325" i="4"/>
  <c r="AV4325" i="4"/>
  <c r="AP4325" i="4"/>
  <c r="AO4325" i="4"/>
  <c r="AN4325" i="4"/>
  <c r="AM4325" i="4"/>
  <c r="BH4325" i="4"/>
  <c r="AX4324" i="4"/>
  <c r="AW4324" i="4"/>
  <c r="AV4324" i="4"/>
  <c r="AP4324" i="4"/>
  <c r="AO4324" i="4"/>
  <c r="AN4324" i="4"/>
  <c r="AM4324" i="4"/>
  <c r="BH4324" i="4"/>
  <c r="AX4323" i="4"/>
  <c r="AW4323" i="4"/>
  <c r="AV4323" i="4"/>
  <c r="AP4323" i="4"/>
  <c r="AO4323" i="4"/>
  <c r="AN4323" i="4"/>
  <c r="AM4323" i="4"/>
  <c r="BH4323" i="4"/>
  <c r="AX4322" i="4"/>
  <c r="AW4322" i="4"/>
  <c r="AV4322" i="4"/>
  <c r="AP4322" i="4"/>
  <c r="AO4322" i="4"/>
  <c r="AN4322" i="4"/>
  <c r="AM4322" i="4"/>
  <c r="BH4322" i="4"/>
  <c r="AX4321" i="4"/>
  <c r="AW4321" i="4"/>
  <c r="AV4321" i="4"/>
  <c r="AP4321" i="4"/>
  <c r="AO4321" i="4"/>
  <c r="AN4321" i="4"/>
  <c r="AM4321" i="4"/>
  <c r="BH4321" i="4"/>
  <c r="AX4320" i="4"/>
  <c r="AW4320" i="4"/>
  <c r="AV4320" i="4"/>
  <c r="AP4320" i="4"/>
  <c r="AO4320" i="4"/>
  <c r="AN4320" i="4"/>
  <c r="AM4320" i="4"/>
  <c r="BH4320" i="4"/>
  <c r="AX4319" i="4"/>
  <c r="AW4319" i="4"/>
  <c r="AV4319" i="4"/>
  <c r="AP4319" i="4"/>
  <c r="AO4319" i="4"/>
  <c r="AN4319" i="4"/>
  <c r="AM4319" i="4"/>
  <c r="BH4319" i="4"/>
  <c r="AX4318" i="4"/>
  <c r="AW4318" i="4"/>
  <c r="AV4318" i="4"/>
  <c r="AP4318" i="4"/>
  <c r="AO4318" i="4"/>
  <c r="AN4318" i="4"/>
  <c r="AM4318" i="4"/>
  <c r="BH4318" i="4"/>
  <c r="AX4317" i="4"/>
  <c r="AW4317" i="4"/>
  <c r="AV4317" i="4"/>
  <c r="AP4317" i="4"/>
  <c r="AO4317" i="4"/>
  <c r="AN4317" i="4"/>
  <c r="AM4317" i="4"/>
  <c r="BH4317" i="4"/>
  <c r="AX4316" i="4"/>
  <c r="AW4316" i="4"/>
  <c r="AV4316" i="4"/>
  <c r="AP4316" i="4"/>
  <c r="AO4316" i="4"/>
  <c r="AN4316" i="4"/>
  <c r="AM4316" i="4"/>
  <c r="BH4316" i="4"/>
  <c r="AX4315" i="4"/>
  <c r="AW4315" i="4"/>
  <c r="AV4315" i="4"/>
  <c r="AP4315" i="4"/>
  <c r="AO4315" i="4"/>
  <c r="AN4315" i="4"/>
  <c r="AM4315" i="4"/>
  <c r="BH4315" i="4"/>
  <c r="AX4314" i="4"/>
  <c r="AW4314" i="4"/>
  <c r="AV4314" i="4"/>
  <c r="AP4314" i="4"/>
  <c r="AO4314" i="4"/>
  <c r="AN4314" i="4"/>
  <c r="AM4314" i="4"/>
  <c r="BH4314" i="4"/>
  <c r="AX4313" i="4"/>
  <c r="AW4313" i="4"/>
  <c r="AV4313" i="4"/>
  <c r="AP4313" i="4"/>
  <c r="AO4313" i="4"/>
  <c r="AN4313" i="4"/>
  <c r="AM4313" i="4"/>
  <c r="BH4313" i="4"/>
  <c r="AX4312" i="4"/>
  <c r="AW4312" i="4"/>
  <c r="AV4312" i="4"/>
  <c r="AP4312" i="4"/>
  <c r="AO4312" i="4"/>
  <c r="AN4312" i="4"/>
  <c r="AM4312" i="4"/>
  <c r="BH4312" i="4"/>
  <c r="AX4311" i="4"/>
  <c r="AW4311" i="4"/>
  <c r="AV4311" i="4"/>
  <c r="AP4311" i="4"/>
  <c r="AO4311" i="4"/>
  <c r="AN4311" i="4"/>
  <c r="AM4311" i="4"/>
  <c r="BH4311" i="4"/>
  <c r="AX4310" i="4"/>
  <c r="AW4310" i="4"/>
  <c r="AV4310" i="4"/>
  <c r="AP4310" i="4"/>
  <c r="AO4310" i="4"/>
  <c r="AN4310" i="4"/>
  <c r="AM4310" i="4"/>
  <c r="BH4310" i="4"/>
  <c r="AX4309" i="4"/>
  <c r="AW4309" i="4"/>
  <c r="AV4309" i="4"/>
  <c r="AP4309" i="4"/>
  <c r="AO4309" i="4"/>
  <c r="AN4309" i="4"/>
  <c r="AM4309" i="4"/>
  <c r="BH4309" i="4"/>
  <c r="AX4308" i="4"/>
  <c r="AW4308" i="4"/>
  <c r="AV4308" i="4"/>
  <c r="AP4308" i="4"/>
  <c r="AO4308" i="4"/>
  <c r="AN4308" i="4"/>
  <c r="AM4308" i="4"/>
  <c r="BH4308" i="4"/>
  <c r="AX4307" i="4"/>
  <c r="AW4307" i="4"/>
  <c r="AV4307" i="4"/>
  <c r="AP4307" i="4"/>
  <c r="AO4307" i="4"/>
  <c r="AN4307" i="4"/>
  <c r="AM4307" i="4"/>
  <c r="BH4307" i="4"/>
  <c r="AX4306" i="4"/>
  <c r="AW4306" i="4"/>
  <c r="AV4306" i="4"/>
  <c r="AP4306" i="4"/>
  <c r="AO4306" i="4"/>
  <c r="AN4306" i="4"/>
  <c r="AM4306" i="4"/>
  <c r="BH4306" i="4"/>
  <c r="AX4305" i="4"/>
  <c r="AW4305" i="4"/>
  <c r="AV4305" i="4"/>
  <c r="AP4305" i="4"/>
  <c r="AO4305" i="4"/>
  <c r="AN4305" i="4"/>
  <c r="AM4305" i="4"/>
  <c r="BH4305" i="4"/>
  <c r="AX4304" i="4"/>
  <c r="AW4304" i="4"/>
  <c r="AV4304" i="4"/>
  <c r="AP4304" i="4"/>
  <c r="AO4304" i="4"/>
  <c r="AN4304" i="4"/>
  <c r="AM4304" i="4"/>
  <c r="BH4304" i="4"/>
  <c r="AX4303" i="4"/>
  <c r="AW4303" i="4"/>
  <c r="AV4303" i="4"/>
  <c r="AP4303" i="4"/>
  <c r="AO4303" i="4"/>
  <c r="AN4303" i="4"/>
  <c r="AM4303" i="4"/>
  <c r="BH4303" i="4"/>
  <c r="AX4302" i="4"/>
  <c r="AW4302" i="4"/>
  <c r="AV4302" i="4"/>
  <c r="AP4302" i="4"/>
  <c r="AO4302" i="4"/>
  <c r="AN4302" i="4"/>
  <c r="AM4302" i="4"/>
  <c r="BH4302" i="4"/>
  <c r="AX4301" i="4"/>
  <c r="AW4301" i="4"/>
  <c r="AV4301" i="4"/>
  <c r="AP4301" i="4"/>
  <c r="AO4301" i="4"/>
  <c r="AN4301" i="4"/>
  <c r="AM4301" i="4"/>
  <c r="BH4301" i="4"/>
  <c r="AX4300" i="4"/>
  <c r="AW4300" i="4"/>
  <c r="AV4300" i="4"/>
  <c r="AP4300" i="4"/>
  <c r="AO4300" i="4"/>
  <c r="AN4300" i="4"/>
  <c r="AM4300" i="4"/>
  <c r="BH4300" i="4"/>
  <c r="AX4299" i="4"/>
  <c r="AW4299" i="4"/>
  <c r="AV4299" i="4"/>
  <c r="AP4299" i="4"/>
  <c r="AO4299" i="4"/>
  <c r="AN4299" i="4"/>
  <c r="AM4299" i="4"/>
  <c r="BH4299" i="4"/>
  <c r="AX4298" i="4"/>
  <c r="AW4298" i="4"/>
  <c r="AV4298" i="4"/>
  <c r="AP4298" i="4"/>
  <c r="AO4298" i="4"/>
  <c r="AN4298" i="4"/>
  <c r="AM4298" i="4"/>
  <c r="BH4298" i="4"/>
  <c r="AX4297" i="4"/>
  <c r="AW4297" i="4"/>
  <c r="AV4297" i="4"/>
  <c r="AP4297" i="4"/>
  <c r="AO4297" i="4"/>
  <c r="AN4297" i="4"/>
  <c r="AM4297" i="4"/>
  <c r="BH4297" i="4"/>
  <c r="AX4296" i="4"/>
  <c r="AW4296" i="4"/>
  <c r="AV4296" i="4"/>
  <c r="AP4296" i="4"/>
  <c r="AO4296" i="4"/>
  <c r="AN4296" i="4"/>
  <c r="AM4296" i="4"/>
  <c r="BH4296" i="4"/>
  <c r="AX4295" i="4"/>
  <c r="AW4295" i="4"/>
  <c r="AV4295" i="4"/>
  <c r="AP4295" i="4"/>
  <c r="AO4295" i="4"/>
  <c r="AN4295" i="4"/>
  <c r="AM4295" i="4"/>
  <c r="BH4295" i="4"/>
  <c r="AX4294" i="4"/>
  <c r="AW4294" i="4"/>
  <c r="AV4294" i="4"/>
  <c r="AP4294" i="4"/>
  <c r="AO4294" i="4"/>
  <c r="AN4294" i="4"/>
  <c r="AM4294" i="4"/>
  <c r="BH4294" i="4"/>
  <c r="AX4293" i="4"/>
  <c r="AW4293" i="4"/>
  <c r="AV4293" i="4"/>
  <c r="AP4293" i="4"/>
  <c r="AO4293" i="4"/>
  <c r="AN4293" i="4"/>
  <c r="AM4293" i="4"/>
  <c r="BH4293" i="4"/>
  <c r="AX4292" i="4"/>
  <c r="AW4292" i="4"/>
  <c r="AV4292" i="4"/>
  <c r="AP4292" i="4"/>
  <c r="AO4292" i="4"/>
  <c r="AN4292" i="4"/>
  <c r="AM4292" i="4"/>
  <c r="BH4292" i="4"/>
  <c r="AX4291" i="4"/>
  <c r="AW4291" i="4"/>
  <c r="AV4291" i="4"/>
  <c r="AP4291" i="4"/>
  <c r="AO4291" i="4"/>
  <c r="AN4291" i="4"/>
  <c r="AM4291" i="4"/>
  <c r="BH4291" i="4"/>
  <c r="AX4290" i="4"/>
  <c r="AW4290" i="4"/>
  <c r="AV4290" i="4"/>
  <c r="AP4290" i="4"/>
  <c r="AO4290" i="4"/>
  <c r="AN4290" i="4"/>
  <c r="AM4290" i="4"/>
  <c r="BH4290" i="4"/>
  <c r="AX4289" i="4"/>
  <c r="AW4289" i="4"/>
  <c r="AV4289" i="4"/>
  <c r="AP4289" i="4"/>
  <c r="AO4289" i="4"/>
  <c r="AN4289" i="4"/>
  <c r="AM4289" i="4"/>
  <c r="BH4289" i="4"/>
  <c r="AX4288" i="4"/>
  <c r="AW4288" i="4"/>
  <c r="AV4288" i="4"/>
  <c r="AP4288" i="4"/>
  <c r="AO4288" i="4"/>
  <c r="AN4288" i="4"/>
  <c r="AM4288" i="4"/>
  <c r="BH4288" i="4"/>
  <c r="AX4287" i="4"/>
  <c r="AW4287" i="4"/>
  <c r="AV4287" i="4"/>
  <c r="AP4287" i="4"/>
  <c r="AO4287" i="4"/>
  <c r="AN4287" i="4"/>
  <c r="AM4287" i="4"/>
  <c r="BH4287" i="4"/>
  <c r="AX4286" i="4"/>
  <c r="AW4286" i="4"/>
  <c r="AV4286" i="4"/>
  <c r="AP4286" i="4"/>
  <c r="AO4286" i="4"/>
  <c r="AN4286" i="4"/>
  <c r="AM4286" i="4"/>
  <c r="BH4286" i="4"/>
  <c r="AX4285" i="4"/>
  <c r="AW4285" i="4"/>
  <c r="AV4285" i="4"/>
  <c r="AP4285" i="4"/>
  <c r="AO4285" i="4"/>
  <c r="AN4285" i="4"/>
  <c r="AM4285" i="4"/>
  <c r="BH4285" i="4"/>
  <c r="AX4284" i="4"/>
  <c r="AW4284" i="4"/>
  <c r="AV4284" i="4"/>
  <c r="AP4284" i="4"/>
  <c r="AO4284" i="4"/>
  <c r="AN4284" i="4"/>
  <c r="AM4284" i="4"/>
  <c r="BH4284" i="4"/>
  <c r="AX4283" i="4"/>
  <c r="AW4283" i="4"/>
  <c r="AV4283" i="4"/>
  <c r="AP4283" i="4"/>
  <c r="AO4283" i="4"/>
  <c r="AN4283" i="4"/>
  <c r="AM4283" i="4"/>
  <c r="BH4283" i="4"/>
  <c r="AX4282" i="4"/>
  <c r="AW4282" i="4"/>
  <c r="AV4282" i="4"/>
  <c r="AP4282" i="4"/>
  <c r="AO4282" i="4"/>
  <c r="AN4282" i="4"/>
  <c r="AM4282" i="4"/>
  <c r="BH4282" i="4"/>
  <c r="AX4281" i="4"/>
  <c r="AW4281" i="4"/>
  <c r="AV4281" i="4"/>
  <c r="AP4281" i="4"/>
  <c r="AO4281" i="4"/>
  <c r="AN4281" i="4"/>
  <c r="AM4281" i="4"/>
  <c r="BH4281" i="4"/>
  <c r="AX4280" i="4"/>
  <c r="AW4280" i="4"/>
  <c r="AV4280" i="4"/>
  <c r="AP4280" i="4"/>
  <c r="AO4280" i="4"/>
  <c r="AN4280" i="4"/>
  <c r="AM4280" i="4"/>
  <c r="BH4280" i="4"/>
  <c r="AX4279" i="4"/>
  <c r="AW4279" i="4"/>
  <c r="AV4279" i="4"/>
  <c r="AP4279" i="4"/>
  <c r="AO4279" i="4"/>
  <c r="AN4279" i="4"/>
  <c r="AM4279" i="4"/>
  <c r="BH4279" i="4"/>
  <c r="AX4278" i="4"/>
  <c r="AW4278" i="4"/>
  <c r="AV4278" i="4"/>
  <c r="AP4278" i="4"/>
  <c r="AO4278" i="4"/>
  <c r="AN4278" i="4"/>
  <c r="AM4278" i="4"/>
  <c r="BH4278" i="4"/>
  <c r="AX4277" i="4"/>
  <c r="AW4277" i="4"/>
  <c r="AV4277" i="4"/>
  <c r="AP4277" i="4"/>
  <c r="AO4277" i="4"/>
  <c r="AN4277" i="4"/>
  <c r="AM4277" i="4"/>
  <c r="BH4277" i="4"/>
  <c r="AX4276" i="4"/>
  <c r="AW4276" i="4"/>
  <c r="AV4276" i="4"/>
  <c r="AP4276" i="4"/>
  <c r="AO4276" i="4"/>
  <c r="AN4276" i="4"/>
  <c r="AM4276" i="4"/>
  <c r="BH4276" i="4"/>
  <c r="AX4275" i="4"/>
  <c r="AW4275" i="4"/>
  <c r="AV4275" i="4"/>
  <c r="AP4275" i="4"/>
  <c r="AO4275" i="4"/>
  <c r="AN4275" i="4"/>
  <c r="AM4275" i="4"/>
  <c r="BH4275" i="4"/>
  <c r="AX4274" i="4"/>
  <c r="AW4274" i="4"/>
  <c r="AV4274" i="4"/>
  <c r="AP4274" i="4"/>
  <c r="AO4274" i="4"/>
  <c r="AN4274" i="4"/>
  <c r="AM4274" i="4"/>
  <c r="BH4274" i="4"/>
  <c r="AX4273" i="4"/>
  <c r="AW4273" i="4"/>
  <c r="AV4273" i="4"/>
  <c r="AP4273" i="4"/>
  <c r="AO4273" i="4"/>
  <c r="AN4273" i="4"/>
  <c r="AM4273" i="4"/>
  <c r="BH4273" i="4"/>
  <c r="AX4272" i="4"/>
  <c r="AW4272" i="4"/>
  <c r="AV4272" i="4"/>
  <c r="AP4272" i="4"/>
  <c r="AO4272" i="4"/>
  <c r="AN4272" i="4"/>
  <c r="AM4272" i="4"/>
  <c r="BH4272" i="4"/>
  <c r="AX4271" i="4"/>
  <c r="AW4271" i="4"/>
  <c r="AV4271" i="4"/>
  <c r="AP4271" i="4"/>
  <c r="AO4271" i="4"/>
  <c r="AN4271" i="4"/>
  <c r="AM4271" i="4"/>
  <c r="BH4271" i="4"/>
  <c r="AX4270" i="4"/>
  <c r="AW4270" i="4"/>
  <c r="AV4270" i="4"/>
  <c r="AP4270" i="4"/>
  <c r="AO4270" i="4"/>
  <c r="AN4270" i="4"/>
  <c r="AM4270" i="4"/>
  <c r="BH4270" i="4"/>
  <c r="AX4269" i="4"/>
  <c r="AW4269" i="4"/>
  <c r="AV4269" i="4"/>
  <c r="AP4269" i="4"/>
  <c r="AO4269" i="4"/>
  <c r="AN4269" i="4"/>
  <c r="AM4269" i="4"/>
  <c r="BH4269" i="4"/>
  <c r="AX4268" i="4"/>
  <c r="AW4268" i="4"/>
  <c r="AV4268" i="4"/>
  <c r="AP4268" i="4"/>
  <c r="AO4268" i="4"/>
  <c r="AN4268" i="4"/>
  <c r="AM4268" i="4"/>
  <c r="BH4268" i="4"/>
  <c r="AX4267" i="4"/>
  <c r="AW4267" i="4"/>
  <c r="AV4267" i="4"/>
  <c r="AP4267" i="4"/>
  <c r="AO4267" i="4"/>
  <c r="AN4267" i="4"/>
  <c r="AM4267" i="4"/>
  <c r="BH4267" i="4"/>
  <c r="AX4266" i="4"/>
  <c r="AW4266" i="4"/>
  <c r="AV4266" i="4"/>
  <c r="AP4266" i="4"/>
  <c r="AO4266" i="4"/>
  <c r="AN4266" i="4"/>
  <c r="AM4266" i="4"/>
  <c r="BH4266" i="4"/>
  <c r="AX4265" i="4"/>
  <c r="AW4265" i="4"/>
  <c r="AV4265" i="4"/>
  <c r="AP4265" i="4"/>
  <c r="AO4265" i="4"/>
  <c r="AN4265" i="4"/>
  <c r="AM4265" i="4"/>
  <c r="BH4265" i="4"/>
  <c r="AX4264" i="4"/>
  <c r="AW4264" i="4"/>
  <c r="AV4264" i="4"/>
  <c r="AP4264" i="4"/>
  <c r="AO4264" i="4"/>
  <c r="AN4264" i="4"/>
  <c r="AM4264" i="4"/>
  <c r="BH4264" i="4"/>
  <c r="AX4263" i="4"/>
  <c r="AW4263" i="4"/>
  <c r="AV4263" i="4"/>
  <c r="AP4263" i="4"/>
  <c r="AO4263" i="4"/>
  <c r="AN4263" i="4"/>
  <c r="AM4263" i="4"/>
  <c r="BH4263" i="4"/>
  <c r="AX4262" i="4"/>
  <c r="AW4262" i="4"/>
  <c r="AV4262" i="4"/>
  <c r="AP4262" i="4"/>
  <c r="AO4262" i="4"/>
  <c r="AN4262" i="4"/>
  <c r="AM4262" i="4"/>
  <c r="BH4262" i="4"/>
  <c r="AX4261" i="4"/>
  <c r="AW4261" i="4"/>
  <c r="AV4261" i="4"/>
  <c r="AP4261" i="4"/>
  <c r="AO4261" i="4"/>
  <c r="AN4261" i="4"/>
  <c r="AM4261" i="4"/>
  <c r="BH4261" i="4"/>
  <c r="AX4260" i="4"/>
  <c r="AW4260" i="4"/>
  <c r="AV4260" i="4"/>
  <c r="AP4260" i="4"/>
  <c r="AO4260" i="4"/>
  <c r="AN4260" i="4"/>
  <c r="AM4260" i="4"/>
  <c r="BH4260" i="4"/>
  <c r="AX4259" i="4"/>
  <c r="AW4259" i="4"/>
  <c r="AV4259" i="4"/>
  <c r="AP4259" i="4"/>
  <c r="AO4259" i="4"/>
  <c r="AN4259" i="4"/>
  <c r="AM4259" i="4"/>
  <c r="BH4259" i="4"/>
  <c r="AX4258" i="4"/>
  <c r="AW4258" i="4"/>
  <c r="AV4258" i="4"/>
  <c r="AP4258" i="4"/>
  <c r="AO4258" i="4"/>
  <c r="AN4258" i="4"/>
  <c r="AM4258" i="4"/>
  <c r="BH4258" i="4"/>
  <c r="AX4257" i="4"/>
  <c r="AW4257" i="4"/>
  <c r="AV4257" i="4"/>
  <c r="AP4257" i="4"/>
  <c r="AO4257" i="4"/>
  <c r="AN4257" i="4"/>
  <c r="AM4257" i="4"/>
  <c r="BH4257" i="4"/>
  <c r="AX4256" i="4"/>
  <c r="AW4256" i="4"/>
  <c r="AV4256" i="4"/>
  <c r="AP4256" i="4"/>
  <c r="AO4256" i="4"/>
  <c r="AN4256" i="4"/>
  <c r="AM4256" i="4"/>
  <c r="BH4256" i="4"/>
  <c r="AX4255" i="4"/>
  <c r="AW4255" i="4"/>
  <c r="AV4255" i="4"/>
  <c r="AP4255" i="4"/>
  <c r="AO4255" i="4"/>
  <c r="AN4255" i="4"/>
  <c r="AM4255" i="4"/>
  <c r="BH4255" i="4"/>
  <c r="AX4254" i="4"/>
  <c r="AW4254" i="4"/>
  <c r="AV4254" i="4"/>
  <c r="AP4254" i="4"/>
  <c r="AO4254" i="4"/>
  <c r="AN4254" i="4"/>
  <c r="AM4254" i="4"/>
  <c r="BH4254" i="4"/>
  <c r="AX4253" i="4"/>
  <c r="AW4253" i="4"/>
  <c r="AV4253" i="4"/>
  <c r="AP4253" i="4"/>
  <c r="AO4253" i="4"/>
  <c r="AN4253" i="4"/>
  <c r="AM4253" i="4"/>
  <c r="BH4253" i="4"/>
  <c r="AX4252" i="4"/>
  <c r="AW4252" i="4"/>
  <c r="AV4252" i="4"/>
  <c r="AP4252" i="4"/>
  <c r="AO4252" i="4"/>
  <c r="AN4252" i="4"/>
  <c r="AM4252" i="4"/>
  <c r="BH4252" i="4"/>
  <c r="AX4251" i="4"/>
  <c r="AW4251" i="4"/>
  <c r="AV4251" i="4"/>
  <c r="AP4251" i="4"/>
  <c r="AO4251" i="4"/>
  <c r="AN4251" i="4"/>
  <c r="AM4251" i="4"/>
  <c r="BH4251" i="4"/>
  <c r="AX4250" i="4"/>
  <c r="AW4250" i="4"/>
  <c r="AV4250" i="4"/>
  <c r="AP4250" i="4"/>
  <c r="AO4250" i="4"/>
  <c r="AN4250" i="4"/>
  <c r="AM4250" i="4"/>
  <c r="BH4250" i="4"/>
  <c r="AX4249" i="4"/>
  <c r="AW4249" i="4"/>
  <c r="AV4249" i="4"/>
  <c r="AP4249" i="4"/>
  <c r="AO4249" i="4"/>
  <c r="AN4249" i="4"/>
  <c r="AM4249" i="4"/>
  <c r="BH4249" i="4"/>
  <c r="AX4248" i="4"/>
  <c r="AW4248" i="4"/>
  <c r="AV4248" i="4"/>
  <c r="AP4248" i="4"/>
  <c r="AO4248" i="4"/>
  <c r="AN4248" i="4"/>
  <c r="AM4248" i="4"/>
  <c r="BH4248" i="4"/>
  <c r="AX4247" i="4"/>
  <c r="AW4247" i="4"/>
  <c r="AV4247" i="4"/>
  <c r="AP4247" i="4"/>
  <c r="AO4247" i="4"/>
  <c r="AN4247" i="4"/>
  <c r="AM4247" i="4"/>
  <c r="BH4247" i="4"/>
  <c r="AX4246" i="4"/>
  <c r="AW4246" i="4"/>
  <c r="AV4246" i="4"/>
  <c r="AP4246" i="4"/>
  <c r="AO4246" i="4"/>
  <c r="AN4246" i="4"/>
  <c r="AM4246" i="4"/>
  <c r="BH4246" i="4"/>
  <c r="AX4245" i="4"/>
  <c r="AW4245" i="4"/>
  <c r="AV4245" i="4"/>
  <c r="AP4245" i="4"/>
  <c r="AO4245" i="4"/>
  <c r="AN4245" i="4"/>
  <c r="AM4245" i="4"/>
  <c r="BH4245" i="4"/>
  <c r="AX4244" i="4"/>
  <c r="AW4244" i="4"/>
  <c r="AV4244" i="4"/>
  <c r="AP4244" i="4"/>
  <c r="AO4244" i="4"/>
  <c r="AN4244" i="4"/>
  <c r="AM4244" i="4"/>
  <c r="BH4244" i="4"/>
  <c r="AX4243" i="4"/>
  <c r="AW4243" i="4"/>
  <c r="AV4243" i="4"/>
  <c r="AP4243" i="4"/>
  <c r="AO4243" i="4"/>
  <c r="AN4243" i="4"/>
  <c r="AM4243" i="4"/>
  <c r="BH4243" i="4"/>
  <c r="AX4242" i="4"/>
  <c r="AW4242" i="4"/>
  <c r="AV4242" i="4"/>
  <c r="AP4242" i="4"/>
  <c r="AO4242" i="4"/>
  <c r="AN4242" i="4"/>
  <c r="AM4242" i="4"/>
  <c r="BH4242" i="4"/>
  <c r="AX4241" i="4"/>
  <c r="AW4241" i="4"/>
  <c r="AV4241" i="4"/>
  <c r="AP4241" i="4"/>
  <c r="AO4241" i="4"/>
  <c r="AN4241" i="4"/>
  <c r="AM4241" i="4"/>
  <c r="BH4241" i="4"/>
  <c r="AX4240" i="4"/>
  <c r="AW4240" i="4"/>
  <c r="AV4240" i="4"/>
  <c r="AP4240" i="4"/>
  <c r="AO4240" i="4"/>
  <c r="AN4240" i="4"/>
  <c r="AM4240" i="4"/>
  <c r="BH4240" i="4"/>
  <c r="AX4239" i="4"/>
  <c r="AW4239" i="4"/>
  <c r="AV4239" i="4"/>
  <c r="AP4239" i="4"/>
  <c r="AO4239" i="4"/>
  <c r="AN4239" i="4"/>
  <c r="AM4239" i="4"/>
  <c r="BH4239" i="4"/>
  <c r="AX4238" i="4"/>
  <c r="AW4238" i="4"/>
  <c r="AV4238" i="4"/>
  <c r="AP4238" i="4"/>
  <c r="AO4238" i="4"/>
  <c r="AN4238" i="4"/>
  <c r="AM4238" i="4"/>
  <c r="BH4238" i="4"/>
  <c r="AX4237" i="4"/>
  <c r="AW4237" i="4"/>
  <c r="AV4237" i="4"/>
  <c r="AP4237" i="4"/>
  <c r="AO4237" i="4"/>
  <c r="AN4237" i="4"/>
  <c r="AM4237" i="4"/>
  <c r="BH4237" i="4"/>
  <c r="AX4236" i="4"/>
  <c r="AW4236" i="4"/>
  <c r="AV4236" i="4"/>
  <c r="AP4236" i="4"/>
  <c r="AO4236" i="4"/>
  <c r="AN4236" i="4"/>
  <c r="AM4236" i="4"/>
  <c r="BH4236" i="4"/>
  <c r="AX4235" i="4"/>
  <c r="AW4235" i="4"/>
  <c r="AV4235" i="4"/>
  <c r="AP4235" i="4"/>
  <c r="AO4235" i="4"/>
  <c r="AN4235" i="4"/>
  <c r="AM4235" i="4"/>
  <c r="BH4235" i="4"/>
  <c r="AX4234" i="4"/>
  <c r="AW4234" i="4"/>
  <c r="AV4234" i="4"/>
  <c r="AP4234" i="4"/>
  <c r="AO4234" i="4"/>
  <c r="AN4234" i="4"/>
  <c r="AM4234" i="4"/>
  <c r="BH4234" i="4"/>
  <c r="AX4233" i="4"/>
  <c r="AW4233" i="4"/>
  <c r="AV4233" i="4"/>
  <c r="AP4233" i="4"/>
  <c r="AO4233" i="4"/>
  <c r="AN4233" i="4"/>
  <c r="AM4233" i="4"/>
  <c r="BH4233" i="4"/>
  <c r="AX4232" i="4"/>
  <c r="AW4232" i="4"/>
  <c r="AV4232" i="4"/>
  <c r="AP4232" i="4"/>
  <c r="AO4232" i="4"/>
  <c r="AN4232" i="4"/>
  <c r="AM4232" i="4"/>
  <c r="BH4232" i="4"/>
  <c r="AX4231" i="4"/>
  <c r="AW4231" i="4"/>
  <c r="AV4231" i="4"/>
  <c r="AP4231" i="4"/>
  <c r="AO4231" i="4"/>
  <c r="AN4231" i="4"/>
  <c r="AM4231" i="4"/>
  <c r="BH4231" i="4"/>
  <c r="AX4230" i="4"/>
  <c r="AW4230" i="4"/>
  <c r="AV4230" i="4"/>
  <c r="AP4230" i="4"/>
  <c r="AO4230" i="4"/>
  <c r="AN4230" i="4"/>
  <c r="AM4230" i="4"/>
  <c r="BH4230" i="4"/>
  <c r="AX4229" i="4"/>
  <c r="AW4229" i="4"/>
  <c r="AV4229" i="4"/>
  <c r="AP4229" i="4"/>
  <c r="AO4229" i="4"/>
  <c r="AN4229" i="4"/>
  <c r="AM4229" i="4"/>
  <c r="BH4229" i="4"/>
  <c r="AX4228" i="4"/>
  <c r="AW4228" i="4"/>
  <c r="AV4228" i="4"/>
  <c r="AP4228" i="4"/>
  <c r="AO4228" i="4"/>
  <c r="AN4228" i="4"/>
  <c r="AM4228" i="4"/>
  <c r="BH4228" i="4"/>
  <c r="AX4227" i="4"/>
  <c r="AW4227" i="4"/>
  <c r="AV4227" i="4"/>
  <c r="AP4227" i="4"/>
  <c r="AO4227" i="4"/>
  <c r="AN4227" i="4"/>
  <c r="AM4227" i="4"/>
  <c r="BH4227" i="4"/>
  <c r="AX4226" i="4"/>
  <c r="AW4226" i="4"/>
  <c r="AV4226" i="4"/>
  <c r="AP4226" i="4"/>
  <c r="AO4226" i="4"/>
  <c r="AN4226" i="4"/>
  <c r="AM4226" i="4"/>
  <c r="BH4226" i="4"/>
  <c r="AX4225" i="4"/>
  <c r="AW4225" i="4"/>
  <c r="AV4225" i="4"/>
  <c r="AP4225" i="4"/>
  <c r="AO4225" i="4"/>
  <c r="AN4225" i="4"/>
  <c r="AM4225" i="4"/>
  <c r="BH4225" i="4"/>
  <c r="AX4224" i="4"/>
  <c r="AW4224" i="4"/>
  <c r="AV4224" i="4"/>
  <c r="AP4224" i="4"/>
  <c r="AO4224" i="4"/>
  <c r="AN4224" i="4"/>
  <c r="AM4224" i="4"/>
  <c r="BH4224" i="4"/>
  <c r="AX4223" i="4"/>
  <c r="AW4223" i="4"/>
  <c r="AV4223" i="4"/>
  <c r="AP4223" i="4"/>
  <c r="AO4223" i="4"/>
  <c r="AN4223" i="4"/>
  <c r="AM4223" i="4"/>
  <c r="BH4223" i="4"/>
  <c r="AX4222" i="4"/>
  <c r="AW4222" i="4"/>
  <c r="AV4222" i="4"/>
  <c r="AP4222" i="4"/>
  <c r="AO4222" i="4"/>
  <c r="AN4222" i="4"/>
  <c r="AM4222" i="4"/>
  <c r="BH4222" i="4"/>
  <c r="AX4221" i="4"/>
  <c r="AW4221" i="4"/>
  <c r="AV4221" i="4"/>
  <c r="AP4221" i="4"/>
  <c r="AO4221" i="4"/>
  <c r="AN4221" i="4"/>
  <c r="AM4221" i="4"/>
  <c r="BH4221" i="4"/>
  <c r="AX4220" i="4"/>
  <c r="AW4220" i="4"/>
  <c r="AV4220" i="4"/>
  <c r="AP4220" i="4"/>
  <c r="AO4220" i="4"/>
  <c r="AN4220" i="4"/>
  <c r="AM4220" i="4"/>
  <c r="BH4220" i="4"/>
  <c r="AX4219" i="4"/>
  <c r="AW4219" i="4"/>
  <c r="AV4219" i="4"/>
  <c r="AP4219" i="4"/>
  <c r="AO4219" i="4"/>
  <c r="AN4219" i="4"/>
  <c r="AM4219" i="4"/>
  <c r="BH4219" i="4"/>
  <c r="AX4218" i="4"/>
  <c r="AW4218" i="4"/>
  <c r="AV4218" i="4"/>
  <c r="AP4218" i="4"/>
  <c r="AO4218" i="4"/>
  <c r="AN4218" i="4"/>
  <c r="AM4218" i="4"/>
  <c r="BH4218" i="4"/>
  <c r="AX4217" i="4"/>
  <c r="AW4217" i="4"/>
  <c r="AV4217" i="4"/>
  <c r="AP4217" i="4"/>
  <c r="AO4217" i="4"/>
  <c r="AN4217" i="4"/>
  <c r="AM4217" i="4"/>
  <c r="BH4217" i="4"/>
  <c r="AX4216" i="4"/>
  <c r="AW4216" i="4"/>
  <c r="AV4216" i="4"/>
  <c r="AP4216" i="4"/>
  <c r="AO4216" i="4"/>
  <c r="AN4216" i="4"/>
  <c r="AM4216" i="4"/>
  <c r="BH4216" i="4"/>
  <c r="AX4215" i="4"/>
  <c r="AW4215" i="4"/>
  <c r="AV4215" i="4"/>
  <c r="AP4215" i="4"/>
  <c r="AO4215" i="4"/>
  <c r="AN4215" i="4"/>
  <c r="AM4215" i="4"/>
  <c r="BH4215" i="4"/>
  <c r="AX4214" i="4"/>
  <c r="AW4214" i="4"/>
  <c r="AV4214" i="4"/>
  <c r="AP4214" i="4"/>
  <c r="AO4214" i="4"/>
  <c r="AN4214" i="4"/>
  <c r="AM4214" i="4"/>
  <c r="BH4214" i="4"/>
  <c r="AX4213" i="4"/>
  <c r="AW4213" i="4"/>
  <c r="AV4213" i="4"/>
  <c r="AP4213" i="4"/>
  <c r="AO4213" i="4"/>
  <c r="AN4213" i="4"/>
  <c r="AM4213" i="4"/>
  <c r="BH4213" i="4"/>
  <c r="AX4212" i="4"/>
  <c r="AW4212" i="4"/>
  <c r="AV4212" i="4"/>
  <c r="AP4212" i="4"/>
  <c r="AO4212" i="4"/>
  <c r="AN4212" i="4"/>
  <c r="AM4212" i="4"/>
  <c r="BH4212" i="4"/>
  <c r="AX4211" i="4"/>
  <c r="AW4211" i="4"/>
  <c r="AV4211" i="4"/>
  <c r="AP4211" i="4"/>
  <c r="AO4211" i="4"/>
  <c r="AN4211" i="4"/>
  <c r="AM4211" i="4"/>
  <c r="BH4211" i="4"/>
  <c r="AX4210" i="4"/>
  <c r="AW4210" i="4"/>
  <c r="AV4210" i="4"/>
  <c r="AP4210" i="4"/>
  <c r="AO4210" i="4"/>
  <c r="AN4210" i="4"/>
  <c r="AM4210" i="4"/>
  <c r="BH4210" i="4"/>
  <c r="AX4209" i="4"/>
  <c r="AW4209" i="4"/>
  <c r="AV4209" i="4"/>
  <c r="AP4209" i="4"/>
  <c r="AO4209" i="4"/>
  <c r="AN4209" i="4"/>
  <c r="AM4209" i="4"/>
  <c r="BH4209" i="4"/>
  <c r="AX4208" i="4"/>
  <c r="AW4208" i="4"/>
  <c r="AV4208" i="4"/>
  <c r="AP4208" i="4"/>
  <c r="AO4208" i="4"/>
  <c r="AN4208" i="4"/>
  <c r="AM4208" i="4"/>
  <c r="BH4208" i="4"/>
  <c r="AX4207" i="4"/>
  <c r="AW4207" i="4"/>
  <c r="AV4207" i="4"/>
  <c r="AP4207" i="4"/>
  <c r="AO4207" i="4"/>
  <c r="AN4207" i="4"/>
  <c r="AM4207" i="4"/>
  <c r="BH4207" i="4"/>
  <c r="AX4206" i="4"/>
  <c r="AW4206" i="4"/>
  <c r="AV4206" i="4"/>
  <c r="AP4206" i="4"/>
  <c r="AO4206" i="4"/>
  <c r="AN4206" i="4"/>
  <c r="AM4206" i="4"/>
  <c r="BH4206" i="4"/>
  <c r="AX4205" i="4"/>
  <c r="AW4205" i="4"/>
  <c r="AV4205" i="4"/>
  <c r="AP4205" i="4"/>
  <c r="AO4205" i="4"/>
  <c r="AN4205" i="4"/>
  <c r="AM4205" i="4"/>
  <c r="BH4205" i="4"/>
  <c r="AX4204" i="4"/>
  <c r="AW4204" i="4"/>
  <c r="AV4204" i="4"/>
  <c r="AP4204" i="4"/>
  <c r="AO4204" i="4"/>
  <c r="AN4204" i="4"/>
  <c r="AM4204" i="4"/>
  <c r="BH4204" i="4"/>
  <c r="AX4203" i="4"/>
  <c r="AW4203" i="4"/>
  <c r="AV4203" i="4"/>
  <c r="AP4203" i="4"/>
  <c r="AO4203" i="4"/>
  <c r="AN4203" i="4"/>
  <c r="AM4203" i="4"/>
  <c r="BH4203" i="4"/>
  <c r="AX4202" i="4"/>
  <c r="AW4202" i="4"/>
  <c r="AV4202" i="4"/>
  <c r="AP4202" i="4"/>
  <c r="AO4202" i="4"/>
  <c r="AN4202" i="4"/>
  <c r="AM4202" i="4"/>
  <c r="BH4202" i="4"/>
  <c r="AX4201" i="4"/>
  <c r="AW4201" i="4"/>
  <c r="AV4201" i="4"/>
  <c r="AP4201" i="4"/>
  <c r="AO4201" i="4"/>
  <c r="AN4201" i="4"/>
  <c r="AM4201" i="4"/>
  <c r="BH4201" i="4"/>
  <c r="AX4200" i="4"/>
  <c r="AW4200" i="4"/>
  <c r="AV4200" i="4"/>
  <c r="AP4200" i="4"/>
  <c r="AO4200" i="4"/>
  <c r="AN4200" i="4"/>
  <c r="AM4200" i="4"/>
  <c r="BH4200" i="4"/>
  <c r="AX4199" i="4"/>
  <c r="AW4199" i="4"/>
  <c r="AV4199" i="4"/>
  <c r="AP4199" i="4"/>
  <c r="AO4199" i="4"/>
  <c r="AN4199" i="4"/>
  <c r="AM4199" i="4"/>
  <c r="BH4199" i="4"/>
  <c r="AX4198" i="4"/>
  <c r="AW4198" i="4"/>
  <c r="AV4198" i="4"/>
  <c r="AP4198" i="4"/>
  <c r="AO4198" i="4"/>
  <c r="AN4198" i="4"/>
  <c r="AM4198" i="4"/>
  <c r="BH4198" i="4"/>
  <c r="AX4197" i="4"/>
  <c r="AW4197" i="4"/>
  <c r="AV4197" i="4"/>
  <c r="AP4197" i="4"/>
  <c r="AO4197" i="4"/>
  <c r="AN4197" i="4"/>
  <c r="AM4197" i="4"/>
  <c r="BH4197" i="4"/>
  <c r="AX4196" i="4"/>
  <c r="AW4196" i="4"/>
  <c r="AV4196" i="4"/>
  <c r="AP4196" i="4"/>
  <c r="AO4196" i="4"/>
  <c r="AN4196" i="4"/>
  <c r="AM4196" i="4"/>
  <c r="BH4196" i="4"/>
  <c r="AX4195" i="4"/>
  <c r="AW4195" i="4"/>
  <c r="AV4195" i="4"/>
  <c r="AP4195" i="4"/>
  <c r="AO4195" i="4"/>
  <c r="AN4195" i="4"/>
  <c r="AM4195" i="4"/>
  <c r="BH4195" i="4"/>
  <c r="AX4194" i="4"/>
  <c r="AW4194" i="4"/>
  <c r="AV4194" i="4"/>
  <c r="AP4194" i="4"/>
  <c r="AO4194" i="4"/>
  <c r="AN4194" i="4"/>
  <c r="AM4194" i="4"/>
  <c r="BH4194" i="4"/>
  <c r="AX4193" i="4"/>
  <c r="AW4193" i="4"/>
  <c r="AV4193" i="4"/>
  <c r="AP4193" i="4"/>
  <c r="AO4193" i="4"/>
  <c r="AN4193" i="4"/>
  <c r="AM4193" i="4"/>
  <c r="BH4193" i="4"/>
  <c r="AX4192" i="4"/>
  <c r="AW4192" i="4"/>
  <c r="AV4192" i="4"/>
  <c r="AP4192" i="4"/>
  <c r="AO4192" i="4"/>
  <c r="AN4192" i="4"/>
  <c r="AM4192" i="4"/>
  <c r="BH4192" i="4"/>
  <c r="AX4191" i="4"/>
  <c r="AW4191" i="4"/>
  <c r="AV4191" i="4"/>
  <c r="AP4191" i="4"/>
  <c r="AO4191" i="4"/>
  <c r="AN4191" i="4"/>
  <c r="AM4191" i="4"/>
  <c r="BH4191" i="4"/>
  <c r="AX4190" i="4"/>
  <c r="AW4190" i="4"/>
  <c r="AV4190" i="4"/>
  <c r="AP4190" i="4"/>
  <c r="AO4190" i="4"/>
  <c r="AN4190" i="4"/>
  <c r="AM4190" i="4"/>
  <c r="BH4190" i="4"/>
  <c r="AX4189" i="4"/>
  <c r="AW4189" i="4"/>
  <c r="AV4189" i="4"/>
  <c r="AP4189" i="4"/>
  <c r="AO4189" i="4"/>
  <c r="AN4189" i="4"/>
  <c r="AM4189" i="4"/>
  <c r="BH4189" i="4"/>
  <c r="AX4188" i="4"/>
  <c r="AW4188" i="4"/>
  <c r="AV4188" i="4"/>
  <c r="AP4188" i="4"/>
  <c r="AO4188" i="4"/>
  <c r="AN4188" i="4"/>
  <c r="AM4188" i="4"/>
  <c r="BH4188" i="4"/>
  <c r="AX4187" i="4"/>
  <c r="AW4187" i="4"/>
  <c r="AV4187" i="4"/>
  <c r="AP4187" i="4"/>
  <c r="AO4187" i="4"/>
  <c r="AN4187" i="4"/>
  <c r="AM4187" i="4"/>
  <c r="BH4187" i="4"/>
  <c r="AX4186" i="4"/>
  <c r="AW4186" i="4"/>
  <c r="AV4186" i="4"/>
  <c r="AP4186" i="4"/>
  <c r="AO4186" i="4"/>
  <c r="AN4186" i="4"/>
  <c r="AM4186" i="4"/>
  <c r="BH4186" i="4"/>
  <c r="AX4185" i="4"/>
  <c r="AW4185" i="4"/>
  <c r="AV4185" i="4"/>
  <c r="AP4185" i="4"/>
  <c r="AO4185" i="4"/>
  <c r="AN4185" i="4"/>
  <c r="AM4185" i="4"/>
  <c r="BH4185" i="4"/>
  <c r="AX4184" i="4"/>
  <c r="AW4184" i="4"/>
  <c r="AV4184" i="4"/>
  <c r="AP4184" i="4"/>
  <c r="AO4184" i="4"/>
  <c r="AN4184" i="4"/>
  <c r="AM4184" i="4"/>
  <c r="BH4184" i="4"/>
  <c r="AX4183" i="4"/>
  <c r="AW4183" i="4"/>
  <c r="AV4183" i="4"/>
  <c r="AP4183" i="4"/>
  <c r="AO4183" i="4"/>
  <c r="AN4183" i="4"/>
  <c r="AM4183" i="4"/>
  <c r="BH4183" i="4"/>
  <c r="AX4182" i="4"/>
  <c r="AW4182" i="4"/>
  <c r="AV4182" i="4"/>
  <c r="AP4182" i="4"/>
  <c r="AO4182" i="4"/>
  <c r="AN4182" i="4"/>
  <c r="AM4182" i="4"/>
  <c r="BH4182" i="4"/>
  <c r="AX4181" i="4"/>
  <c r="AW4181" i="4"/>
  <c r="AV4181" i="4"/>
  <c r="AP4181" i="4"/>
  <c r="AO4181" i="4"/>
  <c r="AN4181" i="4"/>
  <c r="AM4181" i="4"/>
  <c r="BH4181" i="4"/>
  <c r="AX4180" i="4"/>
  <c r="AW4180" i="4"/>
  <c r="AV4180" i="4"/>
  <c r="AP4180" i="4"/>
  <c r="AO4180" i="4"/>
  <c r="AN4180" i="4"/>
  <c r="AM4180" i="4"/>
  <c r="BH4180" i="4"/>
  <c r="AX4179" i="4"/>
  <c r="AW4179" i="4"/>
  <c r="AV4179" i="4"/>
  <c r="AP4179" i="4"/>
  <c r="AO4179" i="4"/>
  <c r="AN4179" i="4"/>
  <c r="AM4179" i="4"/>
  <c r="BH4179" i="4"/>
  <c r="AX4178" i="4"/>
  <c r="AW4178" i="4"/>
  <c r="AV4178" i="4"/>
  <c r="AP4178" i="4"/>
  <c r="AO4178" i="4"/>
  <c r="AN4178" i="4"/>
  <c r="AM4178" i="4"/>
  <c r="BH4178" i="4"/>
  <c r="AX4177" i="4"/>
  <c r="AW4177" i="4"/>
  <c r="AV4177" i="4"/>
  <c r="AP4177" i="4"/>
  <c r="AO4177" i="4"/>
  <c r="AN4177" i="4"/>
  <c r="AM4177" i="4"/>
  <c r="BH4177" i="4"/>
  <c r="AX4176" i="4"/>
  <c r="AW4176" i="4"/>
  <c r="AV4176" i="4"/>
  <c r="AP4176" i="4"/>
  <c r="AO4176" i="4"/>
  <c r="AN4176" i="4"/>
  <c r="AM4176" i="4"/>
  <c r="BH4176" i="4"/>
  <c r="AX4175" i="4"/>
  <c r="AW4175" i="4"/>
  <c r="AV4175" i="4"/>
  <c r="AP4175" i="4"/>
  <c r="AO4175" i="4"/>
  <c r="AN4175" i="4"/>
  <c r="AM4175" i="4"/>
  <c r="BH4175" i="4"/>
  <c r="AX4174" i="4"/>
  <c r="AW4174" i="4"/>
  <c r="AV4174" i="4"/>
  <c r="AP4174" i="4"/>
  <c r="AO4174" i="4"/>
  <c r="AN4174" i="4"/>
  <c r="AM4174" i="4"/>
  <c r="BH4174" i="4"/>
  <c r="AX4173" i="4"/>
  <c r="AW4173" i="4"/>
  <c r="AV4173" i="4"/>
  <c r="AP4173" i="4"/>
  <c r="AO4173" i="4"/>
  <c r="AN4173" i="4"/>
  <c r="AM4173" i="4"/>
  <c r="BH4173" i="4"/>
  <c r="AX4172" i="4"/>
  <c r="AW4172" i="4"/>
  <c r="AV4172" i="4"/>
  <c r="AP4172" i="4"/>
  <c r="AO4172" i="4"/>
  <c r="AN4172" i="4"/>
  <c r="AM4172" i="4"/>
  <c r="BH4172" i="4"/>
  <c r="AX4171" i="4"/>
  <c r="AW4171" i="4"/>
  <c r="AV4171" i="4"/>
  <c r="AP4171" i="4"/>
  <c r="AO4171" i="4"/>
  <c r="AN4171" i="4"/>
  <c r="AM4171" i="4"/>
  <c r="BH4171" i="4"/>
  <c r="AX4170" i="4"/>
  <c r="AW4170" i="4"/>
  <c r="AV4170" i="4"/>
  <c r="AP4170" i="4"/>
  <c r="AO4170" i="4"/>
  <c r="AN4170" i="4"/>
  <c r="AM4170" i="4"/>
  <c r="BH4170" i="4"/>
  <c r="AX4169" i="4"/>
  <c r="AW4169" i="4"/>
  <c r="AV4169" i="4"/>
  <c r="AP4169" i="4"/>
  <c r="AO4169" i="4"/>
  <c r="AN4169" i="4"/>
  <c r="AM4169" i="4"/>
  <c r="BH4169" i="4"/>
  <c r="AX4168" i="4"/>
  <c r="AW4168" i="4"/>
  <c r="AV4168" i="4"/>
  <c r="AP4168" i="4"/>
  <c r="AO4168" i="4"/>
  <c r="AN4168" i="4"/>
  <c r="AM4168" i="4"/>
  <c r="BH4168" i="4"/>
  <c r="AX4167" i="4"/>
  <c r="AW4167" i="4"/>
  <c r="AV4167" i="4"/>
  <c r="AP4167" i="4"/>
  <c r="AO4167" i="4"/>
  <c r="AN4167" i="4"/>
  <c r="AM4167" i="4"/>
  <c r="BH4167" i="4"/>
  <c r="AX4166" i="4"/>
  <c r="AW4166" i="4"/>
  <c r="AV4166" i="4"/>
  <c r="AP4166" i="4"/>
  <c r="AO4166" i="4"/>
  <c r="AN4166" i="4"/>
  <c r="AM4166" i="4"/>
  <c r="BH4166" i="4"/>
  <c r="AX4165" i="4"/>
  <c r="AW4165" i="4"/>
  <c r="AV4165" i="4"/>
  <c r="AP4165" i="4"/>
  <c r="AO4165" i="4"/>
  <c r="AN4165" i="4"/>
  <c r="AM4165" i="4"/>
  <c r="BH4165" i="4"/>
  <c r="AX4164" i="4"/>
  <c r="AW4164" i="4"/>
  <c r="AV4164" i="4"/>
  <c r="AP4164" i="4"/>
  <c r="AO4164" i="4"/>
  <c r="AN4164" i="4"/>
  <c r="AM4164" i="4"/>
  <c r="BH4164" i="4"/>
  <c r="AX4163" i="4"/>
  <c r="AW4163" i="4"/>
  <c r="AV4163" i="4"/>
  <c r="AP4163" i="4"/>
  <c r="AO4163" i="4"/>
  <c r="AN4163" i="4"/>
  <c r="AM4163" i="4"/>
  <c r="BH4163" i="4"/>
  <c r="AX4162" i="4"/>
  <c r="AW4162" i="4"/>
  <c r="AV4162" i="4"/>
  <c r="AP4162" i="4"/>
  <c r="AO4162" i="4"/>
  <c r="AN4162" i="4"/>
  <c r="AM4162" i="4"/>
  <c r="BH4162" i="4"/>
  <c r="AX4161" i="4"/>
  <c r="AW4161" i="4"/>
  <c r="AV4161" i="4"/>
  <c r="AP4161" i="4"/>
  <c r="AO4161" i="4"/>
  <c r="AN4161" i="4"/>
  <c r="AM4161" i="4"/>
  <c r="BH4161" i="4"/>
  <c r="AX4160" i="4"/>
  <c r="AW4160" i="4"/>
  <c r="AV4160" i="4"/>
  <c r="AP4160" i="4"/>
  <c r="AO4160" i="4"/>
  <c r="AN4160" i="4"/>
  <c r="AM4160" i="4"/>
  <c r="BH4160" i="4"/>
  <c r="AX4159" i="4"/>
  <c r="AW4159" i="4"/>
  <c r="AV4159" i="4"/>
  <c r="AP4159" i="4"/>
  <c r="AO4159" i="4"/>
  <c r="AN4159" i="4"/>
  <c r="AM4159" i="4"/>
  <c r="BH4159" i="4"/>
  <c r="AX4158" i="4"/>
  <c r="AW4158" i="4"/>
  <c r="AV4158" i="4"/>
  <c r="AP4158" i="4"/>
  <c r="AO4158" i="4"/>
  <c r="AN4158" i="4"/>
  <c r="AM4158" i="4"/>
  <c r="BH4158" i="4"/>
  <c r="AX4157" i="4"/>
  <c r="AW4157" i="4"/>
  <c r="AV4157" i="4"/>
  <c r="AP4157" i="4"/>
  <c r="AO4157" i="4"/>
  <c r="AN4157" i="4"/>
  <c r="AM4157" i="4"/>
  <c r="BH4157" i="4"/>
  <c r="AX4156" i="4"/>
  <c r="AW4156" i="4"/>
  <c r="AV4156" i="4"/>
  <c r="AP4156" i="4"/>
  <c r="AO4156" i="4"/>
  <c r="AN4156" i="4"/>
  <c r="AM4156" i="4"/>
  <c r="BH4156" i="4"/>
  <c r="AX4155" i="4"/>
  <c r="AW4155" i="4"/>
  <c r="AV4155" i="4"/>
  <c r="AP4155" i="4"/>
  <c r="AO4155" i="4"/>
  <c r="AN4155" i="4"/>
  <c r="AM4155" i="4"/>
  <c r="BH4155" i="4"/>
  <c r="AX4154" i="4"/>
  <c r="AW4154" i="4"/>
  <c r="AV4154" i="4"/>
  <c r="AP4154" i="4"/>
  <c r="AO4154" i="4"/>
  <c r="AN4154" i="4"/>
  <c r="AM4154" i="4"/>
  <c r="BH4154" i="4"/>
  <c r="AX4153" i="4"/>
  <c r="AW4153" i="4"/>
  <c r="AV4153" i="4"/>
  <c r="AP4153" i="4"/>
  <c r="AO4153" i="4"/>
  <c r="AN4153" i="4"/>
  <c r="AM4153" i="4"/>
  <c r="BH4153" i="4"/>
  <c r="AX4152" i="4"/>
  <c r="AW4152" i="4"/>
  <c r="AV4152" i="4"/>
  <c r="AP4152" i="4"/>
  <c r="AO4152" i="4"/>
  <c r="AN4152" i="4"/>
  <c r="AM4152" i="4"/>
  <c r="BH4152" i="4"/>
  <c r="AX4151" i="4"/>
  <c r="AW4151" i="4"/>
  <c r="AV4151" i="4"/>
  <c r="AP4151" i="4"/>
  <c r="AO4151" i="4"/>
  <c r="AN4151" i="4"/>
  <c r="AM4151" i="4"/>
  <c r="BH4151" i="4"/>
  <c r="AX4150" i="4"/>
  <c r="AW4150" i="4"/>
  <c r="AV4150" i="4"/>
  <c r="AP4150" i="4"/>
  <c r="AO4150" i="4"/>
  <c r="AN4150" i="4"/>
  <c r="AM4150" i="4"/>
  <c r="BH4150" i="4"/>
  <c r="AX4149" i="4"/>
  <c r="AW4149" i="4"/>
  <c r="AV4149" i="4"/>
  <c r="AP4149" i="4"/>
  <c r="AO4149" i="4"/>
  <c r="AN4149" i="4"/>
  <c r="AM4149" i="4"/>
  <c r="BH4149" i="4"/>
  <c r="AX4148" i="4"/>
  <c r="AW4148" i="4"/>
  <c r="AV4148" i="4"/>
  <c r="AP4148" i="4"/>
  <c r="AO4148" i="4"/>
  <c r="AN4148" i="4"/>
  <c r="AM4148" i="4"/>
  <c r="BH4148" i="4"/>
  <c r="AX4147" i="4"/>
  <c r="AW4147" i="4"/>
  <c r="AV4147" i="4"/>
  <c r="AP4147" i="4"/>
  <c r="AO4147" i="4"/>
  <c r="AN4147" i="4"/>
  <c r="AM4147" i="4"/>
  <c r="BH4147" i="4"/>
  <c r="AX4146" i="4"/>
  <c r="AW4146" i="4"/>
  <c r="AV4146" i="4"/>
  <c r="AP4146" i="4"/>
  <c r="AO4146" i="4"/>
  <c r="AN4146" i="4"/>
  <c r="AM4146" i="4"/>
  <c r="BH4146" i="4"/>
  <c r="AX4145" i="4"/>
  <c r="AW4145" i="4"/>
  <c r="AV4145" i="4"/>
  <c r="AP4145" i="4"/>
  <c r="AO4145" i="4"/>
  <c r="AN4145" i="4"/>
  <c r="AM4145" i="4"/>
  <c r="BH4145" i="4"/>
  <c r="AX4144" i="4"/>
  <c r="AW4144" i="4"/>
  <c r="AV4144" i="4"/>
  <c r="AP4144" i="4"/>
  <c r="AO4144" i="4"/>
  <c r="AN4144" i="4"/>
  <c r="AM4144" i="4"/>
  <c r="BH4144" i="4"/>
  <c r="AX4143" i="4"/>
  <c r="AW4143" i="4"/>
  <c r="AV4143" i="4"/>
  <c r="AP4143" i="4"/>
  <c r="AO4143" i="4"/>
  <c r="AN4143" i="4"/>
  <c r="AM4143" i="4"/>
  <c r="BH4143" i="4"/>
  <c r="AX4142" i="4"/>
  <c r="AW4142" i="4"/>
  <c r="AV4142" i="4"/>
  <c r="AP4142" i="4"/>
  <c r="AO4142" i="4"/>
  <c r="AN4142" i="4"/>
  <c r="AM4142" i="4"/>
  <c r="BH4142" i="4"/>
  <c r="AX4141" i="4"/>
  <c r="AW4141" i="4"/>
  <c r="AV4141" i="4"/>
  <c r="AP4141" i="4"/>
  <c r="AO4141" i="4"/>
  <c r="AN4141" i="4"/>
  <c r="AM4141" i="4"/>
  <c r="BH4141" i="4"/>
  <c r="AX4140" i="4"/>
  <c r="AW4140" i="4"/>
  <c r="AV4140" i="4"/>
  <c r="AP4140" i="4"/>
  <c r="AO4140" i="4"/>
  <c r="AN4140" i="4"/>
  <c r="AM4140" i="4"/>
  <c r="BH4140" i="4"/>
  <c r="AX4139" i="4"/>
  <c r="AW4139" i="4"/>
  <c r="AV4139" i="4"/>
  <c r="AP4139" i="4"/>
  <c r="AO4139" i="4"/>
  <c r="AN4139" i="4"/>
  <c r="AM4139" i="4"/>
  <c r="BH4139" i="4"/>
  <c r="AX4138" i="4"/>
  <c r="AW4138" i="4"/>
  <c r="AV4138" i="4"/>
  <c r="AP4138" i="4"/>
  <c r="AO4138" i="4"/>
  <c r="AN4138" i="4"/>
  <c r="AM4138" i="4"/>
  <c r="BH4138" i="4"/>
  <c r="AX4137" i="4"/>
  <c r="AW4137" i="4"/>
  <c r="AV4137" i="4"/>
  <c r="AP4137" i="4"/>
  <c r="AO4137" i="4"/>
  <c r="AN4137" i="4"/>
  <c r="AM4137" i="4"/>
  <c r="BH4137" i="4"/>
  <c r="AX4136" i="4"/>
  <c r="AW4136" i="4"/>
  <c r="AV4136" i="4"/>
  <c r="AP4136" i="4"/>
  <c r="AO4136" i="4"/>
  <c r="AN4136" i="4"/>
  <c r="AM4136" i="4"/>
  <c r="BH4136" i="4"/>
  <c r="AX4135" i="4"/>
  <c r="AW4135" i="4"/>
  <c r="AV4135" i="4"/>
  <c r="AP4135" i="4"/>
  <c r="AO4135" i="4"/>
  <c r="AN4135" i="4"/>
  <c r="AM4135" i="4"/>
  <c r="BH4135" i="4"/>
  <c r="AX4134" i="4"/>
  <c r="AW4134" i="4"/>
  <c r="AV4134" i="4"/>
  <c r="AP4134" i="4"/>
  <c r="AO4134" i="4"/>
  <c r="AN4134" i="4"/>
  <c r="AM4134" i="4"/>
  <c r="BH4134" i="4"/>
  <c r="AX4133" i="4"/>
  <c r="AW4133" i="4"/>
  <c r="AV4133" i="4"/>
  <c r="AP4133" i="4"/>
  <c r="AO4133" i="4"/>
  <c r="AN4133" i="4"/>
  <c r="AM4133" i="4"/>
  <c r="BH4133" i="4"/>
  <c r="AX4132" i="4"/>
  <c r="AW4132" i="4"/>
  <c r="AV4132" i="4"/>
  <c r="AP4132" i="4"/>
  <c r="AO4132" i="4"/>
  <c r="AN4132" i="4"/>
  <c r="AM4132" i="4"/>
  <c r="BH4132" i="4"/>
  <c r="AX4131" i="4"/>
  <c r="AW4131" i="4"/>
  <c r="AV4131" i="4"/>
  <c r="AP4131" i="4"/>
  <c r="AO4131" i="4"/>
  <c r="AN4131" i="4"/>
  <c r="AM4131" i="4"/>
  <c r="BH4131" i="4"/>
  <c r="AX4130" i="4"/>
  <c r="AW4130" i="4"/>
  <c r="AV4130" i="4"/>
  <c r="AP4130" i="4"/>
  <c r="AO4130" i="4"/>
  <c r="AN4130" i="4"/>
  <c r="AM4130" i="4"/>
  <c r="BH4130" i="4"/>
  <c r="AX4129" i="4"/>
  <c r="AW4129" i="4"/>
  <c r="AV4129" i="4"/>
  <c r="AP4129" i="4"/>
  <c r="AO4129" i="4"/>
  <c r="AN4129" i="4"/>
  <c r="AM4129" i="4"/>
  <c r="BH4129" i="4"/>
  <c r="AX4128" i="4"/>
  <c r="AW4128" i="4"/>
  <c r="AV4128" i="4"/>
  <c r="AP4128" i="4"/>
  <c r="AO4128" i="4"/>
  <c r="AN4128" i="4"/>
  <c r="AM4128" i="4"/>
  <c r="BH4128" i="4"/>
  <c r="AX4126" i="4"/>
  <c r="AW4126" i="4"/>
  <c r="AV4126" i="4"/>
  <c r="AP4126" i="4"/>
  <c r="AO4126" i="4"/>
  <c r="AN4126" i="4"/>
  <c r="AM4126" i="4"/>
  <c r="BH4126" i="4"/>
  <c r="AX4125" i="4"/>
  <c r="AW4125" i="4"/>
  <c r="AV4125" i="4"/>
  <c r="AP4125" i="4"/>
  <c r="AO4125" i="4"/>
  <c r="AN4125" i="4"/>
  <c r="AM4125" i="4"/>
  <c r="BH4125" i="4"/>
  <c r="AX4124" i="4"/>
  <c r="AW4124" i="4"/>
  <c r="AV4124" i="4"/>
  <c r="AP4124" i="4"/>
  <c r="AO4124" i="4"/>
  <c r="AN4124" i="4"/>
  <c r="AM4124" i="4"/>
  <c r="BH4124" i="4"/>
  <c r="AX4123" i="4"/>
  <c r="AW4123" i="4"/>
  <c r="AV4123" i="4"/>
  <c r="AP4123" i="4"/>
  <c r="AO4123" i="4"/>
  <c r="AN4123" i="4"/>
  <c r="AM4123" i="4"/>
  <c r="BH4123" i="4"/>
  <c r="AX4122" i="4"/>
  <c r="AW4122" i="4"/>
  <c r="AV4122" i="4"/>
  <c r="AP4122" i="4"/>
  <c r="AO4122" i="4"/>
  <c r="AN4122" i="4"/>
  <c r="AM4122" i="4"/>
  <c r="BH4122" i="4"/>
  <c r="AX4121" i="4"/>
  <c r="AW4121" i="4"/>
  <c r="AV4121" i="4"/>
  <c r="AP4121" i="4"/>
  <c r="AO4121" i="4"/>
  <c r="AN4121" i="4"/>
  <c r="AM4121" i="4"/>
  <c r="BH4121" i="4"/>
  <c r="AX4120" i="4"/>
  <c r="AW4120" i="4"/>
  <c r="AV4120" i="4"/>
  <c r="AP4120" i="4"/>
  <c r="AO4120" i="4"/>
  <c r="AN4120" i="4"/>
  <c r="AM4120" i="4"/>
  <c r="BH4120" i="4"/>
  <c r="AX4119" i="4"/>
  <c r="AW4119" i="4"/>
  <c r="AV4119" i="4"/>
  <c r="AP4119" i="4"/>
  <c r="AO4119" i="4"/>
  <c r="AN4119" i="4"/>
  <c r="AM4119" i="4"/>
  <c r="BH4119" i="4"/>
  <c r="AX4118" i="4"/>
  <c r="AW4118" i="4"/>
  <c r="AV4118" i="4"/>
  <c r="AP4118" i="4"/>
  <c r="AO4118" i="4"/>
  <c r="AN4118" i="4"/>
  <c r="AM4118" i="4"/>
  <c r="BH4118" i="4"/>
  <c r="AX4117" i="4"/>
  <c r="AW4117" i="4"/>
  <c r="AV4117" i="4"/>
  <c r="AP4117" i="4"/>
  <c r="AO4117" i="4"/>
  <c r="AN4117" i="4"/>
  <c r="AM4117" i="4"/>
  <c r="BH4117" i="4"/>
  <c r="AX4116" i="4"/>
  <c r="AW4116" i="4"/>
  <c r="AV4116" i="4"/>
  <c r="AP4116" i="4"/>
  <c r="AO4116" i="4"/>
  <c r="AN4116" i="4"/>
  <c r="AM4116" i="4"/>
  <c r="BH4116" i="4"/>
  <c r="AX4115" i="4"/>
  <c r="AW4115" i="4"/>
  <c r="AV4115" i="4"/>
  <c r="AP4115" i="4"/>
  <c r="AO4115" i="4"/>
  <c r="AN4115" i="4"/>
  <c r="AM4115" i="4"/>
  <c r="BH4115" i="4"/>
  <c r="AX4114" i="4"/>
  <c r="AW4114" i="4"/>
  <c r="AV4114" i="4"/>
  <c r="AP4114" i="4"/>
  <c r="AO4114" i="4"/>
  <c r="AN4114" i="4"/>
  <c r="AM4114" i="4"/>
  <c r="BH4114" i="4"/>
  <c r="AX4113" i="4"/>
  <c r="AW4113" i="4"/>
  <c r="AV4113" i="4"/>
  <c r="AP4113" i="4"/>
  <c r="AO4113" i="4"/>
  <c r="AN4113" i="4"/>
  <c r="AM4113" i="4"/>
  <c r="BH4113" i="4"/>
  <c r="AX4112" i="4"/>
  <c r="AW4112" i="4"/>
  <c r="AV4112" i="4"/>
  <c r="AP4112" i="4"/>
  <c r="AO4112" i="4"/>
  <c r="AN4112" i="4"/>
  <c r="AM4112" i="4"/>
  <c r="BH4112" i="4"/>
  <c r="AX4111" i="4"/>
  <c r="AW4111" i="4"/>
  <c r="AV4111" i="4"/>
  <c r="AP4111" i="4"/>
  <c r="AO4111" i="4"/>
  <c r="AN4111" i="4"/>
  <c r="AM4111" i="4"/>
  <c r="BH4111" i="4"/>
  <c r="AX4110" i="4"/>
  <c r="AW4110" i="4"/>
  <c r="AV4110" i="4"/>
  <c r="AP4110" i="4"/>
  <c r="AO4110" i="4"/>
  <c r="AN4110" i="4"/>
  <c r="AM4110" i="4"/>
  <c r="BH4110" i="4"/>
  <c r="AX4109" i="4"/>
  <c r="AW4109" i="4"/>
  <c r="AV4109" i="4"/>
  <c r="AP4109" i="4"/>
  <c r="AO4109" i="4"/>
  <c r="AN4109" i="4"/>
  <c r="AM4109" i="4"/>
  <c r="BH4109" i="4"/>
  <c r="AX4108" i="4"/>
  <c r="AW4108" i="4"/>
  <c r="AV4108" i="4"/>
  <c r="AP4108" i="4"/>
  <c r="AO4108" i="4"/>
  <c r="AN4108" i="4"/>
  <c r="AM4108" i="4"/>
  <c r="BH4108" i="4"/>
  <c r="AX4107" i="4"/>
  <c r="AW4107" i="4"/>
  <c r="AV4107" i="4"/>
  <c r="AP4107" i="4"/>
  <c r="AO4107" i="4"/>
  <c r="AN4107" i="4"/>
  <c r="AM4107" i="4"/>
  <c r="BH4107" i="4"/>
  <c r="AX4106" i="4"/>
  <c r="AW4106" i="4"/>
  <c r="AV4106" i="4"/>
  <c r="AP4106" i="4"/>
  <c r="AO4106" i="4"/>
  <c r="AN4106" i="4"/>
  <c r="AM4106" i="4"/>
  <c r="BH4106" i="4"/>
  <c r="AX4105" i="4"/>
  <c r="AW4105" i="4"/>
  <c r="AV4105" i="4"/>
  <c r="AP4105" i="4"/>
  <c r="AO4105" i="4"/>
  <c r="AN4105" i="4"/>
  <c r="AM4105" i="4"/>
  <c r="BH4105" i="4"/>
  <c r="AX4104" i="4"/>
  <c r="AW4104" i="4"/>
  <c r="AV4104" i="4"/>
  <c r="AP4104" i="4"/>
  <c r="AO4104" i="4"/>
  <c r="AN4104" i="4"/>
  <c r="AM4104" i="4"/>
  <c r="BH4104" i="4"/>
  <c r="AX4103" i="4"/>
  <c r="AW4103" i="4"/>
  <c r="AV4103" i="4"/>
  <c r="AP4103" i="4"/>
  <c r="AO4103" i="4"/>
  <c r="AN4103" i="4"/>
  <c r="AM4103" i="4"/>
  <c r="BH4103" i="4"/>
  <c r="AX4102" i="4"/>
  <c r="AW4102" i="4"/>
  <c r="AV4102" i="4"/>
  <c r="AP4102" i="4"/>
  <c r="AO4102" i="4"/>
  <c r="AN4102" i="4"/>
  <c r="AM4102" i="4"/>
  <c r="BH4102" i="4"/>
  <c r="AX4101" i="4"/>
  <c r="AW4101" i="4"/>
  <c r="AV4101" i="4"/>
  <c r="AP4101" i="4"/>
  <c r="AO4101" i="4"/>
  <c r="AN4101" i="4"/>
  <c r="AM4101" i="4"/>
  <c r="BH4101" i="4"/>
  <c r="AX4100" i="4"/>
  <c r="AW4100" i="4"/>
  <c r="AV4100" i="4"/>
  <c r="AP4100" i="4"/>
  <c r="AO4100" i="4"/>
  <c r="AN4100" i="4"/>
  <c r="AM4100" i="4"/>
  <c r="BH4100" i="4"/>
  <c r="AX4099" i="4"/>
  <c r="AW4099" i="4"/>
  <c r="AV4099" i="4"/>
  <c r="AP4099" i="4"/>
  <c r="AO4099" i="4"/>
  <c r="AN4099" i="4"/>
  <c r="AM4099" i="4"/>
  <c r="BH4099" i="4"/>
  <c r="AX4098" i="4"/>
  <c r="AW4098" i="4"/>
  <c r="AV4098" i="4"/>
  <c r="AP4098" i="4"/>
  <c r="AO4098" i="4"/>
  <c r="AN4098" i="4"/>
  <c r="AM4098" i="4"/>
  <c r="BH4098" i="4"/>
  <c r="AX4097" i="4"/>
  <c r="AW4097" i="4"/>
  <c r="AV4097" i="4"/>
  <c r="AP4097" i="4"/>
  <c r="AO4097" i="4"/>
  <c r="AN4097" i="4"/>
  <c r="AM4097" i="4"/>
  <c r="BH4097" i="4"/>
  <c r="AX4096" i="4"/>
  <c r="AW4096" i="4"/>
  <c r="AV4096" i="4"/>
  <c r="AP4096" i="4"/>
  <c r="AO4096" i="4"/>
  <c r="AN4096" i="4"/>
  <c r="AM4096" i="4"/>
  <c r="BH4096" i="4"/>
  <c r="AX4095" i="4"/>
  <c r="AW4095" i="4"/>
  <c r="AV4095" i="4"/>
  <c r="AP4095" i="4"/>
  <c r="AO4095" i="4"/>
  <c r="AN4095" i="4"/>
  <c r="AM4095" i="4"/>
  <c r="BH4095" i="4"/>
  <c r="AX4094" i="4"/>
  <c r="AW4094" i="4"/>
  <c r="AV4094" i="4"/>
  <c r="AP4094" i="4"/>
  <c r="AO4094" i="4"/>
  <c r="AN4094" i="4"/>
  <c r="AM4094" i="4"/>
  <c r="BH4094" i="4"/>
  <c r="AX4093" i="4"/>
  <c r="AW4093" i="4"/>
  <c r="AV4093" i="4"/>
  <c r="AP4093" i="4"/>
  <c r="AO4093" i="4"/>
  <c r="AN4093" i="4"/>
  <c r="AM4093" i="4"/>
  <c r="BH4093" i="4"/>
  <c r="AX4092" i="4"/>
  <c r="AW4092" i="4"/>
  <c r="AV4092" i="4"/>
  <c r="AP4092" i="4"/>
  <c r="AO4092" i="4"/>
  <c r="AN4092" i="4"/>
  <c r="AM4092" i="4"/>
  <c r="BH4092" i="4"/>
  <c r="AX4091" i="4"/>
  <c r="AW4091" i="4"/>
  <c r="AV4091" i="4"/>
  <c r="AP4091" i="4"/>
  <c r="AO4091" i="4"/>
  <c r="AN4091" i="4"/>
  <c r="AM4091" i="4"/>
  <c r="BH4091" i="4"/>
  <c r="AX4090" i="4"/>
  <c r="AW4090" i="4"/>
  <c r="AV4090" i="4"/>
  <c r="AP4090" i="4"/>
  <c r="AO4090" i="4"/>
  <c r="AN4090" i="4"/>
  <c r="AM4090" i="4"/>
  <c r="BH4090" i="4"/>
  <c r="AX4089" i="4"/>
  <c r="AW4089" i="4"/>
  <c r="AV4089" i="4"/>
  <c r="AP4089" i="4"/>
  <c r="AO4089" i="4"/>
  <c r="AN4089" i="4"/>
  <c r="AM4089" i="4"/>
  <c r="BH4089" i="4"/>
  <c r="AX4088" i="4"/>
  <c r="AW4088" i="4"/>
  <c r="AV4088" i="4"/>
  <c r="AP4088" i="4"/>
  <c r="AO4088" i="4"/>
  <c r="AN4088" i="4"/>
  <c r="AM4088" i="4"/>
  <c r="BH4088" i="4"/>
  <c r="AX4087" i="4"/>
  <c r="AW4087" i="4"/>
  <c r="AV4087" i="4"/>
  <c r="AP4087" i="4"/>
  <c r="AO4087" i="4"/>
  <c r="AN4087" i="4"/>
  <c r="AM4087" i="4"/>
  <c r="BH4087" i="4"/>
  <c r="AX4086" i="4"/>
  <c r="AW4086" i="4"/>
  <c r="AV4086" i="4"/>
  <c r="AP4086" i="4"/>
  <c r="AO4086" i="4"/>
  <c r="AN4086" i="4"/>
  <c r="AM4086" i="4"/>
  <c r="BH4086" i="4"/>
  <c r="AX4085" i="4"/>
  <c r="AW4085" i="4"/>
  <c r="AV4085" i="4"/>
  <c r="AP4085" i="4"/>
  <c r="AO4085" i="4"/>
  <c r="AN4085" i="4"/>
  <c r="AM4085" i="4"/>
  <c r="BH4085" i="4"/>
  <c r="AX4084" i="4"/>
  <c r="AW4084" i="4"/>
  <c r="AV4084" i="4"/>
  <c r="AP4084" i="4"/>
  <c r="AO4084" i="4"/>
  <c r="AN4084" i="4"/>
  <c r="AM4084" i="4"/>
  <c r="BH4084" i="4"/>
  <c r="AX4083" i="4"/>
  <c r="AW4083" i="4"/>
  <c r="AV4083" i="4"/>
  <c r="AP4083" i="4"/>
  <c r="AO4083" i="4"/>
  <c r="AN4083" i="4"/>
  <c r="AM4083" i="4"/>
  <c r="BH4083" i="4"/>
  <c r="AX4082" i="4"/>
  <c r="AW4082" i="4"/>
  <c r="AV4082" i="4"/>
  <c r="AP4082" i="4"/>
  <c r="AO4082" i="4"/>
  <c r="AN4082" i="4"/>
  <c r="AM4082" i="4"/>
  <c r="BH4082" i="4"/>
  <c r="AX4081" i="4"/>
  <c r="AW4081" i="4"/>
  <c r="AV4081" i="4"/>
  <c r="AP4081" i="4"/>
  <c r="AO4081" i="4"/>
  <c r="AN4081" i="4"/>
  <c r="AM4081" i="4"/>
  <c r="BH4081" i="4"/>
  <c r="AX4080" i="4"/>
  <c r="AW4080" i="4"/>
  <c r="AV4080" i="4"/>
  <c r="AP4080" i="4"/>
  <c r="AO4080" i="4"/>
  <c r="AN4080" i="4"/>
  <c r="AM4080" i="4"/>
  <c r="BH4080" i="4"/>
  <c r="AX4079" i="4"/>
  <c r="AW4079" i="4"/>
  <c r="AV4079" i="4"/>
  <c r="AP4079" i="4"/>
  <c r="AO4079" i="4"/>
  <c r="AN4079" i="4"/>
  <c r="AM4079" i="4"/>
  <c r="BH4079" i="4"/>
  <c r="AX4078" i="4"/>
  <c r="AW4078" i="4"/>
  <c r="AV4078" i="4"/>
  <c r="AP4078" i="4"/>
  <c r="AO4078" i="4"/>
  <c r="AN4078" i="4"/>
  <c r="AM4078" i="4"/>
  <c r="BH4078" i="4"/>
  <c r="AX4077" i="4"/>
  <c r="AW4077" i="4"/>
  <c r="AV4077" i="4"/>
  <c r="AP4077" i="4"/>
  <c r="AO4077" i="4"/>
  <c r="AN4077" i="4"/>
  <c r="AM4077" i="4"/>
  <c r="BH4077" i="4"/>
  <c r="AX4076" i="4"/>
  <c r="AW4076" i="4"/>
  <c r="AV4076" i="4"/>
  <c r="AP4076" i="4"/>
  <c r="AO4076" i="4"/>
  <c r="AN4076" i="4"/>
  <c r="AM4076" i="4"/>
  <c r="BH4076" i="4"/>
  <c r="AX4075" i="4"/>
  <c r="AW4075" i="4"/>
  <c r="AV4075" i="4"/>
  <c r="AP4075" i="4"/>
  <c r="AO4075" i="4"/>
  <c r="AN4075" i="4"/>
  <c r="AM4075" i="4"/>
  <c r="BH4075" i="4"/>
  <c r="AX4074" i="4"/>
  <c r="AW4074" i="4"/>
  <c r="AV4074" i="4"/>
  <c r="AP4074" i="4"/>
  <c r="AO4074" i="4"/>
  <c r="AN4074" i="4"/>
  <c r="AM4074" i="4"/>
  <c r="BH4074" i="4"/>
  <c r="AX4073" i="4"/>
  <c r="AW4073" i="4"/>
  <c r="AV4073" i="4"/>
  <c r="AP4073" i="4"/>
  <c r="AO4073" i="4"/>
  <c r="AN4073" i="4"/>
  <c r="AM4073" i="4"/>
  <c r="BH4073" i="4"/>
  <c r="AX4072" i="4"/>
  <c r="AW4072" i="4"/>
  <c r="AV4072" i="4"/>
  <c r="AP4072" i="4"/>
  <c r="AO4072" i="4"/>
  <c r="AN4072" i="4"/>
  <c r="AM4072" i="4"/>
  <c r="BH4072" i="4"/>
  <c r="AX4071" i="4"/>
  <c r="AW4071" i="4"/>
  <c r="AV4071" i="4"/>
  <c r="AP4071" i="4"/>
  <c r="AO4071" i="4"/>
  <c r="AN4071" i="4"/>
  <c r="AM4071" i="4"/>
  <c r="BH4071" i="4"/>
  <c r="AX4070" i="4"/>
  <c r="AW4070" i="4"/>
  <c r="AV4070" i="4"/>
  <c r="AP4070" i="4"/>
  <c r="AO4070" i="4"/>
  <c r="AN4070" i="4"/>
  <c r="AM4070" i="4"/>
  <c r="BH4070" i="4"/>
  <c r="AX4069" i="4"/>
  <c r="AW4069" i="4"/>
  <c r="AV4069" i="4"/>
  <c r="AP4069" i="4"/>
  <c r="AO4069" i="4"/>
  <c r="AN4069" i="4"/>
  <c r="AM4069" i="4"/>
  <c r="BH4069" i="4"/>
  <c r="AX4068" i="4"/>
  <c r="AW4068" i="4"/>
  <c r="AV4068" i="4"/>
  <c r="AP4068" i="4"/>
  <c r="AO4068" i="4"/>
  <c r="AN4068" i="4"/>
  <c r="AM4068" i="4"/>
  <c r="BH4068" i="4"/>
  <c r="AX4067" i="4"/>
  <c r="AW4067" i="4"/>
  <c r="AV4067" i="4"/>
  <c r="AP4067" i="4"/>
  <c r="AO4067" i="4"/>
  <c r="AN4067" i="4"/>
  <c r="AM4067" i="4"/>
  <c r="BH4067" i="4"/>
  <c r="AX4066" i="4"/>
  <c r="AW4066" i="4"/>
  <c r="AV4066" i="4"/>
  <c r="AP4066" i="4"/>
  <c r="AO4066" i="4"/>
  <c r="AN4066" i="4"/>
  <c r="AM4066" i="4"/>
  <c r="BH4066" i="4"/>
  <c r="AX4065" i="4"/>
  <c r="AW4065" i="4"/>
  <c r="AV4065" i="4"/>
  <c r="AP4065" i="4"/>
  <c r="AO4065" i="4"/>
  <c r="AN4065" i="4"/>
  <c r="AM4065" i="4"/>
  <c r="BH4065" i="4"/>
  <c r="AX4064" i="4"/>
  <c r="AW4064" i="4"/>
  <c r="AV4064" i="4"/>
  <c r="AP4064" i="4"/>
  <c r="AO4064" i="4"/>
  <c r="AN4064" i="4"/>
  <c r="AM4064" i="4"/>
  <c r="BH4064" i="4"/>
  <c r="AX4063" i="4"/>
  <c r="AW4063" i="4"/>
  <c r="AV4063" i="4"/>
  <c r="AP4063" i="4"/>
  <c r="AO4063" i="4"/>
  <c r="AN4063" i="4"/>
  <c r="AM4063" i="4"/>
  <c r="BH4063" i="4"/>
  <c r="AX4062" i="4"/>
  <c r="AW4062" i="4"/>
  <c r="AV4062" i="4"/>
  <c r="AP4062" i="4"/>
  <c r="AO4062" i="4"/>
  <c r="AN4062" i="4"/>
  <c r="AM4062" i="4"/>
  <c r="BH4062" i="4"/>
  <c r="AX4061" i="4"/>
  <c r="AW4061" i="4"/>
  <c r="AV4061" i="4"/>
  <c r="AP4061" i="4"/>
  <c r="AO4061" i="4"/>
  <c r="AN4061" i="4"/>
  <c r="AM4061" i="4"/>
  <c r="BH4061" i="4"/>
  <c r="AX4060" i="4"/>
  <c r="AW4060" i="4"/>
  <c r="AV4060" i="4"/>
  <c r="AP4060" i="4"/>
  <c r="AO4060" i="4"/>
  <c r="AN4060" i="4"/>
  <c r="AM4060" i="4"/>
  <c r="BH4060" i="4"/>
  <c r="AX4059" i="4"/>
  <c r="AW4059" i="4"/>
  <c r="AV4059" i="4"/>
  <c r="AP4059" i="4"/>
  <c r="AO4059" i="4"/>
  <c r="AN4059" i="4"/>
  <c r="AM4059" i="4"/>
  <c r="BH4059" i="4"/>
  <c r="AX4058" i="4"/>
  <c r="AW4058" i="4"/>
  <c r="AV4058" i="4"/>
  <c r="AP4058" i="4"/>
  <c r="AO4058" i="4"/>
  <c r="AN4058" i="4"/>
  <c r="AM4058" i="4"/>
  <c r="BH4058" i="4"/>
  <c r="AX4057" i="4"/>
  <c r="AW4057" i="4"/>
  <c r="AV4057" i="4"/>
  <c r="AP4057" i="4"/>
  <c r="AO4057" i="4"/>
  <c r="AN4057" i="4"/>
  <c r="AM4057" i="4"/>
  <c r="BH4057" i="4"/>
  <c r="AX4056" i="4"/>
  <c r="AW4056" i="4"/>
  <c r="AV4056" i="4"/>
  <c r="AP4056" i="4"/>
  <c r="AO4056" i="4"/>
  <c r="AN4056" i="4"/>
  <c r="AM4056" i="4"/>
  <c r="BH4056" i="4"/>
  <c r="AX4055" i="4"/>
  <c r="AW4055" i="4"/>
  <c r="AV4055" i="4"/>
  <c r="AP4055" i="4"/>
  <c r="AO4055" i="4"/>
  <c r="AN4055" i="4"/>
  <c r="AM4055" i="4"/>
  <c r="BH4055" i="4"/>
  <c r="AX4054" i="4"/>
  <c r="AW4054" i="4"/>
  <c r="AV4054" i="4"/>
  <c r="AP4054" i="4"/>
  <c r="AO4054" i="4"/>
  <c r="AN4054" i="4"/>
  <c r="AM4054" i="4"/>
  <c r="BH4054" i="4"/>
  <c r="AX4053" i="4"/>
  <c r="AW4053" i="4"/>
  <c r="AV4053" i="4"/>
  <c r="AP4053" i="4"/>
  <c r="AO4053" i="4"/>
  <c r="AN4053" i="4"/>
  <c r="AM4053" i="4"/>
  <c r="BH4053" i="4"/>
  <c r="AX4052" i="4"/>
  <c r="AW4052" i="4"/>
  <c r="AV4052" i="4"/>
  <c r="AP4052" i="4"/>
  <c r="AO4052" i="4"/>
  <c r="AN4052" i="4"/>
  <c r="AM4052" i="4"/>
  <c r="BH4052" i="4"/>
  <c r="AX4051" i="4"/>
  <c r="AW4051" i="4"/>
  <c r="AV4051" i="4"/>
  <c r="AP4051" i="4"/>
  <c r="AO4051" i="4"/>
  <c r="AN4051" i="4"/>
  <c r="AM4051" i="4"/>
  <c r="BH4051" i="4"/>
  <c r="AX4050" i="4"/>
  <c r="AW4050" i="4"/>
  <c r="AV4050" i="4"/>
  <c r="AP4050" i="4"/>
  <c r="AO4050" i="4"/>
  <c r="AN4050" i="4"/>
  <c r="AM4050" i="4"/>
  <c r="BH4050" i="4"/>
  <c r="AX4049" i="4"/>
  <c r="AW4049" i="4"/>
  <c r="AV4049" i="4"/>
  <c r="AP4049" i="4"/>
  <c r="AO4049" i="4"/>
  <c r="AN4049" i="4"/>
  <c r="AM4049" i="4"/>
  <c r="BH4049" i="4"/>
  <c r="AX4048" i="4"/>
  <c r="AW4048" i="4"/>
  <c r="AV4048" i="4"/>
  <c r="AP4048" i="4"/>
  <c r="AO4048" i="4"/>
  <c r="AN4048" i="4"/>
  <c r="AM4048" i="4"/>
  <c r="BH4048" i="4"/>
  <c r="AX4047" i="4"/>
  <c r="AW4047" i="4"/>
  <c r="AV4047" i="4"/>
  <c r="AP4047" i="4"/>
  <c r="AO4047" i="4"/>
  <c r="AN4047" i="4"/>
  <c r="AM4047" i="4"/>
  <c r="BH4047" i="4"/>
  <c r="AX4046" i="4"/>
  <c r="AW4046" i="4"/>
  <c r="AV4046" i="4"/>
  <c r="AP4046" i="4"/>
  <c r="AO4046" i="4"/>
  <c r="AN4046" i="4"/>
  <c r="AM4046" i="4"/>
  <c r="BH4046" i="4"/>
  <c r="AX4045" i="4"/>
  <c r="AW4045" i="4"/>
  <c r="AV4045" i="4"/>
  <c r="AP4045" i="4"/>
  <c r="AO4045" i="4"/>
  <c r="AN4045" i="4"/>
  <c r="AM4045" i="4"/>
  <c r="BH4045" i="4"/>
  <c r="AX4044" i="4"/>
  <c r="AW4044" i="4"/>
  <c r="AV4044" i="4"/>
  <c r="AP4044" i="4"/>
  <c r="AO4044" i="4"/>
  <c r="AN4044" i="4"/>
  <c r="AM4044" i="4"/>
  <c r="BH4044" i="4"/>
  <c r="AX4043" i="4"/>
  <c r="AW4043" i="4"/>
  <c r="AV4043" i="4"/>
  <c r="AP4043" i="4"/>
  <c r="AO4043" i="4"/>
  <c r="AN4043" i="4"/>
  <c r="AM4043" i="4"/>
  <c r="BH4043" i="4"/>
  <c r="AX4042" i="4"/>
  <c r="AW4042" i="4"/>
  <c r="AV4042" i="4"/>
  <c r="AP4042" i="4"/>
  <c r="AO4042" i="4"/>
  <c r="AN4042" i="4"/>
  <c r="AM4042" i="4"/>
  <c r="BH4042" i="4"/>
  <c r="AX4041" i="4"/>
  <c r="AW4041" i="4"/>
  <c r="AV4041" i="4"/>
  <c r="AP4041" i="4"/>
  <c r="AO4041" i="4"/>
  <c r="AN4041" i="4"/>
  <c r="AM4041" i="4"/>
  <c r="BH4041" i="4"/>
  <c r="AX4040" i="4"/>
  <c r="AW4040" i="4"/>
  <c r="AV4040" i="4"/>
  <c r="AP4040" i="4"/>
  <c r="AO4040" i="4"/>
  <c r="AN4040" i="4"/>
  <c r="AM4040" i="4"/>
  <c r="BH4040" i="4"/>
  <c r="AX4039" i="4"/>
  <c r="AW4039" i="4"/>
  <c r="AV4039" i="4"/>
  <c r="AP4039" i="4"/>
  <c r="AO4039" i="4"/>
  <c r="AN4039" i="4"/>
  <c r="AM4039" i="4"/>
  <c r="BH4039" i="4"/>
  <c r="AX4038" i="4"/>
  <c r="AW4038" i="4"/>
  <c r="AV4038" i="4"/>
  <c r="AP4038" i="4"/>
  <c r="AO4038" i="4"/>
  <c r="AN4038" i="4"/>
  <c r="AM4038" i="4"/>
  <c r="BH4038" i="4"/>
  <c r="AX4037" i="4"/>
  <c r="AW4037" i="4"/>
  <c r="AV4037" i="4"/>
  <c r="AP4037" i="4"/>
  <c r="AO4037" i="4"/>
  <c r="AN4037" i="4"/>
  <c r="AM4037" i="4"/>
  <c r="BH4037" i="4"/>
  <c r="AX4036" i="4"/>
  <c r="AW4036" i="4"/>
  <c r="AV4036" i="4"/>
  <c r="AP4036" i="4"/>
  <c r="AO4036" i="4"/>
  <c r="AN4036" i="4"/>
  <c r="AM4036" i="4"/>
  <c r="BH4036" i="4"/>
  <c r="AX4035" i="4"/>
  <c r="AW4035" i="4"/>
  <c r="AV4035" i="4"/>
  <c r="AP4035" i="4"/>
  <c r="AO4035" i="4"/>
  <c r="AN4035" i="4"/>
  <c r="AM4035" i="4"/>
  <c r="BH4035" i="4"/>
  <c r="AX4034" i="4"/>
  <c r="AW4034" i="4"/>
  <c r="AV4034" i="4"/>
  <c r="AP4034" i="4"/>
  <c r="AO4034" i="4"/>
  <c r="AN4034" i="4"/>
  <c r="AM4034" i="4"/>
  <c r="BH4034" i="4"/>
  <c r="AX4033" i="4"/>
  <c r="AW4033" i="4"/>
  <c r="AV4033" i="4"/>
  <c r="AP4033" i="4"/>
  <c r="AO4033" i="4"/>
  <c r="AN4033" i="4"/>
  <c r="AM4033" i="4"/>
  <c r="BH4033" i="4"/>
  <c r="AX4032" i="4"/>
  <c r="AW4032" i="4"/>
  <c r="AV4032" i="4"/>
  <c r="AP4032" i="4"/>
  <c r="AO4032" i="4"/>
  <c r="AN4032" i="4"/>
  <c r="AM4032" i="4"/>
  <c r="BH4032" i="4"/>
  <c r="AX4031" i="4"/>
  <c r="AW4031" i="4"/>
  <c r="AV4031" i="4"/>
  <c r="AP4031" i="4"/>
  <c r="AO4031" i="4"/>
  <c r="AN4031" i="4"/>
  <c r="AM4031" i="4"/>
  <c r="BH4031" i="4"/>
  <c r="AX4030" i="4"/>
  <c r="AW4030" i="4"/>
  <c r="AV4030" i="4"/>
  <c r="AP4030" i="4"/>
  <c r="AO4030" i="4"/>
  <c r="AN4030" i="4"/>
  <c r="AM4030" i="4"/>
  <c r="BH4030" i="4"/>
  <c r="AX4029" i="4"/>
  <c r="AW4029" i="4"/>
  <c r="AV4029" i="4"/>
  <c r="AP4029" i="4"/>
  <c r="AO4029" i="4"/>
  <c r="AN4029" i="4"/>
  <c r="AM4029" i="4"/>
  <c r="BH4029" i="4"/>
  <c r="AX4028" i="4"/>
  <c r="AW4028" i="4"/>
  <c r="AV4028" i="4"/>
  <c r="AP4028" i="4"/>
  <c r="AO4028" i="4"/>
  <c r="AN4028" i="4"/>
  <c r="AM4028" i="4"/>
  <c r="BH4028" i="4"/>
  <c r="AX4027" i="4"/>
  <c r="AW4027" i="4"/>
  <c r="AV4027" i="4"/>
  <c r="AP4027" i="4"/>
  <c r="AO4027" i="4"/>
  <c r="AN4027" i="4"/>
  <c r="AM4027" i="4"/>
  <c r="BH4027" i="4"/>
  <c r="AX4026" i="4"/>
  <c r="AW4026" i="4"/>
  <c r="AV4026" i="4"/>
  <c r="AP4026" i="4"/>
  <c r="AO4026" i="4"/>
  <c r="AN4026" i="4"/>
  <c r="AM4026" i="4"/>
  <c r="BH4026" i="4"/>
  <c r="AX4025" i="4"/>
  <c r="AW4025" i="4"/>
  <c r="AV4025" i="4"/>
  <c r="AP4025" i="4"/>
  <c r="AO4025" i="4"/>
  <c r="AN4025" i="4"/>
  <c r="AM4025" i="4"/>
  <c r="BH4025" i="4"/>
  <c r="AX4024" i="4"/>
  <c r="AW4024" i="4"/>
  <c r="AV4024" i="4"/>
  <c r="AP4024" i="4"/>
  <c r="AO4024" i="4"/>
  <c r="AN4024" i="4"/>
  <c r="AM4024" i="4"/>
  <c r="BH4024" i="4"/>
  <c r="AX4023" i="4"/>
  <c r="AW4023" i="4"/>
  <c r="AV4023" i="4"/>
  <c r="AP4023" i="4"/>
  <c r="AO4023" i="4"/>
  <c r="AN4023" i="4"/>
  <c r="AM4023" i="4"/>
  <c r="BH4023" i="4"/>
  <c r="AX4022" i="4"/>
  <c r="AW4022" i="4"/>
  <c r="AV4022" i="4"/>
  <c r="AP4022" i="4"/>
  <c r="AO4022" i="4"/>
  <c r="AN4022" i="4"/>
  <c r="AM4022" i="4"/>
  <c r="BH4022" i="4"/>
  <c r="AX4021" i="4"/>
  <c r="AW4021" i="4"/>
  <c r="AV4021" i="4"/>
  <c r="AP4021" i="4"/>
  <c r="AO4021" i="4"/>
  <c r="AN4021" i="4"/>
  <c r="AM4021" i="4"/>
  <c r="BH4021" i="4"/>
  <c r="AX4020" i="4"/>
  <c r="AW4020" i="4"/>
  <c r="AV4020" i="4"/>
  <c r="AP4020" i="4"/>
  <c r="AO4020" i="4"/>
  <c r="AN4020" i="4"/>
  <c r="AM4020" i="4"/>
  <c r="BH4020" i="4"/>
  <c r="AX4019" i="4"/>
  <c r="AW4019" i="4"/>
  <c r="AV4019" i="4"/>
  <c r="AP4019" i="4"/>
  <c r="AO4019" i="4"/>
  <c r="AN4019" i="4"/>
  <c r="AM4019" i="4"/>
  <c r="BH4019" i="4"/>
  <c r="AX4018" i="4"/>
  <c r="AW4018" i="4"/>
  <c r="AV4018" i="4"/>
  <c r="AP4018" i="4"/>
  <c r="AO4018" i="4"/>
  <c r="AN4018" i="4"/>
  <c r="AM4018" i="4"/>
  <c r="BH4018" i="4"/>
  <c r="AX4017" i="4"/>
  <c r="AW4017" i="4"/>
  <c r="AV4017" i="4"/>
  <c r="AP4017" i="4"/>
  <c r="AO4017" i="4"/>
  <c r="AN4017" i="4"/>
  <c r="AM4017" i="4"/>
  <c r="BH4017" i="4"/>
  <c r="AX4016" i="4"/>
  <c r="AW4016" i="4"/>
  <c r="AV4016" i="4"/>
  <c r="AP4016" i="4"/>
  <c r="AO4016" i="4"/>
  <c r="AN4016" i="4"/>
  <c r="AM4016" i="4"/>
  <c r="BH4016" i="4"/>
  <c r="AX4015" i="4"/>
  <c r="AW4015" i="4"/>
  <c r="AV4015" i="4"/>
  <c r="AP4015" i="4"/>
  <c r="AO4015" i="4"/>
  <c r="AN4015" i="4"/>
  <c r="AM4015" i="4"/>
  <c r="BH4015" i="4"/>
  <c r="AX4014" i="4"/>
  <c r="AW4014" i="4"/>
  <c r="AV4014" i="4"/>
  <c r="AP4014" i="4"/>
  <c r="AO4014" i="4"/>
  <c r="AN4014" i="4"/>
  <c r="AM4014" i="4"/>
  <c r="BH4014" i="4"/>
  <c r="AX4013" i="4"/>
  <c r="AW4013" i="4"/>
  <c r="AV4013" i="4"/>
  <c r="AP4013" i="4"/>
  <c r="AO4013" i="4"/>
  <c r="AN4013" i="4"/>
  <c r="AM4013" i="4"/>
  <c r="BH4013" i="4"/>
  <c r="AX4012" i="4"/>
  <c r="AW4012" i="4"/>
  <c r="AV4012" i="4"/>
  <c r="AP4012" i="4"/>
  <c r="AO4012" i="4"/>
  <c r="AN4012" i="4"/>
  <c r="AM4012" i="4"/>
  <c r="BH4012" i="4"/>
  <c r="AX4011" i="4"/>
  <c r="AW4011" i="4"/>
  <c r="AV4011" i="4"/>
  <c r="AP4011" i="4"/>
  <c r="AO4011" i="4"/>
  <c r="AN4011" i="4"/>
  <c r="AM4011" i="4"/>
  <c r="BH4011" i="4"/>
  <c r="AX4010" i="4"/>
  <c r="AW4010" i="4"/>
  <c r="AV4010" i="4"/>
  <c r="AP4010" i="4"/>
  <c r="AO4010" i="4"/>
  <c r="AN4010" i="4"/>
  <c r="AM4010" i="4"/>
  <c r="BH4010" i="4"/>
  <c r="AX4009" i="4"/>
  <c r="AW4009" i="4"/>
  <c r="AV4009" i="4"/>
  <c r="AP4009" i="4"/>
  <c r="AO4009" i="4"/>
  <c r="AN4009" i="4"/>
  <c r="AM4009" i="4"/>
  <c r="BH4009" i="4"/>
  <c r="AX4008" i="4"/>
  <c r="AW4008" i="4"/>
  <c r="AV4008" i="4"/>
  <c r="AP4008" i="4"/>
  <c r="AO4008" i="4"/>
  <c r="AN4008" i="4"/>
  <c r="AM4008" i="4"/>
  <c r="BH4008" i="4"/>
  <c r="AX4007" i="4"/>
  <c r="AW4007" i="4"/>
  <c r="AV4007" i="4"/>
  <c r="AP4007" i="4"/>
  <c r="AO4007" i="4"/>
  <c r="AN4007" i="4"/>
  <c r="AM4007" i="4"/>
  <c r="BH4007" i="4"/>
  <c r="AX4006" i="4"/>
  <c r="AW4006" i="4"/>
  <c r="AV4006" i="4"/>
  <c r="AP4006" i="4"/>
  <c r="AO4006" i="4"/>
  <c r="AN4006" i="4"/>
  <c r="AM4006" i="4"/>
  <c r="BH4006" i="4"/>
  <c r="AX4005" i="4"/>
  <c r="AW4005" i="4"/>
  <c r="AV4005" i="4"/>
  <c r="AP4005" i="4"/>
  <c r="AO4005" i="4"/>
  <c r="AN4005" i="4"/>
  <c r="AM4005" i="4"/>
  <c r="BH4005" i="4"/>
  <c r="AX4004" i="4"/>
  <c r="AW4004" i="4"/>
  <c r="AV4004" i="4"/>
  <c r="AP4004" i="4"/>
  <c r="AO4004" i="4"/>
  <c r="AN4004" i="4"/>
  <c r="AM4004" i="4"/>
  <c r="BH4004" i="4"/>
  <c r="AX4003" i="4"/>
  <c r="AW4003" i="4"/>
  <c r="AV4003" i="4"/>
  <c r="AP4003" i="4"/>
  <c r="AO4003" i="4"/>
  <c r="AN4003" i="4"/>
  <c r="AM4003" i="4"/>
  <c r="BH4003" i="4"/>
  <c r="AX4002" i="4"/>
  <c r="AW4002" i="4"/>
  <c r="AV4002" i="4"/>
  <c r="AP4002" i="4"/>
  <c r="AO4002" i="4"/>
  <c r="AN4002" i="4"/>
  <c r="AM4002" i="4"/>
  <c r="BH4002" i="4"/>
  <c r="AX4001" i="4"/>
  <c r="AW4001" i="4"/>
  <c r="AV4001" i="4"/>
  <c r="AP4001" i="4"/>
  <c r="AO4001" i="4"/>
  <c r="AN4001" i="4"/>
  <c r="AM4001" i="4"/>
  <c r="BH4001" i="4"/>
  <c r="AX4000" i="4"/>
  <c r="AW4000" i="4"/>
  <c r="AV4000" i="4"/>
  <c r="AP4000" i="4"/>
  <c r="AO4000" i="4"/>
  <c r="AN4000" i="4"/>
  <c r="AM4000" i="4"/>
  <c r="BH4000" i="4"/>
  <c r="AX3999" i="4"/>
  <c r="AW3999" i="4"/>
  <c r="AV3999" i="4"/>
  <c r="AP3999" i="4"/>
  <c r="AO3999" i="4"/>
  <c r="AN3999" i="4"/>
  <c r="AM3999" i="4"/>
  <c r="BH3999" i="4"/>
  <c r="AX3998" i="4"/>
  <c r="AW3998" i="4"/>
  <c r="AV3998" i="4"/>
  <c r="AP3998" i="4"/>
  <c r="AO3998" i="4"/>
  <c r="AN3998" i="4"/>
  <c r="AM3998" i="4"/>
  <c r="BH3998" i="4"/>
  <c r="AX3997" i="4"/>
  <c r="AW3997" i="4"/>
  <c r="AV3997" i="4"/>
  <c r="AP3997" i="4"/>
  <c r="AO3997" i="4"/>
  <c r="AN3997" i="4"/>
  <c r="AM3997" i="4"/>
  <c r="BH3997" i="4"/>
  <c r="AX3996" i="4"/>
  <c r="AW3996" i="4"/>
  <c r="AV3996" i="4"/>
  <c r="AP3996" i="4"/>
  <c r="AO3996" i="4"/>
  <c r="AN3996" i="4"/>
  <c r="AM3996" i="4"/>
  <c r="BH3996" i="4"/>
  <c r="AX3995" i="4"/>
  <c r="AW3995" i="4"/>
  <c r="AV3995" i="4"/>
  <c r="AP3995" i="4"/>
  <c r="AO3995" i="4"/>
  <c r="AN3995" i="4"/>
  <c r="AM3995" i="4"/>
  <c r="BH3995" i="4"/>
  <c r="AX3994" i="4"/>
  <c r="AW3994" i="4"/>
  <c r="AV3994" i="4"/>
  <c r="AP3994" i="4"/>
  <c r="AO3994" i="4"/>
  <c r="AN3994" i="4"/>
  <c r="AM3994" i="4"/>
  <c r="BH3994" i="4"/>
  <c r="AX3993" i="4"/>
  <c r="AW3993" i="4"/>
  <c r="AV3993" i="4"/>
  <c r="AP3993" i="4"/>
  <c r="AO3993" i="4"/>
  <c r="AN3993" i="4"/>
  <c r="AM3993" i="4"/>
  <c r="BH3993" i="4"/>
  <c r="AX3992" i="4"/>
  <c r="AW3992" i="4"/>
  <c r="AV3992" i="4"/>
  <c r="AP3992" i="4"/>
  <c r="AO3992" i="4"/>
  <c r="AN3992" i="4"/>
  <c r="AM3992" i="4"/>
  <c r="BH3992" i="4"/>
  <c r="AX3991" i="4"/>
  <c r="AW3991" i="4"/>
  <c r="AV3991" i="4"/>
  <c r="AP3991" i="4"/>
  <c r="AO3991" i="4"/>
  <c r="AN3991" i="4"/>
  <c r="AM3991" i="4"/>
  <c r="BH3991" i="4"/>
  <c r="AX3990" i="4"/>
  <c r="AW3990" i="4"/>
  <c r="AV3990" i="4"/>
  <c r="AP3990" i="4"/>
  <c r="AO3990" i="4"/>
  <c r="AN3990" i="4"/>
  <c r="AM3990" i="4"/>
  <c r="BH3990" i="4"/>
  <c r="AX3989" i="4"/>
  <c r="AW3989" i="4"/>
  <c r="AV3989" i="4"/>
  <c r="AP3989" i="4"/>
  <c r="AO3989" i="4"/>
  <c r="AN3989" i="4"/>
  <c r="AM3989" i="4"/>
  <c r="BH3989" i="4"/>
  <c r="AX3988" i="4"/>
  <c r="AW3988" i="4"/>
  <c r="AV3988" i="4"/>
  <c r="AP3988" i="4"/>
  <c r="AO3988" i="4"/>
  <c r="AN3988" i="4"/>
  <c r="AM3988" i="4"/>
  <c r="BH3988" i="4"/>
  <c r="AX3987" i="4"/>
  <c r="AW3987" i="4"/>
  <c r="AV3987" i="4"/>
  <c r="AP3987" i="4"/>
  <c r="AO3987" i="4"/>
  <c r="AN3987" i="4"/>
  <c r="AM3987" i="4"/>
  <c r="BH3987" i="4"/>
  <c r="AX3986" i="4"/>
  <c r="AW3986" i="4"/>
  <c r="AV3986" i="4"/>
  <c r="AP3986" i="4"/>
  <c r="AO3986" i="4"/>
  <c r="AN3986" i="4"/>
  <c r="AM3986" i="4"/>
  <c r="BH3986" i="4"/>
  <c r="AX3985" i="4"/>
  <c r="AW3985" i="4"/>
  <c r="AV3985" i="4"/>
  <c r="AP3985" i="4"/>
  <c r="AO3985" i="4"/>
  <c r="AN3985" i="4"/>
  <c r="AM3985" i="4"/>
  <c r="BH3985" i="4"/>
  <c r="AX3984" i="4"/>
  <c r="AW3984" i="4"/>
  <c r="AV3984" i="4"/>
  <c r="AP3984" i="4"/>
  <c r="AO3984" i="4"/>
  <c r="AN3984" i="4"/>
  <c r="AM3984" i="4"/>
  <c r="BH3984" i="4"/>
  <c r="AX3983" i="4"/>
  <c r="AW3983" i="4"/>
  <c r="AV3983" i="4"/>
  <c r="AP3983" i="4"/>
  <c r="AO3983" i="4"/>
  <c r="AN3983" i="4"/>
  <c r="AM3983" i="4"/>
  <c r="BH3983" i="4"/>
  <c r="AX3982" i="4"/>
  <c r="AW3982" i="4"/>
  <c r="AV3982" i="4"/>
  <c r="AP3982" i="4"/>
  <c r="AO3982" i="4"/>
  <c r="AN3982" i="4"/>
  <c r="AM3982" i="4"/>
  <c r="BH3982" i="4"/>
  <c r="AX3981" i="4"/>
  <c r="AW3981" i="4"/>
  <c r="AV3981" i="4"/>
  <c r="AP3981" i="4"/>
  <c r="AO3981" i="4"/>
  <c r="AN3981" i="4"/>
  <c r="AM3981" i="4"/>
  <c r="BH3981" i="4"/>
  <c r="AX3980" i="4"/>
  <c r="AW3980" i="4"/>
  <c r="AV3980" i="4"/>
  <c r="AP3980" i="4"/>
  <c r="AO3980" i="4"/>
  <c r="AN3980" i="4"/>
  <c r="AM3980" i="4"/>
  <c r="BH3980" i="4"/>
  <c r="AX3979" i="4"/>
  <c r="AW3979" i="4"/>
  <c r="AV3979" i="4"/>
  <c r="AP3979" i="4"/>
  <c r="AO3979" i="4"/>
  <c r="AN3979" i="4"/>
  <c r="AM3979" i="4"/>
  <c r="BH3979" i="4"/>
  <c r="AX3978" i="4"/>
  <c r="AW3978" i="4"/>
  <c r="AV3978" i="4"/>
  <c r="AP3978" i="4"/>
  <c r="AO3978" i="4"/>
  <c r="AN3978" i="4"/>
  <c r="AM3978" i="4"/>
  <c r="BH3978" i="4"/>
  <c r="AX3977" i="4"/>
  <c r="AW3977" i="4"/>
  <c r="AV3977" i="4"/>
  <c r="AP3977" i="4"/>
  <c r="AO3977" i="4"/>
  <c r="AN3977" i="4"/>
  <c r="AM3977" i="4"/>
  <c r="BH3977" i="4"/>
  <c r="AX3976" i="4"/>
  <c r="AW3976" i="4"/>
  <c r="AV3976" i="4"/>
  <c r="AP3976" i="4"/>
  <c r="AO3976" i="4"/>
  <c r="AN3976" i="4"/>
  <c r="AM3976" i="4"/>
  <c r="BH3976" i="4"/>
  <c r="AX3975" i="4"/>
  <c r="AW3975" i="4"/>
  <c r="AV3975" i="4"/>
  <c r="AP3975" i="4"/>
  <c r="AO3975" i="4"/>
  <c r="AN3975" i="4"/>
  <c r="AM3975" i="4"/>
  <c r="BH3975" i="4"/>
  <c r="AX3974" i="4"/>
  <c r="AW3974" i="4"/>
  <c r="AV3974" i="4"/>
  <c r="AP3974" i="4"/>
  <c r="AO3974" i="4"/>
  <c r="AN3974" i="4"/>
  <c r="AM3974" i="4"/>
  <c r="BH3974" i="4"/>
  <c r="AX3973" i="4"/>
  <c r="AW3973" i="4"/>
  <c r="AV3973" i="4"/>
  <c r="AP3973" i="4"/>
  <c r="AO3973" i="4"/>
  <c r="AN3973" i="4"/>
  <c r="AM3973" i="4"/>
  <c r="BH3973" i="4"/>
  <c r="AX3972" i="4"/>
  <c r="AW3972" i="4"/>
  <c r="AV3972" i="4"/>
  <c r="AP3972" i="4"/>
  <c r="AO3972" i="4"/>
  <c r="AN3972" i="4"/>
  <c r="AM3972" i="4"/>
  <c r="BH3972" i="4"/>
  <c r="AX3971" i="4"/>
  <c r="AW3971" i="4"/>
  <c r="AV3971" i="4"/>
  <c r="AP3971" i="4"/>
  <c r="AO3971" i="4"/>
  <c r="AN3971" i="4"/>
  <c r="AM3971" i="4"/>
  <c r="BH3971" i="4"/>
  <c r="AX3970" i="4"/>
  <c r="AW3970" i="4"/>
  <c r="AV3970" i="4"/>
  <c r="AP3970" i="4"/>
  <c r="AO3970" i="4"/>
  <c r="AN3970" i="4"/>
  <c r="AM3970" i="4"/>
  <c r="BH3970" i="4"/>
  <c r="AX3969" i="4"/>
  <c r="AW3969" i="4"/>
  <c r="AV3969" i="4"/>
  <c r="AP3969" i="4"/>
  <c r="AO3969" i="4"/>
  <c r="AN3969" i="4"/>
  <c r="AM3969" i="4"/>
  <c r="BH3969" i="4"/>
  <c r="AX3968" i="4"/>
  <c r="AW3968" i="4"/>
  <c r="AV3968" i="4"/>
  <c r="AP3968" i="4"/>
  <c r="AO3968" i="4"/>
  <c r="AN3968" i="4"/>
  <c r="AM3968" i="4"/>
  <c r="BH3968" i="4"/>
  <c r="AX3967" i="4"/>
  <c r="AW3967" i="4"/>
  <c r="AV3967" i="4"/>
  <c r="AP3967" i="4"/>
  <c r="AO3967" i="4"/>
  <c r="AN3967" i="4"/>
  <c r="AM3967" i="4"/>
  <c r="BH3967" i="4"/>
  <c r="AX3966" i="4"/>
  <c r="AW3966" i="4"/>
  <c r="AV3966" i="4"/>
  <c r="AP3966" i="4"/>
  <c r="AO3966" i="4"/>
  <c r="AN3966" i="4"/>
  <c r="AM3966" i="4"/>
  <c r="BH3966" i="4"/>
  <c r="AX3965" i="4"/>
  <c r="AW3965" i="4"/>
  <c r="AV3965" i="4"/>
  <c r="AP3965" i="4"/>
  <c r="AO3965" i="4"/>
  <c r="AN3965" i="4"/>
  <c r="AM3965" i="4"/>
  <c r="BH3965" i="4"/>
  <c r="AX3964" i="4"/>
  <c r="AW3964" i="4"/>
  <c r="AV3964" i="4"/>
  <c r="AP3964" i="4"/>
  <c r="AO3964" i="4"/>
  <c r="AN3964" i="4"/>
  <c r="AM3964" i="4"/>
  <c r="BH3964" i="4"/>
  <c r="AX3963" i="4"/>
  <c r="AW3963" i="4"/>
  <c r="AV3963" i="4"/>
  <c r="AP3963" i="4"/>
  <c r="AO3963" i="4"/>
  <c r="AN3963" i="4"/>
  <c r="AM3963" i="4"/>
  <c r="BH3963" i="4"/>
  <c r="AX3962" i="4"/>
  <c r="AW3962" i="4"/>
  <c r="AV3962" i="4"/>
  <c r="AP3962" i="4"/>
  <c r="AO3962" i="4"/>
  <c r="AN3962" i="4"/>
  <c r="AM3962" i="4"/>
  <c r="BH3962" i="4"/>
  <c r="AX3961" i="4"/>
  <c r="AW3961" i="4"/>
  <c r="AV3961" i="4"/>
  <c r="AP3961" i="4"/>
  <c r="AO3961" i="4"/>
  <c r="AN3961" i="4"/>
  <c r="AM3961" i="4"/>
  <c r="BH3961" i="4"/>
  <c r="AX3960" i="4"/>
  <c r="AW3960" i="4"/>
  <c r="AV3960" i="4"/>
  <c r="AP3960" i="4"/>
  <c r="AO3960" i="4"/>
  <c r="AN3960" i="4"/>
  <c r="AM3960" i="4"/>
  <c r="BH3960" i="4"/>
  <c r="AX3959" i="4"/>
  <c r="AW3959" i="4"/>
  <c r="AV3959" i="4"/>
  <c r="AP3959" i="4"/>
  <c r="AO3959" i="4"/>
  <c r="AN3959" i="4"/>
  <c r="AM3959" i="4"/>
  <c r="BH3959" i="4"/>
  <c r="AX3958" i="4"/>
  <c r="AW3958" i="4"/>
  <c r="AV3958" i="4"/>
  <c r="AP3958" i="4"/>
  <c r="AO3958" i="4"/>
  <c r="AN3958" i="4"/>
  <c r="AM3958" i="4"/>
  <c r="BH3958" i="4"/>
  <c r="AX3957" i="4"/>
  <c r="AW3957" i="4"/>
  <c r="AV3957" i="4"/>
  <c r="AP3957" i="4"/>
  <c r="AO3957" i="4"/>
  <c r="AN3957" i="4"/>
  <c r="AM3957" i="4"/>
  <c r="BH3957" i="4"/>
  <c r="AX3956" i="4"/>
  <c r="AW3956" i="4"/>
  <c r="AV3956" i="4"/>
  <c r="AP3956" i="4"/>
  <c r="AO3956" i="4"/>
  <c r="AN3956" i="4"/>
  <c r="AM3956" i="4"/>
  <c r="BH3956" i="4"/>
  <c r="AX3955" i="4"/>
  <c r="AW3955" i="4"/>
  <c r="AV3955" i="4"/>
  <c r="AP3955" i="4"/>
  <c r="AO3955" i="4"/>
  <c r="AN3955" i="4"/>
  <c r="AM3955" i="4"/>
  <c r="BH3955" i="4"/>
  <c r="AX3954" i="4"/>
  <c r="AW3954" i="4"/>
  <c r="AV3954" i="4"/>
  <c r="AP3954" i="4"/>
  <c r="AO3954" i="4"/>
  <c r="AN3954" i="4"/>
  <c r="AM3954" i="4"/>
  <c r="BH3954" i="4"/>
  <c r="AX3953" i="4"/>
  <c r="AW3953" i="4"/>
  <c r="AV3953" i="4"/>
  <c r="AP3953" i="4"/>
  <c r="AO3953" i="4"/>
  <c r="AN3953" i="4"/>
  <c r="AM3953" i="4"/>
  <c r="BH3953" i="4"/>
  <c r="AX3952" i="4"/>
  <c r="AW3952" i="4"/>
  <c r="AV3952" i="4"/>
  <c r="AP3952" i="4"/>
  <c r="AO3952" i="4"/>
  <c r="AN3952" i="4"/>
  <c r="AM3952" i="4"/>
  <c r="BH3952" i="4"/>
  <c r="AX3951" i="4"/>
  <c r="AW3951" i="4"/>
  <c r="AV3951" i="4"/>
  <c r="AP3951" i="4"/>
  <c r="AO3951" i="4"/>
  <c r="AN3951" i="4"/>
  <c r="AM3951" i="4"/>
  <c r="BH3951" i="4"/>
  <c r="AX3950" i="4"/>
  <c r="AW3950" i="4"/>
  <c r="AV3950" i="4"/>
  <c r="AP3950" i="4"/>
  <c r="AO3950" i="4"/>
  <c r="AN3950" i="4"/>
  <c r="AM3950" i="4"/>
  <c r="BH3950" i="4"/>
  <c r="AX3949" i="4"/>
  <c r="AW3949" i="4"/>
  <c r="AV3949" i="4"/>
  <c r="AP3949" i="4"/>
  <c r="AO3949" i="4"/>
  <c r="AN3949" i="4"/>
  <c r="AM3949" i="4"/>
  <c r="BH3949" i="4"/>
  <c r="AX3948" i="4"/>
  <c r="AW3948" i="4"/>
  <c r="AV3948" i="4"/>
  <c r="AP3948" i="4"/>
  <c r="AO3948" i="4"/>
  <c r="AN3948" i="4"/>
  <c r="AM3948" i="4"/>
  <c r="BH3948" i="4"/>
  <c r="AX3947" i="4"/>
  <c r="AW3947" i="4"/>
  <c r="AV3947" i="4"/>
  <c r="AP3947" i="4"/>
  <c r="AO3947" i="4"/>
  <c r="AN3947" i="4"/>
  <c r="AM3947" i="4"/>
  <c r="BH3947" i="4"/>
  <c r="AX3946" i="4"/>
  <c r="AW3946" i="4"/>
  <c r="AV3946" i="4"/>
  <c r="AP3946" i="4"/>
  <c r="AO3946" i="4"/>
  <c r="AN3946" i="4"/>
  <c r="AM3946" i="4"/>
  <c r="BH3946" i="4"/>
  <c r="AX3945" i="4"/>
  <c r="AW3945" i="4"/>
  <c r="AV3945" i="4"/>
  <c r="AP3945" i="4"/>
  <c r="AO3945" i="4"/>
  <c r="AN3945" i="4"/>
  <c r="AM3945" i="4"/>
  <c r="BH3945" i="4"/>
  <c r="AX3944" i="4"/>
  <c r="AW3944" i="4"/>
  <c r="AV3944" i="4"/>
  <c r="AP3944" i="4"/>
  <c r="AO3944" i="4"/>
  <c r="AN3944" i="4"/>
  <c r="AM3944" i="4"/>
  <c r="BH3944" i="4"/>
  <c r="AX3943" i="4"/>
  <c r="AW3943" i="4"/>
  <c r="AV3943" i="4"/>
  <c r="AP3943" i="4"/>
  <c r="AO3943" i="4"/>
  <c r="AN3943" i="4"/>
  <c r="AM3943" i="4"/>
  <c r="BH3943" i="4"/>
  <c r="AX3942" i="4"/>
  <c r="AW3942" i="4"/>
  <c r="AV3942" i="4"/>
  <c r="AP3942" i="4"/>
  <c r="AO3942" i="4"/>
  <c r="AN3942" i="4"/>
  <c r="AM3942" i="4"/>
  <c r="BH3942" i="4"/>
  <c r="AX3941" i="4"/>
  <c r="AW3941" i="4"/>
  <c r="AV3941" i="4"/>
  <c r="AP3941" i="4"/>
  <c r="AO3941" i="4"/>
  <c r="AN3941" i="4"/>
  <c r="AM3941" i="4"/>
  <c r="BH3941" i="4"/>
  <c r="AX3940" i="4"/>
  <c r="AW3940" i="4"/>
  <c r="AV3940" i="4"/>
  <c r="AP3940" i="4"/>
  <c r="AO3940" i="4"/>
  <c r="AN3940" i="4"/>
  <c r="AM3940" i="4"/>
  <c r="BH3940" i="4"/>
  <c r="AX3939" i="4"/>
  <c r="AW3939" i="4"/>
  <c r="AV3939" i="4"/>
  <c r="AP3939" i="4"/>
  <c r="AO3939" i="4"/>
  <c r="AN3939" i="4"/>
  <c r="AM3939" i="4"/>
  <c r="BH3939" i="4"/>
  <c r="AX3938" i="4"/>
  <c r="AW3938" i="4"/>
  <c r="AV3938" i="4"/>
  <c r="AP3938" i="4"/>
  <c r="AO3938" i="4"/>
  <c r="AN3938" i="4"/>
  <c r="AM3938" i="4"/>
  <c r="BH3938" i="4"/>
  <c r="AX3937" i="4"/>
  <c r="AW3937" i="4"/>
  <c r="AV3937" i="4"/>
  <c r="AP3937" i="4"/>
  <c r="AO3937" i="4"/>
  <c r="AN3937" i="4"/>
  <c r="AM3937" i="4"/>
  <c r="BH3937" i="4"/>
  <c r="AX3936" i="4"/>
  <c r="AW3936" i="4"/>
  <c r="AV3936" i="4"/>
  <c r="AP3936" i="4"/>
  <c r="AO3936" i="4"/>
  <c r="AN3936" i="4"/>
  <c r="AM3936" i="4"/>
  <c r="BH3936" i="4"/>
  <c r="AX3935" i="4"/>
  <c r="AW3935" i="4"/>
  <c r="AV3935" i="4"/>
  <c r="AP3935" i="4"/>
  <c r="AO3935" i="4"/>
  <c r="AN3935" i="4"/>
  <c r="AM3935" i="4"/>
  <c r="BH3935" i="4"/>
  <c r="AX3934" i="4"/>
  <c r="AW3934" i="4"/>
  <c r="AV3934" i="4"/>
  <c r="AP3934" i="4"/>
  <c r="AO3934" i="4"/>
  <c r="AN3934" i="4"/>
  <c r="AM3934" i="4"/>
  <c r="BH3934" i="4"/>
  <c r="AX3933" i="4"/>
  <c r="AW3933" i="4"/>
  <c r="AV3933" i="4"/>
  <c r="AP3933" i="4"/>
  <c r="AO3933" i="4"/>
  <c r="AN3933" i="4"/>
  <c r="AM3933" i="4"/>
  <c r="BH3933" i="4"/>
  <c r="AX3932" i="4"/>
  <c r="AW3932" i="4"/>
  <c r="AV3932" i="4"/>
  <c r="AP3932" i="4"/>
  <c r="AO3932" i="4"/>
  <c r="AN3932" i="4"/>
  <c r="AM3932" i="4"/>
  <c r="BH3932" i="4"/>
  <c r="AX3931" i="4"/>
  <c r="AW3931" i="4"/>
  <c r="AV3931" i="4"/>
  <c r="AP3931" i="4"/>
  <c r="AO3931" i="4"/>
  <c r="AN3931" i="4"/>
  <c r="AM3931" i="4"/>
  <c r="BH3931" i="4"/>
  <c r="AX3930" i="4"/>
  <c r="AW3930" i="4"/>
  <c r="AV3930" i="4"/>
  <c r="AP3930" i="4"/>
  <c r="AO3930" i="4"/>
  <c r="AN3930" i="4"/>
  <c r="AM3930" i="4"/>
  <c r="BH3930" i="4"/>
  <c r="AX3929" i="4"/>
  <c r="AW3929" i="4"/>
  <c r="AV3929" i="4"/>
  <c r="AP3929" i="4"/>
  <c r="AO3929" i="4"/>
  <c r="AN3929" i="4"/>
  <c r="AM3929" i="4"/>
  <c r="BH3929" i="4"/>
  <c r="AX3928" i="4"/>
  <c r="AW3928" i="4"/>
  <c r="AV3928" i="4"/>
  <c r="AP3928" i="4"/>
  <c r="AO3928" i="4"/>
  <c r="AN3928" i="4"/>
  <c r="AM3928" i="4"/>
  <c r="BH3928" i="4"/>
  <c r="AX3927" i="4"/>
  <c r="AW3927" i="4"/>
  <c r="AV3927" i="4"/>
  <c r="AP3927" i="4"/>
  <c r="AO3927" i="4"/>
  <c r="AN3927" i="4"/>
  <c r="AM3927" i="4"/>
  <c r="BH3927" i="4"/>
  <c r="AX3926" i="4"/>
  <c r="AW3926" i="4"/>
  <c r="AV3926" i="4"/>
  <c r="AP3926" i="4"/>
  <c r="AO3926" i="4"/>
  <c r="AN3926" i="4"/>
  <c r="AM3926" i="4"/>
  <c r="BH3926" i="4"/>
  <c r="AX3925" i="4"/>
  <c r="AW3925" i="4"/>
  <c r="AV3925" i="4"/>
  <c r="AP3925" i="4"/>
  <c r="AO3925" i="4"/>
  <c r="AN3925" i="4"/>
  <c r="AM3925" i="4"/>
  <c r="BH3925" i="4"/>
  <c r="AX3924" i="4"/>
  <c r="AW3924" i="4"/>
  <c r="AV3924" i="4"/>
  <c r="AP3924" i="4"/>
  <c r="AO3924" i="4"/>
  <c r="AN3924" i="4"/>
  <c r="AM3924" i="4"/>
  <c r="BH3924" i="4"/>
  <c r="AX3923" i="4"/>
  <c r="AW3923" i="4"/>
  <c r="AV3923" i="4"/>
  <c r="AP3923" i="4"/>
  <c r="AO3923" i="4"/>
  <c r="AN3923" i="4"/>
  <c r="AM3923" i="4"/>
  <c r="BH3923" i="4"/>
  <c r="AX3922" i="4"/>
  <c r="AW3922" i="4"/>
  <c r="AV3922" i="4"/>
  <c r="AP3922" i="4"/>
  <c r="AO3922" i="4"/>
  <c r="AN3922" i="4"/>
  <c r="AM3922" i="4"/>
  <c r="BH3922" i="4"/>
  <c r="AX3921" i="4"/>
  <c r="AW3921" i="4"/>
  <c r="AV3921" i="4"/>
  <c r="AP3921" i="4"/>
  <c r="AO3921" i="4"/>
  <c r="AN3921" i="4"/>
  <c r="AM3921" i="4"/>
  <c r="BH3921" i="4"/>
  <c r="AX3920" i="4"/>
  <c r="AW3920" i="4"/>
  <c r="AV3920" i="4"/>
  <c r="AP3920" i="4"/>
  <c r="AO3920" i="4"/>
  <c r="AN3920" i="4"/>
  <c r="AM3920" i="4"/>
  <c r="BH3920" i="4"/>
  <c r="AX3919" i="4"/>
  <c r="AW3919" i="4"/>
  <c r="AV3919" i="4"/>
  <c r="AP3919" i="4"/>
  <c r="AO3919" i="4"/>
  <c r="AN3919" i="4"/>
  <c r="AM3919" i="4"/>
  <c r="BH3919" i="4"/>
  <c r="AX3918" i="4"/>
  <c r="AW3918" i="4"/>
  <c r="AV3918" i="4"/>
  <c r="AP3918" i="4"/>
  <c r="AO3918" i="4"/>
  <c r="AN3918" i="4"/>
  <c r="AM3918" i="4"/>
  <c r="BH3918" i="4"/>
  <c r="AX3917" i="4"/>
  <c r="AW3917" i="4"/>
  <c r="AV3917" i="4"/>
  <c r="AP3917" i="4"/>
  <c r="AO3917" i="4"/>
  <c r="AN3917" i="4"/>
  <c r="AM3917" i="4"/>
  <c r="BH3917" i="4"/>
  <c r="AX3916" i="4"/>
  <c r="AW3916" i="4"/>
  <c r="AV3916" i="4"/>
  <c r="AP3916" i="4"/>
  <c r="AO3916" i="4"/>
  <c r="AN3916" i="4"/>
  <c r="AM3916" i="4"/>
  <c r="BH3916" i="4"/>
  <c r="AX3915" i="4"/>
  <c r="AW3915" i="4"/>
  <c r="AV3915" i="4"/>
  <c r="AP3915" i="4"/>
  <c r="AO3915" i="4"/>
  <c r="AN3915" i="4"/>
  <c r="AM3915" i="4"/>
  <c r="BH3915" i="4"/>
  <c r="AX3914" i="4"/>
  <c r="AW3914" i="4"/>
  <c r="AV3914" i="4"/>
  <c r="AP3914" i="4"/>
  <c r="AO3914" i="4"/>
  <c r="AN3914" i="4"/>
  <c r="AM3914" i="4"/>
  <c r="BH3914" i="4"/>
  <c r="AX3913" i="4"/>
  <c r="AW3913" i="4"/>
  <c r="AV3913" i="4"/>
  <c r="AP3913" i="4"/>
  <c r="AO3913" i="4"/>
  <c r="AN3913" i="4"/>
  <c r="AM3913" i="4"/>
  <c r="BH3913" i="4"/>
  <c r="AX3912" i="4"/>
  <c r="AW3912" i="4"/>
  <c r="AV3912" i="4"/>
  <c r="AP3912" i="4"/>
  <c r="AO3912" i="4"/>
  <c r="AN3912" i="4"/>
  <c r="AM3912" i="4"/>
  <c r="BH3912" i="4"/>
  <c r="AX3911" i="4"/>
  <c r="AW3911" i="4"/>
  <c r="AV3911" i="4"/>
  <c r="AP3911" i="4"/>
  <c r="AO3911" i="4"/>
  <c r="AN3911" i="4"/>
  <c r="AM3911" i="4"/>
  <c r="BH3911" i="4"/>
  <c r="AX3910" i="4"/>
  <c r="AW3910" i="4"/>
  <c r="AV3910" i="4"/>
  <c r="AP3910" i="4"/>
  <c r="AO3910" i="4"/>
  <c r="AN3910" i="4"/>
  <c r="AM3910" i="4"/>
  <c r="BH3910" i="4"/>
  <c r="AX3909" i="4"/>
  <c r="AW3909" i="4"/>
  <c r="AV3909" i="4"/>
  <c r="AP3909" i="4"/>
  <c r="AO3909" i="4"/>
  <c r="AN3909" i="4"/>
  <c r="AM3909" i="4"/>
  <c r="BH3909" i="4"/>
  <c r="AX3908" i="4"/>
  <c r="AW3908" i="4"/>
  <c r="AV3908" i="4"/>
  <c r="AP3908" i="4"/>
  <c r="AO3908" i="4"/>
  <c r="AN3908" i="4"/>
  <c r="AM3908" i="4"/>
  <c r="BH3908" i="4"/>
  <c r="AX3907" i="4"/>
  <c r="AW3907" i="4"/>
  <c r="AV3907" i="4"/>
  <c r="AP3907" i="4"/>
  <c r="AO3907" i="4"/>
  <c r="AN3907" i="4"/>
  <c r="AM3907" i="4"/>
  <c r="BH3907" i="4"/>
  <c r="AX3906" i="4"/>
  <c r="AW3906" i="4"/>
  <c r="AV3906" i="4"/>
  <c r="AP3906" i="4"/>
  <c r="AO3906" i="4"/>
  <c r="AN3906" i="4"/>
  <c r="AM3906" i="4"/>
  <c r="BH3906" i="4"/>
  <c r="AX3905" i="4"/>
  <c r="AW3905" i="4"/>
  <c r="AV3905" i="4"/>
  <c r="AP3905" i="4"/>
  <c r="AO3905" i="4"/>
  <c r="AN3905" i="4"/>
  <c r="AM3905" i="4"/>
  <c r="BH3905" i="4"/>
  <c r="AX3904" i="4"/>
  <c r="AW3904" i="4"/>
  <c r="AV3904" i="4"/>
  <c r="AP3904" i="4"/>
  <c r="AO3904" i="4"/>
  <c r="AN3904" i="4"/>
  <c r="AM3904" i="4"/>
  <c r="BH3904" i="4"/>
  <c r="AX3903" i="4"/>
  <c r="AW3903" i="4"/>
  <c r="AV3903" i="4"/>
  <c r="AP3903" i="4"/>
  <c r="AO3903" i="4"/>
  <c r="AN3903" i="4"/>
  <c r="AM3903" i="4"/>
  <c r="BH3903" i="4"/>
  <c r="AX3902" i="4"/>
  <c r="AW3902" i="4"/>
  <c r="AV3902" i="4"/>
  <c r="AP3902" i="4"/>
  <c r="AO3902" i="4"/>
  <c r="AN3902" i="4"/>
  <c r="AM3902" i="4"/>
  <c r="BH3902" i="4"/>
  <c r="AX3901" i="4"/>
  <c r="AW3901" i="4"/>
  <c r="AV3901" i="4"/>
  <c r="AP3901" i="4"/>
  <c r="AO3901" i="4"/>
  <c r="AN3901" i="4"/>
  <c r="AM3901" i="4"/>
  <c r="BH3901" i="4"/>
  <c r="AX3900" i="4"/>
  <c r="AW3900" i="4"/>
  <c r="AV3900" i="4"/>
  <c r="AP3900" i="4"/>
  <c r="AO3900" i="4"/>
  <c r="AN3900" i="4"/>
  <c r="AM3900" i="4"/>
  <c r="BH3900" i="4"/>
  <c r="AX3899" i="4"/>
  <c r="AW3899" i="4"/>
  <c r="AV3899" i="4"/>
  <c r="AP3899" i="4"/>
  <c r="AO3899" i="4"/>
  <c r="AN3899" i="4"/>
  <c r="AM3899" i="4"/>
  <c r="BH3899" i="4"/>
  <c r="AX3898" i="4"/>
  <c r="AW3898" i="4"/>
  <c r="AV3898" i="4"/>
  <c r="AP3898" i="4"/>
  <c r="AO3898" i="4"/>
  <c r="AN3898" i="4"/>
  <c r="AM3898" i="4"/>
  <c r="BH3898" i="4"/>
  <c r="AX3897" i="4"/>
  <c r="AW3897" i="4"/>
  <c r="AV3897" i="4"/>
  <c r="AP3897" i="4"/>
  <c r="AO3897" i="4"/>
  <c r="AN3897" i="4"/>
  <c r="AM3897" i="4"/>
  <c r="BH3897" i="4"/>
  <c r="AX3896" i="4"/>
  <c r="AW3896" i="4"/>
  <c r="AV3896" i="4"/>
  <c r="AP3896" i="4"/>
  <c r="AO3896" i="4"/>
  <c r="AN3896" i="4"/>
  <c r="AM3896" i="4"/>
  <c r="BH3896" i="4"/>
  <c r="AX3895" i="4"/>
  <c r="AW3895" i="4"/>
  <c r="AV3895" i="4"/>
  <c r="AP3895" i="4"/>
  <c r="AO3895" i="4"/>
  <c r="AN3895" i="4"/>
  <c r="AM3895" i="4"/>
  <c r="BH3895" i="4"/>
  <c r="AX3894" i="4"/>
  <c r="AW3894" i="4"/>
  <c r="AV3894" i="4"/>
  <c r="AP3894" i="4"/>
  <c r="AO3894" i="4"/>
  <c r="AN3894" i="4"/>
  <c r="AM3894" i="4"/>
  <c r="BH3894" i="4"/>
  <c r="AX3893" i="4"/>
  <c r="AW3893" i="4"/>
  <c r="AV3893" i="4"/>
  <c r="AP3893" i="4"/>
  <c r="AO3893" i="4"/>
  <c r="AN3893" i="4"/>
  <c r="AM3893" i="4"/>
  <c r="BH3893" i="4"/>
  <c r="AX3892" i="4"/>
  <c r="AW3892" i="4"/>
  <c r="AV3892" i="4"/>
  <c r="AP3892" i="4"/>
  <c r="AO3892" i="4"/>
  <c r="AN3892" i="4"/>
  <c r="AM3892" i="4"/>
  <c r="BH3892" i="4"/>
  <c r="AX3891" i="4"/>
  <c r="AW3891" i="4"/>
  <c r="AV3891" i="4"/>
  <c r="AP3891" i="4"/>
  <c r="AO3891" i="4"/>
  <c r="AN3891" i="4"/>
  <c r="AM3891" i="4"/>
  <c r="BH3891" i="4"/>
  <c r="AX3890" i="4"/>
  <c r="AW3890" i="4"/>
  <c r="AV3890" i="4"/>
  <c r="AP3890" i="4"/>
  <c r="AO3890" i="4"/>
  <c r="AN3890" i="4"/>
  <c r="AM3890" i="4"/>
  <c r="BH3890" i="4"/>
  <c r="AX3889" i="4"/>
  <c r="AW3889" i="4"/>
  <c r="AV3889" i="4"/>
  <c r="AP3889" i="4"/>
  <c r="AO3889" i="4"/>
  <c r="AN3889" i="4"/>
  <c r="AM3889" i="4"/>
  <c r="BH3889" i="4"/>
  <c r="AX3888" i="4"/>
  <c r="AW3888" i="4"/>
  <c r="AV3888" i="4"/>
  <c r="AP3888" i="4"/>
  <c r="AO3888" i="4"/>
  <c r="AN3888" i="4"/>
  <c r="AM3888" i="4"/>
  <c r="BH3888" i="4"/>
  <c r="AX3887" i="4"/>
  <c r="AW3887" i="4"/>
  <c r="AV3887" i="4"/>
  <c r="AP3887" i="4"/>
  <c r="AO3887" i="4"/>
  <c r="AN3887" i="4"/>
  <c r="AM3887" i="4"/>
  <c r="BH3887" i="4"/>
  <c r="AX3886" i="4"/>
  <c r="AW3886" i="4"/>
  <c r="AV3886" i="4"/>
  <c r="AP3886" i="4"/>
  <c r="AO3886" i="4"/>
  <c r="AN3886" i="4"/>
  <c r="AM3886" i="4"/>
  <c r="BH3886" i="4"/>
  <c r="AX3885" i="4"/>
  <c r="AW3885" i="4"/>
  <c r="AV3885" i="4"/>
  <c r="AP3885" i="4"/>
  <c r="AO3885" i="4"/>
  <c r="AN3885" i="4"/>
  <c r="AM3885" i="4"/>
  <c r="BH3885" i="4"/>
  <c r="AX3884" i="4"/>
  <c r="AW3884" i="4"/>
  <c r="AV3884" i="4"/>
  <c r="AP3884" i="4"/>
  <c r="AO3884" i="4"/>
  <c r="AN3884" i="4"/>
  <c r="AM3884" i="4"/>
  <c r="BH3884" i="4"/>
  <c r="AX3883" i="4"/>
  <c r="AW3883" i="4"/>
  <c r="AV3883" i="4"/>
  <c r="AP3883" i="4"/>
  <c r="AO3883" i="4"/>
  <c r="AN3883" i="4"/>
  <c r="AM3883" i="4"/>
  <c r="BH3883" i="4"/>
  <c r="AX3882" i="4"/>
  <c r="AW3882" i="4"/>
  <c r="AV3882" i="4"/>
  <c r="AP3882" i="4"/>
  <c r="AO3882" i="4"/>
  <c r="AN3882" i="4"/>
  <c r="AM3882" i="4"/>
  <c r="BH3882" i="4"/>
  <c r="AX3881" i="4"/>
  <c r="AW3881" i="4"/>
  <c r="AV3881" i="4"/>
  <c r="AP3881" i="4"/>
  <c r="AO3881" i="4"/>
  <c r="AN3881" i="4"/>
  <c r="AM3881" i="4"/>
  <c r="BH3881" i="4"/>
  <c r="AX3880" i="4"/>
  <c r="AW3880" i="4"/>
  <c r="AV3880" i="4"/>
  <c r="AP3880" i="4"/>
  <c r="AO3880" i="4"/>
  <c r="AN3880" i="4"/>
  <c r="AM3880" i="4"/>
  <c r="BH3880" i="4"/>
  <c r="AX3879" i="4"/>
  <c r="AW3879" i="4"/>
  <c r="AV3879" i="4"/>
  <c r="AP3879" i="4"/>
  <c r="AO3879" i="4"/>
  <c r="AN3879" i="4"/>
  <c r="AM3879" i="4"/>
  <c r="BH3879" i="4"/>
  <c r="AX3878" i="4"/>
  <c r="AW3878" i="4"/>
  <c r="AV3878" i="4"/>
  <c r="AP3878" i="4"/>
  <c r="AO3878" i="4"/>
  <c r="AN3878" i="4"/>
  <c r="AM3878" i="4"/>
  <c r="BH3878" i="4"/>
  <c r="AX3877" i="4"/>
  <c r="AW3877" i="4"/>
  <c r="AV3877" i="4"/>
  <c r="AP3877" i="4"/>
  <c r="AO3877" i="4"/>
  <c r="AN3877" i="4"/>
  <c r="AM3877" i="4"/>
  <c r="BH3877" i="4"/>
  <c r="AX3876" i="4"/>
  <c r="AW3876" i="4"/>
  <c r="AV3876" i="4"/>
  <c r="AP3876" i="4"/>
  <c r="AO3876" i="4"/>
  <c r="AN3876" i="4"/>
  <c r="AM3876" i="4"/>
  <c r="BH3876" i="4"/>
  <c r="AX3875" i="4"/>
  <c r="AW3875" i="4"/>
  <c r="AV3875" i="4"/>
  <c r="AP3875" i="4"/>
  <c r="AO3875" i="4"/>
  <c r="AN3875" i="4"/>
  <c r="AM3875" i="4"/>
  <c r="BH3875" i="4"/>
  <c r="AX3874" i="4"/>
  <c r="AW3874" i="4"/>
  <c r="AV3874" i="4"/>
  <c r="AP3874" i="4"/>
  <c r="AO3874" i="4"/>
  <c r="AN3874" i="4"/>
  <c r="AM3874" i="4"/>
  <c r="BH3874" i="4"/>
  <c r="AX3873" i="4"/>
  <c r="AW3873" i="4"/>
  <c r="AV3873" i="4"/>
  <c r="AP3873" i="4"/>
  <c r="AO3873" i="4"/>
  <c r="AN3873" i="4"/>
  <c r="AM3873" i="4"/>
  <c r="BH3873" i="4"/>
  <c r="AX3872" i="4"/>
  <c r="AW3872" i="4"/>
  <c r="AV3872" i="4"/>
  <c r="AP3872" i="4"/>
  <c r="AO3872" i="4"/>
  <c r="AN3872" i="4"/>
  <c r="AM3872" i="4"/>
  <c r="BH3872" i="4"/>
  <c r="AX3871" i="4"/>
  <c r="AW3871" i="4"/>
  <c r="AV3871" i="4"/>
  <c r="AP3871" i="4"/>
  <c r="AO3871" i="4"/>
  <c r="AN3871" i="4"/>
  <c r="AM3871" i="4"/>
  <c r="BH3871" i="4"/>
  <c r="AX3870" i="4"/>
  <c r="AW3870" i="4"/>
  <c r="AV3870" i="4"/>
  <c r="AP3870" i="4"/>
  <c r="AO3870" i="4"/>
  <c r="AN3870" i="4"/>
  <c r="AM3870" i="4"/>
  <c r="BH3870" i="4"/>
  <c r="AX3869" i="4"/>
  <c r="AW3869" i="4"/>
  <c r="AV3869" i="4"/>
  <c r="AP3869" i="4"/>
  <c r="AO3869" i="4"/>
  <c r="AN3869" i="4"/>
  <c r="AM3869" i="4"/>
  <c r="BH3869" i="4"/>
  <c r="AX3868" i="4"/>
  <c r="AW3868" i="4"/>
  <c r="AV3868" i="4"/>
  <c r="AP3868" i="4"/>
  <c r="AO3868" i="4"/>
  <c r="AN3868" i="4"/>
  <c r="AM3868" i="4"/>
  <c r="BH3868" i="4"/>
  <c r="AX3867" i="4"/>
  <c r="AW3867" i="4"/>
  <c r="AV3867" i="4"/>
  <c r="AP3867" i="4"/>
  <c r="AO3867" i="4"/>
  <c r="AN3867" i="4"/>
  <c r="AM3867" i="4"/>
  <c r="BH3867" i="4"/>
  <c r="AX3866" i="4"/>
  <c r="AW3866" i="4"/>
  <c r="AV3866" i="4"/>
  <c r="AP3866" i="4"/>
  <c r="AO3866" i="4"/>
  <c r="AN3866" i="4"/>
  <c r="AM3866" i="4"/>
  <c r="BH3866" i="4"/>
  <c r="AX3865" i="4"/>
  <c r="AW3865" i="4"/>
  <c r="AV3865" i="4"/>
  <c r="AP3865" i="4"/>
  <c r="AO3865" i="4"/>
  <c r="AN3865" i="4"/>
  <c r="AM3865" i="4"/>
  <c r="BH3865" i="4"/>
  <c r="AX3864" i="4"/>
  <c r="AW3864" i="4"/>
  <c r="AV3864" i="4"/>
  <c r="AP3864" i="4"/>
  <c r="AO3864" i="4"/>
  <c r="AN3864" i="4"/>
  <c r="AM3864" i="4"/>
  <c r="BH3864" i="4"/>
  <c r="AX3863" i="4"/>
  <c r="AW3863" i="4"/>
  <c r="AV3863" i="4"/>
  <c r="AP3863" i="4"/>
  <c r="AO3863" i="4"/>
  <c r="AN3863" i="4"/>
  <c r="AM3863" i="4"/>
  <c r="BH3863" i="4"/>
  <c r="AX3862" i="4"/>
  <c r="AW3862" i="4"/>
  <c r="AV3862" i="4"/>
  <c r="AP3862" i="4"/>
  <c r="AO3862" i="4"/>
  <c r="AN3862" i="4"/>
  <c r="AM3862" i="4"/>
  <c r="BH3862" i="4"/>
  <c r="AX3861" i="4"/>
  <c r="AW3861" i="4"/>
  <c r="AV3861" i="4"/>
  <c r="AP3861" i="4"/>
  <c r="AO3861" i="4"/>
  <c r="AN3861" i="4"/>
  <c r="AM3861" i="4"/>
  <c r="BH3861" i="4"/>
  <c r="AX3860" i="4"/>
  <c r="AW3860" i="4"/>
  <c r="AV3860" i="4"/>
  <c r="AP3860" i="4"/>
  <c r="AO3860" i="4"/>
  <c r="AN3860" i="4"/>
  <c r="AM3860" i="4"/>
  <c r="BH3860" i="4"/>
  <c r="AX3859" i="4"/>
  <c r="AW3859" i="4"/>
  <c r="AV3859" i="4"/>
  <c r="AP3859" i="4"/>
  <c r="AO3859" i="4"/>
  <c r="AN3859" i="4"/>
  <c r="AM3859" i="4"/>
  <c r="BH3859" i="4"/>
  <c r="AX3858" i="4"/>
  <c r="AW3858" i="4"/>
  <c r="AV3858" i="4"/>
  <c r="AP3858" i="4"/>
  <c r="AO3858" i="4"/>
  <c r="AN3858" i="4"/>
  <c r="AM3858" i="4"/>
  <c r="BH3858" i="4"/>
  <c r="AX3857" i="4"/>
  <c r="AW3857" i="4"/>
  <c r="AV3857" i="4"/>
  <c r="AP3857" i="4"/>
  <c r="AO3857" i="4"/>
  <c r="AN3857" i="4"/>
  <c r="AM3857" i="4"/>
  <c r="BH3857" i="4"/>
  <c r="AX3856" i="4"/>
  <c r="AW3856" i="4"/>
  <c r="AV3856" i="4"/>
  <c r="AP3856" i="4"/>
  <c r="AO3856" i="4"/>
  <c r="AN3856" i="4"/>
  <c r="AM3856" i="4"/>
  <c r="BH3856" i="4"/>
  <c r="AX3855" i="4"/>
  <c r="AW3855" i="4"/>
  <c r="AV3855" i="4"/>
  <c r="AP3855" i="4"/>
  <c r="AO3855" i="4"/>
  <c r="AN3855" i="4"/>
  <c r="AM3855" i="4"/>
  <c r="BH3855" i="4"/>
  <c r="AX3854" i="4"/>
  <c r="AW3854" i="4"/>
  <c r="AV3854" i="4"/>
  <c r="AP3854" i="4"/>
  <c r="AO3854" i="4"/>
  <c r="AN3854" i="4"/>
  <c r="AM3854" i="4"/>
  <c r="BH3854" i="4"/>
  <c r="AX3853" i="4"/>
  <c r="AW3853" i="4"/>
  <c r="AV3853" i="4"/>
  <c r="AP3853" i="4"/>
  <c r="AO3853" i="4"/>
  <c r="AN3853" i="4"/>
  <c r="AM3853" i="4"/>
  <c r="BH3853" i="4"/>
  <c r="AX3852" i="4"/>
  <c r="AW3852" i="4"/>
  <c r="AV3852" i="4"/>
  <c r="AP3852" i="4"/>
  <c r="AO3852" i="4"/>
  <c r="AN3852" i="4"/>
  <c r="AM3852" i="4"/>
  <c r="BH3852" i="4"/>
  <c r="AX3851" i="4"/>
  <c r="AW3851" i="4"/>
  <c r="AV3851" i="4"/>
  <c r="AP3851" i="4"/>
  <c r="AO3851" i="4"/>
  <c r="AN3851" i="4"/>
  <c r="AM3851" i="4"/>
  <c r="BH3851" i="4"/>
  <c r="AX3850" i="4"/>
  <c r="AW3850" i="4"/>
  <c r="AV3850" i="4"/>
  <c r="AP3850" i="4"/>
  <c r="AO3850" i="4"/>
  <c r="AN3850" i="4"/>
  <c r="AM3850" i="4"/>
  <c r="BH3850" i="4"/>
  <c r="AX3849" i="4"/>
  <c r="AW3849" i="4"/>
  <c r="AV3849" i="4"/>
  <c r="AP3849" i="4"/>
  <c r="AO3849" i="4"/>
  <c r="AN3849" i="4"/>
  <c r="AM3849" i="4"/>
  <c r="BH3849" i="4"/>
  <c r="AX3848" i="4"/>
  <c r="AW3848" i="4"/>
  <c r="AV3848" i="4"/>
  <c r="AP3848" i="4"/>
  <c r="AO3848" i="4"/>
  <c r="AN3848" i="4"/>
  <c r="AM3848" i="4"/>
  <c r="BH3848" i="4"/>
  <c r="AX3847" i="4"/>
  <c r="AW3847" i="4"/>
  <c r="AV3847" i="4"/>
  <c r="AP3847" i="4"/>
  <c r="AO3847" i="4"/>
  <c r="AN3847" i="4"/>
  <c r="AM3847" i="4"/>
  <c r="BH3847" i="4"/>
  <c r="AX3846" i="4"/>
  <c r="AW3846" i="4"/>
  <c r="AV3846" i="4"/>
  <c r="AP3846" i="4"/>
  <c r="AO3846" i="4"/>
  <c r="AN3846" i="4"/>
  <c r="AM3846" i="4"/>
  <c r="BH3846" i="4"/>
  <c r="AX3845" i="4"/>
  <c r="AW3845" i="4"/>
  <c r="AV3845" i="4"/>
  <c r="AP3845" i="4"/>
  <c r="AO3845" i="4"/>
  <c r="AN3845" i="4"/>
  <c r="AM3845" i="4"/>
  <c r="BH3845" i="4"/>
  <c r="AX3844" i="4"/>
  <c r="AW3844" i="4"/>
  <c r="AV3844" i="4"/>
  <c r="AP3844" i="4"/>
  <c r="AO3844" i="4"/>
  <c r="AN3844" i="4"/>
  <c r="AM3844" i="4"/>
  <c r="BH3844" i="4"/>
  <c r="AX3843" i="4"/>
  <c r="AW3843" i="4"/>
  <c r="AV3843" i="4"/>
  <c r="AP3843" i="4"/>
  <c r="AO3843" i="4"/>
  <c r="AN3843" i="4"/>
  <c r="AM3843" i="4"/>
  <c r="BH3843" i="4"/>
  <c r="AX3842" i="4"/>
  <c r="AW3842" i="4"/>
  <c r="AV3842" i="4"/>
  <c r="AP3842" i="4"/>
  <c r="AO3842" i="4"/>
  <c r="AN3842" i="4"/>
  <c r="AM3842" i="4"/>
  <c r="BH3842" i="4"/>
  <c r="AX3841" i="4"/>
  <c r="AW3841" i="4"/>
  <c r="AV3841" i="4"/>
  <c r="AP3841" i="4"/>
  <c r="AO3841" i="4"/>
  <c r="AN3841" i="4"/>
  <c r="AM3841" i="4"/>
  <c r="BH3841" i="4"/>
  <c r="AX3840" i="4"/>
  <c r="AW3840" i="4"/>
  <c r="AV3840" i="4"/>
  <c r="AP3840" i="4"/>
  <c r="AO3840" i="4"/>
  <c r="AN3840" i="4"/>
  <c r="AM3840" i="4"/>
  <c r="BH3840" i="4"/>
  <c r="AX3839" i="4"/>
  <c r="AW3839" i="4"/>
  <c r="AV3839" i="4"/>
  <c r="AP3839" i="4"/>
  <c r="AO3839" i="4"/>
  <c r="AN3839" i="4"/>
  <c r="AM3839" i="4"/>
  <c r="BH3839" i="4"/>
  <c r="AX3838" i="4"/>
  <c r="AW3838" i="4"/>
  <c r="AV3838" i="4"/>
  <c r="AP3838" i="4"/>
  <c r="AO3838" i="4"/>
  <c r="AN3838" i="4"/>
  <c r="AM3838" i="4"/>
  <c r="BH3838" i="4"/>
  <c r="AX3837" i="4"/>
  <c r="AW3837" i="4"/>
  <c r="AV3837" i="4"/>
  <c r="AP3837" i="4"/>
  <c r="AO3837" i="4"/>
  <c r="AN3837" i="4"/>
  <c r="AM3837" i="4"/>
  <c r="BH3837" i="4"/>
  <c r="AX3836" i="4"/>
  <c r="AW3836" i="4"/>
  <c r="AV3836" i="4"/>
  <c r="AP3836" i="4"/>
  <c r="AO3836" i="4"/>
  <c r="AN3836" i="4"/>
  <c r="AM3836" i="4"/>
  <c r="BH3836" i="4"/>
  <c r="AX3835" i="4"/>
  <c r="AW3835" i="4"/>
  <c r="AV3835" i="4"/>
  <c r="AP3835" i="4"/>
  <c r="AO3835" i="4"/>
  <c r="AN3835" i="4"/>
  <c r="AM3835" i="4"/>
  <c r="BH3835" i="4"/>
  <c r="AX3834" i="4"/>
  <c r="AW3834" i="4"/>
  <c r="AV3834" i="4"/>
  <c r="AP3834" i="4"/>
  <c r="AO3834" i="4"/>
  <c r="AN3834" i="4"/>
  <c r="AM3834" i="4"/>
  <c r="BH3834" i="4"/>
  <c r="AX3833" i="4"/>
  <c r="AW3833" i="4"/>
  <c r="AV3833" i="4"/>
  <c r="AP3833" i="4"/>
  <c r="AO3833" i="4"/>
  <c r="AN3833" i="4"/>
  <c r="AM3833" i="4"/>
  <c r="BH3833" i="4"/>
  <c r="AX3832" i="4"/>
  <c r="AW3832" i="4"/>
  <c r="AV3832" i="4"/>
  <c r="AP3832" i="4"/>
  <c r="AO3832" i="4"/>
  <c r="AN3832" i="4"/>
  <c r="AM3832" i="4"/>
  <c r="BH3832" i="4"/>
  <c r="AX3831" i="4"/>
  <c r="AW3831" i="4"/>
  <c r="AV3831" i="4"/>
  <c r="AP3831" i="4"/>
  <c r="AO3831" i="4"/>
  <c r="AN3831" i="4"/>
  <c r="AM3831" i="4"/>
  <c r="BH3831" i="4"/>
  <c r="AX3830" i="4"/>
  <c r="AW3830" i="4"/>
  <c r="AV3830" i="4"/>
  <c r="AP3830" i="4"/>
  <c r="AO3830" i="4"/>
  <c r="AN3830" i="4"/>
  <c r="AM3830" i="4"/>
  <c r="BH3830" i="4"/>
  <c r="AX3829" i="4"/>
  <c r="AW3829" i="4"/>
  <c r="AV3829" i="4"/>
  <c r="AP3829" i="4"/>
  <c r="AO3829" i="4"/>
  <c r="AN3829" i="4"/>
  <c r="AM3829" i="4"/>
  <c r="BH3829" i="4"/>
  <c r="AX3828" i="4"/>
  <c r="AW3828" i="4"/>
  <c r="AV3828" i="4"/>
  <c r="AP3828" i="4"/>
  <c r="AO3828" i="4"/>
  <c r="AN3828" i="4"/>
  <c r="AM3828" i="4"/>
  <c r="BH3828" i="4"/>
  <c r="AX3827" i="4"/>
  <c r="AW3827" i="4"/>
  <c r="AV3827" i="4"/>
  <c r="AP3827" i="4"/>
  <c r="AO3827" i="4"/>
  <c r="AN3827" i="4"/>
  <c r="AM3827" i="4"/>
  <c r="BH3827" i="4"/>
  <c r="AX3826" i="4"/>
  <c r="AW3826" i="4"/>
  <c r="AV3826" i="4"/>
  <c r="AP3826" i="4"/>
  <c r="AO3826" i="4"/>
  <c r="AN3826" i="4"/>
  <c r="AM3826" i="4"/>
  <c r="BH3826" i="4"/>
  <c r="AX3825" i="4"/>
  <c r="AW3825" i="4"/>
  <c r="AV3825" i="4"/>
  <c r="AP3825" i="4"/>
  <c r="AO3825" i="4"/>
  <c r="AN3825" i="4"/>
  <c r="AM3825" i="4"/>
  <c r="BH3825" i="4"/>
  <c r="AX3824" i="4"/>
  <c r="AW3824" i="4"/>
  <c r="AV3824" i="4"/>
  <c r="AP3824" i="4"/>
  <c r="AO3824" i="4"/>
  <c r="AN3824" i="4"/>
  <c r="AM3824" i="4"/>
  <c r="BH3824" i="4"/>
  <c r="AX3823" i="4"/>
  <c r="AW3823" i="4"/>
  <c r="AV3823" i="4"/>
  <c r="AP3823" i="4"/>
  <c r="AO3823" i="4"/>
  <c r="AN3823" i="4"/>
  <c r="AM3823" i="4"/>
  <c r="BH3823" i="4"/>
  <c r="AX3822" i="4"/>
  <c r="AW3822" i="4"/>
  <c r="AV3822" i="4"/>
  <c r="AP3822" i="4"/>
  <c r="AO3822" i="4"/>
  <c r="AN3822" i="4"/>
  <c r="AM3822" i="4"/>
  <c r="BH3822" i="4"/>
  <c r="AX3821" i="4"/>
  <c r="AW3821" i="4"/>
  <c r="AV3821" i="4"/>
  <c r="AP3821" i="4"/>
  <c r="AO3821" i="4"/>
  <c r="AN3821" i="4"/>
  <c r="AM3821" i="4"/>
  <c r="BH3821" i="4"/>
  <c r="AX3820" i="4"/>
  <c r="AW3820" i="4"/>
  <c r="AV3820" i="4"/>
  <c r="AP3820" i="4"/>
  <c r="AO3820" i="4"/>
  <c r="AN3820" i="4"/>
  <c r="AM3820" i="4"/>
  <c r="BH3820" i="4"/>
  <c r="AX3819" i="4"/>
  <c r="AW3819" i="4"/>
  <c r="AV3819" i="4"/>
  <c r="AP3819" i="4"/>
  <c r="AO3819" i="4"/>
  <c r="AN3819" i="4"/>
  <c r="AM3819" i="4"/>
  <c r="BH3819" i="4"/>
  <c r="AX3818" i="4"/>
  <c r="AW3818" i="4"/>
  <c r="AV3818" i="4"/>
  <c r="AP3818" i="4"/>
  <c r="AO3818" i="4"/>
  <c r="AN3818" i="4"/>
  <c r="AM3818" i="4"/>
  <c r="BH3818" i="4"/>
  <c r="AX3817" i="4"/>
  <c r="AW3817" i="4"/>
  <c r="AV3817" i="4"/>
  <c r="AP3817" i="4"/>
  <c r="AO3817" i="4"/>
  <c r="AN3817" i="4"/>
  <c r="AM3817" i="4"/>
  <c r="BH3817" i="4"/>
  <c r="AX3816" i="4"/>
  <c r="AW3816" i="4"/>
  <c r="AV3816" i="4"/>
  <c r="AP3816" i="4"/>
  <c r="AO3816" i="4"/>
  <c r="AN3816" i="4"/>
  <c r="AM3816" i="4"/>
  <c r="BH3816" i="4"/>
  <c r="AX3815" i="4"/>
  <c r="AW3815" i="4"/>
  <c r="AV3815" i="4"/>
  <c r="AP3815" i="4"/>
  <c r="AO3815" i="4"/>
  <c r="AN3815" i="4"/>
  <c r="AM3815" i="4"/>
  <c r="BH3815" i="4"/>
  <c r="AX3814" i="4"/>
  <c r="AW3814" i="4"/>
  <c r="AV3814" i="4"/>
  <c r="AP3814" i="4"/>
  <c r="AO3814" i="4"/>
  <c r="AN3814" i="4"/>
  <c r="AM3814" i="4"/>
  <c r="BH3814" i="4"/>
  <c r="AX3813" i="4"/>
  <c r="AW3813" i="4"/>
  <c r="AV3813" i="4"/>
  <c r="AP3813" i="4"/>
  <c r="AO3813" i="4"/>
  <c r="AN3813" i="4"/>
  <c r="AM3813" i="4"/>
  <c r="BH3813" i="4"/>
  <c r="AX3812" i="4"/>
  <c r="AW3812" i="4"/>
  <c r="AV3812" i="4"/>
  <c r="AP3812" i="4"/>
  <c r="AO3812" i="4"/>
  <c r="AN3812" i="4"/>
  <c r="AM3812" i="4"/>
  <c r="BH3812" i="4"/>
  <c r="AX3811" i="4"/>
  <c r="AW3811" i="4"/>
  <c r="AV3811" i="4"/>
  <c r="AP3811" i="4"/>
  <c r="AO3811" i="4"/>
  <c r="AN3811" i="4"/>
  <c r="AM3811" i="4"/>
  <c r="BH3811" i="4"/>
  <c r="AX3810" i="4"/>
  <c r="AW3810" i="4"/>
  <c r="AV3810" i="4"/>
  <c r="AP3810" i="4"/>
  <c r="AO3810" i="4"/>
  <c r="AN3810" i="4"/>
  <c r="AM3810" i="4"/>
  <c r="BH3810" i="4"/>
  <c r="AX3809" i="4"/>
  <c r="AW3809" i="4"/>
  <c r="AV3809" i="4"/>
  <c r="AP3809" i="4"/>
  <c r="AO3809" i="4"/>
  <c r="AN3809" i="4"/>
  <c r="AM3809" i="4"/>
  <c r="BH3809" i="4"/>
  <c r="AX3808" i="4"/>
  <c r="AW3808" i="4"/>
  <c r="AV3808" i="4"/>
  <c r="AP3808" i="4"/>
  <c r="AO3808" i="4"/>
  <c r="AN3808" i="4"/>
  <c r="AM3808" i="4"/>
  <c r="BH3808" i="4"/>
  <c r="AX3807" i="4"/>
  <c r="AW3807" i="4"/>
  <c r="AV3807" i="4"/>
  <c r="AP3807" i="4"/>
  <c r="AO3807" i="4"/>
  <c r="AN3807" i="4"/>
  <c r="AM3807" i="4"/>
  <c r="BH3807" i="4"/>
  <c r="AX3806" i="4"/>
  <c r="AW3806" i="4"/>
  <c r="AV3806" i="4"/>
  <c r="AP3806" i="4"/>
  <c r="AO3806" i="4"/>
  <c r="AN3806" i="4"/>
  <c r="AM3806" i="4"/>
  <c r="BH3806" i="4"/>
  <c r="AX3805" i="4"/>
  <c r="AW3805" i="4"/>
  <c r="AV3805" i="4"/>
  <c r="AP3805" i="4"/>
  <c r="AO3805" i="4"/>
  <c r="AN3805" i="4"/>
  <c r="AM3805" i="4"/>
  <c r="BH3805" i="4"/>
  <c r="AX3804" i="4"/>
  <c r="AW3804" i="4"/>
  <c r="AV3804" i="4"/>
  <c r="AP3804" i="4"/>
  <c r="AO3804" i="4"/>
  <c r="AN3804" i="4"/>
  <c r="AM3804" i="4"/>
  <c r="BH3804" i="4"/>
  <c r="AX3803" i="4"/>
  <c r="AW3803" i="4"/>
  <c r="AV3803" i="4"/>
  <c r="AP3803" i="4"/>
  <c r="AO3803" i="4"/>
  <c r="AN3803" i="4"/>
  <c r="AM3803" i="4"/>
  <c r="BH3803" i="4"/>
  <c r="AX3802" i="4"/>
  <c r="AW3802" i="4"/>
  <c r="AV3802" i="4"/>
  <c r="AP3802" i="4"/>
  <c r="AO3802" i="4"/>
  <c r="AN3802" i="4"/>
  <c r="AM3802" i="4"/>
  <c r="BH3802" i="4"/>
  <c r="AX3801" i="4"/>
  <c r="AW3801" i="4"/>
  <c r="AV3801" i="4"/>
  <c r="AP3801" i="4"/>
  <c r="AO3801" i="4"/>
  <c r="AN3801" i="4"/>
  <c r="AM3801" i="4"/>
  <c r="BH3801" i="4"/>
  <c r="AX3800" i="4"/>
  <c r="AW3800" i="4"/>
  <c r="AV3800" i="4"/>
  <c r="AP3800" i="4"/>
  <c r="AO3800" i="4"/>
  <c r="AN3800" i="4"/>
  <c r="AM3800" i="4"/>
  <c r="BH3800" i="4"/>
  <c r="AX3799" i="4"/>
  <c r="AW3799" i="4"/>
  <c r="AV3799" i="4"/>
  <c r="AP3799" i="4"/>
  <c r="AO3799" i="4"/>
  <c r="AN3799" i="4"/>
  <c r="AM3799" i="4"/>
  <c r="BH3799" i="4"/>
  <c r="AX3798" i="4"/>
  <c r="AW3798" i="4"/>
  <c r="AV3798" i="4"/>
  <c r="AP3798" i="4"/>
  <c r="AO3798" i="4"/>
  <c r="AN3798" i="4"/>
  <c r="AM3798" i="4"/>
  <c r="BH3798" i="4"/>
  <c r="AX3797" i="4"/>
  <c r="AW3797" i="4"/>
  <c r="AV3797" i="4"/>
  <c r="AP3797" i="4"/>
  <c r="AO3797" i="4"/>
  <c r="AN3797" i="4"/>
  <c r="AM3797" i="4"/>
  <c r="BH3797" i="4"/>
  <c r="AX3796" i="4"/>
  <c r="AW3796" i="4"/>
  <c r="AV3796" i="4"/>
  <c r="AP3796" i="4"/>
  <c r="AO3796" i="4"/>
  <c r="AN3796" i="4"/>
  <c r="AM3796" i="4"/>
  <c r="BH3796" i="4"/>
  <c r="AX3795" i="4"/>
  <c r="AW3795" i="4"/>
  <c r="AV3795" i="4"/>
  <c r="AP3795" i="4"/>
  <c r="AO3795" i="4"/>
  <c r="AN3795" i="4"/>
  <c r="AM3795" i="4"/>
  <c r="BH3795" i="4"/>
  <c r="AX3794" i="4"/>
  <c r="AW3794" i="4"/>
  <c r="AV3794" i="4"/>
  <c r="AP3794" i="4"/>
  <c r="AO3794" i="4"/>
  <c r="AN3794" i="4"/>
  <c r="AM3794" i="4"/>
  <c r="BH3794" i="4"/>
  <c r="AX3793" i="4"/>
  <c r="AW3793" i="4"/>
  <c r="AV3793" i="4"/>
  <c r="AP3793" i="4"/>
  <c r="AO3793" i="4"/>
  <c r="AN3793" i="4"/>
  <c r="AM3793" i="4"/>
  <c r="BH3793" i="4"/>
  <c r="AX3792" i="4"/>
  <c r="AW3792" i="4"/>
  <c r="AV3792" i="4"/>
  <c r="AP3792" i="4"/>
  <c r="AO3792" i="4"/>
  <c r="AN3792" i="4"/>
  <c r="AM3792" i="4"/>
  <c r="BH3792" i="4"/>
  <c r="AX3791" i="4"/>
  <c r="AW3791" i="4"/>
  <c r="AV3791" i="4"/>
  <c r="AP3791" i="4"/>
  <c r="AO3791" i="4"/>
  <c r="AN3791" i="4"/>
  <c r="AM3791" i="4"/>
  <c r="BH3791" i="4"/>
  <c r="AX3790" i="4"/>
  <c r="AW3790" i="4"/>
  <c r="AV3790" i="4"/>
  <c r="AP3790" i="4"/>
  <c r="AO3790" i="4"/>
  <c r="AN3790" i="4"/>
  <c r="AM3790" i="4"/>
  <c r="BH3790" i="4"/>
  <c r="AX3789" i="4"/>
  <c r="AW3789" i="4"/>
  <c r="AV3789" i="4"/>
  <c r="AP3789" i="4"/>
  <c r="AO3789" i="4"/>
  <c r="AN3789" i="4"/>
  <c r="AM3789" i="4"/>
  <c r="BH3789" i="4"/>
  <c r="AX3788" i="4"/>
  <c r="AW3788" i="4"/>
  <c r="AV3788" i="4"/>
  <c r="AP3788" i="4"/>
  <c r="AO3788" i="4"/>
  <c r="AN3788" i="4"/>
  <c r="AM3788" i="4"/>
  <c r="BH3788" i="4"/>
  <c r="AX3787" i="4"/>
  <c r="AW3787" i="4"/>
  <c r="AV3787" i="4"/>
  <c r="AP3787" i="4"/>
  <c r="AO3787" i="4"/>
  <c r="AN3787" i="4"/>
  <c r="AM3787" i="4"/>
  <c r="BH3787" i="4"/>
  <c r="AX3786" i="4"/>
  <c r="AW3786" i="4"/>
  <c r="AV3786" i="4"/>
  <c r="AP3786" i="4"/>
  <c r="AO3786" i="4"/>
  <c r="AN3786" i="4"/>
  <c r="AM3786" i="4"/>
  <c r="BH3786" i="4"/>
  <c r="AX3785" i="4"/>
  <c r="AW3785" i="4"/>
  <c r="AV3785" i="4"/>
  <c r="AP3785" i="4"/>
  <c r="AO3785" i="4"/>
  <c r="AN3785" i="4"/>
  <c r="AM3785" i="4"/>
  <c r="BH3785" i="4"/>
  <c r="AX3784" i="4"/>
  <c r="AW3784" i="4"/>
  <c r="AV3784" i="4"/>
  <c r="AP3784" i="4"/>
  <c r="AO3784" i="4"/>
  <c r="AN3784" i="4"/>
  <c r="AM3784" i="4"/>
  <c r="BH3784" i="4"/>
  <c r="AX3783" i="4"/>
  <c r="AW3783" i="4"/>
  <c r="AV3783" i="4"/>
  <c r="AP3783" i="4"/>
  <c r="AO3783" i="4"/>
  <c r="AN3783" i="4"/>
  <c r="AM3783" i="4"/>
  <c r="BH3783" i="4"/>
  <c r="AX3782" i="4"/>
  <c r="AW3782" i="4"/>
  <c r="AV3782" i="4"/>
  <c r="AP3782" i="4"/>
  <c r="AO3782" i="4"/>
  <c r="AN3782" i="4"/>
  <c r="AM3782" i="4"/>
  <c r="BH3782" i="4"/>
  <c r="AX3781" i="4"/>
  <c r="AW3781" i="4"/>
  <c r="AV3781" i="4"/>
  <c r="AP3781" i="4"/>
  <c r="AO3781" i="4"/>
  <c r="AN3781" i="4"/>
  <c r="AM3781" i="4"/>
  <c r="BH3781" i="4"/>
  <c r="AX3780" i="4"/>
  <c r="AW3780" i="4"/>
  <c r="AV3780" i="4"/>
  <c r="AP3780" i="4"/>
  <c r="AO3780" i="4"/>
  <c r="AN3780" i="4"/>
  <c r="AM3780" i="4"/>
  <c r="BH3780" i="4"/>
  <c r="AX3779" i="4"/>
  <c r="AW3779" i="4"/>
  <c r="AV3779" i="4"/>
  <c r="AP3779" i="4"/>
  <c r="AO3779" i="4"/>
  <c r="AN3779" i="4"/>
  <c r="AM3779" i="4"/>
  <c r="BH3779" i="4"/>
  <c r="AX3778" i="4"/>
  <c r="AW3778" i="4"/>
  <c r="AV3778" i="4"/>
  <c r="AP3778" i="4"/>
  <c r="AO3778" i="4"/>
  <c r="AN3778" i="4"/>
  <c r="AM3778" i="4"/>
  <c r="BH3778" i="4"/>
  <c r="AX3777" i="4"/>
  <c r="AW3777" i="4"/>
  <c r="AV3777" i="4"/>
  <c r="AP3777" i="4"/>
  <c r="AO3777" i="4"/>
  <c r="AN3777" i="4"/>
  <c r="AM3777" i="4"/>
  <c r="BH3777" i="4"/>
  <c r="AX3776" i="4"/>
  <c r="AW3776" i="4"/>
  <c r="AV3776" i="4"/>
  <c r="AP3776" i="4"/>
  <c r="AO3776" i="4"/>
  <c r="AN3776" i="4"/>
  <c r="AM3776" i="4"/>
  <c r="BH3776" i="4"/>
  <c r="AX3775" i="4"/>
  <c r="AW3775" i="4"/>
  <c r="AV3775" i="4"/>
  <c r="AP3775" i="4"/>
  <c r="AO3775" i="4"/>
  <c r="AN3775" i="4"/>
  <c r="AM3775" i="4"/>
  <c r="BH3775" i="4"/>
  <c r="AX3774" i="4"/>
  <c r="AW3774" i="4"/>
  <c r="AV3774" i="4"/>
  <c r="AP3774" i="4"/>
  <c r="AO3774" i="4"/>
  <c r="AN3774" i="4"/>
  <c r="AM3774" i="4"/>
  <c r="BH3774" i="4"/>
  <c r="AX3773" i="4"/>
  <c r="AW3773" i="4"/>
  <c r="AV3773" i="4"/>
  <c r="AP3773" i="4"/>
  <c r="AO3773" i="4"/>
  <c r="AN3773" i="4"/>
  <c r="AM3773" i="4"/>
  <c r="BH3773" i="4"/>
  <c r="AX3772" i="4"/>
  <c r="AW3772" i="4"/>
  <c r="AV3772" i="4"/>
  <c r="AP3772" i="4"/>
  <c r="AO3772" i="4"/>
  <c r="AN3772" i="4"/>
  <c r="AM3772" i="4"/>
  <c r="BH3772" i="4"/>
  <c r="AX3771" i="4"/>
  <c r="AW3771" i="4"/>
  <c r="AV3771" i="4"/>
  <c r="AP3771" i="4"/>
  <c r="AO3771" i="4"/>
  <c r="AN3771" i="4"/>
  <c r="AM3771" i="4"/>
  <c r="BH3771" i="4"/>
  <c r="AX3770" i="4"/>
  <c r="AW3770" i="4"/>
  <c r="AV3770" i="4"/>
  <c r="AP3770" i="4"/>
  <c r="AO3770" i="4"/>
  <c r="AN3770" i="4"/>
  <c r="AM3770" i="4"/>
  <c r="BH3770" i="4"/>
  <c r="AX3769" i="4"/>
  <c r="AW3769" i="4"/>
  <c r="AV3769" i="4"/>
  <c r="AP3769" i="4"/>
  <c r="AO3769" i="4"/>
  <c r="AN3769" i="4"/>
  <c r="AM3769" i="4"/>
  <c r="BH3769" i="4"/>
  <c r="AX3768" i="4"/>
  <c r="AW3768" i="4"/>
  <c r="AV3768" i="4"/>
  <c r="AP3768" i="4"/>
  <c r="AO3768" i="4"/>
  <c r="AN3768" i="4"/>
  <c r="AM3768" i="4"/>
  <c r="BH3768" i="4"/>
  <c r="AX3767" i="4"/>
  <c r="AW3767" i="4"/>
  <c r="AV3767" i="4"/>
  <c r="AP3767" i="4"/>
  <c r="AO3767" i="4"/>
  <c r="AN3767" i="4"/>
  <c r="AM3767" i="4"/>
  <c r="BH3767" i="4"/>
  <c r="AX3766" i="4"/>
  <c r="AW3766" i="4"/>
  <c r="AV3766" i="4"/>
  <c r="AP3766" i="4"/>
  <c r="AO3766" i="4"/>
  <c r="AN3766" i="4"/>
  <c r="AM3766" i="4"/>
  <c r="BH3766" i="4"/>
  <c r="AX3765" i="4"/>
  <c r="AW3765" i="4"/>
  <c r="AV3765" i="4"/>
  <c r="AP3765" i="4"/>
  <c r="AO3765" i="4"/>
  <c r="AN3765" i="4"/>
  <c r="AM3765" i="4"/>
  <c r="BH3765" i="4"/>
  <c r="AX3764" i="4"/>
  <c r="AW3764" i="4"/>
  <c r="AV3764" i="4"/>
  <c r="AP3764" i="4"/>
  <c r="AO3764" i="4"/>
  <c r="AN3764" i="4"/>
  <c r="AM3764" i="4"/>
  <c r="BH3764" i="4"/>
  <c r="AX3763" i="4"/>
  <c r="AW3763" i="4"/>
  <c r="AV3763" i="4"/>
  <c r="AP3763" i="4"/>
  <c r="AO3763" i="4"/>
  <c r="AN3763" i="4"/>
  <c r="AM3763" i="4"/>
  <c r="BH3763" i="4"/>
  <c r="AX3762" i="4"/>
  <c r="AW3762" i="4"/>
  <c r="AV3762" i="4"/>
  <c r="AP3762" i="4"/>
  <c r="AO3762" i="4"/>
  <c r="AN3762" i="4"/>
  <c r="AM3762" i="4"/>
  <c r="BH3762" i="4"/>
  <c r="AX3761" i="4"/>
  <c r="AW3761" i="4"/>
  <c r="AV3761" i="4"/>
  <c r="AP3761" i="4"/>
  <c r="AO3761" i="4"/>
  <c r="AN3761" i="4"/>
  <c r="AM3761" i="4"/>
  <c r="BH3761" i="4"/>
  <c r="AX3760" i="4"/>
  <c r="AW3760" i="4"/>
  <c r="AV3760" i="4"/>
  <c r="AP3760" i="4"/>
  <c r="AO3760" i="4"/>
  <c r="AN3760" i="4"/>
  <c r="AM3760" i="4"/>
  <c r="BH3760" i="4"/>
  <c r="AX3759" i="4"/>
  <c r="AW3759" i="4"/>
  <c r="AV3759" i="4"/>
  <c r="AP3759" i="4"/>
  <c r="AO3759" i="4"/>
  <c r="AN3759" i="4"/>
  <c r="AM3759" i="4"/>
  <c r="BH3759" i="4"/>
  <c r="AX3758" i="4"/>
  <c r="AW3758" i="4"/>
  <c r="AV3758" i="4"/>
  <c r="AP3758" i="4"/>
  <c r="AO3758" i="4"/>
  <c r="AN3758" i="4"/>
  <c r="AM3758" i="4"/>
  <c r="BH3758" i="4"/>
  <c r="AX3757" i="4"/>
  <c r="AW3757" i="4"/>
  <c r="AV3757" i="4"/>
  <c r="AP3757" i="4"/>
  <c r="AO3757" i="4"/>
  <c r="AN3757" i="4"/>
  <c r="AM3757" i="4"/>
  <c r="BH3757" i="4"/>
  <c r="AX3756" i="4"/>
  <c r="AW3756" i="4"/>
  <c r="AV3756" i="4"/>
  <c r="AP3756" i="4"/>
  <c r="AO3756" i="4"/>
  <c r="AN3756" i="4"/>
  <c r="AM3756" i="4"/>
  <c r="BH3756" i="4"/>
  <c r="AX3755" i="4"/>
  <c r="AW3755" i="4"/>
  <c r="AV3755" i="4"/>
  <c r="AP3755" i="4"/>
  <c r="AO3755" i="4"/>
  <c r="AN3755" i="4"/>
  <c r="AM3755" i="4"/>
  <c r="BH3755" i="4"/>
  <c r="AX3754" i="4"/>
  <c r="AW3754" i="4"/>
  <c r="AV3754" i="4"/>
  <c r="AP3754" i="4"/>
  <c r="AO3754" i="4"/>
  <c r="AN3754" i="4"/>
  <c r="AM3754" i="4"/>
  <c r="BH3754" i="4"/>
  <c r="AX3753" i="4"/>
  <c r="AW3753" i="4"/>
  <c r="AV3753" i="4"/>
  <c r="AP3753" i="4"/>
  <c r="AO3753" i="4"/>
  <c r="AN3753" i="4"/>
  <c r="AM3753" i="4"/>
  <c r="BH3753" i="4"/>
  <c r="AX3752" i="4"/>
  <c r="AW3752" i="4"/>
  <c r="AV3752" i="4"/>
  <c r="AP3752" i="4"/>
  <c r="AO3752" i="4"/>
  <c r="AN3752" i="4"/>
  <c r="AM3752" i="4"/>
  <c r="BH3752" i="4"/>
  <c r="AX3751" i="4"/>
  <c r="AW3751" i="4"/>
  <c r="AV3751" i="4"/>
  <c r="AP3751" i="4"/>
  <c r="AO3751" i="4"/>
  <c r="AN3751" i="4"/>
  <c r="AM3751" i="4"/>
  <c r="BH3751" i="4"/>
  <c r="AX3750" i="4"/>
  <c r="AW3750" i="4"/>
  <c r="AV3750" i="4"/>
  <c r="AP3750" i="4"/>
  <c r="AO3750" i="4"/>
  <c r="AN3750" i="4"/>
  <c r="AM3750" i="4"/>
  <c r="BH3750" i="4"/>
  <c r="AX3749" i="4"/>
  <c r="AW3749" i="4"/>
  <c r="AV3749" i="4"/>
  <c r="AP3749" i="4"/>
  <c r="AO3749" i="4"/>
  <c r="AN3749" i="4"/>
  <c r="AM3749" i="4"/>
  <c r="BH3749" i="4"/>
  <c r="AX3748" i="4"/>
  <c r="AW3748" i="4"/>
  <c r="AV3748" i="4"/>
  <c r="AP3748" i="4"/>
  <c r="AO3748" i="4"/>
  <c r="AN3748" i="4"/>
  <c r="AM3748" i="4"/>
  <c r="BH3748" i="4"/>
  <c r="AX3747" i="4"/>
  <c r="AW3747" i="4"/>
  <c r="AV3747" i="4"/>
  <c r="AP3747" i="4"/>
  <c r="AO3747" i="4"/>
  <c r="AN3747" i="4"/>
  <c r="AM3747" i="4"/>
  <c r="BH3747" i="4"/>
  <c r="AX3746" i="4"/>
  <c r="AW3746" i="4"/>
  <c r="AV3746" i="4"/>
  <c r="AP3746" i="4"/>
  <c r="AO3746" i="4"/>
  <c r="AN3746" i="4"/>
  <c r="AM3746" i="4"/>
  <c r="BH3746" i="4"/>
  <c r="AX3745" i="4"/>
  <c r="AW3745" i="4"/>
  <c r="AV3745" i="4"/>
  <c r="AP3745" i="4"/>
  <c r="AO3745" i="4"/>
  <c r="AN3745" i="4"/>
  <c r="AM3745" i="4"/>
  <c r="BH3745" i="4"/>
  <c r="AX3744" i="4"/>
  <c r="AW3744" i="4"/>
  <c r="AV3744" i="4"/>
  <c r="AP3744" i="4"/>
  <c r="AO3744" i="4"/>
  <c r="AN3744" i="4"/>
  <c r="AM3744" i="4"/>
  <c r="BH3744" i="4"/>
  <c r="AX3743" i="4"/>
  <c r="AW3743" i="4"/>
  <c r="AV3743" i="4"/>
  <c r="AP3743" i="4"/>
  <c r="AO3743" i="4"/>
  <c r="AN3743" i="4"/>
  <c r="AM3743" i="4"/>
  <c r="BH3743" i="4"/>
  <c r="AX3742" i="4"/>
  <c r="AW3742" i="4"/>
  <c r="AV3742" i="4"/>
  <c r="AP3742" i="4"/>
  <c r="AO3742" i="4"/>
  <c r="AN3742" i="4"/>
  <c r="AM3742" i="4"/>
  <c r="BH3742" i="4"/>
  <c r="AX3741" i="4"/>
  <c r="AW3741" i="4"/>
  <c r="AV3741" i="4"/>
  <c r="AP3741" i="4"/>
  <c r="AO3741" i="4"/>
  <c r="AN3741" i="4"/>
  <c r="AM3741" i="4"/>
  <c r="BH3741" i="4"/>
  <c r="AX3740" i="4"/>
  <c r="AW3740" i="4"/>
  <c r="AV3740" i="4"/>
  <c r="AP3740" i="4"/>
  <c r="AO3740" i="4"/>
  <c r="AN3740" i="4"/>
  <c r="AM3740" i="4"/>
  <c r="BH3740" i="4"/>
  <c r="AX3739" i="4"/>
  <c r="AW3739" i="4"/>
  <c r="AV3739" i="4"/>
  <c r="AP3739" i="4"/>
  <c r="AO3739" i="4"/>
  <c r="AN3739" i="4"/>
  <c r="AM3739" i="4"/>
  <c r="BH3739" i="4"/>
  <c r="AX3738" i="4"/>
  <c r="AW3738" i="4"/>
  <c r="AV3738" i="4"/>
  <c r="AP3738" i="4"/>
  <c r="AO3738" i="4"/>
  <c r="AN3738" i="4"/>
  <c r="AM3738" i="4"/>
  <c r="BH3738" i="4"/>
  <c r="AX3737" i="4"/>
  <c r="AW3737" i="4"/>
  <c r="AV3737" i="4"/>
  <c r="AP3737" i="4"/>
  <c r="AO3737" i="4"/>
  <c r="AN3737" i="4"/>
  <c r="AM3737" i="4"/>
  <c r="BH3737" i="4"/>
  <c r="AX3736" i="4"/>
  <c r="AW3736" i="4"/>
  <c r="AV3736" i="4"/>
  <c r="AP3736" i="4"/>
  <c r="AO3736" i="4"/>
  <c r="AN3736" i="4"/>
  <c r="AM3736" i="4"/>
  <c r="BH3736" i="4"/>
  <c r="AX3735" i="4"/>
  <c r="AW3735" i="4"/>
  <c r="AV3735" i="4"/>
  <c r="AP3735" i="4"/>
  <c r="AO3735" i="4"/>
  <c r="AN3735" i="4"/>
  <c r="AM3735" i="4"/>
  <c r="BH3735" i="4"/>
  <c r="AX3734" i="4"/>
  <c r="AW3734" i="4"/>
  <c r="AV3734" i="4"/>
  <c r="AP3734" i="4"/>
  <c r="AO3734" i="4"/>
  <c r="AN3734" i="4"/>
  <c r="AM3734" i="4"/>
  <c r="BH3734" i="4"/>
  <c r="AX3733" i="4"/>
  <c r="AW3733" i="4"/>
  <c r="AV3733" i="4"/>
  <c r="AP3733" i="4"/>
  <c r="AO3733" i="4"/>
  <c r="AN3733" i="4"/>
  <c r="AM3733" i="4"/>
  <c r="BH3733" i="4"/>
  <c r="AX3732" i="4"/>
  <c r="AW3732" i="4"/>
  <c r="AV3732" i="4"/>
  <c r="AP3732" i="4"/>
  <c r="AO3732" i="4"/>
  <c r="AN3732" i="4"/>
  <c r="AM3732" i="4"/>
  <c r="BH3732" i="4"/>
  <c r="AX3731" i="4"/>
  <c r="AW3731" i="4"/>
  <c r="AV3731" i="4"/>
  <c r="AP3731" i="4"/>
  <c r="AO3731" i="4"/>
  <c r="AN3731" i="4"/>
  <c r="AM3731" i="4"/>
  <c r="BH3731" i="4"/>
  <c r="AX3730" i="4"/>
  <c r="AW3730" i="4"/>
  <c r="AV3730" i="4"/>
  <c r="AP3730" i="4"/>
  <c r="AO3730" i="4"/>
  <c r="AN3730" i="4"/>
  <c r="AM3730" i="4"/>
  <c r="BH3730" i="4"/>
  <c r="AX3729" i="4"/>
  <c r="AW3729" i="4"/>
  <c r="AV3729" i="4"/>
  <c r="AP3729" i="4"/>
  <c r="AO3729" i="4"/>
  <c r="AN3729" i="4"/>
  <c r="AM3729" i="4"/>
  <c r="BH3729" i="4"/>
  <c r="AX3728" i="4"/>
  <c r="AW3728" i="4"/>
  <c r="AV3728" i="4"/>
  <c r="AP3728" i="4"/>
  <c r="AO3728" i="4"/>
  <c r="AN3728" i="4"/>
  <c r="AM3728" i="4"/>
  <c r="BH3728" i="4"/>
  <c r="AX3727" i="4"/>
  <c r="AW3727" i="4"/>
  <c r="AV3727" i="4"/>
  <c r="AP3727" i="4"/>
  <c r="AO3727" i="4"/>
  <c r="AN3727" i="4"/>
  <c r="AM3727" i="4"/>
  <c r="BH3727" i="4"/>
  <c r="AX3726" i="4"/>
  <c r="AW3726" i="4"/>
  <c r="AV3726" i="4"/>
  <c r="AP3726" i="4"/>
  <c r="AO3726" i="4"/>
  <c r="AN3726" i="4"/>
  <c r="AM3726" i="4"/>
  <c r="BH3726" i="4"/>
  <c r="AX3725" i="4"/>
  <c r="AW3725" i="4"/>
  <c r="AV3725" i="4"/>
  <c r="AP3725" i="4"/>
  <c r="AO3725" i="4"/>
  <c r="AN3725" i="4"/>
  <c r="AM3725" i="4"/>
  <c r="BH3725" i="4"/>
  <c r="AX3724" i="4"/>
  <c r="AW3724" i="4"/>
  <c r="AV3724" i="4"/>
  <c r="AP3724" i="4"/>
  <c r="AO3724" i="4"/>
  <c r="AN3724" i="4"/>
  <c r="AM3724" i="4"/>
  <c r="BH3724" i="4"/>
  <c r="AX3723" i="4"/>
  <c r="AW3723" i="4"/>
  <c r="AV3723" i="4"/>
  <c r="AP3723" i="4"/>
  <c r="AO3723" i="4"/>
  <c r="AN3723" i="4"/>
  <c r="AM3723" i="4"/>
  <c r="BH3723" i="4"/>
  <c r="AX3722" i="4"/>
  <c r="AW3722" i="4"/>
  <c r="AV3722" i="4"/>
  <c r="AP3722" i="4"/>
  <c r="AO3722" i="4"/>
  <c r="AN3722" i="4"/>
  <c r="AM3722" i="4"/>
  <c r="BH3722" i="4"/>
  <c r="AX3721" i="4"/>
  <c r="AW3721" i="4"/>
  <c r="AV3721" i="4"/>
  <c r="AP3721" i="4"/>
  <c r="AO3721" i="4"/>
  <c r="AN3721" i="4"/>
  <c r="AM3721" i="4"/>
  <c r="BH3721" i="4"/>
  <c r="AX3720" i="4"/>
  <c r="AW3720" i="4"/>
  <c r="AV3720" i="4"/>
  <c r="AP3720" i="4"/>
  <c r="AO3720" i="4"/>
  <c r="AN3720" i="4"/>
  <c r="AM3720" i="4"/>
  <c r="BH3720" i="4"/>
  <c r="AX3719" i="4"/>
  <c r="AW3719" i="4"/>
  <c r="AV3719" i="4"/>
  <c r="AP3719" i="4"/>
  <c r="AO3719" i="4"/>
  <c r="AN3719" i="4"/>
  <c r="AM3719" i="4"/>
  <c r="BH3719" i="4"/>
  <c r="AX3718" i="4"/>
  <c r="AW3718" i="4"/>
  <c r="AV3718" i="4"/>
  <c r="AP3718" i="4"/>
  <c r="AO3718" i="4"/>
  <c r="AN3718" i="4"/>
  <c r="AM3718" i="4"/>
  <c r="BH3718" i="4"/>
  <c r="AX3717" i="4"/>
  <c r="AW3717" i="4"/>
  <c r="AV3717" i="4"/>
  <c r="AP3717" i="4"/>
  <c r="AO3717" i="4"/>
  <c r="AN3717" i="4"/>
  <c r="AM3717" i="4"/>
  <c r="BH3717" i="4"/>
  <c r="AX3716" i="4"/>
  <c r="AW3716" i="4"/>
  <c r="AV3716" i="4"/>
  <c r="AP3716" i="4"/>
  <c r="AO3716" i="4"/>
  <c r="AN3716" i="4"/>
  <c r="AM3716" i="4"/>
  <c r="BH3716" i="4"/>
  <c r="AX3715" i="4"/>
  <c r="AW3715" i="4"/>
  <c r="AV3715" i="4"/>
  <c r="AP3715" i="4"/>
  <c r="AO3715" i="4"/>
  <c r="AN3715" i="4"/>
  <c r="AM3715" i="4"/>
  <c r="BH3715" i="4"/>
  <c r="AX3714" i="4"/>
  <c r="AW3714" i="4"/>
  <c r="AV3714" i="4"/>
  <c r="AP3714" i="4"/>
  <c r="AO3714" i="4"/>
  <c r="AN3714" i="4"/>
  <c r="AM3714" i="4"/>
  <c r="BH3714" i="4"/>
  <c r="AX3713" i="4"/>
  <c r="AW3713" i="4"/>
  <c r="AV3713" i="4"/>
  <c r="AP3713" i="4"/>
  <c r="AO3713" i="4"/>
  <c r="AN3713" i="4"/>
  <c r="AM3713" i="4"/>
  <c r="BH3713" i="4"/>
  <c r="AX3712" i="4"/>
  <c r="AW3712" i="4"/>
  <c r="AV3712" i="4"/>
  <c r="AP3712" i="4"/>
  <c r="AO3712" i="4"/>
  <c r="AN3712" i="4"/>
  <c r="AM3712" i="4"/>
  <c r="BH3712" i="4"/>
  <c r="AX3711" i="4"/>
  <c r="AW3711" i="4"/>
  <c r="AV3711" i="4"/>
  <c r="AP3711" i="4"/>
  <c r="AO3711" i="4"/>
  <c r="AN3711" i="4"/>
  <c r="AM3711" i="4"/>
  <c r="BH3711" i="4"/>
  <c r="AX3710" i="4"/>
  <c r="AW3710" i="4"/>
  <c r="AV3710" i="4"/>
  <c r="AP3710" i="4"/>
  <c r="AO3710" i="4"/>
  <c r="AN3710" i="4"/>
  <c r="AM3710" i="4"/>
  <c r="BH3710" i="4"/>
  <c r="AX3709" i="4"/>
  <c r="AW3709" i="4"/>
  <c r="AV3709" i="4"/>
  <c r="AP3709" i="4"/>
  <c r="AO3709" i="4"/>
  <c r="AN3709" i="4"/>
  <c r="AM3709" i="4"/>
  <c r="BH3709" i="4"/>
  <c r="AX3708" i="4"/>
  <c r="AW3708" i="4"/>
  <c r="AV3708" i="4"/>
  <c r="AP3708" i="4"/>
  <c r="AO3708" i="4"/>
  <c r="AN3708" i="4"/>
  <c r="AM3708" i="4"/>
  <c r="BH3708" i="4"/>
  <c r="AX3707" i="4"/>
  <c r="AW3707" i="4"/>
  <c r="AV3707" i="4"/>
  <c r="AP3707" i="4"/>
  <c r="AO3707" i="4"/>
  <c r="AN3707" i="4"/>
  <c r="AM3707" i="4"/>
  <c r="BH3707" i="4"/>
  <c r="AX3706" i="4"/>
  <c r="AW3706" i="4"/>
  <c r="AV3706" i="4"/>
  <c r="AP3706" i="4"/>
  <c r="AO3706" i="4"/>
  <c r="AN3706" i="4"/>
  <c r="AM3706" i="4"/>
  <c r="BH3706" i="4"/>
  <c r="AX3705" i="4"/>
  <c r="AW3705" i="4"/>
  <c r="AV3705" i="4"/>
  <c r="AP3705" i="4"/>
  <c r="AO3705" i="4"/>
  <c r="AN3705" i="4"/>
  <c r="AM3705" i="4"/>
  <c r="BH3705" i="4"/>
  <c r="AX3704" i="4"/>
  <c r="AW3704" i="4"/>
  <c r="AV3704" i="4"/>
  <c r="AP3704" i="4"/>
  <c r="AO3704" i="4"/>
  <c r="AN3704" i="4"/>
  <c r="AM3704" i="4"/>
  <c r="BH3704" i="4"/>
  <c r="AX3703" i="4"/>
  <c r="AW3703" i="4"/>
  <c r="AV3703" i="4"/>
  <c r="AP3703" i="4"/>
  <c r="AO3703" i="4"/>
  <c r="AN3703" i="4"/>
  <c r="AM3703" i="4"/>
  <c r="BH3703" i="4"/>
  <c r="AX3702" i="4"/>
  <c r="AW3702" i="4"/>
  <c r="AV3702" i="4"/>
  <c r="AP3702" i="4"/>
  <c r="AO3702" i="4"/>
  <c r="AN3702" i="4"/>
  <c r="AM3702" i="4"/>
  <c r="BH3702" i="4"/>
  <c r="AX3701" i="4"/>
  <c r="AW3701" i="4"/>
  <c r="AV3701" i="4"/>
  <c r="AP3701" i="4"/>
  <c r="AO3701" i="4"/>
  <c r="AN3701" i="4"/>
  <c r="AM3701" i="4"/>
  <c r="BH3701" i="4"/>
  <c r="AX3700" i="4"/>
  <c r="AW3700" i="4"/>
  <c r="AV3700" i="4"/>
  <c r="AP3700" i="4"/>
  <c r="AO3700" i="4"/>
  <c r="AN3700" i="4"/>
  <c r="AM3700" i="4"/>
  <c r="BH3700" i="4"/>
  <c r="AX3699" i="4"/>
  <c r="AW3699" i="4"/>
  <c r="AV3699" i="4"/>
  <c r="AP3699" i="4"/>
  <c r="AO3699" i="4"/>
  <c r="AN3699" i="4"/>
  <c r="AM3699" i="4"/>
  <c r="BH3699" i="4"/>
  <c r="AX3698" i="4"/>
  <c r="AW3698" i="4"/>
  <c r="AV3698" i="4"/>
  <c r="AP3698" i="4"/>
  <c r="AO3698" i="4"/>
  <c r="AN3698" i="4"/>
  <c r="AM3698" i="4"/>
  <c r="BH3698" i="4"/>
  <c r="AX3697" i="4"/>
  <c r="AW3697" i="4"/>
  <c r="AV3697" i="4"/>
  <c r="AP3697" i="4"/>
  <c r="AO3697" i="4"/>
  <c r="AN3697" i="4"/>
  <c r="AM3697" i="4"/>
  <c r="BH3697" i="4"/>
  <c r="AX3696" i="4"/>
  <c r="AW3696" i="4"/>
  <c r="AV3696" i="4"/>
  <c r="AP3696" i="4"/>
  <c r="AO3696" i="4"/>
  <c r="AN3696" i="4"/>
  <c r="AM3696" i="4"/>
  <c r="BH3696" i="4"/>
  <c r="AX3695" i="4"/>
  <c r="AW3695" i="4"/>
  <c r="AV3695" i="4"/>
  <c r="AP3695" i="4"/>
  <c r="AO3695" i="4"/>
  <c r="AN3695" i="4"/>
  <c r="AM3695" i="4"/>
  <c r="BH3695" i="4"/>
  <c r="AX3694" i="4"/>
  <c r="AW3694" i="4"/>
  <c r="AV3694" i="4"/>
  <c r="AP3694" i="4"/>
  <c r="AO3694" i="4"/>
  <c r="AN3694" i="4"/>
  <c r="AM3694" i="4"/>
  <c r="BH3694" i="4"/>
  <c r="AX3693" i="4"/>
  <c r="AW3693" i="4"/>
  <c r="AV3693" i="4"/>
  <c r="AP3693" i="4"/>
  <c r="AO3693" i="4"/>
  <c r="AN3693" i="4"/>
  <c r="AM3693" i="4"/>
  <c r="BH3693" i="4"/>
  <c r="AX3692" i="4"/>
  <c r="AW3692" i="4"/>
  <c r="AV3692" i="4"/>
  <c r="AP3692" i="4"/>
  <c r="AO3692" i="4"/>
  <c r="AN3692" i="4"/>
  <c r="AM3692" i="4"/>
  <c r="BH3692" i="4"/>
  <c r="AX3691" i="4"/>
  <c r="AW3691" i="4"/>
  <c r="AV3691" i="4"/>
  <c r="AP3691" i="4"/>
  <c r="AO3691" i="4"/>
  <c r="AN3691" i="4"/>
  <c r="AM3691" i="4"/>
  <c r="BH3691" i="4"/>
  <c r="AX3690" i="4"/>
  <c r="AW3690" i="4"/>
  <c r="AV3690" i="4"/>
  <c r="AP3690" i="4"/>
  <c r="AO3690" i="4"/>
  <c r="AN3690" i="4"/>
  <c r="AM3690" i="4"/>
  <c r="BH3690" i="4"/>
  <c r="AX3689" i="4"/>
  <c r="AW3689" i="4"/>
  <c r="AV3689" i="4"/>
  <c r="AP3689" i="4"/>
  <c r="AO3689" i="4"/>
  <c r="AN3689" i="4"/>
  <c r="AM3689" i="4"/>
  <c r="BH3689" i="4"/>
  <c r="AX3688" i="4"/>
  <c r="AW3688" i="4"/>
  <c r="AV3688" i="4"/>
  <c r="AP3688" i="4"/>
  <c r="AO3688" i="4"/>
  <c r="AN3688" i="4"/>
  <c r="AM3688" i="4"/>
  <c r="BH3688" i="4"/>
  <c r="AX3687" i="4"/>
  <c r="AW3687" i="4"/>
  <c r="AV3687" i="4"/>
  <c r="AP3687" i="4"/>
  <c r="AO3687" i="4"/>
  <c r="AN3687" i="4"/>
  <c r="AM3687" i="4"/>
  <c r="BH3687" i="4"/>
  <c r="AX3686" i="4"/>
  <c r="AW3686" i="4"/>
  <c r="AV3686" i="4"/>
  <c r="AP3686" i="4"/>
  <c r="AO3686" i="4"/>
  <c r="AN3686" i="4"/>
  <c r="AM3686" i="4"/>
  <c r="BH3686" i="4"/>
  <c r="AX3685" i="4"/>
  <c r="AW3685" i="4"/>
  <c r="AV3685" i="4"/>
  <c r="AP3685" i="4"/>
  <c r="AO3685" i="4"/>
  <c r="AN3685" i="4"/>
  <c r="AM3685" i="4"/>
  <c r="BH3685" i="4"/>
  <c r="AX3684" i="4"/>
  <c r="AW3684" i="4"/>
  <c r="AV3684" i="4"/>
  <c r="AP3684" i="4"/>
  <c r="AO3684" i="4"/>
  <c r="AN3684" i="4"/>
  <c r="AM3684" i="4"/>
  <c r="BH3684" i="4"/>
  <c r="AX3683" i="4"/>
  <c r="AW3683" i="4"/>
  <c r="AV3683" i="4"/>
  <c r="AP3683" i="4"/>
  <c r="AO3683" i="4"/>
  <c r="AN3683" i="4"/>
  <c r="AM3683" i="4"/>
  <c r="BH3683" i="4"/>
  <c r="AX3682" i="4"/>
  <c r="AW3682" i="4"/>
  <c r="AV3682" i="4"/>
  <c r="AP3682" i="4"/>
  <c r="AO3682" i="4"/>
  <c r="AN3682" i="4"/>
  <c r="AM3682" i="4"/>
  <c r="BH3682" i="4"/>
  <c r="AX3681" i="4"/>
  <c r="AW3681" i="4"/>
  <c r="AV3681" i="4"/>
  <c r="AP3681" i="4"/>
  <c r="AO3681" i="4"/>
  <c r="AN3681" i="4"/>
  <c r="AM3681" i="4"/>
  <c r="BH3681" i="4"/>
  <c r="AX3680" i="4"/>
  <c r="AW3680" i="4"/>
  <c r="AV3680" i="4"/>
  <c r="AP3680" i="4"/>
  <c r="AO3680" i="4"/>
  <c r="AN3680" i="4"/>
  <c r="AM3680" i="4"/>
  <c r="BH3680" i="4"/>
  <c r="AX3679" i="4"/>
  <c r="AW3679" i="4"/>
  <c r="AV3679" i="4"/>
  <c r="AP3679" i="4"/>
  <c r="AO3679" i="4"/>
  <c r="AN3679" i="4"/>
  <c r="AM3679" i="4"/>
  <c r="BH3679" i="4"/>
  <c r="AX3678" i="4"/>
  <c r="AW3678" i="4"/>
  <c r="AV3678" i="4"/>
  <c r="AP3678" i="4"/>
  <c r="AO3678" i="4"/>
  <c r="AN3678" i="4"/>
  <c r="AM3678" i="4"/>
  <c r="BH3678" i="4"/>
  <c r="AX3677" i="4"/>
  <c r="AW3677" i="4"/>
  <c r="AV3677" i="4"/>
  <c r="AP3677" i="4"/>
  <c r="AO3677" i="4"/>
  <c r="AN3677" i="4"/>
  <c r="AM3677" i="4"/>
  <c r="BH3677" i="4"/>
  <c r="AX3676" i="4"/>
  <c r="AW3676" i="4"/>
  <c r="AV3676" i="4"/>
  <c r="AP3676" i="4"/>
  <c r="AO3676" i="4"/>
  <c r="AN3676" i="4"/>
  <c r="AM3676" i="4"/>
  <c r="BH3676" i="4"/>
  <c r="AX3675" i="4"/>
  <c r="AW3675" i="4"/>
  <c r="AV3675" i="4"/>
  <c r="AP3675" i="4"/>
  <c r="AO3675" i="4"/>
  <c r="AN3675" i="4"/>
  <c r="AM3675" i="4"/>
  <c r="BH3675" i="4"/>
  <c r="AX3674" i="4"/>
  <c r="AW3674" i="4"/>
  <c r="AV3674" i="4"/>
  <c r="AP3674" i="4"/>
  <c r="AO3674" i="4"/>
  <c r="AN3674" i="4"/>
  <c r="AM3674" i="4"/>
  <c r="BH3674" i="4"/>
  <c r="AX3673" i="4"/>
  <c r="AW3673" i="4"/>
  <c r="AV3673" i="4"/>
  <c r="AP3673" i="4"/>
  <c r="AO3673" i="4"/>
  <c r="AN3673" i="4"/>
  <c r="AM3673" i="4"/>
  <c r="BH3673" i="4"/>
  <c r="AX3672" i="4"/>
  <c r="AW3672" i="4"/>
  <c r="AV3672" i="4"/>
  <c r="AP3672" i="4"/>
  <c r="AO3672" i="4"/>
  <c r="AN3672" i="4"/>
  <c r="AM3672" i="4"/>
  <c r="BH3672" i="4"/>
  <c r="AX3671" i="4"/>
  <c r="AW3671" i="4"/>
  <c r="AV3671" i="4"/>
  <c r="AP3671" i="4"/>
  <c r="AO3671" i="4"/>
  <c r="AN3671" i="4"/>
  <c r="AM3671" i="4"/>
  <c r="BH3671" i="4"/>
  <c r="AX3670" i="4"/>
  <c r="AW3670" i="4"/>
  <c r="AV3670" i="4"/>
  <c r="AP3670" i="4"/>
  <c r="AO3670" i="4"/>
  <c r="AN3670" i="4"/>
  <c r="AM3670" i="4"/>
  <c r="BH3670" i="4"/>
  <c r="AX3669" i="4"/>
  <c r="AW3669" i="4"/>
  <c r="AV3669" i="4"/>
  <c r="AP3669" i="4"/>
  <c r="AO3669" i="4"/>
  <c r="AN3669" i="4"/>
  <c r="AM3669" i="4"/>
  <c r="BH3669" i="4"/>
  <c r="AX3668" i="4"/>
  <c r="AW3668" i="4"/>
  <c r="AV3668" i="4"/>
  <c r="AP3668" i="4"/>
  <c r="AO3668" i="4"/>
  <c r="AN3668" i="4"/>
  <c r="AM3668" i="4"/>
  <c r="BH3668" i="4"/>
  <c r="AX3667" i="4"/>
  <c r="AW3667" i="4"/>
  <c r="AV3667" i="4"/>
  <c r="AP3667" i="4"/>
  <c r="AO3667" i="4"/>
  <c r="AN3667" i="4"/>
  <c r="AM3667" i="4"/>
  <c r="BH3667" i="4"/>
  <c r="AX3666" i="4"/>
  <c r="AW3666" i="4"/>
  <c r="AV3666" i="4"/>
  <c r="AP3666" i="4"/>
  <c r="AO3666" i="4"/>
  <c r="AN3666" i="4"/>
  <c r="AM3666" i="4"/>
  <c r="BH3666" i="4"/>
  <c r="AX3665" i="4"/>
  <c r="AW3665" i="4"/>
  <c r="AV3665" i="4"/>
  <c r="AP3665" i="4"/>
  <c r="AO3665" i="4"/>
  <c r="AN3665" i="4"/>
  <c r="AM3665" i="4"/>
  <c r="BH3665" i="4"/>
  <c r="AX3664" i="4"/>
  <c r="AW3664" i="4"/>
  <c r="AV3664" i="4"/>
  <c r="AP3664" i="4"/>
  <c r="AO3664" i="4"/>
  <c r="AN3664" i="4"/>
  <c r="AM3664" i="4"/>
  <c r="BH3664" i="4"/>
  <c r="AX3663" i="4"/>
  <c r="AW3663" i="4"/>
  <c r="AV3663" i="4"/>
  <c r="AP3663" i="4"/>
  <c r="AO3663" i="4"/>
  <c r="AN3663" i="4"/>
  <c r="AM3663" i="4"/>
  <c r="BH3663" i="4"/>
  <c r="AX3662" i="4"/>
  <c r="AW3662" i="4"/>
  <c r="AV3662" i="4"/>
  <c r="AP3662" i="4"/>
  <c r="AO3662" i="4"/>
  <c r="AN3662" i="4"/>
  <c r="AM3662" i="4"/>
  <c r="BH3662" i="4"/>
  <c r="AX3661" i="4"/>
  <c r="AW3661" i="4"/>
  <c r="AV3661" i="4"/>
  <c r="AP3661" i="4"/>
  <c r="AO3661" i="4"/>
  <c r="AN3661" i="4"/>
  <c r="AM3661" i="4"/>
  <c r="BH3661" i="4"/>
  <c r="AX3660" i="4"/>
  <c r="AW3660" i="4"/>
  <c r="AV3660" i="4"/>
  <c r="AP3660" i="4"/>
  <c r="AO3660" i="4"/>
  <c r="AN3660" i="4"/>
  <c r="AM3660" i="4"/>
  <c r="BH3660" i="4"/>
  <c r="AX3659" i="4"/>
  <c r="AW3659" i="4"/>
  <c r="AV3659" i="4"/>
  <c r="AP3659" i="4"/>
  <c r="AO3659" i="4"/>
  <c r="AN3659" i="4"/>
  <c r="AM3659" i="4"/>
  <c r="BH3659" i="4"/>
  <c r="AX3658" i="4"/>
  <c r="AW3658" i="4"/>
  <c r="AV3658" i="4"/>
  <c r="AP3658" i="4"/>
  <c r="AO3658" i="4"/>
  <c r="AN3658" i="4"/>
  <c r="AM3658" i="4"/>
  <c r="BH3658" i="4"/>
  <c r="AX3657" i="4"/>
  <c r="AW3657" i="4"/>
  <c r="AV3657" i="4"/>
  <c r="AP3657" i="4"/>
  <c r="AO3657" i="4"/>
  <c r="AN3657" i="4"/>
  <c r="AM3657" i="4"/>
  <c r="BH3657" i="4"/>
  <c r="AX3656" i="4"/>
  <c r="AW3656" i="4"/>
  <c r="AV3656" i="4"/>
  <c r="AP3656" i="4"/>
  <c r="AO3656" i="4"/>
  <c r="AN3656" i="4"/>
  <c r="AM3656" i="4"/>
  <c r="BH3656" i="4"/>
  <c r="AX3655" i="4"/>
  <c r="AW3655" i="4"/>
  <c r="AV3655" i="4"/>
  <c r="AP3655" i="4"/>
  <c r="AO3655" i="4"/>
  <c r="AN3655" i="4"/>
  <c r="AM3655" i="4"/>
  <c r="BH3655" i="4"/>
  <c r="AX3654" i="4"/>
  <c r="AW3654" i="4"/>
  <c r="AV3654" i="4"/>
  <c r="AP3654" i="4"/>
  <c r="AO3654" i="4"/>
  <c r="AN3654" i="4"/>
  <c r="AM3654" i="4"/>
  <c r="BH3654" i="4"/>
  <c r="AX3653" i="4"/>
  <c r="AW3653" i="4"/>
  <c r="AV3653" i="4"/>
  <c r="AP3653" i="4"/>
  <c r="AO3653" i="4"/>
  <c r="AN3653" i="4"/>
  <c r="AM3653" i="4"/>
  <c r="BH3653" i="4"/>
  <c r="AX3652" i="4"/>
  <c r="AW3652" i="4"/>
  <c r="AV3652" i="4"/>
  <c r="AP3652" i="4"/>
  <c r="AO3652" i="4"/>
  <c r="AN3652" i="4"/>
  <c r="AM3652" i="4"/>
  <c r="BH3652" i="4"/>
  <c r="AX3651" i="4"/>
  <c r="AW3651" i="4"/>
  <c r="AV3651" i="4"/>
  <c r="AP3651" i="4"/>
  <c r="AO3651" i="4"/>
  <c r="AN3651" i="4"/>
  <c r="AM3651" i="4"/>
  <c r="BH3651" i="4"/>
  <c r="AX3650" i="4"/>
  <c r="AW3650" i="4"/>
  <c r="AV3650" i="4"/>
  <c r="AP3650" i="4"/>
  <c r="AO3650" i="4"/>
  <c r="AN3650" i="4"/>
  <c r="AM3650" i="4"/>
  <c r="BH3650" i="4"/>
  <c r="AX3649" i="4"/>
  <c r="AW3649" i="4"/>
  <c r="AV3649" i="4"/>
  <c r="AP3649" i="4"/>
  <c r="AO3649" i="4"/>
  <c r="AN3649" i="4"/>
  <c r="AM3649" i="4"/>
  <c r="BH3649" i="4"/>
  <c r="AX3648" i="4"/>
  <c r="AW3648" i="4"/>
  <c r="AV3648" i="4"/>
  <c r="AP3648" i="4"/>
  <c r="AO3648" i="4"/>
  <c r="AN3648" i="4"/>
  <c r="AM3648" i="4"/>
  <c r="BH3648" i="4"/>
  <c r="AX3647" i="4"/>
  <c r="AW3647" i="4"/>
  <c r="AV3647" i="4"/>
  <c r="AP3647" i="4"/>
  <c r="AO3647" i="4"/>
  <c r="AN3647" i="4"/>
  <c r="AM3647" i="4"/>
  <c r="BH3647" i="4"/>
  <c r="AX3646" i="4"/>
  <c r="AW3646" i="4"/>
  <c r="AV3646" i="4"/>
  <c r="AP3646" i="4"/>
  <c r="AO3646" i="4"/>
  <c r="AN3646" i="4"/>
  <c r="AM3646" i="4"/>
  <c r="BH3646" i="4"/>
  <c r="AX3645" i="4"/>
  <c r="AW3645" i="4"/>
  <c r="AV3645" i="4"/>
  <c r="AP3645" i="4"/>
  <c r="AO3645" i="4"/>
  <c r="AN3645" i="4"/>
  <c r="AM3645" i="4"/>
  <c r="BH3645" i="4"/>
  <c r="AX3644" i="4"/>
  <c r="AW3644" i="4"/>
  <c r="AV3644" i="4"/>
  <c r="AP3644" i="4"/>
  <c r="AO3644" i="4"/>
  <c r="AN3644" i="4"/>
  <c r="AM3644" i="4"/>
  <c r="BH3644" i="4"/>
  <c r="AX3643" i="4"/>
  <c r="AW3643" i="4"/>
  <c r="AV3643" i="4"/>
  <c r="AP3643" i="4"/>
  <c r="AO3643" i="4"/>
  <c r="AN3643" i="4"/>
  <c r="AM3643" i="4"/>
  <c r="BH3643" i="4"/>
  <c r="AX3642" i="4"/>
  <c r="AW3642" i="4"/>
  <c r="AV3642" i="4"/>
  <c r="AP3642" i="4"/>
  <c r="AO3642" i="4"/>
  <c r="AN3642" i="4"/>
  <c r="AM3642" i="4"/>
  <c r="BH3642" i="4"/>
  <c r="AX3641" i="4"/>
  <c r="AW3641" i="4"/>
  <c r="AV3641" i="4"/>
  <c r="AP3641" i="4"/>
  <c r="AO3641" i="4"/>
  <c r="AN3641" i="4"/>
  <c r="AM3641" i="4"/>
  <c r="BH3641" i="4"/>
  <c r="AX3640" i="4"/>
  <c r="AW3640" i="4"/>
  <c r="AV3640" i="4"/>
  <c r="AP3640" i="4"/>
  <c r="AO3640" i="4"/>
  <c r="AN3640" i="4"/>
  <c r="AM3640" i="4"/>
  <c r="BH3640" i="4"/>
  <c r="AX3639" i="4"/>
  <c r="AW3639" i="4"/>
  <c r="AV3639" i="4"/>
  <c r="AP3639" i="4"/>
  <c r="AO3639" i="4"/>
  <c r="AN3639" i="4"/>
  <c r="AM3639" i="4"/>
  <c r="BH3639" i="4"/>
  <c r="AX3638" i="4"/>
  <c r="AW3638" i="4"/>
  <c r="AV3638" i="4"/>
  <c r="AP3638" i="4"/>
  <c r="AO3638" i="4"/>
  <c r="AN3638" i="4"/>
  <c r="AM3638" i="4"/>
  <c r="BH3638" i="4"/>
  <c r="AX3637" i="4"/>
  <c r="AW3637" i="4"/>
  <c r="AV3637" i="4"/>
  <c r="AP3637" i="4"/>
  <c r="AO3637" i="4"/>
  <c r="AN3637" i="4"/>
  <c r="AM3637" i="4"/>
  <c r="BH3637" i="4"/>
  <c r="AX3636" i="4"/>
  <c r="AW3636" i="4"/>
  <c r="AV3636" i="4"/>
  <c r="AP3636" i="4"/>
  <c r="AO3636" i="4"/>
  <c r="AN3636" i="4"/>
  <c r="AM3636" i="4"/>
  <c r="BH3636" i="4"/>
  <c r="AX3635" i="4"/>
  <c r="AW3635" i="4"/>
  <c r="AV3635" i="4"/>
  <c r="AP3635" i="4"/>
  <c r="AO3635" i="4"/>
  <c r="AN3635" i="4"/>
  <c r="AM3635" i="4"/>
  <c r="BH3635" i="4"/>
  <c r="AX3634" i="4"/>
  <c r="AW3634" i="4"/>
  <c r="AV3634" i="4"/>
  <c r="AP3634" i="4"/>
  <c r="AO3634" i="4"/>
  <c r="AN3634" i="4"/>
  <c r="AM3634" i="4"/>
  <c r="BH3634" i="4"/>
  <c r="AX3633" i="4"/>
  <c r="AW3633" i="4"/>
  <c r="AV3633" i="4"/>
  <c r="AP3633" i="4"/>
  <c r="AO3633" i="4"/>
  <c r="AN3633" i="4"/>
  <c r="AM3633" i="4"/>
  <c r="BH3633" i="4"/>
  <c r="AX3632" i="4"/>
  <c r="AW3632" i="4"/>
  <c r="AV3632" i="4"/>
  <c r="AP3632" i="4"/>
  <c r="AO3632" i="4"/>
  <c r="AN3632" i="4"/>
  <c r="AM3632" i="4"/>
  <c r="BH3632" i="4"/>
  <c r="AX3631" i="4"/>
  <c r="AW3631" i="4"/>
  <c r="AV3631" i="4"/>
  <c r="AP3631" i="4"/>
  <c r="AO3631" i="4"/>
  <c r="AN3631" i="4"/>
  <c r="AM3631" i="4"/>
  <c r="BH3631" i="4"/>
  <c r="AX3630" i="4"/>
  <c r="AW3630" i="4"/>
  <c r="AV3630" i="4"/>
  <c r="AP3630" i="4"/>
  <c r="AO3630" i="4"/>
  <c r="AN3630" i="4"/>
  <c r="AM3630" i="4"/>
  <c r="BH3630" i="4"/>
  <c r="AX3629" i="4"/>
  <c r="AW3629" i="4"/>
  <c r="AV3629" i="4"/>
  <c r="AP3629" i="4"/>
  <c r="AO3629" i="4"/>
  <c r="AN3629" i="4"/>
  <c r="AM3629" i="4"/>
  <c r="BH3629" i="4"/>
  <c r="AX3628" i="4"/>
  <c r="AW3628" i="4"/>
  <c r="AV3628" i="4"/>
  <c r="AP3628" i="4"/>
  <c r="AO3628" i="4"/>
  <c r="AN3628" i="4"/>
  <c r="AM3628" i="4"/>
  <c r="BH3628" i="4"/>
  <c r="AX3627" i="4"/>
  <c r="AW3627" i="4"/>
  <c r="AV3627" i="4"/>
  <c r="AP3627" i="4"/>
  <c r="AO3627" i="4"/>
  <c r="AN3627" i="4"/>
  <c r="AM3627" i="4"/>
  <c r="BH3627" i="4"/>
  <c r="AX3626" i="4"/>
  <c r="AW3626" i="4"/>
  <c r="AV3626" i="4"/>
  <c r="AP3626" i="4"/>
  <c r="AO3626" i="4"/>
  <c r="AN3626" i="4"/>
  <c r="AM3626" i="4"/>
  <c r="BH3626" i="4"/>
  <c r="AX3625" i="4"/>
  <c r="AW3625" i="4"/>
  <c r="AV3625" i="4"/>
  <c r="AP3625" i="4"/>
  <c r="AO3625" i="4"/>
  <c r="AN3625" i="4"/>
  <c r="AM3625" i="4"/>
  <c r="BH3625" i="4"/>
  <c r="AX3624" i="4"/>
  <c r="AW3624" i="4"/>
  <c r="AV3624" i="4"/>
  <c r="AP3624" i="4"/>
  <c r="AO3624" i="4"/>
  <c r="AN3624" i="4"/>
  <c r="AM3624" i="4"/>
  <c r="BH3624" i="4"/>
  <c r="AX3623" i="4"/>
  <c r="AW3623" i="4"/>
  <c r="AV3623" i="4"/>
  <c r="AP3623" i="4"/>
  <c r="AO3623" i="4"/>
  <c r="AN3623" i="4"/>
  <c r="AM3623" i="4"/>
  <c r="BH3623" i="4"/>
  <c r="AX3622" i="4"/>
  <c r="AW3622" i="4"/>
  <c r="AV3622" i="4"/>
  <c r="AP3622" i="4"/>
  <c r="AO3622" i="4"/>
  <c r="AN3622" i="4"/>
  <c r="AM3622" i="4"/>
  <c r="BH3622" i="4"/>
  <c r="AX3621" i="4"/>
  <c r="AW3621" i="4"/>
  <c r="AV3621" i="4"/>
  <c r="AP3621" i="4"/>
  <c r="AO3621" i="4"/>
  <c r="AN3621" i="4"/>
  <c r="AM3621" i="4"/>
  <c r="BH3621" i="4"/>
  <c r="AX3620" i="4"/>
  <c r="AW3620" i="4"/>
  <c r="AV3620" i="4"/>
  <c r="AP3620" i="4"/>
  <c r="AO3620" i="4"/>
  <c r="AN3620" i="4"/>
  <c r="AM3620" i="4"/>
  <c r="BH3620" i="4"/>
  <c r="AX3619" i="4"/>
  <c r="AW3619" i="4"/>
  <c r="AV3619" i="4"/>
  <c r="AP3619" i="4"/>
  <c r="AO3619" i="4"/>
  <c r="AN3619" i="4"/>
  <c r="AM3619" i="4"/>
  <c r="BH3619" i="4"/>
  <c r="AX3618" i="4"/>
  <c r="AW3618" i="4"/>
  <c r="AV3618" i="4"/>
  <c r="AP3618" i="4"/>
  <c r="AO3618" i="4"/>
  <c r="AN3618" i="4"/>
  <c r="AM3618" i="4"/>
  <c r="BH3618" i="4"/>
  <c r="AX3617" i="4"/>
  <c r="AW3617" i="4"/>
  <c r="AV3617" i="4"/>
  <c r="AP3617" i="4"/>
  <c r="AO3617" i="4"/>
  <c r="AN3617" i="4"/>
  <c r="AM3617" i="4"/>
  <c r="BH3617" i="4"/>
  <c r="AX3616" i="4"/>
  <c r="AW3616" i="4"/>
  <c r="AV3616" i="4"/>
  <c r="AP3616" i="4"/>
  <c r="AO3616" i="4"/>
  <c r="AN3616" i="4"/>
  <c r="AM3616" i="4"/>
  <c r="BH3616" i="4"/>
  <c r="AX3615" i="4"/>
  <c r="AW3615" i="4"/>
  <c r="AV3615" i="4"/>
  <c r="AP3615" i="4"/>
  <c r="AO3615" i="4"/>
  <c r="AN3615" i="4"/>
  <c r="AM3615" i="4"/>
  <c r="BH3615" i="4"/>
  <c r="AX3614" i="4"/>
  <c r="AW3614" i="4"/>
  <c r="AV3614" i="4"/>
  <c r="AP3614" i="4"/>
  <c r="AO3614" i="4"/>
  <c r="AN3614" i="4"/>
  <c r="AM3614" i="4"/>
  <c r="BH3614" i="4"/>
  <c r="AX3613" i="4"/>
  <c r="AW3613" i="4"/>
  <c r="AV3613" i="4"/>
  <c r="AP3613" i="4"/>
  <c r="AO3613" i="4"/>
  <c r="AN3613" i="4"/>
  <c r="AM3613" i="4"/>
  <c r="BH3613" i="4"/>
  <c r="AX3612" i="4"/>
  <c r="AW3612" i="4"/>
  <c r="AV3612" i="4"/>
  <c r="AP3612" i="4"/>
  <c r="AO3612" i="4"/>
  <c r="AN3612" i="4"/>
  <c r="AM3612" i="4"/>
  <c r="BH3612" i="4"/>
  <c r="AX3611" i="4"/>
  <c r="AW3611" i="4"/>
  <c r="AV3611" i="4"/>
  <c r="AP3611" i="4"/>
  <c r="AO3611" i="4"/>
  <c r="AN3611" i="4"/>
  <c r="AM3611" i="4"/>
  <c r="BH3611" i="4"/>
  <c r="AX3610" i="4"/>
  <c r="AW3610" i="4"/>
  <c r="AV3610" i="4"/>
  <c r="AP3610" i="4"/>
  <c r="AO3610" i="4"/>
  <c r="AN3610" i="4"/>
  <c r="AM3610" i="4"/>
  <c r="BH3610" i="4"/>
  <c r="AX3609" i="4"/>
  <c r="AW3609" i="4"/>
  <c r="AV3609" i="4"/>
  <c r="AP3609" i="4"/>
  <c r="AO3609" i="4"/>
  <c r="AN3609" i="4"/>
  <c r="AM3609" i="4"/>
  <c r="BH3609" i="4"/>
  <c r="AX3608" i="4"/>
  <c r="AW3608" i="4"/>
  <c r="AV3608" i="4"/>
  <c r="AP3608" i="4"/>
  <c r="AO3608" i="4"/>
  <c r="AN3608" i="4"/>
  <c r="AM3608" i="4"/>
  <c r="BH3608" i="4"/>
  <c r="AX3607" i="4"/>
  <c r="AW3607" i="4"/>
  <c r="AV3607" i="4"/>
  <c r="AP3607" i="4"/>
  <c r="AO3607" i="4"/>
  <c r="AN3607" i="4"/>
  <c r="AM3607" i="4"/>
  <c r="BH3607" i="4"/>
  <c r="AX3606" i="4"/>
  <c r="AW3606" i="4"/>
  <c r="AV3606" i="4"/>
  <c r="AP3606" i="4"/>
  <c r="AO3606" i="4"/>
  <c r="AN3606" i="4"/>
  <c r="AM3606" i="4"/>
  <c r="BH3606" i="4"/>
  <c r="AX3605" i="4"/>
  <c r="AW3605" i="4"/>
  <c r="AV3605" i="4"/>
  <c r="AP3605" i="4"/>
  <c r="AO3605" i="4"/>
  <c r="AN3605" i="4"/>
  <c r="AM3605" i="4"/>
  <c r="BH3605" i="4"/>
  <c r="AX3604" i="4"/>
  <c r="AW3604" i="4"/>
  <c r="AV3604" i="4"/>
  <c r="AP3604" i="4"/>
  <c r="AO3604" i="4"/>
  <c r="AN3604" i="4"/>
  <c r="AM3604" i="4"/>
  <c r="BH3604" i="4"/>
  <c r="AX3603" i="4"/>
  <c r="AW3603" i="4"/>
  <c r="AV3603" i="4"/>
  <c r="AP3603" i="4"/>
  <c r="AO3603" i="4"/>
  <c r="AN3603" i="4"/>
  <c r="AM3603" i="4"/>
  <c r="BH3603" i="4"/>
  <c r="AX3602" i="4"/>
  <c r="AW3602" i="4"/>
  <c r="AV3602" i="4"/>
  <c r="AP3602" i="4"/>
  <c r="AO3602" i="4"/>
  <c r="AN3602" i="4"/>
  <c r="AM3602" i="4"/>
  <c r="BH3602" i="4"/>
  <c r="AX3601" i="4"/>
  <c r="AW3601" i="4"/>
  <c r="AV3601" i="4"/>
  <c r="AP3601" i="4"/>
  <c r="AO3601" i="4"/>
  <c r="AN3601" i="4"/>
  <c r="AM3601" i="4"/>
  <c r="BH3601" i="4"/>
  <c r="AX3600" i="4"/>
  <c r="AW3600" i="4"/>
  <c r="AV3600" i="4"/>
  <c r="AP3600" i="4"/>
  <c r="AO3600" i="4"/>
  <c r="AN3600" i="4"/>
  <c r="AM3600" i="4"/>
  <c r="BH3600" i="4"/>
  <c r="AX3599" i="4"/>
  <c r="AW3599" i="4"/>
  <c r="AV3599" i="4"/>
  <c r="AP3599" i="4"/>
  <c r="AO3599" i="4"/>
  <c r="AN3599" i="4"/>
  <c r="AM3599" i="4"/>
  <c r="BH3599" i="4"/>
  <c r="AX3598" i="4"/>
  <c r="AW3598" i="4"/>
  <c r="AV3598" i="4"/>
  <c r="AP3598" i="4"/>
  <c r="AO3598" i="4"/>
  <c r="AN3598" i="4"/>
  <c r="AM3598" i="4"/>
  <c r="BH3598" i="4"/>
  <c r="AX3597" i="4"/>
  <c r="AW3597" i="4"/>
  <c r="AV3597" i="4"/>
  <c r="AP3597" i="4"/>
  <c r="AO3597" i="4"/>
  <c r="AN3597" i="4"/>
  <c r="AM3597" i="4"/>
  <c r="BH3597" i="4"/>
  <c r="AX3596" i="4"/>
  <c r="AW3596" i="4"/>
  <c r="AV3596" i="4"/>
  <c r="AP3596" i="4"/>
  <c r="AO3596" i="4"/>
  <c r="AN3596" i="4"/>
  <c r="AM3596" i="4"/>
  <c r="BH3596" i="4"/>
  <c r="AX3595" i="4"/>
  <c r="AW3595" i="4"/>
  <c r="AV3595" i="4"/>
  <c r="AP3595" i="4"/>
  <c r="AO3595" i="4"/>
  <c r="AN3595" i="4"/>
  <c r="AM3595" i="4"/>
  <c r="BH3595" i="4"/>
  <c r="AX3594" i="4"/>
  <c r="AW3594" i="4"/>
  <c r="AV3594" i="4"/>
  <c r="AP3594" i="4"/>
  <c r="AO3594" i="4"/>
  <c r="AN3594" i="4"/>
  <c r="AM3594" i="4"/>
  <c r="BH3594" i="4"/>
  <c r="AX3593" i="4"/>
  <c r="AW3593" i="4"/>
  <c r="AV3593" i="4"/>
  <c r="AP3593" i="4"/>
  <c r="AO3593" i="4"/>
  <c r="AN3593" i="4"/>
  <c r="AM3593" i="4"/>
  <c r="BH3593" i="4"/>
  <c r="AX3592" i="4"/>
  <c r="AW3592" i="4"/>
  <c r="AV3592" i="4"/>
  <c r="AP3592" i="4"/>
  <c r="AO3592" i="4"/>
  <c r="AN3592" i="4"/>
  <c r="AM3592" i="4"/>
  <c r="BH3592" i="4"/>
  <c r="AX3591" i="4"/>
  <c r="AW3591" i="4"/>
  <c r="AV3591" i="4"/>
  <c r="AP3591" i="4"/>
  <c r="AO3591" i="4"/>
  <c r="AN3591" i="4"/>
  <c r="AM3591" i="4"/>
  <c r="BH3591" i="4"/>
  <c r="AX3590" i="4"/>
  <c r="AW3590" i="4"/>
  <c r="AV3590" i="4"/>
  <c r="AP3590" i="4"/>
  <c r="AO3590" i="4"/>
  <c r="AN3590" i="4"/>
  <c r="AM3590" i="4"/>
  <c r="BH3590" i="4"/>
  <c r="AX3589" i="4"/>
  <c r="AW3589" i="4"/>
  <c r="AV3589" i="4"/>
  <c r="AP3589" i="4"/>
  <c r="AO3589" i="4"/>
  <c r="AN3589" i="4"/>
  <c r="AM3589" i="4"/>
  <c r="BH3589" i="4"/>
  <c r="AX3588" i="4"/>
  <c r="AW3588" i="4"/>
  <c r="AV3588" i="4"/>
  <c r="AP3588" i="4"/>
  <c r="AO3588" i="4"/>
  <c r="AN3588" i="4"/>
  <c r="AM3588" i="4"/>
  <c r="BH3588" i="4"/>
  <c r="AX3587" i="4"/>
  <c r="AW3587" i="4"/>
  <c r="AV3587" i="4"/>
  <c r="AP3587" i="4"/>
  <c r="AO3587" i="4"/>
  <c r="AN3587" i="4"/>
  <c r="AM3587" i="4"/>
  <c r="BH3587" i="4"/>
  <c r="AX3586" i="4"/>
  <c r="AW3586" i="4"/>
  <c r="AV3586" i="4"/>
  <c r="AP3586" i="4"/>
  <c r="AO3586" i="4"/>
  <c r="AN3586" i="4"/>
  <c r="AM3586" i="4"/>
  <c r="BH3586" i="4"/>
  <c r="AX3585" i="4"/>
  <c r="AW3585" i="4"/>
  <c r="AV3585" i="4"/>
  <c r="AP3585" i="4"/>
  <c r="AO3585" i="4"/>
  <c r="AN3585" i="4"/>
  <c r="AM3585" i="4"/>
  <c r="BH3585" i="4"/>
  <c r="AX3584" i="4"/>
  <c r="AW3584" i="4"/>
  <c r="AV3584" i="4"/>
  <c r="AP3584" i="4"/>
  <c r="AO3584" i="4"/>
  <c r="AN3584" i="4"/>
  <c r="AM3584" i="4"/>
  <c r="BH3584" i="4"/>
  <c r="AX3583" i="4"/>
  <c r="AW3583" i="4"/>
  <c r="AV3583" i="4"/>
  <c r="AP3583" i="4"/>
  <c r="AO3583" i="4"/>
  <c r="AN3583" i="4"/>
  <c r="AM3583" i="4"/>
  <c r="BH3583" i="4"/>
  <c r="AX3582" i="4"/>
  <c r="AW3582" i="4"/>
  <c r="AV3582" i="4"/>
  <c r="AP3582" i="4"/>
  <c r="AO3582" i="4"/>
  <c r="AN3582" i="4"/>
  <c r="AM3582" i="4"/>
  <c r="BH3582" i="4"/>
  <c r="AX3581" i="4"/>
  <c r="AW3581" i="4"/>
  <c r="AV3581" i="4"/>
  <c r="AP3581" i="4"/>
  <c r="AO3581" i="4"/>
  <c r="AN3581" i="4"/>
  <c r="AM3581" i="4"/>
  <c r="BH3581" i="4"/>
  <c r="AX3580" i="4"/>
  <c r="AW3580" i="4"/>
  <c r="AV3580" i="4"/>
  <c r="AP3580" i="4"/>
  <c r="AO3580" i="4"/>
  <c r="AN3580" i="4"/>
  <c r="AM3580" i="4"/>
  <c r="BH3580" i="4"/>
  <c r="AX3579" i="4"/>
  <c r="AW3579" i="4"/>
  <c r="AV3579" i="4"/>
  <c r="AP3579" i="4"/>
  <c r="AO3579" i="4"/>
  <c r="AN3579" i="4"/>
  <c r="AM3579" i="4"/>
  <c r="BH3579" i="4"/>
  <c r="AX3578" i="4"/>
  <c r="AW3578" i="4"/>
  <c r="AV3578" i="4"/>
  <c r="AP3578" i="4"/>
  <c r="AO3578" i="4"/>
  <c r="AN3578" i="4"/>
  <c r="AM3578" i="4"/>
  <c r="BH3578" i="4"/>
  <c r="AX3577" i="4"/>
  <c r="AW3577" i="4"/>
  <c r="AV3577" i="4"/>
  <c r="AP3577" i="4"/>
  <c r="AO3577" i="4"/>
  <c r="AN3577" i="4"/>
  <c r="AM3577" i="4"/>
  <c r="BH3577" i="4"/>
  <c r="AX3576" i="4"/>
  <c r="AW3576" i="4"/>
  <c r="AV3576" i="4"/>
  <c r="AP3576" i="4"/>
  <c r="AO3576" i="4"/>
  <c r="AN3576" i="4"/>
  <c r="AM3576" i="4"/>
  <c r="BH3576" i="4"/>
  <c r="AX3575" i="4"/>
  <c r="AW3575" i="4"/>
  <c r="AV3575" i="4"/>
  <c r="AP3575" i="4"/>
  <c r="AO3575" i="4"/>
  <c r="AN3575" i="4"/>
  <c r="AM3575" i="4"/>
  <c r="BH3575" i="4"/>
  <c r="AX3574" i="4"/>
  <c r="AW3574" i="4"/>
  <c r="AV3574" i="4"/>
  <c r="AP3574" i="4"/>
  <c r="AO3574" i="4"/>
  <c r="AN3574" i="4"/>
  <c r="AM3574" i="4"/>
  <c r="BH3574" i="4"/>
  <c r="AX3573" i="4"/>
  <c r="AW3573" i="4"/>
  <c r="AV3573" i="4"/>
  <c r="AP3573" i="4"/>
  <c r="AO3573" i="4"/>
  <c r="AN3573" i="4"/>
  <c r="AM3573" i="4"/>
  <c r="BH3573" i="4"/>
  <c r="AX3572" i="4"/>
  <c r="AW3572" i="4"/>
  <c r="AV3572" i="4"/>
  <c r="AP3572" i="4"/>
  <c r="AO3572" i="4"/>
  <c r="AN3572" i="4"/>
  <c r="AM3572" i="4"/>
  <c r="BH3572" i="4"/>
  <c r="AX3571" i="4"/>
  <c r="AW3571" i="4"/>
  <c r="AV3571" i="4"/>
  <c r="AP3571" i="4"/>
  <c r="AO3571" i="4"/>
  <c r="AN3571" i="4"/>
  <c r="AM3571" i="4"/>
  <c r="BH3571" i="4"/>
  <c r="AX3570" i="4"/>
  <c r="AW3570" i="4"/>
  <c r="AV3570" i="4"/>
  <c r="AP3570" i="4"/>
  <c r="AO3570" i="4"/>
  <c r="AN3570" i="4"/>
  <c r="AM3570" i="4"/>
  <c r="BH3570" i="4"/>
  <c r="AX3569" i="4"/>
  <c r="AW3569" i="4"/>
  <c r="AV3569" i="4"/>
  <c r="AP3569" i="4"/>
  <c r="AO3569" i="4"/>
  <c r="AN3569" i="4"/>
  <c r="AM3569" i="4"/>
  <c r="BH3569" i="4"/>
  <c r="AX3568" i="4"/>
  <c r="AW3568" i="4"/>
  <c r="AV3568" i="4"/>
  <c r="AP3568" i="4"/>
  <c r="AO3568" i="4"/>
  <c r="AN3568" i="4"/>
  <c r="AM3568" i="4"/>
  <c r="BH3568" i="4"/>
  <c r="AX3567" i="4"/>
  <c r="AW3567" i="4"/>
  <c r="AV3567" i="4"/>
  <c r="AP3567" i="4"/>
  <c r="AO3567" i="4"/>
  <c r="AN3567" i="4"/>
  <c r="AM3567" i="4"/>
  <c r="BH3567" i="4"/>
  <c r="AX3566" i="4"/>
  <c r="AW3566" i="4"/>
  <c r="AV3566" i="4"/>
  <c r="AP3566" i="4"/>
  <c r="AO3566" i="4"/>
  <c r="AN3566" i="4"/>
  <c r="AM3566" i="4"/>
  <c r="BH3566" i="4"/>
  <c r="AX3565" i="4"/>
  <c r="AW3565" i="4"/>
  <c r="AV3565" i="4"/>
  <c r="AP3565" i="4"/>
  <c r="AO3565" i="4"/>
  <c r="AN3565" i="4"/>
  <c r="AM3565" i="4"/>
  <c r="BH3565" i="4"/>
  <c r="AX3564" i="4"/>
  <c r="AW3564" i="4"/>
  <c r="AV3564" i="4"/>
  <c r="AP3564" i="4"/>
  <c r="AO3564" i="4"/>
  <c r="AN3564" i="4"/>
  <c r="AM3564" i="4"/>
  <c r="BH3564" i="4"/>
  <c r="AX3563" i="4"/>
  <c r="AW3563" i="4"/>
  <c r="AV3563" i="4"/>
  <c r="AP3563" i="4"/>
  <c r="AO3563" i="4"/>
  <c r="AN3563" i="4"/>
  <c r="AM3563" i="4"/>
  <c r="BH3563" i="4"/>
  <c r="AX3562" i="4"/>
  <c r="AW3562" i="4"/>
  <c r="AV3562" i="4"/>
  <c r="AP3562" i="4"/>
  <c r="AO3562" i="4"/>
  <c r="AN3562" i="4"/>
  <c r="AM3562" i="4"/>
  <c r="BH3562" i="4"/>
  <c r="AX3561" i="4"/>
  <c r="AW3561" i="4"/>
  <c r="AV3561" i="4"/>
  <c r="AP3561" i="4"/>
  <c r="AO3561" i="4"/>
  <c r="AN3561" i="4"/>
  <c r="AM3561" i="4"/>
  <c r="BH3561" i="4"/>
  <c r="AX3560" i="4"/>
  <c r="AW3560" i="4"/>
  <c r="AV3560" i="4"/>
  <c r="AP3560" i="4"/>
  <c r="AO3560" i="4"/>
  <c r="AN3560" i="4"/>
  <c r="AM3560" i="4"/>
  <c r="BH3560" i="4"/>
  <c r="AX3559" i="4"/>
  <c r="AW3559" i="4"/>
  <c r="AV3559" i="4"/>
  <c r="AP3559" i="4"/>
  <c r="AO3559" i="4"/>
  <c r="AN3559" i="4"/>
  <c r="AM3559" i="4"/>
  <c r="BH3559" i="4"/>
  <c r="AX3558" i="4"/>
  <c r="AW3558" i="4"/>
  <c r="AV3558" i="4"/>
  <c r="AP3558" i="4"/>
  <c r="AO3558" i="4"/>
  <c r="AN3558" i="4"/>
  <c r="AM3558" i="4"/>
  <c r="BH3558" i="4"/>
  <c r="AX3557" i="4"/>
  <c r="AW3557" i="4"/>
  <c r="AV3557" i="4"/>
  <c r="AP3557" i="4"/>
  <c r="AO3557" i="4"/>
  <c r="AN3557" i="4"/>
  <c r="AM3557" i="4"/>
  <c r="BH3557" i="4"/>
  <c r="AX3556" i="4"/>
  <c r="AW3556" i="4"/>
  <c r="AV3556" i="4"/>
  <c r="AP3556" i="4"/>
  <c r="AO3556" i="4"/>
  <c r="AN3556" i="4"/>
  <c r="AM3556" i="4"/>
  <c r="BH3556" i="4"/>
  <c r="AX3555" i="4"/>
  <c r="AW3555" i="4"/>
  <c r="AV3555" i="4"/>
  <c r="AP3555" i="4"/>
  <c r="AO3555" i="4"/>
  <c r="AN3555" i="4"/>
  <c r="AM3555" i="4"/>
  <c r="BH3555" i="4"/>
  <c r="AX3554" i="4"/>
  <c r="AW3554" i="4"/>
  <c r="AV3554" i="4"/>
  <c r="AP3554" i="4"/>
  <c r="AO3554" i="4"/>
  <c r="AN3554" i="4"/>
  <c r="AM3554" i="4"/>
  <c r="BH3554" i="4"/>
  <c r="AX3553" i="4"/>
  <c r="AW3553" i="4"/>
  <c r="AV3553" i="4"/>
  <c r="AP3553" i="4"/>
  <c r="AO3553" i="4"/>
  <c r="AN3553" i="4"/>
  <c r="AM3553" i="4"/>
  <c r="BH3553" i="4"/>
  <c r="AX3552" i="4"/>
  <c r="AW3552" i="4"/>
  <c r="AV3552" i="4"/>
  <c r="AP3552" i="4"/>
  <c r="AO3552" i="4"/>
  <c r="AN3552" i="4"/>
  <c r="AM3552" i="4"/>
  <c r="BH3552" i="4"/>
  <c r="AX3551" i="4"/>
  <c r="AW3551" i="4"/>
  <c r="AV3551" i="4"/>
  <c r="AP3551" i="4"/>
  <c r="AO3551" i="4"/>
  <c r="AN3551" i="4"/>
  <c r="AM3551" i="4"/>
  <c r="BH3551" i="4"/>
  <c r="AX3550" i="4"/>
  <c r="AW3550" i="4"/>
  <c r="AV3550" i="4"/>
  <c r="AP3550" i="4"/>
  <c r="AO3550" i="4"/>
  <c r="AN3550" i="4"/>
  <c r="AM3550" i="4"/>
  <c r="BH3550" i="4"/>
  <c r="AX3549" i="4"/>
  <c r="AW3549" i="4"/>
  <c r="AV3549" i="4"/>
  <c r="AP3549" i="4"/>
  <c r="AO3549" i="4"/>
  <c r="AN3549" i="4"/>
  <c r="AM3549" i="4"/>
  <c r="BH3549" i="4"/>
  <c r="AX3548" i="4"/>
  <c r="AW3548" i="4"/>
  <c r="AV3548" i="4"/>
  <c r="AP3548" i="4"/>
  <c r="AO3548" i="4"/>
  <c r="AN3548" i="4"/>
  <c r="AM3548" i="4"/>
  <c r="BH3548" i="4"/>
  <c r="AX3547" i="4"/>
  <c r="AW3547" i="4"/>
  <c r="AV3547" i="4"/>
  <c r="AP3547" i="4"/>
  <c r="AO3547" i="4"/>
  <c r="AN3547" i="4"/>
  <c r="AM3547" i="4"/>
  <c r="BH3547" i="4"/>
  <c r="AX3546" i="4"/>
  <c r="AW3546" i="4"/>
  <c r="AV3546" i="4"/>
  <c r="AP3546" i="4"/>
  <c r="AO3546" i="4"/>
  <c r="AN3546" i="4"/>
  <c r="AM3546" i="4"/>
  <c r="BH3546" i="4"/>
  <c r="AX3545" i="4"/>
  <c r="AW3545" i="4"/>
  <c r="AV3545" i="4"/>
  <c r="AP3545" i="4"/>
  <c r="AO3545" i="4"/>
  <c r="AN3545" i="4"/>
  <c r="AM3545" i="4"/>
  <c r="BH3545" i="4"/>
  <c r="AX3544" i="4"/>
  <c r="AW3544" i="4"/>
  <c r="AV3544" i="4"/>
  <c r="AP3544" i="4"/>
  <c r="AO3544" i="4"/>
  <c r="AN3544" i="4"/>
  <c r="AM3544" i="4"/>
  <c r="BH3544" i="4"/>
  <c r="AX3543" i="4"/>
  <c r="AW3543" i="4"/>
  <c r="AV3543" i="4"/>
  <c r="AP3543" i="4"/>
  <c r="AO3543" i="4"/>
  <c r="AN3543" i="4"/>
  <c r="AM3543" i="4"/>
  <c r="BH3543" i="4"/>
  <c r="AX3542" i="4"/>
  <c r="AW3542" i="4"/>
  <c r="AV3542" i="4"/>
  <c r="AP3542" i="4"/>
  <c r="AO3542" i="4"/>
  <c r="AN3542" i="4"/>
  <c r="AM3542" i="4"/>
  <c r="BH3542" i="4"/>
  <c r="AX3541" i="4"/>
  <c r="AW3541" i="4"/>
  <c r="AV3541" i="4"/>
  <c r="AP3541" i="4"/>
  <c r="AO3541" i="4"/>
  <c r="AN3541" i="4"/>
  <c r="AM3541" i="4"/>
  <c r="BH3541" i="4"/>
  <c r="AX3540" i="4"/>
  <c r="AW3540" i="4"/>
  <c r="AV3540" i="4"/>
  <c r="AP3540" i="4"/>
  <c r="AO3540" i="4"/>
  <c r="AN3540" i="4"/>
  <c r="AM3540" i="4"/>
  <c r="BH3540" i="4"/>
  <c r="AX3539" i="4"/>
  <c r="AW3539" i="4"/>
  <c r="AV3539" i="4"/>
  <c r="AP3539" i="4"/>
  <c r="AO3539" i="4"/>
  <c r="AN3539" i="4"/>
  <c r="AM3539" i="4"/>
  <c r="BH3539" i="4"/>
  <c r="AX3538" i="4"/>
  <c r="AW3538" i="4"/>
  <c r="AV3538" i="4"/>
  <c r="AP3538" i="4"/>
  <c r="AO3538" i="4"/>
  <c r="AN3538" i="4"/>
  <c r="AM3538" i="4"/>
  <c r="BH3538" i="4"/>
  <c r="AX3537" i="4"/>
  <c r="AW3537" i="4"/>
  <c r="AV3537" i="4"/>
  <c r="AP3537" i="4"/>
  <c r="AO3537" i="4"/>
  <c r="AN3537" i="4"/>
  <c r="AM3537" i="4"/>
  <c r="BH3537" i="4"/>
  <c r="AX3536" i="4"/>
  <c r="AW3536" i="4"/>
  <c r="AV3536" i="4"/>
  <c r="AP3536" i="4"/>
  <c r="AO3536" i="4"/>
  <c r="AN3536" i="4"/>
  <c r="AM3536" i="4"/>
  <c r="BH3536" i="4"/>
  <c r="AX3535" i="4"/>
  <c r="AW3535" i="4"/>
  <c r="AV3535" i="4"/>
  <c r="AP3535" i="4"/>
  <c r="AO3535" i="4"/>
  <c r="AN3535" i="4"/>
  <c r="AM3535" i="4"/>
  <c r="BH3535" i="4"/>
  <c r="AX3534" i="4"/>
  <c r="AW3534" i="4"/>
  <c r="AV3534" i="4"/>
  <c r="AP3534" i="4"/>
  <c r="AO3534" i="4"/>
  <c r="AN3534" i="4"/>
  <c r="AM3534" i="4"/>
  <c r="BH3534" i="4"/>
  <c r="AX3533" i="4"/>
  <c r="AW3533" i="4"/>
  <c r="AV3533" i="4"/>
  <c r="AP3533" i="4"/>
  <c r="AO3533" i="4"/>
  <c r="AN3533" i="4"/>
  <c r="AM3533" i="4"/>
  <c r="BH3533" i="4"/>
  <c r="AX3532" i="4"/>
  <c r="AW3532" i="4"/>
  <c r="AV3532" i="4"/>
  <c r="AP3532" i="4"/>
  <c r="AO3532" i="4"/>
  <c r="AN3532" i="4"/>
  <c r="AM3532" i="4"/>
  <c r="BH3532" i="4"/>
  <c r="AX3531" i="4"/>
  <c r="AW3531" i="4"/>
  <c r="AV3531" i="4"/>
  <c r="AP3531" i="4"/>
  <c r="AO3531" i="4"/>
  <c r="AN3531" i="4"/>
  <c r="AM3531" i="4"/>
  <c r="BH3531" i="4"/>
  <c r="AX3530" i="4"/>
  <c r="AW3530" i="4"/>
  <c r="AV3530" i="4"/>
  <c r="AP3530" i="4"/>
  <c r="AO3530" i="4"/>
  <c r="AN3530" i="4"/>
  <c r="AM3530" i="4"/>
  <c r="BH3530" i="4"/>
  <c r="AX3529" i="4"/>
  <c r="AW3529" i="4"/>
  <c r="AV3529" i="4"/>
  <c r="AP3529" i="4"/>
  <c r="AO3529" i="4"/>
  <c r="AN3529" i="4"/>
  <c r="AM3529" i="4"/>
  <c r="BH3529" i="4"/>
  <c r="AX3528" i="4"/>
  <c r="AW3528" i="4"/>
  <c r="AV3528" i="4"/>
  <c r="AP3528" i="4"/>
  <c r="AO3528" i="4"/>
  <c r="AN3528" i="4"/>
  <c r="AM3528" i="4"/>
  <c r="BH3528" i="4"/>
  <c r="AX3527" i="4"/>
  <c r="AW3527" i="4"/>
  <c r="AV3527" i="4"/>
  <c r="AP3527" i="4"/>
  <c r="AO3527" i="4"/>
  <c r="AN3527" i="4"/>
  <c r="AM3527" i="4"/>
  <c r="BH3527" i="4"/>
  <c r="AX3526" i="4"/>
  <c r="AW3526" i="4"/>
  <c r="AV3526" i="4"/>
  <c r="AP3526" i="4"/>
  <c r="AO3526" i="4"/>
  <c r="AN3526" i="4"/>
  <c r="AM3526" i="4"/>
  <c r="BH3526" i="4"/>
  <c r="AX3525" i="4"/>
  <c r="AW3525" i="4"/>
  <c r="AV3525" i="4"/>
  <c r="AP3525" i="4"/>
  <c r="AO3525" i="4"/>
  <c r="AN3525" i="4"/>
  <c r="AM3525" i="4"/>
  <c r="BH3525" i="4"/>
  <c r="AX3524" i="4"/>
  <c r="AW3524" i="4"/>
  <c r="AV3524" i="4"/>
  <c r="AP3524" i="4"/>
  <c r="AO3524" i="4"/>
  <c r="AN3524" i="4"/>
  <c r="AM3524" i="4"/>
  <c r="BH3524" i="4"/>
  <c r="AX3523" i="4"/>
  <c r="AW3523" i="4"/>
  <c r="AV3523" i="4"/>
  <c r="AP3523" i="4"/>
  <c r="AO3523" i="4"/>
  <c r="AN3523" i="4"/>
  <c r="AM3523" i="4"/>
  <c r="BH3523" i="4"/>
  <c r="AX3522" i="4"/>
  <c r="AW3522" i="4"/>
  <c r="AV3522" i="4"/>
  <c r="AP3522" i="4"/>
  <c r="AO3522" i="4"/>
  <c r="AN3522" i="4"/>
  <c r="AM3522" i="4"/>
  <c r="BH3522" i="4"/>
  <c r="AX3521" i="4"/>
  <c r="AW3521" i="4"/>
  <c r="AV3521" i="4"/>
  <c r="AP3521" i="4"/>
  <c r="AO3521" i="4"/>
  <c r="AN3521" i="4"/>
  <c r="AM3521" i="4"/>
  <c r="BH3521" i="4"/>
  <c r="AX3520" i="4"/>
  <c r="AW3520" i="4"/>
  <c r="AV3520" i="4"/>
  <c r="AP3520" i="4"/>
  <c r="AO3520" i="4"/>
  <c r="AN3520" i="4"/>
  <c r="AM3520" i="4"/>
  <c r="BH3520" i="4"/>
  <c r="AX3519" i="4"/>
  <c r="AW3519" i="4"/>
  <c r="AV3519" i="4"/>
  <c r="AP3519" i="4"/>
  <c r="AO3519" i="4"/>
  <c r="AN3519" i="4"/>
  <c r="AM3519" i="4"/>
  <c r="BH3519" i="4"/>
  <c r="AX3518" i="4"/>
  <c r="AW3518" i="4"/>
  <c r="AV3518" i="4"/>
  <c r="AP3518" i="4"/>
  <c r="AO3518" i="4"/>
  <c r="AN3518" i="4"/>
  <c r="AM3518" i="4"/>
  <c r="BH3518" i="4"/>
  <c r="AX3517" i="4"/>
  <c r="AW3517" i="4"/>
  <c r="AV3517" i="4"/>
  <c r="AP3517" i="4"/>
  <c r="AO3517" i="4"/>
  <c r="AN3517" i="4"/>
  <c r="AM3517" i="4"/>
  <c r="BH3517" i="4"/>
  <c r="AX3516" i="4"/>
  <c r="AW3516" i="4"/>
  <c r="AV3516" i="4"/>
  <c r="AP3516" i="4"/>
  <c r="AO3516" i="4"/>
  <c r="AN3516" i="4"/>
  <c r="AM3516" i="4"/>
  <c r="BH3516" i="4"/>
  <c r="AX3515" i="4"/>
  <c r="AW3515" i="4"/>
  <c r="AV3515" i="4"/>
  <c r="AP3515" i="4"/>
  <c r="AO3515" i="4"/>
  <c r="AN3515" i="4"/>
  <c r="AM3515" i="4"/>
  <c r="BH3515" i="4"/>
  <c r="AX3514" i="4"/>
  <c r="AW3514" i="4"/>
  <c r="AV3514" i="4"/>
  <c r="AP3514" i="4"/>
  <c r="AO3514" i="4"/>
  <c r="AN3514" i="4"/>
  <c r="AM3514" i="4"/>
  <c r="BH3514" i="4"/>
  <c r="AX3513" i="4"/>
  <c r="AW3513" i="4"/>
  <c r="AV3513" i="4"/>
  <c r="AP3513" i="4"/>
  <c r="AO3513" i="4"/>
  <c r="AN3513" i="4"/>
  <c r="AM3513" i="4"/>
  <c r="BH3513" i="4"/>
  <c r="AX3512" i="4"/>
  <c r="AW3512" i="4"/>
  <c r="AV3512" i="4"/>
  <c r="AP3512" i="4"/>
  <c r="AO3512" i="4"/>
  <c r="AN3512" i="4"/>
  <c r="AM3512" i="4"/>
  <c r="BH3512" i="4"/>
  <c r="AX3511" i="4"/>
  <c r="AW3511" i="4"/>
  <c r="AV3511" i="4"/>
  <c r="AP3511" i="4"/>
  <c r="AO3511" i="4"/>
  <c r="AN3511" i="4"/>
  <c r="AM3511" i="4"/>
  <c r="BH3511" i="4"/>
  <c r="AX3510" i="4"/>
  <c r="AW3510" i="4"/>
  <c r="AV3510" i="4"/>
  <c r="AP3510" i="4"/>
  <c r="AO3510" i="4"/>
  <c r="AN3510" i="4"/>
  <c r="AM3510" i="4"/>
  <c r="BH3510" i="4"/>
  <c r="AX3509" i="4"/>
  <c r="AW3509" i="4"/>
  <c r="AV3509" i="4"/>
  <c r="AP3509" i="4"/>
  <c r="AO3509" i="4"/>
  <c r="AN3509" i="4"/>
  <c r="AM3509" i="4"/>
  <c r="BH3509" i="4"/>
  <c r="AX3508" i="4"/>
  <c r="AW3508" i="4"/>
  <c r="AV3508" i="4"/>
  <c r="AP3508" i="4"/>
  <c r="AO3508" i="4"/>
  <c r="AN3508" i="4"/>
  <c r="AM3508" i="4"/>
  <c r="BH3508" i="4"/>
  <c r="AX3507" i="4"/>
  <c r="AW3507" i="4"/>
  <c r="AV3507" i="4"/>
  <c r="AP3507" i="4"/>
  <c r="AO3507" i="4"/>
  <c r="AN3507" i="4"/>
  <c r="AM3507" i="4"/>
  <c r="BH3507" i="4"/>
  <c r="AX3506" i="4"/>
  <c r="AW3506" i="4"/>
  <c r="AV3506" i="4"/>
  <c r="AP3506" i="4"/>
  <c r="AO3506" i="4"/>
  <c r="AN3506" i="4"/>
  <c r="AM3506" i="4"/>
  <c r="BH3506" i="4"/>
  <c r="AX3505" i="4"/>
  <c r="AW3505" i="4"/>
  <c r="AV3505" i="4"/>
  <c r="AP3505" i="4"/>
  <c r="AO3505" i="4"/>
  <c r="AN3505" i="4"/>
  <c r="AM3505" i="4"/>
  <c r="BH3505" i="4"/>
  <c r="AX3504" i="4"/>
  <c r="AW3504" i="4"/>
  <c r="AV3504" i="4"/>
  <c r="AP3504" i="4"/>
  <c r="AO3504" i="4"/>
  <c r="AN3504" i="4"/>
  <c r="AM3504" i="4"/>
  <c r="BH3504" i="4"/>
  <c r="AX3503" i="4"/>
  <c r="AW3503" i="4"/>
  <c r="AV3503" i="4"/>
  <c r="AP3503" i="4"/>
  <c r="AO3503" i="4"/>
  <c r="AN3503" i="4"/>
  <c r="AM3503" i="4"/>
  <c r="BH3503" i="4"/>
  <c r="AX3502" i="4"/>
  <c r="AW3502" i="4"/>
  <c r="AV3502" i="4"/>
  <c r="AP3502" i="4"/>
  <c r="AO3502" i="4"/>
  <c r="AN3502" i="4"/>
  <c r="AM3502" i="4"/>
  <c r="BH3502" i="4"/>
  <c r="AX3501" i="4"/>
  <c r="AW3501" i="4"/>
  <c r="AV3501" i="4"/>
  <c r="AP3501" i="4"/>
  <c r="AO3501" i="4"/>
  <c r="AN3501" i="4"/>
  <c r="AM3501" i="4"/>
  <c r="BH3501" i="4"/>
  <c r="AX3500" i="4"/>
  <c r="AW3500" i="4"/>
  <c r="AV3500" i="4"/>
  <c r="AP3500" i="4"/>
  <c r="AO3500" i="4"/>
  <c r="AN3500" i="4"/>
  <c r="AM3500" i="4"/>
  <c r="BH3500" i="4"/>
  <c r="AX3499" i="4"/>
  <c r="AW3499" i="4"/>
  <c r="AV3499" i="4"/>
  <c r="AP3499" i="4"/>
  <c r="AO3499" i="4"/>
  <c r="AN3499" i="4"/>
  <c r="AM3499" i="4"/>
  <c r="BH3499" i="4"/>
  <c r="AX3498" i="4"/>
  <c r="AW3498" i="4"/>
  <c r="AV3498" i="4"/>
  <c r="AP3498" i="4"/>
  <c r="AO3498" i="4"/>
  <c r="AN3498" i="4"/>
  <c r="AM3498" i="4"/>
  <c r="BH3498" i="4"/>
  <c r="AX3497" i="4"/>
  <c r="AW3497" i="4"/>
  <c r="AV3497" i="4"/>
  <c r="AP3497" i="4"/>
  <c r="AO3497" i="4"/>
  <c r="AN3497" i="4"/>
  <c r="AM3497" i="4"/>
  <c r="BH3497" i="4"/>
  <c r="AX3496" i="4"/>
  <c r="AW3496" i="4"/>
  <c r="AV3496" i="4"/>
  <c r="AP3496" i="4"/>
  <c r="AO3496" i="4"/>
  <c r="AN3496" i="4"/>
  <c r="AM3496" i="4"/>
  <c r="BH3496" i="4"/>
  <c r="AX3495" i="4"/>
  <c r="AW3495" i="4"/>
  <c r="AV3495" i="4"/>
  <c r="AP3495" i="4"/>
  <c r="AO3495" i="4"/>
  <c r="AN3495" i="4"/>
  <c r="AM3495" i="4"/>
  <c r="BH3495" i="4"/>
  <c r="AX3494" i="4"/>
  <c r="AW3494" i="4"/>
  <c r="AV3494" i="4"/>
  <c r="AP3494" i="4"/>
  <c r="AO3494" i="4"/>
  <c r="AN3494" i="4"/>
  <c r="AM3494" i="4"/>
  <c r="BH3494" i="4"/>
  <c r="AX3493" i="4"/>
  <c r="AW3493" i="4"/>
  <c r="AV3493" i="4"/>
  <c r="AP3493" i="4"/>
  <c r="AO3493" i="4"/>
  <c r="AN3493" i="4"/>
  <c r="AM3493" i="4"/>
  <c r="BH3493" i="4"/>
  <c r="AX3492" i="4"/>
  <c r="AW3492" i="4"/>
  <c r="AV3492" i="4"/>
  <c r="AP3492" i="4"/>
  <c r="AO3492" i="4"/>
  <c r="AN3492" i="4"/>
  <c r="AM3492" i="4"/>
  <c r="BH3492" i="4"/>
  <c r="AX3491" i="4"/>
  <c r="AW3491" i="4"/>
  <c r="AV3491" i="4"/>
  <c r="AP3491" i="4"/>
  <c r="AO3491" i="4"/>
  <c r="AN3491" i="4"/>
  <c r="AM3491" i="4"/>
  <c r="BH3491" i="4"/>
  <c r="AX3490" i="4"/>
  <c r="AW3490" i="4"/>
  <c r="AV3490" i="4"/>
  <c r="AP3490" i="4"/>
  <c r="AO3490" i="4"/>
  <c r="AN3490" i="4"/>
  <c r="AM3490" i="4"/>
  <c r="BH3490" i="4"/>
  <c r="AX3489" i="4"/>
  <c r="AW3489" i="4"/>
  <c r="AV3489" i="4"/>
  <c r="AP3489" i="4"/>
  <c r="AO3489" i="4"/>
  <c r="AN3489" i="4"/>
  <c r="AM3489" i="4"/>
  <c r="BH3489" i="4"/>
  <c r="AX3488" i="4"/>
  <c r="AW3488" i="4"/>
  <c r="AV3488" i="4"/>
  <c r="AP3488" i="4"/>
  <c r="AO3488" i="4"/>
  <c r="AN3488" i="4"/>
  <c r="AM3488" i="4"/>
  <c r="BH3488" i="4"/>
  <c r="AX3487" i="4"/>
  <c r="AW3487" i="4"/>
  <c r="AV3487" i="4"/>
  <c r="AP3487" i="4"/>
  <c r="AO3487" i="4"/>
  <c r="AN3487" i="4"/>
  <c r="AM3487" i="4"/>
  <c r="BH3487" i="4"/>
  <c r="AX3486" i="4"/>
  <c r="AW3486" i="4"/>
  <c r="AV3486" i="4"/>
  <c r="AP3486" i="4"/>
  <c r="AO3486" i="4"/>
  <c r="AN3486" i="4"/>
  <c r="AM3486" i="4"/>
  <c r="BH3486" i="4"/>
  <c r="AX3485" i="4"/>
  <c r="AW3485" i="4"/>
  <c r="AV3485" i="4"/>
  <c r="AP3485" i="4"/>
  <c r="AO3485" i="4"/>
  <c r="AN3485" i="4"/>
  <c r="AM3485" i="4"/>
  <c r="BH3485" i="4"/>
  <c r="AX3484" i="4"/>
  <c r="AW3484" i="4"/>
  <c r="AV3484" i="4"/>
  <c r="AP3484" i="4"/>
  <c r="AO3484" i="4"/>
  <c r="AN3484" i="4"/>
  <c r="AM3484" i="4"/>
  <c r="BH3484" i="4"/>
  <c r="AX3483" i="4"/>
  <c r="AW3483" i="4"/>
  <c r="AV3483" i="4"/>
  <c r="AP3483" i="4"/>
  <c r="AO3483" i="4"/>
  <c r="AN3483" i="4"/>
  <c r="AM3483" i="4"/>
  <c r="BH3483" i="4"/>
  <c r="AX3482" i="4"/>
  <c r="AW3482" i="4"/>
  <c r="AV3482" i="4"/>
  <c r="AP3482" i="4"/>
  <c r="AO3482" i="4"/>
  <c r="AN3482" i="4"/>
  <c r="AM3482" i="4"/>
  <c r="BH3482" i="4"/>
  <c r="AX3481" i="4"/>
  <c r="AW3481" i="4"/>
  <c r="AV3481" i="4"/>
  <c r="AP3481" i="4"/>
  <c r="AO3481" i="4"/>
  <c r="AN3481" i="4"/>
  <c r="AM3481" i="4"/>
  <c r="BH3481" i="4"/>
  <c r="AX3480" i="4"/>
  <c r="AW3480" i="4"/>
  <c r="AV3480" i="4"/>
  <c r="AP3480" i="4"/>
  <c r="AO3480" i="4"/>
  <c r="AN3480" i="4"/>
  <c r="AM3480" i="4"/>
  <c r="BH3480" i="4"/>
  <c r="AX3479" i="4"/>
  <c r="AW3479" i="4"/>
  <c r="AV3479" i="4"/>
  <c r="AP3479" i="4"/>
  <c r="AO3479" i="4"/>
  <c r="AN3479" i="4"/>
  <c r="AM3479" i="4"/>
  <c r="BH3479" i="4"/>
  <c r="AX3478" i="4"/>
  <c r="AW3478" i="4"/>
  <c r="AV3478" i="4"/>
  <c r="AP3478" i="4"/>
  <c r="AO3478" i="4"/>
  <c r="AN3478" i="4"/>
  <c r="AM3478" i="4"/>
  <c r="BH3478" i="4"/>
  <c r="AX3477" i="4"/>
  <c r="AW3477" i="4"/>
  <c r="AV3477" i="4"/>
  <c r="AP3477" i="4"/>
  <c r="AO3477" i="4"/>
  <c r="AN3477" i="4"/>
  <c r="AM3477" i="4"/>
  <c r="BH3477" i="4"/>
  <c r="AX3476" i="4"/>
  <c r="AW3476" i="4"/>
  <c r="AV3476" i="4"/>
  <c r="AP3476" i="4"/>
  <c r="AO3476" i="4"/>
  <c r="AN3476" i="4"/>
  <c r="AM3476" i="4"/>
  <c r="BH3476" i="4"/>
  <c r="AX3475" i="4"/>
  <c r="AW3475" i="4"/>
  <c r="AV3475" i="4"/>
  <c r="AP3475" i="4"/>
  <c r="AO3475" i="4"/>
  <c r="AN3475" i="4"/>
  <c r="AM3475" i="4"/>
  <c r="BH3475" i="4"/>
  <c r="AX3474" i="4"/>
  <c r="AW3474" i="4"/>
  <c r="AV3474" i="4"/>
  <c r="AP3474" i="4"/>
  <c r="AO3474" i="4"/>
  <c r="AN3474" i="4"/>
  <c r="AM3474" i="4"/>
  <c r="BH3474" i="4"/>
  <c r="AX3473" i="4"/>
  <c r="AW3473" i="4"/>
  <c r="AV3473" i="4"/>
  <c r="AP3473" i="4"/>
  <c r="AO3473" i="4"/>
  <c r="AN3473" i="4"/>
  <c r="AM3473" i="4"/>
  <c r="BH3473" i="4"/>
  <c r="AX3472" i="4"/>
  <c r="AW3472" i="4"/>
  <c r="AV3472" i="4"/>
  <c r="AP3472" i="4"/>
  <c r="AO3472" i="4"/>
  <c r="AN3472" i="4"/>
  <c r="AM3472" i="4"/>
  <c r="BH3472" i="4"/>
  <c r="AX3471" i="4"/>
  <c r="AW3471" i="4"/>
  <c r="AV3471" i="4"/>
  <c r="AP3471" i="4"/>
  <c r="AO3471" i="4"/>
  <c r="AN3471" i="4"/>
  <c r="AM3471" i="4"/>
  <c r="BH3471" i="4"/>
  <c r="AX3470" i="4"/>
  <c r="AW3470" i="4"/>
  <c r="AV3470" i="4"/>
  <c r="AP3470" i="4"/>
  <c r="AO3470" i="4"/>
  <c r="AN3470" i="4"/>
  <c r="AM3470" i="4"/>
  <c r="BH3470" i="4"/>
  <c r="AX3469" i="4"/>
  <c r="AW3469" i="4"/>
  <c r="AV3469" i="4"/>
  <c r="AP3469" i="4"/>
  <c r="AO3469" i="4"/>
  <c r="AN3469" i="4"/>
  <c r="AM3469" i="4"/>
  <c r="BH3469" i="4"/>
  <c r="AX3468" i="4"/>
  <c r="AW3468" i="4"/>
  <c r="AV3468" i="4"/>
  <c r="AP3468" i="4"/>
  <c r="AO3468" i="4"/>
  <c r="AN3468" i="4"/>
  <c r="AM3468" i="4"/>
  <c r="BH3468" i="4"/>
  <c r="AX3467" i="4"/>
  <c r="AW3467" i="4"/>
  <c r="AV3467" i="4"/>
  <c r="AP3467" i="4"/>
  <c r="AO3467" i="4"/>
  <c r="AN3467" i="4"/>
  <c r="AM3467" i="4"/>
  <c r="BH3467" i="4"/>
  <c r="AX3466" i="4"/>
  <c r="AW3466" i="4"/>
  <c r="AV3466" i="4"/>
  <c r="AP3466" i="4"/>
  <c r="AO3466" i="4"/>
  <c r="AN3466" i="4"/>
  <c r="AM3466" i="4"/>
  <c r="BH3466" i="4"/>
  <c r="AX3465" i="4"/>
  <c r="AW3465" i="4"/>
  <c r="AV3465" i="4"/>
  <c r="AP3465" i="4"/>
  <c r="AO3465" i="4"/>
  <c r="AN3465" i="4"/>
  <c r="AM3465" i="4"/>
  <c r="BH3465" i="4"/>
  <c r="AX3464" i="4"/>
  <c r="AW3464" i="4"/>
  <c r="AV3464" i="4"/>
  <c r="AP3464" i="4"/>
  <c r="AO3464" i="4"/>
  <c r="AN3464" i="4"/>
  <c r="AM3464" i="4"/>
  <c r="BH3464" i="4"/>
  <c r="AX3463" i="4"/>
  <c r="AW3463" i="4"/>
  <c r="AV3463" i="4"/>
  <c r="AP3463" i="4"/>
  <c r="AO3463" i="4"/>
  <c r="AN3463" i="4"/>
  <c r="AM3463" i="4"/>
  <c r="BH3463" i="4"/>
  <c r="AX3462" i="4"/>
  <c r="AW3462" i="4"/>
  <c r="AV3462" i="4"/>
  <c r="AP3462" i="4"/>
  <c r="AO3462" i="4"/>
  <c r="AN3462" i="4"/>
  <c r="AM3462" i="4"/>
  <c r="BH3462" i="4"/>
  <c r="AX3461" i="4"/>
  <c r="AW3461" i="4"/>
  <c r="AV3461" i="4"/>
  <c r="AP3461" i="4"/>
  <c r="AO3461" i="4"/>
  <c r="AN3461" i="4"/>
  <c r="AM3461" i="4"/>
  <c r="BH3461" i="4"/>
  <c r="AX3460" i="4"/>
  <c r="AW3460" i="4"/>
  <c r="AV3460" i="4"/>
  <c r="AP3460" i="4"/>
  <c r="AO3460" i="4"/>
  <c r="AN3460" i="4"/>
  <c r="AM3460" i="4"/>
  <c r="BH3460" i="4"/>
  <c r="AX3459" i="4"/>
  <c r="AW3459" i="4"/>
  <c r="AV3459" i="4"/>
  <c r="AP3459" i="4"/>
  <c r="AO3459" i="4"/>
  <c r="AN3459" i="4"/>
  <c r="AM3459" i="4"/>
  <c r="BH3459" i="4"/>
  <c r="AX3458" i="4"/>
  <c r="AW3458" i="4"/>
  <c r="AV3458" i="4"/>
  <c r="AP3458" i="4"/>
  <c r="AO3458" i="4"/>
  <c r="AN3458" i="4"/>
  <c r="AM3458" i="4"/>
  <c r="BH3458" i="4"/>
  <c r="AX3457" i="4"/>
  <c r="AW3457" i="4"/>
  <c r="AV3457" i="4"/>
  <c r="AP3457" i="4"/>
  <c r="AO3457" i="4"/>
  <c r="AN3457" i="4"/>
  <c r="AM3457" i="4"/>
  <c r="BH3457" i="4"/>
  <c r="AX3456" i="4"/>
  <c r="AW3456" i="4"/>
  <c r="AV3456" i="4"/>
  <c r="AP3456" i="4"/>
  <c r="AO3456" i="4"/>
  <c r="AN3456" i="4"/>
  <c r="AM3456" i="4"/>
  <c r="BH3456" i="4"/>
  <c r="AX3455" i="4"/>
  <c r="AW3455" i="4"/>
  <c r="AV3455" i="4"/>
  <c r="AP3455" i="4"/>
  <c r="AO3455" i="4"/>
  <c r="AN3455" i="4"/>
  <c r="AM3455" i="4"/>
  <c r="BH3455" i="4"/>
  <c r="AX3454" i="4"/>
  <c r="AW3454" i="4"/>
  <c r="AV3454" i="4"/>
  <c r="AP3454" i="4"/>
  <c r="AO3454" i="4"/>
  <c r="AN3454" i="4"/>
  <c r="AM3454" i="4"/>
  <c r="BH3454" i="4"/>
  <c r="AX3453" i="4"/>
  <c r="AW3453" i="4"/>
  <c r="AV3453" i="4"/>
  <c r="AP3453" i="4"/>
  <c r="AO3453" i="4"/>
  <c r="AN3453" i="4"/>
  <c r="AM3453" i="4"/>
  <c r="BH3453" i="4"/>
  <c r="AX3452" i="4"/>
  <c r="AW3452" i="4"/>
  <c r="AV3452" i="4"/>
  <c r="AP3452" i="4"/>
  <c r="AO3452" i="4"/>
  <c r="AN3452" i="4"/>
  <c r="AM3452" i="4"/>
  <c r="BH3452" i="4"/>
  <c r="AX3451" i="4"/>
  <c r="AW3451" i="4"/>
  <c r="AV3451" i="4"/>
  <c r="AP3451" i="4"/>
  <c r="AO3451" i="4"/>
  <c r="AN3451" i="4"/>
  <c r="AM3451" i="4"/>
  <c r="BH3451" i="4"/>
  <c r="AX3450" i="4"/>
  <c r="AW3450" i="4"/>
  <c r="AV3450" i="4"/>
  <c r="AP3450" i="4"/>
  <c r="AO3450" i="4"/>
  <c r="AN3450" i="4"/>
  <c r="AM3450" i="4"/>
  <c r="BH3450" i="4"/>
  <c r="AX3449" i="4"/>
  <c r="AW3449" i="4"/>
  <c r="AV3449" i="4"/>
  <c r="AP3449" i="4"/>
  <c r="AO3449" i="4"/>
  <c r="AN3449" i="4"/>
  <c r="AM3449" i="4"/>
  <c r="BH3449" i="4"/>
  <c r="AX3448" i="4"/>
  <c r="AW3448" i="4"/>
  <c r="AV3448" i="4"/>
  <c r="AP3448" i="4"/>
  <c r="AO3448" i="4"/>
  <c r="AN3448" i="4"/>
  <c r="AM3448" i="4"/>
  <c r="BH3448" i="4"/>
  <c r="AX3447" i="4"/>
  <c r="AW3447" i="4"/>
  <c r="AV3447" i="4"/>
  <c r="AP3447" i="4"/>
  <c r="AO3447" i="4"/>
  <c r="AN3447" i="4"/>
  <c r="AM3447" i="4"/>
  <c r="BH3447" i="4"/>
  <c r="AX3446" i="4"/>
  <c r="AW3446" i="4"/>
  <c r="AV3446" i="4"/>
  <c r="AP3446" i="4"/>
  <c r="AO3446" i="4"/>
  <c r="AN3446" i="4"/>
  <c r="AM3446" i="4"/>
  <c r="BH3446" i="4"/>
  <c r="AX3445" i="4"/>
  <c r="AW3445" i="4"/>
  <c r="AV3445" i="4"/>
  <c r="AP3445" i="4"/>
  <c r="AO3445" i="4"/>
  <c r="AN3445" i="4"/>
  <c r="AM3445" i="4"/>
  <c r="BH3445" i="4"/>
  <c r="AX3444" i="4"/>
  <c r="AW3444" i="4"/>
  <c r="AV3444" i="4"/>
  <c r="AP3444" i="4"/>
  <c r="AO3444" i="4"/>
  <c r="AN3444" i="4"/>
  <c r="AM3444" i="4"/>
  <c r="BH3444" i="4"/>
  <c r="AX3443" i="4"/>
  <c r="AW3443" i="4"/>
  <c r="AV3443" i="4"/>
  <c r="AP3443" i="4"/>
  <c r="AO3443" i="4"/>
  <c r="AN3443" i="4"/>
  <c r="AM3443" i="4"/>
  <c r="BH3443" i="4"/>
  <c r="AX3442" i="4"/>
  <c r="AW3442" i="4"/>
  <c r="AV3442" i="4"/>
  <c r="AP3442" i="4"/>
  <c r="AO3442" i="4"/>
  <c r="AN3442" i="4"/>
  <c r="AM3442" i="4"/>
  <c r="BH3442" i="4"/>
  <c r="AX3441" i="4"/>
  <c r="AW3441" i="4"/>
  <c r="AV3441" i="4"/>
  <c r="AP3441" i="4"/>
  <c r="AO3441" i="4"/>
  <c r="AN3441" i="4"/>
  <c r="AM3441" i="4"/>
  <c r="BH3441" i="4"/>
  <c r="AX3440" i="4"/>
  <c r="AW3440" i="4"/>
  <c r="AV3440" i="4"/>
  <c r="AP3440" i="4"/>
  <c r="AO3440" i="4"/>
  <c r="AN3440" i="4"/>
  <c r="AM3440" i="4"/>
  <c r="BH3440" i="4"/>
  <c r="AX3439" i="4"/>
  <c r="AW3439" i="4"/>
  <c r="AV3439" i="4"/>
  <c r="AP3439" i="4"/>
  <c r="AO3439" i="4"/>
  <c r="AN3439" i="4"/>
  <c r="AM3439" i="4"/>
  <c r="BH3439" i="4"/>
  <c r="AX3438" i="4"/>
  <c r="AW3438" i="4"/>
  <c r="AV3438" i="4"/>
  <c r="AP3438" i="4"/>
  <c r="AO3438" i="4"/>
  <c r="AN3438" i="4"/>
  <c r="AM3438" i="4"/>
  <c r="BH3438" i="4"/>
  <c r="AX3437" i="4"/>
  <c r="AW3437" i="4"/>
  <c r="AV3437" i="4"/>
  <c r="AP3437" i="4"/>
  <c r="AO3437" i="4"/>
  <c r="AN3437" i="4"/>
  <c r="AM3437" i="4"/>
  <c r="BH3437" i="4"/>
  <c r="AX3436" i="4"/>
  <c r="AW3436" i="4"/>
  <c r="AV3436" i="4"/>
  <c r="AP3436" i="4"/>
  <c r="AO3436" i="4"/>
  <c r="AN3436" i="4"/>
  <c r="AM3436" i="4"/>
  <c r="BH3436" i="4"/>
  <c r="AX3435" i="4"/>
  <c r="AW3435" i="4"/>
  <c r="AV3435" i="4"/>
  <c r="AP3435" i="4"/>
  <c r="AO3435" i="4"/>
  <c r="AN3435" i="4"/>
  <c r="AM3435" i="4"/>
  <c r="BH3435" i="4"/>
  <c r="AX3434" i="4"/>
  <c r="AW3434" i="4"/>
  <c r="AV3434" i="4"/>
  <c r="AP3434" i="4"/>
  <c r="AO3434" i="4"/>
  <c r="AN3434" i="4"/>
  <c r="AM3434" i="4"/>
  <c r="BH3434" i="4"/>
  <c r="AX3433" i="4"/>
  <c r="AW3433" i="4"/>
  <c r="AV3433" i="4"/>
  <c r="AP3433" i="4"/>
  <c r="AO3433" i="4"/>
  <c r="AN3433" i="4"/>
  <c r="AM3433" i="4"/>
  <c r="BH3433" i="4"/>
  <c r="AX3432" i="4"/>
  <c r="AW3432" i="4"/>
  <c r="AV3432" i="4"/>
  <c r="AP3432" i="4"/>
  <c r="AO3432" i="4"/>
  <c r="AN3432" i="4"/>
  <c r="AM3432" i="4"/>
  <c r="BH3432" i="4"/>
  <c r="AX3431" i="4"/>
  <c r="AW3431" i="4"/>
  <c r="AV3431" i="4"/>
  <c r="AP3431" i="4"/>
  <c r="AO3431" i="4"/>
  <c r="AN3431" i="4"/>
  <c r="AM3431" i="4"/>
  <c r="BH3431" i="4"/>
  <c r="AX3430" i="4"/>
  <c r="AW3430" i="4"/>
  <c r="AV3430" i="4"/>
  <c r="AP3430" i="4"/>
  <c r="AO3430" i="4"/>
  <c r="AN3430" i="4"/>
  <c r="AM3430" i="4"/>
  <c r="BH3430" i="4"/>
  <c r="AX3429" i="4"/>
  <c r="AW3429" i="4"/>
  <c r="AV3429" i="4"/>
  <c r="AP3429" i="4"/>
  <c r="AO3429" i="4"/>
  <c r="AN3429" i="4"/>
  <c r="AM3429" i="4"/>
  <c r="BH3429" i="4"/>
  <c r="AX3428" i="4"/>
  <c r="AW3428" i="4"/>
  <c r="AV3428" i="4"/>
  <c r="AP3428" i="4"/>
  <c r="AO3428" i="4"/>
  <c r="AN3428" i="4"/>
  <c r="AM3428" i="4"/>
  <c r="BH3428" i="4"/>
  <c r="AX3427" i="4"/>
  <c r="AW3427" i="4"/>
  <c r="AV3427" i="4"/>
  <c r="AP3427" i="4"/>
  <c r="AO3427" i="4"/>
  <c r="AN3427" i="4"/>
  <c r="AM3427" i="4"/>
  <c r="BH3427" i="4"/>
  <c r="AX3426" i="4"/>
  <c r="AW3426" i="4"/>
  <c r="AV3426" i="4"/>
  <c r="AP3426" i="4"/>
  <c r="AO3426" i="4"/>
  <c r="AN3426" i="4"/>
  <c r="AM3426" i="4"/>
  <c r="BH3426" i="4"/>
  <c r="AX3425" i="4"/>
  <c r="AW3425" i="4"/>
  <c r="AV3425" i="4"/>
  <c r="AP3425" i="4"/>
  <c r="AO3425" i="4"/>
  <c r="AN3425" i="4"/>
  <c r="AM3425" i="4"/>
  <c r="BH3425" i="4"/>
  <c r="AX3424" i="4"/>
  <c r="AW3424" i="4"/>
  <c r="AV3424" i="4"/>
  <c r="AP3424" i="4"/>
  <c r="AO3424" i="4"/>
  <c r="AN3424" i="4"/>
  <c r="AM3424" i="4"/>
  <c r="BH3424" i="4"/>
  <c r="AX3423" i="4"/>
  <c r="AW3423" i="4"/>
  <c r="AV3423" i="4"/>
  <c r="AP3423" i="4"/>
  <c r="AO3423" i="4"/>
  <c r="AN3423" i="4"/>
  <c r="AM3423" i="4"/>
  <c r="BH3423" i="4"/>
  <c r="AX3422" i="4"/>
  <c r="AW3422" i="4"/>
  <c r="AV3422" i="4"/>
  <c r="AP3422" i="4"/>
  <c r="AO3422" i="4"/>
  <c r="AN3422" i="4"/>
  <c r="AM3422" i="4"/>
  <c r="BH3422" i="4"/>
  <c r="AX3421" i="4"/>
  <c r="AW3421" i="4"/>
  <c r="AV3421" i="4"/>
  <c r="AP3421" i="4"/>
  <c r="AO3421" i="4"/>
  <c r="AN3421" i="4"/>
  <c r="AM3421" i="4"/>
  <c r="BH3421" i="4"/>
  <c r="AX3420" i="4"/>
  <c r="AW3420" i="4"/>
  <c r="AV3420" i="4"/>
  <c r="AP3420" i="4"/>
  <c r="AO3420" i="4"/>
  <c r="AN3420" i="4"/>
  <c r="AM3420" i="4"/>
  <c r="BH3420" i="4"/>
  <c r="AX3419" i="4"/>
  <c r="AW3419" i="4"/>
  <c r="AV3419" i="4"/>
  <c r="AP3419" i="4"/>
  <c r="AO3419" i="4"/>
  <c r="AN3419" i="4"/>
  <c r="AM3419" i="4"/>
  <c r="BH3419" i="4"/>
  <c r="AX3418" i="4"/>
  <c r="AW3418" i="4"/>
  <c r="AV3418" i="4"/>
  <c r="AP3418" i="4"/>
  <c r="AO3418" i="4"/>
  <c r="AN3418" i="4"/>
  <c r="AM3418" i="4"/>
  <c r="BH3418" i="4"/>
  <c r="AX3417" i="4"/>
  <c r="AW3417" i="4"/>
  <c r="AV3417" i="4"/>
  <c r="AP3417" i="4"/>
  <c r="AO3417" i="4"/>
  <c r="AN3417" i="4"/>
  <c r="AM3417" i="4"/>
  <c r="BH3417" i="4"/>
  <c r="AX3416" i="4"/>
  <c r="AW3416" i="4"/>
  <c r="AV3416" i="4"/>
  <c r="AP3416" i="4"/>
  <c r="AO3416" i="4"/>
  <c r="AN3416" i="4"/>
  <c r="AM3416" i="4"/>
  <c r="BH3416" i="4"/>
  <c r="AX3415" i="4"/>
  <c r="AW3415" i="4"/>
  <c r="AV3415" i="4"/>
  <c r="AP3415" i="4"/>
  <c r="AO3415" i="4"/>
  <c r="AN3415" i="4"/>
  <c r="AM3415" i="4"/>
  <c r="BH3415" i="4"/>
  <c r="AX3414" i="4"/>
  <c r="AW3414" i="4"/>
  <c r="AV3414" i="4"/>
  <c r="AP3414" i="4"/>
  <c r="AO3414" i="4"/>
  <c r="AN3414" i="4"/>
  <c r="AM3414" i="4"/>
  <c r="BH3414" i="4"/>
  <c r="AX3413" i="4"/>
  <c r="AW3413" i="4"/>
  <c r="AV3413" i="4"/>
  <c r="AP3413" i="4"/>
  <c r="AO3413" i="4"/>
  <c r="AN3413" i="4"/>
  <c r="AM3413" i="4"/>
  <c r="BH3413" i="4"/>
  <c r="AX3412" i="4"/>
  <c r="AW3412" i="4"/>
  <c r="AV3412" i="4"/>
  <c r="AP3412" i="4"/>
  <c r="AO3412" i="4"/>
  <c r="AN3412" i="4"/>
  <c r="AM3412" i="4"/>
  <c r="BH3412" i="4"/>
  <c r="AX3411" i="4"/>
  <c r="AW3411" i="4"/>
  <c r="AV3411" i="4"/>
  <c r="AP3411" i="4"/>
  <c r="AO3411" i="4"/>
  <c r="AN3411" i="4"/>
  <c r="AM3411" i="4"/>
  <c r="BH3411" i="4"/>
  <c r="AX3410" i="4"/>
  <c r="AW3410" i="4"/>
  <c r="AV3410" i="4"/>
  <c r="AP3410" i="4"/>
  <c r="AO3410" i="4"/>
  <c r="AN3410" i="4"/>
  <c r="AM3410" i="4"/>
  <c r="BH3410" i="4"/>
  <c r="AX3409" i="4"/>
  <c r="AW3409" i="4"/>
  <c r="AV3409" i="4"/>
  <c r="AP3409" i="4"/>
  <c r="AO3409" i="4"/>
  <c r="AN3409" i="4"/>
  <c r="AM3409" i="4"/>
  <c r="BH3409" i="4"/>
  <c r="AX3408" i="4"/>
  <c r="AW3408" i="4"/>
  <c r="AV3408" i="4"/>
  <c r="AP3408" i="4"/>
  <c r="AO3408" i="4"/>
  <c r="AN3408" i="4"/>
  <c r="AM3408" i="4"/>
  <c r="BH3408" i="4"/>
  <c r="AX3407" i="4"/>
  <c r="AW3407" i="4"/>
  <c r="AV3407" i="4"/>
  <c r="AP3407" i="4"/>
  <c r="AO3407" i="4"/>
  <c r="AN3407" i="4"/>
  <c r="AM3407" i="4"/>
  <c r="BH3407" i="4"/>
  <c r="AX3406" i="4"/>
  <c r="AW3406" i="4"/>
  <c r="AV3406" i="4"/>
  <c r="AP3406" i="4"/>
  <c r="AO3406" i="4"/>
  <c r="AN3406" i="4"/>
  <c r="AM3406" i="4"/>
  <c r="BH3406" i="4"/>
  <c r="AX3405" i="4"/>
  <c r="AW3405" i="4"/>
  <c r="AV3405" i="4"/>
  <c r="AP3405" i="4"/>
  <c r="AO3405" i="4"/>
  <c r="AN3405" i="4"/>
  <c r="AM3405" i="4"/>
  <c r="BH3405" i="4"/>
  <c r="AX3404" i="4"/>
  <c r="AW3404" i="4"/>
  <c r="AV3404" i="4"/>
  <c r="AP3404" i="4"/>
  <c r="AO3404" i="4"/>
  <c r="AN3404" i="4"/>
  <c r="AM3404" i="4"/>
  <c r="BH3404" i="4"/>
  <c r="AX3403" i="4"/>
  <c r="AW3403" i="4"/>
  <c r="AV3403" i="4"/>
  <c r="AP3403" i="4"/>
  <c r="AO3403" i="4"/>
  <c r="AN3403" i="4"/>
  <c r="AM3403" i="4"/>
  <c r="BH3403" i="4"/>
  <c r="AX3402" i="4"/>
  <c r="AW3402" i="4"/>
  <c r="AV3402" i="4"/>
  <c r="AP3402" i="4"/>
  <c r="AO3402" i="4"/>
  <c r="AN3402" i="4"/>
  <c r="AM3402" i="4"/>
  <c r="BH3402" i="4"/>
  <c r="AX3401" i="4"/>
  <c r="AW3401" i="4"/>
  <c r="AV3401" i="4"/>
  <c r="AP3401" i="4"/>
  <c r="AO3401" i="4"/>
  <c r="AN3401" i="4"/>
  <c r="AM3401" i="4"/>
  <c r="BH3401" i="4"/>
  <c r="AX3400" i="4"/>
  <c r="AW3400" i="4"/>
  <c r="AV3400" i="4"/>
  <c r="AP3400" i="4"/>
  <c r="AO3400" i="4"/>
  <c r="AN3400" i="4"/>
  <c r="AM3400" i="4"/>
  <c r="BH3400" i="4"/>
  <c r="AX3399" i="4"/>
  <c r="AW3399" i="4"/>
  <c r="AV3399" i="4"/>
  <c r="AP3399" i="4"/>
  <c r="AO3399" i="4"/>
  <c r="AN3399" i="4"/>
  <c r="AM3399" i="4"/>
  <c r="BH3399" i="4"/>
  <c r="AX3398" i="4"/>
  <c r="AW3398" i="4"/>
  <c r="AV3398" i="4"/>
  <c r="AP3398" i="4"/>
  <c r="AO3398" i="4"/>
  <c r="AN3398" i="4"/>
  <c r="AM3398" i="4"/>
  <c r="BH3398" i="4"/>
  <c r="AX3397" i="4"/>
  <c r="AW3397" i="4"/>
  <c r="AV3397" i="4"/>
  <c r="AP3397" i="4"/>
  <c r="AO3397" i="4"/>
  <c r="AN3397" i="4"/>
  <c r="AM3397" i="4"/>
  <c r="BH3397" i="4"/>
  <c r="AX3396" i="4"/>
  <c r="AW3396" i="4"/>
  <c r="AV3396" i="4"/>
  <c r="AP3396" i="4"/>
  <c r="AO3396" i="4"/>
  <c r="AN3396" i="4"/>
  <c r="AM3396" i="4"/>
  <c r="BH3396" i="4"/>
  <c r="AX3395" i="4"/>
  <c r="AW3395" i="4"/>
  <c r="AV3395" i="4"/>
  <c r="AP3395" i="4"/>
  <c r="AO3395" i="4"/>
  <c r="AN3395" i="4"/>
  <c r="AM3395" i="4"/>
  <c r="BH3395" i="4"/>
  <c r="AX3394" i="4"/>
  <c r="AW3394" i="4"/>
  <c r="AV3394" i="4"/>
  <c r="AP3394" i="4"/>
  <c r="AO3394" i="4"/>
  <c r="AN3394" i="4"/>
  <c r="AM3394" i="4"/>
  <c r="BH3394" i="4"/>
  <c r="AX3393" i="4"/>
  <c r="AW3393" i="4"/>
  <c r="AV3393" i="4"/>
  <c r="AP3393" i="4"/>
  <c r="AO3393" i="4"/>
  <c r="AN3393" i="4"/>
  <c r="AM3393" i="4"/>
  <c r="BH3393" i="4"/>
  <c r="AX3392" i="4"/>
  <c r="AW3392" i="4"/>
  <c r="AV3392" i="4"/>
  <c r="AP3392" i="4"/>
  <c r="AO3392" i="4"/>
  <c r="AN3392" i="4"/>
  <c r="AM3392" i="4"/>
  <c r="BH3392" i="4"/>
  <c r="AX3391" i="4"/>
  <c r="AW3391" i="4"/>
  <c r="AV3391" i="4"/>
  <c r="AP3391" i="4"/>
  <c r="AO3391" i="4"/>
  <c r="AN3391" i="4"/>
  <c r="AM3391" i="4"/>
  <c r="BH3391" i="4"/>
  <c r="AX3390" i="4"/>
  <c r="AW3390" i="4"/>
  <c r="AV3390" i="4"/>
  <c r="AP3390" i="4"/>
  <c r="AO3390" i="4"/>
  <c r="AN3390" i="4"/>
  <c r="AM3390" i="4"/>
  <c r="BH3390" i="4"/>
  <c r="AX3389" i="4"/>
  <c r="AW3389" i="4"/>
  <c r="AV3389" i="4"/>
  <c r="AP3389" i="4"/>
  <c r="AO3389" i="4"/>
  <c r="AN3389" i="4"/>
  <c r="AM3389" i="4"/>
  <c r="BH3389" i="4"/>
  <c r="AX3388" i="4"/>
  <c r="AW3388" i="4"/>
  <c r="AV3388" i="4"/>
  <c r="AP3388" i="4"/>
  <c r="AO3388" i="4"/>
  <c r="AN3388" i="4"/>
  <c r="AM3388" i="4"/>
  <c r="BH3388" i="4"/>
  <c r="AX3387" i="4"/>
  <c r="AW3387" i="4"/>
  <c r="AV3387" i="4"/>
  <c r="AP3387" i="4"/>
  <c r="AO3387" i="4"/>
  <c r="AN3387" i="4"/>
  <c r="AM3387" i="4"/>
  <c r="BH3387" i="4"/>
  <c r="AX3386" i="4"/>
  <c r="AW3386" i="4"/>
  <c r="AV3386" i="4"/>
  <c r="AP3386" i="4"/>
  <c r="AO3386" i="4"/>
  <c r="AN3386" i="4"/>
  <c r="AM3386" i="4"/>
  <c r="BH3386" i="4"/>
  <c r="AX3385" i="4"/>
  <c r="AW3385" i="4"/>
  <c r="AV3385" i="4"/>
  <c r="AP3385" i="4"/>
  <c r="AO3385" i="4"/>
  <c r="AN3385" i="4"/>
  <c r="AM3385" i="4"/>
  <c r="BH3385" i="4"/>
  <c r="AX3384" i="4"/>
  <c r="AW3384" i="4"/>
  <c r="AV3384" i="4"/>
  <c r="AP3384" i="4"/>
  <c r="AO3384" i="4"/>
  <c r="AN3384" i="4"/>
  <c r="AM3384" i="4"/>
  <c r="BH3384" i="4"/>
  <c r="AX3383" i="4"/>
  <c r="AW3383" i="4"/>
  <c r="AV3383" i="4"/>
  <c r="AP3383" i="4"/>
  <c r="AO3383" i="4"/>
  <c r="AN3383" i="4"/>
  <c r="AM3383" i="4"/>
  <c r="BH3383" i="4"/>
  <c r="AX3382" i="4"/>
  <c r="AW3382" i="4"/>
  <c r="AV3382" i="4"/>
  <c r="AP3382" i="4"/>
  <c r="AO3382" i="4"/>
  <c r="AN3382" i="4"/>
  <c r="AM3382" i="4"/>
  <c r="BH3382" i="4"/>
  <c r="AX3381" i="4"/>
  <c r="AW3381" i="4"/>
  <c r="AV3381" i="4"/>
  <c r="AP3381" i="4"/>
  <c r="AO3381" i="4"/>
  <c r="AN3381" i="4"/>
  <c r="AM3381" i="4"/>
  <c r="BH3381" i="4"/>
  <c r="AX3380" i="4"/>
  <c r="AW3380" i="4"/>
  <c r="AV3380" i="4"/>
  <c r="AP3380" i="4"/>
  <c r="AO3380" i="4"/>
  <c r="AN3380" i="4"/>
  <c r="AM3380" i="4"/>
  <c r="BH3380" i="4"/>
  <c r="AX3379" i="4"/>
  <c r="AW3379" i="4"/>
  <c r="AV3379" i="4"/>
  <c r="AP3379" i="4"/>
  <c r="AO3379" i="4"/>
  <c r="AN3379" i="4"/>
  <c r="AM3379" i="4"/>
  <c r="BH3379" i="4"/>
  <c r="AX3378" i="4"/>
  <c r="AW3378" i="4"/>
  <c r="AV3378" i="4"/>
  <c r="AP3378" i="4"/>
  <c r="AO3378" i="4"/>
  <c r="AN3378" i="4"/>
  <c r="AM3378" i="4"/>
  <c r="BH3378" i="4"/>
  <c r="AX3377" i="4"/>
  <c r="AW3377" i="4"/>
  <c r="AV3377" i="4"/>
  <c r="AP3377" i="4"/>
  <c r="AO3377" i="4"/>
  <c r="AN3377" i="4"/>
  <c r="AM3377" i="4"/>
  <c r="BH3377" i="4"/>
  <c r="AX3376" i="4"/>
  <c r="AW3376" i="4"/>
  <c r="AV3376" i="4"/>
  <c r="AP3376" i="4"/>
  <c r="AO3376" i="4"/>
  <c r="AN3376" i="4"/>
  <c r="AM3376" i="4"/>
  <c r="BH3376" i="4"/>
  <c r="AX3375" i="4"/>
  <c r="AW3375" i="4"/>
  <c r="AV3375" i="4"/>
  <c r="AP3375" i="4"/>
  <c r="AO3375" i="4"/>
  <c r="AN3375" i="4"/>
  <c r="AM3375" i="4"/>
  <c r="BH3375" i="4"/>
  <c r="AX3374" i="4"/>
  <c r="AW3374" i="4"/>
  <c r="AV3374" i="4"/>
  <c r="AP3374" i="4"/>
  <c r="AO3374" i="4"/>
  <c r="AN3374" i="4"/>
  <c r="AM3374" i="4"/>
  <c r="BH3374" i="4"/>
  <c r="AX3373" i="4"/>
  <c r="AW3373" i="4"/>
  <c r="AV3373" i="4"/>
  <c r="AP3373" i="4"/>
  <c r="AO3373" i="4"/>
  <c r="AN3373" i="4"/>
  <c r="AM3373" i="4"/>
  <c r="BH3373" i="4"/>
  <c r="AX3372" i="4"/>
  <c r="AW3372" i="4"/>
  <c r="AV3372" i="4"/>
  <c r="AP3372" i="4"/>
  <c r="AO3372" i="4"/>
  <c r="AN3372" i="4"/>
  <c r="AM3372" i="4"/>
  <c r="BH3372" i="4"/>
  <c r="AX3371" i="4"/>
  <c r="AW3371" i="4"/>
  <c r="AV3371" i="4"/>
  <c r="AP3371" i="4"/>
  <c r="AO3371" i="4"/>
  <c r="AN3371" i="4"/>
  <c r="AM3371" i="4"/>
  <c r="BH3371" i="4"/>
  <c r="AX3370" i="4"/>
  <c r="AW3370" i="4"/>
  <c r="AV3370" i="4"/>
  <c r="AP3370" i="4"/>
  <c r="AO3370" i="4"/>
  <c r="AN3370" i="4"/>
  <c r="AM3370" i="4"/>
  <c r="BH3370" i="4"/>
  <c r="AX3369" i="4"/>
  <c r="AW3369" i="4"/>
  <c r="AV3369" i="4"/>
  <c r="AP3369" i="4"/>
  <c r="AO3369" i="4"/>
  <c r="AN3369" i="4"/>
  <c r="AM3369" i="4"/>
  <c r="BH3369" i="4"/>
  <c r="AX3368" i="4"/>
  <c r="AW3368" i="4"/>
  <c r="AV3368" i="4"/>
  <c r="AP3368" i="4"/>
  <c r="AO3368" i="4"/>
  <c r="AN3368" i="4"/>
  <c r="AM3368" i="4"/>
  <c r="BH3368" i="4"/>
  <c r="AX3367" i="4"/>
  <c r="AW3367" i="4"/>
  <c r="AV3367" i="4"/>
  <c r="AP3367" i="4"/>
  <c r="AO3367" i="4"/>
  <c r="AN3367" i="4"/>
  <c r="AM3367" i="4"/>
  <c r="BH3367" i="4"/>
  <c r="AX3366" i="4"/>
  <c r="AW3366" i="4"/>
  <c r="AV3366" i="4"/>
  <c r="AP3366" i="4"/>
  <c r="AO3366" i="4"/>
  <c r="AN3366" i="4"/>
  <c r="AM3366" i="4"/>
  <c r="BH3366" i="4"/>
  <c r="AX3365" i="4"/>
  <c r="AW3365" i="4"/>
  <c r="AV3365" i="4"/>
  <c r="AP3365" i="4"/>
  <c r="AO3365" i="4"/>
  <c r="AN3365" i="4"/>
  <c r="AM3365" i="4"/>
  <c r="BH3365" i="4"/>
  <c r="AX3364" i="4"/>
  <c r="AW3364" i="4"/>
  <c r="AV3364" i="4"/>
  <c r="AP3364" i="4"/>
  <c r="AO3364" i="4"/>
  <c r="AN3364" i="4"/>
  <c r="AM3364" i="4"/>
  <c r="BH3364" i="4"/>
  <c r="AX3363" i="4"/>
  <c r="AW3363" i="4"/>
  <c r="AV3363" i="4"/>
  <c r="AP3363" i="4"/>
  <c r="AO3363" i="4"/>
  <c r="AN3363" i="4"/>
  <c r="AM3363" i="4"/>
  <c r="BH3363" i="4"/>
  <c r="AX3362" i="4"/>
  <c r="AW3362" i="4"/>
  <c r="AV3362" i="4"/>
  <c r="AP3362" i="4"/>
  <c r="AO3362" i="4"/>
  <c r="AN3362" i="4"/>
  <c r="AM3362" i="4"/>
  <c r="BH3362" i="4"/>
  <c r="AX3361" i="4"/>
  <c r="AW3361" i="4"/>
  <c r="AV3361" i="4"/>
  <c r="AP3361" i="4"/>
  <c r="AO3361" i="4"/>
  <c r="AN3361" i="4"/>
  <c r="AM3361" i="4"/>
  <c r="BH3361" i="4"/>
  <c r="AX3360" i="4"/>
  <c r="AW3360" i="4"/>
  <c r="AV3360" i="4"/>
  <c r="AP3360" i="4"/>
  <c r="AO3360" i="4"/>
  <c r="AN3360" i="4"/>
  <c r="AM3360" i="4"/>
  <c r="BH3360" i="4"/>
  <c r="AX3359" i="4"/>
  <c r="AW3359" i="4"/>
  <c r="AV3359" i="4"/>
  <c r="AP3359" i="4"/>
  <c r="AO3359" i="4"/>
  <c r="AN3359" i="4"/>
  <c r="AM3359" i="4"/>
  <c r="BH3359" i="4"/>
  <c r="AX3358" i="4"/>
  <c r="AW3358" i="4"/>
  <c r="AV3358" i="4"/>
  <c r="AP3358" i="4"/>
  <c r="AO3358" i="4"/>
  <c r="AN3358" i="4"/>
  <c r="AM3358" i="4"/>
  <c r="BH3358" i="4"/>
  <c r="AX3357" i="4"/>
  <c r="AW3357" i="4"/>
  <c r="AV3357" i="4"/>
  <c r="AP3357" i="4"/>
  <c r="AO3357" i="4"/>
  <c r="AN3357" i="4"/>
  <c r="AM3357" i="4"/>
  <c r="BH3357" i="4"/>
  <c r="AX3356" i="4"/>
  <c r="AW3356" i="4"/>
  <c r="AV3356" i="4"/>
  <c r="AP3356" i="4"/>
  <c r="AO3356" i="4"/>
  <c r="AN3356" i="4"/>
  <c r="AM3356" i="4"/>
  <c r="BH3356" i="4"/>
  <c r="AX3355" i="4"/>
  <c r="AW3355" i="4"/>
  <c r="AV3355" i="4"/>
  <c r="AP3355" i="4"/>
  <c r="AO3355" i="4"/>
  <c r="AN3355" i="4"/>
  <c r="AM3355" i="4"/>
  <c r="BH3355" i="4"/>
  <c r="AX3354" i="4"/>
  <c r="AW3354" i="4"/>
  <c r="AV3354" i="4"/>
  <c r="AP3354" i="4"/>
  <c r="AO3354" i="4"/>
  <c r="AN3354" i="4"/>
  <c r="AM3354" i="4"/>
  <c r="BH3354" i="4"/>
  <c r="AX3353" i="4"/>
  <c r="AW3353" i="4"/>
  <c r="AV3353" i="4"/>
  <c r="AP3353" i="4"/>
  <c r="AO3353" i="4"/>
  <c r="AN3353" i="4"/>
  <c r="AM3353" i="4"/>
  <c r="BH3353" i="4"/>
  <c r="AX3352" i="4"/>
  <c r="AW3352" i="4"/>
  <c r="AV3352" i="4"/>
  <c r="AP3352" i="4"/>
  <c r="AO3352" i="4"/>
  <c r="AN3352" i="4"/>
  <c r="AM3352" i="4"/>
  <c r="BH3352" i="4"/>
  <c r="AX3351" i="4"/>
  <c r="AW3351" i="4"/>
  <c r="AV3351" i="4"/>
  <c r="AP3351" i="4"/>
  <c r="AO3351" i="4"/>
  <c r="AN3351" i="4"/>
  <c r="AM3351" i="4"/>
  <c r="BH3351" i="4"/>
  <c r="AX3350" i="4"/>
  <c r="AW3350" i="4"/>
  <c r="AV3350" i="4"/>
  <c r="AP3350" i="4"/>
  <c r="AO3350" i="4"/>
  <c r="AN3350" i="4"/>
  <c r="AM3350" i="4"/>
  <c r="BH3350" i="4"/>
  <c r="AX3349" i="4"/>
  <c r="AW3349" i="4"/>
  <c r="AV3349" i="4"/>
  <c r="AP3349" i="4"/>
  <c r="AO3349" i="4"/>
  <c r="AN3349" i="4"/>
  <c r="AM3349" i="4"/>
  <c r="BH3349" i="4"/>
  <c r="AX3348" i="4"/>
  <c r="AW3348" i="4"/>
  <c r="AV3348" i="4"/>
  <c r="AP3348" i="4"/>
  <c r="AO3348" i="4"/>
  <c r="AN3348" i="4"/>
  <c r="AM3348" i="4"/>
  <c r="BH3348" i="4"/>
  <c r="AX3347" i="4"/>
  <c r="AW3347" i="4"/>
  <c r="AV3347" i="4"/>
  <c r="AP3347" i="4"/>
  <c r="AO3347" i="4"/>
  <c r="AN3347" i="4"/>
  <c r="AM3347" i="4"/>
  <c r="BH3347" i="4"/>
  <c r="AX3346" i="4"/>
  <c r="AW3346" i="4"/>
  <c r="AV3346" i="4"/>
  <c r="AP3346" i="4"/>
  <c r="AO3346" i="4"/>
  <c r="AN3346" i="4"/>
  <c r="AM3346" i="4"/>
  <c r="BH3346" i="4"/>
  <c r="AX3345" i="4"/>
  <c r="AW3345" i="4"/>
  <c r="AV3345" i="4"/>
  <c r="AP3345" i="4"/>
  <c r="AO3345" i="4"/>
  <c r="AN3345" i="4"/>
  <c r="AM3345" i="4"/>
  <c r="BH3345" i="4"/>
  <c r="AX3344" i="4"/>
  <c r="AW3344" i="4"/>
  <c r="AV3344" i="4"/>
  <c r="AP3344" i="4"/>
  <c r="AO3344" i="4"/>
  <c r="AN3344" i="4"/>
  <c r="AM3344" i="4"/>
  <c r="BH3344" i="4"/>
  <c r="AX3343" i="4"/>
  <c r="AW3343" i="4"/>
  <c r="AV3343" i="4"/>
  <c r="AP3343" i="4"/>
  <c r="AO3343" i="4"/>
  <c r="AN3343" i="4"/>
  <c r="AM3343" i="4"/>
  <c r="BH3343" i="4"/>
  <c r="AX3342" i="4"/>
  <c r="AW3342" i="4"/>
  <c r="AV3342" i="4"/>
  <c r="AP3342" i="4"/>
  <c r="AO3342" i="4"/>
  <c r="AN3342" i="4"/>
  <c r="AM3342" i="4"/>
  <c r="BH3342" i="4"/>
  <c r="AX3341" i="4"/>
  <c r="AW3341" i="4"/>
  <c r="AV3341" i="4"/>
  <c r="AP3341" i="4"/>
  <c r="AO3341" i="4"/>
  <c r="AN3341" i="4"/>
  <c r="AM3341" i="4"/>
  <c r="BH3341" i="4"/>
  <c r="AX3340" i="4"/>
  <c r="AW3340" i="4"/>
  <c r="AV3340" i="4"/>
  <c r="AP3340" i="4"/>
  <c r="AO3340" i="4"/>
  <c r="AN3340" i="4"/>
  <c r="AM3340" i="4"/>
  <c r="BH3340" i="4"/>
  <c r="AX3339" i="4"/>
  <c r="AW3339" i="4"/>
  <c r="AV3339" i="4"/>
  <c r="AP3339" i="4"/>
  <c r="AO3339" i="4"/>
  <c r="AN3339" i="4"/>
  <c r="AM3339" i="4"/>
  <c r="BH3339" i="4"/>
  <c r="AX3338" i="4"/>
  <c r="AW3338" i="4"/>
  <c r="AV3338" i="4"/>
  <c r="AP3338" i="4"/>
  <c r="AO3338" i="4"/>
  <c r="AN3338" i="4"/>
  <c r="AM3338" i="4"/>
  <c r="BH3338" i="4"/>
  <c r="AX3337" i="4"/>
  <c r="AW3337" i="4"/>
  <c r="AV3337" i="4"/>
  <c r="AP3337" i="4"/>
  <c r="AO3337" i="4"/>
  <c r="AN3337" i="4"/>
  <c r="AM3337" i="4"/>
  <c r="BH3337" i="4"/>
  <c r="AX3336" i="4"/>
  <c r="AW3336" i="4"/>
  <c r="AV3336" i="4"/>
  <c r="AP3336" i="4"/>
  <c r="AO3336" i="4"/>
  <c r="AN3336" i="4"/>
  <c r="AM3336" i="4"/>
  <c r="BH3336" i="4"/>
  <c r="AX3335" i="4"/>
  <c r="AW3335" i="4"/>
  <c r="AV3335" i="4"/>
  <c r="AP3335" i="4"/>
  <c r="AO3335" i="4"/>
  <c r="AN3335" i="4"/>
  <c r="AM3335" i="4"/>
  <c r="BH3335" i="4"/>
  <c r="AX3334" i="4"/>
  <c r="AW3334" i="4"/>
  <c r="AV3334" i="4"/>
  <c r="AP3334" i="4"/>
  <c r="AO3334" i="4"/>
  <c r="AN3334" i="4"/>
  <c r="AM3334" i="4"/>
  <c r="BH3334" i="4"/>
  <c r="AX3333" i="4"/>
  <c r="AW3333" i="4"/>
  <c r="AV3333" i="4"/>
  <c r="AP3333" i="4"/>
  <c r="AO3333" i="4"/>
  <c r="AN3333" i="4"/>
  <c r="AM3333" i="4"/>
  <c r="BH3333" i="4"/>
  <c r="AX3332" i="4"/>
  <c r="AW3332" i="4"/>
  <c r="AV3332" i="4"/>
  <c r="AP3332" i="4"/>
  <c r="AO3332" i="4"/>
  <c r="AN3332" i="4"/>
  <c r="AM3332" i="4"/>
  <c r="BH3332" i="4"/>
  <c r="AX3331" i="4"/>
  <c r="AW3331" i="4"/>
  <c r="AV3331" i="4"/>
  <c r="AP3331" i="4"/>
  <c r="AO3331" i="4"/>
  <c r="AN3331" i="4"/>
  <c r="AM3331" i="4"/>
  <c r="BH3331" i="4"/>
  <c r="AX3330" i="4"/>
  <c r="AW3330" i="4"/>
  <c r="AV3330" i="4"/>
  <c r="AP3330" i="4"/>
  <c r="AO3330" i="4"/>
  <c r="AN3330" i="4"/>
  <c r="AM3330" i="4"/>
  <c r="BH3330" i="4"/>
  <c r="AX3329" i="4"/>
  <c r="AW3329" i="4"/>
  <c r="AV3329" i="4"/>
  <c r="AP3329" i="4"/>
  <c r="AO3329" i="4"/>
  <c r="AN3329" i="4"/>
  <c r="AM3329" i="4"/>
  <c r="BH3329" i="4"/>
  <c r="AX3328" i="4"/>
  <c r="AW3328" i="4"/>
  <c r="AV3328" i="4"/>
  <c r="AP3328" i="4"/>
  <c r="AO3328" i="4"/>
  <c r="AN3328" i="4"/>
  <c r="AM3328" i="4"/>
  <c r="BH3328" i="4"/>
  <c r="AX3327" i="4"/>
  <c r="AW3327" i="4"/>
  <c r="AV3327" i="4"/>
  <c r="AP3327" i="4"/>
  <c r="AO3327" i="4"/>
  <c r="AN3327" i="4"/>
  <c r="AM3327" i="4"/>
  <c r="BH3327" i="4"/>
  <c r="AX3326" i="4"/>
  <c r="AW3326" i="4"/>
  <c r="AV3326" i="4"/>
  <c r="AP3326" i="4"/>
  <c r="AO3326" i="4"/>
  <c r="AN3326" i="4"/>
  <c r="AM3326" i="4"/>
  <c r="BH3326" i="4"/>
  <c r="AX3325" i="4"/>
  <c r="AW3325" i="4"/>
  <c r="AV3325" i="4"/>
  <c r="AP3325" i="4"/>
  <c r="AO3325" i="4"/>
  <c r="AN3325" i="4"/>
  <c r="AM3325" i="4"/>
  <c r="BH3325" i="4"/>
  <c r="AX3324" i="4"/>
  <c r="AW3324" i="4"/>
  <c r="AV3324" i="4"/>
  <c r="AP3324" i="4"/>
  <c r="AO3324" i="4"/>
  <c r="AN3324" i="4"/>
  <c r="AM3324" i="4"/>
  <c r="BH3324" i="4"/>
  <c r="AX3323" i="4"/>
  <c r="AW3323" i="4"/>
  <c r="AV3323" i="4"/>
  <c r="AP3323" i="4"/>
  <c r="AO3323" i="4"/>
  <c r="AN3323" i="4"/>
  <c r="AM3323" i="4"/>
  <c r="BH3323" i="4"/>
  <c r="AX3322" i="4"/>
  <c r="AW3322" i="4"/>
  <c r="AV3322" i="4"/>
  <c r="AP3322" i="4"/>
  <c r="AO3322" i="4"/>
  <c r="AN3322" i="4"/>
  <c r="AM3322" i="4"/>
  <c r="BH3322" i="4"/>
  <c r="AX3321" i="4"/>
  <c r="AW3321" i="4"/>
  <c r="AV3321" i="4"/>
  <c r="AP3321" i="4"/>
  <c r="AO3321" i="4"/>
  <c r="AN3321" i="4"/>
  <c r="AM3321" i="4"/>
  <c r="BH3321" i="4"/>
  <c r="AX3320" i="4"/>
  <c r="AW3320" i="4"/>
  <c r="AV3320" i="4"/>
  <c r="AP3320" i="4"/>
  <c r="AO3320" i="4"/>
  <c r="AN3320" i="4"/>
  <c r="AM3320" i="4"/>
  <c r="BH3320" i="4"/>
  <c r="AX3319" i="4"/>
  <c r="AW3319" i="4"/>
  <c r="AV3319" i="4"/>
  <c r="AP3319" i="4"/>
  <c r="AO3319" i="4"/>
  <c r="AN3319" i="4"/>
  <c r="AM3319" i="4"/>
  <c r="BH3319" i="4"/>
  <c r="AX3318" i="4"/>
  <c r="AW3318" i="4"/>
  <c r="AV3318" i="4"/>
  <c r="AP3318" i="4"/>
  <c r="AO3318" i="4"/>
  <c r="AN3318" i="4"/>
  <c r="AM3318" i="4"/>
  <c r="BH3318" i="4"/>
  <c r="AX3317" i="4"/>
  <c r="AW3317" i="4"/>
  <c r="AV3317" i="4"/>
  <c r="AP3317" i="4"/>
  <c r="AO3317" i="4"/>
  <c r="AN3317" i="4"/>
  <c r="AM3317" i="4"/>
  <c r="BH3317" i="4"/>
  <c r="AX3316" i="4"/>
  <c r="AW3316" i="4"/>
  <c r="AV3316" i="4"/>
  <c r="AP3316" i="4"/>
  <c r="AO3316" i="4"/>
  <c r="AN3316" i="4"/>
  <c r="AM3316" i="4"/>
  <c r="BH3316" i="4"/>
  <c r="AX3315" i="4"/>
  <c r="AW3315" i="4"/>
  <c r="AV3315" i="4"/>
  <c r="AP3315" i="4"/>
  <c r="AO3315" i="4"/>
  <c r="AN3315" i="4"/>
  <c r="AM3315" i="4"/>
  <c r="BH3315" i="4"/>
  <c r="AX3314" i="4"/>
  <c r="AW3314" i="4"/>
  <c r="AV3314" i="4"/>
  <c r="AP3314" i="4"/>
  <c r="AO3314" i="4"/>
  <c r="AN3314" i="4"/>
  <c r="AM3314" i="4"/>
  <c r="BH3314" i="4"/>
  <c r="AX3313" i="4"/>
  <c r="AW3313" i="4"/>
  <c r="AV3313" i="4"/>
  <c r="AP3313" i="4"/>
  <c r="AO3313" i="4"/>
  <c r="AN3313" i="4"/>
  <c r="AM3313" i="4"/>
  <c r="BH3313" i="4"/>
  <c r="AX3312" i="4"/>
  <c r="AW3312" i="4"/>
  <c r="AV3312" i="4"/>
  <c r="AP3312" i="4"/>
  <c r="AO3312" i="4"/>
  <c r="AN3312" i="4"/>
  <c r="AM3312" i="4"/>
  <c r="BH3312" i="4"/>
  <c r="AX3311" i="4"/>
  <c r="AW3311" i="4"/>
  <c r="AV3311" i="4"/>
  <c r="AP3311" i="4"/>
  <c r="AO3311" i="4"/>
  <c r="AN3311" i="4"/>
  <c r="AM3311" i="4"/>
  <c r="BH3311" i="4"/>
  <c r="AX3310" i="4"/>
  <c r="AW3310" i="4"/>
  <c r="AV3310" i="4"/>
  <c r="AP3310" i="4"/>
  <c r="AO3310" i="4"/>
  <c r="AN3310" i="4"/>
  <c r="AM3310" i="4"/>
  <c r="BH3310" i="4"/>
  <c r="AX3309" i="4"/>
  <c r="AW3309" i="4"/>
  <c r="AV3309" i="4"/>
  <c r="AP3309" i="4"/>
  <c r="AO3309" i="4"/>
  <c r="AN3309" i="4"/>
  <c r="AM3309" i="4"/>
  <c r="BH3309" i="4"/>
  <c r="AX3308" i="4"/>
  <c r="AW3308" i="4"/>
  <c r="AV3308" i="4"/>
  <c r="AP3308" i="4"/>
  <c r="AO3308" i="4"/>
  <c r="AN3308" i="4"/>
  <c r="AM3308" i="4"/>
  <c r="BH3308" i="4"/>
  <c r="AX3307" i="4"/>
  <c r="AW3307" i="4"/>
  <c r="AV3307" i="4"/>
  <c r="AP3307" i="4"/>
  <c r="AO3307" i="4"/>
  <c r="AN3307" i="4"/>
  <c r="AM3307" i="4"/>
  <c r="BH3307" i="4"/>
  <c r="AX3306" i="4"/>
  <c r="AW3306" i="4"/>
  <c r="AV3306" i="4"/>
  <c r="AP3306" i="4"/>
  <c r="AO3306" i="4"/>
  <c r="AN3306" i="4"/>
  <c r="AM3306" i="4"/>
  <c r="BH3306" i="4"/>
  <c r="AX3305" i="4"/>
  <c r="AW3305" i="4"/>
  <c r="AV3305" i="4"/>
  <c r="AP3305" i="4"/>
  <c r="AO3305" i="4"/>
  <c r="AN3305" i="4"/>
  <c r="AM3305" i="4"/>
  <c r="BH3305" i="4"/>
  <c r="AX3304" i="4"/>
  <c r="AW3304" i="4"/>
  <c r="AV3304" i="4"/>
  <c r="AP3304" i="4"/>
  <c r="AO3304" i="4"/>
  <c r="AN3304" i="4"/>
  <c r="AM3304" i="4"/>
  <c r="BH3304" i="4"/>
  <c r="AX3303" i="4"/>
  <c r="AW3303" i="4"/>
  <c r="AV3303" i="4"/>
  <c r="AP3303" i="4"/>
  <c r="AO3303" i="4"/>
  <c r="AN3303" i="4"/>
  <c r="AM3303" i="4"/>
  <c r="BH3303" i="4"/>
  <c r="AX3302" i="4"/>
  <c r="AW3302" i="4"/>
  <c r="AV3302" i="4"/>
  <c r="AP3302" i="4"/>
  <c r="AO3302" i="4"/>
  <c r="AN3302" i="4"/>
  <c r="AM3302" i="4"/>
  <c r="BH3302" i="4"/>
  <c r="AX3301" i="4"/>
  <c r="AW3301" i="4"/>
  <c r="AV3301" i="4"/>
  <c r="AP3301" i="4"/>
  <c r="AO3301" i="4"/>
  <c r="AN3301" i="4"/>
  <c r="AM3301" i="4"/>
  <c r="BH3301" i="4"/>
  <c r="AX3300" i="4"/>
  <c r="AW3300" i="4"/>
  <c r="AV3300" i="4"/>
  <c r="AP3300" i="4"/>
  <c r="AO3300" i="4"/>
  <c r="AN3300" i="4"/>
  <c r="AM3300" i="4"/>
  <c r="BH3300" i="4"/>
  <c r="AX3299" i="4"/>
  <c r="AW3299" i="4"/>
  <c r="AV3299" i="4"/>
  <c r="AP3299" i="4"/>
  <c r="AO3299" i="4"/>
  <c r="AN3299" i="4"/>
  <c r="AM3299" i="4"/>
  <c r="BH3299" i="4"/>
  <c r="AX3298" i="4"/>
  <c r="AW3298" i="4"/>
  <c r="AV3298" i="4"/>
  <c r="AP3298" i="4"/>
  <c r="AO3298" i="4"/>
  <c r="AN3298" i="4"/>
  <c r="AM3298" i="4"/>
  <c r="BH3298" i="4"/>
  <c r="AX3297" i="4"/>
  <c r="AW3297" i="4"/>
  <c r="AV3297" i="4"/>
  <c r="AP3297" i="4"/>
  <c r="AO3297" i="4"/>
  <c r="AN3297" i="4"/>
  <c r="AM3297" i="4"/>
  <c r="BH3297" i="4"/>
  <c r="AX3296" i="4"/>
  <c r="AW3296" i="4"/>
  <c r="AV3296" i="4"/>
  <c r="AP3296" i="4"/>
  <c r="AO3296" i="4"/>
  <c r="AN3296" i="4"/>
  <c r="AM3296" i="4"/>
  <c r="BH3296" i="4"/>
  <c r="AX3295" i="4"/>
  <c r="AW3295" i="4"/>
  <c r="AV3295" i="4"/>
  <c r="AP3295" i="4"/>
  <c r="AO3295" i="4"/>
  <c r="AN3295" i="4"/>
  <c r="AM3295" i="4"/>
  <c r="BH3295" i="4"/>
  <c r="AX3294" i="4"/>
  <c r="AW3294" i="4"/>
  <c r="AV3294" i="4"/>
  <c r="AP3294" i="4"/>
  <c r="AO3294" i="4"/>
  <c r="AN3294" i="4"/>
  <c r="AM3294" i="4"/>
  <c r="BH3294" i="4"/>
  <c r="AX3293" i="4"/>
  <c r="AW3293" i="4"/>
  <c r="AV3293" i="4"/>
  <c r="AP3293" i="4"/>
  <c r="AO3293" i="4"/>
  <c r="AN3293" i="4"/>
  <c r="AM3293" i="4"/>
  <c r="BH3293" i="4"/>
  <c r="AX3292" i="4"/>
  <c r="AW3292" i="4"/>
  <c r="AV3292" i="4"/>
  <c r="AP3292" i="4"/>
  <c r="AO3292" i="4"/>
  <c r="AN3292" i="4"/>
  <c r="AM3292" i="4"/>
  <c r="BH3292" i="4"/>
  <c r="AX3291" i="4"/>
  <c r="AW3291" i="4"/>
  <c r="AV3291" i="4"/>
  <c r="AP3291" i="4"/>
  <c r="AO3291" i="4"/>
  <c r="AN3291" i="4"/>
  <c r="AM3291" i="4"/>
  <c r="BH3291" i="4"/>
  <c r="AX3290" i="4"/>
  <c r="AW3290" i="4"/>
  <c r="AV3290" i="4"/>
  <c r="AP3290" i="4"/>
  <c r="AO3290" i="4"/>
  <c r="AN3290" i="4"/>
  <c r="AM3290" i="4"/>
  <c r="BH3290" i="4"/>
  <c r="AX3289" i="4"/>
  <c r="AW3289" i="4"/>
  <c r="AV3289" i="4"/>
  <c r="AP3289" i="4"/>
  <c r="AO3289" i="4"/>
  <c r="AN3289" i="4"/>
  <c r="AM3289" i="4"/>
  <c r="BH3289" i="4"/>
  <c r="AX3288" i="4"/>
  <c r="AW3288" i="4"/>
  <c r="AV3288" i="4"/>
  <c r="AP3288" i="4"/>
  <c r="AO3288" i="4"/>
  <c r="AN3288" i="4"/>
  <c r="AM3288" i="4"/>
  <c r="BH3288" i="4"/>
  <c r="AX3287" i="4"/>
  <c r="AW3287" i="4"/>
  <c r="AV3287" i="4"/>
  <c r="AP3287" i="4"/>
  <c r="AO3287" i="4"/>
  <c r="AN3287" i="4"/>
  <c r="AM3287" i="4"/>
  <c r="BH3287" i="4"/>
  <c r="AX3286" i="4"/>
  <c r="AW3286" i="4"/>
  <c r="AV3286" i="4"/>
  <c r="AP3286" i="4"/>
  <c r="AO3286" i="4"/>
  <c r="AN3286" i="4"/>
  <c r="AM3286" i="4"/>
  <c r="BH3286" i="4"/>
  <c r="AX3285" i="4"/>
  <c r="AW3285" i="4"/>
  <c r="AV3285" i="4"/>
  <c r="AP3285" i="4"/>
  <c r="AO3285" i="4"/>
  <c r="AN3285" i="4"/>
  <c r="AM3285" i="4"/>
  <c r="BH3285" i="4"/>
  <c r="AX3284" i="4"/>
  <c r="AW3284" i="4"/>
  <c r="AV3284" i="4"/>
  <c r="AP3284" i="4"/>
  <c r="AO3284" i="4"/>
  <c r="AN3284" i="4"/>
  <c r="AM3284" i="4"/>
  <c r="BH3284" i="4"/>
  <c r="AX3283" i="4"/>
  <c r="AW3283" i="4"/>
  <c r="AV3283" i="4"/>
  <c r="AP3283" i="4"/>
  <c r="AO3283" i="4"/>
  <c r="AN3283" i="4"/>
  <c r="AM3283" i="4"/>
  <c r="BH3283" i="4"/>
  <c r="AX3282" i="4"/>
  <c r="AW3282" i="4"/>
  <c r="AV3282" i="4"/>
  <c r="AP3282" i="4"/>
  <c r="AO3282" i="4"/>
  <c r="AN3282" i="4"/>
  <c r="AM3282" i="4"/>
  <c r="BH3282" i="4"/>
  <c r="AX3281" i="4"/>
  <c r="AW3281" i="4"/>
  <c r="AV3281" i="4"/>
  <c r="AP3281" i="4"/>
  <c r="AO3281" i="4"/>
  <c r="AN3281" i="4"/>
  <c r="AM3281" i="4"/>
  <c r="BH3281" i="4"/>
  <c r="AX3280" i="4"/>
  <c r="AW3280" i="4"/>
  <c r="AV3280" i="4"/>
  <c r="AP3280" i="4"/>
  <c r="AO3280" i="4"/>
  <c r="AN3280" i="4"/>
  <c r="AM3280" i="4"/>
  <c r="BH3280" i="4"/>
  <c r="AX3279" i="4"/>
  <c r="AW3279" i="4"/>
  <c r="AV3279" i="4"/>
  <c r="AP3279" i="4"/>
  <c r="AO3279" i="4"/>
  <c r="AN3279" i="4"/>
  <c r="AM3279" i="4"/>
  <c r="BH3279" i="4"/>
  <c r="AX3278" i="4"/>
  <c r="AW3278" i="4"/>
  <c r="AV3278" i="4"/>
  <c r="AP3278" i="4"/>
  <c r="AO3278" i="4"/>
  <c r="AN3278" i="4"/>
  <c r="AM3278" i="4"/>
  <c r="BH3278" i="4"/>
  <c r="AX3277" i="4"/>
  <c r="AW3277" i="4"/>
  <c r="AV3277" i="4"/>
  <c r="AP3277" i="4"/>
  <c r="AO3277" i="4"/>
  <c r="AN3277" i="4"/>
  <c r="AM3277" i="4"/>
  <c r="BH3277" i="4"/>
  <c r="AX3276" i="4"/>
  <c r="AW3276" i="4"/>
  <c r="AV3276" i="4"/>
  <c r="AP3276" i="4"/>
  <c r="AO3276" i="4"/>
  <c r="AN3276" i="4"/>
  <c r="AM3276" i="4"/>
  <c r="BH3276" i="4"/>
  <c r="AX3275" i="4"/>
  <c r="AW3275" i="4"/>
  <c r="AV3275" i="4"/>
  <c r="AP3275" i="4"/>
  <c r="AO3275" i="4"/>
  <c r="AN3275" i="4"/>
  <c r="AM3275" i="4"/>
  <c r="BH3275" i="4"/>
  <c r="AX3274" i="4"/>
  <c r="AW3274" i="4"/>
  <c r="AV3274" i="4"/>
  <c r="AP3274" i="4"/>
  <c r="AO3274" i="4"/>
  <c r="AN3274" i="4"/>
  <c r="AM3274" i="4"/>
  <c r="BH3274" i="4"/>
  <c r="AX3273" i="4"/>
  <c r="AW3273" i="4"/>
  <c r="AV3273" i="4"/>
  <c r="AP3273" i="4"/>
  <c r="AO3273" i="4"/>
  <c r="AN3273" i="4"/>
  <c r="AM3273" i="4"/>
  <c r="BH3273" i="4"/>
  <c r="AX3272" i="4"/>
  <c r="AW3272" i="4"/>
  <c r="AV3272" i="4"/>
  <c r="AP3272" i="4"/>
  <c r="AO3272" i="4"/>
  <c r="AN3272" i="4"/>
  <c r="AM3272" i="4"/>
  <c r="BH3272" i="4"/>
  <c r="AX3271" i="4"/>
  <c r="AW3271" i="4"/>
  <c r="AV3271" i="4"/>
  <c r="AP3271" i="4"/>
  <c r="AO3271" i="4"/>
  <c r="AN3271" i="4"/>
  <c r="AM3271" i="4"/>
  <c r="BH3271" i="4"/>
  <c r="AX3270" i="4"/>
  <c r="AW3270" i="4"/>
  <c r="AV3270" i="4"/>
  <c r="AP3270" i="4"/>
  <c r="AO3270" i="4"/>
  <c r="AN3270" i="4"/>
  <c r="AM3270" i="4"/>
  <c r="BH3270" i="4"/>
  <c r="AX3269" i="4"/>
  <c r="AW3269" i="4"/>
  <c r="AV3269" i="4"/>
  <c r="AP3269" i="4"/>
  <c r="AO3269" i="4"/>
  <c r="AN3269" i="4"/>
  <c r="AM3269" i="4"/>
  <c r="BH3269" i="4"/>
  <c r="AX3268" i="4"/>
  <c r="AW3268" i="4"/>
  <c r="AV3268" i="4"/>
  <c r="AP3268" i="4"/>
  <c r="AO3268" i="4"/>
  <c r="AN3268" i="4"/>
  <c r="AM3268" i="4"/>
  <c r="BH3268" i="4"/>
  <c r="AX3267" i="4"/>
  <c r="AW3267" i="4"/>
  <c r="AV3267" i="4"/>
  <c r="AP3267" i="4"/>
  <c r="AO3267" i="4"/>
  <c r="AN3267" i="4"/>
  <c r="AM3267" i="4"/>
  <c r="BH3267" i="4"/>
  <c r="AX3266" i="4"/>
  <c r="AW3266" i="4"/>
  <c r="AV3266" i="4"/>
  <c r="AP3266" i="4"/>
  <c r="AO3266" i="4"/>
  <c r="AN3266" i="4"/>
  <c r="AM3266" i="4"/>
  <c r="BH3266" i="4"/>
  <c r="AX3265" i="4"/>
  <c r="AW3265" i="4"/>
  <c r="AV3265" i="4"/>
  <c r="AP3265" i="4"/>
  <c r="AO3265" i="4"/>
  <c r="AN3265" i="4"/>
  <c r="AM3265" i="4"/>
  <c r="BH3265" i="4"/>
  <c r="AX3264" i="4"/>
  <c r="AW3264" i="4"/>
  <c r="AV3264" i="4"/>
  <c r="AP3264" i="4"/>
  <c r="AO3264" i="4"/>
  <c r="AN3264" i="4"/>
  <c r="AM3264" i="4"/>
  <c r="BH3264" i="4"/>
  <c r="AX3263" i="4"/>
  <c r="AW3263" i="4"/>
  <c r="AV3263" i="4"/>
  <c r="AP3263" i="4"/>
  <c r="AO3263" i="4"/>
  <c r="AN3263" i="4"/>
  <c r="AM3263" i="4"/>
  <c r="BH3263" i="4"/>
  <c r="AX3262" i="4"/>
  <c r="AW3262" i="4"/>
  <c r="AV3262" i="4"/>
  <c r="AP3262" i="4"/>
  <c r="AO3262" i="4"/>
  <c r="AN3262" i="4"/>
  <c r="AM3262" i="4"/>
  <c r="BH3262" i="4"/>
  <c r="AX3261" i="4"/>
  <c r="AW3261" i="4"/>
  <c r="AV3261" i="4"/>
  <c r="AP3261" i="4"/>
  <c r="AO3261" i="4"/>
  <c r="AN3261" i="4"/>
  <c r="AM3261" i="4"/>
  <c r="BH3261" i="4"/>
  <c r="AX3260" i="4"/>
  <c r="AW3260" i="4"/>
  <c r="AV3260" i="4"/>
  <c r="AP3260" i="4"/>
  <c r="AO3260" i="4"/>
  <c r="AN3260" i="4"/>
  <c r="AM3260" i="4"/>
  <c r="BH3260" i="4"/>
  <c r="AX3259" i="4"/>
  <c r="AW3259" i="4"/>
  <c r="AV3259" i="4"/>
  <c r="AP3259" i="4"/>
  <c r="AO3259" i="4"/>
  <c r="AN3259" i="4"/>
  <c r="AM3259" i="4"/>
  <c r="BH3259" i="4"/>
  <c r="AX3258" i="4"/>
  <c r="AW3258" i="4"/>
  <c r="AV3258" i="4"/>
  <c r="AP3258" i="4"/>
  <c r="AO3258" i="4"/>
  <c r="AN3258" i="4"/>
  <c r="AM3258" i="4"/>
  <c r="BH3258" i="4"/>
  <c r="AX3257" i="4"/>
  <c r="AW3257" i="4"/>
  <c r="AV3257" i="4"/>
  <c r="AP3257" i="4"/>
  <c r="AO3257" i="4"/>
  <c r="AN3257" i="4"/>
  <c r="AM3257" i="4"/>
  <c r="BH3257" i="4"/>
  <c r="AX3256" i="4"/>
  <c r="AW3256" i="4"/>
  <c r="AV3256" i="4"/>
  <c r="AP3256" i="4"/>
  <c r="AO3256" i="4"/>
  <c r="AN3256" i="4"/>
  <c r="AM3256" i="4"/>
  <c r="BH3256" i="4"/>
  <c r="AX3255" i="4"/>
  <c r="AW3255" i="4"/>
  <c r="AV3255" i="4"/>
  <c r="AP3255" i="4"/>
  <c r="AO3255" i="4"/>
  <c r="AN3255" i="4"/>
  <c r="AM3255" i="4"/>
  <c r="BH3255" i="4"/>
  <c r="AX3254" i="4"/>
  <c r="AW3254" i="4"/>
  <c r="AV3254" i="4"/>
  <c r="AP3254" i="4"/>
  <c r="AO3254" i="4"/>
  <c r="AN3254" i="4"/>
  <c r="AM3254" i="4"/>
  <c r="BH3254" i="4"/>
  <c r="AX3253" i="4"/>
  <c r="AW3253" i="4"/>
  <c r="AV3253" i="4"/>
  <c r="AP3253" i="4"/>
  <c r="AO3253" i="4"/>
  <c r="AN3253" i="4"/>
  <c r="AM3253" i="4"/>
  <c r="BH3253" i="4"/>
  <c r="AX3252" i="4"/>
  <c r="AW3252" i="4"/>
  <c r="AV3252" i="4"/>
  <c r="AP3252" i="4"/>
  <c r="AO3252" i="4"/>
  <c r="AN3252" i="4"/>
  <c r="AM3252" i="4"/>
  <c r="BH3252" i="4"/>
  <c r="AX3251" i="4"/>
  <c r="AW3251" i="4"/>
  <c r="AV3251" i="4"/>
  <c r="AP3251" i="4"/>
  <c r="AO3251" i="4"/>
  <c r="AN3251" i="4"/>
  <c r="AM3251" i="4"/>
  <c r="BH3251" i="4"/>
  <c r="AX3250" i="4"/>
  <c r="AW3250" i="4"/>
  <c r="AV3250" i="4"/>
  <c r="AP3250" i="4"/>
  <c r="AO3250" i="4"/>
  <c r="AN3250" i="4"/>
  <c r="AM3250" i="4"/>
  <c r="BH3250" i="4"/>
  <c r="AX3249" i="4"/>
  <c r="AW3249" i="4"/>
  <c r="AV3249" i="4"/>
  <c r="AP3249" i="4"/>
  <c r="AO3249" i="4"/>
  <c r="AN3249" i="4"/>
  <c r="AM3249" i="4"/>
  <c r="BH3249" i="4"/>
  <c r="AX3248" i="4"/>
  <c r="AW3248" i="4"/>
  <c r="AV3248" i="4"/>
  <c r="AP3248" i="4"/>
  <c r="AO3248" i="4"/>
  <c r="AN3248" i="4"/>
  <c r="AM3248" i="4"/>
  <c r="BH3248" i="4"/>
  <c r="AX3247" i="4"/>
  <c r="AW3247" i="4"/>
  <c r="AV3247" i="4"/>
  <c r="AP3247" i="4"/>
  <c r="AO3247" i="4"/>
  <c r="AN3247" i="4"/>
  <c r="AM3247" i="4"/>
  <c r="BH3247" i="4"/>
  <c r="AX3246" i="4"/>
  <c r="AW3246" i="4"/>
  <c r="AV3246" i="4"/>
  <c r="AP3246" i="4"/>
  <c r="AO3246" i="4"/>
  <c r="AN3246" i="4"/>
  <c r="AM3246" i="4"/>
  <c r="BH3246" i="4"/>
  <c r="AX3245" i="4"/>
  <c r="AW3245" i="4"/>
  <c r="AV3245" i="4"/>
  <c r="AP3245" i="4"/>
  <c r="AO3245" i="4"/>
  <c r="AN3245" i="4"/>
  <c r="AM3245" i="4"/>
  <c r="BH3245" i="4"/>
  <c r="AX3244" i="4"/>
  <c r="AW3244" i="4"/>
  <c r="AV3244" i="4"/>
  <c r="AP3244" i="4"/>
  <c r="AO3244" i="4"/>
  <c r="AN3244" i="4"/>
  <c r="AM3244" i="4"/>
  <c r="BH3244" i="4"/>
  <c r="AX3243" i="4"/>
  <c r="AW3243" i="4"/>
  <c r="AV3243" i="4"/>
  <c r="AP3243" i="4"/>
  <c r="AO3243" i="4"/>
  <c r="AN3243" i="4"/>
  <c r="AM3243" i="4"/>
  <c r="BH3243" i="4"/>
  <c r="AX3242" i="4"/>
  <c r="AW3242" i="4"/>
  <c r="AV3242" i="4"/>
  <c r="AP3242" i="4"/>
  <c r="AO3242" i="4"/>
  <c r="AN3242" i="4"/>
  <c r="AM3242" i="4"/>
  <c r="BH3242" i="4"/>
  <c r="AX3241" i="4"/>
  <c r="AW3241" i="4"/>
  <c r="AV3241" i="4"/>
  <c r="AP3241" i="4"/>
  <c r="AO3241" i="4"/>
  <c r="AN3241" i="4"/>
  <c r="AM3241" i="4"/>
  <c r="BH3241" i="4"/>
  <c r="AX3240" i="4"/>
  <c r="AW3240" i="4"/>
  <c r="AV3240" i="4"/>
  <c r="AP3240" i="4"/>
  <c r="AO3240" i="4"/>
  <c r="AN3240" i="4"/>
  <c r="AM3240" i="4"/>
  <c r="BH3240" i="4"/>
  <c r="AX3239" i="4"/>
  <c r="AW3239" i="4"/>
  <c r="AV3239" i="4"/>
  <c r="AP3239" i="4"/>
  <c r="AO3239" i="4"/>
  <c r="AN3239" i="4"/>
  <c r="AM3239" i="4"/>
  <c r="BH3239" i="4"/>
  <c r="AX3238" i="4"/>
  <c r="AW3238" i="4"/>
  <c r="AV3238" i="4"/>
  <c r="AP3238" i="4"/>
  <c r="AO3238" i="4"/>
  <c r="AN3238" i="4"/>
  <c r="AM3238" i="4"/>
  <c r="BH3238" i="4"/>
  <c r="AX3237" i="4"/>
  <c r="AW3237" i="4"/>
  <c r="AV3237" i="4"/>
  <c r="AP3237" i="4"/>
  <c r="AO3237" i="4"/>
  <c r="AN3237" i="4"/>
  <c r="AM3237" i="4"/>
  <c r="BH3237" i="4"/>
  <c r="AX3236" i="4"/>
  <c r="AW3236" i="4"/>
  <c r="AV3236" i="4"/>
  <c r="AP3236" i="4"/>
  <c r="AO3236" i="4"/>
  <c r="AN3236" i="4"/>
  <c r="AM3236" i="4"/>
  <c r="BH3236" i="4"/>
  <c r="AX3235" i="4"/>
  <c r="AW3235" i="4"/>
  <c r="AV3235" i="4"/>
  <c r="AP3235" i="4"/>
  <c r="AO3235" i="4"/>
  <c r="AN3235" i="4"/>
  <c r="AM3235" i="4"/>
  <c r="BH3235" i="4"/>
  <c r="AX3234" i="4"/>
  <c r="AW3234" i="4"/>
  <c r="AV3234" i="4"/>
  <c r="AP3234" i="4"/>
  <c r="AO3234" i="4"/>
  <c r="AN3234" i="4"/>
  <c r="AM3234" i="4"/>
  <c r="BH3234" i="4"/>
  <c r="AX3233" i="4"/>
  <c r="AW3233" i="4"/>
  <c r="AV3233" i="4"/>
  <c r="AP3233" i="4"/>
  <c r="AO3233" i="4"/>
  <c r="AN3233" i="4"/>
  <c r="AM3233" i="4"/>
  <c r="BH3233" i="4"/>
  <c r="AX3232" i="4"/>
  <c r="AW3232" i="4"/>
  <c r="AV3232" i="4"/>
  <c r="AP3232" i="4"/>
  <c r="AO3232" i="4"/>
  <c r="AN3232" i="4"/>
  <c r="AM3232" i="4"/>
  <c r="BH3232" i="4"/>
  <c r="AX3231" i="4"/>
  <c r="AW3231" i="4"/>
  <c r="AV3231" i="4"/>
  <c r="AP3231" i="4"/>
  <c r="AO3231" i="4"/>
  <c r="AN3231" i="4"/>
  <c r="AM3231" i="4"/>
  <c r="BH3231" i="4"/>
  <c r="AX3230" i="4"/>
  <c r="AW3230" i="4"/>
  <c r="AV3230" i="4"/>
  <c r="AP3230" i="4"/>
  <c r="AO3230" i="4"/>
  <c r="AN3230" i="4"/>
  <c r="AM3230" i="4"/>
  <c r="BH3230" i="4"/>
  <c r="AX3229" i="4"/>
  <c r="AW3229" i="4"/>
  <c r="AV3229" i="4"/>
  <c r="AP3229" i="4"/>
  <c r="AO3229" i="4"/>
  <c r="AN3229" i="4"/>
  <c r="AM3229" i="4"/>
  <c r="BH3229" i="4"/>
  <c r="AX3228" i="4"/>
  <c r="AW3228" i="4"/>
  <c r="AV3228" i="4"/>
  <c r="AP3228" i="4"/>
  <c r="AO3228" i="4"/>
  <c r="AN3228" i="4"/>
  <c r="AM3228" i="4"/>
  <c r="BH3228" i="4"/>
  <c r="AX3227" i="4"/>
  <c r="AW3227" i="4"/>
  <c r="AV3227" i="4"/>
  <c r="AP3227" i="4"/>
  <c r="AO3227" i="4"/>
  <c r="AN3227" i="4"/>
  <c r="AM3227" i="4"/>
  <c r="BH3227" i="4"/>
  <c r="AX3226" i="4"/>
  <c r="AW3226" i="4"/>
  <c r="AV3226" i="4"/>
  <c r="AP3226" i="4"/>
  <c r="AO3226" i="4"/>
  <c r="AN3226" i="4"/>
  <c r="AM3226" i="4"/>
  <c r="BH3226" i="4"/>
  <c r="AX3225" i="4"/>
  <c r="AW3225" i="4"/>
  <c r="AV3225" i="4"/>
  <c r="AP3225" i="4"/>
  <c r="AO3225" i="4"/>
  <c r="AN3225" i="4"/>
  <c r="AM3225" i="4"/>
  <c r="BH3225" i="4"/>
  <c r="AX3224" i="4"/>
  <c r="AW3224" i="4"/>
  <c r="AV3224" i="4"/>
  <c r="AP3224" i="4"/>
  <c r="AO3224" i="4"/>
  <c r="AN3224" i="4"/>
  <c r="AM3224" i="4"/>
  <c r="BH3224" i="4"/>
  <c r="AX3223" i="4"/>
  <c r="AW3223" i="4"/>
  <c r="AV3223" i="4"/>
  <c r="AP3223" i="4"/>
  <c r="AO3223" i="4"/>
  <c r="AN3223" i="4"/>
  <c r="AM3223" i="4"/>
  <c r="BH3223" i="4"/>
  <c r="AX3222" i="4"/>
  <c r="AW3222" i="4"/>
  <c r="AV3222" i="4"/>
  <c r="AP3222" i="4"/>
  <c r="AO3222" i="4"/>
  <c r="AN3222" i="4"/>
  <c r="AM3222" i="4"/>
  <c r="BH3222" i="4"/>
  <c r="AX3221" i="4"/>
  <c r="AW3221" i="4"/>
  <c r="AV3221" i="4"/>
  <c r="AP3221" i="4"/>
  <c r="AO3221" i="4"/>
  <c r="AN3221" i="4"/>
  <c r="AM3221" i="4"/>
  <c r="BH3221" i="4"/>
  <c r="AX3220" i="4"/>
  <c r="AW3220" i="4"/>
  <c r="AV3220" i="4"/>
  <c r="AP3220" i="4"/>
  <c r="AO3220" i="4"/>
  <c r="AN3220" i="4"/>
  <c r="AM3220" i="4"/>
  <c r="BH3220" i="4"/>
  <c r="AX3219" i="4"/>
  <c r="AW3219" i="4"/>
  <c r="AV3219" i="4"/>
  <c r="AP3219" i="4"/>
  <c r="AO3219" i="4"/>
  <c r="AN3219" i="4"/>
  <c r="AM3219" i="4"/>
  <c r="BH3219" i="4"/>
  <c r="AX3218" i="4"/>
  <c r="AW3218" i="4"/>
  <c r="AV3218" i="4"/>
  <c r="AP3218" i="4"/>
  <c r="AO3218" i="4"/>
  <c r="AN3218" i="4"/>
  <c r="AM3218" i="4"/>
  <c r="BH3218" i="4"/>
  <c r="AX3217" i="4"/>
  <c r="AW3217" i="4"/>
  <c r="AV3217" i="4"/>
  <c r="AP3217" i="4"/>
  <c r="AO3217" i="4"/>
  <c r="AN3217" i="4"/>
  <c r="AM3217" i="4"/>
  <c r="BH3217" i="4"/>
  <c r="AX3216" i="4"/>
  <c r="AW3216" i="4"/>
  <c r="AV3216" i="4"/>
  <c r="AP3216" i="4"/>
  <c r="AO3216" i="4"/>
  <c r="AN3216" i="4"/>
  <c r="AM3216" i="4"/>
  <c r="BH3216" i="4"/>
  <c r="AX3215" i="4"/>
  <c r="AW3215" i="4"/>
  <c r="AV3215" i="4"/>
  <c r="AP3215" i="4"/>
  <c r="AO3215" i="4"/>
  <c r="AN3215" i="4"/>
  <c r="AM3215" i="4"/>
  <c r="BH3215" i="4"/>
  <c r="AX3214" i="4"/>
  <c r="AW3214" i="4"/>
  <c r="AV3214" i="4"/>
  <c r="AP3214" i="4"/>
  <c r="AO3214" i="4"/>
  <c r="AN3214" i="4"/>
  <c r="AM3214" i="4"/>
  <c r="BH3214" i="4"/>
  <c r="AX3213" i="4"/>
  <c r="AW3213" i="4"/>
  <c r="AV3213" i="4"/>
  <c r="AP3213" i="4"/>
  <c r="AO3213" i="4"/>
  <c r="AN3213" i="4"/>
  <c r="AM3213" i="4"/>
  <c r="BH3213" i="4"/>
  <c r="AX3212" i="4"/>
  <c r="AW3212" i="4"/>
  <c r="AV3212" i="4"/>
  <c r="AP3212" i="4"/>
  <c r="AO3212" i="4"/>
  <c r="AN3212" i="4"/>
  <c r="AM3212" i="4"/>
  <c r="BH3212" i="4"/>
  <c r="AX3211" i="4"/>
  <c r="AW3211" i="4"/>
  <c r="AV3211" i="4"/>
  <c r="AP3211" i="4"/>
  <c r="AO3211" i="4"/>
  <c r="AN3211" i="4"/>
  <c r="AM3211" i="4"/>
  <c r="BH3211" i="4"/>
  <c r="AX3210" i="4"/>
  <c r="AW3210" i="4"/>
  <c r="AV3210" i="4"/>
  <c r="AP3210" i="4"/>
  <c r="AO3210" i="4"/>
  <c r="AN3210" i="4"/>
  <c r="AM3210" i="4"/>
  <c r="BH3210" i="4"/>
  <c r="AX3209" i="4"/>
  <c r="AW3209" i="4"/>
  <c r="AV3209" i="4"/>
  <c r="AP3209" i="4"/>
  <c r="AO3209" i="4"/>
  <c r="AN3209" i="4"/>
  <c r="AM3209" i="4"/>
  <c r="BH3209" i="4"/>
  <c r="AX3208" i="4"/>
  <c r="AW3208" i="4"/>
  <c r="AV3208" i="4"/>
  <c r="AP3208" i="4"/>
  <c r="AO3208" i="4"/>
  <c r="AN3208" i="4"/>
  <c r="AM3208" i="4"/>
  <c r="BH3208" i="4"/>
  <c r="AX3207" i="4"/>
  <c r="AW3207" i="4"/>
  <c r="AV3207" i="4"/>
  <c r="AP3207" i="4"/>
  <c r="AO3207" i="4"/>
  <c r="AN3207" i="4"/>
  <c r="AM3207" i="4"/>
  <c r="BH3207" i="4"/>
  <c r="AX3206" i="4"/>
  <c r="AW3206" i="4"/>
  <c r="AV3206" i="4"/>
  <c r="AP3206" i="4"/>
  <c r="AO3206" i="4"/>
  <c r="AN3206" i="4"/>
  <c r="AM3206" i="4"/>
  <c r="BH3206" i="4"/>
  <c r="AX3205" i="4"/>
  <c r="AW3205" i="4"/>
  <c r="AV3205" i="4"/>
  <c r="AP3205" i="4"/>
  <c r="AO3205" i="4"/>
  <c r="AN3205" i="4"/>
  <c r="AM3205" i="4"/>
  <c r="BH3205" i="4"/>
  <c r="AX3204" i="4"/>
  <c r="AW3204" i="4"/>
  <c r="AV3204" i="4"/>
  <c r="AP3204" i="4"/>
  <c r="AO3204" i="4"/>
  <c r="AN3204" i="4"/>
  <c r="AM3204" i="4"/>
  <c r="BH3204" i="4"/>
  <c r="AX3203" i="4"/>
  <c r="AW3203" i="4"/>
  <c r="AV3203" i="4"/>
  <c r="AP3203" i="4"/>
  <c r="AO3203" i="4"/>
  <c r="AN3203" i="4"/>
  <c r="AM3203" i="4"/>
  <c r="BH3203" i="4"/>
  <c r="AX3202" i="4"/>
  <c r="AW3202" i="4"/>
  <c r="AV3202" i="4"/>
  <c r="AP3202" i="4"/>
  <c r="AO3202" i="4"/>
  <c r="AN3202" i="4"/>
  <c r="AM3202" i="4"/>
  <c r="BH3202" i="4"/>
  <c r="AX3201" i="4"/>
  <c r="AW3201" i="4"/>
  <c r="AV3201" i="4"/>
  <c r="AP3201" i="4"/>
  <c r="AO3201" i="4"/>
  <c r="AN3201" i="4"/>
  <c r="AM3201" i="4"/>
  <c r="BH3201" i="4"/>
  <c r="AX3200" i="4"/>
  <c r="AW3200" i="4"/>
  <c r="AV3200" i="4"/>
  <c r="AP3200" i="4"/>
  <c r="AO3200" i="4"/>
  <c r="AN3200" i="4"/>
  <c r="AM3200" i="4"/>
  <c r="BH3200" i="4"/>
  <c r="AX3199" i="4"/>
  <c r="AW3199" i="4"/>
  <c r="AV3199" i="4"/>
  <c r="AP3199" i="4"/>
  <c r="AO3199" i="4"/>
  <c r="AN3199" i="4"/>
  <c r="AM3199" i="4"/>
  <c r="BH3199" i="4"/>
  <c r="AX3198" i="4"/>
  <c r="AW3198" i="4"/>
  <c r="AV3198" i="4"/>
  <c r="AP3198" i="4"/>
  <c r="AO3198" i="4"/>
  <c r="AN3198" i="4"/>
  <c r="AM3198" i="4"/>
  <c r="BH3198" i="4"/>
  <c r="AX3197" i="4"/>
  <c r="AW3197" i="4"/>
  <c r="AV3197" i="4"/>
  <c r="AP3197" i="4"/>
  <c r="AO3197" i="4"/>
  <c r="AN3197" i="4"/>
  <c r="AM3197" i="4"/>
  <c r="BH3197" i="4"/>
  <c r="AX3196" i="4"/>
  <c r="AW3196" i="4"/>
  <c r="AV3196" i="4"/>
  <c r="AP3196" i="4"/>
  <c r="AO3196" i="4"/>
  <c r="AN3196" i="4"/>
  <c r="AM3196" i="4"/>
  <c r="BH3196" i="4"/>
  <c r="AX3195" i="4"/>
  <c r="AW3195" i="4"/>
  <c r="AV3195" i="4"/>
  <c r="AP3195" i="4"/>
  <c r="AO3195" i="4"/>
  <c r="AN3195" i="4"/>
  <c r="AM3195" i="4"/>
  <c r="BH3195" i="4"/>
  <c r="AX3194" i="4"/>
  <c r="AW3194" i="4"/>
  <c r="AV3194" i="4"/>
  <c r="AP3194" i="4"/>
  <c r="AO3194" i="4"/>
  <c r="AN3194" i="4"/>
  <c r="AM3194" i="4"/>
  <c r="BH3194" i="4"/>
  <c r="AX3193" i="4"/>
  <c r="AW3193" i="4"/>
  <c r="AV3193" i="4"/>
  <c r="AP3193" i="4"/>
  <c r="AO3193" i="4"/>
  <c r="AN3193" i="4"/>
  <c r="AM3193" i="4"/>
  <c r="BH3193" i="4"/>
  <c r="AX3192" i="4"/>
  <c r="AW3192" i="4"/>
  <c r="AV3192" i="4"/>
  <c r="AP3192" i="4"/>
  <c r="AO3192" i="4"/>
  <c r="AN3192" i="4"/>
  <c r="AM3192" i="4"/>
  <c r="BH3192" i="4"/>
  <c r="AX3191" i="4"/>
  <c r="AW3191" i="4"/>
  <c r="AV3191" i="4"/>
  <c r="AP3191" i="4"/>
  <c r="AO3191" i="4"/>
  <c r="AN3191" i="4"/>
  <c r="AM3191" i="4"/>
  <c r="BH3191" i="4"/>
  <c r="AX3190" i="4"/>
  <c r="AW3190" i="4"/>
  <c r="AV3190" i="4"/>
  <c r="AP3190" i="4"/>
  <c r="AO3190" i="4"/>
  <c r="AN3190" i="4"/>
  <c r="AM3190" i="4"/>
  <c r="BH3190" i="4"/>
  <c r="AX3189" i="4"/>
  <c r="AW3189" i="4"/>
  <c r="AV3189" i="4"/>
  <c r="AP3189" i="4"/>
  <c r="AO3189" i="4"/>
  <c r="AN3189" i="4"/>
  <c r="AM3189" i="4"/>
  <c r="BH3189" i="4"/>
  <c r="AX3188" i="4"/>
  <c r="AW3188" i="4"/>
  <c r="AV3188" i="4"/>
  <c r="AP3188" i="4"/>
  <c r="AO3188" i="4"/>
  <c r="AN3188" i="4"/>
  <c r="AM3188" i="4"/>
  <c r="BH3188" i="4"/>
  <c r="AX3187" i="4"/>
  <c r="AW3187" i="4"/>
  <c r="AV3187" i="4"/>
  <c r="AP3187" i="4"/>
  <c r="AO3187" i="4"/>
  <c r="AN3187" i="4"/>
  <c r="AM3187" i="4"/>
  <c r="BH3187" i="4"/>
  <c r="AX3186" i="4"/>
  <c r="AW3186" i="4"/>
  <c r="AV3186" i="4"/>
  <c r="AP3186" i="4"/>
  <c r="AO3186" i="4"/>
  <c r="AN3186" i="4"/>
  <c r="AM3186" i="4"/>
  <c r="BH3186" i="4"/>
  <c r="AX3185" i="4"/>
  <c r="AW3185" i="4"/>
  <c r="AV3185" i="4"/>
  <c r="AP3185" i="4"/>
  <c r="AO3185" i="4"/>
  <c r="AN3185" i="4"/>
  <c r="AM3185" i="4"/>
  <c r="BH3185" i="4"/>
  <c r="AX3184" i="4"/>
  <c r="AW3184" i="4"/>
  <c r="AV3184" i="4"/>
  <c r="AP3184" i="4"/>
  <c r="AO3184" i="4"/>
  <c r="AN3184" i="4"/>
  <c r="AM3184" i="4"/>
  <c r="BH3184" i="4"/>
  <c r="AX3183" i="4"/>
  <c r="AW3183" i="4"/>
  <c r="AV3183" i="4"/>
  <c r="AP3183" i="4"/>
  <c r="AO3183" i="4"/>
  <c r="AN3183" i="4"/>
  <c r="AM3183" i="4"/>
  <c r="BH3183" i="4"/>
  <c r="AX3182" i="4"/>
  <c r="AW3182" i="4"/>
  <c r="AV3182" i="4"/>
  <c r="AP3182" i="4"/>
  <c r="AO3182" i="4"/>
  <c r="AN3182" i="4"/>
  <c r="AM3182" i="4"/>
  <c r="BH3182" i="4"/>
  <c r="AX3181" i="4"/>
  <c r="AW3181" i="4"/>
  <c r="AV3181" i="4"/>
  <c r="AP3181" i="4"/>
  <c r="AO3181" i="4"/>
  <c r="AN3181" i="4"/>
  <c r="AM3181" i="4"/>
  <c r="BH3181" i="4"/>
  <c r="AX3180" i="4"/>
  <c r="AW3180" i="4"/>
  <c r="AV3180" i="4"/>
  <c r="AP3180" i="4"/>
  <c r="AO3180" i="4"/>
  <c r="AN3180" i="4"/>
  <c r="AM3180" i="4"/>
  <c r="BH3180" i="4"/>
  <c r="AX3179" i="4"/>
  <c r="AW3179" i="4"/>
  <c r="AV3179" i="4"/>
  <c r="AP3179" i="4"/>
  <c r="AO3179" i="4"/>
  <c r="AN3179" i="4"/>
  <c r="AM3179" i="4"/>
  <c r="BH3179" i="4"/>
  <c r="AX3178" i="4"/>
  <c r="AW3178" i="4"/>
  <c r="AV3178" i="4"/>
  <c r="AP3178" i="4"/>
  <c r="AO3178" i="4"/>
  <c r="AN3178" i="4"/>
  <c r="AM3178" i="4"/>
  <c r="BH3178" i="4"/>
  <c r="AX3177" i="4"/>
  <c r="AW3177" i="4"/>
  <c r="AV3177" i="4"/>
  <c r="AP3177" i="4"/>
  <c r="AO3177" i="4"/>
  <c r="AN3177" i="4"/>
  <c r="AM3177" i="4"/>
  <c r="BH3177" i="4"/>
  <c r="AX3176" i="4"/>
  <c r="AW3176" i="4"/>
  <c r="AV3176" i="4"/>
  <c r="AP3176" i="4"/>
  <c r="AO3176" i="4"/>
  <c r="AN3176" i="4"/>
  <c r="AM3176" i="4"/>
  <c r="BH3176" i="4"/>
  <c r="AX3175" i="4"/>
  <c r="AW3175" i="4"/>
  <c r="AV3175" i="4"/>
  <c r="AP3175" i="4"/>
  <c r="AO3175" i="4"/>
  <c r="AN3175" i="4"/>
  <c r="AM3175" i="4"/>
  <c r="BH3175" i="4"/>
  <c r="AX3174" i="4"/>
  <c r="AW3174" i="4"/>
  <c r="AV3174" i="4"/>
  <c r="AP3174" i="4"/>
  <c r="AO3174" i="4"/>
  <c r="AN3174" i="4"/>
  <c r="AM3174" i="4"/>
  <c r="BH3174" i="4"/>
  <c r="AX3173" i="4"/>
  <c r="AW3173" i="4"/>
  <c r="AV3173" i="4"/>
  <c r="AP3173" i="4"/>
  <c r="AO3173" i="4"/>
  <c r="AN3173" i="4"/>
  <c r="AM3173" i="4"/>
  <c r="BH3173" i="4"/>
  <c r="AX3172" i="4"/>
  <c r="AW3172" i="4"/>
  <c r="AV3172" i="4"/>
  <c r="AP3172" i="4"/>
  <c r="AO3172" i="4"/>
  <c r="AN3172" i="4"/>
  <c r="AM3172" i="4"/>
  <c r="BH3172" i="4"/>
  <c r="AX3171" i="4"/>
  <c r="AW3171" i="4"/>
  <c r="AV3171" i="4"/>
  <c r="AP3171" i="4"/>
  <c r="AO3171" i="4"/>
  <c r="AN3171" i="4"/>
  <c r="AM3171" i="4"/>
  <c r="BH3171" i="4"/>
  <c r="AX3170" i="4"/>
  <c r="AW3170" i="4"/>
  <c r="AV3170" i="4"/>
  <c r="AP3170" i="4"/>
  <c r="AO3170" i="4"/>
  <c r="AN3170" i="4"/>
  <c r="AM3170" i="4"/>
  <c r="BH3170" i="4"/>
  <c r="AX3169" i="4"/>
  <c r="AW3169" i="4"/>
  <c r="AV3169" i="4"/>
  <c r="AP3169" i="4"/>
  <c r="AO3169" i="4"/>
  <c r="AN3169" i="4"/>
  <c r="AM3169" i="4"/>
  <c r="BH3169" i="4"/>
  <c r="AX3168" i="4"/>
  <c r="AW3168" i="4"/>
  <c r="AV3168" i="4"/>
  <c r="AP3168" i="4"/>
  <c r="AO3168" i="4"/>
  <c r="AN3168" i="4"/>
  <c r="AM3168" i="4"/>
  <c r="BH3168" i="4"/>
  <c r="AX3167" i="4"/>
  <c r="AW3167" i="4"/>
  <c r="AV3167" i="4"/>
  <c r="AP3167" i="4"/>
  <c r="AO3167" i="4"/>
  <c r="AN3167" i="4"/>
  <c r="AM3167" i="4"/>
  <c r="BH3167" i="4"/>
  <c r="AX3166" i="4"/>
  <c r="AW3166" i="4"/>
  <c r="AV3166" i="4"/>
  <c r="AP3166" i="4"/>
  <c r="AO3166" i="4"/>
  <c r="AN3166" i="4"/>
  <c r="AM3166" i="4"/>
  <c r="BH3166" i="4"/>
  <c r="AX3165" i="4"/>
  <c r="AW3165" i="4"/>
  <c r="AV3165" i="4"/>
  <c r="AP3165" i="4"/>
  <c r="AO3165" i="4"/>
  <c r="AN3165" i="4"/>
  <c r="AM3165" i="4"/>
  <c r="BH3165" i="4"/>
  <c r="AX3164" i="4"/>
  <c r="AW3164" i="4"/>
  <c r="AV3164" i="4"/>
  <c r="AP3164" i="4"/>
  <c r="AO3164" i="4"/>
  <c r="AN3164" i="4"/>
  <c r="AM3164" i="4"/>
  <c r="BH3164" i="4"/>
  <c r="AX3163" i="4"/>
  <c r="AW3163" i="4"/>
  <c r="AV3163" i="4"/>
  <c r="AP3163" i="4"/>
  <c r="AO3163" i="4"/>
  <c r="AN3163" i="4"/>
  <c r="AM3163" i="4"/>
  <c r="BH3163" i="4"/>
  <c r="AX3162" i="4"/>
  <c r="AW3162" i="4"/>
  <c r="AV3162" i="4"/>
  <c r="AP3162" i="4"/>
  <c r="AO3162" i="4"/>
  <c r="AN3162" i="4"/>
  <c r="AM3162" i="4"/>
  <c r="BH3162" i="4"/>
  <c r="AX3161" i="4"/>
  <c r="AW3161" i="4"/>
  <c r="AV3161" i="4"/>
  <c r="AP3161" i="4"/>
  <c r="AO3161" i="4"/>
  <c r="AN3161" i="4"/>
  <c r="AM3161" i="4"/>
  <c r="BH3161" i="4"/>
  <c r="AX3160" i="4"/>
  <c r="AW3160" i="4"/>
  <c r="AV3160" i="4"/>
  <c r="AP3160" i="4"/>
  <c r="AO3160" i="4"/>
  <c r="AN3160" i="4"/>
  <c r="AM3160" i="4"/>
  <c r="BH3160" i="4"/>
  <c r="AX3159" i="4"/>
  <c r="AW3159" i="4"/>
  <c r="AV3159" i="4"/>
  <c r="AP3159" i="4"/>
  <c r="AO3159" i="4"/>
  <c r="AN3159" i="4"/>
  <c r="AM3159" i="4"/>
  <c r="BH3159" i="4"/>
  <c r="AX3158" i="4"/>
  <c r="AW3158" i="4"/>
  <c r="AV3158" i="4"/>
  <c r="AP3158" i="4"/>
  <c r="AO3158" i="4"/>
  <c r="AN3158" i="4"/>
  <c r="AM3158" i="4"/>
  <c r="BH3158" i="4"/>
  <c r="AX3157" i="4"/>
  <c r="AW3157" i="4"/>
  <c r="AV3157" i="4"/>
  <c r="AP3157" i="4"/>
  <c r="AO3157" i="4"/>
  <c r="AN3157" i="4"/>
  <c r="AM3157" i="4"/>
  <c r="BH3157" i="4"/>
  <c r="AX3156" i="4"/>
  <c r="AW3156" i="4"/>
  <c r="AV3156" i="4"/>
  <c r="AP3156" i="4"/>
  <c r="AO3156" i="4"/>
  <c r="AN3156" i="4"/>
  <c r="AM3156" i="4"/>
  <c r="BH3156" i="4"/>
  <c r="AX3155" i="4"/>
  <c r="AW3155" i="4"/>
  <c r="AV3155" i="4"/>
  <c r="AP3155" i="4"/>
  <c r="AO3155" i="4"/>
  <c r="AN3155" i="4"/>
  <c r="AM3155" i="4"/>
  <c r="BH3155" i="4"/>
  <c r="AX3154" i="4"/>
  <c r="AW3154" i="4"/>
  <c r="AV3154" i="4"/>
  <c r="AP3154" i="4"/>
  <c r="AO3154" i="4"/>
  <c r="AN3154" i="4"/>
  <c r="AM3154" i="4"/>
  <c r="BH3154" i="4"/>
  <c r="AX3153" i="4"/>
  <c r="AW3153" i="4"/>
  <c r="AV3153" i="4"/>
  <c r="AP3153" i="4"/>
  <c r="AO3153" i="4"/>
  <c r="AN3153" i="4"/>
  <c r="AM3153" i="4"/>
  <c r="BH3153" i="4"/>
  <c r="AX3152" i="4"/>
  <c r="AW3152" i="4"/>
  <c r="AV3152" i="4"/>
  <c r="AP3152" i="4"/>
  <c r="AO3152" i="4"/>
  <c r="AN3152" i="4"/>
  <c r="AM3152" i="4"/>
  <c r="BH3152" i="4"/>
  <c r="AX3151" i="4"/>
  <c r="AW3151" i="4"/>
  <c r="AV3151" i="4"/>
  <c r="AP3151" i="4"/>
  <c r="AO3151" i="4"/>
  <c r="AN3151" i="4"/>
  <c r="AM3151" i="4"/>
  <c r="BH3151" i="4"/>
  <c r="AX3150" i="4"/>
  <c r="AW3150" i="4"/>
  <c r="AV3150" i="4"/>
  <c r="AP3150" i="4"/>
  <c r="AO3150" i="4"/>
  <c r="AN3150" i="4"/>
  <c r="AM3150" i="4"/>
  <c r="BH3150" i="4"/>
  <c r="AX3149" i="4"/>
  <c r="AW3149" i="4"/>
  <c r="AV3149" i="4"/>
  <c r="AP3149" i="4"/>
  <c r="AO3149" i="4"/>
  <c r="AN3149" i="4"/>
  <c r="AM3149" i="4"/>
  <c r="BH3149" i="4"/>
  <c r="AX3148" i="4"/>
  <c r="AW3148" i="4"/>
  <c r="AV3148" i="4"/>
  <c r="AP3148" i="4"/>
  <c r="AO3148" i="4"/>
  <c r="AN3148" i="4"/>
  <c r="AM3148" i="4"/>
  <c r="BH3148" i="4"/>
  <c r="AX3147" i="4"/>
  <c r="AW3147" i="4"/>
  <c r="AV3147" i="4"/>
  <c r="AP3147" i="4"/>
  <c r="AO3147" i="4"/>
  <c r="AN3147" i="4"/>
  <c r="AM3147" i="4"/>
  <c r="BH3147" i="4"/>
  <c r="AX3146" i="4"/>
  <c r="AW3146" i="4"/>
  <c r="AV3146" i="4"/>
  <c r="AP3146" i="4"/>
  <c r="AO3146" i="4"/>
  <c r="AN3146" i="4"/>
  <c r="AM3146" i="4"/>
  <c r="BH3146" i="4"/>
  <c r="AX3145" i="4"/>
  <c r="AW3145" i="4"/>
  <c r="AV3145" i="4"/>
  <c r="AP3145" i="4"/>
  <c r="AO3145" i="4"/>
  <c r="AN3145" i="4"/>
  <c r="AM3145" i="4"/>
  <c r="BH3145" i="4"/>
  <c r="AX3144" i="4"/>
  <c r="AW3144" i="4"/>
  <c r="AV3144" i="4"/>
  <c r="AP3144" i="4"/>
  <c r="AO3144" i="4"/>
  <c r="AN3144" i="4"/>
  <c r="AM3144" i="4"/>
  <c r="BH3144" i="4"/>
  <c r="AX3143" i="4"/>
  <c r="AW3143" i="4"/>
  <c r="AV3143" i="4"/>
  <c r="AP3143" i="4"/>
  <c r="AO3143" i="4"/>
  <c r="AN3143" i="4"/>
  <c r="AM3143" i="4"/>
  <c r="BH3143" i="4"/>
  <c r="AX3142" i="4"/>
  <c r="AW3142" i="4"/>
  <c r="AV3142" i="4"/>
  <c r="AP3142" i="4"/>
  <c r="AO3142" i="4"/>
  <c r="AN3142" i="4"/>
  <c r="AM3142" i="4"/>
  <c r="BH3142" i="4"/>
  <c r="AX3141" i="4"/>
  <c r="AW3141" i="4"/>
  <c r="AV3141" i="4"/>
  <c r="AP3141" i="4"/>
  <c r="AO3141" i="4"/>
  <c r="AN3141" i="4"/>
  <c r="AM3141" i="4"/>
  <c r="BH3141" i="4"/>
  <c r="AX3140" i="4"/>
  <c r="AW3140" i="4"/>
  <c r="AV3140" i="4"/>
  <c r="AP3140" i="4"/>
  <c r="AO3140" i="4"/>
  <c r="AN3140" i="4"/>
  <c r="AM3140" i="4"/>
  <c r="BH3140" i="4"/>
  <c r="AX3139" i="4"/>
  <c r="AW3139" i="4"/>
  <c r="AV3139" i="4"/>
  <c r="AP3139" i="4"/>
  <c r="AO3139" i="4"/>
  <c r="AN3139" i="4"/>
  <c r="AM3139" i="4"/>
  <c r="BH3139" i="4"/>
  <c r="AX3138" i="4"/>
  <c r="AW3138" i="4"/>
  <c r="AV3138" i="4"/>
  <c r="AP3138" i="4"/>
  <c r="AO3138" i="4"/>
  <c r="AN3138" i="4"/>
  <c r="AM3138" i="4"/>
  <c r="BH3138" i="4"/>
  <c r="AX3137" i="4"/>
  <c r="AW3137" i="4"/>
  <c r="AV3137" i="4"/>
  <c r="AP3137" i="4"/>
  <c r="AO3137" i="4"/>
  <c r="AN3137" i="4"/>
  <c r="AM3137" i="4"/>
  <c r="BH3137" i="4"/>
  <c r="AX3136" i="4"/>
  <c r="AW3136" i="4"/>
  <c r="AV3136" i="4"/>
  <c r="AP3136" i="4"/>
  <c r="AO3136" i="4"/>
  <c r="AN3136" i="4"/>
  <c r="AM3136" i="4"/>
  <c r="BH3136" i="4"/>
  <c r="AX3135" i="4"/>
  <c r="AW3135" i="4"/>
  <c r="AV3135" i="4"/>
  <c r="AP3135" i="4"/>
  <c r="AO3135" i="4"/>
  <c r="AN3135" i="4"/>
  <c r="AM3135" i="4"/>
  <c r="BH3135" i="4"/>
  <c r="AX3134" i="4"/>
  <c r="AW3134" i="4"/>
  <c r="AV3134" i="4"/>
  <c r="AP3134" i="4"/>
  <c r="AO3134" i="4"/>
  <c r="AN3134" i="4"/>
  <c r="AM3134" i="4"/>
  <c r="BH3134" i="4"/>
  <c r="AX3133" i="4"/>
  <c r="AW3133" i="4"/>
  <c r="AV3133" i="4"/>
  <c r="AP3133" i="4"/>
  <c r="AO3133" i="4"/>
  <c r="AN3133" i="4"/>
  <c r="AM3133" i="4"/>
  <c r="BH3133" i="4"/>
  <c r="AX3132" i="4"/>
  <c r="AW3132" i="4"/>
  <c r="AV3132" i="4"/>
  <c r="AP3132" i="4"/>
  <c r="AO3132" i="4"/>
  <c r="AN3132" i="4"/>
  <c r="AM3132" i="4"/>
  <c r="BH3132" i="4"/>
  <c r="AX3131" i="4"/>
  <c r="AW3131" i="4"/>
  <c r="AV3131" i="4"/>
  <c r="AP3131" i="4"/>
  <c r="AO3131" i="4"/>
  <c r="AN3131" i="4"/>
  <c r="AM3131" i="4"/>
  <c r="BH3131" i="4"/>
  <c r="AX3130" i="4"/>
  <c r="AW3130" i="4"/>
  <c r="AV3130" i="4"/>
  <c r="AP3130" i="4"/>
  <c r="AO3130" i="4"/>
  <c r="AN3130" i="4"/>
  <c r="AM3130" i="4"/>
  <c r="BH3130" i="4"/>
  <c r="AX3129" i="4"/>
  <c r="AW3129" i="4"/>
  <c r="AV3129" i="4"/>
  <c r="AP3129" i="4"/>
  <c r="AO3129" i="4"/>
  <c r="AN3129" i="4"/>
  <c r="AM3129" i="4"/>
  <c r="BH3129" i="4"/>
  <c r="AX3128" i="4"/>
  <c r="AW3128" i="4"/>
  <c r="AV3128" i="4"/>
  <c r="AP3128" i="4"/>
  <c r="AO3128" i="4"/>
  <c r="AN3128" i="4"/>
  <c r="AM3128" i="4"/>
  <c r="BH3128" i="4"/>
  <c r="AX3126" i="4"/>
  <c r="AW3126" i="4"/>
  <c r="AV3126" i="4"/>
  <c r="AP3126" i="4"/>
  <c r="AO3126" i="4"/>
  <c r="AN3126" i="4"/>
  <c r="AM3126" i="4"/>
  <c r="BH3126" i="4"/>
  <c r="AX3125" i="4"/>
  <c r="AW3125" i="4"/>
  <c r="AV3125" i="4"/>
  <c r="AP3125" i="4"/>
  <c r="AO3125" i="4"/>
  <c r="AN3125" i="4"/>
  <c r="AM3125" i="4"/>
  <c r="BH3125" i="4"/>
  <c r="AX3124" i="4"/>
  <c r="AW3124" i="4"/>
  <c r="AV3124" i="4"/>
  <c r="AP3124" i="4"/>
  <c r="AO3124" i="4"/>
  <c r="AN3124" i="4"/>
  <c r="AM3124" i="4"/>
  <c r="BH3124" i="4"/>
  <c r="AX3123" i="4"/>
  <c r="AW3123" i="4"/>
  <c r="AV3123" i="4"/>
  <c r="AP3123" i="4"/>
  <c r="AO3123" i="4"/>
  <c r="AN3123" i="4"/>
  <c r="AM3123" i="4"/>
  <c r="BH3123" i="4"/>
  <c r="AX3122" i="4"/>
  <c r="AW3122" i="4"/>
  <c r="AV3122" i="4"/>
  <c r="AP3122" i="4"/>
  <c r="AO3122" i="4"/>
  <c r="AN3122" i="4"/>
  <c r="AM3122" i="4"/>
  <c r="BH3122" i="4"/>
  <c r="AX3121" i="4"/>
  <c r="AW3121" i="4"/>
  <c r="AV3121" i="4"/>
  <c r="AP3121" i="4"/>
  <c r="AO3121" i="4"/>
  <c r="AN3121" i="4"/>
  <c r="AM3121" i="4"/>
  <c r="BH3121" i="4"/>
  <c r="AX3120" i="4"/>
  <c r="AW3120" i="4"/>
  <c r="AV3120" i="4"/>
  <c r="AP3120" i="4"/>
  <c r="AO3120" i="4"/>
  <c r="AN3120" i="4"/>
  <c r="AM3120" i="4"/>
  <c r="BH3120" i="4"/>
  <c r="AX3119" i="4"/>
  <c r="AW3119" i="4"/>
  <c r="AV3119" i="4"/>
  <c r="AP3119" i="4"/>
  <c r="AO3119" i="4"/>
  <c r="AN3119" i="4"/>
  <c r="AM3119" i="4"/>
  <c r="BH3119" i="4"/>
  <c r="AX3118" i="4"/>
  <c r="AW3118" i="4"/>
  <c r="AV3118" i="4"/>
  <c r="AP3118" i="4"/>
  <c r="AO3118" i="4"/>
  <c r="AN3118" i="4"/>
  <c r="AM3118" i="4"/>
  <c r="BH3118" i="4"/>
  <c r="AX3117" i="4"/>
  <c r="AW3117" i="4"/>
  <c r="AV3117" i="4"/>
  <c r="AP3117" i="4"/>
  <c r="AO3117" i="4"/>
  <c r="AN3117" i="4"/>
  <c r="AM3117" i="4"/>
  <c r="BH3117" i="4"/>
  <c r="AX3116" i="4"/>
  <c r="AW3116" i="4"/>
  <c r="AV3116" i="4"/>
  <c r="AP3116" i="4"/>
  <c r="AO3116" i="4"/>
  <c r="AN3116" i="4"/>
  <c r="AM3116" i="4"/>
  <c r="BH3116" i="4"/>
  <c r="AX3115" i="4"/>
  <c r="AW3115" i="4"/>
  <c r="AV3115" i="4"/>
  <c r="AP3115" i="4"/>
  <c r="AO3115" i="4"/>
  <c r="AN3115" i="4"/>
  <c r="AM3115" i="4"/>
  <c r="BH3115" i="4"/>
  <c r="AX3114" i="4"/>
  <c r="AW3114" i="4"/>
  <c r="AV3114" i="4"/>
  <c r="AP3114" i="4"/>
  <c r="AO3114" i="4"/>
  <c r="AN3114" i="4"/>
  <c r="AM3114" i="4"/>
  <c r="BH3114" i="4"/>
  <c r="AX3113" i="4"/>
  <c r="AW3113" i="4"/>
  <c r="AV3113" i="4"/>
  <c r="AP3113" i="4"/>
  <c r="AO3113" i="4"/>
  <c r="AN3113" i="4"/>
  <c r="AM3113" i="4"/>
  <c r="BH3113" i="4"/>
  <c r="AX3112" i="4"/>
  <c r="AW3112" i="4"/>
  <c r="AV3112" i="4"/>
  <c r="AP3112" i="4"/>
  <c r="AO3112" i="4"/>
  <c r="AN3112" i="4"/>
  <c r="AM3112" i="4"/>
  <c r="BH3112" i="4"/>
  <c r="AX3111" i="4"/>
  <c r="AW3111" i="4"/>
  <c r="AV3111" i="4"/>
  <c r="AP3111" i="4"/>
  <c r="AO3111" i="4"/>
  <c r="AN3111" i="4"/>
  <c r="AM3111" i="4"/>
  <c r="BH3111" i="4"/>
  <c r="AX3110" i="4"/>
  <c r="AW3110" i="4"/>
  <c r="AV3110" i="4"/>
  <c r="AP3110" i="4"/>
  <c r="AO3110" i="4"/>
  <c r="AN3110" i="4"/>
  <c r="AM3110" i="4"/>
  <c r="BH3110" i="4"/>
  <c r="AX3109" i="4"/>
  <c r="AW3109" i="4"/>
  <c r="AV3109" i="4"/>
  <c r="AP3109" i="4"/>
  <c r="AO3109" i="4"/>
  <c r="AN3109" i="4"/>
  <c r="AM3109" i="4"/>
  <c r="BH3109" i="4"/>
  <c r="AX3108" i="4"/>
  <c r="AW3108" i="4"/>
  <c r="AV3108" i="4"/>
  <c r="AP3108" i="4"/>
  <c r="AO3108" i="4"/>
  <c r="AN3108" i="4"/>
  <c r="AM3108" i="4"/>
  <c r="BH3108" i="4"/>
  <c r="AX3107" i="4"/>
  <c r="AW3107" i="4"/>
  <c r="AV3107" i="4"/>
  <c r="AP3107" i="4"/>
  <c r="AO3107" i="4"/>
  <c r="AN3107" i="4"/>
  <c r="AM3107" i="4"/>
  <c r="BH3107" i="4"/>
  <c r="AX3106" i="4"/>
  <c r="AW3106" i="4"/>
  <c r="AV3106" i="4"/>
  <c r="AP3106" i="4"/>
  <c r="AO3106" i="4"/>
  <c r="AN3106" i="4"/>
  <c r="AM3106" i="4"/>
  <c r="BH3106" i="4"/>
  <c r="AX3105" i="4"/>
  <c r="AW3105" i="4"/>
  <c r="AV3105" i="4"/>
  <c r="AP3105" i="4"/>
  <c r="AO3105" i="4"/>
  <c r="AN3105" i="4"/>
  <c r="AM3105" i="4"/>
  <c r="BH3105" i="4"/>
  <c r="AX3104" i="4"/>
  <c r="AW3104" i="4"/>
  <c r="AV3104" i="4"/>
  <c r="AP3104" i="4"/>
  <c r="AO3104" i="4"/>
  <c r="AN3104" i="4"/>
  <c r="AM3104" i="4"/>
  <c r="BH3104" i="4"/>
  <c r="AX3103" i="4"/>
  <c r="AW3103" i="4"/>
  <c r="AV3103" i="4"/>
  <c r="AP3103" i="4"/>
  <c r="AO3103" i="4"/>
  <c r="AN3103" i="4"/>
  <c r="AM3103" i="4"/>
  <c r="BH3103" i="4"/>
  <c r="AX3102" i="4"/>
  <c r="AW3102" i="4"/>
  <c r="AV3102" i="4"/>
  <c r="AP3102" i="4"/>
  <c r="AO3102" i="4"/>
  <c r="AN3102" i="4"/>
  <c r="AM3102" i="4"/>
  <c r="BH3102" i="4"/>
  <c r="AX3101" i="4"/>
  <c r="AW3101" i="4"/>
  <c r="AV3101" i="4"/>
  <c r="AP3101" i="4"/>
  <c r="AO3101" i="4"/>
  <c r="AN3101" i="4"/>
  <c r="AM3101" i="4"/>
  <c r="BH3101" i="4"/>
  <c r="AX3100" i="4"/>
  <c r="AW3100" i="4"/>
  <c r="AV3100" i="4"/>
  <c r="AP3100" i="4"/>
  <c r="AO3100" i="4"/>
  <c r="AN3100" i="4"/>
  <c r="AM3100" i="4"/>
  <c r="BH3100" i="4"/>
  <c r="AX3099" i="4"/>
  <c r="AW3099" i="4"/>
  <c r="AV3099" i="4"/>
  <c r="AP3099" i="4"/>
  <c r="AO3099" i="4"/>
  <c r="AN3099" i="4"/>
  <c r="AM3099" i="4"/>
  <c r="BH3099" i="4"/>
  <c r="AX3098" i="4"/>
  <c r="AW3098" i="4"/>
  <c r="AV3098" i="4"/>
  <c r="AP3098" i="4"/>
  <c r="AO3098" i="4"/>
  <c r="AN3098" i="4"/>
  <c r="AM3098" i="4"/>
  <c r="BH3098" i="4"/>
  <c r="AX3097" i="4"/>
  <c r="AW3097" i="4"/>
  <c r="AV3097" i="4"/>
  <c r="AP3097" i="4"/>
  <c r="AO3097" i="4"/>
  <c r="AN3097" i="4"/>
  <c r="AM3097" i="4"/>
  <c r="BH3097" i="4"/>
  <c r="AX3096" i="4"/>
  <c r="AW3096" i="4"/>
  <c r="AV3096" i="4"/>
  <c r="AP3096" i="4"/>
  <c r="AO3096" i="4"/>
  <c r="AN3096" i="4"/>
  <c r="AM3096" i="4"/>
  <c r="BH3096" i="4"/>
  <c r="AX3095" i="4"/>
  <c r="AW3095" i="4"/>
  <c r="AV3095" i="4"/>
  <c r="AP3095" i="4"/>
  <c r="AO3095" i="4"/>
  <c r="AN3095" i="4"/>
  <c r="AM3095" i="4"/>
  <c r="BH3095" i="4"/>
  <c r="AX3094" i="4"/>
  <c r="AW3094" i="4"/>
  <c r="AV3094" i="4"/>
  <c r="AP3094" i="4"/>
  <c r="AO3094" i="4"/>
  <c r="AN3094" i="4"/>
  <c r="AM3094" i="4"/>
  <c r="BH3094" i="4"/>
  <c r="AX3093" i="4"/>
  <c r="AW3093" i="4"/>
  <c r="AV3093" i="4"/>
  <c r="AP3093" i="4"/>
  <c r="AO3093" i="4"/>
  <c r="AN3093" i="4"/>
  <c r="AM3093" i="4"/>
  <c r="BH3093" i="4"/>
  <c r="AX3092" i="4"/>
  <c r="AW3092" i="4"/>
  <c r="AV3092" i="4"/>
  <c r="AP3092" i="4"/>
  <c r="AO3092" i="4"/>
  <c r="AN3092" i="4"/>
  <c r="AM3092" i="4"/>
  <c r="BH3092" i="4"/>
  <c r="AX3091" i="4"/>
  <c r="AW3091" i="4"/>
  <c r="AV3091" i="4"/>
  <c r="AP3091" i="4"/>
  <c r="AO3091" i="4"/>
  <c r="AN3091" i="4"/>
  <c r="AM3091" i="4"/>
  <c r="BH3091" i="4"/>
  <c r="AX3090" i="4"/>
  <c r="AW3090" i="4"/>
  <c r="AV3090" i="4"/>
  <c r="AP3090" i="4"/>
  <c r="AO3090" i="4"/>
  <c r="AN3090" i="4"/>
  <c r="AM3090" i="4"/>
  <c r="BH3090" i="4"/>
  <c r="AX3089" i="4"/>
  <c r="AW3089" i="4"/>
  <c r="AV3089" i="4"/>
  <c r="AP3089" i="4"/>
  <c r="AO3089" i="4"/>
  <c r="AN3089" i="4"/>
  <c r="AM3089" i="4"/>
  <c r="BH3089" i="4"/>
  <c r="AX3088" i="4"/>
  <c r="AW3088" i="4"/>
  <c r="AV3088" i="4"/>
  <c r="AP3088" i="4"/>
  <c r="AO3088" i="4"/>
  <c r="AN3088" i="4"/>
  <c r="AM3088" i="4"/>
  <c r="BH3088" i="4"/>
  <c r="AX3087" i="4"/>
  <c r="AW3087" i="4"/>
  <c r="AV3087" i="4"/>
  <c r="AP3087" i="4"/>
  <c r="AO3087" i="4"/>
  <c r="AN3087" i="4"/>
  <c r="AM3087" i="4"/>
  <c r="BH3087" i="4"/>
  <c r="AX3086" i="4"/>
  <c r="AW3086" i="4"/>
  <c r="AV3086" i="4"/>
  <c r="AP3086" i="4"/>
  <c r="AO3086" i="4"/>
  <c r="AN3086" i="4"/>
  <c r="AM3086" i="4"/>
  <c r="BH3086" i="4"/>
  <c r="AX3085" i="4"/>
  <c r="AW3085" i="4"/>
  <c r="AV3085" i="4"/>
  <c r="AP3085" i="4"/>
  <c r="AO3085" i="4"/>
  <c r="AN3085" i="4"/>
  <c r="AM3085" i="4"/>
  <c r="BH3085" i="4"/>
  <c r="AX3084" i="4"/>
  <c r="AW3084" i="4"/>
  <c r="AV3084" i="4"/>
  <c r="AP3084" i="4"/>
  <c r="AO3084" i="4"/>
  <c r="AN3084" i="4"/>
  <c r="AM3084" i="4"/>
  <c r="BH3084" i="4"/>
  <c r="AX3083" i="4"/>
  <c r="AW3083" i="4"/>
  <c r="AV3083" i="4"/>
  <c r="AP3083" i="4"/>
  <c r="AO3083" i="4"/>
  <c r="AN3083" i="4"/>
  <c r="AM3083" i="4"/>
  <c r="BH3083" i="4"/>
  <c r="AX3082" i="4"/>
  <c r="AW3082" i="4"/>
  <c r="AV3082" i="4"/>
  <c r="AP3082" i="4"/>
  <c r="AO3082" i="4"/>
  <c r="AN3082" i="4"/>
  <c r="AM3082" i="4"/>
  <c r="BH3082" i="4"/>
  <c r="AX3081" i="4"/>
  <c r="AW3081" i="4"/>
  <c r="AV3081" i="4"/>
  <c r="AP3081" i="4"/>
  <c r="AO3081" i="4"/>
  <c r="AN3081" i="4"/>
  <c r="AM3081" i="4"/>
  <c r="BH3081" i="4"/>
  <c r="AX3080" i="4"/>
  <c r="AW3080" i="4"/>
  <c r="AV3080" i="4"/>
  <c r="AP3080" i="4"/>
  <c r="AO3080" i="4"/>
  <c r="AN3080" i="4"/>
  <c r="AM3080" i="4"/>
  <c r="BH3080" i="4"/>
  <c r="AX3079" i="4"/>
  <c r="AW3079" i="4"/>
  <c r="AV3079" i="4"/>
  <c r="AP3079" i="4"/>
  <c r="AO3079" i="4"/>
  <c r="AN3079" i="4"/>
  <c r="AM3079" i="4"/>
  <c r="BH3079" i="4"/>
  <c r="AX3078" i="4"/>
  <c r="AW3078" i="4"/>
  <c r="AV3078" i="4"/>
  <c r="AP3078" i="4"/>
  <c r="AO3078" i="4"/>
  <c r="AN3078" i="4"/>
  <c r="AM3078" i="4"/>
  <c r="BH3078" i="4"/>
  <c r="AX3077" i="4"/>
  <c r="AW3077" i="4"/>
  <c r="AV3077" i="4"/>
  <c r="AP3077" i="4"/>
  <c r="AO3077" i="4"/>
  <c r="AN3077" i="4"/>
  <c r="AM3077" i="4"/>
  <c r="BH3077" i="4"/>
  <c r="AX3076" i="4"/>
  <c r="AW3076" i="4"/>
  <c r="AV3076" i="4"/>
  <c r="AP3076" i="4"/>
  <c r="AO3076" i="4"/>
  <c r="AN3076" i="4"/>
  <c r="AM3076" i="4"/>
  <c r="BH3076" i="4"/>
  <c r="AX3075" i="4"/>
  <c r="AW3075" i="4"/>
  <c r="AV3075" i="4"/>
  <c r="AP3075" i="4"/>
  <c r="AO3075" i="4"/>
  <c r="AN3075" i="4"/>
  <c r="AM3075" i="4"/>
  <c r="BH3075" i="4"/>
  <c r="AX3074" i="4"/>
  <c r="AW3074" i="4"/>
  <c r="AV3074" i="4"/>
  <c r="AP3074" i="4"/>
  <c r="AO3074" i="4"/>
  <c r="AN3074" i="4"/>
  <c r="AM3074" i="4"/>
  <c r="BH3074" i="4"/>
  <c r="AX3073" i="4"/>
  <c r="AW3073" i="4"/>
  <c r="AV3073" i="4"/>
  <c r="AP3073" i="4"/>
  <c r="AO3073" i="4"/>
  <c r="AN3073" i="4"/>
  <c r="AM3073" i="4"/>
  <c r="BH3073" i="4"/>
  <c r="AX3072" i="4"/>
  <c r="AW3072" i="4"/>
  <c r="AV3072" i="4"/>
  <c r="AP3072" i="4"/>
  <c r="AO3072" i="4"/>
  <c r="AN3072" i="4"/>
  <c r="AM3072" i="4"/>
  <c r="BH3072" i="4"/>
  <c r="AX3071" i="4"/>
  <c r="AW3071" i="4"/>
  <c r="AV3071" i="4"/>
  <c r="AP3071" i="4"/>
  <c r="AO3071" i="4"/>
  <c r="AN3071" i="4"/>
  <c r="AM3071" i="4"/>
  <c r="BH3071" i="4"/>
  <c r="AX3070" i="4"/>
  <c r="AW3070" i="4"/>
  <c r="AV3070" i="4"/>
  <c r="AP3070" i="4"/>
  <c r="AO3070" i="4"/>
  <c r="AN3070" i="4"/>
  <c r="AM3070" i="4"/>
  <c r="BH3070" i="4"/>
  <c r="AX3069" i="4"/>
  <c r="AW3069" i="4"/>
  <c r="AV3069" i="4"/>
  <c r="AP3069" i="4"/>
  <c r="AO3069" i="4"/>
  <c r="AN3069" i="4"/>
  <c r="AM3069" i="4"/>
  <c r="BH3069" i="4"/>
  <c r="AX3068" i="4"/>
  <c r="AW3068" i="4"/>
  <c r="AV3068" i="4"/>
  <c r="AP3068" i="4"/>
  <c r="AO3068" i="4"/>
  <c r="AN3068" i="4"/>
  <c r="AM3068" i="4"/>
  <c r="BH3068" i="4"/>
  <c r="AX3067" i="4"/>
  <c r="AW3067" i="4"/>
  <c r="AV3067" i="4"/>
  <c r="AP3067" i="4"/>
  <c r="AO3067" i="4"/>
  <c r="AN3067" i="4"/>
  <c r="AM3067" i="4"/>
  <c r="BH3067" i="4"/>
  <c r="AX3066" i="4"/>
  <c r="AW3066" i="4"/>
  <c r="AV3066" i="4"/>
  <c r="AP3066" i="4"/>
  <c r="AO3066" i="4"/>
  <c r="AN3066" i="4"/>
  <c r="AM3066" i="4"/>
  <c r="BH3066" i="4"/>
  <c r="AX3065" i="4"/>
  <c r="AW3065" i="4"/>
  <c r="AV3065" i="4"/>
  <c r="AP3065" i="4"/>
  <c r="AO3065" i="4"/>
  <c r="AN3065" i="4"/>
  <c r="AM3065" i="4"/>
  <c r="BH3065" i="4"/>
  <c r="AX3064" i="4"/>
  <c r="AW3064" i="4"/>
  <c r="AV3064" i="4"/>
  <c r="AP3064" i="4"/>
  <c r="AO3064" i="4"/>
  <c r="AN3064" i="4"/>
  <c r="AM3064" i="4"/>
  <c r="BH3064" i="4"/>
  <c r="AX3063" i="4"/>
  <c r="AW3063" i="4"/>
  <c r="AV3063" i="4"/>
  <c r="AP3063" i="4"/>
  <c r="AO3063" i="4"/>
  <c r="AN3063" i="4"/>
  <c r="AM3063" i="4"/>
  <c r="BH3063" i="4"/>
  <c r="AX3062" i="4"/>
  <c r="AW3062" i="4"/>
  <c r="AV3062" i="4"/>
  <c r="AP3062" i="4"/>
  <c r="AO3062" i="4"/>
  <c r="AN3062" i="4"/>
  <c r="AM3062" i="4"/>
  <c r="BH3062" i="4"/>
  <c r="AX3061" i="4"/>
  <c r="AW3061" i="4"/>
  <c r="AV3061" i="4"/>
  <c r="AP3061" i="4"/>
  <c r="AO3061" i="4"/>
  <c r="AN3061" i="4"/>
  <c r="AM3061" i="4"/>
  <c r="BH3061" i="4"/>
  <c r="AX3060" i="4"/>
  <c r="AW3060" i="4"/>
  <c r="AV3060" i="4"/>
  <c r="AP3060" i="4"/>
  <c r="AO3060" i="4"/>
  <c r="AN3060" i="4"/>
  <c r="AM3060" i="4"/>
  <c r="BH3060" i="4"/>
  <c r="AX3059" i="4"/>
  <c r="AW3059" i="4"/>
  <c r="AV3059" i="4"/>
  <c r="AP3059" i="4"/>
  <c r="AO3059" i="4"/>
  <c r="AN3059" i="4"/>
  <c r="AM3059" i="4"/>
  <c r="BH3059" i="4"/>
  <c r="AX3058" i="4"/>
  <c r="AW3058" i="4"/>
  <c r="AV3058" i="4"/>
  <c r="AP3058" i="4"/>
  <c r="AO3058" i="4"/>
  <c r="AN3058" i="4"/>
  <c r="AM3058" i="4"/>
  <c r="BH3058" i="4"/>
  <c r="AX3057" i="4"/>
  <c r="AW3057" i="4"/>
  <c r="AV3057" i="4"/>
  <c r="AP3057" i="4"/>
  <c r="AO3057" i="4"/>
  <c r="AN3057" i="4"/>
  <c r="AM3057" i="4"/>
  <c r="BH3057" i="4"/>
  <c r="AX3056" i="4"/>
  <c r="AW3056" i="4"/>
  <c r="AV3056" i="4"/>
  <c r="AP3056" i="4"/>
  <c r="AO3056" i="4"/>
  <c r="AN3056" i="4"/>
  <c r="AM3056" i="4"/>
  <c r="BH3056" i="4"/>
  <c r="AX3055" i="4"/>
  <c r="AW3055" i="4"/>
  <c r="AV3055" i="4"/>
  <c r="AP3055" i="4"/>
  <c r="AO3055" i="4"/>
  <c r="AN3055" i="4"/>
  <c r="AM3055" i="4"/>
  <c r="BH3055" i="4"/>
  <c r="AX3054" i="4"/>
  <c r="AW3054" i="4"/>
  <c r="AV3054" i="4"/>
  <c r="AP3054" i="4"/>
  <c r="AO3054" i="4"/>
  <c r="AN3054" i="4"/>
  <c r="AM3054" i="4"/>
  <c r="BH3054" i="4"/>
  <c r="AX3053" i="4"/>
  <c r="AW3053" i="4"/>
  <c r="AV3053" i="4"/>
  <c r="AP3053" i="4"/>
  <c r="AO3053" i="4"/>
  <c r="AN3053" i="4"/>
  <c r="AM3053" i="4"/>
  <c r="BH3053" i="4"/>
  <c r="AX3052" i="4"/>
  <c r="AW3052" i="4"/>
  <c r="AV3052" i="4"/>
  <c r="AP3052" i="4"/>
  <c r="AO3052" i="4"/>
  <c r="AN3052" i="4"/>
  <c r="AM3052" i="4"/>
  <c r="BH3052" i="4"/>
  <c r="AX3051" i="4"/>
  <c r="AW3051" i="4"/>
  <c r="AV3051" i="4"/>
  <c r="AP3051" i="4"/>
  <c r="AO3051" i="4"/>
  <c r="AN3051" i="4"/>
  <c r="AM3051" i="4"/>
  <c r="BH3051" i="4"/>
  <c r="AX3050" i="4"/>
  <c r="AW3050" i="4"/>
  <c r="AV3050" i="4"/>
  <c r="AP3050" i="4"/>
  <c r="AO3050" i="4"/>
  <c r="AN3050" i="4"/>
  <c r="AM3050" i="4"/>
  <c r="BH3050" i="4"/>
  <c r="AX3049" i="4"/>
  <c r="AW3049" i="4"/>
  <c r="AV3049" i="4"/>
  <c r="AP3049" i="4"/>
  <c r="AO3049" i="4"/>
  <c r="AN3049" i="4"/>
  <c r="AM3049" i="4"/>
  <c r="BH3049" i="4"/>
  <c r="AX3048" i="4"/>
  <c r="AW3048" i="4"/>
  <c r="AV3048" i="4"/>
  <c r="AP3048" i="4"/>
  <c r="AO3048" i="4"/>
  <c r="AN3048" i="4"/>
  <c r="AM3048" i="4"/>
  <c r="BH3048" i="4"/>
  <c r="AX3047" i="4"/>
  <c r="AW3047" i="4"/>
  <c r="AV3047" i="4"/>
  <c r="AP3047" i="4"/>
  <c r="AO3047" i="4"/>
  <c r="AN3047" i="4"/>
  <c r="AM3047" i="4"/>
  <c r="BH3047" i="4"/>
  <c r="AX3046" i="4"/>
  <c r="AW3046" i="4"/>
  <c r="AV3046" i="4"/>
  <c r="AP3046" i="4"/>
  <c r="AO3046" i="4"/>
  <c r="AN3046" i="4"/>
  <c r="AM3046" i="4"/>
  <c r="BH3046" i="4"/>
  <c r="AX3045" i="4"/>
  <c r="AW3045" i="4"/>
  <c r="AV3045" i="4"/>
  <c r="AP3045" i="4"/>
  <c r="AO3045" i="4"/>
  <c r="AN3045" i="4"/>
  <c r="AM3045" i="4"/>
  <c r="BH3045" i="4"/>
  <c r="AX3044" i="4"/>
  <c r="AW3044" i="4"/>
  <c r="AV3044" i="4"/>
  <c r="AP3044" i="4"/>
  <c r="AO3044" i="4"/>
  <c r="AN3044" i="4"/>
  <c r="AM3044" i="4"/>
  <c r="BH3044" i="4"/>
  <c r="AX3043" i="4"/>
  <c r="AW3043" i="4"/>
  <c r="AV3043" i="4"/>
  <c r="AP3043" i="4"/>
  <c r="AO3043" i="4"/>
  <c r="AN3043" i="4"/>
  <c r="AM3043" i="4"/>
  <c r="BH3043" i="4"/>
  <c r="AX3042" i="4"/>
  <c r="AW3042" i="4"/>
  <c r="AV3042" i="4"/>
  <c r="AP3042" i="4"/>
  <c r="AO3042" i="4"/>
  <c r="AN3042" i="4"/>
  <c r="AM3042" i="4"/>
  <c r="BH3042" i="4"/>
  <c r="AX3041" i="4"/>
  <c r="AW3041" i="4"/>
  <c r="AV3041" i="4"/>
  <c r="AP3041" i="4"/>
  <c r="AO3041" i="4"/>
  <c r="AN3041" i="4"/>
  <c r="AM3041" i="4"/>
  <c r="BH3041" i="4"/>
  <c r="AX3040" i="4"/>
  <c r="AW3040" i="4"/>
  <c r="AV3040" i="4"/>
  <c r="AP3040" i="4"/>
  <c r="AO3040" i="4"/>
  <c r="AN3040" i="4"/>
  <c r="AM3040" i="4"/>
  <c r="BH3040" i="4"/>
  <c r="AX3039" i="4"/>
  <c r="AW3039" i="4"/>
  <c r="AV3039" i="4"/>
  <c r="AP3039" i="4"/>
  <c r="AO3039" i="4"/>
  <c r="AN3039" i="4"/>
  <c r="AM3039" i="4"/>
  <c r="BH3039" i="4"/>
  <c r="AX3038" i="4"/>
  <c r="AW3038" i="4"/>
  <c r="AV3038" i="4"/>
  <c r="AP3038" i="4"/>
  <c r="AO3038" i="4"/>
  <c r="AN3038" i="4"/>
  <c r="AM3038" i="4"/>
  <c r="BH3038" i="4"/>
  <c r="AX3037" i="4"/>
  <c r="AW3037" i="4"/>
  <c r="AV3037" i="4"/>
  <c r="AP3037" i="4"/>
  <c r="AO3037" i="4"/>
  <c r="AN3037" i="4"/>
  <c r="AM3037" i="4"/>
  <c r="BH3037" i="4"/>
  <c r="AX3036" i="4"/>
  <c r="AW3036" i="4"/>
  <c r="AV3036" i="4"/>
  <c r="AP3036" i="4"/>
  <c r="AO3036" i="4"/>
  <c r="AN3036" i="4"/>
  <c r="AM3036" i="4"/>
  <c r="BH3036" i="4"/>
  <c r="AX3035" i="4"/>
  <c r="AW3035" i="4"/>
  <c r="AV3035" i="4"/>
  <c r="AP3035" i="4"/>
  <c r="AO3035" i="4"/>
  <c r="AN3035" i="4"/>
  <c r="AM3035" i="4"/>
  <c r="BH3035" i="4"/>
  <c r="AX3034" i="4"/>
  <c r="AW3034" i="4"/>
  <c r="AV3034" i="4"/>
  <c r="AP3034" i="4"/>
  <c r="AO3034" i="4"/>
  <c r="AN3034" i="4"/>
  <c r="AM3034" i="4"/>
  <c r="BH3034" i="4"/>
  <c r="AX3033" i="4"/>
  <c r="AW3033" i="4"/>
  <c r="AV3033" i="4"/>
  <c r="AP3033" i="4"/>
  <c r="AO3033" i="4"/>
  <c r="AN3033" i="4"/>
  <c r="AM3033" i="4"/>
  <c r="BH3033" i="4"/>
  <c r="AX3032" i="4"/>
  <c r="AW3032" i="4"/>
  <c r="AV3032" i="4"/>
  <c r="AP3032" i="4"/>
  <c r="AO3032" i="4"/>
  <c r="AN3032" i="4"/>
  <c r="AM3032" i="4"/>
  <c r="BH3032" i="4"/>
  <c r="AX3031" i="4"/>
  <c r="AW3031" i="4"/>
  <c r="AV3031" i="4"/>
  <c r="AP3031" i="4"/>
  <c r="AO3031" i="4"/>
  <c r="AN3031" i="4"/>
  <c r="AM3031" i="4"/>
  <c r="BH3031" i="4"/>
  <c r="AX3030" i="4"/>
  <c r="AW3030" i="4"/>
  <c r="AV3030" i="4"/>
  <c r="AP3030" i="4"/>
  <c r="AO3030" i="4"/>
  <c r="AN3030" i="4"/>
  <c r="AM3030" i="4"/>
  <c r="BH3030" i="4"/>
  <c r="AX3029" i="4"/>
  <c r="AW3029" i="4"/>
  <c r="AV3029" i="4"/>
  <c r="AP3029" i="4"/>
  <c r="AO3029" i="4"/>
  <c r="AN3029" i="4"/>
  <c r="AM3029" i="4"/>
  <c r="BH3029" i="4"/>
  <c r="AX3028" i="4"/>
  <c r="AW3028" i="4"/>
  <c r="AV3028" i="4"/>
  <c r="AP3028" i="4"/>
  <c r="AO3028" i="4"/>
  <c r="AN3028" i="4"/>
  <c r="AM3028" i="4"/>
  <c r="BH3028" i="4"/>
  <c r="AX3027" i="4"/>
  <c r="AW3027" i="4"/>
  <c r="AV3027" i="4"/>
  <c r="AP3027" i="4"/>
  <c r="AO3027" i="4"/>
  <c r="AN3027" i="4"/>
  <c r="AM3027" i="4"/>
  <c r="BH3027" i="4"/>
  <c r="AX3026" i="4"/>
  <c r="AW3026" i="4"/>
  <c r="AV3026" i="4"/>
  <c r="AP3026" i="4"/>
  <c r="AO3026" i="4"/>
  <c r="AN3026" i="4"/>
  <c r="AM3026" i="4"/>
  <c r="BH3026" i="4"/>
  <c r="AX3025" i="4"/>
  <c r="AW3025" i="4"/>
  <c r="AV3025" i="4"/>
  <c r="AP3025" i="4"/>
  <c r="AO3025" i="4"/>
  <c r="AN3025" i="4"/>
  <c r="AM3025" i="4"/>
  <c r="BH3025" i="4"/>
  <c r="AX3024" i="4"/>
  <c r="AW3024" i="4"/>
  <c r="AV3024" i="4"/>
  <c r="AP3024" i="4"/>
  <c r="AO3024" i="4"/>
  <c r="AN3024" i="4"/>
  <c r="AM3024" i="4"/>
  <c r="BH3024" i="4"/>
  <c r="AX3023" i="4"/>
  <c r="AW3023" i="4"/>
  <c r="AV3023" i="4"/>
  <c r="AP3023" i="4"/>
  <c r="AO3023" i="4"/>
  <c r="AN3023" i="4"/>
  <c r="AM3023" i="4"/>
  <c r="BH3023" i="4"/>
  <c r="AX3022" i="4"/>
  <c r="AW3022" i="4"/>
  <c r="AV3022" i="4"/>
  <c r="AP3022" i="4"/>
  <c r="AO3022" i="4"/>
  <c r="AN3022" i="4"/>
  <c r="AM3022" i="4"/>
  <c r="BH3022" i="4"/>
  <c r="AX3021" i="4"/>
  <c r="AW3021" i="4"/>
  <c r="AV3021" i="4"/>
  <c r="AP3021" i="4"/>
  <c r="AO3021" i="4"/>
  <c r="AN3021" i="4"/>
  <c r="AM3021" i="4"/>
  <c r="BH3021" i="4"/>
  <c r="AX3020" i="4"/>
  <c r="AW3020" i="4"/>
  <c r="AV3020" i="4"/>
  <c r="AP3020" i="4"/>
  <c r="AO3020" i="4"/>
  <c r="AN3020" i="4"/>
  <c r="AM3020" i="4"/>
  <c r="BH3020" i="4"/>
  <c r="AX3019" i="4"/>
  <c r="AW3019" i="4"/>
  <c r="AV3019" i="4"/>
  <c r="AP3019" i="4"/>
  <c r="AO3019" i="4"/>
  <c r="AN3019" i="4"/>
  <c r="AM3019" i="4"/>
  <c r="BH3019" i="4"/>
  <c r="AX3018" i="4"/>
  <c r="AW3018" i="4"/>
  <c r="AV3018" i="4"/>
  <c r="AP3018" i="4"/>
  <c r="AO3018" i="4"/>
  <c r="AN3018" i="4"/>
  <c r="AM3018" i="4"/>
  <c r="BH3018" i="4"/>
  <c r="AX3017" i="4"/>
  <c r="AW3017" i="4"/>
  <c r="AV3017" i="4"/>
  <c r="AP3017" i="4"/>
  <c r="AO3017" i="4"/>
  <c r="AN3017" i="4"/>
  <c r="AM3017" i="4"/>
  <c r="BH3017" i="4"/>
  <c r="AX3016" i="4"/>
  <c r="AW3016" i="4"/>
  <c r="AV3016" i="4"/>
  <c r="AP3016" i="4"/>
  <c r="AO3016" i="4"/>
  <c r="AN3016" i="4"/>
  <c r="AM3016" i="4"/>
  <c r="BH3016" i="4"/>
  <c r="AX3015" i="4"/>
  <c r="AW3015" i="4"/>
  <c r="AV3015" i="4"/>
  <c r="AP3015" i="4"/>
  <c r="AO3015" i="4"/>
  <c r="AN3015" i="4"/>
  <c r="AM3015" i="4"/>
  <c r="BH3015" i="4"/>
  <c r="AX3014" i="4"/>
  <c r="AW3014" i="4"/>
  <c r="AV3014" i="4"/>
  <c r="AP3014" i="4"/>
  <c r="AO3014" i="4"/>
  <c r="AN3014" i="4"/>
  <c r="AM3014" i="4"/>
  <c r="BH3014" i="4"/>
  <c r="AX3013" i="4"/>
  <c r="AW3013" i="4"/>
  <c r="AV3013" i="4"/>
  <c r="AP3013" i="4"/>
  <c r="AO3013" i="4"/>
  <c r="AN3013" i="4"/>
  <c r="AM3013" i="4"/>
  <c r="BH3013" i="4"/>
  <c r="AX3012" i="4"/>
  <c r="AW3012" i="4"/>
  <c r="AV3012" i="4"/>
  <c r="AP3012" i="4"/>
  <c r="AO3012" i="4"/>
  <c r="AN3012" i="4"/>
  <c r="AM3012" i="4"/>
  <c r="BH3012" i="4"/>
  <c r="AX3011" i="4"/>
  <c r="AW3011" i="4"/>
  <c r="AV3011" i="4"/>
  <c r="AP3011" i="4"/>
  <c r="AO3011" i="4"/>
  <c r="AN3011" i="4"/>
  <c r="AM3011" i="4"/>
  <c r="BH3011" i="4"/>
  <c r="AX3010" i="4"/>
  <c r="AW3010" i="4"/>
  <c r="AV3010" i="4"/>
  <c r="AP3010" i="4"/>
  <c r="AO3010" i="4"/>
  <c r="AN3010" i="4"/>
  <c r="AM3010" i="4"/>
  <c r="BH3010" i="4"/>
  <c r="AX3009" i="4"/>
  <c r="AW3009" i="4"/>
  <c r="AV3009" i="4"/>
  <c r="AP3009" i="4"/>
  <c r="AO3009" i="4"/>
  <c r="AN3009" i="4"/>
  <c r="AM3009" i="4"/>
  <c r="BH3009" i="4"/>
  <c r="AX3008" i="4"/>
  <c r="AW3008" i="4"/>
  <c r="AV3008" i="4"/>
  <c r="AP3008" i="4"/>
  <c r="AO3008" i="4"/>
  <c r="AN3008" i="4"/>
  <c r="AM3008" i="4"/>
  <c r="BH3008" i="4"/>
  <c r="AX3007" i="4"/>
  <c r="AW3007" i="4"/>
  <c r="AV3007" i="4"/>
  <c r="AP3007" i="4"/>
  <c r="AO3007" i="4"/>
  <c r="AN3007" i="4"/>
  <c r="AM3007" i="4"/>
  <c r="BH3007" i="4"/>
  <c r="AX3006" i="4"/>
  <c r="AW3006" i="4"/>
  <c r="AV3006" i="4"/>
  <c r="AP3006" i="4"/>
  <c r="AO3006" i="4"/>
  <c r="AN3006" i="4"/>
  <c r="AM3006" i="4"/>
  <c r="BH3006" i="4"/>
  <c r="AX3005" i="4"/>
  <c r="AW3005" i="4"/>
  <c r="AV3005" i="4"/>
  <c r="AP3005" i="4"/>
  <c r="AO3005" i="4"/>
  <c r="AN3005" i="4"/>
  <c r="AM3005" i="4"/>
  <c r="BH3005" i="4"/>
  <c r="AX3004" i="4"/>
  <c r="AW3004" i="4"/>
  <c r="AV3004" i="4"/>
  <c r="AP3004" i="4"/>
  <c r="AO3004" i="4"/>
  <c r="AN3004" i="4"/>
  <c r="AM3004" i="4"/>
  <c r="BH3004" i="4"/>
  <c r="AX3003" i="4"/>
  <c r="AW3003" i="4"/>
  <c r="AV3003" i="4"/>
  <c r="AP3003" i="4"/>
  <c r="AO3003" i="4"/>
  <c r="AN3003" i="4"/>
  <c r="AM3003" i="4"/>
  <c r="BH3003" i="4"/>
  <c r="AX3002" i="4"/>
  <c r="AW3002" i="4"/>
  <c r="AV3002" i="4"/>
  <c r="AP3002" i="4"/>
  <c r="AO3002" i="4"/>
  <c r="AN3002" i="4"/>
  <c r="AM3002" i="4"/>
  <c r="BH3002" i="4"/>
  <c r="AX3001" i="4"/>
  <c r="AW3001" i="4"/>
  <c r="AV3001" i="4"/>
  <c r="AP3001" i="4"/>
  <c r="AO3001" i="4"/>
  <c r="AN3001" i="4"/>
  <c r="AM3001" i="4"/>
  <c r="BH3001" i="4"/>
  <c r="AX3000" i="4"/>
  <c r="AW3000" i="4"/>
  <c r="AV3000" i="4"/>
  <c r="AP3000" i="4"/>
  <c r="AO3000" i="4"/>
  <c r="AN3000" i="4"/>
  <c r="AM3000" i="4"/>
  <c r="BH3000" i="4"/>
  <c r="AX2999" i="4"/>
  <c r="AW2999" i="4"/>
  <c r="AV2999" i="4"/>
  <c r="AP2999" i="4"/>
  <c r="AO2999" i="4"/>
  <c r="AN2999" i="4"/>
  <c r="AM2999" i="4"/>
  <c r="BH2999" i="4"/>
  <c r="AX2998" i="4"/>
  <c r="AW2998" i="4"/>
  <c r="AV2998" i="4"/>
  <c r="AP2998" i="4"/>
  <c r="AO2998" i="4"/>
  <c r="AN2998" i="4"/>
  <c r="AM2998" i="4"/>
  <c r="BH2998" i="4"/>
  <c r="AX2997" i="4"/>
  <c r="AW2997" i="4"/>
  <c r="AV2997" i="4"/>
  <c r="AP2997" i="4"/>
  <c r="AO2997" i="4"/>
  <c r="AN2997" i="4"/>
  <c r="AM2997" i="4"/>
  <c r="BH2997" i="4"/>
  <c r="AX2996" i="4"/>
  <c r="AW2996" i="4"/>
  <c r="AV2996" i="4"/>
  <c r="AP2996" i="4"/>
  <c r="AO2996" i="4"/>
  <c r="AN2996" i="4"/>
  <c r="AM2996" i="4"/>
  <c r="BH2996" i="4"/>
  <c r="AX2995" i="4"/>
  <c r="AW2995" i="4"/>
  <c r="AV2995" i="4"/>
  <c r="AP2995" i="4"/>
  <c r="AO2995" i="4"/>
  <c r="AN2995" i="4"/>
  <c r="AM2995" i="4"/>
  <c r="BH2995" i="4"/>
  <c r="AX2994" i="4"/>
  <c r="AW2994" i="4"/>
  <c r="AV2994" i="4"/>
  <c r="AP2994" i="4"/>
  <c r="AO2994" i="4"/>
  <c r="AN2994" i="4"/>
  <c r="AM2994" i="4"/>
  <c r="BH2994" i="4"/>
  <c r="AX2993" i="4"/>
  <c r="AW2993" i="4"/>
  <c r="AV2993" i="4"/>
  <c r="AP2993" i="4"/>
  <c r="AO2993" i="4"/>
  <c r="AN2993" i="4"/>
  <c r="AM2993" i="4"/>
  <c r="BH2993" i="4"/>
  <c r="AX2992" i="4"/>
  <c r="AW2992" i="4"/>
  <c r="AV2992" i="4"/>
  <c r="AP2992" i="4"/>
  <c r="AO2992" i="4"/>
  <c r="AN2992" i="4"/>
  <c r="AM2992" i="4"/>
  <c r="BH2992" i="4"/>
  <c r="AX2991" i="4"/>
  <c r="AW2991" i="4"/>
  <c r="AV2991" i="4"/>
  <c r="AP2991" i="4"/>
  <c r="AO2991" i="4"/>
  <c r="AN2991" i="4"/>
  <c r="AM2991" i="4"/>
  <c r="BH2991" i="4"/>
  <c r="AX2990" i="4"/>
  <c r="AW2990" i="4"/>
  <c r="AV2990" i="4"/>
  <c r="AP2990" i="4"/>
  <c r="AO2990" i="4"/>
  <c r="AN2990" i="4"/>
  <c r="AM2990" i="4"/>
  <c r="BH2990" i="4"/>
  <c r="AX2989" i="4"/>
  <c r="AW2989" i="4"/>
  <c r="AV2989" i="4"/>
  <c r="AP2989" i="4"/>
  <c r="AO2989" i="4"/>
  <c r="AN2989" i="4"/>
  <c r="AM2989" i="4"/>
  <c r="BH2989" i="4"/>
  <c r="AX2988" i="4"/>
  <c r="AW2988" i="4"/>
  <c r="AV2988" i="4"/>
  <c r="AP2988" i="4"/>
  <c r="AO2988" i="4"/>
  <c r="AN2988" i="4"/>
  <c r="AM2988" i="4"/>
  <c r="BH2988" i="4"/>
  <c r="AX2987" i="4"/>
  <c r="AW2987" i="4"/>
  <c r="AV2987" i="4"/>
  <c r="AP2987" i="4"/>
  <c r="AO2987" i="4"/>
  <c r="AN2987" i="4"/>
  <c r="AM2987" i="4"/>
  <c r="BH2987" i="4"/>
  <c r="AX2986" i="4"/>
  <c r="AW2986" i="4"/>
  <c r="AV2986" i="4"/>
  <c r="AP2986" i="4"/>
  <c r="AO2986" i="4"/>
  <c r="AN2986" i="4"/>
  <c r="AM2986" i="4"/>
  <c r="BH2986" i="4"/>
  <c r="AX2985" i="4"/>
  <c r="AW2985" i="4"/>
  <c r="AV2985" i="4"/>
  <c r="AP2985" i="4"/>
  <c r="AO2985" i="4"/>
  <c r="AN2985" i="4"/>
  <c r="AM2985" i="4"/>
  <c r="BH2985" i="4"/>
  <c r="AX2984" i="4"/>
  <c r="AW2984" i="4"/>
  <c r="AV2984" i="4"/>
  <c r="AP2984" i="4"/>
  <c r="AO2984" i="4"/>
  <c r="AN2984" i="4"/>
  <c r="AM2984" i="4"/>
  <c r="BH2984" i="4"/>
  <c r="AX2983" i="4"/>
  <c r="AW2983" i="4"/>
  <c r="AV2983" i="4"/>
  <c r="AP2983" i="4"/>
  <c r="AO2983" i="4"/>
  <c r="AN2983" i="4"/>
  <c r="AM2983" i="4"/>
  <c r="BH2983" i="4"/>
  <c r="AX2982" i="4"/>
  <c r="AW2982" i="4"/>
  <c r="AV2982" i="4"/>
  <c r="AP2982" i="4"/>
  <c r="AO2982" i="4"/>
  <c r="AN2982" i="4"/>
  <c r="AM2982" i="4"/>
  <c r="BH2982" i="4"/>
  <c r="AX2981" i="4"/>
  <c r="AW2981" i="4"/>
  <c r="AV2981" i="4"/>
  <c r="AP2981" i="4"/>
  <c r="AO2981" i="4"/>
  <c r="AN2981" i="4"/>
  <c r="AM2981" i="4"/>
  <c r="BH2981" i="4"/>
  <c r="AX2980" i="4"/>
  <c r="AW2980" i="4"/>
  <c r="AV2980" i="4"/>
  <c r="AP2980" i="4"/>
  <c r="AO2980" i="4"/>
  <c r="AN2980" i="4"/>
  <c r="AM2980" i="4"/>
  <c r="BH2980" i="4"/>
  <c r="AX2979" i="4"/>
  <c r="AW2979" i="4"/>
  <c r="AV2979" i="4"/>
  <c r="AP2979" i="4"/>
  <c r="AO2979" i="4"/>
  <c r="AN2979" i="4"/>
  <c r="AM2979" i="4"/>
  <c r="BH2979" i="4"/>
  <c r="AX2978" i="4"/>
  <c r="AW2978" i="4"/>
  <c r="AV2978" i="4"/>
  <c r="AP2978" i="4"/>
  <c r="AO2978" i="4"/>
  <c r="AN2978" i="4"/>
  <c r="AM2978" i="4"/>
  <c r="BH2978" i="4"/>
  <c r="AX2977" i="4"/>
  <c r="AW2977" i="4"/>
  <c r="AV2977" i="4"/>
  <c r="AP2977" i="4"/>
  <c r="AO2977" i="4"/>
  <c r="AN2977" i="4"/>
  <c r="AM2977" i="4"/>
  <c r="BH2977" i="4"/>
  <c r="AX2976" i="4"/>
  <c r="AW2976" i="4"/>
  <c r="AV2976" i="4"/>
  <c r="AP2976" i="4"/>
  <c r="AO2976" i="4"/>
  <c r="AN2976" i="4"/>
  <c r="AM2976" i="4"/>
  <c r="BH2976" i="4"/>
  <c r="AX2975" i="4"/>
  <c r="AW2975" i="4"/>
  <c r="AV2975" i="4"/>
  <c r="AP2975" i="4"/>
  <c r="AO2975" i="4"/>
  <c r="AN2975" i="4"/>
  <c r="AM2975" i="4"/>
  <c r="BH2975" i="4"/>
  <c r="AX2974" i="4"/>
  <c r="AW2974" i="4"/>
  <c r="AV2974" i="4"/>
  <c r="AP2974" i="4"/>
  <c r="AO2974" i="4"/>
  <c r="AN2974" i="4"/>
  <c r="AM2974" i="4"/>
  <c r="BH2974" i="4"/>
  <c r="AX2973" i="4"/>
  <c r="AW2973" i="4"/>
  <c r="AV2973" i="4"/>
  <c r="AP2973" i="4"/>
  <c r="AO2973" i="4"/>
  <c r="AN2973" i="4"/>
  <c r="AM2973" i="4"/>
  <c r="BH2973" i="4"/>
  <c r="AX2972" i="4"/>
  <c r="AW2972" i="4"/>
  <c r="AV2972" i="4"/>
  <c r="AP2972" i="4"/>
  <c r="AO2972" i="4"/>
  <c r="AN2972" i="4"/>
  <c r="AM2972" i="4"/>
  <c r="BH2972" i="4"/>
  <c r="AX2971" i="4"/>
  <c r="AW2971" i="4"/>
  <c r="AV2971" i="4"/>
  <c r="AP2971" i="4"/>
  <c r="AO2971" i="4"/>
  <c r="AN2971" i="4"/>
  <c r="AM2971" i="4"/>
  <c r="BH2971" i="4"/>
  <c r="AX2970" i="4"/>
  <c r="AW2970" i="4"/>
  <c r="AV2970" i="4"/>
  <c r="AP2970" i="4"/>
  <c r="AO2970" i="4"/>
  <c r="AN2970" i="4"/>
  <c r="AM2970" i="4"/>
  <c r="BH2970" i="4"/>
  <c r="AX2969" i="4"/>
  <c r="AW2969" i="4"/>
  <c r="AV2969" i="4"/>
  <c r="AP2969" i="4"/>
  <c r="AO2969" i="4"/>
  <c r="AN2969" i="4"/>
  <c r="AM2969" i="4"/>
  <c r="BH2969" i="4"/>
  <c r="AX2968" i="4"/>
  <c r="AW2968" i="4"/>
  <c r="AV2968" i="4"/>
  <c r="AP2968" i="4"/>
  <c r="AO2968" i="4"/>
  <c r="AN2968" i="4"/>
  <c r="AM2968" i="4"/>
  <c r="BH2968" i="4"/>
  <c r="AX2967" i="4"/>
  <c r="AW2967" i="4"/>
  <c r="AV2967" i="4"/>
  <c r="AP2967" i="4"/>
  <c r="AO2967" i="4"/>
  <c r="AN2967" i="4"/>
  <c r="AM2967" i="4"/>
  <c r="BH2967" i="4"/>
  <c r="AX2966" i="4"/>
  <c r="AW2966" i="4"/>
  <c r="AV2966" i="4"/>
  <c r="AP2966" i="4"/>
  <c r="AO2966" i="4"/>
  <c r="AN2966" i="4"/>
  <c r="AM2966" i="4"/>
  <c r="BH2966" i="4"/>
  <c r="AX2965" i="4"/>
  <c r="AW2965" i="4"/>
  <c r="AV2965" i="4"/>
  <c r="AP2965" i="4"/>
  <c r="AO2965" i="4"/>
  <c r="AN2965" i="4"/>
  <c r="AM2965" i="4"/>
  <c r="BH2965" i="4"/>
  <c r="AX2964" i="4"/>
  <c r="AW2964" i="4"/>
  <c r="AV2964" i="4"/>
  <c r="AP2964" i="4"/>
  <c r="AO2964" i="4"/>
  <c r="AN2964" i="4"/>
  <c r="AM2964" i="4"/>
  <c r="BH2964" i="4"/>
  <c r="AX2963" i="4"/>
  <c r="AW2963" i="4"/>
  <c r="AV2963" i="4"/>
  <c r="AP2963" i="4"/>
  <c r="AO2963" i="4"/>
  <c r="AN2963" i="4"/>
  <c r="AM2963" i="4"/>
  <c r="BH2963" i="4"/>
  <c r="AX2962" i="4"/>
  <c r="AW2962" i="4"/>
  <c r="AV2962" i="4"/>
  <c r="AP2962" i="4"/>
  <c r="AO2962" i="4"/>
  <c r="AN2962" i="4"/>
  <c r="AM2962" i="4"/>
  <c r="BH2962" i="4"/>
  <c r="AX2961" i="4"/>
  <c r="AW2961" i="4"/>
  <c r="AV2961" i="4"/>
  <c r="AP2961" i="4"/>
  <c r="AO2961" i="4"/>
  <c r="AN2961" i="4"/>
  <c r="AM2961" i="4"/>
  <c r="BH2961" i="4"/>
  <c r="AX2960" i="4"/>
  <c r="AW2960" i="4"/>
  <c r="AV2960" i="4"/>
  <c r="AP2960" i="4"/>
  <c r="AO2960" i="4"/>
  <c r="AN2960" i="4"/>
  <c r="AM2960" i="4"/>
  <c r="BH2960" i="4"/>
  <c r="AX2959" i="4"/>
  <c r="AW2959" i="4"/>
  <c r="AV2959" i="4"/>
  <c r="AP2959" i="4"/>
  <c r="AO2959" i="4"/>
  <c r="AN2959" i="4"/>
  <c r="AM2959" i="4"/>
  <c r="BH2959" i="4"/>
  <c r="AX2958" i="4"/>
  <c r="AW2958" i="4"/>
  <c r="AV2958" i="4"/>
  <c r="AP2958" i="4"/>
  <c r="AO2958" i="4"/>
  <c r="AN2958" i="4"/>
  <c r="AM2958" i="4"/>
  <c r="BH2958" i="4"/>
  <c r="AX2957" i="4"/>
  <c r="AW2957" i="4"/>
  <c r="AV2957" i="4"/>
  <c r="AP2957" i="4"/>
  <c r="AO2957" i="4"/>
  <c r="AN2957" i="4"/>
  <c r="AM2957" i="4"/>
  <c r="BH2957" i="4"/>
  <c r="AX2956" i="4"/>
  <c r="AW2956" i="4"/>
  <c r="AV2956" i="4"/>
  <c r="AP2956" i="4"/>
  <c r="AO2956" i="4"/>
  <c r="AN2956" i="4"/>
  <c r="AM2956" i="4"/>
  <c r="BH2956" i="4"/>
  <c r="AX2955" i="4"/>
  <c r="AW2955" i="4"/>
  <c r="AV2955" i="4"/>
  <c r="AP2955" i="4"/>
  <c r="AO2955" i="4"/>
  <c r="AN2955" i="4"/>
  <c r="AM2955" i="4"/>
  <c r="BH2955" i="4"/>
  <c r="AX2954" i="4"/>
  <c r="AW2954" i="4"/>
  <c r="AV2954" i="4"/>
  <c r="AP2954" i="4"/>
  <c r="AO2954" i="4"/>
  <c r="AN2954" i="4"/>
  <c r="AM2954" i="4"/>
  <c r="BH2954" i="4"/>
  <c r="AX2953" i="4"/>
  <c r="AW2953" i="4"/>
  <c r="AV2953" i="4"/>
  <c r="AP2953" i="4"/>
  <c r="AO2953" i="4"/>
  <c r="AN2953" i="4"/>
  <c r="AM2953" i="4"/>
  <c r="BH2953" i="4"/>
  <c r="AX2952" i="4"/>
  <c r="AW2952" i="4"/>
  <c r="AV2952" i="4"/>
  <c r="AP2952" i="4"/>
  <c r="AO2952" i="4"/>
  <c r="AN2952" i="4"/>
  <c r="AM2952" i="4"/>
  <c r="BH2952" i="4"/>
  <c r="AX2951" i="4"/>
  <c r="AW2951" i="4"/>
  <c r="AV2951" i="4"/>
  <c r="AP2951" i="4"/>
  <c r="AO2951" i="4"/>
  <c r="AN2951" i="4"/>
  <c r="AM2951" i="4"/>
  <c r="BH2951" i="4"/>
  <c r="AX2950" i="4"/>
  <c r="AW2950" i="4"/>
  <c r="AV2950" i="4"/>
  <c r="AP2950" i="4"/>
  <c r="AO2950" i="4"/>
  <c r="AN2950" i="4"/>
  <c r="AM2950" i="4"/>
  <c r="BH2950" i="4"/>
  <c r="AX2949" i="4"/>
  <c r="AW2949" i="4"/>
  <c r="AV2949" i="4"/>
  <c r="AP2949" i="4"/>
  <c r="AO2949" i="4"/>
  <c r="AN2949" i="4"/>
  <c r="AM2949" i="4"/>
  <c r="BH2949" i="4"/>
  <c r="AX2948" i="4"/>
  <c r="AW2948" i="4"/>
  <c r="AV2948" i="4"/>
  <c r="AP2948" i="4"/>
  <c r="AO2948" i="4"/>
  <c r="AN2948" i="4"/>
  <c r="AM2948" i="4"/>
  <c r="BH2948" i="4"/>
  <c r="AX2947" i="4"/>
  <c r="AW2947" i="4"/>
  <c r="AV2947" i="4"/>
  <c r="AP2947" i="4"/>
  <c r="AO2947" i="4"/>
  <c r="AN2947" i="4"/>
  <c r="AM2947" i="4"/>
  <c r="BH2947" i="4"/>
  <c r="AX2946" i="4"/>
  <c r="AW2946" i="4"/>
  <c r="AV2946" i="4"/>
  <c r="AP2946" i="4"/>
  <c r="AO2946" i="4"/>
  <c r="AN2946" i="4"/>
  <c r="AM2946" i="4"/>
  <c r="BH2946" i="4"/>
  <c r="AX2945" i="4"/>
  <c r="AW2945" i="4"/>
  <c r="AV2945" i="4"/>
  <c r="AP2945" i="4"/>
  <c r="AO2945" i="4"/>
  <c r="AN2945" i="4"/>
  <c r="AM2945" i="4"/>
  <c r="BH2945" i="4"/>
  <c r="AX2944" i="4"/>
  <c r="AW2944" i="4"/>
  <c r="AV2944" i="4"/>
  <c r="AP2944" i="4"/>
  <c r="AO2944" i="4"/>
  <c r="AN2944" i="4"/>
  <c r="AM2944" i="4"/>
  <c r="BH2944" i="4"/>
  <c r="AX2943" i="4"/>
  <c r="AW2943" i="4"/>
  <c r="AV2943" i="4"/>
  <c r="AP2943" i="4"/>
  <c r="AO2943" i="4"/>
  <c r="AN2943" i="4"/>
  <c r="AM2943" i="4"/>
  <c r="BH2943" i="4"/>
  <c r="AX2942" i="4"/>
  <c r="AW2942" i="4"/>
  <c r="AV2942" i="4"/>
  <c r="AP2942" i="4"/>
  <c r="AO2942" i="4"/>
  <c r="AN2942" i="4"/>
  <c r="AM2942" i="4"/>
  <c r="BH2942" i="4"/>
  <c r="AX2941" i="4"/>
  <c r="AW2941" i="4"/>
  <c r="AV2941" i="4"/>
  <c r="AP2941" i="4"/>
  <c r="AO2941" i="4"/>
  <c r="AN2941" i="4"/>
  <c r="AM2941" i="4"/>
  <c r="BH2941" i="4"/>
  <c r="AX2940" i="4"/>
  <c r="AW2940" i="4"/>
  <c r="AV2940" i="4"/>
  <c r="AP2940" i="4"/>
  <c r="AO2940" i="4"/>
  <c r="AN2940" i="4"/>
  <c r="AM2940" i="4"/>
  <c r="BH2940" i="4"/>
  <c r="AX2939" i="4"/>
  <c r="AW2939" i="4"/>
  <c r="AV2939" i="4"/>
  <c r="AP2939" i="4"/>
  <c r="AO2939" i="4"/>
  <c r="AN2939" i="4"/>
  <c r="AM2939" i="4"/>
  <c r="BH2939" i="4"/>
  <c r="AX2938" i="4"/>
  <c r="AW2938" i="4"/>
  <c r="AV2938" i="4"/>
  <c r="AP2938" i="4"/>
  <c r="AO2938" i="4"/>
  <c r="AN2938" i="4"/>
  <c r="AM2938" i="4"/>
  <c r="BH2938" i="4"/>
  <c r="AX2937" i="4"/>
  <c r="AW2937" i="4"/>
  <c r="AV2937" i="4"/>
  <c r="AP2937" i="4"/>
  <c r="AO2937" i="4"/>
  <c r="AN2937" i="4"/>
  <c r="AM2937" i="4"/>
  <c r="BH2937" i="4"/>
  <c r="AX2936" i="4"/>
  <c r="AW2936" i="4"/>
  <c r="AV2936" i="4"/>
  <c r="AP2936" i="4"/>
  <c r="AO2936" i="4"/>
  <c r="AN2936" i="4"/>
  <c r="AM2936" i="4"/>
  <c r="BH2936" i="4"/>
  <c r="AX2935" i="4"/>
  <c r="AW2935" i="4"/>
  <c r="AV2935" i="4"/>
  <c r="AP2935" i="4"/>
  <c r="AO2935" i="4"/>
  <c r="AN2935" i="4"/>
  <c r="AM2935" i="4"/>
  <c r="BH2935" i="4"/>
  <c r="AX2934" i="4"/>
  <c r="AW2934" i="4"/>
  <c r="AV2934" i="4"/>
  <c r="AP2934" i="4"/>
  <c r="AO2934" i="4"/>
  <c r="AN2934" i="4"/>
  <c r="AM2934" i="4"/>
  <c r="BH2934" i="4"/>
  <c r="AX2933" i="4"/>
  <c r="AW2933" i="4"/>
  <c r="AV2933" i="4"/>
  <c r="AP2933" i="4"/>
  <c r="AO2933" i="4"/>
  <c r="AN2933" i="4"/>
  <c r="AM2933" i="4"/>
  <c r="BH2933" i="4"/>
  <c r="AX2932" i="4"/>
  <c r="AW2932" i="4"/>
  <c r="AV2932" i="4"/>
  <c r="AP2932" i="4"/>
  <c r="AO2932" i="4"/>
  <c r="AN2932" i="4"/>
  <c r="AM2932" i="4"/>
  <c r="BH2932" i="4"/>
  <c r="AX2931" i="4"/>
  <c r="AW2931" i="4"/>
  <c r="AV2931" i="4"/>
  <c r="AP2931" i="4"/>
  <c r="AO2931" i="4"/>
  <c r="AN2931" i="4"/>
  <c r="AM2931" i="4"/>
  <c r="BH2931" i="4"/>
  <c r="AX2930" i="4"/>
  <c r="AW2930" i="4"/>
  <c r="AV2930" i="4"/>
  <c r="AP2930" i="4"/>
  <c r="AO2930" i="4"/>
  <c r="AN2930" i="4"/>
  <c r="AM2930" i="4"/>
  <c r="BH2930" i="4"/>
  <c r="AX2929" i="4"/>
  <c r="AW2929" i="4"/>
  <c r="AV2929" i="4"/>
  <c r="AP2929" i="4"/>
  <c r="AO2929" i="4"/>
  <c r="AN2929" i="4"/>
  <c r="AM2929" i="4"/>
  <c r="BH2929" i="4"/>
  <c r="AX2928" i="4"/>
  <c r="AW2928" i="4"/>
  <c r="AV2928" i="4"/>
  <c r="AP2928" i="4"/>
  <c r="AO2928" i="4"/>
  <c r="AN2928" i="4"/>
  <c r="AM2928" i="4"/>
  <c r="BH2928" i="4"/>
  <c r="AX2927" i="4"/>
  <c r="AW2927" i="4"/>
  <c r="AV2927" i="4"/>
  <c r="AP2927" i="4"/>
  <c r="AO2927" i="4"/>
  <c r="AN2927" i="4"/>
  <c r="AM2927" i="4"/>
  <c r="BH2927" i="4"/>
  <c r="AX2926" i="4"/>
  <c r="AW2926" i="4"/>
  <c r="AV2926" i="4"/>
  <c r="AP2926" i="4"/>
  <c r="AO2926" i="4"/>
  <c r="AN2926" i="4"/>
  <c r="AM2926" i="4"/>
  <c r="BH2926" i="4"/>
  <c r="AX2925" i="4"/>
  <c r="AW2925" i="4"/>
  <c r="AV2925" i="4"/>
  <c r="AP2925" i="4"/>
  <c r="AO2925" i="4"/>
  <c r="AN2925" i="4"/>
  <c r="AM2925" i="4"/>
  <c r="BH2925" i="4"/>
  <c r="AX2924" i="4"/>
  <c r="AW2924" i="4"/>
  <c r="AV2924" i="4"/>
  <c r="AP2924" i="4"/>
  <c r="AO2924" i="4"/>
  <c r="AN2924" i="4"/>
  <c r="AM2924" i="4"/>
  <c r="BH2924" i="4"/>
  <c r="AX2923" i="4"/>
  <c r="AW2923" i="4"/>
  <c r="AV2923" i="4"/>
  <c r="AP2923" i="4"/>
  <c r="AO2923" i="4"/>
  <c r="AN2923" i="4"/>
  <c r="AM2923" i="4"/>
  <c r="BH2923" i="4"/>
  <c r="AX2922" i="4"/>
  <c r="AW2922" i="4"/>
  <c r="AV2922" i="4"/>
  <c r="AP2922" i="4"/>
  <c r="AO2922" i="4"/>
  <c r="AN2922" i="4"/>
  <c r="AM2922" i="4"/>
  <c r="BH2922" i="4"/>
  <c r="AX2921" i="4"/>
  <c r="AW2921" i="4"/>
  <c r="AV2921" i="4"/>
  <c r="AP2921" i="4"/>
  <c r="AO2921" i="4"/>
  <c r="AN2921" i="4"/>
  <c r="AM2921" i="4"/>
  <c r="BH2921" i="4"/>
  <c r="AX2920" i="4"/>
  <c r="AW2920" i="4"/>
  <c r="AV2920" i="4"/>
  <c r="AP2920" i="4"/>
  <c r="AO2920" i="4"/>
  <c r="AN2920" i="4"/>
  <c r="AM2920" i="4"/>
  <c r="BH2920" i="4"/>
  <c r="AX2919" i="4"/>
  <c r="AW2919" i="4"/>
  <c r="AV2919" i="4"/>
  <c r="AP2919" i="4"/>
  <c r="AO2919" i="4"/>
  <c r="AN2919" i="4"/>
  <c r="AM2919" i="4"/>
  <c r="BH2919" i="4"/>
  <c r="AX2918" i="4"/>
  <c r="AW2918" i="4"/>
  <c r="AV2918" i="4"/>
  <c r="AP2918" i="4"/>
  <c r="AO2918" i="4"/>
  <c r="AN2918" i="4"/>
  <c r="AM2918" i="4"/>
  <c r="BH2918" i="4"/>
  <c r="AX2917" i="4"/>
  <c r="AW2917" i="4"/>
  <c r="AV2917" i="4"/>
  <c r="AP2917" i="4"/>
  <c r="AO2917" i="4"/>
  <c r="AN2917" i="4"/>
  <c r="AM2917" i="4"/>
  <c r="BH2917" i="4"/>
  <c r="AX2916" i="4"/>
  <c r="AW2916" i="4"/>
  <c r="AV2916" i="4"/>
  <c r="AP2916" i="4"/>
  <c r="AO2916" i="4"/>
  <c r="AN2916" i="4"/>
  <c r="AM2916" i="4"/>
  <c r="BH2916" i="4"/>
  <c r="AX2915" i="4"/>
  <c r="AW2915" i="4"/>
  <c r="AV2915" i="4"/>
  <c r="AP2915" i="4"/>
  <c r="AO2915" i="4"/>
  <c r="AN2915" i="4"/>
  <c r="AM2915" i="4"/>
  <c r="BH2915" i="4"/>
  <c r="AX2914" i="4"/>
  <c r="AW2914" i="4"/>
  <c r="AV2914" i="4"/>
  <c r="AP2914" i="4"/>
  <c r="AO2914" i="4"/>
  <c r="AN2914" i="4"/>
  <c r="AM2914" i="4"/>
  <c r="BH2914" i="4"/>
  <c r="AX2913" i="4"/>
  <c r="AW2913" i="4"/>
  <c r="AV2913" i="4"/>
  <c r="AP2913" i="4"/>
  <c r="AO2913" i="4"/>
  <c r="AN2913" i="4"/>
  <c r="AM2913" i="4"/>
  <c r="BH2913" i="4"/>
  <c r="AX2912" i="4"/>
  <c r="AW2912" i="4"/>
  <c r="AV2912" i="4"/>
  <c r="AP2912" i="4"/>
  <c r="AO2912" i="4"/>
  <c r="AN2912" i="4"/>
  <c r="AM2912" i="4"/>
  <c r="BH2912" i="4"/>
  <c r="AX2911" i="4"/>
  <c r="AW2911" i="4"/>
  <c r="AV2911" i="4"/>
  <c r="AP2911" i="4"/>
  <c r="AO2911" i="4"/>
  <c r="AN2911" i="4"/>
  <c r="AM2911" i="4"/>
  <c r="BH2911" i="4"/>
  <c r="AX2910" i="4"/>
  <c r="AW2910" i="4"/>
  <c r="AV2910" i="4"/>
  <c r="AP2910" i="4"/>
  <c r="AO2910" i="4"/>
  <c r="AN2910" i="4"/>
  <c r="AM2910" i="4"/>
  <c r="BH2910" i="4"/>
  <c r="AX2909" i="4"/>
  <c r="AW2909" i="4"/>
  <c r="AV2909" i="4"/>
  <c r="AP2909" i="4"/>
  <c r="AO2909" i="4"/>
  <c r="AN2909" i="4"/>
  <c r="AM2909" i="4"/>
  <c r="BH2909" i="4"/>
  <c r="AX2908" i="4"/>
  <c r="AW2908" i="4"/>
  <c r="AV2908" i="4"/>
  <c r="AP2908" i="4"/>
  <c r="AO2908" i="4"/>
  <c r="AN2908" i="4"/>
  <c r="AM2908" i="4"/>
  <c r="BH2908" i="4"/>
  <c r="AX2907" i="4"/>
  <c r="AW2907" i="4"/>
  <c r="AV2907" i="4"/>
  <c r="AP2907" i="4"/>
  <c r="AO2907" i="4"/>
  <c r="AN2907" i="4"/>
  <c r="AM2907" i="4"/>
  <c r="BH2907" i="4"/>
  <c r="AX2906" i="4"/>
  <c r="AW2906" i="4"/>
  <c r="AV2906" i="4"/>
  <c r="AP2906" i="4"/>
  <c r="AO2906" i="4"/>
  <c r="AN2906" i="4"/>
  <c r="AM2906" i="4"/>
  <c r="BH2906" i="4"/>
  <c r="AX2905" i="4"/>
  <c r="AW2905" i="4"/>
  <c r="AV2905" i="4"/>
  <c r="AP2905" i="4"/>
  <c r="AO2905" i="4"/>
  <c r="AN2905" i="4"/>
  <c r="AM2905" i="4"/>
  <c r="BH2905" i="4"/>
  <c r="AX2904" i="4"/>
  <c r="AW2904" i="4"/>
  <c r="AV2904" i="4"/>
  <c r="AP2904" i="4"/>
  <c r="AO2904" i="4"/>
  <c r="AN2904" i="4"/>
  <c r="AM2904" i="4"/>
  <c r="BH2904" i="4"/>
  <c r="AX2903" i="4"/>
  <c r="AW2903" i="4"/>
  <c r="AV2903" i="4"/>
  <c r="AP2903" i="4"/>
  <c r="AO2903" i="4"/>
  <c r="AN2903" i="4"/>
  <c r="AM2903" i="4"/>
  <c r="BH2903" i="4"/>
  <c r="AX2902" i="4"/>
  <c r="AW2902" i="4"/>
  <c r="AV2902" i="4"/>
  <c r="AP2902" i="4"/>
  <c r="AO2902" i="4"/>
  <c r="AN2902" i="4"/>
  <c r="AM2902" i="4"/>
  <c r="BH2902" i="4"/>
  <c r="AX2901" i="4"/>
  <c r="AW2901" i="4"/>
  <c r="AV2901" i="4"/>
  <c r="AP2901" i="4"/>
  <c r="AO2901" i="4"/>
  <c r="AN2901" i="4"/>
  <c r="AM2901" i="4"/>
  <c r="BH2901" i="4"/>
  <c r="AX2900" i="4"/>
  <c r="AW2900" i="4"/>
  <c r="AV2900" i="4"/>
  <c r="AP2900" i="4"/>
  <c r="AO2900" i="4"/>
  <c r="AN2900" i="4"/>
  <c r="AM2900" i="4"/>
  <c r="BH2900" i="4"/>
  <c r="AX2899" i="4"/>
  <c r="AW2899" i="4"/>
  <c r="AV2899" i="4"/>
  <c r="AP2899" i="4"/>
  <c r="AO2899" i="4"/>
  <c r="AN2899" i="4"/>
  <c r="AM2899" i="4"/>
  <c r="BH2899" i="4"/>
  <c r="AX2898" i="4"/>
  <c r="AW2898" i="4"/>
  <c r="AV2898" i="4"/>
  <c r="AP2898" i="4"/>
  <c r="AO2898" i="4"/>
  <c r="AN2898" i="4"/>
  <c r="AM2898" i="4"/>
  <c r="BH2898" i="4"/>
  <c r="AX2897" i="4"/>
  <c r="AW2897" i="4"/>
  <c r="AV2897" i="4"/>
  <c r="AP2897" i="4"/>
  <c r="AO2897" i="4"/>
  <c r="AN2897" i="4"/>
  <c r="AM2897" i="4"/>
  <c r="BH2897" i="4"/>
  <c r="AX2896" i="4"/>
  <c r="AW2896" i="4"/>
  <c r="AV2896" i="4"/>
  <c r="AP2896" i="4"/>
  <c r="AO2896" i="4"/>
  <c r="AN2896" i="4"/>
  <c r="AM2896" i="4"/>
  <c r="BH2896" i="4"/>
  <c r="AX2895" i="4"/>
  <c r="AW2895" i="4"/>
  <c r="AV2895" i="4"/>
  <c r="AP2895" i="4"/>
  <c r="AO2895" i="4"/>
  <c r="AN2895" i="4"/>
  <c r="AM2895" i="4"/>
  <c r="BH2895" i="4"/>
  <c r="AX2894" i="4"/>
  <c r="AW2894" i="4"/>
  <c r="AV2894" i="4"/>
  <c r="AP2894" i="4"/>
  <c r="AO2894" i="4"/>
  <c r="AN2894" i="4"/>
  <c r="AM2894" i="4"/>
  <c r="BH2894" i="4"/>
  <c r="AX2893" i="4"/>
  <c r="AW2893" i="4"/>
  <c r="AV2893" i="4"/>
  <c r="AP2893" i="4"/>
  <c r="AO2893" i="4"/>
  <c r="AN2893" i="4"/>
  <c r="AM2893" i="4"/>
  <c r="BH2893" i="4"/>
  <c r="AX2892" i="4"/>
  <c r="AW2892" i="4"/>
  <c r="AV2892" i="4"/>
  <c r="AP2892" i="4"/>
  <c r="AO2892" i="4"/>
  <c r="AN2892" i="4"/>
  <c r="AM2892" i="4"/>
  <c r="BH2892" i="4"/>
  <c r="AX2891" i="4"/>
  <c r="AW2891" i="4"/>
  <c r="AV2891" i="4"/>
  <c r="AP2891" i="4"/>
  <c r="AO2891" i="4"/>
  <c r="AN2891" i="4"/>
  <c r="AM2891" i="4"/>
  <c r="BH2891" i="4"/>
  <c r="AX2890" i="4"/>
  <c r="AW2890" i="4"/>
  <c r="AV2890" i="4"/>
  <c r="AP2890" i="4"/>
  <c r="AO2890" i="4"/>
  <c r="AN2890" i="4"/>
  <c r="AM2890" i="4"/>
  <c r="BH2890" i="4"/>
  <c r="AX2889" i="4"/>
  <c r="AW2889" i="4"/>
  <c r="AV2889" i="4"/>
  <c r="AP2889" i="4"/>
  <c r="AO2889" i="4"/>
  <c r="AN2889" i="4"/>
  <c r="AM2889" i="4"/>
  <c r="BH2889" i="4"/>
  <c r="AX2888" i="4"/>
  <c r="AW2888" i="4"/>
  <c r="AV2888" i="4"/>
  <c r="AP2888" i="4"/>
  <c r="AO2888" i="4"/>
  <c r="AN2888" i="4"/>
  <c r="AM2888" i="4"/>
  <c r="BH2888" i="4"/>
  <c r="AX2887" i="4"/>
  <c r="AW2887" i="4"/>
  <c r="AV2887" i="4"/>
  <c r="AP2887" i="4"/>
  <c r="AO2887" i="4"/>
  <c r="AN2887" i="4"/>
  <c r="AM2887" i="4"/>
  <c r="BH2887" i="4"/>
  <c r="AX2886" i="4"/>
  <c r="AW2886" i="4"/>
  <c r="AV2886" i="4"/>
  <c r="AP2886" i="4"/>
  <c r="AO2886" i="4"/>
  <c r="AN2886" i="4"/>
  <c r="AM2886" i="4"/>
  <c r="BH2886" i="4"/>
  <c r="AX2885" i="4"/>
  <c r="AW2885" i="4"/>
  <c r="AV2885" i="4"/>
  <c r="AP2885" i="4"/>
  <c r="AO2885" i="4"/>
  <c r="AN2885" i="4"/>
  <c r="AM2885" i="4"/>
  <c r="BH2885" i="4"/>
  <c r="AX2884" i="4"/>
  <c r="AW2884" i="4"/>
  <c r="AV2884" i="4"/>
  <c r="AP2884" i="4"/>
  <c r="AO2884" i="4"/>
  <c r="AN2884" i="4"/>
  <c r="AM2884" i="4"/>
  <c r="BH2884" i="4"/>
  <c r="AX2883" i="4"/>
  <c r="AW2883" i="4"/>
  <c r="AV2883" i="4"/>
  <c r="AP2883" i="4"/>
  <c r="AO2883" i="4"/>
  <c r="AN2883" i="4"/>
  <c r="AM2883" i="4"/>
  <c r="BH2883" i="4"/>
  <c r="AX2882" i="4"/>
  <c r="AW2882" i="4"/>
  <c r="AV2882" i="4"/>
  <c r="AP2882" i="4"/>
  <c r="AO2882" i="4"/>
  <c r="AN2882" i="4"/>
  <c r="AM2882" i="4"/>
  <c r="BH2882" i="4"/>
  <c r="AX2881" i="4"/>
  <c r="AW2881" i="4"/>
  <c r="AV2881" i="4"/>
  <c r="AP2881" i="4"/>
  <c r="AO2881" i="4"/>
  <c r="AN2881" i="4"/>
  <c r="AM2881" i="4"/>
  <c r="BH2881" i="4"/>
  <c r="AX2880" i="4"/>
  <c r="AW2880" i="4"/>
  <c r="AV2880" i="4"/>
  <c r="AP2880" i="4"/>
  <c r="AO2880" i="4"/>
  <c r="AN2880" i="4"/>
  <c r="AM2880" i="4"/>
  <c r="BH2880" i="4"/>
  <c r="AX2879" i="4"/>
  <c r="AW2879" i="4"/>
  <c r="AV2879" i="4"/>
  <c r="AP2879" i="4"/>
  <c r="AO2879" i="4"/>
  <c r="AN2879" i="4"/>
  <c r="AM2879" i="4"/>
  <c r="BH2879" i="4"/>
  <c r="AX2878" i="4"/>
  <c r="AW2878" i="4"/>
  <c r="AV2878" i="4"/>
  <c r="AP2878" i="4"/>
  <c r="AO2878" i="4"/>
  <c r="AN2878" i="4"/>
  <c r="AM2878" i="4"/>
  <c r="BH2878" i="4"/>
  <c r="AX2877" i="4"/>
  <c r="AW2877" i="4"/>
  <c r="AV2877" i="4"/>
  <c r="AP2877" i="4"/>
  <c r="AO2877" i="4"/>
  <c r="AN2877" i="4"/>
  <c r="AM2877" i="4"/>
  <c r="BH2877" i="4"/>
  <c r="AX2876" i="4"/>
  <c r="AW2876" i="4"/>
  <c r="AV2876" i="4"/>
  <c r="AP2876" i="4"/>
  <c r="AO2876" i="4"/>
  <c r="AN2876" i="4"/>
  <c r="AM2876" i="4"/>
  <c r="BH2876" i="4"/>
  <c r="AX2875" i="4"/>
  <c r="AW2875" i="4"/>
  <c r="AV2875" i="4"/>
  <c r="AP2875" i="4"/>
  <c r="AO2875" i="4"/>
  <c r="AN2875" i="4"/>
  <c r="AM2875" i="4"/>
  <c r="BH2875" i="4"/>
  <c r="AX2874" i="4"/>
  <c r="AW2874" i="4"/>
  <c r="AV2874" i="4"/>
  <c r="AP2874" i="4"/>
  <c r="AO2874" i="4"/>
  <c r="AN2874" i="4"/>
  <c r="AM2874" i="4"/>
  <c r="BH2874" i="4"/>
  <c r="AX2873" i="4"/>
  <c r="AW2873" i="4"/>
  <c r="AV2873" i="4"/>
  <c r="AP2873" i="4"/>
  <c r="AO2873" i="4"/>
  <c r="AN2873" i="4"/>
  <c r="AM2873" i="4"/>
  <c r="BH2873" i="4"/>
  <c r="AX2872" i="4"/>
  <c r="AW2872" i="4"/>
  <c r="AV2872" i="4"/>
  <c r="AP2872" i="4"/>
  <c r="AO2872" i="4"/>
  <c r="AN2872" i="4"/>
  <c r="AM2872" i="4"/>
  <c r="BH2872" i="4"/>
  <c r="AX2871" i="4"/>
  <c r="AW2871" i="4"/>
  <c r="AV2871" i="4"/>
  <c r="AP2871" i="4"/>
  <c r="AO2871" i="4"/>
  <c r="AN2871" i="4"/>
  <c r="AM2871" i="4"/>
  <c r="BH2871" i="4"/>
  <c r="AX2870" i="4"/>
  <c r="AW2870" i="4"/>
  <c r="AV2870" i="4"/>
  <c r="AP2870" i="4"/>
  <c r="AO2870" i="4"/>
  <c r="AN2870" i="4"/>
  <c r="AM2870" i="4"/>
  <c r="BH2870" i="4"/>
  <c r="AX2869" i="4"/>
  <c r="AW2869" i="4"/>
  <c r="AV2869" i="4"/>
  <c r="AP2869" i="4"/>
  <c r="AO2869" i="4"/>
  <c r="AN2869" i="4"/>
  <c r="AM2869" i="4"/>
  <c r="BH2869" i="4"/>
  <c r="AX2868" i="4"/>
  <c r="AW2868" i="4"/>
  <c r="AV2868" i="4"/>
  <c r="AP2868" i="4"/>
  <c r="AO2868" i="4"/>
  <c r="AN2868" i="4"/>
  <c r="AM2868" i="4"/>
  <c r="BH2868" i="4"/>
  <c r="AX2867" i="4"/>
  <c r="AW2867" i="4"/>
  <c r="AV2867" i="4"/>
  <c r="AP2867" i="4"/>
  <c r="AO2867" i="4"/>
  <c r="AN2867" i="4"/>
  <c r="AM2867" i="4"/>
  <c r="BH2867" i="4"/>
  <c r="AX2866" i="4"/>
  <c r="AW2866" i="4"/>
  <c r="AV2866" i="4"/>
  <c r="AP2866" i="4"/>
  <c r="AO2866" i="4"/>
  <c r="AN2866" i="4"/>
  <c r="AM2866" i="4"/>
  <c r="BH2866" i="4"/>
  <c r="AX2865" i="4"/>
  <c r="AW2865" i="4"/>
  <c r="AV2865" i="4"/>
  <c r="AP2865" i="4"/>
  <c r="AO2865" i="4"/>
  <c r="AN2865" i="4"/>
  <c r="AM2865" i="4"/>
  <c r="BH2865" i="4"/>
  <c r="AX2864" i="4"/>
  <c r="AW2864" i="4"/>
  <c r="AV2864" i="4"/>
  <c r="AP2864" i="4"/>
  <c r="AO2864" i="4"/>
  <c r="AN2864" i="4"/>
  <c r="AM2864" i="4"/>
  <c r="BH2864" i="4"/>
  <c r="AX2863" i="4"/>
  <c r="AW2863" i="4"/>
  <c r="AV2863" i="4"/>
  <c r="AP2863" i="4"/>
  <c r="AO2863" i="4"/>
  <c r="AN2863" i="4"/>
  <c r="AM2863" i="4"/>
  <c r="BH2863" i="4"/>
  <c r="AX2862" i="4"/>
  <c r="AW2862" i="4"/>
  <c r="AV2862" i="4"/>
  <c r="AP2862" i="4"/>
  <c r="AO2862" i="4"/>
  <c r="AN2862" i="4"/>
  <c r="AM2862" i="4"/>
  <c r="BH2862" i="4"/>
  <c r="AX2861" i="4"/>
  <c r="AW2861" i="4"/>
  <c r="AV2861" i="4"/>
  <c r="AP2861" i="4"/>
  <c r="AO2861" i="4"/>
  <c r="AN2861" i="4"/>
  <c r="AM2861" i="4"/>
  <c r="BH2861" i="4"/>
  <c r="AX2860" i="4"/>
  <c r="AW2860" i="4"/>
  <c r="AV2860" i="4"/>
  <c r="AP2860" i="4"/>
  <c r="AO2860" i="4"/>
  <c r="AN2860" i="4"/>
  <c r="AM2860" i="4"/>
  <c r="BH2860" i="4"/>
  <c r="AX2859" i="4"/>
  <c r="AW2859" i="4"/>
  <c r="AV2859" i="4"/>
  <c r="AP2859" i="4"/>
  <c r="AO2859" i="4"/>
  <c r="AN2859" i="4"/>
  <c r="AM2859" i="4"/>
  <c r="BH2859" i="4"/>
  <c r="AX2858" i="4"/>
  <c r="AW2858" i="4"/>
  <c r="AV2858" i="4"/>
  <c r="AP2858" i="4"/>
  <c r="AO2858" i="4"/>
  <c r="AN2858" i="4"/>
  <c r="AM2858" i="4"/>
  <c r="BH2858" i="4"/>
  <c r="AX2857" i="4"/>
  <c r="AW2857" i="4"/>
  <c r="AV2857" i="4"/>
  <c r="AP2857" i="4"/>
  <c r="AO2857" i="4"/>
  <c r="AN2857" i="4"/>
  <c r="AM2857" i="4"/>
  <c r="BH2857" i="4"/>
  <c r="AX2856" i="4"/>
  <c r="AW2856" i="4"/>
  <c r="AV2856" i="4"/>
  <c r="AP2856" i="4"/>
  <c r="AO2856" i="4"/>
  <c r="AN2856" i="4"/>
  <c r="AM2856" i="4"/>
  <c r="BH2856" i="4"/>
  <c r="AX2855" i="4"/>
  <c r="AW2855" i="4"/>
  <c r="AV2855" i="4"/>
  <c r="AP2855" i="4"/>
  <c r="AO2855" i="4"/>
  <c r="AN2855" i="4"/>
  <c r="AM2855" i="4"/>
  <c r="BH2855" i="4"/>
  <c r="AX2854" i="4"/>
  <c r="AW2854" i="4"/>
  <c r="AV2854" i="4"/>
  <c r="AP2854" i="4"/>
  <c r="AO2854" i="4"/>
  <c r="AN2854" i="4"/>
  <c r="AM2854" i="4"/>
  <c r="BH2854" i="4"/>
  <c r="AX2853" i="4"/>
  <c r="AW2853" i="4"/>
  <c r="AV2853" i="4"/>
  <c r="AP2853" i="4"/>
  <c r="AO2853" i="4"/>
  <c r="AN2853" i="4"/>
  <c r="AM2853" i="4"/>
  <c r="BH2853" i="4"/>
  <c r="AX2852" i="4"/>
  <c r="AW2852" i="4"/>
  <c r="AV2852" i="4"/>
  <c r="AP2852" i="4"/>
  <c r="AO2852" i="4"/>
  <c r="AN2852" i="4"/>
  <c r="AM2852" i="4"/>
  <c r="BH2852" i="4"/>
  <c r="AX2851" i="4"/>
  <c r="AW2851" i="4"/>
  <c r="AV2851" i="4"/>
  <c r="AP2851" i="4"/>
  <c r="AO2851" i="4"/>
  <c r="AN2851" i="4"/>
  <c r="AM2851" i="4"/>
  <c r="BH2851" i="4"/>
  <c r="AX2850" i="4"/>
  <c r="AW2850" i="4"/>
  <c r="AV2850" i="4"/>
  <c r="AP2850" i="4"/>
  <c r="AO2850" i="4"/>
  <c r="AN2850" i="4"/>
  <c r="AM2850" i="4"/>
  <c r="BH2850" i="4"/>
  <c r="AX2849" i="4"/>
  <c r="AW2849" i="4"/>
  <c r="AV2849" i="4"/>
  <c r="AP2849" i="4"/>
  <c r="AO2849" i="4"/>
  <c r="AN2849" i="4"/>
  <c r="AM2849" i="4"/>
  <c r="BH2849" i="4"/>
  <c r="AX2848" i="4"/>
  <c r="AW2848" i="4"/>
  <c r="AV2848" i="4"/>
  <c r="AP2848" i="4"/>
  <c r="AO2848" i="4"/>
  <c r="AN2848" i="4"/>
  <c r="AM2848" i="4"/>
  <c r="BH2848" i="4"/>
  <c r="AX2847" i="4"/>
  <c r="AW2847" i="4"/>
  <c r="AV2847" i="4"/>
  <c r="AP2847" i="4"/>
  <c r="AO2847" i="4"/>
  <c r="AN2847" i="4"/>
  <c r="AM2847" i="4"/>
  <c r="BH2847" i="4"/>
  <c r="AX2846" i="4"/>
  <c r="AW2846" i="4"/>
  <c r="AV2846" i="4"/>
  <c r="AP2846" i="4"/>
  <c r="AO2846" i="4"/>
  <c r="AN2846" i="4"/>
  <c r="AM2846" i="4"/>
  <c r="BH2846" i="4"/>
  <c r="AX2845" i="4"/>
  <c r="AW2845" i="4"/>
  <c r="AV2845" i="4"/>
  <c r="AP2845" i="4"/>
  <c r="AO2845" i="4"/>
  <c r="AN2845" i="4"/>
  <c r="AM2845" i="4"/>
  <c r="BH2845" i="4"/>
  <c r="AX2844" i="4"/>
  <c r="AW2844" i="4"/>
  <c r="AV2844" i="4"/>
  <c r="AP2844" i="4"/>
  <c r="AO2844" i="4"/>
  <c r="AN2844" i="4"/>
  <c r="AM2844" i="4"/>
  <c r="BH2844" i="4"/>
  <c r="AX2843" i="4"/>
  <c r="AW2843" i="4"/>
  <c r="AV2843" i="4"/>
  <c r="AP2843" i="4"/>
  <c r="AO2843" i="4"/>
  <c r="AN2843" i="4"/>
  <c r="AM2843" i="4"/>
  <c r="BH2843" i="4"/>
  <c r="AX2842" i="4"/>
  <c r="AW2842" i="4"/>
  <c r="AV2842" i="4"/>
  <c r="AP2842" i="4"/>
  <c r="AO2842" i="4"/>
  <c r="AN2842" i="4"/>
  <c r="AM2842" i="4"/>
  <c r="BH2842" i="4"/>
  <c r="AX2841" i="4"/>
  <c r="AW2841" i="4"/>
  <c r="AV2841" i="4"/>
  <c r="AP2841" i="4"/>
  <c r="AO2841" i="4"/>
  <c r="AN2841" i="4"/>
  <c r="AM2841" i="4"/>
  <c r="BH2841" i="4"/>
  <c r="AX2840" i="4"/>
  <c r="AW2840" i="4"/>
  <c r="AV2840" i="4"/>
  <c r="AP2840" i="4"/>
  <c r="AO2840" i="4"/>
  <c r="AN2840" i="4"/>
  <c r="AM2840" i="4"/>
  <c r="BH2840" i="4"/>
  <c r="AX2839" i="4"/>
  <c r="AW2839" i="4"/>
  <c r="AV2839" i="4"/>
  <c r="AP2839" i="4"/>
  <c r="AO2839" i="4"/>
  <c r="AN2839" i="4"/>
  <c r="AM2839" i="4"/>
  <c r="BH2839" i="4"/>
  <c r="AX2838" i="4"/>
  <c r="AW2838" i="4"/>
  <c r="AV2838" i="4"/>
  <c r="AP2838" i="4"/>
  <c r="AO2838" i="4"/>
  <c r="AN2838" i="4"/>
  <c r="AM2838" i="4"/>
  <c r="BH2838" i="4"/>
  <c r="AX2837" i="4"/>
  <c r="AW2837" i="4"/>
  <c r="AV2837" i="4"/>
  <c r="AP2837" i="4"/>
  <c r="AO2837" i="4"/>
  <c r="AN2837" i="4"/>
  <c r="AM2837" i="4"/>
  <c r="BH2837" i="4"/>
  <c r="AX2836" i="4"/>
  <c r="AW2836" i="4"/>
  <c r="AV2836" i="4"/>
  <c r="AP2836" i="4"/>
  <c r="AO2836" i="4"/>
  <c r="AN2836" i="4"/>
  <c r="AM2836" i="4"/>
  <c r="BH2836" i="4"/>
  <c r="AX2835" i="4"/>
  <c r="AW2835" i="4"/>
  <c r="AV2835" i="4"/>
  <c r="AP2835" i="4"/>
  <c r="AO2835" i="4"/>
  <c r="AN2835" i="4"/>
  <c r="AM2835" i="4"/>
  <c r="BH2835" i="4"/>
  <c r="AX2834" i="4"/>
  <c r="AW2834" i="4"/>
  <c r="AV2834" i="4"/>
  <c r="AP2834" i="4"/>
  <c r="AO2834" i="4"/>
  <c r="AN2834" i="4"/>
  <c r="AM2834" i="4"/>
  <c r="BH2834" i="4"/>
  <c r="AX2833" i="4"/>
  <c r="AW2833" i="4"/>
  <c r="AV2833" i="4"/>
  <c r="AP2833" i="4"/>
  <c r="AO2833" i="4"/>
  <c r="AN2833" i="4"/>
  <c r="AM2833" i="4"/>
  <c r="BH2833" i="4"/>
  <c r="AX2832" i="4"/>
  <c r="AW2832" i="4"/>
  <c r="AV2832" i="4"/>
  <c r="AP2832" i="4"/>
  <c r="AO2832" i="4"/>
  <c r="AN2832" i="4"/>
  <c r="AM2832" i="4"/>
  <c r="BH2832" i="4"/>
  <c r="AX2831" i="4"/>
  <c r="AW2831" i="4"/>
  <c r="AV2831" i="4"/>
  <c r="AP2831" i="4"/>
  <c r="AO2831" i="4"/>
  <c r="AN2831" i="4"/>
  <c r="AM2831" i="4"/>
  <c r="BH2831" i="4"/>
  <c r="AX2830" i="4"/>
  <c r="AW2830" i="4"/>
  <c r="AV2830" i="4"/>
  <c r="AP2830" i="4"/>
  <c r="AO2830" i="4"/>
  <c r="AN2830" i="4"/>
  <c r="AM2830" i="4"/>
  <c r="BH2830" i="4"/>
  <c r="AX2829" i="4"/>
  <c r="AW2829" i="4"/>
  <c r="AV2829" i="4"/>
  <c r="AP2829" i="4"/>
  <c r="AO2829" i="4"/>
  <c r="AN2829" i="4"/>
  <c r="AM2829" i="4"/>
  <c r="BH2829" i="4"/>
  <c r="AX2828" i="4"/>
  <c r="AW2828" i="4"/>
  <c r="AV2828" i="4"/>
  <c r="AP2828" i="4"/>
  <c r="AO2828" i="4"/>
  <c r="AN2828" i="4"/>
  <c r="AM2828" i="4"/>
  <c r="BH2828" i="4"/>
  <c r="AX2827" i="4"/>
  <c r="AW2827" i="4"/>
  <c r="AV2827" i="4"/>
  <c r="AP2827" i="4"/>
  <c r="AO2827" i="4"/>
  <c r="AN2827" i="4"/>
  <c r="AM2827" i="4"/>
  <c r="BH2827" i="4"/>
  <c r="AX2826" i="4"/>
  <c r="AW2826" i="4"/>
  <c r="AV2826" i="4"/>
  <c r="AP2826" i="4"/>
  <c r="AO2826" i="4"/>
  <c r="AN2826" i="4"/>
  <c r="AM2826" i="4"/>
  <c r="BH2826" i="4"/>
  <c r="AX2825" i="4"/>
  <c r="AW2825" i="4"/>
  <c r="AV2825" i="4"/>
  <c r="AP2825" i="4"/>
  <c r="AO2825" i="4"/>
  <c r="AN2825" i="4"/>
  <c r="AM2825" i="4"/>
  <c r="BH2825" i="4"/>
  <c r="AX2824" i="4"/>
  <c r="AW2824" i="4"/>
  <c r="AV2824" i="4"/>
  <c r="AP2824" i="4"/>
  <c r="AO2824" i="4"/>
  <c r="AN2824" i="4"/>
  <c r="AM2824" i="4"/>
  <c r="BH2824" i="4"/>
  <c r="AX2823" i="4"/>
  <c r="AW2823" i="4"/>
  <c r="AV2823" i="4"/>
  <c r="AP2823" i="4"/>
  <c r="AO2823" i="4"/>
  <c r="AN2823" i="4"/>
  <c r="AM2823" i="4"/>
  <c r="BH2823" i="4"/>
  <c r="AX2822" i="4"/>
  <c r="AW2822" i="4"/>
  <c r="AV2822" i="4"/>
  <c r="AP2822" i="4"/>
  <c r="AO2822" i="4"/>
  <c r="AN2822" i="4"/>
  <c r="AM2822" i="4"/>
  <c r="BH2822" i="4"/>
  <c r="AX2821" i="4"/>
  <c r="AW2821" i="4"/>
  <c r="AV2821" i="4"/>
  <c r="AP2821" i="4"/>
  <c r="AO2821" i="4"/>
  <c r="AN2821" i="4"/>
  <c r="AM2821" i="4"/>
  <c r="BH2821" i="4"/>
  <c r="AX2820" i="4"/>
  <c r="AW2820" i="4"/>
  <c r="AV2820" i="4"/>
  <c r="AP2820" i="4"/>
  <c r="AO2820" i="4"/>
  <c r="AN2820" i="4"/>
  <c r="AM2820" i="4"/>
  <c r="BH2820" i="4"/>
  <c r="AX2819" i="4"/>
  <c r="AW2819" i="4"/>
  <c r="AV2819" i="4"/>
  <c r="AP2819" i="4"/>
  <c r="AO2819" i="4"/>
  <c r="AN2819" i="4"/>
  <c r="AM2819" i="4"/>
  <c r="BH2819" i="4"/>
  <c r="AX2818" i="4"/>
  <c r="AW2818" i="4"/>
  <c r="AV2818" i="4"/>
  <c r="AP2818" i="4"/>
  <c r="AO2818" i="4"/>
  <c r="AN2818" i="4"/>
  <c r="AM2818" i="4"/>
  <c r="BH2818" i="4"/>
  <c r="AX2817" i="4"/>
  <c r="AW2817" i="4"/>
  <c r="AV2817" i="4"/>
  <c r="AP2817" i="4"/>
  <c r="AO2817" i="4"/>
  <c r="AN2817" i="4"/>
  <c r="AM2817" i="4"/>
  <c r="BH2817" i="4"/>
  <c r="AX2816" i="4"/>
  <c r="AW2816" i="4"/>
  <c r="AV2816" i="4"/>
  <c r="AP2816" i="4"/>
  <c r="AO2816" i="4"/>
  <c r="AN2816" i="4"/>
  <c r="AM2816" i="4"/>
  <c r="BH2816" i="4"/>
  <c r="AX2815" i="4"/>
  <c r="AW2815" i="4"/>
  <c r="AV2815" i="4"/>
  <c r="AP2815" i="4"/>
  <c r="AO2815" i="4"/>
  <c r="AN2815" i="4"/>
  <c r="AM2815" i="4"/>
  <c r="BH2815" i="4"/>
  <c r="AX2814" i="4"/>
  <c r="AW2814" i="4"/>
  <c r="AV2814" i="4"/>
  <c r="AP2814" i="4"/>
  <c r="AO2814" i="4"/>
  <c r="AN2814" i="4"/>
  <c r="AM2814" i="4"/>
  <c r="BH2814" i="4"/>
  <c r="AX2813" i="4"/>
  <c r="AW2813" i="4"/>
  <c r="AV2813" i="4"/>
  <c r="AP2813" i="4"/>
  <c r="AO2813" i="4"/>
  <c r="AN2813" i="4"/>
  <c r="AM2813" i="4"/>
  <c r="BH2813" i="4"/>
  <c r="AX2812" i="4"/>
  <c r="AW2812" i="4"/>
  <c r="AV2812" i="4"/>
  <c r="AP2812" i="4"/>
  <c r="AO2812" i="4"/>
  <c r="AN2812" i="4"/>
  <c r="AM2812" i="4"/>
  <c r="BH2812" i="4"/>
  <c r="AX2811" i="4"/>
  <c r="AW2811" i="4"/>
  <c r="AV2811" i="4"/>
  <c r="AP2811" i="4"/>
  <c r="AO2811" i="4"/>
  <c r="AN2811" i="4"/>
  <c r="AM2811" i="4"/>
  <c r="BH2811" i="4"/>
  <c r="AX2810" i="4"/>
  <c r="AW2810" i="4"/>
  <c r="AV2810" i="4"/>
  <c r="AP2810" i="4"/>
  <c r="AO2810" i="4"/>
  <c r="AN2810" i="4"/>
  <c r="AM2810" i="4"/>
  <c r="BH2810" i="4"/>
  <c r="AX2809" i="4"/>
  <c r="AW2809" i="4"/>
  <c r="AV2809" i="4"/>
  <c r="AP2809" i="4"/>
  <c r="AO2809" i="4"/>
  <c r="AN2809" i="4"/>
  <c r="AM2809" i="4"/>
  <c r="BH2809" i="4"/>
  <c r="AX2808" i="4"/>
  <c r="AW2808" i="4"/>
  <c r="AV2808" i="4"/>
  <c r="AP2808" i="4"/>
  <c r="AO2808" i="4"/>
  <c r="AN2808" i="4"/>
  <c r="AM2808" i="4"/>
  <c r="BH2808" i="4"/>
  <c r="AX2807" i="4"/>
  <c r="AW2807" i="4"/>
  <c r="AV2807" i="4"/>
  <c r="AP2807" i="4"/>
  <c r="AO2807" i="4"/>
  <c r="AN2807" i="4"/>
  <c r="AM2807" i="4"/>
  <c r="BH2807" i="4"/>
  <c r="AX2806" i="4"/>
  <c r="AW2806" i="4"/>
  <c r="AV2806" i="4"/>
  <c r="AP2806" i="4"/>
  <c r="AO2806" i="4"/>
  <c r="AN2806" i="4"/>
  <c r="AM2806" i="4"/>
  <c r="BH2806" i="4"/>
  <c r="AX2805" i="4"/>
  <c r="AW2805" i="4"/>
  <c r="AV2805" i="4"/>
  <c r="AP2805" i="4"/>
  <c r="AO2805" i="4"/>
  <c r="AN2805" i="4"/>
  <c r="AM2805" i="4"/>
  <c r="BH2805" i="4"/>
  <c r="AX2804" i="4"/>
  <c r="AW2804" i="4"/>
  <c r="AV2804" i="4"/>
  <c r="AP2804" i="4"/>
  <c r="AO2804" i="4"/>
  <c r="AN2804" i="4"/>
  <c r="AM2804" i="4"/>
  <c r="BH2804" i="4"/>
  <c r="AX2803" i="4"/>
  <c r="AW2803" i="4"/>
  <c r="AV2803" i="4"/>
  <c r="AP2803" i="4"/>
  <c r="AO2803" i="4"/>
  <c r="AN2803" i="4"/>
  <c r="AM2803" i="4"/>
  <c r="BH2803" i="4"/>
  <c r="AX2802" i="4"/>
  <c r="AW2802" i="4"/>
  <c r="AV2802" i="4"/>
  <c r="AP2802" i="4"/>
  <c r="AO2802" i="4"/>
  <c r="AN2802" i="4"/>
  <c r="AM2802" i="4"/>
  <c r="BH2802" i="4"/>
  <c r="AX2801" i="4"/>
  <c r="AW2801" i="4"/>
  <c r="AV2801" i="4"/>
  <c r="AP2801" i="4"/>
  <c r="AO2801" i="4"/>
  <c r="AN2801" i="4"/>
  <c r="AM2801" i="4"/>
  <c r="BH2801" i="4"/>
  <c r="AX2800" i="4"/>
  <c r="AW2800" i="4"/>
  <c r="AV2800" i="4"/>
  <c r="AP2800" i="4"/>
  <c r="AO2800" i="4"/>
  <c r="AN2800" i="4"/>
  <c r="AM2800" i="4"/>
  <c r="BH2800" i="4"/>
  <c r="AX2799" i="4"/>
  <c r="AW2799" i="4"/>
  <c r="AV2799" i="4"/>
  <c r="AP2799" i="4"/>
  <c r="AO2799" i="4"/>
  <c r="AN2799" i="4"/>
  <c r="AM2799" i="4"/>
  <c r="BH2799" i="4"/>
  <c r="AX2798" i="4"/>
  <c r="AW2798" i="4"/>
  <c r="AV2798" i="4"/>
  <c r="AP2798" i="4"/>
  <c r="AO2798" i="4"/>
  <c r="AN2798" i="4"/>
  <c r="AM2798" i="4"/>
  <c r="BH2798" i="4"/>
  <c r="AX2797" i="4"/>
  <c r="AW2797" i="4"/>
  <c r="AV2797" i="4"/>
  <c r="AP2797" i="4"/>
  <c r="AO2797" i="4"/>
  <c r="AN2797" i="4"/>
  <c r="AM2797" i="4"/>
  <c r="BH2797" i="4"/>
  <c r="AX2796" i="4"/>
  <c r="AW2796" i="4"/>
  <c r="AV2796" i="4"/>
  <c r="AP2796" i="4"/>
  <c r="AO2796" i="4"/>
  <c r="AN2796" i="4"/>
  <c r="AM2796" i="4"/>
  <c r="BH2796" i="4"/>
  <c r="AX2795" i="4"/>
  <c r="AW2795" i="4"/>
  <c r="AV2795" i="4"/>
  <c r="AP2795" i="4"/>
  <c r="AO2795" i="4"/>
  <c r="AN2795" i="4"/>
  <c r="AM2795" i="4"/>
  <c r="BH2795" i="4"/>
  <c r="AX2794" i="4"/>
  <c r="AW2794" i="4"/>
  <c r="AV2794" i="4"/>
  <c r="AP2794" i="4"/>
  <c r="AO2794" i="4"/>
  <c r="AN2794" i="4"/>
  <c r="AM2794" i="4"/>
  <c r="BH2794" i="4"/>
  <c r="AX2793" i="4"/>
  <c r="AW2793" i="4"/>
  <c r="AV2793" i="4"/>
  <c r="AP2793" i="4"/>
  <c r="AO2793" i="4"/>
  <c r="AN2793" i="4"/>
  <c r="AM2793" i="4"/>
  <c r="BH2793" i="4"/>
  <c r="AX2792" i="4"/>
  <c r="AW2792" i="4"/>
  <c r="AV2792" i="4"/>
  <c r="AP2792" i="4"/>
  <c r="AO2792" i="4"/>
  <c r="AN2792" i="4"/>
  <c r="AM2792" i="4"/>
  <c r="BH2792" i="4"/>
  <c r="AX2791" i="4"/>
  <c r="AW2791" i="4"/>
  <c r="AV2791" i="4"/>
  <c r="AP2791" i="4"/>
  <c r="AO2791" i="4"/>
  <c r="AN2791" i="4"/>
  <c r="AM2791" i="4"/>
  <c r="BH2791" i="4"/>
  <c r="AX2790" i="4"/>
  <c r="AW2790" i="4"/>
  <c r="AV2790" i="4"/>
  <c r="AP2790" i="4"/>
  <c r="AO2790" i="4"/>
  <c r="AN2790" i="4"/>
  <c r="AM2790" i="4"/>
  <c r="BH2790" i="4"/>
  <c r="AX2789" i="4"/>
  <c r="AW2789" i="4"/>
  <c r="AV2789" i="4"/>
  <c r="AP2789" i="4"/>
  <c r="AO2789" i="4"/>
  <c r="AN2789" i="4"/>
  <c r="AM2789" i="4"/>
  <c r="BH2789" i="4"/>
  <c r="AX2788" i="4"/>
  <c r="AW2788" i="4"/>
  <c r="AV2788" i="4"/>
  <c r="AP2788" i="4"/>
  <c r="AO2788" i="4"/>
  <c r="AN2788" i="4"/>
  <c r="AM2788" i="4"/>
  <c r="BH2788" i="4"/>
  <c r="AX2787" i="4"/>
  <c r="AW2787" i="4"/>
  <c r="AV2787" i="4"/>
  <c r="AP2787" i="4"/>
  <c r="AO2787" i="4"/>
  <c r="AN2787" i="4"/>
  <c r="AM2787" i="4"/>
  <c r="BH2787" i="4"/>
  <c r="AX2786" i="4"/>
  <c r="AW2786" i="4"/>
  <c r="AV2786" i="4"/>
  <c r="AP2786" i="4"/>
  <c r="AO2786" i="4"/>
  <c r="AN2786" i="4"/>
  <c r="AM2786" i="4"/>
  <c r="BH2786" i="4"/>
  <c r="AX2785" i="4"/>
  <c r="AW2785" i="4"/>
  <c r="AV2785" i="4"/>
  <c r="AP2785" i="4"/>
  <c r="AO2785" i="4"/>
  <c r="AN2785" i="4"/>
  <c r="AM2785" i="4"/>
  <c r="BH2785" i="4"/>
  <c r="AX2784" i="4"/>
  <c r="AW2784" i="4"/>
  <c r="AV2784" i="4"/>
  <c r="AP2784" i="4"/>
  <c r="AO2784" i="4"/>
  <c r="AN2784" i="4"/>
  <c r="AM2784" i="4"/>
  <c r="BH2784" i="4"/>
  <c r="AX2783" i="4"/>
  <c r="AW2783" i="4"/>
  <c r="AV2783" i="4"/>
  <c r="AP2783" i="4"/>
  <c r="AO2783" i="4"/>
  <c r="AN2783" i="4"/>
  <c r="AM2783" i="4"/>
  <c r="BH2783" i="4"/>
  <c r="AX2782" i="4"/>
  <c r="AW2782" i="4"/>
  <c r="AV2782" i="4"/>
  <c r="AP2782" i="4"/>
  <c r="AO2782" i="4"/>
  <c r="AN2782" i="4"/>
  <c r="AM2782" i="4"/>
  <c r="BH2782" i="4"/>
  <c r="AX2781" i="4"/>
  <c r="AW2781" i="4"/>
  <c r="AV2781" i="4"/>
  <c r="AP2781" i="4"/>
  <c r="AO2781" i="4"/>
  <c r="AN2781" i="4"/>
  <c r="AM2781" i="4"/>
  <c r="BH2781" i="4"/>
  <c r="AX2780" i="4"/>
  <c r="AW2780" i="4"/>
  <c r="AV2780" i="4"/>
  <c r="AP2780" i="4"/>
  <c r="AO2780" i="4"/>
  <c r="AN2780" i="4"/>
  <c r="AM2780" i="4"/>
  <c r="BH2780" i="4"/>
  <c r="AX2779" i="4"/>
  <c r="AW2779" i="4"/>
  <c r="AV2779" i="4"/>
  <c r="AP2779" i="4"/>
  <c r="AO2779" i="4"/>
  <c r="AN2779" i="4"/>
  <c r="AM2779" i="4"/>
  <c r="BH2779" i="4"/>
  <c r="AX2778" i="4"/>
  <c r="AW2778" i="4"/>
  <c r="AV2778" i="4"/>
  <c r="AP2778" i="4"/>
  <c r="AO2778" i="4"/>
  <c r="AN2778" i="4"/>
  <c r="AM2778" i="4"/>
  <c r="BH2778" i="4"/>
  <c r="AX2777" i="4"/>
  <c r="AW2777" i="4"/>
  <c r="AV2777" i="4"/>
  <c r="AP2777" i="4"/>
  <c r="AO2777" i="4"/>
  <c r="AN2777" i="4"/>
  <c r="AM2777" i="4"/>
  <c r="BH2777" i="4"/>
  <c r="AX2776" i="4"/>
  <c r="AW2776" i="4"/>
  <c r="AV2776" i="4"/>
  <c r="AP2776" i="4"/>
  <c r="AO2776" i="4"/>
  <c r="AN2776" i="4"/>
  <c r="AM2776" i="4"/>
  <c r="BH2776" i="4"/>
  <c r="AX2775" i="4"/>
  <c r="AW2775" i="4"/>
  <c r="AV2775" i="4"/>
  <c r="AP2775" i="4"/>
  <c r="AO2775" i="4"/>
  <c r="AN2775" i="4"/>
  <c r="AM2775" i="4"/>
  <c r="BH2775" i="4"/>
  <c r="AX2774" i="4"/>
  <c r="AW2774" i="4"/>
  <c r="AV2774" i="4"/>
  <c r="AP2774" i="4"/>
  <c r="AO2774" i="4"/>
  <c r="AN2774" i="4"/>
  <c r="AM2774" i="4"/>
  <c r="BH2774" i="4"/>
  <c r="AX2773" i="4"/>
  <c r="AW2773" i="4"/>
  <c r="AV2773" i="4"/>
  <c r="AP2773" i="4"/>
  <c r="AO2773" i="4"/>
  <c r="AN2773" i="4"/>
  <c r="AM2773" i="4"/>
  <c r="BH2773" i="4"/>
  <c r="AX2772" i="4"/>
  <c r="AW2772" i="4"/>
  <c r="AV2772" i="4"/>
  <c r="AP2772" i="4"/>
  <c r="AO2772" i="4"/>
  <c r="AN2772" i="4"/>
  <c r="AM2772" i="4"/>
  <c r="BH2772" i="4"/>
  <c r="AX2771" i="4"/>
  <c r="AW2771" i="4"/>
  <c r="AV2771" i="4"/>
  <c r="AP2771" i="4"/>
  <c r="AO2771" i="4"/>
  <c r="AN2771" i="4"/>
  <c r="AM2771" i="4"/>
  <c r="BH2771" i="4"/>
  <c r="AX2770" i="4"/>
  <c r="AW2770" i="4"/>
  <c r="AV2770" i="4"/>
  <c r="AP2770" i="4"/>
  <c r="AO2770" i="4"/>
  <c r="AN2770" i="4"/>
  <c r="AM2770" i="4"/>
  <c r="BH2770" i="4"/>
  <c r="AX2769" i="4"/>
  <c r="AW2769" i="4"/>
  <c r="AV2769" i="4"/>
  <c r="AP2769" i="4"/>
  <c r="AO2769" i="4"/>
  <c r="AN2769" i="4"/>
  <c r="AM2769" i="4"/>
  <c r="BH2769" i="4"/>
  <c r="AX2768" i="4"/>
  <c r="AW2768" i="4"/>
  <c r="AV2768" i="4"/>
  <c r="AP2768" i="4"/>
  <c r="AO2768" i="4"/>
  <c r="AN2768" i="4"/>
  <c r="AM2768" i="4"/>
  <c r="BH2768" i="4"/>
  <c r="AX2767" i="4"/>
  <c r="AW2767" i="4"/>
  <c r="AV2767" i="4"/>
  <c r="AP2767" i="4"/>
  <c r="AO2767" i="4"/>
  <c r="AN2767" i="4"/>
  <c r="AM2767" i="4"/>
  <c r="BH2767" i="4"/>
  <c r="AX2766" i="4"/>
  <c r="AW2766" i="4"/>
  <c r="AV2766" i="4"/>
  <c r="AP2766" i="4"/>
  <c r="AO2766" i="4"/>
  <c r="AN2766" i="4"/>
  <c r="AM2766" i="4"/>
  <c r="BH2766" i="4"/>
  <c r="AX2765" i="4"/>
  <c r="AW2765" i="4"/>
  <c r="AV2765" i="4"/>
  <c r="AP2765" i="4"/>
  <c r="AO2765" i="4"/>
  <c r="AN2765" i="4"/>
  <c r="AM2765" i="4"/>
  <c r="BH2765" i="4"/>
  <c r="AX2764" i="4"/>
  <c r="AW2764" i="4"/>
  <c r="AV2764" i="4"/>
  <c r="AP2764" i="4"/>
  <c r="AO2764" i="4"/>
  <c r="AN2764" i="4"/>
  <c r="AM2764" i="4"/>
  <c r="BH2764" i="4"/>
  <c r="AX2763" i="4"/>
  <c r="AW2763" i="4"/>
  <c r="AV2763" i="4"/>
  <c r="AP2763" i="4"/>
  <c r="AO2763" i="4"/>
  <c r="AN2763" i="4"/>
  <c r="AM2763" i="4"/>
  <c r="BH2763" i="4"/>
  <c r="AX2762" i="4"/>
  <c r="AW2762" i="4"/>
  <c r="AV2762" i="4"/>
  <c r="AP2762" i="4"/>
  <c r="AO2762" i="4"/>
  <c r="AN2762" i="4"/>
  <c r="AM2762" i="4"/>
  <c r="BH2762" i="4"/>
  <c r="AX2761" i="4"/>
  <c r="AW2761" i="4"/>
  <c r="AV2761" i="4"/>
  <c r="AP2761" i="4"/>
  <c r="AO2761" i="4"/>
  <c r="AN2761" i="4"/>
  <c r="AM2761" i="4"/>
  <c r="BH2761" i="4"/>
  <c r="AX2760" i="4"/>
  <c r="AW2760" i="4"/>
  <c r="AV2760" i="4"/>
  <c r="AP2760" i="4"/>
  <c r="AO2760" i="4"/>
  <c r="AN2760" i="4"/>
  <c r="AM2760" i="4"/>
  <c r="BH2760" i="4"/>
  <c r="AX2759" i="4"/>
  <c r="AW2759" i="4"/>
  <c r="AV2759" i="4"/>
  <c r="AP2759" i="4"/>
  <c r="AO2759" i="4"/>
  <c r="AN2759" i="4"/>
  <c r="AM2759" i="4"/>
  <c r="BH2759" i="4"/>
  <c r="AX2758" i="4"/>
  <c r="AW2758" i="4"/>
  <c r="AV2758" i="4"/>
  <c r="AP2758" i="4"/>
  <c r="AO2758" i="4"/>
  <c r="AN2758" i="4"/>
  <c r="AM2758" i="4"/>
  <c r="BH2758" i="4"/>
  <c r="AX2757" i="4"/>
  <c r="AW2757" i="4"/>
  <c r="AV2757" i="4"/>
  <c r="AP2757" i="4"/>
  <c r="AO2757" i="4"/>
  <c r="AN2757" i="4"/>
  <c r="AM2757" i="4"/>
  <c r="BH2757" i="4"/>
  <c r="AX2756" i="4"/>
  <c r="AW2756" i="4"/>
  <c r="AV2756" i="4"/>
  <c r="AP2756" i="4"/>
  <c r="AO2756" i="4"/>
  <c r="AN2756" i="4"/>
  <c r="AM2756" i="4"/>
  <c r="BH2756" i="4"/>
  <c r="AX2755" i="4"/>
  <c r="AW2755" i="4"/>
  <c r="AV2755" i="4"/>
  <c r="AP2755" i="4"/>
  <c r="AO2755" i="4"/>
  <c r="AN2755" i="4"/>
  <c r="AM2755" i="4"/>
  <c r="BH2755" i="4"/>
  <c r="AX2754" i="4"/>
  <c r="AW2754" i="4"/>
  <c r="AV2754" i="4"/>
  <c r="AP2754" i="4"/>
  <c r="AO2754" i="4"/>
  <c r="AN2754" i="4"/>
  <c r="AM2754" i="4"/>
  <c r="BH2754" i="4"/>
  <c r="AX2753" i="4"/>
  <c r="AW2753" i="4"/>
  <c r="AV2753" i="4"/>
  <c r="AP2753" i="4"/>
  <c r="AO2753" i="4"/>
  <c r="AN2753" i="4"/>
  <c r="AM2753" i="4"/>
  <c r="BH2753" i="4"/>
  <c r="AX2752" i="4"/>
  <c r="AW2752" i="4"/>
  <c r="AV2752" i="4"/>
  <c r="AP2752" i="4"/>
  <c r="AO2752" i="4"/>
  <c r="AN2752" i="4"/>
  <c r="AM2752" i="4"/>
  <c r="BH2752" i="4"/>
  <c r="AX2751" i="4"/>
  <c r="AW2751" i="4"/>
  <c r="AV2751" i="4"/>
  <c r="AP2751" i="4"/>
  <c r="AO2751" i="4"/>
  <c r="AN2751" i="4"/>
  <c r="AM2751" i="4"/>
  <c r="BH2751" i="4"/>
  <c r="AX2750" i="4"/>
  <c r="AW2750" i="4"/>
  <c r="AV2750" i="4"/>
  <c r="AP2750" i="4"/>
  <c r="AO2750" i="4"/>
  <c r="AN2750" i="4"/>
  <c r="AM2750" i="4"/>
  <c r="BH2750" i="4"/>
  <c r="AX2749" i="4"/>
  <c r="AW2749" i="4"/>
  <c r="AV2749" i="4"/>
  <c r="AP2749" i="4"/>
  <c r="AO2749" i="4"/>
  <c r="AN2749" i="4"/>
  <c r="AM2749" i="4"/>
  <c r="BH2749" i="4"/>
  <c r="AX2748" i="4"/>
  <c r="AW2748" i="4"/>
  <c r="AV2748" i="4"/>
  <c r="AP2748" i="4"/>
  <c r="AO2748" i="4"/>
  <c r="AN2748" i="4"/>
  <c r="AM2748" i="4"/>
  <c r="BH2748" i="4"/>
  <c r="AX2747" i="4"/>
  <c r="AW2747" i="4"/>
  <c r="AV2747" i="4"/>
  <c r="AP2747" i="4"/>
  <c r="AO2747" i="4"/>
  <c r="AN2747" i="4"/>
  <c r="AM2747" i="4"/>
  <c r="BH2747" i="4"/>
  <c r="AX2746" i="4"/>
  <c r="AW2746" i="4"/>
  <c r="AV2746" i="4"/>
  <c r="AP2746" i="4"/>
  <c r="AO2746" i="4"/>
  <c r="AN2746" i="4"/>
  <c r="AM2746" i="4"/>
  <c r="BH2746" i="4"/>
  <c r="AX2745" i="4"/>
  <c r="AW2745" i="4"/>
  <c r="AV2745" i="4"/>
  <c r="AP2745" i="4"/>
  <c r="AO2745" i="4"/>
  <c r="AN2745" i="4"/>
  <c r="AM2745" i="4"/>
  <c r="BH2745" i="4"/>
  <c r="AX2744" i="4"/>
  <c r="AW2744" i="4"/>
  <c r="AV2744" i="4"/>
  <c r="AP2744" i="4"/>
  <c r="AO2744" i="4"/>
  <c r="AN2744" i="4"/>
  <c r="AM2744" i="4"/>
  <c r="BH2744" i="4"/>
  <c r="AX2743" i="4"/>
  <c r="AW2743" i="4"/>
  <c r="AV2743" i="4"/>
  <c r="AP2743" i="4"/>
  <c r="AO2743" i="4"/>
  <c r="AN2743" i="4"/>
  <c r="AM2743" i="4"/>
  <c r="BH2743" i="4"/>
  <c r="AX2742" i="4"/>
  <c r="AW2742" i="4"/>
  <c r="AV2742" i="4"/>
  <c r="AP2742" i="4"/>
  <c r="AO2742" i="4"/>
  <c r="AN2742" i="4"/>
  <c r="AM2742" i="4"/>
  <c r="BH2742" i="4"/>
  <c r="AX2741" i="4"/>
  <c r="AW2741" i="4"/>
  <c r="AV2741" i="4"/>
  <c r="AP2741" i="4"/>
  <c r="AO2741" i="4"/>
  <c r="AN2741" i="4"/>
  <c r="AM2741" i="4"/>
  <c r="BH2741" i="4"/>
  <c r="AX2740" i="4"/>
  <c r="AW2740" i="4"/>
  <c r="AV2740" i="4"/>
  <c r="AP2740" i="4"/>
  <c r="AO2740" i="4"/>
  <c r="AN2740" i="4"/>
  <c r="AM2740" i="4"/>
  <c r="BH2740" i="4"/>
  <c r="AX2739" i="4"/>
  <c r="AW2739" i="4"/>
  <c r="AV2739" i="4"/>
  <c r="AP2739" i="4"/>
  <c r="AO2739" i="4"/>
  <c r="AN2739" i="4"/>
  <c r="AM2739" i="4"/>
  <c r="BH2739" i="4"/>
  <c r="AX2738" i="4"/>
  <c r="AW2738" i="4"/>
  <c r="AV2738" i="4"/>
  <c r="AP2738" i="4"/>
  <c r="AO2738" i="4"/>
  <c r="AN2738" i="4"/>
  <c r="AM2738" i="4"/>
  <c r="BH2738" i="4"/>
  <c r="AX2737" i="4"/>
  <c r="AW2737" i="4"/>
  <c r="AV2737" i="4"/>
  <c r="AP2737" i="4"/>
  <c r="AO2737" i="4"/>
  <c r="AN2737" i="4"/>
  <c r="AM2737" i="4"/>
  <c r="BH2737" i="4"/>
  <c r="AX2736" i="4"/>
  <c r="AW2736" i="4"/>
  <c r="AV2736" i="4"/>
  <c r="AP2736" i="4"/>
  <c r="AO2736" i="4"/>
  <c r="AN2736" i="4"/>
  <c r="AM2736" i="4"/>
  <c r="BH2736" i="4"/>
  <c r="AX2735" i="4"/>
  <c r="AW2735" i="4"/>
  <c r="AV2735" i="4"/>
  <c r="AP2735" i="4"/>
  <c r="AO2735" i="4"/>
  <c r="AN2735" i="4"/>
  <c r="AM2735" i="4"/>
  <c r="BH2735" i="4"/>
  <c r="AX2734" i="4"/>
  <c r="AW2734" i="4"/>
  <c r="AV2734" i="4"/>
  <c r="AP2734" i="4"/>
  <c r="AO2734" i="4"/>
  <c r="AN2734" i="4"/>
  <c r="AM2734" i="4"/>
  <c r="BH2734" i="4"/>
  <c r="AX2733" i="4"/>
  <c r="AW2733" i="4"/>
  <c r="AV2733" i="4"/>
  <c r="AP2733" i="4"/>
  <c r="AO2733" i="4"/>
  <c r="AN2733" i="4"/>
  <c r="AM2733" i="4"/>
  <c r="BH2733" i="4"/>
  <c r="AX2732" i="4"/>
  <c r="AW2732" i="4"/>
  <c r="AV2732" i="4"/>
  <c r="AP2732" i="4"/>
  <c r="AO2732" i="4"/>
  <c r="AN2732" i="4"/>
  <c r="AM2732" i="4"/>
  <c r="BH2732" i="4"/>
  <c r="AX2731" i="4"/>
  <c r="AW2731" i="4"/>
  <c r="AV2731" i="4"/>
  <c r="AP2731" i="4"/>
  <c r="AO2731" i="4"/>
  <c r="AN2731" i="4"/>
  <c r="AM2731" i="4"/>
  <c r="BH2731" i="4"/>
  <c r="AX2730" i="4"/>
  <c r="AW2730" i="4"/>
  <c r="AV2730" i="4"/>
  <c r="AP2730" i="4"/>
  <c r="AO2730" i="4"/>
  <c r="AN2730" i="4"/>
  <c r="AM2730" i="4"/>
  <c r="BH2730" i="4"/>
  <c r="AX2729" i="4"/>
  <c r="AW2729" i="4"/>
  <c r="AV2729" i="4"/>
  <c r="AP2729" i="4"/>
  <c r="AO2729" i="4"/>
  <c r="AN2729" i="4"/>
  <c r="AM2729" i="4"/>
  <c r="BH2729" i="4"/>
  <c r="AX2728" i="4"/>
  <c r="AW2728" i="4"/>
  <c r="AV2728" i="4"/>
  <c r="AP2728" i="4"/>
  <c r="AO2728" i="4"/>
  <c r="AN2728" i="4"/>
  <c r="AM2728" i="4"/>
  <c r="BH2728" i="4"/>
  <c r="AX2727" i="4"/>
  <c r="AW2727" i="4"/>
  <c r="AV2727" i="4"/>
  <c r="AP2727" i="4"/>
  <c r="AO2727" i="4"/>
  <c r="AN2727" i="4"/>
  <c r="AM2727" i="4"/>
  <c r="BH2727" i="4"/>
  <c r="AX2726" i="4"/>
  <c r="AW2726" i="4"/>
  <c r="AV2726" i="4"/>
  <c r="AP2726" i="4"/>
  <c r="AO2726" i="4"/>
  <c r="AN2726" i="4"/>
  <c r="AM2726" i="4"/>
  <c r="BH2726" i="4"/>
  <c r="AX2725" i="4"/>
  <c r="AW2725" i="4"/>
  <c r="AV2725" i="4"/>
  <c r="AP2725" i="4"/>
  <c r="AO2725" i="4"/>
  <c r="AN2725" i="4"/>
  <c r="AM2725" i="4"/>
  <c r="BH2725" i="4"/>
  <c r="AX2724" i="4"/>
  <c r="AW2724" i="4"/>
  <c r="AV2724" i="4"/>
  <c r="AP2724" i="4"/>
  <c r="AO2724" i="4"/>
  <c r="AN2724" i="4"/>
  <c r="AM2724" i="4"/>
  <c r="BH2724" i="4"/>
  <c r="AX2723" i="4"/>
  <c r="AW2723" i="4"/>
  <c r="AV2723" i="4"/>
  <c r="AP2723" i="4"/>
  <c r="AO2723" i="4"/>
  <c r="AN2723" i="4"/>
  <c r="AM2723" i="4"/>
  <c r="BH2723" i="4"/>
  <c r="AX2722" i="4"/>
  <c r="AW2722" i="4"/>
  <c r="AV2722" i="4"/>
  <c r="AP2722" i="4"/>
  <c r="AO2722" i="4"/>
  <c r="AN2722" i="4"/>
  <c r="AM2722" i="4"/>
  <c r="BH2722" i="4"/>
  <c r="AX2721" i="4"/>
  <c r="AW2721" i="4"/>
  <c r="AV2721" i="4"/>
  <c r="AP2721" i="4"/>
  <c r="AO2721" i="4"/>
  <c r="AN2721" i="4"/>
  <c r="AM2721" i="4"/>
  <c r="BH2721" i="4"/>
  <c r="AX2720" i="4"/>
  <c r="AW2720" i="4"/>
  <c r="AV2720" i="4"/>
  <c r="AP2720" i="4"/>
  <c r="AO2720" i="4"/>
  <c r="AN2720" i="4"/>
  <c r="AM2720" i="4"/>
  <c r="BH2720" i="4"/>
  <c r="AX2719" i="4"/>
  <c r="AW2719" i="4"/>
  <c r="AV2719" i="4"/>
  <c r="AP2719" i="4"/>
  <c r="AO2719" i="4"/>
  <c r="AN2719" i="4"/>
  <c r="AM2719" i="4"/>
  <c r="BH2719" i="4"/>
  <c r="AX2718" i="4"/>
  <c r="AW2718" i="4"/>
  <c r="AV2718" i="4"/>
  <c r="AP2718" i="4"/>
  <c r="AO2718" i="4"/>
  <c r="AN2718" i="4"/>
  <c r="AM2718" i="4"/>
  <c r="BH2718" i="4"/>
  <c r="AX2717" i="4"/>
  <c r="AW2717" i="4"/>
  <c r="AV2717" i="4"/>
  <c r="AP2717" i="4"/>
  <c r="AO2717" i="4"/>
  <c r="AN2717" i="4"/>
  <c r="AM2717" i="4"/>
  <c r="BH2717" i="4"/>
  <c r="AX2716" i="4"/>
  <c r="AW2716" i="4"/>
  <c r="AV2716" i="4"/>
  <c r="AP2716" i="4"/>
  <c r="AO2716" i="4"/>
  <c r="AN2716" i="4"/>
  <c r="AM2716" i="4"/>
  <c r="BH2716" i="4"/>
  <c r="AX2715" i="4"/>
  <c r="AW2715" i="4"/>
  <c r="AV2715" i="4"/>
  <c r="AP2715" i="4"/>
  <c r="AO2715" i="4"/>
  <c r="AN2715" i="4"/>
  <c r="AM2715" i="4"/>
  <c r="BH2715" i="4"/>
  <c r="AX2714" i="4"/>
  <c r="AW2714" i="4"/>
  <c r="AV2714" i="4"/>
  <c r="AP2714" i="4"/>
  <c r="AO2714" i="4"/>
  <c r="AN2714" i="4"/>
  <c r="AM2714" i="4"/>
  <c r="BH2714" i="4"/>
  <c r="AX2713" i="4"/>
  <c r="AW2713" i="4"/>
  <c r="AV2713" i="4"/>
  <c r="AP2713" i="4"/>
  <c r="AO2713" i="4"/>
  <c r="AN2713" i="4"/>
  <c r="AM2713" i="4"/>
  <c r="BH2713" i="4"/>
  <c r="AX2712" i="4"/>
  <c r="AW2712" i="4"/>
  <c r="AV2712" i="4"/>
  <c r="AP2712" i="4"/>
  <c r="AO2712" i="4"/>
  <c r="AN2712" i="4"/>
  <c r="AM2712" i="4"/>
  <c r="BH2712" i="4"/>
  <c r="AX2711" i="4"/>
  <c r="AW2711" i="4"/>
  <c r="AV2711" i="4"/>
  <c r="AP2711" i="4"/>
  <c r="AO2711" i="4"/>
  <c r="AN2711" i="4"/>
  <c r="AM2711" i="4"/>
  <c r="BH2711" i="4"/>
  <c r="AX2710" i="4"/>
  <c r="AW2710" i="4"/>
  <c r="AV2710" i="4"/>
  <c r="AP2710" i="4"/>
  <c r="AO2710" i="4"/>
  <c r="AN2710" i="4"/>
  <c r="AM2710" i="4"/>
  <c r="BH2710" i="4"/>
  <c r="AX2709" i="4"/>
  <c r="AW2709" i="4"/>
  <c r="AV2709" i="4"/>
  <c r="AP2709" i="4"/>
  <c r="AO2709" i="4"/>
  <c r="AN2709" i="4"/>
  <c r="AM2709" i="4"/>
  <c r="BH2709" i="4"/>
  <c r="AX2708" i="4"/>
  <c r="AW2708" i="4"/>
  <c r="AV2708" i="4"/>
  <c r="AP2708" i="4"/>
  <c r="AO2708" i="4"/>
  <c r="AN2708" i="4"/>
  <c r="AM2708" i="4"/>
  <c r="BH2708" i="4"/>
  <c r="AX2707" i="4"/>
  <c r="AW2707" i="4"/>
  <c r="AV2707" i="4"/>
  <c r="AP2707" i="4"/>
  <c r="AO2707" i="4"/>
  <c r="AN2707" i="4"/>
  <c r="AM2707" i="4"/>
  <c r="BH2707" i="4"/>
  <c r="AX2706" i="4"/>
  <c r="AW2706" i="4"/>
  <c r="AV2706" i="4"/>
  <c r="AP2706" i="4"/>
  <c r="AO2706" i="4"/>
  <c r="AN2706" i="4"/>
  <c r="AM2706" i="4"/>
  <c r="BH2706" i="4"/>
  <c r="AX2705" i="4"/>
  <c r="AW2705" i="4"/>
  <c r="AV2705" i="4"/>
  <c r="AP2705" i="4"/>
  <c r="AO2705" i="4"/>
  <c r="AN2705" i="4"/>
  <c r="AM2705" i="4"/>
  <c r="BH2705" i="4"/>
  <c r="AX2704" i="4"/>
  <c r="AW2704" i="4"/>
  <c r="AV2704" i="4"/>
  <c r="AP2704" i="4"/>
  <c r="AO2704" i="4"/>
  <c r="AN2704" i="4"/>
  <c r="AM2704" i="4"/>
  <c r="BH2704" i="4"/>
  <c r="AX2703" i="4"/>
  <c r="AW2703" i="4"/>
  <c r="AV2703" i="4"/>
  <c r="AP2703" i="4"/>
  <c r="AO2703" i="4"/>
  <c r="AN2703" i="4"/>
  <c r="AM2703" i="4"/>
  <c r="BH2703" i="4"/>
  <c r="AX2702" i="4"/>
  <c r="AW2702" i="4"/>
  <c r="AV2702" i="4"/>
  <c r="AP2702" i="4"/>
  <c r="AO2702" i="4"/>
  <c r="AN2702" i="4"/>
  <c r="AM2702" i="4"/>
  <c r="BH2702" i="4"/>
  <c r="AX2701" i="4"/>
  <c r="AW2701" i="4"/>
  <c r="AV2701" i="4"/>
  <c r="AP2701" i="4"/>
  <c r="AO2701" i="4"/>
  <c r="AN2701" i="4"/>
  <c r="AM2701" i="4"/>
  <c r="BH2701" i="4"/>
  <c r="AX2700" i="4"/>
  <c r="AW2700" i="4"/>
  <c r="AV2700" i="4"/>
  <c r="AP2700" i="4"/>
  <c r="AO2700" i="4"/>
  <c r="AN2700" i="4"/>
  <c r="AM2700" i="4"/>
  <c r="BH2700" i="4"/>
  <c r="AX2699" i="4"/>
  <c r="AW2699" i="4"/>
  <c r="AV2699" i="4"/>
  <c r="AP2699" i="4"/>
  <c r="AO2699" i="4"/>
  <c r="AN2699" i="4"/>
  <c r="AM2699" i="4"/>
  <c r="BH2699" i="4"/>
  <c r="AX2698" i="4"/>
  <c r="AW2698" i="4"/>
  <c r="AV2698" i="4"/>
  <c r="AP2698" i="4"/>
  <c r="AO2698" i="4"/>
  <c r="AN2698" i="4"/>
  <c r="AM2698" i="4"/>
  <c r="BH2698" i="4"/>
  <c r="AX2697" i="4"/>
  <c r="AW2697" i="4"/>
  <c r="AV2697" i="4"/>
  <c r="AP2697" i="4"/>
  <c r="AO2697" i="4"/>
  <c r="AN2697" i="4"/>
  <c r="AM2697" i="4"/>
  <c r="BH2697" i="4"/>
  <c r="AX2696" i="4"/>
  <c r="AW2696" i="4"/>
  <c r="AV2696" i="4"/>
  <c r="AP2696" i="4"/>
  <c r="AO2696" i="4"/>
  <c r="AN2696" i="4"/>
  <c r="AM2696" i="4"/>
  <c r="BH2696" i="4"/>
  <c r="AX2695" i="4"/>
  <c r="AW2695" i="4"/>
  <c r="AV2695" i="4"/>
  <c r="AP2695" i="4"/>
  <c r="AO2695" i="4"/>
  <c r="AN2695" i="4"/>
  <c r="AM2695" i="4"/>
  <c r="BH2695" i="4"/>
  <c r="AX2694" i="4"/>
  <c r="AW2694" i="4"/>
  <c r="AV2694" i="4"/>
  <c r="AP2694" i="4"/>
  <c r="AO2694" i="4"/>
  <c r="AN2694" i="4"/>
  <c r="AM2694" i="4"/>
  <c r="BH2694" i="4"/>
  <c r="AX2693" i="4"/>
  <c r="AW2693" i="4"/>
  <c r="AV2693" i="4"/>
  <c r="AP2693" i="4"/>
  <c r="AO2693" i="4"/>
  <c r="AN2693" i="4"/>
  <c r="AM2693" i="4"/>
  <c r="BH2693" i="4"/>
  <c r="AX2692" i="4"/>
  <c r="AW2692" i="4"/>
  <c r="AV2692" i="4"/>
  <c r="AP2692" i="4"/>
  <c r="AO2692" i="4"/>
  <c r="AN2692" i="4"/>
  <c r="AM2692" i="4"/>
  <c r="BH2692" i="4"/>
  <c r="AX2691" i="4"/>
  <c r="AW2691" i="4"/>
  <c r="AV2691" i="4"/>
  <c r="AP2691" i="4"/>
  <c r="AO2691" i="4"/>
  <c r="AN2691" i="4"/>
  <c r="AM2691" i="4"/>
  <c r="BH2691" i="4"/>
  <c r="AX2690" i="4"/>
  <c r="AW2690" i="4"/>
  <c r="AV2690" i="4"/>
  <c r="AP2690" i="4"/>
  <c r="AO2690" i="4"/>
  <c r="AN2690" i="4"/>
  <c r="AM2690" i="4"/>
  <c r="BH2690" i="4"/>
  <c r="AX2689" i="4"/>
  <c r="AW2689" i="4"/>
  <c r="AV2689" i="4"/>
  <c r="AP2689" i="4"/>
  <c r="AO2689" i="4"/>
  <c r="AN2689" i="4"/>
  <c r="AM2689" i="4"/>
  <c r="BH2689" i="4"/>
  <c r="AX2688" i="4"/>
  <c r="AW2688" i="4"/>
  <c r="AV2688" i="4"/>
  <c r="AP2688" i="4"/>
  <c r="AO2688" i="4"/>
  <c r="AN2688" i="4"/>
  <c r="AM2688" i="4"/>
  <c r="BH2688" i="4"/>
  <c r="AX2687" i="4"/>
  <c r="AW2687" i="4"/>
  <c r="AV2687" i="4"/>
  <c r="AP2687" i="4"/>
  <c r="AO2687" i="4"/>
  <c r="AN2687" i="4"/>
  <c r="AM2687" i="4"/>
  <c r="BH2687" i="4"/>
  <c r="AX2686" i="4"/>
  <c r="AW2686" i="4"/>
  <c r="AV2686" i="4"/>
  <c r="AP2686" i="4"/>
  <c r="AO2686" i="4"/>
  <c r="AN2686" i="4"/>
  <c r="AM2686" i="4"/>
  <c r="BH2686" i="4"/>
  <c r="AX2685" i="4"/>
  <c r="AW2685" i="4"/>
  <c r="AV2685" i="4"/>
  <c r="AP2685" i="4"/>
  <c r="AO2685" i="4"/>
  <c r="AN2685" i="4"/>
  <c r="AM2685" i="4"/>
  <c r="BH2685" i="4"/>
  <c r="AX2684" i="4"/>
  <c r="AW2684" i="4"/>
  <c r="AV2684" i="4"/>
  <c r="AP2684" i="4"/>
  <c r="AO2684" i="4"/>
  <c r="AN2684" i="4"/>
  <c r="AM2684" i="4"/>
  <c r="BH2684" i="4"/>
  <c r="AX2683" i="4"/>
  <c r="AW2683" i="4"/>
  <c r="AV2683" i="4"/>
  <c r="AP2683" i="4"/>
  <c r="AO2683" i="4"/>
  <c r="AN2683" i="4"/>
  <c r="AM2683" i="4"/>
  <c r="BH2683" i="4"/>
  <c r="AX2682" i="4"/>
  <c r="AW2682" i="4"/>
  <c r="AV2682" i="4"/>
  <c r="AP2682" i="4"/>
  <c r="AO2682" i="4"/>
  <c r="AN2682" i="4"/>
  <c r="AM2682" i="4"/>
  <c r="BH2682" i="4"/>
  <c r="AX2681" i="4"/>
  <c r="AW2681" i="4"/>
  <c r="AV2681" i="4"/>
  <c r="AP2681" i="4"/>
  <c r="AO2681" i="4"/>
  <c r="AN2681" i="4"/>
  <c r="AM2681" i="4"/>
  <c r="BH2681" i="4"/>
  <c r="AX2680" i="4"/>
  <c r="AW2680" i="4"/>
  <c r="AV2680" i="4"/>
  <c r="AP2680" i="4"/>
  <c r="AO2680" i="4"/>
  <c r="AN2680" i="4"/>
  <c r="AM2680" i="4"/>
  <c r="BH2680" i="4"/>
  <c r="AX2679" i="4"/>
  <c r="AW2679" i="4"/>
  <c r="AV2679" i="4"/>
  <c r="AP2679" i="4"/>
  <c r="AO2679" i="4"/>
  <c r="AN2679" i="4"/>
  <c r="AM2679" i="4"/>
  <c r="BH2679" i="4"/>
  <c r="AX2678" i="4"/>
  <c r="AW2678" i="4"/>
  <c r="AV2678" i="4"/>
  <c r="AP2678" i="4"/>
  <c r="AO2678" i="4"/>
  <c r="AN2678" i="4"/>
  <c r="AM2678" i="4"/>
  <c r="BH2678" i="4"/>
  <c r="AX2677" i="4"/>
  <c r="AW2677" i="4"/>
  <c r="AV2677" i="4"/>
  <c r="AP2677" i="4"/>
  <c r="AO2677" i="4"/>
  <c r="AN2677" i="4"/>
  <c r="AM2677" i="4"/>
  <c r="BH2677" i="4"/>
  <c r="AX2676" i="4"/>
  <c r="AW2676" i="4"/>
  <c r="AV2676" i="4"/>
  <c r="AP2676" i="4"/>
  <c r="AO2676" i="4"/>
  <c r="AN2676" i="4"/>
  <c r="AM2676" i="4"/>
  <c r="BH2676" i="4"/>
  <c r="AX2675" i="4"/>
  <c r="AW2675" i="4"/>
  <c r="AV2675" i="4"/>
  <c r="AP2675" i="4"/>
  <c r="AO2675" i="4"/>
  <c r="AN2675" i="4"/>
  <c r="AM2675" i="4"/>
  <c r="BH2675" i="4"/>
  <c r="AX2674" i="4"/>
  <c r="AW2674" i="4"/>
  <c r="AV2674" i="4"/>
  <c r="AP2674" i="4"/>
  <c r="AO2674" i="4"/>
  <c r="AN2674" i="4"/>
  <c r="AM2674" i="4"/>
  <c r="BH2674" i="4"/>
  <c r="AX2673" i="4"/>
  <c r="AW2673" i="4"/>
  <c r="AV2673" i="4"/>
  <c r="AP2673" i="4"/>
  <c r="AO2673" i="4"/>
  <c r="AN2673" i="4"/>
  <c r="AM2673" i="4"/>
  <c r="BH2673" i="4"/>
  <c r="AX2672" i="4"/>
  <c r="AW2672" i="4"/>
  <c r="AV2672" i="4"/>
  <c r="AP2672" i="4"/>
  <c r="AO2672" i="4"/>
  <c r="AN2672" i="4"/>
  <c r="AM2672" i="4"/>
  <c r="BH2672" i="4"/>
  <c r="AX2671" i="4"/>
  <c r="AW2671" i="4"/>
  <c r="AV2671" i="4"/>
  <c r="AP2671" i="4"/>
  <c r="AO2671" i="4"/>
  <c r="AN2671" i="4"/>
  <c r="AM2671" i="4"/>
  <c r="BH2671" i="4"/>
  <c r="AX2670" i="4"/>
  <c r="AW2670" i="4"/>
  <c r="AV2670" i="4"/>
  <c r="AP2670" i="4"/>
  <c r="AO2670" i="4"/>
  <c r="AN2670" i="4"/>
  <c r="AM2670" i="4"/>
  <c r="BH2670" i="4"/>
  <c r="AX2669" i="4"/>
  <c r="AW2669" i="4"/>
  <c r="AV2669" i="4"/>
  <c r="AP2669" i="4"/>
  <c r="AO2669" i="4"/>
  <c r="AN2669" i="4"/>
  <c r="AM2669" i="4"/>
  <c r="BH2669" i="4"/>
  <c r="AX2668" i="4"/>
  <c r="AW2668" i="4"/>
  <c r="AV2668" i="4"/>
  <c r="AP2668" i="4"/>
  <c r="AO2668" i="4"/>
  <c r="AN2668" i="4"/>
  <c r="AM2668" i="4"/>
  <c r="BH2668" i="4"/>
  <c r="AX2667" i="4"/>
  <c r="AW2667" i="4"/>
  <c r="AV2667" i="4"/>
  <c r="AP2667" i="4"/>
  <c r="AO2667" i="4"/>
  <c r="AN2667" i="4"/>
  <c r="AM2667" i="4"/>
  <c r="BH2667" i="4"/>
  <c r="AX2666" i="4"/>
  <c r="AW2666" i="4"/>
  <c r="AV2666" i="4"/>
  <c r="AP2666" i="4"/>
  <c r="AO2666" i="4"/>
  <c r="AN2666" i="4"/>
  <c r="AM2666" i="4"/>
  <c r="BH2666" i="4"/>
  <c r="AX2665" i="4"/>
  <c r="AW2665" i="4"/>
  <c r="AV2665" i="4"/>
  <c r="AP2665" i="4"/>
  <c r="AO2665" i="4"/>
  <c r="AN2665" i="4"/>
  <c r="AM2665" i="4"/>
  <c r="BH2665" i="4"/>
  <c r="AX2664" i="4"/>
  <c r="AW2664" i="4"/>
  <c r="AV2664" i="4"/>
  <c r="AP2664" i="4"/>
  <c r="AO2664" i="4"/>
  <c r="AN2664" i="4"/>
  <c r="AM2664" i="4"/>
  <c r="BH2664" i="4"/>
  <c r="AX2663" i="4"/>
  <c r="AW2663" i="4"/>
  <c r="AV2663" i="4"/>
  <c r="AP2663" i="4"/>
  <c r="AO2663" i="4"/>
  <c r="AN2663" i="4"/>
  <c r="AM2663" i="4"/>
  <c r="BH2663" i="4"/>
  <c r="AX2662" i="4"/>
  <c r="AW2662" i="4"/>
  <c r="AV2662" i="4"/>
  <c r="AP2662" i="4"/>
  <c r="AO2662" i="4"/>
  <c r="AN2662" i="4"/>
  <c r="AM2662" i="4"/>
  <c r="BH2662" i="4"/>
  <c r="AX2661" i="4"/>
  <c r="AW2661" i="4"/>
  <c r="AV2661" i="4"/>
  <c r="AP2661" i="4"/>
  <c r="AO2661" i="4"/>
  <c r="AN2661" i="4"/>
  <c r="AM2661" i="4"/>
  <c r="BH2661" i="4"/>
  <c r="AX2660" i="4"/>
  <c r="AW2660" i="4"/>
  <c r="AV2660" i="4"/>
  <c r="AP2660" i="4"/>
  <c r="AO2660" i="4"/>
  <c r="AN2660" i="4"/>
  <c r="AM2660" i="4"/>
  <c r="BH2660" i="4"/>
  <c r="AX2659" i="4"/>
  <c r="AW2659" i="4"/>
  <c r="AV2659" i="4"/>
  <c r="AP2659" i="4"/>
  <c r="AO2659" i="4"/>
  <c r="AN2659" i="4"/>
  <c r="AM2659" i="4"/>
  <c r="BH2659" i="4"/>
  <c r="AX2658" i="4"/>
  <c r="AW2658" i="4"/>
  <c r="AV2658" i="4"/>
  <c r="AP2658" i="4"/>
  <c r="AO2658" i="4"/>
  <c r="AN2658" i="4"/>
  <c r="AM2658" i="4"/>
  <c r="BH2658" i="4"/>
  <c r="AX2657" i="4"/>
  <c r="AW2657" i="4"/>
  <c r="AV2657" i="4"/>
  <c r="AP2657" i="4"/>
  <c r="AO2657" i="4"/>
  <c r="AN2657" i="4"/>
  <c r="AM2657" i="4"/>
  <c r="BH2657" i="4"/>
  <c r="AX2656" i="4"/>
  <c r="AW2656" i="4"/>
  <c r="AV2656" i="4"/>
  <c r="AP2656" i="4"/>
  <c r="AO2656" i="4"/>
  <c r="AN2656" i="4"/>
  <c r="AM2656" i="4"/>
  <c r="BH2656" i="4"/>
  <c r="AX2655" i="4"/>
  <c r="AW2655" i="4"/>
  <c r="AV2655" i="4"/>
  <c r="AP2655" i="4"/>
  <c r="AO2655" i="4"/>
  <c r="AN2655" i="4"/>
  <c r="AM2655" i="4"/>
  <c r="BH2655" i="4"/>
  <c r="AX2654" i="4"/>
  <c r="AW2654" i="4"/>
  <c r="AV2654" i="4"/>
  <c r="AP2654" i="4"/>
  <c r="AO2654" i="4"/>
  <c r="AN2654" i="4"/>
  <c r="AM2654" i="4"/>
  <c r="BH2654" i="4"/>
  <c r="AX2653" i="4"/>
  <c r="AW2653" i="4"/>
  <c r="AV2653" i="4"/>
  <c r="AP2653" i="4"/>
  <c r="AO2653" i="4"/>
  <c r="AN2653" i="4"/>
  <c r="AM2653" i="4"/>
  <c r="BH2653" i="4"/>
  <c r="AX2652" i="4"/>
  <c r="AW2652" i="4"/>
  <c r="AV2652" i="4"/>
  <c r="AP2652" i="4"/>
  <c r="AO2652" i="4"/>
  <c r="AN2652" i="4"/>
  <c r="AM2652" i="4"/>
  <c r="BH2652" i="4"/>
  <c r="AX2651" i="4"/>
  <c r="AW2651" i="4"/>
  <c r="AV2651" i="4"/>
  <c r="AP2651" i="4"/>
  <c r="AO2651" i="4"/>
  <c r="AN2651" i="4"/>
  <c r="AM2651" i="4"/>
  <c r="BH2651" i="4"/>
  <c r="AX2650" i="4"/>
  <c r="AW2650" i="4"/>
  <c r="AV2650" i="4"/>
  <c r="AP2650" i="4"/>
  <c r="AO2650" i="4"/>
  <c r="AN2650" i="4"/>
  <c r="AM2650" i="4"/>
  <c r="BH2650" i="4"/>
  <c r="AX2649" i="4"/>
  <c r="AW2649" i="4"/>
  <c r="AV2649" i="4"/>
  <c r="AP2649" i="4"/>
  <c r="AO2649" i="4"/>
  <c r="AN2649" i="4"/>
  <c r="AM2649" i="4"/>
  <c r="BH2649" i="4"/>
  <c r="AX2648" i="4"/>
  <c r="AW2648" i="4"/>
  <c r="AV2648" i="4"/>
  <c r="AP2648" i="4"/>
  <c r="AO2648" i="4"/>
  <c r="AN2648" i="4"/>
  <c r="AM2648" i="4"/>
  <c r="BH2648" i="4"/>
  <c r="AX2647" i="4"/>
  <c r="AW2647" i="4"/>
  <c r="AV2647" i="4"/>
  <c r="AP2647" i="4"/>
  <c r="AO2647" i="4"/>
  <c r="AN2647" i="4"/>
  <c r="AM2647" i="4"/>
  <c r="BH2647" i="4"/>
  <c r="AX2646" i="4"/>
  <c r="AW2646" i="4"/>
  <c r="AV2646" i="4"/>
  <c r="AP2646" i="4"/>
  <c r="AO2646" i="4"/>
  <c r="AN2646" i="4"/>
  <c r="AM2646" i="4"/>
  <c r="BH2646" i="4"/>
  <c r="AX2645" i="4"/>
  <c r="AW2645" i="4"/>
  <c r="AV2645" i="4"/>
  <c r="AP2645" i="4"/>
  <c r="AO2645" i="4"/>
  <c r="AN2645" i="4"/>
  <c r="AM2645" i="4"/>
  <c r="BH2645" i="4"/>
  <c r="AX2644" i="4"/>
  <c r="AW2644" i="4"/>
  <c r="AV2644" i="4"/>
  <c r="AP2644" i="4"/>
  <c r="AO2644" i="4"/>
  <c r="AN2644" i="4"/>
  <c r="AM2644" i="4"/>
  <c r="BH2644" i="4"/>
  <c r="AX2643" i="4"/>
  <c r="AW2643" i="4"/>
  <c r="AV2643" i="4"/>
  <c r="AP2643" i="4"/>
  <c r="AO2643" i="4"/>
  <c r="AN2643" i="4"/>
  <c r="AM2643" i="4"/>
  <c r="BH2643" i="4"/>
  <c r="AX2642" i="4"/>
  <c r="AW2642" i="4"/>
  <c r="AV2642" i="4"/>
  <c r="AP2642" i="4"/>
  <c r="AO2642" i="4"/>
  <c r="AN2642" i="4"/>
  <c r="AM2642" i="4"/>
  <c r="BH2642" i="4"/>
  <c r="AX2641" i="4"/>
  <c r="AW2641" i="4"/>
  <c r="AV2641" i="4"/>
  <c r="AP2641" i="4"/>
  <c r="AO2641" i="4"/>
  <c r="AN2641" i="4"/>
  <c r="AM2641" i="4"/>
  <c r="BH2641" i="4"/>
  <c r="AX2640" i="4"/>
  <c r="AW2640" i="4"/>
  <c r="AV2640" i="4"/>
  <c r="AP2640" i="4"/>
  <c r="AO2640" i="4"/>
  <c r="AN2640" i="4"/>
  <c r="AM2640" i="4"/>
  <c r="BH2640" i="4"/>
  <c r="AX2639" i="4"/>
  <c r="AW2639" i="4"/>
  <c r="AV2639" i="4"/>
  <c r="AP2639" i="4"/>
  <c r="AO2639" i="4"/>
  <c r="AN2639" i="4"/>
  <c r="AM2639" i="4"/>
  <c r="BH2639" i="4"/>
  <c r="AX2638" i="4"/>
  <c r="AW2638" i="4"/>
  <c r="AV2638" i="4"/>
  <c r="AP2638" i="4"/>
  <c r="AO2638" i="4"/>
  <c r="AN2638" i="4"/>
  <c r="AM2638" i="4"/>
  <c r="BH2638" i="4"/>
  <c r="AX2637" i="4"/>
  <c r="AW2637" i="4"/>
  <c r="AV2637" i="4"/>
  <c r="AP2637" i="4"/>
  <c r="AO2637" i="4"/>
  <c r="AN2637" i="4"/>
  <c r="AM2637" i="4"/>
  <c r="BH2637" i="4"/>
  <c r="AX2636" i="4"/>
  <c r="AW2636" i="4"/>
  <c r="AV2636" i="4"/>
  <c r="AP2636" i="4"/>
  <c r="AO2636" i="4"/>
  <c r="AN2636" i="4"/>
  <c r="AM2636" i="4"/>
  <c r="BH2636" i="4"/>
  <c r="AX2635" i="4"/>
  <c r="AW2635" i="4"/>
  <c r="AV2635" i="4"/>
  <c r="AP2635" i="4"/>
  <c r="AO2635" i="4"/>
  <c r="AN2635" i="4"/>
  <c r="AM2635" i="4"/>
  <c r="BH2635" i="4"/>
  <c r="AX2634" i="4"/>
  <c r="AW2634" i="4"/>
  <c r="AV2634" i="4"/>
  <c r="AP2634" i="4"/>
  <c r="AO2634" i="4"/>
  <c r="AN2634" i="4"/>
  <c r="AM2634" i="4"/>
  <c r="BH2634" i="4"/>
  <c r="AX2633" i="4"/>
  <c r="AW2633" i="4"/>
  <c r="AV2633" i="4"/>
  <c r="AP2633" i="4"/>
  <c r="AO2633" i="4"/>
  <c r="AN2633" i="4"/>
  <c r="AM2633" i="4"/>
  <c r="BH2633" i="4"/>
  <c r="AX2632" i="4"/>
  <c r="AW2632" i="4"/>
  <c r="AV2632" i="4"/>
  <c r="AP2632" i="4"/>
  <c r="AO2632" i="4"/>
  <c r="AN2632" i="4"/>
  <c r="AM2632" i="4"/>
  <c r="BH2632" i="4"/>
  <c r="AX2631" i="4"/>
  <c r="AW2631" i="4"/>
  <c r="AV2631" i="4"/>
  <c r="AP2631" i="4"/>
  <c r="AO2631" i="4"/>
  <c r="AN2631" i="4"/>
  <c r="AM2631" i="4"/>
  <c r="BH2631" i="4"/>
  <c r="AX2630" i="4"/>
  <c r="AW2630" i="4"/>
  <c r="AV2630" i="4"/>
  <c r="AP2630" i="4"/>
  <c r="AO2630" i="4"/>
  <c r="AN2630" i="4"/>
  <c r="AM2630" i="4"/>
  <c r="BH2630" i="4"/>
  <c r="AX2629" i="4"/>
  <c r="AW2629" i="4"/>
  <c r="AV2629" i="4"/>
  <c r="AP2629" i="4"/>
  <c r="AO2629" i="4"/>
  <c r="AN2629" i="4"/>
  <c r="AM2629" i="4"/>
  <c r="BH2629" i="4"/>
  <c r="AX2628" i="4"/>
  <c r="AW2628" i="4"/>
  <c r="AV2628" i="4"/>
  <c r="AP2628" i="4"/>
  <c r="AO2628" i="4"/>
  <c r="AN2628" i="4"/>
  <c r="AM2628" i="4"/>
  <c r="BH2628" i="4"/>
  <c r="AX2627" i="4"/>
  <c r="AW2627" i="4"/>
  <c r="AV2627" i="4"/>
  <c r="AP2627" i="4"/>
  <c r="AO2627" i="4"/>
  <c r="AN2627" i="4"/>
  <c r="AM2627" i="4"/>
  <c r="BH2627" i="4"/>
  <c r="AX2626" i="4"/>
  <c r="AW2626" i="4"/>
  <c r="AV2626" i="4"/>
  <c r="AP2626" i="4"/>
  <c r="AO2626" i="4"/>
  <c r="AN2626" i="4"/>
  <c r="AM2626" i="4"/>
  <c r="BH2626" i="4"/>
  <c r="AX2625" i="4"/>
  <c r="AW2625" i="4"/>
  <c r="AV2625" i="4"/>
  <c r="AP2625" i="4"/>
  <c r="AO2625" i="4"/>
  <c r="AN2625" i="4"/>
  <c r="AM2625" i="4"/>
  <c r="BH2625" i="4"/>
  <c r="AX2624" i="4"/>
  <c r="AW2624" i="4"/>
  <c r="AV2624" i="4"/>
  <c r="AP2624" i="4"/>
  <c r="AO2624" i="4"/>
  <c r="AN2624" i="4"/>
  <c r="AM2624" i="4"/>
  <c r="BH2624" i="4"/>
  <c r="AX2623" i="4"/>
  <c r="AW2623" i="4"/>
  <c r="AV2623" i="4"/>
  <c r="AP2623" i="4"/>
  <c r="AO2623" i="4"/>
  <c r="AN2623" i="4"/>
  <c r="AM2623" i="4"/>
  <c r="BH2623" i="4"/>
  <c r="AX2622" i="4"/>
  <c r="AW2622" i="4"/>
  <c r="AV2622" i="4"/>
  <c r="AP2622" i="4"/>
  <c r="AO2622" i="4"/>
  <c r="AN2622" i="4"/>
  <c r="AM2622" i="4"/>
  <c r="BH2622" i="4"/>
  <c r="AX2621" i="4"/>
  <c r="AW2621" i="4"/>
  <c r="AV2621" i="4"/>
  <c r="AP2621" i="4"/>
  <c r="AO2621" i="4"/>
  <c r="AN2621" i="4"/>
  <c r="AM2621" i="4"/>
  <c r="BH2621" i="4"/>
  <c r="AX2620" i="4"/>
  <c r="AW2620" i="4"/>
  <c r="AV2620" i="4"/>
  <c r="AP2620" i="4"/>
  <c r="AO2620" i="4"/>
  <c r="AN2620" i="4"/>
  <c r="AM2620" i="4"/>
  <c r="BH2620" i="4"/>
  <c r="AX2619" i="4"/>
  <c r="AW2619" i="4"/>
  <c r="AV2619" i="4"/>
  <c r="AP2619" i="4"/>
  <c r="AO2619" i="4"/>
  <c r="AN2619" i="4"/>
  <c r="AM2619" i="4"/>
  <c r="BH2619" i="4"/>
  <c r="AX2618" i="4"/>
  <c r="AW2618" i="4"/>
  <c r="AV2618" i="4"/>
  <c r="AP2618" i="4"/>
  <c r="AO2618" i="4"/>
  <c r="AN2618" i="4"/>
  <c r="AM2618" i="4"/>
  <c r="BH2618" i="4"/>
  <c r="AX2617" i="4"/>
  <c r="AW2617" i="4"/>
  <c r="AV2617" i="4"/>
  <c r="AP2617" i="4"/>
  <c r="AO2617" i="4"/>
  <c r="AN2617" i="4"/>
  <c r="AM2617" i="4"/>
  <c r="BH2617" i="4"/>
  <c r="AX2616" i="4"/>
  <c r="AW2616" i="4"/>
  <c r="AV2616" i="4"/>
  <c r="AP2616" i="4"/>
  <c r="AO2616" i="4"/>
  <c r="AN2616" i="4"/>
  <c r="AM2616" i="4"/>
  <c r="BH2616" i="4"/>
  <c r="AX2615" i="4"/>
  <c r="AW2615" i="4"/>
  <c r="AV2615" i="4"/>
  <c r="AP2615" i="4"/>
  <c r="AO2615" i="4"/>
  <c r="AN2615" i="4"/>
  <c r="AM2615" i="4"/>
  <c r="BH2615" i="4"/>
  <c r="AX2614" i="4"/>
  <c r="AW2614" i="4"/>
  <c r="AV2614" i="4"/>
  <c r="AP2614" i="4"/>
  <c r="AO2614" i="4"/>
  <c r="AN2614" i="4"/>
  <c r="AM2614" i="4"/>
  <c r="BH2614" i="4"/>
  <c r="AX2613" i="4"/>
  <c r="AW2613" i="4"/>
  <c r="AV2613" i="4"/>
  <c r="AP2613" i="4"/>
  <c r="AO2613" i="4"/>
  <c r="AN2613" i="4"/>
  <c r="AM2613" i="4"/>
  <c r="BH2613" i="4"/>
  <c r="AX2612" i="4"/>
  <c r="AW2612" i="4"/>
  <c r="AV2612" i="4"/>
  <c r="AP2612" i="4"/>
  <c r="AO2612" i="4"/>
  <c r="AN2612" i="4"/>
  <c r="AM2612" i="4"/>
  <c r="BH2612" i="4"/>
  <c r="AX2611" i="4"/>
  <c r="AW2611" i="4"/>
  <c r="AV2611" i="4"/>
  <c r="AP2611" i="4"/>
  <c r="AO2611" i="4"/>
  <c r="AN2611" i="4"/>
  <c r="AM2611" i="4"/>
  <c r="BH2611" i="4"/>
  <c r="AX2610" i="4"/>
  <c r="AW2610" i="4"/>
  <c r="AV2610" i="4"/>
  <c r="AP2610" i="4"/>
  <c r="AO2610" i="4"/>
  <c r="AN2610" i="4"/>
  <c r="AM2610" i="4"/>
  <c r="BH2610" i="4"/>
  <c r="AX2609" i="4"/>
  <c r="AW2609" i="4"/>
  <c r="AV2609" i="4"/>
  <c r="AP2609" i="4"/>
  <c r="AO2609" i="4"/>
  <c r="AN2609" i="4"/>
  <c r="AM2609" i="4"/>
  <c r="BH2609" i="4"/>
  <c r="AX2608" i="4"/>
  <c r="AW2608" i="4"/>
  <c r="AV2608" i="4"/>
  <c r="AP2608" i="4"/>
  <c r="AO2608" i="4"/>
  <c r="AN2608" i="4"/>
  <c r="AM2608" i="4"/>
  <c r="BH2608" i="4"/>
  <c r="AX2607" i="4"/>
  <c r="AW2607" i="4"/>
  <c r="AV2607" i="4"/>
  <c r="AP2607" i="4"/>
  <c r="AO2607" i="4"/>
  <c r="AN2607" i="4"/>
  <c r="AM2607" i="4"/>
  <c r="BH2607" i="4"/>
  <c r="AX2606" i="4"/>
  <c r="AW2606" i="4"/>
  <c r="AV2606" i="4"/>
  <c r="AP2606" i="4"/>
  <c r="AO2606" i="4"/>
  <c r="AN2606" i="4"/>
  <c r="AM2606" i="4"/>
  <c r="BH2606" i="4"/>
  <c r="AX2605" i="4"/>
  <c r="AW2605" i="4"/>
  <c r="AV2605" i="4"/>
  <c r="AP2605" i="4"/>
  <c r="AO2605" i="4"/>
  <c r="AN2605" i="4"/>
  <c r="AM2605" i="4"/>
  <c r="BH2605" i="4"/>
  <c r="AX2604" i="4"/>
  <c r="AW2604" i="4"/>
  <c r="AV2604" i="4"/>
  <c r="AP2604" i="4"/>
  <c r="AO2604" i="4"/>
  <c r="AN2604" i="4"/>
  <c r="AM2604" i="4"/>
  <c r="BH2604" i="4"/>
  <c r="AX2603" i="4"/>
  <c r="AW2603" i="4"/>
  <c r="AV2603" i="4"/>
  <c r="AP2603" i="4"/>
  <c r="AO2603" i="4"/>
  <c r="AN2603" i="4"/>
  <c r="AM2603" i="4"/>
  <c r="BH2603" i="4"/>
  <c r="AX2602" i="4"/>
  <c r="AW2602" i="4"/>
  <c r="AV2602" i="4"/>
  <c r="AP2602" i="4"/>
  <c r="AO2602" i="4"/>
  <c r="AN2602" i="4"/>
  <c r="AM2602" i="4"/>
  <c r="BH2602" i="4"/>
  <c r="AX2601" i="4"/>
  <c r="AW2601" i="4"/>
  <c r="AV2601" i="4"/>
  <c r="AP2601" i="4"/>
  <c r="AO2601" i="4"/>
  <c r="AN2601" i="4"/>
  <c r="AM2601" i="4"/>
  <c r="BH2601" i="4"/>
  <c r="AX2600" i="4"/>
  <c r="AW2600" i="4"/>
  <c r="AV2600" i="4"/>
  <c r="AP2600" i="4"/>
  <c r="AO2600" i="4"/>
  <c r="AN2600" i="4"/>
  <c r="AM2600" i="4"/>
  <c r="BH2600" i="4"/>
  <c r="AX2599" i="4"/>
  <c r="AW2599" i="4"/>
  <c r="AV2599" i="4"/>
  <c r="AP2599" i="4"/>
  <c r="AO2599" i="4"/>
  <c r="AN2599" i="4"/>
  <c r="AM2599" i="4"/>
  <c r="BH2599" i="4"/>
  <c r="AX2598" i="4"/>
  <c r="AW2598" i="4"/>
  <c r="AV2598" i="4"/>
  <c r="AP2598" i="4"/>
  <c r="AO2598" i="4"/>
  <c r="AN2598" i="4"/>
  <c r="AM2598" i="4"/>
  <c r="BH2598" i="4"/>
  <c r="AX2597" i="4"/>
  <c r="AW2597" i="4"/>
  <c r="AV2597" i="4"/>
  <c r="AP2597" i="4"/>
  <c r="AO2597" i="4"/>
  <c r="AN2597" i="4"/>
  <c r="AM2597" i="4"/>
  <c r="BH2597" i="4"/>
  <c r="AX2596" i="4"/>
  <c r="AW2596" i="4"/>
  <c r="AV2596" i="4"/>
  <c r="AP2596" i="4"/>
  <c r="AO2596" i="4"/>
  <c r="AN2596" i="4"/>
  <c r="AM2596" i="4"/>
  <c r="BH2596" i="4"/>
  <c r="AX2595" i="4"/>
  <c r="AW2595" i="4"/>
  <c r="AV2595" i="4"/>
  <c r="AP2595" i="4"/>
  <c r="AO2595" i="4"/>
  <c r="AN2595" i="4"/>
  <c r="AM2595" i="4"/>
  <c r="BH2595" i="4"/>
  <c r="AX2594" i="4"/>
  <c r="AW2594" i="4"/>
  <c r="AV2594" i="4"/>
  <c r="AP2594" i="4"/>
  <c r="AO2594" i="4"/>
  <c r="AN2594" i="4"/>
  <c r="AM2594" i="4"/>
  <c r="BH2594" i="4"/>
  <c r="AX2593" i="4"/>
  <c r="AW2593" i="4"/>
  <c r="AV2593" i="4"/>
  <c r="AP2593" i="4"/>
  <c r="AO2593" i="4"/>
  <c r="AN2593" i="4"/>
  <c r="AM2593" i="4"/>
  <c r="BH2593" i="4"/>
  <c r="AX2592" i="4"/>
  <c r="AW2592" i="4"/>
  <c r="AV2592" i="4"/>
  <c r="AP2592" i="4"/>
  <c r="AO2592" i="4"/>
  <c r="AN2592" i="4"/>
  <c r="AM2592" i="4"/>
  <c r="BH2592" i="4"/>
  <c r="AX2591" i="4"/>
  <c r="AW2591" i="4"/>
  <c r="AV2591" i="4"/>
  <c r="AP2591" i="4"/>
  <c r="AO2591" i="4"/>
  <c r="AN2591" i="4"/>
  <c r="AM2591" i="4"/>
  <c r="BH2591" i="4"/>
  <c r="AX2590" i="4"/>
  <c r="AW2590" i="4"/>
  <c r="AV2590" i="4"/>
  <c r="AP2590" i="4"/>
  <c r="AO2590" i="4"/>
  <c r="AN2590" i="4"/>
  <c r="AM2590" i="4"/>
  <c r="BH2590" i="4"/>
  <c r="AX2589" i="4"/>
  <c r="AW2589" i="4"/>
  <c r="AV2589" i="4"/>
  <c r="AP2589" i="4"/>
  <c r="AO2589" i="4"/>
  <c r="AN2589" i="4"/>
  <c r="AM2589" i="4"/>
  <c r="BH2589" i="4"/>
  <c r="AX2588" i="4"/>
  <c r="AW2588" i="4"/>
  <c r="AV2588" i="4"/>
  <c r="AP2588" i="4"/>
  <c r="AO2588" i="4"/>
  <c r="AN2588" i="4"/>
  <c r="AM2588" i="4"/>
  <c r="BH2588" i="4"/>
  <c r="AX2587" i="4"/>
  <c r="AW2587" i="4"/>
  <c r="AV2587" i="4"/>
  <c r="AP2587" i="4"/>
  <c r="AO2587" i="4"/>
  <c r="AN2587" i="4"/>
  <c r="AM2587" i="4"/>
  <c r="BH2587" i="4"/>
  <c r="AX2586" i="4"/>
  <c r="AW2586" i="4"/>
  <c r="AV2586" i="4"/>
  <c r="AP2586" i="4"/>
  <c r="AO2586" i="4"/>
  <c r="AN2586" i="4"/>
  <c r="AM2586" i="4"/>
  <c r="BH2586" i="4"/>
  <c r="AX2585" i="4"/>
  <c r="AW2585" i="4"/>
  <c r="AV2585" i="4"/>
  <c r="AP2585" i="4"/>
  <c r="AO2585" i="4"/>
  <c r="AN2585" i="4"/>
  <c r="AM2585" i="4"/>
  <c r="BH2585" i="4"/>
  <c r="AX2584" i="4"/>
  <c r="AW2584" i="4"/>
  <c r="AV2584" i="4"/>
  <c r="AP2584" i="4"/>
  <c r="AO2584" i="4"/>
  <c r="AN2584" i="4"/>
  <c r="AM2584" i="4"/>
  <c r="BH2584" i="4"/>
  <c r="AX2583" i="4"/>
  <c r="AW2583" i="4"/>
  <c r="AV2583" i="4"/>
  <c r="AP2583" i="4"/>
  <c r="AO2583" i="4"/>
  <c r="AN2583" i="4"/>
  <c r="AM2583" i="4"/>
  <c r="BH2583" i="4"/>
  <c r="AX2582" i="4"/>
  <c r="AW2582" i="4"/>
  <c r="AV2582" i="4"/>
  <c r="AP2582" i="4"/>
  <c r="AO2582" i="4"/>
  <c r="AN2582" i="4"/>
  <c r="AM2582" i="4"/>
  <c r="BH2582" i="4"/>
  <c r="AX2581" i="4"/>
  <c r="AW2581" i="4"/>
  <c r="AV2581" i="4"/>
  <c r="AP2581" i="4"/>
  <c r="AO2581" i="4"/>
  <c r="AN2581" i="4"/>
  <c r="AM2581" i="4"/>
  <c r="BH2581" i="4"/>
  <c r="AX2580" i="4"/>
  <c r="AW2580" i="4"/>
  <c r="AV2580" i="4"/>
  <c r="AP2580" i="4"/>
  <c r="AO2580" i="4"/>
  <c r="AN2580" i="4"/>
  <c r="AM2580" i="4"/>
  <c r="BH2580" i="4"/>
  <c r="AX2579" i="4"/>
  <c r="AW2579" i="4"/>
  <c r="AV2579" i="4"/>
  <c r="AP2579" i="4"/>
  <c r="AO2579" i="4"/>
  <c r="AN2579" i="4"/>
  <c r="AM2579" i="4"/>
  <c r="BH2579" i="4"/>
  <c r="AX2578" i="4"/>
  <c r="AW2578" i="4"/>
  <c r="AV2578" i="4"/>
  <c r="AP2578" i="4"/>
  <c r="AO2578" i="4"/>
  <c r="AN2578" i="4"/>
  <c r="AM2578" i="4"/>
  <c r="BH2578" i="4"/>
  <c r="AX2577" i="4"/>
  <c r="AW2577" i="4"/>
  <c r="AV2577" i="4"/>
  <c r="AP2577" i="4"/>
  <c r="AO2577" i="4"/>
  <c r="AN2577" i="4"/>
  <c r="AM2577" i="4"/>
  <c r="BH2577" i="4"/>
  <c r="AX2576" i="4"/>
  <c r="AW2576" i="4"/>
  <c r="AV2576" i="4"/>
  <c r="AP2576" i="4"/>
  <c r="AO2576" i="4"/>
  <c r="AN2576" i="4"/>
  <c r="AM2576" i="4"/>
  <c r="BH2576" i="4"/>
  <c r="AX2575" i="4"/>
  <c r="AW2575" i="4"/>
  <c r="AV2575" i="4"/>
  <c r="AP2575" i="4"/>
  <c r="AO2575" i="4"/>
  <c r="AN2575" i="4"/>
  <c r="AM2575" i="4"/>
  <c r="BH2575" i="4"/>
  <c r="AX2574" i="4"/>
  <c r="AW2574" i="4"/>
  <c r="AV2574" i="4"/>
  <c r="AP2574" i="4"/>
  <c r="AO2574" i="4"/>
  <c r="AN2574" i="4"/>
  <c r="AM2574" i="4"/>
  <c r="BH2574" i="4"/>
  <c r="AX2573" i="4"/>
  <c r="AW2573" i="4"/>
  <c r="AV2573" i="4"/>
  <c r="AP2573" i="4"/>
  <c r="AO2573" i="4"/>
  <c r="AN2573" i="4"/>
  <c r="AM2573" i="4"/>
  <c r="BH2573" i="4"/>
  <c r="AX2572" i="4"/>
  <c r="AW2572" i="4"/>
  <c r="AV2572" i="4"/>
  <c r="AP2572" i="4"/>
  <c r="AO2572" i="4"/>
  <c r="AN2572" i="4"/>
  <c r="AM2572" i="4"/>
  <c r="BH2572" i="4"/>
  <c r="AX2571" i="4"/>
  <c r="AW2571" i="4"/>
  <c r="AV2571" i="4"/>
  <c r="AP2571" i="4"/>
  <c r="AO2571" i="4"/>
  <c r="AN2571" i="4"/>
  <c r="AM2571" i="4"/>
  <c r="BH2571" i="4"/>
  <c r="AX2570" i="4"/>
  <c r="AW2570" i="4"/>
  <c r="AV2570" i="4"/>
  <c r="AP2570" i="4"/>
  <c r="AO2570" i="4"/>
  <c r="AN2570" i="4"/>
  <c r="AM2570" i="4"/>
  <c r="BH2570" i="4"/>
  <c r="AX2569" i="4"/>
  <c r="AW2569" i="4"/>
  <c r="AV2569" i="4"/>
  <c r="AP2569" i="4"/>
  <c r="AO2569" i="4"/>
  <c r="AN2569" i="4"/>
  <c r="AM2569" i="4"/>
  <c r="BH2569" i="4"/>
  <c r="AX2568" i="4"/>
  <c r="AW2568" i="4"/>
  <c r="AV2568" i="4"/>
  <c r="AP2568" i="4"/>
  <c r="AO2568" i="4"/>
  <c r="AN2568" i="4"/>
  <c r="AM2568" i="4"/>
  <c r="BH2568" i="4"/>
  <c r="AX2567" i="4"/>
  <c r="AW2567" i="4"/>
  <c r="AV2567" i="4"/>
  <c r="AP2567" i="4"/>
  <c r="AO2567" i="4"/>
  <c r="AN2567" i="4"/>
  <c r="AM2567" i="4"/>
  <c r="BH2567" i="4"/>
  <c r="AX2566" i="4"/>
  <c r="AW2566" i="4"/>
  <c r="AV2566" i="4"/>
  <c r="AP2566" i="4"/>
  <c r="AO2566" i="4"/>
  <c r="AN2566" i="4"/>
  <c r="AM2566" i="4"/>
  <c r="BH2566" i="4"/>
  <c r="AX2565" i="4"/>
  <c r="AW2565" i="4"/>
  <c r="AV2565" i="4"/>
  <c r="AP2565" i="4"/>
  <c r="AO2565" i="4"/>
  <c r="AN2565" i="4"/>
  <c r="AM2565" i="4"/>
  <c r="BH2565" i="4"/>
  <c r="AX2564" i="4"/>
  <c r="AW2564" i="4"/>
  <c r="AV2564" i="4"/>
  <c r="AP2564" i="4"/>
  <c r="AO2564" i="4"/>
  <c r="AN2564" i="4"/>
  <c r="AM2564" i="4"/>
  <c r="BH2564" i="4"/>
  <c r="AX2563" i="4"/>
  <c r="AW2563" i="4"/>
  <c r="AV2563" i="4"/>
  <c r="AP2563" i="4"/>
  <c r="AO2563" i="4"/>
  <c r="AN2563" i="4"/>
  <c r="AM2563" i="4"/>
  <c r="BH2563" i="4"/>
  <c r="AX2562" i="4"/>
  <c r="AW2562" i="4"/>
  <c r="AV2562" i="4"/>
  <c r="AP2562" i="4"/>
  <c r="AO2562" i="4"/>
  <c r="AN2562" i="4"/>
  <c r="AM2562" i="4"/>
  <c r="BH2562" i="4"/>
  <c r="AX2561" i="4"/>
  <c r="AW2561" i="4"/>
  <c r="AV2561" i="4"/>
  <c r="AP2561" i="4"/>
  <c r="AO2561" i="4"/>
  <c r="AN2561" i="4"/>
  <c r="AM2561" i="4"/>
  <c r="BH2561" i="4"/>
  <c r="AX2560" i="4"/>
  <c r="AW2560" i="4"/>
  <c r="AV2560" i="4"/>
  <c r="AP2560" i="4"/>
  <c r="AO2560" i="4"/>
  <c r="AN2560" i="4"/>
  <c r="AM2560" i="4"/>
  <c r="BH2560" i="4"/>
  <c r="AX2559" i="4"/>
  <c r="AW2559" i="4"/>
  <c r="AV2559" i="4"/>
  <c r="AP2559" i="4"/>
  <c r="AO2559" i="4"/>
  <c r="AN2559" i="4"/>
  <c r="AM2559" i="4"/>
  <c r="BH2559" i="4"/>
  <c r="AX2558" i="4"/>
  <c r="AW2558" i="4"/>
  <c r="AV2558" i="4"/>
  <c r="AP2558" i="4"/>
  <c r="AO2558" i="4"/>
  <c r="AN2558" i="4"/>
  <c r="AM2558" i="4"/>
  <c r="BH2558" i="4"/>
  <c r="AX2557" i="4"/>
  <c r="AW2557" i="4"/>
  <c r="AV2557" i="4"/>
  <c r="AP2557" i="4"/>
  <c r="AO2557" i="4"/>
  <c r="AN2557" i="4"/>
  <c r="AM2557" i="4"/>
  <c r="BH2557" i="4"/>
  <c r="AX2556" i="4"/>
  <c r="AW2556" i="4"/>
  <c r="AV2556" i="4"/>
  <c r="AP2556" i="4"/>
  <c r="AO2556" i="4"/>
  <c r="AN2556" i="4"/>
  <c r="AM2556" i="4"/>
  <c r="BH2556" i="4"/>
  <c r="AX2555" i="4"/>
  <c r="AW2555" i="4"/>
  <c r="AV2555" i="4"/>
  <c r="AP2555" i="4"/>
  <c r="AO2555" i="4"/>
  <c r="AN2555" i="4"/>
  <c r="AM2555" i="4"/>
  <c r="BH2555" i="4"/>
  <c r="AX2554" i="4"/>
  <c r="AW2554" i="4"/>
  <c r="AV2554" i="4"/>
  <c r="AP2554" i="4"/>
  <c r="AO2554" i="4"/>
  <c r="AN2554" i="4"/>
  <c r="AM2554" i="4"/>
  <c r="BH2554" i="4"/>
  <c r="AX2553" i="4"/>
  <c r="AW2553" i="4"/>
  <c r="AV2553" i="4"/>
  <c r="AP2553" i="4"/>
  <c r="AO2553" i="4"/>
  <c r="AN2553" i="4"/>
  <c r="AM2553" i="4"/>
  <c r="BH2553" i="4"/>
  <c r="AX2552" i="4"/>
  <c r="AW2552" i="4"/>
  <c r="AV2552" i="4"/>
  <c r="AP2552" i="4"/>
  <c r="AO2552" i="4"/>
  <c r="AN2552" i="4"/>
  <c r="AM2552" i="4"/>
  <c r="BH2552" i="4"/>
  <c r="AX2551" i="4"/>
  <c r="AW2551" i="4"/>
  <c r="AV2551" i="4"/>
  <c r="AP2551" i="4"/>
  <c r="AO2551" i="4"/>
  <c r="AN2551" i="4"/>
  <c r="AM2551" i="4"/>
  <c r="BH2551" i="4"/>
  <c r="AX2550" i="4"/>
  <c r="AW2550" i="4"/>
  <c r="AV2550" i="4"/>
  <c r="AP2550" i="4"/>
  <c r="AO2550" i="4"/>
  <c r="AN2550" i="4"/>
  <c r="AM2550" i="4"/>
  <c r="BH2550" i="4"/>
  <c r="AX2549" i="4"/>
  <c r="AW2549" i="4"/>
  <c r="AV2549" i="4"/>
  <c r="AP2549" i="4"/>
  <c r="AO2549" i="4"/>
  <c r="AN2549" i="4"/>
  <c r="AM2549" i="4"/>
  <c r="BH2549" i="4"/>
  <c r="AX2548" i="4"/>
  <c r="AW2548" i="4"/>
  <c r="AV2548" i="4"/>
  <c r="AP2548" i="4"/>
  <c r="AO2548" i="4"/>
  <c r="AN2548" i="4"/>
  <c r="AM2548" i="4"/>
  <c r="BH2548" i="4"/>
  <c r="AX2547" i="4"/>
  <c r="AW2547" i="4"/>
  <c r="AV2547" i="4"/>
  <c r="AP2547" i="4"/>
  <c r="AO2547" i="4"/>
  <c r="AN2547" i="4"/>
  <c r="AM2547" i="4"/>
  <c r="BH2547" i="4"/>
  <c r="AX2546" i="4"/>
  <c r="AW2546" i="4"/>
  <c r="AV2546" i="4"/>
  <c r="AP2546" i="4"/>
  <c r="AO2546" i="4"/>
  <c r="AN2546" i="4"/>
  <c r="AM2546" i="4"/>
  <c r="BH2546" i="4"/>
  <c r="AX2545" i="4"/>
  <c r="AW2545" i="4"/>
  <c r="AV2545" i="4"/>
  <c r="AP2545" i="4"/>
  <c r="AO2545" i="4"/>
  <c r="AN2545" i="4"/>
  <c r="AM2545" i="4"/>
  <c r="BH2545" i="4"/>
  <c r="AX2544" i="4"/>
  <c r="AW2544" i="4"/>
  <c r="AV2544" i="4"/>
  <c r="AP2544" i="4"/>
  <c r="AO2544" i="4"/>
  <c r="AN2544" i="4"/>
  <c r="AM2544" i="4"/>
  <c r="BH2544" i="4"/>
  <c r="AX2543" i="4"/>
  <c r="AW2543" i="4"/>
  <c r="AV2543" i="4"/>
  <c r="AP2543" i="4"/>
  <c r="AO2543" i="4"/>
  <c r="AN2543" i="4"/>
  <c r="AM2543" i="4"/>
  <c r="BH2543" i="4"/>
  <c r="AX2542" i="4"/>
  <c r="AW2542" i="4"/>
  <c r="AV2542" i="4"/>
  <c r="AP2542" i="4"/>
  <c r="AO2542" i="4"/>
  <c r="AN2542" i="4"/>
  <c r="AM2542" i="4"/>
  <c r="BH2542" i="4"/>
  <c r="AX2541" i="4"/>
  <c r="AW2541" i="4"/>
  <c r="AV2541" i="4"/>
  <c r="AP2541" i="4"/>
  <c r="AO2541" i="4"/>
  <c r="AN2541" i="4"/>
  <c r="AM2541" i="4"/>
  <c r="BH2541" i="4"/>
  <c r="AX2540" i="4"/>
  <c r="AW2540" i="4"/>
  <c r="AV2540" i="4"/>
  <c r="AP2540" i="4"/>
  <c r="AO2540" i="4"/>
  <c r="AN2540" i="4"/>
  <c r="AM2540" i="4"/>
  <c r="BH2540" i="4"/>
  <c r="AX2539" i="4"/>
  <c r="AW2539" i="4"/>
  <c r="AV2539" i="4"/>
  <c r="AP2539" i="4"/>
  <c r="AO2539" i="4"/>
  <c r="AN2539" i="4"/>
  <c r="AM2539" i="4"/>
  <c r="BH2539" i="4"/>
  <c r="AX2538" i="4"/>
  <c r="AW2538" i="4"/>
  <c r="AV2538" i="4"/>
  <c r="AP2538" i="4"/>
  <c r="AO2538" i="4"/>
  <c r="AN2538" i="4"/>
  <c r="AM2538" i="4"/>
  <c r="BH2538" i="4"/>
  <c r="AX2537" i="4"/>
  <c r="AW2537" i="4"/>
  <c r="AV2537" i="4"/>
  <c r="AP2537" i="4"/>
  <c r="AO2537" i="4"/>
  <c r="AN2537" i="4"/>
  <c r="AM2537" i="4"/>
  <c r="BH2537" i="4"/>
  <c r="AX2536" i="4"/>
  <c r="AW2536" i="4"/>
  <c r="AV2536" i="4"/>
  <c r="AP2536" i="4"/>
  <c r="AO2536" i="4"/>
  <c r="AN2536" i="4"/>
  <c r="AM2536" i="4"/>
  <c r="BH2536" i="4"/>
  <c r="AX2535" i="4"/>
  <c r="AW2535" i="4"/>
  <c r="AV2535" i="4"/>
  <c r="AP2535" i="4"/>
  <c r="AO2535" i="4"/>
  <c r="AN2535" i="4"/>
  <c r="AM2535" i="4"/>
  <c r="BH2535" i="4"/>
  <c r="AX2534" i="4"/>
  <c r="AW2534" i="4"/>
  <c r="AV2534" i="4"/>
  <c r="AP2534" i="4"/>
  <c r="AO2534" i="4"/>
  <c r="AN2534" i="4"/>
  <c r="AM2534" i="4"/>
  <c r="BH2534" i="4"/>
  <c r="AX2533" i="4"/>
  <c r="AW2533" i="4"/>
  <c r="AV2533" i="4"/>
  <c r="AP2533" i="4"/>
  <c r="AO2533" i="4"/>
  <c r="AN2533" i="4"/>
  <c r="AM2533" i="4"/>
  <c r="BH2533" i="4"/>
  <c r="AX2532" i="4"/>
  <c r="AW2532" i="4"/>
  <c r="AV2532" i="4"/>
  <c r="AP2532" i="4"/>
  <c r="AO2532" i="4"/>
  <c r="AN2532" i="4"/>
  <c r="AM2532" i="4"/>
  <c r="BH2532" i="4"/>
  <c r="AX2531" i="4"/>
  <c r="AW2531" i="4"/>
  <c r="AV2531" i="4"/>
  <c r="AP2531" i="4"/>
  <c r="AO2531" i="4"/>
  <c r="AN2531" i="4"/>
  <c r="AM2531" i="4"/>
  <c r="BH2531" i="4"/>
  <c r="AX2530" i="4"/>
  <c r="AW2530" i="4"/>
  <c r="AV2530" i="4"/>
  <c r="AP2530" i="4"/>
  <c r="AO2530" i="4"/>
  <c r="AN2530" i="4"/>
  <c r="AM2530" i="4"/>
  <c r="BH2530" i="4"/>
  <c r="AX2529" i="4"/>
  <c r="AW2529" i="4"/>
  <c r="AV2529" i="4"/>
  <c r="AP2529" i="4"/>
  <c r="AO2529" i="4"/>
  <c r="AN2529" i="4"/>
  <c r="AM2529" i="4"/>
  <c r="BH2529" i="4"/>
  <c r="AX2528" i="4"/>
  <c r="AW2528" i="4"/>
  <c r="AV2528" i="4"/>
  <c r="AP2528" i="4"/>
  <c r="AO2528" i="4"/>
  <c r="AN2528" i="4"/>
  <c r="AM2528" i="4"/>
  <c r="BH2528" i="4"/>
  <c r="AX2527" i="4"/>
  <c r="AW2527" i="4"/>
  <c r="AV2527" i="4"/>
  <c r="AP2527" i="4"/>
  <c r="AO2527" i="4"/>
  <c r="AN2527" i="4"/>
  <c r="AM2527" i="4"/>
  <c r="BH2527" i="4"/>
  <c r="AX2526" i="4"/>
  <c r="AW2526" i="4"/>
  <c r="AV2526" i="4"/>
  <c r="AP2526" i="4"/>
  <c r="AO2526" i="4"/>
  <c r="AN2526" i="4"/>
  <c r="AM2526" i="4"/>
  <c r="BH2526" i="4"/>
  <c r="AX2525" i="4"/>
  <c r="AW2525" i="4"/>
  <c r="AV2525" i="4"/>
  <c r="AP2525" i="4"/>
  <c r="AO2525" i="4"/>
  <c r="AN2525" i="4"/>
  <c r="AM2525" i="4"/>
  <c r="BH2525" i="4"/>
  <c r="AX2524" i="4"/>
  <c r="AW2524" i="4"/>
  <c r="AV2524" i="4"/>
  <c r="AP2524" i="4"/>
  <c r="AO2524" i="4"/>
  <c r="AN2524" i="4"/>
  <c r="AM2524" i="4"/>
  <c r="BH2524" i="4"/>
  <c r="AX2523" i="4"/>
  <c r="AW2523" i="4"/>
  <c r="AV2523" i="4"/>
  <c r="AP2523" i="4"/>
  <c r="AO2523" i="4"/>
  <c r="AN2523" i="4"/>
  <c r="AM2523" i="4"/>
  <c r="BH2523" i="4"/>
  <c r="AX2522" i="4"/>
  <c r="AW2522" i="4"/>
  <c r="AV2522" i="4"/>
  <c r="AP2522" i="4"/>
  <c r="AO2522" i="4"/>
  <c r="AN2522" i="4"/>
  <c r="AM2522" i="4"/>
  <c r="BH2522" i="4"/>
  <c r="AX2521" i="4"/>
  <c r="AW2521" i="4"/>
  <c r="AV2521" i="4"/>
  <c r="AP2521" i="4"/>
  <c r="AO2521" i="4"/>
  <c r="AN2521" i="4"/>
  <c r="AM2521" i="4"/>
  <c r="BH2521" i="4"/>
  <c r="AX2520" i="4"/>
  <c r="AW2520" i="4"/>
  <c r="AV2520" i="4"/>
  <c r="AP2520" i="4"/>
  <c r="AO2520" i="4"/>
  <c r="AN2520" i="4"/>
  <c r="AM2520" i="4"/>
  <c r="BH2520" i="4"/>
  <c r="AX2519" i="4"/>
  <c r="AW2519" i="4"/>
  <c r="AV2519" i="4"/>
  <c r="AP2519" i="4"/>
  <c r="AO2519" i="4"/>
  <c r="AN2519" i="4"/>
  <c r="AM2519" i="4"/>
  <c r="BH2519" i="4"/>
  <c r="AX2518" i="4"/>
  <c r="AW2518" i="4"/>
  <c r="AV2518" i="4"/>
  <c r="AP2518" i="4"/>
  <c r="AO2518" i="4"/>
  <c r="AN2518" i="4"/>
  <c r="AM2518" i="4"/>
  <c r="BH2518" i="4"/>
  <c r="AX2517" i="4"/>
  <c r="AW2517" i="4"/>
  <c r="AV2517" i="4"/>
  <c r="AP2517" i="4"/>
  <c r="AO2517" i="4"/>
  <c r="AN2517" i="4"/>
  <c r="AM2517" i="4"/>
  <c r="BH2517" i="4"/>
  <c r="AX2516" i="4"/>
  <c r="AW2516" i="4"/>
  <c r="AV2516" i="4"/>
  <c r="AP2516" i="4"/>
  <c r="AO2516" i="4"/>
  <c r="AN2516" i="4"/>
  <c r="AM2516" i="4"/>
  <c r="BH2516" i="4"/>
  <c r="AX2515" i="4"/>
  <c r="AW2515" i="4"/>
  <c r="AV2515" i="4"/>
  <c r="AP2515" i="4"/>
  <c r="AO2515" i="4"/>
  <c r="AN2515" i="4"/>
  <c r="AM2515" i="4"/>
  <c r="BH2515" i="4"/>
  <c r="AX2514" i="4"/>
  <c r="AW2514" i="4"/>
  <c r="AV2514" i="4"/>
  <c r="AP2514" i="4"/>
  <c r="AO2514" i="4"/>
  <c r="AN2514" i="4"/>
  <c r="AM2514" i="4"/>
  <c r="BH2514" i="4"/>
  <c r="AX2513" i="4"/>
  <c r="AW2513" i="4"/>
  <c r="AV2513" i="4"/>
  <c r="AP2513" i="4"/>
  <c r="AO2513" i="4"/>
  <c r="AN2513" i="4"/>
  <c r="AM2513" i="4"/>
  <c r="BH2513" i="4"/>
  <c r="AX2512" i="4"/>
  <c r="AW2512" i="4"/>
  <c r="AV2512" i="4"/>
  <c r="AP2512" i="4"/>
  <c r="AO2512" i="4"/>
  <c r="AN2512" i="4"/>
  <c r="AM2512" i="4"/>
  <c r="BH2512" i="4"/>
  <c r="AX2511" i="4"/>
  <c r="AW2511" i="4"/>
  <c r="AV2511" i="4"/>
  <c r="AP2511" i="4"/>
  <c r="AO2511" i="4"/>
  <c r="AN2511" i="4"/>
  <c r="AM2511" i="4"/>
  <c r="BH2511" i="4"/>
  <c r="AX2510" i="4"/>
  <c r="AW2510" i="4"/>
  <c r="AV2510" i="4"/>
  <c r="AP2510" i="4"/>
  <c r="AO2510" i="4"/>
  <c r="AN2510" i="4"/>
  <c r="AM2510" i="4"/>
  <c r="BH2510" i="4"/>
  <c r="AX2509" i="4"/>
  <c r="AW2509" i="4"/>
  <c r="AV2509" i="4"/>
  <c r="AP2509" i="4"/>
  <c r="AO2509" i="4"/>
  <c r="AN2509" i="4"/>
  <c r="AM2509" i="4"/>
  <c r="BH2509" i="4"/>
  <c r="AX2508" i="4"/>
  <c r="AW2508" i="4"/>
  <c r="AV2508" i="4"/>
  <c r="AP2508" i="4"/>
  <c r="AO2508" i="4"/>
  <c r="AN2508" i="4"/>
  <c r="AM2508" i="4"/>
  <c r="BH2508" i="4"/>
  <c r="AX2507" i="4"/>
  <c r="AW2507" i="4"/>
  <c r="AV2507" i="4"/>
  <c r="AP2507" i="4"/>
  <c r="AO2507" i="4"/>
  <c r="AN2507" i="4"/>
  <c r="AM2507" i="4"/>
  <c r="BH2507" i="4"/>
  <c r="AX2506" i="4"/>
  <c r="AW2506" i="4"/>
  <c r="AV2506" i="4"/>
  <c r="AP2506" i="4"/>
  <c r="AO2506" i="4"/>
  <c r="AN2506" i="4"/>
  <c r="AM2506" i="4"/>
  <c r="BH2506" i="4"/>
  <c r="AX2505" i="4"/>
  <c r="AW2505" i="4"/>
  <c r="AV2505" i="4"/>
  <c r="AP2505" i="4"/>
  <c r="AO2505" i="4"/>
  <c r="AN2505" i="4"/>
  <c r="AM2505" i="4"/>
  <c r="BH2505" i="4"/>
  <c r="AX2504" i="4"/>
  <c r="AW2504" i="4"/>
  <c r="AV2504" i="4"/>
  <c r="AP2504" i="4"/>
  <c r="AO2504" i="4"/>
  <c r="AN2504" i="4"/>
  <c r="AM2504" i="4"/>
  <c r="BH2504" i="4"/>
  <c r="AX2503" i="4"/>
  <c r="AW2503" i="4"/>
  <c r="AV2503" i="4"/>
  <c r="AP2503" i="4"/>
  <c r="AO2503" i="4"/>
  <c r="AN2503" i="4"/>
  <c r="AM2503" i="4"/>
  <c r="BH2503" i="4"/>
  <c r="AX2502" i="4"/>
  <c r="AW2502" i="4"/>
  <c r="AV2502" i="4"/>
  <c r="AP2502" i="4"/>
  <c r="AO2502" i="4"/>
  <c r="AN2502" i="4"/>
  <c r="AM2502" i="4"/>
  <c r="BH2502" i="4"/>
  <c r="AX2501" i="4"/>
  <c r="AW2501" i="4"/>
  <c r="AV2501" i="4"/>
  <c r="AP2501" i="4"/>
  <c r="AO2501" i="4"/>
  <c r="AN2501" i="4"/>
  <c r="AM2501" i="4"/>
  <c r="BH2501" i="4"/>
  <c r="AX2500" i="4"/>
  <c r="AW2500" i="4"/>
  <c r="AV2500" i="4"/>
  <c r="AP2500" i="4"/>
  <c r="AO2500" i="4"/>
  <c r="AN2500" i="4"/>
  <c r="AM2500" i="4"/>
  <c r="BH2500" i="4"/>
  <c r="AX2499" i="4"/>
  <c r="AW2499" i="4"/>
  <c r="AV2499" i="4"/>
  <c r="AP2499" i="4"/>
  <c r="AO2499" i="4"/>
  <c r="AN2499" i="4"/>
  <c r="AM2499" i="4"/>
  <c r="BH2499" i="4"/>
  <c r="AX2498" i="4"/>
  <c r="AW2498" i="4"/>
  <c r="AV2498" i="4"/>
  <c r="AP2498" i="4"/>
  <c r="AO2498" i="4"/>
  <c r="AN2498" i="4"/>
  <c r="AM2498" i="4"/>
  <c r="BH2498" i="4"/>
  <c r="AX2497" i="4"/>
  <c r="AW2497" i="4"/>
  <c r="AV2497" i="4"/>
  <c r="AP2497" i="4"/>
  <c r="AO2497" i="4"/>
  <c r="AN2497" i="4"/>
  <c r="AM2497" i="4"/>
  <c r="BH2497" i="4"/>
  <c r="AX2496" i="4"/>
  <c r="AW2496" i="4"/>
  <c r="AV2496" i="4"/>
  <c r="AP2496" i="4"/>
  <c r="AO2496" i="4"/>
  <c r="AN2496" i="4"/>
  <c r="AM2496" i="4"/>
  <c r="BH2496" i="4"/>
  <c r="AX2495" i="4"/>
  <c r="AW2495" i="4"/>
  <c r="AV2495" i="4"/>
  <c r="AP2495" i="4"/>
  <c r="AO2495" i="4"/>
  <c r="AN2495" i="4"/>
  <c r="AM2495" i="4"/>
  <c r="BH2495" i="4"/>
  <c r="AX2494" i="4"/>
  <c r="AW2494" i="4"/>
  <c r="AV2494" i="4"/>
  <c r="AP2494" i="4"/>
  <c r="AO2494" i="4"/>
  <c r="AN2494" i="4"/>
  <c r="AM2494" i="4"/>
  <c r="BH2494" i="4"/>
  <c r="AX2493" i="4"/>
  <c r="AW2493" i="4"/>
  <c r="AV2493" i="4"/>
  <c r="AP2493" i="4"/>
  <c r="AO2493" i="4"/>
  <c r="AN2493" i="4"/>
  <c r="AM2493" i="4"/>
  <c r="BH2493" i="4"/>
  <c r="AX2492" i="4"/>
  <c r="AW2492" i="4"/>
  <c r="AV2492" i="4"/>
  <c r="AP2492" i="4"/>
  <c r="AO2492" i="4"/>
  <c r="AN2492" i="4"/>
  <c r="AM2492" i="4"/>
  <c r="BH2492" i="4"/>
  <c r="AX2491" i="4"/>
  <c r="AW2491" i="4"/>
  <c r="AV2491" i="4"/>
  <c r="AP2491" i="4"/>
  <c r="AO2491" i="4"/>
  <c r="AN2491" i="4"/>
  <c r="AM2491" i="4"/>
  <c r="BH2491" i="4"/>
  <c r="AX2490" i="4"/>
  <c r="AW2490" i="4"/>
  <c r="AV2490" i="4"/>
  <c r="AP2490" i="4"/>
  <c r="AO2490" i="4"/>
  <c r="AN2490" i="4"/>
  <c r="AM2490" i="4"/>
  <c r="BH2490" i="4"/>
  <c r="AX2489" i="4"/>
  <c r="AW2489" i="4"/>
  <c r="AV2489" i="4"/>
  <c r="AP2489" i="4"/>
  <c r="AO2489" i="4"/>
  <c r="AN2489" i="4"/>
  <c r="AM2489" i="4"/>
  <c r="BH2489" i="4"/>
  <c r="AX2488" i="4"/>
  <c r="AW2488" i="4"/>
  <c r="AV2488" i="4"/>
  <c r="AP2488" i="4"/>
  <c r="AO2488" i="4"/>
  <c r="AN2488" i="4"/>
  <c r="AM2488" i="4"/>
  <c r="BH2488" i="4"/>
  <c r="AX2487" i="4"/>
  <c r="AW2487" i="4"/>
  <c r="AV2487" i="4"/>
  <c r="AP2487" i="4"/>
  <c r="AO2487" i="4"/>
  <c r="AN2487" i="4"/>
  <c r="AM2487" i="4"/>
  <c r="BH2487" i="4"/>
  <c r="AX2486" i="4"/>
  <c r="AW2486" i="4"/>
  <c r="AV2486" i="4"/>
  <c r="AP2486" i="4"/>
  <c r="AO2486" i="4"/>
  <c r="AN2486" i="4"/>
  <c r="AM2486" i="4"/>
  <c r="BH2486" i="4"/>
  <c r="AX2485" i="4"/>
  <c r="AW2485" i="4"/>
  <c r="AV2485" i="4"/>
  <c r="AP2485" i="4"/>
  <c r="AO2485" i="4"/>
  <c r="AN2485" i="4"/>
  <c r="AM2485" i="4"/>
  <c r="BH2485" i="4"/>
  <c r="AX2484" i="4"/>
  <c r="AW2484" i="4"/>
  <c r="AV2484" i="4"/>
  <c r="AP2484" i="4"/>
  <c r="AO2484" i="4"/>
  <c r="AN2484" i="4"/>
  <c r="AM2484" i="4"/>
  <c r="BH2484" i="4"/>
  <c r="AX2483" i="4"/>
  <c r="AW2483" i="4"/>
  <c r="AV2483" i="4"/>
  <c r="AP2483" i="4"/>
  <c r="AO2483" i="4"/>
  <c r="AN2483" i="4"/>
  <c r="AM2483" i="4"/>
  <c r="BH2483" i="4"/>
  <c r="AX2482" i="4"/>
  <c r="AW2482" i="4"/>
  <c r="AV2482" i="4"/>
  <c r="AP2482" i="4"/>
  <c r="AO2482" i="4"/>
  <c r="AN2482" i="4"/>
  <c r="AM2482" i="4"/>
  <c r="BH2482" i="4"/>
  <c r="AX2481" i="4"/>
  <c r="AW2481" i="4"/>
  <c r="AV2481" i="4"/>
  <c r="AP2481" i="4"/>
  <c r="AO2481" i="4"/>
  <c r="AN2481" i="4"/>
  <c r="AM2481" i="4"/>
  <c r="BH2481" i="4"/>
  <c r="AX2480" i="4"/>
  <c r="AW2480" i="4"/>
  <c r="AV2480" i="4"/>
  <c r="AP2480" i="4"/>
  <c r="AO2480" i="4"/>
  <c r="AN2480" i="4"/>
  <c r="AM2480" i="4"/>
  <c r="BH2480" i="4"/>
  <c r="AX2479" i="4"/>
  <c r="AW2479" i="4"/>
  <c r="AV2479" i="4"/>
  <c r="AP2479" i="4"/>
  <c r="AO2479" i="4"/>
  <c r="AN2479" i="4"/>
  <c r="AM2479" i="4"/>
  <c r="BH2479" i="4"/>
  <c r="AX2478" i="4"/>
  <c r="AW2478" i="4"/>
  <c r="AV2478" i="4"/>
  <c r="AP2478" i="4"/>
  <c r="AO2478" i="4"/>
  <c r="AN2478" i="4"/>
  <c r="AM2478" i="4"/>
  <c r="BH2478" i="4"/>
  <c r="AX2477" i="4"/>
  <c r="AW2477" i="4"/>
  <c r="AV2477" i="4"/>
  <c r="AP2477" i="4"/>
  <c r="AO2477" i="4"/>
  <c r="AN2477" i="4"/>
  <c r="AM2477" i="4"/>
  <c r="BH2477" i="4"/>
  <c r="AX2476" i="4"/>
  <c r="AW2476" i="4"/>
  <c r="AV2476" i="4"/>
  <c r="AP2476" i="4"/>
  <c r="AO2476" i="4"/>
  <c r="AN2476" i="4"/>
  <c r="AM2476" i="4"/>
  <c r="BH2476" i="4"/>
  <c r="AX2475" i="4"/>
  <c r="AW2475" i="4"/>
  <c r="AV2475" i="4"/>
  <c r="AP2475" i="4"/>
  <c r="AO2475" i="4"/>
  <c r="AN2475" i="4"/>
  <c r="AM2475" i="4"/>
  <c r="BH2475" i="4"/>
  <c r="AX2474" i="4"/>
  <c r="AW2474" i="4"/>
  <c r="AV2474" i="4"/>
  <c r="AP2474" i="4"/>
  <c r="AO2474" i="4"/>
  <c r="AN2474" i="4"/>
  <c r="AM2474" i="4"/>
  <c r="BH2474" i="4"/>
  <c r="AX2473" i="4"/>
  <c r="AW2473" i="4"/>
  <c r="AV2473" i="4"/>
  <c r="AP2473" i="4"/>
  <c r="AO2473" i="4"/>
  <c r="AN2473" i="4"/>
  <c r="AM2473" i="4"/>
  <c r="BH2473" i="4"/>
  <c r="AX2472" i="4"/>
  <c r="AW2472" i="4"/>
  <c r="AV2472" i="4"/>
  <c r="AP2472" i="4"/>
  <c r="AO2472" i="4"/>
  <c r="AN2472" i="4"/>
  <c r="AM2472" i="4"/>
  <c r="BH2472" i="4"/>
  <c r="AX2471" i="4"/>
  <c r="AW2471" i="4"/>
  <c r="AV2471" i="4"/>
  <c r="AP2471" i="4"/>
  <c r="AO2471" i="4"/>
  <c r="AN2471" i="4"/>
  <c r="AM2471" i="4"/>
  <c r="BH2471" i="4"/>
  <c r="AX2470" i="4"/>
  <c r="AW2470" i="4"/>
  <c r="AV2470" i="4"/>
  <c r="AP2470" i="4"/>
  <c r="AO2470" i="4"/>
  <c r="AN2470" i="4"/>
  <c r="AM2470" i="4"/>
  <c r="BH2470" i="4"/>
  <c r="AX2469" i="4"/>
  <c r="AW2469" i="4"/>
  <c r="AV2469" i="4"/>
  <c r="AP2469" i="4"/>
  <c r="AO2469" i="4"/>
  <c r="AN2469" i="4"/>
  <c r="AM2469" i="4"/>
  <c r="BH2469" i="4"/>
  <c r="AX2468" i="4"/>
  <c r="AW2468" i="4"/>
  <c r="AV2468" i="4"/>
  <c r="AP2468" i="4"/>
  <c r="AO2468" i="4"/>
  <c r="AN2468" i="4"/>
  <c r="AM2468" i="4"/>
  <c r="BH2468" i="4"/>
  <c r="AX2467" i="4"/>
  <c r="AW2467" i="4"/>
  <c r="AV2467" i="4"/>
  <c r="AP2467" i="4"/>
  <c r="AO2467" i="4"/>
  <c r="AN2467" i="4"/>
  <c r="AM2467" i="4"/>
  <c r="BH2467" i="4"/>
  <c r="AX2466" i="4"/>
  <c r="AW2466" i="4"/>
  <c r="AV2466" i="4"/>
  <c r="AP2466" i="4"/>
  <c r="AO2466" i="4"/>
  <c r="AN2466" i="4"/>
  <c r="AM2466" i="4"/>
  <c r="BH2466" i="4"/>
  <c r="AX2465" i="4"/>
  <c r="AW2465" i="4"/>
  <c r="AV2465" i="4"/>
  <c r="AP2465" i="4"/>
  <c r="AO2465" i="4"/>
  <c r="AN2465" i="4"/>
  <c r="AM2465" i="4"/>
  <c r="BH2465" i="4"/>
  <c r="AX2464" i="4"/>
  <c r="AW2464" i="4"/>
  <c r="AV2464" i="4"/>
  <c r="AP2464" i="4"/>
  <c r="AO2464" i="4"/>
  <c r="AN2464" i="4"/>
  <c r="AM2464" i="4"/>
  <c r="BH2464" i="4"/>
  <c r="AX2463" i="4"/>
  <c r="AW2463" i="4"/>
  <c r="AV2463" i="4"/>
  <c r="AP2463" i="4"/>
  <c r="AO2463" i="4"/>
  <c r="AN2463" i="4"/>
  <c r="AM2463" i="4"/>
  <c r="BH2463" i="4"/>
  <c r="AX2462" i="4"/>
  <c r="AW2462" i="4"/>
  <c r="AV2462" i="4"/>
  <c r="AP2462" i="4"/>
  <c r="AO2462" i="4"/>
  <c r="AN2462" i="4"/>
  <c r="AM2462" i="4"/>
  <c r="BH2462" i="4"/>
  <c r="AX2461" i="4"/>
  <c r="AW2461" i="4"/>
  <c r="AV2461" i="4"/>
  <c r="AP2461" i="4"/>
  <c r="AO2461" i="4"/>
  <c r="AN2461" i="4"/>
  <c r="AM2461" i="4"/>
  <c r="BH2461" i="4"/>
  <c r="AX2460" i="4"/>
  <c r="AW2460" i="4"/>
  <c r="AV2460" i="4"/>
  <c r="AP2460" i="4"/>
  <c r="AO2460" i="4"/>
  <c r="AN2460" i="4"/>
  <c r="AM2460" i="4"/>
  <c r="BH2460" i="4"/>
  <c r="AX2459" i="4"/>
  <c r="AW2459" i="4"/>
  <c r="AV2459" i="4"/>
  <c r="AP2459" i="4"/>
  <c r="AO2459" i="4"/>
  <c r="AN2459" i="4"/>
  <c r="AM2459" i="4"/>
  <c r="BH2459" i="4"/>
  <c r="AX2458" i="4"/>
  <c r="AW2458" i="4"/>
  <c r="AV2458" i="4"/>
  <c r="AP2458" i="4"/>
  <c r="AO2458" i="4"/>
  <c r="AN2458" i="4"/>
  <c r="AM2458" i="4"/>
  <c r="BH2458" i="4"/>
  <c r="AX2457" i="4"/>
  <c r="AW2457" i="4"/>
  <c r="AV2457" i="4"/>
  <c r="AP2457" i="4"/>
  <c r="AO2457" i="4"/>
  <c r="AN2457" i="4"/>
  <c r="AM2457" i="4"/>
  <c r="BH2457" i="4"/>
  <c r="AX2456" i="4"/>
  <c r="AW2456" i="4"/>
  <c r="AV2456" i="4"/>
  <c r="AP2456" i="4"/>
  <c r="AO2456" i="4"/>
  <c r="AN2456" i="4"/>
  <c r="AM2456" i="4"/>
  <c r="BH2456" i="4"/>
  <c r="AX2455" i="4"/>
  <c r="AW2455" i="4"/>
  <c r="AV2455" i="4"/>
  <c r="AP2455" i="4"/>
  <c r="AO2455" i="4"/>
  <c r="AN2455" i="4"/>
  <c r="AM2455" i="4"/>
  <c r="BH2455" i="4"/>
  <c r="AX2454" i="4"/>
  <c r="AW2454" i="4"/>
  <c r="AV2454" i="4"/>
  <c r="AP2454" i="4"/>
  <c r="AO2454" i="4"/>
  <c r="AN2454" i="4"/>
  <c r="AM2454" i="4"/>
  <c r="BH2454" i="4"/>
  <c r="AX2453" i="4"/>
  <c r="AW2453" i="4"/>
  <c r="AV2453" i="4"/>
  <c r="AP2453" i="4"/>
  <c r="AO2453" i="4"/>
  <c r="AN2453" i="4"/>
  <c r="AM2453" i="4"/>
  <c r="BH2453" i="4"/>
  <c r="AX2452" i="4"/>
  <c r="AW2452" i="4"/>
  <c r="AV2452" i="4"/>
  <c r="AP2452" i="4"/>
  <c r="AO2452" i="4"/>
  <c r="AN2452" i="4"/>
  <c r="AM2452" i="4"/>
  <c r="BH2452" i="4"/>
  <c r="AX2451" i="4"/>
  <c r="AW2451" i="4"/>
  <c r="AV2451" i="4"/>
  <c r="AP2451" i="4"/>
  <c r="AO2451" i="4"/>
  <c r="AN2451" i="4"/>
  <c r="AM2451" i="4"/>
  <c r="BH2451" i="4"/>
  <c r="AX2450" i="4"/>
  <c r="AW2450" i="4"/>
  <c r="AV2450" i="4"/>
  <c r="AP2450" i="4"/>
  <c r="AO2450" i="4"/>
  <c r="AN2450" i="4"/>
  <c r="AM2450" i="4"/>
  <c r="BH2450" i="4"/>
  <c r="AX2449" i="4"/>
  <c r="AW2449" i="4"/>
  <c r="AV2449" i="4"/>
  <c r="AP2449" i="4"/>
  <c r="AO2449" i="4"/>
  <c r="AN2449" i="4"/>
  <c r="AM2449" i="4"/>
  <c r="BH2449" i="4"/>
  <c r="AX2448" i="4"/>
  <c r="AW2448" i="4"/>
  <c r="AV2448" i="4"/>
  <c r="AP2448" i="4"/>
  <c r="AO2448" i="4"/>
  <c r="AN2448" i="4"/>
  <c r="AM2448" i="4"/>
  <c r="BH2448" i="4"/>
  <c r="AX2447" i="4"/>
  <c r="AW2447" i="4"/>
  <c r="AV2447" i="4"/>
  <c r="AP2447" i="4"/>
  <c r="AO2447" i="4"/>
  <c r="AN2447" i="4"/>
  <c r="AM2447" i="4"/>
  <c r="BH2447" i="4"/>
  <c r="AX2446" i="4"/>
  <c r="AW2446" i="4"/>
  <c r="AV2446" i="4"/>
  <c r="AP2446" i="4"/>
  <c r="AO2446" i="4"/>
  <c r="AN2446" i="4"/>
  <c r="AM2446" i="4"/>
  <c r="BH2446" i="4"/>
  <c r="AX2445" i="4"/>
  <c r="AW2445" i="4"/>
  <c r="AV2445" i="4"/>
  <c r="AP2445" i="4"/>
  <c r="AO2445" i="4"/>
  <c r="AN2445" i="4"/>
  <c r="AM2445" i="4"/>
  <c r="BH2445" i="4"/>
  <c r="AX2444" i="4"/>
  <c r="AW2444" i="4"/>
  <c r="AV2444" i="4"/>
  <c r="AP2444" i="4"/>
  <c r="AO2444" i="4"/>
  <c r="AN2444" i="4"/>
  <c r="AM2444" i="4"/>
  <c r="BH2444" i="4"/>
  <c r="AX2443" i="4"/>
  <c r="AW2443" i="4"/>
  <c r="AV2443" i="4"/>
  <c r="AP2443" i="4"/>
  <c r="AO2443" i="4"/>
  <c r="AN2443" i="4"/>
  <c r="AM2443" i="4"/>
  <c r="BH2443" i="4"/>
  <c r="AX2442" i="4"/>
  <c r="AW2442" i="4"/>
  <c r="AV2442" i="4"/>
  <c r="AP2442" i="4"/>
  <c r="AO2442" i="4"/>
  <c r="AN2442" i="4"/>
  <c r="AM2442" i="4"/>
  <c r="BH2442" i="4"/>
  <c r="AX2441" i="4"/>
  <c r="AW2441" i="4"/>
  <c r="AV2441" i="4"/>
  <c r="AP2441" i="4"/>
  <c r="AO2441" i="4"/>
  <c r="AN2441" i="4"/>
  <c r="AM2441" i="4"/>
  <c r="BH2441" i="4"/>
  <c r="AX2440" i="4"/>
  <c r="AW2440" i="4"/>
  <c r="AV2440" i="4"/>
  <c r="AP2440" i="4"/>
  <c r="AO2440" i="4"/>
  <c r="AN2440" i="4"/>
  <c r="AM2440" i="4"/>
  <c r="BH2440" i="4"/>
  <c r="AX2439" i="4"/>
  <c r="AW2439" i="4"/>
  <c r="AV2439" i="4"/>
  <c r="AP2439" i="4"/>
  <c r="AO2439" i="4"/>
  <c r="AN2439" i="4"/>
  <c r="AM2439" i="4"/>
  <c r="BH2439" i="4"/>
  <c r="AX2438" i="4"/>
  <c r="AW2438" i="4"/>
  <c r="AV2438" i="4"/>
  <c r="AP2438" i="4"/>
  <c r="AO2438" i="4"/>
  <c r="AN2438" i="4"/>
  <c r="AM2438" i="4"/>
  <c r="BH2438" i="4"/>
  <c r="AX2437" i="4"/>
  <c r="AW2437" i="4"/>
  <c r="AV2437" i="4"/>
  <c r="AP2437" i="4"/>
  <c r="AO2437" i="4"/>
  <c r="AN2437" i="4"/>
  <c r="AM2437" i="4"/>
  <c r="BH2437" i="4"/>
  <c r="AX2436" i="4"/>
  <c r="AW2436" i="4"/>
  <c r="AV2436" i="4"/>
  <c r="AP2436" i="4"/>
  <c r="AO2436" i="4"/>
  <c r="AN2436" i="4"/>
  <c r="AM2436" i="4"/>
  <c r="BH2436" i="4"/>
  <c r="AX2435" i="4"/>
  <c r="AW2435" i="4"/>
  <c r="AV2435" i="4"/>
  <c r="AP2435" i="4"/>
  <c r="AO2435" i="4"/>
  <c r="AN2435" i="4"/>
  <c r="AM2435" i="4"/>
  <c r="BH2435" i="4"/>
  <c r="AX2434" i="4"/>
  <c r="AW2434" i="4"/>
  <c r="AV2434" i="4"/>
  <c r="AP2434" i="4"/>
  <c r="AO2434" i="4"/>
  <c r="AN2434" i="4"/>
  <c r="AM2434" i="4"/>
  <c r="BH2434" i="4"/>
  <c r="AX2433" i="4"/>
  <c r="AW2433" i="4"/>
  <c r="AV2433" i="4"/>
  <c r="AP2433" i="4"/>
  <c r="AO2433" i="4"/>
  <c r="AN2433" i="4"/>
  <c r="AM2433" i="4"/>
  <c r="BH2433" i="4"/>
  <c r="AX2432" i="4"/>
  <c r="AW2432" i="4"/>
  <c r="AV2432" i="4"/>
  <c r="AP2432" i="4"/>
  <c r="AO2432" i="4"/>
  <c r="AN2432" i="4"/>
  <c r="AM2432" i="4"/>
  <c r="BH2432" i="4"/>
  <c r="AX2431" i="4"/>
  <c r="AW2431" i="4"/>
  <c r="AV2431" i="4"/>
  <c r="AP2431" i="4"/>
  <c r="AO2431" i="4"/>
  <c r="AN2431" i="4"/>
  <c r="AM2431" i="4"/>
  <c r="BH2431" i="4"/>
  <c r="AX2430" i="4"/>
  <c r="AW2430" i="4"/>
  <c r="AV2430" i="4"/>
  <c r="AP2430" i="4"/>
  <c r="AO2430" i="4"/>
  <c r="AN2430" i="4"/>
  <c r="AM2430" i="4"/>
  <c r="BH2430" i="4"/>
  <c r="AX2429" i="4"/>
  <c r="AW2429" i="4"/>
  <c r="AV2429" i="4"/>
  <c r="AP2429" i="4"/>
  <c r="AO2429" i="4"/>
  <c r="AN2429" i="4"/>
  <c r="AM2429" i="4"/>
  <c r="BH2429" i="4"/>
  <c r="AX2428" i="4"/>
  <c r="AW2428" i="4"/>
  <c r="AV2428" i="4"/>
  <c r="AP2428" i="4"/>
  <c r="AO2428" i="4"/>
  <c r="AN2428" i="4"/>
  <c r="AM2428" i="4"/>
  <c r="BH2428" i="4"/>
  <c r="AX2427" i="4"/>
  <c r="AW2427" i="4"/>
  <c r="AV2427" i="4"/>
  <c r="AP2427" i="4"/>
  <c r="AO2427" i="4"/>
  <c r="AN2427" i="4"/>
  <c r="AM2427" i="4"/>
  <c r="BH2427" i="4"/>
  <c r="AX2426" i="4"/>
  <c r="AW2426" i="4"/>
  <c r="AV2426" i="4"/>
  <c r="AP2426" i="4"/>
  <c r="AO2426" i="4"/>
  <c r="AN2426" i="4"/>
  <c r="AM2426" i="4"/>
  <c r="BH2426" i="4"/>
  <c r="AX2425" i="4"/>
  <c r="AW2425" i="4"/>
  <c r="AV2425" i="4"/>
  <c r="AP2425" i="4"/>
  <c r="AO2425" i="4"/>
  <c r="AN2425" i="4"/>
  <c r="AM2425" i="4"/>
  <c r="BH2425" i="4"/>
  <c r="AX2424" i="4"/>
  <c r="AW2424" i="4"/>
  <c r="AV2424" i="4"/>
  <c r="AP2424" i="4"/>
  <c r="AO2424" i="4"/>
  <c r="AN2424" i="4"/>
  <c r="AM2424" i="4"/>
  <c r="BH2424" i="4"/>
  <c r="AX2423" i="4"/>
  <c r="AW2423" i="4"/>
  <c r="AV2423" i="4"/>
  <c r="AP2423" i="4"/>
  <c r="AO2423" i="4"/>
  <c r="AN2423" i="4"/>
  <c r="AM2423" i="4"/>
  <c r="BH2423" i="4"/>
  <c r="AX2422" i="4"/>
  <c r="AW2422" i="4"/>
  <c r="AV2422" i="4"/>
  <c r="AP2422" i="4"/>
  <c r="AO2422" i="4"/>
  <c r="AN2422" i="4"/>
  <c r="AM2422" i="4"/>
  <c r="BH2422" i="4"/>
  <c r="AX2421" i="4"/>
  <c r="AW2421" i="4"/>
  <c r="AV2421" i="4"/>
  <c r="AP2421" i="4"/>
  <c r="AO2421" i="4"/>
  <c r="AN2421" i="4"/>
  <c r="AM2421" i="4"/>
  <c r="BH2421" i="4"/>
  <c r="AX2420" i="4"/>
  <c r="AW2420" i="4"/>
  <c r="AV2420" i="4"/>
  <c r="AP2420" i="4"/>
  <c r="AO2420" i="4"/>
  <c r="AN2420" i="4"/>
  <c r="AM2420" i="4"/>
  <c r="BH2420" i="4"/>
  <c r="AX2419" i="4"/>
  <c r="AW2419" i="4"/>
  <c r="AV2419" i="4"/>
  <c r="AP2419" i="4"/>
  <c r="AO2419" i="4"/>
  <c r="AN2419" i="4"/>
  <c r="AM2419" i="4"/>
  <c r="BH2419" i="4"/>
  <c r="AX2418" i="4"/>
  <c r="AW2418" i="4"/>
  <c r="AV2418" i="4"/>
  <c r="AP2418" i="4"/>
  <c r="AO2418" i="4"/>
  <c r="AN2418" i="4"/>
  <c r="AM2418" i="4"/>
  <c r="BH2418" i="4"/>
  <c r="AX2417" i="4"/>
  <c r="AW2417" i="4"/>
  <c r="AV2417" i="4"/>
  <c r="AP2417" i="4"/>
  <c r="AO2417" i="4"/>
  <c r="AN2417" i="4"/>
  <c r="AM2417" i="4"/>
  <c r="BH2417" i="4"/>
  <c r="AX2416" i="4"/>
  <c r="AW2416" i="4"/>
  <c r="AV2416" i="4"/>
  <c r="AP2416" i="4"/>
  <c r="AO2416" i="4"/>
  <c r="AN2416" i="4"/>
  <c r="AM2416" i="4"/>
  <c r="BH2416" i="4"/>
  <c r="AX2415" i="4"/>
  <c r="AW2415" i="4"/>
  <c r="AV2415" i="4"/>
  <c r="AP2415" i="4"/>
  <c r="AO2415" i="4"/>
  <c r="AN2415" i="4"/>
  <c r="AM2415" i="4"/>
  <c r="BH2415" i="4"/>
  <c r="AX2414" i="4"/>
  <c r="AW2414" i="4"/>
  <c r="AV2414" i="4"/>
  <c r="AP2414" i="4"/>
  <c r="AO2414" i="4"/>
  <c r="AN2414" i="4"/>
  <c r="AM2414" i="4"/>
  <c r="BH2414" i="4"/>
  <c r="AX2413" i="4"/>
  <c r="AW2413" i="4"/>
  <c r="AV2413" i="4"/>
  <c r="AP2413" i="4"/>
  <c r="AO2413" i="4"/>
  <c r="AN2413" i="4"/>
  <c r="AM2413" i="4"/>
  <c r="BH2413" i="4"/>
  <c r="AX2412" i="4"/>
  <c r="AW2412" i="4"/>
  <c r="AV2412" i="4"/>
  <c r="AP2412" i="4"/>
  <c r="AO2412" i="4"/>
  <c r="AN2412" i="4"/>
  <c r="AM2412" i="4"/>
  <c r="BH2412" i="4"/>
  <c r="AX2411" i="4"/>
  <c r="AW2411" i="4"/>
  <c r="AV2411" i="4"/>
  <c r="AP2411" i="4"/>
  <c r="AO2411" i="4"/>
  <c r="AN2411" i="4"/>
  <c r="AM2411" i="4"/>
  <c r="BH2411" i="4"/>
  <c r="AX2410" i="4"/>
  <c r="AW2410" i="4"/>
  <c r="AV2410" i="4"/>
  <c r="AP2410" i="4"/>
  <c r="AO2410" i="4"/>
  <c r="AN2410" i="4"/>
  <c r="AM2410" i="4"/>
  <c r="BH2410" i="4"/>
  <c r="AX2409" i="4"/>
  <c r="AW2409" i="4"/>
  <c r="AV2409" i="4"/>
  <c r="AP2409" i="4"/>
  <c r="AO2409" i="4"/>
  <c r="AN2409" i="4"/>
  <c r="AM2409" i="4"/>
  <c r="BH2409" i="4"/>
  <c r="AX2408" i="4"/>
  <c r="AW2408" i="4"/>
  <c r="AV2408" i="4"/>
  <c r="AP2408" i="4"/>
  <c r="AO2408" i="4"/>
  <c r="AN2408" i="4"/>
  <c r="AM2408" i="4"/>
  <c r="BH2408" i="4"/>
  <c r="AX2407" i="4"/>
  <c r="AW2407" i="4"/>
  <c r="AV2407" i="4"/>
  <c r="AP2407" i="4"/>
  <c r="AO2407" i="4"/>
  <c r="AN2407" i="4"/>
  <c r="AM2407" i="4"/>
  <c r="BH2407" i="4"/>
  <c r="AX2406" i="4"/>
  <c r="AW2406" i="4"/>
  <c r="AV2406" i="4"/>
  <c r="AP2406" i="4"/>
  <c r="AO2406" i="4"/>
  <c r="AN2406" i="4"/>
  <c r="AM2406" i="4"/>
  <c r="BH2406" i="4"/>
  <c r="AX2405" i="4"/>
  <c r="AW2405" i="4"/>
  <c r="AV2405" i="4"/>
  <c r="AP2405" i="4"/>
  <c r="AO2405" i="4"/>
  <c r="AN2405" i="4"/>
  <c r="AM2405" i="4"/>
  <c r="BH2405" i="4"/>
  <c r="AX2404" i="4"/>
  <c r="AW2404" i="4"/>
  <c r="AV2404" i="4"/>
  <c r="AP2404" i="4"/>
  <c r="AO2404" i="4"/>
  <c r="AN2404" i="4"/>
  <c r="AM2404" i="4"/>
  <c r="BH2404" i="4"/>
  <c r="AX2403" i="4"/>
  <c r="AW2403" i="4"/>
  <c r="AV2403" i="4"/>
  <c r="AP2403" i="4"/>
  <c r="AO2403" i="4"/>
  <c r="AN2403" i="4"/>
  <c r="AM2403" i="4"/>
  <c r="BH2403" i="4"/>
  <c r="AX2402" i="4"/>
  <c r="AW2402" i="4"/>
  <c r="AV2402" i="4"/>
  <c r="AP2402" i="4"/>
  <c r="AO2402" i="4"/>
  <c r="AN2402" i="4"/>
  <c r="AM2402" i="4"/>
  <c r="BH2402" i="4"/>
  <c r="AX2401" i="4"/>
  <c r="AW2401" i="4"/>
  <c r="AV2401" i="4"/>
  <c r="AP2401" i="4"/>
  <c r="AO2401" i="4"/>
  <c r="AN2401" i="4"/>
  <c r="AM2401" i="4"/>
  <c r="BH2401" i="4"/>
  <c r="AX2400" i="4"/>
  <c r="AW2400" i="4"/>
  <c r="AV2400" i="4"/>
  <c r="AP2400" i="4"/>
  <c r="AO2400" i="4"/>
  <c r="AN2400" i="4"/>
  <c r="AM2400" i="4"/>
  <c r="BH2400" i="4"/>
  <c r="AX2399" i="4"/>
  <c r="AW2399" i="4"/>
  <c r="AV2399" i="4"/>
  <c r="AP2399" i="4"/>
  <c r="AO2399" i="4"/>
  <c r="AN2399" i="4"/>
  <c r="AM2399" i="4"/>
  <c r="BH2399" i="4"/>
  <c r="AX2398" i="4"/>
  <c r="AW2398" i="4"/>
  <c r="AV2398" i="4"/>
  <c r="AP2398" i="4"/>
  <c r="AO2398" i="4"/>
  <c r="AN2398" i="4"/>
  <c r="AM2398" i="4"/>
  <c r="BH2398" i="4"/>
  <c r="AX2397" i="4"/>
  <c r="AW2397" i="4"/>
  <c r="AV2397" i="4"/>
  <c r="AP2397" i="4"/>
  <c r="AO2397" i="4"/>
  <c r="AN2397" i="4"/>
  <c r="AM2397" i="4"/>
  <c r="BH2397" i="4"/>
  <c r="AX2396" i="4"/>
  <c r="AW2396" i="4"/>
  <c r="AV2396" i="4"/>
  <c r="AP2396" i="4"/>
  <c r="AO2396" i="4"/>
  <c r="AN2396" i="4"/>
  <c r="AM2396" i="4"/>
  <c r="BH2396" i="4"/>
  <c r="AX2395" i="4"/>
  <c r="AW2395" i="4"/>
  <c r="AV2395" i="4"/>
  <c r="AP2395" i="4"/>
  <c r="AO2395" i="4"/>
  <c r="AN2395" i="4"/>
  <c r="AM2395" i="4"/>
  <c r="BH2395" i="4"/>
  <c r="AX2394" i="4"/>
  <c r="AW2394" i="4"/>
  <c r="AV2394" i="4"/>
  <c r="AP2394" i="4"/>
  <c r="AO2394" i="4"/>
  <c r="AN2394" i="4"/>
  <c r="AM2394" i="4"/>
  <c r="BH2394" i="4"/>
  <c r="AX2393" i="4"/>
  <c r="AW2393" i="4"/>
  <c r="AV2393" i="4"/>
  <c r="AP2393" i="4"/>
  <c r="AO2393" i="4"/>
  <c r="AN2393" i="4"/>
  <c r="AM2393" i="4"/>
  <c r="BH2393" i="4"/>
  <c r="AX2392" i="4"/>
  <c r="AW2392" i="4"/>
  <c r="AV2392" i="4"/>
  <c r="AP2392" i="4"/>
  <c r="AO2392" i="4"/>
  <c r="AN2392" i="4"/>
  <c r="AM2392" i="4"/>
  <c r="BH2392" i="4"/>
  <c r="AX2391" i="4"/>
  <c r="AW2391" i="4"/>
  <c r="AV2391" i="4"/>
  <c r="AP2391" i="4"/>
  <c r="AO2391" i="4"/>
  <c r="AN2391" i="4"/>
  <c r="AM2391" i="4"/>
  <c r="BH2391" i="4"/>
  <c r="AX2390" i="4"/>
  <c r="AW2390" i="4"/>
  <c r="AV2390" i="4"/>
  <c r="AP2390" i="4"/>
  <c r="AO2390" i="4"/>
  <c r="AN2390" i="4"/>
  <c r="AM2390" i="4"/>
  <c r="BH2390" i="4"/>
  <c r="AX2389" i="4"/>
  <c r="AW2389" i="4"/>
  <c r="AV2389" i="4"/>
  <c r="AP2389" i="4"/>
  <c r="AO2389" i="4"/>
  <c r="AN2389" i="4"/>
  <c r="AM2389" i="4"/>
  <c r="BH2389" i="4"/>
  <c r="AX2388" i="4"/>
  <c r="AW2388" i="4"/>
  <c r="AV2388" i="4"/>
  <c r="AP2388" i="4"/>
  <c r="AO2388" i="4"/>
  <c r="AN2388" i="4"/>
  <c r="AM2388" i="4"/>
  <c r="BH2388" i="4"/>
  <c r="AX2387" i="4"/>
  <c r="AW2387" i="4"/>
  <c r="AV2387" i="4"/>
  <c r="AP2387" i="4"/>
  <c r="AO2387" i="4"/>
  <c r="AN2387" i="4"/>
  <c r="AM2387" i="4"/>
  <c r="BH2387" i="4"/>
  <c r="AX2386" i="4"/>
  <c r="AW2386" i="4"/>
  <c r="AV2386" i="4"/>
  <c r="AP2386" i="4"/>
  <c r="AO2386" i="4"/>
  <c r="AN2386" i="4"/>
  <c r="AM2386" i="4"/>
  <c r="BH2386" i="4"/>
  <c r="AX2385" i="4"/>
  <c r="AW2385" i="4"/>
  <c r="AV2385" i="4"/>
  <c r="AP2385" i="4"/>
  <c r="AO2385" i="4"/>
  <c r="AN2385" i="4"/>
  <c r="AM2385" i="4"/>
  <c r="BH2385" i="4"/>
  <c r="AX2384" i="4"/>
  <c r="AW2384" i="4"/>
  <c r="AV2384" i="4"/>
  <c r="AP2384" i="4"/>
  <c r="AO2384" i="4"/>
  <c r="AN2384" i="4"/>
  <c r="AM2384" i="4"/>
  <c r="BH2384" i="4"/>
  <c r="AX2383" i="4"/>
  <c r="AW2383" i="4"/>
  <c r="AV2383" i="4"/>
  <c r="AP2383" i="4"/>
  <c r="AO2383" i="4"/>
  <c r="AN2383" i="4"/>
  <c r="AM2383" i="4"/>
  <c r="BH2383" i="4"/>
  <c r="AX2382" i="4"/>
  <c r="AW2382" i="4"/>
  <c r="AV2382" i="4"/>
  <c r="AP2382" i="4"/>
  <c r="AO2382" i="4"/>
  <c r="AN2382" i="4"/>
  <c r="AM2382" i="4"/>
  <c r="BH2382" i="4"/>
  <c r="AX2381" i="4"/>
  <c r="AW2381" i="4"/>
  <c r="AV2381" i="4"/>
  <c r="AP2381" i="4"/>
  <c r="AO2381" i="4"/>
  <c r="AN2381" i="4"/>
  <c r="AM2381" i="4"/>
  <c r="BH2381" i="4"/>
  <c r="AX2380" i="4"/>
  <c r="AW2380" i="4"/>
  <c r="AV2380" i="4"/>
  <c r="AP2380" i="4"/>
  <c r="AO2380" i="4"/>
  <c r="AN2380" i="4"/>
  <c r="AM2380" i="4"/>
  <c r="BH2380" i="4"/>
  <c r="AX2379" i="4"/>
  <c r="AW2379" i="4"/>
  <c r="AV2379" i="4"/>
  <c r="AP2379" i="4"/>
  <c r="AO2379" i="4"/>
  <c r="AN2379" i="4"/>
  <c r="AM2379" i="4"/>
  <c r="BH2379" i="4"/>
  <c r="AX2378" i="4"/>
  <c r="AW2378" i="4"/>
  <c r="AV2378" i="4"/>
  <c r="AP2378" i="4"/>
  <c r="AO2378" i="4"/>
  <c r="AN2378" i="4"/>
  <c r="AM2378" i="4"/>
  <c r="BH2378" i="4"/>
  <c r="AX2377" i="4"/>
  <c r="AW2377" i="4"/>
  <c r="AV2377" i="4"/>
  <c r="AP2377" i="4"/>
  <c r="AO2377" i="4"/>
  <c r="AN2377" i="4"/>
  <c r="AM2377" i="4"/>
  <c r="BH2377" i="4"/>
  <c r="AX2376" i="4"/>
  <c r="AW2376" i="4"/>
  <c r="AV2376" i="4"/>
  <c r="AP2376" i="4"/>
  <c r="AO2376" i="4"/>
  <c r="AN2376" i="4"/>
  <c r="AM2376" i="4"/>
  <c r="BH2376" i="4"/>
  <c r="AX2375" i="4"/>
  <c r="AW2375" i="4"/>
  <c r="AV2375" i="4"/>
  <c r="AP2375" i="4"/>
  <c r="AO2375" i="4"/>
  <c r="AN2375" i="4"/>
  <c r="AM2375" i="4"/>
  <c r="BH2375" i="4"/>
  <c r="AX2374" i="4"/>
  <c r="AW2374" i="4"/>
  <c r="AV2374" i="4"/>
  <c r="AP2374" i="4"/>
  <c r="AO2374" i="4"/>
  <c r="AN2374" i="4"/>
  <c r="AM2374" i="4"/>
  <c r="BH2374" i="4"/>
  <c r="AX2373" i="4"/>
  <c r="AW2373" i="4"/>
  <c r="AV2373" i="4"/>
  <c r="AP2373" i="4"/>
  <c r="AO2373" i="4"/>
  <c r="AN2373" i="4"/>
  <c r="AM2373" i="4"/>
  <c r="BH2373" i="4"/>
  <c r="AX2372" i="4"/>
  <c r="AW2372" i="4"/>
  <c r="AV2372" i="4"/>
  <c r="AP2372" i="4"/>
  <c r="AO2372" i="4"/>
  <c r="AN2372" i="4"/>
  <c r="AM2372" i="4"/>
  <c r="BH2372" i="4"/>
  <c r="AX2371" i="4"/>
  <c r="AW2371" i="4"/>
  <c r="AV2371" i="4"/>
  <c r="AP2371" i="4"/>
  <c r="AO2371" i="4"/>
  <c r="AN2371" i="4"/>
  <c r="AM2371" i="4"/>
  <c r="BH2371" i="4"/>
  <c r="AX2370" i="4"/>
  <c r="AW2370" i="4"/>
  <c r="AV2370" i="4"/>
  <c r="AP2370" i="4"/>
  <c r="AO2370" i="4"/>
  <c r="AN2370" i="4"/>
  <c r="AM2370" i="4"/>
  <c r="BH2370" i="4"/>
  <c r="AX2369" i="4"/>
  <c r="AW2369" i="4"/>
  <c r="AV2369" i="4"/>
  <c r="AP2369" i="4"/>
  <c r="AO2369" i="4"/>
  <c r="AN2369" i="4"/>
  <c r="AM2369" i="4"/>
  <c r="BH2369" i="4"/>
  <c r="AX2368" i="4"/>
  <c r="AW2368" i="4"/>
  <c r="AV2368" i="4"/>
  <c r="AP2368" i="4"/>
  <c r="AO2368" i="4"/>
  <c r="AN2368" i="4"/>
  <c r="AM2368" i="4"/>
  <c r="BH2368" i="4"/>
  <c r="AX2367" i="4"/>
  <c r="AW2367" i="4"/>
  <c r="AV2367" i="4"/>
  <c r="AP2367" i="4"/>
  <c r="AO2367" i="4"/>
  <c r="AN2367" i="4"/>
  <c r="AM2367" i="4"/>
  <c r="BH2367" i="4"/>
  <c r="AX2366" i="4"/>
  <c r="AW2366" i="4"/>
  <c r="AV2366" i="4"/>
  <c r="AP2366" i="4"/>
  <c r="AO2366" i="4"/>
  <c r="AN2366" i="4"/>
  <c r="AM2366" i="4"/>
  <c r="BH2366" i="4"/>
  <c r="AX2365" i="4"/>
  <c r="AW2365" i="4"/>
  <c r="AV2365" i="4"/>
  <c r="AP2365" i="4"/>
  <c r="AO2365" i="4"/>
  <c r="AN2365" i="4"/>
  <c r="AM2365" i="4"/>
  <c r="BH2365" i="4"/>
  <c r="AX2364" i="4"/>
  <c r="AW2364" i="4"/>
  <c r="AV2364" i="4"/>
  <c r="AP2364" i="4"/>
  <c r="AO2364" i="4"/>
  <c r="AN2364" i="4"/>
  <c r="AM2364" i="4"/>
  <c r="BH2364" i="4"/>
  <c r="AX2363" i="4"/>
  <c r="AW2363" i="4"/>
  <c r="AV2363" i="4"/>
  <c r="AP2363" i="4"/>
  <c r="AO2363" i="4"/>
  <c r="AN2363" i="4"/>
  <c r="AM2363" i="4"/>
  <c r="BH2363" i="4"/>
  <c r="AX2362" i="4"/>
  <c r="AW2362" i="4"/>
  <c r="AV2362" i="4"/>
  <c r="AP2362" i="4"/>
  <c r="AO2362" i="4"/>
  <c r="AN2362" i="4"/>
  <c r="AM2362" i="4"/>
  <c r="BH2362" i="4"/>
  <c r="AX2361" i="4"/>
  <c r="AW2361" i="4"/>
  <c r="AV2361" i="4"/>
  <c r="AP2361" i="4"/>
  <c r="AO2361" i="4"/>
  <c r="AN2361" i="4"/>
  <c r="AM2361" i="4"/>
  <c r="BH2361" i="4"/>
  <c r="AX2360" i="4"/>
  <c r="AW2360" i="4"/>
  <c r="AV2360" i="4"/>
  <c r="AP2360" i="4"/>
  <c r="AO2360" i="4"/>
  <c r="AN2360" i="4"/>
  <c r="AM2360" i="4"/>
  <c r="BH2360" i="4"/>
  <c r="AX2359" i="4"/>
  <c r="AW2359" i="4"/>
  <c r="AV2359" i="4"/>
  <c r="AP2359" i="4"/>
  <c r="AO2359" i="4"/>
  <c r="AN2359" i="4"/>
  <c r="AM2359" i="4"/>
  <c r="BH2359" i="4"/>
  <c r="AX2358" i="4"/>
  <c r="AW2358" i="4"/>
  <c r="AV2358" i="4"/>
  <c r="AP2358" i="4"/>
  <c r="AO2358" i="4"/>
  <c r="AN2358" i="4"/>
  <c r="AM2358" i="4"/>
  <c r="BH2358" i="4"/>
  <c r="AX2357" i="4"/>
  <c r="AW2357" i="4"/>
  <c r="AV2357" i="4"/>
  <c r="AP2357" i="4"/>
  <c r="AO2357" i="4"/>
  <c r="AN2357" i="4"/>
  <c r="AM2357" i="4"/>
  <c r="BH2357" i="4"/>
  <c r="AX2356" i="4"/>
  <c r="AW2356" i="4"/>
  <c r="AV2356" i="4"/>
  <c r="AP2356" i="4"/>
  <c r="AO2356" i="4"/>
  <c r="AN2356" i="4"/>
  <c r="AM2356" i="4"/>
  <c r="BH2356" i="4"/>
  <c r="AX2355" i="4"/>
  <c r="AW2355" i="4"/>
  <c r="AV2355" i="4"/>
  <c r="AP2355" i="4"/>
  <c r="AO2355" i="4"/>
  <c r="AN2355" i="4"/>
  <c r="AM2355" i="4"/>
  <c r="BH2355" i="4"/>
  <c r="AX2354" i="4"/>
  <c r="AW2354" i="4"/>
  <c r="AV2354" i="4"/>
  <c r="AP2354" i="4"/>
  <c r="AO2354" i="4"/>
  <c r="AN2354" i="4"/>
  <c r="AM2354" i="4"/>
  <c r="BH2354" i="4"/>
  <c r="AX2353" i="4"/>
  <c r="AW2353" i="4"/>
  <c r="AV2353" i="4"/>
  <c r="AP2353" i="4"/>
  <c r="AO2353" i="4"/>
  <c r="AN2353" i="4"/>
  <c r="AM2353" i="4"/>
  <c r="BH2353" i="4"/>
  <c r="AX2352" i="4"/>
  <c r="AW2352" i="4"/>
  <c r="AV2352" i="4"/>
  <c r="AP2352" i="4"/>
  <c r="AO2352" i="4"/>
  <c r="AN2352" i="4"/>
  <c r="AM2352" i="4"/>
  <c r="BH2352" i="4"/>
  <c r="AX2351" i="4"/>
  <c r="AW2351" i="4"/>
  <c r="AV2351" i="4"/>
  <c r="AP2351" i="4"/>
  <c r="AO2351" i="4"/>
  <c r="AN2351" i="4"/>
  <c r="AM2351" i="4"/>
  <c r="BH2351" i="4"/>
  <c r="AX2350" i="4"/>
  <c r="AW2350" i="4"/>
  <c r="AV2350" i="4"/>
  <c r="AP2350" i="4"/>
  <c r="AO2350" i="4"/>
  <c r="AN2350" i="4"/>
  <c r="AM2350" i="4"/>
  <c r="BH2350" i="4"/>
  <c r="AX2349" i="4"/>
  <c r="AW2349" i="4"/>
  <c r="AV2349" i="4"/>
  <c r="AP2349" i="4"/>
  <c r="AO2349" i="4"/>
  <c r="AN2349" i="4"/>
  <c r="AM2349" i="4"/>
  <c r="BH2349" i="4"/>
  <c r="AX2348" i="4"/>
  <c r="AW2348" i="4"/>
  <c r="AV2348" i="4"/>
  <c r="AP2348" i="4"/>
  <c r="AO2348" i="4"/>
  <c r="AN2348" i="4"/>
  <c r="AM2348" i="4"/>
  <c r="BH2348" i="4"/>
  <c r="AX2347" i="4"/>
  <c r="AW2347" i="4"/>
  <c r="AV2347" i="4"/>
  <c r="AP2347" i="4"/>
  <c r="AO2347" i="4"/>
  <c r="AN2347" i="4"/>
  <c r="AM2347" i="4"/>
  <c r="BH2347" i="4"/>
  <c r="AX2346" i="4"/>
  <c r="AW2346" i="4"/>
  <c r="AV2346" i="4"/>
  <c r="AP2346" i="4"/>
  <c r="AO2346" i="4"/>
  <c r="AN2346" i="4"/>
  <c r="AM2346" i="4"/>
  <c r="BH2346" i="4"/>
  <c r="AX2345" i="4"/>
  <c r="AW2345" i="4"/>
  <c r="AV2345" i="4"/>
  <c r="AP2345" i="4"/>
  <c r="AO2345" i="4"/>
  <c r="AN2345" i="4"/>
  <c r="AM2345" i="4"/>
  <c r="BH2345" i="4"/>
  <c r="AX2344" i="4"/>
  <c r="AW2344" i="4"/>
  <c r="AV2344" i="4"/>
  <c r="AP2344" i="4"/>
  <c r="AO2344" i="4"/>
  <c r="AN2344" i="4"/>
  <c r="AM2344" i="4"/>
  <c r="BH2344" i="4"/>
  <c r="AX2343" i="4"/>
  <c r="AW2343" i="4"/>
  <c r="AV2343" i="4"/>
  <c r="AP2343" i="4"/>
  <c r="AO2343" i="4"/>
  <c r="AN2343" i="4"/>
  <c r="AM2343" i="4"/>
  <c r="BH2343" i="4"/>
  <c r="AX2342" i="4"/>
  <c r="AW2342" i="4"/>
  <c r="AV2342" i="4"/>
  <c r="AP2342" i="4"/>
  <c r="AO2342" i="4"/>
  <c r="AN2342" i="4"/>
  <c r="AM2342" i="4"/>
  <c r="BH2342" i="4"/>
  <c r="AX2341" i="4"/>
  <c r="AW2341" i="4"/>
  <c r="AV2341" i="4"/>
  <c r="AP2341" i="4"/>
  <c r="AO2341" i="4"/>
  <c r="AN2341" i="4"/>
  <c r="AM2341" i="4"/>
  <c r="BH2341" i="4"/>
  <c r="AX2340" i="4"/>
  <c r="AW2340" i="4"/>
  <c r="AV2340" i="4"/>
  <c r="AP2340" i="4"/>
  <c r="AO2340" i="4"/>
  <c r="AN2340" i="4"/>
  <c r="AM2340" i="4"/>
  <c r="BH2340" i="4"/>
  <c r="AX2339" i="4"/>
  <c r="AW2339" i="4"/>
  <c r="AV2339" i="4"/>
  <c r="AP2339" i="4"/>
  <c r="AO2339" i="4"/>
  <c r="AN2339" i="4"/>
  <c r="AM2339" i="4"/>
  <c r="BH2339" i="4"/>
  <c r="AX2338" i="4"/>
  <c r="AW2338" i="4"/>
  <c r="AV2338" i="4"/>
  <c r="AP2338" i="4"/>
  <c r="AO2338" i="4"/>
  <c r="AN2338" i="4"/>
  <c r="AM2338" i="4"/>
  <c r="BH2338" i="4"/>
  <c r="AX2337" i="4"/>
  <c r="AW2337" i="4"/>
  <c r="AV2337" i="4"/>
  <c r="AP2337" i="4"/>
  <c r="AO2337" i="4"/>
  <c r="AN2337" i="4"/>
  <c r="AM2337" i="4"/>
  <c r="BH2337" i="4"/>
  <c r="AX2336" i="4"/>
  <c r="AW2336" i="4"/>
  <c r="AV2336" i="4"/>
  <c r="AP2336" i="4"/>
  <c r="AO2336" i="4"/>
  <c r="AN2336" i="4"/>
  <c r="AM2336" i="4"/>
  <c r="BH2336" i="4"/>
  <c r="AX2335" i="4"/>
  <c r="AW2335" i="4"/>
  <c r="AV2335" i="4"/>
  <c r="AP2335" i="4"/>
  <c r="AO2335" i="4"/>
  <c r="AN2335" i="4"/>
  <c r="AM2335" i="4"/>
  <c r="BH2335" i="4"/>
  <c r="AX2334" i="4"/>
  <c r="AW2334" i="4"/>
  <c r="AV2334" i="4"/>
  <c r="AP2334" i="4"/>
  <c r="AO2334" i="4"/>
  <c r="AN2334" i="4"/>
  <c r="AM2334" i="4"/>
  <c r="BH2334" i="4"/>
  <c r="AX2333" i="4"/>
  <c r="AW2333" i="4"/>
  <c r="AV2333" i="4"/>
  <c r="AP2333" i="4"/>
  <c r="AO2333" i="4"/>
  <c r="AN2333" i="4"/>
  <c r="AM2333" i="4"/>
  <c r="BH2333" i="4"/>
  <c r="AX2332" i="4"/>
  <c r="AW2332" i="4"/>
  <c r="AV2332" i="4"/>
  <c r="AP2332" i="4"/>
  <c r="AO2332" i="4"/>
  <c r="AN2332" i="4"/>
  <c r="AM2332" i="4"/>
  <c r="BH2332" i="4"/>
  <c r="AX2331" i="4"/>
  <c r="AW2331" i="4"/>
  <c r="AV2331" i="4"/>
  <c r="AP2331" i="4"/>
  <c r="AO2331" i="4"/>
  <c r="AN2331" i="4"/>
  <c r="AM2331" i="4"/>
  <c r="BH2331" i="4"/>
  <c r="AX2330" i="4"/>
  <c r="AW2330" i="4"/>
  <c r="AV2330" i="4"/>
  <c r="AP2330" i="4"/>
  <c r="AO2330" i="4"/>
  <c r="AN2330" i="4"/>
  <c r="AM2330" i="4"/>
  <c r="BH2330" i="4"/>
  <c r="AX2329" i="4"/>
  <c r="AW2329" i="4"/>
  <c r="AV2329" i="4"/>
  <c r="AP2329" i="4"/>
  <c r="AO2329" i="4"/>
  <c r="AN2329" i="4"/>
  <c r="AM2329" i="4"/>
  <c r="BH2329" i="4"/>
  <c r="AX2328" i="4"/>
  <c r="AW2328" i="4"/>
  <c r="AV2328" i="4"/>
  <c r="AP2328" i="4"/>
  <c r="AO2328" i="4"/>
  <c r="AN2328" i="4"/>
  <c r="AM2328" i="4"/>
  <c r="BH2328" i="4"/>
  <c r="AX2327" i="4"/>
  <c r="AW2327" i="4"/>
  <c r="AV2327" i="4"/>
  <c r="AP2327" i="4"/>
  <c r="AO2327" i="4"/>
  <c r="AN2327" i="4"/>
  <c r="AM2327" i="4"/>
  <c r="BH2327" i="4"/>
  <c r="AX2326" i="4"/>
  <c r="AW2326" i="4"/>
  <c r="AV2326" i="4"/>
  <c r="AP2326" i="4"/>
  <c r="AO2326" i="4"/>
  <c r="AN2326" i="4"/>
  <c r="AM2326" i="4"/>
  <c r="BH2326" i="4"/>
  <c r="AX2325" i="4"/>
  <c r="AW2325" i="4"/>
  <c r="AV2325" i="4"/>
  <c r="AP2325" i="4"/>
  <c r="AO2325" i="4"/>
  <c r="AN2325" i="4"/>
  <c r="AM2325" i="4"/>
  <c r="BH2325" i="4"/>
  <c r="AX2324" i="4"/>
  <c r="AW2324" i="4"/>
  <c r="AV2324" i="4"/>
  <c r="AP2324" i="4"/>
  <c r="AO2324" i="4"/>
  <c r="AN2324" i="4"/>
  <c r="AM2324" i="4"/>
  <c r="BH2324" i="4"/>
  <c r="AX2323" i="4"/>
  <c r="AW2323" i="4"/>
  <c r="AV2323" i="4"/>
  <c r="AP2323" i="4"/>
  <c r="AO2323" i="4"/>
  <c r="AN2323" i="4"/>
  <c r="AM2323" i="4"/>
  <c r="BH2323" i="4"/>
  <c r="AX2322" i="4"/>
  <c r="AW2322" i="4"/>
  <c r="AV2322" i="4"/>
  <c r="AP2322" i="4"/>
  <c r="AO2322" i="4"/>
  <c r="AN2322" i="4"/>
  <c r="AM2322" i="4"/>
  <c r="BH2322" i="4"/>
  <c r="AX2321" i="4"/>
  <c r="AW2321" i="4"/>
  <c r="AV2321" i="4"/>
  <c r="AP2321" i="4"/>
  <c r="AO2321" i="4"/>
  <c r="AN2321" i="4"/>
  <c r="AM2321" i="4"/>
  <c r="BH2321" i="4"/>
  <c r="AX2320" i="4"/>
  <c r="AW2320" i="4"/>
  <c r="AV2320" i="4"/>
  <c r="AP2320" i="4"/>
  <c r="AO2320" i="4"/>
  <c r="AN2320" i="4"/>
  <c r="AM2320" i="4"/>
  <c r="BH2320" i="4"/>
  <c r="AX2319" i="4"/>
  <c r="AW2319" i="4"/>
  <c r="AV2319" i="4"/>
  <c r="AP2319" i="4"/>
  <c r="AO2319" i="4"/>
  <c r="AN2319" i="4"/>
  <c r="AM2319" i="4"/>
  <c r="BH2319" i="4"/>
  <c r="AX2318" i="4"/>
  <c r="AW2318" i="4"/>
  <c r="AV2318" i="4"/>
  <c r="AP2318" i="4"/>
  <c r="AO2318" i="4"/>
  <c r="AN2318" i="4"/>
  <c r="AM2318" i="4"/>
  <c r="BH2318" i="4"/>
  <c r="AX2317" i="4"/>
  <c r="AW2317" i="4"/>
  <c r="AV2317" i="4"/>
  <c r="AP2317" i="4"/>
  <c r="AO2317" i="4"/>
  <c r="AN2317" i="4"/>
  <c r="AM2317" i="4"/>
  <c r="BH2317" i="4"/>
  <c r="AX2316" i="4"/>
  <c r="AW2316" i="4"/>
  <c r="AV2316" i="4"/>
  <c r="AP2316" i="4"/>
  <c r="AO2316" i="4"/>
  <c r="AN2316" i="4"/>
  <c r="AM2316" i="4"/>
  <c r="BH2316" i="4"/>
  <c r="AX2315" i="4"/>
  <c r="AW2315" i="4"/>
  <c r="AV2315" i="4"/>
  <c r="AP2315" i="4"/>
  <c r="AO2315" i="4"/>
  <c r="AN2315" i="4"/>
  <c r="AM2315" i="4"/>
  <c r="BH2315" i="4"/>
  <c r="AX2314" i="4"/>
  <c r="AW2314" i="4"/>
  <c r="AV2314" i="4"/>
  <c r="AP2314" i="4"/>
  <c r="AO2314" i="4"/>
  <c r="AN2314" i="4"/>
  <c r="AM2314" i="4"/>
  <c r="BH2314" i="4"/>
  <c r="AX2313" i="4"/>
  <c r="AW2313" i="4"/>
  <c r="AV2313" i="4"/>
  <c r="AP2313" i="4"/>
  <c r="AO2313" i="4"/>
  <c r="AN2313" i="4"/>
  <c r="AM2313" i="4"/>
  <c r="BH2313" i="4"/>
  <c r="AX2312" i="4"/>
  <c r="AW2312" i="4"/>
  <c r="AV2312" i="4"/>
  <c r="AP2312" i="4"/>
  <c r="AO2312" i="4"/>
  <c r="AN2312" i="4"/>
  <c r="AM2312" i="4"/>
  <c r="BH2312" i="4"/>
  <c r="AX2311" i="4"/>
  <c r="AW2311" i="4"/>
  <c r="AV2311" i="4"/>
  <c r="AP2311" i="4"/>
  <c r="AO2311" i="4"/>
  <c r="AN2311" i="4"/>
  <c r="AM2311" i="4"/>
  <c r="BH2311" i="4"/>
  <c r="AX2310" i="4"/>
  <c r="AW2310" i="4"/>
  <c r="AV2310" i="4"/>
  <c r="AP2310" i="4"/>
  <c r="AO2310" i="4"/>
  <c r="AN2310" i="4"/>
  <c r="AM2310" i="4"/>
  <c r="BH2310" i="4"/>
  <c r="AX2309" i="4"/>
  <c r="AW2309" i="4"/>
  <c r="AV2309" i="4"/>
  <c r="AP2309" i="4"/>
  <c r="AO2309" i="4"/>
  <c r="AN2309" i="4"/>
  <c r="AM2309" i="4"/>
  <c r="BH2309" i="4"/>
  <c r="AX2308" i="4"/>
  <c r="AW2308" i="4"/>
  <c r="AV2308" i="4"/>
  <c r="AP2308" i="4"/>
  <c r="AO2308" i="4"/>
  <c r="AN2308" i="4"/>
  <c r="AM2308" i="4"/>
  <c r="BH2308" i="4"/>
  <c r="AX2307" i="4"/>
  <c r="AW2307" i="4"/>
  <c r="AV2307" i="4"/>
  <c r="AP2307" i="4"/>
  <c r="AO2307" i="4"/>
  <c r="AN2307" i="4"/>
  <c r="AM2307" i="4"/>
  <c r="BH2307" i="4"/>
  <c r="AX2306" i="4"/>
  <c r="AW2306" i="4"/>
  <c r="AV2306" i="4"/>
  <c r="AP2306" i="4"/>
  <c r="AO2306" i="4"/>
  <c r="AN2306" i="4"/>
  <c r="AM2306" i="4"/>
  <c r="BH2306" i="4"/>
  <c r="AX2305" i="4"/>
  <c r="AW2305" i="4"/>
  <c r="AV2305" i="4"/>
  <c r="AP2305" i="4"/>
  <c r="AO2305" i="4"/>
  <c r="AN2305" i="4"/>
  <c r="AM2305" i="4"/>
  <c r="BH2305" i="4"/>
  <c r="AX2304" i="4"/>
  <c r="AW2304" i="4"/>
  <c r="AV2304" i="4"/>
  <c r="AP2304" i="4"/>
  <c r="AO2304" i="4"/>
  <c r="AN2304" i="4"/>
  <c r="AM2304" i="4"/>
  <c r="BH2304" i="4"/>
  <c r="AX2303" i="4"/>
  <c r="AW2303" i="4"/>
  <c r="AV2303" i="4"/>
  <c r="AP2303" i="4"/>
  <c r="AO2303" i="4"/>
  <c r="AN2303" i="4"/>
  <c r="AM2303" i="4"/>
  <c r="BH2303" i="4"/>
  <c r="AX2302" i="4"/>
  <c r="AW2302" i="4"/>
  <c r="AV2302" i="4"/>
  <c r="AP2302" i="4"/>
  <c r="AO2302" i="4"/>
  <c r="AN2302" i="4"/>
  <c r="AM2302" i="4"/>
  <c r="BH2302" i="4"/>
  <c r="AX2301" i="4"/>
  <c r="AW2301" i="4"/>
  <c r="AV2301" i="4"/>
  <c r="AP2301" i="4"/>
  <c r="AO2301" i="4"/>
  <c r="AN2301" i="4"/>
  <c r="AM2301" i="4"/>
  <c r="BH2301" i="4"/>
  <c r="AX2300" i="4"/>
  <c r="AW2300" i="4"/>
  <c r="AV2300" i="4"/>
  <c r="AP2300" i="4"/>
  <c r="AO2300" i="4"/>
  <c r="AN2300" i="4"/>
  <c r="AM2300" i="4"/>
  <c r="BH2300" i="4"/>
  <c r="AX2299" i="4"/>
  <c r="AW2299" i="4"/>
  <c r="AV2299" i="4"/>
  <c r="AP2299" i="4"/>
  <c r="AO2299" i="4"/>
  <c r="AN2299" i="4"/>
  <c r="AM2299" i="4"/>
  <c r="BH2299" i="4"/>
  <c r="AX2298" i="4"/>
  <c r="AW2298" i="4"/>
  <c r="AV2298" i="4"/>
  <c r="AP2298" i="4"/>
  <c r="AO2298" i="4"/>
  <c r="AN2298" i="4"/>
  <c r="AM2298" i="4"/>
  <c r="BH2298" i="4"/>
  <c r="AX2297" i="4"/>
  <c r="AW2297" i="4"/>
  <c r="AV2297" i="4"/>
  <c r="AP2297" i="4"/>
  <c r="AO2297" i="4"/>
  <c r="AN2297" i="4"/>
  <c r="AM2297" i="4"/>
  <c r="BH2297" i="4"/>
  <c r="AX2296" i="4"/>
  <c r="AW2296" i="4"/>
  <c r="AV2296" i="4"/>
  <c r="AP2296" i="4"/>
  <c r="AO2296" i="4"/>
  <c r="AN2296" i="4"/>
  <c r="AM2296" i="4"/>
  <c r="BH2296" i="4"/>
  <c r="AX2295" i="4"/>
  <c r="AW2295" i="4"/>
  <c r="AV2295" i="4"/>
  <c r="AP2295" i="4"/>
  <c r="AO2295" i="4"/>
  <c r="AN2295" i="4"/>
  <c r="AM2295" i="4"/>
  <c r="BH2295" i="4"/>
  <c r="AX2294" i="4"/>
  <c r="AW2294" i="4"/>
  <c r="AV2294" i="4"/>
  <c r="AP2294" i="4"/>
  <c r="AO2294" i="4"/>
  <c r="AN2294" i="4"/>
  <c r="AM2294" i="4"/>
  <c r="BH2294" i="4"/>
  <c r="AX2293" i="4"/>
  <c r="AW2293" i="4"/>
  <c r="AV2293" i="4"/>
  <c r="AP2293" i="4"/>
  <c r="AO2293" i="4"/>
  <c r="AN2293" i="4"/>
  <c r="AM2293" i="4"/>
  <c r="BH2293" i="4"/>
  <c r="AX2292" i="4"/>
  <c r="AW2292" i="4"/>
  <c r="AV2292" i="4"/>
  <c r="AP2292" i="4"/>
  <c r="AO2292" i="4"/>
  <c r="AN2292" i="4"/>
  <c r="AM2292" i="4"/>
  <c r="BH2292" i="4"/>
  <c r="AX2291" i="4"/>
  <c r="AW2291" i="4"/>
  <c r="AV2291" i="4"/>
  <c r="AP2291" i="4"/>
  <c r="AO2291" i="4"/>
  <c r="AN2291" i="4"/>
  <c r="AM2291" i="4"/>
  <c r="BH2291" i="4"/>
  <c r="AX2290" i="4"/>
  <c r="AW2290" i="4"/>
  <c r="AV2290" i="4"/>
  <c r="AP2290" i="4"/>
  <c r="AO2290" i="4"/>
  <c r="AN2290" i="4"/>
  <c r="AM2290" i="4"/>
  <c r="BH2290" i="4"/>
  <c r="AX2289" i="4"/>
  <c r="AW2289" i="4"/>
  <c r="AV2289" i="4"/>
  <c r="AP2289" i="4"/>
  <c r="AO2289" i="4"/>
  <c r="AN2289" i="4"/>
  <c r="AM2289" i="4"/>
  <c r="BH2289" i="4"/>
  <c r="AX2288" i="4"/>
  <c r="AW2288" i="4"/>
  <c r="AV2288" i="4"/>
  <c r="AP2288" i="4"/>
  <c r="AO2288" i="4"/>
  <c r="AN2288" i="4"/>
  <c r="AM2288" i="4"/>
  <c r="BH2288" i="4"/>
  <c r="AX2287" i="4"/>
  <c r="AW2287" i="4"/>
  <c r="AV2287" i="4"/>
  <c r="AP2287" i="4"/>
  <c r="AO2287" i="4"/>
  <c r="AN2287" i="4"/>
  <c r="AM2287" i="4"/>
  <c r="BH2287" i="4"/>
  <c r="AX2286" i="4"/>
  <c r="AW2286" i="4"/>
  <c r="AV2286" i="4"/>
  <c r="AP2286" i="4"/>
  <c r="AO2286" i="4"/>
  <c r="AN2286" i="4"/>
  <c r="AM2286" i="4"/>
  <c r="BH2286" i="4"/>
  <c r="AX2285" i="4"/>
  <c r="AW2285" i="4"/>
  <c r="AV2285" i="4"/>
  <c r="AP2285" i="4"/>
  <c r="AO2285" i="4"/>
  <c r="AN2285" i="4"/>
  <c r="AM2285" i="4"/>
  <c r="BH2285" i="4"/>
  <c r="AX2284" i="4"/>
  <c r="AW2284" i="4"/>
  <c r="AV2284" i="4"/>
  <c r="AP2284" i="4"/>
  <c r="AO2284" i="4"/>
  <c r="AN2284" i="4"/>
  <c r="AM2284" i="4"/>
  <c r="BH2284" i="4"/>
  <c r="AX2283" i="4"/>
  <c r="AW2283" i="4"/>
  <c r="AV2283" i="4"/>
  <c r="AP2283" i="4"/>
  <c r="AO2283" i="4"/>
  <c r="AN2283" i="4"/>
  <c r="AM2283" i="4"/>
  <c r="BH2283" i="4"/>
  <c r="AX2282" i="4"/>
  <c r="AW2282" i="4"/>
  <c r="AV2282" i="4"/>
  <c r="AP2282" i="4"/>
  <c r="AO2282" i="4"/>
  <c r="AN2282" i="4"/>
  <c r="AM2282" i="4"/>
  <c r="BH2282" i="4"/>
  <c r="AX2281" i="4"/>
  <c r="AW2281" i="4"/>
  <c r="AV2281" i="4"/>
  <c r="AP2281" i="4"/>
  <c r="AO2281" i="4"/>
  <c r="AN2281" i="4"/>
  <c r="AM2281" i="4"/>
  <c r="BH2281" i="4"/>
  <c r="AX2280" i="4"/>
  <c r="AW2280" i="4"/>
  <c r="AV2280" i="4"/>
  <c r="AP2280" i="4"/>
  <c r="AO2280" i="4"/>
  <c r="AN2280" i="4"/>
  <c r="AM2280" i="4"/>
  <c r="BH2280" i="4"/>
  <c r="AX2279" i="4"/>
  <c r="AW2279" i="4"/>
  <c r="AV2279" i="4"/>
  <c r="AP2279" i="4"/>
  <c r="AO2279" i="4"/>
  <c r="AN2279" i="4"/>
  <c r="AM2279" i="4"/>
  <c r="BH2279" i="4"/>
  <c r="AX2278" i="4"/>
  <c r="AW2278" i="4"/>
  <c r="AV2278" i="4"/>
  <c r="AP2278" i="4"/>
  <c r="AO2278" i="4"/>
  <c r="AN2278" i="4"/>
  <c r="AM2278" i="4"/>
  <c r="BH2278" i="4"/>
  <c r="AX2277" i="4"/>
  <c r="AW2277" i="4"/>
  <c r="AV2277" i="4"/>
  <c r="AP2277" i="4"/>
  <c r="AO2277" i="4"/>
  <c r="AN2277" i="4"/>
  <c r="AM2277" i="4"/>
  <c r="BH2277" i="4"/>
  <c r="AX2276" i="4"/>
  <c r="AW2276" i="4"/>
  <c r="AV2276" i="4"/>
  <c r="AP2276" i="4"/>
  <c r="AO2276" i="4"/>
  <c r="AN2276" i="4"/>
  <c r="AM2276" i="4"/>
  <c r="BH2276" i="4"/>
  <c r="AX2275" i="4"/>
  <c r="AW2275" i="4"/>
  <c r="AV2275" i="4"/>
  <c r="AP2275" i="4"/>
  <c r="AO2275" i="4"/>
  <c r="AN2275" i="4"/>
  <c r="AM2275" i="4"/>
  <c r="BH2275" i="4"/>
  <c r="AX2274" i="4"/>
  <c r="AW2274" i="4"/>
  <c r="AV2274" i="4"/>
  <c r="AP2274" i="4"/>
  <c r="AO2274" i="4"/>
  <c r="AN2274" i="4"/>
  <c r="AM2274" i="4"/>
  <c r="BH2274" i="4"/>
  <c r="AX2273" i="4"/>
  <c r="AW2273" i="4"/>
  <c r="AV2273" i="4"/>
  <c r="AP2273" i="4"/>
  <c r="AO2273" i="4"/>
  <c r="AN2273" i="4"/>
  <c r="AM2273" i="4"/>
  <c r="BH2273" i="4"/>
  <c r="AX2272" i="4"/>
  <c r="AW2272" i="4"/>
  <c r="AV2272" i="4"/>
  <c r="AP2272" i="4"/>
  <c r="AO2272" i="4"/>
  <c r="AN2272" i="4"/>
  <c r="AM2272" i="4"/>
  <c r="BH2272" i="4"/>
  <c r="AX2271" i="4"/>
  <c r="AW2271" i="4"/>
  <c r="AV2271" i="4"/>
  <c r="AP2271" i="4"/>
  <c r="AO2271" i="4"/>
  <c r="AN2271" i="4"/>
  <c r="AM2271" i="4"/>
  <c r="BH2271" i="4"/>
  <c r="AX2270" i="4"/>
  <c r="AW2270" i="4"/>
  <c r="AV2270" i="4"/>
  <c r="AP2270" i="4"/>
  <c r="AO2270" i="4"/>
  <c r="AN2270" i="4"/>
  <c r="AM2270" i="4"/>
  <c r="BH2270" i="4"/>
  <c r="AX2269" i="4"/>
  <c r="AW2269" i="4"/>
  <c r="AV2269" i="4"/>
  <c r="AP2269" i="4"/>
  <c r="AO2269" i="4"/>
  <c r="AN2269" i="4"/>
  <c r="AM2269" i="4"/>
  <c r="BH2269" i="4"/>
  <c r="AX2268" i="4"/>
  <c r="AW2268" i="4"/>
  <c r="AV2268" i="4"/>
  <c r="AP2268" i="4"/>
  <c r="AO2268" i="4"/>
  <c r="AN2268" i="4"/>
  <c r="AM2268" i="4"/>
  <c r="BH2268" i="4"/>
  <c r="AX2267" i="4"/>
  <c r="AW2267" i="4"/>
  <c r="AV2267" i="4"/>
  <c r="AP2267" i="4"/>
  <c r="AO2267" i="4"/>
  <c r="AN2267" i="4"/>
  <c r="AM2267" i="4"/>
  <c r="BH2267" i="4"/>
  <c r="AX2266" i="4"/>
  <c r="AW2266" i="4"/>
  <c r="AV2266" i="4"/>
  <c r="AP2266" i="4"/>
  <c r="AO2266" i="4"/>
  <c r="AN2266" i="4"/>
  <c r="AM2266" i="4"/>
  <c r="BH2266" i="4"/>
  <c r="AX2265" i="4"/>
  <c r="AW2265" i="4"/>
  <c r="AV2265" i="4"/>
  <c r="AP2265" i="4"/>
  <c r="AO2265" i="4"/>
  <c r="AN2265" i="4"/>
  <c r="AM2265" i="4"/>
  <c r="BH2265" i="4"/>
  <c r="AX2264" i="4"/>
  <c r="AW2264" i="4"/>
  <c r="AV2264" i="4"/>
  <c r="AP2264" i="4"/>
  <c r="AO2264" i="4"/>
  <c r="AN2264" i="4"/>
  <c r="AM2264" i="4"/>
  <c r="BH2264" i="4"/>
  <c r="AX2263" i="4"/>
  <c r="AW2263" i="4"/>
  <c r="AV2263" i="4"/>
  <c r="AP2263" i="4"/>
  <c r="AO2263" i="4"/>
  <c r="AN2263" i="4"/>
  <c r="AM2263" i="4"/>
  <c r="BH2263" i="4"/>
  <c r="AX2262" i="4"/>
  <c r="AW2262" i="4"/>
  <c r="AV2262" i="4"/>
  <c r="AP2262" i="4"/>
  <c r="AO2262" i="4"/>
  <c r="AN2262" i="4"/>
  <c r="AM2262" i="4"/>
  <c r="BH2262" i="4"/>
  <c r="AX2261" i="4"/>
  <c r="AW2261" i="4"/>
  <c r="AV2261" i="4"/>
  <c r="AP2261" i="4"/>
  <c r="AO2261" i="4"/>
  <c r="AN2261" i="4"/>
  <c r="AM2261" i="4"/>
  <c r="BH2261" i="4"/>
  <c r="AX2260" i="4"/>
  <c r="AW2260" i="4"/>
  <c r="AV2260" i="4"/>
  <c r="AP2260" i="4"/>
  <c r="AO2260" i="4"/>
  <c r="AN2260" i="4"/>
  <c r="AM2260" i="4"/>
  <c r="BH2260" i="4"/>
  <c r="AX2259" i="4"/>
  <c r="AW2259" i="4"/>
  <c r="AV2259" i="4"/>
  <c r="AP2259" i="4"/>
  <c r="AO2259" i="4"/>
  <c r="AN2259" i="4"/>
  <c r="AM2259" i="4"/>
  <c r="BH2259" i="4"/>
  <c r="AX2258" i="4"/>
  <c r="AW2258" i="4"/>
  <c r="AV2258" i="4"/>
  <c r="AP2258" i="4"/>
  <c r="AO2258" i="4"/>
  <c r="AN2258" i="4"/>
  <c r="AM2258" i="4"/>
  <c r="BH2258" i="4"/>
  <c r="AX2257" i="4"/>
  <c r="AW2257" i="4"/>
  <c r="AV2257" i="4"/>
  <c r="AP2257" i="4"/>
  <c r="AO2257" i="4"/>
  <c r="AN2257" i="4"/>
  <c r="AM2257" i="4"/>
  <c r="BH2257" i="4"/>
  <c r="AX2256" i="4"/>
  <c r="AW2256" i="4"/>
  <c r="AV2256" i="4"/>
  <c r="AP2256" i="4"/>
  <c r="AO2256" i="4"/>
  <c r="AN2256" i="4"/>
  <c r="AM2256" i="4"/>
  <c r="BH2256" i="4"/>
  <c r="AX2255" i="4"/>
  <c r="AW2255" i="4"/>
  <c r="AV2255" i="4"/>
  <c r="AP2255" i="4"/>
  <c r="AO2255" i="4"/>
  <c r="AN2255" i="4"/>
  <c r="AM2255" i="4"/>
  <c r="BH2255" i="4"/>
  <c r="AX2254" i="4"/>
  <c r="AW2254" i="4"/>
  <c r="AV2254" i="4"/>
  <c r="AP2254" i="4"/>
  <c r="AO2254" i="4"/>
  <c r="AN2254" i="4"/>
  <c r="AM2254" i="4"/>
  <c r="BH2254" i="4"/>
  <c r="AX2253" i="4"/>
  <c r="AW2253" i="4"/>
  <c r="AV2253" i="4"/>
  <c r="AP2253" i="4"/>
  <c r="AO2253" i="4"/>
  <c r="AN2253" i="4"/>
  <c r="AM2253" i="4"/>
  <c r="BH2253" i="4"/>
  <c r="AX2252" i="4"/>
  <c r="AW2252" i="4"/>
  <c r="AV2252" i="4"/>
  <c r="AP2252" i="4"/>
  <c r="AO2252" i="4"/>
  <c r="AN2252" i="4"/>
  <c r="AM2252" i="4"/>
  <c r="BH2252" i="4"/>
  <c r="AX2251" i="4"/>
  <c r="AW2251" i="4"/>
  <c r="AV2251" i="4"/>
  <c r="AP2251" i="4"/>
  <c r="AO2251" i="4"/>
  <c r="AN2251" i="4"/>
  <c r="AM2251" i="4"/>
  <c r="BH2251" i="4"/>
  <c r="AX2250" i="4"/>
  <c r="AW2250" i="4"/>
  <c r="AV2250" i="4"/>
  <c r="AP2250" i="4"/>
  <c r="AO2250" i="4"/>
  <c r="AN2250" i="4"/>
  <c r="AM2250" i="4"/>
  <c r="BH2250" i="4"/>
  <c r="AX2249" i="4"/>
  <c r="AW2249" i="4"/>
  <c r="AV2249" i="4"/>
  <c r="AP2249" i="4"/>
  <c r="AO2249" i="4"/>
  <c r="AN2249" i="4"/>
  <c r="AM2249" i="4"/>
  <c r="BH2249" i="4"/>
  <c r="AX2248" i="4"/>
  <c r="AW2248" i="4"/>
  <c r="AV2248" i="4"/>
  <c r="AP2248" i="4"/>
  <c r="AO2248" i="4"/>
  <c r="AN2248" i="4"/>
  <c r="AM2248" i="4"/>
  <c r="BH2248" i="4"/>
  <c r="AX2247" i="4"/>
  <c r="AW2247" i="4"/>
  <c r="AV2247" i="4"/>
  <c r="AP2247" i="4"/>
  <c r="AO2247" i="4"/>
  <c r="AN2247" i="4"/>
  <c r="AM2247" i="4"/>
  <c r="BH2247" i="4"/>
  <c r="AX2246" i="4"/>
  <c r="AW2246" i="4"/>
  <c r="AV2246" i="4"/>
  <c r="AP2246" i="4"/>
  <c r="AO2246" i="4"/>
  <c r="AN2246" i="4"/>
  <c r="AM2246" i="4"/>
  <c r="BH2246" i="4"/>
  <c r="AX2245" i="4"/>
  <c r="AW2245" i="4"/>
  <c r="AV2245" i="4"/>
  <c r="AP2245" i="4"/>
  <c r="AO2245" i="4"/>
  <c r="AN2245" i="4"/>
  <c r="AM2245" i="4"/>
  <c r="BH2245" i="4"/>
  <c r="AX2244" i="4"/>
  <c r="AW2244" i="4"/>
  <c r="AV2244" i="4"/>
  <c r="AP2244" i="4"/>
  <c r="AO2244" i="4"/>
  <c r="AN2244" i="4"/>
  <c r="AM2244" i="4"/>
  <c r="BH2244" i="4"/>
  <c r="AX2243" i="4"/>
  <c r="AW2243" i="4"/>
  <c r="AV2243" i="4"/>
  <c r="AP2243" i="4"/>
  <c r="AO2243" i="4"/>
  <c r="AN2243" i="4"/>
  <c r="AM2243" i="4"/>
  <c r="BH2243" i="4"/>
  <c r="AX2242" i="4"/>
  <c r="AW2242" i="4"/>
  <c r="AV2242" i="4"/>
  <c r="AP2242" i="4"/>
  <c r="AO2242" i="4"/>
  <c r="AN2242" i="4"/>
  <c r="AM2242" i="4"/>
  <c r="BH2242" i="4"/>
  <c r="AX2241" i="4"/>
  <c r="AW2241" i="4"/>
  <c r="AV2241" i="4"/>
  <c r="AP2241" i="4"/>
  <c r="AO2241" i="4"/>
  <c r="AN2241" i="4"/>
  <c r="AM2241" i="4"/>
  <c r="BH2241" i="4"/>
  <c r="AX2240" i="4"/>
  <c r="AW2240" i="4"/>
  <c r="AV2240" i="4"/>
  <c r="AP2240" i="4"/>
  <c r="AO2240" i="4"/>
  <c r="AN2240" i="4"/>
  <c r="AM2240" i="4"/>
  <c r="BH2240" i="4"/>
  <c r="AX2239" i="4"/>
  <c r="AW2239" i="4"/>
  <c r="AV2239" i="4"/>
  <c r="AP2239" i="4"/>
  <c r="AO2239" i="4"/>
  <c r="AN2239" i="4"/>
  <c r="AM2239" i="4"/>
  <c r="BH2239" i="4"/>
  <c r="AX2238" i="4"/>
  <c r="AW2238" i="4"/>
  <c r="AV2238" i="4"/>
  <c r="AP2238" i="4"/>
  <c r="AO2238" i="4"/>
  <c r="AN2238" i="4"/>
  <c r="AM2238" i="4"/>
  <c r="BH2238" i="4"/>
  <c r="AX2237" i="4"/>
  <c r="AW2237" i="4"/>
  <c r="AV2237" i="4"/>
  <c r="AP2237" i="4"/>
  <c r="AO2237" i="4"/>
  <c r="AN2237" i="4"/>
  <c r="AM2237" i="4"/>
  <c r="BH2237" i="4"/>
  <c r="AX2236" i="4"/>
  <c r="AW2236" i="4"/>
  <c r="AV2236" i="4"/>
  <c r="AP2236" i="4"/>
  <c r="AO2236" i="4"/>
  <c r="AN2236" i="4"/>
  <c r="AM2236" i="4"/>
  <c r="BH2236" i="4"/>
  <c r="AX2235" i="4"/>
  <c r="AW2235" i="4"/>
  <c r="AV2235" i="4"/>
  <c r="AP2235" i="4"/>
  <c r="AO2235" i="4"/>
  <c r="AN2235" i="4"/>
  <c r="AM2235" i="4"/>
  <c r="BH2235" i="4"/>
  <c r="AX2234" i="4"/>
  <c r="AW2234" i="4"/>
  <c r="AV2234" i="4"/>
  <c r="AP2234" i="4"/>
  <c r="AO2234" i="4"/>
  <c r="AN2234" i="4"/>
  <c r="AM2234" i="4"/>
  <c r="BH2234" i="4"/>
  <c r="AX2233" i="4"/>
  <c r="AW2233" i="4"/>
  <c r="AV2233" i="4"/>
  <c r="AP2233" i="4"/>
  <c r="AO2233" i="4"/>
  <c r="AN2233" i="4"/>
  <c r="AM2233" i="4"/>
  <c r="BH2233" i="4"/>
  <c r="AX2232" i="4"/>
  <c r="AW2232" i="4"/>
  <c r="AV2232" i="4"/>
  <c r="AP2232" i="4"/>
  <c r="AO2232" i="4"/>
  <c r="AN2232" i="4"/>
  <c r="AM2232" i="4"/>
  <c r="BH2232" i="4"/>
  <c r="AX2231" i="4"/>
  <c r="AW2231" i="4"/>
  <c r="AV2231" i="4"/>
  <c r="AP2231" i="4"/>
  <c r="AO2231" i="4"/>
  <c r="AN2231" i="4"/>
  <c r="AM2231" i="4"/>
  <c r="BH2231" i="4"/>
  <c r="AX2230" i="4"/>
  <c r="AW2230" i="4"/>
  <c r="AV2230" i="4"/>
  <c r="AP2230" i="4"/>
  <c r="AO2230" i="4"/>
  <c r="AN2230" i="4"/>
  <c r="AM2230" i="4"/>
  <c r="BH2230" i="4"/>
  <c r="AX2229" i="4"/>
  <c r="AW2229" i="4"/>
  <c r="AV2229" i="4"/>
  <c r="AP2229" i="4"/>
  <c r="AO2229" i="4"/>
  <c r="AN2229" i="4"/>
  <c r="AM2229" i="4"/>
  <c r="BH2229" i="4"/>
  <c r="AX2228" i="4"/>
  <c r="AW2228" i="4"/>
  <c r="AV2228" i="4"/>
  <c r="AP2228" i="4"/>
  <c r="AO2228" i="4"/>
  <c r="AN2228" i="4"/>
  <c r="AM2228" i="4"/>
  <c r="BH2228" i="4"/>
  <c r="AX2227" i="4"/>
  <c r="AW2227" i="4"/>
  <c r="AV2227" i="4"/>
  <c r="AP2227" i="4"/>
  <c r="AO2227" i="4"/>
  <c r="AN2227" i="4"/>
  <c r="AM2227" i="4"/>
  <c r="BH2227" i="4"/>
  <c r="AX2226" i="4"/>
  <c r="AW2226" i="4"/>
  <c r="AV2226" i="4"/>
  <c r="AP2226" i="4"/>
  <c r="AO2226" i="4"/>
  <c r="AN2226" i="4"/>
  <c r="AM2226" i="4"/>
  <c r="BH2226" i="4"/>
  <c r="AX2225" i="4"/>
  <c r="AW2225" i="4"/>
  <c r="AV2225" i="4"/>
  <c r="AP2225" i="4"/>
  <c r="AO2225" i="4"/>
  <c r="AN2225" i="4"/>
  <c r="AM2225" i="4"/>
  <c r="BH2225" i="4"/>
  <c r="AX2224" i="4"/>
  <c r="AW2224" i="4"/>
  <c r="AV2224" i="4"/>
  <c r="AP2224" i="4"/>
  <c r="AO2224" i="4"/>
  <c r="AN2224" i="4"/>
  <c r="AM2224" i="4"/>
  <c r="BH2224" i="4"/>
  <c r="AX2223" i="4"/>
  <c r="AW2223" i="4"/>
  <c r="AV2223" i="4"/>
  <c r="AP2223" i="4"/>
  <c r="AO2223" i="4"/>
  <c r="AN2223" i="4"/>
  <c r="AM2223" i="4"/>
  <c r="BH2223" i="4"/>
  <c r="AX2222" i="4"/>
  <c r="AW2222" i="4"/>
  <c r="AV2222" i="4"/>
  <c r="AP2222" i="4"/>
  <c r="AO2222" i="4"/>
  <c r="AN2222" i="4"/>
  <c r="AM2222" i="4"/>
  <c r="BH2222" i="4"/>
  <c r="AX2221" i="4"/>
  <c r="AW2221" i="4"/>
  <c r="AV2221" i="4"/>
  <c r="AP2221" i="4"/>
  <c r="AO2221" i="4"/>
  <c r="AN2221" i="4"/>
  <c r="AM2221" i="4"/>
  <c r="BH2221" i="4"/>
  <c r="AX2220" i="4"/>
  <c r="AW2220" i="4"/>
  <c r="AV2220" i="4"/>
  <c r="AP2220" i="4"/>
  <c r="AO2220" i="4"/>
  <c r="AN2220" i="4"/>
  <c r="AM2220" i="4"/>
  <c r="BH2220" i="4"/>
  <c r="AX2219" i="4"/>
  <c r="AW2219" i="4"/>
  <c r="AV2219" i="4"/>
  <c r="AP2219" i="4"/>
  <c r="AO2219" i="4"/>
  <c r="AN2219" i="4"/>
  <c r="AM2219" i="4"/>
  <c r="BH2219" i="4"/>
  <c r="AX2218" i="4"/>
  <c r="AW2218" i="4"/>
  <c r="AV2218" i="4"/>
  <c r="AP2218" i="4"/>
  <c r="AO2218" i="4"/>
  <c r="AN2218" i="4"/>
  <c r="AM2218" i="4"/>
  <c r="BH2218" i="4"/>
  <c r="AX2217" i="4"/>
  <c r="AW2217" i="4"/>
  <c r="AV2217" i="4"/>
  <c r="AP2217" i="4"/>
  <c r="AO2217" i="4"/>
  <c r="AN2217" i="4"/>
  <c r="AM2217" i="4"/>
  <c r="BH2217" i="4"/>
  <c r="AX2216" i="4"/>
  <c r="AW2216" i="4"/>
  <c r="AV2216" i="4"/>
  <c r="AP2216" i="4"/>
  <c r="AO2216" i="4"/>
  <c r="AN2216" i="4"/>
  <c r="AM2216" i="4"/>
  <c r="BH2216" i="4"/>
  <c r="AX2215" i="4"/>
  <c r="AW2215" i="4"/>
  <c r="AV2215" i="4"/>
  <c r="AP2215" i="4"/>
  <c r="AO2215" i="4"/>
  <c r="AN2215" i="4"/>
  <c r="AM2215" i="4"/>
  <c r="BH2215" i="4"/>
  <c r="AX2214" i="4"/>
  <c r="AW2214" i="4"/>
  <c r="AV2214" i="4"/>
  <c r="AP2214" i="4"/>
  <c r="AO2214" i="4"/>
  <c r="AN2214" i="4"/>
  <c r="AM2214" i="4"/>
  <c r="BH2214" i="4"/>
  <c r="AX2213" i="4"/>
  <c r="AW2213" i="4"/>
  <c r="AV2213" i="4"/>
  <c r="AP2213" i="4"/>
  <c r="AO2213" i="4"/>
  <c r="AN2213" i="4"/>
  <c r="AM2213" i="4"/>
  <c r="BH2213" i="4"/>
  <c r="AX2212" i="4"/>
  <c r="AW2212" i="4"/>
  <c r="AV2212" i="4"/>
  <c r="AP2212" i="4"/>
  <c r="AO2212" i="4"/>
  <c r="AN2212" i="4"/>
  <c r="AM2212" i="4"/>
  <c r="BH2212" i="4"/>
  <c r="AX2211" i="4"/>
  <c r="AW2211" i="4"/>
  <c r="AV2211" i="4"/>
  <c r="AP2211" i="4"/>
  <c r="AO2211" i="4"/>
  <c r="AN2211" i="4"/>
  <c r="AM2211" i="4"/>
  <c r="BH2211" i="4"/>
  <c r="AX2210" i="4"/>
  <c r="AW2210" i="4"/>
  <c r="AV2210" i="4"/>
  <c r="AP2210" i="4"/>
  <c r="AO2210" i="4"/>
  <c r="AN2210" i="4"/>
  <c r="AM2210" i="4"/>
  <c r="BH2210" i="4"/>
  <c r="AX2209" i="4"/>
  <c r="AW2209" i="4"/>
  <c r="AV2209" i="4"/>
  <c r="AP2209" i="4"/>
  <c r="AO2209" i="4"/>
  <c r="AN2209" i="4"/>
  <c r="AM2209" i="4"/>
  <c r="BH2209" i="4"/>
  <c r="AX2208" i="4"/>
  <c r="AW2208" i="4"/>
  <c r="AV2208" i="4"/>
  <c r="AP2208" i="4"/>
  <c r="AO2208" i="4"/>
  <c r="AN2208" i="4"/>
  <c r="AM2208" i="4"/>
  <c r="BH2208" i="4"/>
  <c r="AX2207" i="4"/>
  <c r="AW2207" i="4"/>
  <c r="AV2207" i="4"/>
  <c r="AP2207" i="4"/>
  <c r="AO2207" i="4"/>
  <c r="AN2207" i="4"/>
  <c r="AM2207" i="4"/>
  <c r="BH2207" i="4"/>
  <c r="AX2206" i="4"/>
  <c r="AW2206" i="4"/>
  <c r="AV2206" i="4"/>
  <c r="AP2206" i="4"/>
  <c r="AO2206" i="4"/>
  <c r="AN2206" i="4"/>
  <c r="AM2206" i="4"/>
  <c r="BH2206" i="4"/>
  <c r="AX2205" i="4"/>
  <c r="AW2205" i="4"/>
  <c r="AV2205" i="4"/>
  <c r="AP2205" i="4"/>
  <c r="AO2205" i="4"/>
  <c r="AN2205" i="4"/>
  <c r="AM2205" i="4"/>
  <c r="BH2205" i="4"/>
  <c r="AX2204" i="4"/>
  <c r="AW2204" i="4"/>
  <c r="AV2204" i="4"/>
  <c r="AP2204" i="4"/>
  <c r="AO2204" i="4"/>
  <c r="AN2204" i="4"/>
  <c r="AM2204" i="4"/>
  <c r="BH2204" i="4"/>
  <c r="AX2203" i="4"/>
  <c r="AW2203" i="4"/>
  <c r="AV2203" i="4"/>
  <c r="AP2203" i="4"/>
  <c r="AO2203" i="4"/>
  <c r="AN2203" i="4"/>
  <c r="AM2203" i="4"/>
  <c r="BH2203" i="4"/>
  <c r="AX2202" i="4"/>
  <c r="AW2202" i="4"/>
  <c r="AV2202" i="4"/>
  <c r="AP2202" i="4"/>
  <c r="AO2202" i="4"/>
  <c r="AN2202" i="4"/>
  <c r="AM2202" i="4"/>
  <c r="BH2202" i="4"/>
  <c r="AX2201" i="4"/>
  <c r="AW2201" i="4"/>
  <c r="AV2201" i="4"/>
  <c r="AP2201" i="4"/>
  <c r="AO2201" i="4"/>
  <c r="AN2201" i="4"/>
  <c r="AM2201" i="4"/>
  <c r="BH2201" i="4"/>
  <c r="AX2200" i="4"/>
  <c r="AW2200" i="4"/>
  <c r="AV2200" i="4"/>
  <c r="AP2200" i="4"/>
  <c r="AO2200" i="4"/>
  <c r="AN2200" i="4"/>
  <c r="AM2200" i="4"/>
  <c r="BH2200" i="4"/>
  <c r="AX2199" i="4"/>
  <c r="AW2199" i="4"/>
  <c r="AV2199" i="4"/>
  <c r="AP2199" i="4"/>
  <c r="AO2199" i="4"/>
  <c r="AN2199" i="4"/>
  <c r="AM2199" i="4"/>
  <c r="BH2199" i="4"/>
  <c r="AX2198" i="4"/>
  <c r="AW2198" i="4"/>
  <c r="AV2198" i="4"/>
  <c r="AP2198" i="4"/>
  <c r="AO2198" i="4"/>
  <c r="AN2198" i="4"/>
  <c r="AM2198" i="4"/>
  <c r="BH2198" i="4"/>
  <c r="AX2197" i="4"/>
  <c r="AW2197" i="4"/>
  <c r="AV2197" i="4"/>
  <c r="AP2197" i="4"/>
  <c r="AO2197" i="4"/>
  <c r="AN2197" i="4"/>
  <c r="AM2197" i="4"/>
  <c r="BH2197" i="4"/>
  <c r="AX2196" i="4"/>
  <c r="AW2196" i="4"/>
  <c r="AV2196" i="4"/>
  <c r="AP2196" i="4"/>
  <c r="AO2196" i="4"/>
  <c r="AN2196" i="4"/>
  <c r="AM2196" i="4"/>
  <c r="BH2196" i="4"/>
  <c r="AX2195" i="4"/>
  <c r="AW2195" i="4"/>
  <c r="AV2195" i="4"/>
  <c r="AP2195" i="4"/>
  <c r="AO2195" i="4"/>
  <c r="AN2195" i="4"/>
  <c r="AM2195" i="4"/>
  <c r="BH2195" i="4"/>
  <c r="AX2194" i="4"/>
  <c r="AW2194" i="4"/>
  <c r="AV2194" i="4"/>
  <c r="AP2194" i="4"/>
  <c r="AO2194" i="4"/>
  <c r="AN2194" i="4"/>
  <c r="AM2194" i="4"/>
  <c r="BH2194" i="4"/>
  <c r="AX2193" i="4"/>
  <c r="AW2193" i="4"/>
  <c r="AV2193" i="4"/>
  <c r="AP2193" i="4"/>
  <c r="AO2193" i="4"/>
  <c r="AN2193" i="4"/>
  <c r="AM2193" i="4"/>
  <c r="BH2193" i="4"/>
  <c r="AX2192" i="4"/>
  <c r="AW2192" i="4"/>
  <c r="AV2192" i="4"/>
  <c r="AP2192" i="4"/>
  <c r="AO2192" i="4"/>
  <c r="AN2192" i="4"/>
  <c r="AM2192" i="4"/>
  <c r="BH2192" i="4"/>
  <c r="AX2191" i="4"/>
  <c r="AW2191" i="4"/>
  <c r="AV2191" i="4"/>
  <c r="AP2191" i="4"/>
  <c r="AO2191" i="4"/>
  <c r="AN2191" i="4"/>
  <c r="AM2191" i="4"/>
  <c r="BH2191" i="4"/>
  <c r="AX2190" i="4"/>
  <c r="AW2190" i="4"/>
  <c r="AV2190" i="4"/>
  <c r="AP2190" i="4"/>
  <c r="AO2190" i="4"/>
  <c r="AN2190" i="4"/>
  <c r="AM2190" i="4"/>
  <c r="BH2190" i="4"/>
  <c r="AX2189" i="4"/>
  <c r="AW2189" i="4"/>
  <c r="AV2189" i="4"/>
  <c r="AP2189" i="4"/>
  <c r="AO2189" i="4"/>
  <c r="AN2189" i="4"/>
  <c r="AM2189" i="4"/>
  <c r="BH2189" i="4"/>
  <c r="AX2188" i="4"/>
  <c r="AW2188" i="4"/>
  <c r="AV2188" i="4"/>
  <c r="AP2188" i="4"/>
  <c r="AO2188" i="4"/>
  <c r="AN2188" i="4"/>
  <c r="AM2188" i="4"/>
  <c r="BH2188" i="4"/>
  <c r="AX2187" i="4"/>
  <c r="AW2187" i="4"/>
  <c r="AV2187" i="4"/>
  <c r="AP2187" i="4"/>
  <c r="AO2187" i="4"/>
  <c r="AN2187" i="4"/>
  <c r="AM2187" i="4"/>
  <c r="BH2187" i="4"/>
  <c r="AX2186" i="4"/>
  <c r="AW2186" i="4"/>
  <c r="AV2186" i="4"/>
  <c r="AP2186" i="4"/>
  <c r="AO2186" i="4"/>
  <c r="AN2186" i="4"/>
  <c r="AM2186" i="4"/>
  <c r="BH2186" i="4"/>
  <c r="AX2185" i="4"/>
  <c r="AW2185" i="4"/>
  <c r="AV2185" i="4"/>
  <c r="AP2185" i="4"/>
  <c r="AO2185" i="4"/>
  <c r="AN2185" i="4"/>
  <c r="AM2185" i="4"/>
  <c r="BH2185" i="4"/>
  <c r="AX2184" i="4"/>
  <c r="AW2184" i="4"/>
  <c r="AV2184" i="4"/>
  <c r="AP2184" i="4"/>
  <c r="AO2184" i="4"/>
  <c r="AN2184" i="4"/>
  <c r="AM2184" i="4"/>
  <c r="BH2184" i="4"/>
  <c r="AX2183" i="4"/>
  <c r="AW2183" i="4"/>
  <c r="AV2183" i="4"/>
  <c r="AP2183" i="4"/>
  <c r="AO2183" i="4"/>
  <c r="AN2183" i="4"/>
  <c r="AM2183" i="4"/>
  <c r="BH2183" i="4"/>
  <c r="AX2182" i="4"/>
  <c r="AW2182" i="4"/>
  <c r="AV2182" i="4"/>
  <c r="AP2182" i="4"/>
  <c r="AO2182" i="4"/>
  <c r="AN2182" i="4"/>
  <c r="AM2182" i="4"/>
  <c r="BH2182" i="4"/>
  <c r="AX2181" i="4"/>
  <c r="AW2181" i="4"/>
  <c r="AV2181" i="4"/>
  <c r="AP2181" i="4"/>
  <c r="AO2181" i="4"/>
  <c r="AN2181" i="4"/>
  <c r="AM2181" i="4"/>
  <c r="BH2181" i="4"/>
  <c r="AX2180" i="4"/>
  <c r="AW2180" i="4"/>
  <c r="AV2180" i="4"/>
  <c r="AP2180" i="4"/>
  <c r="AO2180" i="4"/>
  <c r="AN2180" i="4"/>
  <c r="AM2180" i="4"/>
  <c r="BH2180" i="4"/>
  <c r="AX2179" i="4"/>
  <c r="AW2179" i="4"/>
  <c r="AV2179" i="4"/>
  <c r="AP2179" i="4"/>
  <c r="AO2179" i="4"/>
  <c r="AN2179" i="4"/>
  <c r="AM2179" i="4"/>
  <c r="BH2179" i="4"/>
  <c r="AX2178" i="4"/>
  <c r="AW2178" i="4"/>
  <c r="AV2178" i="4"/>
  <c r="AP2178" i="4"/>
  <c r="AO2178" i="4"/>
  <c r="AN2178" i="4"/>
  <c r="AM2178" i="4"/>
  <c r="BH2178" i="4"/>
  <c r="AX2177" i="4"/>
  <c r="AW2177" i="4"/>
  <c r="AV2177" i="4"/>
  <c r="AP2177" i="4"/>
  <c r="AO2177" i="4"/>
  <c r="AN2177" i="4"/>
  <c r="AM2177" i="4"/>
  <c r="BH2177" i="4"/>
  <c r="AX2176" i="4"/>
  <c r="AW2176" i="4"/>
  <c r="AV2176" i="4"/>
  <c r="AP2176" i="4"/>
  <c r="AO2176" i="4"/>
  <c r="AN2176" i="4"/>
  <c r="AM2176" i="4"/>
  <c r="BH2176" i="4"/>
  <c r="AX2175" i="4"/>
  <c r="AW2175" i="4"/>
  <c r="AV2175" i="4"/>
  <c r="AP2175" i="4"/>
  <c r="AO2175" i="4"/>
  <c r="AN2175" i="4"/>
  <c r="AM2175" i="4"/>
  <c r="BH2175" i="4"/>
  <c r="AX2174" i="4"/>
  <c r="AW2174" i="4"/>
  <c r="AV2174" i="4"/>
  <c r="AP2174" i="4"/>
  <c r="AO2174" i="4"/>
  <c r="AN2174" i="4"/>
  <c r="AM2174" i="4"/>
  <c r="BH2174" i="4"/>
  <c r="AX2173" i="4"/>
  <c r="AW2173" i="4"/>
  <c r="AV2173" i="4"/>
  <c r="AP2173" i="4"/>
  <c r="AO2173" i="4"/>
  <c r="AN2173" i="4"/>
  <c r="AM2173" i="4"/>
  <c r="BH2173" i="4"/>
  <c r="AX2172" i="4"/>
  <c r="AW2172" i="4"/>
  <c r="AV2172" i="4"/>
  <c r="AP2172" i="4"/>
  <c r="AO2172" i="4"/>
  <c r="AN2172" i="4"/>
  <c r="AM2172" i="4"/>
  <c r="BH2172" i="4"/>
  <c r="AX2171" i="4"/>
  <c r="AW2171" i="4"/>
  <c r="AV2171" i="4"/>
  <c r="AP2171" i="4"/>
  <c r="AO2171" i="4"/>
  <c r="AN2171" i="4"/>
  <c r="AM2171" i="4"/>
  <c r="BH2171" i="4"/>
  <c r="AX2170" i="4"/>
  <c r="AW2170" i="4"/>
  <c r="AV2170" i="4"/>
  <c r="AP2170" i="4"/>
  <c r="AO2170" i="4"/>
  <c r="AN2170" i="4"/>
  <c r="AM2170" i="4"/>
  <c r="BH2170" i="4"/>
  <c r="AX2169" i="4"/>
  <c r="AW2169" i="4"/>
  <c r="AV2169" i="4"/>
  <c r="AP2169" i="4"/>
  <c r="AO2169" i="4"/>
  <c r="AN2169" i="4"/>
  <c r="AM2169" i="4"/>
  <c r="BH2169" i="4"/>
  <c r="AX2168" i="4"/>
  <c r="AW2168" i="4"/>
  <c r="AV2168" i="4"/>
  <c r="AP2168" i="4"/>
  <c r="AO2168" i="4"/>
  <c r="AN2168" i="4"/>
  <c r="AM2168" i="4"/>
  <c r="BH2168" i="4"/>
  <c r="AX2167" i="4"/>
  <c r="AW2167" i="4"/>
  <c r="AV2167" i="4"/>
  <c r="AP2167" i="4"/>
  <c r="AO2167" i="4"/>
  <c r="AN2167" i="4"/>
  <c r="AM2167" i="4"/>
  <c r="BH2167" i="4"/>
  <c r="AX2166" i="4"/>
  <c r="AW2166" i="4"/>
  <c r="AV2166" i="4"/>
  <c r="AP2166" i="4"/>
  <c r="AO2166" i="4"/>
  <c r="AN2166" i="4"/>
  <c r="AM2166" i="4"/>
  <c r="BH2166" i="4"/>
  <c r="AX2165" i="4"/>
  <c r="AW2165" i="4"/>
  <c r="AV2165" i="4"/>
  <c r="AP2165" i="4"/>
  <c r="AO2165" i="4"/>
  <c r="AN2165" i="4"/>
  <c r="AM2165" i="4"/>
  <c r="BH2165" i="4"/>
  <c r="AX2164" i="4"/>
  <c r="AW2164" i="4"/>
  <c r="AV2164" i="4"/>
  <c r="AP2164" i="4"/>
  <c r="AO2164" i="4"/>
  <c r="AN2164" i="4"/>
  <c r="AM2164" i="4"/>
  <c r="BH2164" i="4"/>
  <c r="AX2163" i="4"/>
  <c r="AW2163" i="4"/>
  <c r="AV2163" i="4"/>
  <c r="AP2163" i="4"/>
  <c r="AO2163" i="4"/>
  <c r="AN2163" i="4"/>
  <c r="AM2163" i="4"/>
  <c r="BH2163" i="4"/>
  <c r="AX2162" i="4"/>
  <c r="AW2162" i="4"/>
  <c r="AV2162" i="4"/>
  <c r="AP2162" i="4"/>
  <c r="AO2162" i="4"/>
  <c r="AN2162" i="4"/>
  <c r="AM2162" i="4"/>
  <c r="BH2162" i="4"/>
  <c r="AX2161" i="4"/>
  <c r="AW2161" i="4"/>
  <c r="AV2161" i="4"/>
  <c r="AP2161" i="4"/>
  <c r="AO2161" i="4"/>
  <c r="AN2161" i="4"/>
  <c r="AM2161" i="4"/>
  <c r="BH2161" i="4"/>
  <c r="AX2160" i="4"/>
  <c r="AW2160" i="4"/>
  <c r="AV2160" i="4"/>
  <c r="AP2160" i="4"/>
  <c r="AO2160" i="4"/>
  <c r="AN2160" i="4"/>
  <c r="AM2160" i="4"/>
  <c r="BH2160" i="4"/>
  <c r="AX2159" i="4"/>
  <c r="AW2159" i="4"/>
  <c r="AV2159" i="4"/>
  <c r="AP2159" i="4"/>
  <c r="AO2159" i="4"/>
  <c r="AN2159" i="4"/>
  <c r="AM2159" i="4"/>
  <c r="BH2159" i="4"/>
  <c r="AX2158" i="4"/>
  <c r="AW2158" i="4"/>
  <c r="AV2158" i="4"/>
  <c r="AP2158" i="4"/>
  <c r="AO2158" i="4"/>
  <c r="AN2158" i="4"/>
  <c r="AM2158" i="4"/>
  <c r="BH2158" i="4"/>
  <c r="AX2157" i="4"/>
  <c r="AW2157" i="4"/>
  <c r="AV2157" i="4"/>
  <c r="AP2157" i="4"/>
  <c r="AO2157" i="4"/>
  <c r="AN2157" i="4"/>
  <c r="AM2157" i="4"/>
  <c r="BH2157" i="4"/>
  <c r="AX2156" i="4"/>
  <c r="AW2156" i="4"/>
  <c r="AV2156" i="4"/>
  <c r="AP2156" i="4"/>
  <c r="AO2156" i="4"/>
  <c r="AN2156" i="4"/>
  <c r="AM2156" i="4"/>
  <c r="BH2156" i="4"/>
  <c r="AX2155" i="4"/>
  <c r="AW2155" i="4"/>
  <c r="AV2155" i="4"/>
  <c r="AP2155" i="4"/>
  <c r="AO2155" i="4"/>
  <c r="AN2155" i="4"/>
  <c r="AM2155" i="4"/>
  <c r="BH2155" i="4"/>
  <c r="AX2154" i="4"/>
  <c r="AW2154" i="4"/>
  <c r="AV2154" i="4"/>
  <c r="AP2154" i="4"/>
  <c r="AO2154" i="4"/>
  <c r="AN2154" i="4"/>
  <c r="AM2154" i="4"/>
  <c r="BH2154" i="4"/>
  <c r="AX2153" i="4"/>
  <c r="AW2153" i="4"/>
  <c r="AV2153" i="4"/>
  <c r="AP2153" i="4"/>
  <c r="AO2153" i="4"/>
  <c r="AN2153" i="4"/>
  <c r="AM2153" i="4"/>
  <c r="BH2153" i="4"/>
  <c r="AX2152" i="4"/>
  <c r="AW2152" i="4"/>
  <c r="AV2152" i="4"/>
  <c r="AP2152" i="4"/>
  <c r="AO2152" i="4"/>
  <c r="AN2152" i="4"/>
  <c r="AM2152" i="4"/>
  <c r="BH2152" i="4"/>
  <c r="AX2151" i="4"/>
  <c r="AW2151" i="4"/>
  <c r="AV2151" i="4"/>
  <c r="AP2151" i="4"/>
  <c r="AO2151" i="4"/>
  <c r="AN2151" i="4"/>
  <c r="AM2151" i="4"/>
  <c r="BH2151" i="4"/>
  <c r="AX2150" i="4"/>
  <c r="AW2150" i="4"/>
  <c r="AV2150" i="4"/>
  <c r="AP2150" i="4"/>
  <c r="AO2150" i="4"/>
  <c r="AN2150" i="4"/>
  <c r="AM2150" i="4"/>
  <c r="BH2150" i="4"/>
  <c r="AX2149" i="4"/>
  <c r="AW2149" i="4"/>
  <c r="AV2149" i="4"/>
  <c r="AP2149" i="4"/>
  <c r="AO2149" i="4"/>
  <c r="AN2149" i="4"/>
  <c r="AM2149" i="4"/>
  <c r="BH2149" i="4"/>
  <c r="AX2148" i="4"/>
  <c r="AW2148" i="4"/>
  <c r="AV2148" i="4"/>
  <c r="AP2148" i="4"/>
  <c r="AO2148" i="4"/>
  <c r="AN2148" i="4"/>
  <c r="AM2148" i="4"/>
  <c r="BH2148" i="4"/>
  <c r="AX2147" i="4"/>
  <c r="AW2147" i="4"/>
  <c r="AV2147" i="4"/>
  <c r="AP2147" i="4"/>
  <c r="AO2147" i="4"/>
  <c r="AN2147" i="4"/>
  <c r="AM2147" i="4"/>
  <c r="BH2147" i="4"/>
  <c r="AX2146" i="4"/>
  <c r="AW2146" i="4"/>
  <c r="AV2146" i="4"/>
  <c r="AP2146" i="4"/>
  <c r="AO2146" i="4"/>
  <c r="AN2146" i="4"/>
  <c r="AM2146" i="4"/>
  <c r="BH2146" i="4"/>
  <c r="AX2145" i="4"/>
  <c r="AW2145" i="4"/>
  <c r="AV2145" i="4"/>
  <c r="AP2145" i="4"/>
  <c r="AO2145" i="4"/>
  <c r="AN2145" i="4"/>
  <c r="AM2145" i="4"/>
  <c r="BH2145" i="4"/>
  <c r="AX2144" i="4"/>
  <c r="AW2144" i="4"/>
  <c r="AV2144" i="4"/>
  <c r="AP2144" i="4"/>
  <c r="AO2144" i="4"/>
  <c r="AN2144" i="4"/>
  <c r="AM2144" i="4"/>
  <c r="BH2144" i="4"/>
  <c r="AX2143" i="4"/>
  <c r="AW2143" i="4"/>
  <c r="AV2143" i="4"/>
  <c r="AP2143" i="4"/>
  <c r="AO2143" i="4"/>
  <c r="AN2143" i="4"/>
  <c r="AM2143" i="4"/>
  <c r="BH2143" i="4"/>
  <c r="AX2142" i="4"/>
  <c r="AW2142" i="4"/>
  <c r="AV2142" i="4"/>
  <c r="AP2142" i="4"/>
  <c r="AO2142" i="4"/>
  <c r="AN2142" i="4"/>
  <c r="AM2142" i="4"/>
  <c r="BH2142" i="4"/>
  <c r="AX2141" i="4"/>
  <c r="AW2141" i="4"/>
  <c r="AV2141" i="4"/>
  <c r="AP2141" i="4"/>
  <c r="AO2141" i="4"/>
  <c r="AN2141" i="4"/>
  <c r="AM2141" i="4"/>
  <c r="BH2141" i="4"/>
  <c r="AX2140" i="4"/>
  <c r="AW2140" i="4"/>
  <c r="AV2140" i="4"/>
  <c r="AP2140" i="4"/>
  <c r="AO2140" i="4"/>
  <c r="AN2140" i="4"/>
  <c r="AM2140" i="4"/>
  <c r="BH2140" i="4"/>
  <c r="AX2139" i="4"/>
  <c r="AW2139" i="4"/>
  <c r="AV2139" i="4"/>
  <c r="AP2139" i="4"/>
  <c r="AO2139" i="4"/>
  <c r="AN2139" i="4"/>
  <c r="AM2139" i="4"/>
  <c r="BH2139" i="4"/>
  <c r="AX2138" i="4"/>
  <c r="AW2138" i="4"/>
  <c r="AV2138" i="4"/>
  <c r="AP2138" i="4"/>
  <c r="AO2138" i="4"/>
  <c r="AN2138" i="4"/>
  <c r="AM2138" i="4"/>
  <c r="BH2138" i="4"/>
  <c r="AX2137" i="4"/>
  <c r="AW2137" i="4"/>
  <c r="AV2137" i="4"/>
  <c r="AP2137" i="4"/>
  <c r="AO2137" i="4"/>
  <c r="AN2137" i="4"/>
  <c r="AM2137" i="4"/>
  <c r="BH2137" i="4"/>
  <c r="AX2136" i="4"/>
  <c r="AW2136" i="4"/>
  <c r="AV2136" i="4"/>
  <c r="AP2136" i="4"/>
  <c r="AO2136" i="4"/>
  <c r="AN2136" i="4"/>
  <c r="AM2136" i="4"/>
  <c r="BH2136" i="4"/>
  <c r="AX2135" i="4"/>
  <c r="AW2135" i="4"/>
  <c r="AV2135" i="4"/>
  <c r="AP2135" i="4"/>
  <c r="AO2135" i="4"/>
  <c r="AN2135" i="4"/>
  <c r="AM2135" i="4"/>
  <c r="BH2135" i="4"/>
  <c r="AX2134" i="4"/>
  <c r="AW2134" i="4"/>
  <c r="AV2134" i="4"/>
  <c r="AP2134" i="4"/>
  <c r="AO2134" i="4"/>
  <c r="AN2134" i="4"/>
  <c r="AM2134" i="4"/>
  <c r="BH2134" i="4"/>
  <c r="AX2133" i="4"/>
  <c r="AW2133" i="4"/>
  <c r="AV2133" i="4"/>
  <c r="AP2133" i="4"/>
  <c r="AO2133" i="4"/>
  <c r="AN2133" i="4"/>
  <c r="AM2133" i="4"/>
  <c r="BH2133" i="4"/>
  <c r="AX2132" i="4"/>
  <c r="AW2132" i="4"/>
  <c r="AV2132" i="4"/>
  <c r="AP2132" i="4"/>
  <c r="AO2132" i="4"/>
  <c r="AN2132" i="4"/>
  <c r="AM2132" i="4"/>
  <c r="BH2132" i="4"/>
  <c r="AX2131" i="4"/>
  <c r="AW2131" i="4"/>
  <c r="AV2131" i="4"/>
  <c r="AP2131" i="4"/>
  <c r="AO2131" i="4"/>
  <c r="AN2131" i="4"/>
  <c r="AM2131" i="4"/>
  <c r="BH2131" i="4"/>
  <c r="AX2130" i="4"/>
  <c r="AW2130" i="4"/>
  <c r="AV2130" i="4"/>
  <c r="AP2130" i="4"/>
  <c r="AO2130" i="4"/>
  <c r="AN2130" i="4"/>
  <c r="AM2130" i="4"/>
  <c r="BH2130" i="4"/>
  <c r="AX2129" i="4"/>
  <c r="AW2129" i="4"/>
  <c r="AV2129" i="4"/>
  <c r="AP2129" i="4"/>
  <c r="AO2129" i="4"/>
  <c r="AN2129" i="4"/>
  <c r="AM2129" i="4"/>
  <c r="BH2129" i="4"/>
  <c r="AX2128" i="4"/>
  <c r="AW2128" i="4"/>
  <c r="AV2128" i="4"/>
  <c r="AP2128" i="4"/>
  <c r="AO2128" i="4"/>
  <c r="AN2128" i="4"/>
  <c r="AM2128" i="4"/>
  <c r="BH2128" i="4"/>
  <c r="AX2126" i="4"/>
  <c r="AW2126" i="4"/>
  <c r="AV2126" i="4"/>
  <c r="AP2126" i="4"/>
  <c r="AO2126" i="4"/>
  <c r="AN2126" i="4"/>
  <c r="AM2126" i="4"/>
  <c r="BH2126" i="4"/>
  <c r="AX2125" i="4"/>
  <c r="AW2125" i="4"/>
  <c r="AV2125" i="4"/>
  <c r="AP2125" i="4"/>
  <c r="AO2125" i="4"/>
  <c r="AN2125" i="4"/>
  <c r="AM2125" i="4"/>
  <c r="BH2125" i="4"/>
  <c r="AX2124" i="4"/>
  <c r="AW2124" i="4"/>
  <c r="AV2124" i="4"/>
  <c r="AP2124" i="4"/>
  <c r="AO2124" i="4"/>
  <c r="AN2124" i="4"/>
  <c r="AM2124" i="4"/>
  <c r="BH2124" i="4"/>
  <c r="AX2123" i="4"/>
  <c r="AW2123" i="4"/>
  <c r="AV2123" i="4"/>
  <c r="AP2123" i="4"/>
  <c r="AO2123" i="4"/>
  <c r="AN2123" i="4"/>
  <c r="AM2123" i="4"/>
  <c r="BH2123" i="4"/>
  <c r="AX2122" i="4"/>
  <c r="AW2122" i="4"/>
  <c r="AV2122" i="4"/>
  <c r="AP2122" i="4"/>
  <c r="AO2122" i="4"/>
  <c r="AN2122" i="4"/>
  <c r="AM2122" i="4"/>
  <c r="BH2122" i="4"/>
  <c r="AX2121" i="4"/>
  <c r="AW2121" i="4"/>
  <c r="AV2121" i="4"/>
  <c r="AP2121" i="4"/>
  <c r="AO2121" i="4"/>
  <c r="AN2121" i="4"/>
  <c r="AM2121" i="4"/>
  <c r="BH2121" i="4"/>
  <c r="AX2120" i="4"/>
  <c r="AW2120" i="4"/>
  <c r="AV2120" i="4"/>
  <c r="AP2120" i="4"/>
  <c r="AO2120" i="4"/>
  <c r="AN2120" i="4"/>
  <c r="AM2120" i="4"/>
  <c r="BH2120" i="4"/>
  <c r="AX2119" i="4"/>
  <c r="AW2119" i="4"/>
  <c r="AV2119" i="4"/>
  <c r="AP2119" i="4"/>
  <c r="AO2119" i="4"/>
  <c r="AN2119" i="4"/>
  <c r="AM2119" i="4"/>
  <c r="BH2119" i="4"/>
  <c r="AX2118" i="4"/>
  <c r="AW2118" i="4"/>
  <c r="AV2118" i="4"/>
  <c r="AP2118" i="4"/>
  <c r="AO2118" i="4"/>
  <c r="AN2118" i="4"/>
  <c r="AM2118" i="4"/>
  <c r="BH2118" i="4"/>
  <c r="AX2117" i="4"/>
  <c r="AW2117" i="4"/>
  <c r="AV2117" i="4"/>
  <c r="AP2117" i="4"/>
  <c r="AO2117" i="4"/>
  <c r="AN2117" i="4"/>
  <c r="AM2117" i="4"/>
  <c r="BH2117" i="4"/>
  <c r="AX2116" i="4"/>
  <c r="AW2116" i="4"/>
  <c r="AV2116" i="4"/>
  <c r="AP2116" i="4"/>
  <c r="AO2116" i="4"/>
  <c r="AN2116" i="4"/>
  <c r="AM2116" i="4"/>
  <c r="BH2116" i="4"/>
  <c r="AX2115" i="4"/>
  <c r="AW2115" i="4"/>
  <c r="AV2115" i="4"/>
  <c r="AP2115" i="4"/>
  <c r="AO2115" i="4"/>
  <c r="AN2115" i="4"/>
  <c r="AM2115" i="4"/>
  <c r="BH2115" i="4"/>
  <c r="AX2114" i="4"/>
  <c r="AW2114" i="4"/>
  <c r="AV2114" i="4"/>
  <c r="AP2114" i="4"/>
  <c r="AO2114" i="4"/>
  <c r="AN2114" i="4"/>
  <c r="AM2114" i="4"/>
  <c r="BH2114" i="4"/>
  <c r="AX2113" i="4"/>
  <c r="AW2113" i="4"/>
  <c r="AV2113" i="4"/>
  <c r="AP2113" i="4"/>
  <c r="AO2113" i="4"/>
  <c r="AN2113" i="4"/>
  <c r="AM2113" i="4"/>
  <c r="BH2113" i="4"/>
  <c r="AX2112" i="4"/>
  <c r="AW2112" i="4"/>
  <c r="AV2112" i="4"/>
  <c r="AP2112" i="4"/>
  <c r="AO2112" i="4"/>
  <c r="AN2112" i="4"/>
  <c r="AM2112" i="4"/>
  <c r="BH2112" i="4"/>
  <c r="AX2111" i="4"/>
  <c r="AW2111" i="4"/>
  <c r="AV2111" i="4"/>
  <c r="AP2111" i="4"/>
  <c r="AO2111" i="4"/>
  <c r="AN2111" i="4"/>
  <c r="AM2111" i="4"/>
  <c r="BH2111" i="4"/>
  <c r="AX2110" i="4"/>
  <c r="AW2110" i="4"/>
  <c r="AV2110" i="4"/>
  <c r="AP2110" i="4"/>
  <c r="AO2110" i="4"/>
  <c r="AN2110" i="4"/>
  <c r="AM2110" i="4"/>
  <c r="BH2110" i="4"/>
  <c r="AX2109" i="4"/>
  <c r="AW2109" i="4"/>
  <c r="AV2109" i="4"/>
  <c r="AP2109" i="4"/>
  <c r="AO2109" i="4"/>
  <c r="AN2109" i="4"/>
  <c r="AM2109" i="4"/>
  <c r="BH2109" i="4"/>
  <c r="AX2108" i="4"/>
  <c r="AW2108" i="4"/>
  <c r="AV2108" i="4"/>
  <c r="AP2108" i="4"/>
  <c r="AO2108" i="4"/>
  <c r="AN2108" i="4"/>
  <c r="AM2108" i="4"/>
  <c r="BH2108" i="4"/>
  <c r="AX2107" i="4"/>
  <c r="AW2107" i="4"/>
  <c r="AV2107" i="4"/>
  <c r="AP2107" i="4"/>
  <c r="AO2107" i="4"/>
  <c r="AN2107" i="4"/>
  <c r="AM2107" i="4"/>
  <c r="BH2107" i="4"/>
  <c r="AX2106" i="4"/>
  <c r="AW2106" i="4"/>
  <c r="AV2106" i="4"/>
  <c r="AP2106" i="4"/>
  <c r="AO2106" i="4"/>
  <c r="AN2106" i="4"/>
  <c r="AM2106" i="4"/>
  <c r="BH2106" i="4"/>
  <c r="AX2105" i="4"/>
  <c r="AW2105" i="4"/>
  <c r="AV2105" i="4"/>
  <c r="AP2105" i="4"/>
  <c r="AO2105" i="4"/>
  <c r="AN2105" i="4"/>
  <c r="AM2105" i="4"/>
  <c r="BH2105" i="4"/>
  <c r="AX2104" i="4"/>
  <c r="AW2104" i="4"/>
  <c r="AV2104" i="4"/>
  <c r="AP2104" i="4"/>
  <c r="AO2104" i="4"/>
  <c r="AN2104" i="4"/>
  <c r="AM2104" i="4"/>
  <c r="BH2104" i="4"/>
  <c r="AX2103" i="4"/>
  <c r="AW2103" i="4"/>
  <c r="AV2103" i="4"/>
  <c r="AP2103" i="4"/>
  <c r="AO2103" i="4"/>
  <c r="AN2103" i="4"/>
  <c r="AM2103" i="4"/>
  <c r="BH2103" i="4"/>
  <c r="AX2102" i="4"/>
  <c r="AW2102" i="4"/>
  <c r="AV2102" i="4"/>
  <c r="AP2102" i="4"/>
  <c r="AO2102" i="4"/>
  <c r="AN2102" i="4"/>
  <c r="AM2102" i="4"/>
  <c r="BH2102" i="4"/>
  <c r="AX2101" i="4"/>
  <c r="AW2101" i="4"/>
  <c r="AV2101" i="4"/>
  <c r="AP2101" i="4"/>
  <c r="AO2101" i="4"/>
  <c r="AN2101" i="4"/>
  <c r="AM2101" i="4"/>
  <c r="BH2101" i="4"/>
  <c r="AX2100" i="4"/>
  <c r="AW2100" i="4"/>
  <c r="AV2100" i="4"/>
  <c r="AP2100" i="4"/>
  <c r="AO2100" i="4"/>
  <c r="AN2100" i="4"/>
  <c r="AM2100" i="4"/>
  <c r="BH2100" i="4"/>
  <c r="AX2099" i="4"/>
  <c r="AW2099" i="4"/>
  <c r="AV2099" i="4"/>
  <c r="AP2099" i="4"/>
  <c r="AO2099" i="4"/>
  <c r="AN2099" i="4"/>
  <c r="AM2099" i="4"/>
  <c r="BH2099" i="4"/>
  <c r="AX2098" i="4"/>
  <c r="AW2098" i="4"/>
  <c r="AV2098" i="4"/>
  <c r="AP2098" i="4"/>
  <c r="AO2098" i="4"/>
  <c r="AN2098" i="4"/>
  <c r="AM2098" i="4"/>
  <c r="BH2098" i="4"/>
  <c r="AX2097" i="4"/>
  <c r="AW2097" i="4"/>
  <c r="AV2097" i="4"/>
  <c r="AP2097" i="4"/>
  <c r="AO2097" i="4"/>
  <c r="AN2097" i="4"/>
  <c r="AM2097" i="4"/>
  <c r="BH2097" i="4"/>
  <c r="AX2096" i="4"/>
  <c r="AW2096" i="4"/>
  <c r="AV2096" i="4"/>
  <c r="AP2096" i="4"/>
  <c r="AO2096" i="4"/>
  <c r="AN2096" i="4"/>
  <c r="AM2096" i="4"/>
  <c r="BH2096" i="4"/>
  <c r="AX2095" i="4"/>
  <c r="AW2095" i="4"/>
  <c r="AV2095" i="4"/>
  <c r="AP2095" i="4"/>
  <c r="AO2095" i="4"/>
  <c r="AN2095" i="4"/>
  <c r="AM2095" i="4"/>
  <c r="BH2095" i="4"/>
  <c r="AX2094" i="4"/>
  <c r="AW2094" i="4"/>
  <c r="AV2094" i="4"/>
  <c r="AP2094" i="4"/>
  <c r="AO2094" i="4"/>
  <c r="AN2094" i="4"/>
  <c r="AM2094" i="4"/>
  <c r="BH2094" i="4"/>
  <c r="AX2093" i="4"/>
  <c r="AW2093" i="4"/>
  <c r="AV2093" i="4"/>
  <c r="AP2093" i="4"/>
  <c r="AO2093" i="4"/>
  <c r="AN2093" i="4"/>
  <c r="AM2093" i="4"/>
  <c r="BH2093" i="4"/>
  <c r="AX2092" i="4"/>
  <c r="AW2092" i="4"/>
  <c r="AV2092" i="4"/>
  <c r="AP2092" i="4"/>
  <c r="AO2092" i="4"/>
  <c r="AN2092" i="4"/>
  <c r="AM2092" i="4"/>
  <c r="BH2092" i="4"/>
  <c r="AX2091" i="4"/>
  <c r="AW2091" i="4"/>
  <c r="AV2091" i="4"/>
  <c r="AP2091" i="4"/>
  <c r="AO2091" i="4"/>
  <c r="AN2091" i="4"/>
  <c r="AM2091" i="4"/>
  <c r="BH2091" i="4"/>
  <c r="AX2090" i="4"/>
  <c r="AW2090" i="4"/>
  <c r="AV2090" i="4"/>
  <c r="AP2090" i="4"/>
  <c r="AO2090" i="4"/>
  <c r="AN2090" i="4"/>
  <c r="AM2090" i="4"/>
  <c r="BH2090" i="4"/>
  <c r="AX2089" i="4"/>
  <c r="AW2089" i="4"/>
  <c r="AV2089" i="4"/>
  <c r="AP2089" i="4"/>
  <c r="AO2089" i="4"/>
  <c r="AN2089" i="4"/>
  <c r="AM2089" i="4"/>
  <c r="BH2089" i="4"/>
  <c r="AX2088" i="4"/>
  <c r="AW2088" i="4"/>
  <c r="AV2088" i="4"/>
  <c r="AP2088" i="4"/>
  <c r="AO2088" i="4"/>
  <c r="AN2088" i="4"/>
  <c r="AM2088" i="4"/>
  <c r="BH2088" i="4"/>
  <c r="AX2087" i="4"/>
  <c r="AW2087" i="4"/>
  <c r="AV2087" i="4"/>
  <c r="AP2087" i="4"/>
  <c r="AO2087" i="4"/>
  <c r="AN2087" i="4"/>
  <c r="AM2087" i="4"/>
  <c r="BH2087" i="4"/>
  <c r="AX2086" i="4"/>
  <c r="AW2086" i="4"/>
  <c r="AV2086" i="4"/>
  <c r="AP2086" i="4"/>
  <c r="AO2086" i="4"/>
  <c r="AN2086" i="4"/>
  <c r="AM2086" i="4"/>
  <c r="BH2086" i="4"/>
  <c r="AX2085" i="4"/>
  <c r="AW2085" i="4"/>
  <c r="AV2085" i="4"/>
  <c r="AP2085" i="4"/>
  <c r="AO2085" i="4"/>
  <c r="AN2085" i="4"/>
  <c r="AM2085" i="4"/>
  <c r="BH2085" i="4"/>
  <c r="AX2084" i="4"/>
  <c r="AW2084" i="4"/>
  <c r="AV2084" i="4"/>
  <c r="AP2084" i="4"/>
  <c r="AO2084" i="4"/>
  <c r="AN2084" i="4"/>
  <c r="AM2084" i="4"/>
  <c r="BH2084" i="4"/>
  <c r="AX2083" i="4"/>
  <c r="AW2083" i="4"/>
  <c r="AV2083" i="4"/>
  <c r="AP2083" i="4"/>
  <c r="AO2083" i="4"/>
  <c r="AN2083" i="4"/>
  <c r="AM2083" i="4"/>
  <c r="BH2083" i="4"/>
  <c r="AX2082" i="4"/>
  <c r="AW2082" i="4"/>
  <c r="AV2082" i="4"/>
  <c r="AP2082" i="4"/>
  <c r="AO2082" i="4"/>
  <c r="AN2082" i="4"/>
  <c r="AM2082" i="4"/>
  <c r="BH2082" i="4"/>
  <c r="AX2081" i="4"/>
  <c r="AW2081" i="4"/>
  <c r="AV2081" i="4"/>
  <c r="AP2081" i="4"/>
  <c r="AO2081" i="4"/>
  <c r="AN2081" i="4"/>
  <c r="AM2081" i="4"/>
  <c r="BH2081" i="4"/>
  <c r="AX2080" i="4"/>
  <c r="AW2080" i="4"/>
  <c r="AV2080" i="4"/>
  <c r="AP2080" i="4"/>
  <c r="AO2080" i="4"/>
  <c r="AN2080" i="4"/>
  <c r="AM2080" i="4"/>
  <c r="BH2080" i="4"/>
  <c r="AX2079" i="4"/>
  <c r="AW2079" i="4"/>
  <c r="AV2079" i="4"/>
  <c r="AP2079" i="4"/>
  <c r="AO2079" i="4"/>
  <c r="AN2079" i="4"/>
  <c r="AM2079" i="4"/>
  <c r="BH2079" i="4"/>
  <c r="AX2078" i="4"/>
  <c r="AW2078" i="4"/>
  <c r="AV2078" i="4"/>
  <c r="AP2078" i="4"/>
  <c r="AO2078" i="4"/>
  <c r="AN2078" i="4"/>
  <c r="AM2078" i="4"/>
  <c r="BH2078" i="4"/>
  <c r="AX2077" i="4"/>
  <c r="AW2077" i="4"/>
  <c r="AV2077" i="4"/>
  <c r="AP2077" i="4"/>
  <c r="AO2077" i="4"/>
  <c r="AN2077" i="4"/>
  <c r="AM2077" i="4"/>
  <c r="BH2077" i="4"/>
  <c r="AX2076" i="4"/>
  <c r="AW2076" i="4"/>
  <c r="AV2076" i="4"/>
  <c r="AP2076" i="4"/>
  <c r="AO2076" i="4"/>
  <c r="AN2076" i="4"/>
  <c r="AM2076" i="4"/>
  <c r="BH2076" i="4"/>
  <c r="AX2075" i="4"/>
  <c r="AW2075" i="4"/>
  <c r="AV2075" i="4"/>
  <c r="AP2075" i="4"/>
  <c r="AO2075" i="4"/>
  <c r="AN2075" i="4"/>
  <c r="AM2075" i="4"/>
  <c r="BH2075" i="4"/>
  <c r="AX2074" i="4"/>
  <c r="AW2074" i="4"/>
  <c r="AV2074" i="4"/>
  <c r="AP2074" i="4"/>
  <c r="AO2074" i="4"/>
  <c r="AN2074" i="4"/>
  <c r="AM2074" i="4"/>
  <c r="BH2074" i="4"/>
  <c r="AX2073" i="4"/>
  <c r="AW2073" i="4"/>
  <c r="AV2073" i="4"/>
  <c r="AP2073" i="4"/>
  <c r="AO2073" i="4"/>
  <c r="AN2073" i="4"/>
  <c r="AM2073" i="4"/>
  <c r="BH2073" i="4"/>
  <c r="AX2072" i="4"/>
  <c r="AW2072" i="4"/>
  <c r="AV2072" i="4"/>
  <c r="AP2072" i="4"/>
  <c r="AO2072" i="4"/>
  <c r="AN2072" i="4"/>
  <c r="AM2072" i="4"/>
  <c r="BH2072" i="4"/>
  <c r="AX2071" i="4"/>
  <c r="AW2071" i="4"/>
  <c r="AV2071" i="4"/>
  <c r="AP2071" i="4"/>
  <c r="AO2071" i="4"/>
  <c r="AN2071" i="4"/>
  <c r="AM2071" i="4"/>
  <c r="BH2071" i="4"/>
  <c r="AX2070" i="4"/>
  <c r="AW2070" i="4"/>
  <c r="AV2070" i="4"/>
  <c r="AP2070" i="4"/>
  <c r="AO2070" i="4"/>
  <c r="AN2070" i="4"/>
  <c r="AM2070" i="4"/>
  <c r="BH2070" i="4"/>
  <c r="AX2069" i="4"/>
  <c r="AW2069" i="4"/>
  <c r="AV2069" i="4"/>
  <c r="AP2069" i="4"/>
  <c r="AO2069" i="4"/>
  <c r="AN2069" i="4"/>
  <c r="AM2069" i="4"/>
  <c r="BH2069" i="4"/>
  <c r="AX2068" i="4"/>
  <c r="AW2068" i="4"/>
  <c r="AV2068" i="4"/>
  <c r="AP2068" i="4"/>
  <c r="AO2068" i="4"/>
  <c r="AN2068" i="4"/>
  <c r="AM2068" i="4"/>
  <c r="BH2068" i="4"/>
  <c r="AX2067" i="4"/>
  <c r="AW2067" i="4"/>
  <c r="AV2067" i="4"/>
  <c r="AP2067" i="4"/>
  <c r="AO2067" i="4"/>
  <c r="AN2067" i="4"/>
  <c r="AM2067" i="4"/>
  <c r="BH2067" i="4"/>
  <c r="AX2066" i="4"/>
  <c r="AW2066" i="4"/>
  <c r="AV2066" i="4"/>
  <c r="AP2066" i="4"/>
  <c r="AO2066" i="4"/>
  <c r="AN2066" i="4"/>
  <c r="AM2066" i="4"/>
  <c r="BH2066" i="4"/>
  <c r="AX2065" i="4"/>
  <c r="AW2065" i="4"/>
  <c r="AV2065" i="4"/>
  <c r="AP2065" i="4"/>
  <c r="AO2065" i="4"/>
  <c r="AN2065" i="4"/>
  <c r="AM2065" i="4"/>
  <c r="BH2065" i="4"/>
  <c r="AX2064" i="4"/>
  <c r="AW2064" i="4"/>
  <c r="AV2064" i="4"/>
  <c r="AP2064" i="4"/>
  <c r="AO2064" i="4"/>
  <c r="AN2064" i="4"/>
  <c r="AM2064" i="4"/>
  <c r="BH2064" i="4"/>
  <c r="AX2063" i="4"/>
  <c r="AW2063" i="4"/>
  <c r="AV2063" i="4"/>
  <c r="AP2063" i="4"/>
  <c r="AO2063" i="4"/>
  <c r="AN2063" i="4"/>
  <c r="AM2063" i="4"/>
  <c r="BH2063" i="4"/>
  <c r="AX2062" i="4"/>
  <c r="AW2062" i="4"/>
  <c r="AV2062" i="4"/>
  <c r="AP2062" i="4"/>
  <c r="AO2062" i="4"/>
  <c r="AN2062" i="4"/>
  <c r="AM2062" i="4"/>
  <c r="BH2062" i="4"/>
  <c r="AX2061" i="4"/>
  <c r="AW2061" i="4"/>
  <c r="AV2061" i="4"/>
  <c r="AP2061" i="4"/>
  <c r="AO2061" i="4"/>
  <c r="AN2061" i="4"/>
  <c r="AM2061" i="4"/>
  <c r="BH2061" i="4"/>
  <c r="AX2060" i="4"/>
  <c r="AW2060" i="4"/>
  <c r="AV2060" i="4"/>
  <c r="AP2060" i="4"/>
  <c r="AO2060" i="4"/>
  <c r="AN2060" i="4"/>
  <c r="AM2060" i="4"/>
  <c r="BH2060" i="4"/>
  <c r="AX2059" i="4"/>
  <c r="AW2059" i="4"/>
  <c r="AV2059" i="4"/>
  <c r="AP2059" i="4"/>
  <c r="AO2059" i="4"/>
  <c r="AN2059" i="4"/>
  <c r="AM2059" i="4"/>
  <c r="BH2059" i="4"/>
  <c r="AX2058" i="4"/>
  <c r="AW2058" i="4"/>
  <c r="AV2058" i="4"/>
  <c r="AP2058" i="4"/>
  <c r="AO2058" i="4"/>
  <c r="AN2058" i="4"/>
  <c r="AM2058" i="4"/>
  <c r="BH2058" i="4"/>
  <c r="AX2057" i="4"/>
  <c r="AW2057" i="4"/>
  <c r="AV2057" i="4"/>
  <c r="AP2057" i="4"/>
  <c r="AO2057" i="4"/>
  <c r="AN2057" i="4"/>
  <c r="AM2057" i="4"/>
  <c r="BH2057" i="4"/>
  <c r="AX2056" i="4"/>
  <c r="AW2056" i="4"/>
  <c r="AV2056" i="4"/>
  <c r="AP2056" i="4"/>
  <c r="AO2056" i="4"/>
  <c r="AN2056" i="4"/>
  <c r="AM2056" i="4"/>
  <c r="BH2056" i="4"/>
  <c r="AX2055" i="4"/>
  <c r="AW2055" i="4"/>
  <c r="AV2055" i="4"/>
  <c r="AP2055" i="4"/>
  <c r="AO2055" i="4"/>
  <c r="AN2055" i="4"/>
  <c r="AM2055" i="4"/>
  <c r="BH2055" i="4"/>
  <c r="AX2054" i="4"/>
  <c r="AW2054" i="4"/>
  <c r="AV2054" i="4"/>
  <c r="AP2054" i="4"/>
  <c r="AO2054" i="4"/>
  <c r="AN2054" i="4"/>
  <c r="AM2054" i="4"/>
  <c r="BH2054" i="4"/>
  <c r="AX2053" i="4"/>
  <c r="AW2053" i="4"/>
  <c r="AV2053" i="4"/>
  <c r="AP2053" i="4"/>
  <c r="AO2053" i="4"/>
  <c r="AN2053" i="4"/>
  <c r="AM2053" i="4"/>
  <c r="BH2053" i="4"/>
  <c r="AX2052" i="4"/>
  <c r="AW2052" i="4"/>
  <c r="AV2052" i="4"/>
  <c r="AP2052" i="4"/>
  <c r="AO2052" i="4"/>
  <c r="AN2052" i="4"/>
  <c r="AM2052" i="4"/>
  <c r="BH2052" i="4"/>
  <c r="AX2051" i="4"/>
  <c r="AW2051" i="4"/>
  <c r="AV2051" i="4"/>
  <c r="AP2051" i="4"/>
  <c r="AO2051" i="4"/>
  <c r="AN2051" i="4"/>
  <c r="AM2051" i="4"/>
  <c r="BH2051" i="4"/>
  <c r="AX2050" i="4"/>
  <c r="AW2050" i="4"/>
  <c r="AV2050" i="4"/>
  <c r="AP2050" i="4"/>
  <c r="AO2050" i="4"/>
  <c r="AN2050" i="4"/>
  <c r="AM2050" i="4"/>
  <c r="BH2050" i="4"/>
  <c r="AX2049" i="4"/>
  <c r="AW2049" i="4"/>
  <c r="AV2049" i="4"/>
  <c r="AP2049" i="4"/>
  <c r="AO2049" i="4"/>
  <c r="AN2049" i="4"/>
  <c r="AM2049" i="4"/>
  <c r="BH2049" i="4"/>
  <c r="AX2048" i="4"/>
  <c r="AW2048" i="4"/>
  <c r="AV2048" i="4"/>
  <c r="AP2048" i="4"/>
  <c r="AO2048" i="4"/>
  <c r="AN2048" i="4"/>
  <c r="AM2048" i="4"/>
  <c r="BH2048" i="4"/>
  <c r="AX2047" i="4"/>
  <c r="AW2047" i="4"/>
  <c r="AV2047" i="4"/>
  <c r="AP2047" i="4"/>
  <c r="AO2047" i="4"/>
  <c r="AN2047" i="4"/>
  <c r="AM2047" i="4"/>
  <c r="BH2047" i="4"/>
  <c r="AX2046" i="4"/>
  <c r="AW2046" i="4"/>
  <c r="AV2046" i="4"/>
  <c r="AP2046" i="4"/>
  <c r="AO2046" i="4"/>
  <c r="AN2046" i="4"/>
  <c r="AM2046" i="4"/>
  <c r="BH2046" i="4"/>
  <c r="AX2045" i="4"/>
  <c r="AW2045" i="4"/>
  <c r="AV2045" i="4"/>
  <c r="AP2045" i="4"/>
  <c r="AO2045" i="4"/>
  <c r="AN2045" i="4"/>
  <c r="AM2045" i="4"/>
  <c r="BH2045" i="4"/>
  <c r="AX2044" i="4"/>
  <c r="AW2044" i="4"/>
  <c r="AV2044" i="4"/>
  <c r="AP2044" i="4"/>
  <c r="AO2044" i="4"/>
  <c r="AN2044" i="4"/>
  <c r="AM2044" i="4"/>
  <c r="BH2044" i="4"/>
  <c r="AX2043" i="4"/>
  <c r="AW2043" i="4"/>
  <c r="AV2043" i="4"/>
  <c r="AP2043" i="4"/>
  <c r="AO2043" i="4"/>
  <c r="AN2043" i="4"/>
  <c r="AM2043" i="4"/>
  <c r="BH2043" i="4"/>
  <c r="AX2042" i="4"/>
  <c r="AW2042" i="4"/>
  <c r="AV2042" i="4"/>
  <c r="AP2042" i="4"/>
  <c r="AO2042" i="4"/>
  <c r="AN2042" i="4"/>
  <c r="AM2042" i="4"/>
  <c r="BH2042" i="4"/>
  <c r="AX2041" i="4"/>
  <c r="AW2041" i="4"/>
  <c r="AV2041" i="4"/>
  <c r="AP2041" i="4"/>
  <c r="AO2041" i="4"/>
  <c r="AN2041" i="4"/>
  <c r="AM2041" i="4"/>
  <c r="BH2041" i="4"/>
  <c r="AX2040" i="4"/>
  <c r="AW2040" i="4"/>
  <c r="AV2040" i="4"/>
  <c r="AP2040" i="4"/>
  <c r="AO2040" i="4"/>
  <c r="AN2040" i="4"/>
  <c r="AM2040" i="4"/>
  <c r="BH2040" i="4"/>
  <c r="AX2039" i="4"/>
  <c r="AW2039" i="4"/>
  <c r="AV2039" i="4"/>
  <c r="AP2039" i="4"/>
  <c r="AO2039" i="4"/>
  <c r="AN2039" i="4"/>
  <c r="AM2039" i="4"/>
  <c r="BH2039" i="4"/>
  <c r="AX2038" i="4"/>
  <c r="AW2038" i="4"/>
  <c r="AV2038" i="4"/>
  <c r="AP2038" i="4"/>
  <c r="AO2038" i="4"/>
  <c r="AN2038" i="4"/>
  <c r="AM2038" i="4"/>
  <c r="BH2038" i="4"/>
  <c r="AX2037" i="4"/>
  <c r="AW2037" i="4"/>
  <c r="AV2037" i="4"/>
  <c r="AP2037" i="4"/>
  <c r="AO2037" i="4"/>
  <c r="AN2037" i="4"/>
  <c r="AM2037" i="4"/>
  <c r="BH2037" i="4"/>
  <c r="AX2036" i="4"/>
  <c r="AW2036" i="4"/>
  <c r="AV2036" i="4"/>
  <c r="AP2036" i="4"/>
  <c r="AO2036" i="4"/>
  <c r="AN2036" i="4"/>
  <c r="AM2036" i="4"/>
  <c r="BH2036" i="4"/>
  <c r="AX2035" i="4"/>
  <c r="AW2035" i="4"/>
  <c r="AV2035" i="4"/>
  <c r="AP2035" i="4"/>
  <c r="AO2035" i="4"/>
  <c r="AN2035" i="4"/>
  <c r="AM2035" i="4"/>
  <c r="BH2035" i="4"/>
  <c r="AX2034" i="4"/>
  <c r="AW2034" i="4"/>
  <c r="AV2034" i="4"/>
  <c r="AP2034" i="4"/>
  <c r="AO2034" i="4"/>
  <c r="AN2034" i="4"/>
  <c r="AM2034" i="4"/>
  <c r="BH2034" i="4"/>
  <c r="AX2033" i="4"/>
  <c r="AW2033" i="4"/>
  <c r="AV2033" i="4"/>
  <c r="AP2033" i="4"/>
  <c r="AO2033" i="4"/>
  <c r="AN2033" i="4"/>
  <c r="AM2033" i="4"/>
  <c r="BH2033" i="4"/>
  <c r="AX2032" i="4"/>
  <c r="AW2032" i="4"/>
  <c r="AV2032" i="4"/>
  <c r="AP2032" i="4"/>
  <c r="AO2032" i="4"/>
  <c r="AN2032" i="4"/>
  <c r="AM2032" i="4"/>
  <c r="BH2032" i="4"/>
  <c r="AX2031" i="4"/>
  <c r="AW2031" i="4"/>
  <c r="AV2031" i="4"/>
  <c r="AP2031" i="4"/>
  <c r="AO2031" i="4"/>
  <c r="AN2031" i="4"/>
  <c r="AM2031" i="4"/>
  <c r="BH2031" i="4"/>
  <c r="AX2030" i="4"/>
  <c r="AW2030" i="4"/>
  <c r="AV2030" i="4"/>
  <c r="AP2030" i="4"/>
  <c r="AO2030" i="4"/>
  <c r="AN2030" i="4"/>
  <c r="AM2030" i="4"/>
  <c r="BH2030" i="4"/>
  <c r="AX2029" i="4"/>
  <c r="AW2029" i="4"/>
  <c r="AV2029" i="4"/>
  <c r="AP2029" i="4"/>
  <c r="AO2029" i="4"/>
  <c r="AN2029" i="4"/>
  <c r="AM2029" i="4"/>
  <c r="BH2029" i="4"/>
  <c r="AX2028" i="4"/>
  <c r="AW2028" i="4"/>
  <c r="AV2028" i="4"/>
  <c r="AP2028" i="4"/>
  <c r="AO2028" i="4"/>
  <c r="AN2028" i="4"/>
  <c r="AM2028" i="4"/>
  <c r="BH2028" i="4"/>
  <c r="AX2027" i="4"/>
  <c r="AW2027" i="4"/>
  <c r="AV2027" i="4"/>
  <c r="AP2027" i="4"/>
  <c r="AO2027" i="4"/>
  <c r="AN2027" i="4"/>
  <c r="AM2027" i="4"/>
  <c r="BH2027" i="4"/>
  <c r="AX2026" i="4"/>
  <c r="AW2026" i="4"/>
  <c r="AV2026" i="4"/>
  <c r="AP2026" i="4"/>
  <c r="AO2026" i="4"/>
  <c r="AN2026" i="4"/>
  <c r="AM2026" i="4"/>
  <c r="BH2026" i="4"/>
  <c r="AX2025" i="4"/>
  <c r="AW2025" i="4"/>
  <c r="AV2025" i="4"/>
  <c r="AP2025" i="4"/>
  <c r="AO2025" i="4"/>
  <c r="AN2025" i="4"/>
  <c r="AM2025" i="4"/>
  <c r="BH2025" i="4"/>
  <c r="AX2024" i="4"/>
  <c r="AW2024" i="4"/>
  <c r="AV2024" i="4"/>
  <c r="AP2024" i="4"/>
  <c r="AO2024" i="4"/>
  <c r="AN2024" i="4"/>
  <c r="AM2024" i="4"/>
  <c r="BH2024" i="4"/>
  <c r="AX2023" i="4"/>
  <c r="AW2023" i="4"/>
  <c r="AV2023" i="4"/>
  <c r="AP2023" i="4"/>
  <c r="AO2023" i="4"/>
  <c r="AN2023" i="4"/>
  <c r="AM2023" i="4"/>
  <c r="BH2023" i="4"/>
  <c r="AX2022" i="4"/>
  <c r="AW2022" i="4"/>
  <c r="AV2022" i="4"/>
  <c r="AP2022" i="4"/>
  <c r="AO2022" i="4"/>
  <c r="AN2022" i="4"/>
  <c r="AM2022" i="4"/>
  <c r="BH2022" i="4"/>
  <c r="AX2021" i="4"/>
  <c r="AW2021" i="4"/>
  <c r="AV2021" i="4"/>
  <c r="AP2021" i="4"/>
  <c r="AO2021" i="4"/>
  <c r="AN2021" i="4"/>
  <c r="AM2021" i="4"/>
  <c r="BH2021" i="4"/>
  <c r="AX2020" i="4"/>
  <c r="AW2020" i="4"/>
  <c r="AV2020" i="4"/>
  <c r="AP2020" i="4"/>
  <c r="AO2020" i="4"/>
  <c r="AN2020" i="4"/>
  <c r="AM2020" i="4"/>
  <c r="BH2020" i="4"/>
  <c r="AX2019" i="4"/>
  <c r="AW2019" i="4"/>
  <c r="AV2019" i="4"/>
  <c r="AP2019" i="4"/>
  <c r="AO2019" i="4"/>
  <c r="AN2019" i="4"/>
  <c r="AM2019" i="4"/>
  <c r="BH2019" i="4"/>
  <c r="AX2018" i="4"/>
  <c r="AW2018" i="4"/>
  <c r="AV2018" i="4"/>
  <c r="AP2018" i="4"/>
  <c r="AO2018" i="4"/>
  <c r="AN2018" i="4"/>
  <c r="AM2018" i="4"/>
  <c r="BH2018" i="4"/>
  <c r="AX2017" i="4"/>
  <c r="AW2017" i="4"/>
  <c r="AV2017" i="4"/>
  <c r="AP2017" i="4"/>
  <c r="AO2017" i="4"/>
  <c r="AN2017" i="4"/>
  <c r="AM2017" i="4"/>
  <c r="BH2017" i="4"/>
  <c r="AX2016" i="4"/>
  <c r="AW2016" i="4"/>
  <c r="AV2016" i="4"/>
  <c r="AP2016" i="4"/>
  <c r="AO2016" i="4"/>
  <c r="AN2016" i="4"/>
  <c r="AM2016" i="4"/>
  <c r="BH2016" i="4"/>
  <c r="AX2015" i="4"/>
  <c r="AW2015" i="4"/>
  <c r="AV2015" i="4"/>
  <c r="AP2015" i="4"/>
  <c r="AO2015" i="4"/>
  <c r="AN2015" i="4"/>
  <c r="AM2015" i="4"/>
  <c r="BH2015" i="4"/>
  <c r="AX2014" i="4"/>
  <c r="AW2014" i="4"/>
  <c r="AV2014" i="4"/>
  <c r="AP2014" i="4"/>
  <c r="AO2014" i="4"/>
  <c r="AN2014" i="4"/>
  <c r="AM2014" i="4"/>
  <c r="BH2014" i="4"/>
  <c r="AX2013" i="4"/>
  <c r="AW2013" i="4"/>
  <c r="AV2013" i="4"/>
  <c r="AP2013" i="4"/>
  <c r="AO2013" i="4"/>
  <c r="AN2013" i="4"/>
  <c r="AM2013" i="4"/>
  <c r="BH2013" i="4"/>
  <c r="AX2012" i="4"/>
  <c r="AW2012" i="4"/>
  <c r="AV2012" i="4"/>
  <c r="AP2012" i="4"/>
  <c r="AO2012" i="4"/>
  <c r="AN2012" i="4"/>
  <c r="AM2012" i="4"/>
  <c r="BH2012" i="4"/>
  <c r="AX2011" i="4"/>
  <c r="AW2011" i="4"/>
  <c r="AV2011" i="4"/>
  <c r="AP2011" i="4"/>
  <c r="AO2011" i="4"/>
  <c r="AN2011" i="4"/>
  <c r="AM2011" i="4"/>
  <c r="BH2011" i="4"/>
  <c r="AX2010" i="4"/>
  <c r="AW2010" i="4"/>
  <c r="AV2010" i="4"/>
  <c r="AP2010" i="4"/>
  <c r="AO2010" i="4"/>
  <c r="AN2010" i="4"/>
  <c r="AM2010" i="4"/>
  <c r="BH2010" i="4"/>
  <c r="AX2009" i="4"/>
  <c r="AW2009" i="4"/>
  <c r="AV2009" i="4"/>
  <c r="AP2009" i="4"/>
  <c r="AO2009" i="4"/>
  <c r="AN2009" i="4"/>
  <c r="AM2009" i="4"/>
  <c r="BH2009" i="4"/>
  <c r="AX2008" i="4"/>
  <c r="AW2008" i="4"/>
  <c r="AV2008" i="4"/>
  <c r="AP2008" i="4"/>
  <c r="AO2008" i="4"/>
  <c r="AN2008" i="4"/>
  <c r="AM2008" i="4"/>
  <c r="BH2008" i="4"/>
  <c r="AX2007" i="4"/>
  <c r="AW2007" i="4"/>
  <c r="AV2007" i="4"/>
  <c r="AP2007" i="4"/>
  <c r="AO2007" i="4"/>
  <c r="AN2007" i="4"/>
  <c r="AM2007" i="4"/>
  <c r="BH2007" i="4"/>
  <c r="AX2006" i="4"/>
  <c r="AW2006" i="4"/>
  <c r="AV2006" i="4"/>
  <c r="AP2006" i="4"/>
  <c r="AO2006" i="4"/>
  <c r="AN2006" i="4"/>
  <c r="AM2006" i="4"/>
  <c r="BH2006" i="4"/>
  <c r="AX2005" i="4"/>
  <c r="AW2005" i="4"/>
  <c r="AV2005" i="4"/>
  <c r="AP2005" i="4"/>
  <c r="AO2005" i="4"/>
  <c r="AN2005" i="4"/>
  <c r="AM2005" i="4"/>
  <c r="BH2005" i="4"/>
  <c r="AX2004" i="4"/>
  <c r="AW2004" i="4"/>
  <c r="AV2004" i="4"/>
  <c r="AP2004" i="4"/>
  <c r="AO2004" i="4"/>
  <c r="AN2004" i="4"/>
  <c r="AM2004" i="4"/>
  <c r="BH2004" i="4"/>
  <c r="AX2003" i="4"/>
  <c r="AW2003" i="4"/>
  <c r="AV2003" i="4"/>
  <c r="AP2003" i="4"/>
  <c r="AO2003" i="4"/>
  <c r="AN2003" i="4"/>
  <c r="AM2003" i="4"/>
  <c r="BH2003" i="4"/>
  <c r="AX2002" i="4"/>
  <c r="AW2002" i="4"/>
  <c r="AV2002" i="4"/>
  <c r="AP2002" i="4"/>
  <c r="AO2002" i="4"/>
  <c r="AN2002" i="4"/>
  <c r="AM2002" i="4"/>
  <c r="BH2002" i="4"/>
  <c r="AX2001" i="4"/>
  <c r="AW2001" i="4"/>
  <c r="AV2001" i="4"/>
  <c r="AP2001" i="4"/>
  <c r="AO2001" i="4"/>
  <c r="AN2001" i="4"/>
  <c r="AM2001" i="4"/>
  <c r="BH2001" i="4"/>
  <c r="AX2000" i="4"/>
  <c r="AW2000" i="4"/>
  <c r="AV2000" i="4"/>
  <c r="AP2000" i="4"/>
  <c r="AO2000" i="4"/>
  <c r="AN2000" i="4"/>
  <c r="AM2000" i="4"/>
  <c r="BH2000" i="4"/>
  <c r="AX1999" i="4"/>
  <c r="AW1999" i="4"/>
  <c r="AV1999" i="4"/>
  <c r="AP1999" i="4"/>
  <c r="AO1999" i="4"/>
  <c r="AN1999" i="4"/>
  <c r="AM1999" i="4"/>
  <c r="BH1999" i="4"/>
  <c r="AX1998" i="4"/>
  <c r="AW1998" i="4"/>
  <c r="AV1998" i="4"/>
  <c r="AP1998" i="4"/>
  <c r="AO1998" i="4"/>
  <c r="AN1998" i="4"/>
  <c r="AM1998" i="4"/>
  <c r="BH1998" i="4"/>
  <c r="AX1997" i="4"/>
  <c r="AW1997" i="4"/>
  <c r="AV1997" i="4"/>
  <c r="AP1997" i="4"/>
  <c r="AO1997" i="4"/>
  <c r="AN1997" i="4"/>
  <c r="AM1997" i="4"/>
  <c r="BH1997" i="4"/>
  <c r="AX1996" i="4"/>
  <c r="AW1996" i="4"/>
  <c r="AV1996" i="4"/>
  <c r="AP1996" i="4"/>
  <c r="AO1996" i="4"/>
  <c r="AN1996" i="4"/>
  <c r="AM1996" i="4"/>
  <c r="BH1996" i="4"/>
  <c r="AX1995" i="4"/>
  <c r="AW1995" i="4"/>
  <c r="AV1995" i="4"/>
  <c r="AP1995" i="4"/>
  <c r="AO1995" i="4"/>
  <c r="AN1995" i="4"/>
  <c r="AM1995" i="4"/>
  <c r="BH1995" i="4"/>
  <c r="AX1994" i="4"/>
  <c r="AW1994" i="4"/>
  <c r="AV1994" i="4"/>
  <c r="AP1994" i="4"/>
  <c r="AO1994" i="4"/>
  <c r="AN1994" i="4"/>
  <c r="AM1994" i="4"/>
  <c r="BH1994" i="4"/>
  <c r="AX1993" i="4"/>
  <c r="AW1993" i="4"/>
  <c r="AV1993" i="4"/>
  <c r="AP1993" i="4"/>
  <c r="AO1993" i="4"/>
  <c r="AN1993" i="4"/>
  <c r="AM1993" i="4"/>
  <c r="BH1993" i="4"/>
  <c r="AX1992" i="4"/>
  <c r="AW1992" i="4"/>
  <c r="AV1992" i="4"/>
  <c r="AP1992" i="4"/>
  <c r="AO1992" i="4"/>
  <c r="AN1992" i="4"/>
  <c r="AM1992" i="4"/>
  <c r="BH1992" i="4"/>
  <c r="AX1991" i="4"/>
  <c r="AW1991" i="4"/>
  <c r="AV1991" i="4"/>
  <c r="AP1991" i="4"/>
  <c r="AO1991" i="4"/>
  <c r="AN1991" i="4"/>
  <c r="AM1991" i="4"/>
  <c r="BH1991" i="4"/>
  <c r="AX1990" i="4"/>
  <c r="AW1990" i="4"/>
  <c r="AV1990" i="4"/>
  <c r="AP1990" i="4"/>
  <c r="AO1990" i="4"/>
  <c r="AN1990" i="4"/>
  <c r="AM1990" i="4"/>
  <c r="BH1990" i="4"/>
  <c r="AX1989" i="4"/>
  <c r="AW1989" i="4"/>
  <c r="AV1989" i="4"/>
  <c r="AP1989" i="4"/>
  <c r="AO1989" i="4"/>
  <c r="AN1989" i="4"/>
  <c r="AM1989" i="4"/>
  <c r="BH1989" i="4"/>
  <c r="AX1988" i="4"/>
  <c r="AW1988" i="4"/>
  <c r="AV1988" i="4"/>
  <c r="AP1988" i="4"/>
  <c r="AO1988" i="4"/>
  <c r="AN1988" i="4"/>
  <c r="AM1988" i="4"/>
  <c r="BH1988" i="4"/>
  <c r="AX1987" i="4"/>
  <c r="AW1987" i="4"/>
  <c r="AV1987" i="4"/>
  <c r="AP1987" i="4"/>
  <c r="AO1987" i="4"/>
  <c r="AN1987" i="4"/>
  <c r="AM1987" i="4"/>
  <c r="BH1987" i="4"/>
  <c r="AX1986" i="4"/>
  <c r="AW1986" i="4"/>
  <c r="AV1986" i="4"/>
  <c r="AP1986" i="4"/>
  <c r="AO1986" i="4"/>
  <c r="AN1986" i="4"/>
  <c r="AM1986" i="4"/>
  <c r="BH1986" i="4"/>
  <c r="AX1985" i="4"/>
  <c r="AW1985" i="4"/>
  <c r="AV1985" i="4"/>
  <c r="AP1985" i="4"/>
  <c r="AO1985" i="4"/>
  <c r="AN1985" i="4"/>
  <c r="AM1985" i="4"/>
  <c r="BH1985" i="4"/>
  <c r="AX1984" i="4"/>
  <c r="AW1984" i="4"/>
  <c r="AV1984" i="4"/>
  <c r="AP1984" i="4"/>
  <c r="AO1984" i="4"/>
  <c r="AN1984" i="4"/>
  <c r="AM1984" i="4"/>
  <c r="BH1984" i="4"/>
  <c r="AX1983" i="4"/>
  <c r="AW1983" i="4"/>
  <c r="AV1983" i="4"/>
  <c r="AP1983" i="4"/>
  <c r="AO1983" i="4"/>
  <c r="AN1983" i="4"/>
  <c r="AM1983" i="4"/>
  <c r="BH1983" i="4"/>
  <c r="AX1982" i="4"/>
  <c r="AW1982" i="4"/>
  <c r="AV1982" i="4"/>
  <c r="AP1982" i="4"/>
  <c r="AO1982" i="4"/>
  <c r="AN1982" i="4"/>
  <c r="AM1982" i="4"/>
  <c r="BH1982" i="4"/>
  <c r="AX1981" i="4"/>
  <c r="AW1981" i="4"/>
  <c r="AV1981" i="4"/>
  <c r="AP1981" i="4"/>
  <c r="AO1981" i="4"/>
  <c r="AN1981" i="4"/>
  <c r="AM1981" i="4"/>
  <c r="BH1981" i="4"/>
  <c r="AX1980" i="4"/>
  <c r="AW1980" i="4"/>
  <c r="AV1980" i="4"/>
  <c r="AP1980" i="4"/>
  <c r="AO1980" i="4"/>
  <c r="AN1980" i="4"/>
  <c r="AM1980" i="4"/>
  <c r="BH1980" i="4"/>
  <c r="AX1979" i="4"/>
  <c r="AW1979" i="4"/>
  <c r="AV1979" i="4"/>
  <c r="AP1979" i="4"/>
  <c r="AO1979" i="4"/>
  <c r="AN1979" i="4"/>
  <c r="AM1979" i="4"/>
  <c r="BH1979" i="4"/>
  <c r="AX1978" i="4"/>
  <c r="AW1978" i="4"/>
  <c r="AV1978" i="4"/>
  <c r="AP1978" i="4"/>
  <c r="AO1978" i="4"/>
  <c r="AN1978" i="4"/>
  <c r="AM1978" i="4"/>
  <c r="BH1978" i="4"/>
  <c r="AX1977" i="4"/>
  <c r="AW1977" i="4"/>
  <c r="AV1977" i="4"/>
  <c r="AP1977" i="4"/>
  <c r="AO1977" i="4"/>
  <c r="AN1977" i="4"/>
  <c r="AM1977" i="4"/>
  <c r="BH1977" i="4"/>
  <c r="AX1976" i="4"/>
  <c r="AW1976" i="4"/>
  <c r="AV1976" i="4"/>
  <c r="AP1976" i="4"/>
  <c r="AO1976" i="4"/>
  <c r="AN1976" i="4"/>
  <c r="AM1976" i="4"/>
  <c r="BH1976" i="4"/>
  <c r="AX1975" i="4"/>
  <c r="AW1975" i="4"/>
  <c r="AV1975" i="4"/>
  <c r="AP1975" i="4"/>
  <c r="AO1975" i="4"/>
  <c r="AN1975" i="4"/>
  <c r="AM1975" i="4"/>
  <c r="BH1975" i="4"/>
  <c r="AX1974" i="4"/>
  <c r="AW1974" i="4"/>
  <c r="AV1974" i="4"/>
  <c r="AP1974" i="4"/>
  <c r="AO1974" i="4"/>
  <c r="AN1974" i="4"/>
  <c r="AM1974" i="4"/>
  <c r="BH1974" i="4"/>
  <c r="AX1973" i="4"/>
  <c r="AW1973" i="4"/>
  <c r="AV1973" i="4"/>
  <c r="AP1973" i="4"/>
  <c r="AO1973" i="4"/>
  <c r="AN1973" i="4"/>
  <c r="AM1973" i="4"/>
  <c r="BH1973" i="4"/>
  <c r="AX1972" i="4"/>
  <c r="AW1972" i="4"/>
  <c r="AV1972" i="4"/>
  <c r="AP1972" i="4"/>
  <c r="AO1972" i="4"/>
  <c r="AN1972" i="4"/>
  <c r="AM1972" i="4"/>
  <c r="BH1972" i="4"/>
  <c r="AX1971" i="4"/>
  <c r="AW1971" i="4"/>
  <c r="AV1971" i="4"/>
  <c r="AP1971" i="4"/>
  <c r="AO1971" i="4"/>
  <c r="AN1971" i="4"/>
  <c r="AM1971" i="4"/>
  <c r="BH1971" i="4"/>
  <c r="AX1970" i="4"/>
  <c r="AW1970" i="4"/>
  <c r="AV1970" i="4"/>
  <c r="AP1970" i="4"/>
  <c r="AO1970" i="4"/>
  <c r="AN1970" i="4"/>
  <c r="AM1970" i="4"/>
  <c r="BH1970" i="4"/>
  <c r="AX1969" i="4"/>
  <c r="AW1969" i="4"/>
  <c r="AV1969" i="4"/>
  <c r="AP1969" i="4"/>
  <c r="AO1969" i="4"/>
  <c r="AN1969" i="4"/>
  <c r="AM1969" i="4"/>
  <c r="BH1969" i="4"/>
  <c r="AX1968" i="4"/>
  <c r="AW1968" i="4"/>
  <c r="AV1968" i="4"/>
  <c r="AP1968" i="4"/>
  <c r="AO1968" i="4"/>
  <c r="AN1968" i="4"/>
  <c r="AM1968" i="4"/>
  <c r="BH1968" i="4"/>
  <c r="AX1967" i="4"/>
  <c r="AW1967" i="4"/>
  <c r="AV1967" i="4"/>
  <c r="AP1967" i="4"/>
  <c r="AO1967" i="4"/>
  <c r="AN1967" i="4"/>
  <c r="AM1967" i="4"/>
  <c r="BH1967" i="4"/>
  <c r="AX1966" i="4"/>
  <c r="AW1966" i="4"/>
  <c r="AV1966" i="4"/>
  <c r="AP1966" i="4"/>
  <c r="AO1966" i="4"/>
  <c r="AN1966" i="4"/>
  <c r="AM1966" i="4"/>
  <c r="BH1966" i="4"/>
  <c r="AX1965" i="4"/>
  <c r="AW1965" i="4"/>
  <c r="AV1965" i="4"/>
  <c r="AP1965" i="4"/>
  <c r="AO1965" i="4"/>
  <c r="AN1965" i="4"/>
  <c r="AM1965" i="4"/>
  <c r="BH1965" i="4"/>
  <c r="AX1964" i="4"/>
  <c r="AW1964" i="4"/>
  <c r="AV1964" i="4"/>
  <c r="AP1964" i="4"/>
  <c r="AO1964" i="4"/>
  <c r="AN1964" i="4"/>
  <c r="AM1964" i="4"/>
  <c r="BH1964" i="4"/>
  <c r="AX1963" i="4"/>
  <c r="AW1963" i="4"/>
  <c r="AV1963" i="4"/>
  <c r="AP1963" i="4"/>
  <c r="AO1963" i="4"/>
  <c r="AN1963" i="4"/>
  <c r="AM1963" i="4"/>
  <c r="BH1963" i="4"/>
  <c r="AX1962" i="4"/>
  <c r="AW1962" i="4"/>
  <c r="AV1962" i="4"/>
  <c r="AP1962" i="4"/>
  <c r="AO1962" i="4"/>
  <c r="AN1962" i="4"/>
  <c r="AM1962" i="4"/>
  <c r="BH1962" i="4"/>
  <c r="AX1961" i="4"/>
  <c r="AW1961" i="4"/>
  <c r="AV1961" i="4"/>
  <c r="AP1961" i="4"/>
  <c r="AO1961" i="4"/>
  <c r="AN1961" i="4"/>
  <c r="AM1961" i="4"/>
  <c r="BH1961" i="4"/>
  <c r="AX1960" i="4"/>
  <c r="AW1960" i="4"/>
  <c r="AV1960" i="4"/>
  <c r="AP1960" i="4"/>
  <c r="AO1960" i="4"/>
  <c r="AN1960" i="4"/>
  <c r="AM1960" i="4"/>
  <c r="BH1960" i="4"/>
  <c r="AX1959" i="4"/>
  <c r="AW1959" i="4"/>
  <c r="AV1959" i="4"/>
  <c r="AP1959" i="4"/>
  <c r="AO1959" i="4"/>
  <c r="AN1959" i="4"/>
  <c r="AM1959" i="4"/>
  <c r="BH1959" i="4"/>
  <c r="AX1958" i="4"/>
  <c r="AW1958" i="4"/>
  <c r="AV1958" i="4"/>
  <c r="AP1958" i="4"/>
  <c r="AO1958" i="4"/>
  <c r="AN1958" i="4"/>
  <c r="AM1958" i="4"/>
  <c r="BH1958" i="4"/>
  <c r="AX1957" i="4"/>
  <c r="AW1957" i="4"/>
  <c r="AV1957" i="4"/>
  <c r="AP1957" i="4"/>
  <c r="AO1957" i="4"/>
  <c r="AN1957" i="4"/>
  <c r="AM1957" i="4"/>
  <c r="BH1957" i="4"/>
  <c r="AX1956" i="4"/>
  <c r="AW1956" i="4"/>
  <c r="AV1956" i="4"/>
  <c r="AP1956" i="4"/>
  <c r="AO1956" i="4"/>
  <c r="AN1956" i="4"/>
  <c r="AM1956" i="4"/>
  <c r="BH1956" i="4"/>
  <c r="AX1955" i="4"/>
  <c r="AW1955" i="4"/>
  <c r="AV1955" i="4"/>
  <c r="AP1955" i="4"/>
  <c r="AO1955" i="4"/>
  <c r="AN1955" i="4"/>
  <c r="AM1955" i="4"/>
  <c r="BH1955" i="4"/>
  <c r="AX1954" i="4"/>
  <c r="AW1954" i="4"/>
  <c r="AV1954" i="4"/>
  <c r="AP1954" i="4"/>
  <c r="AO1954" i="4"/>
  <c r="AN1954" i="4"/>
  <c r="AM1954" i="4"/>
  <c r="BH1954" i="4"/>
  <c r="AX1953" i="4"/>
  <c r="AW1953" i="4"/>
  <c r="AV1953" i="4"/>
  <c r="AP1953" i="4"/>
  <c r="AO1953" i="4"/>
  <c r="AN1953" i="4"/>
  <c r="AM1953" i="4"/>
  <c r="BH1953" i="4"/>
  <c r="AX1952" i="4"/>
  <c r="AW1952" i="4"/>
  <c r="AV1952" i="4"/>
  <c r="AP1952" i="4"/>
  <c r="AO1952" i="4"/>
  <c r="AN1952" i="4"/>
  <c r="AM1952" i="4"/>
  <c r="BH1952" i="4"/>
  <c r="AX1951" i="4"/>
  <c r="AW1951" i="4"/>
  <c r="AV1951" i="4"/>
  <c r="AP1951" i="4"/>
  <c r="AO1951" i="4"/>
  <c r="AN1951" i="4"/>
  <c r="AM1951" i="4"/>
  <c r="BH1951" i="4"/>
  <c r="AX1950" i="4"/>
  <c r="AW1950" i="4"/>
  <c r="AV1950" i="4"/>
  <c r="AP1950" i="4"/>
  <c r="AO1950" i="4"/>
  <c r="AN1950" i="4"/>
  <c r="AM1950" i="4"/>
  <c r="BH1950" i="4"/>
  <c r="AX1949" i="4"/>
  <c r="AW1949" i="4"/>
  <c r="AV1949" i="4"/>
  <c r="AP1949" i="4"/>
  <c r="AO1949" i="4"/>
  <c r="AN1949" i="4"/>
  <c r="AM1949" i="4"/>
  <c r="BH1949" i="4"/>
  <c r="AX1948" i="4"/>
  <c r="AW1948" i="4"/>
  <c r="AV1948" i="4"/>
  <c r="AP1948" i="4"/>
  <c r="AO1948" i="4"/>
  <c r="AN1948" i="4"/>
  <c r="AM1948" i="4"/>
  <c r="BH1948" i="4"/>
  <c r="AX1947" i="4"/>
  <c r="AW1947" i="4"/>
  <c r="AV1947" i="4"/>
  <c r="AP1947" i="4"/>
  <c r="AO1947" i="4"/>
  <c r="AN1947" i="4"/>
  <c r="AM1947" i="4"/>
  <c r="BH1947" i="4"/>
  <c r="AX1946" i="4"/>
  <c r="AW1946" i="4"/>
  <c r="AV1946" i="4"/>
  <c r="AP1946" i="4"/>
  <c r="AO1946" i="4"/>
  <c r="AN1946" i="4"/>
  <c r="AM1946" i="4"/>
  <c r="BH1946" i="4"/>
  <c r="AX1945" i="4"/>
  <c r="AW1945" i="4"/>
  <c r="AV1945" i="4"/>
  <c r="AP1945" i="4"/>
  <c r="AO1945" i="4"/>
  <c r="AN1945" i="4"/>
  <c r="AM1945" i="4"/>
  <c r="BH1945" i="4"/>
  <c r="AX1944" i="4"/>
  <c r="AW1944" i="4"/>
  <c r="AV1944" i="4"/>
  <c r="AP1944" i="4"/>
  <c r="AO1944" i="4"/>
  <c r="AN1944" i="4"/>
  <c r="AM1944" i="4"/>
  <c r="BH1944" i="4"/>
  <c r="AX1943" i="4"/>
  <c r="AW1943" i="4"/>
  <c r="AV1943" i="4"/>
  <c r="AP1943" i="4"/>
  <c r="AO1943" i="4"/>
  <c r="AN1943" i="4"/>
  <c r="AM1943" i="4"/>
  <c r="BH1943" i="4"/>
  <c r="AX1942" i="4"/>
  <c r="AW1942" i="4"/>
  <c r="AV1942" i="4"/>
  <c r="AP1942" i="4"/>
  <c r="AO1942" i="4"/>
  <c r="AN1942" i="4"/>
  <c r="AM1942" i="4"/>
  <c r="BH1942" i="4"/>
  <c r="AX1941" i="4"/>
  <c r="AW1941" i="4"/>
  <c r="AV1941" i="4"/>
  <c r="AP1941" i="4"/>
  <c r="AO1941" i="4"/>
  <c r="AN1941" i="4"/>
  <c r="AM1941" i="4"/>
  <c r="BH1941" i="4"/>
  <c r="AX1940" i="4"/>
  <c r="AW1940" i="4"/>
  <c r="AV1940" i="4"/>
  <c r="AP1940" i="4"/>
  <c r="AO1940" i="4"/>
  <c r="AN1940" i="4"/>
  <c r="AM1940" i="4"/>
  <c r="BH1940" i="4"/>
  <c r="AX1939" i="4"/>
  <c r="AW1939" i="4"/>
  <c r="AV1939" i="4"/>
  <c r="AP1939" i="4"/>
  <c r="AO1939" i="4"/>
  <c r="AN1939" i="4"/>
  <c r="AM1939" i="4"/>
  <c r="BH1939" i="4"/>
  <c r="AX1938" i="4"/>
  <c r="AW1938" i="4"/>
  <c r="AV1938" i="4"/>
  <c r="AP1938" i="4"/>
  <c r="AO1938" i="4"/>
  <c r="AN1938" i="4"/>
  <c r="AM1938" i="4"/>
  <c r="BH1938" i="4"/>
  <c r="AX1937" i="4"/>
  <c r="AW1937" i="4"/>
  <c r="AV1937" i="4"/>
  <c r="AP1937" i="4"/>
  <c r="AO1937" i="4"/>
  <c r="AN1937" i="4"/>
  <c r="AM1937" i="4"/>
  <c r="BH1937" i="4"/>
  <c r="AX1936" i="4"/>
  <c r="AW1936" i="4"/>
  <c r="AV1936" i="4"/>
  <c r="AP1936" i="4"/>
  <c r="AO1936" i="4"/>
  <c r="AN1936" i="4"/>
  <c r="AM1936" i="4"/>
  <c r="BH1936" i="4"/>
  <c r="AX1935" i="4"/>
  <c r="AW1935" i="4"/>
  <c r="AV1935" i="4"/>
  <c r="AP1935" i="4"/>
  <c r="AO1935" i="4"/>
  <c r="AN1935" i="4"/>
  <c r="AM1935" i="4"/>
  <c r="BH1935" i="4"/>
  <c r="AX1934" i="4"/>
  <c r="AW1934" i="4"/>
  <c r="AV1934" i="4"/>
  <c r="AP1934" i="4"/>
  <c r="AO1934" i="4"/>
  <c r="AN1934" i="4"/>
  <c r="AM1934" i="4"/>
  <c r="BH1934" i="4"/>
  <c r="AX1933" i="4"/>
  <c r="AW1933" i="4"/>
  <c r="AV1933" i="4"/>
  <c r="AP1933" i="4"/>
  <c r="AO1933" i="4"/>
  <c r="AN1933" i="4"/>
  <c r="AM1933" i="4"/>
  <c r="BH1933" i="4"/>
  <c r="AX1932" i="4"/>
  <c r="AW1932" i="4"/>
  <c r="AV1932" i="4"/>
  <c r="AP1932" i="4"/>
  <c r="AO1932" i="4"/>
  <c r="AN1932" i="4"/>
  <c r="AM1932" i="4"/>
  <c r="BH1932" i="4"/>
  <c r="AX1931" i="4"/>
  <c r="AW1931" i="4"/>
  <c r="AV1931" i="4"/>
  <c r="AP1931" i="4"/>
  <c r="AO1931" i="4"/>
  <c r="AN1931" i="4"/>
  <c r="AM1931" i="4"/>
  <c r="BH1931" i="4"/>
  <c r="AX1930" i="4"/>
  <c r="AW1930" i="4"/>
  <c r="AV1930" i="4"/>
  <c r="AP1930" i="4"/>
  <c r="AO1930" i="4"/>
  <c r="AN1930" i="4"/>
  <c r="AM1930" i="4"/>
  <c r="BH1930" i="4"/>
  <c r="AX1929" i="4"/>
  <c r="AW1929" i="4"/>
  <c r="AV1929" i="4"/>
  <c r="AP1929" i="4"/>
  <c r="AO1929" i="4"/>
  <c r="AN1929" i="4"/>
  <c r="AM1929" i="4"/>
  <c r="BH1929" i="4"/>
  <c r="AX1928" i="4"/>
  <c r="AW1928" i="4"/>
  <c r="AV1928" i="4"/>
  <c r="AP1928" i="4"/>
  <c r="AO1928" i="4"/>
  <c r="AN1928" i="4"/>
  <c r="AM1928" i="4"/>
  <c r="BH1928" i="4"/>
  <c r="AX1927" i="4"/>
  <c r="AW1927" i="4"/>
  <c r="AV1927" i="4"/>
  <c r="AP1927" i="4"/>
  <c r="AO1927" i="4"/>
  <c r="AN1927" i="4"/>
  <c r="AM1927" i="4"/>
  <c r="BH1927" i="4"/>
  <c r="AX1926" i="4"/>
  <c r="AW1926" i="4"/>
  <c r="AV1926" i="4"/>
  <c r="AP1926" i="4"/>
  <c r="AO1926" i="4"/>
  <c r="AN1926" i="4"/>
  <c r="AM1926" i="4"/>
  <c r="BH1926" i="4"/>
  <c r="AX1925" i="4"/>
  <c r="AW1925" i="4"/>
  <c r="AV1925" i="4"/>
  <c r="AP1925" i="4"/>
  <c r="AO1925" i="4"/>
  <c r="AN1925" i="4"/>
  <c r="AM1925" i="4"/>
  <c r="BH1925" i="4"/>
  <c r="AX1924" i="4"/>
  <c r="AW1924" i="4"/>
  <c r="AV1924" i="4"/>
  <c r="AP1924" i="4"/>
  <c r="AO1924" i="4"/>
  <c r="AN1924" i="4"/>
  <c r="AM1924" i="4"/>
  <c r="BH1924" i="4"/>
  <c r="AX1923" i="4"/>
  <c r="AW1923" i="4"/>
  <c r="AV1923" i="4"/>
  <c r="AP1923" i="4"/>
  <c r="AO1923" i="4"/>
  <c r="AN1923" i="4"/>
  <c r="AM1923" i="4"/>
  <c r="BH1923" i="4"/>
  <c r="AX1922" i="4"/>
  <c r="AW1922" i="4"/>
  <c r="AV1922" i="4"/>
  <c r="AP1922" i="4"/>
  <c r="AO1922" i="4"/>
  <c r="AN1922" i="4"/>
  <c r="AM1922" i="4"/>
  <c r="BH1922" i="4"/>
  <c r="AX1921" i="4"/>
  <c r="AW1921" i="4"/>
  <c r="AV1921" i="4"/>
  <c r="AP1921" i="4"/>
  <c r="AO1921" i="4"/>
  <c r="AN1921" i="4"/>
  <c r="AM1921" i="4"/>
  <c r="BH1921" i="4"/>
  <c r="AX1920" i="4"/>
  <c r="AW1920" i="4"/>
  <c r="AV1920" i="4"/>
  <c r="AP1920" i="4"/>
  <c r="AO1920" i="4"/>
  <c r="AN1920" i="4"/>
  <c r="AM1920" i="4"/>
  <c r="BH1920" i="4"/>
  <c r="AX1919" i="4"/>
  <c r="AW1919" i="4"/>
  <c r="AV1919" i="4"/>
  <c r="AP1919" i="4"/>
  <c r="AO1919" i="4"/>
  <c r="AN1919" i="4"/>
  <c r="AM1919" i="4"/>
  <c r="BH1919" i="4"/>
  <c r="AX1918" i="4"/>
  <c r="AW1918" i="4"/>
  <c r="AV1918" i="4"/>
  <c r="AP1918" i="4"/>
  <c r="AO1918" i="4"/>
  <c r="AN1918" i="4"/>
  <c r="AM1918" i="4"/>
  <c r="BH1918" i="4"/>
  <c r="AX1917" i="4"/>
  <c r="AW1917" i="4"/>
  <c r="AV1917" i="4"/>
  <c r="AP1917" i="4"/>
  <c r="AO1917" i="4"/>
  <c r="AN1917" i="4"/>
  <c r="AM1917" i="4"/>
  <c r="BH1917" i="4"/>
  <c r="AX1916" i="4"/>
  <c r="AW1916" i="4"/>
  <c r="AV1916" i="4"/>
  <c r="AP1916" i="4"/>
  <c r="AO1916" i="4"/>
  <c r="AN1916" i="4"/>
  <c r="AM1916" i="4"/>
  <c r="BH1916" i="4"/>
  <c r="AX1915" i="4"/>
  <c r="AW1915" i="4"/>
  <c r="AV1915" i="4"/>
  <c r="AP1915" i="4"/>
  <c r="AO1915" i="4"/>
  <c r="AN1915" i="4"/>
  <c r="AM1915" i="4"/>
  <c r="BH1915" i="4"/>
  <c r="AX1914" i="4"/>
  <c r="AW1914" i="4"/>
  <c r="AV1914" i="4"/>
  <c r="AP1914" i="4"/>
  <c r="AO1914" i="4"/>
  <c r="AN1914" i="4"/>
  <c r="AM1914" i="4"/>
  <c r="BH1914" i="4"/>
  <c r="AX1913" i="4"/>
  <c r="AW1913" i="4"/>
  <c r="AV1913" i="4"/>
  <c r="AP1913" i="4"/>
  <c r="AO1913" i="4"/>
  <c r="AN1913" i="4"/>
  <c r="AM1913" i="4"/>
  <c r="BH1913" i="4"/>
  <c r="AX1912" i="4"/>
  <c r="AW1912" i="4"/>
  <c r="AV1912" i="4"/>
  <c r="AP1912" i="4"/>
  <c r="AO1912" i="4"/>
  <c r="AN1912" i="4"/>
  <c r="AM1912" i="4"/>
  <c r="BH1912" i="4"/>
  <c r="AX1911" i="4"/>
  <c r="AW1911" i="4"/>
  <c r="AV1911" i="4"/>
  <c r="AP1911" i="4"/>
  <c r="AO1911" i="4"/>
  <c r="AN1911" i="4"/>
  <c r="AM1911" i="4"/>
  <c r="BH1911" i="4"/>
  <c r="AX1910" i="4"/>
  <c r="AW1910" i="4"/>
  <c r="AV1910" i="4"/>
  <c r="AP1910" i="4"/>
  <c r="AO1910" i="4"/>
  <c r="AN1910" i="4"/>
  <c r="AM1910" i="4"/>
  <c r="BH1910" i="4"/>
  <c r="AX1909" i="4"/>
  <c r="AW1909" i="4"/>
  <c r="AV1909" i="4"/>
  <c r="AP1909" i="4"/>
  <c r="AO1909" i="4"/>
  <c r="AN1909" i="4"/>
  <c r="AM1909" i="4"/>
  <c r="BH1909" i="4"/>
  <c r="AX1908" i="4"/>
  <c r="AW1908" i="4"/>
  <c r="AV1908" i="4"/>
  <c r="AP1908" i="4"/>
  <c r="AO1908" i="4"/>
  <c r="AN1908" i="4"/>
  <c r="AM1908" i="4"/>
  <c r="BH1908" i="4"/>
  <c r="AX1907" i="4"/>
  <c r="AW1907" i="4"/>
  <c r="AV1907" i="4"/>
  <c r="AP1907" i="4"/>
  <c r="AO1907" i="4"/>
  <c r="AN1907" i="4"/>
  <c r="AM1907" i="4"/>
  <c r="BH1907" i="4"/>
  <c r="AX1906" i="4"/>
  <c r="AW1906" i="4"/>
  <c r="AV1906" i="4"/>
  <c r="AP1906" i="4"/>
  <c r="AO1906" i="4"/>
  <c r="AN1906" i="4"/>
  <c r="AM1906" i="4"/>
  <c r="BH1906" i="4"/>
  <c r="AX1905" i="4"/>
  <c r="AW1905" i="4"/>
  <c r="AV1905" i="4"/>
  <c r="AP1905" i="4"/>
  <c r="AO1905" i="4"/>
  <c r="AN1905" i="4"/>
  <c r="AM1905" i="4"/>
  <c r="BH1905" i="4"/>
  <c r="AX1904" i="4"/>
  <c r="AW1904" i="4"/>
  <c r="AV1904" i="4"/>
  <c r="AP1904" i="4"/>
  <c r="AO1904" i="4"/>
  <c r="AN1904" i="4"/>
  <c r="AM1904" i="4"/>
  <c r="BH1904" i="4"/>
  <c r="AX1903" i="4"/>
  <c r="AW1903" i="4"/>
  <c r="AV1903" i="4"/>
  <c r="AP1903" i="4"/>
  <c r="AO1903" i="4"/>
  <c r="AN1903" i="4"/>
  <c r="AM1903" i="4"/>
  <c r="BH1903" i="4"/>
  <c r="AX1902" i="4"/>
  <c r="AW1902" i="4"/>
  <c r="AV1902" i="4"/>
  <c r="AP1902" i="4"/>
  <c r="AO1902" i="4"/>
  <c r="AN1902" i="4"/>
  <c r="AM1902" i="4"/>
  <c r="BH1902" i="4"/>
  <c r="AX1901" i="4"/>
  <c r="AW1901" i="4"/>
  <c r="AV1901" i="4"/>
  <c r="AP1901" i="4"/>
  <c r="AO1901" i="4"/>
  <c r="AN1901" i="4"/>
  <c r="AM1901" i="4"/>
  <c r="BH1901" i="4"/>
  <c r="AX1900" i="4"/>
  <c r="AW1900" i="4"/>
  <c r="AV1900" i="4"/>
  <c r="AP1900" i="4"/>
  <c r="AO1900" i="4"/>
  <c r="AN1900" i="4"/>
  <c r="AM1900" i="4"/>
  <c r="BH1900" i="4"/>
  <c r="AX1899" i="4"/>
  <c r="AW1899" i="4"/>
  <c r="AV1899" i="4"/>
  <c r="AP1899" i="4"/>
  <c r="AO1899" i="4"/>
  <c r="AN1899" i="4"/>
  <c r="AM1899" i="4"/>
  <c r="BH1899" i="4"/>
  <c r="AX1898" i="4"/>
  <c r="AW1898" i="4"/>
  <c r="AV1898" i="4"/>
  <c r="AP1898" i="4"/>
  <c r="AO1898" i="4"/>
  <c r="AN1898" i="4"/>
  <c r="AM1898" i="4"/>
  <c r="BH1898" i="4"/>
  <c r="AX1897" i="4"/>
  <c r="AW1897" i="4"/>
  <c r="AV1897" i="4"/>
  <c r="AP1897" i="4"/>
  <c r="AO1897" i="4"/>
  <c r="AN1897" i="4"/>
  <c r="AM1897" i="4"/>
  <c r="BH1897" i="4"/>
  <c r="AX1896" i="4"/>
  <c r="AW1896" i="4"/>
  <c r="AV1896" i="4"/>
  <c r="AP1896" i="4"/>
  <c r="AO1896" i="4"/>
  <c r="AN1896" i="4"/>
  <c r="AM1896" i="4"/>
  <c r="BH1896" i="4"/>
  <c r="AX1895" i="4"/>
  <c r="AW1895" i="4"/>
  <c r="AV1895" i="4"/>
  <c r="AP1895" i="4"/>
  <c r="AO1895" i="4"/>
  <c r="AN1895" i="4"/>
  <c r="AM1895" i="4"/>
  <c r="BH1895" i="4"/>
  <c r="AX1894" i="4"/>
  <c r="AW1894" i="4"/>
  <c r="AV1894" i="4"/>
  <c r="AP1894" i="4"/>
  <c r="AO1894" i="4"/>
  <c r="AN1894" i="4"/>
  <c r="AM1894" i="4"/>
  <c r="BH1894" i="4"/>
  <c r="AX1893" i="4"/>
  <c r="AW1893" i="4"/>
  <c r="AV1893" i="4"/>
  <c r="AP1893" i="4"/>
  <c r="AO1893" i="4"/>
  <c r="AN1893" i="4"/>
  <c r="AM1893" i="4"/>
  <c r="BH1893" i="4"/>
  <c r="AX1892" i="4"/>
  <c r="AW1892" i="4"/>
  <c r="AV1892" i="4"/>
  <c r="AP1892" i="4"/>
  <c r="AO1892" i="4"/>
  <c r="AN1892" i="4"/>
  <c r="AM1892" i="4"/>
  <c r="BH1892" i="4"/>
  <c r="AX1891" i="4"/>
  <c r="AW1891" i="4"/>
  <c r="AV1891" i="4"/>
  <c r="AP1891" i="4"/>
  <c r="AO1891" i="4"/>
  <c r="AN1891" i="4"/>
  <c r="AM1891" i="4"/>
  <c r="BH1891" i="4"/>
  <c r="AX1890" i="4"/>
  <c r="AW1890" i="4"/>
  <c r="AV1890" i="4"/>
  <c r="AP1890" i="4"/>
  <c r="AO1890" i="4"/>
  <c r="AN1890" i="4"/>
  <c r="AM1890" i="4"/>
  <c r="BH1890" i="4"/>
  <c r="AX1889" i="4"/>
  <c r="AW1889" i="4"/>
  <c r="AV1889" i="4"/>
  <c r="AP1889" i="4"/>
  <c r="AO1889" i="4"/>
  <c r="AN1889" i="4"/>
  <c r="AM1889" i="4"/>
  <c r="BH1889" i="4"/>
  <c r="AX1888" i="4"/>
  <c r="AW1888" i="4"/>
  <c r="AV1888" i="4"/>
  <c r="AP1888" i="4"/>
  <c r="AO1888" i="4"/>
  <c r="AN1888" i="4"/>
  <c r="AM1888" i="4"/>
  <c r="BH1888" i="4"/>
  <c r="AX1887" i="4"/>
  <c r="AW1887" i="4"/>
  <c r="AV1887" i="4"/>
  <c r="AP1887" i="4"/>
  <c r="AO1887" i="4"/>
  <c r="AN1887" i="4"/>
  <c r="AM1887" i="4"/>
  <c r="BH1887" i="4"/>
  <c r="AX1886" i="4"/>
  <c r="AW1886" i="4"/>
  <c r="AV1886" i="4"/>
  <c r="AP1886" i="4"/>
  <c r="AO1886" i="4"/>
  <c r="AN1886" i="4"/>
  <c r="AM1886" i="4"/>
  <c r="BH1886" i="4"/>
  <c r="AX1885" i="4"/>
  <c r="AW1885" i="4"/>
  <c r="AV1885" i="4"/>
  <c r="AP1885" i="4"/>
  <c r="AO1885" i="4"/>
  <c r="AN1885" i="4"/>
  <c r="AM1885" i="4"/>
  <c r="BH1885" i="4"/>
  <c r="AX1884" i="4"/>
  <c r="AW1884" i="4"/>
  <c r="AV1884" i="4"/>
  <c r="AP1884" i="4"/>
  <c r="AO1884" i="4"/>
  <c r="AN1884" i="4"/>
  <c r="AM1884" i="4"/>
  <c r="BH1884" i="4"/>
  <c r="AX1883" i="4"/>
  <c r="AW1883" i="4"/>
  <c r="AV1883" i="4"/>
  <c r="AP1883" i="4"/>
  <c r="AO1883" i="4"/>
  <c r="AN1883" i="4"/>
  <c r="AM1883" i="4"/>
  <c r="BH1883" i="4"/>
  <c r="AX1882" i="4"/>
  <c r="AW1882" i="4"/>
  <c r="AV1882" i="4"/>
  <c r="AP1882" i="4"/>
  <c r="AO1882" i="4"/>
  <c r="AN1882" i="4"/>
  <c r="AM1882" i="4"/>
  <c r="BH1882" i="4"/>
  <c r="AX1881" i="4"/>
  <c r="AW1881" i="4"/>
  <c r="AV1881" i="4"/>
  <c r="AP1881" i="4"/>
  <c r="AO1881" i="4"/>
  <c r="AN1881" i="4"/>
  <c r="AM1881" i="4"/>
  <c r="BH1881" i="4"/>
  <c r="AX1880" i="4"/>
  <c r="AW1880" i="4"/>
  <c r="AV1880" i="4"/>
  <c r="AP1880" i="4"/>
  <c r="AO1880" i="4"/>
  <c r="AN1880" i="4"/>
  <c r="AM1880" i="4"/>
  <c r="BH1880" i="4"/>
  <c r="AX1879" i="4"/>
  <c r="AW1879" i="4"/>
  <c r="AV1879" i="4"/>
  <c r="AP1879" i="4"/>
  <c r="AO1879" i="4"/>
  <c r="AN1879" i="4"/>
  <c r="AM1879" i="4"/>
  <c r="BH1879" i="4"/>
  <c r="AX1878" i="4"/>
  <c r="AW1878" i="4"/>
  <c r="AV1878" i="4"/>
  <c r="AP1878" i="4"/>
  <c r="AO1878" i="4"/>
  <c r="AN1878" i="4"/>
  <c r="AM1878" i="4"/>
  <c r="BH1878" i="4"/>
  <c r="AX1877" i="4"/>
  <c r="AW1877" i="4"/>
  <c r="AV1877" i="4"/>
  <c r="AP1877" i="4"/>
  <c r="AO1877" i="4"/>
  <c r="AN1877" i="4"/>
  <c r="AM1877" i="4"/>
  <c r="BH1877" i="4"/>
  <c r="AX1876" i="4"/>
  <c r="AW1876" i="4"/>
  <c r="AV1876" i="4"/>
  <c r="AP1876" i="4"/>
  <c r="AO1876" i="4"/>
  <c r="AN1876" i="4"/>
  <c r="AM1876" i="4"/>
  <c r="BH1876" i="4"/>
  <c r="AX1875" i="4"/>
  <c r="AW1875" i="4"/>
  <c r="AV1875" i="4"/>
  <c r="AP1875" i="4"/>
  <c r="AO1875" i="4"/>
  <c r="AN1875" i="4"/>
  <c r="AM1875" i="4"/>
  <c r="BH1875" i="4"/>
  <c r="AX1874" i="4"/>
  <c r="AW1874" i="4"/>
  <c r="AV1874" i="4"/>
  <c r="AP1874" i="4"/>
  <c r="AO1874" i="4"/>
  <c r="AN1874" i="4"/>
  <c r="AM1874" i="4"/>
  <c r="BH1874" i="4"/>
  <c r="AX1873" i="4"/>
  <c r="AW1873" i="4"/>
  <c r="AV1873" i="4"/>
  <c r="AP1873" i="4"/>
  <c r="AO1873" i="4"/>
  <c r="AN1873" i="4"/>
  <c r="AM1873" i="4"/>
  <c r="BH1873" i="4"/>
  <c r="AX1872" i="4"/>
  <c r="AW1872" i="4"/>
  <c r="AV1872" i="4"/>
  <c r="AP1872" i="4"/>
  <c r="AO1872" i="4"/>
  <c r="AN1872" i="4"/>
  <c r="AM1872" i="4"/>
  <c r="BH1872" i="4"/>
  <c r="AX1871" i="4"/>
  <c r="AW1871" i="4"/>
  <c r="AV1871" i="4"/>
  <c r="AP1871" i="4"/>
  <c r="AO1871" i="4"/>
  <c r="AN1871" i="4"/>
  <c r="AM1871" i="4"/>
  <c r="BH1871" i="4"/>
  <c r="AX1870" i="4"/>
  <c r="AW1870" i="4"/>
  <c r="AV1870" i="4"/>
  <c r="AP1870" i="4"/>
  <c r="AO1870" i="4"/>
  <c r="AN1870" i="4"/>
  <c r="AM1870" i="4"/>
  <c r="BH1870" i="4"/>
  <c r="AX1869" i="4"/>
  <c r="AW1869" i="4"/>
  <c r="AV1869" i="4"/>
  <c r="AP1869" i="4"/>
  <c r="AO1869" i="4"/>
  <c r="AN1869" i="4"/>
  <c r="AM1869" i="4"/>
  <c r="BH1869" i="4"/>
  <c r="AX1868" i="4"/>
  <c r="AW1868" i="4"/>
  <c r="AV1868" i="4"/>
  <c r="AP1868" i="4"/>
  <c r="AO1868" i="4"/>
  <c r="AN1868" i="4"/>
  <c r="AM1868" i="4"/>
  <c r="BH1868" i="4"/>
  <c r="AX1867" i="4"/>
  <c r="AW1867" i="4"/>
  <c r="AV1867" i="4"/>
  <c r="AP1867" i="4"/>
  <c r="AO1867" i="4"/>
  <c r="AN1867" i="4"/>
  <c r="AM1867" i="4"/>
  <c r="BH1867" i="4"/>
  <c r="AX1866" i="4"/>
  <c r="AW1866" i="4"/>
  <c r="AV1866" i="4"/>
  <c r="AP1866" i="4"/>
  <c r="AO1866" i="4"/>
  <c r="AN1866" i="4"/>
  <c r="AM1866" i="4"/>
  <c r="BH1866" i="4"/>
  <c r="AX1865" i="4"/>
  <c r="AW1865" i="4"/>
  <c r="AV1865" i="4"/>
  <c r="AP1865" i="4"/>
  <c r="AO1865" i="4"/>
  <c r="AN1865" i="4"/>
  <c r="AM1865" i="4"/>
  <c r="BH1865" i="4"/>
  <c r="AX1864" i="4"/>
  <c r="AW1864" i="4"/>
  <c r="AV1864" i="4"/>
  <c r="AP1864" i="4"/>
  <c r="AO1864" i="4"/>
  <c r="AN1864" i="4"/>
  <c r="AM1864" i="4"/>
  <c r="BH1864" i="4"/>
  <c r="AX1863" i="4"/>
  <c r="AW1863" i="4"/>
  <c r="AV1863" i="4"/>
  <c r="AP1863" i="4"/>
  <c r="AO1863" i="4"/>
  <c r="AN1863" i="4"/>
  <c r="AM1863" i="4"/>
  <c r="BH1863" i="4"/>
  <c r="AX1862" i="4"/>
  <c r="AW1862" i="4"/>
  <c r="AV1862" i="4"/>
  <c r="AP1862" i="4"/>
  <c r="AO1862" i="4"/>
  <c r="AN1862" i="4"/>
  <c r="AM1862" i="4"/>
  <c r="BH1862" i="4"/>
  <c r="AX1861" i="4"/>
  <c r="AW1861" i="4"/>
  <c r="AV1861" i="4"/>
  <c r="AP1861" i="4"/>
  <c r="AO1861" i="4"/>
  <c r="AN1861" i="4"/>
  <c r="AM1861" i="4"/>
  <c r="BH1861" i="4"/>
  <c r="AX1860" i="4"/>
  <c r="AW1860" i="4"/>
  <c r="AV1860" i="4"/>
  <c r="AP1860" i="4"/>
  <c r="AO1860" i="4"/>
  <c r="AN1860" i="4"/>
  <c r="AM1860" i="4"/>
  <c r="BH1860" i="4"/>
  <c r="AX1859" i="4"/>
  <c r="AW1859" i="4"/>
  <c r="AV1859" i="4"/>
  <c r="AP1859" i="4"/>
  <c r="AO1859" i="4"/>
  <c r="AN1859" i="4"/>
  <c r="AM1859" i="4"/>
  <c r="BH1859" i="4"/>
  <c r="AX1858" i="4"/>
  <c r="AW1858" i="4"/>
  <c r="AV1858" i="4"/>
  <c r="AP1858" i="4"/>
  <c r="AO1858" i="4"/>
  <c r="AN1858" i="4"/>
  <c r="AM1858" i="4"/>
  <c r="BH1858" i="4"/>
  <c r="AX1857" i="4"/>
  <c r="AW1857" i="4"/>
  <c r="AV1857" i="4"/>
  <c r="AP1857" i="4"/>
  <c r="AO1857" i="4"/>
  <c r="AN1857" i="4"/>
  <c r="AM1857" i="4"/>
  <c r="BH1857" i="4"/>
  <c r="AX1856" i="4"/>
  <c r="AW1856" i="4"/>
  <c r="AV1856" i="4"/>
  <c r="AP1856" i="4"/>
  <c r="AO1856" i="4"/>
  <c r="AN1856" i="4"/>
  <c r="AM1856" i="4"/>
  <c r="BH1856" i="4"/>
  <c r="AX1855" i="4"/>
  <c r="AW1855" i="4"/>
  <c r="AV1855" i="4"/>
  <c r="AP1855" i="4"/>
  <c r="AO1855" i="4"/>
  <c r="AN1855" i="4"/>
  <c r="AM1855" i="4"/>
  <c r="BH1855" i="4"/>
  <c r="AX1854" i="4"/>
  <c r="AW1854" i="4"/>
  <c r="AV1854" i="4"/>
  <c r="AP1854" i="4"/>
  <c r="AO1854" i="4"/>
  <c r="AN1854" i="4"/>
  <c r="AM1854" i="4"/>
  <c r="BH1854" i="4"/>
  <c r="AX1853" i="4"/>
  <c r="AW1853" i="4"/>
  <c r="AV1853" i="4"/>
  <c r="AP1853" i="4"/>
  <c r="AO1853" i="4"/>
  <c r="AN1853" i="4"/>
  <c r="AM1853" i="4"/>
  <c r="BH1853" i="4"/>
  <c r="AX1852" i="4"/>
  <c r="AW1852" i="4"/>
  <c r="AV1852" i="4"/>
  <c r="AP1852" i="4"/>
  <c r="AO1852" i="4"/>
  <c r="AN1852" i="4"/>
  <c r="AM1852" i="4"/>
  <c r="BH1852" i="4"/>
  <c r="AX1851" i="4"/>
  <c r="AW1851" i="4"/>
  <c r="AV1851" i="4"/>
  <c r="AP1851" i="4"/>
  <c r="AO1851" i="4"/>
  <c r="AN1851" i="4"/>
  <c r="AM1851" i="4"/>
  <c r="BH1851" i="4"/>
  <c r="AX1850" i="4"/>
  <c r="AW1850" i="4"/>
  <c r="AV1850" i="4"/>
  <c r="AP1850" i="4"/>
  <c r="AO1850" i="4"/>
  <c r="AN1850" i="4"/>
  <c r="AM1850" i="4"/>
  <c r="BH1850" i="4"/>
  <c r="AX1849" i="4"/>
  <c r="AW1849" i="4"/>
  <c r="AV1849" i="4"/>
  <c r="AP1849" i="4"/>
  <c r="AO1849" i="4"/>
  <c r="AN1849" i="4"/>
  <c r="AM1849" i="4"/>
  <c r="BH1849" i="4"/>
  <c r="AX1848" i="4"/>
  <c r="AW1848" i="4"/>
  <c r="AV1848" i="4"/>
  <c r="AP1848" i="4"/>
  <c r="AO1848" i="4"/>
  <c r="AN1848" i="4"/>
  <c r="AM1848" i="4"/>
  <c r="BH1848" i="4"/>
  <c r="AX1847" i="4"/>
  <c r="AW1847" i="4"/>
  <c r="AV1847" i="4"/>
  <c r="AP1847" i="4"/>
  <c r="AO1847" i="4"/>
  <c r="AN1847" i="4"/>
  <c r="AM1847" i="4"/>
  <c r="BH1847" i="4"/>
  <c r="AX1846" i="4"/>
  <c r="AW1846" i="4"/>
  <c r="AV1846" i="4"/>
  <c r="AP1846" i="4"/>
  <c r="AO1846" i="4"/>
  <c r="AN1846" i="4"/>
  <c r="AM1846" i="4"/>
  <c r="BH1846" i="4"/>
  <c r="AX1845" i="4"/>
  <c r="AW1845" i="4"/>
  <c r="AV1845" i="4"/>
  <c r="AP1845" i="4"/>
  <c r="AO1845" i="4"/>
  <c r="AN1845" i="4"/>
  <c r="AM1845" i="4"/>
  <c r="BH1845" i="4"/>
  <c r="AX1844" i="4"/>
  <c r="AW1844" i="4"/>
  <c r="AV1844" i="4"/>
  <c r="AP1844" i="4"/>
  <c r="AO1844" i="4"/>
  <c r="AN1844" i="4"/>
  <c r="AM1844" i="4"/>
  <c r="BH1844" i="4"/>
  <c r="AX1843" i="4"/>
  <c r="AW1843" i="4"/>
  <c r="AV1843" i="4"/>
  <c r="AP1843" i="4"/>
  <c r="AO1843" i="4"/>
  <c r="AN1843" i="4"/>
  <c r="AM1843" i="4"/>
  <c r="BH1843" i="4"/>
  <c r="AX1842" i="4"/>
  <c r="AW1842" i="4"/>
  <c r="AV1842" i="4"/>
  <c r="AP1842" i="4"/>
  <c r="AO1842" i="4"/>
  <c r="AN1842" i="4"/>
  <c r="AM1842" i="4"/>
  <c r="BH1842" i="4"/>
  <c r="AX1841" i="4"/>
  <c r="AW1841" i="4"/>
  <c r="AV1841" i="4"/>
  <c r="AP1841" i="4"/>
  <c r="AO1841" i="4"/>
  <c r="AN1841" i="4"/>
  <c r="AM1841" i="4"/>
  <c r="BH1841" i="4"/>
  <c r="AX1840" i="4"/>
  <c r="AW1840" i="4"/>
  <c r="AV1840" i="4"/>
  <c r="AP1840" i="4"/>
  <c r="AO1840" i="4"/>
  <c r="AN1840" i="4"/>
  <c r="AM1840" i="4"/>
  <c r="BH1840" i="4"/>
  <c r="AX1839" i="4"/>
  <c r="AW1839" i="4"/>
  <c r="AV1839" i="4"/>
  <c r="AP1839" i="4"/>
  <c r="AO1839" i="4"/>
  <c r="AN1839" i="4"/>
  <c r="AM1839" i="4"/>
  <c r="BH1839" i="4"/>
  <c r="AX1838" i="4"/>
  <c r="AW1838" i="4"/>
  <c r="AV1838" i="4"/>
  <c r="AP1838" i="4"/>
  <c r="AO1838" i="4"/>
  <c r="AN1838" i="4"/>
  <c r="AM1838" i="4"/>
  <c r="BH1838" i="4"/>
  <c r="AX1837" i="4"/>
  <c r="AW1837" i="4"/>
  <c r="AV1837" i="4"/>
  <c r="AP1837" i="4"/>
  <c r="AO1837" i="4"/>
  <c r="AN1837" i="4"/>
  <c r="AM1837" i="4"/>
  <c r="BH1837" i="4"/>
  <c r="AX1836" i="4"/>
  <c r="AW1836" i="4"/>
  <c r="AV1836" i="4"/>
  <c r="AP1836" i="4"/>
  <c r="AO1836" i="4"/>
  <c r="AN1836" i="4"/>
  <c r="AM1836" i="4"/>
  <c r="BH1836" i="4"/>
  <c r="AX1835" i="4"/>
  <c r="AW1835" i="4"/>
  <c r="AV1835" i="4"/>
  <c r="AP1835" i="4"/>
  <c r="AO1835" i="4"/>
  <c r="AN1835" i="4"/>
  <c r="AM1835" i="4"/>
  <c r="BH1835" i="4"/>
  <c r="AX1834" i="4"/>
  <c r="AW1834" i="4"/>
  <c r="AV1834" i="4"/>
  <c r="AP1834" i="4"/>
  <c r="AO1834" i="4"/>
  <c r="AN1834" i="4"/>
  <c r="AM1834" i="4"/>
  <c r="BH1834" i="4"/>
  <c r="AX1833" i="4"/>
  <c r="AW1833" i="4"/>
  <c r="AV1833" i="4"/>
  <c r="AP1833" i="4"/>
  <c r="AO1833" i="4"/>
  <c r="AN1833" i="4"/>
  <c r="AM1833" i="4"/>
  <c r="BH1833" i="4"/>
  <c r="AX1832" i="4"/>
  <c r="AW1832" i="4"/>
  <c r="AV1832" i="4"/>
  <c r="AP1832" i="4"/>
  <c r="AO1832" i="4"/>
  <c r="AN1832" i="4"/>
  <c r="AM1832" i="4"/>
  <c r="BH1832" i="4"/>
  <c r="AX1831" i="4"/>
  <c r="AW1831" i="4"/>
  <c r="AV1831" i="4"/>
  <c r="AP1831" i="4"/>
  <c r="AO1831" i="4"/>
  <c r="AN1831" i="4"/>
  <c r="AM1831" i="4"/>
  <c r="BH1831" i="4"/>
  <c r="AX1830" i="4"/>
  <c r="AW1830" i="4"/>
  <c r="AV1830" i="4"/>
  <c r="AP1830" i="4"/>
  <c r="AO1830" i="4"/>
  <c r="AN1830" i="4"/>
  <c r="AM1830" i="4"/>
  <c r="BH1830" i="4"/>
  <c r="AX1829" i="4"/>
  <c r="AW1829" i="4"/>
  <c r="AV1829" i="4"/>
  <c r="AP1829" i="4"/>
  <c r="AO1829" i="4"/>
  <c r="AN1829" i="4"/>
  <c r="AM1829" i="4"/>
  <c r="BH1829" i="4"/>
  <c r="AX1828" i="4"/>
  <c r="AW1828" i="4"/>
  <c r="AV1828" i="4"/>
  <c r="AP1828" i="4"/>
  <c r="AO1828" i="4"/>
  <c r="AN1828" i="4"/>
  <c r="AM1828" i="4"/>
  <c r="BH1828" i="4"/>
  <c r="AX1827" i="4"/>
  <c r="AW1827" i="4"/>
  <c r="AV1827" i="4"/>
  <c r="AP1827" i="4"/>
  <c r="AO1827" i="4"/>
  <c r="AN1827" i="4"/>
  <c r="AM1827" i="4"/>
  <c r="BH1827" i="4"/>
  <c r="AX1826" i="4"/>
  <c r="AW1826" i="4"/>
  <c r="AV1826" i="4"/>
  <c r="AP1826" i="4"/>
  <c r="AO1826" i="4"/>
  <c r="AN1826" i="4"/>
  <c r="AM1826" i="4"/>
  <c r="BH1826" i="4"/>
  <c r="AX1825" i="4"/>
  <c r="AW1825" i="4"/>
  <c r="AV1825" i="4"/>
  <c r="AP1825" i="4"/>
  <c r="AO1825" i="4"/>
  <c r="AN1825" i="4"/>
  <c r="AM1825" i="4"/>
  <c r="BH1825" i="4"/>
  <c r="AX1824" i="4"/>
  <c r="AW1824" i="4"/>
  <c r="AV1824" i="4"/>
  <c r="AP1824" i="4"/>
  <c r="AO1824" i="4"/>
  <c r="AN1824" i="4"/>
  <c r="AM1824" i="4"/>
  <c r="BH1824" i="4"/>
  <c r="AX1823" i="4"/>
  <c r="AW1823" i="4"/>
  <c r="AV1823" i="4"/>
  <c r="AP1823" i="4"/>
  <c r="AO1823" i="4"/>
  <c r="AN1823" i="4"/>
  <c r="AM1823" i="4"/>
  <c r="BH1823" i="4"/>
  <c r="AX1822" i="4"/>
  <c r="AW1822" i="4"/>
  <c r="AV1822" i="4"/>
  <c r="AP1822" i="4"/>
  <c r="AO1822" i="4"/>
  <c r="AN1822" i="4"/>
  <c r="AM1822" i="4"/>
  <c r="BH1822" i="4"/>
  <c r="AX1821" i="4"/>
  <c r="AW1821" i="4"/>
  <c r="AV1821" i="4"/>
  <c r="AP1821" i="4"/>
  <c r="AO1821" i="4"/>
  <c r="AN1821" i="4"/>
  <c r="AM1821" i="4"/>
  <c r="BH1821" i="4"/>
  <c r="AX1820" i="4"/>
  <c r="AW1820" i="4"/>
  <c r="AV1820" i="4"/>
  <c r="AP1820" i="4"/>
  <c r="AO1820" i="4"/>
  <c r="AN1820" i="4"/>
  <c r="AM1820" i="4"/>
  <c r="BH1820" i="4"/>
  <c r="AX1819" i="4"/>
  <c r="AW1819" i="4"/>
  <c r="AV1819" i="4"/>
  <c r="AP1819" i="4"/>
  <c r="AO1819" i="4"/>
  <c r="AN1819" i="4"/>
  <c r="AM1819" i="4"/>
  <c r="BH1819" i="4"/>
  <c r="AX1818" i="4"/>
  <c r="AW1818" i="4"/>
  <c r="AV1818" i="4"/>
  <c r="AP1818" i="4"/>
  <c r="AO1818" i="4"/>
  <c r="AN1818" i="4"/>
  <c r="AM1818" i="4"/>
  <c r="BH1818" i="4"/>
  <c r="AX1817" i="4"/>
  <c r="AW1817" i="4"/>
  <c r="AV1817" i="4"/>
  <c r="AP1817" i="4"/>
  <c r="AO1817" i="4"/>
  <c r="AN1817" i="4"/>
  <c r="AM1817" i="4"/>
  <c r="BH1817" i="4"/>
  <c r="AX1816" i="4"/>
  <c r="AW1816" i="4"/>
  <c r="AV1816" i="4"/>
  <c r="AP1816" i="4"/>
  <c r="AO1816" i="4"/>
  <c r="AN1816" i="4"/>
  <c r="AM1816" i="4"/>
  <c r="BH1816" i="4"/>
  <c r="AX1815" i="4"/>
  <c r="AW1815" i="4"/>
  <c r="AV1815" i="4"/>
  <c r="AP1815" i="4"/>
  <c r="AO1815" i="4"/>
  <c r="AN1815" i="4"/>
  <c r="AM1815" i="4"/>
  <c r="BH1815" i="4"/>
  <c r="AX1814" i="4"/>
  <c r="AW1814" i="4"/>
  <c r="AV1814" i="4"/>
  <c r="AP1814" i="4"/>
  <c r="AO1814" i="4"/>
  <c r="AN1814" i="4"/>
  <c r="AM1814" i="4"/>
  <c r="BH1814" i="4"/>
  <c r="AX1813" i="4"/>
  <c r="AW1813" i="4"/>
  <c r="AV1813" i="4"/>
  <c r="AP1813" i="4"/>
  <c r="AO1813" i="4"/>
  <c r="AN1813" i="4"/>
  <c r="AM1813" i="4"/>
  <c r="BH1813" i="4"/>
  <c r="AX1812" i="4"/>
  <c r="AW1812" i="4"/>
  <c r="AV1812" i="4"/>
  <c r="AP1812" i="4"/>
  <c r="AO1812" i="4"/>
  <c r="AN1812" i="4"/>
  <c r="AM1812" i="4"/>
  <c r="BH1812" i="4"/>
  <c r="AX1811" i="4"/>
  <c r="AW1811" i="4"/>
  <c r="AV1811" i="4"/>
  <c r="AP1811" i="4"/>
  <c r="AO1811" i="4"/>
  <c r="AN1811" i="4"/>
  <c r="AM1811" i="4"/>
  <c r="BH1811" i="4"/>
  <c r="AX1810" i="4"/>
  <c r="AW1810" i="4"/>
  <c r="AV1810" i="4"/>
  <c r="AP1810" i="4"/>
  <c r="AO1810" i="4"/>
  <c r="AN1810" i="4"/>
  <c r="AM1810" i="4"/>
  <c r="BH1810" i="4"/>
  <c r="AX1809" i="4"/>
  <c r="AW1809" i="4"/>
  <c r="AV1809" i="4"/>
  <c r="AP1809" i="4"/>
  <c r="AO1809" i="4"/>
  <c r="AN1809" i="4"/>
  <c r="AM1809" i="4"/>
  <c r="BH1809" i="4"/>
  <c r="AX1808" i="4"/>
  <c r="AW1808" i="4"/>
  <c r="AV1808" i="4"/>
  <c r="AP1808" i="4"/>
  <c r="AO1808" i="4"/>
  <c r="AN1808" i="4"/>
  <c r="AM1808" i="4"/>
  <c r="BH1808" i="4"/>
  <c r="AX1807" i="4"/>
  <c r="AW1807" i="4"/>
  <c r="AV1807" i="4"/>
  <c r="AP1807" i="4"/>
  <c r="AO1807" i="4"/>
  <c r="AN1807" i="4"/>
  <c r="AM1807" i="4"/>
  <c r="BH1807" i="4"/>
  <c r="AX1806" i="4"/>
  <c r="AW1806" i="4"/>
  <c r="AV1806" i="4"/>
  <c r="AP1806" i="4"/>
  <c r="AO1806" i="4"/>
  <c r="AN1806" i="4"/>
  <c r="AM1806" i="4"/>
  <c r="BH1806" i="4"/>
  <c r="AX1805" i="4"/>
  <c r="AW1805" i="4"/>
  <c r="AV1805" i="4"/>
  <c r="AP1805" i="4"/>
  <c r="AO1805" i="4"/>
  <c r="AN1805" i="4"/>
  <c r="AM1805" i="4"/>
  <c r="BH1805" i="4"/>
  <c r="AX1804" i="4"/>
  <c r="AW1804" i="4"/>
  <c r="AV1804" i="4"/>
  <c r="AP1804" i="4"/>
  <c r="AO1804" i="4"/>
  <c r="AN1804" i="4"/>
  <c r="AM1804" i="4"/>
  <c r="BH1804" i="4"/>
  <c r="AX1803" i="4"/>
  <c r="AW1803" i="4"/>
  <c r="AV1803" i="4"/>
  <c r="AP1803" i="4"/>
  <c r="AO1803" i="4"/>
  <c r="AN1803" i="4"/>
  <c r="AM1803" i="4"/>
  <c r="BH1803" i="4"/>
  <c r="AX1802" i="4"/>
  <c r="AW1802" i="4"/>
  <c r="AV1802" i="4"/>
  <c r="AP1802" i="4"/>
  <c r="AO1802" i="4"/>
  <c r="AN1802" i="4"/>
  <c r="AM1802" i="4"/>
  <c r="BH1802" i="4"/>
  <c r="AX1801" i="4"/>
  <c r="AW1801" i="4"/>
  <c r="AV1801" i="4"/>
  <c r="AP1801" i="4"/>
  <c r="AO1801" i="4"/>
  <c r="AN1801" i="4"/>
  <c r="AM1801" i="4"/>
  <c r="BH1801" i="4"/>
  <c r="AX1800" i="4"/>
  <c r="AW1800" i="4"/>
  <c r="AV1800" i="4"/>
  <c r="AP1800" i="4"/>
  <c r="AO1800" i="4"/>
  <c r="AN1800" i="4"/>
  <c r="AM1800" i="4"/>
  <c r="BH1800" i="4"/>
  <c r="AX1799" i="4"/>
  <c r="AW1799" i="4"/>
  <c r="AV1799" i="4"/>
  <c r="AP1799" i="4"/>
  <c r="AO1799" i="4"/>
  <c r="AN1799" i="4"/>
  <c r="AM1799" i="4"/>
  <c r="BH1799" i="4"/>
  <c r="AX1798" i="4"/>
  <c r="AW1798" i="4"/>
  <c r="AV1798" i="4"/>
  <c r="AP1798" i="4"/>
  <c r="AO1798" i="4"/>
  <c r="AN1798" i="4"/>
  <c r="AM1798" i="4"/>
  <c r="BH1798" i="4"/>
  <c r="AX1797" i="4"/>
  <c r="AW1797" i="4"/>
  <c r="AV1797" i="4"/>
  <c r="AP1797" i="4"/>
  <c r="AO1797" i="4"/>
  <c r="AN1797" i="4"/>
  <c r="AM1797" i="4"/>
  <c r="BH1797" i="4"/>
  <c r="AX1796" i="4"/>
  <c r="AW1796" i="4"/>
  <c r="AV1796" i="4"/>
  <c r="AP1796" i="4"/>
  <c r="AO1796" i="4"/>
  <c r="AN1796" i="4"/>
  <c r="AM1796" i="4"/>
  <c r="BH1796" i="4"/>
  <c r="AX1795" i="4"/>
  <c r="AW1795" i="4"/>
  <c r="AV1795" i="4"/>
  <c r="AP1795" i="4"/>
  <c r="AO1795" i="4"/>
  <c r="AN1795" i="4"/>
  <c r="AM1795" i="4"/>
  <c r="BH1795" i="4"/>
  <c r="AX1794" i="4"/>
  <c r="AW1794" i="4"/>
  <c r="AV1794" i="4"/>
  <c r="AP1794" i="4"/>
  <c r="AO1794" i="4"/>
  <c r="AN1794" i="4"/>
  <c r="AM1794" i="4"/>
  <c r="BH1794" i="4"/>
  <c r="AX1793" i="4"/>
  <c r="AW1793" i="4"/>
  <c r="AV1793" i="4"/>
  <c r="AP1793" i="4"/>
  <c r="AO1793" i="4"/>
  <c r="AN1793" i="4"/>
  <c r="AM1793" i="4"/>
  <c r="BH1793" i="4"/>
  <c r="AX1792" i="4"/>
  <c r="AW1792" i="4"/>
  <c r="AV1792" i="4"/>
  <c r="AP1792" i="4"/>
  <c r="AO1792" i="4"/>
  <c r="AN1792" i="4"/>
  <c r="AM1792" i="4"/>
  <c r="BH1792" i="4"/>
  <c r="AX1791" i="4"/>
  <c r="AW1791" i="4"/>
  <c r="AV1791" i="4"/>
  <c r="AP1791" i="4"/>
  <c r="AO1791" i="4"/>
  <c r="AN1791" i="4"/>
  <c r="AM1791" i="4"/>
  <c r="BH1791" i="4"/>
  <c r="AX1790" i="4"/>
  <c r="AW1790" i="4"/>
  <c r="AV1790" i="4"/>
  <c r="AP1790" i="4"/>
  <c r="AO1790" i="4"/>
  <c r="AN1790" i="4"/>
  <c r="AM1790" i="4"/>
  <c r="BH1790" i="4"/>
  <c r="AX1789" i="4"/>
  <c r="AW1789" i="4"/>
  <c r="AV1789" i="4"/>
  <c r="AP1789" i="4"/>
  <c r="AO1789" i="4"/>
  <c r="AN1789" i="4"/>
  <c r="AM1789" i="4"/>
  <c r="BH1789" i="4"/>
  <c r="AX1788" i="4"/>
  <c r="AW1788" i="4"/>
  <c r="AV1788" i="4"/>
  <c r="AP1788" i="4"/>
  <c r="AO1788" i="4"/>
  <c r="AN1788" i="4"/>
  <c r="AM1788" i="4"/>
  <c r="BH1788" i="4"/>
  <c r="AX1787" i="4"/>
  <c r="AW1787" i="4"/>
  <c r="AV1787" i="4"/>
  <c r="AP1787" i="4"/>
  <c r="AO1787" i="4"/>
  <c r="AN1787" i="4"/>
  <c r="AM1787" i="4"/>
  <c r="BH1787" i="4"/>
  <c r="AX1786" i="4"/>
  <c r="AW1786" i="4"/>
  <c r="AV1786" i="4"/>
  <c r="AP1786" i="4"/>
  <c r="AO1786" i="4"/>
  <c r="AN1786" i="4"/>
  <c r="AM1786" i="4"/>
  <c r="BH1786" i="4"/>
  <c r="AX1785" i="4"/>
  <c r="AW1785" i="4"/>
  <c r="AV1785" i="4"/>
  <c r="AP1785" i="4"/>
  <c r="AO1785" i="4"/>
  <c r="AN1785" i="4"/>
  <c r="AM1785" i="4"/>
  <c r="BH1785" i="4"/>
  <c r="AX1784" i="4"/>
  <c r="AW1784" i="4"/>
  <c r="AV1784" i="4"/>
  <c r="AP1784" i="4"/>
  <c r="AO1784" i="4"/>
  <c r="AN1784" i="4"/>
  <c r="AM1784" i="4"/>
  <c r="BH1784" i="4"/>
  <c r="AX1783" i="4"/>
  <c r="AW1783" i="4"/>
  <c r="AV1783" i="4"/>
  <c r="AP1783" i="4"/>
  <c r="AO1783" i="4"/>
  <c r="AN1783" i="4"/>
  <c r="AM1783" i="4"/>
  <c r="BH1783" i="4"/>
  <c r="AX1782" i="4"/>
  <c r="AW1782" i="4"/>
  <c r="AV1782" i="4"/>
  <c r="AP1782" i="4"/>
  <c r="AO1782" i="4"/>
  <c r="AN1782" i="4"/>
  <c r="AM1782" i="4"/>
  <c r="BH1782" i="4"/>
  <c r="AX1781" i="4"/>
  <c r="AW1781" i="4"/>
  <c r="AV1781" i="4"/>
  <c r="AP1781" i="4"/>
  <c r="AO1781" i="4"/>
  <c r="AN1781" i="4"/>
  <c r="AM1781" i="4"/>
  <c r="BH1781" i="4"/>
  <c r="AX1780" i="4"/>
  <c r="AW1780" i="4"/>
  <c r="AV1780" i="4"/>
  <c r="AP1780" i="4"/>
  <c r="AO1780" i="4"/>
  <c r="AN1780" i="4"/>
  <c r="AM1780" i="4"/>
  <c r="BH1780" i="4"/>
  <c r="AX1779" i="4"/>
  <c r="AW1779" i="4"/>
  <c r="AV1779" i="4"/>
  <c r="AP1779" i="4"/>
  <c r="AO1779" i="4"/>
  <c r="AN1779" i="4"/>
  <c r="AM1779" i="4"/>
  <c r="BH1779" i="4"/>
  <c r="AX1778" i="4"/>
  <c r="AW1778" i="4"/>
  <c r="AV1778" i="4"/>
  <c r="AP1778" i="4"/>
  <c r="AO1778" i="4"/>
  <c r="AN1778" i="4"/>
  <c r="AM1778" i="4"/>
  <c r="BH1778" i="4"/>
  <c r="AX1777" i="4"/>
  <c r="AW1777" i="4"/>
  <c r="AV1777" i="4"/>
  <c r="AP1777" i="4"/>
  <c r="AO1777" i="4"/>
  <c r="AN1777" i="4"/>
  <c r="AM1777" i="4"/>
  <c r="BH1777" i="4"/>
  <c r="AX1776" i="4"/>
  <c r="AW1776" i="4"/>
  <c r="AV1776" i="4"/>
  <c r="AP1776" i="4"/>
  <c r="AO1776" i="4"/>
  <c r="AN1776" i="4"/>
  <c r="AM1776" i="4"/>
  <c r="BH1776" i="4"/>
  <c r="AX1775" i="4"/>
  <c r="AW1775" i="4"/>
  <c r="AV1775" i="4"/>
  <c r="AP1775" i="4"/>
  <c r="AO1775" i="4"/>
  <c r="AN1775" i="4"/>
  <c r="AM1775" i="4"/>
  <c r="BH1775" i="4"/>
  <c r="AX1774" i="4"/>
  <c r="AW1774" i="4"/>
  <c r="AV1774" i="4"/>
  <c r="AP1774" i="4"/>
  <c r="AO1774" i="4"/>
  <c r="AN1774" i="4"/>
  <c r="AM1774" i="4"/>
  <c r="BH1774" i="4"/>
  <c r="AX1773" i="4"/>
  <c r="AW1773" i="4"/>
  <c r="AV1773" i="4"/>
  <c r="AP1773" i="4"/>
  <c r="AO1773" i="4"/>
  <c r="AN1773" i="4"/>
  <c r="AM1773" i="4"/>
  <c r="BH1773" i="4"/>
  <c r="AX1772" i="4"/>
  <c r="AW1772" i="4"/>
  <c r="AV1772" i="4"/>
  <c r="AP1772" i="4"/>
  <c r="AO1772" i="4"/>
  <c r="AN1772" i="4"/>
  <c r="AM1772" i="4"/>
  <c r="BH1772" i="4"/>
  <c r="AX1771" i="4"/>
  <c r="AW1771" i="4"/>
  <c r="AV1771" i="4"/>
  <c r="AP1771" i="4"/>
  <c r="AO1771" i="4"/>
  <c r="AN1771" i="4"/>
  <c r="AM1771" i="4"/>
  <c r="BH1771" i="4"/>
  <c r="AX1770" i="4"/>
  <c r="AW1770" i="4"/>
  <c r="AV1770" i="4"/>
  <c r="AP1770" i="4"/>
  <c r="AO1770" i="4"/>
  <c r="AN1770" i="4"/>
  <c r="AM1770" i="4"/>
  <c r="BH1770" i="4"/>
  <c r="AX1769" i="4"/>
  <c r="AW1769" i="4"/>
  <c r="AV1769" i="4"/>
  <c r="AP1769" i="4"/>
  <c r="AO1769" i="4"/>
  <c r="AN1769" i="4"/>
  <c r="AM1769" i="4"/>
  <c r="BH1769" i="4"/>
  <c r="AX1768" i="4"/>
  <c r="AW1768" i="4"/>
  <c r="AV1768" i="4"/>
  <c r="AP1768" i="4"/>
  <c r="AO1768" i="4"/>
  <c r="AN1768" i="4"/>
  <c r="AM1768" i="4"/>
  <c r="BH1768" i="4"/>
  <c r="AX1767" i="4"/>
  <c r="AW1767" i="4"/>
  <c r="AV1767" i="4"/>
  <c r="AP1767" i="4"/>
  <c r="AO1767" i="4"/>
  <c r="AN1767" i="4"/>
  <c r="AM1767" i="4"/>
  <c r="BH1767" i="4"/>
  <c r="AX1766" i="4"/>
  <c r="AW1766" i="4"/>
  <c r="AV1766" i="4"/>
  <c r="AP1766" i="4"/>
  <c r="AO1766" i="4"/>
  <c r="AN1766" i="4"/>
  <c r="AM1766" i="4"/>
  <c r="BH1766" i="4"/>
  <c r="AX1765" i="4"/>
  <c r="AW1765" i="4"/>
  <c r="AV1765" i="4"/>
  <c r="AP1765" i="4"/>
  <c r="AO1765" i="4"/>
  <c r="AN1765" i="4"/>
  <c r="AM1765" i="4"/>
  <c r="BH1765" i="4"/>
  <c r="AX1764" i="4"/>
  <c r="AW1764" i="4"/>
  <c r="AV1764" i="4"/>
  <c r="AP1764" i="4"/>
  <c r="AO1764" i="4"/>
  <c r="AN1764" i="4"/>
  <c r="AM1764" i="4"/>
  <c r="BH1764" i="4"/>
  <c r="AX1763" i="4"/>
  <c r="AW1763" i="4"/>
  <c r="AV1763" i="4"/>
  <c r="AP1763" i="4"/>
  <c r="AO1763" i="4"/>
  <c r="AN1763" i="4"/>
  <c r="AM1763" i="4"/>
  <c r="BH1763" i="4"/>
  <c r="AX1762" i="4"/>
  <c r="AW1762" i="4"/>
  <c r="AV1762" i="4"/>
  <c r="AP1762" i="4"/>
  <c r="AO1762" i="4"/>
  <c r="AN1762" i="4"/>
  <c r="AM1762" i="4"/>
  <c r="BH1762" i="4"/>
  <c r="AX1761" i="4"/>
  <c r="AW1761" i="4"/>
  <c r="AV1761" i="4"/>
  <c r="AP1761" i="4"/>
  <c r="AO1761" i="4"/>
  <c r="AN1761" i="4"/>
  <c r="AM1761" i="4"/>
  <c r="BH1761" i="4"/>
  <c r="AX1760" i="4"/>
  <c r="AW1760" i="4"/>
  <c r="AV1760" i="4"/>
  <c r="AP1760" i="4"/>
  <c r="AO1760" i="4"/>
  <c r="AN1760" i="4"/>
  <c r="AM1760" i="4"/>
  <c r="BH1760" i="4"/>
  <c r="AX1759" i="4"/>
  <c r="AW1759" i="4"/>
  <c r="AV1759" i="4"/>
  <c r="AP1759" i="4"/>
  <c r="AO1759" i="4"/>
  <c r="AN1759" i="4"/>
  <c r="AM1759" i="4"/>
  <c r="BH1759" i="4"/>
  <c r="AX1758" i="4"/>
  <c r="AW1758" i="4"/>
  <c r="AV1758" i="4"/>
  <c r="AP1758" i="4"/>
  <c r="AO1758" i="4"/>
  <c r="AN1758" i="4"/>
  <c r="AM1758" i="4"/>
  <c r="BH1758" i="4"/>
  <c r="AX1757" i="4"/>
  <c r="AW1757" i="4"/>
  <c r="AV1757" i="4"/>
  <c r="AP1757" i="4"/>
  <c r="AO1757" i="4"/>
  <c r="AN1757" i="4"/>
  <c r="AM1757" i="4"/>
  <c r="BH1757" i="4"/>
  <c r="AX1756" i="4"/>
  <c r="AW1756" i="4"/>
  <c r="AV1756" i="4"/>
  <c r="AP1756" i="4"/>
  <c r="AO1756" i="4"/>
  <c r="AN1756" i="4"/>
  <c r="AM1756" i="4"/>
  <c r="BH1756" i="4"/>
  <c r="AX1755" i="4"/>
  <c r="AW1755" i="4"/>
  <c r="AV1755" i="4"/>
  <c r="AP1755" i="4"/>
  <c r="AO1755" i="4"/>
  <c r="AN1755" i="4"/>
  <c r="AM1755" i="4"/>
  <c r="BH1755" i="4"/>
  <c r="AX1754" i="4"/>
  <c r="AW1754" i="4"/>
  <c r="AV1754" i="4"/>
  <c r="AP1754" i="4"/>
  <c r="AO1754" i="4"/>
  <c r="AN1754" i="4"/>
  <c r="AM1754" i="4"/>
  <c r="BH1754" i="4"/>
  <c r="AX1753" i="4"/>
  <c r="AW1753" i="4"/>
  <c r="AV1753" i="4"/>
  <c r="AP1753" i="4"/>
  <c r="AO1753" i="4"/>
  <c r="AN1753" i="4"/>
  <c r="AM1753" i="4"/>
  <c r="BH1753" i="4"/>
  <c r="AX1752" i="4"/>
  <c r="AW1752" i="4"/>
  <c r="AV1752" i="4"/>
  <c r="AP1752" i="4"/>
  <c r="AO1752" i="4"/>
  <c r="AN1752" i="4"/>
  <c r="AM1752" i="4"/>
  <c r="BH1752" i="4"/>
  <c r="AX1751" i="4"/>
  <c r="AW1751" i="4"/>
  <c r="AV1751" i="4"/>
  <c r="AP1751" i="4"/>
  <c r="AO1751" i="4"/>
  <c r="AN1751" i="4"/>
  <c r="AM1751" i="4"/>
  <c r="BH1751" i="4"/>
  <c r="AX1750" i="4"/>
  <c r="AW1750" i="4"/>
  <c r="AV1750" i="4"/>
  <c r="AP1750" i="4"/>
  <c r="AO1750" i="4"/>
  <c r="AN1750" i="4"/>
  <c r="AM1750" i="4"/>
  <c r="BH1750" i="4"/>
  <c r="AX1749" i="4"/>
  <c r="AW1749" i="4"/>
  <c r="AV1749" i="4"/>
  <c r="AP1749" i="4"/>
  <c r="AO1749" i="4"/>
  <c r="AN1749" i="4"/>
  <c r="AM1749" i="4"/>
  <c r="BH1749" i="4"/>
  <c r="AX1748" i="4"/>
  <c r="AW1748" i="4"/>
  <c r="AV1748" i="4"/>
  <c r="AP1748" i="4"/>
  <c r="AO1748" i="4"/>
  <c r="AN1748" i="4"/>
  <c r="AM1748" i="4"/>
  <c r="BH1748" i="4"/>
  <c r="AX1747" i="4"/>
  <c r="AW1747" i="4"/>
  <c r="AV1747" i="4"/>
  <c r="AP1747" i="4"/>
  <c r="AO1747" i="4"/>
  <c r="AN1747" i="4"/>
  <c r="AM1747" i="4"/>
  <c r="BH1747" i="4"/>
  <c r="AX1746" i="4"/>
  <c r="AW1746" i="4"/>
  <c r="AV1746" i="4"/>
  <c r="AP1746" i="4"/>
  <c r="AO1746" i="4"/>
  <c r="AN1746" i="4"/>
  <c r="AM1746" i="4"/>
  <c r="BH1746" i="4"/>
  <c r="AX1745" i="4"/>
  <c r="AW1745" i="4"/>
  <c r="AV1745" i="4"/>
  <c r="AP1745" i="4"/>
  <c r="AO1745" i="4"/>
  <c r="AN1745" i="4"/>
  <c r="AM1745" i="4"/>
  <c r="BH1745" i="4"/>
  <c r="AX1744" i="4"/>
  <c r="AW1744" i="4"/>
  <c r="AV1744" i="4"/>
  <c r="AP1744" i="4"/>
  <c r="AO1744" i="4"/>
  <c r="AN1744" i="4"/>
  <c r="AM1744" i="4"/>
  <c r="BH1744" i="4"/>
  <c r="AX1743" i="4"/>
  <c r="AW1743" i="4"/>
  <c r="AV1743" i="4"/>
  <c r="AP1743" i="4"/>
  <c r="AO1743" i="4"/>
  <c r="AN1743" i="4"/>
  <c r="AM1743" i="4"/>
  <c r="BH1743" i="4"/>
  <c r="AX1742" i="4"/>
  <c r="AW1742" i="4"/>
  <c r="AV1742" i="4"/>
  <c r="AP1742" i="4"/>
  <c r="AO1742" i="4"/>
  <c r="AN1742" i="4"/>
  <c r="AM1742" i="4"/>
  <c r="BH1742" i="4"/>
  <c r="AX1741" i="4"/>
  <c r="AW1741" i="4"/>
  <c r="AV1741" i="4"/>
  <c r="AP1741" i="4"/>
  <c r="AO1741" i="4"/>
  <c r="AN1741" i="4"/>
  <c r="AM1741" i="4"/>
  <c r="BH1741" i="4"/>
  <c r="AX1740" i="4"/>
  <c r="AW1740" i="4"/>
  <c r="AV1740" i="4"/>
  <c r="AP1740" i="4"/>
  <c r="AO1740" i="4"/>
  <c r="AN1740" i="4"/>
  <c r="AM1740" i="4"/>
  <c r="BH1740" i="4"/>
  <c r="AX1739" i="4"/>
  <c r="AW1739" i="4"/>
  <c r="AV1739" i="4"/>
  <c r="AP1739" i="4"/>
  <c r="AO1739" i="4"/>
  <c r="AN1739" i="4"/>
  <c r="AM1739" i="4"/>
  <c r="BH1739" i="4"/>
  <c r="AX1738" i="4"/>
  <c r="AW1738" i="4"/>
  <c r="AV1738" i="4"/>
  <c r="AP1738" i="4"/>
  <c r="AO1738" i="4"/>
  <c r="AN1738" i="4"/>
  <c r="AM1738" i="4"/>
  <c r="BH1738" i="4"/>
  <c r="AX1737" i="4"/>
  <c r="AW1737" i="4"/>
  <c r="AV1737" i="4"/>
  <c r="AP1737" i="4"/>
  <c r="AO1737" i="4"/>
  <c r="AN1737" i="4"/>
  <c r="AM1737" i="4"/>
  <c r="BH1737" i="4"/>
  <c r="AX1736" i="4"/>
  <c r="AW1736" i="4"/>
  <c r="AV1736" i="4"/>
  <c r="AP1736" i="4"/>
  <c r="AO1736" i="4"/>
  <c r="AN1736" i="4"/>
  <c r="AM1736" i="4"/>
  <c r="BH1736" i="4"/>
  <c r="AX1735" i="4"/>
  <c r="AW1735" i="4"/>
  <c r="AV1735" i="4"/>
  <c r="AP1735" i="4"/>
  <c r="AO1735" i="4"/>
  <c r="AN1735" i="4"/>
  <c r="AM1735" i="4"/>
  <c r="BH1735" i="4"/>
  <c r="AX1734" i="4"/>
  <c r="AW1734" i="4"/>
  <c r="AV1734" i="4"/>
  <c r="AP1734" i="4"/>
  <c r="AO1734" i="4"/>
  <c r="AN1734" i="4"/>
  <c r="AM1734" i="4"/>
  <c r="BH1734" i="4"/>
  <c r="AX1733" i="4"/>
  <c r="AW1733" i="4"/>
  <c r="AV1733" i="4"/>
  <c r="AP1733" i="4"/>
  <c r="AO1733" i="4"/>
  <c r="AN1733" i="4"/>
  <c r="AM1733" i="4"/>
  <c r="BH1733" i="4"/>
  <c r="AX1732" i="4"/>
  <c r="AW1732" i="4"/>
  <c r="AV1732" i="4"/>
  <c r="AP1732" i="4"/>
  <c r="AO1732" i="4"/>
  <c r="AN1732" i="4"/>
  <c r="AM1732" i="4"/>
  <c r="BH1732" i="4"/>
  <c r="AX1731" i="4"/>
  <c r="AW1731" i="4"/>
  <c r="AV1731" i="4"/>
  <c r="AP1731" i="4"/>
  <c r="AO1731" i="4"/>
  <c r="AN1731" i="4"/>
  <c r="AM1731" i="4"/>
  <c r="BH1731" i="4"/>
  <c r="AX1730" i="4"/>
  <c r="AW1730" i="4"/>
  <c r="AV1730" i="4"/>
  <c r="AP1730" i="4"/>
  <c r="AO1730" i="4"/>
  <c r="AN1730" i="4"/>
  <c r="AM1730" i="4"/>
  <c r="BH1730" i="4"/>
  <c r="AX1729" i="4"/>
  <c r="AW1729" i="4"/>
  <c r="AV1729" i="4"/>
  <c r="AP1729" i="4"/>
  <c r="AO1729" i="4"/>
  <c r="AN1729" i="4"/>
  <c r="AM1729" i="4"/>
  <c r="BH1729" i="4"/>
  <c r="AX1728" i="4"/>
  <c r="AW1728" i="4"/>
  <c r="AV1728" i="4"/>
  <c r="AP1728" i="4"/>
  <c r="AO1728" i="4"/>
  <c r="AN1728" i="4"/>
  <c r="AM1728" i="4"/>
  <c r="BH1728" i="4"/>
  <c r="AX1727" i="4"/>
  <c r="AW1727" i="4"/>
  <c r="AV1727" i="4"/>
  <c r="AP1727" i="4"/>
  <c r="AO1727" i="4"/>
  <c r="AN1727" i="4"/>
  <c r="AM1727" i="4"/>
  <c r="BH1727" i="4"/>
  <c r="AX1726" i="4"/>
  <c r="AW1726" i="4"/>
  <c r="AV1726" i="4"/>
  <c r="AP1726" i="4"/>
  <c r="AO1726" i="4"/>
  <c r="AN1726" i="4"/>
  <c r="AM1726" i="4"/>
  <c r="BH1726" i="4"/>
  <c r="AX1725" i="4"/>
  <c r="AW1725" i="4"/>
  <c r="AV1725" i="4"/>
  <c r="AP1725" i="4"/>
  <c r="AO1725" i="4"/>
  <c r="AN1725" i="4"/>
  <c r="AM1725" i="4"/>
  <c r="BH1725" i="4"/>
  <c r="AX1724" i="4"/>
  <c r="AW1724" i="4"/>
  <c r="AV1724" i="4"/>
  <c r="AP1724" i="4"/>
  <c r="AO1724" i="4"/>
  <c r="AN1724" i="4"/>
  <c r="AM1724" i="4"/>
  <c r="BH1724" i="4"/>
  <c r="AX1723" i="4"/>
  <c r="AW1723" i="4"/>
  <c r="AV1723" i="4"/>
  <c r="AP1723" i="4"/>
  <c r="AO1723" i="4"/>
  <c r="AN1723" i="4"/>
  <c r="AM1723" i="4"/>
  <c r="BH1723" i="4"/>
  <c r="AX1722" i="4"/>
  <c r="AW1722" i="4"/>
  <c r="AV1722" i="4"/>
  <c r="AP1722" i="4"/>
  <c r="AO1722" i="4"/>
  <c r="AN1722" i="4"/>
  <c r="AM1722" i="4"/>
  <c r="BH1722" i="4"/>
  <c r="AX1721" i="4"/>
  <c r="AW1721" i="4"/>
  <c r="AV1721" i="4"/>
  <c r="AP1721" i="4"/>
  <c r="AO1721" i="4"/>
  <c r="AN1721" i="4"/>
  <c r="AM1721" i="4"/>
  <c r="BH1721" i="4"/>
  <c r="AX1720" i="4"/>
  <c r="AW1720" i="4"/>
  <c r="AV1720" i="4"/>
  <c r="AP1720" i="4"/>
  <c r="AO1720" i="4"/>
  <c r="AN1720" i="4"/>
  <c r="AM1720" i="4"/>
  <c r="BH1720" i="4"/>
  <c r="AX1719" i="4"/>
  <c r="AW1719" i="4"/>
  <c r="AV1719" i="4"/>
  <c r="AP1719" i="4"/>
  <c r="AO1719" i="4"/>
  <c r="AN1719" i="4"/>
  <c r="AM1719" i="4"/>
  <c r="BH1719" i="4"/>
  <c r="AX1718" i="4"/>
  <c r="AW1718" i="4"/>
  <c r="AV1718" i="4"/>
  <c r="AP1718" i="4"/>
  <c r="AO1718" i="4"/>
  <c r="AN1718" i="4"/>
  <c r="AM1718" i="4"/>
  <c r="BH1718" i="4"/>
  <c r="AX1717" i="4"/>
  <c r="AW1717" i="4"/>
  <c r="AV1717" i="4"/>
  <c r="AP1717" i="4"/>
  <c r="AO1717" i="4"/>
  <c r="AN1717" i="4"/>
  <c r="AM1717" i="4"/>
  <c r="BH1717" i="4"/>
  <c r="AX1716" i="4"/>
  <c r="AW1716" i="4"/>
  <c r="AV1716" i="4"/>
  <c r="AP1716" i="4"/>
  <c r="AO1716" i="4"/>
  <c r="AN1716" i="4"/>
  <c r="AM1716" i="4"/>
  <c r="BH1716" i="4"/>
  <c r="AX1715" i="4"/>
  <c r="AW1715" i="4"/>
  <c r="AV1715" i="4"/>
  <c r="AP1715" i="4"/>
  <c r="AO1715" i="4"/>
  <c r="AN1715" i="4"/>
  <c r="AM1715" i="4"/>
  <c r="BH1715" i="4"/>
  <c r="AX1714" i="4"/>
  <c r="AW1714" i="4"/>
  <c r="AV1714" i="4"/>
  <c r="AP1714" i="4"/>
  <c r="AO1714" i="4"/>
  <c r="AN1714" i="4"/>
  <c r="AM1714" i="4"/>
  <c r="BH1714" i="4"/>
  <c r="AX1713" i="4"/>
  <c r="AW1713" i="4"/>
  <c r="AV1713" i="4"/>
  <c r="AP1713" i="4"/>
  <c r="AO1713" i="4"/>
  <c r="AN1713" i="4"/>
  <c r="AM1713" i="4"/>
  <c r="BH1713" i="4"/>
  <c r="AX1712" i="4"/>
  <c r="AW1712" i="4"/>
  <c r="AV1712" i="4"/>
  <c r="AP1712" i="4"/>
  <c r="AO1712" i="4"/>
  <c r="AN1712" i="4"/>
  <c r="AM1712" i="4"/>
  <c r="BH1712" i="4"/>
  <c r="AX1711" i="4"/>
  <c r="AW1711" i="4"/>
  <c r="AV1711" i="4"/>
  <c r="AP1711" i="4"/>
  <c r="AO1711" i="4"/>
  <c r="AN1711" i="4"/>
  <c r="AM1711" i="4"/>
  <c r="BH1711" i="4"/>
  <c r="AX1710" i="4"/>
  <c r="AW1710" i="4"/>
  <c r="AV1710" i="4"/>
  <c r="AP1710" i="4"/>
  <c r="AO1710" i="4"/>
  <c r="AN1710" i="4"/>
  <c r="AM1710" i="4"/>
  <c r="BH1710" i="4"/>
  <c r="AX1709" i="4"/>
  <c r="AW1709" i="4"/>
  <c r="AV1709" i="4"/>
  <c r="AP1709" i="4"/>
  <c r="AO1709" i="4"/>
  <c r="AN1709" i="4"/>
  <c r="AM1709" i="4"/>
  <c r="BH1709" i="4"/>
  <c r="AX1708" i="4"/>
  <c r="AW1708" i="4"/>
  <c r="AV1708" i="4"/>
  <c r="AP1708" i="4"/>
  <c r="AO1708" i="4"/>
  <c r="AN1708" i="4"/>
  <c r="AM1708" i="4"/>
  <c r="BH1708" i="4"/>
  <c r="AX1707" i="4"/>
  <c r="AW1707" i="4"/>
  <c r="AV1707" i="4"/>
  <c r="AP1707" i="4"/>
  <c r="AO1707" i="4"/>
  <c r="AN1707" i="4"/>
  <c r="AM1707" i="4"/>
  <c r="BH1707" i="4"/>
  <c r="AX1706" i="4"/>
  <c r="AW1706" i="4"/>
  <c r="AV1706" i="4"/>
  <c r="AP1706" i="4"/>
  <c r="AO1706" i="4"/>
  <c r="AN1706" i="4"/>
  <c r="AM1706" i="4"/>
  <c r="BH1706" i="4"/>
  <c r="AX1705" i="4"/>
  <c r="AW1705" i="4"/>
  <c r="AV1705" i="4"/>
  <c r="AP1705" i="4"/>
  <c r="AO1705" i="4"/>
  <c r="AN1705" i="4"/>
  <c r="AM1705" i="4"/>
  <c r="BH1705" i="4"/>
  <c r="AX1704" i="4"/>
  <c r="AW1704" i="4"/>
  <c r="AV1704" i="4"/>
  <c r="AP1704" i="4"/>
  <c r="AO1704" i="4"/>
  <c r="AN1704" i="4"/>
  <c r="AM1704" i="4"/>
  <c r="BH1704" i="4"/>
  <c r="AX1703" i="4"/>
  <c r="AW1703" i="4"/>
  <c r="AV1703" i="4"/>
  <c r="AP1703" i="4"/>
  <c r="AO1703" i="4"/>
  <c r="AN1703" i="4"/>
  <c r="AM1703" i="4"/>
  <c r="BH1703" i="4"/>
  <c r="AX1702" i="4"/>
  <c r="AW1702" i="4"/>
  <c r="AV1702" i="4"/>
  <c r="AP1702" i="4"/>
  <c r="AO1702" i="4"/>
  <c r="AN1702" i="4"/>
  <c r="AM1702" i="4"/>
  <c r="BH1702" i="4"/>
  <c r="AX1701" i="4"/>
  <c r="AW1701" i="4"/>
  <c r="AV1701" i="4"/>
  <c r="AP1701" i="4"/>
  <c r="AO1701" i="4"/>
  <c r="AN1701" i="4"/>
  <c r="AM1701" i="4"/>
  <c r="BH1701" i="4"/>
  <c r="AX1700" i="4"/>
  <c r="AW1700" i="4"/>
  <c r="AV1700" i="4"/>
  <c r="AP1700" i="4"/>
  <c r="AO1700" i="4"/>
  <c r="AN1700" i="4"/>
  <c r="AM1700" i="4"/>
  <c r="BH1700" i="4"/>
  <c r="AX1699" i="4"/>
  <c r="AW1699" i="4"/>
  <c r="AV1699" i="4"/>
  <c r="AP1699" i="4"/>
  <c r="AO1699" i="4"/>
  <c r="AN1699" i="4"/>
  <c r="AM1699" i="4"/>
  <c r="BH1699" i="4"/>
  <c r="AX1698" i="4"/>
  <c r="AW1698" i="4"/>
  <c r="AV1698" i="4"/>
  <c r="AP1698" i="4"/>
  <c r="AO1698" i="4"/>
  <c r="AN1698" i="4"/>
  <c r="AM1698" i="4"/>
  <c r="BH1698" i="4"/>
  <c r="AX1697" i="4"/>
  <c r="AW1697" i="4"/>
  <c r="AV1697" i="4"/>
  <c r="AP1697" i="4"/>
  <c r="AO1697" i="4"/>
  <c r="AN1697" i="4"/>
  <c r="AM1697" i="4"/>
  <c r="BH1697" i="4"/>
  <c r="AX1696" i="4"/>
  <c r="AW1696" i="4"/>
  <c r="AV1696" i="4"/>
  <c r="AP1696" i="4"/>
  <c r="AO1696" i="4"/>
  <c r="AN1696" i="4"/>
  <c r="AM1696" i="4"/>
  <c r="BH1696" i="4"/>
  <c r="AX1695" i="4"/>
  <c r="AW1695" i="4"/>
  <c r="AV1695" i="4"/>
  <c r="AP1695" i="4"/>
  <c r="AO1695" i="4"/>
  <c r="AN1695" i="4"/>
  <c r="AM1695" i="4"/>
  <c r="BH1695" i="4"/>
  <c r="AX1694" i="4"/>
  <c r="AW1694" i="4"/>
  <c r="AV1694" i="4"/>
  <c r="AP1694" i="4"/>
  <c r="AO1694" i="4"/>
  <c r="AN1694" i="4"/>
  <c r="AM1694" i="4"/>
  <c r="BH1694" i="4"/>
  <c r="AX1693" i="4"/>
  <c r="AW1693" i="4"/>
  <c r="AV1693" i="4"/>
  <c r="AP1693" i="4"/>
  <c r="AO1693" i="4"/>
  <c r="AN1693" i="4"/>
  <c r="AM1693" i="4"/>
  <c r="BH1693" i="4"/>
  <c r="AX1692" i="4"/>
  <c r="AW1692" i="4"/>
  <c r="AV1692" i="4"/>
  <c r="AP1692" i="4"/>
  <c r="AO1692" i="4"/>
  <c r="AN1692" i="4"/>
  <c r="AM1692" i="4"/>
  <c r="BH1692" i="4"/>
  <c r="AX1691" i="4"/>
  <c r="AW1691" i="4"/>
  <c r="AV1691" i="4"/>
  <c r="AP1691" i="4"/>
  <c r="AO1691" i="4"/>
  <c r="AN1691" i="4"/>
  <c r="AM1691" i="4"/>
  <c r="BH1691" i="4"/>
  <c r="AX1690" i="4"/>
  <c r="AW1690" i="4"/>
  <c r="AV1690" i="4"/>
  <c r="AP1690" i="4"/>
  <c r="AO1690" i="4"/>
  <c r="AN1690" i="4"/>
  <c r="AM1690" i="4"/>
  <c r="BH1690" i="4"/>
  <c r="AX1689" i="4"/>
  <c r="AW1689" i="4"/>
  <c r="AV1689" i="4"/>
  <c r="AP1689" i="4"/>
  <c r="AO1689" i="4"/>
  <c r="AN1689" i="4"/>
  <c r="AM1689" i="4"/>
  <c r="BH1689" i="4"/>
  <c r="AX1688" i="4"/>
  <c r="AW1688" i="4"/>
  <c r="AV1688" i="4"/>
  <c r="AP1688" i="4"/>
  <c r="AO1688" i="4"/>
  <c r="AN1688" i="4"/>
  <c r="AM1688" i="4"/>
  <c r="BH1688" i="4"/>
  <c r="AX1687" i="4"/>
  <c r="AW1687" i="4"/>
  <c r="AV1687" i="4"/>
  <c r="AP1687" i="4"/>
  <c r="AO1687" i="4"/>
  <c r="AN1687" i="4"/>
  <c r="AM1687" i="4"/>
  <c r="BH1687" i="4"/>
  <c r="AX1686" i="4"/>
  <c r="AW1686" i="4"/>
  <c r="AV1686" i="4"/>
  <c r="AP1686" i="4"/>
  <c r="AO1686" i="4"/>
  <c r="AN1686" i="4"/>
  <c r="AM1686" i="4"/>
  <c r="BH1686" i="4"/>
  <c r="AX1685" i="4"/>
  <c r="AW1685" i="4"/>
  <c r="AV1685" i="4"/>
  <c r="AP1685" i="4"/>
  <c r="AO1685" i="4"/>
  <c r="AN1685" i="4"/>
  <c r="AM1685" i="4"/>
  <c r="BH1685" i="4"/>
  <c r="AX1684" i="4"/>
  <c r="AW1684" i="4"/>
  <c r="AV1684" i="4"/>
  <c r="AP1684" i="4"/>
  <c r="AO1684" i="4"/>
  <c r="AN1684" i="4"/>
  <c r="AM1684" i="4"/>
  <c r="BH1684" i="4"/>
  <c r="AX1683" i="4"/>
  <c r="AW1683" i="4"/>
  <c r="AV1683" i="4"/>
  <c r="AP1683" i="4"/>
  <c r="AO1683" i="4"/>
  <c r="AN1683" i="4"/>
  <c r="AM1683" i="4"/>
  <c r="BH1683" i="4"/>
  <c r="AX1682" i="4"/>
  <c r="AW1682" i="4"/>
  <c r="AV1682" i="4"/>
  <c r="AP1682" i="4"/>
  <c r="AO1682" i="4"/>
  <c r="AN1682" i="4"/>
  <c r="AM1682" i="4"/>
  <c r="BH1682" i="4"/>
  <c r="AX1681" i="4"/>
  <c r="AW1681" i="4"/>
  <c r="AV1681" i="4"/>
  <c r="AP1681" i="4"/>
  <c r="AO1681" i="4"/>
  <c r="AN1681" i="4"/>
  <c r="AM1681" i="4"/>
  <c r="BH1681" i="4"/>
  <c r="AX1680" i="4"/>
  <c r="AW1680" i="4"/>
  <c r="AV1680" i="4"/>
  <c r="AP1680" i="4"/>
  <c r="AO1680" i="4"/>
  <c r="AN1680" i="4"/>
  <c r="AM1680" i="4"/>
  <c r="BH1680" i="4"/>
  <c r="AX1679" i="4"/>
  <c r="AW1679" i="4"/>
  <c r="AV1679" i="4"/>
  <c r="AP1679" i="4"/>
  <c r="AO1679" i="4"/>
  <c r="AN1679" i="4"/>
  <c r="AM1679" i="4"/>
  <c r="BH1679" i="4"/>
  <c r="AX1678" i="4"/>
  <c r="AW1678" i="4"/>
  <c r="AV1678" i="4"/>
  <c r="AP1678" i="4"/>
  <c r="AO1678" i="4"/>
  <c r="AN1678" i="4"/>
  <c r="AM1678" i="4"/>
  <c r="BH1678" i="4"/>
  <c r="AX1677" i="4"/>
  <c r="AW1677" i="4"/>
  <c r="AV1677" i="4"/>
  <c r="AP1677" i="4"/>
  <c r="AO1677" i="4"/>
  <c r="AN1677" i="4"/>
  <c r="AM1677" i="4"/>
  <c r="BH1677" i="4"/>
  <c r="AX1676" i="4"/>
  <c r="AW1676" i="4"/>
  <c r="AV1676" i="4"/>
  <c r="AP1676" i="4"/>
  <c r="AO1676" i="4"/>
  <c r="AN1676" i="4"/>
  <c r="AM1676" i="4"/>
  <c r="BH1676" i="4"/>
  <c r="AX1675" i="4"/>
  <c r="AW1675" i="4"/>
  <c r="AV1675" i="4"/>
  <c r="AP1675" i="4"/>
  <c r="AO1675" i="4"/>
  <c r="AN1675" i="4"/>
  <c r="AM1675" i="4"/>
  <c r="BH1675" i="4"/>
  <c r="AX1674" i="4"/>
  <c r="AW1674" i="4"/>
  <c r="AV1674" i="4"/>
  <c r="AP1674" i="4"/>
  <c r="AO1674" i="4"/>
  <c r="AN1674" i="4"/>
  <c r="AM1674" i="4"/>
  <c r="BH1674" i="4"/>
  <c r="AX1673" i="4"/>
  <c r="AW1673" i="4"/>
  <c r="AV1673" i="4"/>
  <c r="AP1673" i="4"/>
  <c r="AO1673" i="4"/>
  <c r="AN1673" i="4"/>
  <c r="AM1673" i="4"/>
  <c r="BH1673" i="4"/>
  <c r="AX1672" i="4"/>
  <c r="AW1672" i="4"/>
  <c r="AV1672" i="4"/>
  <c r="AP1672" i="4"/>
  <c r="AO1672" i="4"/>
  <c r="AN1672" i="4"/>
  <c r="AM1672" i="4"/>
  <c r="BH1672" i="4"/>
  <c r="AX1671" i="4"/>
  <c r="AW1671" i="4"/>
  <c r="AV1671" i="4"/>
  <c r="AP1671" i="4"/>
  <c r="AO1671" i="4"/>
  <c r="AN1671" i="4"/>
  <c r="AM1671" i="4"/>
  <c r="BH1671" i="4"/>
  <c r="AX1670" i="4"/>
  <c r="AW1670" i="4"/>
  <c r="AV1670" i="4"/>
  <c r="AP1670" i="4"/>
  <c r="AO1670" i="4"/>
  <c r="AN1670" i="4"/>
  <c r="AM1670" i="4"/>
  <c r="BH1670" i="4"/>
  <c r="AX1669" i="4"/>
  <c r="AW1669" i="4"/>
  <c r="AV1669" i="4"/>
  <c r="AP1669" i="4"/>
  <c r="AO1669" i="4"/>
  <c r="AN1669" i="4"/>
  <c r="AM1669" i="4"/>
  <c r="BH1669" i="4"/>
  <c r="AX1668" i="4"/>
  <c r="AW1668" i="4"/>
  <c r="AV1668" i="4"/>
  <c r="AP1668" i="4"/>
  <c r="AO1668" i="4"/>
  <c r="AN1668" i="4"/>
  <c r="AM1668" i="4"/>
  <c r="BH1668" i="4"/>
  <c r="AX1667" i="4"/>
  <c r="AW1667" i="4"/>
  <c r="AV1667" i="4"/>
  <c r="AP1667" i="4"/>
  <c r="AO1667" i="4"/>
  <c r="AN1667" i="4"/>
  <c r="AM1667" i="4"/>
  <c r="BH1667" i="4"/>
  <c r="AX1666" i="4"/>
  <c r="AW1666" i="4"/>
  <c r="AV1666" i="4"/>
  <c r="AP1666" i="4"/>
  <c r="AO1666" i="4"/>
  <c r="AN1666" i="4"/>
  <c r="AM1666" i="4"/>
  <c r="BH1666" i="4"/>
  <c r="AX1665" i="4"/>
  <c r="AW1665" i="4"/>
  <c r="AV1665" i="4"/>
  <c r="AP1665" i="4"/>
  <c r="AO1665" i="4"/>
  <c r="AN1665" i="4"/>
  <c r="AM1665" i="4"/>
  <c r="BH1665" i="4"/>
  <c r="AX1664" i="4"/>
  <c r="AW1664" i="4"/>
  <c r="AV1664" i="4"/>
  <c r="AP1664" i="4"/>
  <c r="AO1664" i="4"/>
  <c r="AN1664" i="4"/>
  <c r="AM1664" i="4"/>
  <c r="BH1664" i="4"/>
  <c r="AX1663" i="4"/>
  <c r="AW1663" i="4"/>
  <c r="AV1663" i="4"/>
  <c r="AP1663" i="4"/>
  <c r="AO1663" i="4"/>
  <c r="AN1663" i="4"/>
  <c r="AM1663" i="4"/>
  <c r="BH1663" i="4"/>
  <c r="AX1662" i="4"/>
  <c r="AW1662" i="4"/>
  <c r="AV1662" i="4"/>
  <c r="AP1662" i="4"/>
  <c r="AO1662" i="4"/>
  <c r="AN1662" i="4"/>
  <c r="AM1662" i="4"/>
  <c r="BH1662" i="4"/>
  <c r="AX1661" i="4"/>
  <c r="AW1661" i="4"/>
  <c r="AV1661" i="4"/>
  <c r="AP1661" i="4"/>
  <c r="AO1661" i="4"/>
  <c r="AN1661" i="4"/>
  <c r="AM1661" i="4"/>
  <c r="BH1661" i="4"/>
  <c r="AX1660" i="4"/>
  <c r="AW1660" i="4"/>
  <c r="AV1660" i="4"/>
  <c r="AP1660" i="4"/>
  <c r="AO1660" i="4"/>
  <c r="AN1660" i="4"/>
  <c r="AM1660" i="4"/>
  <c r="BH1660" i="4"/>
  <c r="AX1659" i="4"/>
  <c r="AW1659" i="4"/>
  <c r="AV1659" i="4"/>
  <c r="AP1659" i="4"/>
  <c r="AO1659" i="4"/>
  <c r="AN1659" i="4"/>
  <c r="AM1659" i="4"/>
  <c r="BH1659" i="4"/>
  <c r="AX1658" i="4"/>
  <c r="AW1658" i="4"/>
  <c r="AV1658" i="4"/>
  <c r="AP1658" i="4"/>
  <c r="AO1658" i="4"/>
  <c r="AN1658" i="4"/>
  <c r="AM1658" i="4"/>
  <c r="BH1658" i="4"/>
  <c r="AX1657" i="4"/>
  <c r="AW1657" i="4"/>
  <c r="AV1657" i="4"/>
  <c r="AP1657" i="4"/>
  <c r="AO1657" i="4"/>
  <c r="AN1657" i="4"/>
  <c r="AM1657" i="4"/>
  <c r="BH1657" i="4"/>
  <c r="AX1656" i="4"/>
  <c r="AW1656" i="4"/>
  <c r="AV1656" i="4"/>
  <c r="AP1656" i="4"/>
  <c r="AO1656" i="4"/>
  <c r="AN1656" i="4"/>
  <c r="AM1656" i="4"/>
  <c r="BH1656" i="4"/>
  <c r="AX1655" i="4"/>
  <c r="AW1655" i="4"/>
  <c r="AV1655" i="4"/>
  <c r="AP1655" i="4"/>
  <c r="AO1655" i="4"/>
  <c r="AN1655" i="4"/>
  <c r="AM1655" i="4"/>
  <c r="BH1655" i="4"/>
  <c r="AX1654" i="4"/>
  <c r="AW1654" i="4"/>
  <c r="AV1654" i="4"/>
  <c r="AP1654" i="4"/>
  <c r="AO1654" i="4"/>
  <c r="AN1654" i="4"/>
  <c r="AM1654" i="4"/>
  <c r="BH1654" i="4"/>
  <c r="AX1653" i="4"/>
  <c r="AW1653" i="4"/>
  <c r="AV1653" i="4"/>
  <c r="AP1653" i="4"/>
  <c r="AO1653" i="4"/>
  <c r="AN1653" i="4"/>
  <c r="AM1653" i="4"/>
  <c r="BH1653" i="4"/>
  <c r="AX1652" i="4"/>
  <c r="AW1652" i="4"/>
  <c r="AV1652" i="4"/>
  <c r="AP1652" i="4"/>
  <c r="AO1652" i="4"/>
  <c r="AN1652" i="4"/>
  <c r="AM1652" i="4"/>
  <c r="BH1652" i="4"/>
  <c r="AX1651" i="4"/>
  <c r="AW1651" i="4"/>
  <c r="AV1651" i="4"/>
  <c r="AP1651" i="4"/>
  <c r="AO1651" i="4"/>
  <c r="AN1651" i="4"/>
  <c r="AM1651" i="4"/>
  <c r="BH1651" i="4"/>
  <c r="AX1650" i="4"/>
  <c r="AW1650" i="4"/>
  <c r="AV1650" i="4"/>
  <c r="AP1650" i="4"/>
  <c r="AO1650" i="4"/>
  <c r="AN1650" i="4"/>
  <c r="AM1650" i="4"/>
  <c r="BH1650" i="4"/>
  <c r="AX1649" i="4"/>
  <c r="AW1649" i="4"/>
  <c r="AV1649" i="4"/>
  <c r="AP1649" i="4"/>
  <c r="AO1649" i="4"/>
  <c r="AN1649" i="4"/>
  <c r="AM1649" i="4"/>
  <c r="BH1649" i="4"/>
  <c r="AX1648" i="4"/>
  <c r="AW1648" i="4"/>
  <c r="AV1648" i="4"/>
  <c r="AP1648" i="4"/>
  <c r="AO1648" i="4"/>
  <c r="AN1648" i="4"/>
  <c r="AM1648" i="4"/>
  <c r="BH1648" i="4"/>
  <c r="AX1647" i="4"/>
  <c r="AW1647" i="4"/>
  <c r="AV1647" i="4"/>
  <c r="AP1647" i="4"/>
  <c r="AO1647" i="4"/>
  <c r="AN1647" i="4"/>
  <c r="AM1647" i="4"/>
  <c r="BH1647" i="4"/>
  <c r="AX1646" i="4"/>
  <c r="AW1646" i="4"/>
  <c r="AV1646" i="4"/>
  <c r="AP1646" i="4"/>
  <c r="AO1646" i="4"/>
  <c r="AN1646" i="4"/>
  <c r="AM1646" i="4"/>
  <c r="BH1646" i="4"/>
  <c r="AX1645" i="4"/>
  <c r="AW1645" i="4"/>
  <c r="AV1645" i="4"/>
  <c r="AP1645" i="4"/>
  <c r="AO1645" i="4"/>
  <c r="AN1645" i="4"/>
  <c r="AM1645" i="4"/>
  <c r="BH1645" i="4"/>
  <c r="AX1644" i="4"/>
  <c r="AW1644" i="4"/>
  <c r="AV1644" i="4"/>
  <c r="AP1644" i="4"/>
  <c r="AO1644" i="4"/>
  <c r="AN1644" i="4"/>
  <c r="AM1644" i="4"/>
  <c r="BH1644" i="4"/>
  <c r="AX1643" i="4"/>
  <c r="AW1643" i="4"/>
  <c r="AV1643" i="4"/>
  <c r="AP1643" i="4"/>
  <c r="AO1643" i="4"/>
  <c r="AN1643" i="4"/>
  <c r="AM1643" i="4"/>
  <c r="BH1643" i="4"/>
  <c r="AX1642" i="4"/>
  <c r="AW1642" i="4"/>
  <c r="AV1642" i="4"/>
  <c r="AP1642" i="4"/>
  <c r="AO1642" i="4"/>
  <c r="AN1642" i="4"/>
  <c r="AM1642" i="4"/>
  <c r="BH1642" i="4"/>
  <c r="AX1641" i="4"/>
  <c r="AW1641" i="4"/>
  <c r="AV1641" i="4"/>
  <c r="AP1641" i="4"/>
  <c r="AO1641" i="4"/>
  <c r="AN1641" i="4"/>
  <c r="AM1641" i="4"/>
  <c r="BH1641" i="4"/>
  <c r="AX1640" i="4"/>
  <c r="AW1640" i="4"/>
  <c r="AV1640" i="4"/>
  <c r="AP1640" i="4"/>
  <c r="AO1640" i="4"/>
  <c r="AN1640" i="4"/>
  <c r="AM1640" i="4"/>
  <c r="BH1640" i="4"/>
  <c r="AX1639" i="4"/>
  <c r="AW1639" i="4"/>
  <c r="AV1639" i="4"/>
  <c r="AP1639" i="4"/>
  <c r="AO1639" i="4"/>
  <c r="AN1639" i="4"/>
  <c r="AM1639" i="4"/>
  <c r="BH1639" i="4"/>
  <c r="AX1638" i="4"/>
  <c r="AW1638" i="4"/>
  <c r="AV1638" i="4"/>
  <c r="AP1638" i="4"/>
  <c r="AO1638" i="4"/>
  <c r="AN1638" i="4"/>
  <c r="AM1638" i="4"/>
  <c r="BH1638" i="4"/>
  <c r="AX1637" i="4"/>
  <c r="AW1637" i="4"/>
  <c r="AV1637" i="4"/>
  <c r="AP1637" i="4"/>
  <c r="AO1637" i="4"/>
  <c r="AN1637" i="4"/>
  <c r="AM1637" i="4"/>
  <c r="BH1637" i="4"/>
  <c r="AX1636" i="4"/>
  <c r="AW1636" i="4"/>
  <c r="AV1636" i="4"/>
  <c r="AP1636" i="4"/>
  <c r="AO1636" i="4"/>
  <c r="AN1636" i="4"/>
  <c r="AM1636" i="4"/>
  <c r="BH1636" i="4"/>
  <c r="AX1635" i="4"/>
  <c r="AW1635" i="4"/>
  <c r="AV1635" i="4"/>
  <c r="AP1635" i="4"/>
  <c r="AO1635" i="4"/>
  <c r="AN1635" i="4"/>
  <c r="AM1635" i="4"/>
  <c r="BH1635" i="4"/>
  <c r="AX1634" i="4"/>
  <c r="AW1634" i="4"/>
  <c r="AV1634" i="4"/>
  <c r="AP1634" i="4"/>
  <c r="AO1634" i="4"/>
  <c r="AN1634" i="4"/>
  <c r="AM1634" i="4"/>
  <c r="BH1634" i="4"/>
  <c r="AX1633" i="4"/>
  <c r="AW1633" i="4"/>
  <c r="AV1633" i="4"/>
  <c r="AP1633" i="4"/>
  <c r="AO1633" i="4"/>
  <c r="AN1633" i="4"/>
  <c r="AM1633" i="4"/>
  <c r="BH1633" i="4"/>
  <c r="AX1632" i="4"/>
  <c r="AW1632" i="4"/>
  <c r="AV1632" i="4"/>
  <c r="AP1632" i="4"/>
  <c r="AO1632" i="4"/>
  <c r="AN1632" i="4"/>
  <c r="AM1632" i="4"/>
  <c r="BH1632" i="4"/>
  <c r="AX1631" i="4"/>
  <c r="AW1631" i="4"/>
  <c r="AV1631" i="4"/>
  <c r="AP1631" i="4"/>
  <c r="AO1631" i="4"/>
  <c r="AN1631" i="4"/>
  <c r="AM1631" i="4"/>
  <c r="BH1631" i="4"/>
  <c r="AX1630" i="4"/>
  <c r="AW1630" i="4"/>
  <c r="AV1630" i="4"/>
  <c r="AP1630" i="4"/>
  <c r="AO1630" i="4"/>
  <c r="AN1630" i="4"/>
  <c r="AM1630" i="4"/>
  <c r="BH1630" i="4"/>
  <c r="AX1629" i="4"/>
  <c r="AW1629" i="4"/>
  <c r="AV1629" i="4"/>
  <c r="AP1629" i="4"/>
  <c r="AO1629" i="4"/>
  <c r="AN1629" i="4"/>
  <c r="AM1629" i="4"/>
  <c r="BH1629" i="4"/>
  <c r="AX1628" i="4"/>
  <c r="AW1628" i="4"/>
  <c r="AV1628" i="4"/>
  <c r="AP1628" i="4"/>
  <c r="AO1628" i="4"/>
  <c r="AN1628" i="4"/>
  <c r="AM1628" i="4"/>
  <c r="BH1628" i="4"/>
  <c r="AX1627" i="4"/>
  <c r="AW1627" i="4"/>
  <c r="AV1627" i="4"/>
  <c r="AP1627" i="4"/>
  <c r="AO1627" i="4"/>
  <c r="AN1627" i="4"/>
  <c r="AM1627" i="4"/>
  <c r="BH1627" i="4"/>
  <c r="AX1626" i="4"/>
  <c r="AW1626" i="4"/>
  <c r="AV1626" i="4"/>
  <c r="AP1626" i="4"/>
  <c r="AO1626" i="4"/>
  <c r="AN1626" i="4"/>
  <c r="AM1626" i="4"/>
  <c r="BH1626" i="4"/>
  <c r="AX1625" i="4"/>
  <c r="AW1625" i="4"/>
  <c r="AV1625" i="4"/>
  <c r="AP1625" i="4"/>
  <c r="AO1625" i="4"/>
  <c r="AN1625" i="4"/>
  <c r="AM1625" i="4"/>
  <c r="BH1625" i="4"/>
  <c r="AX1624" i="4"/>
  <c r="AW1624" i="4"/>
  <c r="AV1624" i="4"/>
  <c r="AP1624" i="4"/>
  <c r="AO1624" i="4"/>
  <c r="AN1624" i="4"/>
  <c r="AM1624" i="4"/>
  <c r="BH1624" i="4"/>
  <c r="AX1623" i="4"/>
  <c r="AW1623" i="4"/>
  <c r="AV1623" i="4"/>
  <c r="AP1623" i="4"/>
  <c r="AO1623" i="4"/>
  <c r="AN1623" i="4"/>
  <c r="AM1623" i="4"/>
  <c r="BH1623" i="4"/>
  <c r="AX1622" i="4"/>
  <c r="AW1622" i="4"/>
  <c r="AV1622" i="4"/>
  <c r="AP1622" i="4"/>
  <c r="AO1622" i="4"/>
  <c r="AN1622" i="4"/>
  <c r="AM1622" i="4"/>
  <c r="BH1622" i="4"/>
  <c r="AX1621" i="4"/>
  <c r="AW1621" i="4"/>
  <c r="AV1621" i="4"/>
  <c r="AP1621" i="4"/>
  <c r="AO1621" i="4"/>
  <c r="AN1621" i="4"/>
  <c r="AM1621" i="4"/>
  <c r="BH1621" i="4"/>
  <c r="AX1620" i="4"/>
  <c r="AW1620" i="4"/>
  <c r="AV1620" i="4"/>
  <c r="AP1620" i="4"/>
  <c r="AO1620" i="4"/>
  <c r="AN1620" i="4"/>
  <c r="AM1620" i="4"/>
  <c r="BH1620" i="4"/>
  <c r="AX1619" i="4"/>
  <c r="AW1619" i="4"/>
  <c r="AV1619" i="4"/>
  <c r="AP1619" i="4"/>
  <c r="AO1619" i="4"/>
  <c r="AN1619" i="4"/>
  <c r="AM1619" i="4"/>
  <c r="BH1619" i="4"/>
  <c r="AX1618" i="4"/>
  <c r="AW1618" i="4"/>
  <c r="AV1618" i="4"/>
  <c r="AP1618" i="4"/>
  <c r="AO1618" i="4"/>
  <c r="AN1618" i="4"/>
  <c r="AM1618" i="4"/>
  <c r="BH1618" i="4"/>
  <c r="AX1617" i="4"/>
  <c r="AW1617" i="4"/>
  <c r="AV1617" i="4"/>
  <c r="AP1617" i="4"/>
  <c r="AO1617" i="4"/>
  <c r="AN1617" i="4"/>
  <c r="AM1617" i="4"/>
  <c r="BH1617" i="4"/>
  <c r="AX1616" i="4"/>
  <c r="AW1616" i="4"/>
  <c r="AV1616" i="4"/>
  <c r="AP1616" i="4"/>
  <c r="AO1616" i="4"/>
  <c r="AN1616" i="4"/>
  <c r="AM1616" i="4"/>
  <c r="BH1616" i="4"/>
  <c r="AX1615" i="4"/>
  <c r="AW1615" i="4"/>
  <c r="AV1615" i="4"/>
  <c r="AP1615" i="4"/>
  <c r="AO1615" i="4"/>
  <c r="AN1615" i="4"/>
  <c r="AM1615" i="4"/>
  <c r="BH1615" i="4"/>
  <c r="AX1614" i="4"/>
  <c r="AW1614" i="4"/>
  <c r="AV1614" i="4"/>
  <c r="AP1614" i="4"/>
  <c r="AO1614" i="4"/>
  <c r="AN1614" i="4"/>
  <c r="AM1614" i="4"/>
  <c r="BH1614" i="4"/>
  <c r="AX1613" i="4"/>
  <c r="AW1613" i="4"/>
  <c r="AV1613" i="4"/>
  <c r="AP1613" i="4"/>
  <c r="AO1613" i="4"/>
  <c r="AN1613" i="4"/>
  <c r="AM1613" i="4"/>
  <c r="BH1613" i="4"/>
  <c r="AX1612" i="4"/>
  <c r="AW1612" i="4"/>
  <c r="AV1612" i="4"/>
  <c r="AP1612" i="4"/>
  <c r="AO1612" i="4"/>
  <c r="AN1612" i="4"/>
  <c r="AM1612" i="4"/>
  <c r="BH1612" i="4"/>
  <c r="AX1611" i="4"/>
  <c r="AW1611" i="4"/>
  <c r="AV1611" i="4"/>
  <c r="AP1611" i="4"/>
  <c r="AO1611" i="4"/>
  <c r="AN1611" i="4"/>
  <c r="AM1611" i="4"/>
  <c r="BH1611" i="4"/>
  <c r="AX1610" i="4"/>
  <c r="AW1610" i="4"/>
  <c r="AV1610" i="4"/>
  <c r="AP1610" i="4"/>
  <c r="AO1610" i="4"/>
  <c r="AN1610" i="4"/>
  <c r="AM1610" i="4"/>
  <c r="BH1610" i="4"/>
  <c r="AX1609" i="4"/>
  <c r="AW1609" i="4"/>
  <c r="AV1609" i="4"/>
  <c r="AP1609" i="4"/>
  <c r="AO1609" i="4"/>
  <c r="AN1609" i="4"/>
  <c r="AM1609" i="4"/>
  <c r="BH1609" i="4"/>
  <c r="AX1608" i="4"/>
  <c r="AW1608" i="4"/>
  <c r="AV1608" i="4"/>
  <c r="AP1608" i="4"/>
  <c r="AO1608" i="4"/>
  <c r="AN1608" i="4"/>
  <c r="AM1608" i="4"/>
  <c r="BH1608" i="4"/>
  <c r="AX1607" i="4"/>
  <c r="AW1607" i="4"/>
  <c r="AV1607" i="4"/>
  <c r="AP1607" i="4"/>
  <c r="AO1607" i="4"/>
  <c r="AN1607" i="4"/>
  <c r="AM1607" i="4"/>
  <c r="BH1607" i="4"/>
  <c r="AX1606" i="4"/>
  <c r="AW1606" i="4"/>
  <c r="AV1606" i="4"/>
  <c r="AP1606" i="4"/>
  <c r="AO1606" i="4"/>
  <c r="AN1606" i="4"/>
  <c r="AM1606" i="4"/>
  <c r="BH1606" i="4"/>
  <c r="AX1605" i="4"/>
  <c r="AW1605" i="4"/>
  <c r="AV1605" i="4"/>
  <c r="AP1605" i="4"/>
  <c r="AO1605" i="4"/>
  <c r="AN1605" i="4"/>
  <c r="AM1605" i="4"/>
  <c r="BH1605" i="4"/>
  <c r="AX1604" i="4"/>
  <c r="AW1604" i="4"/>
  <c r="AV1604" i="4"/>
  <c r="AP1604" i="4"/>
  <c r="AO1604" i="4"/>
  <c r="AN1604" i="4"/>
  <c r="AM1604" i="4"/>
  <c r="BH1604" i="4"/>
  <c r="AX1603" i="4"/>
  <c r="AW1603" i="4"/>
  <c r="AV1603" i="4"/>
  <c r="AP1603" i="4"/>
  <c r="AO1603" i="4"/>
  <c r="AN1603" i="4"/>
  <c r="AM1603" i="4"/>
  <c r="BH1603" i="4"/>
  <c r="AX1602" i="4"/>
  <c r="AW1602" i="4"/>
  <c r="AV1602" i="4"/>
  <c r="AP1602" i="4"/>
  <c r="AO1602" i="4"/>
  <c r="AN1602" i="4"/>
  <c r="AM1602" i="4"/>
  <c r="BH1602" i="4"/>
  <c r="AX1601" i="4"/>
  <c r="AW1601" i="4"/>
  <c r="AV1601" i="4"/>
  <c r="AP1601" i="4"/>
  <c r="AO1601" i="4"/>
  <c r="AN1601" i="4"/>
  <c r="AM1601" i="4"/>
  <c r="BH1601" i="4"/>
  <c r="AX1600" i="4"/>
  <c r="AW1600" i="4"/>
  <c r="AV1600" i="4"/>
  <c r="AP1600" i="4"/>
  <c r="AO1600" i="4"/>
  <c r="AN1600" i="4"/>
  <c r="AM1600" i="4"/>
  <c r="BH1600" i="4"/>
  <c r="AX1599" i="4"/>
  <c r="AW1599" i="4"/>
  <c r="AV1599" i="4"/>
  <c r="AP1599" i="4"/>
  <c r="AO1599" i="4"/>
  <c r="AN1599" i="4"/>
  <c r="AM1599" i="4"/>
  <c r="BH1599" i="4"/>
  <c r="AX1598" i="4"/>
  <c r="AW1598" i="4"/>
  <c r="AV1598" i="4"/>
  <c r="AP1598" i="4"/>
  <c r="AO1598" i="4"/>
  <c r="AN1598" i="4"/>
  <c r="AM1598" i="4"/>
  <c r="BH1598" i="4"/>
  <c r="AX1597" i="4"/>
  <c r="AW1597" i="4"/>
  <c r="AV1597" i="4"/>
  <c r="AP1597" i="4"/>
  <c r="AO1597" i="4"/>
  <c r="AN1597" i="4"/>
  <c r="AM1597" i="4"/>
  <c r="BH1597" i="4"/>
  <c r="AX1596" i="4"/>
  <c r="AW1596" i="4"/>
  <c r="AV1596" i="4"/>
  <c r="AP1596" i="4"/>
  <c r="AO1596" i="4"/>
  <c r="AN1596" i="4"/>
  <c r="AM1596" i="4"/>
  <c r="BH1596" i="4"/>
  <c r="AX1595" i="4"/>
  <c r="AW1595" i="4"/>
  <c r="AV1595" i="4"/>
  <c r="AP1595" i="4"/>
  <c r="AO1595" i="4"/>
  <c r="AN1595" i="4"/>
  <c r="AM1595" i="4"/>
  <c r="BH1595" i="4"/>
  <c r="AX1594" i="4"/>
  <c r="AW1594" i="4"/>
  <c r="AV1594" i="4"/>
  <c r="AP1594" i="4"/>
  <c r="AO1594" i="4"/>
  <c r="AN1594" i="4"/>
  <c r="AM1594" i="4"/>
  <c r="BH1594" i="4"/>
  <c r="AX1593" i="4"/>
  <c r="AW1593" i="4"/>
  <c r="AV1593" i="4"/>
  <c r="AP1593" i="4"/>
  <c r="AO1593" i="4"/>
  <c r="AN1593" i="4"/>
  <c r="AM1593" i="4"/>
  <c r="BH1593" i="4"/>
  <c r="AX1592" i="4"/>
  <c r="AW1592" i="4"/>
  <c r="AV1592" i="4"/>
  <c r="AP1592" i="4"/>
  <c r="AO1592" i="4"/>
  <c r="AN1592" i="4"/>
  <c r="AM1592" i="4"/>
  <c r="BH1592" i="4"/>
  <c r="AX1591" i="4"/>
  <c r="AW1591" i="4"/>
  <c r="AV1591" i="4"/>
  <c r="AP1591" i="4"/>
  <c r="AO1591" i="4"/>
  <c r="AN1591" i="4"/>
  <c r="AM1591" i="4"/>
  <c r="BH1591" i="4"/>
  <c r="AX1590" i="4"/>
  <c r="AW1590" i="4"/>
  <c r="AV1590" i="4"/>
  <c r="AP1590" i="4"/>
  <c r="AO1590" i="4"/>
  <c r="AN1590" i="4"/>
  <c r="AM1590" i="4"/>
  <c r="BH1590" i="4"/>
  <c r="AX1589" i="4"/>
  <c r="AW1589" i="4"/>
  <c r="AV1589" i="4"/>
  <c r="AP1589" i="4"/>
  <c r="AO1589" i="4"/>
  <c r="AN1589" i="4"/>
  <c r="AM1589" i="4"/>
  <c r="BH1589" i="4"/>
  <c r="AX1588" i="4"/>
  <c r="AW1588" i="4"/>
  <c r="AV1588" i="4"/>
  <c r="AP1588" i="4"/>
  <c r="AO1588" i="4"/>
  <c r="AN1588" i="4"/>
  <c r="AM1588" i="4"/>
  <c r="BH1588" i="4"/>
  <c r="AX1587" i="4"/>
  <c r="AW1587" i="4"/>
  <c r="AV1587" i="4"/>
  <c r="AP1587" i="4"/>
  <c r="AO1587" i="4"/>
  <c r="AN1587" i="4"/>
  <c r="AM1587" i="4"/>
  <c r="BH1587" i="4"/>
  <c r="AX1586" i="4"/>
  <c r="AW1586" i="4"/>
  <c r="AV1586" i="4"/>
  <c r="AP1586" i="4"/>
  <c r="AO1586" i="4"/>
  <c r="AN1586" i="4"/>
  <c r="AM1586" i="4"/>
  <c r="BH1586" i="4"/>
  <c r="AX1585" i="4"/>
  <c r="AW1585" i="4"/>
  <c r="AV1585" i="4"/>
  <c r="AP1585" i="4"/>
  <c r="AO1585" i="4"/>
  <c r="AN1585" i="4"/>
  <c r="AM1585" i="4"/>
  <c r="BH1585" i="4"/>
  <c r="AX1584" i="4"/>
  <c r="AW1584" i="4"/>
  <c r="AV1584" i="4"/>
  <c r="AP1584" i="4"/>
  <c r="AO1584" i="4"/>
  <c r="AN1584" i="4"/>
  <c r="AM1584" i="4"/>
  <c r="BH1584" i="4"/>
  <c r="AX1583" i="4"/>
  <c r="AW1583" i="4"/>
  <c r="AV1583" i="4"/>
  <c r="AP1583" i="4"/>
  <c r="AO1583" i="4"/>
  <c r="AN1583" i="4"/>
  <c r="AM1583" i="4"/>
  <c r="BH1583" i="4"/>
  <c r="AX1582" i="4"/>
  <c r="AW1582" i="4"/>
  <c r="AV1582" i="4"/>
  <c r="AP1582" i="4"/>
  <c r="AO1582" i="4"/>
  <c r="AN1582" i="4"/>
  <c r="AM1582" i="4"/>
  <c r="BH1582" i="4"/>
  <c r="AX1581" i="4"/>
  <c r="AW1581" i="4"/>
  <c r="AV1581" i="4"/>
  <c r="AP1581" i="4"/>
  <c r="AO1581" i="4"/>
  <c r="AN1581" i="4"/>
  <c r="AM1581" i="4"/>
  <c r="BH1581" i="4"/>
  <c r="AX1580" i="4"/>
  <c r="AW1580" i="4"/>
  <c r="AV1580" i="4"/>
  <c r="AP1580" i="4"/>
  <c r="AO1580" i="4"/>
  <c r="AN1580" i="4"/>
  <c r="AM1580" i="4"/>
  <c r="BH1580" i="4"/>
  <c r="AX1579" i="4"/>
  <c r="AW1579" i="4"/>
  <c r="AV1579" i="4"/>
  <c r="AP1579" i="4"/>
  <c r="AO1579" i="4"/>
  <c r="AN1579" i="4"/>
  <c r="AM1579" i="4"/>
  <c r="BH1579" i="4"/>
  <c r="AX1578" i="4"/>
  <c r="AW1578" i="4"/>
  <c r="AV1578" i="4"/>
  <c r="AP1578" i="4"/>
  <c r="AO1578" i="4"/>
  <c r="AN1578" i="4"/>
  <c r="AM1578" i="4"/>
  <c r="BH1578" i="4"/>
  <c r="AX1577" i="4"/>
  <c r="AW1577" i="4"/>
  <c r="AV1577" i="4"/>
  <c r="AP1577" i="4"/>
  <c r="AO1577" i="4"/>
  <c r="AN1577" i="4"/>
  <c r="AM1577" i="4"/>
  <c r="BH1577" i="4"/>
  <c r="AX1576" i="4"/>
  <c r="AW1576" i="4"/>
  <c r="AV1576" i="4"/>
  <c r="AP1576" i="4"/>
  <c r="AO1576" i="4"/>
  <c r="AN1576" i="4"/>
  <c r="AM1576" i="4"/>
  <c r="BH1576" i="4"/>
  <c r="AX1575" i="4"/>
  <c r="AW1575" i="4"/>
  <c r="AV1575" i="4"/>
  <c r="AP1575" i="4"/>
  <c r="AO1575" i="4"/>
  <c r="AN1575" i="4"/>
  <c r="AM1575" i="4"/>
  <c r="BH1575" i="4"/>
  <c r="AX1574" i="4"/>
  <c r="AW1574" i="4"/>
  <c r="AV1574" i="4"/>
  <c r="AP1574" i="4"/>
  <c r="AO1574" i="4"/>
  <c r="AN1574" i="4"/>
  <c r="AM1574" i="4"/>
  <c r="BH1574" i="4"/>
  <c r="AX1573" i="4"/>
  <c r="AW1573" i="4"/>
  <c r="AV1573" i="4"/>
  <c r="AP1573" i="4"/>
  <c r="AO1573" i="4"/>
  <c r="AN1573" i="4"/>
  <c r="AM1573" i="4"/>
  <c r="BH1573" i="4"/>
  <c r="AX1572" i="4"/>
  <c r="AW1572" i="4"/>
  <c r="AV1572" i="4"/>
  <c r="AP1572" i="4"/>
  <c r="AO1572" i="4"/>
  <c r="AN1572" i="4"/>
  <c r="AM1572" i="4"/>
  <c r="BH1572" i="4"/>
  <c r="AX1571" i="4"/>
  <c r="AW1571" i="4"/>
  <c r="AV1571" i="4"/>
  <c r="AP1571" i="4"/>
  <c r="AO1571" i="4"/>
  <c r="AN1571" i="4"/>
  <c r="AM1571" i="4"/>
  <c r="BH1571" i="4"/>
  <c r="AX1570" i="4"/>
  <c r="AW1570" i="4"/>
  <c r="AV1570" i="4"/>
  <c r="AP1570" i="4"/>
  <c r="AO1570" i="4"/>
  <c r="AN1570" i="4"/>
  <c r="AM1570" i="4"/>
  <c r="BH1570" i="4"/>
  <c r="AX1569" i="4"/>
  <c r="AW1569" i="4"/>
  <c r="AV1569" i="4"/>
  <c r="AP1569" i="4"/>
  <c r="AO1569" i="4"/>
  <c r="AN1569" i="4"/>
  <c r="AM1569" i="4"/>
  <c r="BH1569" i="4"/>
  <c r="AX1568" i="4"/>
  <c r="AW1568" i="4"/>
  <c r="AV1568" i="4"/>
  <c r="AP1568" i="4"/>
  <c r="AO1568" i="4"/>
  <c r="AN1568" i="4"/>
  <c r="AM1568" i="4"/>
  <c r="BH1568" i="4"/>
  <c r="AX1567" i="4"/>
  <c r="AW1567" i="4"/>
  <c r="AV1567" i="4"/>
  <c r="AP1567" i="4"/>
  <c r="AO1567" i="4"/>
  <c r="AN1567" i="4"/>
  <c r="AM1567" i="4"/>
  <c r="BH1567" i="4"/>
  <c r="AX1566" i="4"/>
  <c r="AW1566" i="4"/>
  <c r="AV1566" i="4"/>
  <c r="AP1566" i="4"/>
  <c r="AO1566" i="4"/>
  <c r="AN1566" i="4"/>
  <c r="AM1566" i="4"/>
  <c r="BH1566" i="4"/>
  <c r="AX1565" i="4"/>
  <c r="AW1565" i="4"/>
  <c r="AV1565" i="4"/>
  <c r="AP1565" i="4"/>
  <c r="AO1565" i="4"/>
  <c r="AN1565" i="4"/>
  <c r="AM1565" i="4"/>
  <c r="BH1565" i="4"/>
  <c r="AX1564" i="4"/>
  <c r="AW1564" i="4"/>
  <c r="AV1564" i="4"/>
  <c r="AP1564" i="4"/>
  <c r="AO1564" i="4"/>
  <c r="AN1564" i="4"/>
  <c r="AM1564" i="4"/>
  <c r="BH1564" i="4"/>
  <c r="AX1563" i="4"/>
  <c r="AW1563" i="4"/>
  <c r="AV1563" i="4"/>
  <c r="AP1563" i="4"/>
  <c r="AO1563" i="4"/>
  <c r="AN1563" i="4"/>
  <c r="AM1563" i="4"/>
  <c r="BH1563" i="4"/>
  <c r="AX1562" i="4"/>
  <c r="AW1562" i="4"/>
  <c r="AV1562" i="4"/>
  <c r="AP1562" i="4"/>
  <c r="AO1562" i="4"/>
  <c r="AN1562" i="4"/>
  <c r="AM1562" i="4"/>
  <c r="BH1562" i="4"/>
  <c r="AX1561" i="4"/>
  <c r="AW1561" i="4"/>
  <c r="AV1561" i="4"/>
  <c r="AP1561" i="4"/>
  <c r="AO1561" i="4"/>
  <c r="AN1561" i="4"/>
  <c r="AM1561" i="4"/>
  <c r="BH1561" i="4"/>
  <c r="AX1560" i="4"/>
  <c r="AW1560" i="4"/>
  <c r="AV1560" i="4"/>
  <c r="AP1560" i="4"/>
  <c r="AO1560" i="4"/>
  <c r="AN1560" i="4"/>
  <c r="AM1560" i="4"/>
  <c r="BH1560" i="4"/>
  <c r="AX1559" i="4"/>
  <c r="AW1559" i="4"/>
  <c r="AV1559" i="4"/>
  <c r="AP1559" i="4"/>
  <c r="AO1559" i="4"/>
  <c r="AN1559" i="4"/>
  <c r="AM1559" i="4"/>
  <c r="BH1559" i="4"/>
  <c r="AX1558" i="4"/>
  <c r="AW1558" i="4"/>
  <c r="AV1558" i="4"/>
  <c r="AP1558" i="4"/>
  <c r="AO1558" i="4"/>
  <c r="AN1558" i="4"/>
  <c r="AM1558" i="4"/>
  <c r="BH1558" i="4"/>
  <c r="AX1557" i="4"/>
  <c r="AW1557" i="4"/>
  <c r="AV1557" i="4"/>
  <c r="AP1557" i="4"/>
  <c r="AO1557" i="4"/>
  <c r="AN1557" i="4"/>
  <c r="AM1557" i="4"/>
  <c r="BH1557" i="4"/>
  <c r="AX1556" i="4"/>
  <c r="AW1556" i="4"/>
  <c r="AV1556" i="4"/>
  <c r="AP1556" i="4"/>
  <c r="AO1556" i="4"/>
  <c r="AN1556" i="4"/>
  <c r="AM1556" i="4"/>
  <c r="BH1556" i="4"/>
  <c r="AX1555" i="4"/>
  <c r="AW1555" i="4"/>
  <c r="AV1555" i="4"/>
  <c r="AP1555" i="4"/>
  <c r="AO1555" i="4"/>
  <c r="AN1555" i="4"/>
  <c r="AM1555" i="4"/>
  <c r="BH1555" i="4"/>
  <c r="AX1554" i="4"/>
  <c r="AW1554" i="4"/>
  <c r="AV1554" i="4"/>
  <c r="AP1554" i="4"/>
  <c r="AO1554" i="4"/>
  <c r="AN1554" i="4"/>
  <c r="AM1554" i="4"/>
  <c r="BH1554" i="4"/>
  <c r="AX1553" i="4"/>
  <c r="AW1553" i="4"/>
  <c r="AV1553" i="4"/>
  <c r="AP1553" i="4"/>
  <c r="AO1553" i="4"/>
  <c r="AN1553" i="4"/>
  <c r="AM1553" i="4"/>
  <c r="BH1553" i="4"/>
  <c r="AX1552" i="4"/>
  <c r="AW1552" i="4"/>
  <c r="AV1552" i="4"/>
  <c r="AP1552" i="4"/>
  <c r="AO1552" i="4"/>
  <c r="AN1552" i="4"/>
  <c r="AM1552" i="4"/>
  <c r="BH1552" i="4"/>
  <c r="AX1551" i="4"/>
  <c r="AW1551" i="4"/>
  <c r="AV1551" i="4"/>
  <c r="AP1551" i="4"/>
  <c r="AO1551" i="4"/>
  <c r="AN1551" i="4"/>
  <c r="AM1551" i="4"/>
  <c r="BH1551" i="4"/>
  <c r="AX1550" i="4"/>
  <c r="AW1550" i="4"/>
  <c r="AV1550" i="4"/>
  <c r="AP1550" i="4"/>
  <c r="AO1550" i="4"/>
  <c r="AN1550" i="4"/>
  <c r="AM1550" i="4"/>
  <c r="BH1550" i="4"/>
  <c r="AX1549" i="4"/>
  <c r="AW1549" i="4"/>
  <c r="AV1549" i="4"/>
  <c r="AP1549" i="4"/>
  <c r="AO1549" i="4"/>
  <c r="AN1549" i="4"/>
  <c r="AM1549" i="4"/>
  <c r="BH1549" i="4"/>
  <c r="AX1548" i="4"/>
  <c r="AW1548" i="4"/>
  <c r="AV1548" i="4"/>
  <c r="AP1548" i="4"/>
  <c r="AO1548" i="4"/>
  <c r="AN1548" i="4"/>
  <c r="AM1548" i="4"/>
  <c r="BH1548" i="4"/>
  <c r="AX1547" i="4"/>
  <c r="AW1547" i="4"/>
  <c r="AV1547" i="4"/>
  <c r="AP1547" i="4"/>
  <c r="AO1547" i="4"/>
  <c r="AN1547" i="4"/>
  <c r="AM1547" i="4"/>
  <c r="BH1547" i="4"/>
  <c r="AX1546" i="4"/>
  <c r="AW1546" i="4"/>
  <c r="AV1546" i="4"/>
  <c r="AP1546" i="4"/>
  <c r="AO1546" i="4"/>
  <c r="AN1546" i="4"/>
  <c r="AM1546" i="4"/>
  <c r="BH1546" i="4"/>
  <c r="AX1545" i="4"/>
  <c r="AW1545" i="4"/>
  <c r="AV1545" i="4"/>
  <c r="AP1545" i="4"/>
  <c r="AO1545" i="4"/>
  <c r="AN1545" i="4"/>
  <c r="AM1545" i="4"/>
  <c r="BH1545" i="4"/>
  <c r="AX1544" i="4"/>
  <c r="AW1544" i="4"/>
  <c r="AV1544" i="4"/>
  <c r="AP1544" i="4"/>
  <c r="AO1544" i="4"/>
  <c r="AN1544" i="4"/>
  <c r="AM1544" i="4"/>
  <c r="BH1544" i="4"/>
  <c r="AX1543" i="4"/>
  <c r="AW1543" i="4"/>
  <c r="AV1543" i="4"/>
  <c r="AP1543" i="4"/>
  <c r="AO1543" i="4"/>
  <c r="AN1543" i="4"/>
  <c r="AM1543" i="4"/>
  <c r="BH1543" i="4"/>
  <c r="AX1542" i="4"/>
  <c r="AW1542" i="4"/>
  <c r="AV1542" i="4"/>
  <c r="AP1542" i="4"/>
  <c r="AO1542" i="4"/>
  <c r="AN1542" i="4"/>
  <c r="AM1542" i="4"/>
  <c r="BH1542" i="4"/>
  <c r="AX1541" i="4"/>
  <c r="AW1541" i="4"/>
  <c r="AV1541" i="4"/>
  <c r="AP1541" i="4"/>
  <c r="AO1541" i="4"/>
  <c r="AN1541" i="4"/>
  <c r="AM1541" i="4"/>
  <c r="BH1541" i="4"/>
  <c r="AX1540" i="4"/>
  <c r="AW1540" i="4"/>
  <c r="AV1540" i="4"/>
  <c r="AP1540" i="4"/>
  <c r="AO1540" i="4"/>
  <c r="AN1540" i="4"/>
  <c r="AM1540" i="4"/>
  <c r="BH1540" i="4"/>
  <c r="AX1539" i="4"/>
  <c r="AW1539" i="4"/>
  <c r="AV1539" i="4"/>
  <c r="AP1539" i="4"/>
  <c r="AO1539" i="4"/>
  <c r="AN1539" i="4"/>
  <c r="AM1539" i="4"/>
  <c r="BH1539" i="4"/>
  <c r="AX1538" i="4"/>
  <c r="AW1538" i="4"/>
  <c r="AV1538" i="4"/>
  <c r="AP1538" i="4"/>
  <c r="AO1538" i="4"/>
  <c r="AN1538" i="4"/>
  <c r="AM1538" i="4"/>
  <c r="BH1538" i="4"/>
  <c r="AX1537" i="4"/>
  <c r="AW1537" i="4"/>
  <c r="AV1537" i="4"/>
  <c r="AP1537" i="4"/>
  <c r="AO1537" i="4"/>
  <c r="AN1537" i="4"/>
  <c r="AM1537" i="4"/>
  <c r="BH1537" i="4"/>
  <c r="AX1536" i="4"/>
  <c r="AW1536" i="4"/>
  <c r="AV1536" i="4"/>
  <c r="AP1536" i="4"/>
  <c r="AO1536" i="4"/>
  <c r="AN1536" i="4"/>
  <c r="AM1536" i="4"/>
  <c r="BH1536" i="4"/>
  <c r="AX1535" i="4"/>
  <c r="AW1535" i="4"/>
  <c r="AV1535" i="4"/>
  <c r="AP1535" i="4"/>
  <c r="AO1535" i="4"/>
  <c r="AN1535" i="4"/>
  <c r="AM1535" i="4"/>
  <c r="BH1535" i="4"/>
  <c r="AX1534" i="4"/>
  <c r="AW1534" i="4"/>
  <c r="AV1534" i="4"/>
  <c r="AP1534" i="4"/>
  <c r="AO1534" i="4"/>
  <c r="AN1534" i="4"/>
  <c r="AM1534" i="4"/>
  <c r="BH1534" i="4"/>
  <c r="AX1533" i="4"/>
  <c r="AW1533" i="4"/>
  <c r="AV1533" i="4"/>
  <c r="AP1533" i="4"/>
  <c r="AO1533" i="4"/>
  <c r="AN1533" i="4"/>
  <c r="AM1533" i="4"/>
  <c r="BH1533" i="4"/>
  <c r="AX1532" i="4"/>
  <c r="AW1532" i="4"/>
  <c r="AV1532" i="4"/>
  <c r="AP1532" i="4"/>
  <c r="AO1532" i="4"/>
  <c r="AN1532" i="4"/>
  <c r="AM1532" i="4"/>
  <c r="BH1532" i="4"/>
  <c r="AX1531" i="4"/>
  <c r="AW1531" i="4"/>
  <c r="AV1531" i="4"/>
  <c r="AP1531" i="4"/>
  <c r="AO1531" i="4"/>
  <c r="AN1531" i="4"/>
  <c r="AM1531" i="4"/>
  <c r="BH1531" i="4"/>
  <c r="AX1530" i="4"/>
  <c r="AW1530" i="4"/>
  <c r="AV1530" i="4"/>
  <c r="AP1530" i="4"/>
  <c r="AO1530" i="4"/>
  <c r="AN1530" i="4"/>
  <c r="AM1530" i="4"/>
  <c r="BH1530" i="4"/>
  <c r="AX1529" i="4"/>
  <c r="AW1529" i="4"/>
  <c r="AV1529" i="4"/>
  <c r="AP1529" i="4"/>
  <c r="AO1529" i="4"/>
  <c r="AN1529" i="4"/>
  <c r="AM1529" i="4"/>
  <c r="BH1529" i="4"/>
  <c r="AX1528" i="4"/>
  <c r="AW1528" i="4"/>
  <c r="AV1528" i="4"/>
  <c r="AP1528" i="4"/>
  <c r="AO1528" i="4"/>
  <c r="AN1528" i="4"/>
  <c r="AM1528" i="4"/>
  <c r="BH1528" i="4"/>
  <c r="AX1527" i="4"/>
  <c r="AW1527" i="4"/>
  <c r="AV1527" i="4"/>
  <c r="AP1527" i="4"/>
  <c r="AO1527" i="4"/>
  <c r="AN1527" i="4"/>
  <c r="AM1527" i="4"/>
  <c r="BH1527" i="4"/>
  <c r="AX1526" i="4"/>
  <c r="AW1526" i="4"/>
  <c r="AV1526" i="4"/>
  <c r="AP1526" i="4"/>
  <c r="AO1526" i="4"/>
  <c r="AN1526" i="4"/>
  <c r="AM1526" i="4"/>
  <c r="BH1526" i="4"/>
  <c r="AX1525" i="4"/>
  <c r="AW1525" i="4"/>
  <c r="AV1525" i="4"/>
  <c r="AP1525" i="4"/>
  <c r="AO1525" i="4"/>
  <c r="AN1525" i="4"/>
  <c r="AM1525" i="4"/>
  <c r="BH1525" i="4"/>
  <c r="AX1524" i="4"/>
  <c r="AW1524" i="4"/>
  <c r="AV1524" i="4"/>
  <c r="AP1524" i="4"/>
  <c r="AO1524" i="4"/>
  <c r="AN1524" i="4"/>
  <c r="AM1524" i="4"/>
  <c r="BH1524" i="4"/>
  <c r="AX1523" i="4"/>
  <c r="AW1523" i="4"/>
  <c r="AV1523" i="4"/>
  <c r="AP1523" i="4"/>
  <c r="AO1523" i="4"/>
  <c r="AN1523" i="4"/>
  <c r="AM1523" i="4"/>
  <c r="BH1523" i="4"/>
  <c r="AX1522" i="4"/>
  <c r="AW1522" i="4"/>
  <c r="AV1522" i="4"/>
  <c r="AP1522" i="4"/>
  <c r="AO1522" i="4"/>
  <c r="AN1522" i="4"/>
  <c r="AM1522" i="4"/>
  <c r="BH1522" i="4"/>
  <c r="AX1521" i="4"/>
  <c r="AW1521" i="4"/>
  <c r="AV1521" i="4"/>
  <c r="AP1521" i="4"/>
  <c r="AO1521" i="4"/>
  <c r="AN1521" i="4"/>
  <c r="AM1521" i="4"/>
  <c r="BH1521" i="4"/>
  <c r="AX1520" i="4"/>
  <c r="AW1520" i="4"/>
  <c r="AV1520" i="4"/>
  <c r="AP1520" i="4"/>
  <c r="AO1520" i="4"/>
  <c r="AN1520" i="4"/>
  <c r="AM1520" i="4"/>
  <c r="BH1520" i="4"/>
  <c r="AX1519" i="4"/>
  <c r="AW1519" i="4"/>
  <c r="AV1519" i="4"/>
  <c r="AP1519" i="4"/>
  <c r="AO1519" i="4"/>
  <c r="AN1519" i="4"/>
  <c r="AM1519" i="4"/>
  <c r="BH1519" i="4"/>
  <c r="AX1518" i="4"/>
  <c r="AW1518" i="4"/>
  <c r="AV1518" i="4"/>
  <c r="AP1518" i="4"/>
  <c r="AO1518" i="4"/>
  <c r="AN1518" i="4"/>
  <c r="AM1518" i="4"/>
  <c r="BH1518" i="4"/>
  <c r="AX1517" i="4"/>
  <c r="AW1517" i="4"/>
  <c r="AV1517" i="4"/>
  <c r="AP1517" i="4"/>
  <c r="AO1517" i="4"/>
  <c r="AN1517" i="4"/>
  <c r="AM1517" i="4"/>
  <c r="BH1517" i="4"/>
  <c r="AX1516" i="4"/>
  <c r="AW1516" i="4"/>
  <c r="AV1516" i="4"/>
  <c r="AP1516" i="4"/>
  <c r="AO1516" i="4"/>
  <c r="AN1516" i="4"/>
  <c r="AM1516" i="4"/>
  <c r="BH1516" i="4"/>
  <c r="AX1515" i="4"/>
  <c r="AW1515" i="4"/>
  <c r="AV1515" i="4"/>
  <c r="AP1515" i="4"/>
  <c r="AO1515" i="4"/>
  <c r="AN1515" i="4"/>
  <c r="AM1515" i="4"/>
  <c r="BH1515" i="4"/>
  <c r="AX1514" i="4"/>
  <c r="AW1514" i="4"/>
  <c r="AV1514" i="4"/>
  <c r="AP1514" i="4"/>
  <c r="AO1514" i="4"/>
  <c r="AN1514" i="4"/>
  <c r="AM1514" i="4"/>
  <c r="BH1514" i="4"/>
  <c r="AX1513" i="4"/>
  <c r="AW1513" i="4"/>
  <c r="AV1513" i="4"/>
  <c r="AP1513" i="4"/>
  <c r="AO1513" i="4"/>
  <c r="AN1513" i="4"/>
  <c r="AM1513" i="4"/>
  <c r="BH1513" i="4"/>
  <c r="AX1512" i="4"/>
  <c r="AW1512" i="4"/>
  <c r="AV1512" i="4"/>
  <c r="AP1512" i="4"/>
  <c r="AO1512" i="4"/>
  <c r="AN1512" i="4"/>
  <c r="AM1512" i="4"/>
  <c r="BH1512" i="4"/>
  <c r="AX1511" i="4"/>
  <c r="AW1511" i="4"/>
  <c r="AV1511" i="4"/>
  <c r="AP1511" i="4"/>
  <c r="AO1511" i="4"/>
  <c r="AN1511" i="4"/>
  <c r="AM1511" i="4"/>
  <c r="BH1511" i="4"/>
  <c r="AX1510" i="4"/>
  <c r="AW1510" i="4"/>
  <c r="AV1510" i="4"/>
  <c r="AP1510" i="4"/>
  <c r="AO1510" i="4"/>
  <c r="AN1510" i="4"/>
  <c r="AM1510" i="4"/>
  <c r="BH1510" i="4"/>
  <c r="AX1509" i="4"/>
  <c r="AW1509" i="4"/>
  <c r="AV1509" i="4"/>
  <c r="AP1509" i="4"/>
  <c r="AO1509" i="4"/>
  <c r="AN1509" i="4"/>
  <c r="AM1509" i="4"/>
  <c r="BH1509" i="4"/>
  <c r="AX1508" i="4"/>
  <c r="AW1508" i="4"/>
  <c r="AV1508" i="4"/>
  <c r="AP1508" i="4"/>
  <c r="AO1508" i="4"/>
  <c r="AN1508" i="4"/>
  <c r="AM1508" i="4"/>
  <c r="BH1508" i="4"/>
  <c r="AX1507" i="4"/>
  <c r="AW1507" i="4"/>
  <c r="AV1507" i="4"/>
  <c r="AP1507" i="4"/>
  <c r="AO1507" i="4"/>
  <c r="AN1507" i="4"/>
  <c r="AM1507" i="4"/>
  <c r="BH1507" i="4"/>
  <c r="AX1506" i="4"/>
  <c r="AW1506" i="4"/>
  <c r="AV1506" i="4"/>
  <c r="AP1506" i="4"/>
  <c r="AO1506" i="4"/>
  <c r="AN1506" i="4"/>
  <c r="AM1506" i="4"/>
  <c r="BH1506" i="4"/>
  <c r="AX1505" i="4"/>
  <c r="AW1505" i="4"/>
  <c r="AV1505" i="4"/>
  <c r="AP1505" i="4"/>
  <c r="AO1505" i="4"/>
  <c r="AN1505" i="4"/>
  <c r="AM1505" i="4"/>
  <c r="BH1505" i="4"/>
  <c r="AX1504" i="4"/>
  <c r="AW1504" i="4"/>
  <c r="AV1504" i="4"/>
  <c r="AP1504" i="4"/>
  <c r="AO1504" i="4"/>
  <c r="AN1504" i="4"/>
  <c r="AM1504" i="4"/>
  <c r="BH1504" i="4"/>
  <c r="AX1503" i="4"/>
  <c r="AW1503" i="4"/>
  <c r="AV1503" i="4"/>
  <c r="AP1503" i="4"/>
  <c r="AO1503" i="4"/>
  <c r="AN1503" i="4"/>
  <c r="AM1503" i="4"/>
  <c r="BH1503" i="4"/>
  <c r="AX1502" i="4"/>
  <c r="AW1502" i="4"/>
  <c r="AV1502" i="4"/>
  <c r="AP1502" i="4"/>
  <c r="AO1502" i="4"/>
  <c r="AN1502" i="4"/>
  <c r="AM1502" i="4"/>
  <c r="BH1502" i="4"/>
  <c r="AX1501" i="4"/>
  <c r="AW1501" i="4"/>
  <c r="AV1501" i="4"/>
  <c r="AP1501" i="4"/>
  <c r="AO1501" i="4"/>
  <c r="AN1501" i="4"/>
  <c r="AM1501" i="4"/>
  <c r="BH1501" i="4"/>
  <c r="AX1500" i="4"/>
  <c r="AW1500" i="4"/>
  <c r="AV1500" i="4"/>
  <c r="AP1500" i="4"/>
  <c r="AO1500" i="4"/>
  <c r="AN1500" i="4"/>
  <c r="AM1500" i="4"/>
  <c r="BH1500" i="4"/>
  <c r="AX1499" i="4"/>
  <c r="AW1499" i="4"/>
  <c r="AV1499" i="4"/>
  <c r="AP1499" i="4"/>
  <c r="AO1499" i="4"/>
  <c r="AN1499" i="4"/>
  <c r="AM1499" i="4"/>
  <c r="BH1499" i="4"/>
  <c r="AX1498" i="4"/>
  <c r="AW1498" i="4"/>
  <c r="AV1498" i="4"/>
  <c r="AP1498" i="4"/>
  <c r="AO1498" i="4"/>
  <c r="AN1498" i="4"/>
  <c r="AM1498" i="4"/>
  <c r="BH1498" i="4"/>
  <c r="AX1497" i="4"/>
  <c r="AW1497" i="4"/>
  <c r="AV1497" i="4"/>
  <c r="AP1497" i="4"/>
  <c r="AO1497" i="4"/>
  <c r="AN1497" i="4"/>
  <c r="AM1497" i="4"/>
  <c r="BH1497" i="4"/>
  <c r="AX1496" i="4"/>
  <c r="AW1496" i="4"/>
  <c r="AV1496" i="4"/>
  <c r="AP1496" i="4"/>
  <c r="AO1496" i="4"/>
  <c r="AN1496" i="4"/>
  <c r="AM1496" i="4"/>
  <c r="BH1496" i="4"/>
  <c r="AX1495" i="4"/>
  <c r="AW1495" i="4"/>
  <c r="AV1495" i="4"/>
  <c r="AP1495" i="4"/>
  <c r="AO1495" i="4"/>
  <c r="AN1495" i="4"/>
  <c r="AM1495" i="4"/>
  <c r="BH1495" i="4"/>
  <c r="AX1494" i="4"/>
  <c r="AW1494" i="4"/>
  <c r="AV1494" i="4"/>
  <c r="AP1494" i="4"/>
  <c r="AO1494" i="4"/>
  <c r="AN1494" i="4"/>
  <c r="AM1494" i="4"/>
  <c r="BH1494" i="4"/>
  <c r="AX1493" i="4"/>
  <c r="AW1493" i="4"/>
  <c r="AV1493" i="4"/>
  <c r="AP1493" i="4"/>
  <c r="AO1493" i="4"/>
  <c r="AN1493" i="4"/>
  <c r="AM1493" i="4"/>
  <c r="BH1493" i="4"/>
  <c r="AX1492" i="4"/>
  <c r="AW1492" i="4"/>
  <c r="AV1492" i="4"/>
  <c r="AP1492" i="4"/>
  <c r="AO1492" i="4"/>
  <c r="AN1492" i="4"/>
  <c r="AM1492" i="4"/>
  <c r="BH1492" i="4"/>
  <c r="AX1491" i="4"/>
  <c r="AW1491" i="4"/>
  <c r="AV1491" i="4"/>
  <c r="AP1491" i="4"/>
  <c r="AO1491" i="4"/>
  <c r="AN1491" i="4"/>
  <c r="AM1491" i="4"/>
  <c r="BH1491" i="4"/>
  <c r="AX1490" i="4"/>
  <c r="AW1490" i="4"/>
  <c r="AV1490" i="4"/>
  <c r="AP1490" i="4"/>
  <c r="AO1490" i="4"/>
  <c r="AN1490" i="4"/>
  <c r="AM1490" i="4"/>
  <c r="BH1490" i="4"/>
  <c r="AX1489" i="4"/>
  <c r="AW1489" i="4"/>
  <c r="AV1489" i="4"/>
  <c r="AP1489" i="4"/>
  <c r="AO1489" i="4"/>
  <c r="AN1489" i="4"/>
  <c r="AM1489" i="4"/>
  <c r="BH1489" i="4"/>
  <c r="AX1488" i="4"/>
  <c r="AW1488" i="4"/>
  <c r="AV1488" i="4"/>
  <c r="AP1488" i="4"/>
  <c r="AO1488" i="4"/>
  <c r="AN1488" i="4"/>
  <c r="AM1488" i="4"/>
  <c r="BH1488" i="4"/>
  <c r="AX1487" i="4"/>
  <c r="AW1487" i="4"/>
  <c r="AV1487" i="4"/>
  <c r="AP1487" i="4"/>
  <c r="AO1487" i="4"/>
  <c r="AN1487" i="4"/>
  <c r="AM1487" i="4"/>
  <c r="BH1487" i="4"/>
  <c r="AX1486" i="4"/>
  <c r="AW1486" i="4"/>
  <c r="AV1486" i="4"/>
  <c r="AP1486" i="4"/>
  <c r="AO1486" i="4"/>
  <c r="AN1486" i="4"/>
  <c r="AM1486" i="4"/>
  <c r="BH1486" i="4"/>
  <c r="AX1485" i="4"/>
  <c r="AW1485" i="4"/>
  <c r="AV1485" i="4"/>
  <c r="AP1485" i="4"/>
  <c r="AO1485" i="4"/>
  <c r="AN1485" i="4"/>
  <c r="AM1485" i="4"/>
  <c r="BH1485" i="4"/>
  <c r="AX1484" i="4"/>
  <c r="AW1484" i="4"/>
  <c r="AV1484" i="4"/>
  <c r="AP1484" i="4"/>
  <c r="AO1484" i="4"/>
  <c r="AN1484" i="4"/>
  <c r="AM1484" i="4"/>
  <c r="BH1484" i="4"/>
  <c r="AX1483" i="4"/>
  <c r="AW1483" i="4"/>
  <c r="AV1483" i="4"/>
  <c r="AP1483" i="4"/>
  <c r="AO1483" i="4"/>
  <c r="AN1483" i="4"/>
  <c r="AM1483" i="4"/>
  <c r="BH1483" i="4"/>
  <c r="AX1482" i="4"/>
  <c r="AW1482" i="4"/>
  <c r="AV1482" i="4"/>
  <c r="AP1482" i="4"/>
  <c r="AO1482" i="4"/>
  <c r="AN1482" i="4"/>
  <c r="AM1482" i="4"/>
  <c r="BH1482" i="4"/>
  <c r="AX1481" i="4"/>
  <c r="AW1481" i="4"/>
  <c r="AV1481" i="4"/>
  <c r="AP1481" i="4"/>
  <c r="AO1481" i="4"/>
  <c r="AN1481" i="4"/>
  <c r="AM1481" i="4"/>
  <c r="BH1481" i="4"/>
  <c r="AX1480" i="4"/>
  <c r="AW1480" i="4"/>
  <c r="AV1480" i="4"/>
  <c r="AP1480" i="4"/>
  <c r="AO1480" i="4"/>
  <c r="AN1480" i="4"/>
  <c r="AM1480" i="4"/>
  <c r="BH1480" i="4"/>
  <c r="AX1479" i="4"/>
  <c r="AW1479" i="4"/>
  <c r="AV1479" i="4"/>
  <c r="AP1479" i="4"/>
  <c r="AO1479" i="4"/>
  <c r="AN1479" i="4"/>
  <c r="AM1479" i="4"/>
  <c r="BH1479" i="4"/>
  <c r="AX1478" i="4"/>
  <c r="AW1478" i="4"/>
  <c r="AV1478" i="4"/>
  <c r="AP1478" i="4"/>
  <c r="AO1478" i="4"/>
  <c r="AN1478" i="4"/>
  <c r="AM1478" i="4"/>
  <c r="BH1478" i="4"/>
  <c r="AX1477" i="4"/>
  <c r="AW1477" i="4"/>
  <c r="AV1477" i="4"/>
  <c r="AP1477" i="4"/>
  <c r="AO1477" i="4"/>
  <c r="AN1477" i="4"/>
  <c r="AM1477" i="4"/>
  <c r="BH1477" i="4"/>
  <c r="AX1476" i="4"/>
  <c r="AW1476" i="4"/>
  <c r="AV1476" i="4"/>
  <c r="AP1476" i="4"/>
  <c r="AO1476" i="4"/>
  <c r="AN1476" i="4"/>
  <c r="AM1476" i="4"/>
  <c r="BH1476" i="4"/>
  <c r="AX1475" i="4"/>
  <c r="AW1475" i="4"/>
  <c r="AV1475" i="4"/>
  <c r="AP1475" i="4"/>
  <c r="AO1475" i="4"/>
  <c r="AN1475" i="4"/>
  <c r="AM1475" i="4"/>
  <c r="BH1475" i="4"/>
  <c r="AX1474" i="4"/>
  <c r="AW1474" i="4"/>
  <c r="AV1474" i="4"/>
  <c r="AP1474" i="4"/>
  <c r="AO1474" i="4"/>
  <c r="AN1474" i="4"/>
  <c r="AM1474" i="4"/>
  <c r="BH1474" i="4"/>
  <c r="AX1473" i="4"/>
  <c r="AW1473" i="4"/>
  <c r="AV1473" i="4"/>
  <c r="AP1473" i="4"/>
  <c r="AO1473" i="4"/>
  <c r="AN1473" i="4"/>
  <c r="AM1473" i="4"/>
  <c r="BH1473" i="4"/>
  <c r="AX1472" i="4"/>
  <c r="AW1472" i="4"/>
  <c r="AV1472" i="4"/>
  <c r="AP1472" i="4"/>
  <c r="AO1472" i="4"/>
  <c r="AN1472" i="4"/>
  <c r="AM1472" i="4"/>
  <c r="BH1472" i="4"/>
  <c r="AX1471" i="4"/>
  <c r="AW1471" i="4"/>
  <c r="AV1471" i="4"/>
  <c r="AP1471" i="4"/>
  <c r="AO1471" i="4"/>
  <c r="AN1471" i="4"/>
  <c r="AM1471" i="4"/>
  <c r="BH1471" i="4"/>
  <c r="AX1470" i="4"/>
  <c r="AW1470" i="4"/>
  <c r="AV1470" i="4"/>
  <c r="AP1470" i="4"/>
  <c r="AO1470" i="4"/>
  <c r="AN1470" i="4"/>
  <c r="AM1470" i="4"/>
  <c r="BH1470" i="4"/>
  <c r="AX1469" i="4"/>
  <c r="AW1469" i="4"/>
  <c r="AV1469" i="4"/>
  <c r="AP1469" i="4"/>
  <c r="AO1469" i="4"/>
  <c r="AN1469" i="4"/>
  <c r="AM1469" i="4"/>
  <c r="BH1469" i="4"/>
  <c r="AX1468" i="4"/>
  <c r="AW1468" i="4"/>
  <c r="AV1468" i="4"/>
  <c r="AP1468" i="4"/>
  <c r="AO1468" i="4"/>
  <c r="AN1468" i="4"/>
  <c r="AM1468" i="4"/>
  <c r="BH1468" i="4"/>
  <c r="AX1467" i="4"/>
  <c r="AW1467" i="4"/>
  <c r="AV1467" i="4"/>
  <c r="AP1467" i="4"/>
  <c r="AO1467" i="4"/>
  <c r="AN1467" i="4"/>
  <c r="AM1467" i="4"/>
  <c r="BH1467" i="4"/>
  <c r="AX1466" i="4"/>
  <c r="AW1466" i="4"/>
  <c r="AV1466" i="4"/>
  <c r="AP1466" i="4"/>
  <c r="AO1466" i="4"/>
  <c r="AN1466" i="4"/>
  <c r="AM1466" i="4"/>
  <c r="BH1466" i="4"/>
  <c r="AX1465" i="4"/>
  <c r="AW1465" i="4"/>
  <c r="AV1465" i="4"/>
  <c r="AP1465" i="4"/>
  <c r="AO1465" i="4"/>
  <c r="AN1465" i="4"/>
  <c r="AM1465" i="4"/>
  <c r="BH1465" i="4"/>
  <c r="AX1464" i="4"/>
  <c r="AW1464" i="4"/>
  <c r="AV1464" i="4"/>
  <c r="AP1464" i="4"/>
  <c r="AO1464" i="4"/>
  <c r="AN1464" i="4"/>
  <c r="AM1464" i="4"/>
  <c r="BH1464" i="4"/>
  <c r="AX1463" i="4"/>
  <c r="AW1463" i="4"/>
  <c r="AV1463" i="4"/>
  <c r="AP1463" i="4"/>
  <c r="AO1463" i="4"/>
  <c r="AN1463" i="4"/>
  <c r="AM1463" i="4"/>
  <c r="BH1463" i="4"/>
  <c r="AX1462" i="4"/>
  <c r="AW1462" i="4"/>
  <c r="AV1462" i="4"/>
  <c r="AP1462" i="4"/>
  <c r="AO1462" i="4"/>
  <c r="AN1462" i="4"/>
  <c r="AM1462" i="4"/>
  <c r="BH1462" i="4"/>
  <c r="AX1461" i="4"/>
  <c r="AW1461" i="4"/>
  <c r="AV1461" i="4"/>
  <c r="AP1461" i="4"/>
  <c r="AO1461" i="4"/>
  <c r="AN1461" i="4"/>
  <c r="AM1461" i="4"/>
  <c r="BH1461" i="4"/>
  <c r="AX1460" i="4"/>
  <c r="AW1460" i="4"/>
  <c r="AV1460" i="4"/>
  <c r="AP1460" i="4"/>
  <c r="AO1460" i="4"/>
  <c r="AN1460" i="4"/>
  <c r="AM1460" i="4"/>
  <c r="BH1460" i="4"/>
  <c r="AX1459" i="4"/>
  <c r="AW1459" i="4"/>
  <c r="AV1459" i="4"/>
  <c r="AP1459" i="4"/>
  <c r="AO1459" i="4"/>
  <c r="AN1459" i="4"/>
  <c r="AM1459" i="4"/>
  <c r="BH1459" i="4"/>
  <c r="AX1458" i="4"/>
  <c r="AW1458" i="4"/>
  <c r="AV1458" i="4"/>
  <c r="AP1458" i="4"/>
  <c r="AO1458" i="4"/>
  <c r="AN1458" i="4"/>
  <c r="AM1458" i="4"/>
  <c r="BH1458" i="4"/>
  <c r="AX1457" i="4"/>
  <c r="AW1457" i="4"/>
  <c r="AV1457" i="4"/>
  <c r="AP1457" i="4"/>
  <c r="AO1457" i="4"/>
  <c r="AN1457" i="4"/>
  <c r="AM1457" i="4"/>
  <c r="BH1457" i="4"/>
  <c r="AX1456" i="4"/>
  <c r="AW1456" i="4"/>
  <c r="AV1456" i="4"/>
  <c r="AP1456" i="4"/>
  <c r="AO1456" i="4"/>
  <c r="AN1456" i="4"/>
  <c r="AM1456" i="4"/>
  <c r="BH1456" i="4"/>
  <c r="AX1455" i="4"/>
  <c r="AW1455" i="4"/>
  <c r="AV1455" i="4"/>
  <c r="AP1455" i="4"/>
  <c r="AO1455" i="4"/>
  <c r="AN1455" i="4"/>
  <c r="AM1455" i="4"/>
  <c r="BH1455" i="4"/>
  <c r="AX1454" i="4"/>
  <c r="AW1454" i="4"/>
  <c r="AV1454" i="4"/>
  <c r="AP1454" i="4"/>
  <c r="AO1454" i="4"/>
  <c r="AN1454" i="4"/>
  <c r="AM1454" i="4"/>
  <c r="BH1454" i="4"/>
  <c r="AX1453" i="4"/>
  <c r="AW1453" i="4"/>
  <c r="AV1453" i="4"/>
  <c r="AP1453" i="4"/>
  <c r="AO1453" i="4"/>
  <c r="AN1453" i="4"/>
  <c r="AM1453" i="4"/>
  <c r="BH1453" i="4"/>
  <c r="AX1452" i="4"/>
  <c r="AW1452" i="4"/>
  <c r="AV1452" i="4"/>
  <c r="AP1452" i="4"/>
  <c r="AO1452" i="4"/>
  <c r="AN1452" i="4"/>
  <c r="AM1452" i="4"/>
  <c r="BH1452" i="4"/>
  <c r="AX1451" i="4"/>
  <c r="AW1451" i="4"/>
  <c r="AV1451" i="4"/>
  <c r="AP1451" i="4"/>
  <c r="AO1451" i="4"/>
  <c r="AN1451" i="4"/>
  <c r="AM1451" i="4"/>
  <c r="BH1451" i="4"/>
  <c r="AX1450" i="4"/>
  <c r="AW1450" i="4"/>
  <c r="AV1450" i="4"/>
  <c r="AP1450" i="4"/>
  <c r="AO1450" i="4"/>
  <c r="AN1450" i="4"/>
  <c r="AM1450" i="4"/>
  <c r="BH1450" i="4"/>
  <c r="AX1449" i="4"/>
  <c r="AW1449" i="4"/>
  <c r="AV1449" i="4"/>
  <c r="AP1449" i="4"/>
  <c r="AO1449" i="4"/>
  <c r="AN1449" i="4"/>
  <c r="AM1449" i="4"/>
  <c r="BH1449" i="4"/>
  <c r="AX1448" i="4"/>
  <c r="AW1448" i="4"/>
  <c r="AV1448" i="4"/>
  <c r="AP1448" i="4"/>
  <c r="AO1448" i="4"/>
  <c r="AN1448" i="4"/>
  <c r="AM1448" i="4"/>
  <c r="BH1448" i="4"/>
  <c r="AX1447" i="4"/>
  <c r="AW1447" i="4"/>
  <c r="AV1447" i="4"/>
  <c r="AP1447" i="4"/>
  <c r="AO1447" i="4"/>
  <c r="AN1447" i="4"/>
  <c r="AM1447" i="4"/>
  <c r="BH1447" i="4"/>
  <c r="AX1446" i="4"/>
  <c r="AW1446" i="4"/>
  <c r="AV1446" i="4"/>
  <c r="AP1446" i="4"/>
  <c r="AO1446" i="4"/>
  <c r="AN1446" i="4"/>
  <c r="AM1446" i="4"/>
  <c r="BH1446" i="4"/>
  <c r="AX1445" i="4"/>
  <c r="AW1445" i="4"/>
  <c r="AV1445" i="4"/>
  <c r="AP1445" i="4"/>
  <c r="AO1445" i="4"/>
  <c r="AN1445" i="4"/>
  <c r="AM1445" i="4"/>
  <c r="BH1445" i="4"/>
  <c r="AX1444" i="4"/>
  <c r="AW1444" i="4"/>
  <c r="AV1444" i="4"/>
  <c r="AP1444" i="4"/>
  <c r="AO1444" i="4"/>
  <c r="AN1444" i="4"/>
  <c r="AM1444" i="4"/>
  <c r="BH1444" i="4"/>
  <c r="AX1443" i="4"/>
  <c r="AW1443" i="4"/>
  <c r="AV1443" i="4"/>
  <c r="AP1443" i="4"/>
  <c r="AO1443" i="4"/>
  <c r="AN1443" i="4"/>
  <c r="AM1443" i="4"/>
  <c r="BH1443" i="4"/>
  <c r="AX1442" i="4"/>
  <c r="AW1442" i="4"/>
  <c r="AV1442" i="4"/>
  <c r="AP1442" i="4"/>
  <c r="AO1442" i="4"/>
  <c r="AN1442" i="4"/>
  <c r="AM1442" i="4"/>
  <c r="BH1442" i="4"/>
  <c r="AX1441" i="4"/>
  <c r="AW1441" i="4"/>
  <c r="AV1441" i="4"/>
  <c r="AP1441" i="4"/>
  <c r="AO1441" i="4"/>
  <c r="AN1441" i="4"/>
  <c r="AM1441" i="4"/>
  <c r="BH1441" i="4"/>
  <c r="AX1440" i="4"/>
  <c r="AW1440" i="4"/>
  <c r="AV1440" i="4"/>
  <c r="AP1440" i="4"/>
  <c r="AO1440" i="4"/>
  <c r="AN1440" i="4"/>
  <c r="AM1440" i="4"/>
  <c r="BH1440" i="4"/>
  <c r="AX1439" i="4"/>
  <c r="AW1439" i="4"/>
  <c r="AV1439" i="4"/>
  <c r="AP1439" i="4"/>
  <c r="AO1439" i="4"/>
  <c r="AN1439" i="4"/>
  <c r="AM1439" i="4"/>
  <c r="BH1439" i="4"/>
  <c r="AX1438" i="4"/>
  <c r="AW1438" i="4"/>
  <c r="AV1438" i="4"/>
  <c r="AP1438" i="4"/>
  <c r="AO1438" i="4"/>
  <c r="AN1438" i="4"/>
  <c r="AM1438" i="4"/>
  <c r="BH1438" i="4"/>
  <c r="AX1437" i="4"/>
  <c r="AW1437" i="4"/>
  <c r="AV1437" i="4"/>
  <c r="AP1437" i="4"/>
  <c r="AO1437" i="4"/>
  <c r="AN1437" i="4"/>
  <c r="AM1437" i="4"/>
  <c r="BH1437" i="4"/>
  <c r="AX1436" i="4"/>
  <c r="AW1436" i="4"/>
  <c r="AV1436" i="4"/>
  <c r="AP1436" i="4"/>
  <c r="AO1436" i="4"/>
  <c r="AN1436" i="4"/>
  <c r="AM1436" i="4"/>
  <c r="BH1436" i="4"/>
  <c r="AX1435" i="4"/>
  <c r="AW1435" i="4"/>
  <c r="AV1435" i="4"/>
  <c r="AP1435" i="4"/>
  <c r="AO1435" i="4"/>
  <c r="AN1435" i="4"/>
  <c r="AM1435" i="4"/>
  <c r="BH1435" i="4"/>
  <c r="AX1434" i="4"/>
  <c r="AW1434" i="4"/>
  <c r="AV1434" i="4"/>
  <c r="AP1434" i="4"/>
  <c r="AO1434" i="4"/>
  <c r="AN1434" i="4"/>
  <c r="AM1434" i="4"/>
  <c r="BH1434" i="4"/>
  <c r="AX1433" i="4"/>
  <c r="AW1433" i="4"/>
  <c r="AV1433" i="4"/>
  <c r="AP1433" i="4"/>
  <c r="AO1433" i="4"/>
  <c r="AN1433" i="4"/>
  <c r="AM1433" i="4"/>
  <c r="BH1433" i="4"/>
  <c r="AX1432" i="4"/>
  <c r="AW1432" i="4"/>
  <c r="AV1432" i="4"/>
  <c r="AP1432" i="4"/>
  <c r="AO1432" i="4"/>
  <c r="AN1432" i="4"/>
  <c r="AM1432" i="4"/>
  <c r="BH1432" i="4"/>
  <c r="AX1431" i="4"/>
  <c r="AW1431" i="4"/>
  <c r="AV1431" i="4"/>
  <c r="AP1431" i="4"/>
  <c r="AO1431" i="4"/>
  <c r="AN1431" i="4"/>
  <c r="AM1431" i="4"/>
  <c r="BH1431" i="4"/>
  <c r="AX1430" i="4"/>
  <c r="AW1430" i="4"/>
  <c r="AV1430" i="4"/>
  <c r="AP1430" i="4"/>
  <c r="AO1430" i="4"/>
  <c r="AN1430" i="4"/>
  <c r="AM1430" i="4"/>
  <c r="BH1430" i="4"/>
  <c r="AX1429" i="4"/>
  <c r="AW1429" i="4"/>
  <c r="AV1429" i="4"/>
  <c r="AP1429" i="4"/>
  <c r="AO1429" i="4"/>
  <c r="AN1429" i="4"/>
  <c r="AM1429" i="4"/>
  <c r="BH1429" i="4"/>
  <c r="AX1428" i="4"/>
  <c r="AW1428" i="4"/>
  <c r="AV1428" i="4"/>
  <c r="AP1428" i="4"/>
  <c r="AO1428" i="4"/>
  <c r="AN1428" i="4"/>
  <c r="AM1428" i="4"/>
  <c r="BH1428" i="4"/>
  <c r="AX1427" i="4"/>
  <c r="AW1427" i="4"/>
  <c r="AV1427" i="4"/>
  <c r="AP1427" i="4"/>
  <c r="AO1427" i="4"/>
  <c r="AN1427" i="4"/>
  <c r="AM1427" i="4"/>
  <c r="BH1427" i="4"/>
  <c r="AX1426" i="4"/>
  <c r="AW1426" i="4"/>
  <c r="AV1426" i="4"/>
  <c r="AP1426" i="4"/>
  <c r="AO1426" i="4"/>
  <c r="AN1426" i="4"/>
  <c r="AM1426" i="4"/>
  <c r="BH1426" i="4"/>
  <c r="AX1425" i="4"/>
  <c r="AW1425" i="4"/>
  <c r="AV1425" i="4"/>
  <c r="AP1425" i="4"/>
  <c r="AO1425" i="4"/>
  <c r="AN1425" i="4"/>
  <c r="AM1425" i="4"/>
  <c r="BH1425" i="4"/>
  <c r="AX1424" i="4"/>
  <c r="AW1424" i="4"/>
  <c r="AV1424" i="4"/>
  <c r="AP1424" i="4"/>
  <c r="AO1424" i="4"/>
  <c r="AN1424" i="4"/>
  <c r="AM1424" i="4"/>
  <c r="BH1424" i="4"/>
  <c r="AX1423" i="4"/>
  <c r="AW1423" i="4"/>
  <c r="AV1423" i="4"/>
  <c r="AP1423" i="4"/>
  <c r="AO1423" i="4"/>
  <c r="AN1423" i="4"/>
  <c r="AM1423" i="4"/>
  <c r="BH1423" i="4"/>
  <c r="AX1422" i="4"/>
  <c r="AW1422" i="4"/>
  <c r="AV1422" i="4"/>
  <c r="AP1422" i="4"/>
  <c r="AO1422" i="4"/>
  <c r="AN1422" i="4"/>
  <c r="AM1422" i="4"/>
  <c r="BH1422" i="4"/>
  <c r="AX1421" i="4"/>
  <c r="AW1421" i="4"/>
  <c r="AV1421" i="4"/>
  <c r="AP1421" i="4"/>
  <c r="AO1421" i="4"/>
  <c r="AN1421" i="4"/>
  <c r="AM1421" i="4"/>
  <c r="BH1421" i="4"/>
  <c r="AX1420" i="4"/>
  <c r="AW1420" i="4"/>
  <c r="AV1420" i="4"/>
  <c r="AP1420" i="4"/>
  <c r="AO1420" i="4"/>
  <c r="AN1420" i="4"/>
  <c r="AM1420" i="4"/>
  <c r="BH1420" i="4"/>
  <c r="AX1419" i="4"/>
  <c r="AW1419" i="4"/>
  <c r="AV1419" i="4"/>
  <c r="AP1419" i="4"/>
  <c r="AO1419" i="4"/>
  <c r="AN1419" i="4"/>
  <c r="AM1419" i="4"/>
  <c r="BH1419" i="4"/>
  <c r="AX1418" i="4"/>
  <c r="AW1418" i="4"/>
  <c r="AV1418" i="4"/>
  <c r="AP1418" i="4"/>
  <c r="AO1418" i="4"/>
  <c r="AN1418" i="4"/>
  <c r="AM1418" i="4"/>
  <c r="BH1418" i="4"/>
  <c r="AX1417" i="4"/>
  <c r="AW1417" i="4"/>
  <c r="AV1417" i="4"/>
  <c r="AP1417" i="4"/>
  <c r="AO1417" i="4"/>
  <c r="AN1417" i="4"/>
  <c r="AM1417" i="4"/>
  <c r="BH1417" i="4"/>
  <c r="AX1416" i="4"/>
  <c r="AW1416" i="4"/>
  <c r="AV1416" i="4"/>
  <c r="AP1416" i="4"/>
  <c r="AO1416" i="4"/>
  <c r="AN1416" i="4"/>
  <c r="AM1416" i="4"/>
  <c r="BH1416" i="4"/>
  <c r="AX1415" i="4"/>
  <c r="AW1415" i="4"/>
  <c r="AV1415" i="4"/>
  <c r="AP1415" i="4"/>
  <c r="AO1415" i="4"/>
  <c r="AN1415" i="4"/>
  <c r="AM1415" i="4"/>
  <c r="BH1415" i="4"/>
  <c r="AX1414" i="4"/>
  <c r="AW1414" i="4"/>
  <c r="AV1414" i="4"/>
  <c r="AP1414" i="4"/>
  <c r="AO1414" i="4"/>
  <c r="AN1414" i="4"/>
  <c r="AM1414" i="4"/>
  <c r="BH1414" i="4"/>
  <c r="AX1413" i="4"/>
  <c r="AW1413" i="4"/>
  <c r="AV1413" i="4"/>
  <c r="AP1413" i="4"/>
  <c r="AO1413" i="4"/>
  <c r="AN1413" i="4"/>
  <c r="AM1413" i="4"/>
  <c r="BH1413" i="4"/>
  <c r="AX1412" i="4"/>
  <c r="AW1412" i="4"/>
  <c r="AV1412" i="4"/>
  <c r="AP1412" i="4"/>
  <c r="AO1412" i="4"/>
  <c r="AN1412" i="4"/>
  <c r="AM1412" i="4"/>
  <c r="BH1412" i="4"/>
  <c r="AX1411" i="4"/>
  <c r="AW1411" i="4"/>
  <c r="AV1411" i="4"/>
  <c r="AP1411" i="4"/>
  <c r="AO1411" i="4"/>
  <c r="AN1411" i="4"/>
  <c r="AM1411" i="4"/>
  <c r="BH1411" i="4"/>
  <c r="AX1410" i="4"/>
  <c r="AW1410" i="4"/>
  <c r="AV1410" i="4"/>
  <c r="AP1410" i="4"/>
  <c r="AO1410" i="4"/>
  <c r="AN1410" i="4"/>
  <c r="AM1410" i="4"/>
  <c r="BH1410" i="4"/>
  <c r="AX1409" i="4"/>
  <c r="AW1409" i="4"/>
  <c r="AV1409" i="4"/>
  <c r="AP1409" i="4"/>
  <c r="AO1409" i="4"/>
  <c r="AN1409" i="4"/>
  <c r="AM1409" i="4"/>
  <c r="BH1409" i="4"/>
  <c r="AX1408" i="4"/>
  <c r="AW1408" i="4"/>
  <c r="AV1408" i="4"/>
  <c r="AP1408" i="4"/>
  <c r="AO1408" i="4"/>
  <c r="AN1408" i="4"/>
  <c r="AM1408" i="4"/>
  <c r="BH1408" i="4"/>
  <c r="AX1407" i="4"/>
  <c r="AW1407" i="4"/>
  <c r="AV1407" i="4"/>
  <c r="AP1407" i="4"/>
  <c r="AO1407" i="4"/>
  <c r="AN1407" i="4"/>
  <c r="AM1407" i="4"/>
  <c r="BH1407" i="4"/>
  <c r="AX1406" i="4"/>
  <c r="AW1406" i="4"/>
  <c r="AV1406" i="4"/>
  <c r="AP1406" i="4"/>
  <c r="AO1406" i="4"/>
  <c r="AN1406" i="4"/>
  <c r="AM1406" i="4"/>
  <c r="BH1406" i="4"/>
  <c r="AX1405" i="4"/>
  <c r="AW1405" i="4"/>
  <c r="AV1405" i="4"/>
  <c r="AP1405" i="4"/>
  <c r="AO1405" i="4"/>
  <c r="AN1405" i="4"/>
  <c r="AM1405" i="4"/>
  <c r="BH1405" i="4"/>
  <c r="AX1404" i="4"/>
  <c r="AW1404" i="4"/>
  <c r="AV1404" i="4"/>
  <c r="AP1404" i="4"/>
  <c r="AO1404" i="4"/>
  <c r="AN1404" i="4"/>
  <c r="AM1404" i="4"/>
  <c r="BH1404" i="4"/>
  <c r="AX1403" i="4"/>
  <c r="AW1403" i="4"/>
  <c r="AV1403" i="4"/>
  <c r="AP1403" i="4"/>
  <c r="AO1403" i="4"/>
  <c r="AN1403" i="4"/>
  <c r="AM1403" i="4"/>
  <c r="BH1403" i="4"/>
  <c r="AX1402" i="4"/>
  <c r="AW1402" i="4"/>
  <c r="AV1402" i="4"/>
  <c r="AP1402" i="4"/>
  <c r="AO1402" i="4"/>
  <c r="AN1402" i="4"/>
  <c r="AM1402" i="4"/>
  <c r="BH1402" i="4"/>
  <c r="AX1401" i="4"/>
  <c r="AW1401" i="4"/>
  <c r="AV1401" i="4"/>
  <c r="AP1401" i="4"/>
  <c r="AO1401" i="4"/>
  <c r="AN1401" i="4"/>
  <c r="AM1401" i="4"/>
  <c r="BH1401" i="4"/>
  <c r="AX1400" i="4"/>
  <c r="AW1400" i="4"/>
  <c r="AV1400" i="4"/>
  <c r="AP1400" i="4"/>
  <c r="AO1400" i="4"/>
  <c r="AN1400" i="4"/>
  <c r="AM1400" i="4"/>
  <c r="BH1400" i="4"/>
  <c r="AX1399" i="4"/>
  <c r="AW1399" i="4"/>
  <c r="AV1399" i="4"/>
  <c r="AP1399" i="4"/>
  <c r="AO1399" i="4"/>
  <c r="AN1399" i="4"/>
  <c r="AM1399" i="4"/>
  <c r="BH1399" i="4"/>
  <c r="AX1398" i="4"/>
  <c r="AW1398" i="4"/>
  <c r="AV1398" i="4"/>
  <c r="AP1398" i="4"/>
  <c r="AO1398" i="4"/>
  <c r="AN1398" i="4"/>
  <c r="AM1398" i="4"/>
  <c r="BH1398" i="4"/>
  <c r="AX1397" i="4"/>
  <c r="AW1397" i="4"/>
  <c r="AV1397" i="4"/>
  <c r="AP1397" i="4"/>
  <c r="AO1397" i="4"/>
  <c r="AN1397" i="4"/>
  <c r="AM1397" i="4"/>
  <c r="BH1397" i="4"/>
  <c r="AX1396" i="4"/>
  <c r="AW1396" i="4"/>
  <c r="AV1396" i="4"/>
  <c r="AP1396" i="4"/>
  <c r="AO1396" i="4"/>
  <c r="AN1396" i="4"/>
  <c r="AM1396" i="4"/>
  <c r="BH1396" i="4"/>
  <c r="AX1395" i="4"/>
  <c r="AW1395" i="4"/>
  <c r="AV1395" i="4"/>
  <c r="AP1395" i="4"/>
  <c r="AO1395" i="4"/>
  <c r="AN1395" i="4"/>
  <c r="AM1395" i="4"/>
  <c r="BH1395" i="4"/>
  <c r="AX1394" i="4"/>
  <c r="AW1394" i="4"/>
  <c r="AV1394" i="4"/>
  <c r="AP1394" i="4"/>
  <c r="AO1394" i="4"/>
  <c r="AN1394" i="4"/>
  <c r="AM1394" i="4"/>
  <c r="BH1394" i="4"/>
  <c r="AX1393" i="4"/>
  <c r="AW1393" i="4"/>
  <c r="AV1393" i="4"/>
  <c r="AP1393" i="4"/>
  <c r="AO1393" i="4"/>
  <c r="AN1393" i="4"/>
  <c r="AM1393" i="4"/>
  <c r="BH1393" i="4"/>
  <c r="AX1392" i="4"/>
  <c r="AW1392" i="4"/>
  <c r="AV1392" i="4"/>
  <c r="AP1392" i="4"/>
  <c r="AO1392" i="4"/>
  <c r="AN1392" i="4"/>
  <c r="AM1392" i="4"/>
  <c r="BH1392" i="4"/>
  <c r="AX1391" i="4"/>
  <c r="AW1391" i="4"/>
  <c r="AV1391" i="4"/>
  <c r="AP1391" i="4"/>
  <c r="AO1391" i="4"/>
  <c r="AN1391" i="4"/>
  <c r="AM1391" i="4"/>
  <c r="BH1391" i="4"/>
  <c r="AX1390" i="4"/>
  <c r="AW1390" i="4"/>
  <c r="AV1390" i="4"/>
  <c r="AP1390" i="4"/>
  <c r="AO1390" i="4"/>
  <c r="AN1390" i="4"/>
  <c r="AM1390" i="4"/>
  <c r="BH1390" i="4"/>
  <c r="AX1389" i="4"/>
  <c r="AW1389" i="4"/>
  <c r="AV1389" i="4"/>
  <c r="AP1389" i="4"/>
  <c r="AO1389" i="4"/>
  <c r="AN1389" i="4"/>
  <c r="AM1389" i="4"/>
  <c r="BH1389" i="4"/>
  <c r="AX1388" i="4"/>
  <c r="AW1388" i="4"/>
  <c r="AV1388" i="4"/>
  <c r="AP1388" i="4"/>
  <c r="AO1388" i="4"/>
  <c r="AN1388" i="4"/>
  <c r="AM1388" i="4"/>
  <c r="BH1388" i="4"/>
  <c r="AX1387" i="4"/>
  <c r="AW1387" i="4"/>
  <c r="AV1387" i="4"/>
  <c r="AP1387" i="4"/>
  <c r="AO1387" i="4"/>
  <c r="AN1387" i="4"/>
  <c r="AM1387" i="4"/>
  <c r="BH1387" i="4"/>
  <c r="AX1386" i="4"/>
  <c r="AW1386" i="4"/>
  <c r="AV1386" i="4"/>
  <c r="AP1386" i="4"/>
  <c r="AO1386" i="4"/>
  <c r="AN1386" i="4"/>
  <c r="AM1386" i="4"/>
  <c r="BH1386" i="4"/>
  <c r="AX1385" i="4"/>
  <c r="AW1385" i="4"/>
  <c r="AV1385" i="4"/>
  <c r="AP1385" i="4"/>
  <c r="AO1385" i="4"/>
  <c r="AN1385" i="4"/>
  <c r="AM1385" i="4"/>
  <c r="BH1385" i="4"/>
  <c r="AX1384" i="4"/>
  <c r="AW1384" i="4"/>
  <c r="AV1384" i="4"/>
  <c r="AP1384" i="4"/>
  <c r="AO1384" i="4"/>
  <c r="AN1384" i="4"/>
  <c r="AM1384" i="4"/>
  <c r="BH1384" i="4"/>
  <c r="AX1383" i="4"/>
  <c r="AW1383" i="4"/>
  <c r="AV1383" i="4"/>
  <c r="AP1383" i="4"/>
  <c r="AO1383" i="4"/>
  <c r="AN1383" i="4"/>
  <c r="AM1383" i="4"/>
  <c r="BH1383" i="4"/>
  <c r="AX1382" i="4"/>
  <c r="AW1382" i="4"/>
  <c r="AV1382" i="4"/>
  <c r="AP1382" i="4"/>
  <c r="AO1382" i="4"/>
  <c r="AN1382" i="4"/>
  <c r="AM1382" i="4"/>
  <c r="BH1382" i="4"/>
  <c r="AX1381" i="4"/>
  <c r="AW1381" i="4"/>
  <c r="AV1381" i="4"/>
  <c r="AP1381" i="4"/>
  <c r="AO1381" i="4"/>
  <c r="AN1381" i="4"/>
  <c r="AM1381" i="4"/>
  <c r="BH1381" i="4"/>
  <c r="AX1380" i="4"/>
  <c r="AW1380" i="4"/>
  <c r="AV1380" i="4"/>
  <c r="AP1380" i="4"/>
  <c r="AO1380" i="4"/>
  <c r="AN1380" i="4"/>
  <c r="AM1380" i="4"/>
  <c r="BH1380" i="4"/>
  <c r="AX1379" i="4"/>
  <c r="AW1379" i="4"/>
  <c r="AV1379" i="4"/>
  <c r="AP1379" i="4"/>
  <c r="AO1379" i="4"/>
  <c r="AN1379" i="4"/>
  <c r="AM1379" i="4"/>
  <c r="BH1379" i="4"/>
  <c r="AX1378" i="4"/>
  <c r="AW1378" i="4"/>
  <c r="AV1378" i="4"/>
  <c r="AP1378" i="4"/>
  <c r="AO1378" i="4"/>
  <c r="AN1378" i="4"/>
  <c r="AM1378" i="4"/>
  <c r="BH1378" i="4"/>
  <c r="AX1377" i="4"/>
  <c r="AW1377" i="4"/>
  <c r="AV1377" i="4"/>
  <c r="AP1377" i="4"/>
  <c r="AO1377" i="4"/>
  <c r="AN1377" i="4"/>
  <c r="AM1377" i="4"/>
  <c r="BH1377" i="4"/>
  <c r="AX1376" i="4"/>
  <c r="AW1376" i="4"/>
  <c r="AV1376" i="4"/>
  <c r="AP1376" i="4"/>
  <c r="AO1376" i="4"/>
  <c r="AN1376" i="4"/>
  <c r="AM1376" i="4"/>
  <c r="BH1376" i="4"/>
  <c r="AX1375" i="4"/>
  <c r="AW1375" i="4"/>
  <c r="AV1375" i="4"/>
  <c r="AP1375" i="4"/>
  <c r="AO1375" i="4"/>
  <c r="AN1375" i="4"/>
  <c r="AM1375" i="4"/>
  <c r="BH1375" i="4"/>
  <c r="AX1374" i="4"/>
  <c r="AW1374" i="4"/>
  <c r="AV1374" i="4"/>
  <c r="AP1374" i="4"/>
  <c r="AO1374" i="4"/>
  <c r="AN1374" i="4"/>
  <c r="AM1374" i="4"/>
  <c r="BH1374" i="4"/>
  <c r="AX1373" i="4"/>
  <c r="AW1373" i="4"/>
  <c r="AV1373" i="4"/>
  <c r="AP1373" i="4"/>
  <c r="AO1373" i="4"/>
  <c r="AN1373" i="4"/>
  <c r="AM1373" i="4"/>
  <c r="BH1373" i="4"/>
  <c r="AX1372" i="4"/>
  <c r="AW1372" i="4"/>
  <c r="AV1372" i="4"/>
  <c r="AP1372" i="4"/>
  <c r="AO1372" i="4"/>
  <c r="AN1372" i="4"/>
  <c r="AM1372" i="4"/>
  <c r="BH1372" i="4"/>
  <c r="AX1371" i="4"/>
  <c r="AW1371" i="4"/>
  <c r="AV1371" i="4"/>
  <c r="AP1371" i="4"/>
  <c r="AO1371" i="4"/>
  <c r="AN1371" i="4"/>
  <c r="AM1371" i="4"/>
  <c r="BH1371" i="4"/>
  <c r="AX1370" i="4"/>
  <c r="AW1370" i="4"/>
  <c r="AV1370" i="4"/>
  <c r="AP1370" i="4"/>
  <c r="AO1370" i="4"/>
  <c r="AN1370" i="4"/>
  <c r="AM1370" i="4"/>
  <c r="BH1370" i="4"/>
  <c r="AX1369" i="4"/>
  <c r="AW1369" i="4"/>
  <c r="AV1369" i="4"/>
  <c r="AP1369" i="4"/>
  <c r="AO1369" i="4"/>
  <c r="AN1369" i="4"/>
  <c r="AM1369" i="4"/>
  <c r="BH1369" i="4"/>
  <c r="AX1368" i="4"/>
  <c r="AW1368" i="4"/>
  <c r="AV1368" i="4"/>
  <c r="AP1368" i="4"/>
  <c r="AO1368" i="4"/>
  <c r="AN1368" i="4"/>
  <c r="AM1368" i="4"/>
  <c r="BH1368" i="4"/>
  <c r="AX1367" i="4"/>
  <c r="AW1367" i="4"/>
  <c r="AV1367" i="4"/>
  <c r="AP1367" i="4"/>
  <c r="AO1367" i="4"/>
  <c r="AN1367" i="4"/>
  <c r="AM1367" i="4"/>
  <c r="BH1367" i="4"/>
  <c r="AX1366" i="4"/>
  <c r="AW1366" i="4"/>
  <c r="AV1366" i="4"/>
  <c r="AP1366" i="4"/>
  <c r="AO1366" i="4"/>
  <c r="AN1366" i="4"/>
  <c r="AM1366" i="4"/>
  <c r="BH1366" i="4"/>
  <c r="AX1365" i="4"/>
  <c r="AW1365" i="4"/>
  <c r="AV1365" i="4"/>
  <c r="AP1365" i="4"/>
  <c r="AO1365" i="4"/>
  <c r="AN1365" i="4"/>
  <c r="AM1365" i="4"/>
  <c r="BH1365" i="4"/>
  <c r="AX1364" i="4"/>
  <c r="AW1364" i="4"/>
  <c r="AV1364" i="4"/>
  <c r="AP1364" i="4"/>
  <c r="AO1364" i="4"/>
  <c r="AN1364" i="4"/>
  <c r="AM1364" i="4"/>
  <c r="BH1364" i="4"/>
  <c r="AX1363" i="4"/>
  <c r="AW1363" i="4"/>
  <c r="AV1363" i="4"/>
  <c r="AP1363" i="4"/>
  <c r="AO1363" i="4"/>
  <c r="AN1363" i="4"/>
  <c r="AM1363" i="4"/>
  <c r="BH1363" i="4"/>
  <c r="AX1362" i="4"/>
  <c r="AW1362" i="4"/>
  <c r="AV1362" i="4"/>
  <c r="AP1362" i="4"/>
  <c r="AO1362" i="4"/>
  <c r="AN1362" i="4"/>
  <c r="AM1362" i="4"/>
  <c r="BH1362" i="4"/>
  <c r="AX1361" i="4"/>
  <c r="AW1361" i="4"/>
  <c r="AV1361" i="4"/>
  <c r="AP1361" i="4"/>
  <c r="AO1361" i="4"/>
  <c r="AN1361" i="4"/>
  <c r="AM1361" i="4"/>
  <c r="BH1361" i="4"/>
  <c r="AX1360" i="4"/>
  <c r="AW1360" i="4"/>
  <c r="AV1360" i="4"/>
  <c r="AP1360" i="4"/>
  <c r="AO1360" i="4"/>
  <c r="AN1360" i="4"/>
  <c r="AM1360" i="4"/>
  <c r="BH1360" i="4"/>
  <c r="AX1359" i="4"/>
  <c r="AW1359" i="4"/>
  <c r="AV1359" i="4"/>
  <c r="AP1359" i="4"/>
  <c r="AO1359" i="4"/>
  <c r="AN1359" i="4"/>
  <c r="AM1359" i="4"/>
  <c r="BH1359" i="4"/>
  <c r="AX1358" i="4"/>
  <c r="AW1358" i="4"/>
  <c r="AV1358" i="4"/>
  <c r="AP1358" i="4"/>
  <c r="AO1358" i="4"/>
  <c r="AN1358" i="4"/>
  <c r="AM1358" i="4"/>
  <c r="BH1358" i="4"/>
  <c r="AX1357" i="4"/>
  <c r="AW1357" i="4"/>
  <c r="AV1357" i="4"/>
  <c r="AP1357" i="4"/>
  <c r="AO1357" i="4"/>
  <c r="AN1357" i="4"/>
  <c r="AM1357" i="4"/>
  <c r="BH1357" i="4"/>
  <c r="AX1356" i="4"/>
  <c r="AW1356" i="4"/>
  <c r="AV1356" i="4"/>
  <c r="AP1356" i="4"/>
  <c r="AO1356" i="4"/>
  <c r="AN1356" i="4"/>
  <c r="AM1356" i="4"/>
  <c r="BH1356" i="4"/>
  <c r="AX1355" i="4"/>
  <c r="AW1355" i="4"/>
  <c r="AV1355" i="4"/>
  <c r="AP1355" i="4"/>
  <c r="AO1355" i="4"/>
  <c r="AN1355" i="4"/>
  <c r="AM1355" i="4"/>
  <c r="BH1355" i="4"/>
  <c r="AX1354" i="4"/>
  <c r="AW1354" i="4"/>
  <c r="AV1354" i="4"/>
  <c r="AP1354" i="4"/>
  <c r="AO1354" i="4"/>
  <c r="AN1354" i="4"/>
  <c r="AM1354" i="4"/>
  <c r="BH1354" i="4"/>
  <c r="AX1353" i="4"/>
  <c r="AW1353" i="4"/>
  <c r="AV1353" i="4"/>
  <c r="AP1353" i="4"/>
  <c r="AO1353" i="4"/>
  <c r="AN1353" i="4"/>
  <c r="AM1353" i="4"/>
  <c r="BH1353" i="4"/>
  <c r="AX1352" i="4"/>
  <c r="AW1352" i="4"/>
  <c r="AV1352" i="4"/>
  <c r="AP1352" i="4"/>
  <c r="AO1352" i="4"/>
  <c r="AN1352" i="4"/>
  <c r="AM1352" i="4"/>
  <c r="BH1352" i="4"/>
  <c r="AX1351" i="4"/>
  <c r="AW1351" i="4"/>
  <c r="AV1351" i="4"/>
  <c r="AP1351" i="4"/>
  <c r="AO1351" i="4"/>
  <c r="AN1351" i="4"/>
  <c r="AM1351" i="4"/>
  <c r="BH1351" i="4"/>
  <c r="AX1350" i="4"/>
  <c r="AW1350" i="4"/>
  <c r="AV1350" i="4"/>
  <c r="AP1350" i="4"/>
  <c r="AO1350" i="4"/>
  <c r="AN1350" i="4"/>
  <c r="AM1350" i="4"/>
  <c r="BH1350" i="4"/>
  <c r="AX1349" i="4"/>
  <c r="AW1349" i="4"/>
  <c r="AV1349" i="4"/>
  <c r="AP1349" i="4"/>
  <c r="AO1349" i="4"/>
  <c r="AN1349" i="4"/>
  <c r="AM1349" i="4"/>
  <c r="BH1349" i="4"/>
  <c r="AX1348" i="4"/>
  <c r="AW1348" i="4"/>
  <c r="AV1348" i="4"/>
  <c r="AP1348" i="4"/>
  <c r="AO1348" i="4"/>
  <c r="AN1348" i="4"/>
  <c r="AM1348" i="4"/>
  <c r="BH1348" i="4"/>
  <c r="AX1347" i="4"/>
  <c r="AW1347" i="4"/>
  <c r="AV1347" i="4"/>
  <c r="AP1347" i="4"/>
  <c r="AO1347" i="4"/>
  <c r="AN1347" i="4"/>
  <c r="AM1347" i="4"/>
  <c r="BH1347" i="4"/>
  <c r="AX1346" i="4"/>
  <c r="AW1346" i="4"/>
  <c r="AV1346" i="4"/>
  <c r="AP1346" i="4"/>
  <c r="AO1346" i="4"/>
  <c r="AN1346" i="4"/>
  <c r="AM1346" i="4"/>
  <c r="BH1346" i="4"/>
  <c r="AX1345" i="4"/>
  <c r="AW1345" i="4"/>
  <c r="AV1345" i="4"/>
  <c r="AP1345" i="4"/>
  <c r="AO1345" i="4"/>
  <c r="AN1345" i="4"/>
  <c r="AM1345" i="4"/>
  <c r="BH1345" i="4"/>
  <c r="AX1344" i="4"/>
  <c r="AW1344" i="4"/>
  <c r="AV1344" i="4"/>
  <c r="AP1344" i="4"/>
  <c r="AO1344" i="4"/>
  <c r="AN1344" i="4"/>
  <c r="AM1344" i="4"/>
  <c r="BH1344" i="4"/>
  <c r="AX1343" i="4"/>
  <c r="AW1343" i="4"/>
  <c r="AV1343" i="4"/>
  <c r="AP1343" i="4"/>
  <c r="AO1343" i="4"/>
  <c r="AN1343" i="4"/>
  <c r="AM1343" i="4"/>
  <c r="BH1343" i="4"/>
  <c r="AX1342" i="4"/>
  <c r="AW1342" i="4"/>
  <c r="AV1342" i="4"/>
  <c r="AP1342" i="4"/>
  <c r="AO1342" i="4"/>
  <c r="AN1342" i="4"/>
  <c r="AM1342" i="4"/>
  <c r="BH1342" i="4"/>
  <c r="AX1341" i="4"/>
  <c r="AW1341" i="4"/>
  <c r="AV1341" i="4"/>
  <c r="AP1341" i="4"/>
  <c r="AO1341" i="4"/>
  <c r="AN1341" i="4"/>
  <c r="AM1341" i="4"/>
  <c r="BH1341" i="4"/>
  <c r="AX1340" i="4"/>
  <c r="AW1340" i="4"/>
  <c r="AV1340" i="4"/>
  <c r="AP1340" i="4"/>
  <c r="AO1340" i="4"/>
  <c r="AN1340" i="4"/>
  <c r="AM1340" i="4"/>
  <c r="BH1340" i="4"/>
  <c r="AX1339" i="4"/>
  <c r="AW1339" i="4"/>
  <c r="AV1339" i="4"/>
  <c r="AP1339" i="4"/>
  <c r="AO1339" i="4"/>
  <c r="AN1339" i="4"/>
  <c r="AM1339" i="4"/>
  <c r="BH1339" i="4"/>
  <c r="AX1338" i="4"/>
  <c r="AW1338" i="4"/>
  <c r="AV1338" i="4"/>
  <c r="AP1338" i="4"/>
  <c r="AO1338" i="4"/>
  <c r="AN1338" i="4"/>
  <c r="AM1338" i="4"/>
  <c r="BH1338" i="4"/>
  <c r="AX1337" i="4"/>
  <c r="AW1337" i="4"/>
  <c r="AV1337" i="4"/>
  <c r="AP1337" i="4"/>
  <c r="AO1337" i="4"/>
  <c r="AN1337" i="4"/>
  <c r="AM1337" i="4"/>
  <c r="BH1337" i="4"/>
  <c r="AX1336" i="4"/>
  <c r="AW1336" i="4"/>
  <c r="AV1336" i="4"/>
  <c r="AP1336" i="4"/>
  <c r="AO1336" i="4"/>
  <c r="AN1336" i="4"/>
  <c r="AM1336" i="4"/>
  <c r="BH1336" i="4"/>
  <c r="AX1335" i="4"/>
  <c r="AW1335" i="4"/>
  <c r="AV1335" i="4"/>
  <c r="AP1335" i="4"/>
  <c r="AO1335" i="4"/>
  <c r="AN1335" i="4"/>
  <c r="AM1335" i="4"/>
  <c r="BH1335" i="4"/>
  <c r="AX1334" i="4"/>
  <c r="AW1334" i="4"/>
  <c r="AV1334" i="4"/>
  <c r="AP1334" i="4"/>
  <c r="AO1334" i="4"/>
  <c r="AN1334" i="4"/>
  <c r="AM1334" i="4"/>
  <c r="BH1334" i="4"/>
  <c r="AX1333" i="4"/>
  <c r="AW1333" i="4"/>
  <c r="AV1333" i="4"/>
  <c r="AP1333" i="4"/>
  <c r="AO1333" i="4"/>
  <c r="AN1333" i="4"/>
  <c r="AM1333" i="4"/>
  <c r="BH1333" i="4"/>
  <c r="AX1332" i="4"/>
  <c r="AW1332" i="4"/>
  <c r="AV1332" i="4"/>
  <c r="AP1332" i="4"/>
  <c r="AO1332" i="4"/>
  <c r="AN1332" i="4"/>
  <c r="AM1332" i="4"/>
  <c r="BH1332" i="4"/>
  <c r="AX1331" i="4"/>
  <c r="AW1331" i="4"/>
  <c r="AV1331" i="4"/>
  <c r="AP1331" i="4"/>
  <c r="AO1331" i="4"/>
  <c r="AN1331" i="4"/>
  <c r="AM1331" i="4"/>
  <c r="BH1331" i="4"/>
  <c r="AX1330" i="4"/>
  <c r="AW1330" i="4"/>
  <c r="AV1330" i="4"/>
  <c r="AP1330" i="4"/>
  <c r="AO1330" i="4"/>
  <c r="AN1330" i="4"/>
  <c r="AM1330" i="4"/>
  <c r="BH1330" i="4"/>
  <c r="AX1329" i="4"/>
  <c r="AW1329" i="4"/>
  <c r="AV1329" i="4"/>
  <c r="AP1329" i="4"/>
  <c r="AO1329" i="4"/>
  <c r="AN1329" i="4"/>
  <c r="AM1329" i="4"/>
  <c r="BH1329" i="4"/>
  <c r="AX1328" i="4"/>
  <c r="AW1328" i="4"/>
  <c r="AV1328" i="4"/>
  <c r="AP1328" i="4"/>
  <c r="AO1328" i="4"/>
  <c r="AN1328" i="4"/>
  <c r="AM1328" i="4"/>
  <c r="BH1328" i="4"/>
  <c r="AX1327" i="4"/>
  <c r="AW1327" i="4"/>
  <c r="AV1327" i="4"/>
  <c r="AP1327" i="4"/>
  <c r="AO1327" i="4"/>
  <c r="AN1327" i="4"/>
  <c r="AM1327" i="4"/>
  <c r="BH1327" i="4"/>
  <c r="AX1326" i="4"/>
  <c r="AW1326" i="4"/>
  <c r="AV1326" i="4"/>
  <c r="AP1326" i="4"/>
  <c r="AO1326" i="4"/>
  <c r="AN1326" i="4"/>
  <c r="AM1326" i="4"/>
  <c r="BH1326" i="4"/>
  <c r="AX1325" i="4"/>
  <c r="AW1325" i="4"/>
  <c r="AV1325" i="4"/>
  <c r="AP1325" i="4"/>
  <c r="AO1325" i="4"/>
  <c r="AN1325" i="4"/>
  <c r="AM1325" i="4"/>
  <c r="BH1325" i="4"/>
  <c r="AX1324" i="4"/>
  <c r="AW1324" i="4"/>
  <c r="AV1324" i="4"/>
  <c r="AP1324" i="4"/>
  <c r="AO1324" i="4"/>
  <c r="AN1324" i="4"/>
  <c r="AM1324" i="4"/>
  <c r="BH1324" i="4"/>
  <c r="AX1323" i="4"/>
  <c r="AW1323" i="4"/>
  <c r="AV1323" i="4"/>
  <c r="AP1323" i="4"/>
  <c r="AO1323" i="4"/>
  <c r="AN1323" i="4"/>
  <c r="AM1323" i="4"/>
  <c r="BH1323" i="4"/>
  <c r="AX1322" i="4"/>
  <c r="AW1322" i="4"/>
  <c r="AV1322" i="4"/>
  <c r="AP1322" i="4"/>
  <c r="AO1322" i="4"/>
  <c r="AN1322" i="4"/>
  <c r="AM1322" i="4"/>
  <c r="BH1322" i="4"/>
  <c r="AX1321" i="4"/>
  <c r="AW1321" i="4"/>
  <c r="AV1321" i="4"/>
  <c r="AP1321" i="4"/>
  <c r="AO1321" i="4"/>
  <c r="AN1321" i="4"/>
  <c r="AM1321" i="4"/>
  <c r="BH1321" i="4"/>
  <c r="AX1320" i="4"/>
  <c r="AW1320" i="4"/>
  <c r="AV1320" i="4"/>
  <c r="AP1320" i="4"/>
  <c r="AO1320" i="4"/>
  <c r="AN1320" i="4"/>
  <c r="AM1320" i="4"/>
  <c r="BH1320" i="4"/>
  <c r="AX1319" i="4"/>
  <c r="AW1319" i="4"/>
  <c r="AV1319" i="4"/>
  <c r="AP1319" i="4"/>
  <c r="AO1319" i="4"/>
  <c r="AN1319" i="4"/>
  <c r="AM1319" i="4"/>
  <c r="BH1319" i="4"/>
  <c r="AX1318" i="4"/>
  <c r="AW1318" i="4"/>
  <c r="AV1318" i="4"/>
  <c r="AP1318" i="4"/>
  <c r="AO1318" i="4"/>
  <c r="AN1318" i="4"/>
  <c r="AM1318" i="4"/>
  <c r="BH1318" i="4"/>
  <c r="AX1317" i="4"/>
  <c r="AW1317" i="4"/>
  <c r="AV1317" i="4"/>
  <c r="AP1317" i="4"/>
  <c r="AO1317" i="4"/>
  <c r="AN1317" i="4"/>
  <c r="AM1317" i="4"/>
  <c r="BH1317" i="4"/>
  <c r="AX1316" i="4"/>
  <c r="AW1316" i="4"/>
  <c r="AV1316" i="4"/>
  <c r="AP1316" i="4"/>
  <c r="AO1316" i="4"/>
  <c r="AN1316" i="4"/>
  <c r="AM1316" i="4"/>
  <c r="BH1316" i="4"/>
  <c r="AX1315" i="4"/>
  <c r="AW1315" i="4"/>
  <c r="AV1315" i="4"/>
  <c r="AP1315" i="4"/>
  <c r="AO1315" i="4"/>
  <c r="AN1315" i="4"/>
  <c r="AM1315" i="4"/>
  <c r="BH1315" i="4"/>
  <c r="AX1314" i="4"/>
  <c r="AW1314" i="4"/>
  <c r="AV1314" i="4"/>
  <c r="AP1314" i="4"/>
  <c r="AO1314" i="4"/>
  <c r="AN1314" i="4"/>
  <c r="AM1314" i="4"/>
  <c r="BH1314" i="4"/>
  <c r="AX1313" i="4"/>
  <c r="AW1313" i="4"/>
  <c r="AV1313" i="4"/>
  <c r="AP1313" i="4"/>
  <c r="AO1313" i="4"/>
  <c r="AN1313" i="4"/>
  <c r="AM1313" i="4"/>
  <c r="BH1313" i="4"/>
  <c r="AX1312" i="4"/>
  <c r="AW1312" i="4"/>
  <c r="AV1312" i="4"/>
  <c r="AP1312" i="4"/>
  <c r="AO1312" i="4"/>
  <c r="AN1312" i="4"/>
  <c r="AM1312" i="4"/>
  <c r="BH1312" i="4"/>
  <c r="AX1311" i="4"/>
  <c r="AW1311" i="4"/>
  <c r="AV1311" i="4"/>
  <c r="AP1311" i="4"/>
  <c r="AO1311" i="4"/>
  <c r="AN1311" i="4"/>
  <c r="AM1311" i="4"/>
  <c r="BH1311" i="4"/>
  <c r="AX1310" i="4"/>
  <c r="AW1310" i="4"/>
  <c r="AV1310" i="4"/>
  <c r="AP1310" i="4"/>
  <c r="AO1310" i="4"/>
  <c r="AN1310" i="4"/>
  <c r="AM1310" i="4"/>
  <c r="BH1310" i="4"/>
  <c r="AX1309" i="4"/>
  <c r="AW1309" i="4"/>
  <c r="AV1309" i="4"/>
  <c r="AP1309" i="4"/>
  <c r="AO1309" i="4"/>
  <c r="AN1309" i="4"/>
  <c r="AM1309" i="4"/>
  <c r="BH1309" i="4"/>
  <c r="AX1308" i="4"/>
  <c r="AW1308" i="4"/>
  <c r="AV1308" i="4"/>
  <c r="AP1308" i="4"/>
  <c r="AO1308" i="4"/>
  <c r="AN1308" i="4"/>
  <c r="AM1308" i="4"/>
  <c r="BH1308" i="4"/>
  <c r="AX1307" i="4"/>
  <c r="AW1307" i="4"/>
  <c r="AV1307" i="4"/>
  <c r="AP1307" i="4"/>
  <c r="AO1307" i="4"/>
  <c r="AN1307" i="4"/>
  <c r="AM1307" i="4"/>
  <c r="BH1307" i="4"/>
  <c r="AX1306" i="4"/>
  <c r="AW1306" i="4"/>
  <c r="AV1306" i="4"/>
  <c r="AP1306" i="4"/>
  <c r="AO1306" i="4"/>
  <c r="AN1306" i="4"/>
  <c r="AM1306" i="4"/>
  <c r="BH1306" i="4"/>
  <c r="AX1305" i="4"/>
  <c r="AW1305" i="4"/>
  <c r="AV1305" i="4"/>
  <c r="AP1305" i="4"/>
  <c r="AO1305" i="4"/>
  <c r="AN1305" i="4"/>
  <c r="AM1305" i="4"/>
  <c r="BH1305" i="4"/>
  <c r="AX1304" i="4"/>
  <c r="AW1304" i="4"/>
  <c r="AV1304" i="4"/>
  <c r="AP1304" i="4"/>
  <c r="AO1304" i="4"/>
  <c r="AN1304" i="4"/>
  <c r="AM1304" i="4"/>
  <c r="BH1304" i="4"/>
  <c r="AX1303" i="4"/>
  <c r="AW1303" i="4"/>
  <c r="AV1303" i="4"/>
  <c r="AP1303" i="4"/>
  <c r="AO1303" i="4"/>
  <c r="AN1303" i="4"/>
  <c r="AM1303" i="4"/>
  <c r="BH1303" i="4"/>
  <c r="AX1302" i="4"/>
  <c r="AW1302" i="4"/>
  <c r="AV1302" i="4"/>
  <c r="AP1302" i="4"/>
  <c r="AO1302" i="4"/>
  <c r="AN1302" i="4"/>
  <c r="AM1302" i="4"/>
  <c r="BH1302" i="4"/>
  <c r="AX1301" i="4"/>
  <c r="AW1301" i="4"/>
  <c r="AV1301" i="4"/>
  <c r="AP1301" i="4"/>
  <c r="AO1301" i="4"/>
  <c r="AN1301" i="4"/>
  <c r="AM1301" i="4"/>
  <c r="BH1301" i="4"/>
  <c r="AX1300" i="4"/>
  <c r="AW1300" i="4"/>
  <c r="AV1300" i="4"/>
  <c r="AP1300" i="4"/>
  <c r="AO1300" i="4"/>
  <c r="AN1300" i="4"/>
  <c r="AM1300" i="4"/>
  <c r="BH1300" i="4"/>
  <c r="AX1299" i="4"/>
  <c r="AW1299" i="4"/>
  <c r="AV1299" i="4"/>
  <c r="AP1299" i="4"/>
  <c r="AO1299" i="4"/>
  <c r="AN1299" i="4"/>
  <c r="AM1299" i="4"/>
  <c r="BH1299" i="4"/>
  <c r="AX1298" i="4"/>
  <c r="AW1298" i="4"/>
  <c r="AV1298" i="4"/>
  <c r="AP1298" i="4"/>
  <c r="AO1298" i="4"/>
  <c r="AN1298" i="4"/>
  <c r="AM1298" i="4"/>
  <c r="BH1298" i="4"/>
  <c r="AX1297" i="4"/>
  <c r="AW1297" i="4"/>
  <c r="AV1297" i="4"/>
  <c r="AP1297" i="4"/>
  <c r="AO1297" i="4"/>
  <c r="AN1297" i="4"/>
  <c r="AM1297" i="4"/>
  <c r="BH1297" i="4"/>
  <c r="AX1296" i="4"/>
  <c r="AW1296" i="4"/>
  <c r="AV1296" i="4"/>
  <c r="AP1296" i="4"/>
  <c r="AO1296" i="4"/>
  <c r="AN1296" i="4"/>
  <c r="AM1296" i="4"/>
  <c r="BH1296" i="4"/>
  <c r="AX1295" i="4"/>
  <c r="AW1295" i="4"/>
  <c r="AV1295" i="4"/>
  <c r="AP1295" i="4"/>
  <c r="AO1295" i="4"/>
  <c r="AN1295" i="4"/>
  <c r="AM1295" i="4"/>
  <c r="BH1295" i="4"/>
  <c r="AX1294" i="4"/>
  <c r="AW1294" i="4"/>
  <c r="AV1294" i="4"/>
  <c r="AP1294" i="4"/>
  <c r="AO1294" i="4"/>
  <c r="AN1294" i="4"/>
  <c r="AM1294" i="4"/>
  <c r="BH1294" i="4"/>
  <c r="AX1293" i="4"/>
  <c r="AW1293" i="4"/>
  <c r="AV1293" i="4"/>
  <c r="AP1293" i="4"/>
  <c r="AO1293" i="4"/>
  <c r="AN1293" i="4"/>
  <c r="AM1293" i="4"/>
  <c r="BH1293" i="4"/>
  <c r="AX1292" i="4"/>
  <c r="AW1292" i="4"/>
  <c r="AV1292" i="4"/>
  <c r="AP1292" i="4"/>
  <c r="AO1292" i="4"/>
  <c r="AN1292" i="4"/>
  <c r="AM1292" i="4"/>
  <c r="BH1292" i="4"/>
  <c r="AX1291" i="4"/>
  <c r="AW1291" i="4"/>
  <c r="AV1291" i="4"/>
  <c r="AP1291" i="4"/>
  <c r="AO1291" i="4"/>
  <c r="AN1291" i="4"/>
  <c r="AM1291" i="4"/>
  <c r="BH1291" i="4"/>
  <c r="AX1290" i="4"/>
  <c r="AW1290" i="4"/>
  <c r="AV1290" i="4"/>
  <c r="AP1290" i="4"/>
  <c r="AO1290" i="4"/>
  <c r="AN1290" i="4"/>
  <c r="AM1290" i="4"/>
  <c r="BH1290" i="4"/>
  <c r="AX1289" i="4"/>
  <c r="AW1289" i="4"/>
  <c r="AV1289" i="4"/>
  <c r="AP1289" i="4"/>
  <c r="AO1289" i="4"/>
  <c r="AN1289" i="4"/>
  <c r="AM1289" i="4"/>
  <c r="BH1289" i="4"/>
  <c r="AX1288" i="4"/>
  <c r="AW1288" i="4"/>
  <c r="AV1288" i="4"/>
  <c r="AP1288" i="4"/>
  <c r="AO1288" i="4"/>
  <c r="AN1288" i="4"/>
  <c r="AM1288" i="4"/>
  <c r="BH1288" i="4"/>
  <c r="AX1287" i="4"/>
  <c r="AW1287" i="4"/>
  <c r="AV1287" i="4"/>
  <c r="AP1287" i="4"/>
  <c r="AO1287" i="4"/>
  <c r="AN1287" i="4"/>
  <c r="AM1287" i="4"/>
  <c r="BH1287" i="4"/>
  <c r="AX1286" i="4"/>
  <c r="AW1286" i="4"/>
  <c r="AV1286" i="4"/>
  <c r="AP1286" i="4"/>
  <c r="AO1286" i="4"/>
  <c r="AN1286" i="4"/>
  <c r="AM1286" i="4"/>
  <c r="BH1286" i="4"/>
  <c r="AX1285" i="4"/>
  <c r="AW1285" i="4"/>
  <c r="AV1285" i="4"/>
  <c r="AP1285" i="4"/>
  <c r="AO1285" i="4"/>
  <c r="AN1285" i="4"/>
  <c r="AM1285" i="4"/>
  <c r="BH1285" i="4"/>
  <c r="AX1284" i="4"/>
  <c r="AW1284" i="4"/>
  <c r="AV1284" i="4"/>
  <c r="AP1284" i="4"/>
  <c r="AO1284" i="4"/>
  <c r="AN1284" i="4"/>
  <c r="AM1284" i="4"/>
  <c r="BH1284" i="4"/>
  <c r="AX1283" i="4"/>
  <c r="AW1283" i="4"/>
  <c r="AV1283" i="4"/>
  <c r="AP1283" i="4"/>
  <c r="AO1283" i="4"/>
  <c r="AN1283" i="4"/>
  <c r="AM1283" i="4"/>
  <c r="BH1283" i="4"/>
  <c r="AX1282" i="4"/>
  <c r="AW1282" i="4"/>
  <c r="AV1282" i="4"/>
  <c r="AP1282" i="4"/>
  <c r="AO1282" i="4"/>
  <c r="AN1282" i="4"/>
  <c r="AM1282" i="4"/>
  <c r="BH1282" i="4"/>
  <c r="AX1281" i="4"/>
  <c r="AW1281" i="4"/>
  <c r="AV1281" i="4"/>
  <c r="AP1281" i="4"/>
  <c r="AO1281" i="4"/>
  <c r="AN1281" i="4"/>
  <c r="AM1281" i="4"/>
  <c r="BH1281" i="4"/>
  <c r="AX1280" i="4"/>
  <c r="AW1280" i="4"/>
  <c r="AV1280" i="4"/>
  <c r="AP1280" i="4"/>
  <c r="AO1280" i="4"/>
  <c r="AN1280" i="4"/>
  <c r="AM1280" i="4"/>
  <c r="BH1280" i="4"/>
  <c r="AX1269" i="4"/>
  <c r="AW1269" i="4"/>
  <c r="AV1269" i="4"/>
  <c r="AP1269" i="4"/>
  <c r="AO1269" i="4"/>
  <c r="AN1269" i="4"/>
  <c r="AM1269" i="4"/>
  <c r="BH1269" i="4"/>
  <c r="AX1268" i="4"/>
  <c r="AW1268" i="4"/>
  <c r="AV1268" i="4"/>
  <c r="AP1268" i="4"/>
  <c r="AO1268" i="4"/>
  <c r="AN1268" i="4"/>
  <c r="AM1268" i="4"/>
  <c r="BH1268" i="4"/>
  <c r="AX1267" i="4"/>
  <c r="AW1267" i="4"/>
  <c r="AV1267" i="4"/>
  <c r="AP1267" i="4"/>
  <c r="AO1267" i="4"/>
  <c r="AN1267" i="4"/>
  <c r="AM1267" i="4"/>
  <c r="BH1267" i="4"/>
  <c r="AX1266" i="4"/>
  <c r="AW1266" i="4"/>
  <c r="AV1266" i="4"/>
  <c r="AP1266" i="4"/>
  <c r="AO1266" i="4"/>
  <c r="AN1266" i="4"/>
  <c r="AM1266" i="4"/>
  <c r="BH1266" i="4"/>
  <c r="AX1265" i="4"/>
  <c r="AW1265" i="4"/>
  <c r="AV1265" i="4"/>
  <c r="AP1265" i="4"/>
  <c r="AO1265" i="4"/>
  <c r="AN1265" i="4"/>
  <c r="AM1265" i="4"/>
  <c r="BH1265" i="4"/>
  <c r="AX1264" i="4"/>
  <c r="AW1264" i="4"/>
  <c r="AV1264" i="4"/>
  <c r="AP1264" i="4"/>
  <c r="AO1264" i="4"/>
  <c r="AN1264" i="4"/>
  <c r="AM1264" i="4"/>
  <c r="BH1264" i="4"/>
  <c r="AX1263" i="4"/>
  <c r="AW1263" i="4"/>
  <c r="AV1263" i="4"/>
  <c r="AP1263" i="4"/>
  <c r="AO1263" i="4"/>
  <c r="AN1263" i="4"/>
  <c r="AM1263" i="4"/>
  <c r="BH1263" i="4"/>
  <c r="AX1262" i="4"/>
  <c r="AW1262" i="4"/>
  <c r="AV1262" i="4"/>
  <c r="AP1262" i="4"/>
  <c r="AO1262" i="4"/>
  <c r="AN1262" i="4"/>
  <c r="AM1262" i="4"/>
  <c r="BH1262" i="4"/>
  <c r="AX1261" i="4"/>
  <c r="AW1261" i="4"/>
  <c r="AV1261" i="4"/>
  <c r="AP1261" i="4"/>
  <c r="AO1261" i="4"/>
  <c r="AN1261" i="4"/>
  <c r="AM1261" i="4"/>
  <c r="BH1261" i="4"/>
  <c r="AX1260" i="4"/>
  <c r="AW1260" i="4"/>
  <c r="AV1260" i="4"/>
  <c r="AP1260" i="4"/>
  <c r="AO1260" i="4"/>
  <c r="AN1260" i="4"/>
  <c r="AM1260" i="4"/>
  <c r="BH1260" i="4"/>
  <c r="AX1259" i="4"/>
  <c r="AW1259" i="4"/>
  <c r="AV1259" i="4"/>
  <c r="AP1259" i="4"/>
  <c r="AO1259" i="4"/>
  <c r="AN1259" i="4"/>
  <c r="AM1259" i="4"/>
  <c r="BH1259" i="4"/>
  <c r="AX1258" i="4"/>
  <c r="AW1258" i="4"/>
  <c r="AV1258" i="4"/>
  <c r="AP1258" i="4"/>
  <c r="AO1258" i="4"/>
  <c r="AN1258" i="4"/>
  <c r="AM1258" i="4"/>
  <c r="BH1258" i="4"/>
  <c r="AX1257" i="4"/>
  <c r="AW1257" i="4"/>
  <c r="AV1257" i="4"/>
  <c r="AP1257" i="4"/>
  <c r="AO1257" i="4"/>
  <c r="AN1257" i="4"/>
  <c r="AM1257" i="4"/>
  <c r="BH1257" i="4"/>
  <c r="AX1256" i="4"/>
  <c r="AW1256" i="4"/>
  <c r="AV1256" i="4"/>
  <c r="AP1256" i="4"/>
  <c r="AO1256" i="4"/>
  <c r="AN1256" i="4"/>
  <c r="AM1256" i="4"/>
  <c r="BH1256" i="4"/>
  <c r="AX1255" i="4"/>
  <c r="AW1255" i="4"/>
  <c r="AV1255" i="4"/>
  <c r="AP1255" i="4"/>
  <c r="AO1255" i="4"/>
  <c r="AN1255" i="4"/>
  <c r="AM1255" i="4"/>
  <c r="BH1255" i="4"/>
  <c r="AX1254" i="4"/>
  <c r="AW1254" i="4"/>
  <c r="AV1254" i="4"/>
  <c r="AP1254" i="4"/>
  <c r="AO1254" i="4"/>
  <c r="AN1254" i="4"/>
  <c r="AM1254" i="4"/>
  <c r="BH1254" i="4"/>
  <c r="AX1253" i="4"/>
  <c r="AW1253" i="4"/>
  <c r="AV1253" i="4"/>
  <c r="AP1253" i="4"/>
  <c r="AO1253" i="4"/>
  <c r="AN1253" i="4"/>
  <c r="AM1253" i="4"/>
  <c r="BH1253" i="4"/>
  <c r="AX1252" i="4"/>
  <c r="AW1252" i="4"/>
  <c r="AV1252" i="4"/>
  <c r="AP1252" i="4"/>
  <c r="AO1252" i="4"/>
  <c r="AN1252" i="4"/>
  <c r="AM1252" i="4"/>
  <c r="BH1252" i="4"/>
  <c r="AX1251" i="4"/>
  <c r="AW1251" i="4"/>
  <c r="AV1251" i="4"/>
  <c r="AP1251" i="4"/>
  <c r="AO1251" i="4"/>
  <c r="AN1251" i="4"/>
  <c r="AM1251" i="4"/>
  <c r="BH1251" i="4"/>
  <c r="AX1250" i="4"/>
  <c r="AW1250" i="4"/>
  <c r="AV1250" i="4"/>
  <c r="AP1250" i="4"/>
  <c r="AO1250" i="4"/>
  <c r="AN1250" i="4"/>
  <c r="AM1250" i="4"/>
  <c r="BH1250" i="4"/>
  <c r="AX1249" i="4"/>
  <c r="AW1249" i="4"/>
  <c r="AV1249" i="4"/>
  <c r="AP1249" i="4"/>
  <c r="AO1249" i="4"/>
  <c r="AN1249" i="4"/>
  <c r="AM1249" i="4"/>
  <c r="BH1249" i="4"/>
  <c r="AX1248" i="4"/>
  <c r="AW1248" i="4"/>
  <c r="AV1248" i="4"/>
  <c r="AP1248" i="4"/>
  <c r="AO1248" i="4"/>
  <c r="AN1248" i="4"/>
  <c r="AM1248" i="4"/>
  <c r="BH1248" i="4"/>
  <c r="AX1247" i="4"/>
  <c r="AW1247" i="4"/>
  <c r="AV1247" i="4"/>
  <c r="AP1247" i="4"/>
  <c r="AO1247" i="4"/>
  <c r="AN1247" i="4"/>
  <c r="AM1247" i="4"/>
  <c r="BH1247" i="4"/>
  <c r="AX1246" i="4"/>
  <c r="AW1246" i="4"/>
  <c r="AV1246" i="4"/>
  <c r="AP1246" i="4"/>
  <c r="AO1246" i="4"/>
  <c r="AN1246" i="4"/>
  <c r="AM1246" i="4"/>
  <c r="BH1246" i="4"/>
  <c r="AX1245" i="4"/>
  <c r="AW1245" i="4"/>
  <c r="AV1245" i="4"/>
  <c r="AP1245" i="4"/>
  <c r="AO1245" i="4"/>
  <c r="AN1245" i="4"/>
  <c r="AM1245" i="4"/>
  <c r="BH1245" i="4"/>
  <c r="AX1244" i="4"/>
  <c r="AW1244" i="4"/>
  <c r="AV1244" i="4"/>
  <c r="AP1244" i="4"/>
  <c r="AO1244" i="4"/>
  <c r="AN1244" i="4"/>
  <c r="AM1244" i="4"/>
  <c r="BH1244" i="4"/>
  <c r="AX1243" i="4"/>
  <c r="AW1243" i="4"/>
  <c r="AV1243" i="4"/>
  <c r="AP1243" i="4"/>
  <c r="AO1243" i="4"/>
  <c r="AN1243" i="4"/>
  <c r="AM1243" i="4"/>
  <c r="BH1243" i="4"/>
  <c r="AX1242" i="4"/>
  <c r="AW1242" i="4"/>
  <c r="AV1242" i="4"/>
  <c r="AP1242" i="4"/>
  <c r="AO1242" i="4"/>
  <c r="AN1242" i="4"/>
  <c r="AM1242" i="4"/>
  <c r="BH1242" i="4"/>
  <c r="AX1241" i="4"/>
  <c r="AW1241" i="4"/>
  <c r="AV1241" i="4"/>
  <c r="AP1241" i="4"/>
  <c r="AO1241" i="4"/>
  <c r="AN1241" i="4"/>
  <c r="AM1241" i="4"/>
  <c r="BH1241" i="4"/>
  <c r="AX1240" i="4"/>
  <c r="AW1240" i="4"/>
  <c r="AV1240" i="4"/>
  <c r="AP1240" i="4"/>
  <c r="AO1240" i="4"/>
  <c r="AN1240" i="4"/>
  <c r="AM1240" i="4"/>
  <c r="BH1240" i="4"/>
  <c r="AX1239" i="4"/>
  <c r="AW1239" i="4"/>
  <c r="AV1239" i="4"/>
  <c r="AP1239" i="4"/>
  <c r="AO1239" i="4"/>
  <c r="AN1239" i="4"/>
  <c r="AM1239" i="4"/>
  <c r="BH1239" i="4"/>
  <c r="AX1238" i="4"/>
  <c r="AW1238" i="4"/>
  <c r="AV1238" i="4"/>
  <c r="AP1238" i="4"/>
  <c r="AO1238" i="4"/>
  <c r="AN1238" i="4"/>
  <c r="AM1238" i="4"/>
  <c r="BH1238" i="4"/>
  <c r="AX1237" i="4"/>
  <c r="AW1237" i="4"/>
  <c r="AV1237" i="4"/>
  <c r="AP1237" i="4"/>
  <c r="AO1237" i="4"/>
  <c r="AN1237" i="4"/>
  <c r="AM1237" i="4"/>
  <c r="BH1237" i="4"/>
  <c r="AX1236" i="4"/>
  <c r="AW1236" i="4"/>
  <c r="AV1236" i="4"/>
  <c r="AP1236" i="4"/>
  <c r="AO1236" i="4"/>
  <c r="AN1236" i="4"/>
  <c r="AM1236" i="4"/>
  <c r="BH1236" i="4"/>
  <c r="AX1235" i="4"/>
  <c r="AW1235" i="4"/>
  <c r="AV1235" i="4"/>
  <c r="AP1235" i="4"/>
  <c r="AO1235" i="4"/>
  <c r="AN1235" i="4"/>
  <c r="AM1235" i="4"/>
  <c r="BH1235" i="4"/>
  <c r="AX1234" i="4"/>
  <c r="AW1234" i="4"/>
  <c r="AV1234" i="4"/>
  <c r="AP1234" i="4"/>
  <c r="AO1234" i="4"/>
  <c r="AN1234" i="4"/>
  <c r="AM1234" i="4"/>
  <c r="BH1234" i="4"/>
  <c r="AX1233" i="4"/>
  <c r="AW1233" i="4"/>
  <c r="AV1233" i="4"/>
  <c r="AP1233" i="4"/>
  <c r="AO1233" i="4"/>
  <c r="AN1233" i="4"/>
  <c r="AM1233" i="4"/>
  <c r="BH1233" i="4"/>
  <c r="AX1232" i="4"/>
  <c r="AW1232" i="4"/>
  <c r="AV1232" i="4"/>
  <c r="AP1232" i="4"/>
  <c r="AO1232" i="4"/>
  <c r="AN1232" i="4"/>
  <c r="AM1232" i="4"/>
  <c r="BH1232" i="4"/>
  <c r="AX1231" i="4"/>
  <c r="AW1231" i="4"/>
  <c r="AV1231" i="4"/>
  <c r="AP1231" i="4"/>
  <c r="AO1231" i="4"/>
  <c r="AN1231" i="4"/>
  <c r="AM1231" i="4"/>
  <c r="BH1231" i="4"/>
  <c r="AX1230" i="4"/>
  <c r="AW1230" i="4"/>
  <c r="AV1230" i="4"/>
  <c r="AP1230" i="4"/>
  <c r="AO1230" i="4"/>
  <c r="AN1230" i="4"/>
  <c r="AM1230" i="4"/>
  <c r="BH1230" i="4"/>
  <c r="AX1229" i="4"/>
  <c r="AW1229" i="4"/>
  <c r="AV1229" i="4"/>
  <c r="AP1229" i="4"/>
  <c r="AO1229" i="4"/>
  <c r="AN1229" i="4"/>
  <c r="AM1229" i="4"/>
  <c r="BH1229" i="4"/>
  <c r="AX1228" i="4"/>
  <c r="AW1228" i="4"/>
  <c r="AV1228" i="4"/>
  <c r="AP1228" i="4"/>
  <c r="AO1228" i="4"/>
  <c r="AN1228" i="4"/>
  <c r="AM1228" i="4"/>
  <c r="BH1228" i="4"/>
  <c r="AX1227" i="4"/>
  <c r="AW1227" i="4"/>
  <c r="AV1227" i="4"/>
  <c r="AP1227" i="4"/>
  <c r="AO1227" i="4"/>
  <c r="AN1227" i="4"/>
  <c r="AM1227" i="4"/>
  <c r="BH1227" i="4"/>
  <c r="AX1226" i="4"/>
  <c r="AW1226" i="4"/>
  <c r="AV1226" i="4"/>
  <c r="AP1226" i="4"/>
  <c r="AO1226" i="4"/>
  <c r="AN1226" i="4"/>
  <c r="AM1226" i="4"/>
  <c r="BH1226" i="4"/>
  <c r="AX1225" i="4"/>
  <c r="AW1225" i="4"/>
  <c r="AV1225" i="4"/>
  <c r="AP1225" i="4"/>
  <c r="AO1225" i="4"/>
  <c r="AN1225" i="4"/>
  <c r="AM1225" i="4"/>
  <c r="BH1225" i="4"/>
  <c r="AX1224" i="4"/>
  <c r="AW1224" i="4"/>
  <c r="AV1224" i="4"/>
  <c r="AP1224" i="4"/>
  <c r="AO1224" i="4"/>
  <c r="AN1224" i="4"/>
  <c r="AM1224" i="4"/>
  <c r="BH1224" i="4"/>
  <c r="AX1223" i="4"/>
  <c r="AW1223" i="4"/>
  <c r="AV1223" i="4"/>
  <c r="AP1223" i="4"/>
  <c r="AO1223" i="4"/>
  <c r="AN1223" i="4"/>
  <c r="AM1223" i="4"/>
  <c r="BH1223" i="4"/>
  <c r="AX1222" i="4"/>
  <c r="AW1222" i="4"/>
  <c r="AV1222" i="4"/>
  <c r="AP1222" i="4"/>
  <c r="AO1222" i="4"/>
  <c r="AN1222" i="4"/>
  <c r="AM1222" i="4"/>
  <c r="BH1222" i="4"/>
  <c r="AX1221" i="4"/>
  <c r="AW1221" i="4"/>
  <c r="AV1221" i="4"/>
  <c r="AP1221" i="4"/>
  <c r="AO1221" i="4"/>
  <c r="AN1221" i="4"/>
  <c r="AM1221" i="4"/>
  <c r="BH1221" i="4"/>
  <c r="AX1220" i="4"/>
  <c r="AW1220" i="4"/>
  <c r="AV1220" i="4"/>
  <c r="AP1220" i="4"/>
  <c r="AO1220" i="4"/>
  <c r="AN1220" i="4"/>
  <c r="AM1220" i="4"/>
  <c r="BH1220" i="4"/>
  <c r="AX1219" i="4"/>
  <c r="AW1219" i="4"/>
  <c r="AV1219" i="4"/>
  <c r="AP1219" i="4"/>
  <c r="AO1219" i="4"/>
  <c r="AN1219" i="4"/>
  <c r="AM1219" i="4"/>
  <c r="BH1219" i="4"/>
  <c r="AX1218" i="4"/>
  <c r="AW1218" i="4"/>
  <c r="AV1218" i="4"/>
  <c r="AP1218" i="4"/>
  <c r="AO1218" i="4"/>
  <c r="AN1218" i="4"/>
  <c r="AM1218" i="4"/>
  <c r="BH1218" i="4"/>
  <c r="AX1217" i="4"/>
  <c r="AW1217" i="4"/>
  <c r="AV1217" i="4"/>
  <c r="AP1217" i="4"/>
  <c r="AO1217" i="4"/>
  <c r="AN1217" i="4"/>
  <c r="AM1217" i="4"/>
  <c r="BH1217" i="4"/>
  <c r="AX1216" i="4"/>
  <c r="AW1216" i="4"/>
  <c r="AV1216" i="4"/>
  <c r="AP1216" i="4"/>
  <c r="AO1216" i="4"/>
  <c r="AN1216" i="4"/>
  <c r="AM1216" i="4"/>
  <c r="BH1216" i="4"/>
  <c r="AX1215" i="4"/>
  <c r="AW1215" i="4"/>
  <c r="AV1215" i="4"/>
  <c r="AP1215" i="4"/>
  <c r="AO1215" i="4"/>
  <c r="AN1215" i="4"/>
  <c r="AM1215" i="4"/>
  <c r="BH1215" i="4"/>
  <c r="AX1214" i="4"/>
  <c r="AW1214" i="4"/>
  <c r="AV1214" i="4"/>
  <c r="AP1214" i="4"/>
  <c r="AO1214" i="4"/>
  <c r="AN1214" i="4"/>
  <c r="AM1214" i="4"/>
  <c r="BH1214" i="4"/>
  <c r="AX1213" i="4"/>
  <c r="AW1213" i="4"/>
  <c r="AV1213" i="4"/>
  <c r="AP1213" i="4"/>
  <c r="AO1213" i="4"/>
  <c r="AN1213" i="4"/>
  <c r="AM1213" i="4"/>
  <c r="BH1213" i="4"/>
  <c r="AX1212" i="4"/>
  <c r="AW1212" i="4"/>
  <c r="AV1212" i="4"/>
  <c r="AP1212" i="4"/>
  <c r="AO1212" i="4"/>
  <c r="AN1212" i="4"/>
  <c r="AM1212" i="4"/>
  <c r="BH1212" i="4"/>
  <c r="AX1211" i="4"/>
  <c r="AW1211" i="4"/>
  <c r="AV1211" i="4"/>
  <c r="AP1211" i="4"/>
  <c r="AO1211" i="4"/>
  <c r="AN1211" i="4"/>
  <c r="AM1211" i="4"/>
  <c r="BH1211" i="4"/>
  <c r="AX1210" i="4"/>
  <c r="AW1210" i="4"/>
  <c r="AV1210" i="4"/>
  <c r="AP1210" i="4"/>
  <c r="AO1210" i="4"/>
  <c r="AN1210" i="4"/>
  <c r="AM1210" i="4"/>
  <c r="BH1210" i="4"/>
  <c r="AX1209" i="4"/>
  <c r="AW1209" i="4"/>
  <c r="AV1209" i="4"/>
  <c r="AP1209" i="4"/>
  <c r="AO1209" i="4"/>
  <c r="AN1209" i="4"/>
  <c r="AM1209" i="4"/>
  <c r="BH1209" i="4"/>
  <c r="AX1208" i="4"/>
  <c r="AW1208" i="4"/>
  <c r="AV1208" i="4"/>
  <c r="AP1208" i="4"/>
  <c r="AO1208" i="4"/>
  <c r="AN1208" i="4"/>
  <c r="AM1208" i="4"/>
  <c r="BH1208" i="4"/>
  <c r="AX1207" i="4"/>
  <c r="AW1207" i="4"/>
  <c r="AV1207" i="4"/>
  <c r="AP1207" i="4"/>
  <c r="AO1207" i="4"/>
  <c r="AN1207" i="4"/>
  <c r="AM1207" i="4"/>
  <c r="BH1207" i="4"/>
  <c r="AX1206" i="4"/>
  <c r="AW1206" i="4"/>
  <c r="AV1206" i="4"/>
  <c r="AP1206" i="4"/>
  <c r="AO1206" i="4"/>
  <c r="AN1206" i="4"/>
  <c r="AM1206" i="4"/>
  <c r="BH1206" i="4"/>
  <c r="AX1205" i="4"/>
  <c r="AW1205" i="4"/>
  <c r="AV1205" i="4"/>
  <c r="AP1205" i="4"/>
  <c r="AO1205" i="4"/>
  <c r="AN1205" i="4"/>
  <c r="AM1205" i="4"/>
  <c r="BH1205" i="4"/>
  <c r="AX1204" i="4"/>
  <c r="AW1204" i="4"/>
  <c r="AV1204" i="4"/>
  <c r="AP1204" i="4"/>
  <c r="AO1204" i="4"/>
  <c r="AN1204" i="4"/>
  <c r="AM1204" i="4"/>
  <c r="BH1204" i="4"/>
  <c r="AX1203" i="4"/>
  <c r="AW1203" i="4"/>
  <c r="AV1203" i="4"/>
  <c r="AP1203" i="4"/>
  <c r="AO1203" i="4"/>
  <c r="AN1203" i="4"/>
  <c r="AM1203" i="4"/>
  <c r="BH1203" i="4"/>
  <c r="AX1202" i="4"/>
  <c r="AW1202" i="4"/>
  <c r="AV1202" i="4"/>
  <c r="AP1202" i="4"/>
  <c r="AO1202" i="4"/>
  <c r="AN1202" i="4"/>
  <c r="AM1202" i="4"/>
  <c r="BH1202" i="4"/>
  <c r="AX1201" i="4"/>
  <c r="AW1201" i="4"/>
  <c r="AV1201" i="4"/>
  <c r="AP1201" i="4"/>
  <c r="AO1201" i="4"/>
  <c r="AN1201" i="4"/>
  <c r="AM1201" i="4"/>
  <c r="BH1201" i="4"/>
  <c r="AX1200" i="4"/>
  <c r="AW1200" i="4"/>
  <c r="AV1200" i="4"/>
  <c r="AP1200" i="4"/>
  <c r="AO1200" i="4"/>
  <c r="AN1200" i="4"/>
  <c r="AM1200" i="4"/>
  <c r="BH1200" i="4"/>
  <c r="AX1199" i="4"/>
  <c r="AW1199" i="4"/>
  <c r="AV1199" i="4"/>
  <c r="AP1199" i="4"/>
  <c r="AO1199" i="4"/>
  <c r="AN1199" i="4"/>
  <c r="AM1199" i="4"/>
  <c r="BH1199" i="4"/>
  <c r="AX1198" i="4"/>
  <c r="AW1198" i="4"/>
  <c r="AV1198" i="4"/>
  <c r="AP1198" i="4"/>
  <c r="AO1198" i="4"/>
  <c r="AN1198" i="4"/>
  <c r="AM1198" i="4"/>
  <c r="BH1198" i="4"/>
  <c r="AX1197" i="4"/>
  <c r="AW1197" i="4"/>
  <c r="AV1197" i="4"/>
  <c r="AP1197" i="4"/>
  <c r="AO1197" i="4"/>
  <c r="AN1197" i="4"/>
  <c r="AM1197" i="4"/>
  <c r="BH1197" i="4"/>
  <c r="AX1196" i="4"/>
  <c r="AW1196" i="4"/>
  <c r="AV1196" i="4"/>
  <c r="AP1196" i="4"/>
  <c r="AO1196" i="4"/>
  <c r="AN1196" i="4"/>
  <c r="AM1196" i="4"/>
  <c r="BH1196" i="4"/>
  <c r="AX1195" i="4"/>
  <c r="AW1195" i="4"/>
  <c r="AV1195" i="4"/>
  <c r="AP1195" i="4"/>
  <c r="AO1195" i="4"/>
  <c r="AN1195" i="4"/>
  <c r="AM1195" i="4"/>
  <c r="BH1195" i="4"/>
  <c r="AX1194" i="4"/>
  <c r="AW1194" i="4"/>
  <c r="AV1194" i="4"/>
  <c r="AP1194" i="4"/>
  <c r="AO1194" i="4"/>
  <c r="AN1194" i="4"/>
  <c r="AM1194" i="4"/>
  <c r="BH1194" i="4"/>
  <c r="AX1193" i="4"/>
  <c r="AW1193" i="4"/>
  <c r="AV1193" i="4"/>
  <c r="AP1193" i="4"/>
  <c r="AO1193" i="4"/>
  <c r="AN1193" i="4"/>
  <c r="AM1193" i="4"/>
  <c r="BH1193" i="4"/>
  <c r="AX1192" i="4"/>
  <c r="AW1192" i="4"/>
  <c r="AV1192" i="4"/>
  <c r="AP1192" i="4"/>
  <c r="AO1192" i="4"/>
  <c r="AN1192" i="4"/>
  <c r="AM1192" i="4"/>
  <c r="BH1192" i="4"/>
  <c r="AX1191" i="4"/>
  <c r="AW1191" i="4"/>
  <c r="AV1191" i="4"/>
  <c r="AP1191" i="4"/>
  <c r="AO1191" i="4"/>
  <c r="AN1191" i="4"/>
  <c r="AM1191" i="4"/>
  <c r="BH1191" i="4"/>
  <c r="AX1190" i="4"/>
  <c r="AW1190" i="4"/>
  <c r="AV1190" i="4"/>
  <c r="AP1190" i="4"/>
  <c r="AO1190" i="4"/>
  <c r="AN1190" i="4"/>
  <c r="AM1190" i="4"/>
  <c r="BH1190" i="4"/>
  <c r="AX1189" i="4"/>
  <c r="AW1189" i="4"/>
  <c r="AV1189" i="4"/>
  <c r="AP1189" i="4"/>
  <c r="AO1189" i="4"/>
  <c r="AN1189" i="4"/>
  <c r="AM1189" i="4"/>
  <c r="BH1189" i="4"/>
  <c r="AX1188" i="4"/>
  <c r="AW1188" i="4"/>
  <c r="AV1188" i="4"/>
  <c r="AP1188" i="4"/>
  <c r="AO1188" i="4"/>
  <c r="AN1188" i="4"/>
  <c r="AM1188" i="4"/>
  <c r="BH1188" i="4"/>
  <c r="AX1187" i="4"/>
  <c r="AW1187" i="4"/>
  <c r="AV1187" i="4"/>
  <c r="AP1187" i="4"/>
  <c r="AO1187" i="4"/>
  <c r="AN1187" i="4"/>
  <c r="AM1187" i="4"/>
  <c r="BH1187" i="4"/>
  <c r="AX1186" i="4"/>
  <c r="AW1186" i="4"/>
  <c r="AV1186" i="4"/>
  <c r="AP1186" i="4"/>
  <c r="AO1186" i="4"/>
  <c r="AN1186" i="4"/>
  <c r="AM1186" i="4"/>
  <c r="BH1186" i="4"/>
  <c r="AX1185" i="4"/>
  <c r="AW1185" i="4"/>
  <c r="AV1185" i="4"/>
  <c r="AP1185" i="4"/>
  <c r="AO1185" i="4"/>
  <c r="AN1185" i="4"/>
  <c r="AM1185" i="4"/>
  <c r="BH1185" i="4"/>
  <c r="AX1184" i="4"/>
  <c r="AW1184" i="4"/>
  <c r="AV1184" i="4"/>
  <c r="AP1184" i="4"/>
  <c r="AO1184" i="4"/>
  <c r="AN1184" i="4"/>
  <c r="AM1184" i="4"/>
  <c r="BH1184" i="4"/>
  <c r="AX1183" i="4"/>
  <c r="AW1183" i="4"/>
  <c r="AV1183" i="4"/>
  <c r="AP1183" i="4"/>
  <c r="AO1183" i="4"/>
  <c r="AN1183" i="4"/>
  <c r="AM1183" i="4"/>
  <c r="BH1183" i="4"/>
  <c r="AX1182" i="4"/>
  <c r="AW1182" i="4"/>
  <c r="AV1182" i="4"/>
  <c r="AP1182" i="4"/>
  <c r="AO1182" i="4"/>
  <c r="AN1182" i="4"/>
  <c r="AM1182" i="4"/>
  <c r="BH1182" i="4"/>
  <c r="AX1181" i="4"/>
  <c r="AW1181" i="4"/>
  <c r="AV1181" i="4"/>
  <c r="AP1181" i="4"/>
  <c r="AO1181" i="4"/>
  <c r="AN1181" i="4"/>
  <c r="AM1181" i="4"/>
  <c r="BH1181" i="4"/>
  <c r="AX1180" i="4"/>
  <c r="AW1180" i="4"/>
  <c r="AV1180" i="4"/>
  <c r="AP1180" i="4"/>
  <c r="AO1180" i="4"/>
  <c r="AN1180" i="4"/>
  <c r="AM1180" i="4"/>
  <c r="BH1180" i="4"/>
  <c r="AX1179" i="4"/>
  <c r="AW1179" i="4"/>
  <c r="AV1179" i="4"/>
  <c r="AP1179" i="4"/>
  <c r="AO1179" i="4"/>
  <c r="AN1179" i="4"/>
  <c r="AM1179" i="4"/>
  <c r="BH1179" i="4"/>
  <c r="AX1178" i="4"/>
  <c r="AW1178" i="4"/>
  <c r="AV1178" i="4"/>
  <c r="AP1178" i="4"/>
  <c r="AO1178" i="4"/>
  <c r="AN1178" i="4"/>
  <c r="AM1178" i="4"/>
  <c r="BH1178" i="4"/>
  <c r="AX1177" i="4"/>
  <c r="AW1177" i="4"/>
  <c r="AV1177" i="4"/>
  <c r="AP1177" i="4"/>
  <c r="AO1177" i="4"/>
  <c r="AN1177" i="4"/>
  <c r="AM1177" i="4"/>
  <c r="BH1177" i="4"/>
  <c r="AX1176" i="4"/>
  <c r="AW1176" i="4"/>
  <c r="AV1176" i="4"/>
  <c r="AP1176" i="4"/>
  <c r="AO1176" i="4"/>
  <c r="AN1176" i="4"/>
  <c r="AM1176" i="4"/>
  <c r="BH1176" i="4"/>
  <c r="AX1175" i="4"/>
  <c r="AW1175" i="4"/>
  <c r="AV1175" i="4"/>
  <c r="AP1175" i="4"/>
  <c r="AO1175" i="4"/>
  <c r="AN1175" i="4"/>
  <c r="AM1175" i="4"/>
  <c r="BH1175" i="4"/>
  <c r="AX1174" i="4"/>
  <c r="AW1174" i="4"/>
  <c r="AV1174" i="4"/>
  <c r="AP1174" i="4"/>
  <c r="AO1174" i="4"/>
  <c r="AN1174" i="4"/>
  <c r="AM1174" i="4"/>
  <c r="BH1174" i="4"/>
  <c r="AX1173" i="4"/>
  <c r="AW1173" i="4"/>
  <c r="AV1173" i="4"/>
  <c r="AP1173" i="4"/>
  <c r="AO1173" i="4"/>
  <c r="AN1173" i="4"/>
  <c r="AM1173" i="4"/>
  <c r="BH1173" i="4"/>
  <c r="AX1172" i="4"/>
  <c r="AW1172" i="4"/>
  <c r="AV1172" i="4"/>
  <c r="AP1172" i="4"/>
  <c r="AO1172" i="4"/>
  <c r="AN1172" i="4"/>
  <c r="AM1172" i="4"/>
  <c r="BH1172" i="4"/>
  <c r="AX1171" i="4"/>
  <c r="AW1171" i="4"/>
  <c r="AV1171" i="4"/>
  <c r="AP1171" i="4"/>
  <c r="AO1171" i="4"/>
  <c r="AN1171" i="4"/>
  <c r="AM1171" i="4"/>
  <c r="BH1171" i="4"/>
  <c r="AX1170" i="4"/>
  <c r="AW1170" i="4"/>
  <c r="AV1170" i="4"/>
  <c r="AP1170" i="4"/>
  <c r="AO1170" i="4"/>
  <c r="AN1170" i="4"/>
  <c r="AM1170" i="4"/>
  <c r="BH1170" i="4"/>
  <c r="AX1169" i="4"/>
  <c r="AW1169" i="4"/>
  <c r="AV1169" i="4"/>
  <c r="AP1169" i="4"/>
  <c r="AO1169" i="4"/>
  <c r="AN1169" i="4"/>
  <c r="AM1169" i="4"/>
  <c r="BH1169" i="4"/>
  <c r="AX1168" i="4"/>
  <c r="AW1168" i="4"/>
  <c r="AV1168" i="4"/>
  <c r="AP1168" i="4"/>
  <c r="AO1168" i="4"/>
  <c r="AN1168" i="4"/>
  <c r="AM1168" i="4"/>
  <c r="BH1168" i="4"/>
  <c r="AX1167" i="4"/>
  <c r="AW1167" i="4"/>
  <c r="AV1167" i="4"/>
  <c r="AP1167" i="4"/>
  <c r="AO1167" i="4"/>
  <c r="AN1167" i="4"/>
  <c r="AM1167" i="4"/>
  <c r="BH1167" i="4"/>
  <c r="AX1166" i="4"/>
  <c r="AW1166" i="4"/>
  <c r="AV1166" i="4"/>
  <c r="AP1166" i="4"/>
  <c r="AO1166" i="4"/>
  <c r="AN1166" i="4"/>
  <c r="AM1166" i="4"/>
  <c r="BH1166" i="4"/>
  <c r="AX1165" i="4"/>
  <c r="AW1165" i="4"/>
  <c r="AV1165" i="4"/>
  <c r="AP1165" i="4"/>
  <c r="AO1165" i="4"/>
  <c r="AN1165" i="4"/>
  <c r="AM1165" i="4"/>
  <c r="BH1165" i="4"/>
  <c r="AX1164" i="4"/>
  <c r="AW1164" i="4"/>
  <c r="AV1164" i="4"/>
  <c r="AP1164" i="4"/>
  <c r="AO1164" i="4"/>
  <c r="AN1164" i="4"/>
  <c r="AM1164" i="4"/>
  <c r="BH1164" i="4"/>
  <c r="AX1163" i="4"/>
  <c r="AW1163" i="4"/>
  <c r="AV1163" i="4"/>
  <c r="AP1163" i="4"/>
  <c r="AO1163" i="4"/>
  <c r="AN1163" i="4"/>
  <c r="AM1163" i="4"/>
  <c r="BH1163" i="4"/>
  <c r="AX1162" i="4"/>
  <c r="AW1162" i="4"/>
  <c r="AV1162" i="4"/>
  <c r="AP1162" i="4"/>
  <c r="AO1162" i="4"/>
  <c r="AN1162" i="4"/>
  <c r="AM1162" i="4"/>
  <c r="BH1162" i="4"/>
  <c r="AX1161" i="4"/>
  <c r="AW1161" i="4"/>
  <c r="AV1161" i="4"/>
  <c r="AP1161" i="4"/>
  <c r="AO1161" i="4"/>
  <c r="AN1161" i="4"/>
  <c r="AM1161" i="4"/>
  <c r="BH1161" i="4"/>
  <c r="AX1160" i="4"/>
  <c r="AW1160" i="4"/>
  <c r="AV1160" i="4"/>
  <c r="AP1160" i="4"/>
  <c r="AO1160" i="4"/>
  <c r="AN1160" i="4"/>
  <c r="AM1160" i="4"/>
  <c r="BH1160" i="4"/>
  <c r="AX1159" i="4"/>
  <c r="AW1159" i="4"/>
  <c r="AV1159" i="4"/>
  <c r="AP1159" i="4"/>
  <c r="AO1159" i="4"/>
  <c r="AN1159" i="4"/>
  <c r="AM1159" i="4"/>
  <c r="BH1159" i="4"/>
  <c r="AX1158" i="4"/>
  <c r="AW1158" i="4"/>
  <c r="AV1158" i="4"/>
  <c r="AP1158" i="4"/>
  <c r="AO1158" i="4"/>
  <c r="AN1158" i="4"/>
  <c r="AM1158" i="4"/>
  <c r="BH1158" i="4"/>
  <c r="AX1157" i="4"/>
  <c r="AW1157" i="4"/>
  <c r="AV1157" i="4"/>
  <c r="AP1157" i="4"/>
  <c r="AO1157" i="4"/>
  <c r="AN1157" i="4"/>
  <c r="AM1157" i="4"/>
  <c r="BH1157" i="4"/>
  <c r="AX1156" i="4"/>
  <c r="AW1156" i="4"/>
  <c r="AV1156" i="4"/>
  <c r="AP1156" i="4"/>
  <c r="AO1156" i="4"/>
  <c r="AN1156" i="4"/>
  <c r="AM1156" i="4"/>
  <c r="BH1156" i="4"/>
  <c r="AX1155" i="4"/>
  <c r="AW1155" i="4"/>
  <c r="AV1155" i="4"/>
  <c r="AP1155" i="4"/>
  <c r="AO1155" i="4"/>
  <c r="AN1155" i="4"/>
  <c r="AM1155" i="4"/>
  <c r="BH1155" i="4"/>
  <c r="AX1154" i="4"/>
  <c r="AW1154" i="4"/>
  <c r="AV1154" i="4"/>
  <c r="AP1154" i="4"/>
  <c r="AO1154" i="4"/>
  <c r="AN1154" i="4"/>
  <c r="AM1154" i="4"/>
  <c r="BH1154" i="4"/>
  <c r="AX1153" i="4"/>
  <c r="AW1153" i="4"/>
  <c r="AV1153" i="4"/>
  <c r="AP1153" i="4"/>
  <c r="AO1153" i="4"/>
  <c r="AN1153" i="4"/>
  <c r="AM1153" i="4"/>
  <c r="BH1153" i="4"/>
  <c r="AX1152" i="4"/>
  <c r="AW1152" i="4"/>
  <c r="AV1152" i="4"/>
  <c r="AP1152" i="4"/>
  <c r="AO1152" i="4"/>
  <c r="AN1152" i="4"/>
  <c r="AM1152" i="4"/>
  <c r="BH1152" i="4"/>
  <c r="AX1151" i="4"/>
  <c r="AW1151" i="4"/>
  <c r="AV1151" i="4"/>
  <c r="AP1151" i="4"/>
  <c r="AO1151" i="4"/>
  <c r="AN1151" i="4"/>
  <c r="AM1151" i="4"/>
  <c r="BH1151" i="4"/>
  <c r="AX1150" i="4"/>
  <c r="AW1150" i="4"/>
  <c r="AV1150" i="4"/>
  <c r="AP1150" i="4"/>
  <c r="AO1150" i="4"/>
  <c r="AN1150" i="4"/>
  <c r="AM1150" i="4"/>
  <c r="BH1150" i="4"/>
  <c r="AX1149" i="4"/>
  <c r="AW1149" i="4"/>
  <c r="AV1149" i="4"/>
  <c r="AP1149" i="4"/>
  <c r="AO1149" i="4"/>
  <c r="AN1149" i="4"/>
  <c r="AM1149" i="4"/>
  <c r="BH1149" i="4"/>
  <c r="AX1148" i="4"/>
  <c r="AW1148" i="4"/>
  <c r="AV1148" i="4"/>
  <c r="AP1148" i="4"/>
  <c r="AO1148" i="4"/>
  <c r="AN1148" i="4"/>
  <c r="AM1148" i="4"/>
  <c r="BH1148" i="4"/>
  <c r="AX1147" i="4"/>
  <c r="AW1147" i="4"/>
  <c r="AV1147" i="4"/>
  <c r="AP1147" i="4"/>
  <c r="AO1147" i="4"/>
  <c r="AN1147" i="4"/>
  <c r="AM1147" i="4"/>
  <c r="BH1147" i="4"/>
  <c r="AX1146" i="4"/>
  <c r="AW1146" i="4"/>
  <c r="AV1146" i="4"/>
  <c r="AP1146" i="4"/>
  <c r="AO1146" i="4"/>
  <c r="AN1146" i="4"/>
  <c r="AM1146" i="4"/>
  <c r="BH1146" i="4"/>
  <c r="AX1145" i="4"/>
  <c r="AW1145" i="4"/>
  <c r="AV1145" i="4"/>
  <c r="AP1145" i="4"/>
  <c r="AO1145" i="4"/>
  <c r="AN1145" i="4"/>
  <c r="AM1145" i="4"/>
  <c r="BH1145" i="4"/>
  <c r="AX1144" i="4"/>
  <c r="AW1144" i="4"/>
  <c r="AV1144" i="4"/>
  <c r="AP1144" i="4"/>
  <c r="AO1144" i="4"/>
  <c r="AN1144" i="4"/>
  <c r="AM1144" i="4"/>
  <c r="BH1144" i="4"/>
  <c r="AX1143" i="4"/>
  <c r="AW1143" i="4"/>
  <c r="AV1143" i="4"/>
  <c r="AP1143" i="4"/>
  <c r="AO1143" i="4"/>
  <c r="AN1143" i="4"/>
  <c r="AM1143" i="4"/>
  <c r="BH1143" i="4"/>
  <c r="AX1142" i="4"/>
  <c r="AW1142" i="4"/>
  <c r="AV1142" i="4"/>
  <c r="AP1142" i="4"/>
  <c r="AO1142" i="4"/>
  <c r="AN1142" i="4"/>
  <c r="AM1142" i="4"/>
  <c r="BH1142" i="4"/>
  <c r="AX1141" i="4"/>
  <c r="AW1141" i="4"/>
  <c r="AV1141" i="4"/>
  <c r="AP1141" i="4"/>
  <c r="AO1141" i="4"/>
  <c r="AN1141" i="4"/>
  <c r="AM1141" i="4"/>
  <c r="BH1141" i="4"/>
  <c r="AX1140" i="4"/>
  <c r="AW1140" i="4"/>
  <c r="AV1140" i="4"/>
  <c r="AP1140" i="4"/>
  <c r="AO1140" i="4"/>
  <c r="AN1140" i="4"/>
  <c r="AM1140" i="4"/>
  <c r="BH1140" i="4"/>
  <c r="AX1139" i="4"/>
  <c r="AW1139" i="4"/>
  <c r="AV1139" i="4"/>
  <c r="AP1139" i="4"/>
  <c r="AO1139" i="4"/>
  <c r="AN1139" i="4"/>
  <c r="AM1139" i="4"/>
  <c r="BH1139" i="4"/>
  <c r="AX1138" i="4"/>
  <c r="AW1138" i="4"/>
  <c r="AV1138" i="4"/>
  <c r="AP1138" i="4"/>
  <c r="AO1138" i="4"/>
  <c r="AN1138" i="4"/>
  <c r="AM1138" i="4"/>
  <c r="BH1138" i="4"/>
  <c r="AX1137" i="4"/>
  <c r="AW1137" i="4"/>
  <c r="AV1137" i="4"/>
  <c r="AP1137" i="4"/>
  <c r="AO1137" i="4"/>
  <c r="AN1137" i="4"/>
  <c r="AM1137" i="4"/>
  <c r="BH1137" i="4"/>
  <c r="AX1136" i="4"/>
  <c r="AW1136" i="4"/>
  <c r="AV1136" i="4"/>
  <c r="AP1136" i="4"/>
  <c r="AO1136" i="4"/>
  <c r="AN1136" i="4"/>
  <c r="AM1136" i="4"/>
  <c r="BH1136" i="4"/>
  <c r="AX1135" i="4"/>
  <c r="AW1135" i="4"/>
  <c r="AV1135" i="4"/>
  <c r="AP1135" i="4"/>
  <c r="AO1135" i="4"/>
  <c r="AN1135" i="4"/>
  <c r="AM1135" i="4"/>
  <c r="BH1135" i="4"/>
  <c r="AX1134" i="4"/>
  <c r="AW1134" i="4"/>
  <c r="AV1134" i="4"/>
  <c r="AP1134" i="4"/>
  <c r="AO1134" i="4"/>
  <c r="AN1134" i="4"/>
  <c r="AM1134" i="4"/>
  <c r="BH1134" i="4"/>
  <c r="AX1133" i="4"/>
  <c r="AW1133" i="4"/>
  <c r="AV1133" i="4"/>
  <c r="AP1133" i="4"/>
  <c r="AO1133" i="4"/>
  <c r="AN1133" i="4"/>
  <c r="AM1133" i="4"/>
  <c r="BH1133" i="4"/>
  <c r="AX1132" i="4"/>
  <c r="AW1132" i="4"/>
  <c r="AV1132" i="4"/>
  <c r="AP1132" i="4"/>
  <c r="AO1132" i="4"/>
  <c r="AN1132" i="4"/>
  <c r="AM1132" i="4"/>
  <c r="BH1132" i="4"/>
  <c r="AX1131" i="4"/>
  <c r="AW1131" i="4"/>
  <c r="AV1131" i="4"/>
  <c r="AP1131" i="4"/>
  <c r="AO1131" i="4"/>
  <c r="AN1131" i="4"/>
  <c r="AM1131" i="4"/>
  <c r="BH1131" i="4"/>
  <c r="AX1130" i="4"/>
  <c r="AW1130" i="4"/>
  <c r="AV1130" i="4"/>
  <c r="AP1130" i="4"/>
  <c r="AO1130" i="4"/>
  <c r="AN1130" i="4"/>
  <c r="AM1130" i="4"/>
  <c r="BH1130" i="4"/>
  <c r="AX1129" i="4"/>
  <c r="AW1129" i="4"/>
  <c r="AV1129" i="4"/>
  <c r="AP1129" i="4"/>
  <c r="AO1129" i="4"/>
  <c r="AN1129" i="4"/>
  <c r="AM1129" i="4"/>
  <c r="BH1129" i="4"/>
  <c r="AX1128" i="4"/>
  <c r="AW1128" i="4"/>
  <c r="AV1128" i="4"/>
  <c r="AP1128" i="4"/>
  <c r="AO1128" i="4"/>
  <c r="AN1128" i="4"/>
  <c r="AM1128" i="4"/>
  <c r="BH1128" i="4"/>
  <c r="AX1126" i="4"/>
  <c r="AW1126" i="4"/>
  <c r="AV1126" i="4"/>
  <c r="AP1126" i="4"/>
  <c r="AO1126" i="4"/>
  <c r="AN1126" i="4"/>
  <c r="AM1126" i="4"/>
  <c r="BH1126" i="4"/>
  <c r="AX1125" i="4"/>
  <c r="AW1125" i="4"/>
  <c r="AV1125" i="4"/>
  <c r="AP1125" i="4"/>
  <c r="AO1125" i="4"/>
  <c r="AN1125" i="4"/>
  <c r="AM1125" i="4"/>
  <c r="BH1125" i="4"/>
  <c r="AX1124" i="4"/>
  <c r="AW1124" i="4"/>
  <c r="AV1124" i="4"/>
  <c r="AP1124" i="4"/>
  <c r="AO1124" i="4"/>
  <c r="AN1124" i="4"/>
  <c r="AM1124" i="4"/>
  <c r="BH1124" i="4"/>
  <c r="AX1123" i="4"/>
  <c r="AW1123" i="4"/>
  <c r="AV1123" i="4"/>
  <c r="AP1123" i="4"/>
  <c r="AO1123" i="4"/>
  <c r="AN1123" i="4"/>
  <c r="AM1123" i="4"/>
  <c r="BH1123" i="4"/>
  <c r="AX1122" i="4"/>
  <c r="AW1122" i="4"/>
  <c r="AV1122" i="4"/>
  <c r="AP1122" i="4"/>
  <c r="AO1122" i="4"/>
  <c r="AN1122" i="4"/>
  <c r="AM1122" i="4"/>
  <c r="BH1122" i="4"/>
  <c r="AX1121" i="4"/>
  <c r="AW1121" i="4"/>
  <c r="AV1121" i="4"/>
  <c r="AP1121" i="4"/>
  <c r="AO1121" i="4"/>
  <c r="AN1121" i="4"/>
  <c r="AM1121" i="4"/>
  <c r="BH1121" i="4"/>
  <c r="AX1120" i="4"/>
  <c r="AW1120" i="4"/>
  <c r="AV1120" i="4"/>
  <c r="AP1120" i="4"/>
  <c r="AO1120" i="4"/>
  <c r="AN1120" i="4"/>
  <c r="AM1120" i="4"/>
  <c r="BH1120" i="4"/>
  <c r="AX1119" i="4"/>
  <c r="AW1119" i="4"/>
  <c r="AV1119" i="4"/>
  <c r="AP1119" i="4"/>
  <c r="AO1119" i="4"/>
  <c r="AN1119" i="4"/>
  <c r="AM1119" i="4"/>
  <c r="BH1119" i="4"/>
  <c r="AX1118" i="4"/>
  <c r="AW1118" i="4"/>
  <c r="AV1118" i="4"/>
  <c r="AP1118" i="4"/>
  <c r="AO1118" i="4"/>
  <c r="AN1118" i="4"/>
  <c r="AM1118" i="4"/>
  <c r="BH1118" i="4"/>
  <c r="AX1117" i="4"/>
  <c r="AW1117" i="4"/>
  <c r="AV1117" i="4"/>
  <c r="AP1117" i="4"/>
  <c r="AO1117" i="4"/>
  <c r="AN1117" i="4"/>
  <c r="AM1117" i="4"/>
  <c r="BH1117" i="4"/>
  <c r="AX1116" i="4"/>
  <c r="AW1116" i="4"/>
  <c r="AV1116" i="4"/>
  <c r="AP1116" i="4"/>
  <c r="AO1116" i="4"/>
  <c r="AN1116" i="4"/>
  <c r="AM1116" i="4"/>
  <c r="BH1116" i="4"/>
  <c r="AX1115" i="4"/>
  <c r="AW1115" i="4"/>
  <c r="AV1115" i="4"/>
  <c r="AP1115" i="4"/>
  <c r="AO1115" i="4"/>
  <c r="AN1115" i="4"/>
  <c r="AM1115" i="4"/>
  <c r="BH1115" i="4"/>
  <c r="AX1114" i="4"/>
  <c r="AW1114" i="4"/>
  <c r="AV1114" i="4"/>
  <c r="AP1114" i="4"/>
  <c r="AO1114" i="4"/>
  <c r="AN1114" i="4"/>
  <c r="AM1114" i="4"/>
  <c r="BH1114" i="4"/>
  <c r="AX1113" i="4"/>
  <c r="AW1113" i="4"/>
  <c r="AV1113" i="4"/>
  <c r="AP1113" i="4"/>
  <c r="AO1113" i="4"/>
  <c r="AN1113" i="4"/>
  <c r="AM1113" i="4"/>
  <c r="BH1113" i="4"/>
  <c r="AX1112" i="4"/>
  <c r="AW1112" i="4"/>
  <c r="AV1112" i="4"/>
  <c r="AP1112" i="4"/>
  <c r="AO1112" i="4"/>
  <c r="AN1112" i="4"/>
  <c r="AM1112" i="4"/>
  <c r="BH1112" i="4"/>
  <c r="AX1111" i="4"/>
  <c r="AW1111" i="4"/>
  <c r="AV1111" i="4"/>
  <c r="AP1111" i="4"/>
  <c r="AO1111" i="4"/>
  <c r="AN1111" i="4"/>
  <c r="AM1111" i="4"/>
  <c r="BH1111" i="4"/>
  <c r="AX1110" i="4"/>
  <c r="AW1110" i="4"/>
  <c r="AV1110" i="4"/>
  <c r="AP1110" i="4"/>
  <c r="AO1110" i="4"/>
  <c r="AN1110" i="4"/>
  <c r="AM1110" i="4"/>
  <c r="BH1110" i="4"/>
  <c r="AX1109" i="4"/>
  <c r="AW1109" i="4"/>
  <c r="AV1109" i="4"/>
  <c r="AP1109" i="4"/>
  <c r="AO1109" i="4"/>
  <c r="AN1109" i="4"/>
  <c r="AM1109" i="4"/>
  <c r="BH1109" i="4"/>
  <c r="AX1108" i="4"/>
  <c r="AW1108" i="4"/>
  <c r="AV1108" i="4"/>
  <c r="AP1108" i="4"/>
  <c r="AO1108" i="4"/>
  <c r="AN1108" i="4"/>
  <c r="AM1108" i="4"/>
  <c r="BH1108" i="4"/>
  <c r="AX1107" i="4"/>
  <c r="AW1107" i="4"/>
  <c r="AV1107" i="4"/>
  <c r="AP1107" i="4"/>
  <c r="AO1107" i="4"/>
  <c r="AN1107" i="4"/>
  <c r="AM1107" i="4"/>
  <c r="BH1107" i="4"/>
  <c r="AX1106" i="4"/>
  <c r="AW1106" i="4"/>
  <c r="AV1106" i="4"/>
  <c r="AP1106" i="4"/>
  <c r="AO1106" i="4"/>
  <c r="AN1106" i="4"/>
  <c r="AM1106" i="4"/>
  <c r="BH1106" i="4"/>
  <c r="AX1105" i="4"/>
  <c r="AW1105" i="4"/>
  <c r="AV1105" i="4"/>
  <c r="AP1105" i="4"/>
  <c r="AO1105" i="4"/>
  <c r="AN1105" i="4"/>
  <c r="AM1105" i="4"/>
  <c r="BH1105" i="4"/>
  <c r="AX1104" i="4"/>
  <c r="AW1104" i="4"/>
  <c r="AV1104" i="4"/>
  <c r="AP1104" i="4"/>
  <c r="AO1104" i="4"/>
  <c r="AN1104" i="4"/>
  <c r="AM1104" i="4"/>
  <c r="BH1104" i="4"/>
  <c r="AX1103" i="4"/>
  <c r="AW1103" i="4"/>
  <c r="AV1103" i="4"/>
  <c r="AP1103" i="4"/>
  <c r="AO1103" i="4"/>
  <c r="AN1103" i="4"/>
  <c r="AM1103" i="4"/>
  <c r="BH1103" i="4"/>
  <c r="AX1102" i="4"/>
  <c r="AW1102" i="4"/>
  <c r="AV1102" i="4"/>
  <c r="AP1102" i="4"/>
  <c r="AO1102" i="4"/>
  <c r="AN1102" i="4"/>
  <c r="AM1102" i="4"/>
  <c r="BH1102" i="4"/>
  <c r="AX1101" i="4"/>
  <c r="AW1101" i="4"/>
  <c r="AV1101" i="4"/>
  <c r="AP1101" i="4"/>
  <c r="AO1101" i="4"/>
  <c r="AN1101" i="4"/>
  <c r="AM1101" i="4"/>
  <c r="BH1101" i="4"/>
  <c r="AX1100" i="4"/>
  <c r="AW1100" i="4"/>
  <c r="AV1100" i="4"/>
  <c r="AP1100" i="4"/>
  <c r="AO1100" i="4"/>
  <c r="AN1100" i="4"/>
  <c r="AM1100" i="4"/>
  <c r="BH1100" i="4"/>
  <c r="AX1099" i="4"/>
  <c r="AW1099" i="4"/>
  <c r="AV1099" i="4"/>
  <c r="AP1099" i="4"/>
  <c r="AO1099" i="4"/>
  <c r="AN1099" i="4"/>
  <c r="AM1099" i="4"/>
  <c r="BH1099" i="4"/>
  <c r="AX1098" i="4"/>
  <c r="AW1098" i="4"/>
  <c r="AV1098" i="4"/>
  <c r="AP1098" i="4"/>
  <c r="AO1098" i="4"/>
  <c r="AN1098" i="4"/>
  <c r="AM1098" i="4"/>
  <c r="BH1098" i="4"/>
  <c r="AX1097" i="4"/>
  <c r="AW1097" i="4"/>
  <c r="AV1097" i="4"/>
  <c r="AP1097" i="4"/>
  <c r="AO1097" i="4"/>
  <c r="AN1097" i="4"/>
  <c r="AM1097" i="4"/>
  <c r="BH1097" i="4"/>
  <c r="AX1096" i="4"/>
  <c r="AW1096" i="4"/>
  <c r="AV1096" i="4"/>
  <c r="AP1096" i="4"/>
  <c r="AO1096" i="4"/>
  <c r="AN1096" i="4"/>
  <c r="AM1096" i="4"/>
  <c r="BH1096" i="4"/>
  <c r="AX1095" i="4"/>
  <c r="AW1095" i="4"/>
  <c r="AV1095" i="4"/>
  <c r="AP1095" i="4"/>
  <c r="AO1095" i="4"/>
  <c r="AN1095" i="4"/>
  <c r="AM1095" i="4"/>
  <c r="BH1095" i="4"/>
  <c r="AX1094" i="4"/>
  <c r="AW1094" i="4"/>
  <c r="AV1094" i="4"/>
  <c r="AP1094" i="4"/>
  <c r="AO1094" i="4"/>
  <c r="AN1094" i="4"/>
  <c r="AM1094" i="4"/>
  <c r="BH1094" i="4"/>
  <c r="AX1093" i="4"/>
  <c r="AW1093" i="4"/>
  <c r="AV1093" i="4"/>
  <c r="AP1093" i="4"/>
  <c r="AO1093" i="4"/>
  <c r="AN1093" i="4"/>
  <c r="AM1093" i="4"/>
  <c r="BH1093" i="4"/>
  <c r="AX1092" i="4"/>
  <c r="AW1092" i="4"/>
  <c r="AV1092" i="4"/>
  <c r="AP1092" i="4"/>
  <c r="AO1092" i="4"/>
  <c r="AN1092" i="4"/>
  <c r="AM1092" i="4"/>
  <c r="BH1092" i="4"/>
  <c r="AX1091" i="4"/>
  <c r="AW1091" i="4"/>
  <c r="AV1091" i="4"/>
  <c r="AP1091" i="4"/>
  <c r="AO1091" i="4"/>
  <c r="AN1091" i="4"/>
  <c r="AM1091" i="4"/>
  <c r="BH1091" i="4"/>
  <c r="AX1090" i="4"/>
  <c r="AW1090" i="4"/>
  <c r="AV1090" i="4"/>
  <c r="AP1090" i="4"/>
  <c r="AO1090" i="4"/>
  <c r="AN1090" i="4"/>
  <c r="AM1090" i="4"/>
  <c r="BH1090" i="4"/>
  <c r="AX1089" i="4"/>
  <c r="AW1089" i="4"/>
  <c r="AV1089" i="4"/>
  <c r="AP1089" i="4"/>
  <c r="AO1089" i="4"/>
  <c r="AN1089" i="4"/>
  <c r="AM1089" i="4"/>
  <c r="BH1089" i="4"/>
  <c r="AX1088" i="4"/>
  <c r="AW1088" i="4"/>
  <c r="AV1088" i="4"/>
  <c r="AP1088" i="4"/>
  <c r="AO1088" i="4"/>
  <c r="AN1088" i="4"/>
  <c r="AM1088" i="4"/>
  <c r="BH1088" i="4"/>
  <c r="AX1087" i="4"/>
  <c r="AW1087" i="4"/>
  <c r="AV1087" i="4"/>
  <c r="AP1087" i="4"/>
  <c r="AO1087" i="4"/>
  <c r="AN1087" i="4"/>
  <c r="AM1087" i="4"/>
  <c r="BH1087" i="4"/>
  <c r="AX1086" i="4"/>
  <c r="AW1086" i="4"/>
  <c r="AV1086" i="4"/>
  <c r="AP1086" i="4"/>
  <c r="AO1086" i="4"/>
  <c r="AN1086" i="4"/>
  <c r="AM1086" i="4"/>
  <c r="BH1086" i="4"/>
  <c r="AX1085" i="4"/>
  <c r="AW1085" i="4"/>
  <c r="AV1085" i="4"/>
  <c r="AP1085" i="4"/>
  <c r="AO1085" i="4"/>
  <c r="AN1085" i="4"/>
  <c r="AM1085" i="4"/>
  <c r="BH1085" i="4"/>
  <c r="AX1084" i="4"/>
  <c r="AW1084" i="4"/>
  <c r="AV1084" i="4"/>
  <c r="AP1084" i="4"/>
  <c r="AO1084" i="4"/>
  <c r="AN1084" i="4"/>
  <c r="AM1084" i="4"/>
  <c r="BH1084" i="4"/>
  <c r="AX1083" i="4"/>
  <c r="AW1083" i="4"/>
  <c r="AV1083" i="4"/>
  <c r="AP1083" i="4"/>
  <c r="AO1083" i="4"/>
  <c r="AN1083" i="4"/>
  <c r="AM1083" i="4"/>
  <c r="BH1083" i="4"/>
  <c r="AX1082" i="4"/>
  <c r="AW1082" i="4"/>
  <c r="AV1082" i="4"/>
  <c r="AP1082" i="4"/>
  <c r="AO1082" i="4"/>
  <c r="AN1082" i="4"/>
  <c r="AM1082" i="4"/>
  <c r="BH1082" i="4"/>
  <c r="AX1081" i="4"/>
  <c r="AW1081" i="4"/>
  <c r="AV1081" i="4"/>
  <c r="AP1081" i="4"/>
  <c r="AO1081" i="4"/>
  <c r="AN1081" i="4"/>
  <c r="AM1081" i="4"/>
  <c r="BH1081" i="4"/>
  <c r="AX1080" i="4"/>
  <c r="AW1080" i="4"/>
  <c r="AV1080" i="4"/>
  <c r="AP1080" i="4"/>
  <c r="AO1080" i="4"/>
  <c r="AN1080" i="4"/>
  <c r="AM1080" i="4"/>
  <c r="BH1080" i="4"/>
  <c r="AX1079" i="4"/>
  <c r="AW1079" i="4"/>
  <c r="AV1079" i="4"/>
  <c r="AP1079" i="4"/>
  <c r="AO1079" i="4"/>
  <c r="AN1079" i="4"/>
  <c r="AM1079" i="4"/>
  <c r="BH1079" i="4"/>
  <c r="AX1078" i="4"/>
  <c r="AW1078" i="4"/>
  <c r="AV1078" i="4"/>
  <c r="AP1078" i="4"/>
  <c r="AO1078" i="4"/>
  <c r="AN1078" i="4"/>
  <c r="AM1078" i="4"/>
  <c r="BH1078" i="4"/>
  <c r="AX1077" i="4"/>
  <c r="AW1077" i="4"/>
  <c r="AV1077" i="4"/>
  <c r="AP1077" i="4"/>
  <c r="AO1077" i="4"/>
  <c r="AN1077" i="4"/>
  <c r="AM1077" i="4"/>
  <c r="BH1077" i="4"/>
  <c r="AX1076" i="4"/>
  <c r="AW1076" i="4"/>
  <c r="AV1076" i="4"/>
  <c r="AP1076" i="4"/>
  <c r="AO1076" i="4"/>
  <c r="AN1076" i="4"/>
  <c r="AM1076" i="4"/>
  <c r="BH1076" i="4"/>
  <c r="AX1075" i="4"/>
  <c r="AW1075" i="4"/>
  <c r="AV1075" i="4"/>
  <c r="AP1075" i="4"/>
  <c r="AO1075" i="4"/>
  <c r="AN1075" i="4"/>
  <c r="AM1075" i="4"/>
  <c r="BH1075" i="4"/>
  <c r="AX1074" i="4"/>
  <c r="AW1074" i="4"/>
  <c r="AV1074" i="4"/>
  <c r="AP1074" i="4"/>
  <c r="AO1074" i="4"/>
  <c r="AN1074" i="4"/>
  <c r="AM1074" i="4"/>
  <c r="BH1074" i="4"/>
  <c r="AX1073" i="4"/>
  <c r="AW1073" i="4"/>
  <c r="AV1073" i="4"/>
  <c r="AP1073" i="4"/>
  <c r="AO1073" i="4"/>
  <c r="AN1073" i="4"/>
  <c r="AM1073" i="4"/>
  <c r="BH1073" i="4"/>
  <c r="AX1072" i="4"/>
  <c r="AW1072" i="4"/>
  <c r="AV1072" i="4"/>
  <c r="AP1072" i="4"/>
  <c r="AM1072" i="4"/>
  <c r="AX1071" i="4"/>
  <c r="AW1071" i="4"/>
  <c r="AV1071" i="4"/>
  <c r="AP1071" i="4"/>
  <c r="AM1071" i="4"/>
  <c r="BH1071" i="4"/>
  <c r="AX1070" i="4"/>
  <c r="AW1070" i="4"/>
  <c r="AV1070" i="4"/>
  <c r="AP1070" i="4"/>
  <c r="AM1070" i="4"/>
  <c r="BH1070" i="4"/>
  <c r="AX1069" i="4"/>
  <c r="AW1069" i="4"/>
  <c r="AV1069" i="4"/>
  <c r="AP1069" i="4"/>
  <c r="AM1069" i="4"/>
  <c r="BH1069" i="4"/>
  <c r="AX1068" i="4"/>
  <c r="AW1068" i="4"/>
  <c r="AV1068" i="4"/>
  <c r="AP1068" i="4"/>
  <c r="AM1068" i="4"/>
  <c r="BH1068" i="4"/>
  <c r="AX1067" i="4"/>
  <c r="AW1067" i="4"/>
  <c r="AV1067" i="4"/>
  <c r="AP1067" i="4"/>
  <c r="AM1067" i="4"/>
  <c r="BH1067" i="4"/>
  <c r="AX1066" i="4"/>
  <c r="AW1066" i="4"/>
  <c r="AV1066" i="4"/>
  <c r="AP1066" i="4"/>
  <c r="AM1066" i="4"/>
  <c r="BH1066" i="4"/>
  <c r="AX1065" i="4"/>
  <c r="AW1065" i="4"/>
  <c r="AV1065" i="4"/>
  <c r="AP1065" i="4"/>
  <c r="AM1065" i="4"/>
  <c r="BH1065" i="4"/>
  <c r="AX1064" i="4"/>
  <c r="AW1064" i="4"/>
  <c r="AV1064" i="4"/>
  <c r="AP1064" i="4"/>
  <c r="AM1064" i="4"/>
  <c r="AX1063" i="4"/>
  <c r="AW1063" i="4"/>
  <c r="AV1063" i="4"/>
  <c r="AP1063" i="4"/>
  <c r="AM1063" i="4"/>
  <c r="BH1063" i="4"/>
  <c r="AX1062" i="4"/>
  <c r="AW1062" i="4"/>
  <c r="AV1062" i="4"/>
  <c r="AP1062" i="4"/>
  <c r="AM1062" i="4"/>
  <c r="BH1062" i="4"/>
  <c r="AX1061" i="4"/>
  <c r="AW1061" i="4"/>
  <c r="AV1061" i="4"/>
  <c r="AP1061" i="4"/>
  <c r="AM1061" i="4"/>
  <c r="BH1061" i="4"/>
  <c r="AX1060" i="4"/>
  <c r="AW1060" i="4"/>
  <c r="AV1060" i="4"/>
  <c r="AP1060" i="4"/>
  <c r="AM1060" i="4"/>
  <c r="BH1060" i="4"/>
  <c r="AX1059" i="4"/>
  <c r="AW1059" i="4"/>
  <c r="AV1059" i="4"/>
  <c r="AP1059" i="4"/>
  <c r="AM1059" i="4"/>
  <c r="BH1059" i="4"/>
  <c r="AX1058" i="4"/>
  <c r="AW1058" i="4"/>
  <c r="AV1058" i="4"/>
  <c r="AP1058" i="4"/>
  <c r="AM1058" i="4"/>
  <c r="BH1058" i="4"/>
  <c r="AX1057" i="4"/>
  <c r="AW1057" i="4"/>
  <c r="AV1057" i="4"/>
  <c r="AP1057" i="4"/>
  <c r="AM1057" i="4"/>
  <c r="BH1057" i="4"/>
  <c r="AX1056" i="4"/>
  <c r="AW1056" i="4"/>
  <c r="AV1056" i="4"/>
  <c r="AP1056" i="4"/>
  <c r="AM1056" i="4"/>
  <c r="AX1055" i="4"/>
  <c r="AW1055" i="4"/>
  <c r="AV1055" i="4"/>
  <c r="AP1055" i="4"/>
  <c r="AM1055" i="4"/>
  <c r="BH1055" i="4"/>
  <c r="AX1054" i="4"/>
  <c r="AW1054" i="4"/>
  <c r="AV1054" i="4"/>
  <c r="AP1054" i="4"/>
  <c r="AM1054" i="4"/>
  <c r="BH1054" i="4"/>
  <c r="AX1053" i="4"/>
  <c r="AW1053" i="4"/>
  <c r="AV1053" i="4"/>
  <c r="AP1053" i="4"/>
  <c r="AM1053" i="4"/>
  <c r="BH1053" i="4"/>
  <c r="AX1052" i="4"/>
  <c r="AW1052" i="4"/>
  <c r="AV1052" i="4"/>
  <c r="AP1052" i="4"/>
  <c r="AM1052" i="4"/>
  <c r="BH1052" i="4"/>
  <c r="AX1051" i="4"/>
  <c r="AW1051" i="4"/>
  <c r="AV1051" i="4"/>
  <c r="AP1051" i="4"/>
  <c r="AM1051" i="4"/>
  <c r="BH1051" i="4"/>
  <c r="AX1050" i="4"/>
  <c r="AW1050" i="4"/>
  <c r="AV1050" i="4"/>
  <c r="AP1050" i="4"/>
  <c r="AM1050" i="4"/>
  <c r="BH1050" i="4"/>
  <c r="AX1049" i="4"/>
  <c r="AW1049" i="4"/>
  <c r="AV1049" i="4"/>
  <c r="AP1049" i="4"/>
  <c r="AM1049" i="4"/>
  <c r="BH1049" i="4"/>
  <c r="AX1048" i="4"/>
  <c r="AW1048" i="4"/>
  <c r="AV1048" i="4"/>
  <c r="AP1048" i="4"/>
  <c r="AM1048" i="4"/>
  <c r="AX1047" i="4"/>
  <c r="AW1047" i="4"/>
  <c r="AV1047" i="4"/>
  <c r="AP1047" i="4"/>
  <c r="AM1047" i="4"/>
  <c r="BH1047" i="4"/>
  <c r="AX1046" i="4"/>
  <c r="AW1046" i="4"/>
  <c r="AV1046" i="4"/>
  <c r="AP1046" i="4"/>
  <c r="AM1046" i="4"/>
  <c r="BH1046" i="4"/>
  <c r="AX1045" i="4"/>
  <c r="AW1045" i="4"/>
  <c r="AV1045" i="4"/>
  <c r="AP1045" i="4"/>
  <c r="AM1045" i="4"/>
  <c r="BH1045" i="4"/>
  <c r="AX1044" i="4"/>
  <c r="AW1044" i="4"/>
  <c r="AV1044" i="4"/>
  <c r="AP1044" i="4"/>
  <c r="AM1044" i="4"/>
  <c r="BH1044" i="4"/>
  <c r="AX1043" i="4"/>
  <c r="AW1043" i="4"/>
  <c r="AV1043" i="4"/>
  <c r="AP1043" i="4"/>
  <c r="AM1043" i="4"/>
  <c r="BH1043" i="4"/>
  <c r="AX1042" i="4"/>
  <c r="AW1042" i="4"/>
  <c r="AV1042" i="4"/>
  <c r="AP1042" i="4"/>
  <c r="AM1042" i="4"/>
  <c r="BH1042" i="4"/>
  <c r="AX1041" i="4"/>
  <c r="AW1041" i="4"/>
  <c r="AV1041" i="4"/>
  <c r="AP1041" i="4"/>
  <c r="AM1041" i="4"/>
  <c r="BH1041" i="4"/>
  <c r="AX1040" i="4"/>
  <c r="AW1040" i="4"/>
  <c r="AV1040" i="4"/>
  <c r="AP1040" i="4"/>
  <c r="AM1040" i="4"/>
  <c r="AX1039" i="4"/>
  <c r="AW1039" i="4"/>
  <c r="AV1039" i="4"/>
  <c r="AP1039" i="4"/>
  <c r="AM1039" i="4"/>
  <c r="AX1038" i="4"/>
  <c r="AW1038" i="4"/>
  <c r="AV1038" i="4"/>
  <c r="AP1038" i="4"/>
  <c r="AM1038" i="4"/>
  <c r="BH1038" i="4"/>
  <c r="AX1037" i="4"/>
  <c r="AW1037" i="4"/>
  <c r="AV1037" i="4"/>
  <c r="AP1037" i="4"/>
  <c r="AM1037" i="4"/>
  <c r="BH1037" i="4"/>
  <c r="AX1036" i="4"/>
  <c r="AW1036" i="4"/>
  <c r="AV1036" i="4"/>
  <c r="AP1036" i="4"/>
  <c r="AM1036" i="4"/>
  <c r="BH1036" i="4"/>
  <c r="AX1035" i="4"/>
  <c r="AW1035" i="4"/>
  <c r="AV1035" i="4"/>
  <c r="AP1035" i="4"/>
  <c r="AM1035" i="4"/>
  <c r="BH1035" i="4"/>
  <c r="AX1034" i="4"/>
  <c r="AW1034" i="4"/>
  <c r="AV1034" i="4"/>
  <c r="AP1034" i="4"/>
  <c r="AM1034" i="4"/>
  <c r="BH1034" i="4"/>
  <c r="AX1033" i="4"/>
  <c r="AW1033" i="4"/>
  <c r="AV1033" i="4"/>
  <c r="AP1033" i="4"/>
  <c r="AM1033" i="4"/>
  <c r="BH1033" i="4"/>
  <c r="AX1032" i="4"/>
  <c r="AW1032" i="4"/>
  <c r="AV1032" i="4"/>
  <c r="AP1032" i="4"/>
  <c r="AM1032" i="4"/>
  <c r="AX1031" i="4"/>
  <c r="AW1031" i="4"/>
  <c r="AV1031" i="4"/>
  <c r="AP1031" i="4"/>
  <c r="AM1031" i="4"/>
  <c r="AX1030" i="4"/>
  <c r="AW1030" i="4"/>
  <c r="AV1030" i="4"/>
  <c r="AP1030" i="4"/>
  <c r="AM1030" i="4"/>
  <c r="BH1030" i="4"/>
  <c r="AX1029" i="4"/>
  <c r="AW1029" i="4"/>
  <c r="AV1029" i="4"/>
  <c r="AP1029" i="4"/>
  <c r="AM1029" i="4"/>
  <c r="BH1029" i="4"/>
  <c r="AX1028" i="4"/>
  <c r="AW1028" i="4"/>
  <c r="AV1028" i="4"/>
  <c r="AP1028" i="4"/>
  <c r="AM1028" i="4"/>
  <c r="BH1028" i="4"/>
  <c r="AX1027" i="4"/>
  <c r="AW1027" i="4"/>
  <c r="AV1027" i="4"/>
  <c r="AP1027" i="4"/>
  <c r="AM1027" i="4"/>
  <c r="BH1027" i="4"/>
  <c r="AX1026" i="4"/>
  <c r="AW1026" i="4"/>
  <c r="AV1026" i="4"/>
  <c r="AP1026" i="4"/>
  <c r="AM1026" i="4"/>
  <c r="BH1026" i="4"/>
  <c r="AX1025" i="4"/>
  <c r="AW1025" i="4"/>
  <c r="AV1025" i="4"/>
  <c r="AP1025" i="4"/>
  <c r="AM1025" i="4"/>
  <c r="BH1025" i="4"/>
  <c r="AX1024" i="4"/>
  <c r="AW1024" i="4"/>
  <c r="AV1024" i="4"/>
  <c r="AP1024" i="4"/>
  <c r="AM1024" i="4"/>
  <c r="AX1023" i="4"/>
  <c r="AW1023" i="4"/>
  <c r="AV1023" i="4"/>
  <c r="AP1023" i="4"/>
  <c r="AM1023" i="4"/>
  <c r="AX1022" i="4"/>
  <c r="AW1022" i="4"/>
  <c r="AV1022" i="4"/>
  <c r="AP1022" i="4"/>
  <c r="AM1022" i="4"/>
  <c r="BH1022" i="4"/>
  <c r="AX1021" i="4"/>
  <c r="AW1021" i="4"/>
  <c r="AV1021" i="4"/>
  <c r="AP1021" i="4"/>
  <c r="AM1021" i="4"/>
  <c r="BH1021" i="4"/>
  <c r="AX1020" i="4"/>
  <c r="AW1020" i="4"/>
  <c r="AV1020" i="4"/>
  <c r="AP1020" i="4"/>
  <c r="AM1020" i="4"/>
  <c r="BH1020" i="4"/>
  <c r="AX1019" i="4"/>
  <c r="AW1019" i="4"/>
  <c r="AV1019" i="4"/>
  <c r="AP1019" i="4"/>
  <c r="AM1019" i="4"/>
  <c r="BH1019" i="4"/>
  <c r="AX1018" i="4"/>
  <c r="AW1018" i="4"/>
  <c r="AV1018" i="4"/>
  <c r="AP1018" i="4"/>
  <c r="AM1018" i="4"/>
  <c r="BH1018" i="4"/>
  <c r="AX1017" i="4"/>
  <c r="AW1017" i="4"/>
  <c r="AV1017" i="4"/>
  <c r="AP1017" i="4"/>
  <c r="AM1017" i="4"/>
  <c r="BH1017" i="4"/>
  <c r="AX1016" i="4"/>
  <c r="AW1016" i="4"/>
  <c r="AV1016" i="4"/>
  <c r="AP1016" i="4"/>
  <c r="AM1016" i="4"/>
  <c r="AX1015" i="4"/>
  <c r="AW1015" i="4"/>
  <c r="AV1015" i="4"/>
  <c r="AP1015" i="4"/>
  <c r="AM1015" i="4"/>
  <c r="AX1014" i="4"/>
  <c r="AW1014" i="4"/>
  <c r="AV1014" i="4"/>
  <c r="AP1014" i="4"/>
  <c r="AM1014" i="4"/>
  <c r="BH1014" i="4"/>
  <c r="AX1013" i="4"/>
  <c r="AW1013" i="4"/>
  <c r="AV1013" i="4"/>
  <c r="AP1013" i="4"/>
  <c r="AM1013" i="4"/>
  <c r="BH1013" i="4"/>
  <c r="AX1012" i="4"/>
  <c r="AW1012" i="4"/>
  <c r="AV1012" i="4"/>
  <c r="AP1012" i="4"/>
  <c r="AM1012" i="4"/>
  <c r="BH1012" i="4"/>
  <c r="AX1011" i="4"/>
  <c r="AW1011" i="4"/>
  <c r="AV1011" i="4"/>
  <c r="AP1011" i="4"/>
  <c r="AM1011" i="4"/>
  <c r="BH1011" i="4"/>
  <c r="AX1010" i="4"/>
  <c r="AW1010" i="4"/>
  <c r="AV1010" i="4"/>
  <c r="AP1010" i="4"/>
  <c r="AM1010" i="4"/>
  <c r="BH1010" i="4"/>
  <c r="AX1009" i="4"/>
  <c r="AW1009" i="4"/>
  <c r="AV1009" i="4"/>
  <c r="AP1009" i="4"/>
  <c r="AM1009" i="4"/>
  <c r="BH1009" i="4"/>
  <c r="AX1008" i="4"/>
  <c r="AW1008" i="4"/>
  <c r="AV1008" i="4"/>
  <c r="AP1008" i="4"/>
  <c r="AM1008" i="4"/>
  <c r="AX1007" i="4"/>
  <c r="AW1007" i="4"/>
  <c r="AV1007" i="4"/>
  <c r="AP1007" i="4"/>
  <c r="AM1007" i="4"/>
  <c r="AX1006" i="4"/>
  <c r="AW1006" i="4"/>
  <c r="AV1006" i="4"/>
  <c r="AP1006" i="4"/>
  <c r="AM1006" i="4"/>
  <c r="BH1006" i="4"/>
  <c r="AX1005" i="4"/>
  <c r="AW1005" i="4"/>
  <c r="AV1005" i="4"/>
  <c r="AP1005" i="4"/>
  <c r="AM1005" i="4"/>
  <c r="BH1005" i="4"/>
  <c r="AX1004" i="4"/>
  <c r="AW1004" i="4"/>
  <c r="AV1004" i="4"/>
  <c r="AP1004" i="4"/>
  <c r="AM1004" i="4"/>
  <c r="BH1004" i="4"/>
  <c r="AX1003" i="4"/>
  <c r="AW1003" i="4"/>
  <c r="AV1003" i="4"/>
  <c r="AP1003" i="4"/>
  <c r="AM1003" i="4"/>
  <c r="BH1003" i="4"/>
  <c r="AX1002" i="4"/>
  <c r="AW1002" i="4"/>
  <c r="AV1002" i="4"/>
  <c r="AP1002" i="4"/>
  <c r="AM1002" i="4"/>
  <c r="BH1002" i="4"/>
  <c r="AX1001" i="4"/>
  <c r="AW1001" i="4"/>
  <c r="AV1001" i="4"/>
  <c r="AP1001" i="4"/>
  <c r="AM1001" i="4"/>
  <c r="BH1001" i="4"/>
  <c r="AX1000" i="4"/>
  <c r="AW1000" i="4"/>
  <c r="AV1000" i="4"/>
  <c r="AP1000" i="4"/>
  <c r="AM1000" i="4"/>
  <c r="AX999" i="4"/>
  <c r="AW999" i="4"/>
  <c r="AV999" i="4"/>
  <c r="AP999" i="4"/>
  <c r="AM999" i="4"/>
  <c r="AX998" i="4"/>
  <c r="AW998" i="4"/>
  <c r="AV998" i="4"/>
  <c r="AP998" i="4"/>
  <c r="AM998" i="4"/>
  <c r="BH998" i="4"/>
  <c r="AX997" i="4"/>
  <c r="AW997" i="4"/>
  <c r="AV997" i="4"/>
  <c r="AP997" i="4"/>
  <c r="AM997" i="4"/>
  <c r="BH997" i="4"/>
  <c r="AX996" i="4"/>
  <c r="AW996" i="4"/>
  <c r="AV996" i="4"/>
  <c r="AP996" i="4"/>
  <c r="AM996" i="4"/>
  <c r="BH996" i="4"/>
  <c r="AX995" i="4"/>
  <c r="AW995" i="4"/>
  <c r="AV995" i="4"/>
  <c r="AP995" i="4"/>
  <c r="AM995" i="4"/>
  <c r="BH995" i="4"/>
  <c r="AX994" i="4"/>
  <c r="AW994" i="4"/>
  <c r="AV994" i="4"/>
  <c r="AP994" i="4"/>
  <c r="AM994" i="4"/>
  <c r="BH994" i="4"/>
  <c r="AX993" i="4"/>
  <c r="AW993" i="4"/>
  <c r="AV993" i="4"/>
  <c r="AP993" i="4"/>
  <c r="AM993" i="4"/>
  <c r="BH993" i="4"/>
  <c r="AX992" i="4"/>
  <c r="AW992" i="4"/>
  <c r="AV992" i="4"/>
  <c r="AP992" i="4"/>
  <c r="AM992" i="4"/>
  <c r="AX991" i="4"/>
  <c r="AW991" i="4"/>
  <c r="AV991" i="4"/>
  <c r="AP991" i="4"/>
  <c r="AM991" i="4"/>
  <c r="AX990" i="4"/>
  <c r="AW990" i="4"/>
  <c r="AV990" i="4"/>
  <c r="AP990" i="4"/>
  <c r="AM990" i="4"/>
  <c r="BH990" i="4"/>
  <c r="AX989" i="4"/>
  <c r="AW989" i="4"/>
  <c r="AV989" i="4"/>
  <c r="AP989" i="4"/>
  <c r="AM989" i="4"/>
  <c r="BH989" i="4"/>
  <c r="AX988" i="4"/>
  <c r="AW988" i="4"/>
  <c r="AV988" i="4"/>
  <c r="AP988" i="4"/>
  <c r="AM988" i="4"/>
  <c r="BH988" i="4"/>
  <c r="AX987" i="4"/>
  <c r="AW987" i="4"/>
  <c r="AV987" i="4"/>
  <c r="AP987" i="4"/>
  <c r="AM987" i="4"/>
  <c r="BH987" i="4"/>
  <c r="AX986" i="4"/>
  <c r="AW986" i="4"/>
  <c r="AV986" i="4"/>
  <c r="AP986" i="4"/>
  <c r="AM986" i="4"/>
  <c r="BH986" i="4"/>
  <c r="AX985" i="4"/>
  <c r="AW985" i="4"/>
  <c r="AV985" i="4"/>
  <c r="AP985" i="4"/>
  <c r="AM985" i="4"/>
  <c r="BH985" i="4"/>
  <c r="AX984" i="4"/>
  <c r="AW984" i="4"/>
  <c r="AV984" i="4"/>
  <c r="AP984" i="4"/>
  <c r="AM984" i="4"/>
  <c r="AX983" i="4"/>
  <c r="AW983" i="4"/>
  <c r="AV983" i="4"/>
  <c r="AP983" i="4"/>
  <c r="AM983" i="4"/>
  <c r="AX982" i="4"/>
  <c r="AW982" i="4"/>
  <c r="AV982" i="4"/>
  <c r="AP982" i="4"/>
  <c r="AM982" i="4"/>
  <c r="BH982" i="4"/>
  <c r="AX981" i="4"/>
  <c r="AW981" i="4"/>
  <c r="AV981" i="4"/>
  <c r="AP981" i="4"/>
  <c r="AM981" i="4"/>
  <c r="BH981" i="4"/>
  <c r="AX980" i="4"/>
  <c r="AW980" i="4"/>
  <c r="AV980" i="4"/>
  <c r="AP980" i="4"/>
  <c r="AM980" i="4"/>
  <c r="BH980" i="4"/>
  <c r="AX979" i="4"/>
  <c r="AW979" i="4"/>
  <c r="AV979" i="4"/>
  <c r="AP979" i="4"/>
  <c r="AM979" i="4"/>
  <c r="AX978" i="4"/>
  <c r="AW978" i="4"/>
  <c r="AV978" i="4"/>
  <c r="AP978" i="4"/>
  <c r="AM978" i="4"/>
  <c r="BH978" i="4"/>
  <c r="AX977" i="4"/>
  <c r="AW977" i="4"/>
  <c r="AV977" i="4"/>
  <c r="AP977" i="4"/>
  <c r="AM977" i="4"/>
  <c r="BH977" i="4"/>
  <c r="AX976" i="4"/>
  <c r="AW976" i="4"/>
  <c r="AV976" i="4"/>
  <c r="AP976" i="4"/>
  <c r="AM976" i="4"/>
  <c r="AX975" i="4"/>
  <c r="AW975" i="4"/>
  <c r="AV975" i="4"/>
  <c r="AP975" i="4"/>
  <c r="AM975" i="4"/>
  <c r="AX974" i="4"/>
  <c r="AW974" i="4"/>
  <c r="AV974" i="4"/>
  <c r="AP974" i="4"/>
  <c r="AM974" i="4"/>
  <c r="BH974" i="4"/>
  <c r="AX973" i="4"/>
  <c r="AW973" i="4"/>
  <c r="AV973" i="4"/>
  <c r="AP973" i="4"/>
  <c r="AM973" i="4"/>
  <c r="BH973" i="4"/>
  <c r="AX972" i="4"/>
  <c r="AW972" i="4"/>
  <c r="AV972" i="4"/>
  <c r="AP972" i="4"/>
  <c r="AM972" i="4"/>
  <c r="BH972" i="4"/>
  <c r="AX971" i="4"/>
  <c r="AW971" i="4"/>
  <c r="AV971" i="4"/>
  <c r="AP971" i="4"/>
  <c r="AM971" i="4"/>
  <c r="BH971" i="4"/>
  <c r="AX970" i="4"/>
  <c r="AW970" i="4"/>
  <c r="AV970" i="4"/>
  <c r="AP970" i="4"/>
  <c r="AM970" i="4"/>
  <c r="BH970" i="4"/>
  <c r="AX969" i="4"/>
  <c r="AW969" i="4"/>
  <c r="AV969" i="4"/>
  <c r="AP969" i="4"/>
  <c r="AM969" i="4"/>
  <c r="BH969" i="4"/>
  <c r="AX968" i="4"/>
  <c r="AW968" i="4"/>
  <c r="AV968" i="4"/>
  <c r="AP968" i="4"/>
  <c r="AM968" i="4"/>
  <c r="AX967" i="4"/>
  <c r="AW967" i="4"/>
  <c r="AV967" i="4"/>
  <c r="AP967" i="4"/>
  <c r="AM967" i="4"/>
  <c r="AX966" i="4"/>
  <c r="AW966" i="4"/>
  <c r="AV966" i="4"/>
  <c r="AP966" i="4"/>
  <c r="AM966" i="4"/>
  <c r="BH966" i="4"/>
  <c r="AX965" i="4"/>
  <c r="AW965" i="4"/>
  <c r="AV965" i="4"/>
  <c r="AP965" i="4"/>
  <c r="AM965" i="4"/>
  <c r="BH965" i="4"/>
  <c r="AX964" i="4"/>
  <c r="AW964" i="4"/>
  <c r="AV964" i="4"/>
  <c r="AP964" i="4"/>
  <c r="AM964" i="4"/>
  <c r="BH964" i="4"/>
  <c r="AX963" i="4"/>
  <c r="AW963" i="4"/>
  <c r="AV963" i="4"/>
  <c r="AP963" i="4"/>
  <c r="AM963" i="4"/>
  <c r="BH963" i="4"/>
  <c r="AX962" i="4"/>
  <c r="AW962" i="4"/>
  <c r="AV962" i="4"/>
  <c r="AP962" i="4"/>
  <c r="AM962" i="4"/>
  <c r="BH962" i="4"/>
  <c r="AX961" i="4"/>
  <c r="AW961" i="4"/>
  <c r="AV961" i="4"/>
  <c r="AP961" i="4"/>
  <c r="AM961" i="4"/>
  <c r="BH961" i="4"/>
  <c r="AX960" i="4"/>
  <c r="AW960" i="4"/>
  <c r="AV960" i="4"/>
  <c r="AP960" i="4"/>
  <c r="AM960" i="4"/>
  <c r="AX959" i="4"/>
  <c r="AW959" i="4"/>
  <c r="AV959" i="4"/>
  <c r="AP959" i="4"/>
  <c r="AM959" i="4"/>
  <c r="AX958" i="4"/>
  <c r="AW958" i="4"/>
  <c r="AV958" i="4"/>
  <c r="AP958" i="4"/>
  <c r="AM958" i="4"/>
  <c r="BH958" i="4"/>
  <c r="AX957" i="4"/>
  <c r="AW957" i="4"/>
  <c r="AV957" i="4"/>
  <c r="AP957" i="4"/>
  <c r="AM957" i="4"/>
  <c r="BH957" i="4"/>
  <c r="AX956" i="4"/>
  <c r="AW956" i="4"/>
  <c r="AV956" i="4"/>
  <c r="AP956" i="4"/>
  <c r="AM956" i="4"/>
  <c r="BH956" i="4"/>
  <c r="AX955" i="4"/>
  <c r="AW955" i="4"/>
  <c r="AV955" i="4"/>
  <c r="AP955" i="4"/>
  <c r="AM955" i="4"/>
  <c r="AX954" i="4"/>
  <c r="AW954" i="4"/>
  <c r="AV954" i="4"/>
  <c r="AP954" i="4"/>
  <c r="AM954" i="4"/>
  <c r="BH954" i="4"/>
  <c r="AX953" i="4"/>
  <c r="AW953" i="4"/>
  <c r="AV953" i="4"/>
  <c r="AP953" i="4"/>
  <c r="AM953" i="4"/>
  <c r="BH953" i="4"/>
  <c r="AX952" i="4"/>
  <c r="AW952" i="4"/>
  <c r="AV952" i="4"/>
  <c r="AP952" i="4"/>
  <c r="AM952" i="4"/>
  <c r="AX951" i="4"/>
  <c r="AW951" i="4"/>
  <c r="AV951" i="4"/>
  <c r="AP951" i="4"/>
  <c r="AM951" i="4"/>
  <c r="AX950" i="4"/>
  <c r="AW950" i="4"/>
  <c r="AV950" i="4"/>
  <c r="AP950" i="4"/>
  <c r="AM950" i="4"/>
  <c r="BH950" i="4"/>
  <c r="AX949" i="4"/>
  <c r="AW949" i="4"/>
  <c r="AV949" i="4"/>
  <c r="AP949" i="4"/>
  <c r="AM949" i="4"/>
  <c r="BH949" i="4"/>
  <c r="AX948" i="4"/>
  <c r="AW948" i="4"/>
  <c r="AV948" i="4"/>
  <c r="AP948" i="4"/>
  <c r="AM948" i="4"/>
  <c r="BH948" i="4"/>
  <c r="AX947" i="4"/>
  <c r="AW947" i="4"/>
  <c r="AV947" i="4"/>
  <c r="AP947" i="4"/>
  <c r="AM947" i="4"/>
  <c r="AX946" i="4"/>
  <c r="AW946" i="4"/>
  <c r="AV946" i="4"/>
  <c r="AP946" i="4"/>
  <c r="AM946" i="4"/>
  <c r="BH946" i="4"/>
  <c r="AX945" i="4"/>
  <c r="AW945" i="4"/>
  <c r="AV945" i="4"/>
  <c r="AP945" i="4"/>
  <c r="AM945" i="4"/>
  <c r="BH945" i="4"/>
  <c r="AX944" i="4"/>
  <c r="AW944" i="4"/>
  <c r="AV944" i="4"/>
  <c r="AP944" i="4"/>
  <c r="AM944" i="4"/>
  <c r="AX943" i="4"/>
  <c r="AW943" i="4"/>
  <c r="AV943" i="4"/>
  <c r="AP943" i="4"/>
  <c r="AM943" i="4"/>
  <c r="AX942" i="4"/>
  <c r="AW942" i="4"/>
  <c r="AV942" i="4"/>
  <c r="AP942" i="4"/>
  <c r="AM942" i="4"/>
  <c r="BH942" i="4"/>
  <c r="AX941" i="4"/>
  <c r="AW941" i="4"/>
  <c r="AV941" i="4"/>
  <c r="AP941" i="4"/>
  <c r="AM941" i="4"/>
  <c r="BH941" i="4"/>
  <c r="AX940" i="4"/>
  <c r="AW940" i="4"/>
  <c r="AV940" i="4"/>
  <c r="AP940" i="4"/>
  <c r="AM940" i="4"/>
  <c r="BH940" i="4"/>
  <c r="AX939" i="4"/>
  <c r="AW939" i="4"/>
  <c r="AV939" i="4"/>
  <c r="AP939" i="4"/>
  <c r="AM939" i="4"/>
  <c r="AX938" i="4"/>
  <c r="AW938" i="4"/>
  <c r="AV938" i="4"/>
  <c r="AP938" i="4"/>
  <c r="AM938" i="4"/>
  <c r="BH938" i="4"/>
  <c r="AX937" i="4"/>
  <c r="AW937" i="4"/>
  <c r="AV937" i="4"/>
  <c r="AP937" i="4"/>
  <c r="AM937" i="4"/>
  <c r="BH937" i="4"/>
  <c r="AX936" i="4"/>
  <c r="AW936" i="4"/>
  <c r="AV936" i="4"/>
  <c r="AP936" i="4"/>
  <c r="AM936" i="4"/>
  <c r="AX935" i="4"/>
  <c r="AW935" i="4"/>
  <c r="AV935" i="4"/>
  <c r="AP935" i="4"/>
  <c r="AM935" i="4"/>
  <c r="AX934" i="4"/>
  <c r="AW934" i="4"/>
  <c r="AV934" i="4"/>
  <c r="AP934" i="4"/>
  <c r="AM934" i="4"/>
  <c r="BH934" i="4"/>
  <c r="AX933" i="4"/>
  <c r="AW933" i="4"/>
  <c r="AV933" i="4"/>
  <c r="AP933" i="4"/>
  <c r="AM933" i="4"/>
  <c r="BH933" i="4"/>
  <c r="AX932" i="4"/>
  <c r="AW932" i="4"/>
  <c r="AV932" i="4"/>
  <c r="AP932" i="4"/>
  <c r="AM932" i="4"/>
  <c r="BH932" i="4"/>
  <c r="AX931" i="4"/>
  <c r="AW931" i="4"/>
  <c r="AV931" i="4"/>
  <c r="AP931" i="4"/>
  <c r="AM931" i="4"/>
  <c r="AX930" i="4"/>
  <c r="AW930" i="4"/>
  <c r="AV930" i="4"/>
  <c r="AP930" i="4"/>
  <c r="AM930" i="4"/>
  <c r="BH930" i="4"/>
  <c r="AX929" i="4"/>
  <c r="AW929" i="4"/>
  <c r="AV929" i="4"/>
  <c r="AP929" i="4"/>
  <c r="AM929" i="4"/>
  <c r="BH929" i="4"/>
  <c r="AX928" i="4"/>
  <c r="AW928" i="4"/>
  <c r="AV928" i="4"/>
  <c r="AP928" i="4"/>
  <c r="AM928" i="4"/>
  <c r="AX927" i="4"/>
  <c r="AW927" i="4"/>
  <c r="AV927" i="4"/>
  <c r="AP927" i="4"/>
  <c r="AM927" i="4"/>
  <c r="AX926" i="4"/>
  <c r="AW926" i="4"/>
  <c r="AV926" i="4"/>
  <c r="AP926" i="4"/>
  <c r="AM926" i="4"/>
  <c r="BH926" i="4"/>
  <c r="AX925" i="4"/>
  <c r="AW925" i="4"/>
  <c r="AV925" i="4"/>
  <c r="AP925" i="4"/>
  <c r="AM925" i="4"/>
  <c r="BH925" i="4"/>
  <c r="AX924" i="4"/>
  <c r="AW924" i="4"/>
  <c r="AV924" i="4"/>
  <c r="AP924" i="4"/>
  <c r="AM924" i="4"/>
  <c r="BH924" i="4"/>
  <c r="AX923" i="4"/>
  <c r="AW923" i="4"/>
  <c r="AV923" i="4"/>
  <c r="AP923" i="4"/>
  <c r="AM923" i="4"/>
  <c r="AX922" i="4"/>
  <c r="AW922" i="4"/>
  <c r="AV922" i="4"/>
  <c r="AP922" i="4"/>
  <c r="AM922" i="4"/>
  <c r="BH922" i="4"/>
  <c r="AX921" i="4"/>
  <c r="AW921" i="4"/>
  <c r="AV921" i="4"/>
  <c r="AP921" i="4"/>
  <c r="AM921" i="4"/>
  <c r="BH921" i="4"/>
  <c r="AX920" i="4"/>
  <c r="AW920" i="4"/>
  <c r="AV920" i="4"/>
  <c r="AP920" i="4"/>
  <c r="AM920" i="4"/>
  <c r="AX919" i="4"/>
  <c r="AW919" i="4"/>
  <c r="AV919" i="4"/>
  <c r="AP919" i="4"/>
  <c r="AM919" i="4"/>
  <c r="AX918" i="4"/>
  <c r="AW918" i="4"/>
  <c r="AV918" i="4"/>
  <c r="AP918" i="4"/>
  <c r="AM918" i="4"/>
  <c r="BH918" i="4"/>
  <c r="AX917" i="4"/>
  <c r="AW917" i="4"/>
  <c r="AV917" i="4"/>
  <c r="AP917" i="4"/>
  <c r="AM917" i="4"/>
  <c r="BH917" i="4"/>
  <c r="AX916" i="4"/>
  <c r="AW916" i="4"/>
  <c r="AV916" i="4"/>
  <c r="AP916" i="4"/>
  <c r="AM916" i="4"/>
  <c r="BH916" i="4"/>
  <c r="AX915" i="4"/>
  <c r="AW915" i="4"/>
  <c r="AV915" i="4"/>
  <c r="AP915" i="4"/>
  <c r="AM915" i="4"/>
  <c r="AX914" i="4"/>
  <c r="AW914" i="4"/>
  <c r="AV914" i="4"/>
  <c r="AP914" i="4"/>
  <c r="AM914" i="4"/>
  <c r="BH914" i="4"/>
  <c r="AX913" i="4"/>
  <c r="AW913" i="4"/>
  <c r="AV913" i="4"/>
  <c r="AP913" i="4"/>
  <c r="AM913" i="4"/>
  <c r="BH913" i="4"/>
  <c r="AX912" i="4"/>
  <c r="AW912" i="4"/>
  <c r="AV912" i="4"/>
  <c r="AP912" i="4"/>
  <c r="AM912" i="4"/>
  <c r="AX911" i="4"/>
  <c r="AW911" i="4"/>
  <c r="AV911" i="4"/>
  <c r="AP911" i="4"/>
  <c r="AM911" i="4"/>
  <c r="AX910" i="4"/>
  <c r="AW910" i="4"/>
  <c r="AV910" i="4"/>
  <c r="AP910" i="4"/>
  <c r="AM910" i="4"/>
  <c r="BH910" i="4"/>
  <c r="AX909" i="4"/>
  <c r="AW909" i="4"/>
  <c r="AV909" i="4"/>
  <c r="AP909" i="4"/>
  <c r="AM909" i="4"/>
  <c r="BH909" i="4"/>
  <c r="AX908" i="4"/>
  <c r="AW908" i="4"/>
  <c r="AV908" i="4"/>
  <c r="AP908" i="4"/>
  <c r="AM908" i="4"/>
  <c r="BH908" i="4"/>
  <c r="AX907" i="4"/>
  <c r="AW907" i="4"/>
  <c r="AV907" i="4"/>
  <c r="AP907" i="4"/>
  <c r="AM907" i="4"/>
  <c r="AX906" i="4"/>
  <c r="AW906" i="4"/>
  <c r="AV906" i="4"/>
  <c r="AP906" i="4"/>
  <c r="AM906" i="4"/>
  <c r="BH906" i="4"/>
  <c r="AX905" i="4"/>
  <c r="AW905" i="4"/>
  <c r="AV905" i="4"/>
  <c r="AP905" i="4"/>
  <c r="AM905" i="4"/>
  <c r="BH905" i="4"/>
  <c r="AX904" i="4"/>
  <c r="AW904" i="4"/>
  <c r="AV904" i="4"/>
  <c r="AP904" i="4"/>
  <c r="AM904" i="4"/>
  <c r="AX903" i="4"/>
  <c r="AW903" i="4"/>
  <c r="AV903" i="4"/>
  <c r="AP903" i="4"/>
  <c r="AM903" i="4"/>
  <c r="AX902" i="4"/>
  <c r="AW902" i="4"/>
  <c r="AV902" i="4"/>
  <c r="AP902" i="4"/>
  <c r="AM902" i="4"/>
  <c r="BH902" i="4"/>
  <c r="AX901" i="4"/>
  <c r="AW901" i="4"/>
  <c r="AV901" i="4"/>
  <c r="AP901" i="4"/>
  <c r="AM901" i="4"/>
  <c r="BH901" i="4"/>
  <c r="AX900" i="4"/>
  <c r="AW900" i="4"/>
  <c r="AV900" i="4"/>
  <c r="AP900" i="4"/>
  <c r="AM900" i="4"/>
  <c r="BH900" i="4"/>
  <c r="AX899" i="4"/>
  <c r="AW899" i="4"/>
  <c r="AV899" i="4"/>
  <c r="AP899" i="4"/>
  <c r="AM899" i="4"/>
  <c r="AX898" i="4"/>
  <c r="AW898" i="4"/>
  <c r="AV898" i="4"/>
  <c r="AP898" i="4"/>
  <c r="AM898" i="4"/>
  <c r="BH898" i="4"/>
  <c r="AX897" i="4"/>
  <c r="AW897" i="4"/>
  <c r="AV897" i="4"/>
  <c r="AP897" i="4"/>
  <c r="AM897" i="4"/>
  <c r="BH897" i="4"/>
  <c r="AX896" i="4"/>
  <c r="AW896" i="4"/>
  <c r="AV896" i="4"/>
  <c r="AP896" i="4"/>
  <c r="AM896" i="4"/>
  <c r="AX895" i="4"/>
  <c r="AW895" i="4"/>
  <c r="AV895" i="4"/>
  <c r="AP895" i="4"/>
  <c r="AM895" i="4"/>
  <c r="AX894" i="4"/>
  <c r="AW894" i="4"/>
  <c r="AV894" i="4"/>
  <c r="AP894" i="4"/>
  <c r="AM894" i="4"/>
  <c r="BH894" i="4"/>
  <c r="AX893" i="4"/>
  <c r="AW893" i="4"/>
  <c r="AV893" i="4"/>
  <c r="AP893" i="4"/>
  <c r="AM893" i="4"/>
  <c r="BH893" i="4"/>
  <c r="AX892" i="4"/>
  <c r="AW892" i="4"/>
  <c r="AV892" i="4"/>
  <c r="AP892" i="4"/>
  <c r="AM892" i="4"/>
  <c r="BH892" i="4"/>
  <c r="AX891" i="4"/>
  <c r="AW891" i="4"/>
  <c r="AV891" i="4"/>
  <c r="AP891" i="4"/>
  <c r="AM891" i="4"/>
  <c r="AX890" i="4"/>
  <c r="AW890" i="4"/>
  <c r="AV890" i="4"/>
  <c r="AP890" i="4"/>
  <c r="AM890" i="4"/>
  <c r="BH890" i="4"/>
  <c r="AX889" i="4"/>
  <c r="AW889" i="4"/>
  <c r="AV889" i="4"/>
  <c r="AP889" i="4"/>
  <c r="AM889" i="4"/>
  <c r="BH889" i="4"/>
  <c r="AX888" i="4"/>
  <c r="AW888" i="4"/>
  <c r="AV888" i="4"/>
  <c r="AP888" i="4"/>
  <c r="AM888" i="4"/>
  <c r="AX887" i="4"/>
  <c r="AW887" i="4"/>
  <c r="AV887" i="4"/>
  <c r="AP887" i="4"/>
  <c r="AM887" i="4"/>
  <c r="AX886" i="4"/>
  <c r="AW886" i="4"/>
  <c r="AV886" i="4"/>
  <c r="AP886" i="4"/>
  <c r="AM886" i="4"/>
  <c r="BH886" i="4"/>
  <c r="AX885" i="4"/>
  <c r="AW885" i="4"/>
  <c r="AV885" i="4"/>
  <c r="AP885" i="4"/>
  <c r="AM885" i="4"/>
  <c r="BH885" i="4"/>
  <c r="AX884" i="4"/>
  <c r="AW884" i="4"/>
  <c r="AV884" i="4"/>
  <c r="AP884" i="4"/>
  <c r="AM884" i="4"/>
  <c r="BH884" i="4"/>
  <c r="AX883" i="4"/>
  <c r="AW883" i="4"/>
  <c r="AV883" i="4"/>
  <c r="AP883" i="4"/>
  <c r="AM883" i="4"/>
  <c r="AX882" i="4"/>
  <c r="AW882" i="4"/>
  <c r="AV882" i="4"/>
  <c r="AP882" i="4"/>
  <c r="AM882" i="4"/>
  <c r="BH882" i="4"/>
  <c r="AX881" i="4"/>
  <c r="AW881" i="4"/>
  <c r="AV881" i="4"/>
  <c r="AP881" i="4"/>
  <c r="AM881" i="4"/>
  <c r="BH881" i="4"/>
  <c r="AX880" i="4"/>
  <c r="AW880" i="4"/>
  <c r="AV880" i="4"/>
  <c r="AP880" i="4"/>
  <c r="AM880" i="4"/>
  <c r="AX879" i="4"/>
  <c r="AW879" i="4"/>
  <c r="AV879" i="4"/>
  <c r="AP879" i="4"/>
  <c r="AM879" i="4"/>
  <c r="AX878" i="4"/>
  <c r="AW878" i="4"/>
  <c r="AV878" i="4"/>
  <c r="AP878" i="4"/>
  <c r="AM878" i="4"/>
  <c r="BH878" i="4"/>
  <c r="AX877" i="4"/>
  <c r="AW877" i="4"/>
  <c r="AV877" i="4"/>
  <c r="AP877" i="4"/>
  <c r="AM877" i="4"/>
  <c r="BH877" i="4"/>
  <c r="AX876" i="4"/>
  <c r="AW876" i="4"/>
  <c r="AV876" i="4"/>
  <c r="AP876" i="4"/>
  <c r="AM876" i="4"/>
  <c r="BH876" i="4"/>
  <c r="AX875" i="4"/>
  <c r="AW875" i="4"/>
  <c r="AV875" i="4"/>
  <c r="AP875" i="4"/>
  <c r="AM875" i="4"/>
  <c r="AX874" i="4"/>
  <c r="AW874" i="4"/>
  <c r="AV874" i="4"/>
  <c r="AP874" i="4"/>
  <c r="AM874" i="4"/>
  <c r="BH874" i="4"/>
  <c r="AX873" i="4"/>
  <c r="AW873" i="4"/>
  <c r="AV873" i="4"/>
  <c r="AP873" i="4"/>
  <c r="AM873" i="4"/>
  <c r="BH873" i="4"/>
  <c r="AX872" i="4"/>
  <c r="AW872" i="4"/>
  <c r="AV872" i="4"/>
  <c r="AP872" i="4"/>
  <c r="AM872" i="4"/>
  <c r="AX871" i="4"/>
  <c r="AW871" i="4"/>
  <c r="AV871" i="4"/>
  <c r="AP871" i="4"/>
  <c r="AM871" i="4"/>
  <c r="AX870" i="4"/>
  <c r="AW870" i="4"/>
  <c r="AV870" i="4"/>
  <c r="AP870" i="4"/>
  <c r="AM870" i="4"/>
  <c r="BH870" i="4"/>
  <c r="AX869" i="4"/>
  <c r="AW869" i="4"/>
  <c r="AV869" i="4"/>
  <c r="AP869" i="4"/>
  <c r="AM869" i="4"/>
  <c r="BH869" i="4"/>
  <c r="AX868" i="4"/>
  <c r="AW868" i="4"/>
  <c r="AV868" i="4"/>
  <c r="AP868" i="4"/>
  <c r="AM868" i="4"/>
  <c r="BH868" i="4"/>
  <c r="AX867" i="4"/>
  <c r="AW867" i="4"/>
  <c r="AV867" i="4"/>
  <c r="AP867" i="4"/>
  <c r="AM867" i="4"/>
  <c r="AX866" i="4"/>
  <c r="AW866" i="4"/>
  <c r="AV866" i="4"/>
  <c r="AP866" i="4"/>
  <c r="AM866" i="4"/>
  <c r="BH866" i="4"/>
  <c r="AX865" i="4"/>
  <c r="AW865" i="4"/>
  <c r="AV865" i="4"/>
  <c r="AP865" i="4"/>
  <c r="AM865" i="4"/>
  <c r="BH865" i="4"/>
  <c r="AX864" i="4"/>
  <c r="AW864" i="4"/>
  <c r="AV864" i="4"/>
  <c r="AP864" i="4"/>
  <c r="AM864" i="4"/>
  <c r="AX863" i="4"/>
  <c r="AW863" i="4"/>
  <c r="AV863" i="4"/>
  <c r="AP863" i="4"/>
  <c r="AM863" i="4"/>
  <c r="AX862" i="4"/>
  <c r="AW862" i="4"/>
  <c r="AV862" i="4"/>
  <c r="AP862" i="4"/>
  <c r="AM862" i="4"/>
  <c r="BH862" i="4"/>
  <c r="AX861" i="4"/>
  <c r="AW861" i="4"/>
  <c r="AV861" i="4"/>
  <c r="AP861" i="4"/>
  <c r="AM861" i="4"/>
  <c r="BH861" i="4"/>
  <c r="AX860" i="4"/>
  <c r="AW860" i="4"/>
  <c r="AV860" i="4"/>
  <c r="AP860" i="4"/>
  <c r="AM860" i="4"/>
  <c r="BH860" i="4"/>
  <c r="AX859" i="4"/>
  <c r="AW859" i="4"/>
  <c r="AV859" i="4"/>
  <c r="AP859" i="4"/>
  <c r="AM859" i="4"/>
  <c r="AX858" i="4"/>
  <c r="AW858" i="4"/>
  <c r="AV858" i="4"/>
  <c r="AP858" i="4"/>
  <c r="AM858" i="4"/>
  <c r="BH858" i="4"/>
  <c r="AX857" i="4"/>
  <c r="AW857" i="4"/>
  <c r="AV857" i="4"/>
  <c r="AP857" i="4"/>
  <c r="AM857" i="4"/>
  <c r="BH857" i="4"/>
  <c r="AX856" i="4"/>
  <c r="AW856" i="4"/>
  <c r="AV856" i="4"/>
  <c r="AP856" i="4"/>
  <c r="AM856" i="4"/>
  <c r="AX855" i="4"/>
  <c r="AW855" i="4"/>
  <c r="AV855" i="4"/>
  <c r="AP855" i="4"/>
  <c r="AM855" i="4"/>
  <c r="AX854" i="4"/>
  <c r="AW854" i="4"/>
  <c r="AV854" i="4"/>
  <c r="AP854" i="4"/>
  <c r="AM854" i="4"/>
  <c r="BH854" i="4"/>
  <c r="AX853" i="4"/>
  <c r="AW853" i="4"/>
  <c r="AV853" i="4"/>
  <c r="AP853" i="4"/>
  <c r="AM853" i="4"/>
  <c r="BH853" i="4"/>
  <c r="AX852" i="4"/>
  <c r="AW852" i="4"/>
  <c r="AV852" i="4"/>
  <c r="AP852" i="4"/>
  <c r="AM852" i="4"/>
  <c r="BH852" i="4"/>
  <c r="AX851" i="4"/>
  <c r="AW851" i="4"/>
  <c r="AV851" i="4"/>
  <c r="AP851" i="4"/>
  <c r="AM851" i="4"/>
  <c r="AX850" i="4"/>
  <c r="AW850" i="4"/>
  <c r="AV850" i="4"/>
  <c r="AP850" i="4"/>
  <c r="AM850" i="4"/>
  <c r="BH850" i="4"/>
  <c r="AX849" i="4"/>
  <c r="AW849" i="4"/>
  <c r="AV849" i="4"/>
  <c r="AP849" i="4"/>
  <c r="AM849" i="4"/>
  <c r="BH849" i="4"/>
  <c r="AX848" i="4"/>
  <c r="AW848" i="4"/>
  <c r="AV848" i="4"/>
  <c r="AP848" i="4"/>
  <c r="AM848" i="4"/>
  <c r="AX847" i="4"/>
  <c r="AW847" i="4"/>
  <c r="AV847" i="4"/>
  <c r="AP847" i="4"/>
  <c r="AM847" i="4"/>
  <c r="AX846" i="4"/>
  <c r="AW846" i="4"/>
  <c r="AV846" i="4"/>
  <c r="AP846" i="4"/>
  <c r="AM846" i="4"/>
  <c r="BH846" i="4"/>
  <c r="AX845" i="4"/>
  <c r="AW845" i="4"/>
  <c r="AV845" i="4"/>
  <c r="AP845" i="4"/>
  <c r="AM845" i="4"/>
  <c r="BH845" i="4"/>
  <c r="AX844" i="4"/>
  <c r="AW844" i="4"/>
  <c r="AV844" i="4"/>
  <c r="AP844" i="4"/>
  <c r="AM844" i="4"/>
  <c r="BH844" i="4"/>
  <c r="AX843" i="4"/>
  <c r="AW843" i="4"/>
  <c r="AV843" i="4"/>
  <c r="AP843" i="4"/>
  <c r="AM843" i="4"/>
  <c r="AX842" i="4"/>
  <c r="AW842" i="4"/>
  <c r="AV842" i="4"/>
  <c r="AP842" i="4"/>
  <c r="AM842" i="4"/>
  <c r="BH842" i="4"/>
  <c r="AX841" i="4"/>
  <c r="AW841" i="4"/>
  <c r="AV841" i="4"/>
  <c r="AP841" i="4"/>
  <c r="AM841" i="4"/>
  <c r="BH841" i="4"/>
  <c r="AX840" i="4"/>
  <c r="AW840" i="4"/>
  <c r="AV840" i="4"/>
  <c r="AP840" i="4"/>
  <c r="AM840" i="4"/>
  <c r="AX839" i="4"/>
  <c r="AW839" i="4"/>
  <c r="AV839" i="4"/>
  <c r="AP839" i="4"/>
  <c r="AM839" i="4"/>
  <c r="AX838" i="4"/>
  <c r="AW838" i="4"/>
  <c r="AV838" i="4"/>
  <c r="AP838" i="4"/>
  <c r="AM838" i="4"/>
  <c r="BH838" i="4"/>
  <c r="AX837" i="4"/>
  <c r="AW837" i="4"/>
  <c r="AV837" i="4"/>
  <c r="AP837" i="4"/>
  <c r="AM837" i="4"/>
  <c r="BH837" i="4"/>
  <c r="AX836" i="4"/>
  <c r="AW836" i="4"/>
  <c r="AV836" i="4"/>
  <c r="AP836" i="4"/>
  <c r="AM836" i="4"/>
  <c r="BH836" i="4"/>
  <c r="AX835" i="4"/>
  <c r="AW835" i="4"/>
  <c r="AV835" i="4"/>
  <c r="AP835" i="4"/>
  <c r="AM835" i="4"/>
  <c r="AX834" i="4"/>
  <c r="AW834" i="4"/>
  <c r="AV834" i="4"/>
  <c r="AP834" i="4"/>
  <c r="AM834" i="4"/>
  <c r="BH834" i="4"/>
  <c r="AX833" i="4"/>
  <c r="AW833" i="4"/>
  <c r="AV833" i="4"/>
  <c r="AP833" i="4"/>
  <c r="AM833" i="4"/>
  <c r="BH833" i="4"/>
  <c r="AX832" i="4"/>
  <c r="AW832" i="4"/>
  <c r="AV832" i="4"/>
  <c r="AP832" i="4"/>
  <c r="AM832" i="4"/>
  <c r="AX831" i="4"/>
  <c r="AW831" i="4"/>
  <c r="AV831" i="4"/>
  <c r="AP831" i="4"/>
  <c r="AM831" i="4"/>
  <c r="AX830" i="4"/>
  <c r="AW830" i="4"/>
  <c r="AV830" i="4"/>
  <c r="AP830" i="4"/>
  <c r="AM830" i="4"/>
  <c r="BH830" i="4"/>
  <c r="AX829" i="4"/>
  <c r="AW829" i="4"/>
  <c r="AV829" i="4"/>
  <c r="AP829" i="4"/>
  <c r="AM829" i="4"/>
  <c r="BH829" i="4"/>
  <c r="AX828" i="4"/>
  <c r="AW828" i="4"/>
  <c r="AV828" i="4"/>
  <c r="AP828" i="4"/>
  <c r="AM828" i="4"/>
  <c r="BH828" i="4"/>
  <c r="AX827" i="4"/>
  <c r="AW827" i="4"/>
  <c r="AV827" i="4"/>
  <c r="AP827" i="4"/>
  <c r="AM827" i="4"/>
  <c r="AX826" i="4"/>
  <c r="AW826" i="4"/>
  <c r="AV826" i="4"/>
  <c r="AP826" i="4"/>
  <c r="AM826" i="4"/>
  <c r="BH826" i="4"/>
  <c r="AX825" i="4"/>
  <c r="AW825" i="4"/>
  <c r="AV825" i="4"/>
  <c r="AP825" i="4"/>
  <c r="AM825" i="4"/>
  <c r="BH825" i="4"/>
  <c r="AX824" i="4"/>
  <c r="AW824" i="4"/>
  <c r="AV824" i="4"/>
  <c r="AP824" i="4"/>
  <c r="AM824" i="4"/>
  <c r="AX823" i="4"/>
  <c r="AW823" i="4"/>
  <c r="AV823" i="4"/>
  <c r="AP823" i="4"/>
  <c r="AM823" i="4"/>
  <c r="AX822" i="4"/>
  <c r="AW822" i="4"/>
  <c r="AV822" i="4"/>
  <c r="AP822" i="4"/>
  <c r="AM822" i="4"/>
  <c r="BH822" i="4"/>
  <c r="AX821" i="4"/>
  <c r="AW821" i="4"/>
  <c r="AV821" i="4"/>
  <c r="AP821" i="4"/>
  <c r="AM821" i="4"/>
  <c r="BH821" i="4"/>
  <c r="AX820" i="4"/>
  <c r="AW820" i="4"/>
  <c r="AV820" i="4"/>
  <c r="AP820" i="4"/>
  <c r="AM820" i="4"/>
  <c r="BH820" i="4"/>
  <c r="AX819" i="4"/>
  <c r="AW819" i="4"/>
  <c r="AV819" i="4"/>
  <c r="AP819" i="4"/>
  <c r="AM819" i="4"/>
  <c r="AX818" i="4"/>
  <c r="AW818" i="4"/>
  <c r="AV818" i="4"/>
  <c r="AP818" i="4"/>
  <c r="AM818" i="4"/>
  <c r="BH818" i="4"/>
  <c r="AX817" i="4"/>
  <c r="AW817" i="4"/>
  <c r="AV817" i="4"/>
  <c r="AP817" i="4"/>
  <c r="AM817" i="4"/>
  <c r="BH817" i="4"/>
  <c r="AX816" i="4"/>
  <c r="AW816" i="4"/>
  <c r="AV816" i="4"/>
  <c r="AP816" i="4"/>
  <c r="AM816" i="4"/>
  <c r="AX815" i="4"/>
  <c r="AW815" i="4"/>
  <c r="AV815" i="4"/>
  <c r="AP815" i="4"/>
  <c r="AM815" i="4"/>
  <c r="AX814" i="4"/>
  <c r="AW814" i="4"/>
  <c r="AV814" i="4"/>
  <c r="AP814" i="4"/>
  <c r="AM814" i="4"/>
  <c r="BH814" i="4"/>
  <c r="AX813" i="4"/>
  <c r="AW813" i="4"/>
  <c r="AV813" i="4"/>
  <c r="AP813" i="4"/>
  <c r="AM813" i="4"/>
  <c r="BH813" i="4"/>
  <c r="AX812" i="4"/>
  <c r="AW812" i="4"/>
  <c r="AV812" i="4"/>
  <c r="AP812" i="4"/>
  <c r="AM812" i="4"/>
  <c r="AX811" i="4"/>
  <c r="AW811" i="4"/>
  <c r="AV811" i="4"/>
  <c r="AP811" i="4"/>
  <c r="AM811" i="4"/>
  <c r="AX810" i="4"/>
  <c r="AW810" i="4"/>
  <c r="AV810" i="4"/>
  <c r="AP810" i="4"/>
  <c r="AM810" i="4"/>
  <c r="AX809" i="4"/>
  <c r="AW809" i="4"/>
  <c r="AV809" i="4"/>
  <c r="AP809" i="4"/>
  <c r="AM809" i="4"/>
  <c r="AX808" i="4"/>
  <c r="AW808" i="4"/>
  <c r="AV808" i="4"/>
  <c r="AP808" i="4"/>
  <c r="AM808" i="4"/>
  <c r="AX807" i="4"/>
  <c r="AW807" i="4"/>
  <c r="AV807" i="4"/>
  <c r="AP807" i="4"/>
  <c r="AM807" i="4"/>
  <c r="AX806" i="4"/>
  <c r="AW806" i="4"/>
  <c r="AV806" i="4"/>
  <c r="AP806" i="4"/>
  <c r="AM806" i="4"/>
  <c r="BH806" i="4"/>
  <c r="AX805" i="4"/>
  <c r="AW805" i="4"/>
  <c r="AV805" i="4"/>
  <c r="AP805" i="4"/>
  <c r="AM805" i="4"/>
  <c r="AX804" i="4"/>
  <c r="AW804" i="4"/>
  <c r="AV804" i="4"/>
  <c r="AP804" i="4"/>
  <c r="AM804" i="4"/>
  <c r="AX803" i="4"/>
  <c r="AW803" i="4"/>
  <c r="AV803" i="4"/>
  <c r="AP803" i="4"/>
  <c r="AM803" i="4"/>
  <c r="AX802" i="4"/>
  <c r="AW802" i="4"/>
  <c r="AV802" i="4"/>
  <c r="AP802" i="4"/>
  <c r="AM802" i="4"/>
  <c r="AX801" i="4"/>
  <c r="AW801" i="4"/>
  <c r="AV801" i="4"/>
  <c r="AP801" i="4"/>
  <c r="AM801" i="4"/>
  <c r="BH801" i="4"/>
  <c r="AX800" i="4"/>
  <c r="AW800" i="4"/>
  <c r="AV800" i="4"/>
  <c r="AP800" i="4"/>
  <c r="AM800" i="4"/>
  <c r="AX799" i="4"/>
  <c r="AW799" i="4"/>
  <c r="AV799" i="4"/>
  <c r="AP799" i="4"/>
  <c r="AM799" i="4"/>
  <c r="AX798" i="4"/>
  <c r="AW798" i="4"/>
  <c r="AV798" i="4"/>
  <c r="AP798" i="4"/>
  <c r="AM798" i="4"/>
  <c r="AX797" i="4"/>
  <c r="AW797" i="4"/>
  <c r="AV797" i="4"/>
  <c r="AP797" i="4"/>
  <c r="AM797" i="4"/>
  <c r="BH797" i="4"/>
  <c r="AX796" i="4"/>
  <c r="AW796" i="4"/>
  <c r="AV796" i="4"/>
  <c r="AP796" i="4"/>
  <c r="AM796" i="4"/>
  <c r="AX795" i="4"/>
  <c r="AW795" i="4"/>
  <c r="AV795" i="4"/>
  <c r="AP795" i="4"/>
  <c r="AM795" i="4"/>
  <c r="AX794" i="4"/>
  <c r="AW794" i="4"/>
  <c r="AV794" i="4"/>
  <c r="AP794" i="4"/>
  <c r="AM794" i="4"/>
  <c r="AX793" i="4"/>
  <c r="AW793" i="4"/>
  <c r="AV793" i="4"/>
  <c r="AP793" i="4"/>
  <c r="AM793" i="4"/>
  <c r="AX792" i="4"/>
  <c r="AW792" i="4"/>
  <c r="AV792" i="4"/>
  <c r="AP792" i="4"/>
  <c r="AM792" i="4"/>
  <c r="AX791" i="4"/>
  <c r="AW791" i="4"/>
  <c r="AV791" i="4"/>
  <c r="AP791" i="4"/>
  <c r="AM791" i="4"/>
  <c r="AX790" i="4"/>
  <c r="AW790" i="4"/>
  <c r="AV790" i="4"/>
  <c r="AP790" i="4"/>
  <c r="AM790" i="4"/>
  <c r="BH790" i="4"/>
  <c r="AX789" i="4"/>
  <c r="AW789" i="4"/>
  <c r="AV789" i="4"/>
  <c r="AP789" i="4"/>
  <c r="AM789" i="4"/>
  <c r="AX788" i="4"/>
  <c r="AW788" i="4"/>
  <c r="AV788" i="4"/>
  <c r="AP788" i="4"/>
  <c r="AM788" i="4"/>
  <c r="BH788" i="4"/>
  <c r="AX787" i="4"/>
  <c r="AW787" i="4"/>
  <c r="AV787" i="4"/>
  <c r="AP787" i="4"/>
  <c r="AM787" i="4"/>
  <c r="AX786" i="4"/>
  <c r="AW786" i="4"/>
  <c r="AV786" i="4"/>
  <c r="AP786" i="4"/>
  <c r="AM786" i="4"/>
  <c r="AX785" i="4"/>
  <c r="AW785" i="4"/>
  <c r="AV785" i="4"/>
  <c r="AP785" i="4"/>
  <c r="AM785" i="4"/>
  <c r="BH785" i="4"/>
  <c r="AX784" i="4"/>
  <c r="AW784" i="4"/>
  <c r="AV784" i="4"/>
  <c r="AP784" i="4"/>
  <c r="AM784" i="4"/>
  <c r="AX783" i="4"/>
  <c r="AW783" i="4"/>
  <c r="AV783" i="4"/>
  <c r="AP783" i="4"/>
  <c r="AM783" i="4"/>
  <c r="AX782" i="4"/>
  <c r="AW782" i="4"/>
  <c r="AV782" i="4"/>
  <c r="AP782" i="4"/>
  <c r="AM782" i="4"/>
  <c r="AX781" i="4"/>
  <c r="AW781" i="4"/>
  <c r="AV781" i="4"/>
  <c r="AP781" i="4"/>
  <c r="AM781" i="4"/>
  <c r="AX780" i="4"/>
  <c r="AW780" i="4"/>
  <c r="AV780" i="4"/>
  <c r="AP780" i="4"/>
  <c r="AM780" i="4"/>
  <c r="AX779" i="4"/>
  <c r="AW779" i="4"/>
  <c r="AV779" i="4"/>
  <c r="AP779" i="4"/>
  <c r="AM779" i="4"/>
  <c r="AX778" i="4"/>
  <c r="AW778" i="4"/>
  <c r="AV778" i="4"/>
  <c r="AP778" i="4"/>
  <c r="AM778" i="4"/>
  <c r="BH778" i="4"/>
  <c r="AX777" i="4"/>
  <c r="AW777" i="4"/>
  <c r="AV777" i="4"/>
  <c r="AP777" i="4"/>
  <c r="AM777" i="4"/>
  <c r="AX776" i="4"/>
  <c r="AW776" i="4"/>
  <c r="AV776" i="4"/>
  <c r="AP776" i="4"/>
  <c r="AM776" i="4"/>
  <c r="AX775" i="4"/>
  <c r="AW775" i="4"/>
  <c r="AV775" i="4"/>
  <c r="AP775" i="4"/>
  <c r="AM775" i="4"/>
  <c r="AX774" i="4"/>
  <c r="AW774" i="4"/>
  <c r="AV774" i="4"/>
  <c r="AP774" i="4"/>
  <c r="AM774" i="4"/>
  <c r="BH774" i="4"/>
  <c r="AX773" i="4"/>
  <c r="AW773" i="4"/>
  <c r="AV773" i="4"/>
  <c r="AP773" i="4"/>
  <c r="AM773" i="4"/>
  <c r="AX772" i="4"/>
  <c r="AW772" i="4"/>
  <c r="AV772" i="4"/>
  <c r="AP772" i="4"/>
  <c r="AM772" i="4"/>
  <c r="BH772" i="4"/>
  <c r="AX771" i="4"/>
  <c r="AW771" i="4"/>
  <c r="AV771" i="4"/>
  <c r="AP771" i="4"/>
  <c r="AM771" i="4"/>
  <c r="AX770" i="4"/>
  <c r="AW770" i="4"/>
  <c r="AV770" i="4"/>
  <c r="AP770" i="4"/>
  <c r="AM770" i="4"/>
  <c r="AX769" i="4"/>
  <c r="AW769" i="4"/>
  <c r="AV769" i="4"/>
  <c r="AP769" i="4"/>
  <c r="AM769" i="4"/>
  <c r="BH769" i="4"/>
  <c r="AX768" i="4"/>
  <c r="AW768" i="4"/>
  <c r="AV768" i="4"/>
  <c r="AP768" i="4"/>
  <c r="AM768" i="4"/>
  <c r="AX767" i="4"/>
  <c r="AW767" i="4"/>
  <c r="AV767" i="4"/>
  <c r="AP767" i="4"/>
  <c r="AM767" i="4"/>
  <c r="AX766" i="4"/>
  <c r="AW766" i="4"/>
  <c r="AV766" i="4"/>
  <c r="AP766" i="4"/>
  <c r="AM766" i="4"/>
  <c r="AX765" i="4"/>
  <c r="AW765" i="4"/>
  <c r="AV765" i="4"/>
  <c r="AP765" i="4"/>
  <c r="AM765" i="4"/>
  <c r="BH765" i="4"/>
  <c r="AX764" i="4"/>
  <c r="AW764" i="4"/>
  <c r="AV764" i="4"/>
  <c r="AP764" i="4"/>
  <c r="AM764" i="4"/>
  <c r="AX763" i="4"/>
  <c r="AW763" i="4"/>
  <c r="AV763" i="4"/>
  <c r="AP763" i="4"/>
  <c r="AM763" i="4"/>
  <c r="AX762" i="4"/>
  <c r="AW762" i="4"/>
  <c r="AV762" i="4"/>
  <c r="AP762" i="4"/>
  <c r="AM762" i="4"/>
  <c r="BH762" i="4"/>
  <c r="AX761" i="4"/>
  <c r="AW761" i="4"/>
  <c r="AV761" i="4"/>
  <c r="AP761" i="4"/>
  <c r="AM761" i="4"/>
  <c r="AX760" i="4"/>
  <c r="AW760" i="4"/>
  <c r="AV760" i="4"/>
  <c r="AP760" i="4"/>
  <c r="AM760" i="4"/>
  <c r="AX759" i="4"/>
  <c r="AW759" i="4"/>
  <c r="AV759" i="4"/>
  <c r="AP759" i="4"/>
  <c r="AM759" i="4"/>
  <c r="AX758" i="4"/>
  <c r="AW758" i="4"/>
  <c r="AV758" i="4"/>
  <c r="AP758" i="4"/>
  <c r="AM758" i="4"/>
  <c r="BH758" i="4"/>
  <c r="AX757" i="4"/>
  <c r="AW757" i="4"/>
  <c r="AV757" i="4"/>
  <c r="AP757" i="4"/>
  <c r="AM757" i="4"/>
  <c r="AX756" i="4"/>
  <c r="AW756" i="4"/>
  <c r="AV756" i="4"/>
  <c r="AP756" i="4"/>
  <c r="AM756" i="4"/>
  <c r="BH756" i="4"/>
  <c r="AX755" i="4"/>
  <c r="AW755" i="4"/>
  <c r="AV755" i="4"/>
  <c r="AP755" i="4"/>
  <c r="AM755" i="4"/>
  <c r="AX754" i="4"/>
  <c r="AW754" i="4"/>
  <c r="AV754" i="4"/>
  <c r="AP754" i="4"/>
  <c r="AM754" i="4"/>
  <c r="AX753" i="4"/>
  <c r="AW753" i="4"/>
  <c r="AV753" i="4"/>
  <c r="AP753" i="4"/>
  <c r="AM753" i="4"/>
  <c r="BH753" i="4"/>
  <c r="AX752" i="4"/>
  <c r="AW752" i="4"/>
  <c r="AV752" i="4"/>
  <c r="AP752" i="4"/>
  <c r="AM752" i="4"/>
  <c r="AX751" i="4"/>
  <c r="AW751" i="4"/>
  <c r="AV751" i="4"/>
  <c r="AP751" i="4"/>
  <c r="AM751" i="4"/>
  <c r="AX750" i="4"/>
  <c r="AW750" i="4"/>
  <c r="AV750" i="4"/>
  <c r="AP750" i="4"/>
  <c r="AM750" i="4"/>
  <c r="AX749" i="4"/>
  <c r="AW749" i="4"/>
  <c r="AV749" i="4"/>
  <c r="AP749" i="4"/>
  <c r="AM749" i="4"/>
  <c r="BH749" i="4"/>
  <c r="AX748" i="4"/>
  <c r="AW748" i="4"/>
  <c r="AV748" i="4"/>
  <c r="AP748" i="4"/>
  <c r="AM748" i="4"/>
  <c r="AX747" i="4"/>
  <c r="AW747" i="4"/>
  <c r="AV747" i="4"/>
  <c r="AP747" i="4"/>
  <c r="AM747" i="4"/>
  <c r="AX746" i="4"/>
  <c r="AW746" i="4"/>
  <c r="AV746" i="4"/>
  <c r="AP746" i="4"/>
  <c r="AM746" i="4"/>
  <c r="AX745" i="4"/>
  <c r="AW745" i="4"/>
  <c r="AV745" i="4"/>
  <c r="AP745" i="4"/>
  <c r="AM745" i="4"/>
  <c r="AX744" i="4"/>
  <c r="AW744" i="4"/>
  <c r="AV744" i="4"/>
  <c r="AP744" i="4"/>
  <c r="AM744" i="4"/>
  <c r="AX743" i="4"/>
  <c r="AW743" i="4"/>
  <c r="AV743" i="4"/>
  <c r="AP743" i="4"/>
  <c r="AM743" i="4"/>
  <c r="AX742" i="4"/>
  <c r="AW742" i="4"/>
  <c r="AV742" i="4"/>
  <c r="AP742" i="4"/>
  <c r="AM742" i="4"/>
  <c r="BH742" i="4"/>
  <c r="AX741" i="4"/>
  <c r="AW741" i="4"/>
  <c r="AV741" i="4"/>
  <c r="AP741" i="4"/>
  <c r="AM741" i="4"/>
  <c r="AX740" i="4"/>
  <c r="AW740" i="4"/>
  <c r="AV740" i="4"/>
  <c r="AP740" i="4"/>
  <c r="AM740" i="4"/>
  <c r="BH740" i="4"/>
  <c r="AX739" i="4"/>
  <c r="AW739" i="4"/>
  <c r="AV739" i="4"/>
  <c r="AP739" i="4"/>
  <c r="AM739" i="4"/>
  <c r="AX738" i="4"/>
  <c r="AW738" i="4"/>
  <c r="AV738" i="4"/>
  <c r="AP738" i="4"/>
  <c r="AM738" i="4"/>
  <c r="AX737" i="4"/>
  <c r="AW737" i="4"/>
  <c r="AV737" i="4"/>
  <c r="AP737" i="4"/>
  <c r="AM737" i="4"/>
  <c r="BH737" i="4"/>
  <c r="AX736" i="4"/>
  <c r="AW736" i="4"/>
  <c r="AV736" i="4"/>
  <c r="AP736" i="4"/>
  <c r="AM736" i="4"/>
  <c r="AX735" i="4"/>
  <c r="AW735" i="4"/>
  <c r="AV735" i="4"/>
  <c r="AP735" i="4"/>
  <c r="AM735" i="4"/>
  <c r="AX734" i="4"/>
  <c r="AW734" i="4"/>
  <c r="AV734" i="4"/>
  <c r="AP734" i="4"/>
  <c r="AM734" i="4"/>
  <c r="AX733" i="4"/>
  <c r="AW733" i="4"/>
  <c r="AV733" i="4"/>
  <c r="AP733" i="4"/>
  <c r="AM733" i="4"/>
  <c r="AX732" i="4"/>
  <c r="AW732" i="4"/>
  <c r="AV732" i="4"/>
  <c r="AP732" i="4"/>
  <c r="AM732" i="4"/>
  <c r="BH732" i="4"/>
  <c r="AX731" i="4"/>
  <c r="AW731" i="4"/>
  <c r="AV731" i="4"/>
  <c r="AP731" i="4"/>
  <c r="AM731" i="4"/>
  <c r="AX730" i="4"/>
  <c r="AW730" i="4"/>
  <c r="AV730" i="4"/>
  <c r="AP730" i="4"/>
  <c r="AM730" i="4"/>
  <c r="AX729" i="4"/>
  <c r="AW729" i="4"/>
  <c r="AV729" i="4"/>
  <c r="AP729" i="4"/>
  <c r="AM729" i="4"/>
  <c r="AX728" i="4"/>
  <c r="AW728" i="4"/>
  <c r="AV728" i="4"/>
  <c r="AP728" i="4"/>
  <c r="AM728" i="4"/>
  <c r="AX727" i="4"/>
  <c r="AW727" i="4"/>
  <c r="AV727" i="4"/>
  <c r="AP727" i="4"/>
  <c r="AM727" i="4"/>
  <c r="AX726" i="4"/>
  <c r="AW726" i="4"/>
  <c r="AV726" i="4"/>
  <c r="AP726" i="4"/>
  <c r="AM726" i="4"/>
  <c r="AX725" i="4"/>
  <c r="AW725" i="4"/>
  <c r="AV725" i="4"/>
  <c r="AP725" i="4"/>
  <c r="AM725" i="4"/>
  <c r="AX724" i="4"/>
  <c r="AW724" i="4"/>
  <c r="AV724" i="4"/>
  <c r="AP724" i="4"/>
  <c r="AM724" i="4"/>
  <c r="BH724" i="4"/>
  <c r="AX723" i="4"/>
  <c r="AW723" i="4"/>
  <c r="AV723" i="4"/>
  <c r="AP723" i="4"/>
  <c r="AM723" i="4"/>
  <c r="AX722" i="4"/>
  <c r="AW722" i="4"/>
  <c r="AV722" i="4"/>
  <c r="AP722" i="4"/>
  <c r="AM722" i="4"/>
  <c r="AX721" i="4"/>
  <c r="AW721" i="4"/>
  <c r="AV721" i="4"/>
  <c r="AP721" i="4"/>
  <c r="AM721" i="4"/>
  <c r="BH721" i="4"/>
  <c r="AX720" i="4"/>
  <c r="AW720" i="4"/>
  <c r="AV720" i="4"/>
  <c r="AP720" i="4"/>
  <c r="AM720" i="4"/>
  <c r="AX719" i="4"/>
  <c r="AW719" i="4"/>
  <c r="AV719" i="4"/>
  <c r="AP719" i="4"/>
  <c r="AM719" i="4"/>
  <c r="AX718" i="4"/>
  <c r="AW718" i="4"/>
  <c r="AV718" i="4"/>
  <c r="AP718" i="4"/>
  <c r="AM718" i="4"/>
  <c r="AX717" i="4"/>
  <c r="AW717" i="4"/>
  <c r="AV717" i="4"/>
  <c r="AP717" i="4"/>
  <c r="AM717" i="4"/>
  <c r="BH717" i="4"/>
  <c r="AX716" i="4"/>
  <c r="AW716" i="4"/>
  <c r="AV716" i="4"/>
  <c r="AP716" i="4"/>
  <c r="AM716" i="4"/>
  <c r="AX715" i="4"/>
  <c r="AW715" i="4"/>
  <c r="AV715" i="4"/>
  <c r="AP715" i="4"/>
  <c r="AM715" i="4"/>
  <c r="AX714" i="4"/>
  <c r="AW714" i="4"/>
  <c r="AV714" i="4"/>
  <c r="AP714" i="4"/>
  <c r="AM714" i="4"/>
  <c r="AX713" i="4"/>
  <c r="AW713" i="4"/>
  <c r="AV713" i="4"/>
  <c r="AP713" i="4"/>
  <c r="AM713" i="4"/>
  <c r="AX712" i="4"/>
  <c r="AW712" i="4"/>
  <c r="AV712" i="4"/>
  <c r="AP712" i="4"/>
  <c r="AM712" i="4"/>
  <c r="AX711" i="4"/>
  <c r="AW711" i="4"/>
  <c r="AV711" i="4"/>
  <c r="AP711" i="4"/>
  <c r="AM711" i="4"/>
  <c r="AX710" i="4"/>
  <c r="AW710" i="4"/>
  <c r="AV710" i="4"/>
  <c r="AP710" i="4"/>
  <c r="AM710" i="4"/>
  <c r="AX709" i="4"/>
  <c r="AW709" i="4"/>
  <c r="AV709" i="4"/>
  <c r="AP709" i="4"/>
  <c r="AM709" i="4"/>
  <c r="AX708" i="4"/>
  <c r="AW708" i="4"/>
  <c r="AV708" i="4"/>
  <c r="AP708" i="4"/>
  <c r="AM708" i="4"/>
  <c r="AX707" i="4"/>
  <c r="AW707" i="4"/>
  <c r="AV707" i="4"/>
  <c r="AP707" i="4"/>
  <c r="AM707" i="4"/>
  <c r="BH707" i="4"/>
  <c r="AX706" i="4"/>
  <c r="AW706" i="4"/>
  <c r="AV706" i="4"/>
  <c r="AP706" i="4"/>
  <c r="AM706" i="4"/>
  <c r="AX705" i="4"/>
  <c r="AW705" i="4"/>
  <c r="AV705" i="4"/>
  <c r="AP705" i="4"/>
  <c r="AM705" i="4"/>
  <c r="AX704" i="4"/>
  <c r="AW704" i="4"/>
  <c r="AV704" i="4"/>
  <c r="AP704" i="4"/>
  <c r="AM704" i="4"/>
  <c r="AX703" i="4"/>
  <c r="AW703" i="4"/>
  <c r="AV703" i="4"/>
  <c r="AP703" i="4"/>
  <c r="AM703" i="4"/>
  <c r="AX702" i="4"/>
  <c r="AW702" i="4"/>
  <c r="AV702" i="4"/>
  <c r="AP702" i="4"/>
  <c r="AM702" i="4"/>
  <c r="BH702" i="4"/>
  <c r="AX701" i="4"/>
  <c r="AW701" i="4"/>
  <c r="AV701" i="4"/>
  <c r="AP701" i="4"/>
  <c r="AM701" i="4"/>
  <c r="BH701" i="4"/>
  <c r="AX700" i="4"/>
  <c r="AW700" i="4"/>
  <c r="AV700" i="4"/>
  <c r="AP700" i="4"/>
  <c r="AM700" i="4"/>
  <c r="AX699" i="4"/>
  <c r="AW699" i="4"/>
  <c r="AV699" i="4"/>
  <c r="AP699" i="4"/>
  <c r="AM699" i="4"/>
  <c r="BH699" i="4"/>
  <c r="AX698" i="4"/>
  <c r="AW698" i="4"/>
  <c r="AV698" i="4"/>
  <c r="AP698" i="4"/>
  <c r="AM698" i="4"/>
  <c r="BH698" i="4"/>
  <c r="AX697" i="4"/>
  <c r="AW697" i="4"/>
  <c r="AV697" i="4"/>
  <c r="AP697" i="4"/>
  <c r="AM697" i="4"/>
  <c r="AX696" i="4"/>
  <c r="AW696" i="4"/>
  <c r="AV696" i="4"/>
  <c r="AP696" i="4"/>
  <c r="AM696" i="4"/>
  <c r="BH696" i="4"/>
  <c r="AX695" i="4"/>
  <c r="AW695" i="4"/>
  <c r="AV695" i="4"/>
  <c r="AP695" i="4"/>
  <c r="AM695" i="4"/>
  <c r="AX694" i="4"/>
  <c r="AW694" i="4"/>
  <c r="AV694" i="4"/>
  <c r="AP694" i="4"/>
  <c r="AM694" i="4"/>
  <c r="BH694" i="4"/>
  <c r="AX693" i="4"/>
  <c r="AW693" i="4"/>
  <c r="AV693" i="4"/>
  <c r="AP693" i="4"/>
  <c r="AM693" i="4"/>
  <c r="BH693" i="4"/>
  <c r="AX692" i="4"/>
  <c r="AW692" i="4"/>
  <c r="AV692" i="4"/>
  <c r="AP692" i="4"/>
  <c r="AM692" i="4"/>
  <c r="AX691" i="4"/>
  <c r="AW691" i="4"/>
  <c r="AV691" i="4"/>
  <c r="AP691" i="4"/>
  <c r="AM691" i="4"/>
  <c r="BH691" i="4"/>
  <c r="AX690" i="4"/>
  <c r="AW690" i="4"/>
  <c r="AV690" i="4"/>
  <c r="AP690" i="4"/>
  <c r="AM690" i="4"/>
  <c r="BH690" i="4"/>
  <c r="AX689" i="4"/>
  <c r="AW689" i="4"/>
  <c r="AV689" i="4"/>
  <c r="AP689" i="4"/>
  <c r="AM689" i="4"/>
  <c r="AX688" i="4"/>
  <c r="AW688" i="4"/>
  <c r="AV688" i="4"/>
  <c r="AP688" i="4"/>
  <c r="AM688" i="4"/>
  <c r="BH688" i="4"/>
  <c r="AX687" i="4"/>
  <c r="AW687" i="4"/>
  <c r="AV687" i="4"/>
  <c r="AP687" i="4"/>
  <c r="AM687" i="4"/>
  <c r="AX686" i="4"/>
  <c r="AW686" i="4"/>
  <c r="AV686" i="4"/>
  <c r="AP686" i="4"/>
  <c r="AM686" i="4"/>
  <c r="BH686" i="4"/>
  <c r="AX685" i="4"/>
  <c r="AW685" i="4"/>
  <c r="AV685" i="4"/>
  <c r="AP685" i="4"/>
  <c r="AM685" i="4"/>
  <c r="BH685" i="4"/>
  <c r="AX684" i="4"/>
  <c r="AW684" i="4"/>
  <c r="AV684" i="4"/>
  <c r="AP684" i="4"/>
  <c r="AM684" i="4"/>
  <c r="AX683" i="4"/>
  <c r="AW683" i="4"/>
  <c r="AV683" i="4"/>
  <c r="AP683" i="4"/>
  <c r="AM683" i="4"/>
  <c r="BH683" i="4"/>
  <c r="AX682" i="4"/>
  <c r="AW682" i="4"/>
  <c r="AV682" i="4"/>
  <c r="AP682" i="4"/>
  <c r="AM682" i="4"/>
  <c r="BH682" i="4"/>
  <c r="AX681" i="4"/>
  <c r="AW681" i="4"/>
  <c r="AV681" i="4"/>
  <c r="AP681" i="4"/>
  <c r="AM681" i="4"/>
  <c r="AX680" i="4"/>
  <c r="AW680" i="4"/>
  <c r="AV680" i="4"/>
  <c r="AP680" i="4"/>
  <c r="AM680" i="4"/>
  <c r="BH680" i="4"/>
  <c r="AX679" i="4"/>
  <c r="AW679" i="4"/>
  <c r="AV679" i="4"/>
  <c r="AP679" i="4"/>
  <c r="AM679" i="4"/>
  <c r="AX678" i="4"/>
  <c r="AW678" i="4"/>
  <c r="AV678" i="4"/>
  <c r="AP678" i="4"/>
  <c r="AM678" i="4"/>
  <c r="BH678" i="4"/>
  <c r="AX677" i="4"/>
  <c r="AW677" i="4"/>
  <c r="AV677" i="4"/>
  <c r="AP677" i="4"/>
  <c r="AM677" i="4"/>
  <c r="BH677" i="4"/>
  <c r="AX676" i="4"/>
  <c r="AW676" i="4"/>
  <c r="AV676" i="4"/>
  <c r="AP676" i="4"/>
  <c r="AM676" i="4"/>
  <c r="AX675" i="4"/>
  <c r="AW675" i="4"/>
  <c r="AV675" i="4"/>
  <c r="AP675" i="4"/>
  <c r="AM675" i="4"/>
  <c r="BH675" i="4"/>
  <c r="AX674" i="4"/>
  <c r="AW674" i="4"/>
  <c r="AV674" i="4"/>
  <c r="AP674" i="4"/>
  <c r="AM674" i="4"/>
  <c r="BH674" i="4"/>
  <c r="AX673" i="4"/>
  <c r="AW673" i="4"/>
  <c r="AV673" i="4"/>
  <c r="AP673" i="4"/>
  <c r="AM673" i="4"/>
  <c r="AX672" i="4"/>
  <c r="AW672" i="4"/>
  <c r="AV672" i="4"/>
  <c r="AP672" i="4"/>
  <c r="AM672" i="4"/>
  <c r="BH672" i="4"/>
  <c r="AX671" i="4"/>
  <c r="AW671" i="4"/>
  <c r="AV671" i="4"/>
  <c r="AP671" i="4"/>
  <c r="AM671" i="4"/>
  <c r="AX670" i="4"/>
  <c r="AW670" i="4"/>
  <c r="AV670" i="4"/>
  <c r="AP670" i="4"/>
  <c r="AM670" i="4"/>
  <c r="BH670" i="4"/>
  <c r="AX669" i="4"/>
  <c r="AW669" i="4"/>
  <c r="AV669" i="4"/>
  <c r="AP669" i="4"/>
  <c r="AM669" i="4"/>
  <c r="BH669" i="4"/>
  <c r="AX668" i="4"/>
  <c r="AW668" i="4"/>
  <c r="AV668" i="4"/>
  <c r="AP668" i="4"/>
  <c r="AM668" i="4"/>
  <c r="AX667" i="4"/>
  <c r="AW667" i="4"/>
  <c r="AV667" i="4"/>
  <c r="AP667" i="4"/>
  <c r="AM667" i="4"/>
  <c r="BH667" i="4"/>
  <c r="AX666" i="4"/>
  <c r="AW666" i="4"/>
  <c r="AV666" i="4"/>
  <c r="AP666" i="4"/>
  <c r="AM666" i="4"/>
  <c r="BH666" i="4"/>
  <c r="AX665" i="4"/>
  <c r="AW665" i="4"/>
  <c r="AV665" i="4"/>
  <c r="AP665" i="4"/>
  <c r="AM665" i="4"/>
  <c r="AX664" i="4"/>
  <c r="AW664" i="4"/>
  <c r="AV664" i="4"/>
  <c r="AP664" i="4"/>
  <c r="AM664" i="4"/>
  <c r="BH664" i="4"/>
  <c r="AX663" i="4"/>
  <c r="AW663" i="4"/>
  <c r="AV663" i="4"/>
  <c r="AP663" i="4"/>
  <c r="AM663" i="4"/>
  <c r="AX662" i="4"/>
  <c r="AW662" i="4"/>
  <c r="AV662" i="4"/>
  <c r="AP662" i="4"/>
  <c r="AM662" i="4"/>
  <c r="BH662" i="4"/>
  <c r="AX661" i="4"/>
  <c r="AW661" i="4"/>
  <c r="AV661" i="4"/>
  <c r="AP661" i="4"/>
  <c r="AM661" i="4"/>
  <c r="BH661" i="4"/>
  <c r="AX660" i="4"/>
  <c r="AW660" i="4"/>
  <c r="AV660" i="4"/>
  <c r="AP660" i="4"/>
  <c r="AM660" i="4"/>
  <c r="AX659" i="4"/>
  <c r="AW659" i="4"/>
  <c r="AV659" i="4"/>
  <c r="AP659" i="4"/>
  <c r="AM659" i="4"/>
  <c r="BH659" i="4"/>
  <c r="AX658" i="4"/>
  <c r="AW658" i="4"/>
  <c r="AV658" i="4"/>
  <c r="AP658" i="4"/>
  <c r="AM658" i="4"/>
  <c r="BH658" i="4"/>
  <c r="AX657" i="4"/>
  <c r="AW657" i="4"/>
  <c r="AV657" i="4"/>
  <c r="AP657" i="4"/>
  <c r="AM657" i="4"/>
  <c r="AX656" i="4"/>
  <c r="AW656" i="4"/>
  <c r="AV656" i="4"/>
  <c r="AP656" i="4"/>
  <c r="AM656" i="4"/>
  <c r="BH656" i="4"/>
  <c r="AX655" i="4"/>
  <c r="AW655" i="4"/>
  <c r="AV655" i="4"/>
  <c r="AP655" i="4"/>
  <c r="AM655" i="4"/>
  <c r="AX654" i="4"/>
  <c r="AW654" i="4"/>
  <c r="AV654" i="4"/>
  <c r="AP654" i="4"/>
  <c r="AM654" i="4"/>
  <c r="BH654" i="4"/>
  <c r="AX653" i="4"/>
  <c r="AW653" i="4"/>
  <c r="AV653" i="4"/>
  <c r="AP653" i="4"/>
  <c r="AM653" i="4"/>
  <c r="BH653" i="4"/>
  <c r="AX652" i="4"/>
  <c r="AW652" i="4"/>
  <c r="AV652" i="4"/>
  <c r="AP652" i="4"/>
  <c r="AM652" i="4"/>
  <c r="AX651" i="4"/>
  <c r="AW651" i="4"/>
  <c r="AV651" i="4"/>
  <c r="AP651" i="4"/>
  <c r="AM651" i="4"/>
  <c r="BH651" i="4"/>
  <c r="AX650" i="4"/>
  <c r="AW650" i="4"/>
  <c r="AV650" i="4"/>
  <c r="AP650" i="4"/>
  <c r="AM650" i="4"/>
  <c r="BH650" i="4"/>
  <c r="AX649" i="4"/>
  <c r="AW649" i="4"/>
  <c r="AV649" i="4"/>
  <c r="AP649" i="4"/>
  <c r="AM649" i="4"/>
  <c r="AX648" i="4"/>
  <c r="AW648" i="4"/>
  <c r="AV648" i="4"/>
  <c r="AP648" i="4"/>
  <c r="AM648" i="4"/>
  <c r="BH648" i="4"/>
  <c r="AX647" i="4"/>
  <c r="AW647" i="4"/>
  <c r="AV647" i="4"/>
  <c r="AP647" i="4"/>
  <c r="AM647" i="4"/>
  <c r="BH647" i="4"/>
  <c r="AX646" i="4"/>
  <c r="AW646" i="4"/>
  <c r="AV646" i="4"/>
  <c r="AP646" i="4"/>
  <c r="AM646" i="4"/>
  <c r="BH646" i="4"/>
  <c r="AX645" i="4"/>
  <c r="AW645" i="4"/>
  <c r="AV645" i="4"/>
  <c r="AP645" i="4"/>
  <c r="AM645" i="4"/>
  <c r="BH645" i="4"/>
  <c r="AX644" i="4"/>
  <c r="AW644" i="4"/>
  <c r="AV644" i="4"/>
  <c r="AP644" i="4"/>
  <c r="AM644" i="4"/>
  <c r="AX643" i="4"/>
  <c r="AW643" i="4"/>
  <c r="AV643" i="4"/>
  <c r="AP643" i="4"/>
  <c r="AM643" i="4"/>
  <c r="BH643" i="4"/>
  <c r="AX642" i="4"/>
  <c r="AW642" i="4"/>
  <c r="AV642" i="4"/>
  <c r="AP642" i="4"/>
  <c r="AM642" i="4"/>
  <c r="BH642" i="4"/>
  <c r="AX641" i="4"/>
  <c r="AW641" i="4"/>
  <c r="AV641" i="4"/>
  <c r="AP641" i="4"/>
  <c r="AM641" i="4"/>
  <c r="AX640" i="4"/>
  <c r="AW640" i="4"/>
  <c r="AV640" i="4"/>
  <c r="AP640" i="4"/>
  <c r="AM640" i="4"/>
  <c r="BH640" i="4"/>
  <c r="AX639" i="4"/>
  <c r="AW639" i="4"/>
  <c r="AV639" i="4"/>
  <c r="AP639" i="4"/>
  <c r="AM639" i="4"/>
  <c r="BH639" i="4"/>
  <c r="AX638" i="4"/>
  <c r="AW638" i="4"/>
  <c r="AV638" i="4"/>
  <c r="AP638" i="4"/>
  <c r="AM638" i="4"/>
  <c r="BH638" i="4"/>
  <c r="AX637" i="4"/>
  <c r="AW637" i="4"/>
  <c r="AV637" i="4"/>
  <c r="AP637" i="4"/>
  <c r="AM637" i="4"/>
  <c r="BH637" i="4"/>
  <c r="AX636" i="4"/>
  <c r="AW636" i="4"/>
  <c r="AV636" i="4"/>
  <c r="AP636" i="4"/>
  <c r="AM636" i="4"/>
  <c r="AX635" i="4"/>
  <c r="AW635" i="4"/>
  <c r="AV635" i="4"/>
  <c r="AP635" i="4"/>
  <c r="AM635" i="4"/>
  <c r="BH635" i="4"/>
  <c r="AX634" i="4"/>
  <c r="AW634" i="4"/>
  <c r="AV634" i="4"/>
  <c r="AP634" i="4"/>
  <c r="AM634" i="4"/>
  <c r="BH634" i="4"/>
  <c r="AX633" i="4"/>
  <c r="AW633" i="4"/>
  <c r="AV633" i="4"/>
  <c r="AP633" i="4"/>
  <c r="AM633" i="4"/>
  <c r="AX632" i="4"/>
  <c r="AW632" i="4"/>
  <c r="AV632" i="4"/>
  <c r="AP632" i="4"/>
  <c r="AM632" i="4"/>
  <c r="BH632" i="4"/>
  <c r="AX631" i="4"/>
  <c r="AW631" i="4"/>
  <c r="AV631" i="4"/>
  <c r="AP631" i="4"/>
  <c r="AM631" i="4"/>
  <c r="BH631" i="4"/>
  <c r="AX630" i="4"/>
  <c r="AW630" i="4"/>
  <c r="AV630" i="4"/>
  <c r="AP630" i="4"/>
  <c r="AM630" i="4"/>
  <c r="BH630" i="4"/>
  <c r="AX629" i="4"/>
  <c r="AW629" i="4"/>
  <c r="AV629" i="4"/>
  <c r="AP629" i="4"/>
  <c r="AM629" i="4"/>
  <c r="BH629" i="4"/>
  <c r="AX628" i="4"/>
  <c r="AW628" i="4"/>
  <c r="AV628" i="4"/>
  <c r="AP628" i="4"/>
  <c r="AM628" i="4"/>
  <c r="AX627" i="4"/>
  <c r="AW627" i="4"/>
  <c r="AV627" i="4"/>
  <c r="AP627" i="4"/>
  <c r="AM627" i="4"/>
  <c r="BH627" i="4"/>
  <c r="AX626" i="4"/>
  <c r="AW626" i="4"/>
  <c r="AV626" i="4"/>
  <c r="AP626" i="4"/>
  <c r="AM626" i="4"/>
  <c r="BH626" i="4"/>
  <c r="AX625" i="4"/>
  <c r="AW625" i="4"/>
  <c r="AV625" i="4"/>
  <c r="AP625" i="4"/>
  <c r="AM625" i="4"/>
  <c r="AX624" i="4"/>
  <c r="AW624" i="4"/>
  <c r="AV624" i="4"/>
  <c r="AP624" i="4"/>
  <c r="AM624" i="4"/>
  <c r="BH624" i="4"/>
  <c r="AX623" i="4"/>
  <c r="AW623" i="4"/>
  <c r="AV623" i="4"/>
  <c r="AP623" i="4"/>
  <c r="AM623" i="4"/>
  <c r="BH623" i="4"/>
  <c r="AX622" i="4"/>
  <c r="AW622" i="4"/>
  <c r="AV622" i="4"/>
  <c r="AP622" i="4"/>
  <c r="AM622" i="4"/>
  <c r="BH622" i="4"/>
  <c r="AX621" i="4"/>
  <c r="AW621" i="4"/>
  <c r="AV621" i="4"/>
  <c r="AP621" i="4"/>
  <c r="AM621" i="4"/>
  <c r="BH621" i="4"/>
  <c r="AX620" i="4"/>
  <c r="AW620" i="4"/>
  <c r="AV620" i="4"/>
  <c r="AP620" i="4"/>
  <c r="AM620" i="4"/>
  <c r="AX619" i="4"/>
  <c r="AW619" i="4"/>
  <c r="AV619" i="4"/>
  <c r="AP619" i="4"/>
  <c r="AM619" i="4"/>
  <c r="BH619" i="4"/>
  <c r="AX618" i="4"/>
  <c r="AW618" i="4"/>
  <c r="AV618" i="4"/>
  <c r="AP618" i="4"/>
  <c r="AM618" i="4"/>
  <c r="BH618" i="4"/>
  <c r="AX617" i="4"/>
  <c r="AW617" i="4"/>
  <c r="AV617" i="4"/>
  <c r="AP617" i="4"/>
  <c r="AM617" i="4"/>
  <c r="AX616" i="4"/>
  <c r="AW616" i="4"/>
  <c r="AV616" i="4"/>
  <c r="AP616" i="4"/>
  <c r="AM616" i="4"/>
  <c r="BH616" i="4"/>
  <c r="AX615" i="4"/>
  <c r="AW615" i="4"/>
  <c r="AV615" i="4"/>
  <c r="AP615" i="4"/>
  <c r="AM615" i="4"/>
  <c r="BH615" i="4"/>
  <c r="AX614" i="4"/>
  <c r="AW614" i="4"/>
  <c r="AV614" i="4"/>
  <c r="AP614" i="4"/>
  <c r="AM614" i="4"/>
  <c r="BH614" i="4"/>
  <c r="AX613" i="4"/>
  <c r="AW613" i="4"/>
  <c r="AV613" i="4"/>
  <c r="AP613" i="4"/>
  <c r="AM613" i="4"/>
  <c r="BH613" i="4"/>
  <c r="AX612" i="4"/>
  <c r="AW612" i="4"/>
  <c r="AV612" i="4"/>
  <c r="AP612" i="4"/>
  <c r="AM612" i="4"/>
  <c r="AX611" i="4"/>
  <c r="AW611" i="4"/>
  <c r="AV611" i="4"/>
  <c r="AP611" i="4"/>
  <c r="AM611" i="4"/>
  <c r="BH611" i="4"/>
  <c r="AX610" i="4"/>
  <c r="AW610" i="4"/>
  <c r="AV610" i="4"/>
  <c r="AP610" i="4"/>
  <c r="AM610" i="4"/>
  <c r="BH610" i="4"/>
  <c r="AX609" i="4"/>
  <c r="AW609" i="4"/>
  <c r="AV609" i="4"/>
  <c r="AP609" i="4"/>
  <c r="AM609" i="4"/>
  <c r="AX608" i="4"/>
  <c r="AW608" i="4"/>
  <c r="AV608" i="4"/>
  <c r="AP608" i="4"/>
  <c r="AM608" i="4"/>
  <c r="BH608" i="4"/>
  <c r="AX607" i="4"/>
  <c r="AW607" i="4"/>
  <c r="AV607" i="4"/>
  <c r="AP607" i="4"/>
  <c r="AM607" i="4"/>
  <c r="BH607" i="4"/>
  <c r="AX606" i="4"/>
  <c r="AW606" i="4"/>
  <c r="AV606" i="4"/>
  <c r="AP606" i="4"/>
  <c r="AM606" i="4"/>
  <c r="BH606" i="4"/>
  <c r="AX605" i="4"/>
  <c r="AW605" i="4"/>
  <c r="AV605" i="4"/>
  <c r="AP605" i="4"/>
  <c r="AM605" i="4"/>
  <c r="BH605" i="4"/>
  <c r="AX604" i="4"/>
  <c r="AW604" i="4"/>
  <c r="AV604" i="4"/>
  <c r="AP604" i="4"/>
  <c r="AM604" i="4"/>
  <c r="AX603" i="4"/>
  <c r="AW603" i="4"/>
  <c r="AV603" i="4"/>
  <c r="AP603" i="4"/>
  <c r="AM603" i="4"/>
  <c r="BH603" i="4"/>
  <c r="AX602" i="4"/>
  <c r="AW602" i="4"/>
  <c r="AV602" i="4"/>
  <c r="AP602" i="4"/>
  <c r="AM602" i="4"/>
  <c r="BH602" i="4"/>
  <c r="AX601" i="4"/>
  <c r="AW601" i="4"/>
  <c r="AV601" i="4"/>
  <c r="AP601" i="4"/>
  <c r="AM601" i="4"/>
  <c r="AX600" i="4"/>
  <c r="AW600" i="4"/>
  <c r="AV600" i="4"/>
  <c r="AP600" i="4"/>
  <c r="AM600" i="4"/>
  <c r="BH600" i="4"/>
  <c r="AX599" i="4"/>
  <c r="AW599" i="4"/>
  <c r="AV599" i="4"/>
  <c r="AP599" i="4"/>
  <c r="AM599" i="4"/>
  <c r="BH599" i="4"/>
  <c r="AX598" i="4"/>
  <c r="AW598" i="4"/>
  <c r="AV598" i="4"/>
  <c r="AP598" i="4"/>
  <c r="AM598" i="4"/>
  <c r="BH598" i="4"/>
  <c r="AX597" i="4"/>
  <c r="AW597" i="4"/>
  <c r="AV597" i="4"/>
  <c r="AP597" i="4"/>
  <c r="AM597" i="4"/>
  <c r="BH597" i="4"/>
  <c r="AX596" i="4"/>
  <c r="AW596" i="4"/>
  <c r="AV596" i="4"/>
  <c r="AP596" i="4"/>
  <c r="AM596" i="4"/>
  <c r="AX595" i="4"/>
  <c r="AW595" i="4"/>
  <c r="AV595" i="4"/>
  <c r="AP595" i="4"/>
  <c r="AM595" i="4"/>
  <c r="BH595" i="4"/>
  <c r="AX594" i="4"/>
  <c r="AW594" i="4"/>
  <c r="AV594" i="4"/>
  <c r="AP594" i="4"/>
  <c r="AM594" i="4"/>
  <c r="BH594" i="4"/>
  <c r="AX593" i="4"/>
  <c r="AW593" i="4"/>
  <c r="AV593" i="4"/>
  <c r="AP593" i="4"/>
  <c r="AM593" i="4"/>
  <c r="AX592" i="4"/>
  <c r="AW592" i="4"/>
  <c r="AV592" i="4"/>
  <c r="AP592" i="4"/>
  <c r="AM592" i="4"/>
  <c r="BH592" i="4"/>
  <c r="AX591" i="4"/>
  <c r="AW591" i="4"/>
  <c r="AV591" i="4"/>
  <c r="AP591" i="4"/>
  <c r="AM591" i="4"/>
  <c r="BH591" i="4"/>
  <c r="AX590" i="4"/>
  <c r="AW590" i="4"/>
  <c r="AV590" i="4"/>
  <c r="AP590" i="4"/>
  <c r="AM590" i="4"/>
  <c r="BH590" i="4"/>
  <c r="AX589" i="4"/>
  <c r="AW589" i="4"/>
  <c r="AV589" i="4"/>
  <c r="AP589" i="4"/>
  <c r="AM589" i="4"/>
  <c r="BH589" i="4"/>
  <c r="AX588" i="4"/>
  <c r="AW588" i="4"/>
  <c r="AV588" i="4"/>
  <c r="AP588" i="4"/>
  <c r="AM588" i="4"/>
  <c r="AX587" i="4"/>
  <c r="AW587" i="4"/>
  <c r="AV587" i="4"/>
  <c r="AP587" i="4"/>
  <c r="AM587" i="4"/>
  <c r="BH587" i="4"/>
  <c r="AX586" i="4"/>
  <c r="AW586" i="4"/>
  <c r="AV586" i="4"/>
  <c r="AP586" i="4"/>
  <c r="AM586" i="4"/>
  <c r="BH586" i="4"/>
  <c r="AX585" i="4"/>
  <c r="AW585" i="4"/>
  <c r="AV585" i="4"/>
  <c r="AP585" i="4"/>
  <c r="AM585" i="4"/>
  <c r="AX584" i="4"/>
  <c r="AW584" i="4"/>
  <c r="AV584" i="4"/>
  <c r="AP584" i="4"/>
  <c r="AM584" i="4"/>
  <c r="BH584" i="4"/>
  <c r="AX583" i="4"/>
  <c r="AW583" i="4"/>
  <c r="AV583" i="4"/>
  <c r="AP583" i="4"/>
  <c r="AM583" i="4"/>
  <c r="BH583" i="4"/>
  <c r="AX582" i="4"/>
  <c r="AW582" i="4"/>
  <c r="AV582" i="4"/>
  <c r="AP582" i="4"/>
  <c r="AM582" i="4"/>
  <c r="BH582" i="4"/>
  <c r="AX581" i="4"/>
  <c r="AW581" i="4"/>
  <c r="AV581" i="4"/>
  <c r="AP581" i="4"/>
  <c r="AM581" i="4"/>
  <c r="BH581" i="4"/>
  <c r="AX580" i="4"/>
  <c r="AW580" i="4"/>
  <c r="AV580" i="4"/>
  <c r="AP580" i="4"/>
  <c r="AM580" i="4"/>
  <c r="AX579" i="4"/>
  <c r="AW579" i="4"/>
  <c r="AV579" i="4"/>
  <c r="AP579" i="4"/>
  <c r="AM579" i="4"/>
  <c r="BH579" i="4"/>
  <c r="AX578" i="4"/>
  <c r="AW578" i="4"/>
  <c r="AV578" i="4"/>
  <c r="AP578" i="4"/>
  <c r="AM578" i="4"/>
  <c r="BH578" i="4"/>
  <c r="AX577" i="4"/>
  <c r="AW577" i="4"/>
  <c r="AV577" i="4"/>
  <c r="AP577" i="4"/>
  <c r="AM577" i="4"/>
  <c r="AX576" i="4"/>
  <c r="AW576" i="4"/>
  <c r="AV576" i="4"/>
  <c r="AP576" i="4"/>
  <c r="AM576" i="4"/>
  <c r="BH576" i="4"/>
  <c r="AX575" i="4"/>
  <c r="AW575" i="4"/>
  <c r="AV575" i="4"/>
  <c r="AP575" i="4"/>
  <c r="AM575" i="4"/>
  <c r="BH575" i="4"/>
  <c r="AX574" i="4"/>
  <c r="AW574" i="4"/>
  <c r="AV574" i="4"/>
  <c r="AP574" i="4"/>
  <c r="AM574" i="4"/>
  <c r="BH574" i="4"/>
  <c r="AX573" i="4"/>
  <c r="AW573" i="4"/>
  <c r="AV573" i="4"/>
  <c r="AP573" i="4"/>
  <c r="AM573" i="4"/>
  <c r="BH573" i="4"/>
  <c r="AX572" i="4"/>
  <c r="AW572" i="4"/>
  <c r="AV572" i="4"/>
  <c r="AP572" i="4"/>
  <c r="AM572" i="4"/>
  <c r="AX571" i="4"/>
  <c r="AW571" i="4"/>
  <c r="AV571" i="4"/>
  <c r="AP571" i="4"/>
  <c r="AM571" i="4"/>
  <c r="BH571" i="4"/>
  <c r="AX570" i="4"/>
  <c r="AW570" i="4"/>
  <c r="AV570" i="4"/>
  <c r="AP570" i="4"/>
  <c r="AM570" i="4"/>
  <c r="BH570" i="4"/>
  <c r="AX569" i="4"/>
  <c r="AW569" i="4"/>
  <c r="AV569" i="4"/>
  <c r="AP569" i="4"/>
  <c r="AM569" i="4"/>
  <c r="AX568" i="4"/>
  <c r="AW568" i="4"/>
  <c r="AV568" i="4"/>
  <c r="AP568" i="4"/>
  <c r="AM568" i="4"/>
  <c r="BH568" i="4"/>
  <c r="AX567" i="4"/>
  <c r="AW567" i="4"/>
  <c r="AV567" i="4"/>
  <c r="AP567" i="4"/>
  <c r="AM567" i="4"/>
  <c r="BH567" i="4"/>
  <c r="AX566" i="4"/>
  <c r="AW566" i="4"/>
  <c r="AV566" i="4"/>
  <c r="AP566" i="4"/>
  <c r="AM566" i="4"/>
  <c r="BH566" i="4"/>
  <c r="AX565" i="4"/>
  <c r="AW565" i="4"/>
  <c r="AV565" i="4"/>
  <c r="AP565" i="4"/>
  <c r="AM565" i="4"/>
  <c r="BH565" i="4"/>
  <c r="AX564" i="4"/>
  <c r="AW564" i="4"/>
  <c r="AV564" i="4"/>
  <c r="AP564" i="4"/>
  <c r="AM564" i="4"/>
  <c r="AX563" i="4"/>
  <c r="AW563" i="4"/>
  <c r="AV563" i="4"/>
  <c r="AP563" i="4"/>
  <c r="AM563" i="4"/>
  <c r="BH563" i="4"/>
  <c r="AX562" i="4"/>
  <c r="AW562" i="4"/>
  <c r="AV562" i="4"/>
  <c r="AP562" i="4"/>
  <c r="AM562" i="4"/>
  <c r="BH562" i="4"/>
  <c r="AX561" i="4"/>
  <c r="AW561" i="4"/>
  <c r="AV561" i="4"/>
  <c r="AP561" i="4"/>
  <c r="AM561" i="4"/>
  <c r="AX560" i="4"/>
  <c r="AW560" i="4"/>
  <c r="AV560" i="4"/>
  <c r="AP560" i="4"/>
  <c r="AM560" i="4"/>
  <c r="BH560" i="4"/>
  <c r="AX559" i="4"/>
  <c r="AW559" i="4"/>
  <c r="AV559" i="4"/>
  <c r="AP559" i="4"/>
  <c r="AM559" i="4"/>
  <c r="BH559" i="4"/>
  <c r="AX558" i="4"/>
  <c r="AW558" i="4"/>
  <c r="AV558" i="4"/>
  <c r="AP558" i="4"/>
  <c r="AM558" i="4"/>
  <c r="BH558" i="4"/>
  <c r="AX557" i="4"/>
  <c r="AW557" i="4"/>
  <c r="AV557" i="4"/>
  <c r="AP557" i="4"/>
  <c r="AM557" i="4"/>
  <c r="BH557" i="4"/>
  <c r="AX556" i="4"/>
  <c r="AW556" i="4"/>
  <c r="AV556" i="4"/>
  <c r="AP556" i="4"/>
  <c r="AM556" i="4"/>
  <c r="AX555" i="4"/>
  <c r="AW555" i="4"/>
  <c r="AV555" i="4"/>
  <c r="AP555" i="4"/>
  <c r="AM555" i="4"/>
  <c r="BH555" i="4"/>
  <c r="AX554" i="4"/>
  <c r="AW554" i="4"/>
  <c r="AV554" i="4"/>
  <c r="AP554" i="4"/>
  <c r="AM554" i="4"/>
  <c r="BH554" i="4"/>
  <c r="AX553" i="4"/>
  <c r="AW553" i="4"/>
  <c r="AV553" i="4"/>
  <c r="AP553" i="4"/>
  <c r="AM553" i="4"/>
  <c r="AX552" i="4"/>
  <c r="AW552" i="4"/>
  <c r="AV552" i="4"/>
  <c r="AP552" i="4"/>
  <c r="AM552" i="4"/>
  <c r="BH552" i="4"/>
  <c r="AX551" i="4"/>
  <c r="AW551" i="4"/>
  <c r="AV551" i="4"/>
  <c r="AP551" i="4"/>
  <c r="AM551" i="4"/>
  <c r="BH551" i="4"/>
  <c r="AX550" i="4"/>
  <c r="AW550" i="4"/>
  <c r="AV550" i="4"/>
  <c r="AP550" i="4"/>
  <c r="AM550" i="4"/>
  <c r="BH550" i="4"/>
  <c r="AX549" i="4"/>
  <c r="AW549" i="4"/>
  <c r="AV549" i="4"/>
  <c r="AP549" i="4"/>
  <c r="AM549" i="4"/>
  <c r="BH549" i="4"/>
  <c r="AX548" i="4"/>
  <c r="AW548" i="4"/>
  <c r="AV548" i="4"/>
  <c r="AP548" i="4"/>
  <c r="AM548" i="4"/>
  <c r="AX547" i="4"/>
  <c r="AW547" i="4"/>
  <c r="AV547" i="4"/>
  <c r="AP547" i="4"/>
  <c r="AM547" i="4"/>
  <c r="BH547" i="4"/>
  <c r="AX546" i="4"/>
  <c r="AW546" i="4"/>
  <c r="AV546" i="4"/>
  <c r="AP546" i="4"/>
  <c r="AM546" i="4"/>
  <c r="BH546" i="4"/>
  <c r="AX545" i="4"/>
  <c r="AW545" i="4"/>
  <c r="AV545" i="4"/>
  <c r="AP545" i="4"/>
  <c r="AM545" i="4"/>
  <c r="AX544" i="4"/>
  <c r="AW544" i="4"/>
  <c r="AV544" i="4"/>
  <c r="AP544" i="4"/>
  <c r="AM544" i="4"/>
  <c r="BH544" i="4"/>
  <c r="AX543" i="4"/>
  <c r="AW543" i="4"/>
  <c r="AV543" i="4"/>
  <c r="AP543" i="4"/>
  <c r="AM543" i="4"/>
  <c r="BH543" i="4"/>
  <c r="AX542" i="4"/>
  <c r="AW542" i="4"/>
  <c r="AV542" i="4"/>
  <c r="AP542" i="4"/>
  <c r="AM542" i="4"/>
  <c r="BH542" i="4"/>
  <c r="AX541" i="4"/>
  <c r="AW541" i="4"/>
  <c r="AV541" i="4"/>
  <c r="AP541" i="4"/>
  <c r="AM541" i="4"/>
  <c r="BH541" i="4"/>
  <c r="AX540" i="4"/>
  <c r="AW540" i="4"/>
  <c r="AV540" i="4"/>
  <c r="AP540" i="4"/>
  <c r="AM540" i="4"/>
  <c r="AX539" i="4"/>
  <c r="AW539" i="4"/>
  <c r="AV539" i="4"/>
  <c r="AP539" i="4"/>
  <c r="AM539" i="4"/>
  <c r="BH539" i="4"/>
  <c r="AX538" i="4"/>
  <c r="AW538" i="4"/>
  <c r="AV538" i="4"/>
  <c r="AP538" i="4"/>
  <c r="AM538" i="4"/>
  <c r="BH538" i="4"/>
  <c r="AX537" i="4"/>
  <c r="AW537" i="4"/>
  <c r="AV537" i="4"/>
  <c r="AP537" i="4"/>
  <c r="AM537" i="4"/>
  <c r="AX536" i="4"/>
  <c r="AW536" i="4"/>
  <c r="AV536" i="4"/>
  <c r="AP536" i="4"/>
  <c r="AM536" i="4"/>
  <c r="BH536" i="4"/>
  <c r="AX535" i="4"/>
  <c r="AW535" i="4"/>
  <c r="AV535" i="4"/>
  <c r="AP535" i="4"/>
  <c r="AM535" i="4"/>
  <c r="BH535" i="4"/>
  <c r="AX534" i="4"/>
  <c r="AW534" i="4"/>
  <c r="AV534" i="4"/>
  <c r="AP534" i="4"/>
  <c r="AM534" i="4"/>
  <c r="BH534" i="4"/>
  <c r="AX533" i="4"/>
  <c r="AW533" i="4"/>
  <c r="AV533" i="4"/>
  <c r="AP533" i="4"/>
  <c r="AM533" i="4"/>
  <c r="BH533" i="4"/>
  <c r="AX532" i="4"/>
  <c r="AW532" i="4"/>
  <c r="AV532" i="4"/>
  <c r="AP532" i="4"/>
  <c r="AM532" i="4"/>
  <c r="AX531" i="4"/>
  <c r="AW531" i="4"/>
  <c r="AV531" i="4"/>
  <c r="AP531" i="4"/>
  <c r="AM531" i="4"/>
  <c r="BH531" i="4"/>
  <c r="AX530" i="4"/>
  <c r="AW530" i="4"/>
  <c r="AV530" i="4"/>
  <c r="AP530" i="4"/>
  <c r="AM530" i="4"/>
  <c r="BH530" i="4"/>
  <c r="AX529" i="4"/>
  <c r="AW529" i="4"/>
  <c r="AV529" i="4"/>
  <c r="AP529" i="4"/>
  <c r="AM529" i="4"/>
  <c r="AX528" i="4"/>
  <c r="AW528" i="4"/>
  <c r="AV528" i="4"/>
  <c r="AP528" i="4"/>
  <c r="AM528" i="4"/>
  <c r="BH528" i="4"/>
  <c r="AX527" i="4"/>
  <c r="AW527" i="4"/>
  <c r="AV527" i="4"/>
  <c r="AP527" i="4"/>
  <c r="AM527" i="4"/>
  <c r="BH527" i="4"/>
  <c r="AX526" i="4"/>
  <c r="AW526" i="4"/>
  <c r="AV526" i="4"/>
  <c r="AP526" i="4"/>
  <c r="AM526" i="4"/>
  <c r="BH526" i="4"/>
  <c r="AX525" i="4"/>
  <c r="AW525" i="4"/>
  <c r="AV525" i="4"/>
  <c r="AP525" i="4"/>
  <c r="AM525" i="4"/>
  <c r="BH525" i="4"/>
  <c r="AX524" i="4"/>
  <c r="AW524" i="4"/>
  <c r="AV524" i="4"/>
  <c r="AP524" i="4"/>
  <c r="AM524" i="4"/>
  <c r="AX523" i="4"/>
  <c r="AW523" i="4"/>
  <c r="AV523" i="4"/>
  <c r="AP523" i="4"/>
  <c r="AM523" i="4"/>
  <c r="BH523" i="4"/>
  <c r="AX522" i="4"/>
  <c r="AW522" i="4"/>
  <c r="AV522" i="4"/>
  <c r="AP522" i="4"/>
  <c r="AM522" i="4"/>
  <c r="BH522" i="4"/>
  <c r="AX521" i="4"/>
  <c r="AW521" i="4"/>
  <c r="AV521" i="4"/>
  <c r="AP521" i="4"/>
  <c r="AM521" i="4"/>
  <c r="AX520" i="4"/>
  <c r="AW520" i="4"/>
  <c r="AV520" i="4"/>
  <c r="AP520" i="4"/>
  <c r="AM520" i="4"/>
  <c r="BH520" i="4"/>
  <c r="AX519" i="4"/>
  <c r="AW519" i="4"/>
  <c r="AV519" i="4"/>
  <c r="AP519" i="4"/>
  <c r="AM519" i="4"/>
  <c r="BH519" i="4"/>
  <c r="AX518" i="4"/>
  <c r="AW518" i="4"/>
  <c r="AV518" i="4"/>
  <c r="AP518" i="4"/>
  <c r="AM518" i="4"/>
  <c r="BH518" i="4"/>
  <c r="AX517" i="4"/>
  <c r="AW517" i="4"/>
  <c r="AV517" i="4"/>
  <c r="AP517" i="4"/>
  <c r="AM517" i="4"/>
  <c r="BH517" i="4"/>
  <c r="AX516" i="4"/>
  <c r="AW516" i="4"/>
  <c r="AV516" i="4"/>
  <c r="AP516" i="4"/>
  <c r="AM516" i="4"/>
  <c r="AX515" i="4"/>
  <c r="AW515" i="4"/>
  <c r="AV515" i="4"/>
  <c r="AP515" i="4"/>
  <c r="AM515" i="4"/>
  <c r="BH515" i="4"/>
  <c r="AX514" i="4"/>
  <c r="AW514" i="4"/>
  <c r="AV514" i="4"/>
  <c r="AP514" i="4"/>
  <c r="AM514" i="4"/>
  <c r="BH514" i="4"/>
  <c r="AX513" i="4"/>
  <c r="AW513" i="4"/>
  <c r="AV513" i="4"/>
  <c r="AP513" i="4"/>
  <c r="AM513" i="4"/>
  <c r="AX512" i="4"/>
  <c r="AW512" i="4"/>
  <c r="AV512" i="4"/>
  <c r="AP512" i="4"/>
  <c r="AM512" i="4"/>
  <c r="BH512" i="4"/>
  <c r="AX511" i="4"/>
  <c r="AW511" i="4"/>
  <c r="AV511" i="4"/>
  <c r="AP511" i="4"/>
  <c r="AM511" i="4"/>
  <c r="BH511" i="4"/>
  <c r="AX510" i="4"/>
  <c r="AW510" i="4"/>
  <c r="AV510" i="4"/>
  <c r="AP510" i="4"/>
  <c r="AM510" i="4"/>
  <c r="BH510" i="4"/>
  <c r="AX509" i="4"/>
  <c r="AW509" i="4"/>
  <c r="AV509" i="4"/>
  <c r="AP509" i="4"/>
  <c r="AM509" i="4"/>
  <c r="BH509" i="4"/>
  <c r="AX508" i="4"/>
  <c r="AW508" i="4"/>
  <c r="AV508" i="4"/>
  <c r="AP508" i="4"/>
  <c r="AM508" i="4"/>
  <c r="AX507" i="4"/>
  <c r="AW507" i="4"/>
  <c r="AV507" i="4"/>
  <c r="AP507" i="4"/>
  <c r="AM507" i="4"/>
  <c r="BH507" i="4"/>
  <c r="AX506" i="4"/>
  <c r="AW506" i="4"/>
  <c r="AV506" i="4"/>
  <c r="AP506" i="4"/>
  <c r="AM506" i="4"/>
  <c r="BH506" i="4"/>
  <c r="AX505" i="4"/>
  <c r="AW505" i="4"/>
  <c r="AV505" i="4"/>
  <c r="AP505" i="4"/>
  <c r="AM505" i="4"/>
  <c r="AX504" i="4"/>
  <c r="AW504" i="4"/>
  <c r="AV504" i="4"/>
  <c r="AP504" i="4"/>
  <c r="AM504" i="4"/>
  <c r="BH504" i="4"/>
  <c r="AX503" i="4"/>
  <c r="AW503" i="4"/>
  <c r="AV503" i="4"/>
  <c r="AP503" i="4"/>
  <c r="AM503" i="4"/>
  <c r="BH503" i="4"/>
  <c r="AX502" i="4"/>
  <c r="AW502" i="4"/>
  <c r="AV502" i="4"/>
  <c r="AP502" i="4"/>
  <c r="AM502" i="4"/>
  <c r="BH502" i="4"/>
  <c r="AX501" i="4"/>
  <c r="AW501" i="4"/>
  <c r="AV501" i="4"/>
  <c r="AP501" i="4"/>
  <c r="AM501" i="4"/>
  <c r="BH501" i="4"/>
  <c r="AX500" i="4"/>
  <c r="AW500" i="4"/>
  <c r="AV500" i="4"/>
  <c r="AP500" i="4"/>
  <c r="AM500" i="4"/>
  <c r="AX499" i="4"/>
  <c r="AW499" i="4"/>
  <c r="AV499" i="4"/>
  <c r="AP499" i="4"/>
  <c r="AM499" i="4"/>
  <c r="AX498" i="4"/>
  <c r="AW498" i="4"/>
  <c r="AV498" i="4"/>
  <c r="AP498" i="4"/>
  <c r="AM498" i="4"/>
  <c r="BH498" i="4"/>
  <c r="AX497" i="4"/>
  <c r="AW497" i="4"/>
  <c r="AV497" i="4"/>
  <c r="AP497" i="4"/>
  <c r="AM497" i="4"/>
  <c r="AX496" i="4"/>
  <c r="AW496" i="4"/>
  <c r="AV496" i="4"/>
  <c r="AP496" i="4"/>
  <c r="AM496" i="4"/>
  <c r="BH496" i="4"/>
  <c r="AX495" i="4"/>
  <c r="AW495" i="4"/>
  <c r="AV495" i="4"/>
  <c r="AP495" i="4"/>
  <c r="AM495" i="4"/>
  <c r="BH495" i="4"/>
  <c r="AX494" i="4"/>
  <c r="AW494" i="4"/>
  <c r="AV494" i="4"/>
  <c r="AP494" i="4"/>
  <c r="AM494" i="4"/>
  <c r="AX493" i="4"/>
  <c r="AW493" i="4"/>
  <c r="AV493" i="4"/>
  <c r="AP493" i="4"/>
  <c r="AM493" i="4"/>
  <c r="BH493" i="4"/>
  <c r="AX492" i="4"/>
  <c r="AW492" i="4"/>
  <c r="AV492" i="4"/>
  <c r="AP492" i="4"/>
  <c r="AM492" i="4"/>
  <c r="AX491" i="4"/>
  <c r="AW491" i="4"/>
  <c r="AV491" i="4"/>
  <c r="AP491" i="4"/>
  <c r="AM491" i="4"/>
  <c r="AX490" i="4"/>
  <c r="AW490" i="4"/>
  <c r="AV490" i="4"/>
  <c r="AP490" i="4"/>
  <c r="AM490" i="4"/>
  <c r="BH490" i="4"/>
  <c r="AX489" i="4"/>
  <c r="AW489" i="4"/>
  <c r="AV489" i="4"/>
  <c r="AP489" i="4"/>
  <c r="AM489" i="4"/>
  <c r="AX488" i="4"/>
  <c r="AW488" i="4"/>
  <c r="AV488" i="4"/>
  <c r="AP488" i="4"/>
  <c r="AM488" i="4"/>
  <c r="BH488" i="4"/>
  <c r="AX487" i="4"/>
  <c r="AW487" i="4"/>
  <c r="AV487" i="4"/>
  <c r="AP487" i="4"/>
  <c r="AM487" i="4"/>
  <c r="BH487" i="4"/>
  <c r="AX486" i="4"/>
  <c r="AW486" i="4"/>
  <c r="AV486" i="4"/>
  <c r="AP486" i="4"/>
  <c r="AM486" i="4"/>
  <c r="AX485" i="4"/>
  <c r="AW485" i="4"/>
  <c r="AV485" i="4"/>
  <c r="AP485" i="4"/>
  <c r="AM485" i="4"/>
  <c r="BH485" i="4"/>
  <c r="AX484" i="4"/>
  <c r="AW484" i="4"/>
  <c r="AV484" i="4"/>
  <c r="AP484" i="4"/>
  <c r="AM484" i="4"/>
  <c r="BH484" i="4"/>
  <c r="AX483" i="4"/>
  <c r="AW483" i="4"/>
  <c r="AV483" i="4"/>
  <c r="AP483" i="4"/>
  <c r="AM483" i="4"/>
  <c r="AX482" i="4"/>
  <c r="AW482" i="4"/>
  <c r="AV482" i="4"/>
  <c r="AP482" i="4"/>
  <c r="AM482" i="4"/>
  <c r="BH482" i="4"/>
  <c r="AX481" i="4"/>
  <c r="AW481" i="4"/>
  <c r="AV481" i="4"/>
  <c r="AP481" i="4"/>
  <c r="AM481" i="4"/>
  <c r="BH481" i="4"/>
  <c r="AX480" i="4"/>
  <c r="AW480" i="4"/>
  <c r="AV480" i="4"/>
  <c r="AP480" i="4"/>
  <c r="AM480" i="4"/>
  <c r="BH480" i="4"/>
  <c r="AX479" i="4"/>
  <c r="AW479" i="4"/>
  <c r="AV479" i="4"/>
  <c r="AP479" i="4"/>
  <c r="AM479" i="4"/>
  <c r="BH479" i="4"/>
  <c r="AX478" i="4"/>
  <c r="AW478" i="4"/>
  <c r="AV478" i="4"/>
  <c r="AP478" i="4"/>
  <c r="AM478" i="4"/>
  <c r="AX477" i="4"/>
  <c r="AW477" i="4"/>
  <c r="AV477" i="4"/>
  <c r="AP477" i="4"/>
  <c r="AM477" i="4"/>
  <c r="BH477" i="4"/>
  <c r="AX476" i="4"/>
  <c r="AW476" i="4"/>
  <c r="AV476" i="4"/>
  <c r="AP476" i="4"/>
  <c r="AM476" i="4"/>
  <c r="BH476" i="4"/>
  <c r="AX475" i="4"/>
  <c r="AW475" i="4"/>
  <c r="AV475" i="4"/>
  <c r="AP475" i="4"/>
  <c r="AM475" i="4"/>
  <c r="AX474" i="4"/>
  <c r="AW474" i="4"/>
  <c r="AV474" i="4"/>
  <c r="AP474" i="4"/>
  <c r="AM474" i="4"/>
  <c r="BH474" i="4"/>
  <c r="AX473" i="4"/>
  <c r="AW473" i="4"/>
  <c r="AV473" i="4"/>
  <c r="AP473" i="4"/>
  <c r="AM473" i="4"/>
  <c r="BH473" i="4"/>
  <c r="AX472" i="4"/>
  <c r="AW472" i="4"/>
  <c r="AV472" i="4"/>
  <c r="AP472" i="4"/>
  <c r="AM472" i="4"/>
  <c r="BH472" i="4"/>
  <c r="AX471" i="4"/>
  <c r="AW471" i="4"/>
  <c r="AV471" i="4"/>
  <c r="AP471" i="4"/>
  <c r="AM471" i="4"/>
  <c r="BH471" i="4"/>
  <c r="AX470" i="4"/>
  <c r="AW470" i="4"/>
  <c r="AV470" i="4"/>
  <c r="AP470" i="4"/>
  <c r="AM470" i="4"/>
  <c r="AX469" i="4"/>
  <c r="AW469" i="4"/>
  <c r="AV469" i="4"/>
  <c r="AP469" i="4"/>
  <c r="AM469" i="4"/>
  <c r="BH469" i="4"/>
  <c r="AX468" i="4"/>
  <c r="AW468" i="4"/>
  <c r="AV468" i="4"/>
  <c r="AP468" i="4"/>
  <c r="AM468" i="4"/>
  <c r="BH468" i="4"/>
  <c r="AX467" i="4"/>
  <c r="AW467" i="4"/>
  <c r="AV467" i="4"/>
  <c r="AP467" i="4"/>
  <c r="AM467" i="4"/>
  <c r="AX466" i="4"/>
  <c r="AW466" i="4"/>
  <c r="AV466" i="4"/>
  <c r="AP466" i="4"/>
  <c r="AM466" i="4"/>
  <c r="BH466" i="4"/>
  <c r="AX465" i="4"/>
  <c r="AW465" i="4"/>
  <c r="AV465" i="4"/>
  <c r="AP465" i="4"/>
  <c r="AM465" i="4"/>
  <c r="BH465" i="4"/>
  <c r="AX464" i="4"/>
  <c r="AW464" i="4"/>
  <c r="AV464" i="4"/>
  <c r="AP464" i="4"/>
  <c r="AM464" i="4"/>
  <c r="BH464" i="4"/>
  <c r="AX463" i="4"/>
  <c r="AW463" i="4"/>
  <c r="AV463" i="4"/>
  <c r="AP463" i="4"/>
  <c r="AM463" i="4"/>
  <c r="BH463" i="4"/>
  <c r="AX462" i="4"/>
  <c r="AW462" i="4"/>
  <c r="AV462" i="4"/>
  <c r="AP462" i="4"/>
  <c r="AM462" i="4"/>
  <c r="AX461" i="4"/>
  <c r="AW461" i="4"/>
  <c r="AV461" i="4"/>
  <c r="AP461" i="4"/>
  <c r="AM461" i="4"/>
  <c r="BH461" i="4"/>
  <c r="AX460" i="4"/>
  <c r="AW460" i="4"/>
  <c r="AV460" i="4"/>
  <c r="AP460" i="4"/>
  <c r="AM460" i="4"/>
  <c r="AX459" i="4"/>
  <c r="AW459" i="4"/>
  <c r="AV459" i="4"/>
  <c r="AP459" i="4"/>
  <c r="AM459" i="4"/>
  <c r="BH459" i="4"/>
  <c r="AX458" i="4"/>
  <c r="AW458" i="4"/>
  <c r="AV458" i="4"/>
  <c r="AP458" i="4"/>
  <c r="AM458" i="4"/>
  <c r="BH458" i="4"/>
  <c r="AX457" i="4"/>
  <c r="AW457" i="4"/>
  <c r="AV457" i="4"/>
  <c r="AP457" i="4"/>
  <c r="AM457" i="4"/>
  <c r="BH457" i="4"/>
  <c r="AX456" i="4"/>
  <c r="AW456" i="4"/>
  <c r="AV456" i="4"/>
  <c r="AP456" i="4"/>
  <c r="AM456" i="4"/>
  <c r="BH456" i="4"/>
  <c r="AX455" i="4"/>
  <c r="AW455" i="4"/>
  <c r="AV455" i="4"/>
  <c r="AP455" i="4"/>
  <c r="AM455" i="4"/>
  <c r="BH455" i="4"/>
  <c r="AX454" i="4"/>
  <c r="AW454" i="4"/>
  <c r="AV454" i="4"/>
  <c r="AP454" i="4"/>
  <c r="AM454" i="4"/>
  <c r="AX453" i="4"/>
  <c r="AW453" i="4"/>
  <c r="AV453" i="4"/>
  <c r="AP453" i="4"/>
  <c r="AM453" i="4"/>
  <c r="BH453" i="4"/>
  <c r="AX452" i="4"/>
  <c r="AW452" i="4"/>
  <c r="AV452" i="4"/>
  <c r="AP452" i="4"/>
  <c r="AM452" i="4"/>
  <c r="AX451" i="4"/>
  <c r="AW451" i="4"/>
  <c r="AV451" i="4"/>
  <c r="AP451" i="4"/>
  <c r="AM451" i="4"/>
  <c r="BH451" i="4"/>
  <c r="AX450" i="4"/>
  <c r="AW450" i="4"/>
  <c r="AV450" i="4"/>
  <c r="AP450" i="4"/>
  <c r="AM450" i="4"/>
  <c r="BH450" i="4"/>
  <c r="AX449" i="4"/>
  <c r="AW449" i="4"/>
  <c r="AV449" i="4"/>
  <c r="AP449" i="4"/>
  <c r="AM449" i="4"/>
  <c r="BH449" i="4"/>
  <c r="AX448" i="4"/>
  <c r="AW448" i="4"/>
  <c r="AV448" i="4"/>
  <c r="AP448" i="4"/>
  <c r="AM448" i="4"/>
  <c r="BH448" i="4"/>
  <c r="AX447" i="4"/>
  <c r="AW447" i="4"/>
  <c r="AV447" i="4"/>
  <c r="AP447" i="4"/>
  <c r="AM447" i="4"/>
  <c r="BH447" i="4"/>
  <c r="AX446" i="4"/>
  <c r="AW446" i="4"/>
  <c r="AV446" i="4"/>
  <c r="AP446" i="4"/>
  <c r="AM446" i="4"/>
  <c r="AX445" i="4"/>
  <c r="AW445" i="4"/>
  <c r="AV445" i="4"/>
  <c r="AP445" i="4"/>
  <c r="AM445" i="4"/>
  <c r="BH445" i="4"/>
  <c r="AX444" i="4"/>
  <c r="AW444" i="4"/>
  <c r="AV444" i="4"/>
  <c r="AP444" i="4"/>
  <c r="AM444" i="4"/>
  <c r="AX443" i="4"/>
  <c r="AW443" i="4"/>
  <c r="AV443" i="4"/>
  <c r="AP443" i="4"/>
  <c r="AM443" i="4"/>
  <c r="AX442" i="4"/>
  <c r="AW442" i="4"/>
  <c r="AV442" i="4"/>
  <c r="AP442" i="4"/>
  <c r="AM442" i="4"/>
  <c r="BH442" i="4"/>
  <c r="AX441" i="4"/>
  <c r="AW441" i="4"/>
  <c r="AV441" i="4"/>
  <c r="AP441" i="4"/>
  <c r="AM441" i="4"/>
  <c r="BH441" i="4"/>
  <c r="AX440" i="4"/>
  <c r="AW440" i="4"/>
  <c r="AV440" i="4"/>
  <c r="AP440" i="4"/>
  <c r="AM440" i="4"/>
  <c r="BH440" i="4"/>
  <c r="AX439" i="4"/>
  <c r="AW439" i="4"/>
  <c r="AV439" i="4"/>
  <c r="AP439" i="4"/>
  <c r="AM439" i="4"/>
  <c r="BH439" i="4"/>
  <c r="AX438" i="4"/>
  <c r="AW438" i="4"/>
  <c r="AV438" i="4"/>
  <c r="AP438" i="4"/>
  <c r="AM438" i="4"/>
  <c r="AX437" i="4"/>
  <c r="AW437" i="4"/>
  <c r="AV437" i="4"/>
  <c r="AP437" i="4"/>
  <c r="AM437" i="4"/>
  <c r="BH437" i="4"/>
  <c r="AX436" i="4"/>
  <c r="AW436" i="4"/>
  <c r="AV436" i="4"/>
  <c r="AP436" i="4"/>
  <c r="AM436" i="4"/>
  <c r="AX435" i="4"/>
  <c r="AW435" i="4"/>
  <c r="AV435" i="4"/>
  <c r="AP435" i="4"/>
  <c r="AM435" i="4"/>
  <c r="BH435" i="4"/>
  <c r="AX434" i="4"/>
  <c r="AW434" i="4"/>
  <c r="AV434" i="4"/>
  <c r="AP434" i="4"/>
  <c r="AM434" i="4"/>
  <c r="BH434" i="4"/>
  <c r="AX433" i="4"/>
  <c r="AW433" i="4"/>
  <c r="AV433" i="4"/>
  <c r="AP433" i="4"/>
  <c r="AM433" i="4"/>
  <c r="BH433" i="4"/>
  <c r="AX432" i="4"/>
  <c r="AW432" i="4"/>
  <c r="AV432" i="4"/>
  <c r="AP432" i="4"/>
  <c r="AM432" i="4"/>
  <c r="AX431" i="4"/>
  <c r="AW431" i="4"/>
  <c r="AV431" i="4"/>
  <c r="AP431" i="4"/>
  <c r="AM431" i="4"/>
  <c r="BH431" i="4"/>
  <c r="AX430" i="4"/>
  <c r="AW430" i="4"/>
  <c r="AV430" i="4"/>
  <c r="AP430" i="4"/>
  <c r="AM430" i="4"/>
  <c r="AX429" i="4"/>
  <c r="AW429" i="4"/>
  <c r="AV429" i="4"/>
  <c r="AP429" i="4"/>
  <c r="AM429" i="4"/>
  <c r="BH429" i="4"/>
  <c r="AX428" i="4"/>
  <c r="AW428" i="4"/>
  <c r="AV428" i="4"/>
  <c r="AP428" i="4"/>
  <c r="AM428" i="4"/>
  <c r="AX427" i="4"/>
  <c r="AW427" i="4"/>
  <c r="AV427" i="4"/>
  <c r="AP427" i="4"/>
  <c r="AM427" i="4"/>
  <c r="BH427" i="4"/>
  <c r="AX426" i="4"/>
  <c r="AW426" i="4"/>
  <c r="AV426" i="4"/>
  <c r="AP426" i="4"/>
  <c r="AM426" i="4"/>
  <c r="BH426" i="4"/>
  <c r="AX425" i="4"/>
  <c r="AW425" i="4"/>
  <c r="AV425" i="4"/>
  <c r="AP425" i="4"/>
  <c r="AM425" i="4"/>
  <c r="BH425" i="4"/>
  <c r="AX424" i="4"/>
  <c r="AW424" i="4"/>
  <c r="AV424" i="4"/>
  <c r="AP424" i="4"/>
  <c r="AM424" i="4"/>
  <c r="AX423" i="4"/>
  <c r="AW423" i="4"/>
  <c r="AV423" i="4"/>
  <c r="AP423" i="4"/>
  <c r="AM423" i="4"/>
  <c r="BH423" i="4"/>
  <c r="AX422" i="4"/>
  <c r="AW422" i="4"/>
  <c r="AV422" i="4"/>
  <c r="AP422" i="4"/>
  <c r="AM422" i="4"/>
  <c r="AX421" i="4"/>
  <c r="AW421" i="4"/>
  <c r="AV421" i="4"/>
  <c r="AP421" i="4"/>
  <c r="AM421" i="4"/>
  <c r="BH421" i="4"/>
  <c r="AX420" i="4"/>
  <c r="AW420" i="4"/>
  <c r="AV420" i="4"/>
  <c r="AP420" i="4"/>
  <c r="AM420" i="4"/>
  <c r="AX419" i="4"/>
  <c r="AW419" i="4"/>
  <c r="AV419" i="4"/>
  <c r="AP419" i="4"/>
  <c r="AM419" i="4"/>
  <c r="AX418" i="4"/>
  <c r="AW418" i="4"/>
  <c r="AV418" i="4"/>
  <c r="AP418" i="4"/>
  <c r="AM418" i="4"/>
  <c r="BH418" i="4"/>
  <c r="AX417" i="4"/>
  <c r="AW417" i="4"/>
  <c r="AV417" i="4"/>
  <c r="AP417" i="4"/>
  <c r="AM417" i="4"/>
  <c r="BH417" i="4"/>
  <c r="AX416" i="4"/>
  <c r="AW416" i="4"/>
  <c r="AV416" i="4"/>
  <c r="AP416" i="4"/>
  <c r="AM416" i="4"/>
  <c r="AX415" i="4"/>
  <c r="AW415" i="4"/>
  <c r="AV415" i="4"/>
  <c r="AP415" i="4"/>
  <c r="AM415" i="4"/>
  <c r="BH415" i="4"/>
  <c r="AX414" i="4"/>
  <c r="AW414" i="4"/>
  <c r="AV414" i="4"/>
  <c r="AP414" i="4"/>
  <c r="AM414" i="4"/>
  <c r="AX413" i="4"/>
  <c r="AW413" i="4"/>
  <c r="AV413" i="4"/>
  <c r="AP413" i="4"/>
  <c r="AM413" i="4"/>
  <c r="BH413" i="4"/>
  <c r="AX412" i="4"/>
  <c r="AW412" i="4"/>
  <c r="AV412" i="4"/>
  <c r="AP412" i="4"/>
  <c r="AM412" i="4"/>
  <c r="AX411" i="4"/>
  <c r="AW411" i="4"/>
  <c r="AV411" i="4"/>
  <c r="AP411" i="4"/>
  <c r="AM411" i="4"/>
  <c r="AX410" i="4"/>
  <c r="AW410" i="4"/>
  <c r="AV410" i="4"/>
  <c r="AP410" i="4"/>
  <c r="AM410" i="4"/>
  <c r="BH410" i="4"/>
  <c r="AX409" i="4"/>
  <c r="AW409" i="4"/>
  <c r="AV409" i="4"/>
  <c r="AP409" i="4"/>
  <c r="AM409" i="4"/>
  <c r="BH409" i="4"/>
  <c r="AX408" i="4"/>
  <c r="AW408" i="4"/>
  <c r="AV408" i="4"/>
  <c r="AP408" i="4"/>
  <c r="AM408" i="4"/>
  <c r="AX407" i="4"/>
  <c r="AW407" i="4"/>
  <c r="AV407" i="4"/>
  <c r="AP407" i="4"/>
  <c r="AM407" i="4"/>
  <c r="BH407" i="4"/>
  <c r="AX406" i="4"/>
  <c r="AW406" i="4"/>
  <c r="AV406" i="4"/>
  <c r="AP406" i="4"/>
  <c r="AM406" i="4"/>
  <c r="AX405" i="4"/>
  <c r="AW405" i="4"/>
  <c r="AV405" i="4"/>
  <c r="AP405" i="4"/>
  <c r="AM405" i="4"/>
  <c r="BH405" i="4"/>
  <c r="AX404" i="4"/>
  <c r="AW404" i="4"/>
  <c r="AV404" i="4"/>
  <c r="AP404" i="4"/>
  <c r="AM404" i="4"/>
  <c r="AX403" i="4"/>
  <c r="AW403" i="4"/>
  <c r="AV403" i="4"/>
  <c r="AP403" i="4"/>
  <c r="AM403" i="4"/>
  <c r="AX402" i="4"/>
  <c r="AW402" i="4"/>
  <c r="AV402" i="4"/>
  <c r="AP402" i="4"/>
  <c r="AM402" i="4"/>
  <c r="BH402" i="4"/>
  <c r="AX401" i="4"/>
  <c r="AW401" i="4"/>
  <c r="AV401" i="4"/>
  <c r="AP401" i="4"/>
  <c r="AM401" i="4"/>
  <c r="BH401" i="4"/>
  <c r="AX400" i="4"/>
  <c r="AW400" i="4"/>
  <c r="AV400" i="4"/>
  <c r="AP400" i="4"/>
  <c r="AM400" i="4"/>
  <c r="AX399" i="4"/>
  <c r="AW399" i="4"/>
  <c r="AV399" i="4"/>
  <c r="AP399" i="4"/>
  <c r="AM399" i="4"/>
  <c r="BH399" i="4"/>
  <c r="AX398" i="4"/>
  <c r="AW398" i="4"/>
  <c r="AV398" i="4"/>
  <c r="AP398" i="4"/>
  <c r="AM398" i="4"/>
  <c r="AX397" i="4"/>
  <c r="AW397" i="4"/>
  <c r="AV397" i="4"/>
  <c r="AP397" i="4"/>
  <c r="AM397" i="4"/>
  <c r="BH397" i="4"/>
  <c r="AX396" i="4"/>
  <c r="AW396" i="4"/>
  <c r="AV396" i="4"/>
  <c r="AP396" i="4"/>
  <c r="AM396" i="4"/>
  <c r="AX395" i="4"/>
  <c r="AW395" i="4"/>
  <c r="AV395" i="4"/>
  <c r="AP395" i="4"/>
  <c r="AM395" i="4"/>
  <c r="BH395" i="4"/>
  <c r="AX394" i="4"/>
  <c r="AW394" i="4"/>
  <c r="AV394" i="4"/>
  <c r="AP394" i="4"/>
  <c r="AM394" i="4"/>
  <c r="BH394" i="4"/>
  <c r="AX393" i="4"/>
  <c r="AW393" i="4"/>
  <c r="AV393" i="4"/>
  <c r="AP393" i="4"/>
  <c r="AM393" i="4"/>
  <c r="BH393" i="4"/>
  <c r="AX392" i="4"/>
  <c r="AW392" i="4"/>
  <c r="AV392" i="4"/>
  <c r="AP392" i="4"/>
  <c r="AM392" i="4"/>
  <c r="AX391" i="4"/>
  <c r="AW391" i="4"/>
  <c r="AV391" i="4"/>
  <c r="AP391" i="4"/>
  <c r="AM391" i="4"/>
  <c r="BH391" i="4"/>
  <c r="AX390" i="4"/>
  <c r="AW390" i="4"/>
  <c r="AV390" i="4"/>
  <c r="AP390" i="4"/>
  <c r="AM390" i="4"/>
  <c r="AX389" i="4"/>
  <c r="AW389" i="4"/>
  <c r="AV389" i="4"/>
  <c r="AP389" i="4"/>
  <c r="AM389" i="4"/>
  <c r="BH389" i="4"/>
  <c r="AX388" i="4"/>
  <c r="AW388" i="4"/>
  <c r="AV388" i="4"/>
  <c r="AP388" i="4"/>
  <c r="AM388" i="4"/>
  <c r="AX387" i="4"/>
  <c r="AW387" i="4"/>
  <c r="AV387" i="4"/>
  <c r="AP387" i="4"/>
  <c r="AM387" i="4"/>
  <c r="BH387" i="4"/>
  <c r="AX386" i="4"/>
  <c r="AW386" i="4"/>
  <c r="AV386" i="4"/>
  <c r="AP386" i="4"/>
  <c r="AM386" i="4"/>
  <c r="BH386" i="4"/>
  <c r="AX385" i="4"/>
  <c r="AW385" i="4"/>
  <c r="AV385" i="4"/>
  <c r="AP385" i="4"/>
  <c r="AM385" i="4"/>
  <c r="BH385" i="4"/>
  <c r="AX384" i="4"/>
  <c r="AW384" i="4"/>
  <c r="AV384" i="4"/>
  <c r="AP384" i="4"/>
  <c r="AM384" i="4"/>
  <c r="AX383" i="4"/>
  <c r="AW383" i="4"/>
  <c r="AV383" i="4"/>
  <c r="AP383" i="4"/>
  <c r="AM383" i="4"/>
  <c r="BH383" i="4"/>
  <c r="AX382" i="4"/>
  <c r="AW382" i="4"/>
  <c r="AV382" i="4"/>
  <c r="AP382" i="4"/>
  <c r="AM382" i="4"/>
  <c r="AX381" i="4"/>
  <c r="AW381" i="4"/>
  <c r="AV381" i="4"/>
  <c r="AP381" i="4"/>
  <c r="AM381" i="4"/>
  <c r="BH381" i="4"/>
  <c r="AX380" i="4"/>
  <c r="AW380" i="4"/>
  <c r="AV380" i="4"/>
  <c r="AP380" i="4"/>
  <c r="AM380" i="4"/>
  <c r="AX379" i="4"/>
  <c r="AW379" i="4"/>
  <c r="AV379" i="4"/>
  <c r="AP379" i="4"/>
  <c r="AM379" i="4"/>
  <c r="BH379" i="4"/>
  <c r="AX378" i="4"/>
  <c r="AW378" i="4"/>
  <c r="AV378" i="4"/>
  <c r="AP378" i="4"/>
  <c r="AM378" i="4"/>
  <c r="BH378" i="4"/>
  <c r="AX377" i="4"/>
  <c r="AW377" i="4"/>
  <c r="AV377" i="4"/>
  <c r="AP377" i="4"/>
  <c r="AM377" i="4"/>
  <c r="BH377" i="4"/>
  <c r="AX376" i="4"/>
  <c r="AW376" i="4"/>
  <c r="AV376" i="4"/>
  <c r="AP376" i="4"/>
  <c r="AM376" i="4"/>
  <c r="AX375" i="4"/>
  <c r="AW375" i="4"/>
  <c r="AV375" i="4"/>
  <c r="AP375" i="4"/>
  <c r="AM375" i="4"/>
  <c r="BH375" i="4"/>
  <c r="AX374" i="4"/>
  <c r="AW374" i="4"/>
  <c r="AV374" i="4"/>
  <c r="AP374" i="4"/>
  <c r="AM374" i="4"/>
  <c r="AX373" i="4"/>
  <c r="AW373" i="4"/>
  <c r="AV373" i="4"/>
  <c r="AP373" i="4"/>
  <c r="AM373" i="4"/>
  <c r="BH373" i="4"/>
  <c r="AX372" i="4"/>
  <c r="AW372" i="4"/>
  <c r="AV372" i="4"/>
  <c r="AP372" i="4"/>
  <c r="AM372" i="4"/>
  <c r="AX371" i="4"/>
  <c r="AW371" i="4"/>
  <c r="AV371" i="4"/>
  <c r="AP371" i="4"/>
  <c r="AM371" i="4"/>
  <c r="BH371" i="4"/>
  <c r="AX370" i="4"/>
  <c r="AW370" i="4"/>
  <c r="AV370" i="4"/>
  <c r="AP370" i="4"/>
  <c r="AM370" i="4"/>
  <c r="BH370" i="4"/>
  <c r="AX369" i="4"/>
  <c r="AW369" i="4"/>
  <c r="AV369" i="4"/>
  <c r="AP369" i="4"/>
  <c r="AM369" i="4"/>
  <c r="BH369" i="4"/>
  <c r="AX368" i="4"/>
  <c r="AW368" i="4"/>
  <c r="AV368" i="4"/>
  <c r="AP368" i="4"/>
  <c r="AM368" i="4"/>
  <c r="AX367" i="4"/>
  <c r="AW367" i="4"/>
  <c r="AV367" i="4"/>
  <c r="AP367" i="4"/>
  <c r="AM367" i="4"/>
  <c r="BH367" i="4"/>
  <c r="AX366" i="4"/>
  <c r="AW366" i="4"/>
  <c r="AV366" i="4"/>
  <c r="AP366" i="4"/>
  <c r="AM366" i="4"/>
  <c r="AX365" i="4"/>
  <c r="AW365" i="4"/>
  <c r="AV365" i="4"/>
  <c r="AP365" i="4"/>
  <c r="AM365" i="4"/>
  <c r="BH365" i="4"/>
  <c r="AX364" i="4"/>
  <c r="AW364" i="4"/>
  <c r="AV364" i="4"/>
  <c r="AP364" i="4"/>
  <c r="AM364" i="4"/>
  <c r="AX363" i="4"/>
  <c r="AW363" i="4"/>
  <c r="AV363" i="4"/>
  <c r="AP363" i="4"/>
  <c r="AM363" i="4"/>
  <c r="BH363" i="4"/>
  <c r="AX362" i="4"/>
  <c r="AW362" i="4"/>
  <c r="AV362" i="4"/>
  <c r="AP362" i="4"/>
  <c r="AM362" i="4"/>
  <c r="BH362" i="4"/>
  <c r="AX361" i="4"/>
  <c r="AW361" i="4"/>
  <c r="AV361" i="4"/>
  <c r="AP361" i="4"/>
  <c r="AM361" i="4"/>
  <c r="BH361" i="4"/>
  <c r="AX360" i="4"/>
  <c r="AW360" i="4"/>
  <c r="AV360" i="4"/>
  <c r="AP360" i="4"/>
  <c r="AM360" i="4"/>
  <c r="AX359" i="4"/>
  <c r="AW359" i="4"/>
  <c r="AV359" i="4"/>
  <c r="AP359" i="4"/>
  <c r="AM359" i="4"/>
  <c r="BH359" i="4"/>
  <c r="AX358" i="4"/>
  <c r="AW358" i="4"/>
  <c r="AV358" i="4"/>
  <c r="AP358" i="4"/>
  <c r="AM358" i="4"/>
  <c r="AX357" i="4"/>
  <c r="AW357" i="4"/>
  <c r="AV357" i="4"/>
  <c r="AP357" i="4"/>
  <c r="AM357" i="4"/>
  <c r="BH357" i="4"/>
  <c r="AX356" i="4"/>
  <c r="AW356" i="4"/>
  <c r="AV356" i="4"/>
  <c r="AP356" i="4"/>
  <c r="AM356" i="4"/>
  <c r="AX355" i="4"/>
  <c r="AW355" i="4"/>
  <c r="AV355" i="4"/>
  <c r="AP355" i="4"/>
  <c r="AM355" i="4"/>
  <c r="BH355" i="4"/>
  <c r="AX354" i="4"/>
  <c r="AW354" i="4"/>
  <c r="AV354" i="4"/>
  <c r="AP354" i="4"/>
  <c r="AM354" i="4"/>
  <c r="BH354" i="4"/>
  <c r="AX353" i="4"/>
  <c r="AW353" i="4"/>
  <c r="AV353" i="4"/>
  <c r="AP353" i="4"/>
  <c r="AM353" i="4"/>
  <c r="BH353" i="4"/>
  <c r="AX352" i="4"/>
  <c r="AW352" i="4"/>
  <c r="AV352" i="4"/>
  <c r="AP352" i="4"/>
  <c r="AM352" i="4"/>
  <c r="AX351" i="4"/>
  <c r="AW351" i="4"/>
  <c r="AV351" i="4"/>
  <c r="AP351" i="4"/>
  <c r="AM351" i="4"/>
  <c r="BH351" i="4"/>
  <c r="AX350" i="4"/>
  <c r="AW350" i="4"/>
  <c r="AV350" i="4"/>
  <c r="AP350" i="4"/>
  <c r="AM350" i="4"/>
  <c r="AX349" i="4"/>
  <c r="AW349" i="4"/>
  <c r="AV349" i="4"/>
  <c r="AP349" i="4"/>
  <c r="AM349" i="4"/>
  <c r="BH349" i="4"/>
  <c r="AX348" i="4"/>
  <c r="AW348" i="4"/>
  <c r="AV348" i="4"/>
  <c r="AP348" i="4"/>
  <c r="AM348" i="4"/>
  <c r="AX347" i="4"/>
  <c r="AW347" i="4"/>
  <c r="AV347" i="4"/>
  <c r="AP347" i="4"/>
  <c r="AM347" i="4"/>
  <c r="BH347" i="4"/>
  <c r="AX346" i="4"/>
  <c r="AW346" i="4"/>
  <c r="AV346" i="4"/>
  <c r="AP346" i="4"/>
  <c r="AM346" i="4"/>
  <c r="BH346" i="4"/>
  <c r="AX345" i="4"/>
  <c r="AW345" i="4"/>
  <c r="AV345" i="4"/>
  <c r="AP345" i="4"/>
  <c r="AM345" i="4"/>
  <c r="BH345" i="4"/>
  <c r="AX344" i="4"/>
  <c r="AW344" i="4"/>
  <c r="AV344" i="4"/>
  <c r="AP344" i="4"/>
  <c r="AM344" i="4"/>
  <c r="AX343" i="4"/>
  <c r="AW343" i="4"/>
  <c r="AV343" i="4"/>
  <c r="AP343" i="4"/>
  <c r="AM343" i="4"/>
  <c r="BH343" i="4"/>
  <c r="AX342" i="4"/>
  <c r="AW342" i="4"/>
  <c r="AV342" i="4"/>
  <c r="AP342" i="4"/>
  <c r="AM342" i="4"/>
  <c r="AX341" i="4"/>
  <c r="AW341" i="4"/>
  <c r="AV341" i="4"/>
  <c r="AP341" i="4"/>
  <c r="AM341" i="4"/>
  <c r="BH341" i="4"/>
  <c r="AX340" i="4"/>
  <c r="AW340" i="4"/>
  <c r="AV340" i="4"/>
  <c r="AP340" i="4"/>
  <c r="AM340" i="4"/>
  <c r="AX339" i="4"/>
  <c r="AW339" i="4"/>
  <c r="AV339" i="4"/>
  <c r="AP339" i="4"/>
  <c r="AM339" i="4"/>
  <c r="BH339" i="4"/>
  <c r="AX338" i="4"/>
  <c r="AW338" i="4"/>
  <c r="AV338" i="4"/>
  <c r="AP338" i="4"/>
  <c r="AM338" i="4"/>
  <c r="BH338" i="4"/>
  <c r="AX337" i="4"/>
  <c r="AW337" i="4"/>
  <c r="AV337" i="4"/>
  <c r="AP337" i="4"/>
  <c r="AM337" i="4"/>
  <c r="BH337" i="4"/>
  <c r="AX336" i="4"/>
  <c r="AW336" i="4"/>
  <c r="AV336" i="4"/>
  <c r="AP336" i="4"/>
  <c r="AM336" i="4"/>
  <c r="AX335" i="4"/>
  <c r="AW335" i="4"/>
  <c r="AV335" i="4"/>
  <c r="AP335" i="4"/>
  <c r="AM335" i="4"/>
  <c r="BH335" i="4"/>
  <c r="AX334" i="4"/>
  <c r="AW334" i="4"/>
  <c r="AV334" i="4"/>
  <c r="AP334" i="4"/>
  <c r="AM334" i="4"/>
  <c r="AX333" i="4"/>
  <c r="AW333" i="4"/>
  <c r="AV333" i="4"/>
  <c r="AP333" i="4"/>
  <c r="AM333" i="4"/>
  <c r="BH333" i="4"/>
  <c r="AX332" i="4"/>
  <c r="AW332" i="4"/>
  <c r="AV332" i="4"/>
  <c r="AP332" i="4"/>
  <c r="AM332" i="4"/>
  <c r="AX331" i="4"/>
  <c r="AW331" i="4"/>
  <c r="AV331" i="4"/>
  <c r="AP331" i="4"/>
  <c r="AM331" i="4"/>
  <c r="BH331" i="4"/>
  <c r="AX330" i="4"/>
  <c r="AW330" i="4"/>
  <c r="AV330" i="4"/>
  <c r="AP330" i="4"/>
  <c r="AM330" i="4"/>
  <c r="BH330" i="4"/>
  <c r="AX329" i="4"/>
  <c r="AW329" i="4"/>
  <c r="AV329" i="4"/>
  <c r="AP329" i="4"/>
  <c r="AM329" i="4"/>
  <c r="BH329" i="4"/>
  <c r="AX328" i="4"/>
  <c r="AW328" i="4"/>
  <c r="AV328" i="4"/>
  <c r="AP328" i="4"/>
  <c r="AM328" i="4"/>
  <c r="AX327" i="4"/>
  <c r="AW327" i="4"/>
  <c r="AV327" i="4"/>
  <c r="AP327" i="4"/>
  <c r="AM327" i="4"/>
  <c r="BH327" i="4"/>
  <c r="AX326" i="4"/>
  <c r="AW326" i="4"/>
  <c r="AV326" i="4"/>
  <c r="AP326" i="4"/>
  <c r="AM326" i="4"/>
  <c r="AX325" i="4"/>
  <c r="AW325" i="4"/>
  <c r="AV325" i="4"/>
  <c r="AP325" i="4"/>
  <c r="AM325" i="4"/>
  <c r="BH325" i="4"/>
  <c r="AX324" i="4"/>
  <c r="AW324" i="4"/>
  <c r="AV324" i="4"/>
  <c r="AP324" i="4"/>
  <c r="AM324" i="4"/>
  <c r="AX323" i="4"/>
  <c r="AW323" i="4"/>
  <c r="AV323" i="4"/>
  <c r="AP323" i="4"/>
  <c r="AM323" i="4"/>
  <c r="BH323" i="4"/>
  <c r="AX322" i="4"/>
  <c r="AW322" i="4"/>
  <c r="AV322" i="4"/>
  <c r="AP322" i="4"/>
  <c r="AM322" i="4"/>
  <c r="BH322" i="4"/>
  <c r="AX321" i="4"/>
  <c r="AW321" i="4"/>
  <c r="AV321" i="4"/>
  <c r="AP321" i="4"/>
  <c r="AM321" i="4"/>
  <c r="BH321" i="4"/>
  <c r="AX320" i="4"/>
  <c r="AW320" i="4"/>
  <c r="AV320" i="4"/>
  <c r="AP320" i="4"/>
  <c r="AM320" i="4"/>
  <c r="AX319" i="4"/>
  <c r="AW319" i="4"/>
  <c r="AV319" i="4"/>
  <c r="AP319" i="4"/>
  <c r="AM319" i="4"/>
  <c r="AX318" i="4"/>
  <c r="AW318" i="4"/>
  <c r="AV318" i="4"/>
  <c r="AP318" i="4"/>
  <c r="AM318" i="4"/>
  <c r="AX317" i="4"/>
  <c r="AW317" i="4"/>
  <c r="AV317" i="4"/>
  <c r="AP317" i="4"/>
  <c r="AM317" i="4"/>
  <c r="AX316" i="4"/>
  <c r="AW316" i="4"/>
  <c r="AV316" i="4"/>
  <c r="AP316" i="4"/>
  <c r="AM316" i="4"/>
  <c r="AX315" i="4"/>
  <c r="AW315" i="4"/>
  <c r="AV315" i="4"/>
  <c r="AP315" i="4"/>
  <c r="AM315" i="4"/>
  <c r="AX314" i="4"/>
  <c r="AW314" i="4"/>
  <c r="AV314" i="4"/>
  <c r="AP314" i="4"/>
  <c r="AM314" i="4"/>
  <c r="AX313" i="4"/>
  <c r="AW313" i="4"/>
  <c r="AV313" i="4"/>
  <c r="AP313" i="4"/>
  <c r="AM313" i="4"/>
  <c r="AX312" i="4"/>
  <c r="AW312" i="4"/>
  <c r="AV312" i="4"/>
  <c r="AP312" i="4"/>
  <c r="AM312" i="4"/>
  <c r="AX311" i="4"/>
  <c r="AW311" i="4"/>
  <c r="AV311" i="4"/>
  <c r="AP311" i="4"/>
  <c r="AM311" i="4"/>
  <c r="AX310" i="4"/>
  <c r="AW310" i="4"/>
  <c r="AV310" i="4"/>
  <c r="AP310" i="4"/>
  <c r="AM310" i="4"/>
  <c r="AX309" i="4"/>
  <c r="AW309" i="4"/>
  <c r="AV309" i="4"/>
  <c r="AP309" i="4"/>
  <c r="AM309" i="4"/>
  <c r="AX308" i="4"/>
  <c r="AW308" i="4"/>
  <c r="AV308" i="4"/>
  <c r="AP308" i="4"/>
  <c r="AM308" i="4"/>
  <c r="AX307" i="4"/>
  <c r="AW307" i="4"/>
  <c r="AV307" i="4"/>
  <c r="AP307" i="4"/>
  <c r="AM307" i="4"/>
  <c r="AX306" i="4"/>
  <c r="AW306" i="4"/>
  <c r="AV306" i="4"/>
  <c r="AP306" i="4"/>
  <c r="AM306" i="4"/>
  <c r="AX305" i="4"/>
  <c r="AW305" i="4"/>
  <c r="AV305" i="4"/>
  <c r="AP305" i="4"/>
  <c r="AM305" i="4"/>
  <c r="AX304" i="4"/>
  <c r="AW304" i="4"/>
  <c r="AV304" i="4"/>
  <c r="AP304" i="4"/>
  <c r="AM304" i="4"/>
  <c r="AX303" i="4"/>
  <c r="AW303" i="4"/>
  <c r="AV303" i="4"/>
  <c r="AP303" i="4"/>
  <c r="AM303" i="4"/>
  <c r="AX302" i="4"/>
  <c r="AW302" i="4"/>
  <c r="AV302" i="4"/>
  <c r="AP302" i="4"/>
  <c r="AM302" i="4"/>
  <c r="AX301" i="4"/>
  <c r="AW301" i="4"/>
  <c r="AV301" i="4"/>
  <c r="AP301" i="4"/>
  <c r="AM301" i="4"/>
  <c r="AX300" i="4"/>
  <c r="AW300" i="4"/>
  <c r="AV300" i="4"/>
  <c r="AP300" i="4"/>
  <c r="AM300" i="4"/>
  <c r="AX299" i="4"/>
  <c r="AW299" i="4"/>
  <c r="AV299" i="4"/>
  <c r="AP299" i="4"/>
  <c r="AM299" i="4"/>
  <c r="AX298" i="4"/>
  <c r="AW298" i="4"/>
  <c r="AV298" i="4"/>
  <c r="AP298" i="4"/>
  <c r="AM298" i="4"/>
  <c r="AX297" i="4"/>
  <c r="AW297" i="4"/>
  <c r="AV297" i="4"/>
  <c r="AP297" i="4"/>
  <c r="AM297" i="4"/>
  <c r="AX296" i="4"/>
  <c r="AW296" i="4"/>
  <c r="AV296" i="4"/>
  <c r="AP296" i="4"/>
  <c r="AM296" i="4"/>
  <c r="AX295" i="4"/>
  <c r="AW295" i="4"/>
  <c r="AV295" i="4"/>
  <c r="AP295" i="4"/>
  <c r="AM295" i="4"/>
  <c r="AX294" i="4"/>
  <c r="AW294" i="4"/>
  <c r="AV294" i="4"/>
  <c r="AP294" i="4"/>
  <c r="AM294" i="4"/>
  <c r="AX293" i="4"/>
  <c r="AW293" i="4"/>
  <c r="AV293" i="4"/>
  <c r="AP293" i="4"/>
  <c r="AM293" i="4"/>
  <c r="AX292" i="4"/>
  <c r="AW292" i="4"/>
  <c r="AV292" i="4"/>
  <c r="AP292" i="4"/>
  <c r="AM292" i="4"/>
  <c r="AX291" i="4"/>
  <c r="AW291" i="4"/>
  <c r="AV291" i="4"/>
  <c r="AP291" i="4"/>
  <c r="AM291" i="4"/>
  <c r="AX290" i="4"/>
  <c r="AW290" i="4"/>
  <c r="AV290" i="4"/>
  <c r="AP290" i="4"/>
  <c r="AM290" i="4"/>
  <c r="AX289" i="4"/>
  <c r="AW289" i="4"/>
  <c r="AV289" i="4"/>
  <c r="AP289" i="4"/>
  <c r="AM289" i="4"/>
  <c r="AX288" i="4"/>
  <c r="AW288" i="4"/>
  <c r="AV288" i="4"/>
  <c r="AP288" i="4"/>
  <c r="AM288" i="4"/>
  <c r="AX287" i="4"/>
  <c r="AW287" i="4"/>
  <c r="AV287" i="4"/>
  <c r="AP287" i="4"/>
  <c r="AM287" i="4"/>
  <c r="AX286" i="4"/>
  <c r="AW286" i="4"/>
  <c r="AV286" i="4"/>
  <c r="AP286" i="4"/>
  <c r="AM286" i="4"/>
  <c r="AX285" i="4"/>
  <c r="AW285" i="4"/>
  <c r="AV285" i="4"/>
  <c r="AP285" i="4"/>
  <c r="AM285" i="4"/>
  <c r="AX284" i="4"/>
  <c r="AW284" i="4"/>
  <c r="AV284" i="4"/>
  <c r="AP284" i="4"/>
  <c r="AM284" i="4"/>
  <c r="AX283" i="4"/>
  <c r="AW283" i="4"/>
  <c r="AV283" i="4"/>
  <c r="AP283" i="4"/>
  <c r="AM283" i="4"/>
  <c r="AX282" i="4"/>
  <c r="AW282" i="4"/>
  <c r="AV282" i="4"/>
  <c r="AP282" i="4"/>
  <c r="AM282" i="4"/>
  <c r="AX281" i="4"/>
  <c r="AW281" i="4"/>
  <c r="AV281" i="4"/>
  <c r="AP281" i="4"/>
  <c r="AM281" i="4"/>
  <c r="AX280" i="4"/>
  <c r="AW280" i="4"/>
  <c r="AV280" i="4"/>
  <c r="AP280" i="4"/>
  <c r="AM280" i="4"/>
  <c r="AX279" i="4"/>
  <c r="AW279" i="4"/>
  <c r="AV279" i="4"/>
  <c r="AP279" i="4"/>
  <c r="AM279" i="4"/>
  <c r="AX278" i="4"/>
  <c r="AW278" i="4"/>
  <c r="AV278" i="4"/>
  <c r="AP278" i="4"/>
  <c r="AM278" i="4"/>
  <c r="AX277" i="4"/>
  <c r="AW277" i="4"/>
  <c r="AV277" i="4"/>
  <c r="AP277" i="4"/>
  <c r="AM277" i="4"/>
  <c r="AX276" i="4"/>
  <c r="AW276" i="4"/>
  <c r="AV276" i="4"/>
  <c r="AP276" i="4"/>
  <c r="AM276" i="4"/>
  <c r="AX275" i="4"/>
  <c r="AW275" i="4"/>
  <c r="AV275" i="4"/>
  <c r="AP275" i="4"/>
  <c r="AM275" i="4"/>
  <c r="AX274" i="4"/>
  <c r="AW274" i="4"/>
  <c r="AV274" i="4"/>
  <c r="AP274" i="4"/>
  <c r="AM274" i="4"/>
  <c r="AX273" i="4"/>
  <c r="AW273" i="4"/>
  <c r="AV273" i="4"/>
  <c r="AP273" i="4"/>
  <c r="AM273" i="4"/>
  <c r="AX272" i="4"/>
  <c r="AW272" i="4"/>
  <c r="AV272" i="4"/>
  <c r="AP272" i="4"/>
  <c r="AM272" i="4"/>
  <c r="AX271" i="4"/>
  <c r="AW271" i="4"/>
  <c r="AV271" i="4"/>
  <c r="AP271" i="4"/>
  <c r="AM271" i="4"/>
  <c r="AX270" i="4"/>
  <c r="AW270" i="4"/>
  <c r="AV270" i="4"/>
  <c r="AP270" i="4"/>
  <c r="AM270" i="4"/>
  <c r="AX269" i="4"/>
  <c r="AW269" i="4"/>
  <c r="AV269" i="4"/>
  <c r="AP269" i="4"/>
  <c r="AM269" i="4"/>
  <c r="AX268" i="4"/>
  <c r="AW268" i="4"/>
  <c r="AV268" i="4"/>
  <c r="AP268" i="4"/>
  <c r="AM268" i="4"/>
  <c r="AX267" i="4"/>
  <c r="AW267" i="4"/>
  <c r="AV267" i="4"/>
  <c r="AP267" i="4"/>
  <c r="AM267" i="4"/>
  <c r="AX266" i="4"/>
  <c r="AW266" i="4"/>
  <c r="AV266" i="4"/>
  <c r="AP266" i="4"/>
  <c r="AM266" i="4"/>
  <c r="AX265" i="4"/>
  <c r="AW265" i="4"/>
  <c r="AV265" i="4"/>
  <c r="AP265" i="4"/>
  <c r="AM265" i="4"/>
  <c r="AX264" i="4"/>
  <c r="AW264" i="4"/>
  <c r="AV264" i="4"/>
  <c r="AP264" i="4"/>
  <c r="AM264" i="4"/>
  <c r="AX263" i="4"/>
  <c r="AW263" i="4"/>
  <c r="AV263" i="4"/>
  <c r="AP263" i="4"/>
  <c r="AM263" i="4"/>
  <c r="AX262" i="4"/>
  <c r="AW262" i="4"/>
  <c r="AV262" i="4"/>
  <c r="AP262" i="4"/>
  <c r="AM262" i="4"/>
  <c r="AX261" i="4"/>
  <c r="AW261" i="4"/>
  <c r="AV261" i="4"/>
  <c r="AP261" i="4"/>
  <c r="AM261" i="4"/>
  <c r="AX260" i="4"/>
  <c r="AW260" i="4"/>
  <c r="AV260" i="4"/>
  <c r="AP260" i="4"/>
  <c r="AM260" i="4"/>
  <c r="AX259" i="4"/>
  <c r="AW259" i="4"/>
  <c r="AV259" i="4"/>
  <c r="AP259" i="4"/>
  <c r="AM259" i="4"/>
  <c r="AX258" i="4"/>
  <c r="AW258" i="4"/>
  <c r="AV258" i="4"/>
  <c r="AP258" i="4"/>
  <c r="AM258" i="4"/>
  <c r="AX257" i="4"/>
  <c r="AW257" i="4"/>
  <c r="AV257" i="4"/>
  <c r="AP257" i="4"/>
  <c r="AM257" i="4"/>
  <c r="AX256" i="4"/>
  <c r="AW256" i="4"/>
  <c r="AV256" i="4"/>
  <c r="AP256" i="4"/>
  <c r="AM256" i="4"/>
  <c r="AX255" i="4"/>
  <c r="AW255" i="4"/>
  <c r="AV255" i="4"/>
  <c r="AP255" i="4"/>
  <c r="AM255" i="4"/>
  <c r="AX254" i="4"/>
  <c r="AW254" i="4"/>
  <c r="AV254" i="4"/>
  <c r="AP254" i="4"/>
  <c r="AM254" i="4"/>
  <c r="AX253" i="4"/>
  <c r="AW253" i="4"/>
  <c r="AV253" i="4"/>
  <c r="AP253" i="4"/>
  <c r="AM253" i="4"/>
  <c r="AX252" i="4"/>
  <c r="AW252" i="4"/>
  <c r="AV252" i="4"/>
  <c r="AP252" i="4"/>
  <c r="AM252" i="4"/>
  <c r="AX251" i="4"/>
  <c r="AW251" i="4"/>
  <c r="AV251" i="4"/>
  <c r="AP251" i="4"/>
  <c r="AM251" i="4"/>
  <c r="AX250" i="4"/>
  <c r="AW250" i="4"/>
  <c r="AV250" i="4"/>
  <c r="AP250" i="4"/>
  <c r="AM250" i="4"/>
  <c r="AX249" i="4"/>
  <c r="AW249" i="4"/>
  <c r="AV249" i="4"/>
  <c r="AP249" i="4"/>
  <c r="AM249" i="4"/>
  <c r="AX248" i="4"/>
  <c r="AW248" i="4"/>
  <c r="AV248" i="4"/>
  <c r="AP248" i="4"/>
  <c r="AM248" i="4"/>
  <c r="AX247" i="4"/>
  <c r="AW247" i="4"/>
  <c r="AV247" i="4"/>
  <c r="AP247" i="4"/>
  <c r="AM247" i="4"/>
  <c r="AX246" i="4"/>
  <c r="AW246" i="4"/>
  <c r="AV246" i="4"/>
  <c r="AP246" i="4"/>
  <c r="AM246" i="4"/>
  <c r="AX245" i="4"/>
  <c r="AW245" i="4"/>
  <c r="AV245" i="4"/>
  <c r="AP245" i="4"/>
  <c r="AM245" i="4"/>
  <c r="AX244" i="4"/>
  <c r="AW244" i="4"/>
  <c r="AV244" i="4"/>
  <c r="AP244" i="4"/>
  <c r="AM244" i="4"/>
  <c r="AX243" i="4"/>
  <c r="AW243" i="4"/>
  <c r="AV243" i="4"/>
  <c r="AP243" i="4"/>
  <c r="AM243" i="4"/>
  <c r="AX242" i="4"/>
  <c r="AW242" i="4"/>
  <c r="AV242" i="4"/>
  <c r="AP242" i="4"/>
  <c r="AM242" i="4"/>
  <c r="AX241" i="4"/>
  <c r="AW241" i="4"/>
  <c r="AV241" i="4"/>
  <c r="AP241" i="4"/>
  <c r="AM241" i="4"/>
  <c r="AX240" i="4"/>
  <c r="AW240" i="4"/>
  <c r="AV240" i="4"/>
  <c r="AP240" i="4"/>
  <c r="AM240" i="4"/>
  <c r="AX239" i="4"/>
  <c r="AW239" i="4"/>
  <c r="AV239" i="4"/>
  <c r="AP239" i="4"/>
  <c r="AM239" i="4"/>
  <c r="AX238" i="4"/>
  <c r="AW238" i="4"/>
  <c r="AV238" i="4"/>
  <c r="AP238" i="4"/>
  <c r="AM238" i="4"/>
  <c r="AX237" i="4"/>
  <c r="AW237" i="4"/>
  <c r="AV237" i="4"/>
  <c r="AP237" i="4"/>
  <c r="AM237" i="4"/>
  <c r="AX236" i="4"/>
  <c r="AW236" i="4"/>
  <c r="AV236" i="4"/>
  <c r="AP236" i="4"/>
  <c r="AM236" i="4"/>
  <c r="AX235" i="4"/>
  <c r="AW235" i="4"/>
  <c r="AV235" i="4"/>
  <c r="AP235" i="4"/>
  <c r="AM235" i="4"/>
  <c r="AX234" i="4"/>
  <c r="AW234" i="4"/>
  <c r="AV234" i="4"/>
  <c r="AP234" i="4"/>
  <c r="AM234" i="4"/>
  <c r="AX233" i="4"/>
  <c r="AW233" i="4"/>
  <c r="AV233" i="4"/>
  <c r="AP233" i="4"/>
  <c r="AM233" i="4"/>
  <c r="AX232" i="4"/>
  <c r="AW232" i="4"/>
  <c r="AV232" i="4"/>
  <c r="AP232" i="4"/>
  <c r="AM232" i="4"/>
  <c r="AX231" i="4"/>
  <c r="AW231" i="4"/>
  <c r="AV231" i="4"/>
  <c r="AP231" i="4"/>
  <c r="AM231" i="4"/>
  <c r="AX230" i="4"/>
  <c r="AW230" i="4"/>
  <c r="AV230" i="4"/>
  <c r="AP230" i="4"/>
  <c r="AM230" i="4"/>
  <c r="AX229" i="4"/>
  <c r="AW229" i="4"/>
  <c r="AV229" i="4"/>
  <c r="AP229" i="4"/>
  <c r="AM229" i="4"/>
  <c r="AX228" i="4"/>
  <c r="AW228" i="4"/>
  <c r="AV228" i="4"/>
  <c r="AP228" i="4"/>
  <c r="AM228" i="4"/>
  <c r="AX227" i="4"/>
  <c r="AW227" i="4"/>
  <c r="AV227" i="4"/>
  <c r="AP227" i="4"/>
  <c r="AM227" i="4"/>
  <c r="AX226" i="4"/>
  <c r="AW226" i="4"/>
  <c r="AV226" i="4"/>
  <c r="AP226" i="4"/>
  <c r="AM226" i="4"/>
  <c r="AX225" i="4"/>
  <c r="AW225" i="4"/>
  <c r="AV225" i="4"/>
  <c r="AP225" i="4"/>
  <c r="AM225" i="4"/>
  <c r="AX224" i="4"/>
  <c r="AW224" i="4"/>
  <c r="AV224" i="4"/>
  <c r="AP224" i="4"/>
  <c r="AM224" i="4"/>
  <c r="AX223" i="4"/>
  <c r="AW223" i="4"/>
  <c r="AV223" i="4"/>
  <c r="AP223" i="4"/>
  <c r="AM223" i="4"/>
  <c r="AX222" i="4"/>
  <c r="AW222" i="4"/>
  <c r="AV222" i="4"/>
  <c r="AP222" i="4"/>
  <c r="AM222" i="4"/>
  <c r="AX221" i="4"/>
  <c r="AW221" i="4"/>
  <c r="AV221" i="4"/>
  <c r="AP221" i="4"/>
  <c r="AM221" i="4"/>
  <c r="AX220" i="4"/>
  <c r="AW220" i="4"/>
  <c r="AV220" i="4"/>
  <c r="AP220" i="4"/>
  <c r="AM220" i="4"/>
  <c r="AX219" i="4"/>
  <c r="AW219" i="4"/>
  <c r="AV219" i="4"/>
  <c r="AP219" i="4"/>
  <c r="AM219" i="4"/>
  <c r="AX218" i="4"/>
  <c r="AW218" i="4"/>
  <c r="AV218" i="4"/>
  <c r="AP218" i="4"/>
  <c r="AM218" i="4"/>
  <c r="AX217" i="4"/>
  <c r="AW217" i="4"/>
  <c r="AV217" i="4"/>
  <c r="AP217" i="4"/>
  <c r="AM217" i="4"/>
  <c r="AX216" i="4"/>
  <c r="AW216" i="4"/>
  <c r="AV216" i="4"/>
  <c r="AP216" i="4"/>
  <c r="AM216" i="4"/>
  <c r="AX215" i="4"/>
  <c r="AW215" i="4"/>
  <c r="AV215" i="4"/>
  <c r="AP215" i="4"/>
  <c r="AM215" i="4"/>
  <c r="AX214" i="4"/>
  <c r="AW214" i="4"/>
  <c r="AV214" i="4"/>
  <c r="AP214" i="4"/>
  <c r="AM214" i="4"/>
  <c r="AX213" i="4"/>
  <c r="AW213" i="4"/>
  <c r="AV213" i="4"/>
  <c r="AP213" i="4"/>
  <c r="AM213" i="4"/>
  <c r="AX212" i="4"/>
  <c r="AW212" i="4"/>
  <c r="AV212" i="4"/>
  <c r="AP212" i="4"/>
  <c r="AM212" i="4"/>
  <c r="AX211" i="4"/>
  <c r="AW211" i="4"/>
  <c r="AV211" i="4"/>
  <c r="AP211" i="4"/>
  <c r="AM211" i="4"/>
  <c r="AX210" i="4"/>
  <c r="AW210" i="4"/>
  <c r="AV210" i="4"/>
  <c r="AP210" i="4"/>
  <c r="AM210" i="4"/>
  <c r="AX209" i="4"/>
  <c r="AW209" i="4"/>
  <c r="AV209" i="4"/>
  <c r="AP209" i="4"/>
  <c r="AM209" i="4"/>
  <c r="AX208" i="4"/>
  <c r="AW208" i="4"/>
  <c r="AV208" i="4"/>
  <c r="AP208" i="4"/>
  <c r="AM208" i="4"/>
  <c r="AX207" i="4"/>
  <c r="AW207" i="4"/>
  <c r="AV207" i="4"/>
  <c r="AP207" i="4"/>
  <c r="AM207" i="4"/>
  <c r="AX206" i="4"/>
  <c r="AW206" i="4"/>
  <c r="AV206" i="4"/>
  <c r="AP206" i="4"/>
  <c r="AM206" i="4"/>
  <c r="AX205" i="4"/>
  <c r="AW205" i="4"/>
  <c r="AV205" i="4"/>
  <c r="AP205" i="4"/>
  <c r="AM205" i="4"/>
  <c r="AX204" i="4"/>
  <c r="AW204" i="4"/>
  <c r="AV204" i="4"/>
  <c r="AP204" i="4"/>
  <c r="AM204" i="4"/>
  <c r="AX203" i="4"/>
  <c r="AW203" i="4"/>
  <c r="AV203" i="4"/>
  <c r="AP203" i="4"/>
  <c r="AM203" i="4"/>
  <c r="AX202" i="4"/>
  <c r="AW202" i="4"/>
  <c r="AV202" i="4"/>
  <c r="AP202" i="4"/>
  <c r="AM202" i="4"/>
  <c r="AX201" i="4"/>
  <c r="AW201" i="4"/>
  <c r="AV201" i="4"/>
  <c r="AP201" i="4"/>
  <c r="AM201" i="4"/>
  <c r="AX200" i="4"/>
  <c r="AW200" i="4"/>
  <c r="AV200" i="4"/>
  <c r="AP200" i="4"/>
  <c r="AM200" i="4"/>
  <c r="AX199" i="4"/>
  <c r="AW199" i="4"/>
  <c r="AV199" i="4"/>
  <c r="AP199" i="4"/>
  <c r="AM199" i="4"/>
  <c r="AX198" i="4"/>
  <c r="AW198" i="4"/>
  <c r="AV198" i="4"/>
  <c r="AP198" i="4"/>
  <c r="AM198" i="4"/>
  <c r="AX197" i="4"/>
  <c r="AW197" i="4"/>
  <c r="AV197" i="4"/>
  <c r="AP197" i="4"/>
  <c r="AM197" i="4"/>
  <c r="AX196" i="4"/>
  <c r="AW196" i="4"/>
  <c r="AV196" i="4"/>
  <c r="AP196" i="4"/>
  <c r="AM196" i="4"/>
  <c r="AX195" i="4"/>
  <c r="AW195" i="4"/>
  <c r="AV195" i="4"/>
  <c r="AP195" i="4"/>
  <c r="AM195" i="4"/>
  <c r="AX194" i="4"/>
  <c r="AW194" i="4"/>
  <c r="AV194" i="4"/>
  <c r="AP194" i="4"/>
  <c r="AM194" i="4"/>
  <c r="AX193" i="4"/>
  <c r="AW193" i="4"/>
  <c r="AV193" i="4"/>
  <c r="AP193" i="4"/>
  <c r="AM193" i="4"/>
  <c r="AX192" i="4"/>
  <c r="AW192" i="4"/>
  <c r="AV192" i="4"/>
  <c r="AP192" i="4"/>
  <c r="AM192" i="4"/>
  <c r="AX191" i="4"/>
  <c r="AW191" i="4"/>
  <c r="AV191" i="4"/>
  <c r="AP191" i="4"/>
  <c r="AM191" i="4"/>
  <c r="AX190" i="4"/>
  <c r="AW190" i="4"/>
  <c r="AV190" i="4"/>
  <c r="AP190" i="4"/>
  <c r="AM190" i="4"/>
  <c r="AX189" i="4"/>
  <c r="AW189" i="4"/>
  <c r="AV189" i="4"/>
  <c r="AP189" i="4"/>
  <c r="AM189" i="4"/>
  <c r="AX188" i="4"/>
  <c r="AW188" i="4"/>
  <c r="AV188" i="4"/>
  <c r="AP188" i="4"/>
  <c r="AM188" i="4"/>
  <c r="AX187" i="4"/>
  <c r="AW187" i="4"/>
  <c r="AV187" i="4"/>
  <c r="AP187" i="4"/>
  <c r="AM187" i="4"/>
  <c r="AX186" i="4"/>
  <c r="AW186" i="4"/>
  <c r="AV186" i="4"/>
  <c r="AP186" i="4"/>
  <c r="AM186" i="4"/>
  <c r="AX185" i="4"/>
  <c r="AW185" i="4"/>
  <c r="AV185" i="4"/>
  <c r="AP185" i="4"/>
  <c r="AM185" i="4"/>
  <c r="AX184" i="4"/>
  <c r="AW184" i="4"/>
  <c r="AV184" i="4"/>
  <c r="AP184" i="4"/>
  <c r="AM184" i="4"/>
  <c r="AX183" i="4"/>
  <c r="AW183" i="4"/>
  <c r="AV183" i="4"/>
  <c r="AP183" i="4"/>
  <c r="AM183" i="4"/>
  <c r="AX182" i="4"/>
  <c r="AW182" i="4"/>
  <c r="AV182" i="4"/>
  <c r="AP182" i="4"/>
  <c r="AM182" i="4"/>
  <c r="AX181" i="4"/>
  <c r="AW181" i="4"/>
  <c r="AV181" i="4"/>
  <c r="AP181" i="4"/>
  <c r="AM181" i="4"/>
  <c r="AX180" i="4"/>
  <c r="AW180" i="4"/>
  <c r="AV180" i="4"/>
  <c r="AP180" i="4"/>
  <c r="AM180" i="4"/>
  <c r="AX179" i="4"/>
  <c r="AW179" i="4"/>
  <c r="AV179" i="4"/>
  <c r="AP179" i="4"/>
  <c r="AM179" i="4"/>
  <c r="AX178" i="4"/>
  <c r="AW178" i="4"/>
  <c r="AV178" i="4"/>
  <c r="AP178" i="4"/>
  <c r="AM178" i="4"/>
  <c r="AX177" i="4"/>
  <c r="AW177" i="4"/>
  <c r="AV177" i="4"/>
  <c r="AP177" i="4"/>
  <c r="AM177" i="4"/>
  <c r="AX176" i="4"/>
  <c r="AW176" i="4"/>
  <c r="AV176" i="4"/>
  <c r="AP176" i="4"/>
  <c r="AM176" i="4"/>
  <c r="AX175" i="4"/>
  <c r="AW175" i="4"/>
  <c r="AV175" i="4"/>
  <c r="AP175" i="4"/>
  <c r="AM175" i="4"/>
  <c r="AX174" i="4"/>
  <c r="AW174" i="4"/>
  <c r="AV174" i="4"/>
  <c r="AP174" i="4"/>
  <c r="AM174" i="4"/>
  <c r="AX173" i="4"/>
  <c r="AW173" i="4"/>
  <c r="AV173" i="4"/>
  <c r="AP173" i="4"/>
  <c r="AM173" i="4"/>
  <c r="AX172" i="4"/>
  <c r="AW172" i="4"/>
  <c r="AV172" i="4"/>
  <c r="AP172" i="4"/>
  <c r="AM172" i="4"/>
  <c r="AX171" i="4"/>
  <c r="AW171" i="4"/>
  <c r="AV171" i="4"/>
  <c r="AP171" i="4"/>
  <c r="AM171" i="4"/>
  <c r="AX170" i="4"/>
  <c r="AW170" i="4"/>
  <c r="AV170" i="4"/>
  <c r="AP170" i="4"/>
  <c r="AM170" i="4"/>
  <c r="AX169" i="4"/>
  <c r="AW169" i="4"/>
  <c r="AV169" i="4"/>
  <c r="AP169" i="4"/>
  <c r="AM169" i="4"/>
  <c r="AX168" i="4"/>
  <c r="AW168" i="4"/>
  <c r="AV168" i="4"/>
  <c r="AP168" i="4"/>
  <c r="AM168" i="4"/>
  <c r="AX167" i="4"/>
  <c r="AW167" i="4"/>
  <c r="AV167" i="4"/>
  <c r="AP167" i="4"/>
  <c r="AM167" i="4"/>
  <c r="AX166" i="4"/>
  <c r="AW166" i="4"/>
  <c r="AV166" i="4"/>
  <c r="AP166" i="4"/>
  <c r="AM166" i="4"/>
  <c r="AX165" i="4"/>
  <c r="AW165" i="4"/>
  <c r="AV165" i="4"/>
  <c r="AP165" i="4"/>
  <c r="AM165" i="4"/>
  <c r="AX164" i="4"/>
  <c r="AW164" i="4"/>
  <c r="AV164" i="4"/>
  <c r="AP164" i="4"/>
  <c r="AM164" i="4"/>
  <c r="AX163" i="4"/>
  <c r="AW163" i="4"/>
  <c r="AV163" i="4"/>
  <c r="AP163" i="4"/>
  <c r="AM163" i="4"/>
  <c r="AX162" i="4"/>
  <c r="AW162" i="4"/>
  <c r="AV162" i="4"/>
  <c r="AP162" i="4"/>
  <c r="AM162" i="4"/>
  <c r="AX161" i="4"/>
  <c r="AW161" i="4"/>
  <c r="AV161" i="4"/>
  <c r="AP161" i="4"/>
  <c r="AM161" i="4"/>
  <c r="AX160" i="4"/>
  <c r="AW160" i="4"/>
  <c r="AV160" i="4"/>
  <c r="AP160" i="4"/>
  <c r="AM160" i="4"/>
  <c r="AX159" i="4"/>
  <c r="AW159" i="4"/>
  <c r="AV159" i="4"/>
  <c r="AP159" i="4"/>
  <c r="AM159" i="4"/>
  <c r="AX158" i="4"/>
  <c r="AW158" i="4"/>
  <c r="AV158" i="4"/>
  <c r="AP158" i="4"/>
  <c r="AM158" i="4"/>
  <c r="AX157" i="4"/>
  <c r="AW157" i="4"/>
  <c r="AV157" i="4"/>
  <c r="AP157" i="4"/>
  <c r="AM157" i="4"/>
  <c r="AX156" i="4"/>
  <c r="AW156" i="4"/>
  <c r="AV156" i="4"/>
  <c r="AP156" i="4"/>
  <c r="AM156" i="4"/>
  <c r="AX155" i="4"/>
  <c r="AW155" i="4"/>
  <c r="AV155" i="4"/>
  <c r="AP155" i="4"/>
  <c r="AM155" i="4"/>
  <c r="AX154" i="4"/>
  <c r="AW154" i="4"/>
  <c r="AV154" i="4"/>
  <c r="AP154" i="4"/>
  <c r="AM154" i="4"/>
  <c r="AX153" i="4"/>
  <c r="AW153" i="4"/>
  <c r="AV153" i="4"/>
  <c r="AP153" i="4"/>
  <c r="AM153" i="4"/>
  <c r="AX152" i="4"/>
  <c r="AW152" i="4"/>
  <c r="AV152" i="4"/>
  <c r="AP152" i="4"/>
  <c r="AM152" i="4"/>
  <c r="AX151" i="4"/>
  <c r="AW151" i="4"/>
  <c r="AV151" i="4"/>
  <c r="AP151" i="4"/>
  <c r="AM151" i="4"/>
  <c r="AX150" i="4"/>
  <c r="AW150" i="4"/>
  <c r="AV150" i="4"/>
  <c r="AP150" i="4"/>
  <c r="AM150" i="4"/>
  <c r="AX149" i="4"/>
  <c r="AW149" i="4"/>
  <c r="AV149" i="4"/>
  <c r="AP149" i="4"/>
  <c r="AM149" i="4"/>
  <c r="AX148" i="4"/>
  <c r="AW148" i="4"/>
  <c r="AV148" i="4"/>
  <c r="AP148" i="4"/>
  <c r="AM148" i="4"/>
  <c r="AX147" i="4"/>
  <c r="AW147" i="4"/>
  <c r="AV147" i="4"/>
  <c r="AP147" i="4"/>
  <c r="AM147" i="4"/>
  <c r="AX146" i="4"/>
  <c r="AW146" i="4"/>
  <c r="AV146" i="4"/>
  <c r="AP146" i="4"/>
  <c r="AM146" i="4"/>
  <c r="AX145" i="4"/>
  <c r="AW145" i="4"/>
  <c r="AV145" i="4"/>
  <c r="AP145" i="4"/>
  <c r="AM145" i="4"/>
  <c r="AX144" i="4"/>
  <c r="AW144" i="4"/>
  <c r="AV144" i="4"/>
  <c r="AP144" i="4"/>
  <c r="AM144" i="4"/>
  <c r="AX143" i="4"/>
  <c r="AW143" i="4"/>
  <c r="AV143" i="4"/>
  <c r="AP143" i="4"/>
  <c r="AM143" i="4"/>
  <c r="AX142" i="4"/>
  <c r="AW142" i="4"/>
  <c r="AV142" i="4"/>
  <c r="AP142" i="4"/>
  <c r="AM142" i="4"/>
  <c r="AX141" i="4"/>
  <c r="AW141" i="4"/>
  <c r="AV141" i="4"/>
  <c r="AP141" i="4"/>
  <c r="AM141" i="4"/>
  <c r="AX140" i="4"/>
  <c r="AW140" i="4"/>
  <c r="AV140" i="4"/>
  <c r="AP140" i="4"/>
  <c r="AM140" i="4"/>
  <c r="AX139" i="4"/>
  <c r="AW139" i="4"/>
  <c r="AV139" i="4"/>
  <c r="AP139" i="4"/>
  <c r="AM139" i="4"/>
  <c r="AX138" i="4"/>
  <c r="AW138" i="4"/>
  <c r="AV138" i="4"/>
  <c r="AP138" i="4"/>
  <c r="AM138" i="4"/>
  <c r="AX137" i="4"/>
  <c r="AW137" i="4"/>
  <c r="AV137" i="4"/>
  <c r="AP137" i="4"/>
  <c r="AM137" i="4"/>
  <c r="AX136" i="4"/>
  <c r="AW136" i="4"/>
  <c r="AV136" i="4"/>
  <c r="AP136" i="4"/>
  <c r="AM136" i="4"/>
  <c r="AX135" i="4"/>
  <c r="AW135" i="4"/>
  <c r="AV135" i="4"/>
  <c r="AP135" i="4"/>
  <c r="AM135" i="4"/>
  <c r="AX134" i="4"/>
  <c r="AW134" i="4"/>
  <c r="AV134" i="4"/>
  <c r="AP134" i="4"/>
  <c r="AM134" i="4"/>
  <c r="AX133" i="4"/>
  <c r="AW133" i="4"/>
  <c r="AV133" i="4"/>
  <c r="AP133" i="4"/>
  <c r="AM133" i="4"/>
  <c r="AX132" i="4"/>
  <c r="AW132" i="4"/>
  <c r="AV132" i="4"/>
  <c r="AP132" i="4"/>
  <c r="AM132" i="4"/>
  <c r="AX131" i="4"/>
  <c r="AW131" i="4"/>
  <c r="AV131" i="4"/>
  <c r="AX130" i="4"/>
  <c r="AW130" i="4"/>
  <c r="AV130" i="4"/>
  <c r="AX129" i="4"/>
  <c r="AW129" i="4"/>
  <c r="AV129" i="4"/>
  <c r="AX128" i="4"/>
  <c r="AW128" i="4"/>
  <c r="AV128" i="4"/>
  <c r="AX126" i="4"/>
  <c r="AW126" i="4"/>
  <c r="AV126" i="4"/>
  <c r="AX125" i="4"/>
  <c r="AW125" i="4"/>
  <c r="AV125" i="4"/>
  <c r="AM125" i="4"/>
  <c r="AX124" i="4"/>
  <c r="AW124" i="4"/>
  <c r="AV124" i="4"/>
  <c r="AP124" i="4"/>
  <c r="AM124" i="4"/>
  <c r="AX123" i="4"/>
  <c r="AW123" i="4"/>
  <c r="AV123" i="4"/>
  <c r="AP123" i="4"/>
  <c r="AM123" i="4"/>
  <c r="AX122" i="4"/>
  <c r="AW122" i="4"/>
  <c r="AV122" i="4"/>
  <c r="AP122" i="4"/>
  <c r="AM122" i="4"/>
  <c r="AX121" i="4"/>
  <c r="AW121" i="4"/>
  <c r="AV121" i="4"/>
  <c r="AP121" i="4"/>
  <c r="AM121" i="4"/>
  <c r="AX120" i="4"/>
  <c r="AW120" i="4"/>
  <c r="AV120" i="4"/>
  <c r="AP120" i="4"/>
  <c r="AM120" i="4"/>
  <c r="AX119" i="4"/>
  <c r="AW119" i="4"/>
  <c r="AV119" i="4"/>
  <c r="AP119" i="4"/>
  <c r="AM119" i="4"/>
  <c r="AX118" i="4"/>
  <c r="AW118" i="4"/>
  <c r="AV118" i="4"/>
  <c r="AX117" i="4"/>
  <c r="AW117" i="4"/>
  <c r="AV117" i="4"/>
  <c r="AX116" i="4"/>
  <c r="AW116" i="4"/>
  <c r="AV116" i="4"/>
  <c r="AX115" i="4"/>
  <c r="AW115" i="4"/>
  <c r="AV115" i="4"/>
  <c r="AX114" i="4"/>
  <c r="AW114" i="4"/>
  <c r="AV114" i="4"/>
  <c r="AM114" i="4"/>
  <c r="AX113" i="4"/>
  <c r="AW113" i="4"/>
  <c r="AV113" i="4"/>
  <c r="AP113" i="4"/>
  <c r="AM113" i="4"/>
  <c r="AX112" i="4"/>
  <c r="AW112" i="4"/>
  <c r="AV112" i="4"/>
  <c r="AP112" i="4"/>
  <c r="AM112" i="4"/>
  <c r="AX111" i="4"/>
  <c r="AW111" i="4"/>
  <c r="AV111" i="4"/>
  <c r="AP111" i="4"/>
  <c r="AM111" i="4"/>
  <c r="AX110" i="4"/>
  <c r="AW110" i="4"/>
  <c r="AV110" i="4"/>
  <c r="AP110" i="4"/>
  <c r="AM110" i="4"/>
  <c r="AX109" i="4"/>
  <c r="AW109" i="4"/>
  <c r="AV109" i="4"/>
  <c r="AP109" i="4"/>
  <c r="AM109" i="4"/>
  <c r="AX108" i="4"/>
  <c r="AW108" i="4"/>
  <c r="AV108" i="4"/>
  <c r="AP108" i="4"/>
  <c r="AM108" i="4"/>
  <c r="AX107" i="4"/>
  <c r="AW107" i="4"/>
  <c r="AV107" i="4"/>
  <c r="AP107" i="4"/>
  <c r="AM107" i="4"/>
  <c r="AX106" i="4"/>
  <c r="AW106" i="4"/>
  <c r="AV106" i="4"/>
  <c r="AP106" i="4"/>
  <c r="AM106" i="4"/>
  <c r="AX105" i="4"/>
  <c r="AW105" i="4"/>
  <c r="AV105" i="4"/>
  <c r="AP105" i="4"/>
  <c r="AM105" i="4"/>
  <c r="AX104" i="4"/>
  <c r="AW104" i="4"/>
  <c r="AV104" i="4"/>
  <c r="AP104" i="4"/>
  <c r="AM104" i="4"/>
  <c r="AX103" i="4"/>
  <c r="AW103" i="4"/>
  <c r="AV103" i="4"/>
  <c r="AP103" i="4"/>
  <c r="AM103" i="4"/>
  <c r="AX102" i="4"/>
  <c r="AW102" i="4"/>
  <c r="AV102" i="4"/>
  <c r="AP102" i="4"/>
  <c r="AM102" i="4"/>
  <c r="AX101" i="4"/>
  <c r="AW101" i="4"/>
  <c r="AV101" i="4"/>
  <c r="AP101" i="4"/>
  <c r="AM101" i="4"/>
  <c r="AX100" i="4"/>
  <c r="AW100" i="4"/>
  <c r="AV100" i="4"/>
  <c r="AP100" i="4"/>
  <c r="AM100" i="4"/>
  <c r="AX99" i="4"/>
  <c r="AW99" i="4"/>
  <c r="AV99" i="4"/>
  <c r="AP99" i="4"/>
  <c r="AM99" i="4"/>
  <c r="AX98" i="4"/>
  <c r="AW98" i="4"/>
  <c r="AV98" i="4"/>
  <c r="AP98" i="4"/>
  <c r="AM98" i="4"/>
  <c r="AX97" i="4"/>
  <c r="AW97" i="4"/>
  <c r="AV97" i="4"/>
  <c r="AP97" i="4"/>
  <c r="AM97" i="4"/>
  <c r="AX96" i="4"/>
  <c r="AW96" i="4"/>
  <c r="AV96" i="4"/>
  <c r="AP96" i="4"/>
  <c r="AM96" i="4"/>
  <c r="AX95" i="4"/>
  <c r="AW95" i="4"/>
  <c r="AV95" i="4"/>
  <c r="AP95" i="4"/>
  <c r="AM95" i="4"/>
  <c r="AX94" i="4"/>
  <c r="AW94" i="4"/>
  <c r="AV94" i="4"/>
  <c r="AP94" i="4"/>
  <c r="AM94" i="4"/>
  <c r="AX93" i="4"/>
  <c r="AW93" i="4"/>
  <c r="AV93" i="4"/>
  <c r="AP93" i="4"/>
  <c r="AM93" i="4"/>
  <c r="AX92" i="4"/>
  <c r="AW92" i="4"/>
  <c r="AV92" i="4"/>
  <c r="AP92" i="4"/>
  <c r="AM92" i="4"/>
  <c r="AX91" i="4"/>
  <c r="AW91" i="4"/>
  <c r="AV91" i="4"/>
  <c r="AP91" i="4"/>
  <c r="AM91" i="4"/>
  <c r="AX90" i="4"/>
  <c r="AW90" i="4"/>
  <c r="AV90" i="4"/>
  <c r="AP90" i="4"/>
  <c r="AM90" i="4"/>
  <c r="AX89" i="4"/>
  <c r="AW89" i="4"/>
  <c r="AV89" i="4"/>
  <c r="AP89" i="4"/>
  <c r="AM89" i="4"/>
  <c r="AX88" i="4"/>
  <c r="AW88" i="4"/>
  <c r="AV88" i="4"/>
  <c r="AP88" i="4"/>
  <c r="AM88" i="4"/>
  <c r="AX87" i="4"/>
  <c r="AW87" i="4"/>
  <c r="AV87" i="4"/>
  <c r="AP87" i="4"/>
  <c r="AM87" i="4"/>
  <c r="AX86" i="4"/>
  <c r="AW86" i="4"/>
  <c r="AV86" i="4"/>
  <c r="AP86" i="4"/>
  <c r="AM86" i="4"/>
  <c r="AX85" i="4"/>
  <c r="AW85" i="4"/>
  <c r="AV85" i="4"/>
  <c r="AP85" i="4"/>
  <c r="AM85" i="4"/>
  <c r="AX84" i="4"/>
  <c r="AW84" i="4"/>
  <c r="AV84" i="4"/>
  <c r="AP84" i="4"/>
  <c r="AM84" i="4"/>
  <c r="AX83" i="4"/>
  <c r="AW83" i="4"/>
  <c r="AV83" i="4"/>
  <c r="AP83" i="4"/>
  <c r="AM83" i="4"/>
  <c r="AX82" i="4"/>
  <c r="AW82" i="4"/>
  <c r="AV82" i="4"/>
  <c r="AP82" i="4"/>
  <c r="AM82" i="4"/>
  <c r="AX81" i="4"/>
  <c r="AW81" i="4"/>
  <c r="AV81" i="4"/>
  <c r="AP81" i="4"/>
  <c r="AM81" i="4"/>
  <c r="AX80" i="4"/>
  <c r="AW80" i="4"/>
  <c r="AV80" i="4"/>
  <c r="AP80" i="4"/>
  <c r="AM80" i="4"/>
  <c r="AX79" i="4"/>
  <c r="AW79" i="4"/>
  <c r="AV79" i="4"/>
  <c r="AX78" i="4"/>
  <c r="AW78" i="4"/>
  <c r="AV78" i="4"/>
  <c r="AX77" i="4"/>
  <c r="AW77" i="4"/>
  <c r="AV77" i="4"/>
  <c r="AX76" i="4"/>
  <c r="AW76" i="4"/>
  <c r="AV76" i="4"/>
  <c r="AX75" i="4"/>
  <c r="AW75" i="4"/>
  <c r="AV75" i="4"/>
  <c r="AX74" i="4"/>
  <c r="AW74" i="4"/>
  <c r="AV74" i="4"/>
  <c r="AX73" i="4"/>
  <c r="AW73" i="4"/>
  <c r="AV73" i="4"/>
  <c r="AP73" i="4"/>
  <c r="AM73" i="4"/>
  <c r="AX72" i="4"/>
  <c r="AW72" i="4"/>
  <c r="AV72" i="4"/>
  <c r="AP72" i="4"/>
  <c r="AM72" i="4"/>
  <c r="AX71" i="4"/>
  <c r="AW71" i="4"/>
  <c r="AV71" i="4"/>
  <c r="AP71" i="4"/>
  <c r="AM71" i="4"/>
  <c r="AX70" i="4"/>
  <c r="AW70" i="4"/>
  <c r="AV70" i="4"/>
  <c r="AP70" i="4"/>
  <c r="AM70" i="4"/>
  <c r="AX69" i="4"/>
  <c r="AW69" i="4"/>
  <c r="AV69" i="4"/>
  <c r="AP69" i="4"/>
  <c r="AM69" i="4"/>
  <c r="AX68" i="4"/>
  <c r="AW68" i="4"/>
  <c r="AV68" i="4"/>
  <c r="AP68" i="4"/>
  <c r="AM68" i="4"/>
  <c r="AX67" i="4"/>
  <c r="AW67" i="4"/>
  <c r="AV67" i="4"/>
  <c r="AP67" i="4"/>
  <c r="AM67" i="4"/>
  <c r="AX66" i="4"/>
  <c r="AW66" i="4"/>
  <c r="AV66" i="4"/>
  <c r="AX65" i="4"/>
  <c r="AW65" i="4"/>
  <c r="AV65" i="4"/>
  <c r="AX64" i="4"/>
  <c r="AW64" i="4"/>
  <c r="AV64" i="4"/>
  <c r="AX63" i="4"/>
  <c r="AW63" i="4"/>
  <c r="AV63" i="4"/>
  <c r="AX62" i="4"/>
  <c r="AW62" i="4"/>
  <c r="AV62" i="4"/>
  <c r="AX61" i="4"/>
  <c r="AW61" i="4"/>
  <c r="AV61" i="4"/>
  <c r="AX60" i="4"/>
  <c r="AW60" i="4"/>
  <c r="AV60" i="4"/>
  <c r="AP60" i="4"/>
  <c r="AM60" i="4"/>
  <c r="AX59" i="4"/>
  <c r="AW59" i="4"/>
  <c r="AV59" i="4"/>
  <c r="AP59" i="4"/>
  <c r="AM59" i="4"/>
  <c r="AX58" i="4"/>
  <c r="AW58" i="4"/>
  <c r="AV58" i="4"/>
  <c r="AP58" i="4"/>
  <c r="AM58" i="4"/>
  <c r="AX57" i="4"/>
  <c r="AW57" i="4"/>
  <c r="AV57" i="4"/>
  <c r="AP57" i="4"/>
  <c r="AM57" i="4"/>
  <c r="AX56" i="4"/>
  <c r="AW56" i="4"/>
  <c r="AV56" i="4"/>
  <c r="AP56" i="4"/>
  <c r="AM56" i="4"/>
  <c r="AX55" i="4"/>
  <c r="AW55" i="4"/>
  <c r="AV55" i="4"/>
  <c r="AP55" i="4"/>
  <c r="AM55" i="4"/>
  <c r="AX54" i="4"/>
  <c r="AW54" i="4"/>
  <c r="AV54" i="4"/>
  <c r="AP54" i="4"/>
  <c r="AM54" i="4"/>
  <c r="AX53" i="4"/>
  <c r="AW53" i="4"/>
  <c r="AV53" i="4"/>
  <c r="AP53" i="4"/>
  <c r="AM53" i="4"/>
  <c r="AX52" i="4"/>
  <c r="AW52" i="4"/>
  <c r="AV52" i="4"/>
  <c r="AP52" i="4"/>
  <c r="AM52" i="4"/>
  <c r="AX51" i="4"/>
  <c r="AW51" i="4"/>
  <c r="AV51" i="4"/>
  <c r="AP51" i="4"/>
  <c r="AM51" i="4"/>
  <c r="AX50" i="4"/>
  <c r="AW50" i="4"/>
  <c r="AV50" i="4"/>
  <c r="AP50" i="4"/>
  <c r="AM50" i="4"/>
  <c r="AX49" i="4"/>
  <c r="AW49" i="4"/>
  <c r="AV49" i="4"/>
  <c r="AP49" i="4"/>
  <c r="AM49" i="4"/>
  <c r="AX48" i="4"/>
  <c r="AW48" i="4"/>
  <c r="AV48" i="4"/>
  <c r="AP48" i="4"/>
  <c r="AM48" i="4"/>
  <c r="AX47" i="4"/>
  <c r="AW47" i="4"/>
  <c r="AV47" i="4"/>
  <c r="AP47" i="4"/>
  <c r="AM47" i="4"/>
  <c r="AX46" i="4"/>
  <c r="AW46" i="4"/>
  <c r="AV46" i="4"/>
  <c r="AP46" i="4"/>
  <c r="AM46" i="4"/>
  <c r="AX45" i="4"/>
  <c r="AW45" i="4"/>
  <c r="AV45" i="4"/>
  <c r="AP45" i="4"/>
  <c r="AM45" i="4"/>
  <c r="AX44" i="4"/>
  <c r="AW44" i="4"/>
  <c r="AV44" i="4"/>
  <c r="AP44" i="4"/>
  <c r="AM44" i="4"/>
  <c r="AX43" i="4"/>
  <c r="AW43" i="4"/>
  <c r="AV43" i="4"/>
  <c r="AP43" i="4"/>
  <c r="AM43" i="4"/>
  <c r="AX42" i="4"/>
  <c r="AW42" i="4"/>
  <c r="AV42" i="4"/>
  <c r="AP42" i="4"/>
  <c r="AM42" i="4"/>
  <c r="AX41" i="4"/>
  <c r="AW41" i="4"/>
  <c r="AV41" i="4"/>
  <c r="AP41" i="4"/>
  <c r="AM41" i="4"/>
  <c r="AX40" i="4"/>
  <c r="AW40" i="4"/>
  <c r="AV40" i="4"/>
  <c r="AP40" i="4"/>
  <c r="AM40" i="4"/>
  <c r="AX39" i="4"/>
  <c r="AW39" i="4"/>
  <c r="AV39" i="4"/>
  <c r="AP39" i="4"/>
  <c r="AM39" i="4"/>
  <c r="AX38" i="4"/>
  <c r="AW38" i="4"/>
  <c r="AV38" i="4"/>
  <c r="AP38" i="4"/>
  <c r="AM38" i="4"/>
  <c r="AX37" i="4"/>
  <c r="AW37" i="4"/>
  <c r="AV37" i="4"/>
  <c r="AP37" i="4"/>
  <c r="AM37" i="4"/>
  <c r="AX36" i="4"/>
  <c r="AW36" i="4"/>
  <c r="AV36" i="4"/>
  <c r="AP36" i="4"/>
  <c r="AM36" i="4"/>
  <c r="AX35" i="4"/>
  <c r="AW35" i="4"/>
  <c r="AV35" i="4"/>
  <c r="AP35" i="4"/>
  <c r="AM35" i="4"/>
  <c r="AX34" i="4"/>
  <c r="AW34" i="4"/>
  <c r="AV34" i="4"/>
  <c r="AP34" i="4"/>
  <c r="AM34" i="4"/>
  <c r="AX33" i="4"/>
  <c r="AW33" i="4"/>
  <c r="AV33" i="4"/>
  <c r="AP33" i="4"/>
  <c r="AM33" i="4"/>
  <c r="AX32" i="4"/>
  <c r="AW32" i="4"/>
  <c r="AV32" i="4"/>
  <c r="AP32" i="4"/>
  <c r="AM32" i="4"/>
  <c r="AX31" i="4"/>
  <c r="AW31" i="4"/>
  <c r="AV31" i="4"/>
  <c r="AP31" i="4"/>
  <c r="AM31" i="4"/>
  <c r="AX30" i="4"/>
  <c r="AW30" i="4"/>
  <c r="AV30" i="4"/>
  <c r="AP30" i="4"/>
  <c r="AM30" i="4"/>
  <c r="AX29" i="4"/>
  <c r="AW29" i="4"/>
  <c r="AV29" i="4"/>
  <c r="AP29" i="4"/>
  <c r="AM29" i="4"/>
  <c r="AX28" i="4"/>
  <c r="AW28" i="4"/>
  <c r="AV28" i="4"/>
  <c r="AP28" i="4"/>
  <c r="AM28" i="4"/>
  <c r="AX27" i="4"/>
  <c r="AW27" i="4"/>
  <c r="AV27" i="4"/>
  <c r="AX26" i="4"/>
  <c r="AW26" i="4"/>
  <c r="AV26" i="4"/>
  <c r="AX25" i="4"/>
  <c r="AW25" i="4"/>
  <c r="AV25" i="4"/>
  <c r="AX24" i="4"/>
  <c r="AW24" i="4"/>
  <c r="AV24" i="4"/>
  <c r="AX23" i="4"/>
  <c r="AW23" i="4"/>
  <c r="AV23" i="4"/>
  <c r="AX22" i="4"/>
  <c r="AW22" i="4"/>
  <c r="AV22" i="4"/>
  <c r="AX21" i="4"/>
  <c r="AW21" i="4"/>
  <c r="AV21" i="4"/>
  <c r="AP21" i="4"/>
  <c r="AM21" i="4"/>
  <c r="AX20" i="4"/>
  <c r="AW20" i="4"/>
  <c r="AV20" i="4"/>
  <c r="AP20" i="4"/>
  <c r="AM20" i="4"/>
  <c r="AX19" i="4"/>
  <c r="AW19" i="4"/>
  <c r="AV19" i="4"/>
  <c r="AP19" i="4"/>
  <c r="AM19" i="4"/>
  <c r="AX18" i="4"/>
  <c r="AW18" i="4"/>
  <c r="AV18" i="4"/>
  <c r="AP18" i="4"/>
  <c r="AM18" i="4"/>
  <c r="AX17" i="4"/>
  <c r="AW17" i="4"/>
  <c r="AV17" i="4"/>
  <c r="AX16" i="4"/>
  <c r="AW16" i="4"/>
  <c r="AV16" i="4"/>
  <c r="AP16" i="4"/>
  <c r="AM16" i="4"/>
  <c r="AX15" i="4"/>
  <c r="AW15" i="4"/>
  <c r="AV15" i="4"/>
  <c r="AP15" i="4"/>
  <c r="AM15" i="4"/>
  <c r="AX14" i="4"/>
  <c r="AW14" i="4"/>
  <c r="AV14" i="4"/>
  <c r="AX13" i="4"/>
  <c r="AW13" i="4"/>
  <c r="AV13" i="4"/>
  <c r="AX12" i="4"/>
  <c r="AW12" i="4"/>
  <c r="AV12" i="4"/>
  <c r="AX11" i="4"/>
  <c r="AW11" i="4"/>
  <c r="AV11" i="4"/>
  <c r="AX10" i="4"/>
  <c r="AW10" i="4"/>
  <c r="AV10" i="4"/>
  <c r="AX9" i="4"/>
  <c r="AW9" i="4"/>
  <c r="AV9" i="4"/>
  <c r="AX8" i="4"/>
  <c r="AW8" i="4"/>
  <c r="AV8" i="4"/>
  <c r="AX7" i="4"/>
  <c r="AW7" i="4"/>
  <c r="AV7" i="4"/>
  <c r="AP7" i="4"/>
  <c r="AM7" i="4"/>
  <c r="AK7" i="4"/>
  <c r="AO743" i="4" s="1"/>
  <c r="A7" i="4"/>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202" i="4" s="1"/>
  <c r="A203" i="4" s="1"/>
  <c r="A204" i="4" s="1"/>
  <c r="A205" i="4" s="1"/>
  <c r="A206" i="4" s="1"/>
  <c r="A207" i="4" s="1"/>
  <c r="A208" i="4" s="1"/>
  <c r="A209" i="4" s="1"/>
  <c r="A210" i="4" s="1"/>
  <c r="A211" i="4" s="1"/>
  <c r="A212" i="4" s="1"/>
  <c r="A213" i="4" s="1"/>
  <c r="A214" i="4" s="1"/>
  <c r="A215" i="4" s="1"/>
  <c r="A216" i="4" s="1"/>
  <c r="A217" i="4" s="1"/>
  <c r="A218" i="4" s="1"/>
  <c r="A219" i="4" s="1"/>
  <c r="A220" i="4" s="1"/>
  <c r="A221" i="4" s="1"/>
  <c r="A222" i="4" s="1"/>
  <c r="A223" i="4" s="1"/>
  <c r="A224" i="4" s="1"/>
  <c r="A225" i="4" s="1"/>
  <c r="A226" i="4" s="1"/>
  <c r="A227" i="4" s="1"/>
  <c r="A228" i="4" s="1"/>
  <c r="A229" i="4" s="1"/>
  <c r="A230" i="4" s="1"/>
  <c r="A231" i="4" s="1"/>
  <c r="A232" i="4" s="1"/>
  <c r="A233" i="4" s="1"/>
  <c r="A234" i="4" s="1"/>
  <c r="A235" i="4" s="1"/>
  <c r="A236" i="4" s="1"/>
  <c r="A237" i="4" s="1"/>
  <c r="A238" i="4" s="1"/>
  <c r="A239" i="4" s="1"/>
  <c r="A240" i="4" s="1"/>
  <c r="A241" i="4" s="1"/>
  <c r="A242" i="4" s="1"/>
  <c r="A243" i="4" s="1"/>
  <c r="A244" i="4" s="1"/>
  <c r="A245" i="4" s="1"/>
  <c r="A246" i="4" s="1"/>
  <c r="A247" i="4" s="1"/>
  <c r="A248" i="4" s="1"/>
  <c r="A249" i="4" s="1"/>
  <c r="A250" i="4" s="1"/>
  <c r="A251" i="4" s="1"/>
  <c r="A252" i="4" s="1"/>
  <c r="A253" i="4" s="1"/>
  <c r="A254" i="4" s="1"/>
  <c r="A255" i="4" s="1"/>
  <c r="A256" i="4" s="1"/>
  <c r="A257" i="4" s="1"/>
  <c r="A258" i="4" s="1"/>
  <c r="A259" i="4" s="1"/>
  <c r="A260" i="4" s="1"/>
  <c r="A261" i="4" s="1"/>
  <c r="A262" i="4" s="1"/>
  <c r="A263" i="4" s="1"/>
  <c r="A264" i="4" s="1"/>
  <c r="A265" i="4" s="1"/>
  <c r="A266" i="4" s="1"/>
  <c r="A267" i="4" s="1"/>
  <c r="A268" i="4" s="1"/>
  <c r="A269" i="4" s="1"/>
  <c r="A270" i="4" s="1"/>
  <c r="A271" i="4" s="1"/>
  <c r="A272" i="4" s="1"/>
  <c r="A273" i="4" s="1"/>
  <c r="A274" i="4" s="1"/>
  <c r="A275" i="4" s="1"/>
  <c r="A276" i="4" s="1"/>
  <c r="A277" i="4" s="1"/>
  <c r="A278" i="4" s="1"/>
  <c r="A279" i="4" s="1"/>
  <c r="A280" i="4" s="1"/>
  <c r="A281" i="4" s="1"/>
  <c r="A282" i="4" s="1"/>
  <c r="A283" i="4" s="1"/>
  <c r="A284" i="4" s="1"/>
  <c r="A285" i="4" s="1"/>
  <c r="A286" i="4" s="1"/>
  <c r="A287" i="4" s="1"/>
  <c r="A288" i="4" s="1"/>
  <c r="A289" i="4" s="1"/>
  <c r="A290" i="4" s="1"/>
  <c r="A291" i="4" s="1"/>
  <c r="A292" i="4" s="1"/>
  <c r="A293" i="4" s="1"/>
  <c r="A294" i="4" s="1"/>
  <c r="A295" i="4" s="1"/>
  <c r="A296" i="4" s="1"/>
  <c r="A297" i="4" s="1"/>
  <c r="A298" i="4" s="1"/>
  <c r="A299" i="4" s="1"/>
  <c r="A300" i="4" s="1"/>
  <c r="A301" i="4" s="1"/>
  <c r="A302" i="4" s="1"/>
  <c r="A303" i="4" s="1"/>
  <c r="A304" i="4" s="1"/>
  <c r="A305" i="4" s="1"/>
  <c r="A306" i="4" s="1"/>
  <c r="A307" i="4" s="1"/>
  <c r="A308" i="4" s="1"/>
  <c r="A309" i="4" s="1"/>
  <c r="A310" i="4" s="1"/>
  <c r="A311" i="4" s="1"/>
  <c r="A312" i="4" s="1"/>
  <c r="A313" i="4" s="1"/>
  <c r="A314" i="4" s="1"/>
  <c r="A315" i="4" s="1"/>
  <c r="A316" i="4" s="1"/>
  <c r="A317" i="4" s="1"/>
  <c r="A318" i="4" s="1"/>
  <c r="A319" i="4" s="1"/>
  <c r="A320" i="4" s="1"/>
  <c r="A321" i="4" s="1"/>
  <c r="A322" i="4" s="1"/>
  <c r="A323" i="4" s="1"/>
  <c r="A324" i="4" s="1"/>
  <c r="A325" i="4" s="1"/>
  <c r="A326" i="4" s="1"/>
  <c r="A327" i="4" s="1"/>
  <c r="A328" i="4" s="1"/>
  <c r="A329" i="4" s="1"/>
  <c r="A330" i="4" s="1"/>
  <c r="A331" i="4" s="1"/>
  <c r="A332" i="4" s="1"/>
  <c r="A333" i="4" s="1"/>
  <c r="A334" i="4" s="1"/>
  <c r="A335" i="4" s="1"/>
  <c r="A336" i="4" s="1"/>
  <c r="A337" i="4" s="1"/>
  <c r="A338" i="4" s="1"/>
  <c r="A339" i="4" s="1"/>
  <c r="A340" i="4" s="1"/>
  <c r="A341" i="4" s="1"/>
  <c r="A342" i="4" s="1"/>
  <c r="A343" i="4" s="1"/>
  <c r="A344" i="4" s="1"/>
  <c r="A345" i="4" s="1"/>
  <c r="A346" i="4" s="1"/>
  <c r="A347" i="4" s="1"/>
  <c r="A348" i="4" s="1"/>
  <c r="A349" i="4" s="1"/>
  <c r="A350" i="4" s="1"/>
  <c r="A351" i="4" s="1"/>
  <c r="A352" i="4" s="1"/>
  <c r="A353" i="4" s="1"/>
  <c r="A354" i="4" s="1"/>
  <c r="A355" i="4" s="1"/>
  <c r="A356" i="4" s="1"/>
  <c r="A357" i="4" s="1"/>
  <c r="A358" i="4" s="1"/>
  <c r="A359" i="4" s="1"/>
  <c r="A360" i="4" s="1"/>
  <c r="A361" i="4" s="1"/>
  <c r="A362" i="4" s="1"/>
  <c r="A363" i="4" s="1"/>
  <c r="A364" i="4" s="1"/>
  <c r="A365" i="4" s="1"/>
  <c r="A366" i="4" s="1"/>
  <c r="A367" i="4" s="1"/>
  <c r="A368" i="4" s="1"/>
  <c r="A369" i="4" s="1"/>
  <c r="A370" i="4" s="1"/>
  <c r="A371" i="4" s="1"/>
  <c r="A372" i="4" s="1"/>
  <c r="A373" i="4" s="1"/>
  <c r="A374" i="4" s="1"/>
  <c r="A375" i="4" s="1"/>
  <c r="A376" i="4" s="1"/>
  <c r="A377" i="4" s="1"/>
  <c r="A378" i="4" s="1"/>
  <c r="A379" i="4" s="1"/>
  <c r="A380" i="4" s="1"/>
  <c r="A381" i="4" s="1"/>
  <c r="A382" i="4" s="1"/>
  <c r="A383" i="4" s="1"/>
  <c r="A384" i="4" s="1"/>
  <c r="A385" i="4" s="1"/>
  <c r="A386" i="4" s="1"/>
  <c r="A387" i="4" s="1"/>
  <c r="A388" i="4" s="1"/>
  <c r="A389" i="4" s="1"/>
  <c r="A390" i="4" s="1"/>
  <c r="A391" i="4" s="1"/>
  <c r="A392" i="4" s="1"/>
  <c r="A393" i="4" s="1"/>
  <c r="A394" i="4" s="1"/>
  <c r="A395" i="4" s="1"/>
  <c r="A396" i="4" s="1"/>
  <c r="A397" i="4" s="1"/>
  <c r="A398" i="4" s="1"/>
  <c r="A399" i="4" s="1"/>
  <c r="A400" i="4" s="1"/>
  <c r="A401" i="4" s="1"/>
  <c r="A402" i="4" s="1"/>
  <c r="A403" i="4" s="1"/>
  <c r="A404" i="4" s="1"/>
  <c r="A405" i="4" s="1"/>
  <c r="A406" i="4" s="1"/>
  <c r="A407" i="4" s="1"/>
  <c r="A408" i="4" s="1"/>
  <c r="A409" i="4" s="1"/>
  <c r="A410" i="4" s="1"/>
  <c r="A411" i="4" s="1"/>
  <c r="A412" i="4" s="1"/>
  <c r="A413" i="4" s="1"/>
  <c r="A414" i="4" s="1"/>
  <c r="A415" i="4" s="1"/>
  <c r="A416" i="4" s="1"/>
  <c r="A417" i="4" s="1"/>
  <c r="A418" i="4" s="1"/>
  <c r="A419" i="4" s="1"/>
  <c r="A420" i="4" s="1"/>
  <c r="A421" i="4" s="1"/>
  <c r="A422" i="4" s="1"/>
  <c r="A423" i="4" s="1"/>
  <c r="A424" i="4" s="1"/>
  <c r="A425" i="4" s="1"/>
  <c r="A426" i="4" s="1"/>
  <c r="A427" i="4" s="1"/>
  <c r="A428" i="4" s="1"/>
  <c r="A429" i="4" s="1"/>
  <c r="A430" i="4" s="1"/>
  <c r="A431" i="4" s="1"/>
  <c r="A432" i="4" s="1"/>
  <c r="A433" i="4" s="1"/>
  <c r="A434" i="4" s="1"/>
  <c r="A435" i="4" s="1"/>
  <c r="A436" i="4" s="1"/>
  <c r="A437" i="4" s="1"/>
  <c r="A438" i="4" s="1"/>
  <c r="A439" i="4" s="1"/>
  <c r="A440" i="4" s="1"/>
  <c r="A441" i="4" s="1"/>
  <c r="A442" i="4" s="1"/>
  <c r="A443" i="4" s="1"/>
  <c r="A444" i="4" s="1"/>
  <c r="A445" i="4" s="1"/>
  <c r="A446" i="4" s="1"/>
  <c r="A447" i="4" s="1"/>
  <c r="A448" i="4" s="1"/>
  <c r="A449" i="4" s="1"/>
  <c r="A450" i="4" s="1"/>
  <c r="A451" i="4" s="1"/>
  <c r="A452" i="4" s="1"/>
  <c r="A453" i="4" s="1"/>
  <c r="A454" i="4" s="1"/>
  <c r="A455" i="4" s="1"/>
  <c r="A456" i="4" s="1"/>
  <c r="A457" i="4" s="1"/>
  <c r="A458" i="4" s="1"/>
  <c r="A459" i="4" s="1"/>
  <c r="A460" i="4" s="1"/>
  <c r="A461" i="4" s="1"/>
  <c r="A462" i="4" s="1"/>
  <c r="A463" i="4" s="1"/>
  <c r="A464" i="4" s="1"/>
  <c r="A465" i="4" s="1"/>
  <c r="A466" i="4" s="1"/>
  <c r="A467" i="4" s="1"/>
  <c r="A468" i="4" s="1"/>
  <c r="A469" i="4" s="1"/>
  <c r="A470" i="4" s="1"/>
  <c r="A471" i="4" s="1"/>
  <c r="A472" i="4" s="1"/>
  <c r="A473" i="4" s="1"/>
  <c r="A474" i="4" s="1"/>
  <c r="A475" i="4" s="1"/>
  <c r="A476" i="4" s="1"/>
  <c r="A477" i="4" s="1"/>
  <c r="A478" i="4" s="1"/>
  <c r="A479" i="4" s="1"/>
  <c r="A480" i="4" s="1"/>
  <c r="A481" i="4" s="1"/>
  <c r="A482" i="4" s="1"/>
  <c r="A483" i="4" s="1"/>
  <c r="A484" i="4" s="1"/>
  <c r="A485" i="4" s="1"/>
  <c r="A486" i="4" s="1"/>
  <c r="A487" i="4" s="1"/>
  <c r="A488" i="4" s="1"/>
  <c r="A489" i="4" s="1"/>
  <c r="A490" i="4" s="1"/>
  <c r="A491" i="4" s="1"/>
  <c r="A492" i="4" s="1"/>
  <c r="A493" i="4" s="1"/>
  <c r="A494" i="4" s="1"/>
  <c r="A495" i="4" s="1"/>
  <c r="A496" i="4" s="1"/>
  <c r="A497" i="4" s="1"/>
  <c r="A498" i="4" s="1"/>
  <c r="A499" i="4" s="1"/>
  <c r="A500" i="4" s="1"/>
  <c r="A501" i="4" s="1"/>
  <c r="A502" i="4" s="1"/>
  <c r="A503" i="4" s="1"/>
  <c r="A504" i="4" s="1"/>
  <c r="A505" i="4" s="1"/>
  <c r="A506" i="4" s="1"/>
  <c r="A507" i="4" s="1"/>
  <c r="A508" i="4" s="1"/>
  <c r="A509" i="4" s="1"/>
  <c r="A510" i="4" s="1"/>
  <c r="A511" i="4" s="1"/>
  <c r="A512" i="4" s="1"/>
  <c r="A513" i="4" s="1"/>
  <c r="A514" i="4" s="1"/>
  <c r="A515" i="4" s="1"/>
  <c r="A516" i="4" s="1"/>
  <c r="A517" i="4" s="1"/>
  <c r="A518" i="4" s="1"/>
  <c r="A519" i="4" s="1"/>
  <c r="A520" i="4" s="1"/>
  <c r="A521" i="4" s="1"/>
  <c r="A522" i="4" s="1"/>
  <c r="A523" i="4" s="1"/>
  <c r="A524" i="4" s="1"/>
  <c r="A525" i="4" s="1"/>
  <c r="A526" i="4" s="1"/>
  <c r="A527" i="4" s="1"/>
  <c r="A528" i="4" s="1"/>
  <c r="A529" i="4" s="1"/>
  <c r="A530" i="4" s="1"/>
  <c r="A531" i="4" s="1"/>
  <c r="A532" i="4" s="1"/>
  <c r="A533" i="4" s="1"/>
  <c r="A534" i="4" s="1"/>
  <c r="A535" i="4" s="1"/>
  <c r="A536" i="4" s="1"/>
  <c r="A537" i="4" s="1"/>
  <c r="A538" i="4" s="1"/>
  <c r="A539" i="4" s="1"/>
  <c r="A540" i="4" s="1"/>
  <c r="A541" i="4" s="1"/>
  <c r="A542" i="4" s="1"/>
  <c r="A543" i="4" s="1"/>
  <c r="A544" i="4" s="1"/>
  <c r="A545" i="4" s="1"/>
  <c r="A546" i="4" s="1"/>
  <c r="A547" i="4" s="1"/>
  <c r="A548" i="4" s="1"/>
  <c r="A549" i="4" s="1"/>
  <c r="A550" i="4" s="1"/>
  <c r="A551" i="4" s="1"/>
  <c r="A552" i="4" s="1"/>
  <c r="A553" i="4" s="1"/>
  <c r="A554" i="4" s="1"/>
  <c r="A555" i="4" s="1"/>
  <c r="A556" i="4" s="1"/>
  <c r="A557" i="4" s="1"/>
  <c r="A558" i="4" s="1"/>
  <c r="A559" i="4" s="1"/>
  <c r="A560" i="4" s="1"/>
  <c r="A561" i="4" s="1"/>
  <c r="A562" i="4" s="1"/>
  <c r="A563" i="4" s="1"/>
  <c r="A564" i="4" s="1"/>
  <c r="A565" i="4" s="1"/>
  <c r="A566" i="4" s="1"/>
  <c r="A567" i="4" s="1"/>
  <c r="A568" i="4" s="1"/>
  <c r="A569" i="4" s="1"/>
  <c r="A570" i="4" s="1"/>
  <c r="A571" i="4" s="1"/>
  <c r="A572" i="4" s="1"/>
  <c r="A573" i="4" s="1"/>
  <c r="A574" i="4" s="1"/>
  <c r="A575" i="4" s="1"/>
  <c r="A576" i="4" s="1"/>
  <c r="A577" i="4" s="1"/>
  <c r="A578" i="4" s="1"/>
  <c r="A579" i="4" s="1"/>
  <c r="A580" i="4" s="1"/>
  <c r="A581" i="4" s="1"/>
  <c r="A582" i="4" s="1"/>
  <c r="A583" i="4" s="1"/>
  <c r="A584" i="4" s="1"/>
  <c r="A585" i="4" s="1"/>
  <c r="A586" i="4" s="1"/>
  <c r="A587" i="4" s="1"/>
  <c r="A588" i="4" s="1"/>
  <c r="A589" i="4" s="1"/>
  <c r="A590" i="4" s="1"/>
  <c r="A591" i="4" s="1"/>
  <c r="A592" i="4" s="1"/>
  <c r="A593" i="4" s="1"/>
  <c r="A594" i="4" s="1"/>
  <c r="A595" i="4" s="1"/>
  <c r="A596" i="4" s="1"/>
  <c r="A597" i="4" s="1"/>
  <c r="A598" i="4" s="1"/>
  <c r="A599" i="4" s="1"/>
  <c r="A600" i="4" s="1"/>
  <c r="A601" i="4" s="1"/>
  <c r="A602" i="4" s="1"/>
  <c r="A603" i="4" s="1"/>
  <c r="A604" i="4" s="1"/>
  <c r="A605" i="4" s="1"/>
  <c r="A606" i="4" s="1"/>
  <c r="A607" i="4" s="1"/>
  <c r="A608" i="4" s="1"/>
  <c r="A609" i="4" s="1"/>
  <c r="A610" i="4" s="1"/>
  <c r="A611" i="4" s="1"/>
  <c r="A612" i="4" s="1"/>
  <c r="A613" i="4" s="1"/>
  <c r="A614" i="4" s="1"/>
  <c r="A615" i="4" s="1"/>
  <c r="A616" i="4" s="1"/>
  <c r="A617" i="4" s="1"/>
  <c r="A618" i="4" s="1"/>
  <c r="A619" i="4" s="1"/>
  <c r="A620" i="4" s="1"/>
  <c r="A621" i="4" s="1"/>
  <c r="A622" i="4" s="1"/>
  <c r="A623" i="4" s="1"/>
  <c r="A624" i="4" s="1"/>
  <c r="A625" i="4" s="1"/>
  <c r="A626" i="4" s="1"/>
  <c r="A627" i="4" s="1"/>
  <c r="A628" i="4" s="1"/>
  <c r="A629" i="4" s="1"/>
  <c r="A630" i="4" s="1"/>
  <c r="A631" i="4" s="1"/>
  <c r="A632" i="4" s="1"/>
  <c r="A633" i="4" s="1"/>
  <c r="A634" i="4" s="1"/>
  <c r="A635" i="4" s="1"/>
  <c r="A636" i="4" s="1"/>
  <c r="A637" i="4" s="1"/>
  <c r="A638" i="4" s="1"/>
  <c r="A639" i="4" s="1"/>
  <c r="A640" i="4" s="1"/>
  <c r="A641" i="4" s="1"/>
  <c r="A642" i="4" s="1"/>
  <c r="A643" i="4" s="1"/>
  <c r="A644" i="4" s="1"/>
  <c r="A645" i="4" s="1"/>
  <c r="A646" i="4" s="1"/>
  <c r="A647" i="4" s="1"/>
  <c r="A648" i="4" s="1"/>
  <c r="A649" i="4" s="1"/>
  <c r="A650" i="4" s="1"/>
  <c r="A651" i="4" s="1"/>
  <c r="A652" i="4" s="1"/>
  <c r="A653" i="4" s="1"/>
  <c r="A654" i="4" s="1"/>
  <c r="A655" i="4" s="1"/>
  <c r="A656" i="4" s="1"/>
  <c r="A657" i="4" s="1"/>
  <c r="A658" i="4" s="1"/>
  <c r="A659" i="4" s="1"/>
  <c r="A660" i="4" s="1"/>
  <c r="A661" i="4" s="1"/>
  <c r="A662" i="4" s="1"/>
  <c r="A663" i="4" s="1"/>
  <c r="A664" i="4" s="1"/>
  <c r="A665" i="4" s="1"/>
  <c r="A666" i="4" s="1"/>
  <c r="A667" i="4" s="1"/>
  <c r="A668" i="4" s="1"/>
  <c r="A669" i="4" s="1"/>
  <c r="A670" i="4" s="1"/>
  <c r="A671" i="4" s="1"/>
  <c r="A672" i="4" s="1"/>
  <c r="A673" i="4" s="1"/>
  <c r="A674" i="4" s="1"/>
  <c r="A675" i="4" s="1"/>
  <c r="A676" i="4" s="1"/>
  <c r="A677" i="4" s="1"/>
  <c r="A678" i="4" s="1"/>
  <c r="A679" i="4" s="1"/>
  <c r="A680" i="4" s="1"/>
  <c r="A681" i="4" s="1"/>
  <c r="A682" i="4" s="1"/>
  <c r="A683" i="4" s="1"/>
  <c r="A684" i="4" s="1"/>
  <c r="A685" i="4" s="1"/>
  <c r="A686" i="4" s="1"/>
  <c r="A687" i="4" s="1"/>
  <c r="A688" i="4" s="1"/>
  <c r="A689" i="4" s="1"/>
  <c r="A690" i="4" s="1"/>
  <c r="A691" i="4" s="1"/>
  <c r="A692" i="4" s="1"/>
  <c r="A693" i="4" s="1"/>
  <c r="A694" i="4" s="1"/>
  <c r="A695" i="4" s="1"/>
  <c r="A696" i="4" s="1"/>
  <c r="A697" i="4" s="1"/>
  <c r="A698" i="4" s="1"/>
  <c r="A699" i="4" s="1"/>
  <c r="A700" i="4" s="1"/>
  <c r="A701" i="4" s="1"/>
  <c r="A702" i="4" s="1"/>
  <c r="A703" i="4" s="1"/>
  <c r="A704" i="4" s="1"/>
  <c r="A705" i="4" s="1"/>
  <c r="A706" i="4" s="1"/>
  <c r="A707" i="4" s="1"/>
  <c r="A708" i="4" s="1"/>
  <c r="A709" i="4" s="1"/>
  <c r="A710" i="4" s="1"/>
  <c r="A711" i="4" s="1"/>
  <c r="A712" i="4" s="1"/>
  <c r="A713" i="4" s="1"/>
  <c r="A714" i="4" s="1"/>
  <c r="A715" i="4" s="1"/>
  <c r="A716" i="4" s="1"/>
  <c r="A717" i="4" s="1"/>
  <c r="A718" i="4" s="1"/>
  <c r="A719" i="4" s="1"/>
  <c r="A720" i="4" s="1"/>
  <c r="A721" i="4" s="1"/>
  <c r="A722" i="4" s="1"/>
  <c r="A723" i="4" s="1"/>
  <c r="A724" i="4" s="1"/>
  <c r="A725" i="4" s="1"/>
  <c r="A726" i="4" s="1"/>
  <c r="A727" i="4" s="1"/>
  <c r="A728" i="4" s="1"/>
  <c r="A729" i="4" s="1"/>
  <c r="A730" i="4" s="1"/>
  <c r="A731" i="4" s="1"/>
  <c r="A732" i="4" s="1"/>
  <c r="A733" i="4" s="1"/>
  <c r="A734" i="4" s="1"/>
  <c r="A735" i="4" s="1"/>
  <c r="A736" i="4" s="1"/>
  <c r="A737" i="4" s="1"/>
  <c r="A738" i="4" s="1"/>
  <c r="A739" i="4" s="1"/>
  <c r="A740" i="4" s="1"/>
  <c r="A741" i="4" s="1"/>
  <c r="A742" i="4" s="1"/>
  <c r="A743" i="4" s="1"/>
  <c r="A744" i="4" s="1"/>
  <c r="A745" i="4" s="1"/>
  <c r="A746" i="4" s="1"/>
  <c r="A747" i="4" s="1"/>
  <c r="A748" i="4" s="1"/>
  <c r="A749" i="4" s="1"/>
  <c r="A750" i="4" s="1"/>
  <c r="A751" i="4" s="1"/>
  <c r="A752" i="4" s="1"/>
  <c r="A753" i="4" s="1"/>
  <c r="A754" i="4" s="1"/>
  <c r="A755" i="4" s="1"/>
  <c r="A756" i="4" s="1"/>
  <c r="A757" i="4" s="1"/>
  <c r="A758" i="4" s="1"/>
  <c r="A759" i="4" s="1"/>
  <c r="A760" i="4" s="1"/>
  <c r="A761" i="4" s="1"/>
  <c r="A762" i="4" s="1"/>
  <c r="A763" i="4" s="1"/>
  <c r="A764" i="4" s="1"/>
  <c r="A765" i="4" s="1"/>
  <c r="A766" i="4" s="1"/>
  <c r="A767" i="4" s="1"/>
  <c r="A768" i="4" s="1"/>
  <c r="A769" i="4" s="1"/>
  <c r="A770" i="4" s="1"/>
  <c r="A771" i="4" s="1"/>
  <c r="A772" i="4" s="1"/>
  <c r="A773" i="4" s="1"/>
  <c r="A774" i="4" s="1"/>
  <c r="A775" i="4" s="1"/>
  <c r="A776" i="4" s="1"/>
  <c r="A777" i="4" s="1"/>
  <c r="A778" i="4" s="1"/>
  <c r="A779" i="4" s="1"/>
  <c r="A780" i="4" s="1"/>
  <c r="A781" i="4" s="1"/>
  <c r="A782" i="4" s="1"/>
  <c r="A783" i="4" s="1"/>
  <c r="A784" i="4" s="1"/>
  <c r="A785" i="4" s="1"/>
  <c r="A786" i="4" s="1"/>
  <c r="A787" i="4" s="1"/>
  <c r="A788" i="4" s="1"/>
  <c r="A789" i="4" s="1"/>
  <c r="A790" i="4" s="1"/>
  <c r="A791" i="4" s="1"/>
  <c r="A792" i="4" s="1"/>
  <c r="A793" i="4" s="1"/>
  <c r="A794" i="4" s="1"/>
  <c r="A795" i="4" s="1"/>
  <c r="A796" i="4" s="1"/>
  <c r="A797" i="4" s="1"/>
  <c r="A798" i="4" s="1"/>
  <c r="A799" i="4" s="1"/>
  <c r="A800" i="4" s="1"/>
  <c r="A801" i="4" s="1"/>
  <c r="A802" i="4" s="1"/>
  <c r="A803" i="4" s="1"/>
  <c r="A804" i="4" s="1"/>
  <c r="A805" i="4" s="1"/>
  <c r="A806" i="4" s="1"/>
  <c r="A807" i="4" s="1"/>
  <c r="A808" i="4" s="1"/>
  <c r="A809" i="4" s="1"/>
  <c r="A810" i="4" s="1"/>
  <c r="A811" i="4" s="1"/>
  <c r="A812" i="4" s="1"/>
  <c r="A813" i="4" s="1"/>
  <c r="A814" i="4" s="1"/>
  <c r="A815" i="4" s="1"/>
  <c r="A816" i="4" s="1"/>
  <c r="A817" i="4" s="1"/>
  <c r="A818" i="4" s="1"/>
  <c r="A819" i="4" s="1"/>
  <c r="A820" i="4" s="1"/>
  <c r="A821" i="4" s="1"/>
  <c r="A822" i="4" s="1"/>
  <c r="A823" i="4" s="1"/>
  <c r="A824" i="4" s="1"/>
  <c r="A825" i="4" s="1"/>
  <c r="A826" i="4" s="1"/>
  <c r="A827" i="4" s="1"/>
  <c r="A828" i="4" s="1"/>
  <c r="A829" i="4" s="1"/>
  <c r="A830" i="4" s="1"/>
  <c r="A831" i="4" s="1"/>
  <c r="A832" i="4" s="1"/>
  <c r="A833" i="4" s="1"/>
  <c r="A834" i="4" s="1"/>
  <c r="A835" i="4" s="1"/>
  <c r="A836" i="4" s="1"/>
  <c r="A837" i="4" s="1"/>
  <c r="A838" i="4" s="1"/>
  <c r="A839" i="4" s="1"/>
  <c r="A840" i="4" s="1"/>
  <c r="A841" i="4" s="1"/>
  <c r="A842" i="4" s="1"/>
  <c r="A843" i="4" s="1"/>
  <c r="A844" i="4" s="1"/>
  <c r="A845" i="4" s="1"/>
  <c r="A846" i="4" s="1"/>
  <c r="A847" i="4" s="1"/>
  <c r="A848" i="4" s="1"/>
  <c r="A849" i="4" s="1"/>
  <c r="A850" i="4" s="1"/>
  <c r="A851" i="4" s="1"/>
  <c r="A852" i="4" s="1"/>
  <c r="A853" i="4" s="1"/>
  <c r="A854" i="4" s="1"/>
  <c r="A855" i="4" s="1"/>
  <c r="A856" i="4" s="1"/>
  <c r="A857" i="4" s="1"/>
  <c r="A858" i="4" s="1"/>
  <c r="A859" i="4" s="1"/>
  <c r="A860" i="4" s="1"/>
  <c r="A861" i="4" s="1"/>
  <c r="A862" i="4" s="1"/>
  <c r="A863" i="4" s="1"/>
  <c r="A864" i="4" s="1"/>
  <c r="A865" i="4" s="1"/>
  <c r="A866" i="4" s="1"/>
  <c r="A867" i="4" s="1"/>
  <c r="A868" i="4" s="1"/>
  <c r="A869" i="4" s="1"/>
  <c r="A870" i="4" s="1"/>
  <c r="A871" i="4" s="1"/>
  <c r="A872" i="4" s="1"/>
  <c r="A873" i="4" s="1"/>
  <c r="A874" i="4" s="1"/>
  <c r="A875" i="4" s="1"/>
  <c r="A876" i="4" s="1"/>
  <c r="A877" i="4" s="1"/>
  <c r="A878" i="4" s="1"/>
  <c r="A879" i="4" s="1"/>
  <c r="A880" i="4" s="1"/>
  <c r="A881" i="4" s="1"/>
  <c r="A882" i="4" s="1"/>
  <c r="A883" i="4" s="1"/>
  <c r="A884" i="4" s="1"/>
  <c r="A885" i="4" s="1"/>
  <c r="A886" i="4" s="1"/>
  <c r="A887" i="4" s="1"/>
  <c r="A888" i="4" s="1"/>
  <c r="A889" i="4" s="1"/>
  <c r="A890" i="4" s="1"/>
  <c r="A891" i="4" s="1"/>
  <c r="A892" i="4" s="1"/>
  <c r="A893" i="4" s="1"/>
  <c r="A894" i="4" s="1"/>
  <c r="A895" i="4" s="1"/>
  <c r="A896" i="4" s="1"/>
  <c r="A897" i="4" s="1"/>
  <c r="A898" i="4" s="1"/>
  <c r="A899" i="4" s="1"/>
  <c r="A900" i="4" s="1"/>
  <c r="A901" i="4" s="1"/>
  <c r="A902" i="4" s="1"/>
  <c r="A903" i="4" s="1"/>
  <c r="A904" i="4" s="1"/>
  <c r="A905" i="4" s="1"/>
  <c r="A906" i="4" s="1"/>
  <c r="A907" i="4" s="1"/>
  <c r="A908" i="4" s="1"/>
  <c r="A909" i="4" s="1"/>
  <c r="A910" i="4" s="1"/>
  <c r="A911" i="4" s="1"/>
  <c r="A912" i="4" s="1"/>
  <c r="A913" i="4" s="1"/>
  <c r="A914" i="4" s="1"/>
  <c r="A915" i="4" s="1"/>
  <c r="A916" i="4" s="1"/>
  <c r="A917" i="4" s="1"/>
  <c r="A918" i="4" s="1"/>
  <c r="A919" i="4" s="1"/>
  <c r="A920" i="4" s="1"/>
  <c r="A921" i="4" s="1"/>
  <c r="A922" i="4" s="1"/>
  <c r="A923" i="4" s="1"/>
  <c r="A924" i="4" s="1"/>
  <c r="A925" i="4" s="1"/>
  <c r="A926" i="4" s="1"/>
  <c r="A927" i="4" s="1"/>
  <c r="A928" i="4" s="1"/>
  <c r="A929" i="4" s="1"/>
  <c r="A930" i="4" s="1"/>
  <c r="A931" i="4" s="1"/>
  <c r="A932" i="4" s="1"/>
  <c r="A933" i="4" s="1"/>
  <c r="A934" i="4" s="1"/>
  <c r="A935" i="4" s="1"/>
  <c r="A936" i="4" s="1"/>
  <c r="A937" i="4" s="1"/>
  <c r="A938" i="4" s="1"/>
  <c r="A939" i="4" s="1"/>
  <c r="A940" i="4" s="1"/>
  <c r="A941" i="4" s="1"/>
  <c r="A942" i="4" s="1"/>
  <c r="A943" i="4" s="1"/>
  <c r="A944" i="4" s="1"/>
  <c r="A945" i="4" s="1"/>
  <c r="A946" i="4" s="1"/>
  <c r="A947" i="4" s="1"/>
  <c r="A948" i="4" s="1"/>
  <c r="A949" i="4" s="1"/>
  <c r="A950" i="4" s="1"/>
  <c r="A951" i="4" s="1"/>
  <c r="A952" i="4" s="1"/>
  <c r="A953" i="4" s="1"/>
  <c r="A954" i="4" s="1"/>
  <c r="A955" i="4" s="1"/>
  <c r="A956" i="4" s="1"/>
  <c r="A957" i="4" s="1"/>
  <c r="A958" i="4" s="1"/>
  <c r="A959" i="4" s="1"/>
  <c r="A960" i="4" s="1"/>
  <c r="A961" i="4" s="1"/>
  <c r="A962" i="4" s="1"/>
  <c r="A963" i="4" s="1"/>
  <c r="A964" i="4" s="1"/>
  <c r="A965" i="4" s="1"/>
  <c r="A966" i="4" s="1"/>
  <c r="A967" i="4" s="1"/>
  <c r="A968" i="4" s="1"/>
  <c r="A969" i="4" s="1"/>
  <c r="A970" i="4" s="1"/>
  <c r="A971" i="4" s="1"/>
  <c r="A972" i="4" s="1"/>
  <c r="A973" i="4" s="1"/>
  <c r="A974" i="4" s="1"/>
  <c r="A975" i="4" s="1"/>
  <c r="A976" i="4" s="1"/>
  <c r="A977" i="4" s="1"/>
  <c r="A978" i="4" s="1"/>
  <c r="A979" i="4" s="1"/>
  <c r="A980" i="4" s="1"/>
  <c r="A981" i="4" s="1"/>
  <c r="A982" i="4" s="1"/>
  <c r="A983" i="4" s="1"/>
  <c r="A984" i="4" s="1"/>
  <c r="A985" i="4" s="1"/>
  <c r="A986" i="4" s="1"/>
  <c r="A987" i="4" s="1"/>
  <c r="A988" i="4" s="1"/>
  <c r="A989" i="4" s="1"/>
  <c r="A990" i="4" s="1"/>
  <c r="A991" i="4" s="1"/>
  <c r="A992" i="4" s="1"/>
  <c r="A993" i="4" s="1"/>
  <c r="A994" i="4" s="1"/>
  <c r="A995" i="4" s="1"/>
  <c r="A996" i="4" s="1"/>
  <c r="A997" i="4" s="1"/>
  <c r="A998" i="4" s="1"/>
  <c r="A999" i="4" s="1"/>
  <c r="A1000" i="4" s="1"/>
  <c r="A1001" i="4" s="1"/>
  <c r="A1002" i="4" s="1"/>
  <c r="A1003" i="4" s="1"/>
  <c r="A1004" i="4" s="1"/>
  <c r="A1005" i="4" s="1"/>
  <c r="A1006" i="4" s="1"/>
  <c r="A1007" i="4" s="1"/>
  <c r="A1008" i="4" s="1"/>
  <c r="A1009" i="4" s="1"/>
  <c r="A1010" i="4" s="1"/>
  <c r="A1011" i="4" s="1"/>
  <c r="A1012" i="4" s="1"/>
  <c r="A1013" i="4" s="1"/>
  <c r="A1014" i="4" s="1"/>
  <c r="A1015" i="4" s="1"/>
  <c r="A1016" i="4" s="1"/>
  <c r="A1017" i="4" s="1"/>
  <c r="A1018" i="4" s="1"/>
  <c r="A1019" i="4" s="1"/>
  <c r="A1020" i="4" s="1"/>
  <c r="A1021" i="4" s="1"/>
  <c r="A1022" i="4" s="1"/>
  <c r="A1023" i="4" s="1"/>
  <c r="A1024" i="4" s="1"/>
  <c r="A1025" i="4" s="1"/>
  <c r="A1026" i="4" s="1"/>
  <c r="A1027" i="4" s="1"/>
  <c r="A1028" i="4" s="1"/>
  <c r="A1029" i="4" s="1"/>
  <c r="A1030" i="4" s="1"/>
  <c r="A1031" i="4" s="1"/>
  <c r="A1032" i="4" s="1"/>
  <c r="A1033" i="4" s="1"/>
  <c r="A1034" i="4" s="1"/>
  <c r="A1035" i="4" s="1"/>
  <c r="A1036" i="4" s="1"/>
  <c r="A1037" i="4" s="1"/>
  <c r="A1038" i="4" s="1"/>
  <c r="A1039" i="4" s="1"/>
  <c r="A1040" i="4" s="1"/>
  <c r="A1041" i="4" s="1"/>
  <c r="A1042" i="4" s="1"/>
  <c r="A1043" i="4" s="1"/>
  <c r="A1044" i="4" s="1"/>
  <c r="A1045" i="4" s="1"/>
  <c r="A1046" i="4" s="1"/>
  <c r="A1047" i="4" s="1"/>
  <c r="A1048" i="4" s="1"/>
  <c r="A1049" i="4" s="1"/>
  <c r="A1050" i="4" s="1"/>
  <c r="A1051" i="4" s="1"/>
  <c r="A1052" i="4" s="1"/>
  <c r="A1053" i="4" s="1"/>
  <c r="A1054" i="4" s="1"/>
  <c r="A1055" i="4" s="1"/>
  <c r="A1056" i="4" s="1"/>
  <c r="A1057" i="4" s="1"/>
  <c r="A1058" i="4" s="1"/>
  <c r="A1059" i="4" s="1"/>
  <c r="A1060" i="4" s="1"/>
  <c r="A1061" i="4" s="1"/>
  <c r="A1062" i="4" s="1"/>
  <c r="A1063" i="4" s="1"/>
  <c r="A1064" i="4" s="1"/>
  <c r="A1065" i="4" s="1"/>
  <c r="A1066" i="4" s="1"/>
  <c r="A1067" i="4" s="1"/>
  <c r="A1068" i="4" s="1"/>
  <c r="A1069" i="4" s="1"/>
  <c r="A1070" i="4" s="1"/>
  <c r="A1071" i="4" s="1"/>
  <c r="A1072" i="4" s="1"/>
  <c r="A1073" i="4" s="1"/>
  <c r="A1074" i="4" s="1"/>
  <c r="A1075" i="4" s="1"/>
  <c r="A1076" i="4" s="1"/>
  <c r="A1077" i="4" s="1"/>
  <c r="A1078" i="4" s="1"/>
  <c r="A1079" i="4" s="1"/>
  <c r="A1080" i="4" s="1"/>
  <c r="A1081" i="4" s="1"/>
  <c r="A1082" i="4" s="1"/>
  <c r="A1083" i="4" s="1"/>
  <c r="A1084" i="4" s="1"/>
  <c r="A1085" i="4" s="1"/>
  <c r="A1086" i="4" s="1"/>
  <c r="A1087" i="4" s="1"/>
  <c r="A1088" i="4" s="1"/>
  <c r="A1089" i="4" s="1"/>
  <c r="A1090" i="4" s="1"/>
  <c r="A1091" i="4" s="1"/>
  <c r="A1092" i="4" s="1"/>
  <c r="A1093" i="4" s="1"/>
  <c r="A1094" i="4" s="1"/>
  <c r="A1095" i="4" s="1"/>
  <c r="A1096" i="4" s="1"/>
  <c r="A1097" i="4" s="1"/>
  <c r="A1098" i="4" s="1"/>
  <c r="A1099" i="4" s="1"/>
  <c r="A1100" i="4" s="1"/>
  <c r="A1101" i="4" s="1"/>
  <c r="A1102" i="4" s="1"/>
  <c r="A1103" i="4" s="1"/>
  <c r="A1104" i="4" s="1"/>
  <c r="A1105" i="4" s="1"/>
  <c r="A1106" i="4" s="1"/>
  <c r="A1107" i="4" s="1"/>
  <c r="A1108" i="4" s="1"/>
  <c r="A1109" i="4" s="1"/>
  <c r="A1110" i="4" s="1"/>
  <c r="A1111" i="4" s="1"/>
  <c r="A1112" i="4" s="1"/>
  <c r="A1113" i="4" s="1"/>
  <c r="A1114" i="4" s="1"/>
  <c r="A1115" i="4" s="1"/>
  <c r="A1116" i="4" s="1"/>
  <c r="A1117" i="4" s="1"/>
  <c r="A1118" i="4" s="1"/>
  <c r="A1119" i="4" s="1"/>
  <c r="A1120" i="4" s="1"/>
  <c r="A1121" i="4" s="1"/>
  <c r="A1122" i="4" s="1"/>
  <c r="A1123" i="4" s="1"/>
  <c r="A1124" i="4" s="1"/>
  <c r="A1125" i="4" s="1"/>
  <c r="A1126" i="4" s="1"/>
  <c r="A1127" i="4" s="1"/>
  <c r="A1128" i="4" s="1"/>
  <c r="A1129" i="4" s="1"/>
  <c r="A1130" i="4" s="1"/>
  <c r="A1131" i="4" s="1"/>
  <c r="A1132" i="4" s="1"/>
  <c r="A1133" i="4" s="1"/>
  <c r="A1134" i="4" s="1"/>
  <c r="A1135" i="4" s="1"/>
  <c r="A1136" i="4" s="1"/>
  <c r="A1137" i="4" s="1"/>
  <c r="A1138" i="4" s="1"/>
  <c r="A1139" i="4" s="1"/>
  <c r="A1140" i="4" s="1"/>
  <c r="A1141" i="4" s="1"/>
  <c r="A1142" i="4" s="1"/>
  <c r="A1143" i="4" s="1"/>
  <c r="A1144" i="4" s="1"/>
  <c r="A1145" i="4" s="1"/>
  <c r="A1146" i="4" s="1"/>
  <c r="A1147" i="4" s="1"/>
  <c r="A1148" i="4" s="1"/>
  <c r="A1149" i="4" s="1"/>
  <c r="A1150" i="4" s="1"/>
  <c r="A1151" i="4" s="1"/>
  <c r="A1152" i="4" s="1"/>
  <c r="A1153" i="4" s="1"/>
  <c r="A1154" i="4" s="1"/>
  <c r="A1155" i="4" s="1"/>
  <c r="A1156" i="4" s="1"/>
  <c r="A1157" i="4" s="1"/>
  <c r="A1158" i="4" s="1"/>
  <c r="A1159" i="4" s="1"/>
  <c r="A1160" i="4" s="1"/>
  <c r="A1161" i="4" s="1"/>
  <c r="A1162" i="4" s="1"/>
  <c r="A1163" i="4" s="1"/>
  <c r="A1164" i="4" s="1"/>
  <c r="A1165" i="4" s="1"/>
  <c r="A1166" i="4" s="1"/>
  <c r="A1167" i="4" s="1"/>
  <c r="A1168" i="4" s="1"/>
  <c r="A1169" i="4" s="1"/>
  <c r="A1170" i="4" s="1"/>
  <c r="A1171" i="4" s="1"/>
  <c r="A1172" i="4" s="1"/>
  <c r="A1173" i="4" s="1"/>
  <c r="A1174" i="4" s="1"/>
  <c r="A1175" i="4" s="1"/>
  <c r="A1176" i="4" s="1"/>
  <c r="A1177" i="4" s="1"/>
  <c r="A1178" i="4" s="1"/>
  <c r="A1179" i="4" s="1"/>
  <c r="A1180" i="4" s="1"/>
  <c r="A1181" i="4" s="1"/>
  <c r="A1182" i="4" s="1"/>
  <c r="A1183" i="4" s="1"/>
  <c r="A1184" i="4" s="1"/>
  <c r="A1185" i="4" s="1"/>
  <c r="A1186" i="4" s="1"/>
  <c r="A1187" i="4" s="1"/>
  <c r="A1188" i="4" s="1"/>
  <c r="A1189" i="4" s="1"/>
  <c r="A1190" i="4" s="1"/>
  <c r="A1191" i="4" s="1"/>
  <c r="A1192" i="4" s="1"/>
  <c r="A1193" i="4" s="1"/>
  <c r="A1194" i="4" s="1"/>
  <c r="A1195" i="4" s="1"/>
  <c r="A1196" i="4" s="1"/>
  <c r="A1197" i="4" s="1"/>
  <c r="A1198" i="4" s="1"/>
  <c r="A1199" i="4" s="1"/>
  <c r="A1200" i="4" s="1"/>
  <c r="A1201" i="4" s="1"/>
  <c r="A1202" i="4" s="1"/>
  <c r="A1203" i="4" s="1"/>
  <c r="A1204" i="4" s="1"/>
  <c r="A1205" i="4" s="1"/>
  <c r="A1206" i="4" s="1"/>
  <c r="A1207" i="4" s="1"/>
  <c r="A1208" i="4" s="1"/>
  <c r="A1209" i="4" s="1"/>
  <c r="A1210" i="4" s="1"/>
  <c r="A1211" i="4" s="1"/>
  <c r="A1212" i="4" s="1"/>
  <c r="A1213" i="4" s="1"/>
  <c r="A1214" i="4" s="1"/>
  <c r="A1215" i="4" s="1"/>
  <c r="A1216" i="4" s="1"/>
  <c r="A1217" i="4" s="1"/>
  <c r="A1218" i="4" s="1"/>
  <c r="A1219" i="4" s="1"/>
  <c r="A1220" i="4" s="1"/>
  <c r="A1221" i="4" s="1"/>
  <c r="A1222" i="4" s="1"/>
  <c r="A1223" i="4" s="1"/>
  <c r="A1224" i="4" s="1"/>
  <c r="A1225" i="4" s="1"/>
  <c r="A1226" i="4" s="1"/>
  <c r="A1227" i="4" s="1"/>
  <c r="A1228" i="4" s="1"/>
  <c r="A1229" i="4" s="1"/>
  <c r="A1230" i="4" s="1"/>
  <c r="A1231" i="4" s="1"/>
  <c r="A1232" i="4" s="1"/>
  <c r="A1233" i="4" s="1"/>
  <c r="A1234" i="4" s="1"/>
  <c r="A1235" i="4" s="1"/>
  <c r="A1236" i="4" s="1"/>
  <c r="A1237" i="4" s="1"/>
  <c r="A1238" i="4" s="1"/>
  <c r="A1239" i="4" s="1"/>
  <c r="A1240" i="4" s="1"/>
  <c r="A1241" i="4" s="1"/>
  <c r="A1242" i="4" s="1"/>
  <c r="A1243" i="4" s="1"/>
  <c r="A1244" i="4" s="1"/>
  <c r="A1245" i="4" s="1"/>
  <c r="A1246" i="4" s="1"/>
  <c r="A1247" i="4" s="1"/>
  <c r="A1248" i="4" s="1"/>
  <c r="A1249" i="4" s="1"/>
  <c r="A1250" i="4" s="1"/>
  <c r="A1251" i="4" s="1"/>
  <c r="A1252" i="4" s="1"/>
  <c r="A1253" i="4" s="1"/>
  <c r="A1254" i="4" s="1"/>
  <c r="A1255" i="4" s="1"/>
  <c r="A1256" i="4" s="1"/>
  <c r="A1257" i="4" s="1"/>
  <c r="A1258" i="4" s="1"/>
  <c r="A1259" i="4" s="1"/>
  <c r="A1260" i="4" s="1"/>
  <c r="A1261" i="4" s="1"/>
  <c r="A1262" i="4" s="1"/>
  <c r="A1263" i="4" s="1"/>
  <c r="A1264" i="4" s="1"/>
  <c r="A1265" i="4" s="1"/>
  <c r="A1266" i="4" s="1"/>
  <c r="A1267" i="4" s="1"/>
  <c r="A1268" i="4" s="1"/>
  <c r="A1269" i="4" s="1"/>
  <c r="A1270" i="4" s="1"/>
  <c r="A1271" i="4" s="1"/>
  <c r="A1272" i="4" s="1"/>
  <c r="A1273" i="4" s="1"/>
  <c r="A1274" i="4" s="1"/>
  <c r="A1275" i="4" s="1"/>
  <c r="A1276" i="4" s="1"/>
  <c r="A1277" i="4" s="1"/>
  <c r="A1278" i="4" s="1"/>
  <c r="A1279" i="4" s="1"/>
  <c r="A1280" i="4" s="1"/>
  <c r="A1281" i="4" s="1"/>
  <c r="A1282" i="4" s="1"/>
  <c r="A1283" i="4" s="1"/>
  <c r="A1284" i="4" s="1"/>
  <c r="A1285" i="4" s="1"/>
  <c r="A1286" i="4" s="1"/>
  <c r="A1287" i="4" s="1"/>
  <c r="A1288" i="4" s="1"/>
  <c r="A1289" i="4" s="1"/>
  <c r="A1290" i="4" s="1"/>
  <c r="A1291" i="4" s="1"/>
  <c r="A1292" i="4" s="1"/>
  <c r="A1293" i="4" s="1"/>
  <c r="A1294" i="4" s="1"/>
  <c r="A1295" i="4" s="1"/>
  <c r="A1296" i="4" s="1"/>
  <c r="A1297" i="4" s="1"/>
  <c r="A1298" i="4" s="1"/>
  <c r="A1299" i="4" s="1"/>
  <c r="A1300" i="4" s="1"/>
  <c r="A1301" i="4" s="1"/>
  <c r="A1302" i="4" s="1"/>
  <c r="A1303" i="4" s="1"/>
  <c r="A1304" i="4" s="1"/>
  <c r="A1305" i="4" s="1"/>
  <c r="A1306" i="4" s="1"/>
  <c r="A1307" i="4" s="1"/>
  <c r="A1308" i="4" s="1"/>
  <c r="A1309" i="4" s="1"/>
  <c r="A1310" i="4" s="1"/>
  <c r="A1311" i="4" s="1"/>
  <c r="A1312" i="4" s="1"/>
  <c r="A1313" i="4" s="1"/>
  <c r="A1314" i="4" s="1"/>
  <c r="A1315" i="4" s="1"/>
  <c r="A1316" i="4" s="1"/>
  <c r="A1317" i="4" s="1"/>
  <c r="A1318" i="4" s="1"/>
  <c r="A1319" i="4" s="1"/>
  <c r="A1320" i="4" s="1"/>
  <c r="A1321" i="4" s="1"/>
  <c r="A1322" i="4" s="1"/>
  <c r="A1323" i="4" s="1"/>
  <c r="A1324" i="4" s="1"/>
  <c r="A1325" i="4" s="1"/>
  <c r="A1326" i="4" s="1"/>
  <c r="A1327" i="4" s="1"/>
  <c r="A1328" i="4" s="1"/>
  <c r="A1329" i="4" s="1"/>
  <c r="A1330" i="4" s="1"/>
  <c r="A1331" i="4" s="1"/>
  <c r="A1332" i="4" s="1"/>
  <c r="A1333" i="4" s="1"/>
  <c r="A1334" i="4" s="1"/>
  <c r="A1335" i="4" s="1"/>
  <c r="A1336" i="4" s="1"/>
  <c r="A1337" i="4" s="1"/>
  <c r="A1338" i="4" s="1"/>
  <c r="A1339" i="4" s="1"/>
  <c r="A1340" i="4" s="1"/>
  <c r="A1341" i="4" s="1"/>
  <c r="A1342" i="4" s="1"/>
  <c r="A1343" i="4" s="1"/>
  <c r="A1344" i="4" s="1"/>
  <c r="A1345" i="4" s="1"/>
  <c r="A1346" i="4" s="1"/>
  <c r="A1347" i="4" s="1"/>
  <c r="A1348" i="4" s="1"/>
  <c r="A1349" i="4" s="1"/>
  <c r="A1350" i="4" s="1"/>
  <c r="A1351" i="4" s="1"/>
  <c r="A1352" i="4" s="1"/>
  <c r="A1353" i="4" s="1"/>
  <c r="A1354" i="4" s="1"/>
  <c r="A1355" i="4" s="1"/>
  <c r="A1356" i="4" s="1"/>
  <c r="A1357" i="4" s="1"/>
  <c r="A1358" i="4" s="1"/>
  <c r="A1359" i="4" s="1"/>
  <c r="A1360" i="4" s="1"/>
  <c r="A1361" i="4" s="1"/>
  <c r="A1362" i="4" s="1"/>
  <c r="A1363" i="4" s="1"/>
  <c r="A1364" i="4" s="1"/>
  <c r="A1365" i="4" s="1"/>
  <c r="A1366" i="4" s="1"/>
  <c r="A1367" i="4" s="1"/>
  <c r="A1368" i="4" s="1"/>
  <c r="A1369" i="4" s="1"/>
  <c r="A1370" i="4" s="1"/>
  <c r="A1371" i="4" s="1"/>
  <c r="A1372" i="4" s="1"/>
  <c r="A1373" i="4" s="1"/>
  <c r="A1374" i="4" s="1"/>
  <c r="A1375" i="4" s="1"/>
  <c r="A1376" i="4" s="1"/>
  <c r="A1377" i="4" s="1"/>
  <c r="A1378" i="4" s="1"/>
  <c r="A1379" i="4" s="1"/>
  <c r="A1380" i="4" s="1"/>
  <c r="A1381" i="4" s="1"/>
  <c r="A1382" i="4" s="1"/>
  <c r="A1383" i="4" s="1"/>
  <c r="A1384" i="4" s="1"/>
  <c r="A1385" i="4" s="1"/>
  <c r="A1386" i="4" s="1"/>
  <c r="A1387" i="4" s="1"/>
  <c r="A1388" i="4" s="1"/>
  <c r="A1389" i="4" s="1"/>
  <c r="A1390" i="4" s="1"/>
  <c r="A1391" i="4" s="1"/>
  <c r="A1392" i="4" s="1"/>
  <c r="A1393" i="4" s="1"/>
  <c r="A1394" i="4" s="1"/>
  <c r="A1395" i="4" s="1"/>
  <c r="A1396" i="4" s="1"/>
  <c r="A1397" i="4" s="1"/>
  <c r="A1398" i="4" s="1"/>
  <c r="A1399" i="4" s="1"/>
  <c r="A1400" i="4" s="1"/>
  <c r="A1401" i="4" s="1"/>
  <c r="A1402" i="4" s="1"/>
  <c r="A1403" i="4" s="1"/>
  <c r="A1404" i="4" s="1"/>
  <c r="A1405" i="4" s="1"/>
  <c r="A1406" i="4" s="1"/>
  <c r="A1407" i="4" s="1"/>
  <c r="A1408" i="4" s="1"/>
  <c r="A1409" i="4" s="1"/>
  <c r="A1410" i="4" s="1"/>
  <c r="A1411" i="4" s="1"/>
  <c r="A1412" i="4" s="1"/>
  <c r="A1413" i="4" s="1"/>
  <c r="A1414" i="4" s="1"/>
  <c r="A1415" i="4" s="1"/>
  <c r="A1416" i="4" s="1"/>
  <c r="A1417" i="4" s="1"/>
  <c r="A1418" i="4" s="1"/>
  <c r="A1419" i="4" s="1"/>
  <c r="A1420" i="4" s="1"/>
  <c r="A1421" i="4" s="1"/>
  <c r="A1422" i="4" s="1"/>
  <c r="A1423" i="4" s="1"/>
  <c r="A1424" i="4" s="1"/>
  <c r="A1425" i="4" s="1"/>
  <c r="A1426" i="4" s="1"/>
  <c r="A1427" i="4" s="1"/>
  <c r="A1428" i="4" s="1"/>
  <c r="A1429" i="4" s="1"/>
  <c r="A1430" i="4" s="1"/>
  <c r="A1431" i="4" s="1"/>
  <c r="A1432" i="4" s="1"/>
  <c r="A1433" i="4" s="1"/>
  <c r="A1434" i="4" s="1"/>
  <c r="A1435" i="4" s="1"/>
  <c r="A1436" i="4" s="1"/>
  <c r="A1437" i="4" s="1"/>
  <c r="A1438" i="4" s="1"/>
  <c r="A1439" i="4" s="1"/>
  <c r="A1440" i="4" s="1"/>
  <c r="A1441" i="4" s="1"/>
  <c r="A1442" i="4" s="1"/>
  <c r="A1443" i="4" s="1"/>
  <c r="A1444" i="4" s="1"/>
  <c r="A1445" i="4" s="1"/>
  <c r="A1446" i="4" s="1"/>
  <c r="A1447" i="4" s="1"/>
  <c r="A1448" i="4" s="1"/>
  <c r="A1449" i="4" s="1"/>
  <c r="A1450" i="4" s="1"/>
  <c r="A1451" i="4" s="1"/>
  <c r="A1452" i="4" s="1"/>
  <c r="A1453" i="4" s="1"/>
  <c r="A1454" i="4" s="1"/>
  <c r="A1455" i="4" s="1"/>
  <c r="A1456" i="4" s="1"/>
  <c r="A1457" i="4" s="1"/>
  <c r="A1458" i="4" s="1"/>
  <c r="A1459" i="4" s="1"/>
  <c r="A1460" i="4" s="1"/>
  <c r="A1461" i="4" s="1"/>
  <c r="A1462" i="4" s="1"/>
  <c r="A1463" i="4" s="1"/>
  <c r="A1464" i="4" s="1"/>
  <c r="A1465" i="4" s="1"/>
  <c r="A1466" i="4" s="1"/>
  <c r="A1467" i="4" s="1"/>
  <c r="A1468" i="4" s="1"/>
  <c r="A1469" i="4" s="1"/>
  <c r="A1470" i="4" s="1"/>
  <c r="A1471" i="4" s="1"/>
  <c r="A1472" i="4" s="1"/>
  <c r="A1473" i="4" s="1"/>
  <c r="A1474" i="4" s="1"/>
  <c r="A1475" i="4" s="1"/>
  <c r="A1476" i="4" s="1"/>
  <c r="A1477" i="4" s="1"/>
  <c r="A1478" i="4" s="1"/>
  <c r="A1479" i="4" s="1"/>
  <c r="A1480" i="4" s="1"/>
  <c r="A1481" i="4" s="1"/>
  <c r="A1482" i="4" s="1"/>
  <c r="A1483" i="4" s="1"/>
  <c r="A1484" i="4" s="1"/>
  <c r="A1485" i="4" s="1"/>
  <c r="A1486" i="4" s="1"/>
  <c r="A1487" i="4" s="1"/>
  <c r="A1488" i="4" s="1"/>
  <c r="A1489" i="4" s="1"/>
  <c r="A1490" i="4" s="1"/>
  <c r="A1491" i="4" s="1"/>
  <c r="A1492" i="4" s="1"/>
  <c r="A1493" i="4" s="1"/>
  <c r="A1494" i="4" s="1"/>
  <c r="A1495" i="4" s="1"/>
  <c r="A1496" i="4" s="1"/>
  <c r="A1497" i="4" s="1"/>
  <c r="A1498" i="4" s="1"/>
  <c r="A1499" i="4" s="1"/>
  <c r="A1500" i="4" s="1"/>
  <c r="A1501" i="4" s="1"/>
  <c r="A1502" i="4" s="1"/>
  <c r="A1503" i="4" s="1"/>
  <c r="A1504" i="4" s="1"/>
  <c r="A1505" i="4" s="1"/>
  <c r="A1506" i="4" s="1"/>
  <c r="A1507" i="4" s="1"/>
  <c r="A1508" i="4" s="1"/>
  <c r="A1509" i="4" s="1"/>
  <c r="A1510" i="4" s="1"/>
  <c r="A1511" i="4" s="1"/>
  <c r="A1512" i="4" s="1"/>
  <c r="A1513" i="4" s="1"/>
  <c r="A1514" i="4" s="1"/>
  <c r="A1515" i="4" s="1"/>
  <c r="A1516" i="4" s="1"/>
  <c r="A1517" i="4" s="1"/>
  <c r="A1518" i="4" s="1"/>
  <c r="A1519" i="4" s="1"/>
  <c r="A1520" i="4" s="1"/>
  <c r="A1521" i="4" s="1"/>
  <c r="A1522" i="4" s="1"/>
  <c r="A1523" i="4" s="1"/>
  <c r="A1524" i="4" s="1"/>
  <c r="A1525" i="4" s="1"/>
  <c r="A1526" i="4" s="1"/>
  <c r="A1527" i="4" s="1"/>
  <c r="A1528" i="4" s="1"/>
  <c r="A1529" i="4" s="1"/>
  <c r="A1530" i="4" s="1"/>
  <c r="A1531" i="4" s="1"/>
  <c r="A1532" i="4" s="1"/>
  <c r="A1533" i="4" s="1"/>
  <c r="A1534" i="4" s="1"/>
  <c r="A1535" i="4" s="1"/>
  <c r="A1536" i="4" s="1"/>
  <c r="A1537" i="4" s="1"/>
  <c r="A1538" i="4" s="1"/>
  <c r="A1539" i="4" s="1"/>
  <c r="A1540" i="4" s="1"/>
  <c r="A1541" i="4" s="1"/>
  <c r="A1542" i="4" s="1"/>
  <c r="A1543" i="4" s="1"/>
  <c r="A1544" i="4" s="1"/>
  <c r="A1545" i="4" s="1"/>
  <c r="A1546" i="4" s="1"/>
  <c r="A1547" i="4" s="1"/>
  <c r="A1548" i="4" s="1"/>
  <c r="A1549" i="4" s="1"/>
  <c r="A1550" i="4" s="1"/>
  <c r="A1551" i="4" s="1"/>
  <c r="A1552" i="4" s="1"/>
  <c r="A1553" i="4" s="1"/>
  <c r="A1554" i="4" s="1"/>
  <c r="A1555" i="4" s="1"/>
  <c r="A1556" i="4" s="1"/>
  <c r="A1557" i="4" s="1"/>
  <c r="A1558" i="4" s="1"/>
  <c r="A1559" i="4" s="1"/>
  <c r="A1560" i="4" s="1"/>
  <c r="A1561" i="4" s="1"/>
  <c r="A1562" i="4" s="1"/>
  <c r="A1563" i="4" s="1"/>
  <c r="A1564" i="4" s="1"/>
  <c r="A1565" i="4" s="1"/>
  <c r="A1566" i="4" s="1"/>
  <c r="A1567" i="4" s="1"/>
  <c r="A1568" i="4" s="1"/>
  <c r="A1569" i="4" s="1"/>
  <c r="A1570" i="4" s="1"/>
  <c r="A1571" i="4" s="1"/>
  <c r="A1572" i="4" s="1"/>
  <c r="A1573" i="4" s="1"/>
  <c r="A1574" i="4" s="1"/>
  <c r="A1575" i="4" s="1"/>
  <c r="A1576" i="4" s="1"/>
  <c r="A1577" i="4" s="1"/>
  <c r="A1578" i="4" s="1"/>
  <c r="A1579" i="4" s="1"/>
  <c r="A1580" i="4" s="1"/>
  <c r="A1581" i="4" s="1"/>
  <c r="A1582" i="4" s="1"/>
  <c r="A1583" i="4" s="1"/>
  <c r="A1584" i="4" s="1"/>
  <c r="A1585" i="4" s="1"/>
  <c r="A1586" i="4" s="1"/>
  <c r="A1587" i="4" s="1"/>
  <c r="A1588" i="4" s="1"/>
  <c r="A1589" i="4" s="1"/>
  <c r="A1590" i="4" s="1"/>
  <c r="A1591" i="4" s="1"/>
  <c r="A1592" i="4" s="1"/>
  <c r="A1593" i="4" s="1"/>
  <c r="A1594" i="4" s="1"/>
  <c r="A1595" i="4" s="1"/>
  <c r="A1596" i="4" s="1"/>
  <c r="A1597" i="4" s="1"/>
  <c r="A1598" i="4" s="1"/>
  <c r="A1599" i="4" s="1"/>
  <c r="A1600" i="4" s="1"/>
  <c r="A1601" i="4" s="1"/>
  <c r="A1602" i="4" s="1"/>
  <c r="A1603" i="4" s="1"/>
  <c r="A1604" i="4" s="1"/>
  <c r="A1605" i="4" s="1"/>
  <c r="A1606" i="4" s="1"/>
  <c r="A1607" i="4" s="1"/>
  <c r="A1608" i="4" s="1"/>
  <c r="A1609" i="4" s="1"/>
  <c r="A1610" i="4" s="1"/>
  <c r="A1611" i="4" s="1"/>
  <c r="A1612" i="4" s="1"/>
  <c r="A1613" i="4" s="1"/>
  <c r="A1614" i="4" s="1"/>
  <c r="A1615" i="4" s="1"/>
  <c r="A1616" i="4" s="1"/>
  <c r="A1617" i="4" s="1"/>
  <c r="A1618" i="4" s="1"/>
  <c r="A1619" i="4" s="1"/>
  <c r="A1620" i="4" s="1"/>
  <c r="A1621" i="4" s="1"/>
  <c r="A1622" i="4" s="1"/>
  <c r="A1623" i="4" s="1"/>
  <c r="A1624" i="4" s="1"/>
  <c r="A1625" i="4" s="1"/>
  <c r="A1626" i="4" s="1"/>
  <c r="A1627" i="4" s="1"/>
  <c r="A1628" i="4" s="1"/>
  <c r="A1629" i="4" s="1"/>
  <c r="A1630" i="4" s="1"/>
  <c r="A1631" i="4" s="1"/>
  <c r="A1632" i="4" s="1"/>
  <c r="A1633" i="4" s="1"/>
  <c r="A1634" i="4" s="1"/>
  <c r="A1635" i="4" s="1"/>
  <c r="A1636" i="4" s="1"/>
  <c r="A1637" i="4" s="1"/>
  <c r="A1638" i="4" s="1"/>
  <c r="A1639" i="4" s="1"/>
  <c r="A1640" i="4" s="1"/>
  <c r="A1641" i="4" s="1"/>
  <c r="A1642" i="4" s="1"/>
  <c r="A1643" i="4" s="1"/>
  <c r="A1644" i="4" s="1"/>
  <c r="A1645" i="4" s="1"/>
  <c r="A1646" i="4" s="1"/>
  <c r="A1647" i="4" s="1"/>
  <c r="A1648" i="4" s="1"/>
  <c r="A1649" i="4" s="1"/>
  <c r="A1650" i="4" s="1"/>
  <c r="A1651" i="4" s="1"/>
  <c r="A1652" i="4" s="1"/>
  <c r="A1653" i="4" s="1"/>
  <c r="A1654" i="4" s="1"/>
  <c r="A1655" i="4" s="1"/>
  <c r="A1656" i="4" s="1"/>
  <c r="A1657" i="4" s="1"/>
  <c r="A1658" i="4" s="1"/>
  <c r="A1659" i="4" s="1"/>
  <c r="A1660" i="4" s="1"/>
  <c r="A1661" i="4" s="1"/>
  <c r="A1662" i="4" s="1"/>
  <c r="A1663" i="4" s="1"/>
  <c r="A1664" i="4" s="1"/>
  <c r="A1665" i="4" s="1"/>
  <c r="A1666" i="4" s="1"/>
  <c r="A1667" i="4" s="1"/>
  <c r="A1668" i="4" s="1"/>
  <c r="A1669" i="4" s="1"/>
  <c r="A1670" i="4" s="1"/>
  <c r="A1671" i="4" s="1"/>
  <c r="A1672" i="4" s="1"/>
  <c r="A1673" i="4" s="1"/>
  <c r="A1674" i="4" s="1"/>
  <c r="A1675" i="4" s="1"/>
  <c r="A1676" i="4" s="1"/>
  <c r="A1677" i="4" s="1"/>
  <c r="A1678" i="4" s="1"/>
  <c r="A1679" i="4" s="1"/>
  <c r="A1680" i="4" s="1"/>
  <c r="A1681" i="4" s="1"/>
  <c r="A1682" i="4" s="1"/>
  <c r="A1683" i="4" s="1"/>
  <c r="A1684" i="4" s="1"/>
  <c r="A1685" i="4" s="1"/>
  <c r="A1686" i="4" s="1"/>
  <c r="A1687" i="4" s="1"/>
  <c r="A1688" i="4" s="1"/>
  <c r="A1689" i="4" s="1"/>
  <c r="A1690" i="4" s="1"/>
  <c r="A1691" i="4" s="1"/>
  <c r="A1692" i="4" s="1"/>
  <c r="A1693" i="4" s="1"/>
  <c r="A1694" i="4" s="1"/>
  <c r="A1695" i="4" s="1"/>
  <c r="A1696" i="4" s="1"/>
  <c r="A1697" i="4" s="1"/>
  <c r="A1698" i="4" s="1"/>
  <c r="A1699" i="4" s="1"/>
  <c r="A1700" i="4" s="1"/>
  <c r="A1701" i="4" s="1"/>
  <c r="A1702" i="4" s="1"/>
  <c r="A1703" i="4" s="1"/>
  <c r="A1704" i="4" s="1"/>
  <c r="A1705" i="4" s="1"/>
  <c r="A1706" i="4" s="1"/>
  <c r="A1707" i="4" s="1"/>
  <c r="A1708" i="4" s="1"/>
  <c r="A1709" i="4" s="1"/>
  <c r="A1710" i="4" s="1"/>
  <c r="A1711" i="4" s="1"/>
  <c r="A1712" i="4" s="1"/>
  <c r="A1713" i="4" s="1"/>
  <c r="A1714" i="4" s="1"/>
  <c r="A1715" i="4" s="1"/>
  <c r="A1716" i="4" s="1"/>
  <c r="A1717" i="4" s="1"/>
  <c r="A1718" i="4" s="1"/>
  <c r="A1719" i="4" s="1"/>
  <c r="A1720" i="4" s="1"/>
  <c r="A1721" i="4" s="1"/>
  <c r="A1722" i="4" s="1"/>
  <c r="A1723" i="4" s="1"/>
  <c r="A1724" i="4" s="1"/>
  <c r="A1725" i="4" s="1"/>
  <c r="A1726" i="4" s="1"/>
  <c r="A1727" i="4" s="1"/>
  <c r="A1728" i="4" s="1"/>
  <c r="A1729" i="4" s="1"/>
  <c r="A1730" i="4" s="1"/>
  <c r="A1731" i="4" s="1"/>
  <c r="A1732" i="4" s="1"/>
  <c r="A1733" i="4" s="1"/>
  <c r="A1734" i="4" s="1"/>
  <c r="A1735" i="4" s="1"/>
  <c r="A1736" i="4" s="1"/>
  <c r="A1737" i="4" s="1"/>
  <c r="A1738" i="4" s="1"/>
  <c r="A1739" i="4" s="1"/>
  <c r="A1740" i="4" s="1"/>
  <c r="A1741" i="4" s="1"/>
  <c r="A1742" i="4" s="1"/>
  <c r="A1743" i="4" s="1"/>
  <c r="A1744" i="4" s="1"/>
  <c r="A1745" i="4" s="1"/>
  <c r="A1746" i="4" s="1"/>
  <c r="A1747" i="4" s="1"/>
  <c r="A1748" i="4" s="1"/>
  <c r="A1749" i="4" s="1"/>
  <c r="A1750" i="4" s="1"/>
  <c r="A1751" i="4" s="1"/>
  <c r="A1752" i="4" s="1"/>
  <c r="A1753" i="4" s="1"/>
  <c r="A1754" i="4" s="1"/>
  <c r="A1755" i="4" s="1"/>
  <c r="A1756" i="4" s="1"/>
  <c r="A1757" i="4" s="1"/>
  <c r="A1758" i="4" s="1"/>
  <c r="A1759" i="4" s="1"/>
  <c r="A1760" i="4" s="1"/>
  <c r="A1761" i="4" s="1"/>
  <c r="A1762" i="4" s="1"/>
  <c r="A1763" i="4" s="1"/>
  <c r="A1764" i="4" s="1"/>
  <c r="A1765" i="4" s="1"/>
  <c r="A1766" i="4" s="1"/>
  <c r="A1767" i="4" s="1"/>
  <c r="A1768" i="4" s="1"/>
  <c r="A1769" i="4" s="1"/>
  <c r="A1770" i="4" s="1"/>
  <c r="A1771" i="4" s="1"/>
  <c r="A1772" i="4" s="1"/>
  <c r="A1773" i="4" s="1"/>
  <c r="A1774" i="4" s="1"/>
  <c r="A1775" i="4" s="1"/>
  <c r="A1776" i="4" s="1"/>
  <c r="A1777" i="4" s="1"/>
  <c r="A1778" i="4" s="1"/>
  <c r="A1779" i="4" s="1"/>
  <c r="A1780" i="4" s="1"/>
  <c r="A1781" i="4" s="1"/>
  <c r="A1782" i="4" s="1"/>
  <c r="A1783" i="4" s="1"/>
  <c r="A1784" i="4" s="1"/>
  <c r="A1785" i="4" s="1"/>
  <c r="A1786" i="4" s="1"/>
  <c r="A1787" i="4" s="1"/>
  <c r="A1788" i="4" s="1"/>
  <c r="A1789" i="4" s="1"/>
  <c r="A1790" i="4" s="1"/>
  <c r="A1791" i="4" s="1"/>
  <c r="A1792" i="4" s="1"/>
  <c r="A1793" i="4" s="1"/>
  <c r="A1794" i="4" s="1"/>
  <c r="A1795" i="4" s="1"/>
  <c r="A1796" i="4" s="1"/>
  <c r="A1797" i="4" s="1"/>
  <c r="A1798" i="4" s="1"/>
  <c r="A1799" i="4" s="1"/>
  <c r="A1800" i="4" s="1"/>
  <c r="A1801" i="4" s="1"/>
  <c r="A1802" i="4" s="1"/>
  <c r="A1803" i="4" s="1"/>
  <c r="A1804" i="4" s="1"/>
  <c r="A1805" i="4" s="1"/>
  <c r="A1806" i="4" s="1"/>
  <c r="A1807" i="4" s="1"/>
  <c r="A1808" i="4" s="1"/>
  <c r="A1809" i="4" s="1"/>
  <c r="A1810" i="4" s="1"/>
  <c r="A1811" i="4" s="1"/>
  <c r="A1812" i="4" s="1"/>
  <c r="A1813" i="4" s="1"/>
  <c r="A1814" i="4" s="1"/>
  <c r="A1815" i="4" s="1"/>
  <c r="A1816" i="4" s="1"/>
  <c r="A1817" i="4" s="1"/>
  <c r="A1818" i="4" s="1"/>
  <c r="A1819" i="4" s="1"/>
  <c r="A1820" i="4" s="1"/>
  <c r="A1821" i="4" s="1"/>
  <c r="A1822" i="4" s="1"/>
  <c r="A1823" i="4" s="1"/>
  <c r="A1824" i="4" s="1"/>
  <c r="A1825" i="4" s="1"/>
  <c r="A1826" i="4" s="1"/>
  <c r="A1827" i="4" s="1"/>
  <c r="A1828" i="4" s="1"/>
  <c r="A1829" i="4" s="1"/>
  <c r="A1830" i="4" s="1"/>
  <c r="A1831" i="4" s="1"/>
  <c r="A1832" i="4" s="1"/>
  <c r="A1833" i="4" s="1"/>
  <c r="A1834" i="4" s="1"/>
  <c r="A1835" i="4" s="1"/>
  <c r="A1836" i="4" s="1"/>
  <c r="A1837" i="4" s="1"/>
  <c r="A1838" i="4" s="1"/>
  <c r="A1839" i="4" s="1"/>
  <c r="A1840" i="4" s="1"/>
  <c r="A1841" i="4" s="1"/>
  <c r="A1842" i="4" s="1"/>
  <c r="A1843" i="4" s="1"/>
  <c r="A1844" i="4" s="1"/>
  <c r="A1845" i="4" s="1"/>
  <c r="A1846" i="4" s="1"/>
  <c r="A1847" i="4" s="1"/>
  <c r="A1848" i="4" s="1"/>
  <c r="A1849" i="4" s="1"/>
  <c r="A1850" i="4" s="1"/>
  <c r="A1851" i="4" s="1"/>
  <c r="A1852" i="4" s="1"/>
  <c r="A1853" i="4" s="1"/>
  <c r="A1854" i="4" s="1"/>
  <c r="A1855" i="4" s="1"/>
  <c r="A1856" i="4" s="1"/>
  <c r="A1857" i="4" s="1"/>
  <c r="A1858" i="4" s="1"/>
  <c r="A1859" i="4" s="1"/>
  <c r="A1860" i="4" s="1"/>
  <c r="A1861" i="4" s="1"/>
  <c r="A1862" i="4" s="1"/>
  <c r="A1863" i="4" s="1"/>
  <c r="A1864" i="4" s="1"/>
  <c r="A1865" i="4" s="1"/>
  <c r="A1866" i="4" s="1"/>
  <c r="A1867" i="4" s="1"/>
  <c r="A1868" i="4" s="1"/>
  <c r="A1869" i="4" s="1"/>
  <c r="A1870" i="4" s="1"/>
  <c r="A1871" i="4" s="1"/>
  <c r="A1872" i="4" s="1"/>
  <c r="A1873" i="4" s="1"/>
  <c r="A1874" i="4" s="1"/>
  <c r="A1875" i="4" s="1"/>
  <c r="A1876" i="4" s="1"/>
  <c r="A1877" i="4" s="1"/>
  <c r="A1878" i="4" s="1"/>
  <c r="A1879" i="4" s="1"/>
  <c r="A1880" i="4" s="1"/>
  <c r="A1881" i="4" s="1"/>
  <c r="A1882" i="4" s="1"/>
  <c r="A1883" i="4" s="1"/>
  <c r="A1884" i="4" s="1"/>
  <c r="A1885" i="4" s="1"/>
  <c r="A1886" i="4" s="1"/>
  <c r="A1887" i="4" s="1"/>
  <c r="A1888" i="4" s="1"/>
  <c r="A1889" i="4" s="1"/>
  <c r="A1890" i="4" s="1"/>
  <c r="A1891" i="4" s="1"/>
  <c r="A1892" i="4" s="1"/>
  <c r="A1893" i="4" s="1"/>
  <c r="A1894" i="4" s="1"/>
  <c r="A1895" i="4" s="1"/>
  <c r="A1896" i="4" s="1"/>
  <c r="A1897" i="4" s="1"/>
  <c r="A1898" i="4" s="1"/>
  <c r="A1899" i="4" s="1"/>
  <c r="A1900" i="4" s="1"/>
  <c r="A1901" i="4" s="1"/>
  <c r="A1902" i="4" s="1"/>
  <c r="A1903" i="4" s="1"/>
  <c r="A1904" i="4" s="1"/>
  <c r="A1905" i="4" s="1"/>
  <c r="A1906" i="4" s="1"/>
  <c r="A1907" i="4" s="1"/>
  <c r="A1908" i="4" s="1"/>
  <c r="A1909" i="4" s="1"/>
  <c r="A1910" i="4" s="1"/>
  <c r="A1911" i="4" s="1"/>
  <c r="A1912" i="4" s="1"/>
  <c r="A1913" i="4" s="1"/>
  <c r="A1914" i="4" s="1"/>
  <c r="A1915" i="4" s="1"/>
  <c r="A1916" i="4" s="1"/>
  <c r="A1917" i="4" s="1"/>
  <c r="A1918" i="4" s="1"/>
  <c r="A1919" i="4" s="1"/>
  <c r="A1920" i="4" s="1"/>
  <c r="A1921" i="4" s="1"/>
  <c r="A1922" i="4" s="1"/>
  <c r="A1923" i="4" s="1"/>
  <c r="A1924" i="4" s="1"/>
  <c r="A1925" i="4" s="1"/>
  <c r="A1926" i="4" s="1"/>
  <c r="A1927" i="4" s="1"/>
  <c r="A1928" i="4" s="1"/>
  <c r="A1929" i="4" s="1"/>
  <c r="A1930" i="4" s="1"/>
  <c r="A1931" i="4" s="1"/>
  <c r="A1932" i="4" s="1"/>
  <c r="A1933" i="4" s="1"/>
  <c r="A1934" i="4" s="1"/>
  <c r="A1935" i="4" s="1"/>
  <c r="A1936" i="4" s="1"/>
  <c r="A1937" i="4" s="1"/>
  <c r="A1938" i="4" s="1"/>
  <c r="A1939" i="4" s="1"/>
  <c r="A1940" i="4" s="1"/>
  <c r="A1941" i="4" s="1"/>
  <c r="A1942" i="4" s="1"/>
  <c r="A1943" i="4" s="1"/>
  <c r="A1944" i="4" s="1"/>
  <c r="A1945" i="4" s="1"/>
  <c r="A1946" i="4" s="1"/>
  <c r="A1947" i="4" s="1"/>
  <c r="A1948" i="4" s="1"/>
  <c r="A1949" i="4" s="1"/>
  <c r="A1950" i="4" s="1"/>
  <c r="A1951" i="4" s="1"/>
  <c r="A1952" i="4" s="1"/>
  <c r="A1953" i="4" s="1"/>
  <c r="A1954" i="4" s="1"/>
  <c r="A1955" i="4" s="1"/>
  <c r="A1956" i="4" s="1"/>
  <c r="A1957" i="4" s="1"/>
  <c r="A1958" i="4" s="1"/>
  <c r="A1959" i="4" s="1"/>
  <c r="A1960" i="4" s="1"/>
  <c r="A1961" i="4" s="1"/>
  <c r="A1962" i="4" s="1"/>
  <c r="A1963" i="4" s="1"/>
  <c r="A1964" i="4" s="1"/>
  <c r="A1965" i="4" s="1"/>
  <c r="A1966" i="4" s="1"/>
  <c r="A1967" i="4" s="1"/>
  <c r="A1968" i="4" s="1"/>
  <c r="A1969" i="4" s="1"/>
  <c r="A1970" i="4" s="1"/>
  <c r="A1971" i="4" s="1"/>
  <c r="A1972" i="4" s="1"/>
  <c r="A1973" i="4" s="1"/>
  <c r="A1974" i="4" s="1"/>
  <c r="A1975" i="4" s="1"/>
  <c r="A1976" i="4" s="1"/>
  <c r="A1977" i="4" s="1"/>
  <c r="A1978" i="4" s="1"/>
  <c r="A1979" i="4" s="1"/>
  <c r="A1980" i="4" s="1"/>
  <c r="A1981" i="4" s="1"/>
  <c r="A1982" i="4" s="1"/>
  <c r="A1983" i="4" s="1"/>
  <c r="A1984" i="4" s="1"/>
  <c r="A1985" i="4" s="1"/>
  <c r="A1986" i="4" s="1"/>
  <c r="A1987" i="4" s="1"/>
  <c r="A1988" i="4" s="1"/>
  <c r="A1989" i="4" s="1"/>
  <c r="A1990" i="4" s="1"/>
  <c r="A1991" i="4" s="1"/>
  <c r="A1992" i="4" s="1"/>
  <c r="A1993" i="4" s="1"/>
  <c r="A1994" i="4" s="1"/>
  <c r="A1995" i="4" s="1"/>
  <c r="A1996" i="4" s="1"/>
  <c r="A1997" i="4" s="1"/>
  <c r="A1998" i="4" s="1"/>
  <c r="A1999" i="4" s="1"/>
  <c r="A2000" i="4" s="1"/>
  <c r="A2001" i="4" s="1"/>
  <c r="A2002" i="4" s="1"/>
  <c r="A2003" i="4" s="1"/>
  <c r="A2004" i="4" s="1"/>
  <c r="A2005" i="4" s="1"/>
  <c r="A2006" i="4" s="1"/>
  <c r="A2007" i="4" s="1"/>
  <c r="A2008" i="4" s="1"/>
  <c r="A2009" i="4" s="1"/>
  <c r="A2010" i="4" s="1"/>
  <c r="A2011" i="4" s="1"/>
  <c r="A2012" i="4" s="1"/>
  <c r="A2013" i="4" s="1"/>
  <c r="A2014" i="4" s="1"/>
  <c r="A2015" i="4" s="1"/>
  <c r="A2016" i="4" s="1"/>
  <c r="A2017" i="4" s="1"/>
  <c r="A2018" i="4" s="1"/>
  <c r="A2019" i="4" s="1"/>
  <c r="A2020" i="4" s="1"/>
  <c r="A2021" i="4" s="1"/>
  <c r="A2022" i="4" s="1"/>
  <c r="A2023" i="4" s="1"/>
  <c r="A2024" i="4" s="1"/>
  <c r="A2025" i="4" s="1"/>
  <c r="A2026" i="4" s="1"/>
  <c r="A2027" i="4" s="1"/>
  <c r="A2028" i="4" s="1"/>
  <c r="A2029" i="4" s="1"/>
  <c r="A2030" i="4" s="1"/>
  <c r="A2031" i="4" s="1"/>
  <c r="A2032" i="4" s="1"/>
  <c r="A2033" i="4" s="1"/>
  <c r="A2034" i="4" s="1"/>
  <c r="A2035" i="4" s="1"/>
  <c r="A2036" i="4" s="1"/>
  <c r="A2037" i="4" s="1"/>
  <c r="A2038" i="4" s="1"/>
  <c r="A2039" i="4" s="1"/>
  <c r="A2040" i="4" s="1"/>
  <c r="A2041" i="4" s="1"/>
  <c r="A2042" i="4" s="1"/>
  <c r="A2043" i="4" s="1"/>
  <c r="A2044" i="4" s="1"/>
  <c r="A2045" i="4" s="1"/>
  <c r="A2046" i="4" s="1"/>
  <c r="A2047" i="4" s="1"/>
  <c r="A2048" i="4" s="1"/>
  <c r="A2049" i="4" s="1"/>
  <c r="A2050" i="4" s="1"/>
  <c r="A2051" i="4" s="1"/>
  <c r="A2052" i="4" s="1"/>
  <c r="A2053" i="4" s="1"/>
  <c r="A2054" i="4" s="1"/>
  <c r="A2055" i="4" s="1"/>
  <c r="A2056" i="4" s="1"/>
  <c r="A2057" i="4" s="1"/>
  <c r="A2058" i="4" s="1"/>
  <c r="A2059" i="4" s="1"/>
  <c r="A2060" i="4" s="1"/>
  <c r="A2061" i="4" s="1"/>
  <c r="A2062" i="4" s="1"/>
  <c r="A2063" i="4" s="1"/>
  <c r="A2064" i="4" s="1"/>
  <c r="A2065" i="4" s="1"/>
  <c r="A2066" i="4" s="1"/>
  <c r="A2067" i="4" s="1"/>
  <c r="A2068" i="4" s="1"/>
  <c r="A2069" i="4" s="1"/>
  <c r="A2070" i="4" s="1"/>
  <c r="A2071" i="4" s="1"/>
  <c r="A2072" i="4" s="1"/>
  <c r="A2073" i="4" s="1"/>
  <c r="A2074" i="4" s="1"/>
  <c r="A2075" i="4" s="1"/>
  <c r="A2076" i="4" s="1"/>
  <c r="A2077" i="4" s="1"/>
  <c r="A2078" i="4" s="1"/>
  <c r="A2079" i="4" s="1"/>
  <c r="A2080" i="4" s="1"/>
  <c r="A2081" i="4" s="1"/>
  <c r="A2082" i="4" s="1"/>
  <c r="A2083" i="4" s="1"/>
  <c r="A2084" i="4" s="1"/>
  <c r="A2085" i="4" s="1"/>
  <c r="A2086" i="4" s="1"/>
  <c r="A2087" i="4" s="1"/>
  <c r="A2088" i="4" s="1"/>
  <c r="A2089" i="4" s="1"/>
  <c r="A2090" i="4" s="1"/>
  <c r="A2091" i="4" s="1"/>
  <c r="A2092" i="4" s="1"/>
  <c r="A2093" i="4" s="1"/>
  <c r="A2094" i="4" s="1"/>
  <c r="A2095" i="4" s="1"/>
  <c r="A2096" i="4" s="1"/>
  <c r="A2097" i="4" s="1"/>
  <c r="A2098" i="4" s="1"/>
  <c r="A2099" i="4" s="1"/>
  <c r="A2100" i="4" s="1"/>
  <c r="A2101" i="4" s="1"/>
  <c r="A2102" i="4" s="1"/>
  <c r="A2103" i="4" s="1"/>
  <c r="A2104" i="4" s="1"/>
  <c r="A2105" i="4" s="1"/>
  <c r="A2106" i="4" s="1"/>
  <c r="A2107" i="4" s="1"/>
  <c r="A2108" i="4" s="1"/>
  <c r="A2109" i="4" s="1"/>
  <c r="A2110" i="4" s="1"/>
  <c r="A2111" i="4" s="1"/>
  <c r="A2112" i="4" s="1"/>
  <c r="A2113" i="4" s="1"/>
  <c r="A2114" i="4" s="1"/>
  <c r="A2115" i="4" s="1"/>
  <c r="A2116" i="4" s="1"/>
  <c r="A2117" i="4" s="1"/>
  <c r="A2118" i="4" s="1"/>
  <c r="A2119" i="4" s="1"/>
  <c r="A2120" i="4" s="1"/>
  <c r="A2121" i="4" s="1"/>
  <c r="A2122" i="4" s="1"/>
  <c r="A2123" i="4" s="1"/>
  <c r="A2124" i="4" s="1"/>
  <c r="A2125" i="4" s="1"/>
  <c r="A2126" i="4" s="1"/>
  <c r="A2127" i="4" s="1"/>
  <c r="A2128" i="4" s="1"/>
  <c r="A2129" i="4" s="1"/>
  <c r="A2130" i="4" s="1"/>
  <c r="A2131" i="4" s="1"/>
  <c r="A2132" i="4" s="1"/>
  <c r="A2133" i="4" s="1"/>
  <c r="A2134" i="4" s="1"/>
  <c r="A2135" i="4" s="1"/>
  <c r="A2136" i="4" s="1"/>
  <c r="A2137" i="4" s="1"/>
  <c r="A2138" i="4" s="1"/>
  <c r="A2139" i="4" s="1"/>
  <c r="A2140" i="4" s="1"/>
  <c r="A2141" i="4" s="1"/>
  <c r="A2142" i="4" s="1"/>
  <c r="A2143" i="4" s="1"/>
  <c r="A2144" i="4" s="1"/>
  <c r="A2145" i="4" s="1"/>
  <c r="A2146" i="4" s="1"/>
  <c r="A2147" i="4" s="1"/>
  <c r="A2148" i="4" s="1"/>
  <c r="A2149" i="4" s="1"/>
  <c r="A2150" i="4" s="1"/>
  <c r="A2151" i="4" s="1"/>
  <c r="A2152" i="4" s="1"/>
  <c r="A2153" i="4" s="1"/>
  <c r="A2154" i="4" s="1"/>
  <c r="A2155" i="4" s="1"/>
  <c r="A2156" i="4" s="1"/>
  <c r="A2157" i="4" s="1"/>
  <c r="A2158" i="4" s="1"/>
  <c r="A2159" i="4" s="1"/>
  <c r="A2160" i="4" s="1"/>
  <c r="A2161" i="4" s="1"/>
  <c r="A2162" i="4" s="1"/>
  <c r="A2163" i="4" s="1"/>
  <c r="A2164" i="4" s="1"/>
  <c r="A2165" i="4" s="1"/>
  <c r="A2166" i="4" s="1"/>
  <c r="A2167" i="4" s="1"/>
  <c r="A2168" i="4" s="1"/>
  <c r="A2169" i="4" s="1"/>
  <c r="A2170" i="4" s="1"/>
  <c r="A2171" i="4" s="1"/>
  <c r="A2172" i="4" s="1"/>
  <c r="A2173" i="4" s="1"/>
  <c r="A2174" i="4" s="1"/>
  <c r="A2175" i="4" s="1"/>
  <c r="A2176" i="4" s="1"/>
  <c r="A2177" i="4" s="1"/>
  <c r="A2178" i="4" s="1"/>
  <c r="A2179" i="4" s="1"/>
  <c r="A2180" i="4" s="1"/>
  <c r="A2181" i="4" s="1"/>
  <c r="A2182" i="4" s="1"/>
  <c r="A2183" i="4" s="1"/>
  <c r="A2184" i="4" s="1"/>
  <c r="A2185" i="4" s="1"/>
  <c r="A2186" i="4" s="1"/>
  <c r="A2187" i="4" s="1"/>
  <c r="A2188" i="4" s="1"/>
  <c r="A2189" i="4" s="1"/>
  <c r="A2190" i="4" s="1"/>
  <c r="A2191" i="4" s="1"/>
  <c r="A2192" i="4" s="1"/>
  <c r="A2193" i="4" s="1"/>
  <c r="A2194" i="4" s="1"/>
  <c r="A2195" i="4" s="1"/>
  <c r="A2196" i="4" s="1"/>
  <c r="A2197" i="4" s="1"/>
  <c r="A2198" i="4" s="1"/>
  <c r="A2199" i="4" s="1"/>
  <c r="A2200" i="4" s="1"/>
  <c r="A2201" i="4" s="1"/>
  <c r="A2202" i="4" s="1"/>
  <c r="A2203" i="4" s="1"/>
  <c r="A2204" i="4" s="1"/>
  <c r="A2205" i="4" s="1"/>
  <c r="A2206" i="4" s="1"/>
  <c r="A2207" i="4" s="1"/>
  <c r="A2208" i="4" s="1"/>
  <c r="A2209" i="4" s="1"/>
  <c r="A2210" i="4" s="1"/>
  <c r="A2211" i="4" s="1"/>
  <c r="A2212" i="4" s="1"/>
  <c r="A2213" i="4" s="1"/>
  <c r="A2214" i="4" s="1"/>
  <c r="A2215" i="4" s="1"/>
  <c r="A2216" i="4" s="1"/>
  <c r="A2217" i="4" s="1"/>
  <c r="A2218" i="4" s="1"/>
  <c r="A2219" i="4" s="1"/>
  <c r="A2220" i="4" s="1"/>
  <c r="A2221" i="4" s="1"/>
  <c r="A2222" i="4" s="1"/>
  <c r="A2223" i="4" s="1"/>
  <c r="A2224" i="4" s="1"/>
  <c r="A2225" i="4" s="1"/>
  <c r="A2226" i="4" s="1"/>
  <c r="A2227" i="4" s="1"/>
  <c r="A2228" i="4" s="1"/>
  <c r="A2229" i="4" s="1"/>
  <c r="A2230" i="4" s="1"/>
  <c r="A2231" i="4" s="1"/>
  <c r="A2232" i="4" s="1"/>
  <c r="A2233" i="4" s="1"/>
  <c r="A2234" i="4" s="1"/>
  <c r="A2235" i="4" s="1"/>
  <c r="A2236" i="4" s="1"/>
  <c r="A2237" i="4" s="1"/>
  <c r="A2238" i="4" s="1"/>
  <c r="A2239" i="4" s="1"/>
  <c r="A2240" i="4" s="1"/>
  <c r="A2241" i="4" s="1"/>
  <c r="A2242" i="4" s="1"/>
  <c r="A2243" i="4" s="1"/>
  <c r="A2244" i="4" s="1"/>
  <c r="A2245" i="4" s="1"/>
  <c r="A2246" i="4" s="1"/>
  <c r="A2247" i="4" s="1"/>
  <c r="A2248" i="4" s="1"/>
  <c r="A2249" i="4" s="1"/>
  <c r="A2250" i="4" s="1"/>
  <c r="A2251" i="4" s="1"/>
  <c r="A2252" i="4" s="1"/>
  <c r="A2253" i="4" s="1"/>
  <c r="A2254" i="4" s="1"/>
  <c r="A2255" i="4" s="1"/>
  <c r="A2256" i="4" s="1"/>
  <c r="A2257" i="4" s="1"/>
  <c r="A2258" i="4" s="1"/>
  <c r="A2259" i="4" s="1"/>
  <c r="A2260" i="4" s="1"/>
  <c r="A2261" i="4" s="1"/>
  <c r="A2262" i="4" s="1"/>
  <c r="A2263" i="4" s="1"/>
  <c r="A2264" i="4" s="1"/>
  <c r="A2265" i="4" s="1"/>
  <c r="A2266" i="4" s="1"/>
  <c r="A2267" i="4" s="1"/>
  <c r="A2268" i="4" s="1"/>
  <c r="A2269" i="4" s="1"/>
  <c r="A2270" i="4" s="1"/>
  <c r="A2271" i="4" s="1"/>
  <c r="A2272" i="4" s="1"/>
  <c r="A2273" i="4" s="1"/>
  <c r="A2274" i="4" s="1"/>
  <c r="A2275" i="4" s="1"/>
  <c r="A2276" i="4" s="1"/>
  <c r="A2277" i="4" s="1"/>
  <c r="A2278" i="4" s="1"/>
  <c r="A2279" i="4" s="1"/>
  <c r="A2280" i="4" s="1"/>
  <c r="A2281" i="4" s="1"/>
  <c r="A2282" i="4" s="1"/>
  <c r="A2283" i="4" s="1"/>
  <c r="A2284" i="4" s="1"/>
  <c r="A2285" i="4" s="1"/>
  <c r="A2286" i="4" s="1"/>
  <c r="A2287" i="4" s="1"/>
  <c r="A2288" i="4" s="1"/>
  <c r="A2289" i="4" s="1"/>
  <c r="A2290" i="4" s="1"/>
  <c r="A2291" i="4" s="1"/>
  <c r="A2292" i="4" s="1"/>
  <c r="A2293" i="4" s="1"/>
  <c r="A2294" i="4" s="1"/>
  <c r="A2295" i="4" s="1"/>
  <c r="A2296" i="4" s="1"/>
  <c r="A2297" i="4" s="1"/>
  <c r="A2298" i="4" s="1"/>
  <c r="A2299" i="4" s="1"/>
  <c r="A2300" i="4" s="1"/>
  <c r="A2301" i="4" s="1"/>
  <c r="A2302" i="4" s="1"/>
  <c r="A2303" i="4" s="1"/>
  <c r="A2304" i="4" s="1"/>
  <c r="A2305" i="4" s="1"/>
  <c r="A2306" i="4" s="1"/>
  <c r="A2307" i="4" s="1"/>
  <c r="A2308" i="4" s="1"/>
  <c r="A2309" i="4" s="1"/>
  <c r="A2310" i="4" s="1"/>
  <c r="A2311" i="4" s="1"/>
  <c r="A2312" i="4" s="1"/>
  <c r="A2313" i="4" s="1"/>
  <c r="A2314" i="4" s="1"/>
  <c r="A2315" i="4" s="1"/>
  <c r="A2316" i="4" s="1"/>
  <c r="A2317" i="4" s="1"/>
  <c r="A2318" i="4" s="1"/>
  <c r="A2319" i="4" s="1"/>
  <c r="A2320" i="4" s="1"/>
  <c r="A2321" i="4" s="1"/>
  <c r="A2322" i="4" s="1"/>
  <c r="A2323" i="4" s="1"/>
  <c r="A2324" i="4" s="1"/>
  <c r="A2325" i="4" s="1"/>
  <c r="A2326" i="4" s="1"/>
  <c r="A2327" i="4" s="1"/>
  <c r="A2328" i="4" s="1"/>
  <c r="A2329" i="4" s="1"/>
  <c r="A2330" i="4" s="1"/>
  <c r="A2331" i="4" s="1"/>
  <c r="A2332" i="4" s="1"/>
  <c r="A2333" i="4" s="1"/>
  <c r="A2334" i="4" s="1"/>
  <c r="A2335" i="4" s="1"/>
  <c r="A2336" i="4" s="1"/>
  <c r="A2337" i="4" s="1"/>
  <c r="A2338" i="4" s="1"/>
  <c r="A2339" i="4" s="1"/>
  <c r="A2340" i="4" s="1"/>
  <c r="A2341" i="4" s="1"/>
  <c r="A2342" i="4" s="1"/>
  <c r="A2343" i="4" s="1"/>
  <c r="A2344" i="4" s="1"/>
  <c r="A2345" i="4" s="1"/>
  <c r="A2346" i="4" s="1"/>
  <c r="A2347" i="4" s="1"/>
  <c r="A2348" i="4" s="1"/>
  <c r="A2349" i="4" s="1"/>
  <c r="A2350" i="4" s="1"/>
  <c r="A2351" i="4" s="1"/>
  <c r="A2352" i="4" s="1"/>
  <c r="A2353" i="4" s="1"/>
  <c r="A2354" i="4" s="1"/>
  <c r="A2355" i="4" s="1"/>
  <c r="A2356" i="4" s="1"/>
  <c r="A2357" i="4" s="1"/>
  <c r="A2358" i="4" s="1"/>
  <c r="A2359" i="4" s="1"/>
  <c r="A2360" i="4" s="1"/>
  <c r="A2361" i="4" s="1"/>
  <c r="A2362" i="4" s="1"/>
  <c r="A2363" i="4" s="1"/>
  <c r="A2364" i="4" s="1"/>
  <c r="A2365" i="4" s="1"/>
  <c r="A2366" i="4" s="1"/>
  <c r="A2367" i="4" s="1"/>
  <c r="A2368" i="4" s="1"/>
  <c r="A2369" i="4" s="1"/>
  <c r="A2370" i="4" s="1"/>
  <c r="A2371" i="4" s="1"/>
  <c r="A2372" i="4" s="1"/>
  <c r="A2373" i="4" s="1"/>
  <c r="A2374" i="4" s="1"/>
  <c r="A2375" i="4" s="1"/>
  <c r="A2376" i="4" s="1"/>
  <c r="A2377" i="4" s="1"/>
  <c r="A2378" i="4" s="1"/>
  <c r="A2379" i="4" s="1"/>
  <c r="A2380" i="4" s="1"/>
  <c r="A2381" i="4" s="1"/>
  <c r="A2382" i="4" s="1"/>
  <c r="A2383" i="4" s="1"/>
  <c r="A2384" i="4" s="1"/>
  <c r="A2385" i="4" s="1"/>
  <c r="A2386" i="4" s="1"/>
  <c r="A2387" i="4" s="1"/>
  <c r="A2388" i="4" s="1"/>
  <c r="A2389" i="4" s="1"/>
  <c r="A2390" i="4" s="1"/>
  <c r="A2391" i="4" s="1"/>
  <c r="A2392" i="4" s="1"/>
  <c r="A2393" i="4" s="1"/>
  <c r="A2394" i="4" s="1"/>
  <c r="A2395" i="4" s="1"/>
  <c r="A2396" i="4" s="1"/>
  <c r="A2397" i="4" s="1"/>
  <c r="A2398" i="4" s="1"/>
  <c r="A2399" i="4" s="1"/>
  <c r="A2400" i="4" s="1"/>
  <c r="A2401" i="4" s="1"/>
  <c r="A2402" i="4" s="1"/>
  <c r="A2403" i="4" s="1"/>
  <c r="A2404" i="4" s="1"/>
  <c r="A2405" i="4" s="1"/>
  <c r="A2406" i="4" s="1"/>
  <c r="A2407" i="4" s="1"/>
  <c r="A2408" i="4" s="1"/>
  <c r="A2409" i="4" s="1"/>
  <c r="A2410" i="4" s="1"/>
  <c r="A2411" i="4" s="1"/>
  <c r="A2412" i="4" s="1"/>
  <c r="A2413" i="4" s="1"/>
  <c r="A2414" i="4" s="1"/>
  <c r="A2415" i="4" s="1"/>
  <c r="A2416" i="4" s="1"/>
  <c r="A2417" i="4" s="1"/>
  <c r="A2418" i="4" s="1"/>
  <c r="A2419" i="4" s="1"/>
  <c r="A2420" i="4" s="1"/>
  <c r="A2421" i="4" s="1"/>
  <c r="A2422" i="4" s="1"/>
  <c r="A2423" i="4" s="1"/>
  <c r="A2424" i="4" s="1"/>
  <c r="A2425" i="4" s="1"/>
  <c r="A2426" i="4" s="1"/>
  <c r="A2427" i="4" s="1"/>
  <c r="A2428" i="4" s="1"/>
  <c r="A2429" i="4" s="1"/>
  <c r="A2430" i="4" s="1"/>
  <c r="A2431" i="4" s="1"/>
  <c r="A2432" i="4" s="1"/>
  <c r="A2433" i="4" s="1"/>
  <c r="A2434" i="4" s="1"/>
  <c r="A2435" i="4" s="1"/>
  <c r="A2436" i="4" s="1"/>
  <c r="A2437" i="4" s="1"/>
  <c r="A2438" i="4" s="1"/>
  <c r="A2439" i="4" s="1"/>
  <c r="A2440" i="4" s="1"/>
  <c r="A2441" i="4" s="1"/>
  <c r="A2442" i="4" s="1"/>
  <c r="A2443" i="4" s="1"/>
  <c r="A2444" i="4" s="1"/>
  <c r="A2445" i="4" s="1"/>
  <c r="A2446" i="4" s="1"/>
  <c r="A2447" i="4" s="1"/>
  <c r="A2448" i="4" s="1"/>
  <c r="A2449" i="4" s="1"/>
  <c r="A2450" i="4" s="1"/>
  <c r="A2451" i="4" s="1"/>
  <c r="A2452" i="4" s="1"/>
  <c r="A2453" i="4" s="1"/>
  <c r="A2454" i="4" s="1"/>
  <c r="A2455" i="4" s="1"/>
  <c r="A2456" i="4" s="1"/>
  <c r="A2457" i="4" s="1"/>
  <c r="A2458" i="4" s="1"/>
  <c r="A2459" i="4" s="1"/>
  <c r="A2460" i="4" s="1"/>
  <c r="A2461" i="4" s="1"/>
  <c r="A2462" i="4" s="1"/>
  <c r="A2463" i="4" s="1"/>
  <c r="A2464" i="4" s="1"/>
  <c r="A2465" i="4" s="1"/>
  <c r="A2466" i="4" s="1"/>
  <c r="A2467" i="4" s="1"/>
  <c r="A2468" i="4" s="1"/>
  <c r="A2469" i="4" s="1"/>
  <c r="A2470" i="4" s="1"/>
  <c r="A2471" i="4" s="1"/>
  <c r="A2472" i="4" s="1"/>
  <c r="A2473" i="4" s="1"/>
  <c r="A2474" i="4" s="1"/>
  <c r="A2475" i="4" s="1"/>
  <c r="A2476" i="4" s="1"/>
  <c r="A2477" i="4" s="1"/>
  <c r="A2478" i="4" s="1"/>
  <c r="A2479" i="4" s="1"/>
  <c r="A2480" i="4" s="1"/>
  <c r="A2481" i="4" s="1"/>
  <c r="A2482" i="4" s="1"/>
  <c r="A2483" i="4" s="1"/>
  <c r="A2484" i="4" s="1"/>
  <c r="A2485" i="4" s="1"/>
  <c r="A2486" i="4" s="1"/>
  <c r="A2487" i="4" s="1"/>
  <c r="A2488" i="4" s="1"/>
  <c r="A2489" i="4" s="1"/>
  <c r="A2490" i="4" s="1"/>
  <c r="A2491" i="4" s="1"/>
  <c r="A2492" i="4" s="1"/>
  <c r="A2493" i="4" s="1"/>
  <c r="A2494" i="4" s="1"/>
  <c r="A2495" i="4" s="1"/>
  <c r="A2496" i="4" s="1"/>
  <c r="A2497" i="4" s="1"/>
  <c r="A2498" i="4" s="1"/>
  <c r="A2499" i="4" s="1"/>
  <c r="A2500" i="4" s="1"/>
  <c r="A2501" i="4" s="1"/>
  <c r="A2502" i="4" s="1"/>
  <c r="A2503" i="4" s="1"/>
  <c r="A2504" i="4" s="1"/>
  <c r="A2505" i="4" s="1"/>
  <c r="A2506" i="4" s="1"/>
  <c r="A2507" i="4" s="1"/>
  <c r="A2508" i="4" s="1"/>
  <c r="A2509" i="4" s="1"/>
  <c r="A2510" i="4" s="1"/>
  <c r="A2511" i="4" s="1"/>
  <c r="A2512" i="4" s="1"/>
  <c r="A2513" i="4" s="1"/>
  <c r="A2514" i="4" s="1"/>
  <c r="A2515" i="4" s="1"/>
  <c r="A2516" i="4" s="1"/>
  <c r="A2517" i="4" s="1"/>
  <c r="A2518" i="4" s="1"/>
  <c r="A2519" i="4" s="1"/>
  <c r="A2520" i="4" s="1"/>
  <c r="A2521" i="4" s="1"/>
  <c r="A2522" i="4" s="1"/>
  <c r="A2523" i="4" s="1"/>
  <c r="A2524" i="4" s="1"/>
  <c r="A2525" i="4" s="1"/>
  <c r="A2526" i="4" s="1"/>
  <c r="A2527" i="4" s="1"/>
  <c r="A2528" i="4" s="1"/>
  <c r="A2529" i="4" s="1"/>
  <c r="A2530" i="4" s="1"/>
  <c r="A2531" i="4" s="1"/>
  <c r="A2532" i="4" s="1"/>
  <c r="A2533" i="4" s="1"/>
  <c r="A2534" i="4" s="1"/>
  <c r="A2535" i="4" s="1"/>
  <c r="A2536" i="4" s="1"/>
  <c r="A2537" i="4" s="1"/>
  <c r="A2538" i="4" s="1"/>
  <c r="A2539" i="4" s="1"/>
  <c r="A2540" i="4" s="1"/>
  <c r="A2541" i="4" s="1"/>
  <c r="A2542" i="4" s="1"/>
  <c r="A2543" i="4" s="1"/>
  <c r="A2544" i="4" s="1"/>
  <c r="A2545" i="4" s="1"/>
  <c r="A2546" i="4" s="1"/>
  <c r="A2547" i="4" s="1"/>
  <c r="A2548" i="4" s="1"/>
  <c r="A2549" i="4" s="1"/>
  <c r="A2550" i="4" s="1"/>
  <c r="A2551" i="4" s="1"/>
  <c r="A2552" i="4" s="1"/>
  <c r="A2553" i="4" s="1"/>
  <c r="A2554" i="4" s="1"/>
  <c r="A2555" i="4" s="1"/>
  <c r="A2556" i="4" s="1"/>
  <c r="A2557" i="4" s="1"/>
  <c r="A2558" i="4" s="1"/>
  <c r="A2559" i="4" s="1"/>
  <c r="A2560" i="4" s="1"/>
  <c r="A2561" i="4" s="1"/>
  <c r="A2562" i="4" s="1"/>
  <c r="A2563" i="4" s="1"/>
  <c r="A2564" i="4" s="1"/>
  <c r="A2565" i="4" s="1"/>
  <c r="A2566" i="4" s="1"/>
  <c r="A2567" i="4" s="1"/>
  <c r="A2568" i="4" s="1"/>
  <c r="A2569" i="4" s="1"/>
  <c r="A2570" i="4" s="1"/>
  <c r="A2571" i="4" s="1"/>
  <c r="A2572" i="4" s="1"/>
  <c r="A2573" i="4" s="1"/>
  <c r="A2574" i="4" s="1"/>
  <c r="A2575" i="4" s="1"/>
  <c r="A2576" i="4" s="1"/>
  <c r="A2577" i="4" s="1"/>
  <c r="A2578" i="4" s="1"/>
  <c r="A2579" i="4" s="1"/>
  <c r="A2580" i="4" s="1"/>
  <c r="A2581" i="4" s="1"/>
  <c r="A2582" i="4" s="1"/>
  <c r="A2583" i="4" s="1"/>
  <c r="A2584" i="4" s="1"/>
  <c r="A2585" i="4" s="1"/>
  <c r="A2586" i="4" s="1"/>
  <c r="A2587" i="4" s="1"/>
  <c r="A2588" i="4" s="1"/>
  <c r="A2589" i="4" s="1"/>
  <c r="A2590" i="4" s="1"/>
  <c r="A2591" i="4" s="1"/>
  <c r="A2592" i="4" s="1"/>
  <c r="A2593" i="4" s="1"/>
  <c r="A2594" i="4" s="1"/>
  <c r="A2595" i="4" s="1"/>
  <c r="A2596" i="4" s="1"/>
  <c r="A2597" i="4" s="1"/>
  <c r="A2598" i="4" s="1"/>
  <c r="A2599" i="4" s="1"/>
  <c r="A2600" i="4" s="1"/>
  <c r="A2601" i="4" s="1"/>
  <c r="A2602" i="4" s="1"/>
  <c r="A2603" i="4" s="1"/>
  <c r="A2604" i="4" s="1"/>
  <c r="A2605" i="4" s="1"/>
  <c r="A2606" i="4" s="1"/>
  <c r="A2607" i="4" s="1"/>
  <c r="A2608" i="4" s="1"/>
  <c r="A2609" i="4" s="1"/>
  <c r="A2610" i="4" s="1"/>
  <c r="A2611" i="4" s="1"/>
  <c r="A2612" i="4" s="1"/>
  <c r="A2613" i="4" s="1"/>
  <c r="A2614" i="4" s="1"/>
  <c r="A2615" i="4" s="1"/>
  <c r="A2616" i="4" s="1"/>
  <c r="A2617" i="4" s="1"/>
  <c r="A2618" i="4" s="1"/>
  <c r="A2619" i="4" s="1"/>
  <c r="A2620" i="4" s="1"/>
  <c r="A2621" i="4" s="1"/>
  <c r="A2622" i="4" s="1"/>
  <c r="A2623" i="4" s="1"/>
  <c r="A2624" i="4" s="1"/>
  <c r="A2625" i="4" s="1"/>
  <c r="A2626" i="4" s="1"/>
  <c r="A2627" i="4" s="1"/>
  <c r="A2628" i="4" s="1"/>
  <c r="A2629" i="4" s="1"/>
  <c r="A2630" i="4" s="1"/>
  <c r="A2631" i="4" s="1"/>
  <c r="A2632" i="4" s="1"/>
  <c r="A2633" i="4" s="1"/>
  <c r="A2634" i="4" s="1"/>
  <c r="A2635" i="4" s="1"/>
  <c r="A2636" i="4" s="1"/>
  <c r="A2637" i="4" s="1"/>
  <c r="A2638" i="4" s="1"/>
  <c r="A2639" i="4" s="1"/>
  <c r="A2640" i="4" s="1"/>
  <c r="A2641" i="4" s="1"/>
  <c r="A2642" i="4" s="1"/>
  <c r="A2643" i="4" s="1"/>
  <c r="A2644" i="4" s="1"/>
  <c r="A2645" i="4" s="1"/>
  <c r="A2646" i="4" s="1"/>
  <c r="A2647" i="4" s="1"/>
  <c r="A2648" i="4" s="1"/>
  <c r="A2649" i="4" s="1"/>
  <c r="A2650" i="4" s="1"/>
  <c r="A2651" i="4" s="1"/>
  <c r="A2652" i="4" s="1"/>
  <c r="A2653" i="4" s="1"/>
  <c r="A2654" i="4" s="1"/>
  <c r="A2655" i="4" s="1"/>
  <c r="A2656" i="4" s="1"/>
  <c r="A2657" i="4" s="1"/>
  <c r="A2658" i="4" s="1"/>
  <c r="A2659" i="4" s="1"/>
  <c r="A2660" i="4" s="1"/>
  <c r="A2661" i="4" s="1"/>
  <c r="A2662" i="4" s="1"/>
  <c r="A2663" i="4" s="1"/>
  <c r="A2664" i="4" s="1"/>
  <c r="A2665" i="4" s="1"/>
  <c r="A2666" i="4" s="1"/>
  <c r="A2667" i="4" s="1"/>
  <c r="A2668" i="4" s="1"/>
  <c r="A2669" i="4" s="1"/>
  <c r="A2670" i="4" s="1"/>
  <c r="A2671" i="4" s="1"/>
  <c r="A2672" i="4" s="1"/>
  <c r="A2673" i="4" s="1"/>
  <c r="A2674" i="4" s="1"/>
  <c r="A2675" i="4" s="1"/>
  <c r="A2676" i="4" s="1"/>
  <c r="A2677" i="4" s="1"/>
  <c r="A2678" i="4" s="1"/>
  <c r="A2679" i="4" s="1"/>
  <c r="A2680" i="4" s="1"/>
  <c r="A2681" i="4" s="1"/>
  <c r="A2682" i="4" s="1"/>
  <c r="A2683" i="4" s="1"/>
  <c r="A2684" i="4" s="1"/>
  <c r="A2685" i="4" s="1"/>
  <c r="A2686" i="4" s="1"/>
  <c r="A2687" i="4" s="1"/>
  <c r="A2688" i="4" s="1"/>
  <c r="A2689" i="4" s="1"/>
  <c r="A2690" i="4" s="1"/>
  <c r="A2691" i="4" s="1"/>
  <c r="A2692" i="4" s="1"/>
  <c r="A2693" i="4" s="1"/>
  <c r="A2694" i="4" s="1"/>
  <c r="A2695" i="4" s="1"/>
  <c r="A2696" i="4" s="1"/>
  <c r="A2697" i="4" s="1"/>
  <c r="A2698" i="4" s="1"/>
  <c r="A2699" i="4" s="1"/>
  <c r="A2700" i="4" s="1"/>
  <c r="A2701" i="4" s="1"/>
  <c r="A2702" i="4" s="1"/>
  <c r="A2703" i="4" s="1"/>
  <c r="A2704" i="4" s="1"/>
  <c r="A2705" i="4" s="1"/>
  <c r="A2706" i="4" s="1"/>
  <c r="A2707" i="4" s="1"/>
  <c r="A2708" i="4" s="1"/>
  <c r="A2709" i="4" s="1"/>
  <c r="A2710" i="4" s="1"/>
  <c r="A2711" i="4" s="1"/>
  <c r="A2712" i="4" s="1"/>
  <c r="A2713" i="4" s="1"/>
  <c r="A2714" i="4" s="1"/>
  <c r="A2715" i="4" s="1"/>
  <c r="A2716" i="4" s="1"/>
  <c r="A2717" i="4" s="1"/>
  <c r="A2718" i="4" s="1"/>
  <c r="A2719" i="4" s="1"/>
  <c r="A2720" i="4" s="1"/>
  <c r="A2721" i="4" s="1"/>
  <c r="A2722" i="4" s="1"/>
  <c r="A2723" i="4" s="1"/>
  <c r="A2724" i="4" s="1"/>
  <c r="A2725" i="4" s="1"/>
  <c r="A2726" i="4" s="1"/>
  <c r="A2727" i="4" s="1"/>
  <c r="A2728" i="4" s="1"/>
  <c r="A2729" i="4" s="1"/>
  <c r="A2730" i="4" s="1"/>
  <c r="A2731" i="4" s="1"/>
  <c r="A2732" i="4" s="1"/>
  <c r="A2733" i="4" s="1"/>
  <c r="A2734" i="4" s="1"/>
  <c r="A2735" i="4" s="1"/>
  <c r="A2736" i="4" s="1"/>
  <c r="A2737" i="4" s="1"/>
  <c r="A2738" i="4" s="1"/>
  <c r="A2739" i="4" s="1"/>
  <c r="A2740" i="4" s="1"/>
  <c r="A2741" i="4" s="1"/>
  <c r="A2742" i="4" s="1"/>
  <c r="A2743" i="4" s="1"/>
  <c r="A2744" i="4" s="1"/>
  <c r="A2745" i="4" s="1"/>
  <c r="A2746" i="4" s="1"/>
  <c r="A2747" i="4" s="1"/>
  <c r="A2748" i="4" s="1"/>
  <c r="A2749" i="4" s="1"/>
  <c r="A2750" i="4" s="1"/>
  <c r="A2751" i="4" s="1"/>
  <c r="A2752" i="4" s="1"/>
  <c r="A2753" i="4" s="1"/>
  <c r="A2754" i="4" s="1"/>
  <c r="A2755" i="4" s="1"/>
  <c r="A2756" i="4" s="1"/>
  <c r="A2757" i="4" s="1"/>
  <c r="A2758" i="4" s="1"/>
  <c r="A2759" i="4" s="1"/>
  <c r="A2760" i="4" s="1"/>
  <c r="A2761" i="4" s="1"/>
  <c r="A2762" i="4" s="1"/>
  <c r="A2763" i="4" s="1"/>
  <c r="A2764" i="4" s="1"/>
  <c r="A2765" i="4" s="1"/>
  <c r="A2766" i="4" s="1"/>
  <c r="A2767" i="4" s="1"/>
  <c r="A2768" i="4" s="1"/>
  <c r="A2769" i="4" s="1"/>
  <c r="A2770" i="4" s="1"/>
  <c r="A2771" i="4" s="1"/>
  <c r="A2772" i="4" s="1"/>
  <c r="A2773" i="4" s="1"/>
  <c r="A2774" i="4" s="1"/>
  <c r="A2775" i="4" s="1"/>
  <c r="A2776" i="4" s="1"/>
  <c r="A2777" i="4" s="1"/>
  <c r="A2778" i="4" s="1"/>
  <c r="A2779" i="4" s="1"/>
  <c r="A2780" i="4" s="1"/>
  <c r="A2781" i="4" s="1"/>
  <c r="A2782" i="4" s="1"/>
  <c r="A2783" i="4" s="1"/>
  <c r="A2784" i="4" s="1"/>
  <c r="A2785" i="4" s="1"/>
  <c r="A2786" i="4" s="1"/>
  <c r="A2787" i="4" s="1"/>
  <c r="A2788" i="4" s="1"/>
  <c r="A2789" i="4" s="1"/>
  <c r="A2790" i="4" s="1"/>
  <c r="A2791" i="4" s="1"/>
  <c r="A2792" i="4" s="1"/>
  <c r="A2793" i="4" s="1"/>
  <c r="A2794" i="4" s="1"/>
  <c r="A2795" i="4" s="1"/>
  <c r="A2796" i="4" s="1"/>
  <c r="A2797" i="4" s="1"/>
  <c r="A2798" i="4" s="1"/>
  <c r="A2799" i="4" s="1"/>
  <c r="A2800" i="4" s="1"/>
  <c r="A2801" i="4" s="1"/>
  <c r="A2802" i="4" s="1"/>
  <c r="A2803" i="4" s="1"/>
  <c r="A2804" i="4" s="1"/>
  <c r="A2805" i="4" s="1"/>
  <c r="A2806" i="4" s="1"/>
  <c r="A2807" i="4" s="1"/>
  <c r="A2808" i="4" s="1"/>
  <c r="A2809" i="4" s="1"/>
  <c r="A2810" i="4" s="1"/>
  <c r="A2811" i="4" s="1"/>
  <c r="A2812" i="4" s="1"/>
  <c r="A2813" i="4" s="1"/>
  <c r="A2814" i="4" s="1"/>
  <c r="A2815" i="4" s="1"/>
  <c r="A2816" i="4" s="1"/>
  <c r="A2817" i="4" s="1"/>
  <c r="A2818" i="4" s="1"/>
  <c r="A2819" i="4" s="1"/>
  <c r="A2820" i="4" s="1"/>
  <c r="A2821" i="4" s="1"/>
  <c r="A2822" i="4" s="1"/>
  <c r="A2823" i="4" s="1"/>
  <c r="A2824" i="4" s="1"/>
  <c r="A2825" i="4" s="1"/>
  <c r="A2826" i="4" s="1"/>
  <c r="A2827" i="4" s="1"/>
  <c r="A2828" i="4" s="1"/>
  <c r="A2829" i="4" s="1"/>
  <c r="A2830" i="4" s="1"/>
  <c r="A2831" i="4" s="1"/>
  <c r="A2832" i="4" s="1"/>
  <c r="A2833" i="4" s="1"/>
  <c r="A2834" i="4" s="1"/>
  <c r="A2835" i="4" s="1"/>
  <c r="A2836" i="4" s="1"/>
  <c r="A2837" i="4" s="1"/>
  <c r="A2838" i="4" s="1"/>
  <c r="A2839" i="4" s="1"/>
  <c r="A2840" i="4" s="1"/>
  <c r="A2841" i="4" s="1"/>
  <c r="A2842" i="4" s="1"/>
  <c r="A2843" i="4" s="1"/>
  <c r="A2844" i="4" s="1"/>
  <c r="A2845" i="4" s="1"/>
  <c r="A2846" i="4" s="1"/>
  <c r="A2847" i="4" s="1"/>
  <c r="A2848" i="4" s="1"/>
  <c r="A2849" i="4" s="1"/>
  <c r="A2850" i="4" s="1"/>
  <c r="A2851" i="4" s="1"/>
  <c r="A2852" i="4" s="1"/>
  <c r="A2853" i="4" s="1"/>
  <c r="A2854" i="4" s="1"/>
  <c r="A2855" i="4" s="1"/>
  <c r="A2856" i="4" s="1"/>
  <c r="A2857" i="4" s="1"/>
  <c r="A2858" i="4" s="1"/>
  <c r="A2859" i="4" s="1"/>
  <c r="A2860" i="4" s="1"/>
  <c r="A2861" i="4" s="1"/>
  <c r="A2862" i="4" s="1"/>
  <c r="A2863" i="4" s="1"/>
  <c r="A2864" i="4" s="1"/>
  <c r="A2865" i="4" s="1"/>
  <c r="A2866" i="4" s="1"/>
  <c r="A2867" i="4" s="1"/>
  <c r="A2868" i="4" s="1"/>
  <c r="A2869" i="4" s="1"/>
  <c r="A2870" i="4" s="1"/>
  <c r="A2871" i="4" s="1"/>
  <c r="A2872" i="4" s="1"/>
  <c r="A2873" i="4" s="1"/>
  <c r="A2874" i="4" s="1"/>
  <c r="A2875" i="4" s="1"/>
  <c r="A2876" i="4" s="1"/>
  <c r="A2877" i="4" s="1"/>
  <c r="A2878" i="4" s="1"/>
  <c r="A2879" i="4" s="1"/>
  <c r="A2880" i="4" s="1"/>
  <c r="A2881" i="4" s="1"/>
  <c r="A2882" i="4" s="1"/>
  <c r="A2883" i="4" s="1"/>
  <c r="A2884" i="4" s="1"/>
  <c r="A2885" i="4" s="1"/>
  <c r="A2886" i="4" s="1"/>
  <c r="A2887" i="4" s="1"/>
  <c r="A2888" i="4" s="1"/>
  <c r="A2889" i="4" s="1"/>
  <c r="A2890" i="4" s="1"/>
  <c r="A2891" i="4" s="1"/>
  <c r="A2892" i="4" s="1"/>
  <c r="A2893" i="4" s="1"/>
  <c r="A2894" i="4" s="1"/>
  <c r="A2895" i="4" s="1"/>
  <c r="A2896" i="4" s="1"/>
  <c r="A2897" i="4" s="1"/>
  <c r="A2898" i="4" s="1"/>
  <c r="A2899" i="4" s="1"/>
  <c r="A2900" i="4" s="1"/>
  <c r="A2901" i="4" s="1"/>
  <c r="A2902" i="4" s="1"/>
  <c r="A2903" i="4" s="1"/>
  <c r="A2904" i="4" s="1"/>
  <c r="A2905" i="4" s="1"/>
  <c r="A2906" i="4" s="1"/>
  <c r="A2907" i="4" s="1"/>
  <c r="A2908" i="4" s="1"/>
  <c r="A2909" i="4" s="1"/>
  <c r="A2910" i="4" s="1"/>
  <c r="A2911" i="4" s="1"/>
  <c r="A2912" i="4" s="1"/>
  <c r="A2913" i="4" s="1"/>
  <c r="A2914" i="4" s="1"/>
  <c r="A2915" i="4" s="1"/>
  <c r="A2916" i="4" s="1"/>
  <c r="A2917" i="4" s="1"/>
  <c r="A2918" i="4" s="1"/>
  <c r="A2919" i="4" s="1"/>
  <c r="A2920" i="4" s="1"/>
  <c r="A2921" i="4" s="1"/>
  <c r="A2922" i="4" s="1"/>
  <c r="A2923" i="4" s="1"/>
  <c r="A2924" i="4" s="1"/>
  <c r="A2925" i="4" s="1"/>
  <c r="A2926" i="4" s="1"/>
  <c r="A2927" i="4" s="1"/>
  <c r="A2928" i="4" s="1"/>
  <c r="A2929" i="4" s="1"/>
  <c r="A2930" i="4" s="1"/>
  <c r="A2931" i="4" s="1"/>
  <c r="A2932" i="4" s="1"/>
  <c r="A2933" i="4" s="1"/>
  <c r="A2934" i="4" s="1"/>
  <c r="A2935" i="4" s="1"/>
  <c r="A2936" i="4" s="1"/>
  <c r="A2937" i="4" s="1"/>
  <c r="A2938" i="4" s="1"/>
  <c r="A2939" i="4" s="1"/>
  <c r="A2940" i="4" s="1"/>
  <c r="A2941" i="4" s="1"/>
  <c r="A2942" i="4" s="1"/>
  <c r="A2943" i="4" s="1"/>
  <c r="A2944" i="4" s="1"/>
  <c r="A2945" i="4" s="1"/>
  <c r="A2946" i="4" s="1"/>
  <c r="A2947" i="4" s="1"/>
  <c r="A2948" i="4" s="1"/>
  <c r="A2949" i="4" s="1"/>
  <c r="A2950" i="4" s="1"/>
  <c r="A2951" i="4" s="1"/>
  <c r="A2952" i="4" s="1"/>
  <c r="A2953" i="4" s="1"/>
  <c r="A2954" i="4" s="1"/>
  <c r="A2955" i="4" s="1"/>
  <c r="A2956" i="4" s="1"/>
  <c r="A2957" i="4" s="1"/>
  <c r="A2958" i="4" s="1"/>
  <c r="A2959" i="4" s="1"/>
  <c r="A2960" i="4" s="1"/>
  <c r="A2961" i="4" s="1"/>
  <c r="A2962" i="4" s="1"/>
  <c r="A2963" i="4" s="1"/>
  <c r="A2964" i="4" s="1"/>
  <c r="A2965" i="4" s="1"/>
  <c r="A2966" i="4" s="1"/>
  <c r="A2967" i="4" s="1"/>
  <c r="A2968" i="4" s="1"/>
  <c r="A2969" i="4" s="1"/>
  <c r="A2970" i="4" s="1"/>
  <c r="A2971" i="4" s="1"/>
  <c r="A2972" i="4" s="1"/>
  <c r="A2973" i="4" s="1"/>
  <c r="A2974" i="4" s="1"/>
  <c r="A2975" i="4" s="1"/>
  <c r="A2976" i="4" s="1"/>
  <c r="A2977" i="4" s="1"/>
  <c r="A2978" i="4" s="1"/>
  <c r="A2979" i="4" s="1"/>
  <c r="A2980" i="4" s="1"/>
  <c r="A2981" i="4" s="1"/>
  <c r="A2982" i="4" s="1"/>
  <c r="A2983" i="4" s="1"/>
  <c r="A2984" i="4" s="1"/>
  <c r="A2985" i="4" s="1"/>
  <c r="A2986" i="4" s="1"/>
  <c r="A2987" i="4" s="1"/>
  <c r="A2988" i="4" s="1"/>
  <c r="A2989" i="4" s="1"/>
  <c r="A2990" i="4" s="1"/>
  <c r="A2991" i="4" s="1"/>
  <c r="A2992" i="4" s="1"/>
  <c r="A2993" i="4" s="1"/>
  <c r="A2994" i="4" s="1"/>
  <c r="A2995" i="4" s="1"/>
  <c r="A2996" i="4" s="1"/>
  <c r="A2997" i="4" s="1"/>
  <c r="A2998" i="4" s="1"/>
  <c r="A2999" i="4" s="1"/>
  <c r="A3000" i="4" s="1"/>
  <c r="A3001" i="4" s="1"/>
  <c r="A3002" i="4" s="1"/>
  <c r="A3003" i="4" s="1"/>
  <c r="A3004" i="4" s="1"/>
  <c r="A3005" i="4" s="1"/>
  <c r="A3006" i="4" s="1"/>
  <c r="A3007" i="4" s="1"/>
  <c r="A3008" i="4" s="1"/>
  <c r="A3009" i="4" s="1"/>
  <c r="A3010" i="4" s="1"/>
  <c r="A3011" i="4" s="1"/>
  <c r="A3012" i="4" s="1"/>
  <c r="A3013" i="4" s="1"/>
  <c r="A3014" i="4" s="1"/>
  <c r="A3015" i="4" s="1"/>
  <c r="A3016" i="4" s="1"/>
  <c r="A3017" i="4" s="1"/>
  <c r="A3018" i="4" s="1"/>
  <c r="A3019" i="4" s="1"/>
  <c r="A3020" i="4" s="1"/>
  <c r="A3021" i="4" s="1"/>
  <c r="A3022" i="4" s="1"/>
  <c r="A3023" i="4" s="1"/>
  <c r="A3024" i="4" s="1"/>
  <c r="A3025" i="4" s="1"/>
  <c r="A3026" i="4" s="1"/>
  <c r="A3027" i="4" s="1"/>
  <c r="A3028" i="4" s="1"/>
  <c r="A3029" i="4" s="1"/>
  <c r="A3030" i="4" s="1"/>
  <c r="A3031" i="4" s="1"/>
  <c r="A3032" i="4" s="1"/>
  <c r="A3033" i="4" s="1"/>
  <c r="A3034" i="4" s="1"/>
  <c r="A3035" i="4" s="1"/>
  <c r="A3036" i="4" s="1"/>
  <c r="A3037" i="4" s="1"/>
  <c r="A3038" i="4" s="1"/>
  <c r="A3039" i="4" s="1"/>
  <c r="A3040" i="4" s="1"/>
  <c r="A3041" i="4" s="1"/>
  <c r="A3042" i="4" s="1"/>
  <c r="A3043" i="4" s="1"/>
  <c r="A3044" i="4" s="1"/>
  <c r="A3045" i="4" s="1"/>
  <c r="A3046" i="4" s="1"/>
  <c r="A3047" i="4" s="1"/>
  <c r="A3048" i="4" s="1"/>
  <c r="A3049" i="4" s="1"/>
  <c r="A3050" i="4" s="1"/>
  <c r="A3051" i="4" s="1"/>
  <c r="A3052" i="4" s="1"/>
  <c r="A3053" i="4" s="1"/>
  <c r="A3054" i="4" s="1"/>
  <c r="A3055" i="4" s="1"/>
  <c r="A3056" i="4" s="1"/>
  <c r="A3057" i="4" s="1"/>
  <c r="A3058" i="4" s="1"/>
  <c r="A3059" i="4" s="1"/>
  <c r="A3060" i="4" s="1"/>
  <c r="A3061" i="4" s="1"/>
  <c r="A3062" i="4" s="1"/>
  <c r="A3063" i="4" s="1"/>
  <c r="A3064" i="4" s="1"/>
  <c r="A3065" i="4" s="1"/>
  <c r="A3066" i="4" s="1"/>
  <c r="A3067" i="4" s="1"/>
  <c r="A3068" i="4" s="1"/>
  <c r="A3069" i="4" s="1"/>
  <c r="A3070" i="4" s="1"/>
  <c r="A3071" i="4" s="1"/>
  <c r="A3072" i="4" s="1"/>
  <c r="A3073" i="4" s="1"/>
  <c r="A3074" i="4" s="1"/>
  <c r="A3075" i="4" s="1"/>
  <c r="A3076" i="4" s="1"/>
  <c r="A3077" i="4" s="1"/>
  <c r="A3078" i="4" s="1"/>
  <c r="A3079" i="4" s="1"/>
  <c r="A3080" i="4" s="1"/>
  <c r="A3081" i="4" s="1"/>
  <c r="A3082" i="4" s="1"/>
  <c r="A3083" i="4" s="1"/>
  <c r="A3084" i="4" s="1"/>
  <c r="A3085" i="4" s="1"/>
  <c r="A3086" i="4" s="1"/>
  <c r="A3087" i="4" s="1"/>
  <c r="A3088" i="4" s="1"/>
  <c r="A3089" i="4" s="1"/>
  <c r="A3090" i="4" s="1"/>
  <c r="A3091" i="4" s="1"/>
  <c r="A3092" i="4" s="1"/>
  <c r="A3093" i="4" s="1"/>
  <c r="A3094" i="4" s="1"/>
  <c r="A3095" i="4" s="1"/>
  <c r="A3096" i="4" s="1"/>
  <c r="A3097" i="4" s="1"/>
  <c r="A3098" i="4" s="1"/>
  <c r="A3099" i="4" s="1"/>
  <c r="A3100" i="4" s="1"/>
  <c r="A3101" i="4" s="1"/>
  <c r="A3102" i="4" s="1"/>
  <c r="A3103" i="4" s="1"/>
  <c r="A3104" i="4" s="1"/>
  <c r="A3105" i="4" s="1"/>
  <c r="A3106" i="4" s="1"/>
  <c r="A3107" i="4" s="1"/>
  <c r="A3108" i="4" s="1"/>
  <c r="A3109" i="4" s="1"/>
  <c r="A3110" i="4" s="1"/>
  <c r="A3111" i="4" s="1"/>
  <c r="A3112" i="4" s="1"/>
  <c r="A3113" i="4" s="1"/>
  <c r="A3114" i="4" s="1"/>
  <c r="A3115" i="4" s="1"/>
  <c r="A3116" i="4" s="1"/>
  <c r="A3117" i="4" s="1"/>
  <c r="A3118" i="4" s="1"/>
  <c r="A3119" i="4" s="1"/>
  <c r="A3120" i="4" s="1"/>
  <c r="A3121" i="4" s="1"/>
  <c r="A3122" i="4" s="1"/>
  <c r="A3123" i="4" s="1"/>
  <c r="A3124" i="4" s="1"/>
  <c r="A3125" i="4" s="1"/>
  <c r="A3126" i="4" s="1"/>
  <c r="A3127" i="4" s="1"/>
  <c r="A3128" i="4" s="1"/>
  <c r="A3129" i="4" s="1"/>
  <c r="A3130" i="4" s="1"/>
  <c r="A3131" i="4" s="1"/>
  <c r="A3132" i="4" s="1"/>
  <c r="A3133" i="4" s="1"/>
  <c r="A3134" i="4" s="1"/>
  <c r="A3135" i="4" s="1"/>
  <c r="A3136" i="4" s="1"/>
  <c r="A3137" i="4" s="1"/>
  <c r="A3138" i="4" s="1"/>
  <c r="A3139" i="4" s="1"/>
  <c r="A3140" i="4" s="1"/>
  <c r="A3141" i="4" s="1"/>
  <c r="A3142" i="4" s="1"/>
  <c r="A3143" i="4" s="1"/>
  <c r="A3144" i="4" s="1"/>
  <c r="A3145" i="4" s="1"/>
  <c r="A3146" i="4" s="1"/>
  <c r="A3147" i="4" s="1"/>
  <c r="A3148" i="4" s="1"/>
  <c r="A3149" i="4" s="1"/>
  <c r="A3150" i="4" s="1"/>
  <c r="A3151" i="4" s="1"/>
  <c r="A3152" i="4" s="1"/>
  <c r="A3153" i="4" s="1"/>
  <c r="A3154" i="4" s="1"/>
  <c r="A3155" i="4" s="1"/>
  <c r="A3156" i="4" s="1"/>
  <c r="A3157" i="4" s="1"/>
  <c r="A3158" i="4" s="1"/>
  <c r="A3159" i="4" s="1"/>
  <c r="A3160" i="4" s="1"/>
  <c r="A3161" i="4" s="1"/>
  <c r="A3162" i="4" s="1"/>
  <c r="A3163" i="4" s="1"/>
  <c r="A3164" i="4" s="1"/>
  <c r="A3165" i="4" s="1"/>
  <c r="A3166" i="4" s="1"/>
  <c r="A3167" i="4" s="1"/>
  <c r="A3168" i="4" s="1"/>
  <c r="A3169" i="4" s="1"/>
  <c r="A3170" i="4" s="1"/>
  <c r="A3171" i="4" s="1"/>
  <c r="A3172" i="4" s="1"/>
  <c r="A3173" i="4" s="1"/>
  <c r="A3174" i="4" s="1"/>
  <c r="A3175" i="4" s="1"/>
  <c r="A3176" i="4" s="1"/>
  <c r="A3177" i="4" s="1"/>
  <c r="A3178" i="4" s="1"/>
  <c r="A3179" i="4" s="1"/>
  <c r="A3180" i="4" s="1"/>
  <c r="A3181" i="4" s="1"/>
  <c r="A3182" i="4" s="1"/>
  <c r="A3183" i="4" s="1"/>
  <c r="A3184" i="4" s="1"/>
  <c r="A3185" i="4" s="1"/>
  <c r="A3186" i="4" s="1"/>
  <c r="A3187" i="4" s="1"/>
  <c r="A3188" i="4" s="1"/>
  <c r="A3189" i="4" s="1"/>
  <c r="A3190" i="4" s="1"/>
  <c r="A3191" i="4" s="1"/>
  <c r="A3192" i="4" s="1"/>
  <c r="A3193" i="4" s="1"/>
  <c r="A3194" i="4" s="1"/>
  <c r="A3195" i="4" s="1"/>
  <c r="A3196" i="4" s="1"/>
  <c r="A3197" i="4" s="1"/>
  <c r="A3198" i="4" s="1"/>
  <c r="A3199" i="4" s="1"/>
  <c r="A3200" i="4" s="1"/>
  <c r="A3201" i="4" s="1"/>
  <c r="A3202" i="4" s="1"/>
  <c r="A3203" i="4" s="1"/>
  <c r="A3204" i="4" s="1"/>
  <c r="A3205" i="4" s="1"/>
  <c r="A3206" i="4" s="1"/>
  <c r="A3207" i="4" s="1"/>
  <c r="A3208" i="4" s="1"/>
  <c r="A3209" i="4" s="1"/>
  <c r="A3210" i="4" s="1"/>
  <c r="A3211" i="4" s="1"/>
  <c r="A3212" i="4" s="1"/>
  <c r="A3213" i="4" s="1"/>
  <c r="A3214" i="4" s="1"/>
  <c r="A3215" i="4" s="1"/>
  <c r="A3216" i="4" s="1"/>
  <c r="A3217" i="4" s="1"/>
  <c r="A3218" i="4" s="1"/>
  <c r="A3219" i="4" s="1"/>
  <c r="A3220" i="4" s="1"/>
  <c r="A3221" i="4" s="1"/>
  <c r="A3222" i="4" s="1"/>
  <c r="A3223" i="4" s="1"/>
  <c r="A3224" i="4" s="1"/>
  <c r="A3225" i="4" s="1"/>
  <c r="A3226" i="4" s="1"/>
  <c r="A3227" i="4" s="1"/>
  <c r="A3228" i="4" s="1"/>
  <c r="A3229" i="4" s="1"/>
  <c r="A3230" i="4" s="1"/>
  <c r="A3231" i="4" s="1"/>
  <c r="A3232" i="4" s="1"/>
  <c r="A3233" i="4" s="1"/>
  <c r="A3234" i="4" s="1"/>
  <c r="A3235" i="4" s="1"/>
  <c r="A3236" i="4" s="1"/>
  <c r="A3237" i="4" s="1"/>
  <c r="A3238" i="4" s="1"/>
  <c r="A3239" i="4" s="1"/>
  <c r="A3240" i="4" s="1"/>
  <c r="A3241" i="4" s="1"/>
  <c r="A3242" i="4" s="1"/>
  <c r="A3243" i="4" s="1"/>
  <c r="A3244" i="4" s="1"/>
  <c r="A3245" i="4" s="1"/>
  <c r="A3246" i="4" s="1"/>
  <c r="A3247" i="4" s="1"/>
  <c r="A3248" i="4" s="1"/>
  <c r="A3249" i="4" s="1"/>
  <c r="A3250" i="4" s="1"/>
  <c r="A3251" i="4" s="1"/>
  <c r="A3252" i="4" s="1"/>
  <c r="A3253" i="4" s="1"/>
  <c r="A3254" i="4" s="1"/>
  <c r="A3255" i="4" s="1"/>
  <c r="A3256" i="4" s="1"/>
  <c r="A3257" i="4" s="1"/>
  <c r="A3258" i="4" s="1"/>
  <c r="A3259" i="4" s="1"/>
  <c r="A3260" i="4" s="1"/>
  <c r="A3261" i="4" s="1"/>
  <c r="A3262" i="4" s="1"/>
  <c r="A3263" i="4" s="1"/>
  <c r="A3264" i="4" s="1"/>
  <c r="A3265" i="4" s="1"/>
  <c r="A3266" i="4" s="1"/>
  <c r="A3267" i="4" s="1"/>
  <c r="A3268" i="4" s="1"/>
  <c r="A3269" i="4" s="1"/>
  <c r="A3270" i="4" s="1"/>
  <c r="A3271" i="4" s="1"/>
  <c r="A3272" i="4" s="1"/>
  <c r="A3273" i="4" s="1"/>
  <c r="A3274" i="4" s="1"/>
  <c r="A3275" i="4" s="1"/>
  <c r="A3276" i="4" s="1"/>
  <c r="A3277" i="4" s="1"/>
  <c r="A3278" i="4" s="1"/>
  <c r="A3279" i="4" s="1"/>
  <c r="A3280" i="4" s="1"/>
  <c r="A3281" i="4" s="1"/>
  <c r="A3282" i="4" s="1"/>
  <c r="A3283" i="4" s="1"/>
  <c r="A3284" i="4" s="1"/>
  <c r="A3285" i="4" s="1"/>
  <c r="A3286" i="4" s="1"/>
  <c r="A3287" i="4" s="1"/>
  <c r="A3288" i="4" s="1"/>
  <c r="A3289" i="4" s="1"/>
  <c r="A3290" i="4" s="1"/>
  <c r="A3291" i="4" s="1"/>
  <c r="A3292" i="4" s="1"/>
  <c r="A3293" i="4" s="1"/>
  <c r="A3294" i="4" s="1"/>
  <c r="A3295" i="4" s="1"/>
  <c r="A3296" i="4" s="1"/>
  <c r="A3297" i="4" s="1"/>
  <c r="A3298" i="4" s="1"/>
  <c r="A3299" i="4" s="1"/>
  <c r="A3300" i="4" s="1"/>
  <c r="A3301" i="4" s="1"/>
  <c r="A3302" i="4" s="1"/>
  <c r="A3303" i="4" s="1"/>
  <c r="A3304" i="4" s="1"/>
  <c r="A3305" i="4" s="1"/>
  <c r="A3306" i="4" s="1"/>
  <c r="A3307" i="4" s="1"/>
  <c r="A3308" i="4" s="1"/>
  <c r="A3309" i="4" s="1"/>
  <c r="A3310" i="4" s="1"/>
  <c r="A3311" i="4" s="1"/>
  <c r="A3312" i="4" s="1"/>
  <c r="A3313" i="4" s="1"/>
  <c r="A3314" i="4" s="1"/>
  <c r="A3315" i="4" s="1"/>
  <c r="A3316" i="4" s="1"/>
  <c r="A3317" i="4" s="1"/>
  <c r="A3318" i="4" s="1"/>
  <c r="A3319" i="4" s="1"/>
  <c r="A3320" i="4" s="1"/>
  <c r="A3321" i="4" s="1"/>
  <c r="A3322" i="4" s="1"/>
  <c r="A3323" i="4" s="1"/>
  <c r="A3324" i="4" s="1"/>
  <c r="A3325" i="4" s="1"/>
  <c r="A3326" i="4" s="1"/>
  <c r="A3327" i="4" s="1"/>
  <c r="A3328" i="4" s="1"/>
  <c r="A3329" i="4" s="1"/>
  <c r="A3330" i="4" s="1"/>
  <c r="A3331" i="4" s="1"/>
  <c r="A3332" i="4" s="1"/>
  <c r="A3333" i="4" s="1"/>
  <c r="A3334" i="4" s="1"/>
  <c r="A3335" i="4" s="1"/>
  <c r="A3336" i="4" s="1"/>
  <c r="A3337" i="4" s="1"/>
  <c r="A3338" i="4" s="1"/>
  <c r="A3339" i="4" s="1"/>
  <c r="A3340" i="4" s="1"/>
  <c r="A3341" i="4" s="1"/>
  <c r="A3342" i="4" s="1"/>
  <c r="A3343" i="4" s="1"/>
  <c r="A3344" i="4" s="1"/>
  <c r="A3345" i="4" s="1"/>
  <c r="A3346" i="4" s="1"/>
  <c r="A3347" i="4" s="1"/>
  <c r="A3348" i="4" s="1"/>
  <c r="A3349" i="4" s="1"/>
  <c r="A3350" i="4" s="1"/>
  <c r="A3351" i="4" s="1"/>
  <c r="A3352" i="4" s="1"/>
  <c r="A3353" i="4" s="1"/>
  <c r="A3354" i="4" s="1"/>
  <c r="A3355" i="4" s="1"/>
  <c r="A3356" i="4" s="1"/>
  <c r="A3357" i="4" s="1"/>
  <c r="A3358" i="4" s="1"/>
  <c r="A3359" i="4" s="1"/>
  <c r="A3360" i="4" s="1"/>
  <c r="A3361" i="4" s="1"/>
  <c r="A3362" i="4" s="1"/>
  <c r="A3363" i="4" s="1"/>
  <c r="A3364" i="4" s="1"/>
  <c r="A3365" i="4" s="1"/>
  <c r="A3366" i="4" s="1"/>
  <c r="A3367" i="4" s="1"/>
  <c r="A3368" i="4" s="1"/>
  <c r="A3369" i="4" s="1"/>
  <c r="A3370" i="4" s="1"/>
  <c r="A3371" i="4" s="1"/>
  <c r="A3372" i="4" s="1"/>
  <c r="A3373" i="4" s="1"/>
  <c r="A3374" i="4" s="1"/>
  <c r="A3375" i="4" s="1"/>
  <c r="A3376" i="4" s="1"/>
  <c r="A3377" i="4" s="1"/>
  <c r="A3378" i="4" s="1"/>
  <c r="A3379" i="4" s="1"/>
  <c r="A3380" i="4" s="1"/>
  <c r="A3381" i="4" s="1"/>
  <c r="A3382" i="4" s="1"/>
  <c r="A3383" i="4" s="1"/>
  <c r="A3384" i="4" s="1"/>
  <c r="A3385" i="4" s="1"/>
  <c r="A3386" i="4" s="1"/>
  <c r="A3387" i="4" s="1"/>
  <c r="A3388" i="4" s="1"/>
  <c r="A3389" i="4" s="1"/>
  <c r="A3390" i="4" s="1"/>
  <c r="A3391" i="4" s="1"/>
  <c r="A3392" i="4" s="1"/>
  <c r="A3393" i="4" s="1"/>
  <c r="A3394" i="4" s="1"/>
  <c r="A3395" i="4" s="1"/>
  <c r="A3396" i="4" s="1"/>
  <c r="A3397" i="4" s="1"/>
  <c r="A3398" i="4" s="1"/>
  <c r="A3399" i="4" s="1"/>
  <c r="A3400" i="4" s="1"/>
  <c r="A3401" i="4" s="1"/>
  <c r="A3402" i="4" s="1"/>
  <c r="A3403" i="4" s="1"/>
  <c r="A3404" i="4" s="1"/>
  <c r="A3405" i="4" s="1"/>
  <c r="A3406" i="4" s="1"/>
  <c r="A3407" i="4" s="1"/>
  <c r="A3408" i="4" s="1"/>
  <c r="A3409" i="4" s="1"/>
  <c r="A3410" i="4" s="1"/>
  <c r="A3411" i="4" s="1"/>
  <c r="A3412" i="4" s="1"/>
  <c r="A3413" i="4" s="1"/>
  <c r="A3414" i="4" s="1"/>
  <c r="A3415" i="4" s="1"/>
  <c r="A3416" i="4" s="1"/>
  <c r="A3417" i="4" s="1"/>
  <c r="A3418" i="4" s="1"/>
  <c r="A3419" i="4" s="1"/>
  <c r="A3420" i="4" s="1"/>
  <c r="A3421" i="4" s="1"/>
  <c r="A3422" i="4" s="1"/>
  <c r="A3423" i="4" s="1"/>
  <c r="A3424" i="4" s="1"/>
  <c r="A3425" i="4" s="1"/>
  <c r="A3426" i="4" s="1"/>
  <c r="A3427" i="4" s="1"/>
  <c r="A3428" i="4" s="1"/>
  <c r="A3429" i="4" s="1"/>
  <c r="A3430" i="4" s="1"/>
  <c r="A3431" i="4" s="1"/>
  <c r="A3432" i="4" s="1"/>
  <c r="A3433" i="4" s="1"/>
  <c r="A3434" i="4" s="1"/>
  <c r="A3435" i="4" s="1"/>
  <c r="A3436" i="4" s="1"/>
  <c r="A3437" i="4" s="1"/>
  <c r="A3438" i="4" s="1"/>
  <c r="A3439" i="4" s="1"/>
  <c r="A3440" i="4" s="1"/>
  <c r="A3441" i="4" s="1"/>
  <c r="A3442" i="4" s="1"/>
  <c r="A3443" i="4" s="1"/>
  <c r="A3444" i="4" s="1"/>
  <c r="A3445" i="4" s="1"/>
  <c r="A3446" i="4" s="1"/>
  <c r="A3447" i="4" s="1"/>
  <c r="A3448" i="4" s="1"/>
  <c r="A3449" i="4" s="1"/>
  <c r="A3450" i="4" s="1"/>
  <c r="A3451" i="4" s="1"/>
  <c r="A3452" i="4" s="1"/>
  <c r="A3453" i="4" s="1"/>
  <c r="A3454" i="4" s="1"/>
  <c r="A3455" i="4" s="1"/>
  <c r="A3456" i="4" s="1"/>
  <c r="A3457" i="4" s="1"/>
  <c r="A3458" i="4" s="1"/>
  <c r="A3459" i="4" s="1"/>
  <c r="A3460" i="4" s="1"/>
  <c r="A3461" i="4" s="1"/>
  <c r="A3462" i="4" s="1"/>
  <c r="A3463" i="4" s="1"/>
  <c r="A3464" i="4" s="1"/>
  <c r="A3465" i="4" s="1"/>
  <c r="A3466" i="4" s="1"/>
  <c r="A3467" i="4" s="1"/>
  <c r="A3468" i="4" s="1"/>
  <c r="A3469" i="4" s="1"/>
  <c r="A3470" i="4" s="1"/>
  <c r="A3471" i="4" s="1"/>
  <c r="A3472" i="4" s="1"/>
  <c r="A3473" i="4" s="1"/>
  <c r="A3474" i="4" s="1"/>
  <c r="A3475" i="4" s="1"/>
  <c r="A3476" i="4" s="1"/>
  <c r="A3477" i="4" s="1"/>
  <c r="A3478" i="4" s="1"/>
  <c r="A3479" i="4" s="1"/>
  <c r="A3480" i="4" s="1"/>
  <c r="A3481" i="4" s="1"/>
  <c r="A3482" i="4" s="1"/>
  <c r="A3483" i="4" s="1"/>
  <c r="A3484" i="4" s="1"/>
  <c r="A3485" i="4" s="1"/>
  <c r="A3486" i="4" s="1"/>
  <c r="A3487" i="4" s="1"/>
  <c r="A3488" i="4" s="1"/>
  <c r="A3489" i="4" s="1"/>
  <c r="A3490" i="4" s="1"/>
  <c r="A3491" i="4" s="1"/>
  <c r="A3492" i="4" s="1"/>
  <c r="A3493" i="4" s="1"/>
  <c r="A3494" i="4" s="1"/>
  <c r="A3495" i="4" s="1"/>
  <c r="A3496" i="4" s="1"/>
  <c r="A3497" i="4" s="1"/>
  <c r="A3498" i="4" s="1"/>
  <c r="A3499" i="4" s="1"/>
  <c r="A3500" i="4" s="1"/>
  <c r="A3501" i="4" s="1"/>
  <c r="A3502" i="4" s="1"/>
  <c r="A3503" i="4" s="1"/>
  <c r="A3504" i="4" s="1"/>
  <c r="A3505" i="4" s="1"/>
  <c r="A3506" i="4" s="1"/>
  <c r="A3507" i="4" s="1"/>
  <c r="A3508" i="4" s="1"/>
  <c r="A3509" i="4" s="1"/>
  <c r="A3510" i="4" s="1"/>
  <c r="A3511" i="4" s="1"/>
  <c r="A3512" i="4" s="1"/>
  <c r="A3513" i="4" s="1"/>
  <c r="A3514" i="4" s="1"/>
  <c r="A3515" i="4" s="1"/>
  <c r="A3516" i="4" s="1"/>
  <c r="A3517" i="4" s="1"/>
  <c r="A3518" i="4" s="1"/>
  <c r="A3519" i="4" s="1"/>
  <c r="A3520" i="4" s="1"/>
  <c r="A3521" i="4" s="1"/>
  <c r="A3522" i="4" s="1"/>
  <c r="A3523" i="4" s="1"/>
  <c r="A3524" i="4" s="1"/>
  <c r="A3525" i="4" s="1"/>
  <c r="A3526" i="4" s="1"/>
  <c r="A3527" i="4" s="1"/>
  <c r="A3528" i="4" s="1"/>
  <c r="A3529" i="4" s="1"/>
  <c r="A3530" i="4" s="1"/>
  <c r="A3531" i="4" s="1"/>
  <c r="A3532" i="4" s="1"/>
  <c r="A3533" i="4" s="1"/>
  <c r="A3534" i="4" s="1"/>
  <c r="A3535" i="4" s="1"/>
  <c r="A3536" i="4" s="1"/>
  <c r="A3537" i="4" s="1"/>
  <c r="A3538" i="4" s="1"/>
  <c r="A3539" i="4" s="1"/>
  <c r="A3540" i="4" s="1"/>
  <c r="A3541" i="4" s="1"/>
  <c r="A3542" i="4" s="1"/>
  <c r="A3543" i="4" s="1"/>
  <c r="A3544" i="4" s="1"/>
  <c r="A3545" i="4" s="1"/>
  <c r="A3546" i="4" s="1"/>
  <c r="A3547" i="4" s="1"/>
  <c r="A3548" i="4" s="1"/>
  <c r="A3549" i="4" s="1"/>
  <c r="A3550" i="4" s="1"/>
  <c r="A3551" i="4" s="1"/>
  <c r="A3552" i="4" s="1"/>
  <c r="A3553" i="4" s="1"/>
  <c r="A3554" i="4" s="1"/>
  <c r="A3555" i="4" s="1"/>
  <c r="A3556" i="4" s="1"/>
  <c r="A3557" i="4" s="1"/>
  <c r="A3558" i="4" s="1"/>
  <c r="A3559" i="4" s="1"/>
  <c r="A3560" i="4" s="1"/>
  <c r="A3561" i="4" s="1"/>
  <c r="A3562" i="4" s="1"/>
  <c r="A3563" i="4" s="1"/>
  <c r="A3564" i="4" s="1"/>
  <c r="A3565" i="4" s="1"/>
  <c r="A3566" i="4" s="1"/>
  <c r="A3567" i="4" s="1"/>
  <c r="A3568" i="4" s="1"/>
  <c r="A3569" i="4" s="1"/>
  <c r="A3570" i="4" s="1"/>
  <c r="A3571" i="4" s="1"/>
  <c r="A3572" i="4" s="1"/>
  <c r="A3573" i="4" s="1"/>
  <c r="A3574" i="4" s="1"/>
  <c r="A3575" i="4" s="1"/>
  <c r="A3576" i="4" s="1"/>
  <c r="A3577" i="4" s="1"/>
  <c r="A3578" i="4" s="1"/>
  <c r="A3579" i="4" s="1"/>
  <c r="A3580" i="4" s="1"/>
  <c r="A3581" i="4" s="1"/>
  <c r="A3582" i="4" s="1"/>
  <c r="A3583" i="4" s="1"/>
  <c r="A3584" i="4" s="1"/>
  <c r="A3585" i="4" s="1"/>
  <c r="A3586" i="4" s="1"/>
  <c r="A3587" i="4" s="1"/>
  <c r="A3588" i="4" s="1"/>
  <c r="A3589" i="4" s="1"/>
  <c r="A3590" i="4" s="1"/>
  <c r="A3591" i="4" s="1"/>
  <c r="A3592" i="4" s="1"/>
  <c r="A3593" i="4" s="1"/>
  <c r="A3594" i="4" s="1"/>
  <c r="A3595" i="4" s="1"/>
  <c r="A3596" i="4" s="1"/>
  <c r="A3597" i="4" s="1"/>
  <c r="A3598" i="4" s="1"/>
  <c r="A3599" i="4" s="1"/>
  <c r="A3600" i="4" s="1"/>
  <c r="A3601" i="4" s="1"/>
  <c r="A3602" i="4" s="1"/>
  <c r="A3603" i="4" s="1"/>
  <c r="A3604" i="4" s="1"/>
  <c r="A3605" i="4" s="1"/>
  <c r="A3606" i="4" s="1"/>
  <c r="A3607" i="4" s="1"/>
  <c r="A3608" i="4" s="1"/>
  <c r="A3609" i="4" s="1"/>
  <c r="A3610" i="4" s="1"/>
  <c r="A3611" i="4" s="1"/>
  <c r="A3612" i="4" s="1"/>
  <c r="A3613" i="4" s="1"/>
  <c r="A3614" i="4" s="1"/>
  <c r="A3615" i="4" s="1"/>
  <c r="A3616" i="4" s="1"/>
  <c r="A3617" i="4" s="1"/>
  <c r="A3618" i="4" s="1"/>
  <c r="A3619" i="4" s="1"/>
  <c r="A3620" i="4" s="1"/>
  <c r="A3621" i="4" s="1"/>
  <c r="A3622" i="4" s="1"/>
  <c r="A3623" i="4" s="1"/>
  <c r="A3624" i="4" s="1"/>
  <c r="A3625" i="4" s="1"/>
  <c r="A3626" i="4" s="1"/>
  <c r="A3627" i="4" s="1"/>
  <c r="A3628" i="4" s="1"/>
  <c r="A3629" i="4" s="1"/>
  <c r="A3630" i="4" s="1"/>
  <c r="A3631" i="4" s="1"/>
  <c r="A3632" i="4" s="1"/>
  <c r="A3633" i="4" s="1"/>
  <c r="A3634" i="4" s="1"/>
  <c r="A3635" i="4" s="1"/>
  <c r="A3636" i="4" s="1"/>
  <c r="A3637" i="4" s="1"/>
  <c r="A3638" i="4" s="1"/>
  <c r="A3639" i="4" s="1"/>
  <c r="A3640" i="4" s="1"/>
  <c r="A3641" i="4" s="1"/>
  <c r="A3642" i="4" s="1"/>
  <c r="A3643" i="4" s="1"/>
  <c r="A3644" i="4" s="1"/>
  <c r="A3645" i="4" s="1"/>
  <c r="A3646" i="4" s="1"/>
  <c r="A3647" i="4" s="1"/>
  <c r="A3648" i="4" s="1"/>
  <c r="A3649" i="4" s="1"/>
  <c r="A3650" i="4" s="1"/>
  <c r="A3651" i="4" s="1"/>
  <c r="A3652" i="4" s="1"/>
  <c r="A3653" i="4" s="1"/>
  <c r="A3654" i="4" s="1"/>
  <c r="A3655" i="4" s="1"/>
  <c r="A3656" i="4" s="1"/>
  <c r="A3657" i="4" s="1"/>
  <c r="A3658" i="4" s="1"/>
  <c r="A3659" i="4" s="1"/>
  <c r="A3660" i="4" s="1"/>
  <c r="A3661" i="4" s="1"/>
  <c r="A3662" i="4" s="1"/>
  <c r="A3663" i="4" s="1"/>
  <c r="A3664" i="4" s="1"/>
  <c r="A3665" i="4" s="1"/>
  <c r="A3666" i="4" s="1"/>
  <c r="A3667" i="4" s="1"/>
  <c r="A3668" i="4" s="1"/>
  <c r="A3669" i="4" s="1"/>
  <c r="A3670" i="4" s="1"/>
  <c r="A3671" i="4" s="1"/>
  <c r="A3672" i="4" s="1"/>
  <c r="A3673" i="4" s="1"/>
  <c r="A3674" i="4" s="1"/>
  <c r="A3675" i="4" s="1"/>
  <c r="A3676" i="4" s="1"/>
  <c r="A3677" i="4" s="1"/>
  <c r="A3678" i="4" s="1"/>
  <c r="A3679" i="4" s="1"/>
  <c r="A3680" i="4" s="1"/>
  <c r="A3681" i="4" s="1"/>
  <c r="A3682" i="4" s="1"/>
  <c r="A3683" i="4" s="1"/>
  <c r="A3684" i="4" s="1"/>
  <c r="A3685" i="4" s="1"/>
  <c r="A3686" i="4" s="1"/>
  <c r="A3687" i="4" s="1"/>
  <c r="A3688" i="4" s="1"/>
  <c r="A3689" i="4" s="1"/>
  <c r="A3690" i="4" s="1"/>
  <c r="A3691" i="4" s="1"/>
  <c r="A3692" i="4" s="1"/>
  <c r="A3693" i="4" s="1"/>
  <c r="A3694" i="4" s="1"/>
  <c r="A3695" i="4" s="1"/>
  <c r="A3696" i="4" s="1"/>
  <c r="A3697" i="4" s="1"/>
  <c r="A3698" i="4" s="1"/>
  <c r="A3699" i="4" s="1"/>
  <c r="A3700" i="4" s="1"/>
  <c r="A3701" i="4" s="1"/>
  <c r="A3702" i="4" s="1"/>
  <c r="A3703" i="4" s="1"/>
  <c r="A3704" i="4" s="1"/>
  <c r="A3705" i="4" s="1"/>
  <c r="A3706" i="4" s="1"/>
  <c r="A3707" i="4" s="1"/>
  <c r="A3708" i="4" s="1"/>
  <c r="A3709" i="4" s="1"/>
  <c r="A3710" i="4" s="1"/>
  <c r="A3711" i="4" s="1"/>
  <c r="A3712" i="4" s="1"/>
  <c r="A3713" i="4" s="1"/>
  <c r="A3714" i="4" s="1"/>
  <c r="A3715" i="4" s="1"/>
  <c r="A3716" i="4" s="1"/>
  <c r="A3717" i="4" s="1"/>
  <c r="A3718" i="4" s="1"/>
  <c r="A3719" i="4" s="1"/>
  <c r="A3720" i="4" s="1"/>
  <c r="A3721" i="4" s="1"/>
  <c r="A3722" i="4" s="1"/>
  <c r="A3723" i="4" s="1"/>
  <c r="A3724" i="4" s="1"/>
  <c r="A3725" i="4" s="1"/>
  <c r="A3726" i="4" s="1"/>
  <c r="A3727" i="4" s="1"/>
  <c r="A3728" i="4" s="1"/>
  <c r="A3729" i="4" s="1"/>
  <c r="A3730" i="4" s="1"/>
  <c r="A3731" i="4" s="1"/>
  <c r="A3732" i="4" s="1"/>
  <c r="A3733" i="4" s="1"/>
  <c r="A3734" i="4" s="1"/>
  <c r="A3735" i="4" s="1"/>
  <c r="A3736" i="4" s="1"/>
  <c r="A3737" i="4" s="1"/>
  <c r="A3738" i="4" s="1"/>
  <c r="A3739" i="4" s="1"/>
  <c r="A3740" i="4" s="1"/>
  <c r="A3741" i="4" s="1"/>
  <c r="A3742" i="4" s="1"/>
  <c r="A3743" i="4" s="1"/>
  <c r="A3744" i="4" s="1"/>
  <c r="A3745" i="4" s="1"/>
  <c r="A3746" i="4" s="1"/>
  <c r="A3747" i="4" s="1"/>
  <c r="A3748" i="4" s="1"/>
  <c r="A3749" i="4" s="1"/>
  <c r="A3750" i="4" s="1"/>
  <c r="A3751" i="4" s="1"/>
  <c r="A3752" i="4" s="1"/>
  <c r="A3753" i="4" s="1"/>
  <c r="A3754" i="4" s="1"/>
  <c r="A3755" i="4" s="1"/>
  <c r="A3756" i="4" s="1"/>
  <c r="A3757" i="4" s="1"/>
  <c r="A3758" i="4" s="1"/>
  <c r="A3759" i="4" s="1"/>
  <c r="A3760" i="4" s="1"/>
  <c r="A3761" i="4" s="1"/>
  <c r="A3762" i="4" s="1"/>
  <c r="A3763" i="4" s="1"/>
  <c r="A3764" i="4" s="1"/>
  <c r="A3765" i="4" s="1"/>
  <c r="A3766" i="4" s="1"/>
  <c r="A3767" i="4" s="1"/>
  <c r="A3768" i="4" s="1"/>
  <c r="A3769" i="4" s="1"/>
  <c r="A3770" i="4" s="1"/>
  <c r="A3771" i="4" s="1"/>
  <c r="A3772" i="4" s="1"/>
  <c r="A3773" i="4" s="1"/>
  <c r="A3774" i="4" s="1"/>
  <c r="A3775" i="4" s="1"/>
  <c r="A3776" i="4" s="1"/>
  <c r="A3777" i="4" s="1"/>
  <c r="A3778" i="4" s="1"/>
  <c r="A3779" i="4" s="1"/>
  <c r="A3780" i="4" s="1"/>
  <c r="A3781" i="4" s="1"/>
  <c r="A3782" i="4" s="1"/>
  <c r="A3783" i="4" s="1"/>
  <c r="A3784" i="4" s="1"/>
  <c r="A3785" i="4" s="1"/>
  <c r="A3786" i="4" s="1"/>
  <c r="A3787" i="4" s="1"/>
  <c r="A3788" i="4" s="1"/>
  <c r="A3789" i="4" s="1"/>
  <c r="A3790" i="4" s="1"/>
  <c r="A3791" i="4" s="1"/>
  <c r="A3792" i="4" s="1"/>
  <c r="A3793" i="4" s="1"/>
  <c r="A3794" i="4" s="1"/>
  <c r="A3795" i="4" s="1"/>
  <c r="A3796" i="4" s="1"/>
  <c r="A3797" i="4" s="1"/>
  <c r="A3798" i="4" s="1"/>
  <c r="A3799" i="4" s="1"/>
  <c r="A3800" i="4" s="1"/>
  <c r="A3801" i="4" s="1"/>
  <c r="A3802" i="4" s="1"/>
  <c r="A3803" i="4" s="1"/>
  <c r="A3804" i="4" s="1"/>
  <c r="A3805" i="4" s="1"/>
  <c r="A3806" i="4" s="1"/>
  <c r="A3807" i="4" s="1"/>
  <c r="A3808" i="4" s="1"/>
  <c r="A3809" i="4" s="1"/>
  <c r="A3810" i="4" s="1"/>
  <c r="A3811" i="4" s="1"/>
  <c r="A3812" i="4" s="1"/>
  <c r="A3813" i="4" s="1"/>
  <c r="A3814" i="4" s="1"/>
  <c r="A3815" i="4" s="1"/>
  <c r="A3816" i="4" s="1"/>
  <c r="A3817" i="4" s="1"/>
  <c r="A3818" i="4" s="1"/>
  <c r="A3819" i="4" s="1"/>
  <c r="A3820" i="4" s="1"/>
  <c r="A3821" i="4" s="1"/>
  <c r="A3822" i="4" s="1"/>
  <c r="A3823" i="4" s="1"/>
  <c r="A3824" i="4" s="1"/>
  <c r="A3825" i="4" s="1"/>
  <c r="A3826" i="4" s="1"/>
  <c r="A3827" i="4" s="1"/>
  <c r="A3828" i="4" s="1"/>
  <c r="A3829" i="4" s="1"/>
  <c r="A3830" i="4" s="1"/>
  <c r="A3831" i="4" s="1"/>
  <c r="A3832" i="4" s="1"/>
  <c r="A3833" i="4" s="1"/>
  <c r="A3834" i="4" s="1"/>
  <c r="A3835" i="4" s="1"/>
  <c r="A3836" i="4" s="1"/>
  <c r="A3837" i="4" s="1"/>
  <c r="A3838" i="4" s="1"/>
  <c r="A3839" i="4" s="1"/>
  <c r="A3840" i="4" s="1"/>
  <c r="A3841" i="4" s="1"/>
  <c r="A3842" i="4" s="1"/>
  <c r="A3843" i="4" s="1"/>
  <c r="A3844" i="4" s="1"/>
  <c r="A3845" i="4" s="1"/>
  <c r="A3846" i="4" s="1"/>
  <c r="A3847" i="4" s="1"/>
  <c r="A3848" i="4" s="1"/>
  <c r="A3849" i="4" s="1"/>
  <c r="A3850" i="4" s="1"/>
  <c r="A3851" i="4" s="1"/>
  <c r="A3852" i="4" s="1"/>
  <c r="A3853" i="4" s="1"/>
  <c r="A3854" i="4" s="1"/>
  <c r="A3855" i="4" s="1"/>
  <c r="A3856" i="4" s="1"/>
  <c r="A3857" i="4" s="1"/>
  <c r="A3858" i="4" s="1"/>
  <c r="A3859" i="4" s="1"/>
  <c r="A3860" i="4" s="1"/>
  <c r="A3861" i="4" s="1"/>
  <c r="A3862" i="4" s="1"/>
  <c r="A3863" i="4" s="1"/>
  <c r="A3864" i="4" s="1"/>
  <c r="A3865" i="4" s="1"/>
  <c r="A3866" i="4" s="1"/>
  <c r="A3867" i="4" s="1"/>
  <c r="A3868" i="4" s="1"/>
  <c r="A3869" i="4" s="1"/>
  <c r="A3870" i="4" s="1"/>
  <c r="A3871" i="4" s="1"/>
  <c r="A3872" i="4" s="1"/>
  <c r="A3873" i="4" s="1"/>
  <c r="A3874" i="4" s="1"/>
  <c r="A3875" i="4" s="1"/>
  <c r="A3876" i="4" s="1"/>
  <c r="A3877" i="4" s="1"/>
  <c r="A3878" i="4" s="1"/>
  <c r="A3879" i="4" s="1"/>
  <c r="A3880" i="4" s="1"/>
  <c r="A3881" i="4" s="1"/>
  <c r="A3882" i="4" s="1"/>
  <c r="A3883" i="4" s="1"/>
  <c r="A3884" i="4" s="1"/>
  <c r="A3885" i="4" s="1"/>
  <c r="A3886" i="4" s="1"/>
  <c r="A3887" i="4" s="1"/>
  <c r="A3888" i="4" s="1"/>
  <c r="A3889" i="4" s="1"/>
  <c r="A3890" i="4" s="1"/>
  <c r="A3891" i="4" s="1"/>
  <c r="A3892" i="4" s="1"/>
  <c r="A3893" i="4" s="1"/>
  <c r="A3894" i="4" s="1"/>
  <c r="A3895" i="4" s="1"/>
  <c r="A3896" i="4" s="1"/>
  <c r="A3897" i="4" s="1"/>
  <c r="A3898" i="4" s="1"/>
  <c r="A3899" i="4" s="1"/>
  <c r="A3900" i="4" s="1"/>
  <c r="A3901" i="4" s="1"/>
  <c r="A3902" i="4" s="1"/>
  <c r="A3903" i="4" s="1"/>
  <c r="A3904" i="4" s="1"/>
  <c r="A3905" i="4" s="1"/>
  <c r="A3906" i="4" s="1"/>
  <c r="A3907" i="4" s="1"/>
  <c r="A3908" i="4" s="1"/>
  <c r="A3909" i="4" s="1"/>
  <c r="A3910" i="4" s="1"/>
  <c r="A3911" i="4" s="1"/>
  <c r="A3912" i="4" s="1"/>
  <c r="A3913" i="4" s="1"/>
  <c r="A3914" i="4" s="1"/>
  <c r="A3915" i="4" s="1"/>
  <c r="A3916" i="4" s="1"/>
  <c r="A3917" i="4" s="1"/>
  <c r="A3918" i="4" s="1"/>
  <c r="A3919" i="4" s="1"/>
  <c r="A3920" i="4" s="1"/>
  <c r="A3921" i="4" s="1"/>
  <c r="A3922" i="4" s="1"/>
  <c r="A3923" i="4" s="1"/>
  <c r="A3924" i="4" s="1"/>
  <c r="A3925" i="4" s="1"/>
  <c r="A3926" i="4" s="1"/>
  <c r="A3927" i="4" s="1"/>
  <c r="A3928" i="4" s="1"/>
  <c r="A3929" i="4" s="1"/>
  <c r="A3930" i="4" s="1"/>
  <c r="A3931" i="4" s="1"/>
  <c r="A3932" i="4" s="1"/>
  <c r="A3933" i="4" s="1"/>
  <c r="A3934" i="4" s="1"/>
  <c r="A3935" i="4" s="1"/>
  <c r="A3936" i="4" s="1"/>
  <c r="A3937" i="4" s="1"/>
  <c r="A3938" i="4" s="1"/>
  <c r="A3939" i="4" s="1"/>
  <c r="A3940" i="4" s="1"/>
  <c r="A3941" i="4" s="1"/>
  <c r="A3942" i="4" s="1"/>
  <c r="A3943" i="4" s="1"/>
  <c r="A3944" i="4" s="1"/>
  <c r="A3945" i="4" s="1"/>
  <c r="A3946" i="4" s="1"/>
  <c r="A3947" i="4" s="1"/>
  <c r="A3948" i="4" s="1"/>
  <c r="A3949" i="4" s="1"/>
  <c r="A3950" i="4" s="1"/>
  <c r="A3951" i="4" s="1"/>
  <c r="A3952" i="4" s="1"/>
  <c r="A3953" i="4" s="1"/>
  <c r="A3954" i="4" s="1"/>
  <c r="A3955" i="4" s="1"/>
  <c r="A3956" i="4" s="1"/>
  <c r="A3957" i="4" s="1"/>
  <c r="A3958" i="4" s="1"/>
  <c r="A3959" i="4" s="1"/>
  <c r="A3960" i="4" s="1"/>
  <c r="A3961" i="4" s="1"/>
  <c r="A3962" i="4" s="1"/>
  <c r="A3963" i="4" s="1"/>
  <c r="A3964" i="4" s="1"/>
  <c r="A3965" i="4" s="1"/>
  <c r="A3966" i="4" s="1"/>
  <c r="A3967" i="4" s="1"/>
  <c r="A3968" i="4" s="1"/>
  <c r="A3969" i="4" s="1"/>
  <c r="A3970" i="4" s="1"/>
  <c r="A3971" i="4" s="1"/>
  <c r="A3972" i="4" s="1"/>
  <c r="A3973" i="4" s="1"/>
  <c r="A3974" i="4" s="1"/>
  <c r="A3975" i="4" s="1"/>
  <c r="A3976" i="4" s="1"/>
  <c r="A3977" i="4" s="1"/>
  <c r="A3978" i="4" s="1"/>
  <c r="A3979" i="4" s="1"/>
  <c r="A3980" i="4" s="1"/>
  <c r="A3981" i="4" s="1"/>
  <c r="A3982" i="4" s="1"/>
  <c r="A3983" i="4" s="1"/>
  <c r="A3984" i="4" s="1"/>
  <c r="A3985" i="4" s="1"/>
  <c r="A3986" i="4" s="1"/>
  <c r="A3987" i="4" s="1"/>
  <c r="A3988" i="4" s="1"/>
  <c r="A3989" i="4" s="1"/>
  <c r="A3990" i="4" s="1"/>
  <c r="A3991" i="4" s="1"/>
  <c r="A3992" i="4" s="1"/>
  <c r="A3993" i="4" s="1"/>
  <c r="A3994" i="4" s="1"/>
  <c r="A3995" i="4" s="1"/>
  <c r="A3996" i="4" s="1"/>
  <c r="A3997" i="4" s="1"/>
  <c r="A3998" i="4" s="1"/>
  <c r="A3999" i="4" s="1"/>
  <c r="A4000" i="4" s="1"/>
  <c r="A4001" i="4" s="1"/>
  <c r="A4002" i="4" s="1"/>
  <c r="A4003" i="4" s="1"/>
  <c r="A4004" i="4" s="1"/>
  <c r="A4005" i="4" s="1"/>
  <c r="A4006" i="4" s="1"/>
  <c r="A4007" i="4" s="1"/>
  <c r="A4008" i="4" s="1"/>
  <c r="A4009" i="4" s="1"/>
  <c r="A4010" i="4" s="1"/>
  <c r="A4011" i="4" s="1"/>
  <c r="A4012" i="4" s="1"/>
  <c r="A4013" i="4" s="1"/>
  <c r="A4014" i="4" s="1"/>
  <c r="A4015" i="4" s="1"/>
  <c r="A4016" i="4" s="1"/>
  <c r="A4017" i="4" s="1"/>
  <c r="A4018" i="4" s="1"/>
  <c r="A4019" i="4" s="1"/>
  <c r="A4020" i="4" s="1"/>
  <c r="A4021" i="4" s="1"/>
  <c r="A4022" i="4" s="1"/>
  <c r="A4023" i="4" s="1"/>
  <c r="A4024" i="4" s="1"/>
  <c r="A4025" i="4" s="1"/>
  <c r="A4026" i="4" s="1"/>
  <c r="A4027" i="4" s="1"/>
  <c r="A4028" i="4" s="1"/>
  <c r="A4029" i="4" s="1"/>
  <c r="A4030" i="4" s="1"/>
  <c r="A4031" i="4" s="1"/>
  <c r="A4032" i="4" s="1"/>
  <c r="A4033" i="4" s="1"/>
  <c r="A4034" i="4" s="1"/>
  <c r="A4035" i="4" s="1"/>
  <c r="A4036" i="4" s="1"/>
  <c r="A4037" i="4" s="1"/>
  <c r="A4038" i="4" s="1"/>
  <c r="A4039" i="4" s="1"/>
  <c r="A4040" i="4" s="1"/>
  <c r="A4041" i="4" s="1"/>
  <c r="A4042" i="4" s="1"/>
  <c r="A4043" i="4" s="1"/>
  <c r="A4044" i="4" s="1"/>
  <c r="A4045" i="4" s="1"/>
  <c r="A4046" i="4" s="1"/>
  <c r="A4047" i="4" s="1"/>
  <c r="A4048" i="4" s="1"/>
  <c r="A4049" i="4" s="1"/>
  <c r="A4050" i="4" s="1"/>
  <c r="A4051" i="4" s="1"/>
  <c r="A4052" i="4" s="1"/>
  <c r="A4053" i="4" s="1"/>
  <c r="A4054" i="4" s="1"/>
  <c r="A4055" i="4" s="1"/>
  <c r="A4056" i="4" s="1"/>
  <c r="A4057" i="4" s="1"/>
  <c r="A4058" i="4" s="1"/>
  <c r="A4059" i="4" s="1"/>
  <c r="A4060" i="4" s="1"/>
  <c r="A4061" i="4" s="1"/>
  <c r="A4062" i="4" s="1"/>
  <c r="A4063" i="4" s="1"/>
  <c r="A4064" i="4" s="1"/>
  <c r="A4065" i="4" s="1"/>
  <c r="A4066" i="4" s="1"/>
  <c r="A4067" i="4" s="1"/>
  <c r="A4068" i="4" s="1"/>
  <c r="A4069" i="4" s="1"/>
  <c r="A4070" i="4" s="1"/>
  <c r="A4071" i="4" s="1"/>
  <c r="A4072" i="4" s="1"/>
  <c r="A4073" i="4" s="1"/>
  <c r="A4074" i="4" s="1"/>
  <c r="A4075" i="4" s="1"/>
  <c r="A4076" i="4" s="1"/>
  <c r="A4077" i="4" s="1"/>
  <c r="A4078" i="4" s="1"/>
  <c r="A4079" i="4" s="1"/>
  <c r="A4080" i="4" s="1"/>
  <c r="A4081" i="4" s="1"/>
  <c r="A4082" i="4" s="1"/>
  <c r="A4083" i="4" s="1"/>
  <c r="A4084" i="4" s="1"/>
  <c r="A4085" i="4" s="1"/>
  <c r="A4086" i="4" s="1"/>
  <c r="A4087" i="4" s="1"/>
  <c r="A4088" i="4" s="1"/>
  <c r="A4089" i="4" s="1"/>
  <c r="A4090" i="4" s="1"/>
  <c r="A4091" i="4" s="1"/>
  <c r="A4092" i="4" s="1"/>
  <c r="A4093" i="4" s="1"/>
  <c r="A4094" i="4" s="1"/>
  <c r="A4095" i="4" s="1"/>
  <c r="A4096" i="4" s="1"/>
  <c r="A4097" i="4" s="1"/>
  <c r="A4098" i="4" s="1"/>
  <c r="A4099" i="4" s="1"/>
  <c r="A4100" i="4" s="1"/>
  <c r="A4101" i="4" s="1"/>
  <c r="A4102" i="4" s="1"/>
  <c r="A4103" i="4" s="1"/>
  <c r="A4104" i="4" s="1"/>
  <c r="A4105" i="4" s="1"/>
  <c r="A4106" i="4" s="1"/>
  <c r="A4107" i="4" s="1"/>
  <c r="A4108" i="4" s="1"/>
  <c r="A4109" i="4" s="1"/>
  <c r="A4110" i="4" s="1"/>
  <c r="A4111" i="4" s="1"/>
  <c r="A4112" i="4" s="1"/>
  <c r="A4113" i="4" s="1"/>
  <c r="A4114" i="4" s="1"/>
  <c r="A4115" i="4" s="1"/>
  <c r="A4116" i="4" s="1"/>
  <c r="A4117" i="4" s="1"/>
  <c r="A4118" i="4" s="1"/>
  <c r="A4119" i="4" s="1"/>
  <c r="A4120" i="4" s="1"/>
  <c r="A4121" i="4" s="1"/>
  <c r="A4122" i="4" s="1"/>
  <c r="A4123" i="4" s="1"/>
  <c r="A4124" i="4" s="1"/>
  <c r="A4125" i="4" s="1"/>
  <c r="A4126" i="4" s="1"/>
  <c r="A4127" i="4" s="1"/>
  <c r="A4128" i="4" s="1"/>
  <c r="A4129" i="4" s="1"/>
  <c r="A4130" i="4" s="1"/>
  <c r="A4131" i="4" s="1"/>
  <c r="A4132" i="4" s="1"/>
  <c r="A4133" i="4" s="1"/>
  <c r="A4134" i="4" s="1"/>
  <c r="A4135" i="4" s="1"/>
  <c r="A4136" i="4" s="1"/>
  <c r="A4137" i="4" s="1"/>
  <c r="A4138" i="4" s="1"/>
  <c r="A4139" i="4" s="1"/>
  <c r="A4140" i="4" s="1"/>
  <c r="A4141" i="4" s="1"/>
  <c r="A4142" i="4" s="1"/>
  <c r="A4143" i="4" s="1"/>
  <c r="A4144" i="4" s="1"/>
  <c r="A4145" i="4" s="1"/>
  <c r="A4146" i="4" s="1"/>
  <c r="A4147" i="4" s="1"/>
  <c r="A4148" i="4" s="1"/>
  <c r="A4149" i="4" s="1"/>
  <c r="A4150" i="4" s="1"/>
  <c r="A4151" i="4" s="1"/>
  <c r="A4152" i="4" s="1"/>
  <c r="A4153" i="4" s="1"/>
  <c r="A4154" i="4" s="1"/>
  <c r="A4155" i="4" s="1"/>
  <c r="A4156" i="4" s="1"/>
  <c r="A4157" i="4" s="1"/>
  <c r="A4158" i="4" s="1"/>
  <c r="A4159" i="4" s="1"/>
  <c r="A4160" i="4" s="1"/>
  <c r="A4161" i="4" s="1"/>
  <c r="A4162" i="4" s="1"/>
  <c r="A4163" i="4" s="1"/>
  <c r="A4164" i="4" s="1"/>
  <c r="A4165" i="4" s="1"/>
  <c r="A4166" i="4" s="1"/>
  <c r="A4167" i="4" s="1"/>
  <c r="A4168" i="4" s="1"/>
  <c r="A4169" i="4" s="1"/>
  <c r="A4170" i="4" s="1"/>
  <c r="A4171" i="4" s="1"/>
  <c r="A4172" i="4" s="1"/>
  <c r="A4173" i="4" s="1"/>
  <c r="A4174" i="4" s="1"/>
  <c r="A4175" i="4" s="1"/>
  <c r="A4176" i="4" s="1"/>
  <c r="A4177" i="4" s="1"/>
  <c r="A4178" i="4" s="1"/>
  <c r="A4179" i="4" s="1"/>
  <c r="A4180" i="4" s="1"/>
  <c r="A4181" i="4" s="1"/>
  <c r="A4182" i="4" s="1"/>
  <c r="A4183" i="4" s="1"/>
  <c r="A4184" i="4" s="1"/>
  <c r="A4185" i="4" s="1"/>
  <c r="A4186" i="4" s="1"/>
  <c r="A4187" i="4" s="1"/>
  <c r="A4188" i="4" s="1"/>
  <c r="A4189" i="4" s="1"/>
  <c r="A4190" i="4" s="1"/>
  <c r="A4191" i="4" s="1"/>
  <c r="A4192" i="4" s="1"/>
  <c r="A4193" i="4" s="1"/>
  <c r="A4194" i="4" s="1"/>
  <c r="A4195" i="4" s="1"/>
  <c r="A4196" i="4" s="1"/>
  <c r="A4197" i="4" s="1"/>
  <c r="A4198" i="4" s="1"/>
  <c r="A4199" i="4" s="1"/>
  <c r="A4200" i="4" s="1"/>
  <c r="A4201" i="4" s="1"/>
  <c r="A4202" i="4" s="1"/>
  <c r="A4203" i="4" s="1"/>
  <c r="A4204" i="4" s="1"/>
  <c r="A4205" i="4" s="1"/>
  <c r="A4206" i="4" s="1"/>
  <c r="A4207" i="4" s="1"/>
  <c r="A4208" i="4" s="1"/>
  <c r="A4209" i="4" s="1"/>
  <c r="A4210" i="4" s="1"/>
  <c r="A4211" i="4" s="1"/>
  <c r="A4212" i="4" s="1"/>
  <c r="A4213" i="4" s="1"/>
  <c r="A4214" i="4" s="1"/>
  <c r="A4215" i="4" s="1"/>
  <c r="A4216" i="4" s="1"/>
  <c r="A4217" i="4" s="1"/>
  <c r="A4218" i="4" s="1"/>
  <c r="A4219" i="4" s="1"/>
  <c r="A4220" i="4" s="1"/>
  <c r="A4221" i="4" s="1"/>
  <c r="A4222" i="4" s="1"/>
  <c r="A4223" i="4" s="1"/>
  <c r="A4224" i="4" s="1"/>
  <c r="A4225" i="4" s="1"/>
  <c r="A4226" i="4" s="1"/>
  <c r="A4227" i="4" s="1"/>
  <c r="A4228" i="4" s="1"/>
  <c r="A4229" i="4" s="1"/>
  <c r="A4230" i="4" s="1"/>
  <c r="A4231" i="4" s="1"/>
  <c r="A4232" i="4" s="1"/>
  <c r="A4233" i="4" s="1"/>
  <c r="A4234" i="4" s="1"/>
  <c r="A4235" i="4" s="1"/>
  <c r="A4236" i="4" s="1"/>
  <c r="A4237" i="4" s="1"/>
  <c r="A4238" i="4" s="1"/>
  <c r="A4239" i="4" s="1"/>
  <c r="A4240" i="4" s="1"/>
  <c r="A4241" i="4" s="1"/>
  <c r="A4242" i="4" s="1"/>
  <c r="A4243" i="4" s="1"/>
  <c r="A4244" i="4" s="1"/>
  <c r="A4245" i="4" s="1"/>
  <c r="A4246" i="4" s="1"/>
  <c r="A4247" i="4" s="1"/>
  <c r="A4248" i="4" s="1"/>
  <c r="A4249" i="4" s="1"/>
  <c r="A4250" i="4" s="1"/>
  <c r="A4251" i="4" s="1"/>
  <c r="A4252" i="4" s="1"/>
  <c r="A4253" i="4" s="1"/>
  <c r="A4254" i="4" s="1"/>
  <c r="A4255" i="4" s="1"/>
  <c r="A4256" i="4" s="1"/>
  <c r="A4257" i="4" s="1"/>
  <c r="A4258" i="4" s="1"/>
  <c r="A4259" i="4" s="1"/>
  <c r="A4260" i="4" s="1"/>
  <c r="A4261" i="4" s="1"/>
  <c r="A4262" i="4" s="1"/>
  <c r="A4263" i="4" s="1"/>
  <c r="A4264" i="4" s="1"/>
  <c r="A4265" i="4" s="1"/>
  <c r="A4266" i="4" s="1"/>
  <c r="A4267" i="4" s="1"/>
  <c r="A4268" i="4" s="1"/>
  <c r="A4269" i="4" s="1"/>
  <c r="A4270" i="4" s="1"/>
  <c r="A4271" i="4" s="1"/>
  <c r="A4272" i="4" s="1"/>
  <c r="A4273" i="4" s="1"/>
  <c r="A4274" i="4" s="1"/>
  <c r="A4275" i="4" s="1"/>
  <c r="A4276" i="4" s="1"/>
  <c r="A4277" i="4" s="1"/>
  <c r="A4278" i="4" s="1"/>
  <c r="A4279" i="4" s="1"/>
  <c r="A4280" i="4" s="1"/>
  <c r="A4281" i="4" s="1"/>
  <c r="A4282" i="4" s="1"/>
  <c r="A4283" i="4" s="1"/>
  <c r="A4284" i="4" s="1"/>
  <c r="A4285" i="4" s="1"/>
  <c r="A4286" i="4" s="1"/>
  <c r="A4287" i="4" s="1"/>
  <c r="A4288" i="4" s="1"/>
  <c r="A4289" i="4" s="1"/>
  <c r="A4290" i="4" s="1"/>
  <c r="A4291" i="4" s="1"/>
  <c r="A4292" i="4" s="1"/>
  <c r="A4293" i="4" s="1"/>
  <c r="A4294" i="4" s="1"/>
  <c r="A4295" i="4" s="1"/>
  <c r="A4296" i="4" s="1"/>
  <c r="A4297" i="4" s="1"/>
  <c r="A4298" i="4" s="1"/>
  <c r="A4299" i="4" s="1"/>
  <c r="A4300" i="4" s="1"/>
  <c r="A4301" i="4" s="1"/>
  <c r="A4302" i="4" s="1"/>
  <c r="A4303" i="4" s="1"/>
  <c r="A4304" i="4" s="1"/>
  <c r="A4305" i="4" s="1"/>
  <c r="A4306" i="4" s="1"/>
  <c r="A4307" i="4" s="1"/>
  <c r="A4308" i="4" s="1"/>
  <c r="A4309" i="4" s="1"/>
  <c r="A4310" i="4" s="1"/>
  <c r="A4311" i="4" s="1"/>
  <c r="A4312" i="4" s="1"/>
  <c r="A4313" i="4" s="1"/>
  <c r="A4314" i="4" s="1"/>
  <c r="A4315" i="4" s="1"/>
  <c r="A4316" i="4" s="1"/>
  <c r="A4317" i="4" s="1"/>
  <c r="A4318" i="4" s="1"/>
  <c r="A4319" i="4" s="1"/>
  <c r="A4320" i="4" s="1"/>
  <c r="A4321" i="4" s="1"/>
  <c r="A4322" i="4" s="1"/>
  <c r="A4323" i="4" s="1"/>
  <c r="A4324" i="4" s="1"/>
  <c r="A4325" i="4" s="1"/>
  <c r="A4326" i="4" s="1"/>
  <c r="A4327" i="4" s="1"/>
  <c r="A4328" i="4" s="1"/>
  <c r="A4329" i="4" s="1"/>
  <c r="A4330" i="4" s="1"/>
  <c r="A4331" i="4" s="1"/>
  <c r="A4332" i="4" s="1"/>
  <c r="A4333" i="4" s="1"/>
  <c r="A4334" i="4" s="1"/>
  <c r="A4335" i="4" s="1"/>
  <c r="A4336" i="4" s="1"/>
  <c r="A4337" i="4" s="1"/>
  <c r="A4338" i="4" s="1"/>
  <c r="A4339" i="4" s="1"/>
  <c r="A4340" i="4" s="1"/>
  <c r="A4341" i="4" s="1"/>
  <c r="A4342" i="4" s="1"/>
  <c r="A4343" i="4" s="1"/>
  <c r="A4344" i="4" s="1"/>
  <c r="A4345" i="4" s="1"/>
  <c r="A4346" i="4" s="1"/>
  <c r="A4347" i="4" s="1"/>
  <c r="A4348" i="4" s="1"/>
  <c r="A4349" i="4" s="1"/>
  <c r="A4350" i="4" s="1"/>
  <c r="A4351" i="4" s="1"/>
  <c r="A4352" i="4" s="1"/>
  <c r="A4353" i="4" s="1"/>
  <c r="A4354" i="4" s="1"/>
  <c r="A4355" i="4" s="1"/>
  <c r="A4356" i="4" s="1"/>
  <c r="A4357" i="4" s="1"/>
  <c r="A4358" i="4" s="1"/>
  <c r="A4359" i="4" s="1"/>
  <c r="A4360" i="4" s="1"/>
  <c r="A4361" i="4" s="1"/>
  <c r="A4362" i="4" s="1"/>
  <c r="A4363" i="4" s="1"/>
  <c r="A4364" i="4" s="1"/>
  <c r="A4365" i="4" s="1"/>
  <c r="A4366" i="4" s="1"/>
  <c r="A4367" i="4" s="1"/>
  <c r="A4368" i="4" s="1"/>
  <c r="A4369" i="4" s="1"/>
  <c r="A4370" i="4" s="1"/>
  <c r="A4371" i="4" s="1"/>
  <c r="A4372" i="4" s="1"/>
  <c r="A4373" i="4" s="1"/>
  <c r="A4374" i="4" s="1"/>
  <c r="A4375" i="4" s="1"/>
  <c r="A4376" i="4" s="1"/>
  <c r="A4377" i="4" s="1"/>
  <c r="A4378" i="4" s="1"/>
  <c r="A4379" i="4" s="1"/>
  <c r="A4380" i="4" s="1"/>
  <c r="A4381" i="4" s="1"/>
  <c r="A4382" i="4" s="1"/>
  <c r="A4383" i="4" s="1"/>
  <c r="A4384" i="4" s="1"/>
  <c r="A4385" i="4" s="1"/>
  <c r="A4386" i="4" s="1"/>
  <c r="A4387" i="4" s="1"/>
  <c r="A4388" i="4" s="1"/>
  <c r="A4389" i="4" s="1"/>
  <c r="A4390" i="4" s="1"/>
  <c r="A4391" i="4" s="1"/>
  <c r="A4392" i="4" s="1"/>
  <c r="A4393" i="4" s="1"/>
  <c r="A4394" i="4" s="1"/>
  <c r="A4395" i="4" s="1"/>
  <c r="A4396" i="4" s="1"/>
  <c r="A4397" i="4" s="1"/>
  <c r="A4398" i="4" s="1"/>
  <c r="A4399" i="4" s="1"/>
  <c r="A4400" i="4" s="1"/>
  <c r="A4401" i="4" s="1"/>
  <c r="A4402" i="4" s="1"/>
  <c r="A4403" i="4" s="1"/>
  <c r="A4404" i="4" s="1"/>
  <c r="A4405" i="4" s="1"/>
  <c r="A4406" i="4" s="1"/>
  <c r="A4407" i="4" s="1"/>
  <c r="A4408" i="4" s="1"/>
  <c r="A4409" i="4" s="1"/>
  <c r="A4410" i="4" s="1"/>
  <c r="A4411" i="4" s="1"/>
  <c r="A4412" i="4" s="1"/>
  <c r="A4413" i="4" s="1"/>
  <c r="A4414" i="4" s="1"/>
  <c r="A4415" i="4" s="1"/>
  <c r="A4416" i="4" s="1"/>
  <c r="A4417" i="4" s="1"/>
  <c r="A4418" i="4" s="1"/>
  <c r="A4419" i="4" s="1"/>
  <c r="A4420" i="4" s="1"/>
  <c r="A4421" i="4" s="1"/>
  <c r="A4422" i="4" s="1"/>
  <c r="A4423" i="4" s="1"/>
  <c r="A4424" i="4" s="1"/>
  <c r="A4425" i="4" s="1"/>
  <c r="A4426" i="4" s="1"/>
  <c r="A4427" i="4" s="1"/>
  <c r="A4428" i="4" s="1"/>
  <c r="A4429" i="4" s="1"/>
  <c r="A4430" i="4" s="1"/>
  <c r="A4431" i="4" s="1"/>
  <c r="A4432" i="4" s="1"/>
  <c r="A4433" i="4" s="1"/>
  <c r="A4434" i="4" s="1"/>
  <c r="A4435" i="4" s="1"/>
  <c r="A4436" i="4" s="1"/>
  <c r="A4437" i="4" s="1"/>
  <c r="A4438" i="4" s="1"/>
  <c r="A4439" i="4" s="1"/>
  <c r="A4440" i="4" s="1"/>
  <c r="A4441" i="4" s="1"/>
  <c r="A4442" i="4" s="1"/>
  <c r="A4443" i="4" s="1"/>
  <c r="A4444" i="4" s="1"/>
  <c r="A4445" i="4" s="1"/>
  <c r="A4446" i="4" s="1"/>
  <c r="A4447" i="4" s="1"/>
  <c r="A4448" i="4" s="1"/>
  <c r="A4449" i="4" s="1"/>
  <c r="A4450" i="4" s="1"/>
  <c r="A4451" i="4" s="1"/>
  <c r="A4452" i="4" s="1"/>
  <c r="A4453" i="4" s="1"/>
  <c r="A4454" i="4" s="1"/>
  <c r="A4455" i="4" s="1"/>
  <c r="A4456" i="4" s="1"/>
  <c r="A4457" i="4" s="1"/>
  <c r="A4458" i="4" s="1"/>
  <c r="A4459" i="4" s="1"/>
  <c r="A4460" i="4" s="1"/>
  <c r="A4461" i="4" s="1"/>
  <c r="A4462" i="4" s="1"/>
  <c r="A4463" i="4" s="1"/>
  <c r="A4464" i="4" s="1"/>
  <c r="A4465" i="4" s="1"/>
  <c r="A4466" i="4" s="1"/>
  <c r="A4467" i="4" s="1"/>
  <c r="A4468" i="4" s="1"/>
  <c r="A4469" i="4" s="1"/>
  <c r="A4470" i="4" s="1"/>
  <c r="A4471" i="4" s="1"/>
  <c r="A4472" i="4" s="1"/>
  <c r="A4473" i="4" s="1"/>
  <c r="A4474" i="4" s="1"/>
  <c r="A4475" i="4" s="1"/>
  <c r="A4476" i="4" s="1"/>
  <c r="A4477" i="4" s="1"/>
  <c r="A4478" i="4" s="1"/>
  <c r="A4479" i="4" s="1"/>
  <c r="A4480" i="4" s="1"/>
  <c r="A4481" i="4" s="1"/>
  <c r="A4482" i="4" s="1"/>
  <c r="A4483" i="4" s="1"/>
  <c r="A4484" i="4" s="1"/>
  <c r="A4485" i="4" s="1"/>
  <c r="A4486" i="4" s="1"/>
  <c r="A4487" i="4" s="1"/>
  <c r="A4488" i="4" s="1"/>
  <c r="A4489" i="4" s="1"/>
  <c r="A4490" i="4" s="1"/>
  <c r="A4491" i="4" s="1"/>
  <c r="A4492" i="4" s="1"/>
  <c r="A4493" i="4" s="1"/>
  <c r="A4494" i="4" s="1"/>
  <c r="A4495" i="4" s="1"/>
  <c r="A4496" i="4" s="1"/>
  <c r="A4497" i="4" s="1"/>
  <c r="A4498" i="4" s="1"/>
  <c r="A4499" i="4" s="1"/>
  <c r="A4500" i="4" s="1"/>
  <c r="A4501" i="4" s="1"/>
  <c r="A4502" i="4" s="1"/>
  <c r="A4503" i="4" s="1"/>
  <c r="A4504" i="4" s="1"/>
  <c r="A4505" i="4" s="1"/>
  <c r="A4506" i="4" s="1"/>
  <c r="A4507" i="4" s="1"/>
  <c r="A4508" i="4" s="1"/>
  <c r="A4509" i="4" s="1"/>
  <c r="A4510" i="4" s="1"/>
  <c r="A4511" i="4" s="1"/>
  <c r="A4512" i="4" s="1"/>
  <c r="A4513" i="4" s="1"/>
  <c r="A4514" i="4" s="1"/>
  <c r="A4515" i="4" s="1"/>
  <c r="A4516" i="4" s="1"/>
  <c r="A4517" i="4" s="1"/>
  <c r="A4518" i="4" s="1"/>
  <c r="A4519" i="4" s="1"/>
  <c r="A4520" i="4" s="1"/>
  <c r="A4521" i="4" s="1"/>
  <c r="A4522" i="4" s="1"/>
  <c r="A4523" i="4" s="1"/>
  <c r="A4524" i="4" s="1"/>
  <c r="A4525" i="4" s="1"/>
  <c r="A4526" i="4" s="1"/>
  <c r="A4527" i="4" s="1"/>
  <c r="A4528" i="4" s="1"/>
  <c r="A4529" i="4" s="1"/>
  <c r="A4530" i="4" s="1"/>
  <c r="A4531" i="4" s="1"/>
  <c r="A4532" i="4" s="1"/>
  <c r="A4533" i="4" s="1"/>
  <c r="A4534" i="4" s="1"/>
  <c r="A4535" i="4" s="1"/>
  <c r="A4536" i="4" s="1"/>
  <c r="A4537" i="4" s="1"/>
  <c r="A4538" i="4" s="1"/>
  <c r="A4539" i="4" s="1"/>
  <c r="A4540" i="4" s="1"/>
  <c r="A4541" i="4" s="1"/>
  <c r="A4542" i="4" s="1"/>
  <c r="A4543" i="4" s="1"/>
  <c r="A4544" i="4" s="1"/>
  <c r="A4545" i="4" s="1"/>
  <c r="A4546" i="4" s="1"/>
  <c r="A4547" i="4" s="1"/>
  <c r="A4548" i="4" s="1"/>
  <c r="A4549" i="4" s="1"/>
  <c r="A4550" i="4" s="1"/>
  <c r="A4551" i="4" s="1"/>
  <c r="A4552" i="4" s="1"/>
  <c r="A4553" i="4" s="1"/>
  <c r="A4554" i="4" s="1"/>
  <c r="A4555" i="4" s="1"/>
  <c r="A4556" i="4" s="1"/>
  <c r="A4557" i="4" s="1"/>
  <c r="A4558" i="4" s="1"/>
  <c r="A4559" i="4" s="1"/>
  <c r="A4560" i="4" s="1"/>
  <c r="A4561" i="4" s="1"/>
  <c r="A4562" i="4" s="1"/>
  <c r="A4563" i="4" s="1"/>
  <c r="A4564" i="4" s="1"/>
  <c r="A4565" i="4" s="1"/>
  <c r="A4566" i="4" s="1"/>
  <c r="A4567" i="4" s="1"/>
  <c r="A4568" i="4" s="1"/>
  <c r="A4569" i="4" s="1"/>
  <c r="A4570" i="4" s="1"/>
  <c r="A4571" i="4" s="1"/>
  <c r="A4572" i="4" s="1"/>
  <c r="A4573" i="4" s="1"/>
  <c r="A4574" i="4" s="1"/>
  <c r="A4575" i="4" s="1"/>
  <c r="A4576" i="4" s="1"/>
  <c r="A4577" i="4" s="1"/>
  <c r="A4578" i="4" s="1"/>
  <c r="A4579" i="4" s="1"/>
  <c r="A4580" i="4" s="1"/>
  <c r="A4581" i="4" s="1"/>
  <c r="A4582" i="4" s="1"/>
  <c r="A4583" i="4" s="1"/>
  <c r="A4584" i="4" s="1"/>
  <c r="A4585" i="4" s="1"/>
  <c r="A4586" i="4" s="1"/>
  <c r="A4587" i="4" s="1"/>
  <c r="A4588" i="4" s="1"/>
  <c r="A4589" i="4" s="1"/>
  <c r="A4590" i="4" s="1"/>
  <c r="A4591" i="4" s="1"/>
  <c r="A4592" i="4" s="1"/>
  <c r="A4593" i="4" s="1"/>
  <c r="A4594" i="4" s="1"/>
  <c r="A4595" i="4" s="1"/>
  <c r="A4596" i="4" s="1"/>
  <c r="A4597" i="4" s="1"/>
  <c r="A4598" i="4" s="1"/>
  <c r="A4599" i="4" s="1"/>
  <c r="A4600" i="4" s="1"/>
  <c r="A4601" i="4" s="1"/>
  <c r="A4602" i="4" s="1"/>
  <c r="A4603" i="4" s="1"/>
  <c r="A4604" i="4" s="1"/>
  <c r="A4605" i="4" s="1"/>
  <c r="A4606" i="4" s="1"/>
  <c r="A4607" i="4" s="1"/>
  <c r="A4608" i="4" s="1"/>
  <c r="A4609" i="4" s="1"/>
  <c r="A4610" i="4" s="1"/>
  <c r="A4611" i="4" s="1"/>
  <c r="A4612" i="4" s="1"/>
  <c r="A4613" i="4" s="1"/>
  <c r="A4614" i="4" s="1"/>
  <c r="A4615" i="4" s="1"/>
  <c r="A4616" i="4" s="1"/>
  <c r="A4617" i="4" s="1"/>
  <c r="A4618" i="4" s="1"/>
  <c r="A4619" i="4" s="1"/>
  <c r="A4620" i="4" s="1"/>
  <c r="A4621" i="4" s="1"/>
  <c r="A4622" i="4" s="1"/>
  <c r="A4623" i="4" s="1"/>
  <c r="A4624" i="4" s="1"/>
  <c r="A4625" i="4" s="1"/>
  <c r="A4626" i="4" s="1"/>
  <c r="A4627" i="4" s="1"/>
  <c r="A4628" i="4" s="1"/>
  <c r="A4629" i="4" s="1"/>
  <c r="A4630" i="4" s="1"/>
  <c r="A4631" i="4" s="1"/>
  <c r="A4632" i="4" s="1"/>
  <c r="A4633" i="4" s="1"/>
  <c r="A4634" i="4" s="1"/>
  <c r="A4635" i="4" s="1"/>
  <c r="A4636" i="4" s="1"/>
  <c r="A4637" i="4" s="1"/>
  <c r="A4638" i="4" s="1"/>
  <c r="A4639" i="4" s="1"/>
  <c r="A4640" i="4" s="1"/>
  <c r="A4641" i="4" s="1"/>
  <c r="A4642" i="4" s="1"/>
  <c r="A4643" i="4" s="1"/>
  <c r="A4644" i="4" s="1"/>
  <c r="A4645" i="4" s="1"/>
  <c r="A4646" i="4" s="1"/>
  <c r="A4647" i="4" s="1"/>
  <c r="A4648" i="4" s="1"/>
  <c r="A4649" i="4" s="1"/>
  <c r="A4650" i="4" s="1"/>
  <c r="A4651" i="4" s="1"/>
  <c r="A4652" i="4" s="1"/>
  <c r="A4653" i="4" s="1"/>
  <c r="A4654" i="4" s="1"/>
  <c r="A4655" i="4" s="1"/>
  <c r="A4656" i="4" s="1"/>
  <c r="A4657" i="4" s="1"/>
  <c r="A4658" i="4" s="1"/>
  <c r="A4659" i="4" s="1"/>
  <c r="A4660" i="4" s="1"/>
  <c r="A4661" i="4" s="1"/>
  <c r="A4662" i="4" s="1"/>
  <c r="A4663" i="4" s="1"/>
  <c r="A4664" i="4" s="1"/>
  <c r="A4665" i="4" s="1"/>
  <c r="A4666" i="4" s="1"/>
  <c r="A4667" i="4" s="1"/>
  <c r="A4668" i="4" s="1"/>
  <c r="A4669" i="4" s="1"/>
  <c r="A4670" i="4" s="1"/>
  <c r="A4671" i="4" s="1"/>
  <c r="A4672" i="4" s="1"/>
  <c r="A4673" i="4" s="1"/>
  <c r="A4674" i="4" s="1"/>
  <c r="A4675" i="4" s="1"/>
  <c r="A4676" i="4" s="1"/>
  <c r="A4677" i="4" s="1"/>
  <c r="A4678" i="4" s="1"/>
  <c r="A4679" i="4" s="1"/>
  <c r="A4680" i="4" s="1"/>
  <c r="A4681" i="4" s="1"/>
  <c r="A4682" i="4" s="1"/>
  <c r="A4683" i="4" s="1"/>
  <c r="A4684" i="4" s="1"/>
  <c r="A4685" i="4" s="1"/>
  <c r="A4686" i="4" s="1"/>
  <c r="A4687" i="4" s="1"/>
  <c r="A4688" i="4" s="1"/>
  <c r="A4689" i="4" s="1"/>
  <c r="A4690" i="4" s="1"/>
  <c r="A4691" i="4" s="1"/>
  <c r="A4692" i="4" s="1"/>
  <c r="A4693" i="4" s="1"/>
  <c r="A4694" i="4" s="1"/>
  <c r="A4695" i="4" s="1"/>
  <c r="A4696" i="4" s="1"/>
  <c r="A4697" i="4" s="1"/>
  <c r="A4698" i="4" s="1"/>
  <c r="A4699" i="4" s="1"/>
  <c r="A4700" i="4" s="1"/>
  <c r="A4701" i="4" s="1"/>
  <c r="A4702" i="4" s="1"/>
  <c r="A4703" i="4" s="1"/>
  <c r="A4704" i="4" s="1"/>
  <c r="A4705" i="4" s="1"/>
  <c r="A4706" i="4" s="1"/>
  <c r="A4707" i="4" s="1"/>
  <c r="A4708" i="4" s="1"/>
  <c r="A4709" i="4" s="1"/>
  <c r="A4710" i="4" s="1"/>
  <c r="A4711" i="4" s="1"/>
  <c r="A4712" i="4" s="1"/>
  <c r="A4713" i="4" s="1"/>
  <c r="A4714" i="4" s="1"/>
  <c r="A4715" i="4" s="1"/>
  <c r="A4716" i="4" s="1"/>
  <c r="A4717" i="4" s="1"/>
  <c r="A4718" i="4" s="1"/>
  <c r="A4719" i="4" s="1"/>
  <c r="A4720" i="4" s="1"/>
  <c r="A4721" i="4" s="1"/>
  <c r="A4722" i="4" s="1"/>
  <c r="A4723" i="4" s="1"/>
  <c r="A4724" i="4" s="1"/>
  <c r="A4725" i="4" s="1"/>
  <c r="A4726" i="4" s="1"/>
  <c r="A4727" i="4" s="1"/>
  <c r="A4728" i="4" s="1"/>
  <c r="A4729" i="4" s="1"/>
  <c r="A4730" i="4" s="1"/>
  <c r="A4731" i="4" s="1"/>
  <c r="A4732" i="4" s="1"/>
  <c r="A4733" i="4" s="1"/>
  <c r="A4734" i="4" s="1"/>
  <c r="A4735" i="4" s="1"/>
  <c r="A4736" i="4" s="1"/>
  <c r="A4737" i="4" s="1"/>
  <c r="A4738" i="4" s="1"/>
  <c r="A4739" i="4" s="1"/>
  <c r="A4740" i="4" s="1"/>
  <c r="A4741" i="4" s="1"/>
  <c r="A4742" i="4" s="1"/>
  <c r="A4743" i="4" s="1"/>
  <c r="A4744" i="4" s="1"/>
  <c r="A4745" i="4" s="1"/>
  <c r="A4746" i="4" s="1"/>
  <c r="A4747" i="4" s="1"/>
  <c r="A4748" i="4" s="1"/>
  <c r="A4749" i="4" s="1"/>
  <c r="A4750" i="4" s="1"/>
  <c r="A4751" i="4" s="1"/>
  <c r="A4752" i="4" s="1"/>
  <c r="A4753" i="4" s="1"/>
  <c r="A4754" i="4" s="1"/>
  <c r="A4755" i="4" s="1"/>
  <c r="A4756" i="4" s="1"/>
  <c r="A4757" i="4" s="1"/>
  <c r="A4758" i="4" s="1"/>
  <c r="A4759" i="4" s="1"/>
  <c r="A4760" i="4" s="1"/>
  <c r="A4761" i="4" s="1"/>
  <c r="A4762" i="4" s="1"/>
  <c r="A4763" i="4" s="1"/>
  <c r="A4764" i="4" s="1"/>
  <c r="A4765" i="4" s="1"/>
  <c r="A4766" i="4" s="1"/>
  <c r="A4767" i="4" s="1"/>
  <c r="A4768" i="4" s="1"/>
  <c r="A4769" i="4" s="1"/>
  <c r="A4770" i="4" s="1"/>
  <c r="A4771" i="4" s="1"/>
  <c r="A4772" i="4" s="1"/>
  <c r="A4773" i="4" s="1"/>
  <c r="A4774" i="4" s="1"/>
  <c r="A4775" i="4" s="1"/>
  <c r="A4776" i="4" s="1"/>
  <c r="A4777" i="4" s="1"/>
  <c r="A4778" i="4" s="1"/>
  <c r="A4779" i="4" s="1"/>
  <c r="A4780" i="4" s="1"/>
  <c r="A4781" i="4" s="1"/>
  <c r="A4782" i="4" s="1"/>
  <c r="A4783" i="4" s="1"/>
  <c r="A4784" i="4" s="1"/>
  <c r="A4785" i="4" s="1"/>
  <c r="A4786" i="4" s="1"/>
  <c r="A4787" i="4" s="1"/>
  <c r="A4788" i="4" s="1"/>
  <c r="A4789" i="4" s="1"/>
  <c r="A4790" i="4" s="1"/>
  <c r="A4791" i="4" s="1"/>
  <c r="A4792" i="4" s="1"/>
  <c r="A4793" i="4" s="1"/>
  <c r="A4794" i="4" s="1"/>
  <c r="A4795" i="4" s="1"/>
  <c r="A4796" i="4" s="1"/>
  <c r="A4797" i="4" s="1"/>
  <c r="A4798" i="4" s="1"/>
  <c r="A4799" i="4" s="1"/>
  <c r="A4800" i="4" s="1"/>
  <c r="A4801" i="4" s="1"/>
  <c r="A4802" i="4" s="1"/>
  <c r="A4803" i="4" s="1"/>
  <c r="A4804" i="4" s="1"/>
  <c r="A4805" i="4" s="1"/>
  <c r="A4806" i="4" s="1"/>
  <c r="A4807" i="4" s="1"/>
  <c r="A4808" i="4" s="1"/>
  <c r="A4809" i="4" s="1"/>
  <c r="A4810" i="4" s="1"/>
  <c r="A4811" i="4" s="1"/>
  <c r="A4812" i="4" s="1"/>
  <c r="A4813" i="4" s="1"/>
  <c r="A4814" i="4" s="1"/>
  <c r="A4815" i="4" s="1"/>
  <c r="A4816" i="4" s="1"/>
  <c r="A4817" i="4" s="1"/>
  <c r="A4818" i="4" s="1"/>
  <c r="A4819" i="4" s="1"/>
  <c r="A4820" i="4" s="1"/>
  <c r="A4821" i="4" s="1"/>
  <c r="A4822" i="4" s="1"/>
  <c r="A4823" i="4" s="1"/>
  <c r="A4824" i="4" s="1"/>
  <c r="A4825" i="4" s="1"/>
  <c r="A4826" i="4" s="1"/>
  <c r="A4827" i="4" s="1"/>
  <c r="A4828" i="4" s="1"/>
  <c r="A4829" i="4" s="1"/>
  <c r="A4830" i="4" s="1"/>
  <c r="A4831" i="4" s="1"/>
  <c r="A4832" i="4" s="1"/>
  <c r="A4833" i="4" s="1"/>
  <c r="A4834" i="4" s="1"/>
  <c r="A4835" i="4" s="1"/>
  <c r="A4836" i="4" s="1"/>
  <c r="A4837" i="4" s="1"/>
  <c r="A4838" i="4" s="1"/>
  <c r="A4839" i="4" s="1"/>
  <c r="A4840" i="4" s="1"/>
  <c r="A4841" i="4" s="1"/>
  <c r="A4842" i="4" s="1"/>
  <c r="A4843" i="4" s="1"/>
  <c r="A4844" i="4" s="1"/>
  <c r="A4845" i="4" s="1"/>
  <c r="A4846" i="4" s="1"/>
  <c r="A4847" i="4" s="1"/>
  <c r="A4848" i="4" s="1"/>
  <c r="A4849" i="4" s="1"/>
  <c r="A4850" i="4" s="1"/>
  <c r="A4851" i="4" s="1"/>
  <c r="A4852" i="4" s="1"/>
  <c r="A4853" i="4" s="1"/>
  <c r="A4854" i="4" s="1"/>
  <c r="A4855" i="4" s="1"/>
  <c r="A4856" i="4" s="1"/>
  <c r="A4857" i="4" s="1"/>
  <c r="A4858" i="4" s="1"/>
  <c r="A4859" i="4" s="1"/>
  <c r="A4860" i="4" s="1"/>
  <c r="A4861" i="4" s="1"/>
  <c r="A4862" i="4" s="1"/>
  <c r="A4863" i="4" s="1"/>
  <c r="A4864" i="4" s="1"/>
  <c r="A4865" i="4" s="1"/>
  <c r="A4866" i="4" s="1"/>
  <c r="A4867" i="4" s="1"/>
  <c r="A4868" i="4" s="1"/>
  <c r="A4869" i="4" s="1"/>
  <c r="A4870" i="4" s="1"/>
  <c r="A4871" i="4" s="1"/>
  <c r="A4872" i="4" s="1"/>
  <c r="A4873" i="4" s="1"/>
  <c r="A4874" i="4" s="1"/>
  <c r="A4875" i="4" s="1"/>
  <c r="A4876" i="4" s="1"/>
  <c r="A4877" i="4" s="1"/>
  <c r="A4878" i="4" s="1"/>
  <c r="A4879" i="4" s="1"/>
  <c r="A4880" i="4" s="1"/>
  <c r="A4881" i="4" s="1"/>
  <c r="A4882" i="4" s="1"/>
  <c r="A4883" i="4" s="1"/>
  <c r="A4884" i="4" s="1"/>
  <c r="A4885" i="4" s="1"/>
  <c r="A4886" i="4" s="1"/>
  <c r="A4887" i="4" s="1"/>
  <c r="A4888" i="4" s="1"/>
  <c r="A4889" i="4" s="1"/>
  <c r="A4890" i="4" s="1"/>
  <c r="A4891" i="4" s="1"/>
  <c r="A4892" i="4" s="1"/>
  <c r="A4893" i="4" s="1"/>
  <c r="A4894" i="4" s="1"/>
  <c r="A4895" i="4" s="1"/>
  <c r="A4896" i="4" s="1"/>
  <c r="A4897" i="4" s="1"/>
  <c r="A4898" i="4" s="1"/>
  <c r="A4899" i="4" s="1"/>
  <c r="A4900" i="4" s="1"/>
  <c r="A4901" i="4" s="1"/>
  <c r="A4902" i="4" s="1"/>
  <c r="A4903" i="4" s="1"/>
  <c r="A4904" i="4" s="1"/>
  <c r="A4905" i="4" s="1"/>
  <c r="A4906" i="4" s="1"/>
  <c r="A4907" i="4" s="1"/>
  <c r="A4908" i="4" s="1"/>
  <c r="A4909" i="4" s="1"/>
  <c r="A4910" i="4" s="1"/>
  <c r="A4911" i="4" s="1"/>
  <c r="A4912" i="4" s="1"/>
  <c r="A4913" i="4" s="1"/>
  <c r="A4914" i="4" s="1"/>
  <c r="A4915" i="4" s="1"/>
  <c r="A4916" i="4" s="1"/>
  <c r="A4917" i="4" s="1"/>
  <c r="A4918" i="4" s="1"/>
  <c r="A4919" i="4" s="1"/>
  <c r="A4920" i="4" s="1"/>
  <c r="A4921" i="4" s="1"/>
  <c r="A4922" i="4" s="1"/>
  <c r="A4923" i="4" s="1"/>
  <c r="A4924" i="4" s="1"/>
  <c r="A4925" i="4" s="1"/>
  <c r="A4926" i="4" s="1"/>
  <c r="A4927" i="4" s="1"/>
  <c r="A4928" i="4" s="1"/>
  <c r="A4929" i="4" s="1"/>
  <c r="A4930" i="4" s="1"/>
  <c r="A4931" i="4" s="1"/>
  <c r="A4932" i="4" s="1"/>
  <c r="A4933" i="4" s="1"/>
  <c r="A4934" i="4" s="1"/>
  <c r="A4935" i="4" s="1"/>
  <c r="A4936" i="4" s="1"/>
  <c r="A4937" i="4" s="1"/>
  <c r="A4938" i="4" s="1"/>
  <c r="A4939" i="4" s="1"/>
  <c r="A4940" i="4" s="1"/>
  <c r="A4941" i="4" s="1"/>
  <c r="A4942" i="4" s="1"/>
  <c r="A4943" i="4" s="1"/>
  <c r="A4944" i="4" s="1"/>
  <c r="A4945" i="4" s="1"/>
  <c r="A4946" i="4" s="1"/>
  <c r="A4947" i="4" s="1"/>
  <c r="A4948" i="4" s="1"/>
  <c r="A4949" i="4" s="1"/>
  <c r="A4950" i="4" s="1"/>
  <c r="A4951" i="4" s="1"/>
  <c r="A4952" i="4" s="1"/>
  <c r="A4953" i="4" s="1"/>
  <c r="A4954" i="4" s="1"/>
  <c r="A4955" i="4" s="1"/>
  <c r="A4956" i="4" s="1"/>
  <c r="A4957" i="4" s="1"/>
  <c r="A4958" i="4" s="1"/>
  <c r="A4959" i="4" s="1"/>
  <c r="A4960" i="4" s="1"/>
  <c r="A4961" i="4" s="1"/>
  <c r="A4962" i="4" s="1"/>
  <c r="A4963" i="4" s="1"/>
  <c r="A4964" i="4" s="1"/>
  <c r="A4965" i="4" s="1"/>
  <c r="A4966" i="4" s="1"/>
  <c r="A4967" i="4" s="1"/>
  <c r="A4968" i="4" s="1"/>
  <c r="A4969" i="4" s="1"/>
  <c r="A4970" i="4" s="1"/>
  <c r="A4971" i="4" s="1"/>
  <c r="A4972" i="4" s="1"/>
  <c r="A4973" i="4" s="1"/>
  <c r="A4974" i="4" s="1"/>
  <c r="A4975" i="4" s="1"/>
  <c r="A4976" i="4" s="1"/>
  <c r="A4977" i="4" s="1"/>
  <c r="A4978" i="4" s="1"/>
  <c r="A4979" i="4" s="1"/>
  <c r="A4980" i="4" s="1"/>
  <c r="A4981" i="4" s="1"/>
  <c r="A4982" i="4" s="1"/>
  <c r="A4983" i="4" s="1"/>
  <c r="A4984" i="4" s="1"/>
  <c r="A4985" i="4" s="1"/>
  <c r="A4986" i="4" s="1"/>
  <c r="A4987" i="4" s="1"/>
  <c r="A4988" i="4" s="1"/>
  <c r="A4989" i="4" s="1"/>
  <c r="A4990" i="4" s="1"/>
  <c r="A4991" i="4" s="1"/>
  <c r="A4992" i="4" s="1"/>
  <c r="A4993" i="4" s="1"/>
  <c r="A4994" i="4" s="1"/>
  <c r="A4995" i="4" s="1"/>
  <c r="A4996" i="4" s="1"/>
  <c r="A4997" i="4" s="1"/>
  <c r="A4998" i="4" s="1"/>
  <c r="A4999" i="4" s="1"/>
  <c r="A5000" i="4" s="1"/>
  <c r="A5001" i="4" s="1"/>
  <c r="A5002" i="4" s="1"/>
  <c r="A5003" i="4" s="1"/>
  <c r="A5004" i="4" s="1"/>
  <c r="A5005" i="4" s="1"/>
  <c r="A5006" i="4" s="1"/>
  <c r="A5007" i="4" s="1"/>
  <c r="A5008" i="4" s="1"/>
  <c r="A5009" i="4" s="1"/>
  <c r="A5010" i="4" s="1"/>
  <c r="A5011" i="4" s="1"/>
  <c r="A5012" i="4" s="1"/>
  <c r="A5013" i="4" s="1"/>
  <c r="A5014" i="4" s="1"/>
  <c r="A5015" i="4" s="1"/>
  <c r="A5016" i="4" s="1"/>
  <c r="A5017" i="4" s="1"/>
  <c r="A5018" i="4" s="1"/>
  <c r="A5019" i="4" s="1"/>
  <c r="A5020" i="4" s="1"/>
  <c r="A5021" i="4" s="1"/>
  <c r="A5022" i="4" s="1"/>
  <c r="A5023" i="4" s="1"/>
  <c r="A5024" i="4" s="1"/>
  <c r="A5025" i="4" s="1"/>
  <c r="A5026" i="4" s="1"/>
  <c r="A5027" i="4" s="1"/>
  <c r="A5028" i="4" s="1"/>
  <c r="A5029" i="4" s="1"/>
  <c r="A5030" i="4" s="1"/>
  <c r="A5031" i="4" s="1"/>
  <c r="A5032" i="4" s="1"/>
  <c r="A5033" i="4" s="1"/>
  <c r="A5034" i="4" s="1"/>
  <c r="A5035" i="4" s="1"/>
  <c r="A5036" i="4" s="1"/>
  <c r="A5037" i="4" s="1"/>
  <c r="A5038" i="4" s="1"/>
  <c r="A5039" i="4" s="1"/>
  <c r="A5040" i="4" s="1"/>
  <c r="A5041" i="4" s="1"/>
  <c r="A5042" i="4" s="1"/>
  <c r="A5043" i="4" s="1"/>
  <c r="A5044" i="4" s="1"/>
  <c r="A5045" i="4" s="1"/>
  <c r="A5046" i="4" s="1"/>
  <c r="A5047" i="4" s="1"/>
  <c r="A5048" i="4" s="1"/>
  <c r="A5049" i="4" s="1"/>
  <c r="A5050" i="4" s="1"/>
  <c r="A5051" i="4" s="1"/>
  <c r="A5052" i="4" s="1"/>
  <c r="A5053" i="4" s="1"/>
  <c r="A5054" i="4" s="1"/>
  <c r="A5055" i="4" s="1"/>
  <c r="A5056" i="4" s="1"/>
  <c r="A5057" i="4" s="1"/>
  <c r="A5058" i="4" s="1"/>
  <c r="A5059" i="4" s="1"/>
  <c r="A5060" i="4" s="1"/>
  <c r="A5061" i="4" s="1"/>
  <c r="A5062" i="4" s="1"/>
  <c r="A5063" i="4" s="1"/>
  <c r="A5064" i="4" s="1"/>
  <c r="A5065" i="4" s="1"/>
  <c r="A5066" i="4" s="1"/>
  <c r="A5067" i="4" s="1"/>
  <c r="A5068" i="4" s="1"/>
  <c r="A5069" i="4" s="1"/>
  <c r="A5070" i="4" s="1"/>
  <c r="A5071" i="4" s="1"/>
  <c r="A5072" i="4" s="1"/>
  <c r="A5073" i="4" s="1"/>
  <c r="A5074" i="4" s="1"/>
  <c r="A5075" i="4" s="1"/>
  <c r="A5076" i="4" s="1"/>
  <c r="A5077" i="4" s="1"/>
  <c r="A5078" i="4" s="1"/>
  <c r="A5079" i="4" s="1"/>
  <c r="A5080" i="4" s="1"/>
  <c r="A5081" i="4" s="1"/>
  <c r="A5082" i="4" s="1"/>
  <c r="A5083" i="4" s="1"/>
  <c r="A5084" i="4" s="1"/>
  <c r="A5085" i="4" s="1"/>
  <c r="A5086" i="4" s="1"/>
  <c r="A5087" i="4" s="1"/>
  <c r="A5088" i="4" s="1"/>
  <c r="A5089" i="4" s="1"/>
  <c r="A5090" i="4" s="1"/>
  <c r="A5091" i="4" s="1"/>
  <c r="A5092" i="4" s="1"/>
  <c r="A5093" i="4" s="1"/>
  <c r="A5094" i="4" s="1"/>
  <c r="A5095" i="4" s="1"/>
  <c r="A5096" i="4" s="1"/>
  <c r="A5097" i="4" s="1"/>
  <c r="A5098" i="4" s="1"/>
  <c r="A5099" i="4" s="1"/>
  <c r="A5100" i="4" s="1"/>
  <c r="A5101" i="4" s="1"/>
  <c r="A5102" i="4" s="1"/>
  <c r="A5103" i="4" s="1"/>
  <c r="A5104" i="4" s="1"/>
  <c r="A5105" i="4" s="1"/>
  <c r="A5106" i="4" s="1"/>
  <c r="A5107" i="4" s="1"/>
  <c r="A5108" i="4" s="1"/>
  <c r="A5109" i="4" s="1"/>
  <c r="A5110" i="4" s="1"/>
  <c r="A5111" i="4" s="1"/>
  <c r="A5112" i="4" s="1"/>
  <c r="A5113" i="4" s="1"/>
  <c r="A5114" i="4" s="1"/>
  <c r="A5115" i="4" s="1"/>
  <c r="A5116" i="4" s="1"/>
  <c r="A5117" i="4" s="1"/>
  <c r="A5118" i="4" s="1"/>
  <c r="A5119" i="4" s="1"/>
  <c r="A5120" i="4" s="1"/>
  <c r="A5121" i="4" s="1"/>
  <c r="A5122" i="4" s="1"/>
  <c r="A5123" i="4" s="1"/>
  <c r="A5124" i="4" s="1"/>
  <c r="A5125" i="4" s="1"/>
  <c r="A5126" i="4" s="1"/>
  <c r="A5127" i="4" s="1"/>
  <c r="A5128" i="4" s="1"/>
  <c r="A5129" i="4" s="1"/>
  <c r="A5130" i="4" s="1"/>
  <c r="A5131" i="4" s="1"/>
  <c r="A5132" i="4" s="1"/>
  <c r="A5133" i="4" s="1"/>
  <c r="A5134" i="4" s="1"/>
  <c r="A5135" i="4" s="1"/>
  <c r="A5136" i="4" s="1"/>
  <c r="A5137" i="4" s="1"/>
  <c r="A5138" i="4" s="1"/>
  <c r="A5139" i="4" s="1"/>
  <c r="A5140" i="4" s="1"/>
  <c r="A5141" i="4" s="1"/>
  <c r="A5142" i="4" s="1"/>
  <c r="A5143" i="4" s="1"/>
  <c r="A5144" i="4" s="1"/>
  <c r="A5145" i="4" s="1"/>
  <c r="A5146" i="4" s="1"/>
  <c r="A5147" i="4" s="1"/>
  <c r="A5148" i="4" s="1"/>
  <c r="A5149" i="4" s="1"/>
  <c r="A5150" i="4" s="1"/>
  <c r="A5151" i="4" s="1"/>
  <c r="A5152" i="4" s="1"/>
  <c r="A5153" i="4" s="1"/>
  <c r="A5154" i="4" s="1"/>
  <c r="A5155" i="4" s="1"/>
  <c r="A5156" i="4" s="1"/>
  <c r="A5157" i="4" s="1"/>
  <c r="A5158" i="4" s="1"/>
  <c r="A5159" i="4" s="1"/>
  <c r="A5160" i="4" s="1"/>
  <c r="A5161" i="4" s="1"/>
  <c r="A5162" i="4" s="1"/>
  <c r="A5163" i="4" s="1"/>
  <c r="A5164" i="4" s="1"/>
  <c r="A5165" i="4" s="1"/>
  <c r="A5166" i="4" s="1"/>
  <c r="A5167" i="4" s="1"/>
  <c r="A5168" i="4" s="1"/>
  <c r="A5169" i="4" s="1"/>
  <c r="A5170" i="4" s="1"/>
  <c r="A5171" i="4" s="1"/>
  <c r="A5172" i="4" s="1"/>
  <c r="A5173" i="4" s="1"/>
  <c r="A5174" i="4" s="1"/>
  <c r="A5175" i="4" s="1"/>
  <c r="A5176" i="4" s="1"/>
  <c r="A5177" i="4" s="1"/>
  <c r="A5178" i="4" s="1"/>
  <c r="A5179" i="4" s="1"/>
  <c r="A5180" i="4" s="1"/>
  <c r="A5181" i="4" s="1"/>
  <c r="A5182" i="4" s="1"/>
  <c r="A5183" i="4" s="1"/>
  <c r="A5184" i="4" s="1"/>
  <c r="A5185" i="4" s="1"/>
  <c r="A5186" i="4" s="1"/>
  <c r="A5187" i="4" s="1"/>
  <c r="A5188" i="4" s="1"/>
  <c r="A5189" i="4" s="1"/>
  <c r="A5190" i="4" s="1"/>
  <c r="A5191" i="4" s="1"/>
  <c r="A5192" i="4" s="1"/>
  <c r="A5193" i="4" s="1"/>
  <c r="A5194" i="4" s="1"/>
  <c r="A5195" i="4" s="1"/>
  <c r="A5196" i="4" s="1"/>
  <c r="A5197" i="4" s="1"/>
  <c r="A5198" i="4" s="1"/>
  <c r="A5199" i="4" s="1"/>
  <c r="A5200" i="4" s="1"/>
  <c r="A5201" i="4" s="1"/>
  <c r="A5202" i="4" s="1"/>
  <c r="A5203" i="4" s="1"/>
  <c r="A5204" i="4" s="1"/>
  <c r="A5205" i="4" s="1"/>
  <c r="A5206" i="4" s="1"/>
  <c r="A5207" i="4" s="1"/>
  <c r="A5208" i="4" s="1"/>
  <c r="A5209" i="4" s="1"/>
  <c r="A5210" i="4" s="1"/>
  <c r="A5211" i="4" s="1"/>
  <c r="A5212" i="4" s="1"/>
  <c r="A5213" i="4" s="1"/>
  <c r="A5214" i="4" s="1"/>
  <c r="A5215" i="4" s="1"/>
  <c r="A5216" i="4" s="1"/>
  <c r="A5217" i="4" s="1"/>
  <c r="A5218" i="4" s="1"/>
  <c r="A5219" i="4" s="1"/>
  <c r="A5220" i="4" s="1"/>
  <c r="A5221" i="4" s="1"/>
  <c r="A5222" i="4" s="1"/>
  <c r="A5223" i="4" s="1"/>
  <c r="A5224" i="4" s="1"/>
  <c r="A5225" i="4" s="1"/>
  <c r="A5226" i="4" s="1"/>
  <c r="A5227" i="4" s="1"/>
  <c r="A5228" i="4" s="1"/>
  <c r="A5229" i="4" s="1"/>
  <c r="A5230" i="4" s="1"/>
  <c r="A5231" i="4" s="1"/>
  <c r="A5232" i="4" s="1"/>
  <c r="A5233" i="4" s="1"/>
  <c r="A5234" i="4" s="1"/>
  <c r="A5235" i="4" s="1"/>
  <c r="A5236" i="4" s="1"/>
  <c r="A5237" i="4" s="1"/>
  <c r="A5238" i="4" s="1"/>
  <c r="A5239" i="4" s="1"/>
  <c r="A5240" i="4" s="1"/>
  <c r="A5241" i="4" s="1"/>
  <c r="A5242" i="4" s="1"/>
  <c r="A5243" i="4" s="1"/>
  <c r="A5244" i="4" s="1"/>
  <c r="A5245" i="4" s="1"/>
  <c r="A5246" i="4" s="1"/>
  <c r="A5247" i="4" s="1"/>
  <c r="A5248" i="4" s="1"/>
  <c r="A5249" i="4" s="1"/>
  <c r="A5250" i="4" s="1"/>
  <c r="A5251" i="4" s="1"/>
  <c r="A5252" i="4" s="1"/>
  <c r="A5253" i="4" s="1"/>
  <c r="A5254" i="4" s="1"/>
  <c r="A5255" i="4" s="1"/>
  <c r="A5256" i="4" s="1"/>
  <c r="A5257" i="4" s="1"/>
  <c r="A5258" i="4" s="1"/>
  <c r="A5259" i="4" s="1"/>
  <c r="A5260" i="4" s="1"/>
  <c r="A5261" i="4" s="1"/>
  <c r="A5262" i="4" s="1"/>
  <c r="A5263" i="4" s="1"/>
  <c r="A5264" i="4" s="1"/>
  <c r="A5265" i="4" s="1"/>
  <c r="A5266" i="4" s="1"/>
  <c r="A5267" i="4" s="1"/>
  <c r="A5268" i="4" s="1"/>
  <c r="A5269" i="4" s="1"/>
  <c r="A5270" i="4" s="1"/>
  <c r="A5271" i="4" s="1"/>
  <c r="A5272" i="4" s="1"/>
  <c r="A5273" i="4" s="1"/>
  <c r="A5274" i="4" s="1"/>
  <c r="A5275" i="4" s="1"/>
  <c r="A5276" i="4" s="1"/>
  <c r="A5277" i="4" s="1"/>
  <c r="A5278" i="4" s="1"/>
  <c r="A5279" i="4" s="1"/>
  <c r="A5280" i="4" s="1"/>
  <c r="A5281" i="4" s="1"/>
  <c r="A5282" i="4" s="1"/>
  <c r="A5283" i="4" s="1"/>
  <c r="A5284" i="4" s="1"/>
  <c r="A5285" i="4" s="1"/>
  <c r="A5286" i="4" s="1"/>
  <c r="A5287" i="4" s="1"/>
  <c r="A5288" i="4" s="1"/>
  <c r="A5289" i="4" s="1"/>
  <c r="A5290" i="4" s="1"/>
  <c r="A5291" i="4" s="1"/>
  <c r="A5292" i="4" s="1"/>
  <c r="A5293" i="4" s="1"/>
  <c r="A5294" i="4" s="1"/>
  <c r="A5295" i="4" s="1"/>
  <c r="A5296" i="4" s="1"/>
  <c r="A5297" i="4" s="1"/>
  <c r="A5298" i="4" s="1"/>
  <c r="A5299" i="4" s="1"/>
  <c r="A5300" i="4" s="1"/>
  <c r="A5301" i="4" s="1"/>
  <c r="A5302" i="4" s="1"/>
  <c r="A5303" i="4" s="1"/>
  <c r="A5304" i="4" s="1"/>
  <c r="A5305" i="4" s="1"/>
  <c r="A5306" i="4" s="1"/>
  <c r="A5307" i="4" s="1"/>
  <c r="A5308" i="4" s="1"/>
  <c r="A5309" i="4" s="1"/>
  <c r="A5310" i="4" s="1"/>
  <c r="A5311" i="4" s="1"/>
  <c r="A5312" i="4" s="1"/>
  <c r="A5313" i="4" s="1"/>
  <c r="A5314" i="4" s="1"/>
  <c r="A5315" i="4" s="1"/>
  <c r="A5316" i="4" s="1"/>
  <c r="A5317" i="4" s="1"/>
  <c r="A5318" i="4" s="1"/>
  <c r="A5319" i="4" s="1"/>
  <c r="A5320" i="4" s="1"/>
  <c r="A5321" i="4" s="1"/>
  <c r="A5322" i="4" s="1"/>
  <c r="A5323" i="4" s="1"/>
  <c r="A5324" i="4" s="1"/>
  <c r="A5325" i="4" s="1"/>
  <c r="A5326" i="4" s="1"/>
  <c r="A5327" i="4" s="1"/>
  <c r="A5328" i="4" s="1"/>
  <c r="A5329" i="4" s="1"/>
  <c r="A5330" i="4" s="1"/>
  <c r="A5331" i="4" s="1"/>
  <c r="AX6" i="4"/>
  <c r="AW6" i="4"/>
  <c r="AV6" i="4"/>
  <c r="AU6" i="4"/>
  <c r="AP6" i="4"/>
  <c r="AM6" i="4"/>
  <c r="Y4" i="4"/>
  <c r="X4" i="4"/>
  <c r="W4" i="4"/>
  <c r="V4" i="4"/>
  <c r="U4" i="4"/>
  <c r="T4" i="4"/>
  <c r="S4" i="4"/>
  <c r="R4" i="4"/>
  <c r="Q4" i="4"/>
  <c r="P4" i="4"/>
  <c r="C159" i="9"/>
  <c r="P159" i="9"/>
  <c r="I159" i="9"/>
  <c r="J159" i="9"/>
  <c r="U159" i="9"/>
  <c r="D159" i="9"/>
  <c r="O159" i="9"/>
  <c r="B160" i="9"/>
  <c r="V159" i="9"/>
  <c r="B144" i="9"/>
  <c r="O143" i="9"/>
  <c r="C143" i="9"/>
  <c r="P143" i="9"/>
  <c r="V143" i="9"/>
  <c r="J143" i="9"/>
  <c r="D143" i="9"/>
  <c r="U143" i="9"/>
  <c r="I143" i="9"/>
  <c r="B74" i="9"/>
  <c r="V73" i="9"/>
  <c r="P73" i="9"/>
  <c r="I73" i="9"/>
  <c r="C73" i="9"/>
  <c r="O73" i="9"/>
  <c r="J73" i="9"/>
  <c r="D73" i="9"/>
  <c r="U73" i="9"/>
  <c r="O160" i="9"/>
  <c r="O166" i="9" s="1"/>
  <c r="P160" i="9"/>
  <c r="P166" i="9" s="1"/>
  <c r="I160" i="9"/>
  <c r="I166" i="9" s="1"/>
  <c r="U160" i="9"/>
  <c r="U166" i="9" s="1"/>
  <c r="C160" i="9"/>
  <c r="C166" i="9" s="1"/>
  <c r="J160" i="9"/>
  <c r="J166" i="9" s="1"/>
  <c r="D160" i="9"/>
  <c r="D166" i="9" s="1"/>
  <c r="V160" i="9"/>
  <c r="V166" i="9" s="1"/>
  <c r="B161" i="9"/>
  <c r="V144" i="9"/>
  <c r="J144" i="9"/>
  <c r="U144" i="9"/>
  <c r="I144" i="9"/>
  <c r="B145" i="9"/>
  <c r="O144" i="9"/>
  <c r="P144" i="9"/>
  <c r="D144" i="9"/>
  <c r="C144" i="9"/>
  <c r="B75" i="9"/>
  <c r="U74" i="9"/>
  <c r="P74" i="9"/>
  <c r="V74" i="9"/>
  <c r="J74" i="9"/>
  <c r="D74" i="9"/>
  <c r="I74" i="9"/>
  <c r="O74" i="9"/>
  <c r="C74" i="9"/>
  <c r="U161" i="9"/>
  <c r="P161" i="9"/>
  <c r="J161" i="9"/>
  <c r="O161" i="9"/>
  <c r="D161" i="9"/>
  <c r="I161" i="9"/>
  <c r="C161" i="9"/>
  <c r="V161" i="9"/>
  <c r="B162" i="9"/>
  <c r="U145" i="9"/>
  <c r="I145" i="9"/>
  <c r="J145" i="9"/>
  <c r="P145" i="9"/>
  <c r="D145" i="9"/>
  <c r="B146" i="9"/>
  <c r="O145" i="9"/>
  <c r="C145" i="9"/>
  <c r="V145" i="9"/>
  <c r="B76" i="9"/>
  <c r="P75" i="9"/>
  <c r="J75" i="9"/>
  <c r="I75" i="9"/>
  <c r="D75" i="9"/>
  <c r="V75" i="9"/>
  <c r="U75" i="9"/>
  <c r="C75" i="9"/>
  <c r="O75" i="9"/>
  <c r="I162" i="9"/>
  <c r="J162" i="9"/>
  <c r="D162" i="9"/>
  <c r="V162" i="9"/>
  <c r="P162" i="9"/>
  <c r="O162" i="9"/>
  <c r="U162" i="9"/>
  <c r="C162" i="9"/>
  <c r="B163" i="9"/>
  <c r="P146" i="9"/>
  <c r="D146" i="9"/>
  <c r="B147" i="9"/>
  <c r="O146" i="9"/>
  <c r="C146" i="9"/>
  <c r="U146" i="9"/>
  <c r="V146" i="9"/>
  <c r="J146" i="9"/>
  <c r="I146" i="9"/>
  <c r="B77" i="9"/>
  <c r="V76" i="9"/>
  <c r="C76" i="9"/>
  <c r="D76" i="9"/>
  <c r="P76" i="9"/>
  <c r="O76" i="9"/>
  <c r="J76" i="9"/>
  <c r="I76" i="9"/>
  <c r="U76" i="9"/>
  <c r="C163" i="9"/>
  <c r="O163" i="9"/>
  <c r="V163" i="9"/>
  <c r="P163" i="9"/>
  <c r="I163" i="9"/>
  <c r="D163" i="9"/>
  <c r="J163" i="9"/>
  <c r="U163" i="9"/>
  <c r="B164" i="9"/>
  <c r="B148" i="9"/>
  <c r="O147" i="9"/>
  <c r="C147" i="9"/>
  <c r="D147" i="9"/>
  <c r="V147" i="9"/>
  <c r="J147" i="9"/>
  <c r="U147" i="9"/>
  <c r="I147" i="9"/>
  <c r="P147" i="9"/>
  <c r="B78" i="9"/>
  <c r="O77" i="9"/>
  <c r="D77" i="9"/>
  <c r="P77" i="9"/>
  <c r="I77" i="9"/>
  <c r="V77" i="9"/>
  <c r="U77" i="9"/>
  <c r="J77" i="9"/>
  <c r="C77" i="9"/>
  <c r="O164" i="9"/>
  <c r="V164" i="9"/>
  <c r="D164" i="9"/>
  <c r="P164" i="9"/>
  <c r="I164" i="9"/>
  <c r="C164" i="9"/>
  <c r="U164" i="9"/>
  <c r="J164" i="9"/>
  <c r="B165" i="9"/>
  <c r="U165" i="9"/>
  <c r="O165" i="9"/>
  <c r="V165" i="9"/>
  <c r="I165" i="9"/>
  <c r="P165" i="9"/>
  <c r="D165" i="9"/>
  <c r="C165" i="9"/>
  <c r="J165" i="9"/>
  <c r="B166" i="9"/>
  <c r="I20" i="18" l="1"/>
  <c r="I12" i="18"/>
  <c r="I19" i="18"/>
  <c r="I11" i="18"/>
  <c r="L11" i="18" s="1" a="1"/>
  <c r="L11" i="18" s="1"/>
  <c r="I18" i="18"/>
  <c r="I10" i="18"/>
  <c r="I17" i="18"/>
  <c r="L17" i="18" s="1" a="1"/>
  <c r="L17" i="18" s="1"/>
  <c r="I9" i="18"/>
  <c r="I16" i="18"/>
  <c r="L16" i="18" s="1" a="1"/>
  <c r="L16" i="18" s="1"/>
  <c r="I8" i="18"/>
  <c r="I15" i="18"/>
  <c r="L15" i="18" s="1" a="1"/>
  <c r="L15" i="18" s="1"/>
  <c r="I7" i="18"/>
  <c r="I14" i="18"/>
  <c r="I6" i="18"/>
  <c r="L6" i="18" s="1" a="1"/>
  <c r="L6" i="18" s="1"/>
  <c r="I13" i="18"/>
  <c r="L13" i="18" s="1" a="1"/>
  <c r="L13" i="18" s="1"/>
  <c r="F138" i="4"/>
  <c r="F130" i="4"/>
  <c r="F122" i="4"/>
  <c r="F114" i="4"/>
  <c r="F106" i="4"/>
  <c r="F98" i="4"/>
  <c r="F90" i="4"/>
  <c r="F82" i="4"/>
  <c r="F74" i="4"/>
  <c r="F137" i="4"/>
  <c r="F129" i="4"/>
  <c r="F121" i="4"/>
  <c r="F113" i="4"/>
  <c r="F105" i="4"/>
  <c r="F97" i="4"/>
  <c r="F89" i="4"/>
  <c r="F81" i="4"/>
  <c r="F73" i="4"/>
  <c r="F65" i="4"/>
  <c r="F57" i="4"/>
  <c r="F128" i="4"/>
  <c r="F120" i="4"/>
  <c r="F112" i="4"/>
  <c r="F104" i="4"/>
  <c r="F88" i="4"/>
  <c r="F80" i="4"/>
  <c r="F64" i="4"/>
  <c r="F56" i="4"/>
  <c r="F60" i="4"/>
  <c r="F67" i="4"/>
  <c r="F66" i="4"/>
  <c r="F136" i="4"/>
  <c r="F96" i="4"/>
  <c r="F72" i="4"/>
  <c r="F99" i="4"/>
  <c r="F58" i="4"/>
  <c r="F135" i="4"/>
  <c r="F127" i="4"/>
  <c r="F119" i="4"/>
  <c r="F111" i="4"/>
  <c r="F103" i="4"/>
  <c r="F95" i="4"/>
  <c r="F87" i="4"/>
  <c r="F79" i="4"/>
  <c r="F71" i="4"/>
  <c r="F63" i="4"/>
  <c r="F126" i="4"/>
  <c r="F118" i="4"/>
  <c r="F110" i="4"/>
  <c r="F102" i="4"/>
  <c r="F86" i="4"/>
  <c r="F78" i="4"/>
  <c r="F70" i="4"/>
  <c r="F61" i="4"/>
  <c r="F107" i="4"/>
  <c r="F134" i="4"/>
  <c r="F94" i="4"/>
  <c r="F62" i="4"/>
  <c r="F59" i="4"/>
  <c r="F141" i="4"/>
  <c r="F133" i="4"/>
  <c r="F125" i="4"/>
  <c r="F117" i="4"/>
  <c r="F109" i="4"/>
  <c r="F101" i="4"/>
  <c r="F93" i="4"/>
  <c r="F85" i="4"/>
  <c r="F77" i="4"/>
  <c r="F69" i="4"/>
  <c r="F75" i="4"/>
  <c r="F140" i="4"/>
  <c r="F132" i="4"/>
  <c r="F124" i="4"/>
  <c r="F116" i="4"/>
  <c r="F108" i="4"/>
  <c r="F100" i="4"/>
  <c r="F92" i="4"/>
  <c r="F84" i="4"/>
  <c r="F76" i="4"/>
  <c r="F68" i="4"/>
  <c r="F83" i="4"/>
  <c r="F139" i="4"/>
  <c r="F131" i="4"/>
  <c r="F123" i="4"/>
  <c r="F115" i="4"/>
  <c r="F91" i="4"/>
  <c r="AI30" i="5"/>
  <c r="AN30" i="5"/>
  <c r="J30" i="5"/>
  <c r="T30" i="5"/>
  <c r="O30" i="5"/>
  <c r="Y30" i="5"/>
  <c r="AD30" i="5"/>
  <c r="K97" i="13"/>
  <c r="K66" i="13"/>
  <c r="L97" i="13"/>
  <c r="L66" i="13"/>
  <c r="M97" i="13"/>
  <c r="M66" i="13"/>
  <c r="N97" i="13"/>
  <c r="N66" i="13"/>
  <c r="G97" i="13"/>
  <c r="G66" i="13"/>
  <c r="H97" i="13"/>
  <c r="H66" i="13"/>
  <c r="J97" i="13"/>
  <c r="J66" i="13"/>
  <c r="I97" i="13"/>
  <c r="I66" i="13"/>
  <c r="I229" i="16"/>
  <c r="I217" i="16"/>
  <c r="J229" i="16"/>
  <c r="J217" i="16"/>
  <c r="D217" i="16"/>
  <c r="D229" i="16"/>
  <c r="F217" i="16"/>
  <c r="F229" i="16"/>
  <c r="E229" i="16"/>
  <c r="E217" i="16"/>
  <c r="G217" i="16"/>
  <c r="G229" i="16"/>
  <c r="H217" i="16"/>
  <c r="H229" i="16"/>
  <c r="H112" i="5"/>
  <c r="H78" i="11" s="1"/>
  <c r="H40" i="11"/>
  <c r="H47" i="11" s="1"/>
  <c r="I112" i="5"/>
  <c r="I78" i="11" s="1"/>
  <c r="I40" i="11"/>
  <c r="I47" i="11" s="1"/>
  <c r="C40" i="11"/>
  <c r="C47" i="11" s="1"/>
  <c r="C112" i="5"/>
  <c r="C78" i="11" s="1"/>
  <c r="E40" i="11"/>
  <c r="E47" i="11" s="1"/>
  <c r="E112" i="5"/>
  <c r="E78" i="11" s="1"/>
  <c r="D40" i="11"/>
  <c r="D47" i="11" s="1"/>
  <c r="D112" i="5"/>
  <c r="D78" i="11" s="1"/>
  <c r="F40" i="11"/>
  <c r="F47" i="11" s="1"/>
  <c r="F112" i="5"/>
  <c r="F78" i="11" s="1"/>
  <c r="G112" i="5"/>
  <c r="G78" i="11" s="1"/>
  <c r="G40" i="11"/>
  <c r="G47" i="11" s="1"/>
  <c r="F53" i="4"/>
  <c r="F45" i="4"/>
  <c r="F39" i="4"/>
  <c r="F26" i="4"/>
  <c r="F18" i="4"/>
  <c r="F24" i="4"/>
  <c r="F52" i="4"/>
  <c r="F38" i="4"/>
  <c r="F32" i="4"/>
  <c r="F25" i="4"/>
  <c r="F17" i="4"/>
  <c r="F51" i="4"/>
  <c r="F50" i="4"/>
  <c r="F43" i="4"/>
  <c r="F30" i="4"/>
  <c r="F23" i="4"/>
  <c r="F37" i="4"/>
  <c r="F49" i="4"/>
  <c r="F42" i="4"/>
  <c r="F36" i="4"/>
  <c r="F29" i="4"/>
  <c r="F22" i="4"/>
  <c r="F48" i="4"/>
  <c r="F41" i="4"/>
  <c r="F35" i="4"/>
  <c r="F21" i="4"/>
  <c r="F55" i="4"/>
  <c r="F47" i="4"/>
  <c r="F34" i="4"/>
  <c r="F28" i="4"/>
  <c r="F20" i="4"/>
  <c r="F44" i="4"/>
  <c r="F16" i="4"/>
  <c r="F54" i="4"/>
  <c r="F46" i="4"/>
  <c r="F40" i="4"/>
  <c r="F33" i="4"/>
  <c r="F27" i="4"/>
  <c r="F19" i="4"/>
  <c r="F31" i="4"/>
  <c r="BH319" i="4"/>
  <c r="R105" i="7"/>
  <c r="S105" i="7"/>
  <c r="O105" i="7"/>
  <c r="M105" i="7"/>
  <c r="P105" i="7"/>
  <c r="N105" i="7"/>
  <c r="Q105" i="7"/>
  <c r="G96" i="13"/>
  <c r="I96" i="13"/>
  <c r="K96" i="13"/>
  <c r="L96" i="13"/>
  <c r="M96" i="13"/>
  <c r="N96" i="13"/>
  <c r="H96" i="13"/>
  <c r="J96" i="13"/>
  <c r="I51" i="13"/>
  <c r="I46" i="13"/>
  <c r="K51" i="13"/>
  <c r="K46" i="13"/>
  <c r="L51" i="13"/>
  <c r="L46" i="13"/>
  <c r="M51" i="13"/>
  <c r="M46" i="13"/>
  <c r="N46" i="13"/>
  <c r="G51" i="13"/>
  <c r="H51" i="13"/>
  <c r="H46" i="13"/>
  <c r="J51" i="13"/>
  <c r="J46" i="13"/>
  <c r="N51" i="13"/>
  <c r="I43" i="13"/>
  <c r="I95" i="13"/>
  <c r="I94" i="13"/>
  <c r="I92" i="13"/>
  <c r="I91" i="13"/>
  <c r="I82" i="13"/>
  <c r="K43" i="13"/>
  <c r="K95" i="13"/>
  <c r="K94" i="13"/>
  <c r="K92" i="13"/>
  <c r="K91" i="13"/>
  <c r="K82" i="13"/>
  <c r="L43" i="13"/>
  <c r="L95" i="13"/>
  <c r="L94" i="13"/>
  <c r="L92" i="13"/>
  <c r="L91" i="13"/>
  <c r="L82" i="13"/>
  <c r="M43" i="13"/>
  <c r="M86" i="13" s="1"/>
  <c r="M95" i="13"/>
  <c r="M94" i="13"/>
  <c r="M92" i="13"/>
  <c r="M91" i="13"/>
  <c r="M82" i="13"/>
  <c r="N43" i="13"/>
  <c r="N82" i="13"/>
  <c r="N94" i="13"/>
  <c r="N95" i="13"/>
  <c r="N92" i="13"/>
  <c r="N91" i="13"/>
  <c r="G43" i="13"/>
  <c r="G95" i="13"/>
  <c r="G94" i="13"/>
  <c r="G92" i="13"/>
  <c r="G91" i="13"/>
  <c r="G82" i="13"/>
  <c r="H43" i="13"/>
  <c r="H95" i="13"/>
  <c r="H94" i="13"/>
  <c r="H92" i="13"/>
  <c r="H91" i="13"/>
  <c r="H82" i="13"/>
  <c r="J43" i="13"/>
  <c r="J86" i="13" s="1"/>
  <c r="J91" i="13"/>
  <c r="J82" i="13"/>
  <c r="J95" i="13"/>
  <c r="J94" i="13"/>
  <c r="J92" i="13"/>
  <c r="I110" i="13"/>
  <c r="K110" i="13"/>
  <c r="L110" i="13"/>
  <c r="M110" i="13"/>
  <c r="N110" i="13"/>
  <c r="G110" i="13"/>
  <c r="H110" i="13"/>
  <c r="J110" i="13"/>
  <c r="I72" i="13"/>
  <c r="I71" i="13"/>
  <c r="I70" i="13"/>
  <c r="I68" i="13"/>
  <c r="K70" i="13"/>
  <c r="K68" i="13"/>
  <c r="K72" i="13"/>
  <c r="K71" i="13"/>
  <c r="L70" i="13"/>
  <c r="L68" i="13"/>
  <c r="L72" i="13"/>
  <c r="L71" i="13"/>
  <c r="M70" i="13"/>
  <c r="M68" i="13"/>
  <c r="M72" i="13"/>
  <c r="M71" i="13"/>
  <c r="N71" i="13"/>
  <c r="N72" i="13"/>
  <c r="N70" i="13"/>
  <c r="N68" i="13"/>
  <c r="G71" i="13"/>
  <c r="G68" i="13"/>
  <c r="G72" i="13"/>
  <c r="G70" i="13"/>
  <c r="H72" i="13"/>
  <c r="H71" i="13"/>
  <c r="H70" i="13"/>
  <c r="H68" i="13"/>
  <c r="J71" i="13"/>
  <c r="J70" i="13"/>
  <c r="J68" i="13"/>
  <c r="J72" i="13"/>
  <c r="I113" i="13"/>
  <c r="K113" i="13"/>
  <c r="L113" i="13"/>
  <c r="M113" i="13"/>
  <c r="N113" i="13"/>
  <c r="G113" i="13"/>
  <c r="I40" i="7"/>
  <c r="H113" i="13"/>
  <c r="J113" i="13"/>
  <c r="I41" i="7"/>
  <c r="F138" i="13"/>
  <c r="G138" i="13"/>
  <c r="H138" i="13"/>
  <c r="I138" i="13"/>
  <c r="I109" i="13"/>
  <c r="I105" i="13"/>
  <c r="I108" i="13"/>
  <c r="I101" i="13"/>
  <c r="I104" i="13"/>
  <c r="I99" i="13"/>
  <c r="K105" i="13"/>
  <c r="K108" i="13"/>
  <c r="K101" i="13"/>
  <c r="K104" i="13"/>
  <c r="K99" i="13"/>
  <c r="K109" i="13"/>
  <c r="L108" i="13"/>
  <c r="L101" i="13"/>
  <c r="L104" i="13"/>
  <c r="L99" i="13"/>
  <c r="L109" i="13"/>
  <c r="L105" i="13"/>
  <c r="M108" i="13"/>
  <c r="M101" i="13"/>
  <c r="M104" i="13"/>
  <c r="M99" i="13"/>
  <c r="M109" i="13"/>
  <c r="M105" i="13"/>
  <c r="N108" i="13"/>
  <c r="N101" i="13"/>
  <c r="N104" i="13"/>
  <c r="N99" i="13"/>
  <c r="N109" i="13"/>
  <c r="N105" i="13"/>
  <c r="G109" i="13"/>
  <c r="G105" i="13"/>
  <c r="G101" i="13"/>
  <c r="G104" i="13"/>
  <c r="G99" i="13"/>
  <c r="G108" i="13"/>
  <c r="H109" i="13"/>
  <c r="H105" i="13"/>
  <c r="H108" i="13"/>
  <c r="H101" i="13"/>
  <c r="H104" i="13"/>
  <c r="H99" i="13"/>
  <c r="J101" i="13"/>
  <c r="J104" i="13"/>
  <c r="J108" i="13"/>
  <c r="J99" i="13"/>
  <c r="J109" i="13"/>
  <c r="J105" i="13"/>
  <c r="N61" i="13"/>
  <c r="N58" i="13"/>
  <c r="N55" i="13"/>
  <c r="N53" i="13"/>
  <c r="N59" i="13"/>
  <c r="N56" i="13"/>
  <c r="N52" i="13"/>
  <c r="N60" i="13"/>
  <c r="N57" i="13"/>
  <c r="N54" i="13"/>
  <c r="G59" i="13"/>
  <c r="G56" i="13"/>
  <c r="G53" i="13"/>
  <c r="G60" i="13"/>
  <c r="G55" i="13"/>
  <c r="G61" i="13"/>
  <c r="G58" i="13"/>
  <c r="G57" i="13"/>
  <c r="G54" i="13"/>
  <c r="G52" i="13"/>
  <c r="H61" i="13"/>
  <c r="H60" i="13"/>
  <c r="H59" i="13"/>
  <c r="H58" i="13"/>
  <c r="H57" i="13"/>
  <c r="H56" i="13"/>
  <c r="H55" i="13"/>
  <c r="H54" i="13"/>
  <c r="H53" i="13"/>
  <c r="H52" i="13"/>
  <c r="J61" i="13"/>
  <c r="J60" i="13"/>
  <c r="J59" i="13"/>
  <c r="J58" i="13"/>
  <c r="J57" i="13"/>
  <c r="J56" i="13"/>
  <c r="J55" i="13"/>
  <c r="J54" i="13"/>
  <c r="J53" i="13"/>
  <c r="J52" i="13"/>
  <c r="I61" i="13"/>
  <c r="I60" i="13"/>
  <c r="I59" i="13"/>
  <c r="I58" i="13"/>
  <c r="I57" i="13"/>
  <c r="I56" i="13"/>
  <c r="I55" i="13"/>
  <c r="I54" i="13"/>
  <c r="I53" i="13"/>
  <c r="I52" i="13"/>
  <c r="K61" i="13"/>
  <c r="K60" i="13"/>
  <c r="K59" i="13"/>
  <c r="K57" i="13"/>
  <c r="K56" i="13"/>
  <c r="K55" i="13"/>
  <c r="K54" i="13"/>
  <c r="K52" i="13"/>
  <c r="K58" i="13"/>
  <c r="K53" i="13"/>
  <c r="L61" i="13"/>
  <c r="L60" i="13"/>
  <c r="L59" i="13"/>
  <c r="L58" i="13"/>
  <c r="L57" i="13"/>
  <c r="L56" i="13"/>
  <c r="L55" i="13"/>
  <c r="L54" i="13"/>
  <c r="L53" i="13"/>
  <c r="L52" i="13"/>
  <c r="M61" i="13"/>
  <c r="M60" i="13"/>
  <c r="M59" i="13"/>
  <c r="M58" i="13"/>
  <c r="M57" i="13"/>
  <c r="M56" i="13"/>
  <c r="M55" i="13"/>
  <c r="M54" i="13"/>
  <c r="M53" i="13"/>
  <c r="M52" i="13"/>
  <c r="G41" i="13"/>
  <c r="G69" i="13" s="1"/>
  <c r="G44" i="13"/>
  <c r="G45" i="13"/>
  <c r="N45" i="13"/>
  <c r="N44" i="13"/>
  <c r="N41" i="13"/>
  <c r="N88" i="13" s="1"/>
  <c r="H45" i="13"/>
  <c r="H44" i="13"/>
  <c r="H41" i="13"/>
  <c r="H65" i="13" s="1"/>
  <c r="J45" i="13"/>
  <c r="J44" i="13"/>
  <c r="J41" i="13"/>
  <c r="J47" i="13" s="1"/>
  <c r="I45" i="13"/>
  <c r="I44" i="13"/>
  <c r="I41" i="13"/>
  <c r="I75" i="13" s="1"/>
  <c r="K45" i="13"/>
  <c r="K44" i="13"/>
  <c r="K41" i="13"/>
  <c r="K73" i="13" s="1"/>
  <c r="L45" i="13"/>
  <c r="L44" i="13"/>
  <c r="L41" i="13"/>
  <c r="L63" i="13" s="1"/>
  <c r="M45" i="13"/>
  <c r="M44" i="13"/>
  <c r="M41" i="13"/>
  <c r="M85" i="13" s="1"/>
  <c r="BH706" i="4"/>
  <c r="BH712" i="4"/>
  <c r="BH718" i="4"/>
  <c r="BH723" i="4"/>
  <c r="BH733" i="4"/>
  <c r="BH738" i="4"/>
  <c r="BH750" i="4"/>
  <c r="BH761" i="4"/>
  <c r="BH773" i="4"/>
  <c r="BH796" i="4"/>
  <c r="BH802" i="4"/>
  <c r="BH748" i="4"/>
  <c r="BH754" i="4"/>
  <c r="BH766" i="4"/>
  <c r="BH777" i="4"/>
  <c r="BH789" i="4"/>
  <c r="BH812" i="4"/>
  <c r="BH704" i="4"/>
  <c r="BH710" i="4"/>
  <c r="BH794" i="4"/>
  <c r="BH709" i="4"/>
  <c r="BH715" i="4"/>
  <c r="BH741" i="4"/>
  <c r="BH764" i="4"/>
  <c r="BH770" i="4"/>
  <c r="BH782" i="4"/>
  <c r="BH793" i="4"/>
  <c r="BH805" i="4"/>
  <c r="BH714" i="4"/>
  <c r="BH746" i="4"/>
  <c r="BH781" i="4"/>
  <c r="BH804" i="4"/>
  <c r="BH810" i="4"/>
  <c r="BH729" i="4"/>
  <c r="BH745" i="4"/>
  <c r="BH757" i="4"/>
  <c r="BH780" i="4"/>
  <c r="BH786" i="4"/>
  <c r="BH798" i="4"/>
  <c r="BH809" i="4"/>
  <c r="AO224" i="4"/>
  <c r="AO216" i="4"/>
  <c r="AO232" i="4"/>
  <c r="AO217" i="4"/>
  <c r="AO225" i="4"/>
  <c r="AO233" i="4"/>
  <c r="AO241" i="4"/>
  <c r="AO249" i="4"/>
  <c r="AO257" i="4"/>
  <c r="AO265" i="4"/>
  <c r="AO273" i="4"/>
  <c r="AO281" i="4"/>
  <c r="AO289" i="4"/>
  <c r="AO297" i="4"/>
  <c r="AO305" i="4"/>
  <c r="AO313" i="4"/>
  <c r="AO321" i="4"/>
  <c r="BH324" i="4"/>
  <c r="AO329" i="4"/>
  <c r="BH332" i="4"/>
  <c r="AO337" i="4"/>
  <c r="BH340" i="4"/>
  <c r="AO345" i="4"/>
  <c r="BH348" i="4"/>
  <c r="AO353" i="4"/>
  <c r="BH356" i="4"/>
  <c r="AO361" i="4"/>
  <c r="BH364" i="4"/>
  <c r="AO369" i="4"/>
  <c r="BH372" i="4"/>
  <c r="AO377" i="4"/>
  <c r="BH380" i="4"/>
  <c r="AO385" i="4"/>
  <c r="BH388" i="4"/>
  <c r="AO393" i="4"/>
  <c r="BH396" i="4"/>
  <c r="AO401" i="4"/>
  <c r="BH404" i="4"/>
  <c r="AO409" i="4"/>
  <c r="BH412" i="4"/>
  <c r="AO417" i="4"/>
  <c r="BH420" i="4"/>
  <c r="AO425" i="4"/>
  <c r="BH428" i="4"/>
  <c r="AO433" i="4"/>
  <c r="BH436" i="4"/>
  <c r="AO441" i="4"/>
  <c r="BH444" i="4"/>
  <c r="AO449" i="4"/>
  <c r="BH452" i="4"/>
  <c r="AO457" i="4"/>
  <c r="BH460" i="4"/>
  <c r="AO465" i="4"/>
  <c r="AO473" i="4"/>
  <c r="AO481" i="4"/>
  <c r="AO493" i="4"/>
  <c r="AO494" i="4"/>
  <c r="BH497" i="4"/>
  <c r="AO504" i="4"/>
  <c r="BH665" i="4"/>
  <c r="AO709" i="4"/>
  <c r="AO218" i="4"/>
  <c r="AO226" i="4"/>
  <c r="AO234" i="4"/>
  <c r="AO242" i="4"/>
  <c r="AO250" i="4"/>
  <c r="AO258" i="4"/>
  <c r="AO266" i="4"/>
  <c r="AO274" i="4"/>
  <c r="AO282" i="4"/>
  <c r="AO290" i="4"/>
  <c r="AO298" i="4"/>
  <c r="AO306" i="4"/>
  <c r="AO314" i="4"/>
  <c r="AO322" i="4"/>
  <c r="AO330" i="4"/>
  <c r="AO338" i="4"/>
  <c r="AO346" i="4"/>
  <c r="AO354" i="4"/>
  <c r="AO362" i="4"/>
  <c r="AO370" i="4"/>
  <c r="AO378" i="4"/>
  <c r="AO386" i="4"/>
  <c r="AO394" i="4"/>
  <c r="AO402" i="4"/>
  <c r="AO410" i="4"/>
  <c r="AO418" i="4"/>
  <c r="AO426" i="4"/>
  <c r="AO434" i="4"/>
  <c r="AO442" i="4"/>
  <c r="AO450" i="4"/>
  <c r="AO458" i="4"/>
  <c r="AO466" i="4"/>
  <c r="AO474" i="4"/>
  <c r="AO482" i="4"/>
  <c r="AO484" i="4"/>
  <c r="BH491" i="4"/>
  <c r="AO495" i="4"/>
  <c r="BH521" i="4"/>
  <c r="BH657" i="4"/>
  <c r="AO701" i="4"/>
  <c r="AO209" i="4"/>
  <c r="AO1072" i="4"/>
  <c r="AO1064" i="4"/>
  <c r="AO1056" i="4"/>
  <c r="AO1048" i="4"/>
  <c r="AO1040" i="4"/>
  <c r="AO1032" i="4"/>
  <c r="AO1024" i="4"/>
  <c r="AO1016" i="4"/>
  <c r="AO1008" i="4"/>
  <c r="AO1000" i="4"/>
  <c r="AO992" i="4"/>
  <c r="AO984" i="4"/>
  <c r="AO976" i="4"/>
  <c r="AO968" i="4"/>
  <c r="AO960" i="4"/>
  <c r="AO952" i="4"/>
  <c r="AO944" i="4"/>
  <c r="AO936" i="4"/>
  <c r="AO928" i="4"/>
  <c r="AO920" i="4"/>
  <c r="AO912" i="4"/>
  <c r="AO904" i="4"/>
  <c r="AO896" i="4"/>
  <c r="AO888" i="4"/>
  <c r="AO880" i="4"/>
  <c r="AO872" i="4"/>
  <c r="AO864" i="4"/>
  <c r="AO856" i="4"/>
  <c r="AO848" i="4"/>
  <c r="AO840" i="4"/>
  <c r="AO832" i="4"/>
  <c r="AO824" i="4"/>
  <c r="AO816" i="4"/>
  <c r="AO808" i="4"/>
  <c r="AO800" i="4"/>
  <c r="AO792" i="4"/>
  <c r="AO784" i="4"/>
  <c r="AO776" i="4"/>
  <c r="AO768" i="4"/>
  <c r="AO760" i="4"/>
  <c r="AO752" i="4"/>
  <c r="AO744" i="4"/>
  <c r="AO736" i="4"/>
  <c r="AO728" i="4"/>
  <c r="AO1071" i="4"/>
  <c r="AO1063" i="4"/>
  <c r="AO1055" i="4"/>
  <c r="AO1047" i="4"/>
  <c r="AO1039" i="4"/>
  <c r="AO1031" i="4"/>
  <c r="AO1023" i="4"/>
  <c r="AO1015" i="4"/>
  <c r="AO1007" i="4"/>
  <c r="AO999" i="4"/>
  <c r="AO991" i="4"/>
  <c r="AO983" i="4"/>
  <c r="AO975" i="4"/>
  <c r="AO967" i="4"/>
  <c r="AO959" i="4"/>
  <c r="AO951" i="4"/>
  <c r="AO943" i="4"/>
  <c r="AO935" i="4"/>
  <c r="AO927" i="4"/>
  <c r="AO919" i="4"/>
  <c r="AO911" i="4"/>
  <c r="AO903" i="4"/>
  <c r="AO895" i="4"/>
  <c r="AO887" i="4"/>
  <c r="AO879" i="4"/>
  <c r="AO871" i="4"/>
  <c r="AO863" i="4"/>
  <c r="AO855" i="4"/>
  <c r="AO847" i="4"/>
  <c r="AO839" i="4"/>
  <c r="AO831" i="4"/>
  <c r="AO823" i="4"/>
  <c r="AO815" i="4"/>
  <c r="AO807" i="4"/>
  <c r="AO799" i="4"/>
  <c r="AO791" i="4"/>
  <c r="AO783" i="4"/>
  <c r="AO1070" i="4"/>
  <c r="AO1062" i="4"/>
  <c r="AO1054" i="4"/>
  <c r="AO1046" i="4"/>
  <c r="AO1038" i="4"/>
  <c r="AO1030" i="4"/>
  <c r="AO1022" i="4"/>
  <c r="AO1014" i="4"/>
  <c r="AO1006" i="4"/>
  <c r="AO998" i="4"/>
  <c r="AO990" i="4"/>
  <c r="AO982" i="4"/>
  <c r="AO974" i="4"/>
  <c r="AO966" i="4"/>
  <c r="AO958" i="4"/>
  <c r="AO950" i="4"/>
  <c r="AO942" i="4"/>
  <c r="AO934" i="4"/>
  <c r="AO926" i="4"/>
  <c r="AO918" i="4"/>
  <c r="AO910" i="4"/>
  <c r="AO902" i="4"/>
  <c r="AO894" i="4"/>
  <c r="AO886" i="4"/>
  <c r="AO878" i="4"/>
  <c r="AO870" i="4"/>
  <c r="AO862" i="4"/>
  <c r="AO854" i="4"/>
  <c r="AO846" i="4"/>
  <c r="AO838" i="4"/>
  <c r="AO830" i="4"/>
  <c r="AO822" i="4"/>
  <c r="AO814" i="4"/>
  <c r="AO806" i="4"/>
  <c r="AO798" i="4"/>
  <c r="AO790" i="4"/>
  <c r="AO782" i="4"/>
  <c r="AO774" i="4"/>
  <c r="AO766" i="4"/>
  <c r="AO758" i="4"/>
  <c r="AO750" i="4"/>
  <c r="AO742" i="4"/>
  <c r="AO1069" i="4"/>
  <c r="AO1061" i="4"/>
  <c r="AO1053" i="4"/>
  <c r="AO1045" i="4"/>
  <c r="AO1037" i="4"/>
  <c r="AO1029" i="4"/>
  <c r="AO1021" i="4"/>
  <c r="AO1013" i="4"/>
  <c r="AO1005" i="4"/>
  <c r="AO997" i="4"/>
  <c r="AO989" i="4"/>
  <c r="AO981" i="4"/>
  <c r="AO973" i="4"/>
  <c r="AO965" i="4"/>
  <c r="AO957" i="4"/>
  <c r="AO949" i="4"/>
  <c r="AO941" i="4"/>
  <c r="AO933" i="4"/>
  <c r="AO925" i="4"/>
  <c r="AO917" i="4"/>
  <c r="AO909" i="4"/>
  <c r="AO901" i="4"/>
  <c r="AO893" i="4"/>
  <c r="AO885" i="4"/>
  <c r="AO877" i="4"/>
  <c r="AO869" i="4"/>
  <c r="AO861" i="4"/>
  <c r="AO853" i="4"/>
  <c r="AO845" i="4"/>
  <c r="AO837" i="4"/>
  <c r="AO829" i="4"/>
  <c r="AO821" i="4"/>
  <c r="AO813" i="4"/>
  <c r="AO805" i="4"/>
  <c r="AO797" i="4"/>
  <c r="AO789" i="4"/>
  <c r="AO781" i="4"/>
  <c r="AO773" i="4"/>
  <c r="AO765" i="4"/>
  <c r="AO757" i="4"/>
  <c r="AO749" i="4"/>
  <c r="AO741" i="4"/>
  <c r="AO733" i="4"/>
  <c r="AO725" i="4"/>
  <c r="AO1068" i="4"/>
  <c r="AO1060" i="4"/>
  <c r="AO1052" i="4"/>
  <c r="AO1044" i="4"/>
  <c r="AO1036" i="4"/>
  <c r="AO1028" i="4"/>
  <c r="AO1020" i="4"/>
  <c r="AO1012" i="4"/>
  <c r="AO1004" i="4"/>
  <c r="AO996" i="4"/>
  <c r="AO988" i="4"/>
  <c r="AO980" i="4"/>
  <c r="AO972" i="4"/>
  <c r="AO964" i="4"/>
  <c r="AO956" i="4"/>
  <c r="AO948" i="4"/>
  <c r="AO940" i="4"/>
  <c r="AO932" i="4"/>
  <c r="AO924" i="4"/>
  <c r="AO916" i="4"/>
  <c r="AO908" i="4"/>
  <c r="AO900" i="4"/>
  <c r="AO892" i="4"/>
  <c r="AO884" i="4"/>
  <c r="AO876" i="4"/>
  <c r="AO868" i="4"/>
  <c r="AO860" i="4"/>
  <c r="AO852" i="4"/>
  <c r="AO844" i="4"/>
  <c r="AO836" i="4"/>
  <c r="AO828" i="4"/>
  <c r="AO820" i="4"/>
  <c r="AO812" i="4"/>
  <c r="AO804" i="4"/>
  <c r="AO796" i="4"/>
  <c r="AO788" i="4"/>
  <c r="AO780" i="4"/>
  <c r="AO772" i="4"/>
  <c r="AO764" i="4"/>
  <c r="AO756" i="4"/>
  <c r="AO748" i="4"/>
  <c r="AO740" i="4"/>
  <c r="AO732" i="4"/>
  <c r="AO1067" i="4"/>
  <c r="AO1059" i="4"/>
  <c r="AO1051" i="4"/>
  <c r="AO1043" i="4"/>
  <c r="AO1035" i="4"/>
  <c r="AO1027" i="4"/>
  <c r="AO1019" i="4"/>
  <c r="AO1011" i="4"/>
  <c r="AO1003" i="4"/>
  <c r="AO995" i="4"/>
  <c r="AO987" i="4"/>
  <c r="AO979" i="4"/>
  <c r="AO971" i="4"/>
  <c r="AO963" i="4"/>
  <c r="AO955" i="4"/>
  <c r="AO947" i="4"/>
  <c r="AO939" i="4"/>
  <c r="AO931" i="4"/>
  <c r="AO923" i="4"/>
  <c r="AO915" i="4"/>
  <c r="AO907" i="4"/>
  <c r="AO899" i="4"/>
  <c r="AO891" i="4"/>
  <c r="AO883" i="4"/>
  <c r="AO875" i="4"/>
  <c r="AO867" i="4"/>
  <c r="AO859" i="4"/>
  <c r="AO851" i="4"/>
  <c r="AO843" i="4"/>
  <c r="AO835" i="4"/>
  <c r="AO827" i="4"/>
  <c r="AO819" i="4"/>
  <c r="AO811" i="4"/>
  <c r="AO803" i="4"/>
  <c r="AO795" i="4"/>
  <c r="AO787" i="4"/>
  <c r="AO779" i="4"/>
  <c r="AO771" i="4"/>
  <c r="AO763" i="4"/>
  <c r="AO755" i="4"/>
  <c r="AO1066" i="4"/>
  <c r="AO1058" i="4"/>
  <c r="AO1050" i="4"/>
  <c r="AO1042" i="4"/>
  <c r="AO1034" i="4"/>
  <c r="AO1026" i="4"/>
  <c r="AO1018" i="4"/>
  <c r="AO1010" i="4"/>
  <c r="AO1002" i="4"/>
  <c r="AO994" i="4"/>
  <c r="AO986" i="4"/>
  <c r="AO978" i="4"/>
  <c r="AO970" i="4"/>
  <c r="AO962" i="4"/>
  <c r="AO954" i="4"/>
  <c r="AO946" i="4"/>
  <c r="AO938" i="4"/>
  <c r="AO930" i="4"/>
  <c r="AO922" i="4"/>
  <c r="AO914" i="4"/>
  <c r="AO906" i="4"/>
  <c r="AO898" i="4"/>
  <c r="AO890" i="4"/>
  <c r="AO882" i="4"/>
  <c r="AO874" i="4"/>
  <c r="AO866" i="4"/>
  <c r="AO858" i="4"/>
  <c r="AO850" i="4"/>
  <c r="AO842" i="4"/>
  <c r="AO834" i="4"/>
  <c r="AO826" i="4"/>
  <c r="AO818" i="4"/>
  <c r="AO810" i="4"/>
  <c r="AO802" i="4"/>
  <c r="AO794" i="4"/>
  <c r="AO786" i="4"/>
  <c r="AO778" i="4"/>
  <c r="AO770" i="4"/>
  <c r="AO762" i="4"/>
  <c r="AO754" i="4"/>
  <c r="AO746" i="4"/>
  <c r="AO1065" i="4"/>
  <c r="AO1057" i="4"/>
  <c r="AO1049" i="4"/>
  <c r="AO1041" i="4"/>
  <c r="AO1033" i="4"/>
  <c r="AO1025" i="4"/>
  <c r="AO1017" i="4"/>
  <c r="AO1009" i="4"/>
  <c r="AO1001" i="4"/>
  <c r="AO993" i="4"/>
  <c r="AO985" i="4"/>
  <c r="AO977" i="4"/>
  <c r="AO969" i="4"/>
  <c r="AO961" i="4"/>
  <c r="AO953" i="4"/>
  <c r="AO945" i="4"/>
  <c r="AO937" i="4"/>
  <c r="AO929" i="4"/>
  <c r="AO921" i="4"/>
  <c r="AO913" i="4"/>
  <c r="AO905" i="4"/>
  <c r="AO897" i="4"/>
  <c r="AO889" i="4"/>
  <c r="AO881" i="4"/>
  <c r="AO873" i="4"/>
  <c r="AO865" i="4"/>
  <c r="AO857" i="4"/>
  <c r="AO849" i="4"/>
  <c r="AO841" i="4"/>
  <c r="AO833" i="4"/>
  <c r="AO825" i="4"/>
  <c r="AO817" i="4"/>
  <c r="AO809" i="4"/>
  <c r="AO801" i="4"/>
  <c r="AO793" i="4"/>
  <c r="AO785" i="4"/>
  <c r="AO777" i="4"/>
  <c r="AO769" i="4"/>
  <c r="AO761" i="4"/>
  <c r="AO753" i="4"/>
  <c r="AO745" i="4"/>
  <c r="AO737" i="4"/>
  <c r="AO767" i="4"/>
  <c r="AO731" i="4"/>
  <c r="AO730" i="4"/>
  <c r="AO727" i="4"/>
  <c r="AO716" i="4"/>
  <c r="AO708" i="4"/>
  <c r="AO700" i="4"/>
  <c r="AO692" i="4"/>
  <c r="AO684" i="4"/>
  <c r="AO676" i="4"/>
  <c r="AO668" i="4"/>
  <c r="AO660" i="4"/>
  <c r="AO652" i="4"/>
  <c r="AO644" i="4"/>
  <c r="AO636" i="4"/>
  <c r="AO628" i="4"/>
  <c r="AO620" i="4"/>
  <c r="AO612" i="4"/>
  <c r="AO604" i="4"/>
  <c r="AO596" i="4"/>
  <c r="AO588" i="4"/>
  <c r="AO580" i="4"/>
  <c r="AO572" i="4"/>
  <c r="AO564" i="4"/>
  <c r="AO556" i="4"/>
  <c r="AO548" i="4"/>
  <c r="AO540" i="4"/>
  <c r="AO532" i="4"/>
  <c r="AO524" i="4"/>
  <c r="AO516" i="4"/>
  <c r="AO508" i="4"/>
  <c r="AO500" i="4"/>
  <c r="AO492" i="4"/>
  <c r="AO775" i="4"/>
  <c r="AO734" i="4"/>
  <c r="AO729" i="4"/>
  <c r="AO726" i="4"/>
  <c r="AO724" i="4"/>
  <c r="AO715" i="4"/>
  <c r="AO707" i="4"/>
  <c r="AO699" i="4"/>
  <c r="AO691" i="4"/>
  <c r="AO683" i="4"/>
  <c r="AO675" i="4"/>
  <c r="AO667" i="4"/>
  <c r="AO659" i="4"/>
  <c r="AO651" i="4"/>
  <c r="AO643" i="4"/>
  <c r="AO635" i="4"/>
  <c r="AO627" i="4"/>
  <c r="AO619" i="4"/>
  <c r="AO611" i="4"/>
  <c r="AO603" i="4"/>
  <c r="AO595" i="4"/>
  <c r="AO587" i="4"/>
  <c r="AO579" i="4"/>
  <c r="AO571" i="4"/>
  <c r="AO563" i="4"/>
  <c r="AO555" i="4"/>
  <c r="AO547" i="4"/>
  <c r="AO539" i="4"/>
  <c r="AO531" i="4"/>
  <c r="AO523" i="4"/>
  <c r="AO515" i="4"/>
  <c r="AO507" i="4"/>
  <c r="AO499" i="4"/>
  <c r="AO491" i="4"/>
  <c r="AO483" i="4"/>
  <c r="AO735" i="4"/>
  <c r="AO723" i="4"/>
  <c r="AO714" i="4"/>
  <c r="AO706" i="4"/>
  <c r="AO698" i="4"/>
  <c r="AO690" i="4"/>
  <c r="AO682" i="4"/>
  <c r="AO674" i="4"/>
  <c r="AO666" i="4"/>
  <c r="AO658" i="4"/>
  <c r="AO650" i="4"/>
  <c r="AO642" i="4"/>
  <c r="AO634" i="4"/>
  <c r="AO626" i="4"/>
  <c r="AO618" i="4"/>
  <c r="AO610" i="4"/>
  <c r="AO602" i="4"/>
  <c r="AO594" i="4"/>
  <c r="AO586" i="4"/>
  <c r="AO578" i="4"/>
  <c r="AO570" i="4"/>
  <c r="AO562" i="4"/>
  <c r="AO554" i="4"/>
  <c r="AO546" i="4"/>
  <c r="AO538" i="4"/>
  <c r="AO530" i="4"/>
  <c r="AO522" i="4"/>
  <c r="AO514" i="4"/>
  <c r="AO506" i="4"/>
  <c r="AO498" i="4"/>
  <c r="AO490" i="4"/>
  <c r="AO747" i="4"/>
  <c r="AO722" i="4"/>
  <c r="AO713" i="4"/>
  <c r="AO705" i="4"/>
  <c r="AO697" i="4"/>
  <c r="AO689" i="4"/>
  <c r="AO681" i="4"/>
  <c r="AO673" i="4"/>
  <c r="AO665" i="4"/>
  <c r="AO657" i="4"/>
  <c r="AO649" i="4"/>
  <c r="AO641" i="4"/>
  <c r="AO633" i="4"/>
  <c r="AO625" i="4"/>
  <c r="AO617" i="4"/>
  <c r="AO609" i="4"/>
  <c r="AO601" i="4"/>
  <c r="AO593" i="4"/>
  <c r="AO585" i="4"/>
  <c r="AO577" i="4"/>
  <c r="AO569" i="4"/>
  <c r="AO561" i="4"/>
  <c r="AO553" i="4"/>
  <c r="AO545" i="4"/>
  <c r="AO537" i="4"/>
  <c r="AO529" i="4"/>
  <c r="AO521" i="4"/>
  <c r="AO513" i="4"/>
  <c r="AO505" i="4"/>
  <c r="AO497" i="4"/>
  <c r="AO489" i="4"/>
  <c r="AO739" i="4"/>
  <c r="AO738" i="4"/>
  <c r="AO721" i="4"/>
  <c r="AO712" i="4"/>
  <c r="AO704" i="4"/>
  <c r="AO696" i="4"/>
  <c r="AO688" i="4"/>
  <c r="AO680" i="4"/>
  <c r="AO672" i="4"/>
  <c r="AO664" i="4"/>
  <c r="AO656" i="4"/>
  <c r="AO648" i="4"/>
  <c r="AO640" i="4"/>
  <c r="AO632" i="4"/>
  <c r="AO624" i="4"/>
  <c r="AO616" i="4"/>
  <c r="AO608" i="4"/>
  <c r="AO600" i="4"/>
  <c r="AO592" i="4"/>
  <c r="AO584" i="4"/>
  <c r="AO576" i="4"/>
  <c r="AO568" i="4"/>
  <c r="AO560" i="4"/>
  <c r="AO552" i="4"/>
  <c r="AO544" i="4"/>
  <c r="AO536" i="4"/>
  <c r="AO528" i="4"/>
  <c r="AO720" i="4"/>
  <c r="AO719" i="4"/>
  <c r="AO711" i="4"/>
  <c r="AO703" i="4"/>
  <c r="AO695" i="4"/>
  <c r="AO687" i="4"/>
  <c r="AO679" i="4"/>
  <c r="AO671" i="4"/>
  <c r="AO663" i="4"/>
  <c r="AO655" i="4"/>
  <c r="AO647" i="4"/>
  <c r="AO639" i="4"/>
  <c r="AO631" i="4"/>
  <c r="AO623" i="4"/>
  <c r="AO615" i="4"/>
  <c r="AO607" i="4"/>
  <c r="AO599" i="4"/>
  <c r="AO591" i="4"/>
  <c r="AO583" i="4"/>
  <c r="AO575" i="4"/>
  <c r="AO567" i="4"/>
  <c r="AO559" i="4"/>
  <c r="AO551" i="4"/>
  <c r="AO543" i="4"/>
  <c r="AO535" i="4"/>
  <c r="AO527" i="4"/>
  <c r="AO519" i="4"/>
  <c r="AO511" i="4"/>
  <c r="AO751" i="4"/>
  <c r="AO718" i="4"/>
  <c r="AO710" i="4"/>
  <c r="AO702" i="4"/>
  <c r="AO694" i="4"/>
  <c r="AO686" i="4"/>
  <c r="AO678" i="4"/>
  <c r="AO670" i="4"/>
  <c r="AO662" i="4"/>
  <c r="AO654" i="4"/>
  <c r="AO646" i="4"/>
  <c r="AO638" i="4"/>
  <c r="AO630" i="4"/>
  <c r="AO622" i="4"/>
  <c r="AO614" i="4"/>
  <c r="AO606" i="4"/>
  <c r="AO598" i="4"/>
  <c r="AO590" i="4"/>
  <c r="AO582" i="4"/>
  <c r="AO574" i="4"/>
  <c r="AO566" i="4"/>
  <c r="AO558" i="4"/>
  <c r="AO550" i="4"/>
  <c r="AO542" i="4"/>
  <c r="AO534" i="4"/>
  <c r="AO526" i="4"/>
  <c r="AO518" i="4"/>
  <c r="AO510" i="4"/>
  <c r="AO219" i="4"/>
  <c r="AO227" i="4"/>
  <c r="AO235" i="4"/>
  <c r="AO243" i="4"/>
  <c r="AO251" i="4"/>
  <c r="AO259" i="4"/>
  <c r="AO267" i="4"/>
  <c r="AO275" i="4"/>
  <c r="AO283" i="4"/>
  <c r="AO291" i="4"/>
  <c r="AO299" i="4"/>
  <c r="AO307" i="4"/>
  <c r="AO315" i="4"/>
  <c r="BH318" i="4"/>
  <c r="AO323" i="4"/>
  <c r="BH326" i="4"/>
  <c r="AO331" i="4"/>
  <c r="BH334" i="4"/>
  <c r="AO339" i="4"/>
  <c r="BH342" i="4"/>
  <c r="AO347" i="4"/>
  <c r="BH350" i="4"/>
  <c r="AO355" i="4"/>
  <c r="BH358" i="4"/>
  <c r="AO363" i="4"/>
  <c r="BH366" i="4"/>
  <c r="AO371" i="4"/>
  <c r="BH374" i="4"/>
  <c r="AO379" i="4"/>
  <c r="BH382" i="4"/>
  <c r="AO387" i="4"/>
  <c r="BH390" i="4"/>
  <c r="AO395" i="4"/>
  <c r="BH398" i="4"/>
  <c r="AO403" i="4"/>
  <c r="BH406" i="4"/>
  <c r="AO411" i="4"/>
  <c r="BH414" i="4"/>
  <c r="AO419" i="4"/>
  <c r="BH422" i="4"/>
  <c r="AO427" i="4"/>
  <c r="BH430" i="4"/>
  <c r="AO435" i="4"/>
  <c r="BH438" i="4"/>
  <c r="AO443" i="4"/>
  <c r="BH446" i="4"/>
  <c r="AO451" i="4"/>
  <c r="BH454" i="4"/>
  <c r="AO459" i="4"/>
  <c r="BH462" i="4"/>
  <c r="AO467" i="4"/>
  <c r="BH470" i="4"/>
  <c r="AO475" i="4"/>
  <c r="BH478" i="4"/>
  <c r="AO485" i="4"/>
  <c r="AO486" i="4"/>
  <c r="BH489" i="4"/>
  <c r="AO496" i="4"/>
  <c r="BH508" i="4"/>
  <c r="AO512" i="4"/>
  <c r="BH529" i="4"/>
  <c r="BH537" i="4"/>
  <c r="BH545" i="4"/>
  <c r="BH553" i="4"/>
  <c r="BH561" i="4"/>
  <c r="BH569" i="4"/>
  <c r="BH577" i="4"/>
  <c r="BH585" i="4"/>
  <c r="BH593" i="4"/>
  <c r="BH601" i="4"/>
  <c r="BH609" i="4"/>
  <c r="BH617" i="4"/>
  <c r="BH625" i="4"/>
  <c r="BH633" i="4"/>
  <c r="BH641" i="4"/>
  <c r="BH649" i="4"/>
  <c r="AO693" i="4"/>
  <c r="BH713" i="4"/>
  <c r="AO220" i="4"/>
  <c r="AO228" i="4"/>
  <c r="AO236" i="4"/>
  <c r="AO244" i="4"/>
  <c r="AO252" i="4"/>
  <c r="AO260" i="4"/>
  <c r="AO268" i="4"/>
  <c r="AO276" i="4"/>
  <c r="AO284" i="4"/>
  <c r="AO292" i="4"/>
  <c r="AO300" i="4"/>
  <c r="AO308" i="4"/>
  <c r="AO316" i="4"/>
  <c r="AO324" i="4"/>
  <c r="AO332" i="4"/>
  <c r="AO340" i="4"/>
  <c r="AO348" i="4"/>
  <c r="AO356" i="4"/>
  <c r="AO364" i="4"/>
  <c r="AO372" i="4"/>
  <c r="AO380" i="4"/>
  <c r="AO388" i="4"/>
  <c r="AO396" i="4"/>
  <c r="AO404" i="4"/>
  <c r="AO412" i="4"/>
  <c r="AO420" i="4"/>
  <c r="AO428" i="4"/>
  <c r="AO436" i="4"/>
  <c r="AO444" i="4"/>
  <c r="AO452" i="4"/>
  <c r="AO460" i="4"/>
  <c r="AO468" i="4"/>
  <c r="AO476" i="4"/>
  <c r="AO487" i="4"/>
  <c r="AO509" i="4"/>
  <c r="AO685" i="4"/>
  <c r="BH705" i="4"/>
  <c r="AO221" i="4"/>
  <c r="AO229" i="4"/>
  <c r="AO237" i="4"/>
  <c r="AO245" i="4"/>
  <c r="AO253" i="4"/>
  <c r="AO261" i="4"/>
  <c r="AO269" i="4"/>
  <c r="AO277" i="4"/>
  <c r="AO285" i="4"/>
  <c r="AO293" i="4"/>
  <c r="AO301" i="4"/>
  <c r="AO309" i="4"/>
  <c r="AO317" i="4"/>
  <c r="BH320" i="4"/>
  <c r="AO325" i="4"/>
  <c r="BH328" i="4"/>
  <c r="AO333" i="4"/>
  <c r="BH336" i="4"/>
  <c r="AO341" i="4"/>
  <c r="BH344" i="4"/>
  <c r="AO349" i="4"/>
  <c r="BH352" i="4"/>
  <c r="AO357" i="4"/>
  <c r="BH360" i="4"/>
  <c r="AO365" i="4"/>
  <c r="BH368" i="4"/>
  <c r="AO373" i="4"/>
  <c r="BH376" i="4"/>
  <c r="AO381" i="4"/>
  <c r="BH384" i="4"/>
  <c r="AO389" i="4"/>
  <c r="BH392" i="4"/>
  <c r="AO397" i="4"/>
  <c r="BH400" i="4"/>
  <c r="AO405" i="4"/>
  <c r="BH408" i="4"/>
  <c r="AO413" i="4"/>
  <c r="BH416" i="4"/>
  <c r="AO421" i="4"/>
  <c r="BH424" i="4"/>
  <c r="AO429" i="4"/>
  <c r="BH432" i="4"/>
  <c r="AO437" i="4"/>
  <c r="AO445" i="4"/>
  <c r="AO453" i="4"/>
  <c r="AO461" i="4"/>
  <c r="AO469" i="4"/>
  <c r="AO477" i="4"/>
  <c r="AO488" i="4"/>
  <c r="BH516" i="4"/>
  <c r="AO520" i="4"/>
  <c r="AO677" i="4"/>
  <c r="BH697" i="4"/>
  <c r="BH739" i="4"/>
  <c r="AO214" i="4"/>
  <c r="AO222" i="4"/>
  <c r="AO230" i="4"/>
  <c r="AO238" i="4"/>
  <c r="AO246" i="4"/>
  <c r="AO254" i="4"/>
  <c r="AO262" i="4"/>
  <c r="AO270" i="4"/>
  <c r="AO278" i="4"/>
  <c r="AO286" i="4"/>
  <c r="AO294" i="4"/>
  <c r="AO302" i="4"/>
  <c r="AO310" i="4"/>
  <c r="AO318" i="4"/>
  <c r="AO326" i="4"/>
  <c r="AO334" i="4"/>
  <c r="AO342" i="4"/>
  <c r="AO350" i="4"/>
  <c r="AO358" i="4"/>
  <c r="AO366" i="4"/>
  <c r="AO374" i="4"/>
  <c r="AO382" i="4"/>
  <c r="AO390" i="4"/>
  <c r="AO398" i="4"/>
  <c r="AO406" i="4"/>
  <c r="AO414" i="4"/>
  <c r="AO422" i="4"/>
  <c r="AO430" i="4"/>
  <c r="AO438" i="4"/>
  <c r="AO446" i="4"/>
  <c r="AO454" i="4"/>
  <c r="AO462" i="4"/>
  <c r="AO470" i="4"/>
  <c r="AO478" i="4"/>
  <c r="BH500" i="4"/>
  <c r="BH505" i="4"/>
  <c r="AO517" i="4"/>
  <c r="AO669" i="4"/>
  <c r="BH689" i="4"/>
  <c r="AO759" i="4"/>
  <c r="AO215" i="4"/>
  <c r="AO223" i="4"/>
  <c r="AO231" i="4"/>
  <c r="AO239" i="4"/>
  <c r="AO247" i="4"/>
  <c r="AO255" i="4"/>
  <c r="AO263" i="4"/>
  <c r="AO271" i="4"/>
  <c r="AO279" i="4"/>
  <c r="AO287" i="4"/>
  <c r="AO295" i="4"/>
  <c r="AO303" i="4"/>
  <c r="AO311" i="4"/>
  <c r="AO319" i="4"/>
  <c r="AO327" i="4"/>
  <c r="AO335" i="4"/>
  <c r="AO343" i="4"/>
  <c r="AO351" i="4"/>
  <c r="AO359" i="4"/>
  <c r="AO367" i="4"/>
  <c r="AO375" i="4"/>
  <c r="AO383" i="4"/>
  <c r="AO391" i="4"/>
  <c r="AO399" i="4"/>
  <c r="AO407" i="4"/>
  <c r="AO415" i="4"/>
  <c r="AO423" i="4"/>
  <c r="AO431" i="4"/>
  <c r="AO439" i="4"/>
  <c r="AO447" i="4"/>
  <c r="AO455" i="4"/>
  <c r="AO463" i="4"/>
  <c r="AO471" i="4"/>
  <c r="AO479" i="4"/>
  <c r="AO501" i="4"/>
  <c r="AO661" i="4"/>
  <c r="BH681" i="4"/>
  <c r="AO240" i="4"/>
  <c r="AO248" i="4"/>
  <c r="AO256" i="4"/>
  <c r="AO264" i="4"/>
  <c r="AO272" i="4"/>
  <c r="AO280" i="4"/>
  <c r="AO288" i="4"/>
  <c r="AO296" i="4"/>
  <c r="AO304" i="4"/>
  <c r="AO312" i="4"/>
  <c r="AO320" i="4"/>
  <c r="AO328" i="4"/>
  <c r="AO336" i="4"/>
  <c r="AO344" i="4"/>
  <c r="AO352" i="4"/>
  <c r="AO360" i="4"/>
  <c r="AO368" i="4"/>
  <c r="AO376" i="4"/>
  <c r="AO384" i="4"/>
  <c r="AO392" i="4"/>
  <c r="AO400" i="4"/>
  <c r="BH403" i="4"/>
  <c r="AO408" i="4"/>
  <c r="BH411" i="4"/>
  <c r="AO416" i="4"/>
  <c r="BH419" i="4"/>
  <c r="AO424" i="4"/>
  <c r="AO432" i="4"/>
  <c r="AO440" i="4"/>
  <c r="BH443" i="4"/>
  <c r="AO448" i="4"/>
  <c r="AO456" i="4"/>
  <c r="AO464" i="4"/>
  <c r="BH467" i="4"/>
  <c r="AO472" i="4"/>
  <c r="BH475" i="4"/>
  <c r="AO480" i="4"/>
  <c r="BH483" i="4"/>
  <c r="BH492" i="4"/>
  <c r="BH499" i="4"/>
  <c r="AO502" i="4"/>
  <c r="AO503" i="4"/>
  <c r="BH513" i="4"/>
  <c r="AO525" i="4"/>
  <c r="AO533" i="4"/>
  <c r="AO541" i="4"/>
  <c r="AO549" i="4"/>
  <c r="AO557" i="4"/>
  <c r="AO565" i="4"/>
  <c r="AO573" i="4"/>
  <c r="AO581" i="4"/>
  <c r="AO589" i="4"/>
  <c r="AO597" i="4"/>
  <c r="AO605" i="4"/>
  <c r="AO613" i="4"/>
  <c r="AO621" i="4"/>
  <c r="AO629" i="4"/>
  <c r="AO637" i="4"/>
  <c r="AO645" i="4"/>
  <c r="AO653" i="4"/>
  <c r="BH673" i="4"/>
  <c r="AO717" i="4"/>
  <c r="BH722" i="4"/>
  <c r="BH771" i="4"/>
  <c r="BH747" i="4"/>
  <c r="BH763" i="4"/>
  <c r="BH735" i="4"/>
  <c r="BH755" i="4"/>
  <c r="BH524" i="4"/>
  <c r="BH532" i="4"/>
  <c r="BH540" i="4"/>
  <c r="BH548" i="4"/>
  <c r="BH556" i="4"/>
  <c r="BH564" i="4"/>
  <c r="BH572" i="4"/>
  <c r="BH580" i="4"/>
  <c r="BH588" i="4"/>
  <c r="BH596" i="4"/>
  <c r="BH604" i="4"/>
  <c r="BH612" i="4"/>
  <c r="BH620" i="4"/>
  <c r="BH628" i="4"/>
  <c r="BH636" i="4"/>
  <c r="BH644" i="4"/>
  <c r="BH652" i="4"/>
  <c r="BH660" i="4"/>
  <c r="BH668" i="4"/>
  <c r="BH676" i="4"/>
  <c r="BH684" i="4"/>
  <c r="BH692" i="4"/>
  <c r="BH700" i="4"/>
  <c r="BH708" i="4"/>
  <c r="BH716" i="4"/>
  <c r="BH725" i="4"/>
  <c r="BH726" i="4"/>
  <c r="BH727" i="4"/>
  <c r="BH730" i="4"/>
  <c r="BH731" i="4"/>
  <c r="BH734" i="4"/>
  <c r="BH486" i="4"/>
  <c r="BH494" i="4"/>
  <c r="BH743" i="4"/>
  <c r="BH655" i="4"/>
  <c r="BH663" i="4"/>
  <c r="BH671" i="4"/>
  <c r="BH679" i="4"/>
  <c r="BH687" i="4"/>
  <c r="BH695" i="4"/>
  <c r="BH703" i="4"/>
  <c r="BH711" i="4"/>
  <c r="BH719" i="4"/>
  <c r="BH720" i="4"/>
  <c r="BH751" i="4"/>
  <c r="BH759" i="4"/>
  <c r="BH767" i="4"/>
  <c r="BH775" i="4"/>
  <c r="BH783" i="4"/>
  <c r="BH791" i="4"/>
  <c r="BH799" i="4"/>
  <c r="BH807" i="4"/>
  <c r="BH815" i="4"/>
  <c r="BH823" i="4"/>
  <c r="BH831" i="4"/>
  <c r="BH839" i="4"/>
  <c r="BH847" i="4"/>
  <c r="BH855" i="4"/>
  <c r="BH863" i="4"/>
  <c r="BH871" i="4"/>
  <c r="BH879" i="4"/>
  <c r="BH887" i="4"/>
  <c r="BH895" i="4"/>
  <c r="BH903" i="4"/>
  <c r="BH911" i="4"/>
  <c r="BH919" i="4"/>
  <c r="BH927" i="4"/>
  <c r="BH935" i="4"/>
  <c r="BH943" i="4"/>
  <c r="BH951" i="4"/>
  <c r="BH959" i="4"/>
  <c r="BH967" i="4"/>
  <c r="BH975" i="4"/>
  <c r="BH983" i="4"/>
  <c r="BH991" i="4"/>
  <c r="BH999" i="4"/>
  <c r="BH1007" i="4"/>
  <c r="BH1015" i="4"/>
  <c r="BH1023" i="4"/>
  <c r="BH1031" i="4"/>
  <c r="BH1039" i="4"/>
  <c r="BH728" i="4"/>
  <c r="BH736" i="4"/>
  <c r="BH744" i="4"/>
  <c r="BH752" i="4"/>
  <c r="BH760" i="4"/>
  <c r="BH768" i="4"/>
  <c r="BH776" i="4"/>
  <c r="BH784" i="4"/>
  <c r="BH792" i="4"/>
  <c r="BH800" i="4"/>
  <c r="BH808" i="4"/>
  <c r="BH816" i="4"/>
  <c r="BH824" i="4"/>
  <c r="BH832" i="4"/>
  <c r="BH840" i="4"/>
  <c r="BH848" i="4"/>
  <c r="BH856" i="4"/>
  <c r="BH864" i="4"/>
  <c r="BH872" i="4"/>
  <c r="BH880" i="4"/>
  <c r="BH888" i="4"/>
  <c r="BH896" i="4"/>
  <c r="BH904" i="4"/>
  <c r="BH912" i="4"/>
  <c r="BH920" i="4"/>
  <c r="BH928" i="4"/>
  <c r="BH936" i="4"/>
  <c r="BH944" i="4"/>
  <c r="BH952" i="4"/>
  <c r="BH960" i="4"/>
  <c r="BH968" i="4"/>
  <c r="BH976" i="4"/>
  <c r="BH984" i="4"/>
  <c r="BH992" i="4"/>
  <c r="BH1000" i="4"/>
  <c r="BH1008" i="4"/>
  <c r="BH1016" i="4"/>
  <c r="BH1024" i="4"/>
  <c r="BH1032" i="4"/>
  <c r="BH1040" i="4"/>
  <c r="BH1048" i="4"/>
  <c r="BH1056" i="4"/>
  <c r="BH1064" i="4"/>
  <c r="BH1072" i="4"/>
  <c r="BH779" i="4"/>
  <c r="BH787" i="4"/>
  <c r="BH795" i="4"/>
  <c r="BH803" i="4"/>
  <c r="BH811" i="4"/>
  <c r="BH819" i="4"/>
  <c r="BH827" i="4"/>
  <c r="BH835" i="4"/>
  <c r="BH843" i="4"/>
  <c r="BH851" i="4"/>
  <c r="BH859" i="4"/>
  <c r="BH867" i="4"/>
  <c r="BH875" i="4"/>
  <c r="BH883" i="4"/>
  <c r="BH891" i="4"/>
  <c r="BH899" i="4"/>
  <c r="BH907" i="4"/>
  <c r="BH915" i="4"/>
  <c r="BH923" i="4"/>
  <c r="BH931" i="4"/>
  <c r="BH939" i="4"/>
  <c r="BH947" i="4"/>
  <c r="BH955" i="4"/>
  <c r="BH979" i="4"/>
  <c r="I42" i="7"/>
  <c r="I43" i="7"/>
  <c r="I45" i="7"/>
  <c r="I46" i="7"/>
  <c r="I44" i="7"/>
  <c r="AP8" i="4"/>
  <c r="Y28" i="5"/>
  <c r="Y26" i="5"/>
  <c r="Y22" i="5"/>
  <c r="J22" i="5"/>
  <c r="J28" i="5"/>
  <c r="J26" i="5"/>
  <c r="AI28" i="5"/>
  <c r="AI26" i="5"/>
  <c r="AI22" i="5"/>
  <c r="O26" i="5"/>
  <c r="O22" i="5"/>
  <c r="O28" i="5"/>
  <c r="AN28" i="5"/>
  <c r="AN26" i="5"/>
  <c r="AN22" i="5"/>
  <c r="AD28" i="5"/>
  <c r="AD26" i="5"/>
  <c r="AD22" i="5"/>
  <c r="T22" i="5"/>
  <c r="T28" i="5"/>
  <c r="T26" i="5"/>
  <c r="B49" i="10"/>
  <c r="D103" i="10" s="1"/>
  <c r="B44" i="10"/>
  <c r="B21" i="10"/>
  <c r="A2" i="10"/>
  <c r="B23" i="14" s="1"/>
  <c r="G40" i="13"/>
  <c r="C45" i="12"/>
  <c r="M40" i="13"/>
  <c r="AM22" i="4"/>
  <c r="N40" i="13"/>
  <c r="I40" i="13"/>
  <c r="Y81" i="3"/>
  <c r="Y214" i="3" s="1"/>
  <c r="AP61" i="4"/>
  <c r="AM61" i="4"/>
  <c r="AP74" i="4"/>
  <c r="AM74" i="4"/>
  <c r="AQ74" i="4"/>
  <c r="F10" i="4"/>
  <c r="AM9" i="4"/>
  <c r="AP9" i="4"/>
  <c r="AP23" i="4"/>
  <c r="AQ113" i="4"/>
  <c r="AQ23" i="4"/>
  <c r="AQ73" i="4"/>
  <c r="AQ8" i="4"/>
  <c r="AQ114" i="4"/>
  <c r="AM8" i="4"/>
  <c r="AY4" i="4"/>
  <c r="AQ125" i="4"/>
  <c r="AP125" i="4"/>
  <c r="AX4" i="4"/>
  <c r="AV4" i="4"/>
  <c r="AW4" i="4"/>
  <c r="AQ62" i="4"/>
  <c r="AQ75" i="4"/>
  <c r="AQ9" i="4"/>
  <c r="AQ22" i="4"/>
  <c r="AP22" i="4"/>
  <c r="AQ61" i="4"/>
  <c r="K40" i="13"/>
  <c r="L40" i="13"/>
  <c r="H40" i="13"/>
  <c r="J40" i="13"/>
  <c r="F6" i="4"/>
  <c r="F8" i="4"/>
  <c r="F7" i="4"/>
  <c r="F15" i="4"/>
  <c r="F9" i="4"/>
  <c r="D45" i="12"/>
  <c r="AO148" i="4"/>
  <c r="AO98" i="4"/>
  <c r="AO39" i="4"/>
  <c r="AO49" i="4"/>
  <c r="AO202" i="4"/>
  <c r="AO31" i="4"/>
  <c r="AO80" i="4"/>
  <c r="AO97" i="4"/>
  <c r="AO143" i="4"/>
  <c r="AO197" i="4"/>
  <c r="AO23" i="4"/>
  <c r="AO183" i="4"/>
  <c r="AO20" i="4"/>
  <c r="AO61" i="4"/>
  <c r="AO71" i="4"/>
  <c r="AO170" i="4"/>
  <c r="AO46" i="4"/>
  <c r="AO60" i="4"/>
  <c r="AO72" i="4"/>
  <c r="AO88" i="4"/>
  <c r="AO105" i="4"/>
  <c r="AO122" i="4"/>
  <c r="AO150" i="4"/>
  <c r="AO165" i="4"/>
  <c r="AO28" i="4"/>
  <c r="AO47" i="4"/>
  <c r="AO38" i="4"/>
  <c r="AO53" i="4"/>
  <c r="AO69" i="4"/>
  <c r="AO106" i="4"/>
  <c r="AO85" i="4"/>
  <c r="AO120" i="4"/>
  <c r="AO180" i="4"/>
  <c r="AO211" i="4"/>
  <c r="AO16" i="4"/>
  <c r="AO8" i="4"/>
  <c r="AO6" i="4"/>
  <c r="AO29" i="4"/>
  <c r="AO45" i="4"/>
  <c r="AO37" i="4"/>
  <c r="AO44" i="4"/>
  <c r="AO36" i="4"/>
  <c r="AO59" i="4"/>
  <c r="AO58" i="4"/>
  <c r="AO52" i="4"/>
  <c r="AO48" i="4"/>
  <c r="AF106" i="5" s="1"/>
  <c r="AO68" i="4"/>
  <c r="AO70" i="4"/>
  <c r="AO67" i="4"/>
  <c r="AO86" i="4"/>
  <c r="AO104" i="4"/>
  <c r="AO94" i="4"/>
  <c r="AO91" i="4"/>
  <c r="AO103" i="4"/>
  <c r="AO17" i="4"/>
  <c r="AO134" i="4"/>
  <c r="AO124" i="4"/>
  <c r="AO136" i="4"/>
  <c r="AO137" i="4"/>
  <c r="AO138" i="4"/>
  <c r="AO168" i="4"/>
  <c r="AO163" i="4"/>
  <c r="AO185" i="4"/>
  <c r="AO204" i="4"/>
  <c r="AO199" i="4"/>
  <c r="AO190" i="4"/>
  <c r="AO7" i="4"/>
  <c r="AO15" i="4"/>
  <c r="AK6" i="4"/>
  <c r="AO18" i="4"/>
  <c r="AO32" i="4"/>
  <c r="AO22" i="4"/>
  <c r="AO21" i="4"/>
  <c r="AO43" i="4"/>
  <c r="AO35" i="4"/>
  <c r="AO42" i="4"/>
  <c r="AO34" i="4"/>
  <c r="AO57" i="4"/>
  <c r="AO56" i="4"/>
  <c r="AO51" i="4"/>
  <c r="AO76" i="4"/>
  <c r="AO83" i="4"/>
  <c r="AO75" i="4"/>
  <c r="AO63" i="4"/>
  <c r="AO84" i="4"/>
  <c r="AO102" i="4"/>
  <c r="AO90" i="4"/>
  <c r="AO87" i="4"/>
  <c r="AO101" i="4"/>
  <c r="AO132" i="4"/>
  <c r="AO114" i="4"/>
  <c r="AO159" i="4"/>
  <c r="AO146" i="4"/>
  <c r="AO161" i="4"/>
  <c r="AO164" i="4"/>
  <c r="AO186" i="4"/>
  <c r="AO173" i="4"/>
  <c r="AO200" i="4"/>
  <c r="AO195" i="4"/>
  <c r="AO201" i="4"/>
  <c r="AO9" i="4"/>
  <c r="AO30" i="4"/>
  <c r="AO33" i="4"/>
  <c r="AO41" i="4"/>
  <c r="AO40" i="4"/>
  <c r="AO55" i="4"/>
  <c r="AO54" i="4"/>
  <c r="AO50" i="4"/>
  <c r="AO82" i="4"/>
  <c r="AO74" i="4"/>
  <c r="AO62" i="4"/>
  <c r="AO81" i="4"/>
  <c r="AO73" i="4"/>
  <c r="AO96" i="4"/>
  <c r="AO108" i="4"/>
  <c r="AO100" i="4"/>
  <c r="AO99" i="4"/>
  <c r="AO109" i="4"/>
  <c r="AO89" i="4"/>
  <c r="AO119" i="4"/>
  <c r="AO125" i="4"/>
  <c r="AO152" i="4"/>
  <c r="AO147" i="4"/>
  <c r="AO153" i="4"/>
  <c r="AO184" i="4"/>
  <c r="AO187" i="4"/>
  <c r="AO174" i="4"/>
  <c r="AO169" i="4"/>
  <c r="AO188" i="4"/>
  <c r="AO206" i="4"/>
  <c r="AO189" i="4"/>
  <c r="AO213" i="4"/>
  <c r="AO194" i="4"/>
  <c r="AO210" i="4"/>
  <c r="AO203" i="4"/>
  <c r="AO192" i="4"/>
  <c r="AO208" i="4"/>
  <c r="AO181" i="4"/>
  <c r="AO162" i="4"/>
  <c r="AO178" i="4"/>
  <c r="AO171" i="4"/>
  <c r="AO167" i="4"/>
  <c r="AO172" i="4"/>
  <c r="AO145" i="4"/>
  <c r="AO149" i="4"/>
  <c r="AO158" i="4"/>
  <c r="AO142" i="4"/>
  <c r="AO151" i="4"/>
  <c r="AO140" i="4"/>
  <c r="AO156" i="4"/>
  <c r="AO133" i="4"/>
  <c r="AO110" i="4"/>
  <c r="AO135" i="4"/>
  <c r="AO123" i="4"/>
  <c r="AO19" i="4"/>
  <c r="AO95" i="4"/>
  <c r="AO107" i="4"/>
  <c r="AO93" i="4"/>
  <c r="AO92" i="4"/>
  <c r="AO205" i="4"/>
  <c r="AO193" i="4"/>
  <c r="AO198" i="4"/>
  <c r="AO191" i="4"/>
  <c r="AO207" i="4"/>
  <c r="AO196" i="4"/>
  <c r="AO212" i="4"/>
  <c r="AO177" i="4"/>
  <c r="AO166" i="4"/>
  <c r="AO182" i="4"/>
  <c r="AO175" i="4"/>
  <c r="AO179" i="4"/>
  <c r="AO176" i="4"/>
  <c r="AO157" i="4"/>
  <c r="AO154" i="4"/>
  <c r="AO141" i="4"/>
  <c r="AO139" i="4"/>
  <c r="AO155" i="4"/>
  <c r="AO144" i="4"/>
  <c r="AO160" i="4"/>
  <c r="AO112" i="4"/>
  <c r="AO113" i="4"/>
  <c r="AO121" i="4"/>
  <c r="AO111" i="4"/>
  <c r="N62" i="13" l="1"/>
  <c r="K86" i="13"/>
  <c r="L86" i="13"/>
  <c r="G31" i="4"/>
  <c r="L31" i="4"/>
  <c r="L83" i="4"/>
  <c r="G83" i="4"/>
  <c r="L124" i="4"/>
  <c r="G124" i="4"/>
  <c r="G101" i="4"/>
  <c r="L101" i="4"/>
  <c r="G94" i="4"/>
  <c r="L94" i="4"/>
  <c r="L110" i="4"/>
  <c r="G110" i="4"/>
  <c r="L103" i="4"/>
  <c r="G103" i="4"/>
  <c r="L96" i="4"/>
  <c r="G96" i="4"/>
  <c r="G88" i="4"/>
  <c r="L88" i="4"/>
  <c r="L81" i="4"/>
  <c r="G81" i="4"/>
  <c r="L74" i="4"/>
  <c r="G74" i="4"/>
  <c r="L138" i="4"/>
  <c r="G138" i="4"/>
  <c r="P9" i="18"/>
  <c r="L9" i="18" a="1"/>
  <c r="L9" i="18" s="1"/>
  <c r="G52" i="4"/>
  <c r="L52" i="4"/>
  <c r="L68" i="4"/>
  <c r="G68" i="4"/>
  <c r="L132" i="4"/>
  <c r="G132" i="4"/>
  <c r="L109" i="4"/>
  <c r="G109" i="4"/>
  <c r="L134" i="4"/>
  <c r="G134" i="4"/>
  <c r="L118" i="4"/>
  <c r="G118" i="4"/>
  <c r="L111" i="4"/>
  <c r="G111" i="4"/>
  <c r="L136" i="4"/>
  <c r="G136" i="4"/>
  <c r="L104" i="4"/>
  <c r="G104" i="4"/>
  <c r="L89" i="4"/>
  <c r="G89" i="4"/>
  <c r="L82" i="4"/>
  <c r="G82" i="4"/>
  <c r="G27" i="4"/>
  <c r="L27" i="4"/>
  <c r="L76" i="4"/>
  <c r="G76" i="4"/>
  <c r="L140" i="4"/>
  <c r="G140" i="4"/>
  <c r="L117" i="4"/>
  <c r="G117" i="4"/>
  <c r="L107" i="4"/>
  <c r="G107" i="4"/>
  <c r="G126" i="4"/>
  <c r="L126" i="4"/>
  <c r="L119" i="4"/>
  <c r="G119" i="4"/>
  <c r="L66" i="4"/>
  <c r="G66" i="4"/>
  <c r="L112" i="4"/>
  <c r="G112" i="4"/>
  <c r="G97" i="4"/>
  <c r="L97" i="4"/>
  <c r="G90" i="4"/>
  <c r="L90" i="4"/>
  <c r="P10" i="18"/>
  <c r="L10" i="18" a="1"/>
  <c r="L10" i="18" s="1"/>
  <c r="G18" i="4"/>
  <c r="L18" i="4"/>
  <c r="L91" i="4"/>
  <c r="G91" i="4"/>
  <c r="L84" i="4"/>
  <c r="G84" i="4"/>
  <c r="L75" i="4"/>
  <c r="G75" i="4"/>
  <c r="L125" i="4"/>
  <c r="G125" i="4"/>
  <c r="L61" i="4"/>
  <c r="G61" i="4"/>
  <c r="G63" i="4"/>
  <c r="L63" i="4"/>
  <c r="G127" i="4"/>
  <c r="L127" i="4"/>
  <c r="G67" i="4"/>
  <c r="L67" i="4"/>
  <c r="G120" i="4"/>
  <c r="L120" i="4"/>
  <c r="L105" i="4"/>
  <c r="G105" i="4"/>
  <c r="L98" i="4"/>
  <c r="G98" i="4"/>
  <c r="P14" i="18"/>
  <c r="L14" i="18" a="1"/>
  <c r="L14" i="18" s="1"/>
  <c r="P18" i="18"/>
  <c r="L18" i="18" a="1"/>
  <c r="L18" i="18" s="1"/>
  <c r="G51" i="4"/>
  <c r="L51" i="4"/>
  <c r="G26" i="4"/>
  <c r="L26" i="4"/>
  <c r="L115" i="4"/>
  <c r="G115" i="4"/>
  <c r="L92" i="4"/>
  <c r="G92" i="4"/>
  <c r="G69" i="4"/>
  <c r="L69" i="4"/>
  <c r="L133" i="4"/>
  <c r="G133" i="4"/>
  <c r="L70" i="4"/>
  <c r="G70" i="4"/>
  <c r="L71" i="4"/>
  <c r="G71" i="4"/>
  <c r="L135" i="4"/>
  <c r="G135" i="4"/>
  <c r="L60" i="4"/>
  <c r="G60" i="4"/>
  <c r="L128" i="4"/>
  <c r="G128" i="4"/>
  <c r="L113" i="4"/>
  <c r="G113" i="4"/>
  <c r="L106" i="4"/>
  <c r="G106" i="4"/>
  <c r="P7" i="18"/>
  <c r="L7" i="18" a="1"/>
  <c r="L7" i="18" s="1"/>
  <c r="G15" i="4"/>
  <c r="L15" i="4"/>
  <c r="G17" i="4"/>
  <c r="L17" i="4"/>
  <c r="L123" i="4"/>
  <c r="G123" i="4"/>
  <c r="L100" i="4"/>
  <c r="G100" i="4"/>
  <c r="L77" i="4"/>
  <c r="G77" i="4"/>
  <c r="L141" i="4"/>
  <c r="G141" i="4"/>
  <c r="L78" i="4"/>
  <c r="G78" i="4"/>
  <c r="L79" i="4"/>
  <c r="G79" i="4"/>
  <c r="G58" i="4"/>
  <c r="L58" i="4"/>
  <c r="G56" i="4"/>
  <c r="L56" i="4"/>
  <c r="L57" i="4"/>
  <c r="G57" i="4"/>
  <c r="L121" i="4"/>
  <c r="G121" i="4"/>
  <c r="L114" i="4"/>
  <c r="G114" i="4"/>
  <c r="P19" i="18"/>
  <c r="L19" i="18" a="1"/>
  <c r="L19" i="18" s="1"/>
  <c r="G131" i="4"/>
  <c r="L131" i="4"/>
  <c r="L108" i="4"/>
  <c r="G108" i="4"/>
  <c r="L85" i="4"/>
  <c r="G85" i="4"/>
  <c r="L59" i="4"/>
  <c r="G59" i="4"/>
  <c r="L86" i="4"/>
  <c r="G86" i="4"/>
  <c r="L87" i="4"/>
  <c r="G87" i="4"/>
  <c r="L99" i="4"/>
  <c r="G99" i="4"/>
  <c r="L64" i="4"/>
  <c r="G64" i="4"/>
  <c r="L65" i="4"/>
  <c r="G65" i="4"/>
  <c r="G129" i="4"/>
  <c r="L129" i="4"/>
  <c r="L122" i="4"/>
  <c r="G122" i="4"/>
  <c r="P8" i="18"/>
  <c r="L8" i="18" a="1"/>
  <c r="L8" i="18" s="1"/>
  <c r="P12" i="18"/>
  <c r="L12" i="18" a="1"/>
  <c r="L12" i="18" s="1"/>
  <c r="G35" i="4"/>
  <c r="L35" i="4"/>
  <c r="G32" i="4"/>
  <c r="L32" i="4"/>
  <c r="L139" i="4"/>
  <c r="G139" i="4"/>
  <c r="L116" i="4"/>
  <c r="G116" i="4"/>
  <c r="L93" i="4"/>
  <c r="G93" i="4"/>
  <c r="G62" i="4"/>
  <c r="L62" i="4"/>
  <c r="L102" i="4"/>
  <c r="G102" i="4"/>
  <c r="L95" i="4"/>
  <c r="G95" i="4"/>
  <c r="L72" i="4"/>
  <c r="G72" i="4"/>
  <c r="L80" i="4"/>
  <c r="G80" i="4"/>
  <c r="L73" i="4"/>
  <c r="G73" i="4"/>
  <c r="L137" i="4"/>
  <c r="G137" i="4"/>
  <c r="L130" i="4"/>
  <c r="G130" i="4"/>
  <c r="P20" i="18"/>
  <c r="L20" i="18" a="1"/>
  <c r="L20" i="18" s="1"/>
  <c r="N85" i="13"/>
  <c r="I86" i="13"/>
  <c r="N86" i="13"/>
  <c r="N87" i="13"/>
  <c r="G86" i="13"/>
  <c r="H86" i="13"/>
  <c r="N93" i="13"/>
  <c r="N90" i="13"/>
  <c r="N84" i="13"/>
  <c r="I88" i="13"/>
  <c r="J93" i="13"/>
  <c r="H90" i="13"/>
  <c r="G90" i="13"/>
  <c r="L85" i="13"/>
  <c r="K84" i="13"/>
  <c r="I84" i="13"/>
  <c r="J88" i="13"/>
  <c r="H93" i="13"/>
  <c r="G93" i="13"/>
  <c r="M87" i="13"/>
  <c r="K85" i="13"/>
  <c r="I85" i="13"/>
  <c r="J84" i="13"/>
  <c r="H88" i="13"/>
  <c r="L87" i="13"/>
  <c r="J85" i="13"/>
  <c r="H84" i="13"/>
  <c r="G84" i="13"/>
  <c r="G88" i="13"/>
  <c r="M90" i="13"/>
  <c r="K87" i="13"/>
  <c r="I87" i="13"/>
  <c r="H85" i="13"/>
  <c r="G85" i="13"/>
  <c r="M93" i="13"/>
  <c r="L90" i="13"/>
  <c r="J87" i="13"/>
  <c r="M88" i="13"/>
  <c r="L93" i="13"/>
  <c r="K90" i="13"/>
  <c r="H62" i="13"/>
  <c r="I90" i="13"/>
  <c r="H87" i="13"/>
  <c r="G87" i="13"/>
  <c r="M84" i="13"/>
  <c r="L88" i="13"/>
  <c r="K93" i="13"/>
  <c r="I93" i="13"/>
  <c r="J90" i="13"/>
  <c r="G89" i="13"/>
  <c r="L84" i="13"/>
  <c r="K88" i="13"/>
  <c r="I64" i="13"/>
  <c r="J75" i="13"/>
  <c r="H63" i="13"/>
  <c r="H83" i="13"/>
  <c r="H76" i="13"/>
  <c r="G63" i="13"/>
  <c r="G47" i="13"/>
  <c r="G77" i="13"/>
  <c r="M83" i="13"/>
  <c r="M65" i="13"/>
  <c r="L48" i="13"/>
  <c r="L81" i="13"/>
  <c r="K69" i="13"/>
  <c r="K65" i="13"/>
  <c r="I62" i="13"/>
  <c r="I73" i="13"/>
  <c r="J62" i="13"/>
  <c r="H81" i="13"/>
  <c r="G75" i="13"/>
  <c r="N73" i="13"/>
  <c r="N76" i="13"/>
  <c r="N80" i="13"/>
  <c r="M47" i="13"/>
  <c r="M69" i="13"/>
  <c r="M63" i="13"/>
  <c r="L75" i="13"/>
  <c r="K77" i="13"/>
  <c r="K63" i="13"/>
  <c r="K83" i="13"/>
  <c r="I80" i="13"/>
  <c r="I65" i="13"/>
  <c r="I76" i="13"/>
  <c r="J80" i="13"/>
  <c r="H47" i="13"/>
  <c r="H69" i="13"/>
  <c r="N65" i="13"/>
  <c r="M48" i="13"/>
  <c r="M77" i="13"/>
  <c r="M81" i="13"/>
  <c r="L76" i="13"/>
  <c r="L62" i="13"/>
  <c r="L64" i="13"/>
  <c r="K81" i="13"/>
  <c r="K47" i="13"/>
  <c r="I83" i="13"/>
  <c r="J64" i="13"/>
  <c r="J77" i="13"/>
  <c r="H64" i="13"/>
  <c r="H48" i="13"/>
  <c r="H77" i="13"/>
  <c r="G64" i="13"/>
  <c r="G62" i="13"/>
  <c r="N83" i="13"/>
  <c r="N69" i="13"/>
  <c r="M75" i="13"/>
  <c r="L80" i="13"/>
  <c r="L73" i="13"/>
  <c r="K48" i="13"/>
  <c r="I69" i="13"/>
  <c r="J73" i="13"/>
  <c r="J48" i="13"/>
  <c r="H73" i="13"/>
  <c r="H75" i="13"/>
  <c r="G73" i="13"/>
  <c r="G76" i="13"/>
  <c r="G80" i="13"/>
  <c r="N47" i="13"/>
  <c r="N77" i="13"/>
  <c r="N63" i="13"/>
  <c r="K76" i="13"/>
  <c r="K75" i="13"/>
  <c r="I63" i="13"/>
  <c r="I47" i="13"/>
  <c r="I77" i="13"/>
  <c r="J69" i="13"/>
  <c r="J65" i="13"/>
  <c r="J76" i="13"/>
  <c r="H80" i="13"/>
  <c r="G81" i="13"/>
  <c r="N48" i="13"/>
  <c r="N81" i="13"/>
  <c r="M62" i="13"/>
  <c r="M64" i="13"/>
  <c r="L69" i="13"/>
  <c r="L65" i="13"/>
  <c r="K62" i="13"/>
  <c r="I81" i="13"/>
  <c r="I48" i="13"/>
  <c r="J63" i="13"/>
  <c r="J83" i="13"/>
  <c r="G65" i="13"/>
  <c r="G48" i="13"/>
  <c r="N75" i="13"/>
  <c r="N64" i="13"/>
  <c r="M76" i="13"/>
  <c r="M80" i="13"/>
  <c r="M73" i="13"/>
  <c r="L77" i="13"/>
  <c r="L47" i="13"/>
  <c r="L83" i="13"/>
  <c r="K80" i="13"/>
  <c r="K64" i="13"/>
  <c r="J81" i="13"/>
  <c r="G83" i="13"/>
  <c r="Y236" i="3"/>
  <c r="Y235" i="3"/>
  <c r="Y234" i="3"/>
  <c r="Y226" i="3"/>
  <c r="Y242" i="3" s="1"/>
  <c r="X246" i="3" s="1"/>
  <c r="Y246" i="3" s="1"/>
  <c r="Y222" i="3"/>
  <c r="X222" i="3"/>
  <c r="Y221" i="3"/>
  <c r="X221" i="3"/>
  <c r="X217" i="3"/>
  <c r="Y220" i="3"/>
  <c r="X220" i="3"/>
  <c r="Y219" i="3"/>
  <c r="X219" i="3"/>
  <c r="Y218" i="3"/>
  <c r="X218" i="3"/>
  <c r="Y217" i="3"/>
  <c r="L16" i="4"/>
  <c r="G16" i="4"/>
  <c r="L37" i="4"/>
  <c r="G37" i="4"/>
  <c r="L53" i="4"/>
  <c r="G53" i="4"/>
  <c r="L44" i="4"/>
  <c r="G44" i="4"/>
  <c r="L41" i="4"/>
  <c r="G41" i="4"/>
  <c r="L23" i="4"/>
  <c r="G23" i="4"/>
  <c r="L38" i="4"/>
  <c r="G38" i="4"/>
  <c r="L7" i="4"/>
  <c r="G7" i="4"/>
  <c r="L19" i="4"/>
  <c r="G19" i="4"/>
  <c r="L20" i="4"/>
  <c r="G20" i="4"/>
  <c r="L48" i="4"/>
  <c r="G48" i="4"/>
  <c r="L30" i="4"/>
  <c r="G30" i="4"/>
  <c r="L8" i="4"/>
  <c r="G8" i="4"/>
  <c r="L28" i="4"/>
  <c r="G28" i="4"/>
  <c r="L22" i="4"/>
  <c r="G22" i="4"/>
  <c r="L43" i="4"/>
  <c r="G43" i="4"/>
  <c r="L24" i="4"/>
  <c r="G24" i="4"/>
  <c r="L6" i="4"/>
  <c r="G6" i="4"/>
  <c r="L33" i="4"/>
  <c r="G33" i="4"/>
  <c r="L34" i="4"/>
  <c r="G34" i="4"/>
  <c r="L29" i="4"/>
  <c r="G29" i="4"/>
  <c r="L50" i="4"/>
  <c r="G50" i="4"/>
  <c r="L9" i="4"/>
  <c r="G9" i="4"/>
  <c r="L40" i="4"/>
  <c r="G40" i="4"/>
  <c r="L47" i="4"/>
  <c r="G47" i="4"/>
  <c r="L36" i="4"/>
  <c r="G36" i="4"/>
  <c r="L10" i="4"/>
  <c r="G10" i="4"/>
  <c r="L46" i="4"/>
  <c r="G46" i="4"/>
  <c r="L55" i="4"/>
  <c r="G55" i="4"/>
  <c r="L42" i="4"/>
  <c r="G42" i="4"/>
  <c r="L39" i="4"/>
  <c r="G39" i="4"/>
  <c r="L54" i="4"/>
  <c r="G54" i="4"/>
  <c r="L21" i="4"/>
  <c r="G21" i="4"/>
  <c r="L49" i="4"/>
  <c r="G49" i="4"/>
  <c r="L25" i="4"/>
  <c r="G25" i="4"/>
  <c r="L45" i="4"/>
  <c r="G45" i="4"/>
  <c r="F303" i="16" a="1"/>
  <c r="F303" i="16" s="1"/>
  <c r="E89" i="11"/>
  <c r="E87" i="11"/>
  <c r="E80" i="11"/>
  <c r="E83" i="11"/>
  <c r="E84" i="11"/>
  <c r="E79" i="11"/>
  <c r="E86" i="11"/>
  <c r="C80" i="11"/>
  <c r="C89" i="11"/>
  <c r="C79" i="11"/>
  <c r="G84" i="11"/>
  <c r="G86" i="11"/>
  <c r="G89" i="11"/>
  <c r="G83" i="11"/>
  <c r="G87" i="11"/>
  <c r="G79" i="11"/>
  <c r="G80" i="11"/>
  <c r="F83" i="11"/>
  <c r="F84" i="11"/>
  <c r="F86" i="11"/>
  <c r="F89" i="11"/>
  <c r="F87" i="11"/>
  <c r="F79" i="11"/>
  <c r="F80" i="11"/>
  <c r="I87" i="11"/>
  <c r="I79" i="11"/>
  <c r="I86" i="11"/>
  <c r="I84" i="11"/>
  <c r="I80" i="11"/>
  <c r="I83" i="11"/>
  <c r="I89" i="11"/>
  <c r="D89" i="11"/>
  <c r="D79" i="11"/>
  <c r="D80" i="11"/>
  <c r="H84" i="11"/>
  <c r="H80" i="11"/>
  <c r="H86" i="11"/>
  <c r="H89" i="11"/>
  <c r="H79" i="11"/>
  <c r="H87" i="11"/>
  <c r="H83" i="11"/>
  <c r="K105" i="7"/>
  <c r="J105" i="7" s="1"/>
  <c r="C335" i="18"/>
  <c r="C343" i="18" s="1"/>
  <c r="N74" i="13"/>
  <c r="L74" i="13"/>
  <c r="C299" i="18"/>
  <c r="C307" i="18" s="1"/>
  <c r="J74" i="13"/>
  <c r="C263" i="18"/>
  <c r="M74" i="13"/>
  <c r="C317" i="18"/>
  <c r="C325" i="18" s="1"/>
  <c r="I74" i="13"/>
  <c r="C245" i="18"/>
  <c r="K74" i="13"/>
  <c r="C281" i="18"/>
  <c r="C289" i="18" s="1"/>
  <c r="H74" i="13"/>
  <c r="C227" i="18"/>
  <c r="C209" i="18"/>
  <c r="G74" i="13"/>
  <c r="J40" i="7"/>
  <c r="M40" i="7" s="1"/>
  <c r="J41" i="7"/>
  <c r="K41" i="7" s="1"/>
  <c r="J44" i="7"/>
  <c r="M44" i="7" s="1"/>
  <c r="J46" i="7"/>
  <c r="M46" i="7" s="1"/>
  <c r="J287" i="13"/>
  <c r="K287" i="13"/>
  <c r="J45" i="7"/>
  <c r="J43" i="7"/>
  <c r="M43" i="7" s="1"/>
  <c r="G287" i="13"/>
  <c r="H287" i="13"/>
  <c r="J42" i="7"/>
  <c r="M42" i="7" s="1"/>
  <c r="BF307" i="4"/>
  <c r="BH307" i="4" s="1"/>
  <c r="BF303" i="4"/>
  <c r="BH303" i="4" s="1"/>
  <c r="BF256" i="4"/>
  <c r="BH256" i="4" s="1"/>
  <c r="BF261" i="4"/>
  <c r="BH261" i="4" s="1"/>
  <c r="BF320" i="4"/>
  <c r="BF325" i="4"/>
  <c r="BF290" i="4"/>
  <c r="BH290" i="4" s="1"/>
  <c r="BF278" i="4"/>
  <c r="BH278" i="4" s="1"/>
  <c r="BF342" i="4"/>
  <c r="BF331" i="4"/>
  <c r="BF327" i="4"/>
  <c r="BF322" i="4"/>
  <c r="BF282" i="4"/>
  <c r="BH282" i="4" s="1"/>
  <c r="BF270" i="4"/>
  <c r="BH270" i="4" s="1"/>
  <c r="BF283" i="4"/>
  <c r="BH283" i="4" s="1"/>
  <c r="BF340" i="4"/>
  <c r="BF264" i="4"/>
  <c r="BH264" i="4" s="1"/>
  <c r="BF269" i="4"/>
  <c r="BH269" i="4" s="1"/>
  <c r="BF306" i="4"/>
  <c r="BH306" i="4" s="1"/>
  <c r="BF294" i="4"/>
  <c r="BH294" i="4" s="1"/>
  <c r="BF321" i="4"/>
  <c r="BF308" i="4"/>
  <c r="BH308" i="4" s="1"/>
  <c r="BF274" i="4"/>
  <c r="BH274" i="4" s="1"/>
  <c r="BF262" i="4"/>
  <c r="BH262" i="4" s="1"/>
  <c r="BF346" i="4"/>
  <c r="BF334" i="4"/>
  <c r="BF297" i="4"/>
  <c r="BH297" i="4" s="1"/>
  <c r="BF276" i="4"/>
  <c r="BH276" i="4" s="1"/>
  <c r="BF284" i="4"/>
  <c r="BH284" i="4" s="1"/>
  <c r="BF328" i="4"/>
  <c r="BF333" i="4"/>
  <c r="BF273" i="4"/>
  <c r="BH273" i="4" s="1"/>
  <c r="BF280" i="4"/>
  <c r="BH280" i="4" s="1"/>
  <c r="BF285" i="4"/>
  <c r="BH285" i="4" s="1"/>
  <c r="BF292" i="4"/>
  <c r="BH292" i="4" s="1"/>
  <c r="BF275" i="4"/>
  <c r="BH275" i="4" s="1"/>
  <c r="BF338" i="4"/>
  <c r="BF326" i="4"/>
  <c r="BF265" i="4"/>
  <c r="BH265" i="4" s="1"/>
  <c r="BF301" i="4"/>
  <c r="BH301" i="4" s="1"/>
  <c r="BF296" i="4"/>
  <c r="BH296" i="4" s="1"/>
  <c r="BF318" i="4"/>
  <c r="BF259" i="4"/>
  <c r="BH259" i="4" s="1"/>
  <c r="BF255" i="4"/>
  <c r="BH255" i="4" s="1"/>
  <c r="BF344" i="4"/>
  <c r="BF349" i="4"/>
  <c r="BF339" i="4"/>
  <c r="BF299" i="4"/>
  <c r="BH299" i="4" s="1"/>
  <c r="BF295" i="4"/>
  <c r="BH295" i="4" s="1"/>
  <c r="BF293" i="4"/>
  <c r="BH293" i="4" s="1"/>
  <c r="BF254" i="4"/>
  <c r="BH254" i="4" s="1"/>
  <c r="BF298" i="4"/>
  <c r="BH298" i="4" s="1"/>
  <c r="BF286" i="4"/>
  <c r="BH286" i="4" s="1"/>
  <c r="BF289" i="4"/>
  <c r="BH289" i="4" s="1"/>
  <c r="BF323" i="4"/>
  <c r="BF348" i="4"/>
  <c r="BF305" i="4"/>
  <c r="BH305" i="4" s="1"/>
  <c r="BF291" i="4"/>
  <c r="BH291" i="4" s="1"/>
  <c r="BF287" i="4"/>
  <c r="BH287" i="4" s="1"/>
  <c r="BF345" i="4"/>
  <c r="BF271" i="4"/>
  <c r="BH271" i="4" s="1"/>
  <c r="BF335" i="4"/>
  <c r="BF329" i="4"/>
  <c r="BF350" i="4"/>
  <c r="BF302" i="4"/>
  <c r="BH302" i="4" s="1"/>
  <c r="BF288" i="4"/>
  <c r="BH288" i="4" s="1"/>
  <c r="BF351" i="4"/>
  <c r="BF253" i="4"/>
  <c r="BH253" i="4" s="1"/>
  <c r="BF324" i="4"/>
  <c r="BF347" i="4"/>
  <c r="BF257" i="4"/>
  <c r="BH257" i="4" s="1"/>
  <c r="BF272" i="4"/>
  <c r="BH272" i="4" s="1"/>
  <c r="BF277" i="4"/>
  <c r="BH277" i="4" s="1"/>
  <c r="BF260" i="4"/>
  <c r="BH260" i="4" s="1"/>
  <c r="BF352" i="4"/>
  <c r="BF332" i="4"/>
  <c r="BF312" i="4"/>
  <c r="BH312" i="4" s="1"/>
  <c r="BF317" i="4"/>
  <c r="BH317" i="4" s="1"/>
  <c r="BF343" i="4"/>
  <c r="BF310" i="4"/>
  <c r="BH310" i="4" s="1"/>
  <c r="BF315" i="4"/>
  <c r="BH315" i="4" s="1"/>
  <c r="BF311" i="4"/>
  <c r="BH311" i="4" s="1"/>
  <c r="BF316" i="4"/>
  <c r="BH316" i="4" s="1"/>
  <c r="BF336" i="4"/>
  <c r="BF341" i="4"/>
  <c r="BF337" i="4"/>
  <c r="BF267" i="4"/>
  <c r="BH267" i="4" s="1"/>
  <c r="BF263" i="4"/>
  <c r="BH263" i="4" s="1"/>
  <c r="BF258" i="4"/>
  <c r="BH258" i="4" s="1"/>
  <c r="BF304" i="4"/>
  <c r="BH304" i="4" s="1"/>
  <c r="BF309" i="4"/>
  <c r="BH309" i="4" s="1"/>
  <c r="BF300" i="4"/>
  <c r="BH300" i="4" s="1"/>
  <c r="BF268" i="4"/>
  <c r="BH268" i="4" s="1"/>
  <c r="BF266" i="4"/>
  <c r="BH266" i="4" s="1"/>
  <c r="BF330" i="4"/>
  <c r="BF281" i="4"/>
  <c r="BH281" i="4" s="1"/>
  <c r="BF279" i="4"/>
  <c r="BH279" i="4" s="1"/>
  <c r="BE983" i="4"/>
  <c r="BE991" i="4"/>
  <c r="BE999" i="4"/>
  <c r="BE1007" i="4"/>
  <c r="BE1015" i="4"/>
  <c r="BE1023" i="4"/>
  <c r="BE1031" i="4"/>
  <c r="BE1039" i="4"/>
  <c r="BE984" i="4"/>
  <c r="BE992" i="4"/>
  <c r="BE1000" i="4"/>
  <c r="BE1008" i="4"/>
  <c r="BE1016" i="4"/>
  <c r="BE1024" i="4"/>
  <c r="BE1032" i="4"/>
  <c r="BE985" i="4"/>
  <c r="BE993" i="4"/>
  <c r="BE1001" i="4"/>
  <c r="BE1009" i="4"/>
  <c r="BE1017" i="4"/>
  <c r="BE1025" i="4"/>
  <c r="BE1033" i="4"/>
  <c r="BE986" i="4"/>
  <c r="BE994" i="4"/>
  <c r="BE1002" i="4"/>
  <c r="BE1010" i="4"/>
  <c r="BE1018" i="4"/>
  <c r="BE1026" i="4"/>
  <c r="BE1034" i="4"/>
  <c r="BE979" i="4"/>
  <c r="BE987" i="4"/>
  <c r="BE995" i="4"/>
  <c r="BE1003" i="4"/>
  <c r="BE1011" i="4"/>
  <c r="BE1019" i="4"/>
  <c r="BE1027" i="4"/>
  <c r="BE1035" i="4"/>
  <c r="BE980" i="4"/>
  <c r="BE988" i="4"/>
  <c r="BE996" i="4"/>
  <c r="BE1004" i="4"/>
  <c r="BE1012" i="4"/>
  <c r="BE1020" i="4"/>
  <c r="BE1028" i="4"/>
  <c r="BE1036" i="4"/>
  <c r="BE981" i="4"/>
  <c r="BE989" i="4"/>
  <c r="BE997" i="4"/>
  <c r="BE1005" i="4"/>
  <c r="BE1013" i="4"/>
  <c r="BE1021" i="4"/>
  <c r="BE1029" i="4"/>
  <c r="BE1037" i="4"/>
  <c r="BE982" i="4"/>
  <c r="BE990" i="4"/>
  <c r="BE998" i="4"/>
  <c r="BE1006" i="4"/>
  <c r="BE1014" i="4"/>
  <c r="BE1022" i="4"/>
  <c r="BE1030" i="4"/>
  <c r="BE1038" i="4"/>
  <c r="BE258" i="4"/>
  <c r="BE266" i="4"/>
  <c r="BE274" i="4"/>
  <c r="BE282" i="4"/>
  <c r="BE290" i="4"/>
  <c r="BE298" i="4"/>
  <c r="BE306" i="4"/>
  <c r="BE314" i="4"/>
  <c r="BE322" i="4"/>
  <c r="BE330" i="4"/>
  <c r="BE338" i="4"/>
  <c r="BE346" i="4"/>
  <c r="BE259" i="4"/>
  <c r="BE267" i="4"/>
  <c r="BE275" i="4"/>
  <c r="BE283" i="4"/>
  <c r="BE291" i="4"/>
  <c r="BE299" i="4"/>
  <c r="BE307" i="4"/>
  <c r="BE315" i="4"/>
  <c r="BE323" i="4"/>
  <c r="BE331" i="4"/>
  <c r="BE339" i="4"/>
  <c r="BE347" i="4"/>
  <c r="BE260" i="4"/>
  <c r="BE268" i="4"/>
  <c r="BE276" i="4"/>
  <c r="BE284" i="4"/>
  <c r="BE292" i="4"/>
  <c r="BE300" i="4"/>
  <c r="BE308" i="4"/>
  <c r="BE316" i="4"/>
  <c r="BE324" i="4"/>
  <c r="BE332" i="4"/>
  <c r="BE340" i="4"/>
  <c r="BE348" i="4"/>
  <c r="BE253" i="4"/>
  <c r="BE261" i="4"/>
  <c r="BE269" i="4"/>
  <c r="BE277" i="4"/>
  <c r="BE285" i="4"/>
  <c r="BE293" i="4"/>
  <c r="BE301" i="4"/>
  <c r="BE309" i="4"/>
  <c r="BE317" i="4"/>
  <c r="BE325" i="4"/>
  <c r="BE333" i="4"/>
  <c r="BE341" i="4"/>
  <c r="BE349" i="4"/>
  <c r="BE254" i="4"/>
  <c r="BE262" i="4"/>
  <c r="BE270" i="4"/>
  <c r="BE278" i="4"/>
  <c r="BE286" i="4"/>
  <c r="BE294" i="4"/>
  <c r="BE302" i="4"/>
  <c r="BE310" i="4"/>
  <c r="BE318" i="4"/>
  <c r="BE326" i="4"/>
  <c r="BE334" i="4"/>
  <c r="BE342" i="4"/>
  <c r="BE350" i="4"/>
  <c r="BE255" i="4"/>
  <c r="BE263" i="4"/>
  <c r="BE271" i="4"/>
  <c r="BE279" i="4"/>
  <c r="BE287" i="4"/>
  <c r="BE295" i="4"/>
  <c r="BE303" i="4"/>
  <c r="BE311" i="4"/>
  <c r="BE319" i="4"/>
  <c r="BE327" i="4"/>
  <c r="BE335" i="4"/>
  <c r="BE343" i="4"/>
  <c r="BE351" i="4"/>
  <c r="BE256" i="4"/>
  <c r="BE264" i="4"/>
  <c r="BE272" i="4"/>
  <c r="BE280" i="4"/>
  <c r="BE288" i="4"/>
  <c r="BE296" i="4"/>
  <c r="BE304" i="4"/>
  <c r="BE312" i="4"/>
  <c r="BE320" i="4"/>
  <c r="BE328" i="4"/>
  <c r="BE336" i="4"/>
  <c r="BE344" i="4"/>
  <c r="BE352" i="4"/>
  <c r="BE257" i="4"/>
  <c r="BE265" i="4"/>
  <c r="BE273" i="4"/>
  <c r="BE281" i="4"/>
  <c r="BE289" i="4"/>
  <c r="BE297" i="4"/>
  <c r="BE305" i="4"/>
  <c r="BE313" i="4"/>
  <c r="BE321" i="4"/>
  <c r="BE329" i="4"/>
  <c r="BE337" i="4"/>
  <c r="BE345" i="4"/>
  <c r="AN1065" i="4"/>
  <c r="AN1057" i="4"/>
  <c r="AN1049" i="4"/>
  <c r="AN1041" i="4"/>
  <c r="AN1033" i="4"/>
  <c r="AN1025" i="4"/>
  <c r="AN1017" i="4"/>
  <c r="AN1009" i="4"/>
  <c r="AN1001" i="4"/>
  <c r="AN993" i="4"/>
  <c r="AN985" i="4"/>
  <c r="AN977" i="4"/>
  <c r="AN969" i="4"/>
  <c r="AN961" i="4"/>
  <c r="AN953" i="4"/>
  <c r="AN945" i="4"/>
  <c r="AN937" i="4"/>
  <c r="AN929" i="4"/>
  <c r="AN921" i="4"/>
  <c r="AN913" i="4"/>
  <c r="AN905" i="4"/>
  <c r="AN897" i="4"/>
  <c r="AN889" i="4"/>
  <c r="AN881" i="4"/>
  <c r="AN873" i="4"/>
  <c r="AN865" i="4"/>
  <c r="AN857" i="4"/>
  <c r="AN849" i="4"/>
  <c r="AN841" i="4"/>
  <c r="AN833" i="4"/>
  <c r="AN825" i="4"/>
  <c r="AN817" i="4"/>
  <c r="AN809" i="4"/>
  <c r="AN801" i="4"/>
  <c r="AN793" i="4"/>
  <c r="AN785" i="4"/>
  <c r="AN777" i="4"/>
  <c r="AN769" i="4"/>
  <c r="AN761" i="4"/>
  <c r="AN753" i="4"/>
  <c r="AN745" i="4"/>
  <c r="AN737" i="4"/>
  <c r="AN729" i="4"/>
  <c r="AN1072" i="4"/>
  <c r="AN1064" i="4"/>
  <c r="AN1056" i="4"/>
  <c r="AN1048" i="4"/>
  <c r="AN1040" i="4"/>
  <c r="AN1032" i="4"/>
  <c r="AN1024" i="4"/>
  <c r="AN1016" i="4"/>
  <c r="AN1008" i="4"/>
  <c r="AN1000" i="4"/>
  <c r="AN992" i="4"/>
  <c r="AN984" i="4"/>
  <c r="AN976" i="4"/>
  <c r="AN968" i="4"/>
  <c r="AN960" i="4"/>
  <c r="AN952" i="4"/>
  <c r="AN944" i="4"/>
  <c r="AN936" i="4"/>
  <c r="AN928" i="4"/>
  <c r="AN920" i="4"/>
  <c r="AN912" i="4"/>
  <c r="AN904" i="4"/>
  <c r="AN896" i="4"/>
  <c r="AN888" i="4"/>
  <c r="AN880" i="4"/>
  <c r="AN872" i="4"/>
  <c r="AN864" i="4"/>
  <c r="AN856" i="4"/>
  <c r="AN848" i="4"/>
  <c r="AN840" i="4"/>
  <c r="AN832" i="4"/>
  <c r="AN824" i="4"/>
  <c r="AN816" i="4"/>
  <c r="AN808" i="4"/>
  <c r="AN800" i="4"/>
  <c r="AN792" i="4"/>
  <c r="AN784" i="4"/>
  <c r="AN1071" i="4"/>
  <c r="AN1063" i="4"/>
  <c r="AN1055" i="4"/>
  <c r="AN1047" i="4"/>
  <c r="AN1039" i="4"/>
  <c r="AN1031" i="4"/>
  <c r="AN1023" i="4"/>
  <c r="AN1015" i="4"/>
  <c r="AN1007" i="4"/>
  <c r="AN999" i="4"/>
  <c r="AN991" i="4"/>
  <c r="AN983" i="4"/>
  <c r="AN975" i="4"/>
  <c r="AN967" i="4"/>
  <c r="AN959" i="4"/>
  <c r="AN951" i="4"/>
  <c r="AN943" i="4"/>
  <c r="AN935" i="4"/>
  <c r="AN927" i="4"/>
  <c r="AN919" i="4"/>
  <c r="AN911" i="4"/>
  <c r="AN903" i="4"/>
  <c r="AN895" i="4"/>
  <c r="AN887" i="4"/>
  <c r="AN879" i="4"/>
  <c r="AN871" i="4"/>
  <c r="AN863" i="4"/>
  <c r="AN855" i="4"/>
  <c r="AN847" i="4"/>
  <c r="AN839" i="4"/>
  <c r="AN831" i="4"/>
  <c r="AN823" i="4"/>
  <c r="AN815" i="4"/>
  <c r="AN807" i="4"/>
  <c r="AN799" i="4"/>
  <c r="AN791" i="4"/>
  <c r="AN783" i="4"/>
  <c r="AN775" i="4"/>
  <c r="AN767" i="4"/>
  <c r="AN759" i="4"/>
  <c r="AN751" i="4"/>
  <c r="AN743" i="4"/>
  <c r="AN735" i="4"/>
  <c r="AN1070" i="4"/>
  <c r="AN1062" i="4"/>
  <c r="AN1054" i="4"/>
  <c r="AN1046" i="4"/>
  <c r="AN1038" i="4"/>
  <c r="AN1030" i="4"/>
  <c r="AN1022" i="4"/>
  <c r="AN1014" i="4"/>
  <c r="AN1006" i="4"/>
  <c r="AN998" i="4"/>
  <c r="AN990" i="4"/>
  <c r="AN982" i="4"/>
  <c r="AN974" i="4"/>
  <c r="AN966" i="4"/>
  <c r="AN958" i="4"/>
  <c r="AN950" i="4"/>
  <c r="AN942" i="4"/>
  <c r="AN934" i="4"/>
  <c r="AN926" i="4"/>
  <c r="AN918" i="4"/>
  <c r="AN910" i="4"/>
  <c r="AN902" i="4"/>
  <c r="AN894" i="4"/>
  <c r="AN886" i="4"/>
  <c r="AN878" i="4"/>
  <c r="AN870" i="4"/>
  <c r="AN862" i="4"/>
  <c r="AN854" i="4"/>
  <c r="AN846" i="4"/>
  <c r="AN838" i="4"/>
  <c r="AN830" i="4"/>
  <c r="AN822" i="4"/>
  <c r="AN814" i="4"/>
  <c r="AN806" i="4"/>
  <c r="AN798" i="4"/>
  <c r="AN790" i="4"/>
  <c r="AN782" i="4"/>
  <c r="AN774" i="4"/>
  <c r="AN766" i="4"/>
  <c r="AN758" i="4"/>
  <c r="AN750" i="4"/>
  <c r="AN742" i="4"/>
  <c r="AN734" i="4"/>
  <c r="AN726" i="4"/>
  <c r="AN1069" i="4"/>
  <c r="AN1061" i="4"/>
  <c r="AN1053" i="4"/>
  <c r="AN1045" i="4"/>
  <c r="AN1037" i="4"/>
  <c r="AN1029" i="4"/>
  <c r="AN1021" i="4"/>
  <c r="AN1013" i="4"/>
  <c r="AN1005" i="4"/>
  <c r="AN997" i="4"/>
  <c r="AN989" i="4"/>
  <c r="AN981" i="4"/>
  <c r="AN973" i="4"/>
  <c r="AN965" i="4"/>
  <c r="AN957" i="4"/>
  <c r="AN949" i="4"/>
  <c r="AN941" i="4"/>
  <c r="AN933" i="4"/>
  <c r="AN925" i="4"/>
  <c r="AN917" i="4"/>
  <c r="AN909" i="4"/>
  <c r="AN901" i="4"/>
  <c r="AN893" i="4"/>
  <c r="AN885" i="4"/>
  <c r="AN877" i="4"/>
  <c r="AN869" i="4"/>
  <c r="AN861" i="4"/>
  <c r="AN853" i="4"/>
  <c r="AN845" i="4"/>
  <c r="AN837" i="4"/>
  <c r="AN829" i="4"/>
  <c r="AN821" i="4"/>
  <c r="AN813" i="4"/>
  <c r="AN805" i="4"/>
  <c r="AN797" i="4"/>
  <c r="AN789" i="4"/>
  <c r="AN781" i="4"/>
  <c r="AN773" i="4"/>
  <c r="AN765" i="4"/>
  <c r="AN757" i="4"/>
  <c r="AN749" i="4"/>
  <c r="AN741" i="4"/>
  <c r="AN733" i="4"/>
  <c r="AN1068" i="4"/>
  <c r="AN1060" i="4"/>
  <c r="AN1052" i="4"/>
  <c r="AN1044" i="4"/>
  <c r="AN1036" i="4"/>
  <c r="AN1028" i="4"/>
  <c r="AN1020" i="4"/>
  <c r="AN1012" i="4"/>
  <c r="AN1004" i="4"/>
  <c r="AN996" i="4"/>
  <c r="AN988" i="4"/>
  <c r="AN980" i="4"/>
  <c r="AN972" i="4"/>
  <c r="AN964" i="4"/>
  <c r="AN956" i="4"/>
  <c r="AN948" i="4"/>
  <c r="AN940" i="4"/>
  <c r="AN932" i="4"/>
  <c r="AN924" i="4"/>
  <c r="AN916" i="4"/>
  <c r="AN908" i="4"/>
  <c r="AN900" i="4"/>
  <c r="AN892" i="4"/>
  <c r="AN884" i="4"/>
  <c r="AN876" i="4"/>
  <c r="AN868" i="4"/>
  <c r="AN860" i="4"/>
  <c r="AN852" i="4"/>
  <c r="AN844" i="4"/>
  <c r="AN836" i="4"/>
  <c r="AN828" i="4"/>
  <c r="AN820" i="4"/>
  <c r="AN812" i="4"/>
  <c r="AN804" i="4"/>
  <c r="AN796" i="4"/>
  <c r="AN788" i="4"/>
  <c r="AN780" i="4"/>
  <c r="AN772" i="4"/>
  <c r="AN764" i="4"/>
  <c r="AN756" i="4"/>
  <c r="AN1067" i="4"/>
  <c r="AN1059" i="4"/>
  <c r="AN1051" i="4"/>
  <c r="AN1043" i="4"/>
  <c r="AN1035" i="4"/>
  <c r="AN1027" i="4"/>
  <c r="AN1019" i="4"/>
  <c r="AN1011" i="4"/>
  <c r="AN1003" i="4"/>
  <c r="AN995" i="4"/>
  <c r="AN987" i="4"/>
  <c r="AN979" i="4"/>
  <c r="AN971" i="4"/>
  <c r="AN963" i="4"/>
  <c r="AN955" i="4"/>
  <c r="AN947" i="4"/>
  <c r="AN939" i="4"/>
  <c r="AN931" i="4"/>
  <c r="AN923" i="4"/>
  <c r="AN915" i="4"/>
  <c r="AN907" i="4"/>
  <c r="AN899" i="4"/>
  <c r="AN891" i="4"/>
  <c r="AN883" i="4"/>
  <c r="AN875" i="4"/>
  <c r="AN867" i="4"/>
  <c r="AN859" i="4"/>
  <c r="AN851" i="4"/>
  <c r="AN843" i="4"/>
  <c r="AN835" i="4"/>
  <c r="AN827" i="4"/>
  <c r="AN819" i="4"/>
  <c r="AN811" i="4"/>
  <c r="AN803" i="4"/>
  <c r="AN795" i="4"/>
  <c r="AN787" i="4"/>
  <c r="AN779" i="4"/>
  <c r="AN771" i="4"/>
  <c r="AN763" i="4"/>
  <c r="AN755" i="4"/>
  <c r="AN747" i="4"/>
  <c r="AN1066" i="4"/>
  <c r="AN1058" i="4"/>
  <c r="AN1050" i="4"/>
  <c r="AN1042" i="4"/>
  <c r="AN1034" i="4"/>
  <c r="AN1026" i="4"/>
  <c r="AN1018" i="4"/>
  <c r="AN1010" i="4"/>
  <c r="AN1002" i="4"/>
  <c r="AN994" i="4"/>
  <c r="AN986" i="4"/>
  <c r="AN978" i="4"/>
  <c r="AN970" i="4"/>
  <c r="AN962" i="4"/>
  <c r="AN954" i="4"/>
  <c r="AN946" i="4"/>
  <c r="AN938" i="4"/>
  <c r="AN930" i="4"/>
  <c r="AN922" i="4"/>
  <c r="AN914" i="4"/>
  <c r="AN906" i="4"/>
  <c r="AN898" i="4"/>
  <c r="AN890" i="4"/>
  <c r="AN882" i="4"/>
  <c r="AN874" i="4"/>
  <c r="AN866" i="4"/>
  <c r="AN858" i="4"/>
  <c r="AN850" i="4"/>
  <c r="AN842" i="4"/>
  <c r="AN834" i="4"/>
  <c r="AN826" i="4"/>
  <c r="AN818" i="4"/>
  <c r="AN810" i="4"/>
  <c r="AN802" i="4"/>
  <c r="AN794" i="4"/>
  <c r="AN786" i="4"/>
  <c r="AN778" i="4"/>
  <c r="AN770" i="4"/>
  <c r="AN762" i="4"/>
  <c r="AN754" i="4"/>
  <c r="AN746" i="4"/>
  <c r="AN738" i="4"/>
  <c r="AN760" i="4"/>
  <c r="AN744" i="4"/>
  <c r="AN732" i="4"/>
  <c r="AN717" i="4"/>
  <c r="AN709" i="4"/>
  <c r="AN701" i="4"/>
  <c r="AN693" i="4"/>
  <c r="AN685" i="4"/>
  <c r="AN677" i="4"/>
  <c r="AN669" i="4"/>
  <c r="AN661" i="4"/>
  <c r="AN653" i="4"/>
  <c r="AN645" i="4"/>
  <c r="AN637" i="4"/>
  <c r="AN629" i="4"/>
  <c r="AN621" i="4"/>
  <c r="AN613" i="4"/>
  <c r="AN605" i="4"/>
  <c r="AN597" i="4"/>
  <c r="AN589" i="4"/>
  <c r="AN581" i="4"/>
  <c r="AN573" i="4"/>
  <c r="AN565" i="4"/>
  <c r="AN557" i="4"/>
  <c r="AN549" i="4"/>
  <c r="AN541" i="4"/>
  <c r="AN533" i="4"/>
  <c r="AN525" i="4"/>
  <c r="AN517" i="4"/>
  <c r="AN509" i="4"/>
  <c r="AN501" i="4"/>
  <c r="AN493" i="4"/>
  <c r="AN768" i="4"/>
  <c r="AN731" i="4"/>
  <c r="AN730" i="4"/>
  <c r="AN728" i="4"/>
  <c r="AN727" i="4"/>
  <c r="AN725" i="4"/>
  <c r="AN716" i="4"/>
  <c r="AN708" i="4"/>
  <c r="AN700" i="4"/>
  <c r="AN692" i="4"/>
  <c r="AN684" i="4"/>
  <c r="AN676" i="4"/>
  <c r="AN668" i="4"/>
  <c r="AN660" i="4"/>
  <c r="AN652" i="4"/>
  <c r="AN644" i="4"/>
  <c r="AN636" i="4"/>
  <c r="AN628" i="4"/>
  <c r="AN620" i="4"/>
  <c r="AN612" i="4"/>
  <c r="AN604" i="4"/>
  <c r="AN596" i="4"/>
  <c r="AN588" i="4"/>
  <c r="AN580" i="4"/>
  <c r="AN572" i="4"/>
  <c r="AN564" i="4"/>
  <c r="AN556" i="4"/>
  <c r="AN548" i="4"/>
  <c r="AN540" i="4"/>
  <c r="AN532" i="4"/>
  <c r="AN524" i="4"/>
  <c r="AN516" i="4"/>
  <c r="AN508" i="4"/>
  <c r="AN500" i="4"/>
  <c r="AN492" i="4"/>
  <c r="AN484" i="4"/>
  <c r="AN776" i="4"/>
  <c r="AN724" i="4"/>
  <c r="AN715" i="4"/>
  <c r="AN707" i="4"/>
  <c r="AN699" i="4"/>
  <c r="AN691" i="4"/>
  <c r="AN683" i="4"/>
  <c r="AN675" i="4"/>
  <c r="AN667" i="4"/>
  <c r="AN659" i="4"/>
  <c r="AN651" i="4"/>
  <c r="AN643" i="4"/>
  <c r="AN635" i="4"/>
  <c r="AN627" i="4"/>
  <c r="AN619" i="4"/>
  <c r="AN611" i="4"/>
  <c r="AN603" i="4"/>
  <c r="AN595" i="4"/>
  <c r="AN587" i="4"/>
  <c r="AN579" i="4"/>
  <c r="AN571" i="4"/>
  <c r="AN563" i="4"/>
  <c r="AN555" i="4"/>
  <c r="AN547" i="4"/>
  <c r="AN539" i="4"/>
  <c r="AN531" i="4"/>
  <c r="AN523" i="4"/>
  <c r="AN515" i="4"/>
  <c r="AN507" i="4"/>
  <c r="AN499" i="4"/>
  <c r="AN491" i="4"/>
  <c r="AN748" i="4"/>
  <c r="AN736" i="4"/>
  <c r="AN723" i="4"/>
  <c r="AN714" i="4"/>
  <c r="AN706" i="4"/>
  <c r="AN698" i="4"/>
  <c r="AN690" i="4"/>
  <c r="AN682" i="4"/>
  <c r="AN674" i="4"/>
  <c r="AN666" i="4"/>
  <c r="AN658" i="4"/>
  <c r="AN650" i="4"/>
  <c r="AN642" i="4"/>
  <c r="AN634" i="4"/>
  <c r="AN626" i="4"/>
  <c r="AN618" i="4"/>
  <c r="AN610" i="4"/>
  <c r="AN602" i="4"/>
  <c r="AN594" i="4"/>
  <c r="AN586" i="4"/>
  <c r="AN578" i="4"/>
  <c r="AN570" i="4"/>
  <c r="AN562" i="4"/>
  <c r="AN554" i="4"/>
  <c r="AN546" i="4"/>
  <c r="AN538" i="4"/>
  <c r="AN530" i="4"/>
  <c r="AN522" i="4"/>
  <c r="AN514" i="4"/>
  <c r="AN506" i="4"/>
  <c r="AN498" i="4"/>
  <c r="AN490" i="4"/>
  <c r="AN740" i="4"/>
  <c r="AN722" i="4"/>
  <c r="AN713" i="4"/>
  <c r="AN705" i="4"/>
  <c r="AN697" i="4"/>
  <c r="AN689" i="4"/>
  <c r="AN681" i="4"/>
  <c r="AN673" i="4"/>
  <c r="AN665" i="4"/>
  <c r="AN657" i="4"/>
  <c r="AN649" i="4"/>
  <c r="AN641" i="4"/>
  <c r="AN633" i="4"/>
  <c r="AN625" i="4"/>
  <c r="AN617" i="4"/>
  <c r="AN609" i="4"/>
  <c r="AN601" i="4"/>
  <c r="AN593" i="4"/>
  <c r="AN585" i="4"/>
  <c r="AN577" i="4"/>
  <c r="AN569" i="4"/>
  <c r="AN561" i="4"/>
  <c r="AN553" i="4"/>
  <c r="AN545" i="4"/>
  <c r="AN537" i="4"/>
  <c r="AN529" i="4"/>
  <c r="AN739" i="4"/>
  <c r="AN721" i="4"/>
  <c r="AN712" i="4"/>
  <c r="AN704" i="4"/>
  <c r="AN696" i="4"/>
  <c r="AN688" i="4"/>
  <c r="AN680" i="4"/>
  <c r="AN672" i="4"/>
  <c r="AN664" i="4"/>
  <c r="AN656" i="4"/>
  <c r="AN648" i="4"/>
  <c r="AN640" i="4"/>
  <c r="AN632" i="4"/>
  <c r="AN624" i="4"/>
  <c r="AN616" i="4"/>
  <c r="AN608" i="4"/>
  <c r="AN600" i="4"/>
  <c r="AN592" i="4"/>
  <c r="AN584" i="4"/>
  <c r="AN576" i="4"/>
  <c r="AN568" i="4"/>
  <c r="AN560" i="4"/>
  <c r="AN552" i="4"/>
  <c r="AN544" i="4"/>
  <c r="AN536" i="4"/>
  <c r="AN528" i="4"/>
  <c r="AN520" i="4"/>
  <c r="AN512" i="4"/>
  <c r="AN720" i="4"/>
  <c r="AN719" i="4"/>
  <c r="AN711" i="4"/>
  <c r="AN703" i="4"/>
  <c r="AN695" i="4"/>
  <c r="AN687" i="4"/>
  <c r="AN679" i="4"/>
  <c r="AN671" i="4"/>
  <c r="AN663" i="4"/>
  <c r="AN655" i="4"/>
  <c r="AN647" i="4"/>
  <c r="AN639" i="4"/>
  <c r="AN631" i="4"/>
  <c r="AN623" i="4"/>
  <c r="AN615" i="4"/>
  <c r="AN607" i="4"/>
  <c r="AN599" i="4"/>
  <c r="AN591" i="4"/>
  <c r="AN583" i="4"/>
  <c r="AN575" i="4"/>
  <c r="AN567" i="4"/>
  <c r="AN559" i="4"/>
  <c r="AN551" i="4"/>
  <c r="AN543" i="4"/>
  <c r="AN535" i="4"/>
  <c r="AN527" i="4"/>
  <c r="AN519" i="4"/>
  <c r="AN511" i="4"/>
  <c r="AN503" i="4"/>
  <c r="AN718" i="4"/>
  <c r="AN654" i="4"/>
  <c r="AN646" i="4"/>
  <c r="AN638" i="4"/>
  <c r="AN630" i="4"/>
  <c r="AN622" i="4"/>
  <c r="AN614" i="4"/>
  <c r="AN606" i="4"/>
  <c r="AN598" i="4"/>
  <c r="AN590" i="4"/>
  <c r="AN582" i="4"/>
  <c r="AN574" i="4"/>
  <c r="AN566" i="4"/>
  <c r="AN558" i="4"/>
  <c r="AN550" i="4"/>
  <c r="AN542" i="4"/>
  <c r="AN534" i="4"/>
  <c r="AN526" i="4"/>
  <c r="AN505" i="4"/>
  <c r="AN504" i="4"/>
  <c r="AN494" i="4"/>
  <c r="AN481" i="4"/>
  <c r="AN473" i="4"/>
  <c r="AN465" i="4"/>
  <c r="AN457" i="4"/>
  <c r="AN449" i="4"/>
  <c r="AN441" i="4"/>
  <c r="AN433" i="4"/>
  <c r="AN425" i="4"/>
  <c r="AN417" i="4"/>
  <c r="AN409" i="4"/>
  <c r="AN401" i="4"/>
  <c r="AN393" i="4"/>
  <c r="AN385" i="4"/>
  <c r="AN377" i="4"/>
  <c r="AN369" i="4"/>
  <c r="AN361" i="4"/>
  <c r="AN353" i="4"/>
  <c r="AN345" i="4"/>
  <c r="AN337" i="4"/>
  <c r="AN329" i="4"/>
  <c r="AN321" i="4"/>
  <c r="AN313" i="4"/>
  <c r="AN305" i="4"/>
  <c r="AN297" i="4"/>
  <c r="AN289" i="4"/>
  <c r="AN281" i="4"/>
  <c r="AN273" i="4"/>
  <c r="AN265" i="4"/>
  <c r="AN257" i="4"/>
  <c r="AN249" i="4"/>
  <c r="AN241" i="4"/>
  <c r="AN662" i="4"/>
  <c r="AN502" i="4"/>
  <c r="AN480" i="4"/>
  <c r="AN472" i="4"/>
  <c r="AN464" i="4"/>
  <c r="AN456" i="4"/>
  <c r="AN448" i="4"/>
  <c r="AN440" i="4"/>
  <c r="AN432" i="4"/>
  <c r="AN424" i="4"/>
  <c r="AN416" i="4"/>
  <c r="AN408" i="4"/>
  <c r="AN400" i="4"/>
  <c r="AN392" i="4"/>
  <c r="AN384" i="4"/>
  <c r="AN376" i="4"/>
  <c r="AN368" i="4"/>
  <c r="AN360" i="4"/>
  <c r="AN352" i="4"/>
  <c r="AN344" i="4"/>
  <c r="AN336" i="4"/>
  <c r="AN328" i="4"/>
  <c r="AN320" i="4"/>
  <c r="AN312" i="4"/>
  <c r="AN304" i="4"/>
  <c r="AN296" i="4"/>
  <c r="AN288" i="4"/>
  <c r="AN280" i="4"/>
  <c r="AN272" i="4"/>
  <c r="AN264" i="4"/>
  <c r="AN256" i="4"/>
  <c r="AN248" i="4"/>
  <c r="AN240" i="4"/>
  <c r="AN232" i="4"/>
  <c r="AN224" i="4"/>
  <c r="AN216" i="4"/>
  <c r="AN752" i="4"/>
  <c r="AN670" i="4"/>
  <c r="AN518" i="4"/>
  <c r="AN479" i="4"/>
  <c r="AN471" i="4"/>
  <c r="AN463" i="4"/>
  <c r="AN455" i="4"/>
  <c r="AN447" i="4"/>
  <c r="AN439" i="4"/>
  <c r="AN431" i="4"/>
  <c r="AN423" i="4"/>
  <c r="AN415" i="4"/>
  <c r="AN407" i="4"/>
  <c r="AN399" i="4"/>
  <c r="AN391" i="4"/>
  <c r="AN383" i="4"/>
  <c r="AN375" i="4"/>
  <c r="AN367" i="4"/>
  <c r="AN359" i="4"/>
  <c r="AN351" i="4"/>
  <c r="AN343" i="4"/>
  <c r="AN335" i="4"/>
  <c r="AN327" i="4"/>
  <c r="AN319" i="4"/>
  <c r="AN311" i="4"/>
  <c r="AN303" i="4"/>
  <c r="AN295" i="4"/>
  <c r="AN287" i="4"/>
  <c r="AN279" i="4"/>
  <c r="AN271" i="4"/>
  <c r="AN263" i="4"/>
  <c r="AN255" i="4"/>
  <c r="AN247" i="4"/>
  <c r="AN239" i="4"/>
  <c r="AN231" i="4"/>
  <c r="AN223" i="4"/>
  <c r="AN215" i="4"/>
  <c r="AN678" i="4"/>
  <c r="AN489" i="4"/>
  <c r="AN478" i="4"/>
  <c r="AN470" i="4"/>
  <c r="AN462" i="4"/>
  <c r="AN454" i="4"/>
  <c r="AN446" i="4"/>
  <c r="AN438" i="4"/>
  <c r="AN430" i="4"/>
  <c r="AN422" i="4"/>
  <c r="AN414" i="4"/>
  <c r="AN406" i="4"/>
  <c r="AN398" i="4"/>
  <c r="AN390" i="4"/>
  <c r="AN382" i="4"/>
  <c r="AN374" i="4"/>
  <c r="AN366" i="4"/>
  <c r="AN358" i="4"/>
  <c r="AN350" i="4"/>
  <c r="AN342" i="4"/>
  <c r="AN334" i="4"/>
  <c r="AN326" i="4"/>
  <c r="AN318" i="4"/>
  <c r="AN310" i="4"/>
  <c r="AN302" i="4"/>
  <c r="AN294" i="4"/>
  <c r="AN286" i="4"/>
  <c r="AN278" i="4"/>
  <c r="AN270" i="4"/>
  <c r="AN262" i="4"/>
  <c r="AN254" i="4"/>
  <c r="AN246" i="4"/>
  <c r="AN238" i="4"/>
  <c r="AN230" i="4"/>
  <c r="AN222" i="4"/>
  <c r="AN214" i="4"/>
  <c r="AN686" i="4"/>
  <c r="AN521" i="4"/>
  <c r="AN510" i="4"/>
  <c r="AN488" i="4"/>
  <c r="AN477" i="4"/>
  <c r="AN469" i="4"/>
  <c r="AN461" i="4"/>
  <c r="AN453" i="4"/>
  <c r="AN445" i="4"/>
  <c r="AN437" i="4"/>
  <c r="AN429" i="4"/>
  <c r="AN421" i="4"/>
  <c r="AN413" i="4"/>
  <c r="AN405" i="4"/>
  <c r="AN397" i="4"/>
  <c r="AN389" i="4"/>
  <c r="AN381" i="4"/>
  <c r="AN373" i="4"/>
  <c r="AN365" i="4"/>
  <c r="AN357" i="4"/>
  <c r="AN349" i="4"/>
  <c r="AN341" i="4"/>
  <c r="AN333" i="4"/>
  <c r="AN325" i="4"/>
  <c r="AN317" i="4"/>
  <c r="AN309" i="4"/>
  <c r="AN301" i="4"/>
  <c r="AN293" i="4"/>
  <c r="AN285" i="4"/>
  <c r="AN277" i="4"/>
  <c r="AN269" i="4"/>
  <c r="AN261" i="4"/>
  <c r="AN253" i="4"/>
  <c r="AN245" i="4"/>
  <c r="AN237" i="4"/>
  <c r="AN229" i="4"/>
  <c r="AN221" i="4"/>
  <c r="AN217" i="4"/>
  <c r="AN694" i="4"/>
  <c r="AN497" i="4"/>
  <c r="AN487" i="4"/>
  <c r="AN476" i="4"/>
  <c r="AN468" i="4"/>
  <c r="AN460" i="4"/>
  <c r="AN452" i="4"/>
  <c r="AN444" i="4"/>
  <c r="AN436" i="4"/>
  <c r="AN428" i="4"/>
  <c r="AN420" i="4"/>
  <c r="AN412" i="4"/>
  <c r="AN404" i="4"/>
  <c r="AN396" i="4"/>
  <c r="AN388" i="4"/>
  <c r="AN380" i="4"/>
  <c r="AN372" i="4"/>
  <c r="AN364" i="4"/>
  <c r="AN356" i="4"/>
  <c r="AN348" i="4"/>
  <c r="AN340" i="4"/>
  <c r="AN332" i="4"/>
  <c r="AN324" i="4"/>
  <c r="AN316" i="4"/>
  <c r="AN308" i="4"/>
  <c r="AN300" i="4"/>
  <c r="AN292" i="4"/>
  <c r="AN284" i="4"/>
  <c r="AN276" i="4"/>
  <c r="AN268" i="4"/>
  <c r="AN260" i="4"/>
  <c r="AN252" i="4"/>
  <c r="AN244" i="4"/>
  <c r="AN236" i="4"/>
  <c r="AN228" i="4"/>
  <c r="AN220" i="4"/>
  <c r="AN702" i="4"/>
  <c r="AN513" i="4"/>
  <c r="AN496" i="4"/>
  <c r="AN486" i="4"/>
  <c r="AN485" i="4"/>
  <c r="AN483" i="4"/>
  <c r="AN475" i="4"/>
  <c r="AN467" i="4"/>
  <c r="AN459" i="4"/>
  <c r="AN451" i="4"/>
  <c r="AN443" i="4"/>
  <c r="AN435" i="4"/>
  <c r="AN427" i="4"/>
  <c r="AN419" i="4"/>
  <c r="AN411" i="4"/>
  <c r="AN403" i="4"/>
  <c r="AN395" i="4"/>
  <c r="AN387" i="4"/>
  <c r="AN379" i="4"/>
  <c r="AN371" i="4"/>
  <c r="AN363" i="4"/>
  <c r="AN355" i="4"/>
  <c r="AN347" i="4"/>
  <c r="AN339" i="4"/>
  <c r="AN331" i="4"/>
  <c r="AN323" i="4"/>
  <c r="AN315" i="4"/>
  <c r="AN307" i="4"/>
  <c r="AN299" i="4"/>
  <c r="AN291" i="4"/>
  <c r="AN283" i="4"/>
  <c r="AN275" i="4"/>
  <c r="AN267" i="4"/>
  <c r="AN259" i="4"/>
  <c r="AN251" i="4"/>
  <c r="AN243" i="4"/>
  <c r="AN235" i="4"/>
  <c r="AN227" i="4"/>
  <c r="AN219" i="4"/>
  <c r="AN710" i="4"/>
  <c r="AN495" i="4"/>
  <c r="AN482" i="4"/>
  <c r="AN474" i="4"/>
  <c r="AN466" i="4"/>
  <c r="AN458" i="4"/>
  <c r="AN450" i="4"/>
  <c r="AN442" i="4"/>
  <c r="AN434" i="4"/>
  <c r="AN426" i="4"/>
  <c r="AN418" i="4"/>
  <c r="AN410" i="4"/>
  <c r="AN402" i="4"/>
  <c r="AN394" i="4"/>
  <c r="AN386" i="4"/>
  <c r="AN378" i="4"/>
  <c r="AN370" i="4"/>
  <c r="AN362" i="4"/>
  <c r="AN354" i="4"/>
  <c r="AN346" i="4"/>
  <c r="AN338" i="4"/>
  <c r="AN330" i="4"/>
  <c r="AN322" i="4"/>
  <c r="AN314" i="4"/>
  <c r="AN306" i="4"/>
  <c r="AN298" i="4"/>
  <c r="AN290" i="4"/>
  <c r="AN282" i="4"/>
  <c r="AN274" i="4"/>
  <c r="AN266" i="4"/>
  <c r="AN258" i="4"/>
  <c r="AN250" i="4"/>
  <c r="AN242" i="4"/>
  <c r="AN234" i="4"/>
  <c r="AN226" i="4"/>
  <c r="AN218" i="4"/>
  <c r="AN233" i="4"/>
  <c r="AN225" i="4"/>
  <c r="Y84" i="3"/>
  <c r="Y83" i="3"/>
  <c r="Y82" i="3"/>
  <c r="X84" i="3"/>
  <c r="X83" i="3"/>
  <c r="X82" i="3"/>
  <c r="V81" i="3"/>
  <c r="V214" i="3" s="1"/>
  <c r="S81" i="3"/>
  <c r="S214" i="3" s="1"/>
  <c r="P81" i="3"/>
  <c r="P214" i="3" s="1"/>
  <c r="M81" i="3"/>
  <c r="M214" i="3" s="1"/>
  <c r="J81" i="3"/>
  <c r="J214" i="3" s="1"/>
  <c r="G81" i="3"/>
  <c r="D81" i="3"/>
  <c r="D214" i="3" s="1"/>
  <c r="B7" i="10"/>
  <c r="D111" i="10"/>
  <c r="D108" i="10"/>
  <c r="D47" i="12"/>
  <c r="D31" i="11" s="1"/>
  <c r="B52" i="10"/>
  <c r="D48" i="12"/>
  <c r="C31" i="11" s="1"/>
  <c r="D49" i="12"/>
  <c r="B31" i="11" s="1"/>
  <c r="AN24" i="4"/>
  <c r="AM23" i="4"/>
  <c r="N42" i="13"/>
  <c r="M42" i="13"/>
  <c r="AM62" i="4"/>
  <c r="AQ115" i="4"/>
  <c r="AM115" i="4"/>
  <c r="AP115" i="4"/>
  <c r="AP75" i="4"/>
  <c r="AM75" i="4"/>
  <c r="AO115" i="4"/>
  <c r="AP62" i="4"/>
  <c r="AQ10" i="4"/>
  <c r="AP10" i="4"/>
  <c r="AN11" i="4"/>
  <c r="AM10" i="4"/>
  <c r="AO10" i="4"/>
  <c r="AQ126" i="4"/>
  <c r="AP126" i="4"/>
  <c r="AM126" i="4"/>
  <c r="AP76" i="4"/>
  <c r="AQ76" i="4"/>
  <c r="AM76" i="4"/>
  <c r="AN77" i="4"/>
  <c r="AO126" i="4"/>
  <c r="AQ63" i="4"/>
  <c r="AM63" i="4"/>
  <c r="AP63" i="4"/>
  <c r="B26" i="11"/>
  <c r="B30" i="11" s="1"/>
  <c r="C26" i="11"/>
  <c r="L42" i="13"/>
  <c r="I42" i="13"/>
  <c r="H42" i="13"/>
  <c r="K42" i="13"/>
  <c r="G42" i="13"/>
  <c r="J42" i="13"/>
  <c r="AN210" i="4"/>
  <c r="AN204" i="4"/>
  <c r="AN188" i="4"/>
  <c r="AN203" i="4"/>
  <c r="AN206" i="4"/>
  <c r="AN209" i="4"/>
  <c r="AN189" i="4"/>
  <c r="AN179" i="4"/>
  <c r="AN163" i="4"/>
  <c r="AN172" i="4"/>
  <c r="AN182" i="4"/>
  <c r="AN166" i="4"/>
  <c r="AN177" i="4"/>
  <c r="AN159" i="4"/>
  <c r="AN143" i="4"/>
  <c r="AN150" i="4"/>
  <c r="AN161" i="4"/>
  <c r="AN145" i="4"/>
  <c r="AN156" i="4"/>
  <c r="AN140" i="4"/>
  <c r="AN132" i="4"/>
  <c r="AN115" i="4"/>
  <c r="AN126" i="4"/>
  <c r="AN110" i="4"/>
  <c r="AN121" i="4"/>
  <c r="AN112" i="4"/>
  <c r="AN198" i="4"/>
  <c r="AN200" i="4"/>
  <c r="AN194" i="4"/>
  <c r="AN199" i="4"/>
  <c r="AN202" i="4"/>
  <c r="AN201" i="4"/>
  <c r="AN205" i="4"/>
  <c r="AN175" i="4"/>
  <c r="AN184" i="4"/>
  <c r="AN168" i="4"/>
  <c r="AN178" i="4"/>
  <c r="AN162" i="4"/>
  <c r="AN173" i="4"/>
  <c r="AN155" i="4"/>
  <c r="AN139" i="4"/>
  <c r="AN146" i="4"/>
  <c r="AN157" i="4"/>
  <c r="AN141" i="4"/>
  <c r="AN152" i="4"/>
  <c r="AN136" i="4"/>
  <c r="AN111" i="4"/>
  <c r="AN122" i="4"/>
  <c r="AN212" i="4"/>
  <c r="AN196" i="4"/>
  <c r="AN211" i="4"/>
  <c r="AN195" i="4"/>
  <c r="AN190" i="4"/>
  <c r="AN197" i="4"/>
  <c r="AN187" i="4"/>
  <c r="AN171" i="4"/>
  <c r="AN180" i="4"/>
  <c r="AN164" i="4"/>
  <c r="AN174" i="4"/>
  <c r="AN185" i="4"/>
  <c r="AN169" i="4"/>
  <c r="AN151" i="4"/>
  <c r="AN158" i="4"/>
  <c r="AN142" i="4"/>
  <c r="AN153" i="4"/>
  <c r="AN137" i="4"/>
  <c r="AN148" i="4"/>
  <c r="AN17" i="4"/>
  <c r="AN123" i="4"/>
  <c r="AN135" i="4"/>
  <c r="AN113" i="4"/>
  <c r="AN120" i="4"/>
  <c r="AN191" i="4"/>
  <c r="AN167" i="4"/>
  <c r="AN181" i="4"/>
  <c r="AN138" i="4"/>
  <c r="AN127" i="4"/>
  <c r="AN134" i="4"/>
  <c r="AN124" i="4"/>
  <c r="AN109" i="4"/>
  <c r="AN101" i="4"/>
  <c r="AN93" i="4"/>
  <c r="AN85" i="4"/>
  <c r="AN102" i="4"/>
  <c r="AN94" i="4"/>
  <c r="AN86" i="4"/>
  <c r="AN71" i="4"/>
  <c r="AN63" i="4"/>
  <c r="AN76" i="4"/>
  <c r="AN68" i="4"/>
  <c r="AN61" i="4"/>
  <c r="AN53" i="4"/>
  <c r="AN56" i="4"/>
  <c r="AN38" i="4"/>
  <c r="AN41" i="4"/>
  <c r="AN46" i="4"/>
  <c r="AN34" i="4"/>
  <c r="AN20" i="4"/>
  <c r="AN19" i="4"/>
  <c r="AN208" i="4"/>
  <c r="AN213" i="4"/>
  <c r="AN176" i="4"/>
  <c r="AN165" i="4"/>
  <c r="AN149" i="4"/>
  <c r="AN119" i="4"/>
  <c r="AN125" i="4"/>
  <c r="AN116" i="4"/>
  <c r="AN107" i="4"/>
  <c r="AN99" i="4"/>
  <c r="AN91" i="4"/>
  <c r="AN108" i="4"/>
  <c r="AN100" i="4"/>
  <c r="AN92" i="4"/>
  <c r="AN84" i="4"/>
  <c r="AN69" i="4"/>
  <c r="AN82" i="4"/>
  <c r="AN74" i="4"/>
  <c r="AN60" i="4"/>
  <c r="AN59" i="4"/>
  <c r="AN51" i="4"/>
  <c r="AN52" i="4"/>
  <c r="AN47" i="4"/>
  <c r="AN39" i="4"/>
  <c r="AN36" i="4"/>
  <c r="AN32" i="4"/>
  <c r="AN33" i="4"/>
  <c r="AN10" i="4"/>
  <c r="AN9" i="4"/>
  <c r="AN192" i="4"/>
  <c r="AN193" i="4"/>
  <c r="AN186" i="4"/>
  <c r="AN147" i="4"/>
  <c r="AN160" i="4"/>
  <c r="AN105" i="4"/>
  <c r="AN97" i="4"/>
  <c r="AN89" i="4"/>
  <c r="AN106" i="4"/>
  <c r="AN98" i="4"/>
  <c r="AN90" i="4"/>
  <c r="AN83" i="4"/>
  <c r="AN75" i="4"/>
  <c r="AN67" i="4"/>
  <c r="AN80" i="4"/>
  <c r="AN72" i="4"/>
  <c r="AN64" i="4"/>
  <c r="AN58" i="4"/>
  <c r="AN57" i="4"/>
  <c r="AN49" i="4"/>
  <c r="AN50" i="4"/>
  <c r="AN45" i="4"/>
  <c r="AN37" i="4"/>
  <c r="AN44" i="4"/>
  <c r="AN30" i="4"/>
  <c r="AN22" i="4"/>
  <c r="AN31" i="4"/>
  <c r="AN23" i="4"/>
  <c r="AN8" i="4"/>
  <c r="AN7" i="4"/>
  <c r="AN15" i="4"/>
  <c r="AN207" i="4"/>
  <c r="AN183" i="4"/>
  <c r="AN170" i="4"/>
  <c r="AN154" i="4"/>
  <c r="AN144" i="4"/>
  <c r="AN114" i="4"/>
  <c r="AN133" i="4"/>
  <c r="AN103" i="4"/>
  <c r="AN95" i="4"/>
  <c r="AN87" i="4"/>
  <c r="AN104" i="4"/>
  <c r="AN96" i="4"/>
  <c r="AN88" i="4"/>
  <c r="AN81" i="4"/>
  <c r="AN73" i="4"/>
  <c r="AN70" i="4"/>
  <c r="AN62" i="4"/>
  <c r="AN48" i="4"/>
  <c r="AN55" i="4"/>
  <c r="AN54" i="4"/>
  <c r="AN40" i="4"/>
  <c r="AN43" i="4"/>
  <c r="AN35" i="4"/>
  <c r="AN42" i="4"/>
  <c r="AN28" i="4"/>
  <c r="AN21" i="4"/>
  <c r="AN29" i="4"/>
  <c r="AN18" i="4"/>
  <c r="AN6" i="4"/>
  <c r="AN16" i="4"/>
  <c r="K43" i="7" l="1"/>
  <c r="P43" i="7" s="1"/>
  <c r="L43" i="7"/>
  <c r="C194" i="13" s="1"/>
  <c r="X232" i="3"/>
  <c r="X231" i="3"/>
  <c r="X236" i="3"/>
  <c r="X230" i="3"/>
  <c r="X235" i="3"/>
  <c r="X229" i="3"/>
  <c r="X233" i="3"/>
  <c r="X234" i="3"/>
  <c r="J234" i="3"/>
  <c r="J236" i="3"/>
  <c r="J235" i="3"/>
  <c r="J232" i="3"/>
  <c r="J233" i="3"/>
  <c r="J231" i="3"/>
  <c r="J230" i="3"/>
  <c r="J229" i="3"/>
  <c r="J238" i="3"/>
  <c r="J237" i="3"/>
  <c r="M234" i="3"/>
  <c r="M230" i="3"/>
  <c r="M233" i="3"/>
  <c r="M236" i="3"/>
  <c r="M232" i="3"/>
  <c r="M231" i="3"/>
  <c r="M235" i="3"/>
  <c r="M229" i="3"/>
  <c r="Y238" i="3"/>
  <c r="Y237" i="3"/>
  <c r="P236" i="3"/>
  <c r="P235" i="3"/>
  <c r="P234" i="3"/>
  <c r="S235" i="3"/>
  <c r="S234" i="3"/>
  <c r="S236" i="3"/>
  <c r="V234" i="3"/>
  <c r="V236" i="3"/>
  <c r="V235" i="3"/>
  <c r="D235" i="3"/>
  <c r="D234" i="3"/>
  <c r="D233" i="3"/>
  <c r="D231" i="3"/>
  <c r="D232" i="3"/>
  <c r="D230" i="3"/>
  <c r="D229" i="3"/>
  <c r="D236" i="3"/>
  <c r="D238" i="3"/>
  <c r="D237" i="3"/>
  <c r="D226" i="3"/>
  <c r="D242" i="3" s="1"/>
  <c r="C246" i="3" s="1"/>
  <c r="D246" i="3" s="1"/>
  <c r="V226" i="3"/>
  <c r="V242" i="3" s="1"/>
  <c r="U246" i="3" s="1"/>
  <c r="V246" i="3" s="1"/>
  <c r="J226" i="3"/>
  <c r="J242" i="3" s="1"/>
  <c r="I246" i="3" s="1"/>
  <c r="J246" i="3" s="1"/>
  <c r="M226" i="3"/>
  <c r="M242" i="3" s="1"/>
  <c r="L246" i="3" s="1"/>
  <c r="M246" i="3" s="1"/>
  <c r="P226" i="3"/>
  <c r="P242" i="3" s="1"/>
  <c r="O246" i="3" s="1"/>
  <c r="P246" i="3" s="1"/>
  <c r="AN24" i="5"/>
  <c r="S226" i="3"/>
  <c r="S242" i="3" s="1"/>
  <c r="R246" i="3" s="1"/>
  <c r="S246" i="3" s="1"/>
  <c r="M222" i="3"/>
  <c r="L222" i="3"/>
  <c r="M221" i="3"/>
  <c r="L221" i="3"/>
  <c r="L217" i="3"/>
  <c r="M220" i="3"/>
  <c r="L220" i="3"/>
  <c r="M217" i="3"/>
  <c r="M219" i="3"/>
  <c r="L219" i="3"/>
  <c r="M218" i="3"/>
  <c r="L218" i="3"/>
  <c r="O219" i="3"/>
  <c r="P219" i="3"/>
  <c r="P222" i="3"/>
  <c r="O222" i="3"/>
  <c r="P221" i="3"/>
  <c r="O221" i="3"/>
  <c r="P220" i="3"/>
  <c r="O220" i="3"/>
  <c r="P218" i="3"/>
  <c r="O218" i="3"/>
  <c r="P217" i="3"/>
  <c r="O217" i="3"/>
  <c r="J220" i="3"/>
  <c r="I220" i="3"/>
  <c r="J219" i="3"/>
  <c r="I219" i="3"/>
  <c r="J218" i="3"/>
  <c r="I218" i="3"/>
  <c r="J217" i="3"/>
  <c r="I217" i="3"/>
  <c r="J222" i="3"/>
  <c r="I222" i="3"/>
  <c r="J221" i="3"/>
  <c r="I221" i="3"/>
  <c r="S218" i="3"/>
  <c r="R218" i="3"/>
  <c r="S217" i="3"/>
  <c r="R217" i="3"/>
  <c r="R221" i="3"/>
  <c r="S221" i="3"/>
  <c r="S222" i="3"/>
  <c r="R222" i="3"/>
  <c r="S220" i="3"/>
  <c r="R220" i="3"/>
  <c r="S219" i="3"/>
  <c r="R219" i="3"/>
  <c r="V220" i="3"/>
  <c r="U220" i="3"/>
  <c r="V219" i="3"/>
  <c r="U219" i="3"/>
  <c r="V218" i="3"/>
  <c r="U218" i="3"/>
  <c r="V217" i="3"/>
  <c r="U217" i="3"/>
  <c r="V222" i="3"/>
  <c r="U222" i="3"/>
  <c r="V221" i="3"/>
  <c r="U221" i="3"/>
  <c r="D219" i="3"/>
  <c r="D222" i="3"/>
  <c r="D221" i="3"/>
  <c r="D220" i="3"/>
  <c r="D218" i="3"/>
  <c r="D217" i="3"/>
  <c r="C221" i="3"/>
  <c r="C220" i="3"/>
  <c r="C218" i="3"/>
  <c r="C219" i="3"/>
  <c r="C217" i="3"/>
  <c r="C222" i="3"/>
  <c r="G84" i="3"/>
  <c r="G214" i="3"/>
  <c r="D91" i="11"/>
  <c r="D84" i="11" s="1"/>
  <c r="H95" i="11"/>
  <c r="H94" i="11"/>
  <c r="H92" i="11"/>
  <c r="H91" i="11"/>
  <c r="H90" i="11"/>
  <c r="H93" i="11"/>
  <c r="I91" i="11"/>
  <c r="I90" i="11"/>
  <c r="I95" i="11"/>
  <c r="I92" i="11"/>
  <c r="I93" i="11"/>
  <c r="I94" i="11"/>
  <c r="F91" i="11"/>
  <c r="F94" i="11"/>
  <c r="F90" i="11"/>
  <c r="F92" i="11"/>
  <c r="F93" i="11"/>
  <c r="F95" i="11"/>
  <c r="G93" i="11"/>
  <c r="G92" i="11"/>
  <c r="G94" i="11"/>
  <c r="G95" i="11"/>
  <c r="G91" i="11"/>
  <c r="G90" i="11"/>
  <c r="E95" i="11"/>
  <c r="E91" i="11"/>
  <c r="E92" i="11"/>
  <c r="E90" i="11"/>
  <c r="E93" i="11"/>
  <c r="E94" i="11"/>
  <c r="B11" i="10"/>
  <c r="K46" i="7"/>
  <c r="Q46" i="7" s="1"/>
  <c r="C253" i="18"/>
  <c r="C217" i="18"/>
  <c r="C235" i="18"/>
  <c r="C271" i="18"/>
  <c r="BK268" i="4"/>
  <c r="BJ268" i="4" s="1"/>
  <c r="BL268" i="4"/>
  <c r="BL312" i="4"/>
  <c r="BK312" i="4"/>
  <c r="BJ312" i="4" s="1"/>
  <c r="BK265" i="4"/>
  <c r="BL265" i="4"/>
  <c r="BK274" i="4"/>
  <c r="BJ274" i="4" s="1"/>
  <c r="BL274" i="4"/>
  <c r="BK283" i="4"/>
  <c r="BJ283" i="4" s="1"/>
  <c r="BL283" i="4"/>
  <c r="BK290" i="4"/>
  <c r="BJ290" i="4" s="1"/>
  <c r="BL290" i="4"/>
  <c r="BK300" i="4"/>
  <c r="BJ300" i="4" s="1"/>
  <c r="BL300" i="4"/>
  <c r="BK253" i="4"/>
  <c r="BJ253" i="4" s="1"/>
  <c r="BL253" i="4"/>
  <c r="BK271" i="4"/>
  <c r="BJ271" i="4" s="1"/>
  <c r="BL271" i="4"/>
  <c r="BK289" i="4"/>
  <c r="BJ289" i="4" s="1"/>
  <c r="BL289" i="4"/>
  <c r="BK308" i="4"/>
  <c r="BJ308" i="4" s="1"/>
  <c r="BL308" i="4"/>
  <c r="BK270" i="4"/>
  <c r="BJ270" i="4" s="1"/>
  <c r="BL270" i="4"/>
  <c r="BK309" i="4"/>
  <c r="BJ309" i="4" s="1"/>
  <c r="BL309" i="4"/>
  <c r="BK316" i="4"/>
  <c r="BJ316" i="4" s="1"/>
  <c r="BL316" i="4"/>
  <c r="BK286" i="4"/>
  <c r="BL286" i="4"/>
  <c r="BK284" i="4"/>
  <c r="BJ284" i="4" s="1"/>
  <c r="BL284" i="4"/>
  <c r="BK282" i="4"/>
  <c r="BJ282" i="4" s="1"/>
  <c r="BL282" i="4"/>
  <c r="BK304" i="4"/>
  <c r="BJ304" i="4" s="1"/>
  <c r="BL304" i="4"/>
  <c r="BK311" i="4"/>
  <c r="BJ311" i="4" s="1"/>
  <c r="BL311" i="4"/>
  <c r="BK260" i="4"/>
  <c r="BJ260" i="4" s="1"/>
  <c r="BL260" i="4"/>
  <c r="BK288" i="4"/>
  <c r="BJ288" i="4" s="1"/>
  <c r="BL288" i="4"/>
  <c r="BK287" i="4"/>
  <c r="BL287" i="4"/>
  <c r="BK298" i="4"/>
  <c r="BJ298" i="4" s="1"/>
  <c r="BL298" i="4"/>
  <c r="BK255" i="4"/>
  <c r="BJ255" i="4" s="1"/>
  <c r="BL255" i="4"/>
  <c r="BK275" i="4"/>
  <c r="BJ275" i="4" s="1"/>
  <c r="BL275" i="4"/>
  <c r="BK276" i="4"/>
  <c r="BJ276" i="4" s="1"/>
  <c r="BL276" i="4"/>
  <c r="BK294" i="4"/>
  <c r="BJ294" i="4" s="1"/>
  <c r="BL294" i="4"/>
  <c r="BK261" i="4"/>
  <c r="BJ261" i="4" s="1"/>
  <c r="BL261" i="4"/>
  <c r="BK279" i="4"/>
  <c r="BJ279" i="4" s="1"/>
  <c r="BL279" i="4"/>
  <c r="BK258" i="4"/>
  <c r="BJ258" i="4" s="1"/>
  <c r="BL258" i="4"/>
  <c r="BK315" i="4"/>
  <c r="BJ315" i="4" s="1"/>
  <c r="BL315" i="4"/>
  <c r="BK277" i="4"/>
  <c r="BJ277" i="4" s="1"/>
  <c r="BL277" i="4"/>
  <c r="BK302" i="4"/>
  <c r="BJ302" i="4" s="1"/>
  <c r="BL302" i="4"/>
  <c r="BK291" i="4"/>
  <c r="BJ291" i="4" s="1"/>
  <c r="BL291" i="4"/>
  <c r="BK254" i="4"/>
  <c r="BL254" i="4"/>
  <c r="BK259" i="4"/>
  <c r="BJ259" i="4" s="1"/>
  <c r="BL259" i="4"/>
  <c r="BK292" i="4"/>
  <c r="BJ292" i="4" s="1"/>
  <c r="BL292" i="4"/>
  <c r="BK297" i="4"/>
  <c r="BJ297" i="4" s="1"/>
  <c r="BL297" i="4"/>
  <c r="BK306" i="4"/>
  <c r="BJ306" i="4" s="1"/>
  <c r="BL306" i="4"/>
  <c r="BK256" i="4"/>
  <c r="BJ256" i="4" s="1"/>
  <c r="BL256" i="4"/>
  <c r="BK281" i="4"/>
  <c r="BJ281" i="4" s="1"/>
  <c r="BL281" i="4"/>
  <c r="BK263" i="4"/>
  <c r="BJ263" i="4" s="1"/>
  <c r="BL263" i="4"/>
  <c r="BK310" i="4"/>
  <c r="BJ310" i="4" s="1"/>
  <c r="BL310" i="4"/>
  <c r="BK272" i="4"/>
  <c r="BJ272" i="4" s="1"/>
  <c r="BL272" i="4"/>
  <c r="BK305" i="4"/>
  <c r="BJ305" i="4" s="1"/>
  <c r="BL305" i="4"/>
  <c r="BK293" i="4"/>
  <c r="BJ293" i="4" s="1"/>
  <c r="BL293" i="4"/>
  <c r="BK318" i="4"/>
  <c r="BJ318" i="4" s="1"/>
  <c r="BL318" i="4"/>
  <c r="BK285" i="4"/>
  <c r="BJ285" i="4" s="1"/>
  <c r="BL285" i="4"/>
  <c r="BK269" i="4"/>
  <c r="BJ269" i="4" s="1"/>
  <c r="BL269" i="4"/>
  <c r="BL303" i="4"/>
  <c r="BK303" i="4"/>
  <c r="BJ303" i="4" s="1"/>
  <c r="BK267" i="4"/>
  <c r="BL267" i="4"/>
  <c r="BK257" i="4"/>
  <c r="BJ257" i="4" s="1"/>
  <c r="BL257" i="4"/>
  <c r="BK295" i="4"/>
  <c r="BJ295" i="4" s="1"/>
  <c r="BL295" i="4"/>
  <c r="BK296" i="4"/>
  <c r="BJ296" i="4" s="1"/>
  <c r="BL296" i="4"/>
  <c r="BK280" i="4"/>
  <c r="BL280" i="4"/>
  <c r="BK264" i="4"/>
  <c r="BJ264" i="4" s="1"/>
  <c r="BL264" i="4"/>
  <c r="BK307" i="4"/>
  <c r="BJ307" i="4" s="1"/>
  <c r="BL307" i="4"/>
  <c r="BK266" i="4"/>
  <c r="BJ266" i="4" s="1"/>
  <c r="BL266" i="4"/>
  <c r="BK317" i="4"/>
  <c r="BJ317" i="4" s="1"/>
  <c r="BL317" i="4"/>
  <c r="BK299" i="4"/>
  <c r="BJ299" i="4" s="1"/>
  <c r="BL299" i="4"/>
  <c r="BK301" i="4"/>
  <c r="BJ301" i="4" s="1"/>
  <c r="BL301" i="4"/>
  <c r="BK273" i="4"/>
  <c r="BJ273" i="4" s="1"/>
  <c r="BL273" i="4"/>
  <c r="BK262" i="4"/>
  <c r="BL262" i="4"/>
  <c r="BK278" i="4"/>
  <c r="BJ278" i="4" s="1"/>
  <c r="BL278" i="4"/>
  <c r="K42" i="7"/>
  <c r="P42" i="7" s="1"/>
  <c r="M41" i="7"/>
  <c r="K40" i="7"/>
  <c r="G164" i="16" s="1"/>
  <c r="L40" i="7"/>
  <c r="BF6" i="4" s="1"/>
  <c r="BF11" i="4"/>
  <c r="BF12" i="4"/>
  <c r="BE11" i="4"/>
  <c r="BE10" i="4"/>
  <c r="BF9" i="4"/>
  <c r="BH9" i="4" s="1"/>
  <c r="Q41" i="7"/>
  <c r="BE81" i="4"/>
  <c r="BE56" i="4"/>
  <c r="BE53" i="4"/>
  <c r="BE50" i="4"/>
  <c r="BE51" i="4"/>
  <c r="BE49" i="4"/>
  <c r="P41" i="7"/>
  <c r="BE62" i="4"/>
  <c r="BE48" i="4"/>
  <c r="BE47" i="4"/>
  <c r="BE46" i="4"/>
  <c r="BE44" i="4"/>
  <c r="L41" i="7"/>
  <c r="BF7" i="4"/>
  <c r="BH7" i="4" s="1"/>
  <c r="BF10" i="4"/>
  <c r="BH10" i="4" s="1"/>
  <c r="BF13" i="4"/>
  <c r="BE13" i="4"/>
  <c r="BE194" i="4"/>
  <c r="N41" i="7"/>
  <c r="L42" i="7"/>
  <c r="L44" i="7"/>
  <c r="K44" i="7"/>
  <c r="P44" i="7" s="1"/>
  <c r="J61" i="16"/>
  <c r="BE165" i="4"/>
  <c r="BE236" i="4"/>
  <c r="BF199" i="4"/>
  <c r="BH199" i="4" s="1"/>
  <c r="BF212" i="4"/>
  <c r="BH212" i="4" s="1"/>
  <c r="BE199" i="4"/>
  <c r="BE172" i="4"/>
  <c r="BE243" i="4"/>
  <c r="BF146" i="4"/>
  <c r="BH146" i="4" s="1"/>
  <c r="BF228" i="4"/>
  <c r="BH228" i="4" s="1"/>
  <c r="BF172" i="4"/>
  <c r="BH172" i="4" s="1"/>
  <c r="BE179" i="4"/>
  <c r="BF182" i="4"/>
  <c r="BH182" i="4" s="1"/>
  <c r="BE233" i="4"/>
  <c r="BE250" i="4"/>
  <c r="BF229" i="4"/>
  <c r="BH229" i="4" s="1"/>
  <c r="BE169" i="4"/>
  <c r="BE214" i="4"/>
  <c r="BE186" i="4"/>
  <c r="BF154" i="4"/>
  <c r="BH154" i="4" s="1"/>
  <c r="BF216" i="4"/>
  <c r="BH216" i="4" s="1"/>
  <c r="BE150" i="4"/>
  <c r="BF251" i="4"/>
  <c r="BH251" i="4" s="1"/>
  <c r="BF195" i="4"/>
  <c r="BH195" i="4" s="1"/>
  <c r="BF147" i="4"/>
  <c r="BH147" i="4" s="1"/>
  <c r="BE248" i="4"/>
  <c r="BE184" i="4"/>
  <c r="BE229" i="4"/>
  <c r="BF189" i="4"/>
  <c r="BH189" i="4" s="1"/>
  <c r="BF193" i="4"/>
  <c r="BH193" i="4" s="1"/>
  <c r="BF162" i="4"/>
  <c r="BH162" i="4" s="1"/>
  <c r="BE225" i="4"/>
  <c r="BE161" i="4"/>
  <c r="BE240" i="4"/>
  <c r="BE176" i="4"/>
  <c r="BE191" i="4"/>
  <c r="BE206" i="4"/>
  <c r="BE142" i="4"/>
  <c r="BE221" i="4"/>
  <c r="BE157" i="4"/>
  <c r="BE228" i="4"/>
  <c r="BE164" i="4"/>
  <c r="BE235" i="4"/>
  <c r="BE171" i="4"/>
  <c r="BE242" i="4"/>
  <c r="BE178" i="4"/>
  <c r="BF173" i="4"/>
  <c r="BH173" i="4" s="1"/>
  <c r="BF161" i="4"/>
  <c r="BH161" i="4" s="1"/>
  <c r="BF232" i="4"/>
  <c r="BH232" i="4" s="1"/>
  <c r="BF166" i="4"/>
  <c r="BH166" i="4" s="1"/>
  <c r="BF151" i="4"/>
  <c r="BH151" i="4" s="1"/>
  <c r="BF203" i="4"/>
  <c r="BH203" i="4" s="1"/>
  <c r="BF248" i="4"/>
  <c r="BH248" i="4" s="1"/>
  <c r="BF187" i="4"/>
  <c r="BH187" i="4" s="1"/>
  <c r="BF184" i="4"/>
  <c r="BH184" i="4" s="1"/>
  <c r="BF238" i="4"/>
  <c r="BH238" i="4" s="1"/>
  <c r="BF144" i="4"/>
  <c r="BH144" i="4" s="1"/>
  <c r="BF252" i="4"/>
  <c r="BH252" i="4" s="1"/>
  <c r="BF160" i="4"/>
  <c r="BH160" i="4" s="1"/>
  <c r="BF222" i="4"/>
  <c r="BH222" i="4" s="1"/>
  <c r="BF231" i="4"/>
  <c r="BH231" i="4" s="1"/>
  <c r="BF225" i="4"/>
  <c r="BH225" i="4" s="1"/>
  <c r="BF205" i="4"/>
  <c r="BH205" i="4" s="1"/>
  <c r="BE217" i="4"/>
  <c r="BE153" i="4"/>
  <c r="BE232" i="4"/>
  <c r="BE168" i="4"/>
  <c r="BE247" i="4"/>
  <c r="BE183" i="4"/>
  <c r="BE198" i="4"/>
  <c r="BE213" i="4"/>
  <c r="BE149" i="4"/>
  <c r="BE220" i="4"/>
  <c r="BE156" i="4"/>
  <c r="BE227" i="4"/>
  <c r="BE163" i="4"/>
  <c r="BE234" i="4"/>
  <c r="BE170" i="4"/>
  <c r="BF217" i="4"/>
  <c r="BH217" i="4" s="1"/>
  <c r="BF143" i="4"/>
  <c r="BH143" i="4" s="1"/>
  <c r="BF165" i="4"/>
  <c r="BH165" i="4" s="1"/>
  <c r="BF155" i="4"/>
  <c r="BH155" i="4" s="1"/>
  <c r="BF153" i="4"/>
  <c r="BH153" i="4" s="1"/>
  <c r="BF190" i="4"/>
  <c r="BH190" i="4" s="1"/>
  <c r="BF220" i="4"/>
  <c r="BH220" i="4" s="1"/>
  <c r="BF250" i="4"/>
  <c r="BH250" i="4" s="1"/>
  <c r="BF174" i="4"/>
  <c r="BH174" i="4" s="1"/>
  <c r="BF234" i="4"/>
  <c r="BH234" i="4" s="1"/>
  <c r="BF235" i="4"/>
  <c r="BH235" i="4" s="1"/>
  <c r="BF158" i="4"/>
  <c r="BH158" i="4" s="1"/>
  <c r="BF219" i="4"/>
  <c r="BH219" i="4" s="1"/>
  <c r="BF200" i="4"/>
  <c r="BH200" i="4" s="1"/>
  <c r="BE209" i="4"/>
  <c r="BE145" i="4"/>
  <c r="BE224" i="4"/>
  <c r="BE160" i="4"/>
  <c r="BE239" i="4"/>
  <c r="BE175" i="4"/>
  <c r="BE190" i="4"/>
  <c r="BE205" i="4"/>
  <c r="BE212" i="4"/>
  <c r="BE148" i="4"/>
  <c r="BE219" i="4"/>
  <c r="BE155" i="4"/>
  <c r="BE226" i="4"/>
  <c r="BE162" i="4"/>
  <c r="BF244" i="4"/>
  <c r="BH244" i="4" s="1"/>
  <c r="BF233" i="4"/>
  <c r="BH233" i="4" s="1"/>
  <c r="BF215" i="4"/>
  <c r="BH215" i="4" s="1"/>
  <c r="BF178" i="4"/>
  <c r="BH178" i="4" s="1"/>
  <c r="BF156" i="4"/>
  <c r="BH156" i="4" s="1"/>
  <c r="BF181" i="4"/>
  <c r="BH181" i="4" s="1"/>
  <c r="BF185" i="4"/>
  <c r="BH185" i="4" s="1"/>
  <c r="BF188" i="4"/>
  <c r="BH188" i="4" s="1"/>
  <c r="BF157" i="4"/>
  <c r="BH157" i="4" s="1"/>
  <c r="BF145" i="4"/>
  <c r="BH145" i="4" s="1"/>
  <c r="BF214" i="4"/>
  <c r="BH214" i="4" s="1"/>
  <c r="BE201" i="4"/>
  <c r="BE216" i="4"/>
  <c r="BE152" i="4"/>
  <c r="BE231" i="4"/>
  <c r="BE167" i="4"/>
  <c r="BE246" i="4"/>
  <c r="BE182" i="4"/>
  <c r="BE197" i="4"/>
  <c r="BE204" i="4"/>
  <c r="BE211" i="4"/>
  <c r="BE147" i="4"/>
  <c r="BE218" i="4"/>
  <c r="BE154" i="4"/>
  <c r="BF180" i="4"/>
  <c r="BH180" i="4" s="1"/>
  <c r="BF206" i="4"/>
  <c r="BH206" i="4" s="1"/>
  <c r="BF201" i="4"/>
  <c r="BH201" i="4" s="1"/>
  <c r="BF245" i="4"/>
  <c r="BH245" i="4" s="1"/>
  <c r="BF176" i="4"/>
  <c r="BH176" i="4" s="1"/>
  <c r="BF204" i="4"/>
  <c r="BH204" i="4" s="1"/>
  <c r="BF186" i="4"/>
  <c r="BH186" i="4" s="1"/>
  <c r="BF249" i="4"/>
  <c r="BH249" i="4" s="1"/>
  <c r="BF159" i="4"/>
  <c r="BH159" i="4" s="1"/>
  <c r="BF170" i="4"/>
  <c r="BH170" i="4" s="1"/>
  <c r="BF167" i="4"/>
  <c r="BH167" i="4" s="1"/>
  <c r="BF175" i="4"/>
  <c r="BH175" i="4" s="1"/>
  <c r="BF226" i="4"/>
  <c r="BH226" i="4" s="1"/>
  <c r="BF239" i="4"/>
  <c r="BH239" i="4" s="1"/>
  <c r="BE193" i="4"/>
  <c r="BE208" i="4"/>
  <c r="BE144" i="4"/>
  <c r="BE223" i="4"/>
  <c r="BE159" i="4"/>
  <c r="BE238" i="4"/>
  <c r="BE174" i="4"/>
  <c r="BE189" i="4"/>
  <c r="BE196" i="4"/>
  <c r="BE203" i="4"/>
  <c r="BE210" i="4"/>
  <c r="BE146" i="4"/>
  <c r="BF237" i="4"/>
  <c r="BH237" i="4" s="1"/>
  <c r="BF218" i="4"/>
  <c r="BH218" i="4" s="1"/>
  <c r="BF209" i="4"/>
  <c r="BH209" i="4" s="1"/>
  <c r="BF177" i="4"/>
  <c r="BH177" i="4" s="1"/>
  <c r="BF240" i="4"/>
  <c r="BH240" i="4" s="1"/>
  <c r="BF213" i="4"/>
  <c r="BH213" i="4" s="1"/>
  <c r="BF246" i="4"/>
  <c r="BH246" i="4" s="1"/>
  <c r="BF211" i="4"/>
  <c r="BH211" i="4" s="1"/>
  <c r="BF152" i="4"/>
  <c r="BH152" i="4" s="1"/>
  <c r="BF241" i="4"/>
  <c r="BH241" i="4" s="1"/>
  <c r="BF243" i="4"/>
  <c r="BH243" i="4" s="1"/>
  <c r="BE249" i="4"/>
  <c r="BE185" i="4"/>
  <c r="BE200" i="4"/>
  <c r="BE215" i="4"/>
  <c r="BE151" i="4"/>
  <c r="BE230" i="4"/>
  <c r="BE166" i="4"/>
  <c r="BE245" i="4"/>
  <c r="BE181" i="4"/>
  <c r="BE252" i="4"/>
  <c r="BE188" i="4"/>
  <c r="BE195" i="4"/>
  <c r="BE202" i="4"/>
  <c r="BF148" i="4"/>
  <c r="BH148" i="4" s="1"/>
  <c r="BF142" i="4"/>
  <c r="BH142" i="4" s="1"/>
  <c r="BF194" i="4"/>
  <c r="BH194" i="4" s="1"/>
  <c r="BF164" i="4"/>
  <c r="BH164" i="4" s="1"/>
  <c r="BF208" i="4"/>
  <c r="BH208" i="4" s="1"/>
  <c r="BF223" i="4"/>
  <c r="BH223" i="4" s="1"/>
  <c r="BF168" i="4"/>
  <c r="BH168" i="4" s="1"/>
  <c r="BF163" i="4"/>
  <c r="BH163" i="4" s="1"/>
  <c r="BF196" i="4"/>
  <c r="BH196" i="4" s="1"/>
  <c r="BF171" i="4"/>
  <c r="BH171" i="4" s="1"/>
  <c r="BF236" i="4"/>
  <c r="BH236" i="4" s="1"/>
  <c r="BF198" i="4"/>
  <c r="BH198" i="4" s="1"/>
  <c r="BF230" i="4"/>
  <c r="BH230" i="4" s="1"/>
  <c r="BF179" i="4"/>
  <c r="BH179" i="4" s="1"/>
  <c r="BF150" i="4"/>
  <c r="BH150" i="4" s="1"/>
  <c r="BF197" i="4"/>
  <c r="BH197" i="4" s="1"/>
  <c r="BE241" i="4"/>
  <c r="BE177" i="4"/>
  <c r="BE192" i="4"/>
  <c r="BE207" i="4"/>
  <c r="BE143" i="4"/>
  <c r="BE222" i="4"/>
  <c r="BE158" i="4"/>
  <c r="BE237" i="4"/>
  <c r="BE173" i="4"/>
  <c r="BE244" i="4"/>
  <c r="BE180" i="4"/>
  <c r="BE187" i="4"/>
  <c r="BF202" i="4"/>
  <c r="BH202" i="4" s="1"/>
  <c r="BF247" i="4"/>
  <c r="BH247" i="4" s="1"/>
  <c r="BF169" i="4"/>
  <c r="BH169" i="4" s="1"/>
  <c r="BF183" i="4"/>
  <c r="BH183" i="4" s="1"/>
  <c r="BF224" i="4"/>
  <c r="BH224" i="4" s="1"/>
  <c r="BF149" i="4"/>
  <c r="BH149" i="4" s="1"/>
  <c r="BF227" i="4"/>
  <c r="BH227" i="4" s="1"/>
  <c r="BF191" i="4"/>
  <c r="BH191" i="4" s="1"/>
  <c r="BF221" i="4"/>
  <c r="BH221" i="4" s="1"/>
  <c r="BF207" i="4"/>
  <c r="BH207" i="4" s="1"/>
  <c r="BF210" i="4"/>
  <c r="BH210" i="4" s="1"/>
  <c r="BF242" i="4"/>
  <c r="BH242" i="4" s="1"/>
  <c r="BF192" i="4"/>
  <c r="BH192" i="4" s="1"/>
  <c r="J3" i="16"/>
  <c r="I61" i="16"/>
  <c r="J22" i="16"/>
  <c r="I42" i="16"/>
  <c r="I3" i="16"/>
  <c r="I22" i="16"/>
  <c r="I145" i="16"/>
  <c r="J42" i="16"/>
  <c r="J145" i="16"/>
  <c r="L105" i="16"/>
  <c r="P164" i="16"/>
  <c r="X164" i="16"/>
  <c r="J105" i="16"/>
  <c r="I164" i="16"/>
  <c r="I124" i="16"/>
  <c r="I105" i="16"/>
  <c r="J124" i="16"/>
  <c r="J164" i="16"/>
  <c r="C381" i="13"/>
  <c r="C395" i="13" s="1"/>
  <c r="C347" i="13"/>
  <c r="L46" i="7"/>
  <c r="C226" i="13"/>
  <c r="C245" i="13" s="1"/>
  <c r="C270" i="13"/>
  <c r="BF801" i="4"/>
  <c r="BF783" i="4"/>
  <c r="BF807" i="4"/>
  <c r="BF808" i="4"/>
  <c r="BF792" i="4"/>
  <c r="BF798" i="4"/>
  <c r="D304" i="13"/>
  <c r="C304" i="13" s="1"/>
  <c r="C318" i="13" s="1"/>
  <c r="E304" i="13"/>
  <c r="BF809" i="4"/>
  <c r="BF790" i="4"/>
  <c r="BF796" i="4"/>
  <c r="BF789" i="4"/>
  <c r="BF799" i="4"/>
  <c r="BF781" i="4"/>
  <c r="BF793" i="4"/>
  <c r="K304" i="13"/>
  <c r="J304" i="13"/>
  <c r="BF780" i="4"/>
  <c r="BF786" i="4"/>
  <c r="BF794" i="4"/>
  <c r="M287" i="13"/>
  <c r="N287" i="13"/>
  <c r="M45" i="7"/>
  <c r="L45" i="7"/>
  <c r="K45" i="7"/>
  <c r="BE100" i="4" s="1"/>
  <c r="N304" i="13"/>
  <c r="M304" i="13"/>
  <c r="G304" i="13"/>
  <c r="H304" i="13"/>
  <c r="M124" i="16"/>
  <c r="M105" i="16"/>
  <c r="P145" i="16"/>
  <c r="M145" i="16"/>
  <c r="M164" i="16"/>
  <c r="P105" i="16"/>
  <c r="P124" i="16"/>
  <c r="O145" i="16"/>
  <c r="O124" i="16"/>
  <c r="O105" i="16"/>
  <c r="O164" i="16"/>
  <c r="L145" i="16"/>
  <c r="L164" i="16"/>
  <c r="BF505" i="4"/>
  <c r="BF574" i="4"/>
  <c r="BF599" i="4"/>
  <c r="BF357" i="4"/>
  <c r="BF676" i="4"/>
  <c r="BF430" i="4"/>
  <c r="BF716" i="4"/>
  <c r="BF478" i="4"/>
  <c r="BF417" i="4"/>
  <c r="BF420" i="4"/>
  <c r="BF582" i="4"/>
  <c r="BF425" i="4"/>
  <c r="BF626" i="4"/>
  <c r="BF584" i="4"/>
  <c r="BF518" i="4"/>
  <c r="BF641" i="4"/>
  <c r="BF696" i="4"/>
  <c r="BF413" i="4"/>
  <c r="BF656" i="4"/>
  <c r="BF441" i="4"/>
  <c r="BF474" i="4"/>
  <c r="BF592" i="4"/>
  <c r="BF571" i="4"/>
  <c r="BF655" i="4"/>
  <c r="BF411" i="4"/>
  <c r="BF410" i="4"/>
  <c r="BF675" i="4"/>
  <c r="BF393" i="4"/>
  <c r="BF509" i="4"/>
  <c r="BF464" i="4"/>
  <c r="BF368" i="4"/>
  <c r="BF506" i="4"/>
  <c r="BF405" i="4"/>
  <c r="BF379" i="4"/>
  <c r="X22" i="16"/>
  <c r="BF371" i="4"/>
  <c r="BF633" i="4"/>
  <c r="BF485" i="4"/>
  <c r="BF596" i="4"/>
  <c r="BF372" i="4"/>
  <c r="BF399" i="4"/>
  <c r="BF385" i="4"/>
  <c r="BF539" i="4"/>
  <c r="BF377" i="4"/>
  <c r="BF657" i="4"/>
  <c r="BF595" i="4"/>
  <c r="BF605" i="4"/>
  <c r="BF516" i="4"/>
  <c r="BF653" i="4"/>
  <c r="BF714" i="4"/>
  <c r="BF492" i="4"/>
  <c r="BF487" i="4"/>
  <c r="BF609" i="4"/>
  <c r="BF423" i="4"/>
  <c r="BF693" i="4"/>
  <c r="BF353" i="4"/>
  <c r="BF604" i="4"/>
  <c r="BF549" i="4"/>
  <c r="BF673" i="4"/>
  <c r="BF632" i="4"/>
  <c r="BF402" i="4"/>
  <c r="BF569" i="4"/>
  <c r="BF493" i="4"/>
  <c r="BF568" i="4"/>
  <c r="BF496" i="4"/>
  <c r="BF577" i="4"/>
  <c r="BF504" i="4"/>
  <c r="BF386" i="4"/>
  <c r="BF395" i="4"/>
  <c r="BF394" i="4"/>
  <c r="BF659" i="4"/>
  <c r="BF664" i="4"/>
  <c r="BF579" i="4"/>
  <c r="BF554" i="4"/>
  <c r="X3" i="16"/>
  <c r="L61" i="16"/>
  <c r="L3" i="16"/>
  <c r="M42" i="16"/>
  <c r="L22" i="16"/>
  <c r="BF365" i="4"/>
  <c r="BF407" i="4"/>
  <c r="BF529" i="4"/>
  <c r="BF551" i="4"/>
  <c r="BF388" i="4"/>
  <c r="BF416" i="4"/>
  <c r="BF442" i="4"/>
  <c r="BF511" i="4"/>
  <c r="BF490" i="4"/>
  <c r="BF677" i="4"/>
  <c r="BF638" i="4"/>
  <c r="BF654" i="4"/>
  <c r="BF419" i="4"/>
  <c r="BF711" i="4"/>
  <c r="BF617" i="4"/>
  <c r="BF590" i="4"/>
  <c r="BF355" i="4"/>
  <c r="BF647" i="4"/>
  <c r="BF383" i="4"/>
  <c r="BF361" i="4"/>
  <c r="BF625" i="4"/>
  <c r="BF578" i="4"/>
  <c r="BF408" i="4"/>
  <c r="BF588" i="4"/>
  <c r="BF557" i="4"/>
  <c r="BF560" i="4"/>
  <c r="BF548" i="4"/>
  <c r="BF392" i="4"/>
  <c r="BF497" i="4"/>
  <c r="BF475" i="4"/>
  <c r="BF553" i="4"/>
  <c r="BF703" i="4"/>
  <c r="BF544" i="4"/>
  <c r="BF570" i="4"/>
  <c r="BF689" i="4"/>
  <c r="BF593" i="4"/>
  <c r="BF480" i="4"/>
  <c r="L42" i="16"/>
  <c r="BF418" i="4"/>
  <c r="BF444" i="4"/>
  <c r="BF431" i="4"/>
  <c r="BF412" i="4"/>
  <c r="BF406" i="4"/>
  <c r="BF448" i="4"/>
  <c r="BF396" i="4"/>
  <c r="BF439" i="4"/>
  <c r="BF391" i="4"/>
  <c r="BF432" i="4"/>
  <c r="BF459" i="4"/>
  <c r="BF450" i="4"/>
  <c r="BF401" i="4"/>
  <c r="BF403" i="4"/>
  <c r="BF467" i="4"/>
  <c r="BF389" i="4"/>
  <c r="BF367" i="4"/>
  <c r="BF453" i="4"/>
  <c r="BF704" i="4"/>
  <c r="BF709" i="4"/>
  <c r="BF705" i="4"/>
  <c r="BF712" i="4"/>
  <c r="BF591" i="4"/>
  <c r="BF421" i="4"/>
  <c r="BF458" i="4"/>
  <c r="BF718" i="4"/>
  <c r="BF479" i="4"/>
  <c r="BF600" i="4"/>
  <c r="BF678" i="4"/>
  <c r="BF648" i="4"/>
  <c r="BF616" i="4"/>
  <c r="BF491" i="4"/>
  <c r="BF594" i="4"/>
  <c r="BF366" i="4"/>
  <c r="BF460" i="4"/>
  <c r="BF427" i="4"/>
  <c r="BF530" i="4"/>
  <c r="BF477" i="4"/>
  <c r="BF550" i="4"/>
  <c r="BF545" i="4"/>
  <c r="BF359" i="4"/>
  <c r="M3" i="16"/>
  <c r="BF631" i="4"/>
  <c r="BF668" i="4"/>
  <c r="BF409" i="4"/>
  <c r="BF519" i="4"/>
  <c r="BF649" i="4"/>
  <c r="BF685" i="4"/>
  <c r="BF713" i="4"/>
  <c r="BF455" i="4"/>
  <c r="BF358" i="4"/>
  <c r="BF503" i="4"/>
  <c r="P3" i="16"/>
  <c r="BF623" i="4"/>
  <c r="BF445" i="4"/>
  <c r="BF543" i="4"/>
  <c r="BF400" i="4"/>
  <c r="BF687" i="4"/>
  <c r="BF581" i="4"/>
  <c r="O42" i="16"/>
  <c r="O3" i="16"/>
  <c r="O61" i="16"/>
  <c r="P61" i="16"/>
  <c r="O22" i="16"/>
  <c r="BF684" i="4"/>
  <c r="BF580" i="4"/>
  <c r="BF650" i="4"/>
  <c r="BF566" i="4"/>
  <c r="BF428" i="4"/>
  <c r="BF381" i="4"/>
  <c r="BF646" i="4"/>
  <c r="BF515" i="4"/>
  <c r="BF612" i="4"/>
  <c r="BF457" i="4"/>
  <c r="BF666" i="4"/>
  <c r="BF541" i="4"/>
  <c r="BF489" i="4"/>
  <c r="BF602" i="4"/>
  <c r="BF688" i="4"/>
  <c r="BF651" i="4"/>
  <c r="BF525" i="4"/>
  <c r="BF522" i="4"/>
  <c r="BF526" i="4"/>
  <c r="BF454" i="4"/>
  <c r="BF461" i="4"/>
  <c r="BF663" i="4"/>
  <c r="BF700" i="4"/>
  <c r="BF521" i="4"/>
  <c r="BF514" i="4"/>
  <c r="BF686" i="4"/>
  <c r="BF438" i="4"/>
  <c r="BF622" i="4"/>
  <c r="BF707" i="4"/>
  <c r="BF670" i="4"/>
  <c r="BF463" i="4"/>
  <c r="BF619" i="4"/>
  <c r="BF710" i="4"/>
  <c r="BF517" i="4"/>
  <c r="Y61" i="16"/>
  <c r="BF667" i="4"/>
  <c r="BF527" i="4"/>
  <c r="BF424" i="4"/>
  <c r="BF446" i="4"/>
  <c r="BF630" i="4"/>
  <c r="BF555" i="4"/>
  <c r="BF483" i="4"/>
  <c r="BF690" i="4"/>
  <c r="BF374" i="4"/>
  <c r="BF531" i="4"/>
  <c r="BF715" i="4"/>
  <c r="BF447" i="4"/>
  <c r="BF414" i="4"/>
  <c r="BF382" i="4"/>
  <c r="P42" i="16"/>
  <c r="BF387" i="4"/>
  <c r="BF699" i="4"/>
  <c r="BF697" i="4"/>
  <c r="BF701" i="4"/>
  <c r="BF629" i="4"/>
  <c r="BF635" i="4"/>
  <c r="BF524" i="4"/>
  <c r="BF672" i="4"/>
  <c r="BF523" i="4"/>
  <c r="BF422" i="4"/>
  <c r="BF567" i="4"/>
  <c r="BF708" i="4"/>
  <c r="BF398" i="4"/>
  <c r="BF634" i="4"/>
  <c r="BF370" i="4"/>
  <c r="BF507" i="4"/>
  <c r="BF468" i="4"/>
  <c r="BF607" i="4"/>
  <c r="BF606" i="4"/>
  <c r="BF613" i="4"/>
  <c r="BF440" i="4"/>
  <c r="BF373" i="4"/>
  <c r="BF369" i="4"/>
  <c r="BF375" i="4"/>
  <c r="BF691" i="4"/>
  <c r="BF384" i="4"/>
  <c r="BF652" i="4"/>
  <c r="BF360" i="4"/>
  <c r="BF702" i="4"/>
  <c r="BF429" i="4"/>
  <c r="BF510" i="4"/>
  <c r="BF488" i="4"/>
  <c r="BF436" i="4"/>
  <c r="BF552" i="4"/>
  <c r="BF658" i="4"/>
  <c r="BF681" i="4"/>
  <c r="BF513" i="4"/>
  <c r="BF706" i="4"/>
  <c r="BF378" i="4"/>
  <c r="BF614" i="4"/>
  <c r="BF589" i="4"/>
  <c r="BF561" i="4"/>
  <c r="BF642" i="4"/>
  <c r="BF562" i="4"/>
  <c r="BF362" i="4"/>
  <c r="BF356" i="4"/>
  <c r="BF363" i="4"/>
  <c r="BF466" i="4"/>
  <c r="BF583" i="4"/>
  <c r="BF486" i="4"/>
  <c r="BF456" i="4"/>
  <c r="BF680" i="4"/>
  <c r="BF462" i="4"/>
  <c r="BF390" i="4"/>
  <c r="BF698" i="4"/>
  <c r="BF597" i="4"/>
  <c r="BF540" i="4"/>
  <c r="BF433" i="4"/>
  <c r="BF628" i="4"/>
  <c r="BF573" i="4"/>
  <c r="BF449" i="4"/>
  <c r="BF608" i="4"/>
  <c r="BF528" i="4"/>
  <c r="BF682" i="4"/>
  <c r="BF481" i="4"/>
  <c r="BF437" i="4"/>
  <c r="BF636" i="4"/>
  <c r="BF469" i="4"/>
  <c r="BF443" i="4"/>
  <c r="BF547" i="4"/>
  <c r="BF380" i="4"/>
  <c r="BF542" i="4"/>
  <c r="BF354" i="4"/>
  <c r="BF452" i="4"/>
  <c r="BF576" i="4"/>
  <c r="BF470" i="4"/>
  <c r="BF665" i="4"/>
  <c r="BF598" i="4"/>
  <c r="BF546" i="4"/>
  <c r="BF586" i="4"/>
  <c r="BF537" i="4"/>
  <c r="BF563" i="4"/>
  <c r="BF572" i="4"/>
  <c r="BF575" i="4"/>
  <c r="BF669" i="4"/>
  <c r="BF644" i="4"/>
  <c r="BF615" i="4"/>
  <c r="BF473" i="4"/>
  <c r="BF639" i="4"/>
  <c r="BF683" i="4"/>
  <c r="BF660" i="4"/>
  <c r="BF484" i="4"/>
  <c r="BF533" i="4"/>
  <c r="BF671" i="4"/>
  <c r="BF535" i="4"/>
  <c r="BF603" i="4"/>
  <c r="BF694" i="4"/>
  <c r="BF498" i="4"/>
  <c r="BF587" i="4"/>
  <c r="BF508" i="4"/>
  <c r="BF695" i="4"/>
  <c r="BF472" i="4"/>
  <c r="BF640" i="4"/>
  <c r="BF534" i="4"/>
  <c r="BF674" i="4"/>
  <c r="BF627" i="4"/>
  <c r="BF556" i="4"/>
  <c r="BF482" i="4"/>
  <c r="BF499" i="4"/>
  <c r="BF585" i="4"/>
  <c r="BF645" i="4"/>
  <c r="BF610" i="4"/>
  <c r="BF662" i="4"/>
  <c r="BF559" i="4"/>
  <c r="BF621" i="4"/>
  <c r="BF601" i="4"/>
  <c r="BF502" i="4"/>
  <c r="BF500" i="4"/>
  <c r="BF465" i="4"/>
  <c r="BF376" i="4"/>
  <c r="BF692" i="4"/>
  <c r="BF620" i="4"/>
  <c r="BF415" i="4"/>
  <c r="BF536" i="4"/>
  <c r="BF451" i="4"/>
  <c r="BF426" i="4"/>
  <c r="BF364" i="4"/>
  <c r="BF476" i="4"/>
  <c r="BF520" i="4"/>
  <c r="BF538" i="4"/>
  <c r="BF624" i="4"/>
  <c r="BF661" i="4"/>
  <c r="BF637" i="4"/>
  <c r="BF565" i="4"/>
  <c r="M22" i="16"/>
  <c r="BF434" i="4"/>
  <c r="BF397" i="4"/>
  <c r="BF532" i="4"/>
  <c r="BF404" i="4"/>
  <c r="BF501" i="4"/>
  <c r="BF564" i="4"/>
  <c r="BF679" i="4"/>
  <c r="BF611" i="4"/>
  <c r="BF558" i="4"/>
  <c r="BF643" i="4"/>
  <c r="BF618" i="4"/>
  <c r="BF471" i="4"/>
  <c r="BF494" i="4"/>
  <c r="BF717" i="4"/>
  <c r="BF512" i="4"/>
  <c r="P22" i="16"/>
  <c r="BF495" i="4"/>
  <c r="BF435" i="4"/>
  <c r="N46" i="7"/>
  <c r="BE1044" i="4"/>
  <c r="BE1052" i="4"/>
  <c r="BE1060" i="4"/>
  <c r="BE1068" i="4"/>
  <c r="BE1045" i="4"/>
  <c r="BE1053" i="4"/>
  <c r="BE1061" i="4"/>
  <c r="BE1069" i="4"/>
  <c r="BE1046" i="4"/>
  <c r="BE1054" i="4"/>
  <c r="BE1062" i="4"/>
  <c r="BE1070" i="4"/>
  <c r="BE1047" i="4"/>
  <c r="BE1055" i="4"/>
  <c r="BE1063" i="4"/>
  <c r="BE1071" i="4"/>
  <c r="BE1040" i="4"/>
  <c r="BE1048" i="4"/>
  <c r="BE1056" i="4"/>
  <c r="BE1064" i="4"/>
  <c r="BE1072" i="4"/>
  <c r="BE1041" i="4"/>
  <c r="BE1049" i="4"/>
  <c r="BE1057" i="4"/>
  <c r="BE1065" i="4"/>
  <c r="BE1042" i="4"/>
  <c r="BE1050" i="4"/>
  <c r="BE1058" i="4"/>
  <c r="BE1066" i="4"/>
  <c r="BE1043" i="4"/>
  <c r="BE1051" i="4"/>
  <c r="BE1059" i="4"/>
  <c r="BE1067" i="4"/>
  <c r="BE964" i="4"/>
  <c r="BE972" i="4"/>
  <c r="BE965" i="4"/>
  <c r="BE973" i="4"/>
  <c r="BE966" i="4"/>
  <c r="BE974" i="4"/>
  <c r="BE967" i="4"/>
  <c r="BE975" i="4"/>
  <c r="BE960" i="4"/>
  <c r="BE968" i="4"/>
  <c r="BE976" i="4"/>
  <c r="BE961" i="4"/>
  <c r="BE969" i="4"/>
  <c r="BE977" i="4"/>
  <c r="BE962" i="4"/>
  <c r="BE970" i="4"/>
  <c r="BE978" i="4"/>
  <c r="BE963" i="4"/>
  <c r="BE971" i="4"/>
  <c r="N43" i="7"/>
  <c r="BE473" i="4"/>
  <c r="BE481" i="4"/>
  <c r="BE489" i="4"/>
  <c r="BE497" i="4"/>
  <c r="BE505" i="4"/>
  <c r="BE513" i="4"/>
  <c r="BE521" i="4"/>
  <c r="BE529" i="4"/>
  <c r="BE537" i="4"/>
  <c r="BE545" i="4"/>
  <c r="BE553" i="4"/>
  <c r="BE561" i="4"/>
  <c r="BE569" i="4"/>
  <c r="BE577" i="4"/>
  <c r="BE585" i="4"/>
  <c r="BE593" i="4"/>
  <c r="BE601" i="4"/>
  <c r="BE609" i="4"/>
  <c r="BE617" i="4"/>
  <c r="BE625" i="4"/>
  <c r="BE633" i="4"/>
  <c r="BE641" i="4"/>
  <c r="BE649" i="4"/>
  <c r="BE657" i="4"/>
  <c r="BE665" i="4"/>
  <c r="BE673" i="4"/>
  <c r="BE681" i="4"/>
  <c r="BE689" i="4"/>
  <c r="BE697" i="4"/>
  <c r="BE705" i="4"/>
  <c r="BE713" i="4"/>
  <c r="BE761" i="4"/>
  <c r="BE769" i="4"/>
  <c r="BE785" i="4"/>
  <c r="BE793" i="4"/>
  <c r="BE801" i="4"/>
  <c r="BE809" i="4"/>
  <c r="BE817" i="4"/>
  <c r="BE825" i="4"/>
  <c r="BE833" i="4"/>
  <c r="BE841" i="4"/>
  <c r="BE849" i="4"/>
  <c r="BE857" i="4"/>
  <c r="BE865" i="4"/>
  <c r="BE873" i="4"/>
  <c r="BE881" i="4"/>
  <c r="BE889" i="4"/>
  <c r="BE897" i="4"/>
  <c r="BE905" i="4"/>
  <c r="BE913" i="4"/>
  <c r="BE921" i="4"/>
  <c r="BE929" i="4"/>
  <c r="BE937" i="4"/>
  <c r="BE945" i="4"/>
  <c r="BE953" i="4"/>
  <c r="BE474" i="4"/>
  <c r="BE482" i="4"/>
  <c r="BE490" i="4"/>
  <c r="BE498" i="4"/>
  <c r="BE506" i="4"/>
  <c r="BE514" i="4"/>
  <c r="BE522" i="4"/>
  <c r="BE530" i="4"/>
  <c r="BE538" i="4"/>
  <c r="BE546" i="4"/>
  <c r="BE554" i="4"/>
  <c r="BE562" i="4"/>
  <c r="BE570" i="4"/>
  <c r="BE578" i="4"/>
  <c r="BE586" i="4"/>
  <c r="BE594" i="4"/>
  <c r="BE602" i="4"/>
  <c r="BE610" i="4"/>
  <c r="BE618" i="4"/>
  <c r="BE626" i="4"/>
  <c r="BE634" i="4"/>
  <c r="BE642" i="4"/>
  <c r="BE650" i="4"/>
  <c r="BE658" i="4"/>
  <c r="BE666" i="4"/>
  <c r="BE674" i="4"/>
  <c r="BE682" i="4"/>
  <c r="BE690" i="4"/>
  <c r="BE698" i="4"/>
  <c r="BE706" i="4"/>
  <c r="BE714" i="4"/>
  <c r="BE722" i="4"/>
  <c r="BE730" i="4"/>
  <c r="BE786" i="4"/>
  <c r="BE794" i="4"/>
  <c r="BE802" i="4"/>
  <c r="BE810" i="4"/>
  <c r="BE818" i="4"/>
  <c r="BE826" i="4"/>
  <c r="BE834" i="4"/>
  <c r="BE842" i="4"/>
  <c r="BE850" i="4"/>
  <c r="BE858" i="4"/>
  <c r="BE866" i="4"/>
  <c r="BE874" i="4"/>
  <c r="BE882" i="4"/>
  <c r="BE890" i="4"/>
  <c r="BE898" i="4"/>
  <c r="BE906" i="4"/>
  <c r="BE914" i="4"/>
  <c r="BE922" i="4"/>
  <c r="BE930" i="4"/>
  <c r="BE938" i="4"/>
  <c r="BE946" i="4"/>
  <c r="BE954" i="4"/>
  <c r="BE475" i="4"/>
  <c r="BE483" i="4"/>
  <c r="BE491" i="4"/>
  <c r="BE499" i="4"/>
  <c r="BE507" i="4"/>
  <c r="BE515" i="4"/>
  <c r="BE523" i="4"/>
  <c r="BE531" i="4"/>
  <c r="BE539" i="4"/>
  <c r="BE547" i="4"/>
  <c r="BE555" i="4"/>
  <c r="BE563" i="4"/>
  <c r="BE571" i="4"/>
  <c r="BE579" i="4"/>
  <c r="BE587" i="4"/>
  <c r="BE595" i="4"/>
  <c r="BE603" i="4"/>
  <c r="BE611" i="4"/>
  <c r="BE619" i="4"/>
  <c r="BE627" i="4"/>
  <c r="BE635" i="4"/>
  <c r="BE643" i="4"/>
  <c r="BE651" i="4"/>
  <c r="BE659" i="4"/>
  <c r="BE667" i="4"/>
  <c r="BE675" i="4"/>
  <c r="BE683" i="4"/>
  <c r="BE691" i="4"/>
  <c r="BE699" i="4"/>
  <c r="BE707" i="4"/>
  <c r="BE715" i="4"/>
  <c r="BE747" i="4"/>
  <c r="BE755" i="4"/>
  <c r="BE787" i="4"/>
  <c r="BE795" i="4"/>
  <c r="BE803" i="4"/>
  <c r="BE811" i="4"/>
  <c r="BE819" i="4"/>
  <c r="BE827" i="4"/>
  <c r="BE835" i="4"/>
  <c r="BE843" i="4"/>
  <c r="BE851" i="4"/>
  <c r="BE859" i="4"/>
  <c r="BE867" i="4"/>
  <c r="BE875" i="4"/>
  <c r="BE883" i="4"/>
  <c r="BE891" i="4"/>
  <c r="BE899" i="4"/>
  <c r="BE907" i="4"/>
  <c r="BE915" i="4"/>
  <c r="BE923" i="4"/>
  <c r="BE931" i="4"/>
  <c r="BE939" i="4"/>
  <c r="BE947" i="4"/>
  <c r="BE955" i="4"/>
  <c r="BE476" i="4"/>
  <c r="BE484" i="4"/>
  <c r="BE492" i="4"/>
  <c r="BE500" i="4"/>
  <c r="BE508" i="4"/>
  <c r="BE516" i="4"/>
  <c r="BE524" i="4"/>
  <c r="BE532" i="4"/>
  <c r="BE540" i="4"/>
  <c r="BE548" i="4"/>
  <c r="BE556" i="4"/>
  <c r="BE564" i="4"/>
  <c r="BE572" i="4"/>
  <c r="BE580" i="4"/>
  <c r="BE588" i="4"/>
  <c r="BE596" i="4"/>
  <c r="BE604" i="4"/>
  <c r="BE612" i="4"/>
  <c r="BE620" i="4"/>
  <c r="BE628" i="4"/>
  <c r="BE636" i="4"/>
  <c r="BE644" i="4"/>
  <c r="BE652" i="4"/>
  <c r="BE660" i="4"/>
  <c r="BE668" i="4"/>
  <c r="BE676" i="4"/>
  <c r="BE684" i="4"/>
  <c r="BE692" i="4"/>
  <c r="BE700" i="4"/>
  <c r="BE708" i="4"/>
  <c r="BE716" i="4"/>
  <c r="BE772" i="4"/>
  <c r="BE780" i="4"/>
  <c r="BE788" i="4"/>
  <c r="BE796" i="4"/>
  <c r="BE804" i="4"/>
  <c r="BE812" i="4"/>
  <c r="BE820" i="4"/>
  <c r="BE828" i="4"/>
  <c r="BE836" i="4"/>
  <c r="BE844" i="4"/>
  <c r="BE852" i="4"/>
  <c r="BE860" i="4"/>
  <c r="BE868" i="4"/>
  <c r="BE876" i="4"/>
  <c r="BE884" i="4"/>
  <c r="BE892" i="4"/>
  <c r="BE900" i="4"/>
  <c r="BE908" i="4"/>
  <c r="BE916" i="4"/>
  <c r="BE924" i="4"/>
  <c r="BE932" i="4"/>
  <c r="BE940" i="4"/>
  <c r="BE948" i="4"/>
  <c r="BE956" i="4"/>
  <c r="BE469" i="4"/>
  <c r="BE477" i="4"/>
  <c r="BE485" i="4"/>
  <c r="BE493" i="4"/>
  <c r="BE501" i="4"/>
  <c r="BE509" i="4"/>
  <c r="BE517" i="4"/>
  <c r="BE525" i="4"/>
  <c r="BE533" i="4"/>
  <c r="BE541" i="4"/>
  <c r="BE549" i="4"/>
  <c r="BE557" i="4"/>
  <c r="BE565" i="4"/>
  <c r="BE573" i="4"/>
  <c r="BE581" i="4"/>
  <c r="BE589" i="4"/>
  <c r="BE597" i="4"/>
  <c r="BE605" i="4"/>
  <c r="BE613" i="4"/>
  <c r="BE621" i="4"/>
  <c r="BE629" i="4"/>
  <c r="BE637" i="4"/>
  <c r="BE645" i="4"/>
  <c r="BE653" i="4"/>
  <c r="BE661" i="4"/>
  <c r="BE669" i="4"/>
  <c r="BE677" i="4"/>
  <c r="BE685" i="4"/>
  <c r="BE693" i="4"/>
  <c r="BE701" i="4"/>
  <c r="BE709" i="4"/>
  <c r="BE717" i="4"/>
  <c r="BE725" i="4"/>
  <c r="BE733" i="4"/>
  <c r="BE781" i="4"/>
  <c r="BE789" i="4"/>
  <c r="BE797" i="4"/>
  <c r="BE805" i="4"/>
  <c r="BE813" i="4"/>
  <c r="BE821" i="4"/>
  <c r="BE829" i="4"/>
  <c r="BE837" i="4"/>
  <c r="BE845" i="4"/>
  <c r="BE853" i="4"/>
  <c r="BE861" i="4"/>
  <c r="BE869" i="4"/>
  <c r="BE877" i="4"/>
  <c r="BE885" i="4"/>
  <c r="BE893" i="4"/>
  <c r="BE901" i="4"/>
  <c r="BE909" i="4"/>
  <c r="BE917" i="4"/>
  <c r="BE925" i="4"/>
  <c r="BE933" i="4"/>
  <c r="BE941" i="4"/>
  <c r="BE949" i="4"/>
  <c r="BE957" i="4"/>
  <c r="BE470" i="4"/>
  <c r="BE478" i="4"/>
  <c r="BE486" i="4"/>
  <c r="BE494" i="4"/>
  <c r="BE502" i="4"/>
  <c r="BE510" i="4"/>
  <c r="BE518" i="4"/>
  <c r="BE526" i="4"/>
  <c r="BE534" i="4"/>
  <c r="BE542" i="4"/>
  <c r="BE550" i="4"/>
  <c r="BE558" i="4"/>
  <c r="BE566" i="4"/>
  <c r="BE574" i="4"/>
  <c r="BE582" i="4"/>
  <c r="BE590" i="4"/>
  <c r="BE598" i="4"/>
  <c r="BE606" i="4"/>
  <c r="BE614" i="4"/>
  <c r="BE622" i="4"/>
  <c r="BE630" i="4"/>
  <c r="BE638" i="4"/>
  <c r="BE646" i="4"/>
  <c r="BE654" i="4"/>
  <c r="BE662" i="4"/>
  <c r="BE670" i="4"/>
  <c r="BE678" i="4"/>
  <c r="BE686" i="4"/>
  <c r="BE694" i="4"/>
  <c r="BE702" i="4"/>
  <c r="BE710" i="4"/>
  <c r="BE718" i="4"/>
  <c r="BE742" i="4"/>
  <c r="BE750" i="4"/>
  <c r="BE782" i="4"/>
  <c r="BE790" i="4"/>
  <c r="BE798" i="4"/>
  <c r="BE806" i="4"/>
  <c r="BE814" i="4"/>
  <c r="BE822" i="4"/>
  <c r="BE830" i="4"/>
  <c r="BE838" i="4"/>
  <c r="BE846" i="4"/>
  <c r="BE854" i="4"/>
  <c r="BE862" i="4"/>
  <c r="BE870" i="4"/>
  <c r="BE878" i="4"/>
  <c r="BE886" i="4"/>
  <c r="BE894" i="4"/>
  <c r="BE902" i="4"/>
  <c r="BE910" i="4"/>
  <c r="BE918" i="4"/>
  <c r="BE926" i="4"/>
  <c r="BE934" i="4"/>
  <c r="BE942" i="4"/>
  <c r="BE950" i="4"/>
  <c r="BE958" i="4"/>
  <c r="BE471" i="4"/>
  <c r="BE479" i="4"/>
  <c r="BE487" i="4"/>
  <c r="BE495" i="4"/>
  <c r="BE503" i="4"/>
  <c r="BE511" i="4"/>
  <c r="BE519" i="4"/>
  <c r="BE527" i="4"/>
  <c r="BE535" i="4"/>
  <c r="BE543" i="4"/>
  <c r="BE551" i="4"/>
  <c r="BE559" i="4"/>
  <c r="BE567" i="4"/>
  <c r="BE575" i="4"/>
  <c r="BE583" i="4"/>
  <c r="BE591" i="4"/>
  <c r="BE599" i="4"/>
  <c r="BE607" i="4"/>
  <c r="BE615" i="4"/>
  <c r="BE623" i="4"/>
  <c r="BE631" i="4"/>
  <c r="BE639" i="4"/>
  <c r="BE647" i="4"/>
  <c r="BE655" i="4"/>
  <c r="BE663" i="4"/>
  <c r="BE671" i="4"/>
  <c r="BE679" i="4"/>
  <c r="BE687" i="4"/>
  <c r="BE695" i="4"/>
  <c r="BE703" i="4"/>
  <c r="BE711" i="4"/>
  <c r="BE759" i="4"/>
  <c r="BE767" i="4"/>
  <c r="BE783" i="4"/>
  <c r="BE791" i="4"/>
  <c r="BE799" i="4"/>
  <c r="BE807" i="4"/>
  <c r="BE815" i="4"/>
  <c r="BE823" i="4"/>
  <c r="BE831" i="4"/>
  <c r="BE839" i="4"/>
  <c r="BE847" i="4"/>
  <c r="BE855" i="4"/>
  <c r="BE863" i="4"/>
  <c r="BE871" i="4"/>
  <c r="BE879" i="4"/>
  <c r="BE887" i="4"/>
  <c r="BE895" i="4"/>
  <c r="BE903" i="4"/>
  <c r="BE911" i="4"/>
  <c r="BE919" i="4"/>
  <c r="BE927" i="4"/>
  <c r="BE935" i="4"/>
  <c r="BE943" i="4"/>
  <c r="BE951" i="4"/>
  <c r="BE959" i="4"/>
  <c r="BE472" i="4"/>
  <c r="BE480" i="4"/>
  <c r="BE488" i="4"/>
  <c r="BE496" i="4"/>
  <c r="BE504" i="4"/>
  <c r="BE512" i="4"/>
  <c r="BE520" i="4"/>
  <c r="BE528" i="4"/>
  <c r="BE536" i="4"/>
  <c r="BE544" i="4"/>
  <c r="BE552" i="4"/>
  <c r="BE560" i="4"/>
  <c r="BE568" i="4"/>
  <c r="BE576" i="4"/>
  <c r="BE584" i="4"/>
  <c r="BE592" i="4"/>
  <c r="BE600" i="4"/>
  <c r="BE608" i="4"/>
  <c r="BE616" i="4"/>
  <c r="BE624" i="4"/>
  <c r="BE632" i="4"/>
  <c r="BE640" i="4"/>
  <c r="BE648" i="4"/>
  <c r="BE656" i="4"/>
  <c r="BE664" i="4"/>
  <c r="BE672" i="4"/>
  <c r="BE680" i="4"/>
  <c r="BE688" i="4"/>
  <c r="BE696" i="4"/>
  <c r="BE704" i="4"/>
  <c r="BE712" i="4"/>
  <c r="BE720" i="4"/>
  <c r="BE776" i="4"/>
  <c r="BE784" i="4"/>
  <c r="BE792" i="4"/>
  <c r="BE800" i="4"/>
  <c r="BE808" i="4"/>
  <c r="BE816" i="4"/>
  <c r="BE824" i="4"/>
  <c r="BE832" i="4"/>
  <c r="BE840" i="4"/>
  <c r="BE848" i="4"/>
  <c r="BE856" i="4"/>
  <c r="BE864" i="4"/>
  <c r="BE872" i="4"/>
  <c r="BE880" i="4"/>
  <c r="BE888" i="4"/>
  <c r="BE896" i="4"/>
  <c r="BE904" i="4"/>
  <c r="BE912" i="4"/>
  <c r="BE920" i="4"/>
  <c r="BE928" i="4"/>
  <c r="BE936" i="4"/>
  <c r="BE944" i="4"/>
  <c r="BE952" i="4"/>
  <c r="BE357" i="4"/>
  <c r="BE365" i="4"/>
  <c r="BE373" i="4"/>
  <c r="BE381" i="4"/>
  <c r="BE389" i="4"/>
  <c r="BE397" i="4"/>
  <c r="BE405" i="4"/>
  <c r="BE413" i="4"/>
  <c r="BE421" i="4"/>
  <c r="BE429" i="4"/>
  <c r="BE437" i="4"/>
  <c r="BE445" i="4"/>
  <c r="BE453" i="4"/>
  <c r="BE461" i="4"/>
  <c r="BE358" i="4"/>
  <c r="BE366" i="4"/>
  <c r="BE374" i="4"/>
  <c r="BE382" i="4"/>
  <c r="BE390" i="4"/>
  <c r="BE398" i="4"/>
  <c r="BE406" i="4"/>
  <c r="BE414" i="4"/>
  <c r="BE422" i="4"/>
  <c r="BE430" i="4"/>
  <c r="BE438" i="4"/>
  <c r="BE446" i="4"/>
  <c r="BE454" i="4"/>
  <c r="BE462" i="4"/>
  <c r="BE359" i="4"/>
  <c r="BE367" i="4"/>
  <c r="BE375" i="4"/>
  <c r="BE383" i="4"/>
  <c r="BE391" i="4"/>
  <c r="BE399" i="4"/>
  <c r="BE407" i="4"/>
  <c r="BE415" i="4"/>
  <c r="BE423" i="4"/>
  <c r="BE431" i="4"/>
  <c r="BE439" i="4"/>
  <c r="BE447" i="4"/>
  <c r="BE455" i="4"/>
  <c r="BE463" i="4"/>
  <c r="BE360" i="4"/>
  <c r="BE368" i="4"/>
  <c r="BE376" i="4"/>
  <c r="BE384" i="4"/>
  <c r="BE392" i="4"/>
  <c r="BE400" i="4"/>
  <c r="BE408" i="4"/>
  <c r="BE416" i="4"/>
  <c r="BE424" i="4"/>
  <c r="BE432" i="4"/>
  <c r="BE440" i="4"/>
  <c r="BE448" i="4"/>
  <c r="BE456" i="4"/>
  <c r="BE464" i="4"/>
  <c r="BE353" i="4"/>
  <c r="BE361" i="4"/>
  <c r="BE369" i="4"/>
  <c r="BE377" i="4"/>
  <c r="BE385" i="4"/>
  <c r="BE393" i="4"/>
  <c r="BE401" i="4"/>
  <c r="BE409" i="4"/>
  <c r="BE417" i="4"/>
  <c r="BE425" i="4"/>
  <c r="BE433" i="4"/>
  <c r="BE441" i="4"/>
  <c r="BE449" i="4"/>
  <c r="BE457" i="4"/>
  <c r="BE465" i="4"/>
  <c r="BE354" i="4"/>
  <c r="BE362" i="4"/>
  <c r="BE370" i="4"/>
  <c r="BE378" i="4"/>
  <c r="BE386" i="4"/>
  <c r="BE394" i="4"/>
  <c r="BE402" i="4"/>
  <c r="BE410" i="4"/>
  <c r="BE418" i="4"/>
  <c r="BE426" i="4"/>
  <c r="BE434" i="4"/>
  <c r="BE442" i="4"/>
  <c r="BE450" i="4"/>
  <c r="BE458" i="4"/>
  <c r="BE466" i="4"/>
  <c r="BE355" i="4"/>
  <c r="BE363" i="4"/>
  <c r="BE371" i="4"/>
  <c r="BE379" i="4"/>
  <c r="BE387" i="4"/>
  <c r="BE395" i="4"/>
  <c r="BE403" i="4"/>
  <c r="BE411" i="4"/>
  <c r="BE419" i="4"/>
  <c r="BE427" i="4"/>
  <c r="BE435" i="4"/>
  <c r="BE443" i="4"/>
  <c r="BE451" i="4"/>
  <c r="BE459" i="4"/>
  <c r="BE467" i="4"/>
  <c r="BE356" i="4"/>
  <c r="BE364" i="4"/>
  <c r="BE372" i="4"/>
  <c r="BE380" i="4"/>
  <c r="BE388" i="4"/>
  <c r="BE396" i="4"/>
  <c r="BE404" i="4"/>
  <c r="BE412" i="4"/>
  <c r="BE420" i="4"/>
  <c r="BE428" i="4"/>
  <c r="BE436" i="4"/>
  <c r="BE444" i="4"/>
  <c r="BE452" i="4"/>
  <c r="BE460" i="4"/>
  <c r="BE468" i="4"/>
  <c r="AN18" i="5"/>
  <c r="C84" i="3"/>
  <c r="D84" i="3"/>
  <c r="D83" i="3"/>
  <c r="D82" i="3"/>
  <c r="V84" i="3"/>
  <c r="V83" i="3"/>
  <c r="V82" i="3"/>
  <c r="S84" i="3"/>
  <c r="S82" i="3"/>
  <c r="S83" i="3"/>
  <c r="P84" i="3"/>
  <c r="P83" i="3"/>
  <c r="P82" i="3"/>
  <c r="M84" i="3"/>
  <c r="M82" i="3"/>
  <c r="M83" i="3"/>
  <c r="J84" i="3"/>
  <c r="J83" i="3"/>
  <c r="J82" i="3"/>
  <c r="G83" i="3"/>
  <c r="G82" i="3"/>
  <c r="U84" i="3"/>
  <c r="U83" i="3"/>
  <c r="U82" i="3"/>
  <c r="R84" i="3"/>
  <c r="R83" i="3"/>
  <c r="R82" i="3"/>
  <c r="O84" i="3"/>
  <c r="O83" i="3"/>
  <c r="O82" i="3"/>
  <c r="L84" i="3"/>
  <c r="L83" i="3"/>
  <c r="L82" i="3"/>
  <c r="I84" i="3"/>
  <c r="I83" i="3"/>
  <c r="I82" i="3"/>
  <c r="F83" i="3"/>
  <c r="F82" i="3"/>
  <c r="F84" i="3"/>
  <c r="C83" i="3"/>
  <c r="C82" i="3"/>
  <c r="D112" i="10"/>
  <c r="B10" i="10"/>
  <c r="AM24" i="4"/>
  <c r="AP24" i="4"/>
  <c r="AQ24" i="4"/>
  <c r="AO24" i="4"/>
  <c r="AP116" i="4"/>
  <c r="AM116" i="4"/>
  <c r="AQ116" i="4"/>
  <c r="AO116" i="4"/>
  <c r="AP11" i="4"/>
  <c r="AO11" i="4"/>
  <c r="AM11" i="4"/>
  <c r="F11" i="4"/>
  <c r="AQ11" i="4"/>
  <c r="AQ127" i="4"/>
  <c r="AP127" i="4"/>
  <c r="AM127" i="4"/>
  <c r="AO127" i="4"/>
  <c r="AP64" i="4"/>
  <c r="AM64" i="4"/>
  <c r="AQ64" i="4"/>
  <c r="AO64" i="4"/>
  <c r="AQ77" i="4"/>
  <c r="AM77" i="4"/>
  <c r="AP77" i="4"/>
  <c r="AO77" i="4"/>
  <c r="C30" i="11"/>
  <c r="O43" i="7" l="1"/>
  <c r="BE52" i="4"/>
  <c r="Q43" i="7"/>
  <c r="BE61" i="4"/>
  <c r="F105" i="16"/>
  <c r="R43" i="7"/>
  <c r="BE57" i="4"/>
  <c r="BF138" i="4"/>
  <c r="BH138" i="4" s="1"/>
  <c r="BE127" i="4"/>
  <c r="BE137" i="4"/>
  <c r="BE58" i="4"/>
  <c r="BE132" i="4"/>
  <c r="BE130" i="4"/>
  <c r="BE38" i="4"/>
  <c r="BE37" i="4"/>
  <c r="BF24" i="4"/>
  <c r="BH24" i="4" s="1"/>
  <c r="Y22" i="16"/>
  <c r="Y164" i="16"/>
  <c r="BE138" i="4"/>
  <c r="BK138" i="4" s="1"/>
  <c r="BJ138" i="4" s="1"/>
  <c r="BE129" i="4"/>
  <c r="BE141" i="4"/>
  <c r="X61" i="16"/>
  <c r="X73" i="16" s="1"/>
  <c r="BE131" i="4"/>
  <c r="X42" i="16"/>
  <c r="X50" i="16" s="1"/>
  <c r="X105" i="16"/>
  <c r="Y3" i="16"/>
  <c r="X145" i="16"/>
  <c r="Y145" i="16"/>
  <c r="BE128" i="4"/>
  <c r="BE136" i="4"/>
  <c r="BE140" i="4"/>
  <c r="Y42" i="16"/>
  <c r="Y50" i="16" s="1"/>
  <c r="Y124" i="16"/>
  <c r="BE139" i="4"/>
  <c r="BE43" i="4"/>
  <c r="X124" i="16"/>
  <c r="Y105" i="16"/>
  <c r="BE133" i="4"/>
  <c r="BE41" i="4"/>
  <c r="BE60" i="4"/>
  <c r="P46" i="7"/>
  <c r="BE40" i="4"/>
  <c r="BE59" i="4"/>
  <c r="G235" i="3"/>
  <c r="G231" i="3"/>
  <c r="G234" i="3"/>
  <c r="G230" i="3"/>
  <c r="G233" i="3"/>
  <c r="G229" i="3"/>
  <c r="G236" i="3"/>
  <c r="G237" i="3" s="1"/>
  <c r="G232" i="3"/>
  <c r="C229" i="3"/>
  <c r="C234" i="3"/>
  <c r="C233" i="3"/>
  <c r="C232" i="3"/>
  <c r="C231" i="3"/>
  <c r="C230" i="3"/>
  <c r="C236" i="3"/>
  <c r="C235" i="3"/>
  <c r="C237" i="3"/>
  <c r="C238" i="3"/>
  <c r="V238" i="3"/>
  <c r="V237" i="3"/>
  <c r="R236" i="3"/>
  <c r="R230" i="3"/>
  <c r="R229" i="3"/>
  <c r="R235" i="3"/>
  <c r="R234" i="3"/>
  <c r="R233" i="3"/>
  <c r="R232" i="3"/>
  <c r="R231" i="3"/>
  <c r="M238" i="3"/>
  <c r="M237" i="3"/>
  <c r="P238" i="3"/>
  <c r="P237" i="3"/>
  <c r="O233" i="3"/>
  <c r="O232" i="3"/>
  <c r="O231" i="3"/>
  <c r="O229" i="3"/>
  <c r="O236" i="3"/>
  <c r="O230" i="3"/>
  <c r="O235" i="3"/>
  <c r="O234" i="3"/>
  <c r="L235" i="3"/>
  <c r="L231" i="3"/>
  <c r="L234" i="3"/>
  <c r="L230" i="3"/>
  <c r="L229" i="3"/>
  <c r="L233" i="3"/>
  <c r="L236" i="3"/>
  <c r="L232" i="3"/>
  <c r="X238" i="3"/>
  <c r="AN16" i="5" s="1"/>
  <c r="X237" i="3"/>
  <c r="I234" i="3"/>
  <c r="I233" i="3"/>
  <c r="I232" i="3"/>
  <c r="I231" i="3"/>
  <c r="I236" i="3"/>
  <c r="I230" i="3"/>
  <c r="I229" i="3"/>
  <c r="I235" i="3"/>
  <c r="I238" i="3"/>
  <c r="I237" i="3"/>
  <c r="S238" i="3"/>
  <c r="S237" i="3"/>
  <c r="U234" i="3"/>
  <c r="U233" i="3"/>
  <c r="U231" i="3"/>
  <c r="U232" i="3"/>
  <c r="U236" i="3"/>
  <c r="U230" i="3"/>
  <c r="U229" i="3"/>
  <c r="U235" i="3"/>
  <c r="AI24" i="5"/>
  <c r="AD24" i="5"/>
  <c r="O24" i="5"/>
  <c r="Y24" i="5"/>
  <c r="G226" i="3"/>
  <c r="G242" i="3" s="1"/>
  <c r="F246" i="3" s="1"/>
  <c r="G246" i="3" s="1"/>
  <c r="E24" i="5"/>
  <c r="T24" i="5"/>
  <c r="G218" i="3"/>
  <c r="F218" i="3"/>
  <c r="G221" i="3"/>
  <c r="G217" i="3"/>
  <c r="F217" i="3"/>
  <c r="G222" i="3"/>
  <c r="F222" i="3"/>
  <c r="F221" i="3"/>
  <c r="G220" i="3"/>
  <c r="F220" i="3"/>
  <c r="G219" i="3"/>
  <c r="F219" i="3"/>
  <c r="BF139" i="4"/>
  <c r="BH139" i="4" s="1"/>
  <c r="BF141" i="4"/>
  <c r="BH141" i="4" s="1"/>
  <c r="BF140" i="4"/>
  <c r="BH140" i="4" s="1"/>
  <c r="L11" i="4"/>
  <c r="G11" i="4"/>
  <c r="L304" i="13"/>
  <c r="L318" i="13" s="1"/>
  <c r="G124" i="16"/>
  <c r="B68" i="11"/>
  <c r="B71" i="11" s="1"/>
  <c r="BE54" i="4"/>
  <c r="F145" i="16"/>
  <c r="F124" i="16"/>
  <c r="G145" i="16"/>
  <c r="BE45" i="4"/>
  <c r="F164" i="16"/>
  <c r="P40" i="7"/>
  <c r="N42" i="7"/>
  <c r="Q42" i="7"/>
  <c r="BH6" i="4"/>
  <c r="BF8" i="4"/>
  <c r="BH8" i="4" s="1"/>
  <c r="BE39" i="4"/>
  <c r="BE12" i="4"/>
  <c r="BE9" i="4"/>
  <c r="BL9" i="4" s="1"/>
  <c r="BE7" i="4"/>
  <c r="BL7" i="4" s="1"/>
  <c r="BE8" i="4"/>
  <c r="BE6" i="4"/>
  <c r="BP7" i="4" s="1"/>
  <c r="BJ262" i="4"/>
  <c r="BJ280" i="4"/>
  <c r="BJ267" i="4"/>
  <c r="BJ254" i="4"/>
  <c r="BJ286" i="4"/>
  <c r="BJ265" i="4"/>
  <c r="BJ287" i="4"/>
  <c r="F381" i="13"/>
  <c r="F395" i="13" s="1"/>
  <c r="R44" i="7"/>
  <c r="F364" i="13"/>
  <c r="F378" i="13" s="1"/>
  <c r="R40" i="7"/>
  <c r="H89" i="13" s="1"/>
  <c r="L330" i="13"/>
  <c r="R42" i="7"/>
  <c r="BF117" i="4"/>
  <c r="R45" i="7"/>
  <c r="L270" i="13"/>
  <c r="L276" i="13" s="1"/>
  <c r="R46" i="7"/>
  <c r="I330" i="13"/>
  <c r="R41" i="7"/>
  <c r="BF27" i="4"/>
  <c r="R105" i="16"/>
  <c r="R164" i="16"/>
  <c r="S42" i="16"/>
  <c r="S50" i="16" s="1"/>
  <c r="S61" i="16"/>
  <c r="S65" i="16" s="1"/>
  <c r="S124" i="16"/>
  <c r="R42" i="16"/>
  <c r="R56" i="16" s="1"/>
  <c r="S164" i="16"/>
  <c r="S22" i="16"/>
  <c r="R22" i="16"/>
  <c r="R145" i="16"/>
  <c r="BE63" i="4"/>
  <c r="R61" i="16"/>
  <c r="R66" i="16" s="1"/>
  <c r="S3" i="16"/>
  <c r="R124" i="16"/>
  <c r="BE17" i="4"/>
  <c r="F194" i="13"/>
  <c r="F304" i="13"/>
  <c r="F318" i="13" s="1"/>
  <c r="F347" i="13"/>
  <c r="F226" i="13"/>
  <c r="F245" i="13" s="1"/>
  <c r="O41" i="7"/>
  <c r="BF319" i="4"/>
  <c r="BF314" i="4"/>
  <c r="BH314" i="4" s="1"/>
  <c r="BF313" i="4"/>
  <c r="BH313" i="4" s="1"/>
  <c r="S105" i="16"/>
  <c r="S145" i="16"/>
  <c r="R3" i="16"/>
  <c r="M61" i="16"/>
  <c r="M72" i="16" s="1"/>
  <c r="L124" i="16"/>
  <c r="BK164" i="4"/>
  <c r="BJ164" i="4" s="1"/>
  <c r="BL164" i="4"/>
  <c r="BK245" i="4"/>
  <c r="BJ245" i="4" s="1"/>
  <c r="BL245" i="4"/>
  <c r="BK158" i="4"/>
  <c r="BJ158" i="4" s="1"/>
  <c r="BL158" i="4"/>
  <c r="BK190" i="4"/>
  <c r="BJ190" i="4" s="1"/>
  <c r="BL190" i="4"/>
  <c r="BK203" i="4"/>
  <c r="BJ203" i="4" s="1"/>
  <c r="BL203" i="4"/>
  <c r="BK189" i="4"/>
  <c r="BJ189" i="4" s="1"/>
  <c r="BL189" i="4"/>
  <c r="BK194" i="4"/>
  <c r="BJ194" i="4" s="1"/>
  <c r="BL194" i="4"/>
  <c r="BK149" i="4"/>
  <c r="BJ149" i="4" s="1"/>
  <c r="BL149" i="4"/>
  <c r="BK201" i="4"/>
  <c r="BJ201" i="4" s="1"/>
  <c r="BL201" i="4"/>
  <c r="BK156" i="4"/>
  <c r="BJ156" i="4" s="1"/>
  <c r="BL156" i="4"/>
  <c r="BK235" i="4"/>
  <c r="BJ235" i="4" s="1"/>
  <c r="BL235" i="4"/>
  <c r="BK160" i="4"/>
  <c r="BJ160" i="4" s="1"/>
  <c r="BL160" i="4"/>
  <c r="BK224" i="4"/>
  <c r="BJ224" i="4" s="1"/>
  <c r="BL224" i="4"/>
  <c r="BK142" i="4"/>
  <c r="BJ142" i="4" s="1"/>
  <c r="BL142" i="4"/>
  <c r="BK240" i="4"/>
  <c r="BJ240" i="4" s="1"/>
  <c r="BL240" i="4"/>
  <c r="BK206" i="4"/>
  <c r="BJ206" i="4" s="1"/>
  <c r="BL206" i="4"/>
  <c r="BK155" i="4"/>
  <c r="BJ155" i="4" s="1"/>
  <c r="BL155" i="4"/>
  <c r="BK166" i="4"/>
  <c r="BJ166" i="4" s="1"/>
  <c r="BL166" i="4"/>
  <c r="BK182" i="4"/>
  <c r="BJ182" i="4" s="1"/>
  <c r="BL182" i="4"/>
  <c r="BK227" i="4"/>
  <c r="BJ227" i="4" s="1"/>
  <c r="BL227" i="4"/>
  <c r="BK246" i="4"/>
  <c r="BJ246" i="4" s="1"/>
  <c r="BL246" i="4"/>
  <c r="BK236" i="4"/>
  <c r="BJ236" i="4" s="1"/>
  <c r="BL236" i="4"/>
  <c r="BK213" i="4"/>
  <c r="BJ213" i="4" s="1"/>
  <c r="BL213" i="4"/>
  <c r="BK167" i="4"/>
  <c r="BJ167" i="4" s="1"/>
  <c r="BL167" i="4"/>
  <c r="BK153" i="4"/>
  <c r="BJ153" i="4" s="1"/>
  <c r="BL153" i="4"/>
  <c r="BK151" i="4"/>
  <c r="BJ151" i="4" s="1"/>
  <c r="BL151" i="4"/>
  <c r="BK192" i="4"/>
  <c r="BJ192" i="4" s="1"/>
  <c r="BL192" i="4"/>
  <c r="BK171" i="4"/>
  <c r="BJ171" i="4" s="1"/>
  <c r="BL171" i="4"/>
  <c r="BK170" i="4"/>
  <c r="BJ170" i="4" s="1"/>
  <c r="BL170" i="4"/>
  <c r="BK234" i="4"/>
  <c r="BJ234" i="4" s="1"/>
  <c r="BL234" i="4"/>
  <c r="BK252" i="4"/>
  <c r="BJ252" i="4" s="1"/>
  <c r="BL252" i="4"/>
  <c r="BK216" i="4"/>
  <c r="BJ216" i="4" s="1"/>
  <c r="BL216" i="4"/>
  <c r="BK212" i="4"/>
  <c r="BJ212" i="4" s="1"/>
  <c r="BL212" i="4"/>
  <c r="BK242" i="4"/>
  <c r="BJ242" i="4" s="1"/>
  <c r="BL242" i="4"/>
  <c r="BK183" i="4"/>
  <c r="BJ183" i="4" s="1"/>
  <c r="BL183" i="4"/>
  <c r="BK196" i="4"/>
  <c r="BJ196" i="4" s="1"/>
  <c r="BL196" i="4"/>
  <c r="BK148" i="4"/>
  <c r="BJ148" i="4" s="1"/>
  <c r="BL148" i="4"/>
  <c r="BK177" i="4"/>
  <c r="BJ177" i="4" s="1"/>
  <c r="BL177" i="4"/>
  <c r="BK159" i="4"/>
  <c r="BJ159" i="4" s="1"/>
  <c r="BL159" i="4"/>
  <c r="BK180" i="4"/>
  <c r="BJ180" i="4" s="1"/>
  <c r="BL180" i="4"/>
  <c r="BK214" i="4"/>
  <c r="BJ214" i="4" s="1"/>
  <c r="BL214" i="4"/>
  <c r="BK178" i="4"/>
  <c r="BJ178" i="4" s="1"/>
  <c r="BL178" i="4"/>
  <c r="BK174" i="4"/>
  <c r="BJ174" i="4" s="1"/>
  <c r="BL174" i="4"/>
  <c r="BK165" i="4"/>
  <c r="BJ165" i="4" s="1"/>
  <c r="BL165" i="4"/>
  <c r="BK144" i="4"/>
  <c r="BJ144" i="4" s="1"/>
  <c r="BL144" i="4"/>
  <c r="BK232" i="4"/>
  <c r="BJ232" i="4" s="1"/>
  <c r="BL232" i="4"/>
  <c r="BK154" i="4"/>
  <c r="BJ154" i="4" s="1"/>
  <c r="BL154" i="4"/>
  <c r="BK199" i="4"/>
  <c r="BJ199" i="4" s="1"/>
  <c r="BL199" i="4"/>
  <c r="BK210" i="4"/>
  <c r="BJ210" i="4" s="1"/>
  <c r="BL210" i="4"/>
  <c r="BK243" i="4"/>
  <c r="BJ243" i="4" s="1"/>
  <c r="BL243" i="4"/>
  <c r="BK145" i="4"/>
  <c r="BJ145" i="4" s="1"/>
  <c r="BL145" i="4"/>
  <c r="BK238" i="4"/>
  <c r="BJ238" i="4" s="1"/>
  <c r="BL238" i="4"/>
  <c r="BK161" i="4"/>
  <c r="BJ161" i="4" s="1"/>
  <c r="BL161" i="4"/>
  <c r="BK147" i="4"/>
  <c r="BJ147" i="4" s="1"/>
  <c r="BL147" i="4"/>
  <c r="BK172" i="4"/>
  <c r="BJ172" i="4" s="1"/>
  <c r="BL172" i="4"/>
  <c r="BK175" i="4"/>
  <c r="BJ175" i="4" s="1"/>
  <c r="BL175" i="4"/>
  <c r="BK218" i="4"/>
  <c r="BJ218" i="4" s="1"/>
  <c r="BL218" i="4"/>
  <c r="BK186" i="4"/>
  <c r="BJ186" i="4" s="1"/>
  <c r="BL186" i="4"/>
  <c r="BK250" i="4"/>
  <c r="BJ250" i="4" s="1"/>
  <c r="BL250" i="4"/>
  <c r="BK173" i="4"/>
  <c r="BJ173" i="4" s="1"/>
  <c r="BL173" i="4"/>
  <c r="BK181" i="4"/>
  <c r="BJ181" i="4" s="1"/>
  <c r="BL181" i="4"/>
  <c r="BK169" i="4"/>
  <c r="BJ169" i="4" s="1"/>
  <c r="BL169" i="4"/>
  <c r="BK163" i="4"/>
  <c r="BJ163" i="4" s="1"/>
  <c r="BL163" i="4"/>
  <c r="BK249" i="4"/>
  <c r="BJ249" i="4" s="1"/>
  <c r="BL249" i="4"/>
  <c r="BK215" i="4"/>
  <c r="BJ215" i="4" s="1"/>
  <c r="BL215" i="4"/>
  <c r="BK143" i="4"/>
  <c r="BJ143" i="4" s="1"/>
  <c r="BL143" i="4"/>
  <c r="BK207" i="4"/>
  <c r="BJ207" i="4" s="1"/>
  <c r="BL207" i="4"/>
  <c r="BK150" i="4"/>
  <c r="BJ150" i="4" s="1"/>
  <c r="BL150" i="4"/>
  <c r="BK157" i="4"/>
  <c r="BJ157" i="4" s="1"/>
  <c r="BL157" i="4"/>
  <c r="BK217" i="4"/>
  <c r="BJ217" i="4" s="1"/>
  <c r="BL217" i="4"/>
  <c r="BK205" i="4"/>
  <c r="BJ205" i="4" s="1"/>
  <c r="BL205" i="4"/>
  <c r="BK184" i="4"/>
  <c r="BJ184" i="4" s="1"/>
  <c r="BL184" i="4"/>
  <c r="BK195" i="4"/>
  <c r="BJ195" i="4" s="1"/>
  <c r="BL195" i="4"/>
  <c r="BK228" i="4"/>
  <c r="BJ228" i="4" s="1"/>
  <c r="BL228" i="4"/>
  <c r="BK202" i="4"/>
  <c r="BJ202" i="4" s="1"/>
  <c r="BL202" i="4"/>
  <c r="BK179" i="4"/>
  <c r="BJ179" i="4" s="1"/>
  <c r="BL179" i="4"/>
  <c r="BK152" i="4"/>
  <c r="BJ152" i="4" s="1"/>
  <c r="BL152" i="4"/>
  <c r="BK239" i="4"/>
  <c r="BJ239" i="4" s="1"/>
  <c r="BL239" i="4"/>
  <c r="BK188" i="4"/>
  <c r="BJ188" i="4" s="1"/>
  <c r="BL188" i="4"/>
  <c r="BK220" i="4"/>
  <c r="BJ220" i="4" s="1"/>
  <c r="BL220" i="4"/>
  <c r="BK225" i="4"/>
  <c r="BJ225" i="4" s="1"/>
  <c r="BL225" i="4"/>
  <c r="BK198" i="4"/>
  <c r="BJ198" i="4" s="1"/>
  <c r="BL198" i="4"/>
  <c r="BK222" i="4"/>
  <c r="BJ222" i="4" s="1"/>
  <c r="BL222" i="4"/>
  <c r="BK197" i="4"/>
  <c r="BJ197" i="4" s="1"/>
  <c r="BL197" i="4"/>
  <c r="BK209" i="4"/>
  <c r="BJ209" i="4" s="1"/>
  <c r="BL209" i="4"/>
  <c r="BK247" i="4"/>
  <c r="BJ247" i="4" s="1"/>
  <c r="BL247" i="4"/>
  <c r="BK168" i="4"/>
  <c r="BJ168" i="4" s="1"/>
  <c r="BL168" i="4"/>
  <c r="BK241" i="4"/>
  <c r="BJ241" i="4" s="1"/>
  <c r="BL241" i="4"/>
  <c r="BK233" i="4"/>
  <c r="BJ233" i="4" s="1"/>
  <c r="BL233" i="4"/>
  <c r="BK221" i="4"/>
  <c r="BJ221" i="4" s="1"/>
  <c r="BL221" i="4"/>
  <c r="BK223" i="4"/>
  <c r="BJ223" i="4" s="1"/>
  <c r="BL223" i="4"/>
  <c r="BK237" i="4"/>
  <c r="BJ237" i="4" s="1"/>
  <c r="BL237" i="4"/>
  <c r="BK204" i="4"/>
  <c r="BJ204" i="4" s="1"/>
  <c r="BL204" i="4"/>
  <c r="BK244" i="4"/>
  <c r="BJ244" i="4" s="1"/>
  <c r="BL244" i="4"/>
  <c r="BK200" i="4"/>
  <c r="BJ200" i="4" s="1"/>
  <c r="BL200" i="4"/>
  <c r="BK187" i="4"/>
  <c r="BJ187" i="4" s="1"/>
  <c r="BL187" i="4"/>
  <c r="BK162" i="4"/>
  <c r="BJ162" i="4" s="1"/>
  <c r="BL162" i="4"/>
  <c r="BK146" i="4"/>
  <c r="BJ146" i="4" s="1"/>
  <c r="BL146" i="4"/>
  <c r="BK191" i="4"/>
  <c r="BJ191" i="4" s="1"/>
  <c r="BL191" i="4"/>
  <c r="BK230" i="4"/>
  <c r="BJ230" i="4" s="1"/>
  <c r="BL230" i="4"/>
  <c r="BK208" i="4"/>
  <c r="BJ208" i="4" s="1"/>
  <c r="BL208" i="4"/>
  <c r="BK211" i="4"/>
  <c r="BJ211" i="4" s="1"/>
  <c r="BL211" i="4"/>
  <c r="BK226" i="4"/>
  <c r="BJ226" i="4" s="1"/>
  <c r="BL226" i="4"/>
  <c r="BK176" i="4"/>
  <c r="BJ176" i="4" s="1"/>
  <c r="BL176" i="4"/>
  <c r="BK185" i="4"/>
  <c r="BJ185" i="4" s="1"/>
  <c r="BL185" i="4"/>
  <c r="BK219" i="4"/>
  <c r="BJ219" i="4" s="1"/>
  <c r="BL219" i="4"/>
  <c r="BK139" i="4"/>
  <c r="BJ139" i="4" s="1"/>
  <c r="BK231" i="4"/>
  <c r="BJ231" i="4" s="1"/>
  <c r="BL231" i="4"/>
  <c r="BK248" i="4"/>
  <c r="BJ248" i="4" s="1"/>
  <c r="BL248" i="4"/>
  <c r="BK193" i="4"/>
  <c r="BJ193" i="4" s="1"/>
  <c r="BL193" i="4"/>
  <c r="BK229" i="4"/>
  <c r="BJ229" i="4" s="1"/>
  <c r="BL229" i="4"/>
  <c r="F287" i="13"/>
  <c r="F301" i="13" s="1"/>
  <c r="P55" i="16"/>
  <c r="P48" i="16"/>
  <c r="P52" i="16"/>
  <c r="P53" i="16"/>
  <c r="P56" i="16"/>
  <c r="P50" i="16"/>
  <c r="P54" i="16"/>
  <c r="P51" i="16"/>
  <c r="P49" i="16"/>
  <c r="P45" i="16"/>
  <c r="P46" i="16"/>
  <c r="P47" i="16"/>
  <c r="O47" i="16"/>
  <c r="O55" i="16"/>
  <c r="O48" i="16"/>
  <c r="O52" i="16"/>
  <c r="O53" i="16"/>
  <c r="O56" i="16"/>
  <c r="O50" i="16"/>
  <c r="O54" i="16"/>
  <c r="O51" i="16"/>
  <c r="O49" i="16"/>
  <c r="O45" i="16"/>
  <c r="O46" i="16"/>
  <c r="L69" i="16"/>
  <c r="L70" i="16"/>
  <c r="L74" i="16"/>
  <c r="L66" i="16"/>
  <c r="L64" i="16"/>
  <c r="L72" i="16"/>
  <c r="L75" i="16"/>
  <c r="L67" i="16"/>
  <c r="L68" i="16"/>
  <c r="L73" i="16"/>
  <c r="L65" i="16"/>
  <c r="L71" i="16"/>
  <c r="X55" i="16"/>
  <c r="J68" i="16"/>
  <c r="J64" i="16"/>
  <c r="J73" i="16"/>
  <c r="J66" i="16"/>
  <c r="J74" i="16"/>
  <c r="J72" i="16"/>
  <c r="J65" i="16"/>
  <c r="J71" i="16"/>
  <c r="J69" i="16"/>
  <c r="J75" i="16"/>
  <c r="J70" i="16"/>
  <c r="J67" i="16"/>
  <c r="I48" i="16"/>
  <c r="I51" i="16"/>
  <c r="I49" i="16"/>
  <c r="I53" i="16"/>
  <c r="I54" i="16"/>
  <c r="I52" i="16"/>
  <c r="I55" i="16"/>
  <c r="I50" i="16"/>
  <c r="I56" i="16"/>
  <c r="I46" i="16"/>
  <c r="I45" i="16"/>
  <c r="I47" i="16"/>
  <c r="P69" i="16"/>
  <c r="P72" i="16"/>
  <c r="P64" i="16"/>
  <c r="P65" i="16"/>
  <c r="P70" i="16"/>
  <c r="P71" i="16"/>
  <c r="P67" i="16"/>
  <c r="P68" i="16"/>
  <c r="P75" i="16"/>
  <c r="P66" i="16"/>
  <c r="P74" i="16"/>
  <c r="P73" i="16"/>
  <c r="Y55" i="16"/>
  <c r="I70" i="16"/>
  <c r="I67" i="16"/>
  <c r="I68" i="16"/>
  <c r="I64" i="16"/>
  <c r="I73" i="16"/>
  <c r="I66" i="16"/>
  <c r="I74" i="16"/>
  <c r="I72" i="16"/>
  <c r="I65" i="16"/>
  <c r="I71" i="16"/>
  <c r="I69" i="16"/>
  <c r="I75" i="16"/>
  <c r="O74" i="16"/>
  <c r="O73" i="16"/>
  <c r="O69" i="16"/>
  <c r="O72" i="16"/>
  <c r="O64" i="16"/>
  <c r="O65" i="16"/>
  <c r="O70" i="16"/>
  <c r="O71" i="16"/>
  <c r="O67" i="16"/>
  <c r="O68" i="16"/>
  <c r="O75" i="16"/>
  <c r="O66" i="16"/>
  <c r="L51" i="16"/>
  <c r="L54" i="16"/>
  <c r="L55" i="16"/>
  <c r="L45" i="16"/>
  <c r="L47" i="16"/>
  <c r="L46" i="16"/>
  <c r="L52" i="16"/>
  <c r="L53" i="16"/>
  <c r="L50" i="16"/>
  <c r="L48" i="16"/>
  <c r="L56" i="16"/>
  <c r="L49" i="16"/>
  <c r="M51" i="16"/>
  <c r="M54" i="16"/>
  <c r="M55" i="16"/>
  <c r="M45" i="16"/>
  <c r="M47" i="16"/>
  <c r="M46" i="16"/>
  <c r="M52" i="16"/>
  <c r="M53" i="16"/>
  <c r="M50" i="16"/>
  <c r="M48" i="16"/>
  <c r="M56" i="16"/>
  <c r="M49" i="16"/>
  <c r="Y69" i="16"/>
  <c r="Y70" i="16"/>
  <c r="Y68" i="16"/>
  <c r="Y72" i="16"/>
  <c r="Y67" i="16"/>
  <c r="Y66" i="16"/>
  <c r="Y64" i="16"/>
  <c r="Y75" i="16"/>
  <c r="Y65" i="16"/>
  <c r="Y74" i="16"/>
  <c r="Y73" i="16"/>
  <c r="Y71" i="16"/>
  <c r="J49" i="16"/>
  <c r="J53" i="16"/>
  <c r="J54" i="16"/>
  <c r="J52" i="16"/>
  <c r="J55" i="16"/>
  <c r="J50" i="16"/>
  <c r="J56" i="16"/>
  <c r="J46" i="16"/>
  <c r="J45" i="16"/>
  <c r="J47" i="16"/>
  <c r="J48" i="16"/>
  <c r="J51" i="16"/>
  <c r="BE73" i="4"/>
  <c r="BE74" i="4"/>
  <c r="BE68" i="4"/>
  <c r="BE64" i="4"/>
  <c r="BE72" i="4"/>
  <c r="BE67" i="4"/>
  <c r="BE71" i="4"/>
  <c r="BE69" i="4"/>
  <c r="BE65" i="4"/>
  <c r="BE66" i="4"/>
  <c r="BE70" i="4"/>
  <c r="F253" i="13"/>
  <c r="F258" i="13" s="1"/>
  <c r="F292" i="13" s="1"/>
  <c r="BF58" i="4"/>
  <c r="BH58" i="4" s="1"/>
  <c r="BF19" i="4"/>
  <c r="BH19" i="4" s="1"/>
  <c r="F330" i="13"/>
  <c r="BF23" i="4"/>
  <c r="BH23" i="4" s="1"/>
  <c r="BE24" i="4"/>
  <c r="BE22" i="4"/>
  <c r="O40" i="7"/>
  <c r="BE23" i="4"/>
  <c r="G105" i="16"/>
  <c r="BE42" i="4"/>
  <c r="BE75" i="4"/>
  <c r="BE55" i="4"/>
  <c r="BF25" i="4"/>
  <c r="BE76" i="4"/>
  <c r="BE79" i="4"/>
  <c r="BE78" i="4"/>
  <c r="BE80" i="4"/>
  <c r="BE77" i="4"/>
  <c r="BF18" i="4"/>
  <c r="BH18" i="4" s="1"/>
  <c r="I210" i="13"/>
  <c r="I242" i="13" s="1"/>
  <c r="I253" i="13"/>
  <c r="I261" i="13" s="1"/>
  <c r="BF21" i="4"/>
  <c r="BH21" i="4" s="1"/>
  <c r="F178" i="13"/>
  <c r="BF14" i="4"/>
  <c r="BF17" i="4"/>
  <c r="BH17" i="4" s="1"/>
  <c r="BF15" i="4"/>
  <c r="BH15" i="4" s="1"/>
  <c r="L287" i="13"/>
  <c r="L301" i="13" s="1"/>
  <c r="L210" i="13"/>
  <c r="L242" i="13" s="1"/>
  <c r="M47" i="7"/>
  <c r="BE19" i="4"/>
  <c r="BE31" i="4"/>
  <c r="BE14" i="4"/>
  <c r="BE33" i="4"/>
  <c r="BE30" i="4"/>
  <c r="BE16" i="4"/>
  <c r="BE32" i="4"/>
  <c r="BE36" i="4"/>
  <c r="BE15" i="4"/>
  <c r="BE35" i="4"/>
  <c r="BE34" i="4"/>
  <c r="BF16" i="4"/>
  <c r="BH16" i="4" s="1"/>
  <c r="BF22" i="4"/>
  <c r="BH22" i="4" s="1"/>
  <c r="BE134" i="4"/>
  <c r="BE135" i="4"/>
  <c r="BE18" i="4"/>
  <c r="BE21" i="4"/>
  <c r="BE91" i="4"/>
  <c r="BE118" i="4"/>
  <c r="BE84" i="4"/>
  <c r="BE116" i="4"/>
  <c r="BE87" i="4"/>
  <c r="BE85" i="4"/>
  <c r="BE82" i="4"/>
  <c r="BE126" i="4"/>
  <c r="BE94" i="4"/>
  <c r="BE86" i="4"/>
  <c r="BE103" i="4"/>
  <c r="BE117" i="4"/>
  <c r="BE101" i="4"/>
  <c r="BE83" i="4"/>
  <c r="BE108" i="4"/>
  <c r="BE88" i="4"/>
  <c r="BE98" i="4"/>
  <c r="BE109" i="4"/>
  <c r="F210" i="13"/>
  <c r="F242" i="13" s="1"/>
  <c r="BF29" i="4"/>
  <c r="BH29" i="4" s="1"/>
  <c r="BF20" i="4"/>
  <c r="BH20" i="4" s="1"/>
  <c r="BF28" i="4"/>
  <c r="BH28" i="4" s="1"/>
  <c r="BF26" i="4"/>
  <c r="Q40" i="7"/>
  <c r="G3" i="16"/>
  <c r="BE26" i="4"/>
  <c r="G22" i="16"/>
  <c r="BE20" i="4"/>
  <c r="G42" i="16"/>
  <c r="BE29" i="4"/>
  <c r="N40" i="7"/>
  <c r="F3" i="16"/>
  <c r="BE25" i="4"/>
  <c r="F61" i="16"/>
  <c r="BE28" i="4"/>
  <c r="F42" i="16"/>
  <c r="F22" i="16"/>
  <c r="BE27" i="4"/>
  <c r="G61" i="16"/>
  <c r="BF121" i="4"/>
  <c r="BH121" i="4" s="1"/>
  <c r="BF125" i="4"/>
  <c r="BH125" i="4" s="1"/>
  <c r="BF124" i="4"/>
  <c r="BH124" i="4" s="1"/>
  <c r="BF114" i="4"/>
  <c r="BH114" i="4" s="1"/>
  <c r="BF112" i="4"/>
  <c r="BH112" i="4" s="1"/>
  <c r="BF131" i="4"/>
  <c r="BF128" i="4"/>
  <c r="BF132" i="4"/>
  <c r="BH132" i="4" s="1"/>
  <c r="BF120" i="4"/>
  <c r="BH120" i="4" s="1"/>
  <c r="BF126" i="4"/>
  <c r="BH126" i="4" s="1"/>
  <c r="BF134" i="4"/>
  <c r="BH134" i="4" s="1"/>
  <c r="BF137" i="4"/>
  <c r="BH137" i="4" s="1"/>
  <c r="BF133" i="4"/>
  <c r="BH133" i="4" s="1"/>
  <c r="BF135" i="4"/>
  <c r="BH135" i="4" s="1"/>
  <c r="BF130" i="4"/>
  <c r="BF129" i="4"/>
  <c r="BF127" i="4"/>
  <c r="BH127" i="4" s="1"/>
  <c r="BF136" i="4"/>
  <c r="BH136" i="4" s="1"/>
  <c r="BF122" i="4"/>
  <c r="BH122" i="4" s="1"/>
  <c r="BF115" i="4"/>
  <c r="BH115" i="4" s="1"/>
  <c r="BF123" i="4"/>
  <c r="BH123" i="4" s="1"/>
  <c r="BF116" i="4"/>
  <c r="BF113" i="4"/>
  <c r="BH113" i="4" s="1"/>
  <c r="BF119" i="4"/>
  <c r="BH119" i="4" s="1"/>
  <c r="BF118" i="4"/>
  <c r="I287" i="13"/>
  <c r="I301" i="13" s="1"/>
  <c r="BF35" i="4"/>
  <c r="BH35" i="4" s="1"/>
  <c r="BF31" i="4"/>
  <c r="BH31" i="4" s="1"/>
  <c r="BF34" i="4"/>
  <c r="BH34" i="4" s="1"/>
  <c r="BF33" i="4"/>
  <c r="BH33" i="4" s="1"/>
  <c r="BF30" i="4"/>
  <c r="BH30" i="4" s="1"/>
  <c r="BF32" i="4"/>
  <c r="BH32" i="4" s="1"/>
  <c r="BF36" i="4"/>
  <c r="BH36" i="4" s="1"/>
  <c r="BE113" i="4"/>
  <c r="BE121" i="4"/>
  <c r="BE99" i="4"/>
  <c r="BE119" i="4"/>
  <c r="BE112" i="4"/>
  <c r="BE122" i="4"/>
  <c r="BE106" i="4"/>
  <c r="BE105" i="4"/>
  <c r="BE90" i="4"/>
  <c r="BE89" i="4"/>
  <c r="BE125" i="4"/>
  <c r="BE104" i="4"/>
  <c r="BE123" i="4"/>
  <c r="BE115" i="4"/>
  <c r="BE120" i="4"/>
  <c r="BE111" i="4"/>
  <c r="BE97" i="4"/>
  <c r="BE95" i="4"/>
  <c r="BE124" i="4"/>
  <c r="BE114" i="4"/>
  <c r="BE107" i="4"/>
  <c r="BE96" i="4"/>
  <c r="BE102" i="4"/>
  <c r="BE92" i="4"/>
  <c r="BE93" i="4"/>
  <c r="BE110" i="4"/>
  <c r="BL10" i="4"/>
  <c r="L253" i="13"/>
  <c r="L262" i="13" s="1"/>
  <c r="F270" i="13"/>
  <c r="F277" i="13" s="1"/>
  <c r="L178" i="13"/>
  <c r="Q45" i="7"/>
  <c r="P45" i="7"/>
  <c r="O46" i="7"/>
  <c r="I178" i="13"/>
  <c r="BF65" i="4"/>
  <c r="BF92" i="4"/>
  <c r="BH92" i="4" s="1"/>
  <c r="BF109" i="4"/>
  <c r="BH109" i="4" s="1"/>
  <c r="BF77" i="4"/>
  <c r="BF59" i="4"/>
  <c r="BH59" i="4" s="1"/>
  <c r="BF54" i="4"/>
  <c r="BH54" i="4" s="1"/>
  <c r="BF37" i="4"/>
  <c r="BH37" i="4" s="1"/>
  <c r="BF52" i="4"/>
  <c r="BH52" i="4" s="1"/>
  <c r="BF39" i="4"/>
  <c r="BH39" i="4" s="1"/>
  <c r="BF75" i="4"/>
  <c r="BH75" i="4" s="1"/>
  <c r="BF61" i="4"/>
  <c r="BH61" i="4" s="1"/>
  <c r="BF107" i="4"/>
  <c r="BH107" i="4" s="1"/>
  <c r="BF94" i="4"/>
  <c r="BH94" i="4" s="1"/>
  <c r="BF95" i="4"/>
  <c r="BH95" i="4" s="1"/>
  <c r="BF93" i="4"/>
  <c r="BH93" i="4" s="1"/>
  <c r="BF91" i="4"/>
  <c r="BH91" i="4" s="1"/>
  <c r="BF51" i="4"/>
  <c r="BH51" i="4" s="1"/>
  <c r="BF82" i="4"/>
  <c r="BH82" i="4" s="1"/>
  <c r="BF55" i="4"/>
  <c r="BH55" i="4" s="1"/>
  <c r="BF40" i="4"/>
  <c r="BH40" i="4" s="1"/>
  <c r="BF50" i="4"/>
  <c r="BH50" i="4" s="1"/>
  <c r="BF44" i="4"/>
  <c r="BH44" i="4" s="1"/>
  <c r="BF66" i="4"/>
  <c r="BF74" i="4"/>
  <c r="BH74" i="4" s="1"/>
  <c r="BF97" i="4"/>
  <c r="BH97" i="4" s="1"/>
  <c r="BF104" i="4"/>
  <c r="BH104" i="4" s="1"/>
  <c r="BF84" i="4"/>
  <c r="BH84" i="4" s="1"/>
  <c r="BF83" i="4"/>
  <c r="BH83" i="4" s="1"/>
  <c r="BF45" i="4"/>
  <c r="BH45" i="4" s="1"/>
  <c r="BF42" i="4"/>
  <c r="BH42" i="4" s="1"/>
  <c r="BF48" i="4"/>
  <c r="BH48" i="4" s="1"/>
  <c r="BF57" i="4"/>
  <c r="BH57" i="4" s="1"/>
  <c r="BF111" i="4"/>
  <c r="BH111" i="4" s="1"/>
  <c r="BF103" i="4"/>
  <c r="BH103" i="4" s="1"/>
  <c r="BF80" i="4"/>
  <c r="BH80" i="4" s="1"/>
  <c r="BF81" i="4"/>
  <c r="BH81" i="4" s="1"/>
  <c r="BF56" i="4"/>
  <c r="BH56" i="4" s="1"/>
  <c r="BF53" i="4"/>
  <c r="BH53" i="4" s="1"/>
  <c r="BF49" i="4"/>
  <c r="BH49" i="4" s="1"/>
  <c r="BF98" i="4"/>
  <c r="BH98" i="4" s="1"/>
  <c r="BF110" i="4"/>
  <c r="BH110" i="4" s="1"/>
  <c r="BF85" i="4"/>
  <c r="BH85" i="4" s="1"/>
  <c r="BF79" i="4"/>
  <c r="BF41" i="4"/>
  <c r="BH41" i="4" s="1"/>
  <c r="BF47" i="4"/>
  <c r="BH47" i="4" s="1"/>
  <c r="BF69" i="4"/>
  <c r="BH69" i="4" s="1"/>
  <c r="I364" i="13"/>
  <c r="I378" i="13" s="1"/>
  <c r="BF105" i="4"/>
  <c r="BH105" i="4" s="1"/>
  <c r="BF108" i="4"/>
  <c r="BH108" i="4" s="1"/>
  <c r="BF101" i="4"/>
  <c r="BH101" i="4" s="1"/>
  <c r="BF62" i="4"/>
  <c r="BH62" i="4" s="1"/>
  <c r="BF43" i="4"/>
  <c r="BH43" i="4" s="1"/>
  <c r="BF38" i="4"/>
  <c r="BH38" i="4" s="1"/>
  <c r="BF68" i="4"/>
  <c r="BH68" i="4" s="1"/>
  <c r="BF63" i="4"/>
  <c r="BH63" i="4" s="1"/>
  <c r="BF86" i="4"/>
  <c r="BH86" i="4" s="1"/>
  <c r="BF96" i="4"/>
  <c r="BH96" i="4" s="1"/>
  <c r="BF89" i="4"/>
  <c r="BH89" i="4" s="1"/>
  <c r="BF100" i="4"/>
  <c r="BH100" i="4" s="1"/>
  <c r="BF46" i="4"/>
  <c r="BH46" i="4" s="1"/>
  <c r="BF76" i="4"/>
  <c r="BH76" i="4" s="1"/>
  <c r="BF67" i="4"/>
  <c r="BH67" i="4" s="1"/>
  <c r="BF71" i="4"/>
  <c r="BH71" i="4" s="1"/>
  <c r="BF72" i="4"/>
  <c r="BH72" i="4" s="1"/>
  <c r="BF60" i="4"/>
  <c r="BH60" i="4" s="1"/>
  <c r="BF106" i="4"/>
  <c r="BH106" i="4" s="1"/>
  <c r="BF99" i="4"/>
  <c r="BH99" i="4" s="1"/>
  <c r="BF90" i="4"/>
  <c r="BH90" i="4" s="1"/>
  <c r="BF102" i="4"/>
  <c r="BH102" i="4" s="1"/>
  <c r="BF88" i="4"/>
  <c r="BH88" i="4" s="1"/>
  <c r="BF87" i="4"/>
  <c r="BH87" i="4" s="1"/>
  <c r="BF78" i="4"/>
  <c r="BF73" i="4"/>
  <c r="BH73" i="4" s="1"/>
  <c r="BF70" i="4"/>
  <c r="BH70" i="4" s="1"/>
  <c r="BF64" i="4"/>
  <c r="BE251" i="4"/>
  <c r="BL251" i="4" s="1"/>
  <c r="Q44" i="7"/>
  <c r="O42" i="7"/>
  <c r="N44" i="7"/>
  <c r="O44" i="7"/>
  <c r="U61" i="16"/>
  <c r="O45" i="7"/>
  <c r="BF731" i="4"/>
  <c r="I381" i="13"/>
  <c r="I395" i="13" s="1"/>
  <c r="I347" i="13"/>
  <c r="L364" i="13"/>
  <c r="L378" i="13" s="1"/>
  <c r="L347" i="13"/>
  <c r="L381" i="13"/>
  <c r="L395" i="13" s="1"/>
  <c r="I226" i="13"/>
  <c r="I245" i="13" s="1"/>
  <c r="I194" i="13"/>
  <c r="BF803" i="4"/>
  <c r="BF787" i="4"/>
  <c r="BF802" i="4"/>
  <c r="BF785" i="4"/>
  <c r="L194" i="13"/>
  <c r="BF805" i="4"/>
  <c r="BF797" i="4"/>
  <c r="BF788" i="4"/>
  <c r="L226" i="13"/>
  <c r="L245" i="13" s="1"/>
  <c r="BF800" i="4"/>
  <c r="BF782" i="4"/>
  <c r="BF811" i="4"/>
  <c r="BF810" i="4"/>
  <c r="BF791" i="4"/>
  <c r="BF795" i="4"/>
  <c r="BF804" i="4"/>
  <c r="BF806" i="4"/>
  <c r="BF812" i="4"/>
  <c r="BF784" i="4"/>
  <c r="C281" i="13"/>
  <c r="C273" i="13"/>
  <c r="C280" i="13"/>
  <c r="C279" i="13"/>
  <c r="C284" i="13"/>
  <c r="E246" i="13" s="1"/>
  <c r="E247" i="13" s="1"/>
  <c r="C278" i="13"/>
  <c r="C277" i="13"/>
  <c r="C276" i="13"/>
  <c r="C275" i="13"/>
  <c r="C282" i="13"/>
  <c r="C274" i="13"/>
  <c r="C272" i="13"/>
  <c r="C283" i="13"/>
  <c r="BF776" i="4"/>
  <c r="I270" i="13"/>
  <c r="I304" i="13"/>
  <c r="I318" i="13" s="1"/>
  <c r="BF770" i="4"/>
  <c r="BE751" i="4"/>
  <c r="BE778" i="4"/>
  <c r="BF723" i="4"/>
  <c r="BE760" i="4"/>
  <c r="BE743" i="4"/>
  <c r="BE726" i="4"/>
  <c r="BE773" i="4"/>
  <c r="BE756" i="4"/>
  <c r="BE731" i="4"/>
  <c r="BE770" i="4"/>
  <c r="BE745" i="4"/>
  <c r="BF772" i="4"/>
  <c r="BE752" i="4"/>
  <c r="BE735" i="4"/>
  <c r="BE765" i="4"/>
  <c r="BE748" i="4"/>
  <c r="BE723" i="4"/>
  <c r="BE762" i="4"/>
  <c r="BE737" i="4"/>
  <c r="BF732" i="4"/>
  <c r="BE734" i="4"/>
  <c r="BE764" i="4"/>
  <c r="BE739" i="4"/>
  <c r="BE744" i="4"/>
  <c r="BE727" i="4"/>
  <c r="BE774" i="4"/>
  <c r="BE757" i="4"/>
  <c r="BE740" i="4"/>
  <c r="BE779" i="4"/>
  <c r="BE754" i="4"/>
  <c r="BE729" i="4"/>
  <c r="BF724" i="4"/>
  <c r="BF745" i="4"/>
  <c r="BE736" i="4"/>
  <c r="BE719" i="4"/>
  <c r="BE766" i="4"/>
  <c r="BE749" i="4"/>
  <c r="BE732" i="4"/>
  <c r="BE771" i="4"/>
  <c r="BE746" i="4"/>
  <c r="BE721" i="4"/>
  <c r="BF777" i="4"/>
  <c r="BE768" i="4"/>
  <c r="BE753" i="4"/>
  <c r="BF748" i="4"/>
  <c r="BF741" i="4"/>
  <c r="BE728" i="4"/>
  <c r="BE775" i="4"/>
  <c r="BE758" i="4"/>
  <c r="BE741" i="4"/>
  <c r="BE724" i="4"/>
  <c r="BE763" i="4"/>
  <c r="BE738" i="4"/>
  <c r="BE777" i="4"/>
  <c r="BF742" i="4"/>
  <c r="BF727" i="4"/>
  <c r="BF763" i="4"/>
  <c r="BF719" i="4"/>
  <c r="BF739" i="4"/>
  <c r="BF761" i="4"/>
  <c r="BF756" i="4"/>
  <c r="N45" i="7"/>
  <c r="U164" i="16"/>
  <c r="U105" i="16"/>
  <c r="V42" i="16"/>
  <c r="V3" i="16"/>
  <c r="V145" i="16"/>
  <c r="V124" i="16"/>
  <c r="V22" i="16"/>
  <c r="V61" i="16"/>
  <c r="U124" i="16"/>
  <c r="V164" i="16"/>
  <c r="BF726" i="4"/>
  <c r="BF733" i="4"/>
  <c r="BF773" i="4"/>
  <c r="BF762" i="4"/>
  <c r="BF769" i="4"/>
  <c r="BF729" i="4"/>
  <c r="BF752" i="4"/>
  <c r="BF740" i="4"/>
  <c r="BF750" i="4"/>
  <c r="BF771" i="4"/>
  <c r="BF744" i="4"/>
  <c r="BF755" i="4"/>
  <c r="BF747" i="4"/>
  <c r="BF721" i="4"/>
  <c r="BF766" i="4"/>
  <c r="BF751" i="4"/>
  <c r="BF722" i="4"/>
  <c r="BF743" i="4"/>
  <c r="BF753" i="4"/>
  <c r="BF730" i="4"/>
  <c r="BF760" i="4"/>
  <c r="BF737" i="4"/>
  <c r="BF767" i="4"/>
  <c r="BF720" i="4"/>
  <c r="BF746" i="4"/>
  <c r="BF779" i="4"/>
  <c r="BF738" i="4"/>
  <c r="BF728" i="4"/>
  <c r="BF734" i="4"/>
  <c r="BF759" i="4"/>
  <c r="BF765" i="4"/>
  <c r="U145" i="16"/>
  <c r="BF774" i="4"/>
  <c r="BF749" i="4"/>
  <c r="BF775" i="4"/>
  <c r="U3" i="16"/>
  <c r="BF758" i="4"/>
  <c r="U42" i="16"/>
  <c r="BF725" i="4"/>
  <c r="BF736" i="4"/>
  <c r="BF778" i="4"/>
  <c r="BF735" i="4"/>
  <c r="BF754" i="4"/>
  <c r="BF757" i="4"/>
  <c r="U22" i="16"/>
  <c r="BF764" i="4"/>
  <c r="V105" i="16"/>
  <c r="BF768" i="4"/>
  <c r="E18" i="5"/>
  <c r="AD18" i="5"/>
  <c r="AI18" i="5"/>
  <c r="J18" i="5"/>
  <c r="Y18" i="5"/>
  <c r="O18" i="5"/>
  <c r="T18" i="5"/>
  <c r="C74" i="10"/>
  <c r="AQ25" i="4"/>
  <c r="AP25" i="4"/>
  <c r="AM25" i="4"/>
  <c r="AO25" i="4"/>
  <c r="AN25" i="4"/>
  <c r="AO12" i="4"/>
  <c r="F12" i="4"/>
  <c r="AN12" i="4"/>
  <c r="AP12" i="4"/>
  <c r="AQ12" i="4"/>
  <c r="AM12" i="4"/>
  <c r="AO117" i="4"/>
  <c r="AN117" i="4"/>
  <c r="AQ117" i="4"/>
  <c r="AM117" i="4"/>
  <c r="AP117" i="4"/>
  <c r="AQ65" i="4"/>
  <c r="AP65" i="4"/>
  <c r="AM65" i="4"/>
  <c r="AO65" i="4"/>
  <c r="AN65" i="4"/>
  <c r="AQ78" i="4"/>
  <c r="AP78" i="4"/>
  <c r="AM78" i="4"/>
  <c r="AO78" i="4"/>
  <c r="AN78" i="4"/>
  <c r="AQ128" i="4"/>
  <c r="AP128" i="4"/>
  <c r="AM128" i="4"/>
  <c r="AO128" i="4"/>
  <c r="AN128" i="4"/>
  <c r="X74" i="16" l="1"/>
  <c r="X66" i="16"/>
  <c r="X72" i="16"/>
  <c r="Y49" i="16"/>
  <c r="X49" i="16"/>
  <c r="Y45" i="16"/>
  <c r="X45" i="16"/>
  <c r="Y54" i="16"/>
  <c r="X54" i="16"/>
  <c r="S74" i="16"/>
  <c r="G238" i="3"/>
  <c r="R50" i="16"/>
  <c r="R52" i="16"/>
  <c r="BL138" i="4"/>
  <c r="BK140" i="4"/>
  <c r="BJ140" i="4" s="1"/>
  <c r="P47" i="7"/>
  <c r="BK141" i="4"/>
  <c r="BJ141" i="4" s="1"/>
  <c r="Y56" i="16"/>
  <c r="Y47" i="16"/>
  <c r="X56" i="16"/>
  <c r="X47" i="16"/>
  <c r="X67" i="16"/>
  <c r="X65" i="16"/>
  <c r="BL141" i="4"/>
  <c r="Y52" i="16"/>
  <c r="X52" i="16"/>
  <c r="X53" i="16"/>
  <c r="X68" i="16"/>
  <c r="Y48" i="16"/>
  <c r="X48" i="16"/>
  <c r="X70" i="16"/>
  <c r="Y46" i="16"/>
  <c r="X46" i="16"/>
  <c r="X69" i="16"/>
  <c r="Y51" i="16"/>
  <c r="X51" i="16"/>
  <c r="X75" i="16"/>
  <c r="X71" i="16"/>
  <c r="Y53" i="16"/>
  <c r="S48" i="16"/>
  <c r="X64" i="16"/>
  <c r="E16" i="5"/>
  <c r="O16" i="5"/>
  <c r="L238" i="3"/>
  <c r="T16" i="5" s="1"/>
  <c r="L237" i="3"/>
  <c r="O238" i="3"/>
  <c r="Y16" i="5" s="1"/>
  <c r="O237" i="3"/>
  <c r="F236" i="3"/>
  <c r="F237" i="3" s="1"/>
  <c r="F232" i="3"/>
  <c r="F235" i="3"/>
  <c r="F231" i="3"/>
  <c r="F234" i="3"/>
  <c r="F230" i="3"/>
  <c r="F233" i="3"/>
  <c r="F229" i="3"/>
  <c r="F238" i="3"/>
  <c r="U238" i="3"/>
  <c r="U237" i="3"/>
  <c r="AI16" i="5" s="1"/>
  <c r="R238" i="3"/>
  <c r="R237" i="3"/>
  <c r="AD16" i="5" s="1"/>
  <c r="J24" i="5"/>
  <c r="BL139" i="4"/>
  <c r="BL140" i="4"/>
  <c r="L12" i="4"/>
  <c r="G12" i="4"/>
  <c r="BH12" i="4" s="1"/>
  <c r="B6" i="14"/>
  <c r="Q47" i="7" s="1"/>
  <c r="M69" i="16"/>
  <c r="M64" i="16"/>
  <c r="R72" i="16"/>
  <c r="L278" i="13"/>
  <c r="L284" i="13"/>
  <c r="N246" i="13" s="1"/>
  <c r="N247" i="13" s="1"/>
  <c r="L279" i="13"/>
  <c r="S67" i="16"/>
  <c r="R70" i="16"/>
  <c r="L273" i="13"/>
  <c r="L280" i="13"/>
  <c r="S68" i="16"/>
  <c r="R65" i="16"/>
  <c r="BP8" i="4"/>
  <c r="L274" i="13"/>
  <c r="L351" i="13" s="1"/>
  <c r="L385" i="13" s="1"/>
  <c r="L272" i="13"/>
  <c r="S64" i="16"/>
  <c r="R73" i="16"/>
  <c r="R71" i="16"/>
  <c r="L282" i="13"/>
  <c r="L316" i="13" s="1"/>
  <c r="L281" i="13"/>
  <c r="L205" i="13" s="1"/>
  <c r="L237" i="13" s="1"/>
  <c r="S71" i="16"/>
  <c r="S66" i="16"/>
  <c r="R75" i="16"/>
  <c r="L283" i="13"/>
  <c r="L277" i="13"/>
  <c r="S73" i="16"/>
  <c r="S72" i="16"/>
  <c r="R69" i="16"/>
  <c r="L275" i="13"/>
  <c r="S75" i="16"/>
  <c r="S70" i="16"/>
  <c r="R74" i="16"/>
  <c r="S69" i="16"/>
  <c r="R67" i="16"/>
  <c r="BK6" i="4"/>
  <c r="BL8" i="4"/>
  <c r="BP6" i="4"/>
  <c r="S53" i="16"/>
  <c r="M71" i="16"/>
  <c r="M66" i="16"/>
  <c r="R68" i="16"/>
  <c r="S55" i="16"/>
  <c r="M65" i="16"/>
  <c r="M74" i="16"/>
  <c r="R64" i="16"/>
  <c r="BO6" i="4"/>
  <c r="S51" i="16"/>
  <c r="M73" i="16"/>
  <c r="M70" i="16"/>
  <c r="S52" i="16"/>
  <c r="S46" i="16"/>
  <c r="M68" i="16"/>
  <c r="S45" i="16"/>
  <c r="S49" i="16"/>
  <c r="M67" i="16"/>
  <c r="S47" i="16"/>
  <c r="S56" i="16"/>
  <c r="M75" i="16"/>
  <c r="S54" i="16"/>
  <c r="BO7" i="4"/>
  <c r="R54" i="16"/>
  <c r="R48" i="16"/>
  <c r="BO8" i="4"/>
  <c r="BP9" i="4"/>
  <c r="BL6" i="4"/>
  <c r="BJ6" i="4" s="1"/>
  <c r="BO9" i="4"/>
  <c r="BH116" i="4"/>
  <c r="R53" i="16"/>
  <c r="R55" i="16"/>
  <c r="R51" i="16"/>
  <c r="R46" i="16"/>
  <c r="R45" i="16"/>
  <c r="R49" i="16"/>
  <c r="R47" i="16"/>
  <c r="BH11" i="4"/>
  <c r="BL11" i="4" s="1"/>
  <c r="BH77" i="4"/>
  <c r="BK77" i="4" s="1"/>
  <c r="BH64" i="4"/>
  <c r="BL64" i="4" s="1"/>
  <c r="F261" i="13"/>
  <c r="BL313" i="4"/>
  <c r="BK313" i="4"/>
  <c r="BJ313" i="4" s="1"/>
  <c r="BL314" i="4"/>
  <c r="BK314" i="4"/>
  <c r="BJ314" i="4" s="1"/>
  <c r="BK319" i="4"/>
  <c r="BL319" i="4"/>
  <c r="BJ319" i="4" s="1"/>
  <c r="F259" i="13"/>
  <c r="F267" i="13"/>
  <c r="H243" i="13" s="1"/>
  <c r="H244" i="13" s="1"/>
  <c r="F183" i="13"/>
  <c r="F215" i="13" s="1"/>
  <c r="F262" i="13"/>
  <c r="F187" i="13" s="1"/>
  <c r="F219" i="13" s="1"/>
  <c r="F265" i="13"/>
  <c r="F257" i="13"/>
  <c r="F263" i="13"/>
  <c r="F297" i="13" s="1"/>
  <c r="F255" i="13"/>
  <c r="BK134" i="4"/>
  <c r="BL134" i="4"/>
  <c r="BL108" i="4"/>
  <c r="BK113" i="4"/>
  <c r="BL113" i="4"/>
  <c r="BL102" i="4"/>
  <c r="BL94" i="4"/>
  <c r="BK124" i="4"/>
  <c r="BL124" i="4"/>
  <c r="BL107" i="4"/>
  <c r="BK126" i="4"/>
  <c r="BL126" i="4"/>
  <c r="BL111" i="4"/>
  <c r="BL99" i="4"/>
  <c r="BL100" i="4"/>
  <c r="BL109" i="4"/>
  <c r="BK120" i="4"/>
  <c r="BL120" i="4"/>
  <c r="BK122" i="4"/>
  <c r="BL122" i="4"/>
  <c r="BL90" i="4"/>
  <c r="BK136" i="4"/>
  <c r="BJ136" i="4" s="1"/>
  <c r="BL136" i="4"/>
  <c r="BK125" i="4"/>
  <c r="BL125" i="4"/>
  <c r="BK127" i="4"/>
  <c r="BL127" i="4"/>
  <c r="BK121" i="4"/>
  <c r="BL121" i="4"/>
  <c r="BL106" i="4"/>
  <c r="BL89" i="4"/>
  <c r="BL101" i="4"/>
  <c r="BL103" i="4"/>
  <c r="BL104" i="4"/>
  <c r="BL92" i="4"/>
  <c r="BK119" i="4"/>
  <c r="BL119" i="4"/>
  <c r="BL132" i="4"/>
  <c r="BK132" i="4"/>
  <c r="BL110" i="4"/>
  <c r="BL105" i="4"/>
  <c r="BL98" i="4"/>
  <c r="BL91" i="4"/>
  <c r="BL116" i="4"/>
  <c r="BK135" i="4"/>
  <c r="BJ135" i="4" s="1"/>
  <c r="BL135" i="4"/>
  <c r="BK251" i="4"/>
  <c r="BJ251" i="4" s="1"/>
  <c r="BL96" i="4"/>
  <c r="BL93" i="4"/>
  <c r="BK133" i="4"/>
  <c r="BL133" i="4"/>
  <c r="BL97" i="4"/>
  <c r="BL123" i="4"/>
  <c r="BK123" i="4"/>
  <c r="BL112" i="4"/>
  <c r="BK116" i="4"/>
  <c r="BJ116" i="4" s="1"/>
  <c r="BL88" i="4"/>
  <c r="BL95" i="4"/>
  <c r="BK112" i="4"/>
  <c r="BJ112" i="4" s="1"/>
  <c r="BL115" i="4"/>
  <c r="BK115" i="4"/>
  <c r="BJ115" i="4" s="1"/>
  <c r="BK137" i="4"/>
  <c r="BJ137" i="4" s="1"/>
  <c r="BL137" i="4"/>
  <c r="BK114" i="4"/>
  <c r="BJ114" i="4" s="1"/>
  <c r="BL114" i="4"/>
  <c r="BK24" i="4"/>
  <c r="F260" i="13"/>
  <c r="F185" i="13" s="1"/>
  <c r="F217" i="13" s="1"/>
  <c r="BK7" i="4"/>
  <c r="BJ7" i="4" s="1"/>
  <c r="BK11" i="4"/>
  <c r="BK10" i="4"/>
  <c r="BJ10" i="4" s="1"/>
  <c r="BK8" i="4"/>
  <c r="BK9" i="4"/>
  <c r="BJ9" i="4" s="1"/>
  <c r="F264" i="13"/>
  <c r="F341" i="13" s="1"/>
  <c r="F375" i="13" s="1"/>
  <c r="F266" i="13"/>
  <c r="F191" i="13" s="1"/>
  <c r="F223" i="13" s="1"/>
  <c r="F335" i="13"/>
  <c r="F369" i="13" s="1"/>
  <c r="F256" i="13"/>
  <c r="F333" i="13" s="1"/>
  <c r="F367" i="13" s="1"/>
  <c r="U72" i="16"/>
  <c r="U64" i="16"/>
  <c r="U66" i="16"/>
  <c r="U73" i="16"/>
  <c r="U75" i="16"/>
  <c r="U69" i="16"/>
  <c r="U74" i="16"/>
  <c r="U67" i="16"/>
  <c r="U70" i="16"/>
  <c r="U71" i="16"/>
  <c r="U65" i="16"/>
  <c r="U68" i="16"/>
  <c r="BL76" i="4"/>
  <c r="BL47" i="4"/>
  <c r="BL56" i="4"/>
  <c r="BL50" i="4"/>
  <c r="BL59" i="4"/>
  <c r="BL31" i="4"/>
  <c r="BL16" i="4"/>
  <c r="BL17" i="4"/>
  <c r="BK58" i="4"/>
  <c r="BL58" i="4"/>
  <c r="BL24" i="4"/>
  <c r="U52" i="16"/>
  <c r="U53" i="16"/>
  <c r="U49" i="16"/>
  <c r="U56" i="16"/>
  <c r="U46" i="16"/>
  <c r="U48" i="16"/>
  <c r="U54" i="16"/>
  <c r="U45" i="16"/>
  <c r="U51" i="16"/>
  <c r="U55" i="16"/>
  <c r="U47" i="16"/>
  <c r="U50" i="16"/>
  <c r="BL81" i="4"/>
  <c r="BL83" i="4"/>
  <c r="BL35" i="4"/>
  <c r="F73" i="16"/>
  <c r="F67" i="16"/>
  <c r="F65" i="16"/>
  <c r="F68" i="16"/>
  <c r="F74" i="16"/>
  <c r="F69" i="16"/>
  <c r="F72" i="16"/>
  <c r="F70" i="16"/>
  <c r="F66" i="16"/>
  <c r="F71" i="16"/>
  <c r="F75" i="16"/>
  <c r="F64" i="16"/>
  <c r="BL62" i="4"/>
  <c r="BL80" i="4"/>
  <c r="BL84" i="4"/>
  <c r="BL55" i="4"/>
  <c r="BL61" i="4"/>
  <c r="V49" i="16"/>
  <c r="V56" i="16"/>
  <c r="V46" i="16"/>
  <c r="V48" i="16"/>
  <c r="V54" i="16"/>
  <c r="V45" i="16"/>
  <c r="V51" i="16"/>
  <c r="V55" i="16"/>
  <c r="V47" i="16"/>
  <c r="V50" i="16"/>
  <c r="V52" i="16"/>
  <c r="V53" i="16"/>
  <c r="BL70" i="4"/>
  <c r="BL85" i="4"/>
  <c r="BL82" i="4"/>
  <c r="BL75" i="4"/>
  <c r="BL36" i="4"/>
  <c r="BL21" i="4"/>
  <c r="BL73" i="4"/>
  <c r="BL60" i="4"/>
  <c r="BL51" i="4"/>
  <c r="G67" i="16"/>
  <c r="G65" i="16"/>
  <c r="G68" i="16"/>
  <c r="G74" i="16"/>
  <c r="G69" i="16"/>
  <c r="G72" i="16"/>
  <c r="G70" i="16"/>
  <c r="G66" i="16"/>
  <c r="G71" i="16"/>
  <c r="G75" i="16"/>
  <c r="G64" i="16"/>
  <c r="G73" i="16"/>
  <c r="BL72" i="4"/>
  <c r="BL86" i="4"/>
  <c r="BL57" i="4"/>
  <c r="BL74" i="4"/>
  <c r="BL52" i="4"/>
  <c r="BK30" i="4"/>
  <c r="BL30" i="4"/>
  <c r="BL28" i="4"/>
  <c r="BL23" i="4"/>
  <c r="V66" i="16"/>
  <c r="V73" i="16"/>
  <c r="V75" i="16"/>
  <c r="V69" i="16"/>
  <c r="V74" i="16"/>
  <c r="V67" i="16"/>
  <c r="V70" i="16"/>
  <c r="V71" i="16"/>
  <c r="V65" i="16"/>
  <c r="V68" i="16"/>
  <c r="V72" i="16"/>
  <c r="V64" i="16"/>
  <c r="BL87" i="4"/>
  <c r="BL71" i="4"/>
  <c r="BL63" i="4"/>
  <c r="BL49" i="4"/>
  <c r="BL48" i="4"/>
  <c r="G48" i="16"/>
  <c r="G53" i="16"/>
  <c r="G45" i="16"/>
  <c r="G55" i="16"/>
  <c r="G50" i="16"/>
  <c r="G46" i="16"/>
  <c r="G47" i="16"/>
  <c r="G49" i="16"/>
  <c r="G56" i="16"/>
  <c r="G52" i="16"/>
  <c r="G51" i="16"/>
  <c r="G54" i="16"/>
  <c r="BL20" i="4"/>
  <c r="BK18" i="4"/>
  <c r="BL18" i="4"/>
  <c r="BL67" i="4"/>
  <c r="BL68" i="4"/>
  <c r="BL69" i="4"/>
  <c r="BL53" i="4"/>
  <c r="BL54" i="4"/>
  <c r="F54" i="16"/>
  <c r="F48" i="16"/>
  <c r="F53" i="16"/>
  <c r="F45" i="16"/>
  <c r="F55" i="16"/>
  <c r="F50" i="16"/>
  <c r="F46" i="16"/>
  <c r="F47" i="16"/>
  <c r="F49" i="16"/>
  <c r="F56" i="16"/>
  <c r="F52" i="16"/>
  <c r="F51" i="16"/>
  <c r="BL29" i="4"/>
  <c r="BK22" i="4"/>
  <c r="BL22" i="4"/>
  <c r="BL15" i="4"/>
  <c r="BL19" i="4"/>
  <c r="L261" i="13"/>
  <c r="L263" i="13"/>
  <c r="L266" i="13"/>
  <c r="L255" i="13"/>
  <c r="L267" i="13"/>
  <c r="N243" i="13" s="1"/>
  <c r="N244" i="13" s="1"/>
  <c r="L257" i="13"/>
  <c r="L265" i="13"/>
  <c r="L260" i="13"/>
  <c r="L258" i="13"/>
  <c r="I260" i="13"/>
  <c r="I337" i="13" s="1"/>
  <c r="I371" i="13" s="1"/>
  <c r="I295" i="13"/>
  <c r="I262" i="13"/>
  <c r="I338" i="13"/>
  <c r="I372" i="13" s="1"/>
  <c r="I186" i="13"/>
  <c r="I218" i="13" s="1"/>
  <c r="I264" i="13"/>
  <c r="I256" i="13"/>
  <c r="I333" i="13" s="1"/>
  <c r="I367" i="13" s="1"/>
  <c r="I267" i="13"/>
  <c r="K243" i="13" s="1"/>
  <c r="K244" i="13" s="1"/>
  <c r="I259" i="13"/>
  <c r="I263" i="13"/>
  <c r="I297" i="13" s="1"/>
  <c r="I266" i="13"/>
  <c r="I300" i="13" s="1"/>
  <c r="I258" i="13"/>
  <c r="I335" i="13" s="1"/>
  <c r="I369" i="13" s="1"/>
  <c r="I265" i="13"/>
  <c r="I299" i="13" s="1"/>
  <c r="I255" i="13"/>
  <c r="I332" i="13" s="1"/>
  <c r="I366" i="13" s="1"/>
  <c r="I257" i="13"/>
  <c r="I182" i="13" s="1"/>
  <c r="I214" i="13" s="1"/>
  <c r="C312" i="13"/>
  <c r="F311" i="13"/>
  <c r="C306" i="13"/>
  <c r="C315" i="13"/>
  <c r="L256" i="13"/>
  <c r="L259" i="13"/>
  <c r="L264" i="13"/>
  <c r="BL32" i="4"/>
  <c r="BL33" i="4"/>
  <c r="BL34" i="4"/>
  <c r="F273" i="13"/>
  <c r="F197" i="13" s="1"/>
  <c r="F229" i="13" s="1"/>
  <c r="F201" i="13"/>
  <c r="F233" i="13" s="1"/>
  <c r="F275" i="13"/>
  <c r="F309" i="13" s="1"/>
  <c r="F354" i="13"/>
  <c r="F388" i="13" s="1"/>
  <c r="F280" i="13"/>
  <c r="F314" i="13" s="1"/>
  <c r="F278" i="13"/>
  <c r="F279" i="13"/>
  <c r="F283" i="13"/>
  <c r="F282" i="13"/>
  <c r="F284" i="13"/>
  <c r="F274" i="13"/>
  <c r="F308" i="13" s="1"/>
  <c r="F272" i="13"/>
  <c r="F281" i="13"/>
  <c r="F358" i="13" s="1"/>
  <c r="F392" i="13" s="1"/>
  <c r="F276" i="13"/>
  <c r="F310" i="13" s="1"/>
  <c r="BK55" i="4"/>
  <c r="BK71" i="4"/>
  <c r="N47" i="7"/>
  <c r="B11" i="14" s="1"/>
  <c r="BK63" i="4"/>
  <c r="BK68" i="4"/>
  <c r="BK74" i="4"/>
  <c r="BK69" i="4"/>
  <c r="BK47" i="4"/>
  <c r="BK102" i="4"/>
  <c r="BJ102" i="4" s="1"/>
  <c r="BK105" i="4"/>
  <c r="BJ105" i="4" s="1"/>
  <c r="BK110" i="4"/>
  <c r="BK111" i="4"/>
  <c r="BK97" i="4"/>
  <c r="BJ97" i="4" s="1"/>
  <c r="BK82" i="4"/>
  <c r="BK61" i="4"/>
  <c r="BK109" i="4"/>
  <c r="BJ109" i="4" s="1"/>
  <c r="BK90" i="4"/>
  <c r="BK67" i="4"/>
  <c r="BK98" i="4"/>
  <c r="BJ98" i="4" s="1"/>
  <c r="BK57" i="4"/>
  <c r="BK51" i="4"/>
  <c r="BK75" i="4"/>
  <c r="BK92" i="4"/>
  <c r="BK99" i="4"/>
  <c r="BJ99" i="4" s="1"/>
  <c r="BK76" i="4"/>
  <c r="BK49" i="4"/>
  <c r="BK48" i="4"/>
  <c r="BK91" i="4"/>
  <c r="BL39" i="4"/>
  <c r="BK70" i="4"/>
  <c r="BK106" i="4"/>
  <c r="BJ106" i="4" s="1"/>
  <c r="BL46" i="4"/>
  <c r="BL38" i="4"/>
  <c r="BK53" i="4"/>
  <c r="BL42" i="4"/>
  <c r="BK93" i="4"/>
  <c r="BK52" i="4"/>
  <c r="BK73" i="4"/>
  <c r="BK100" i="4"/>
  <c r="BJ100" i="4" s="1"/>
  <c r="BL43" i="4"/>
  <c r="BK56" i="4"/>
  <c r="BL45" i="4"/>
  <c r="BL44" i="4"/>
  <c r="BK95" i="4"/>
  <c r="BL37" i="4"/>
  <c r="BK89" i="4"/>
  <c r="BJ89" i="4" s="1"/>
  <c r="BK62" i="4"/>
  <c r="BL41" i="4"/>
  <c r="BK81" i="4"/>
  <c r="BK83" i="4"/>
  <c r="BK50" i="4"/>
  <c r="BK94" i="4"/>
  <c r="BK54" i="4"/>
  <c r="BK87" i="4"/>
  <c r="BK60" i="4"/>
  <c r="BK96" i="4"/>
  <c r="BK101" i="4"/>
  <c r="BJ101" i="4" s="1"/>
  <c r="BK80" i="4"/>
  <c r="BK84" i="4"/>
  <c r="BL40" i="4"/>
  <c r="BK107" i="4"/>
  <c r="BJ107" i="4" s="1"/>
  <c r="BK59" i="4"/>
  <c r="BK88" i="4"/>
  <c r="BK72" i="4"/>
  <c r="BK86" i="4"/>
  <c r="BK108" i="4"/>
  <c r="BJ108" i="4" s="1"/>
  <c r="BK85" i="4"/>
  <c r="BK103" i="4"/>
  <c r="BJ103" i="4" s="1"/>
  <c r="BK104" i="4"/>
  <c r="BJ104" i="4" s="1"/>
  <c r="O47" i="7"/>
  <c r="B10" i="14" s="1"/>
  <c r="L354" i="13"/>
  <c r="L388" i="13" s="1"/>
  <c r="C198" i="13"/>
  <c r="C230" i="13" s="1"/>
  <c r="C351" i="13"/>
  <c r="C385" i="13" s="1"/>
  <c r="C204" i="13"/>
  <c r="C236" i="13" s="1"/>
  <c r="C357" i="13"/>
  <c r="C391" i="13" s="1"/>
  <c r="C206" i="13"/>
  <c r="C238" i="13" s="1"/>
  <c r="C359" i="13"/>
  <c r="C393" i="13" s="1"/>
  <c r="C197" i="13"/>
  <c r="C229" i="13" s="1"/>
  <c r="C350" i="13"/>
  <c r="C384" i="13" s="1"/>
  <c r="L200" i="13"/>
  <c r="L232" i="13" s="1"/>
  <c r="L353" i="13"/>
  <c r="L387" i="13" s="1"/>
  <c r="C199" i="13"/>
  <c r="C231" i="13" s="1"/>
  <c r="C352" i="13"/>
  <c r="C386" i="13" s="1"/>
  <c r="C205" i="13"/>
  <c r="C237" i="13" s="1"/>
  <c r="C358" i="13"/>
  <c r="C392" i="13" s="1"/>
  <c r="C200" i="13"/>
  <c r="C232" i="13" s="1"/>
  <c r="C353" i="13"/>
  <c r="C387" i="13" s="1"/>
  <c r="L187" i="13"/>
  <c r="L219" i="13" s="1"/>
  <c r="L339" i="13"/>
  <c r="L373" i="13" s="1"/>
  <c r="C201" i="13"/>
  <c r="C233" i="13" s="1"/>
  <c r="C354" i="13"/>
  <c r="C388" i="13" s="1"/>
  <c r="L197" i="13"/>
  <c r="L229" i="13" s="1"/>
  <c r="L350" i="13"/>
  <c r="L384" i="13" s="1"/>
  <c r="C202" i="13"/>
  <c r="C234" i="13" s="1"/>
  <c r="C355" i="13"/>
  <c r="C389" i="13" s="1"/>
  <c r="C207" i="13"/>
  <c r="C239" i="13" s="1"/>
  <c r="C360" i="13"/>
  <c r="C394" i="13" s="1"/>
  <c r="C361" i="13"/>
  <c r="L206" i="13"/>
  <c r="L238" i="13" s="1"/>
  <c r="L359" i="13"/>
  <c r="L393" i="13" s="1"/>
  <c r="C196" i="13"/>
  <c r="C228" i="13" s="1"/>
  <c r="C349" i="13"/>
  <c r="C383" i="13" s="1"/>
  <c r="C203" i="13"/>
  <c r="C235" i="13" s="1"/>
  <c r="C356" i="13"/>
  <c r="C390" i="13" s="1"/>
  <c r="C317" i="13"/>
  <c r="L307" i="13"/>
  <c r="C311" i="13"/>
  <c r="C310" i="13"/>
  <c r="C307" i="13"/>
  <c r="C314" i="13"/>
  <c r="C313" i="13"/>
  <c r="C316" i="13"/>
  <c r="L310" i="13"/>
  <c r="C309" i="13"/>
  <c r="L296" i="13"/>
  <c r="C308" i="13"/>
  <c r="I281" i="13"/>
  <c r="I273" i="13"/>
  <c r="I284" i="13"/>
  <c r="K246" i="13" s="1"/>
  <c r="K247" i="13" s="1"/>
  <c r="I275" i="13"/>
  <c r="I283" i="13"/>
  <c r="I274" i="13"/>
  <c r="I282" i="13"/>
  <c r="I272" i="13"/>
  <c r="I280" i="13"/>
  <c r="I279" i="13"/>
  <c r="I278" i="13"/>
  <c r="I277" i="13"/>
  <c r="I276" i="13"/>
  <c r="BH117" i="4"/>
  <c r="BL117" i="4" s="1"/>
  <c r="BH78" i="4"/>
  <c r="BK78" i="4" s="1"/>
  <c r="BH128" i="4"/>
  <c r="BL128" i="4" s="1"/>
  <c r="AO26" i="4"/>
  <c r="AQ26" i="4"/>
  <c r="AM26" i="4"/>
  <c r="AN26" i="4"/>
  <c r="AP26" i="4"/>
  <c r="AN13" i="4"/>
  <c r="AP13" i="4"/>
  <c r="AM13" i="4"/>
  <c r="F13" i="4"/>
  <c r="AO13" i="4"/>
  <c r="AQ13" i="4"/>
  <c r="AN118" i="4"/>
  <c r="AP118" i="4"/>
  <c r="AM118" i="4"/>
  <c r="AQ118" i="4"/>
  <c r="AO118" i="4"/>
  <c r="AQ129" i="4"/>
  <c r="AP129" i="4"/>
  <c r="AM129" i="4"/>
  <c r="AO129" i="4"/>
  <c r="AN129" i="4"/>
  <c r="AM79" i="4"/>
  <c r="AP79" i="4"/>
  <c r="AQ79" i="4"/>
  <c r="AO79" i="4"/>
  <c r="AN79" i="4"/>
  <c r="AP66" i="4"/>
  <c r="AQ66" i="4"/>
  <c r="AM66" i="4"/>
  <c r="AO66" i="4"/>
  <c r="AN66" i="4"/>
  <c r="L357" i="13" l="1"/>
  <c r="L391" i="13" s="1"/>
  <c r="L314" i="13"/>
  <c r="L204" i="13"/>
  <c r="L236" i="13" s="1"/>
  <c r="L311" i="13"/>
  <c r="L201" i="13"/>
  <c r="L233" i="13" s="1"/>
  <c r="L312" i="13"/>
  <c r="J16" i="5"/>
  <c r="L202" i="13"/>
  <c r="L234" i="13" s="1"/>
  <c r="L355" i="13"/>
  <c r="L389" i="13" s="1"/>
  <c r="BK64" i="4"/>
  <c r="BJ64" i="4" s="1"/>
  <c r="L13" i="4"/>
  <c r="G13" i="4"/>
  <c r="BK117" i="4"/>
  <c r="BJ117" i="4" s="1"/>
  <c r="L199" i="13"/>
  <c r="L231" i="13" s="1"/>
  <c r="L361" i="13"/>
  <c r="L309" i="13"/>
  <c r="L352" i="13"/>
  <c r="L386" i="13" s="1"/>
  <c r="L198" i="13"/>
  <c r="L230" i="13" s="1"/>
  <c r="L306" i="13"/>
  <c r="L356" i="13"/>
  <c r="L390" i="13" s="1"/>
  <c r="L308" i="13"/>
  <c r="L203" i="13"/>
  <c r="L235" i="13" s="1"/>
  <c r="L349" i="13"/>
  <c r="L383" i="13" s="1"/>
  <c r="L313" i="13"/>
  <c r="L196" i="13"/>
  <c r="L228" i="13" s="1"/>
  <c r="L360" i="13"/>
  <c r="L394" i="13" s="1"/>
  <c r="L317" i="13"/>
  <c r="L207" i="13"/>
  <c r="L239" i="13" s="1"/>
  <c r="BJ8" i="4"/>
  <c r="L315" i="13"/>
  <c r="L358" i="13"/>
  <c r="L392" i="13" s="1"/>
  <c r="BJ133" i="4"/>
  <c r="BJ132" i="4"/>
  <c r="BJ119" i="4"/>
  <c r="BJ121" i="4"/>
  <c r="BJ122" i="4"/>
  <c r="BJ110" i="4"/>
  <c r="F295" i="13"/>
  <c r="BK128" i="4"/>
  <c r="BJ128" i="4" s="1"/>
  <c r="BJ93" i="4"/>
  <c r="BJ111" i="4"/>
  <c r="BJ127" i="4"/>
  <c r="BJ113" i="4"/>
  <c r="BJ123" i="4"/>
  <c r="BJ120" i="4"/>
  <c r="BJ126" i="4"/>
  <c r="BJ125" i="4"/>
  <c r="BJ92" i="4"/>
  <c r="BJ134" i="4"/>
  <c r="BJ124" i="4"/>
  <c r="BL77" i="4"/>
  <c r="BJ77" i="4" s="1"/>
  <c r="F186" i="13"/>
  <c r="F218" i="13" s="1"/>
  <c r="F338" i="13"/>
  <c r="F372" i="13" s="1"/>
  <c r="BJ11" i="4"/>
  <c r="BJ90" i="4"/>
  <c r="BJ94" i="4"/>
  <c r="BJ95" i="4"/>
  <c r="BJ96" i="4"/>
  <c r="F339" i="13"/>
  <c r="F373" i="13" s="1"/>
  <c r="F296" i="13"/>
  <c r="BJ91" i="4"/>
  <c r="BJ88" i="4"/>
  <c r="BL78" i="4"/>
  <c r="BJ78" i="4" s="1"/>
  <c r="L186" i="13"/>
  <c r="L218" i="13" s="1"/>
  <c r="L292" i="13"/>
  <c r="F342" i="13"/>
  <c r="F376" i="13" s="1"/>
  <c r="F299" i="13"/>
  <c r="F298" i="13"/>
  <c r="F189" i="13"/>
  <c r="F221" i="13" s="1"/>
  <c r="F334" i="13"/>
  <c r="F368" i="13" s="1"/>
  <c r="F291" i="13"/>
  <c r="F182" i="13"/>
  <c r="F214" i="13" s="1"/>
  <c r="BH25" i="4"/>
  <c r="BL25" i="4" s="1"/>
  <c r="BH65" i="4"/>
  <c r="F332" i="13"/>
  <c r="F366" i="13" s="1"/>
  <c r="F294" i="13"/>
  <c r="L342" i="13"/>
  <c r="L376" i="13" s="1"/>
  <c r="F337" i="13"/>
  <c r="F371" i="13" s="1"/>
  <c r="I298" i="13"/>
  <c r="F181" i="13"/>
  <c r="F213" i="13" s="1"/>
  <c r="F290" i="13"/>
  <c r="F361" i="13"/>
  <c r="H246" i="13"/>
  <c r="H247" i="13" s="1"/>
  <c r="L335" i="13"/>
  <c r="L369" i="13" s="1"/>
  <c r="F188" i="13"/>
  <c r="F220" i="13" s="1"/>
  <c r="L183" i="13"/>
  <c r="L215" i="13" s="1"/>
  <c r="F340" i="13"/>
  <c r="F374" i="13" s="1"/>
  <c r="L338" i="13"/>
  <c r="L372" i="13" s="1"/>
  <c r="L295" i="13"/>
  <c r="F190" i="13"/>
  <c r="F222" i="13" s="1"/>
  <c r="F180" i="13"/>
  <c r="F212" i="13" s="1"/>
  <c r="F289" i="13"/>
  <c r="F184" i="13"/>
  <c r="F216" i="13" s="1"/>
  <c r="F293" i="13"/>
  <c r="F336" i="13"/>
  <c r="F370" i="13" s="1"/>
  <c r="L297" i="13"/>
  <c r="L188" i="13"/>
  <c r="L220" i="13" s="1"/>
  <c r="F344" i="13"/>
  <c r="F343" i="13"/>
  <c r="F377" i="13" s="1"/>
  <c r="F300" i="13"/>
  <c r="BJ24" i="4"/>
  <c r="BK17" i="4"/>
  <c r="BJ17" i="4" s="1"/>
  <c r="BJ58" i="4"/>
  <c r="BK44" i="4"/>
  <c r="BJ44" i="4" s="1"/>
  <c r="BJ48" i="4"/>
  <c r="BJ69" i="4"/>
  <c r="BK20" i="4"/>
  <c r="BJ20" i="4" s="1"/>
  <c r="BJ57" i="4"/>
  <c r="BJ80" i="4"/>
  <c r="BJ83" i="4"/>
  <c r="BK15" i="4"/>
  <c r="BJ15" i="4" s="1"/>
  <c r="BJ87" i="4"/>
  <c r="BJ30" i="4"/>
  <c r="BJ73" i="4"/>
  <c r="BJ85" i="4"/>
  <c r="BJ61" i="4"/>
  <c r="BK31" i="4"/>
  <c r="BJ31" i="4" s="1"/>
  <c r="BJ56" i="4"/>
  <c r="BJ68" i="4"/>
  <c r="BJ86" i="4"/>
  <c r="BJ81" i="4"/>
  <c r="BJ54" i="4"/>
  <c r="BJ49" i="4"/>
  <c r="BJ52" i="4"/>
  <c r="BJ62" i="4"/>
  <c r="BJ59" i="4"/>
  <c r="BJ47" i="4"/>
  <c r="BJ67" i="4"/>
  <c r="BJ72" i="4"/>
  <c r="BJ70" i="4"/>
  <c r="BJ55" i="4"/>
  <c r="BK43" i="4"/>
  <c r="BJ43" i="4" s="1"/>
  <c r="BJ76" i="4"/>
  <c r="BJ63" i="4"/>
  <c r="BJ74" i="4"/>
  <c r="BJ51" i="4"/>
  <c r="BJ75" i="4"/>
  <c r="BJ84" i="4"/>
  <c r="BK46" i="4"/>
  <c r="BJ46" i="4" s="1"/>
  <c r="BJ50" i="4"/>
  <c r="BJ53" i="4"/>
  <c r="BJ71" i="4"/>
  <c r="BJ60" i="4"/>
  <c r="BJ82" i="4"/>
  <c r="BK16" i="4"/>
  <c r="BJ16" i="4" s="1"/>
  <c r="BK45" i="4"/>
  <c r="BJ45" i="4" s="1"/>
  <c r="BJ22" i="4"/>
  <c r="BK21" i="4"/>
  <c r="BJ21" i="4" s="1"/>
  <c r="BK42" i="4"/>
  <c r="BJ42" i="4" s="1"/>
  <c r="BJ18" i="4"/>
  <c r="BK23" i="4"/>
  <c r="BJ23" i="4" s="1"/>
  <c r="BK36" i="4"/>
  <c r="BJ36" i="4" s="1"/>
  <c r="BK33" i="4"/>
  <c r="BJ33" i="4" s="1"/>
  <c r="BK37" i="4"/>
  <c r="BJ37" i="4" s="1"/>
  <c r="BK35" i="4"/>
  <c r="BJ35" i="4" s="1"/>
  <c r="BK34" i="4"/>
  <c r="BJ34" i="4" s="1"/>
  <c r="BK32" i="4"/>
  <c r="BJ32" i="4" s="1"/>
  <c r="BK41" i="4"/>
  <c r="BJ41" i="4" s="1"/>
  <c r="BK28" i="4"/>
  <c r="BJ28" i="4" s="1"/>
  <c r="BK38" i="4"/>
  <c r="BJ38" i="4" s="1"/>
  <c r="BK29" i="4"/>
  <c r="BJ29" i="4" s="1"/>
  <c r="BK25" i="4"/>
  <c r="BK19" i="4"/>
  <c r="BJ19" i="4" s="1"/>
  <c r="BK39" i="4"/>
  <c r="BJ39" i="4" s="1"/>
  <c r="BK40" i="4"/>
  <c r="BJ40" i="4" s="1"/>
  <c r="BL12" i="4"/>
  <c r="BK12" i="4"/>
  <c r="L340" i="13"/>
  <c r="L374" i="13" s="1"/>
  <c r="L343" i="13"/>
  <c r="L377" i="13" s="1"/>
  <c r="I293" i="13"/>
  <c r="L300" i="13"/>
  <c r="L191" i="13"/>
  <c r="L223" i="13" s="1"/>
  <c r="L337" i="13"/>
  <c r="L371" i="13" s="1"/>
  <c r="L185" i="13"/>
  <c r="L217" i="13" s="1"/>
  <c r="L294" i="13"/>
  <c r="I341" i="13"/>
  <c r="I375" i="13" s="1"/>
  <c r="L289" i="13"/>
  <c r="L299" i="13"/>
  <c r="L190" i="13"/>
  <c r="L222" i="13" s="1"/>
  <c r="L344" i="13"/>
  <c r="L332" i="13"/>
  <c r="L366" i="13" s="1"/>
  <c r="L180" i="13"/>
  <c r="L212" i="13" s="1"/>
  <c r="I294" i="13"/>
  <c r="L291" i="13"/>
  <c r="I185" i="13"/>
  <c r="I217" i="13" s="1"/>
  <c r="I184" i="13"/>
  <c r="I216" i="13" s="1"/>
  <c r="L334" i="13"/>
  <c r="L368" i="13" s="1"/>
  <c r="I336" i="13"/>
  <c r="I370" i="13" s="1"/>
  <c r="L182" i="13"/>
  <c r="L214" i="13" s="1"/>
  <c r="I190" i="13"/>
  <c r="I222" i="13" s="1"/>
  <c r="I342" i="13"/>
  <c r="I376" i="13" s="1"/>
  <c r="I183" i="13"/>
  <c r="I215" i="13" s="1"/>
  <c r="I292" i="13"/>
  <c r="I187" i="13"/>
  <c r="I219" i="13" s="1"/>
  <c r="I339" i="13"/>
  <c r="I373" i="13" s="1"/>
  <c r="I296" i="13"/>
  <c r="I343" i="13"/>
  <c r="I377" i="13" s="1"/>
  <c r="I189" i="13"/>
  <c r="I221" i="13" s="1"/>
  <c r="I344" i="13"/>
  <c r="I334" i="13"/>
  <c r="I368" i="13" s="1"/>
  <c r="L298" i="13"/>
  <c r="I291" i="13"/>
  <c r="I289" i="13"/>
  <c r="I180" i="13"/>
  <c r="I212" i="13" s="1"/>
  <c r="I290" i="13"/>
  <c r="I181" i="13"/>
  <c r="I213" i="13" s="1"/>
  <c r="I340" i="13"/>
  <c r="I374" i="13" s="1"/>
  <c r="I188" i="13"/>
  <c r="I220" i="13" s="1"/>
  <c r="L341" i="13"/>
  <c r="L375" i="13" s="1"/>
  <c r="F315" i="13"/>
  <c r="I191" i="13"/>
  <c r="I223" i="13" s="1"/>
  <c r="F352" i="13"/>
  <c r="F386" i="13" s="1"/>
  <c r="L333" i="13"/>
  <c r="L367" i="13" s="1"/>
  <c r="L336" i="13"/>
  <c r="L370" i="13" s="1"/>
  <c r="L184" i="13"/>
  <c r="L216" i="13" s="1"/>
  <c r="L293" i="13"/>
  <c r="F198" i="13"/>
  <c r="F230" i="13" s="1"/>
  <c r="L189" i="13"/>
  <c r="L221" i="13" s="1"/>
  <c r="L290" i="13"/>
  <c r="L181" i="13"/>
  <c r="L213" i="13" s="1"/>
  <c r="F200" i="13"/>
  <c r="F232" i="13" s="1"/>
  <c r="I349" i="13"/>
  <c r="I383" i="13" s="1"/>
  <c r="I351" i="13"/>
  <c r="I385" i="13" s="1"/>
  <c r="I353" i="13"/>
  <c r="I387" i="13" s="1"/>
  <c r="I352" i="13"/>
  <c r="I386" i="13" s="1"/>
  <c r="I355" i="13"/>
  <c r="I389" i="13" s="1"/>
  <c r="F360" i="13"/>
  <c r="F394" i="13" s="1"/>
  <c r="F307" i="13"/>
  <c r="I356" i="13"/>
  <c r="I390" i="13" s="1"/>
  <c r="I350" i="13"/>
  <c r="I384" i="13" s="1"/>
  <c r="F353" i="13"/>
  <c r="F387" i="13" s="1"/>
  <c r="F203" i="13"/>
  <c r="F235" i="13" s="1"/>
  <c r="F205" i="13"/>
  <c r="F237" i="13" s="1"/>
  <c r="F202" i="13"/>
  <c r="F234" i="13" s="1"/>
  <c r="F306" i="13"/>
  <c r="F204" i="13"/>
  <c r="F236" i="13" s="1"/>
  <c r="F351" i="13"/>
  <c r="F385" i="13" s="1"/>
  <c r="I358" i="13"/>
  <c r="I392" i="13" s="1"/>
  <c r="F206" i="13"/>
  <c r="F238" i="13" s="1"/>
  <c r="F199" i="13"/>
  <c r="F231" i="13" s="1"/>
  <c r="I360" i="13"/>
  <c r="I394" i="13" s="1"/>
  <c r="I354" i="13"/>
  <c r="I388" i="13" s="1"/>
  <c r="F357" i="13"/>
  <c r="F391" i="13" s="1"/>
  <c r="F349" i="13"/>
  <c r="F383" i="13" s="1"/>
  <c r="F350" i="13"/>
  <c r="F384" i="13" s="1"/>
  <c r="F317" i="13"/>
  <c r="F196" i="13"/>
  <c r="F228" i="13" s="1"/>
  <c r="F356" i="13"/>
  <c r="F390" i="13" s="1"/>
  <c r="F312" i="13"/>
  <c r="F359" i="13"/>
  <c r="F393" i="13" s="1"/>
  <c r="F316" i="13"/>
  <c r="F313" i="13"/>
  <c r="F207" i="13"/>
  <c r="F239" i="13" s="1"/>
  <c r="F355" i="13"/>
  <c r="F389" i="13" s="1"/>
  <c r="I361" i="13"/>
  <c r="I204" i="13"/>
  <c r="I236" i="13" s="1"/>
  <c r="I357" i="13"/>
  <c r="I391" i="13" s="1"/>
  <c r="I206" i="13"/>
  <c r="I238" i="13" s="1"/>
  <c r="I359" i="13"/>
  <c r="I393" i="13" s="1"/>
  <c r="I312" i="13"/>
  <c r="I202" i="13"/>
  <c r="I234" i="13" s="1"/>
  <c r="I317" i="13"/>
  <c r="I207" i="13"/>
  <c r="I239" i="13" s="1"/>
  <c r="I313" i="13"/>
  <c r="I203" i="13"/>
  <c r="I235" i="13" s="1"/>
  <c r="I309" i="13"/>
  <c r="I199" i="13"/>
  <c r="I231" i="13" s="1"/>
  <c r="I310" i="13"/>
  <c r="I200" i="13"/>
  <c r="I232" i="13" s="1"/>
  <c r="I306" i="13"/>
  <c r="I196" i="13"/>
  <c r="I228" i="13" s="1"/>
  <c r="I307" i="13"/>
  <c r="I197" i="13"/>
  <c r="I229" i="13" s="1"/>
  <c r="I314" i="13"/>
  <c r="I311" i="13"/>
  <c r="I201" i="13"/>
  <c r="I233" i="13" s="1"/>
  <c r="I315" i="13"/>
  <c r="I205" i="13"/>
  <c r="I237" i="13" s="1"/>
  <c r="I316" i="13"/>
  <c r="I308" i="13"/>
  <c r="I198" i="13"/>
  <c r="I230" i="13" s="1"/>
  <c r="BH79" i="4"/>
  <c r="BH118" i="4"/>
  <c r="BL118" i="4" s="1"/>
  <c r="BH129" i="4"/>
  <c r="BL129" i="4" s="1"/>
  <c r="BH26" i="4"/>
  <c r="AN27" i="4"/>
  <c r="AQ27" i="4"/>
  <c r="AM27" i="4"/>
  <c r="AP27" i="4"/>
  <c r="AO27" i="4"/>
  <c r="AQ14" i="4"/>
  <c r="F14" i="4"/>
  <c r="AP14" i="4"/>
  <c r="AO14" i="4"/>
  <c r="AN14" i="4"/>
  <c r="AM14" i="4"/>
  <c r="AM130" i="4"/>
  <c r="AQ130" i="4"/>
  <c r="AP130" i="4"/>
  <c r="AO130" i="4"/>
  <c r="AN130" i="4"/>
  <c r="L14" i="4" l="1"/>
  <c r="G14" i="4"/>
  <c r="BK129" i="4"/>
  <c r="BJ129" i="4" s="1"/>
  <c r="BK118" i="4"/>
  <c r="BJ118" i="4" s="1"/>
  <c r="BH66" i="4"/>
  <c r="BL66" i="4" s="1"/>
  <c r="BH13" i="4"/>
  <c r="BL13" i="4" s="1"/>
  <c r="BJ25" i="4"/>
  <c r="BK79" i="4"/>
  <c r="BL79" i="4"/>
  <c r="BK65" i="4"/>
  <c r="BL65" i="4"/>
  <c r="BJ12" i="4"/>
  <c r="BL26" i="4"/>
  <c r="BK26" i="4"/>
  <c r="BK13" i="4"/>
  <c r="BH130" i="4"/>
  <c r="BL130" i="4" s="1"/>
  <c r="C294" i="16"/>
  <c r="AU4" i="4"/>
  <c r="AP131" i="4"/>
  <c r="AQ131" i="4"/>
  <c r="AM131" i="4"/>
  <c r="AO131" i="4"/>
  <c r="AN131" i="4"/>
  <c r="BK130" i="4" l="1"/>
  <c r="BJ130" i="4" s="1"/>
  <c r="BK66" i="4"/>
  <c r="BJ66" i="4" s="1"/>
  <c r="BH27" i="4"/>
  <c r="BL27" i="4" s="1"/>
  <c r="BH14" i="4"/>
  <c r="C9" i="16" s="1"/>
  <c r="BJ65" i="4"/>
  <c r="BJ79" i="4"/>
  <c r="BJ26" i="4"/>
  <c r="BJ13" i="4"/>
  <c r="X31" i="16"/>
  <c r="L28" i="16"/>
  <c r="X32" i="16"/>
  <c r="L25" i="16"/>
  <c r="R34" i="16"/>
  <c r="L26" i="16"/>
  <c r="U31" i="16"/>
  <c r="L36" i="16"/>
  <c r="O31" i="16"/>
  <c r="O28" i="16"/>
  <c r="I32" i="16"/>
  <c r="I26" i="16"/>
  <c r="I34" i="16"/>
  <c r="X34" i="16"/>
  <c r="I36" i="16"/>
  <c r="I25" i="16"/>
  <c r="U25" i="16"/>
  <c r="I28" i="16"/>
  <c r="I33" i="16"/>
  <c r="R33" i="16"/>
  <c r="O32" i="16"/>
  <c r="R30" i="16"/>
  <c r="U35" i="16"/>
  <c r="L32" i="16"/>
  <c r="X25" i="16"/>
  <c r="U30" i="16"/>
  <c r="U26" i="16"/>
  <c r="R36" i="16"/>
  <c r="X30" i="16"/>
  <c r="U32" i="16"/>
  <c r="L29" i="16"/>
  <c r="L31" i="16"/>
  <c r="R28" i="16"/>
  <c r="L30" i="16"/>
  <c r="L35" i="16"/>
  <c r="R25" i="16"/>
  <c r="X26" i="16"/>
  <c r="U34" i="16"/>
  <c r="O36" i="16"/>
  <c r="R29" i="16"/>
  <c r="O29" i="16"/>
  <c r="X33" i="16"/>
  <c r="I31" i="16"/>
  <c r="X29" i="16"/>
  <c r="O26" i="16"/>
  <c r="O35" i="16"/>
  <c r="I29" i="16"/>
  <c r="R31" i="16"/>
  <c r="O34" i="16"/>
  <c r="X27" i="16"/>
  <c r="R27" i="16"/>
  <c r="L27" i="16"/>
  <c r="X28" i="16"/>
  <c r="L34" i="16"/>
  <c r="O27" i="16"/>
  <c r="U36" i="16"/>
  <c r="U33" i="16"/>
  <c r="U28" i="16"/>
  <c r="O30" i="16"/>
  <c r="R35" i="16"/>
  <c r="U29" i="16"/>
  <c r="X35" i="16"/>
  <c r="R32" i="16"/>
  <c r="X36" i="16"/>
  <c r="I27" i="16"/>
  <c r="U27" i="16"/>
  <c r="I30" i="16"/>
  <c r="R26" i="16"/>
  <c r="O25" i="16"/>
  <c r="O33" i="16"/>
  <c r="L33" i="16"/>
  <c r="I35" i="16"/>
  <c r="X13" i="16"/>
  <c r="U15" i="16"/>
  <c r="X6" i="16"/>
  <c r="U16" i="16"/>
  <c r="O7" i="16"/>
  <c r="U17" i="16"/>
  <c r="R13" i="16"/>
  <c r="X16" i="16"/>
  <c r="X11" i="16"/>
  <c r="R17" i="16"/>
  <c r="O15" i="16"/>
  <c r="R7" i="16"/>
  <c r="L12" i="16"/>
  <c r="L15" i="16"/>
  <c r="R6" i="16"/>
  <c r="X14" i="16"/>
  <c r="O16" i="16"/>
  <c r="O9" i="16"/>
  <c r="X8" i="16"/>
  <c r="X9" i="16"/>
  <c r="R8" i="16"/>
  <c r="L11" i="16"/>
  <c r="X15" i="16"/>
  <c r="L13" i="16"/>
  <c r="O17" i="16"/>
  <c r="R9" i="16"/>
  <c r="R15" i="16"/>
  <c r="R14" i="16"/>
  <c r="L7" i="16"/>
  <c r="L17" i="16"/>
  <c r="R11" i="16"/>
  <c r="U6" i="16"/>
  <c r="L10" i="16"/>
  <c r="L8" i="16"/>
  <c r="O8" i="16"/>
  <c r="O11" i="16"/>
  <c r="X17" i="16"/>
  <c r="L9" i="16"/>
  <c r="L14" i="16"/>
  <c r="O12" i="16"/>
  <c r="U14" i="16"/>
  <c r="U10" i="16"/>
  <c r="U7" i="16"/>
  <c r="U9" i="16"/>
  <c r="U13" i="16"/>
  <c r="U12" i="16"/>
  <c r="U11" i="16"/>
  <c r="X10" i="16"/>
  <c r="R16" i="16"/>
  <c r="R10" i="16"/>
  <c r="U8" i="16"/>
  <c r="O14" i="16"/>
  <c r="R12" i="16"/>
  <c r="X7" i="16"/>
  <c r="X12" i="16"/>
  <c r="O13" i="16"/>
  <c r="O6" i="16"/>
  <c r="O10" i="16"/>
  <c r="L16" i="16"/>
  <c r="L6" i="16"/>
  <c r="C6" i="16"/>
  <c r="C7" i="16"/>
  <c r="F31" i="16"/>
  <c r="F26" i="16"/>
  <c r="F27" i="16"/>
  <c r="F34" i="16"/>
  <c r="F29" i="16"/>
  <c r="F32" i="16"/>
  <c r="F25" i="16"/>
  <c r="F30" i="16"/>
  <c r="F35" i="16"/>
  <c r="F36" i="16"/>
  <c r="F28" i="16"/>
  <c r="C35" i="16"/>
  <c r="Q29" i="4"/>
  <c r="P39" i="4"/>
  <c r="T39" i="4"/>
  <c r="C11" i="16" l="1"/>
  <c r="F33" i="16"/>
  <c r="S26" i="7"/>
  <c r="U44" i="4"/>
  <c r="J247" i="13" s="1"/>
  <c r="B332" i="18" s="1"/>
  <c r="Q39" i="4"/>
  <c r="V44" i="4"/>
  <c r="M247" i="13" s="1"/>
  <c r="B350" i="18" s="1"/>
  <c r="O26" i="7"/>
  <c r="V29" i="4"/>
  <c r="Q26" i="7"/>
  <c r="U26" i="7"/>
  <c r="V39" i="4"/>
  <c r="R26" i="7"/>
  <c r="R39" i="4"/>
  <c r="T26" i="7"/>
  <c r="O44" i="4"/>
  <c r="D244" i="13" s="1"/>
  <c r="B224" i="18" s="1"/>
  <c r="T29" i="4"/>
  <c r="S39" i="4"/>
  <c r="T43" i="4"/>
  <c r="U43" i="4"/>
  <c r="O43" i="4"/>
  <c r="R43" i="4"/>
  <c r="U29" i="4"/>
  <c r="Q43" i="4"/>
  <c r="R44" i="4"/>
  <c r="M244" i="13" s="1"/>
  <c r="B278" i="18" s="1"/>
  <c r="O29" i="4"/>
  <c r="Q44" i="4"/>
  <c r="J244" i="13" s="1"/>
  <c r="B260" i="18" s="1"/>
  <c r="P43" i="4"/>
  <c r="R29" i="4"/>
  <c r="S29" i="4"/>
  <c r="P29" i="4"/>
  <c r="P44" i="4"/>
  <c r="G244" i="13" s="1"/>
  <c r="B242" i="18" s="1"/>
  <c r="S44" i="4"/>
  <c r="D247" i="13" s="1"/>
  <c r="B296" i="18" s="1"/>
  <c r="S43" i="4"/>
  <c r="O39" i="4"/>
  <c r="V43" i="4"/>
  <c r="U39" i="4"/>
  <c r="T44" i="4"/>
  <c r="G247" i="13" s="1"/>
  <c r="B314" i="18" s="1"/>
  <c r="P26" i="7"/>
  <c r="N26" i="7"/>
  <c r="BL14" i="4"/>
  <c r="D31" i="16"/>
  <c r="C12" i="16"/>
  <c r="C8" i="16"/>
  <c r="C17" i="16"/>
  <c r="C16" i="16"/>
  <c r="C15" i="16"/>
  <c r="C14" i="16"/>
  <c r="C13" i="16"/>
  <c r="C10" i="16"/>
  <c r="BK27" i="4"/>
  <c r="BK14" i="4"/>
  <c r="O38" i="4"/>
  <c r="BH131" i="4"/>
  <c r="O42" i="3" s="1"/>
  <c r="O61" i="3" s="1"/>
  <c r="BJ27" i="4"/>
  <c r="Y12" i="16"/>
  <c r="V33" i="4"/>
  <c r="X76" i="3" s="1"/>
  <c r="P8" i="16"/>
  <c r="S10" i="16"/>
  <c r="V12" i="16"/>
  <c r="V16" i="16"/>
  <c r="P15" i="16"/>
  <c r="S7" i="16"/>
  <c r="M14" i="16"/>
  <c r="V10" i="16"/>
  <c r="V7" i="16"/>
  <c r="S17" i="16"/>
  <c r="P17" i="16"/>
  <c r="S14" i="16"/>
  <c r="P7" i="16"/>
  <c r="S15" i="16"/>
  <c r="S13" i="16"/>
  <c r="M17" i="16"/>
  <c r="S6" i="16"/>
  <c r="P13" i="16"/>
  <c r="M9" i="16"/>
  <c r="M6" i="16"/>
  <c r="V15" i="16"/>
  <c r="S11" i="16"/>
  <c r="V13" i="16"/>
  <c r="M16" i="16"/>
  <c r="V17" i="16"/>
  <c r="S8" i="16"/>
  <c r="S9" i="16"/>
  <c r="P9" i="16"/>
  <c r="V6" i="16"/>
  <c r="M12" i="16"/>
  <c r="V11" i="16"/>
  <c r="M15" i="16"/>
  <c r="V14" i="16"/>
  <c r="M11" i="16"/>
  <c r="P16" i="16"/>
  <c r="M7" i="16"/>
  <c r="D15" i="16"/>
  <c r="P14" i="16"/>
  <c r="P12" i="16"/>
  <c r="V8" i="16"/>
  <c r="M13" i="16"/>
  <c r="S16" i="16"/>
  <c r="V9" i="16"/>
  <c r="Q18" i="4" a="1"/>
  <c r="Q18" i="4" s="1"/>
  <c r="D60" i="9" s="1"/>
  <c r="U38" i="4"/>
  <c r="T38" i="4"/>
  <c r="Q38" i="4"/>
  <c r="R38" i="4"/>
  <c r="S38" i="4"/>
  <c r="V38" i="4"/>
  <c r="S12" i="16"/>
  <c r="P11" i="16"/>
  <c r="P10" i="16"/>
  <c r="P6" i="16"/>
  <c r="M10" i="16"/>
  <c r="M8" i="16"/>
  <c r="AC21" i="4" a="1"/>
  <c r="AC21" i="4" s="1"/>
  <c r="AC18" i="4" a="1"/>
  <c r="AC18" i="4" s="1"/>
  <c r="R18" i="4" a="1"/>
  <c r="R18" i="4" s="1"/>
  <c r="T21" i="4" a="1"/>
  <c r="T21" i="4" s="1"/>
  <c r="X18" i="4" a="1"/>
  <c r="X18" i="4" s="1"/>
  <c r="V10" i="7" s="1"/>
  <c r="AA18" i="4" a="1"/>
  <c r="AA18" i="4" s="1"/>
  <c r="Y10" i="7" s="1"/>
  <c r="P18" i="4" a="1"/>
  <c r="P18" i="4" s="1"/>
  <c r="U18" i="4" a="1"/>
  <c r="U18" i="4" s="1"/>
  <c r="S10" i="7" s="1"/>
  <c r="AD18" i="4" a="1"/>
  <c r="AD18" i="4" s="1"/>
  <c r="AB10" i="7" s="1"/>
  <c r="AB18" i="4" a="1"/>
  <c r="AB18" i="4" s="1"/>
  <c r="V18" i="4" a="1"/>
  <c r="V18" i="4" s="1"/>
  <c r="W18" i="4" a="1"/>
  <c r="W18" i="4" s="1"/>
  <c r="V60" i="9" s="1"/>
  <c r="AS9" i="4"/>
  <c r="AB21" i="4" a="1"/>
  <c r="AB21" i="4" s="1"/>
  <c r="Z21" i="4" a="1"/>
  <c r="Z21" i="4" s="1"/>
  <c r="R21" i="4" a="1"/>
  <c r="R21" i="4" s="1"/>
  <c r="X21" i="4" a="1"/>
  <c r="X21" i="4" s="1"/>
  <c r="P21" i="4" a="1"/>
  <c r="P21" i="4" s="1"/>
  <c r="T18" i="4" a="1"/>
  <c r="T18" i="4" s="1"/>
  <c r="R10" i="7" s="1"/>
  <c r="Q21" i="4" a="1"/>
  <c r="Q21" i="4" s="1"/>
  <c r="U21" i="4" a="1"/>
  <c r="U21" i="4" s="1"/>
  <c r="V21" i="4" a="1"/>
  <c r="V21" i="4" s="1"/>
  <c r="Z18" i="4" a="1"/>
  <c r="Z18" i="4" s="1"/>
  <c r="X10" i="7" s="1"/>
  <c r="T21" i="7"/>
  <c r="P38" i="4"/>
  <c r="AE18" i="4" a="1"/>
  <c r="AE18" i="4" s="1"/>
  <c r="AC10" i="7" s="1"/>
  <c r="S21" i="4" a="1"/>
  <c r="S21" i="4" s="1"/>
  <c r="Y18" i="4" a="1"/>
  <c r="Y18" i="4" s="1"/>
  <c r="W10" i="7" s="1"/>
  <c r="S18" i="4" a="1"/>
  <c r="S18" i="4" s="1"/>
  <c r="G26" i="3" s="1"/>
  <c r="W21" i="4" a="1"/>
  <c r="W21" i="4" s="1"/>
  <c r="AA21" i="4" a="1"/>
  <c r="AA21" i="4" s="1"/>
  <c r="AE21" i="4" a="1"/>
  <c r="AE21" i="4" s="1"/>
  <c r="AD21" i="4" a="1"/>
  <c r="AD21" i="4" s="1"/>
  <c r="Y21" i="4" a="1"/>
  <c r="Y21" i="4" s="1"/>
  <c r="Y17" i="16"/>
  <c r="Y15" i="16"/>
  <c r="Y16" i="16"/>
  <c r="U28" i="4"/>
  <c r="Y6" i="16"/>
  <c r="U33" i="4"/>
  <c r="U76" i="3" s="1"/>
  <c r="Y7" i="16"/>
  <c r="Y13" i="16"/>
  <c r="Y11" i="16"/>
  <c r="Y9" i="16"/>
  <c r="Y8" i="16"/>
  <c r="Y14" i="16"/>
  <c r="Y10" i="16"/>
  <c r="J13" i="16"/>
  <c r="J17" i="16"/>
  <c r="J12" i="16"/>
  <c r="J6" i="16"/>
  <c r="J9" i="16"/>
  <c r="J11" i="16"/>
  <c r="J14" i="16"/>
  <c r="J16" i="16"/>
  <c r="J10" i="16"/>
  <c r="J15" i="16"/>
  <c r="J8" i="16"/>
  <c r="J7" i="16"/>
  <c r="T16" i="7"/>
  <c r="V28" i="4"/>
  <c r="T25" i="7"/>
  <c r="U21" i="7"/>
  <c r="V34" i="4"/>
  <c r="Y76" i="3" s="1"/>
  <c r="U34" i="4"/>
  <c r="V76" i="3" s="1"/>
  <c r="N16" i="7"/>
  <c r="T33" i="4"/>
  <c r="R76" i="3" s="1"/>
  <c r="T28" i="4"/>
  <c r="T34" i="4"/>
  <c r="S76" i="3" s="1"/>
  <c r="Q28" i="4"/>
  <c r="Z16" i="4" a="1"/>
  <c r="Z16" i="4" s="1"/>
  <c r="P8" i="4" a="1"/>
  <c r="P8" i="4" s="1"/>
  <c r="C50" i="9" s="1"/>
  <c r="S34" i="4"/>
  <c r="P76" i="3" s="1"/>
  <c r="V17" i="4" a="1"/>
  <c r="V17" i="4" s="1"/>
  <c r="AE12" i="4" a="1"/>
  <c r="AE12" i="4" s="1"/>
  <c r="Y9" i="4" a="1"/>
  <c r="Y9" i="4" s="1"/>
  <c r="T13" i="4" a="1"/>
  <c r="T13" i="4" s="1"/>
  <c r="I21" i="3" s="1"/>
  <c r="P14" i="4" a="1"/>
  <c r="P14" i="4" s="1"/>
  <c r="C22" i="3" s="1"/>
  <c r="W9" i="4" a="1"/>
  <c r="W9" i="4" s="1"/>
  <c r="V51" i="9" s="1"/>
  <c r="Z9" i="4" a="1"/>
  <c r="Z9" i="4" s="1"/>
  <c r="AE13" i="4" a="1"/>
  <c r="AE13" i="4" s="1"/>
  <c r="AA14" i="4" a="1"/>
  <c r="AA14" i="4" s="1"/>
  <c r="AE17" i="4" a="1"/>
  <c r="AE17" i="4" s="1"/>
  <c r="AC9" i="7" s="1"/>
  <c r="Y7" i="4" a="1"/>
  <c r="Y7" i="4" s="1"/>
  <c r="Y12" i="4" a="1"/>
  <c r="Y12" i="4" s="1"/>
  <c r="AE9" i="4" a="1"/>
  <c r="AE9" i="4" s="1"/>
  <c r="U9" i="4" a="1"/>
  <c r="U9" i="4" s="1"/>
  <c r="Q7" i="4" a="1"/>
  <c r="Q7" i="4" s="1"/>
  <c r="Q8" i="4" a="1"/>
  <c r="Q8" i="4" s="1"/>
  <c r="AC16" i="4" a="1"/>
  <c r="AC16" i="4" s="1"/>
  <c r="T16" i="4" a="1"/>
  <c r="T16" i="4" s="1"/>
  <c r="O58" i="9" s="1"/>
  <c r="AA15" i="4" a="1"/>
  <c r="AA15" i="4" s="1"/>
  <c r="W13" i="4" a="1"/>
  <c r="W13" i="4" s="1"/>
  <c r="V55" i="9" s="1"/>
  <c r="R8" i="4" a="1"/>
  <c r="R8" i="4" s="1"/>
  <c r="I50" i="9" s="1"/>
  <c r="R15" i="4" a="1"/>
  <c r="R15" i="4" s="1"/>
  <c r="F23" i="3" s="1"/>
  <c r="Y16" i="4" a="1"/>
  <c r="Y16" i="4" s="1"/>
  <c r="P11" i="4" a="1"/>
  <c r="P11" i="4" s="1"/>
  <c r="C53" i="9" s="1"/>
  <c r="AC15" i="4" a="1"/>
  <c r="AC15" i="4" s="1"/>
  <c r="AD10" i="4" a="1"/>
  <c r="AD10" i="4" s="1"/>
  <c r="Y14" i="4" a="1"/>
  <c r="Y14" i="4" s="1"/>
  <c r="P15" i="4" a="1"/>
  <c r="P15" i="4" s="1"/>
  <c r="C57" i="9" s="1"/>
  <c r="AB7" i="4" a="1"/>
  <c r="AB7" i="4" s="1"/>
  <c r="AE15" i="4" a="1"/>
  <c r="AE15" i="4" s="1"/>
  <c r="BF5334" i="4"/>
  <c r="Y11" i="4" a="1"/>
  <c r="Y11" i="4" s="1"/>
  <c r="Y13" i="4" a="1"/>
  <c r="Y13" i="4" s="1"/>
  <c r="U7" i="4" a="1"/>
  <c r="U7" i="4" s="1"/>
  <c r="AC12" i="4" a="1"/>
  <c r="AC12" i="4" s="1"/>
  <c r="AA9" i="4" a="1"/>
  <c r="AA9" i="4" s="1"/>
  <c r="AD17" i="4" a="1"/>
  <c r="AD17" i="4" s="1"/>
  <c r="AB9" i="7" s="1"/>
  <c r="AA13" i="4" a="1"/>
  <c r="AA13" i="4" s="1"/>
  <c r="AC11" i="4" a="1"/>
  <c r="AC11" i="4" s="1"/>
  <c r="AB12" i="4" a="1"/>
  <c r="AB12" i="4" s="1"/>
  <c r="Z17" i="4" a="1"/>
  <c r="Z17" i="4" s="1"/>
  <c r="X9" i="7" s="1"/>
  <c r="U8" i="4" a="1"/>
  <c r="U8" i="4" s="1"/>
  <c r="AE7" i="4" a="1"/>
  <c r="AE7" i="4" s="1"/>
  <c r="U15" i="4" a="1"/>
  <c r="U15" i="4" s="1"/>
  <c r="P57" i="9" s="1"/>
  <c r="AB11" i="4" a="1"/>
  <c r="AB11" i="4" s="1"/>
  <c r="V16" i="4" a="1"/>
  <c r="V16" i="4" s="1"/>
  <c r="U58" i="9" s="1"/>
  <c r="X15" i="4" a="1"/>
  <c r="X15" i="4" s="1"/>
  <c r="AC14" i="4" a="1"/>
  <c r="AC14" i="4" s="1"/>
  <c r="AC10" i="4" a="1"/>
  <c r="AC10" i="4" s="1"/>
  <c r="X17" i="4" a="1"/>
  <c r="X17" i="4" s="1"/>
  <c r="V9" i="7" s="1"/>
  <c r="AE10" i="4" a="1"/>
  <c r="AE10" i="4" s="1"/>
  <c r="Q14" i="4" a="1"/>
  <c r="Q14" i="4" s="1"/>
  <c r="D22" i="3" s="1"/>
  <c r="AC7" i="4" a="1"/>
  <c r="AC7" i="4" s="1"/>
  <c r="Y15" i="4" a="1"/>
  <c r="Y15" i="4" s="1"/>
  <c r="W12" i="4" a="1"/>
  <c r="W12" i="4" s="1"/>
  <c r="V54" i="9" s="1"/>
  <c r="AA17" i="4" a="1"/>
  <c r="AA17" i="4" s="1"/>
  <c r="Y9" i="7" s="1"/>
  <c r="AD11" i="4" a="1"/>
  <c r="AD11" i="4" s="1"/>
  <c r="S16" i="4" a="1"/>
  <c r="S16" i="4" s="1"/>
  <c r="G24" i="3" s="1"/>
  <c r="AB15" i="4" a="1"/>
  <c r="AB15" i="4" s="1"/>
  <c r="S13" i="4" a="1"/>
  <c r="S13" i="4" s="1"/>
  <c r="G21" i="3" s="1"/>
  <c r="Q12" i="4" a="1"/>
  <c r="Q12" i="4" s="1"/>
  <c r="D54" i="9" s="1"/>
  <c r="R11" i="4" a="1"/>
  <c r="R11" i="4" s="1"/>
  <c r="I53" i="9" s="1"/>
  <c r="U16" i="4" a="1"/>
  <c r="U16" i="4" s="1"/>
  <c r="J24" i="3" s="1"/>
  <c r="Q15" i="4" a="1"/>
  <c r="Q15" i="4" s="1"/>
  <c r="D57" i="9" s="1"/>
  <c r="S28" i="4"/>
  <c r="W14" i="4" a="1"/>
  <c r="W14" i="4" s="1"/>
  <c r="V56" i="9" s="1"/>
  <c r="Q16" i="4" a="1"/>
  <c r="Q16" i="4" s="1"/>
  <c r="D58" i="9" s="1"/>
  <c r="Q17" i="4" a="1"/>
  <c r="Q17" i="4" s="1"/>
  <c r="D25" i="3" s="1"/>
  <c r="P13" i="4" a="1"/>
  <c r="P13" i="4" s="1"/>
  <c r="C55" i="9" s="1"/>
  <c r="Z12" i="4" a="1"/>
  <c r="Z12" i="4" s="1"/>
  <c r="Y10" i="4" a="1"/>
  <c r="Y10" i="4" s="1"/>
  <c r="Q10" i="4" a="1"/>
  <c r="Q10" i="4" s="1"/>
  <c r="D52" i="9" s="1"/>
  <c r="AD15" i="4" a="1"/>
  <c r="AD15" i="4" s="1"/>
  <c r="AA7" i="4" a="1"/>
  <c r="AA7" i="4" s="1"/>
  <c r="S9" i="4" a="1"/>
  <c r="S9" i="4" s="1"/>
  <c r="J51" i="9" s="1"/>
  <c r="T17" i="4" a="1"/>
  <c r="T17" i="4" s="1"/>
  <c r="O59" i="9" s="1"/>
  <c r="AB17" i="4" a="1"/>
  <c r="AB17" i="4" s="1"/>
  <c r="Z9" i="7" s="1"/>
  <c r="W15" i="4" a="1"/>
  <c r="W15" i="4" s="1"/>
  <c r="V57" i="9" s="1"/>
  <c r="Y8" i="4" a="1"/>
  <c r="Y8" i="4" s="1"/>
  <c r="AC13" i="4" a="1"/>
  <c r="AC13" i="4" s="1"/>
  <c r="W16" i="4" a="1"/>
  <c r="W16" i="4" s="1"/>
  <c r="V58" i="9" s="1"/>
  <c r="R12" i="4" a="1"/>
  <c r="R12" i="4" s="1"/>
  <c r="F20" i="3" s="1"/>
  <c r="AB10" i="4" a="1"/>
  <c r="AB10" i="4" s="1"/>
  <c r="AB13" i="4" a="1"/>
  <c r="AB13" i="4" s="1"/>
  <c r="W8" i="4" a="1"/>
  <c r="W8" i="4" s="1"/>
  <c r="T14" i="4" a="1"/>
  <c r="T14" i="4" s="1"/>
  <c r="I22" i="3" s="1"/>
  <c r="X16" i="4" a="1"/>
  <c r="X16" i="4" s="1"/>
  <c r="U17" i="4" a="1"/>
  <c r="U17" i="4" s="1"/>
  <c r="J25" i="3" s="1"/>
  <c r="AD16" i="4" a="1"/>
  <c r="AD16" i="4" s="1"/>
  <c r="AE16" i="4" a="1"/>
  <c r="AE16" i="4" s="1"/>
  <c r="AB8" i="4" a="1"/>
  <c r="AB8" i="4" s="1"/>
  <c r="U14" i="4" a="1"/>
  <c r="U14" i="4" s="1"/>
  <c r="J22" i="3" s="1"/>
  <c r="W17" i="4" a="1"/>
  <c r="W17" i="4" s="1"/>
  <c r="V59" i="9" s="1"/>
  <c r="X8" i="4" a="1"/>
  <c r="X8" i="4" s="1"/>
  <c r="T10" i="4" a="1"/>
  <c r="T10" i="4" s="1"/>
  <c r="AE8" i="4" a="1"/>
  <c r="AE8" i="4" s="1"/>
  <c r="T12" i="4" a="1"/>
  <c r="T12" i="4" s="1"/>
  <c r="I20" i="3" s="1"/>
  <c r="S10" i="4" a="1"/>
  <c r="S10" i="4" s="1"/>
  <c r="J52" i="9" s="1"/>
  <c r="S8" i="4" a="1"/>
  <c r="S8" i="4" s="1"/>
  <c r="J50" i="9" s="1"/>
  <c r="X9" i="4" a="1"/>
  <c r="X9" i="4" s="1"/>
  <c r="Z11" i="4" a="1"/>
  <c r="Z11" i="4" s="1"/>
  <c r="AA8" i="4" a="1"/>
  <c r="AA8" i="4" s="1"/>
  <c r="Q34" i="4"/>
  <c r="J76" i="3" s="1"/>
  <c r="P17" i="4" a="1"/>
  <c r="P17" i="4" s="1"/>
  <c r="C59" i="9" s="1"/>
  <c r="AA16" i="4" a="1"/>
  <c r="AA16" i="4" s="1"/>
  <c r="V11" i="4" a="1"/>
  <c r="V11" i="4" s="1"/>
  <c r="S17" i="4" a="1"/>
  <c r="S17" i="4" s="1"/>
  <c r="G25" i="3" s="1"/>
  <c r="Q33" i="4"/>
  <c r="I76" i="3" s="1"/>
  <c r="Z10" i="4" a="1"/>
  <c r="Z10" i="4" s="1"/>
  <c r="O33" i="4"/>
  <c r="X14" i="4" a="1"/>
  <c r="X14" i="4" s="1"/>
  <c r="R10" i="4" a="1"/>
  <c r="R10" i="4" s="1"/>
  <c r="I52" i="9" s="1"/>
  <c r="V10" i="4" a="1"/>
  <c r="V10" i="4" s="1"/>
  <c r="S33" i="4"/>
  <c r="O76" i="3" s="1"/>
  <c r="AB16" i="4" a="1"/>
  <c r="AB16" i="4" s="1"/>
  <c r="X11" i="4" a="1"/>
  <c r="X11" i="4" s="1"/>
  <c r="AA12" i="4" a="1"/>
  <c r="AA12" i="4" s="1"/>
  <c r="T8" i="4" a="1"/>
  <c r="T8" i="4" s="1"/>
  <c r="V14" i="4" a="1"/>
  <c r="V14" i="4" s="1"/>
  <c r="U56" i="9" s="1"/>
  <c r="N25" i="7"/>
  <c r="AC9" i="4" a="1"/>
  <c r="AC9" i="4" s="1"/>
  <c r="V9" i="4" a="1"/>
  <c r="V9" i="4" s="1"/>
  <c r="R17" i="4" a="1"/>
  <c r="R17" i="4" s="1"/>
  <c r="F25" i="3" s="1"/>
  <c r="AB9" i="4" a="1"/>
  <c r="AB9" i="4" s="1"/>
  <c r="AB14" i="4" a="1"/>
  <c r="AB14" i="4" s="1"/>
  <c r="AD12" i="4" a="1"/>
  <c r="AD12" i="4" s="1"/>
  <c r="R15" i="7"/>
  <c r="S14" i="4" a="1"/>
  <c r="S14" i="4" s="1"/>
  <c r="G22" i="3" s="1"/>
  <c r="V15" i="4" a="1"/>
  <c r="V15" i="4" s="1"/>
  <c r="U57" i="9" s="1"/>
  <c r="P10" i="4" a="1"/>
  <c r="P10" i="4" s="1"/>
  <c r="C52" i="9" s="1"/>
  <c r="Q13" i="4" a="1"/>
  <c r="Q13" i="4" s="1"/>
  <c r="U13" i="4" a="1"/>
  <c r="U13" i="4" s="1"/>
  <c r="P55" i="9" s="1"/>
  <c r="X13" i="4" a="1"/>
  <c r="X13" i="4" s="1"/>
  <c r="Z10" i="7"/>
  <c r="AE14" i="4" a="1"/>
  <c r="AE14" i="4" s="1"/>
  <c r="W11" i="4" a="1"/>
  <c r="W11" i="4" s="1"/>
  <c r="V53" i="9" s="1"/>
  <c r="V13" i="4" a="1"/>
  <c r="V13" i="4" s="1"/>
  <c r="T15" i="4" a="1"/>
  <c r="T15" i="4" s="1"/>
  <c r="I23" i="3" s="1"/>
  <c r="AD8" i="4" a="1"/>
  <c r="AD8" i="4" s="1"/>
  <c r="AD14" i="4" a="1"/>
  <c r="AD14" i="4" s="1"/>
  <c r="AA11" i="4" a="1"/>
  <c r="AA11" i="4" s="1"/>
  <c r="W7" i="4" a="1"/>
  <c r="W7" i="4" s="1"/>
  <c r="Z8" i="4" a="1"/>
  <c r="Z8" i="4" s="1"/>
  <c r="S11" i="4" a="1"/>
  <c r="S11" i="4" s="1"/>
  <c r="J53" i="9" s="1"/>
  <c r="R9" i="4" a="1"/>
  <c r="R9" i="4" s="1"/>
  <c r="I51" i="9" s="1"/>
  <c r="R7" i="4" a="1"/>
  <c r="R7" i="4" s="1"/>
  <c r="I49" i="9" s="1"/>
  <c r="Z14" i="4" a="1"/>
  <c r="Z14" i="4" s="1"/>
  <c r="P7" i="4" a="1"/>
  <c r="P7" i="4" s="1"/>
  <c r="R13" i="4" a="1"/>
  <c r="R13" i="4" s="1"/>
  <c r="F21" i="3" s="1"/>
  <c r="T7" i="4" a="1"/>
  <c r="T7" i="4" s="1"/>
  <c r="U11" i="4" a="1"/>
  <c r="U11" i="4" s="1"/>
  <c r="P53" i="9" s="1"/>
  <c r="S7" i="4" a="1"/>
  <c r="S7" i="4" s="1"/>
  <c r="O34" i="4"/>
  <c r="Q9" i="4" a="1"/>
  <c r="Q9" i="4" s="1"/>
  <c r="D51" i="9" s="1"/>
  <c r="Z13" i="4" a="1"/>
  <c r="Z13" i="4" s="1"/>
  <c r="V8" i="4" a="1"/>
  <c r="V8" i="4" s="1"/>
  <c r="AA10" i="4" a="1"/>
  <c r="AA10" i="4" s="1"/>
  <c r="Z15" i="4" a="1"/>
  <c r="Z15" i="4" s="1"/>
  <c r="W10" i="4" a="1"/>
  <c r="W10" i="4" s="1"/>
  <c r="P16" i="7"/>
  <c r="AD7" i="4" a="1"/>
  <c r="AD7" i="4" s="1"/>
  <c r="AD13" i="4" a="1"/>
  <c r="AD13" i="4" s="1"/>
  <c r="S12" i="4" a="1"/>
  <c r="S12" i="4" s="1"/>
  <c r="G20" i="3" s="1"/>
  <c r="P25" i="7"/>
  <c r="T11" i="4" a="1"/>
  <c r="T11" i="4" s="1"/>
  <c r="I19" i="3" s="1"/>
  <c r="N15" i="7"/>
  <c r="R14" i="4" a="1"/>
  <c r="R14" i="4" s="1"/>
  <c r="F22" i="3" s="1"/>
  <c r="O28" i="4"/>
  <c r="P15" i="7"/>
  <c r="U12" i="4" a="1"/>
  <c r="U12" i="4" s="1"/>
  <c r="J20" i="3" s="1"/>
  <c r="N21" i="7"/>
  <c r="X7" i="4" a="1"/>
  <c r="X7" i="4" s="1"/>
  <c r="P21" i="7"/>
  <c r="R33" i="4"/>
  <c r="L76" i="3" s="1"/>
  <c r="R34" i="4"/>
  <c r="M76" i="3" s="1"/>
  <c r="S20" i="7"/>
  <c r="R16" i="7"/>
  <c r="S15" i="4" a="1"/>
  <c r="S15" i="4" s="1"/>
  <c r="G23" i="3" s="1"/>
  <c r="R21" i="7"/>
  <c r="T9" i="4" a="1"/>
  <c r="T9" i="4" s="1"/>
  <c r="AC8" i="4" a="1"/>
  <c r="AC8" i="4" s="1"/>
  <c r="U16" i="7"/>
  <c r="P12" i="4" a="1"/>
  <c r="P12" i="4" s="1"/>
  <c r="C54" i="9" s="1"/>
  <c r="R28" i="4"/>
  <c r="S16" i="7"/>
  <c r="T15" i="7"/>
  <c r="S21" i="7"/>
  <c r="S25" i="7"/>
  <c r="U15" i="7"/>
  <c r="S15" i="7"/>
  <c r="Q25" i="7"/>
  <c r="M27" i="16"/>
  <c r="M25" i="16"/>
  <c r="M36" i="16"/>
  <c r="M30" i="16"/>
  <c r="M35" i="16"/>
  <c r="M31" i="16"/>
  <c r="M28" i="16"/>
  <c r="M34" i="16"/>
  <c r="M33" i="16"/>
  <c r="M26" i="16"/>
  <c r="M32" i="16"/>
  <c r="M29" i="16"/>
  <c r="Q20" i="7"/>
  <c r="Q15" i="7"/>
  <c r="Q21" i="7"/>
  <c r="Q16" i="7"/>
  <c r="F10" i="16"/>
  <c r="G27" i="16"/>
  <c r="G33" i="16"/>
  <c r="G13" i="16"/>
  <c r="T20" i="7"/>
  <c r="AD9" i="4" a="1"/>
  <c r="AD9" i="4" s="1"/>
  <c r="G7" i="16"/>
  <c r="U25" i="7"/>
  <c r="G6" i="16"/>
  <c r="G17" i="16"/>
  <c r="R20" i="7"/>
  <c r="R25" i="7"/>
  <c r="N20" i="7"/>
  <c r="G12" i="16"/>
  <c r="G14" i="16"/>
  <c r="P9" i="4" a="1"/>
  <c r="P9" i="4" s="1"/>
  <c r="C51" i="9" s="1"/>
  <c r="G11" i="16"/>
  <c r="G16" i="16"/>
  <c r="U20" i="7"/>
  <c r="Q11" i="4" a="1"/>
  <c r="Q11" i="4" s="1"/>
  <c r="G9" i="16"/>
  <c r="G8" i="16"/>
  <c r="G15" i="16"/>
  <c r="Z7" i="4" a="1"/>
  <c r="Z7" i="4" s="1"/>
  <c r="G10" i="16"/>
  <c r="P28" i="4"/>
  <c r="G69" i="3" s="1"/>
  <c r="Y17" i="4" a="1"/>
  <c r="Y17" i="4" s="1"/>
  <c r="V7" i="4" a="1"/>
  <c r="V7" i="4" s="1"/>
  <c r="U49" i="9" s="1"/>
  <c r="X12" i="4" a="1"/>
  <c r="X12" i="4" s="1"/>
  <c r="P34" i="4"/>
  <c r="G76" i="3" s="1"/>
  <c r="AE11" i="4" a="1"/>
  <c r="AE11" i="4" s="1"/>
  <c r="P16" i="4" a="1"/>
  <c r="P16" i="4" s="1"/>
  <c r="AA10" i="7"/>
  <c r="V19" i="3" s="1"/>
  <c r="AC17" i="4" a="1"/>
  <c r="AC17" i="4" s="1"/>
  <c r="V12" i="4" a="1"/>
  <c r="V12" i="4" s="1"/>
  <c r="X10" i="4" a="1"/>
  <c r="X10" i="4" s="1"/>
  <c r="O16" i="7"/>
  <c r="U10" i="4" a="1"/>
  <c r="U10" i="4" s="1"/>
  <c r="R16" i="4" a="1"/>
  <c r="R16" i="4" s="1"/>
  <c r="F13" i="16"/>
  <c r="P33" i="4"/>
  <c r="F76" i="3" s="1"/>
  <c r="O15" i="7"/>
  <c r="O20" i="7"/>
  <c r="F26" i="3"/>
  <c r="O21" i="7"/>
  <c r="F11" i="16"/>
  <c r="O25" i="7"/>
  <c r="F14" i="16"/>
  <c r="F16" i="16"/>
  <c r="F8" i="16"/>
  <c r="F15" i="16"/>
  <c r="G36" i="16"/>
  <c r="G30" i="16"/>
  <c r="G35" i="16"/>
  <c r="G32" i="16"/>
  <c r="G25" i="16"/>
  <c r="G31" i="16"/>
  <c r="G29" i="16"/>
  <c r="G28" i="16"/>
  <c r="G26" i="16"/>
  <c r="G34" i="16"/>
  <c r="C36" i="16"/>
  <c r="C25" i="16"/>
  <c r="C28" i="16"/>
  <c r="C31" i="16"/>
  <c r="C34" i="16"/>
  <c r="C26" i="16"/>
  <c r="C32" i="16"/>
  <c r="C33" i="16"/>
  <c r="C27" i="16"/>
  <c r="C30" i="16"/>
  <c r="C29" i="16"/>
  <c r="I8" i="16"/>
  <c r="F7" i="16"/>
  <c r="F9" i="16"/>
  <c r="I9" i="16"/>
  <c r="I13" i="16"/>
  <c r="F6" i="16"/>
  <c r="I12" i="16"/>
  <c r="I10" i="16"/>
  <c r="I11" i="16"/>
  <c r="I6" i="16"/>
  <c r="I14" i="16"/>
  <c r="F17" i="16"/>
  <c r="I7" i="16"/>
  <c r="I16" i="16"/>
  <c r="I15" i="16"/>
  <c r="F12" i="16"/>
  <c r="I17" i="16"/>
  <c r="P20" i="7"/>
  <c r="M34" i="3"/>
  <c r="L36" i="3"/>
  <c r="L34" i="3"/>
  <c r="S41" i="3"/>
  <c r="S60" i="3" s="1"/>
  <c r="X43" i="3"/>
  <c r="X62" i="3" s="1"/>
  <c r="V39" i="3"/>
  <c r="V58" i="3" s="1"/>
  <c r="J41" i="3"/>
  <c r="I40" i="3"/>
  <c r="C21" i="3"/>
  <c r="C26" i="3"/>
  <c r="N10" i="7"/>
  <c r="T9" i="7"/>
  <c r="T10" i="7"/>
  <c r="Q10" i="7"/>
  <c r="M20" i="3"/>
  <c r="M24" i="3"/>
  <c r="L21" i="3"/>
  <c r="L24" i="3"/>
  <c r="L25" i="3"/>
  <c r="L23" i="3"/>
  <c r="L22" i="3"/>
  <c r="M25" i="3"/>
  <c r="L20" i="3"/>
  <c r="M22" i="3"/>
  <c r="L26" i="3"/>
  <c r="M21" i="3"/>
  <c r="M26" i="3"/>
  <c r="M23" i="3"/>
  <c r="C29" i="13"/>
  <c r="C30" i="13" s="1"/>
  <c r="H29" i="8"/>
  <c r="H30" i="8" s="1"/>
  <c r="M29" i="8"/>
  <c r="M30" i="8" s="1"/>
  <c r="L37" i="8" s="1"/>
  <c r="R29" i="8"/>
  <c r="R30" i="8" s="1"/>
  <c r="Q37" i="8" s="1"/>
  <c r="C29" i="8"/>
  <c r="C30" i="8" s="1"/>
  <c r="C60" i="9"/>
  <c r="J60" i="9"/>
  <c r="D50" i="9"/>
  <c r="U59" i="9"/>
  <c r="U60" i="9"/>
  <c r="S35" i="3" l="1"/>
  <c r="L39" i="3"/>
  <c r="F37" i="3"/>
  <c r="L42" i="3"/>
  <c r="L61" i="3" s="1"/>
  <c r="J40" i="3"/>
  <c r="F43" i="3"/>
  <c r="F62" i="3" s="1"/>
  <c r="U40" i="3"/>
  <c r="U59" i="3" s="1"/>
  <c r="F40" i="3"/>
  <c r="F59" i="3" s="1"/>
  <c r="U35" i="3"/>
  <c r="C23" i="3"/>
  <c r="D246" i="13"/>
  <c r="B287" i="18" s="1"/>
  <c r="B264" i="27" a="1"/>
  <c r="B264" i="27" s="1"/>
  <c r="E222" i="27" s="1"/>
  <c r="J243" i="13"/>
  <c r="B251" i="18" s="1"/>
  <c r="B168" i="27" a="1"/>
  <c r="B168" i="27" s="1"/>
  <c r="E126" i="27" s="1"/>
  <c r="O55" i="9"/>
  <c r="M243" i="13"/>
  <c r="B269" i="18" s="1"/>
  <c r="B216" i="27" a="1"/>
  <c r="B216" i="27" s="1"/>
  <c r="E174" i="27" s="1"/>
  <c r="D243" i="13"/>
  <c r="B215" i="18" s="1"/>
  <c r="B72" i="27" a="1"/>
  <c r="B72" i="27" s="1"/>
  <c r="E30" i="27" s="1"/>
  <c r="D56" i="9"/>
  <c r="M246" i="13"/>
  <c r="B341" i="18" s="1"/>
  <c r="B408" i="27" a="1"/>
  <c r="B408" i="27" s="1"/>
  <c r="E366" i="27" s="1"/>
  <c r="G243" i="13"/>
  <c r="B233" i="18" s="1"/>
  <c r="B120" i="27" a="1"/>
  <c r="B120" i="27" s="1"/>
  <c r="E78" i="27" s="1"/>
  <c r="J246" i="13"/>
  <c r="B323" i="18" s="1"/>
  <c r="B360" i="27" a="1"/>
  <c r="B360" i="27" s="1"/>
  <c r="E318" i="27" s="1"/>
  <c r="G246" i="13"/>
  <c r="B305" i="18" s="1"/>
  <c r="B312" i="27" a="1"/>
  <c r="B312" i="27" s="1"/>
  <c r="E270" i="27" s="1"/>
  <c r="V36" i="16"/>
  <c r="V27" i="16"/>
  <c r="P44" i="3"/>
  <c r="P63" i="3" s="1"/>
  <c r="O37" i="3"/>
  <c r="V40" i="3"/>
  <c r="V59" i="3" s="1"/>
  <c r="R33" i="3"/>
  <c r="X42" i="3"/>
  <c r="X61" i="3" s="1"/>
  <c r="X44" i="3"/>
  <c r="X63" i="3" s="1"/>
  <c r="X37" i="3"/>
  <c r="P36" i="3"/>
  <c r="U43" i="3"/>
  <c r="U62" i="3" s="1"/>
  <c r="Y36" i="3"/>
  <c r="Y39" i="3"/>
  <c r="Y58" i="3" s="1"/>
  <c r="I44" i="3"/>
  <c r="G37" i="3"/>
  <c r="Y34" i="3"/>
  <c r="Y33" i="3"/>
  <c r="G40" i="3"/>
  <c r="G59" i="3" s="1"/>
  <c r="F41" i="3"/>
  <c r="L41" i="3"/>
  <c r="L60" i="3" s="1"/>
  <c r="U44" i="3"/>
  <c r="U63" i="3" s="1"/>
  <c r="P40" i="3"/>
  <c r="P59" i="3" s="1"/>
  <c r="D37" i="3"/>
  <c r="I37" i="3"/>
  <c r="I56" i="3" s="1"/>
  <c r="L33" i="3"/>
  <c r="R36" i="3"/>
  <c r="X35" i="3"/>
  <c r="X34" i="3"/>
  <c r="V37" i="3"/>
  <c r="U38" i="3"/>
  <c r="U57" i="3" s="1"/>
  <c r="M44" i="3"/>
  <c r="D13" i="16"/>
  <c r="Y27" i="16"/>
  <c r="S19" i="3"/>
  <c r="R19" i="3"/>
  <c r="D9" i="16"/>
  <c r="D16" i="16"/>
  <c r="D14" i="16"/>
  <c r="D17" i="16"/>
  <c r="D12" i="16"/>
  <c r="D7" i="16"/>
  <c r="D8" i="16"/>
  <c r="D10" i="16"/>
  <c r="D6" i="16"/>
  <c r="D11" i="16"/>
  <c r="Y18" i="3"/>
  <c r="W39" i="4"/>
  <c r="W43" i="4"/>
  <c r="V29" i="16"/>
  <c r="V26" i="16"/>
  <c r="P28" i="16"/>
  <c r="W44" i="4"/>
  <c r="V35" i="16"/>
  <c r="P32" i="16"/>
  <c r="Y29" i="16"/>
  <c r="P26" i="16"/>
  <c r="V32" i="16"/>
  <c r="P30" i="16"/>
  <c r="P29" i="16"/>
  <c r="P31" i="16"/>
  <c r="P34" i="16"/>
  <c r="V33" i="16"/>
  <c r="Y33" i="16"/>
  <c r="S29" i="16"/>
  <c r="Y26" i="16"/>
  <c r="Y35" i="16"/>
  <c r="J25" i="16"/>
  <c r="Y32" i="16"/>
  <c r="Y34" i="16"/>
  <c r="Y25" i="16"/>
  <c r="S31" i="16"/>
  <c r="S26" i="16"/>
  <c r="P35" i="16"/>
  <c r="V28" i="16"/>
  <c r="S28" i="16"/>
  <c r="V34" i="16"/>
  <c r="Y36" i="16"/>
  <c r="S33" i="16"/>
  <c r="Y28" i="16"/>
  <c r="BK131" i="4"/>
  <c r="D29" i="16"/>
  <c r="V31" i="16"/>
  <c r="S30" i="16"/>
  <c r="J31" i="16"/>
  <c r="J33" i="16"/>
  <c r="J35" i="16"/>
  <c r="J36" i="16"/>
  <c r="P33" i="16"/>
  <c r="P25" i="16"/>
  <c r="J28" i="16"/>
  <c r="J27" i="16"/>
  <c r="J26" i="16"/>
  <c r="S34" i="16"/>
  <c r="Y30" i="16"/>
  <c r="J32" i="16"/>
  <c r="P36" i="16"/>
  <c r="J29" i="16"/>
  <c r="S36" i="16"/>
  <c r="V30" i="16"/>
  <c r="J34" i="16"/>
  <c r="J30" i="16"/>
  <c r="S35" i="16"/>
  <c r="P27" i="16"/>
  <c r="Y31" i="16"/>
  <c r="S32" i="16"/>
  <c r="S25" i="16"/>
  <c r="S27" i="16"/>
  <c r="V25" i="16"/>
  <c r="D28" i="16"/>
  <c r="D26" i="16"/>
  <c r="D30" i="16"/>
  <c r="D27" i="16"/>
  <c r="D32" i="16"/>
  <c r="D33" i="16"/>
  <c r="I35" i="3"/>
  <c r="BL131" i="4"/>
  <c r="D36" i="16"/>
  <c r="D34" i="16"/>
  <c r="D25" i="16"/>
  <c r="D35" i="16"/>
  <c r="Y42" i="3"/>
  <c r="Y61" i="3" s="1"/>
  <c r="V36" i="3"/>
  <c r="R43" i="3"/>
  <c r="R62" i="3" s="1"/>
  <c r="R35" i="3"/>
  <c r="I41" i="3"/>
  <c r="I60" i="3" s="1"/>
  <c r="V44" i="3"/>
  <c r="V63" i="3" s="1"/>
  <c r="X33" i="3"/>
  <c r="O40" i="3"/>
  <c r="O59" i="3" s="1"/>
  <c r="X36" i="3"/>
  <c r="C41" i="3"/>
  <c r="C60" i="3" s="1"/>
  <c r="M41" i="3"/>
  <c r="M60" i="3" s="1"/>
  <c r="I38" i="3"/>
  <c r="I57" i="3" s="1"/>
  <c r="S42" i="3"/>
  <c r="S61" i="3" s="1"/>
  <c r="O35" i="3"/>
  <c r="F44" i="3"/>
  <c r="F63" i="3" s="1"/>
  <c r="V33" i="3"/>
  <c r="O38" i="3"/>
  <c r="O57" i="3" s="1"/>
  <c r="G43" i="3"/>
  <c r="G62" i="3" s="1"/>
  <c r="U42" i="3"/>
  <c r="U61" i="3" s="1"/>
  <c r="L40" i="3"/>
  <c r="L59" i="3" s="1"/>
  <c r="U33" i="3"/>
  <c r="C38" i="3"/>
  <c r="R41" i="3"/>
  <c r="R60" i="3" s="1"/>
  <c r="J44" i="3"/>
  <c r="S39" i="3"/>
  <c r="S58" i="3" s="1"/>
  <c r="V38" i="3"/>
  <c r="V57" i="3" s="1"/>
  <c r="M42" i="3"/>
  <c r="M61" i="3" s="1"/>
  <c r="C40" i="3"/>
  <c r="C59" i="3" s="1"/>
  <c r="I39" i="3"/>
  <c r="I58" i="3" s="1"/>
  <c r="D42" i="3"/>
  <c r="O39" i="3"/>
  <c r="O58" i="3" s="1"/>
  <c r="I33" i="3"/>
  <c r="S34" i="3"/>
  <c r="C44" i="3"/>
  <c r="C63" i="3" s="1"/>
  <c r="S38" i="3"/>
  <c r="S57" i="3" s="1"/>
  <c r="X38" i="3"/>
  <c r="X57" i="3" s="1"/>
  <c r="U39" i="3"/>
  <c r="U58" i="3" s="1"/>
  <c r="R34" i="3"/>
  <c r="P43" i="3"/>
  <c r="P62" i="3" s="1"/>
  <c r="G35" i="3"/>
  <c r="Y41" i="3"/>
  <c r="Y60" i="3" s="1"/>
  <c r="P34" i="3"/>
  <c r="D40" i="3"/>
  <c r="D59" i="3" s="1"/>
  <c r="S36" i="3"/>
  <c r="I36" i="3"/>
  <c r="S44" i="3"/>
  <c r="S63" i="3" s="1"/>
  <c r="C33" i="3"/>
  <c r="Y40" i="3"/>
  <c r="Y59" i="3" s="1"/>
  <c r="O44" i="3"/>
  <c r="O63" i="3" s="1"/>
  <c r="J37" i="3"/>
  <c r="U36" i="3"/>
  <c r="C34" i="3"/>
  <c r="F34" i="3"/>
  <c r="I43" i="3"/>
  <c r="X39" i="3"/>
  <c r="X58" i="3" s="1"/>
  <c r="F36" i="3"/>
  <c r="G34" i="3"/>
  <c r="P37" i="3"/>
  <c r="J35" i="3"/>
  <c r="Y43" i="3"/>
  <c r="Y62" i="3" s="1"/>
  <c r="U41" i="3"/>
  <c r="U60" i="3" s="1"/>
  <c r="P33" i="3"/>
  <c r="D39" i="3"/>
  <c r="O41" i="3"/>
  <c r="O60" i="3" s="1"/>
  <c r="M43" i="3"/>
  <c r="M62" i="3" s="1"/>
  <c r="P39" i="3"/>
  <c r="P58" i="3" s="1"/>
  <c r="F39" i="3"/>
  <c r="F58" i="3" s="1"/>
  <c r="G38" i="3"/>
  <c r="G57" i="3" s="1"/>
  <c r="F42" i="3"/>
  <c r="M40" i="3"/>
  <c r="M59" i="3" s="1"/>
  <c r="G41" i="3"/>
  <c r="G60" i="3" s="1"/>
  <c r="P42" i="3"/>
  <c r="P61" i="3" s="1"/>
  <c r="Y44" i="3"/>
  <c r="Y63" i="3" s="1"/>
  <c r="D38" i="3"/>
  <c r="J34" i="3"/>
  <c r="V34" i="3"/>
  <c r="X41" i="3"/>
  <c r="X60" i="3" s="1"/>
  <c r="M38" i="3"/>
  <c r="M57" i="3" s="1"/>
  <c r="M33" i="3"/>
  <c r="M37" i="3"/>
  <c r="J36" i="3"/>
  <c r="O36" i="3"/>
  <c r="O34" i="3"/>
  <c r="D35" i="3"/>
  <c r="V42" i="3"/>
  <c r="V61" i="3" s="1"/>
  <c r="U37" i="3"/>
  <c r="I42" i="3"/>
  <c r="G44" i="3"/>
  <c r="G63" i="3" s="1"/>
  <c r="C35" i="3"/>
  <c r="Y37" i="3"/>
  <c r="P35" i="3"/>
  <c r="M36" i="3"/>
  <c r="D41" i="3"/>
  <c r="J42" i="3"/>
  <c r="J61" i="3" s="1"/>
  <c r="G36" i="3"/>
  <c r="S33" i="3"/>
  <c r="R40" i="3"/>
  <c r="R59" i="3" s="1"/>
  <c r="R39" i="3"/>
  <c r="R58" i="3" s="1"/>
  <c r="J38" i="3"/>
  <c r="J57" i="3" s="1"/>
  <c r="P38" i="3"/>
  <c r="P57" i="3" s="1"/>
  <c r="V41" i="3"/>
  <c r="V60" i="3" s="1"/>
  <c r="J39" i="3"/>
  <c r="L43" i="3"/>
  <c r="L62" i="3" s="1"/>
  <c r="V43" i="3"/>
  <c r="V62" i="3" s="1"/>
  <c r="X40" i="3"/>
  <c r="X59" i="3" s="1"/>
  <c r="I34" i="3"/>
  <c r="R44" i="3"/>
  <c r="R63" i="3" s="1"/>
  <c r="S37" i="3"/>
  <c r="D43" i="3"/>
  <c r="D62" i="3" s="1"/>
  <c r="G42" i="3"/>
  <c r="G61" i="3" s="1"/>
  <c r="R42" i="3"/>
  <c r="R61" i="3" s="1"/>
  <c r="L38" i="3"/>
  <c r="L57" i="3" s="1"/>
  <c r="L37" i="3"/>
  <c r="O43" i="3"/>
  <c r="O62" i="3" s="1"/>
  <c r="Y38" i="3"/>
  <c r="Y57" i="3" s="1"/>
  <c r="C42" i="3"/>
  <c r="S43" i="3"/>
  <c r="S62" i="3" s="1"/>
  <c r="S40" i="3"/>
  <c r="S59" i="3" s="1"/>
  <c r="L35" i="3"/>
  <c r="J43" i="3"/>
  <c r="J62" i="3" s="1"/>
  <c r="O33" i="3"/>
  <c r="U34" i="3"/>
  <c r="D44" i="3"/>
  <c r="P41" i="3"/>
  <c r="P60" i="3" s="1"/>
  <c r="R37" i="3"/>
  <c r="R56" i="3" s="1"/>
  <c r="L44" i="3"/>
  <c r="L63" i="3" s="1"/>
  <c r="R38" i="3"/>
  <c r="R57" i="3" s="1"/>
  <c r="BJ14" i="4"/>
  <c r="F33" i="3" s="1"/>
  <c r="C39" i="3"/>
  <c r="C58" i="3" s="1"/>
  <c r="W38" i="4"/>
  <c r="S18" i="3"/>
  <c r="X19" i="3"/>
  <c r="X56" i="3" s="1"/>
  <c r="C43" i="3"/>
  <c r="U18" i="3"/>
  <c r="D231" i="16"/>
  <c r="C60" i="11" s="1"/>
  <c r="C91" i="11" s="1"/>
  <c r="C84" i="11" s="1"/>
  <c r="X18" i="3"/>
  <c r="W34" i="4"/>
  <c r="D69" i="3"/>
  <c r="W28" i="4"/>
  <c r="C76" i="3"/>
  <c r="W33" i="4"/>
  <c r="W29" i="4"/>
  <c r="AG45" i="5"/>
  <c r="AG50" i="5"/>
  <c r="AG51" i="5" s="1"/>
  <c r="Y70" i="3"/>
  <c r="V70" i="3"/>
  <c r="J70" i="3"/>
  <c r="R18" i="3"/>
  <c r="U19" i="3"/>
  <c r="S70" i="3"/>
  <c r="C231" i="16"/>
  <c r="B60" i="11" s="1"/>
  <c r="B91" i="11" s="1"/>
  <c r="B84" i="11" s="1"/>
  <c r="Y69" i="3"/>
  <c r="J231" i="16"/>
  <c r="I60" i="11" s="1"/>
  <c r="J69" i="3"/>
  <c r="E231" i="16"/>
  <c r="D60" i="11" s="1"/>
  <c r="V69" i="3"/>
  <c r="I231" i="16"/>
  <c r="H60" i="11" s="1"/>
  <c r="S69" i="3"/>
  <c r="H231" i="16"/>
  <c r="G60" i="11" s="1"/>
  <c r="M69" i="3"/>
  <c r="F231" i="16"/>
  <c r="E60" i="11" s="1"/>
  <c r="P69" i="3"/>
  <c r="G231" i="16"/>
  <c r="F60" i="11" s="1"/>
  <c r="P19" i="3"/>
  <c r="U22" i="4"/>
  <c r="U10" i="7"/>
  <c r="M19" i="3" s="1"/>
  <c r="I54" i="9"/>
  <c r="AB45" i="5"/>
  <c r="AB50" i="5"/>
  <c r="AB51" i="5" s="1"/>
  <c r="S9" i="7"/>
  <c r="J18" i="3" s="1"/>
  <c r="P50" i="9"/>
  <c r="M70" i="3"/>
  <c r="D59" i="9"/>
  <c r="AL45" i="5"/>
  <c r="AL50" i="5"/>
  <c r="AL51" i="5" s="1"/>
  <c r="U6" i="7"/>
  <c r="M15" i="3" s="1"/>
  <c r="V50" i="9"/>
  <c r="P70" i="3"/>
  <c r="O6" i="7"/>
  <c r="O19" i="3"/>
  <c r="L18" i="3"/>
  <c r="L55" i="3" s="1"/>
  <c r="L19" i="3"/>
  <c r="M18" i="16"/>
  <c r="S22" i="4"/>
  <c r="P18" i="16"/>
  <c r="S18" i="16"/>
  <c r="V18" i="16"/>
  <c r="O52" i="9"/>
  <c r="Q22" i="4"/>
  <c r="AC6" i="7"/>
  <c r="Y15" i="3" s="1"/>
  <c r="Y52" i="3" s="1"/>
  <c r="P59" i="9"/>
  <c r="D20" i="3"/>
  <c r="O9" i="7"/>
  <c r="I25" i="3"/>
  <c r="R9" i="7"/>
  <c r="I18" i="3" s="1"/>
  <c r="Z6" i="7"/>
  <c r="U15" i="3" s="1"/>
  <c r="D49" i="9"/>
  <c r="AC8" i="7"/>
  <c r="Y17" i="3" s="1"/>
  <c r="N6" i="7"/>
  <c r="P19" i="4"/>
  <c r="AL40" i="5"/>
  <c r="Y18" i="16"/>
  <c r="P56" i="9"/>
  <c r="J59" i="9"/>
  <c r="V49" i="9"/>
  <c r="J58" i="9"/>
  <c r="Q9" i="7"/>
  <c r="G18" i="3" s="1"/>
  <c r="I24" i="3"/>
  <c r="P58" i="9"/>
  <c r="J23" i="3"/>
  <c r="J60" i="3" s="1"/>
  <c r="AG40" i="5"/>
  <c r="O54" i="9"/>
  <c r="Y22" i="4"/>
  <c r="M50" i="5"/>
  <c r="M51" i="5" s="1"/>
  <c r="C56" i="9"/>
  <c r="W8" i="7"/>
  <c r="P17" i="3" s="1"/>
  <c r="Y8" i="7"/>
  <c r="S17" i="3" s="1"/>
  <c r="S54" i="3" s="1"/>
  <c r="W45" i="5"/>
  <c r="M45" i="5"/>
  <c r="J21" i="3"/>
  <c r="S8" i="7"/>
  <c r="J17" i="3" s="1"/>
  <c r="W7" i="7"/>
  <c r="P16" i="3" s="1"/>
  <c r="C36" i="13"/>
  <c r="I59" i="9"/>
  <c r="AA7" i="7"/>
  <c r="V16" i="3" s="1"/>
  <c r="AE22" i="4"/>
  <c r="U9" i="7"/>
  <c r="M18" i="3" s="1"/>
  <c r="O56" i="9"/>
  <c r="W6" i="7"/>
  <c r="P15" i="3" s="1"/>
  <c r="U8" i="7"/>
  <c r="M17" i="3" s="1"/>
  <c r="AB8" i="7"/>
  <c r="X17" i="3" s="1"/>
  <c r="X54" i="3" s="1"/>
  <c r="J56" i="9"/>
  <c r="AA6" i="7"/>
  <c r="V15" i="3" s="1"/>
  <c r="S6" i="7"/>
  <c r="J15" i="3" s="1"/>
  <c r="P49" i="9"/>
  <c r="R6" i="7"/>
  <c r="I15" i="3" s="1"/>
  <c r="O49" i="9"/>
  <c r="Q6" i="7"/>
  <c r="G15" i="3" s="1"/>
  <c r="U50" i="9"/>
  <c r="AG14" i="4"/>
  <c r="W50" i="5"/>
  <c r="W51" i="5" s="1"/>
  <c r="C45" i="5"/>
  <c r="Z7" i="7"/>
  <c r="U16" i="3" s="1"/>
  <c r="Z8" i="7"/>
  <c r="U17" i="3" s="1"/>
  <c r="U54" i="3" s="1"/>
  <c r="P9" i="7"/>
  <c r="F18" i="3" s="1"/>
  <c r="W22" i="4"/>
  <c r="D26" i="3"/>
  <c r="I57" i="9"/>
  <c r="P51" i="9"/>
  <c r="F60" i="3"/>
  <c r="I26" i="3"/>
  <c r="O60" i="9"/>
  <c r="AA22" i="4"/>
  <c r="U52" i="9"/>
  <c r="D23" i="3"/>
  <c r="I55" i="9"/>
  <c r="AA8" i="7"/>
  <c r="V17" i="3" s="1"/>
  <c r="O57" i="9"/>
  <c r="T7" i="7"/>
  <c r="L16" i="3" s="1"/>
  <c r="L53" i="3" s="1"/>
  <c r="U53" i="9"/>
  <c r="O10" i="7"/>
  <c r="Y19" i="4"/>
  <c r="AC7" i="7"/>
  <c r="Y16" i="3" s="1"/>
  <c r="O50" i="9"/>
  <c r="C20" i="3"/>
  <c r="C25" i="3"/>
  <c r="AC22" i="4"/>
  <c r="P7" i="7"/>
  <c r="F16" i="3" s="1"/>
  <c r="N9" i="7"/>
  <c r="C18" i="3" s="1"/>
  <c r="AF17" i="4"/>
  <c r="R8" i="7"/>
  <c r="I17" i="3" s="1"/>
  <c r="T8" i="7"/>
  <c r="L17" i="3" s="1"/>
  <c r="W19" i="4"/>
  <c r="AF11" i="4"/>
  <c r="U55" i="9"/>
  <c r="AF13" i="4"/>
  <c r="Y6" i="7"/>
  <c r="S15" i="3" s="1"/>
  <c r="X7" i="7"/>
  <c r="R16" i="3" s="1"/>
  <c r="AA19" i="4"/>
  <c r="AG9" i="4"/>
  <c r="AE19" i="4"/>
  <c r="J55" i="9"/>
  <c r="V6" i="7"/>
  <c r="O15" i="3" s="1"/>
  <c r="O8" i="7"/>
  <c r="D17" i="3" s="1"/>
  <c r="AF8" i="4"/>
  <c r="D24" i="3"/>
  <c r="U51" i="9"/>
  <c r="AG16" i="4"/>
  <c r="AF10" i="4"/>
  <c r="J57" i="9"/>
  <c r="V52" i="9"/>
  <c r="J54" i="9"/>
  <c r="Q8" i="7"/>
  <c r="G17" i="3" s="1"/>
  <c r="C50" i="5"/>
  <c r="C51" i="5" s="1"/>
  <c r="Y19" i="3"/>
  <c r="Y7" i="7"/>
  <c r="S16" i="3" s="1"/>
  <c r="AG12" i="4"/>
  <c r="Q7" i="7"/>
  <c r="G16" i="3" s="1"/>
  <c r="P60" i="9"/>
  <c r="AG10" i="4"/>
  <c r="U7" i="7"/>
  <c r="M16" i="3" s="1"/>
  <c r="M53" i="3" s="1"/>
  <c r="I56" i="9"/>
  <c r="J26" i="3"/>
  <c r="S7" i="7"/>
  <c r="J16" i="3" s="1"/>
  <c r="C49" i="9"/>
  <c r="P54" i="9"/>
  <c r="N7" i="7"/>
  <c r="C16" i="3" s="1"/>
  <c r="J19" i="3"/>
  <c r="AB6" i="7"/>
  <c r="X15" i="3" s="1"/>
  <c r="AG13" i="4"/>
  <c r="AB19" i="4"/>
  <c r="V8" i="7"/>
  <c r="O17" i="3" s="1"/>
  <c r="O53" i="9"/>
  <c r="D55" i="9"/>
  <c r="D76" i="3"/>
  <c r="D21" i="3"/>
  <c r="X8" i="7"/>
  <c r="R17" i="3" s="1"/>
  <c r="S19" i="4"/>
  <c r="R45" i="5"/>
  <c r="P6" i="7"/>
  <c r="F15" i="3" s="1"/>
  <c r="AC19" i="4"/>
  <c r="C40" i="5"/>
  <c r="AF14" i="4"/>
  <c r="R50" i="5"/>
  <c r="R51" i="5" s="1"/>
  <c r="AG8" i="4"/>
  <c r="U19" i="4"/>
  <c r="AF15" i="4"/>
  <c r="AF16" i="4"/>
  <c r="J49" i="9"/>
  <c r="AG7" i="4"/>
  <c r="AB7" i="7"/>
  <c r="X16" i="3" s="1"/>
  <c r="AD19" i="4"/>
  <c r="AG15" i="4"/>
  <c r="AG18" i="4"/>
  <c r="AF12" i="4"/>
  <c r="P52" i="9"/>
  <c r="U54" i="9"/>
  <c r="R7" i="7"/>
  <c r="I16" i="3" s="1"/>
  <c r="C24" i="3"/>
  <c r="N8" i="7"/>
  <c r="P8" i="7"/>
  <c r="F17" i="3" s="1"/>
  <c r="C58" i="9"/>
  <c r="AF21" i="4"/>
  <c r="W9" i="7"/>
  <c r="P18" i="3" s="1"/>
  <c r="R19" i="4"/>
  <c r="H50" i="5"/>
  <c r="H51" i="5" s="1"/>
  <c r="T19" i="4"/>
  <c r="O51" i="9"/>
  <c r="AF9" i="4"/>
  <c r="M35" i="3"/>
  <c r="AB40" i="5"/>
  <c r="M39" i="3"/>
  <c r="W40" i="5"/>
  <c r="M79" i="16"/>
  <c r="L184" i="16"/>
  <c r="L185" i="16" s="1"/>
  <c r="L79" i="16"/>
  <c r="F233" i="16" s="1"/>
  <c r="M37" i="16"/>
  <c r="X26" i="7"/>
  <c r="R40" i="5"/>
  <c r="I60" i="9"/>
  <c r="Z19" i="4"/>
  <c r="X6" i="7"/>
  <c r="R15" i="3" s="1"/>
  <c r="V7" i="7"/>
  <c r="O16" i="3" s="1"/>
  <c r="O18" i="3"/>
  <c r="C37" i="13"/>
  <c r="X19" i="4"/>
  <c r="AF18" i="4"/>
  <c r="H45" i="5"/>
  <c r="P10" i="7"/>
  <c r="AD10" i="7" s="1"/>
  <c r="AG11" i="4"/>
  <c r="AF7" i="4"/>
  <c r="T6" i="7"/>
  <c r="L15" i="3" s="1"/>
  <c r="L52" i="3" s="1"/>
  <c r="AA9" i="7"/>
  <c r="V18" i="3" s="1"/>
  <c r="AG17" i="4"/>
  <c r="I58" i="9"/>
  <c r="F24" i="3"/>
  <c r="V19" i="4"/>
  <c r="M40" i="5"/>
  <c r="G70" i="3"/>
  <c r="G39" i="3"/>
  <c r="G58" i="3" s="1"/>
  <c r="H40" i="5"/>
  <c r="X21" i="7"/>
  <c r="W21" i="7"/>
  <c r="D53" i="9"/>
  <c r="AG21" i="4"/>
  <c r="O7" i="7"/>
  <c r="D16" i="3" s="1"/>
  <c r="Q19" i="4"/>
  <c r="F35" i="3"/>
  <c r="W26" i="7"/>
  <c r="F184" i="16"/>
  <c r="F185" i="16" s="1"/>
  <c r="G79" i="16"/>
  <c r="J18" i="16"/>
  <c r="G37" i="16"/>
  <c r="F79" i="16"/>
  <c r="D233" i="16" s="1"/>
  <c r="G18" i="16"/>
  <c r="V56" i="3"/>
  <c r="L58" i="3"/>
  <c r="M63" i="3"/>
  <c r="J59" i="3"/>
  <c r="I59" i="3"/>
  <c r="C19" i="3"/>
  <c r="D15" i="3"/>
  <c r="D18" i="3"/>
  <c r="G19" i="3"/>
  <c r="C15" i="3"/>
  <c r="C17" i="3"/>
  <c r="Q36" i="8"/>
  <c r="Q39" i="8" s="1"/>
  <c r="L36" i="8"/>
  <c r="L39" i="8" s="1"/>
  <c r="D30" i="8"/>
  <c r="B37" i="8"/>
  <c r="B36" i="8"/>
  <c r="G36" i="8"/>
  <c r="G37" i="8"/>
  <c r="I30" i="8"/>
  <c r="P55" i="3" l="1"/>
  <c r="C37" i="3"/>
  <c r="C56" i="3" s="1"/>
  <c r="X53" i="3"/>
  <c r="O56" i="3"/>
  <c r="Y55" i="3"/>
  <c r="G56" i="3"/>
  <c r="AB46" i="5"/>
  <c r="AC43" i="5"/>
  <c r="Q97" i="7" s="1"/>
  <c r="AL46" i="5"/>
  <c r="AM43" i="5"/>
  <c r="S97" i="7" s="1"/>
  <c r="M46" i="5"/>
  <c r="N43" i="5"/>
  <c r="N97" i="7" s="1"/>
  <c r="AG46" i="5"/>
  <c r="AH43" i="5"/>
  <c r="R97" i="7" s="1"/>
  <c r="R46" i="5"/>
  <c r="S43" i="5"/>
  <c r="O97" i="7" s="1"/>
  <c r="H46" i="5"/>
  <c r="I43" i="5"/>
  <c r="M97" i="7" s="1"/>
  <c r="C46" i="5"/>
  <c r="D43" i="5"/>
  <c r="L97" i="7" s="1"/>
  <c r="W46" i="5"/>
  <c r="X43" i="5"/>
  <c r="P97" i="7" s="1"/>
  <c r="Y53" i="3"/>
  <c r="R52" i="3"/>
  <c r="I63" i="3"/>
  <c r="R55" i="3"/>
  <c r="S56" i="3"/>
  <c r="V55" i="3"/>
  <c r="J91" i="11"/>
  <c r="X52" i="3"/>
  <c r="D18" i="16"/>
  <c r="G54" i="3"/>
  <c r="U55" i="3"/>
  <c r="D57" i="3"/>
  <c r="C36" i="3"/>
  <c r="C55" i="3" s="1"/>
  <c r="G33" i="3"/>
  <c r="G52" i="3" s="1"/>
  <c r="I54" i="3"/>
  <c r="P56" i="3"/>
  <c r="D54" i="3"/>
  <c r="S53" i="3"/>
  <c r="X55" i="3"/>
  <c r="G53" i="3"/>
  <c r="F52" i="3"/>
  <c r="C54" i="3"/>
  <c r="X79" i="16"/>
  <c r="J233" i="16" s="1"/>
  <c r="V79" i="16"/>
  <c r="X184" i="16"/>
  <c r="U52" i="3"/>
  <c r="U184" i="16"/>
  <c r="U185" i="16" s="1"/>
  <c r="Y79" i="16"/>
  <c r="U79" i="16"/>
  <c r="I233" i="16" s="1"/>
  <c r="F38" i="3"/>
  <c r="F57" i="3" s="1"/>
  <c r="C52" i="3"/>
  <c r="D58" i="3"/>
  <c r="BJ131" i="4"/>
  <c r="R184" i="16"/>
  <c r="R185" i="16" s="1"/>
  <c r="P79" i="16"/>
  <c r="O79" i="16"/>
  <c r="G233" i="16" s="1"/>
  <c r="O184" i="16"/>
  <c r="O185" i="16" s="1"/>
  <c r="S55" i="3"/>
  <c r="J79" i="16"/>
  <c r="S79" i="16"/>
  <c r="I52" i="3"/>
  <c r="R79" i="16"/>
  <c r="H233" i="16" s="1"/>
  <c r="J63" i="3"/>
  <c r="V52" i="3"/>
  <c r="V37" i="16"/>
  <c r="J37" i="16"/>
  <c r="J53" i="3"/>
  <c r="I184" i="16"/>
  <c r="I185" i="16" s="1"/>
  <c r="Y37" i="16"/>
  <c r="R54" i="3"/>
  <c r="I79" i="16"/>
  <c r="E233" i="16" s="1"/>
  <c r="C53" i="3"/>
  <c r="S37" i="16"/>
  <c r="P37" i="16"/>
  <c r="J54" i="3"/>
  <c r="M54" i="3"/>
  <c r="D60" i="3"/>
  <c r="P53" i="3"/>
  <c r="D79" i="16"/>
  <c r="D37" i="16"/>
  <c r="C79" i="16"/>
  <c r="C233" i="16" s="1"/>
  <c r="C184" i="16"/>
  <c r="C185" i="16" s="1"/>
  <c r="AG81" i="5"/>
  <c r="AG82" i="5" s="1"/>
  <c r="P54" i="3"/>
  <c r="J55" i="3"/>
  <c r="AL81" i="5"/>
  <c r="AL82" i="5" s="1"/>
  <c r="C57" i="3"/>
  <c r="O55" i="3"/>
  <c r="V53" i="3"/>
  <c r="D61" i="3"/>
  <c r="R53" i="3"/>
  <c r="S52" i="3"/>
  <c r="I55" i="3"/>
  <c r="F53" i="3"/>
  <c r="O54" i="3"/>
  <c r="U53" i="3"/>
  <c r="M55" i="3"/>
  <c r="M56" i="3"/>
  <c r="I61" i="3"/>
  <c r="F55" i="3"/>
  <c r="G55" i="3"/>
  <c r="C61" i="3"/>
  <c r="Y56" i="3"/>
  <c r="O53" i="3"/>
  <c r="L56" i="3"/>
  <c r="L54" i="3"/>
  <c r="J58" i="3"/>
  <c r="P45" i="3"/>
  <c r="J56" i="3"/>
  <c r="U56" i="3"/>
  <c r="M52" i="3"/>
  <c r="D63" i="3"/>
  <c r="F61" i="3"/>
  <c r="I53" i="3"/>
  <c r="O52" i="3"/>
  <c r="P52" i="3"/>
  <c r="I62" i="3"/>
  <c r="S45" i="3"/>
  <c r="D33" i="3"/>
  <c r="D52" i="3" s="1"/>
  <c r="AE10" i="7"/>
  <c r="D19" i="3"/>
  <c r="D56" i="3" s="1"/>
  <c r="C62" i="3"/>
  <c r="AB81" i="5"/>
  <c r="AB82" i="5" s="1"/>
  <c r="AL94" i="5"/>
  <c r="AL105" i="5" s="1"/>
  <c r="M94" i="5"/>
  <c r="H94" i="5"/>
  <c r="R94" i="5"/>
  <c r="W94" i="5"/>
  <c r="C94" i="5"/>
  <c r="AB94" i="5"/>
  <c r="AG94" i="5"/>
  <c r="Y196" i="16"/>
  <c r="F19" i="3"/>
  <c r="F56" i="3" s="1"/>
  <c r="AC11" i="7"/>
  <c r="Q20" i="4"/>
  <c r="M81" i="5"/>
  <c r="M82" i="5" s="1"/>
  <c r="V196" i="16"/>
  <c r="W81" i="5"/>
  <c r="W82" i="5" s="1"/>
  <c r="P196" i="16"/>
  <c r="J196" i="16"/>
  <c r="G196" i="16"/>
  <c r="R81" i="5"/>
  <c r="R82" i="5" s="1"/>
  <c r="D196" i="16"/>
  <c r="S196" i="16"/>
  <c r="M196" i="16"/>
  <c r="W11" i="7"/>
  <c r="U11" i="7"/>
  <c r="S11" i="7"/>
  <c r="AE6" i="7"/>
  <c r="AD9" i="7"/>
  <c r="Z11" i="7"/>
  <c r="AA11" i="7"/>
  <c r="Y20" i="4"/>
  <c r="P27" i="3" s="1"/>
  <c r="T11" i="7"/>
  <c r="W20" i="4"/>
  <c r="W23" i="4" s="1"/>
  <c r="R36" i="8" s="1"/>
  <c r="R37" i="8" s="1"/>
  <c r="S37" i="8" s="1"/>
  <c r="Y11" i="7"/>
  <c r="C81" i="5"/>
  <c r="C82" i="5" s="1"/>
  <c r="AA20" i="4"/>
  <c r="AA23" i="4" s="1"/>
  <c r="AB88" i="5" s="1"/>
  <c r="R11" i="7"/>
  <c r="Q11" i="7"/>
  <c r="AB11" i="7"/>
  <c r="H81" i="5"/>
  <c r="H82" i="5" s="1"/>
  <c r="AE8" i="7"/>
  <c r="AE7" i="7"/>
  <c r="AE20" i="4"/>
  <c r="AE23" i="4" s="1"/>
  <c r="AL88" i="5" s="1"/>
  <c r="N11" i="7"/>
  <c r="AC20" i="4"/>
  <c r="AC23" i="4" s="1"/>
  <c r="AG88" i="5" s="1"/>
  <c r="X11" i="7"/>
  <c r="U20" i="4"/>
  <c r="J27" i="3" s="1"/>
  <c r="S20" i="4"/>
  <c r="S23" i="4" s="1"/>
  <c r="H88" i="5" s="1"/>
  <c r="AD8" i="7"/>
  <c r="AG22" i="4"/>
  <c r="AD6" i="7"/>
  <c r="AF19" i="4"/>
  <c r="AD7" i="7"/>
  <c r="AE9" i="7"/>
  <c r="P11" i="7"/>
  <c r="M45" i="3"/>
  <c r="M58" i="3"/>
  <c r="V11" i="7"/>
  <c r="AG19" i="4"/>
  <c r="O11" i="7"/>
  <c r="F54" i="3"/>
  <c r="B39" i="8"/>
  <c r="G39" i="8"/>
  <c r="K97" i="7" l="1"/>
  <c r="J97" i="7" s="1"/>
  <c r="B17" i="14" s="1"/>
  <c r="Y35" i="3"/>
  <c r="Y54" i="3" s="1"/>
  <c r="V35" i="3"/>
  <c r="J84" i="11"/>
  <c r="D87" i="11" s="1"/>
  <c r="BJ4" i="4"/>
  <c r="B8" i="14" s="1"/>
  <c r="D36" i="3"/>
  <c r="D55" i="3" s="1"/>
  <c r="G45" i="3"/>
  <c r="D34" i="3"/>
  <c r="D53" i="3" s="1"/>
  <c r="J33" i="3"/>
  <c r="K233" i="16"/>
  <c r="A18" i="16"/>
  <c r="D27" i="3"/>
  <c r="J60" i="11"/>
  <c r="AG105" i="5"/>
  <c r="W105" i="5"/>
  <c r="AB105" i="5"/>
  <c r="C105" i="5"/>
  <c r="H105" i="5"/>
  <c r="R105" i="5"/>
  <c r="M105" i="5"/>
  <c r="Q23" i="4"/>
  <c r="C36" i="8" s="1"/>
  <c r="D36" i="8" s="1"/>
  <c r="Y27" i="3"/>
  <c r="U23" i="4"/>
  <c r="M36" i="8" s="1"/>
  <c r="N36" i="8" s="1"/>
  <c r="Y23" i="4"/>
  <c r="W88" i="5" s="1"/>
  <c r="W91" i="5" s="1"/>
  <c r="M27" i="3"/>
  <c r="S27" i="3"/>
  <c r="AE11" i="7"/>
  <c r="V27" i="3"/>
  <c r="G27" i="3"/>
  <c r="AD11" i="7"/>
  <c r="AG20" i="4"/>
  <c r="AB63" i="5"/>
  <c r="AB58" i="5"/>
  <c r="AB59" i="5" s="1"/>
  <c r="AB54" i="5"/>
  <c r="AB77" i="5"/>
  <c r="AB78" i="5" s="1"/>
  <c r="AB72" i="5"/>
  <c r="AB73" i="5" s="1"/>
  <c r="AB68" i="5"/>
  <c r="AB69" i="5" s="1"/>
  <c r="AG77" i="5"/>
  <c r="AG78" i="5" s="1"/>
  <c r="AG72" i="5"/>
  <c r="AG73" i="5" s="1"/>
  <c r="AG68" i="5"/>
  <c r="AG69" i="5" s="1"/>
  <c r="AG63" i="5"/>
  <c r="AG58" i="5"/>
  <c r="AG59" i="5" s="1"/>
  <c r="AG54" i="5"/>
  <c r="H101" i="5"/>
  <c r="H54" i="5"/>
  <c r="H68" i="5"/>
  <c r="H69" i="5" s="1"/>
  <c r="H58" i="5"/>
  <c r="H59" i="5" s="1"/>
  <c r="H77" i="5"/>
  <c r="H78" i="5" s="1"/>
  <c r="H63" i="5"/>
  <c r="H72" i="5"/>
  <c r="H73" i="5" s="1"/>
  <c r="AL91" i="5"/>
  <c r="AL68" i="5"/>
  <c r="AL69" i="5" s="1"/>
  <c r="AL63" i="5"/>
  <c r="AL58" i="5"/>
  <c r="AL59" i="5" s="1"/>
  <c r="AL54" i="5"/>
  <c r="AL77" i="5"/>
  <c r="AL78" i="5" s="1"/>
  <c r="AL72" i="5"/>
  <c r="AL73" i="5" s="1"/>
  <c r="AG104" i="5"/>
  <c r="AG100" i="5"/>
  <c r="AG101" i="5"/>
  <c r="AG99" i="5"/>
  <c r="AG89" i="5"/>
  <c r="AG102" i="5"/>
  <c r="AG93" i="5"/>
  <c r="H41" i="11" s="1"/>
  <c r="AG90" i="5"/>
  <c r="AG91" i="5"/>
  <c r="AB93" i="5"/>
  <c r="G41" i="11" s="1"/>
  <c r="AL90" i="5"/>
  <c r="AL89" i="5"/>
  <c r="AL101" i="5"/>
  <c r="AL93" i="5"/>
  <c r="I41" i="11" s="1"/>
  <c r="AL102" i="5"/>
  <c r="AL104" i="5"/>
  <c r="AL100" i="5"/>
  <c r="AL99" i="5"/>
  <c r="AB99" i="5"/>
  <c r="AB89" i="5"/>
  <c r="R88" i="5"/>
  <c r="AB100" i="5"/>
  <c r="AB91" i="5"/>
  <c r="AB101" i="5"/>
  <c r="AB104" i="5"/>
  <c r="AB102" i="5"/>
  <c r="AB90" i="5"/>
  <c r="R39" i="8"/>
  <c r="S39" i="8" s="1"/>
  <c r="S36" i="8"/>
  <c r="H36" i="8"/>
  <c r="I36" i="8" s="1"/>
  <c r="H93" i="5"/>
  <c r="C41" i="11" s="1"/>
  <c r="C90" i="11" s="1"/>
  <c r="C83" i="11" s="1"/>
  <c r="H100" i="5"/>
  <c r="H99" i="5"/>
  <c r="H102" i="5"/>
  <c r="H104" i="5"/>
  <c r="H90" i="5"/>
  <c r="H91" i="5"/>
  <c r="H89" i="5"/>
  <c r="Y45" i="3" l="1"/>
  <c r="V54" i="3"/>
  <c r="V45" i="3"/>
  <c r="AB64" i="5"/>
  <c r="AC61" i="5"/>
  <c r="Q99" i="7" s="1"/>
  <c r="AL55" i="5"/>
  <c r="AM53" i="5"/>
  <c r="S98" i="7" s="1"/>
  <c r="H64" i="5"/>
  <c r="I61" i="5"/>
  <c r="M99" i="7" s="1"/>
  <c r="AG64" i="5"/>
  <c r="AH61" i="5"/>
  <c r="R99" i="7" s="1"/>
  <c r="AL64" i="5"/>
  <c r="AM61" i="5"/>
  <c r="S99" i="7" s="1"/>
  <c r="H55" i="5"/>
  <c r="I53" i="5"/>
  <c r="M98" i="7" s="1"/>
  <c r="AB55" i="5"/>
  <c r="AC53" i="5"/>
  <c r="Q98" i="7" s="1"/>
  <c r="AG55" i="5"/>
  <c r="AH53" i="5"/>
  <c r="R98" i="7" s="1"/>
  <c r="B87" i="11"/>
  <c r="C87" i="11"/>
  <c r="BJ3" i="4"/>
  <c r="B9" i="14" s="1"/>
  <c r="D45" i="3"/>
  <c r="J45" i="3"/>
  <c r="J52" i="3"/>
  <c r="C37" i="8"/>
  <c r="D37" i="8" s="1"/>
  <c r="C39" i="8"/>
  <c r="D39" i="8" s="1"/>
  <c r="C88" i="5"/>
  <c r="C58" i="5" s="1"/>
  <c r="C59" i="5" s="1"/>
  <c r="W104" i="5"/>
  <c r="M37" i="8"/>
  <c r="N37" i="8" s="1"/>
  <c r="M39" i="8"/>
  <c r="N39" i="8" s="1"/>
  <c r="W68" i="5"/>
  <c r="W69" i="5" s="1"/>
  <c r="W101" i="5"/>
  <c r="W77" i="5"/>
  <c r="W78" i="5" s="1"/>
  <c r="W89" i="5"/>
  <c r="W63" i="5"/>
  <c r="W93" i="5"/>
  <c r="F41" i="11" s="1"/>
  <c r="W54" i="5"/>
  <c r="W102" i="5"/>
  <c r="W90" i="5"/>
  <c r="W72" i="5"/>
  <c r="W73" i="5" s="1"/>
  <c r="W100" i="5"/>
  <c r="W58" i="5"/>
  <c r="W59" i="5" s="1"/>
  <c r="W99" i="5"/>
  <c r="M88" i="5"/>
  <c r="M101" i="5" s="1"/>
  <c r="AE12" i="7"/>
  <c r="AG23" i="4"/>
  <c r="B75" i="11" s="1"/>
  <c r="R77" i="5"/>
  <c r="R78" i="5" s="1"/>
  <c r="R72" i="5"/>
  <c r="R73" i="5" s="1"/>
  <c r="R54" i="5"/>
  <c r="R68" i="5"/>
  <c r="R69" i="5" s="1"/>
  <c r="R63" i="5"/>
  <c r="R58" i="5"/>
  <c r="R59" i="5" s="1"/>
  <c r="R93" i="5"/>
  <c r="E41" i="11" s="1"/>
  <c r="R100" i="5"/>
  <c r="R89" i="5"/>
  <c r="R104" i="5"/>
  <c r="R90" i="5"/>
  <c r="R99" i="5"/>
  <c r="R102" i="5"/>
  <c r="R101" i="5"/>
  <c r="R91" i="5"/>
  <c r="H39" i="8"/>
  <c r="I39" i="8" s="1"/>
  <c r="H37" i="8"/>
  <c r="I37" i="8" s="1"/>
  <c r="W55" i="5" l="1"/>
  <c r="X53" i="5"/>
  <c r="P98" i="7" s="1"/>
  <c r="R55" i="5"/>
  <c r="S53" i="5"/>
  <c r="O98" i="7" s="1"/>
  <c r="R64" i="5"/>
  <c r="S61" i="5"/>
  <c r="O99" i="7" s="1"/>
  <c r="W64" i="5"/>
  <c r="X61" i="5"/>
  <c r="P99" i="7" s="1"/>
  <c r="B7" i="14"/>
  <c r="B14" i="14"/>
  <c r="C293" i="16"/>
  <c r="B5" i="14" s="1"/>
  <c r="D186" i="3"/>
  <c r="D281" i="16"/>
  <c r="C291" i="16"/>
  <c r="N100" i="13" s="1"/>
  <c r="C280" i="16"/>
  <c r="D280" i="16" s="1"/>
  <c r="D187" i="3"/>
  <c r="B12" i="14" s="1"/>
  <c r="B36" i="10"/>
  <c r="B37" i="10"/>
  <c r="D94" i="10" s="1"/>
  <c r="B54" i="10"/>
  <c r="D114" i="10" s="1"/>
  <c r="D29" i="11" s="1"/>
  <c r="C77" i="5"/>
  <c r="C78" i="5" s="1"/>
  <c r="C90" i="5"/>
  <c r="C100" i="5"/>
  <c r="C68" i="5"/>
  <c r="C69" i="5" s="1"/>
  <c r="C101" i="5"/>
  <c r="C102" i="5"/>
  <c r="C91" i="5"/>
  <c r="C54" i="5"/>
  <c r="C93" i="5"/>
  <c r="B41" i="11" s="1"/>
  <c r="B90" i="11" s="1"/>
  <c r="B83" i="11" s="1"/>
  <c r="C89" i="5"/>
  <c r="C63" i="5"/>
  <c r="C104" i="5"/>
  <c r="C72" i="5"/>
  <c r="C73" i="5" s="1"/>
  <c r="C99" i="5"/>
  <c r="A3" i="4"/>
  <c r="B4" i="14" s="1"/>
  <c r="B56" i="10"/>
  <c r="M91" i="5"/>
  <c r="M89" i="5"/>
  <c r="M68" i="5"/>
  <c r="M69" i="5" s="1"/>
  <c r="M77" i="5"/>
  <c r="M78" i="5" s="1"/>
  <c r="M63" i="5"/>
  <c r="M93" i="5"/>
  <c r="D41" i="11" s="1"/>
  <c r="M100" i="5"/>
  <c r="M54" i="5"/>
  <c r="M58" i="5"/>
  <c r="M59" i="5" s="1"/>
  <c r="M104" i="5"/>
  <c r="M102" i="5"/>
  <c r="M72" i="5"/>
  <c r="M73" i="5" s="1"/>
  <c r="M99" i="5"/>
  <c r="M90" i="5"/>
  <c r="E25" i="11"/>
  <c r="AS6" i="4"/>
  <c r="AS11" i="4" s="1"/>
  <c r="AS12" i="4" s="1"/>
  <c r="C32" i="7"/>
  <c r="D93" i="10" l="1"/>
  <c r="D95" i="10" s="1"/>
  <c r="D25" i="11" s="1"/>
  <c r="D26" i="11" s="1"/>
  <c r="B38" i="10"/>
  <c r="B8" i="10" s="1"/>
  <c r="B70" i="11" s="1"/>
  <c r="K100" i="13"/>
  <c r="L100" i="13"/>
  <c r="M100" i="13"/>
  <c r="G100" i="13"/>
  <c r="H100" i="13"/>
  <c r="J100" i="13"/>
  <c r="I100" i="13"/>
  <c r="M64" i="5"/>
  <c r="N61" i="5"/>
  <c r="N99" i="7" s="1"/>
  <c r="C64" i="5"/>
  <c r="D61" i="5"/>
  <c r="L99" i="7" s="1"/>
  <c r="M55" i="5"/>
  <c r="N53" i="5"/>
  <c r="N98" i="7" s="1"/>
  <c r="C55" i="5"/>
  <c r="D53" i="5"/>
  <c r="L98" i="7" s="1"/>
  <c r="B60" i="1"/>
  <c r="H63" i="1"/>
  <c r="B70" i="1"/>
  <c r="I67" i="1"/>
  <c r="I70" i="1"/>
  <c r="C67" i="1"/>
  <c r="I69" i="1"/>
  <c r="C72" i="1"/>
  <c r="B65" i="1"/>
  <c r="F66" i="1"/>
  <c r="G66" i="1" s="1"/>
  <c r="E69" i="1"/>
  <c r="D69" i="1" s="1"/>
  <c r="E65" i="1"/>
  <c r="D65" i="1" s="1"/>
  <c r="F72" i="1"/>
  <c r="H68" i="1"/>
  <c r="F71" i="1"/>
  <c r="G71" i="1" s="1"/>
  <c r="H69" i="1"/>
  <c r="I66" i="1"/>
  <c r="B71" i="1"/>
  <c r="H72" i="1"/>
  <c r="F68" i="1"/>
  <c r="G68" i="1" s="1"/>
  <c r="B72" i="1"/>
  <c r="F67" i="1"/>
  <c r="G67" i="1" s="1"/>
  <c r="F69" i="1"/>
  <c r="G69" i="1" s="1"/>
  <c r="H65" i="1"/>
  <c r="I71" i="1"/>
  <c r="C64" i="1"/>
  <c r="B67" i="1"/>
  <c r="E66" i="1"/>
  <c r="D66" i="1" s="1"/>
  <c r="F64" i="1"/>
  <c r="G64" i="1" s="1"/>
  <c r="H70" i="1"/>
  <c r="F63" i="1"/>
  <c r="G63" i="1" s="1"/>
  <c r="C63" i="1"/>
  <c r="E71" i="1"/>
  <c r="D71" i="1" s="1"/>
  <c r="F65" i="1"/>
  <c r="G65" i="1" s="1"/>
  <c r="C71" i="1"/>
  <c r="B63" i="1"/>
  <c r="C70" i="1"/>
  <c r="E72" i="1"/>
  <c r="D72" i="1" s="1"/>
  <c r="C69" i="1"/>
  <c r="E67" i="1"/>
  <c r="D67" i="1" s="1"/>
  <c r="H71" i="1"/>
  <c r="H66" i="1"/>
  <c r="C66" i="1"/>
  <c r="E64" i="1"/>
  <c r="D64" i="1" s="1"/>
  <c r="C65" i="1"/>
  <c r="I68" i="1"/>
  <c r="E70" i="1"/>
  <c r="D70" i="1" s="1"/>
  <c r="E63" i="1"/>
  <c r="D63" i="1" s="1"/>
  <c r="I72" i="1"/>
  <c r="H64" i="1"/>
  <c r="I65" i="1"/>
  <c r="H67" i="1"/>
  <c r="E68" i="1"/>
  <c r="D68" i="1" s="1"/>
  <c r="B66" i="1"/>
  <c r="I63" i="1"/>
  <c r="F70" i="1"/>
  <c r="G70" i="1" s="1"/>
  <c r="B64" i="1"/>
  <c r="B69" i="1"/>
  <c r="I64" i="1"/>
  <c r="B68" i="1"/>
  <c r="C68" i="1"/>
  <c r="D90" i="11"/>
  <c r="D83" i="11" s="1"/>
  <c r="J41" i="11"/>
  <c r="K3" i="17" s="1"/>
  <c r="AS10" i="4"/>
  <c r="D189" i="3"/>
  <c r="K99" i="7" l="1"/>
  <c r="J99" i="7" s="1"/>
  <c r="B18" i="14" s="1"/>
  <c r="K98" i="7"/>
  <c r="J98" i="7" s="1"/>
  <c r="B19" i="14" s="1"/>
  <c r="G72" i="1"/>
  <c r="F213" i="16"/>
  <c r="R41" i="5"/>
  <c r="E213" i="16"/>
  <c r="M41" i="5"/>
  <c r="D213" i="16"/>
  <c r="H41" i="5"/>
  <c r="C213" i="16"/>
  <c r="C41" i="5"/>
  <c r="J213" i="16"/>
  <c r="G213" i="16"/>
  <c r="I213" i="16"/>
  <c r="H213" i="16"/>
  <c r="W41" i="5"/>
  <c r="AG41" i="5"/>
  <c r="AL41" i="5"/>
  <c r="AB41" i="5"/>
  <c r="J90" i="11"/>
  <c r="J83" i="11"/>
  <c r="D86" i="11" s="1"/>
  <c r="B59" i="10"/>
  <c r="D116" i="10" s="1"/>
  <c r="B60" i="10"/>
  <c r="B69" i="11" s="1"/>
  <c r="B72" i="11" s="1"/>
  <c r="B58" i="10"/>
  <c r="D115" i="10" s="1"/>
  <c r="D188" i="3"/>
  <c r="D30" i="11"/>
  <c r="E34" i="11" s="1"/>
  <c r="S1" i="4"/>
  <c r="B86" i="11" l="1"/>
  <c r="C86" i="11"/>
  <c r="J85" i="11"/>
  <c r="J86" i="11"/>
  <c r="D94" i="11" s="1"/>
  <c r="D92" i="11" s="1"/>
  <c r="B74" i="10"/>
  <c r="K60" i="11" s="1"/>
  <c r="D117" i="10"/>
  <c r="C295" i="16"/>
  <c r="J230" i="16"/>
  <c r="I230" i="16"/>
  <c r="H230" i="16"/>
  <c r="E230" i="16"/>
  <c r="C230" i="16"/>
  <c r="G230" i="16"/>
  <c r="F230" i="16"/>
  <c r="D230" i="16"/>
  <c r="D38" i="11"/>
  <c r="E35" i="11"/>
  <c r="B37" i="11" s="1"/>
  <c r="B38" i="11" s="1"/>
  <c r="B21" i="14" l="1"/>
  <c r="A24" i="14" s="1" a="1"/>
  <c r="A24" i="14" s="1"/>
  <c r="C74" i="11"/>
  <c r="B76" i="11"/>
  <c r="J87" i="11"/>
  <c r="D95" i="11" s="1"/>
  <c r="B44" i="11"/>
  <c r="J44" i="11" s="1"/>
  <c r="C232" i="16"/>
  <c r="C234" i="16" s="1"/>
  <c r="B63" i="11" s="1"/>
  <c r="E232" i="16"/>
  <c r="E234" i="16" s="1"/>
  <c r="D63" i="11" s="1"/>
  <c r="H232" i="16"/>
  <c r="H234" i="16" s="1"/>
  <c r="G63" i="11" s="1"/>
  <c r="I232" i="16"/>
  <c r="I234" i="16" s="1"/>
  <c r="H63" i="11" s="1"/>
  <c r="J232" i="16"/>
  <c r="J234" i="16" s="1"/>
  <c r="I63" i="11" s="1"/>
  <c r="D232" i="16"/>
  <c r="D234" i="16" s="1"/>
  <c r="C63" i="11" s="1"/>
  <c r="F232" i="16"/>
  <c r="F234" i="16" s="1"/>
  <c r="E63" i="11" s="1"/>
  <c r="G232" i="16"/>
  <c r="G234" i="16" s="1"/>
  <c r="F63" i="11" s="1"/>
  <c r="B223" i="18"/>
  <c r="B214" i="18"/>
  <c r="B220" i="18"/>
  <c r="B221" i="18"/>
  <c r="B222" i="18"/>
  <c r="B219" i="18"/>
  <c r="B211" i="18"/>
  <c r="B213" i="18"/>
  <c r="B212" i="18"/>
  <c r="C94" i="11" l="1"/>
  <c r="C92" i="11" s="1"/>
  <c r="B94" i="11"/>
  <c r="B92" i="11" s="1"/>
  <c r="L136" i="13"/>
  <c r="L156" i="13" s="1"/>
  <c r="M118" i="13"/>
  <c r="K136" i="13"/>
  <c r="K156" i="13" s="1"/>
  <c r="M136" i="13"/>
  <c r="M156" i="13" s="1"/>
  <c r="J136" i="13"/>
  <c r="J156" i="13" s="1"/>
  <c r="L118" i="13"/>
  <c r="I136" i="13"/>
  <c r="I156" i="13" s="1"/>
  <c r="K118" i="13"/>
  <c r="J118" i="13"/>
  <c r="I118" i="13"/>
  <c r="H118" i="13"/>
  <c r="H136" i="13"/>
  <c r="H156" i="13" s="1"/>
  <c r="L88" i="5"/>
  <c r="N88" i="5" s="1"/>
  <c r="N99" i="5" s="1"/>
  <c r="Q88" i="5"/>
  <c r="S88" i="5" s="1"/>
  <c r="S99" i="5" s="1"/>
  <c r="G88" i="5"/>
  <c r="G118" i="13"/>
  <c r="B88" i="5"/>
  <c r="F118" i="13"/>
  <c r="AF88" i="5"/>
  <c r="AH88" i="5" s="1"/>
  <c r="AH99" i="5" s="1"/>
  <c r="AK88" i="5"/>
  <c r="F136" i="13"/>
  <c r="V88" i="5"/>
  <c r="X88" i="5" s="1"/>
  <c r="X99" i="5" s="1"/>
  <c r="G136" i="13"/>
  <c r="G156" i="13" s="1"/>
  <c r="AA88" i="5"/>
  <c r="AC88" i="5" s="1"/>
  <c r="AC99" i="5" s="1"/>
  <c r="B95" i="11"/>
  <c r="B93" i="11" s="1"/>
  <c r="C95" i="11"/>
  <c r="K232" i="16"/>
  <c r="K234" i="16" s="1"/>
  <c r="B225" i="18"/>
  <c r="B216" i="18"/>
  <c r="I139" i="13" l="1"/>
  <c r="L139" i="13"/>
  <c r="J139" i="13"/>
  <c r="M139" i="13"/>
  <c r="K139" i="13"/>
  <c r="H139" i="13"/>
  <c r="F139" i="13"/>
  <c r="N118" i="13"/>
  <c r="O81" i="16"/>
  <c r="V89" i="5"/>
  <c r="X89" i="5" s="1"/>
  <c r="X100" i="5" s="1"/>
  <c r="P101" i="7"/>
  <c r="V99" i="5"/>
  <c r="V90" i="5"/>
  <c r="X90" i="5" s="1"/>
  <c r="X101" i="5" s="1"/>
  <c r="V91" i="5"/>
  <c r="X91" i="5" s="1"/>
  <c r="X102" i="5" s="1"/>
  <c r="N136" i="13"/>
  <c r="F156" i="13"/>
  <c r="N156" i="13" s="1"/>
  <c r="B90" i="5"/>
  <c r="B91" i="5"/>
  <c r="D88" i="5"/>
  <c r="D99" i="5" s="1"/>
  <c r="L101" i="7"/>
  <c r="C81" i="16"/>
  <c r="B99" i="5"/>
  <c r="B89" i="5"/>
  <c r="AM88" i="5"/>
  <c r="AM99" i="5" s="1"/>
  <c r="S101" i="7"/>
  <c r="AK99" i="5"/>
  <c r="AK91" i="5"/>
  <c r="AM91" i="5" s="1"/>
  <c r="AM102" i="5" s="1"/>
  <c r="X81" i="16"/>
  <c r="AK89" i="5"/>
  <c r="AM89" i="5" s="1"/>
  <c r="AM100" i="5" s="1"/>
  <c r="AK90" i="5"/>
  <c r="AM90" i="5" s="1"/>
  <c r="AM101" i="5" s="1"/>
  <c r="G139" i="13"/>
  <c r="AA91" i="5"/>
  <c r="AC91" i="5" s="1"/>
  <c r="AC102" i="5" s="1"/>
  <c r="Q101" i="7"/>
  <c r="AA99" i="5"/>
  <c r="AA89" i="5"/>
  <c r="AC89" i="5" s="1"/>
  <c r="AC100" i="5" s="1"/>
  <c r="R81" i="16"/>
  <c r="AA90" i="5"/>
  <c r="G89" i="5"/>
  <c r="G91" i="5"/>
  <c r="G99" i="5"/>
  <c r="M101" i="7"/>
  <c r="F81" i="16"/>
  <c r="G90" i="5"/>
  <c r="I88" i="5"/>
  <c r="I99" i="5" s="1"/>
  <c r="Q90" i="5"/>
  <c r="S90" i="5" s="1"/>
  <c r="S101" i="5" s="1"/>
  <c r="L81" i="16"/>
  <c r="Q89" i="5"/>
  <c r="S89" i="5" s="1"/>
  <c r="S100" i="5" s="1"/>
  <c r="O101" i="7"/>
  <c r="Q99" i="5"/>
  <c r="Q91" i="5"/>
  <c r="S91" i="5" s="1"/>
  <c r="S102" i="5" s="1"/>
  <c r="J94" i="11"/>
  <c r="J92" i="11" s="1"/>
  <c r="K92" i="11" s="1"/>
  <c r="AF90" i="5"/>
  <c r="AH90" i="5" s="1"/>
  <c r="AH101" i="5" s="1"/>
  <c r="AF89" i="5"/>
  <c r="AH89" i="5" s="1"/>
  <c r="AH100" i="5" s="1"/>
  <c r="AF91" i="5"/>
  <c r="R101" i="7"/>
  <c r="U81" i="16"/>
  <c r="AF99" i="5"/>
  <c r="N101" i="7"/>
  <c r="L91" i="5"/>
  <c r="N91" i="5" s="1"/>
  <c r="N102" i="5" s="1"/>
  <c r="L99" i="5"/>
  <c r="L90" i="5"/>
  <c r="N90" i="5" s="1"/>
  <c r="N101" i="5" s="1"/>
  <c r="I81" i="16"/>
  <c r="L89" i="5"/>
  <c r="J95" i="11"/>
  <c r="J93" i="11" s="1"/>
  <c r="K93" i="11" s="1"/>
  <c r="G93" i="5" l="1"/>
  <c r="C42" i="11" s="1"/>
  <c r="C43" i="11" s="1"/>
  <c r="C48" i="11" s="1"/>
  <c r="C49" i="11" s="1"/>
  <c r="V93" i="5"/>
  <c r="X93" i="5" s="1"/>
  <c r="X104" i="5" s="1"/>
  <c r="AA93" i="5"/>
  <c r="AC93" i="5" s="1"/>
  <c r="AC104" i="5" s="1"/>
  <c r="L93" i="5"/>
  <c r="Q93" i="5"/>
  <c r="AF93" i="5"/>
  <c r="AF104" i="5" s="1"/>
  <c r="AK93" i="5"/>
  <c r="I42" i="11" s="1"/>
  <c r="I43" i="11" s="1"/>
  <c r="I48" i="11" s="1"/>
  <c r="B93" i="5"/>
  <c r="B42" i="11" s="1"/>
  <c r="B43" i="11" s="1"/>
  <c r="N89" i="5"/>
  <c r="N100" i="5" s="1"/>
  <c r="L100" i="5"/>
  <c r="N102" i="7"/>
  <c r="I82" i="16"/>
  <c r="L82" i="16"/>
  <c r="Q100" i="5"/>
  <c r="O102" i="7"/>
  <c r="AC90" i="5"/>
  <c r="AC101" i="5" s="1"/>
  <c r="R83" i="16"/>
  <c r="Q103" i="7"/>
  <c r="AA101" i="5"/>
  <c r="M103" i="7"/>
  <c r="G101" i="5"/>
  <c r="F83" i="16"/>
  <c r="I90" i="5"/>
  <c r="I101" i="5" s="1"/>
  <c r="B102" i="5"/>
  <c r="L104" i="7"/>
  <c r="C84" i="16"/>
  <c r="D91" i="5"/>
  <c r="D102" i="5" s="1"/>
  <c r="P102" i="7"/>
  <c r="V100" i="5"/>
  <c r="O82" i="16"/>
  <c r="N139" i="13"/>
  <c r="AH91" i="5"/>
  <c r="AH102" i="5" s="1"/>
  <c r="R104" i="7"/>
  <c r="AF102" i="5"/>
  <c r="U84" i="16"/>
  <c r="Q101" i="5"/>
  <c r="O103" i="7"/>
  <c r="L83" i="16"/>
  <c r="AA100" i="5"/>
  <c r="R82" i="16"/>
  <c r="Q102" i="7"/>
  <c r="X83" i="16"/>
  <c r="S103" i="7"/>
  <c r="AK101" i="5"/>
  <c r="D90" i="5"/>
  <c r="D101" i="5" s="1"/>
  <c r="L103" i="7"/>
  <c r="B101" i="5"/>
  <c r="C83" i="16"/>
  <c r="X82" i="16"/>
  <c r="AK100" i="5"/>
  <c r="S102" i="7"/>
  <c r="I84" i="16"/>
  <c r="N104" i="7"/>
  <c r="L102" i="5"/>
  <c r="U83" i="16"/>
  <c r="R103" i="7"/>
  <c r="AF101" i="5"/>
  <c r="B100" i="5"/>
  <c r="D89" i="5"/>
  <c r="D100" i="5" s="1"/>
  <c r="L102" i="7"/>
  <c r="C82" i="16"/>
  <c r="R102" i="7"/>
  <c r="U82" i="16"/>
  <c r="AF100" i="5"/>
  <c r="Q102" i="5"/>
  <c r="L84" i="16"/>
  <c r="O104" i="7"/>
  <c r="F84" i="16"/>
  <c r="I91" i="5"/>
  <c r="I102" i="5" s="1"/>
  <c r="M104" i="7"/>
  <c r="G102" i="5"/>
  <c r="Q104" i="7"/>
  <c r="AA102" i="5"/>
  <c r="R84" i="16"/>
  <c r="AK102" i="5"/>
  <c r="S104" i="7"/>
  <c r="X84" i="16"/>
  <c r="O84" i="16"/>
  <c r="P104" i="7"/>
  <c r="V102" i="5"/>
  <c r="L101" i="5"/>
  <c r="N103" i="7"/>
  <c r="I83" i="16"/>
  <c r="I89" i="5"/>
  <c r="I100" i="5" s="1"/>
  <c r="F82" i="16"/>
  <c r="M102" i="7"/>
  <c r="G100" i="5"/>
  <c r="P103" i="7"/>
  <c r="O83" i="16"/>
  <c r="V101" i="5"/>
  <c r="K101" i="7"/>
  <c r="J101" i="7" s="1"/>
  <c r="K95" i="11"/>
  <c r="L95" i="11" s="1"/>
  <c r="K94" i="11"/>
  <c r="L94" i="11" s="1"/>
  <c r="I49" i="11" l="1"/>
  <c r="F42" i="11"/>
  <c r="F43" i="11" s="1"/>
  <c r="F48" i="11" s="1"/>
  <c r="V104" i="5"/>
  <c r="I93" i="5"/>
  <c r="I104" i="5" s="1"/>
  <c r="AA104" i="5"/>
  <c r="AH93" i="5"/>
  <c r="AH104" i="5" s="1"/>
  <c r="G42" i="11"/>
  <c r="G43" i="11" s="1"/>
  <c r="G48" i="11" s="1"/>
  <c r="AK104" i="5"/>
  <c r="AM93" i="5"/>
  <c r="AM104" i="5" s="1"/>
  <c r="B104" i="5"/>
  <c r="G104" i="5"/>
  <c r="D93" i="5"/>
  <c r="D104" i="5" s="1"/>
  <c r="H42" i="11"/>
  <c r="H43" i="11" s="1"/>
  <c r="H48" i="11" s="1"/>
  <c r="S93" i="5"/>
  <c r="S104" i="5" s="1"/>
  <c r="Q104" i="5"/>
  <c r="E42" i="11"/>
  <c r="E43" i="11" s="1"/>
  <c r="E48" i="11" s="1"/>
  <c r="N93" i="5"/>
  <c r="N104" i="5" s="1"/>
  <c r="D42" i="11"/>
  <c r="D43" i="11" s="1"/>
  <c r="D48" i="11" s="1"/>
  <c r="L104" i="5"/>
  <c r="C85" i="16"/>
  <c r="C218" i="16" s="1"/>
  <c r="F85" i="16"/>
  <c r="G82" i="16" s="1"/>
  <c r="U85" i="16"/>
  <c r="V84" i="16" s="1"/>
  <c r="I85" i="16"/>
  <c r="E218" i="16" s="1"/>
  <c r="K103" i="7"/>
  <c r="J103" i="7" s="1"/>
  <c r="O85" i="16"/>
  <c r="L85" i="16"/>
  <c r="K102" i="7"/>
  <c r="J102" i="7" s="1"/>
  <c r="X85" i="16"/>
  <c r="Y84" i="16" s="1"/>
  <c r="K104" i="7"/>
  <c r="J104" i="7" s="1"/>
  <c r="R85" i="16"/>
  <c r="B48" i="11"/>
  <c r="B49" i="11" s="1"/>
  <c r="G49" i="11" l="1"/>
  <c r="H49" i="11"/>
  <c r="E49" i="11"/>
  <c r="D49" i="11"/>
  <c r="F49" i="11"/>
  <c r="J42" i="11"/>
  <c r="AU3" i="17" s="1"/>
  <c r="D83" i="16"/>
  <c r="G85" i="16"/>
  <c r="D82" i="16"/>
  <c r="D81" i="16"/>
  <c r="D84" i="16"/>
  <c r="D85" i="16"/>
  <c r="G83" i="16"/>
  <c r="V82" i="16"/>
  <c r="J82" i="16"/>
  <c r="I218" i="16"/>
  <c r="J84" i="16"/>
  <c r="J85" i="16"/>
  <c r="J81" i="16"/>
  <c r="D218" i="16"/>
  <c r="G81" i="16"/>
  <c r="G84" i="16"/>
  <c r="J83" i="16"/>
  <c r="V85" i="16"/>
  <c r="V81" i="16"/>
  <c r="J106" i="7"/>
  <c r="J217" i="13" s="1"/>
  <c r="V83" i="16"/>
  <c r="S81" i="16"/>
  <c r="H218" i="16"/>
  <c r="S82" i="16"/>
  <c r="S85" i="16"/>
  <c r="S84" i="16"/>
  <c r="S83" i="16"/>
  <c r="M81" i="16"/>
  <c r="M82" i="16"/>
  <c r="M83" i="16"/>
  <c r="M84" i="16"/>
  <c r="F218" i="16"/>
  <c r="M85" i="16"/>
  <c r="Y85" i="16"/>
  <c r="Y83" i="16"/>
  <c r="J218" i="16"/>
  <c r="Y82" i="16"/>
  <c r="Y81" i="16"/>
  <c r="P85" i="16"/>
  <c r="G218" i="16"/>
  <c r="P83" i="16"/>
  <c r="P82" i="16"/>
  <c r="P84" i="16"/>
  <c r="P81" i="16"/>
  <c r="B255" i="18"/>
  <c r="B257" i="18"/>
  <c r="B258" i="18"/>
  <c r="B256" i="18"/>
  <c r="B259" i="18"/>
  <c r="B248" i="18"/>
  <c r="B247" i="18"/>
  <c r="B249" i="18"/>
  <c r="B250" i="18"/>
  <c r="J49" i="11" l="1"/>
  <c r="D50" i="11" s="1"/>
  <c r="D51" i="11" s="1"/>
  <c r="J43" i="11"/>
  <c r="D378" i="13"/>
  <c r="G234" i="13"/>
  <c r="K203" i="13"/>
  <c r="M234" i="13"/>
  <c r="J231" i="13"/>
  <c r="D361" i="13"/>
  <c r="H202" i="13"/>
  <c r="M239" i="13"/>
  <c r="G231" i="13"/>
  <c r="N202" i="13"/>
  <c r="D205" i="13"/>
  <c r="M191" i="13"/>
  <c r="G186" i="13"/>
  <c r="E214" i="13"/>
  <c r="E187" i="13"/>
  <c r="E223" i="13"/>
  <c r="N207" i="13"/>
  <c r="J219" i="13"/>
  <c r="H180" i="13"/>
  <c r="G180" i="13"/>
  <c r="D190" i="13"/>
  <c r="J220" i="13"/>
  <c r="J230" i="13"/>
  <c r="G196" i="13"/>
  <c r="J187" i="13"/>
  <c r="E220" i="13"/>
  <c r="E221" i="13"/>
  <c r="G185" i="13"/>
  <c r="G188" i="13"/>
  <c r="H206" i="13"/>
  <c r="G219" i="13"/>
  <c r="E191" i="13"/>
  <c r="J234" i="13"/>
  <c r="J191" i="13"/>
  <c r="J202" i="13"/>
  <c r="H207" i="13"/>
  <c r="J223" i="13"/>
  <c r="E201" i="13"/>
  <c r="J212" i="13"/>
  <c r="N214" i="13"/>
  <c r="E239" i="13"/>
  <c r="K206" i="13"/>
  <c r="M238" i="13"/>
  <c r="E199" i="13"/>
  <c r="J214" i="13"/>
  <c r="G238" i="13"/>
  <c r="G213" i="13"/>
  <c r="G239" i="13"/>
  <c r="M199" i="13"/>
  <c r="G197" i="13"/>
  <c r="N229" i="13"/>
  <c r="H203" i="13"/>
  <c r="K207" i="13"/>
  <c r="M235" i="13"/>
  <c r="D201" i="13"/>
  <c r="E207" i="13"/>
  <c r="E230" i="13"/>
  <c r="J395" i="13"/>
  <c r="G235" i="13"/>
  <c r="E231" i="13"/>
  <c r="G189" i="13"/>
  <c r="M206" i="13"/>
  <c r="K219" i="13"/>
  <c r="K202" i="13"/>
  <c r="N206" i="13"/>
  <c r="G217" i="13"/>
  <c r="D197" i="13"/>
  <c r="E190" i="13"/>
  <c r="G230" i="13"/>
  <c r="M187" i="13"/>
  <c r="J238" i="13"/>
  <c r="N218" i="13"/>
  <c r="J198" i="13"/>
  <c r="N220" i="13"/>
  <c r="M378" i="13"/>
  <c r="J239" i="13"/>
  <c r="N219" i="13"/>
  <c r="J199" i="13"/>
  <c r="N221" i="13"/>
  <c r="D202" i="13"/>
  <c r="M202" i="13"/>
  <c r="N222" i="13"/>
  <c r="G205" i="13"/>
  <c r="N203" i="13"/>
  <c r="E222" i="13"/>
  <c r="J228" i="13"/>
  <c r="D200" i="13"/>
  <c r="G223" i="13"/>
  <c r="J235" i="13"/>
  <c r="M196" i="13"/>
  <c r="N215" i="13"/>
  <c r="J361" i="13"/>
  <c r="M203" i="13"/>
  <c r="N223" i="13"/>
  <c r="N237" i="13"/>
  <c r="N201" i="13"/>
  <c r="K205" i="13"/>
  <c r="D191" i="13"/>
  <c r="M233" i="13"/>
  <c r="J222" i="13"/>
  <c r="G222" i="13"/>
  <c r="D186" i="13"/>
  <c r="E189" i="13"/>
  <c r="E203" i="13"/>
  <c r="E217" i="13"/>
  <c r="J233" i="13"/>
  <c r="G233" i="13"/>
  <c r="M190" i="13"/>
  <c r="J190" i="13"/>
  <c r="N213" i="13"/>
  <c r="E219" i="13"/>
  <c r="E218" i="13"/>
  <c r="M189" i="13"/>
  <c r="M201" i="13"/>
  <c r="J201" i="13"/>
  <c r="E229" i="13"/>
  <c r="K215" i="13"/>
  <c r="J204" i="13"/>
  <c r="J378" i="13"/>
  <c r="H204" i="13"/>
  <c r="N204" i="13"/>
  <c r="D187" i="13"/>
  <c r="E236" i="13"/>
  <c r="M236" i="13"/>
  <c r="J229" i="13"/>
  <c r="D207" i="13"/>
  <c r="D203" i="13"/>
  <c r="M182" i="13"/>
  <c r="G228" i="13"/>
  <c r="E233" i="13"/>
  <c r="J236" i="13"/>
  <c r="G183" i="13"/>
  <c r="M197" i="13"/>
  <c r="G236" i="13"/>
  <c r="N216" i="13"/>
  <c r="E238" i="13"/>
  <c r="G187" i="13"/>
  <c r="G190" i="13"/>
  <c r="M204" i="13"/>
  <c r="K212" i="13"/>
  <c r="G212" i="13"/>
  <c r="J205" i="13"/>
  <c r="J182" i="13"/>
  <c r="K201" i="13"/>
  <c r="H205" i="13"/>
  <c r="N205" i="13"/>
  <c r="J218" i="13"/>
  <c r="G214" i="13"/>
  <c r="M237" i="13"/>
  <c r="G395" i="13"/>
  <c r="E183" i="13"/>
  <c r="E184" i="13"/>
  <c r="M184" i="13"/>
  <c r="G229" i="13"/>
  <c r="E237" i="13"/>
  <c r="J237" i="13"/>
  <c r="G184" i="13"/>
  <c r="M198" i="13"/>
  <c r="G237" i="13"/>
  <c r="N217" i="13"/>
  <c r="J215" i="13"/>
  <c r="J197" i="13"/>
  <c r="G191" i="13"/>
  <c r="G198" i="13"/>
  <c r="E235" i="13"/>
  <c r="N230" i="13"/>
  <c r="E180" i="13"/>
  <c r="N200" i="13"/>
  <c r="K204" i="13"/>
  <c r="D185" i="13"/>
  <c r="M232" i="13"/>
  <c r="J221" i="13"/>
  <c r="G221" i="13"/>
  <c r="D182" i="13"/>
  <c r="E182" i="13"/>
  <c r="E200" i="13"/>
  <c r="E212" i="13"/>
  <c r="J232" i="13"/>
  <c r="G232" i="13"/>
  <c r="G361" i="13"/>
  <c r="J189" i="13"/>
  <c r="N212" i="13"/>
  <c r="E215" i="13"/>
  <c r="E213" i="13"/>
  <c r="J344" i="13"/>
  <c r="M200" i="13"/>
  <c r="J200" i="13"/>
  <c r="J203" i="13"/>
  <c r="K214" i="13"/>
  <c r="G216" i="13"/>
  <c r="K223" i="13"/>
  <c r="K217" i="13"/>
  <c r="G200" i="13"/>
  <c r="D206" i="13"/>
  <c r="H215" i="13"/>
  <c r="N231" i="13"/>
  <c r="D184" i="13"/>
  <c r="G218" i="13"/>
  <c r="G181" i="13"/>
  <c r="G202" i="13"/>
  <c r="N233" i="13"/>
  <c r="M180" i="13"/>
  <c r="J207" i="13"/>
  <c r="K221" i="13"/>
  <c r="E181" i="13"/>
  <c r="M205" i="13"/>
  <c r="K213" i="13"/>
  <c r="K216" i="13"/>
  <c r="D344" i="13"/>
  <c r="G203" i="13"/>
  <c r="H213" i="13"/>
  <c r="M183" i="13"/>
  <c r="J188" i="13"/>
  <c r="G199" i="13"/>
  <c r="D189" i="13"/>
  <c r="K220" i="13"/>
  <c r="G378" i="13"/>
  <c r="D215" i="13"/>
  <c r="H221" i="13"/>
  <c r="G215" i="13"/>
  <c r="M207" i="13"/>
  <c r="D196" i="13"/>
  <c r="G220" i="13"/>
  <c r="E205" i="13"/>
  <c r="D216" i="13"/>
  <c r="D235" i="13"/>
  <c r="K229" i="13"/>
  <c r="E206" i="13"/>
  <c r="M185" i="13"/>
  <c r="N180" i="13"/>
  <c r="M186" i="13"/>
  <c r="D180" i="13"/>
  <c r="D183" i="13"/>
  <c r="G206" i="13"/>
  <c r="H212" i="13"/>
  <c r="N238" i="13"/>
  <c r="D188" i="13"/>
  <c r="E198" i="13"/>
  <c r="K183" i="13"/>
  <c r="G182" i="13"/>
  <c r="G201" i="13"/>
  <c r="D198" i="13"/>
  <c r="E186" i="13"/>
  <c r="K222" i="13"/>
  <c r="H216" i="13"/>
  <c r="H183" i="13"/>
  <c r="H219" i="13"/>
  <c r="H185" i="13"/>
  <c r="E232" i="13"/>
  <c r="N228" i="13"/>
  <c r="K218" i="13"/>
  <c r="J196" i="13"/>
  <c r="J206" i="13"/>
  <c r="G204" i="13"/>
  <c r="N232" i="13"/>
  <c r="N235" i="13"/>
  <c r="K231" i="13"/>
  <c r="D199" i="13"/>
  <c r="K233" i="13"/>
  <c r="K186" i="13"/>
  <c r="N236" i="13"/>
  <c r="K230" i="13"/>
  <c r="G207" i="13"/>
  <c r="D204" i="13"/>
  <c r="K180" i="13"/>
  <c r="K236" i="13"/>
  <c r="H188" i="13"/>
  <c r="H214" i="13"/>
  <c r="N239" i="13"/>
  <c r="D181" i="13"/>
  <c r="J183" i="13"/>
  <c r="B321" i="18" s="1"/>
  <c r="M188" i="13"/>
  <c r="D219" i="13"/>
  <c r="D221" i="13"/>
  <c r="E185" i="13"/>
  <c r="N234" i="13"/>
  <c r="K228" i="13"/>
  <c r="H217" i="13"/>
  <c r="E204" i="13"/>
  <c r="M181" i="13"/>
  <c r="K232" i="13"/>
  <c r="H229" i="13"/>
  <c r="D223" i="13"/>
  <c r="H233" i="13"/>
  <c r="M231" i="13"/>
  <c r="K239" i="13"/>
  <c r="N185" i="13"/>
  <c r="M215" i="13"/>
  <c r="K187" i="13"/>
  <c r="K189" i="13"/>
  <c r="H181" i="13"/>
  <c r="J185" i="13"/>
  <c r="H218" i="13"/>
  <c r="H222" i="13"/>
  <c r="H182" i="13"/>
  <c r="N187" i="13"/>
  <c r="N188" i="13"/>
  <c r="N191" i="13"/>
  <c r="J181" i="13"/>
  <c r="E188" i="13"/>
  <c r="D213" i="13"/>
  <c r="K238" i="13"/>
  <c r="N182" i="13"/>
  <c r="H232" i="13"/>
  <c r="K198" i="13"/>
  <c r="D214" i="13"/>
  <c r="D217" i="13"/>
  <c r="E197" i="13"/>
  <c r="K184" i="13"/>
  <c r="D220" i="13"/>
  <c r="D229" i="13"/>
  <c r="N197" i="13"/>
  <c r="H220" i="13"/>
  <c r="H223" i="13"/>
  <c r="E202" i="13"/>
  <c r="N183" i="13"/>
  <c r="H230" i="13"/>
  <c r="M217" i="13"/>
  <c r="M220" i="13"/>
  <c r="D212" i="13"/>
  <c r="K234" i="13"/>
  <c r="K237" i="13"/>
  <c r="K181" i="13"/>
  <c r="H187" i="13"/>
  <c r="M212" i="13"/>
  <c r="M218" i="13"/>
  <c r="M222" i="13"/>
  <c r="M214" i="13"/>
  <c r="B275" i="18" s="1"/>
  <c r="H235" i="13"/>
  <c r="H190" i="13"/>
  <c r="H198" i="13"/>
  <c r="D233" i="13"/>
  <c r="M344" i="13"/>
  <c r="D231" i="13"/>
  <c r="K190" i="13"/>
  <c r="H200" i="13"/>
  <c r="E228" i="13"/>
  <c r="G344" i="13"/>
  <c r="K182" i="13"/>
  <c r="H186" i="13"/>
  <c r="N186" i="13"/>
  <c r="H231" i="13"/>
  <c r="D228" i="13"/>
  <c r="H237" i="13"/>
  <c r="K191" i="13"/>
  <c r="N198" i="13"/>
  <c r="D237" i="13"/>
  <c r="D218" i="13"/>
  <c r="J180" i="13"/>
  <c r="N181" i="13"/>
  <c r="K185" i="13"/>
  <c r="H189" i="13"/>
  <c r="M213" i="13"/>
  <c r="H234" i="13"/>
  <c r="M361" i="13"/>
  <c r="N190" i="13"/>
  <c r="N199" i="13"/>
  <c r="J213" i="13"/>
  <c r="K235" i="13"/>
  <c r="H228" i="13"/>
  <c r="J184" i="13"/>
  <c r="H184" i="13"/>
  <c r="N184" i="13"/>
  <c r="K188" i="13"/>
  <c r="D222" i="13"/>
  <c r="M216" i="13"/>
  <c r="D395" i="13"/>
  <c r="K196" i="13"/>
  <c r="D232" i="13"/>
  <c r="B295" i="18" s="1"/>
  <c r="J216" i="13"/>
  <c r="M219" i="13"/>
  <c r="H191" i="13"/>
  <c r="H199" i="13"/>
  <c r="H238" i="13"/>
  <c r="M223" i="13"/>
  <c r="M395" i="13"/>
  <c r="H239" i="13"/>
  <c r="M229" i="13"/>
  <c r="D230" i="13"/>
  <c r="E196" i="13"/>
  <c r="H197" i="13"/>
  <c r="K199" i="13"/>
  <c r="E216" i="13"/>
  <c r="D238" i="13"/>
  <c r="D236" i="13"/>
  <c r="M230" i="13"/>
  <c r="N189" i="13"/>
  <c r="K197" i="13"/>
  <c r="H201" i="13"/>
  <c r="M221" i="13"/>
  <c r="E234" i="13"/>
  <c r="D239" i="13"/>
  <c r="H236" i="13"/>
  <c r="J186" i="13"/>
  <c r="H196" i="13"/>
  <c r="N196" i="13"/>
  <c r="K200" i="13"/>
  <c r="D234" i="13"/>
  <c r="M228" i="13"/>
  <c r="K218" i="16"/>
  <c r="B261" i="18"/>
  <c r="B252" i="18"/>
  <c r="H50" i="11" l="1"/>
  <c r="H51" i="11" s="1"/>
  <c r="C50" i="11"/>
  <c r="C51" i="11" s="1"/>
  <c r="B50" i="11"/>
  <c r="B51" i="11" s="1"/>
  <c r="B240" i="18"/>
  <c r="B232" i="18"/>
  <c r="B237" i="18"/>
  <c r="B239" i="18"/>
  <c r="B231" i="18"/>
  <c r="B230" i="18"/>
  <c r="B229" i="18"/>
  <c r="B238" i="18"/>
  <c r="B241" i="18"/>
  <c r="J48" i="11"/>
  <c r="I50" i="11"/>
  <c r="I51" i="11" s="1"/>
  <c r="G50" i="11"/>
  <c r="G51" i="11" s="1"/>
  <c r="F50" i="11"/>
  <c r="F51" i="11" s="1"/>
  <c r="E50" i="11"/>
  <c r="E51" i="11" s="1"/>
  <c r="A390" i="27" a="1"/>
  <c r="G24" i="27" s="1"/>
  <c r="A373" i="27" a="1"/>
  <c r="F24" i="27" s="1"/>
  <c r="A342" i="27" a="1"/>
  <c r="G23" i="27" s="1"/>
  <c r="A325" i="27" a="1"/>
  <c r="F23" i="27" s="1"/>
  <c r="A294" i="27" a="1"/>
  <c r="G22" i="27" s="1"/>
  <c r="A277" i="27" a="1"/>
  <c r="F22" i="27" s="1"/>
  <c r="A246" i="27" a="1"/>
  <c r="G21" i="27" s="1"/>
  <c r="A229" i="27" a="1"/>
  <c r="F21" i="27" s="1"/>
  <c r="A198" i="27" a="1"/>
  <c r="G20" i="27" s="1"/>
  <c r="A181" i="27" a="1"/>
  <c r="F20" i="27" s="1"/>
  <c r="A150" i="27" a="1"/>
  <c r="G19" i="27" s="1"/>
  <c r="A133" i="27" a="1"/>
  <c r="F19" i="27" s="1"/>
  <c r="A102" i="27" a="1"/>
  <c r="G18" i="27" s="1"/>
  <c r="A85" i="27" a="1"/>
  <c r="F18" i="27" s="1"/>
  <c r="A54" i="27" a="1"/>
  <c r="G17" i="27" s="1"/>
  <c r="A37" i="27" a="1"/>
  <c r="F17" i="27" s="1"/>
  <c r="B294" i="18"/>
  <c r="B277" i="18"/>
  <c r="B293" i="18"/>
  <c r="B345" i="18"/>
  <c r="B283" i="18"/>
  <c r="B348" i="18"/>
  <c r="B276" i="18"/>
  <c r="B292" i="18"/>
  <c r="B322" i="18"/>
  <c r="B274" i="18"/>
  <c r="B285" i="18"/>
  <c r="B273" i="18"/>
  <c r="B347" i="18"/>
  <c r="B319" i="18"/>
  <c r="B313" i="18"/>
  <c r="B349" i="18"/>
  <c r="B302" i="18"/>
  <c r="B301" i="18"/>
  <c r="B320" i="18"/>
  <c r="B329" i="18"/>
  <c r="B284" i="18"/>
  <c r="B327" i="18"/>
  <c r="B291" i="18"/>
  <c r="B286" i="18"/>
  <c r="B304" i="18"/>
  <c r="B328" i="18"/>
  <c r="B311" i="18"/>
  <c r="B330" i="18"/>
  <c r="B265" i="18"/>
  <c r="B337" i="18"/>
  <c r="B339" i="18"/>
  <c r="B267" i="18"/>
  <c r="B303" i="18"/>
  <c r="B346" i="18"/>
  <c r="B331" i="18"/>
  <c r="B310" i="18"/>
  <c r="B340" i="18"/>
  <c r="B268" i="18"/>
  <c r="B309" i="18"/>
  <c r="B312" i="18"/>
  <c r="B338" i="18"/>
  <c r="B266" i="18"/>
  <c r="N224" i="13"/>
  <c r="J240" i="13"/>
  <c r="J208" i="13"/>
  <c r="M208" i="13"/>
  <c r="G224" i="13"/>
  <c r="N240" i="13"/>
  <c r="M192" i="13"/>
  <c r="G240" i="13"/>
  <c r="D208" i="13"/>
  <c r="K224" i="13"/>
  <c r="E224" i="13"/>
  <c r="E192" i="13"/>
  <c r="D192" i="13"/>
  <c r="G192" i="13"/>
  <c r="G208" i="13"/>
  <c r="C192" i="13"/>
  <c r="F224" i="13"/>
  <c r="I224" i="13"/>
  <c r="F192" i="13"/>
  <c r="H224" i="13"/>
  <c r="K240" i="13"/>
  <c r="I240" i="13"/>
  <c r="D224" i="13"/>
  <c r="J224" i="13"/>
  <c r="H192" i="13"/>
  <c r="K192" i="13"/>
  <c r="E240" i="13"/>
  <c r="C224" i="13"/>
  <c r="C208" i="13"/>
  <c r="E208" i="13"/>
  <c r="M224" i="13"/>
  <c r="L224" i="13"/>
  <c r="C240" i="13"/>
  <c r="D240" i="13"/>
  <c r="N192" i="13"/>
  <c r="L192" i="13"/>
  <c r="L208" i="13"/>
  <c r="N208" i="13"/>
  <c r="F208" i="13"/>
  <c r="K208" i="13"/>
  <c r="I208" i="13"/>
  <c r="I192" i="13"/>
  <c r="J192" i="13"/>
  <c r="H240" i="13"/>
  <c r="F240" i="13"/>
  <c r="L240" i="13"/>
  <c r="M240" i="13"/>
  <c r="H208" i="13"/>
  <c r="I53" i="11" l="1"/>
  <c r="C53" i="11"/>
  <c r="H53" i="11"/>
  <c r="D53" i="11"/>
  <c r="B234" i="18"/>
  <c r="B243" i="18"/>
  <c r="J51" i="11"/>
  <c r="J50" i="11" s="1"/>
  <c r="E53" i="11"/>
  <c r="F53" i="11"/>
  <c r="G53" i="11"/>
  <c r="G25" i="27"/>
  <c r="A373" i="27"/>
  <c r="A390" i="27"/>
  <c r="A325" i="27"/>
  <c r="A342" i="27"/>
  <c r="A277" i="27"/>
  <c r="A294" i="27"/>
  <c r="A246" i="27"/>
  <c r="A229" i="27"/>
  <c r="A181" i="27"/>
  <c r="A198" i="27"/>
  <c r="A133" i="27"/>
  <c r="A150" i="27"/>
  <c r="A85" i="27"/>
  <c r="A102" i="27"/>
  <c r="G395" i="27"/>
  <c r="G400" i="27"/>
  <c r="G392" i="27"/>
  <c r="G397" i="27"/>
  <c r="G402" i="27"/>
  <c r="G394" i="27"/>
  <c r="G399" i="27"/>
  <c r="G391" i="27"/>
  <c r="G396" i="27"/>
  <c r="G401" i="27"/>
  <c r="G393" i="27"/>
  <c r="G398" i="27"/>
  <c r="G382" i="27"/>
  <c r="G374" i="27"/>
  <c r="G379" i="27"/>
  <c r="G384" i="27"/>
  <c r="G376" i="27"/>
  <c r="G375" i="27"/>
  <c r="G381" i="27"/>
  <c r="G383" i="27"/>
  <c r="G378" i="27"/>
  <c r="G380" i="27"/>
  <c r="G385" i="27"/>
  <c r="G377" i="27"/>
  <c r="B366" i="27"/>
  <c r="H366" i="27" s="1"/>
  <c r="G334" i="27"/>
  <c r="G326" i="27"/>
  <c r="G331" i="27"/>
  <c r="B318" i="27"/>
  <c r="H318" i="27" s="1"/>
  <c r="G336" i="27"/>
  <c r="G328" i="27"/>
  <c r="G330" i="27"/>
  <c r="G335" i="27"/>
  <c r="G327" i="27"/>
  <c r="G333" i="27"/>
  <c r="G332" i="27"/>
  <c r="G337" i="27"/>
  <c r="G329" i="27"/>
  <c r="G347" i="27"/>
  <c r="G352" i="27"/>
  <c r="G344" i="27"/>
  <c r="G349" i="27"/>
  <c r="G348" i="27"/>
  <c r="G354" i="27"/>
  <c r="G346" i="27"/>
  <c r="G351" i="27"/>
  <c r="G343" i="27"/>
  <c r="G353" i="27"/>
  <c r="G345" i="27"/>
  <c r="G350" i="27"/>
  <c r="G286" i="27"/>
  <c r="G278" i="27"/>
  <c r="B270" i="27"/>
  <c r="H270" i="27" s="1"/>
  <c r="G288" i="27"/>
  <c r="G280" i="27"/>
  <c r="G282" i="27"/>
  <c r="G287" i="27"/>
  <c r="G279" i="27"/>
  <c r="G285" i="27"/>
  <c r="G284" i="27"/>
  <c r="G289" i="27"/>
  <c r="G281" i="27"/>
  <c r="G283" i="27"/>
  <c r="G299" i="27"/>
  <c r="G296" i="27"/>
  <c r="G301" i="27"/>
  <c r="G303" i="27"/>
  <c r="G295" i="27"/>
  <c r="G300" i="27"/>
  <c r="G306" i="27"/>
  <c r="G298" i="27"/>
  <c r="G305" i="27"/>
  <c r="G297" i="27"/>
  <c r="G302" i="27"/>
  <c r="G304" i="27"/>
  <c r="G235" i="27"/>
  <c r="B222" i="27"/>
  <c r="H222" i="27" s="1"/>
  <c r="G240" i="27"/>
  <c r="G232" i="27"/>
  <c r="G239" i="27"/>
  <c r="G237" i="27"/>
  <c r="G234" i="27"/>
  <c r="G236" i="27"/>
  <c r="G241" i="27"/>
  <c r="G233" i="27"/>
  <c r="G238" i="27"/>
  <c r="G230" i="27"/>
  <c r="G231" i="27"/>
  <c r="G251" i="27"/>
  <c r="G256" i="27"/>
  <c r="G248" i="27"/>
  <c r="G253" i="27"/>
  <c r="G252" i="27"/>
  <c r="G258" i="27"/>
  <c r="G250" i="27"/>
  <c r="G255" i="27"/>
  <c r="G247" i="27"/>
  <c r="G257" i="27"/>
  <c r="G249" i="27"/>
  <c r="G254" i="27"/>
  <c r="G193" i="27"/>
  <c r="G185" i="27"/>
  <c r="G190" i="27"/>
  <c r="G182" i="27"/>
  <c r="G187" i="27"/>
  <c r="B174" i="27"/>
  <c r="H174" i="27" s="1"/>
  <c r="G192" i="27"/>
  <c r="G184" i="27"/>
  <c r="G183" i="27"/>
  <c r="G189" i="27"/>
  <c r="G186" i="27"/>
  <c r="G188" i="27"/>
  <c r="G191" i="27"/>
  <c r="G206" i="27"/>
  <c r="G203" i="27"/>
  <c r="G208" i="27"/>
  <c r="G200" i="27"/>
  <c r="G205" i="27"/>
  <c r="G204" i="27"/>
  <c r="G210" i="27"/>
  <c r="G202" i="27"/>
  <c r="G207" i="27"/>
  <c r="G199" i="27"/>
  <c r="G209" i="27"/>
  <c r="G201" i="27"/>
  <c r="G145" i="27"/>
  <c r="G137" i="27"/>
  <c r="G140" i="27"/>
  <c r="G142" i="27"/>
  <c r="G134" i="27"/>
  <c r="G139" i="27"/>
  <c r="B126" i="27"/>
  <c r="H126" i="27" s="1"/>
  <c r="G138" i="27"/>
  <c r="G144" i="27"/>
  <c r="G136" i="27"/>
  <c r="G141" i="27"/>
  <c r="G143" i="27"/>
  <c r="G135" i="27"/>
  <c r="G158" i="27"/>
  <c r="G155" i="27"/>
  <c r="G160" i="27"/>
  <c r="G152" i="27"/>
  <c r="G157" i="27"/>
  <c r="G161" i="27"/>
  <c r="G153" i="27"/>
  <c r="G162" i="27"/>
  <c r="G154" i="27"/>
  <c r="G159" i="27"/>
  <c r="G151" i="27"/>
  <c r="G156" i="27"/>
  <c r="G94" i="27"/>
  <c r="G86" i="27"/>
  <c r="G90" i="27"/>
  <c r="G91" i="27"/>
  <c r="B78" i="27"/>
  <c r="H78" i="27" s="1"/>
  <c r="G95" i="27"/>
  <c r="G87" i="27"/>
  <c r="G96" i="27"/>
  <c r="G88" i="27"/>
  <c r="G93" i="27"/>
  <c r="G92" i="27"/>
  <c r="G97" i="27"/>
  <c r="G89" i="27"/>
  <c r="G107" i="27"/>
  <c r="G112" i="27"/>
  <c r="G104" i="27"/>
  <c r="G111" i="27"/>
  <c r="G108" i="27"/>
  <c r="G109" i="27"/>
  <c r="G114" i="27"/>
  <c r="G106" i="27"/>
  <c r="G113" i="27"/>
  <c r="G105" i="27"/>
  <c r="G110" i="27"/>
  <c r="G103" i="27"/>
  <c r="G46" i="27"/>
  <c r="G38" i="27"/>
  <c r="G41" i="27"/>
  <c r="G43" i="27"/>
  <c r="B30" i="27"/>
  <c r="H30" i="27" s="1"/>
  <c r="G48" i="27"/>
  <c r="G40" i="27"/>
  <c r="G44" i="27"/>
  <c r="G45" i="27"/>
  <c r="G42" i="27"/>
  <c r="A37" i="27"/>
  <c r="G47" i="27"/>
  <c r="G39" i="27"/>
  <c r="G49" i="27"/>
  <c r="G59" i="27"/>
  <c r="A54" i="27"/>
  <c r="G57" i="27"/>
  <c r="G64" i="27"/>
  <c r="G56" i="27"/>
  <c r="G61" i="27"/>
  <c r="G65" i="27"/>
  <c r="G66" i="27"/>
  <c r="G58" i="27"/>
  <c r="G63" i="27"/>
  <c r="G55" i="27"/>
  <c r="G60" i="27"/>
  <c r="G62" i="27"/>
  <c r="B333" i="18"/>
  <c r="B297" i="18"/>
  <c r="B315" i="18"/>
  <c r="B342" i="18"/>
  <c r="B324" i="18"/>
  <c r="B270" i="18"/>
  <c r="B288" i="18"/>
  <c r="B279" i="18"/>
  <c r="B351" i="18"/>
  <c r="B306" i="18"/>
  <c r="X185" i="16"/>
  <c r="J53" i="11" l="1"/>
  <c r="C54" i="11" s="1"/>
  <c r="C57" i="11" s="1"/>
  <c r="F25" i="27"/>
  <c r="E54" i="11" l="1"/>
  <c r="E55" i="11" s="1"/>
  <c r="D54" i="11"/>
  <c r="D55" i="11" s="1"/>
  <c r="G54" i="11"/>
  <c r="F54" i="11"/>
  <c r="I54" i="11"/>
  <c r="H54" i="11"/>
  <c r="B54" i="11"/>
  <c r="B55" i="11" s="1"/>
  <c r="C58" i="11"/>
  <c r="G119" i="13"/>
  <c r="G120" i="13" s="1"/>
  <c r="D249" i="16"/>
  <c r="F87" i="16"/>
  <c r="F92" i="16" s="1"/>
  <c r="C55" i="11"/>
  <c r="E57" i="11" l="1"/>
  <c r="L87" i="16" s="1"/>
  <c r="D57" i="11"/>
  <c r="D58" i="11" s="1"/>
  <c r="H55" i="11"/>
  <c r="H57" i="11"/>
  <c r="I55" i="11"/>
  <c r="I57" i="11"/>
  <c r="F55" i="11"/>
  <c r="F57" i="11"/>
  <c r="H119" i="13"/>
  <c r="I119" i="13"/>
  <c r="G55" i="11"/>
  <c r="G57" i="11"/>
  <c r="B57" i="11"/>
  <c r="F119" i="13" s="1"/>
  <c r="F126" i="13" s="1"/>
  <c r="J54" i="11"/>
  <c r="J55" i="11" s="1"/>
  <c r="D245" i="16"/>
  <c r="G140" i="13"/>
  <c r="G141" i="13" s="1"/>
  <c r="G126" i="13"/>
  <c r="G203" i="16"/>
  <c r="G124" i="13"/>
  <c r="G145" i="13" s="1"/>
  <c r="G125" i="13"/>
  <c r="G130" i="13" s="1"/>
  <c r="G151" i="13" s="1"/>
  <c r="F89" i="16"/>
  <c r="F112" i="16" s="1"/>
  <c r="F152" i="16" s="1"/>
  <c r="G259" i="13" s="1"/>
  <c r="G336" i="13" s="1"/>
  <c r="E185" i="16"/>
  <c r="G185" i="16" s="1"/>
  <c r="D209" i="16"/>
  <c r="C93" i="11" s="1"/>
  <c r="E58" i="11" l="1"/>
  <c r="I87" i="16"/>
  <c r="H185" i="16" s="1"/>
  <c r="J185" i="16" s="1"/>
  <c r="F249" i="16"/>
  <c r="E249" i="16"/>
  <c r="G58" i="11"/>
  <c r="H249" i="16"/>
  <c r="K119" i="13"/>
  <c r="R87" i="16"/>
  <c r="H124" i="13"/>
  <c r="H140" i="13"/>
  <c r="H141" i="13" s="1"/>
  <c r="H125" i="13"/>
  <c r="E245" i="16"/>
  <c r="H120" i="13"/>
  <c r="H126" i="13"/>
  <c r="J203" i="16"/>
  <c r="F58" i="11"/>
  <c r="G249" i="16"/>
  <c r="J119" i="13"/>
  <c r="O87" i="16"/>
  <c r="L92" i="16"/>
  <c r="F209" i="16" s="1"/>
  <c r="M197" i="16" s="1"/>
  <c r="L89" i="16"/>
  <c r="K185" i="16"/>
  <c r="M185" i="16" s="1"/>
  <c r="I124" i="13"/>
  <c r="F245" i="16"/>
  <c r="I126" i="13"/>
  <c r="I140" i="13"/>
  <c r="I141" i="13" s="1"/>
  <c r="I120" i="13"/>
  <c r="M203" i="16"/>
  <c r="I125" i="13"/>
  <c r="I58" i="11"/>
  <c r="X87" i="16"/>
  <c r="J249" i="16"/>
  <c r="M119" i="13"/>
  <c r="H58" i="11"/>
  <c r="U87" i="16"/>
  <c r="L119" i="13"/>
  <c r="I249" i="16"/>
  <c r="F131" i="16"/>
  <c r="F171" i="16" s="1"/>
  <c r="G293" i="13" s="1"/>
  <c r="G370" i="13" s="1"/>
  <c r="F120" i="13"/>
  <c r="F125" i="13"/>
  <c r="F130" i="13" s="1"/>
  <c r="F151" i="13" s="1"/>
  <c r="F124" i="13"/>
  <c r="F145" i="13" s="1"/>
  <c r="F140" i="13"/>
  <c r="F141" i="13" s="1"/>
  <c r="D203" i="16"/>
  <c r="C245" i="16"/>
  <c r="B58" i="11"/>
  <c r="C249" i="16"/>
  <c r="J57" i="11"/>
  <c r="C87" i="16"/>
  <c r="H61" i="11"/>
  <c r="I61" i="11"/>
  <c r="G61" i="11"/>
  <c r="F61" i="11"/>
  <c r="G250" i="16" s="1"/>
  <c r="E61" i="11"/>
  <c r="F250" i="16" s="1"/>
  <c r="D93" i="11"/>
  <c r="F115" i="16"/>
  <c r="F155" i="16" s="1"/>
  <c r="G262" i="13" s="1"/>
  <c r="G339" i="13" s="1"/>
  <c r="G108" i="16"/>
  <c r="G148" i="16" s="1"/>
  <c r="H255" i="13" s="1"/>
  <c r="H332" i="13" s="1"/>
  <c r="G133" i="16"/>
  <c r="G173" i="16" s="1"/>
  <c r="H295" i="13" s="1"/>
  <c r="H372" i="13" s="1"/>
  <c r="G116" i="16"/>
  <c r="G156" i="16" s="1"/>
  <c r="H263" i="13" s="1"/>
  <c r="H340" i="13" s="1"/>
  <c r="F110" i="16"/>
  <c r="F150" i="16" s="1"/>
  <c r="G257" i="13" s="1"/>
  <c r="G334" i="13" s="1"/>
  <c r="F118" i="16"/>
  <c r="F158" i="16" s="1"/>
  <c r="G265" i="13" s="1"/>
  <c r="G342" i="13" s="1"/>
  <c r="F128" i="16"/>
  <c r="F168" i="16" s="1"/>
  <c r="G290" i="13" s="1"/>
  <c r="G367" i="13" s="1"/>
  <c r="F119" i="16"/>
  <c r="F159" i="16" s="1"/>
  <c r="G266" i="13" s="1"/>
  <c r="G343" i="13" s="1"/>
  <c r="F133" i="16"/>
  <c r="F173" i="16" s="1"/>
  <c r="G295" i="13" s="1"/>
  <c r="G372" i="13" s="1"/>
  <c r="F127" i="16"/>
  <c r="F167" i="16" s="1"/>
  <c r="G289" i="13" s="1"/>
  <c r="F111" i="16"/>
  <c r="F151" i="16" s="1"/>
  <c r="G258" i="13" s="1"/>
  <c r="G335" i="13" s="1"/>
  <c r="G197" i="16"/>
  <c r="G132" i="16"/>
  <c r="G172" i="16" s="1"/>
  <c r="H294" i="13" s="1"/>
  <c r="H371" i="13" s="1"/>
  <c r="G137" i="16"/>
  <c r="G177" i="16" s="1"/>
  <c r="H299" i="13" s="1"/>
  <c r="H376" i="13" s="1"/>
  <c r="F137" i="16"/>
  <c r="F177" i="16" s="1"/>
  <c r="G299" i="13" s="1"/>
  <c r="G376" i="13" s="1"/>
  <c r="F132" i="16"/>
  <c r="F172" i="16" s="1"/>
  <c r="G294" i="13" s="1"/>
  <c r="G371" i="13" s="1"/>
  <c r="G114" i="16"/>
  <c r="G154" i="16" s="1"/>
  <c r="H261" i="13" s="1"/>
  <c r="H338" i="13" s="1"/>
  <c r="G128" i="16"/>
  <c r="G168" i="16" s="1"/>
  <c r="H290" i="13" s="1"/>
  <c r="H367" i="13" s="1"/>
  <c r="G135" i="16"/>
  <c r="G175" i="16" s="1"/>
  <c r="H297" i="13" s="1"/>
  <c r="H374" i="13" s="1"/>
  <c r="G136" i="16"/>
  <c r="G176" i="16" s="1"/>
  <c r="H298" i="13" s="1"/>
  <c r="H375" i="13" s="1"/>
  <c r="G119" i="16"/>
  <c r="G159" i="16" s="1"/>
  <c r="H266" i="13" s="1"/>
  <c r="H343" i="13" s="1"/>
  <c r="G113" i="16"/>
  <c r="G153" i="16" s="1"/>
  <c r="H260" i="13" s="1"/>
  <c r="H337" i="13" s="1"/>
  <c r="G111" i="16"/>
  <c r="G151" i="16" s="1"/>
  <c r="H258" i="13" s="1"/>
  <c r="H335" i="13" s="1"/>
  <c r="G117" i="16"/>
  <c r="G157" i="16" s="1"/>
  <c r="H264" i="13" s="1"/>
  <c r="H341" i="13" s="1"/>
  <c r="G134" i="16"/>
  <c r="G174" i="16" s="1"/>
  <c r="H296" i="13" s="1"/>
  <c r="H373" i="13" s="1"/>
  <c r="G109" i="16"/>
  <c r="G149" i="16" s="1"/>
  <c r="H256" i="13" s="1"/>
  <c r="H333" i="13" s="1"/>
  <c r="F135" i="16"/>
  <c r="F175" i="16" s="1"/>
  <c r="G297" i="13" s="1"/>
  <c r="G374" i="13" s="1"/>
  <c r="G112" i="16"/>
  <c r="G152" i="16" s="1"/>
  <c r="H259" i="13" s="1"/>
  <c r="H336" i="13" s="1"/>
  <c r="G110" i="16"/>
  <c r="G150" i="16" s="1"/>
  <c r="H257" i="13" s="1"/>
  <c r="H334" i="13" s="1"/>
  <c r="G115" i="16"/>
  <c r="G155" i="16" s="1"/>
  <c r="H262" i="13" s="1"/>
  <c r="H339" i="13" s="1"/>
  <c r="G118" i="16"/>
  <c r="G158" i="16" s="1"/>
  <c r="H265" i="13" s="1"/>
  <c r="H342" i="13" s="1"/>
  <c r="F114" i="16"/>
  <c r="F154" i="16" s="1"/>
  <c r="G261" i="13" s="1"/>
  <c r="G338" i="13" s="1"/>
  <c r="F116" i="16"/>
  <c r="F156" i="16" s="1"/>
  <c r="G263" i="13" s="1"/>
  <c r="G340" i="13" s="1"/>
  <c r="G129" i="16"/>
  <c r="G169" i="16" s="1"/>
  <c r="H291" i="13" s="1"/>
  <c r="H368" i="13" s="1"/>
  <c r="F117" i="16"/>
  <c r="F157" i="16" s="1"/>
  <c r="G264" i="13" s="1"/>
  <c r="G341" i="13" s="1"/>
  <c r="G130" i="16"/>
  <c r="G170" i="16" s="1"/>
  <c r="H292" i="13" s="1"/>
  <c r="H369" i="13" s="1"/>
  <c r="F129" i="16"/>
  <c r="F169" i="16" s="1"/>
  <c r="G291" i="13" s="1"/>
  <c r="G368" i="13" s="1"/>
  <c r="F134" i="16"/>
  <c r="F174" i="16" s="1"/>
  <c r="G296" i="13" s="1"/>
  <c r="G373" i="13" s="1"/>
  <c r="F136" i="16"/>
  <c r="F176" i="16" s="1"/>
  <c r="G298" i="13" s="1"/>
  <c r="G375" i="13" s="1"/>
  <c r="G131" i="16"/>
  <c r="G171" i="16" s="1"/>
  <c r="H293" i="13" s="1"/>
  <c r="H370" i="13" s="1"/>
  <c r="G138" i="16"/>
  <c r="G178" i="16" s="1"/>
  <c r="H300" i="13" s="1"/>
  <c r="H377" i="13" s="1"/>
  <c r="F109" i="16"/>
  <c r="F149" i="16" s="1"/>
  <c r="G256" i="13" s="1"/>
  <c r="G333" i="13" s="1"/>
  <c r="F113" i="16"/>
  <c r="F153" i="16" s="1"/>
  <c r="G260" i="13" s="1"/>
  <c r="G337" i="13" s="1"/>
  <c r="F138" i="16"/>
  <c r="F178" i="16" s="1"/>
  <c r="G300" i="13" s="1"/>
  <c r="G377" i="13" s="1"/>
  <c r="F108" i="16"/>
  <c r="F148" i="16" s="1"/>
  <c r="G255" i="13" s="1"/>
  <c r="F130" i="16"/>
  <c r="F170" i="16" s="1"/>
  <c r="G292" i="13" s="1"/>
  <c r="G369" i="13" s="1"/>
  <c r="G127" i="16"/>
  <c r="G167" i="16" s="1"/>
  <c r="H289" i="13" s="1"/>
  <c r="H366" i="13" s="1"/>
  <c r="G147" i="13"/>
  <c r="G131" i="13"/>
  <c r="G152" i="13" s="1"/>
  <c r="G129" i="13"/>
  <c r="G150" i="13" s="1"/>
  <c r="G123" i="13"/>
  <c r="G128" i="13" s="1"/>
  <c r="G149" i="13" s="1"/>
  <c r="G146" i="13"/>
  <c r="D210" i="16"/>
  <c r="D214" i="16"/>
  <c r="F131" i="13"/>
  <c r="F152" i="13" s="1"/>
  <c r="F147" i="13"/>
  <c r="C249" i="18"/>
  <c r="D249" i="18" s="1"/>
  <c r="C232" i="18"/>
  <c r="D232" i="18" s="1"/>
  <c r="C323" i="18"/>
  <c r="D323" i="18" s="1"/>
  <c r="C341" i="18"/>
  <c r="D341" i="18" s="1"/>
  <c r="C287" i="18"/>
  <c r="D287" i="18" s="1"/>
  <c r="C305" i="18"/>
  <c r="D305" i="18" s="1"/>
  <c r="F214" i="16" l="1"/>
  <c r="I92" i="16"/>
  <c r="E209" i="16" s="1"/>
  <c r="D61" i="11" s="1"/>
  <c r="E250" i="16" s="1"/>
  <c r="E251" i="16" s="1"/>
  <c r="I89" i="16"/>
  <c r="I111" i="16" s="1"/>
  <c r="I151" i="16" s="1"/>
  <c r="J258" i="13" s="1"/>
  <c r="J335" i="13" s="1"/>
  <c r="F251" i="16"/>
  <c r="F210" i="16"/>
  <c r="G251" i="16"/>
  <c r="K249" i="16"/>
  <c r="N119" i="13"/>
  <c r="M125" i="13"/>
  <c r="M140" i="13"/>
  <c r="M141" i="13" s="1"/>
  <c r="M124" i="13"/>
  <c r="M126" i="13"/>
  <c r="J245" i="16"/>
  <c r="M120" i="13"/>
  <c r="Y203" i="16"/>
  <c r="I131" i="13"/>
  <c r="I152" i="13" s="1"/>
  <c r="I147" i="13"/>
  <c r="H130" i="13"/>
  <c r="H151" i="13" s="1"/>
  <c r="H146" i="13"/>
  <c r="X89" i="16"/>
  <c r="W185" i="16"/>
  <c r="X92" i="16"/>
  <c r="J209" i="16" s="1"/>
  <c r="I59" i="11" s="1"/>
  <c r="J236" i="16" s="1"/>
  <c r="I145" i="13"/>
  <c r="I144" i="13" s="1"/>
  <c r="I123" i="13"/>
  <c r="I128" i="13" s="1"/>
  <c r="I149" i="13" s="1"/>
  <c r="I129" i="13"/>
  <c r="I150" i="13" s="1"/>
  <c r="H145" i="13"/>
  <c r="H144" i="13" s="1"/>
  <c r="H129" i="13"/>
  <c r="H150" i="13" s="1"/>
  <c r="H123" i="13"/>
  <c r="H128" i="13" s="1"/>
  <c r="H149" i="13" s="1"/>
  <c r="I130" i="13"/>
  <c r="I151" i="13" s="1"/>
  <c r="I146" i="13"/>
  <c r="M134" i="16"/>
  <c r="M174" i="16" s="1"/>
  <c r="N296" i="13" s="1"/>
  <c r="N373" i="13" s="1"/>
  <c r="L128" i="16"/>
  <c r="L168" i="16" s="1"/>
  <c r="M290" i="13" s="1"/>
  <c r="M367" i="13" s="1"/>
  <c r="M116" i="16"/>
  <c r="M156" i="16" s="1"/>
  <c r="N263" i="13" s="1"/>
  <c r="N340" i="13" s="1"/>
  <c r="M136" i="16"/>
  <c r="M176" i="16" s="1"/>
  <c r="N298" i="13" s="1"/>
  <c r="N375" i="13" s="1"/>
  <c r="L113" i="16"/>
  <c r="L153" i="16" s="1"/>
  <c r="M260" i="13" s="1"/>
  <c r="M337" i="13" s="1"/>
  <c r="M130" i="16"/>
  <c r="M170" i="16" s="1"/>
  <c r="N292" i="13" s="1"/>
  <c r="N369" i="13" s="1"/>
  <c r="M112" i="16"/>
  <c r="M152" i="16" s="1"/>
  <c r="N259" i="13" s="1"/>
  <c r="N336" i="13" s="1"/>
  <c r="M113" i="16"/>
  <c r="M153" i="16" s="1"/>
  <c r="N260" i="13" s="1"/>
  <c r="N337" i="13" s="1"/>
  <c r="M129" i="16"/>
  <c r="M169" i="16" s="1"/>
  <c r="N291" i="13" s="1"/>
  <c r="N368" i="13" s="1"/>
  <c r="M131" i="16"/>
  <c r="M171" i="16" s="1"/>
  <c r="N293" i="13" s="1"/>
  <c r="N370" i="13" s="1"/>
  <c r="M109" i="16"/>
  <c r="M149" i="16" s="1"/>
  <c r="N256" i="13" s="1"/>
  <c r="N333" i="13" s="1"/>
  <c r="M110" i="16"/>
  <c r="M150" i="16" s="1"/>
  <c r="N257" i="13" s="1"/>
  <c r="N334" i="13" s="1"/>
  <c r="M133" i="16"/>
  <c r="M173" i="16" s="1"/>
  <c r="N295" i="13" s="1"/>
  <c r="N372" i="13" s="1"/>
  <c r="L136" i="16"/>
  <c r="L176" i="16" s="1"/>
  <c r="M298" i="13" s="1"/>
  <c r="M375" i="13" s="1"/>
  <c r="L114" i="16"/>
  <c r="L154" i="16" s="1"/>
  <c r="M261" i="13" s="1"/>
  <c r="M338" i="13" s="1"/>
  <c r="L133" i="16"/>
  <c r="L173" i="16" s="1"/>
  <c r="M295" i="13" s="1"/>
  <c r="M372" i="13" s="1"/>
  <c r="L112" i="16"/>
  <c r="L152" i="16" s="1"/>
  <c r="M259" i="13" s="1"/>
  <c r="M336" i="13" s="1"/>
  <c r="L109" i="16"/>
  <c r="L149" i="16" s="1"/>
  <c r="M256" i="13" s="1"/>
  <c r="M333" i="13" s="1"/>
  <c r="M132" i="16"/>
  <c r="M172" i="16" s="1"/>
  <c r="N294" i="13" s="1"/>
  <c r="N371" i="13" s="1"/>
  <c r="L119" i="16"/>
  <c r="L159" i="16" s="1"/>
  <c r="M266" i="13" s="1"/>
  <c r="M343" i="13" s="1"/>
  <c r="M108" i="16"/>
  <c r="M148" i="16" s="1"/>
  <c r="N255" i="13" s="1"/>
  <c r="N332" i="13" s="1"/>
  <c r="M118" i="16"/>
  <c r="M158" i="16" s="1"/>
  <c r="N265" i="13" s="1"/>
  <c r="N342" i="13" s="1"/>
  <c r="M119" i="16"/>
  <c r="M159" i="16" s="1"/>
  <c r="N266" i="13" s="1"/>
  <c r="N343" i="13" s="1"/>
  <c r="L127" i="16"/>
  <c r="L167" i="16" s="1"/>
  <c r="M127" i="16"/>
  <c r="M167" i="16" s="1"/>
  <c r="N289" i="13" s="1"/>
  <c r="N366" i="13" s="1"/>
  <c r="L115" i="16"/>
  <c r="L155" i="16" s="1"/>
  <c r="M262" i="13" s="1"/>
  <c r="M339" i="13" s="1"/>
  <c r="L135" i="16"/>
  <c r="L175" i="16" s="1"/>
  <c r="M297" i="13" s="1"/>
  <c r="M374" i="13" s="1"/>
  <c r="L110" i="16"/>
  <c r="L150" i="16" s="1"/>
  <c r="M257" i="13" s="1"/>
  <c r="M334" i="13" s="1"/>
  <c r="M128" i="16"/>
  <c r="M168" i="16" s="1"/>
  <c r="N290" i="13" s="1"/>
  <c r="N367" i="13" s="1"/>
  <c r="M115" i="16"/>
  <c r="M155" i="16" s="1"/>
  <c r="N262" i="13" s="1"/>
  <c r="N339" i="13" s="1"/>
  <c r="M137" i="16"/>
  <c r="M177" i="16" s="1"/>
  <c r="N299" i="13" s="1"/>
  <c r="N376" i="13" s="1"/>
  <c r="L134" i="16"/>
  <c r="L174" i="16" s="1"/>
  <c r="M296" i="13" s="1"/>
  <c r="M373" i="13" s="1"/>
  <c r="L129" i="16"/>
  <c r="L169" i="16" s="1"/>
  <c r="M291" i="13" s="1"/>
  <c r="M368" i="13" s="1"/>
  <c r="M117" i="16"/>
  <c r="M157" i="16" s="1"/>
  <c r="N264" i="13" s="1"/>
  <c r="N341" i="13" s="1"/>
  <c r="L118" i="16"/>
  <c r="L158" i="16" s="1"/>
  <c r="M265" i="13" s="1"/>
  <c r="M342" i="13" s="1"/>
  <c r="L111" i="16"/>
  <c r="L151" i="16" s="1"/>
  <c r="M258" i="13" s="1"/>
  <c r="M335" i="13" s="1"/>
  <c r="M111" i="16"/>
  <c r="M151" i="16" s="1"/>
  <c r="N258" i="13" s="1"/>
  <c r="N335" i="13" s="1"/>
  <c r="L116" i="16"/>
  <c r="L156" i="16" s="1"/>
  <c r="M263" i="13" s="1"/>
  <c r="M340" i="13" s="1"/>
  <c r="L138" i="16"/>
  <c r="L178" i="16" s="1"/>
  <c r="M300" i="13" s="1"/>
  <c r="M377" i="13" s="1"/>
  <c r="L137" i="16"/>
  <c r="L177" i="16" s="1"/>
  <c r="M299" i="13" s="1"/>
  <c r="M376" i="13" s="1"/>
  <c r="L132" i="16"/>
  <c r="L172" i="16" s="1"/>
  <c r="M294" i="13" s="1"/>
  <c r="M371" i="13" s="1"/>
  <c r="M138" i="16"/>
  <c r="M178" i="16" s="1"/>
  <c r="N300" i="13" s="1"/>
  <c r="N377" i="13" s="1"/>
  <c r="L117" i="16"/>
  <c r="L157" i="16" s="1"/>
  <c r="M264" i="13" s="1"/>
  <c r="M341" i="13" s="1"/>
  <c r="M114" i="16"/>
  <c r="M154" i="16" s="1"/>
  <c r="N261" i="13" s="1"/>
  <c r="N338" i="13" s="1"/>
  <c r="L131" i="16"/>
  <c r="L171" i="16" s="1"/>
  <c r="M293" i="13" s="1"/>
  <c r="M370" i="13" s="1"/>
  <c r="L108" i="16"/>
  <c r="L148" i="16" s="1"/>
  <c r="L130" i="16"/>
  <c r="L170" i="16" s="1"/>
  <c r="M292" i="13" s="1"/>
  <c r="M369" i="13" s="1"/>
  <c r="M135" i="16"/>
  <c r="M175" i="16" s="1"/>
  <c r="N297" i="13" s="1"/>
  <c r="N374" i="13" s="1"/>
  <c r="R89" i="16"/>
  <c r="R92" i="16"/>
  <c r="H209" i="16" s="1"/>
  <c r="G59" i="11" s="1"/>
  <c r="H236" i="16" s="1"/>
  <c r="K135" i="13" s="1"/>
  <c r="Q185" i="16"/>
  <c r="S185" i="16" s="1"/>
  <c r="L124" i="13"/>
  <c r="L140" i="13"/>
  <c r="L141" i="13" s="1"/>
  <c r="L125" i="13"/>
  <c r="L126" i="13"/>
  <c r="I245" i="16"/>
  <c r="L120" i="13"/>
  <c r="V203" i="16"/>
  <c r="K140" i="13"/>
  <c r="K141" i="13" s="1"/>
  <c r="K120" i="13"/>
  <c r="K126" i="13"/>
  <c r="H245" i="16"/>
  <c r="K125" i="13"/>
  <c r="S203" i="16"/>
  <c r="K124" i="13"/>
  <c r="U92" i="16"/>
  <c r="I209" i="16" s="1"/>
  <c r="H59" i="11" s="1"/>
  <c r="I236" i="16" s="1"/>
  <c r="T185" i="16"/>
  <c r="V185" i="16" s="1"/>
  <c r="U89" i="16"/>
  <c r="O89" i="16"/>
  <c r="N185" i="16"/>
  <c r="P185" i="16" s="1"/>
  <c r="O92" i="16"/>
  <c r="G209" i="16" s="1"/>
  <c r="F59" i="11" s="1"/>
  <c r="G236" i="16" s="1"/>
  <c r="H131" i="13"/>
  <c r="H152" i="13" s="1"/>
  <c r="H147" i="13"/>
  <c r="J124" i="13"/>
  <c r="P203" i="16"/>
  <c r="J140" i="13"/>
  <c r="J141" i="13" s="1"/>
  <c r="J125" i="13"/>
  <c r="G245" i="16"/>
  <c r="J120" i="13"/>
  <c r="J126" i="13"/>
  <c r="F129" i="13"/>
  <c r="F150" i="13" s="1"/>
  <c r="F146" i="13"/>
  <c r="F123" i="13"/>
  <c r="F128" i="13" s="1"/>
  <c r="F149" i="13" s="1"/>
  <c r="C89" i="16"/>
  <c r="B185" i="16"/>
  <c r="D185" i="16" s="1"/>
  <c r="C92" i="16"/>
  <c r="C209" i="16" s="1"/>
  <c r="D197" i="16" s="1"/>
  <c r="B65" i="11"/>
  <c r="AW3" i="17"/>
  <c r="J58" i="11"/>
  <c r="AV3" i="17"/>
  <c r="X3" i="17"/>
  <c r="S3" i="17" s="1"/>
  <c r="N3" i="17" s="1"/>
  <c r="H135" i="13"/>
  <c r="H155" i="13" s="1"/>
  <c r="G366" i="13"/>
  <c r="D102" i="27" s="1" a="1"/>
  <c r="D102" i="27" s="1"/>
  <c r="G332" i="13"/>
  <c r="D85" i="27" s="1" a="1"/>
  <c r="D85" i="27" s="1"/>
  <c r="H250" i="16"/>
  <c r="H251" i="16" s="1"/>
  <c r="J250" i="16"/>
  <c r="J251" i="16" s="1"/>
  <c r="I250" i="16"/>
  <c r="I251" i="16" s="1"/>
  <c r="E59" i="11"/>
  <c r="F236" i="16" s="1"/>
  <c r="E184" i="16"/>
  <c r="G184" i="16" s="1"/>
  <c r="G186" i="16" s="1"/>
  <c r="E160" i="16"/>
  <c r="E179" i="16"/>
  <c r="O18" i="18"/>
  <c r="O7" i="18"/>
  <c r="O6" i="18"/>
  <c r="O16" i="18"/>
  <c r="O17" i="18"/>
  <c r="O15" i="18"/>
  <c r="O8" i="18"/>
  <c r="O19" i="18"/>
  <c r="O10" i="18"/>
  <c r="O11" i="18"/>
  <c r="O9" i="18"/>
  <c r="O20" i="18"/>
  <c r="G144" i="13"/>
  <c r="M135" i="13"/>
  <c r="H121" i="13"/>
  <c r="E246" i="16" s="1"/>
  <c r="E247" i="16" s="1"/>
  <c r="C251" i="18"/>
  <c r="D251" i="18" s="1"/>
  <c r="C277" i="18"/>
  <c r="D277" i="18" s="1"/>
  <c r="C276" i="18"/>
  <c r="D276" i="18" s="1"/>
  <c r="C274" i="18"/>
  <c r="D274" i="18" s="1"/>
  <c r="C266" i="18"/>
  <c r="D266" i="18" s="1"/>
  <c r="C267" i="18"/>
  <c r="D267" i="18" s="1"/>
  <c r="C268" i="18"/>
  <c r="D268" i="18" s="1"/>
  <c r="C265" i="18"/>
  <c r="D265" i="18" s="1"/>
  <c r="C259" i="18"/>
  <c r="D259" i="18" s="1"/>
  <c r="C256" i="18"/>
  <c r="D256" i="18" s="1"/>
  <c r="C258" i="18"/>
  <c r="D258" i="18" s="1"/>
  <c r="C257" i="18"/>
  <c r="D257" i="18" s="1"/>
  <c r="C255" i="18"/>
  <c r="D255" i="18" s="1"/>
  <c r="C248" i="18"/>
  <c r="D248" i="18" s="1"/>
  <c r="C250" i="18"/>
  <c r="D250" i="18" s="1"/>
  <c r="C247" i="18"/>
  <c r="D247" i="18" s="1"/>
  <c r="C241" i="18"/>
  <c r="D241" i="18" s="1"/>
  <c r="C239" i="18"/>
  <c r="D239" i="18" s="1"/>
  <c r="C238" i="18"/>
  <c r="D238" i="18" s="1"/>
  <c r="C240" i="18"/>
  <c r="D240" i="18" s="1"/>
  <c r="C237" i="18"/>
  <c r="D237" i="18" s="1"/>
  <c r="C231" i="18"/>
  <c r="D231" i="18" s="1"/>
  <c r="C230" i="18"/>
  <c r="D230" i="18" s="1"/>
  <c r="C229" i="18"/>
  <c r="D229" i="18" s="1"/>
  <c r="F302" i="13"/>
  <c r="F268" i="13"/>
  <c r="C215" i="18"/>
  <c r="D215" i="18" s="1"/>
  <c r="C214" i="18"/>
  <c r="D214" i="18" s="1"/>
  <c r="C220" i="18"/>
  <c r="D220" i="18" s="1"/>
  <c r="C212" i="18"/>
  <c r="D212" i="18" s="1"/>
  <c r="C222" i="18"/>
  <c r="D222" i="18" s="1"/>
  <c r="C211" i="18"/>
  <c r="D211" i="18" s="1"/>
  <c r="C221" i="18"/>
  <c r="D221" i="18" s="1"/>
  <c r="C223" i="18"/>
  <c r="D223" i="18" s="1"/>
  <c r="C213" i="18"/>
  <c r="D213" i="18" s="1"/>
  <c r="C219" i="18"/>
  <c r="D219" i="18" s="1"/>
  <c r="J109" i="16" l="1"/>
  <c r="J149" i="16" s="1"/>
  <c r="K256" i="13" s="1"/>
  <c r="K333" i="13" s="1"/>
  <c r="J114" i="16"/>
  <c r="J154" i="16" s="1"/>
  <c r="K261" i="13" s="1"/>
  <c r="K338" i="13" s="1"/>
  <c r="I108" i="16"/>
  <c r="I148" i="16" s="1"/>
  <c r="I119" i="16"/>
  <c r="I159" i="16" s="1"/>
  <c r="J266" i="13" s="1"/>
  <c r="J343" i="13" s="1"/>
  <c r="J128" i="16"/>
  <c r="J168" i="16" s="1"/>
  <c r="K290" i="13" s="1"/>
  <c r="K367" i="13" s="1"/>
  <c r="I114" i="16"/>
  <c r="I154" i="16" s="1"/>
  <c r="J261" i="13" s="1"/>
  <c r="J338" i="13" s="1"/>
  <c r="I115" i="16"/>
  <c r="I155" i="16" s="1"/>
  <c r="J262" i="13" s="1"/>
  <c r="J339" i="13" s="1"/>
  <c r="I134" i="16"/>
  <c r="I174" i="16" s="1"/>
  <c r="J296" i="13" s="1"/>
  <c r="J373" i="13" s="1"/>
  <c r="J132" i="16"/>
  <c r="J172" i="16" s="1"/>
  <c r="K294" i="13" s="1"/>
  <c r="K371" i="13" s="1"/>
  <c r="I109" i="16"/>
  <c r="I149" i="16" s="1"/>
  <c r="J256" i="13" s="1"/>
  <c r="J333" i="13" s="1"/>
  <c r="I116" i="16"/>
  <c r="I156" i="16" s="1"/>
  <c r="J263" i="13" s="1"/>
  <c r="J340" i="13" s="1"/>
  <c r="I130" i="16"/>
  <c r="I170" i="16" s="1"/>
  <c r="J292" i="13" s="1"/>
  <c r="J369" i="13" s="1"/>
  <c r="J197" i="16"/>
  <c r="J108" i="16"/>
  <c r="J148" i="16" s="1"/>
  <c r="K255" i="13" s="1"/>
  <c r="K332" i="13" s="1"/>
  <c r="J119" i="16"/>
  <c r="J159" i="16" s="1"/>
  <c r="K266" i="13" s="1"/>
  <c r="K343" i="13" s="1"/>
  <c r="I135" i="16"/>
  <c r="I175" i="16" s="1"/>
  <c r="J297" i="13" s="1"/>
  <c r="J374" i="13" s="1"/>
  <c r="E210" i="16"/>
  <c r="I127" i="16"/>
  <c r="I167" i="16" s="1"/>
  <c r="J289" i="13" s="1"/>
  <c r="I113" i="16"/>
  <c r="I153" i="16" s="1"/>
  <c r="J260" i="13" s="1"/>
  <c r="J337" i="13" s="1"/>
  <c r="J116" i="16"/>
  <c r="J156" i="16" s="1"/>
  <c r="K263" i="13" s="1"/>
  <c r="K340" i="13" s="1"/>
  <c r="J111" i="16"/>
  <c r="J151" i="16" s="1"/>
  <c r="K258" i="13" s="1"/>
  <c r="K335" i="13" s="1"/>
  <c r="J133" i="16"/>
  <c r="J173" i="16" s="1"/>
  <c r="K295" i="13" s="1"/>
  <c r="K372" i="13" s="1"/>
  <c r="I138" i="16"/>
  <c r="I178" i="16" s="1"/>
  <c r="J300" i="13" s="1"/>
  <c r="J377" i="13" s="1"/>
  <c r="D59" i="11"/>
  <c r="E236" i="16" s="1"/>
  <c r="I136" i="16"/>
  <c r="I176" i="16" s="1"/>
  <c r="J298" i="13" s="1"/>
  <c r="J375" i="13" s="1"/>
  <c r="I131" i="16"/>
  <c r="I171" i="16" s="1"/>
  <c r="J293" i="13" s="1"/>
  <c r="J370" i="13" s="1"/>
  <c r="I137" i="16"/>
  <c r="I177" i="16" s="1"/>
  <c r="J299" i="13" s="1"/>
  <c r="J376" i="13" s="1"/>
  <c r="E214" i="16"/>
  <c r="J115" i="16"/>
  <c r="J155" i="16" s="1"/>
  <c r="K262" i="13" s="1"/>
  <c r="K339" i="13" s="1"/>
  <c r="I129" i="16"/>
  <c r="I169" i="16" s="1"/>
  <c r="J291" i="13" s="1"/>
  <c r="J368" i="13" s="1"/>
  <c r="I133" i="16"/>
  <c r="I173" i="16" s="1"/>
  <c r="J295" i="13" s="1"/>
  <c r="J372" i="13" s="1"/>
  <c r="J129" i="16"/>
  <c r="J169" i="16" s="1"/>
  <c r="K291" i="13" s="1"/>
  <c r="K368" i="13" s="1"/>
  <c r="I112" i="16"/>
  <c r="I152" i="16" s="1"/>
  <c r="J259" i="13" s="1"/>
  <c r="J336" i="13" s="1"/>
  <c r="J136" i="16"/>
  <c r="J176" i="16" s="1"/>
  <c r="K298" i="13" s="1"/>
  <c r="K375" i="13" s="1"/>
  <c r="J137" i="16"/>
  <c r="J177" i="16" s="1"/>
  <c r="K299" i="13" s="1"/>
  <c r="K376" i="13" s="1"/>
  <c r="J130" i="16"/>
  <c r="J170" i="16" s="1"/>
  <c r="K292" i="13" s="1"/>
  <c r="K369" i="13" s="1"/>
  <c r="J127" i="16"/>
  <c r="J167" i="16" s="1"/>
  <c r="K289" i="13" s="1"/>
  <c r="K366" i="13" s="1"/>
  <c r="J131" i="16"/>
  <c r="J171" i="16" s="1"/>
  <c r="K293" i="13" s="1"/>
  <c r="K370" i="13" s="1"/>
  <c r="I128" i="16"/>
  <c r="I168" i="16" s="1"/>
  <c r="J290" i="13" s="1"/>
  <c r="J367" i="13" s="1"/>
  <c r="J113" i="16"/>
  <c r="J153" i="16" s="1"/>
  <c r="K260" i="13" s="1"/>
  <c r="K337" i="13" s="1"/>
  <c r="I110" i="16"/>
  <c r="I150" i="16" s="1"/>
  <c r="J257" i="13" s="1"/>
  <c r="J334" i="13" s="1"/>
  <c r="J110" i="16"/>
  <c r="J150" i="16" s="1"/>
  <c r="K257" i="13" s="1"/>
  <c r="K334" i="13" s="1"/>
  <c r="J135" i="16"/>
  <c r="J175" i="16" s="1"/>
  <c r="K297" i="13" s="1"/>
  <c r="K374" i="13" s="1"/>
  <c r="I117" i="16"/>
  <c r="I157" i="16" s="1"/>
  <c r="J264" i="13" s="1"/>
  <c r="J341" i="13" s="1"/>
  <c r="I118" i="16"/>
  <c r="I158" i="16" s="1"/>
  <c r="J265" i="13" s="1"/>
  <c r="J342" i="13" s="1"/>
  <c r="J117" i="16"/>
  <c r="J157" i="16" s="1"/>
  <c r="K264" i="13" s="1"/>
  <c r="K341" i="13" s="1"/>
  <c r="I132" i="16"/>
  <c r="I172" i="16" s="1"/>
  <c r="J294" i="13" s="1"/>
  <c r="J371" i="13" s="1"/>
  <c r="J112" i="16"/>
  <c r="J152" i="16" s="1"/>
  <c r="K259" i="13" s="1"/>
  <c r="K336" i="13" s="1"/>
  <c r="J138" i="16"/>
  <c r="J178" i="16" s="1"/>
  <c r="K300" i="13" s="1"/>
  <c r="K377" i="13" s="1"/>
  <c r="J134" i="16"/>
  <c r="J174" i="16" s="1"/>
  <c r="K296" i="13" s="1"/>
  <c r="K373" i="13" s="1"/>
  <c r="J118" i="16"/>
  <c r="J158" i="16" s="1"/>
  <c r="K265" i="13" s="1"/>
  <c r="K342" i="13" s="1"/>
  <c r="AM94" i="5"/>
  <c r="AK94" i="5" s="1"/>
  <c r="N284" i="13"/>
  <c r="N361" i="13" s="1"/>
  <c r="E408" i="27" s="1"/>
  <c r="G408" i="27" s="1"/>
  <c r="H284" i="13"/>
  <c r="H361" i="13" s="1"/>
  <c r="E312" i="27" s="1"/>
  <c r="G312" i="27" s="1"/>
  <c r="N126" i="13"/>
  <c r="N131" i="13" s="1"/>
  <c r="N152" i="13" s="1"/>
  <c r="N125" i="13"/>
  <c r="N130" i="13" s="1"/>
  <c r="N151" i="13" s="1"/>
  <c r="N124" i="13"/>
  <c r="N129" i="13" s="1"/>
  <c r="N150" i="13" s="1"/>
  <c r="K245" i="16"/>
  <c r="AH94" i="5"/>
  <c r="K284" i="13"/>
  <c r="K361" i="13" s="1"/>
  <c r="D360" i="27" s="1"/>
  <c r="F360" i="27" s="1"/>
  <c r="L135" i="13"/>
  <c r="K145" i="13"/>
  <c r="K144" i="13" s="1"/>
  <c r="K123" i="13"/>
  <c r="K128" i="13" s="1"/>
  <c r="K149" i="13" s="1"/>
  <c r="K129" i="13"/>
  <c r="K150" i="13" s="1"/>
  <c r="AC94" i="5"/>
  <c r="AC105" i="5" s="1"/>
  <c r="M289" i="13"/>
  <c r="K179" i="16"/>
  <c r="J214" i="16"/>
  <c r="Y197" i="16"/>
  <c r="J210" i="16"/>
  <c r="J131" i="13"/>
  <c r="J152" i="13" s="1"/>
  <c r="J147" i="13"/>
  <c r="P197" i="16"/>
  <c r="G214" i="16"/>
  <c r="G210" i="16"/>
  <c r="K130" i="13"/>
  <c r="K151" i="13" s="1"/>
  <c r="K146" i="13"/>
  <c r="L131" i="13"/>
  <c r="L152" i="13" s="1"/>
  <c r="L147" i="13"/>
  <c r="J130" i="13"/>
  <c r="J151" i="13" s="1"/>
  <c r="J146" i="13"/>
  <c r="L130" i="13"/>
  <c r="L151" i="13" s="1"/>
  <c r="L146" i="13"/>
  <c r="M255" i="13"/>
  <c r="K184" i="16"/>
  <c r="M184" i="16" s="1"/>
  <c r="M186" i="16" s="1"/>
  <c r="K160" i="16"/>
  <c r="X115" i="16"/>
  <c r="X155" i="16" s="1"/>
  <c r="M279" i="13" s="1"/>
  <c r="M356" i="13" s="1"/>
  <c r="Y109" i="16"/>
  <c r="Y149" i="16" s="1"/>
  <c r="N273" i="13" s="1"/>
  <c r="N350" i="13" s="1"/>
  <c r="X119" i="16"/>
  <c r="X159" i="16" s="1"/>
  <c r="M283" i="13" s="1"/>
  <c r="M360" i="13" s="1"/>
  <c r="X118" i="16"/>
  <c r="X158" i="16" s="1"/>
  <c r="M282" i="13" s="1"/>
  <c r="M359" i="13" s="1"/>
  <c r="X109" i="16"/>
  <c r="X149" i="16" s="1"/>
  <c r="M273" i="13" s="1"/>
  <c r="X114" i="16"/>
  <c r="X154" i="16" s="1"/>
  <c r="M278" i="13" s="1"/>
  <c r="M355" i="13" s="1"/>
  <c r="Y115" i="16"/>
  <c r="Y155" i="16" s="1"/>
  <c r="N279" i="13" s="1"/>
  <c r="N356" i="13" s="1"/>
  <c r="X129" i="16"/>
  <c r="X169" i="16" s="1"/>
  <c r="M308" i="13" s="1"/>
  <c r="X135" i="16"/>
  <c r="X175" i="16" s="1"/>
  <c r="M314" i="13" s="1"/>
  <c r="M391" i="13" s="1"/>
  <c r="X134" i="16"/>
  <c r="X174" i="16" s="1"/>
  <c r="M313" i="13" s="1"/>
  <c r="M390" i="13" s="1"/>
  <c r="X108" i="16"/>
  <c r="X148" i="16" s="1"/>
  <c r="Y117" i="16"/>
  <c r="Y157" i="16" s="1"/>
  <c r="N281" i="13" s="1"/>
  <c r="N358" i="13" s="1"/>
  <c r="Y137" i="16"/>
  <c r="Y177" i="16" s="1"/>
  <c r="N316" i="13" s="1"/>
  <c r="N393" i="13" s="1"/>
  <c r="Y116" i="16"/>
  <c r="Y156" i="16" s="1"/>
  <c r="N280" i="13" s="1"/>
  <c r="N357" i="13" s="1"/>
  <c r="Y118" i="16"/>
  <c r="Y158" i="16" s="1"/>
  <c r="N282" i="13" s="1"/>
  <c r="N359" i="13" s="1"/>
  <c r="X127" i="16"/>
  <c r="X167" i="16" s="1"/>
  <c r="Y113" i="16"/>
  <c r="Y153" i="16" s="1"/>
  <c r="N277" i="13" s="1"/>
  <c r="N354" i="13" s="1"/>
  <c r="X133" i="16"/>
  <c r="X173" i="16" s="1"/>
  <c r="M312" i="13" s="1"/>
  <c r="M389" i="13" s="1"/>
  <c r="Y110" i="16"/>
  <c r="Y150" i="16" s="1"/>
  <c r="N274" i="13" s="1"/>
  <c r="N351" i="13" s="1"/>
  <c r="X111" i="16"/>
  <c r="X151" i="16" s="1"/>
  <c r="M275" i="13" s="1"/>
  <c r="Y130" i="16"/>
  <c r="Y170" i="16" s="1"/>
  <c r="N309" i="13" s="1"/>
  <c r="N386" i="13" s="1"/>
  <c r="Y119" i="16"/>
  <c r="Y159" i="16" s="1"/>
  <c r="N283" i="13" s="1"/>
  <c r="N360" i="13" s="1"/>
  <c r="Y129" i="16"/>
  <c r="Y169" i="16" s="1"/>
  <c r="N308" i="13" s="1"/>
  <c r="N385" i="13" s="1"/>
  <c r="X110" i="16"/>
  <c r="X150" i="16" s="1"/>
  <c r="M274" i="13" s="1"/>
  <c r="X131" i="16"/>
  <c r="X171" i="16" s="1"/>
  <c r="M310" i="13" s="1"/>
  <c r="Y111" i="16"/>
  <c r="Y151" i="16" s="1"/>
  <c r="N275" i="13" s="1"/>
  <c r="N352" i="13" s="1"/>
  <c r="Y128" i="16"/>
  <c r="Y168" i="16" s="1"/>
  <c r="N307" i="13" s="1"/>
  <c r="N384" i="13" s="1"/>
  <c r="X136" i="16"/>
  <c r="X176" i="16" s="1"/>
  <c r="M315" i="13" s="1"/>
  <c r="M392" i="13" s="1"/>
  <c r="X128" i="16"/>
  <c r="X168" i="16" s="1"/>
  <c r="M307" i="13" s="1"/>
  <c r="Y114" i="16"/>
  <c r="Y154" i="16" s="1"/>
  <c r="N278" i="13" s="1"/>
  <c r="N355" i="13" s="1"/>
  <c r="X138" i="16"/>
  <c r="X178" i="16" s="1"/>
  <c r="M317" i="13" s="1"/>
  <c r="M394" i="13" s="1"/>
  <c r="X132" i="16"/>
  <c r="X172" i="16" s="1"/>
  <c r="M311" i="13" s="1"/>
  <c r="M388" i="13" s="1"/>
  <c r="X137" i="16"/>
  <c r="X177" i="16" s="1"/>
  <c r="M316" i="13" s="1"/>
  <c r="M393" i="13" s="1"/>
  <c r="X130" i="16"/>
  <c r="X170" i="16" s="1"/>
  <c r="M309" i="13" s="1"/>
  <c r="Y108" i="16"/>
  <c r="Y148" i="16" s="1"/>
  <c r="N272" i="13" s="1"/>
  <c r="N349" i="13" s="1"/>
  <c r="Y133" i="16"/>
  <c r="Y173" i="16" s="1"/>
  <c r="N312" i="13" s="1"/>
  <c r="N389" i="13" s="1"/>
  <c r="X112" i="16"/>
  <c r="X152" i="16" s="1"/>
  <c r="M276" i="13" s="1"/>
  <c r="Y132" i="16"/>
  <c r="Y172" i="16" s="1"/>
  <c r="N311" i="13" s="1"/>
  <c r="N388" i="13" s="1"/>
  <c r="Y127" i="16"/>
  <c r="Y167" i="16" s="1"/>
  <c r="N306" i="13" s="1"/>
  <c r="N383" i="13" s="1"/>
  <c r="X113" i="16"/>
  <c r="X153" i="16" s="1"/>
  <c r="M277" i="13" s="1"/>
  <c r="M354" i="13" s="1"/>
  <c r="Y138" i="16"/>
  <c r="Y178" i="16" s="1"/>
  <c r="N317" i="13" s="1"/>
  <c r="N394" i="13" s="1"/>
  <c r="Y131" i="16"/>
  <c r="Y171" i="16" s="1"/>
  <c r="N310" i="13" s="1"/>
  <c r="N387" i="13" s="1"/>
  <c r="Y136" i="16"/>
  <c r="Y176" i="16" s="1"/>
  <c r="N315" i="13" s="1"/>
  <c r="N392" i="13" s="1"/>
  <c r="Y112" i="16"/>
  <c r="Y152" i="16" s="1"/>
  <c r="N276" i="13" s="1"/>
  <c r="N353" i="13" s="1"/>
  <c r="Y135" i="16"/>
  <c r="Y175" i="16" s="1"/>
  <c r="N314" i="13" s="1"/>
  <c r="N391" i="13" s="1"/>
  <c r="X116" i="16"/>
  <c r="X156" i="16" s="1"/>
  <c r="M280" i="13" s="1"/>
  <c r="M357" i="13" s="1"/>
  <c r="Y134" i="16"/>
  <c r="Y174" i="16" s="1"/>
  <c r="N313" i="13" s="1"/>
  <c r="N390" i="13" s="1"/>
  <c r="X117" i="16"/>
  <c r="X157" i="16" s="1"/>
  <c r="M281" i="13" s="1"/>
  <c r="M358" i="13" s="1"/>
  <c r="P119" i="16"/>
  <c r="P159" i="16" s="1"/>
  <c r="E283" i="13" s="1"/>
  <c r="E360" i="13" s="1"/>
  <c r="O128" i="16"/>
  <c r="O168" i="16" s="1"/>
  <c r="D307" i="13" s="1"/>
  <c r="O129" i="16"/>
  <c r="O169" i="16" s="1"/>
  <c r="D308" i="13" s="1"/>
  <c r="O132" i="16"/>
  <c r="O172" i="16" s="1"/>
  <c r="D311" i="13" s="1"/>
  <c r="D388" i="13" s="1"/>
  <c r="O116" i="16"/>
  <c r="O156" i="16" s="1"/>
  <c r="D280" i="13" s="1"/>
  <c r="D357" i="13" s="1"/>
  <c r="P137" i="16"/>
  <c r="P177" i="16" s="1"/>
  <c r="E316" i="13" s="1"/>
  <c r="E393" i="13" s="1"/>
  <c r="O135" i="16"/>
  <c r="O175" i="16" s="1"/>
  <c r="D314" i="13" s="1"/>
  <c r="D391" i="13" s="1"/>
  <c r="P112" i="16"/>
  <c r="P152" i="16" s="1"/>
  <c r="E276" i="13" s="1"/>
  <c r="E353" i="13" s="1"/>
  <c r="O109" i="16"/>
  <c r="O149" i="16" s="1"/>
  <c r="D273" i="13" s="1"/>
  <c r="O113" i="16"/>
  <c r="O153" i="16" s="1"/>
  <c r="D277" i="13" s="1"/>
  <c r="D354" i="13" s="1"/>
  <c r="P127" i="16"/>
  <c r="P167" i="16" s="1"/>
  <c r="E306" i="13" s="1"/>
  <c r="E383" i="13" s="1"/>
  <c r="O111" i="16"/>
  <c r="O151" i="16" s="1"/>
  <c r="D275" i="13" s="1"/>
  <c r="P128" i="16"/>
  <c r="P168" i="16" s="1"/>
  <c r="E307" i="13" s="1"/>
  <c r="E384" i="13" s="1"/>
  <c r="P132" i="16"/>
  <c r="P172" i="16" s="1"/>
  <c r="E311" i="13" s="1"/>
  <c r="E388" i="13" s="1"/>
  <c r="O137" i="16"/>
  <c r="O177" i="16" s="1"/>
  <c r="D316" i="13" s="1"/>
  <c r="D393" i="13" s="1"/>
  <c r="O117" i="16"/>
  <c r="O157" i="16" s="1"/>
  <c r="D281" i="13" s="1"/>
  <c r="D358" i="13" s="1"/>
  <c r="O114" i="16"/>
  <c r="O154" i="16" s="1"/>
  <c r="D278" i="13" s="1"/>
  <c r="D355" i="13" s="1"/>
  <c r="P130" i="16"/>
  <c r="P170" i="16" s="1"/>
  <c r="E309" i="13" s="1"/>
  <c r="E386" i="13" s="1"/>
  <c r="O119" i="16"/>
  <c r="O159" i="16" s="1"/>
  <c r="D283" i="13" s="1"/>
  <c r="D360" i="13" s="1"/>
  <c r="P111" i="16"/>
  <c r="P151" i="16" s="1"/>
  <c r="E275" i="13" s="1"/>
  <c r="E352" i="13" s="1"/>
  <c r="P133" i="16"/>
  <c r="P173" i="16" s="1"/>
  <c r="E312" i="13" s="1"/>
  <c r="E389" i="13" s="1"/>
  <c r="P114" i="16"/>
  <c r="P154" i="16" s="1"/>
  <c r="E278" i="13" s="1"/>
  <c r="E355" i="13" s="1"/>
  <c r="P136" i="16"/>
  <c r="P176" i="16" s="1"/>
  <c r="E315" i="13" s="1"/>
  <c r="E392" i="13" s="1"/>
  <c r="P138" i="16"/>
  <c r="P178" i="16" s="1"/>
  <c r="E317" i="13" s="1"/>
  <c r="E394" i="13" s="1"/>
  <c r="P117" i="16"/>
  <c r="P157" i="16" s="1"/>
  <c r="E281" i="13" s="1"/>
  <c r="E358" i="13" s="1"/>
  <c r="O130" i="16"/>
  <c r="O170" i="16" s="1"/>
  <c r="D309" i="13" s="1"/>
  <c r="O110" i="16"/>
  <c r="O150" i="16" s="1"/>
  <c r="D274" i="13" s="1"/>
  <c r="P118" i="16"/>
  <c r="P158" i="16" s="1"/>
  <c r="E282" i="13" s="1"/>
  <c r="E359" i="13" s="1"/>
  <c r="O136" i="16"/>
  <c r="O176" i="16" s="1"/>
  <c r="D315" i="13" s="1"/>
  <c r="D392" i="13" s="1"/>
  <c r="P135" i="16"/>
  <c r="P175" i="16" s="1"/>
  <c r="E314" i="13" s="1"/>
  <c r="E391" i="13" s="1"/>
  <c r="O115" i="16"/>
  <c r="O155" i="16" s="1"/>
  <c r="D279" i="13" s="1"/>
  <c r="D356" i="13" s="1"/>
  <c r="P110" i="16"/>
  <c r="P150" i="16" s="1"/>
  <c r="E274" i="13" s="1"/>
  <c r="E351" i="13" s="1"/>
  <c r="P108" i="16"/>
  <c r="P148" i="16" s="1"/>
  <c r="E272" i="13" s="1"/>
  <c r="E349" i="13" s="1"/>
  <c r="P131" i="16"/>
  <c r="P171" i="16" s="1"/>
  <c r="E310" i="13" s="1"/>
  <c r="E387" i="13" s="1"/>
  <c r="O127" i="16"/>
  <c r="O167" i="16" s="1"/>
  <c r="O112" i="16"/>
  <c r="O152" i="16" s="1"/>
  <c r="D276" i="13" s="1"/>
  <c r="P115" i="16"/>
  <c r="P155" i="16" s="1"/>
  <c r="E279" i="13" s="1"/>
  <c r="E356" i="13" s="1"/>
  <c r="O134" i="16"/>
  <c r="O174" i="16" s="1"/>
  <c r="D313" i="13" s="1"/>
  <c r="D390" i="13" s="1"/>
  <c r="O131" i="16"/>
  <c r="O171" i="16" s="1"/>
  <c r="D310" i="13" s="1"/>
  <c r="O118" i="16"/>
  <c r="O158" i="16" s="1"/>
  <c r="D282" i="13" s="1"/>
  <c r="D359" i="13" s="1"/>
  <c r="P113" i="16"/>
  <c r="P153" i="16" s="1"/>
  <c r="E277" i="13" s="1"/>
  <c r="E354" i="13" s="1"/>
  <c r="P129" i="16"/>
  <c r="P169" i="16" s="1"/>
  <c r="E308" i="13" s="1"/>
  <c r="E385" i="13" s="1"/>
  <c r="O138" i="16"/>
  <c r="O178" i="16" s="1"/>
  <c r="D317" i="13" s="1"/>
  <c r="D394" i="13" s="1"/>
  <c r="P134" i="16"/>
  <c r="P174" i="16" s="1"/>
  <c r="E313" i="13" s="1"/>
  <c r="E390" i="13" s="1"/>
  <c r="P109" i="16"/>
  <c r="P149" i="16" s="1"/>
  <c r="E273" i="13" s="1"/>
  <c r="E350" i="13" s="1"/>
  <c r="P116" i="16"/>
  <c r="P156" i="16" s="1"/>
  <c r="E280" i="13" s="1"/>
  <c r="E357" i="13" s="1"/>
  <c r="O108" i="16"/>
  <c r="O148" i="16" s="1"/>
  <c r="O133" i="16"/>
  <c r="O173" i="16" s="1"/>
  <c r="D312" i="13" s="1"/>
  <c r="D389" i="13" s="1"/>
  <c r="K131" i="13"/>
  <c r="K152" i="13" s="1"/>
  <c r="K147" i="13"/>
  <c r="M147" i="13"/>
  <c r="M131" i="13"/>
  <c r="M152" i="13" s="1"/>
  <c r="U134" i="16"/>
  <c r="U174" i="16" s="1"/>
  <c r="J313" i="13" s="1"/>
  <c r="J390" i="13" s="1"/>
  <c r="V119" i="16"/>
  <c r="V159" i="16" s="1"/>
  <c r="K283" i="13" s="1"/>
  <c r="K360" i="13" s="1"/>
  <c r="U109" i="16"/>
  <c r="U149" i="16" s="1"/>
  <c r="J273" i="13" s="1"/>
  <c r="V112" i="16"/>
  <c r="V152" i="16" s="1"/>
  <c r="K276" i="13" s="1"/>
  <c r="K353" i="13" s="1"/>
  <c r="V131" i="16"/>
  <c r="V171" i="16" s="1"/>
  <c r="K310" i="13" s="1"/>
  <c r="K387" i="13" s="1"/>
  <c r="U118" i="16"/>
  <c r="U158" i="16" s="1"/>
  <c r="J282" i="13" s="1"/>
  <c r="J359" i="13" s="1"/>
  <c r="U113" i="16"/>
  <c r="U153" i="16" s="1"/>
  <c r="J277" i="13" s="1"/>
  <c r="J354" i="13" s="1"/>
  <c r="V115" i="16"/>
  <c r="V155" i="16" s="1"/>
  <c r="K279" i="13" s="1"/>
  <c r="K356" i="13" s="1"/>
  <c r="U110" i="16"/>
  <c r="U150" i="16" s="1"/>
  <c r="J274" i="13" s="1"/>
  <c r="V137" i="16"/>
  <c r="V177" i="16" s="1"/>
  <c r="K316" i="13" s="1"/>
  <c r="K393" i="13" s="1"/>
  <c r="V111" i="16"/>
  <c r="V151" i="16" s="1"/>
  <c r="K275" i="13" s="1"/>
  <c r="K352" i="13" s="1"/>
  <c r="U132" i="16"/>
  <c r="U172" i="16" s="1"/>
  <c r="J311" i="13" s="1"/>
  <c r="J388" i="13" s="1"/>
  <c r="U112" i="16"/>
  <c r="U152" i="16" s="1"/>
  <c r="J276" i="13" s="1"/>
  <c r="U135" i="16"/>
  <c r="U175" i="16" s="1"/>
  <c r="J314" i="13" s="1"/>
  <c r="J391" i="13" s="1"/>
  <c r="V116" i="16"/>
  <c r="V156" i="16" s="1"/>
  <c r="K280" i="13" s="1"/>
  <c r="K357" i="13" s="1"/>
  <c r="V127" i="16"/>
  <c r="V167" i="16" s="1"/>
  <c r="K306" i="13" s="1"/>
  <c r="K383" i="13" s="1"/>
  <c r="U128" i="16"/>
  <c r="U168" i="16" s="1"/>
  <c r="J307" i="13" s="1"/>
  <c r="U137" i="16"/>
  <c r="U177" i="16" s="1"/>
  <c r="J316" i="13" s="1"/>
  <c r="J393" i="13" s="1"/>
  <c r="V110" i="16"/>
  <c r="V150" i="16" s="1"/>
  <c r="K274" i="13" s="1"/>
  <c r="K351" i="13" s="1"/>
  <c r="V130" i="16"/>
  <c r="V170" i="16" s="1"/>
  <c r="K309" i="13" s="1"/>
  <c r="K386" i="13" s="1"/>
  <c r="U127" i="16"/>
  <c r="U167" i="16" s="1"/>
  <c r="V117" i="16"/>
  <c r="V157" i="16" s="1"/>
  <c r="K281" i="13" s="1"/>
  <c r="K358" i="13" s="1"/>
  <c r="V118" i="16"/>
  <c r="V158" i="16" s="1"/>
  <c r="K282" i="13" s="1"/>
  <c r="K359" i="13" s="1"/>
  <c r="U114" i="16"/>
  <c r="U154" i="16" s="1"/>
  <c r="J278" i="13" s="1"/>
  <c r="J355" i="13" s="1"/>
  <c r="V128" i="16"/>
  <c r="V168" i="16" s="1"/>
  <c r="K307" i="13" s="1"/>
  <c r="K384" i="13" s="1"/>
  <c r="U133" i="16"/>
  <c r="U173" i="16" s="1"/>
  <c r="J312" i="13" s="1"/>
  <c r="J389" i="13" s="1"/>
  <c r="V135" i="16"/>
  <c r="V175" i="16" s="1"/>
  <c r="K314" i="13" s="1"/>
  <c r="K391" i="13" s="1"/>
  <c r="V129" i="16"/>
  <c r="V169" i="16" s="1"/>
  <c r="K308" i="13" s="1"/>
  <c r="K385" i="13" s="1"/>
  <c r="V136" i="16"/>
  <c r="V176" i="16" s="1"/>
  <c r="K315" i="13" s="1"/>
  <c r="K392" i="13" s="1"/>
  <c r="U138" i="16"/>
  <c r="U178" i="16" s="1"/>
  <c r="J317" i="13" s="1"/>
  <c r="J394" i="13" s="1"/>
  <c r="U108" i="16"/>
  <c r="U148" i="16" s="1"/>
  <c r="U130" i="16"/>
  <c r="U170" i="16" s="1"/>
  <c r="J309" i="13" s="1"/>
  <c r="U117" i="16"/>
  <c r="U157" i="16" s="1"/>
  <c r="J281" i="13" s="1"/>
  <c r="J358" i="13" s="1"/>
  <c r="V108" i="16"/>
  <c r="V148" i="16" s="1"/>
  <c r="K272" i="13" s="1"/>
  <c r="K349" i="13" s="1"/>
  <c r="V113" i="16"/>
  <c r="V153" i="16" s="1"/>
  <c r="K277" i="13" s="1"/>
  <c r="K354" i="13" s="1"/>
  <c r="U115" i="16"/>
  <c r="U155" i="16" s="1"/>
  <c r="J279" i="13" s="1"/>
  <c r="J356" i="13" s="1"/>
  <c r="U129" i="16"/>
  <c r="U169" i="16" s="1"/>
  <c r="J308" i="13" s="1"/>
  <c r="V133" i="16"/>
  <c r="V173" i="16" s="1"/>
  <c r="K312" i="13" s="1"/>
  <c r="K389" i="13" s="1"/>
  <c r="V132" i="16"/>
  <c r="V172" i="16" s="1"/>
  <c r="K311" i="13" s="1"/>
  <c r="K388" i="13" s="1"/>
  <c r="V134" i="16"/>
  <c r="V174" i="16" s="1"/>
  <c r="K313" i="13" s="1"/>
  <c r="K390" i="13" s="1"/>
  <c r="U111" i="16"/>
  <c r="U151" i="16" s="1"/>
  <c r="J275" i="13" s="1"/>
  <c r="U131" i="16"/>
  <c r="U171" i="16" s="1"/>
  <c r="J310" i="13" s="1"/>
  <c r="V109" i="16"/>
  <c r="V149" i="16" s="1"/>
  <c r="K273" i="13" s="1"/>
  <c r="K350" i="13" s="1"/>
  <c r="U136" i="16"/>
  <c r="U176" i="16" s="1"/>
  <c r="J315" i="13" s="1"/>
  <c r="J392" i="13" s="1"/>
  <c r="U119" i="16"/>
  <c r="U159" i="16" s="1"/>
  <c r="J283" i="13" s="1"/>
  <c r="J360" i="13" s="1"/>
  <c r="V114" i="16"/>
  <c r="V154" i="16" s="1"/>
  <c r="K278" i="13" s="1"/>
  <c r="K355" i="13" s="1"/>
  <c r="V138" i="16"/>
  <c r="V178" i="16" s="1"/>
  <c r="K317" i="13" s="1"/>
  <c r="K394" i="13" s="1"/>
  <c r="U116" i="16"/>
  <c r="U156" i="16" s="1"/>
  <c r="J280" i="13" s="1"/>
  <c r="J357" i="13" s="1"/>
  <c r="L145" i="13"/>
  <c r="L144" i="13" s="1"/>
  <c r="L123" i="13"/>
  <c r="L128" i="13" s="1"/>
  <c r="L149" i="13" s="1"/>
  <c r="L129" i="13"/>
  <c r="L150" i="13" s="1"/>
  <c r="M145" i="13"/>
  <c r="M144" i="13" s="1"/>
  <c r="M123" i="13"/>
  <c r="M128" i="13" s="1"/>
  <c r="M149" i="13" s="1"/>
  <c r="M129" i="13"/>
  <c r="M150" i="13" s="1"/>
  <c r="J145" i="13"/>
  <c r="J123" i="13"/>
  <c r="J128" i="13" s="1"/>
  <c r="J149" i="13" s="1"/>
  <c r="J129" i="13"/>
  <c r="J150" i="13" s="1"/>
  <c r="C275" i="18"/>
  <c r="D275" i="18" s="1"/>
  <c r="I214" i="16"/>
  <c r="I210" i="16"/>
  <c r="V197" i="16"/>
  <c r="H214" i="16"/>
  <c r="H210" i="16"/>
  <c r="S197" i="16"/>
  <c r="J255" i="13"/>
  <c r="M130" i="13"/>
  <c r="M151" i="13" s="1"/>
  <c r="M146" i="13"/>
  <c r="S130" i="16"/>
  <c r="S170" i="16" s="1"/>
  <c r="H309" i="13" s="1"/>
  <c r="H386" i="13" s="1"/>
  <c r="R133" i="16"/>
  <c r="R173" i="16" s="1"/>
  <c r="G312" i="13" s="1"/>
  <c r="G389" i="13" s="1"/>
  <c r="R137" i="16"/>
  <c r="R177" i="16" s="1"/>
  <c r="G316" i="13" s="1"/>
  <c r="G393" i="13" s="1"/>
  <c r="R129" i="16"/>
  <c r="R169" i="16" s="1"/>
  <c r="G308" i="13" s="1"/>
  <c r="R118" i="16"/>
  <c r="R158" i="16" s="1"/>
  <c r="G282" i="13" s="1"/>
  <c r="G359" i="13" s="1"/>
  <c r="S115" i="16"/>
  <c r="S155" i="16" s="1"/>
  <c r="H279" i="13" s="1"/>
  <c r="H356" i="13" s="1"/>
  <c r="S131" i="16"/>
  <c r="S171" i="16" s="1"/>
  <c r="H310" i="13" s="1"/>
  <c r="H387" i="13" s="1"/>
  <c r="S133" i="16"/>
  <c r="S173" i="16" s="1"/>
  <c r="H312" i="13" s="1"/>
  <c r="H389" i="13" s="1"/>
  <c r="R109" i="16"/>
  <c r="R149" i="16" s="1"/>
  <c r="G273" i="13" s="1"/>
  <c r="R114" i="16"/>
  <c r="R154" i="16" s="1"/>
  <c r="G278" i="13" s="1"/>
  <c r="G355" i="13" s="1"/>
  <c r="R136" i="16"/>
  <c r="R176" i="16" s="1"/>
  <c r="G315" i="13" s="1"/>
  <c r="G392" i="13" s="1"/>
  <c r="S116" i="16"/>
  <c r="S156" i="16" s="1"/>
  <c r="H280" i="13" s="1"/>
  <c r="H357" i="13" s="1"/>
  <c r="R135" i="16"/>
  <c r="R175" i="16" s="1"/>
  <c r="G314" i="13" s="1"/>
  <c r="G391" i="13" s="1"/>
  <c r="S136" i="16"/>
  <c r="S176" i="16" s="1"/>
  <c r="H315" i="13" s="1"/>
  <c r="H392" i="13" s="1"/>
  <c r="R132" i="16"/>
  <c r="R172" i="16" s="1"/>
  <c r="G311" i="13" s="1"/>
  <c r="G388" i="13" s="1"/>
  <c r="R127" i="16"/>
  <c r="R167" i="16" s="1"/>
  <c r="S134" i="16"/>
  <c r="S174" i="16" s="1"/>
  <c r="H313" i="13" s="1"/>
  <c r="H390" i="13" s="1"/>
  <c r="S113" i="16"/>
  <c r="S153" i="16" s="1"/>
  <c r="H277" i="13" s="1"/>
  <c r="H354" i="13" s="1"/>
  <c r="S119" i="16"/>
  <c r="S159" i="16" s="1"/>
  <c r="H283" i="13" s="1"/>
  <c r="H360" i="13" s="1"/>
  <c r="S129" i="16"/>
  <c r="S169" i="16" s="1"/>
  <c r="H308" i="13" s="1"/>
  <c r="H385" i="13" s="1"/>
  <c r="S138" i="16"/>
  <c r="S178" i="16" s="1"/>
  <c r="H317" i="13" s="1"/>
  <c r="H394" i="13" s="1"/>
  <c r="R131" i="16"/>
  <c r="R171" i="16" s="1"/>
  <c r="G310" i="13" s="1"/>
  <c r="R111" i="16"/>
  <c r="R151" i="16" s="1"/>
  <c r="G275" i="13" s="1"/>
  <c r="R112" i="16"/>
  <c r="R152" i="16" s="1"/>
  <c r="G276" i="13" s="1"/>
  <c r="S109" i="16"/>
  <c r="S149" i="16" s="1"/>
  <c r="H273" i="13" s="1"/>
  <c r="H350" i="13" s="1"/>
  <c r="S108" i="16"/>
  <c r="S148" i="16" s="1"/>
  <c r="H272" i="13" s="1"/>
  <c r="H349" i="13" s="1"/>
  <c r="R138" i="16"/>
  <c r="R178" i="16" s="1"/>
  <c r="G317" i="13" s="1"/>
  <c r="G394" i="13" s="1"/>
  <c r="S117" i="16"/>
  <c r="S157" i="16" s="1"/>
  <c r="H281" i="13" s="1"/>
  <c r="H358" i="13" s="1"/>
  <c r="R108" i="16"/>
  <c r="R148" i="16" s="1"/>
  <c r="R115" i="16"/>
  <c r="R155" i="16" s="1"/>
  <c r="G279" i="13" s="1"/>
  <c r="G356" i="13" s="1"/>
  <c r="S128" i="16"/>
  <c r="S168" i="16" s="1"/>
  <c r="H307" i="13" s="1"/>
  <c r="H384" i="13" s="1"/>
  <c r="R113" i="16"/>
  <c r="R153" i="16" s="1"/>
  <c r="G277" i="13" s="1"/>
  <c r="G354" i="13" s="1"/>
  <c r="S118" i="16"/>
  <c r="S158" i="16" s="1"/>
  <c r="H282" i="13" s="1"/>
  <c r="H359" i="13" s="1"/>
  <c r="S114" i="16"/>
  <c r="S154" i="16" s="1"/>
  <c r="H278" i="13" s="1"/>
  <c r="H355" i="13" s="1"/>
  <c r="R110" i="16"/>
  <c r="R150" i="16" s="1"/>
  <c r="G274" i="13" s="1"/>
  <c r="S127" i="16"/>
  <c r="S167" i="16" s="1"/>
  <c r="H306" i="13" s="1"/>
  <c r="H383" i="13" s="1"/>
  <c r="S135" i="16"/>
  <c r="S175" i="16" s="1"/>
  <c r="H314" i="13" s="1"/>
  <c r="H391" i="13" s="1"/>
  <c r="R119" i="16"/>
  <c r="R159" i="16" s="1"/>
  <c r="G283" i="13" s="1"/>
  <c r="G360" i="13" s="1"/>
  <c r="R116" i="16"/>
  <c r="R156" i="16" s="1"/>
  <c r="G280" i="13" s="1"/>
  <c r="G357" i="13" s="1"/>
  <c r="R130" i="16"/>
  <c r="R170" i="16" s="1"/>
  <c r="G309" i="13" s="1"/>
  <c r="S111" i="16"/>
  <c r="S151" i="16" s="1"/>
  <c r="H275" i="13" s="1"/>
  <c r="H352" i="13" s="1"/>
  <c r="S132" i="16"/>
  <c r="S172" i="16" s="1"/>
  <c r="H311" i="13" s="1"/>
  <c r="H388" i="13" s="1"/>
  <c r="S137" i="16"/>
  <c r="S177" i="16" s="1"/>
  <c r="H316" i="13" s="1"/>
  <c r="H393" i="13" s="1"/>
  <c r="S110" i="16"/>
  <c r="S150" i="16" s="1"/>
  <c r="H274" i="13" s="1"/>
  <c r="H351" i="13" s="1"/>
  <c r="R128" i="16"/>
  <c r="R168" i="16" s="1"/>
  <c r="G307" i="13" s="1"/>
  <c r="R134" i="16"/>
  <c r="R174" i="16" s="1"/>
  <c r="G313" i="13" s="1"/>
  <c r="G390" i="13" s="1"/>
  <c r="S112" i="16"/>
  <c r="S152" i="16" s="1"/>
  <c r="H276" i="13" s="1"/>
  <c r="H353" i="13" s="1"/>
  <c r="R117" i="16"/>
  <c r="R157" i="16" s="1"/>
  <c r="G281" i="13" s="1"/>
  <c r="G358" i="13" s="1"/>
  <c r="F144" i="13"/>
  <c r="C214" i="16"/>
  <c r="C210" i="16"/>
  <c r="D134" i="16"/>
  <c r="D174" i="16" s="1"/>
  <c r="E296" i="13" s="1"/>
  <c r="E373" i="13" s="1"/>
  <c r="C113" i="16"/>
  <c r="C153" i="16" s="1"/>
  <c r="D260" i="13" s="1"/>
  <c r="D337" i="13" s="1"/>
  <c r="C109" i="16"/>
  <c r="C149" i="16" s="1"/>
  <c r="D256" i="13" s="1"/>
  <c r="D333" i="13" s="1"/>
  <c r="D112" i="16"/>
  <c r="D152" i="16" s="1"/>
  <c r="E259" i="13" s="1"/>
  <c r="E336" i="13" s="1"/>
  <c r="D138" i="16"/>
  <c r="D178" i="16" s="1"/>
  <c r="E300" i="13" s="1"/>
  <c r="E377" i="13" s="1"/>
  <c r="D118" i="16"/>
  <c r="D158" i="16" s="1"/>
  <c r="E265" i="13" s="1"/>
  <c r="E342" i="13" s="1"/>
  <c r="C119" i="16"/>
  <c r="C159" i="16" s="1"/>
  <c r="D266" i="13" s="1"/>
  <c r="D343" i="13" s="1"/>
  <c r="D131" i="16"/>
  <c r="D171" i="16" s="1"/>
  <c r="E293" i="13" s="1"/>
  <c r="E370" i="13" s="1"/>
  <c r="D111" i="16"/>
  <c r="D151" i="16" s="1"/>
  <c r="E258" i="13" s="1"/>
  <c r="E335" i="13" s="1"/>
  <c r="C130" i="16"/>
  <c r="C170" i="16" s="1"/>
  <c r="D292" i="13" s="1"/>
  <c r="D369" i="13" s="1"/>
  <c r="C110" i="16"/>
  <c r="C150" i="16" s="1"/>
  <c r="D257" i="13" s="1"/>
  <c r="D334" i="13" s="1"/>
  <c r="D113" i="16"/>
  <c r="D153" i="16" s="1"/>
  <c r="E260" i="13" s="1"/>
  <c r="E337" i="13" s="1"/>
  <c r="D135" i="16"/>
  <c r="D175" i="16" s="1"/>
  <c r="E297" i="13" s="1"/>
  <c r="E374" i="13" s="1"/>
  <c r="D110" i="16"/>
  <c r="D150" i="16" s="1"/>
  <c r="E257" i="13" s="1"/>
  <c r="E334" i="13" s="1"/>
  <c r="C115" i="16"/>
  <c r="C155" i="16" s="1"/>
  <c r="D262" i="13" s="1"/>
  <c r="D339" i="13" s="1"/>
  <c r="C111" i="16"/>
  <c r="C151" i="16" s="1"/>
  <c r="D258" i="13" s="1"/>
  <c r="D335" i="13" s="1"/>
  <c r="C132" i="16"/>
  <c r="C172" i="16" s="1"/>
  <c r="D294" i="13" s="1"/>
  <c r="D371" i="13" s="1"/>
  <c r="D130" i="16"/>
  <c r="D170" i="16" s="1"/>
  <c r="E292" i="13" s="1"/>
  <c r="E369" i="13" s="1"/>
  <c r="C127" i="16"/>
  <c r="C167" i="16" s="1"/>
  <c r="D115" i="16"/>
  <c r="D155" i="16" s="1"/>
  <c r="E262" i="13" s="1"/>
  <c r="E339" i="13" s="1"/>
  <c r="C134" i="16"/>
  <c r="C174" i="16" s="1"/>
  <c r="D296" i="13" s="1"/>
  <c r="D373" i="13" s="1"/>
  <c r="C114" i="16"/>
  <c r="C154" i="16" s="1"/>
  <c r="D261" i="13" s="1"/>
  <c r="D338" i="13" s="1"/>
  <c r="D132" i="16"/>
  <c r="D172" i="16" s="1"/>
  <c r="E294" i="13" s="1"/>
  <c r="E371" i="13" s="1"/>
  <c r="C133" i="16"/>
  <c r="C173" i="16" s="1"/>
  <c r="D295" i="13" s="1"/>
  <c r="D372" i="13" s="1"/>
  <c r="C138" i="16"/>
  <c r="C178" i="16" s="1"/>
  <c r="D300" i="13" s="1"/>
  <c r="D377" i="13" s="1"/>
  <c r="C108" i="16"/>
  <c r="C148" i="16" s="1"/>
  <c r="C118" i="16"/>
  <c r="C158" i="16" s="1"/>
  <c r="D265" i="13" s="1"/>
  <c r="D136" i="16"/>
  <c r="D176" i="16" s="1"/>
  <c r="E298" i="13" s="1"/>
  <c r="E375" i="13" s="1"/>
  <c r="D116" i="16"/>
  <c r="D156" i="16" s="1"/>
  <c r="E263" i="13" s="1"/>
  <c r="E340" i="13" s="1"/>
  <c r="C117" i="16"/>
  <c r="C157" i="16" s="1"/>
  <c r="D264" i="13" s="1"/>
  <c r="D341" i="13" s="1"/>
  <c r="D119" i="16"/>
  <c r="D159" i="16" s="1"/>
  <c r="E266" i="13" s="1"/>
  <c r="E343" i="13" s="1"/>
  <c r="D129" i="16"/>
  <c r="D169" i="16" s="1"/>
  <c r="E291" i="13" s="1"/>
  <c r="E368" i="13" s="1"/>
  <c r="D109" i="16"/>
  <c r="D149" i="16" s="1"/>
  <c r="E256" i="13" s="1"/>
  <c r="E333" i="13" s="1"/>
  <c r="C128" i="16"/>
  <c r="C168" i="16" s="1"/>
  <c r="D290" i="13" s="1"/>
  <c r="D367" i="13" s="1"/>
  <c r="C112" i="16"/>
  <c r="C152" i="16" s="1"/>
  <c r="D259" i="13" s="1"/>
  <c r="D336" i="13" s="1"/>
  <c r="D108" i="16"/>
  <c r="D148" i="16" s="1"/>
  <c r="E255" i="13" s="1"/>
  <c r="E332" i="13" s="1"/>
  <c r="D137" i="16"/>
  <c r="D177" i="16" s="1"/>
  <c r="E299" i="13" s="1"/>
  <c r="E376" i="13" s="1"/>
  <c r="D133" i="16"/>
  <c r="D173" i="16" s="1"/>
  <c r="E295" i="13" s="1"/>
  <c r="E372" i="13" s="1"/>
  <c r="C136" i="16"/>
  <c r="C176" i="16" s="1"/>
  <c r="D298" i="13" s="1"/>
  <c r="D375" i="13" s="1"/>
  <c r="C116" i="16"/>
  <c r="C156" i="16" s="1"/>
  <c r="D263" i="13" s="1"/>
  <c r="D340" i="13" s="1"/>
  <c r="C131" i="16"/>
  <c r="C171" i="16" s="1"/>
  <c r="D293" i="13" s="1"/>
  <c r="D370" i="13" s="1"/>
  <c r="D114" i="16"/>
  <c r="D154" i="16" s="1"/>
  <c r="E261" i="13" s="1"/>
  <c r="C129" i="16"/>
  <c r="C169" i="16" s="1"/>
  <c r="D291" i="13" s="1"/>
  <c r="D368" i="13" s="1"/>
  <c r="D117" i="16"/>
  <c r="D157" i="16" s="1"/>
  <c r="E264" i="13" s="1"/>
  <c r="E341" i="13" s="1"/>
  <c r="D127" i="16"/>
  <c r="D167" i="16" s="1"/>
  <c r="E289" i="13" s="1"/>
  <c r="D128" i="16"/>
  <c r="D168" i="16" s="1"/>
  <c r="E290" i="13" s="1"/>
  <c r="E367" i="13" s="1"/>
  <c r="C137" i="16"/>
  <c r="C177" i="16" s="1"/>
  <c r="D299" i="13" s="1"/>
  <c r="D376" i="13" s="1"/>
  <c r="C135" i="16"/>
  <c r="C175" i="16" s="1"/>
  <c r="D297" i="13" s="1"/>
  <c r="D374" i="13" s="1"/>
  <c r="E237" i="16"/>
  <c r="N318" i="13"/>
  <c r="N319" i="13" s="1"/>
  <c r="N396" i="13" s="1"/>
  <c r="N285" i="13"/>
  <c r="N362" i="13" s="1"/>
  <c r="H318" i="13"/>
  <c r="H395" i="13" s="1"/>
  <c r="H285" i="13"/>
  <c r="H362" i="13" s="1"/>
  <c r="AH105" i="5"/>
  <c r="AF94" i="5"/>
  <c r="N267" i="13"/>
  <c r="N344" i="13" s="1"/>
  <c r="I135" i="13"/>
  <c r="E284" i="13"/>
  <c r="E318" i="13" s="1"/>
  <c r="J135" i="13"/>
  <c r="AM105" i="5"/>
  <c r="X94" i="5"/>
  <c r="S94" i="5"/>
  <c r="G200" i="16"/>
  <c r="G204" i="16" s="1"/>
  <c r="L155" i="13"/>
  <c r="I237" i="16"/>
  <c r="M155" i="13"/>
  <c r="J237" i="16"/>
  <c r="K155" i="13"/>
  <c r="H237" i="16"/>
  <c r="C332" i="18"/>
  <c r="D332" i="18" s="1"/>
  <c r="C314" i="18"/>
  <c r="D314" i="18" s="1"/>
  <c r="C296" i="18"/>
  <c r="D296" i="18" s="1"/>
  <c r="C350" i="18"/>
  <c r="D350" i="18" s="1"/>
  <c r="H122" i="13"/>
  <c r="H142" i="13"/>
  <c r="H143" i="13" s="1"/>
  <c r="C260" i="18"/>
  <c r="D260" i="18" s="1"/>
  <c r="D261" i="18" s="1"/>
  <c r="D252" i="18"/>
  <c r="F379" i="13"/>
  <c r="F345" i="13"/>
  <c r="D216" i="18"/>
  <c r="G323" i="13"/>
  <c r="G324" i="13" s="1"/>
  <c r="E319" i="27" l="1"/>
  <c r="N395" i="13"/>
  <c r="D408" i="27"/>
  <c r="F408" i="27" s="1"/>
  <c r="D312" i="27"/>
  <c r="F312" i="27" s="1"/>
  <c r="E271" i="27"/>
  <c r="E367" i="27"/>
  <c r="AA94" i="5"/>
  <c r="R91" i="16" s="1"/>
  <c r="H219" i="16" s="1"/>
  <c r="H220" i="16" s="1"/>
  <c r="H222" i="16" s="1"/>
  <c r="N94" i="5"/>
  <c r="K267" i="13"/>
  <c r="E360" i="27"/>
  <c r="G360" i="27" s="1"/>
  <c r="H179" i="16"/>
  <c r="K285" i="13"/>
  <c r="K362" i="13" s="1"/>
  <c r="H184" i="16"/>
  <c r="J184" i="16" s="1"/>
  <c r="J186" i="16" s="1"/>
  <c r="H160" i="16"/>
  <c r="K318" i="13"/>
  <c r="K319" i="13" s="1"/>
  <c r="K396" i="13" s="1"/>
  <c r="N123" i="13"/>
  <c r="N128" i="13" s="1"/>
  <c r="N149" i="13" s="1"/>
  <c r="N147" i="13"/>
  <c r="N146" i="13"/>
  <c r="M200" i="16"/>
  <c r="M204" i="16" s="1"/>
  <c r="J144" i="13"/>
  <c r="N144" i="13" s="1"/>
  <c r="N145" i="13"/>
  <c r="G350" i="13"/>
  <c r="C301" i="18"/>
  <c r="D301" i="18" s="1"/>
  <c r="D386" i="13"/>
  <c r="C294" i="18"/>
  <c r="D294" i="18" s="1"/>
  <c r="D384" i="13"/>
  <c r="C292" i="18"/>
  <c r="D292" i="18" s="1"/>
  <c r="M386" i="13"/>
  <c r="C348" i="18"/>
  <c r="D348" i="18" s="1"/>
  <c r="M366" i="13"/>
  <c r="C273" i="18"/>
  <c r="D273" i="18" s="1"/>
  <c r="L302" i="13"/>
  <c r="G386" i="13"/>
  <c r="C312" i="18"/>
  <c r="D312" i="18" s="1"/>
  <c r="G353" i="13"/>
  <c r="C304" i="18"/>
  <c r="D304" i="18" s="1"/>
  <c r="G306" i="13"/>
  <c r="Q179" i="16"/>
  <c r="J385" i="13"/>
  <c r="C329" i="18"/>
  <c r="D329" i="18" s="1"/>
  <c r="J306" i="13"/>
  <c r="T179" i="16"/>
  <c r="J353" i="13"/>
  <c r="C322" i="18"/>
  <c r="D322" i="18" s="1"/>
  <c r="D350" i="13"/>
  <c r="C283" i="18"/>
  <c r="D283" i="18" s="1"/>
  <c r="M387" i="13"/>
  <c r="C349" i="18"/>
  <c r="D349" i="18" s="1"/>
  <c r="G352" i="13"/>
  <c r="C303" i="18"/>
  <c r="D303" i="18" s="1"/>
  <c r="M351" i="13"/>
  <c r="C338" i="18"/>
  <c r="D338" i="18" s="1"/>
  <c r="M306" i="13"/>
  <c r="W179" i="16"/>
  <c r="M385" i="13"/>
  <c r="C347" i="18"/>
  <c r="D347" i="18" s="1"/>
  <c r="J366" i="13"/>
  <c r="I302" i="13"/>
  <c r="G387" i="13"/>
  <c r="C313" i="18"/>
  <c r="D313" i="18" s="1"/>
  <c r="J350" i="13"/>
  <c r="C319" i="18"/>
  <c r="D319" i="18" s="1"/>
  <c r="D272" i="13"/>
  <c r="N160" i="16"/>
  <c r="N184" i="16"/>
  <c r="P184" i="16" s="1"/>
  <c r="P186" i="16" s="1"/>
  <c r="D387" i="13"/>
  <c r="C295" i="18"/>
  <c r="D295" i="18" s="1"/>
  <c r="G384" i="13"/>
  <c r="C310" i="18"/>
  <c r="D310" i="18" s="1"/>
  <c r="G272" i="13"/>
  <c r="Q160" i="16"/>
  <c r="Q184" i="16"/>
  <c r="S184" i="16" s="1"/>
  <c r="S186" i="16" s="1"/>
  <c r="J387" i="13"/>
  <c r="C331" i="18"/>
  <c r="D331" i="18" s="1"/>
  <c r="M332" i="13"/>
  <c r="L268" i="13"/>
  <c r="G385" i="13"/>
  <c r="C311" i="18"/>
  <c r="D311" i="18" s="1"/>
  <c r="J332" i="13"/>
  <c r="I268" i="13"/>
  <c r="J352" i="13"/>
  <c r="C321" i="18"/>
  <c r="D321" i="18" s="1"/>
  <c r="J384" i="13"/>
  <c r="C328" i="18"/>
  <c r="D328" i="18" s="1"/>
  <c r="J351" i="13"/>
  <c r="C320" i="18"/>
  <c r="D320" i="18" s="1"/>
  <c r="M353" i="13"/>
  <c r="C340" i="18"/>
  <c r="D340" i="18" s="1"/>
  <c r="M384" i="13"/>
  <c r="C346" i="18"/>
  <c r="D346" i="18" s="1"/>
  <c r="M350" i="13"/>
  <c r="C337" i="18"/>
  <c r="D337" i="18" s="1"/>
  <c r="G351" i="13"/>
  <c r="C302" i="18"/>
  <c r="D302" i="18" s="1"/>
  <c r="J386" i="13"/>
  <c r="C330" i="18"/>
  <c r="D330" i="18" s="1"/>
  <c r="D353" i="13"/>
  <c r="C286" i="18"/>
  <c r="D286" i="18" s="1"/>
  <c r="D352" i="13"/>
  <c r="C285" i="18"/>
  <c r="D285" i="18" s="1"/>
  <c r="M352" i="13"/>
  <c r="C339" i="18"/>
  <c r="D339" i="18" s="1"/>
  <c r="E361" i="13"/>
  <c r="E264" i="27" s="1"/>
  <c r="G264" i="27" s="1"/>
  <c r="J272" i="13"/>
  <c r="T160" i="16"/>
  <c r="T184" i="16"/>
  <c r="V184" i="16" s="1"/>
  <c r="V186" i="16" s="1"/>
  <c r="D306" i="13"/>
  <c r="N179" i="16"/>
  <c r="D351" i="13"/>
  <c r="C284" i="18"/>
  <c r="D284" i="18" s="1"/>
  <c r="D385" i="13"/>
  <c r="C293" i="18"/>
  <c r="D293" i="18" s="1"/>
  <c r="M272" i="13"/>
  <c r="W184" i="16"/>
  <c r="Y184" i="16" s="1"/>
  <c r="Y185" i="16" s="1"/>
  <c r="Y186" i="16" s="1"/>
  <c r="W160" i="16"/>
  <c r="O14" i="18"/>
  <c r="E366" i="13"/>
  <c r="O12" i="18"/>
  <c r="D342" i="13"/>
  <c r="D289" i="13"/>
  <c r="B179" i="16"/>
  <c r="O13" i="18"/>
  <c r="E338" i="13"/>
  <c r="D255" i="13"/>
  <c r="B160" i="16"/>
  <c r="B184" i="16"/>
  <c r="D184" i="16" s="1"/>
  <c r="D186" i="16" s="1"/>
  <c r="E240" i="16"/>
  <c r="E255" i="16"/>
  <c r="E175" i="27"/>
  <c r="D216" i="27"/>
  <c r="F216" i="27" s="1"/>
  <c r="E216" i="27"/>
  <c r="G216" i="27" s="1"/>
  <c r="I96" i="27"/>
  <c r="I93" i="27"/>
  <c r="I87" i="27"/>
  <c r="H94" i="27"/>
  <c r="H91" i="27"/>
  <c r="H88" i="27"/>
  <c r="H93" i="27"/>
  <c r="I97" i="27"/>
  <c r="I91" i="27"/>
  <c r="I88" i="27"/>
  <c r="I90" i="27"/>
  <c r="H97" i="27"/>
  <c r="H95" i="27"/>
  <c r="I94" i="27"/>
  <c r="H86" i="27"/>
  <c r="H87" i="27"/>
  <c r="I95" i="27"/>
  <c r="I92" i="27"/>
  <c r="H89" i="27"/>
  <c r="I89" i="27"/>
  <c r="H96" i="27"/>
  <c r="H92" i="27"/>
  <c r="H90" i="27"/>
  <c r="I86" i="27"/>
  <c r="H106" i="27"/>
  <c r="H110" i="27"/>
  <c r="I113" i="27"/>
  <c r="H104" i="27"/>
  <c r="H113" i="27"/>
  <c r="I103" i="27"/>
  <c r="I107" i="27"/>
  <c r="I105" i="27"/>
  <c r="H111" i="27"/>
  <c r="H108" i="27"/>
  <c r="I110" i="27"/>
  <c r="H112" i="27"/>
  <c r="I104" i="27"/>
  <c r="I114" i="27"/>
  <c r="I112" i="27"/>
  <c r="H105" i="27"/>
  <c r="I108" i="27"/>
  <c r="H109" i="27"/>
  <c r="H114" i="27"/>
  <c r="H107" i="27"/>
  <c r="I111" i="27"/>
  <c r="H103" i="27"/>
  <c r="I106" i="27"/>
  <c r="I109" i="27"/>
  <c r="H319" i="13"/>
  <c r="H396" i="13" s="1"/>
  <c r="E285" i="13"/>
  <c r="E362" i="13" s="1"/>
  <c r="N301" i="13"/>
  <c r="N378" i="13" s="1"/>
  <c r="N268" i="13"/>
  <c r="N345" i="13" s="1"/>
  <c r="C269" i="18"/>
  <c r="D269" i="18" s="1"/>
  <c r="D270" i="18" s="1"/>
  <c r="E395" i="13"/>
  <c r="E319" i="13"/>
  <c r="E396" i="13" s="1"/>
  <c r="J155" i="13"/>
  <c r="G237" i="16"/>
  <c r="S105" i="5"/>
  <c r="Q94" i="5"/>
  <c r="F237" i="16"/>
  <c r="I155" i="13"/>
  <c r="K121" i="13"/>
  <c r="X105" i="5"/>
  <c r="V94" i="5"/>
  <c r="AK86" i="5"/>
  <c r="X91" i="16"/>
  <c r="J219" i="16" s="1"/>
  <c r="J220" i="16" s="1"/>
  <c r="J222" i="16" s="1"/>
  <c r="AK105" i="5"/>
  <c r="M121" i="13"/>
  <c r="AF86" i="5"/>
  <c r="U91" i="16"/>
  <c r="I219" i="16" s="1"/>
  <c r="I220" i="16" s="1"/>
  <c r="I222" i="16" s="1"/>
  <c r="AF105" i="5"/>
  <c r="L121" i="13"/>
  <c r="I240" i="16"/>
  <c r="I241" i="16"/>
  <c r="I255" i="16"/>
  <c r="H255" i="16"/>
  <c r="H241" i="16"/>
  <c r="J240" i="16"/>
  <c r="J241" i="16"/>
  <c r="J255" i="16"/>
  <c r="G400" i="13"/>
  <c r="G201" i="16"/>
  <c r="G202" i="16" s="1"/>
  <c r="X16" i="7"/>
  <c r="D70" i="3"/>
  <c r="W16" i="7"/>
  <c r="K395" i="13" l="1"/>
  <c r="AA86" i="5"/>
  <c r="AA105" i="5"/>
  <c r="AA97" i="5" s="1"/>
  <c r="H240" i="16"/>
  <c r="H242" i="16" s="1"/>
  <c r="K344" i="13"/>
  <c r="K268" i="13"/>
  <c r="K345" i="13" s="1"/>
  <c r="K301" i="13"/>
  <c r="L94" i="5"/>
  <c r="N105" i="5"/>
  <c r="E241" i="16"/>
  <c r="E242" i="16" s="1"/>
  <c r="J200" i="16"/>
  <c r="J204" i="16" s="1"/>
  <c r="V200" i="16"/>
  <c r="D342" i="18"/>
  <c r="E223" i="27"/>
  <c r="H323" i="13"/>
  <c r="S200" i="16"/>
  <c r="S204" i="16" s="1"/>
  <c r="Y200" i="16"/>
  <c r="I323" i="13"/>
  <c r="M201" i="16" s="1"/>
  <c r="M202" i="16" s="1"/>
  <c r="D264" i="27"/>
  <c r="F264" i="27" s="1"/>
  <c r="M349" i="13"/>
  <c r="L285" i="13"/>
  <c r="J349" i="13"/>
  <c r="I285" i="13"/>
  <c r="P200" i="16"/>
  <c r="P204" i="16" s="1"/>
  <c r="D150" i="27" a="1"/>
  <c r="I379" i="13"/>
  <c r="J383" i="13"/>
  <c r="C327" i="18"/>
  <c r="D327" i="18" s="1"/>
  <c r="D333" i="18" s="1"/>
  <c r="I319" i="13"/>
  <c r="D133" i="27" a="1"/>
  <c r="I345" i="13"/>
  <c r="D349" i="13"/>
  <c r="C285" i="13"/>
  <c r="G349" i="13"/>
  <c r="F285" i="13"/>
  <c r="D324" i="18"/>
  <c r="D288" i="18"/>
  <c r="D306" i="18"/>
  <c r="D383" i="13"/>
  <c r="C319" i="13"/>
  <c r="C291" i="18"/>
  <c r="D291" i="18" s="1"/>
  <c r="D297" i="18" s="1"/>
  <c r="M383" i="13"/>
  <c r="L319" i="13"/>
  <c r="C345" i="18"/>
  <c r="D345" i="18" s="1"/>
  <c r="D351" i="18" s="1"/>
  <c r="G383" i="13"/>
  <c r="C309" i="18"/>
  <c r="D309" i="18" s="1"/>
  <c r="D315" i="18" s="1"/>
  <c r="F319" i="13"/>
  <c r="D198" i="27" a="1"/>
  <c r="L379" i="13"/>
  <c r="D181" i="27" a="1"/>
  <c r="L345" i="13"/>
  <c r="D366" i="13"/>
  <c r="C302" i="13"/>
  <c r="D200" i="16"/>
  <c r="D204" i="16" s="1"/>
  <c r="D332" i="13"/>
  <c r="C268" i="13"/>
  <c r="B77" i="27"/>
  <c r="B79" i="27" s="1"/>
  <c r="C278" i="18"/>
  <c r="D278" i="18" s="1"/>
  <c r="D279" i="18" s="1"/>
  <c r="N302" i="13"/>
  <c r="N379" i="13" s="1"/>
  <c r="I223" i="16"/>
  <c r="I224" i="16" s="1"/>
  <c r="H223" i="16"/>
  <c r="H224" i="16" s="1"/>
  <c r="I246" i="16"/>
  <c r="I247" i="16" s="1"/>
  <c r="L142" i="13"/>
  <c r="L122" i="13"/>
  <c r="V86" i="5"/>
  <c r="V105" i="5"/>
  <c r="J121" i="13"/>
  <c r="O91" i="16"/>
  <c r="G219" i="16" s="1"/>
  <c r="F240" i="16"/>
  <c r="F255" i="16"/>
  <c r="F241" i="16"/>
  <c r="J223" i="16"/>
  <c r="J224" i="16" s="1"/>
  <c r="AF97" i="5"/>
  <c r="I256" i="16"/>
  <c r="I257" i="16" s="1"/>
  <c r="Q86" i="5"/>
  <c r="L91" i="16"/>
  <c r="F219" i="16" s="1"/>
  <c r="Q105" i="5"/>
  <c r="I121" i="13"/>
  <c r="K122" i="13"/>
  <c r="K142" i="13"/>
  <c r="K143" i="13" s="1"/>
  <c r="H246" i="16"/>
  <c r="H247" i="16" s="1"/>
  <c r="M122" i="13"/>
  <c r="M142" i="13"/>
  <c r="J246" i="16"/>
  <c r="J247" i="16" s="1"/>
  <c r="G241" i="16"/>
  <c r="G255" i="16"/>
  <c r="G240" i="16"/>
  <c r="AK97" i="5"/>
  <c r="J256" i="16"/>
  <c r="J257" i="16" s="1"/>
  <c r="J242" i="16"/>
  <c r="I242" i="16"/>
  <c r="H256" i="16" l="1"/>
  <c r="H257" i="16" s="1"/>
  <c r="L86" i="5"/>
  <c r="I91" i="16"/>
  <c r="E219" i="16" s="1"/>
  <c r="L105" i="5"/>
  <c r="K378" i="13"/>
  <c r="K302" i="13"/>
  <c r="K379" i="13" s="1"/>
  <c r="E127" i="27"/>
  <c r="E168" i="27"/>
  <c r="G168" i="27" s="1"/>
  <c r="D168" i="27"/>
  <c r="F168" i="27" s="1"/>
  <c r="I324" i="13"/>
  <c r="H324" i="13"/>
  <c r="J201" i="16"/>
  <c r="J202" i="16" s="1"/>
  <c r="J323" i="13"/>
  <c r="J324" i="13" s="1"/>
  <c r="I400" i="13"/>
  <c r="I401" i="13" s="1"/>
  <c r="K323" i="13"/>
  <c r="S201" i="16" s="1"/>
  <c r="S202" i="16" s="1"/>
  <c r="D198" i="27"/>
  <c r="H210" i="27"/>
  <c r="H205" i="27"/>
  <c r="I209" i="27"/>
  <c r="I204" i="27"/>
  <c r="I207" i="27"/>
  <c r="H208" i="27"/>
  <c r="H206" i="27"/>
  <c r="H202" i="27"/>
  <c r="H207" i="27"/>
  <c r="I210" i="27"/>
  <c r="H203" i="27"/>
  <c r="I202" i="27"/>
  <c r="H204" i="27"/>
  <c r="I208" i="27"/>
  <c r="H201" i="27"/>
  <c r="H199" i="27"/>
  <c r="I199" i="27"/>
  <c r="I205" i="27"/>
  <c r="I200" i="27"/>
  <c r="I201" i="27"/>
  <c r="I203" i="27"/>
  <c r="I206" i="27"/>
  <c r="H209" i="27"/>
  <c r="H200" i="27"/>
  <c r="D229" i="27" a="1"/>
  <c r="C362" i="13"/>
  <c r="D150" i="27"/>
  <c r="I152" i="27"/>
  <c r="I159" i="27"/>
  <c r="H154" i="27"/>
  <c r="H156" i="27"/>
  <c r="I156" i="27"/>
  <c r="H151" i="27"/>
  <c r="I153" i="27"/>
  <c r="I157" i="27"/>
  <c r="I155" i="27"/>
  <c r="H155" i="27"/>
  <c r="I158" i="27"/>
  <c r="H152" i="27"/>
  <c r="I151" i="27"/>
  <c r="H162" i="27"/>
  <c r="H158" i="27"/>
  <c r="I162" i="27"/>
  <c r="H157" i="27"/>
  <c r="H159" i="27"/>
  <c r="H160" i="27"/>
  <c r="I161" i="27"/>
  <c r="H161" i="27"/>
  <c r="H153" i="27"/>
  <c r="I160" i="27"/>
  <c r="I154" i="27"/>
  <c r="D246" i="27" a="1"/>
  <c r="C396" i="13"/>
  <c r="H400" i="13"/>
  <c r="H401" i="13" s="1"/>
  <c r="D133" i="27"/>
  <c r="H139" i="27"/>
  <c r="I143" i="27"/>
  <c r="I145" i="27"/>
  <c r="H141" i="27"/>
  <c r="I142" i="27"/>
  <c r="I135" i="27"/>
  <c r="H137" i="27"/>
  <c r="I139" i="27"/>
  <c r="I140" i="27"/>
  <c r="I144" i="27"/>
  <c r="H136" i="27"/>
  <c r="I136" i="27"/>
  <c r="I141" i="27"/>
  <c r="H142" i="27"/>
  <c r="I137" i="27"/>
  <c r="H143" i="27"/>
  <c r="I134" i="27"/>
  <c r="H140" i="27"/>
  <c r="H145" i="27"/>
  <c r="I138" i="27"/>
  <c r="H134" i="27"/>
  <c r="H135" i="27"/>
  <c r="H138" i="27"/>
  <c r="H144" i="27"/>
  <c r="L323" i="13"/>
  <c r="D294" i="27" a="1"/>
  <c r="F396" i="13"/>
  <c r="D325" i="27" a="1"/>
  <c r="I362" i="13"/>
  <c r="M323" i="13"/>
  <c r="D342" i="27" a="1"/>
  <c r="I396" i="13"/>
  <c r="D373" i="27" a="1"/>
  <c r="L362" i="13"/>
  <c r="D181" i="27"/>
  <c r="I189" i="27"/>
  <c r="H184" i="27"/>
  <c r="I186" i="27"/>
  <c r="I193" i="27"/>
  <c r="I185" i="27"/>
  <c r="H193" i="27"/>
  <c r="I183" i="27"/>
  <c r="H191" i="27"/>
  <c r="H187" i="27"/>
  <c r="I184" i="27"/>
  <c r="I191" i="27"/>
  <c r="I182" i="27"/>
  <c r="I192" i="27"/>
  <c r="H185" i="27"/>
  <c r="H188" i="27"/>
  <c r="I187" i="27"/>
  <c r="H182" i="27"/>
  <c r="H189" i="27"/>
  <c r="H190" i="27"/>
  <c r="H183" i="27"/>
  <c r="H186" i="27"/>
  <c r="H192" i="27"/>
  <c r="I188" i="27"/>
  <c r="I190" i="27"/>
  <c r="D390" i="27" a="1"/>
  <c r="L396" i="13"/>
  <c r="D277" i="27" a="1"/>
  <c r="F362" i="13"/>
  <c r="F323" i="13"/>
  <c r="D201" i="16" s="1"/>
  <c r="D202" i="16" s="1"/>
  <c r="D37" i="27" a="1"/>
  <c r="C345" i="13"/>
  <c r="D54" i="27" a="1"/>
  <c r="C379" i="13"/>
  <c r="F242" i="16"/>
  <c r="V97" i="5"/>
  <c r="G256" i="16"/>
  <c r="G257" i="16" s="1"/>
  <c r="J142" i="13"/>
  <c r="G246" i="16"/>
  <c r="G247" i="16" s="1"/>
  <c r="J122" i="13"/>
  <c r="M143" i="13"/>
  <c r="F246" i="16"/>
  <c r="F247" i="16" s="1"/>
  <c r="I122" i="13"/>
  <c r="I142" i="13"/>
  <c r="L143" i="13"/>
  <c r="G242" i="16"/>
  <c r="Q97" i="5"/>
  <c r="F256" i="16"/>
  <c r="F257" i="16" s="1"/>
  <c r="F220" i="16"/>
  <c r="F222" i="16" s="1"/>
  <c r="G220" i="16"/>
  <c r="G222" i="16" s="1"/>
  <c r="G401" i="13"/>
  <c r="N120" i="13"/>
  <c r="L97" i="5" l="1"/>
  <c r="E256" i="16"/>
  <c r="E257" i="16" s="1"/>
  <c r="E220" i="16"/>
  <c r="E222" i="16" s="1"/>
  <c r="K324" i="13"/>
  <c r="P201" i="16"/>
  <c r="P202" i="16" s="1"/>
  <c r="J400" i="13"/>
  <c r="J401" i="13" s="1"/>
  <c r="D390" i="27"/>
  <c r="I399" i="27"/>
  <c r="H394" i="27"/>
  <c r="H399" i="27"/>
  <c r="H395" i="27"/>
  <c r="H401" i="27"/>
  <c r="H396" i="27"/>
  <c r="I400" i="27"/>
  <c r="H393" i="27"/>
  <c r="H397" i="27"/>
  <c r="I397" i="27"/>
  <c r="H392" i="27"/>
  <c r="I398" i="27"/>
  <c r="I393" i="27"/>
  <c r="I394" i="27"/>
  <c r="H402" i="27"/>
  <c r="H391" i="27"/>
  <c r="I401" i="27"/>
  <c r="I391" i="27"/>
  <c r="H398" i="27"/>
  <c r="I402" i="27"/>
  <c r="H400" i="27"/>
  <c r="I396" i="27"/>
  <c r="I392" i="27"/>
  <c r="I395" i="27"/>
  <c r="B173" i="27"/>
  <c r="B175" i="27" s="1"/>
  <c r="M324" i="13"/>
  <c r="Y201" i="16"/>
  <c r="Y202" i="16" s="1"/>
  <c r="L400" i="13"/>
  <c r="L401" i="13" s="1"/>
  <c r="B125" i="27"/>
  <c r="B127" i="27" s="1"/>
  <c r="D246" i="27"/>
  <c r="I257" i="27"/>
  <c r="I249" i="27"/>
  <c r="I258" i="27"/>
  <c r="H253" i="27"/>
  <c r="I248" i="27"/>
  <c r="H250" i="27"/>
  <c r="H256" i="27"/>
  <c r="I254" i="27"/>
  <c r="I255" i="27"/>
  <c r="H247" i="27"/>
  <c r="I256" i="27"/>
  <c r="H254" i="27"/>
  <c r="I253" i="27"/>
  <c r="H258" i="27"/>
  <c r="I252" i="27"/>
  <c r="I251" i="27"/>
  <c r="I250" i="27"/>
  <c r="H251" i="27"/>
  <c r="I247" i="27"/>
  <c r="H255" i="27"/>
  <c r="H248" i="27"/>
  <c r="H249" i="27"/>
  <c r="H252" i="27"/>
  <c r="H257" i="27"/>
  <c r="M400" i="13"/>
  <c r="M401" i="13" s="1"/>
  <c r="D325" i="27"/>
  <c r="I332" i="27"/>
  <c r="I329" i="27"/>
  <c r="H332" i="27"/>
  <c r="H331" i="27"/>
  <c r="I328" i="27"/>
  <c r="I337" i="27"/>
  <c r="I333" i="27"/>
  <c r="I336" i="27"/>
  <c r="H327" i="27"/>
  <c r="I330" i="27"/>
  <c r="H333" i="27"/>
  <c r="I335" i="27"/>
  <c r="H329" i="27"/>
  <c r="H335" i="27"/>
  <c r="I327" i="27"/>
  <c r="H337" i="27"/>
  <c r="I334" i="27"/>
  <c r="I331" i="27"/>
  <c r="H328" i="27"/>
  <c r="H334" i="27"/>
  <c r="I326" i="27"/>
  <c r="H330" i="27"/>
  <c r="H326" i="27"/>
  <c r="H336" i="27"/>
  <c r="D373" i="27"/>
  <c r="H385" i="27"/>
  <c r="I383" i="27"/>
  <c r="H380" i="27"/>
  <c r="H375" i="27"/>
  <c r="I378" i="27"/>
  <c r="H383" i="27"/>
  <c r="I379" i="27"/>
  <c r="I375" i="27"/>
  <c r="I376" i="27"/>
  <c r="I374" i="27"/>
  <c r="I382" i="27"/>
  <c r="H384" i="27"/>
  <c r="H382" i="27"/>
  <c r="H374" i="27"/>
  <c r="H377" i="27"/>
  <c r="I381" i="27"/>
  <c r="H376" i="27"/>
  <c r="H379" i="27"/>
  <c r="I384" i="27"/>
  <c r="H378" i="27"/>
  <c r="I377" i="27"/>
  <c r="I385" i="27"/>
  <c r="I380" i="27"/>
  <c r="H381" i="27"/>
  <c r="D229" i="27"/>
  <c r="H236" i="27"/>
  <c r="H232" i="27"/>
  <c r="I236" i="27"/>
  <c r="I239" i="27"/>
  <c r="H233" i="27"/>
  <c r="I232" i="27"/>
  <c r="I238" i="27"/>
  <c r="I234" i="27"/>
  <c r="H231" i="27"/>
  <c r="H240" i="27"/>
  <c r="I240" i="27"/>
  <c r="I235" i="27"/>
  <c r="H235" i="27"/>
  <c r="H230" i="27"/>
  <c r="H239" i="27"/>
  <c r="I233" i="27"/>
  <c r="I241" i="27"/>
  <c r="H234" i="27"/>
  <c r="H241" i="27"/>
  <c r="H237" i="27"/>
  <c r="I230" i="27"/>
  <c r="H238" i="27"/>
  <c r="I231" i="27"/>
  <c r="I237" i="27"/>
  <c r="K400" i="13"/>
  <c r="K401" i="13" s="1"/>
  <c r="D342" i="27"/>
  <c r="I349" i="27"/>
  <c r="I354" i="27"/>
  <c r="I347" i="27"/>
  <c r="I343" i="27"/>
  <c r="I346" i="27"/>
  <c r="I351" i="27"/>
  <c r="H345" i="27"/>
  <c r="H343" i="27"/>
  <c r="H347" i="27"/>
  <c r="H344" i="27"/>
  <c r="H350" i="27"/>
  <c r="I352" i="27"/>
  <c r="I350" i="27"/>
  <c r="I344" i="27"/>
  <c r="H346" i="27"/>
  <c r="H349" i="27"/>
  <c r="H351" i="27"/>
  <c r="I348" i="27"/>
  <c r="H354" i="27"/>
  <c r="H353" i="27"/>
  <c r="I353" i="27"/>
  <c r="I345" i="27"/>
  <c r="H352" i="27"/>
  <c r="H348" i="27"/>
  <c r="L324" i="13"/>
  <c r="V201" i="16"/>
  <c r="V202" i="16" s="1"/>
  <c r="D294" i="27"/>
  <c r="I302" i="27"/>
  <c r="I306" i="27"/>
  <c r="H300" i="27"/>
  <c r="I303" i="27"/>
  <c r="I295" i="27"/>
  <c r="H299" i="27"/>
  <c r="I301" i="27"/>
  <c r="H303" i="27"/>
  <c r="I298" i="27"/>
  <c r="H305" i="27"/>
  <c r="H302" i="27"/>
  <c r="I304" i="27"/>
  <c r="H297" i="27"/>
  <c r="H295" i="27"/>
  <c r="H301" i="27"/>
  <c r="H304" i="27"/>
  <c r="H296" i="27"/>
  <c r="I297" i="27"/>
  <c r="H298" i="27"/>
  <c r="I299" i="27"/>
  <c r="I300" i="27"/>
  <c r="I296" i="27"/>
  <c r="I305" i="27"/>
  <c r="H306" i="27"/>
  <c r="D277" i="27"/>
  <c r="H280" i="27"/>
  <c r="I283" i="27"/>
  <c r="I278" i="27"/>
  <c r="H283" i="27"/>
  <c r="H287" i="27"/>
  <c r="H279" i="27"/>
  <c r="I282" i="27"/>
  <c r="H282" i="27"/>
  <c r="H288" i="27"/>
  <c r="I288" i="27"/>
  <c r="H284" i="27"/>
  <c r="I285" i="27"/>
  <c r="H286" i="27"/>
  <c r="H281" i="27"/>
  <c r="H278" i="27"/>
  <c r="I289" i="27"/>
  <c r="H289" i="27"/>
  <c r="I284" i="27"/>
  <c r="I281" i="27"/>
  <c r="H285" i="27"/>
  <c r="I286" i="27"/>
  <c r="I279" i="27"/>
  <c r="I280" i="27"/>
  <c r="I287" i="27"/>
  <c r="F324" i="13"/>
  <c r="N323" i="13"/>
  <c r="N324" i="13" s="1"/>
  <c r="F400" i="13"/>
  <c r="D37" i="27"/>
  <c r="H49" i="27"/>
  <c r="I47" i="27"/>
  <c r="I49" i="27"/>
  <c r="I39" i="27"/>
  <c r="H47" i="27"/>
  <c r="H42" i="27"/>
  <c r="I48" i="27"/>
  <c r="I44" i="27"/>
  <c r="H38" i="27"/>
  <c r="H40" i="27"/>
  <c r="H44" i="27"/>
  <c r="I43" i="27"/>
  <c r="I40" i="27"/>
  <c r="H48" i="27"/>
  <c r="I46" i="27"/>
  <c r="I38" i="27"/>
  <c r="H46" i="27"/>
  <c r="H43" i="27"/>
  <c r="H41" i="27"/>
  <c r="I45" i="27"/>
  <c r="H39" i="27"/>
  <c r="H45" i="27"/>
  <c r="I42" i="27"/>
  <c r="I41" i="27"/>
  <c r="D54" i="27"/>
  <c r="I57" i="27"/>
  <c r="I56" i="27"/>
  <c r="H64" i="27"/>
  <c r="I59" i="27"/>
  <c r="H57" i="27"/>
  <c r="I62" i="27"/>
  <c r="H60" i="27"/>
  <c r="I66" i="27"/>
  <c r="I55" i="27"/>
  <c r="H58" i="27"/>
  <c r="H61" i="27"/>
  <c r="H65" i="27"/>
  <c r="H62" i="27"/>
  <c r="I60" i="27"/>
  <c r="I58" i="27"/>
  <c r="I64" i="27"/>
  <c r="H55" i="27"/>
  <c r="I65" i="27"/>
  <c r="H56" i="27"/>
  <c r="H63" i="27"/>
  <c r="I63" i="27"/>
  <c r="H66" i="27"/>
  <c r="I61" i="27"/>
  <c r="H59" i="27"/>
  <c r="G223" i="16"/>
  <c r="G224" i="16" s="1"/>
  <c r="F223" i="16"/>
  <c r="F224" i="16" s="1"/>
  <c r="I143" i="13"/>
  <c r="J143" i="13"/>
  <c r="B81" i="10"/>
  <c r="E223" i="16" l="1"/>
  <c r="E224" i="16" s="1"/>
  <c r="B221" i="27"/>
  <c r="B223" i="27" s="1"/>
  <c r="B269" i="27"/>
  <c r="B271" i="27" s="1"/>
  <c r="B365" i="27"/>
  <c r="B367" i="27" s="1"/>
  <c r="B317" i="27"/>
  <c r="B319" i="27" s="1"/>
  <c r="N400" i="13"/>
  <c r="B29" i="27"/>
  <c r="B31" i="27" s="1"/>
  <c r="F401" i="13"/>
  <c r="N140" i="13"/>
  <c r="N141" i="13" s="1"/>
  <c r="N401" i="13" l="1"/>
  <c r="C224" i="18" l="1"/>
  <c r="D224" i="18" s="1"/>
  <c r="D225" i="18" s="1"/>
  <c r="E125" i="27" l="1"/>
  <c r="E317" i="27"/>
  <c r="H317" i="27" s="1"/>
  <c r="H23" i="27" s="1"/>
  <c r="E365" i="27"/>
  <c r="E269" i="27"/>
  <c r="H269" i="27" s="1"/>
  <c r="H22" i="27" s="1"/>
  <c r="E173" i="27"/>
  <c r="H173" i="27" s="1"/>
  <c r="H20" i="27" s="1"/>
  <c r="E221" i="27"/>
  <c r="M23" i="27" l="1"/>
  <c r="M22" i="27"/>
  <c r="M20" i="27"/>
  <c r="H365" i="27"/>
  <c r="H24" i="27" s="1"/>
  <c r="H125" i="27"/>
  <c r="H19" i="27" s="1"/>
  <c r="H319" i="27"/>
  <c r="I319" i="27" s="1"/>
  <c r="I23" i="27" s="1"/>
  <c r="H271" i="27"/>
  <c r="I271" i="27" s="1"/>
  <c r="I22" i="27" s="1"/>
  <c r="H221" i="27"/>
  <c r="H21" i="27" s="1"/>
  <c r="H175" i="27"/>
  <c r="I175" i="27" s="1"/>
  <c r="I20" i="27" s="1"/>
  <c r="C61" i="11" l="1"/>
  <c r="M24" i="27"/>
  <c r="M21" i="27"/>
  <c r="M19" i="27"/>
  <c r="H367" i="27"/>
  <c r="I367" i="27" s="1"/>
  <c r="I24" i="27" s="1"/>
  <c r="H127" i="27"/>
  <c r="I127" i="27" s="1"/>
  <c r="I19" i="27" s="1"/>
  <c r="H223" i="27"/>
  <c r="I223" i="27" s="1"/>
  <c r="I21" i="27" s="1"/>
  <c r="D250" i="16" l="1"/>
  <c r="D251" i="16" s="1"/>
  <c r="C59" i="11"/>
  <c r="D236" i="16" s="1"/>
  <c r="G135" i="13" s="1"/>
  <c r="D237" i="16" s="1"/>
  <c r="D240" i="16" s="1"/>
  <c r="G155" i="13" l="1"/>
  <c r="D255" i="16"/>
  <c r="I94" i="5"/>
  <c r="I105" i="5" s="1"/>
  <c r="H267" i="13"/>
  <c r="H344" i="13" s="1"/>
  <c r="E79" i="27" s="1"/>
  <c r="C233" i="18"/>
  <c r="D233" i="18" s="1"/>
  <c r="D234" i="18" s="1"/>
  <c r="D241" i="16" l="1"/>
  <c r="D242" i="16" s="1"/>
  <c r="H301" i="13"/>
  <c r="H378" i="13" s="1"/>
  <c r="H268" i="13"/>
  <c r="H345" i="13" s="1"/>
  <c r="G94" i="5"/>
  <c r="F91" i="16" s="1"/>
  <c r="D219" i="16" s="1"/>
  <c r="D220" i="16" s="1"/>
  <c r="D222" i="16" s="1"/>
  <c r="D120" i="27"/>
  <c r="F120" i="27" s="1"/>
  <c r="C242" i="18"/>
  <c r="D242" i="18" s="1"/>
  <c r="D243" i="18" s="1"/>
  <c r="E120" i="27"/>
  <c r="G120" i="27" s="1"/>
  <c r="H302" i="13" l="1"/>
  <c r="H379" i="13" s="1"/>
  <c r="G121" i="13"/>
  <c r="G122" i="13" s="1"/>
  <c r="G105" i="5"/>
  <c r="G97" i="5" s="1"/>
  <c r="G86" i="5"/>
  <c r="E77" i="27"/>
  <c r="H77" i="27" s="1"/>
  <c r="H18" i="27" s="1"/>
  <c r="D223" i="16"/>
  <c r="D224" i="16" s="1"/>
  <c r="D246" i="16" l="1"/>
  <c r="D247" i="16" s="1"/>
  <c r="G142" i="13"/>
  <c r="G143" i="13" s="1"/>
  <c r="M18" i="27" s="1"/>
  <c r="D256" i="16"/>
  <c r="D257" i="16" s="1"/>
  <c r="H79" i="27"/>
  <c r="I79" i="27" s="1"/>
  <c r="I18" i="27" s="1"/>
  <c r="P230" i="3"/>
  <c r="V230" i="3"/>
  <c r="S230" i="3"/>
  <c r="Y230" i="3"/>
  <c r="S232" i="3"/>
  <c r="Y232" i="3"/>
  <c r="P232" i="3"/>
  <c r="V232" i="3"/>
  <c r="S229" i="3"/>
  <c r="Y229" i="3"/>
  <c r="P229" i="3"/>
  <c r="V229" i="3"/>
  <c r="P231" i="3"/>
  <c r="V231" i="3"/>
  <c r="S231" i="3"/>
  <c r="Y231" i="3"/>
  <c r="S233" i="3"/>
  <c r="Y233" i="3"/>
  <c r="V233" i="3" l="1"/>
  <c r="P233" i="3"/>
  <c r="B61" i="11" l="1"/>
  <c r="B59" i="11" s="1"/>
  <c r="C236" i="16" s="1"/>
  <c r="F135" i="13" s="1"/>
  <c r="C237" i="16" s="1"/>
  <c r="E303" i="16" l="1" a="1"/>
  <c r="E303" i="16" s="1"/>
  <c r="E267" i="13"/>
  <c r="E301" i="13" s="1"/>
  <c r="D94" i="5"/>
  <c r="D105" i="5" s="1"/>
  <c r="F155" i="13"/>
  <c r="C240" i="16"/>
  <c r="K240" i="16" s="1"/>
  <c r="C255" i="16"/>
  <c r="J61" i="11"/>
  <c r="C250" i="16"/>
  <c r="P11" i="18"/>
  <c r="P13" i="18"/>
  <c r="P17" i="18"/>
  <c r="P16" i="18"/>
  <c r="P6" i="18"/>
  <c r="P15" i="18"/>
  <c r="B94" i="5" l="1"/>
  <c r="B108" i="5" s="1"/>
  <c r="E344" i="13"/>
  <c r="E31" i="27" s="1"/>
  <c r="E268" i="13"/>
  <c r="E345" i="13" s="1"/>
  <c r="C241" i="16"/>
  <c r="K241" i="16" s="1"/>
  <c r="E302" i="13"/>
  <c r="E379" i="13" s="1"/>
  <c r="E378" i="13"/>
  <c r="K255" i="16"/>
  <c r="L255" i="16" s="1"/>
  <c r="L245" i="16"/>
  <c r="L249" i="16"/>
  <c r="K250" i="16"/>
  <c r="C251" i="16"/>
  <c r="K251" i="16" s="1"/>
  <c r="J59" i="11"/>
  <c r="K61" i="11"/>
  <c r="C292" i="16"/>
  <c r="C242" i="16" l="1"/>
  <c r="K242" i="16" s="1"/>
  <c r="M255" i="16" s="1"/>
  <c r="D72" i="27"/>
  <c r="F72" i="27" s="1"/>
  <c r="E72" i="27"/>
  <c r="G72" i="27" s="1"/>
  <c r="C91" i="16"/>
  <c r="C219" i="16" s="1"/>
  <c r="C220" i="16" s="1"/>
  <c r="C222" i="16" s="1"/>
  <c r="B86" i="5"/>
  <c r="F121" i="13"/>
  <c r="F122" i="13" s="1"/>
  <c r="N122" i="13" s="1"/>
  <c r="I1" i="18" s="1"/>
  <c r="B105" i="5"/>
  <c r="B97" i="5" s="1"/>
  <c r="B109" i="5"/>
  <c r="F186" i="3" s="1"/>
  <c r="H186" i="3" s="1"/>
  <c r="F185" i="3"/>
  <c r="H185" i="3" s="1"/>
  <c r="B75" i="10"/>
  <c r="B77" i="10" s="1"/>
  <c r="C297" i="16" s="1"/>
  <c r="K59" i="11"/>
  <c r="K219" i="16" l="1"/>
  <c r="K220" i="16" s="1"/>
  <c r="K222" i="16" s="1"/>
  <c r="E29" i="27"/>
  <c r="H29" i="27" s="1"/>
  <c r="H17" i="27" s="1"/>
  <c r="H25" i="27" s="1"/>
  <c r="C256" i="16"/>
  <c r="K256" i="16" s="1"/>
  <c r="L256" i="16" s="1"/>
  <c r="F142" i="13"/>
  <c r="F143" i="13" s="1"/>
  <c r="N143" i="13" s="1"/>
  <c r="C246" i="16"/>
  <c r="C247" i="16" s="1"/>
  <c r="K247" i="16" s="1"/>
  <c r="N121" i="13"/>
  <c r="K62" i="11" s="1"/>
  <c r="K63" i="11" s="1"/>
  <c r="C223" i="16"/>
  <c r="C224" i="16" s="1"/>
  <c r="K223" i="16" l="1"/>
  <c r="K224" i="16" s="1"/>
  <c r="C257" i="16"/>
  <c r="K257" i="16" s="1"/>
  <c r="L257" i="16" s="1"/>
  <c r="K246" i="16"/>
  <c r="L246" i="16" s="1"/>
  <c r="H31" i="27"/>
  <c r="I31" i="27" s="1"/>
  <c r="I17" i="27" s="1"/>
  <c r="I25" i="27" s="1"/>
  <c r="N142" i="13"/>
  <c r="M25" i="27"/>
  <c r="L251" i="16"/>
  <c r="L247" i="16"/>
  <c r="M17" i="27"/>
  <c r="L250"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Jaseem Abdul Rahim</author>
  </authors>
  <commentList>
    <comment ref="Y94" authorId="0" shapeId="0" xr:uid="{00000000-0006-0000-0C00-000001000000}">
      <text>
        <r>
          <rPr>
            <b/>
            <sz val="9"/>
            <color indexed="81"/>
            <rFont val="Tahoma"/>
            <family val="2"/>
          </rPr>
          <t>Jaseem Abdul Rahim:</t>
        </r>
        <r>
          <rPr>
            <sz val="9"/>
            <color indexed="81"/>
            <rFont val="Tahoma"/>
            <family val="2"/>
          </rPr>
          <t xml:space="preserve">
HAAD there is no limit for maternity in OP services and Ante Natal scanning.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<sst xmlns="http://schemas.openxmlformats.org/spreadsheetml/2006/main" count="6941" uniqueCount="1402">
  <si>
    <t>Male Rates</t>
  </si>
  <si>
    <t>Inpatient</t>
  </si>
  <si>
    <t xml:space="preserve">IP class </t>
  </si>
  <si>
    <t>Suite</t>
  </si>
  <si>
    <t>Outpatient</t>
  </si>
  <si>
    <t xml:space="preserve">Limit </t>
  </si>
  <si>
    <t xml:space="preserve">Network </t>
  </si>
  <si>
    <t>GN+</t>
  </si>
  <si>
    <t>00-17</t>
  </si>
  <si>
    <t>18-35</t>
  </si>
  <si>
    <t>36-45</t>
  </si>
  <si>
    <t>46-55</t>
  </si>
  <si>
    <t>56-60</t>
  </si>
  <si>
    <t>61-65</t>
  </si>
  <si>
    <t>65-70</t>
  </si>
  <si>
    <t>71-75</t>
  </si>
  <si>
    <t>76-80</t>
  </si>
  <si>
    <t>81-85</t>
  </si>
  <si>
    <t>86-90</t>
  </si>
  <si>
    <t>Female Rates</t>
  </si>
  <si>
    <t>Universal</t>
  </si>
  <si>
    <t>GN</t>
  </si>
  <si>
    <t>International</t>
  </si>
  <si>
    <t>VIP</t>
  </si>
  <si>
    <t>Local</t>
  </si>
  <si>
    <t>Private</t>
  </si>
  <si>
    <t>Semi-Private</t>
  </si>
  <si>
    <t>Shared</t>
  </si>
  <si>
    <t>RN</t>
  </si>
  <si>
    <t>RN2</t>
  </si>
  <si>
    <t>Plan Name</t>
  </si>
  <si>
    <t>Plan</t>
  </si>
  <si>
    <t>Basic</t>
  </si>
  <si>
    <t>Network</t>
  </si>
  <si>
    <t>RN3</t>
  </si>
  <si>
    <t>Annual Limit</t>
  </si>
  <si>
    <t>Deductible</t>
  </si>
  <si>
    <t>AED 50</t>
  </si>
  <si>
    <t xml:space="preserve">Adult </t>
  </si>
  <si>
    <t>Adult</t>
  </si>
  <si>
    <t>Child</t>
  </si>
  <si>
    <t>Comment</t>
  </si>
  <si>
    <t>Date from which to calculate age</t>
  </si>
  <si>
    <t>Sr #</t>
  </si>
  <si>
    <t>Date of birth</t>
  </si>
  <si>
    <t>Gender</t>
  </si>
  <si>
    <t>Benefit 'category'</t>
  </si>
  <si>
    <t>Relationship</t>
  </si>
  <si>
    <t>Current age</t>
  </si>
  <si>
    <t>Age next birthday</t>
  </si>
  <si>
    <t>Marital Status</t>
  </si>
  <si>
    <t>AGE BAND</t>
  </si>
  <si>
    <t>Number of lives
'CATEGORY' 1</t>
  </si>
  <si>
    <t>Number of lives
'CATEGORY' 2</t>
  </si>
  <si>
    <t>Number of lives
'CATEGORY' 3</t>
  </si>
  <si>
    <t>Number of lives
'CATEGORY' 4</t>
  </si>
  <si>
    <t>Number of lives
'CATEGORY' 5</t>
  </si>
  <si>
    <t>Number of lives
TOTAL</t>
  </si>
  <si>
    <t>DOB Text</t>
  </si>
  <si>
    <t>Members over 70</t>
  </si>
  <si>
    <t>DOB after PSD</t>
  </si>
  <si>
    <t>Null Fields</t>
  </si>
  <si>
    <t>F</t>
  </si>
  <si>
    <t>From</t>
  </si>
  <si>
    <t>To</t>
  </si>
  <si>
    <t>Male</t>
  </si>
  <si>
    <t>Female</t>
  </si>
  <si>
    <t>Earliest PSD</t>
  </si>
  <si>
    <t>Total Members</t>
  </si>
  <si>
    <t>Y</t>
  </si>
  <si>
    <t>Today</t>
  </si>
  <si>
    <t>N</t>
  </si>
  <si>
    <t>Sub-total</t>
  </si>
  <si>
    <t>Total 1</t>
  </si>
  <si>
    <t>Total 2</t>
  </si>
  <si>
    <t>Grand Total</t>
  </si>
  <si>
    <t>Categories</t>
  </si>
  <si>
    <t>end</t>
  </si>
  <si>
    <t>Married Females</t>
  </si>
  <si>
    <t xml:space="preserve">Married Females </t>
  </si>
  <si>
    <t>Scheme Name</t>
  </si>
  <si>
    <t>Scheme Type</t>
  </si>
  <si>
    <t>abc</t>
  </si>
  <si>
    <t>Existing Policy Start Date</t>
  </si>
  <si>
    <t>Claims Data</t>
  </si>
  <si>
    <t>New Policy Start Date</t>
  </si>
  <si>
    <t>Claim Report Date</t>
  </si>
  <si>
    <t>Policy End Date</t>
  </si>
  <si>
    <t>Group/ Individual</t>
  </si>
  <si>
    <t>Industry</t>
  </si>
  <si>
    <t>Impact to base rate</t>
  </si>
  <si>
    <t>Cat A</t>
  </si>
  <si>
    <t>Cat B</t>
  </si>
  <si>
    <t>Cat C</t>
  </si>
  <si>
    <t>Cat D</t>
  </si>
  <si>
    <t>Cell Link</t>
  </si>
  <si>
    <t>Select Plan Name</t>
  </si>
  <si>
    <t>Children</t>
  </si>
  <si>
    <t>Adult: Children Mix</t>
  </si>
  <si>
    <t>66-70</t>
  </si>
  <si>
    <t>91-99</t>
  </si>
  <si>
    <t>Member Count</t>
  </si>
  <si>
    <t>Adult, Children Mix - Dental</t>
  </si>
  <si>
    <t>Initial Drop Down Selection</t>
  </si>
  <si>
    <t>AML</t>
  </si>
  <si>
    <t>IP Room</t>
  </si>
  <si>
    <t>IP Room Type</t>
  </si>
  <si>
    <t>Nil</t>
  </si>
  <si>
    <t>Pharmacy Co-Pay</t>
  </si>
  <si>
    <t xml:space="preserve">20% on all OP </t>
  </si>
  <si>
    <t xml:space="preserve">15% on all OP </t>
  </si>
  <si>
    <t xml:space="preserve">10% on all OP </t>
  </si>
  <si>
    <t>OP Copay</t>
  </si>
  <si>
    <t>Co-pay</t>
  </si>
  <si>
    <t>Nil Co-pay on OP</t>
  </si>
  <si>
    <t>Pharmacy Copay</t>
  </si>
  <si>
    <t>Optional Benefits</t>
  </si>
  <si>
    <t>Maternity Limit</t>
  </si>
  <si>
    <t>Number of Lives</t>
  </si>
  <si>
    <t>Additional Premium</t>
  </si>
  <si>
    <t>Dental Limit</t>
  </si>
  <si>
    <t>Optical Limit</t>
  </si>
  <si>
    <t>Maternity</t>
  </si>
  <si>
    <t>Group</t>
  </si>
  <si>
    <t>Individual</t>
  </si>
  <si>
    <t>AUH Policy</t>
  </si>
  <si>
    <t>Yes</t>
  </si>
  <si>
    <t>No</t>
  </si>
  <si>
    <t>Dental</t>
  </si>
  <si>
    <t>Optical</t>
  </si>
  <si>
    <t>Not Covered</t>
  </si>
  <si>
    <t>Net Optical Premium</t>
  </si>
  <si>
    <t>Total Net Rates</t>
  </si>
  <si>
    <t>Total Premium</t>
  </si>
  <si>
    <t>Rate per Life</t>
  </si>
  <si>
    <t>Net Optional Premium</t>
  </si>
  <si>
    <t>Net Dental Premium</t>
  </si>
  <si>
    <t>Net Maternity Premium</t>
  </si>
  <si>
    <t>Net Base Premium</t>
  </si>
  <si>
    <t>Up to AML</t>
  </si>
  <si>
    <t>Gross Base Premium</t>
  </si>
  <si>
    <t>Gross Maternity Premium</t>
  </si>
  <si>
    <t>Gross Dental Premium</t>
  </si>
  <si>
    <t>Gross Optical Premium</t>
  </si>
  <si>
    <t>Gross Optional Premium</t>
  </si>
  <si>
    <t>Brokerage Fees</t>
  </si>
  <si>
    <t>TPA</t>
  </si>
  <si>
    <t>Net Rates</t>
  </si>
  <si>
    <t>Semi-private</t>
  </si>
  <si>
    <t>Basic &amp; Local</t>
  </si>
  <si>
    <t xml:space="preserve"> </t>
  </si>
  <si>
    <t>Outpatient Benefits</t>
  </si>
  <si>
    <t>Co-pay on all services</t>
  </si>
  <si>
    <t>Pharmacy sub-limit</t>
  </si>
  <si>
    <t>Pharmacy co-pay</t>
  </si>
  <si>
    <t>Universal Plus</t>
  </si>
  <si>
    <t>Inpatient Rates - Male</t>
  </si>
  <si>
    <t>Inpatient Rates - Female</t>
  </si>
  <si>
    <t>OP Benefit Selection</t>
  </si>
  <si>
    <t>OP Deductible</t>
  </si>
  <si>
    <t>IP Rates</t>
  </si>
  <si>
    <t>Outpatient Rates - Male</t>
  </si>
  <si>
    <t>Outpatient Rates -Female</t>
  </si>
  <si>
    <t>OP Rates</t>
  </si>
  <si>
    <t>Pharmacy Sublimit</t>
  </si>
  <si>
    <t>20% copay</t>
  </si>
  <si>
    <t>0% copay</t>
  </si>
  <si>
    <t>Co-pay on all OP services</t>
  </si>
  <si>
    <t>Adj. Factor</t>
  </si>
  <si>
    <t>20% co-pay</t>
  </si>
  <si>
    <t>Nil Co-pay</t>
  </si>
  <si>
    <t>Maternity Benefit (no Waiting Period- applicable to all eligible females)</t>
  </si>
  <si>
    <t>For eligible females less than 45 years old</t>
  </si>
  <si>
    <t xml:space="preserve">Not Covered </t>
  </si>
  <si>
    <t>Up to HAAD Limit</t>
  </si>
  <si>
    <t>Are claims provided by category?</t>
  </si>
  <si>
    <t>Are premiums details available?</t>
  </si>
  <si>
    <t>Available</t>
  </si>
  <si>
    <t>Not Available</t>
  </si>
  <si>
    <t>Fresh Scheme</t>
  </si>
  <si>
    <t>Membership at start of year</t>
  </si>
  <si>
    <t>Membership at end of year</t>
  </si>
  <si>
    <t>Exposure</t>
  </si>
  <si>
    <t>Claims Format</t>
  </si>
  <si>
    <t>Claims Settled &amp; OS together</t>
  </si>
  <si>
    <t>Claims Settled &amp; OS seperately</t>
  </si>
  <si>
    <t>IBNR</t>
  </si>
  <si>
    <t>Outpatient Claims</t>
  </si>
  <si>
    <t>Inpatient Claims</t>
  </si>
  <si>
    <t>Total Claims</t>
  </si>
  <si>
    <t>Ultimate Claims</t>
  </si>
  <si>
    <t>Which years are claims available?</t>
  </si>
  <si>
    <t>1. EXPERIENCE RATE PARAMETERS</t>
  </si>
  <si>
    <t>Include in experience rating?</t>
  </si>
  <si>
    <t>Ultimate Claims after Inflation</t>
  </si>
  <si>
    <t>Weighting per year</t>
  </si>
  <si>
    <t>Average Claim Rate per life</t>
  </si>
  <si>
    <t>Average Claim Rate - Total</t>
  </si>
  <si>
    <t>Elapsed Period (days)</t>
  </si>
  <si>
    <t>Year of Inflation</t>
  </si>
  <si>
    <t>Inflation Factor</t>
  </si>
  <si>
    <t>Total</t>
  </si>
  <si>
    <t>Number of lives</t>
  </si>
  <si>
    <t>Book rate per life</t>
  </si>
  <si>
    <t>Net Experience Rate - per life</t>
  </si>
  <si>
    <t>Relative weights</t>
  </si>
  <si>
    <t># years data available</t>
  </si>
  <si>
    <t>Year</t>
  </si>
  <si>
    <t>IBNS</t>
  </si>
  <si>
    <t>IBNBR</t>
  </si>
  <si>
    <t>Weights Rebalanced</t>
  </si>
  <si>
    <t>Settled / Reported claims provided</t>
  </si>
  <si>
    <t>Underwriting Year</t>
  </si>
  <si>
    <t>Current Year</t>
  </si>
  <si>
    <t>Prior Year</t>
  </si>
  <si>
    <t>2 Years Prior</t>
  </si>
  <si>
    <t>IBNS11</t>
  </si>
  <si>
    <t>IBNS12</t>
  </si>
  <si>
    <t>IBNS13</t>
  </si>
  <si>
    <t>IBNS21</t>
  </si>
  <si>
    <t>IBNS22</t>
  </si>
  <si>
    <t>IBNS23</t>
  </si>
  <si>
    <t>IBNS31</t>
  </si>
  <si>
    <t>IBNS32</t>
  </si>
  <si>
    <t>IBNS33</t>
  </si>
  <si>
    <t>IBNBR11</t>
  </si>
  <si>
    <t>IBNBR12</t>
  </si>
  <si>
    <t>IBNBR13</t>
  </si>
  <si>
    <t>IBNBR21</t>
  </si>
  <si>
    <t>IBNBR22</t>
  </si>
  <si>
    <t>IBNBR23</t>
  </si>
  <si>
    <t>IBNBR31</t>
  </si>
  <si>
    <t>IBNBR32</t>
  </si>
  <si>
    <t>IBNBR33</t>
  </si>
  <si>
    <t>IBNS/IBNBR?</t>
  </si>
  <si>
    <t>Number of years data available</t>
  </si>
  <si>
    <t>Number of months in Current year</t>
  </si>
  <si>
    <t>Weighting</t>
  </si>
  <si>
    <t>CY</t>
  </si>
  <si>
    <t>CY-1</t>
  </si>
  <si>
    <t>CY-2</t>
  </si>
  <si>
    <t>Net Renewal Rate</t>
  </si>
  <si>
    <t>Book rate (Annual Premium)</t>
  </si>
  <si>
    <t>Are lower Cat. BC higher or are claims provided overall?</t>
  </si>
  <si>
    <t>Overall net Rate per life</t>
  </si>
  <si>
    <t>Check</t>
  </si>
  <si>
    <t>DOES THE QUOTE NEED TO BE REFFERED TO RGA?</t>
  </si>
  <si>
    <t>Member Data Issues</t>
  </si>
  <si>
    <t>Are there any issues with claims</t>
  </si>
  <si>
    <t>Net Premium Rates</t>
  </si>
  <si>
    <t>TOTAL</t>
  </si>
  <si>
    <t>Lives</t>
  </si>
  <si>
    <t>* This pricing basis assumes that all lives contribute equally towards the optional benefits</t>
  </si>
  <si>
    <t>Variations from this assumption will need to be repriced, and referred.</t>
  </si>
  <si>
    <t>Gross Premium Rates</t>
  </si>
  <si>
    <t>Net premium for optional benefits Included in Annual net premium (AED)</t>
  </si>
  <si>
    <t>Net premium per life for optional benefits (Included in Annual net premium per life) (AED)</t>
  </si>
  <si>
    <t>Dental (AED)</t>
  </si>
  <si>
    <t>Optometry (AED)</t>
  </si>
  <si>
    <t>Gross premium for optional benefits Included in Annual gross premium (AED)</t>
  </si>
  <si>
    <t>Gross premium per life for optional benefits (Included in Annual gross premium per life) (AED)</t>
  </si>
  <si>
    <t>Other Optional Benefits (AED)</t>
  </si>
  <si>
    <t>Claims sheet populated?</t>
  </si>
  <si>
    <t>Maternity - Copay</t>
  </si>
  <si>
    <t>Maternity copay</t>
  </si>
  <si>
    <t>Dental - Copay</t>
  </si>
  <si>
    <t>Dental copay</t>
  </si>
  <si>
    <t>Optical - copay</t>
  </si>
  <si>
    <t>Optical copay</t>
  </si>
  <si>
    <r>
      <t>Dental Benefit (0% Coinsurance)</t>
    </r>
    <r>
      <rPr>
        <sz val="8"/>
        <color theme="1"/>
        <rFont val="Times New Roman"/>
        <family val="1"/>
      </rPr>
      <t> </t>
    </r>
  </si>
  <si>
    <t>General Information</t>
  </si>
  <si>
    <t>A</t>
  </si>
  <si>
    <t>B</t>
  </si>
  <si>
    <t>C</t>
  </si>
  <si>
    <t>D</t>
  </si>
  <si>
    <t>Principal</t>
  </si>
  <si>
    <t>Dubai or AUH policy</t>
  </si>
  <si>
    <t>Dubai or Abu Dhabi Policy</t>
  </si>
  <si>
    <t>DXB or AUH</t>
  </si>
  <si>
    <t>Dubai</t>
  </si>
  <si>
    <t>36-50</t>
  </si>
  <si>
    <t>Book Rate after adjustments - per life</t>
  </si>
  <si>
    <t>Book Rate after adjustments - per annum</t>
  </si>
  <si>
    <t>Experience Rate</t>
  </si>
  <si>
    <t>Adjustment</t>
  </si>
  <si>
    <t>Net Rate</t>
  </si>
  <si>
    <t>Age Bracket</t>
  </si>
  <si>
    <t>18-40</t>
  </si>
  <si>
    <t>Terms</t>
  </si>
  <si>
    <t>Total Net Premium (AED)</t>
  </si>
  <si>
    <t>0-17</t>
  </si>
  <si>
    <t>Exposure provided</t>
  </si>
  <si>
    <t>Claims provided</t>
  </si>
  <si>
    <t>ID</t>
  </si>
  <si>
    <t>Name</t>
  </si>
  <si>
    <t>Individual or group</t>
  </si>
  <si>
    <t>Request</t>
  </si>
  <si>
    <t>Status</t>
  </si>
  <si>
    <t>Won/Renewed/
Lost/Not Renewed</t>
  </si>
  <si>
    <t>Date In</t>
  </si>
  <si>
    <t>Deadline</t>
  </si>
  <si>
    <t>Date Out</t>
  </si>
  <si>
    <t>New cover, New quote, BNL Renewal</t>
  </si>
  <si>
    <t># of Lives</t>
  </si>
  <si>
    <t># Years of Exposure</t>
  </si>
  <si>
    <t># Years of Claims</t>
  </si>
  <si>
    <t>Premium Volume 
(RGA Share USD)</t>
  </si>
  <si>
    <t>Profit+
expense margin</t>
  </si>
  <si>
    <t>TPA margin</t>
  </si>
  <si>
    <t>Broker margin</t>
  </si>
  <si>
    <t>Existing Rate</t>
  </si>
  <si>
    <t>New Rate (Net premium)</t>
  </si>
  <si>
    <t># of variation after initial quote</t>
  </si>
  <si>
    <t>Quote done by:</t>
  </si>
  <si>
    <t>Quote Size (Net risk premium)</t>
  </si>
  <si>
    <t>Changes from tool</t>
  </si>
  <si>
    <t>Impact</t>
  </si>
  <si>
    <t>Why sent to RGA?</t>
  </si>
  <si>
    <t>Marketing decision?</t>
  </si>
  <si>
    <t>Current insurer</t>
  </si>
  <si>
    <t>Current administrator</t>
  </si>
  <si>
    <t>Current Broker</t>
  </si>
  <si>
    <t>By year</t>
  </si>
  <si>
    <t>By Benefit Plan</t>
  </si>
  <si>
    <t>By gender</t>
  </si>
  <si>
    <t>By Age</t>
  </si>
  <si>
    <t>Start/Exit dates</t>
  </si>
  <si>
    <t>By Family of Benefits</t>
  </si>
  <si>
    <t>By member / demographic</t>
  </si>
  <si>
    <t>Claimed Amount</t>
  </si>
  <si>
    <t>Paid Amount</t>
  </si>
  <si>
    <t>Claim count</t>
  </si>
  <si>
    <t>Incurred dates</t>
  </si>
  <si>
    <t>Settle dates</t>
  </si>
  <si>
    <t>Claims O/S provided?</t>
  </si>
  <si>
    <t>Book Rate</t>
  </si>
  <si>
    <t>Final Premium</t>
  </si>
  <si>
    <t>Implicit credibility</t>
  </si>
  <si>
    <t>Quote</t>
  </si>
  <si>
    <t>AED - 100%</t>
  </si>
  <si>
    <t>Broker's Name</t>
  </si>
  <si>
    <t>Report production date</t>
  </si>
  <si>
    <t>Worldwide at R&amp;C of UAE</t>
  </si>
  <si>
    <t>WW excl. US &amp; Canada at R&amp;C of UAE</t>
  </si>
  <si>
    <t>20% up to AED 20</t>
  </si>
  <si>
    <t>20% up to AED 25</t>
  </si>
  <si>
    <t>20% up to AED 30</t>
  </si>
  <si>
    <t>20% up to AED 50</t>
  </si>
  <si>
    <t>20% up to AED 75</t>
  </si>
  <si>
    <t>20% up to AED 100</t>
  </si>
  <si>
    <t>Routine Health Check-up</t>
  </si>
  <si>
    <t>Principals</t>
  </si>
  <si>
    <t>Experience rate vs Book Rate</t>
  </si>
  <si>
    <t>Experience vs Book Rate</t>
  </si>
  <si>
    <t>Experience Premium</t>
  </si>
  <si>
    <t>Book Premium</t>
  </si>
  <si>
    <t>Months of claims experience</t>
  </si>
  <si>
    <t>Elapsed Period (months)</t>
  </si>
  <si>
    <t>Cat E</t>
  </si>
  <si>
    <t>Cat F</t>
  </si>
  <si>
    <t>Cat G</t>
  </si>
  <si>
    <t>Cat H</t>
  </si>
  <si>
    <t>Number of lives
'CATEGORY' 6</t>
  </si>
  <si>
    <t>Number of lives
'CATEGORY' 7</t>
  </si>
  <si>
    <t>Number of lives
'CATEGORY' 8</t>
  </si>
  <si>
    <t>E</t>
  </si>
  <si>
    <t>G</t>
  </si>
  <si>
    <t>H</t>
  </si>
  <si>
    <t>Nextcare NW</t>
  </si>
  <si>
    <t>NAS NW</t>
  </si>
  <si>
    <t>CN</t>
  </si>
  <si>
    <t>SRN</t>
  </si>
  <si>
    <t>WN</t>
  </si>
  <si>
    <t>Does OS include IBNR</t>
  </si>
  <si>
    <t>Does O/S include IBNR?</t>
  </si>
  <si>
    <t>Client / Policy Holder Name</t>
  </si>
  <si>
    <t>xxxxxxxxxx</t>
  </si>
  <si>
    <t>Scheme Start Date/Renewal Date</t>
  </si>
  <si>
    <t>Scope of Coverage</t>
  </si>
  <si>
    <t>As Per the Schedule of Benefits attached</t>
  </si>
  <si>
    <t>Premium payment warranty</t>
  </si>
  <si>
    <t>100% of inception premium is due and payable in advance or at the day of inception cover</t>
  </si>
  <si>
    <t>TPA name for Direct Billing</t>
  </si>
  <si>
    <t>Direct billing – NextCare/Nas network</t>
  </si>
  <si>
    <t>Quote validity</t>
  </si>
  <si>
    <t>30 days from the quote date</t>
  </si>
  <si>
    <t>Other provision and &amp; conditions</t>
  </si>
  <si>
    <t>As per our standard policy wording</t>
  </si>
  <si>
    <t>Broker / Agent Name</t>
  </si>
  <si>
    <t>xxxxxx</t>
  </si>
  <si>
    <t>Quote Ref.No.</t>
  </si>
  <si>
    <t>General Provisions &amp; Conditions</t>
  </si>
  <si>
    <t>Eligibility of member for the scheme</t>
  </si>
  <si>
    <t>All actively at work, full time employees and their dependents holding UAE valid residency visa. (Members above 65 years will be subject to individual medical underwriting and subsequent premium proposed)</t>
  </si>
  <si>
    <t>Eligibility Date</t>
  </si>
  <si>
    <r>
      <t>v</t>
    </r>
    <r>
      <rPr>
        <sz val="7"/>
        <rFont val="Times New Roman"/>
        <family val="1"/>
      </rPr>
      <t xml:space="preserve">  </t>
    </r>
    <r>
      <rPr>
        <sz val="9"/>
        <rFont val="Calibri Light"/>
        <family val="2"/>
      </rPr>
      <t xml:space="preserve">Employees </t>
    </r>
  </si>
  <si>
    <t>Full time employees will be covered on the date they officially start at   work. However, if the Employee is not actively at work on a full time basis on the date they would become a member, the commencement of the Membership shall be deferred until return to active work on full time basis</t>
  </si>
  <si>
    <r>
      <t>v</t>
    </r>
    <r>
      <rPr>
        <sz val="7"/>
        <rFont val="Times New Roman"/>
        <family val="1"/>
      </rPr>
      <t xml:space="preserve">  </t>
    </r>
    <r>
      <rPr>
        <sz val="9"/>
        <rFont val="Calibri Light"/>
        <family val="2"/>
      </rPr>
      <t>Dependents</t>
    </r>
  </si>
  <si>
    <r>
      <t>·</t>
    </r>
    <r>
      <rPr>
        <sz val="7"/>
        <rFont val="Times New Roman"/>
        <family val="1"/>
      </rPr>
      <t xml:space="preserve">         </t>
    </r>
    <r>
      <rPr>
        <sz val="9"/>
        <rFont val="Calibri Light"/>
        <family val="2"/>
      </rPr>
      <t>On the date the Employee coverage starts.</t>
    </r>
  </si>
  <si>
    <r>
      <t>·</t>
    </r>
    <r>
      <rPr>
        <sz val="7"/>
        <rFont val="Times New Roman"/>
        <family val="1"/>
      </rPr>
      <t xml:space="preserve">         </t>
    </r>
    <r>
      <rPr>
        <sz val="9"/>
        <rFont val="Calibri Light"/>
        <family val="2"/>
      </rPr>
      <t>On the day the Employee first acquire such dependent enrollment, from the date of birth or from date of marriage.</t>
    </r>
  </si>
  <si>
    <r>
      <t>·</t>
    </r>
    <r>
      <rPr>
        <sz val="7"/>
        <rFont val="Times New Roman"/>
        <family val="1"/>
      </rPr>
      <t xml:space="preserve">         </t>
    </r>
    <r>
      <rPr>
        <sz val="9"/>
        <rFont val="Calibri Light"/>
        <family val="2"/>
      </rPr>
      <t>On the day the dependent joins the employee officially on permanent basis in the Area of Residence.</t>
    </r>
  </si>
  <si>
    <r>
      <t>·</t>
    </r>
    <r>
      <rPr>
        <sz val="7"/>
        <rFont val="Times New Roman"/>
        <family val="1"/>
      </rPr>
      <t xml:space="preserve">         </t>
    </r>
    <r>
      <rPr>
        <sz val="9"/>
        <rFont val="Calibri Light"/>
        <family val="2"/>
      </rPr>
      <t>Unmarried child up to age of 18 years or up to 25 years in case of full time student.</t>
    </r>
  </si>
  <si>
    <t>Addition/ Deletion of members</t>
  </si>
  <si>
    <t>Addition/ Deletions will be on pro-rata basis on receipt of official request from the policy holder duly stamped and signed.        In case of Deletion, the submission of the medical card is mandatory otherwise a Liability letter from the Policyholder will be required to allow refund of premium. No refund of premium if the member/s for deletion has made a claim.</t>
  </si>
  <si>
    <t>Age limit</t>
  </si>
  <si>
    <r>
      <t xml:space="preserve">0 days – 65 years   (Members above 65 years will be subject to </t>
    </r>
    <r>
      <rPr>
        <sz val="9"/>
        <color rgb="FFFF0000"/>
        <rFont val="Calibri Light"/>
        <family val="2"/>
      </rPr>
      <t>submission of our</t>
    </r>
    <r>
      <rPr>
        <sz val="9"/>
        <rFont val="Calibri Light"/>
        <family val="2"/>
      </rPr>
      <t xml:space="preserve"> individual medical proposal form duly filled and signed with date by the members. </t>
    </r>
    <r>
      <rPr>
        <sz val="9"/>
        <color rgb="FFFF0000"/>
        <rFont val="Calibri Light"/>
        <family val="2"/>
      </rPr>
      <t>Acceptance cover for members above 65 years of age will be subject to acceptance our medical underwriting conditions and subsequent to premium proposed)</t>
    </r>
  </si>
  <si>
    <t>Network of Preferred Providers</t>
  </si>
  <si>
    <t>The attached list of Medical service providers is subject to change from time to time. As far as possible advance notice will be provided about Addition/Deletion of Hospitals/ Clinics.</t>
  </si>
  <si>
    <t>Premium rate guarantee</t>
  </si>
  <si>
    <t>The premium rates are guaranteed for one policy year only. Alliance Insurance Company reserves the right to revise the proposed rates at the time during the policy period if the number of adherents are reduced by 5%.</t>
  </si>
  <si>
    <t>Premium Payment Warranty</t>
  </si>
  <si>
    <r>
      <t>1)</t>
    </r>
    <r>
      <rPr>
        <sz val="7"/>
        <rFont val="Times New Roman"/>
        <family val="1"/>
      </rPr>
      <t xml:space="preserve">       </t>
    </r>
    <r>
      <rPr>
        <sz val="9"/>
        <rFont val="Calibri Light"/>
        <family val="2"/>
      </rPr>
      <t>Premiums are payable 50% advance before dispatching cards &amp; balance within 60 days of policy inception.</t>
    </r>
  </si>
  <si>
    <r>
      <t>2)</t>
    </r>
    <r>
      <rPr>
        <sz val="7"/>
        <rFont val="Times New Roman"/>
        <family val="1"/>
      </rPr>
      <t xml:space="preserve">       </t>
    </r>
    <r>
      <rPr>
        <sz val="9"/>
        <rFont val="Calibri Light"/>
        <family val="2"/>
      </rPr>
      <t xml:space="preserve">In the event the Premium is not paid on the due date, the Insurer will notify the Contract holder/Broker of the amount payable within 30 days also informing the Contract holder/Broker the otherwise this Contract will be cancelled. If no payment is made at the end of the grace period of 30 days, this Contract will be terminated and the Contract holder/Broker will be liable for the amount due until the date of Cancellation. </t>
    </r>
  </si>
  <si>
    <t>Quotation subjectivity</t>
  </si>
  <si>
    <r>
      <t>§</t>
    </r>
    <r>
      <rPr>
        <sz val="7"/>
        <rFont val="Times New Roman"/>
        <family val="1"/>
      </rPr>
      <t xml:space="preserve">  </t>
    </r>
    <r>
      <rPr>
        <sz val="9"/>
        <rFont val="Calibri Light"/>
        <family val="2"/>
      </rPr>
      <t xml:space="preserve">The above quoted premium(s) is based on the declared information including current/previous Loss Ratio/Claim details for groups with insurance </t>
    </r>
  </si>
  <si>
    <r>
      <t>§</t>
    </r>
    <r>
      <rPr>
        <sz val="7"/>
        <rFont val="Times New Roman"/>
        <family val="1"/>
      </rPr>
      <t xml:space="preserve">  </t>
    </r>
    <r>
      <rPr>
        <sz val="9"/>
        <color rgb="FFFF0000"/>
        <rFont val="Calibri Light"/>
        <family val="2"/>
      </rPr>
      <t>Any material changes during the policy inception or during the policy we have the right to review our terms during the policy tenure.  Acceptance of such amendment is required by the client otherwise the cover will be ceased subject to other terms of the policy experience or on assumption that the Loss Ratio is not more than 80% or for VIRGIN GROUPS.</t>
    </r>
  </si>
  <si>
    <t>DUBAI PLANS</t>
  </si>
  <si>
    <t>NORTHERN EMIRATE PLANS</t>
  </si>
  <si>
    <t>ABU DHABI PLANS</t>
  </si>
  <si>
    <t>Sl.No.</t>
  </si>
  <si>
    <t>PLAN NAME</t>
  </si>
  <si>
    <t>COVER TYPE</t>
  </si>
  <si>
    <t xml:space="preserve">Inpatient &amp; Outpatient </t>
  </si>
  <si>
    <t>Aggregate Limit Per Person Per Annum</t>
  </si>
  <si>
    <t>AED 1,000,000</t>
  </si>
  <si>
    <t>AED 750,000</t>
  </si>
  <si>
    <t>AED 500,000/ AED 250,000</t>
  </si>
  <si>
    <t>AED 250,000/AED 150,000</t>
  </si>
  <si>
    <t>AED 500,000</t>
  </si>
  <si>
    <t>Territorial Scope of Coverage</t>
  </si>
  <si>
    <t>Worldwide</t>
  </si>
  <si>
    <t>Worldwide excluding USA &amp; Canada</t>
  </si>
  <si>
    <t>Option 1: UAE, G.C.C, Arab Countries, ISC &amp; SA
Option 2: UAE &amp; ISC</t>
  </si>
  <si>
    <t xml:space="preserve">UAE Only </t>
  </si>
  <si>
    <t>Travel Extension</t>
  </si>
  <si>
    <t>Worldwide; applicable only in case of emergency while on vacation or business trip provided the maximum aggregate period of stay does not exceed 45 days during the policy period</t>
  </si>
  <si>
    <t xml:space="preserve">
Worldwide Excluding USA &amp; Canada; applicable only in case of emergency while on vacation or business trip provided the maximum aggregate period of stay does not exceed 45 days during the policy period
</t>
  </si>
  <si>
    <t>Preexisting and Chronic Conditions</t>
  </si>
  <si>
    <t>Covered up to 500,000 (subject to evidence of health insurance in UAE )
If no health insurance continuity of cover in UAE, the limit will be restricted to AED 250,000 and subject to 6 months waiting period from the date of first attachment of cover.</t>
  </si>
  <si>
    <t>Covered up to 250,000 (subject to evidence of health insurance in UAE ).  If no health insurance continuity of the cover in UAE, any treatment related to the pre-existing and chronic conditions will be subject to  6 months waiting period from the date of first attachment of cover.</t>
  </si>
  <si>
    <t>Covered up to 150,000 (subject to evidence of health insurance in UAE ).  If no health insurance continuity of the cover in UAE, any treatment related to the pre-existing and chronic conditions will be subject to  6 months waiting period from the date of first attachment of cover.</t>
  </si>
  <si>
    <t>Covered up to 250,000 (subject to evidence of health insurance in UAE )
If no health insurance continuity of cover in the UAE, the limit will be restricted to AED 150,000 per person per year and subject to 6 months waiting period for  major surgeries / treatment.  Routine maintenance of chronic conditions are covered from the day one of attachment date.</t>
  </si>
  <si>
    <t xml:space="preserve">Covered up to 150,000 (subject to evidence of health insurance in UAE )
If no health insurance continuity of cover in the UAE,  the pre-existing and chronic conditions cover will be  subject to 6 months waiting </t>
  </si>
  <si>
    <t>Network for Direct Billing (inside GCC excluding KSA)</t>
  </si>
  <si>
    <t>Optional (NAS or NextCare)</t>
  </si>
  <si>
    <t>Treatment outside the network in G.C.C
(Reimbursement basis)</t>
  </si>
  <si>
    <t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t>
  </si>
  <si>
    <t>Treatment outside  G.C.C (Reimbursement basis)</t>
  </si>
  <si>
    <t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t>
  </si>
  <si>
    <t>INPATIENT TREATMENT &amp; DAYCARE TREATMENT</t>
  </si>
  <si>
    <r>
      <rPr>
        <b/>
        <sz val="9"/>
        <color rgb="FF0000FF"/>
        <rFont val="Calibri"/>
        <family val="2"/>
        <scheme val="minor"/>
      </rPr>
      <t>Daily Room and board limit</t>
    </r>
    <r>
      <rPr>
        <sz val="9"/>
        <color rgb="FF0000FF"/>
        <rFont val="Calibri"/>
        <family val="2"/>
        <scheme val="minor"/>
      </rPr>
      <t xml:space="preserve"> 
for inpatient treatment
</t>
    </r>
  </si>
  <si>
    <t>Private Room up to maximum AED 800 per day (Editable)</t>
  </si>
  <si>
    <t>Private Room up to maximum AED 500 per day (Editable)</t>
  </si>
  <si>
    <t>Hospital Intensive Care Unit Charges</t>
  </si>
  <si>
    <t>Covered</t>
  </si>
  <si>
    <t>Parent  Accommodation Charges 
Accommodation cost for one  parent / guardian staying in hospital with an insured child under the age of 18 years</t>
  </si>
  <si>
    <t>AED 450 per day for maximum 60 days (Editable)</t>
  </si>
  <si>
    <t>AED 250 per day for maximum 30 days (Editable)</t>
  </si>
  <si>
    <t>AED 150 per day for maximum 30 days (Editable)</t>
  </si>
  <si>
    <r>
      <rPr>
        <b/>
        <sz val="9"/>
        <color theme="1"/>
        <rFont val="Calibri"/>
        <family val="2"/>
        <scheme val="minor"/>
      </rPr>
      <t>Consultation charges</t>
    </r>
    <r>
      <rPr>
        <sz val="9"/>
        <color theme="1"/>
        <rFont val="Calibri"/>
        <family val="2"/>
        <scheme val="minor"/>
      </rPr>
      <t xml:space="preserve">
Physicians/Specialists/Consultants Consultation Charges during hospital stay or surgery</t>
    </r>
  </si>
  <si>
    <t>Diagnostics ( X-ray, MRI, CT-Scan, Ultra Sound &amp; Endoscopy services )</t>
  </si>
  <si>
    <t>Pathology / lab investigations</t>
  </si>
  <si>
    <t xml:space="preserve">Companion Accommodation Charges
The cost of accommodation of a person accompanying an in-patient in the same room in cases of medical necessity at the recommendation of the treating doctor </t>
  </si>
  <si>
    <t>AED 450  day (Editable)</t>
  </si>
  <si>
    <t>AED 250  day (Editable)</t>
  </si>
  <si>
    <t>AED 150 day (Editable)</t>
  </si>
  <si>
    <r>
      <t xml:space="preserve">Nursing at home charges 
(post Hospitalization </t>
    </r>
    <r>
      <rPr>
        <sz val="9"/>
        <color theme="1"/>
        <rFont val="Calibri"/>
        <family val="2"/>
        <scheme val="minor"/>
      </rPr>
      <t>for covered medical conditions)</t>
    </r>
  </si>
  <si>
    <r>
      <t xml:space="preserve">Covered up to Maximum </t>
    </r>
    <r>
      <rPr>
        <b/>
        <sz val="9"/>
        <color theme="4" tint="-0.249977111117893"/>
        <rFont val="Calibri"/>
        <family val="2"/>
        <scheme val="minor"/>
      </rPr>
      <t>AED 400 per day</t>
    </r>
    <r>
      <rPr>
        <sz val="9"/>
        <color rgb="FF3B3838"/>
        <rFont val="Calibri"/>
        <family val="2"/>
        <scheme val="minor"/>
      </rPr>
      <t xml:space="preserve"> for maximum 60 days  (Editable)</t>
    </r>
  </si>
  <si>
    <t>Covered up to Maximum AED 3000 per day for maximum 45 days  (Editable)</t>
  </si>
  <si>
    <t>Covered up to Maximum AED 300 per day for maximum 30 days (Editable)</t>
  </si>
  <si>
    <r>
      <t xml:space="preserve">Cash Indemnity for In-Patient Treatment
</t>
    </r>
    <r>
      <rPr>
        <sz val="9"/>
        <color theme="1"/>
        <rFont val="Calibri"/>
        <family val="2"/>
        <scheme val="minor"/>
      </rPr>
      <t>Post hospitalization up to max of 30 days, subject to providing discharge summary or proof of hospitalization. Applicable to all inpatient hospitalizations that are not submitted to the Insurance Company</t>
    </r>
  </si>
  <si>
    <t>AED 300 per night (Editable)</t>
  </si>
  <si>
    <t>AED 200 per night (Editable)</t>
  </si>
  <si>
    <r>
      <t xml:space="preserve">Emergency road ambulance
</t>
    </r>
    <r>
      <rPr>
        <sz val="9"/>
        <color theme="1"/>
        <rFont val="Calibri"/>
        <family val="2"/>
        <scheme val="minor"/>
      </rPr>
      <t xml:space="preserve"> Services to and from hospital by registered ambulance services provider</t>
    </r>
  </si>
  <si>
    <r>
      <t xml:space="preserve">Work Related injury or Accidents
</t>
    </r>
    <r>
      <rPr>
        <sz val="9"/>
        <color rgb="FF0000FF"/>
        <rFont val="Calibri"/>
        <family val="2"/>
        <scheme val="minor"/>
      </rPr>
      <t>Expenses originated or arising from or due work related injuries or accidents as well as under the Federal law</t>
    </r>
  </si>
  <si>
    <t>Optional: AML 25,000 (Editable)</t>
  </si>
  <si>
    <r>
      <t xml:space="preserve">Inpatient Rehabilitation charges
</t>
    </r>
    <r>
      <rPr>
        <sz val="9"/>
        <color theme="1"/>
        <rFont val="Calibri"/>
        <family val="2"/>
        <scheme val="minor"/>
      </rPr>
      <t>Treatment in the form of a combination of therapies such as physical, occupational and occupational therapy and is aimed at the restoration of a normal  form and/or function after an acute illness or injury. The rehabilitation charges only payable within 14 days following an acute illness or surgery</t>
    </r>
  </si>
  <si>
    <r>
      <t xml:space="preserve">ENT surgeries &amp; Sleeping Disorders
</t>
    </r>
    <r>
      <rPr>
        <sz val="9"/>
        <color theme="1"/>
        <rFont val="Calibri"/>
        <family val="2"/>
        <scheme val="minor"/>
      </rPr>
      <t xml:space="preserve">Sleeping disorder due to or in connection with Nasal Bone Disorders </t>
    </r>
  </si>
  <si>
    <t>Covered up to maximum AED 30,000 including Nasal surgeries and sleep studies</t>
  </si>
  <si>
    <t>Covered up to maximum AED 20,000 including Nasal surgeries and sleep studies</t>
  </si>
  <si>
    <t xml:space="preserve">Physiotherapy charges during hospital stay </t>
  </si>
  <si>
    <t xml:space="preserve">Covered subject to pre-authorization </t>
  </si>
  <si>
    <t>OUT PATIENT TREATMENT</t>
  </si>
  <si>
    <r>
      <rPr>
        <b/>
        <sz val="9"/>
        <color theme="1"/>
        <rFont val="Calibri"/>
        <family val="2"/>
        <scheme val="minor"/>
      </rPr>
      <t>Consultation Charges</t>
    </r>
    <r>
      <rPr>
        <sz val="9"/>
        <color theme="1"/>
        <rFont val="Calibri"/>
        <family val="2"/>
        <scheme val="minor"/>
      </rPr>
      <t xml:space="preserve">
Physicians/Specialist/Consultant Consultation  </t>
    </r>
  </si>
  <si>
    <t xml:space="preserve">Covered </t>
  </si>
  <si>
    <r>
      <t xml:space="preserve">Diagnostic investigation 
</t>
    </r>
    <r>
      <rPr>
        <sz val="9"/>
        <color theme="1"/>
        <rFont val="Calibri"/>
        <family val="2"/>
        <scheme val="minor"/>
      </rPr>
      <t>(X-ray, lab investigations, Ultra Sound, CT Scan etc)</t>
    </r>
  </si>
  <si>
    <r>
      <rPr>
        <b/>
        <sz val="9"/>
        <color theme="1"/>
        <rFont val="Calibri"/>
        <family val="2"/>
        <scheme val="minor"/>
      </rPr>
      <t>Prescribed</t>
    </r>
    <r>
      <rPr>
        <sz val="9"/>
        <color theme="1"/>
        <rFont val="Calibri"/>
        <family val="2"/>
        <scheme val="minor"/>
      </rPr>
      <t xml:space="preserve"> drugs/medicines and dressings</t>
    </r>
  </si>
  <si>
    <t>OUT PATIENT TREATMENT - DEDUCTIBLE</t>
  </si>
  <si>
    <t>Consultation charges</t>
  </si>
  <si>
    <t>10% maximum AED 100
20% maximum AE 150
(Editable)</t>
  </si>
  <si>
    <t>10% maximum AED 100
20% maximum AE 150</t>
  </si>
  <si>
    <t>10% maximum AED 50
20% maximum AE 100</t>
  </si>
  <si>
    <r>
      <t xml:space="preserve">Diagnostic investigation 
</t>
    </r>
    <r>
      <rPr>
        <sz val="9"/>
        <color rgb="FF0000FF"/>
        <rFont val="Calibri"/>
        <family val="2"/>
        <scheme val="minor"/>
      </rPr>
      <t>(X-ray, lab investigations, Ultra Sound, CT Scan etc.)</t>
    </r>
  </si>
  <si>
    <t>Option 1: 10% 
Option 2: 20% 
(Editable)</t>
  </si>
  <si>
    <t xml:space="preserve">Option 1: 10% 
Option 2: 20% </t>
  </si>
  <si>
    <t>NIL</t>
  </si>
  <si>
    <r>
      <rPr>
        <b/>
        <sz val="9"/>
        <color rgb="FF0000FF"/>
        <rFont val="Calibri"/>
        <family val="2"/>
        <scheme val="minor"/>
      </rPr>
      <t>Prescribed</t>
    </r>
    <r>
      <rPr>
        <sz val="9"/>
        <color rgb="FF0000FF"/>
        <rFont val="Calibri"/>
        <family val="2"/>
        <scheme val="minor"/>
      </rPr>
      <t xml:space="preserve"> drugs/medicines and dressings</t>
    </r>
  </si>
  <si>
    <t>Option 1: 10% 
Option 2: 20% 
Option 3: 30%
(Editable)</t>
  </si>
  <si>
    <t>Option 1: 10% 
Option 2: 20% 
Option 3: 30%</t>
  </si>
  <si>
    <t>Vaccination for Children ( as per MOH, UAE) includes the vaccinations and inoculations for newborns</t>
  </si>
  <si>
    <t>Inside Network: 100% Actual Cost
Outside Network: UCR Basis</t>
  </si>
  <si>
    <t>OTHER BENEFITS</t>
  </si>
  <si>
    <t>Adult Pneumococcal Conjugate Vaccine</t>
  </si>
  <si>
    <r>
      <t xml:space="preserve">Covered asper DHA </t>
    </r>
    <r>
      <rPr>
        <sz val="9"/>
        <color theme="1"/>
        <rFont val="Calibri"/>
        <family val="2"/>
        <scheme val="minor"/>
      </rPr>
      <t>Adult Pneumococcal Vaccination guidelines</t>
    </r>
  </si>
  <si>
    <t>Repatriation of Mortal Remains to the Country of Domicile:</t>
  </si>
  <si>
    <t xml:space="preserve">Covered up to Maximum AED 25,000 per person settled on Reimbursement basis </t>
  </si>
  <si>
    <t xml:space="preserve">Covered up to Maximum AED 15,000 per person settled on Reimbursement basis </t>
  </si>
  <si>
    <t xml:space="preserve">Covered up to Maximum AED 10,000 per person settled on Reimbursement basis </t>
  </si>
  <si>
    <t>Preventive services</t>
  </si>
  <si>
    <t>Frequency restricted to:
Diabetes: Every 3 years from age 30
High risk individuals annually from age-18</t>
  </si>
  <si>
    <t xml:space="preserve">All Sports Activities (other than professional and hazardous sports activities) </t>
  </si>
  <si>
    <t xml:space="preserve">(Optional) 
Covered </t>
  </si>
  <si>
    <t xml:space="preserve">Circumcision for New Muslims and new born subject to the following:
a.) The member is insured with Alliance Insurance PSC
b.) The member declared his Islam in the Emirate of Dubai in line with all the legal  formalities in this aspect along with a letter from Judicial department in Emirate of Dubai
</t>
  </si>
  <si>
    <t xml:space="preserve">Vitamins  </t>
  </si>
  <si>
    <t xml:space="preserve">Dietician </t>
  </si>
  <si>
    <t>Ophthalmology</t>
  </si>
  <si>
    <t>(Optional) 
Limited to eye consultation and any medical condition related to it (illness/ injury) excluding vison, sight test &amp; refraction error.</t>
  </si>
  <si>
    <t xml:space="preserve">Passive War Risk </t>
  </si>
  <si>
    <t xml:space="preserve">(Optional)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t>
  </si>
  <si>
    <t xml:space="preserve">Immunomodulators and/or immunotherapy treatment  </t>
  </si>
  <si>
    <t xml:space="preserve">Human Immunodeficiency Virus (HIV) and/or any HIV related illness inducing but not limited to acquired immune Deficiency syndrome. </t>
  </si>
  <si>
    <t xml:space="preserve">Hormone Replacement Therapy </t>
  </si>
  <si>
    <t>(Optional) 
Covered if medically necessary and prescribed by the physician; excluding growth hormone and excluded medical conditions.</t>
  </si>
  <si>
    <t xml:space="preserve">Birth Defects and Congenital Conditions  </t>
  </si>
  <si>
    <t>(Optional) 
Covered subject to prior approval and for approved medical conditions</t>
  </si>
  <si>
    <t xml:space="preserve">Oral and Maxillofacial surgery </t>
  </si>
  <si>
    <t>(Optional) 
Covered only if medically necessary &amp; not for Cosmetic reasons</t>
  </si>
  <si>
    <t xml:space="preserve">Hepatitis A </t>
  </si>
  <si>
    <t xml:space="preserve">(Optional)
Covered </t>
  </si>
  <si>
    <t xml:space="preserve">ROUTINE MATERNITY COVER
</t>
  </si>
  <si>
    <t xml:space="preserve">Routine Maternity and Childbirth
Note:- Maternity benefits are applicable for ALL Married females aged 18 and above
</t>
  </si>
  <si>
    <t xml:space="preserve"> 20,000 per person per year Normal Delivery, Cesarean Delivery and Termination of Pregnancy due to medical reasons</t>
  </si>
  <si>
    <t xml:space="preserve"> 20,000 per year - includes Antenatal, Postnatal, Normal Delivery, Cesarean Delivery and Termination of Pregnancy due to medical reasons</t>
  </si>
  <si>
    <t xml:space="preserve"> 15,000 per year - includes Antenatal, Postnatal, Normal Delivery, Cesarean Delivery and Termination of Pregnancy due to medical reasons</t>
  </si>
  <si>
    <t xml:space="preserve"> 10,000 per year - includes Antenatal, Postnatal, Normal Delivery, Cesarean Delivery and Termination of Pregnancy due to medical reasons</t>
  </si>
  <si>
    <r>
      <t xml:space="preserve"> </t>
    </r>
    <r>
      <rPr>
        <sz val="9"/>
        <color rgb="FFFF0000"/>
        <rFont val="Calibri"/>
        <family val="2"/>
        <scheme val="minor"/>
      </rPr>
      <t xml:space="preserve">Optional - </t>
    </r>
    <r>
      <rPr>
        <sz val="9"/>
        <color rgb="FF3B3838"/>
        <rFont val="Calibri"/>
        <family val="2"/>
        <scheme val="minor"/>
      </rPr>
      <t>20,000 per person per year Normal Delivery, Cesarean Delivery and Termination of Pregnancy due to medical reasons</t>
    </r>
  </si>
  <si>
    <t xml:space="preserve"> Optional - 15,000 per year - includes Antenatal, Postnatal, Normal Delivery, Cesarean Delivery and Termination of Pregnancy due to medical reasons</t>
  </si>
  <si>
    <t xml:space="preserve"> Optional - 10,000 per year - includes Antenatal, Postnatal, Normal Delivery, Cesarean Delivery and Termination of Pregnancy due to medical reasons</t>
  </si>
  <si>
    <t>Outpatient maternity treatment (includes Antenatal, Postnatal Treatment)</t>
  </si>
  <si>
    <r>
      <t xml:space="preserve">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t>
    </r>
    <r>
      <rPr>
        <b/>
        <sz val="9"/>
        <color rgb="FF3B3838"/>
        <rFont val="Calibri"/>
        <family val="2"/>
        <scheme val="minor"/>
      </rPr>
      <t>Visits to include reviews, checks and tests in accordance with DHA Antenatal Care Protocols</t>
    </r>
  </si>
  <si>
    <t>Coinsurance on maternity treatment (Outpatient &amp; Inpatient Treatment)</t>
  </si>
  <si>
    <t xml:space="preserve">
'Option 1: 10% of each and every expenses
</t>
  </si>
  <si>
    <t xml:space="preserve">Option 1: 20% of each and every expenses
'Option 2: 10% of each and every expenses
</t>
  </si>
  <si>
    <t>Option 1: Deductible AED 50/- on OP and  Deductible AED 500/- on IP within UAE</t>
  </si>
  <si>
    <t>New Baby Born Cover</t>
  </si>
  <si>
    <t>Cover for 30 days from birth BCG, Hepatitis B and neo-natal screening test (Phenylketonuria (PKU), Congenital Hypothyroidism, sickle cell screening, congenital adrenal hyperplasia)</t>
  </si>
  <si>
    <t xml:space="preserve">ADD ON ADDITIONAL ROUTINE BENEFITS (OPTIONAL)
</t>
  </si>
  <si>
    <t>ROUTINE DENTAL COVER</t>
  </si>
  <si>
    <t>OPTIMUM</t>
  </si>
  <si>
    <t>GRAND</t>
  </si>
  <si>
    <t>COMPREHENSIVE</t>
  </si>
  <si>
    <t>STANDARD</t>
  </si>
  <si>
    <r>
      <rPr>
        <sz val="9"/>
        <color rgb="FFFF0000"/>
        <rFont val="Calibri"/>
        <family val="2"/>
        <scheme val="minor"/>
      </rPr>
      <t xml:space="preserve">Optional - </t>
    </r>
    <r>
      <rPr>
        <sz val="9"/>
        <color rgb="FF3B3838"/>
        <rFont val="Calibri"/>
        <family val="2"/>
        <scheme val="minor"/>
      </rPr>
      <t>Limited to AED 3,000 per person per annum</t>
    </r>
  </si>
  <si>
    <t>Optional - Limited to AED 2,500 per person per annum</t>
  </si>
  <si>
    <t>Optional - Limited to AED 1,500 per person per annum</t>
  </si>
  <si>
    <t xml:space="preserve">Crown, Bridges, Orthodontic or any kind of other dental treatment </t>
  </si>
  <si>
    <t>Not applicable</t>
  </si>
  <si>
    <t>Not Applicable</t>
  </si>
  <si>
    <t>Coinsurance / deductible</t>
  </si>
  <si>
    <t xml:space="preserve">Option 1: AED 50
Option 2: 10%
Option 3: 20%
</t>
  </si>
  <si>
    <t xml:space="preserve">Not applicable
</t>
  </si>
  <si>
    <t xml:space="preserve">Not Applicable
</t>
  </si>
  <si>
    <t>ROUTINE OPTICAL COVER</t>
  </si>
  <si>
    <r>
      <t xml:space="preserve">Covered up to </t>
    </r>
    <r>
      <rPr>
        <b/>
        <sz val="9"/>
        <color theme="4" tint="-0.249977111117893"/>
        <rFont val="Calibri"/>
        <family val="2"/>
        <scheme val="minor"/>
      </rPr>
      <t>AED 2,500 per person per annum</t>
    </r>
  </si>
  <si>
    <t>Covered up to AED 1,500 per person per annum</t>
  </si>
  <si>
    <t>Covered up to AED 2,500 per person per year</t>
  </si>
  <si>
    <t>Covered up to AED 1,500 per person per year</t>
  </si>
  <si>
    <t>Covered up to AED 1,000 per person per year</t>
  </si>
  <si>
    <t>Sub limits</t>
  </si>
  <si>
    <t>AED 175 per pair per single vision lenses
AED 275 per pair per bifocal or tri-focal vision lenses
AED 350 per pair of contact lenses</t>
  </si>
  <si>
    <t xml:space="preserve">Coinsurance </t>
  </si>
  <si>
    <t xml:space="preserve">Option 1: 10%
Option 2: 20%
</t>
  </si>
  <si>
    <t>ALTHERNATIVE THERAPIES/MEDICINE</t>
  </si>
  <si>
    <t>Covers the following:  Chiropractic/ Osteopathy/ Homeopathy and Ayurvedic treatment</t>
  </si>
  <si>
    <r>
      <t xml:space="preserve">Limited to </t>
    </r>
    <r>
      <rPr>
        <b/>
        <sz val="9"/>
        <color theme="4" tint="-0.249977111117893"/>
        <rFont val="Calibri"/>
        <family val="2"/>
        <scheme val="minor"/>
      </rPr>
      <t>AED 5,000/-  per person per annum</t>
    </r>
    <r>
      <rPr>
        <sz val="9"/>
        <color rgb="FF3B3838"/>
        <rFont val="Calibri"/>
        <family val="2"/>
        <scheme val="minor"/>
      </rPr>
      <t xml:space="preserve">
</t>
    </r>
  </si>
  <si>
    <t>Limited to AED 3,000/-  per person per annum</t>
  </si>
  <si>
    <t>Limited to AED 2,000/-  per person per annum</t>
  </si>
  <si>
    <t xml:space="preserve">Limited to AED 5,000/-  per person per annum
</t>
  </si>
  <si>
    <t>ANNUAL WELLNESS COMPREHENSIVE CHECKUP</t>
  </si>
  <si>
    <r>
      <t xml:space="preserve">Annul wellness checkup 
</t>
    </r>
    <r>
      <rPr>
        <sz val="9"/>
        <color theme="1"/>
        <rFont val="Calibri"/>
        <family val="2"/>
        <scheme val="minor"/>
      </rPr>
      <t xml:space="preserve">Annual checkup per annum includes the following: Physical examination by a physician, complete bold count including Hb, RBC, WBC and platelets; Kidney Function Test; Blood Sugar Fasting; Total Cholesterol; HDL Cholesterol Cholesterol; Triglycerides; Blood Grouping and RH typing &amp; Resting ECG
</t>
    </r>
  </si>
  <si>
    <t xml:space="preserve">Covered with AED 100 deductible
(Editable/Optional) </t>
  </si>
  <si>
    <t xml:space="preserve">Not Covered
(Editable/Optional) </t>
  </si>
  <si>
    <r>
      <rPr>
        <b/>
        <sz val="9"/>
        <color rgb="FFFF0000"/>
        <rFont val="Calibri"/>
        <family val="2"/>
        <scheme val="minor"/>
      </rPr>
      <t xml:space="preserve">Annual Prevention Screening </t>
    </r>
    <r>
      <rPr>
        <sz val="9"/>
        <color rgb="FFFF0000"/>
        <rFont val="Calibri"/>
        <family val="2"/>
        <scheme val="minor"/>
      </rPr>
      <t xml:space="preserve">
Preauthorization required to avail this benefit.  All emergency cases do not require pre-authorization but should be notified to Alliance within 24 hours
• Breast Cancer
Screening at designated Providers (Applicable for females&gt;35 years)
Includes; a) clinical exam b) Mammogram c) Pelvic Sonogram (if medically indicated) d) 15.3 (if medically indicated)
• Prostate Cancer  
Screening at designated Providers (Applicable for males&gt;45 years)
Includes a) clinical exam b) PSA C) Rectal Sonogram
• Colorectal Cancer  
Screening at designated Providers (Applicable for male and females&gt; 50 years)
Includes: a) FIT (Fecal Immunochemical Test) every 2 years; b) Colonoscopy every 10 years.
</t>
    </r>
  </si>
  <si>
    <t xml:space="preserve">Optional </t>
  </si>
  <si>
    <t>PSYCHIATRIC TREATMENT</t>
  </si>
  <si>
    <r>
      <t xml:space="preserve">Psychiatric Treatment
</t>
    </r>
    <r>
      <rPr>
        <sz val="9"/>
        <color theme="4" tint="-0.249977111117893"/>
        <rFont val="Calibri"/>
        <family val="2"/>
        <scheme val="minor"/>
      </rPr>
      <t>Emergency and non emergency psychiatric treatment in a registered psychiatric unit of a Hospital and with a registered psychiatrist</t>
    </r>
  </si>
  <si>
    <t>Out Patient Covered up to Maximum AED 3,000/- per person per annum IN Patient Covered up to Maximum AED 10,000/- Per person per annum</t>
  </si>
  <si>
    <t>Out Patient Covered up to Maximum AED 2,000/- per person per annum IN Patient Covered up to Maximum AED 7,500 per Peron per annum</t>
  </si>
  <si>
    <t>Out Patient Covered up to Maximum AED 1,500/- per person per annum IN Patient Covered up to Maximum AED 7,500/- Per person per annum</t>
  </si>
  <si>
    <t>DEATH BENEFIT</t>
  </si>
  <si>
    <t>Lumpsum amount upon death of insured Primary member</t>
  </si>
  <si>
    <t>AED 50,000 per person (12 months waiting period applicable for death claims other than accidental death claims)</t>
  </si>
  <si>
    <t>AED 25,000 per person (12 months waiting period applicable for death claims other than accidental death claims)</t>
  </si>
  <si>
    <t>CRITICAL ILLNESS COVERAGE</t>
  </si>
  <si>
    <t>Upon diagnosis of following medical conditions (either one conditions or more than one condition) the insured member will be entitled to receive a cash benefit (lumpsum amount)</t>
  </si>
  <si>
    <t>AED 50,000 per person per life time (12 months waiting period applicable to become eligible for claim due to critical Illness)
(Optional/Editable)</t>
  </si>
  <si>
    <t>AED 30,000 per person per life time (12 months waiting period applicable to become eligible for claim due to critical Illness)
(Optional/Editable)</t>
  </si>
  <si>
    <t>AED 20,000 per person per life time (12 months waiting period applicable to become eligible for claim due to critical Illness)
(Optional/Editable)</t>
  </si>
  <si>
    <t xml:space="preserve">Cancer, Stroke, Heart Attach, Serious Coronary Disease, Heart Value Replacement &amp; Pulmonary Hypertension
</t>
  </si>
  <si>
    <t>General Exclusion</t>
  </si>
  <si>
    <t xml:space="preserve">DHA </t>
  </si>
  <si>
    <t>DHA</t>
  </si>
  <si>
    <t>HAAD</t>
  </si>
  <si>
    <t>·         On the date the Employee coverage starts.</t>
  </si>
  <si>
    <t>·         On the day the Employee first acquire such dependent enrollment, from the date of birth or from date of marriage.</t>
  </si>
  <si>
    <t>·         On the day the dependent joins the employee officially on permanent basis in the Area of Residence.</t>
  </si>
  <si>
    <t>·         Unmarried child up to age of 18 years or up to 25 years in case of full time student.</t>
  </si>
  <si>
    <t xml:space="preserve">-  Employees </t>
  </si>
  <si>
    <t xml:space="preserve">2)       In the event the Premium is not paid on the due date, the Insurer will notify the Contract holder/Broker of the amount payable within 30 days also informing the Contract holder/Broker the otherwise this Contract will be cancelled. If no payment is made at the end of the grace period of 30 days, this Contract will be terminated and the Contract holder/Broker will be liable for the amount due until the date of Cancellation. </t>
  </si>
  <si>
    <t>AUH Plans</t>
  </si>
  <si>
    <t>Covered asper DHA Adult Pneumococcal Vaccination guidelines</t>
  </si>
  <si>
    <t>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t>
  </si>
  <si>
    <t>Dubai Plans</t>
  </si>
  <si>
    <t xml:space="preserve">AED 200 per day for maximum 30 days </t>
  </si>
  <si>
    <t>AED 100 per day for maximum 30 days</t>
  </si>
  <si>
    <t>AED 200 per night</t>
  </si>
  <si>
    <t xml:space="preserve">Covered up to Maximum AED 400 per day for maximum 60 days  </t>
  </si>
  <si>
    <t xml:space="preserve">Optional: AML 25,000 </t>
  </si>
  <si>
    <t xml:space="preserve">10% maximum AED 100
20% maximum AE 150
</t>
  </si>
  <si>
    <t xml:space="preserve">Option 1: 10% 
Option 2: 20% 
</t>
  </si>
  <si>
    <t xml:space="preserve">Option 1: 10% 
Option 2: 20% 
Option 3: 30%
</t>
  </si>
  <si>
    <t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t>
  </si>
  <si>
    <t xml:space="preserve"> Covered up to policy limit for New Muslims and up to AED 600 for new born </t>
  </si>
  <si>
    <t xml:space="preserve">Covered if medically necessary </t>
  </si>
  <si>
    <t>Covered if medically necessary and up to AED 250 for 10 visits</t>
  </si>
  <si>
    <t>Limited to eye consultation and any medical condition related to it (illness/ injury) excluding vison, sight test &amp; refraction error.</t>
  </si>
  <si>
    <t>Covered only if medically necessary &amp; not for Cosmetic reasons</t>
  </si>
  <si>
    <t>AED 175 per pair per single vision lenses
AED 275 per pair per bifocal or tri-focal vision lenses</t>
  </si>
  <si>
    <t>Cover Type</t>
  </si>
  <si>
    <t>Pre-Existing &amp; Chronic Conditions</t>
  </si>
  <si>
    <r>
      <t>Cancer and Hepatitis C Patient Support Program as per DHA</t>
    </r>
    <r>
      <rPr>
        <sz val="9"/>
        <color theme="1"/>
        <rFont val="Calibri"/>
        <family val="2"/>
        <scheme val="minor"/>
      </rPr>
      <t xml:space="preserve">
Screening, Healthcare Services, Investigations and Treatments only for members enrolled under the Patient Support Program.
Applicable for Cervical, Breast and Colorectal Cancer Treatments only. </t>
    </r>
    <r>
      <rPr>
        <b/>
        <sz val="9"/>
        <color theme="1"/>
        <rFont val="Calibri"/>
        <family val="2"/>
        <scheme val="minor"/>
      </rPr>
      <t xml:space="preserve">
</t>
    </r>
    <r>
      <rPr>
        <sz val="9"/>
        <color theme="1"/>
        <rFont val="Calibri"/>
        <family val="2"/>
        <scheme val="minor"/>
      </rPr>
      <t xml:space="preserve">Screening, Healthcare Services, Investigations and Treatments related to viral Hepatitis and associated complications related to Hepatitis C </t>
    </r>
  </si>
  <si>
    <r>
      <t xml:space="preserve">Optical examinations conducted for the purpose of;
</t>
    </r>
    <r>
      <rPr>
        <sz val="9"/>
        <color theme="4" tint="-0.249977111117893"/>
        <rFont val="Calibri"/>
        <family val="2"/>
        <scheme val="minor"/>
      </rPr>
      <t>obtaining eye glasses or lenses, Consultation by an ophthalmologist, Sight testing, Medication (included within the optical benefit)</t>
    </r>
  </si>
  <si>
    <t>Private Room up to maximum AED 700 per day</t>
  </si>
  <si>
    <t xml:space="preserve">AED 350 per day for maximum 45 days </t>
  </si>
  <si>
    <t xml:space="preserve">AED 350 day </t>
  </si>
  <si>
    <t xml:space="preserve">Covered up to Maximum AED 400 per day for maximum 60 days </t>
  </si>
  <si>
    <t xml:space="preserve">Covered up to Maximum AED 3000 per day for maximum 45 days  </t>
  </si>
  <si>
    <t xml:space="preserve">Covered up to Maximum AED 300 per day for maximum 30 days </t>
  </si>
  <si>
    <t xml:space="preserve">Maximum of AED 800 per day </t>
  </si>
  <si>
    <t xml:space="preserve">Maximum of AED 500 per day </t>
  </si>
  <si>
    <r>
      <t xml:space="preserve">Hearing and vision aids, and vision correction by surgeries and laser (Emergency cases Only)
</t>
    </r>
    <r>
      <rPr>
        <sz val="9"/>
        <color theme="1"/>
        <rFont val="Calibri"/>
        <family val="2"/>
        <scheme val="minor"/>
      </rPr>
      <t>Hearing Emergencies include Object/insect in the ear, ruptured eardrum, sudden hearing loss and etc.… Vision Emergencies include bleeding or discharge from or around the eye, double vision. And Loss of vision, total or partial, one eye or both etc.</t>
    </r>
  </si>
  <si>
    <r>
      <t xml:space="preserve">Diagnostic and treatment services for dental and gum treatments (Emergency cases Only)
</t>
    </r>
    <r>
      <rPr>
        <sz val="9"/>
        <color theme="1"/>
        <rFont val="Calibri"/>
        <family val="2"/>
        <scheme val="minor"/>
      </rPr>
      <t>Dental emergency is any injury to your natural teeth or gums that can put you at a risk of permanent damage, such as Chipped or broken teeth, Knocked-out tooth, Soft-tissue injuries and etc.</t>
    </r>
  </si>
  <si>
    <t>Kidney Dialysis Treatment
Cost of  hemodialysis or peritoneal dialysis</t>
  </si>
  <si>
    <t>Organ Transplant
Organ transplantation shall cover the organ transplantation as recipient excluding any cost related to donor, and excluding the acquisition and organ cost.</t>
  </si>
  <si>
    <t>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t>
  </si>
  <si>
    <t>Routine Dental Cover including Consultation &amp; X-Ray, Scaling &amp; Polishing, Tooth Extraction, Amalgam fillings, Temporary and/or permanent composite, fillings and root canal treatment only.</t>
  </si>
  <si>
    <t>Emergency Hearing and Vision Aid</t>
  </si>
  <si>
    <t>Hearing and vision aids, and vision correction by surgeries and laser Covered only if required as a result of accidental injury – 20% Co- insurance applicable.</t>
  </si>
  <si>
    <t>Rate Change to Expiry</t>
  </si>
  <si>
    <t>% increase or decrease</t>
  </si>
  <si>
    <t>10% up to 20</t>
  </si>
  <si>
    <t>10% up to 25</t>
  </si>
  <si>
    <t>10% up to 30</t>
  </si>
  <si>
    <t>10% up to 50</t>
  </si>
  <si>
    <t>10% up to 75</t>
  </si>
  <si>
    <t>10% up to 100</t>
  </si>
  <si>
    <t>UAE only</t>
  </si>
  <si>
    <t>WW excl. US, Canada &amp; Europe at R&amp;C of UAE</t>
  </si>
  <si>
    <t>Pharmacy Limit</t>
  </si>
  <si>
    <t xml:space="preserve">Optimum </t>
  </si>
  <si>
    <t xml:space="preserve">Grand </t>
  </si>
  <si>
    <t>Group or Individual</t>
  </si>
  <si>
    <t>Number of Principals</t>
  </si>
  <si>
    <t>Number of Dependents</t>
  </si>
  <si>
    <t>% of Dependents</t>
  </si>
  <si>
    <t>Book Rate Load</t>
  </si>
  <si>
    <t>Non-virgin group &amp; DXB &amp; no claims experience</t>
  </si>
  <si>
    <t xml:space="preserve">Gold </t>
  </si>
  <si>
    <t xml:space="preserve">Silver </t>
  </si>
  <si>
    <t xml:space="preserve">Bronze </t>
  </si>
  <si>
    <t>Comprehensive: GN+</t>
  </si>
  <si>
    <t>Comprehensive: GN</t>
  </si>
  <si>
    <t>Standard: RN3</t>
  </si>
  <si>
    <t>Comprehensive: RN</t>
  </si>
  <si>
    <t>Standard: RN</t>
  </si>
  <si>
    <t>Standard: RN2</t>
  </si>
  <si>
    <t>Bronze: RN3</t>
  </si>
  <si>
    <t>No Waiting Period for existing members/ Waiting Period for new members</t>
  </si>
  <si>
    <t>Limit</t>
  </si>
  <si>
    <t>Net Rate (AED)</t>
  </si>
  <si>
    <t>AED 30,000</t>
  </si>
  <si>
    <t>AED 20,000</t>
  </si>
  <si>
    <t xml:space="preserve">AED 450 per day for maximum 60 days </t>
  </si>
  <si>
    <t xml:space="preserve">AED 450 per day for maximum 30 days </t>
  </si>
  <si>
    <t>AED 300 per night</t>
  </si>
  <si>
    <t xml:space="preserve">Maximum of AED 700 per day </t>
  </si>
  <si>
    <t xml:space="preserve">AED 250 per day for maximum 30 days </t>
  </si>
  <si>
    <t>AED 350 per day for maximum 30 days</t>
  </si>
  <si>
    <t>AED 250 per day for maximum 30 days</t>
  </si>
  <si>
    <t xml:space="preserve">Covered up to Maximum AED 300 per day for maximum 45 days  </t>
  </si>
  <si>
    <t>AED 250 per night</t>
  </si>
  <si>
    <t xml:space="preserve">AED 150 per day for maximum 30 days </t>
  </si>
  <si>
    <t>AED 150 per day for maximum 30 days</t>
  </si>
  <si>
    <t>Covered up to AED 10,000 per person per year</t>
  </si>
  <si>
    <t>Covered up to AED 7,500 per person per year</t>
  </si>
  <si>
    <t>Covered up to AED 5,000 per person per year</t>
  </si>
  <si>
    <t>Total Load</t>
  </si>
  <si>
    <t>Claims Data Details</t>
  </si>
  <si>
    <t>DHA Report Format</t>
  </si>
  <si>
    <t>Other Report Format</t>
  </si>
  <si>
    <t>Claim Summary</t>
  </si>
  <si>
    <t>TRR &amp; Detailed Claims</t>
  </si>
  <si>
    <t>Ultimate Claim (Annualized)</t>
  </si>
  <si>
    <t>Expiring Policy Underwriting Year</t>
  </si>
  <si>
    <t>Active Member</t>
  </si>
  <si>
    <t>IP Amount (Actual or Estimated Share %)</t>
  </si>
  <si>
    <t>OP Amount (Actual or Estimated Share %)</t>
  </si>
  <si>
    <t>Actual IP:OP Mix</t>
  </si>
  <si>
    <t>Information as per Claims Report / TRR</t>
  </si>
  <si>
    <t>Inpatient (IP) &amp; Outpatient (OP)</t>
  </si>
  <si>
    <t>Annualized Exposure</t>
  </si>
  <si>
    <t>Pricing Adjustment</t>
  </si>
  <si>
    <t>TNLR</t>
  </si>
  <si>
    <t>Actual Claim Amount as per Report</t>
  </si>
  <si>
    <t>Adjusted Claim Amount after Haircut</t>
  </si>
  <si>
    <t>Diagnosis of High Value IP claim</t>
  </si>
  <si>
    <t>Haircut % on Claim Amount</t>
  </si>
  <si>
    <t>Additional Years of Claim Experience</t>
  </si>
  <si>
    <t>Net Premiums Details</t>
  </si>
  <si>
    <t>UW YEAR</t>
  </si>
  <si>
    <t>Whether the TOB are same for the provided years of Claim Experience?</t>
  </si>
  <si>
    <t>Effective Date</t>
  </si>
  <si>
    <t>Claims Report End Date</t>
  </si>
  <si>
    <t>No of Years of Experience</t>
  </si>
  <si>
    <t>Experience Rate (Per Annum)</t>
  </si>
  <si>
    <t>Expiring Date of the Tool</t>
  </si>
  <si>
    <t>IBNR (included in the Claims Paid &amp; O/S)</t>
  </si>
  <si>
    <t xml:space="preserve">IP Outstanding </t>
  </si>
  <si>
    <t>IP Settled (or IP Settled + Outstanding )</t>
  </si>
  <si>
    <t>OP Settled (or OP Settled + Outstanding )</t>
  </si>
  <si>
    <t>OP Outstanding Claims</t>
  </si>
  <si>
    <t>Number of Categories</t>
  </si>
  <si>
    <t>AUH &amp; DXB in one group check</t>
  </si>
  <si>
    <t>Product</t>
  </si>
  <si>
    <t>PE&amp;C Limit</t>
  </si>
  <si>
    <t>Category A</t>
  </si>
  <si>
    <t>Category B</t>
  </si>
  <si>
    <t>Category C</t>
  </si>
  <si>
    <t>Category D</t>
  </si>
  <si>
    <t>Category E</t>
  </si>
  <si>
    <t>Category F</t>
  </si>
  <si>
    <t>Category H</t>
  </si>
  <si>
    <t>Category G</t>
  </si>
  <si>
    <t>Covered up to AML (subject to evidence of health insurance in UAE ).  If no health insurance continuity of the cover in UAE, any treatment related to the pre-existing and chronic conditions will be subject to  6 months waiting period from the date of first attachment of cover.</t>
  </si>
  <si>
    <t>NWP - Net Written Premium (Annual)</t>
  </si>
  <si>
    <t>NEWP - Net Earned Written Premium</t>
  </si>
  <si>
    <t>Silver: GN</t>
  </si>
  <si>
    <t>Silver: RN</t>
  </si>
  <si>
    <t>Burning Cost (after inflation)</t>
  </si>
  <si>
    <t>Adult: Children Overage Mix</t>
  </si>
  <si>
    <r>
      <t>Children &gt;</t>
    </r>
    <r>
      <rPr>
        <b/>
        <sz val="10"/>
        <color rgb="FFFF0000"/>
        <rFont val="Calibri"/>
        <family val="2"/>
        <scheme val="minor"/>
      </rPr>
      <t xml:space="preserve"> 18 yr</t>
    </r>
  </si>
  <si>
    <r>
      <t xml:space="preserve">Adult &gt; </t>
    </r>
    <r>
      <rPr>
        <b/>
        <sz val="10"/>
        <color rgb="FFFF0000"/>
        <rFont val="Calibri"/>
        <family val="2"/>
        <scheme val="minor"/>
      </rPr>
      <t>65 yr</t>
    </r>
  </si>
  <si>
    <t>Terms for Dependents over 18 years</t>
  </si>
  <si>
    <t>20% Copayment</t>
  </si>
  <si>
    <t>10% Copayment</t>
  </si>
  <si>
    <t>Copayment options</t>
  </si>
  <si>
    <r>
      <t>Optical Benefit (0% Coinsurance)</t>
    </r>
    <r>
      <rPr>
        <sz val="8"/>
        <color theme="1"/>
        <rFont val="Times New Roman"/>
        <family val="1"/>
      </rPr>
      <t> </t>
    </r>
  </si>
  <si>
    <t>Maternity Benefit - 0% copay &amp; nil waiting period</t>
  </si>
  <si>
    <t>Covid Factor</t>
  </si>
  <si>
    <t xml:space="preserve">Out-Patiant Physiotherapy </t>
  </si>
  <si>
    <t>Covered upto 6 sessions subject to prior approval with co-payment of 20%</t>
  </si>
  <si>
    <t>Ultimate Claims after Inflation &amp; Covid Adj</t>
  </si>
  <si>
    <t xml:space="preserve">Data and Reliance </t>
  </si>
  <si>
    <t xml:space="preserve">Validity of Quote </t>
  </si>
  <si>
    <t xml:space="preserve">The Reinsurer relies on documents and information supplied by the Ceding Company during the quote process in determining the terms of the Offer. This Offer is made on the basis of the information provided to the Reinsurer and is conditional upon that data being accurate and complete. The recipient of The Offer has a duty to inform the Reinsurer of any errors, omissions or misstatements in The information provided. Material omissions or inaccuracies in the documents or information provided will invalidate this Offer. The Ceding Company shall upon discovery notify the Reinsurer if the documents and information contained any Material omissions or inaccuracies. The Reinsurer will have the right to retroactively modify or void this Offer. </t>
  </si>
  <si>
    <t>Experience Rate Per Member</t>
  </si>
  <si>
    <t>Ultimate Claims after inflation &amp; Covid</t>
  </si>
  <si>
    <t>Annual Exposure</t>
  </si>
  <si>
    <t>Burning Cost (before inflation &amp; Covid) per member</t>
  </si>
  <si>
    <t>Burning Cost (after inflation + Covid Adj.) per member</t>
  </si>
  <si>
    <t>Burning Cost (before inflation + Covid) per member</t>
  </si>
  <si>
    <t>Burning Cost (after Inflation + Covid) per member</t>
  </si>
  <si>
    <t>IBNR_IP</t>
  </si>
  <si>
    <t>IBNR_OP</t>
  </si>
  <si>
    <r>
      <t xml:space="preserve">Experience Rate per Member </t>
    </r>
    <r>
      <rPr>
        <b/>
        <sz val="11"/>
        <color rgb="FF0070C0"/>
        <rFont val="Calibri"/>
        <family val="2"/>
        <scheme val="minor"/>
      </rPr>
      <t>(after adjusting Inflation, Covid, TNR and other adj)</t>
    </r>
  </si>
  <si>
    <t>This is Experience Rate Per Member. Removed BC</t>
  </si>
  <si>
    <t>This is Total Experience Rate . Removed BC</t>
  </si>
  <si>
    <t>Total Experience Rate for all active member</t>
  </si>
  <si>
    <t xml:space="preserve">•	This Offer supersedes any prior Offer in relation to the subject business. 
•	The Offer Expiry Date is 30 Days from submission of the Offer. 
•	This Offer lapses after the Offer Expiry Date. 
•	This Offer may be accepted at any time before the Offer Expiry Date by written confirmation or shall be ceded under the Treaty 
•	This Offer may be withdrawn at any time before the Offer Expiry Date by written confirmation from the Reinsurer. 
•	Any modification or revision on the terms of this Offer done by the Ceding company without prior approval of the Reinsurer will be considered null and void. </t>
  </si>
  <si>
    <t>book-rate split of Experience Rate</t>
  </si>
  <si>
    <t>book-rate split of Total Experience Rate (annual)</t>
  </si>
  <si>
    <t>Upto AML</t>
  </si>
  <si>
    <t xml:space="preserve">Gross Loading </t>
  </si>
  <si>
    <t>Mednet</t>
  </si>
  <si>
    <t>Group Size</t>
  </si>
  <si>
    <t>Intermediary and Fee</t>
  </si>
  <si>
    <t>Gallagher Re Limited</t>
  </si>
  <si>
    <t>NAS or equivalent</t>
  </si>
  <si>
    <t>Individual Plan for DXB / NE Policies</t>
  </si>
  <si>
    <t>Comprehensive (CN/GN+)</t>
  </si>
  <si>
    <t>General (GN)</t>
  </si>
  <si>
    <t>Restricted (RN)</t>
  </si>
  <si>
    <t>Super Restricted (SRN/RN2)</t>
  </si>
  <si>
    <t>Workers (WN/RN3)</t>
  </si>
  <si>
    <t>Value Network</t>
  </si>
  <si>
    <t>Males</t>
  </si>
  <si>
    <t>Females</t>
  </si>
  <si>
    <t>18-25</t>
  </si>
  <si>
    <t>26-30</t>
  </si>
  <si>
    <t>31-35</t>
  </si>
  <si>
    <t>36-40</t>
  </si>
  <si>
    <t>41-45</t>
  </si>
  <si>
    <t>46-50</t>
  </si>
  <si>
    <t>51-55</t>
  </si>
  <si>
    <t>Spouse and dependents</t>
  </si>
  <si>
    <t>0-10</t>
  </si>
  <si>
    <t>11-17</t>
  </si>
  <si>
    <t>Individual Plan for AUH Policies</t>
  </si>
  <si>
    <t>60-64</t>
  </si>
  <si>
    <t>Death due to Accident</t>
  </si>
  <si>
    <t>Option 1</t>
  </si>
  <si>
    <t>Option 2</t>
  </si>
  <si>
    <t>Below Optional benefits - DN/OPT and MAT apply to both Principals and Dependents (Applicable for DXB/NE/AUH Plan) - to be added on THE ABOVE rates</t>
  </si>
  <si>
    <t>VN</t>
  </si>
  <si>
    <t>Territorial Cover (Elective and Emergency )</t>
  </si>
  <si>
    <t>Adjustment Factor</t>
  </si>
  <si>
    <r>
      <t xml:space="preserve">Diagnostic investigation: OP Co-Pay </t>
    </r>
    <r>
      <rPr>
        <sz val="10"/>
        <color theme="0"/>
        <rFont val="Arial"/>
        <family val="2"/>
      </rPr>
      <t>(X-ray, lab investigations, Ultra Sound, CT Scan etc.)</t>
    </r>
  </si>
  <si>
    <t>Adjustment Factor (excluding DN/OPT/MAT)</t>
  </si>
  <si>
    <t>Deductible for Consulation</t>
  </si>
  <si>
    <t>AED 20</t>
  </si>
  <si>
    <t>AED 25</t>
  </si>
  <si>
    <t>AED 30</t>
  </si>
  <si>
    <t>AED 10</t>
  </si>
  <si>
    <t>AED 75</t>
  </si>
  <si>
    <t>AED 100</t>
  </si>
  <si>
    <t>20% up to AED 10</t>
  </si>
  <si>
    <t>5% up to AED 50</t>
  </si>
  <si>
    <t>10% up to AED 50</t>
  </si>
  <si>
    <t>15% up to AED 50</t>
  </si>
  <si>
    <t>Adjustment on IP and OP (excluding DN/OPT/MAT)</t>
  </si>
  <si>
    <t>Annual medical limit</t>
  </si>
  <si>
    <t>PEC covered upto maximum of AML</t>
  </si>
  <si>
    <t>Age</t>
  </si>
  <si>
    <t>41 -59</t>
  </si>
  <si>
    <t>60 +</t>
  </si>
  <si>
    <t>56-59</t>
  </si>
  <si>
    <t>MINIMUM RATES FOR ABU DHABI PLAN</t>
  </si>
  <si>
    <t xml:space="preserve">Dubai Rates - Male - Employee </t>
  </si>
  <si>
    <t xml:space="preserve">Dubai Rates - Female - Employee </t>
  </si>
  <si>
    <t>Dubai Rates - Male - Dependent</t>
  </si>
  <si>
    <t>Dubai Rates - Female - Dependent</t>
  </si>
  <si>
    <t xml:space="preserve">AUH Rates - Male - Employee </t>
  </si>
  <si>
    <t xml:space="preserve">AUH Rates - Female - Employee </t>
  </si>
  <si>
    <t>AUH Rates - Male - Dependent</t>
  </si>
  <si>
    <t>AUH Rates - Female - Dependent</t>
  </si>
  <si>
    <r>
      <t xml:space="preserve">Individual / Group </t>
    </r>
    <r>
      <rPr>
        <sz val="20"/>
        <color rgb="FFFF0000"/>
        <rFont val="Calibri"/>
        <family val="2"/>
        <scheme val="minor"/>
      </rPr>
      <t xml:space="preserve">Employee </t>
    </r>
    <r>
      <rPr>
        <sz val="20"/>
        <color theme="1"/>
        <rFont val="Calibri"/>
        <family val="2"/>
        <scheme val="minor"/>
      </rPr>
      <t>&amp;/or their Dependents</t>
    </r>
  </si>
  <si>
    <t>ADB</t>
  </si>
  <si>
    <t>Regulator</t>
  </si>
  <si>
    <t xml:space="preserve">DHA &amp; HAAD </t>
  </si>
  <si>
    <t xml:space="preserve">Base Limit </t>
  </si>
  <si>
    <t>In-patient and out-patient benefits</t>
  </si>
  <si>
    <t>IP + OP</t>
  </si>
  <si>
    <t>Pre-existing and Chronic conditions</t>
  </si>
  <si>
    <t>Treatment for chronic and pre-existing conditions excluded for first 6 months of first scheme membership, included thereafter.</t>
  </si>
  <si>
    <t>Treatment for chronic and pre-existing conditions excluded for first 6 months of first scheme membership, included thereafter</t>
  </si>
  <si>
    <t>This requirement is waived in the event that there is an emergency case where the cover is up to AML</t>
  </si>
  <si>
    <t>If HAAD, then, coverage as per HAAD  limit</t>
  </si>
  <si>
    <t>Geographical Scope of Coverage</t>
  </si>
  <si>
    <t>Territories covered</t>
  </si>
  <si>
    <t>Worldwide excluding US and Canada</t>
  </si>
  <si>
    <t>GCC, ISC and South East Asia</t>
  </si>
  <si>
    <t>UAE Only</t>
  </si>
  <si>
    <t>Emergency in-patient treatment while abroad.
Emergency medical expenses covered while the insured member is on vacation,leisure or business trips subject to a maximum of 45 days per trip, or the annual aggregate</t>
  </si>
  <si>
    <t>Non-emergency treatment abroad.
If the US &amp; Canada are within Area of Cover, cover in US &amp; Canada provided at only R&amp;C rates of UAE.</t>
  </si>
  <si>
    <t>In-patient &amp; Day Care Health Services at Authorized Hospitals</t>
  </si>
  <si>
    <t>Coinsurance.  
Cap of 500 AED payable per encounter and an annual aggregate cap of 1000 AED (for insured).
Above these caps the insurer will cover 100% of treatment.</t>
  </si>
  <si>
    <t>In-patient Room Type</t>
  </si>
  <si>
    <t>Semi Private</t>
  </si>
  <si>
    <t>In-patient Healthcare Services
(Including Pre &amp; Post In-Hospital Treatment)</t>
  </si>
  <si>
    <t>Covered up to the AML</t>
  </si>
  <si>
    <t>Day Care Treatment</t>
  </si>
  <si>
    <t>Hospital Accommodation &amp; Services</t>
  </si>
  <si>
    <t>Hospital services, Surgery, Operation Theatre, Anesthesia.</t>
  </si>
  <si>
    <t>Laboratory , Radiology , Pathology and Diagnostic services.</t>
  </si>
  <si>
    <t>X-ray, MRI, CT-scan, Ultra Sound, Endoscopy.</t>
  </si>
  <si>
    <t>Intensive care unit,Emergency Ward Services</t>
  </si>
  <si>
    <t>Internal Surgical Appliances &amp; Prosthesis (If surgically required)</t>
  </si>
  <si>
    <t>Minor surgical procedures performed by a general practitioner at a Medical facility or Private Hospital.</t>
  </si>
  <si>
    <t>Accommodation for a person accompanying an insured child below 16 years of age.</t>
  </si>
  <si>
    <t>Covered up to 500 AED per day</t>
  </si>
  <si>
    <t>Covered up to 300 AED per day</t>
  </si>
  <si>
    <t>Covered up to 250 AED per day</t>
  </si>
  <si>
    <t>Accommodation of an accompanying person in the same room in cases of critical conditions and as per recommendation of attending physician.</t>
  </si>
  <si>
    <t>Cash Indemnity for In-Patient Treatment post hospitalization up to max of 10 days, subject to providing discharge summary or proof of hospitalization.</t>
  </si>
  <si>
    <t>AED 250 per night applicable to all inpatient hospitalizations that are not submitted to the Insurance Company</t>
  </si>
  <si>
    <t>Out-patient Health Services</t>
  </si>
  <si>
    <t>Applicable deductible for consultation.
** Deductible for follow up visits witth the same doctor for the same medical condition within network within 7 days from the date of first visit is not applicable.</t>
  </si>
  <si>
    <t xml:space="preserve">Options </t>
  </si>
  <si>
    <t>Specialist or Consultants  for  OP practices</t>
  </si>
  <si>
    <t>Coinsurance on Other OP services (Laboratory, Radiology etc)</t>
  </si>
  <si>
    <t>Prescribed Medicines - Limit</t>
  </si>
  <si>
    <t>Prescribed Medicines - Coinsurance</t>
  </si>
  <si>
    <t>Prescribed Medicine Type</t>
  </si>
  <si>
    <t xml:space="preserve">Outpatient Surgerical procedure </t>
  </si>
  <si>
    <t xml:space="preserve">Covered up to the AML  </t>
  </si>
  <si>
    <t>X-ray, MRI, CT-scan, Ultra Sound and Endoscopy diagnostic services.</t>
  </si>
  <si>
    <t xml:space="preserve">Other Benefits </t>
  </si>
  <si>
    <t>Diagnostic and treatment services for dental and gum treatments , in case of emergency only</t>
  </si>
  <si>
    <t xml:space="preserve">Hearing and vision aids and vision correction by surgeries and laser , in case of emergency only  </t>
  </si>
  <si>
    <t xml:space="preserve">Nursing at home by a registered nurse (following an immediate Inpatient treatment) </t>
  </si>
  <si>
    <t>Organ Transplantation (recIpient only excluding cost organ)</t>
  </si>
  <si>
    <t xml:space="preserve">New Born Cover </t>
  </si>
  <si>
    <t>Cover for 30 days from the date of birth or until addition as a member, whichever is earlier. New born covered under the mother’s annual limit.</t>
  </si>
  <si>
    <t>Covered up to lifetime maximum of AED 50,000 per person per annum within UAE only</t>
  </si>
  <si>
    <t>Covered up to lifetime maximum of AED 20,000 per person per annum within UAE only</t>
  </si>
  <si>
    <t>Covered up to maximum of AED 10,000 PMPA</t>
  </si>
  <si>
    <t>Covered up to maximum of AED 5,000 PMPA</t>
  </si>
  <si>
    <t>Preventive services, vaccines and immunizations For New Born and children</t>
  </si>
  <si>
    <t>Essential vaccinations and inoculations for new born and children up to 6 as stipulated in regulator’s policies and its updates (Currently the same as federal MOH), Benefit is covered on reimbursement basis.</t>
  </si>
  <si>
    <t>Preventive services, vaccines and immunizations For Adults.</t>
  </si>
  <si>
    <t>Influenza vaccine</t>
  </si>
  <si>
    <t xml:space="preserve">Once </t>
  </si>
  <si>
    <t>Once</t>
  </si>
  <si>
    <t>Repatriation of Mortal Remains to the Country of Domicile</t>
  </si>
  <si>
    <t>Alternative Medicine (Ayurvedic, Chiropractic, Ostepathy, Herbal, Occupuncture, Acupressure &amp; Homeopathy)</t>
  </si>
  <si>
    <t xml:space="preserve">Healthcare services for work related injuries &amp; illness are covered as per Federal Law No. (8) of 1980 regarding work relations, its amendments &amp; the applicable laws &amp; resolutions in this regard. </t>
  </si>
  <si>
    <t xml:space="preserve">OP Psychiatric Benefits </t>
  </si>
  <si>
    <t>Maternity benefit:</t>
  </si>
  <si>
    <t/>
  </si>
  <si>
    <t>waiting period</t>
  </si>
  <si>
    <t>Zero waiting period for existing members and 280 days for new joiners</t>
  </si>
  <si>
    <t>Dental benefit</t>
  </si>
  <si>
    <t>Optical benefit</t>
  </si>
  <si>
    <t>Frames</t>
  </si>
  <si>
    <t>Deductible for Consultation</t>
  </si>
  <si>
    <t>0%</t>
  </si>
  <si>
    <t>5%</t>
  </si>
  <si>
    <t>10%</t>
  </si>
  <si>
    <t>15%</t>
  </si>
  <si>
    <t>20%</t>
  </si>
  <si>
    <t>Area of Coverage</t>
  </si>
  <si>
    <t>Abu Dhabi</t>
  </si>
  <si>
    <t>Network (Abbreviation)</t>
  </si>
  <si>
    <t xml:space="preserve">Physiotherapy </t>
  </si>
  <si>
    <t>60 - 64</t>
  </si>
  <si>
    <t>65 - 99</t>
  </si>
  <si>
    <r>
      <t>Census (</t>
    </r>
    <r>
      <rPr>
        <b/>
        <sz val="8"/>
        <color rgb="FFFF0000"/>
        <rFont val="Times New Roman"/>
        <family val="1"/>
      </rPr>
      <t>Abu Dhabi</t>
    </r>
    <r>
      <rPr>
        <b/>
        <sz val="8"/>
        <rFont val="Times New Roman"/>
        <family val="1"/>
      </rPr>
      <t>)</t>
    </r>
  </si>
  <si>
    <t>Old</t>
  </si>
  <si>
    <t>Type</t>
  </si>
  <si>
    <t>Plan_Cat</t>
  </si>
  <si>
    <t>Region</t>
  </si>
  <si>
    <t>Age Band</t>
  </si>
  <si>
    <t>Manual</t>
  </si>
  <si>
    <t>Overage Multiplier  65+</t>
  </si>
  <si>
    <t>Error under Member Data sheet</t>
  </si>
  <si>
    <t>Cat</t>
  </si>
  <si>
    <t>Cat_Gender</t>
  </si>
  <si>
    <t>Total Book Rates (Employee &amp; Dependent) - Net</t>
  </si>
  <si>
    <t>Book Rates (Employee &amp; Dependent) - Net - Per Member</t>
  </si>
  <si>
    <t>Benefit Selection Sheet - Check AML or Maternity Limit</t>
  </si>
  <si>
    <t xml:space="preserve">Check AML </t>
  </si>
  <si>
    <t>Check Maternity Limit</t>
  </si>
  <si>
    <t>RENEWAL</t>
  </si>
  <si>
    <t>Renewal Multiplier based on NLR</t>
  </si>
  <si>
    <t>NLR of Expiring Year</t>
  </si>
  <si>
    <t>TOB are NOT same prospective Renewal?</t>
  </si>
  <si>
    <t>Quoted Rate with Intermediate Fee</t>
  </si>
  <si>
    <t>Employee</t>
  </si>
  <si>
    <t>Dependent</t>
  </si>
  <si>
    <t>Book Rate (Base Benefits) - Tool</t>
  </si>
  <si>
    <t>Book Rate (Base Benefits) - Treaty</t>
  </si>
  <si>
    <t>Total Book Rate with Optional benefits</t>
  </si>
  <si>
    <t>Maternity (18-50) Married / Female</t>
  </si>
  <si>
    <t>Group NET Rate(Min)</t>
  </si>
  <si>
    <t>Group GROSS Rate(Min)</t>
  </si>
  <si>
    <t>Minimum AUH Gross Rate</t>
  </si>
  <si>
    <t>Adjustment to Book Rate</t>
  </si>
  <si>
    <t>Adjusted Rate</t>
  </si>
  <si>
    <t>Net Premium</t>
  </si>
  <si>
    <t>Final Rate (including maternity premium)</t>
  </si>
  <si>
    <r>
      <rPr>
        <b/>
        <sz val="11"/>
        <rFont val="Calibri"/>
        <family val="2"/>
        <scheme val="minor"/>
      </rPr>
      <t xml:space="preserve">-  Dependents. </t>
    </r>
    <r>
      <rPr>
        <sz val="11"/>
        <rFont val="Calibri"/>
        <family val="2"/>
        <scheme val="minor"/>
      </rPr>
      <t xml:space="preserve"> For Groups, all dependent members are to be covered.</t>
    </r>
  </si>
  <si>
    <r>
      <t xml:space="preserve">All actively at work, full time employees and their dependents holding UAE valid residency visa. </t>
    </r>
    <r>
      <rPr>
        <sz val="11"/>
        <color rgb="FFFF0000"/>
        <rFont val="Calibri"/>
        <family val="2"/>
        <scheme val="minor"/>
      </rPr>
      <t>(Members above 65 years will be subject to individual medical underwriting and subsequent premium proposed)</t>
    </r>
  </si>
  <si>
    <t>Full time employees will be covered on the date they officially start at work. However, if the Employee is not actively at work on a full time basis on the date they would become a member, the commencement of the Membership shall be deferred until return to active work on full time basis</t>
  </si>
  <si>
    <t>Addition/ Deletions will be on pro-rata basis on receipt of official request from the policy holder duly stamped and signed. In case of Deletion, the submission of the medical card is mandatory otherwise a Liability letter from the Policyholder will be required to allow refund of premium. No refund of premium if the member/s for deletion has made a claim.</t>
  </si>
  <si>
    <r>
      <t>0 days – 65 years   (</t>
    </r>
    <r>
      <rPr>
        <sz val="11"/>
        <color rgb="FFFF0000"/>
        <rFont val="Calibri"/>
        <family val="2"/>
        <scheme val="minor"/>
      </rPr>
      <t>Members above 65 years will be subject to submission of our individual medical proposal form duly filled and signed with date by the members</t>
    </r>
    <r>
      <rPr>
        <sz val="11"/>
        <color theme="1"/>
        <rFont val="Calibri"/>
        <family val="2"/>
        <scheme val="minor"/>
      </rPr>
      <t>. Acceptance cover for members above 65 years of age will be subject to acceptance our medical underwriting conditions and subsequent to premium proposed)</t>
    </r>
  </si>
  <si>
    <t>The agreed list of Medical service providers is subject to change from time to time. As far as possible advance notice will be provided about Addition/Deletion of Hospitals/ Clinics.</t>
  </si>
  <si>
    <t>The premium rates are guaranteed for one policy year only. The Insurance Company reserves the right to revise the proposed rates at the time during the policy period if the number of members are reduced by 10%.</t>
  </si>
  <si>
    <t>1)       Premiums are payable advance</t>
  </si>
  <si>
    <r>
      <t xml:space="preserve">1) The above quoted premium(s) is based on the declared information </t>
    </r>
    <r>
      <rPr>
        <sz val="11"/>
        <color rgb="FFFF0000"/>
        <rFont val="Calibri"/>
        <family val="2"/>
        <scheme val="minor"/>
      </rPr>
      <t xml:space="preserve">including current/previous Loss Ratio/Claim details for groups with insurance </t>
    </r>
  </si>
  <si>
    <t>2)  Any material changes during the policy inception or during the policy we have the right to review our terms during the policy tenure.  Acceptance of such amendment is required by the client otherwise the cover will be ceased subject to other terms of the policy experience or on assumption that the Loss Ratio is not more than 80% or for VIRGIN GROUPS.</t>
  </si>
  <si>
    <t>% over 64</t>
  </si>
  <si>
    <t>Benefits</t>
  </si>
  <si>
    <t>Annual Medical Limit (AML)</t>
  </si>
  <si>
    <r>
      <t xml:space="preserve">Emergency in-patient treatment while abroad.
</t>
    </r>
    <r>
      <rPr>
        <sz val="11"/>
        <rFont val="Calibri"/>
        <family val="2"/>
        <scheme val="minor"/>
      </rPr>
      <t>Emergency medical expenses covered while the insured member is on vacation,leisure or business trips subject to a maximum of 45 days per trip, or the annual aggregate</t>
    </r>
  </si>
  <si>
    <r>
      <t xml:space="preserve">Non-emergency treatment abroad.
</t>
    </r>
    <r>
      <rPr>
        <sz val="11"/>
        <rFont val="Calibri"/>
        <family val="2"/>
        <scheme val="minor"/>
      </rPr>
      <t>If the US &amp; Canada are within Area of Cover, cover in US &amp; Canada provided at only R&amp;C rates of UAE.</t>
    </r>
  </si>
  <si>
    <t>IN-PATIENT &amp; DAY CARE HEALTH SERVICES AT AUTHORIZED HOSPITALS</t>
  </si>
  <si>
    <t>Physiotherapy 
Following an IP or Day-care procedure and recommended by Medical Practioner</t>
  </si>
  <si>
    <t>OUT-PATIENT HEALTH SERVICES</t>
  </si>
  <si>
    <t>Circumcision 
(subject to 10% coinsurance)</t>
  </si>
  <si>
    <t>Covered services includes:
1. Optical examination for errors of refraction.
2. One pair of prescribed lenses &amp;/or contact lenses</t>
  </si>
  <si>
    <r>
      <t xml:space="preserve">The Premium and Limits are in </t>
    </r>
    <r>
      <rPr>
        <sz val="11"/>
        <color rgb="FFFF0000"/>
        <rFont val="Calibri"/>
        <family val="2"/>
        <scheme val="minor"/>
      </rPr>
      <t>AED</t>
    </r>
  </si>
  <si>
    <t>Currency</t>
  </si>
  <si>
    <t>Total Count</t>
  </si>
  <si>
    <t>AGE BANDED NET RATES</t>
  </si>
  <si>
    <t xml:space="preserve">AGE BANDED MEMBER COUNT OF THE ACTIVE LIST </t>
  </si>
  <si>
    <t>NA</t>
  </si>
  <si>
    <t>Maternity Premium per Member</t>
  </si>
  <si>
    <t>Number of Active Lives</t>
  </si>
  <si>
    <r>
      <t>Eligible Married Female for Maternity (</t>
    </r>
    <r>
      <rPr>
        <b/>
        <sz val="11"/>
        <color rgb="FFFF0000"/>
        <rFont val="Calibri"/>
        <family val="2"/>
        <scheme val="minor"/>
      </rPr>
      <t>Active List</t>
    </r>
    <r>
      <rPr>
        <b/>
        <sz val="11"/>
        <rFont val="Calibri"/>
        <family val="2"/>
        <scheme val="minor"/>
      </rPr>
      <t xml:space="preserve">)
</t>
    </r>
    <r>
      <rPr>
        <sz val="11"/>
        <rFont val="Calibri"/>
        <family val="2"/>
        <scheme val="minor"/>
      </rPr>
      <t>(The Premium for these Married Female are included in the below Age Banded Net Rate)</t>
    </r>
  </si>
  <si>
    <t>Validation of Age Band</t>
  </si>
  <si>
    <t>Difference</t>
  </si>
  <si>
    <t>AGE BANDED GROSS RATES</t>
  </si>
  <si>
    <t>Total GROSS Premium (AED)</t>
  </si>
  <si>
    <t>Accidental Death Benefit Limit</t>
  </si>
  <si>
    <t>Death due to Accident only</t>
  </si>
  <si>
    <r>
      <t xml:space="preserve">DXAB / NE : </t>
    </r>
    <r>
      <rPr>
        <sz val="12"/>
        <color rgb="FFFF0000"/>
        <rFont val="Times New Roman"/>
        <family val="1"/>
      </rPr>
      <t>36-45</t>
    </r>
    <r>
      <rPr>
        <sz val="12"/>
        <rFont val="Times New Roman"/>
        <family val="1"/>
      </rPr>
      <t xml:space="preserve">
AUH : </t>
    </r>
    <r>
      <rPr>
        <sz val="12"/>
        <color rgb="FFFF0000"/>
        <rFont val="Times New Roman"/>
        <family val="1"/>
      </rPr>
      <t>36-50</t>
    </r>
  </si>
  <si>
    <r>
      <t>Children &gt;</t>
    </r>
    <r>
      <rPr>
        <b/>
        <sz val="12"/>
        <color rgb="FFFF0000"/>
        <rFont val="Times New Roman"/>
        <family val="1"/>
      </rPr>
      <t xml:space="preserve"> 18 yr</t>
    </r>
  </si>
  <si>
    <r>
      <t>Adult: Children</t>
    </r>
    <r>
      <rPr>
        <b/>
        <sz val="12"/>
        <color rgb="FFFF0000"/>
        <rFont val="Times New Roman"/>
        <family val="1"/>
      </rPr>
      <t xml:space="preserve"> Overage Mix</t>
    </r>
  </si>
  <si>
    <t>* The above Quoted Rates for Age Band 65-99 yrs are on INDICATIVE BASIS, shall subject to change after review the Medical Application Form (MAF) for members above 64 yrs</t>
  </si>
  <si>
    <t>Credibility Factor (Z)</t>
  </si>
  <si>
    <t>Network for AUH</t>
  </si>
  <si>
    <t>Value Network cannot be offered under AUH</t>
  </si>
  <si>
    <t>Table 1</t>
  </si>
  <si>
    <t>Table 2</t>
  </si>
  <si>
    <t>Table 3</t>
  </si>
  <si>
    <t>Table 4</t>
  </si>
  <si>
    <t>Table 5</t>
  </si>
  <si>
    <t>Table 6</t>
  </si>
  <si>
    <t>Co-Payment</t>
  </si>
  <si>
    <r>
      <t xml:space="preserve">Repatriation of Mortal Remains to the Country of Domicile
</t>
    </r>
    <r>
      <rPr>
        <sz val="11"/>
        <color theme="0"/>
        <rFont val="Calibri"/>
        <family val="2"/>
        <scheme val="minor"/>
      </rPr>
      <t>(Covered up to Maximum AED XX,XXX per person per annum covered on reimbursement basis.)</t>
    </r>
  </si>
  <si>
    <r>
      <t xml:space="preserve">Nursing at home by a registered nurse (following an immediate Inpatient treatment) 
</t>
    </r>
    <r>
      <rPr>
        <sz val="11"/>
        <color theme="0"/>
        <rFont val="Calibri"/>
        <family val="2"/>
        <scheme val="minor"/>
      </rPr>
      <t>Covered up to maximum AED XXXX per person per annum subject to prior apporval.</t>
    </r>
  </si>
  <si>
    <t>Coinsurance</t>
  </si>
  <si>
    <t>Options</t>
  </si>
  <si>
    <t>AED 100 per night applicable to all inpatient hospitalizations that are not submitted to the Insurance Company</t>
  </si>
  <si>
    <t>OP Co-pay for Diagnostics (X-Ray, MRI, CT- Scan, Ultrasound etc.) and Laboratory Tests</t>
  </si>
  <si>
    <t>Medication Type</t>
  </si>
  <si>
    <t>Generic</t>
  </si>
  <si>
    <t>Branded</t>
  </si>
  <si>
    <t>NAS</t>
  </si>
  <si>
    <t>Mednet EBP</t>
  </si>
  <si>
    <t xml:space="preserve">Short form </t>
  </si>
  <si>
    <t>Gold Network</t>
  </si>
  <si>
    <t>Silver Premium Network</t>
  </si>
  <si>
    <t>Green Network</t>
  </si>
  <si>
    <t>Emerald Network</t>
  </si>
  <si>
    <t>Silk Road Network</t>
  </si>
  <si>
    <t>Comprehensive Network</t>
  </si>
  <si>
    <t>General Network</t>
  </si>
  <si>
    <t>Restricted Network</t>
  </si>
  <si>
    <t>Super-Restricted Network</t>
  </si>
  <si>
    <t>Workers Network</t>
  </si>
  <si>
    <t>Silver Classic</t>
  </si>
  <si>
    <t>Rate Adjustment on NAS</t>
  </si>
  <si>
    <t>Shared / Ward</t>
  </si>
  <si>
    <r>
      <rPr>
        <b/>
        <sz val="11"/>
        <color rgb="FFFF0000"/>
        <rFont val="Calibri"/>
        <family val="2"/>
        <scheme val="minor"/>
      </rPr>
      <t>IBNR</t>
    </r>
    <r>
      <rPr>
        <sz val="11"/>
        <color rgb="FFFF0000"/>
        <rFont val="Calibri"/>
        <family val="2"/>
        <scheme val="minor"/>
      </rPr>
      <t xml:space="preserve"> </t>
    </r>
    <r>
      <rPr>
        <sz val="11"/>
        <color theme="1"/>
        <rFont val="Calibri"/>
        <family val="2"/>
        <scheme val="minor"/>
      </rPr>
      <t xml:space="preserve">- The expiring year claims provided shall be run off till year end (based on 1 months of IBNR factor). Say, if we have 9 months of claims, the claim run off to year end shall be based on: </t>
    </r>
    <r>
      <rPr>
        <sz val="11"/>
        <color rgb="FFFF0000"/>
        <rFont val="Calibri"/>
        <family val="2"/>
        <scheme val="minor"/>
      </rPr>
      <t>claims x 12/[Period of claim (in months) -1].</t>
    </r>
  </si>
  <si>
    <t>RN+</t>
  </si>
  <si>
    <t>This has been added to include Silver Clasic for Mednet</t>
  </si>
  <si>
    <t>Restricted Network Plus</t>
  </si>
  <si>
    <t>RN + is not offered by NAS for this pricing tool we have included just to map the rates for Silver Classic Plan of Mednet</t>
  </si>
  <si>
    <t>Check the Network for the Selected TPA</t>
  </si>
  <si>
    <t>Error Remark</t>
  </si>
  <si>
    <t>Plan under for the Opted TPA</t>
  </si>
  <si>
    <t>Category</t>
  </si>
  <si>
    <t>Number of members over 65</t>
  </si>
  <si>
    <r>
      <t xml:space="preserve">Adult &gt; </t>
    </r>
    <r>
      <rPr>
        <b/>
        <sz val="12"/>
        <color rgb="FFFF0000"/>
        <rFont val="Times New Roman"/>
        <family val="1"/>
      </rPr>
      <t>65 yr</t>
    </r>
  </si>
  <si>
    <t xml:space="preserve">Equal &amp; Over </t>
  </si>
  <si>
    <t>Check the No of Category selected under General Information vs number of categories enter under Member Data</t>
  </si>
  <si>
    <t>Gross Rate</t>
  </si>
  <si>
    <t>Total Book Rate Maternity Premium</t>
  </si>
  <si>
    <t>Adjustment to Maternity Rate</t>
  </si>
  <si>
    <r>
      <t>Annual Net Premium (AED)</t>
    </r>
    <r>
      <rPr>
        <sz val="11"/>
        <color rgb="FF0070C0"/>
        <rFont val="Calibri"/>
        <family val="2"/>
        <scheme val="minor"/>
      </rPr>
      <t xml:space="preserve"> including Dental, Optical &amp; Other Optional Benefit excluding Maternity</t>
    </r>
  </si>
  <si>
    <r>
      <t>Annual Gross Premium (AED)</t>
    </r>
    <r>
      <rPr>
        <sz val="11"/>
        <color rgb="FF0070C0"/>
        <rFont val="Calibri"/>
        <family val="2"/>
        <scheme val="minor"/>
      </rPr>
      <t xml:space="preserve"> including Dental, Optical &amp; Other Optional Benefit excluding Maternity</t>
    </r>
  </si>
  <si>
    <t>Maternity Rate per Member (AED) for Married Female</t>
  </si>
  <si>
    <t>No of Married Female who are Eligible for Maternity</t>
  </si>
  <si>
    <t>Married Female - Gross Premium Per Member</t>
  </si>
  <si>
    <t>Maternity (AED) for All Eligible Female</t>
  </si>
  <si>
    <t>Married Female - Net Premium Per Member</t>
  </si>
  <si>
    <r>
      <t xml:space="preserve">Annual Net Premium per life (AED) </t>
    </r>
    <r>
      <rPr>
        <sz val="11"/>
        <color rgb="FFFF0000"/>
        <rFont val="Calibri"/>
        <family val="2"/>
        <scheme val="minor"/>
      </rPr>
      <t>(excluding maternity)</t>
    </r>
  </si>
  <si>
    <r>
      <t xml:space="preserve">Annual Gross Premium per life (AED) </t>
    </r>
    <r>
      <rPr>
        <sz val="11"/>
        <rFont val="Calibri"/>
        <family val="2"/>
        <scheme val="minor"/>
      </rPr>
      <t xml:space="preserve"> </t>
    </r>
    <r>
      <rPr>
        <sz val="11"/>
        <color rgb="FFFF0000"/>
        <rFont val="Calibri"/>
        <family val="2"/>
        <scheme val="minor"/>
      </rPr>
      <t>(excluding maternity)</t>
    </r>
  </si>
  <si>
    <t>Remark</t>
  </si>
  <si>
    <t>Network Restriction</t>
  </si>
  <si>
    <t>Super-Restricted Network minus</t>
  </si>
  <si>
    <t>Pearl</t>
  </si>
  <si>
    <t>RN2-</t>
  </si>
  <si>
    <t>This has been added to include Pearl for Mednet</t>
  </si>
  <si>
    <t>UAE, ISC and SEA at R&amp;C of UAE</t>
  </si>
  <si>
    <t>UAE, GCC, ISC and SEA  at R&amp;C of UAE</t>
  </si>
  <si>
    <t>AUH</t>
  </si>
  <si>
    <t>DXB</t>
  </si>
  <si>
    <t>All Benefits (excluding Maternity)</t>
  </si>
  <si>
    <t>Maternity Benefit</t>
  </si>
  <si>
    <t>Adjusted Experience Rate excluding Maternity</t>
  </si>
  <si>
    <t>Book Rate Maternity - Per Member</t>
  </si>
  <si>
    <t>Maternity  - Eligible Count</t>
  </si>
  <si>
    <t>Book Rate Maternity  - TOTAL</t>
  </si>
  <si>
    <t>Book Rate All Benefits (excluding Maternity)</t>
  </si>
  <si>
    <t>Net Experience Rate (excluding maternity)</t>
  </si>
  <si>
    <t>No of Eligible Female eligible for maternity</t>
  </si>
  <si>
    <t>Maternity Net Rate per Life</t>
  </si>
  <si>
    <t>Total Maternity Premium</t>
  </si>
  <si>
    <t>EMAIL Subject Line</t>
  </si>
  <si>
    <t>For UW</t>
  </si>
  <si>
    <t>For Pricing Review</t>
  </si>
  <si>
    <t>Claims Experience &lt; 8.5 Months</t>
  </si>
  <si>
    <t>AED 500 deductible</t>
  </si>
  <si>
    <t>0 - 17</t>
  </si>
  <si>
    <t>18 - 40</t>
  </si>
  <si>
    <t>Females - Eligible for Maternity</t>
  </si>
  <si>
    <r>
      <t xml:space="preserve">Maternity Premium for </t>
    </r>
    <r>
      <rPr>
        <b/>
        <u val="singleAccounting"/>
        <sz val="11"/>
        <color rgb="FFFF0000"/>
        <rFont val="Arial"/>
        <family val="2"/>
      </rPr>
      <t>Active</t>
    </r>
    <r>
      <rPr>
        <b/>
        <sz val="11"/>
        <color rgb="FFFF0000"/>
        <rFont val="Arial"/>
        <family val="2"/>
      </rPr>
      <t xml:space="preserve"> </t>
    </r>
    <r>
      <rPr>
        <b/>
        <sz val="11"/>
        <color theme="1"/>
        <rFont val="Arial"/>
        <family val="2"/>
      </rPr>
      <t>Member</t>
    </r>
  </si>
  <si>
    <t>GROUP LOCAL PLAN PRICING TOOL</t>
  </si>
  <si>
    <t>QIC Renewal</t>
  </si>
  <si>
    <t>Non-QIC Renewal</t>
  </si>
  <si>
    <t>PEC adjustment</t>
  </si>
  <si>
    <t>Age Range</t>
  </si>
  <si>
    <t>Maternity 18-50</t>
  </si>
  <si>
    <t>Dependents</t>
  </si>
  <si>
    <t>Members</t>
  </si>
  <si>
    <t> Net  Premium per Member</t>
  </si>
  <si>
    <t xml:space="preserve">Total  Net  Premium </t>
  </si>
  <si>
    <t>Above 65</t>
  </si>
  <si>
    <t>Male / Female</t>
  </si>
  <si>
    <t>Categorywise - Abu Dhabi Rates</t>
  </si>
  <si>
    <t>Physiotherapy</t>
  </si>
  <si>
    <t>Group Size is less than 3</t>
  </si>
  <si>
    <t>Are there more than 1500 member?  And Tool Validity?</t>
  </si>
  <si>
    <t>Group Exclusion</t>
  </si>
  <si>
    <t>Excluded Industry for Group Medical Employer-Employee Scheme:</t>
  </si>
  <si>
    <t>·         Air and sea travel except as a passenger;</t>
  </si>
  <si>
    <t>·         Airport coupon and tickets business;</t>
  </si>
  <si>
    <t>·         Airlines;</t>
  </si>
  <si>
    <t>·         Embassies</t>
  </si>
  <si>
    <t>·         Production,manufacturing, processing, storage transportation, use or distribution of explosives or fireworks;</t>
  </si>
  <si>
    <t>·         Firemen;</t>
  </si>
  <si>
    <t>·         Medical Providers (Doctors, Clinics, Hospitals, Labs, Pharmacies, Medical Centres, Ophthalmologists, Dentists etc.),</t>
  </si>
  <si>
    <t>·         Mines and other underground worker, Quarrymen;</t>
  </si>
  <si>
    <t>·         Naval, Military or Air Force Service or operations; Regular armed forces; Police force;</t>
  </si>
  <si>
    <t>·         Oil rigs; Offshore, in or under water;</t>
  </si>
  <si>
    <t>·         Professional Entertainers or Artists;</t>
  </si>
  <si>
    <t>·         Professional players or sport teams; Professional involved in hazardous activities, Sport Clubs;</t>
  </si>
  <si>
    <t>·         Ships;</t>
  </si>
  <si>
    <t>·         Travel card, charge card and credit card business.</t>
  </si>
  <si>
    <t>·         Syndicates, Unions, Associations, Societies, Councils, Public Sector and governmental institutions (e.g. Chamber of Commerce);</t>
  </si>
  <si>
    <t>·         Private and governmental schools as well as universities and any kind of education centres;</t>
  </si>
  <si>
    <t>·         Voluntary groups (participation level less than 100% of eligible persons);</t>
  </si>
  <si>
    <t>·         Any group of persons exposed to a special catastrophe or accumulation risk (any group with an increased risk of accidents resulting in injury to a large number of lives has to be approved by the REINSURER before being covered under this Treaty)</t>
  </si>
  <si>
    <t>Notes</t>
  </si>
  <si>
    <t>1. Minimum of 3 Employees are required to form a Group.</t>
  </si>
  <si>
    <t>2. Group Size with members less than 10 shall be Individually underwitten.</t>
  </si>
  <si>
    <t>3. Underwriting requirement for Overage Member. For SME Scheme, the maximum entry age that can be considered is Age 64 yrs.</t>
  </si>
  <si>
    <t>- Age 65-70 years: Medical Examination Report (MER) + Any Available Medical Report supporting the declared condition.</t>
  </si>
  <si>
    <t>-  Age 71-75 years: Medical Examination Report (MER), Routine Blood tests, ECG exam + Any Available Medical Report supporting the declared condition.</t>
  </si>
  <si>
    <t>4. If the claim experience is available, irrespective of group size the group needs to be priced based on claim experience</t>
  </si>
  <si>
    <t>5. Benefits are as per those stipulated under Offer Letter based on the selected benefits. If the data entered under this tool are incorrect, the rate generated by Tool will be considered Null and Void.</t>
  </si>
  <si>
    <t>6. For All Groups with Size &gt;10 members where claim experience is not available must populate the Group Declaration Form (GDF)</t>
  </si>
  <si>
    <t>7. For All Groups with Size &lt;10 members should at least have 3 Employees (i.e. Principal) to form a Group else to be considered as Individual. The maximum entry age under this shall not exceed 64 yrs.</t>
  </si>
  <si>
    <t>8. For All Groups with Size &gt; 150 members will be subject to claims experience compulsorily.</t>
  </si>
  <si>
    <t>Total Net Rates Categorywise</t>
  </si>
  <si>
    <t>Total Gross Rates Categorywise</t>
  </si>
  <si>
    <t>Total Net Rates for All Active Member</t>
  </si>
  <si>
    <t>Total Gross Rates for All Active Member</t>
  </si>
  <si>
    <t xml:space="preserve">Claims available for groups </t>
  </si>
  <si>
    <r>
      <t xml:space="preserve">Air Fare Benefit - </t>
    </r>
    <r>
      <rPr>
        <sz val="15"/>
        <rFont val="Calibri"/>
        <family val="2"/>
        <scheme val="minor"/>
      </rPr>
      <t>This benefit includes Return Economy Class Air Fare to patient for Surgery in Home Country if the treatment expense in home country is up to 50% of the cost in the UAE. Note: This benefits is subject to pre-approval by TPA/Insurer</t>
    </r>
  </si>
  <si>
    <t>9. All declared Pre-existing and Chronic conditions can be covered from day 1 subject to receipt and review of the Group Declaration Form (GDF).</t>
  </si>
  <si>
    <t>Maternity Waiting Period</t>
  </si>
  <si>
    <r>
      <t xml:space="preserve">10. For </t>
    </r>
    <r>
      <rPr>
        <b/>
        <sz val="11"/>
        <color theme="1"/>
        <rFont val="Calibri"/>
        <family val="2"/>
        <scheme val="minor"/>
      </rPr>
      <t xml:space="preserve">Existing Employees </t>
    </r>
    <r>
      <rPr>
        <sz val="11"/>
        <color theme="1"/>
        <rFont val="Calibri"/>
        <family val="2"/>
        <scheme val="minor"/>
      </rPr>
      <t>- There shall be Nil Waiting Period for Maternity Benefit, subject to receipt and review of the Group Declaration Form (GDF) where declaration of Ongoing Pregnancy has been made.</t>
    </r>
  </si>
  <si>
    <r>
      <t xml:space="preserve">11. For </t>
    </r>
    <r>
      <rPr>
        <b/>
        <sz val="11"/>
        <color theme="1"/>
        <rFont val="Calibri"/>
        <family val="2"/>
        <scheme val="minor"/>
      </rPr>
      <t xml:space="preserve">Existing Dependents </t>
    </r>
    <r>
      <rPr>
        <sz val="11"/>
        <color theme="1"/>
        <rFont val="Calibri"/>
        <family val="2"/>
        <scheme val="minor"/>
      </rPr>
      <t>- There shall be 280 days Waiting Period for Maternity Benefit unless there is declaration of Ongoing Pregnancy has been made under Group Declaration Form (GDF)</t>
    </r>
  </si>
  <si>
    <r>
      <t xml:space="preserve">12. For </t>
    </r>
    <r>
      <rPr>
        <b/>
        <sz val="11"/>
        <color theme="1"/>
        <rFont val="Calibri"/>
        <family val="2"/>
        <scheme val="minor"/>
      </rPr>
      <t xml:space="preserve">New Employees / Dependents </t>
    </r>
    <r>
      <rPr>
        <sz val="11"/>
        <color theme="1"/>
        <rFont val="Calibri"/>
        <family val="2"/>
        <scheme val="minor"/>
      </rPr>
      <t>(joining the group post inception of the policy)- There shall be Nil Waiting Period for Maternity Benefit, subject to receipt and review of the Individual Medical Application where declaration of Ongoing Pregnancy has been made. The insurer has the right to not cover any maternity claims to any undeclared pregnancy.</t>
    </r>
  </si>
  <si>
    <r>
      <t xml:space="preserve">13. In case of </t>
    </r>
    <r>
      <rPr>
        <b/>
        <sz val="11"/>
        <color theme="1"/>
        <rFont val="Calibri"/>
        <family val="2"/>
        <scheme val="minor"/>
      </rPr>
      <t>no ongoing pregnancy declared</t>
    </r>
    <r>
      <rPr>
        <sz val="11"/>
        <color theme="1"/>
        <rFont val="Calibri"/>
        <family val="2"/>
        <scheme val="minor"/>
      </rPr>
      <t xml:space="preserve"> under Individual / Group Declaration Form, any pregnancy, which arises within first 40 calendar days from the date of coverage or inception of the policy; 280 days waiting period shall apply.)</t>
    </r>
  </si>
  <si>
    <t>( Direct Access to Network Hospital/ Clinics for OP Treatment )</t>
  </si>
  <si>
    <t>( OP Treatment Restricted to Clinics Only )</t>
  </si>
  <si>
    <t>Co-Pay</t>
  </si>
  <si>
    <t>Gross Loading exceed 30%</t>
  </si>
  <si>
    <t>If group size &lt; 10 members 20% load</t>
  </si>
  <si>
    <t>Terms are restricted to NAS Network only</t>
  </si>
  <si>
    <t>TOTAL NET PREMIUM</t>
  </si>
  <si>
    <t>TOTAL GROSS PREMIUM</t>
  </si>
  <si>
    <t>RI Share</t>
  </si>
  <si>
    <t>HealthX</t>
  </si>
  <si>
    <t>QIC Admin. Expenses</t>
  </si>
  <si>
    <t>VACCINE</t>
  </si>
  <si>
    <t xml:space="preserve">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t>
  </si>
  <si>
    <t>Shingrix Vaccine</t>
  </si>
  <si>
    <t>Final Maternity Rate under Quote</t>
  </si>
  <si>
    <t>Updated on 12/09/2024</t>
  </si>
  <si>
    <t>Psychiatric Benefits  under IP</t>
  </si>
  <si>
    <t>Base Premium in Incorrect</t>
  </si>
  <si>
    <t>Dental Premium is Incorrect</t>
  </si>
  <si>
    <t>Optical Premium is Incorrect</t>
  </si>
  <si>
    <t>Optional Premium is Incorrect</t>
  </si>
  <si>
    <t>Maternity Co-Pay is incorrect</t>
  </si>
  <si>
    <t>Refer to UW</t>
  </si>
  <si>
    <t xml:space="preserve"> First Name / Full Name </t>
  </si>
  <si>
    <t>Last Name</t>
  </si>
  <si>
    <t>treaty rate increase</t>
  </si>
  <si>
    <t>Check - Age Band (Base + riders)</t>
  </si>
  <si>
    <t>Check - Maternity</t>
  </si>
  <si>
    <t>TOB &amp; Rates</t>
  </si>
  <si>
    <t>Experience rate</t>
  </si>
  <si>
    <t>Beneficiary tab</t>
  </si>
  <si>
    <t>without maternity</t>
  </si>
  <si>
    <t>2024-25</t>
  </si>
  <si>
    <t>BMI</t>
  </si>
  <si>
    <t>UW Load (Net Amount)</t>
  </si>
  <si>
    <t>Height (cm)</t>
  </si>
  <si>
    <t>Weight (kg)</t>
  </si>
  <si>
    <t>Underwriting Load</t>
  </si>
  <si>
    <t>Validation Remark</t>
  </si>
  <si>
    <t>Maternity Control in terms of %, If no of Female % (Maternity Eligible Female)</t>
  </si>
  <si>
    <t>Share</t>
  </si>
  <si>
    <t>Referral Validation</t>
  </si>
  <si>
    <t>Adjustment Validation</t>
  </si>
  <si>
    <t>Maternity Waiting Period Wording</t>
  </si>
  <si>
    <t>For  SME</t>
  </si>
  <si>
    <t>When maternity declaration is uncertain, we shall waive the waiting period of 40 days from the start date of the policy (for Active Members only) however  in order to cover known active pregnancy (if declared) additional loading to be applied and waiting period will be waived for the underwritten member.</t>
  </si>
  <si>
    <t>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t>
  </si>
  <si>
    <t>RI Premium ($) &gt; $750K</t>
  </si>
  <si>
    <t>All Group Case with less than 10 members there shall be loading of 20%</t>
  </si>
  <si>
    <t>Including UW Load</t>
  </si>
  <si>
    <t>UW LOAD</t>
  </si>
  <si>
    <t>Added on 15 Oct 2024</t>
  </si>
  <si>
    <t>Age Limit for above 64</t>
  </si>
  <si>
    <t>Claims / Size : Non-SME - Group Size &gt; 1000 &amp; SME - Group Size &gt; 150</t>
  </si>
  <si>
    <t>For Renewal, NWP is not entered</t>
  </si>
  <si>
    <t>Renewal , Please enter the NWP</t>
  </si>
  <si>
    <t>Mednet is Not Offered</t>
  </si>
  <si>
    <t>TPA restriction</t>
  </si>
  <si>
    <t>Underwritten Member</t>
  </si>
  <si>
    <t>Emirates</t>
  </si>
  <si>
    <t>NETWORK</t>
  </si>
  <si>
    <t>EMIRATES</t>
  </si>
  <si>
    <t>CATEGORY</t>
  </si>
  <si>
    <t xml:space="preserve">Category </t>
  </si>
  <si>
    <t>Automate</t>
  </si>
  <si>
    <t>Net Rate (Maternity)</t>
  </si>
  <si>
    <t>Net Rate 
(excluding Maternity)</t>
  </si>
  <si>
    <t>QIC UW  Remark</t>
  </si>
  <si>
    <t>QIC Renewal - Expiring Net Rate Details</t>
  </si>
  <si>
    <t>If the Loss Ratio for the whole original policy is 80% or less, renewal at expiring terms is approved.</t>
  </si>
  <si>
    <t xml:space="preserve">- NET RATE (EXCLUDING MATERNITY) per Member </t>
  </si>
  <si>
    <t xml:space="preserve">- MATERNITY RATE (NET) per Member </t>
  </si>
  <si>
    <t xml:space="preserve">using Expiring NRP with Current Active Member </t>
  </si>
  <si>
    <t>- TOTAL NET RATE (EXCLUDING MATERNITY)</t>
  </si>
  <si>
    <t>- TOTAL MATERNITY RATE (NET)</t>
  </si>
  <si>
    <t>NET RATE SPLIT</t>
  </si>
  <si>
    <t>MATERNITY NET RATE SPLIT</t>
  </si>
  <si>
    <t>Including Maternity</t>
  </si>
  <si>
    <t>Excluding Maternity</t>
  </si>
  <si>
    <t>Method 1</t>
  </si>
  <si>
    <t>Total Net Rates (excluding Maternity)</t>
  </si>
  <si>
    <t>Total Gross Rates  (excluding Maternity)</t>
  </si>
  <si>
    <t>Whether Categorywise Expiring Per Member Net Rates are Entered?</t>
  </si>
  <si>
    <t>Control</t>
  </si>
  <si>
    <t>Maternity Net Rates</t>
  </si>
  <si>
    <t>Category_Tool</t>
  </si>
  <si>
    <t>When MAF is submitted, Height &amp; Weight is Mandatory. However not required for GAF.</t>
  </si>
  <si>
    <t>For QIC UW Team / RGA only</t>
  </si>
  <si>
    <t>UW Load</t>
  </si>
  <si>
    <t>claims module</t>
  </si>
  <si>
    <t>Experience Rating</t>
  </si>
  <si>
    <t>benefit Selection</t>
  </si>
  <si>
    <t>- Category - A,B,C,D,E,F,G,H</t>
  </si>
  <si>
    <t>- Gender - M or F</t>
  </si>
  <si>
    <t>- Marital Status - Married or Single</t>
  </si>
  <si>
    <t>- Relationship - Principal, Spouse, Child</t>
  </si>
  <si>
    <t>All Details above should be captured in same format as done under Member Data Tab i.e.</t>
  </si>
  <si>
    <t>For Group &lt;= 10, Individual MAF is Mandatory</t>
  </si>
  <si>
    <t>Note</t>
  </si>
  <si>
    <t>1. For All Groups with Size &gt;10 members where claim experience is not available must populate the Group Declaration Form (GDF)</t>
  </si>
  <si>
    <t xml:space="preserve">Age </t>
  </si>
  <si>
    <t>Age as on Next Birthday</t>
  </si>
  <si>
    <t>2. For All Groups with Size &lt;=10 members should at least have 3 Employees (i.e. Principal) to form a Group else to be considered as Individual. The maximum entry age under this shall not exceed 64 yrs.</t>
  </si>
  <si>
    <t>Gross Premium</t>
  </si>
  <si>
    <t>=Net Premium / (1- Gross Loading)</t>
  </si>
  <si>
    <t>3. For All Groups with Size &gt; 150 members will be subject to claims experience compulsorily.</t>
  </si>
  <si>
    <t>4. Group size less than equal to 10 members the following shall apply: a) loading of +20% would apply, or b) Underwriting loading following disclosure in the medical declaration form.</t>
  </si>
  <si>
    <r>
      <rPr>
        <b/>
        <sz val="16"/>
        <color rgb="FFFF0000"/>
        <rFont val="Calibri"/>
        <family val="2"/>
        <scheme val="minor"/>
      </rPr>
      <t>BASE PREMIUM (Excluding Maternity, Dental, Optical,Repatriation, Nursing at Home, OP Psychiatric, Alternative Medicine, Health Checkup &amp; OP Physiotherapy)</t>
    </r>
  </si>
  <si>
    <t>Individual / Group Plan for DXB / NE Policies</t>
  </si>
  <si>
    <t>Individual / Group Plan for AUH Policies</t>
  </si>
  <si>
    <t>Where: The indicative Rates for Overage Members</t>
  </si>
  <si>
    <t>65+</t>
  </si>
  <si>
    <t>OPTIONAL BENEFITS ( TO BE ADDED ON BASE PREMIUM)</t>
  </si>
  <si>
    <t>Maternity Co-payment Rate Adjustments</t>
  </si>
  <si>
    <t>0% Copayment</t>
  </si>
  <si>
    <t>For DXB/NE</t>
  </si>
  <si>
    <t>Upto AED 500 Deductible</t>
  </si>
  <si>
    <t>For AUH</t>
  </si>
  <si>
    <t>Maternity Rate in terms of %, If no of Female % (Maternity Eligible Female)</t>
  </si>
  <si>
    <t>- If the Married Female Eligible for Maternity  &gt; 25% there shall be a loading of 20% on the Maternity Rate</t>
  </si>
  <si>
    <t>- If the Married Female Eligible for Maternity  &gt; 50% there shall be a loading of 50% on the Maternity Rate</t>
  </si>
  <si>
    <t>Dental Benefit (20% Coinsurance) </t>
  </si>
  <si>
    <t>Dental Co-payment Rate Adjustments</t>
  </si>
  <si>
    <t>30% Copayment</t>
  </si>
  <si>
    <t>Optical Benefit (20% Coinsurance) </t>
  </si>
  <si>
    <t>Optical Co-payment Rate Adjustments</t>
  </si>
  <si>
    <t>Physiotherapy for OP with 20% Co-Pay</t>
  </si>
  <si>
    <t>Physiotherapy Co-payment Rate Adjustments</t>
  </si>
  <si>
    <t>Psychiatric Benefits  for OP</t>
  </si>
  <si>
    <t>Alternative Medicine (Ayurvedic, Chiropractic, Ostepathy, Herbal, Accupuncture, Acupressure &amp; Homeopathy)</t>
  </si>
  <si>
    <t>Flat Net Rate</t>
  </si>
  <si>
    <t>Flat Net Rate with 20% Co-Pay</t>
  </si>
  <si>
    <t>For DHA Policy, Minimum Mental health to be offered for AED 800 with coinsurance 30%</t>
  </si>
  <si>
    <t>Psychiatric Co-payment Rate Adjustments</t>
  </si>
  <si>
    <t>Alternative Medicine Co-payment Rate Adjustments</t>
  </si>
  <si>
    <t>Local Plan Adjustment</t>
  </si>
  <si>
    <t>to be updated</t>
  </si>
  <si>
    <t>Note - If AML is equal to AED 150,000 or AED 250,000 (for AUH) the adjustment will be 100% and if greater AML is greater than AED 150,000 or AED 250,000 (for AUH) the above adjustment will apply</t>
  </si>
  <si>
    <t>Annual Medical Limit</t>
  </si>
  <si>
    <t>Annual Medical Limit Offered Networkwise</t>
  </si>
  <si>
    <t>Note - Since this is a Local Plan, cover to be restricted to R&amp;C Cost of UAE with adjustment factor as 100% and Actual Cost is Not Offered.</t>
  </si>
  <si>
    <t>new</t>
  </si>
  <si>
    <t>Up to AED 2,500</t>
  </si>
  <si>
    <t>Up to AED 3,000</t>
  </si>
  <si>
    <t>Up to AED 3,500</t>
  </si>
  <si>
    <t>Up to AED 5,000</t>
  </si>
  <si>
    <t>Up to AED 7,500</t>
  </si>
  <si>
    <t>Up to AED 10,000</t>
  </si>
  <si>
    <t>Up to AED 15,000</t>
  </si>
  <si>
    <t>Copayment on all IP and Day-Case Benefits subject to cap of 500 AED per encounter</t>
  </si>
  <si>
    <t>Renewal Formula for Existing Business</t>
  </si>
  <si>
    <r>
      <rPr>
        <b/>
        <sz val="11"/>
        <color theme="1"/>
        <rFont val="Calibri"/>
        <family val="2"/>
        <scheme val="minor"/>
      </rPr>
      <t xml:space="preserve">Net Loss Ratio (NLR) </t>
    </r>
    <r>
      <rPr>
        <sz val="11"/>
        <color theme="1"/>
        <rFont val="Calibri"/>
        <family val="2"/>
        <scheme val="minor"/>
      </rPr>
      <t>is assessed by considering: [Claims Paid + OS (including Pre-Authorized/Processed claims) + IBNR]/ [Net Earned Premiums]</t>
    </r>
  </si>
  <si>
    <r>
      <rPr>
        <b/>
        <sz val="11"/>
        <color theme="1"/>
        <rFont val="Calibri"/>
        <family val="2"/>
        <scheme val="minor"/>
      </rPr>
      <t xml:space="preserve">Net Rate per Life </t>
    </r>
    <r>
      <rPr>
        <sz val="11"/>
        <color theme="1"/>
        <rFont val="Calibri"/>
        <family val="2"/>
        <scheme val="minor"/>
      </rPr>
      <t>= ([[Claims Paid + OS (including Pre-Authorized/Processed claims) + IBNR]/ TNLR] x Medical Trend / Earned Exposure to date].)</t>
    </r>
  </si>
  <si>
    <t xml:space="preserve">If NLR &lt;80%	</t>
  </si>
  <si>
    <t>Renewal Net Premium = Expiry Net Rate * 100%</t>
  </si>
  <si>
    <t>If NLR &gt; 80%</t>
  </si>
  <si>
    <t>Renewal Net Premium = Max(Expiry Net Rate * NLR*(1+ Medical Trend)/TNLR,Expiring Net Rate)</t>
  </si>
  <si>
    <t>Where</t>
  </si>
  <si>
    <t>Medical Trend</t>
  </si>
  <si>
    <t>Difference in Book Rate and Experience Rate is High</t>
  </si>
  <si>
    <t>Maternity Adjustment</t>
  </si>
  <si>
    <t>Include this Option</t>
  </si>
  <si>
    <t>upto AML if evidence of continuity of coverage (COC) in UAE is provided; otherwise, the limit will be restricted to AED 150000</t>
  </si>
  <si>
    <t>Actuals subject to a cap of 100% UAE Equivalent Cost</t>
  </si>
  <si>
    <t>At 80% R&amp;C rates of UAE Equivalent Network</t>
  </si>
  <si>
    <t xml:space="preserve">Psychiatric Benefits  under IP </t>
  </si>
  <si>
    <t>Covered subject to it is medically necessary and pre-approval is obtained from the Insurance Company</t>
  </si>
  <si>
    <t>Physiotherapy under OP</t>
  </si>
  <si>
    <r>
      <t xml:space="preserve">Options 
</t>
    </r>
    <r>
      <rPr>
        <sz val="11"/>
        <color rgb="FFC00000"/>
        <rFont val="Arial"/>
        <family val="2"/>
      </rPr>
      <t>(For AUH, this limit is upto AML with Nil Co-Pay)</t>
    </r>
  </si>
  <si>
    <t>Generic Only 
(Restricted to formulary list of medicines)</t>
  </si>
  <si>
    <t>Dialysis</t>
  </si>
  <si>
    <t>Alternative Medicine (Ayurvedic, Chiropractic, Osteopathy, Herbal, Acupuncture, Acupressure &amp; Homeopathy)</t>
  </si>
  <si>
    <t>Psychiatric Benefits  under OP (for transient mental disorder or an acute reaction to stress )</t>
  </si>
  <si>
    <t>Air Fare Benefit - This benefit includes Return Economy Class Air Fare to patient for Surgery in Home Country if the treatment expense in home country is up to 50% of the cost in the UAE including cost of Airfare. 
Note: This benefits is subject to pre-approval by TPA/Insurer</t>
  </si>
  <si>
    <t>Covered up to maximum AED 100,000 per person per annum with 20% Co-Pay subject to prior apporval.</t>
  </si>
  <si>
    <t>Covered up to maximum AED 60,000 per person per annum with 20% Co-Pay subject to prior apporval.</t>
  </si>
  <si>
    <r>
      <t xml:space="preserve">Options 
</t>
    </r>
    <r>
      <rPr>
        <sz val="11"/>
        <color rgb="FFC00000"/>
        <rFont val="Arial"/>
        <family val="2"/>
      </rPr>
      <t>(For AUH, this limit is upto AML)</t>
    </r>
  </si>
  <si>
    <t>Covered upto a maximum limit of AED 2500 round trip</t>
  </si>
  <si>
    <r>
      <t xml:space="preserve">Inpatient services for all married female employees or spouses.  Inpatient services cover normal delivery, medically necessary c-section &amp; and medically necessary termination
</t>
    </r>
    <r>
      <rPr>
        <b/>
        <sz val="13"/>
        <color rgb="FF7030A0"/>
        <rFont val="Arial"/>
        <family val="2"/>
      </rPr>
      <t>In-Patient</t>
    </r>
    <r>
      <rPr>
        <sz val="13"/>
        <color rgb="FF7030A0"/>
        <rFont val="Arial"/>
        <family val="2"/>
      </rPr>
      <t xml:space="preserve"> - Inside Abu Dhabi - Covered Up to AML Outside Abu Dhabi - AED XX,000 per married eligible female employee &amp; spouse. Where any condition develops which becomes an emergency, the medically necessary expenses will be covered up to the annual medical limit.
</t>
    </r>
    <r>
      <rPr>
        <b/>
        <sz val="13"/>
        <color rgb="FF7030A0"/>
        <rFont val="Arial"/>
        <family val="2"/>
      </rPr>
      <t xml:space="preserve">
Out-Patient -</t>
    </r>
    <r>
      <rPr>
        <sz val="13"/>
        <color rgb="FF7030A0"/>
        <rFont val="Arial"/>
        <family val="2"/>
      </rPr>
      <t xml:space="preserve"> Cover includes 8 visits to PHC; All care provided by PHC obstetrician for low risk or specialist obstetrician for high risk referrals Initial investigations to include: FBC and Platelets Blood group, Rhesus status and antibodies VDRL MSU &amp; urinalysis Rubella serology HIV Hep C offered to high risk patients GTT if high risk.
FBS, Random blood sugar OR HbA1C for all due to high prevalence of diabetes in UAE
Visits to include reviews, checks and tests in accordance with DHA Antenatal Care Protocols 3 ante-natal ultrasound scans</t>
    </r>
  </si>
  <si>
    <r>
      <rPr>
        <b/>
        <sz val="10"/>
        <color rgb="FF7030A0"/>
        <rFont val="Arial"/>
        <family val="2"/>
      </rPr>
      <t>Note -</t>
    </r>
    <r>
      <rPr>
        <sz val="10"/>
        <color rgb="FF7030A0"/>
        <rFont val="Arial"/>
        <family val="2"/>
      </rPr>
      <t xml:space="preserve"> For DHA Plan, Minimum Limit is AED 10,000 &amp; For HAAD Plan, the limit shall be upto AML</t>
    </r>
  </si>
  <si>
    <t>Waiting Period Clasification</t>
  </si>
  <si>
    <t>Group Size &lt; =50 Members</t>
  </si>
  <si>
    <t>Group Size &gt; 50 Members</t>
  </si>
  <si>
    <r>
      <rPr>
        <b/>
        <sz val="10"/>
        <color rgb="FF7030A0"/>
        <rFont val="Arial"/>
        <family val="2"/>
      </rPr>
      <t>Note -</t>
    </r>
    <r>
      <rPr>
        <sz val="10"/>
        <color rgb="FF7030A0"/>
        <rFont val="Arial"/>
        <family val="2"/>
      </rPr>
      <t xml:space="preserve"> For DHA Plan, Minimum Dental Coverage up to limit of AED 500/- consultation, extraction, fillings, root canal treatment, scaling, x-rays, medicines with 30% Copay </t>
    </r>
  </si>
  <si>
    <t xml:space="preserve">Covered services includes:Blood Examination (CBC, Blood Sugar, Lipid Profile, HIV &amp; Hepatitis B), ECG, Chest X-Ray &amp; Urine analysis). </t>
  </si>
  <si>
    <t>Vaccine</t>
  </si>
  <si>
    <t xml:space="preserve">Shingrix Vaccine (For DHA Compliant Policy only) </t>
  </si>
  <si>
    <t>Medicine Type</t>
  </si>
  <si>
    <t>Check the Minimum Limit of Dental</t>
  </si>
  <si>
    <t>Check the Minimum Limit of Repatriation</t>
  </si>
  <si>
    <t xml:space="preserve">Check the Minimum Limit of OP Psychiatric Benefits </t>
  </si>
  <si>
    <t xml:space="preserve">Maximum of 20 sessions per year. </t>
  </si>
  <si>
    <t xml:space="preserve">Maximum of 10 sessions per year. </t>
  </si>
  <si>
    <t xml:space="preserve">Maximum of 6 sessions per year. </t>
  </si>
  <si>
    <t>Birth Defects &amp; Congenital Disorders for newborn &amp;/or Deformities</t>
  </si>
  <si>
    <t>Coinsurance/ Deductible</t>
  </si>
  <si>
    <t>Covered services include:
1. Dental consultation
2. Tooth extraction
3. Amalgam/composite fillings
4. Root canal treatment (R.C.T)
5. Prescribed drugs
6. Surgical interventions
7. X-rays
8. Anaesthesia
9. Scaling / Dental Prophylaxis</t>
  </si>
  <si>
    <t>Count</t>
  </si>
  <si>
    <t>DEPENDENTS</t>
  </si>
  <si>
    <t>Area of Cover</t>
  </si>
  <si>
    <t>Maternity Eligible Female Count</t>
  </si>
  <si>
    <t>EMPLOYEES</t>
  </si>
  <si>
    <t>MATERNITY</t>
  </si>
  <si>
    <t>Employees</t>
  </si>
  <si>
    <t>CATEGORY A</t>
  </si>
  <si>
    <t>Premium  Per Member</t>
  </si>
  <si>
    <t>Category Premium - Total</t>
  </si>
  <si>
    <t>Category Members -Total</t>
  </si>
  <si>
    <t>Category Premium - Per Member</t>
  </si>
  <si>
    <t>Additional Maternity Premium - Total</t>
  </si>
  <si>
    <t>Additional Maternity Premium - Per Member</t>
  </si>
  <si>
    <t>Total Category Premium</t>
  </si>
  <si>
    <t>Value Added Tax (VAT) of 5%</t>
  </si>
  <si>
    <t>CATEGORY B</t>
  </si>
  <si>
    <t>CATEGORY C</t>
  </si>
  <si>
    <t>CATEGORY D</t>
  </si>
  <si>
    <t>CATEGORY E</t>
  </si>
  <si>
    <t>CATEGORY F</t>
  </si>
  <si>
    <t>CATEGORY G</t>
  </si>
  <si>
    <t>CATEGORY H</t>
  </si>
  <si>
    <t>Employee Count</t>
  </si>
  <si>
    <t>Dependent Count</t>
  </si>
  <si>
    <t>PREMIUM SUMMARY</t>
  </si>
  <si>
    <t>Total Premium including Maternity (excluding any Fee/Tax)</t>
  </si>
  <si>
    <t>Total Premium including Maternity (including any Fee/Tax)</t>
  </si>
  <si>
    <t>validation</t>
  </si>
  <si>
    <t>Quotation Date</t>
  </si>
  <si>
    <t>RI PREMIUM</t>
  </si>
  <si>
    <t>This has been updated</t>
  </si>
  <si>
    <t>Gross Loading</t>
  </si>
  <si>
    <t>Tool Version</t>
  </si>
  <si>
    <t>updated on 22-11-2024</t>
  </si>
  <si>
    <r>
      <t xml:space="preserve">Diabetes Screening.
– Normal Risk: Every 3 years from age 30
– High risk individuals annually from age 18
Preventive services as mandated by DHA periodically. </t>
    </r>
    <r>
      <rPr>
        <b/>
        <sz val="11"/>
        <color rgb="FFFF0000"/>
        <rFont val="Arial"/>
        <family val="2"/>
      </rPr>
      <t>(including Adult Pneumococcal Conjugate Vaccine)</t>
    </r>
    <r>
      <rPr>
        <sz val="11"/>
        <color rgb="FFFF0000"/>
        <rFont val="Arial"/>
        <family val="2"/>
      </rPr>
      <t xml:space="preserve">
Benefit is covered on reimbursement basis.</t>
    </r>
  </si>
  <si>
    <t>Minmum Limit under DHA Plan starts from effective date</t>
  </si>
  <si>
    <t>updated 22/11/2024</t>
  </si>
  <si>
    <t>Covered up to lifetime maximum of AED 10,000 per person per annum within UAE only</t>
  </si>
  <si>
    <t>Covered up to lifetime maximum of AED 7,500 per person per annum within UAE only</t>
  </si>
  <si>
    <t>Ver 4.5_Jan_2025</t>
  </si>
  <si>
    <t>Al Mizan Realty Developers LLC</t>
  </si>
  <si>
    <t>Al Nabooda</t>
  </si>
  <si>
    <t>M</t>
  </si>
  <si>
    <t>Spouse</t>
  </si>
  <si>
    <t>Married</t>
  </si>
  <si>
    <t>Single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</si>
</sst>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3" formatCode="_-* #,##0.00_-;\-* #,##0.00_-;_-* &quot;-&quot;??_-;_-@_-"/>
    <numFmt numFmtId="164" formatCode="_(* #,##0.00_);_(* \(#,##0.00\);_(* &quot;-&quot;??_);_(@_)"/>
    <numFmt numFmtId="165" formatCode="_(&quot;$&quot;* #,##0.00_);_(&quot;$&quot;* \(#,##0.00\);_(&quot;$&quot;* &quot;-&quot;??_);_(@_)"/>
    <numFmt numFmtId="166" formatCode="_(* #,##0_);_(* \(#,##0\);_(* &quot;-&quot;??_);_(@_)"/>
    <numFmt numFmtId="167" formatCode="\ @\ "/>
    <numFmt numFmtId="168" formatCode="#,##0.0"/>
    <numFmt numFmtId="169" formatCode="[$-409]d\-mmm\-yy;@"/>
    <numFmt numFmtId="170" formatCode="_-* #,##0_-;\-* #,##0_-;_-* &quot;-&quot;??_-;_-@_-"/>
    <numFmt numFmtId="171" formatCode="\ @"/>
    <numFmt numFmtId="172" formatCode="\ #,##0\ [$Lives]\ "/>
    <numFmt numFmtId="173" formatCode="0.0%"/>
    <numFmt numFmtId="174" formatCode="_(* #,##0.0_);_(* \(#,##0.0\);_(* &quot;-&quot;??_);_(@_)"/>
    <numFmt numFmtId="175" formatCode="0.000%"/>
    <numFmt numFmtId="176" formatCode="0.00\ &quot;Months&quot;"/>
    <numFmt numFmtId="177" formatCode="0\ &quot;days&quot;"/>
    <numFmt numFmtId="178" formatCode="0.00%&quot; Haircut&quot;"/>
    <numFmt numFmtId="179" formatCode="0&quot; Year(s)&quot;"/>
    <numFmt numFmtId="180" formatCode="0.00&quot; days&quot;"/>
    <numFmt numFmtId="181" formatCode="[$AED]\ #,##0"/>
    <numFmt numFmtId="182" formatCode="[$AED]\ #,##0.00"/>
    <numFmt numFmtId="183" formatCode="0&quot; Sessions&quot;"/>
    <numFmt numFmtId="184" formatCode="0%&quot; of Co-Pay&quot;"/>
    <numFmt numFmtId="185" formatCode="0%&quot; of RN Rates&quot;"/>
    <numFmt numFmtId="186" formatCode="0.0%&quot; of RN2 Rates&quot;"/>
    <numFmt numFmtId="187" formatCode="[$AED]\ #,##0_);\([$AED]\ #,##0\)"/>
    <numFmt numFmtId="188" formatCode="0.00&quot; Cm&quot;"/>
    <numFmt numFmtId="189" formatCode="0.00&quot; Kg&quot;"/>
    <numFmt numFmtId="190" formatCode="[$USD]\ #,##0"/>
    <numFmt numFmtId="191" formatCode="0%&quot; of 60-64 Age Band Rates&quot;"/>
    <numFmt numFmtId="192" formatCode="0.0"/>
    <numFmt numFmtId="193" formatCode="[$-409]d\-mmm\-yyyy;@"/>
    <numFmt numFmtId="194" formatCode="_(&quot;$&quot;* #,##0_);_(&quot;$&quot;* \(#,##0\);_(&quot;$&quot;* &quot;-&quot;??_);_(@_)"/>
  </numFmts>
  <fonts count="176"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color theme="1"/>
      <name val="Times New Roman"/>
      <family val="1"/>
    </font>
    <font>
      <sz val="10"/>
      <color theme="1"/>
      <name val="Microsoft Sans Serif"/>
      <family val="2"/>
    </font>
    <font>
      <b/>
      <sz val="11"/>
      <color rgb="FF000000"/>
      <name val="Calibri"/>
      <family val="2"/>
    </font>
    <font>
      <sz val="11"/>
      <color rgb="FF000000"/>
      <name val="Calibri"/>
      <family val="2"/>
    </font>
    <font>
      <sz val="10"/>
      <color rgb="FF000000"/>
      <name val="Microsoft Sans Serif"/>
      <family val="2"/>
    </font>
    <font>
      <sz val="8"/>
      <color theme="1"/>
      <name val="Times New Roman"/>
      <family val="1"/>
    </font>
    <font>
      <sz val="11"/>
      <color theme="1"/>
      <name val="Calibri"/>
      <family val="2"/>
    </font>
    <font>
      <sz val="10"/>
      <name val="Arial"/>
      <family val="2"/>
    </font>
    <font>
      <sz val="12"/>
      <name val="Calibri"/>
      <family val="2"/>
      <scheme val="minor"/>
    </font>
    <font>
      <b/>
      <sz val="12"/>
      <color indexed="9"/>
      <name val="Calibri"/>
      <family val="2"/>
      <scheme val="minor"/>
    </font>
    <font>
      <b/>
      <sz val="12"/>
      <color rgb="FFFF0000"/>
      <name val="Calibri"/>
      <family val="2"/>
      <scheme val="minor"/>
    </font>
    <font>
      <b/>
      <sz val="12"/>
      <name val="Calibri"/>
      <family val="2"/>
      <scheme val="minor"/>
    </font>
    <font>
      <sz val="10"/>
      <color rgb="FF000000"/>
      <name val="Times New Roman"/>
      <family val="1"/>
    </font>
    <font>
      <b/>
      <sz val="11"/>
      <name val="Arial"/>
      <family val="2"/>
    </font>
    <font>
      <b/>
      <sz val="8"/>
      <name val="Times New Roman"/>
      <family val="1"/>
    </font>
    <font>
      <sz val="9"/>
      <color rgb="FFFF0000"/>
      <name val="Times New Roman"/>
      <family val="1"/>
    </font>
    <font>
      <sz val="8"/>
      <name val="Times New Roman"/>
      <family val="1"/>
    </font>
    <font>
      <b/>
      <sz val="12"/>
      <color theme="0"/>
      <name val="Calibri"/>
      <family val="2"/>
      <scheme val="minor"/>
    </font>
    <font>
      <sz val="12"/>
      <color theme="1"/>
      <name val="Calibri"/>
      <family val="2"/>
      <scheme val="minor"/>
    </font>
    <font>
      <b/>
      <sz val="12"/>
      <color theme="1"/>
      <name val="Calibri"/>
      <family val="2"/>
      <scheme val="minor"/>
    </font>
    <font>
      <b/>
      <sz val="11"/>
      <color rgb="FFFF0000"/>
      <name val="Calibri"/>
      <family val="2"/>
      <scheme val="minor"/>
    </font>
    <font>
      <b/>
      <sz val="14"/>
      <color theme="0"/>
      <name val="Calibri"/>
      <family val="2"/>
      <scheme val="minor"/>
    </font>
    <font>
      <b/>
      <sz val="10"/>
      <name val="Arial"/>
      <family val="2"/>
    </font>
    <font>
      <i/>
      <sz val="11"/>
      <color theme="1"/>
      <name val="Calibri"/>
      <family val="2"/>
      <scheme val="minor"/>
    </font>
    <font>
      <i/>
      <sz val="9"/>
      <color rgb="FFFF0000"/>
      <name val="Calibri"/>
      <family val="2"/>
      <scheme val="minor"/>
    </font>
    <font>
      <b/>
      <u/>
      <sz val="12.5"/>
      <color rgb="FFFF0000"/>
      <name val="Calibri"/>
      <family val="2"/>
      <scheme val="minor"/>
    </font>
    <font>
      <sz val="9"/>
      <color indexed="81"/>
      <name val="Tahoma"/>
      <family val="2"/>
    </font>
    <font>
      <b/>
      <sz val="9"/>
      <color indexed="81"/>
      <name val="Tahoma"/>
      <family val="2"/>
    </font>
    <font>
      <b/>
      <sz val="14"/>
      <color rgb="FFFF0000"/>
      <name val="Microsoft Sans Serif"/>
      <family val="2"/>
    </font>
    <font>
      <b/>
      <u/>
      <sz val="11"/>
      <color rgb="FFFF0000"/>
      <name val="Calibri"/>
      <family val="2"/>
      <scheme val="minor"/>
    </font>
    <font>
      <b/>
      <u/>
      <sz val="11"/>
      <color theme="1"/>
      <name val="Calibri"/>
      <family val="2"/>
      <scheme val="minor"/>
    </font>
    <font>
      <b/>
      <sz val="12"/>
      <name val="Arial"/>
      <family val="2"/>
    </font>
    <font>
      <sz val="12"/>
      <color theme="1"/>
      <name val="Calibri"/>
      <family val="2"/>
    </font>
    <font>
      <sz val="10"/>
      <color theme="0" tint="-0.34998626667073579"/>
      <name val="Arial"/>
      <family val="2"/>
    </font>
    <font>
      <b/>
      <sz val="10"/>
      <name val="Calibri"/>
      <family val="2"/>
      <scheme val="minor"/>
    </font>
    <font>
      <b/>
      <sz val="12"/>
      <color theme="1"/>
      <name val="Arial"/>
      <family val="2"/>
    </font>
    <font>
      <b/>
      <sz val="10"/>
      <color theme="0"/>
      <name val="Arial"/>
      <family val="2"/>
    </font>
    <font>
      <b/>
      <u/>
      <sz val="18"/>
      <name val="Arial"/>
      <family val="2"/>
    </font>
    <font>
      <sz val="9"/>
      <color rgb="FFFF0000"/>
      <name val="Calibri"/>
      <family val="2"/>
      <scheme val="minor"/>
    </font>
    <font>
      <sz val="11"/>
      <color theme="1"/>
      <name val="Arial"/>
      <family val="2"/>
    </font>
    <font>
      <sz val="11"/>
      <name val="Calibri"/>
      <family val="2"/>
      <scheme val="minor"/>
    </font>
    <font>
      <b/>
      <sz val="11"/>
      <color rgb="FFFFFFFF"/>
      <name val="Calibri"/>
      <family val="2"/>
      <scheme val="minor"/>
    </font>
    <font>
      <sz val="10"/>
      <name val="Arial"/>
      <family val="2"/>
    </font>
    <font>
      <b/>
      <sz val="10"/>
      <name val="Calibri Light"/>
      <family val="2"/>
    </font>
    <font>
      <sz val="9"/>
      <name val="Calibri Light"/>
      <family val="2"/>
    </font>
    <font>
      <sz val="9"/>
      <name val="Wingdings"/>
      <charset val="2"/>
    </font>
    <font>
      <sz val="7"/>
      <name val="Times New Roman"/>
      <family val="1"/>
    </font>
    <font>
      <sz val="9"/>
      <name val="Symbol"/>
      <family val="1"/>
      <charset val="2"/>
    </font>
    <font>
      <sz val="9"/>
      <color rgb="FFFF0000"/>
      <name val="Calibri Light"/>
      <family val="2"/>
    </font>
    <font>
      <b/>
      <sz val="9"/>
      <color theme="1" tint="4.9989318521683403E-2"/>
      <name val="Calibri"/>
      <family val="2"/>
      <scheme val="minor"/>
    </font>
    <font>
      <sz val="9"/>
      <color rgb="FF374041"/>
      <name val="Calibri"/>
      <family val="2"/>
      <scheme val="minor"/>
    </font>
    <font>
      <b/>
      <sz val="9"/>
      <color theme="4" tint="-0.249977111117893"/>
      <name val="Calibri"/>
      <family val="2"/>
      <scheme val="minor"/>
    </font>
    <font>
      <sz val="9"/>
      <color rgb="FF3B3838"/>
      <name val="Calibri"/>
      <family val="2"/>
      <scheme val="minor"/>
    </font>
    <font>
      <b/>
      <sz val="9"/>
      <color rgb="FFFF0000"/>
      <name val="Calibri"/>
      <family val="2"/>
      <scheme val="minor"/>
    </font>
    <font>
      <sz val="9"/>
      <color theme="1"/>
      <name val="Calibri"/>
      <family val="2"/>
      <scheme val="minor"/>
    </font>
    <font>
      <b/>
      <sz val="9"/>
      <color rgb="FF0000FF"/>
      <name val="Calibri"/>
      <family val="2"/>
      <scheme val="minor"/>
    </font>
    <font>
      <b/>
      <sz val="9"/>
      <color theme="1"/>
      <name val="Calibri"/>
      <family val="2"/>
      <scheme val="minor"/>
    </font>
    <font>
      <sz val="9"/>
      <color rgb="FF0000FF"/>
      <name val="Calibri"/>
      <family val="2"/>
      <scheme val="minor"/>
    </font>
    <font>
      <sz val="9"/>
      <color theme="4" tint="-0.249977111117893"/>
      <name val="Calibri"/>
      <family val="2"/>
      <scheme val="minor"/>
    </font>
    <font>
      <b/>
      <sz val="9"/>
      <color rgb="FF7030A0"/>
      <name val="Calibri"/>
      <family val="2"/>
      <scheme val="minor"/>
    </font>
    <font>
      <sz val="9"/>
      <name val="Calibri"/>
      <family val="2"/>
      <scheme val="minor"/>
    </font>
    <font>
      <sz val="9"/>
      <color rgb="FFFF0000"/>
      <name val="Arial"/>
      <family val="2"/>
    </font>
    <font>
      <b/>
      <sz val="9"/>
      <color rgb="FF3B3838"/>
      <name val="Calibri"/>
      <family val="2"/>
      <scheme val="minor"/>
    </font>
    <font>
      <b/>
      <sz val="11"/>
      <name val="Calibri"/>
      <family val="2"/>
      <scheme val="minor"/>
    </font>
    <font>
      <sz val="12"/>
      <color rgb="FFFF0000"/>
      <name val="Calibri"/>
      <family val="2"/>
    </font>
    <font>
      <b/>
      <u/>
      <sz val="11"/>
      <name val="Arial"/>
      <family val="2"/>
    </font>
    <font>
      <sz val="11"/>
      <name val="Arial"/>
      <family val="2"/>
    </font>
    <font>
      <i/>
      <sz val="11"/>
      <name val="Arial"/>
      <family val="2"/>
    </font>
    <font>
      <sz val="10"/>
      <color rgb="FF000000"/>
      <name val="Calibri"/>
      <family val="2"/>
      <scheme val="minor"/>
    </font>
    <font>
      <sz val="11"/>
      <color rgb="FFC00000"/>
      <name val="Calibri"/>
      <family val="2"/>
      <scheme val="minor"/>
    </font>
    <font>
      <b/>
      <sz val="11"/>
      <color rgb="FFC00000"/>
      <name val="Calibri"/>
      <family val="2"/>
      <scheme val="minor"/>
    </font>
    <font>
      <b/>
      <u/>
      <sz val="10"/>
      <color theme="1"/>
      <name val="Verdana"/>
      <family val="2"/>
    </font>
    <font>
      <sz val="10"/>
      <color rgb="FF000000"/>
      <name val="Verdana"/>
      <family val="2"/>
    </font>
    <font>
      <b/>
      <sz val="10"/>
      <color rgb="FF000000"/>
      <name val="Verdana"/>
      <family val="2"/>
    </font>
    <font>
      <b/>
      <i/>
      <sz val="10"/>
      <color rgb="FF00B0F0"/>
      <name val="Calibri"/>
      <family val="2"/>
      <scheme val="minor"/>
    </font>
    <font>
      <i/>
      <sz val="8"/>
      <color theme="6"/>
      <name val="Calibri"/>
      <family val="2"/>
      <scheme val="minor"/>
    </font>
    <font>
      <u/>
      <sz val="11"/>
      <color rgb="FFFF0000"/>
      <name val="Calibri"/>
      <family val="2"/>
      <scheme val="minor"/>
    </font>
    <font>
      <b/>
      <sz val="18"/>
      <color theme="0"/>
      <name val="Calibri"/>
      <family val="2"/>
      <scheme val="minor"/>
    </font>
    <font>
      <b/>
      <sz val="18"/>
      <color rgb="FFFF0000"/>
      <name val="Calibri"/>
      <family val="2"/>
      <scheme val="minor"/>
    </font>
    <font>
      <sz val="10"/>
      <color rgb="FFFF0000"/>
      <name val="Calibri"/>
      <family val="2"/>
      <scheme val="minor"/>
    </font>
    <font>
      <b/>
      <sz val="10"/>
      <color rgb="FFFF0000"/>
      <name val="Calibri"/>
      <family val="2"/>
      <scheme val="minor"/>
    </font>
    <font>
      <sz val="10"/>
      <color theme="0"/>
      <name val="Microsoft Sans Serif"/>
      <family val="2"/>
    </font>
    <font>
      <sz val="10"/>
      <name val="Microsoft Sans Serif"/>
      <family val="2"/>
    </font>
    <font>
      <sz val="11"/>
      <color theme="0"/>
      <name val="Calibri"/>
      <family val="2"/>
    </font>
    <font>
      <b/>
      <sz val="11"/>
      <color rgb="FF0070C0"/>
      <name val="Calibri"/>
      <family val="2"/>
      <scheme val="minor"/>
    </font>
    <font>
      <sz val="10"/>
      <color theme="0"/>
      <name val="Arial"/>
      <family val="2"/>
    </font>
    <font>
      <sz val="10"/>
      <color theme="1"/>
      <name val="Arial"/>
      <family val="2"/>
    </font>
    <font>
      <sz val="10"/>
      <color rgb="FF000000"/>
      <name val="Arial"/>
      <family val="2"/>
    </font>
    <font>
      <b/>
      <u/>
      <sz val="10"/>
      <color theme="0"/>
      <name val="Arial"/>
      <family val="2"/>
    </font>
    <font>
      <sz val="10"/>
      <color rgb="FFFF0000"/>
      <name val="Arial"/>
      <family val="2"/>
    </font>
    <font>
      <sz val="20"/>
      <color theme="1"/>
      <name val="Calibri"/>
      <family val="2"/>
      <scheme val="minor"/>
    </font>
    <font>
      <sz val="20"/>
      <color rgb="FFFF0000"/>
      <name val="Calibri"/>
      <family val="2"/>
      <scheme val="minor"/>
    </font>
    <font>
      <sz val="10"/>
      <color theme="1"/>
      <name val="Calibri"/>
      <family val="2"/>
      <scheme val="minor"/>
    </font>
    <font>
      <sz val="10"/>
      <color rgb="FF00B050"/>
      <name val="Calibri"/>
      <family val="2"/>
      <scheme val="minor"/>
    </font>
    <font>
      <b/>
      <sz val="13"/>
      <color theme="1"/>
      <name val="Arial"/>
      <family val="2"/>
    </font>
    <font>
      <b/>
      <sz val="13"/>
      <color theme="0"/>
      <name val="Arial"/>
      <family val="2"/>
    </font>
    <font>
      <b/>
      <sz val="12"/>
      <color theme="0"/>
      <name val="Arial"/>
      <family val="2"/>
    </font>
    <font>
      <sz val="13"/>
      <color theme="1"/>
      <name val="Arial"/>
      <family val="2"/>
    </font>
    <font>
      <sz val="13"/>
      <name val="Arial"/>
      <family val="2"/>
    </font>
    <font>
      <sz val="11"/>
      <color rgb="FFC00000"/>
      <name val="Arial"/>
      <family val="2"/>
    </font>
    <font>
      <b/>
      <sz val="8"/>
      <color rgb="FFFF0000"/>
      <name val="Times New Roman"/>
      <family val="1"/>
    </font>
    <font>
      <sz val="12"/>
      <color rgb="FFFF0000"/>
      <name val="Calibri"/>
      <family val="2"/>
      <scheme val="minor"/>
    </font>
    <font>
      <sz val="8"/>
      <color rgb="FFFF0000"/>
      <name val="Calibri"/>
      <family val="2"/>
      <scheme val="minor"/>
    </font>
    <font>
      <sz val="10"/>
      <color rgb="FFFF0000"/>
      <name val="Verdana"/>
      <family val="2"/>
    </font>
    <font>
      <b/>
      <sz val="10"/>
      <color theme="1"/>
      <name val="Calibri"/>
      <family val="2"/>
      <scheme val="minor"/>
    </font>
    <font>
      <sz val="15"/>
      <name val="Calibri"/>
      <family val="2"/>
      <scheme val="minor"/>
    </font>
    <font>
      <b/>
      <sz val="20"/>
      <color theme="0"/>
      <name val="Calibri"/>
      <family val="2"/>
      <scheme val="minor"/>
    </font>
    <font>
      <b/>
      <sz val="10"/>
      <color theme="0"/>
      <name val="Calibri"/>
      <family val="2"/>
      <scheme val="minor"/>
    </font>
    <font>
      <sz val="11"/>
      <color rgb="FF0070C0"/>
      <name val="Calibri"/>
      <family val="2"/>
      <scheme val="minor"/>
    </font>
    <font>
      <b/>
      <sz val="18"/>
      <color indexed="9"/>
      <name val="Calibri"/>
      <family val="2"/>
      <scheme val="minor"/>
    </font>
    <font>
      <b/>
      <sz val="25"/>
      <color theme="0"/>
      <name val="Calibri"/>
      <family val="2"/>
      <scheme val="minor"/>
    </font>
    <font>
      <b/>
      <sz val="30"/>
      <color theme="0"/>
      <name val="Calibri"/>
      <family val="2"/>
      <scheme val="minor"/>
    </font>
    <font>
      <b/>
      <sz val="30"/>
      <color theme="1"/>
      <name val="Calibri"/>
      <family val="2"/>
      <scheme val="minor"/>
    </font>
    <font>
      <sz val="15"/>
      <color rgb="FFFF0000"/>
      <name val="Calibri"/>
      <family val="2"/>
      <scheme val="minor"/>
    </font>
    <font>
      <b/>
      <sz val="12"/>
      <name val="Times New Roman"/>
      <family val="1"/>
    </font>
    <font>
      <sz val="12"/>
      <color rgb="FFFF0000"/>
      <name val="Times New Roman"/>
      <family val="1"/>
    </font>
    <font>
      <sz val="12"/>
      <name val="Times New Roman"/>
      <family val="1"/>
    </font>
    <font>
      <b/>
      <sz val="12"/>
      <color rgb="FFFF0000"/>
      <name val="Times New Roman"/>
      <family val="1"/>
    </font>
    <font>
      <sz val="11"/>
      <color rgb="FFFF0000"/>
      <name val="Calibri"/>
      <family val="2"/>
    </font>
    <font>
      <sz val="11"/>
      <color rgb="FF00B050"/>
      <name val="Calibri"/>
      <family val="2"/>
      <scheme val="minor"/>
    </font>
    <font>
      <sz val="10"/>
      <color rgb="FF00B050"/>
      <name val="Arial"/>
      <family val="2"/>
    </font>
    <font>
      <sz val="10"/>
      <color rgb="FF00B050"/>
      <name val="Microsoft Sans Serif"/>
      <family val="2"/>
    </font>
    <font>
      <b/>
      <sz val="10"/>
      <color rgb="FF000000"/>
      <name val="Calibri"/>
      <family val="2"/>
    </font>
    <font>
      <sz val="11"/>
      <color rgb="FF7030A0"/>
      <name val="Calibri"/>
      <family val="2"/>
      <scheme val="minor"/>
    </font>
    <font>
      <b/>
      <sz val="15"/>
      <color theme="0"/>
      <name val="Calibri"/>
      <family val="2"/>
      <scheme val="minor"/>
    </font>
    <font>
      <sz val="15"/>
      <color rgb="FFC00000"/>
      <name val="Calibri"/>
      <family val="2"/>
      <scheme val="minor"/>
    </font>
    <font>
      <sz val="11"/>
      <color rgb="FF92D050"/>
      <name val="Calibri"/>
      <family val="2"/>
      <scheme val="minor"/>
    </font>
    <font>
      <b/>
      <sz val="11"/>
      <color rgb="FF0070C0"/>
      <name val="Arial"/>
      <family val="2"/>
    </font>
    <font>
      <i/>
      <sz val="8"/>
      <color rgb="FFFF0000"/>
      <name val="Calibri"/>
      <family val="2"/>
      <scheme val="minor"/>
    </font>
    <font>
      <b/>
      <sz val="11"/>
      <color rgb="FF00B050"/>
      <name val="Calibri"/>
      <family val="2"/>
      <scheme val="minor"/>
    </font>
    <font>
      <sz val="11"/>
      <color rgb="FF00B050"/>
      <name val="Arial"/>
      <family val="2"/>
    </font>
    <font>
      <b/>
      <sz val="11"/>
      <color rgb="FF00B050"/>
      <name val="Arial"/>
      <family val="2"/>
    </font>
    <font>
      <sz val="10"/>
      <color rgb="FFFF0000"/>
      <name val="Microsoft Sans Serif"/>
      <family val="2"/>
    </font>
    <font>
      <b/>
      <sz val="9"/>
      <color rgb="FFFF0000"/>
      <name val="Times New Roman"/>
      <family val="1"/>
    </font>
    <font>
      <b/>
      <sz val="11"/>
      <color theme="1"/>
      <name val="Arial"/>
      <family val="2"/>
    </font>
    <font>
      <b/>
      <u val="singleAccounting"/>
      <sz val="11"/>
      <color rgb="FFFF0000"/>
      <name val="Arial"/>
      <family val="2"/>
    </font>
    <font>
      <b/>
      <sz val="11"/>
      <color rgb="FFFF0000"/>
      <name val="Arial"/>
      <family val="2"/>
    </font>
    <font>
      <b/>
      <sz val="16"/>
      <name val="Calibri"/>
      <family val="2"/>
      <scheme val="minor"/>
    </font>
    <font>
      <b/>
      <sz val="11"/>
      <color rgb="FFFF0000"/>
      <name val="Calibri"/>
      <family val="2"/>
    </font>
    <font>
      <b/>
      <sz val="12"/>
      <color rgb="FF000000"/>
      <name val="Calibri"/>
      <family val="2"/>
    </font>
    <font>
      <b/>
      <sz val="12"/>
      <color rgb="FFFFFFFF"/>
      <name val="Calibri"/>
      <family val="2"/>
    </font>
    <font>
      <sz val="10"/>
      <color rgb="FF00B0F0"/>
      <name val="Calibri"/>
      <family val="2"/>
      <scheme val="minor"/>
    </font>
    <font>
      <i/>
      <sz val="11"/>
      <color rgb="FFFF0000"/>
      <name val="Calibri"/>
      <family val="2"/>
      <scheme val="minor"/>
    </font>
    <font>
      <b/>
      <sz val="16"/>
      <color rgb="FFFF0000"/>
      <name val="Microsoft Sans Serif"/>
      <family val="2"/>
    </font>
    <font>
      <b/>
      <sz val="16"/>
      <color rgb="FFFF0000"/>
      <name val="Calibri"/>
      <family val="2"/>
      <scheme val="minor"/>
    </font>
    <font>
      <b/>
      <sz val="11"/>
      <color rgb="FF7030A0"/>
      <name val="Calibri"/>
      <family val="2"/>
      <scheme val="minor"/>
    </font>
    <font>
      <sz val="8"/>
      <color rgb="FF0070C0"/>
      <name val="Calibri"/>
      <family val="2"/>
      <scheme val="minor"/>
    </font>
    <font>
      <sz val="8"/>
      <color rgb="FF0070C0"/>
      <name val="Arial"/>
      <family val="2"/>
    </font>
    <font>
      <sz val="10"/>
      <name val="Calibri Light"/>
      <family val="2"/>
      <scheme val="major"/>
    </font>
    <font>
      <sz val="8"/>
      <color rgb="FF000000"/>
      <name val="Calibri"/>
      <family val="2"/>
    </font>
    <font>
      <sz val="8"/>
      <color rgb="FF7030A0"/>
      <name val="Calibri"/>
      <family val="2"/>
      <scheme val="minor"/>
    </font>
    <font>
      <sz val="11"/>
      <color rgb="FF7030A0"/>
      <name val="Arial"/>
      <family val="2"/>
    </font>
    <font>
      <sz val="11"/>
      <color theme="0"/>
      <name val="Arial"/>
      <family val="2"/>
    </font>
    <font>
      <sz val="13"/>
      <color rgb="FF7030A0"/>
      <name val="Arial"/>
      <family val="2"/>
    </font>
    <font>
      <b/>
      <sz val="13"/>
      <color rgb="FF7030A0"/>
      <name val="Arial"/>
      <family val="2"/>
    </font>
    <font>
      <sz val="10"/>
      <color rgb="FF7030A0"/>
      <name val="Arial"/>
      <family val="2"/>
    </font>
    <font>
      <b/>
      <sz val="10"/>
      <color rgb="FF7030A0"/>
      <name val="Arial"/>
      <family val="2"/>
    </font>
    <font>
      <i/>
      <sz val="11"/>
      <color rgb="FF7030A0"/>
      <name val="Calibri"/>
      <family val="2"/>
      <scheme val="minor"/>
    </font>
    <font>
      <b/>
      <sz val="9.5"/>
      <name val="Times New Roman"/>
      <family val="1"/>
    </font>
    <font>
      <b/>
      <sz val="10"/>
      <color rgb="FFFFFFFF"/>
      <name val="Times New Roman"/>
      <family val="1"/>
    </font>
    <font>
      <b/>
      <sz val="10"/>
      <name val="Times New Roman"/>
      <family val="1"/>
    </font>
    <font>
      <sz val="10"/>
      <name val="Times New Roman"/>
      <family val="1"/>
    </font>
    <font>
      <b/>
      <sz val="15"/>
      <name val="Times New Roman"/>
      <family val="1"/>
    </font>
    <font>
      <b/>
      <sz val="15"/>
      <color rgb="FFFFFFFF"/>
      <name val="Times New Roman"/>
      <family val="1"/>
    </font>
    <font>
      <b/>
      <sz val="15"/>
      <color theme="1"/>
      <name val="Times New Roman"/>
      <family val="1"/>
    </font>
    <font>
      <sz val="15"/>
      <color theme="1"/>
      <name val="Times New Roman"/>
      <family val="1"/>
    </font>
    <font>
      <b/>
      <sz val="15"/>
      <color theme="1"/>
      <name val="Calibri"/>
      <family val="2"/>
      <scheme val="minor"/>
    </font>
    <font>
      <sz val="15"/>
      <color theme="1"/>
      <name val="Calibri"/>
      <family val="2"/>
      <scheme val="minor"/>
    </font>
    <font>
      <b/>
      <sz val="15"/>
      <color rgb="FFFF0000"/>
      <name val="Calibri"/>
      <family val="2"/>
      <scheme val="minor"/>
    </font>
    <font>
      <sz val="11"/>
      <color rgb="FFFF0000"/>
      <name val="Arial"/>
      <family val="2"/>
    </font>
  </fonts>
  <fills count="44">
    <fill>
      <patternFill patternType="none"/>
    </fill>
    <fill>
      <patternFill patternType="gray125"/>
    </fill>
    <fill>
      <patternFill patternType="solid">
        <fgColor rgb="FFBFBFBF"/>
        <bgColor indexed="64"/>
      </patternFill>
    </fill>
    <fill>
      <patternFill patternType="solid">
        <fgColor rgb="FFE7E6E6"/>
        <bgColor indexed="64"/>
      </patternFill>
    </fill>
    <fill>
      <patternFill patternType="solid">
        <fgColor theme="0" tint="-0.14999847407452621"/>
        <bgColor indexed="64"/>
      </patternFill>
    </fill>
    <fill>
      <patternFill patternType="solid">
        <fgColor rgb="FFFF000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indexed="2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rgb="FFFFC00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6" tint="-0.249977111117893"/>
        <bgColor indexed="64"/>
      </patternFill>
    </fill>
    <fill>
      <patternFill patternType="solid">
        <fgColor rgb="FFFFFF99"/>
        <bgColor indexed="64"/>
      </patternFill>
    </fill>
    <fill>
      <patternFill patternType="solid">
        <fgColor rgb="FF92D050"/>
        <bgColor indexed="64"/>
      </patternFill>
    </fill>
    <fill>
      <patternFill patternType="solid">
        <fgColor rgb="FF00B050"/>
        <bgColor indexed="64"/>
      </patternFill>
    </fill>
    <fill>
      <patternFill patternType="solid">
        <fgColor rgb="FFDECDE8"/>
        <bgColor indexed="64"/>
      </patternFill>
    </fill>
    <fill>
      <patternFill patternType="solid">
        <fgColor rgb="FFFF6699"/>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0070C0"/>
        <bgColor indexed="64"/>
      </patternFill>
    </fill>
    <fill>
      <patternFill patternType="solid">
        <fgColor theme="9" tint="-0.249977111117893"/>
        <bgColor indexed="64"/>
      </patternFill>
    </fill>
    <fill>
      <patternFill patternType="solid">
        <fgColor rgb="FFECF8F5"/>
        <bgColor indexed="64"/>
      </patternFill>
    </fill>
    <fill>
      <patternFill patternType="solid">
        <fgColor rgb="FF43BCA0"/>
        <bgColor indexed="64"/>
      </patternFill>
    </fill>
    <fill>
      <patternFill patternType="solid">
        <fgColor theme="8" tint="0.39997558519241921"/>
        <bgColor indexed="64"/>
      </patternFill>
    </fill>
    <fill>
      <patternFill patternType="solid">
        <fgColor theme="7"/>
        <bgColor indexed="64"/>
      </patternFill>
    </fill>
    <fill>
      <patternFill patternType="solid">
        <fgColor rgb="FF44BA9F"/>
      </patternFill>
    </fill>
    <fill>
      <patternFill patternType="solid">
        <fgColor rgb="FFF9F9F9"/>
      </patternFill>
    </fill>
  </fills>
  <borders count="14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medium">
        <color rgb="FF000000"/>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top style="medium">
        <color rgb="FFFFFFFF"/>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top/>
      <bottom style="medium">
        <color rgb="FFFFFFFF"/>
      </bottom>
      <diagonal/>
    </border>
    <border>
      <left style="medium">
        <color rgb="FFFFFFFF"/>
      </left>
      <right/>
      <top style="medium">
        <color rgb="FFFFFFFF"/>
      </top>
      <bottom/>
      <diagonal/>
    </border>
    <border>
      <left style="dashed">
        <color auto="1"/>
      </left>
      <right style="dashed">
        <color auto="1"/>
      </right>
      <top style="dashed">
        <color auto="1"/>
      </top>
      <bottom style="dashed">
        <color auto="1"/>
      </bottom>
      <diagonal/>
    </border>
    <border>
      <left style="dashed">
        <color auto="1"/>
      </left>
      <right style="dashed">
        <color auto="1"/>
      </right>
      <top style="dashed">
        <color auto="1"/>
      </top>
      <bottom/>
      <diagonal/>
    </border>
    <border>
      <left style="dashed">
        <color auto="1"/>
      </left>
      <right/>
      <top style="dashed">
        <color auto="1"/>
      </top>
      <bottom style="dashed">
        <color auto="1"/>
      </bottom>
      <diagonal/>
    </border>
    <border>
      <left/>
      <right style="dashed">
        <color auto="1"/>
      </right>
      <top style="dashed">
        <color auto="1"/>
      </top>
      <bottom style="dashed">
        <color auto="1"/>
      </bottom>
      <diagonal/>
    </border>
    <border>
      <left style="dashed">
        <color auto="1"/>
      </left>
      <right/>
      <top style="dashed">
        <color auto="1"/>
      </top>
      <bottom/>
      <diagonal/>
    </border>
    <border>
      <left style="dashed">
        <color auto="1"/>
      </left>
      <right style="dashed">
        <color auto="1"/>
      </right>
      <top/>
      <bottom/>
      <diagonal/>
    </border>
    <border>
      <left/>
      <right style="dashed">
        <color auto="1"/>
      </right>
      <top style="dashed">
        <color auto="1"/>
      </top>
      <bottom/>
      <diagonal/>
    </border>
    <border>
      <left/>
      <right style="dashed">
        <color auto="1"/>
      </right>
      <top/>
      <bottom/>
      <diagonal/>
    </border>
    <border>
      <left/>
      <right/>
      <top/>
      <bottom style="dashed">
        <color auto="1"/>
      </bottom>
      <diagonal/>
    </border>
    <border>
      <left/>
      <right/>
      <top style="dashed">
        <color auto="1"/>
      </top>
      <bottom/>
      <diagonal/>
    </border>
    <border>
      <left/>
      <right/>
      <top style="dashed">
        <color auto="1"/>
      </top>
      <bottom style="medium">
        <color rgb="FFFFFFFF"/>
      </bottom>
      <diagonal/>
    </border>
    <border>
      <left style="dashed">
        <color auto="1"/>
      </left>
      <right/>
      <top/>
      <bottom style="medium">
        <color rgb="FFFFFFFF"/>
      </bottom>
      <diagonal/>
    </border>
    <border>
      <left style="medium">
        <color indexed="64"/>
      </left>
      <right/>
      <top style="medium">
        <color rgb="FFFFFFFF"/>
      </top>
      <bottom/>
      <diagonal/>
    </border>
    <border>
      <left/>
      <right style="medium">
        <color indexed="64"/>
      </right>
      <top style="medium">
        <color rgb="FFFFFFFF"/>
      </top>
      <bottom/>
      <diagonal/>
    </border>
    <border>
      <left style="medium">
        <color indexed="64"/>
      </left>
      <right style="dashed">
        <color auto="1"/>
      </right>
      <top style="dashed">
        <color auto="1"/>
      </top>
      <bottom style="dashed">
        <color auto="1"/>
      </bottom>
      <diagonal/>
    </border>
    <border>
      <left style="dashed">
        <color auto="1"/>
      </left>
      <right style="medium">
        <color indexed="64"/>
      </right>
      <top style="dashed">
        <color auto="1"/>
      </top>
      <bottom style="dashed">
        <color auto="1"/>
      </bottom>
      <diagonal/>
    </border>
    <border>
      <left/>
      <right style="medium">
        <color indexed="64"/>
      </right>
      <top style="dashed">
        <color auto="1"/>
      </top>
      <bottom style="dashed">
        <color auto="1"/>
      </bottom>
      <diagonal/>
    </border>
    <border>
      <left style="medium">
        <color indexed="64"/>
      </left>
      <right style="dashed">
        <color auto="1"/>
      </right>
      <top style="dashed">
        <color auto="1"/>
      </top>
      <bottom/>
      <diagonal/>
    </border>
    <border>
      <left style="dashed">
        <color auto="1"/>
      </left>
      <right style="medium">
        <color indexed="64"/>
      </right>
      <top style="dashed">
        <color auto="1"/>
      </top>
      <bottom/>
      <diagonal/>
    </border>
    <border>
      <left style="medium">
        <color indexed="64"/>
      </left>
      <right style="dashed">
        <color auto="1"/>
      </right>
      <top/>
      <bottom/>
      <diagonal/>
    </border>
    <border>
      <left style="dashed">
        <color auto="1"/>
      </left>
      <right style="medium">
        <color indexed="64"/>
      </right>
      <top/>
      <bottom/>
      <diagonal/>
    </border>
    <border>
      <left style="medium">
        <color indexed="64"/>
      </left>
      <right/>
      <top/>
      <bottom style="dashed">
        <color auto="1"/>
      </bottom>
      <diagonal/>
    </border>
    <border>
      <left/>
      <right style="medium">
        <color indexed="64"/>
      </right>
      <top/>
      <bottom style="dashed">
        <color auto="1"/>
      </bottom>
      <diagonal/>
    </border>
    <border>
      <left style="medium">
        <color indexed="64"/>
      </left>
      <right/>
      <top style="dashed">
        <color auto="1"/>
      </top>
      <bottom/>
      <diagonal/>
    </border>
    <border>
      <left style="medium">
        <color indexed="64"/>
      </left>
      <right style="dashed">
        <color auto="1"/>
      </right>
      <top style="dashed">
        <color auto="1"/>
      </top>
      <bottom style="medium">
        <color indexed="64"/>
      </bottom>
      <diagonal/>
    </border>
    <border>
      <left style="dashed">
        <color auto="1"/>
      </left>
      <right style="dashed">
        <color auto="1"/>
      </right>
      <top style="dashed">
        <color auto="1"/>
      </top>
      <bottom style="medium">
        <color indexed="64"/>
      </bottom>
      <diagonal/>
    </border>
    <border>
      <left style="dashed">
        <color auto="1"/>
      </left>
      <right style="medium">
        <color indexed="64"/>
      </right>
      <top style="dashed">
        <color auto="1"/>
      </top>
      <bottom style="medium">
        <color indexed="64"/>
      </bottom>
      <diagonal/>
    </border>
    <border>
      <left/>
      <right/>
      <top style="dashed">
        <color auto="1"/>
      </top>
      <bottom style="dashed">
        <color auto="1"/>
      </bottom>
      <diagonal/>
    </border>
    <border>
      <left/>
      <right style="medium">
        <color indexed="64"/>
      </right>
      <top style="dashed">
        <color auto="1"/>
      </top>
      <bottom/>
      <diagonal/>
    </border>
    <border>
      <left style="medium">
        <color indexed="64"/>
      </left>
      <right/>
      <top style="dashed">
        <color auto="1"/>
      </top>
      <bottom style="medium">
        <color rgb="FFFFFFFF"/>
      </bottom>
      <diagonal/>
    </border>
    <border>
      <left/>
      <right style="medium">
        <color indexed="64"/>
      </right>
      <top style="dashed">
        <color auto="1"/>
      </top>
      <bottom style="medium">
        <color rgb="FFFFFFFF"/>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rgb="FF44BA9F"/>
      </left>
      <right style="thin">
        <color rgb="FF44BA9F"/>
      </right>
      <top style="thin">
        <color rgb="FF44BA9F"/>
      </top>
      <bottom style="thin">
        <color rgb="FF44BA9F"/>
      </bottom>
      <diagonal/>
    </border>
    <border>
      <left style="medium">
        <color rgb="FF44BA9F"/>
      </left>
      <right style="thin">
        <color rgb="FF44BA9F"/>
      </right>
      <top style="medium">
        <color rgb="FF44BA9F"/>
      </top>
      <bottom style="thin">
        <color rgb="FF44BA9F"/>
      </bottom>
      <diagonal/>
    </border>
    <border>
      <left style="thin">
        <color rgb="FF44BA9F"/>
      </left>
      <right style="thin">
        <color rgb="FF44BA9F"/>
      </right>
      <top style="medium">
        <color rgb="FF44BA9F"/>
      </top>
      <bottom style="thin">
        <color rgb="FF44BA9F"/>
      </bottom>
      <diagonal/>
    </border>
    <border>
      <left style="thin">
        <color rgb="FF44BA9F"/>
      </left>
      <right style="medium">
        <color rgb="FF44BA9F"/>
      </right>
      <top style="medium">
        <color rgb="FF44BA9F"/>
      </top>
      <bottom style="thin">
        <color rgb="FF44BA9F"/>
      </bottom>
      <diagonal/>
    </border>
    <border>
      <left style="medium">
        <color rgb="FF44BA9F"/>
      </left>
      <right style="thin">
        <color rgb="FF44BA9F"/>
      </right>
      <top style="thin">
        <color rgb="FF44BA9F"/>
      </top>
      <bottom style="thin">
        <color rgb="FF44BA9F"/>
      </bottom>
      <diagonal/>
    </border>
    <border>
      <left style="thin">
        <color rgb="FF44BA9F"/>
      </left>
      <right style="medium">
        <color rgb="FF44BA9F"/>
      </right>
      <top style="thin">
        <color rgb="FF44BA9F"/>
      </top>
      <bottom style="thin">
        <color rgb="FF44BA9F"/>
      </bottom>
      <diagonal/>
    </border>
    <border>
      <left style="medium">
        <color rgb="FF44BA9F"/>
      </left>
      <right style="thin">
        <color rgb="FF44BA9F"/>
      </right>
      <top style="thin">
        <color rgb="FF44BA9F"/>
      </top>
      <bottom style="medium">
        <color rgb="FF44BA9F"/>
      </bottom>
      <diagonal/>
    </border>
    <border>
      <left style="thin">
        <color rgb="FF44BA9F"/>
      </left>
      <right style="thin">
        <color rgb="FF44BA9F"/>
      </right>
      <top style="thin">
        <color rgb="FF44BA9F"/>
      </top>
      <bottom style="medium">
        <color rgb="FF44BA9F"/>
      </bottom>
      <diagonal/>
    </border>
    <border>
      <left style="thin">
        <color rgb="FF44BA9F"/>
      </left>
      <right style="medium">
        <color rgb="FF44BA9F"/>
      </right>
      <top style="thin">
        <color rgb="FF44BA9F"/>
      </top>
      <bottom style="medium">
        <color rgb="FF44BA9F"/>
      </bottom>
      <diagonal/>
    </border>
    <border>
      <left style="thick">
        <color rgb="FF44BA9F"/>
      </left>
      <right style="thick">
        <color rgb="FF44BA9F"/>
      </right>
      <top style="thick">
        <color rgb="FF44BA9F"/>
      </top>
      <bottom style="thick">
        <color rgb="FF44BA9F"/>
      </bottom>
      <diagonal/>
    </border>
    <border>
      <left style="medium">
        <color rgb="FF44BA9F"/>
      </left>
      <right style="thin">
        <color rgb="FF44BA9F"/>
      </right>
      <top/>
      <bottom style="thin">
        <color rgb="FF44BA9F"/>
      </bottom>
      <diagonal/>
    </border>
    <border>
      <left style="thin">
        <color rgb="FF44BA9F"/>
      </left>
      <right style="thin">
        <color rgb="FF44BA9F"/>
      </right>
      <top/>
      <bottom style="thin">
        <color rgb="FF44BA9F"/>
      </bottom>
      <diagonal/>
    </border>
    <border>
      <left style="medium">
        <color rgb="FF44BA9F"/>
      </left>
      <right/>
      <top style="medium">
        <color rgb="FF44BA9F"/>
      </top>
      <bottom style="thin">
        <color rgb="FF44BA9F"/>
      </bottom>
      <diagonal/>
    </border>
    <border>
      <left style="double">
        <color rgb="FF44BA9F"/>
      </left>
      <right/>
      <top style="double">
        <color rgb="FF44BA9F"/>
      </top>
      <bottom style="double">
        <color rgb="FF44BA9F"/>
      </bottom>
      <diagonal/>
    </border>
    <border>
      <left/>
      <right/>
      <top style="double">
        <color rgb="FF44BA9F"/>
      </top>
      <bottom style="double">
        <color rgb="FF44BA9F"/>
      </bottom>
      <diagonal/>
    </border>
    <border>
      <left/>
      <right style="double">
        <color rgb="FF44BA9F"/>
      </right>
      <top style="double">
        <color rgb="FF44BA9F"/>
      </top>
      <bottom style="double">
        <color rgb="FF44BA9F"/>
      </bottom>
      <diagonal/>
    </border>
    <border>
      <left style="thick">
        <color rgb="FF44BA9F"/>
      </left>
      <right style="thin">
        <color rgb="FF44BA9F"/>
      </right>
      <top style="thick">
        <color rgb="FF44BA9F"/>
      </top>
      <bottom style="thin">
        <color rgb="FF44BA9F"/>
      </bottom>
      <diagonal/>
    </border>
    <border>
      <left style="medium">
        <color rgb="FF44BA9F"/>
      </left>
      <right/>
      <top style="thick">
        <color rgb="FF44BA9F"/>
      </top>
      <bottom style="thin">
        <color rgb="FF44BA9F"/>
      </bottom>
      <diagonal/>
    </border>
    <border>
      <left/>
      <right style="thin">
        <color rgb="FF44BA9F"/>
      </right>
      <top style="thick">
        <color rgb="FF44BA9F"/>
      </top>
      <bottom style="thin">
        <color rgb="FF44BA9F"/>
      </bottom>
      <diagonal/>
    </border>
    <border>
      <left/>
      <right style="thick">
        <color rgb="FF44BA9F"/>
      </right>
      <top style="thick">
        <color rgb="FF44BA9F"/>
      </top>
      <bottom style="thin">
        <color rgb="FF44BA9F"/>
      </bottom>
      <diagonal/>
    </border>
    <border>
      <left style="thick">
        <color rgb="FF44BA9F"/>
      </left>
      <right style="thin">
        <color rgb="FF44BA9F"/>
      </right>
      <top style="thin">
        <color rgb="FF44BA9F"/>
      </top>
      <bottom style="thin">
        <color rgb="FF44BA9F"/>
      </bottom>
      <diagonal/>
    </border>
    <border>
      <left style="thin">
        <color rgb="FF44BA9F"/>
      </left>
      <right style="thick">
        <color rgb="FF44BA9F"/>
      </right>
      <top style="thin">
        <color rgb="FF44BA9F"/>
      </top>
      <bottom style="thin">
        <color rgb="FF44BA9F"/>
      </bottom>
      <diagonal/>
    </border>
    <border>
      <left style="thick">
        <color rgb="FF44BA9F"/>
      </left>
      <right style="thin">
        <color rgb="FF44BA9F"/>
      </right>
      <top style="thin">
        <color rgb="FF44BA9F"/>
      </top>
      <bottom style="thick">
        <color rgb="FF44BA9F"/>
      </bottom>
      <diagonal/>
    </border>
    <border>
      <left style="thin">
        <color rgb="FF44BA9F"/>
      </left>
      <right style="thin">
        <color rgb="FF44BA9F"/>
      </right>
      <top style="thin">
        <color rgb="FF44BA9F"/>
      </top>
      <bottom style="thick">
        <color rgb="FF44BA9F"/>
      </bottom>
      <diagonal/>
    </border>
    <border>
      <left style="thin">
        <color rgb="FF44BA9F"/>
      </left>
      <right style="medium">
        <color rgb="FF44BA9F"/>
      </right>
      <top style="thin">
        <color rgb="FF44BA9F"/>
      </top>
      <bottom style="thick">
        <color rgb="FF44BA9F"/>
      </bottom>
      <diagonal/>
    </border>
    <border>
      <left style="thin">
        <color rgb="FF44BA9F"/>
      </left>
      <right style="thick">
        <color rgb="FF44BA9F"/>
      </right>
      <top style="thin">
        <color rgb="FF44BA9F"/>
      </top>
      <bottom style="thick">
        <color rgb="FF44BA9F"/>
      </bottom>
      <diagonal/>
    </border>
    <border>
      <left style="medium">
        <color rgb="FF44BA9F"/>
      </left>
      <right/>
      <top/>
      <bottom style="thin">
        <color rgb="FF44BA9F"/>
      </bottom>
      <diagonal/>
    </border>
    <border>
      <left style="medium">
        <color rgb="FF44BA9F"/>
      </left>
      <right/>
      <top/>
      <bottom style="medium">
        <color rgb="FF44BA9F"/>
      </bottom>
      <diagonal/>
    </border>
    <border>
      <left style="medium">
        <color rgb="FF44BA9F"/>
      </left>
      <right style="medium">
        <color rgb="FF44BA9F"/>
      </right>
      <top style="medium">
        <color rgb="FF44BA9F"/>
      </top>
      <bottom style="thin">
        <color rgb="FF44BA9F"/>
      </bottom>
      <diagonal/>
    </border>
    <border>
      <left style="medium">
        <color rgb="FF44BA9F"/>
      </left>
      <right style="medium">
        <color rgb="FF44BA9F"/>
      </right>
      <top style="thin">
        <color rgb="FF44BA9F"/>
      </top>
      <bottom style="thin">
        <color rgb="FF44BA9F"/>
      </bottom>
      <diagonal/>
    </border>
    <border>
      <left style="medium">
        <color rgb="FF44BA9F"/>
      </left>
      <right style="medium">
        <color rgb="FF44BA9F"/>
      </right>
      <top style="thin">
        <color rgb="FF44BA9F"/>
      </top>
      <bottom style="medium">
        <color rgb="FF44BA9F"/>
      </bottom>
      <diagonal/>
    </border>
    <border>
      <left style="thick">
        <color rgb="FF44BA9F"/>
      </left>
      <right style="medium">
        <color rgb="FF44BA9F"/>
      </right>
      <top style="thick">
        <color rgb="FF44BA9F"/>
      </top>
      <bottom style="medium">
        <color rgb="FF44BA9F"/>
      </bottom>
      <diagonal/>
    </border>
    <border>
      <left style="medium">
        <color rgb="FF44BA9F"/>
      </left>
      <right style="medium">
        <color rgb="FF44BA9F"/>
      </right>
      <top style="thick">
        <color rgb="FF44BA9F"/>
      </top>
      <bottom style="medium">
        <color rgb="FF44BA9F"/>
      </bottom>
      <diagonal/>
    </border>
    <border>
      <left style="medium">
        <color rgb="FF44BA9F"/>
      </left>
      <right style="thick">
        <color rgb="FF44BA9F"/>
      </right>
      <top style="thick">
        <color rgb="FF44BA9F"/>
      </top>
      <bottom style="medium">
        <color rgb="FF44BA9F"/>
      </bottom>
      <diagonal/>
    </border>
    <border>
      <left style="thick">
        <color rgb="FF44BA9F"/>
      </left>
      <right style="thin">
        <color rgb="FF44BA9F"/>
      </right>
      <top/>
      <bottom style="thin">
        <color rgb="FF44BA9F"/>
      </bottom>
      <diagonal/>
    </border>
    <border>
      <left style="medium">
        <color rgb="FF44BA9F"/>
      </left>
      <right style="thick">
        <color rgb="FF44BA9F"/>
      </right>
      <top/>
      <bottom style="thin">
        <color rgb="FF44BA9F"/>
      </bottom>
      <diagonal/>
    </border>
    <border>
      <left style="medium">
        <color rgb="FF44BA9F"/>
      </left>
      <right style="thick">
        <color rgb="FF44BA9F"/>
      </right>
      <top style="thin">
        <color rgb="FF44BA9F"/>
      </top>
      <bottom style="thin">
        <color rgb="FF44BA9F"/>
      </bottom>
      <diagonal/>
    </border>
    <border>
      <left style="medium">
        <color rgb="FF44BA9F"/>
      </left>
      <right style="thin">
        <color rgb="FF44BA9F"/>
      </right>
      <top style="thin">
        <color rgb="FF44BA9F"/>
      </top>
      <bottom style="thick">
        <color rgb="FF44BA9F"/>
      </bottom>
      <diagonal/>
    </border>
    <border>
      <left style="medium">
        <color rgb="FF44BA9F"/>
      </left>
      <right style="thick">
        <color rgb="FF44BA9F"/>
      </right>
      <top style="thin">
        <color rgb="FF44BA9F"/>
      </top>
      <bottom style="thick">
        <color rgb="FF44BA9F"/>
      </bottom>
      <diagonal/>
    </border>
    <border>
      <left style="thick">
        <color rgb="FF44BA9F"/>
      </left>
      <right/>
      <top style="thick">
        <color rgb="FF44BA9F"/>
      </top>
      <bottom style="thick">
        <color rgb="FF44BA9F"/>
      </bottom>
      <diagonal/>
    </border>
    <border>
      <left/>
      <right/>
      <top style="thick">
        <color rgb="FF44BA9F"/>
      </top>
      <bottom style="thick">
        <color rgb="FF44BA9F"/>
      </bottom>
      <diagonal/>
    </border>
  </borders>
  <cellStyleXfs count="31">
    <xf numFmtId="0" fontId="0" fillId="0" borderId="0"/>
    <xf numFmtId="164" fontId="1" fillId="0" borderId="0" applyFont="0" applyFill="0" applyBorder="0" applyAlignment="0" applyProtection="0"/>
    <xf numFmtId="9" fontId="1"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43" fontId="13" fillId="0" borderId="0" applyFont="0" applyFill="0" applyBorder="0" applyAlignment="0" applyProtection="0"/>
    <xf numFmtId="0" fontId="38" fillId="0" borderId="0"/>
    <xf numFmtId="0" fontId="18" fillId="0" borderId="0"/>
    <xf numFmtId="43" fontId="1"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43" fontId="13" fillId="0" borderId="0" applyFont="0" applyFill="0" applyBorder="0" applyAlignment="0" applyProtection="0"/>
    <xf numFmtId="9" fontId="45"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3"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48" fillId="0" borderId="0"/>
    <xf numFmtId="43" fontId="1" fillId="0" borderId="0" applyFont="0" applyFill="0" applyBorder="0" applyAlignment="0" applyProtection="0"/>
    <xf numFmtId="164" fontId="1" fillId="0" borderId="0" applyFont="0" applyFill="0" applyBorder="0" applyAlignment="0" applyProtection="0"/>
    <xf numFmtId="0" fontId="13" fillId="0" borderId="0"/>
    <xf numFmtId="0" fontId="13" fillId="0" borderId="0"/>
    <xf numFmtId="165" fontId="1" fillId="0" borderId="0" applyFont="0" applyFill="0" applyBorder="0" applyAlignment="0" applyProtection="0"/>
  </cellStyleXfs>
  <cellXfs count="1570">
    <xf numFmtId="0" fontId="0" fillId="0" borderId="0" xfId="0"/>
    <xf numFmtId="0" fontId="8" fillId="0" borderId="1" xfId="0" applyFont="1" applyBorder="1" applyAlignment="1">
      <alignment horizontal="justify" vertical="center"/>
    </xf>
    <xf numFmtId="0" fontId="9" fillId="0" borderId="2" xfId="0" applyFont="1" applyBorder="1" applyAlignment="1">
      <alignment horizontal="justify" vertical="center"/>
    </xf>
    <xf numFmtId="0" fontId="6" fillId="0" borderId="0" xfId="0" applyFont="1"/>
    <xf numFmtId="0" fontId="9" fillId="2" borderId="3" xfId="0" applyFont="1" applyFill="1" applyBorder="1" applyAlignment="1">
      <alignment horizontal="justify" vertical="center"/>
    </xf>
    <xf numFmtId="0" fontId="9" fillId="2" borderId="4" xfId="0" applyFont="1" applyFill="1" applyBorder="1" applyAlignment="1">
      <alignment horizontal="justify" vertical="center"/>
    </xf>
    <xf numFmtId="0" fontId="9" fillId="2" borderId="0" xfId="0" applyFont="1" applyFill="1" applyAlignment="1">
      <alignment horizontal="justify" vertical="center"/>
    </xf>
    <xf numFmtId="0" fontId="9" fillId="2" borderId="3" xfId="0" applyFont="1" applyFill="1" applyBorder="1" applyAlignment="1">
      <alignment horizontal="left" vertical="center"/>
    </xf>
    <xf numFmtId="0" fontId="9" fillId="2" borderId="4" xfId="0" applyFont="1" applyFill="1" applyBorder="1" applyAlignment="1">
      <alignment horizontal="right" vertical="center"/>
    </xf>
    <xf numFmtId="0" fontId="9" fillId="2" borderId="4" xfId="0" applyFont="1" applyFill="1" applyBorder="1" applyAlignment="1">
      <alignment horizontal="left" vertical="center"/>
    </xf>
    <xf numFmtId="0" fontId="9" fillId="0" borderId="3" xfId="0" applyFont="1" applyBorder="1" applyAlignment="1">
      <alignment horizontal="justify" vertical="center"/>
    </xf>
    <xf numFmtId="0" fontId="9" fillId="0" borderId="4" xfId="0" applyFont="1" applyBorder="1" applyAlignment="1">
      <alignment horizontal="right" vertical="center"/>
    </xf>
    <xf numFmtId="0" fontId="9" fillId="0" borderId="3" xfId="0" applyFont="1" applyBorder="1" applyAlignment="1">
      <alignment horizontal="left" vertical="center"/>
    </xf>
    <xf numFmtId="0" fontId="8" fillId="0" borderId="1" xfId="0" applyFont="1" applyBorder="1" applyAlignment="1">
      <alignment horizontal="left" vertical="center"/>
    </xf>
    <xf numFmtId="0" fontId="9" fillId="2" borderId="4" xfId="0" applyFont="1" applyFill="1" applyBorder="1" applyAlignment="1">
      <alignment horizontal="center" vertical="center"/>
    </xf>
    <xf numFmtId="0" fontId="9" fillId="0" borderId="4" xfId="0" applyFont="1" applyBorder="1" applyAlignment="1">
      <alignment horizontal="justify" vertical="center"/>
    </xf>
    <xf numFmtId="0" fontId="9" fillId="0" borderId="7" xfId="0" applyFont="1" applyBorder="1" applyAlignment="1">
      <alignment horizontal="justify" vertical="center"/>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7" fillId="0" borderId="0" xfId="0" applyFont="1" applyAlignment="1">
      <alignment horizontal="justify" vertical="center" wrapText="1"/>
    </xf>
    <xf numFmtId="0" fontId="12" fillId="3" borderId="4" xfId="0" applyFont="1" applyFill="1" applyBorder="1" applyAlignment="1">
      <alignment horizontal="center" vertical="center"/>
    </xf>
    <xf numFmtId="0" fontId="12" fillId="0" borderId="4" xfId="0" applyFont="1" applyBorder="1" applyAlignment="1">
      <alignment horizontal="center" vertical="center"/>
    </xf>
    <xf numFmtId="0" fontId="12" fillId="3" borderId="2" xfId="0" applyFont="1" applyFill="1" applyBorder="1" applyAlignment="1">
      <alignment horizontal="center" vertical="center"/>
    </xf>
    <xf numFmtId="0" fontId="12" fillId="0" borderId="3" xfId="0" applyFont="1" applyBorder="1" applyAlignment="1">
      <alignment horizontal="center" vertical="center"/>
    </xf>
    <xf numFmtId="0" fontId="20" fillId="7" borderId="30" xfId="0" applyFont="1" applyFill="1" applyBorder="1" applyAlignment="1" applyProtection="1">
      <alignment horizontal="center" vertical="center"/>
      <protection hidden="1"/>
    </xf>
    <xf numFmtId="0" fontId="23" fillId="5" borderId="12" xfId="0" applyFont="1" applyFill="1" applyBorder="1"/>
    <xf numFmtId="0" fontId="28" fillId="4" borderId="1" xfId="0" applyFont="1" applyFill="1" applyBorder="1" applyAlignment="1">
      <alignment horizontal="center" vertical="center" wrapText="1"/>
    </xf>
    <xf numFmtId="0" fontId="2" fillId="5" borderId="12" xfId="0" applyFont="1" applyFill="1" applyBorder="1"/>
    <xf numFmtId="0" fontId="0" fillId="0" borderId="0" xfId="0" applyProtection="1">
      <protection locked="0"/>
    </xf>
    <xf numFmtId="0" fontId="23" fillId="5" borderId="12" xfId="0" applyFont="1" applyFill="1" applyBorder="1" applyAlignment="1">
      <alignment horizontal="center"/>
    </xf>
    <xf numFmtId="0" fontId="23" fillId="5" borderId="12" xfId="0" applyFont="1" applyFill="1" applyBorder="1" applyAlignment="1" applyProtection="1">
      <alignment horizontal="center"/>
      <protection locked="0"/>
    </xf>
    <xf numFmtId="0" fontId="23" fillId="5" borderId="12" xfId="0" applyFont="1" applyFill="1" applyBorder="1" applyAlignment="1" applyProtection="1">
      <alignment horizontal="centerContinuous"/>
      <protection locked="0"/>
    </xf>
    <xf numFmtId="0" fontId="0" fillId="0" borderId="17" xfId="0" applyBorder="1"/>
    <xf numFmtId="0" fontId="5" fillId="5" borderId="12" xfId="0" applyFont="1" applyFill="1" applyBorder="1" applyAlignment="1">
      <alignment horizontal="centerContinuous"/>
    </xf>
    <xf numFmtId="0" fontId="5" fillId="5" borderId="10" xfId="0" applyFont="1" applyFill="1" applyBorder="1" applyAlignment="1">
      <alignment horizontal="centerContinuous"/>
    </xf>
    <xf numFmtId="0" fontId="23" fillId="5" borderId="10" xfId="0" applyFont="1" applyFill="1" applyBorder="1" applyAlignment="1" applyProtection="1">
      <alignment horizontal="center"/>
      <protection locked="0"/>
    </xf>
    <xf numFmtId="0" fontId="0" fillId="0" borderId="12" xfId="0" applyBorder="1"/>
    <xf numFmtId="0" fontId="29" fillId="0" borderId="0" xfId="0" applyFont="1" applyAlignment="1">
      <alignment horizontal="center"/>
    </xf>
    <xf numFmtId="0" fontId="23" fillId="5" borderId="12" xfId="0" applyFont="1" applyFill="1" applyBorder="1" applyAlignment="1">
      <alignment horizontal="centerContinuous"/>
    </xf>
    <xf numFmtId="0" fontId="23" fillId="5" borderId="10" xfId="0" applyFont="1" applyFill="1" applyBorder="1" applyAlignment="1" applyProtection="1">
      <alignment horizontal="centerContinuous"/>
      <protection locked="0"/>
    </xf>
    <xf numFmtId="0" fontId="0" fillId="0" borderId="19" xfId="0" applyBorder="1"/>
    <xf numFmtId="0" fontId="0" fillId="0" borderId="7" xfId="0" applyBorder="1"/>
    <xf numFmtId="0" fontId="0" fillId="0" borderId="32" xfId="0" applyBorder="1"/>
    <xf numFmtId="0" fontId="0" fillId="0" borderId="33" xfId="0" applyBorder="1"/>
    <xf numFmtId="0" fontId="0" fillId="0" borderId="0" xfId="0" applyAlignment="1" applyProtection="1">
      <alignment horizontal="center"/>
      <protection locked="0"/>
    </xf>
    <xf numFmtId="0" fontId="0" fillId="0" borderId="26" xfId="0" applyBorder="1"/>
    <xf numFmtId="0" fontId="0" fillId="0" borderId="34" xfId="0" applyBorder="1"/>
    <xf numFmtId="0" fontId="0" fillId="0" borderId="8" xfId="0" applyBorder="1"/>
    <xf numFmtId="0" fontId="0" fillId="0" borderId="4" xfId="0" applyBorder="1"/>
    <xf numFmtId="0" fontId="0" fillId="0" borderId="31" xfId="0" applyBorder="1"/>
    <xf numFmtId="0" fontId="31" fillId="0" borderId="19" xfId="0" applyFont="1" applyBorder="1"/>
    <xf numFmtId="0" fontId="30" fillId="0" borderId="32" xfId="0" applyFont="1" applyBorder="1" applyAlignment="1">
      <alignment horizontal="center"/>
    </xf>
    <xf numFmtId="0" fontId="31" fillId="0" borderId="0" xfId="0" applyFont="1"/>
    <xf numFmtId="166" fontId="0" fillId="0" borderId="12" xfId="1" applyNumberFormat="1" applyFont="1" applyBorder="1"/>
    <xf numFmtId="0" fontId="0" fillId="0" borderId="12" xfId="0" applyBorder="1" applyAlignment="1">
      <alignment horizontal="center"/>
    </xf>
    <xf numFmtId="173" fontId="0" fillId="0" borderId="12" xfId="2" applyNumberFormat="1" applyFont="1" applyBorder="1"/>
    <xf numFmtId="166" fontId="0" fillId="0" borderId="12" xfId="1" applyNumberFormat="1" applyFont="1" applyBorder="1" applyAlignment="1">
      <alignment horizontal="center"/>
    </xf>
    <xf numFmtId="173" fontId="3" fillId="0" borderId="12" xfId="2" applyNumberFormat="1" applyFont="1" applyBorder="1" applyAlignment="1">
      <alignment horizontal="center"/>
    </xf>
    <xf numFmtId="0" fontId="4" fillId="0" borderId="12" xfId="0" applyFont="1" applyBorder="1"/>
    <xf numFmtId="0" fontId="4" fillId="0" borderId="26" xfId="0" applyFont="1" applyBorder="1"/>
    <xf numFmtId="0" fontId="3" fillId="6" borderId="9" xfId="0" applyFont="1" applyFill="1" applyBorder="1"/>
    <xf numFmtId="0" fontId="3" fillId="6" borderId="10" xfId="0" applyFont="1" applyFill="1" applyBorder="1"/>
    <xf numFmtId="166" fontId="3" fillId="6" borderId="10" xfId="1" applyNumberFormat="1" applyFont="1" applyFill="1" applyBorder="1"/>
    <xf numFmtId="0" fontId="9" fillId="2" borderId="6"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2" fillId="5" borderId="12" xfId="0" applyFont="1" applyFill="1" applyBorder="1" applyAlignment="1">
      <alignment horizontal="center"/>
    </xf>
    <xf numFmtId="166" fontId="3" fillId="6" borderId="12" xfId="1" applyNumberFormat="1" applyFont="1" applyFill="1" applyBorder="1"/>
    <xf numFmtId="0" fontId="3" fillId="6" borderId="12" xfId="0" applyFont="1" applyFill="1" applyBorder="1"/>
    <xf numFmtId="0" fontId="26" fillId="11" borderId="0" xfId="0" applyFont="1" applyFill="1"/>
    <xf numFmtId="166" fontId="26" fillId="6" borderId="12" xfId="1" applyNumberFormat="1" applyFont="1" applyFill="1" applyBorder="1"/>
    <xf numFmtId="0" fontId="26" fillId="6" borderId="12" xfId="0" applyFont="1" applyFill="1" applyBorder="1"/>
    <xf numFmtId="0" fontId="4" fillId="0" borderId="0" xfId="0" applyFont="1"/>
    <xf numFmtId="0" fontId="9" fillId="2" borderId="40" xfId="0" applyFont="1" applyFill="1" applyBorder="1" applyAlignment="1">
      <alignment horizontal="center" vertical="center" wrapText="1"/>
    </xf>
    <xf numFmtId="0" fontId="9" fillId="2" borderId="3" xfId="0" applyFont="1" applyFill="1" applyBorder="1" applyAlignment="1">
      <alignment horizontal="justify" vertical="center" wrapText="1"/>
    </xf>
    <xf numFmtId="0" fontId="9" fillId="2" borderId="3" xfId="0" applyFont="1" applyFill="1" applyBorder="1" applyAlignment="1">
      <alignment horizontal="left" vertical="center" wrapText="1"/>
    </xf>
    <xf numFmtId="0" fontId="9" fillId="2" borderId="4" xfId="0" applyFont="1" applyFill="1" applyBorder="1" applyAlignment="1">
      <alignment horizontal="justify" vertical="center" wrapText="1"/>
    </xf>
    <xf numFmtId="0" fontId="9" fillId="2" borderId="4" xfId="0" applyFont="1" applyFill="1" applyBorder="1" applyAlignment="1">
      <alignment horizontal="right" vertical="center" wrapText="1"/>
    </xf>
    <xf numFmtId="0" fontId="9" fillId="2" borderId="4" xfId="0" applyFont="1" applyFill="1" applyBorder="1" applyAlignment="1">
      <alignment horizontal="left" vertical="center" wrapText="1"/>
    </xf>
    <xf numFmtId="0" fontId="9" fillId="2" borderId="34" xfId="0" applyFont="1" applyFill="1" applyBorder="1" applyAlignment="1">
      <alignment horizontal="center" vertical="center" wrapText="1"/>
    </xf>
    <xf numFmtId="0" fontId="9" fillId="0" borderId="34" xfId="0" applyFont="1" applyBorder="1" applyAlignment="1">
      <alignment horizontal="left" vertic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0" fillId="0" borderId="27" xfId="0" applyBorder="1" applyAlignment="1">
      <alignment horizontal="center"/>
    </xf>
    <xf numFmtId="0" fontId="0" fillId="0" borderId="21" xfId="0" applyBorder="1" applyAlignment="1">
      <alignment horizontal="center"/>
    </xf>
    <xf numFmtId="0" fontId="0" fillId="0" borderId="42" xfId="0" applyBorder="1" applyAlignment="1">
      <alignment horizontal="center"/>
    </xf>
    <xf numFmtId="0" fontId="0" fillId="0" borderId="22" xfId="0" applyBorder="1" applyAlignment="1">
      <alignment horizontal="center"/>
    </xf>
    <xf numFmtId="0" fontId="0" fillId="0" borderId="44" xfId="0" applyBorder="1" applyAlignment="1">
      <alignment horizontal="center"/>
    </xf>
    <xf numFmtId="0" fontId="9" fillId="2" borderId="1" xfId="0" applyFont="1" applyFill="1" applyBorder="1" applyAlignment="1">
      <alignment horizontal="center" vertical="center"/>
    </xf>
    <xf numFmtId="166" fontId="0" fillId="0" borderId="45" xfId="1" applyNumberFormat="1" applyFont="1" applyBorder="1"/>
    <xf numFmtId="166" fontId="0" fillId="0" borderId="15" xfId="1" applyNumberFormat="1" applyFont="1" applyBorder="1"/>
    <xf numFmtId="166" fontId="0" fillId="0" borderId="16" xfId="1" applyNumberFormat="1" applyFont="1" applyBorder="1"/>
    <xf numFmtId="166" fontId="0" fillId="0" borderId="46" xfId="1" applyNumberFormat="1" applyFont="1" applyBorder="1"/>
    <xf numFmtId="166" fontId="6" fillId="0" borderId="15" xfId="1" applyNumberFormat="1" applyFont="1" applyBorder="1"/>
    <xf numFmtId="166" fontId="6" fillId="0" borderId="46" xfId="1" applyNumberFormat="1" applyFont="1" applyBorder="1"/>
    <xf numFmtId="166" fontId="6" fillId="0" borderId="18" xfId="1" applyNumberFormat="1" applyFont="1" applyBorder="1"/>
    <xf numFmtId="166" fontId="0" fillId="0" borderId="26" xfId="1" applyNumberFormat="1" applyFont="1" applyBorder="1"/>
    <xf numFmtId="166" fontId="0" fillId="0" borderId="9" xfId="1" applyNumberFormat="1" applyFont="1" applyBorder="1"/>
    <xf numFmtId="166" fontId="0" fillId="0" borderId="20" xfId="1" applyNumberFormat="1" applyFont="1" applyBorder="1"/>
    <xf numFmtId="166" fontId="0" fillId="0" borderId="10" xfId="1" applyNumberFormat="1" applyFont="1" applyBorder="1"/>
    <xf numFmtId="166" fontId="0" fillId="0" borderId="27" xfId="1" applyNumberFormat="1" applyFont="1" applyBorder="1"/>
    <xf numFmtId="166" fontId="0" fillId="0" borderId="21" xfId="1" applyNumberFormat="1" applyFont="1" applyBorder="1"/>
    <xf numFmtId="166" fontId="0" fillId="0" borderId="42" xfId="1" applyNumberFormat="1" applyFont="1" applyBorder="1"/>
    <xf numFmtId="166" fontId="0" fillId="0" borderId="22" xfId="1" applyNumberFormat="1" applyFont="1" applyBorder="1"/>
    <xf numFmtId="166" fontId="0" fillId="0" borderId="44" xfId="1" applyNumberFormat="1" applyFont="1" applyBorder="1"/>
    <xf numFmtId="0" fontId="35" fillId="0" borderId="0" xfId="0" applyFont="1"/>
    <xf numFmtId="3" fontId="0" fillId="0" borderId="12" xfId="0" applyNumberFormat="1" applyBorder="1"/>
    <xf numFmtId="0" fontId="3" fillId="11" borderId="0" xfId="0" applyFont="1" applyFill="1"/>
    <xf numFmtId="0" fontId="9" fillId="0" borderId="12" xfId="0" applyFont="1" applyBorder="1" applyAlignment="1">
      <alignment horizontal="justify" vertical="center"/>
    </xf>
    <xf numFmtId="0" fontId="9" fillId="0" borderId="12" xfId="0" applyFont="1" applyBorder="1" applyAlignment="1">
      <alignment horizontal="right" vertical="center"/>
    </xf>
    <xf numFmtId="0" fontId="9" fillId="0" borderId="12" xfId="0" applyFont="1" applyBorder="1" applyAlignment="1">
      <alignment horizontal="left" vertical="center"/>
    </xf>
    <xf numFmtId="0" fontId="36" fillId="0" borderId="0" xfId="0" applyFont="1"/>
    <xf numFmtId="166" fontId="0" fillId="0" borderId="12" xfId="1" applyNumberFormat="1" applyFont="1" applyFill="1" applyBorder="1" applyAlignment="1">
      <alignment horizontal="center"/>
    </xf>
    <xf numFmtId="166" fontId="0" fillId="0" borderId="12" xfId="0" applyNumberFormat="1" applyBorder="1"/>
    <xf numFmtId="166" fontId="0" fillId="0" borderId="0" xfId="1" applyNumberFormat="1" applyFont="1" applyFill="1" applyBorder="1" applyAlignment="1">
      <alignment horizontal="center"/>
    </xf>
    <xf numFmtId="0" fontId="0" fillId="5" borderId="0" xfId="0" applyFill="1"/>
    <xf numFmtId="0" fontId="12" fillId="3" borderId="1" xfId="0" applyFont="1" applyFill="1" applyBorder="1" applyAlignment="1">
      <alignment horizontal="justify" vertical="center"/>
    </xf>
    <xf numFmtId="3" fontId="12" fillId="0" borderId="4" xfId="0" applyNumberFormat="1" applyFont="1" applyBorder="1" applyAlignment="1">
      <alignment horizontal="center" vertical="center"/>
    </xf>
    <xf numFmtId="0" fontId="0" fillId="11" borderId="12" xfId="0" applyFill="1" applyBorder="1"/>
    <xf numFmtId="0" fontId="12" fillId="3" borderId="3" xfId="0" applyFont="1" applyFill="1" applyBorder="1" applyAlignment="1">
      <alignment horizontal="justify" vertical="center"/>
    </xf>
    <xf numFmtId="0" fontId="2" fillId="5" borderId="24" xfId="0" applyFont="1" applyFill="1" applyBorder="1"/>
    <xf numFmtId="0" fontId="0" fillId="5" borderId="19" xfId="0" applyFill="1" applyBorder="1"/>
    <xf numFmtId="166" fontId="0" fillId="0" borderId="0" xfId="0" applyNumberFormat="1"/>
    <xf numFmtId="0" fontId="10" fillId="0" borderId="12" xfId="0" applyFont="1" applyBorder="1" applyAlignment="1" applyProtection="1">
      <alignment horizontal="center" vertical="center"/>
      <protection locked="0"/>
    </xf>
    <xf numFmtId="0" fontId="37" fillId="0" borderId="0" xfId="0" applyFont="1" applyAlignment="1" applyProtection="1">
      <alignment vertical="center"/>
      <protection locked="0"/>
    </xf>
    <xf numFmtId="0" fontId="2" fillId="5" borderId="9" xfId="0" applyFont="1" applyFill="1" applyBorder="1" applyAlignment="1" applyProtection="1">
      <alignment horizontal="left" vertical="center"/>
      <protection locked="0"/>
    </xf>
    <xf numFmtId="9" fontId="38" fillId="4" borderId="43" xfId="7" applyNumberFormat="1" applyFill="1" applyBorder="1" applyAlignment="1">
      <alignment horizontal="center" vertical="center"/>
    </xf>
    <xf numFmtId="9" fontId="38" fillId="4" borderId="24" xfId="7" applyNumberFormat="1" applyFill="1" applyBorder="1" applyAlignment="1">
      <alignment horizontal="center" vertical="center"/>
    </xf>
    <xf numFmtId="9" fontId="38" fillId="0" borderId="24" xfId="7" applyNumberFormat="1" applyBorder="1" applyAlignment="1">
      <alignment horizontal="center" vertical="center"/>
    </xf>
    <xf numFmtId="9" fontId="38" fillId="0" borderId="25" xfId="7" applyNumberFormat="1" applyBorder="1" applyAlignment="1">
      <alignment horizontal="center" vertical="center"/>
    </xf>
    <xf numFmtId="9" fontId="38" fillId="4" borderId="10" xfId="7" applyNumberFormat="1" applyFill="1" applyBorder="1" applyAlignment="1">
      <alignment horizontal="center" vertical="center"/>
    </xf>
    <xf numFmtId="9" fontId="38" fillId="4" borderId="12" xfId="7" applyNumberFormat="1" applyFill="1" applyBorder="1" applyAlignment="1">
      <alignment horizontal="center" vertical="center"/>
    </xf>
    <xf numFmtId="9" fontId="38" fillId="4" borderId="20" xfId="7" applyNumberFormat="1" applyFill="1" applyBorder="1" applyAlignment="1">
      <alignment horizontal="center" vertical="center"/>
    </xf>
    <xf numFmtId="9" fontId="38" fillId="4" borderId="44" xfId="7" applyNumberFormat="1" applyFill="1" applyBorder="1" applyAlignment="1">
      <alignment horizontal="center" vertical="center"/>
    </xf>
    <xf numFmtId="9" fontId="38" fillId="4" borderId="21" xfId="7" applyNumberFormat="1" applyFill="1" applyBorder="1" applyAlignment="1">
      <alignment horizontal="center" vertical="center"/>
    </xf>
    <xf numFmtId="9" fontId="38" fillId="4" borderId="22" xfId="7" applyNumberFormat="1" applyFill="1" applyBorder="1" applyAlignment="1">
      <alignment horizontal="center" vertical="center"/>
    </xf>
    <xf numFmtId="9" fontId="38" fillId="15" borderId="24" xfId="7" applyNumberFormat="1" applyFill="1" applyBorder="1" applyAlignment="1">
      <alignment horizontal="center" vertical="center"/>
    </xf>
    <xf numFmtId="9" fontId="38" fillId="15" borderId="25" xfId="7" applyNumberFormat="1" applyFill="1" applyBorder="1" applyAlignment="1">
      <alignment horizontal="center" vertical="center"/>
    </xf>
    <xf numFmtId="9" fontId="38" fillId="16" borderId="10" xfId="7" applyNumberFormat="1" applyFill="1" applyBorder="1" applyAlignment="1">
      <alignment horizontal="center" vertical="center"/>
    </xf>
    <xf numFmtId="9" fontId="38" fillId="0" borderId="10" xfId="7" applyNumberFormat="1" applyBorder="1" applyAlignment="1">
      <alignment horizontal="center" vertical="center"/>
    </xf>
    <xf numFmtId="9" fontId="38" fillId="0" borderId="52" xfId="7" applyNumberFormat="1" applyBorder="1" applyAlignment="1">
      <alignment horizontal="center" vertical="center"/>
    </xf>
    <xf numFmtId="9" fontId="38" fillId="16" borderId="44" xfId="7" applyNumberFormat="1" applyFill="1" applyBorder="1" applyAlignment="1">
      <alignment horizontal="center" vertical="center"/>
    </xf>
    <xf numFmtId="9" fontId="38" fillId="16" borderId="21" xfId="7" applyNumberFormat="1" applyFill="1" applyBorder="1" applyAlignment="1">
      <alignment horizontal="center" vertical="center"/>
    </xf>
    <xf numFmtId="9" fontId="38" fillId="16" borderId="22" xfId="7" applyNumberFormat="1" applyFill="1" applyBorder="1" applyAlignment="1">
      <alignment horizontal="center" vertical="center"/>
    </xf>
    <xf numFmtId="9" fontId="38" fillId="17" borderId="24" xfId="7" applyNumberFormat="1" applyFill="1" applyBorder="1" applyAlignment="1">
      <alignment horizontal="center" vertical="center"/>
    </xf>
    <xf numFmtId="9" fontId="38" fillId="17" borderId="25" xfId="7" applyNumberFormat="1" applyFill="1" applyBorder="1" applyAlignment="1">
      <alignment horizontal="center" vertical="center"/>
    </xf>
    <xf numFmtId="9" fontId="38" fillId="0" borderId="44" xfId="7" applyNumberFormat="1" applyBorder="1" applyAlignment="1">
      <alignment horizontal="center" vertical="center"/>
    </xf>
    <xf numFmtId="9" fontId="38" fillId="0" borderId="21" xfId="7" applyNumberFormat="1" applyBorder="1" applyAlignment="1">
      <alignment horizontal="center" vertical="center"/>
    </xf>
    <xf numFmtId="9" fontId="38" fillId="0" borderId="22" xfId="7" applyNumberFormat="1" applyBorder="1" applyAlignment="1">
      <alignment horizontal="center" vertical="center"/>
    </xf>
    <xf numFmtId="9" fontId="38" fillId="7" borderId="23" xfId="7" applyNumberFormat="1" applyFill="1" applyBorder="1" applyAlignment="1">
      <alignment horizontal="center" vertical="center"/>
    </xf>
    <xf numFmtId="9" fontId="38" fillId="7" borderId="24" xfId="7" applyNumberFormat="1" applyFill="1" applyBorder="1" applyAlignment="1">
      <alignment horizontal="center" vertical="center"/>
    </xf>
    <xf numFmtId="9" fontId="38" fillId="7" borderId="25" xfId="7" applyNumberFormat="1" applyFill="1" applyBorder="1" applyAlignment="1">
      <alignment horizontal="center" vertical="center"/>
    </xf>
    <xf numFmtId="9" fontId="38" fillId="7" borderId="26" xfId="7" applyNumberFormat="1" applyFill="1" applyBorder="1" applyAlignment="1">
      <alignment horizontal="center" vertical="center"/>
    </xf>
    <xf numFmtId="9" fontId="38" fillId="7" borderId="12" xfId="7" applyNumberFormat="1" applyFill="1" applyBorder="1" applyAlignment="1">
      <alignment horizontal="center" vertical="center"/>
    </xf>
    <xf numFmtId="9" fontId="38" fillId="7" borderId="20" xfId="7" applyNumberFormat="1" applyFill="1" applyBorder="1" applyAlignment="1">
      <alignment horizontal="center" vertical="center"/>
    </xf>
    <xf numFmtId="9" fontId="38" fillId="7" borderId="27" xfId="7" applyNumberFormat="1" applyFill="1" applyBorder="1" applyAlignment="1">
      <alignment horizontal="center" vertical="center"/>
    </xf>
    <xf numFmtId="9" fontId="38" fillId="7" borderId="21" xfId="7" applyNumberFormat="1" applyFill="1" applyBorder="1" applyAlignment="1">
      <alignment horizontal="center" vertical="center"/>
    </xf>
    <xf numFmtId="9" fontId="38" fillId="7" borderId="22" xfId="7" applyNumberFormat="1" applyFill="1" applyBorder="1" applyAlignment="1">
      <alignment horizontal="center" vertical="center"/>
    </xf>
    <xf numFmtId="9" fontId="38" fillId="18" borderId="23" xfId="7" applyNumberFormat="1" applyFill="1" applyBorder="1" applyAlignment="1">
      <alignment horizontal="center" vertical="center"/>
    </xf>
    <xf numFmtId="9" fontId="38" fillId="18" borderId="24" xfId="7" applyNumberFormat="1" applyFill="1" applyBorder="1" applyAlignment="1">
      <alignment horizontal="center" vertical="center"/>
    </xf>
    <xf numFmtId="9" fontId="38" fillId="18" borderId="25" xfId="7" applyNumberFormat="1" applyFill="1" applyBorder="1" applyAlignment="1">
      <alignment horizontal="center" vertical="center"/>
    </xf>
    <xf numFmtId="9" fontId="38" fillId="18" borderId="26" xfId="7" applyNumberFormat="1" applyFill="1" applyBorder="1" applyAlignment="1">
      <alignment horizontal="center" vertical="center"/>
    </xf>
    <xf numFmtId="9" fontId="38" fillId="18" borderId="12" xfId="7" applyNumberFormat="1" applyFill="1" applyBorder="1" applyAlignment="1">
      <alignment horizontal="center" vertical="center"/>
    </xf>
    <xf numFmtId="9" fontId="38" fillId="18" borderId="20" xfId="7" applyNumberFormat="1" applyFill="1" applyBorder="1" applyAlignment="1">
      <alignment horizontal="center" vertical="center"/>
    </xf>
    <xf numFmtId="9" fontId="38" fillId="18" borderId="27" xfId="7" applyNumberFormat="1" applyFill="1" applyBorder="1" applyAlignment="1">
      <alignment horizontal="center" vertical="center"/>
    </xf>
    <xf numFmtId="9" fontId="38" fillId="18" borderId="21" xfId="7" applyNumberFormat="1" applyFill="1" applyBorder="1" applyAlignment="1">
      <alignment horizontal="center" vertical="center"/>
    </xf>
    <xf numFmtId="9" fontId="38" fillId="18" borderId="22" xfId="7" applyNumberFormat="1" applyFill="1" applyBorder="1" applyAlignment="1">
      <alignment horizontal="center" vertical="center"/>
    </xf>
    <xf numFmtId="0" fontId="28" fillId="0" borderId="0" xfId="7" applyFont="1"/>
    <xf numFmtId="0" fontId="38" fillId="0" borderId="0" xfId="7"/>
    <xf numFmtId="0" fontId="38" fillId="0" borderId="47" xfId="7" applyBorder="1" applyAlignment="1">
      <alignment horizontal="center" vertical="center"/>
    </xf>
    <xf numFmtId="0" fontId="38" fillId="0" borderId="48" xfId="7" applyBorder="1" applyAlignment="1">
      <alignment horizontal="center" vertical="center"/>
    </xf>
    <xf numFmtId="0" fontId="38" fillId="0" borderId="0" xfId="7" applyAlignment="1">
      <alignment horizontal="center" vertical="center"/>
    </xf>
    <xf numFmtId="0" fontId="38" fillId="0" borderId="37" xfId="7" applyBorder="1" applyAlignment="1">
      <alignment horizontal="center" vertical="center"/>
    </xf>
    <xf numFmtId="0" fontId="38" fillId="0" borderId="13" xfId="7" applyBorder="1" applyAlignment="1">
      <alignment horizontal="center" vertical="center"/>
    </xf>
    <xf numFmtId="0" fontId="38" fillId="15" borderId="0" xfId="7" applyFill="1"/>
    <xf numFmtId="0" fontId="38" fillId="15" borderId="23" xfId="7" applyFill="1" applyBorder="1" applyAlignment="1">
      <alignment horizontal="center" vertical="center"/>
    </xf>
    <xf numFmtId="0" fontId="38" fillId="15" borderId="25" xfId="7" applyFill="1" applyBorder="1" applyAlignment="1">
      <alignment horizontal="center" vertical="center"/>
    </xf>
    <xf numFmtId="0" fontId="38" fillId="15" borderId="49" xfId="7" applyFill="1" applyBorder="1" applyAlignment="1">
      <alignment horizontal="center" vertical="center"/>
    </xf>
    <xf numFmtId="0" fontId="38" fillId="15" borderId="26" xfId="7" applyFill="1" applyBorder="1" applyAlignment="1">
      <alignment horizontal="center" vertical="center"/>
    </xf>
    <xf numFmtId="0" fontId="38" fillId="15" borderId="20" xfId="7" applyFill="1" applyBorder="1" applyAlignment="1">
      <alignment horizontal="center" vertical="center"/>
    </xf>
    <xf numFmtId="0" fontId="38" fillId="15" borderId="50" xfId="7" applyFill="1" applyBorder="1" applyAlignment="1">
      <alignment horizontal="center" vertical="center"/>
    </xf>
    <xf numFmtId="0" fontId="38" fillId="15" borderId="27" xfId="7" applyFill="1" applyBorder="1" applyAlignment="1">
      <alignment horizontal="center" vertical="center"/>
    </xf>
    <xf numFmtId="0" fontId="38" fillId="15" borderId="22" xfId="7" applyFill="1" applyBorder="1" applyAlignment="1">
      <alignment horizontal="center" vertical="center"/>
    </xf>
    <xf numFmtId="0" fontId="38" fillId="15" borderId="51" xfId="7" applyFill="1" applyBorder="1" applyAlignment="1">
      <alignment horizontal="center" vertical="center"/>
    </xf>
    <xf numFmtId="0" fontId="38" fillId="17" borderId="0" xfId="7" applyFill="1"/>
    <xf numFmtId="0" fontId="38" fillId="17" borderId="23" xfId="7" applyFill="1" applyBorder="1" applyAlignment="1">
      <alignment horizontal="center" vertical="center"/>
    </xf>
    <xf numFmtId="0" fontId="38" fillId="17" borderId="25" xfId="7" applyFill="1" applyBorder="1" applyAlignment="1">
      <alignment horizontal="center" vertical="center"/>
    </xf>
    <xf numFmtId="0" fontId="38" fillId="17" borderId="49" xfId="7" applyFill="1" applyBorder="1" applyAlignment="1">
      <alignment horizontal="center" vertical="center"/>
    </xf>
    <xf numFmtId="0" fontId="38" fillId="17" borderId="26" xfId="7" applyFill="1" applyBorder="1" applyAlignment="1">
      <alignment horizontal="center" vertical="center"/>
    </xf>
    <xf numFmtId="0" fontId="38" fillId="17" borderId="20" xfId="7" applyFill="1" applyBorder="1" applyAlignment="1">
      <alignment horizontal="center" vertical="center"/>
    </xf>
    <xf numFmtId="0" fontId="38" fillId="17" borderId="50" xfId="7" applyFill="1" applyBorder="1" applyAlignment="1">
      <alignment horizontal="center" vertical="center"/>
    </xf>
    <xf numFmtId="0" fontId="38" fillId="17" borderId="27" xfId="7" applyFill="1" applyBorder="1" applyAlignment="1">
      <alignment horizontal="center" vertical="center"/>
    </xf>
    <xf numFmtId="0" fontId="38" fillId="17" borderId="22" xfId="7" applyFill="1" applyBorder="1" applyAlignment="1">
      <alignment horizontal="center" vertical="center"/>
    </xf>
    <xf numFmtId="0" fontId="38" fillId="17" borderId="51" xfId="7" applyFill="1" applyBorder="1" applyAlignment="1">
      <alignment horizontal="center" vertical="center"/>
    </xf>
    <xf numFmtId="0" fontId="38" fillId="4" borderId="47" xfId="7" applyFill="1" applyBorder="1" applyAlignment="1">
      <alignment horizontal="center" vertical="center"/>
    </xf>
    <xf numFmtId="0" fontId="38" fillId="4" borderId="48" xfId="7" applyFill="1" applyBorder="1" applyAlignment="1">
      <alignment horizontal="center" vertical="center"/>
    </xf>
    <xf numFmtId="0" fontId="38" fillId="4" borderId="37" xfId="7" applyFill="1" applyBorder="1" applyAlignment="1">
      <alignment horizontal="center" vertical="center"/>
    </xf>
    <xf numFmtId="0" fontId="38" fillId="4" borderId="13" xfId="7" applyFill="1" applyBorder="1" applyAlignment="1">
      <alignment horizontal="center" vertical="center"/>
    </xf>
    <xf numFmtId="0" fontId="39" fillId="0" borderId="9" xfId="7" applyFont="1" applyBorder="1"/>
    <xf numFmtId="0" fontId="38" fillId="4" borderId="49" xfId="7" applyFill="1" applyBorder="1" applyAlignment="1">
      <alignment horizontal="center" vertical="center"/>
    </xf>
    <xf numFmtId="0" fontId="38" fillId="4" borderId="43" xfId="7" applyFill="1" applyBorder="1" applyAlignment="1">
      <alignment horizontal="center" vertical="center"/>
    </xf>
    <xf numFmtId="0" fontId="38" fillId="4" borderId="25" xfId="7" applyFill="1" applyBorder="1" applyAlignment="1">
      <alignment horizontal="center" vertical="center"/>
    </xf>
    <xf numFmtId="0" fontId="38" fillId="4" borderId="53" xfId="7" applyFill="1" applyBorder="1" applyAlignment="1">
      <alignment horizontal="center" vertical="center"/>
    </xf>
    <xf numFmtId="0" fontId="38" fillId="4" borderId="50" xfId="7" applyFill="1" applyBorder="1" applyAlignment="1">
      <alignment horizontal="center" vertical="center"/>
    </xf>
    <xf numFmtId="0" fontId="38" fillId="4" borderId="10" xfId="7" applyFill="1" applyBorder="1" applyAlignment="1">
      <alignment horizontal="center" vertical="center"/>
    </xf>
    <xf numFmtId="0" fontId="38" fillId="4" borderId="20" xfId="7" applyFill="1" applyBorder="1" applyAlignment="1">
      <alignment horizontal="center" vertical="center"/>
    </xf>
    <xf numFmtId="0" fontId="38" fillId="4" borderId="11" xfId="7" applyFill="1" applyBorder="1" applyAlignment="1">
      <alignment horizontal="center" vertical="center"/>
    </xf>
    <xf numFmtId="0" fontId="38" fillId="4" borderId="51" xfId="7" applyFill="1" applyBorder="1" applyAlignment="1">
      <alignment horizontal="center" vertical="center"/>
    </xf>
    <xf numFmtId="0" fontId="38" fillId="4" borderId="44" xfId="7" applyFill="1" applyBorder="1" applyAlignment="1">
      <alignment horizontal="center" vertical="center"/>
    </xf>
    <xf numFmtId="0" fontId="38" fillId="4" borderId="22" xfId="7" applyFill="1" applyBorder="1" applyAlignment="1">
      <alignment horizontal="center" vertical="center"/>
    </xf>
    <xf numFmtId="0" fontId="38" fillId="4" borderId="54" xfId="7" applyFill="1" applyBorder="1" applyAlignment="1">
      <alignment horizontal="center" vertical="center"/>
    </xf>
    <xf numFmtId="0" fontId="38" fillId="4" borderId="12" xfId="7" applyFill="1" applyBorder="1" applyAlignment="1">
      <alignment horizontal="center" vertical="center"/>
    </xf>
    <xf numFmtId="3" fontId="38" fillId="0" borderId="12" xfId="7" applyNumberFormat="1" applyBorder="1"/>
    <xf numFmtId="4" fontId="38" fillId="0" borderId="12" xfId="7" applyNumberFormat="1" applyBorder="1"/>
    <xf numFmtId="0" fontId="39" fillId="0" borderId="12" xfId="7" applyFont="1" applyBorder="1"/>
    <xf numFmtId="0" fontId="38" fillId="4" borderId="12" xfId="7" applyFill="1" applyBorder="1"/>
    <xf numFmtId="0" fontId="38" fillId="0" borderId="12" xfId="7" applyBorder="1"/>
    <xf numFmtId="9" fontId="38" fillId="0" borderId="12" xfId="7" applyNumberFormat="1" applyBorder="1"/>
    <xf numFmtId="0" fontId="41" fillId="0" borderId="0" xfId="0" applyFont="1" applyAlignment="1" applyProtection="1">
      <alignment vertical="center"/>
      <protection hidden="1"/>
    </xf>
    <xf numFmtId="0" fontId="42" fillId="5" borderId="12" xfId="0" applyFont="1" applyFill="1" applyBorder="1" applyAlignment="1" applyProtection="1">
      <alignment horizontal="left" vertical="center"/>
      <protection hidden="1"/>
    </xf>
    <xf numFmtId="0" fontId="18" fillId="0" borderId="12" xfId="0" applyFont="1" applyBorder="1" applyAlignment="1" applyProtection="1">
      <alignment horizontal="center" vertical="center"/>
      <protection locked="0" hidden="1"/>
    </xf>
    <xf numFmtId="0" fontId="14" fillId="0" borderId="10" xfId="3" applyFont="1" applyBorder="1" applyAlignment="1" applyProtection="1">
      <alignment horizontal="center" vertical="center"/>
      <protection locked="0" hidden="1"/>
    </xf>
    <xf numFmtId="0" fontId="14" fillId="0" borderId="12" xfId="3" applyFont="1" applyBorder="1" applyAlignment="1" applyProtection="1">
      <alignment horizontal="center" vertical="center"/>
      <protection locked="0" hidden="1"/>
    </xf>
    <xf numFmtId="167" fontId="15" fillId="5" borderId="12" xfId="5" applyNumberFormat="1" applyFont="1" applyFill="1" applyBorder="1" applyAlignment="1" applyProtection="1">
      <alignment horizontal="center" vertical="center"/>
      <protection hidden="1"/>
    </xf>
    <xf numFmtId="167" fontId="15" fillId="5" borderId="12" xfId="5" applyNumberFormat="1" applyFont="1" applyFill="1" applyBorder="1" applyAlignment="1" applyProtection="1">
      <alignment horizontal="right" vertical="center"/>
      <protection hidden="1"/>
    </xf>
    <xf numFmtId="0" fontId="14" fillId="0" borderId="0" xfId="3" applyFont="1" applyAlignment="1" applyProtection="1">
      <alignment horizontal="center" vertical="center"/>
      <protection hidden="1"/>
    </xf>
    <xf numFmtId="15" fontId="6" fillId="0" borderId="12" xfId="0" applyNumberFormat="1" applyFont="1" applyBorder="1" applyAlignment="1" applyProtection="1">
      <alignment horizontal="center" vertical="center"/>
      <protection locked="0" hidden="1"/>
    </xf>
    <xf numFmtId="171" fontId="14" fillId="8" borderId="9" xfId="5" applyNumberFormat="1" applyFont="1" applyFill="1" applyBorder="1" applyAlignment="1" applyProtection="1">
      <alignment horizontal="left" vertical="center" wrapText="1"/>
      <protection hidden="1"/>
    </xf>
    <xf numFmtId="171" fontId="17" fillId="8" borderId="11" xfId="5" applyNumberFormat="1" applyFont="1" applyFill="1" applyBorder="1" applyAlignment="1" applyProtection="1">
      <alignment horizontal="left" vertical="center" wrapText="1"/>
      <protection hidden="1"/>
    </xf>
    <xf numFmtId="171" fontId="17" fillId="8" borderId="9" xfId="5" applyNumberFormat="1" applyFont="1" applyFill="1" applyBorder="1" applyAlignment="1" applyProtection="1">
      <alignment horizontal="left" vertical="center" wrapText="1"/>
      <protection hidden="1"/>
    </xf>
    <xf numFmtId="170" fontId="17" fillId="8" borderId="11" xfId="5" applyNumberFormat="1" applyFont="1" applyFill="1" applyBorder="1" applyAlignment="1" applyProtection="1">
      <alignment vertical="center"/>
      <protection hidden="1"/>
    </xf>
    <xf numFmtId="172" fontId="17" fillId="8" borderId="10" xfId="6" applyNumberFormat="1" applyFont="1" applyFill="1" applyBorder="1" applyAlignment="1" applyProtection="1">
      <alignment horizontal="right" vertical="center"/>
      <protection hidden="1"/>
    </xf>
    <xf numFmtId="170" fontId="17" fillId="8" borderId="17" xfId="5" applyNumberFormat="1" applyFont="1" applyFill="1" applyBorder="1" applyAlignment="1" applyProtection="1">
      <alignment vertical="center"/>
      <protection hidden="1"/>
    </xf>
    <xf numFmtId="172" fontId="17" fillId="8" borderId="18" xfId="6" applyNumberFormat="1" applyFont="1" applyFill="1" applyBorder="1" applyAlignment="1" applyProtection="1">
      <alignment horizontal="right" vertical="center"/>
      <protection hidden="1"/>
    </xf>
    <xf numFmtId="167" fontId="15" fillId="0" borderId="0" xfId="5" applyNumberFormat="1" applyFont="1" applyAlignment="1" applyProtection="1">
      <alignment horizontal="right" vertical="center"/>
      <protection hidden="1"/>
    </xf>
    <xf numFmtId="171" fontId="17" fillId="0" borderId="0" xfId="5" applyNumberFormat="1" applyFont="1" applyAlignment="1" applyProtection="1">
      <alignment horizontal="left" vertical="center" wrapText="1"/>
      <protection hidden="1"/>
    </xf>
    <xf numFmtId="170" fontId="17" fillId="0" borderId="0" xfId="5" applyNumberFormat="1" applyFont="1" applyAlignment="1" applyProtection="1">
      <alignment vertical="center"/>
      <protection hidden="1"/>
    </xf>
    <xf numFmtId="172" fontId="17" fillId="0" borderId="0" xfId="6" applyNumberFormat="1" applyFont="1" applyFill="1" applyBorder="1" applyAlignment="1" applyProtection="1">
      <alignment horizontal="right" vertical="center"/>
      <protection hidden="1"/>
    </xf>
    <xf numFmtId="0" fontId="28" fillId="4" borderId="1" xfId="0" applyFont="1" applyFill="1" applyBorder="1" applyAlignment="1" applyProtection="1">
      <alignment horizontal="center" vertical="center" wrapText="1"/>
      <protection hidden="1"/>
    </xf>
    <xf numFmtId="0" fontId="2" fillId="5" borderId="32" xfId="0" applyFont="1" applyFill="1" applyBorder="1" applyAlignment="1">
      <alignment vertical="center" wrapText="1"/>
    </xf>
    <xf numFmtId="0" fontId="2" fillId="5" borderId="0" xfId="0" applyFont="1" applyFill="1" applyAlignment="1">
      <alignment horizontal="center" vertical="center" wrapText="1"/>
    </xf>
    <xf numFmtId="0" fontId="2" fillId="5" borderId="33" xfId="0" applyFont="1" applyFill="1" applyBorder="1" applyAlignment="1">
      <alignment horizontal="center" vertical="center" wrapText="1"/>
    </xf>
    <xf numFmtId="0" fontId="2" fillId="5" borderId="57" xfId="0" applyFont="1" applyFill="1" applyBorder="1" applyAlignment="1">
      <alignment horizontal="center" vertical="center" wrapText="1"/>
    </xf>
    <xf numFmtId="0" fontId="5" fillId="22" borderId="12" xfId="0" applyFont="1" applyFill="1" applyBorder="1" applyAlignment="1">
      <alignment horizontal="center" vertical="center" wrapText="1"/>
    </xf>
    <xf numFmtId="0" fontId="5" fillId="21" borderId="12" xfId="0" applyFont="1" applyFill="1" applyBorder="1" applyAlignment="1">
      <alignment horizontal="center" vertical="center" wrapText="1"/>
    </xf>
    <xf numFmtId="0" fontId="0" fillId="23" borderId="58" xfId="0" applyFill="1" applyBorder="1"/>
    <xf numFmtId="0" fontId="4" fillId="0" borderId="59" xfId="0" applyFont="1" applyBorder="1"/>
    <xf numFmtId="0" fontId="0" fillId="0" borderId="59" xfId="0" applyBorder="1"/>
    <xf numFmtId="0" fontId="0" fillId="23" borderId="59" xfId="0" applyFill="1" applyBorder="1"/>
    <xf numFmtId="14" fontId="0" fillId="23" borderId="59" xfId="0" applyNumberFormat="1" applyFill="1" applyBorder="1"/>
    <xf numFmtId="14" fontId="0" fillId="0" borderId="59" xfId="0" applyNumberFormat="1" applyBorder="1"/>
    <xf numFmtId="1" fontId="0" fillId="0" borderId="59" xfId="0" applyNumberFormat="1" applyBorder="1"/>
    <xf numFmtId="4" fontId="0" fillId="0" borderId="59" xfId="0" applyNumberFormat="1" applyBorder="1"/>
    <xf numFmtId="166" fontId="0" fillId="0" borderId="59" xfId="4" applyNumberFormat="1" applyFont="1" applyFill="1" applyBorder="1"/>
    <xf numFmtId="9" fontId="0" fillId="0" borderId="59" xfId="0" applyNumberFormat="1" applyBorder="1"/>
    <xf numFmtId="3" fontId="0" fillId="0" borderId="59" xfId="0" applyNumberFormat="1" applyBorder="1"/>
    <xf numFmtId="0" fontId="0" fillId="0" borderId="60" xfId="0" applyBorder="1"/>
    <xf numFmtId="9" fontId="0" fillId="0" borderId="12" xfId="0" applyNumberFormat="1" applyBorder="1"/>
    <xf numFmtId="15" fontId="0" fillId="0" borderId="0" xfId="0" applyNumberFormat="1"/>
    <xf numFmtId="172" fontId="17" fillId="8" borderId="11" xfId="6" applyNumberFormat="1" applyFont="1" applyFill="1" applyBorder="1" applyAlignment="1" applyProtection="1">
      <alignment horizontal="right" vertical="center"/>
      <protection hidden="1"/>
    </xf>
    <xf numFmtId="172" fontId="17" fillId="8" borderId="17" xfId="6" applyNumberFormat="1" applyFont="1" applyFill="1" applyBorder="1" applyAlignment="1" applyProtection="1">
      <alignment horizontal="right" vertical="center"/>
      <protection hidden="1"/>
    </xf>
    <xf numFmtId="3" fontId="0" fillId="0" borderId="12" xfId="0" applyNumberFormat="1" applyBorder="1" applyAlignment="1" applyProtection="1">
      <alignment horizontal="center" vertical="center"/>
      <protection hidden="1"/>
    </xf>
    <xf numFmtId="3" fontId="0" fillId="0" borderId="12" xfId="0" applyNumberFormat="1" applyBorder="1" applyAlignment="1" applyProtection="1">
      <alignment horizontal="center" vertical="center" wrapText="1"/>
      <protection hidden="1"/>
    </xf>
    <xf numFmtId="9" fontId="0" fillId="0" borderId="12" xfId="2" applyFont="1" applyBorder="1" applyAlignment="1" applyProtection="1">
      <alignment horizontal="center" vertical="center"/>
      <protection hidden="1"/>
    </xf>
    <xf numFmtId="0" fontId="1" fillId="0" borderId="0" xfId="22" applyAlignment="1" applyProtection="1">
      <alignment horizontal="center"/>
      <protection locked="0"/>
    </xf>
    <xf numFmtId="0" fontId="1" fillId="0" borderId="0" xfId="22" applyProtection="1">
      <protection locked="0"/>
    </xf>
    <xf numFmtId="0" fontId="1" fillId="0" borderId="12" xfId="22" applyBorder="1" applyAlignment="1" applyProtection="1">
      <alignment horizontal="center"/>
      <protection locked="0"/>
    </xf>
    <xf numFmtId="0" fontId="1" fillId="0" borderId="20" xfId="22" applyBorder="1" applyAlignment="1" applyProtection="1">
      <alignment horizontal="center"/>
      <protection locked="0"/>
    </xf>
    <xf numFmtId="0" fontId="47" fillId="24" borderId="61" xfId="22" applyFont="1" applyFill="1" applyBorder="1" applyAlignment="1" applyProtection="1">
      <alignment horizontal="center" vertical="center" wrapText="1"/>
      <protection locked="0"/>
    </xf>
    <xf numFmtId="0" fontId="4" fillId="0" borderId="0" xfId="22" applyFont="1" applyAlignment="1" applyProtection="1">
      <alignment horizontal="center"/>
      <protection locked="0"/>
    </xf>
    <xf numFmtId="0" fontId="4" fillId="0" borderId="65" xfId="22" applyFont="1" applyBorder="1" applyProtection="1">
      <protection locked="0"/>
    </xf>
    <xf numFmtId="0" fontId="4" fillId="0" borderId="32" xfId="22" applyFont="1" applyBorder="1" applyAlignment="1" applyProtection="1">
      <alignment horizontal="center"/>
      <protection locked="0"/>
    </xf>
    <xf numFmtId="0" fontId="4" fillId="0" borderId="33" xfId="22" applyFont="1" applyBorder="1" applyAlignment="1" applyProtection="1">
      <alignment horizontal="center"/>
      <protection locked="0"/>
    </xf>
    <xf numFmtId="0" fontId="24" fillId="26" borderId="66" xfId="22" applyFont="1" applyFill="1" applyBorder="1" applyAlignment="1" applyProtection="1">
      <alignment horizontal="center" vertical="center" wrapText="1"/>
      <protection locked="0"/>
    </xf>
    <xf numFmtId="0" fontId="25" fillId="26" borderId="66" xfId="22" applyFont="1" applyFill="1" applyBorder="1" applyAlignment="1" applyProtection="1">
      <alignment vertical="center" wrapText="1"/>
      <protection locked="0"/>
    </xf>
    <xf numFmtId="0" fontId="47" fillId="24" borderId="79" xfId="22" applyFont="1" applyFill="1" applyBorder="1" applyAlignment="1" applyProtection="1">
      <alignment horizontal="center" vertical="center" wrapText="1"/>
      <protection locked="0"/>
    </xf>
    <xf numFmtId="0" fontId="47" fillId="14" borderId="61" xfId="22" applyFont="1" applyFill="1" applyBorder="1" applyAlignment="1" applyProtection="1">
      <alignment horizontal="center" vertical="center" wrapText="1"/>
      <protection locked="0"/>
    </xf>
    <xf numFmtId="0" fontId="47" fillId="27" borderId="61" xfId="22" applyFont="1" applyFill="1" applyBorder="1" applyAlignment="1" applyProtection="1">
      <alignment horizontal="center" vertical="center" wrapText="1"/>
      <protection locked="0"/>
    </xf>
    <xf numFmtId="0" fontId="47" fillId="27" borderId="80" xfId="22" applyFont="1" applyFill="1" applyBorder="1" applyAlignment="1" applyProtection="1">
      <alignment horizontal="center" vertical="center" wrapText="1"/>
      <protection locked="0"/>
    </xf>
    <xf numFmtId="0" fontId="47" fillId="24" borderId="31" xfId="22" applyFont="1" applyFill="1" applyBorder="1" applyAlignment="1" applyProtection="1">
      <alignment horizontal="center" vertical="center" wrapText="1"/>
      <protection locked="0"/>
    </xf>
    <xf numFmtId="0" fontId="47" fillId="19" borderId="19" xfId="22" applyFont="1" applyFill="1" applyBorder="1" applyAlignment="1" applyProtection="1">
      <alignment horizontal="center" vertical="center" wrapText="1"/>
      <protection locked="0"/>
    </xf>
    <xf numFmtId="0" fontId="47" fillId="14" borderId="19" xfId="22" applyFont="1" applyFill="1" applyBorder="1" applyAlignment="1" applyProtection="1">
      <alignment horizontal="center" vertical="center" wrapText="1"/>
      <protection locked="0"/>
    </xf>
    <xf numFmtId="0" fontId="47" fillId="27" borderId="7" xfId="22" applyFont="1" applyFill="1" applyBorder="1" applyAlignment="1" applyProtection="1">
      <alignment horizontal="center" vertical="center" wrapText="1"/>
      <protection locked="0"/>
    </xf>
    <xf numFmtId="0" fontId="47" fillId="19" borderId="61" xfId="22" applyFont="1" applyFill="1" applyBorder="1" applyAlignment="1" applyProtection="1">
      <alignment horizontal="center" vertical="center" wrapText="1"/>
      <protection locked="0"/>
    </xf>
    <xf numFmtId="0" fontId="55" fillId="0" borderId="69" xfId="22" applyFont="1" applyBorder="1" applyAlignment="1" applyProtection="1">
      <alignment horizontal="left" vertical="center" wrapText="1"/>
      <protection locked="0"/>
    </xf>
    <xf numFmtId="0" fontId="56" fillId="0" borderId="81" xfId="22" applyFont="1" applyBorder="1" applyAlignment="1" applyProtection="1">
      <alignment horizontal="center" vertical="center" wrapText="1"/>
      <protection locked="0"/>
    </xf>
    <xf numFmtId="0" fontId="56" fillId="0" borderId="67" xfId="22" applyFont="1" applyBorder="1" applyAlignment="1" applyProtection="1">
      <alignment horizontal="center" vertical="center" wrapText="1"/>
      <protection locked="0"/>
    </xf>
    <xf numFmtId="0" fontId="56" fillId="0" borderId="82" xfId="22" applyFont="1" applyBorder="1" applyAlignment="1" applyProtection="1">
      <alignment horizontal="center" vertical="center" wrapText="1"/>
      <protection locked="0"/>
    </xf>
    <xf numFmtId="0" fontId="56" fillId="0" borderId="94" xfId="22" applyFont="1" applyBorder="1" applyAlignment="1" applyProtection="1">
      <alignment horizontal="center" vertical="center" wrapText="1"/>
      <protection locked="0"/>
    </xf>
    <xf numFmtId="0" fontId="56" fillId="0" borderId="70" xfId="22" applyFont="1" applyBorder="1" applyAlignment="1" applyProtection="1">
      <alignment horizontal="center" vertical="center" wrapText="1"/>
      <protection locked="0"/>
    </xf>
    <xf numFmtId="0" fontId="57" fillId="0" borderId="71" xfId="22" applyFont="1" applyBorder="1" applyAlignment="1" applyProtection="1">
      <alignment vertical="center" wrapText="1"/>
      <protection locked="0"/>
    </xf>
    <xf numFmtId="0" fontId="44" fillId="11" borderId="81" xfId="22" applyFont="1" applyFill="1" applyBorder="1" applyAlignment="1" applyProtection="1">
      <alignment vertical="center" wrapText="1"/>
      <protection locked="0"/>
    </xf>
    <xf numFmtId="0" fontId="44" fillId="11" borderId="67" xfId="22" applyFont="1" applyFill="1" applyBorder="1" applyAlignment="1" applyProtection="1">
      <alignment vertical="center" wrapText="1"/>
      <protection locked="0"/>
    </xf>
    <xf numFmtId="0" fontId="44" fillId="11" borderId="82" xfId="22" applyFont="1" applyFill="1" applyBorder="1" applyAlignment="1" applyProtection="1">
      <alignment vertical="center" wrapText="1"/>
      <protection locked="0"/>
    </xf>
    <xf numFmtId="3" fontId="44" fillId="11" borderId="67" xfId="22" applyNumberFormat="1" applyFont="1" applyFill="1" applyBorder="1" applyAlignment="1" applyProtection="1">
      <alignment vertical="center" wrapText="1"/>
      <protection locked="0"/>
    </xf>
    <xf numFmtId="0" fontId="44" fillId="11" borderId="94" xfId="22" applyFont="1" applyFill="1" applyBorder="1" applyAlignment="1" applyProtection="1">
      <alignment horizontal="center" vertical="center" wrapText="1"/>
      <protection locked="0"/>
    </xf>
    <xf numFmtId="0" fontId="58" fillId="0" borderId="81" xfId="22" applyFont="1" applyBorder="1" applyAlignment="1" applyProtection="1">
      <alignment vertical="center" wrapText="1"/>
      <protection locked="0"/>
    </xf>
    <xf numFmtId="3" fontId="58" fillId="0" borderId="67" xfId="22" applyNumberFormat="1" applyFont="1" applyBorder="1" applyAlignment="1" applyProtection="1">
      <alignment vertical="center" wrapText="1"/>
      <protection locked="0"/>
    </xf>
    <xf numFmtId="3" fontId="58" fillId="0" borderId="82" xfId="22" applyNumberFormat="1" applyFont="1" applyBorder="1" applyAlignment="1" applyProtection="1">
      <alignment vertical="center" wrapText="1"/>
      <protection locked="0"/>
    </xf>
    <xf numFmtId="0" fontId="58" fillId="0" borderId="70" xfId="22" applyFont="1" applyBorder="1" applyAlignment="1" applyProtection="1">
      <alignment vertical="center" wrapText="1"/>
      <protection locked="0"/>
    </xf>
    <xf numFmtId="0" fontId="57" fillId="0" borderId="69" xfId="22" applyFont="1" applyBorder="1" applyAlignment="1" applyProtection="1">
      <alignment vertical="center" wrapText="1"/>
      <protection locked="0"/>
    </xf>
    <xf numFmtId="0" fontId="44" fillId="11" borderId="81" xfId="22" applyFont="1" applyFill="1" applyBorder="1" applyAlignment="1" applyProtection="1">
      <alignment horizontal="center" vertical="center" wrapText="1"/>
      <protection locked="0"/>
    </xf>
    <xf numFmtId="0" fontId="44" fillId="11" borderId="67" xfId="22" applyFont="1" applyFill="1" applyBorder="1" applyAlignment="1" applyProtection="1">
      <alignment horizontal="center" vertical="center" wrapText="1"/>
      <protection locked="0"/>
    </xf>
    <xf numFmtId="0" fontId="44" fillId="11" borderId="82" xfId="22" applyFont="1" applyFill="1" applyBorder="1" applyAlignment="1" applyProtection="1">
      <alignment horizontal="center" vertical="center" wrapText="1"/>
      <protection locked="0"/>
    </xf>
    <xf numFmtId="0" fontId="58" fillId="0" borderId="81" xfId="22" applyFont="1" applyBorder="1" applyAlignment="1" applyProtection="1">
      <alignment horizontal="center" vertical="center" wrapText="1"/>
      <protection locked="0"/>
    </xf>
    <xf numFmtId="0" fontId="58" fillId="0" borderId="67" xfId="22" applyFont="1" applyBorder="1" applyAlignment="1" applyProtection="1">
      <alignment horizontal="center" vertical="center" wrapText="1"/>
      <protection locked="0"/>
    </xf>
    <xf numFmtId="0" fontId="58" fillId="0" borderId="82" xfId="22" applyFont="1" applyBorder="1" applyAlignment="1" applyProtection="1">
      <alignment horizontal="center" vertical="center" wrapText="1"/>
      <protection locked="0"/>
    </xf>
    <xf numFmtId="0" fontId="58" fillId="0" borderId="70" xfId="22" applyFont="1" applyBorder="1" applyAlignment="1" applyProtection="1">
      <alignment horizontal="center" vertical="center" wrapText="1"/>
      <protection locked="0"/>
    </xf>
    <xf numFmtId="0" fontId="58" fillId="0" borderId="69" xfId="22" applyFont="1" applyBorder="1" applyAlignment="1" applyProtection="1">
      <alignment horizontal="center" vertical="center" wrapText="1"/>
      <protection locked="0"/>
    </xf>
    <xf numFmtId="0" fontId="59" fillId="0" borderId="69" xfId="22" applyFont="1" applyBorder="1" applyAlignment="1" applyProtection="1">
      <alignment vertical="center" wrapText="1"/>
      <protection locked="0"/>
    </xf>
    <xf numFmtId="0" fontId="58" fillId="0" borderId="94" xfId="22" applyFont="1" applyBorder="1" applyAlignment="1" applyProtection="1">
      <alignment horizontal="center" vertical="center" wrapText="1"/>
      <protection locked="0"/>
    </xf>
    <xf numFmtId="0" fontId="57" fillId="0" borderId="69" xfId="22" applyFont="1" applyBorder="1" applyAlignment="1" applyProtection="1">
      <alignment horizontal="left" vertical="center" wrapText="1"/>
      <protection locked="0"/>
    </xf>
    <xf numFmtId="0" fontId="60" fillId="0" borderId="81" xfId="22" applyFont="1" applyBorder="1" applyAlignment="1" applyProtection="1">
      <alignment horizontal="center" vertical="center" wrapText="1"/>
      <protection locked="0"/>
    </xf>
    <xf numFmtId="0" fontId="60" fillId="0" borderId="67" xfId="22" applyFont="1" applyBorder="1" applyAlignment="1" applyProtection="1">
      <alignment horizontal="center" vertical="center" wrapText="1"/>
      <protection locked="0"/>
    </xf>
    <xf numFmtId="0" fontId="60" fillId="0" borderId="82" xfId="22" applyFont="1" applyBorder="1" applyAlignment="1" applyProtection="1">
      <alignment horizontal="center" vertical="center" wrapText="1"/>
      <protection locked="0"/>
    </xf>
    <xf numFmtId="0" fontId="60" fillId="0" borderId="94" xfId="22" applyFont="1" applyBorder="1" applyAlignment="1" applyProtection="1">
      <alignment horizontal="center" vertical="center" wrapText="1"/>
      <protection locked="0"/>
    </xf>
    <xf numFmtId="0" fontId="60" fillId="0" borderId="70" xfId="22" applyFont="1" applyBorder="1" applyAlignment="1" applyProtection="1">
      <alignment horizontal="center" vertical="center" wrapText="1"/>
      <protection locked="0"/>
    </xf>
    <xf numFmtId="0" fontId="61" fillId="0" borderId="69" xfId="22" applyFont="1" applyBorder="1" applyAlignment="1" applyProtection="1">
      <alignment vertical="center" wrapText="1"/>
      <protection locked="0"/>
    </xf>
    <xf numFmtId="0" fontId="62" fillId="26" borderId="66" xfId="22" applyFont="1" applyFill="1" applyBorder="1" applyAlignment="1" applyProtection="1">
      <alignment vertical="center" wrapText="1"/>
      <protection locked="0"/>
    </xf>
    <xf numFmtId="0" fontId="58" fillId="25" borderId="81" xfId="22" applyFont="1" applyFill="1" applyBorder="1" applyAlignment="1" applyProtection="1">
      <alignment horizontal="center" vertical="center" wrapText="1"/>
      <protection locked="0"/>
    </xf>
    <xf numFmtId="0" fontId="58" fillId="25" borderId="67" xfId="22" applyFont="1" applyFill="1" applyBorder="1" applyAlignment="1" applyProtection="1">
      <alignment horizontal="center" vertical="center" wrapText="1"/>
      <protection locked="0"/>
    </xf>
    <xf numFmtId="0" fontId="58" fillId="25" borderId="82" xfId="22" applyFont="1" applyFill="1" applyBorder="1" applyAlignment="1" applyProtection="1">
      <alignment horizontal="center" vertical="center" wrapText="1"/>
      <protection locked="0"/>
    </xf>
    <xf numFmtId="0" fontId="58" fillId="25" borderId="94" xfId="22" applyFont="1" applyFill="1" applyBorder="1" applyAlignment="1" applyProtection="1">
      <alignment horizontal="center" vertical="center" wrapText="1"/>
      <protection locked="0"/>
    </xf>
    <xf numFmtId="0" fontId="58" fillId="25" borderId="70" xfId="22" applyFont="1" applyFill="1" applyBorder="1" applyAlignment="1" applyProtection="1">
      <alignment horizontal="center" vertical="center" wrapText="1"/>
      <protection locked="0"/>
    </xf>
    <xf numFmtId="0" fontId="63" fillId="0" borderId="69" xfId="22" applyFont="1" applyBorder="1" applyAlignment="1" applyProtection="1">
      <alignment vertical="center" wrapText="1"/>
      <protection locked="0"/>
    </xf>
    <xf numFmtId="0" fontId="60" fillId="0" borderId="69" xfId="22" applyFont="1" applyBorder="1" applyAlignment="1" applyProtection="1">
      <alignment vertical="center" wrapText="1"/>
      <protection locked="0"/>
    </xf>
    <xf numFmtId="0" fontId="60" fillId="0" borderId="69" xfId="22" applyFont="1" applyBorder="1" applyAlignment="1" applyProtection="1">
      <alignment horizontal="center" vertical="center" wrapText="1"/>
      <protection locked="0"/>
    </xf>
    <xf numFmtId="0" fontId="58" fillId="11" borderId="81" xfId="22" applyFont="1" applyFill="1" applyBorder="1" applyAlignment="1" applyProtection="1">
      <alignment horizontal="center" vertical="center" wrapText="1"/>
      <protection locked="0"/>
    </xf>
    <xf numFmtId="0" fontId="58" fillId="11" borderId="70" xfId="22" applyFont="1" applyFill="1" applyBorder="1" applyAlignment="1" applyProtection="1">
      <alignment horizontal="center" vertical="center" wrapText="1"/>
      <protection locked="0"/>
    </xf>
    <xf numFmtId="0" fontId="58" fillId="11" borderId="83" xfId="22" applyFont="1" applyFill="1" applyBorder="1" applyAlignment="1" applyProtection="1">
      <alignment horizontal="center" vertical="center" wrapText="1"/>
      <protection locked="0"/>
    </xf>
    <xf numFmtId="0" fontId="64" fillId="0" borderId="69" xfId="22" applyFont="1" applyBorder="1" applyAlignment="1" applyProtection="1">
      <alignment vertical="center" wrapText="1"/>
      <protection locked="0"/>
    </xf>
    <xf numFmtId="0" fontId="58" fillId="11" borderId="67" xfId="22" applyFont="1" applyFill="1" applyBorder="1" applyAlignment="1" applyProtection="1">
      <alignment horizontal="center" vertical="center" wrapText="1"/>
      <protection locked="0"/>
    </xf>
    <xf numFmtId="0" fontId="58" fillId="11" borderId="82" xfId="22" applyFont="1" applyFill="1" applyBorder="1" applyAlignment="1" applyProtection="1">
      <alignment horizontal="center" vertical="center" wrapText="1"/>
      <protection locked="0"/>
    </xf>
    <xf numFmtId="0" fontId="62" fillId="0" borderId="69" xfId="22" applyFont="1" applyBorder="1" applyAlignment="1" applyProtection="1">
      <alignment vertical="center" wrapText="1"/>
      <protection locked="0"/>
    </xf>
    <xf numFmtId="0" fontId="58" fillId="0" borderId="67" xfId="22" applyFont="1" applyBorder="1" applyAlignment="1" applyProtection="1">
      <alignment vertical="center" wrapText="1"/>
      <protection locked="0"/>
    </xf>
    <xf numFmtId="0" fontId="58" fillId="0" borderId="82" xfId="22" applyFont="1" applyBorder="1" applyAlignment="1" applyProtection="1">
      <alignment vertical="center" wrapText="1"/>
      <protection locked="0"/>
    </xf>
    <xf numFmtId="0" fontId="58" fillId="0" borderId="94" xfId="22" applyFont="1" applyBorder="1" applyAlignment="1" applyProtection="1">
      <alignment vertical="center" wrapText="1"/>
      <protection locked="0"/>
    </xf>
    <xf numFmtId="0" fontId="58" fillId="0" borderId="69" xfId="22" applyFont="1" applyBorder="1" applyAlignment="1" applyProtection="1">
      <alignment vertical="center" wrapText="1"/>
      <protection locked="0"/>
    </xf>
    <xf numFmtId="0" fontId="62" fillId="0" borderId="71" xfId="22" applyFont="1" applyBorder="1" applyAlignment="1" applyProtection="1">
      <alignment vertical="center" wrapText="1"/>
      <protection locked="0"/>
    </xf>
    <xf numFmtId="0" fontId="59" fillId="11" borderId="81" xfId="22" applyFont="1" applyFill="1" applyBorder="1" applyAlignment="1" applyProtection="1">
      <alignment horizontal="center" vertical="center" wrapText="1"/>
      <protection locked="0"/>
    </xf>
    <xf numFmtId="0" fontId="59" fillId="11" borderId="94" xfId="22" applyFont="1" applyFill="1" applyBorder="1" applyAlignment="1" applyProtection="1">
      <alignment horizontal="center" vertical="center" wrapText="1"/>
      <protection locked="0"/>
    </xf>
    <xf numFmtId="0" fontId="57" fillId="0" borderId="81" xfId="22" applyFont="1" applyBorder="1" applyAlignment="1" applyProtection="1">
      <alignment horizontal="center" vertical="center" wrapText="1"/>
      <protection locked="0"/>
    </xf>
    <xf numFmtId="0" fontId="57" fillId="0" borderId="70" xfId="22" applyFont="1" applyBorder="1" applyAlignment="1" applyProtection="1">
      <alignment horizontal="center" vertical="center" wrapText="1"/>
      <protection locked="0"/>
    </xf>
    <xf numFmtId="0" fontId="58" fillId="0" borderId="84" xfId="22" applyFont="1" applyBorder="1" applyAlignment="1" applyProtection="1">
      <alignment horizontal="center" vertical="center" wrapText="1"/>
      <protection locked="0"/>
    </xf>
    <xf numFmtId="0" fontId="58" fillId="0" borderId="68" xfId="22" applyFont="1" applyBorder="1" applyAlignment="1" applyProtection="1">
      <alignment horizontal="center" vertical="center" wrapText="1"/>
      <protection locked="0"/>
    </xf>
    <xf numFmtId="0" fontId="58" fillId="0" borderId="85" xfId="22" applyFont="1" applyBorder="1" applyAlignment="1" applyProtection="1">
      <alignment horizontal="center" vertical="center" wrapText="1"/>
      <protection locked="0"/>
    </xf>
    <xf numFmtId="0" fontId="58" fillId="0" borderId="76" xfId="22" applyFont="1" applyBorder="1" applyAlignment="1" applyProtection="1">
      <alignment horizontal="center" vertical="center" wrapText="1"/>
      <protection locked="0"/>
    </xf>
    <xf numFmtId="0" fontId="58" fillId="0" borderId="73" xfId="22" applyFont="1" applyBorder="1" applyAlignment="1" applyProtection="1">
      <alignment horizontal="center" vertical="center" wrapText="1"/>
      <protection locked="0"/>
    </xf>
    <xf numFmtId="0" fontId="58" fillId="0" borderId="71" xfId="22" applyFont="1" applyBorder="1" applyAlignment="1" applyProtection="1">
      <alignment horizontal="center" vertical="center" wrapText="1"/>
      <protection locked="0"/>
    </xf>
    <xf numFmtId="0" fontId="58" fillId="0" borderId="84" xfId="22" applyFont="1" applyBorder="1" applyAlignment="1" applyProtection="1">
      <alignment vertical="center" wrapText="1"/>
      <protection locked="0"/>
    </xf>
    <xf numFmtId="0" fontId="58" fillId="0" borderId="68" xfId="22" applyFont="1" applyBorder="1" applyAlignment="1" applyProtection="1">
      <alignment vertical="center" wrapText="1"/>
      <protection locked="0"/>
    </xf>
    <xf numFmtId="0" fontId="58" fillId="0" borderId="85" xfId="22" applyFont="1" applyBorder="1" applyAlignment="1" applyProtection="1">
      <alignment vertical="center" wrapText="1"/>
      <protection locked="0"/>
    </xf>
    <xf numFmtId="0" fontId="58" fillId="0" borderId="73" xfId="22" applyFont="1" applyBorder="1" applyAlignment="1" applyProtection="1">
      <alignment vertical="center" wrapText="1"/>
      <protection locked="0"/>
    </xf>
    <xf numFmtId="0" fontId="58" fillId="0" borderId="71" xfId="22" applyFont="1" applyBorder="1" applyAlignment="1" applyProtection="1">
      <alignment vertical="center" wrapText="1"/>
      <protection locked="0"/>
    </xf>
    <xf numFmtId="0" fontId="44" fillId="0" borderId="81" xfId="22" applyFont="1" applyBorder="1" applyAlignment="1" applyProtection="1">
      <alignment horizontal="center" vertical="center" wrapText="1"/>
      <protection locked="0"/>
    </xf>
    <xf numFmtId="0" fontId="44" fillId="0" borderId="67" xfId="22" applyFont="1" applyBorder="1" applyAlignment="1" applyProtection="1">
      <alignment horizontal="center" vertical="center" wrapText="1"/>
      <protection locked="0"/>
    </xf>
    <xf numFmtId="0" fontId="44" fillId="0" borderId="82" xfId="22" applyFont="1" applyBorder="1" applyAlignment="1" applyProtection="1">
      <alignment horizontal="center" vertical="center" wrapText="1"/>
      <protection locked="0"/>
    </xf>
    <xf numFmtId="0" fontId="44" fillId="0" borderId="70" xfId="22" applyFont="1" applyBorder="1" applyAlignment="1" applyProtection="1">
      <alignment horizontal="center" vertical="center" wrapText="1"/>
      <protection locked="0"/>
    </xf>
    <xf numFmtId="0" fontId="1" fillId="0" borderId="32" xfId="22" applyBorder="1" applyProtection="1">
      <protection locked="0"/>
    </xf>
    <xf numFmtId="0" fontId="1" fillId="0" borderId="33" xfId="22" applyBorder="1" applyProtection="1">
      <protection locked="0"/>
    </xf>
    <xf numFmtId="0" fontId="47" fillId="24" borderId="80" xfId="22" applyFont="1" applyFill="1" applyBorder="1" applyAlignment="1" applyProtection="1">
      <alignment horizontal="center" vertical="center" wrapText="1"/>
      <protection locked="0"/>
    </xf>
    <xf numFmtId="0" fontId="58" fillId="0" borderId="83" xfId="22" applyFont="1" applyBorder="1" applyAlignment="1" applyProtection="1">
      <alignment horizontal="center" vertical="center" wrapText="1"/>
      <protection locked="0"/>
    </xf>
    <xf numFmtId="0" fontId="63" fillId="0" borderId="70" xfId="22" applyFont="1" applyBorder="1" applyAlignment="1" applyProtection="1">
      <alignment horizontal="center" vertical="center" wrapText="1"/>
      <protection locked="0"/>
    </xf>
    <xf numFmtId="0" fontId="63" fillId="0" borderId="67" xfId="22" applyFont="1" applyBorder="1" applyAlignment="1" applyProtection="1">
      <alignment horizontal="center" vertical="center" wrapText="1"/>
      <protection locked="0"/>
    </xf>
    <xf numFmtId="0" fontId="65" fillId="0" borderId="71" xfId="22" applyFont="1" applyBorder="1" applyAlignment="1" applyProtection="1">
      <alignment vertical="center" wrapText="1"/>
      <protection locked="0"/>
    </xf>
    <xf numFmtId="0" fontId="58" fillId="11" borderId="84" xfId="22" applyFont="1" applyFill="1" applyBorder="1" applyAlignment="1" applyProtection="1">
      <alignment vertical="center" wrapText="1"/>
      <protection locked="0"/>
    </xf>
    <xf numFmtId="0" fontId="58" fillId="11" borderId="68" xfId="22" applyFont="1" applyFill="1" applyBorder="1" applyAlignment="1" applyProtection="1">
      <alignment vertical="center" wrapText="1"/>
      <protection locked="0"/>
    </xf>
    <xf numFmtId="0" fontId="58" fillId="11" borderId="85" xfId="22" applyFont="1" applyFill="1" applyBorder="1" applyAlignment="1" applyProtection="1">
      <alignment vertical="center" wrapText="1"/>
      <protection locked="0"/>
    </xf>
    <xf numFmtId="0" fontId="58" fillId="11" borderId="76" xfId="22" applyFont="1" applyFill="1" applyBorder="1" applyAlignment="1" applyProtection="1">
      <alignment horizontal="center" vertical="center" wrapText="1"/>
      <protection locked="0"/>
    </xf>
    <xf numFmtId="0" fontId="66" fillId="0" borderId="84" xfId="22" applyFont="1" applyBorder="1" applyAlignment="1" applyProtection="1">
      <alignment vertical="center" wrapText="1"/>
      <protection locked="0"/>
    </xf>
    <xf numFmtId="0" fontId="66" fillId="0" borderId="73" xfId="22" applyFont="1" applyBorder="1" applyAlignment="1" applyProtection="1">
      <alignment vertical="center" wrapText="1"/>
      <protection locked="0"/>
    </xf>
    <xf numFmtId="0" fontId="66" fillId="0" borderId="95" xfId="22" applyFont="1" applyBorder="1" applyAlignment="1" applyProtection="1">
      <alignment vertical="center" wrapText="1"/>
      <protection locked="0"/>
    </xf>
    <xf numFmtId="0" fontId="44" fillId="0" borderId="0" xfId="22" applyFont="1" applyAlignment="1" applyProtection="1">
      <alignment vertical="center" wrapText="1"/>
      <protection locked="0"/>
    </xf>
    <xf numFmtId="0" fontId="44" fillId="0" borderId="26" xfId="22" applyFont="1" applyBorder="1" applyAlignment="1" applyProtection="1">
      <alignment horizontal="center" vertical="center" wrapText="1"/>
      <protection locked="0"/>
    </xf>
    <xf numFmtId="0" fontId="44" fillId="0" borderId="12" xfId="22" applyFont="1" applyBorder="1" applyAlignment="1" applyProtection="1">
      <alignment horizontal="center" vertical="center" wrapText="1"/>
      <protection locked="0"/>
    </xf>
    <xf numFmtId="0" fontId="44" fillId="0" borderId="20" xfId="22" applyFont="1" applyBorder="1" applyAlignment="1" applyProtection="1">
      <alignment horizontal="center" vertical="center" wrapText="1"/>
      <protection locked="0"/>
    </xf>
    <xf numFmtId="0" fontId="44" fillId="0" borderId="0" xfId="22" applyFont="1" applyAlignment="1" applyProtection="1">
      <alignment horizontal="center" vertical="center" wrapText="1"/>
      <protection locked="0"/>
    </xf>
    <xf numFmtId="0" fontId="44" fillId="0" borderId="32" xfId="22" applyFont="1" applyBorder="1" applyAlignment="1" applyProtection="1">
      <alignment horizontal="center" vertical="center" wrapText="1"/>
      <protection locked="0"/>
    </xf>
    <xf numFmtId="0" fontId="44" fillId="0" borderId="33" xfId="22" applyFont="1" applyBorder="1" applyAlignment="1" applyProtection="1">
      <alignment horizontal="center" vertical="center" wrapText="1"/>
      <protection locked="0"/>
    </xf>
    <xf numFmtId="0" fontId="44" fillId="11" borderId="26" xfId="22" applyFont="1" applyFill="1" applyBorder="1" applyAlignment="1" applyProtection="1">
      <alignment horizontal="center" vertical="center" wrapText="1"/>
      <protection locked="0"/>
    </xf>
    <xf numFmtId="0" fontId="44" fillId="11" borderId="12" xfId="22" applyFont="1" applyFill="1" applyBorder="1" applyAlignment="1" applyProtection="1">
      <alignment horizontal="center" vertical="center" wrapText="1"/>
      <protection locked="0"/>
    </xf>
    <xf numFmtId="0" fontId="44" fillId="11" borderId="20" xfId="22" applyFont="1" applyFill="1" applyBorder="1" applyAlignment="1" applyProtection="1">
      <alignment horizontal="center" vertical="center" wrapText="1"/>
      <protection locked="0"/>
    </xf>
    <xf numFmtId="0" fontId="44" fillId="11" borderId="32" xfId="22" applyFont="1" applyFill="1" applyBorder="1" applyAlignment="1" applyProtection="1">
      <alignment horizontal="center" vertical="center" wrapText="1"/>
      <protection locked="0"/>
    </xf>
    <xf numFmtId="0" fontId="44" fillId="11" borderId="0" xfId="22" applyFont="1" applyFill="1" applyAlignment="1" applyProtection="1">
      <alignment horizontal="center" vertical="center" wrapText="1"/>
      <protection locked="0"/>
    </xf>
    <xf numFmtId="0" fontId="44" fillId="11" borderId="33" xfId="22" applyFont="1" applyFill="1" applyBorder="1" applyAlignment="1" applyProtection="1">
      <alignment horizontal="center" vertical="center" wrapText="1"/>
      <protection locked="0"/>
    </xf>
    <xf numFmtId="0" fontId="3" fillId="0" borderId="0" xfId="22" applyFont="1" applyAlignment="1" applyProtection="1">
      <alignment horizontal="left" vertical="center" wrapText="1"/>
      <protection locked="0"/>
    </xf>
    <xf numFmtId="0" fontId="44" fillId="0" borderId="0" xfId="22" applyFont="1" applyAlignment="1" applyProtection="1">
      <alignment horizontal="left" vertical="center" wrapText="1"/>
      <protection locked="0"/>
    </xf>
    <xf numFmtId="0" fontId="67" fillId="0" borderId="0" xfId="25" applyFont="1" applyAlignment="1" applyProtection="1">
      <alignment horizontal="left" vertical="center" wrapText="1"/>
      <protection locked="0"/>
    </xf>
    <xf numFmtId="0" fontId="67" fillId="0" borderId="32" xfId="25" applyFont="1" applyBorder="1" applyAlignment="1" applyProtection="1">
      <alignment horizontal="center" vertical="center" wrapText="1"/>
      <protection locked="0"/>
    </xf>
    <xf numFmtId="0" fontId="67" fillId="0" borderId="0" xfId="25" applyFont="1" applyAlignment="1" applyProtection="1">
      <alignment horizontal="center" vertical="center" wrapText="1"/>
      <protection locked="0"/>
    </xf>
    <xf numFmtId="0" fontId="67" fillId="0" borderId="33" xfId="25" applyFont="1" applyBorder="1" applyAlignment="1" applyProtection="1">
      <alignment horizontal="center" vertical="center" wrapText="1"/>
      <protection locked="0"/>
    </xf>
    <xf numFmtId="0" fontId="58" fillId="0" borderId="88" xfId="22" applyFont="1" applyBorder="1" applyAlignment="1" applyProtection="1">
      <alignment horizontal="center" vertical="center" wrapText="1"/>
      <protection locked="0"/>
    </xf>
    <xf numFmtId="0" fontId="58" fillId="0" borderId="75" xfId="22" applyFont="1" applyBorder="1" applyAlignment="1" applyProtection="1">
      <alignment horizontal="center" vertical="center" wrapText="1"/>
      <protection locked="0"/>
    </xf>
    <xf numFmtId="0" fontId="58" fillId="0" borderId="89" xfId="22" applyFont="1" applyBorder="1" applyAlignment="1" applyProtection="1">
      <alignment horizontal="center" vertical="center" wrapText="1"/>
      <protection locked="0"/>
    </xf>
    <xf numFmtId="0" fontId="58" fillId="0" borderId="88" xfId="22" applyFont="1" applyBorder="1" applyAlignment="1" applyProtection="1">
      <alignment horizontal="left" vertical="center" wrapText="1"/>
      <protection locked="0"/>
    </xf>
    <xf numFmtId="0" fontId="58" fillId="0" borderId="75" xfId="22" applyFont="1" applyBorder="1" applyAlignment="1" applyProtection="1">
      <alignment horizontal="left" vertical="center" wrapText="1"/>
      <protection locked="0"/>
    </xf>
    <xf numFmtId="0" fontId="58" fillId="0" borderId="89" xfId="22" applyFont="1" applyBorder="1" applyAlignment="1" applyProtection="1">
      <alignment horizontal="left" vertical="center" wrapText="1"/>
      <protection locked="0"/>
    </xf>
    <xf numFmtId="0" fontId="66" fillId="0" borderId="69" xfId="22" applyFont="1" applyBorder="1" applyAlignment="1" applyProtection="1">
      <alignment vertical="center" wrapText="1"/>
      <protection locked="0"/>
    </xf>
    <xf numFmtId="0" fontId="58" fillId="0" borderId="88" xfId="22" quotePrefix="1" applyFont="1" applyBorder="1" applyAlignment="1" applyProtection="1">
      <alignment horizontal="left" vertical="center" wrapText="1"/>
      <protection locked="0"/>
    </xf>
    <xf numFmtId="0" fontId="58" fillId="0" borderId="75" xfId="22" quotePrefix="1" applyFont="1" applyBorder="1" applyAlignment="1" applyProtection="1">
      <alignment horizontal="left" vertical="center" wrapText="1"/>
      <protection locked="0"/>
    </xf>
    <xf numFmtId="0" fontId="58" fillId="0" borderId="89" xfId="22" quotePrefix="1" applyFont="1" applyBorder="1" applyAlignment="1" applyProtection="1">
      <alignment horizontal="left" vertical="center" wrapText="1"/>
      <protection locked="0"/>
    </xf>
    <xf numFmtId="0" fontId="62" fillId="28" borderId="90" xfId="22" applyFont="1" applyFill="1" applyBorder="1" applyAlignment="1" applyProtection="1">
      <alignment vertical="center" wrapText="1"/>
      <protection locked="0"/>
    </xf>
    <xf numFmtId="0" fontId="62" fillId="28" borderId="71" xfId="22" applyFont="1" applyFill="1" applyBorder="1" applyAlignment="1" applyProtection="1">
      <alignment vertical="center" wrapText="1"/>
      <protection locked="0"/>
    </xf>
    <xf numFmtId="0" fontId="62" fillId="28" borderId="85" xfId="22" applyFont="1" applyFill="1" applyBorder="1" applyAlignment="1" applyProtection="1">
      <alignment vertical="center" wrapText="1"/>
      <protection locked="0"/>
    </xf>
    <xf numFmtId="0" fontId="62" fillId="28" borderId="76" xfId="22" applyFont="1" applyFill="1" applyBorder="1" applyAlignment="1" applyProtection="1">
      <alignment vertical="center" wrapText="1"/>
      <protection locked="0"/>
    </xf>
    <xf numFmtId="0" fontId="62" fillId="28" borderId="95" xfId="22" applyFont="1" applyFill="1" applyBorder="1" applyAlignment="1" applyProtection="1">
      <alignment vertical="center" wrapText="1"/>
      <protection locked="0"/>
    </xf>
    <xf numFmtId="0" fontId="58" fillId="0" borderId="86" xfId="22" applyFont="1" applyBorder="1" applyAlignment="1" applyProtection="1">
      <alignment horizontal="center" vertical="center" wrapText="1"/>
      <protection locked="0"/>
    </xf>
    <xf numFmtId="0" fontId="58" fillId="0" borderId="72" xfId="22" applyFont="1" applyBorder="1" applyAlignment="1" applyProtection="1">
      <alignment horizontal="center" vertical="center" wrapText="1"/>
      <protection locked="0"/>
    </xf>
    <xf numFmtId="0" fontId="58" fillId="0" borderId="87" xfId="22" applyFont="1" applyBorder="1" applyAlignment="1" applyProtection="1">
      <alignment horizontal="center" vertical="center" wrapText="1"/>
      <protection locked="0"/>
    </xf>
    <xf numFmtId="0" fontId="58" fillId="0" borderId="0" xfId="22" applyFont="1" applyAlignment="1" applyProtection="1">
      <alignment horizontal="center" vertical="center" wrapText="1"/>
      <protection locked="0"/>
    </xf>
    <xf numFmtId="0" fontId="58" fillId="0" borderId="74" xfId="22" applyFont="1" applyBorder="1" applyAlignment="1" applyProtection="1">
      <alignment horizontal="center" vertical="center" wrapText="1"/>
      <protection locked="0"/>
    </xf>
    <xf numFmtId="9" fontId="58" fillId="0" borderId="32" xfId="22" applyNumberFormat="1" applyFont="1" applyBorder="1" applyAlignment="1" applyProtection="1">
      <alignment horizontal="center" vertical="center" wrapText="1"/>
      <protection locked="0"/>
    </xf>
    <xf numFmtId="9" fontId="58" fillId="0" borderId="0" xfId="22" applyNumberFormat="1" applyFont="1" applyAlignment="1" applyProtection="1">
      <alignment horizontal="center" vertical="center" wrapText="1"/>
      <protection locked="0"/>
    </xf>
    <xf numFmtId="9" fontId="58" fillId="0" borderId="33" xfId="22" applyNumberFormat="1" applyFont="1" applyBorder="1" applyAlignment="1" applyProtection="1">
      <alignment horizontal="center" vertical="center" wrapText="1"/>
      <protection locked="0"/>
    </xf>
    <xf numFmtId="0" fontId="58" fillId="0" borderId="33" xfId="22" applyFont="1" applyBorder="1" applyAlignment="1" applyProtection="1">
      <alignment horizontal="center" vertical="center" wrapText="1"/>
      <protection locked="0"/>
    </xf>
    <xf numFmtId="0" fontId="62" fillId="0" borderId="0" xfId="22" applyFont="1" applyAlignment="1" applyProtection="1">
      <alignment vertical="center" wrapText="1"/>
      <protection locked="0"/>
    </xf>
    <xf numFmtId="0" fontId="44" fillId="0" borderId="94" xfId="22" applyFont="1" applyBorder="1" applyAlignment="1" applyProtection="1">
      <alignment horizontal="center" vertical="center" wrapText="1"/>
      <protection locked="0"/>
    </xf>
    <xf numFmtId="0" fontId="61" fillId="0" borderId="71" xfId="22" applyFont="1" applyBorder="1" applyAlignment="1" applyProtection="1">
      <alignment vertical="center" wrapText="1"/>
      <protection locked="0"/>
    </xf>
    <xf numFmtId="0" fontId="61" fillId="0" borderId="78" xfId="22" applyFont="1" applyBorder="1" applyAlignment="1" applyProtection="1">
      <alignment vertical="center" wrapText="1"/>
      <protection locked="0"/>
    </xf>
    <xf numFmtId="0" fontId="44" fillId="11" borderId="91" xfId="22" applyFont="1" applyFill="1" applyBorder="1" applyAlignment="1" applyProtection="1">
      <alignment vertical="center" wrapText="1"/>
      <protection locked="0"/>
    </xf>
    <xf numFmtId="0" fontId="44" fillId="11" borderId="92" xfId="22" applyFont="1" applyFill="1" applyBorder="1" applyAlignment="1" applyProtection="1">
      <alignment vertical="center" wrapText="1"/>
      <protection locked="0"/>
    </xf>
    <xf numFmtId="0" fontId="44" fillId="11" borderId="93" xfId="22" applyFont="1" applyFill="1" applyBorder="1" applyAlignment="1" applyProtection="1">
      <alignment vertical="center" wrapText="1"/>
      <protection locked="0"/>
    </xf>
    <xf numFmtId="0" fontId="58" fillId="0" borderId="91" xfId="22" applyFont="1" applyBorder="1" applyAlignment="1" applyProtection="1">
      <alignment vertical="center" wrapText="1"/>
      <protection locked="0"/>
    </xf>
    <xf numFmtId="0" fontId="58" fillId="0" borderId="92" xfId="22" applyFont="1" applyBorder="1" applyAlignment="1" applyProtection="1">
      <alignment vertical="center" wrapText="1"/>
      <protection locked="0"/>
    </xf>
    <xf numFmtId="0" fontId="58" fillId="0" borderId="93" xfId="22" applyFont="1" applyBorder="1" applyAlignment="1" applyProtection="1">
      <alignment vertical="center" wrapText="1"/>
      <protection locked="0"/>
    </xf>
    <xf numFmtId="0" fontId="1" fillId="0" borderId="34" xfId="22" applyBorder="1" applyProtection="1">
      <protection locked="0"/>
    </xf>
    <xf numFmtId="0" fontId="1" fillId="0" borderId="8" xfId="22" applyBorder="1" applyProtection="1">
      <protection locked="0"/>
    </xf>
    <xf numFmtId="0" fontId="1" fillId="0" borderId="4" xfId="22" applyBorder="1" applyProtection="1">
      <protection locked="0"/>
    </xf>
    <xf numFmtId="15" fontId="4" fillId="0" borderId="0" xfId="0" applyNumberFormat="1" applyFont="1"/>
    <xf numFmtId="0" fontId="70" fillId="11" borderId="12" xfId="7" applyFont="1" applyFill="1" applyBorder="1" applyAlignment="1">
      <alignment horizontal="center" vertical="center"/>
    </xf>
    <xf numFmtId="0" fontId="0" fillId="0" borderId="0" xfId="0" applyAlignment="1" applyProtection="1">
      <alignment vertical="center"/>
      <protection hidden="1"/>
    </xf>
    <xf numFmtId="0" fontId="0" fillId="0" borderId="0" xfId="0" applyAlignment="1">
      <alignment horizontal="center" vertical="center"/>
    </xf>
    <xf numFmtId="0" fontId="0" fillId="0" borderId="12" xfId="0" applyBorder="1" applyAlignment="1" applyProtection="1">
      <alignment horizontal="center" vertical="center"/>
      <protection hidden="1"/>
    </xf>
    <xf numFmtId="0" fontId="0" fillId="0" borderId="0" xfId="0" applyAlignment="1">
      <alignment vertical="center"/>
    </xf>
    <xf numFmtId="0" fontId="71" fillId="0" borderId="0" xfId="0" applyFont="1" applyAlignment="1" applyProtection="1">
      <alignment horizontal="center" vertical="center"/>
      <protection hidden="1"/>
    </xf>
    <xf numFmtId="3" fontId="19" fillId="0" borderId="12" xfId="0" applyNumberFormat="1" applyFont="1" applyBorder="1" applyAlignment="1" applyProtection="1">
      <alignment horizontal="center" vertical="center" wrapText="1"/>
      <protection hidden="1"/>
    </xf>
    <xf numFmtId="0" fontId="71" fillId="0" borderId="36" xfId="0" applyFont="1" applyBorder="1" applyAlignment="1" applyProtection="1">
      <alignment horizontal="center" vertical="center"/>
      <protection hidden="1"/>
    </xf>
    <xf numFmtId="0" fontId="0" fillId="0" borderId="12" xfId="0" applyBorder="1" applyAlignment="1" applyProtection="1">
      <alignment horizontal="center" vertical="center" wrapText="1"/>
      <protection hidden="1"/>
    </xf>
    <xf numFmtId="0" fontId="1" fillId="0" borderId="9" xfId="22" applyBorder="1" applyAlignment="1" applyProtection="1">
      <alignment horizontal="center"/>
      <protection locked="0"/>
    </xf>
    <xf numFmtId="0" fontId="47" fillId="19" borderId="12" xfId="22" applyFont="1" applyFill="1" applyBorder="1" applyAlignment="1">
      <alignment horizontal="center" vertical="center" wrapText="1"/>
    </xf>
    <xf numFmtId="0" fontId="44" fillId="11" borderId="70" xfId="22" applyFont="1" applyFill="1" applyBorder="1" applyAlignment="1" applyProtection="1">
      <alignment vertical="center" wrapText="1"/>
      <protection locked="0"/>
    </xf>
    <xf numFmtId="0" fontId="44" fillId="11" borderId="70" xfId="22" applyFont="1" applyFill="1" applyBorder="1" applyAlignment="1" applyProtection="1">
      <alignment horizontal="center" vertical="center" wrapText="1"/>
      <protection locked="0"/>
    </xf>
    <xf numFmtId="0" fontId="59" fillId="11" borderId="70" xfId="22" applyFont="1" applyFill="1" applyBorder="1" applyAlignment="1" applyProtection="1">
      <alignment horizontal="center" vertical="center" wrapText="1"/>
      <protection locked="0"/>
    </xf>
    <xf numFmtId="0" fontId="58" fillId="11" borderId="73" xfId="22" applyFont="1" applyFill="1" applyBorder="1" applyAlignment="1" applyProtection="1">
      <alignment vertical="center" wrapText="1"/>
      <protection locked="0"/>
    </xf>
    <xf numFmtId="0" fontId="44" fillId="0" borderId="10" xfId="22" applyFont="1" applyBorder="1" applyAlignment="1" applyProtection="1">
      <alignment horizontal="center" vertical="center" wrapText="1"/>
      <protection locked="0"/>
    </xf>
    <xf numFmtId="0" fontId="44" fillId="11" borderId="10" xfId="22" applyFont="1" applyFill="1" applyBorder="1" applyAlignment="1" applyProtection="1">
      <alignment horizontal="center" vertical="center" wrapText="1"/>
      <protection locked="0"/>
    </xf>
    <xf numFmtId="0" fontId="0" fillId="0" borderId="0" xfId="22" applyFont="1" applyProtection="1">
      <protection locked="0"/>
    </xf>
    <xf numFmtId="0" fontId="42" fillId="5" borderId="12" xfId="0" applyFont="1" applyFill="1" applyBorder="1" applyAlignment="1" applyProtection="1">
      <alignment horizontal="left" vertical="center" wrapText="1"/>
      <protection hidden="1"/>
    </xf>
    <xf numFmtId="0" fontId="2" fillId="5" borderId="12" xfId="0" applyFont="1" applyFill="1" applyBorder="1" applyAlignment="1" applyProtection="1">
      <alignment vertical="center"/>
      <protection hidden="1"/>
    </xf>
    <xf numFmtId="0" fontId="0" fillId="0" borderId="0" xfId="0" applyAlignment="1" applyProtection="1">
      <alignment horizontal="left" vertical="center"/>
      <protection hidden="1"/>
    </xf>
    <xf numFmtId="0" fontId="35" fillId="0" borderId="0" xfId="0" applyFont="1" applyAlignment="1" applyProtection="1">
      <alignment vertical="center"/>
      <protection hidden="1"/>
    </xf>
    <xf numFmtId="166" fontId="1" fillId="10" borderId="12" xfId="1" applyNumberFormat="1" applyFont="1" applyFill="1" applyBorder="1" applyAlignment="1" applyProtection="1">
      <alignment vertical="center"/>
      <protection locked="0"/>
    </xf>
    <xf numFmtId="166" fontId="3" fillId="6" borderId="12" xfId="0" applyNumberFormat="1" applyFont="1" applyFill="1" applyBorder="1" applyAlignment="1" applyProtection="1">
      <alignment vertical="center"/>
      <protection hidden="1"/>
    </xf>
    <xf numFmtId="0" fontId="2" fillId="5" borderId="12" xfId="0" applyFont="1" applyFill="1" applyBorder="1" applyAlignment="1" applyProtection="1">
      <alignment horizontal="center" vertical="center"/>
      <protection hidden="1"/>
    </xf>
    <xf numFmtId="0" fontId="2" fillId="5" borderId="0" xfId="0" applyFont="1" applyFill="1" applyAlignment="1" applyProtection="1">
      <alignment vertical="center"/>
      <protection hidden="1"/>
    </xf>
    <xf numFmtId="0" fontId="0" fillId="0" borderId="0" xfId="0" quotePrefix="1" applyAlignment="1" applyProtection="1">
      <alignment horizontal="left" vertical="center"/>
      <protection hidden="1"/>
    </xf>
    <xf numFmtId="178" fontId="0" fillId="0" borderId="0" xfId="0" applyNumberFormat="1" applyAlignment="1" applyProtection="1">
      <alignment vertical="center"/>
      <protection hidden="1"/>
    </xf>
    <xf numFmtId="0" fontId="0" fillId="0" borderId="12" xfId="0" applyBorder="1" applyAlignment="1" applyProtection="1">
      <alignment vertical="center"/>
      <protection hidden="1"/>
    </xf>
    <xf numFmtId="0" fontId="0" fillId="0" borderId="0" xfId="0" applyAlignment="1" applyProtection="1">
      <alignment vertical="center" wrapText="1"/>
      <protection hidden="1"/>
    </xf>
    <xf numFmtId="3" fontId="0" fillId="6" borderId="12" xfId="0" applyNumberFormat="1" applyFill="1" applyBorder="1" applyAlignment="1" applyProtection="1">
      <alignment horizontal="left" vertical="center"/>
      <protection hidden="1"/>
    </xf>
    <xf numFmtId="0" fontId="2" fillId="5" borderId="12" xfId="0" applyFont="1" applyFill="1" applyBorder="1" applyAlignment="1" applyProtection="1">
      <alignment horizontal="left" vertical="center"/>
      <protection hidden="1"/>
    </xf>
    <xf numFmtId="2" fontId="3" fillId="6" borderId="12" xfId="0" applyNumberFormat="1" applyFont="1" applyFill="1" applyBorder="1" applyAlignment="1" applyProtection="1">
      <alignment horizontal="center" vertical="center"/>
      <protection hidden="1"/>
    </xf>
    <xf numFmtId="169" fontId="75" fillId="0" borderId="12" xfId="0" applyNumberFormat="1" applyFont="1" applyBorder="1" applyAlignment="1" applyProtection="1">
      <alignment horizontal="center" vertical="center"/>
      <protection locked="0"/>
    </xf>
    <xf numFmtId="0" fontId="2" fillId="5" borderId="12" xfId="0" applyFont="1" applyFill="1" applyBorder="1" applyAlignment="1" applyProtection="1">
      <alignment vertical="center"/>
      <protection locked="0"/>
    </xf>
    <xf numFmtId="0" fontId="0" fillId="0" borderId="0" xfId="0" applyAlignment="1" applyProtection="1">
      <alignment vertical="center"/>
      <protection locked="0"/>
    </xf>
    <xf numFmtId="0" fontId="23" fillId="5" borderId="12" xfId="0" applyFont="1" applyFill="1" applyBorder="1" applyAlignment="1" applyProtection="1">
      <alignment vertical="center"/>
      <protection locked="0"/>
    </xf>
    <xf numFmtId="0" fontId="4" fillId="0" borderId="0" xfId="0" applyFont="1" applyAlignment="1" applyProtection="1">
      <alignment vertical="center"/>
      <protection locked="0"/>
    </xf>
    <xf numFmtId="0" fontId="26" fillId="11" borderId="12" xfId="0" applyFont="1" applyFill="1" applyBorder="1" applyAlignment="1" applyProtection="1">
      <alignment vertical="center"/>
      <protection locked="0"/>
    </xf>
    <xf numFmtId="0" fontId="0" fillId="0" borderId="12" xfId="0" applyBorder="1" applyAlignment="1" applyProtection="1">
      <alignment vertical="center"/>
      <protection locked="0"/>
    </xf>
    <xf numFmtId="0" fontId="16" fillId="11" borderId="10" xfId="0" applyFont="1" applyFill="1" applyBorder="1" applyAlignment="1" applyProtection="1">
      <alignment vertical="center"/>
      <protection locked="0"/>
    </xf>
    <xf numFmtId="0" fontId="0" fillId="6" borderId="12" xfId="0" applyFill="1" applyBorder="1" applyAlignment="1" applyProtection="1">
      <alignment vertical="center"/>
      <protection locked="0"/>
    </xf>
    <xf numFmtId="0" fontId="2" fillId="5" borderId="13" xfId="0" applyFont="1" applyFill="1" applyBorder="1" applyAlignment="1" applyProtection="1">
      <alignment horizontal="center" vertical="center"/>
      <protection locked="0"/>
    </xf>
    <xf numFmtId="166" fontId="28" fillId="0" borderId="12" xfId="1" applyNumberFormat="1" applyFont="1" applyFill="1" applyBorder="1" applyAlignment="1" applyProtection="1">
      <alignment vertical="center"/>
      <protection locked="0"/>
    </xf>
    <xf numFmtId="0" fontId="0" fillId="0" borderId="39" xfId="0" applyBorder="1" applyAlignment="1" applyProtection="1">
      <alignment vertical="center"/>
      <protection locked="0"/>
    </xf>
    <xf numFmtId="0" fontId="0" fillId="0" borderId="38" xfId="0" applyBorder="1" applyAlignment="1" applyProtection="1">
      <alignment vertical="center"/>
      <protection locked="0"/>
    </xf>
    <xf numFmtId="0" fontId="2" fillId="5" borderId="9" xfId="0" applyFont="1" applyFill="1" applyBorder="1" applyAlignment="1" applyProtection="1">
      <alignment vertical="center"/>
      <protection locked="0"/>
    </xf>
    <xf numFmtId="166" fontId="4" fillId="0" borderId="12" xfId="1" applyNumberFormat="1" applyFont="1" applyFill="1" applyBorder="1" applyAlignment="1" applyProtection="1">
      <alignment vertical="center"/>
      <protection locked="0"/>
    </xf>
    <xf numFmtId="0" fontId="0" fillId="0" borderId="37" xfId="0" applyBorder="1" applyAlignment="1" applyProtection="1">
      <alignment vertical="center"/>
      <protection locked="0"/>
    </xf>
    <xf numFmtId="0" fontId="0" fillId="0" borderId="36" xfId="0" applyBorder="1" applyAlignment="1" applyProtection="1">
      <alignment vertical="center"/>
      <protection locked="0"/>
    </xf>
    <xf numFmtId="164" fontId="0" fillId="0" borderId="0" xfId="0" applyNumberFormat="1" applyAlignment="1" applyProtection="1">
      <alignment vertical="center"/>
      <protection locked="0"/>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3" fontId="28" fillId="0" borderId="12" xfId="0" applyNumberFormat="1" applyFont="1" applyBorder="1" applyAlignment="1" applyProtection="1">
      <alignment vertical="center"/>
      <protection locked="0"/>
    </xf>
    <xf numFmtId="0" fontId="4" fillId="0" borderId="12" xfId="1" applyNumberFormat="1" applyFont="1" applyBorder="1" applyAlignment="1" applyProtection="1">
      <alignment horizontal="center" vertical="center"/>
      <protection locked="0"/>
    </xf>
    <xf numFmtId="166" fontId="4" fillId="0" borderId="12" xfId="1" applyNumberFormat="1" applyFont="1" applyBorder="1" applyAlignment="1" applyProtection="1">
      <alignment vertical="center"/>
      <protection locked="0"/>
    </xf>
    <xf numFmtId="0" fontId="2" fillId="5" borderId="12" xfId="0" applyFont="1" applyFill="1" applyBorder="1" applyAlignment="1" applyProtection="1">
      <alignment horizontal="center" vertical="center"/>
      <protection locked="0"/>
    </xf>
    <xf numFmtId="0" fontId="2" fillId="5" borderId="12" xfId="0" applyFont="1" applyFill="1" applyBorder="1" applyAlignment="1" applyProtection="1">
      <alignment vertical="center" wrapText="1"/>
      <protection locked="0"/>
    </xf>
    <xf numFmtId="43" fontId="0" fillId="0" borderId="0" xfId="0" applyNumberFormat="1" applyAlignment="1" applyProtection="1">
      <alignment vertical="center"/>
      <protection locked="0"/>
    </xf>
    <xf numFmtId="166" fontId="4" fillId="0" borderId="0" xfId="1" applyNumberFormat="1" applyFont="1" applyBorder="1" applyAlignment="1" applyProtection="1">
      <alignment vertical="center"/>
      <protection locked="0"/>
    </xf>
    <xf numFmtId="166" fontId="4" fillId="0" borderId="0" xfId="1" applyNumberFormat="1" applyFont="1" applyAlignment="1" applyProtection="1">
      <alignment vertical="center"/>
      <protection locked="0"/>
    </xf>
    <xf numFmtId="3" fontId="0" fillId="0" borderId="0" xfId="0" applyNumberFormat="1" applyAlignment="1" applyProtection="1">
      <alignment horizontal="left" vertical="center"/>
      <protection hidden="1"/>
    </xf>
    <xf numFmtId="3" fontId="3" fillId="6" borderId="12" xfId="0" applyNumberFormat="1" applyFont="1" applyFill="1" applyBorder="1" applyAlignment="1" applyProtection="1">
      <alignment horizontal="left" vertical="center"/>
      <protection hidden="1"/>
    </xf>
    <xf numFmtId="37" fontId="0" fillId="6" borderId="12" xfId="1" applyNumberFormat="1" applyFont="1" applyFill="1" applyBorder="1" applyAlignment="1" applyProtection="1">
      <alignment horizontal="left" vertical="center"/>
      <protection hidden="1"/>
    </xf>
    <xf numFmtId="173" fontId="0" fillId="6" borderId="12" xfId="2" applyNumberFormat="1" applyFont="1" applyFill="1" applyBorder="1" applyAlignment="1" applyProtection="1">
      <alignment horizontal="center" vertical="center"/>
      <protection hidden="1"/>
    </xf>
    <xf numFmtId="0" fontId="14" fillId="0" borderId="0" xfId="3" applyFont="1" applyAlignment="1" applyProtection="1">
      <alignment vertical="center"/>
      <protection locked="0" hidden="1"/>
    </xf>
    <xf numFmtId="0" fontId="14" fillId="0" borderId="0" xfId="3" applyFont="1" applyAlignment="1" applyProtection="1">
      <alignment vertical="center"/>
      <protection hidden="1"/>
    </xf>
    <xf numFmtId="166" fontId="14" fillId="0" borderId="0" xfId="4" applyNumberFormat="1" applyFont="1" applyFill="1" applyAlignment="1" applyProtection="1">
      <alignment horizontal="center" vertical="center"/>
      <protection hidden="1"/>
    </xf>
    <xf numFmtId="0" fontId="14" fillId="0" borderId="0" xfId="3" applyFont="1" applyAlignment="1" applyProtection="1">
      <alignment horizontal="center" vertical="center"/>
      <protection locked="0" hidden="1"/>
    </xf>
    <xf numFmtId="14" fontId="14" fillId="0" borderId="0" xfId="3" applyNumberFormat="1" applyFont="1" applyAlignment="1" applyProtection="1">
      <alignment horizontal="center" vertical="center"/>
      <protection locked="0" hidden="1"/>
    </xf>
    <xf numFmtId="0" fontId="14" fillId="0" borderId="0" xfId="3" applyFont="1" applyAlignment="1" applyProtection="1">
      <alignment horizontal="right" vertical="center"/>
      <protection locked="0" hidden="1"/>
    </xf>
    <xf numFmtId="3" fontId="14" fillId="0" borderId="0" xfId="3" applyNumberFormat="1" applyFont="1" applyAlignment="1" applyProtection="1">
      <alignment vertical="center"/>
      <protection hidden="1"/>
    </xf>
    <xf numFmtId="0" fontId="17" fillId="0" borderId="0" xfId="3" applyFont="1" applyAlignment="1" applyProtection="1">
      <alignment vertical="center"/>
      <protection hidden="1"/>
    </xf>
    <xf numFmtId="14" fontId="14" fillId="0" borderId="0" xfId="3" applyNumberFormat="1" applyFont="1" applyAlignment="1" applyProtection="1">
      <alignment vertical="center"/>
      <protection hidden="1"/>
    </xf>
    <xf numFmtId="172" fontId="14" fillId="0" borderId="0" xfId="3" applyNumberFormat="1" applyFont="1" applyAlignment="1" applyProtection="1">
      <alignment vertical="center"/>
      <protection hidden="1"/>
    </xf>
    <xf numFmtId="0" fontId="14" fillId="0" borderId="0" xfId="3" quotePrefix="1" applyFont="1" applyAlignment="1" applyProtection="1">
      <alignment vertical="center"/>
      <protection hidden="1"/>
    </xf>
    <xf numFmtId="173" fontId="14" fillId="0" borderId="0" xfId="2" applyNumberFormat="1" applyFont="1" applyFill="1" applyAlignment="1" applyProtection="1">
      <alignment vertical="center"/>
      <protection hidden="1"/>
    </xf>
    <xf numFmtId="170" fontId="14" fillId="0" borderId="0" xfId="5" applyNumberFormat="1" applyFont="1" applyAlignment="1" applyProtection="1">
      <alignment vertical="center"/>
      <protection hidden="1"/>
    </xf>
    <xf numFmtId="166" fontId="14" fillId="0" borderId="0" xfId="4" quotePrefix="1" applyNumberFormat="1" applyFont="1" applyFill="1" applyBorder="1" applyAlignment="1" applyProtection="1">
      <alignment horizontal="center" vertical="center"/>
      <protection hidden="1"/>
    </xf>
    <xf numFmtId="14" fontId="14" fillId="0" borderId="0" xfId="3" applyNumberFormat="1" applyFont="1" applyAlignment="1" applyProtection="1">
      <alignment horizontal="center" vertical="center"/>
      <protection hidden="1"/>
    </xf>
    <xf numFmtId="15" fontId="3" fillId="0" borderId="0" xfId="0" applyNumberFormat="1" applyFont="1"/>
    <xf numFmtId="0" fontId="3" fillId="0" borderId="0" xfId="0" applyFont="1"/>
    <xf numFmtId="174" fontId="3" fillId="6" borderId="12" xfId="0" applyNumberFormat="1" applyFont="1" applyFill="1" applyBorder="1" applyAlignment="1" applyProtection="1">
      <alignment horizontal="center" vertical="center"/>
      <protection hidden="1"/>
    </xf>
    <xf numFmtId="0" fontId="2" fillId="5" borderId="12" xfId="0" applyFont="1" applyFill="1" applyBorder="1" applyAlignment="1" applyProtection="1">
      <alignment horizontal="left" vertical="center" wrapText="1"/>
      <protection hidden="1"/>
    </xf>
    <xf numFmtId="0" fontId="2" fillId="5" borderId="9" xfId="0" applyFont="1" applyFill="1" applyBorder="1" applyAlignment="1" applyProtection="1">
      <alignment horizontal="left" vertical="center" wrapText="1"/>
      <protection hidden="1"/>
    </xf>
    <xf numFmtId="166" fontId="26" fillId="6" borderId="12" xfId="0" applyNumberFormat="1" applyFont="1" applyFill="1" applyBorder="1" applyAlignment="1" applyProtection="1">
      <alignment vertical="center"/>
      <protection hidden="1"/>
    </xf>
    <xf numFmtId="0" fontId="77" fillId="0" borderId="0" xfId="0" applyFont="1" applyAlignment="1">
      <alignment horizontal="left" vertical="center"/>
    </xf>
    <xf numFmtId="0" fontId="79" fillId="0" borderId="0" xfId="0" applyFont="1" applyAlignment="1">
      <alignment horizontal="left" vertical="center"/>
    </xf>
    <xf numFmtId="0" fontId="26" fillId="0" borderId="12" xfId="0" applyFont="1" applyBorder="1" applyAlignment="1" applyProtection="1">
      <alignment vertical="center"/>
      <protection hidden="1"/>
    </xf>
    <xf numFmtId="0" fontId="78" fillId="0" borderId="12" xfId="0" applyFont="1" applyBorder="1" applyAlignment="1">
      <alignment horizontal="left" vertical="center" wrapText="1"/>
    </xf>
    <xf numFmtId="0" fontId="78" fillId="0" borderId="0" xfId="0" applyFont="1" applyAlignment="1">
      <alignment vertical="center"/>
    </xf>
    <xf numFmtId="10" fontId="0" fillId="0" borderId="0" xfId="2" applyNumberFormat="1" applyFont="1" applyAlignment="1" applyProtection="1">
      <alignment vertical="center"/>
      <protection hidden="1"/>
    </xf>
    <xf numFmtId="3" fontId="26" fillId="6" borderId="12" xfId="0" applyNumberFormat="1" applyFont="1" applyFill="1" applyBorder="1" applyAlignment="1" applyProtection="1">
      <alignment horizontal="left" vertical="center"/>
      <protection hidden="1"/>
    </xf>
    <xf numFmtId="3" fontId="1" fillId="6" borderId="12" xfId="1" applyNumberFormat="1" applyFont="1" applyFill="1" applyBorder="1" applyAlignment="1" applyProtection="1">
      <alignment horizontal="left" vertical="center"/>
      <protection hidden="1"/>
    </xf>
    <xf numFmtId="0" fontId="74" fillId="0" borderId="12" xfId="3" applyFont="1" applyBorder="1" applyAlignment="1" applyProtection="1">
      <alignment horizontal="left" vertical="center"/>
      <protection hidden="1"/>
    </xf>
    <xf numFmtId="0" fontId="46" fillId="6" borderId="12" xfId="0" applyFont="1" applyFill="1" applyBorder="1" applyAlignment="1" applyProtection="1">
      <alignment horizontal="center" vertical="center"/>
      <protection hidden="1"/>
    </xf>
    <xf numFmtId="169" fontId="0" fillId="6" borderId="12" xfId="0" applyNumberFormat="1" applyFill="1" applyBorder="1" applyAlignment="1" applyProtection="1">
      <alignment horizontal="center" vertical="center"/>
      <protection hidden="1"/>
    </xf>
    <xf numFmtId="2" fontId="0" fillId="6" borderId="12" xfId="0" applyNumberFormat="1" applyFill="1" applyBorder="1" applyAlignment="1" applyProtection="1">
      <alignment horizontal="center" vertical="center"/>
      <protection hidden="1"/>
    </xf>
    <xf numFmtId="166" fontId="1" fillId="6" borderId="12" xfId="1" applyNumberFormat="1" applyFont="1" applyFill="1" applyBorder="1" applyAlignment="1" applyProtection="1">
      <alignment vertical="center"/>
      <protection hidden="1"/>
    </xf>
    <xf numFmtId="0" fontId="23" fillId="5" borderId="12" xfId="0" applyFont="1" applyFill="1" applyBorder="1" applyAlignment="1" applyProtection="1">
      <alignment vertical="center"/>
      <protection hidden="1"/>
    </xf>
    <xf numFmtId="176" fontId="14" fillId="6" borderId="12" xfId="3" applyNumberFormat="1" applyFont="1" applyFill="1" applyBorder="1" applyAlignment="1" applyProtection="1">
      <alignment horizontal="center" vertical="center"/>
      <protection hidden="1"/>
    </xf>
    <xf numFmtId="178" fontId="76" fillId="0" borderId="12" xfId="3" applyNumberFormat="1" applyFont="1" applyBorder="1" applyAlignment="1" applyProtection="1">
      <alignment horizontal="left" vertical="center"/>
      <protection locked="0"/>
    </xf>
    <xf numFmtId="3" fontId="0" fillId="0" borderId="12" xfId="0" applyNumberFormat="1" applyBorder="1" applyAlignment="1" applyProtection="1">
      <alignment horizontal="left" vertical="center"/>
      <protection locked="0"/>
    </xf>
    <xf numFmtId="10" fontId="0" fillId="0" borderId="12" xfId="0" applyNumberFormat="1" applyBorder="1" applyAlignment="1" applyProtection="1">
      <alignment horizontal="center" vertical="center"/>
      <protection locked="0"/>
    </xf>
    <xf numFmtId="3" fontId="0" fillId="6" borderId="12" xfId="0" applyNumberFormat="1" applyFill="1" applyBorder="1" applyAlignment="1" applyProtection="1">
      <alignment vertical="center"/>
      <protection hidden="1"/>
    </xf>
    <xf numFmtId="2" fontId="0" fillId="0" borderId="12" xfId="0" applyNumberFormat="1" applyBorder="1" applyAlignment="1" applyProtection="1">
      <alignment horizontal="center" vertical="center"/>
      <protection locked="0"/>
    </xf>
    <xf numFmtId="2" fontId="3" fillId="10" borderId="12" xfId="0" applyNumberFormat="1" applyFont="1" applyFill="1" applyBorder="1" applyAlignment="1" applyProtection="1">
      <alignment horizontal="center" vertical="center"/>
      <protection locked="0"/>
    </xf>
    <xf numFmtId="0" fontId="75" fillId="0" borderId="12" xfId="0" applyFont="1" applyBorder="1" applyAlignment="1" applyProtection="1">
      <alignment vertical="center"/>
      <protection locked="0"/>
    </xf>
    <xf numFmtId="4" fontId="3" fillId="6" borderId="12" xfId="1" applyNumberFormat="1" applyFont="1" applyFill="1" applyBorder="1" applyAlignment="1" applyProtection="1">
      <alignment horizontal="left" vertical="center"/>
      <protection hidden="1"/>
    </xf>
    <xf numFmtId="164" fontId="3" fillId="6" borderId="12" xfId="0" applyNumberFormat="1" applyFont="1" applyFill="1" applyBorder="1" applyAlignment="1" applyProtection="1">
      <alignment horizontal="center" vertical="center"/>
      <protection hidden="1"/>
    </xf>
    <xf numFmtId="0" fontId="4" fillId="0" borderId="7" xfId="0" applyFont="1" applyBorder="1" applyAlignment="1" applyProtection="1">
      <alignment horizontal="center" vertical="center"/>
      <protection locked="0"/>
    </xf>
    <xf numFmtId="9" fontId="4" fillId="0" borderId="33" xfId="2" applyFon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26" fillId="11" borderId="0" xfId="0" applyFont="1" applyFill="1" applyAlignment="1" applyProtection="1">
      <alignment vertical="center"/>
      <protection hidden="1"/>
    </xf>
    <xf numFmtId="9" fontId="0" fillId="0" borderId="0" xfId="0" applyNumberFormat="1" applyAlignment="1" applyProtection="1">
      <alignment vertical="center"/>
      <protection hidden="1"/>
    </xf>
    <xf numFmtId="0" fontId="40" fillId="7" borderId="29" xfId="0" applyFont="1" applyFill="1" applyBorder="1" applyAlignment="1" applyProtection="1">
      <alignment horizontal="center" vertical="center"/>
      <protection hidden="1"/>
    </xf>
    <xf numFmtId="0" fontId="40" fillId="7" borderId="30" xfId="0" applyFont="1" applyFill="1" applyBorder="1" applyAlignment="1" applyProtection="1">
      <alignment horizontal="center" vertical="center"/>
      <protection hidden="1"/>
    </xf>
    <xf numFmtId="3" fontId="20" fillId="0" borderId="26" xfId="0" applyNumberFormat="1" applyFont="1" applyBorder="1" applyAlignment="1" applyProtection="1">
      <alignment horizontal="center" vertical="center"/>
      <protection hidden="1"/>
    </xf>
    <xf numFmtId="3" fontId="20" fillId="0" borderId="12" xfId="0" applyNumberFormat="1" applyFont="1" applyBorder="1" applyAlignment="1" applyProtection="1">
      <alignment horizontal="center" vertical="center"/>
      <protection hidden="1"/>
    </xf>
    <xf numFmtId="3" fontId="20" fillId="0" borderId="9" xfId="0" applyNumberFormat="1" applyFont="1" applyBorder="1" applyAlignment="1" applyProtection="1">
      <alignment horizontal="center" vertical="center"/>
      <protection hidden="1"/>
    </xf>
    <xf numFmtId="3" fontId="20" fillId="0" borderId="20" xfId="0" applyNumberFormat="1" applyFont="1" applyBorder="1" applyAlignment="1" applyProtection="1">
      <alignment horizontal="center" vertical="center"/>
      <protection hidden="1"/>
    </xf>
    <xf numFmtId="3" fontId="22" fillId="0" borderId="29" xfId="1" applyNumberFormat="1" applyFont="1" applyFill="1" applyBorder="1" applyAlignment="1" applyProtection="1">
      <alignment horizontal="center" vertical="center"/>
      <protection hidden="1"/>
    </xf>
    <xf numFmtId="3" fontId="22" fillId="0" borderId="9" xfId="1" applyNumberFormat="1" applyFont="1" applyFill="1" applyBorder="1" applyAlignment="1" applyProtection="1">
      <alignment horizontal="center" vertical="center"/>
      <protection hidden="1"/>
    </xf>
    <xf numFmtId="3" fontId="22" fillId="0" borderId="20" xfId="1" applyNumberFormat="1" applyFont="1" applyFill="1" applyBorder="1" applyAlignment="1" applyProtection="1">
      <alignment horizontal="center" vertical="center"/>
      <protection hidden="1"/>
    </xf>
    <xf numFmtId="3" fontId="22" fillId="0" borderId="27" xfId="1" applyNumberFormat="1" applyFont="1" applyFill="1" applyBorder="1" applyAlignment="1" applyProtection="1">
      <alignment horizontal="center" vertical="center"/>
      <protection hidden="1"/>
    </xf>
    <xf numFmtId="3" fontId="22" fillId="0" borderId="21" xfId="1" applyNumberFormat="1" applyFont="1" applyFill="1" applyBorder="1" applyAlignment="1" applyProtection="1">
      <alignment horizontal="center" vertical="center"/>
      <protection hidden="1"/>
    </xf>
    <xf numFmtId="3" fontId="22" fillId="0" borderId="42" xfId="1" applyNumberFormat="1" applyFont="1" applyFill="1" applyBorder="1" applyAlignment="1" applyProtection="1">
      <alignment horizontal="center" vertical="center"/>
      <protection hidden="1"/>
    </xf>
    <xf numFmtId="3" fontId="22" fillId="0" borderId="22" xfId="1" applyNumberFormat="1" applyFont="1" applyFill="1" applyBorder="1" applyAlignment="1" applyProtection="1">
      <alignment horizontal="center" vertical="center"/>
      <protection hidden="1"/>
    </xf>
    <xf numFmtId="3" fontId="14" fillId="0" borderId="0" xfId="5" applyNumberFormat="1" applyFont="1" applyAlignment="1" applyProtection="1">
      <alignment horizontal="center" vertical="center"/>
      <protection hidden="1"/>
    </xf>
    <xf numFmtId="3" fontId="14" fillId="0" borderId="0" xfId="4" quotePrefix="1" applyNumberFormat="1" applyFont="1" applyFill="1" applyBorder="1" applyAlignment="1" applyProtection="1">
      <alignment horizontal="center" vertical="center"/>
      <protection hidden="1"/>
    </xf>
    <xf numFmtId="0" fontId="0" fillId="0" borderId="0" xfId="0" applyAlignment="1" applyProtection="1">
      <alignment horizontal="center" vertical="center"/>
      <protection locked="0"/>
    </xf>
    <xf numFmtId="166" fontId="0" fillId="0" borderId="12" xfId="1" applyNumberFormat="1" applyFont="1" applyBorder="1" applyAlignment="1" applyProtection="1">
      <alignment horizontal="center" vertical="center"/>
      <protection locked="0"/>
    </xf>
    <xf numFmtId="0" fontId="5" fillId="5" borderId="12" xfId="0" applyFont="1" applyFill="1" applyBorder="1" applyAlignment="1">
      <alignment horizontal="center" vertical="center" wrapText="1"/>
    </xf>
    <xf numFmtId="37" fontId="0" fillId="0" borderId="12" xfId="0" applyNumberFormat="1" applyBorder="1" applyAlignment="1">
      <alignment horizontal="center" vertical="center"/>
    </xf>
    <xf numFmtId="0" fontId="87" fillId="5" borderId="12" xfId="0" applyFont="1" applyFill="1" applyBorder="1" applyAlignment="1" applyProtection="1">
      <alignment horizontal="center" vertical="center" wrapText="1"/>
      <protection locked="0"/>
    </xf>
    <xf numFmtId="0" fontId="0" fillId="24" borderId="0" xfId="0" applyFill="1" applyAlignment="1" applyProtection="1">
      <alignment vertical="center"/>
      <protection locked="0"/>
    </xf>
    <xf numFmtId="166" fontId="0" fillId="0" borderId="0" xfId="1" applyNumberFormat="1" applyFont="1" applyAlignment="1" applyProtection="1">
      <alignment vertical="center"/>
      <protection locked="0"/>
    </xf>
    <xf numFmtId="0" fontId="0" fillId="0" borderId="19" xfId="0" applyBorder="1" applyAlignment="1" applyProtection="1">
      <alignment vertical="center"/>
      <protection locked="0"/>
    </xf>
    <xf numFmtId="0" fontId="0" fillId="0" borderId="8" xfId="0" applyBorder="1" applyAlignment="1" applyProtection="1">
      <alignment vertical="center"/>
      <protection locked="0"/>
    </xf>
    <xf numFmtId="173" fontId="0" fillId="0" borderId="12" xfId="2" applyNumberFormat="1" applyFont="1" applyBorder="1" applyAlignment="1" applyProtection="1">
      <alignment horizontal="center" vertical="center"/>
      <protection locked="0"/>
    </xf>
    <xf numFmtId="9" fontId="0" fillId="0" borderId="12" xfId="2" applyFont="1" applyBorder="1" applyAlignment="1" applyProtection="1">
      <alignment horizontal="center" vertical="center"/>
      <protection locked="0"/>
    </xf>
    <xf numFmtId="3" fontId="88" fillId="10" borderId="12" xfId="0" applyNumberFormat="1" applyFont="1" applyFill="1" applyBorder="1" applyAlignment="1" applyProtection="1">
      <alignment horizontal="center" vertical="center"/>
      <protection locked="0"/>
    </xf>
    <xf numFmtId="0" fontId="87" fillId="5" borderId="12" xfId="0" applyFont="1" applyFill="1" applyBorder="1" applyAlignment="1" applyProtection="1">
      <alignment horizontal="center" vertical="center"/>
      <protection locked="0"/>
    </xf>
    <xf numFmtId="0" fontId="89" fillId="5" borderId="12" xfId="0" applyFont="1" applyFill="1" applyBorder="1" applyAlignment="1" applyProtection="1">
      <alignment horizontal="left" vertical="center" wrapText="1"/>
      <protection locked="0"/>
    </xf>
    <xf numFmtId="0" fontId="89" fillId="5" borderId="12" xfId="0" applyFont="1" applyFill="1" applyBorder="1" applyAlignment="1" applyProtection="1">
      <alignment horizontal="left" vertical="center"/>
      <protection locked="0"/>
    </xf>
    <xf numFmtId="0" fontId="89" fillId="5" borderId="12" xfId="0" applyFont="1" applyFill="1" applyBorder="1" applyAlignment="1" applyProtection="1">
      <alignment horizontal="center" vertical="center"/>
      <protection locked="0"/>
    </xf>
    <xf numFmtId="0" fontId="0" fillId="0" borderId="0" xfId="0" applyAlignment="1" applyProtection="1">
      <alignment vertical="center" wrapText="1"/>
      <protection locked="0"/>
    </xf>
    <xf numFmtId="0" fontId="0" fillId="0" borderId="0" xfId="0" applyAlignment="1">
      <alignment vertical="center" wrapText="1"/>
    </xf>
    <xf numFmtId="0" fontId="0" fillId="0" borderId="12" xfId="0" applyBorder="1" applyAlignment="1" applyProtection="1">
      <alignment vertical="center" wrapText="1"/>
      <protection locked="0"/>
    </xf>
    <xf numFmtId="0" fontId="0" fillId="0" borderId="12" xfId="0" applyBorder="1" applyAlignment="1" applyProtection="1">
      <alignment horizontal="center" vertical="center" wrapText="1"/>
      <protection locked="0"/>
    </xf>
    <xf numFmtId="0" fontId="7" fillId="3" borderId="12" xfId="0" applyFont="1" applyFill="1" applyBorder="1" applyAlignment="1" applyProtection="1">
      <alignment horizontal="center" vertical="center"/>
      <protection locked="0"/>
    </xf>
    <xf numFmtId="0" fontId="7" fillId="0" borderId="12" xfId="0" applyFont="1" applyBorder="1" applyAlignment="1" applyProtection="1">
      <alignment horizontal="center" vertical="center"/>
      <protection locked="0"/>
    </xf>
    <xf numFmtId="0" fontId="5" fillId="5" borderId="12" xfId="0" applyFont="1" applyFill="1" applyBorder="1" applyAlignment="1" applyProtection="1">
      <alignment horizontal="center" vertical="center" wrapText="1"/>
      <protection locked="0"/>
    </xf>
    <xf numFmtId="166" fontId="0" fillId="0" borderId="12" xfId="27" applyNumberFormat="1" applyFont="1" applyBorder="1" applyAlignment="1">
      <alignment vertical="center" wrapText="1"/>
    </xf>
    <xf numFmtId="9" fontId="0" fillId="0" borderId="12" xfId="2" applyFont="1" applyBorder="1" applyAlignment="1">
      <alignment horizontal="center" vertical="center" wrapText="1"/>
    </xf>
    <xf numFmtId="173" fontId="0" fillId="0" borderId="12" xfId="2" applyNumberFormat="1" applyFont="1" applyBorder="1" applyAlignment="1">
      <alignment horizontal="center" vertical="center" wrapText="1"/>
    </xf>
    <xf numFmtId="173" fontId="3" fillId="0" borderId="12" xfId="2" applyNumberFormat="1" applyFont="1" applyFill="1" applyBorder="1" applyAlignment="1" applyProtection="1">
      <alignment horizontal="center" vertical="center"/>
      <protection hidden="1"/>
    </xf>
    <xf numFmtId="173" fontId="3" fillId="0" borderId="12" xfId="2" applyNumberFormat="1" applyFont="1" applyBorder="1" applyAlignment="1" applyProtection="1">
      <alignment horizontal="center" vertical="center"/>
      <protection hidden="1"/>
    </xf>
    <xf numFmtId="0" fontId="3" fillId="6" borderId="9" xfId="0" applyFont="1" applyFill="1" applyBorder="1" applyAlignment="1" applyProtection="1">
      <alignment vertical="center"/>
      <protection hidden="1"/>
    </xf>
    <xf numFmtId="0" fontId="3" fillId="6" borderId="10" xfId="0" applyFont="1" applyFill="1" applyBorder="1" applyAlignment="1" applyProtection="1">
      <alignment vertical="center"/>
      <protection hidden="1"/>
    </xf>
    <xf numFmtId="164" fontId="0" fillId="0" borderId="0" xfId="0" applyNumberFormat="1" applyAlignment="1" applyProtection="1">
      <alignment vertical="center"/>
      <protection hidden="1"/>
    </xf>
    <xf numFmtId="0" fontId="4" fillId="0" borderId="0" xfId="0" applyFont="1" applyAlignment="1" applyProtection="1">
      <alignment vertical="center"/>
      <protection hidden="1"/>
    </xf>
    <xf numFmtId="1" fontId="0" fillId="0" borderId="12" xfId="0" applyNumberFormat="1" applyBorder="1" applyAlignment="1" applyProtection="1">
      <alignment horizontal="center" vertical="center"/>
      <protection locked="0"/>
    </xf>
    <xf numFmtId="173" fontId="3" fillId="6" borderId="12" xfId="2" applyNumberFormat="1" applyFont="1" applyFill="1" applyBorder="1" applyAlignment="1" applyProtection="1">
      <alignment horizontal="left" vertical="center"/>
      <protection hidden="1"/>
    </xf>
    <xf numFmtId="15" fontId="3" fillId="0" borderId="0" xfId="0" applyNumberFormat="1" applyFont="1" applyAlignment="1">
      <alignment vertical="center"/>
    </xf>
    <xf numFmtId="0" fontId="0" fillId="9" borderId="36" xfId="0" applyFill="1" applyBorder="1" applyAlignment="1">
      <alignment vertical="center"/>
    </xf>
    <xf numFmtId="0" fontId="0" fillId="9" borderId="0" xfId="0" applyFill="1" applyAlignment="1">
      <alignment vertical="center"/>
    </xf>
    <xf numFmtId="0" fontId="0" fillId="9" borderId="8" xfId="0" applyFill="1" applyBorder="1" applyAlignment="1">
      <alignment vertical="center"/>
    </xf>
    <xf numFmtId="0" fontId="0" fillId="7" borderId="98" xfId="0" applyFill="1" applyBorder="1" applyAlignment="1">
      <alignment vertical="center"/>
    </xf>
    <xf numFmtId="0" fontId="0" fillId="7" borderId="19" xfId="0" applyFill="1" applyBorder="1" applyAlignment="1">
      <alignment vertical="center"/>
    </xf>
    <xf numFmtId="0" fontId="0" fillId="7" borderId="99" xfId="0" applyFill="1" applyBorder="1" applyAlignment="1">
      <alignment vertical="center"/>
    </xf>
    <xf numFmtId="0" fontId="0" fillId="7" borderId="38" xfId="0" applyFill="1" applyBorder="1" applyAlignment="1">
      <alignment vertical="center"/>
    </xf>
    <xf numFmtId="0" fontId="23" fillId="5" borderId="12" xfId="0" applyFont="1" applyFill="1" applyBorder="1" applyAlignment="1">
      <alignment vertical="center"/>
    </xf>
    <xf numFmtId="0" fontId="0" fillId="7" borderId="0" xfId="0" applyFill="1" applyAlignment="1">
      <alignment vertical="center"/>
    </xf>
    <xf numFmtId="0" fontId="0" fillId="7" borderId="39" xfId="0" applyFill="1" applyBorder="1" applyAlignment="1">
      <alignment vertical="center"/>
    </xf>
    <xf numFmtId="0" fontId="16" fillId="7" borderId="0" xfId="0" applyFont="1" applyFill="1" applyAlignment="1">
      <alignment vertical="center"/>
    </xf>
    <xf numFmtId="0" fontId="24" fillId="7" borderId="0" xfId="0" applyFont="1" applyFill="1" applyAlignment="1">
      <alignment vertical="center"/>
    </xf>
    <xf numFmtId="14" fontId="5" fillId="0" borderId="0" xfId="0" applyNumberFormat="1" applyFont="1" applyAlignment="1">
      <alignment vertical="center"/>
    </xf>
    <xf numFmtId="0" fontId="24" fillId="10" borderId="9" xfId="0" applyFont="1" applyFill="1" applyBorder="1" applyAlignment="1" applyProtection="1">
      <alignment horizontal="center" vertical="center"/>
      <protection locked="0"/>
    </xf>
    <xf numFmtId="0" fontId="24" fillId="10" borderId="11" xfId="0" applyFont="1" applyFill="1" applyBorder="1" applyAlignment="1" applyProtection="1">
      <alignment horizontal="center" vertical="center"/>
      <protection locked="0"/>
    </xf>
    <xf numFmtId="0" fontId="24" fillId="10" borderId="10" xfId="0" applyFont="1" applyFill="1" applyBorder="1" applyAlignment="1" applyProtection="1">
      <alignment horizontal="center" vertical="center"/>
      <protection locked="0"/>
    </xf>
    <xf numFmtId="0" fontId="5" fillId="0" borderId="0" xfId="0" applyFont="1" applyAlignment="1">
      <alignment vertical="center"/>
    </xf>
    <xf numFmtId="0" fontId="25" fillId="7" borderId="0" xfId="0" applyFont="1" applyFill="1" applyAlignment="1">
      <alignment vertical="center"/>
    </xf>
    <xf numFmtId="0" fontId="26" fillId="6" borderId="9" xfId="0" applyFont="1" applyFill="1" applyBorder="1" applyAlignment="1">
      <alignment vertical="center"/>
    </xf>
    <xf numFmtId="0" fontId="24" fillId="6" borderId="11" xfId="0" applyFont="1" applyFill="1" applyBorder="1" applyAlignment="1">
      <alignment vertical="center"/>
    </xf>
    <xf numFmtId="0" fontId="24" fillId="6" borderId="10" xfId="0" applyFont="1" applyFill="1" applyBorder="1" applyAlignment="1">
      <alignment vertical="center"/>
    </xf>
    <xf numFmtId="0" fontId="4" fillId="7" borderId="0" xfId="0" applyFont="1" applyFill="1" applyAlignment="1">
      <alignment vertical="center"/>
    </xf>
    <xf numFmtId="0" fontId="0" fillId="7" borderId="16" xfId="0" applyFill="1" applyBorder="1" applyAlignment="1">
      <alignment vertical="center"/>
    </xf>
    <xf numFmtId="0" fontId="4" fillId="7" borderId="17" xfId="0" applyFont="1" applyFill="1" applyBorder="1" applyAlignment="1">
      <alignment vertical="center"/>
    </xf>
    <xf numFmtId="0" fontId="0" fillId="7" borderId="17" xfId="0" applyFill="1" applyBorder="1" applyAlignment="1">
      <alignment vertical="center"/>
    </xf>
    <xf numFmtId="0" fontId="0" fillId="7" borderId="18" xfId="0" applyFill="1" applyBorder="1" applyAlignment="1">
      <alignment vertical="center"/>
    </xf>
    <xf numFmtId="0" fontId="26" fillId="6" borderId="9" xfId="0" applyFont="1" applyFill="1" applyBorder="1" applyAlignment="1" applyProtection="1">
      <alignment vertical="top"/>
      <protection hidden="1"/>
    </xf>
    <xf numFmtId="0" fontId="2" fillId="5" borderId="12" xfId="0" applyFont="1" applyFill="1" applyBorder="1" applyAlignment="1" applyProtection="1">
      <alignment horizontal="center" vertical="center" wrapText="1"/>
      <protection hidden="1"/>
    </xf>
    <xf numFmtId="0" fontId="16" fillId="11" borderId="12" xfId="0" applyFont="1" applyFill="1" applyBorder="1" applyAlignment="1" applyProtection="1">
      <alignment horizontal="center" vertical="center"/>
      <protection locked="0"/>
    </xf>
    <xf numFmtId="0" fontId="16" fillId="11" borderId="12" xfId="0" applyFont="1" applyFill="1" applyBorder="1" applyAlignment="1" applyProtection="1">
      <alignment vertical="center"/>
      <protection locked="0"/>
    </xf>
    <xf numFmtId="10" fontId="4" fillId="0" borderId="12" xfId="0" applyNumberFormat="1" applyFont="1" applyBorder="1" applyAlignment="1" applyProtection="1">
      <alignment horizontal="center" vertical="center"/>
      <protection locked="0"/>
    </xf>
    <xf numFmtId="9" fontId="0" fillId="0" borderId="12" xfId="0" applyNumberFormat="1" applyBorder="1" applyAlignment="1" applyProtection="1">
      <alignment horizontal="center" vertical="center"/>
      <protection locked="0"/>
    </xf>
    <xf numFmtId="10" fontId="4" fillId="0" borderId="12" xfId="0" applyNumberFormat="1" applyFont="1" applyBorder="1" applyAlignment="1" applyProtection="1">
      <alignment horizontal="left" vertical="center"/>
      <protection locked="0"/>
    </xf>
    <xf numFmtId="180" fontId="4" fillId="0" borderId="12" xfId="0" applyNumberFormat="1" applyFont="1" applyBorder="1" applyAlignment="1" applyProtection="1">
      <alignment horizontal="left" vertical="center"/>
      <protection locked="0"/>
    </xf>
    <xf numFmtId="1" fontId="4" fillId="0" borderId="12" xfId="0" applyNumberFormat="1"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91" fillId="5" borderId="12" xfId="0" applyFont="1" applyFill="1" applyBorder="1" applyAlignment="1">
      <alignment horizontal="left" vertical="center"/>
    </xf>
    <xf numFmtId="0" fontId="92" fillId="0" borderId="12" xfId="0" applyFont="1" applyBorder="1" applyAlignment="1">
      <alignment vertical="center"/>
    </xf>
    <xf numFmtId="0" fontId="93" fillId="0" borderId="0" xfId="0" applyFont="1" applyAlignment="1">
      <alignment horizontal="left" vertical="center"/>
    </xf>
    <xf numFmtId="0" fontId="92" fillId="0" borderId="0" xfId="0" applyFont="1" applyAlignment="1">
      <alignment horizontal="left" vertical="center"/>
    </xf>
    <xf numFmtId="0" fontId="92" fillId="0" borderId="0" xfId="0" applyFont="1" applyAlignment="1">
      <alignment vertical="center"/>
    </xf>
    <xf numFmtId="0" fontId="91" fillId="5" borderId="12" xfId="0" applyFont="1" applyFill="1" applyBorder="1" applyAlignment="1">
      <alignment horizontal="left" vertical="center" wrapText="1"/>
    </xf>
    <xf numFmtId="3" fontId="93" fillId="0" borderId="12" xfId="0" applyNumberFormat="1" applyFont="1" applyBorder="1" applyAlignment="1">
      <alignment horizontal="center" vertical="center"/>
    </xf>
    <xf numFmtId="0" fontId="91" fillId="0" borderId="0" xfId="0" applyFont="1" applyAlignment="1">
      <alignment vertical="center"/>
    </xf>
    <xf numFmtId="0" fontId="42" fillId="5" borderId="12" xfId="0" applyFont="1" applyFill="1" applyBorder="1" applyAlignment="1">
      <alignment horizontal="left" vertical="center"/>
    </xf>
    <xf numFmtId="0" fontId="42" fillId="5" borderId="12" xfId="0" applyFont="1" applyFill="1" applyBorder="1" applyAlignment="1">
      <alignment horizontal="center" vertical="center"/>
    </xf>
    <xf numFmtId="0" fontId="42" fillId="5" borderId="12" xfId="0" applyFont="1" applyFill="1" applyBorder="1" applyAlignment="1">
      <alignment vertical="center" wrapText="1"/>
    </xf>
    <xf numFmtId="9" fontId="13" fillId="10" borderId="12" xfId="2" quotePrefix="1" applyFont="1" applyFill="1" applyBorder="1" applyAlignment="1">
      <alignment horizontal="left" vertical="center" wrapText="1"/>
    </xf>
    <xf numFmtId="1" fontId="93" fillId="10" borderId="12" xfId="2" applyNumberFormat="1" applyFont="1" applyFill="1" applyBorder="1" applyAlignment="1">
      <alignment horizontal="center" vertical="center"/>
    </xf>
    <xf numFmtId="164" fontId="92" fillId="0" borderId="12" xfId="27" applyFont="1" applyBorder="1" applyAlignment="1">
      <alignment horizontal="center" vertical="center"/>
    </xf>
    <xf numFmtId="0" fontId="42" fillId="5" borderId="12" xfId="0" applyFont="1" applyFill="1" applyBorder="1" applyAlignment="1">
      <alignment horizontal="left" vertical="center" wrapText="1"/>
    </xf>
    <xf numFmtId="0" fontId="42" fillId="5" borderId="12" xfId="0" applyFont="1" applyFill="1" applyBorder="1" applyAlignment="1">
      <alignment horizontal="center" vertical="center" wrapText="1"/>
    </xf>
    <xf numFmtId="181" fontId="92" fillId="0" borderId="12" xfId="0" applyNumberFormat="1" applyFont="1" applyBorder="1" applyAlignment="1">
      <alignment horizontal="left" vertical="center" wrapText="1"/>
    </xf>
    <xf numFmtId="9" fontId="13" fillId="0" borderId="12" xfId="2" quotePrefix="1" applyFont="1" applyFill="1" applyBorder="1" applyAlignment="1">
      <alignment horizontal="left" vertical="center" wrapText="1"/>
    </xf>
    <xf numFmtId="10" fontId="92" fillId="0" borderId="12" xfId="2" applyNumberFormat="1" applyFont="1" applyBorder="1" applyAlignment="1" applyProtection="1">
      <alignment horizontal="center" vertical="center"/>
      <protection locked="0"/>
    </xf>
    <xf numFmtId="10" fontId="92" fillId="0" borderId="12" xfId="2" applyNumberFormat="1" applyFont="1" applyBorder="1" applyAlignment="1" applyProtection="1">
      <alignment horizontal="center" vertical="center" wrapText="1"/>
      <protection locked="0"/>
    </xf>
    <xf numFmtId="9" fontId="13" fillId="0" borderId="12" xfId="2" applyFont="1" applyFill="1" applyBorder="1" applyAlignment="1">
      <alignment horizontal="left" vertical="center" wrapText="1"/>
    </xf>
    <xf numFmtId="10" fontId="93" fillId="0" borderId="12" xfId="2" applyNumberFormat="1" applyFont="1" applyFill="1" applyBorder="1" applyAlignment="1">
      <alignment horizontal="center" vertical="center"/>
    </xf>
    <xf numFmtId="0" fontId="92" fillId="0" borderId="12" xfId="0" applyFont="1" applyBorder="1" applyAlignment="1">
      <alignment vertical="center" wrapText="1"/>
    </xf>
    <xf numFmtId="10" fontId="92" fillId="0" borderId="12" xfId="2" applyNumberFormat="1" applyFont="1" applyBorder="1" applyAlignment="1">
      <alignment horizontal="center" vertical="center" wrapText="1"/>
    </xf>
    <xf numFmtId="10" fontId="93" fillId="10" borderId="12" xfId="2" applyNumberFormat="1" applyFont="1" applyFill="1" applyBorder="1" applyAlignment="1">
      <alignment horizontal="center" vertical="center" wrapText="1"/>
    </xf>
    <xf numFmtId="9" fontId="13" fillId="10" borderId="12" xfId="2" applyFont="1" applyFill="1" applyBorder="1" applyAlignment="1">
      <alignment horizontal="left" vertical="center" wrapText="1"/>
    </xf>
    <xf numFmtId="0" fontId="92" fillId="0" borderId="12" xfId="0" applyFont="1" applyBorder="1" applyAlignment="1">
      <alignment horizontal="left" vertical="center" wrapText="1"/>
    </xf>
    <xf numFmtId="0" fontId="91" fillId="5" borderId="12" xfId="0" applyFont="1" applyFill="1" applyBorder="1" applyAlignment="1">
      <alignment horizontal="center" vertical="center"/>
    </xf>
    <xf numFmtId="0" fontId="13" fillId="0" borderId="12" xfId="0" applyFont="1" applyBorder="1" applyAlignment="1">
      <alignment horizontal="center" vertical="center" wrapText="1"/>
    </xf>
    <xf numFmtId="0" fontId="86" fillId="0" borderId="0" xfId="0" applyFont="1" applyAlignment="1">
      <alignment horizontal="center" vertical="center"/>
    </xf>
    <xf numFmtId="0" fontId="98" fillId="0" borderId="0" xfId="0" applyFont="1" applyAlignment="1">
      <alignment vertical="center"/>
    </xf>
    <xf numFmtId="0" fontId="98" fillId="0" borderId="12" xfId="0" applyFont="1" applyBorder="1" applyAlignment="1">
      <alignment horizontal="center" vertical="center"/>
    </xf>
    <xf numFmtId="3" fontId="98" fillId="0" borderId="12" xfId="0" applyNumberFormat="1" applyFont="1" applyBorder="1" applyAlignment="1">
      <alignment horizontal="center" vertical="center"/>
    </xf>
    <xf numFmtId="3" fontId="99" fillId="0" borderId="12" xfId="0" applyNumberFormat="1" applyFont="1" applyBorder="1" applyAlignment="1">
      <alignment horizontal="center" vertical="center"/>
    </xf>
    <xf numFmtId="0" fontId="98" fillId="0" borderId="0" xfId="0" applyFont="1" applyAlignment="1">
      <alignment horizontal="center" vertical="center"/>
    </xf>
    <xf numFmtId="0" fontId="95" fillId="0" borderId="12" xfId="0" applyFont="1" applyBorder="1" applyAlignment="1">
      <alignment horizontal="center" vertical="center" wrapText="1"/>
    </xf>
    <xf numFmtId="0" fontId="91" fillId="10" borderId="0" xfId="0" applyFont="1" applyFill="1" applyAlignment="1">
      <alignment horizontal="center" vertical="center"/>
    </xf>
    <xf numFmtId="0" fontId="3" fillId="0" borderId="0" xfId="0" applyFont="1" applyAlignment="1">
      <alignment vertical="center"/>
    </xf>
    <xf numFmtId="0" fontId="5" fillId="24" borderId="0" xfId="0" applyFont="1" applyFill="1" applyAlignment="1" applyProtection="1">
      <alignment vertical="center"/>
      <protection locked="0"/>
    </xf>
    <xf numFmtId="0" fontId="100" fillId="0" borderId="0" xfId="0" applyFont="1" applyAlignment="1">
      <alignment vertical="center" wrapText="1"/>
    </xf>
    <xf numFmtId="0" fontId="45" fillId="0" borderId="0" xfId="0" applyFont="1" applyAlignment="1">
      <alignment horizontal="center" vertical="center" wrapText="1"/>
    </xf>
    <xf numFmtId="0" fontId="45" fillId="0" borderId="0" xfId="0" applyFont="1" applyAlignment="1">
      <alignment vertical="center"/>
    </xf>
    <xf numFmtId="0" fontId="103" fillId="30" borderId="12" xfId="0" applyFont="1" applyFill="1" applyBorder="1" applyAlignment="1">
      <alignment vertical="center" wrapText="1"/>
    </xf>
    <xf numFmtId="0" fontId="45" fillId="0" borderId="12" xfId="0" applyFont="1" applyBorder="1" applyAlignment="1">
      <alignment horizontal="center" vertical="center" wrapText="1"/>
    </xf>
    <xf numFmtId="3" fontId="45" fillId="0" borderId="12" xfId="1" applyNumberFormat="1" applyFont="1" applyBorder="1" applyAlignment="1">
      <alignment horizontal="center" vertical="center" wrapText="1"/>
    </xf>
    <xf numFmtId="0" fontId="100" fillId="30" borderId="12" xfId="0" applyFont="1" applyFill="1" applyBorder="1" applyAlignment="1">
      <alignment vertical="center" wrapText="1"/>
    </xf>
    <xf numFmtId="0" fontId="104" fillId="30" borderId="12" xfId="0" applyFont="1" applyFill="1" applyBorder="1" applyAlignment="1">
      <alignment vertical="center" wrapText="1"/>
    </xf>
    <xf numFmtId="0" fontId="103" fillId="31" borderId="12" xfId="0" applyFont="1" applyFill="1" applyBorder="1" applyAlignment="1">
      <alignment vertical="center" wrapText="1"/>
    </xf>
    <xf numFmtId="9" fontId="45" fillId="0" borderId="12" xfId="0" applyNumberFormat="1" applyFont="1" applyBorder="1" applyAlignment="1">
      <alignment horizontal="center" vertical="center" wrapText="1"/>
    </xf>
    <xf numFmtId="0" fontId="72" fillId="0" borderId="12" xfId="0" applyFont="1" applyBorder="1" applyAlignment="1">
      <alignment horizontal="center" vertical="center" wrapText="1"/>
    </xf>
    <xf numFmtId="0" fontId="0" fillId="11" borderId="12" xfId="0" applyFill="1" applyBorder="1" applyAlignment="1" applyProtection="1">
      <alignment horizontal="center" vertical="center"/>
      <protection locked="0"/>
    </xf>
    <xf numFmtId="0" fontId="0" fillId="0" borderId="31" xfId="0" applyBorder="1" applyAlignment="1" applyProtection="1">
      <alignment vertical="center"/>
      <protection locked="0"/>
    </xf>
    <xf numFmtId="0" fontId="4" fillId="0" borderId="19" xfId="0" applyFont="1" applyBorder="1" applyAlignment="1" applyProtection="1">
      <alignment vertical="center"/>
      <protection locked="0"/>
    </xf>
    <xf numFmtId="0" fontId="0" fillId="0" borderId="7" xfId="0" applyBorder="1" applyAlignment="1" applyProtection="1">
      <alignment vertical="center"/>
      <protection locked="0"/>
    </xf>
    <xf numFmtId="0" fontId="0" fillId="0" borderId="32" xfId="0" applyBorder="1" applyAlignment="1" applyProtection="1">
      <alignment vertical="center"/>
      <protection locked="0"/>
    </xf>
    <xf numFmtId="0" fontId="0" fillId="0" borderId="33" xfId="0" applyBorder="1" applyAlignment="1" applyProtection="1">
      <alignment vertical="center"/>
      <protection locked="0"/>
    </xf>
    <xf numFmtId="0" fontId="23" fillId="5" borderId="12" xfId="0" applyFont="1" applyFill="1" applyBorder="1" applyAlignment="1" applyProtection="1">
      <alignment horizontal="centerContinuous" vertical="center"/>
      <protection locked="0"/>
    </xf>
    <xf numFmtId="0" fontId="5" fillId="5" borderId="10" xfId="0" applyFont="1" applyFill="1" applyBorder="1" applyAlignment="1" applyProtection="1">
      <alignment horizontal="centerContinuous" vertical="center"/>
      <protection locked="0"/>
    </xf>
    <xf numFmtId="0" fontId="5" fillId="5" borderId="12" xfId="0" applyFont="1" applyFill="1" applyBorder="1" applyAlignment="1" applyProtection="1">
      <alignment horizontal="centerContinuous" vertical="center"/>
      <protection locked="0"/>
    </xf>
    <xf numFmtId="0" fontId="23" fillId="5" borderId="10" xfId="0" applyFont="1" applyFill="1" applyBorder="1" applyAlignment="1" applyProtection="1">
      <alignment horizontal="center" vertical="center"/>
      <protection locked="0"/>
    </xf>
    <xf numFmtId="0" fontId="23" fillId="5" borderId="12" xfId="0" applyFont="1" applyFill="1" applyBorder="1" applyAlignment="1" applyProtection="1">
      <alignment horizontal="center" vertical="center"/>
      <protection locked="0"/>
    </xf>
    <xf numFmtId="0" fontId="23" fillId="5" borderId="10" xfId="0" applyFont="1" applyFill="1" applyBorder="1" applyAlignment="1" applyProtection="1">
      <alignment horizontal="centerContinuous" vertical="center"/>
      <protection locked="0"/>
    </xf>
    <xf numFmtId="0" fontId="0" fillId="0" borderId="34" xfId="0" applyBorder="1" applyAlignment="1" applyProtection="1">
      <alignment vertical="center"/>
      <protection locked="0"/>
    </xf>
    <xf numFmtId="0" fontId="4" fillId="0" borderId="8" xfId="0" applyFont="1" applyBorder="1" applyAlignment="1" applyProtection="1">
      <alignment vertical="center"/>
      <protection locked="0"/>
    </xf>
    <xf numFmtId="0" fontId="0" fillId="0" borderId="4" xfId="0" applyBorder="1" applyAlignment="1" applyProtection="1">
      <alignment vertical="center"/>
      <protection locked="0"/>
    </xf>
    <xf numFmtId="0" fontId="29" fillId="0" borderId="0" xfId="0" applyFont="1" applyAlignment="1" applyProtection="1">
      <alignment horizontal="center" vertical="center"/>
      <protection locked="0"/>
    </xf>
    <xf numFmtId="0" fontId="3" fillId="11" borderId="12" xfId="0" applyFont="1" applyFill="1" applyBorder="1" applyAlignment="1" applyProtection="1">
      <alignment horizontal="center" vertical="center"/>
      <protection locked="0"/>
    </xf>
    <xf numFmtId="0" fontId="3" fillId="13" borderId="12" xfId="0" applyFont="1" applyFill="1" applyBorder="1" applyAlignment="1" applyProtection="1">
      <alignment horizontal="center" vertical="center"/>
      <protection locked="0"/>
    </xf>
    <xf numFmtId="0" fontId="31" fillId="0" borderId="0" xfId="0" applyFont="1" applyAlignment="1" applyProtection="1">
      <alignment vertical="center"/>
      <protection locked="0"/>
    </xf>
    <xf numFmtId="173" fontId="0" fillId="0" borderId="0" xfId="2" applyNumberFormat="1" applyFont="1" applyBorder="1" applyAlignment="1" applyProtection="1">
      <alignment horizontal="center" vertical="center"/>
      <protection locked="0"/>
    </xf>
    <xf numFmtId="173" fontId="0" fillId="0" borderId="33" xfId="2" applyNumberFormat="1" applyFont="1" applyBorder="1" applyAlignment="1" applyProtection="1">
      <alignment horizontal="center" vertical="center"/>
      <protection locked="0"/>
    </xf>
    <xf numFmtId="0" fontId="2" fillId="5" borderId="6" xfId="0" applyFont="1" applyFill="1" applyBorder="1" applyAlignment="1" applyProtection="1">
      <alignment horizontal="left" vertical="center"/>
      <protection locked="0"/>
    </xf>
    <xf numFmtId="0" fontId="2" fillId="5" borderId="2" xfId="0" applyFont="1" applyFill="1" applyBorder="1" applyAlignment="1" applyProtection="1">
      <alignment horizontal="left" vertical="center" wrapText="1"/>
      <protection locked="0"/>
    </xf>
    <xf numFmtId="0" fontId="35" fillId="0" borderId="6" xfId="0" applyFont="1" applyBorder="1" applyAlignment="1" applyProtection="1">
      <alignment horizontal="left" vertical="center"/>
      <protection locked="0"/>
    </xf>
    <xf numFmtId="0" fontId="82" fillId="0" borderId="0" xfId="0" applyFont="1" applyAlignment="1" applyProtection="1">
      <alignment horizontal="center" vertical="center"/>
      <protection locked="0"/>
    </xf>
    <xf numFmtId="2" fontId="81" fillId="0" borderId="0" xfId="2" applyNumberFormat="1" applyFont="1" applyAlignment="1" applyProtection="1">
      <alignment vertical="center"/>
      <protection locked="0"/>
    </xf>
    <xf numFmtId="164" fontId="0" fillId="0" borderId="0" xfId="1" applyFont="1" applyAlignment="1" applyProtection="1">
      <alignment vertical="center"/>
      <protection locked="0"/>
    </xf>
    <xf numFmtId="0" fontId="31" fillId="24" borderId="19" xfId="0" applyFont="1" applyFill="1" applyBorder="1" applyAlignment="1" applyProtection="1">
      <alignment vertical="center"/>
      <protection locked="0"/>
    </xf>
    <xf numFmtId="0" fontId="12" fillId="0" borderId="12" xfId="0" applyFont="1" applyBorder="1" applyAlignment="1" applyProtection="1">
      <alignment horizontal="center" vertical="center"/>
      <protection locked="0"/>
    </xf>
    <xf numFmtId="0" fontId="9" fillId="0" borderId="12" xfId="0" applyFont="1" applyBorder="1" applyAlignment="1" applyProtection="1">
      <alignment horizontal="center" vertical="center" wrapText="1"/>
      <protection locked="0"/>
    </xf>
    <xf numFmtId="0" fontId="3" fillId="0" borderId="32" xfId="0" applyFont="1" applyBorder="1" applyAlignment="1" applyProtection="1">
      <alignment vertical="center"/>
      <protection locked="0"/>
    </xf>
    <xf numFmtId="0" fontId="20" fillId="7" borderId="29" xfId="0" applyFont="1" applyFill="1" applyBorder="1" applyAlignment="1" applyProtection="1">
      <alignment horizontal="center" vertical="center"/>
      <protection hidden="1"/>
    </xf>
    <xf numFmtId="166" fontId="3" fillId="6" borderId="10" xfId="1" applyNumberFormat="1" applyFont="1" applyFill="1" applyBorder="1" applyAlignment="1" applyProtection="1">
      <alignment horizontal="center" vertical="center"/>
      <protection hidden="1"/>
    </xf>
    <xf numFmtId="0" fontId="3" fillId="6" borderId="9" xfId="0" applyFont="1" applyFill="1" applyBorder="1" applyAlignment="1" applyProtection="1">
      <alignment horizontal="right" vertical="center"/>
      <protection hidden="1"/>
    </xf>
    <xf numFmtId="0" fontId="3" fillId="6" borderId="10" xfId="0" applyFont="1" applyFill="1" applyBorder="1" applyAlignment="1" applyProtection="1">
      <alignment horizontal="right" vertical="center"/>
      <protection hidden="1"/>
    </xf>
    <xf numFmtId="0" fontId="0" fillId="0" borderId="0" xfId="0" applyAlignment="1" applyProtection="1">
      <alignment horizontal="right" vertical="center"/>
      <protection hidden="1"/>
    </xf>
    <xf numFmtId="0" fontId="101" fillId="5" borderId="12" xfId="0" applyFont="1" applyFill="1" applyBorder="1" applyAlignment="1">
      <alignment vertical="center" wrapText="1"/>
    </xf>
    <xf numFmtId="0" fontId="103" fillId="0" borderId="12" xfId="0" applyFont="1" applyBorder="1" applyAlignment="1">
      <alignment vertical="center" wrapText="1"/>
    </xf>
    <xf numFmtId="0" fontId="2" fillId="5" borderId="12" xfId="0" applyFont="1" applyFill="1" applyBorder="1" applyAlignment="1" applyProtection="1">
      <alignment vertical="center" wrapText="1"/>
      <protection hidden="1"/>
    </xf>
    <xf numFmtId="0" fontId="0" fillId="0" borderId="12" xfId="0" applyBorder="1" applyAlignment="1" applyProtection="1">
      <alignment vertical="center" wrapText="1"/>
      <protection hidden="1"/>
    </xf>
    <xf numFmtId="0" fontId="0" fillId="0" borderId="0" xfId="0" applyProtection="1">
      <protection hidden="1"/>
    </xf>
    <xf numFmtId="0" fontId="10" fillId="0" borderId="0" xfId="0" applyFont="1" applyAlignment="1" applyProtection="1">
      <alignment horizontal="center" vertical="center"/>
      <protection locked="0"/>
    </xf>
    <xf numFmtId="37" fontId="0" fillId="0" borderId="0" xfId="0" applyNumberFormat="1" applyAlignment="1">
      <alignment horizontal="center" vertical="center"/>
    </xf>
    <xf numFmtId="37" fontId="19" fillId="7" borderId="14" xfId="4" quotePrefix="1" applyNumberFormat="1" applyFont="1" applyFill="1" applyBorder="1" applyAlignment="1" applyProtection="1">
      <alignment horizontal="center" vertical="center"/>
      <protection hidden="1"/>
    </xf>
    <xf numFmtId="37" fontId="14" fillId="6" borderId="14" xfId="5" applyNumberFormat="1" applyFont="1" applyFill="1" applyBorder="1" applyAlignment="1" applyProtection="1">
      <alignment horizontal="center" vertical="center"/>
      <protection hidden="1"/>
    </xf>
    <xf numFmtId="37" fontId="17" fillId="8" borderId="12" xfId="5" applyNumberFormat="1" applyFont="1" applyFill="1" applyBorder="1" applyAlignment="1" applyProtection="1">
      <alignment horizontal="center" vertical="center"/>
      <protection hidden="1"/>
    </xf>
    <xf numFmtId="166" fontId="19" fillId="7" borderId="15" xfId="4" applyNumberFormat="1" applyFont="1" applyFill="1" applyBorder="1" applyAlignment="1" applyProtection="1">
      <alignment horizontal="center" vertical="center"/>
      <protection hidden="1"/>
    </xf>
    <xf numFmtId="37" fontId="19" fillId="7" borderId="12" xfId="4" quotePrefix="1" applyNumberFormat="1" applyFont="1" applyFill="1" applyBorder="1" applyAlignment="1" applyProtection="1">
      <alignment horizontal="center" vertical="center"/>
      <protection hidden="1"/>
    </xf>
    <xf numFmtId="0" fontId="20" fillId="7" borderId="12" xfId="0" applyFont="1" applyFill="1" applyBorder="1" applyAlignment="1" applyProtection="1">
      <alignment horizontal="center" vertical="center"/>
      <protection hidden="1"/>
    </xf>
    <xf numFmtId="37" fontId="14" fillId="6" borderId="12" xfId="5" applyNumberFormat="1" applyFont="1" applyFill="1" applyBorder="1" applyAlignment="1" applyProtection="1">
      <alignment horizontal="center" vertical="center"/>
      <protection hidden="1"/>
    </xf>
    <xf numFmtId="171" fontId="17" fillId="8" borderId="9" xfId="5" applyNumberFormat="1" applyFont="1" applyFill="1" applyBorder="1" applyAlignment="1" applyProtection="1">
      <alignment horizontal="center" vertical="center" wrapText="1"/>
      <protection hidden="1"/>
    </xf>
    <xf numFmtId="37" fontId="17" fillId="6" borderId="12" xfId="5" applyNumberFormat="1" applyFont="1" applyFill="1" applyBorder="1" applyAlignment="1" applyProtection="1">
      <alignment horizontal="center" vertical="center"/>
      <protection hidden="1"/>
    </xf>
    <xf numFmtId="3" fontId="14" fillId="0" borderId="0" xfId="3" applyNumberFormat="1" applyFont="1" applyAlignment="1" applyProtection="1">
      <alignment horizontal="center" vertical="center"/>
      <protection hidden="1"/>
    </xf>
    <xf numFmtId="0" fontId="107" fillId="11" borderId="0" xfId="3" applyFont="1" applyFill="1" applyAlignment="1" applyProtection="1">
      <alignment vertical="center"/>
      <protection hidden="1"/>
    </xf>
    <xf numFmtId="172" fontId="17" fillId="0" borderId="0" xfId="6" applyNumberFormat="1" applyFont="1" applyFill="1" applyBorder="1" applyAlignment="1" applyProtection="1">
      <alignment horizontal="center" vertical="center"/>
      <protection hidden="1"/>
    </xf>
    <xf numFmtId="0" fontId="31" fillId="24" borderId="0" xfId="0" applyFont="1" applyFill="1" applyAlignment="1" applyProtection="1">
      <alignment vertical="center"/>
      <protection locked="0"/>
    </xf>
    <xf numFmtId="0" fontId="29" fillId="0" borderId="12" xfId="0" applyFont="1" applyBorder="1" applyAlignment="1" applyProtection="1">
      <alignment horizontal="center" vertical="center"/>
      <protection locked="0"/>
    </xf>
    <xf numFmtId="0" fontId="26" fillId="0" borderId="12" xfId="0" applyFont="1" applyBorder="1" applyAlignment="1" applyProtection="1">
      <alignment horizontal="center" vertical="center"/>
      <protection locked="0"/>
    </xf>
    <xf numFmtId="0" fontId="16" fillId="0" borderId="0" xfId="3" applyFont="1" applyAlignment="1" applyProtection="1">
      <alignment horizontal="center" vertical="center"/>
      <protection hidden="1"/>
    </xf>
    <xf numFmtId="0" fontId="16" fillId="0" borderId="0" xfId="3" applyFont="1" applyAlignment="1" applyProtection="1">
      <alignment vertical="center"/>
      <protection hidden="1"/>
    </xf>
    <xf numFmtId="0" fontId="107" fillId="0" borderId="0" xfId="3" applyFont="1" applyAlignment="1" applyProtection="1">
      <alignment horizontal="center" vertical="center"/>
      <protection hidden="1"/>
    </xf>
    <xf numFmtId="0" fontId="107" fillId="0" borderId="0" xfId="3" applyFont="1" applyAlignment="1" applyProtection="1">
      <alignment vertical="center"/>
      <protection hidden="1"/>
    </xf>
    <xf numFmtId="0" fontId="10" fillId="11" borderId="12" xfId="0" applyFont="1" applyFill="1" applyBorder="1" applyAlignment="1" applyProtection="1">
      <alignment horizontal="center" vertical="center"/>
      <protection locked="0"/>
    </xf>
    <xf numFmtId="37" fontId="0" fillId="11" borderId="12" xfId="0" applyNumberFormat="1" applyFill="1" applyBorder="1" applyAlignment="1">
      <alignment horizontal="center" vertical="center"/>
    </xf>
    <xf numFmtId="3" fontId="107" fillId="0" borderId="0" xfId="3" applyNumberFormat="1" applyFont="1" applyAlignment="1" applyProtection="1">
      <alignment vertical="center"/>
      <protection hidden="1"/>
    </xf>
    <xf numFmtId="3" fontId="14" fillId="11" borderId="0" xfId="3" applyNumberFormat="1" applyFont="1" applyFill="1" applyAlignment="1" applyProtection="1">
      <alignment vertical="center"/>
      <protection hidden="1"/>
    </xf>
    <xf numFmtId="0" fontId="2" fillId="5" borderId="10" xfId="0" applyFont="1" applyFill="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4" fillId="0" borderId="33" xfId="0" applyFont="1" applyBorder="1" applyAlignment="1" applyProtection="1">
      <alignment horizontal="center" vertical="center"/>
      <protection locked="0"/>
    </xf>
    <xf numFmtId="37" fontId="0" fillId="0" borderId="12" xfId="1" applyNumberFormat="1" applyFont="1" applyBorder="1" applyAlignment="1" applyProtection="1">
      <alignment horizontal="center" vertical="center"/>
      <protection locked="0"/>
    </xf>
    <xf numFmtId="3" fontId="26" fillId="0" borderId="0" xfId="0" applyNumberFormat="1" applyFont="1" applyAlignment="1" applyProtection="1">
      <alignment horizontal="center" vertical="center"/>
      <protection locked="0"/>
    </xf>
    <xf numFmtId="3" fontId="26" fillId="0" borderId="32" xfId="0" applyNumberFormat="1" applyFont="1" applyBorder="1" applyAlignment="1" applyProtection="1">
      <alignment horizontal="center" vertical="center"/>
      <protection locked="0"/>
    </xf>
    <xf numFmtId="3" fontId="26" fillId="0" borderId="33" xfId="0" applyNumberFormat="1" applyFont="1" applyBorder="1" applyAlignment="1" applyProtection="1">
      <alignment horizontal="center" vertical="center"/>
      <protection locked="0"/>
    </xf>
    <xf numFmtId="0" fontId="23" fillId="5" borderId="26" xfId="0" applyFont="1" applyFill="1" applyBorder="1" applyAlignment="1" applyProtection="1">
      <alignment horizontal="centerContinuous" vertical="center"/>
      <protection locked="0"/>
    </xf>
    <xf numFmtId="0" fontId="0" fillId="0" borderId="26" xfId="0" applyBorder="1" applyAlignment="1" applyProtection="1">
      <alignment horizontal="center" vertical="center"/>
      <protection locked="0"/>
    </xf>
    <xf numFmtId="0" fontId="0" fillId="24" borderId="19" xfId="0" applyFill="1" applyBorder="1" applyAlignment="1" applyProtection="1">
      <alignment vertical="center"/>
      <protection locked="0"/>
    </xf>
    <xf numFmtId="9" fontId="4" fillId="0" borderId="2" xfId="2" applyFont="1" applyBorder="1" applyAlignment="1" applyProtection="1">
      <alignment horizontal="center" vertical="center"/>
      <protection locked="0"/>
    </xf>
    <xf numFmtId="0" fontId="3" fillId="0" borderId="0" xfId="0" applyFont="1" applyAlignment="1" applyProtection="1">
      <alignment vertical="center"/>
      <protection locked="0"/>
    </xf>
    <xf numFmtId="1" fontId="14" fillId="0" borderId="12" xfId="4" quotePrefix="1" applyNumberFormat="1" applyFont="1" applyFill="1" applyBorder="1" applyAlignment="1" applyProtection="1">
      <alignment horizontal="center" vertical="center"/>
      <protection hidden="1"/>
    </xf>
    <xf numFmtId="0" fontId="108" fillId="0" borderId="0" xfId="0" applyFont="1" applyAlignment="1" applyProtection="1">
      <alignment vertical="center"/>
      <protection hidden="1"/>
    </xf>
    <xf numFmtId="0" fontId="42" fillId="5" borderId="13" xfId="0" applyFont="1" applyFill="1" applyBorder="1" applyAlignment="1" applyProtection="1">
      <alignment horizontal="left" vertical="center" wrapText="1"/>
      <protection hidden="1"/>
    </xf>
    <xf numFmtId="166" fontId="28" fillId="0" borderId="12" xfId="1" applyNumberFormat="1" applyFont="1" applyFill="1" applyBorder="1" applyAlignment="1" applyProtection="1">
      <alignment horizontal="center" vertical="center"/>
      <protection locked="0"/>
    </xf>
    <xf numFmtId="0" fontId="0" fillId="0" borderId="38" xfId="0" applyBorder="1" applyAlignment="1" applyProtection="1">
      <alignment horizontal="center" vertical="center"/>
      <protection locked="0"/>
    </xf>
    <xf numFmtId="166" fontId="4" fillId="0" borderId="12" xfId="1" applyNumberFormat="1" applyFont="1" applyFill="1" applyBorder="1" applyAlignment="1" applyProtection="1">
      <alignment horizontal="center" vertical="center"/>
      <protection locked="0"/>
    </xf>
    <xf numFmtId="9" fontId="4" fillId="0" borderId="12" xfId="0" applyNumberFormat="1" applyFont="1" applyBorder="1" applyAlignment="1" applyProtection="1">
      <alignment horizontal="center" vertical="center"/>
      <protection locked="0"/>
    </xf>
    <xf numFmtId="3" fontId="0" fillId="0" borderId="12" xfId="0" applyNumberFormat="1" applyBorder="1" applyAlignment="1" applyProtection="1">
      <alignment horizontal="center" vertical="center"/>
      <protection locked="0"/>
    </xf>
    <xf numFmtId="3" fontId="4" fillId="0" borderId="12" xfId="1" applyNumberFormat="1" applyFont="1" applyBorder="1" applyAlignment="1" applyProtection="1">
      <alignment horizontal="center" vertical="center"/>
      <protection locked="0"/>
    </xf>
    <xf numFmtId="3" fontId="0" fillId="0" borderId="12" xfId="1" applyNumberFormat="1" applyFont="1" applyFill="1" applyBorder="1" applyAlignment="1" applyProtection="1">
      <alignment horizontal="center" vertical="center"/>
      <protection locked="0"/>
    </xf>
    <xf numFmtId="3" fontId="4" fillId="0" borderId="12" xfId="1" applyNumberFormat="1" applyFont="1" applyFill="1" applyBorder="1" applyAlignment="1" applyProtection="1">
      <alignment horizontal="center" vertical="center"/>
      <protection locked="0"/>
    </xf>
    <xf numFmtId="3" fontId="0" fillId="0" borderId="12" xfId="1" applyNumberFormat="1" applyFont="1" applyBorder="1" applyAlignment="1" applyProtection="1">
      <alignment horizontal="center" vertical="center"/>
      <protection locked="0"/>
    </xf>
    <xf numFmtId="37" fontId="4" fillId="0" borderId="12" xfId="1" applyNumberFormat="1" applyFont="1" applyFill="1" applyBorder="1" applyAlignment="1" applyProtection="1">
      <alignment horizontal="center" vertical="center"/>
      <protection locked="0"/>
    </xf>
    <xf numFmtId="37" fontId="4" fillId="0" borderId="12" xfId="1" applyNumberFormat="1" applyFont="1" applyBorder="1" applyAlignment="1" applyProtection="1">
      <alignment horizontal="center" vertical="center"/>
      <protection locked="0"/>
    </xf>
    <xf numFmtId="37" fontId="0" fillId="24" borderId="12" xfId="1" applyNumberFormat="1" applyFont="1" applyFill="1" applyBorder="1" applyAlignment="1" applyProtection="1">
      <alignment horizontal="center" vertical="center"/>
      <protection locked="0"/>
    </xf>
    <xf numFmtId="37" fontId="4" fillId="24" borderId="12" xfId="1" applyNumberFormat="1" applyFont="1" applyFill="1" applyBorder="1" applyAlignment="1" applyProtection="1">
      <alignment horizontal="center" vertical="center"/>
      <protection locked="0"/>
    </xf>
    <xf numFmtId="0" fontId="109" fillId="0" borderId="12" xfId="0" applyFont="1" applyBorder="1" applyAlignment="1">
      <alignment horizontal="left" vertical="center"/>
    </xf>
    <xf numFmtId="3" fontId="0" fillId="0" borderId="12" xfId="1" applyNumberFormat="1" applyFont="1" applyBorder="1" applyAlignment="1" applyProtection="1">
      <alignment horizontal="center" vertical="center"/>
      <protection hidden="1"/>
    </xf>
    <xf numFmtId="3" fontId="4" fillId="0" borderId="12" xfId="0" applyNumberFormat="1" applyFont="1" applyBorder="1" applyAlignment="1" applyProtection="1">
      <alignment horizontal="center" vertical="center"/>
      <protection hidden="1"/>
    </xf>
    <xf numFmtId="3" fontId="26" fillId="11" borderId="12" xfId="1" applyNumberFormat="1" applyFont="1" applyFill="1" applyBorder="1" applyAlignment="1" applyProtection="1">
      <alignment horizontal="center" vertical="center"/>
      <protection hidden="1"/>
    </xf>
    <xf numFmtId="10" fontId="26" fillId="0" borderId="12" xfId="2" applyNumberFormat="1" applyFont="1" applyBorder="1" applyAlignment="1" applyProtection="1">
      <alignment horizontal="center" vertical="center"/>
      <protection hidden="1"/>
    </xf>
    <xf numFmtId="3" fontId="0" fillId="24" borderId="12" xfId="1" applyNumberFormat="1" applyFont="1" applyFill="1" applyBorder="1" applyAlignment="1" applyProtection="1">
      <alignment horizontal="center" vertical="center"/>
      <protection locked="0"/>
    </xf>
    <xf numFmtId="3" fontId="4" fillId="24" borderId="12" xfId="1" applyNumberFormat="1" applyFont="1" applyFill="1" applyBorder="1" applyAlignment="1" applyProtection="1">
      <alignment horizontal="center" vertical="center"/>
      <protection locked="0"/>
    </xf>
    <xf numFmtId="173" fontId="0" fillId="0" borderId="0" xfId="2" applyNumberFormat="1" applyFont="1" applyAlignment="1" applyProtection="1">
      <alignment vertical="center"/>
      <protection locked="0"/>
    </xf>
    <xf numFmtId="10" fontId="0" fillId="0" borderId="12" xfId="2" applyNumberFormat="1" applyFont="1" applyBorder="1" applyAlignment="1" applyProtection="1">
      <alignment horizontal="center" vertical="center"/>
      <protection locked="0"/>
    </xf>
    <xf numFmtId="166" fontId="3" fillId="0" borderId="0" xfId="1" applyNumberFormat="1" applyFont="1" applyAlignment="1" applyProtection="1">
      <alignment vertical="center"/>
      <protection locked="0"/>
    </xf>
    <xf numFmtId="0" fontId="4" fillId="24" borderId="12" xfId="0" applyFont="1" applyFill="1" applyBorder="1" applyAlignment="1" applyProtection="1">
      <alignment horizontal="center" vertical="center"/>
      <protection locked="0"/>
    </xf>
    <xf numFmtId="0" fontId="3" fillId="0" borderId="31" xfId="0" applyFont="1" applyBorder="1" applyAlignment="1" applyProtection="1">
      <alignment vertical="center"/>
      <protection locked="0"/>
    </xf>
    <xf numFmtId="9" fontId="3" fillId="0" borderId="12" xfId="2" applyFont="1" applyBorder="1" applyAlignment="1" applyProtection="1">
      <alignment horizontal="center" vertical="center"/>
      <protection locked="0"/>
    </xf>
    <xf numFmtId="0" fontId="110" fillId="0" borderId="12" xfId="0" applyFont="1" applyBorder="1" applyAlignment="1">
      <alignment vertical="center"/>
    </xf>
    <xf numFmtId="0" fontId="110" fillId="0" borderId="12" xfId="0" applyFont="1" applyBorder="1" applyAlignment="1">
      <alignment horizontal="center" vertical="center"/>
    </xf>
    <xf numFmtId="0" fontId="98" fillId="0" borderId="12" xfId="0" applyFont="1" applyBorder="1" applyAlignment="1">
      <alignment vertical="center"/>
    </xf>
    <xf numFmtId="3" fontId="85" fillId="0" borderId="12" xfId="0" applyNumberFormat="1" applyFont="1" applyBorder="1" applyAlignment="1">
      <alignment horizontal="center" vertical="center"/>
    </xf>
    <xf numFmtId="3" fontId="110" fillId="0" borderId="12" xfId="0" applyNumberFormat="1" applyFont="1" applyBorder="1" applyAlignment="1">
      <alignment horizontal="center" vertical="center"/>
    </xf>
    <xf numFmtId="0" fontId="26" fillId="0" borderId="31" xfId="0" applyFont="1" applyBorder="1" applyAlignment="1" applyProtection="1">
      <alignment vertical="center"/>
      <protection locked="0"/>
    </xf>
    <xf numFmtId="0" fontId="24" fillId="10" borderId="0" xfId="0" applyFont="1" applyFill="1" applyAlignment="1" applyProtection="1">
      <alignment horizontal="left" vertical="center"/>
      <protection hidden="1"/>
    </xf>
    <xf numFmtId="0" fontId="24" fillId="10" borderId="36" xfId="0" applyFont="1" applyFill="1" applyBorder="1" applyAlignment="1" applyProtection="1">
      <alignment horizontal="left" vertical="center"/>
      <protection hidden="1"/>
    </xf>
    <xf numFmtId="0" fontId="0" fillId="0" borderId="36" xfId="0" applyBorder="1" applyAlignment="1" applyProtection="1">
      <alignment vertical="center"/>
      <protection hidden="1"/>
    </xf>
    <xf numFmtId="0" fontId="0" fillId="0" borderId="17" xfId="0" applyBorder="1" applyAlignment="1" applyProtection="1">
      <alignment vertical="center"/>
      <protection hidden="1"/>
    </xf>
    <xf numFmtId="0" fontId="23" fillId="5" borderId="13" xfId="0" applyFont="1" applyFill="1" applyBorder="1" applyAlignment="1" applyProtection="1">
      <alignment vertical="center"/>
      <protection hidden="1"/>
    </xf>
    <xf numFmtId="0" fontId="23" fillId="5" borderId="100" xfId="0" applyFont="1" applyFill="1" applyBorder="1" applyAlignment="1" applyProtection="1">
      <alignment vertical="center"/>
      <protection hidden="1"/>
    </xf>
    <xf numFmtId="0" fontId="23" fillId="5" borderId="15" xfId="0" applyFont="1" applyFill="1" applyBorder="1" applyAlignment="1" applyProtection="1">
      <alignment vertical="center"/>
      <protection hidden="1"/>
    </xf>
    <xf numFmtId="0" fontId="0" fillId="0" borderId="36" xfId="0" applyBorder="1" applyAlignment="1" applyProtection="1">
      <alignment horizontal="left" vertical="center" wrapText="1"/>
      <protection hidden="1"/>
    </xf>
    <xf numFmtId="0" fontId="0" fillId="0" borderId="9" xfId="0" applyBorder="1" applyAlignment="1" applyProtection="1">
      <alignment vertical="center"/>
      <protection hidden="1"/>
    </xf>
    <xf numFmtId="0" fontId="0" fillId="0" borderId="11" xfId="0" applyBorder="1" applyAlignment="1" applyProtection="1">
      <alignment vertical="center"/>
      <protection hidden="1"/>
    </xf>
    <xf numFmtId="0" fontId="0" fillId="0" borderId="35" xfId="0" applyBorder="1" applyAlignment="1" applyProtection="1">
      <alignment vertical="center"/>
      <protection hidden="1"/>
    </xf>
    <xf numFmtId="0" fontId="3" fillId="0" borderId="0" xfId="0" applyFont="1" applyAlignment="1" applyProtection="1">
      <alignment vertical="center"/>
      <protection hidden="1"/>
    </xf>
    <xf numFmtId="0" fontId="0" fillId="0" borderId="16" xfId="0" applyBorder="1" applyAlignment="1" applyProtection="1">
      <alignment vertical="center"/>
      <protection hidden="1"/>
    </xf>
    <xf numFmtId="0" fontId="3" fillId="0" borderId="36" xfId="0" applyFont="1" applyBorder="1" applyAlignment="1" applyProtection="1">
      <alignment vertical="center"/>
      <protection hidden="1"/>
    </xf>
    <xf numFmtId="0" fontId="3" fillId="0" borderId="36" xfId="0" applyFont="1" applyBorder="1" applyAlignment="1" applyProtection="1">
      <alignment horizontal="left" vertical="center" wrapText="1"/>
      <protection hidden="1"/>
    </xf>
    <xf numFmtId="0" fontId="112" fillId="5" borderId="12" xfId="0" applyFont="1" applyFill="1" applyBorder="1" applyAlignment="1" applyProtection="1">
      <alignment horizontal="center" vertical="center"/>
      <protection hidden="1"/>
    </xf>
    <xf numFmtId="3" fontId="0" fillId="0" borderId="0" xfId="0" applyNumberFormat="1" applyAlignment="1" applyProtection="1">
      <alignment horizontal="center" vertical="center"/>
      <protection hidden="1"/>
    </xf>
    <xf numFmtId="9" fontId="0" fillId="0" borderId="12" xfId="2" applyFont="1" applyBorder="1" applyAlignment="1" applyProtection="1">
      <alignment horizontal="center" vertical="center" wrapText="1"/>
      <protection hidden="1"/>
    </xf>
    <xf numFmtId="0" fontId="112" fillId="5" borderId="9" xfId="8" applyFont="1" applyFill="1" applyBorder="1" applyAlignment="1" applyProtection="1">
      <alignment vertical="center"/>
      <protection hidden="1"/>
    </xf>
    <xf numFmtId="0" fontId="113" fillId="5" borderId="11" xfId="8" applyFont="1" applyFill="1" applyBorder="1" applyAlignment="1" applyProtection="1">
      <alignment vertical="center"/>
      <protection hidden="1"/>
    </xf>
    <xf numFmtId="0" fontId="113" fillId="5" borderId="10" xfId="8" applyFont="1" applyFill="1" applyBorder="1" applyAlignment="1" applyProtection="1">
      <alignment vertical="center"/>
      <protection hidden="1"/>
    </xf>
    <xf numFmtId="0" fontId="43" fillId="0" borderId="0" xfId="0" applyFont="1" applyAlignment="1" applyProtection="1">
      <alignment vertical="center"/>
      <protection hidden="1"/>
    </xf>
    <xf numFmtId="3" fontId="71" fillId="0" borderId="12" xfId="0" applyNumberFormat="1" applyFont="1" applyBorder="1" applyAlignment="1" applyProtection="1">
      <alignment horizontal="center" vertical="center"/>
      <protection hidden="1"/>
    </xf>
    <xf numFmtId="3" fontId="72" fillId="0" borderId="12" xfId="0" applyNumberFormat="1" applyFont="1" applyBorder="1" applyAlignment="1" applyProtection="1">
      <alignment horizontal="center" vertical="center" wrapText="1"/>
      <protection hidden="1"/>
    </xf>
    <xf numFmtId="0" fontId="73" fillId="0" borderId="35" xfId="0" applyFont="1" applyBorder="1" applyAlignment="1" applyProtection="1">
      <alignment horizontal="left" vertical="center"/>
      <protection hidden="1"/>
    </xf>
    <xf numFmtId="0" fontId="73" fillId="0" borderId="38" xfId="0" applyFont="1" applyBorder="1" applyAlignment="1" applyProtection="1">
      <alignment horizontal="left" vertical="center"/>
      <protection hidden="1"/>
    </xf>
    <xf numFmtId="0" fontId="73" fillId="0" borderId="16" xfId="0" applyFont="1" applyBorder="1" applyAlignment="1" applyProtection="1">
      <alignment horizontal="left" vertical="center"/>
      <protection hidden="1"/>
    </xf>
    <xf numFmtId="0" fontId="71" fillId="0" borderId="17" xfId="0" applyFont="1" applyBorder="1" applyAlignment="1" applyProtection="1">
      <alignment horizontal="center" vertical="center"/>
      <protection hidden="1"/>
    </xf>
    <xf numFmtId="0" fontId="71" fillId="0" borderId="38" xfId="0" applyFont="1" applyBorder="1" applyAlignment="1" applyProtection="1">
      <alignment horizontal="center" vertical="center"/>
      <protection hidden="1"/>
    </xf>
    <xf numFmtId="9" fontId="114" fillId="0" borderId="12" xfId="2" applyFont="1" applyBorder="1" applyAlignment="1" applyProtection="1">
      <alignment horizontal="center" vertical="center"/>
      <protection locked="0"/>
    </xf>
    <xf numFmtId="9" fontId="90" fillId="0" borderId="12" xfId="2" applyFont="1" applyBorder="1" applyAlignment="1" applyProtection="1">
      <alignment horizontal="center" vertical="center"/>
      <protection locked="0"/>
    </xf>
    <xf numFmtId="3" fontId="72" fillId="0" borderId="13" xfId="0" applyNumberFormat="1" applyFont="1" applyBorder="1" applyAlignment="1" applyProtection="1">
      <alignment horizontal="center" vertical="center" wrapText="1"/>
      <protection hidden="1"/>
    </xf>
    <xf numFmtId="167" fontId="115" fillId="5" borderId="12" xfId="5" applyNumberFormat="1" applyFont="1" applyFill="1" applyBorder="1" applyAlignment="1" applyProtection="1">
      <alignment horizontal="center" vertical="center" wrapText="1"/>
      <protection hidden="1"/>
    </xf>
    <xf numFmtId="0" fontId="0" fillId="0" borderId="38" xfId="0" applyBorder="1" applyAlignment="1" applyProtection="1">
      <alignment vertical="center"/>
      <protection hidden="1"/>
    </xf>
    <xf numFmtId="0" fontId="69" fillId="0" borderId="12" xfId="0" applyFont="1" applyBorder="1" applyAlignment="1" applyProtection="1">
      <alignment vertical="center" wrapText="1"/>
      <protection hidden="1"/>
    </xf>
    <xf numFmtId="0" fontId="4" fillId="7" borderId="12" xfId="0" applyFont="1" applyFill="1" applyBorder="1" applyAlignment="1" applyProtection="1">
      <alignment horizontal="center" vertical="center" wrapText="1"/>
      <protection hidden="1"/>
    </xf>
    <xf numFmtId="0" fontId="4" fillId="0" borderId="12" xfId="0" applyFont="1" applyBorder="1" applyAlignment="1" applyProtection="1">
      <alignment horizontal="center" vertical="center" wrapText="1"/>
      <protection hidden="1"/>
    </xf>
    <xf numFmtId="1" fontId="0" fillId="0" borderId="12" xfId="2" applyNumberFormat="1" applyFont="1" applyBorder="1" applyAlignment="1" applyProtection="1">
      <alignment horizontal="center" vertical="center"/>
      <protection hidden="1"/>
    </xf>
    <xf numFmtId="0" fontId="3" fillId="0" borderId="12" xfId="0" applyFont="1" applyBorder="1" applyAlignment="1" applyProtection="1">
      <alignment horizontal="center" vertical="center"/>
      <protection hidden="1"/>
    </xf>
    <xf numFmtId="1" fontId="4" fillId="7" borderId="12" xfId="1" applyNumberFormat="1" applyFont="1" applyFill="1" applyBorder="1" applyAlignment="1" applyProtection="1">
      <alignment horizontal="center" vertical="center" wrapText="1"/>
      <protection hidden="1"/>
    </xf>
    <xf numFmtId="1" fontId="4" fillId="0" borderId="12" xfId="1" applyNumberFormat="1" applyFont="1" applyBorder="1" applyAlignment="1" applyProtection="1">
      <alignment horizontal="center" vertical="center" wrapText="1"/>
      <protection hidden="1"/>
    </xf>
    <xf numFmtId="1" fontId="0" fillId="0" borderId="0" xfId="0" applyNumberFormat="1" applyAlignment="1" applyProtection="1">
      <alignment vertical="center"/>
      <protection hidden="1"/>
    </xf>
    <xf numFmtId="3" fontId="4" fillId="7" borderId="12" xfId="1" applyNumberFormat="1" applyFont="1" applyFill="1" applyBorder="1" applyAlignment="1" applyProtection="1">
      <alignment horizontal="center" vertical="center" wrapText="1"/>
      <protection hidden="1"/>
    </xf>
    <xf numFmtId="3" fontId="4" fillId="0" borderId="0" xfId="0" applyNumberFormat="1" applyFont="1" applyAlignment="1" applyProtection="1">
      <alignment horizontal="center" vertical="center"/>
      <protection hidden="1"/>
    </xf>
    <xf numFmtId="0" fontId="119" fillId="0" borderId="0" xfId="0" applyFont="1" applyAlignment="1" applyProtection="1">
      <alignment vertical="center"/>
      <protection hidden="1"/>
    </xf>
    <xf numFmtId="10" fontId="114" fillId="0" borderId="12" xfId="2" applyNumberFormat="1" applyFont="1" applyBorder="1" applyAlignment="1" applyProtection="1">
      <alignment horizontal="center" vertical="center"/>
      <protection locked="0"/>
    </xf>
    <xf numFmtId="0" fontId="107" fillId="0" borderId="12" xfId="3" applyFont="1" applyBorder="1" applyAlignment="1" applyProtection="1">
      <alignment vertical="center"/>
      <protection hidden="1"/>
    </xf>
    <xf numFmtId="9" fontId="26" fillId="0" borderId="2" xfId="2" applyFont="1" applyBorder="1" applyAlignment="1" applyProtection="1">
      <alignment horizontal="center" vertical="center"/>
      <protection locked="0"/>
    </xf>
    <xf numFmtId="0" fontId="87" fillId="0" borderId="0" xfId="0" applyFont="1" applyAlignment="1" applyProtection="1">
      <alignment horizontal="center" vertical="center"/>
      <protection locked="0"/>
    </xf>
    <xf numFmtId="0" fontId="69" fillId="0" borderId="12" xfId="0" applyFont="1" applyBorder="1" applyAlignment="1" applyProtection="1">
      <alignment horizontal="left" vertical="center" wrapText="1"/>
      <protection hidden="1"/>
    </xf>
    <xf numFmtId="3" fontId="69" fillId="0" borderId="12" xfId="0" applyNumberFormat="1" applyFont="1" applyBorder="1" applyAlignment="1" applyProtection="1">
      <alignment horizontal="left" vertical="center" wrapText="1"/>
      <protection hidden="1"/>
    </xf>
    <xf numFmtId="183" fontId="69" fillId="0" borderId="12" xfId="0" applyNumberFormat="1" applyFont="1" applyBorder="1" applyAlignment="1" applyProtection="1">
      <alignment horizontal="left" vertical="center" wrapText="1"/>
      <protection hidden="1"/>
    </xf>
    <xf numFmtId="37" fontId="88" fillId="0" borderId="12" xfId="0" applyNumberFormat="1" applyFont="1" applyBorder="1" applyAlignment="1" applyProtection="1">
      <alignment horizontal="center" vertical="center"/>
      <protection locked="0"/>
    </xf>
    <xf numFmtId="0" fontId="26" fillId="19"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3" fontId="69" fillId="0" borderId="0" xfId="0" applyNumberFormat="1" applyFont="1" applyAlignment="1" applyProtection="1">
      <alignment horizontal="left" vertical="center" wrapText="1"/>
      <protection hidden="1"/>
    </xf>
    <xf numFmtId="0" fontId="88" fillId="0" borderId="0" xfId="0" applyFont="1" applyAlignment="1" applyProtection="1">
      <alignment horizontal="center" vertical="center"/>
      <protection locked="0"/>
    </xf>
    <xf numFmtId="1" fontId="88" fillId="0" borderId="12" xfId="0" applyNumberFormat="1" applyFont="1" applyBorder="1" applyAlignment="1" applyProtection="1">
      <alignment horizontal="center" vertical="center"/>
      <protection locked="0"/>
    </xf>
    <xf numFmtId="0" fontId="88" fillId="29" borderId="12" xfId="0" applyFont="1" applyFill="1" applyBorder="1" applyAlignment="1" applyProtection="1">
      <alignment horizontal="center" vertical="center" wrapText="1"/>
      <protection locked="0"/>
    </xf>
    <xf numFmtId="2" fontId="0" fillId="0" borderId="0" xfId="0" applyNumberFormat="1" applyAlignment="1" applyProtection="1">
      <alignment horizontal="center" vertical="center"/>
      <protection locked="0"/>
    </xf>
    <xf numFmtId="184" fontId="26" fillId="14" borderId="12" xfId="0" applyNumberFormat="1" applyFont="1" applyFill="1" applyBorder="1" applyAlignment="1" applyProtection="1">
      <alignment horizontal="center" vertical="center"/>
      <protection locked="0"/>
    </xf>
    <xf numFmtId="0" fontId="111" fillId="20" borderId="9" xfId="8" applyFont="1" applyFill="1" applyBorder="1" applyAlignment="1" applyProtection="1">
      <alignment horizontal="left" vertical="center" wrapText="1"/>
      <protection hidden="1"/>
    </xf>
    <xf numFmtId="0" fontId="111" fillId="20" borderId="11" xfId="8" applyFont="1" applyFill="1" applyBorder="1" applyAlignment="1" applyProtection="1">
      <alignment horizontal="left" vertical="center" wrapText="1"/>
      <protection hidden="1"/>
    </xf>
    <xf numFmtId="0" fontId="111" fillId="20" borderId="10" xfId="8" applyFont="1" applyFill="1" applyBorder="1" applyAlignment="1" applyProtection="1">
      <alignment horizontal="left" vertical="center" wrapText="1"/>
      <protection hidden="1"/>
    </xf>
    <xf numFmtId="14" fontId="24" fillId="10" borderId="0" xfId="0" applyNumberFormat="1" applyFont="1" applyFill="1" applyAlignment="1" applyProtection="1">
      <alignment horizontal="left" vertical="center"/>
      <protection hidden="1"/>
    </xf>
    <xf numFmtId="0" fontId="0" fillId="0" borderId="17" xfId="0" applyBorder="1" applyAlignment="1" applyProtection="1">
      <alignment horizontal="left" vertical="center" wrapText="1"/>
      <protection hidden="1"/>
    </xf>
    <xf numFmtId="0" fontId="0" fillId="0" borderId="11" xfId="0" applyBorder="1" applyAlignment="1" applyProtection="1">
      <alignment horizontal="left" vertical="center" wrapText="1"/>
      <protection hidden="1"/>
    </xf>
    <xf numFmtId="14" fontId="25" fillId="10" borderId="0" xfId="0" applyNumberFormat="1" applyFont="1" applyFill="1" applyAlignment="1" applyProtection="1">
      <alignment horizontal="left" vertical="center"/>
      <protection hidden="1"/>
    </xf>
    <xf numFmtId="0" fontId="26" fillId="0" borderId="35" xfId="0" applyFont="1" applyBorder="1" applyAlignment="1" applyProtection="1">
      <alignment vertical="center"/>
      <protection hidden="1"/>
    </xf>
    <xf numFmtId="0" fontId="26" fillId="0" borderId="0" xfId="0" applyFont="1" applyAlignment="1" applyProtection="1">
      <alignment vertical="center"/>
      <protection hidden="1"/>
    </xf>
    <xf numFmtId="0" fontId="0" fillId="0" borderId="0" xfId="0" applyAlignment="1" applyProtection="1">
      <alignment horizontal="center" vertical="center"/>
      <protection hidden="1"/>
    </xf>
    <xf numFmtId="0" fontId="0" fillId="0" borderId="36" xfId="0" applyBorder="1" applyAlignment="1" applyProtection="1">
      <alignment horizontal="center" vertical="center"/>
      <protection hidden="1"/>
    </xf>
    <xf numFmtId="0" fontId="0" fillId="0" borderId="37" xfId="0" applyBorder="1" applyAlignment="1" applyProtection="1">
      <alignment vertical="center"/>
      <protection hidden="1"/>
    </xf>
    <xf numFmtId="0" fontId="0" fillId="0" borderId="39" xfId="0" applyBorder="1" applyAlignment="1" applyProtection="1">
      <alignment vertical="center"/>
      <protection hidden="1"/>
    </xf>
    <xf numFmtId="14" fontId="24" fillId="10" borderId="17" xfId="0" applyNumberFormat="1" applyFont="1" applyFill="1" applyBorder="1" applyAlignment="1" applyProtection="1">
      <alignment horizontal="left" vertical="center"/>
      <protection hidden="1"/>
    </xf>
    <xf numFmtId="0" fontId="0" fillId="0" borderId="17" xfId="0" applyBorder="1" applyAlignment="1" applyProtection="1">
      <alignment horizontal="center" vertical="center"/>
      <protection hidden="1"/>
    </xf>
    <xf numFmtId="0" fontId="0" fillId="0" borderId="18" xfId="0" applyBorder="1" applyAlignment="1" applyProtection="1">
      <alignment vertical="center"/>
      <protection hidden="1"/>
    </xf>
    <xf numFmtId="0" fontId="46" fillId="0" borderId="0" xfId="25" applyFont="1" applyAlignment="1" applyProtection="1">
      <alignment horizontal="left" vertical="center" wrapText="1"/>
      <protection hidden="1"/>
    </xf>
    <xf numFmtId="0" fontId="46" fillId="0" borderId="0" xfId="25" applyFont="1" applyAlignment="1" applyProtection="1">
      <alignment vertical="center"/>
      <protection hidden="1"/>
    </xf>
    <xf numFmtId="0" fontId="46" fillId="0" borderId="0" xfId="25" quotePrefix="1" applyFont="1" applyAlignment="1" applyProtection="1">
      <alignment vertical="center"/>
      <protection hidden="1"/>
    </xf>
    <xf numFmtId="0" fontId="0" fillId="0" borderId="11" xfId="0" applyBorder="1" applyAlignment="1" applyProtection="1">
      <alignment horizontal="center" vertical="center"/>
      <protection hidden="1"/>
    </xf>
    <xf numFmtId="0" fontId="0" fillId="0" borderId="10" xfId="0" applyBorder="1" applyAlignment="1" applyProtection="1">
      <alignment vertical="center"/>
      <protection hidden="1"/>
    </xf>
    <xf numFmtId="0" fontId="0" fillId="0" borderId="16" xfId="0" applyBorder="1" applyAlignment="1" applyProtection="1">
      <alignment vertical="top"/>
      <protection hidden="1"/>
    </xf>
    <xf numFmtId="0" fontId="0" fillId="0" borderId="17" xfId="0" applyBorder="1" applyAlignment="1" applyProtection="1">
      <alignment vertical="top"/>
      <protection hidden="1"/>
    </xf>
    <xf numFmtId="0" fontId="0" fillId="0" borderId="17" xfId="0" applyBorder="1" applyAlignment="1" applyProtection="1">
      <alignment horizontal="left" vertical="top" wrapText="1"/>
      <protection hidden="1"/>
    </xf>
    <xf numFmtId="0" fontId="96" fillId="0" borderId="0" xfId="0" applyFont="1" applyAlignment="1" applyProtection="1">
      <alignment vertical="center"/>
      <protection hidden="1"/>
    </xf>
    <xf numFmtId="0" fontId="96" fillId="0" borderId="0" xfId="0" applyFont="1" applyProtection="1">
      <protection hidden="1"/>
    </xf>
    <xf numFmtId="0" fontId="83" fillId="5" borderId="12" xfId="0" applyFont="1" applyFill="1" applyBorder="1" applyAlignment="1" applyProtection="1">
      <alignment horizontal="center" vertical="center" wrapText="1"/>
      <protection hidden="1"/>
    </xf>
    <xf numFmtId="166" fontId="0" fillId="7" borderId="12" xfId="1" applyNumberFormat="1" applyFont="1" applyFill="1" applyBorder="1" applyAlignment="1" applyProtection="1">
      <alignment horizontal="center" vertical="center" wrapText="1"/>
      <protection hidden="1"/>
    </xf>
    <xf numFmtId="37" fontId="0" fillId="0" borderId="12" xfId="1" applyNumberFormat="1" applyFont="1" applyFill="1" applyBorder="1" applyAlignment="1" applyProtection="1">
      <alignment horizontal="center" vertical="center" wrapText="1"/>
      <protection hidden="1"/>
    </xf>
    <xf numFmtId="0" fontId="116" fillId="5" borderId="12" xfId="0" applyFont="1" applyFill="1" applyBorder="1" applyAlignment="1" applyProtection="1">
      <alignment horizontal="center" vertical="center" wrapText="1"/>
      <protection hidden="1"/>
    </xf>
    <xf numFmtId="0" fontId="83" fillId="5" borderId="10" xfId="0" applyFont="1" applyFill="1" applyBorder="1" applyAlignment="1" applyProtection="1">
      <alignment horizontal="center" vertical="center" wrapText="1"/>
      <protection hidden="1"/>
    </xf>
    <xf numFmtId="166" fontId="4" fillId="7" borderId="10" xfId="1" applyNumberFormat="1" applyFont="1" applyFill="1" applyBorder="1" applyAlignment="1" applyProtection="1">
      <alignment horizontal="center" vertical="center" wrapText="1"/>
      <protection hidden="1"/>
    </xf>
    <xf numFmtId="37" fontId="4" fillId="0" borderId="12" xfId="1" applyNumberFormat="1" applyFont="1" applyFill="1" applyBorder="1" applyAlignment="1" applyProtection="1">
      <alignment horizontal="center" vertical="center" wrapText="1"/>
      <protection hidden="1"/>
    </xf>
    <xf numFmtId="166" fontId="4" fillId="7" borderId="12" xfId="1" applyNumberFormat="1" applyFont="1" applyFill="1" applyBorder="1" applyAlignment="1" applyProtection="1">
      <alignment horizontal="center" vertical="center" wrapText="1"/>
      <protection hidden="1"/>
    </xf>
    <xf numFmtId="0" fontId="4" fillId="0" borderId="0" xfId="0" applyFont="1" applyProtection="1">
      <protection hidden="1"/>
    </xf>
    <xf numFmtId="0" fontId="0" fillId="0" borderId="12" xfId="0" applyBorder="1" applyAlignment="1" applyProtection="1">
      <alignment horizontal="left" vertical="center"/>
      <protection locked="0"/>
    </xf>
    <xf numFmtId="0" fontId="91" fillId="5" borderId="12" xfId="0" applyFont="1" applyFill="1" applyBorder="1" applyAlignment="1">
      <alignment horizontal="center" vertical="center" wrapText="1"/>
    </xf>
    <xf numFmtId="0" fontId="3" fillId="0" borderId="12" xfId="0" applyFont="1" applyBorder="1" applyAlignment="1" applyProtection="1">
      <alignment horizontal="center" vertical="center"/>
      <protection locked="0"/>
    </xf>
    <xf numFmtId="181" fontId="95" fillId="0" borderId="12" xfId="0" applyNumberFormat="1" applyFont="1" applyBorder="1" applyAlignment="1">
      <alignment horizontal="left" vertical="center" wrapText="1"/>
    </xf>
    <xf numFmtId="0" fontId="92" fillId="0" borderId="12" xfId="0" applyFont="1" applyBorder="1" applyAlignment="1">
      <alignment horizontal="left" vertical="center"/>
    </xf>
    <xf numFmtId="9" fontId="92" fillId="0" borderId="12" xfId="2" applyFont="1" applyBorder="1" applyAlignment="1">
      <alignment horizontal="center" vertical="center"/>
    </xf>
    <xf numFmtId="0" fontId="26" fillId="0" borderId="0" xfId="0" applyFont="1" applyAlignment="1">
      <alignment vertical="center"/>
    </xf>
    <xf numFmtId="9" fontId="0" fillId="0" borderId="12" xfId="0" applyNumberFormat="1" applyBorder="1" applyAlignment="1" applyProtection="1">
      <alignment horizontal="left" vertical="center"/>
      <protection locked="0"/>
    </xf>
    <xf numFmtId="0" fontId="124" fillId="14" borderId="12" xfId="0" applyFont="1" applyFill="1" applyBorder="1" applyAlignment="1">
      <alignment horizontal="center" vertical="center"/>
    </xf>
    <xf numFmtId="0" fontId="124" fillId="0" borderId="12" xfId="0" applyFont="1" applyBorder="1" applyAlignment="1">
      <alignment horizontal="center" vertical="center"/>
    </xf>
    <xf numFmtId="9" fontId="3" fillId="0" borderId="12" xfId="0" applyNumberFormat="1" applyFont="1" applyBorder="1" applyAlignment="1" applyProtection="1">
      <alignment horizontal="left" vertical="center"/>
      <protection locked="0"/>
    </xf>
    <xf numFmtId="0" fontId="4" fillId="0" borderId="12" xfId="0" applyFont="1" applyBorder="1" applyAlignment="1" applyProtection="1">
      <alignment horizontal="center" vertical="center"/>
      <protection locked="0"/>
    </xf>
    <xf numFmtId="0" fontId="0" fillId="11" borderId="12" xfId="0" applyFill="1" applyBorder="1" applyAlignment="1" applyProtection="1">
      <alignment horizontal="left" vertical="center"/>
      <protection locked="0"/>
    </xf>
    <xf numFmtId="185" fontId="3" fillId="34" borderId="12" xfId="0" applyNumberFormat="1" applyFont="1" applyFill="1" applyBorder="1" applyAlignment="1" applyProtection="1">
      <alignment horizontal="left" vertical="center"/>
      <protection locked="0"/>
    </xf>
    <xf numFmtId="0" fontId="125" fillId="0" borderId="12" xfId="0" applyFont="1" applyBorder="1" applyAlignment="1" applyProtection="1">
      <alignment horizontal="center" vertical="center"/>
      <protection locked="0"/>
    </xf>
    <xf numFmtId="0" fontId="125" fillId="0" borderId="0" xfId="0" applyFont="1" applyAlignment="1" applyProtection="1">
      <alignment vertical="center"/>
      <protection locked="0"/>
    </xf>
    <xf numFmtId="0" fontId="125" fillId="0" borderId="12" xfId="0" applyFont="1" applyBorder="1" applyAlignment="1" applyProtection="1">
      <alignment vertical="center"/>
      <protection locked="0"/>
    </xf>
    <xf numFmtId="0" fontId="0" fillId="24" borderId="0" xfId="0" applyFill="1" applyAlignment="1" applyProtection="1">
      <alignment horizontal="left" vertical="center"/>
      <protection locked="0"/>
    </xf>
    <xf numFmtId="1" fontId="125" fillId="0" borderId="12" xfId="0" applyNumberFormat="1" applyFont="1" applyBorder="1" applyAlignment="1" applyProtection="1">
      <alignment horizontal="center" vertical="center" wrapText="1"/>
      <protection locked="0"/>
    </xf>
    <xf numFmtId="9" fontId="125" fillId="0" borderId="12" xfId="2" applyFont="1" applyBorder="1" applyAlignment="1" applyProtection="1">
      <alignment horizontal="center" vertical="center"/>
      <protection locked="0"/>
    </xf>
    <xf numFmtId="10" fontId="126" fillId="0" borderId="12" xfId="2" applyNumberFormat="1" applyFont="1" applyBorder="1" applyAlignment="1">
      <alignment horizontal="center" vertical="center" wrapText="1"/>
    </xf>
    <xf numFmtId="3" fontId="125" fillId="0" borderId="12" xfId="0" applyNumberFormat="1" applyFont="1" applyBorder="1" applyAlignment="1" applyProtection="1">
      <alignment horizontal="center" vertical="center"/>
      <protection locked="0"/>
    </xf>
    <xf numFmtId="0" fontId="3" fillId="6" borderId="9" xfId="0" applyFont="1" applyFill="1" applyBorder="1" applyAlignment="1" applyProtection="1">
      <alignment horizontal="left" vertical="center"/>
      <protection hidden="1"/>
    </xf>
    <xf numFmtId="9" fontId="95" fillId="0" borderId="12" xfId="2" quotePrefix="1" applyFont="1" applyFill="1" applyBorder="1" applyAlignment="1">
      <alignment horizontal="left" vertical="center" wrapText="1"/>
    </xf>
    <xf numFmtId="0" fontId="75" fillId="0" borderId="12" xfId="0" applyFont="1" applyBorder="1" applyAlignment="1" applyProtection="1">
      <alignment horizontal="center" vertical="center" wrapText="1"/>
      <protection hidden="1"/>
    </xf>
    <xf numFmtId="9" fontId="3" fillId="0" borderId="12" xfId="0" applyNumberFormat="1" applyFont="1" applyBorder="1" applyAlignment="1" applyProtection="1">
      <alignment horizontal="center" vertical="center"/>
      <protection locked="0"/>
    </xf>
    <xf numFmtId="0" fontId="3" fillId="6" borderId="12" xfId="0" applyFont="1" applyFill="1" applyBorder="1" applyAlignment="1" applyProtection="1">
      <alignment horizontal="center" vertical="center"/>
      <protection hidden="1"/>
    </xf>
    <xf numFmtId="1" fontId="3" fillId="6" borderId="12" xfId="0" applyNumberFormat="1" applyFont="1" applyFill="1" applyBorder="1" applyAlignment="1" applyProtection="1">
      <alignment horizontal="center" vertical="center"/>
      <protection hidden="1"/>
    </xf>
    <xf numFmtId="1" fontId="26" fillId="6" borderId="12" xfId="0" applyNumberFormat="1" applyFont="1" applyFill="1" applyBorder="1" applyAlignment="1" applyProtection="1">
      <alignment horizontal="center" vertical="center"/>
      <protection hidden="1"/>
    </xf>
    <xf numFmtId="0" fontId="2" fillId="37" borderId="12" xfId="0" applyFont="1" applyFill="1" applyBorder="1" applyAlignment="1" applyProtection="1">
      <alignment vertical="center"/>
      <protection hidden="1"/>
    </xf>
    <xf numFmtId="3" fontId="0" fillId="0" borderId="0" xfId="0" applyNumberFormat="1" applyAlignment="1" applyProtection="1">
      <alignment vertical="center"/>
      <protection locked="0"/>
    </xf>
    <xf numFmtId="0" fontId="4" fillId="0" borderId="0" xfId="0" applyFont="1" applyAlignment="1" applyProtection="1">
      <alignment horizontal="right" vertical="center"/>
      <protection locked="0"/>
    </xf>
    <xf numFmtId="166" fontId="26" fillId="0" borderId="12" xfId="1" applyNumberFormat="1" applyFont="1" applyBorder="1" applyAlignment="1" applyProtection="1">
      <alignment vertical="center"/>
      <protection locked="0"/>
    </xf>
    <xf numFmtId="0" fontId="3" fillId="11" borderId="12" xfId="0" applyFont="1" applyFill="1" applyBorder="1" applyAlignment="1" applyProtection="1">
      <alignment vertical="center"/>
      <protection locked="0"/>
    </xf>
    <xf numFmtId="9" fontId="4" fillId="0" borderId="0" xfId="2" applyFont="1" applyAlignment="1" applyProtection="1">
      <alignment vertical="center"/>
      <protection locked="0"/>
    </xf>
    <xf numFmtId="166" fontId="0" fillId="0" borderId="12" xfId="1" applyNumberFormat="1" applyFont="1" applyBorder="1" applyAlignment="1" applyProtection="1">
      <alignment vertical="center"/>
      <protection locked="0"/>
    </xf>
    <xf numFmtId="166" fontId="4" fillId="0" borderId="12" xfId="0" applyNumberFormat="1" applyFont="1" applyBorder="1" applyAlignment="1" applyProtection="1">
      <alignment vertical="center"/>
      <protection locked="0"/>
    </xf>
    <xf numFmtId="10" fontId="0" fillId="0" borderId="0" xfId="2" applyNumberFormat="1" applyFont="1" applyAlignment="1" applyProtection="1">
      <alignment vertical="center"/>
      <protection locked="0"/>
    </xf>
    <xf numFmtId="0" fontId="0" fillId="0" borderId="0" xfId="0" applyAlignment="1" applyProtection="1">
      <alignment horizontal="right" vertical="center"/>
      <protection locked="0"/>
    </xf>
    <xf numFmtId="0" fontId="0" fillId="14" borderId="0" xfId="0" applyFill="1" applyAlignment="1" applyProtection="1">
      <alignment vertical="center"/>
      <protection locked="0"/>
    </xf>
    <xf numFmtId="37" fontId="0" fillId="14" borderId="0" xfId="0" applyNumberFormat="1" applyFill="1" applyAlignment="1" applyProtection="1">
      <alignment vertical="center"/>
      <protection locked="0"/>
    </xf>
    <xf numFmtId="3" fontId="3" fillId="11" borderId="12" xfId="0" applyNumberFormat="1" applyFont="1" applyFill="1" applyBorder="1" applyAlignment="1" applyProtection="1">
      <alignment horizontal="left" vertical="center"/>
      <protection locked="0"/>
    </xf>
    <xf numFmtId="3" fontId="1" fillId="0" borderId="0" xfId="2" applyNumberFormat="1" applyFont="1" applyAlignment="1" applyProtection="1">
      <alignment horizontal="center" vertical="center"/>
      <protection locked="0"/>
    </xf>
    <xf numFmtId="3" fontId="0" fillId="0" borderId="0" xfId="0" applyNumberFormat="1" applyAlignment="1" applyProtection="1">
      <alignment horizontal="center" vertical="center"/>
      <protection locked="0"/>
    </xf>
    <xf numFmtId="3" fontId="4" fillId="0" borderId="0" xfId="2" applyNumberFormat="1" applyFont="1" applyAlignment="1" applyProtection="1">
      <alignment horizontal="center" vertical="center"/>
      <protection locked="0"/>
    </xf>
    <xf numFmtId="0" fontId="90" fillId="0" borderId="0" xfId="0" applyFont="1" applyAlignment="1" applyProtection="1">
      <alignment vertical="center"/>
      <protection hidden="1"/>
    </xf>
    <xf numFmtId="3" fontId="133" fillId="0" borderId="12" xfId="0" applyNumberFormat="1" applyFont="1" applyBorder="1" applyAlignment="1" applyProtection="1">
      <alignment horizontal="center" vertical="center" wrapText="1"/>
      <protection hidden="1"/>
    </xf>
    <xf numFmtId="0" fontId="90" fillId="0" borderId="0" xfId="0" applyFont="1" applyProtection="1">
      <protection hidden="1"/>
    </xf>
    <xf numFmtId="0" fontId="4" fillId="0" borderId="12" xfId="0" applyFont="1" applyBorder="1" applyAlignment="1" applyProtection="1">
      <alignment horizontal="center" vertical="center"/>
      <protection hidden="1"/>
    </xf>
    <xf numFmtId="0" fontId="0" fillId="11" borderId="0" xfId="0" applyFill="1" applyAlignment="1" applyProtection="1">
      <alignment vertical="center" wrapText="1"/>
      <protection locked="0"/>
    </xf>
    <xf numFmtId="186" fontId="3" fillId="34" borderId="12" xfId="0" applyNumberFormat="1" applyFont="1" applyFill="1" applyBorder="1" applyAlignment="1" applyProtection="1">
      <alignment horizontal="left" vertical="center"/>
      <protection locked="0"/>
    </xf>
    <xf numFmtId="0" fontId="16" fillId="24" borderId="16" xfId="0" applyFont="1" applyFill="1" applyBorder="1" applyAlignment="1" applyProtection="1">
      <alignment vertical="center"/>
      <protection locked="0"/>
    </xf>
    <xf numFmtId="0" fontId="16" fillId="24" borderId="17" xfId="0" applyFont="1" applyFill="1" applyBorder="1" applyAlignment="1" applyProtection="1">
      <alignment vertical="center"/>
      <protection locked="0"/>
    </xf>
    <xf numFmtId="0" fontId="34" fillId="24" borderId="38" xfId="0" applyFont="1" applyFill="1" applyBorder="1" applyAlignment="1" applyProtection="1">
      <alignment vertical="center"/>
      <protection locked="0"/>
    </xf>
    <xf numFmtId="0" fontId="34" fillId="24" borderId="0" xfId="0" applyFont="1" applyFill="1" applyAlignment="1" applyProtection="1">
      <alignment vertical="center"/>
      <protection locked="0"/>
    </xf>
    <xf numFmtId="0" fontId="91" fillId="24" borderId="0" xfId="0" applyFont="1" applyFill="1" applyAlignment="1">
      <alignment vertical="center" wrapText="1"/>
    </xf>
    <xf numFmtId="0" fontId="136" fillId="0" borderId="12" xfId="0" applyFont="1" applyBorder="1" applyAlignment="1">
      <alignment horizontal="center" vertical="center" wrapText="1"/>
    </xf>
    <xf numFmtId="0" fontId="137" fillId="0" borderId="12" xfId="0" applyFont="1" applyBorder="1" applyAlignment="1">
      <alignment horizontal="center" vertical="center" wrapText="1"/>
    </xf>
    <xf numFmtId="9" fontId="136" fillId="0" borderId="12" xfId="0" applyNumberFormat="1" applyFont="1" applyBorder="1" applyAlignment="1">
      <alignment horizontal="center" vertical="center" wrapText="1"/>
    </xf>
    <xf numFmtId="3" fontId="3" fillId="6" borderId="12" xfId="1" applyNumberFormat="1" applyFont="1" applyFill="1" applyBorder="1" applyAlignment="1" applyProtection="1">
      <alignment horizontal="center" vertical="center"/>
      <protection hidden="1"/>
    </xf>
    <xf numFmtId="3" fontId="3" fillId="6" borderId="12" xfId="0" applyNumberFormat="1" applyFont="1" applyFill="1" applyBorder="1" applyAlignment="1" applyProtection="1">
      <alignment horizontal="center" vertical="center"/>
      <protection hidden="1"/>
    </xf>
    <xf numFmtId="3" fontId="26" fillId="6" borderId="12" xfId="1" applyNumberFormat="1" applyFont="1" applyFill="1" applyBorder="1" applyAlignment="1" applyProtection="1">
      <alignment horizontal="center" vertical="center"/>
      <protection hidden="1"/>
    </xf>
    <xf numFmtId="3" fontId="26" fillId="6" borderId="12" xfId="0" applyNumberFormat="1" applyFont="1" applyFill="1" applyBorder="1" applyAlignment="1" applyProtection="1">
      <alignment horizontal="center" vertical="center"/>
      <protection hidden="1"/>
    </xf>
    <xf numFmtId="166" fontId="0" fillId="0" borderId="0" xfId="0" applyNumberFormat="1" applyAlignment="1" applyProtection="1">
      <alignment vertical="center"/>
      <protection locked="0"/>
    </xf>
    <xf numFmtId="166" fontId="4" fillId="0" borderId="0" xfId="0" applyNumberFormat="1" applyFont="1" applyAlignment="1" applyProtection="1">
      <alignment vertical="center"/>
      <protection locked="0"/>
    </xf>
    <xf numFmtId="37" fontId="0" fillId="11" borderId="12" xfId="1" applyNumberFormat="1" applyFont="1" applyFill="1" applyBorder="1" applyAlignment="1" applyProtection="1">
      <alignment horizontal="center" vertical="center"/>
      <protection locked="0"/>
    </xf>
    <xf numFmtId="0" fontId="4" fillId="0" borderId="12" xfId="0" applyFont="1" applyBorder="1" applyAlignment="1" applyProtection="1">
      <alignment vertical="center"/>
      <protection locked="0"/>
    </xf>
    <xf numFmtId="9" fontId="4" fillId="0" borderId="12" xfId="2" applyFont="1" applyBorder="1" applyAlignment="1" applyProtection="1">
      <alignment horizontal="center" vertical="center"/>
      <protection locked="0"/>
    </xf>
    <xf numFmtId="3" fontId="4" fillId="0" borderId="12" xfId="0" applyNumberFormat="1" applyFont="1" applyBorder="1" applyAlignment="1" applyProtection="1">
      <alignment horizontal="center" vertical="center"/>
      <protection locked="0"/>
    </xf>
    <xf numFmtId="1" fontId="3" fillId="6" borderId="12" xfId="0" applyNumberFormat="1" applyFont="1" applyFill="1" applyBorder="1" applyAlignment="1" applyProtection="1">
      <alignment horizontal="left" vertical="center"/>
      <protection hidden="1"/>
    </xf>
    <xf numFmtId="1" fontId="26" fillId="6" borderId="12" xfId="0" applyNumberFormat="1" applyFont="1" applyFill="1" applyBorder="1" applyAlignment="1" applyProtection="1">
      <alignment horizontal="left" vertical="center"/>
      <protection hidden="1"/>
    </xf>
    <xf numFmtId="9" fontId="26" fillId="0" borderId="0" xfId="2" applyFont="1" applyAlignment="1" applyProtection="1">
      <alignment horizontal="center"/>
      <protection locked="0"/>
    </xf>
    <xf numFmtId="9" fontId="0" fillId="0" borderId="0" xfId="0" applyNumberFormat="1" applyAlignment="1" applyProtection="1">
      <alignment horizontal="center" vertical="center"/>
      <protection hidden="1"/>
    </xf>
    <xf numFmtId="3" fontId="3" fillId="0" borderId="0" xfId="0" applyNumberFormat="1" applyFont="1" applyAlignment="1" applyProtection="1">
      <alignment vertical="center"/>
      <protection locked="0"/>
    </xf>
    <xf numFmtId="3" fontId="95" fillId="0" borderId="12" xfId="0" applyNumberFormat="1" applyFont="1" applyBorder="1" applyAlignment="1">
      <alignment horizontal="center" vertical="center"/>
    </xf>
    <xf numFmtId="0" fontId="138" fillId="0" borderId="12" xfId="0" applyFont="1" applyBorder="1" applyAlignment="1" applyProtection="1">
      <alignment horizontal="center" vertical="center"/>
      <protection locked="0"/>
    </xf>
    <xf numFmtId="0" fontId="14" fillId="0" borderId="12" xfId="3" applyFont="1" applyBorder="1" applyAlignment="1" applyProtection="1">
      <alignment horizontal="center" vertical="center"/>
      <protection hidden="1"/>
    </xf>
    <xf numFmtId="1" fontId="16" fillId="0" borderId="3" xfId="3" applyNumberFormat="1" applyFont="1" applyBorder="1" applyAlignment="1" applyProtection="1">
      <alignment horizontal="center" vertical="center"/>
      <protection hidden="1"/>
    </xf>
    <xf numFmtId="3" fontId="22" fillId="0" borderId="101" xfId="1" applyNumberFormat="1" applyFont="1" applyFill="1" applyBorder="1" applyAlignment="1" applyProtection="1">
      <alignment horizontal="center" vertical="center"/>
      <protection hidden="1"/>
    </xf>
    <xf numFmtId="3" fontId="20" fillId="0" borderId="42" xfId="0" applyNumberFormat="1" applyFont="1" applyBorder="1" applyAlignment="1" applyProtection="1">
      <alignment horizontal="center" vertical="center"/>
      <protection hidden="1"/>
    </xf>
    <xf numFmtId="1" fontId="16" fillId="0" borderId="57" xfId="5" applyNumberFormat="1" applyFont="1" applyBorder="1" applyAlignment="1" applyProtection="1">
      <alignment horizontal="center" vertical="center"/>
      <protection hidden="1"/>
    </xf>
    <xf numFmtId="3" fontId="22" fillId="0" borderId="16" xfId="1" applyNumberFormat="1" applyFont="1" applyFill="1" applyBorder="1" applyAlignment="1" applyProtection="1">
      <alignment horizontal="center" vertical="center"/>
      <protection hidden="1"/>
    </xf>
    <xf numFmtId="0" fontId="122" fillId="7" borderId="101" xfId="0" applyFont="1" applyFill="1" applyBorder="1" applyAlignment="1" applyProtection="1">
      <alignment horizontal="center" vertical="center"/>
      <protection hidden="1"/>
    </xf>
    <xf numFmtId="3" fontId="22" fillId="0" borderId="46" xfId="1" applyNumberFormat="1" applyFont="1" applyFill="1" applyBorder="1" applyAlignment="1" applyProtection="1">
      <alignment horizontal="center" vertical="center"/>
      <protection hidden="1"/>
    </xf>
    <xf numFmtId="3" fontId="20" fillId="0" borderId="27" xfId="0" applyNumberFormat="1" applyFont="1" applyBorder="1" applyAlignment="1" applyProtection="1">
      <alignment horizontal="center" vertical="center"/>
      <protection hidden="1"/>
    </xf>
    <xf numFmtId="3" fontId="20" fillId="0" borderId="21" xfId="0" applyNumberFormat="1" applyFont="1" applyBorder="1" applyAlignment="1" applyProtection="1">
      <alignment horizontal="center" vertical="center"/>
      <protection hidden="1"/>
    </xf>
    <xf numFmtId="3" fontId="20" fillId="0" borderId="22" xfId="0" applyNumberFormat="1" applyFont="1" applyBorder="1" applyAlignment="1" applyProtection="1">
      <alignment horizontal="center" vertical="center"/>
      <protection hidden="1"/>
    </xf>
    <xf numFmtId="0" fontId="122" fillId="7" borderId="30" xfId="0" applyFont="1" applyFill="1" applyBorder="1" applyAlignment="1" applyProtection="1">
      <alignment horizontal="center" vertical="center" wrapText="1"/>
      <protection hidden="1"/>
    </xf>
    <xf numFmtId="0" fontId="4" fillId="0" borderId="12" xfId="0" applyFont="1" applyBorder="1" applyProtection="1">
      <protection hidden="1"/>
    </xf>
    <xf numFmtId="3" fontId="4" fillId="0" borderId="12" xfId="0" applyNumberFormat="1" applyFont="1" applyBorder="1" applyAlignment="1" applyProtection="1">
      <alignment horizontal="center" vertical="center" wrapText="1"/>
      <protection hidden="1"/>
    </xf>
    <xf numFmtId="181" fontId="4" fillId="7" borderId="12" xfId="1" applyNumberFormat="1" applyFont="1" applyFill="1" applyBorder="1" applyAlignment="1" applyProtection="1">
      <alignment horizontal="center" vertical="center" wrapText="1"/>
      <protection hidden="1"/>
    </xf>
    <xf numFmtId="166" fontId="140" fillId="29" borderId="12" xfId="1" applyNumberFormat="1" applyFont="1" applyFill="1" applyBorder="1" applyAlignment="1" applyProtection="1">
      <alignment vertical="center" wrapText="1"/>
      <protection hidden="1"/>
    </xf>
    <xf numFmtId="181" fontId="4" fillId="6" borderId="12" xfId="1" applyNumberFormat="1" applyFont="1" applyFill="1" applyBorder="1" applyAlignment="1" applyProtection="1">
      <alignment horizontal="center" vertical="center" wrapText="1"/>
      <protection hidden="1"/>
    </xf>
    <xf numFmtId="0" fontId="95" fillId="0" borderId="0" xfId="0" applyFont="1" applyAlignment="1">
      <alignment vertical="center"/>
    </xf>
    <xf numFmtId="1" fontId="0" fillId="0" borderId="0" xfId="0" applyNumberFormat="1" applyAlignment="1" applyProtection="1">
      <alignment vertical="center"/>
      <protection locked="0"/>
    </xf>
    <xf numFmtId="1" fontId="0" fillId="0" borderId="0" xfId="0" applyNumberFormat="1" applyAlignment="1" applyProtection="1">
      <alignment horizontal="center" vertical="center"/>
      <protection locked="0"/>
    </xf>
    <xf numFmtId="9" fontId="0" fillId="0" borderId="0" xfId="2" applyFont="1" applyAlignment="1" applyProtection="1">
      <alignment horizontal="center" vertical="center"/>
      <protection locked="0"/>
    </xf>
    <xf numFmtId="3" fontId="147" fillId="0" borderId="12" xfId="0" applyNumberFormat="1" applyFont="1" applyBorder="1" applyAlignment="1">
      <alignment horizontal="center" vertical="center"/>
    </xf>
    <xf numFmtId="0" fontId="4" fillId="0" borderId="102" xfId="0" applyFont="1" applyBorder="1" applyAlignment="1" applyProtection="1">
      <alignment vertical="center" wrapText="1"/>
      <protection hidden="1"/>
    </xf>
    <xf numFmtId="0" fontId="0" fillId="0" borderId="57" xfId="0" applyBorder="1" applyAlignment="1" applyProtection="1">
      <alignment vertical="center" wrapText="1"/>
      <protection hidden="1"/>
    </xf>
    <xf numFmtId="0" fontId="26" fillId="0" borderId="57" xfId="0" applyFont="1" applyBorder="1" applyAlignment="1" applyProtection="1">
      <alignment vertical="center" wrapText="1"/>
      <protection hidden="1"/>
    </xf>
    <xf numFmtId="0" fontId="0" fillId="0" borderId="57" xfId="0" quotePrefix="1" applyBorder="1" applyAlignment="1" applyProtection="1">
      <alignment vertical="center" wrapText="1"/>
      <protection hidden="1"/>
    </xf>
    <xf numFmtId="0" fontId="26" fillId="11" borderId="12" xfId="0" applyFont="1" applyFill="1" applyBorder="1" applyAlignment="1" applyProtection="1">
      <alignment vertical="center"/>
      <protection hidden="1"/>
    </xf>
    <xf numFmtId="3" fontId="71" fillId="33" borderId="12" xfId="0" applyNumberFormat="1" applyFont="1" applyFill="1" applyBorder="1" applyAlignment="1" applyProtection="1">
      <alignment horizontal="center" vertical="center"/>
      <protection hidden="1"/>
    </xf>
    <xf numFmtId="0" fontId="84" fillId="0" borderId="0" xfId="0" applyFont="1" applyAlignment="1" applyProtection="1">
      <alignment horizontal="center" vertical="center"/>
      <protection hidden="1"/>
    </xf>
    <xf numFmtId="0" fontId="76" fillId="0" borderId="57" xfId="0" applyFont="1" applyBorder="1" applyAlignment="1" applyProtection="1">
      <alignment vertical="center" wrapText="1"/>
      <protection hidden="1"/>
    </xf>
    <xf numFmtId="0" fontId="0" fillId="0" borderId="3" xfId="0" applyBorder="1" applyAlignment="1" applyProtection="1">
      <alignment vertical="center" wrapText="1"/>
      <protection hidden="1"/>
    </xf>
    <xf numFmtId="0" fontId="134" fillId="0" borderId="0" xfId="0" applyFont="1" applyAlignment="1" applyProtection="1">
      <alignment vertical="center" wrapText="1"/>
      <protection hidden="1"/>
    </xf>
    <xf numFmtId="0" fontId="90" fillId="0" borderId="12" xfId="0" applyFont="1" applyBorder="1" applyAlignment="1" applyProtection="1">
      <alignment horizontal="center" vertical="center"/>
      <protection locked="0"/>
    </xf>
    <xf numFmtId="1" fontId="90" fillId="0" borderId="12" xfId="2" applyNumberFormat="1" applyFont="1" applyBorder="1" applyAlignment="1" applyProtection="1">
      <alignment horizontal="center" vertical="center" wrapText="1"/>
      <protection locked="0"/>
    </xf>
    <xf numFmtId="9" fontId="90" fillId="0" borderId="12" xfId="2" applyFont="1" applyBorder="1" applyAlignment="1" applyProtection="1">
      <alignment horizontal="center" vertical="center" wrapText="1"/>
      <protection locked="0"/>
    </xf>
    <xf numFmtId="3" fontId="0" fillId="0" borderId="0" xfId="0" applyNumberFormat="1" applyProtection="1">
      <protection locked="0"/>
    </xf>
    <xf numFmtId="0" fontId="0" fillId="24" borderId="12" xfId="0" applyFill="1" applyBorder="1" applyAlignment="1" applyProtection="1">
      <alignment vertical="center"/>
      <protection locked="0"/>
    </xf>
    <xf numFmtId="37" fontId="0" fillId="0" borderId="12" xfId="0" applyNumberFormat="1" applyBorder="1" applyAlignment="1" applyProtection="1">
      <alignment horizontal="center" vertical="center"/>
      <protection locked="0"/>
    </xf>
    <xf numFmtId="0" fontId="132" fillId="0" borderId="0" xfId="0" applyFont="1" applyAlignment="1" applyProtection="1">
      <alignment vertical="center"/>
      <protection locked="0"/>
    </xf>
    <xf numFmtId="1" fontId="4" fillId="0" borderId="12" xfId="0" applyNumberFormat="1" applyFont="1" applyBorder="1" applyAlignment="1" applyProtection="1">
      <alignment horizontal="center" vertical="center" wrapText="1"/>
      <protection hidden="1"/>
    </xf>
    <xf numFmtId="2" fontId="76" fillId="0" borderId="12" xfId="0" applyNumberFormat="1" applyFont="1" applyBorder="1" applyAlignment="1" applyProtection="1">
      <alignment horizontal="center" vertical="center"/>
      <protection locked="0"/>
    </xf>
    <xf numFmtId="2" fontId="76" fillId="11" borderId="12" xfId="0" applyNumberFormat="1" applyFont="1" applyFill="1" applyBorder="1" applyAlignment="1" applyProtection="1">
      <alignment horizontal="center" vertical="center"/>
      <protection locked="0"/>
    </xf>
    <xf numFmtId="0" fontId="0" fillId="11" borderId="0" xfId="0" applyFill="1" applyAlignment="1" applyProtection="1">
      <alignment vertical="center"/>
      <protection locked="0"/>
    </xf>
    <xf numFmtId="3" fontId="0" fillId="14" borderId="0" xfId="0" applyNumberFormat="1" applyFill="1" applyAlignment="1" applyProtection="1">
      <alignment vertical="center"/>
      <protection locked="0"/>
    </xf>
    <xf numFmtId="49" fontId="14" fillId="0" borderId="12" xfId="3" applyNumberFormat="1" applyFont="1" applyBorder="1" applyAlignment="1" applyProtection="1">
      <alignment horizontal="center" vertical="center"/>
      <protection locked="0" hidden="1"/>
    </xf>
    <xf numFmtId="167" fontId="15" fillId="36" borderId="12" xfId="5" applyNumberFormat="1" applyFont="1" applyFill="1" applyBorder="1" applyAlignment="1" applyProtection="1">
      <alignment horizontal="center" vertical="center" wrapText="1"/>
      <protection hidden="1"/>
    </xf>
    <xf numFmtId="167" fontId="15" fillId="36" borderId="13" xfId="5" applyNumberFormat="1" applyFont="1" applyFill="1" applyBorder="1" applyAlignment="1" applyProtection="1">
      <alignment horizontal="center" vertical="center" wrapText="1"/>
      <protection hidden="1"/>
    </xf>
    <xf numFmtId="167" fontId="15" fillId="36" borderId="13" xfId="5" applyNumberFormat="1" applyFont="1" applyFill="1" applyBorder="1" applyAlignment="1" applyProtection="1">
      <alignment horizontal="center" vertical="center"/>
      <protection hidden="1"/>
    </xf>
    <xf numFmtId="37" fontId="14" fillId="17" borderId="14" xfId="5" applyNumberFormat="1" applyFont="1" applyFill="1" applyBorder="1" applyAlignment="1" applyProtection="1">
      <alignment horizontal="center" vertical="center"/>
      <protection hidden="1"/>
    </xf>
    <xf numFmtId="3" fontId="3" fillId="11" borderId="0" xfId="0" applyNumberFormat="1" applyFont="1" applyFill="1" applyAlignment="1" applyProtection="1">
      <alignment horizontal="center" vertical="center"/>
      <protection locked="0"/>
    </xf>
    <xf numFmtId="0" fontId="0" fillId="0" borderId="0" xfId="0" applyAlignment="1" applyProtection="1">
      <alignment horizontal="left"/>
      <protection locked="0"/>
    </xf>
    <xf numFmtId="0" fontId="0" fillId="24" borderId="12" xfId="0" applyFill="1" applyBorder="1" applyAlignment="1" applyProtection="1">
      <alignment horizontal="center"/>
      <protection locked="0"/>
    </xf>
    <xf numFmtId="3" fontId="0" fillId="11" borderId="0" xfId="0" applyNumberFormat="1" applyFill="1" applyProtection="1">
      <protection locked="0"/>
    </xf>
    <xf numFmtId="166" fontId="0" fillId="0" borderId="0" xfId="0" applyNumberFormat="1" applyProtection="1">
      <protection locked="0"/>
    </xf>
    <xf numFmtId="1"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protection locked="0"/>
    </xf>
    <xf numFmtId="15" fontId="132" fillId="0" borderId="0" xfId="0" applyNumberFormat="1" applyFont="1" applyAlignment="1" applyProtection="1">
      <alignment horizontal="left" vertical="center"/>
      <protection locked="0"/>
    </xf>
    <xf numFmtId="0" fontId="3" fillId="19" borderId="0" xfId="0" applyFont="1" applyFill="1" applyAlignment="1" applyProtection="1">
      <alignment vertical="center"/>
      <protection locked="0"/>
    </xf>
    <xf numFmtId="0" fontId="90" fillId="0" borderId="0" xfId="0" applyFont="1" applyAlignment="1">
      <alignment vertical="center"/>
    </xf>
    <xf numFmtId="181" fontId="14" fillId="0" borderId="12" xfId="3" applyNumberFormat="1" applyFont="1" applyBorder="1" applyAlignment="1" applyProtection="1">
      <alignment horizontal="center" vertical="center"/>
      <protection locked="0" hidden="1"/>
    </xf>
    <xf numFmtId="3" fontId="22" fillId="0" borderId="34" xfId="1" applyNumberFormat="1" applyFont="1" applyFill="1" applyBorder="1" applyAlignment="1" applyProtection="1">
      <alignment horizontal="center" vertical="center"/>
      <protection hidden="1"/>
    </xf>
    <xf numFmtId="3" fontId="22" fillId="0" borderId="103" xfId="1" applyNumberFormat="1" applyFont="1" applyFill="1" applyBorder="1" applyAlignment="1" applyProtection="1">
      <alignment horizontal="center" vertical="center"/>
      <protection hidden="1"/>
    </xf>
    <xf numFmtId="3" fontId="22" fillId="0" borderId="104" xfId="1" applyNumberFormat="1" applyFont="1" applyFill="1" applyBorder="1" applyAlignment="1" applyProtection="1">
      <alignment horizontal="center" vertical="center"/>
      <protection hidden="1"/>
    </xf>
    <xf numFmtId="1" fontId="16" fillId="0" borderId="3" xfId="5" applyNumberFormat="1" applyFont="1" applyBorder="1" applyAlignment="1" applyProtection="1">
      <alignment horizontal="center" vertical="center"/>
      <protection hidden="1"/>
    </xf>
    <xf numFmtId="0" fontId="120" fillId="7" borderId="34" xfId="0" applyFont="1" applyFill="1" applyBorder="1" applyAlignment="1" applyProtection="1">
      <alignment horizontal="center" vertical="center"/>
      <protection hidden="1"/>
    </xf>
    <xf numFmtId="167" fontId="15" fillId="37" borderId="13" xfId="5" applyNumberFormat="1" applyFont="1" applyFill="1" applyBorder="1" applyAlignment="1" applyProtection="1">
      <alignment horizontal="center" vertical="center" wrapText="1"/>
      <protection hidden="1"/>
    </xf>
    <xf numFmtId="181" fontId="14" fillId="12" borderId="12" xfId="3" applyNumberFormat="1" applyFont="1" applyFill="1" applyBorder="1" applyAlignment="1" applyProtection="1">
      <alignment horizontal="left" vertical="center"/>
      <protection hidden="1"/>
    </xf>
    <xf numFmtId="168" fontId="14" fillId="12" borderId="12" xfId="3" applyNumberFormat="1" applyFont="1" applyFill="1" applyBorder="1" applyAlignment="1" applyProtection="1">
      <alignment horizontal="center" vertical="center"/>
      <protection hidden="1"/>
    </xf>
    <xf numFmtId="3" fontId="14" fillId="12" borderId="12" xfId="1" applyNumberFormat="1" applyFont="1" applyFill="1" applyBorder="1" applyAlignment="1" applyProtection="1">
      <alignment horizontal="center" vertical="center"/>
      <protection hidden="1"/>
    </xf>
    <xf numFmtId="0" fontId="4" fillId="12" borderId="0" xfId="0" applyFont="1" applyFill="1" applyAlignment="1" applyProtection="1">
      <alignment vertical="center"/>
      <protection locked="0"/>
    </xf>
    <xf numFmtId="9" fontId="76" fillId="0" borderId="0" xfId="2" applyFont="1" applyAlignment="1" applyProtection="1">
      <alignment horizontal="center" vertical="center"/>
      <protection locked="0"/>
    </xf>
    <xf numFmtId="0" fontId="75" fillId="0" borderId="0" xfId="0" applyFont="1" applyAlignment="1" applyProtection="1">
      <alignment vertical="center"/>
      <protection locked="0"/>
    </xf>
    <xf numFmtId="0" fontId="76" fillId="0" borderId="0" xfId="0" applyFont="1" applyAlignment="1" applyProtection="1">
      <alignment horizontal="center" vertical="center"/>
      <protection locked="0"/>
    </xf>
    <xf numFmtId="0" fontId="75" fillId="0" borderId="0" xfId="0" applyFont="1" applyAlignment="1" applyProtection="1">
      <alignment horizontal="left" vertical="center"/>
      <protection locked="0"/>
    </xf>
    <xf numFmtId="0" fontId="75" fillId="0" borderId="0" xfId="0" applyFont="1" applyAlignment="1">
      <alignment vertical="center"/>
    </xf>
    <xf numFmtId="190" fontId="75" fillId="0" borderId="0" xfId="0" applyNumberFormat="1" applyFont="1" applyAlignment="1" applyProtection="1">
      <alignment horizontal="left" vertical="center"/>
      <protection locked="0"/>
    </xf>
    <xf numFmtId="0" fontId="75" fillId="11" borderId="0" xfId="0" applyFont="1" applyFill="1" applyAlignment="1" applyProtection="1">
      <alignment vertical="center"/>
      <protection locked="0"/>
    </xf>
    <xf numFmtId="0" fontId="2" fillId="40" borderId="12" xfId="0" applyFont="1" applyFill="1" applyBorder="1" applyAlignment="1" applyProtection="1">
      <alignment vertical="center"/>
      <protection hidden="1"/>
    </xf>
    <xf numFmtId="3" fontId="3" fillId="17" borderId="12" xfId="1" applyNumberFormat="1" applyFont="1" applyFill="1" applyBorder="1" applyAlignment="1" applyProtection="1">
      <alignment horizontal="center" vertical="center"/>
      <protection hidden="1"/>
    </xf>
    <xf numFmtId="0" fontId="75" fillId="0" borderId="0" xfId="0" applyFont="1" applyAlignment="1" applyProtection="1">
      <alignment vertical="center"/>
      <protection hidden="1"/>
    </xf>
    <xf numFmtId="9" fontId="4" fillId="11" borderId="52" xfId="2" applyFont="1" applyFill="1" applyBorder="1" applyAlignment="1" applyProtection="1">
      <alignment horizontal="center" vertical="center"/>
      <protection locked="0"/>
    </xf>
    <xf numFmtId="3" fontId="75" fillId="0" borderId="0" xfId="0" applyNumberFormat="1" applyFont="1" applyAlignment="1" applyProtection="1">
      <alignment horizontal="left" vertical="center"/>
      <protection locked="0"/>
    </xf>
    <xf numFmtId="0" fontId="2" fillId="14" borderId="0" xfId="0" applyFont="1" applyFill="1" applyAlignment="1" applyProtection="1">
      <alignment vertical="center"/>
      <protection locked="0"/>
    </xf>
    <xf numFmtId="0" fontId="5" fillId="5" borderId="12" xfId="0" applyFont="1" applyFill="1" applyBorder="1" applyAlignment="1" applyProtection="1">
      <alignment horizontal="left" vertical="center"/>
      <protection hidden="1"/>
    </xf>
    <xf numFmtId="37" fontId="0" fillId="0" borderId="0" xfId="0" applyNumberFormat="1" applyAlignment="1" applyProtection="1">
      <alignment vertical="center"/>
      <protection locked="0"/>
    </xf>
    <xf numFmtId="181" fontId="0" fillId="0" borderId="12" xfId="0" applyNumberFormat="1" applyBorder="1" applyAlignment="1" applyProtection="1">
      <alignment horizontal="center" vertical="center"/>
      <protection locked="0"/>
    </xf>
    <xf numFmtId="169" fontId="0" fillId="0" borderId="12" xfId="0" applyNumberFormat="1" applyBorder="1" applyAlignment="1" applyProtection="1">
      <alignment horizontal="center" vertical="center"/>
      <protection locked="0"/>
    </xf>
    <xf numFmtId="167" fontId="15" fillId="36" borderId="100" xfId="5" applyNumberFormat="1" applyFont="1" applyFill="1" applyBorder="1" applyAlignment="1" applyProtection="1">
      <alignment horizontal="center" vertical="center" wrapText="1"/>
      <protection hidden="1"/>
    </xf>
    <xf numFmtId="167" fontId="15" fillId="36" borderId="100" xfId="5" applyNumberFormat="1" applyFont="1" applyFill="1" applyBorder="1" applyAlignment="1" applyProtection="1">
      <alignment horizontal="center" vertical="center"/>
      <protection hidden="1"/>
    </xf>
    <xf numFmtId="0" fontId="3" fillId="24" borderId="12" xfId="0" applyFont="1" applyFill="1" applyBorder="1" applyAlignment="1" applyProtection="1">
      <alignment horizontal="center" vertical="center"/>
      <protection hidden="1"/>
    </xf>
    <xf numFmtId="0" fontId="0" fillId="6" borderId="12" xfId="0" applyFill="1" applyBorder="1" applyAlignment="1" applyProtection="1">
      <alignment horizontal="center" vertical="center"/>
      <protection hidden="1"/>
    </xf>
    <xf numFmtId="181" fontId="0" fillId="6" borderId="12" xfId="0" applyNumberFormat="1" applyFill="1" applyBorder="1" applyAlignment="1" applyProtection="1">
      <alignment vertical="center"/>
      <protection hidden="1"/>
    </xf>
    <xf numFmtId="0" fontId="4" fillId="32" borderId="12" xfId="0" applyFont="1" applyFill="1" applyBorder="1" applyAlignment="1" applyProtection="1">
      <alignment horizontal="center" vertical="center"/>
      <protection hidden="1"/>
    </xf>
    <xf numFmtId="0" fontId="46" fillId="0" borderId="10" xfId="3" applyFont="1" applyBorder="1" applyAlignment="1" applyProtection="1">
      <alignment horizontal="center" vertical="center"/>
      <protection locked="0"/>
    </xf>
    <xf numFmtId="0" fontId="29" fillId="0" borderId="0" xfId="0" applyFont="1" applyAlignment="1" applyProtection="1">
      <alignment vertical="center"/>
      <protection hidden="1"/>
    </xf>
    <xf numFmtId="0" fontId="26" fillId="24" borderId="12" xfId="0" applyFont="1" applyFill="1" applyBorder="1" applyAlignment="1" applyProtection="1">
      <alignment vertical="center"/>
      <protection hidden="1"/>
    </xf>
    <xf numFmtId="0" fontId="148" fillId="0" borderId="0" xfId="0" applyFont="1" applyAlignment="1" applyProtection="1">
      <alignment vertical="center"/>
      <protection hidden="1"/>
    </xf>
    <xf numFmtId="0" fontId="5" fillId="5" borderId="12" xfId="0" quotePrefix="1" applyFont="1" applyFill="1" applyBorder="1" applyAlignment="1" applyProtection="1">
      <alignment horizontal="left" vertical="center"/>
      <protection hidden="1"/>
    </xf>
    <xf numFmtId="0" fontId="2" fillId="24" borderId="12" xfId="0" applyFont="1" applyFill="1" applyBorder="1" applyAlignment="1" applyProtection="1">
      <alignment horizontal="left" vertical="center"/>
      <protection hidden="1"/>
    </xf>
    <xf numFmtId="0" fontId="2" fillId="5" borderId="12" xfId="0" quotePrefix="1" applyFont="1" applyFill="1" applyBorder="1" applyAlignment="1" applyProtection="1">
      <alignment horizontal="left" vertical="center"/>
      <protection hidden="1"/>
    </xf>
    <xf numFmtId="187" fontId="0" fillId="0" borderId="0" xfId="0" applyNumberFormat="1" applyAlignment="1" applyProtection="1">
      <alignment vertical="center"/>
      <protection locked="0"/>
    </xf>
    <xf numFmtId="187" fontId="0" fillId="6" borderId="12" xfId="1" applyNumberFormat="1" applyFont="1" applyFill="1" applyBorder="1" applyAlignment="1" applyProtection="1">
      <alignment horizontal="center" vertical="center"/>
      <protection hidden="1"/>
    </xf>
    <xf numFmtId="9" fontId="0" fillId="6" borderId="12" xfId="2" applyFont="1" applyFill="1" applyBorder="1" applyAlignment="1" applyProtection="1">
      <alignment horizontal="center" vertical="center"/>
      <protection locked="0"/>
    </xf>
    <xf numFmtId="1" fontId="4" fillId="6" borderId="12" xfId="1" applyNumberFormat="1" applyFont="1" applyFill="1" applyBorder="1" applyAlignment="1" applyProtection="1">
      <alignment horizontal="center" vertical="center"/>
      <protection hidden="1"/>
    </xf>
    <xf numFmtId="187" fontId="26" fillId="6" borderId="12" xfId="1" applyNumberFormat="1" applyFont="1" applyFill="1" applyBorder="1" applyAlignment="1" applyProtection="1">
      <alignment horizontal="center" vertical="center"/>
      <protection hidden="1"/>
    </xf>
    <xf numFmtId="187" fontId="4" fillId="6" borderId="12" xfId="1" applyNumberFormat="1" applyFont="1" applyFill="1" applyBorder="1" applyAlignment="1" applyProtection="1">
      <alignment horizontal="center" vertical="center"/>
      <protection hidden="1"/>
    </xf>
    <xf numFmtId="173" fontId="4" fillId="6" borderId="12" xfId="2" applyNumberFormat="1" applyFont="1" applyFill="1" applyBorder="1" applyAlignment="1" applyProtection="1">
      <alignment horizontal="center" vertical="center"/>
      <protection locked="0"/>
    </xf>
    <xf numFmtId="10" fontId="3" fillId="0" borderId="12" xfId="2" applyNumberFormat="1" applyFont="1" applyBorder="1" applyAlignment="1" applyProtection="1">
      <alignment horizontal="center" vertical="center"/>
      <protection hidden="1"/>
    </xf>
    <xf numFmtId="166" fontId="3" fillId="0" borderId="0" xfId="0" applyNumberFormat="1" applyFont="1" applyAlignment="1" applyProtection="1">
      <alignment vertical="center"/>
      <protection hidden="1"/>
    </xf>
    <xf numFmtId="166" fontId="3" fillId="0" borderId="0" xfId="0" applyNumberFormat="1" applyFont="1" applyAlignment="1" applyProtection="1">
      <alignment horizontal="left" vertical="center"/>
      <protection hidden="1"/>
    </xf>
    <xf numFmtId="181" fontId="0" fillId="6" borderId="12" xfId="0" applyNumberFormat="1" applyFill="1" applyBorder="1" applyAlignment="1" applyProtection="1">
      <alignment horizontal="center" vertical="center"/>
      <protection hidden="1"/>
    </xf>
    <xf numFmtId="188" fontId="46" fillId="0" borderId="12" xfId="0" applyNumberFormat="1" applyFont="1" applyBorder="1" applyAlignment="1" applyProtection="1">
      <alignment horizontal="center" vertical="center" wrapText="1"/>
      <protection locked="0"/>
    </xf>
    <xf numFmtId="189" fontId="46" fillId="0" borderId="12" xfId="0" applyNumberFormat="1" applyFont="1" applyBorder="1" applyAlignment="1" applyProtection="1">
      <alignment horizontal="center" vertical="center" wrapText="1"/>
      <protection locked="0"/>
    </xf>
    <xf numFmtId="0" fontId="16" fillId="0" borderId="12" xfId="3" applyFont="1" applyBorder="1" applyAlignment="1" applyProtection="1">
      <alignment horizontal="center" vertical="center" wrapText="1"/>
      <protection hidden="1"/>
    </xf>
    <xf numFmtId="3" fontId="3" fillId="0" borderId="12" xfId="0" applyNumberFormat="1" applyFont="1" applyBorder="1" applyAlignment="1" applyProtection="1">
      <alignment horizontal="center"/>
      <protection locked="0"/>
    </xf>
    <xf numFmtId="3" fontId="0" fillId="0" borderId="0" xfId="1" applyNumberFormat="1" applyFont="1" applyAlignment="1" applyProtection="1">
      <alignment horizontal="center"/>
      <protection locked="0"/>
    </xf>
    <xf numFmtId="3" fontId="0" fillId="0" borderId="0" xfId="0" applyNumberFormat="1" applyAlignment="1" applyProtection="1">
      <alignment horizontal="center"/>
      <protection locked="0"/>
    </xf>
    <xf numFmtId="3" fontId="13" fillId="19" borderId="12" xfId="0" applyNumberFormat="1" applyFont="1" applyFill="1" applyBorder="1" applyAlignment="1" applyProtection="1">
      <alignment horizontal="center" vertical="center"/>
      <protection locked="0"/>
    </xf>
    <xf numFmtId="3" fontId="4" fillId="19" borderId="12" xfId="1" applyNumberFormat="1" applyFont="1" applyFill="1" applyBorder="1" applyAlignment="1" applyProtection="1">
      <alignment horizontal="center" vertical="center"/>
      <protection locked="0"/>
    </xf>
    <xf numFmtId="37" fontId="0" fillId="19" borderId="12" xfId="1" applyNumberFormat="1" applyFont="1" applyFill="1" applyBorder="1" applyAlignment="1" applyProtection="1">
      <alignment horizontal="center" vertical="center"/>
      <protection locked="0"/>
    </xf>
    <xf numFmtId="37" fontId="4" fillId="19" borderId="12" xfId="1" applyNumberFormat="1" applyFont="1" applyFill="1" applyBorder="1" applyAlignment="1" applyProtection="1">
      <alignment horizontal="center" vertical="center"/>
      <protection locked="0"/>
    </xf>
    <xf numFmtId="0" fontId="0" fillId="0" borderId="0" xfId="0" quotePrefix="1" applyAlignment="1" applyProtection="1">
      <alignment vertical="center"/>
      <protection hidden="1"/>
    </xf>
    <xf numFmtId="0" fontId="102" fillId="5" borderId="12" xfId="0" applyFont="1" applyFill="1" applyBorder="1" applyAlignment="1">
      <alignment horizontal="center" vertical="center" wrapText="1"/>
    </xf>
    <xf numFmtId="0" fontId="0" fillId="14" borderId="0" xfId="0" applyFill="1" applyAlignment="1">
      <alignment vertical="center"/>
    </xf>
    <xf numFmtId="0" fontId="23" fillId="5" borderId="9" xfId="0" applyFont="1" applyFill="1" applyBorder="1" applyAlignment="1" applyProtection="1">
      <alignment vertical="center"/>
      <protection locked="0"/>
    </xf>
    <xf numFmtId="0" fontId="92" fillId="0" borderId="9" xfId="0" applyFont="1" applyBorder="1" applyAlignment="1">
      <alignment vertical="center"/>
    </xf>
    <xf numFmtId="0" fontId="0" fillId="0" borderId="10" xfId="0" applyBorder="1" applyAlignment="1">
      <alignment vertical="center"/>
    </xf>
    <xf numFmtId="0" fontId="0" fillId="0" borderId="9" xfId="0" quotePrefix="1" applyBorder="1" applyAlignment="1">
      <alignment vertical="center"/>
    </xf>
    <xf numFmtId="0" fontId="0" fillId="0" borderId="0" xfId="0" applyAlignment="1">
      <alignment horizontal="left" vertical="center"/>
    </xf>
    <xf numFmtId="0" fontId="149" fillId="14" borderId="38" xfId="0" applyFont="1" applyFill="1" applyBorder="1" applyAlignment="1" applyProtection="1">
      <alignment vertical="center"/>
      <protection locked="0"/>
    </xf>
    <xf numFmtId="0" fontId="149" fillId="14" borderId="0" xfId="0" applyFont="1" applyFill="1" applyAlignment="1" applyProtection="1">
      <alignment vertical="center"/>
      <protection locked="0"/>
    </xf>
    <xf numFmtId="0" fontId="13" fillId="0" borderId="12" xfId="0" applyFont="1" applyBorder="1" applyAlignment="1">
      <alignment horizontal="left" vertical="center" wrapText="1"/>
    </xf>
    <xf numFmtId="0" fontId="26" fillId="0" borderId="12" xfId="0" applyFont="1" applyBorder="1" applyAlignment="1">
      <alignment vertical="center"/>
    </xf>
    <xf numFmtId="191" fontId="0" fillId="0" borderId="12" xfId="0" applyNumberFormat="1" applyBorder="1" applyAlignment="1">
      <alignment horizontal="left" vertical="center"/>
    </xf>
    <xf numFmtId="0" fontId="26" fillId="0" borderId="12" xfId="0" applyFont="1" applyBorder="1" applyAlignment="1" applyProtection="1">
      <alignment horizontal="center" vertical="center" wrapText="1"/>
      <protection locked="0"/>
    </xf>
    <xf numFmtId="3" fontId="26" fillId="0" borderId="12" xfId="1" applyNumberFormat="1" applyFont="1" applyFill="1" applyBorder="1" applyAlignment="1">
      <alignment horizontal="center" vertical="center" wrapText="1"/>
    </xf>
    <xf numFmtId="3" fontId="46" fillId="0" borderId="12" xfId="2" applyNumberFormat="1" applyFont="1" applyFill="1" applyBorder="1" applyAlignment="1" applyProtection="1">
      <alignment horizontal="center" vertical="center" wrapText="1"/>
      <protection locked="0"/>
    </xf>
    <xf numFmtId="0" fontId="0" fillId="0" borderId="0" xfId="0" quotePrefix="1" applyAlignment="1">
      <alignment vertical="center"/>
    </xf>
    <xf numFmtId="166" fontId="129" fillId="0" borderId="12" xfId="27" applyNumberFormat="1" applyFont="1" applyBorder="1" applyAlignment="1">
      <alignment vertical="center" wrapText="1"/>
    </xf>
    <xf numFmtId="173" fontId="129" fillId="0" borderId="12" xfId="2" applyNumberFormat="1" applyFont="1" applyBorder="1" applyAlignment="1">
      <alignment horizontal="center" vertical="center" wrapText="1"/>
    </xf>
    <xf numFmtId="3" fontId="46" fillId="41" borderId="12" xfId="2" applyNumberFormat="1" applyFont="1" applyFill="1" applyBorder="1" applyAlignment="1" applyProtection="1">
      <alignment horizontal="center" vertical="center" wrapText="1"/>
      <protection locked="0"/>
    </xf>
    <xf numFmtId="4" fontId="46" fillId="0" borderId="12" xfId="2" applyNumberFormat="1" applyFont="1" applyFill="1" applyBorder="1" applyAlignment="1" applyProtection="1">
      <alignment horizontal="center" vertical="center" wrapText="1"/>
      <protection locked="0"/>
    </xf>
    <xf numFmtId="0" fontId="89" fillId="5" borderId="12" xfId="0" applyFont="1" applyFill="1" applyBorder="1" applyAlignment="1" applyProtection="1">
      <alignment horizontal="center" vertical="center" wrapText="1"/>
      <protection locked="0"/>
    </xf>
    <xf numFmtId="4" fontId="26" fillId="0" borderId="12" xfId="1" applyNumberFormat="1" applyFont="1" applyFill="1" applyBorder="1" applyAlignment="1">
      <alignment horizontal="center" vertical="center" wrapText="1"/>
    </xf>
    <xf numFmtId="0" fontId="7" fillId="0" borderId="12" xfId="0" applyFont="1" applyBorder="1" applyAlignment="1" applyProtection="1">
      <alignment horizontal="left" vertical="center"/>
      <protection locked="0"/>
    </xf>
    <xf numFmtId="4" fontId="46" fillId="41" borderId="12" xfId="2" applyNumberFormat="1" applyFont="1" applyFill="1" applyBorder="1" applyAlignment="1" applyProtection="1">
      <alignment horizontal="center" vertical="center" wrapText="1"/>
      <protection locked="0"/>
    </xf>
    <xf numFmtId="0" fontId="138" fillId="0" borderId="12" xfId="0" applyFont="1" applyBorder="1" applyAlignment="1" applyProtection="1">
      <alignment horizontal="left" vertical="center"/>
      <protection locked="0"/>
    </xf>
    <xf numFmtId="0" fontId="91" fillId="24" borderId="12" xfId="0" applyFont="1" applyFill="1" applyBorder="1" applyAlignment="1">
      <alignment vertical="center" wrapText="1"/>
    </xf>
    <xf numFmtId="0" fontId="7" fillId="0" borderId="0" xfId="0" applyFont="1" applyAlignment="1" applyProtection="1">
      <alignment horizontal="left" vertical="center"/>
      <protection locked="0"/>
    </xf>
    <xf numFmtId="3" fontId="46" fillId="0" borderId="0" xfId="2" applyNumberFormat="1" applyFont="1" applyFill="1" applyBorder="1" applyAlignment="1" applyProtection="1">
      <alignment horizontal="center" vertical="center" wrapText="1"/>
      <protection locked="0"/>
    </xf>
    <xf numFmtId="0" fontId="151" fillId="0" borderId="0" xfId="0" applyFont="1" applyAlignment="1">
      <alignment vertical="center"/>
    </xf>
    <xf numFmtId="0" fontId="0" fillId="41" borderId="0" xfId="0" applyFill="1" applyAlignment="1">
      <alignment vertical="center"/>
    </xf>
    <xf numFmtId="0" fontId="87" fillId="5" borderId="10" xfId="0" applyFont="1" applyFill="1" applyBorder="1" applyAlignment="1" applyProtection="1">
      <alignment horizontal="center" vertical="center"/>
      <protection locked="0"/>
    </xf>
    <xf numFmtId="0" fontId="0" fillId="0" borderId="12" xfId="0" applyBorder="1" applyAlignment="1">
      <alignment vertical="center"/>
    </xf>
    <xf numFmtId="0" fontId="0" fillId="0" borderId="10" xfId="0" applyBorder="1" applyAlignment="1" applyProtection="1">
      <alignment horizontal="center" vertical="center"/>
      <protection locked="0"/>
    </xf>
    <xf numFmtId="173" fontId="46" fillId="0" borderId="10" xfId="2" applyNumberFormat="1" applyFont="1" applyFill="1" applyBorder="1" applyAlignment="1" applyProtection="1">
      <alignment horizontal="center" vertical="center"/>
      <protection locked="0"/>
    </xf>
    <xf numFmtId="10" fontId="46" fillId="0" borderId="12" xfId="2" applyNumberFormat="1" applyFont="1" applyFill="1" applyBorder="1" applyAlignment="1" applyProtection="1">
      <alignment horizontal="center" vertical="center"/>
      <protection locked="0"/>
    </xf>
    <xf numFmtId="9" fontId="46" fillId="0" borderId="10" xfId="2" applyFont="1" applyFill="1" applyBorder="1" applyAlignment="1" applyProtection="1">
      <alignment horizontal="center" vertical="center"/>
      <protection locked="0"/>
    </xf>
    <xf numFmtId="9" fontId="13" fillId="0" borderId="12" xfId="2" applyFont="1" applyBorder="1" applyAlignment="1">
      <alignment horizontal="center" vertical="center"/>
    </xf>
    <xf numFmtId="9" fontId="13" fillId="0" borderId="12" xfId="2" applyFont="1" applyBorder="1" applyAlignment="1">
      <alignment horizontal="center" vertical="center" wrapText="1"/>
    </xf>
    <xf numFmtId="9" fontId="13" fillId="0" borderId="12" xfId="2" applyFont="1" applyFill="1" applyBorder="1" applyAlignment="1">
      <alignment horizontal="center" vertical="center" wrapText="1"/>
    </xf>
    <xf numFmtId="0" fontId="152" fillId="0" borderId="0" xfId="0" applyFont="1" applyAlignment="1">
      <alignment vertical="center"/>
    </xf>
    <xf numFmtId="0" fontId="0" fillId="19" borderId="0" xfId="0" applyFill="1" applyAlignment="1">
      <alignment vertical="center"/>
    </xf>
    <xf numFmtId="3" fontId="90" fillId="0" borderId="12" xfId="0" applyNumberFormat="1" applyFont="1" applyBorder="1" applyAlignment="1" applyProtection="1">
      <alignment horizontal="center" vertical="center"/>
      <protection locked="0"/>
    </xf>
    <xf numFmtId="3" fontId="0" fillId="0" borderId="12" xfId="0" applyNumberFormat="1" applyBorder="1" applyAlignment="1" applyProtection="1">
      <alignment horizontal="center" vertical="center" wrapText="1"/>
      <protection locked="0"/>
    </xf>
    <xf numFmtId="3" fontId="114" fillId="0" borderId="12" xfId="0" applyNumberFormat="1" applyFont="1" applyBorder="1" applyAlignment="1" applyProtection="1">
      <alignment horizontal="center" vertical="center" wrapText="1"/>
      <protection locked="0"/>
    </xf>
    <xf numFmtId="181" fontId="153" fillId="0" borderId="100" xfId="0" applyNumberFormat="1" applyFont="1" applyBorder="1" applyAlignment="1">
      <alignment horizontal="left" vertical="center"/>
    </xf>
    <xf numFmtId="175" fontId="154" fillId="0" borderId="12" xfId="0" applyNumberFormat="1" applyFont="1" applyBorder="1" applyAlignment="1">
      <alignment horizontal="center" vertical="center" wrapText="1"/>
    </xf>
    <xf numFmtId="175" fontId="154" fillId="17" borderId="12" xfId="0" applyNumberFormat="1" applyFont="1" applyFill="1" applyBorder="1" applyAlignment="1">
      <alignment horizontal="center" vertical="center" wrapText="1"/>
    </xf>
    <xf numFmtId="10" fontId="13" fillId="0" borderId="12" xfId="2" applyNumberFormat="1" applyFont="1" applyBorder="1" applyAlignment="1" applyProtection="1">
      <alignment horizontal="center" vertical="center" wrapText="1"/>
      <protection locked="0"/>
    </xf>
    <xf numFmtId="10" fontId="13" fillId="0" borderId="12" xfId="2" applyNumberFormat="1" applyFont="1" applyFill="1" applyBorder="1" applyAlignment="1" applyProtection="1">
      <alignment horizontal="center" vertical="center" wrapText="1"/>
      <protection locked="0"/>
    </xf>
    <xf numFmtId="0" fontId="29" fillId="0" borderId="0" xfId="0" applyFont="1" applyAlignment="1">
      <alignment vertical="center"/>
    </xf>
    <xf numFmtId="0" fontId="108" fillId="0" borderId="0" xfId="0" applyFont="1" applyAlignment="1">
      <alignment vertical="center"/>
    </xf>
    <xf numFmtId="0" fontId="155" fillId="0" borderId="12" xfId="0" applyFont="1" applyBorder="1" applyAlignment="1">
      <alignment vertical="center" wrapText="1"/>
    </xf>
    <xf numFmtId="10" fontId="156" fillId="0" borderId="12" xfId="0" applyNumberFormat="1" applyFont="1" applyBorder="1" applyAlignment="1" applyProtection="1">
      <alignment horizontal="left" vertical="center"/>
      <protection locked="0"/>
    </xf>
    <xf numFmtId="180" fontId="156" fillId="0" borderId="12" xfId="0" applyNumberFormat="1" applyFont="1" applyBorder="1" applyAlignment="1" applyProtection="1">
      <alignment horizontal="left" vertical="center"/>
      <protection locked="0"/>
    </xf>
    <xf numFmtId="0" fontId="0" fillId="14" borderId="0" xfId="0" applyFill="1" applyAlignment="1" applyProtection="1">
      <alignment vertical="center" wrapText="1"/>
      <protection locked="0"/>
    </xf>
    <xf numFmtId="0" fontId="0" fillId="14" borderId="0" xfId="0" applyFill="1" applyAlignment="1">
      <alignment vertical="center" wrapText="1"/>
    </xf>
    <xf numFmtId="0" fontId="4" fillId="14" borderId="12" xfId="0" applyFont="1" applyFill="1" applyBorder="1" applyAlignment="1" applyProtection="1">
      <alignment vertical="center"/>
      <protection locked="0"/>
    </xf>
    <xf numFmtId="9" fontId="76" fillId="0" borderId="12" xfId="2" applyFont="1" applyFill="1" applyBorder="1" applyAlignment="1" applyProtection="1">
      <alignment horizontal="center" vertical="center"/>
      <protection locked="0"/>
    </xf>
    <xf numFmtId="9" fontId="125" fillId="0" borderId="12" xfId="0" applyNumberFormat="1" applyFont="1" applyBorder="1" applyAlignment="1" applyProtection="1">
      <alignment horizontal="center" vertical="center"/>
      <protection locked="0"/>
    </xf>
    <xf numFmtId="3" fontId="135" fillId="0" borderId="12" xfId="0" applyNumberFormat="1" applyFont="1" applyBorder="1" applyAlignment="1" applyProtection="1">
      <alignment horizontal="center" vertical="center"/>
      <protection locked="0"/>
    </xf>
    <xf numFmtId="2" fontId="126" fillId="0" borderId="12" xfId="2" applyNumberFormat="1" applyFont="1" applyBorder="1" applyAlignment="1">
      <alignment horizontal="center" vertical="center" wrapText="1"/>
    </xf>
    <xf numFmtId="4" fontId="88" fillId="0" borderId="12" xfId="0" applyNumberFormat="1" applyFont="1" applyBorder="1" applyAlignment="1" applyProtection="1">
      <alignment horizontal="center" vertical="center"/>
      <protection locked="0"/>
    </xf>
    <xf numFmtId="4" fontId="127" fillId="0" borderId="12" xfId="0" applyNumberFormat="1" applyFont="1" applyBorder="1" applyAlignment="1" applyProtection="1">
      <alignment horizontal="center" vertical="center"/>
      <protection locked="0"/>
    </xf>
    <xf numFmtId="39" fontId="88" fillId="0" borderId="12" xfId="0" applyNumberFormat="1" applyFont="1" applyBorder="1" applyAlignment="1" applyProtection="1">
      <alignment horizontal="center" vertical="center"/>
      <protection locked="0"/>
    </xf>
    <xf numFmtId="3" fontId="88" fillId="0" borderId="12" xfId="0" applyNumberFormat="1" applyFont="1" applyBorder="1" applyAlignment="1" applyProtection="1">
      <alignment horizontal="center" vertical="center"/>
      <protection locked="0"/>
    </xf>
    <xf numFmtId="0" fontId="72" fillId="13" borderId="12" xfId="0" applyFont="1" applyFill="1" applyBorder="1" applyAlignment="1">
      <alignment horizontal="center" vertical="center" wrapText="1"/>
    </xf>
    <xf numFmtId="0" fontId="157" fillId="13" borderId="12" xfId="0" applyFont="1" applyFill="1" applyBorder="1" applyAlignment="1">
      <alignment horizontal="center" vertical="center" wrapText="1"/>
    </xf>
    <xf numFmtId="0" fontId="158" fillId="5" borderId="12" xfId="0" applyFont="1" applyFill="1" applyBorder="1" applyAlignment="1">
      <alignment horizontal="center" vertical="center" wrapText="1"/>
    </xf>
    <xf numFmtId="0" fontId="159" fillId="30" borderId="12" xfId="0" applyFont="1" applyFill="1" applyBorder="1" applyAlignment="1">
      <alignment vertical="center" wrapText="1"/>
    </xf>
    <xf numFmtId="0" fontId="161" fillId="0" borderId="12" xfId="0" applyFont="1" applyBorder="1" applyAlignment="1">
      <alignment horizontal="left" vertical="center"/>
    </xf>
    <xf numFmtId="0" fontId="163" fillId="0" borderId="12" xfId="0" applyFont="1" applyBorder="1" applyAlignment="1">
      <alignment vertical="center"/>
    </xf>
    <xf numFmtId="0" fontId="161" fillId="0" borderId="12" xfId="0" applyFont="1" applyBorder="1" applyAlignment="1">
      <alignment vertical="center"/>
    </xf>
    <xf numFmtId="10" fontId="126" fillId="19" borderId="12" xfId="2" applyNumberFormat="1" applyFont="1" applyFill="1" applyBorder="1" applyAlignment="1">
      <alignment horizontal="center" vertical="center" wrapText="1"/>
    </xf>
    <xf numFmtId="0" fontId="0" fillId="19" borderId="24" xfId="0" applyFill="1" applyBorder="1" applyAlignment="1" applyProtection="1">
      <alignment horizontal="center" vertical="center"/>
      <protection locked="0"/>
    </xf>
    <xf numFmtId="181" fontId="3" fillId="0" borderId="12" xfId="0" applyNumberFormat="1" applyFont="1" applyBorder="1" applyAlignment="1" applyProtection="1">
      <alignment horizontal="center" vertical="center"/>
      <protection locked="0"/>
    </xf>
    <xf numFmtId="173" fontId="3" fillId="0" borderId="12" xfId="2" applyNumberFormat="1" applyFont="1" applyBorder="1" applyAlignment="1" applyProtection="1">
      <alignment horizontal="center" vertical="center"/>
      <protection locked="0"/>
    </xf>
    <xf numFmtId="192" fontId="0" fillId="0" borderId="12" xfId="0" applyNumberFormat="1" applyBorder="1" applyAlignment="1" applyProtection="1">
      <alignment horizontal="center" vertical="center" wrapText="1"/>
      <protection locked="0"/>
    </xf>
    <xf numFmtId="0" fontId="26" fillId="0" borderId="32" xfId="0" applyFont="1" applyBorder="1" applyAlignment="1" applyProtection="1">
      <alignment horizontal="center"/>
      <protection locked="0"/>
    </xf>
    <xf numFmtId="0" fontId="107" fillId="0" borderId="12" xfId="0" applyFont="1" applyBorder="1" applyAlignment="1" applyProtection="1">
      <alignment vertical="center"/>
      <protection hidden="1"/>
    </xf>
    <xf numFmtId="0" fontId="107" fillId="0" borderId="12" xfId="0" applyFont="1" applyBorder="1" applyAlignment="1" applyProtection="1">
      <alignment vertical="center" wrapText="1"/>
      <protection hidden="1"/>
    </xf>
    <xf numFmtId="0" fontId="107" fillId="0" borderId="12" xfId="3" applyFont="1" applyBorder="1" applyAlignment="1" applyProtection="1">
      <alignment horizontal="left" vertical="center"/>
      <protection hidden="1"/>
    </xf>
    <xf numFmtId="9" fontId="75" fillId="0" borderId="12" xfId="2" applyFont="1" applyFill="1" applyBorder="1" applyAlignment="1" applyProtection="1">
      <alignment horizontal="center" vertical="center" wrapText="1"/>
      <protection hidden="1"/>
    </xf>
    <xf numFmtId="0" fontId="75" fillId="0" borderId="12" xfId="0" applyFont="1" applyBorder="1" applyAlignment="1" applyProtection="1">
      <alignment horizontal="center" vertical="center"/>
      <protection hidden="1"/>
    </xf>
    <xf numFmtId="9" fontId="75" fillId="0" borderId="12" xfId="2" applyFont="1" applyFill="1" applyBorder="1" applyAlignment="1" applyProtection="1">
      <alignment horizontal="center" vertical="center"/>
      <protection hidden="1"/>
    </xf>
    <xf numFmtId="0" fontId="4" fillId="14" borderId="12" xfId="0" applyFont="1" applyFill="1" applyBorder="1" applyAlignment="1" applyProtection="1">
      <alignment horizontal="center" vertical="center"/>
      <protection locked="0"/>
    </xf>
    <xf numFmtId="0" fontId="144" fillId="0" borderId="12" xfId="0" applyFont="1" applyBorder="1" applyAlignment="1" applyProtection="1">
      <alignment horizontal="center" vertical="center"/>
      <protection locked="0"/>
    </xf>
    <xf numFmtId="0" fontId="145" fillId="38" borderId="12" xfId="0" applyFont="1" applyFill="1" applyBorder="1" applyAlignment="1" applyProtection="1">
      <alignment horizontal="center" vertical="center"/>
      <protection locked="0"/>
    </xf>
    <xf numFmtId="0" fontId="145" fillId="38" borderId="12" xfId="0" applyFont="1" applyFill="1" applyBorder="1" applyAlignment="1" applyProtection="1">
      <alignment horizontal="center" vertical="center" wrapText="1"/>
      <protection locked="0"/>
    </xf>
    <xf numFmtId="0" fontId="9" fillId="0" borderId="12" xfId="0" applyFont="1" applyBorder="1" applyAlignment="1" applyProtection="1">
      <alignment horizontal="center" vertical="center"/>
      <protection locked="0"/>
    </xf>
    <xf numFmtId="37" fontId="9" fillId="0" borderId="12" xfId="0" applyNumberFormat="1" applyFont="1" applyBorder="1" applyAlignment="1" applyProtection="1">
      <alignment horizontal="center" vertical="center"/>
      <protection locked="0"/>
    </xf>
    <xf numFmtId="187" fontId="9" fillId="0" borderId="12" xfId="0" applyNumberFormat="1" applyFont="1" applyBorder="1" applyAlignment="1" applyProtection="1">
      <alignment horizontal="center" vertical="center"/>
      <protection locked="0"/>
    </xf>
    <xf numFmtId="3" fontId="9" fillId="0" borderId="12" xfId="0" applyNumberFormat="1" applyFont="1" applyBorder="1" applyAlignment="1" applyProtection="1">
      <alignment horizontal="center" vertical="center"/>
      <protection locked="0"/>
    </xf>
    <xf numFmtId="0" fontId="146" fillId="39" borderId="12" xfId="0" applyFont="1" applyFill="1" applyBorder="1" applyAlignment="1" applyProtection="1">
      <alignment horizontal="center" vertical="center"/>
      <protection locked="0"/>
    </xf>
    <xf numFmtId="37" fontId="146" fillId="39" borderId="12" xfId="0" applyNumberFormat="1" applyFont="1" applyFill="1" applyBorder="1" applyAlignment="1" applyProtection="1">
      <alignment horizontal="center" vertical="center"/>
      <protection locked="0"/>
    </xf>
    <xf numFmtId="187" fontId="146" fillId="39" borderId="12" xfId="0" applyNumberFormat="1" applyFont="1" applyFill="1" applyBorder="1" applyAlignment="1" applyProtection="1">
      <alignment horizontal="center" vertical="center"/>
      <protection locked="0"/>
    </xf>
    <xf numFmtId="0" fontId="4" fillId="19" borderId="12" xfId="0" applyFont="1" applyFill="1" applyBorder="1" applyAlignment="1" applyProtection="1">
      <alignment horizontal="center" vertical="center"/>
      <protection locked="0"/>
    </xf>
    <xf numFmtId="187" fontId="0" fillId="0" borderId="12" xfId="1" applyNumberFormat="1" applyFont="1" applyBorder="1" applyAlignment="1" applyProtection="1">
      <alignment vertical="center"/>
      <protection locked="0"/>
    </xf>
    <xf numFmtId="194" fontId="3" fillId="0" borderId="0" xfId="30" applyNumberFormat="1" applyFont="1" applyAlignment="1" applyProtection="1">
      <alignment vertical="center"/>
      <protection hidden="1"/>
    </xf>
    <xf numFmtId="0" fontId="114" fillId="0" borderId="0" xfId="0" applyFont="1" applyAlignment="1" applyProtection="1">
      <alignment vertical="center"/>
      <protection hidden="1"/>
    </xf>
    <xf numFmtId="1" fontId="165" fillId="42" borderId="136" xfId="0" applyNumberFormat="1" applyFont="1" applyFill="1" applyBorder="1" applyAlignment="1" applyProtection="1">
      <alignment horizontal="center" vertical="center" wrapText="1" shrinkToFit="1"/>
      <protection hidden="1"/>
    </xf>
    <xf numFmtId="1" fontId="165" fillId="42" borderId="137" xfId="0" applyNumberFormat="1" applyFont="1" applyFill="1" applyBorder="1" applyAlignment="1" applyProtection="1">
      <alignment horizontal="center" vertical="center" wrapText="1" shrinkToFit="1"/>
      <protection hidden="1"/>
    </xf>
    <xf numFmtId="1" fontId="165" fillId="42" borderId="138" xfId="0" applyNumberFormat="1" applyFont="1" applyFill="1" applyBorder="1" applyAlignment="1" applyProtection="1">
      <alignment horizontal="center" vertical="center" wrapText="1" shrinkToFit="1"/>
      <protection hidden="1"/>
    </xf>
    <xf numFmtId="0" fontId="167" fillId="0" borderId="139" xfId="0" applyFont="1" applyBorder="1" applyAlignment="1" applyProtection="1">
      <alignment horizontal="center" vertical="center" wrapText="1"/>
      <protection hidden="1"/>
    </xf>
    <xf numFmtId="181" fontId="167" fillId="0" borderId="115" xfId="0" applyNumberFormat="1" applyFont="1" applyBorder="1" applyAlignment="1" applyProtection="1">
      <alignment horizontal="center" vertical="center" wrapText="1"/>
      <protection hidden="1"/>
    </xf>
    <xf numFmtId="0" fontId="167" fillId="0" borderId="115" xfId="0" applyFont="1" applyBorder="1" applyAlignment="1" applyProtection="1">
      <alignment horizontal="left" vertical="center" wrapText="1"/>
      <protection hidden="1"/>
    </xf>
    <xf numFmtId="0" fontId="167" fillId="0" borderId="115" xfId="0" applyFont="1" applyBorder="1" applyAlignment="1" applyProtection="1">
      <alignment horizontal="center" vertical="center" wrapText="1"/>
      <protection hidden="1"/>
    </xf>
    <xf numFmtId="181" fontId="167" fillId="0" borderId="140" xfId="0" applyNumberFormat="1" applyFont="1" applyBorder="1" applyAlignment="1" applyProtection="1">
      <alignment horizontal="center" vertical="center" wrapText="1"/>
      <protection hidden="1"/>
    </xf>
    <xf numFmtId="0" fontId="0" fillId="11" borderId="0" xfId="0" applyFill="1" applyAlignment="1" applyProtection="1">
      <alignment horizontal="center" vertical="center"/>
      <protection hidden="1"/>
    </xf>
    <xf numFmtId="0" fontId="167" fillId="0" borderId="125" xfId="0" applyFont="1" applyBorder="1" applyAlignment="1" applyProtection="1">
      <alignment horizontal="center" vertical="center" wrapText="1"/>
      <protection hidden="1"/>
    </xf>
    <xf numFmtId="181" fontId="167" fillId="0" borderId="109" xfId="0" applyNumberFormat="1" applyFont="1" applyBorder="1" applyAlignment="1" applyProtection="1">
      <alignment horizontal="center" vertical="center" wrapText="1"/>
      <protection hidden="1"/>
    </xf>
    <xf numFmtId="0" fontId="167" fillId="0" borderId="109" xfId="0" applyFont="1" applyBorder="1" applyAlignment="1" applyProtection="1">
      <alignment horizontal="left" vertical="center" wrapText="1"/>
      <protection hidden="1"/>
    </xf>
    <xf numFmtId="0" fontId="167" fillId="0" borderId="109" xfId="0" applyFont="1" applyBorder="1" applyAlignment="1" applyProtection="1">
      <alignment horizontal="center" vertical="center" wrapText="1"/>
      <protection hidden="1"/>
    </xf>
    <xf numFmtId="181" fontId="167" fillId="0" borderId="141" xfId="0" applyNumberFormat="1" applyFont="1" applyBorder="1" applyAlignment="1" applyProtection="1">
      <alignment horizontal="center" vertical="center" wrapText="1"/>
      <protection hidden="1"/>
    </xf>
    <xf numFmtId="0" fontId="167" fillId="0" borderId="127" xfId="0" applyFont="1" applyBorder="1" applyAlignment="1" applyProtection="1">
      <alignment horizontal="center" vertical="center" wrapText="1"/>
      <protection hidden="1"/>
    </xf>
    <xf numFmtId="181" fontId="167" fillId="0" borderId="142" xfId="0" applyNumberFormat="1" applyFont="1" applyBorder="1" applyAlignment="1" applyProtection="1">
      <alignment horizontal="center" vertical="center" wrapText="1"/>
      <protection hidden="1"/>
    </xf>
    <xf numFmtId="0" fontId="167" fillId="0" borderId="142" xfId="0" applyFont="1" applyBorder="1" applyAlignment="1" applyProtection="1">
      <alignment horizontal="left" vertical="center" wrapText="1"/>
      <protection hidden="1"/>
    </xf>
    <xf numFmtId="0" fontId="167" fillId="0" borderId="142" xfId="0" applyFont="1" applyBorder="1" applyAlignment="1" applyProtection="1">
      <alignment horizontal="center" vertical="center" wrapText="1"/>
      <protection hidden="1"/>
    </xf>
    <xf numFmtId="181" fontId="167" fillId="0" borderId="143" xfId="0" applyNumberFormat="1" applyFont="1" applyBorder="1" applyAlignment="1" applyProtection="1">
      <alignment horizontal="center" vertical="center" wrapText="1"/>
      <protection hidden="1"/>
    </xf>
    <xf numFmtId="0" fontId="170" fillId="0" borderId="144" xfId="0" applyFont="1" applyBorder="1" applyAlignment="1" applyProtection="1">
      <alignment horizontal="center" vertical="center"/>
      <protection hidden="1"/>
    </xf>
    <xf numFmtId="0" fontId="171" fillId="0" borderId="145" xfId="0" applyFont="1" applyBorder="1" applyAlignment="1" applyProtection="1">
      <alignment vertical="center"/>
      <protection hidden="1"/>
    </xf>
    <xf numFmtId="0" fontId="170" fillId="0" borderId="114" xfId="0" applyFont="1" applyBorder="1" applyAlignment="1" applyProtection="1">
      <alignment horizontal="center" vertical="center"/>
      <protection hidden="1"/>
    </xf>
    <xf numFmtId="181" fontId="170" fillId="0" borderId="114" xfId="0" applyNumberFormat="1" applyFont="1" applyBorder="1" applyAlignment="1" applyProtection="1">
      <alignment horizontal="center" vertical="center"/>
      <protection hidden="1"/>
    </xf>
    <xf numFmtId="0" fontId="171" fillId="0" borderId="0" xfId="0" applyFont="1" applyAlignment="1" applyProtection="1">
      <alignment vertical="center"/>
      <protection hidden="1"/>
    </xf>
    <xf numFmtId="1" fontId="165" fillId="42" borderId="117" xfId="0" applyNumberFormat="1" applyFont="1" applyFill="1" applyBorder="1" applyAlignment="1" applyProtection="1">
      <alignment vertical="center" shrinkToFit="1"/>
      <protection hidden="1"/>
    </xf>
    <xf numFmtId="181" fontId="166" fillId="0" borderId="133" xfId="0" applyNumberFormat="1" applyFont="1" applyBorder="1" applyAlignment="1" applyProtection="1">
      <alignment horizontal="center" vertical="center" wrapText="1"/>
      <protection hidden="1"/>
    </xf>
    <xf numFmtId="1" fontId="165" fillId="42" borderId="117" xfId="0" applyNumberFormat="1" applyFont="1" applyFill="1" applyBorder="1" applyAlignment="1" applyProtection="1">
      <alignment vertical="center" wrapText="1" shrinkToFit="1"/>
      <protection hidden="1"/>
    </xf>
    <xf numFmtId="1" fontId="165" fillId="42" borderId="131" xfId="0" applyNumberFormat="1" applyFont="1" applyFill="1" applyBorder="1" applyAlignment="1" applyProtection="1">
      <alignment vertical="center" shrinkToFit="1"/>
      <protection hidden="1"/>
    </xf>
    <xf numFmtId="0" fontId="166" fillId="0" borderId="134" xfId="0" applyFont="1" applyBorder="1" applyAlignment="1" applyProtection="1">
      <alignment horizontal="center" vertical="center" wrapText="1"/>
      <protection hidden="1"/>
    </xf>
    <xf numFmtId="1" fontId="165" fillId="42" borderId="131" xfId="0" applyNumberFormat="1" applyFont="1" applyFill="1" applyBorder="1" applyAlignment="1" applyProtection="1">
      <alignment vertical="center" wrapText="1" shrinkToFit="1"/>
      <protection hidden="1"/>
    </xf>
    <xf numFmtId="181" fontId="166" fillId="0" borderId="134" xfId="0" applyNumberFormat="1" applyFont="1" applyBorder="1" applyAlignment="1" applyProtection="1">
      <alignment horizontal="center" vertical="center" wrapText="1"/>
      <protection hidden="1"/>
    </xf>
    <xf numFmtId="1" fontId="165" fillId="42" borderId="132" xfId="0" applyNumberFormat="1" applyFont="1" applyFill="1" applyBorder="1" applyAlignment="1" applyProtection="1">
      <alignment vertical="center" shrinkToFit="1"/>
      <protection hidden="1"/>
    </xf>
    <xf numFmtId="181" fontId="166" fillId="0" borderId="135" xfId="0" applyNumberFormat="1" applyFont="1" applyBorder="1" applyAlignment="1" applyProtection="1">
      <alignment horizontal="center" vertical="center" wrapText="1"/>
      <protection hidden="1"/>
    </xf>
    <xf numFmtId="1" fontId="165" fillId="42" borderId="132" xfId="0" applyNumberFormat="1" applyFont="1" applyFill="1" applyBorder="1" applyAlignment="1" applyProtection="1">
      <alignment vertical="center" wrapText="1" shrinkToFit="1"/>
      <protection hidden="1"/>
    </xf>
    <xf numFmtId="181" fontId="168" fillId="0" borderId="114" xfId="0" applyNumberFormat="1" applyFont="1" applyBorder="1" applyAlignment="1" applyProtection="1">
      <alignment horizontal="center" vertical="center" wrapText="1"/>
      <protection hidden="1"/>
    </xf>
    <xf numFmtId="0" fontId="168" fillId="0" borderId="114" xfId="0" applyFont="1" applyBorder="1" applyAlignment="1" applyProtection="1">
      <alignment horizontal="center" vertical="center" wrapText="1"/>
      <protection hidden="1"/>
    </xf>
    <xf numFmtId="0" fontId="166" fillId="0" borderId="114" xfId="0" applyFont="1" applyBorder="1" applyAlignment="1" applyProtection="1">
      <alignment horizontal="center" vertical="center" wrapText="1"/>
      <protection hidden="1"/>
    </xf>
    <xf numFmtId="181" fontId="167" fillId="0" borderId="114" xfId="0" applyNumberFormat="1" applyFont="1" applyBorder="1" applyAlignment="1" applyProtection="1">
      <alignment horizontal="center" vertical="center" wrapText="1"/>
      <protection hidden="1"/>
    </xf>
    <xf numFmtId="0" fontId="164" fillId="0" borderId="0" xfId="0" applyFont="1" applyAlignment="1" applyProtection="1">
      <alignment vertical="center" wrapText="1"/>
      <protection hidden="1"/>
    </xf>
    <xf numFmtId="0" fontId="166" fillId="43" borderId="109" xfId="0" applyFont="1" applyFill="1" applyBorder="1" applyAlignment="1" applyProtection="1">
      <alignment horizontal="center" vertical="center" wrapText="1"/>
      <protection hidden="1"/>
    </xf>
    <xf numFmtId="0" fontId="166" fillId="43" borderId="105" xfId="0" applyFont="1" applyFill="1" applyBorder="1" applyAlignment="1" applyProtection="1">
      <alignment horizontal="center" vertical="center" wrapText="1"/>
      <protection hidden="1"/>
    </xf>
    <xf numFmtId="0" fontId="166" fillId="43" borderId="110" xfId="0" applyFont="1" applyFill="1" applyBorder="1" applyAlignment="1" applyProtection="1">
      <alignment horizontal="center" vertical="center" wrapText="1"/>
      <protection hidden="1"/>
    </xf>
    <xf numFmtId="0" fontId="167" fillId="0" borderId="105" xfId="0" applyFont="1" applyBorder="1" applyAlignment="1" applyProtection="1">
      <alignment horizontal="center" vertical="center" wrapText="1"/>
      <protection hidden="1"/>
    </xf>
    <xf numFmtId="0" fontId="167" fillId="0" borderId="110" xfId="0" applyFont="1" applyBorder="1" applyAlignment="1" applyProtection="1">
      <alignment horizontal="center" vertical="center" wrapText="1"/>
      <protection hidden="1"/>
    </xf>
    <xf numFmtId="181" fontId="167" fillId="0" borderId="105" xfId="0" applyNumberFormat="1" applyFont="1" applyBorder="1" applyAlignment="1" applyProtection="1">
      <alignment horizontal="center" vertical="center" wrapText="1"/>
      <protection hidden="1"/>
    </xf>
    <xf numFmtId="181" fontId="167" fillId="0" borderId="110" xfId="0" applyNumberFormat="1" applyFont="1" applyBorder="1" applyAlignment="1" applyProtection="1">
      <alignment horizontal="center" vertical="center" wrapText="1"/>
      <protection hidden="1"/>
    </xf>
    <xf numFmtId="0" fontId="167" fillId="43" borderId="109" xfId="0" applyFont="1" applyFill="1" applyBorder="1" applyAlignment="1" applyProtection="1">
      <alignment horizontal="center" vertical="center" wrapText="1"/>
      <protection hidden="1"/>
    </xf>
    <xf numFmtId="0" fontId="167" fillId="43" borderId="105" xfId="0" applyFont="1" applyFill="1" applyBorder="1" applyAlignment="1" applyProtection="1">
      <alignment horizontal="center" vertical="center" wrapText="1"/>
      <protection hidden="1"/>
    </xf>
    <xf numFmtId="0" fontId="167" fillId="43" borderId="110" xfId="0" applyFont="1" applyFill="1" applyBorder="1" applyAlignment="1" applyProtection="1">
      <alignment horizontal="center" vertical="center" wrapText="1"/>
      <protection hidden="1"/>
    </xf>
    <xf numFmtId="181" fontId="167" fillId="43" borderId="105" xfId="0" applyNumberFormat="1" applyFont="1" applyFill="1" applyBorder="1" applyAlignment="1" applyProtection="1">
      <alignment horizontal="center" vertical="center" wrapText="1"/>
      <protection hidden="1"/>
    </xf>
    <xf numFmtId="181" fontId="167" fillId="43" borderId="110" xfId="0" applyNumberFormat="1" applyFont="1" applyFill="1" applyBorder="1" applyAlignment="1" applyProtection="1">
      <alignment horizontal="center" vertical="center" wrapText="1"/>
      <protection hidden="1"/>
    </xf>
    <xf numFmtId="0" fontId="114" fillId="11" borderId="0" xfId="0" applyFont="1" applyFill="1" applyAlignment="1" applyProtection="1">
      <alignment vertical="center"/>
      <protection hidden="1"/>
    </xf>
    <xf numFmtId="0" fontId="167" fillId="43" borderId="111" xfId="0" applyFont="1" applyFill="1" applyBorder="1" applyAlignment="1" applyProtection="1">
      <alignment horizontal="center" vertical="center" wrapText="1"/>
      <protection hidden="1"/>
    </xf>
    <xf numFmtId="0" fontId="167" fillId="43" borderId="112" xfId="0" applyFont="1" applyFill="1" applyBorder="1" applyAlignment="1" applyProtection="1">
      <alignment horizontal="center" vertical="center" wrapText="1"/>
      <protection hidden="1"/>
    </xf>
    <xf numFmtId="0" fontId="167" fillId="43" borderId="113" xfId="0" applyFont="1" applyFill="1" applyBorder="1" applyAlignment="1" applyProtection="1">
      <alignment horizontal="center" vertical="center" wrapText="1"/>
      <protection hidden="1"/>
    </xf>
    <xf numFmtId="181" fontId="167" fillId="43" borderId="112" xfId="0" applyNumberFormat="1" applyFont="1" applyFill="1" applyBorder="1" applyAlignment="1" applyProtection="1">
      <alignment horizontal="center" vertical="center" wrapText="1"/>
      <protection hidden="1"/>
    </xf>
    <xf numFmtId="181" fontId="167" fillId="43" borderId="113" xfId="0" applyNumberFormat="1" applyFont="1" applyFill="1" applyBorder="1" applyAlignment="1" applyProtection="1">
      <alignment horizontal="center" vertical="center" wrapText="1"/>
      <protection hidden="1"/>
    </xf>
    <xf numFmtId="9" fontId="167" fillId="0" borderId="114" xfId="2" applyFont="1" applyBorder="1" applyAlignment="1" applyProtection="1">
      <alignment horizontal="center" vertical="center" wrapText="1"/>
      <protection hidden="1"/>
    </xf>
    <xf numFmtId="1" fontId="165" fillId="42" borderId="121" xfId="0" applyNumberFormat="1" applyFont="1" applyFill="1" applyBorder="1" applyAlignment="1" applyProtection="1">
      <alignment vertical="center" shrinkToFit="1"/>
      <protection hidden="1"/>
    </xf>
    <xf numFmtId="0" fontId="166" fillId="43" borderId="125" xfId="0" applyFont="1" applyFill="1" applyBorder="1" applyAlignment="1" applyProtection="1">
      <alignment horizontal="center" vertical="center" wrapText="1"/>
      <protection hidden="1"/>
    </xf>
    <xf numFmtId="0" fontId="166" fillId="43" borderId="126" xfId="0" applyFont="1" applyFill="1" applyBorder="1" applyAlignment="1" applyProtection="1">
      <alignment horizontal="center" vertical="center" wrapText="1"/>
      <protection hidden="1"/>
    </xf>
    <xf numFmtId="0" fontId="167" fillId="0" borderId="128" xfId="0" applyFont="1" applyBorder="1" applyAlignment="1" applyProtection="1">
      <alignment horizontal="center" vertical="center" wrapText="1"/>
      <protection hidden="1"/>
    </xf>
    <xf numFmtId="0" fontId="167" fillId="0" borderId="129" xfId="0" applyFont="1" applyBorder="1" applyAlignment="1" applyProtection="1">
      <alignment horizontal="center" vertical="center" wrapText="1"/>
      <protection hidden="1"/>
    </xf>
    <xf numFmtId="181" fontId="167" fillId="0" borderId="128" xfId="0" applyNumberFormat="1" applyFont="1" applyBorder="1" applyAlignment="1" applyProtection="1">
      <alignment horizontal="center" vertical="center" wrapText="1"/>
      <protection hidden="1"/>
    </xf>
    <xf numFmtId="181" fontId="167" fillId="0" borderId="130" xfId="0" applyNumberFormat="1" applyFont="1" applyBorder="1" applyAlignment="1" applyProtection="1">
      <alignment horizontal="center" vertical="center" wrapText="1"/>
      <protection hidden="1"/>
    </xf>
    <xf numFmtId="0" fontId="167" fillId="0" borderId="0" xfId="0" applyFont="1" applyAlignment="1" applyProtection="1">
      <alignment horizontal="center" vertical="center" wrapText="1"/>
      <protection hidden="1"/>
    </xf>
    <xf numFmtId="181" fontId="167" fillId="0" borderId="0" xfId="0" applyNumberFormat="1" applyFont="1" applyAlignment="1" applyProtection="1">
      <alignment horizontal="center" vertical="center" wrapText="1"/>
      <protection hidden="1"/>
    </xf>
    <xf numFmtId="0" fontId="172" fillId="0" borderId="0" xfId="0" applyFont="1" applyAlignment="1" applyProtection="1">
      <alignment vertical="center"/>
      <protection hidden="1"/>
    </xf>
    <xf numFmtId="193" fontId="172" fillId="0" borderId="0" xfId="0" applyNumberFormat="1" applyFont="1" applyAlignment="1" applyProtection="1">
      <alignment horizontal="left" vertical="center"/>
      <protection hidden="1"/>
    </xf>
    <xf numFmtId="0" fontId="173" fillId="0" borderId="0" xfId="0" applyFont="1" applyAlignment="1" applyProtection="1">
      <alignment vertical="center"/>
      <protection hidden="1"/>
    </xf>
    <xf numFmtId="15" fontId="3" fillId="0" borderId="0" xfId="0" applyNumberFormat="1" applyFont="1" applyAlignment="1" applyProtection="1">
      <alignment vertical="center"/>
      <protection hidden="1"/>
    </xf>
    <xf numFmtId="9" fontId="174" fillId="0" borderId="0" xfId="2" applyFont="1" applyAlignment="1" applyProtection="1">
      <alignment horizontal="left" vertical="center"/>
      <protection hidden="1"/>
    </xf>
    <xf numFmtId="0" fontId="175" fillId="0" borderId="12" xfId="0" applyFont="1" applyBorder="1" applyAlignment="1">
      <alignment horizontal="center" vertical="center" wrapText="1"/>
    </xf>
    <xf numFmtId="4" fontId="88" fillId="10" borderId="12" xfId="0" applyNumberFormat="1" applyFont="1" applyFill="1" applyBorder="1" applyAlignment="1" applyProtection="1">
      <alignment horizontal="center" vertical="center"/>
      <protection locked="0"/>
    </xf>
    <xf numFmtId="4" fontId="125" fillId="0" borderId="12" xfId="0" applyNumberFormat="1" applyFont="1" applyBorder="1" applyAlignment="1" applyProtection="1">
      <alignment horizontal="center" vertical="center" wrapText="1"/>
      <protection locked="0"/>
    </xf>
    <xf numFmtId="15" fontId="4" fillId="11" borderId="0" xfId="0" applyNumberFormat="1" applyFont="1" applyFill="1" applyAlignment="1" applyProtection="1">
      <alignment horizontal="center" vertical="center"/>
      <protection locked="0"/>
    </xf>
    <xf numFmtId="0" fontId="72" fillId="11" borderId="12" xfId="0" applyFont="1" applyFill="1" applyBorder="1" applyAlignment="1">
      <alignment horizontal="center" vertical="center" wrapText="1"/>
    </xf>
    <xf numFmtId="3" fontId="93" fillId="11" borderId="12" xfId="0" applyNumberFormat="1" applyFont="1" applyFill="1" applyBorder="1" applyAlignment="1">
      <alignment horizontal="center" vertical="center"/>
    </xf>
    <xf numFmtId="3" fontId="98" fillId="11" borderId="12" xfId="0" applyNumberFormat="1" applyFont="1" applyFill="1" applyBorder="1" applyAlignment="1">
      <alignment horizontal="center" vertical="center"/>
    </xf>
    <xf numFmtId="10" fontId="0" fillId="0" borderId="12" xfId="2" applyNumberFormat="1" applyFont="1" applyBorder="1" applyAlignment="1" applyProtection="1">
      <alignment horizontal="center" vertical="center"/>
      <protection locked="0" hidden="1"/>
    </xf>
    <xf numFmtId="10" fontId="0" fillId="6" borderId="12" xfId="2" applyNumberFormat="1" applyFont="1" applyFill="1" applyBorder="1" applyAlignment="1" applyProtection="1">
      <alignment horizontal="center" vertical="center"/>
      <protection hidden="1"/>
    </xf>
    <xf numFmtId="0" fontId="24" fillId="10" borderId="9" xfId="0" applyFont="1" applyFill="1" applyBorder="1" applyAlignment="1" applyProtection="1">
      <alignment horizontal="center" vertical="center"/>
      <protection locked="0"/>
    </xf>
    <xf numFmtId="0" fontId="24" fillId="10" borderId="11" xfId="0" applyFont="1" applyFill="1" applyBorder="1" applyAlignment="1" applyProtection="1">
      <alignment horizontal="center" vertical="center"/>
      <protection locked="0"/>
    </xf>
    <xf numFmtId="0" fontId="24" fillId="10" borderId="10" xfId="0" applyFont="1" applyFill="1" applyBorder="1" applyAlignment="1" applyProtection="1">
      <alignment horizontal="center" vertical="center"/>
      <protection locked="0"/>
    </xf>
    <xf numFmtId="169" fontId="24" fillId="10" borderId="9" xfId="0" applyNumberFormat="1" applyFont="1" applyFill="1" applyBorder="1" applyAlignment="1" applyProtection="1">
      <alignment horizontal="center" vertical="center"/>
      <protection locked="0"/>
    </xf>
    <xf numFmtId="169" fontId="24" fillId="10" borderId="11" xfId="0" applyNumberFormat="1" applyFont="1" applyFill="1" applyBorder="1" applyAlignment="1" applyProtection="1">
      <alignment horizontal="center" vertical="center"/>
      <protection locked="0"/>
    </xf>
    <xf numFmtId="169" fontId="24" fillId="10" borderId="10" xfId="0" applyNumberFormat="1" applyFont="1" applyFill="1" applyBorder="1" applyAlignment="1" applyProtection="1">
      <alignment horizontal="center" vertical="center"/>
      <protection locked="0"/>
    </xf>
    <xf numFmtId="177" fontId="14" fillId="6" borderId="9" xfId="3" applyNumberFormat="1" applyFont="1" applyFill="1" applyBorder="1" applyAlignment="1">
      <alignment horizontal="center" vertical="center"/>
    </xf>
    <xf numFmtId="177" fontId="14" fillId="6" borderId="11" xfId="3" applyNumberFormat="1" applyFont="1" applyFill="1" applyBorder="1" applyAlignment="1">
      <alignment horizontal="center" vertical="center"/>
    </xf>
    <xf numFmtId="177" fontId="14" fillId="6" borderId="10" xfId="3" applyNumberFormat="1" applyFont="1" applyFill="1" applyBorder="1" applyAlignment="1">
      <alignment horizontal="center" vertical="center"/>
    </xf>
    <xf numFmtId="169" fontId="24" fillId="6" borderId="9" xfId="0" applyNumberFormat="1" applyFont="1" applyFill="1" applyBorder="1" applyAlignment="1">
      <alignment horizontal="center" vertical="center"/>
    </xf>
    <xf numFmtId="169" fontId="24" fillId="6" borderId="11" xfId="0" applyNumberFormat="1" applyFont="1" applyFill="1" applyBorder="1" applyAlignment="1">
      <alignment horizontal="center" vertical="center"/>
    </xf>
    <xf numFmtId="169" fontId="24" fillId="6" borderId="10" xfId="0" applyNumberFormat="1" applyFont="1" applyFill="1" applyBorder="1" applyAlignment="1">
      <alignment horizontal="center" vertical="center"/>
    </xf>
    <xf numFmtId="0" fontId="24" fillId="7" borderId="9" xfId="0" applyFont="1" applyFill="1" applyBorder="1" applyAlignment="1" applyProtection="1">
      <alignment horizontal="center" vertical="center"/>
      <protection locked="0"/>
    </xf>
    <xf numFmtId="0" fontId="24" fillId="7" borderId="11" xfId="0" applyFont="1" applyFill="1" applyBorder="1" applyAlignment="1" applyProtection="1">
      <alignment horizontal="center" vertical="center"/>
      <protection locked="0"/>
    </xf>
    <xf numFmtId="0" fontId="24" fillId="7" borderId="10" xfId="0" applyFont="1" applyFill="1" applyBorder="1" applyAlignment="1" applyProtection="1">
      <alignment horizontal="center" vertical="center"/>
      <protection locked="0"/>
    </xf>
    <xf numFmtId="176" fontId="14" fillId="6" borderId="9" xfId="3" applyNumberFormat="1" applyFont="1" applyFill="1" applyBorder="1" applyAlignment="1">
      <alignment horizontal="center" vertical="center"/>
    </xf>
    <xf numFmtId="176" fontId="14" fillId="6" borderId="11" xfId="3" applyNumberFormat="1" applyFont="1" applyFill="1" applyBorder="1" applyAlignment="1">
      <alignment horizontal="center" vertical="center"/>
    </xf>
    <xf numFmtId="176" fontId="14" fillId="6" borderId="10" xfId="3" applyNumberFormat="1" applyFont="1" applyFill="1" applyBorder="1" applyAlignment="1">
      <alignment horizontal="center" vertical="center"/>
    </xf>
    <xf numFmtId="0" fontId="26" fillId="6" borderId="35" xfId="0" applyFont="1" applyFill="1" applyBorder="1" applyAlignment="1">
      <alignment horizontal="left" vertical="top" wrapText="1"/>
    </xf>
    <xf numFmtId="0" fontId="26" fillId="6" borderId="36" xfId="0" applyFont="1" applyFill="1" applyBorder="1" applyAlignment="1">
      <alignment horizontal="left" vertical="top" wrapText="1"/>
    </xf>
    <xf numFmtId="0" fontId="26" fillId="6" borderId="37" xfId="0" applyFont="1" applyFill="1" applyBorder="1" applyAlignment="1">
      <alignment horizontal="left" vertical="top" wrapText="1"/>
    </xf>
    <xf numFmtId="0" fontId="26" fillId="6" borderId="16" xfId="0" applyFont="1" applyFill="1" applyBorder="1" applyAlignment="1">
      <alignment horizontal="left" vertical="top" wrapText="1"/>
    </xf>
    <xf numFmtId="0" fontId="26" fillId="6" borderId="17" xfId="0" applyFont="1" applyFill="1" applyBorder="1" applyAlignment="1">
      <alignment horizontal="left" vertical="top" wrapText="1"/>
    </xf>
    <xf numFmtId="0" fontId="26" fillId="6" borderId="18" xfId="0" applyFont="1" applyFill="1" applyBorder="1" applyAlignment="1">
      <alignment horizontal="left" vertical="top" wrapText="1"/>
    </xf>
    <xf numFmtId="0" fontId="26" fillId="6" borderId="9" xfId="0" applyFont="1" applyFill="1" applyBorder="1" applyAlignment="1">
      <alignment horizontal="left" vertical="top"/>
    </xf>
    <xf numFmtId="0" fontId="26" fillId="6" borderId="11" xfId="0" applyFont="1" applyFill="1" applyBorder="1" applyAlignment="1">
      <alignment horizontal="left" vertical="top"/>
    </xf>
    <xf numFmtId="0" fontId="26" fillId="6" borderId="10" xfId="0" applyFont="1" applyFill="1" applyBorder="1" applyAlignment="1">
      <alignment horizontal="left" vertical="top"/>
    </xf>
    <xf numFmtId="0" fontId="143" fillId="0" borderId="31" xfId="0" applyFont="1" applyBorder="1" applyAlignment="1">
      <alignment horizontal="center" vertical="center" wrapText="1"/>
    </xf>
    <xf numFmtId="0" fontId="143" fillId="0" borderId="19" xfId="0" applyFont="1" applyBorder="1" applyAlignment="1">
      <alignment horizontal="center" vertical="center" wrapText="1"/>
    </xf>
    <xf numFmtId="0" fontId="143" fillId="0" borderId="7" xfId="0" applyFont="1" applyBorder="1" applyAlignment="1">
      <alignment horizontal="center" vertical="center" wrapText="1"/>
    </xf>
    <xf numFmtId="0" fontId="143" fillId="0" borderId="32" xfId="0" applyFont="1" applyBorder="1" applyAlignment="1">
      <alignment horizontal="center" vertical="center" wrapText="1"/>
    </xf>
    <xf numFmtId="0" fontId="143" fillId="0" borderId="0" xfId="0" applyFont="1" applyAlignment="1">
      <alignment horizontal="center" vertical="center" wrapText="1"/>
    </xf>
    <xf numFmtId="0" fontId="143" fillId="0" borderId="33" xfId="0" applyFont="1" applyBorder="1" applyAlignment="1">
      <alignment horizontal="center" vertical="center" wrapText="1"/>
    </xf>
    <xf numFmtId="0" fontId="143" fillId="0" borderId="34" xfId="0" applyFont="1" applyBorder="1" applyAlignment="1">
      <alignment horizontal="center" vertical="center" wrapText="1"/>
    </xf>
    <xf numFmtId="0" fontId="143" fillId="0" borderId="8" xfId="0" applyFont="1" applyBorder="1" applyAlignment="1">
      <alignment horizontal="center" vertical="center" wrapText="1"/>
    </xf>
    <xf numFmtId="0" fontId="143" fillId="0" borderId="4" xfId="0" applyFont="1" applyBorder="1" applyAlignment="1">
      <alignment horizontal="center" vertical="center" wrapText="1"/>
    </xf>
    <xf numFmtId="0" fontId="16" fillId="12" borderId="9" xfId="3" applyFont="1" applyFill="1" applyBorder="1" applyAlignment="1" applyProtection="1">
      <alignment horizontal="left" vertical="center" wrapText="1"/>
      <protection hidden="1"/>
    </xf>
    <xf numFmtId="0" fontId="16" fillId="12" borderId="11" xfId="3" applyFont="1" applyFill="1" applyBorder="1" applyAlignment="1" applyProtection="1">
      <alignment horizontal="left" vertical="center" wrapText="1"/>
      <protection hidden="1"/>
    </xf>
    <xf numFmtId="0" fontId="16" fillId="12" borderId="10" xfId="3" applyFont="1" applyFill="1" applyBorder="1" applyAlignment="1" applyProtection="1">
      <alignment horizontal="left" vertical="center" wrapText="1"/>
      <protection hidden="1"/>
    </xf>
    <xf numFmtId="14" fontId="17" fillId="12" borderId="9" xfId="3" applyNumberFormat="1" applyFont="1" applyFill="1" applyBorder="1" applyAlignment="1" applyProtection="1">
      <alignment horizontal="center" vertical="center"/>
      <protection hidden="1"/>
    </xf>
    <xf numFmtId="14" fontId="17" fillId="12" borderId="10" xfId="3" applyNumberFormat="1" applyFont="1" applyFill="1" applyBorder="1" applyAlignment="1" applyProtection="1">
      <alignment horizontal="center" vertical="center"/>
      <protection hidden="1"/>
    </xf>
    <xf numFmtId="0" fontId="17" fillId="33" borderId="12" xfId="3" applyFont="1" applyFill="1" applyBorder="1" applyAlignment="1" applyProtection="1">
      <alignment horizontal="center" vertical="center"/>
      <protection hidden="1"/>
    </xf>
    <xf numFmtId="0" fontId="14" fillId="33" borderId="12" xfId="3" applyFont="1" applyFill="1" applyBorder="1" applyAlignment="1" applyProtection="1">
      <alignment horizontal="center" vertical="center" wrapText="1"/>
      <protection hidden="1"/>
    </xf>
    <xf numFmtId="0" fontId="14" fillId="33" borderId="12" xfId="3" applyFont="1" applyFill="1" applyBorder="1" applyAlignment="1" applyProtection="1">
      <alignment horizontal="center" vertical="center"/>
      <protection hidden="1"/>
    </xf>
    <xf numFmtId="0" fontId="17" fillId="33" borderId="12" xfId="3" applyFont="1" applyFill="1" applyBorder="1" applyAlignment="1" applyProtection="1">
      <alignment horizontal="center" vertical="center" wrapText="1"/>
      <protection hidden="1"/>
    </xf>
    <xf numFmtId="171" fontId="17" fillId="8" borderId="16" xfId="5" applyNumberFormat="1" applyFont="1" applyFill="1" applyBorder="1" applyAlignment="1" applyProtection="1">
      <alignment horizontal="left" vertical="center" wrapText="1"/>
      <protection hidden="1"/>
    </xf>
    <xf numFmtId="171" fontId="17" fillId="8" borderId="17" xfId="5" applyNumberFormat="1" applyFont="1" applyFill="1" applyBorder="1" applyAlignment="1" applyProtection="1">
      <alignment horizontal="left" vertical="center" wrapText="1"/>
      <protection hidden="1"/>
    </xf>
    <xf numFmtId="0" fontId="120" fillId="7" borderId="102" xfId="0" applyFont="1" applyFill="1" applyBorder="1" applyAlignment="1" applyProtection="1">
      <alignment horizontal="center" vertical="center" wrapText="1"/>
      <protection hidden="1"/>
    </xf>
    <xf numFmtId="0" fontId="120" fillId="7" borderId="3" xfId="0" applyFont="1" applyFill="1" applyBorder="1" applyAlignment="1" applyProtection="1">
      <alignment horizontal="center" vertical="center" wrapText="1"/>
      <protection hidden="1"/>
    </xf>
    <xf numFmtId="0" fontId="139" fillId="33" borderId="28" xfId="0" applyFont="1" applyFill="1" applyBorder="1" applyAlignment="1" applyProtection="1">
      <alignment horizontal="center" vertical="center"/>
      <protection hidden="1"/>
    </xf>
    <xf numFmtId="0" fontId="139" fillId="33" borderId="53" xfId="0" applyFont="1" applyFill="1" applyBorder="1" applyAlignment="1" applyProtection="1">
      <alignment horizontal="center" vertical="center"/>
      <protection hidden="1"/>
    </xf>
    <xf numFmtId="0" fontId="139" fillId="33" borderId="55" xfId="0" applyFont="1" applyFill="1" applyBorder="1" applyAlignment="1" applyProtection="1">
      <alignment horizontal="center" vertical="center"/>
      <protection hidden="1"/>
    </xf>
    <xf numFmtId="167" fontId="25" fillId="0" borderId="102" xfId="5" applyNumberFormat="1" applyFont="1" applyBorder="1" applyAlignment="1" applyProtection="1">
      <alignment horizontal="center" vertical="center"/>
      <protection hidden="1"/>
    </xf>
    <xf numFmtId="167" fontId="25" fillId="0" borderId="3" xfId="5" applyNumberFormat="1" applyFont="1" applyBorder="1" applyAlignment="1" applyProtection="1">
      <alignment horizontal="center" vertical="center"/>
      <protection hidden="1"/>
    </xf>
    <xf numFmtId="167" fontId="15" fillId="5" borderId="9" xfId="5" applyNumberFormat="1" applyFont="1" applyFill="1" applyBorder="1" applyAlignment="1" applyProtection="1">
      <alignment horizontal="center" vertical="center" wrapText="1"/>
      <protection hidden="1"/>
    </xf>
    <xf numFmtId="167" fontId="15" fillId="5" borderId="10" xfId="5" applyNumberFormat="1" applyFont="1" applyFill="1" applyBorder="1" applyAlignment="1" applyProtection="1">
      <alignment horizontal="center" vertical="center" wrapText="1"/>
      <protection hidden="1"/>
    </xf>
    <xf numFmtId="0" fontId="120" fillId="7" borderId="28" xfId="0" applyFont="1" applyFill="1" applyBorder="1" applyAlignment="1" applyProtection="1">
      <alignment horizontal="center" vertical="center" wrapText="1"/>
      <protection hidden="1"/>
    </xf>
    <xf numFmtId="0" fontId="120" fillId="7" borderId="30" xfId="0" applyFont="1" applyFill="1" applyBorder="1" applyAlignment="1" applyProtection="1">
      <alignment horizontal="center" vertical="center" wrapText="1"/>
      <protection hidden="1"/>
    </xf>
    <xf numFmtId="0" fontId="17" fillId="0" borderId="12" xfId="3" applyFont="1" applyBorder="1" applyAlignment="1" applyProtection="1">
      <alignment horizontal="center" vertical="center" wrapText="1"/>
      <protection hidden="1"/>
    </xf>
    <xf numFmtId="0" fontId="5" fillId="0" borderId="35" xfId="0" applyFont="1" applyBorder="1" applyAlignment="1" applyProtection="1">
      <alignment horizontal="center" vertical="center" wrapText="1"/>
      <protection hidden="1"/>
    </xf>
    <xf numFmtId="0" fontId="5" fillId="0" borderId="37" xfId="0" applyFont="1" applyBorder="1" applyAlignment="1" applyProtection="1">
      <alignment horizontal="center" vertical="center" wrapText="1"/>
      <protection hidden="1"/>
    </xf>
    <xf numFmtId="0" fontId="5" fillId="0" borderId="38" xfId="0" applyFont="1" applyBorder="1" applyAlignment="1" applyProtection="1">
      <alignment horizontal="center" vertical="center" wrapText="1"/>
      <protection hidden="1"/>
    </xf>
    <xf numFmtId="0" fontId="5" fillId="0" borderId="39" xfId="0" applyFont="1" applyBorder="1" applyAlignment="1" applyProtection="1">
      <alignment horizontal="center" vertical="center" wrapText="1"/>
      <protection hidden="1"/>
    </xf>
    <xf numFmtId="0" fontId="5" fillId="0" borderId="16" xfId="0" applyFont="1" applyBorder="1" applyAlignment="1" applyProtection="1">
      <alignment horizontal="center" vertical="center" wrapText="1"/>
      <protection hidden="1"/>
    </xf>
    <xf numFmtId="0" fontId="5" fillId="0" borderId="18" xfId="0" applyFont="1" applyBorder="1" applyAlignment="1" applyProtection="1">
      <alignment horizontal="center" vertical="center" wrapText="1"/>
      <protection hidden="1"/>
    </xf>
    <xf numFmtId="0" fontId="5" fillId="0" borderId="35" xfId="0" applyFont="1" applyBorder="1" applyAlignment="1" applyProtection="1">
      <alignment horizontal="left" vertical="center" wrapText="1"/>
      <protection hidden="1"/>
    </xf>
    <xf numFmtId="0" fontId="5" fillId="0" borderId="37" xfId="0" applyFont="1" applyBorder="1" applyAlignment="1" applyProtection="1">
      <alignment horizontal="left" vertical="center" wrapText="1"/>
      <protection hidden="1"/>
    </xf>
    <xf numFmtId="0" fontId="5" fillId="0" borderId="38" xfId="0" applyFont="1" applyBorder="1" applyAlignment="1" applyProtection="1">
      <alignment horizontal="left" vertical="center" wrapText="1"/>
      <protection hidden="1"/>
    </xf>
    <xf numFmtId="0" fontId="5" fillId="0" borderId="39" xfId="0" applyFont="1" applyBorder="1" applyAlignment="1" applyProtection="1">
      <alignment horizontal="left" vertical="center" wrapText="1"/>
      <protection hidden="1"/>
    </xf>
    <xf numFmtId="0" fontId="5" fillId="0" borderId="16" xfId="0" applyFont="1" applyBorder="1" applyAlignment="1" applyProtection="1">
      <alignment horizontal="left" vertical="center" wrapText="1"/>
      <protection hidden="1"/>
    </xf>
    <xf numFmtId="0" fontId="5" fillId="0" borderId="18" xfId="0" applyFont="1" applyBorder="1" applyAlignment="1" applyProtection="1">
      <alignment horizontal="left" vertical="center" wrapText="1"/>
      <protection hidden="1"/>
    </xf>
    <xf numFmtId="1" fontId="0" fillId="0" borderId="12" xfId="2" applyNumberFormat="1" applyFont="1" applyBorder="1" applyAlignment="1" applyProtection="1">
      <alignment horizontal="left" vertical="center" wrapText="1"/>
      <protection locked="0" hidden="1"/>
    </xf>
    <xf numFmtId="1" fontId="0" fillId="0" borderId="12" xfId="2" applyNumberFormat="1" applyFont="1" applyBorder="1" applyAlignment="1" applyProtection="1">
      <alignment horizontal="left" vertical="center"/>
      <protection locked="0" hidden="1"/>
    </xf>
    <xf numFmtId="9" fontId="0" fillId="0" borderId="12" xfId="2" applyFont="1" applyBorder="1" applyAlignment="1" applyProtection="1">
      <alignment horizontal="left" vertical="center"/>
      <protection locked="0" hidden="1"/>
    </xf>
    <xf numFmtId="183" fontId="46" fillId="0" borderId="9" xfId="0" applyNumberFormat="1" applyFont="1" applyBorder="1" applyAlignment="1" applyProtection="1">
      <alignment horizontal="left" vertical="center" wrapText="1"/>
      <protection locked="0" hidden="1"/>
    </xf>
    <xf numFmtId="183" fontId="46" fillId="0" borderId="10" xfId="0" applyNumberFormat="1" applyFont="1" applyBorder="1" applyAlignment="1" applyProtection="1">
      <alignment horizontal="left" vertical="center" wrapText="1"/>
      <protection locked="0" hidden="1"/>
    </xf>
    <xf numFmtId="1" fontId="0" fillId="0" borderId="12" xfId="2" applyNumberFormat="1" applyFont="1" applyBorder="1" applyAlignment="1" applyProtection="1">
      <alignment vertical="center" wrapText="1"/>
      <protection locked="0" hidden="1"/>
    </xf>
    <xf numFmtId="2" fontId="0" fillId="0" borderId="12" xfId="0" applyNumberFormat="1" applyBorder="1" applyAlignment="1" applyProtection="1">
      <alignment horizontal="left" vertical="center"/>
      <protection locked="0" hidden="1"/>
    </xf>
    <xf numFmtId="181" fontId="0" fillId="0" borderId="12" xfId="0" applyNumberFormat="1" applyBorder="1" applyAlignment="1" applyProtection="1">
      <alignment horizontal="left" vertical="center"/>
      <protection locked="0" hidden="1"/>
    </xf>
    <xf numFmtId="182" fontId="0" fillId="0" borderId="12" xfId="0" applyNumberFormat="1" applyBorder="1" applyAlignment="1" applyProtection="1">
      <alignment horizontal="left" vertical="center"/>
      <protection locked="0" hidden="1"/>
    </xf>
    <xf numFmtId="182" fontId="0" fillId="0" borderId="9" xfId="0" applyNumberFormat="1" applyBorder="1" applyAlignment="1" applyProtection="1">
      <alignment horizontal="left" vertical="center"/>
      <protection locked="0" hidden="1"/>
    </xf>
    <xf numFmtId="182" fontId="0" fillId="0" borderId="10" xfId="0" applyNumberFormat="1" applyBorder="1" applyAlignment="1" applyProtection="1">
      <alignment horizontal="left" vertical="center"/>
      <protection locked="0" hidden="1"/>
    </xf>
    <xf numFmtId="0" fontId="3" fillId="6" borderId="9" xfId="0" applyFont="1" applyFill="1" applyBorder="1" applyAlignment="1" applyProtection="1">
      <alignment horizontal="left" vertical="center"/>
      <protection hidden="1"/>
    </xf>
    <xf numFmtId="0" fontId="3" fillId="6" borderId="10" xfId="0" applyFont="1" applyFill="1" applyBorder="1" applyAlignment="1" applyProtection="1">
      <alignment horizontal="left" vertical="center"/>
      <protection hidden="1"/>
    </xf>
    <xf numFmtId="0" fontId="27" fillId="5" borderId="31" xfId="0" applyFont="1" applyFill="1" applyBorder="1" applyAlignment="1" applyProtection="1">
      <alignment horizontal="center" vertical="center"/>
      <protection hidden="1"/>
    </xf>
    <xf numFmtId="0" fontId="27" fillId="5" borderId="19" xfId="0" applyFont="1" applyFill="1" applyBorder="1" applyAlignment="1" applyProtection="1">
      <alignment horizontal="center" vertical="center"/>
      <protection hidden="1"/>
    </xf>
    <xf numFmtId="0" fontId="27" fillId="5" borderId="7" xfId="0" applyFont="1" applyFill="1" applyBorder="1" applyAlignment="1" applyProtection="1">
      <alignment horizontal="center" vertical="center"/>
      <protection hidden="1"/>
    </xf>
    <xf numFmtId="0" fontId="27" fillId="5" borderId="34" xfId="0" applyFont="1" applyFill="1" applyBorder="1" applyAlignment="1" applyProtection="1">
      <alignment horizontal="center" vertical="center"/>
      <protection hidden="1"/>
    </xf>
    <xf numFmtId="0" fontId="27" fillId="5" borderId="8" xfId="0" applyFont="1" applyFill="1" applyBorder="1" applyAlignment="1" applyProtection="1">
      <alignment horizontal="center" vertical="center"/>
      <protection hidden="1"/>
    </xf>
    <xf numFmtId="0" fontId="27" fillId="5" borderId="4" xfId="0" applyFont="1" applyFill="1" applyBorder="1" applyAlignment="1" applyProtection="1">
      <alignment horizontal="center" vertical="center"/>
      <protection hidden="1"/>
    </xf>
    <xf numFmtId="0" fontId="3" fillId="6" borderId="12" xfId="0" applyFont="1" applyFill="1" applyBorder="1" applyAlignment="1" applyProtection="1">
      <alignment horizontal="center" vertical="center"/>
      <protection hidden="1"/>
    </xf>
    <xf numFmtId="0" fontId="130" fillId="35" borderId="33" xfId="0" applyFont="1" applyFill="1" applyBorder="1" applyAlignment="1" applyProtection="1">
      <alignment horizontal="center" vertical="center"/>
      <protection hidden="1"/>
    </xf>
    <xf numFmtId="0" fontId="2" fillId="5" borderId="12" xfId="0" applyFont="1" applyFill="1" applyBorder="1" applyAlignment="1" applyProtection="1">
      <alignment horizontal="left" vertical="center"/>
      <protection hidden="1"/>
    </xf>
    <xf numFmtId="0" fontId="108" fillId="0" borderId="12" xfId="0" applyFont="1" applyBorder="1" applyAlignment="1" applyProtection="1">
      <alignment horizontal="left" vertical="top" wrapText="1"/>
      <protection hidden="1"/>
    </xf>
    <xf numFmtId="0" fontId="26" fillId="12" borderId="31" xfId="0" applyFont="1" applyFill="1" applyBorder="1" applyAlignment="1" applyProtection="1">
      <alignment horizontal="center" vertical="center"/>
      <protection hidden="1"/>
    </xf>
    <xf numFmtId="0" fontId="26" fillId="12" borderId="19" xfId="0" applyFont="1" applyFill="1" applyBorder="1" applyAlignment="1" applyProtection="1">
      <alignment horizontal="center" vertical="center"/>
      <protection hidden="1"/>
    </xf>
    <xf numFmtId="0" fontId="26" fillId="12" borderId="7" xfId="0" applyFont="1" applyFill="1" applyBorder="1" applyAlignment="1" applyProtection="1">
      <alignment horizontal="center" vertical="center"/>
      <protection hidden="1"/>
    </xf>
    <xf numFmtId="0" fontId="26" fillId="12" borderId="34" xfId="0" applyFont="1" applyFill="1" applyBorder="1" applyAlignment="1" applyProtection="1">
      <alignment horizontal="center" vertical="center"/>
      <protection hidden="1"/>
    </xf>
    <xf numFmtId="0" fontId="26" fillId="12" borderId="8" xfId="0" applyFont="1" applyFill="1" applyBorder="1" applyAlignment="1" applyProtection="1">
      <alignment horizontal="center" vertical="center"/>
      <protection hidden="1"/>
    </xf>
    <xf numFmtId="0" fontId="26" fillId="12" borderId="4" xfId="0" applyFont="1" applyFill="1" applyBorder="1" applyAlignment="1" applyProtection="1">
      <alignment horizontal="center" vertical="center"/>
      <protection hidden="1"/>
    </xf>
    <xf numFmtId="0" fontId="4" fillId="29" borderId="12" xfId="0" applyFont="1" applyFill="1" applyBorder="1" applyAlignment="1" applyProtection="1">
      <alignment horizontal="left" vertical="center"/>
      <protection hidden="1"/>
    </xf>
    <xf numFmtId="3" fontId="46" fillId="0" borderId="12" xfId="0" applyNumberFormat="1" applyFont="1" applyBorder="1" applyAlignment="1" applyProtection="1">
      <alignment horizontal="left" vertical="center"/>
      <protection locked="0"/>
    </xf>
    <xf numFmtId="3" fontId="1" fillId="6" borderId="12" xfId="1" applyNumberFormat="1" applyFont="1" applyFill="1" applyBorder="1" applyAlignment="1" applyProtection="1">
      <alignment horizontal="left" vertical="center"/>
      <protection hidden="1"/>
    </xf>
    <xf numFmtId="0" fontId="46" fillId="0" borderId="12" xfId="0" applyFont="1" applyBorder="1" applyAlignment="1" applyProtection="1">
      <alignment horizontal="center" vertical="center"/>
      <protection hidden="1"/>
    </xf>
    <xf numFmtId="0" fontId="75" fillId="0" borderId="12" xfId="0" applyFont="1" applyBorder="1" applyAlignment="1" applyProtection="1">
      <alignment horizontal="left" vertical="center"/>
      <protection locked="0"/>
    </xf>
    <xf numFmtId="1" fontId="0" fillId="10" borderId="12" xfId="0" applyNumberFormat="1" applyFill="1" applyBorder="1" applyAlignment="1" applyProtection="1">
      <alignment horizontal="left" vertical="center"/>
      <protection locked="0"/>
    </xf>
    <xf numFmtId="3" fontId="46" fillId="0" borderId="12" xfId="0" applyNumberFormat="1" applyFont="1" applyBorder="1" applyAlignment="1" applyProtection="1">
      <alignment horizontal="left" vertical="center"/>
      <protection hidden="1"/>
    </xf>
    <xf numFmtId="179" fontId="76" fillId="0" borderId="9" xfId="0" applyNumberFormat="1" applyFont="1" applyBorder="1" applyAlignment="1" applyProtection="1">
      <alignment horizontal="left" vertical="center"/>
      <protection locked="0"/>
    </xf>
    <xf numFmtId="179" fontId="76" fillId="0" borderId="10" xfId="0" applyNumberFormat="1" applyFont="1" applyBorder="1" applyAlignment="1" applyProtection="1">
      <alignment horizontal="left" vertical="center"/>
      <protection locked="0"/>
    </xf>
    <xf numFmtId="0" fontId="76" fillId="0" borderId="9" xfId="0" applyFont="1" applyBorder="1" applyAlignment="1" applyProtection="1">
      <alignment horizontal="left" vertical="center"/>
      <protection locked="0"/>
    </xf>
    <xf numFmtId="0" fontId="76" fillId="0" borderId="10" xfId="0" applyFont="1" applyBorder="1" applyAlignment="1" applyProtection="1">
      <alignment horizontal="left" vertical="center"/>
      <protection locked="0"/>
    </xf>
    <xf numFmtId="9" fontId="75" fillId="0" borderId="12" xfId="2" applyFont="1" applyBorder="1" applyAlignment="1" applyProtection="1">
      <alignment horizontal="left" vertical="center"/>
      <protection locked="0"/>
    </xf>
    <xf numFmtId="166" fontId="46" fillId="6" borderId="12" xfId="0" applyNumberFormat="1" applyFont="1" applyFill="1" applyBorder="1" applyAlignment="1" applyProtection="1">
      <alignment horizontal="left" vertical="center"/>
      <protection hidden="1"/>
    </xf>
    <xf numFmtId="3" fontId="46" fillId="6" borderId="12" xfId="0" applyNumberFormat="1" applyFont="1" applyFill="1" applyBorder="1" applyAlignment="1" applyProtection="1">
      <alignment horizontal="left" vertical="center"/>
      <protection hidden="1"/>
    </xf>
    <xf numFmtId="3" fontId="46" fillId="0" borderId="12" xfId="1" applyNumberFormat="1" applyFont="1" applyBorder="1" applyAlignment="1" applyProtection="1">
      <alignment horizontal="left" vertical="center"/>
      <protection locked="0"/>
    </xf>
    <xf numFmtId="2" fontId="3" fillId="6" borderId="12" xfId="0" applyNumberFormat="1" applyFont="1" applyFill="1" applyBorder="1" applyAlignment="1" applyProtection="1">
      <alignment horizontal="left" vertical="center"/>
      <protection hidden="1"/>
    </xf>
    <xf numFmtId="10" fontId="76" fillId="6" borderId="12" xfId="0" applyNumberFormat="1" applyFont="1" applyFill="1" applyBorder="1" applyAlignment="1" applyProtection="1">
      <alignment horizontal="left" vertical="center"/>
      <protection hidden="1"/>
    </xf>
    <xf numFmtId="9" fontId="1" fillId="6" borderId="12" xfId="2" applyFont="1" applyFill="1" applyBorder="1" applyAlignment="1" applyProtection="1">
      <alignment horizontal="left" vertical="center"/>
      <protection hidden="1"/>
    </xf>
    <xf numFmtId="0" fontId="0" fillId="0" borderId="38" xfId="0"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80" fillId="0" borderId="11" xfId="0" applyFont="1" applyBorder="1" applyAlignment="1" applyProtection="1">
      <alignment horizontal="left" vertical="center"/>
      <protection hidden="1"/>
    </xf>
    <xf numFmtId="0" fontId="163" fillId="0" borderId="12" xfId="0" applyFont="1" applyBorder="1" applyAlignment="1">
      <alignment horizontal="left" vertical="center" wrapText="1"/>
    </xf>
    <xf numFmtId="0" fontId="46" fillId="0" borderId="11" xfId="0" applyFont="1" applyBorder="1" applyAlignment="1" applyProtection="1">
      <alignment horizontal="left" vertical="center" wrapText="1"/>
      <protection hidden="1"/>
    </xf>
    <xf numFmtId="0" fontId="46" fillId="0" borderId="10" xfId="0" applyFont="1" applyBorder="1" applyAlignment="1" applyProtection="1">
      <alignment horizontal="left" vertical="center" wrapText="1"/>
      <protection hidden="1"/>
    </xf>
    <xf numFmtId="0" fontId="0" fillId="0" borderId="11" xfId="0" applyBorder="1" applyAlignment="1" applyProtection="1">
      <alignment horizontal="left" vertical="center" wrapText="1"/>
      <protection hidden="1"/>
    </xf>
    <xf numFmtId="0" fontId="0" fillId="0" borderId="10" xfId="0" applyBorder="1" applyAlignment="1" applyProtection="1">
      <alignment horizontal="left" vertical="center" wrapText="1"/>
      <protection hidden="1"/>
    </xf>
    <xf numFmtId="0" fontId="3" fillId="0" borderId="17" xfId="0" applyFont="1" applyBorder="1" applyAlignment="1" applyProtection="1">
      <alignment horizontal="left" vertical="center" wrapText="1"/>
      <protection hidden="1"/>
    </xf>
    <xf numFmtId="0" fontId="3" fillId="0" borderId="18" xfId="0" applyFont="1" applyBorder="1" applyAlignment="1" applyProtection="1">
      <alignment horizontal="left" vertical="center" wrapText="1"/>
      <protection hidden="1"/>
    </xf>
    <xf numFmtId="0" fontId="46" fillId="20" borderId="35" xfId="8" applyFont="1" applyFill="1" applyBorder="1" applyAlignment="1" applyProtection="1">
      <alignment horizontal="left" vertical="center" wrapText="1"/>
      <protection hidden="1"/>
    </xf>
    <xf numFmtId="0" fontId="46" fillId="20" borderId="36" xfId="8" applyFont="1" applyFill="1" applyBorder="1" applyAlignment="1" applyProtection="1">
      <alignment horizontal="left" vertical="center" wrapText="1"/>
      <protection hidden="1"/>
    </xf>
    <xf numFmtId="0" fontId="46" fillId="20" borderId="37" xfId="8" applyFont="1" applyFill="1" applyBorder="1" applyAlignment="1" applyProtection="1">
      <alignment horizontal="left" vertical="center" wrapText="1"/>
      <protection hidden="1"/>
    </xf>
    <xf numFmtId="0" fontId="131" fillId="20" borderId="9" xfId="8" applyFont="1" applyFill="1" applyBorder="1" applyAlignment="1" applyProtection="1">
      <alignment horizontal="left" vertical="center" wrapText="1"/>
      <protection hidden="1"/>
    </xf>
    <xf numFmtId="0" fontId="131" fillId="20" borderId="11" xfId="8" applyFont="1" applyFill="1" applyBorder="1" applyAlignment="1" applyProtection="1">
      <alignment horizontal="left" vertical="center" wrapText="1"/>
      <protection hidden="1"/>
    </xf>
    <xf numFmtId="0" fontId="131" fillId="20" borderId="10" xfId="8" applyFont="1" applyFill="1" applyBorder="1" applyAlignment="1" applyProtection="1">
      <alignment horizontal="left" vertical="center" wrapText="1"/>
      <protection hidden="1"/>
    </xf>
    <xf numFmtId="0" fontId="112" fillId="5" borderId="9" xfId="8" applyFont="1" applyFill="1" applyBorder="1" applyAlignment="1" applyProtection="1">
      <alignment horizontal="left" vertical="center"/>
      <protection hidden="1"/>
    </xf>
    <xf numFmtId="0" fontId="112" fillId="5" borderId="11" xfId="8" applyFont="1" applyFill="1" applyBorder="1" applyAlignment="1" applyProtection="1">
      <alignment horizontal="left" vertical="center"/>
      <protection hidden="1"/>
    </xf>
    <xf numFmtId="0" fontId="112" fillId="5" borderId="10" xfId="8" applyFont="1" applyFill="1" applyBorder="1" applyAlignment="1" applyProtection="1">
      <alignment horizontal="left" vertical="center"/>
      <protection hidden="1"/>
    </xf>
    <xf numFmtId="0" fontId="111" fillId="20" borderId="12" xfId="8" applyFont="1" applyFill="1" applyBorder="1" applyAlignment="1" applyProtection="1">
      <alignment horizontal="left" vertical="center" wrapText="1"/>
      <protection hidden="1"/>
    </xf>
    <xf numFmtId="0" fontId="131" fillId="20" borderId="12" xfId="8" applyFont="1" applyFill="1" applyBorder="1" applyAlignment="1" applyProtection="1">
      <alignment horizontal="left" vertical="center" wrapText="1"/>
      <protection hidden="1"/>
    </xf>
    <xf numFmtId="0" fontId="69" fillId="20" borderId="12" xfId="8" applyFont="1" applyFill="1" applyBorder="1" applyAlignment="1" applyProtection="1">
      <alignment horizontal="left" vertical="center" wrapText="1"/>
      <protection hidden="1"/>
    </xf>
    <xf numFmtId="0" fontId="69" fillId="20" borderId="12" xfId="8" applyFont="1" applyFill="1" applyBorder="1" applyAlignment="1" applyProtection="1">
      <alignment horizontal="left" vertical="center"/>
      <protection hidden="1"/>
    </xf>
    <xf numFmtId="0" fontId="90" fillId="20" borderId="12" xfId="8" applyFont="1" applyFill="1" applyBorder="1" applyAlignment="1" applyProtection="1">
      <alignment horizontal="left" vertical="center" wrapText="1"/>
      <protection hidden="1"/>
    </xf>
    <xf numFmtId="0" fontId="23" fillId="5" borderId="13" xfId="0" applyFont="1" applyFill="1" applyBorder="1" applyAlignment="1" applyProtection="1">
      <alignment horizontal="left" vertical="center"/>
      <protection hidden="1"/>
    </xf>
    <xf numFmtId="0" fontId="23" fillId="5" borderId="100" xfId="0" applyFont="1" applyFill="1" applyBorder="1" applyAlignment="1" applyProtection="1">
      <alignment horizontal="left" vertical="center"/>
      <protection hidden="1"/>
    </xf>
    <xf numFmtId="0" fontId="23" fillId="5" borderId="15" xfId="0" applyFont="1" applyFill="1" applyBorder="1" applyAlignment="1" applyProtection="1">
      <alignment horizontal="left" vertical="center"/>
      <protection hidden="1"/>
    </xf>
    <xf numFmtId="0" fontId="112" fillId="5" borderId="12" xfId="0" applyFont="1" applyFill="1" applyBorder="1" applyAlignment="1" applyProtection="1">
      <alignment horizontal="left" vertical="center"/>
      <protection hidden="1"/>
    </xf>
    <xf numFmtId="0" fontId="83" fillId="5" borderId="13" xfId="0" applyFont="1" applyFill="1" applyBorder="1" applyAlignment="1" applyProtection="1">
      <alignment horizontal="left" vertical="center"/>
      <protection hidden="1"/>
    </xf>
    <xf numFmtId="0" fontId="83" fillId="5" borderId="100" xfId="0" applyFont="1" applyFill="1" applyBorder="1" applyAlignment="1" applyProtection="1">
      <alignment horizontal="left" vertical="center"/>
      <protection hidden="1"/>
    </xf>
    <xf numFmtId="0" fontId="83" fillId="5" borderId="15" xfId="0" applyFont="1" applyFill="1" applyBorder="1" applyAlignment="1" applyProtection="1">
      <alignment horizontal="left" vertical="center"/>
      <protection hidden="1"/>
    </xf>
    <xf numFmtId="0" fontId="23" fillId="5" borderId="12" xfId="0" applyFont="1" applyFill="1" applyBorder="1" applyAlignment="1" applyProtection="1">
      <alignment horizontal="left" vertical="center"/>
      <protection hidden="1"/>
    </xf>
    <xf numFmtId="0" fontId="0" fillId="0" borderId="16" xfId="0" applyBorder="1" applyAlignment="1" applyProtection="1">
      <alignment horizontal="left" vertical="center" wrapText="1"/>
      <protection hidden="1"/>
    </xf>
    <xf numFmtId="0" fontId="0" fillId="0" borderId="17" xfId="0" applyBorder="1" applyAlignment="1" applyProtection="1">
      <alignment horizontal="left" vertical="center" wrapText="1"/>
      <protection hidden="1"/>
    </xf>
    <xf numFmtId="0" fontId="0" fillId="0" borderId="18" xfId="0" applyBorder="1" applyAlignment="1" applyProtection="1">
      <alignment horizontal="left" vertical="center" wrapText="1"/>
      <protection hidden="1"/>
    </xf>
    <xf numFmtId="0" fontId="84" fillId="0" borderId="36" xfId="0" applyFont="1" applyBorder="1" applyAlignment="1" applyProtection="1">
      <alignment horizontal="left" vertical="center"/>
      <protection hidden="1"/>
    </xf>
    <xf numFmtId="0" fontId="69" fillId="20" borderId="35" xfId="8" applyFont="1" applyFill="1" applyBorder="1" applyAlignment="1" applyProtection="1">
      <alignment horizontal="left" vertical="center" wrapText="1"/>
      <protection hidden="1"/>
    </xf>
    <xf numFmtId="0" fontId="69" fillId="20" borderId="36" xfId="8" applyFont="1" applyFill="1" applyBorder="1" applyAlignment="1" applyProtection="1">
      <alignment horizontal="left" vertical="center" wrapText="1"/>
      <protection hidden="1"/>
    </xf>
    <xf numFmtId="0" fontId="69" fillId="20" borderId="37" xfId="8" applyFont="1" applyFill="1" applyBorder="1" applyAlignment="1" applyProtection="1">
      <alignment horizontal="left" vertical="center" wrapText="1"/>
      <protection hidden="1"/>
    </xf>
    <xf numFmtId="0" fontId="90" fillId="20" borderId="35" xfId="8" applyFont="1" applyFill="1" applyBorder="1" applyAlignment="1" applyProtection="1">
      <alignment horizontal="left" vertical="center" wrapText="1"/>
      <protection hidden="1"/>
    </xf>
    <xf numFmtId="0" fontId="90" fillId="20" borderId="36" xfId="8" applyFont="1" applyFill="1" applyBorder="1" applyAlignment="1" applyProtection="1">
      <alignment horizontal="left" vertical="center" wrapText="1"/>
      <protection hidden="1"/>
    </xf>
    <xf numFmtId="0" fontId="90" fillId="20" borderId="37" xfId="8" applyFont="1" applyFill="1" applyBorder="1" applyAlignment="1" applyProtection="1">
      <alignment horizontal="left" vertical="center" wrapText="1"/>
      <protection hidden="1"/>
    </xf>
    <xf numFmtId="0" fontId="111" fillId="20" borderId="9" xfId="8" applyFont="1" applyFill="1" applyBorder="1" applyAlignment="1" applyProtection="1">
      <alignment horizontal="left" vertical="center" wrapText="1"/>
      <protection hidden="1"/>
    </xf>
    <xf numFmtId="0" fontId="111" fillId="20" borderId="11" xfId="8" applyFont="1" applyFill="1" applyBorder="1" applyAlignment="1" applyProtection="1">
      <alignment horizontal="left" vertical="center" wrapText="1"/>
      <protection hidden="1"/>
    </xf>
    <xf numFmtId="0" fontId="111" fillId="20" borderId="10" xfId="8" applyFont="1" applyFill="1" applyBorder="1" applyAlignment="1" applyProtection="1">
      <alignment horizontal="left" vertical="center" wrapText="1"/>
      <protection hidden="1"/>
    </xf>
    <xf numFmtId="0" fontId="69" fillId="0" borderId="35" xfId="8" applyFont="1" applyBorder="1" applyAlignment="1" applyProtection="1">
      <alignment horizontal="left" vertical="center" wrapText="1"/>
      <protection hidden="1"/>
    </xf>
    <xf numFmtId="0" fontId="69" fillId="0" borderId="36" xfId="8" applyFont="1" applyBorder="1" applyAlignment="1" applyProtection="1">
      <alignment horizontal="left" vertical="center" wrapText="1"/>
      <protection hidden="1"/>
    </xf>
    <xf numFmtId="0" fontId="69" fillId="0" borderId="37" xfId="8" applyFont="1" applyBorder="1" applyAlignment="1" applyProtection="1">
      <alignment horizontal="left" vertical="center" wrapText="1"/>
      <protection hidden="1"/>
    </xf>
    <xf numFmtId="0" fontId="25" fillId="10" borderId="36" xfId="0" applyFont="1" applyFill="1" applyBorder="1" applyAlignment="1" applyProtection="1">
      <alignment horizontal="left" vertical="center"/>
      <protection hidden="1"/>
    </xf>
    <xf numFmtId="14" fontId="24" fillId="10" borderId="0" xfId="0" applyNumberFormat="1" applyFont="1" applyFill="1" applyAlignment="1" applyProtection="1">
      <alignment horizontal="left" vertical="center"/>
      <protection hidden="1"/>
    </xf>
    <xf numFmtId="14" fontId="25" fillId="10" borderId="0" xfId="0" applyNumberFormat="1" applyFont="1" applyFill="1" applyAlignment="1" applyProtection="1">
      <alignment horizontal="left" vertical="center"/>
      <protection hidden="1"/>
    </xf>
    <xf numFmtId="0" fontId="25" fillId="10" borderId="0" xfId="0" applyFont="1" applyFill="1" applyAlignment="1" applyProtection="1">
      <alignment horizontal="left" vertical="center"/>
      <protection hidden="1"/>
    </xf>
    <xf numFmtId="0" fontId="69" fillId="0" borderId="0" xfId="25" quotePrefix="1" applyFont="1" applyAlignment="1" applyProtection="1">
      <alignment horizontal="left" vertical="center" wrapText="1"/>
      <protection hidden="1"/>
    </xf>
    <xf numFmtId="0" fontId="69" fillId="0" borderId="0" xfId="25" applyFont="1" applyAlignment="1" applyProtection="1">
      <alignment horizontal="left" vertical="center" wrapText="1"/>
      <protection hidden="1"/>
    </xf>
    <xf numFmtId="14" fontId="24" fillId="10" borderId="17" xfId="0" applyNumberFormat="1" applyFont="1" applyFill="1" applyBorder="1" applyAlignment="1" applyProtection="1">
      <alignment horizontal="left" vertical="center"/>
      <protection hidden="1"/>
    </xf>
    <xf numFmtId="169" fontId="24" fillId="10" borderId="0" xfId="0" applyNumberFormat="1" applyFont="1" applyFill="1" applyAlignment="1" applyProtection="1">
      <alignment horizontal="left" vertical="center"/>
      <protection hidden="1"/>
    </xf>
    <xf numFmtId="167" fontId="118" fillId="0" borderId="13" xfId="5" applyNumberFormat="1" applyFont="1" applyBorder="1" applyAlignment="1" applyProtection="1">
      <alignment horizontal="center" vertical="center" wrapText="1"/>
      <protection hidden="1"/>
    </xf>
    <xf numFmtId="167" fontId="118" fillId="0" borderId="100" xfId="5" applyNumberFormat="1" applyFont="1" applyBorder="1" applyAlignment="1" applyProtection="1">
      <alignment horizontal="center" vertical="center" wrapText="1"/>
      <protection hidden="1"/>
    </xf>
    <xf numFmtId="167" fontId="118" fillId="0" borderId="15" xfId="5" applyNumberFormat="1" applyFont="1" applyBorder="1" applyAlignment="1" applyProtection="1">
      <alignment horizontal="center" vertical="center" wrapText="1"/>
      <protection hidden="1"/>
    </xf>
    <xf numFmtId="0" fontId="69" fillId="24" borderId="35" xfId="8" applyFont="1" applyFill="1" applyBorder="1" applyAlignment="1" applyProtection="1">
      <alignment horizontal="right" vertical="center" wrapText="1"/>
      <protection hidden="1"/>
    </xf>
    <xf numFmtId="0" fontId="69" fillId="24" borderId="36" xfId="8" applyFont="1" applyFill="1" applyBorder="1" applyAlignment="1" applyProtection="1">
      <alignment horizontal="right" vertical="center" wrapText="1"/>
      <protection hidden="1"/>
    </xf>
    <xf numFmtId="0" fontId="69" fillId="24" borderId="37" xfId="8" applyFont="1" applyFill="1" applyBorder="1" applyAlignment="1" applyProtection="1">
      <alignment horizontal="right" vertical="center" wrapText="1"/>
      <protection hidden="1"/>
    </xf>
    <xf numFmtId="0" fontId="111" fillId="0" borderId="9" xfId="8" applyFont="1" applyBorder="1" applyAlignment="1" applyProtection="1">
      <alignment horizontal="left" vertical="center" wrapText="1"/>
      <protection hidden="1"/>
    </xf>
    <xf numFmtId="0" fontId="111" fillId="0" borderId="11" xfId="8" applyFont="1" applyBorder="1" applyAlignment="1" applyProtection="1">
      <alignment horizontal="left" vertical="center" wrapText="1"/>
      <protection hidden="1"/>
    </xf>
    <xf numFmtId="0" fontId="111" fillId="0" borderId="10" xfId="8" applyFont="1" applyBorder="1" applyAlignment="1" applyProtection="1">
      <alignment horizontal="left" vertical="center" wrapText="1"/>
      <protection hidden="1"/>
    </xf>
    <xf numFmtId="0" fontId="117" fillId="5" borderId="9" xfId="8" applyFont="1" applyFill="1" applyBorder="1" applyAlignment="1" applyProtection="1">
      <alignment horizontal="center" vertical="center"/>
      <protection hidden="1"/>
    </xf>
    <xf numFmtId="0" fontId="117" fillId="5" borderId="11" xfId="8" applyFont="1" applyFill="1" applyBorder="1" applyAlignment="1" applyProtection="1">
      <alignment horizontal="center" vertical="center"/>
      <protection hidden="1"/>
    </xf>
    <xf numFmtId="0" fontId="117" fillId="5" borderId="10" xfId="8" applyFont="1" applyFill="1" applyBorder="1" applyAlignment="1" applyProtection="1">
      <alignment horizontal="center" vertical="center"/>
      <protection hidden="1"/>
    </xf>
    <xf numFmtId="0" fontId="69" fillId="0" borderId="12" xfId="0" applyFont="1" applyBorder="1" applyAlignment="1" applyProtection="1">
      <alignment horizontal="center" vertical="center" wrapText="1"/>
      <protection hidden="1"/>
    </xf>
    <xf numFmtId="0" fontId="4" fillId="24" borderId="12" xfId="0" applyFont="1" applyFill="1" applyBorder="1" applyAlignment="1" applyProtection="1">
      <alignment horizontal="center" vertical="center"/>
      <protection locked="0"/>
    </xf>
    <xf numFmtId="1" fontId="169" fillId="42" borderId="118" xfId="0" applyNumberFormat="1" applyFont="1" applyFill="1" applyBorder="1" applyAlignment="1" applyProtection="1">
      <alignment horizontal="center" vertical="center" shrinkToFit="1"/>
      <protection hidden="1"/>
    </xf>
    <xf numFmtId="1" fontId="169" fillId="42" borderId="119" xfId="0" applyNumberFormat="1" applyFont="1" applyFill="1" applyBorder="1" applyAlignment="1" applyProtection="1">
      <alignment horizontal="center" vertical="center" shrinkToFit="1"/>
      <protection hidden="1"/>
    </xf>
    <xf numFmtId="1" fontId="169" fillId="42" borderId="120" xfId="0" applyNumberFormat="1" applyFont="1" applyFill="1" applyBorder="1" applyAlignment="1" applyProtection="1">
      <alignment horizontal="center" vertical="center" shrinkToFit="1"/>
      <protection hidden="1"/>
    </xf>
    <xf numFmtId="1" fontId="165" fillId="42" borderId="115" xfId="0" applyNumberFormat="1" applyFont="1" applyFill="1" applyBorder="1" applyAlignment="1" applyProtection="1">
      <alignment horizontal="center" vertical="center" shrinkToFit="1"/>
      <protection hidden="1"/>
    </xf>
    <xf numFmtId="1" fontId="165" fillId="42" borderId="116" xfId="0" applyNumberFormat="1" applyFont="1" applyFill="1" applyBorder="1" applyAlignment="1" applyProtection="1">
      <alignment horizontal="center" vertical="center" shrinkToFit="1"/>
      <protection hidden="1"/>
    </xf>
    <xf numFmtId="1" fontId="165" fillId="42" borderId="108" xfId="0" applyNumberFormat="1" applyFont="1" applyFill="1" applyBorder="1" applyAlignment="1" applyProtection="1">
      <alignment horizontal="center" vertical="center" shrinkToFit="1"/>
      <protection hidden="1"/>
    </xf>
    <xf numFmtId="1" fontId="165" fillId="42" borderId="106" xfId="0" applyNumberFormat="1" applyFont="1" applyFill="1" applyBorder="1" applyAlignment="1" applyProtection="1">
      <alignment horizontal="center" vertical="center" shrinkToFit="1"/>
      <protection hidden="1"/>
    </xf>
    <xf numFmtId="1" fontId="165" fillId="42" borderId="107" xfId="0" applyNumberFormat="1" applyFont="1" applyFill="1" applyBorder="1" applyAlignment="1" applyProtection="1">
      <alignment horizontal="center" vertical="center" shrinkToFit="1"/>
      <protection hidden="1"/>
    </xf>
    <xf numFmtId="1" fontId="165" fillId="42" borderId="122" xfId="0" applyNumberFormat="1" applyFont="1" applyFill="1" applyBorder="1" applyAlignment="1" applyProtection="1">
      <alignment horizontal="center" vertical="center" shrinkToFit="1"/>
      <protection hidden="1"/>
    </xf>
    <xf numFmtId="1" fontId="165" fillId="42" borderId="123" xfId="0" applyNumberFormat="1" applyFont="1" applyFill="1" applyBorder="1" applyAlignment="1" applyProtection="1">
      <alignment horizontal="center" vertical="center" shrinkToFit="1"/>
      <protection hidden="1"/>
    </xf>
    <xf numFmtId="1" fontId="165" fillId="42" borderId="124" xfId="0" applyNumberFormat="1" applyFont="1" applyFill="1" applyBorder="1" applyAlignment="1" applyProtection="1">
      <alignment horizontal="center" vertical="center" shrinkToFit="1"/>
      <protection hidden="1"/>
    </xf>
    <xf numFmtId="0" fontId="110" fillId="32" borderId="12" xfId="0" applyFont="1" applyFill="1" applyBorder="1" applyAlignment="1">
      <alignment horizontal="center" vertical="center"/>
    </xf>
    <xf numFmtId="0" fontId="2" fillId="5" borderId="12" xfId="0" applyFont="1" applyFill="1" applyBorder="1" applyAlignment="1" applyProtection="1">
      <alignment horizontal="center" vertical="center"/>
      <protection hidden="1"/>
    </xf>
    <xf numFmtId="0" fontId="2" fillId="5" borderId="6" xfId="0" applyFont="1" applyFill="1" applyBorder="1" applyAlignment="1" applyProtection="1">
      <alignment horizontal="left" vertical="center"/>
      <protection locked="0"/>
    </xf>
    <xf numFmtId="0" fontId="2" fillId="5" borderId="5" xfId="0" applyFont="1" applyFill="1" applyBorder="1" applyAlignment="1" applyProtection="1">
      <alignment horizontal="left" vertical="center"/>
      <protection locked="0"/>
    </xf>
    <xf numFmtId="0" fontId="0" fillId="0" borderId="0" xfId="0" applyAlignment="1" applyProtection="1">
      <alignment horizontal="center" vertical="center"/>
      <protection locked="0"/>
    </xf>
    <xf numFmtId="0" fontId="2" fillId="5" borderId="34" xfId="0" applyFont="1" applyFill="1" applyBorder="1" applyAlignment="1" applyProtection="1">
      <alignment horizontal="left" vertical="center" wrapText="1"/>
      <protection locked="0"/>
    </xf>
    <xf numFmtId="0" fontId="2" fillId="5" borderId="4" xfId="0" applyFont="1" applyFill="1" applyBorder="1" applyAlignment="1" applyProtection="1">
      <alignment horizontal="left" vertical="center" wrapText="1"/>
      <protection locked="0"/>
    </xf>
    <xf numFmtId="0" fontId="2" fillId="5" borderId="29" xfId="0" applyFont="1" applyFill="1" applyBorder="1" applyAlignment="1" applyProtection="1">
      <alignment horizontal="left" vertical="center" wrapText="1"/>
      <protection locked="0"/>
    </xf>
    <xf numFmtId="0" fontId="2" fillId="5" borderId="52" xfId="0" applyFont="1" applyFill="1" applyBorder="1" applyAlignment="1" applyProtection="1">
      <alignment horizontal="left" vertical="center" wrapText="1"/>
      <protection locked="0"/>
    </xf>
    <xf numFmtId="0" fontId="2" fillId="5" borderId="28" xfId="0" applyFont="1" applyFill="1" applyBorder="1" applyAlignment="1" applyProtection="1">
      <alignment horizontal="left" vertical="center" wrapText="1"/>
      <protection locked="0"/>
    </xf>
    <xf numFmtId="0" fontId="2" fillId="5" borderId="55" xfId="0" applyFont="1" applyFill="1" applyBorder="1" applyAlignment="1" applyProtection="1">
      <alignment horizontal="left" vertical="center" wrapText="1"/>
      <protection locked="0"/>
    </xf>
    <xf numFmtId="0" fontId="40" fillId="7" borderId="28" xfId="0" applyFont="1" applyFill="1" applyBorder="1" applyAlignment="1" applyProtection="1">
      <alignment horizontal="center" vertical="center" wrapText="1"/>
      <protection hidden="1"/>
    </xf>
    <xf numFmtId="0" fontId="40" fillId="7" borderId="29" xfId="0" applyFont="1" applyFill="1" applyBorder="1" applyAlignment="1" applyProtection="1">
      <alignment horizontal="center" vertical="center" wrapText="1"/>
      <protection hidden="1"/>
    </xf>
    <xf numFmtId="3" fontId="85" fillId="6" borderId="28" xfId="0" applyNumberFormat="1" applyFont="1" applyFill="1" applyBorder="1" applyAlignment="1" applyProtection="1">
      <alignment horizontal="center" vertical="center"/>
      <protection hidden="1"/>
    </xf>
    <xf numFmtId="3" fontId="85" fillId="6" borderId="53" xfId="0" applyNumberFormat="1" applyFont="1" applyFill="1" applyBorder="1" applyAlignment="1" applyProtection="1">
      <alignment horizontal="center" vertical="center"/>
      <protection hidden="1"/>
    </xf>
    <xf numFmtId="3" fontId="85" fillId="6" borderId="55" xfId="0" applyNumberFormat="1" applyFont="1" applyFill="1" applyBorder="1" applyAlignment="1" applyProtection="1">
      <alignment horizontal="center" vertical="center"/>
      <protection hidden="1"/>
    </xf>
    <xf numFmtId="0" fontId="20" fillId="7" borderId="12" xfId="0" applyFont="1" applyFill="1" applyBorder="1" applyAlignment="1" applyProtection="1">
      <alignment horizontal="center" vertical="center"/>
      <protection hidden="1"/>
    </xf>
    <xf numFmtId="0" fontId="20" fillId="7" borderId="28" xfId="0" applyFont="1" applyFill="1" applyBorder="1" applyAlignment="1" applyProtection="1">
      <alignment horizontal="center" vertical="center"/>
      <protection hidden="1"/>
    </xf>
    <xf numFmtId="0" fontId="20" fillId="7" borderId="29" xfId="0" applyFont="1" applyFill="1" applyBorder="1" applyAlignment="1" applyProtection="1">
      <alignment horizontal="center" vertical="center"/>
      <protection hidden="1"/>
    </xf>
    <xf numFmtId="0" fontId="21" fillId="6" borderId="28" xfId="0" applyFont="1" applyFill="1" applyBorder="1" applyAlignment="1" applyProtection="1">
      <alignment horizontal="center" vertical="center"/>
      <protection hidden="1"/>
    </xf>
    <xf numFmtId="0" fontId="21" fillId="6" borderId="53" xfId="0" applyFont="1" applyFill="1" applyBorder="1" applyAlignment="1" applyProtection="1">
      <alignment horizontal="center" vertical="center"/>
      <protection hidden="1"/>
    </xf>
    <xf numFmtId="0" fontId="21" fillId="6" borderId="55" xfId="0" applyFont="1" applyFill="1" applyBorder="1" applyAlignment="1" applyProtection="1">
      <alignment horizontal="center" vertical="center"/>
      <protection hidden="1"/>
    </xf>
    <xf numFmtId="3" fontId="21" fillId="6" borderId="28" xfId="0" applyNumberFormat="1" applyFont="1" applyFill="1" applyBorder="1" applyAlignment="1" applyProtection="1">
      <alignment horizontal="center" vertical="center"/>
      <protection hidden="1"/>
    </xf>
    <xf numFmtId="3" fontId="21" fillId="6" borderId="53" xfId="0" applyNumberFormat="1" applyFont="1" applyFill="1" applyBorder="1" applyAlignment="1" applyProtection="1">
      <alignment horizontal="center" vertical="center"/>
      <protection hidden="1"/>
    </xf>
    <xf numFmtId="3" fontId="21" fillId="6" borderId="55" xfId="0" applyNumberFormat="1" applyFont="1" applyFill="1" applyBorder="1" applyAlignment="1" applyProtection="1">
      <alignment horizontal="center" vertical="center"/>
      <protection hidden="1"/>
    </xf>
    <xf numFmtId="0" fontId="17" fillId="0" borderId="12" xfId="3" applyFont="1" applyBorder="1" applyAlignment="1" applyProtection="1">
      <alignment horizontal="center" vertical="center"/>
      <protection hidden="1"/>
    </xf>
    <xf numFmtId="3" fontId="17" fillId="0" borderId="12" xfId="3" applyNumberFormat="1" applyFont="1" applyBorder="1" applyAlignment="1" applyProtection="1">
      <alignment horizontal="center" vertical="center" wrapText="1"/>
      <protection hidden="1"/>
    </xf>
    <xf numFmtId="0" fontId="2" fillId="24" borderId="17" xfId="0" applyFont="1" applyFill="1" applyBorder="1" applyAlignment="1">
      <alignment horizontal="center" vertical="center" wrapText="1"/>
    </xf>
    <xf numFmtId="0" fontId="91" fillId="5" borderId="12" xfId="0" applyFont="1" applyFill="1" applyBorder="1" applyAlignment="1">
      <alignment horizontal="center" vertical="center" wrapText="1"/>
    </xf>
    <xf numFmtId="0" fontId="94" fillId="14" borderId="0" xfId="0" applyFont="1" applyFill="1" applyAlignment="1">
      <alignment horizontal="center" vertical="center"/>
    </xf>
    <xf numFmtId="0" fontId="96" fillId="24" borderId="12" xfId="0" applyFont="1" applyFill="1" applyBorder="1" applyAlignment="1">
      <alignment horizontal="center" vertical="center"/>
    </xf>
    <xf numFmtId="0" fontId="91" fillId="5" borderId="9" xfId="0" applyFont="1" applyFill="1" applyBorder="1" applyAlignment="1">
      <alignment horizontal="center" vertical="center" wrapText="1"/>
    </xf>
    <xf numFmtId="0" fontId="91" fillId="5" borderId="10" xfId="0" applyFont="1" applyFill="1" applyBorder="1" applyAlignment="1">
      <alignment horizontal="center" vertical="center" wrapText="1"/>
    </xf>
    <xf numFmtId="0" fontId="94" fillId="5" borderId="0" xfId="0" applyFont="1" applyFill="1" applyAlignment="1">
      <alignment horizontal="center" vertical="center"/>
    </xf>
    <xf numFmtId="0" fontId="91" fillId="24" borderId="16" xfId="0" applyFont="1" applyFill="1" applyBorder="1" applyAlignment="1">
      <alignment horizontal="center" vertical="center" wrapText="1"/>
    </xf>
    <xf numFmtId="0" fontId="91" fillId="24" borderId="17" xfId="0" applyFont="1" applyFill="1" applyBorder="1" applyAlignment="1">
      <alignment horizontal="center" vertical="center" wrapText="1"/>
    </xf>
    <xf numFmtId="0" fontId="2" fillId="24" borderId="17" xfId="0" applyFont="1" applyFill="1" applyBorder="1" applyAlignment="1">
      <alignment horizontal="center" vertical="center"/>
    </xf>
    <xf numFmtId="0" fontId="94" fillId="5" borderId="12" xfId="0" applyFont="1" applyFill="1" applyBorder="1" applyAlignment="1">
      <alignment horizontal="center" vertical="center"/>
    </xf>
    <xf numFmtId="0" fontId="42" fillId="21" borderId="12" xfId="0" applyFont="1" applyFill="1" applyBorder="1" applyAlignment="1">
      <alignment horizontal="center"/>
    </xf>
    <xf numFmtId="0" fontId="58" fillId="0" borderId="69" xfId="22" applyFont="1" applyBorder="1" applyAlignment="1" applyProtection="1">
      <alignment horizontal="center" vertical="center" wrapText="1"/>
      <protection locked="0"/>
    </xf>
    <xf numFmtId="0" fontId="58" fillId="0" borderId="67" xfId="22" applyFont="1" applyBorder="1" applyAlignment="1" applyProtection="1">
      <alignment vertical="center" wrapText="1"/>
      <protection locked="0"/>
    </xf>
    <xf numFmtId="0" fontId="58" fillId="0" borderId="82" xfId="22" applyFont="1" applyBorder="1" applyAlignment="1" applyProtection="1">
      <alignment vertical="center" wrapText="1"/>
      <protection locked="0"/>
    </xf>
    <xf numFmtId="0" fontId="58" fillId="0" borderId="82" xfId="22" applyFont="1" applyBorder="1" applyAlignment="1" applyProtection="1">
      <alignment horizontal="center" vertical="center" wrapText="1"/>
      <protection locked="0"/>
    </xf>
    <xf numFmtId="0" fontId="58" fillId="0" borderId="70" xfId="22" applyFont="1" applyBorder="1" applyAlignment="1" applyProtection="1">
      <alignment vertical="center" wrapText="1"/>
      <protection locked="0"/>
    </xf>
    <xf numFmtId="0" fontId="58" fillId="0" borderId="81" xfId="22" applyFont="1" applyBorder="1" applyAlignment="1" applyProtection="1">
      <alignment vertical="center" wrapText="1"/>
      <protection locked="0"/>
    </xf>
    <xf numFmtId="0" fontId="57" fillId="0" borderId="71" xfId="22" applyFont="1" applyBorder="1" applyAlignment="1" applyProtection="1">
      <alignment vertical="center" wrapText="1"/>
      <protection locked="0"/>
    </xf>
    <xf numFmtId="0" fontId="57" fillId="0" borderId="78" xfId="22" applyFont="1" applyBorder="1" applyAlignment="1" applyProtection="1">
      <alignment vertical="center" wrapText="1"/>
      <protection locked="0"/>
    </xf>
    <xf numFmtId="0" fontId="44" fillId="0" borderId="32" xfId="22" applyFont="1" applyBorder="1" applyAlignment="1" applyProtection="1">
      <alignment horizontal="center" vertical="center" wrapText="1"/>
      <protection locked="0"/>
    </xf>
    <xf numFmtId="0" fontId="44" fillId="0" borderId="0" xfId="22" applyFont="1" applyAlignment="1" applyProtection="1">
      <alignment horizontal="center" vertical="center" wrapText="1"/>
      <protection locked="0"/>
    </xf>
    <xf numFmtId="0" fontId="44" fillId="0" borderId="33" xfId="22" applyFont="1" applyBorder="1" applyAlignment="1" applyProtection="1">
      <alignment horizontal="center" vertical="center" wrapText="1"/>
      <protection locked="0"/>
    </xf>
    <xf numFmtId="0" fontId="62" fillId="28" borderId="76" xfId="22" applyFont="1" applyFill="1" applyBorder="1" applyAlignment="1" applyProtection="1">
      <alignment horizontal="center" vertical="center" wrapText="1"/>
      <protection locked="0"/>
    </xf>
    <xf numFmtId="0" fontId="62" fillId="28" borderId="96" xfId="22" applyFont="1" applyFill="1" applyBorder="1" applyAlignment="1" applyProtection="1">
      <alignment horizontal="center" vertical="center" wrapText="1"/>
      <protection locked="0"/>
    </xf>
    <xf numFmtId="0" fontId="62" fillId="28" borderId="77" xfId="22" applyFont="1" applyFill="1" applyBorder="1" applyAlignment="1" applyProtection="1">
      <alignment horizontal="center" vertical="center" wrapText="1"/>
      <protection locked="0"/>
    </xf>
    <xf numFmtId="0" fontId="62" fillId="28" borderId="97" xfId="22" applyFont="1" applyFill="1" applyBorder="1" applyAlignment="1" applyProtection="1">
      <alignment horizontal="center" vertical="center" wrapText="1"/>
      <protection locked="0"/>
    </xf>
    <xf numFmtId="0" fontId="49" fillId="0" borderId="26" xfId="25" applyFont="1" applyBorder="1" applyAlignment="1" applyProtection="1">
      <alignment horizontal="center" vertical="center" wrapText="1"/>
      <protection locked="0"/>
    </xf>
    <xf numFmtId="0" fontId="49" fillId="0" borderId="12" xfId="25" applyFont="1" applyBorder="1" applyAlignment="1" applyProtection="1">
      <alignment horizontal="center" vertical="center" wrapText="1"/>
      <protection locked="0"/>
    </xf>
    <xf numFmtId="0" fontId="49" fillId="0" borderId="27" xfId="25" applyFont="1" applyBorder="1" applyAlignment="1" applyProtection="1">
      <alignment horizontal="center" vertical="center" wrapText="1"/>
      <protection locked="0"/>
    </xf>
    <xf numFmtId="0" fontId="49" fillId="0" borderId="21" xfId="25" applyFont="1" applyBorder="1" applyAlignment="1" applyProtection="1">
      <alignment horizontal="center" vertical="center" wrapText="1"/>
      <protection locked="0"/>
    </xf>
    <xf numFmtId="0" fontId="51" fillId="0" borderId="12" xfId="25" applyFont="1" applyBorder="1" applyAlignment="1" applyProtection="1">
      <alignment horizontal="center" vertical="center" wrapText="1"/>
      <protection locked="0"/>
    </xf>
    <xf numFmtId="0" fontId="51" fillId="0" borderId="9" xfId="25" applyFont="1" applyBorder="1" applyAlignment="1" applyProtection="1">
      <alignment horizontal="center" vertical="center" wrapText="1"/>
      <protection locked="0"/>
    </xf>
    <xf numFmtId="0" fontId="51" fillId="0" borderId="20" xfId="25" applyFont="1" applyBorder="1" applyAlignment="1" applyProtection="1">
      <alignment horizontal="center" vertical="center" wrapText="1"/>
      <protection locked="0"/>
    </xf>
    <xf numFmtId="0" fontId="51" fillId="0" borderId="21" xfId="25" applyFont="1" applyBorder="1" applyAlignment="1" applyProtection="1">
      <alignment horizontal="center" vertical="center" wrapText="1"/>
      <protection locked="0"/>
    </xf>
    <xf numFmtId="0" fontId="51" fillId="0" borderId="42" xfId="25" applyFont="1" applyBorder="1" applyAlignment="1" applyProtection="1">
      <alignment horizontal="center" vertical="center" wrapText="1"/>
      <protection locked="0"/>
    </xf>
    <xf numFmtId="0" fontId="51" fillId="0" borderId="22" xfId="25" applyFont="1" applyBorder="1" applyAlignment="1" applyProtection="1">
      <alignment horizontal="center" vertical="center" wrapText="1"/>
      <protection locked="0"/>
    </xf>
    <xf numFmtId="0" fontId="4" fillId="0" borderId="6" xfId="22" applyFont="1" applyBorder="1" applyAlignment="1" applyProtection="1">
      <alignment horizontal="center"/>
      <protection locked="0"/>
    </xf>
    <xf numFmtId="0" fontId="4" fillId="0" borderId="5" xfId="22" applyFont="1" applyBorder="1" applyAlignment="1" applyProtection="1">
      <alignment horizontal="center"/>
      <protection locked="0"/>
    </xf>
    <xf numFmtId="0" fontId="4" fillId="0" borderId="2" xfId="22" applyFont="1" applyBorder="1" applyAlignment="1" applyProtection="1">
      <alignment horizontal="center"/>
      <protection locked="0"/>
    </xf>
    <xf numFmtId="0" fontId="50" fillId="0" borderId="12" xfId="25" applyFont="1" applyBorder="1" applyAlignment="1" applyProtection="1">
      <alignment horizontal="center" vertical="center" wrapText="1"/>
      <protection locked="0"/>
    </xf>
    <xf numFmtId="0" fontId="50" fillId="0" borderId="9" xfId="25" applyFont="1" applyBorder="1" applyAlignment="1" applyProtection="1">
      <alignment horizontal="center" vertical="center" wrapText="1"/>
      <protection locked="0"/>
    </xf>
    <xf numFmtId="0" fontId="50" fillId="0" borderId="20" xfId="25" applyFont="1" applyBorder="1" applyAlignment="1" applyProtection="1">
      <alignment horizontal="center" vertical="center" wrapText="1"/>
      <protection locked="0"/>
    </xf>
    <xf numFmtId="0" fontId="1" fillId="0" borderId="12" xfId="22" applyBorder="1" applyAlignment="1" applyProtection="1">
      <alignment horizontal="center"/>
      <protection locked="0"/>
    </xf>
    <xf numFmtId="0" fontId="1" fillId="0" borderId="9" xfId="22" applyBorder="1" applyAlignment="1" applyProtection="1">
      <alignment horizontal="center"/>
      <protection locked="0"/>
    </xf>
    <xf numFmtId="0" fontId="1" fillId="0" borderId="11" xfId="22" applyBorder="1" applyAlignment="1" applyProtection="1">
      <alignment horizontal="center"/>
      <protection locked="0"/>
    </xf>
    <xf numFmtId="0" fontId="1" fillId="0" borderId="10" xfId="22" applyBorder="1" applyAlignment="1" applyProtection="1">
      <alignment horizontal="center"/>
      <protection locked="0"/>
    </xf>
    <xf numFmtId="0" fontId="53" fillId="0" borderId="12" xfId="25" applyFont="1" applyBorder="1" applyAlignment="1" applyProtection="1">
      <alignment horizontal="center" vertical="center" wrapText="1"/>
      <protection locked="0"/>
    </xf>
    <xf numFmtId="0" fontId="53" fillId="0" borderId="9" xfId="25" applyFont="1" applyBorder="1" applyAlignment="1" applyProtection="1">
      <alignment horizontal="center" vertical="center" wrapText="1"/>
      <protection locked="0"/>
    </xf>
    <xf numFmtId="0" fontId="53" fillId="0" borderId="20" xfId="25" applyFont="1" applyBorder="1" applyAlignment="1" applyProtection="1">
      <alignment horizontal="center" vertical="center" wrapText="1"/>
      <protection locked="0"/>
    </xf>
    <xf numFmtId="0" fontId="50" fillId="0" borderId="35" xfId="25" applyFont="1" applyBorder="1" applyAlignment="1" applyProtection="1">
      <alignment horizontal="center" vertical="center" wrapText="1"/>
      <protection locked="0"/>
    </xf>
    <xf numFmtId="0" fontId="50" fillId="0" borderId="36" xfId="25" applyFont="1" applyBorder="1" applyAlignment="1" applyProtection="1">
      <alignment horizontal="center" vertical="center" wrapText="1"/>
      <protection locked="0"/>
    </xf>
    <xf numFmtId="0" fontId="50" fillId="0" borderId="63" xfId="25" applyFont="1" applyBorder="1" applyAlignment="1" applyProtection="1">
      <alignment horizontal="center" vertical="center" wrapText="1"/>
      <protection locked="0"/>
    </xf>
    <xf numFmtId="0" fontId="50" fillId="0" borderId="16" xfId="25" applyFont="1" applyBorder="1" applyAlignment="1" applyProtection="1">
      <alignment horizontal="center" vertical="center" wrapText="1"/>
      <protection locked="0"/>
    </xf>
    <xf numFmtId="0" fontId="50" fillId="0" borderId="17" xfId="25" applyFont="1" applyBorder="1" applyAlignment="1" applyProtection="1">
      <alignment horizontal="center" vertical="center" wrapText="1"/>
      <protection locked="0"/>
    </xf>
    <xf numFmtId="0" fontId="50" fillId="0" borderId="64" xfId="25" applyFont="1" applyBorder="1" applyAlignment="1" applyProtection="1">
      <alignment horizontal="center" vertical="center" wrapText="1"/>
      <protection locked="0"/>
    </xf>
    <xf numFmtId="0" fontId="1" fillId="0" borderId="26" xfId="22" applyBorder="1" applyAlignment="1" applyProtection="1">
      <alignment horizontal="center"/>
      <protection locked="0"/>
    </xf>
    <xf numFmtId="0" fontId="1" fillId="0" borderId="20" xfId="22" applyBorder="1" applyAlignment="1" applyProtection="1">
      <alignment horizontal="center"/>
      <protection locked="0"/>
    </xf>
    <xf numFmtId="0" fontId="1" fillId="0" borderId="29" xfId="22" applyBorder="1" applyAlignment="1" applyProtection="1">
      <alignment horizontal="center"/>
      <protection locked="0"/>
    </xf>
    <xf numFmtId="0" fontId="1" fillId="0" borderId="62" xfId="22" applyBorder="1" applyAlignment="1" applyProtection="1">
      <alignment horizontal="center"/>
      <protection locked="0"/>
    </xf>
    <xf numFmtId="0" fontId="1" fillId="0" borderId="13" xfId="22" applyBorder="1" applyAlignment="1" applyProtection="1">
      <alignment horizontal="center"/>
      <protection locked="0"/>
    </xf>
    <xf numFmtId="0" fontId="1" fillId="0" borderId="35" xfId="22" applyBorder="1" applyAlignment="1" applyProtection="1">
      <alignment horizontal="center"/>
      <protection locked="0"/>
    </xf>
    <xf numFmtId="0" fontId="1" fillId="0" borderId="56" xfId="22" applyBorder="1" applyAlignment="1" applyProtection="1">
      <alignment horizontal="center"/>
      <protection locked="0"/>
    </xf>
    <xf numFmtId="0" fontId="9" fillId="0" borderId="19" xfId="0" applyFont="1" applyBorder="1" applyAlignment="1">
      <alignment horizontal="left" vertical="center"/>
    </xf>
    <xf numFmtId="0" fontId="9" fillId="2" borderId="6"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27" fillId="5" borderId="31" xfId="0" applyFont="1" applyFill="1" applyBorder="1" applyAlignment="1">
      <alignment horizontal="center" vertical="center"/>
    </xf>
    <xf numFmtId="0" fontId="27" fillId="5" borderId="19" xfId="0" applyFont="1" applyFill="1" applyBorder="1" applyAlignment="1">
      <alignment horizontal="center" vertical="center"/>
    </xf>
    <xf numFmtId="0" fontId="27" fillId="5" borderId="7" xfId="0" applyFont="1" applyFill="1" applyBorder="1" applyAlignment="1">
      <alignment horizontal="center" vertical="center"/>
    </xf>
    <xf numFmtId="0" fontId="27" fillId="5" borderId="34" xfId="0" applyFont="1" applyFill="1" applyBorder="1" applyAlignment="1">
      <alignment horizontal="center" vertical="center"/>
    </xf>
    <xf numFmtId="0" fontId="27" fillId="5" borderId="8" xfId="0" applyFont="1" applyFill="1" applyBorder="1" applyAlignment="1">
      <alignment horizontal="center" vertical="center"/>
    </xf>
    <xf numFmtId="0" fontId="27" fillId="5" borderId="4" xfId="0" applyFont="1" applyFill="1" applyBorder="1" applyAlignment="1">
      <alignment horizontal="center" vertical="center"/>
    </xf>
  </cellXfs>
  <cellStyles count="31">
    <cellStyle name="Comma" xfId="1" builtinId="3"/>
    <cellStyle name="Comma 2" xfId="4" xr:uid="{00000000-0005-0000-0000-000001000000}"/>
    <cellStyle name="Comma 2 2" xfId="27" xr:uid="{3C9091D1-7F1F-49D8-A201-AD00886B5054}"/>
    <cellStyle name="Comma 3" xfId="9" xr:uid="{00000000-0005-0000-0000-000002000000}"/>
    <cellStyle name="Comma 4" xfId="19" xr:uid="{00000000-0005-0000-0000-000003000000}"/>
    <cellStyle name="Comma 4 2" xfId="13" xr:uid="{00000000-0005-0000-0000-000004000000}"/>
    <cellStyle name="Comma 4 2 2" xfId="20" xr:uid="{00000000-0005-0000-0000-000005000000}"/>
    <cellStyle name="Comma 5" xfId="26" xr:uid="{CFA9CBB6-3103-44B6-9920-EF3FB19553B2}"/>
    <cellStyle name="Comma 9" xfId="17" xr:uid="{00000000-0005-0000-0000-000006000000}"/>
    <cellStyle name="Comma 9 2" xfId="21" xr:uid="{00000000-0005-0000-0000-000007000000}"/>
    <cellStyle name="Comma_Quotation Templetes  - Standard (Revised 19.04.05)" xfId="6" xr:uid="{00000000-0005-0000-0000-000008000000}"/>
    <cellStyle name="Currency" xfId="30" builtinId="4"/>
    <cellStyle name="Normal" xfId="0" builtinId="0"/>
    <cellStyle name="Normal 10" xfId="15" xr:uid="{00000000-0005-0000-0000-00000A000000}"/>
    <cellStyle name="Normal 2" xfId="3" xr:uid="{00000000-0005-0000-0000-00000B000000}"/>
    <cellStyle name="Normal 2 2" xfId="8" xr:uid="{00000000-0005-0000-0000-00000C000000}"/>
    <cellStyle name="Normal 2 2 2" xfId="12" xr:uid="{00000000-0005-0000-0000-00000D000000}"/>
    <cellStyle name="Normal 3" xfId="7" xr:uid="{00000000-0005-0000-0000-00000E000000}"/>
    <cellStyle name="Normal 3 2" xfId="10" xr:uid="{00000000-0005-0000-0000-00000F000000}"/>
    <cellStyle name="Normal 3 3" xfId="22" xr:uid="{00000000-0005-0000-0000-000010000000}"/>
    <cellStyle name="Normal 4" xfId="23" xr:uid="{00000000-0005-0000-0000-000011000000}"/>
    <cellStyle name="Normal 5" xfId="25" xr:uid="{00000000-0005-0000-0000-000012000000}"/>
    <cellStyle name="Normal 5 2" xfId="29" xr:uid="{2FAB82D0-AED2-4B7E-AF27-6A842463F86E}"/>
    <cellStyle name="Normal 5 3" xfId="28" xr:uid="{AAFABD42-EA7E-43EF-87A0-EA89831C9EB0}"/>
    <cellStyle name="Normal 7" xfId="18" xr:uid="{00000000-0005-0000-0000-000013000000}"/>
    <cellStyle name="Normal_Rated Proposed Products Master - 2003" xfId="5" xr:uid="{00000000-0005-0000-0000-000014000000}"/>
    <cellStyle name="Percent" xfId="2" builtinId="5"/>
    <cellStyle name="Percent 2" xfId="24" xr:uid="{00000000-0005-0000-0000-000016000000}"/>
    <cellStyle name="Percent 3" xfId="11" xr:uid="{00000000-0005-0000-0000-000017000000}"/>
    <cellStyle name="Percent 8" xfId="16" xr:uid="{00000000-0005-0000-0000-000018000000}"/>
    <cellStyle name="Percent 9" xfId="14" xr:uid="{00000000-0005-0000-0000-000019000000}"/>
  </cellStyles>
  <dxfs count="1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General Basis'!$D$8" fmlaRange="'General Basis'!$B$8:$B$15" noThreeD="1" sel="1" val="0"/>
</file>

<file path=xl/ctrlProps/ctrlProp4.xml><?xml version="1.0" encoding="utf-8"?>
<formControlPr xmlns="http://schemas.microsoft.com/office/spreadsheetml/2009/9/main" objectType="Drop" dropStyle="combo" dx="16" fmlaLink="'Experience Rating'!$H$8" fmlaRange="'Experience Rating'!$G$7:$G$9" noThreeD="1" sel="3" val="0"/>
</file>

<file path=xl/ctrlProps/ctrlProp5.xml><?xml version="1.0" encoding="utf-8"?>
<formControlPr xmlns="http://schemas.microsoft.com/office/spreadsheetml/2009/9/main" objectType="Drop" dropStyle="combo" dx="16" fmlaLink="'General Basis'!$H$8" fmlaRange="'General Basis'!$F$8:$F$9" noThreeD="1" sel="2" val="0"/>
</file>

<file path=xl/ctrlProps/ctrlProp6.xml><?xml version="1.0" encoding="utf-8"?>
<formControlPr xmlns="http://schemas.microsoft.com/office/spreadsheetml/2009/9/main" objectType="Drop" dropStyle="combo" dx="16" fmlaLink="'General Basis'!$D$3" fmlaRange="'General Basis'!$B$3:$B$3" noThreeD="1" sel="1" val="0"/>
</file>

<file path=xl/ctrlProps/ctrlProp7.xml><?xml version="1.0" encoding="utf-8"?>
<formControlPr xmlns="http://schemas.microsoft.com/office/spreadsheetml/2009/9/main" objectType="Drop" dropStyle="combo" dx="16" fmlaLink="'Experience Rating'!$H$4" fmlaRange="'Experience Rating'!$G$3:$G$4" noThreeD="1" sel="2" val="0"/>
</file>

<file path=xl/ctrlProps/ctrlProp8.xml><?xml version="1.0" encoding="utf-8"?>
<formControlPr xmlns="http://schemas.microsoft.com/office/spreadsheetml/2009/9/main" objectType="Drop" dropStyle="combo" dx="16" fmlaLink="'General Basis'!$K$16" fmlaRange="'General Basis'!$J$16:$J$21" noThreeD="1" sel="6" val="0"/>
</file>

<file path=xl/ctrlProps/ctrlProp9.xml><?xml version="1.0" encoding="utf-8"?>
<formControlPr xmlns="http://schemas.microsoft.com/office/spreadsheetml/2009/9/main" objectType="Drop" dropStyle="combo" dx="16" fmlaLink="'General Basis'!$D$18" fmlaRange="'General Basis'!$B$18:$B$19" noThreeD="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Experience Rating'!$B$4" fmlaRange="'Experience Rating'!$A$3:$A$4" noThreeD="1" sel="2" val="0"/>
</file>

<file path=xl/ctrlProps/ctrlProp12.xml><?xml version="1.0" encoding="utf-8"?>
<formControlPr xmlns="http://schemas.microsoft.com/office/spreadsheetml/2009/9/main" objectType="Drop" dropStyle="combo" dx="16" fmlaLink="'Individual Engine'!$D$6" fmlaRange="'Individual Engine'!$C$6:$C$10" noThreeD="1" sel="1" val="0"/>
</file>

<file path=xl/ctrlProps/ctrlProp13.xml><?xml version="1.0" encoding="utf-8"?>
<formControlPr xmlns="http://schemas.microsoft.com/office/spreadsheetml/2009/9/main" objectType="Drop" dropStyle="combo" dx="16" fmlaLink="'Individual Engine'!$J$6" fmlaRange="'Individual Engine'!$I$6:$I$10" noThreeD="1" sel="3" val="0"/>
</file>

<file path=xl/ctrlProps/ctrlProp14.xml><?xml version="1.0" encoding="utf-8"?>
<formControlPr xmlns="http://schemas.microsoft.com/office/spreadsheetml/2009/9/main" objectType="Drop" dropStyle="combo" dx="16" fmlaLink="'Individual Engine'!$P$6" fmlaRange="'Individual Engine'!$O$6:$O$10" noThreeD="1" sel="1" val="0"/>
</file>

<file path=xl/ctrlProps/ctrlProp15.xml><?xml version="1.0" encoding="utf-8"?>
<formControlPr xmlns="http://schemas.microsoft.com/office/spreadsheetml/2009/9/main" objectType="Drop" dropStyle="combo" dx="16" fmlaLink="'Individual Engine'!$V$6" fmlaRange="'Individual Engine'!$U$6:$U$10" noThreeD="1" sel="4" val="0"/>
</file>

<file path=xl/ctrlProps/ctrlProp16.xml><?xml version="1.0" encoding="utf-8"?>
<formControlPr xmlns="http://schemas.microsoft.com/office/spreadsheetml/2009/9/main" objectType="Drop" dropStyle="combo" dx="16" fmlaLink="'Individual Engine'!$D$23" fmlaRange="'Individual Engine'!$C$23:$C$25" noThreeD="1" sel="1" val="0"/>
</file>

<file path=xl/ctrlProps/ctrlProp17.xml><?xml version="1.0" encoding="utf-8"?>
<formControlPr xmlns="http://schemas.microsoft.com/office/spreadsheetml/2009/9/main" objectType="Drop" dropStyle="combo" dx="16" fmlaLink="'Individual Engine'!$J$23" fmlaRange="'Individual Engine'!$I$23:$I$25" noThreeD="1" sel="2" val="0"/>
</file>

<file path=xl/ctrlProps/ctrlProp18.xml><?xml version="1.0" encoding="utf-8"?>
<formControlPr xmlns="http://schemas.microsoft.com/office/spreadsheetml/2009/9/main" objectType="Drop" dropStyle="combo" dx="16" fmlaLink="'Individual Engine'!$P$23" fmlaRange="'Individual Engine'!$O$23:$O$25" noThreeD="1" sel="1" val="0"/>
</file>

<file path=xl/ctrlProps/ctrlProp19.xml><?xml version="1.0" encoding="utf-8"?>
<formControlPr xmlns="http://schemas.microsoft.com/office/spreadsheetml/2009/9/main" objectType="Drop" dropStyle="combo" dx="16" fmlaLink="'Individual Engine'!$V$23" fmlaRange="'Individual Engine'!$U$23:$U$25" noThreeD="1" sel="3" val="0"/>
</file>

<file path=xl/ctrlProps/ctrlProp20.xml><?xml version="1.0" encoding="utf-8"?>
<formControlPr xmlns="http://schemas.microsoft.com/office/spreadsheetml/2009/9/main" objectType="Drop" dropStyle="combo" dx="16" fmlaLink="'Individual Engine'!$D$38" fmlaRange="'Individual Engine'!$C$38:$C$41" noThreeD="1" sel="1" val="0"/>
</file>

<file path=xl/ctrlProps/ctrlProp21.xml><?xml version="1.0" encoding="utf-8"?>
<formControlPr xmlns="http://schemas.microsoft.com/office/spreadsheetml/2009/9/main" objectType="Drop" dropStyle="combo" dx="16" fmlaLink="'Individual Engine'!$J$38" fmlaRange="'Individual Engine'!$I$38:$I$41" noThreeD="1" sel="3" val="0"/>
</file>

<file path=xl/ctrlProps/ctrlProp22.xml><?xml version="1.0" encoding="utf-8"?>
<formControlPr xmlns="http://schemas.microsoft.com/office/spreadsheetml/2009/9/main" objectType="Drop" dropStyle="combo" dx="16" fmlaLink="'Individual Engine'!$P$38" fmlaRange="'Individual Engine'!$O$38:$O$41" noThreeD="1" sel="1" val="0"/>
</file>

<file path=xl/ctrlProps/ctrlProp23.xml><?xml version="1.0" encoding="utf-8"?>
<formControlPr xmlns="http://schemas.microsoft.com/office/spreadsheetml/2009/9/main" objectType="Drop" dropStyle="combo" dx="16" fmlaLink="'Individual Engine'!$V$38" fmlaRange="'Individual Engine'!$U$38:$U$41" noThreeD="1" sel="1" val="0"/>
</file>

<file path=xl/ctrlProps/ctrlProp24.xml><?xml version="1.0" encoding="utf-8"?>
<formControlPr xmlns="http://schemas.microsoft.com/office/spreadsheetml/2009/9/main" objectType="Drop" dropStyle="combo" dx="16" fmlaLink="'Individual Engine'!$D$86" fmlaRange="'Individual Engine'!$C$86:$C$90" noThreeD="1" sel="3" val="0"/>
</file>

<file path=xl/ctrlProps/ctrlProp25.xml><?xml version="1.0" encoding="utf-8"?>
<formControlPr xmlns="http://schemas.microsoft.com/office/spreadsheetml/2009/9/main" objectType="Drop" dropStyle="combo" dx="16" fmlaLink="'Individual Engine'!$J$86" fmlaRange="'Individual Engine'!$I$86:$I$90" noThreeD="1" sel="3" val="0"/>
</file>

<file path=xl/ctrlProps/ctrlProp26.xml><?xml version="1.0" encoding="utf-8"?>
<formControlPr xmlns="http://schemas.microsoft.com/office/spreadsheetml/2009/9/main" objectType="Drop" dropStyle="combo" dx="16" fmlaLink="'Individual Engine'!$P$86" fmlaRange="'Individual Engine'!$O$86:$O$90" noThreeD="1" sel="3" val="0"/>
</file>

<file path=xl/ctrlProps/ctrlProp27.xml><?xml version="1.0" encoding="utf-8"?>
<formControlPr xmlns="http://schemas.microsoft.com/office/spreadsheetml/2009/9/main" objectType="Drop" dropStyle="combo" dx="16" fmlaLink="'Individual Engine'!$V$86" fmlaRange="'Individual Engine'!$U$86:$U$90" noThreeD="1" sel="3" val="0"/>
</file>

<file path=xl/ctrlProps/ctrlProp28.xml><?xml version="1.0" encoding="utf-8"?>
<formControlPr xmlns="http://schemas.microsoft.com/office/spreadsheetml/2009/9/main" objectType="Drop" dropStyle="combo" dx="16" fmlaLink="'Individual Engine'!$D$96" fmlaRange="'Individual Engine'!$C$96:$C$99" noThreeD="1" sel="1" val="0"/>
</file>

<file path=xl/ctrlProps/ctrlProp29.xml><?xml version="1.0" encoding="utf-8"?>
<formControlPr xmlns="http://schemas.microsoft.com/office/spreadsheetml/2009/9/main" objectType="Drop" dropStyle="combo" dx="16" fmlaLink="'Individual Engine'!$J$96" fmlaRange="'Individual Engine'!$I$96:$I$99" noThreeD="1" sel="2" val="0"/>
</file>

<file path=xl/ctrlProps/ctrlProp30.xml><?xml version="1.0" encoding="utf-8"?>
<formControlPr xmlns="http://schemas.microsoft.com/office/spreadsheetml/2009/9/main" objectType="Drop" dropStyle="combo" dx="16" fmlaLink="'Individual Engine'!$P$96" fmlaRange="'Individual Engine'!$O$96:$O$99" noThreeD="1" sel="3" val="0"/>
</file>

<file path=xl/ctrlProps/ctrlProp31.xml><?xml version="1.0" encoding="utf-8"?>
<formControlPr xmlns="http://schemas.microsoft.com/office/spreadsheetml/2009/9/main" objectType="Drop" dropStyle="combo" dx="16" fmlaLink="'Individual Engine'!$V$96" fmlaRange="'Individual Engine'!$U$96:$U$99" noThreeD="1" sel="4" val="0"/>
</file>

<file path=xl/ctrlProps/ctrlProp32.xml><?xml version="1.0" encoding="utf-8"?>
<formControlPr xmlns="http://schemas.microsoft.com/office/spreadsheetml/2009/9/main" objectType="Drop" dropStyle="combo" dx="16" fmlaLink="'Individual Engine'!$D$105" fmlaRange="'Individual Engine'!$C$105:$C$107" noThreeD="1" sel="1" val="0"/>
</file>

<file path=xl/ctrlProps/ctrlProp33.xml><?xml version="1.0" encoding="utf-8"?>
<formControlPr xmlns="http://schemas.microsoft.com/office/spreadsheetml/2009/9/main" objectType="Drop" dropStyle="combo" dx="16" fmlaLink="'Individual Engine'!$J$105" fmlaRange="'Individual Engine'!$I$105:$I$107" noThreeD="1" sel="1" val="0"/>
</file>

<file path=xl/ctrlProps/ctrlProp34.xml><?xml version="1.0" encoding="utf-8"?>
<formControlPr xmlns="http://schemas.microsoft.com/office/spreadsheetml/2009/9/main" objectType="Drop" dropStyle="combo" dx="16" fmlaLink="'Individual Engine'!$P$105" fmlaRange="'Individual Engine'!$O$105:$O$107" noThreeD="1" sel="2" val="0"/>
</file>

<file path=xl/ctrlProps/ctrlProp35.xml><?xml version="1.0" encoding="utf-8"?>
<formControlPr xmlns="http://schemas.microsoft.com/office/spreadsheetml/2009/9/main" objectType="Drop" dropStyle="combo" dx="16" fmlaLink="'Individual Engine'!$V$105" fmlaRange="'Individual Engine'!$U$105:$U$107" noThreeD="1" sel="1" val="0"/>
</file>

<file path=xl/ctrlProps/ctrlProp36.xml><?xml version="1.0" encoding="utf-8"?>
<formControlPr xmlns="http://schemas.microsoft.com/office/spreadsheetml/2009/9/main" objectType="Drop" dropStyle="combo" dx="16" fmlaLink="'Individual Engine'!$D$113" fmlaRange="'Individual Engine'!$C$113:$C$114" noThreeD="1" sel="2" val="0"/>
</file>

<file path=xl/ctrlProps/ctrlProp37.xml><?xml version="1.0" encoding="utf-8"?>
<formControlPr xmlns="http://schemas.microsoft.com/office/spreadsheetml/2009/9/main" objectType="Drop" dropStyle="combo" dx="16" fmlaLink="'Individual Engine'!$J$113" fmlaRange="'Individual Engine'!$I$113:$I$114" noThreeD="1" sel="1" val="0"/>
</file>

<file path=xl/ctrlProps/ctrlProp38.xml><?xml version="1.0" encoding="utf-8"?>
<formControlPr xmlns="http://schemas.microsoft.com/office/spreadsheetml/2009/9/main" objectType="Drop" dropStyle="combo" dx="16" fmlaLink="'Individual Engine'!$P$113" fmlaRange="'Individual Engine'!$O$113:$O$114" noThreeD="1" sel="1" val="0"/>
</file>

<file path=xl/ctrlProps/ctrlProp39.xml><?xml version="1.0" encoding="utf-8"?>
<formControlPr xmlns="http://schemas.microsoft.com/office/spreadsheetml/2009/9/main" objectType="Drop" dropStyle="combo" dx="16" fmlaLink="'Individual Engine'!$V$113" fmlaRange="'Individual Engine'!$U$113:$U$114" noThreeD="1" sel="1" val="0"/>
</file>

<file path=xl/ctrlProps/ctrlProp40.xml><?xml version="1.0" encoding="utf-8"?>
<formControlPr xmlns="http://schemas.microsoft.com/office/spreadsheetml/2009/9/main" objectType="Drop" dropStyle="combo" dx="16" fmlaLink="'Individual Engine'!$D$122" fmlaRange="'Individual Engine'!$C$122:$C$129" noThreeD="1" sel="2" val="0"/>
</file>

<file path=xl/ctrlProps/ctrlProp41.xml><?xml version="1.0" encoding="utf-8"?>
<formControlPr xmlns="http://schemas.microsoft.com/office/spreadsheetml/2009/9/main" objectType="Drop" dropStyle="combo" dx="16" fmlaLink="'Individual Engine'!$J$122" fmlaRange="'Individual Engine'!$I$122:$I$129" noThreeD="1" sel="3" val="0"/>
</file>

<file path=xl/ctrlProps/ctrlProp42.xml><?xml version="1.0" encoding="utf-8"?>
<formControlPr xmlns="http://schemas.microsoft.com/office/spreadsheetml/2009/9/main" objectType="Drop" dropStyle="combo" dx="16" fmlaLink="'Individual Engine'!$P$122" fmlaRange="'Individual Engine'!$O$122:$O$129" noThreeD="1" sel="6" val="0"/>
</file>

<file path=xl/ctrlProps/ctrlProp43.xml><?xml version="1.0" encoding="utf-8"?>
<formControlPr xmlns="http://schemas.microsoft.com/office/spreadsheetml/2009/9/main" objectType="Drop" dropStyle="combo" dx="16" fmlaLink="'Individual Engine'!$V$122" fmlaRange="'Individual Engine'!$U$122:$U$129"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49</xdr:row>
          <xdr:rowOff>142875</xdr:rowOff>
        </xdr:from>
        <xdr:to>
          <xdr:col>2</xdr:col>
          <xdr:colOff>962025</xdr:colOff>
          <xdr:row>53</xdr:row>
          <xdr:rowOff>66675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cs typeface="Calibri"/>
                </a:rPr>
                <a:t>Protect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49</xdr:row>
          <xdr:rowOff>142875</xdr:rowOff>
        </xdr:from>
        <xdr:to>
          <xdr:col>7</xdr:col>
          <xdr:colOff>180975</xdr:colOff>
          <xdr:row>53</xdr:row>
          <xdr:rowOff>76200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cs typeface="Calibri"/>
                </a:rPr>
                <a:t>Unlock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21</xdr:row>
          <xdr:rowOff>0</xdr:rowOff>
        </xdr:from>
        <xdr:to>
          <xdr:col>7</xdr:col>
          <xdr:colOff>28575</xdr:colOff>
          <xdr:row>21</xdr:row>
          <xdr:rowOff>190500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7</xdr:col>
          <xdr:colOff>9525</xdr:colOff>
          <xdr:row>24</xdr:row>
          <xdr:rowOff>9525</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3800475</xdr:colOff>
          <xdr:row>9</xdr:row>
          <xdr:rowOff>9525</xdr:rowOff>
        </xdr:from>
        <xdr:to>
          <xdr:col>7</xdr:col>
          <xdr:colOff>9525</xdr:colOff>
          <xdr:row>10</xdr:row>
          <xdr:rowOff>0</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7</xdr:col>
          <xdr:colOff>28575</xdr:colOff>
          <xdr:row>40</xdr:row>
          <xdr:rowOff>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581025</xdr:colOff>
          <xdr:row>20</xdr:row>
          <xdr:rowOff>9525</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9525</xdr:rowOff>
        </xdr:from>
        <xdr:to>
          <xdr:col>6</xdr:col>
          <xdr:colOff>581025</xdr:colOff>
          <xdr:row>6</xdr:row>
          <xdr:rowOff>9525</xdr:rowOff>
        </xdr:to>
        <xdr:sp macro="" textlink="">
          <xdr:nvSpPr>
            <xdr:cNvPr id="6158" name="Drop Down 14"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200025</xdr:rowOff>
        </xdr:from>
        <xdr:to>
          <xdr:col>7</xdr:col>
          <xdr:colOff>9525</xdr:colOff>
          <xdr:row>36</xdr:row>
          <xdr:rowOff>28575</xdr:rowOff>
        </xdr:to>
        <xdr:sp macro="" textlink="">
          <xdr:nvSpPr>
            <xdr:cNvPr id="6159" name="Drop Dow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447675</xdr:colOff>
      <xdr:row>1</xdr:row>
      <xdr:rowOff>76200</xdr:rowOff>
    </xdr:from>
    <xdr:to>
      <xdr:col>7</xdr:col>
      <xdr:colOff>133350</xdr:colOff>
      <xdr:row>3</xdr:row>
      <xdr:rowOff>66675</xdr:rowOff>
    </xdr:to>
    <xdr:pic>
      <xdr:nvPicPr>
        <xdr:cNvPr id="3" name="Picture 2" descr="signature_924557708">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19725" y="276225"/>
          <a:ext cx="149542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676275</xdr:colOff>
      <xdr:row>1</xdr:row>
      <xdr:rowOff>104775</xdr:rowOff>
    </xdr:from>
    <xdr:to>
      <xdr:col>2</xdr:col>
      <xdr:colOff>1562100</xdr:colOff>
      <xdr:row>3</xdr:row>
      <xdr:rowOff>104775</xdr:rowOff>
    </xdr:to>
    <xdr:pic>
      <xdr:nvPicPr>
        <xdr:cNvPr id="5" name="Picture 3" descr="signature_241328660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3475" y="304800"/>
          <a:ext cx="8858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xdr:colOff>
      <xdr:row>1</xdr:row>
      <xdr:rowOff>38101</xdr:rowOff>
    </xdr:from>
    <xdr:to>
      <xdr:col>2</xdr:col>
      <xdr:colOff>514351</xdr:colOff>
      <xdr:row>3</xdr:row>
      <xdr:rowOff>171451</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7201" y="238126"/>
          <a:ext cx="51435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533400</xdr:colOff>
          <xdr:row>9</xdr:row>
          <xdr:rowOff>104775</xdr:rowOff>
        </xdr:from>
        <xdr:to>
          <xdr:col>8</xdr:col>
          <xdr:colOff>1381125</xdr:colOff>
          <xdr:row>12</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1000" b="1" i="0" u="none" strike="noStrike" baseline="0">
                  <a:solidFill>
                    <a:srgbClr val="000000"/>
                  </a:solidFill>
                  <a:latin typeface="Calibri"/>
                  <a:cs typeface="Calibri"/>
                </a:rPr>
                <a:t>Generate PDF</a:t>
              </a:r>
            </a:p>
          </xdr:txBody>
        </xdr:sp>
        <xdr:clientData fPrintsWithSheet="0"/>
      </xdr:twoCellAnchor>
    </mc:Choice>
    <mc:Fallback/>
  </mc:AlternateContent>
  <xdr:oneCellAnchor>
    <xdr:from>
      <xdr:col>0</xdr:col>
      <xdr:colOff>337704</xdr:colOff>
      <xdr:row>0</xdr:row>
      <xdr:rowOff>131330</xdr:rowOff>
    </xdr:from>
    <xdr:ext cx="1412875" cy="664882"/>
    <xdr:pic>
      <xdr:nvPicPr>
        <xdr:cNvPr id="2" name="image1.pn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7704" y="131330"/>
          <a:ext cx="1412875" cy="664882"/>
        </a:xfrm>
        <a:prstGeom prst="rect">
          <a:avLst/>
        </a:prstGeom>
      </xdr:spPr>
    </xdr:pic>
    <xdr:clientData/>
  </xdr:oneCellAnchor>
  <xdr:oneCellAnchor>
    <xdr:from>
      <xdr:col>7</xdr:col>
      <xdr:colOff>1409535</xdr:colOff>
      <xdr:row>1</xdr:row>
      <xdr:rowOff>75713</xdr:rowOff>
    </xdr:from>
    <xdr:ext cx="1614691" cy="658296"/>
    <xdr:pic>
      <xdr:nvPicPr>
        <xdr:cNvPr id="3" name="image2.png">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839785" y="266213"/>
          <a:ext cx="1614691" cy="658296"/>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xdr:row>
          <xdr:rowOff>9525</xdr:rowOff>
        </xdr:from>
        <xdr:to>
          <xdr:col>3</xdr:col>
          <xdr:colOff>866775</xdr:colOff>
          <xdr:row>3</xdr:row>
          <xdr:rowOff>9525</xdr:rowOff>
        </xdr:to>
        <xdr:sp macro="" textlink="">
          <xdr:nvSpPr>
            <xdr:cNvPr id="18553" name="Drop Down 121" hidden="1">
              <a:extLst>
                <a:ext uri="{63B3BB69-23CF-44E3-9099-C40C66FF867C}">
                  <a14:compatExt spid="_x0000_s18553"/>
                </a:ext>
                <a:ext uri="{FF2B5EF4-FFF2-40B4-BE49-F238E27FC236}">
                  <a16:creationId xmlns:a16="http://schemas.microsoft.com/office/drawing/2014/main" id="{00000000-0008-0000-0F00-00007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0</xdr:rowOff>
        </xdr:from>
        <xdr:to>
          <xdr:col>3</xdr:col>
          <xdr:colOff>9525</xdr:colOff>
          <xdr:row>8</xdr:row>
          <xdr:rowOff>0</xdr:rowOff>
        </xdr:to>
        <xdr:sp macro="" textlink="">
          <xdr:nvSpPr>
            <xdr:cNvPr id="9218" name="Drop Down 2" hidden="1">
              <a:extLst>
                <a:ext uri="{63B3BB69-23CF-44E3-9099-C40C66FF867C}">
                  <a14:compatExt spid="_x0000_s9218"/>
                </a:ext>
                <a:ext uri="{FF2B5EF4-FFF2-40B4-BE49-F238E27FC236}">
                  <a16:creationId xmlns:a16="http://schemas.microsoft.com/office/drawing/2014/main" id="{00000000-0008-0000-16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0</xdr:rowOff>
        </xdr:from>
        <xdr:to>
          <xdr:col>8</xdr:col>
          <xdr:colOff>0</xdr:colOff>
          <xdr:row>8</xdr:row>
          <xdr:rowOff>0</xdr:rowOff>
        </xdr:to>
        <xdr:sp macro="" textlink="">
          <xdr:nvSpPr>
            <xdr:cNvPr id="9219" name="Drop Down 3" hidden="1">
              <a:extLst>
                <a:ext uri="{63B3BB69-23CF-44E3-9099-C40C66FF867C}">
                  <a14:compatExt spid="_x0000_s9219"/>
                </a:ext>
                <a:ext uri="{FF2B5EF4-FFF2-40B4-BE49-F238E27FC236}">
                  <a16:creationId xmlns:a16="http://schemas.microsoft.com/office/drawing/2014/main" id="{00000000-0008-0000-16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7</xdr:row>
          <xdr:rowOff>0</xdr:rowOff>
        </xdr:from>
        <xdr:to>
          <xdr:col>13</xdr:col>
          <xdr:colOff>9525</xdr:colOff>
          <xdr:row>8</xdr:row>
          <xdr:rowOff>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16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7</xdr:row>
          <xdr:rowOff>0</xdr:rowOff>
        </xdr:from>
        <xdr:to>
          <xdr:col>18</xdr:col>
          <xdr:colOff>0</xdr:colOff>
          <xdr:row>8</xdr:row>
          <xdr:rowOff>0</xdr:rowOff>
        </xdr:to>
        <xdr:sp macro="" textlink="">
          <xdr:nvSpPr>
            <xdr:cNvPr id="9221" name="Drop Down 5" hidden="1">
              <a:extLst>
                <a:ext uri="{63B3BB69-23CF-44E3-9099-C40C66FF867C}">
                  <a14:compatExt spid="_x0000_s9221"/>
                </a:ext>
                <a:ext uri="{FF2B5EF4-FFF2-40B4-BE49-F238E27FC236}">
                  <a16:creationId xmlns:a16="http://schemas.microsoft.com/office/drawing/2014/main" id="{00000000-0008-0000-16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0</xdr:rowOff>
        </xdr:from>
        <xdr:to>
          <xdr:col>3</xdr:col>
          <xdr:colOff>9525</xdr:colOff>
          <xdr:row>10</xdr:row>
          <xdr:rowOff>9525</xdr:rowOff>
        </xdr:to>
        <xdr:sp macro="" textlink="">
          <xdr:nvSpPr>
            <xdr:cNvPr id="9222" name="Drop Down 6" hidden="1">
              <a:extLst>
                <a:ext uri="{63B3BB69-23CF-44E3-9099-C40C66FF867C}">
                  <a14:compatExt spid="_x0000_s9222"/>
                </a:ext>
                <a:ext uri="{FF2B5EF4-FFF2-40B4-BE49-F238E27FC236}">
                  <a16:creationId xmlns:a16="http://schemas.microsoft.com/office/drawing/2014/main" id="{00000000-0008-0000-16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0</xdr:rowOff>
        </xdr:from>
        <xdr:to>
          <xdr:col>8</xdr:col>
          <xdr:colOff>0</xdr:colOff>
          <xdr:row>10</xdr:row>
          <xdr:rowOff>9525</xdr:rowOff>
        </xdr:to>
        <xdr:sp macro="" textlink="">
          <xdr:nvSpPr>
            <xdr:cNvPr id="9223" name="Drop Down 7" hidden="1">
              <a:extLst>
                <a:ext uri="{63B3BB69-23CF-44E3-9099-C40C66FF867C}">
                  <a14:compatExt spid="_x0000_s9223"/>
                </a:ext>
                <a:ext uri="{FF2B5EF4-FFF2-40B4-BE49-F238E27FC236}">
                  <a16:creationId xmlns:a16="http://schemas.microsoft.com/office/drawing/2014/main" id="{00000000-0008-0000-16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9</xdr:row>
          <xdr:rowOff>0</xdr:rowOff>
        </xdr:from>
        <xdr:to>
          <xdr:col>13</xdr:col>
          <xdr:colOff>9525</xdr:colOff>
          <xdr:row>10</xdr:row>
          <xdr:rowOff>9525</xdr:rowOff>
        </xdr:to>
        <xdr:sp macro="" textlink="">
          <xdr:nvSpPr>
            <xdr:cNvPr id="9224" name="Drop Down 8" hidden="1">
              <a:extLst>
                <a:ext uri="{63B3BB69-23CF-44E3-9099-C40C66FF867C}">
                  <a14:compatExt spid="_x0000_s9224"/>
                </a:ext>
                <a:ext uri="{FF2B5EF4-FFF2-40B4-BE49-F238E27FC236}">
                  <a16:creationId xmlns:a16="http://schemas.microsoft.com/office/drawing/2014/main" id="{00000000-0008-0000-16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9</xdr:row>
          <xdr:rowOff>0</xdr:rowOff>
        </xdr:from>
        <xdr:to>
          <xdr:col>18</xdr:col>
          <xdr:colOff>0</xdr:colOff>
          <xdr:row>10</xdr:row>
          <xdr:rowOff>9525</xdr:rowOff>
        </xdr:to>
        <xdr:sp macro="" textlink="">
          <xdr:nvSpPr>
            <xdr:cNvPr id="9225" name="Drop Down 9" hidden="1">
              <a:extLst>
                <a:ext uri="{63B3BB69-23CF-44E3-9099-C40C66FF867C}">
                  <a14:compatExt spid="_x0000_s9225"/>
                </a:ext>
                <a:ext uri="{FF2B5EF4-FFF2-40B4-BE49-F238E27FC236}">
                  <a16:creationId xmlns:a16="http://schemas.microsoft.com/office/drawing/2014/main" id="{00000000-0008-0000-16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0</xdr:rowOff>
        </xdr:from>
        <xdr:to>
          <xdr:col>3</xdr:col>
          <xdr:colOff>9525</xdr:colOff>
          <xdr:row>12</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id="{00000000-0008-0000-16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11</xdr:row>
          <xdr:rowOff>0</xdr:rowOff>
        </xdr:from>
        <xdr:to>
          <xdr:col>8</xdr:col>
          <xdr:colOff>0</xdr:colOff>
          <xdr:row>12</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id="{00000000-0008-0000-16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11</xdr:row>
          <xdr:rowOff>0</xdr:rowOff>
        </xdr:from>
        <xdr:to>
          <xdr:col>13</xdr:col>
          <xdr:colOff>9525</xdr:colOff>
          <xdr:row>12</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16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11</xdr:row>
          <xdr:rowOff>0</xdr:rowOff>
        </xdr:from>
        <xdr:to>
          <xdr:col>18</xdr:col>
          <xdr:colOff>0</xdr:colOff>
          <xdr:row>12</xdr:row>
          <xdr:rowOff>0</xdr:rowOff>
        </xdr:to>
        <xdr:sp macro="" textlink="">
          <xdr:nvSpPr>
            <xdr:cNvPr id="9229" name="Drop Down 13" hidden="1">
              <a:extLst>
                <a:ext uri="{63B3BB69-23CF-44E3-9099-C40C66FF867C}">
                  <a14:compatExt spid="_x0000_s9229"/>
                </a:ext>
                <a:ext uri="{FF2B5EF4-FFF2-40B4-BE49-F238E27FC236}">
                  <a16:creationId xmlns:a16="http://schemas.microsoft.com/office/drawing/2014/main" id="{00000000-0008-0000-16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0</xdr:rowOff>
        </xdr:from>
        <xdr:to>
          <xdr:col>3</xdr:col>
          <xdr:colOff>9525</xdr:colOff>
          <xdr:row>18</xdr:row>
          <xdr:rowOff>0</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id="{00000000-0008-0000-16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17</xdr:row>
          <xdr:rowOff>0</xdr:rowOff>
        </xdr:from>
        <xdr:to>
          <xdr:col>8</xdr:col>
          <xdr:colOff>0</xdr:colOff>
          <xdr:row>18</xdr:row>
          <xdr:rowOff>0</xdr:rowOff>
        </xdr:to>
        <xdr:sp macro="" textlink="">
          <xdr:nvSpPr>
            <xdr:cNvPr id="9231" name="Drop Down 15" hidden="1">
              <a:extLst>
                <a:ext uri="{63B3BB69-23CF-44E3-9099-C40C66FF867C}">
                  <a14:compatExt spid="_x0000_s9231"/>
                </a:ext>
                <a:ext uri="{FF2B5EF4-FFF2-40B4-BE49-F238E27FC236}">
                  <a16:creationId xmlns:a16="http://schemas.microsoft.com/office/drawing/2014/main" id="{00000000-0008-0000-16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17</xdr:row>
          <xdr:rowOff>0</xdr:rowOff>
        </xdr:from>
        <xdr:to>
          <xdr:col>13</xdr:col>
          <xdr:colOff>9525</xdr:colOff>
          <xdr:row>18</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16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17</xdr:row>
          <xdr:rowOff>0</xdr:rowOff>
        </xdr:from>
        <xdr:to>
          <xdr:col>18</xdr:col>
          <xdr:colOff>0</xdr:colOff>
          <xdr:row>18</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16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0</xdr:rowOff>
        </xdr:from>
        <xdr:to>
          <xdr:col>3</xdr:col>
          <xdr:colOff>9525</xdr:colOff>
          <xdr:row>20</xdr:row>
          <xdr:rowOff>9525</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id="{00000000-0008-0000-16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19</xdr:row>
          <xdr:rowOff>0</xdr:rowOff>
        </xdr:from>
        <xdr:to>
          <xdr:col>8</xdr:col>
          <xdr:colOff>0</xdr:colOff>
          <xdr:row>20</xdr:row>
          <xdr:rowOff>9525</xdr:rowOff>
        </xdr:to>
        <xdr:sp macro="" textlink="">
          <xdr:nvSpPr>
            <xdr:cNvPr id="9235" name="Drop Down 19" hidden="1">
              <a:extLst>
                <a:ext uri="{63B3BB69-23CF-44E3-9099-C40C66FF867C}">
                  <a14:compatExt spid="_x0000_s9235"/>
                </a:ext>
                <a:ext uri="{FF2B5EF4-FFF2-40B4-BE49-F238E27FC236}">
                  <a16:creationId xmlns:a16="http://schemas.microsoft.com/office/drawing/2014/main" id="{00000000-0008-0000-16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19</xdr:row>
          <xdr:rowOff>0</xdr:rowOff>
        </xdr:from>
        <xdr:to>
          <xdr:col>13</xdr:col>
          <xdr:colOff>9525</xdr:colOff>
          <xdr:row>20</xdr:row>
          <xdr:rowOff>9525</xdr:rowOff>
        </xdr:to>
        <xdr:sp macro="" textlink="">
          <xdr:nvSpPr>
            <xdr:cNvPr id="9236" name="Drop Down 20" hidden="1">
              <a:extLst>
                <a:ext uri="{63B3BB69-23CF-44E3-9099-C40C66FF867C}">
                  <a14:compatExt spid="_x0000_s9236"/>
                </a:ext>
                <a:ext uri="{FF2B5EF4-FFF2-40B4-BE49-F238E27FC236}">
                  <a16:creationId xmlns:a16="http://schemas.microsoft.com/office/drawing/2014/main" id="{00000000-0008-0000-16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19</xdr:row>
          <xdr:rowOff>0</xdr:rowOff>
        </xdr:from>
        <xdr:to>
          <xdr:col>18</xdr:col>
          <xdr:colOff>0</xdr:colOff>
          <xdr:row>20</xdr:row>
          <xdr:rowOff>9525</xdr:rowOff>
        </xdr:to>
        <xdr:sp macro="" textlink="">
          <xdr:nvSpPr>
            <xdr:cNvPr id="9237" name="Drop Down 21" hidden="1">
              <a:extLst>
                <a:ext uri="{63B3BB69-23CF-44E3-9099-C40C66FF867C}">
                  <a14:compatExt spid="_x0000_s9237"/>
                </a:ext>
                <a:ext uri="{FF2B5EF4-FFF2-40B4-BE49-F238E27FC236}">
                  <a16:creationId xmlns:a16="http://schemas.microsoft.com/office/drawing/2014/main" id="{00000000-0008-0000-16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0</xdr:rowOff>
        </xdr:from>
        <xdr:to>
          <xdr:col>3</xdr:col>
          <xdr:colOff>9525</xdr:colOff>
          <xdr:row>22</xdr:row>
          <xdr:rowOff>9525</xdr:rowOff>
        </xdr:to>
        <xdr:sp macro="" textlink="">
          <xdr:nvSpPr>
            <xdr:cNvPr id="9238" name="Drop Down 22" hidden="1">
              <a:extLst>
                <a:ext uri="{63B3BB69-23CF-44E3-9099-C40C66FF867C}">
                  <a14:compatExt spid="_x0000_s9238"/>
                </a:ext>
                <a:ext uri="{FF2B5EF4-FFF2-40B4-BE49-F238E27FC236}">
                  <a16:creationId xmlns:a16="http://schemas.microsoft.com/office/drawing/2014/main" id="{00000000-0008-0000-16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0</xdr:rowOff>
        </xdr:from>
        <xdr:to>
          <xdr:col>8</xdr:col>
          <xdr:colOff>0</xdr:colOff>
          <xdr:row>22</xdr:row>
          <xdr:rowOff>9525</xdr:rowOff>
        </xdr:to>
        <xdr:sp macro="" textlink="">
          <xdr:nvSpPr>
            <xdr:cNvPr id="9239" name="Drop Down 23" hidden="1">
              <a:extLst>
                <a:ext uri="{63B3BB69-23CF-44E3-9099-C40C66FF867C}">
                  <a14:compatExt spid="_x0000_s9239"/>
                </a:ext>
                <a:ext uri="{FF2B5EF4-FFF2-40B4-BE49-F238E27FC236}">
                  <a16:creationId xmlns:a16="http://schemas.microsoft.com/office/drawing/2014/main" id="{00000000-0008-0000-16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21</xdr:row>
          <xdr:rowOff>0</xdr:rowOff>
        </xdr:from>
        <xdr:to>
          <xdr:col>13</xdr:col>
          <xdr:colOff>9525</xdr:colOff>
          <xdr:row>22</xdr:row>
          <xdr:rowOff>9525</xdr:rowOff>
        </xdr:to>
        <xdr:sp macro="" textlink="">
          <xdr:nvSpPr>
            <xdr:cNvPr id="9240" name="Drop Down 24" hidden="1">
              <a:extLst>
                <a:ext uri="{63B3BB69-23CF-44E3-9099-C40C66FF867C}">
                  <a14:compatExt spid="_x0000_s9240"/>
                </a:ext>
                <a:ext uri="{FF2B5EF4-FFF2-40B4-BE49-F238E27FC236}">
                  <a16:creationId xmlns:a16="http://schemas.microsoft.com/office/drawing/2014/main" id="{00000000-0008-0000-16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21</xdr:row>
          <xdr:rowOff>0</xdr:rowOff>
        </xdr:from>
        <xdr:to>
          <xdr:col>18</xdr:col>
          <xdr:colOff>0</xdr:colOff>
          <xdr:row>22</xdr:row>
          <xdr:rowOff>9525</xdr:rowOff>
        </xdr:to>
        <xdr:sp macro="" textlink="">
          <xdr:nvSpPr>
            <xdr:cNvPr id="9241" name="Drop Down 25" hidden="1">
              <a:extLst>
                <a:ext uri="{63B3BB69-23CF-44E3-9099-C40C66FF867C}">
                  <a14:compatExt spid="_x0000_s9241"/>
                </a:ext>
                <a:ext uri="{FF2B5EF4-FFF2-40B4-BE49-F238E27FC236}">
                  <a16:creationId xmlns:a16="http://schemas.microsoft.com/office/drawing/2014/main" id="{00000000-0008-0000-16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xdr:row>
          <xdr:rowOff>0</xdr:rowOff>
        </xdr:from>
        <xdr:to>
          <xdr:col>3</xdr:col>
          <xdr:colOff>9525</xdr:colOff>
          <xdr:row>24</xdr:row>
          <xdr:rowOff>0</xdr:rowOff>
        </xdr:to>
        <xdr:sp macro="" textlink="">
          <xdr:nvSpPr>
            <xdr:cNvPr id="9242" name="Drop Down 26" hidden="1">
              <a:extLst>
                <a:ext uri="{63B3BB69-23CF-44E3-9099-C40C66FF867C}">
                  <a14:compatExt spid="_x0000_s9242"/>
                </a:ext>
                <a:ext uri="{FF2B5EF4-FFF2-40B4-BE49-F238E27FC236}">
                  <a16:creationId xmlns:a16="http://schemas.microsoft.com/office/drawing/2014/main" id="{00000000-0008-0000-16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23</xdr:row>
          <xdr:rowOff>0</xdr:rowOff>
        </xdr:from>
        <xdr:to>
          <xdr:col>8</xdr:col>
          <xdr:colOff>0</xdr:colOff>
          <xdr:row>24</xdr:row>
          <xdr:rowOff>0</xdr:rowOff>
        </xdr:to>
        <xdr:sp macro="" textlink="">
          <xdr:nvSpPr>
            <xdr:cNvPr id="9243" name="Drop Down 27" hidden="1">
              <a:extLst>
                <a:ext uri="{63B3BB69-23CF-44E3-9099-C40C66FF867C}">
                  <a14:compatExt spid="_x0000_s9243"/>
                </a:ext>
                <a:ext uri="{FF2B5EF4-FFF2-40B4-BE49-F238E27FC236}">
                  <a16:creationId xmlns:a16="http://schemas.microsoft.com/office/drawing/2014/main" id="{00000000-0008-0000-16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23</xdr:row>
          <xdr:rowOff>0</xdr:rowOff>
        </xdr:from>
        <xdr:to>
          <xdr:col>13</xdr:col>
          <xdr:colOff>9525</xdr:colOff>
          <xdr:row>24</xdr:row>
          <xdr:rowOff>0</xdr:rowOff>
        </xdr:to>
        <xdr:sp macro="" textlink="">
          <xdr:nvSpPr>
            <xdr:cNvPr id="9244" name="Drop Down 28" hidden="1">
              <a:extLst>
                <a:ext uri="{63B3BB69-23CF-44E3-9099-C40C66FF867C}">
                  <a14:compatExt spid="_x0000_s9244"/>
                </a:ext>
                <a:ext uri="{FF2B5EF4-FFF2-40B4-BE49-F238E27FC236}">
                  <a16:creationId xmlns:a16="http://schemas.microsoft.com/office/drawing/2014/main" id="{00000000-0008-0000-16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23</xdr:row>
          <xdr:rowOff>0</xdr:rowOff>
        </xdr:from>
        <xdr:to>
          <xdr:col>18</xdr:col>
          <xdr:colOff>0</xdr:colOff>
          <xdr:row>24</xdr:row>
          <xdr:rowOff>0</xdr:rowOff>
        </xdr:to>
        <xdr:sp macro="" textlink="">
          <xdr:nvSpPr>
            <xdr:cNvPr id="9245" name="Drop Down 29" hidden="1">
              <a:extLst>
                <a:ext uri="{63B3BB69-23CF-44E3-9099-C40C66FF867C}">
                  <a14:compatExt spid="_x0000_s9245"/>
                </a:ext>
                <a:ext uri="{FF2B5EF4-FFF2-40B4-BE49-F238E27FC236}">
                  <a16:creationId xmlns:a16="http://schemas.microsoft.com/office/drawing/2014/main" id="{00000000-0008-0000-16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27</xdr:row>
          <xdr:rowOff>0</xdr:rowOff>
        </xdr:from>
        <xdr:to>
          <xdr:col>3</xdr:col>
          <xdr:colOff>9525</xdr:colOff>
          <xdr:row>28</xdr:row>
          <xdr:rowOff>9525</xdr:rowOff>
        </xdr:to>
        <xdr:sp macro="" textlink="">
          <xdr:nvSpPr>
            <xdr:cNvPr id="9246" name="Drop Down 30" hidden="1">
              <a:extLst>
                <a:ext uri="{63B3BB69-23CF-44E3-9099-C40C66FF867C}">
                  <a14:compatExt spid="_x0000_s9246"/>
                </a:ext>
                <a:ext uri="{FF2B5EF4-FFF2-40B4-BE49-F238E27FC236}">
                  <a16:creationId xmlns:a16="http://schemas.microsoft.com/office/drawing/2014/main" id="{00000000-0008-0000-1600-00001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27</xdr:row>
          <xdr:rowOff>0</xdr:rowOff>
        </xdr:from>
        <xdr:to>
          <xdr:col>8</xdr:col>
          <xdr:colOff>0</xdr:colOff>
          <xdr:row>28</xdr:row>
          <xdr:rowOff>9525</xdr:rowOff>
        </xdr:to>
        <xdr:sp macro="" textlink="">
          <xdr:nvSpPr>
            <xdr:cNvPr id="9247" name="Drop Down 31" hidden="1">
              <a:extLst>
                <a:ext uri="{63B3BB69-23CF-44E3-9099-C40C66FF867C}">
                  <a14:compatExt spid="_x0000_s9247"/>
                </a:ext>
                <a:ext uri="{FF2B5EF4-FFF2-40B4-BE49-F238E27FC236}">
                  <a16:creationId xmlns:a16="http://schemas.microsoft.com/office/drawing/2014/main" id="{00000000-0008-0000-1600-00001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27</xdr:row>
          <xdr:rowOff>0</xdr:rowOff>
        </xdr:from>
        <xdr:to>
          <xdr:col>13</xdr:col>
          <xdr:colOff>9525</xdr:colOff>
          <xdr:row>28</xdr:row>
          <xdr:rowOff>9525</xdr:rowOff>
        </xdr:to>
        <xdr:sp macro="" textlink="">
          <xdr:nvSpPr>
            <xdr:cNvPr id="9248" name="Drop Down 32" hidden="1">
              <a:extLst>
                <a:ext uri="{63B3BB69-23CF-44E3-9099-C40C66FF867C}">
                  <a14:compatExt spid="_x0000_s9248"/>
                </a:ext>
                <a:ext uri="{FF2B5EF4-FFF2-40B4-BE49-F238E27FC236}">
                  <a16:creationId xmlns:a16="http://schemas.microsoft.com/office/drawing/2014/main" id="{00000000-0008-0000-16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27</xdr:row>
          <xdr:rowOff>0</xdr:rowOff>
        </xdr:from>
        <xdr:to>
          <xdr:col>18</xdr:col>
          <xdr:colOff>0</xdr:colOff>
          <xdr:row>28</xdr:row>
          <xdr:rowOff>9525</xdr:rowOff>
        </xdr:to>
        <xdr:sp macro="" textlink="">
          <xdr:nvSpPr>
            <xdr:cNvPr id="9249" name="Drop Down 33" hidden="1">
              <a:extLst>
                <a:ext uri="{63B3BB69-23CF-44E3-9099-C40C66FF867C}">
                  <a14:compatExt spid="_x0000_s9249"/>
                </a:ext>
                <a:ext uri="{FF2B5EF4-FFF2-40B4-BE49-F238E27FC236}">
                  <a16:creationId xmlns:a16="http://schemas.microsoft.com/office/drawing/2014/main" id="{00000000-0008-0000-16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Health%20Initiative\Middle%20East\10%20-%20UAE\QIC\2023%20Proposal\Group%20Pricing%20Tool\QS_GRP_QIC_SME_Group%20Tool%202024%20-%20Ver%203.7.xlsm" TargetMode="External"/><Relationship Id="rId1" Type="http://schemas.openxmlformats.org/officeDocument/2006/relationships/externalLinkPath" Target="https://wellxai-my.sharepoint.com/Health%20Initiative/Middle%20East/10%20-%20UAE/QIC/2023%20Proposal/Group%20Pricing%20Tool/QS_GRP_QIC_SME_Group%20Tool%202024%20-%20Ver%203.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eneral Guidelines"/>
      <sheetName val="General Information"/>
      <sheetName val="Member Data"/>
      <sheetName val="Benefit Selection - Group"/>
      <sheetName val="Claims Module"/>
      <sheetName val="Local Plans TOB"/>
      <sheetName val="Referral to RGA"/>
      <sheetName val="TOB &amp; Rates"/>
      <sheetName val="OFFER LETTER"/>
      <sheetName val="UW Team Notes"/>
      <sheetName val="Age Banded Rating"/>
      <sheetName val="Group Engine"/>
      <sheetName val="General Basis"/>
      <sheetName val="Group Basis"/>
      <sheetName val="Experience Rating"/>
      <sheetName val="Weights"/>
      <sheetName val="Tool Updates"/>
      <sheetName val="Tracker"/>
      <sheetName val="Alliance TOB"/>
      <sheetName val="Individual Basis"/>
      <sheetName val="Individual Engine"/>
      <sheetName val="Benefit Selection - Individual"/>
    </sheetNames>
    <sheetDataSet>
      <sheetData sheetId="0" refreshError="1"/>
      <sheetData sheetId="1">
        <row r="30">
          <cell r="D30">
            <v>0</v>
          </cell>
        </row>
        <row r="48">
          <cell r="D48">
            <v>0.3</v>
          </cell>
        </row>
      </sheetData>
      <sheetData sheetId="2">
        <row r="23">
          <cell r="AD23">
            <v>17</v>
          </cell>
        </row>
      </sheetData>
      <sheetData sheetId="3" refreshError="1"/>
      <sheetData sheetId="4" refreshError="1"/>
      <sheetData sheetId="5"/>
      <sheetData sheetId="6">
        <row r="19">
          <cell r="A19" t="str">
            <v/>
          </cell>
        </row>
      </sheetData>
      <sheetData sheetId="7" refreshError="1"/>
      <sheetData sheetId="8" refreshError="1"/>
      <sheetData sheetId="9" refreshError="1"/>
      <sheetData sheetId="10" refreshError="1"/>
      <sheetData sheetId="11" refreshError="1"/>
      <sheetData sheetId="12">
        <row r="25">
          <cell r="C25" t="str">
            <v>Refer to UW</v>
          </cell>
        </row>
        <row r="27">
          <cell r="C27">
            <v>0.9</v>
          </cell>
        </row>
        <row r="28">
          <cell r="C28">
            <v>1.085</v>
          </cell>
        </row>
        <row r="29">
          <cell r="C29">
            <v>1</v>
          </cell>
        </row>
        <row r="30">
          <cell r="C30">
            <v>30</v>
          </cell>
        </row>
        <row r="31">
          <cell r="C31">
            <v>30</v>
          </cell>
        </row>
        <row r="33">
          <cell r="C33">
            <v>1.8</v>
          </cell>
        </row>
        <row r="39">
          <cell r="D39" t="str">
            <v>GN+</v>
          </cell>
        </row>
        <row r="40">
          <cell r="D40" t="str">
            <v>GN</v>
          </cell>
        </row>
        <row r="41">
          <cell r="D41" t="str">
            <v>RN+</v>
          </cell>
        </row>
        <row r="42">
          <cell r="D42" t="str">
            <v>RN</v>
          </cell>
        </row>
        <row r="43">
          <cell r="D43" t="str">
            <v>RN2</v>
          </cell>
        </row>
        <row r="44">
          <cell r="D44" t="str">
            <v>RN2-</v>
          </cell>
        </row>
        <row r="45">
          <cell r="D45" t="str">
            <v>RN3</v>
          </cell>
        </row>
        <row r="46">
          <cell r="D46" t="str">
            <v>VN</v>
          </cell>
        </row>
      </sheetData>
      <sheetData sheetId="13"/>
      <sheetData sheetId="14" refreshError="1"/>
      <sheetData sheetId="15" refreshError="1"/>
      <sheetData sheetId="16">
        <row r="1">
          <cell r="A1">
            <v>45580</v>
          </cell>
        </row>
      </sheetData>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5.vml"/><Relationship Id="rId21" Type="http://schemas.openxmlformats.org/officeDocument/2006/relationships/ctrlProp" Target="../ctrlProps/ctrlProp29.xml"/><Relationship Id="rId34" Type="http://schemas.openxmlformats.org/officeDocument/2006/relationships/ctrlProp" Target="../ctrlProps/ctrlProp42.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33"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24.xml"/><Relationship Id="rId20" Type="http://schemas.openxmlformats.org/officeDocument/2006/relationships/ctrlProp" Target="../ctrlProps/ctrlProp28.xml"/><Relationship Id="rId29" Type="http://schemas.openxmlformats.org/officeDocument/2006/relationships/ctrlProp" Target="../ctrlProps/ctrlProp37.xml"/><Relationship Id="rId1" Type="http://schemas.openxmlformats.org/officeDocument/2006/relationships/printerSettings" Target="../printerSettings/printerSettings18.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32" Type="http://schemas.openxmlformats.org/officeDocument/2006/relationships/ctrlProp" Target="../ctrlProps/ctrlProp40.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31" Type="http://schemas.openxmlformats.org/officeDocument/2006/relationships/ctrlProp" Target="../ctrlProps/ctrlProp39.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 Id="rId30" Type="http://schemas.openxmlformats.org/officeDocument/2006/relationships/ctrlProp" Target="../ctrlProps/ctrlProp38.xml"/><Relationship Id="rId35" Type="http://schemas.openxmlformats.org/officeDocument/2006/relationships/ctrlProp" Target="../ctrlProps/ctrlProp43.xml"/><Relationship Id="rId8"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552EC-6B8E-441C-B932-1C2B4DCC1BC1}">
  <sheetPr codeName="Sheet23">
    <tabColor rgb="FFFF0000"/>
  </sheetPr>
  <dimension ref="A1:A39"/>
  <sheetViews>
    <sheetView workbookViewId="0">
      <selection activeCell="A32" sqref="A32"/>
    </sheetView>
  </sheetViews>
  <sheetFormatPr defaultColWidth="0" defaultRowHeight="15" zeroHeight="1" x14ac:dyDescent="0.25"/>
  <cols>
    <col min="1" max="1" width="105.85546875" customWidth="1"/>
    <col min="2" max="16384" width="9.140625" hidden="1"/>
  </cols>
  <sheetData>
    <row r="1" spans="1:1" x14ac:dyDescent="0.25">
      <c r="A1" s="991" t="s">
        <v>1115</v>
      </c>
    </row>
    <row r="2" spans="1:1" x14ac:dyDescent="0.25">
      <c r="A2" s="992"/>
    </row>
    <row r="3" spans="1:1" x14ac:dyDescent="0.25">
      <c r="A3" s="998" t="s">
        <v>1116</v>
      </c>
    </row>
    <row r="4" spans="1:1" x14ac:dyDescent="0.25">
      <c r="A4" s="992" t="s">
        <v>1117</v>
      </c>
    </row>
    <row r="5" spans="1:1" x14ac:dyDescent="0.25">
      <c r="A5" s="992" t="s">
        <v>1118</v>
      </c>
    </row>
    <row r="6" spans="1:1" x14ac:dyDescent="0.25">
      <c r="A6" s="992" t="s">
        <v>1119</v>
      </c>
    </row>
    <row r="7" spans="1:1" x14ac:dyDescent="0.25">
      <c r="A7" s="992" t="s">
        <v>1120</v>
      </c>
    </row>
    <row r="8" spans="1:1" x14ac:dyDescent="0.25">
      <c r="A8" s="992" t="s">
        <v>1121</v>
      </c>
    </row>
    <row r="9" spans="1:1" x14ac:dyDescent="0.25">
      <c r="A9" s="992" t="s">
        <v>1122</v>
      </c>
    </row>
    <row r="10" spans="1:1" ht="30" x14ac:dyDescent="0.25">
      <c r="A10" s="992" t="s">
        <v>1123</v>
      </c>
    </row>
    <row r="11" spans="1:1" x14ac:dyDescent="0.25">
      <c r="A11" s="992" t="s">
        <v>1124</v>
      </c>
    </row>
    <row r="12" spans="1:1" x14ac:dyDescent="0.25">
      <c r="A12" s="992" t="s">
        <v>1125</v>
      </c>
    </row>
    <row r="13" spans="1:1" x14ac:dyDescent="0.25">
      <c r="A13" s="992" t="s">
        <v>1126</v>
      </c>
    </row>
    <row r="14" spans="1:1" x14ac:dyDescent="0.25">
      <c r="A14" s="992" t="s">
        <v>1127</v>
      </c>
    </row>
    <row r="15" spans="1:1" x14ac:dyDescent="0.25">
      <c r="A15" s="992" t="s">
        <v>1128</v>
      </c>
    </row>
    <row r="16" spans="1:1" x14ac:dyDescent="0.25">
      <c r="A16" s="992" t="s">
        <v>1129</v>
      </c>
    </row>
    <row r="17" spans="1:1" x14ac:dyDescent="0.25">
      <c r="A17" s="992" t="s">
        <v>1130</v>
      </c>
    </row>
    <row r="18" spans="1:1" ht="30" x14ac:dyDescent="0.25">
      <c r="A18" s="992" t="s">
        <v>1131</v>
      </c>
    </row>
    <row r="19" spans="1:1" x14ac:dyDescent="0.25">
      <c r="A19" s="992" t="s">
        <v>1132</v>
      </c>
    </row>
    <row r="20" spans="1:1" x14ac:dyDescent="0.25">
      <c r="A20" s="992" t="s">
        <v>1133</v>
      </c>
    </row>
    <row r="21" spans="1:1" ht="45" x14ac:dyDescent="0.25">
      <c r="A21" s="992" t="s">
        <v>1134</v>
      </c>
    </row>
    <row r="22" spans="1:1" x14ac:dyDescent="0.25">
      <c r="A22" s="992"/>
    </row>
    <row r="23" spans="1:1" x14ac:dyDescent="0.25">
      <c r="A23" s="993" t="s">
        <v>1135</v>
      </c>
    </row>
    <row r="24" spans="1:1" x14ac:dyDescent="0.25">
      <c r="A24" s="992" t="s">
        <v>1136</v>
      </c>
    </row>
    <row r="25" spans="1:1" x14ac:dyDescent="0.25">
      <c r="A25" s="992" t="s">
        <v>1137</v>
      </c>
    </row>
    <row r="26" spans="1:1" ht="30" x14ac:dyDescent="0.25">
      <c r="A26" s="992" t="s">
        <v>1138</v>
      </c>
    </row>
    <row r="27" spans="1:1" ht="30" x14ac:dyDescent="0.25">
      <c r="A27" s="994" t="s">
        <v>1139</v>
      </c>
    </row>
    <row r="28" spans="1:1" ht="30" x14ac:dyDescent="0.25">
      <c r="A28" s="994" t="s">
        <v>1140</v>
      </c>
    </row>
    <row r="29" spans="1:1" ht="30" x14ac:dyDescent="0.25">
      <c r="A29" s="992" t="s">
        <v>1141</v>
      </c>
    </row>
    <row r="30" spans="1:1" ht="30" x14ac:dyDescent="0.25">
      <c r="A30" s="992" t="s">
        <v>1142</v>
      </c>
    </row>
    <row r="31" spans="1:1" ht="30" x14ac:dyDescent="0.25">
      <c r="A31" s="992" t="s">
        <v>1143</v>
      </c>
    </row>
    <row r="32" spans="1:1" ht="30" x14ac:dyDescent="0.25">
      <c r="A32" s="992" t="s">
        <v>1144</v>
      </c>
    </row>
    <row r="33" spans="1:1" x14ac:dyDescent="0.25">
      <c r="A33" s="992" t="s">
        <v>1145</v>
      </c>
    </row>
    <row r="34" spans="1:1" ht="30" x14ac:dyDescent="0.25">
      <c r="A34" s="992" t="s">
        <v>1152</v>
      </c>
    </row>
    <row r="35" spans="1:1" hidden="1" x14ac:dyDescent="0.25">
      <c r="A35" s="998" t="s">
        <v>1153</v>
      </c>
    </row>
    <row r="36" spans="1:1" ht="30" hidden="1" x14ac:dyDescent="0.25">
      <c r="A36" s="992" t="s">
        <v>1154</v>
      </c>
    </row>
    <row r="37" spans="1:1" ht="30" hidden="1" x14ac:dyDescent="0.25">
      <c r="A37" s="992" t="s">
        <v>1155</v>
      </c>
    </row>
    <row r="38" spans="1:1" ht="60" hidden="1" x14ac:dyDescent="0.25">
      <c r="A38" s="992" t="s">
        <v>1156</v>
      </c>
    </row>
    <row r="39" spans="1:1" ht="45.75" hidden="1" thickBot="1" x14ac:dyDescent="0.3">
      <c r="A39" s="999" t="s">
        <v>1157</v>
      </c>
    </row>
  </sheetData>
  <sheetProtection algorithmName="SHA-512" hashValue="E/fxSyRDUVURI0Ngw50eL+HHEjKLNeInXhxA7tg+Rwy7o29DmUwz5OG8a8ZWyvYs3ruhukSxe/kM/4jzSe+65g==" saltValue="KDJ2fnkXZrsWCdycoazhh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4"/>
  <sheetViews>
    <sheetView showGridLines="0" zoomScaleNormal="100" workbookViewId="0">
      <selection activeCell="D8" sqref="D8:G8"/>
    </sheetView>
  </sheetViews>
  <sheetFormatPr defaultColWidth="0" defaultRowHeight="15" zeroHeight="1" x14ac:dyDescent="0.25"/>
  <cols>
    <col min="1" max="1" width="3.7109375" style="436" customWidth="1"/>
    <col min="2" max="2" width="3.140625" style="436" customWidth="1"/>
    <col min="3" max="3" width="57" style="436" customWidth="1"/>
    <col min="4" max="4" width="10.7109375" style="436" bestFit="1" customWidth="1"/>
    <col min="5" max="6" width="9.140625" style="436" customWidth="1"/>
    <col min="7" max="7" width="8.85546875" style="436" customWidth="1"/>
    <col min="8" max="8" width="3.42578125" style="436" customWidth="1"/>
    <col min="9" max="9" width="0.85546875" style="436" hidden="1" customWidth="1"/>
    <col min="10" max="10" width="4.140625" style="436" customWidth="1"/>
    <col min="11" max="11" width="10.85546875" style="436" hidden="1" customWidth="1"/>
    <col min="12" max="16384" width="9.140625" style="436" hidden="1"/>
  </cols>
  <sheetData>
    <row r="1" spans="2:11" ht="15.75" thickBot="1" x14ac:dyDescent="0.3">
      <c r="B1" s="596" t="s">
        <v>1395</v>
      </c>
      <c r="C1" s="596"/>
      <c r="G1" s="1027" t="s">
        <v>1190</v>
      </c>
    </row>
    <row r="2" spans="2:11" ht="15" customHeight="1" x14ac:dyDescent="0.25">
      <c r="B2" s="1298" t="s">
        <v>1099</v>
      </c>
      <c r="C2" s="1299"/>
      <c r="D2" s="1299"/>
      <c r="E2" s="1299"/>
      <c r="F2" s="1299"/>
      <c r="G2" s="1299"/>
      <c r="H2" s="1300"/>
      <c r="I2" s="597"/>
    </row>
    <row r="3" spans="2:11" ht="15" customHeight="1" x14ac:dyDescent="0.25">
      <c r="B3" s="1301"/>
      <c r="C3" s="1302"/>
      <c r="D3" s="1302"/>
      <c r="E3" s="1302"/>
      <c r="F3" s="1302"/>
      <c r="G3" s="1302"/>
      <c r="H3" s="1303"/>
      <c r="I3" s="598"/>
    </row>
    <row r="4" spans="2:11" ht="15.75" customHeight="1" thickBot="1" x14ac:dyDescent="0.3">
      <c r="B4" s="1304"/>
      <c r="C4" s="1305"/>
      <c r="D4" s="1305"/>
      <c r="E4" s="1305"/>
      <c r="F4" s="1305"/>
      <c r="G4" s="1305"/>
      <c r="H4" s="1306"/>
      <c r="I4" s="599"/>
    </row>
    <row r="5" spans="2:11" x14ac:dyDescent="0.25">
      <c r="B5" s="600"/>
      <c r="C5" s="601"/>
      <c r="D5" s="601"/>
      <c r="E5" s="601"/>
      <c r="F5" s="601"/>
      <c r="G5" s="601"/>
      <c r="H5" s="602"/>
      <c r="I5" s="601"/>
    </row>
    <row r="6" spans="2:11" ht="15.75" x14ac:dyDescent="0.25">
      <c r="B6" s="603"/>
      <c r="C6" s="604" t="s">
        <v>661</v>
      </c>
      <c r="D6" s="605"/>
      <c r="E6" s="605"/>
      <c r="F6" s="605"/>
      <c r="G6" s="605"/>
      <c r="H6" s="606"/>
      <c r="I6" s="605"/>
    </row>
    <row r="7" spans="2:11" x14ac:dyDescent="0.25">
      <c r="B7" s="603"/>
      <c r="C7" s="605"/>
      <c r="D7" s="605"/>
      <c r="E7" s="605"/>
      <c r="F7" s="605"/>
      <c r="G7" s="605"/>
      <c r="H7" s="606"/>
      <c r="I7" s="605"/>
    </row>
    <row r="8" spans="2:11" ht="15.75" x14ac:dyDescent="0.25">
      <c r="B8" s="603"/>
      <c r="C8" s="604" t="s">
        <v>80</v>
      </c>
      <c r="D8" s="1271" t="s">
        <v>1396</v>
      </c>
      <c r="E8" s="1272"/>
      <c r="F8" s="1272"/>
      <c r="G8" s="1273"/>
      <c r="H8" s="606"/>
      <c r="I8" s="605"/>
    </row>
    <row r="9" spans="2:11" ht="15.75" x14ac:dyDescent="0.25">
      <c r="B9" s="603"/>
      <c r="C9" s="607"/>
      <c r="D9" s="608"/>
      <c r="E9" s="608"/>
      <c r="F9" s="608"/>
      <c r="G9" s="608"/>
      <c r="H9" s="606"/>
      <c r="I9" s="605"/>
      <c r="K9" s="609">
        <f>D14-1</f>
        <v>45741</v>
      </c>
    </row>
    <row r="10" spans="2:11" ht="16.5" customHeight="1" x14ac:dyDescent="0.25">
      <c r="B10" s="603"/>
      <c r="C10" s="604" t="s">
        <v>81</v>
      </c>
      <c r="D10" s="610" t="s">
        <v>82</v>
      </c>
      <c r="E10" s="611"/>
      <c r="F10" s="611"/>
      <c r="G10" s="612"/>
      <c r="H10" s="606"/>
      <c r="I10" s="605"/>
      <c r="K10" s="609"/>
    </row>
    <row r="11" spans="2:11" ht="15.75" x14ac:dyDescent="0.25">
      <c r="B11" s="603"/>
      <c r="C11" s="607"/>
      <c r="D11" s="608"/>
      <c r="E11" s="608"/>
      <c r="F11" s="608"/>
      <c r="G11" s="608"/>
      <c r="H11" s="606"/>
      <c r="I11" s="605"/>
      <c r="K11" s="609"/>
    </row>
    <row r="12" spans="2:11" ht="15.75" x14ac:dyDescent="0.25">
      <c r="B12" s="603"/>
      <c r="C12" s="604" t="s">
        <v>83</v>
      </c>
      <c r="D12" s="1274"/>
      <c r="E12" s="1275"/>
      <c r="F12" s="1275"/>
      <c r="G12" s="1276"/>
      <c r="H12" s="606"/>
      <c r="I12" s="605"/>
      <c r="K12" s="609"/>
    </row>
    <row r="13" spans="2:11" ht="15.75" x14ac:dyDescent="0.25">
      <c r="B13" s="603"/>
      <c r="C13" s="607"/>
      <c r="D13" s="608"/>
      <c r="E13" s="608"/>
      <c r="F13" s="608"/>
      <c r="G13" s="608"/>
      <c r="H13" s="606"/>
      <c r="I13" s="605"/>
      <c r="K13" s="609"/>
    </row>
    <row r="14" spans="2:11" ht="15.75" x14ac:dyDescent="0.25">
      <c r="B14" s="603"/>
      <c r="C14" s="604" t="s">
        <v>85</v>
      </c>
      <c r="D14" s="1274">
        <v>45742</v>
      </c>
      <c r="E14" s="1275"/>
      <c r="F14" s="1275"/>
      <c r="G14" s="1276"/>
      <c r="H14" s="606"/>
      <c r="I14" s="605"/>
      <c r="J14" s="613">
        <f>IF(ISBLANK(D14),1,0)</f>
        <v>0</v>
      </c>
    </row>
    <row r="15" spans="2:11" ht="15.75" x14ac:dyDescent="0.25">
      <c r="B15" s="603"/>
      <c r="C15" s="614"/>
      <c r="D15" s="608"/>
      <c r="E15" s="608"/>
      <c r="F15" s="608"/>
      <c r="G15" s="608"/>
      <c r="H15" s="606"/>
      <c r="I15" s="605"/>
    </row>
    <row r="16" spans="2:11" ht="15.75" x14ac:dyDescent="0.25">
      <c r="B16" s="603"/>
      <c r="C16" s="604" t="s">
        <v>87</v>
      </c>
      <c r="D16" s="1280">
        <f>DATE(YEAR(K9)+1,MONTH(K9),DAY(K9))</f>
        <v>46106</v>
      </c>
      <c r="E16" s="1281"/>
      <c r="F16" s="1281"/>
      <c r="G16" s="1282"/>
      <c r="H16" s="606"/>
      <c r="I16" s="605"/>
    </row>
    <row r="17" spans="2:9" ht="15.75" x14ac:dyDescent="0.25">
      <c r="B17" s="603"/>
      <c r="C17" s="614"/>
      <c r="D17" s="608"/>
      <c r="E17" s="608"/>
      <c r="F17" s="608"/>
      <c r="G17" s="608"/>
      <c r="H17" s="606"/>
      <c r="I17" s="605"/>
    </row>
    <row r="18" spans="2:9" ht="15.75" x14ac:dyDescent="0.25">
      <c r="B18" s="603"/>
      <c r="C18" s="615" t="str">
        <f>IF('Member Data'!AS8=1,"There are less than 10 Employees. Individual rates need to be used","")</f>
        <v/>
      </c>
      <c r="D18" s="616"/>
      <c r="E18" s="616"/>
      <c r="F18" s="616"/>
      <c r="G18" s="617"/>
      <c r="H18" s="606"/>
      <c r="I18" s="605"/>
    </row>
    <row r="19" spans="2:9" ht="15.75" x14ac:dyDescent="0.25">
      <c r="B19" s="603"/>
      <c r="C19" s="614"/>
      <c r="D19" s="608"/>
      <c r="E19" s="608"/>
      <c r="F19" s="608"/>
      <c r="G19" s="608"/>
      <c r="H19" s="606"/>
      <c r="I19" s="605"/>
    </row>
    <row r="20" spans="2:9" ht="15.75" x14ac:dyDescent="0.25">
      <c r="B20" s="603"/>
      <c r="C20" s="604" t="s">
        <v>125</v>
      </c>
      <c r="H20" s="606"/>
      <c r="I20" s="605"/>
    </row>
    <row r="21" spans="2:9" ht="15.75" x14ac:dyDescent="0.25">
      <c r="B21" s="603"/>
      <c r="C21" s="614"/>
      <c r="D21" s="608"/>
      <c r="E21" s="608"/>
      <c r="F21" s="608"/>
      <c r="G21" s="608"/>
      <c r="H21" s="606"/>
      <c r="I21" s="605"/>
    </row>
    <row r="22" spans="2:9" ht="15.75" x14ac:dyDescent="0.25">
      <c r="B22" s="603"/>
      <c r="C22" s="604" t="s">
        <v>76</v>
      </c>
      <c r="D22" s="1283"/>
      <c r="E22" s="1284"/>
      <c r="F22" s="1284"/>
      <c r="G22" s="1285"/>
      <c r="H22" s="606"/>
      <c r="I22" s="605"/>
    </row>
    <row r="23" spans="2:9" ht="15.75" x14ac:dyDescent="0.25">
      <c r="B23" s="603"/>
      <c r="C23" s="614"/>
      <c r="D23" s="608"/>
      <c r="E23" s="608"/>
      <c r="F23" s="608"/>
      <c r="G23" s="608"/>
      <c r="H23" s="606"/>
      <c r="I23" s="605"/>
    </row>
    <row r="24" spans="2:9" ht="15.75" x14ac:dyDescent="0.25">
      <c r="B24" s="603"/>
      <c r="C24" s="604" t="s">
        <v>84</v>
      </c>
      <c r="D24" s="605"/>
      <c r="E24" s="605"/>
      <c r="F24" s="605"/>
      <c r="G24" s="605"/>
      <c r="H24" s="606"/>
      <c r="I24" s="605"/>
    </row>
    <row r="25" spans="2:9" x14ac:dyDescent="0.25">
      <c r="B25" s="603"/>
      <c r="C25" s="605"/>
      <c r="D25" s="605"/>
      <c r="E25" s="605"/>
      <c r="F25" s="605"/>
      <c r="G25" s="605"/>
      <c r="H25" s="606"/>
      <c r="I25" s="605"/>
    </row>
    <row r="26" spans="2:9" ht="33" customHeight="1" x14ac:dyDescent="0.25">
      <c r="B26" s="603"/>
      <c r="C26" s="1295" t="str">
        <f>IF('General Basis'!D18=2,IF(AND('Experience Rating'!H8=1,'Experience Rating'!H4=1),"Fresh Scheme - Claims are not Expected",IF(AND('Experience Rating'!H8=2,'Experience Rating'!H4=2),"Claims are expected for Renewals","")),IF(AND('General Basis'!D18=1,'General Basis'!D3=1,'Experience Rating'!H4=2,'Experience Rating'!H8&gt;1),"",IF(AND('General Basis'!D18=1,'Experience Rating'!H8=1,'General Basis'!D3=1),"","")))</f>
        <v/>
      </c>
      <c r="D26" s="1296"/>
      <c r="E26" s="1296"/>
      <c r="F26" s="1296"/>
      <c r="G26" s="1297"/>
      <c r="H26" s="606"/>
      <c r="I26" s="605"/>
    </row>
    <row r="27" spans="2:9" x14ac:dyDescent="0.25">
      <c r="B27" s="603"/>
      <c r="C27" s="605"/>
      <c r="D27" s="605"/>
      <c r="E27" s="605"/>
      <c r="F27" s="605"/>
      <c r="G27" s="605"/>
      <c r="H27" s="606"/>
      <c r="I27" s="605"/>
    </row>
    <row r="28" spans="2:9" ht="15.75" x14ac:dyDescent="0.25">
      <c r="B28" s="603"/>
      <c r="C28" s="604" t="s">
        <v>86</v>
      </c>
      <c r="D28" s="1274"/>
      <c r="E28" s="1275"/>
      <c r="F28" s="1275"/>
      <c r="G28" s="1276"/>
      <c r="H28" s="606"/>
      <c r="I28" s="605"/>
    </row>
    <row r="29" spans="2:9" ht="15.75" x14ac:dyDescent="0.25">
      <c r="B29" s="603"/>
      <c r="C29" s="604" t="s">
        <v>341</v>
      </c>
      <c r="D29" s="1274"/>
      <c r="E29" s="1275"/>
      <c r="F29" s="1275"/>
      <c r="G29" s="1276"/>
      <c r="H29" s="606"/>
      <c r="I29" s="605"/>
    </row>
    <row r="30" spans="2:9" ht="15.75" x14ac:dyDescent="0.25">
      <c r="B30" s="603"/>
      <c r="C30" s="604" t="s">
        <v>198</v>
      </c>
      <c r="D30" s="1277">
        <f>IF('Experience Rating'!H4=2,0,($D$28-D12+1))</f>
        <v>0</v>
      </c>
      <c r="E30" s="1278"/>
      <c r="F30" s="1278"/>
      <c r="G30" s="1279"/>
      <c r="H30" s="606"/>
      <c r="I30" s="605"/>
    </row>
    <row r="31" spans="2:9" ht="15.75" x14ac:dyDescent="0.25">
      <c r="B31" s="603"/>
      <c r="C31" s="604" t="s">
        <v>357</v>
      </c>
      <c r="D31" s="1286">
        <f>IF('Experience Rating'!H4=2,0,($D$28-D12+1)/365*12)</f>
        <v>0</v>
      </c>
      <c r="E31" s="1287"/>
      <c r="F31" s="1287"/>
      <c r="G31" s="1288"/>
      <c r="H31" s="606"/>
      <c r="I31" s="605"/>
    </row>
    <row r="32" spans="2:9" x14ac:dyDescent="0.25">
      <c r="B32" s="603"/>
      <c r="C32" s="605"/>
      <c r="D32" s="605"/>
      <c r="E32" s="605"/>
      <c r="F32" s="605"/>
      <c r="G32" s="605"/>
      <c r="H32" s="606"/>
      <c r="I32" s="605"/>
    </row>
    <row r="33" spans="2:9" x14ac:dyDescent="0.25">
      <c r="B33" s="603"/>
      <c r="C33" s="1289" t="str">
        <f>IF(OR(AND(D28="",'Experience Rating'!H8=2),AND(D28="",'Experience Rating'!H8=3,'Experience Rating'!H4=1)),"Claims report date not inserted.","")</f>
        <v/>
      </c>
      <c r="D33" s="1290"/>
      <c r="E33" s="1290"/>
      <c r="F33" s="1290"/>
      <c r="G33" s="1291"/>
      <c r="H33" s="606"/>
      <c r="I33" s="605"/>
    </row>
    <row r="34" spans="2:9" ht="18.75" customHeight="1" x14ac:dyDescent="0.25">
      <c r="B34" s="603"/>
      <c r="C34" s="1292"/>
      <c r="D34" s="1293"/>
      <c r="E34" s="1293"/>
      <c r="F34" s="1293"/>
      <c r="G34" s="1294"/>
      <c r="H34" s="606"/>
      <c r="I34" s="605"/>
    </row>
    <row r="35" spans="2:9" ht="15.75" x14ac:dyDescent="0.25">
      <c r="B35" s="603"/>
      <c r="C35" s="614"/>
      <c r="D35" s="608"/>
      <c r="E35" s="608"/>
      <c r="F35" s="608"/>
      <c r="G35" s="608"/>
      <c r="H35" s="606"/>
      <c r="I35" s="605"/>
    </row>
    <row r="36" spans="2:9" ht="15.75" x14ac:dyDescent="0.25">
      <c r="B36" s="603"/>
      <c r="C36" s="604" t="s">
        <v>697</v>
      </c>
      <c r="D36" s="605"/>
      <c r="E36" s="605"/>
      <c r="F36" s="605"/>
      <c r="G36" s="605"/>
      <c r="H36" s="606"/>
      <c r="I36" s="605"/>
    </row>
    <row r="37" spans="2:9" x14ac:dyDescent="0.25">
      <c r="B37" s="603"/>
      <c r="C37" s="605"/>
      <c r="D37" s="605"/>
      <c r="E37" s="605"/>
      <c r="F37" s="605"/>
      <c r="G37" s="605"/>
      <c r="H37" s="606"/>
      <c r="I37" s="605"/>
    </row>
    <row r="38" spans="2:9" ht="35.25" customHeight="1" x14ac:dyDescent="0.25">
      <c r="B38" s="603"/>
      <c r="C38" s="623" t="str">
        <f>IF(AND('Experience Rating'!H8=1,'Experience Rating'!H4=1,OR('General Basis'!K16=2,'General Basis'!K16=3,'General Basis'!K16=4,'General Basis'!K16=5)),"Fresh Scheme - Claims are not Expected",IF(AND('Experience Rating'!H8=2,'Experience Rating'!H4=1,OR('General Basis'!K16=1,'General Basis'!K16=2,'General Basis'!K16=3,'General Basis'!K16=5,'General Basis'!K16=6)),"TRR &amp; Detailed Claims are expected for Renewals",IF(AND('Experience Rating'!H8=3,'General Basis'!K16=1),"Fresh Scheme cannot be selected",IF(AND('Experience Rating'!H8=3,'Experience Rating'!H4=2,OR('General Basis'!K16=1,'General Basis'!K16=2,'General Basis'!K16=3,'General Basis'!K16=4,'General Basis'!K16=5)),"Claims Data selected above as Not Available",IF(AND('Experience Rating'!H8=3,'Experience Rating'!H4=1,OR('General Basis'!K16=1,'General Basis'!K16=6)),"Claims Data selected above as Available",IF(AND('Experience Rating'!H8=1,'Experience Rating'!H4=2,OR('General Basis'!K16=2,'General Basis'!K16=3,'General Basis'!K16=4,'General Basis'!K16=5)),"Fresh Scheme - Claims are not Expected",IF(AND('Experience Rating'!H8=2,'Experience Rating'!H4=2,OR('General Basis'!K16=1,'General Basis'!K16=2,'General Basis'!K16=3,'General Basis'!K16=6,'General Basis'!K16=5)),"TRR &amp; Detailed Claims are expected for Renewals","")))))))</f>
        <v/>
      </c>
      <c r="D38" s="616"/>
      <c r="E38" s="616"/>
      <c r="F38" s="616"/>
      <c r="G38" s="617"/>
      <c r="H38" s="606"/>
      <c r="I38" s="605"/>
    </row>
    <row r="39" spans="2:9" ht="15.75" x14ac:dyDescent="0.25">
      <c r="B39" s="603"/>
      <c r="C39" s="604" t="s">
        <v>89</v>
      </c>
      <c r="D39" s="1271"/>
      <c r="E39" s="1272"/>
      <c r="F39" s="1272"/>
      <c r="G39" s="1273"/>
      <c r="H39" s="606"/>
      <c r="I39" s="605"/>
    </row>
    <row r="40" spans="2:9" ht="15.75" x14ac:dyDescent="0.25">
      <c r="B40" s="603"/>
      <c r="C40" s="604" t="s">
        <v>146</v>
      </c>
      <c r="D40" s="605"/>
      <c r="E40" s="605"/>
      <c r="F40" s="605"/>
      <c r="G40" s="605"/>
      <c r="H40" s="606"/>
      <c r="I40" s="605"/>
    </row>
    <row r="41" spans="2:9" x14ac:dyDescent="0.25">
      <c r="B41" s="603"/>
      <c r="C41" s="618"/>
      <c r="D41" s="605"/>
      <c r="E41" s="605"/>
      <c r="F41" s="605"/>
      <c r="G41" s="605"/>
      <c r="H41" s="606"/>
    </row>
    <row r="42" spans="2:9" ht="15.75" x14ac:dyDescent="0.25">
      <c r="B42" s="603"/>
      <c r="C42" s="604" t="s">
        <v>340</v>
      </c>
      <c r="D42" s="1271" t="s">
        <v>1397</v>
      </c>
      <c r="E42" s="1272"/>
      <c r="F42" s="1272"/>
      <c r="G42" s="1273"/>
      <c r="H42" s="606"/>
      <c r="I42" s="605"/>
    </row>
    <row r="43" spans="2:9" x14ac:dyDescent="0.25">
      <c r="B43" s="603"/>
      <c r="C43" s="618"/>
      <c r="D43" s="605"/>
      <c r="E43" s="605"/>
      <c r="F43" s="605"/>
      <c r="G43" s="605"/>
      <c r="H43" s="606"/>
      <c r="I43" s="605"/>
    </row>
    <row r="44" spans="2:9" x14ac:dyDescent="0.25">
      <c r="B44" s="603"/>
      <c r="C44" s="451" t="s">
        <v>145</v>
      </c>
      <c r="D44" s="1269">
        <v>0.15</v>
      </c>
      <c r="E44" s="1269"/>
      <c r="F44" s="1269"/>
      <c r="G44" s="1269"/>
      <c r="H44" s="606"/>
      <c r="I44" s="605"/>
    </row>
    <row r="45" spans="2:9" x14ac:dyDescent="0.25">
      <c r="B45" s="603"/>
      <c r="C45" s="451" t="s">
        <v>1167</v>
      </c>
      <c r="D45" s="1269">
        <v>0.05</v>
      </c>
      <c r="E45" s="1269"/>
      <c r="F45" s="1269"/>
      <c r="G45" s="1269"/>
      <c r="H45" s="606"/>
      <c r="I45" s="605"/>
    </row>
    <row r="46" spans="2:9" x14ac:dyDescent="0.25">
      <c r="B46" s="603"/>
      <c r="C46" s="451" t="s">
        <v>1168</v>
      </c>
      <c r="D46" s="1269">
        <v>0.05</v>
      </c>
      <c r="E46" s="1269"/>
      <c r="F46" s="1269"/>
      <c r="G46" s="1269"/>
      <c r="H46" s="606"/>
      <c r="I46" s="605"/>
    </row>
    <row r="47" spans="2:9" x14ac:dyDescent="0.25">
      <c r="B47" s="603"/>
      <c r="C47" s="451" t="s">
        <v>146</v>
      </c>
      <c r="D47" s="1269">
        <v>0.05</v>
      </c>
      <c r="E47" s="1269"/>
      <c r="F47" s="1269"/>
      <c r="G47" s="1269"/>
      <c r="H47" s="606"/>
      <c r="I47" s="605"/>
    </row>
    <row r="48" spans="2:9" x14ac:dyDescent="0.25">
      <c r="B48" s="603"/>
      <c r="C48" s="451" t="s">
        <v>782</v>
      </c>
      <c r="D48" s="1270">
        <f>SUM(D44:G47)</f>
        <v>0.3</v>
      </c>
      <c r="E48" s="1270"/>
      <c r="F48" s="1270"/>
      <c r="G48" s="1270"/>
      <c r="H48" s="606"/>
      <c r="I48" s="605"/>
    </row>
    <row r="49" spans="2:9" x14ac:dyDescent="0.25">
      <c r="B49" s="619"/>
      <c r="C49" s="620"/>
      <c r="D49" s="621"/>
      <c r="E49" s="621"/>
      <c r="F49" s="621"/>
      <c r="G49" s="621"/>
      <c r="H49" s="622"/>
      <c r="I49" s="621"/>
    </row>
    <row r="50" spans="2:9" x14ac:dyDescent="0.25"/>
    <row r="51" spans="2:9" x14ac:dyDescent="0.25"/>
    <row r="52" spans="2:9" x14ac:dyDescent="0.25"/>
    <row r="53" spans="2:9" x14ac:dyDescent="0.25"/>
    <row r="54" spans="2:9" x14ac:dyDescent="0.25"/>
  </sheetData>
  <sheetProtection algorithmName="SHA-512" hashValue="1/aRpQdAEu3BFK0w4yJgYRFbp4c14eyi2U3vDLxvN9e1t3dd9xtVkNJ1vxNRzZeH5oC2STIf3ygmGs2kof+RsQ==" saltValue="NLiHitCQ/GsmrlZ7sp3pFw==" spinCount="100000" sheet="1" objects="1" scenarios="1" selectLockedCells="1"/>
  <mergeCells count="19">
    <mergeCell ref="B2:H4"/>
    <mergeCell ref="D44:G44"/>
    <mergeCell ref="D45:G45"/>
    <mergeCell ref="D47:G47"/>
    <mergeCell ref="D48:G48"/>
    <mergeCell ref="D8:G8"/>
    <mergeCell ref="D12:G12"/>
    <mergeCell ref="D42:G42"/>
    <mergeCell ref="D29:G29"/>
    <mergeCell ref="D14:G14"/>
    <mergeCell ref="D28:G28"/>
    <mergeCell ref="D30:G30"/>
    <mergeCell ref="D39:G39"/>
    <mergeCell ref="D16:G16"/>
    <mergeCell ref="D22:G22"/>
    <mergeCell ref="D31:G31"/>
    <mergeCell ref="C33:G34"/>
    <mergeCell ref="C26:G26"/>
    <mergeCell ref="D46:G46"/>
  </mergeCells>
  <dataValidations count="2">
    <dataValidation allowBlank="1" showInputMessage="1" showErrorMessage="1" errorTitle="Date Input Error" error="1) Policies cannot be priced more than 5 days after expiry.  Contact RGA._x000a__x000a_2) Policies cannot be priced more than 3 months in advance.  Contact RGA." sqref="D14:G14" xr:uid="{00000000-0002-0000-0000-000000000000}"/>
    <dataValidation type="date" operator="lessThanOrEqual" allowBlank="1" showInputMessage="1" showErrorMessage="1" sqref="D28:G29" xr:uid="{18DF2ADB-FF86-4A28-9A0D-4D72C2675679}">
      <formula1>TODAY()</formula1>
    </dataValidation>
  </dataValidations>
  <pageMargins left="0.7" right="0.7" top="0.75" bottom="0.75" header="0.3" footer="0.3"/>
  <pageSetup scale="45"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Button6_Click">
                <anchor moveWithCells="1" sizeWithCells="1">
                  <from>
                    <xdr:col>1</xdr:col>
                    <xdr:colOff>38100</xdr:colOff>
                    <xdr:row>49</xdr:row>
                    <xdr:rowOff>142875</xdr:rowOff>
                  </from>
                  <to>
                    <xdr:col>2</xdr:col>
                    <xdr:colOff>962025</xdr:colOff>
                    <xdr:row>53</xdr:row>
                    <xdr:rowOff>66675</xdr:rowOff>
                  </to>
                </anchor>
              </controlPr>
            </control>
          </mc:Choice>
        </mc:AlternateContent>
        <mc:AlternateContent xmlns:mc="http://schemas.openxmlformats.org/markup-compatibility/2006">
          <mc:Choice Requires="x14">
            <control shapeId="6150" r:id="rId5" name="Button 6">
              <controlPr defaultSize="0" print="0" autoFill="0" autoPict="0" macro="[0]!Button7_Click">
                <anchor moveWithCells="1" sizeWithCells="1">
                  <from>
                    <xdr:col>5</xdr:col>
                    <xdr:colOff>238125</xdr:colOff>
                    <xdr:row>49</xdr:row>
                    <xdr:rowOff>142875</xdr:rowOff>
                  </from>
                  <to>
                    <xdr:col>7</xdr:col>
                    <xdr:colOff>180975</xdr:colOff>
                    <xdr:row>53</xdr:row>
                    <xdr:rowOff>76200</xdr:rowOff>
                  </to>
                </anchor>
              </controlPr>
            </control>
          </mc:Choice>
        </mc:AlternateContent>
        <mc:AlternateContent xmlns:mc="http://schemas.openxmlformats.org/markup-compatibility/2006">
          <mc:Choice Requires="x14">
            <control shapeId="6152" r:id="rId6" name="Drop Down 8">
              <controlPr defaultSize="0" autoLine="0" autoPict="0">
                <anchor moveWithCells="1">
                  <from>
                    <xdr:col>3</xdr:col>
                    <xdr:colOff>9525</xdr:colOff>
                    <xdr:row>21</xdr:row>
                    <xdr:rowOff>0</xdr:rowOff>
                  </from>
                  <to>
                    <xdr:col>7</xdr:col>
                    <xdr:colOff>28575</xdr:colOff>
                    <xdr:row>21</xdr:row>
                    <xdr:rowOff>190500</xdr:rowOff>
                  </to>
                </anchor>
              </controlPr>
            </control>
          </mc:Choice>
        </mc:AlternateContent>
        <mc:AlternateContent xmlns:mc="http://schemas.openxmlformats.org/markup-compatibility/2006">
          <mc:Choice Requires="x14">
            <control shapeId="6155" r:id="rId7" name="Drop Down 11">
              <controlPr defaultSize="0" autoLine="0" autoPict="0">
                <anchor moveWithCells="1">
                  <from>
                    <xdr:col>2</xdr:col>
                    <xdr:colOff>3800475</xdr:colOff>
                    <xdr:row>9</xdr:row>
                    <xdr:rowOff>9525</xdr:rowOff>
                  </from>
                  <to>
                    <xdr:col>7</xdr:col>
                    <xdr:colOff>9525</xdr:colOff>
                    <xdr:row>10</xdr:row>
                    <xdr:rowOff>0</xdr:rowOff>
                  </to>
                </anchor>
              </controlPr>
            </control>
          </mc:Choice>
        </mc:AlternateContent>
        <mc:AlternateContent xmlns:mc="http://schemas.openxmlformats.org/markup-compatibility/2006">
          <mc:Choice Requires="x14">
            <control shapeId="6156" r:id="rId8" name="Drop Down 12">
              <controlPr defaultSize="0" autoLine="0" autoPict="0">
                <anchor moveWithCells="1">
                  <from>
                    <xdr:col>3</xdr:col>
                    <xdr:colOff>0</xdr:colOff>
                    <xdr:row>39</xdr:row>
                    <xdr:rowOff>0</xdr:rowOff>
                  </from>
                  <to>
                    <xdr:col>7</xdr:col>
                    <xdr:colOff>28575</xdr:colOff>
                    <xdr:row>40</xdr:row>
                    <xdr:rowOff>0</xdr:rowOff>
                  </to>
                </anchor>
              </controlPr>
            </control>
          </mc:Choice>
        </mc:AlternateContent>
        <mc:AlternateContent xmlns:mc="http://schemas.openxmlformats.org/markup-compatibility/2006">
          <mc:Choice Requires="x14">
            <control shapeId="6158" r:id="rId9" name="Drop Down 14">
              <controlPr defaultSize="0" autoLine="0" autoPict="0">
                <anchor moveWithCells="1">
                  <from>
                    <xdr:col>3</xdr:col>
                    <xdr:colOff>0</xdr:colOff>
                    <xdr:row>5</xdr:row>
                    <xdr:rowOff>9525</xdr:rowOff>
                  </from>
                  <to>
                    <xdr:col>6</xdr:col>
                    <xdr:colOff>581025</xdr:colOff>
                    <xdr:row>6</xdr:row>
                    <xdr:rowOff>9525</xdr:rowOff>
                  </to>
                </anchor>
              </controlPr>
            </control>
          </mc:Choice>
        </mc:AlternateContent>
        <mc:AlternateContent xmlns:mc="http://schemas.openxmlformats.org/markup-compatibility/2006">
          <mc:Choice Requires="x14">
            <control shapeId="6154" r:id="rId10" name="Drop Down 10">
              <controlPr defaultSize="0" autoLine="0" autoPict="0">
                <anchor moveWithCells="1">
                  <from>
                    <xdr:col>3</xdr:col>
                    <xdr:colOff>0</xdr:colOff>
                    <xdr:row>23</xdr:row>
                    <xdr:rowOff>0</xdr:rowOff>
                  </from>
                  <to>
                    <xdr:col>7</xdr:col>
                    <xdr:colOff>9525</xdr:colOff>
                    <xdr:row>24</xdr:row>
                    <xdr:rowOff>9525</xdr:rowOff>
                  </to>
                </anchor>
              </controlPr>
            </control>
          </mc:Choice>
        </mc:AlternateContent>
        <mc:AlternateContent xmlns:mc="http://schemas.openxmlformats.org/markup-compatibility/2006">
          <mc:Choice Requires="x14">
            <control shapeId="6159" r:id="rId11" name="Drop Down 15">
              <controlPr defaultSize="0" autoLine="0" autoPict="0">
                <anchor moveWithCells="1">
                  <from>
                    <xdr:col>3</xdr:col>
                    <xdr:colOff>0</xdr:colOff>
                    <xdr:row>34</xdr:row>
                    <xdr:rowOff>200025</xdr:rowOff>
                  </from>
                  <to>
                    <xdr:col>7</xdr:col>
                    <xdr:colOff>9525</xdr:colOff>
                    <xdr:row>36</xdr:row>
                    <xdr:rowOff>28575</xdr:rowOff>
                  </to>
                </anchor>
              </controlPr>
            </control>
          </mc:Choice>
        </mc:AlternateContent>
        <mc:AlternateContent xmlns:mc="http://schemas.openxmlformats.org/markup-compatibility/2006">
          <mc:Choice Requires="x14">
            <control shapeId="6157" r:id="rId12" name="Drop Down 13">
              <controlPr defaultSize="0" autoLine="0" autoPict="0">
                <anchor moveWithCells="1">
                  <from>
                    <xdr:col>3</xdr:col>
                    <xdr:colOff>0</xdr:colOff>
                    <xdr:row>19</xdr:row>
                    <xdr:rowOff>0</xdr:rowOff>
                  </from>
                  <to>
                    <xdr:col>6</xdr:col>
                    <xdr:colOff>581025</xdr:colOff>
                    <xdr:row>20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G7116"/>
  <sheetViews>
    <sheetView showGridLines="0" topLeftCell="A3" zoomScale="70" zoomScaleNormal="70" workbookViewId="0">
      <selection activeCell="H6" sqref="H6:H16"/>
    </sheetView>
  </sheetViews>
  <sheetFormatPr defaultColWidth="0" defaultRowHeight="15.75" outlineLevelCol="1" x14ac:dyDescent="0.25"/>
  <cols>
    <col min="1" max="1" width="8.7109375" style="500" customWidth="1"/>
    <col min="2" max="2" width="16.42578125" style="501" customWidth="1"/>
    <col min="3" max="3" width="9.140625" style="502" customWidth="1"/>
    <col min="4" max="4" width="11.7109375" style="497" customWidth="1"/>
    <col min="5" max="5" width="19.42578125" style="497" bestFit="1" customWidth="1"/>
    <col min="6" max="6" width="10.7109375" style="502" customWidth="1"/>
    <col min="7" max="7" width="13" style="497" customWidth="1"/>
    <col min="8" max="8" width="14.7109375" style="497" customWidth="1"/>
    <col min="9" max="9" width="40.28515625" style="497" customWidth="1"/>
    <col min="10" max="10" width="39.85546875" style="497" customWidth="1"/>
    <col min="11" max="11" width="16.7109375" style="500" customWidth="1"/>
    <col min="12" max="12" width="68.42578125" style="497" customWidth="1"/>
    <col min="13" max="13" width="8" customWidth="1"/>
    <col min="14" max="14" width="22.42578125" style="498" bestFit="1" customWidth="1"/>
    <col min="15" max="15" width="10.42578125" style="498" customWidth="1"/>
    <col min="16" max="16" width="7.140625" style="498" bestFit="1" customWidth="1"/>
    <col min="17" max="17" width="12.42578125" style="498" customWidth="1"/>
    <col min="18" max="18" width="7.140625" style="498" bestFit="1" customWidth="1"/>
    <col min="19" max="19" width="11.85546875" style="499" customWidth="1"/>
    <col min="20" max="20" width="7.140625" style="498" bestFit="1" customWidth="1"/>
    <col min="21" max="21" width="11" style="498" customWidth="1"/>
    <col min="22" max="22" width="7.140625" style="498" bestFit="1" customWidth="1"/>
    <col min="23" max="23" width="12.140625" style="498" customWidth="1"/>
    <col min="24" max="24" width="7.140625" style="498" bestFit="1" customWidth="1"/>
    <col min="25" max="25" width="12" style="498" customWidth="1"/>
    <col min="26" max="26" width="7.140625" style="498" bestFit="1" customWidth="1"/>
    <col min="27" max="27" width="12.140625" style="498" customWidth="1"/>
    <col min="28" max="28" width="7.140625" style="498" bestFit="1" customWidth="1"/>
    <col min="29" max="29" width="11.42578125" style="498" customWidth="1"/>
    <col min="30" max="30" width="7.140625" style="498" bestFit="1" customWidth="1"/>
    <col min="31" max="31" width="11.85546875" style="498" customWidth="1"/>
    <col min="32" max="32" width="7.140625" style="498" bestFit="1" customWidth="1"/>
    <col min="33" max="33" width="12.42578125" style="498" customWidth="1"/>
    <col min="34" max="34" width="9.140625" style="498" customWidth="1"/>
    <col min="35" max="35" width="9.140625" style="498" hidden="1" customWidth="1" outlineLevel="1"/>
    <col min="36" max="36" width="10" style="499" hidden="1" customWidth="1" outlineLevel="1"/>
    <col min="37" max="37" width="14" style="498" hidden="1" customWidth="1" outlineLevel="1"/>
    <col min="38" max="38" width="9.140625" style="498" hidden="1" customWidth="1" outlineLevel="1"/>
    <col min="39" max="39" width="10.28515625" style="498" hidden="1" customWidth="1" outlineLevel="1"/>
    <col min="40" max="40" width="18.85546875" style="498" hidden="1" customWidth="1" outlineLevel="1"/>
    <col min="41" max="41" width="15.28515625" style="498" hidden="1" customWidth="1" outlineLevel="1"/>
    <col min="42" max="42" width="8.42578125" style="498" hidden="1" customWidth="1" outlineLevel="1"/>
    <col min="43" max="43" width="15.28515625" style="498" hidden="1" customWidth="1" outlineLevel="1"/>
    <col min="44" max="44" width="28.85546875" style="498" hidden="1" customWidth="1" outlineLevel="1"/>
    <col min="45" max="45" width="11.140625" style="498" hidden="1" customWidth="1" outlineLevel="1"/>
    <col min="46" max="46" width="9.140625" style="498" hidden="1" customWidth="1" outlineLevel="1"/>
    <col min="47" max="51" width="11" style="498" hidden="1" customWidth="1" outlineLevel="1"/>
    <col min="52" max="52" width="2.7109375" style="498" hidden="1" customWidth="1" outlineLevel="1"/>
    <col min="53" max="53" width="9.140625" style="498" hidden="1" customWidth="1" outlineLevel="1"/>
    <col min="54" max="54" width="9.28515625" style="498" hidden="1" customWidth="1" outlineLevel="1"/>
    <col min="55" max="56" width="11.7109375" style="498" hidden="1" customWidth="1" outlineLevel="1"/>
    <col min="57" max="57" width="9.140625" style="498" hidden="1" customWidth="1" outlineLevel="1"/>
    <col min="58" max="59" width="10.85546875" style="498" hidden="1" customWidth="1" outlineLevel="1"/>
    <col min="60" max="60" width="10.42578125" style="498" hidden="1" customWidth="1" outlineLevel="1"/>
    <col min="61" max="61" width="9.140625" style="498" hidden="1" customWidth="1" outlineLevel="1"/>
    <col min="62" max="62" width="12.140625" style="498" hidden="1" customWidth="1" outlineLevel="1"/>
    <col min="63" max="63" width="9.140625" style="498" hidden="1" customWidth="1" outlineLevel="1"/>
    <col min="64" max="64" width="9.140625" style="498" hidden="1" customWidth="1" outlineLevel="1" collapsed="1"/>
    <col min="65" max="65" width="11.7109375" style="498" hidden="1" customWidth="1" outlineLevel="1"/>
    <col min="66" max="67" width="11" style="498" hidden="1" customWidth="1" outlineLevel="1"/>
    <col min="68" max="69" width="0" style="498" hidden="1" customWidth="1" outlineLevel="1"/>
    <col min="70" max="76" width="0" style="498" hidden="1" customWidth="1" outlineLevel="1" collapsed="1"/>
    <col min="77" max="85" width="0" style="498" hidden="1" customWidth="1"/>
    <col min="86" max="16384" width="9.140625" style="498" hidden="1" outlineLevel="1"/>
  </cols>
  <sheetData>
    <row r="1" spans="1:69" ht="28.35" hidden="1" customHeight="1" x14ac:dyDescent="0.25">
      <c r="A1" s="497"/>
      <c r="B1" s="497"/>
      <c r="C1" s="497"/>
      <c r="F1" s="497"/>
      <c r="S1" s="498">
        <f ca="1">IF(A3="",0,1)</f>
        <v>0</v>
      </c>
    </row>
    <row r="2" spans="1:69" ht="28.35" customHeight="1" x14ac:dyDescent="0.25">
      <c r="E2" s="498"/>
      <c r="F2" s="1325" t="s">
        <v>42</v>
      </c>
      <c r="G2" s="1326"/>
      <c r="H2" s="498"/>
      <c r="I2" s="498"/>
      <c r="J2" s="498"/>
      <c r="K2" s="228"/>
      <c r="L2" s="498"/>
      <c r="N2" s="503"/>
      <c r="P2" s="1329" t="str">
        <f>'Benefit Selection - Group'!B9</f>
        <v>Dubai</v>
      </c>
      <c r="Q2" s="1329"/>
      <c r="R2" s="1329" t="str">
        <f>'Benefit Selection - Group'!G9</f>
        <v>Dubai</v>
      </c>
      <c r="S2" s="1329"/>
      <c r="T2" s="1329" t="str">
        <f>'Benefit Selection - Group'!L9</f>
        <v>Dubai</v>
      </c>
      <c r="U2" s="1329"/>
      <c r="V2" s="1329" t="str">
        <f>'Benefit Selection - Group'!Q9</f>
        <v>Dubai</v>
      </c>
      <c r="W2" s="1329"/>
      <c r="X2" s="1329" t="str">
        <f>'Benefit Selection - Group'!V9</f>
        <v>Dubai</v>
      </c>
      <c r="Y2" s="1329"/>
      <c r="Z2" s="1329" t="str">
        <f>'Benefit Selection - Group'!AA9</f>
        <v>Dubai</v>
      </c>
      <c r="AA2" s="1329"/>
      <c r="AB2" s="1329" t="str">
        <f>'Benefit Selection - Group'!AF9</f>
        <v>Dubai</v>
      </c>
      <c r="AC2" s="1329"/>
      <c r="AD2" s="1329" t="str">
        <f>'Benefit Selection - Group'!AK9</f>
        <v>Dubai</v>
      </c>
      <c r="AE2" s="1329"/>
    </row>
    <row r="3" spans="1:69" ht="36.75" customHeight="1" x14ac:dyDescent="0.25">
      <c r="A3" s="1307" t="str">
        <f ca="1">IFERROR(IF(SUM(AU4:AY4)&lt;5*AG23,"Incomplete Member Information",IF(SUM(AM6:AM5331)&gt;0,"Date of Birth has values that are text",IF(SUM(AO6:AO5331)&gt;0,"Date of birth after Policy Eff. Date",IF(SUM(AP6:AP5331)&gt;0,"Gender has to be either 'M' or 'F'","")))),"Insert Member Information")</f>
        <v/>
      </c>
      <c r="B3" s="1308"/>
      <c r="C3" s="1308"/>
      <c r="D3" s="1309"/>
      <c r="E3" s="498"/>
      <c r="F3" s="1310">
        <f>'General Information'!D14</f>
        <v>45742</v>
      </c>
      <c r="G3" s="1311"/>
      <c r="H3" s="498"/>
      <c r="I3" s="498"/>
      <c r="J3" s="498"/>
      <c r="K3" s="228"/>
      <c r="L3" s="498"/>
      <c r="P3" s="969" t="s">
        <v>271</v>
      </c>
      <c r="Q3" s="969" t="s">
        <v>271</v>
      </c>
      <c r="R3" s="969" t="s">
        <v>272</v>
      </c>
      <c r="S3" s="969" t="s">
        <v>272</v>
      </c>
      <c r="T3" s="969" t="s">
        <v>273</v>
      </c>
      <c r="U3" s="969" t="s">
        <v>273</v>
      </c>
      <c r="V3" s="969" t="s">
        <v>274</v>
      </c>
      <c r="W3" s="969" t="s">
        <v>274</v>
      </c>
      <c r="X3" s="969" t="s">
        <v>365</v>
      </c>
      <c r="Y3" s="969" t="s">
        <v>365</v>
      </c>
      <c r="Z3" s="969" t="s">
        <v>62</v>
      </c>
      <c r="AA3" s="969" t="s">
        <v>62</v>
      </c>
      <c r="AB3" s="969" t="s">
        <v>366</v>
      </c>
      <c r="AC3" s="969" t="s">
        <v>366</v>
      </c>
      <c r="AD3" s="969" t="s">
        <v>367</v>
      </c>
      <c r="AE3" s="969" t="s">
        <v>367</v>
      </c>
      <c r="BJ3" s="498" t="str">
        <f>IF(IFERROR(BJ4,0)&gt;0,"ok","Refer to RGA")</f>
        <v>ok</v>
      </c>
    </row>
    <row r="4" spans="1:69" ht="39.75" customHeight="1" x14ac:dyDescent="0.25">
      <c r="E4" s="498"/>
      <c r="F4" s="498"/>
      <c r="G4" s="498"/>
      <c r="H4" s="498"/>
      <c r="I4" s="498"/>
      <c r="J4" s="498"/>
      <c r="K4" s="1082" t="s">
        <v>1245</v>
      </c>
      <c r="L4" s="498"/>
      <c r="P4" s="969" t="str">
        <f t="shared" ref="P4:AE4" si="0">P3&amp;LEFT(P6,1)</f>
        <v>AM</v>
      </c>
      <c r="Q4" s="969" t="str">
        <f t="shared" si="0"/>
        <v>AF</v>
      </c>
      <c r="R4" s="969" t="str">
        <f t="shared" si="0"/>
        <v>BM</v>
      </c>
      <c r="S4" s="969" t="str">
        <f t="shared" si="0"/>
        <v>BF</v>
      </c>
      <c r="T4" s="969" t="str">
        <f t="shared" si="0"/>
        <v>CM</v>
      </c>
      <c r="U4" s="969" t="str">
        <f t="shared" si="0"/>
        <v>CF</v>
      </c>
      <c r="V4" s="969" t="str">
        <f t="shared" si="0"/>
        <v>DM</v>
      </c>
      <c r="W4" s="969" t="str">
        <f t="shared" si="0"/>
        <v>DF</v>
      </c>
      <c r="X4" s="969" t="str">
        <f t="shared" si="0"/>
        <v>EM</v>
      </c>
      <c r="Y4" s="969" t="str">
        <f t="shared" si="0"/>
        <v>EF</v>
      </c>
      <c r="Z4" s="969" t="str">
        <f t="shared" si="0"/>
        <v>FM</v>
      </c>
      <c r="AA4" s="969" t="str">
        <f t="shared" si="0"/>
        <v>FF</v>
      </c>
      <c r="AB4" s="969" t="str">
        <f t="shared" si="0"/>
        <v>GM</v>
      </c>
      <c r="AC4" s="969" t="str">
        <f t="shared" si="0"/>
        <v>GF</v>
      </c>
      <c r="AD4" s="969" t="str">
        <f t="shared" si="0"/>
        <v>HM</v>
      </c>
      <c r="AE4" s="969" t="str">
        <f t="shared" si="0"/>
        <v>HF</v>
      </c>
      <c r="AU4" s="498">
        <f>SUM(AU6:AU5331)</f>
        <v>11</v>
      </c>
      <c r="AV4" s="498">
        <f>SUM(AV6:AV5331)</f>
        <v>11</v>
      </c>
      <c r="AW4" s="498">
        <f>SUM(AW6:AW5331)</f>
        <v>11</v>
      </c>
      <c r="AX4" s="498">
        <f>SUM(AX6:AX5331)</f>
        <v>11</v>
      </c>
      <c r="AY4" s="498">
        <f>SUM(AY6:AY5331)</f>
        <v>11</v>
      </c>
      <c r="BI4" s="503"/>
      <c r="BJ4" s="748">
        <f>SUM(BJ6:BJ5331)</f>
        <v>25183</v>
      </c>
    </row>
    <row r="5" spans="1:69" s="504" customFormat="1" ht="35.450000000000003" customHeight="1" x14ac:dyDescent="0.25">
      <c r="A5" s="1014" t="s">
        <v>43</v>
      </c>
      <c r="B5" s="1015" t="s">
        <v>44</v>
      </c>
      <c r="C5" s="1016" t="s">
        <v>45</v>
      </c>
      <c r="D5" s="1015" t="s">
        <v>46</v>
      </c>
      <c r="E5" s="1015" t="s">
        <v>47</v>
      </c>
      <c r="F5" s="1015" t="s">
        <v>48</v>
      </c>
      <c r="G5" s="1015" t="s">
        <v>49</v>
      </c>
      <c r="H5" s="1015" t="s">
        <v>50</v>
      </c>
      <c r="I5" s="1015" t="s">
        <v>1181</v>
      </c>
      <c r="J5" s="1015" t="s">
        <v>1182</v>
      </c>
      <c r="K5" s="1015" t="s">
        <v>1192</v>
      </c>
      <c r="L5" s="1034" t="s">
        <v>1196</v>
      </c>
      <c r="M5"/>
      <c r="N5" s="1312" t="s">
        <v>51</v>
      </c>
      <c r="O5" s="1312"/>
      <c r="P5" s="1313" t="s">
        <v>52</v>
      </c>
      <c r="Q5" s="1314"/>
      <c r="R5" s="1313" t="s">
        <v>53</v>
      </c>
      <c r="S5" s="1314"/>
      <c r="T5" s="1313" t="s">
        <v>54</v>
      </c>
      <c r="U5" s="1314"/>
      <c r="V5" s="1313" t="s">
        <v>55</v>
      </c>
      <c r="W5" s="1314"/>
      <c r="X5" s="1313" t="s">
        <v>56</v>
      </c>
      <c r="Y5" s="1314"/>
      <c r="Z5" s="1313" t="s">
        <v>362</v>
      </c>
      <c r="AA5" s="1314"/>
      <c r="AB5" s="1313" t="s">
        <v>363</v>
      </c>
      <c r="AC5" s="1314"/>
      <c r="AD5" s="1313" t="s">
        <v>364</v>
      </c>
      <c r="AE5" s="1314"/>
      <c r="AF5" s="1315" t="s">
        <v>57</v>
      </c>
      <c r="AG5" s="1312"/>
      <c r="AJ5" s="498"/>
      <c r="AM5" s="504" t="s">
        <v>58</v>
      </c>
      <c r="AN5" s="504" t="s">
        <v>59</v>
      </c>
      <c r="AO5" s="504" t="s">
        <v>60</v>
      </c>
      <c r="AP5" s="504" t="s">
        <v>45</v>
      </c>
      <c r="AQ5" s="504" t="s">
        <v>50</v>
      </c>
      <c r="AU5" s="504" t="s">
        <v>61</v>
      </c>
      <c r="AV5" s="504" t="s">
        <v>61</v>
      </c>
      <c r="AW5" s="504" t="s">
        <v>61</v>
      </c>
      <c r="AX5" s="504" t="s">
        <v>61</v>
      </c>
      <c r="AY5" s="504" t="s">
        <v>61</v>
      </c>
      <c r="BB5" s="504" t="s">
        <v>937</v>
      </c>
      <c r="BC5" s="741" t="s">
        <v>945</v>
      </c>
      <c r="BD5" s="741" t="s">
        <v>938</v>
      </c>
      <c r="BE5" s="741" t="s">
        <v>31</v>
      </c>
      <c r="BF5" s="742" t="s">
        <v>940</v>
      </c>
      <c r="BG5" s="742" t="s">
        <v>946</v>
      </c>
      <c r="BH5" s="742" t="s">
        <v>941</v>
      </c>
      <c r="BI5" s="742" t="s">
        <v>45</v>
      </c>
      <c r="BJ5" s="742" t="s">
        <v>285</v>
      </c>
      <c r="BK5" s="504" t="s">
        <v>1077</v>
      </c>
      <c r="BL5" s="504" t="s">
        <v>1078</v>
      </c>
      <c r="BO5" s="504" t="s">
        <v>65</v>
      </c>
      <c r="BP5" s="504" t="s">
        <v>66</v>
      </c>
    </row>
    <row r="6" spans="1:69" x14ac:dyDescent="0.25">
      <c r="A6" s="762">
        <v>1</v>
      </c>
      <c r="B6" s="229">
        <v>27915</v>
      </c>
      <c r="C6" s="223" t="s">
        <v>1398</v>
      </c>
      <c r="D6" s="224" t="s">
        <v>271</v>
      </c>
      <c r="E6" s="225" t="s">
        <v>275</v>
      </c>
      <c r="F6" s="1036">
        <f t="shared" ref="F6:F15" si="1">IF(C6="","",IF($B6="","",((YEAR($F$3)-YEAR($B6))+(MONTH($F$3)-MONTH($B6))/12+(DAY($F$3)-DAY($B6))/(DATE(YEAR($F$3),12,31)-DATE(YEAR($F$3),1,1)+1))))</f>
        <v>48.810273972602737</v>
      </c>
      <c r="G6" s="1037">
        <f>IF(D6="","",MAX(0,ROUNDUP(F6,0)))</f>
        <v>49</v>
      </c>
      <c r="H6" s="225" t="s">
        <v>1400</v>
      </c>
      <c r="I6" s="1013"/>
      <c r="J6" s="1013"/>
      <c r="K6" s="1028"/>
      <c r="L6" s="1035" t="str">
        <f t="shared" ref="L6" si="2">IF(AND(E6="Child",H6="Married"),"Check the Marital Status of the Child. ",IF(AND(E6="Child",F6&gt;18),"Child Age exceed 18 years. ",IF(AND(E6="Spouse",H6="Single"),"Spouse is selected as Single. ","")))&amp;IF(K6&gt;0,"UW Loading has been Applied","")</f>
        <v/>
      </c>
      <c r="N6" s="226" t="s">
        <v>63</v>
      </c>
      <c r="O6" s="226" t="s">
        <v>64</v>
      </c>
      <c r="P6" s="227" t="s">
        <v>65</v>
      </c>
      <c r="Q6" s="227" t="s">
        <v>66</v>
      </c>
      <c r="R6" s="227" t="s">
        <v>65</v>
      </c>
      <c r="S6" s="227" t="s">
        <v>66</v>
      </c>
      <c r="T6" s="227" t="s">
        <v>65</v>
      </c>
      <c r="U6" s="227" t="s">
        <v>66</v>
      </c>
      <c r="V6" s="227" t="s">
        <v>65</v>
      </c>
      <c r="W6" s="227" t="s">
        <v>66</v>
      </c>
      <c r="X6" s="227" t="s">
        <v>65</v>
      </c>
      <c r="Y6" s="227" t="s">
        <v>66</v>
      </c>
      <c r="Z6" s="227" t="s">
        <v>65</v>
      </c>
      <c r="AA6" s="227" t="s">
        <v>66</v>
      </c>
      <c r="AB6" s="227" t="s">
        <v>65</v>
      </c>
      <c r="AC6" s="227" t="s">
        <v>66</v>
      </c>
      <c r="AD6" s="227" t="s">
        <v>65</v>
      </c>
      <c r="AE6" s="227" t="s">
        <v>66</v>
      </c>
      <c r="AF6" s="227" t="s">
        <v>65</v>
      </c>
      <c r="AG6" s="227" t="s">
        <v>66</v>
      </c>
      <c r="AJ6" s="498" t="s">
        <v>67</v>
      </c>
      <c r="AK6" s="505">
        <f ca="1">AK7-(70*365)</f>
        <v>20193</v>
      </c>
      <c r="AM6" s="498">
        <f t="shared" ref="AM6:AM69" si="3">IF(ISTEXT(B6),1,0)</f>
        <v>0</v>
      </c>
      <c r="AN6" s="498">
        <f t="shared" ref="AN6:AN69" ca="1" si="4">IF(ISBLANK(B6),0,IF(B6&lt;$AK$6,1,0))</f>
        <v>0</v>
      </c>
      <c r="AO6" s="498">
        <f t="shared" ref="AO6:AO69" ca="1" si="5">IF(ISBLANK(B6),0,IF(B6&gt;$AK$7,1,0))</f>
        <v>0</v>
      </c>
      <c r="AP6" s="498">
        <f t="shared" ref="AP6:AP37" si="6">IF(ISBLANK($B6),0,IF(OR($C6="M",$C6="F"),0,1))</f>
        <v>0</v>
      </c>
      <c r="AQ6" s="498">
        <f t="shared" ref="AQ6:AQ37" si="7">IF(ISBLANK($B6),0,IF(OR($H6="Single",$H6="Married"),0,1))</f>
        <v>0</v>
      </c>
      <c r="AR6" s="498" t="s">
        <v>68</v>
      </c>
      <c r="AS6" s="506">
        <f>AG23</f>
        <v>11</v>
      </c>
      <c r="AU6" s="498">
        <f t="shared" ref="AU6:AU69" si="8">IF(ISBLANK(B6),0,1)</f>
        <v>1</v>
      </c>
      <c r="AV6" s="498">
        <f t="shared" ref="AV6:AV69" si="9">IF(ISBLANK(C6),0,1)</f>
        <v>1</v>
      </c>
      <c r="AW6" s="498">
        <f t="shared" ref="AW6:AW69" si="10">IF(ISBLANK(D6),0,1)</f>
        <v>1</v>
      </c>
      <c r="AX6" s="498">
        <f t="shared" ref="AX6:AX69" si="11">IF(ISBLANK(E6),0,1)</f>
        <v>1</v>
      </c>
      <c r="AY6" s="498">
        <f t="shared" ref="AY6:AY69" si="12">IF(ISBLANK(H6),0,1)</f>
        <v>1</v>
      </c>
      <c r="AZ6" s="498" t="s">
        <v>69</v>
      </c>
      <c r="BB6" s="498" t="str">
        <f t="shared" ref="BB6:BB69" si="13">IF(E6="Principal","Principal",IF(E6="","","Other"))</f>
        <v>Principal</v>
      </c>
      <c r="BC6" s="743" t="str">
        <f t="shared" ref="BC6:BC69" si="14">IF(D6="","",D6)</f>
        <v>A</v>
      </c>
      <c r="BD6" s="743" t="str">
        <f t="shared" ref="BD6:BD69" si="15">IF(E6="Principal","Employee",IF(E6="","","Dependent"))</f>
        <v>Employee</v>
      </c>
      <c r="BE6" s="743" t="str">
        <f>IF(D6="","",VLOOKUP(D6,'General Basis'!$J$39:$K$46,2,0))</f>
        <v>RN3</v>
      </c>
      <c r="BF6" s="744" t="str">
        <f>IF(D6="","",VLOOKUP(D6,'General Basis'!$J$39:$L$46,3,0))</f>
        <v>Dubai</v>
      </c>
      <c r="BG6" s="744" t="str">
        <f>BC6&amp;BI6</f>
        <v>AMale</v>
      </c>
      <c r="BH6" s="744" t="str">
        <f>IF(G6="","",IF(BF6="Abu Dhabi",IF(G6&lt;18,'General Basis'!$C$39,IF(G6&lt;41,'General Basis'!$C$40,IF(G6&lt;60,'General Basis'!$C$41,IF(G6&lt;65,'General Basis'!$C$42,'General Basis'!$C$43)))),IF(G6&lt;11,'General Basis'!$B$39,IF(G6&lt;18,'General Basis'!$B$40,IF(G6&lt;26,'General Basis'!$B$41,IF(G6&lt;31,'General Basis'!$B$42,IF(G6&lt;36,'General Basis'!$B$43,IF(G6&lt;41,'General Basis'!$B$44,IF(G6&lt;46,'General Basis'!$B$45,IF(G6&lt;51,'General Basis'!$B$46,IF(G6&lt;56,'General Basis'!$B$47,IF(G6&lt;60,'General Basis'!$B$48,IF(G6&lt;65,'General Basis'!$B$49,'General Basis'!$B$50)))))))))))))</f>
        <v>46 - 50</v>
      </c>
      <c r="BI6" s="744" t="str">
        <f t="shared" ref="BI6:BI69" si="16">IF(C6="","",IF(C6="M","Male","Female"))</f>
        <v>Male</v>
      </c>
      <c r="BJ6" s="747">
        <f>IF(BD6="","",IF(BF6="Abu Dhabi",BK6,BL6))</f>
        <v>2939</v>
      </c>
      <c r="BK6" s="498" t="str">
        <f t="shared" ref="BK6:BK69" si="17">IF(BD6="","",IF(AND(BD6="Employee",BI6="Male",BF6="Abu Dhabi",BE6=GN_Plus),VLOOKUP(BH6,AUH_MALE_EMP,2,0),IF(AND(BD6="Employee",BI6="Male",BF6="Abu Dhabi",BE6=GN),VLOOKUP(BH6,AUH_MALE_EMP,3,0),IF(AND(BD6="Employee",BI6="Male",BF6="Abu Dhabi",BE6=RN_Plus),VLOOKUP(BH6,AUH_MALE_EMP,4,0),IF(AND(BD6="Employee",BI6="Male",BF6="Abu Dhabi",BE6=RN),VLOOKUP(BH6,AUH_MALE_EMP,5,0),IF(AND(BD6="Employee",BI6="Male",BF6="Abu Dhabi",BE6=RN_2),VLOOKUP(BH6,AUH_MALE_EMP,6,0),IF(AND(BD6="Employee",BI6="Male",BF6="Abu Dhabi",BE6=RN2_minus),VLOOKUP(BH6,AUH_MALE_EMP,7,0),IF(AND(BD6="Employee",BI6="Male",BF6="Abu Dhabi",BE6=RN_3),VLOOKUP(BH6,AUH_MALE_EMP,8,0),IF(AND(BD6="Employee",BI6="Male",BF6="Abu Dhabi",BE6=VN),VLOOKUP(BH6,AUH_MALE_EMP,9,0),IF(BD6="","",IF(AND(BD6="Employee",BI6="Female",BF6="Abu Dhabi",BE6=GN_Plus),VLOOKUP(BH6,AUH_FEMALE_EMP,2,0),IF(AND(BD6="Employee",BI6="Female",BF6="Abu Dhabi",BE6=GN),VLOOKUP(BH6,AUH_FEMALE_EMP,3,0),IF(AND(BD6="Employee",BI6="Female",BF6="Abu Dhabi",BE6=RN_Plus),VLOOKUP(BH6,AUH_FEMALE_EMP,4,0),IF(AND(BD6="Employee",BI6="Female",BF6="Abu Dhabi",BE6=RN),VLOOKUP(BH6,AUH_FEMALE_EMP,5,0),IF(AND(BD6="Employee",BI6="Female",BF6="Abu Dhabi",BE6=RN_2),VLOOKUP(BH6,AUH_FEMALE_EMP,6,0),IF(AND(BD6="Employee",BI6="Female",BF6="Abu Dhabi",BE6=RN2_minus),VLOOKUP(BH6,AUH_FEMALE_EMP,7,0),IF(AND(BD6="Employee",BI6="Female",BF6="Abu Dhabi",BE6=RN_3),VLOOKUP(BH6,AUH_FEMALE_EMP,8,0),IF(AND(BD6="Employee",BI6="Female",BF6="Abu Dhabi",BE6=VN),VLOOKUP(BH6,AUH_FEMALE_EMP,9,0),IF(BD6="","",IF(AND(BD6="Dependent",BI6="Male",BF6="Abu Dhabi",BE6=GN_Plus),VLOOKUP(BH6,AUH_MALE_DEP,2,0),IF(AND(BD6="Dependent",BI6="Male",BF6="Abu Dhabi",BE6=GN),VLOOKUP(BH6,AUH_MALE_DEP,3,0),IF(AND(BD6="Dependent",BI6="Male",BF6="Abu Dhabi",BE6=RN_Plus),VLOOKUP(BH6,AUH_MALE_DEP,4,0),IF(AND(BD6="Dependent",BI6="Male",BF6="Abu Dhabi",BE6=RN),VLOOKUP(BH6,AUH_MALE_DEP,5,0),IF(AND(BD6="Dependent",BI6="Male",BF6="Abu Dhabi",BE6=RN_2),VLOOKUP(BH6,AUH_MALE_DEP,6,0),IF(AND(BD6="Dependent",BI6="Male",BF6="Abu Dhabi",BE6=RN2_minus),VLOOKUP(BH6,AUH_MALE_DEP,7,0),IF(AND(BD6="Dependent",BI6="Male",BF6="Abu Dhabi",BE6=RN_3),VLOOKUP(BH6,AUH_MALE_DEP,8,0),IF(AND(BD6="Dependent",BI6="Male",BF6="Abu Dhabi",BE6=VN),VLOOKUP(BH6,AUH_MALE_DEP,9,0),IF(BD6="","",IF(AND(BD6="Dependent",BI6="Female",BF6="Abu Dhabi",BE6=GN_Plus),VLOOKUP(BH6,AUH_FEMALE_DEP,2,0),IF(AND(BD6="Dependent",BI6="Female",BF6="Abu Dhabi",BE6=GN),VLOOKUP(BH6,AUH_FEMALE_DEP,3,0),IF(AND(BD6="Dependent",BI6="Female",BF6="Abu Dhabi",BE6=RN_Plus),VLOOKUP(BH6,AUH_FEMALE_DEP,4,0),IF(AND(BD6="Dependent",BI6="Female",BF6="Abu Dhabi",BE6=RN),VLOOKUP(BH6,AUH_FEMALE_DEP,5,0),IF(AND(BD6="Dependent",BI6="Female",BF6="Abu Dhabi",BE6=RN_2),VLOOKUP(BH6,AUH_FEMALE_DEP,6,0),IF(AND(BD6="Dependent",BI6="Female",BF6="Abu Dhabi",BE6=RN2_minus),VLOOKUP(BH6,AUH_FEMALE_DEP,7,0),IF(AND(BD6="Dependent",BI6="Female",BF6="Abu Dhabi",BE6=RN_3),VLOOKUP(BH6,AUH_FEMALE_DEP,8,0),IF(AND(BD6="Dependent",BI6="Female",BF6="Abu Dhabi",BE6=VN),VLOOKUP(BH6,AUH_FEMALE_DEP,9,0),"ABC"))))))))))))))))))))))))))))))))))))</f>
        <v>ABC</v>
      </c>
      <c r="BL6" s="498">
        <f t="shared" ref="BL6:BL69" si="18">IF(BD6="","",IF(AND(BD6="Employee",BI6="Male",BF6="Dubai",BE6=GN_Plus),VLOOKUP(BH6,DXB_MALE_EMP,2,0),IF(AND(BD6="Employee",BI6="Male",BF6="Dubai",BE6=GN),VLOOKUP(BH6,DXB_MALE_EMP,3,0),IF(AND(BD6="Employee",BI6="Male",BF6="Dubai",BE6=RN_Plus),VLOOKUP(BH6,DXB_MALE_EMP,4,0),IF(AND(BD6="Employee",BI6="Male",BF6="Dubai",BE6=RN),VLOOKUP(BH6,DXB_MALE_EMP,5,0),IF(AND(BD6="Employee",BI6="Male",BF6="Dubai",BE6=RN_2),VLOOKUP(BH6,DXB_MALE_EMP,6,0),IF(AND(BD6="Employee",BI6="Male",BF6="Dubai",BE6=RN2_minus),VLOOKUP(BH6,DXB_MALE_EMP,7,0),IF(AND(BD6="Employee",BI6="Male",BF6="Dubai",BE6=RN_3),VLOOKUP(BH6,DXB_MALE_EMP,8,0),IF(AND(BD6="Employee",BI6="Male",BF6="Dubai",BE6=VN),VLOOKUP(BH6,DXB_MALE_EMP,9,0),IF(BD6="","",IF(AND(BD6="Employee",BI6="Female",BF6="Dubai",BE6=GN_Plus),VLOOKUP(BH6,DXB_FEMALE_EMP,2,0),IF(AND(BD6="Employee",BI6="Female",BF6="Dubai",BE6=GN),VLOOKUP(BH6,DXB_FEMALE_EMP,3,0),IF(AND(BD6="Employee",BI6="Female",BF6="Dubai",BE6=RN_Plus),VLOOKUP(BH6,DXB_FEMALE_EMP,4,0),IF(AND(BD6="Employee",BI6="Female",BF6="Dubai",BE6=RN),VLOOKUP(BH6,DXB_FEMALE_EMP,5,0),IF(AND(BD6="Employee",BI6="Female",BF6="Dubai",BE6=RN_2),VLOOKUP(BH6,DXB_FEMALE_EMP,6,0),IF(AND(BD6="Employee",BI6="Female",BF6="Dubai",BE6=RN2_minus),VLOOKUP(BH6,DXB_FEMALE_EMP,7,0),IF(AND(BD6="Employee",BI6="Female",BF6="Dubai",BE6=RN_3),VLOOKUP(BH6,DXB_FEMALE_EMP,8,0),IF(AND(BD6="Employee",BI6="Female",BF6="Dubai",BE6=VN),VLOOKUP(BH6,DXB_FEMALE_EMP,9,0),IF(BD6="","",IF(AND(BD6="Dependent",BI6="Male",BF6="Dubai",BE6=GN_Plus),VLOOKUP(BH6,DXB_MALE_DEP,2,0),IF(AND(BD6="Dependent",BI6="Male",BF6="Dubai",BE6=GN),VLOOKUP(BH6,DXB_MALE_DEP,3,0),IF(AND(BD6="Dependent",BI6="Male",BF6="Dubai",BE6=RN_Plus),VLOOKUP(BH6,DXB_MALE_DEP,4,0),IF(AND(BD6="Dependent",BI6="Male",BF6="Dubai",BE6=RN),VLOOKUP(BH6,DXB_MALE_DEP,5,0),IF(AND(BD6="Dependent",BI6="Male",BF6="Dubai",BE6=RN_2),VLOOKUP(BH6,DXB_MALE_DEP,6,0),IF(AND(BD6="Dependent",BI6="Male",BF6="Dubai",BE6=RN2_minus),VLOOKUP(BH6,DXB_MALE_DEP,7,0),IF(AND(BD6="Dependent",BI6="Male",BF6="Dubai",BE6=RN_3),VLOOKUP(BH6,DXB_MALE_DEP,8,0),IF(AND(BD6="Dependent",BI6="Male",BF6="Dubai",BE6=VN),VLOOKUP(BH6,DXB_MALE_DEP,9,0),IF(BD6="","",IF(AND(BD6="Dependent",BI6="Female",BF6="Dubai",BE6=GN_Plus),VLOOKUP(BH6,DXB_FEMALE_DEP,2,0),IF(AND(BD6="Dependent",BI6="Female",BF6="Dubai",BE6=GN),VLOOKUP(BH6,DXB_FEMALE_DEP,3,0),IF(AND(BD6="Dependent",BI6="Female",BF6="Dubai",BE6=RN_Plus),VLOOKUP(BH6,DXB_FEMALE_DEP,4,0),IF(AND(BD6="Dependent",BI6="Female",BF6="Dubai",BE6=RN),VLOOKUP(BH6,DXB_FEMALE_DEP,5,0),IF(AND(BD6="Dependent",BI6="Female",BF6="Dubai",BE6=RN_2),VLOOKUP(BH6,DXB_FEMALE_DEP,6,0),IF(AND(BD6="Dependent",BI6="Female",BF6="Dubai",BE6=RN2_minus),VLOOKUP(BH6,DXB_FEMALE_DEP,7,0),IF(AND(BD6="Dependent",BI6="Female",BF6="Dubai",BE6=RN_3),VLOOKUP(BH6,DXB_FEMALE_DEP,8,0),IF(AND(BD6="Dependent",BI6="Female",BF6="Dubai",BE6=VN),VLOOKUP(BH6,DXB_FEMALE_DEP,9,0),"ABC"))))))))))))))))))))))))))))))))))))</f>
        <v>2939</v>
      </c>
      <c r="BN6" s="498" t="s">
        <v>957</v>
      </c>
      <c r="BO6" s="498" t="str">
        <f>IF(BD6="","",IF(AND(BD6="Employee",BI6="Male",BF6="Abu Dhabi",BE6=GN_Plus),VLOOKUP(BH6,AUH_MALE_EMP,2,0),IF(BD6="","",IF(AND(BD6="Employee",BI6="Male",BF6="Abu Dhabi",BE6=GN),VLOOKUP(BH6,AUH_MALE_EMP,3,0),IF(BD6="","",IF(AND(BD6="Employee",BI6="Male",BF6="Abu Dhabi",BE6=RN_Plus),VLOOKUP(BH6,AUH_MALE_EMP,4,0),IF(BD6="","",IF(AND(BD6="Employee",BI6="Male",BF6="Abu Dhabi",BE6=RN),VLOOKUP(BH6,AUH_MALE_EMP,5,0),IF(BD6="","",IF(AND(BD6="Employee",BI6="Male",BF6="Abu Dhabi",BE6=RN_2),VLOOKUP(BH6,AUH_MALE_EMP,6,0),IF(BD6="","",IF(AND(BD6="Employee",BI6="Male",BF6="Abu Dhabi",BE6=RN2_minus),VLOOKUP(BH6,AUH_MALE_EMP,7,0),IF(BD6="","",IF(AND(BD6="Employee",BI6="Male",BF6="Abu Dhabi",BE6=RN_3),VLOOKUP(BH6,AUH_MALE_EMP,8,0),IF(BD6="","",IF(AND(BD6="Employee",BI6="Male",BF6="Abu Dhabi",BE6=VN),VLOOKUP(BH6,AUH_MALE_EMP,9,0),"ABC"))))))))))))))))</f>
        <v>ABC</v>
      </c>
      <c r="BP6" s="498" t="str">
        <f>IF(BD6="","",IF(AND(BD6="Employee",BI6="Female",BF6="Abu Dhabi",BE6=GN_Plus),VLOOKUP(BH6,AUH_FEMALE_EMP,2,0),IF(BD6="","",IF(AND(BD6="Employee",BI6="Female",BF6="Abu Dhabi",BE6=GN),VLOOKUP(BH6,AUH_FEMALE_EMP,3,0),IF(BD6="","",IF(AND(BD6="Employee",BI6="Female",BF6="Abu Dhabi",BE6=RN_Plus),VLOOKUP(BH6,AUH_FEMALE_EMP,4,0),IF(BD6="","",IF(AND(BD6="Employee",BI6="Female",BF6="Abu Dhabi",BE6=RN),VLOOKUP(BH6,AUH_FEMALE_EMP,5,0),IF(BD6="","",IF(AND(BD6="Employee",BI6="Female",BF6="Abu Dhabi",BE6=RN_2),VLOOKUP(BH6,AUH_FEMALE_EMP,6,0),IF(BD6="","",IF(AND(BD6="Employee",BI6="Female",BF6="Abu Dhabi",BE6=RN2_minus),VLOOKUP(BH6,AUH_FEMALE_EMP,7,0),IF(BD6="","",IF(AND(BD6="Employee",BI6="Female",BF6="Abu Dhabi",BE6=RN_3),VLOOKUP(BH6,AUH_FEMALE_EMP,8,0),IF(BD6="","",IF(AND(BD6="Employee",BI6="Female",BF6="Abu Dhabi",BE6=VN),VLOOKUP(BH6,AUH_FEMALE_EMP,9,0),"ABC"))))))))))))))))</f>
        <v>ABC</v>
      </c>
      <c r="BQ6" s="498" t="s">
        <v>1077</v>
      </c>
    </row>
    <row r="7" spans="1:69" x14ac:dyDescent="0.25">
      <c r="A7" s="762">
        <f t="shared" ref="A7:A38" si="19">+A6+1</f>
        <v>2</v>
      </c>
      <c r="B7" s="229">
        <v>28770</v>
      </c>
      <c r="C7" s="223" t="s">
        <v>62</v>
      </c>
      <c r="D7" s="224" t="s">
        <v>271</v>
      </c>
      <c r="E7" s="225" t="s">
        <v>1399</v>
      </c>
      <c r="F7" s="1036">
        <f t="shared" si="1"/>
        <v>46.468721461187215</v>
      </c>
      <c r="G7" s="1037">
        <f t="shared" ref="G7:G70" si="20">IF(D7="","",MAX(0,ROUNDUP(F7,0)))</f>
        <v>47</v>
      </c>
      <c r="H7" s="225" t="s">
        <v>1400</v>
      </c>
      <c r="I7" s="1013"/>
      <c r="J7" s="1013"/>
      <c r="K7" s="1028"/>
      <c r="L7" s="1035" t="str">
        <f>IF(AND(E7="Child",H7="Married"),"Check the Marital Status of the Child. ",IF(AND(E7="Child",F7&gt;18),"Child Age exceed 18 years. ",IF(AND(E7="Spouse",H7="Single"),"Spouse is selected as Single. ","")))&amp;IF(K7&gt;0,"UW Loading has been Applied","")</f>
        <v/>
      </c>
      <c r="N7" s="730">
        <v>0</v>
      </c>
      <c r="O7" s="730">
        <v>10</v>
      </c>
      <c r="P7" s="1017">
        <f t="array" ref="P7">+SUM(IF(($C$6:$C$5331=LEFT(P$6,1))+($G$6:$G$5331&gt;=$N7)+($G$6:$G$5331&lt;($O7+1))+($D$6:$D$5331=P$3)=4,1))</f>
        <v>1</v>
      </c>
      <c r="Q7" s="1017">
        <f t="array" ref="Q7">+SUM(IF(($C$6:$C$5331=LEFT(Q$6,1))+($G$6:$G$5331&gt;=$N7)+($G$6:$G$5331&lt;($O7+1))+($D$6:$D$5331=Q$3)=4,1))</f>
        <v>1</v>
      </c>
      <c r="R7" s="1017">
        <f t="array" ref="R7">+SUM(IF(($C$6:$C$5331=LEFT(R$6,1))+($G$6:$G$5331&gt;=$N7)+($G$6:$G$5331&lt;($O7+1))+($D$6:$D$5331=R$3)=4,1))</f>
        <v>0</v>
      </c>
      <c r="S7" s="1017">
        <f t="array" ref="S7">+SUM(IF(($C$6:$C$5331=LEFT(S$6,1))+($G$6:$G$5331&gt;=$N7)+($G$6:$G$5331&lt;($O7+1))+($D$6:$D$5331=S$3)=4,1))</f>
        <v>0</v>
      </c>
      <c r="T7" s="1017">
        <f t="array" ref="T7">+SUM(IF(($C$6:$C$5331=LEFT(T$6,1))+($G$6:$G$5331&gt;=$N7)+($G$6:$G$5331&lt;($O7+1))+($D$6:$D$5331=T$3)=4,1))</f>
        <v>0</v>
      </c>
      <c r="U7" s="1017">
        <f t="array" ref="U7">+SUM(IF(($C$6:$C$5331=LEFT(U$6,1))+($G$6:$G$5331&gt;=$N7)+($G$6:$G$5331&lt;($O7+1))+($D$6:$D$5331=U$3)=4,1))</f>
        <v>0</v>
      </c>
      <c r="V7" s="1017">
        <f t="array" ref="V7">+SUM(IF(($C$6:$C$5331=LEFT(V$6,1))+($G$6:$G$5331&gt;=$N7)+($G$6:$G$5331&lt;($O7+1))+($D$6:$D$5331=V$3)=4,1))</f>
        <v>0</v>
      </c>
      <c r="W7" s="1017">
        <f t="array" ref="W7">+SUM(IF(($C$6:$C$5331=LEFT(W$6,1))+($G$6:$G$5331&gt;=$N7)+($G$6:$G$5331&lt;($O7+1))+($D$6:$D$5331=W$3)=4,1))</f>
        <v>0</v>
      </c>
      <c r="X7" s="1017">
        <f t="array" ref="X7">+SUM(IF(($C$6:$C$5331=LEFT(X$6,1))+($G$6:$G$5331&gt;=$N7)+($G$6:$G$5331&lt;($O7+1))+($D$6:$D$5331=X$3)=4,1))</f>
        <v>0</v>
      </c>
      <c r="Y7" s="1017">
        <f t="array" ref="Y7">+SUM(IF(($C$6:$C$5331=LEFT(Y$6,1))+($G$6:$G$5331&gt;=$N7)+($G$6:$G$5331&lt;($O7+1))+($D$6:$D$5331=Y$3)=4,1))</f>
        <v>0</v>
      </c>
      <c r="Z7" s="1017">
        <f t="array" ref="Z7">+SUM(IF(($C$6:$C$5331=LEFT(Z$6,1))+($G$6:$G$5331&gt;=$N7)+($G$6:$G$5331&lt;($O7+1))+($D$6:$D$5331=Z$3)=4,1))</f>
        <v>0</v>
      </c>
      <c r="AA7" s="1017">
        <f t="array" ref="AA7">+SUM(IF(($C$6:$C$5331=LEFT(AA$6,1))+($G$6:$G$5331&gt;=$N7)+($G$6:$G$5331&lt;($O7+1))+($D$6:$D$5331=AA$3)=4,1))</f>
        <v>0</v>
      </c>
      <c r="AB7" s="1017">
        <f t="array" ref="AB7">+SUM(IF(($C$6:$C$5331=LEFT(AB$6,1))+($G$6:$G$5331&gt;=$N7)+($G$6:$G$5331&lt;($O7+1))+($D$6:$D$5331=AB$3)=4,1))</f>
        <v>0</v>
      </c>
      <c r="AC7" s="1017">
        <f t="array" ref="AC7">+SUM(IF(($C$6:$C$5331=LEFT(AC$6,1))+($G$6:$G$5331&gt;=$N7)+($G$6:$G$5331&lt;($O7+1))+($D$6:$D$5331=AC$3)=4,1))</f>
        <v>0</v>
      </c>
      <c r="AD7" s="1017">
        <f t="array" ref="AD7">+SUM(IF(($C$6:$C$5331=LEFT(AD$6,1))+($G$6:$G$5331&gt;=$N7)+($G$6:$G$5331&lt;($O7+1))+($D$6:$D$5331=AD$3)=4,1))</f>
        <v>0</v>
      </c>
      <c r="AE7" s="1017">
        <f t="array" ref="AE7">+SUM(IF(($C$6:$C$5331=LEFT(AE$6,1))+($G$6:$G$5331&gt;=$N7)+($G$6:$G$5331&lt;($O7+1))+($D$6:$D$5331=AE$3)=4,1))</f>
        <v>0</v>
      </c>
      <c r="AF7" s="1017">
        <f t="shared" ref="AF7:AF18" si="21">P7+R7+T7+V7+X7+Z7+AB7+AD7</f>
        <v>1</v>
      </c>
      <c r="AG7" s="1017">
        <f t="shared" ref="AG7:AG18" si="22">Q7+S7+U7+W7+Y7+AA7+AC7+AE7</f>
        <v>1</v>
      </c>
      <c r="AJ7" s="498" t="s">
        <v>70</v>
      </c>
      <c r="AK7" s="505">
        <f ca="1">TODAY()</f>
        <v>45743</v>
      </c>
      <c r="AM7" s="498">
        <f t="shared" si="3"/>
        <v>0</v>
      </c>
      <c r="AN7" s="498">
        <f t="shared" ca="1" si="4"/>
        <v>0</v>
      </c>
      <c r="AO7" s="498">
        <f t="shared" ca="1" si="5"/>
        <v>0</v>
      </c>
      <c r="AP7" s="498">
        <f t="shared" si="6"/>
        <v>0</v>
      </c>
      <c r="AQ7" s="498">
        <f t="shared" si="7"/>
        <v>0</v>
      </c>
      <c r="AU7" s="498">
        <f t="shared" si="8"/>
        <v>1</v>
      </c>
      <c r="AV7" s="498">
        <f t="shared" si="9"/>
        <v>1</v>
      </c>
      <c r="AW7" s="498">
        <f t="shared" si="10"/>
        <v>1</v>
      </c>
      <c r="AX7" s="498">
        <f t="shared" si="11"/>
        <v>1</v>
      </c>
      <c r="AY7" s="498">
        <f t="shared" si="12"/>
        <v>1</v>
      </c>
      <c r="AZ7" s="498" t="s">
        <v>71</v>
      </c>
      <c r="BB7" s="498" t="str">
        <f t="shared" si="13"/>
        <v>Other</v>
      </c>
      <c r="BC7" s="743" t="str">
        <f t="shared" si="14"/>
        <v>A</v>
      </c>
      <c r="BD7" s="743" t="str">
        <f t="shared" si="15"/>
        <v>Dependent</v>
      </c>
      <c r="BE7" s="743" t="str">
        <f>IF(D7="","",VLOOKUP(D7,'General Basis'!$J$39:$K$46,2,0))</f>
        <v>RN3</v>
      </c>
      <c r="BF7" s="744" t="str">
        <f>IF(D7="","",VLOOKUP(D7,'General Basis'!$J$39:$L$46,3,0))</f>
        <v>Dubai</v>
      </c>
      <c r="BG7" s="744" t="str">
        <f t="shared" ref="BG7:BG70" si="23">BC7&amp;BI7</f>
        <v>AFemale</v>
      </c>
      <c r="BH7" s="744" t="str">
        <f>IF(G7="","",IF(BF7="Abu Dhabi",IF(G7&lt;18,'General Basis'!$C$39,IF(G7&lt;41,'General Basis'!$C$40,IF(G7&lt;60,'General Basis'!$C$41,IF(G7&lt;65,'General Basis'!$C$42,'General Basis'!$C$43)))),IF(G7&lt;11,'General Basis'!$B$39,IF(G7&lt;18,'General Basis'!$B$40,IF(G7&lt;26,'General Basis'!$B$41,IF(G7&lt;31,'General Basis'!$B$42,IF(G7&lt;36,'General Basis'!$B$43,IF(G7&lt;41,'General Basis'!$B$44,IF(G7&lt;46,'General Basis'!$B$45,IF(G7&lt;51,'General Basis'!$B$46,IF(G7&lt;56,'General Basis'!$B$47,IF(G7&lt;60,'General Basis'!$B$48,IF(G7&lt;65,'General Basis'!$B$49,'General Basis'!$B$50)))))))))))))</f>
        <v>46 - 50</v>
      </c>
      <c r="BI7" s="744" t="str">
        <f t="shared" si="16"/>
        <v>Female</v>
      </c>
      <c r="BJ7" s="747">
        <f t="shared" ref="BJ7:BJ70" si="24">IF(BD7="","",IF(BF7="Abu Dhabi",BK7,BL7))</f>
        <v>3791</v>
      </c>
      <c r="BK7" s="498" t="str">
        <f t="shared" si="17"/>
        <v>ABC</v>
      </c>
      <c r="BL7" s="498">
        <f t="shared" si="18"/>
        <v>3791</v>
      </c>
      <c r="BN7" s="498" t="s">
        <v>958</v>
      </c>
      <c r="BO7" s="498" t="str">
        <f>IF(BD6="","",IF(AND(BD6="Dependent",BI6="Male",BF6="Abu Dhabi",BE6=GN_Plus),VLOOKUP(BH6,AUH_MALE_DEP,2,0),IF(BD6="","",IF(AND(BD6="Dependent",BI6="Male",BF6="Abu Dhabi",BE6=GN),VLOOKUP(BH6,AUH_MALE_DEP,3,0),IF(BD6="","",IF(AND(BD6="Dependent",BI6="Male",BF6="Abu Dhabi",BE6=RN_Plus),VLOOKUP(BH6,AUH_MALE_DEP,4,0),IF(BD6="","",IF(AND(BD6="Dependent",BI6="Male",BF6="Abu Dhabi",BE6=RN),VLOOKUP(BH6,AUH_MALE_DEP,5,0),IF(BD6="","",IF(AND(BD6="Dependent",BI6="Male",BF6="Abu Dhabi",BE6=RN_2),VLOOKUP(BH6,AUH_MALE_DEP,6,0),IF(BD6="","",IF(AND(BD6="Dependent",BI6="Male",BF6="Abu Dhabi",BE6=RN2_minus),VLOOKUP(BH6,AUH_MALE_DEP,7,0),IF(BD6="","",IF(AND(BD6="Dependent",BI6="Male",BF6="Abu Dhabi",BE6=RN_3),VLOOKUP(BH6,AUH_MALE_DEP,8,0),IF(BD6="","",IF(AND(BD6="Dependent",BI6="Male",BF6="Abu Dhabi",BE6=VN),VLOOKUP(BH6,AUH_MALE_DEP,9,0),"ABC"))))))))))))))))</f>
        <v>ABC</v>
      </c>
      <c r="BP7" s="498" t="str">
        <f>IF(BD6="","",IF(AND(BD6="Dependent",BI6="Female",BF6="Abu Dhabi",BE6=GN_Plus),VLOOKUP(BH6,AUH_FEMALE_DEP,2,0),IF(BD6="","",IF(AND(BD6="Dependent",BI6="Female",BF6="Abu Dhabi",BE6=GN),VLOOKUP(BH6,AUH_FEMALE_DEP,3,0),IF(BD6="","",IF(AND(BD6="Dependent",BI6="Female",BF6="Abu Dhabi",BE6=RN_Plus),VLOOKUP(BH6,AUH_FEMALE_DEP,4,0),IF(BD6="","",IF(AND(BD6="Dependent",BI6="Female",BF6="Abu Dhabi",BE6=RN),VLOOKUP(BH6,AUH_FEMALE_DEP,5,0),IF(BD6="","",IF(AND(BD6="Dependent",BI6="Female",BF6="Abu Dhabi",BE6=RN_2),VLOOKUP(BH6,AUH_FEMALE_DEP,6,0),IF(BD6="","",IF(AND(BD6="Dependent",BI6="Female",BF6="Abu Dhabi",BE6=RN2_minus),VLOOKUP(BH6,AUH_FEMALE_DEP,7,0),IF(BD6="","",IF(AND(BD6="Dependent",BI6="Female",BF6="Abu Dhabi",BE6=RN_3),VLOOKUP(BH6,AUH_FEMALE_DEP,8,0),IF(BD6="","",IF(AND(BD6="Dependent",BI6="Female",BF6="Abu Dhabi",BE6=VN),VLOOKUP(BH6,AUH_FEMALE_DEP,9,0),"ABC"))))))))))))))))</f>
        <v>ABC</v>
      </c>
      <c r="BQ7" s="498" t="s">
        <v>1077</v>
      </c>
    </row>
    <row r="8" spans="1:69" x14ac:dyDescent="0.25">
      <c r="A8" s="762">
        <f t="shared" si="19"/>
        <v>3</v>
      </c>
      <c r="B8" s="229">
        <v>37528</v>
      </c>
      <c r="C8" s="223" t="s">
        <v>62</v>
      </c>
      <c r="D8" s="224" t="s">
        <v>271</v>
      </c>
      <c r="E8" s="225" t="s">
        <v>40</v>
      </c>
      <c r="F8" s="1036">
        <f t="shared" si="1"/>
        <v>22.491780821917807</v>
      </c>
      <c r="G8" s="1037">
        <f t="shared" si="20"/>
        <v>23</v>
      </c>
      <c r="H8" s="225" t="s">
        <v>1401</v>
      </c>
      <c r="I8" s="1013"/>
      <c r="J8" s="1013"/>
      <c r="K8" s="1028"/>
      <c r="L8" s="1035" t="str">
        <f t="shared" ref="L8:L71" si="25">IF(AND(E8="Child",H8="Married"),"Check the Marital Status of the Child. ",IF(AND(E8="Child",F8&gt;18),"Child Age exceed 18 years. ",IF(AND(E8="Spouse",H8="Single"),"Spouse is selected as Single. ","")))&amp;IF(K8&gt;0,"UW Loading has been Applied","")</f>
        <v xml:space="preserve">Child Age exceed 18 years. </v>
      </c>
      <c r="N8" s="730">
        <v>11</v>
      </c>
      <c r="O8" s="730">
        <v>17</v>
      </c>
      <c r="P8" s="1017">
        <f t="array" ref="P8">+SUM(IF(($C$6:$C$5331=LEFT(P$6,1))+($G$6:$G$5331&gt;=$N8)+($G$6:$G$5331&lt;($O8+1))+($D$6:$D$5331=P$3)=4,1))</f>
        <v>1</v>
      </c>
      <c r="Q8" s="1017">
        <f t="array" ref="Q8">+SUM(IF(($C$6:$C$5331=LEFT(Q$6,1))+($G$6:$G$5331&gt;=$N8)+($G$6:$G$5331&lt;($O8+1))+($D$6:$D$5331=Q$3)=4,1))</f>
        <v>0</v>
      </c>
      <c r="R8" s="1017">
        <f t="array" ref="R8">+SUM(IF(($C$6:$C$5331=LEFT(R$6,1))+($G$6:$G$5331&gt;=$N8)+($G$6:$G$5331&lt;($O8+1))+($D$6:$D$5331=R$3)=4,1))</f>
        <v>0</v>
      </c>
      <c r="S8" s="1017">
        <f t="array" ref="S8">+SUM(IF(($C$6:$C$5331=LEFT(S$6,1))+($G$6:$G$5331&gt;=$N8)+($G$6:$G$5331&lt;($O8+1))+($D$6:$D$5331=S$3)=4,1))</f>
        <v>0</v>
      </c>
      <c r="T8" s="1017">
        <f t="array" ref="T8">+SUM(IF(($C$6:$C$5331=LEFT(T$6,1))+($G$6:$G$5331&gt;=$N8)+($G$6:$G$5331&lt;($O8+1))+($D$6:$D$5331=T$3)=4,1))</f>
        <v>0</v>
      </c>
      <c r="U8" s="1017">
        <f t="array" ref="U8">+SUM(IF(($C$6:$C$5331=LEFT(U$6,1))+($G$6:$G$5331&gt;=$N8)+($G$6:$G$5331&lt;($O8+1))+($D$6:$D$5331=U$3)=4,1))</f>
        <v>0</v>
      </c>
      <c r="V8" s="1017">
        <f t="array" ref="V8">+SUM(IF(($C$6:$C$5331=LEFT(V$6,1))+($G$6:$G$5331&gt;=$N8)+($G$6:$G$5331&lt;($O8+1))+($D$6:$D$5331=V$3)=4,1))</f>
        <v>0</v>
      </c>
      <c r="W8" s="1017">
        <f t="array" ref="W8">+SUM(IF(($C$6:$C$5331=LEFT(W$6,1))+($G$6:$G$5331&gt;=$N8)+($G$6:$G$5331&lt;($O8+1))+($D$6:$D$5331=W$3)=4,1))</f>
        <v>0</v>
      </c>
      <c r="X8" s="1017">
        <f t="array" ref="X8">+SUM(IF(($C$6:$C$5331=LEFT(X$6,1))+($G$6:$G$5331&gt;=$N8)+($G$6:$G$5331&lt;($O8+1))+($D$6:$D$5331=X$3)=4,1))</f>
        <v>0</v>
      </c>
      <c r="Y8" s="1017">
        <f t="array" ref="Y8">+SUM(IF(($C$6:$C$5331=LEFT(Y$6,1))+($G$6:$G$5331&gt;=$N8)+($G$6:$G$5331&lt;($O8+1))+($D$6:$D$5331=Y$3)=4,1))</f>
        <v>0</v>
      </c>
      <c r="Z8" s="1017">
        <f t="array" ref="Z8">+SUM(IF(($C$6:$C$5331=LEFT(Z$6,1))+($G$6:$G$5331&gt;=$N8)+($G$6:$G$5331&lt;($O8+1))+($D$6:$D$5331=Z$3)=4,1))</f>
        <v>0</v>
      </c>
      <c r="AA8" s="1017">
        <f t="array" ref="AA8">+SUM(IF(($C$6:$C$5331=LEFT(AA$6,1))+($G$6:$G$5331&gt;=$N8)+($G$6:$G$5331&lt;($O8+1))+($D$6:$D$5331=AA$3)=4,1))</f>
        <v>0</v>
      </c>
      <c r="AB8" s="1017">
        <f t="array" ref="AB8">+SUM(IF(($C$6:$C$5331=LEFT(AB$6,1))+($G$6:$G$5331&gt;=$N8)+($G$6:$G$5331&lt;($O8+1))+($D$6:$D$5331=AB$3)=4,1))</f>
        <v>0</v>
      </c>
      <c r="AC8" s="1017">
        <f t="array" ref="AC8">+SUM(IF(($C$6:$C$5331=LEFT(AC$6,1))+($G$6:$G$5331&gt;=$N8)+($G$6:$G$5331&lt;($O8+1))+($D$6:$D$5331=AC$3)=4,1))</f>
        <v>0</v>
      </c>
      <c r="AD8" s="1017">
        <f t="array" ref="AD8">+SUM(IF(($C$6:$C$5331=LEFT(AD$6,1))+($G$6:$G$5331&gt;=$N8)+($G$6:$G$5331&lt;($O8+1))+($D$6:$D$5331=AD$3)=4,1))</f>
        <v>0</v>
      </c>
      <c r="AE8" s="1017">
        <f t="array" ref="AE8">+SUM(IF(($C$6:$C$5331=LEFT(AE$6,1))+($G$6:$G$5331&gt;=$N8)+($G$6:$G$5331&lt;($O8+1))+($D$6:$D$5331=AE$3)=4,1))</f>
        <v>0</v>
      </c>
      <c r="AF8" s="1017">
        <f t="shared" si="21"/>
        <v>1</v>
      </c>
      <c r="AG8" s="1017">
        <f t="shared" si="22"/>
        <v>0</v>
      </c>
      <c r="AJ8" s="498"/>
      <c r="AM8" s="498">
        <f t="shared" si="3"/>
        <v>0</v>
      </c>
      <c r="AN8" s="498">
        <f t="shared" ca="1" si="4"/>
        <v>0</v>
      </c>
      <c r="AO8" s="498">
        <f t="shared" ca="1" si="5"/>
        <v>0</v>
      </c>
      <c r="AP8" s="498">
        <f t="shared" si="6"/>
        <v>0</v>
      </c>
      <c r="AQ8" s="498">
        <f t="shared" si="7"/>
        <v>0</v>
      </c>
      <c r="AR8" s="498" t="s">
        <v>662</v>
      </c>
      <c r="AS8" s="507">
        <f>COUNTIF($E$6:$E$5331,"Principal")</f>
        <v>3</v>
      </c>
      <c r="AU8" s="498">
        <f t="shared" si="8"/>
        <v>1</v>
      </c>
      <c r="AV8" s="498">
        <f t="shared" si="9"/>
        <v>1</v>
      </c>
      <c r="AW8" s="498">
        <f t="shared" si="10"/>
        <v>1</v>
      </c>
      <c r="AX8" s="498">
        <f t="shared" si="11"/>
        <v>1</v>
      </c>
      <c r="AY8" s="498">
        <f t="shared" si="12"/>
        <v>1</v>
      </c>
      <c r="BB8" s="498" t="str">
        <f t="shared" si="13"/>
        <v>Other</v>
      </c>
      <c r="BC8" s="743" t="str">
        <f t="shared" si="14"/>
        <v>A</v>
      </c>
      <c r="BD8" s="743" t="str">
        <f t="shared" si="15"/>
        <v>Dependent</v>
      </c>
      <c r="BE8" s="743" t="str">
        <f>IF(D8="","",VLOOKUP(D8,'General Basis'!$J$39:$K$46,2,0))</f>
        <v>RN3</v>
      </c>
      <c r="BF8" s="744" t="str">
        <f>IF(D8="","",VLOOKUP(D8,'General Basis'!$J$39:$L$46,3,0))</f>
        <v>Dubai</v>
      </c>
      <c r="BG8" s="744" t="str">
        <f t="shared" si="23"/>
        <v>AFemale</v>
      </c>
      <c r="BH8" s="744" t="str">
        <f>IF(G8="","",IF(BF8="Abu Dhabi",IF(G8&lt;18,'General Basis'!$C$39,IF(G8&lt;41,'General Basis'!$C$40,IF(G8&lt;60,'General Basis'!$C$41,IF(G8&lt;65,'General Basis'!$C$42,'General Basis'!$C$43)))),IF(G8&lt;11,'General Basis'!$B$39,IF(G8&lt;18,'General Basis'!$B$40,IF(G8&lt;26,'General Basis'!$B$41,IF(G8&lt;31,'General Basis'!$B$42,IF(G8&lt;36,'General Basis'!$B$43,IF(G8&lt;41,'General Basis'!$B$44,IF(G8&lt;46,'General Basis'!$B$45,IF(G8&lt;51,'General Basis'!$B$46,IF(G8&lt;56,'General Basis'!$B$47,IF(G8&lt;60,'General Basis'!$B$48,IF(G8&lt;65,'General Basis'!$B$49,'General Basis'!$B$50)))))))))))))</f>
        <v>18 - 25</v>
      </c>
      <c r="BI8" s="744" t="str">
        <f t="shared" si="16"/>
        <v>Female</v>
      </c>
      <c r="BJ8" s="747">
        <f t="shared" si="24"/>
        <v>1272</v>
      </c>
      <c r="BK8" s="498" t="str">
        <f t="shared" si="17"/>
        <v>ABC</v>
      </c>
      <c r="BL8" s="498">
        <f t="shared" si="18"/>
        <v>1272</v>
      </c>
      <c r="BN8" s="498" t="s">
        <v>957</v>
      </c>
      <c r="BO8" s="498">
        <f>IF(BD6="","",IF(AND(BD6="Employee",BI6="Male",BF6="Dubai",BE6=GN_Plus),VLOOKUP(BH6,DXB_MALE_EMP,2,0),IF(BD6="","",IF(AND(BD6="Employee",BI6="Male",BF6="Dubai",BE6=GN),VLOOKUP(BH6,DXB_MALE_EMP,3,0),IF(BD6="","",IF(AND(BD6="Employee",BI6="Male",BF6="Dubai",BE6=RN_Plus),VLOOKUP(BH6,DXB_MALE_EMP,4,0),IF(BD6="","",IF(AND(BD6="Employee",BI6="Male",BF6="Dubai",BE6=RN),VLOOKUP(BH6,DXB_MALE_EMP,5,0),IF(BD6="","",IF(AND(BD6="Employee",BI6="Male",BF6="Dubai",BE6=RN_2),VLOOKUP(BH6,DXB_MALE_EMP,6,0),IF(BD6="","",IF(AND(BD6="Employee",BI6="Male",BF6="Dubai",BE6=RN2_minus),VLOOKUP(BH6,DXB_MALE_EMP,7,0),IF(BD6="","",IF(AND(BD6="Employee",BI6="Male",BF6="Dubai",BE6=RN_3),VLOOKUP(BH6,DXB_MALE_EMP,8,0),IF(BD6="","",IF(AND(BD6="Employee",BI6="Male",BF6="Dubai",BE6=VN),VLOOKUP(BH6,DXB_MALE_EMP,9,0),"ABC"))))))))))))))))</f>
        <v>2939</v>
      </c>
      <c r="BP8" s="498" t="str">
        <f>IF(BD6="","",IF(AND(BD6="Employee",BI6="Female",BF6="Dubai",BE6=GN_Plus),VLOOKUP(BH6,DXB_FEMALE_EMP,2,0),IF(BD6="","",IF(AND(BD6="Employee",BI6="Female",BF6="Dubai",BE6=GN),VLOOKUP(BH6,DXB_FEMALE_EMP,3,0),IF(BD6="","",IF(AND(BD6="Employee",BI6="Female",BF6="Dubai",BE6=RN_Plus),VLOOKUP(BH6,DXB_FEMALE_EMP,4,0),IF(BD6="","",IF(AND(BD6="Employee",BI6="Female",BF6="Dubai",BE6=RN),VLOOKUP(BH6,DXB_FEMALE_EMP,5,0),IF(BD6="","",IF(AND(BD6="Employee",BI6="Female",BF6="Dubai",BE6=RN_2),VLOOKUP(BH6,DXB_FEMALE_EMP,6,0),IF(BD6="","",IF(AND(BD6="Employee",BI6="Female",BF6="Dubai",BE6=RN2_minus),VLOOKUP(BH6,DXB_FEMALE_EMP,7,0),IF(BD6="","",IF(AND(BD6="Employee",BI6="Female",BF6="Dubai",BE6=RN_3),VLOOKUP(BH6,DXB_FEMALE_EMP,8,0),IF(BD6="","",IF(AND(BD6="Employee",BI6="Female",BF6="Dubai",BE6=VN),VLOOKUP(BH6,DXB_FEMALE_EMP,9,0),"ABC"))))))))))))))))</f>
        <v>ABC</v>
      </c>
      <c r="BQ8" s="498" t="s">
        <v>1078</v>
      </c>
    </row>
    <row r="9" spans="1:69" x14ac:dyDescent="0.25">
      <c r="A9" s="762">
        <f t="shared" si="19"/>
        <v>4</v>
      </c>
      <c r="B9" s="229">
        <v>39206</v>
      </c>
      <c r="C9" s="223" t="s">
        <v>1398</v>
      </c>
      <c r="D9" s="224" t="s">
        <v>271</v>
      </c>
      <c r="E9" s="225" t="s">
        <v>40</v>
      </c>
      <c r="F9" s="1036">
        <f t="shared" si="1"/>
        <v>17.893607305936072</v>
      </c>
      <c r="G9" s="1037">
        <f t="shared" si="20"/>
        <v>18</v>
      </c>
      <c r="H9" s="225" t="s">
        <v>1401</v>
      </c>
      <c r="I9" s="1013"/>
      <c r="J9" s="1013"/>
      <c r="K9" s="1028"/>
      <c r="L9" s="1035" t="str">
        <f t="shared" si="25"/>
        <v/>
      </c>
      <c r="N9" s="730">
        <v>18</v>
      </c>
      <c r="O9" s="730">
        <v>25</v>
      </c>
      <c r="P9" s="1017">
        <f t="array" ref="P9">+SUM(IF(($C$6:$C$5331=LEFT(P$6,1))+($G$6:$G$5331&gt;=$N9)+($G$6:$G$5331&lt;($O9+1))+($D$6:$D$5331=P$3)=4,1))</f>
        <v>1</v>
      </c>
      <c r="Q9" s="1017">
        <f t="array" ref="Q9">+SUM(IF(($C$6:$C$5331=LEFT(Q$6,1))+($G$6:$G$5331&gt;=$N9)+($G$6:$G$5331&lt;($O9+1))+($D$6:$D$5331=Q$3)=4,1))</f>
        <v>2</v>
      </c>
      <c r="R9" s="1017">
        <f t="array" ref="R9">+SUM(IF(($C$6:$C$5331=LEFT(R$6,1))+($G$6:$G$5331&gt;=$N9)+($G$6:$G$5331&lt;($O9+1))+($D$6:$D$5331=R$3)=4,1))</f>
        <v>0</v>
      </c>
      <c r="S9" s="1017">
        <f t="array" ref="S9">+SUM(IF(($C$6:$C$5331=LEFT(S$6,1))+($G$6:$G$5331&gt;=$N9)+($G$6:$G$5331&lt;($O9+1))+($D$6:$D$5331=S$3)=4,1))</f>
        <v>0</v>
      </c>
      <c r="T9" s="1017">
        <f t="array" ref="T9">+SUM(IF(($C$6:$C$5331=LEFT(T$6,1))+($G$6:$G$5331&gt;=$N9)+($G$6:$G$5331&lt;($O9+1))+($D$6:$D$5331=T$3)=4,1))</f>
        <v>0</v>
      </c>
      <c r="U9" s="1017">
        <f t="array" ref="U9">+SUM(IF(($C$6:$C$5331=LEFT(U$6,1))+($G$6:$G$5331&gt;=$N9)+($G$6:$G$5331&lt;($O9+1))+($D$6:$D$5331=U$3)=4,1))</f>
        <v>0</v>
      </c>
      <c r="V9" s="1017">
        <f t="array" ref="V9">+SUM(IF(($C$6:$C$5331=LEFT(V$6,1))+($G$6:$G$5331&gt;=$N9)+($G$6:$G$5331&lt;($O9+1))+($D$6:$D$5331=V$3)=4,1))</f>
        <v>0</v>
      </c>
      <c r="W9" s="1017">
        <f t="array" ref="W9">+SUM(IF(($C$6:$C$5331=LEFT(W$6,1))+($G$6:$G$5331&gt;=$N9)+($G$6:$G$5331&lt;($O9+1))+($D$6:$D$5331=W$3)=4,1))</f>
        <v>0</v>
      </c>
      <c r="X9" s="1017">
        <f t="array" ref="X9">+SUM(IF(($C$6:$C$5331=LEFT(X$6,1))+($G$6:$G$5331&gt;=$N9)+($G$6:$G$5331&lt;($O9+1))+($D$6:$D$5331=X$3)=4,1))</f>
        <v>0</v>
      </c>
      <c r="Y9" s="1017">
        <f t="array" ref="Y9">+SUM(IF(($C$6:$C$5331=LEFT(Y$6,1))+($G$6:$G$5331&gt;=$N9)+($G$6:$G$5331&lt;($O9+1))+($D$6:$D$5331=Y$3)=4,1))</f>
        <v>0</v>
      </c>
      <c r="Z9" s="1017">
        <f t="array" ref="Z9">+SUM(IF(($C$6:$C$5331=LEFT(Z$6,1))+($G$6:$G$5331&gt;=$N9)+($G$6:$G$5331&lt;($O9+1))+($D$6:$D$5331=Z$3)=4,1))</f>
        <v>0</v>
      </c>
      <c r="AA9" s="1017">
        <f t="array" ref="AA9">+SUM(IF(($C$6:$C$5331=LEFT(AA$6,1))+($G$6:$G$5331&gt;=$N9)+($G$6:$G$5331&lt;($O9+1))+($D$6:$D$5331=AA$3)=4,1))</f>
        <v>0</v>
      </c>
      <c r="AB9" s="1017">
        <f t="array" ref="AB9">+SUM(IF(($C$6:$C$5331=LEFT(AB$6,1))+($G$6:$G$5331&gt;=$N9)+($G$6:$G$5331&lt;($O9+1))+($D$6:$D$5331=AB$3)=4,1))</f>
        <v>0</v>
      </c>
      <c r="AC9" s="1017">
        <f t="array" ref="AC9">+SUM(IF(($C$6:$C$5331=LEFT(AC$6,1))+($G$6:$G$5331&gt;=$N9)+($G$6:$G$5331&lt;($O9+1))+($D$6:$D$5331=AC$3)=4,1))</f>
        <v>0</v>
      </c>
      <c r="AD9" s="1017">
        <f t="array" ref="AD9">+SUM(IF(($C$6:$C$5331=LEFT(AD$6,1))+($G$6:$G$5331&gt;=$N9)+($G$6:$G$5331&lt;($O9+1))+($D$6:$D$5331=AD$3)=4,1))</f>
        <v>0</v>
      </c>
      <c r="AE9" s="1017">
        <f t="array" ref="AE9">+SUM(IF(($C$6:$C$5331=LEFT(AE$6,1))+($G$6:$G$5331&gt;=$N9)+($G$6:$G$5331&lt;($O9+1))+($D$6:$D$5331=AE$3)=4,1))</f>
        <v>0</v>
      </c>
      <c r="AF9" s="1017">
        <f t="shared" si="21"/>
        <v>1</v>
      </c>
      <c r="AG9" s="1017">
        <f t="shared" si="22"/>
        <v>2</v>
      </c>
      <c r="AJ9" s="498"/>
      <c r="AM9" s="498">
        <f t="shared" si="3"/>
        <v>0</v>
      </c>
      <c r="AN9" s="498">
        <f t="shared" ca="1" si="4"/>
        <v>0</v>
      </c>
      <c r="AO9" s="498">
        <f t="shared" ca="1" si="5"/>
        <v>0</v>
      </c>
      <c r="AP9" s="498">
        <f t="shared" si="6"/>
        <v>0</v>
      </c>
      <c r="AQ9" s="498">
        <f t="shared" si="7"/>
        <v>0</v>
      </c>
      <c r="AR9" s="498" t="s">
        <v>1053</v>
      </c>
      <c r="AS9" s="507">
        <f>COUNTIF($G$6:$G$5331,"&gt;65")</f>
        <v>0</v>
      </c>
      <c r="AU9" s="498">
        <f t="shared" si="8"/>
        <v>1</v>
      </c>
      <c r="AV9" s="498">
        <f t="shared" si="9"/>
        <v>1</v>
      </c>
      <c r="AW9" s="498">
        <f t="shared" si="10"/>
        <v>1</v>
      </c>
      <c r="AX9" s="498">
        <f t="shared" si="11"/>
        <v>1</v>
      </c>
      <c r="AY9" s="498">
        <f t="shared" si="12"/>
        <v>1</v>
      </c>
      <c r="BB9" s="498" t="str">
        <f t="shared" si="13"/>
        <v>Other</v>
      </c>
      <c r="BC9" s="743" t="str">
        <f t="shared" si="14"/>
        <v>A</v>
      </c>
      <c r="BD9" s="743" t="str">
        <f t="shared" si="15"/>
        <v>Dependent</v>
      </c>
      <c r="BE9" s="743" t="str">
        <f>IF(D9="","",VLOOKUP(D9,'General Basis'!$J$39:$K$46,2,0))</f>
        <v>RN3</v>
      </c>
      <c r="BF9" s="744" t="str">
        <f>IF(D9="","",VLOOKUP(D9,'General Basis'!$J$39:$L$46,3,0))</f>
        <v>Dubai</v>
      </c>
      <c r="BG9" s="744" t="str">
        <f t="shared" si="23"/>
        <v>AMale</v>
      </c>
      <c r="BH9" s="744" t="str">
        <f>IF(G9="","",IF(BF9="Abu Dhabi",IF(G9&lt;18,'General Basis'!$C$39,IF(G9&lt;41,'General Basis'!$C$40,IF(G9&lt;60,'General Basis'!$C$41,IF(G9&lt;65,'General Basis'!$C$42,'General Basis'!$C$43)))),IF(G9&lt;11,'General Basis'!$B$39,IF(G9&lt;18,'General Basis'!$B$40,IF(G9&lt;26,'General Basis'!$B$41,IF(G9&lt;31,'General Basis'!$B$42,IF(G9&lt;36,'General Basis'!$B$43,IF(G9&lt;41,'General Basis'!$B$44,IF(G9&lt;46,'General Basis'!$B$45,IF(G9&lt;51,'General Basis'!$B$46,IF(G9&lt;56,'General Basis'!$B$47,IF(G9&lt;60,'General Basis'!$B$48,IF(G9&lt;65,'General Basis'!$B$49,'General Basis'!$B$50)))))))))))))</f>
        <v>18 - 25</v>
      </c>
      <c r="BI9" s="744" t="str">
        <f t="shared" si="16"/>
        <v>Male</v>
      </c>
      <c r="BJ9" s="747">
        <f t="shared" si="24"/>
        <v>1303</v>
      </c>
      <c r="BK9" s="498" t="str">
        <f t="shared" si="17"/>
        <v>ABC</v>
      </c>
      <c r="BL9" s="498">
        <f t="shared" si="18"/>
        <v>1303</v>
      </c>
      <c r="BN9" s="498" t="s">
        <v>958</v>
      </c>
      <c r="BO9" s="498" t="str">
        <f>IF(BD6="","",IF(AND(BD6="Dependent",BI6="Male",BF6="Dubai",BE6=GN_Plus),VLOOKUP(BH6,DXB_MALE_DEP,2,0),IF(BD6="","",IF(AND(BD6="Dependent",BI6="Male",BF6="Dubai",BE6=GN),VLOOKUP(BH6,DXB_MALE_DEP,3,0),IF(BD6="","",IF(AND(BD6="Dependent",BI6="Male",BF6="Dubai",BE6=RN_Plus),VLOOKUP(BH6,DXB_MALE_DEP,4,0),IF(BD6="","",IF(AND(BD6="Dependent",BI6="Male",BF6="Dubai",BE6=RN),VLOOKUP(BH6,DXB_MALE_DEP,5,0),IF(BD6="","",IF(AND(BD6="Dependent",BI6="Male",BF6="Dubai",BE6=RN_2),VLOOKUP(BH6,DXB_MALE_DEP,6,0),IF(BD6="","",IF(AND(BD6="Dependent",BI6="Male",BF6="Dubai",BE6=RN2_minus),VLOOKUP(BH6,DXB_MALE_DEP,7,0),IF(BD6="","",IF(AND(BD6="Dependent",BI6="Male",BF6="Dubai",BE6=RN_3),VLOOKUP(BH6,DXB_MALE_DEP,8,0),IF(BD6="","",IF(AND(BD6="Dependent",BI6="Male",BF6="Dubai",BE6=VN),VLOOKUP(BH6,DXB_MALE_DEP,9,0),"ABC"))))))))))))))))</f>
        <v>ABC</v>
      </c>
      <c r="BP9" s="498" t="str">
        <f>IF(BD6="","",IF(AND(BD6="Dependent",BI6="Female",BF6="Dubai",BE6=GN_Plus),VLOOKUP(BH6,DXB_FEMALE_DEP,2,0),IF(BD6="","",IF(AND(BD6="Dependent",BI6="Female",BF6="Dubai",BE6=GN),VLOOKUP(BH6,DXB_FEMALE_DEP,3,0),IF(BD6="","",IF(AND(BD6="Dependent",BI6="Female",BF6="Dubai",BE6=RN_Plus),VLOOKUP(BH6,DXB_FEMALE_DEP,4,0),IF(BD6="","",IF(AND(BD6="Dependent",BI6="Female",BF6="Dubai",BE6=RN),VLOOKUP(BH6,DXB_FEMALE_DEP,5,0),IF(BD6="","",IF(AND(BD6="Dependent",BI6="Female",BF6="Dubai",BE6=RN_2),VLOOKUP(BH6,DXB_FEMALE_DEP,6,0),IF(BD6="","",IF(AND(BD6="Dependent",BI6="Female",BF6="Dubai",BE6=RN2_minus),VLOOKUP(BH6,DXB_FEMALE_DEP,7,0),IF(BD6="","",IF(AND(BD6="Dependent",BI6="Female",BF6="Dubai",BE6=RN_3),VLOOKUP(BH6,DXB_FEMALE_DEP,8,0),IF(BD6="","",IF(AND(BD6="Dependent",BI6="Female",BF6="Dubai",BE6=VN),VLOOKUP(BH6,DXB_FEMALE_DEP,9,0),"ABC"))))))))))))))))</f>
        <v>ABC</v>
      </c>
      <c r="BQ9" s="498" t="s">
        <v>1078</v>
      </c>
    </row>
    <row r="10" spans="1:69" x14ac:dyDescent="0.25">
      <c r="A10" s="762">
        <f t="shared" si="19"/>
        <v>5</v>
      </c>
      <c r="B10" s="229">
        <v>26566</v>
      </c>
      <c r="C10" s="223" t="s">
        <v>1398</v>
      </c>
      <c r="D10" s="224" t="s">
        <v>271</v>
      </c>
      <c r="E10" s="225" t="s">
        <v>275</v>
      </c>
      <c r="F10" s="1036">
        <f t="shared" si="1"/>
        <v>52.505479452054793</v>
      </c>
      <c r="G10" s="1037">
        <f t="shared" si="20"/>
        <v>53</v>
      </c>
      <c r="H10" s="225" t="s">
        <v>1400</v>
      </c>
      <c r="I10" s="1013"/>
      <c r="J10" s="1013"/>
      <c r="K10" s="1028"/>
      <c r="L10" s="1035" t="str">
        <f t="shared" si="25"/>
        <v/>
      </c>
      <c r="N10" s="730">
        <v>26</v>
      </c>
      <c r="O10" s="730">
        <v>30</v>
      </c>
      <c r="P10" s="1017">
        <f t="array" ref="P10">+SUM(IF(($C$6:$C$5331=LEFT(P$6,1))+($G$6:$G$5331&gt;=$N10)+($G$6:$G$5331&lt;($O10+1))+($D$6:$D$5331=P$3)=4,1))</f>
        <v>0</v>
      </c>
      <c r="Q10" s="1017">
        <f t="array" ref="Q10">+SUM(IF(($C$6:$C$5331=LEFT(Q$6,1))+($G$6:$G$5331&gt;=$N10)+($G$6:$G$5331&lt;($O10+1))+($D$6:$D$5331=Q$3)=4,1))</f>
        <v>0</v>
      </c>
      <c r="R10" s="1017">
        <f t="array" ref="R10">+SUM(IF(($C$6:$C$5331=LEFT(R$6,1))+($G$6:$G$5331&gt;=$N10)+($G$6:$G$5331&lt;($O10+1))+($D$6:$D$5331=R$3)=4,1))</f>
        <v>0</v>
      </c>
      <c r="S10" s="1017">
        <f t="array" ref="S10">+SUM(IF(($C$6:$C$5331=LEFT(S$6,1))+($G$6:$G$5331&gt;=$N10)+($G$6:$G$5331&lt;($O10+1))+($D$6:$D$5331=S$3)=4,1))</f>
        <v>0</v>
      </c>
      <c r="T10" s="1017">
        <f t="array" ref="T10">+SUM(IF(($C$6:$C$5331=LEFT(T$6,1))+($G$6:$G$5331&gt;=$N10)+($G$6:$G$5331&lt;($O10+1))+($D$6:$D$5331=T$3)=4,1))</f>
        <v>0</v>
      </c>
      <c r="U10" s="1017">
        <f t="array" ref="U10">+SUM(IF(($C$6:$C$5331=LEFT(U$6,1))+($G$6:$G$5331&gt;=$N10)+($G$6:$G$5331&lt;($O10+1))+($D$6:$D$5331=U$3)=4,1))</f>
        <v>0</v>
      </c>
      <c r="V10" s="1017">
        <f t="array" ref="V10">+SUM(IF(($C$6:$C$5331=LEFT(V$6,1))+($G$6:$G$5331&gt;=$N10)+($G$6:$G$5331&lt;($O10+1))+($D$6:$D$5331=V$3)=4,1))</f>
        <v>0</v>
      </c>
      <c r="W10" s="1017">
        <f t="array" ref="W10">+SUM(IF(($C$6:$C$5331=LEFT(W$6,1))+($G$6:$G$5331&gt;=$N10)+($G$6:$G$5331&lt;($O10+1))+($D$6:$D$5331=W$3)=4,1))</f>
        <v>0</v>
      </c>
      <c r="X10" s="1017">
        <f t="array" ref="X10">+SUM(IF(($C$6:$C$5331=LEFT(X$6,1))+($G$6:$G$5331&gt;=$N10)+($G$6:$G$5331&lt;($O10+1))+($D$6:$D$5331=X$3)=4,1))</f>
        <v>0</v>
      </c>
      <c r="Y10" s="1017">
        <f t="array" ref="Y10">+SUM(IF(($C$6:$C$5331=LEFT(Y$6,1))+($G$6:$G$5331&gt;=$N10)+($G$6:$G$5331&lt;($O10+1))+($D$6:$D$5331=Y$3)=4,1))</f>
        <v>0</v>
      </c>
      <c r="Z10" s="1017">
        <f t="array" ref="Z10">+SUM(IF(($C$6:$C$5331=LEFT(Z$6,1))+($G$6:$G$5331&gt;=$N10)+($G$6:$G$5331&lt;($O10+1))+($D$6:$D$5331=Z$3)=4,1))</f>
        <v>0</v>
      </c>
      <c r="AA10" s="1017">
        <f t="array" ref="AA10">+SUM(IF(($C$6:$C$5331=LEFT(AA$6,1))+($G$6:$G$5331&gt;=$N10)+($G$6:$G$5331&lt;($O10+1))+($D$6:$D$5331=AA$3)=4,1))</f>
        <v>0</v>
      </c>
      <c r="AB10" s="1017">
        <f t="array" ref="AB10">+SUM(IF(($C$6:$C$5331=LEFT(AB$6,1))+($G$6:$G$5331&gt;=$N10)+($G$6:$G$5331&lt;($O10+1))+($D$6:$D$5331=AB$3)=4,1))</f>
        <v>0</v>
      </c>
      <c r="AC10" s="1017">
        <f t="array" ref="AC10">+SUM(IF(($C$6:$C$5331=LEFT(AC$6,1))+($G$6:$G$5331&gt;=$N10)+($G$6:$G$5331&lt;($O10+1))+($D$6:$D$5331=AC$3)=4,1))</f>
        <v>0</v>
      </c>
      <c r="AD10" s="1017">
        <f t="array" ref="AD10">+SUM(IF(($C$6:$C$5331=LEFT(AD$6,1))+($G$6:$G$5331&gt;=$N10)+($G$6:$G$5331&lt;($O10+1))+($D$6:$D$5331=AD$3)=4,1))</f>
        <v>0</v>
      </c>
      <c r="AE10" s="1017">
        <f t="array" ref="AE10">+SUM(IF(($C$6:$C$5331=LEFT(AE$6,1))+($G$6:$G$5331&gt;=$N10)+($G$6:$G$5331&lt;($O10+1))+($D$6:$D$5331=AE$3)=4,1))</f>
        <v>0</v>
      </c>
      <c r="AF10" s="1017">
        <f t="shared" si="21"/>
        <v>0</v>
      </c>
      <c r="AG10" s="1017">
        <f t="shared" si="22"/>
        <v>0</v>
      </c>
      <c r="AJ10" s="498"/>
      <c r="AM10" s="498">
        <f t="shared" si="3"/>
        <v>0</v>
      </c>
      <c r="AN10" s="498">
        <f t="shared" ca="1" si="4"/>
        <v>0</v>
      </c>
      <c r="AO10" s="498">
        <f t="shared" ca="1" si="5"/>
        <v>0</v>
      </c>
      <c r="AP10" s="498">
        <f t="shared" si="6"/>
        <v>0</v>
      </c>
      <c r="AQ10" s="498">
        <f t="shared" si="7"/>
        <v>0</v>
      </c>
      <c r="AR10" s="498" t="s">
        <v>980</v>
      </c>
      <c r="AS10" s="508">
        <f>AS9/AS6</f>
        <v>0</v>
      </c>
      <c r="AU10" s="498">
        <f t="shared" si="8"/>
        <v>1</v>
      </c>
      <c r="AV10" s="498">
        <f t="shared" si="9"/>
        <v>1</v>
      </c>
      <c r="AW10" s="498">
        <f t="shared" si="10"/>
        <v>1</v>
      </c>
      <c r="AX10" s="498">
        <f t="shared" si="11"/>
        <v>1</v>
      </c>
      <c r="AY10" s="498">
        <f t="shared" si="12"/>
        <v>1</v>
      </c>
      <c r="BB10" s="498" t="str">
        <f t="shared" si="13"/>
        <v>Principal</v>
      </c>
      <c r="BC10" s="743" t="str">
        <f t="shared" si="14"/>
        <v>A</v>
      </c>
      <c r="BD10" s="743" t="str">
        <f t="shared" si="15"/>
        <v>Employee</v>
      </c>
      <c r="BE10" s="743" t="str">
        <f>IF(D10="","",VLOOKUP(D10,'General Basis'!$J$39:$K$46,2,0))</f>
        <v>RN3</v>
      </c>
      <c r="BF10" s="744" t="str">
        <f>IF(D10="","",VLOOKUP(D10,'General Basis'!$J$39:$L$46,3,0))</f>
        <v>Dubai</v>
      </c>
      <c r="BG10" s="744" t="str">
        <f t="shared" si="23"/>
        <v>AMale</v>
      </c>
      <c r="BH10" s="744" t="str">
        <f>IF(G10="","",IF(BF10="Abu Dhabi",IF(G10&lt;18,'General Basis'!$C$39,IF(G10&lt;41,'General Basis'!$C$40,IF(G10&lt;60,'General Basis'!$C$41,IF(G10&lt;65,'General Basis'!$C$42,'General Basis'!$C$43)))),IF(G10&lt;11,'General Basis'!$B$39,IF(G10&lt;18,'General Basis'!$B$40,IF(G10&lt;26,'General Basis'!$B$41,IF(G10&lt;31,'General Basis'!$B$42,IF(G10&lt;36,'General Basis'!$B$43,IF(G10&lt;41,'General Basis'!$B$44,IF(G10&lt;46,'General Basis'!$B$45,IF(G10&lt;51,'General Basis'!$B$46,IF(G10&lt;56,'General Basis'!$B$47,IF(G10&lt;60,'General Basis'!$B$48,IF(G10&lt;65,'General Basis'!$B$49,'General Basis'!$B$50)))))))))))))</f>
        <v>51 - 55</v>
      </c>
      <c r="BI10" s="744" t="str">
        <f t="shared" si="16"/>
        <v>Male</v>
      </c>
      <c r="BJ10" s="747">
        <f t="shared" si="24"/>
        <v>3939</v>
      </c>
      <c r="BK10" s="498" t="str">
        <f t="shared" si="17"/>
        <v>ABC</v>
      </c>
      <c r="BL10" s="498">
        <f t="shared" si="18"/>
        <v>3939</v>
      </c>
    </row>
    <row r="11" spans="1:69" x14ac:dyDescent="0.25">
      <c r="A11" s="762">
        <f t="shared" si="19"/>
        <v>6</v>
      </c>
      <c r="B11" s="229">
        <v>28087</v>
      </c>
      <c r="C11" s="223" t="s">
        <v>62</v>
      </c>
      <c r="D11" s="224" t="s">
        <v>271</v>
      </c>
      <c r="E11" s="225" t="s">
        <v>1399</v>
      </c>
      <c r="F11" s="1036">
        <f t="shared" si="1"/>
        <v>48.341552511415529</v>
      </c>
      <c r="G11" s="1037">
        <f t="shared" si="20"/>
        <v>49</v>
      </c>
      <c r="H11" s="225" t="s">
        <v>1400</v>
      </c>
      <c r="I11" s="1013"/>
      <c r="J11" s="1013"/>
      <c r="K11" s="1028"/>
      <c r="L11" s="1035" t="str">
        <f t="shared" si="25"/>
        <v/>
      </c>
      <c r="N11" s="730">
        <v>31</v>
      </c>
      <c r="O11" s="730">
        <v>35</v>
      </c>
      <c r="P11" s="1017">
        <f t="array" ref="P11">+SUM(IF(($C$6:$C$5331=LEFT(P$6,1))+($G$6:$G$5331&gt;=$N11)+($G$6:$G$5331&lt;($O11+1))+($D$6:$D$5331=P$3)=4,1))</f>
        <v>1</v>
      </c>
      <c r="Q11" s="1017">
        <f t="array" ref="Q11">+SUM(IF(($C$6:$C$5331=LEFT(Q$6,1))+($G$6:$G$5331&gt;=$N11)+($G$6:$G$5331&lt;($O11+1))+($D$6:$D$5331=Q$3)=4,1))</f>
        <v>0</v>
      </c>
      <c r="R11" s="1017">
        <f t="array" ref="R11">+SUM(IF(($C$6:$C$5331=LEFT(R$6,1))+($G$6:$G$5331&gt;=$N11)+($G$6:$G$5331&lt;($O11+1))+($D$6:$D$5331=R$3)=4,1))</f>
        <v>0</v>
      </c>
      <c r="S11" s="1017">
        <f t="array" ref="S11">+SUM(IF(($C$6:$C$5331=LEFT(S$6,1))+($G$6:$G$5331&gt;=$N11)+($G$6:$G$5331&lt;($O11+1))+($D$6:$D$5331=S$3)=4,1))</f>
        <v>0</v>
      </c>
      <c r="T11" s="1017">
        <f t="array" ref="T11">+SUM(IF(($C$6:$C$5331=LEFT(T$6,1))+($G$6:$G$5331&gt;=$N11)+($G$6:$G$5331&lt;($O11+1))+($D$6:$D$5331=T$3)=4,1))</f>
        <v>0</v>
      </c>
      <c r="U11" s="1017">
        <f t="array" ref="U11">+SUM(IF(($C$6:$C$5331=LEFT(U$6,1))+($G$6:$G$5331&gt;=$N11)+($G$6:$G$5331&lt;($O11+1))+($D$6:$D$5331=U$3)=4,1))</f>
        <v>0</v>
      </c>
      <c r="V11" s="1017">
        <f t="array" ref="V11">+SUM(IF(($C$6:$C$5331=LEFT(V$6,1))+($G$6:$G$5331&gt;=$N11)+($G$6:$G$5331&lt;($O11+1))+($D$6:$D$5331=V$3)=4,1))</f>
        <v>0</v>
      </c>
      <c r="W11" s="1017">
        <f t="array" ref="W11">+SUM(IF(($C$6:$C$5331=LEFT(W$6,1))+($G$6:$G$5331&gt;=$N11)+($G$6:$G$5331&lt;($O11+1))+($D$6:$D$5331=W$3)=4,1))</f>
        <v>0</v>
      </c>
      <c r="X11" s="1017">
        <f t="array" ref="X11">+SUM(IF(($C$6:$C$5331=LEFT(X$6,1))+($G$6:$G$5331&gt;=$N11)+($G$6:$G$5331&lt;($O11+1))+($D$6:$D$5331=X$3)=4,1))</f>
        <v>0</v>
      </c>
      <c r="Y11" s="1017">
        <f t="array" ref="Y11">+SUM(IF(($C$6:$C$5331=LEFT(Y$6,1))+($G$6:$G$5331&gt;=$N11)+($G$6:$G$5331&lt;($O11+1))+($D$6:$D$5331=Y$3)=4,1))</f>
        <v>0</v>
      </c>
      <c r="Z11" s="1017">
        <f t="array" ref="Z11">+SUM(IF(($C$6:$C$5331=LEFT(Z$6,1))+($G$6:$G$5331&gt;=$N11)+($G$6:$G$5331&lt;($O11+1))+($D$6:$D$5331=Z$3)=4,1))</f>
        <v>0</v>
      </c>
      <c r="AA11" s="1017">
        <f t="array" ref="AA11">+SUM(IF(($C$6:$C$5331=LEFT(AA$6,1))+($G$6:$G$5331&gt;=$N11)+($G$6:$G$5331&lt;($O11+1))+($D$6:$D$5331=AA$3)=4,1))</f>
        <v>0</v>
      </c>
      <c r="AB11" s="1017">
        <f t="array" ref="AB11">+SUM(IF(($C$6:$C$5331=LEFT(AB$6,1))+($G$6:$G$5331&gt;=$N11)+($G$6:$G$5331&lt;($O11+1))+($D$6:$D$5331=AB$3)=4,1))</f>
        <v>0</v>
      </c>
      <c r="AC11" s="1017">
        <f t="array" ref="AC11">+SUM(IF(($C$6:$C$5331=LEFT(AC$6,1))+($G$6:$G$5331&gt;=$N11)+($G$6:$G$5331&lt;($O11+1))+($D$6:$D$5331=AC$3)=4,1))</f>
        <v>0</v>
      </c>
      <c r="AD11" s="1017">
        <f t="array" ref="AD11">+SUM(IF(($C$6:$C$5331=LEFT(AD$6,1))+($G$6:$G$5331&gt;=$N11)+($G$6:$G$5331&lt;($O11+1))+($D$6:$D$5331=AD$3)=4,1))</f>
        <v>0</v>
      </c>
      <c r="AE11" s="1017">
        <f t="array" ref="AE11">+SUM(IF(($C$6:$C$5331=LEFT(AE$6,1))+($G$6:$G$5331&gt;=$N11)+($G$6:$G$5331&lt;($O11+1))+($D$6:$D$5331=AE$3)=4,1))</f>
        <v>0</v>
      </c>
      <c r="AF11" s="1017">
        <f t="shared" si="21"/>
        <v>1</v>
      </c>
      <c r="AG11" s="1017">
        <f t="shared" si="22"/>
        <v>0</v>
      </c>
      <c r="AJ11" s="498"/>
      <c r="AM11" s="498">
        <f t="shared" si="3"/>
        <v>0</v>
      </c>
      <c r="AN11" s="498">
        <f t="shared" ca="1" si="4"/>
        <v>0</v>
      </c>
      <c r="AO11" s="498">
        <f t="shared" ca="1" si="5"/>
        <v>0</v>
      </c>
      <c r="AP11" s="498">
        <f t="shared" si="6"/>
        <v>0</v>
      </c>
      <c r="AQ11" s="498">
        <f t="shared" si="7"/>
        <v>0</v>
      </c>
      <c r="AR11" s="498" t="s">
        <v>663</v>
      </c>
      <c r="AS11" s="506">
        <f>AS6-AS8</f>
        <v>8</v>
      </c>
      <c r="AU11" s="498">
        <f t="shared" si="8"/>
        <v>1</v>
      </c>
      <c r="AV11" s="498">
        <f t="shared" si="9"/>
        <v>1</v>
      </c>
      <c r="AW11" s="498">
        <f t="shared" si="10"/>
        <v>1</v>
      </c>
      <c r="AX11" s="498">
        <f t="shared" si="11"/>
        <v>1</v>
      </c>
      <c r="AY11" s="498">
        <f t="shared" si="12"/>
        <v>1</v>
      </c>
      <c r="BB11" s="498" t="str">
        <f t="shared" si="13"/>
        <v>Other</v>
      </c>
      <c r="BC11" s="743" t="str">
        <f t="shared" si="14"/>
        <v>A</v>
      </c>
      <c r="BD11" s="743" t="str">
        <f t="shared" si="15"/>
        <v>Dependent</v>
      </c>
      <c r="BE11" s="743" t="str">
        <f>IF(D11="","",VLOOKUP(D11,'General Basis'!$J$39:$K$46,2,0))</f>
        <v>RN3</v>
      </c>
      <c r="BF11" s="744" t="str">
        <f>IF(D11="","",VLOOKUP(D11,'General Basis'!$J$39:$L$46,3,0))</f>
        <v>Dubai</v>
      </c>
      <c r="BG11" s="744" t="str">
        <f t="shared" si="23"/>
        <v>AFemale</v>
      </c>
      <c r="BH11" s="744" t="str">
        <f>IF(G11="","",IF(BF11="Abu Dhabi",IF(G11&lt;18,'General Basis'!$C$39,IF(G11&lt;41,'General Basis'!$C$40,IF(G11&lt;60,'General Basis'!$C$41,IF(G11&lt;65,'General Basis'!$C$42,'General Basis'!$C$43)))),IF(G11&lt;11,'General Basis'!$B$39,IF(G11&lt;18,'General Basis'!$B$40,IF(G11&lt;26,'General Basis'!$B$41,IF(G11&lt;31,'General Basis'!$B$42,IF(G11&lt;36,'General Basis'!$B$43,IF(G11&lt;41,'General Basis'!$B$44,IF(G11&lt;46,'General Basis'!$B$45,IF(G11&lt;51,'General Basis'!$B$46,IF(G11&lt;56,'General Basis'!$B$47,IF(G11&lt;60,'General Basis'!$B$48,IF(G11&lt;65,'General Basis'!$B$49,'General Basis'!$B$50)))))))))))))</f>
        <v>46 - 50</v>
      </c>
      <c r="BI11" s="744" t="str">
        <f t="shared" si="16"/>
        <v>Female</v>
      </c>
      <c r="BJ11" s="747">
        <f t="shared" si="24"/>
        <v>3791</v>
      </c>
      <c r="BK11" s="498" t="str">
        <f t="shared" si="17"/>
        <v>ABC</v>
      </c>
      <c r="BL11" s="498">
        <f t="shared" si="18"/>
        <v>3791</v>
      </c>
    </row>
    <row r="12" spans="1:69" x14ac:dyDescent="0.25">
      <c r="A12" s="762">
        <f t="shared" si="19"/>
        <v>7</v>
      </c>
      <c r="B12" s="229">
        <v>36915</v>
      </c>
      <c r="C12" s="223" t="s">
        <v>62</v>
      </c>
      <c r="D12" s="224" t="s">
        <v>271</v>
      </c>
      <c r="E12" s="225" t="s">
        <v>40</v>
      </c>
      <c r="F12" s="1036">
        <f t="shared" si="1"/>
        <v>24.172146118721461</v>
      </c>
      <c r="G12" s="1037">
        <f t="shared" si="20"/>
        <v>25</v>
      </c>
      <c r="H12" s="225" t="s">
        <v>1401</v>
      </c>
      <c r="I12" s="1013"/>
      <c r="J12" s="1013"/>
      <c r="K12" s="1028"/>
      <c r="L12" s="1035" t="str">
        <f t="shared" si="25"/>
        <v xml:space="preserve">Child Age exceed 18 years. </v>
      </c>
      <c r="N12" s="730">
        <v>36</v>
      </c>
      <c r="O12" s="730">
        <v>40</v>
      </c>
      <c r="P12" s="1017">
        <f t="array" ref="P12">+SUM(IF(($C$6:$C$5331=LEFT(P$6,1))+($G$6:$G$5331&gt;=$N12)+($G$6:$G$5331&lt;($O12+1))+($D$6:$D$5331=P$3)=4,1))</f>
        <v>0</v>
      </c>
      <c r="Q12" s="1017">
        <f t="array" ref="Q12">+SUM(IF(($C$6:$C$5331=LEFT(Q$6,1))+($G$6:$G$5331&gt;=$N12)+($G$6:$G$5331&lt;($O12+1))+($D$6:$D$5331=Q$3)=4,1))</f>
        <v>0</v>
      </c>
      <c r="R12" s="1017">
        <f t="array" ref="R12">+SUM(IF(($C$6:$C$5331=LEFT(R$6,1))+($G$6:$G$5331&gt;=$N12)+($G$6:$G$5331&lt;($O12+1))+($D$6:$D$5331=R$3)=4,1))</f>
        <v>0</v>
      </c>
      <c r="S12" s="1017">
        <f t="array" ref="S12">+SUM(IF(($C$6:$C$5331=LEFT(S$6,1))+($G$6:$G$5331&gt;=$N12)+($G$6:$G$5331&lt;($O12+1))+($D$6:$D$5331=S$3)=4,1))</f>
        <v>0</v>
      </c>
      <c r="T12" s="1017">
        <f t="array" ref="T12">+SUM(IF(($C$6:$C$5331=LEFT(T$6,1))+($G$6:$G$5331&gt;=$N12)+($G$6:$G$5331&lt;($O12+1))+($D$6:$D$5331=T$3)=4,1))</f>
        <v>0</v>
      </c>
      <c r="U12" s="1017">
        <f t="array" ref="U12">+SUM(IF(($C$6:$C$5331=LEFT(U$6,1))+($G$6:$G$5331&gt;=$N12)+($G$6:$G$5331&lt;($O12+1))+($D$6:$D$5331=U$3)=4,1))</f>
        <v>0</v>
      </c>
      <c r="V12" s="1017">
        <f t="array" ref="V12">+SUM(IF(($C$6:$C$5331=LEFT(V$6,1))+($G$6:$G$5331&gt;=$N12)+($G$6:$G$5331&lt;($O12+1))+($D$6:$D$5331=V$3)=4,1))</f>
        <v>0</v>
      </c>
      <c r="W12" s="1017">
        <f t="array" ref="W12">+SUM(IF(($C$6:$C$5331=LEFT(W$6,1))+($G$6:$G$5331&gt;=$N12)+($G$6:$G$5331&lt;($O12+1))+($D$6:$D$5331=W$3)=4,1))</f>
        <v>0</v>
      </c>
      <c r="X12" s="1017">
        <f t="array" ref="X12">+SUM(IF(($C$6:$C$5331=LEFT(X$6,1))+($G$6:$G$5331&gt;=$N12)+($G$6:$G$5331&lt;($O12+1))+($D$6:$D$5331=X$3)=4,1))</f>
        <v>0</v>
      </c>
      <c r="Y12" s="1017">
        <f t="array" ref="Y12">+SUM(IF(($C$6:$C$5331=LEFT(Y$6,1))+($G$6:$G$5331&gt;=$N12)+($G$6:$G$5331&lt;($O12+1))+($D$6:$D$5331=Y$3)=4,1))</f>
        <v>0</v>
      </c>
      <c r="Z12" s="1017">
        <f t="array" ref="Z12">+SUM(IF(($C$6:$C$5331=LEFT(Z$6,1))+($G$6:$G$5331&gt;=$N12)+($G$6:$G$5331&lt;($O12+1))+($D$6:$D$5331=Z$3)=4,1))</f>
        <v>0</v>
      </c>
      <c r="AA12" s="1017">
        <f t="array" ref="AA12">+SUM(IF(($C$6:$C$5331=LEFT(AA$6,1))+($G$6:$G$5331&gt;=$N12)+($G$6:$G$5331&lt;($O12+1))+($D$6:$D$5331=AA$3)=4,1))</f>
        <v>0</v>
      </c>
      <c r="AB12" s="1017">
        <f t="array" ref="AB12">+SUM(IF(($C$6:$C$5331=LEFT(AB$6,1))+($G$6:$G$5331&gt;=$N12)+($G$6:$G$5331&lt;($O12+1))+($D$6:$D$5331=AB$3)=4,1))</f>
        <v>0</v>
      </c>
      <c r="AC12" s="1017">
        <f t="array" ref="AC12">+SUM(IF(($C$6:$C$5331=LEFT(AC$6,1))+($G$6:$G$5331&gt;=$N12)+($G$6:$G$5331&lt;($O12+1))+($D$6:$D$5331=AC$3)=4,1))</f>
        <v>0</v>
      </c>
      <c r="AD12" s="1017">
        <f t="array" ref="AD12">+SUM(IF(($C$6:$C$5331=LEFT(AD$6,1))+($G$6:$G$5331&gt;=$N12)+($G$6:$G$5331&lt;($O12+1))+($D$6:$D$5331=AD$3)=4,1))</f>
        <v>0</v>
      </c>
      <c r="AE12" s="1017">
        <f t="array" ref="AE12">+SUM(IF(($C$6:$C$5331=LEFT(AE$6,1))+($G$6:$G$5331&gt;=$N12)+($G$6:$G$5331&lt;($O12+1))+($D$6:$D$5331=AE$3)=4,1))</f>
        <v>0</v>
      </c>
      <c r="AF12" s="1017">
        <f t="shared" si="21"/>
        <v>0</v>
      </c>
      <c r="AG12" s="1017">
        <f t="shared" si="22"/>
        <v>0</v>
      </c>
      <c r="AJ12" s="498"/>
      <c r="AM12" s="498">
        <f t="shared" si="3"/>
        <v>0</v>
      </c>
      <c r="AN12" s="498">
        <f t="shared" ca="1" si="4"/>
        <v>0</v>
      </c>
      <c r="AO12" s="498">
        <f t="shared" ca="1" si="5"/>
        <v>0</v>
      </c>
      <c r="AP12" s="498">
        <f t="shared" si="6"/>
        <v>0</v>
      </c>
      <c r="AQ12" s="498">
        <f t="shared" si="7"/>
        <v>0</v>
      </c>
      <c r="AR12" s="498" t="s">
        <v>664</v>
      </c>
      <c r="AS12" s="508">
        <f>AS11/AS6</f>
        <v>0.72727272727272729</v>
      </c>
      <c r="AU12" s="498">
        <f t="shared" si="8"/>
        <v>1</v>
      </c>
      <c r="AV12" s="498">
        <f t="shared" si="9"/>
        <v>1</v>
      </c>
      <c r="AW12" s="498">
        <f t="shared" si="10"/>
        <v>1</v>
      </c>
      <c r="AX12" s="498">
        <f t="shared" si="11"/>
        <v>1</v>
      </c>
      <c r="AY12" s="498">
        <f t="shared" si="12"/>
        <v>1</v>
      </c>
      <c r="BB12" s="498" t="str">
        <f t="shared" si="13"/>
        <v>Other</v>
      </c>
      <c r="BC12" s="743" t="str">
        <f t="shared" si="14"/>
        <v>A</v>
      </c>
      <c r="BD12" s="743" t="str">
        <f t="shared" si="15"/>
        <v>Dependent</v>
      </c>
      <c r="BE12" s="743" t="str">
        <f>IF(D12="","",VLOOKUP(D12,'General Basis'!$J$39:$K$46,2,0))</f>
        <v>RN3</v>
      </c>
      <c r="BF12" s="744" t="str">
        <f>IF(D12="","",VLOOKUP(D12,'General Basis'!$J$39:$L$46,3,0))</f>
        <v>Dubai</v>
      </c>
      <c r="BG12" s="744" t="str">
        <f t="shared" si="23"/>
        <v>AFemale</v>
      </c>
      <c r="BH12" s="744" t="str">
        <f>IF(G12="","",IF(BF12="Abu Dhabi",IF(G12&lt;18,'General Basis'!$C$39,IF(G12&lt;41,'General Basis'!$C$40,IF(G12&lt;60,'General Basis'!$C$41,IF(G12&lt;65,'General Basis'!$C$42,'General Basis'!$C$43)))),IF(G12&lt;11,'General Basis'!$B$39,IF(G12&lt;18,'General Basis'!$B$40,IF(G12&lt;26,'General Basis'!$B$41,IF(G12&lt;31,'General Basis'!$B$42,IF(G12&lt;36,'General Basis'!$B$43,IF(G12&lt;41,'General Basis'!$B$44,IF(G12&lt;46,'General Basis'!$B$45,IF(G12&lt;51,'General Basis'!$B$46,IF(G12&lt;56,'General Basis'!$B$47,IF(G12&lt;60,'General Basis'!$B$48,IF(G12&lt;65,'General Basis'!$B$49,'General Basis'!$B$50)))))))))))))</f>
        <v>18 - 25</v>
      </c>
      <c r="BI12" s="744" t="str">
        <f t="shared" si="16"/>
        <v>Female</v>
      </c>
      <c r="BJ12" s="747">
        <f t="shared" si="24"/>
        <v>1272</v>
      </c>
      <c r="BK12" s="498" t="str">
        <f t="shared" si="17"/>
        <v>ABC</v>
      </c>
      <c r="BL12" s="498">
        <f t="shared" si="18"/>
        <v>1272</v>
      </c>
    </row>
    <row r="13" spans="1:69" x14ac:dyDescent="0.25">
      <c r="A13" s="762">
        <f t="shared" si="19"/>
        <v>8</v>
      </c>
      <c r="B13" s="229">
        <v>39978</v>
      </c>
      <c r="C13" s="223" t="s">
        <v>1398</v>
      </c>
      <c r="D13" s="224" t="s">
        <v>271</v>
      </c>
      <c r="E13" s="225" t="s">
        <v>40</v>
      </c>
      <c r="F13" s="1036">
        <f t="shared" si="1"/>
        <v>15.782876712328767</v>
      </c>
      <c r="G13" s="1037">
        <f t="shared" si="20"/>
        <v>16</v>
      </c>
      <c r="H13" s="225" t="s">
        <v>1401</v>
      </c>
      <c r="I13" s="1013"/>
      <c r="J13" s="1013"/>
      <c r="K13" s="1028"/>
      <c r="L13" s="1035" t="str">
        <f t="shared" si="25"/>
        <v/>
      </c>
      <c r="N13" s="730">
        <v>41</v>
      </c>
      <c r="O13" s="730">
        <v>45</v>
      </c>
      <c r="P13" s="1017">
        <f t="array" ref="P13">+SUM(IF(($C$6:$C$5331=LEFT(P$6,1))+($G$6:$G$5331&gt;=$N13)+($G$6:$G$5331&lt;($O13+1))+($D$6:$D$5331=P$3)=4,1))</f>
        <v>0</v>
      </c>
      <c r="Q13" s="1017">
        <f t="array" ref="Q13">+SUM(IF(($C$6:$C$5331=LEFT(Q$6,1))+($G$6:$G$5331&gt;=$N13)+($G$6:$G$5331&lt;($O13+1))+($D$6:$D$5331=Q$3)=4,1))</f>
        <v>0</v>
      </c>
      <c r="R13" s="1017">
        <f t="array" ref="R13">+SUM(IF(($C$6:$C$5331=LEFT(R$6,1))+($G$6:$G$5331&gt;=$N13)+($G$6:$G$5331&lt;($O13+1))+($D$6:$D$5331=R$3)=4,1))</f>
        <v>0</v>
      </c>
      <c r="S13" s="1017">
        <f t="array" ref="S13">+SUM(IF(($C$6:$C$5331=LEFT(S$6,1))+($G$6:$G$5331&gt;=$N13)+($G$6:$G$5331&lt;($O13+1))+($D$6:$D$5331=S$3)=4,1))</f>
        <v>0</v>
      </c>
      <c r="T13" s="1017">
        <f t="array" ref="T13">+SUM(IF(($C$6:$C$5331=LEFT(T$6,1))+($G$6:$G$5331&gt;=$N13)+($G$6:$G$5331&lt;($O13+1))+($D$6:$D$5331=T$3)=4,1))</f>
        <v>0</v>
      </c>
      <c r="U13" s="1017">
        <f t="array" ref="U13">+SUM(IF(($C$6:$C$5331=LEFT(U$6,1))+($G$6:$G$5331&gt;=$N13)+($G$6:$G$5331&lt;($O13+1))+($D$6:$D$5331=U$3)=4,1))</f>
        <v>0</v>
      </c>
      <c r="V13" s="1017">
        <f t="array" ref="V13">+SUM(IF(($C$6:$C$5331=LEFT(V$6,1))+($G$6:$G$5331&gt;=$N13)+($G$6:$G$5331&lt;($O13+1))+($D$6:$D$5331=V$3)=4,1))</f>
        <v>0</v>
      </c>
      <c r="W13" s="1017">
        <f t="array" ref="W13">+SUM(IF(($C$6:$C$5331=LEFT(W$6,1))+($G$6:$G$5331&gt;=$N13)+($G$6:$G$5331&lt;($O13+1))+($D$6:$D$5331=W$3)=4,1))</f>
        <v>0</v>
      </c>
      <c r="X13" s="1017">
        <f t="array" ref="X13">+SUM(IF(($C$6:$C$5331=LEFT(X$6,1))+($G$6:$G$5331&gt;=$N13)+($G$6:$G$5331&lt;($O13+1))+($D$6:$D$5331=X$3)=4,1))</f>
        <v>0</v>
      </c>
      <c r="Y13" s="1017">
        <f t="array" ref="Y13">+SUM(IF(($C$6:$C$5331=LEFT(Y$6,1))+($G$6:$G$5331&gt;=$N13)+($G$6:$G$5331&lt;($O13+1))+($D$6:$D$5331=Y$3)=4,1))</f>
        <v>0</v>
      </c>
      <c r="Z13" s="1017">
        <f t="array" ref="Z13">+SUM(IF(($C$6:$C$5331=LEFT(Z$6,1))+($G$6:$G$5331&gt;=$N13)+($G$6:$G$5331&lt;($O13+1))+($D$6:$D$5331=Z$3)=4,1))</f>
        <v>0</v>
      </c>
      <c r="AA13" s="1017">
        <f t="array" ref="AA13">+SUM(IF(($C$6:$C$5331=LEFT(AA$6,1))+($G$6:$G$5331&gt;=$N13)+($G$6:$G$5331&lt;($O13+1))+($D$6:$D$5331=AA$3)=4,1))</f>
        <v>0</v>
      </c>
      <c r="AB13" s="1017">
        <f t="array" ref="AB13">+SUM(IF(($C$6:$C$5331=LEFT(AB$6,1))+($G$6:$G$5331&gt;=$N13)+($G$6:$G$5331&lt;($O13+1))+($D$6:$D$5331=AB$3)=4,1))</f>
        <v>0</v>
      </c>
      <c r="AC13" s="1017">
        <f t="array" ref="AC13">+SUM(IF(($C$6:$C$5331=LEFT(AC$6,1))+($G$6:$G$5331&gt;=$N13)+($G$6:$G$5331&lt;($O13+1))+($D$6:$D$5331=AC$3)=4,1))</f>
        <v>0</v>
      </c>
      <c r="AD13" s="1017">
        <f t="array" ref="AD13">+SUM(IF(($C$6:$C$5331=LEFT(AD$6,1))+($G$6:$G$5331&gt;=$N13)+($G$6:$G$5331&lt;($O13+1))+($D$6:$D$5331=AD$3)=4,1))</f>
        <v>0</v>
      </c>
      <c r="AE13" s="1017">
        <f t="array" ref="AE13">+SUM(IF(($C$6:$C$5331=LEFT(AE$6,1))+($G$6:$G$5331&gt;=$N13)+($G$6:$G$5331&lt;($O13+1))+($D$6:$D$5331=AE$3)=4,1))</f>
        <v>0</v>
      </c>
      <c r="AF13" s="1017">
        <f t="shared" si="21"/>
        <v>0</v>
      </c>
      <c r="AG13" s="1017">
        <f t="shared" si="22"/>
        <v>0</v>
      </c>
      <c r="AJ13" s="498"/>
      <c r="AM13" s="498">
        <f t="shared" si="3"/>
        <v>0</v>
      </c>
      <c r="AN13" s="498">
        <f t="shared" ca="1" si="4"/>
        <v>0</v>
      </c>
      <c r="AO13" s="498">
        <f t="shared" ca="1" si="5"/>
        <v>0</v>
      </c>
      <c r="AP13" s="498">
        <f t="shared" si="6"/>
        <v>0</v>
      </c>
      <c r="AQ13" s="498">
        <f t="shared" si="7"/>
        <v>0</v>
      </c>
      <c r="AU13" s="498">
        <f t="shared" si="8"/>
        <v>1</v>
      </c>
      <c r="AV13" s="498">
        <f t="shared" si="9"/>
        <v>1</v>
      </c>
      <c r="AW13" s="498">
        <f t="shared" si="10"/>
        <v>1</v>
      </c>
      <c r="AX13" s="498">
        <f t="shared" si="11"/>
        <v>1</v>
      </c>
      <c r="AY13" s="498">
        <f t="shared" si="12"/>
        <v>1</v>
      </c>
      <c r="BB13" s="498" t="str">
        <f t="shared" si="13"/>
        <v>Other</v>
      </c>
      <c r="BC13" s="743" t="str">
        <f t="shared" si="14"/>
        <v>A</v>
      </c>
      <c r="BD13" s="743" t="str">
        <f t="shared" si="15"/>
        <v>Dependent</v>
      </c>
      <c r="BE13" s="743" t="str">
        <f>IF(D13="","",VLOOKUP(D13,'General Basis'!$J$39:$K$46,2,0))</f>
        <v>RN3</v>
      </c>
      <c r="BF13" s="744" t="str">
        <f>IF(D13="","",VLOOKUP(D13,'General Basis'!$J$39:$L$46,3,0))</f>
        <v>Dubai</v>
      </c>
      <c r="BG13" s="744" t="str">
        <f t="shared" si="23"/>
        <v>AMale</v>
      </c>
      <c r="BH13" s="744" t="str">
        <f>IF(G13="","",IF(BF13="Abu Dhabi",IF(G13&lt;18,'General Basis'!$C$39,IF(G13&lt;41,'General Basis'!$C$40,IF(G13&lt;60,'General Basis'!$C$41,IF(G13&lt;65,'General Basis'!$C$42,'General Basis'!$C$43)))),IF(G13&lt;11,'General Basis'!$B$39,IF(G13&lt;18,'General Basis'!$B$40,IF(G13&lt;26,'General Basis'!$B$41,IF(G13&lt;31,'General Basis'!$B$42,IF(G13&lt;36,'General Basis'!$B$43,IF(G13&lt;41,'General Basis'!$B$44,IF(G13&lt;46,'General Basis'!$B$45,IF(G13&lt;51,'General Basis'!$B$46,IF(G13&lt;56,'General Basis'!$B$47,IF(G13&lt;60,'General Basis'!$B$48,IF(G13&lt;65,'General Basis'!$B$49,'General Basis'!$B$50)))))))))))))</f>
        <v>11 - 17</v>
      </c>
      <c r="BI13" s="744" t="str">
        <f t="shared" si="16"/>
        <v>Male</v>
      </c>
      <c r="BJ13" s="747">
        <f t="shared" si="24"/>
        <v>1041</v>
      </c>
      <c r="BK13" s="498" t="str">
        <f t="shared" si="17"/>
        <v>ABC</v>
      </c>
      <c r="BL13" s="498">
        <f t="shared" si="18"/>
        <v>1041</v>
      </c>
    </row>
    <row r="14" spans="1:69" x14ac:dyDescent="0.25">
      <c r="A14" s="762">
        <f t="shared" si="19"/>
        <v>9</v>
      </c>
      <c r="B14" s="229">
        <v>33213</v>
      </c>
      <c r="C14" s="223" t="s">
        <v>1398</v>
      </c>
      <c r="D14" s="224" t="s">
        <v>271</v>
      </c>
      <c r="E14" s="225" t="s">
        <v>275</v>
      </c>
      <c r="F14" s="1036">
        <f t="shared" si="1"/>
        <v>34.304794520547944</v>
      </c>
      <c r="G14" s="1037">
        <f t="shared" si="20"/>
        <v>35</v>
      </c>
      <c r="H14" s="225" t="s">
        <v>1400</v>
      </c>
      <c r="I14" s="1013"/>
      <c r="J14" s="1013"/>
      <c r="K14" s="1028"/>
      <c r="L14" s="1035" t="str">
        <f t="shared" si="25"/>
        <v/>
      </c>
      <c r="N14" s="730">
        <v>46</v>
      </c>
      <c r="O14" s="730">
        <v>50</v>
      </c>
      <c r="P14" s="1017">
        <f t="array" ref="P14">+SUM(IF(($C$6:$C$5331=LEFT(P$6,1))+($G$6:$G$5331&gt;=$N14)+($G$6:$G$5331&lt;($O14+1))+($D$6:$D$5331=P$3)=4,1))</f>
        <v>1</v>
      </c>
      <c r="Q14" s="1017">
        <f t="array" ref="Q14">+SUM(IF(($C$6:$C$5331=LEFT(Q$6,1))+($G$6:$G$5331&gt;=$N14)+($G$6:$G$5331&lt;($O14+1))+($D$6:$D$5331=Q$3)=4,1))</f>
        <v>2</v>
      </c>
      <c r="R14" s="1017">
        <f t="array" ref="R14">+SUM(IF(($C$6:$C$5331=LEFT(R$6,1))+($G$6:$G$5331&gt;=$N14)+($G$6:$G$5331&lt;($O14+1))+($D$6:$D$5331=R$3)=4,1))</f>
        <v>0</v>
      </c>
      <c r="S14" s="1017">
        <f t="array" ref="S14">+SUM(IF(($C$6:$C$5331=LEFT(S$6,1))+($G$6:$G$5331&gt;=$N14)+($G$6:$G$5331&lt;($O14+1))+($D$6:$D$5331=S$3)=4,1))</f>
        <v>0</v>
      </c>
      <c r="T14" s="1017">
        <f t="array" ref="T14">+SUM(IF(($C$6:$C$5331=LEFT(T$6,1))+($G$6:$G$5331&gt;=$N14)+($G$6:$G$5331&lt;($O14+1))+($D$6:$D$5331=T$3)=4,1))</f>
        <v>0</v>
      </c>
      <c r="U14" s="1017">
        <f t="array" ref="U14">+SUM(IF(($C$6:$C$5331=LEFT(U$6,1))+($G$6:$G$5331&gt;=$N14)+($G$6:$G$5331&lt;($O14+1))+($D$6:$D$5331=U$3)=4,1))</f>
        <v>0</v>
      </c>
      <c r="V14" s="1017">
        <f t="array" ref="V14">+SUM(IF(($C$6:$C$5331=LEFT(V$6,1))+($G$6:$G$5331&gt;=$N14)+($G$6:$G$5331&lt;($O14+1))+($D$6:$D$5331=V$3)=4,1))</f>
        <v>0</v>
      </c>
      <c r="W14" s="1017">
        <f t="array" ref="W14">+SUM(IF(($C$6:$C$5331=LEFT(W$6,1))+($G$6:$G$5331&gt;=$N14)+($G$6:$G$5331&lt;($O14+1))+($D$6:$D$5331=W$3)=4,1))</f>
        <v>0</v>
      </c>
      <c r="X14" s="1017">
        <f t="array" ref="X14">+SUM(IF(($C$6:$C$5331=LEFT(X$6,1))+($G$6:$G$5331&gt;=$N14)+($G$6:$G$5331&lt;($O14+1))+($D$6:$D$5331=X$3)=4,1))</f>
        <v>0</v>
      </c>
      <c r="Y14" s="1017">
        <f t="array" ref="Y14">+SUM(IF(($C$6:$C$5331=LEFT(Y$6,1))+($G$6:$G$5331&gt;=$N14)+($G$6:$G$5331&lt;($O14+1))+($D$6:$D$5331=Y$3)=4,1))</f>
        <v>0</v>
      </c>
      <c r="Z14" s="1017">
        <f t="array" ref="Z14">+SUM(IF(($C$6:$C$5331=LEFT(Z$6,1))+($G$6:$G$5331&gt;=$N14)+($G$6:$G$5331&lt;($O14+1))+($D$6:$D$5331=Z$3)=4,1))</f>
        <v>0</v>
      </c>
      <c r="AA14" s="1017">
        <f t="array" ref="AA14">+SUM(IF(($C$6:$C$5331=LEFT(AA$6,1))+($G$6:$G$5331&gt;=$N14)+($G$6:$G$5331&lt;($O14+1))+($D$6:$D$5331=AA$3)=4,1))</f>
        <v>0</v>
      </c>
      <c r="AB14" s="1017">
        <f t="array" ref="AB14">+SUM(IF(($C$6:$C$5331=LEFT(AB$6,1))+($G$6:$G$5331&gt;=$N14)+($G$6:$G$5331&lt;($O14+1))+($D$6:$D$5331=AB$3)=4,1))</f>
        <v>0</v>
      </c>
      <c r="AC14" s="1017">
        <f t="array" ref="AC14">+SUM(IF(($C$6:$C$5331=LEFT(AC$6,1))+($G$6:$G$5331&gt;=$N14)+($G$6:$G$5331&lt;($O14+1))+($D$6:$D$5331=AC$3)=4,1))</f>
        <v>0</v>
      </c>
      <c r="AD14" s="1017">
        <f t="array" ref="AD14">+SUM(IF(($C$6:$C$5331=LEFT(AD$6,1))+($G$6:$G$5331&gt;=$N14)+($G$6:$G$5331&lt;($O14+1))+($D$6:$D$5331=AD$3)=4,1))</f>
        <v>0</v>
      </c>
      <c r="AE14" s="1017">
        <f t="array" ref="AE14">+SUM(IF(($C$6:$C$5331=LEFT(AE$6,1))+($G$6:$G$5331&gt;=$N14)+($G$6:$G$5331&lt;($O14+1))+($D$6:$D$5331=AE$3)=4,1))</f>
        <v>0</v>
      </c>
      <c r="AF14" s="1017">
        <f t="shared" si="21"/>
        <v>1</v>
      </c>
      <c r="AG14" s="1017">
        <f t="shared" si="22"/>
        <v>2</v>
      </c>
      <c r="AJ14" s="498"/>
      <c r="AM14" s="498">
        <f t="shared" si="3"/>
        <v>0</v>
      </c>
      <c r="AN14" s="498">
        <f t="shared" ca="1" si="4"/>
        <v>0</v>
      </c>
      <c r="AO14" s="498">
        <f t="shared" ca="1" si="5"/>
        <v>0</v>
      </c>
      <c r="AP14" s="498">
        <f t="shared" si="6"/>
        <v>0</v>
      </c>
      <c r="AQ14" s="498">
        <f t="shared" si="7"/>
        <v>0</v>
      </c>
      <c r="AU14" s="498">
        <f t="shared" si="8"/>
        <v>1</v>
      </c>
      <c r="AV14" s="498">
        <f t="shared" si="9"/>
        <v>1</v>
      </c>
      <c r="AW14" s="498">
        <f t="shared" si="10"/>
        <v>1</v>
      </c>
      <c r="AX14" s="498">
        <f t="shared" si="11"/>
        <v>1</v>
      </c>
      <c r="AY14" s="498">
        <f t="shared" si="12"/>
        <v>1</v>
      </c>
      <c r="BB14" s="498" t="str">
        <f t="shared" si="13"/>
        <v>Principal</v>
      </c>
      <c r="BC14" s="743" t="str">
        <f t="shared" si="14"/>
        <v>A</v>
      </c>
      <c r="BD14" s="743" t="str">
        <f t="shared" si="15"/>
        <v>Employee</v>
      </c>
      <c r="BE14" s="743" t="str">
        <f>IF(D14="","",VLOOKUP(D14,'General Basis'!$J$39:$K$46,2,0))</f>
        <v>RN3</v>
      </c>
      <c r="BF14" s="744" t="str">
        <f>IF(D14="","",VLOOKUP(D14,'General Basis'!$J$39:$L$46,3,0))</f>
        <v>Dubai</v>
      </c>
      <c r="BG14" s="744" t="str">
        <f t="shared" si="23"/>
        <v>AMale</v>
      </c>
      <c r="BH14" s="744" t="str">
        <f>IF(G14="","",IF(BF14="Abu Dhabi",IF(G14&lt;18,'General Basis'!$C$39,IF(G14&lt;41,'General Basis'!$C$40,IF(G14&lt;60,'General Basis'!$C$41,IF(G14&lt;65,'General Basis'!$C$42,'General Basis'!$C$43)))),IF(G14&lt;11,'General Basis'!$B$39,IF(G14&lt;18,'General Basis'!$B$40,IF(G14&lt;26,'General Basis'!$B$41,IF(G14&lt;31,'General Basis'!$B$42,IF(G14&lt;36,'General Basis'!$B$43,IF(G14&lt;41,'General Basis'!$B$44,IF(G14&lt;46,'General Basis'!$B$45,IF(G14&lt;51,'General Basis'!$B$46,IF(G14&lt;56,'General Basis'!$B$47,IF(G14&lt;60,'General Basis'!$B$48,IF(G14&lt;65,'General Basis'!$B$49,'General Basis'!$B$50)))))))))))))</f>
        <v>31 - 35</v>
      </c>
      <c r="BI14" s="744" t="str">
        <f t="shared" si="16"/>
        <v>Male</v>
      </c>
      <c r="BJ14" s="747">
        <f t="shared" si="24"/>
        <v>1551</v>
      </c>
      <c r="BK14" s="498" t="str">
        <f t="shared" si="17"/>
        <v>ABC</v>
      </c>
      <c r="BL14" s="498">
        <f t="shared" si="18"/>
        <v>1551</v>
      </c>
    </row>
    <row r="15" spans="1:69" x14ac:dyDescent="0.25">
      <c r="A15" s="762">
        <f t="shared" si="19"/>
        <v>10</v>
      </c>
      <c r="B15" s="229">
        <v>42606</v>
      </c>
      <c r="C15" s="223" t="s">
        <v>1398</v>
      </c>
      <c r="D15" s="224" t="s">
        <v>271</v>
      </c>
      <c r="E15" s="225" t="s">
        <v>40</v>
      </c>
      <c r="F15" s="1036">
        <f t="shared" si="1"/>
        <v>8.5888127853881286</v>
      </c>
      <c r="G15" s="1037">
        <f t="shared" si="20"/>
        <v>9</v>
      </c>
      <c r="H15" s="225" t="s">
        <v>1401</v>
      </c>
      <c r="I15" s="1013"/>
      <c r="J15" s="1013"/>
      <c r="K15" s="1028"/>
      <c r="L15" s="1035" t="str">
        <f t="shared" si="25"/>
        <v/>
      </c>
      <c r="N15" s="730">
        <v>51</v>
      </c>
      <c r="O15" s="730">
        <v>55</v>
      </c>
      <c r="P15" s="1017">
        <f t="array" ref="P15">+SUM(IF(($C$6:$C$5331=LEFT(P$6,1))+($G$6:$G$5331&gt;=$N15)+($G$6:$G$5331&lt;($O15+1))+($D$6:$D$5331=P$3)=4,1))</f>
        <v>1</v>
      </c>
      <c r="Q15" s="1017">
        <f t="array" ref="Q15">+SUM(IF(($C$6:$C$5331=LEFT(Q$6,1))+($G$6:$G$5331&gt;=$N15)+($G$6:$G$5331&lt;($O15+1))+($D$6:$D$5331=Q$3)=4,1))</f>
        <v>0</v>
      </c>
      <c r="R15" s="1017">
        <f t="array" ref="R15">+SUM(IF(($C$6:$C$5331=LEFT(R$6,1))+($G$6:$G$5331&gt;=$N15)+($G$6:$G$5331&lt;($O15+1))+($D$6:$D$5331=R$3)=4,1))</f>
        <v>0</v>
      </c>
      <c r="S15" s="1017">
        <f t="array" ref="S15">+SUM(IF(($C$6:$C$5331=LEFT(S$6,1))+($G$6:$G$5331&gt;=$N15)+($G$6:$G$5331&lt;($O15+1))+($D$6:$D$5331=S$3)=4,1))</f>
        <v>0</v>
      </c>
      <c r="T15" s="1017">
        <f t="array" ref="T15">+SUM(IF(($C$6:$C$5331=LEFT(T$6,1))+($G$6:$G$5331&gt;=$N15)+($G$6:$G$5331&lt;($O15+1))+($D$6:$D$5331=T$3)=4,1))</f>
        <v>0</v>
      </c>
      <c r="U15" s="1017">
        <f t="array" ref="U15">+SUM(IF(($C$6:$C$5331=LEFT(U$6,1))+($G$6:$G$5331&gt;=$N15)+($G$6:$G$5331&lt;($O15+1))+($D$6:$D$5331=U$3)=4,1))</f>
        <v>0</v>
      </c>
      <c r="V15" s="1017">
        <f t="array" ref="V15">+SUM(IF(($C$6:$C$5331=LEFT(V$6,1))+($G$6:$G$5331&gt;=$N15)+($G$6:$G$5331&lt;($O15+1))+($D$6:$D$5331=V$3)=4,1))</f>
        <v>0</v>
      </c>
      <c r="W15" s="1017">
        <f t="array" ref="W15">+SUM(IF(($C$6:$C$5331=LEFT(W$6,1))+($G$6:$G$5331&gt;=$N15)+($G$6:$G$5331&lt;($O15+1))+($D$6:$D$5331=W$3)=4,1))</f>
        <v>0</v>
      </c>
      <c r="X15" s="1017">
        <f t="array" ref="X15">+SUM(IF(($C$6:$C$5331=LEFT(X$6,1))+($G$6:$G$5331&gt;=$N15)+($G$6:$G$5331&lt;($O15+1))+($D$6:$D$5331=X$3)=4,1))</f>
        <v>0</v>
      </c>
      <c r="Y15" s="1017">
        <f t="array" ref="Y15">+SUM(IF(($C$6:$C$5331=LEFT(Y$6,1))+($G$6:$G$5331&gt;=$N15)+($G$6:$G$5331&lt;($O15+1))+($D$6:$D$5331=Y$3)=4,1))</f>
        <v>0</v>
      </c>
      <c r="Z15" s="1017">
        <f t="array" ref="Z15">+SUM(IF(($C$6:$C$5331=LEFT(Z$6,1))+($G$6:$G$5331&gt;=$N15)+($G$6:$G$5331&lt;($O15+1))+($D$6:$D$5331=Z$3)=4,1))</f>
        <v>0</v>
      </c>
      <c r="AA15" s="1017">
        <f t="array" ref="AA15">+SUM(IF(($C$6:$C$5331=LEFT(AA$6,1))+($G$6:$G$5331&gt;=$N15)+($G$6:$G$5331&lt;($O15+1))+($D$6:$D$5331=AA$3)=4,1))</f>
        <v>0</v>
      </c>
      <c r="AB15" s="1017">
        <f t="array" ref="AB15">+SUM(IF(($C$6:$C$5331=LEFT(AB$6,1))+($G$6:$G$5331&gt;=$N15)+($G$6:$G$5331&lt;($O15+1))+($D$6:$D$5331=AB$3)=4,1))</f>
        <v>0</v>
      </c>
      <c r="AC15" s="1017">
        <f t="array" ref="AC15">+SUM(IF(($C$6:$C$5331=LEFT(AC$6,1))+($G$6:$G$5331&gt;=$N15)+($G$6:$G$5331&lt;($O15+1))+($D$6:$D$5331=AC$3)=4,1))</f>
        <v>0</v>
      </c>
      <c r="AD15" s="1017">
        <f t="array" ref="AD15">+SUM(IF(($C$6:$C$5331=LEFT(AD$6,1))+($G$6:$G$5331&gt;=$N15)+($G$6:$G$5331&lt;($O15+1))+($D$6:$D$5331=AD$3)=4,1))</f>
        <v>0</v>
      </c>
      <c r="AE15" s="1017">
        <f t="array" ref="AE15">+SUM(IF(($C$6:$C$5331=LEFT(AE$6,1))+($G$6:$G$5331&gt;=$N15)+($G$6:$G$5331&lt;($O15+1))+($D$6:$D$5331=AE$3)=4,1))</f>
        <v>0</v>
      </c>
      <c r="AF15" s="1017">
        <f t="shared" si="21"/>
        <v>1</v>
      </c>
      <c r="AG15" s="1017">
        <f t="shared" si="22"/>
        <v>0</v>
      </c>
      <c r="AJ15" s="498"/>
      <c r="AM15" s="498">
        <f t="shared" si="3"/>
        <v>0</v>
      </c>
      <c r="AN15" s="498">
        <f t="shared" ca="1" si="4"/>
        <v>0</v>
      </c>
      <c r="AO15" s="498">
        <f t="shared" ca="1" si="5"/>
        <v>0</v>
      </c>
      <c r="AP15" s="498">
        <f t="shared" si="6"/>
        <v>0</v>
      </c>
      <c r="AQ15" s="498">
        <f t="shared" si="7"/>
        <v>0</v>
      </c>
      <c r="AU15" s="498">
        <f t="shared" si="8"/>
        <v>1</v>
      </c>
      <c r="AV15" s="498">
        <f t="shared" si="9"/>
        <v>1</v>
      </c>
      <c r="AW15" s="498">
        <f t="shared" si="10"/>
        <v>1</v>
      </c>
      <c r="AX15" s="498">
        <f t="shared" si="11"/>
        <v>1</v>
      </c>
      <c r="AY15" s="498">
        <f t="shared" si="12"/>
        <v>1</v>
      </c>
      <c r="BB15" s="498" t="str">
        <f t="shared" si="13"/>
        <v>Other</v>
      </c>
      <c r="BC15" s="743" t="str">
        <f t="shared" si="14"/>
        <v>A</v>
      </c>
      <c r="BD15" s="743" t="str">
        <f t="shared" si="15"/>
        <v>Dependent</v>
      </c>
      <c r="BE15" s="743" t="str">
        <f>IF(D15="","",VLOOKUP(D15,'General Basis'!$J$39:$K$46,2,0))</f>
        <v>RN3</v>
      </c>
      <c r="BF15" s="744" t="str">
        <f>IF(D15="","",VLOOKUP(D15,'General Basis'!$J$39:$L$46,3,0))</f>
        <v>Dubai</v>
      </c>
      <c r="BG15" s="744" t="str">
        <f t="shared" si="23"/>
        <v>AMale</v>
      </c>
      <c r="BH15" s="744" t="str">
        <f>IF(G15="","",IF(BF15="Abu Dhabi",IF(G15&lt;18,'General Basis'!$C$39,IF(G15&lt;41,'General Basis'!$C$40,IF(G15&lt;60,'General Basis'!$C$41,IF(G15&lt;65,'General Basis'!$C$42,'General Basis'!$C$43)))),IF(G15&lt;11,'General Basis'!$B$39,IF(G15&lt;18,'General Basis'!$B$40,IF(G15&lt;26,'General Basis'!$B$41,IF(G15&lt;31,'General Basis'!$B$42,IF(G15&lt;36,'General Basis'!$B$43,IF(G15&lt;41,'General Basis'!$B$44,IF(G15&lt;46,'General Basis'!$B$45,IF(G15&lt;51,'General Basis'!$B$46,IF(G15&lt;56,'General Basis'!$B$47,IF(G15&lt;60,'General Basis'!$B$48,IF(G15&lt;65,'General Basis'!$B$49,'General Basis'!$B$50)))))))))))))</f>
        <v>0 - 10</v>
      </c>
      <c r="BI15" s="744" t="str">
        <f t="shared" si="16"/>
        <v>Male</v>
      </c>
      <c r="BJ15" s="747">
        <f t="shared" si="24"/>
        <v>2204</v>
      </c>
      <c r="BK15" s="498" t="str">
        <f t="shared" si="17"/>
        <v>ABC</v>
      </c>
      <c r="BL15" s="498">
        <f t="shared" si="18"/>
        <v>2204</v>
      </c>
    </row>
    <row r="16" spans="1:69" ht="15.75" customHeight="1" x14ac:dyDescent="0.25">
      <c r="A16" s="762">
        <f t="shared" si="19"/>
        <v>11</v>
      </c>
      <c r="B16" s="229">
        <v>43678</v>
      </c>
      <c r="C16" s="223" t="s">
        <v>62</v>
      </c>
      <c r="D16" s="224" t="s">
        <v>271</v>
      </c>
      <c r="E16" s="225" t="s">
        <v>40</v>
      </c>
      <c r="F16" s="1036">
        <f t="shared" ref="F16:F79" si="26">IF(C16="","",IF($B16="","",((YEAR($F$3)-YEAR($B16))+(MONTH($F$3)-MONTH($B16))/12+(DAY($F$3)-DAY($B16))/(DATE(YEAR($F$3),12,31)-DATE(YEAR($F$3),1,1)+1))))</f>
        <v>5.6518264840182644</v>
      </c>
      <c r="G16" s="1037">
        <f t="shared" si="20"/>
        <v>6</v>
      </c>
      <c r="H16" s="225" t="s">
        <v>1401</v>
      </c>
      <c r="I16" s="1013"/>
      <c r="J16" s="1013"/>
      <c r="K16" s="1028"/>
      <c r="L16" s="1035" t="str">
        <f t="shared" si="25"/>
        <v/>
      </c>
      <c r="N16" s="730">
        <v>56</v>
      </c>
      <c r="O16" s="730">
        <v>59</v>
      </c>
      <c r="P16" s="1017">
        <f t="array" ref="P16">+SUM(IF(($C$6:$C$5331=LEFT(P$6,1))+($G$6:$G$5331&gt;=$N16)+($G$6:$G$5331&lt;($O16+1))+($D$6:$D$5331=P$3)=4,1))</f>
        <v>0</v>
      </c>
      <c r="Q16" s="1017">
        <f t="array" ref="Q16">+SUM(IF(($C$6:$C$5331=LEFT(Q$6,1))+($G$6:$G$5331&gt;=$N16)+($G$6:$G$5331&lt;($O16+1))+($D$6:$D$5331=Q$3)=4,1))</f>
        <v>0</v>
      </c>
      <c r="R16" s="1017">
        <f t="array" ref="R16">+SUM(IF(($C$6:$C$5331=LEFT(R$6,1))+($G$6:$G$5331&gt;=$N16)+($G$6:$G$5331&lt;($O16+1))+($D$6:$D$5331=R$3)=4,1))</f>
        <v>0</v>
      </c>
      <c r="S16" s="1017">
        <f t="array" ref="S16">+SUM(IF(($C$6:$C$5331=LEFT(S$6,1))+($G$6:$G$5331&gt;=$N16)+($G$6:$G$5331&lt;($O16+1))+($D$6:$D$5331=S$3)=4,1))</f>
        <v>0</v>
      </c>
      <c r="T16" s="1017">
        <f t="array" ref="T16">+SUM(IF(($C$6:$C$5331=LEFT(T$6,1))+($G$6:$G$5331&gt;=$N16)+($G$6:$G$5331&lt;($O16+1))+($D$6:$D$5331=T$3)=4,1))</f>
        <v>0</v>
      </c>
      <c r="U16" s="1017">
        <f t="array" ref="U16">+SUM(IF(($C$6:$C$5331=LEFT(U$6,1))+($G$6:$G$5331&gt;=$N16)+($G$6:$G$5331&lt;($O16+1))+($D$6:$D$5331=U$3)=4,1))</f>
        <v>0</v>
      </c>
      <c r="V16" s="1017">
        <f t="array" ref="V16">+SUM(IF(($C$6:$C$5331=LEFT(V$6,1))+($G$6:$G$5331&gt;=$N16)+($G$6:$G$5331&lt;($O16+1))+($D$6:$D$5331=V$3)=4,1))</f>
        <v>0</v>
      </c>
      <c r="W16" s="1017">
        <f t="array" ref="W16">+SUM(IF(($C$6:$C$5331=LEFT(W$6,1))+($G$6:$G$5331&gt;=$N16)+($G$6:$G$5331&lt;($O16+1))+($D$6:$D$5331=W$3)=4,1))</f>
        <v>0</v>
      </c>
      <c r="X16" s="1017">
        <f t="array" ref="X16">+SUM(IF(($C$6:$C$5331=LEFT(X$6,1))+($G$6:$G$5331&gt;=$N16)+($G$6:$G$5331&lt;($O16+1))+($D$6:$D$5331=X$3)=4,1))</f>
        <v>0</v>
      </c>
      <c r="Y16" s="1017">
        <f t="array" ref="Y16">+SUM(IF(($C$6:$C$5331=LEFT(Y$6,1))+($G$6:$G$5331&gt;=$N16)+($G$6:$G$5331&lt;($O16+1))+($D$6:$D$5331=Y$3)=4,1))</f>
        <v>0</v>
      </c>
      <c r="Z16" s="1017">
        <f t="array" ref="Z16">+SUM(IF(($C$6:$C$5331=LEFT(Z$6,1))+($G$6:$G$5331&gt;=$N16)+($G$6:$G$5331&lt;($O16+1))+($D$6:$D$5331=Z$3)=4,1))</f>
        <v>0</v>
      </c>
      <c r="AA16" s="1017">
        <f t="array" ref="AA16">+SUM(IF(($C$6:$C$5331=LEFT(AA$6,1))+($G$6:$G$5331&gt;=$N16)+($G$6:$G$5331&lt;($O16+1))+($D$6:$D$5331=AA$3)=4,1))</f>
        <v>0</v>
      </c>
      <c r="AB16" s="1017">
        <f t="array" ref="AB16">+SUM(IF(($C$6:$C$5331=LEFT(AB$6,1))+($G$6:$G$5331&gt;=$N16)+($G$6:$G$5331&lt;($O16+1))+($D$6:$D$5331=AB$3)=4,1))</f>
        <v>0</v>
      </c>
      <c r="AC16" s="1017">
        <f t="array" ref="AC16">+SUM(IF(($C$6:$C$5331=LEFT(AC$6,1))+($G$6:$G$5331&gt;=$N16)+($G$6:$G$5331&lt;($O16+1))+($D$6:$D$5331=AC$3)=4,1))</f>
        <v>0</v>
      </c>
      <c r="AD16" s="1017">
        <f t="array" ref="AD16">+SUM(IF(($C$6:$C$5331=LEFT(AD$6,1))+($G$6:$G$5331&gt;=$N16)+($G$6:$G$5331&lt;($O16+1))+($D$6:$D$5331=AD$3)=4,1))</f>
        <v>0</v>
      </c>
      <c r="AE16" s="1017">
        <f t="array" ref="AE16">+SUM(IF(($C$6:$C$5331=LEFT(AE$6,1))+($G$6:$G$5331&gt;=$N16)+($G$6:$G$5331&lt;($O16+1))+($D$6:$D$5331=AE$3)=4,1))</f>
        <v>0</v>
      </c>
      <c r="AF16" s="1017">
        <f t="shared" si="21"/>
        <v>0</v>
      </c>
      <c r="AG16" s="1017">
        <f t="shared" si="22"/>
        <v>0</v>
      </c>
      <c r="AJ16" s="498"/>
      <c r="AM16" s="498">
        <f t="shared" si="3"/>
        <v>0</v>
      </c>
      <c r="AN16" s="498">
        <f t="shared" ca="1" si="4"/>
        <v>0</v>
      </c>
      <c r="AO16" s="498">
        <f t="shared" ca="1" si="5"/>
        <v>0</v>
      </c>
      <c r="AP16" s="498">
        <f t="shared" si="6"/>
        <v>0</v>
      </c>
      <c r="AQ16" s="498">
        <f t="shared" si="7"/>
        <v>0</v>
      </c>
      <c r="AU16" s="498">
        <f t="shared" si="8"/>
        <v>1</v>
      </c>
      <c r="AV16" s="498">
        <f t="shared" si="9"/>
        <v>1</v>
      </c>
      <c r="AW16" s="498">
        <f t="shared" si="10"/>
        <v>1</v>
      </c>
      <c r="AX16" s="498">
        <f t="shared" si="11"/>
        <v>1</v>
      </c>
      <c r="AY16" s="498">
        <f t="shared" si="12"/>
        <v>1</v>
      </c>
      <c r="BB16" s="498" t="str">
        <f t="shared" si="13"/>
        <v>Other</v>
      </c>
      <c r="BC16" s="743" t="str">
        <f t="shared" si="14"/>
        <v>A</v>
      </c>
      <c r="BD16" s="743" t="str">
        <f t="shared" si="15"/>
        <v>Dependent</v>
      </c>
      <c r="BE16" s="743" t="str">
        <f>IF(D16="","",VLOOKUP(D16,'General Basis'!$J$39:$K$46,2,0))</f>
        <v>RN3</v>
      </c>
      <c r="BF16" s="744" t="str">
        <f>IF(D16="","",VLOOKUP(D16,'General Basis'!$J$39:$L$46,3,0))</f>
        <v>Dubai</v>
      </c>
      <c r="BG16" s="744" t="str">
        <f t="shared" si="23"/>
        <v>AFemale</v>
      </c>
      <c r="BH16" s="744" t="str">
        <f>IF(G16="","",IF(BF16="Abu Dhabi",IF(G16&lt;18,'General Basis'!$C$39,IF(G16&lt;41,'General Basis'!$C$40,IF(G16&lt;60,'General Basis'!$C$41,IF(G16&lt;65,'General Basis'!$C$42,'General Basis'!$C$43)))),IF(G16&lt;11,'General Basis'!$B$39,IF(G16&lt;18,'General Basis'!$B$40,IF(G16&lt;26,'General Basis'!$B$41,IF(G16&lt;31,'General Basis'!$B$42,IF(G16&lt;36,'General Basis'!$B$43,IF(G16&lt;41,'General Basis'!$B$44,IF(G16&lt;46,'General Basis'!$B$45,IF(G16&lt;51,'General Basis'!$B$46,IF(G16&lt;56,'General Basis'!$B$47,IF(G16&lt;60,'General Basis'!$B$48,IF(G16&lt;65,'General Basis'!$B$49,'General Basis'!$B$50)))))))))))))</f>
        <v>0 - 10</v>
      </c>
      <c r="BI16" s="744" t="str">
        <f t="shared" si="16"/>
        <v>Female</v>
      </c>
      <c r="BJ16" s="747">
        <f t="shared" si="24"/>
        <v>2080</v>
      </c>
      <c r="BK16" s="498" t="str">
        <f t="shared" si="17"/>
        <v>ABC</v>
      </c>
      <c r="BL16" s="498">
        <f t="shared" si="18"/>
        <v>2080</v>
      </c>
    </row>
    <row r="17" spans="1:64" x14ac:dyDescent="0.25">
      <c r="A17" s="762">
        <f t="shared" si="19"/>
        <v>12</v>
      </c>
      <c r="B17" s="229"/>
      <c r="C17" s="223"/>
      <c r="D17" s="224"/>
      <c r="E17" s="225"/>
      <c r="F17" s="1036" t="str">
        <f t="shared" si="26"/>
        <v/>
      </c>
      <c r="G17" s="1037" t="str">
        <f t="shared" si="20"/>
        <v/>
      </c>
      <c r="H17" s="225"/>
      <c r="I17" s="1013"/>
      <c r="J17" s="1013"/>
      <c r="K17" s="1028"/>
      <c r="L17" s="1035" t="str">
        <f t="shared" si="25"/>
        <v/>
      </c>
      <c r="N17" s="730">
        <v>60</v>
      </c>
      <c r="O17" s="730">
        <v>64</v>
      </c>
      <c r="P17" s="1017">
        <f t="array" ref="P17">+SUM(IF(($C$6:$C$5331=LEFT(P$6,1))+($G$6:$G$5331&gt;=$N17)+($G$6:$G$5331&lt;($O17+1))+($D$6:$D$5331=P$3)=4,1))</f>
        <v>0</v>
      </c>
      <c r="Q17" s="1017">
        <f t="array" ref="Q17">+SUM(IF(($C$6:$C$5331=LEFT(Q$6,1))+($G$6:$G$5331&gt;=$N17)+($G$6:$G$5331&lt;($O17+1))+($D$6:$D$5331=Q$3)=4,1))</f>
        <v>0</v>
      </c>
      <c r="R17" s="1017">
        <f t="array" ref="R17">+SUM(IF(($C$6:$C$5331=LEFT(R$6,1))+($G$6:$G$5331&gt;=$N17)+($G$6:$G$5331&lt;($O17+1))+($D$6:$D$5331=R$3)=4,1))</f>
        <v>0</v>
      </c>
      <c r="S17" s="1017">
        <f t="array" ref="S17">+SUM(IF(($C$6:$C$5331=LEFT(S$6,1))+($G$6:$G$5331&gt;=$N17)+($G$6:$G$5331&lt;($O17+1))+($D$6:$D$5331=S$3)=4,1))</f>
        <v>0</v>
      </c>
      <c r="T17" s="1017">
        <f t="array" ref="T17">+SUM(IF(($C$6:$C$5331=LEFT(T$6,1))+($G$6:$G$5331&gt;=$N17)+($G$6:$G$5331&lt;($O17+1))+($D$6:$D$5331=T$3)=4,1))</f>
        <v>0</v>
      </c>
      <c r="U17" s="1017">
        <f t="array" ref="U17">+SUM(IF(($C$6:$C$5331=LEFT(U$6,1))+($G$6:$G$5331&gt;=$N17)+($G$6:$G$5331&lt;($O17+1))+($D$6:$D$5331=U$3)=4,1))</f>
        <v>0</v>
      </c>
      <c r="V17" s="1017">
        <f t="array" ref="V17">+SUM(IF(($C$6:$C$5331=LEFT(V$6,1))+($G$6:$G$5331&gt;=$N17)+($G$6:$G$5331&lt;($O17+1))+($D$6:$D$5331=V$3)=4,1))</f>
        <v>0</v>
      </c>
      <c r="W17" s="1017">
        <f t="array" ref="W17">+SUM(IF(($C$6:$C$5331=LEFT(W$6,1))+($G$6:$G$5331&gt;=$N17)+($G$6:$G$5331&lt;($O17+1))+($D$6:$D$5331=W$3)=4,1))</f>
        <v>0</v>
      </c>
      <c r="X17" s="1017">
        <f t="array" ref="X17">+SUM(IF(($C$6:$C$5331=LEFT(X$6,1))+($G$6:$G$5331&gt;=$N17)+($G$6:$G$5331&lt;($O17+1))+($D$6:$D$5331=X$3)=4,1))</f>
        <v>0</v>
      </c>
      <c r="Y17" s="1017">
        <f t="array" ref="Y17">+SUM(IF(($C$6:$C$5331=LEFT(Y$6,1))+($G$6:$G$5331&gt;=$N17)+($G$6:$G$5331&lt;($O17+1))+($D$6:$D$5331=Y$3)=4,1))</f>
        <v>0</v>
      </c>
      <c r="Z17" s="1017">
        <f t="array" ref="Z17">+SUM(IF(($C$6:$C$5331=LEFT(Z$6,1))+($G$6:$G$5331&gt;=$N17)+($G$6:$G$5331&lt;($O17+1))+($D$6:$D$5331=Z$3)=4,1))</f>
        <v>0</v>
      </c>
      <c r="AA17" s="1017">
        <f t="array" ref="AA17">+SUM(IF(($C$6:$C$5331=LEFT(AA$6,1))+($G$6:$G$5331&gt;=$N17)+($G$6:$G$5331&lt;($O17+1))+($D$6:$D$5331=AA$3)=4,1))</f>
        <v>0</v>
      </c>
      <c r="AB17" s="1017">
        <f t="array" ref="AB17">+SUM(IF(($C$6:$C$5331=LEFT(AB$6,1))+($G$6:$G$5331&gt;=$N17)+($G$6:$G$5331&lt;($O17+1))+($D$6:$D$5331=AB$3)=4,1))</f>
        <v>0</v>
      </c>
      <c r="AC17" s="1017">
        <f t="array" ref="AC17">+SUM(IF(($C$6:$C$5331=LEFT(AC$6,1))+($G$6:$G$5331&gt;=$N17)+($G$6:$G$5331&lt;($O17+1))+($D$6:$D$5331=AC$3)=4,1))</f>
        <v>0</v>
      </c>
      <c r="AD17" s="1017">
        <f t="array" ref="AD17">+SUM(IF(($C$6:$C$5331=LEFT(AD$6,1))+($G$6:$G$5331&gt;=$N17)+($G$6:$G$5331&lt;($O17+1))+($D$6:$D$5331=AD$3)=4,1))</f>
        <v>0</v>
      </c>
      <c r="AE17" s="1017">
        <f t="array" ref="AE17">+SUM(IF(($C$6:$C$5331=LEFT(AE$6,1))+($G$6:$G$5331&gt;=$N17)+($G$6:$G$5331&lt;($O17+1))+($D$6:$D$5331=AE$3)=4,1))</f>
        <v>0</v>
      </c>
      <c r="AF17" s="1017">
        <f t="shared" si="21"/>
        <v>0</v>
      </c>
      <c r="AG17" s="1017">
        <f t="shared" si="22"/>
        <v>0</v>
      </c>
      <c r="AJ17" s="498"/>
      <c r="AM17" s="498">
        <f t="shared" si="3"/>
        <v>0</v>
      </c>
      <c r="AN17" s="498">
        <f t="shared" si="4"/>
        <v>0</v>
      </c>
      <c r="AO17" s="498">
        <f t="shared" si="5"/>
        <v>0</v>
      </c>
      <c r="AP17" s="498">
        <f t="shared" si="6"/>
        <v>0</v>
      </c>
      <c r="AQ17" s="498">
        <f t="shared" si="7"/>
        <v>0</v>
      </c>
      <c r="AU17" s="498">
        <f t="shared" si="8"/>
        <v>0</v>
      </c>
      <c r="AV17" s="498">
        <f t="shared" si="9"/>
        <v>0</v>
      </c>
      <c r="AW17" s="498">
        <f t="shared" si="10"/>
        <v>0</v>
      </c>
      <c r="AX17" s="498">
        <f t="shared" si="11"/>
        <v>0</v>
      </c>
      <c r="AY17" s="498">
        <f t="shared" si="12"/>
        <v>0</v>
      </c>
      <c r="BB17" s="498" t="str">
        <f t="shared" si="13"/>
        <v/>
      </c>
      <c r="BC17" s="743" t="str">
        <f t="shared" si="14"/>
        <v/>
      </c>
      <c r="BD17" s="743" t="str">
        <f t="shared" si="15"/>
        <v/>
      </c>
      <c r="BE17" s="743" t="str">
        <f>IF(D17="","",VLOOKUP(D17,'General Basis'!$J$39:$K$46,2,0))</f>
        <v/>
      </c>
      <c r="BF17" s="744" t="str">
        <f>IF(D17="","",VLOOKUP(D17,'General Basis'!$J$39:$L$46,3,0))</f>
        <v/>
      </c>
      <c r="BG17" s="744" t="str">
        <f t="shared" si="23"/>
        <v/>
      </c>
      <c r="BH17" s="744" t="str">
        <f>IF(G17="","",IF(BF17="Abu Dhabi",IF(G17&lt;18,'General Basis'!$C$39,IF(G17&lt;41,'General Basis'!$C$40,IF(G17&lt;60,'General Basis'!$C$41,IF(G17&lt;65,'General Basis'!$C$42,'General Basis'!$C$43)))),IF(G17&lt;11,'General Basis'!$B$39,IF(G17&lt;18,'General Basis'!$B$40,IF(G17&lt;26,'General Basis'!$B$41,IF(G17&lt;31,'General Basis'!$B$42,IF(G17&lt;36,'General Basis'!$B$43,IF(G17&lt;41,'General Basis'!$B$44,IF(G17&lt;46,'General Basis'!$B$45,IF(G17&lt;51,'General Basis'!$B$46,IF(G17&lt;56,'General Basis'!$B$47,IF(G17&lt;60,'General Basis'!$B$48,IF(G17&lt;65,'General Basis'!$B$49,'General Basis'!$B$50)))))))))))))</f>
        <v/>
      </c>
      <c r="BI17" s="744" t="str">
        <f t="shared" si="16"/>
        <v/>
      </c>
      <c r="BJ17" s="747" t="str">
        <f t="shared" si="24"/>
        <v/>
      </c>
      <c r="BK17" s="498" t="str">
        <f t="shared" si="17"/>
        <v/>
      </c>
      <c r="BL17" s="498" t="str">
        <f t="shared" si="18"/>
        <v/>
      </c>
    </row>
    <row r="18" spans="1:64" x14ac:dyDescent="0.25">
      <c r="A18" s="762">
        <f t="shared" si="19"/>
        <v>13</v>
      </c>
      <c r="B18" s="229"/>
      <c r="C18" s="223"/>
      <c r="D18" s="224"/>
      <c r="E18" s="225"/>
      <c r="F18" s="1036" t="str">
        <f t="shared" si="26"/>
        <v/>
      </c>
      <c r="G18" s="1037" t="str">
        <f t="shared" si="20"/>
        <v/>
      </c>
      <c r="H18" s="225"/>
      <c r="I18" s="1013"/>
      <c r="J18" s="1013"/>
      <c r="K18" s="1028"/>
      <c r="L18" s="1035" t="str">
        <f t="shared" si="25"/>
        <v/>
      </c>
      <c r="N18" s="730">
        <v>65</v>
      </c>
      <c r="O18" s="730">
        <v>99</v>
      </c>
      <c r="P18" s="1017">
        <f t="array" ref="P18">+SUM(IF(($C$6:$C$5331=LEFT(P$6,1))+($G$6:$G$5331&gt;=$N18)+($G$6:$G$5331&lt;($O18+1))+($D$6:$D$5331=P$3)=4,1))</f>
        <v>0</v>
      </c>
      <c r="Q18" s="1017">
        <f t="array" ref="Q18">+SUM(IF(($C$6:$C$5331=LEFT(Q$6,1))+($G$6:$G$5331&gt;=$N18)+($G$6:$G$5331&lt;($O18+1))+($D$6:$D$5331=Q$3)=4,1))</f>
        <v>0</v>
      </c>
      <c r="R18" s="1017">
        <f t="array" ref="R18">+SUM(IF(($C$6:$C$5331=LEFT(R$6,1))+($G$6:$G$5331&gt;=$N18)+($G$6:$G$5331&lt;($O18+1))+($D$6:$D$5331=R$3)=4,1))</f>
        <v>0</v>
      </c>
      <c r="S18" s="1017">
        <f t="array" ref="S18">+SUM(IF(($C$6:$C$5331=LEFT(S$6,1))+($G$6:$G$5331&gt;=$N18)+($G$6:$G$5331&lt;($O18+1))+($D$6:$D$5331=S$3)=4,1))</f>
        <v>0</v>
      </c>
      <c r="T18" s="1017">
        <f t="array" ref="T18">+SUM(IF(($C$6:$C$5331=LEFT(T$6,1))+($G$6:$G$5331&gt;=$N18)+($G$6:$G$5331&lt;($O18+1))+($D$6:$D$5331=T$3)=4,1))</f>
        <v>0</v>
      </c>
      <c r="U18" s="1017">
        <f t="array" ref="U18">+SUM(IF(($C$6:$C$5331=LEFT(U$6,1))+($G$6:$G$5331&gt;=$N18)+($G$6:$G$5331&lt;($O18+1))+($D$6:$D$5331=U$3)=4,1))</f>
        <v>0</v>
      </c>
      <c r="V18" s="1017">
        <f t="array" ref="V18">+SUM(IF(($C$6:$C$5331=LEFT(V$6,1))+($G$6:$G$5331&gt;=$N18)+($G$6:$G$5331&lt;($O18+1))+($D$6:$D$5331=V$3)=4,1))</f>
        <v>0</v>
      </c>
      <c r="W18" s="1017">
        <f t="array" ref="W18">+SUM(IF(($C$6:$C$5331=LEFT(W$6,1))+($G$6:$G$5331&gt;=$N18)+($G$6:$G$5331&lt;($O18+1))+($D$6:$D$5331=W$3)=4,1))</f>
        <v>0</v>
      </c>
      <c r="X18" s="1017">
        <f t="array" ref="X18">+SUM(IF(($C$6:$C$5331=LEFT(X$6,1))+($G$6:$G$5331&gt;=$N18)+($G$6:$G$5331&lt;($O18+1))+($D$6:$D$5331=X$3)=4,1))</f>
        <v>0</v>
      </c>
      <c r="Y18" s="1017">
        <f t="array" ref="Y18">+SUM(IF(($C$6:$C$5331=LEFT(Y$6,1))+($G$6:$G$5331&gt;=$N18)+($G$6:$G$5331&lt;($O18+1))+($D$6:$D$5331=Y$3)=4,1))</f>
        <v>0</v>
      </c>
      <c r="Z18" s="1017">
        <f t="array" ref="Z18">+SUM(IF(($C$6:$C$5331=LEFT(Z$6,1))+($G$6:$G$5331&gt;=$N18)+($G$6:$G$5331&lt;($O18+1))+($D$6:$D$5331=Z$3)=4,1))</f>
        <v>0</v>
      </c>
      <c r="AA18" s="1017">
        <f t="array" ref="AA18">+SUM(IF(($C$6:$C$5331=LEFT(AA$6,1))+($G$6:$G$5331&gt;=$N18)+($G$6:$G$5331&lt;($O18+1))+($D$6:$D$5331=AA$3)=4,1))</f>
        <v>0</v>
      </c>
      <c r="AB18" s="1017">
        <f t="array" ref="AB18">+SUM(IF(($C$6:$C$5331=LEFT(AB$6,1))+($G$6:$G$5331&gt;=$N18)+($G$6:$G$5331&lt;($O18+1))+($D$6:$D$5331=AB$3)=4,1))</f>
        <v>0</v>
      </c>
      <c r="AC18" s="1017">
        <f t="array" ref="AC18">+SUM(IF(($C$6:$C$5331=LEFT(AC$6,1))+($G$6:$G$5331&gt;=$N18)+($G$6:$G$5331&lt;($O18+1))+($D$6:$D$5331=AC$3)=4,1))</f>
        <v>0</v>
      </c>
      <c r="AD18" s="1017">
        <f t="array" ref="AD18">+SUM(IF(($C$6:$C$5331=LEFT(AD$6,1))+($G$6:$G$5331&gt;=$N18)+($G$6:$G$5331&lt;($O18+1))+($D$6:$D$5331=AD$3)=4,1))</f>
        <v>0</v>
      </c>
      <c r="AE18" s="1017">
        <f t="array" ref="AE18">+SUM(IF(($C$6:$C$5331=LEFT(AE$6,1))+($G$6:$G$5331&gt;=$N18)+($G$6:$G$5331&lt;($O18+1))+($D$6:$D$5331=AE$3)=4,1))</f>
        <v>0</v>
      </c>
      <c r="AF18" s="1017">
        <f t="shared" si="21"/>
        <v>0</v>
      </c>
      <c r="AG18" s="1017">
        <f t="shared" si="22"/>
        <v>0</v>
      </c>
      <c r="AJ18" s="498"/>
      <c r="AM18" s="498">
        <f t="shared" si="3"/>
        <v>0</v>
      </c>
      <c r="AN18" s="498">
        <f t="shared" si="4"/>
        <v>0</v>
      </c>
      <c r="AO18" s="498">
        <f t="shared" si="5"/>
        <v>0</v>
      </c>
      <c r="AP18" s="498">
        <f t="shared" si="6"/>
        <v>0</v>
      </c>
      <c r="AQ18" s="498">
        <f t="shared" si="7"/>
        <v>0</v>
      </c>
      <c r="AU18" s="498">
        <f t="shared" si="8"/>
        <v>0</v>
      </c>
      <c r="AV18" s="498">
        <f t="shared" si="9"/>
        <v>0</v>
      </c>
      <c r="AW18" s="498">
        <f t="shared" si="10"/>
        <v>0</v>
      </c>
      <c r="AX18" s="498">
        <f t="shared" si="11"/>
        <v>0</v>
      </c>
      <c r="AY18" s="498">
        <f t="shared" si="12"/>
        <v>0</v>
      </c>
      <c r="BB18" s="498" t="str">
        <f t="shared" si="13"/>
        <v/>
      </c>
      <c r="BC18" s="743" t="str">
        <f t="shared" si="14"/>
        <v/>
      </c>
      <c r="BD18" s="743" t="str">
        <f t="shared" si="15"/>
        <v/>
      </c>
      <c r="BE18" s="743" t="str">
        <f>IF(D18="","",VLOOKUP(D18,'General Basis'!$J$39:$K$46,2,0))</f>
        <v/>
      </c>
      <c r="BF18" s="744" t="str">
        <f>IF(D18="","",VLOOKUP(D18,'General Basis'!$J$39:$L$46,3,0))</f>
        <v/>
      </c>
      <c r="BG18" s="744" t="str">
        <f t="shared" si="23"/>
        <v/>
      </c>
      <c r="BH18" s="744" t="str">
        <f>IF(G18="","",IF(BF18="Abu Dhabi",IF(G18&lt;18,'General Basis'!$C$39,IF(G18&lt;41,'General Basis'!$C$40,IF(G18&lt;60,'General Basis'!$C$41,IF(G18&lt;65,'General Basis'!$C$42,'General Basis'!$C$43)))),IF(G18&lt;11,'General Basis'!$B$39,IF(G18&lt;18,'General Basis'!$B$40,IF(G18&lt;26,'General Basis'!$B$41,IF(G18&lt;31,'General Basis'!$B$42,IF(G18&lt;36,'General Basis'!$B$43,IF(G18&lt;41,'General Basis'!$B$44,IF(G18&lt;46,'General Basis'!$B$45,IF(G18&lt;51,'General Basis'!$B$46,IF(G18&lt;56,'General Basis'!$B$47,IF(G18&lt;60,'General Basis'!$B$48,IF(G18&lt;65,'General Basis'!$B$49,'General Basis'!$B$50)))))))))))))</f>
        <v/>
      </c>
      <c r="BI18" s="744" t="str">
        <f t="shared" si="16"/>
        <v/>
      </c>
      <c r="BJ18" s="747" t="str">
        <f t="shared" si="24"/>
        <v/>
      </c>
      <c r="BK18" s="498" t="str">
        <f t="shared" si="17"/>
        <v/>
      </c>
      <c r="BL18" s="498" t="str">
        <f t="shared" si="18"/>
        <v/>
      </c>
    </row>
    <row r="19" spans="1:64" ht="14.25" customHeight="1" x14ac:dyDescent="0.25">
      <c r="A19" s="762">
        <f t="shared" si="19"/>
        <v>14</v>
      </c>
      <c r="B19" s="229"/>
      <c r="C19" s="223"/>
      <c r="D19" s="224"/>
      <c r="E19" s="225"/>
      <c r="F19" s="1036" t="str">
        <f t="shared" si="26"/>
        <v/>
      </c>
      <c r="G19" s="1037" t="str">
        <f t="shared" si="20"/>
        <v/>
      </c>
      <c r="H19" s="225"/>
      <c r="I19" s="1013"/>
      <c r="J19" s="1013"/>
      <c r="K19" s="1028"/>
      <c r="L19" s="1035" t="str">
        <f t="shared" si="25"/>
        <v/>
      </c>
      <c r="N19" s="230" t="s">
        <v>72</v>
      </c>
      <c r="O19" s="231"/>
      <c r="P19" s="728">
        <f>SUM(P7:P17)</f>
        <v>6</v>
      </c>
      <c r="Q19" s="728">
        <f>SUM(Q7:Q17)</f>
        <v>5</v>
      </c>
      <c r="R19" s="728">
        <f>SUM(R7:R17)</f>
        <v>0</v>
      </c>
      <c r="S19" s="728">
        <f>SUM(S7:S17)</f>
        <v>0</v>
      </c>
      <c r="T19" s="728">
        <f t="shared" ref="T19:AG19" si="27">SUM(T7:T17)</f>
        <v>0</v>
      </c>
      <c r="U19" s="728">
        <f t="shared" si="27"/>
        <v>0</v>
      </c>
      <c r="V19" s="728">
        <f t="shared" si="27"/>
        <v>0</v>
      </c>
      <c r="W19" s="728">
        <f t="shared" si="27"/>
        <v>0</v>
      </c>
      <c r="X19" s="728">
        <f t="shared" si="27"/>
        <v>0</v>
      </c>
      <c r="Y19" s="728">
        <f t="shared" si="27"/>
        <v>0</v>
      </c>
      <c r="Z19" s="728">
        <f t="shared" si="27"/>
        <v>0</v>
      </c>
      <c r="AA19" s="728">
        <f t="shared" si="27"/>
        <v>0</v>
      </c>
      <c r="AB19" s="728">
        <f t="shared" si="27"/>
        <v>0</v>
      </c>
      <c r="AC19" s="728">
        <f t="shared" si="27"/>
        <v>0</v>
      </c>
      <c r="AD19" s="728">
        <f t="shared" si="27"/>
        <v>0</v>
      </c>
      <c r="AE19" s="728">
        <f t="shared" si="27"/>
        <v>0</v>
      </c>
      <c r="AF19" s="728">
        <f t="shared" si="27"/>
        <v>6</v>
      </c>
      <c r="AG19" s="728">
        <f t="shared" si="27"/>
        <v>5</v>
      </c>
      <c r="AJ19" s="498"/>
      <c r="AM19" s="498">
        <f t="shared" si="3"/>
        <v>0</v>
      </c>
      <c r="AN19" s="498">
        <f t="shared" si="4"/>
        <v>0</v>
      </c>
      <c r="AO19" s="498">
        <f t="shared" si="5"/>
        <v>0</v>
      </c>
      <c r="AP19" s="498">
        <f t="shared" si="6"/>
        <v>0</v>
      </c>
      <c r="AQ19" s="498">
        <f t="shared" si="7"/>
        <v>0</v>
      </c>
      <c r="AU19" s="498">
        <f t="shared" si="8"/>
        <v>0</v>
      </c>
      <c r="AV19" s="498">
        <f t="shared" si="9"/>
        <v>0</v>
      </c>
      <c r="AW19" s="498">
        <f t="shared" si="10"/>
        <v>0</v>
      </c>
      <c r="AX19" s="498">
        <f t="shared" si="11"/>
        <v>0</v>
      </c>
      <c r="AY19" s="498">
        <f t="shared" si="12"/>
        <v>0</v>
      </c>
      <c r="BB19" s="498" t="str">
        <f t="shared" si="13"/>
        <v/>
      </c>
      <c r="BC19" s="743" t="str">
        <f t="shared" si="14"/>
        <v/>
      </c>
      <c r="BD19" s="743" t="str">
        <f t="shared" si="15"/>
        <v/>
      </c>
      <c r="BE19" s="743" t="str">
        <f>IF(D19="","",VLOOKUP(D19,'General Basis'!$J$39:$K$46,2,0))</f>
        <v/>
      </c>
      <c r="BF19" s="744" t="str">
        <f>IF(D19="","",VLOOKUP(D19,'General Basis'!$J$39:$L$46,3,0))</f>
        <v/>
      </c>
      <c r="BG19" s="744" t="str">
        <f t="shared" si="23"/>
        <v/>
      </c>
      <c r="BH19" s="744" t="str">
        <f>IF(G19="","",IF(BF19="Abu Dhabi",IF(G19&lt;18,'General Basis'!$C$39,IF(G19&lt;41,'General Basis'!$C$40,IF(G19&lt;60,'General Basis'!$C$41,IF(G19&lt;65,'General Basis'!$C$42,'General Basis'!$C$43)))),IF(G19&lt;11,'General Basis'!$B$39,IF(G19&lt;18,'General Basis'!$B$40,IF(G19&lt;26,'General Basis'!$B$41,IF(G19&lt;31,'General Basis'!$B$42,IF(G19&lt;36,'General Basis'!$B$43,IF(G19&lt;41,'General Basis'!$B$44,IF(G19&lt;46,'General Basis'!$B$45,IF(G19&lt;51,'General Basis'!$B$46,IF(G19&lt;56,'General Basis'!$B$47,IF(G19&lt;60,'General Basis'!$B$48,IF(G19&lt;65,'General Basis'!$B$49,'General Basis'!$B$50)))))))))))))</f>
        <v/>
      </c>
      <c r="BI19" s="744" t="str">
        <f t="shared" si="16"/>
        <v/>
      </c>
      <c r="BJ19" s="747" t="str">
        <f t="shared" si="24"/>
        <v/>
      </c>
      <c r="BK19" s="498" t="str">
        <f t="shared" si="17"/>
        <v/>
      </c>
      <c r="BL19" s="498" t="str">
        <f t="shared" si="18"/>
        <v/>
      </c>
    </row>
    <row r="20" spans="1:64" x14ac:dyDescent="0.25">
      <c r="A20" s="762">
        <f t="shared" si="19"/>
        <v>15</v>
      </c>
      <c r="B20" s="229"/>
      <c r="C20" s="223"/>
      <c r="D20" s="224"/>
      <c r="E20" s="225"/>
      <c r="F20" s="1036" t="str">
        <f t="shared" si="26"/>
        <v/>
      </c>
      <c r="G20" s="1037" t="str">
        <f t="shared" si="20"/>
        <v/>
      </c>
      <c r="H20" s="225"/>
      <c r="I20" s="1013"/>
      <c r="J20" s="1013"/>
      <c r="K20" s="1028"/>
      <c r="L20" s="1035" t="str">
        <f t="shared" si="25"/>
        <v/>
      </c>
      <c r="N20" s="232" t="s">
        <v>73</v>
      </c>
      <c r="O20" s="231"/>
      <c r="P20" s="233"/>
      <c r="Q20" s="234">
        <f>P19+Q19</f>
        <v>11</v>
      </c>
      <c r="R20" s="233"/>
      <c r="S20" s="234">
        <f>R19+S19</f>
        <v>0</v>
      </c>
      <c r="T20" s="233"/>
      <c r="U20" s="234">
        <f>T19+U19</f>
        <v>0</v>
      </c>
      <c r="V20" s="233"/>
      <c r="W20" s="234">
        <f>V19+W19</f>
        <v>0</v>
      </c>
      <c r="X20" s="233"/>
      <c r="Y20" s="234">
        <f>X19+Y19</f>
        <v>0</v>
      </c>
      <c r="Z20" s="262"/>
      <c r="AA20" s="234">
        <f>Z19+AA19</f>
        <v>0</v>
      </c>
      <c r="AB20" s="262"/>
      <c r="AC20" s="234">
        <f>AB19+AC19</f>
        <v>0</v>
      </c>
      <c r="AD20" s="262"/>
      <c r="AE20" s="234">
        <f>AD19+AE19</f>
        <v>0</v>
      </c>
      <c r="AF20" s="233"/>
      <c r="AG20" s="234">
        <f>AF19+AG19</f>
        <v>11</v>
      </c>
      <c r="AJ20" s="498"/>
      <c r="AM20" s="498">
        <f t="shared" si="3"/>
        <v>0</v>
      </c>
      <c r="AN20" s="498">
        <f t="shared" si="4"/>
        <v>0</v>
      </c>
      <c r="AO20" s="498">
        <f t="shared" si="5"/>
        <v>0</v>
      </c>
      <c r="AP20" s="498">
        <f t="shared" si="6"/>
        <v>0</v>
      </c>
      <c r="AQ20" s="498">
        <f t="shared" si="7"/>
        <v>0</v>
      </c>
      <c r="AU20" s="498">
        <f t="shared" si="8"/>
        <v>0</v>
      </c>
      <c r="AV20" s="498">
        <f t="shared" si="9"/>
        <v>0</v>
      </c>
      <c r="AW20" s="498">
        <f t="shared" si="10"/>
        <v>0</v>
      </c>
      <c r="AX20" s="498">
        <f t="shared" si="11"/>
        <v>0</v>
      </c>
      <c r="AY20" s="498">
        <f t="shared" si="12"/>
        <v>0</v>
      </c>
      <c r="BB20" s="498" t="str">
        <f t="shared" si="13"/>
        <v/>
      </c>
      <c r="BC20" s="743" t="str">
        <f t="shared" si="14"/>
        <v/>
      </c>
      <c r="BD20" s="743" t="str">
        <f t="shared" si="15"/>
        <v/>
      </c>
      <c r="BE20" s="743" t="str">
        <f>IF(D20="","",VLOOKUP(D20,'General Basis'!$J$39:$K$46,2,0))</f>
        <v/>
      </c>
      <c r="BF20" s="744" t="str">
        <f>IF(D20="","",VLOOKUP(D20,'General Basis'!$J$39:$L$46,3,0))</f>
        <v/>
      </c>
      <c r="BG20" s="744" t="str">
        <f t="shared" si="23"/>
        <v/>
      </c>
      <c r="BH20" s="744" t="str">
        <f>IF(G20="","",IF(BF20="Abu Dhabi",IF(G20&lt;18,'General Basis'!$C$39,IF(G20&lt;41,'General Basis'!$C$40,IF(G20&lt;60,'General Basis'!$C$41,IF(G20&lt;65,'General Basis'!$C$42,'General Basis'!$C$43)))),IF(G20&lt;11,'General Basis'!$B$39,IF(G20&lt;18,'General Basis'!$B$40,IF(G20&lt;26,'General Basis'!$B$41,IF(G20&lt;31,'General Basis'!$B$42,IF(G20&lt;36,'General Basis'!$B$43,IF(G20&lt;41,'General Basis'!$B$44,IF(G20&lt;46,'General Basis'!$B$45,IF(G20&lt;51,'General Basis'!$B$46,IF(G20&lt;56,'General Basis'!$B$47,IF(G20&lt;60,'General Basis'!$B$48,IF(G20&lt;65,'General Basis'!$B$49,'General Basis'!$B$50)))))))))))))</f>
        <v/>
      </c>
      <c r="BI20" s="744" t="str">
        <f t="shared" si="16"/>
        <v/>
      </c>
      <c r="BJ20" s="747" t="str">
        <f t="shared" si="24"/>
        <v/>
      </c>
      <c r="BK20" s="498" t="str">
        <f t="shared" si="17"/>
        <v/>
      </c>
      <c r="BL20" s="498" t="str">
        <f t="shared" si="18"/>
        <v/>
      </c>
    </row>
    <row r="21" spans="1:64" x14ac:dyDescent="0.25">
      <c r="A21" s="762">
        <f t="shared" si="19"/>
        <v>16</v>
      </c>
      <c r="B21" s="229"/>
      <c r="C21" s="223"/>
      <c r="D21" s="224"/>
      <c r="E21" s="225"/>
      <c r="F21" s="1036" t="str">
        <f t="shared" si="26"/>
        <v/>
      </c>
      <c r="G21" s="1037" t="str">
        <f t="shared" si="20"/>
        <v/>
      </c>
      <c r="H21" s="225"/>
      <c r="I21" s="1013"/>
      <c r="J21" s="1013"/>
      <c r="K21" s="1028"/>
      <c r="L21" s="1035" t="str">
        <f t="shared" si="25"/>
        <v/>
      </c>
      <c r="N21" s="729" t="s">
        <v>1055</v>
      </c>
      <c r="O21" s="726">
        <v>65</v>
      </c>
      <c r="P21" s="727">
        <f t="array" ref="P21">+SUM(IF(($C$6:$C$5331=LEFT(P$6,1))+($G$6:$G$5331&gt;=$O21)+($D$6:$D$5331=P$3)=3,1))</f>
        <v>0</v>
      </c>
      <c r="Q21" s="727">
        <f t="array" ref="Q21">+SUM(IF(($C$6:$C$5331=LEFT(Q$6,1))+($G$6:$G$5331&gt;=$O21)+($D$6:$D$5331=Q$3)=3,1))</f>
        <v>0</v>
      </c>
      <c r="R21" s="727">
        <f t="array" ref="R21">+SUM(IF(($C$6:$C$5331=LEFT(R$6,1))+($G$6:$G$5331&gt;=$O21)+($D$6:$D$5331=R$3)=3,1))</f>
        <v>0</v>
      </c>
      <c r="S21" s="727">
        <f t="array" ref="S21">+SUM(IF(($C$6:$C$5331=LEFT(S$6,1))+($G$6:$G$5331&gt;=$O21)+($D$6:$D$5331=S$3)=3,1))</f>
        <v>0</v>
      </c>
      <c r="T21" s="727">
        <f t="array" ref="T21">+SUM(IF(($C$6:$C$5331=LEFT(T$6,1))+($G$6:$G$5331&gt;=$O21)+($D$6:$D$5331=T$3)=3,1))</f>
        <v>0</v>
      </c>
      <c r="U21" s="727">
        <f t="array" ref="U21">+SUM(IF(($C$6:$C$5331=LEFT(U$6,1))+($G$6:$G$5331&gt;=$O21)+($D$6:$D$5331=U$3)=3,1))</f>
        <v>0</v>
      </c>
      <c r="V21" s="727">
        <f t="array" ref="V21">+SUM(IF(($C$6:$C$5331=LEFT(V$6,1))+($G$6:$G$5331&gt;=$O21)+($D$6:$D$5331=V$3)=3,1))</f>
        <v>0</v>
      </c>
      <c r="W21" s="727">
        <f t="array" ref="W21">+SUM(IF(($C$6:$C$5331=LEFT(W$6,1))+($G$6:$G$5331&gt;=$O21)+($D$6:$D$5331=W$3)=3,1))</f>
        <v>0</v>
      </c>
      <c r="X21" s="727">
        <f t="array" ref="X21">+SUM(IF(($C$6:$C$5331=LEFT(X$6,1))+($G$6:$G$5331&gt;=$O21)+($D$6:$D$5331=X$3)=3,1))</f>
        <v>0</v>
      </c>
      <c r="Y21" s="727">
        <f t="array" ref="Y21">+SUM(IF(($C$6:$C$5331=LEFT(Y$6,1))+($G$6:$G$5331&gt;=$O21)+($D$6:$D$5331=Y$3)=3,1))</f>
        <v>0</v>
      </c>
      <c r="Z21" s="727">
        <f t="array" ref="Z21">+SUM(IF(($C$6:$C$5331=LEFT(Z$6,1))+($G$6:$G$5331&gt;=$O21)+($D$6:$D$5331=Z$3)=3,1))</f>
        <v>0</v>
      </c>
      <c r="AA21" s="727">
        <f t="array" ref="AA21">+SUM(IF(($C$6:$C$5331=LEFT(AA$6,1))+($G$6:$G$5331&gt;=$O21)+($D$6:$D$5331=AA$3)=3,1))</f>
        <v>0</v>
      </c>
      <c r="AB21" s="727">
        <f t="array" ref="AB21">+SUM(IF(($C$6:$C$5331=LEFT(AB$6,1))+($G$6:$G$5331&gt;=$O21)+($D$6:$D$5331=AB$3)=3,1))</f>
        <v>0</v>
      </c>
      <c r="AC21" s="727">
        <f t="array" ref="AC21">+SUM(IF(($C$6:$C$5331=LEFT(AC$6,1))+($G$6:$G$5331&gt;=$O21)+($D$6:$D$5331=AC$3)=3,1))</f>
        <v>0</v>
      </c>
      <c r="AD21" s="727">
        <f t="array" ref="AD21">+SUM(IF(($C$6:$C$5331=LEFT(AD$6,1))+($G$6:$G$5331&gt;=$O21)+($D$6:$D$5331=AD$3)=3,1))</f>
        <v>0</v>
      </c>
      <c r="AE21" s="727">
        <f t="array" ref="AE21">+SUM(IF(($C$6:$C$5331=LEFT(AE$6,1))+($G$6:$G$5331&gt;=$O21)+($D$6:$D$5331=AE$3)=3,1))</f>
        <v>0</v>
      </c>
      <c r="AF21" s="727">
        <f>P21+R21+T21+V21+X21+Z21+AB21+AD21</f>
        <v>0</v>
      </c>
      <c r="AG21" s="727">
        <f>Q21+S21+U21+W21+Y21+AA21+AC21+AE21</f>
        <v>0</v>
      </c>
      <c r="AJ21" s="498"/>
      <c r="AM21" s="498">
        <f t="shared" si="3"/>
        <v>0</v>
      </c>
      <c r="AN21" s="498">
        <f t="shared" si="4"/>
        <v>0</v>
      </c>
      <c r="AO21" s="498">
        <f t="shared" si="5"/>
        <v>0</v>
      </c>
      <c r="AP21" s="498">
        <f t="shared" si="6"/>
        <v>0</v>
      </c>
      <c r="AQ21" s="498">
        <f t="shared" si="7"/>
        <v>0</v>
      </c>
      <c r="AU21" s="498">
        <f t="shared" si="8"/>
        <v>0</v>
      </c>
      <c r="AV21" s="498">
        <f t="shared" si="9"/>
        <v>0</v>
      </c>
      <c r="AW21" s="498">
        <f t="shared" si="10"/>
        <v>0</v>
      </c>
      <c r="AX21" s="498">
        <f t="shared" si="11"/>
        <v>0</v>
      </c>
      <c r="AY21" s="498">
        <f t="shared" si="12"/>
        <v>0</v>
      </c>
      <c r="BB21" s="498" t="str">
        <f t="shared" si="13"/>
        <v/>
      </c>
      <c r="BC21" s="743" t="str">
        <f t="shared" si="14"/>
        <v/>
      </c>
      <c r="BD21" s="743" t="str">
        <f t="shared" si="15"/>
        <v/>
      </c>
      <c r="BE21" s="743" t="str">
        <f>IF(D21="","",VLOOKUP(D21,'General Basis'!$J$39:$K$46,2,0))</f>
        <v/>
      </c>
      <c r="BF21" s="744" t="str">
        <f>IF(D21="","",VLOOKUP(D21,'General Basis'!$J$39:$L$46,3,0))</f>
        <v/>
      </c>
      <c r="BG21" s="744" t="str">
        <f t="shared" si="23"/>
        <v/>
      </c>
      <c r="BH21" s="744" t="str">
        <f>IF(G21="","",IF(BF21="Abu Dhabi",IF(G21&lt;18,'General Basis'!$C$39,IF(G21&lt;41,'General Basis'!$C$40,IF(G21&lt;60,'General Basis'!$C$41,IF(G21&lt;65,'General Basis'!$C$42,'General Basis'!$C$43)))),IF(G21&lt;11,'General Basis'!$B$39,IF(G21&lt;18,'General Basis'!$B$40,IF(G21&lt;26,'General Basis'!$B$41,IF(G21&lt;31,'General Basis'!$B$42,IF(G21&lt;36,'General Basis'!$B$43,IF(G21&lt;41,'General Basis'!$B$44,IF(G21&lt;46,'General Basis'!$B$45,IF(G21&lt;51,'General Basis'!$B$46,IF(G21&lt;56,'General Basis'!$B$47,IF(G21&lt;60,'General Basis'!$B$48,IF(G21&lt;65,'General Basis'!$B$49,'General Basis'!$B$50)))))))))))))</f>
        <v/>
      </c>
      <c r="BI21" s="744" t="str">
        <f t="shared" si="16"/>
        <v/>
      </c>
      <c r="BJ21" s="747" t="str">
        <f t="shared" si="24"/>
        <v/>
      </c>
      <c r="BK21" s="498" t="str">
        <f t="shared" si="17"/>
        <v/>
      </c>
      <c r="BL21" s="498" t="str">
        <f t="shared" si="18"/>
        <v/>
      </c>
    </row>
    <row r="22" spans="1:64" x14ac:dyDescent="0.25">
      <c r="A22" s="762">
        <f t="shared" si="19"/>
        <v>17</v>
      </c>
      <c r="B22" s="229"/>
      <c r="C22" s="223"/>
      <c r="D22" s="224"/>
      <c r="E22" s="225"/>
      <c r="F22" s="1036" t="str">
        <f t="shared" si="26"/>
        <v/>
      </c>
      <c r="G22" s="1037" t="str">
        <f t="shared" si="20"/>
        <v/>
      </c>
      <c r="H22" s="225"/>
      <c r="I22" s="1013"/>
      <c r="J22" s="1013"/>
      <c r="K22" s="1028"/>
      <c r="L22" s="1035" t="str">
        <f t="shared" si="25"/>
        <v/>
      </c>
      <c r="N22" s="232" t="s">
        <v>74</v>
      </c>
      <c r="O22" s="231"/>
      <c r="P22" s="233"/>
      <c r="Q22" s="234">
        <f>P21+Q21</f>
        <v>0</v>
      </c>
      <c r="R22" s="233"/>
      <c r="S22" s="234">
        <f>R21+S21</f>
        <v>0</v>
      </c>
      <c r="T22" s="233"/>
      <c r="U22" s="234">
        <f>T21+U21</f>
        <v>0</v>
      </c>
      <c r="V22" s="233"/>
      <c r="W22" s="234">
        <f>V21+W21</f>
        <v>0</v>
      </c>
      <c r="X22" s="233"/>
      <c r="Y22" s="234">
        <f>X21+Y21</f>
        <v>0</v>
      </c>
      <c r="Z22" s="262"/>
      <c r="AA22" s="234">
        <f>Z21+AA21</f>
        <v>0</v>
      </c>
      <c r="AB22" s="262"/>
      <c r="AC22" s="234">
        <f>AB21+AC21</f>
        <v>0</v>
      </c>
      <c r="AD22" s="262"/>
      <c r="AE22" s="234">
        <f>AD21+AE21</f>
        <v>0</v>
      </c>
      <c r="AF22" s="233"/>
      <c r="AG22" s="234">
        <f>AF21+AG21</f>
        <v>0</v>
      </c>
      <c r="AJ22" s="498"/>
      <c r="AM22" s="498">
        <f t="shared" si="3"/>
        <v>0</v>
      </c>
      <c r="AN22" s="498">
        <f t="shared" si="4"/>
        <v>0</v>
      </c>
      <c r="AO22" s="498">
        <f t="shared" si="5"/>
        <v>0</v>
      </c>
      <c r="AP22" s="498">
        <f t="shared" si="6"/>
        <v>0</v>
      </c>
      <c r="AQ22" s="498">
        <f t="shared" si="7"/>
        <v>0</v>
      </c>
      <c r="AU22" s="498">
        <f t="shared" si="8"/>
        <v>0</v>
      </c>
      <c r="AV22" s="498">
        <f t="shared" si="9"/>
        <v>0</v>
      </c>
      <c r="AW22" s="498">
        <f t="shared" si="10"/>
        <v>0</v>
      </c>
      <c r="AX22" s="498">
        <f t="shared" si="11"/>
        <v>0</v>
      </c>
      <c r="AY22" s="498">
        <f t="shared" si="12"/>
        <v>0</v>
      </c>
      <c r="BB22" s="498" t="str">
        <f t="shared" si="13"/>
        <v/>
      </c>
      <c r="BC22" s="743" t="str">
        <f t="shared" si="14"/>
        <v/>
      </c>
      <c r="BD22" s="743" t="str">
        <f t="shared" si="15"/>
        <v/>
      </c>
      <c r="BE22" s="743" t="str">
        <f>IF(D22="","",VLOOKUP(D22,'General Basis'!$J$39:$K$46,2,0))</f>
        <v/>
      </c>
      <c r="BF22" s="744" t="str">
        <f>IF(D22="","",VLOOKUP(D22,'General Basis'!$J$39:$L$46,3,0))</f>
        <v/>
      </c>
      <c r="BG22" s="744" t="str">
        <f t="shared" si="23"/>
        <v/>
      </c>
      <c r="BH22" s="744" t="str">
        <f>IF(G22="","",IF(BF22="Abu Dhabi",IF(G22&lt;18,'General Basis'!$C$39,IF(G22&lt;41,'General Basis'!$C$40,IF(G22&lt;60,'General Basis'!$C$41,IF(G22&lt;65,'General Basis'!$C$42,'General Basis'!$C$43)))),IF(G22&lt;11,'General Basis'!$B$39,IF(G22&lt;18,'General Basis'!$B$40,IF(G22&lt;26,'General Basis'!$B$41,IF(G22&lt;31,'General Basis'!$B$42,IF(G22&lt;36,'General Basis'!$B$43,IF(G22&lt;41,'General Basis'!$B$44,IF(G22&lt;46,'General Basis'!$B$45,IF(G22&lt;51,'General Basis'!$B$46,IF(G22&lt;56,'General Basis'!$B$47,IF(G22&lt;60,'General Basis'!$B$48,IF(G22&lt;65,'General Basis'!$B$49,'General Basis'!$B$50)))))))))))))</f>
        <v/>
      </c>
      <c r="BI22" s="744" t="str">
        <f t="shared" si="16"/>
        <v/>
      </c>
      <c r="BJ22" s="747" t="str">
        <f t="shared" si="24"/>
        <v/>
      </c>
      <c r="BK22" s="498" t="str">
        <f t="shared" si="17"/>
        <v/>
      </c>
      <c r="BL22" s="498" t="str">
        <f t="shared" si="18"/>
        <v/>
      </c>
    </row>
    <row r="23" spans="1:64" ht="14.1" customHeight="1" x14ac:dyDescent="0.25">
      <c r="A23" s="762">
        <f t="shared" si="19"/>
        <v>18</v>
      </c>
      <c r="B23" s="229"/>
      <c r="C23" s="223"/>
      <c r="D23" s="224"/>
      <c r="E23" s="225"/>
      <c r="F23" s="1036" t="str">
        <f t="shared" si="26"/>
        <v/>
      </c>
      <c r="G23" s="1037" t="str">
        <f t="shared" si="20"/>
        <v/>
      </c>
      <c r="H23" s="225"/>
      <c r="I23" s="1013"/>
      <c r="J23" s="1013"/>
      <c r="K23" s="1028"/>
      <c r="L23" s="1035" t="str">
        <f t="shared" si="25"/>
        <v/>
      </c>
      <c r="N23" s="1316" t="s">
        <v>75</v>
      </c>
      <c r="O23" s="1317"/>
      <c r="P23" s="235"/>
      <c r="Q23" s="236">
        <f>Q20+Q22</f>
        <v>11</v>
      </c>
      <c r="R23" s="235"/>
      <c r="S23" s="236">
        <f>S20+S22</f>
        <v>0</v>
      </c>
      <c r="T23" s="235"/>
      <c r="U23" s="236">
        <f>U20+U22</f>
        <v>0</v>
      </c>
      <c r="V23" s="235"/>
      <c r="W23" s="236">
        <f>W20+W22</f>
        <v>0</v>
      </c>
      <c r="X23" s="235"/>
      <c r="Y23" s="236">
        <f>Y20+Y22</f>
        <v>0</v>
      </c>
      <c r="Z23" s="263"/>
      <c r="AA23" s="236">
        <f>AA20+AA22</f>
        <v>0</v>
      </c>
      <c r="AB23" s="263"/>
      <c r="AC23" s="236">
        <f>AC20+AC22</f>
        <v>0</v>
      </c>
      <c r="AD23" s="263"/>
      <c r="AE23" s="236">
        <f>AE20+AE22</f>
        <v>0</v>
      </c>
      <c r="AF23" s="235"/>
      <c r="AG23" s="236">
        <f>AG20+AG22</f>
        <v>11</v>
      </c>
      <c r="AJ23" s="498"/>
      <c r="AM23" s="498">
        <f t="shared" si="3"/>
        <v>0</v>
      </c>
      <c r="AN23" s="498">
        <f t="shared" si="4"/>
        <v>0</v>
      </c>
      <c r="AO23" s="498">
        <f t="shared" si="5"/>
        <v>0</v>
      </c>
      <c r="AP23" s="498">
        <f t="shared" si="6"/>
        <v>0</v>
      </c>
      <c r="AQ23" s="498">
        <f t="shared" si="7"/>
        <v>0</v>
      </c>
      <c r="AU23" s="498">
        <f t="shared" si="8"/>
        <v>0</v>
      </c>
      <c r="AV23" s="498">
        <f t="shared" si="9"/>
        <v>0</v>
      </c>
      <c r="AW23" s="498">
        <f t="shared" si="10"/>
        <v>0</v>
      </c>
      <c r="AX23" s="498">
        <f t="shared" si="11"/>
        <v>0</v>
      </c>
      <c r="AY23" s="498">
        <f t="shared" si="12"/>
        <v>0</v>
      </c>
      <c r="BB23" s="498" t="str">
        <f t="shared" si="13"/>
        <v/>
      </c>
      <c r="BC23" s="743" t="str">
        <f t="shared" si="14"/>
        <v/>
      </c>
      <c r="BD23" s="743" t="str">
        <f t="shared" si="15"/>
        <v/>
      </c>
      <c r="BE23" s="743" t="str">
        <f>IF(D23="","",VLOOKUP(D23,'General Basis'!$J$39:$K$46,2,0))</f>
        <v/>
      </c>
      <c r="BF23" s="744" t="str">
        <f>IF(D23="","",VLOOKUP(D23,'General Basis'!$J$39:$L$46,3,0))</f>
        <v/>
      </c>
      <c r="BG23" s="744" t="str">
        <f t="shared" si="23"/>
        <v/>
      </c>
      <c r="BH23" s="744" t="str">
        <f>IF(G23="","",IF(BF23="Abu Dhabi",IF(G23&lt;18,'General Basis'!$C$39,IF(G23&lt;41,'General Basis'!$C$40,IF(G23&lt;60,'General Basis'!$C$41,IF(G23&lt;65,'General Basis'!$C$42,'General Basis'!$C$43)))),IF(G23&lt;11,'General Basis'!$B$39,IF(G23&lt;18,'General Basis'!$B$40,IF(G23&lt;26,'General Basis'!$B$41,IF(G23&lt;31,'General Basis'!$B$42,IF(G23&lt;36,'General Basis'!$B$43,IF(G23&lt;41,'General Basis'!$B$44,IF(G23&lt;46,'General Basis'!$B$45,IF(G23&lt;51,'General Basis'!$B$46,IF(G23&lt;56,'General Basis'!$B$47,IF(G23&lt;60,'General Basis'!$B$48,IF(G23&lt;65,'General Basis'!$B$49,'General Basis'!$B$50)))))))))))))</f>
        <v/>
      </c>
      <c r="BI23" s="744" t="str">
        <f t="shared" si="16"/>
        <v/>
      </c>
      <c r="BJ23" s="747" t="str">
        <f t="shared" si="24"/>
        <v/>
      </c>
      <c r="BK23" s="498" t="str">
        <f t="shared" si="17"/>
        <v/>
      </c>
      <c r="BL23" s="498" t="str">
        <f t="shared" si="18"/>
        <v/>
      </c>
    </row>
    <row r="24" spans="1:64" x14ac:dyDescent="0.25">
      <c r="A24" s="762">
        <f t="shared" si="19"/>
        <v>19</v>
      </c>
      <c r="B24" s="229"/>
      <c r="C24" s="223"/>
      <c r="D24" s="224"/>
      <c r="E24" s="225"/>
      <c r="F24" s="1036" t="str">
        <f t="shared" si="26"/>
        <v/>
      </c>
      <c r="G24" s="1037" t="str">
        <f t="shared" si="20"/>
        <v/>
      </c>
      <c r="H24" s="225"/>
      <c r="I24" s="1013"/>
      <c r="J24" s="1013"/>
      <c r="K24" s="1028"/>
      <c r="L24" s="1035" t="str">
        <f t="shared" si="25"/>
        <v/>
      </c>
      <c r="S24" s="498"/>
      <c r="AJ24" s="498"/>
      <c r="AM24" s="498">
        <f t="shared" si="3"/>
        <v>0</v>
      </c>
      <c r="AN24" s="498">
        <f t="shared" si="4"/>
        <v>0</v>
      </c>
      <c r="AO24" s="498">
        <f t="shared" si="5"/>
        <v>0</v>
      </c>
      <c r="AP24" s="498">
        <f t="shared" si="6"/>
        <v>0</v>
      </c>
      <c r="AQ24" s="498">
        <f t="shared" si="7"/>
        <v>0</v>
      </c>
      <c r="AU24" s="498">
        <f t="shared" si="8"/>
        <v>0</v>
      </c>
      <c r="AV24" s="498">
        <f t="shared" si="9"/>
        <v>0</v>
      </c>
      <c r="AW24" s="498">
        <f t="shared" si="10"/>
        <v>0</v>
      </c>
      <c r="AX24" s="498">
        <f t="shared" si="11"/>
        <v>0</v>
      </c>
      <c r="AY24" s="498">
        <f t="shared" si="12"/>
        <v>0</v>
      </c>
      <c r="BB24" s="498" t="str">
        <f t="shared" si="13"/>
        <v/>
      </c>
      <c r="BC24" s="743" t="str">
        <f t="shared" si="14"/>
        <v/>
      </c>
      <c r="BD24" s="743" t="str">
        <f t="shared" si="15"/>
        <v/>
      </c>
      <c r="BE24" s="743" t="str">
        <f>IF(D24="","",VLOOKUP(D24,'General Basis'!$J$39:$K$46,2,0))</f>
        <v/>
      </c>
      <c r="BF24" s="744" t="str">
        <f>IF(D24="","",VLOOKUP(D24,'General Basis'!$J$39:$L$46,3,0))</f>
        <v/>
      </c>
      <c r="BG24" s="744" t="str">
        <f t="shared" si="23"/>
        <v/>
      </c>
      <c r="BH24" s="744" t="str">
        <f>IF(G24="","",IF(BF24="Abu Dhabi",IF(G24&lt;18,'General Basis'!$C$39,IF(G24&lt;41,'General Basis'!$C$40,IF(G24&lt;60,'General Basis'!$C$41,IF(G24&lt;65,'General Basis'!$C$42,'General Basis'!$C$43)))),IF(G24&lt;11,'General Basis'!$B$39,IF(G24&lt;18,'General Basis'!$B$40,IF(G24&lt;26,'General Basis'!$B$41,IF(G24&lt;31,'General Basis'!$B$42,IF(G24&lt;36,'General Basis'!$B$43,IF(G24&lt;41,'General Basis'!$B$44,IF(G24&lt;46,'General Basis'!$B$45,IF(G24&lt;51,'General Basis'!$B$46,IF(G24&lt;56,'General Basis'!$B$47,IF(G24&lt;60,'General Basis'!$B$48,IF(G24&lt;65,'General Basis'!$B$49,'General Basis'!$B$50)))))))))))))</f>
        <v/>
      </c>
      <c r="BI24" s="744" t="str">
        <f t="shared" si="16"/>
        <v/>
      </c>
      <c r="BJ24" s="747" t="str">
        <f t="shared" si="24"/>
        <v/>
      </c>
      <c r="BK24" s="498" t="str">
        <f t="shared" si="17"/>
        <v/>
      </c>
      <c r="BL24" s="498" t="str">
        <f t="shared" si="18"/>
        <v/>
      </c>
    </row>
    <row r="25" spans="1:64" ht="16.5" thickBot="1" x14ac:dyDescent="0.3">
      <c r="A25" s="762">
        <f t="shared" si="19"/>
        <v>20</v>
      </c>
      <c r="B25" s="229"/>
      <c r="C25" s="223"/>
      <c r="D25" s="224"/>
      <c r="E25" s="225"/>
      <c r="F25" s="1036" t="str">
        <f t="shared" si="26"/>
        <v/>
      </c>
      <c r="G25" s="1037" t="str">
        <f t="shared" si="20"/>
        <v/>
      </c>
      <c r="H25" s="225"/>
      <c r="I25" s="1013"/>
      <c r="J25" s="1013"/>
      <c r="K25" s="1028"/>
      <c r="L25" s="1035" t="str">
        <f t="shared" si="25"/>
        <v/>
      </c>
      <c r="S25" s="498"/>
      <c r="AJ25" s="498"/>
      <c r="AM25" s="498">
        <f t="shared" si="3"/>
        <v>0</v>
      </c>
      <c r="AN25" s="498">
        <f t="shared" si="4"/>
        <v>0</v>
      </c>
      <c r="AO25" s="498">
        <f t="shared" si="5"/>
        <v>0</v>
      </c>
      <c r="AP25" s="498">
        <f t="shared" si="6"/>
        <v>0</v>
      </c>
      <c r="AQ25" s="498">
        <f t="shared" si="7"/>
        <v>0</v>
      </c>
      <c r="AU25" s="498">
        <f t="shared" si="8"/>
        <v>0</v>
      </c>
      <c r="AV25" s="498">
        <f t="shared" si="9"/>
        <v>0</v>
      </c>
      <c r="AW25" s="498">
        <f t="shared" si="10"/>
        <v>0</v>
      </c>
      <c r="AX25" s="498">
        <f t="shared" si="11"/>
        <v>0</v>
      </c>
      <c r="AY25" s="498">
        <f t="shared" si="12"/>
        <v>0</v>
      </c>
      <c r="BB25" s="498" t="str">
        <f t="shared" si="13"/>
        <v/>
      </c>
      <c r="BC25" s="743" t="str">
        <f t="shared" si="14"/>
        <v/>
      </c>
      <c r="BD25" s="743" t="str">
        <f t="shared" si="15"/>
        <v/>
      </c>
      <c r="BE25" s="743" t="str">
        <f>IF(D25="","",VLOOKUP(D25,'General Basis'!$J$39:$K$46,2,0))</f>
        <v/>
      </c>
      <c r="BF25" s="744" t="str">
        <f>IF(D25="","",VLOOKUP(D25,'General Basis'!$J$39:$L$46,3,0))</f>
        <v/>
      </c>
      <c r="BG25" s="744" t="str">
        <f t="shared" si="23"/>
        <v/>
      </c>
      <c r="BH25" s="744" t="str">
        <f>IF(G25="","",IF(BF25="Abu Dhabi",IF(G25&lt;18,'General Basis'!$C$39,IF(G25&lt;41,'General Basis'!$C$40,IF(G25&lt;60,'General Basis'!$C$41,IF(G25&lt;65,'General Basis'!$C$42,'General Basis'!$C$43)))),IF(G25&lt;11,'General Basis'!$B$39,IF(G25&lt;18,'General Basis'!$B$40,IF(G25&lt;26,'General Basis'!$B$41,IF(G25&lt;31,'General Basis'!$B$42,IF(G25&lt;36,'General Basis'!$B$43,IF(G25&lt;41,'General Basis'!$B$44,IF(G25&lt;46,'General Basis'!$B$45,IF(G25&lt;51,'General Basis'!$B$46,IF(G25&lt;56,'General Basis'!$B$47,IF(G25&lt;60,'General Basis'!$B$48,IF(G25&lt;65,'General Basis'!$B$49,'General Basis'!$B$50)))))))))))))</f>
        <v/>
      </c>
      <c r="BI25" s="744" t="str">
        <f t="shared" si="16"/>
        <v/>
      </c>
      <c r="BJ25" s="747" t="str">
        <f t="shared" si="24"/>
        <v/>
      </c>
      <c r="BK25" s="498" t="str">
        <f t="shared" si="17"/>
        <v/>
      </c>
      <c r="BL25" s="498" t="str">
        <f t="shared" si="18"/>
        <v/>
      </c>
    </row>
    <row r="26" spans="1:64" x14ac:dyDescent="0.25">
      <c r="A26" s="762">
        <f t="shared" si="19"/>
        <v>21</v>
      </c>
      <c r="B26" s="229"/>
      <c r="C26" s="223"/>
      <c r="D26" s="224"/>
      <c r="E26" s="225"/>
      <c r="F26" s="1036" t="str">
        <f t="shared" si="26"/>
        <v/>
      </c>
      <c r="G26" s="1037" t="str">
        <f t="shared" si="20"/>
        <v/>
      </c>
      <c r="H26" s="225"/>
      <c r="I26" s="1013"/>
      <c r="J26" s="1013"/>
      <c r="K26" s="1028"/>
      <c r="L26" s="1035" t="str">
        <f t="shared" si="25"/>
        <v/>
      </c>
      <c r="N26" s="1327" t="s">
        <v>79</v>
      </c>
      <c r="O26" s="1320" t="s">
        <v>76</v>
      </c>
      <c r="P26" s="1321"/>
      <c r="Q26" s="1321"/>
      <c r="R26" s="1321"/>
      <c r="S26" s="1321"/>
      <c r="T26" s="1321"/>
      <c r="U26" s="1321"/>
      <c r="V26" s="1322"/>
      <c r="W26" s="1323" t="s">
        <v>250</v>
      </c>
      <c r="X26" s="237"/>
      <c r="Y26" s="237"/>
      <c r="Z26" s="237"/>
      <c r="AA26" s="237"/>
      <c r="AB26" s="237"/>
      <c r="AC26" s="237"/>
      <c r="AD26" s="237"/>
      <c r="AE26" s="237"/>
      <c r="AF26" s="237"/>
      <c r="AG26" s="237"/>
      <c r="AJ26" s="498"/>
      <c r="AM26" s="498">
        <f t="shared" si="3"/>
        <v>0</v>
      </c>
      <c r="AN26" s="498">
        <f t="shared" si="4"/>
        <v>0</v>
      </c>
      <c r="AO26" s="498">
        <f t="shared" si="5"/>
        <v>0</v>
      </c>
      <c r="AP26" s="498">
        <f t="shared" si="6"/>
        <v>0</v>
      </c>
      <c r="AQ26" s="498">
        <f t="shared" si="7"/>
        <v>0</v>
      </c>
      <c r="AU26" s="498">
        <f t="shared" si="8"/>
        <v>0</v>
      </c>
      <c r="AV26" s="498">
        <f t="shared" si="9"/>
        <v>0</v>
      </c>
      <c r="AW26" s="498">
        <f t="shared" si="10"/>
        <v>0</v>
      </c>
      <c r="AX26" s="498">
        <f t="shared" si="11"/>
        <v>0</v>
      </c>
      <c r="AY26" s="498">
        <f t="shared" si="12"/>
        <v>0</v>
      </c>
      <c r="BB26" s="498" t="str">
        <f t="shared" si="13"/>
        <v/>
      </c>
      <c r="BC26" s="743" t="str">
        <f t="shared" si="14"/>
        <v/>
      </c>
      <c r="BD26" s="743" t="str">
        <f t="shared" si="15"/>
        <v/>
      </c>
      <c r="BE26" s="743" t="str">
        <f>IF(D26="","",VLOOKUP(D26,'General Basis'!$J$39:$K$46,2,0))</f>
        <v/>
      </c>
      <c r="BF26" s="744" t="str">
        <f>IF(D26="","",VLOOKUP(D26,'General Basis'!$J$39:$L$46,3,0))</f>
        <v/>
      </c>
      <c r="BG26" s="744" t="str">
        <f t="shared" si="23"/>
        <v/>
      </c>
      <c r="BH26" s="744" t="str">
        <f>IF(G26="","",IF(BF26="Abu Dhabi",IF(G26&lt;18,'General Basis'!$C$39,IF(G26&lt;41,'General Basis'!$C$40,IF(G26&lt;60,'General Basis'!$C$41,IF(G26&lt;65,'General Basis'!$C$42,'General Basis'!$C$43)))),IF(G26&lt;11,'General Basis'!$B$39,IF(G26&lt;18,'General Basis'!$B$40,IF(G26&lt;26,'General Basis'!$B$41,IF(G26&lt;31,'General Basis'!$B$42,IF(G26&lt;36,'General Basis'!$B$43,IF(G26&lt;41,'General Basis'!$B$44,IF(G26&lt;46,'General Basis'!$B$45,IF(G26&lt;51,'General Basis'!$B$46,IF(G26&lt;56,'General Basis'!$B$47,IF(G26&lt;60,'General Basis'!$B$48,IF(G26&lt;65,'General Basis'!$B$49,'General Basis'!$B$50)))))))))))))</f>
        <v/>
      </c>
      <c r="BI26" s="744" t="str">
        <f t="shared" si="16"/>
        <v/>
      </c>
      <c r="BJ26" s="747" t="str">
        <f t="shared" si="24"/>
        <v/>
      </c>
      <c r="BK26" s="498" t="str">
        <f t="shared" si="17"/>
        <v/>
      </c>
      <c r="BL26" s="498" t="str">
        <f t="shared" si="18"/>
        <v/>
      </c>
    </row>
    <row r="27" spans="1:64" ht="16.5" thickBot="1" x14ac:dyDescent="0.3">
      <c r="A27" s="762">
        <f t="shared" si="19"/>
        <v>22</v>
      </c>
      <c r="B27" s="229"/>
      <c r="C27" s="223"/>
      <c r="D27" s="224"/>
      <c r="E27" s="225"/>
      <c r="F27" s="1036" t="str">
        <f t="shared" si="26"/>
        <v/>
      </c>
      <c r="G27" s="1037" t="str">
        <f t="shared" si="20"/>
        <v/>
      </c>
      <c r="H27" s="225"/>
      <c r="I27" s="1013"/>
      <c r="J27" s="1013"/>
      <c r="K27" s="1028"/>
      <c r="L27" s="1035" t="str">
        <f t="shared" si="25"/>
        <v/>
      </c>
      <c r="N27" s="1328"/>
      <c r="O27" s="977" t="s">
        <v>271</v>
      </c>
      <c r="P27" s="978" t="s">
        <v>272</v>
      </c>
      <c r="Q27" s="978" t="s">
        <v>273</v>
      </c>
      <c r="R27" s="972" t="s">
        <v>274</v>
      </c>
      <c r="S27" s="972" t="s">
        <v>365</v>
      </c>
      <c r="T27" s="972" t="s">
        <v>62</v>
      </c>
      <c r="U27" s="972" t="s">
        <v>366</v>
      </c>
      <c r="V27" s="979" t="s">
        <v>367</v>
      </c>
      <c r="W27" s="1324"/>
      <c r="X27" s="509"/>
      <c r="Y27" s="509"/>
      <c r="Z27" s="509"/>
      <c r="AA27" s="509"/>
      <c r="AB27" s="509"/>
      <c r="AC27" s="509"/>
      <c r="AD27" s="509"/>
      <c r="AE27" s="509"/>
      <c r="AF27" s="509"/>
      <c r="AG27" s="509"/>
      <c r="AJ27" s="498"/>
      <c r="AM27" s="498">
        <f t="shared" si="3"/>
        <v>0</v>
      </c>
      <c r="AN27" s="498">
        <f t="shared" si="4"/>
        <v>0</v>
      </c>
      <c r="AO27" s="498">
        <f t="shared" si="5"/>
        <v>0</v>
      </c>
      <c r="AP27" s="498">
        <f t="shared" si="6"/>
        <v>0</v>
      </c>
      <c r="AQ27" s="498">
        <f t="shared" si="7"/>
        <v>0</v>
      </c>
      <c r="AU27" s="498">
        <f t="shared" si="8"/>
        <v>0</v>
      </c>
      <c r="AV27" s="498">
        <f t="shared" si="9"/>
        <v>0</v>
      </c>
      <c r="AW27" s="498">
        <f t="shared" si="10"/>
        <v>0</v>
      </c>
      <c r="AX27" s="498">
        <f t="shared" si="11"/>
        <v>0</v>
      </c>
      <c r="AY27" s="498">
        <f t="shared" si="12"/>
        <v>0</v>
      </c>
      <c r="BB27" s="498" t="str">
        <f t="shared" si="13"/>
        <v/>
      </c>
      <c r="BC27" s="743" t="str">
        <f t="shared" si="14"/>
        <v/>
      </c>
      <c r="BD27" s="743" t="str">
        <f t="shared" si="15"/>
        <v/>
      </c>
      <c r="BE27" s="743" t="str">
        <f>IF(D27="","",VLOOKUP(D27,'General Basis'!$J$39:$K$46,2,0))</f>
        <v/>
      </c>
      <c r="BF27" s="744" t="str">
        <f>IF(D27="","",VLOOKUP(D27,'General Basis'!$J$39:$L$46,3,0))</f>
        <v/>
      </c>
      <c r="BG27" s="744" t="str">
        <f t="shared" si="23"/>
        <v/>
      </c>
      <c r="BH27" s="744" t="str">
        <f>IF(G27="","",IF(BF27="Abu Dhabi",IF(G27&lt;18,'General Basis'!$C$39,IF(G27&lt;41,'General Basis'!$C$40,IF(G27&lt;60,'General Basis'!$C$41,IF(G27&lt;65,'General Basis'!$C$42,'General Basis'!$C$43)))),IF(G27&lt;11,'General Basis'!$B$39,IF(G27&lt;18,'General Basis'!$B$40,IF(G27&lt;26,'General Basis'!$B$41,IF(G27&lt;31,'General Basis'!$B$42,IF(G27&lt;36,'General Basis'!$B$43,IF(G27&lt;41,'General Basis'!$B$44,IF(G27&lt;46,'General Basis'!$B$45,IF(G27&lt;51,'General Basis'!$B$46,IF(G27&lt;56,'General Basis'!$B$47,IF(G27&lt;60,'General Basis'!$B$48,IF(G27&lt;65,'General Basis'!$B$49,'General Basis'!$B$50)))))))))))))</f>
        <v/>
      </c>
      <c r="BI27" s="744" t="str">
        <f t="shared" si="16"/>
        <v/>
      </c>
      <c r="BJ27" s="747" t="str">
        <f t="shared" si="24"/>
        <v/>
      </c>
      <c r="BK27" s="498" t="str">
        <f t="shared" si="17"/>
        <v/>
      </c>
      <c r="BL27" s="498" t="str">
        <f t="shared" si="18"/>
        <v/>
      </c>
    </row>
    <row r="28" spans="1:64" x14ac:dyDescent="0.25">
      <c r="A28" s="762">
        <f t="shared" si="19"/>
        <v>23</v>
      </c>
      <c r="B28" s="229"/>
      <c r="C28" s="223"/>
      <c r="D28" s="224"/>
      <c r="E28" s="225"/>
      <c r="F28" s="1036" t="str">
        <f t="shared" si="26"/>
        <v/>
      </c>
      <c r="G28" s="1037" t="str">
        <f t="shared" si="20"/>
        <v/>
      </c>
      <c r="H28" s="225"/>
      <c r="I28" s="1013"/>
      <c r="J28" s="1013"/>
      <c r="K28" s="1028"/>
      <c r="L28" s="1035" t="str">
        <f t="shared" si="25"/>
        <v/>
      </c>
      <c r="N28" s="975" t="s">
        <v>9</v>
      </c>
      <c r="O28" s="971">
        <f t="shared" ref="O28:V28" si="28">COUNTIFS($G$6:$G$5331,"&gt;17",$G$6:$G$5331,"&lt;36",$D$6:$D$5331,O27,$C$6:$C$5331,"F",$H$6:$H$5331,"Married")</f>
        <v>0</v>
      </c>
      <c r="P28" s="974">
        <f t="shared" si="28"/>
        <v>0</v>
      </c>
      <c r="Q28" s="974">
        <f t="shared" si="28"/>
        <v>0</v>
      </c>
      <c r="R28" s="974">
        <f t="shared" si="28"/>
        <v>0</v>
      </c>
      <c r="S28" s="974">
        <f t="shared" si="28"/>
        <v>0</v>
      </c>
      <c r="T28" s="974">
        <f t="shared" si="28"/>
        <v>0</v>
      </c>
      <c r="U28" s="974">
        <f t="shared" si="28"/>
        <v>0</v>
      </c>
      <c r="V28" s="976">
        <f t="shared" si="28"/>
        <v>0</v>
      </c>
      <c r="W28" s="973">
        <f>SUM(O28:V28)</f>
        <v>0</v>
      </c>
      <c r="X28" s="509"/>
      <c r="Y28" s="509"/>
      <c r="Z28" s="509"/>
      <c r="AA28" s="509"/>
      <c r="AB28" s="509"/>
      <c r="AC28" s="509"/>
      <c r="AD28" s="509"/>
      <c r="AE28" s="509"/>
      <c r="AF28" s="509"/>
      <c r="AG28" s="509"/>
      <c r="AJ28" s="498"/>
      <c r="AM28" s="498">
        <f t="shared" si="3"/>
        <v>0</v>
      </c>
      <c r="AN28" s="498">
        <f t="shared" si="4"/>
        <v>0</v>
      </c>
      <c r="AO28" s="498">
        <f t="shared" si="5"/>
        <v>0</v>
      </c>
      <c r="AP28" s="498">
        <f t="shared" si="6"/>
        <v>0</v>
      </c>
      <c r="AQ28" s="498">
        <f t="shared" si="7"/>
        <v>0</v>
      </c>
      <c r="AU28" s="498">
        <f t="shared" si="8"/>
        <v>0</v>
      </c>
      <c r="AV28" s="498">
        <f t="shared" si="9"/>
        <v>0</v>
      </c>
      <c r="AW28" s="498">
        <f t="shared" si="10"/>
        <v>0</v>
      </c>
      <c r="AX28" s="498">
        <f t="shared" si="11"/>
        <v>0</v>
      </c>
      <c r="AY28" s="498">
        <f t="shared" si="12"/>
        <v>0</v>
      </c>
      <c r="BB28" s="498" t="str">
        <f t="shared" si="13"/>
        <v/>
      </c>
      <c r="BC28" s="743" t="str">
        <f t="shared" si="14"/>
        <v/>
      </c>
      <c r="BD28" s="743" t="str">
        <f t="shared" si="15"/>
        <v/>
      </c>
      <c r="BE28" s="743" t="str">
        <f>IF(D28="","",VLOOKUP(D28,'General Basis'!$J$39:$K$46,2,0))</f>
        <v/>
      </c>
      <c r="BF28" s="744" t="str">
        <f>IF(D28="","",VLOOKUP(D28,'General Basis'!$J$39:$L$46,3,0))</f>
        <v/>
      </c>
      <c r="BG28" s="744" t="str">
        <f t="shared" si="23"/>
        <v/>
      </c>
      <c r="BH28" s="744" t="str">
        <f>IF(G28="","",IF(BF28="Abu Dhabi",IF(G28&lt;18,'General Basis'!$C$39,IF(G28&lt;41,'General Basis'!$C$40,IF(G28&lt;60,'General Basis'!$C$41,IF(G28&lt;65,'General Basis'!$C$42,'General Basis'!$C$43)))),IF(G28&lt;11,'General Basis'!$B$39,IF(G28&lt;18,'General Basis'!$B$40,IF(G28&lt;26,'General Basis'!$B$41,IF(G28&lt;31,'General Basis'!$B$42,IF(G28&lt;36,'General Basis'!$B$43,IF(G28&lt;41,'General Basis'!$B$44,IF(G28&lt;46,'General Basis'!$B$45,IF(G28&lt;51,'General Basis'!$B$46,IF(G28&lt;56,'General Basis'!$B$47,IF(G28&lt;60,'General Basis'!$B$48,IF(G28&lt;65,'General Basis'!$B$49,'General Basis'!$B$50)))))))))))))</f>
        <v/>
      </c>
      <c r="BI28" s="744" t="str">
        <f t="shared" si="16"/>
        <v/>
      </c>
      <c r="BJ28" s="747" t="str">
        <f t="shared" si="24"/>
        <v/>
      </c>
      <c r="BK28" s="498" t="str">
        <f t="shared" si="17"/>
        <v/>
      </c>
      <c r="BL28" s="498" t="str">
        <f t="shared" si="18"/>
        <v/>
      </c>
    </row>
    <row r="29" spans="1:64" ht="32.25" thickBot="1" x14ac:dyDescent="0.3">
      <c r="A29" s="762">
        <f t="shared" si="19"/>
        <v>24</v>
      </c>
      <c r="B29" s="229"/>
      <c r="C29" s="223"/>
      <c r="D29" s="224"/>
      <c r="E29" s="225"/>
      <c r="F29" s="1036" t="str">
        <f t="shared" si="26"/>
        <v/>
      </c>
      <c r="G29" s="1037" t="str">
        <f t="shared" si="20"/>
        <v/>
      </c>
      <c r="H29" s="225"/>
      <c r="I29" s="1013"/>
      <c r="J29" s="1013"/>
      <c r="K29" s="1028"/>
      <c r="L29" s="1035" t="str">
        <f t="shared" si="25"/>
        <v/>
      </c>
      <c r="N29" s="980" t="s">
        <v>1005</v>
      </c>
      <c r="O29" s="556">
        <f>COUNTIFS($G$6:$G$5331,"&gt;35",$G$6:$G$5331,"&lt;46",$D$6:$D$5331,O27,$C$6:$C$5331,"F",$H$6:$H$5331,"Married")+IF(P2="Abu Dhabi",COUNTIFS($G$6:$G$5331,"&gt;45",$G$6:$G$5331,"&lt;51",$D$6:$D$5331,O27,$C$6:$C$5331,"F",$H$6:$H$5331,"Married"),0)</f>
        <v>0</v>
      </c>
      <c r="P29" s="557">
        <f>COUNTIFS($G$6:$G$5331,"&gt;35",$G$6:$G$5331,"&lt;46",$D$6:$D$5331,P27,$C$6:$C$5331,"F",$H$6:$H$5331,"Married")+IF(R2="Abu Dhabi",COUNTIFS($G$6:$G$5331,"&gt;45",$G$6:$G$5331,"&lt;51",$D$6:$D$5331,P27,$C$6:$C$5331,"F",$H$6:$H$5331,"Married"),0)</f>
        <v>0</v>
      </c>
      <c r="Q29" s="557">
        <f>COUNTIFS($G$6:$G$5331,"&gt;35",$G$6:$G$5331,"&lt;46",$D$6:$D$5331,Q27,$C$6:$C$5331,"F",$H$6:$H$5331,"Married")+IF(T2="Abu Dhabi",COUNTIFS($G$6:$G$5331,"&gt;45",$G$6:$G$5331,"&lt;51",$D$6:$D$5331,Q27,$C$6:$C$5331,"F",$H$6:$H$5331,"Married"),0)</f>
        <v>0</v>
      </c>
      <c r="R29" s="558">
        <f>COUNTIFS($G$6:$G$5331,"&gt;35",$G$6:$G$5331,"&lt;46",$D$6:$D$5331,R27,$C$6:$C$5331,"F",$H$6:$H$5331,"Married")+IF(V2="Abu Dhabi",COUNTIFS($G$6:$G$5331,"&gt;45",$G$6:$G$5331,"&lt;51",$D$6:$D$5331,R27,$C$6:$C$5331,"F",$H$6:$H$5331,"Married"),0)</f>
        <v>0</v>
      </c>
      <c r="S29" s="558">
        <f>COUNTIFS($G$6:$G$5331,"&gt;35",$G$6:$G$5331,"&lt;46",$D$6:$D$5331,S27,$C$6:$C$5331,"F",$H$6:$H$5331,"Married")+IF(X2="Abu Dhabi",COUNTIFS($G$6:$G$5331,"&gt;45",$G$6:$G$5331,"&lt;51",$D$6:$D$5331,S27,$C$6:$C$5331,"F",$H$6:$H$5331,"Married"),0)</f>
        <v>0</v>
      </c>
      <c r="T29" s="558">
        <f>COUNTIFS($G$6:$G$5331,"&gt;35",$G$6:$G$5331,"&lt;46",$D$6:$D$5331,T27,$C$6:$C$5331,"F",$H$6:$H$5331,"Married")+IF(Z2="Abu Dhabi",COUNTIFS($G$6:$G$5331,"&gt;45",$G$6:$G$5331,"&lt;51",$D$6:$D$5331,T27,$C$6:$C$5331,"F",$H$6:$H$5331,"Married"),0)</f>
        <v>0</v>
      </c>
      <c r="U29" s="558">
        <f>COUNTIFS($G$6:$G$5331,"&gt;35",$G$6:$G$5331,"&lt;46",$D$6:$D$5331,U27,$C$6:$C$5331,"F",$H$6:$H$5331,"Married")+IF(AB2="Abu Dhabi",COUNTIFS($G$6:$G$5331,"&gt;45",$G$6:$G$5331,"&lt;51",$D$6:$D$5331,U27,$C$6:$C$5331,"F",$H$6:$H$5331,"Married"),0)</f>
        <v>0</v>
      </c>
      <c r="V29" s="559">
        <f>COUNTIFS($G$6:$G$5331,"&gt;35",$G$6:$G$5331,"&lt;46",$D$6:$D$5331,V27,$C$6:$C$5331,"F",$H$6:$H$5331,"Married")+IF(AD2="Abu Dhabi",COUNTIFS($G$6:$G$5331,"&gt;45",$G$6:$G$5331,"&lt;51",$D$6:$D$5331,V27,$C$6:$C$5331,"F",$H$6:$H$5331,"Married"),0)</f>
        <v>0</v>
      </c>
      <c r="W29" s="970">
        <f>SUM(O29:V29)</f>
        <v>0</v>
      </c>
      <c r="X29" s="509"/>
      <c r="Y29" s="509"/>
      <c r="Z29" s="509"/>
      <c r="AA29" s="509"/>
      <c r="AB29" s="509"/>
      <c r="AC29" s="509"/>
      <c r="AD29" s="509"/>
      <c r="AE29" s="509"/>
      <c r="AF29" s="509"/>
      <c r="AG29" s="509"/>
      <c r="AJ29" s="498"/>
      <c r="AM29" s="498">
        <f t="shared" si="3"/>
        <v>0</v>
      </c>
      <c r="AN29" s="498">
        <f t="shared" si="4"/>
        <v>0</v>
      </c>
      <c r="AO29" s="498">
        <f t="shared" si="5"/>
        <v>0</v>
      </c>
      <c r="AP29" s="498">
        <f t="shared" si="6"/>
        <v>0</v>
      </c>
      <c r="AQ29" s="498">
        <f t="shared" si="7"/>
        <v>0</v>
      </c>
      <c r="AU29" s="498">
        <f t="shared" si="8"/>
        <v>0</v>
      </c>
      <c r="AV29" s="498">
        <f t="shared" si="9"/>
        <v>0</v>
      </c>
      <c r="AW29" s="498">
        <f t="shared" si="10"/>
        <v>0</v>
      </c>
      <c r="AX29" s="498">
        <f t="shared" si="11"/>
        <v>0</v>
      </c>
      <c r="AY29" s="498">
        <f t="shared" si="12"/>
        <v>0</v>
      </c>
      <c r="BB29" s="498" t="str">
        <f t="shared" si="13"/>
        <v/>
      </c>
      <c r="BC29" s="743" t="str">
        <f t="shared" si="14"/>
        <v/>
      </c>
      <c r="BD29" s="743" t="str">
        <f t="shared" si="15"/>
        <v/>
      </c>
      <c r="BE29" s="743" t="str">
        <f>IF(D29="","",VLOOKUP(D29,'General Basis'!$J$39:$K$46,2,0))</f>
        <v/>
      </c>
      <c r="BF29" s="744" t="str">
        <f>IF(D29="","",VLOOKUP(D29,'General Basis'!$J$39:$L$46,3,0))</f>
        <v/>
      </c>
      <c r="BG29" s="744" t="str">
        <f t="shared" si="23"/>
        <v/>
      </c>
      <c r="BH29" s="744" t="str">
        <f>IF(G29="","",IF(BF29="Abu Dhabi",IF(G29&lt;18,'General Basis'!$C$39,IF(G29&lt;41,'General Basis'!$C$40,IF(G29&lt;60,'General Basis'!$C$41,IF(G29&lt;65,'General Basis'!$C$42,'General Basis'!$C$43)))),IF(G29&lt;11,'General Basis'!$B$39,IF(G29&lt;18,'General Basis'!$B$40,IF(G29&lt;26,'General Basis'!$B$41,IF(G29&lt;31,'General Basis'!$B$42,IF(G29&lt;36,'General Basis'!$B$43,IF(G29&lt;41,'General Basis'!$B$44,IF(G29&lt;46,'General Basis'!$B$45,IF(G29&lt;51,'General Basis'!$B$46,IF(G29&lt;56,'General Basis'!$B$47,IF(G29&lt;60,'General Basis'!$B$48,IF(G29&lt;65,'General Basis'!$B$49,'General Basis'!$B$50)))))))))))))</f>
        <v/>
      </c>
      <c r="BI29" s="744" t="str">
        <f t="shared" si="16"/>
        <v/>
      </c>
      <c r="BJ29" s="747" t="str">
        <f t="shared" si="24"/>
        <v/>
      </c>
      <c r="BK29" s="498" t="str">
        <f t="shared" si="17"/>
        <v/>
      </c>
      <c r="BL29" s="498" t="str">
        <f t="shared" si="18"/>
        <v/>
      </c>
    </row>
    <row r="30" spans="1:64" ht="16.5" thickBot="1" x14ac:dyDescent="0.3">
      <c r="A30" s="762">
        <f t="shared" si="19"/>
        <v>25</v>
      </c>
      <c r="B30" s="229"/>
      <c r="C30" s="223"/>
      <c r="D30" s="224"/>
      <c r="E30" s="225"/>
      <c r="F30" s="1036" t="str">
        <f t="shared" si="26"/>
        <v/>
      </c>
      <c r="G30" s="1037" t="str">
        <f t="shared" si="20"/>
        <v/>
      </c>
      <c r="H30" s="225"/>
      <c r="I30" s="1013"/>
      <c r="J30" s="1013"/>
      <c r="K30" s="1028"/>
      <c r="L30" s="1035" t="str">
        <f t="shared" si="25"/>
        <v/>
      </c>
      <c r="N30" s="509"/>
      <c r="O30" s="560"/>
      <c r="P30" s="560"/>
      <c r="Q30" s="560"/>
      <c r="R30" s="560"/>
      <c r="S30" s="560"/>
      <c r="T30" s="560"/>
      <c r="U30" s="560"/>
      <c r="V30" s="560"/>
      <c r="W30" s="509"/>
      <c r="X30" s="509"/>
      <c r="Y30" s="509"/>
      <c r="Z30" s="509"/>
      <c r="AA30" s="509"/>
      <c r="AB30" s="509"/>
      <c r="AC30" s="509"/>
      <c r="AD30" s="509"/>
      <c r="AE30" s="509"/>
      <c r="AF30" s="509"/>
      <c r="AG30" s="509"/>
      <c r="AJ30" s="498"/>
      <c r="AM30" s="498">
        <f t="shared" si="3"/>
        <v>0</v>
      </c>
      <c r="AN30" s="498">
        <f t="shared" si="4"/>
        <v>0</v>
      </c>
      <c r="AO30" s="498">
        <f t="shared" si="5"/>
        <v>0</v>
      </c>
      <c r="AP30" s="498">
        <f t="shared" si="6"/>
        <v>0</v>
      </c>
      <c r="AQ30" s="498">
        <f t="shared" si="7"/>
        <v>0</v>
      </c>
      <c r="AU30" s="498">
        <f t="shared" si="8"/>
        <v>0</v>
      </c>
      <c r="AV30" s="498">
        <f t="shared" si="9"/>
        <v>0</v>
      </c>
      <c r="AW30" s="498">
        <f t="shared" si="10"/>
        <v>0</v>
      </c>
      <c r="AX30" s="498">
        <f t="shared" si="11"/>
        <v>0</v>
      </c>
      <c r="AY30" s="498">
        <f t="shared" si="12"/>
        <v>0</v>
      </c>
      <c r="BB30" s="498" t="str">
        <f t="shared" si="13"/>
        <v/>
      </c>
      <c r="BC30" s="743" t="str">
        <f t="shared" si="14"/>
        <v/>
      </c>
      <c r="BD30" s="743" t="str">
        <f t="shared" si="15"/>
        <v/>
      </c>
      <c r="BE30" s="743" t="str">
        <f>IF(D30="","",VLOOKUP(D30,'General Basis'!$J$39:$K$46,2,0))</f>
        <v/>
      </c>
      <c r="BF30" s="744" t="str">
        <f>IF(D30="","",VLOOKUP(D30,'General Basis'!$J$39:$L$46,3,0))</f>
        <v/>
      </c>
      <c r="BG30" s="744" t="str">
        <f t="shared" si="23"/>
        <v/>
      </c>
      <c r="BH30" s="744" t="str">
        <f>IF(G30="","",IF(BF30="Abu Dhabi",IF(G30&lt;18,'General Basis'!$C$39,IF(G30&lt;41,'General Basis'!$C$40,IF(G30&lt;60,'General Basis'!$C$41,IF(G30&lt;65,'General Basis'!$C$42,'General Basis'!$C$43)))),IF(G30&lt;11,'General Basis'!$B$39,IF(G30&lt;18,'General Basis'!$B$40,IF(G30&lt;26,'General Basis'!$B$41,IF(G30&lt;31,'General Basis'!$B$42,IF(G30&lt;36,'General Basis'!$B$43,IF(G30&lt;41,'General Basis'!$B$44,IF(G30&lt;46,'General Basis'!$B$45,IF(G30&lt;51,'General Basis'!$B$46,IF(G30&lt;56,'General Basis'!$B$47,IF(G30&lt;60,'General Basis'!$B$48,IF(G30&lt;65,'General Basis'!$B$49,'General Basis'!$B$50)))))))))))))</f>
        <v/>
      </c>
      <c r="BI30" s="744" t="str">
        <f t="shared" si="16"/>
        <v/>
      </c>
      <c r="BJ30" s="747" t="str">
        <f t="shared" si="24"/>
        <v/>
      </c>
      <c r="BK30" s="498" t="str">
        <f t="shared" si="17"/>
        <v/>
      </c>
      <c r="BL30" s="498" t="str">
        <f t="shared" si="18"/>
        <v/>
      </c>
    </row>
    <row r="31" spans="1:64" x14ac:dyDescent="0.25">
      <c r="A31" s="762">
        <f t="shared" si="19"/>
        <v>26</v>
      </c>
      <c r="B31" s="229"/>
      <c r="C31" s="223"/>
      <c r="D31" s="224"/>
      <c r="E31" s="225"/>
      <c r="F31" s="1036" t="str">
        <f t="shared" si="26"/>
        <v/>
      </c>
      <c r="G31" s="1037" t="str">
        <f t="shared" si="20"/>
        <v/>
      </c>
      <c r="H31" s="225"/>
      <c r="I31" s="1013"/>
      <c r="J31" s="1013"/>
      <c r="K31" s="1028"/>
      <c r="L31" s="1035" t="str">
        <f t="shared" si="25"/>
        <v/>
      </c>
      <c r="N31" s="1327" t="s">
        <v>98</v>
      </c>
      <c r="O31" s="1320" t="s">
        <v>76</v>
      </c>
      <c r="P31" s="1321"/>
      <c r="Q31" s="1321"/>
      <c r="R31" s="1321"/>
      <c r="S31" s="1321"/>
      <c r="T31" s="1321"/>
      <c r="U31" s="1321"/>
      <c r="V31" s="1322"/>
      <c r="W31" s="1323" t="s">
        <v>250</v>
      </c>
      <c r="X31" s="509"/>
      <c r="Y31" s="509"/>
      <c r="Z31" s="509"/>
      <c r="AA31" s="509"/>
      <c r="AB31" s="509"/>
      <c r="AC31" s="509"/>
      <c r="AD31" s="509"/>
      <c r="AE31" s="509"/>
      <c r="AF31" s="509"/>
      <c r="AG31" s="509"/>
      <c r="AJ31" s="498"/>
      <c r="AM31" s="498">
        <f t="shared" si="3"/>
        <v>0</v>
      </c>
      <c r="AN31" s="498">
        <f t="shared" si="4"/>
        <v>0</v>
      </c>
      <c r="AO31" s="498">
        <f t="shared" si="5"/>
        <v>0</v>
      </c>
      <c r="AP31" s="498">
        <f t="shared" si="6"/>
        <v>0</v>
      </c>
      <c r="AQ31" s="498">
        <f t="shared" si="7"/>
        <v>0</v>
      </c>
      <c r="AU31" s="498">
        <f t="shared" si="8"/>
        <v>0</v>
      </c>
      <c r="AV31" s="498">
        <f t="shared" si="9"/>
        <v>0</v>
      </c>
      <c r="AW31" s="498">
        <f t="shared" si="10"/>
        <v>0</v>
      </c>
      <c r="AX31" s="498">
        <f t="shared" si="11"/>
        <v>0</v>
      </c>
      <c r="AY31" s="498">
        <f t="shared" si="12"/>
        <v>0</v>
      </c>
      <c r="BB31" s="498" t="str">
        <f t="shared" si="13"/>
        <v/>
      </c>
      <c r="BC31" s="743" t="str">
        <f t="shared" si="14"/>
        <v/>
      </c>
      <c r="BD31" s="743" t="str">
        <f t="shared" si="15"/>
        <v/>
      </c>
      <c r="BE31" s="743" t="str">
        <f>IF(D31="","",VLOOKUP(D31,'General Basis'!$J$39:$K$46,2,0))</f>
        <v/>
      </c>
      <c r="BF31" s="744" t="str">
        <f>IF(D31="","",VLOOKUP(D31,'General Basis'!$J$39:$L$46,3,0))</f>
        <v/>
      </c>
      <c r="BG31" s="744" t="str">
        <f t="shared" si="23"/>
        <v/>
      </c>
      <c r="BH31" s="744" t="str">
        <f>IF(G31="","",IF(BF31="Abu Dhabi",IF(G31&lt;18,'General Basis'!$C$39,IF(G31&lt;41,'General Basis'!$C$40,IF(G31&lt;60,'General Basis'!$C$41,IF(G31&lt;65,'General Basis'!$C$42,'General Basis'!$C$43)))),IF(G31&lt;11,'General Basis'!$B$39,IF(G31&lt;18,'General Basis'!$B$40,IF(G31&lt;26,'General Basis'!$B$41,IF(G31&lt;31,'General Basis'!$B$42,IF(G31&lt;36,'General Basis'!$B$43,IF(G31&lt;41,'General Basis'!$B$44,IF(G31&lt;46,'General Basis'!$B$45,IF(G31&lt;51,'General Basis'!$B$46,IF(G31&lt;56,'General Basis'!$B$47,IF(G31&lt;60,'General Basis'!$B$48,IF(G31&lt;65,'General Basis'!$B$49,'General Basis'!$B$50)))))))))))))</f>
        <v/>
      </c>
      <c r="BI31" s="744" t="str">
        <f t="shared" si="16"/>
        <v/>
      </c>
      <c r="BJ31" s="747" t="str">
        <f t="shared" si="24"/>
        <v/>
      </c>
      <c r="BK31" s="498" t="str">
        <f t="shared" si="17"/>
        <v/>
      </c>
      <c r="BL31" s="498" t="str">
        <f t="shared" si="18"/>
        <v/>
      </c>
    </row>
    <row r="32" spans="1:64" ht="16.5" thickBot="1" x14ac:dyDescent="0.3">
      <c r="A32" s="762">
        <f t="shared" si="19"/>
        <v>27</v>
      </c>
      <c r="B32" s="229"/>
      <c r="C32" s="223"/>
      <c r="D32" s="224"/>
      <c r="E32" s="225"/>
      <c r="F32" s="1036" t="str">
        <f t="shared" si="26"/>
        <v/>
      </c>
      <c r="G32" s="1037" t="str">
        <f t="shared" si="20"/>
        <v/>
      </c>
      <c r="H32" s="225"/>
      <c r="I32" s="1013"/>
      <c r="J32" s="1013"/>
      <c r="K32" s="1028"/>
      <c r="L32" s="1035" t="str">
        <f t="shared" si="25"/>
        <v/>
      </c>
      <c r="N32" s="1328"/>
      <c r="O32" s="977" t="s">
        <v>271</v>
      </c>
      <c r="P32" s="978" t="s">
        <v>272</v>
      </c>
      <c r="Q32" s="978" t="s">
        <v>273</v>
      </c>
      <c r="R32" s="972" t="s">
        <v>274</v>
      </c>
      <c r="S32" s="972" t="s">
        <v>365</v>
      </c>
      <c r="T32" s="972" t="s">
        <v>62</v>
      </c>
      <c r="U32" s="972" t="s">
        <v>366</v>
      </c>
      <c r="V32" s="979" t="s">
        <v>367</v>
      </c>
      <c r="W32" s="1324"/>
      <c r="X32" s="509"/>
      <c r="Y32" s="509"/>
      <c r="Z32" s="509"/>
      <c r="AA32" s="509"/>
      <c r="AB32" s="509"/>
      <c r="AC32" s="509"/>
      <c r="AD32" s="509"/>
      <c r="AE32" s="509"/>
      <c r="AF32" s="509"/>
      <c r="AG32" s="509"/>
      <c r="AJ32" s="498"/>
      <c r="AM32" s="498">
        <f t="shared" si="3"/>
        <v>0</v>
      </c>
      <c r="AN32" s="498">
        <f t="shared" si="4"/>
        <v>0</v>
      </c>
      <c r="AO32" s="498">
        <f t="shared" si="5"/>
        <v>0</v>
      </c>
      <c r="AP32" s="498">
        <f t="shared" si="6"/>
        <v>0</v>
      </c>
      <c r="AQ32" s="498">
        <f t="shared" si="7"/>
        <v>0</v>
      </c>
      <c r="AU32" s="498">
        <f t="shared" si="8"/>
        <v>0</v>
      </c>
      <c r="AV32" s="498">
        <f t="shared" si="9"/>
        <v>0</v>
      </c>
      <c r="AW32" s="498">
        <f t="shared" si="10"/>
        <v>0</v>
      </c>
      <c r="AX32" s="498">
        <f t="shared" si="11"/>
        <v>0</v>
      </c>
      <c r="AY32" s="498">
        <f t="shared" si="12"/>
        <v>0</v>
      </c>
      <c r="BB32" s="498" t="str">
        <f t="shared" si="13"/>
        <v/>
      </c>
      <c r="BC32" s="743" t="str">
        <f t="shared" si="14"/>
        <v/>
      </c>
      <c r="BD32" s="743" t="str">
        <f t="shared" si="15"/>
        <v/>
      </c>
      <c r="BE32" s="743" t="str">
        <f>IF(D32="","",VLOOKUP(D32,'General Basis'!$J$39:$K$46,2,0))</f>
        <v/>
      </c>
      <c r="BF32" s="744" t="str">
        <f>IF(D32="","",VLOOKUP(D32,'General Basis'!$J$39:$L$46,3,0))</f>
        <v/>
      </c>
      <c r="BG32" s="744" t="str">
        <f t="shared" si="23"/>
        <v/>
      </c>
      <c r="BH32" s="744" t="str">
        <f>IF(G32="","",IF(BF32="Abu Dhabi",IF(G32&lt;18,'General Basis'!$C$39,IF(G32&lt;41,'General Basis'!$C$40,IF(G32&lt;60,'General Basis'!$C$41,IF(G32&lt;65,'General Basis'!$C$42,'General Basis'!$C$43)))),IF(G32&lt;11,'General Basis'!$B$39,IF(G32&lt;18,'General Basis'!$B$40,IF(G32&lt;26,'General Basis'!$B$41,IF(G32&lt;31,'General Basis'!$B$42,IF(G32&lt;36,'General Basis'!$B$43,IF(G32&lt;41,'General Basis'!$B$44,IF(G32&lt;46,'General Basis'!$B$45,IF(G32&lt;51,'General Basis'!$B$46,IF(G32&lt;56,'General Basis'!$B$47,IF(G32&lt;60,'General Basis'!$B$48,IF(G32&lt;65,'General Basis'!$B$49,'General Basis'!$B$50)))))))))))))</f>
        <v/>
      </c>
      <c r="BI32" s="744" t="str">
        <f t="shared" si="16"/>
        <v/>
      </c>
      <c r="BJ32" s="747" t="str">
        <f t="shared" si="24"/>
        <v/>
      </c>
      <c r="BK32" s="498" t="str">
        <f t="shared" si="17"/>
        <v/>
      </c>
      <c r="BL32" s="498" t="str">
        <f t="shared" si="18"/>
        <v/>
      </c>
    </row>
    <row r="33" spans="1:64" x14ac:dyDescent="0.25">
      <c r="A33" s="762">
        <f t="shared" si="19"/>
        <v>28</v>
      </c>
      <c r="B33" s="229"/>
      <c r="C33" s="223"/>
      <c r="D33" s="224"/>
      <c r="E33" s="225"/>
      <c r="F33" s="1036" t="str">
        <f t="shared" si="26"/>
        <v/>
      </c>
      <c r="G33" s="1037" t="str">
        <f t="shared" si="20"/>
        <v/>
      </c>
      <c r="H33" s="225"/>
      <c r="I33" s="1013"/>
      <c r="J33" s="1013"/>
      <c r="K33" s="1028"/>
      <c r="L33" s="1035" t="str">
        <f t="shared" si="25"/>
        <v/>
      </c>
      <c r="N33" s="975" t="s">
        <v>39</v>
      </c>
      <c r="O33" s="971">
        <f t="shared" ref="O33:V33" si="29">COUNTIFS($G$6:$G$5331,"&gt;=18",$G$6:$G$5331,"&lt;100",$D$6:$D$5331,O32)</f>
        <v>8</v>
      </c>
      <c r="P33" s="974">
        <f t="shared" si="29"/>
        <v>0</v>
      </c>
      <c r="Q33" s="974">
        <f t="shared" si="29"/>
        <v>0</v>
      </c>
      <c r="R33" s="974">
        <f t="shared" si="29"/>
        <v>0</v>
      </c>
      <c r="S33" s="974">
        <f t="shared" si="29"/>
        <v>0</v>
      </c>
      <c r="T33" s="974">
        <f t="shared" si="29"/>
        <v>0</v>
      </c>
      <c r="U33" s="974">
        <f t="shared" si="29"/>
        <v>0</v>
      </c>
      <c r="V33" s="976">
        <f t="shared" si="29"/>
        <v>0</v>
      </c>
      <c r="W33" s="973">
        <f>SUM(O33:V33)</f>
        <v>8</v>
      </c>
      <c r="X33" s="509"/>
      <c r="Y33" s="509"/>
      <c r="Z33" s="509"/>
      <c r="AA33" s="509"/>
      <c r="AB33" s="509"/>
      <c r="AC33" s="509"/>
      <c r="AD33" s="509"/>
      <c r="AE33" s="509"/>
      <c r="AF33" s="509"/>
      <c r="AG33" s="509"/>
      <c r="AJ33" s="498"/>
      <c r="AM33" s="498">
        <f t="shared" si="3"/>
        <v>0</v>
      </c>
      <c r="AN33" s="498">
        <f t="shared" si="4"/>
        <v>0</v>
      </c>
      <c r="AO33" s="498">
        <f t="shared" si="5"/>
        <v>0</v>
      </c>
      <c r="AP33" s="498">
        <f t="shared" si="6"/>
        <v>0</v>
      </c>
      <c r="AQ33" s="498">
        <f t="shared" si="7"/>
        <v>0</v>
      </c>
      <c r="AU33" s="498">
        <f t="shared" si="8"/>
        <v>0</v>
      </c>
      <c r="AV33" s="498">
        <f t="shared" si="9"/>
        <v>0</v>
      </c>
      <c r="AW33" s="498">
        <f t="shared" si="10"/>
        <v>0</v>
      </c>
      <c r="AX33" s="498">
        <f t="shared" si="11"/>
        <v>0</v>
      </c>
      <c r="AY33" s="498">
        <f t="shared" si="12"/>
        <v>0</v>
      </c>
      <c r="BB33" s="498" t="str">
        <f t="shared" si="13"/>
        <v/>
      </c>
      <c r="BC33" s="743" t="str">
        <f t="shared" si="14"/>
        <v/>
      </c>
      <c r="BD33" s="743" t="str">
        <f t="shared" si="15"/>
        <v/>
      </c>
      <c r="BE33" s="743" t="str">
        <f>IF(D33="","",VLOOKUP(D33,'General Basis'!$J$39:$K$46,2,0))</f>
        <v/>
      </c>
      <c r="BF33" s="744" t="str">
        <f>IF(D33="","",VLOOKUP(D33,'General Basis'!$J$39:$L$46,3,0))</f>
        <v/>
      </c>
      <c r="BG33" s="744" t="str">
        <f t="shared" si="23"/>
        <v/>
      </c>
      <c r="BH33" s="744" t="str">
        <f>IF(G33="","",IF(BF33="Abu Dhabi",IF(G33&lt;18,'General Basis'!$C$39,IF(G33&lt;41,'General Basis'!$C$40,IF(G33&lt;60,'General Basis'!$C$41,IF(G33&lt;65,'General Basis'!$C$42,'General Basis'!$C$43)))),IF(G33&lt;11,'General Basis'!$B$39,IF(G33&lt;18,'General Basis'!$B$40,IF(G33&lt;26,'General Basis'!$B$41,IF(G33&lt;31,'General Basis'!$B$42,IF(G33&lt;36,'General Basis'!$B$43,IF(G33&lt;41,'General Basis'!$B$44,IF(G33&lt;46,'General Basis'!$B$45,IF(G33&lt;51,'General Basis'!$B$46,IF(G33&lt;56,'General Basis'!$B$47,IF(G33&lt;60,'General Basis'!$B$48,IF(G33&lt;65,'General Basis'!$B$49,'General Basis'!$B$50)))))))))))))</f>
        <v/>
      </c>
      <c r="BI33" s="744" t="str">
        <f t="shared" si="16"/>
        <v/>
      </c>
      <c r="BJ33" s="747" t="str">
        <f t="shared" si="24"/>
        <v/>
      </c>
      <c r="BK33" s="498" t="str">
        <f t="shared" si="17"/>
        <v/>
      </c>
      <c r="BL33" s="498" t="str">
        <f t="shared" si="18"/>
        <v/>
      </c>
    </row>
    <row r="34" spans="1:64" ht="16.5" thickBot="1" x14ac:dyDescent="0.3">
      <c r="A34" s="762">
        <f t="shared" si="19"/>
        <v>29</v>
      </c>
      <c r="B34" s="229"/>
      <c r="C34" s="223"/>
      <c r="D34" s="224"/>
      <c r="E34" s="225"/>
      <c r="F34" s="1036" t="str">
        <f t="shared" si="26"/>
        <v/>
      </c>
      <c r="G34" s="1037" t="str">
        <f t="shared" si="20"/>
        <v/>
      </c>
      <c r="H34" s="225"/>
      <c r="I34" s="1013"/>
      <c r="J34" s="1013"/>
      <c r="K34" s="1028"/>
      <c r="L34" s="1035" t="str">
        <f t="shared" si="25"/>
        <v/>
      </c>
      <c r="N34" s="980" t="s">
        <v>97</v>
      </c>
      <c r="O34" s="556">
        <f t="shared" ref="O34:V34" si="30">COUNTIFS($G$6:$G$5331,"&lt;18",$D$6:$D$5331,O32)</f>
        <v>3</v>
      </c>
      <c r="P34" s="557">
        <f t="shared" si="30"/>
        <v>0</v>
      </c>
      <c r="Q34" s="557">
        <f t="shared" si="30"/>
        <v>0</v>
      </c>
      <c r="R34" s="558">
        <f t="shared" si="30"/>
        <v>0</v>
      </c>
      <c r="S34" s="558">
        <f t="shared" si="30"/>
        <v>0</v>
      </c>
      <c r="T34" s="558">
        <f t="shared" si="30"/>
        <v>0</v>
      </c>
      <c r="U34" s="558">
        <f t="shared" si="30"/>
        <v>0</v>
      </c>
      <c r="V34" s="559">
        <f t="shared" si="30"/>
        <v>0</v>
      </c>
      <c r="W34" s="970">
        <f>SUM(O34:V34)</f>
        <v>3</v>
      </c>
      <c r="X34" s="509"/>
      <c r="Y34" s="509"/>
      <c r="Z34" s="509"/>
      <c r="AA34" s="509"/>
      <c r="AB34" s="509"/>
      <c r="AC34" s="509"/>
      <c r="AD34" s="509"/>
      <c r="AE34" s="509"/>
      <c r="AF34" s="509"/>
      <c r="AG34" s="509"/>
      <c r="AJ34" s="498"/>
      <c r="AM34" s="498">
        <f t="shared" si="3"/>
        <v>0</v>
      </c>
      <c r="AN34" s="498">
        <f t="shared" si="4"/>
        <v>0</v>
      </c>
      <c r="AO34" s="498">
        <f t="shared" si="5"/>
        <v>0</v>
      </c>
      <c r="AP34" s="498">
        <f t="shared" si="6"/>
        <v>0</v>
      </c>
      <c r="AQ34" s="498">
        <f t="shared" si="7"/>
        <v>0</v>
      </c>
      <c r="AU34" s="498">
        <f t="shared" si="8"/>
        <v>0</v>
      </c>
      <c r="AV34" s="498">
        <f t="shared" si="9"/>
        <v>0</v>
      </c>
      <c r="AW34" s="498">
        <f t="shared" si="10"/>
        <v>0</v>
      </c>
      <c r="AX34" s="498">
        <f t="shared" si="11"/>
        <v>0</v>
      </c>
      <c r="AY34" s="498">
        <f t="shared" si="12"/>
        <v>0</v>
      </c>
      <c r="BB34" s="498" t="str">
        <f t="shared" si="13"/>
        <v/>
      </c>
      <c r="BC34" s="743" t="str">
        <f t="shared" si="14"/>
        <v/>
      </c>
      <c r="BD34" s="743" t="str">
        <f t="shared" si="15"/>
        <v/>
      </c>
      <c r="BE34" s="743" t="str">
        <f>IF(D34="","",VLOOKUP(D34,'General Basis'!$J$39:$K$46,2,0))</f>
        <v/>
      </c>
      <c r="BF34" s="744" t="str">
        <f>IF(D34="","",VLOOKUP(D34,'General Basis'!$J$39:$L$46,3,0))</f>
        <v/>
      </c>
      <c r="BG34" s="744" t="str">
        <f t="shared" si="23"/>
        <v/>
      </c>
      <c r="BH34" s="744" t="str">
        <f>IF(G34="","",IF(BF34="Abu Dhabi",IF(G34&lt;18,'General Basis'!$C$39,IF(G34&lt;41,'General Basis'!$C$40,IF(G34&lt;60,'General Basis'!$C$41,IF(G34&lt;65,'General Basis'!$C$42,'General Basis'!$C$43)))),IF(G34&lt;11,'General Basis'!$B$39,IF(G34&lt;18,'General Basis'!$B$40,IF(G34&lt;26,'General Basis'!$B$41,IF(G34&lt;31,'General Basis'!$B$42,IF(G34&lt;36,'General Basis'!$B$43,IF(G34&lt;41,'General Basis'!$B$44,IF(G34&lt;46,'General Basis'!$B$45,IF(G34&lt;51,'General Basis'!$B$46,IF(G34&lt;56,'General Basis'!$B$47,IF(G34&lt;60,'General Basis'!$B$48,IF(G34&lt;65,'General Basis'!$B$49,'General Basis'!$B$50)))))))))))))</f>
        <v/>
      </c>
      <c r="BI34" s="744" t="str">
        <f t="shared" si="16"/>
        <v/>
      </c>
      <c r="BJ34" s="747" t="str">
        <f t="shared" si="24"/>
        <v/>
      </c>
      <c r="BK34" s="498" t="str">
        <f t="shared" si="17"/>
        <v/>
      </c>
      <c r="BL34" s="498" t="str">
        <f t="shared" si="18"/>
        <v/>
      </c>
    </row>
    <row r="35" spans="1:64" ht="16.5" thickBot="1" x14ac:dyDescent="0.3">
      <c r="A35" s="762">
        <f t="shared" si="19"/>
        <v>30</v>
      </c>
      <c r="B35" s="229"/>
      <c r="C35" s="223"/>
      <c r="D35" s="224"/>
      <c r="E35" s="225"/>
      <c r="F35" s="1036" t="str">
        <f t="shared" si="26"/>
        <v/>
      </c>
      <c r="G35" s="1037" t="str">
        <f t="shared" si="20"/>
        <v/>
      </c>
      <c r="H35" s="225"/>
      <c r="I35" s="1013"/>
      <c r="J35" s="1013"/>
      <c r="K35" s="1028"/>
      <c r="L35" s="1035" t="str">
        <f t="shared" si="25"/>
        <v/>
      </c>
      <c r="N35" s="510"/>
      <c r="O35" s="561"/>
      <c r="P35" s="560"/>
      <c r="Q35" s="560"/>
      <c r="R35" s="560"/>
      <c r="S35" s="560"/>
      <c r="T35" s="560"/>
      <c r="U35" s="560"/>
      <c r="V35" s="560"/>
      <c r="W35" s="509"/>
      <c r="X35" s="509"/>
      <c r="Y35" s="509"/>
      <c r="Z35" s="509"/>
      <c r="AA35" s="509"/>
      <c r="AB35" s="509"/>
      <c r="AC35" s="509"/>
      <c r="AD35" s="509"/>
      <c r="AE35" s="509"/>
      <c r="AF35" s="509"/>
      <c r="AG35" s="509"/>
      <c r="AJ35" s="498"/>
      <c r="AM35" s="498">
        <f t="shared" si="3"/>
        <v>0</v>
      </c>
      <c r="AN35" s="498">
        <f t="shared" si="4"/>
        <v>0</v>
      </c>
      <c r="AO35" s="498">
        <f t="shared" si="5"/>
        <v>0</v>
      </c>
      <c r="AP35" s="498">
        <f t="shared" si="6"/>
        <v>0</v>
      </c>
      <c r="AQ35" s="498">
        <f t="shared" si="7"/>
        <v>0</v>
      </c>
      <c r="AU35" s="498">
        <f t="shared" si="8"/>
        <v>0</v>
      </c>
      <c r="AV35" s="498">
        <f t="shared" si="9"/>
        <v>0</v>
      </c>
      <c r="AW35" s="498">
        <f t="shared" si="10"/>
        <v>0</v>
      </c>
      <c r="AX35" s="498">
        <f t="shared" si="11"/>
        <v>0</v>
      </c>
      <c r="AY35" s="498">
        <f t="shared" si="12"/>
        <v>0</v>
      </c>
      <c r="BB35" s="498" t="str">
        <f t="shared" si="13"/>
        <v/>
      </c>
      <c r="BC35" s="743" t="str">
        <f t="shared" si="14"/>
        <v/>
      </c>
      <c r="BD35" s="743" t="str">
        <f t="shared" si="15"/>
        <v/>
      </c>
      <c r="BE35" s="743" t="str">
        <f>IF(D35="","",VLOOKUP(D35,'General Basis'!$J$39:$K$46,2,0))</f>
        <v/>
      </c>
      <c r="BF35" s="744" t="str">
        <f>IF(D35="","",VLOOKUP(D35,'General Basis'!$J$39:$L$46,3,0))</f>
        <v/>
      </c>
      <c r="BG35" s="744" t="str">
        <f t="shared" si="23"/>
        <v/>
      </c>
      <c r="BH35" s="744" t="str">
        <f>IF(G35="","",IF(BF35="Abu Dhabi",IF(G35&lt;18,'General Basis'!$C$39,IF(G35&lt;41,'General Basis'!$C$40,IF(G35&lt;60,'General Basis'!$C$41,IF(G35&lt;65,'General Basis'!$C$42,'General Basis'!$C$43)))),IF(G35&lt;11,'General Basis'!$B$39,IF(G35&lt;18,'General Basis'!$B$40,IF(G35&lt;26,'General Basis'!$B$41,IF(G35&lt;31,'General Basis'!$B$42,IF(G35&lt;36,'General Basis'!$B$43,IF(G35&lt;41,'General Basis'!$B$44,IF(G35&lt;46,'General Basis'!$B$45,IF(G35&lt;51,'General Basis'!$B$46,IF(G35&lt;56,'General Basis'!$B$47,IF(G35&lt;60,'General Basis'!$B$48,IF(G35&lt;65,'General Basis'!$B$49,'General Basis'!$B$50)))))))))))))</f>
        <v/>
      </c>
      <c r="BI35" s="744" t="str">
        <f t="shared" si="16"/>
        <v/>
      </c>
      <c r="BJ35" s="747" t="str">
        <f t="shared" si="24"/>
        <v/>
      </c>
      <c r="BK35" s="498" t="str">
        <f t="shared" si="17"/>
        <v/>
      </c>
      <c r="BL35" s="498" t="str">
        <f t="shared" si="18"/>
        <v/>
      </c>
    </row>
    <row r="36" spans="1:64" ht="15.75" customHeight="1" x14ac:dyDescent="0.25">
      <c r="A36" s="762">
        <f t="shared" si="19"/>
        <v>31</v>
      </c>
      <c r="B36" s="229"/>
      <c r="C36" s="223"/>
      <c r="D36" s="224"/>
      <c r="E36" s="225"/>
      <c r="F36" s="1036" t="str">
        <f t="shared" si="26"/>
        <v/>
      </c>
      <c r="G36" s="1037" t="str">
        <f t="shared" si="20"/>
        <v/>
      </c>
      <c r="H36" s="225"/>
      <c r="I36" s="1013"/>
      <c r="J36" s="1013"/>
      <c r="K36" s="1028"/>
      <c r="L36" s="1035" t="str">
        <f t="shared" si="25"/>
        <v/>
      </c>
      <c r="N36" s="1318" t="s">
        <v>1007</v>
      </c>
      <c r="O36" s="1320" t="s">
        <v>76</v>
      </c>
      <c r="P36" s="1321"/>
      <c r="Q36" s="1321"/>
      <c r="R36" s="1321"/>
      <c r="S36" s="1321"/>
      <c r="T36" s="1321"/>
      <c r="U36" s="1321"/>
      <c r="V36" s="1322"/>
      <c r="W36" s="1323" t="s">
        <v>250</v>
      </c>
      <c r="X36" s="509"/>
      <c r="Y36" s="509"/>
      <c r="Z36" s="509"/>
      <c r="AA36" s="509"/>
      <c r="AB36" s="509"/>
      <c r="AC36" s="509"/>
      <c r="AD36" s="509"/>
      <c r="AE36" s="509"/>
      <c r="AF36" s="509"/>
      <c r="AG36" s="509"/>
      <c r="AJ36" s="498"/>
      <c r="AM36" s="498">
        <f t="shared" si="3"/>
        <v>0</v>
      </c>
      <c r="AN36" s="498">
        <f t="shared" si="4"/>
        <v>0</v>
      </c>
      <c r="AO36" s="498">
        <f t="shared" si="5"/>
        <v>0</v>
      </c>
      <c r="AP36" s="498">
        <f t="shared" si="6"/>
        <v>0</v>
      </c>
      <c r="AQ36" s="498">
        <f t="shared" si="7"/>
        <v>0</v>
      </c>
      <c r="AU36" s="498">
        <f t="shared" si="8"/>
        <v>0</v>
      </c>
      <c r="AV36" s="498">
        <f t="shared" si="9"/>
        <v>0</v>
      </c>
      <c r="AW36" s="498">
        <f t="shared" si="10"/>
        <v>0</v>
      </c>
      <c r="AX36" s="498">
        <f t="shared" si="11"/>
        <v>0</v>
      </c>
      <c r="AY36" s="498">
        <f t="shared" si="12"/>
        <v>0</v>
      </c>
      <c r="BB36" s="498" t="str">
        <f t="shared" si="13"/>
        <v/>
      </c>
      <c r="BC36" s="743" t="str">
        <f t="shared" si="14"/>
        <v/>
      </c>
      <c r="BD36" s="743" t="str">
        <f t="shared" si="15"/>
        <v/>
      </c>
      <c r="BE36" s="743" t="str">
        <f>IF(D36="","",VLOOKUP(D36,'General Basis'!$J$39:$K$46,2,0))</f>
        <v/>
      </c>
      <c r="BF36" s="744" t="str">
        <f>IF(D36="","",VLOOKUP(D36,'General Basis'!$J$39:$L$46,3,0))</f>
        <v/>
      </c>
      <c r="BG36" s="744" t="str">
        <f t="shared" si="23"/>
        <v/>
      </c>
      <c r="BH36" s="744" t="str">
        <f>IF(G36="","",IF(BF36="Abu Dhabi",IF(G36&lt;18,'General Basis'!$C$39,IF(G36&lt;41,'General Basis'!$C$40,IF(G36&lt;60,'General Basis'!$C$41,IF(G36&lt;65,'General Basis'!$C$42,'General Basis'!$C$43)))),IF(G36&lt;11,'General Basis'!$B$39,IF(G36&lt;18,'General Basis'!$B$40,IF(G36&lt;26,'General Basis'!$B$41,IF(G36&lt;31,'General Basis'!$B$42,IF(G36&lt;36,'General Basis'!$B$43,IF(G36&lt;41,'General Basis'!$B$44,IF(G36&lt;46,'General Basis'!$B$45,IF(G36&lt;51,'General Basis'!$B$46,IF(G36&lt;56,'General Basis'!$B$47,IF(G36&lt;60,'General Basis'!$B$48,IF(G36&lt;65,'General Basis'!$B$49,'General Basis'!$B$50)))))))))))))</f>
        <v/>
      </c>
      <c r="BI36" s="744" t="str">
        <f t="shared" si="16"/>
        <v/>
      </c>
      <c r="BJ36" s="747" t="str">
        <f t="shared" si="24"/>
        <v/>
      </c>
      <c r="BK36" s="498" t="str">
        <f t="shared" si="17"/>
        <v/>
      </c>
      <c r="BL36" s="498" t="str">
        <f t="shared" si="18"/>
        <v/>
      </c>
    </row>
    <row r="37" spans="1:64" ht="16.5" thickBot="1" x14ac:dyDescent="0.3">
      <c r="A37" s="762">
        <f t="shared" si="19"/>
        <v>32</v>
      </c>
      <c r="B37" s="229"/>
      <c r="C37" s="223"/>
      <c r="D37" s="224"/>
      <c r="E37" s="225"/>
      <c r="F37" s="1036" t="str">
        <f t="shared" si="26"/>
        <v/>
      </c>
      <c r="G37" s="1037" t="str">
        <f t="shared" si="20"/>
        <v/>
      </c>
      <c r="H37" s="225"/>
      <c r="I37" s="1013"/>
      <c r="J37" s="1013"/>
      <c r="K37" s="1028"/>
      <c r="L37" s="1035" t="str">
        <f t="shared" si="25"/>
        <v/>
      </c>
      <c r="N37" s="1319"/>
      <c r="O37" s="977" t="s">
        <v>271</v>
      </c>
      <c r="P37" s="978" t="s">
        <v>272</v>
      </c>
      <c r="Q37" s="978" t="s">
        <v>273</v>
      </c>
      <c r="R37" s="972" t="s">
        <v>274</v>
      </c>
      <c r="S37" s="972" t="s">
        <v>365</v>
      </c>
      <c r="T37" s="972" t="s">
        <v>62</v>
      </c>
      <c r="U37" s="972" t="s">
        <v>366</v>
      </c>
      <c r="V37" s="979" t="s">
        <v>367</v>
      </c>
      <c r="W37" s="1324"/>
      <c r="AJ37" s="498"/>
      <c r="AM37" s="498">
        <f t="shared" si="3"/>
        <v>0</v>
      </c>
      <c r="AN37" s="498">
        <f t="shared" si="4"/>
        <v>0</v>
      </c>
      <c r="AO37" s="498">
        <f t="shared" si="5"/>
        <v>0</v>
      </c>
      <c r="AP37" s="498">
        <f t="shared" si="6"/>
        <v>0</v>
      </c>
      <c r="AQ37" s="498">
        <f t="shared" si="7"/>
        <v>0</v>
      </c>
      <c r="AU37" s="498">
        <f t="shared" si="8"/>
        <v>0</v>
      </c>
      <c r="AV37" s="498">
        <f t="shared" si="9"/>
        <v>0</v>
      </c>
      <c r="AW37" s="498">
        <f t="shared" si="10"/>
        <v>0</v>
      </c>
      <c r="AX37" s="498">
        <f t="shared" si="11"/>
        <v>0</v>
      </c>
      <c r="AY37" s="498">
        <f t="shared" si="12"/>
        <v>0</v>
      </c>
      <c r="BB37" s="498" t="str">
        <f t="shared" si="13"/>
        <v/>
      </c>
      <c r="BC37" s="743" t="str">
        <f t="shared" si="14"/>
        <v/>
      </c>
      <c r="BD37" s="743" t="str">
        <f t="shared" si="15"/>
        <v/>
      </c>
      <c r="BE37" s="743" t="str">
        <f>IF(D37="","",VLOOKUP(D37,'General Basis'!$J$39:$K$46,2,0))</f>
        <v/>
      </c>
      <c r="BF37" s="744" t="str">
        <f>IF(D37="","",VLOOKUP(D37,'General Basis'!$J$39:$L$46,3,0))</f>
        <v/>
      </c>
      <c r="BG37" s="744" t="str">
        <f t="shared" si="23"/>
        <v/>
      </c>
      <c r="BH37" s="744" t="str">
        <f>IF(G37="","",IF(BF37="Abu Dhabi",IF(G37&lt;18,'General Basis'!$C$39,IF(G37&lt;41,'General Basis'!$C$40,IF(G37&lt;60,'General Basis'!$C$41,IF(G37&lt;65,'General Basis'!$C$42,'General Basis'!$C$43)))),IF(G37&lt;11,'General Basis'!$B$39,IF(G37&lt;18,'General Basis'!$B$40,IF(G37&lt;26,'General Basis'!$B$41,IF(G37&lt;31,'General Basis'!$B$42,IF(G37&lt;36,'General Basis'!$B$43,IF(G37&lt;41,'General Basis'!$B$44,IF(G37&lt;46,'General Basis'!$B$45,IF(G37&lt;51,'General Basis'!$B$46,IF(G37&lt;56,'General Basis'!$B$47,IF(G37&lt;60,'General Basis'!$B$48,IF(G37&lt;65,'General Basis'!$B$49,'General Basis'!$B$50)))))))))))))</f>
        <v/>
      </c>
      <c r="BI37" s="744" t="str">
        <f t="shared" si="16"/>
        <v/>
      </c>
      <c r="BJ37" s="747" t="str">
        <f t="shared" si="24"/>
        <v/>
      </c>
      <c r="BK37" s="498" t="str">
        <f t="shared" si="17"/>
        <v/>
      </c>
      <c r="BL37" s="498" t="str">
        <f t="shared" si="18"/>
        <v/>
      </c>
    </row>
    <row r="38" spans="1:64" x14ac:dyDescent="0.25">
      <c r="A38" s="762">
        <f t="shared" si="19"/>
        <v>33</v>
      </c>
      <c r="B38" s="229"/>
      <c r="C38" s="223"/>
      <c r="D38" s="224"/>
      <c r="E38" s="225"/>
      <c r="F38" s="1036" t="str">
        <f t="shared" si="26"/>
        <v/>
      </c>
      <c r="G38" s="1037" t="str">
        <f t="shared" si="20"/>
        <v/>
      </c>
      <c r="H38" s="225"/>
      <c r="I38" s="1013"/>
      <c r="J38" s="1013"/>
      <c r="K38" s="1028"/>
      <c r="L38" s="1035" t="str">
        <f t="shared" si="25"/>
        <v/>
      </c>
      <c r="N38" s="975" t="s">
        <v>1054</v>
      </c>
      <c r="O38" s="971">
        <f t="shared" ref="O38:V38" si="31">COUNTIFS($G$6:$G$5331,"&gt;65",$G$6:$G$5331,"&lt;100",$D$6:$D$5331,O37)</f>
        <v>0</v>
      </c>
      <c r="P38" s="974">
        <f t="shared" si="31"/>
        <v>0</v>
      </c>
      <c r="Q38" s="974">
        <f t="shared" si="31"/>
        <v>0</v>
      </c>
      <c r="R38" s="974">
        <f t="shared" si="31"/>
        <v>0</v>
      </c>
      <c r="S38" s="974">
        <f t="shared" si="31"/>
        <v>0</v>
      </c>
      <c r="T38" s="974">
        <f t="shared" si="31"/>
        <v>0</v>
      </c>
      <c r="U38" s="974">
        <f t="shared" si="31"/>
        <v>0</v>
      </c>
      <c r="V38" s="976">
        <f t="shared" si="31"/>
        <v>0</v>
      </c>
      <c r="W38" s="973">
        <f>SUM(O38:V38)</f>
        <v>0</v>
      </c>
      <c r="AJ38" s="498"/>
      <c r="AM38" s="498">
        <f t="shared" si="3"/>
        <v>0</v>
      </c>
      <c r="AN38" s="498">
        <f t="shared" si="4"/>
        <v>0</v>
      </c>
      <c r="AO38" s="498">
        <f t="shared" si="5"/>
        <v>0</v>
      </c>
      <c r="AP38" s="498">
        <f t="shared" ref="AP38:AP69" si="32">IF(ISBLANK($B38),0,IF(OR($C38="M",$C38="F"),0,1))</f>
        <v>0</v>
      </c>
      <c r="AQ38" s="498">
        <f t="shared" ref="AQ38:AQ70" si="33">IF(ISBLANK($B38),0,IF(OR($H38="Single",$H38="Married"),0,1))</f>
        <v>0</v>
      </c>
      <c r="AU38" s="498">
        <f t="shared" si="8"/>
        <v>0</v>
      </c>
      <c r="AV38" s="498">
        <f t="shared" si="9"/>
        <v>0</v>
      </c>
      <c r="AW38" s="498">
        <f t="shared" si="10"/>
        <v>0</v>
      </c>
      <c r="AX38" s="498">
        <f t="shared" si="11"/>
        <v>0</v>
      </c>
      <c r="AY38" s="498">
        <f t="shared" si="12"/>
        <v>0</v>
      </c>
      <c r="BB38" s="498" t="str">
        <f t="shared" si="13"/>
        <v/>
      </c>
      <c r="BC38" s="743" t="str">
        <f t="shared" si="14"/>
        <v/>
      </c>
      <c r="BD38" s="743" t="str">
        <f t="shared" si="15"/>
        <v/>
      </c>
      <c r="BE38" s="743" t="str">
        <f>IF(D38="","",VLOOKUP(D38,'General Basis'!$J$39:$K$46,2,0))</f>
        <v/>
      </c>
      <c r="BF38" s="744" t="str">
        <f>IF(D38="","",VLOOKUP(D38,'General Basis'!$J$39:$L$46,3,0))</f>
        <v/>
      </c>
      <c r="BG38" s="744" t="str">
        <f t="shared" si="23"/>
        <v/>
      </c>
      <c r="BH38" s="744" t="str">
        <f>IF(G38="","",IF(BF38="Abu Dhabi",IF(G38&lt;18,'General Basis'!$C$39,IF(G38&lt;41,'General Basis'!$C$40,IF(G38&lt;60,'General Basis'!$C$41,IF(G38&lt;65,'General Basis'!$C$42,'General Basis'!$C$43)))),IF(G38&lt;11,'General Basis'!$B$39,IF(G38&lt;18,'General Basis'!$B$40,IF(G38&lt;26,'General Basis'!$B$41,IF(G38&lt;31,'General Basis'!$B$42,IF(G38&lt;36,'General Basis'!$B$43,IF(G38&lt;41,'General Basis'!$B$44,IF(G38&lt;46,'General Basis'!$B$45,IF(G38&lt;51,'General Basis'!$B$46,IF(G38&lt;56,'General Basis'!$B$47,IF(G38&lt;60,'General Basis'!$B$48,IF(G38&lt;65,'General Basis'!$B$49,'General Basis'!$B$50)))))))))))))</f>
        <v/>
      </c>
      <c r="BI38" s="744" t="str">
        <f t="shared" si="16"/>
        <v/>
      </c>
      <c r="BJ38" s="747" t="str">
        <f t="shared" si="24"/>
        <v/>
      </c>
      <c r="BK38" s="498" t="str">
        <f t="shared" si="17"/>
        <v/>
      </c>
      <c r="BL38" s="498" t="str">
        <f t="shared" si="18"/>
        <v/>
      </c>
    </row>
    <row r="39" spans="1:64" ht="16.5" thickBot="1" x14ac:dyDescent="0.3">
      <c r="A39" s="762">
        <f t="shared" ref="A39:A70" si="34">+A38+1</f>
        <v>34</v>
      </c>
      <c r="B39" s="229"/>
      <c r="C39" s="223"/>
      <c r="D39" s="224"/>
      <c r="E39" s="225"/>
      <c r="F39" s="1036" t="str">
        <f t="shared" si="26"/>
        <v/>
      </c>
      <c r="G39" s="1037" t="str">
        <f t="shared" si="20"/>
        <v/>
      </c>
      <c r="H39" s="225"/>
      <c r="I39" s="1013"/>
      <c r="J39" s="1013"/>
      <c r="K39" s="1028"/>
      <c r="L39" s="1035" t="str">
        <f t="shared" si="25"/>
        <v/>
      </c>
      <c r="N39" s="980" t="s">
        <v>1006</v>
      </c>
      <c r="O39" s="556">
        <f t="shared" ref="O39:V39" si="35">COUNTIFS($E$6:$E$5331,"Child",$G$6:$G$5331,"&gt;18",$D$6:$D$5331,O37)</f>
        <v>2</v>
      </c>
      <c r="P39" s="557">
        <f t="shared" si="35"/>
        <v>0</v>
      </c>
      <c r="Q39" s="557">
        <f t="shared" si="35"/>
        <v>0</v>
      </c>
      <c r="R39" s="558">
        <f t="shared" si="35"/>
        <v>0</v>
      </c>
      <c r="S39" s="558">
        <f t="shared" si="35"/>
        <v>0</v>
      </c>
      <c r="T39" s="558">
        <f t="shared" si="35"/>
        <v>0</v>
      </c>
      <c r="U39" s="558">
        <f t="shared" si="35"/>
        <v>0</v>
      </c>
      <c r="V39" s="559">
        <f t="shared" si="35"/>
        <v>0</v>
      </c>
      <c r="W39" s="970">
        <f>SUM(O39:V39)</f>
        <v>2</v>
      </c>
      <c r="AJ39" s="498"/>
      <c r="AM39" s="498">
        <f t="shared" si="3"/>
        <v>0</v>
      </c>
      <c r="AN39" s="498">
        <f t="shared" si="4"/>
        <v>0</v>
      </c>
      <c r="AO39" s="498">
        <f t="shared" si="5"/>
        <v>0</v>
      </c>
      <c r="AP39" s="498">
        <f t="shared" si="32"/>
        <v>0</v>
      </c>
      <c r="AQ39" s="498">
        <f t="shared" si="33"/>
        <v>0</v>
      </c>
      <c r="AU39" s="498">
        <f t="shared" si="8"/>
        <v>0</v>
      </c>
      <c r="AV39" s="498">
        <f t="shared" si="9"/>
        <v>0</v>
      </c>
      <c r="AW39" s="498">
        <f t="shared" si="10"/>
        <v>0</v>
      </c>
      <c r="AX39" s="498">
        <f t="shared" si="11"/>
        <v>0</v>
      </c>
      <c r="AY39" s="498">
        <f t="shared" si="12"/>
        <v>0</v>
      </c>
      <c r="BB39" s="498" t="str">
        <f t="shared" si="13"/>
        <v/>
      </c>
      <c r="BC39" s="743" t="str">
        <f t="shared" si="14"/>
        <v/>
      </c>
      <c r="BD39" s="743" t="str">
        <f t="shared" si="15"/>
        <v/>
      </c>
      <c r="BE39" s="743" t="str">
        <f>IF(D39="","",VLOOKUP(D39,'General Basis'!$J$39:$K$46,2,0))</f>
        <v/>
      </c>
      <c r="BF39" s="744" t="str">
        <f>IF(D39="","",VLOOKUP(D39,'General Basis'!$J$39:$L$46,3,0))</f>
        <v/>
      </c>
      <c r="BG39" s="744" t="str">
        <f t="shared" si="23"/>
        <v/>
      </c>
      <c r="BH39" s="744" t="str">
        <f>IF(G39="","",IF(BF39="Abu Dhabi",IF(G39&lt;18,'General Basis'!$C$39,IF(G39&lt;41,'General Basis'!$C$40,IF(G39&lt;60,'General Basis'!$C$41,IF(G39&lt;65,'General Basis'!$C$42,'General Basis'!$C$43)))),IF(G39&lt;11,'General Basis'!$B$39,IF(G39&lt;18,'General Basis'!$B$40,IF(G39&lt;26,'General Basis'!$B$41,IF(G39&lt;31,'General Basis'!$B$42,IF(G39&lt;36,'General Basis'!$B$43,IF(G39&lt;41,'General Basis'!$B$44,IF(G39&lt;46,'General Basis'!$B$45,IF(G39&lt;51,'General Basis'!$B$46,IF(G39&lt;56,'General Basis'!$B$47,IF(G39&lt;60,'General Basis'!$B$48,IF(G39&lt;65,'General Basis'!$B$49,'General Basis'!$B$50)))))))))))))</f>
        <v/>
      </c>
      <c r="BI39" s="744" t="str">
        <f t="shared" si="16"/>
        <v/>
      </c>
      <c r="BJ39" s="747" t="str">
        <f t="shared" si="24"/>
        <v/>
      </c>
      <c r="BK39" s="498" t="str">
        <f t="shared" si="17"/>
        <v/>
      </c>
      <c r="BL39" s="498" t="str">
        <f t="shared" si="18"/>
        <v/>
      </c>
    </row>
    <row r="40" spans="1:64" ht="16.5" thickBot="1" x14ac:dyDescent="0.3">
      <c r="A40" s="762">
        <f t="shared" si="34"/>
        <v>35</v>
      </c>
      <c r="B40" s="229"/>
      <c r="C40" s="223"/>
      <c r="D40" s="224"/>
      <c r="E40" s="225"/>
      <c r="F40" s="1036" t="str">
        <f t="shared" si="26"/>
        <v/>
      </c>
      <c r="G40" s="1037" t="str">
        <f t="shared" si="20"/>
        <v/>
      </c>
      <c r="H40" s="225"/>
      <c r="I40" s="1013"/>
      <c r="J40" s="1013"/>
      <c r="K40" s="1028"/>
      <c r="L40" s="1035" t="str">
        <f t="shared" si="25"/>
        <v/>
      </c>
      <c r="AJ40" s="498"/>
      <c r="AM40" s="498">
        <f t="shared" si="3"/>
        <v>0</v>
      </c>
      <c r="AN40" s="498">
        <f t="shared" si="4"/>
        <v>0</v>
      </c>
      <c r="AO40" s="498">
        <f t="shared" si="5"/>
        <v>0</v>
      </c>
      <c r="AP40" s="498">
        <f t="shared" si="32"/>
        <v>0</v>
      </c>
      <c r="AQ40" s="498">
        <f t="shared" si="33"/>
        <v>0</v>
      </c>
      <c r="AU40" s="498">
        <f t="shared" si="8"/>
        <v>0</v>
      </c>
      <c r="AV40" s="498">
        <f t="shared" si="9"/>
        <v>0</v>
      </c>
      <c r="AW40" s="498">
        <f t="shared" si="10"/>
        <v>0</v>
      </c>
      <c r="AX40" s="498">
        <f t="shared" si="11"/>
        <v>0</v>
      </c>
      <c r="AY40" s="498">
        <f t="shared" si="12"/>
        <v>0</v>
      </c>
      <c r="BB40" s="498" t="str">
        <f t="shared" si="13"/>
        <v/>
      </c>
      <c r="BC40" s="743" t="str">
        <f t="shared" si="14"/>
        <v/>
      </c>
      <c r="BD40" s="743" t="str">
        <f t="shared" si="15"/>
        <v/>
      </c>
      <c r="BE40" s="743" t="str">
        <f>IF(D40="","",VLOOKUP(D40,'General Basis'!$J$39:$K$46,2,0))</f>
        <v/>
      </c>
      <c r="BF40" s="744" t="str">
        <f>IF(D40="","",VLOOKUP(D40,'General Basis'!$J$39:$L$46,3,0))</f>
        <v/>
      </c>
      <c r="BG40" s="744" t="str">
        <f t="shared" si="23"/>
        <v/>
      </c>
      <c r="BH40" s="744" t="str">
        <f>IF(G40="","",IF(BF40="Abu Dhabi",IF(G40&lt;18,'General Basis'!$C$39,IF(G40&lt;41,'General Basis'!$C$40,IF(G40&lt;60,'General Basis'!$C$41,IF(G40&lt;65,'General Basis'!$C$42,'General Basis'!$C$43)))),IF(G40&lt;11,'General Basis'!$B$39,IF(G40&lt;18,'General Basis'!$B$40,IF(G40&lt;26,'General Basis'!$B$41,IF(G40&lt;31,'General Basis'!$B$42,IF(G40&lt;36,'General Basis'!$B$43,IF(G40&lt;41,'General Basis'!$B$44,IF(G40&lt;46,'General Basis'!$B$45,IF(G40&lt;51,'General Basis'!$B$46,IF(G40&lt;56,'General Basis'!$B$47,IF(G40&lt;60,'General Basis'!$B$48,IF(G40&lt;65,'General Basis'!$B$49,'General Basis'!$B$50)))))))))))))</f>
        <v/>
      </c>
      <c r="BI40" s="744" t="str">
        <f t="shared" si="16"/>
        <v/>
      </c>
      <c r="BJ40" s="747" t="str">
        <f t="shared" si="24"/>
        <v/>
      </c>
      <c r="BK40" s="498" t="str">
        <f t="shared" si="17"/>
        <v/>
      </c>
      <c r="BL40" s="498" t="str">
        <f t="shared" si="18"/>
        <v/>
      </c>
    </row>
    <row r="41" spans="1:64" ht="15.75" customHeight="1" x14ac:dyDescent="0.25">
      <c r="A41" s="762">
        <f t="shared" si="34"/>
        <v>36</v>
      </c>
      <c r="B41" s="229"/>
      <c r="C41" s="223"/>
      <c r="D41" s="224"/>
      <c r="E41" s="225"/>
      <c r="F41" s="1036" t="str">
        <f t="shared" si="26"/>
        <v/>
      </c>
      <c r="G41" s="1037" t="str">
        <f t="shared" si="20"/>
        <v/>
      </c>
      <c r="H41" s="225"/>
      <c r="I41" s="1013"/>
      <c r="J41" s="1013"/>
      <c r="K41" s="1028"/>
      <c r="L41" s="1035" t="str">
        <f t="shared" si="25"/>
        <v/>
      </c>
      <c r="N41" s="1318" t="s">
        <v>1097</v>
      </c>
      <c r="O41" s="1320" t="s">
        <v>76</v>
      </c>
      <c r="P41" s="1321"/>
      <c r="Q41" s="1321"/>
      <c r="R41" s="1321"/>
      <c r="S41" s="1321"/>
      <c r="T41" s="1321"/>
      <c r="U41" s="1321"/>
      <c r="V41" s="1322"/>
      <c r="W41" s="1323" t="s">
        <v>250</v>
      </c>
      <c r="AJ41" s="498"/>
      <c r="AM41" s="498">
        <f t="shared" si="3"/>
        <v>0</v>
      </c>
      <c r="AN41" s="498">
        <f t="shared" si="4"/>
        <v>0</v>
      </c>
      <c r="AO41" s="498">
        <f t="shared" si="5"/>
        <v>0</v>
      </c>
      <c r="AP41" s="498">
        <f t="shared" si="32"/>
        <v>0</v>
      </c>
      <c r="AQ41" s="498">
        <f t="shared" si="33"/>
        <v>0</v>
      </c>
      <c r="AU41" s="498">
        <f t="shared" si="8"/>
        <v>0</v>
      </c>
      <c r="AV41" s="498">
        <f t="shared" si="9"/>
        <v>0</v>
      </c>
      <c r="AW41" s="498">
        <f t="shared" si="10"/>
        <v>0</v>
      </c>
      <c r="AX41" s="498">
        <f t="shared" si="11"/>
        <v>0</v>
      </c>
      <c r="AY41" s="498">
        <f t="shared" si="12"/>
        <v>0</v>
      </c>
      <c r="BB41" s="498" t="str">
        <f t="shared" si="13"/>
        <v/>
      </c>
      <c r="BC41" s="743" t="str">
        <f t="shared" si="14"/>
        <v/>
      </c>
      <c r="BD41" s="743" t="str">
        <f t="shared" si="15"/>
        <v/>
      </c>
      <c r="BE41" s="743" t="str">
        <f>IF(D41="","",VLOOKUP(D41,'General Basis'!$J$39:$K$46,2,0))</f>
        <v/>
      </c>
      <c r="BF41" s="744" t="str">
        <f>IF(D41="","",VLOOKUP(D41,'General Basis'!$J$39:$L$46,3,0))</f>
        <v/>
      </c>
      <c r="BG41" s="744" t="str">
        <f t="shared" si="23"/>
        <v/>
      </c>
      <c r="BH41" s="744" t="str">
        <f>IF(G41="","",IF(BF41="Abu Dhabi",IF(G41&lt;18,'General Basis'!$C$39,IF(G41&lt;41,'General Basis'!$C$40,IF(G41&lt;60,'General Basis'!$C$41,IF(G41&lt;65,'General Basis'!$C$42,'General Basis'!$C$43)))),IF(G41&lt;11,'General Basis'!$B$39,IF(G41&lt;18,'General Basis'!$B$40,IF(G41&lt;26,'General Basis'!$B$41,IF(G41&lt;31,'General Basis'!$B$42,IF(G41&lt;36,'General Basis'!$B$43,IF(G41&lt;41,'General Basis'!$B$44,IF(G41&lt;46,'General Basis'!$B$45,IF(G41&lt;51,'General Basis'!$B$46,IF(G41&lt;56,'General Basis'!$B$47,IF(G41&lt;60,'General Basis'!$B$48,IF(G41&lt;65,'General Basis'!$B$49,'General Basis'!$B$50)))))))))))))</f>
        <v/>
      </c>
      <c r="BI41" s="744" t="str">
        <f t="shared" si="16"/>
        <v/>
      </c>
      <c r="BJ41" s="747" t="str">
        <f t="shared" si="24"/>
        <v/>
      </c>
      <c r="BK41" s="498" t="str">
        <f t="shared" si="17"/>
        <v/>
      </c>
      <c r="BL41" s="498" t="str">
        <f t="shared" si="18"/>
        <v/>
      </c>
    </row>
    <row r="42" spans="1:64" ht="15" customHeight="1" thickBot="1" x14ac:dyDescent="0.3">
      <c r="A42" s="762">
        <f t="shared" si="34"/>
        <v>37</v>
      </c>
      <c r="B42" s="229"/>
      <c r="C42" s="223"/>
      <c r="D42" s="224"/>
      <c r="E42" s="225"/>
      <c r="F42" s="1036" t="str">
        <f t="shared" si="26"/>
        <v/>
      </c>
      <c r="G42" s="1037" t="str">
        <f t="shared" si="20"/>
        <v/>
      </c>
      <c r="H42" s="225"/>
      <c r="I42" s="1013"/>
      <c r="J42" s="1013"/>
      <c r="K42" s="1028"/>
      <c r="L42" s="1035" t="str">
        <f t="shared" si="25"/>
        <v/>
      </c>
      <c r="N42" s="1319"/>
      <c r="O42" s="977" t="s">
        <v>271</v>
      </c>
      <c r="P42" s="978" t="s">
        <v>272</v>
      </c>
      <c r="Q42" s="978" t="s">
        <v>273</v>
      </c>
      <c r="R42" s="972" t="s">
        <v>274</v>
      </c>
      <c r="S42" s="972" t="s">
        <v>365</v>
      </c>
      <c r="T42" s="972" t="s">
        <v>62</v>
      </c>
      <c r="U42" s="972" t="s">
        <v>366</v>
      </c>
      <c r="V42" s="979" t="s">
        <v>367</v>
      </c>
      <c r="W42" s="1324"/>
      <c r="AH42" s="28"/>
      <c r="AM42" s="498">
        <f t="shared" si="3"/>
        <v>0</v>
      </c>
      <c r="AN42" s="498">
        <f t="shared" si="4"/>
        <v>0</v>
      </c>
      <c r="AO42" s="498">
        <f t="shared" si="5"/>
        <v>0</v>
      </c>
      <c r="AP42" s="498">
        <f t="shared" si="32"/>
        <v>0</v>
      </c>
      <c r="AQ42" s="498">
        <f t="shared" si="33"/>
        <v>0</v>
      </c>
      <c r="AU42" s="498">
        <f t="shared" si="8"/>
        <v>0</v>
      </c>
      <c r="AV42" s="498">
        <f t="shared" si="9"/>
        <v>0</v>
      </c>
      <c r="AW42" s="498">
        <f t="shared" si="10"/>
        <v>0</v>
      </c>
      <c r="AX42" s="498">
        <f t="shared" si="11"/>
        <v>0</v>
      </c>
      <c r="AY42" s="498">
        <f t="shared" si="12"/>
        <v>0</v>
      </c>
      <c r="BB42" s="498" t="str">
        <f t="shared" si="13"/>
        <v/>
      </c>
      <c r="BC42" s="743" t="str">
        <f t="shared" si="14"/>
        <v/>
      </c>
      <c r="BD42" s="743" t="str">
        <f t="shared" si="15"/>
        <v/>
      </c>
      <c r="BE42" s="743" t="str">
        <f>IF(D42="","",VLOOKUP(D42,'General Basis'!$J$39:$K$46,2,0))</f>
        <v/>
      </c>
      <c r="BF42" s="744" t="str">
        <f>IF(D42="","",VLOOKUP(D42,'General Basis'!$J$39:$L$46,3,0))</f>
        <v/>
      </c>
      <c r="BG42" s="744" t="str">
        <f t="shared" si="23"/>
        <v/>
      </c>
      <c r="BH42" s="744" t="str">
        <f>IF(G42="","",IF(BF42="Abu Dhabi",IF(G42&lt;18,'General Basis'!$C$39,IF(G42&lt;41,'General Basis'!$C$40,IF(G42&lt;60,'General Basis'!$C$41,IF(G42&lt;65,'General Basis'!$C$42,'General Basis'!$C$43)))),IF(G42&lt;11,'General Basis'!$B$39,IF(G42&lt;18,'General Basis'!$B$40,IF(G42&lt;26,'General Basis'!$B$41,IF(G42&lt;31,'General Basis'!$B$42,IF(G42&lt;36,'General Basis'!$B$43,IF(G42&lt;41,'General Basis'!$B$44,IF(G42&lt;46,'General Basis'!$B$45,IF(G42&lt;51,'General Basis'!$B$46,IF(G42&lt;56,'General Basis'!$B$47,IF(G42&lt;60,'General Basis'!$B$48,IF(G42&lt;65,'General Basis'!$B$49,'General Basis'!$B$50)))))))))))))</f>
        <v/>
      </c>
      <c r="BI42" s="744" t="str">
        <f t="shared" si="16"/>
        <v/>
      </c>
      <c r="BJ42" s="747" t="str">
        <f t="shared" si="24"/>
        <v/>
      </c>
      <c r="BK42" s="498" t="str">
        <f t="shared" si="17"/>
        <v/>
      </c>
      <c r="BL42" s="498" t="str">
        <f t="shared" si="18"/>
        <v/>
      </c>
    </row>
    <row r="43" spans="1:64" x14ac:dyDescent="0.25">
      <c r="A43" s="762">
        <f t="shared" si="34"/>
        <v>38</v>
      </c>
      <c r="B43" s="229"/>
      <c r="C43" s="223"/>
      <c r="D43" s="224"/>
      <c r="E43" s="225"/>
      <c r="F43" s="1036" t="str">
        <f t="shared" si="26"/>
        <v/>
      </c>
      <c r="G43" s="1037" t="str">
        <f t="shared" si="20"/>
        <v/>
      </c>
      <c r="H43" s="225"/>
      <c r="I43" s="1013"/>
      <c r="J43" s="1013"/>
      <c r="K43" s="1028"/>
      <c r="L43" s="1035" t="str">
        <f t="shared" si="25"/>
        <v/>
      </c>
      <c r="N43" s="975" t="s">
        <v>275</v>
      </c>
      <c r="O43" s="971">
        <f>IF($P$2="Abu Dhabi",COUNTIFS($G$6:$G$5331,"&gt;17",$G$6:$G$5331,"&lt;51",$D$6:$D$5331,O42,$C$6:$C$5331,"F",$H$6:$H$5331,"Married",$E$6:$E$5331,"Principal"),COUNTIFS($G$6:$G$5331,"&gt;17",$G$6:$G$5331,"&lt;46",$D$6:$D$5331,O42,$C$6:$C$5331,"F",$H$6:$H$5331,"Married",$E$6:$E$5331,"Principal"))</f>
        <v>0</v>
      </c>
      <c r="P43" s="974">
        <f>IF($R$2="Abu Dhabi",COUNTIFS($G$6:$G$5331,"&gt;17",$G$6:$G$5331,"&lt;51",$D$6:$D$5331,P42,$C$6:$C$5331,"F",$H$6:$H$5331,"Married",$E$6:$E$5331,"Principal"),COUNTIFS($G$6:$G$5331,"&gt;17",$G$6:$G$5331,"&lt;46",$D$6:$D$5331,P42,$C$6:$C$5331,"F",$H$6:$H$5331,"Married",$E$6:$E$5331,"Principal"))</f>
        <v>0</v>
      </c>
      <c r="Q43" s="974">
        <f>IF($T$2="Abu Dhabi",COUNTIFS($G$6:$G$5331,"&gt;17",$G$6:$G$5331,"&lt;51",$D$6:$D$5331,Q42,$C$6:$C$5331,"F",$H$6:$H$5331,"Married",$E$6:$E$5331,"Principal"),COUNTIFS($G$6:$G$5331,"&gt;17",$G$6:$G$5331,"&lt;46",$D$6:$D$5331,Q42,$C$6:$C$5331,"F",$H$6:$H$5331,"Married",$E$6:$E$5331,"Principal"))</f>
        <v>0</v>
      </c>
      <c r="R43" s="974">
        <f>IF($V$2="Abu Dhabi",COUNTIFS($G$6:$G$5331,"&gt;17",$G$6:$G$5331,"&lt;51",$D$6:$D$5331,R42,$C$6:$C$5331,"F",$H$6:$H$5331,"Married",$E$6:$E$5331,"Principal"),COUNTIFS($G$6:$G$5331,"&gt;17",$G$6:$G$5331,"&lt;46",$D$6:$D$5331,R42,$C$6:$C$5331,"F",$H$6:$H$5331,"Married",$E$6:$E$5331,"Principal"))</f>
        <v>0</v>
      </c>
      <c r="S43" s="974">
        <f>IF($X$2="Abu Dhabi",COUNTIFS($G$6:$G$5331,"&gt;17",$G$6:$G$5331,"&lt;51",$D$6:$D$5331,S42,$C$6:$C$5331,"F",$H$6:$H$5331,"Married",$E$6:$E$5331,"Principal"),COUNTIFS($G$6:$G$5331,"&gt;17",$G$6:$G$5331,"&lt;46",$D$6:$D$5331,S42,$C$6:$C$5331,"F",$H$6:$H$5331,"Married",$E$6:$E$5331,"Principal"))</f>
        <v>0</v>
      </c>
      <c r="T43" s="974">
        <f>IF($Z$2="Abu Dhabi",COUNTIFS($G$6:$G$5331,"&gt;17",$G$6:$G$5331,"&lt;51",$D$6:$D$5331,T42,$C$6:$C$5331,"F",$H$6:$H$5331,"Married",$E$6:$E$5331,"Principal"),COUNTIFS($G$6:$G$5331,"&gt;17",$G$6:$G$5331,"&lt;46",$D$6:$D$5331,T42,$C$6:$C$5331,"F",$H$6:$H$5331,"Married",$E$6:$E$5331,"Principal"))</f>
        <v>0</v>
      </c>
      <c r="U43" s="974">
        <f>IF($AB$2="Abu Dhabi",COUNTIFS($G$6:$G$5331,"&gt;17",$G$6:$G$5331,"&lt;51",$D$6:$D$5331,U42,$C$6:$C$5331,"F",$H$6:$H$5331,"Married",$E$6:$E$5331,"Principal"),COUNTIFS($G$6:$G$5331,"&gt;17",$G$6:$G$5331,"&lt;46",$D$6:$D$5331,U42,$C$6:$C$5331,"F",$H$6:$H$5331,"Married",$E$6:$E$5331,"Principal"))</f>
        <v>0</v>
      </c>
      <c r="V43" s="976">
        <f>IF($AD$2="Abu Dhabi",COUNTIFS($G$6:$G$5331,"&gt;17",$G$6:$G$5331,"&lt;51",$D$6:$D$5331,V42,$C$6:$C$5331,"F",$H$6:$H$5331,"Married",$E$6:$E$5331,"Principal"),COUNTIFS($G$6:$G$5331,"&gt;17",$G$6:$G$5331,"&lt;46",$D$6:$D$5331,V42,$C$6:$C$5331,"F",$H$6:$H$5331,"Married",$E$6:$E$5331,"Principal"))</f>
        <v>0</v>
      </c>
      <c r="W43" s="973">
        <f>SUM(O43:V43)</f>
        <v>0</v>
      </c>
      <c r="AH43" s="44"/>
      <c r="AM43" s="498">
        <f t="shared" si="3"/>
        <v>0</v>
      </c>
      <c r="AN43" s="498">
        <f t="shared" si="4"/>
        <v>0</v>
      </c>
      <c r="AO43" s="498">
        <f t="shared" si="5"/>
        <v>0</v>
      </c>
      <c r="AP43" s="498">
        <f t="shared" si="32"/>
        <v>0</v>
      </c>
      <c r="AQ43" s="498">
        <f t="shared" si="33"/>
        <v>0</v>
      </c>
      <c r="AU43" s="498">
        <f t="shared" si="8"/>
        <v>0</v>
      </c>
      <c r="AV43" s="498">
        <f t="shared" si="9"/>
        <v>0</v>
      </c>
      <c r="AW43" s="498">
        <f t="shared" si="10"/>
        <v>0</v>
      </c>
      <c r="AX43" s="498">
        <f t="shared" si="11"/>
        <v>0</v>
      </c>
      <c r="AY43" s="498">
        <f t="shared" si="12"/>
        <v>0</v>
      </c>
      <c r="BB43" s="498" t="str">
        <f t="shared" si="13"/>
        <v/>
      </c>
      <c r="BC43" s="743" t="str">
        <f t="shared" si="14"/>
        <v/>
      </c>
      <c r="BD43" s="743" t="str">
        <f t="shared" si="15"/>
        <v/>
      </c>
      <c r="BE43" s="743" t="str">
        <f>IF(D43="","",VLOOKUP(D43,'General Basis'!$J$39:$K$46,2,0))</f>
        <v/>
      </c>
      <c r="BF43" s="744" t="str">
        <f>IF(D43="","",VLOOKUP(D43,'General Basis'!$J$39:$L$46,3,0))</f>
        <v/>
      </c>
      <c r="BG43" s="744" t="str">
        <f t="shared" si="23"/>
        <v/>
      </c>
      <c r="BH43" s="744" t="str">
        <f>IF(G43="","",IF(BF43="Abu Dhabi",IF(G43&lt;18,'General Basis'!$C$39,IF(G43&lt;41,'General Basis'!$C$40,IF(G43&lt;60,'General Basis'!$C$41,IF(G43&lt;65,'General Basis'!$C$42,'General Basis'!$C$43)))),IF(G43&lt;11,'General Basis'!$B$39,IF(G43&lt;18,'General Basis'!$B$40,IF(G43&lt;26,'General Basis'!$B$41,IF(G43&lt;31,'General Basis'!$B$42,IF(G43&lt;36,'General Basis'!$B$43,IF(G43&lt;41,'General Basis'!$B$44,IF(G43&lt;46,'General Basis'!$B$45,IF(G43&lt;51,'General Basis'!$B$46,IF(G43&lt;56,'General Basis'!$B$47,IF(G43&lt;60,'General Basis'!$B$48,IF(G43&lt;65,'General Basis'!$B$49,'General Basis'!$B$50)))))))))))))</f>
        <v/>
      </c>
      <c r="BI43" s="744" t="str">
        <f t="shared" si="16"/>
        <v/>
      </c>
      <c r="BJ43" s="747" t="str">
        <f t="shared" si="24"/>
        <v/>
      </c>
      <c r="BK43" s="498" t="str">
        <f t="shared" si="17"/>
        <v/>
      </c>
      <c r="BL43" s="498" t="str">
        <f t="shared" si="18"/>
        <v/>
      </c>
    </row>
    <row r="44" spans="1:64" ht="16.5" thickBot="1" x14ac:dyDescent="0.3">
      <c r="A44" s="762">
        <f t="shared" si="34"/>
        <v>39</v>
      </c>
      <c r="B44" s="229"/>
      <c r="C44" s="223"/>
      <c r="D44" s="224"/>
      <c r="E44" s="225"/>
      <c r="F44" s="1036" t="str">
        <f t="shared" si="26"/>
        <v/>
      </c>
      <c r="G44" s="1037" t="str">
        <f t="shared" si="20"/>
        <v/>
      </c>
      <c r="H44" s="225"/>
      <c r="I44" s="1013"/>
      <c r="J44" s="1013"/>
      <c r="K44" s="1028"/>
      <c r="L44" s="1035" t="str">
        <f t="shared" si="25"/>
        <v/>
      </c>
      <c r="N44" s="980" t="s">
        <v>958</v>
      </c>
      <c r="O44" s="556">
        <f>IF($P$2="Abu Dhabi",COUNTIFS($G$6:$G$5331,"&gt;17",$G$6:$G$5331,"&lt;51",$D$6:$D$5331,O42,$C$6:$C$5331,"F",$H$6:$H$5331,"Married",$E$6:$E$5331,"Spouse"),COUNTIFS($G$6:$G$5331,"&gt;17",$G$6:$G$5331,"&lt;46",$D$6:$D$5331,O42,$C$6:$C$5331,"F",$H$6:$H$5331,"Married",$E$6:$E$5331,"Spouse"))</f>
        <v>0</v>
      </c>
      <c r="P44" s="557">
        <f>IF($R$2="Abu Dhabi",COUNTIFS($G$6:$G$5331,"&gt;17",$G$6:$G$5331,"&lt;51",$D$6:$D$5331,P42,$C$6:$C$5331,"F",$H$6:$H$5331,"Married",$E$6:$E$5331,"Spouse"),COUNTIFS($G$6:$G$5331,"&gt;17",$G$6:$G$5331,"&lt;46",$D$6:$D$5331,P42,$C$6:$C$5331,"F",$H$6:$H$5331,"Married",$E$6:$E$5331,"Spouse"))</f>
        <v>0</v>
      </c>
      <c r="Q44" s="557">
        <f>IF($T$2="Abu Dhabi",COUNTIFS($G$6:$G$5331,"&gt;17",$G$6:$G$5331,"&lt;51",$D$6:$D$5331,Q42,$C$6:$C$5331,"F",$H$6:$H$5331,"Married",$E$6:$E$5331,"Spouse"),COUNTIFS($G$6:$G$5331,"&gt;17",$G$6:$G$5331,"&lt;46",$D$6:$D$5331,Q42,$C$6:$C$5331,"F",$H$6:$H$5331,"Married",$E$6:$E$5331,"Spouse"))</f>
        <v>0</v>
      </c>
      <c r="R44" s="558">
        <f>IF($V$2="Abu Dhabi",COUNTIFS($G$6:$G$5331,"&gt;17",$G$6:$G$5331,"&lt;51",$D$6:$D$5331,R42,$C$6:$C$5331,"F",$H$6:$H$5331,"Married",$E$6:$E$5331,"Spouse"),COUNTIFS($G$6:$G$5331,"&gt;17",$G$6:$G$5331,"&lt;46",$D$6:$D$5331,R42,$C$6:$C$5331,"F",$H$6:$H$5331,"Married",$E$6:$E$5331,"Spouse"))</f>
        <v>0</v>
      </c>
      <c r="S44" s="558">
        <f>IF($X$2="Abu Dhabi",COUNTIFS($G$6:$G$5331,"&gt;17",$G$6:$G$5331,"&lt;51",$D$6:$D$5331,S42,$C$6:$C$5331,"F",$H$6:$H$5331,"Married",$E$6:$E$5331,"Spouse"),COUNTIFS($G$6:$G$5331,"&gt;17",$G$6:$G$5331,"&lt;46",$D$6:$D$5331,S42,$C$6:$C$5331,"F",$H$6:$H$5331,"Married",$E$6:$E$5331,"Spouse"))</f>
        <v>0</v>
      </c>
      <c r="T44" s="558">
        <f>IF($Z$2="Abu Dhabi",COUNTIFS($G$6:$G$5331,"&gt;17",$G$6:$G$5331,"&lt;51",$D$6:$D$5331,T42,$C$6:$C$5331,"F",$H$6:$H$5331,"Married",$E$6:$E$5331,"Spouse"),COUNTIFS($G$6:$G$5331,"&gt;17",$G$6:$G$5331,"&lt;46",$D$6:$D$5331,T42,$C$6:$C$5331,"F",$H$6:$H$5331,"Married",$E$6:$E$5331,"Spouse"))</f>
        <v>0</v>
      </c>
      <c r="U44" s="558">
        <f>IF($AB$2="Abu Dhabi",COUNTIFS($G$6:$G$5331,"&gt;17",$G$6:$G$5331,"&lt;51",$D$6:$D$5331,U42,$C$6:$C$5331,"F",$H$6:$H$5331,"Married",$E$6:$E$5331,"Spouse"),COUNTIFS($G$6:$G$5331,"&gt;17",$G$6:$G$5331,"&lt;46",$D$6:$D$5331,U42,$C$6:$C$5331,"F",$H$6:$H$5331,"Married",$E$6:$E$5331,"Spouse"))</f>
        <v>0</v>
      </c>
      <c r="V44" s="559">
        <f>IF($AD$2="Abu Dhabi",COUNTIFS($G$6:$G$5331,"&gt;17",$G$6:$G$5331,"&lt;51",$D$6:$D$5331,V42,$C$6:$C$5331,"F",$H$6:$H$5331,"Married",$E$6:$E$5331,"Spouse"),COUNTIFS($G$6:$G$5331,"&gt;17",$G$6:$G$5331,"&lt;46",$D$6:$D$5331,V42,$C$6:$C$5331,"F",$H$6:$H$5331,"Married",$E$6:$E$5331,"Spouse"))</f>
        <v>0</v>
      </c>
      <c r="W44" s="970">
        <f>SUM(O44:V44)</f>
        <v>0</v>
      </c>
      <c r="AH44" s="499"/>
      <c r="AM44" s="498">
        <f t="shared" si="3"/>
        <v>0</v>
      </c>
      <c r="AN44" s="498">
        <f t="shared" si="4"/>
        <v>0</v>
      </c>
      <c r="AO44" s="498">
        <f t="shared" si="5"/>
        <v>0</v>
      </c>
      <c r="AP44" s="498">
        <f t="shared" si="32"/>
        <v>0</v>
      </c>
      <c r="AQ44" s="498">
        <f t="shared" si="33"/>
        <v>0</v>
      </c>
      <c r="AU44" s="498">
        <f t="shared" si="8"/>
        <v>0</v>
      </c>
      <c r="AV44" s="498">
        <f t="shared" si="9"/>
        <v>0</v>
      </c>
      <c r="AW44" s="498">
        <f t="shared" si="10"/>
        <v>0</v>
      </c>
      <c r="AX44" s="498">
        <f t="shared" si="11"/>
        <v>0</v>
      </c>
      <c r="AY44" s="498">
        <f t="shared" si="12"/>
        <v>0</v>
      </c>
      <c r="BB44" s="498" t="str">
        <f t="shared" si="13"/>
        <v/>
      </c>
      <c r="BC44" s="743" t="str">
        <f t="shared" si="14"/>
        <v/>
      </c>
      <c r="BD44" s="743" t="str">
        <f t="shared" si="15"/>
        <v/>
      </c>
      <c r="BE44" s="743" t="str">
        <f>IF(D44="","",VLOOKUP(D44,'General Basis'!$J$39:$K$46,2,0))</f>
        <v/>
      </c>
      <c r="BF44" s="744" t="str">
        <f>IF(D44="","",VLOOKUP(D44,'General Basis'!$J$39:$L$46,3,0))</f>
        <v/>
      </c>
      <c r="BG44" s="744" t="str">
        <f t="shared" si="23"/>
        <v/>
      </c>
      <c r="BH44" s="744" t="str">
        <f>IF(G44="","",IF(BF44="Abu Dhabi",IF(G44&lt;18,'General Basis'!$C$39,IF(G44&lt;41,'General Basis'!$C$40,IF(G44&lt;60,'General Basis'!$C$41,IF(G44&lt;65,'General Basis'!$C$42,'General Basis'!$C$43)))),IF(G44&lt;11,'General Basis'!$B$39,IF(G44&lt;18,'General Basis'!$B$40,IF(G44&lt;26,'General Basis'!$B$41,IF(G44&lt;31,'General Basis'!$B$42,IF(G44&lt;36,'General Basis'!$B$43,IF(G44&lt;41,'General Basis'!$B$44,IF(G44&lt;46,'General Basis'!$B$45,IF(G44&lt;51,'General Basis'!$B$46,IF(G44&lt;56,'General Basis'!$B$47,IF(G44&lt;60,'General Basis'!$B$48,IF(G44&lt;65,'General Basis'!$B$49,'General Basis'!$B$50)))))))))))))</f>
        <v/>
      </c>
      <c r="BI44" s="744" t="str">
        <f t="shared" si="16"/>
        <v/>
      </c>
      <c r="BJ44" s="747" t="str">
        <f t="shared" si="24"/>
        <v/>
      </c>
      <c r="BK44" s="498" t="str">
        <f t="shared" si="17"/>
        <v/>
      </c>
      <c r="BL44" s="498" t="str">
        <f t="shared" si="18"/>
        <v/>
      </c>
    </row>
    <row r="45" spans="1:64" ht="16.5" thickBot="1" x14ac:dyDescent="0.3">
      <c r="A45" s="762">
        <f t="shared" si="34"/>
        <v>40</v>
      </c>
      <c r="B45" s="229"/>
      <c r="C45" s="223"/>
      <c r="D45" s="224"/>
      <c r="E45" s="225"/>
      <c r="F45" s="1036" t="str">
        <f t="shared" si="26"/>
        <v/>
      </c>
      <c r="G45" s="1037" t="str">
        <f t="shared" si="20"/>
        <v/>
      </c>
      <c r="H45" s="225"/>
      <c r="I45" s="1013"/>
      <c r="J45" s="1013"/>
      <c r="K45" s="1028"/>
      <c r="L45" s="1035" t="str">
        <f t="shared" si="25"/>
        <v/>
      </c>
      <c r="AH45" s="499"/>
      <c r="AM45" s="498">
        <f t="shared" si="3"/>
        <v>0</v>
      </c>
      <c r="AN45" s="498">
        <f t="shared" si="4"/>
        <v>0</v>
      </c>
      <c r="AO45" s="498">
        <f t="shared" si="5"/>
        <v>0</v>
      </c>
      <c r="AP45" s="498">
        <f t="shared" si="32"/>
        <v>0</v>
      </c>
      <c r="AQ45" s="498">
        <f t="shared" si="33"/>
        <v>0</v>
      </c>
      <c r="AU45" s="498">
        <f t="shared" si="8"/>
        <v>0</v>
      </c>
      <c r="AV45" s="498">
        <f t="shared" si="9"/>
        <v>0</v>
      </c>
      <c r="AW45" s="498">
        <f t="shared" si="10"/>
        <v>0</v>
      </c>
      <c r="AX45" s="498">
        <f t="shared" si="11"/>
        <v>0</v>
      </c>
      <c r="AY45" s="498">
        <f t="shared" si="12"/>
        <v>0</v>
      </c>
      <c r="BB45" s="498" t="str">
        <f t="shared" si="13"/>
        <v/>
      </c>
      <c r="BC45" s="743" t="str">
        <f t="shared" si="14"/>
        <v/>
      </c>
      <c r="BD45" s="743" t="str">
        <f t="shared" si="15"/>
        <v/>
      </c>
      <c r="BE45" s="743" t="str">
        <f>IF(D45="","",VLOOKUP(D45,'General Basis'!$J$39:$K$46,2,0))</f>
        <v/>
      </c>
      <c r="BF45" s="744" t="str">
        <f>IF(D45="","",VLOOKUP(D45,'General Basis'!$J$39:$L$46,3,0))</f>
        <v/>
      </c>
      <c r="BG45" s="744" t="str">
        <f t="shared" si="23"/>
        <v/>
      </c>
      <c r="BH45" s="744" t="str">
        <f>IF(G45="","",IF(BF45="Abu Dhabi",IF(G45&lt;18,'General Basis'!$C$39,IF(G45&lt;41,'General Basis'!$C$40,IF(G45&lt;60,'General Basis'!$C$41,IF(G45&lt;65,'General Basis'!$C$42,'General Basis'!$C$43)))),IF(G45&lt;11,'General Basis'!$B$39,IF(G45&lt;18,'General Basis'!$B$40,IF(G45&lt;26,'General Basis'!$B$41,IF(G45&lt;31,'General Basis'!$B$42,IF(G45&lt;36,'General Basis'!$B$43,IF(G45&lt;41,'General Basis'!$B$44,IF(G45&lt;46,'General Basis'!$B$45,IF(G45&lt;51,'General Basis'!$B$46,IF(G45&lt;56,'General Basis'!$B$47,IF(G45&lt;60,'General Basis'!$B$48,IF(G45&lt;65,'General Basis'!$B$49,'General Basis'!$B$50)))))))))))))</f>
        <v/>
      </c>
      <c r="BI45" s="744" t="str">
        <f t="shared" si="16"/>
        <v/>
      </c>
      <c r="BJ45" s="747" t="str">
        <f t="shared" si="24"/>
        <v/>
      </c>
      <c r="BK45" s="498" t="str">
        <f t="shared" si="17"/>
        <v/>
      </c>
      <c r="BL45" s="498" t="str">
        <f t="shared" si="18"/>
        <v/>
      </c>
    </row>
    <row r="46" spans="1:64" x14ac:dyDescent="0.25">
      <c r="A46" s="762">
        <f t="shared" si="34"/>
        <v>41</v>
      </c>
      <c r="B46" s="229"/>
      <c r="C46" s="223"/>
      <c r="D46" s="224"/>
      <c r="E46" s="225"/>
      <c r="F46" s="1036" t="str">
        <f t="shared" si="26"/>
        <v/>
      </c>
      <c r="G46" s="1037" t="str">
        <f t="shared" si="20"/>
        <v/>
      </c>
      <c r="H46" s="225"/>
      <c r="I46" s="1013"/>
      <c r="J46" s="1013"/>
      <c r="K46" s="1028"/>
      <c r="L46" s="1035" t="str">
        <f t="shared" si="25"/>
        <v/>
      </c>
      <c r="N46" s="1318" t="s">
        <v>1052</v>
      </c>
      <c r="O46" s="1320" t="s">
        <v>76</v>
      </c>
      <c r="P46" s="1321"/>
      <c r="Q46" s="1321"/>
      <c r="R46" s="1321"/>
      <c r="S46" s="1321"/>
      <c r="T46" s="1321"/>
      <c r="U46" s="1321"/>
      <c r="V46" s="1322"/>
      <c r="W46" s="1323" t="s">
        <v>250</v>
      </c>
      <c r="AH46" s="499"/>
      <c r="AM46" s="498">
        <f t="shared" si="3"/>
        <v>0</v>
      </c>
      <c r="AN46" s="498">
        <f t="shared" si="4"/>
        <v>0</v>
      </c>
      <c r="AO46" s="498">
        <f t="shared" si="5"/>
        <v>0</v>
      </c>
      <c r="AP46" s="498">
        <f t="shared" si="32"/>
        <v>0</v>
      </c>
      <c r="AQ46" s="498">
        <f t="shared" si="33"/>
        <v>0</v>
      </c>
      <c r="AU46" s="498">
        <f t="shared" si="8"/>
        <v>0</v>
      </c>
      <c r="AV46" s="498">
        <f t="shared" si="9"/>
        <v>0</v>
      </c>
      <c r="AW46" s="498">
        <f t="shared" si="10"/>
        <v>0</v>
      </c>
      <c r="AX46" s="498">
        <f t="shared" si="11"/>
        <v>0</v>
      </c>
      <c r="AY46" s="498">
        <f t="shared" si="12"/>
        <v>0</v>
      </c>
      <c r="BB46" s="498" t="str">
        <f t="shared" si="13"/>
        <v/>
      </c>
      <c r="BC46" s="743" t="str">
        <f t="shared" si="14"/>
        <v/>
      </c>
      <c r="BD46" s="743" t="str">
        <f t="shared" si="15"/>
        <v/>
      </c>
      <c r="BE46" s="743" t="str">
        <f>IF(D46="","",VLOOKUP(D46,'General Basis'!$J$39:$K$46,2,0))</f>
        <v/>
      </c>
      <c r="BF46" s="744" t="str">
        <f>IF(D46="","",VLOOKUP(D46,'General Basis'!$J$39:$L$46,3,0))</f>
        <v/>
      </c>
      <c r="BG46" s="744" t="str">
        <f t="shared" si="23"/>
        <v/>
      </c>
      <c r="BH46" s="744" t="str">
        <f>IF(G46="","",IF(BF46="Abu Dhabi",IF(G46&lt;18,'General Basis'!$C$39,IF(G46&lt;41,'General Basis'!$C$40,IF(G46&lt;60,'General Basis'!$C$41,IF(G46&lt;65,'General Basis'!$C$42,'General Basis'!$C$43)))),IF(G46&lt;11,'General Basis'!$B$39,IF(G46&lt;18,'General Basis'!$B$40,IF(G46&lt;26,'General Basis'!$B$41,IF(G46&lt;31,'General Basis'!$B$42,IF(G46&lt;36,'General Basis'!$B$43,IF(G46&lt;41,'General Basis'!$B$44,IF(G46&lt;46,'General Basis'!$B$45,IF(G46&lt;51,'General Basis'!$B$46,IF(G46&lt;56,'General Basis'!$B$47,IF(G46&lt;60,'General Basis'!$B$48,IF(G46&lt;65,'General Basis'!$B$49,'General Basis'!$B$50)))))))))))))</f>
        <v/>
      </c>
      <c r="BI46" s="744" t="str">
        <f t="shared" si="16"/>
        <v/>
      </c>
      <c r="BJ46" s="747" t="str">
        <f t="shared" si="24"/>
        <v/>
      </c>
      <c r="BK46" s="498" t="str">
        <f t="shared" si="17"/>
        <v/>
      </c>
      <c r="BL46" s="498" t="str">
        <f t="shared" si="18"/>
        <v/>
      </c>
    </row>
    <row r="47" spans="1:64" ht="16.5" thickBot="1" x14ac:dyDescent="0.3">
      <c r="A47" s="762">
        <f t="shared" si="34"/>
        <v>42</v>
      </c>
      <c r="B47" s="229"/>
      <c r="C47" s="223"/>
      <c r="D47" s="224"/>
      <c r="E47" s="225"/>
      <c r="F47" s="1036" t="str">
        <f t="shared" si="26"/>
        <v/>
      </c>
      <c r="G47" s="1037" t="str">
        <f t="shared" si="20"/>
        <v/>
      </c>
      <c r="H47" s="225"/>
      <c r="I47" s="1013"/>
      <c r="J47" s="1013"/>
      <c r="K47" s="1028"/>
      <c r="L47" s="1035" t="str">
        <f t="shared" si="25"/>
        <v/>
      </c>
      <c r="N47" s="1319"/>
      <c r="O47" s="977" t="s">
        <v>271</v>
      </c>
      <c r="P47" s="978" t="s">
        <v>272</v>
      </c>
      <c r="Q47" s="978" t="s">
        <v>273</v>
      </c>
      <c r="R47" s="972" t="s">
        <v>274</v>
      </c>
      <c r="S47" s="972" t="s">
        <v>365</v>
      </c>
      <c r="T47" s="972" t="s">
        <v>62</v>
      </c>
      <c r="U47" s="972" t="s">
        <v>366</v>
      </c>
      <c r="V47" s="979" t="s">
        <v>367</v>
      </c>
      <c r="W47" s="1324"/>
      <c r="AH47" s="499"/>
      <c r="AM47" s="498">
        <f t="shared" si="3"/>
        <v>0</v>
      </c>
      <c r="AN47" s="498">
        <f t="shared" si="4"/>
        <v>0</v>
      </c>
      <c r="AO47" s="498">
        <f t="shared" si="5"/>
        <v>0</v>
      </c>
      <c r="AP47" s="498">
        <f t="shared" si="32"/>
        <v>0</v>
      </c>
      <c r="AQ47" s="498">
        <f t="shared" si="33"/>
        <v>0</v>
      </c>
      <c r="AU47" s="498">
        <f t="shared" si="8"/>
        <v>0</v>
      </c>
      <c r="AV47" s="498">
        <f t="shared" si="9"/>
        <v>0</v>
      </c>
      <c r="AW47" s="498">
        <f t="shared" si="10"/>
        <v>0</v>
      </c>
      <c r="AX47" s="498">
        <f t="shared" si="11"/>
        <v>0</v>
      </c>
      <c r="AY47" s="498">
        <f t="shared" si="12"/>
        <v>0</v>
      </c>
      <c r="BB47" s="498" t="str">
        <f t="shared" si="13"/>
        <v/>
      </c>
      <c r="BC47" s="743" t="str">
        <f t="shared" si="14"/>
        <v/>
      </c>
      <c r="BD47" s="743" t="str">
        <f t="shared" si="15"/>
        <v/>
      </c>
      <c r="BE47" s="743" t="str">
        <f>IF(D47="","",VLOOKUP(D47,'General Basis'!$J$39:$K$46,2,0))</f>
        <v/>
      </c>
      <c r="BF47" s="744" t="str">
        <f>IF(D47="","",VLOOKUP(D47,'General Basis'!$J$39:$L$46,3,0))</f>
        <v/>
      </c>
      <c r="BG47" s="744" t="str">
        <f t="shared" si="23"/>
        <v/>
      </c>
      <c r="BH47" s="744" t="str">
        <f>IF(G47="","",IF(BF47="Abu Dhabi",IF(G47&lt;18,'General Basis'!$C$39,IF(G47&lt;41,'General Basis'!$C$40,IF(G47&lt;60,'General Basis'!$C$41,IF(G47&lt;65,'General Basis'!$C$42,'General Basis'!$C$43)))),IF(G47&lt;11,'General Basis'!$B$39,IF(G47&lt;18,'General Basis'!$B$40,IF(G47&lt;26,'General Basis'!$B$41,IF(G47&lt;31,'General Basis'!$B$42,IF(G47&lt;36,'General Basis'!$B$43,IF(G47&lt;41,'General Basis'!$B$44,IF(G47&lt;46,'General Basis'!$B$45,IF(G47&lt;51,'General Basis'!$B$46,IF(G47&lt;56,'General Basis'!$B$47,IF(G47&lt;60,'General Basis'!$B$48,IF(G47&lt;65,'General Basis'!$B$49,'General Basis'!$B$50)))))))))))))</f>
        <v/>
      </c>
      <c r="BI47" s="744" t="str">
        <f t="shared" si="16"/>
        <v/>
      </c>
      <c r="BJ47" s="747" t="str">
        <f t="shared" si="24"/>
        <v/>
      </c>
      <c r="BK47" s="498" t="str">
        <f t="shared" si="17"/>
        <v/>
      </c>
      <c r="BL47" s="498" t="str">
        <f t="shared" si="18"/>
        <v/>
      </c>
    </row>
    <row r="48" spans="1:64" ht="16.5" thickBot="1" x14ac:dyDescent="0.3">
      <c r="A48" s="762">
        <f t="shared" si="34"/>
        <v>43</v>
      </c>
      <c r="B48" s="229"/>
      <c r="C48" s="223"/>
      <c r="D48" s="224"/>
      <c r="E48" s="225"/>
      <c r="F48" s="1036" t="str">
        <f t="shared" si="26"/>
        <v/>
      </c>
      <c r="G48" s="1037" t="str">
        <f t="shared" si="20"/>
        <v/>
      </c>
      <c r="H48" s="225"/>
      <c r="I48" s="1013"/>
      <c r="J48" s="1013"/>
      <c r="K48" s="1028"/>
      <c r="L48" s="1035" t="str">
        <f t="shared" si="25"/>
        <v/>
      </c>
      <c r="N48" s="1033" t="s">
        <v>1195</v>
      </c>
      <c r="O48" s="1029">
        <f t="shared" ref="O48:V48" si="36">SUMIF($D$6:$D$5331,O47,$K$6:$K$5331)</f>
        <v>0</v>
      </c>
      <c r="P48" s="1030">
        <f t="shared" si="36"/>
        <v>0</v>
      </c>
      <c r="Q48" s="1030">
        <f t="shared" si="36"/>
        <v>0</v>
      </c>
      <c r="R48" s="1030">
        <f t="shared" si="36"/>
        <v>0</v>
      </c>
      <c r="S48" s="1030">
        <f t="shared" si="36"/>
        <v>0</v>
      </c>
      <c r="T48" s="1030">
        <f t="shared" si="36"/>
        <v>0</v>
      </c>
      <c r="U48" s="1030">
        <f t="shared" si="36"/>
        <v>0</v>
      </c>
      <c r="V48" s="1031">
        <f t="shared" si="36"/>
        <v>0</v>
      </c>
      <c r="W48" s="1032">
        <f>SUM(O48:V48)</f>
        <v>0</v>
      </c>
      <c r="AH48" s="499"/>
      <c r="AM48" s="498">
        <f t="shared" si="3"/>
        <v>0</v>
      </c>
      <c r="AN48" s="498">
        <f t="shared" si="4"/>
        <v>0</v>
      </c>
      <c r="AO48" s="498">
        <f t="shared" si="5"/>
        <v>0</v>
      </c>
      <c r="AP48" s="498">
        <f t="shared" si="32"/>
        <v>0</v>
      </c>
      <c r="AQ48" s="498">
        <f t="shared" si="33"/>
        <v>0</v>
      </c>
      <c r="AU48" s="498">
        <f t="shared" si="8"/>
        <v>0</v>
      </c>
      <c r="AV48" s="498">
        <f t="shared" si="9"/>
        <v>0</v>
      </c>
      <c r="AW48" s="498">
        <f t="shared" si="10"/>
        <v>0</v>
      </c>
      <c r="AX48" s="498">
        <f t="shared" si="11"/>
        <v>0</v>
      </c>
      <c r="AY48" s="498">
        <f t="shared" si="12"/>
        <v>0</v>
      </c>
      <c r="BB48" s="498" t="str">
        <f t="shared" si="13"/>
        <v/>
      </c>
      <c r="BC48" s="743" t="str">
        <f t="shared" si="14"/>
        <v/>
      </c>
      <c r="BD48" s="743" t="str">
        <f t="shared" si="15"/>
        <v/>
      </c>
      <c r="BE48" s="743" t="str">
        <f>IF(D48="","",VLOOKUP(D48,'General Basis'!$J$39:$K$46,2,0))</f>
        <v/>
      </c>
      <c r="BF48" s="744" t="str">
        <f>IF(D48="","",VLOOKUP(D48,'General Basis'!$J$39:$L$46,3,0))</f>
        <v/>
      </c>
      <c r="BG48" s="744" t="str">
        <f t="shared" si="23"/>
        <v/>
      </c>
      <c r="BH48" s="744" t="str">
        <f>IF(G48="","",IF(BF48="Abu Dhabi",IF(G48&lt;18,'General Basis'!$C$39,IF(G48&lt;41,'General Basis'!$C$40,IF(G48&lt;60,'General Basis'!$C$41,IF(G48&lt;65,'General Basis'!$C$42,'General Basis'!$C$43)))),IF(G48&lt;11,'General Basis'!$B$39,IF(G48&lt;18,'General Basis'!$B$40,IF(G48&lt;26,'General Basis'!$B$41,IF(G48&lt;31,'General Basis'!$B$42,IF(G48&lt;36,'General Basis'!$B$43,IF(G48&lt;41,'General Basis'!$B$44,IF(G48&lt;46,'General Basis'!$B$45,IF(G48&lt;51,'General Basis'!$B$46,IF(G48&lt;56,'General Basis'!$B$47,IF(G48&lt;60,'General Basis'!$B$48,IF(G48&lt;65,'General Basis'!$B$49,'General Basis'!$B$50)))))))))))))</f>
        <v/>
      </c>
      <c r="BI48" s="744" t="str">
        <f t="shared" si="16"/>
        <v/>
      </c>
      <c r="BJ48" s="747" t="str">
        <f t="shared" si="24"/>
        <v/>
      </c>
      <c r="BK48" s="498" t="str">
        <f t="shared" si="17"/>
        <v/>
      </c>
      <c r="BL48" s="498" t="str">
        <f t="shared" si="18"/>
        <v/>
      </c>
    </row>
    <row r="49" spans="1:64" x14ac:dyDescent="0.25">
      <c r="A49" s="762">
        <f t="shared" si="34"/>
        <v>44</v>
      </c>
      <c r="B49" s="229"/>
      <c r="C49" s="223"/>
      <c r="D49" s="224"/>
      <c r="E49" s="225"/>
      <c r="F49" s="1036" t="str">
        <f t="shared" si="26"/>
        <v/>
      </c>
      <c r="G49" s="1037" t="str">
        <f t="shared" si="20"/>
        <v/>
      </c>
      <c r="H49" s="225"/>
      <c r="I49" s="1013"/>
      <c r="J49" s="1013"/>
      <c r="K49" s="1028"/>
      <c r="L49" s="1035" t="str">
        <f t="shared" si="25"/>
        <v/>
      </c>
      <c r="AJ49" s="498"/>
      <c r="AM49" s="498">
        <f t="shared" si="3"/>
        <v>0</v>
      </c>
      <c r="AN49" s="498">
        <f t="shared" si="4"/>
        <v>0</v>
      </c>
      <c r="AO49" s="498">
        <f t="shared" si="5"/>
        <v>0</v>
      </c>
      <c r="AP49" s="498">
        <f t="shared" si="32"/>
        <v>0</v>
      </c>
      <c r="AQ49" s="498">
        <f t="shared" si="33"/>
        <v>0</v>
      </c>
      <c r="AU49" s="498">
        <f t="shared" si="8"/>
        <v>0</v>
      </c>
      <c r="AV49" s="498">
        <f t="shared" si="9"/>
        <v>0</v>
      </c>
      <c r="AW49" s="498">
        <f t="shared" si="10"/>
        <v>0</v>
      </c>
      <c r="AX49" s="498">
        <f t="shared" si="11"/>
        <v>0</v>
      </c>
      <c r="AY49" s="498">
        <f t="shared" si="12"/>
        <v>0</v>
      </c>
      <c r="BB49" s="498" t="str">
        <f t="shared" si="13"/>
        <v/>
      </c>
      <c r="BC49" s="743" t="str">
        <f t="shared" si="14"/>
        <v/>
      </c>
      <c r="BD49" s="743" t="str">
        <f t="shared" si="15"/>
        <v/>
      </c>
      <c r="BE49" s="743" t="str">
        <f>IF(D49="","",VLOOKUP(D49,'General Basis'!$J$39:$K$46,2,0))</f>
        <v/>
      </c>
      <c r="BF49" s="744" t="str">
        <f>IF(D49="","",VLOOKUP(D49,'General Basis'!$J$39:$L$46,3,0))</f>
        <v/>
      </c>
      <c r="BG49" s="744" t="str">
        <f t="shared" si="23"/>
        <v/>
      </c>
      <c r="BH49" s="744" t="str">
        <f>IF(G49="","",IF(BF49="Abu Dhabi",IF(G49&lt;18,'General Basis'!$C$39,IF(G49&lt;41,'General Basis'!$C$40,IF(G49&lt;60,'General Basis'!$C$41,IF(G49&lt;65,'General Basis'!$C$42,'General Basis'!$C$43)))),IF(G49&lt;11,'General Basis'!$B$39,IF(G49&lt;18,'General Basis'!$B$40,IF(G49&lt;26,'General Basis'!$B$41,IF(G49&lt;31,'General Basis'!$B$42,IF(G49&lt;36,'General Basis'!$B$43,IF(G49&lt;41,'General Basis'!$B$44,IF(G49&lt;46,'General Basis'!$B$45,IF(G49&lt;51,'General Basis'!$B$46,IF(G49&lt;56,'General Basis'!$B$47,IF(G49&lt;60,'General Basis'!$B$48,IF(G49&lt;65,'General Basis'!$B$49,'General Basis'!$B$50)))))))))))))</f>
        <v/>
      </c>
      <c r="BI49" s="744" t="str">
        <f t="shared" si="16"/>
        <v/>
      </c>
      <c r="BJ49" s="747" t="str">
        <f t="shared" si="24"/>
        <v/>
      </c>
      <c r="BK49" s="498" t="str">
        <f t="shared" si="17"/>
        <v/>
      </c>
      <c r="BL49" s="498" t="str">
        <f t="shared" si="18"/>
        <v/>
      </c>
    </row>
    <row r="50" spans="1:64" x14ac:dyDescent="0.25">
      <c r="A50" s="762">
        <f t="shared" si="34"/>
        <v>45</v>
      </c>
      <c r="B50" s="229"/>
      <c r="C50" s="223"/>
      <c r="D50" s="224"/>
      <c r="E50" s="225"/>
      <c r="F50" s="1036" t="str">
        <f t="shared" si="26"/>
        <v/>
      </c>
      <c r="G50" s="1037" t="str">
        <f t="shared" si="20"/>
        <v/>
      </c>
      <c r="H50" s="225"/>
      <c r="I50" s="1013"/>
      <c r="J50" s="1013"/>
      <c r="K50" s="1028"/>
      <c r="L50" s="1035" t="str">
        <f t="shared" si="25"/>
        <v/>
      </c>
      <c r="AJ50" s="498"/>
      <c r="AM50" s="498">
        <f t="shared" si="3"/>
        <v>0</v>
      </c>
      <c r="AN50" s="498">
        <f t="shared" si="4"/>
        <v>0</v>
      </c>
      <c r="AO50" s="498">
        <f t="shared" si="5"/>
        <v>0</v>
      </c>
      <c r="AP50" s="498">
        <f t="shared" si="32"/>
        <v>0</v>
      </c>
      <c r="AQ50" s="498">
        <f t="shared" si="33"/>
        <v>0</v>
      </c>
      <c r="AU50" s="498">
        <f t="shared" si="8"/>
        <v>0</v>
      </c>
      <c r="AV50" s="498">
        <f t="shared" si="9"/>
        <v>0</v>
      </c>
      <c r="AW50" s="498">
        <f t="shared" si="10"/>
        <v>0</v>
      </c>
      <c r="AX50" s="498">
        <f t="shared" si="11"/>
        <v>0</v>
      </c>
      <c r="AY50" s="498">
        <f t="shared" si="12"/>
        <v>0</v>
      </c>
      <c r="BB50" s="498" t="str">
        <f t="shared" si="13"/>
        <v/>
      </c>
      <c r="BC50" s="743" t="str">
        <f t="shared" si="14"/>
        <v/>
      </c>
      <c r="BD50" s="743" t="str">
        <f t="shared" si="15"/>
        <v/>
      </c>
      <c r="BE50" s="743" t="str">
        <f>IF(D50="","",VLOOKUP(D50,'General Basis'!$J$39:$K$46,2,0))</f>
        <v/>
      </c>
      <c r="BF50" s="744" t="str">
        <f>IF(D50="","",VLOOKUP(D50,'General Basis'!$J$39:$L$46,3,0))</f>
        <v/>
      </c>
      <c r="BG50" s="744" t="str">
        <f t="shared" si="23"/>
        <v/>
      </c>
      <c r="BH50" s="744" t="str">
        <f>IF(G50="","",IF(BF50="Abu Dhabi",IF(G50&lt;18,'General Basis'!$C$39,IF(G50&lt;41,'General Basis'!$C$40,IF(G50&lt;60,'General Basis'!$C$41,IF(G50&lt;65,'General Basis'!$C$42,'General Basis'!$C$43)))),IF(G50&lt;11,'General Basis'!$B$39,IF(G50&lt;18,'General Basis'!$B$40,IF(G50&lt;26,'General Basis'!$B$41,IF(G50&lt;31,'General Basis'!$B$42,IF(G50&lt;36,'General Basis'!$B$43,IF(G50&lt;41,'General Basis'!$B$44,IF(G50&lt;46,'General Basis'!$B$45,IF(G50&lt;51,'General Basis'!$B$46,IF(G50&lt;56,'General Basis'!$B$47,IF(G50&lt;60,'General Basis'!$B$48,IF(G50&lt;65,'General Basis'!$B$49,'General Basis'!$B$50)))))))))))))</f>
        <v/>
      </c>
      <c r="BI50" s="744" t="str">
        <f t="shared" si="16"/>
        <v/>
      </c>
      <c r="BJ50" s="747" t="str">
        <f t="shared" si="24"/>
        <v/>
      </c>
      <c r="BK50" s="498" t="str">
        <f t="shared" si="17"/>
        <v/>
      </c>
      <c r="BL50" s="498" t="str">
        <f t="shared" si="18"/>
        <v/>
      </c>
    </row>
    <row r="51" spans="1:64" x14ac:dyDescent="0.25">
      <c r="A51" s="762">
        <f t="shared" si="34"/>
        <v>46</v>
      </c>
      <c r="B51" s="229"/>
      <c r="C51" s="223"/>
      <c r="D51" s="224"/>
      <c r="E51" s="225"/>
      <c r="F51" s="1036" t="str">
        <f t="shared" si="26"/>
        <v/>
      </c>
      <c r="G51" s="1037" t="str">
        <f t="shared" si="20"/>
        <v/>
      </c>
      <c r="H51" s="225"/>
      <c r="I51" s="1013"/>
      <c r="J51" s="1013"/>
      <c r="K51" s="1028"/>
      <c r="L51" s="1035" t="str">
        <f t="shared" si="25"/>
        <v/>
      </c>
      <c r="AJ51" s="498"/>
      <c r="AM51" s="498">
        <f t="shared" si="3"/>
        <v>0</v>
      </c>
      <c r="AN51" s="498">
        <f t="shared" si="4"/>
        <v>0</v>
      </c>
      <c r="AO51" s="498">
        <f t="shared" si="5"/>
        <v>0</v>
      </c>
      <c r="AP51" s="498">
        <f t="shared" si="32"/>
        <v>0</v>
      </c>
      <c r="AQ51" s="498">
        <f t="shared" si="33"/>
        <v>0</v>
      </c>
      <c r="AU51" s="498">
        <f t="shared" si="8"/>
        <v>0</v>
      </c>
      <c r="AV51" s="498">
        <f t="shared" si="9"/>
        <v>0</v>
      </c>
      <c r="AW51" s="498">
        <f t="shared" si="10"/>
        <v>0</v>
      </c>
      <c r="AX51" s="498">
        <f t="shared" si="11"/>
        <v>0</v>
      </c>
      <c r="AY51" s="498">
        <f t="shared" si="12"/>
        <v>0</v>
      </c>
      <c r="BB51" s="498" t="str">
        <f t="shared" si="13"/>
        <v/>
      </c>
      <c r="BC51" s="743" t="str">
        <f t="shared" si="14"/>
        <v/>
      </c>
      <c r="BD51" s="743" t="str">
        <f t="shared" si="15"/>
        <v/>
      </c>
      <c r="BE51" s="743" t="str">
        <f>IF(D51="","",VLOOKUP(D51,'General Basis'!$J$39:$K$46,2,0))</f>
        <v/>
      </c>
      <c r="BF51" s="744" t="str">
        <f>IF(D51="","",VLOOKUP(D51,'General Basis'!$J$39:$L$46,3,0))</f>
        <v/>
      </c>
      <c r="BG51" s="744" t="str">
        <f t="shared" si="23"/>
        <v/>
      </c>
      <c r="BH51" s="744" t="str">
        <f>IF(G51="","",IF(BF51="Abu Dhabi",IF(G51&lt;18,'General Basis'!$C$39,IF(G51&lt;41,'General Basis'!$C$40,IF(G51&lt;60,'General Basis'!$C$41,IF(G51&lt;65,'General Basis'!$C$42,'General Basis'!$C$43)))),IF(G51&lt;11,'General Basis'!$B$39,IF(G51&lt;18,'General Basis'!$B$40,IF(G51&lt;26,'General Basis'!$B$41,IF(G51&lt;31,'General Basis'!$B$42,IF(G51&lt;36,'General Basis'!$B$43,IF(G51&lt;41,'General Basis'!$B$44,IF(G51&lt;46,'General Basis'!$B$45,IF(G51&lt;51,'General Basis'!$B$46,IF(G51&lt;56,'General Basis'!$B$47,IF(G51&lt;60,'General Basis'!$B$48,IF(G51&lt;65,'General Basis'!$B$49,'General Basis'!$B$50)))))))))))))</f>
        <v/>
      </c>
      <c r="BI51" s="744" t="str">
        <f t="shared" si="16"/>
        <v/>
      </c>
      <c r="BJ51" s="747" t="str">
        <f t="shared" si="24"/>
        <v/>
      </c>
      <c r="BK51" s="498" t="str">
        <f t="shared" si="17"/>
        <v/>
      </c>
      <c r="BL51" s="498" t="str">
        <f t="shared" si="18"/>
        <v/>
      </c>
    </row>
    <row r="52" spans="1:64" x14ac:dyDescent="0.25">
      <c r="A52" s="762">
        <f t="shared" si="34"/>
        <v>47</v>
      </c>
      <c r="B52" s="229"/>
      <c r="C52" s="223"/>
      <c r="D52" s="224"/>
      <c r="E52" s="225"/>
      <c r="F52" s="1036" t="str">
        <f t="shared" si="26"/>
        <v/>
      </c>
      <c r="G52" s="1037" t="str">
        <f t="shared" si="20"/>
        <v/>
      </c>
      <c r="H52" s="225"/>
      <c r="I52" s="1013"/>
      <c r="J52" s="1013"/>
      <c r="K52" s="1028"/>
      <c r="L52" s="1035" t="str">
        <f t="shared" si="25"/>
        <v/>
      </c>
      <c r="AJ52" s="498"/>
      <c r="AM52" s="498">
        <f t="shared" si="3"/>
        <v>0</v>
      </c>
      <c r="AN52" s="498">
        <f t="shared" si="4"/>
        <v>0</v>
      </c>
      <c r="AO52" s="498">
        <f t="shared" si="5"/>
        <v>0</v>
      </c>
      <c r="AP52" s="498">
        <f t="shared" si="32"/>
        <v>0</v>
      </c>
      <c r="AQ52" s="498">
        <f t="shared" si="33"/>
        <v>0</v>
      </c>
      <c r="AU52" s="498">
        <f t="shared" si="8"/>
        <v>0</v>
      </c>
      <c r="AV52" s="498">
        <f t="shared" si="9"/>
        <v>0</v>
      </c>
      <c r="AW52" s="498">
        <f t="shared" si="10"/>
        <v>0</v>
      </c>
      <c r="AX52" s="498">
        <f t="shared" si="11"/>
        <v>0</v>
      </c>
      <c r="AY52" s="498">
        <f t="shared" si="12"/>
        <v>0</v>
      </c>
      <c r="BB52" s="498" t="str">
        <f t="shared" si="13"/>
        <v/>
      </c>
      <c r="BC52" s="743" t="str">
        <f t="shared" si="14"/>
        <v/>
      </c>
      <c r="BD52" s="743" t="str">
        <f t="shared" si="15"/>
        <v/>
      </c>
      <c r="BE52" s="743" t="str">
        <f>IF(D52="","",VLOOKUP(D52,'General Basis'!$J$39:$K$46,2,0))</f>
        <v/>
      </c>
      <c r="BF52" s="744" t="str">
        <f>IF(D52="","",VLOOKUP(D52,'General Basis'!$J$39:$L$46,3,0))</f>
        <v/>
      </c>
      <c r="BG52" s="744" t="str">
        <f t="shared" si="23"/>
        <v/>
      </c>
      <c r="BH52" s="744" t="str">
        <f>IF(G52="","",IF(BF52="Abu Dhabi",IF(G52&lt;18,'General Basis'!$C$39,IF(G52&lt;41,'General Basis'!$C$40,IF(G52&lt;60,'General Basis'!$C$41,IF(G52&lt;65,'General Basis'!$C$42,'General Basis'!$C$43)))),IF(G52&lt;11,'General Basis'!$B$39,IF(G52&lt;18,'General Basis'!$B$40,IF(G52&lt;26,'General Basis'!$B$41,IF(G52&lt;31,'General Basis'!$B$42,IF(G52&lt;36,'General Basis'!$B$43,IF(G52&lt;41,'General Basis'!$B$44,IF(G52&lt;46,'General Basis'!$B$45,IF(G52&lt;51,'General Basis'!$B$46,IF(G52&lt;56,'General Basis'!$B$47,IF(G52&lt;60,'General Basis'!$B$48,IF(G52&lt;65,'General Basis'!$B$49,'General Basis'!$B$50)))))))))))))</f>
        <v/>
      </c>
      <c r="BI52" s="744" t="str">
        <f t="shared" si="16"/>
        <v/>
      </c>
      <c r="BJ52" s="747" t="str">
        <f t="shared" si="24"/>
        <v/>
      </c>
      <c r="BK52" s="498" t="str">
        <f t="shared" si="17"/>
        <v/>
      </c>
      <c r="BL52" s="498" t="str">
        <f t="shared" si="18"/>
        <v/>
      </c>
    </row>
    <row r="53" spans="1:64" x14ac:dyDescent="0.25">
      <c r="A53" s="762">
        <f t="shared" si="34"/>
        <v>48</v>
      </c>
      <c r="B53" s="229"/>
      <c r="C53" s="223"/>
      <c r="D53" s="224"/>
      <c r="E53" s="225"/>
      <c r="F53" s="1036" t="str">
        <f t="shared" si="26"/>
        <v/>
      </c>
      <c r="G53" s="1037" t="str">
        <f t="shared" si="20"/>
        <v/>
      </c>
      <c r="H53" s="225"/>
      <c r="I53" s="1013"/>
      <c r="J53" s="1013"/>
      <c r="K53" s="1028"/>
      <c r="L53" s="1035" t="str">
        <f t="shared" si="25"/>
        <v/>
      </c>
      <c r="AJ53" s="498"/>
      <c r="AM53" s="498">
        <f t="shared" si="3"/>
        <v>0</v>
      </c>
      <c r="AN53" s="498">
        <f t="shared" si="4"/>
        <v>0</v>
      </c>
      <c r="AO53" s="498">
        <f t="shared" si="5"/>
        <v>0</v>
      </c>
      <c r="AP53" s="498">
        <f t="shared" si="32"/>
        <v>0</v>
      </c>
      <c r="AQ53" s="498">
        <f t="shared" si="33"/>
        <v>0</v>
      </c>
      <c r="AU53" s="498">
        <f t="shared" si="8"/>
        <v>0</v>
      </c>
      <c r="AV53" s="498">
        <f t="shared" si="9"/>
        <v>0</v>
      </c>
      <c r="AW53" s="498">
        <f t="shared" si="10"/>
        <v>0</v>
      </c>
      <c r="AX53" s="498">
        <f t="shared" si="11"/>
        <v>0</v>
      </c>
      <c r="AY53" s="498">
        <f t="shared" si="12"/>
        <v>0</v>
      </c>
      <c r="BB53" s="498" t="str">
        <f t="shared" si="13"/>
        <v/>
      </c>
      <c r="BC53" s="743" t="str">
        <f t="shared" si="14"/>
        <v/>
      </c>
      <c r="BD53" s="743" t="str">
        <f t="shared" si="15"/>
        <v/>
      </c>
      <c r="BE53" s="743" t="str">
        <f>IF(D53="","",VLOOKUP(D53,'General Basis'!$J$39:$K$46,2,0))</f>
        <v/>
      </c>
      <c r="BF53" s="744" t="str">
        <f>IF(D53="","",VLOOKUP(D53,'General Basis'!$J$39:$L$46,3,0))</f>
        <v/>
      </c>
      <c r="BG53" s="744" t="str">
        <f t="shared" si="23"/>
        <v/>
      </c>
      <c r="BH53" s="744" t="str">
        <f>IF(G53="","",IF(BF53="Abu Dhabi",IF(G53&lt;18,'General Basis'!$C$39,IF(G53&lt;41,'General Basis'!$C$40,IF(G53&lt;60,'General Basis'!$C$41,IF(G53&lt;65,'General Basis'!$C$42,'General Basis'!$C$43)))),IF(G53&lt;11,'General Basis'!$B$39,IF(G53&lt;18,'General Basis'!$B$40,IF(G53&lt;26,'General Basis'!$B$41,IF(G53&lt;31,'General Basis'!$B$42,IF(G53&lt;36,'General Basis'!$B$43,IF(G53&lt;41,'General Basis'!$B$44,IF(G53&lt;46,'General Basis'!$B$45,IF(G53&lt;51,'General Basis'!$B$46,IF(G53&lt;56,'General Basis'!$B$47,IF(G53&lt;60,'General Basis'!$B$48,IF(G53&lt;65,'General Basis'!$B$49,'General Basis'!$B$50)))))))))))))</f>
        <v/>
      </c>
      <c r="BI53" s="744" t="str">
        <f t="shared" si="16"/>
        <v/>
      </c>
      <c r="BJ53" s="747" t="str">
        <f t="shared" si="24"/>
        <v/>
      </c>
      <c r="BK53" s="498" t="str">
        <f t="shared" si="17"/>
        <v/>
      </c>
      <c r="BL53" s="498" t="str">
        <f t="shared" si="18"/>
        <v/>
      </c>
    </row>
    <row r="54" spans="1:64" x14ac:dyDescent="0.25">
      <c r="A54" s="762">
        <f t="shared" si="34"/>
        <v>49</v>
      </c>
      <c r="B54" s="229"/>
      <c r="C54" s="223"/>
      <c r="D54" s="224"/>
      <c r="E54" s="225"/>
      <c r="F54" s="1036" t="str">
        <f t="shared" si="26"/>
        <v/>
      </c>
      <c r="G54" s="1037" t="str">
        <f t="shared" si="20"/>
        <v/>
      </c>
      <c r="H54" s="225"/>
      <c r="I54" s="1013"/>
      <c r="J54" s="1013"/>
      <c r="K54" s="1028"/>
      <c r="L54" s="1035" t="str">
        <f t="shared" si="25"/>
        <v/>
      </c>
      <c r="AJ54" s="498"/>
      <c r="AM54" s="498">
        <f t="shared" si="3"/>
        <v>0</v>
      </c>
      <c r="AN54" s="498">
        <f t="shared" si="4"/>
        <v>0</v>
      </c>
      <c r="AO54" s="498">
        <f t="shared" si="5"/>
        <v>0</v>
      </c>
      <c r="AP54" s="498">
        <f t="shared" si="32"/>
        <v>0</v>
      </c>
      <c r="AQ54" s="498">
        <f t="shared" si="33"/>
        <v>0</v>
      </c>
      <c r="AU54" s="498">
        <f t="shared" si="8"/>
        <v>0</v>
      </c>
      <c r="AV54" s="498">
        <f t="shared" si="9"/>
        <v>0</v>
      </c>
      <c r="AW54" s="498">
        <f t="shared" si="10"/>
        <v>0</v>
      </c>
      <c r="AX54" s="498">
        <f t="shared" si="11"/>
        <v>0</v>
      </c>
      <c r="AY54" s="498">
        <f t="shared" si="12"/>
        <v>0</v>
      </c>
      <c r="BB54" s="498" t="str">
        <f t="shared" si="13"/>
        <v/>
      </c>
      <c r="BC54" s="743" t="str">
        <f t="shared" si="14"/>
        <v/>
      </c>
      <c r="BD54" s="743" t="str">
        <f t="shared" si="15"/>
        <v/>
      </c>
      <c r="BE54" s="743" t="str">
        <f>IF(D54="","",VLOOKUP(D54,'General Basis'!$J$39:$K$46,2,0))</f>
        <v/>
      </c>
      <c r="BF54" s="744" t="str">
        <f>IF(D54="","",VLOOKUP(D54,'General Basis'!$J$39:$L$46,3,0))</f>
        <v/>
      </c>
      <c r="BG54" s="744" t="str">
        <f t="shared" si="23"/>
        <v/>
      </c>
      <c r="BH54" s="744" t="str">
        <f>IF(G54="","",IF(BF54="Abu Dhabi",IF(G54&lt;18,'General Basis'!$C$39,IF(G54&lt;41,'General Basis'!$C$40,IF(G54&lt;60,'General Basis'!$C$41,IF(G54&lt;65,'General Basis'!$C$42,'General Basis'!$C$43)))),IF(G54&lt;11,'General Basis'!$B$39,IF(G54&lt;18,'General Basis'!$B$40,IF(G54&lt;26,'General Basis'!$B$41,IF(G54&lt;31,'General Basis'!$B$42,IF(G54&lt;36,'General Basis'!$B$43,IF(G54&lt;41,'General Basis'!$B$44,IF(G54&lt;46,'General Basis'!$B$45,IF(G54&lt;51,'General Basis'!$B$46,IF(G54&lt;56,'General Basis'!$B$47,IF(G54&lt;60,'General Basis'!$B$48,IF(G54&lt;65,'General Basis'!$B$49,'General Basis'!$B$50)))))))))))))</f>
        <v/>
      </c>
      <c r="BI54" s="744" t="str">
        <f t="shared" si="16"/>
        <v/>
      </c>
      <c r="BJ54" s="747" t="str">
        <f t="shared" si="24"/>
        <v/>
      </c>
      <c r="BK54" s="498" t="str">
        <f t="shared" si="17"/>
        <v/>
      </c>
      <c r="BL54" s="498" t="str">
        <f t="shared" si="18"/>
        <v/>
      </c>
    </row>
    <row r="55" spans="1:64" x14ac:dyDescent="0.25">
      <c r="A55" s="762">
        <f t="shared" si="34"/>
        <v>50</v>
      </c>
      <c r="B55" s="229"/>
      <c r="C55" s="223"/>
      <c r="D55" s="224"/>
      <c r="E55" s="225"/>
      <c r="F55" s="1036" t="str">
        <f t="shared" si="26"/>
        <v/>
      </c>
      <c r="G55" s="1037" t="str">
        <f t="shared" si="20"/>
        <v/>
      </c>
      <c r="H55" s="225"/>
      <c r="I55" s="1013"/>
      <c r="J55" s="1013"/>
      <c r="K55" s="1028"/>
      <c r="L55" s="1035" t="str">
        <f t="shared" si="25"/>
        <v/>
      </c>
      <c r="AJ55" s="498"/>
      <c r="AM55" s="498">
        <f t="shared" si="3"/>
        <v>0</v>
      </c>
      <c r="AN55" s="498">
        <f t="shared" si="4"/>
        <v>0</v>
      </c>
      <c r="AO55" s="498">
        <f t="shared" si="5"/>
        <v>0</v>
      </c>
      <c r="AP55" s="498">
        <f t="shared" si="32"/>
        <v>0</v>
      </c>
      <c r="AQ55" s="498">
        <f t="shared" si="33"/>
        <v>0</v>
      </c>
      <c r="AU55" s="498">
        <f t="shared" si="8"/>
        <v>0</v>
      </c>
      <c r="AV55" s="498">
        <f t="shared" si="9"/>
        <v>0</v>
      </c>
      <c r="AW55" s="498">
        <f t="shared" si="10"/>
        <v>0</v>
      </c>
      <c r="AX55" s="498">
        <f t="shared" si="11"/>
        <v>0</v>
      </c>
      <c r="AY55" s="498">
        <f t="shared" si="12"/>
        <v>0</v>
      </c>
      <c r="BB55" s="498" t="str">
        <f t="shared" si="13"/>
        <v/>
      </c>
      <c r="BC55" s="743" t="str">
        <f t="shared" si="14"/>
        <v/>
      </c>
      <c r="BD55" s="743" t="str">
        <f t="shared" si="15"/>
        <v/>
      </c>
      <c r="BE55" s="743" t="str">
        <f>IF(D55="","",VLOOKUP(D55,'General Basis'!$J$39:$K$46,2,0))</f>
        <v/>
      </c>
      <c r="BF55" s="744" t="str">
        <f>IF(D55="","",VLOOKUP(D55,'General Basis'!$J$39:$L$46,3,0))</f>
        <v/>
      </c>
      <c r="BG55" s="744" t="str">
        <f t="shared" si="23"/>
        <v/>
      </c>
      <c r="BH55" s="744" t="str">
        <f>IF(G55="","",IF(BF55="Abu Dhabi",IF(G55&lt;18,'General Basis'!$C$39,IF(G55&lt;41,'General Basis'!$C$40,IF(G55&lt;60,'General Basis'!$C$41,IF(G55&lt;65,'General Basis'!$C$42,'General Basis'!$C$43)))),IF(G55&lt;11,'General Basis'!$B$39,IF(G55&lt;18,'General Basis'!$B$40,IF(G55&lt;26,'General Basis'!$B$41,IF(G55&lt;31,'General Basis'!$B$42,IF(G55&lt;36,'General Basis'!$B$43,IF(G55&lt;41,'General Basis'!$B$44,IF(G55&lt;46,'General Basis'!$B$45,IF(G55&lt;51,'General Basis'!$B$46,IF(G55&lt;56,'General Basis'!$B$47,IF(G55&lt;60,'General Basis'!$B$48,IF(G55&lt;65,'General Basis'!$B$49,'General Basis'!$B$50)))))))))))))</f>
        <v/>
      </c>
      <c r="BI55" s="744" t="str">
        <f t="shared" si="16"/>
        <v/>
      </c>
      <c r="BJ55" s="747" t="str">
        <f t="shared" si="24"/>
        <v/>
      </c>
      <c r="BK55" s="498" t="str">
        <f t="shared" si="17"/>
        <v/>
      </c>
      <c r="BL55" s="498" t="str">
        <f t="shared" si="18"/>
        <v/>
      </c>
    </row>
    <row r="56" spans="1:64" x14ac:dyDescent="0.25">
      <c r="A56" s="762">
        <f t="shared" si="34"/>
        <v>51</v>
      </c>
      <c r="B56" s="229"/>
      <c r="C56" s="223"/>
      <c r="D56" s="224"/>
      <c r="E56" s="225"/>
      <c r="F56" s="1036" t="str">
        <f t="shared" si="26"/>
        <v/>
      </c>
      <c r="G56" s="1037" t="str">
        <f t="shared" si="20"/>
        <v/>
      </c>
      <c r="H56" s="225"/>
      <c r="I56" s="1013"/>
      <c r="J56" s="1013"/>
      <c r="K56" s="1028"/>
      <c r="L56" s="1035" t="str">
        <f t="shared" si="25"/>
        <v/>
      </c>
      <c r="AJ56" s="498"/>
      <c r="AM56" s="498">
        <f t="shared" si="3"/>
        <v>0</v>
      </c>
      <c r="AN56" s="498">
        <f t="shared" si="4"/>
        <v>0</v>
      </c>
      <c r="AO56" s="498">
        <f t="shared" si="5"/>
        <v>0</v>
      </c>
      <c r="AP56" s="498">
        <f t="shared" si="32"/>
        <v>0</v>
      </c>
      <c r="AQ56" s="498">
        <f t="shared" si="33"/>
        <v>0</v>
      </c>
      <c r="AU56" s="498">
        <f t="shared" si="8"/>
        <v>0</v>
      </c>
      <c r="AV56" s="498">
        <f t="shared" si="9"/>
        <v>0</v>
      </c>
      <c r="AW56" s="498">
        <f t="shared" si="10"/>
        <v>0</v>
      </c>
      <c r="AX56" s="498">
        <f t="shared" si="11"/>
        <v>0</v>
      </c>
      <c r="AY56" s="498">
        <f t="shared" si="12"/>
        <v>0</v>
      </c>
      <c r="BB56" s="498" t="str">
        <f t="shared" si="13"/>
        <v/>
      </c>
      <c r="BC56" s="743" t="str">
        <f t="shared" si="14"/>
        <v/>
      </c>
      <c r="BD56" s="743" t="str">
        <f t="shared" si="15"/>
        <v/>
      </c>
      <c r="BE56" s="743" t="str">
        <f>IF(D56="","",VLOOKUP(D56,'General Basis'!$J$39:$K$46,2,0))</f>
        <v/>
      </c>
      <c r="BF56" s="744" t="str">
        <f>IF(D56="","",VLOOKUP(D56,'General Basis'!$J$39:$L$46,3,0))</f>
        <v/>
      </c>
      <c r="BG56" s="744" t="str">
        <f t="shared" si="23"/>
        <v/>
      </c>
      <c r="BH56" s="744" t="str">
        <f>IF(G56="","",IF(BF56="Abu Dhabi",IF(G56&lt;18,'General Basis'!$C$39,IF(G56&lt;41,'General Basis'!$C$40,IF(G56&lt;60,'General Basis'!$C$41,IF(G56&lt;65,'General Basis'!$C$42,'General Basis'!$C$43)))),IF(G56&lt;11,'General Basis'!$B$39,IF(G56&lt;18,'General Basis'!$B$40,IF(G56&lt;26,'General Basis'!$B$41,IF(G56&lt;31,'General Basis'!$B$42,IF(G56&lt;36,'General Basis'!$B$43,IF(G56&lt;41,'General Basis'!$B$44,IF(G56&lt;46,'General Basis'!$B$45,IF(G56&lt;51,'General Basis'!$B$46,IF(G56&lt;56,'General Basis'!$B$47,IF(G56&lt;60,'General Basis'!$B$48,IF(G56&lt;65,'General Basis'!$B$49,'General Basis'!$B$50)))))))))))))</f>
        <v/>
      </c>
      <c r="BI56" s="744" t="str">
        <f t="shared" si="16"/>
        <v/>
      </c>
      <c r="BJ56" s="747" t="str">
        <f t="shared" si="24"/>
        <v/>
      </c>
      <c r="BK56" s="498" t="str">
        <f t="shared" si="17"/>
        <v/>
      </c>
      <c r="BL56" s="498" t="str">
        <f t="shared" si="18"/>
        <v/>
      </c>
    </row>
    <row r="57" spans="1:64" x14ac:dyDescent="0.25">
      <c r="A57" s="762">
        <f t="shared" si="34"/>
        <v>52</v>
      </c>
      <c r="B57" s="229"/>
      <c r="C57" s="223"/>
      <c r="D57" s="224"/>
      <c r="E57" s="225"/>
      <c r="F57" s="1036" t="str">
        <f t="shared" si="26"/>
        <v/>
      </c>
      <c r="G57" s="1037" t="str">
        <f t="shared" si="20"/>
        <v/>
      </c>
      <c r="H57" s="225"/>
      <c r="I57" s="1013"/>
      <c r="J57" s="1013"/>
      <c r="K57" s="1028"/>
      <c r="L57" s="1035" t="str">
        <f t="shared" si="25"/>
        <v/>
      </c>
      <c r="AJ57" s="498"/>
      <c r="AM57" s="498">
        <f t="shared" si="3"/>
        <v>0</v>
      </c>
      <c r="AN57" s="498">
        <f t="shared" si="4"/>
        <v>0</v>
      </c>
      <c r="AO57" s="498">
        <f t="shared" si="5"/>
        <v>0</v>
      </c>
      <c r="AP57" s="498">
        <f t="shared" si="32"/>
        <v>0</v>
      </c>
      <c r="AQ57" s="498">
        <f t="shared" si="33"/>
        <v>0</v>
      </c>
      <c r="AU57" s="498">
        <f t="shared" si="8"/>
        <v>0</v>
      </c>
      <c r="AV57" s="498">
        <f t="shared" si="9"/>
        <v>0</v>
      </c>
      <c r="AW57" s="498">
        <f t="shared" si="10"/>
        <v>0</v>
      </c>
      <c r="AX57" s="498">
        <f t="shared" si="11"/>
        <v>0</v>
      </c>
      <c r="AY57" s="498">
        <f t="shared" si="12"/>
        <v>0</v>
      </c>
      <c r="BB57" s="498" t="str">
        <f t="shared" si="13"/>
        <v/>
      </c>
      <c r="BC57" s="743" t="str">
        <f t="shared" si="14"/>
        <v/>
      </c>
      <c r="BD57" s="743" t="str">
        <f t="shared" si="15"/>
        <v/>
      </c>
      <c r="BE57" s="743" t="str">
        <f>IF(D57="","",VLOOKUP(D57,'General Basis'!$J$39:$K$46,2,0))</f>
        <v/>
      </c>
      <c r="BF57" s="744" t="str">
        <f>IF(D57="","",VLOOKUP(D57,'General Basis'!$J$39:$L$46,3,0))</f>
        <v/>
      </c>
      <c r="BG57" s="744" t="str">
        <f t="shared" si="23"/>
        <v/>
      </c>
      <c r="BH57" s="744" t="str">
        <f>IF(G57="","",IF(BF57="Abu Dhabi",IF(G57&lt;18,'General Basis'!$C$39,IF(G57&lt;41,'General Basis'!$C$40,IF(G57&lt;60,'General Basis'!$C$41,IF(G57&lt;65,'General Basis'!$C$42,'General Basis'!$C$43)))),IF(G57&lt;11,'General Basis'!$B$39,IF(G57&lt;18,'General Basis'!$B$40,IF(G57&lt;26,'General Basis'!$B$41,IF(G57&lt;31,'General Basis'!$B$42,IF(G57&lt;36,'General Basis'!$B$43,IF(G57&lt;41,'General Basis'!$B$44,IF(G57&lt;46,'General Basis'!$B$45,IF(G57&lt;51,'General Basis'!$B$46,IF(G57&lt;56,'General Basis'!$B$47,IF(G57&lt;60,'General Basis'!$B$48,IF(G57&lt;65,'General Basis'!$B$49,'General Basis'!$B$50)))))))))))))</f>
        <v/>
      </c>
      <c r="BI57" s="744" t="str">
        <f t="shared" si="16"/>
        <v/>
      </c>
      <c r="BJ57" s="747" t="str">
        <f t="shared" si="24"/>
        <v/>
      </c>
      <c r="BK57" s="498" t="str">
        <f t="shared" si="17"/>
        <v/>
      </c>
      <c r="BL57" s="498" t="str">
        <f t="shared" si="18"/>
        <v/>
      </c>
    </row>
    <row r="58" spans="1:64" x14ac:dyDescent="0.25">
      <c r="A58" s="762">
        <f t="shared" si="34"/>
        <v>53</v>
      </c>
      <c r="B58" s="229"/>
      <c r="C58" s="223"/>
      <c r="D58" s="224"/>
      <c r="E58" s="225"/>
      <c r="F58" s="1036" t="str">
        <f t="shared" si="26"/>
        <v/>
      </c>
      <c r="G58" s="1037" t="str">
        <f t="shared" si="20"/>
        <v/>
      </c>
      <c r="H58" s="225"/>
      <c r="I58" s="1013"/>
      <c r="J58" s="1013"/>
      <c r="K58" s="1028"/>
      <c r="L58" s="1035" t="str">
        <f t="shared" si="25"/>
        <v/>
      </c>
      <c r="AG58" s="240"/>
      <c r="AJ58" s="498"/>
      <c r="AM58" s="498">
        <f t="shared" si="3"/>
        <v>0</v>
      </c>
      <c r="AN58" s="498">
        <f t="shared" si="4"/>
        <v>0</v>
      </c>
      <c r="AO58" s="498">
        <f t="shared" si="5"/>
        <v>0</v>
      </c>
      <c r="AP58" s="498">
        <f t="shared" si="32"/>
        <v>0</v>
      </c>
      <c r="AQ58" s="498">
        <f t="shared" si="33"/>
        <v>0</v>
      </c>
      <c r="AU58" s="498">
        <f t="shared" si="8"/>
        <v>0</v>
      </c>
      <c r="AV58" s="498">
        <f t="shared" si="9"/>
        <v>0</v>
      </c>
      <c r="AW58" s="498">
        <f t="shared" si="10"/>
        <v>0</v>
      </c>
      <c r="AX58" s="498">
        <f t="shared" si="11"/>
        <v>0</v>
      </c>
      <c r="AY58" s="498">
        <f t="shared" si="12"/>
        <v>0</v>
      </c>
      <c r="BB58" s="498" t="str">
        <f t="shared" si="13"/>
        <v/>
      </c>
      <c r="BC58" s="743" t="str">
        <f t="shared" si="14"/>
        <v/>
      </c>
      <c r="BD58" s="743" t="str">
        <f t="shared" si="15"/>
        <v/>
      </c>
      <c r="BE58" s="743" t="str">
        <f>IF(D58="","",VLOOKUP(D58,'General Basis'!$J$39:$K$46,2,0))</f>
        <v/>
      </c>
      <c r="BF58" s="744" t="str">
        <f>IF(D58="","",VLOOKUP(D58,'General Basis'!$J$39:$L$46,3,0))</f>
        <v/>
      </c>
      <c r="BG58" s="744" t="str">
        <f t="shared" si="23"/>
        <v/>
      </c>
      <c r="BH58" s="744" t="str">
        <f>IF(G58="","",IF(BF58="Abu Dhabi",IF(G58&lt;18,'General Basis'!$C$39,IF(G58&lt;41,'General Basis'!$C$40,IF(G58&lt;60,'General Basis'!$C$41,IF(G58&lt;65,'General Basis'!$C$42,'General Basis'!$C$43)))),IF(G58&lt;11,'General Basis'!$B$39,IF(G58&lt;18,'General Basis'!$B$40,IF(G58&lt;26,'General Basis'!$B$41,IF(G58&lt;31,'General Basis'!$B$42,IF(G58&lt;36,'General Basis'!$B$43,IF(G58&lt;41,'General Basis'!$B$44,IF(G58&lt;46,'General Basis'!$B$45,IF(G58&lt;51,'General Basis'!$B$46,IF(G58&lt;56,'General Basis'!$B$47,IF(G58&lt;60,'General Basis'!$B$48,IF(G58&lt;65,'General Basis'!$B$49,'General Basis'!$B$50)))))))))))))</f>
        <v/>
      </c>
      <c r="BI58" s="744" t="str">
        <f t="shared" si="16"/>
        <v/>
      </c>
      <c r="BJ58" s="747" t="str">
        <f t="shared" si="24"/>
        <v/>
      </c>
      <c r="BK58" s="498" t="str">
        <f t="shared" si="17"/>
        <v/>
      </c>
      <c r="BL58" s="498" t="str">
        <f t="shared" si="18"/>
        <v/>
      </c>
    </row>
    <row r="59" spans="1:64" x14ac:dyDescent="0.25">
      <c r="A59" s="762">
        <f t="shared" si="34"/>
        <v>54</v>
      </c>
      <c r="B59" s="229"/>
      <c r="C59" s="223"/>
      <c r="D59" s="224"/>
      <c r="E59" s="225"/>
      <c r="F59" s="1036" t="str">
        <f t="shared" si="26"/>
        <v/>
      </c>
      <c r="G59" s="1037" t="str">
        <f t="shared" si="20"/>
        <v/>
      </c>
      <c r="H59" s="225"/>
      <c r="I59" s="1013"/>
      <c r="J59" s="1013"/>
      <c r="K59" s="1028"/>
      <c r="L59" s="1035" t="str">
        <f t="shared" si="25"/>
        <v/>
      </c>
      <c r="AG59" s="509"/>
      <c r="AJ59" s="498"/>
      <c r="AM59" s="498">
        <f t="shared" si="3"/>
        <v>0</v>
      </c>
      <c r="AN59" s="498">
        <f t="shared" si="4"/>
        <v>0</v>
      </c>
      <c r="AO59" s="498">
        <f t="shared" si="5"/>
        <v>0</v>
      </c>
      <c r="AP59" s="498">
        <f t="shared" si="32"/>
        <v>0</v>
      </c>
      <c r="AQ59" s="498">
        <f t="shared" si="33"/>
        <v>0</v>
      </c>
      <c r="AU59" s="498">
        <f t="shared" si="8"/>
        <v>0</v>
      </c>
      <c r="AV59" s="498">
        <f t="shared" si="9"/>
        <v>0</v>
      </c>
      <c r="AW59" s="498">
        <f t="shared" si="10"/>
        <v>0</v>
      </c>
      <c r="AX59" s="498">
        <f t="shared" si="11"/>
        <v>0</v>
      </c>
      <c r="AY59" s="498">
        <f t="shared" si="12"/>
        <v>0</v>
      </c>
      <c r="BB59" s="498" t="str">
        <f t="shared" si="13"/>
        <v/>
      </c>
      <c r="BC59" s="743" t="str">
        <f t="shared" si="14"/>
        <v/>
      </c>
      <c r="BD59" s="743" t="str">
        <f t="shared" si="15"/>
        <v/>
      </c>
      <c r="BE59" s="743" t="str">
        <f>IF(D59="","",VLOOKUP(D59,'General Basis'!$J$39:$K$46,2,0))</f>
        <v/>
      </c>
      <c r="BF59" s="744" t="str">
        <f>IF(D59="","",VLOOKUP(D59,'General Basis'!$J$39:$L$46,3,0))</f>
        <v/>
      </c>
      <c r="BG59" s="744" t="str">
        <f t="shared" si="23"/>
        <v/>
      </c>
      <c r="BH59" s="744" t="str">
        <f>IF(G59="","",IF(BF59="Abu Dhabi",IF(G59&lt;18,'General Basis'!$C$39,IF(G59&lt;41,'General Basis'!$C$40,IF(G59&lt;60,'General Basis'!$C$41,IF(G59&lt;65,'General Basis'!$C$42,'General Basis'!$C$43)))),IF(G59&lt;11,'General Basis'!$B$39,IF(G59&lt;18,'General Basis'!$B$40,IF(G59&lt;26,'General Basis'!$B$41,IF(G59&lt;31,'General Basis'!$B$42,IF(G59&lt;36,'General Basis'!$B$43,IF(G59&lt;41,'General Basis'!$B$44,IF(G59&lt;46,'General Basis'!$B$45,IF(G59&lt;51,'General Basis'!$B$46,IF(G59&lt;56,'General Basis'!$B$47,IF(G59&lt;60,'General Basis'!$B$48,IF(G59&lt;65,'General Basis'!$B$49,'General Basis'!$B$50)))))))))))))</f>
        <v/>
      </c>
      <c r="BI59" s="744" t="str">
        <f t="shared" si="16"/>
        <v/>
      </c>
      <c r="BJ59" s="747" t="str">
        <f t="shared" si="24"/>
        <v/>
      </c>
      <c r="BK59" s="498" t="str">
        <f t="shared" si="17"/>
        <v/>
      </c>
      <c r="BL59" s="498" t="str">
        <f t="shared" si="18"/>
        <v/>
      </c>
    </row>
    <row r="60" spans="1:64" x14ac:dyDescent="0.25">
      <c r="A60" s="762">
        <f t="shared" si="34"/>
        <v>55</v>
      </c>
      <c r="B60" s="229"/>
      <c r="C60" s="223"/>
      <c r="D60" s="224"/>
      <c r="E60" s="225"/>
      <c r="F60" s="1036" t="str">
        <f t="shared" si="26"/>
        <v/>
      </c>
      <c r="G60" s="1037" t="str">
        <f t="shared" si="20"/>
        <v/>
      </c>
      <c r="H60" s="225"/>
      <c r="I60" s="1013"/>
      <c r="J60" s="1013"/>
      <c r="K60" s="1028"/>
      <c r="L60" s="1035" t="str">
        <f t="shared" si="25"/>
        <v/>
      </c>
      <c r="AG60" s="240"/>
      <c r="AJ60" s="498"/>
      <c r="AM60" s="498">
        <f t="shared" si="3"/>
        <v>0</v>
      </c>
      <c r="AN60" s="498">
        <f t="shared" si="4"/>
        <v>0</v>
      </c>
      <c r="AO60" s="498">
        <f t="shared" si="5"/>
        <v>0</v>
      </c>
      <c r="AP60" s="498">
        <f t="shared" si="32"/>
        <v>0</v>
      </c>
      <c r="AQ60" s="498">
        <f t="shared" si="33"/>
        <v>0</v>
      </c>
      <c r="AU60" s="498">
        <f t="shared" si="8"/>
        <v>0</v>
      </c>
      <c r="AV60" s="498">
        <f t="shared" si="9"/>
        <v>0</v>
      </c>
      <c r="AW60" s="498">
        <f t="shared" si="10"/>
        <v>0</v>
      </c>
      <c r="AX60" s="498">
        <f t="shared" si="11"/>
        <v>0</v>
      </c>
      <c r="AY60" s="498">
        <f t="shared" si="12"/>
        <v>0</v>
      </c>
      <c r="BB60" s="498" t="str">
        <f t="shared" si="13"/>
        <v/>
      </c>
      <c r="BC60" s="743" t="str">
        <f t="shared" si="14"/>
        <v/>
      </c>
      <c r="BD60" s="743" t="str">
        <f t="shared" si="15"/>
        <v/>
      </c>
      <c r="BE60" s="743" t="str">
        <f>IF(D60="","",VLOOKUP(D60,'General Basis'!$J$39:$K$46,2,0))</f>
        <v/>
      </c>
      <c r="BF60" s="744" t="str">
        <f>IF(D60="","",VLOOKUP(D60,'General Basis'!$J$39:$L$46,3,0))</f>
        <v/>
      </c>
      <c r="BG60" s="744" t="str">
        <f t="shared" si="23"/>
        <v/>
      </c>
      <c r="BH60" s="744" t="str">
        <f>IF(G60="","",IF(BF60="Abu Dhabi",IF(G60&lt;18,'General Basis'!$C$39,IF(G60&lt;41,'General Basis'!$C$40,IF(G60&lt;60,'General Basis'!$C$41,IF(G60&lt;65,'General Basis'!$C$42,'General Basis'!$C$43)))),IF(G60&lt;11,'General Basis'!$B$39,IF(G60&lt;18,'General Basis'!$B$40,IF(G60&lt;26,'General Basis'!$B$41,IF(G60&lt;31,'General Basis'!$B$42,IF(G60&lt;36,'General Basis'!$B$43,IF(G60&lt;41,'General Basis'!$B$44,IF(G60&lt;46,'General Basis'!$B$45,IF(G60&lt;51,'General Basis'!$B$46,IF(G60&lt;56,'General Basis'!$B$47,IF(G60&lt;60,'General Basis'!$B$48,IF(G60&lt;65,'General Basis'!$B$49,'General Basis'!$B$50)))))))))))))</f>
        <v/>
      </c>
      <c r="BI60" s="744" t="str">
        <f t="shared" si="16"/>
        <v/>
      </c>
      <c r="BJ60" s="747" t="str">
        <f t="shared" si="24"/>
        <v/>
      </c>
      <c r="BK60" s="498" t="str">
        <f t="shared" si="17"/>
        <v/>
      </c>
      <c r="BL60" s="498" t="str">
        <f t="shared" si="18"/>
        <v/>
      </c>
    </row>
    <row r="61" spans="1:64" ht="15" customHeight="1" x14ac:dyDescent="0.25">
      <c r="A61" s="762">
        <f t="shared" si="34"/>
        <v>56</v>
      </c>
      <c r="B61" s="229"/>
      <c r="C61" s="223"/>
      <c r="D61" s="224"/>
      <c r="E61" s="225"/>
      <c r="F61" s="1036" t="str">
        <f t="shared" si="26"/>
        <v/>
      </c>
      <c r="G61" s="1037" t="str">
        <f t="shared" si="20"/>
        <v/>
      </c>
      <c r="H61" s="225"/>
      <c r="I61" s="1013"/>
      <c r="J61" s="1013"/>
      <c r="K61" s="1028"/>
      <c r="L61" s="1035" t="str">
        <f t="shared" si="25"/>
        <v/>
      </c>
      <c r="AG61" s="240"/>
      <c r="AJ61" s="498"/>
      <c r="AM61" s="498">
        <f t="shared" si="3"/>
        <v>0</v>
      </c>
      <c r="AN61" s="498">
        <f t="shared" si="4"/>
        <v>0</v>
      </c>
      <c r="AO61" s="498">
        <f t="shared" si="5"/>
        <v>0</v>
      </c>
      <c r="AP61" s="498">
        <f t="shared" si="32"/>
        <v>0</v>
      </c>
      <c r="AQ61" s="498">
        <f t="shared" si="33"/>
        <v>0</v>
      </c>
      <c r="AU61" s="498">
        <f t="shared" si="8"/>
        <v>0</v>
      </c>
      <c r="AV61" s="498">
        <f t="shared" si="9"/>
        <v>0</v>
      </c>
      <c r="AW61" s="498">
        <f t="shared" si="10"/>
        <v>0</v>
      </c>
      <c r="AX61" s="498">
        <f t="shared" si="11"/>
        <v>0</v>
      </c>
      <c r="AY61" s="498">
        <f t="shared" si="12"/>
        <v>0</v>
      </c>
      <c r="BB61" s="498" t="str">
        <f t="shared" si="13"/>
        <v/>
      </c>
      <c r="BC61" s="743" t="str">
        <f t="shared" si="14"/>
        <v/>
      </c>
      <c r="BD61" s="743" t="str">
        <f t="shared" si="15"/>
        <v/>
      </c>
      <c r="BE61" s="743" t="str">
        <f>IF(D61="","",VLOOKUP(D61,'General Basis'!$J$39:$K$46,2,0))</f>
        <v/>
      </c>
      <c r="BF61" s="744" t="str">
        <f>IF(D61="","",VLOOKUP(D61,'General Basis'!$J$39:$L$46,3,0))</f>
        <v/>
      </c>
      <c r="BG61" s="744" t="str">
        <f t="shared" si="23"/>
        <v/>
      </c>
      <c r="BH61" s="744" t="str">
        <f>IF(G61="","",IF(BF61="Abu Dhabi",IF(G61&lt;18,'General Basis'!$C$39,IF(G61&lt;41,'General Basis'!$C$40,IF(G61&lt;60,'General Basis'!$C$41,IF(G61&lt;65,'General Basis'!$C$42,'General Basis'!$C$43)))),IF(G61&lt;11,'General Basis'!$B$39,IF(G61&lt;18,'General Basis'!$B$40,IF(G61&lt;26,'General Basis'!$B$41,IF(G61&lt;31,'General Basis'!$B$42,IF(G61&lt;36,'General Basis'!$B$43,IF(G61&lt;41,'General Basis'!$B$44,IF(G61&lt;46,'General Basis'!$B$45,IF(G61&lt;51,'General Basis'!$B$46,IF(G61&lt;56,'General Basis'!$B$47,IF(G61&lt;60,'General Basis'!$B$48,IF(G61&lt;65,'General Basis'!$B$49,'General Basis'!$B$50)))))))))))))</f>
        <v/>
      </c>
      <c r="BI61" s="744" t="str">
        <f t="shared" si="16"/>
        <v/>
      </c>
      <c r="BJ61" s="747" t="str">
        <f t="shared" si="24"/>
        <v/>
      </c>
      <c r="BK61" s="498" t="str">
        <f t="shared" si="17"/>
        <v/>
      </c>
      <c r="BL61" s="498" t="str">
        <f t="shared" si="18"/>
        <v/>
      </c>
    </row>
    <row r="62" spans="1:64" x14ac:dyDescent="0.25">
      <c r="A62" s="762">
        <f t="shared" si="34"/>
        <v>57</v>
      </c>
      <c r="B62" s="229"/>
      <c r="C62" s="223"/>
      <c r="D62" s="224"/>
      <c r="E62" s="225"/>
      <c r="F62" s="1036" t="str">
        <f t="shared" si="26"/>
        <v/>
      </c>
      <c r="G62" s="1037" t="str">
        <f t="shared" si="20"/>
        <v/>
      </c>
      <c r="H62" s="225"/>
      <c r="I62" s="1013"/>
      <c r="J62" s="1013"/>
      <c r="K62" s="1028"/>
      <c r="L62" s="1035" t="str">
        <f t="shared" si="25"/>
        <v/>
      </c>
      <c r="AJ62" s="498"/>
      <c r="AM62" s="498">
        <f t="shared" si="3"/>
        <v>0</v>
      </c>
      <c r="AN62" s="498">
        <f t="shared" si="4"/>
        <v>0</v>
      </c>
      <c r="AO62" s="498">
        <f t="shared" si="5"/>
        <v>0</v>
      </c>
      <c r="AP62" s="498">
        <f t="shared" si="32"/>
        <v>0</v>
      </c>
      <c r="AQ62" s="498">
        <f t="shared" si="33"/>
        <v>0</v>
      </c>
      <c r="AU62" s="498">
        <f t="shared" si="8"/>
        <v>0</v>
      </c>
      <c r="AV62" s="498">
        <f t="shared" si="9"/>
        <v>0</v>
      </c>
      <c r="AW62" s="498">
        <f t="shared" si="10"/>
        <v>0</v>
      </c>
      <c r="AX62" s="498">
        <f t="shared" si="11"/>
        <v>0</v>
      </c>
      <c r="AY62" s="498">
        <f t="shared" si="12"/>
        <v>0</v>
      </c>
      <c r="BB62" s="498" t="str">
        <f t="shared" si="13"/>
        <v/>
      </c>
      <c r="BC62" s="743" t="str">
        <f t="shared" si="14"/>
        <v/>
      </c>
      <c r="BD62" s="743" t="str">
        <f t="shared" si="15"/>
        <v/>
      </c>
      <c r="BE62" s="743" t="str">
        <f>IF(D62="","",VLOOKUP(D62,'General Basis'!$J$39:$K$46,2,0))</f>
        <v/>
      </c>
      <c r="BF62" s="744" t="str">
        <f>IF(D62="","",VLOOKUP(D62,'General Basis'!$J$39:$L$46,3,0))</f>
        <v/>
      </c>
      <c r="BG62" s="744" t="str">
        <f t="shared" si="23"/>
        <v/>
      </c>
      <c r="BH62" s="744" t="str">
        <f>IF(G62="","",IF(BF62="Abu Dhabi",IF(G62&lt;18,'General Basis'!$C$39,IF(G62&lt;41,'General Basis'!$C$40,IF(G62&lt;60,'General Basis'!$C$41,IF(G62&lt;65,'General Basis'!$C$42,'General Basis'!$C$43)))),IF(G62&lt;11,'General Basis'!$B$39,IF(G62&lt;18,'General Basis'!$B$40,IF(G62&lt;26,'General Basis'!$B$41,IF(G62&lt;31,'General Basis'!$B$42,IF(G62&lt;36,'General Basis'!$B$43,IF(G62&lt;41,'General Basis'!$B$44,IF(G62&lt;46,'General Basis'!$B$45,IF(G62&lt;51,'General Basis'!$B$46,IF(G62&lt;56,'General Basis'!$B$47,IF(G62&lt;60,'General Basis'!$B$48,IF(G62&lt;65,'General Basis'!$B$49,'General Basis'!$B$50)))))))))))))</f>
        <v/>
      </c>
      <c r="BI62" s="744" t="str">
        <f t="shared" si="16"/>
        <v/>
      </c>
      <c r="BJ62" s="747" t="str">
        <f t="shared" si="24"/>
        <v/>
      </c>
      <c r="BK62" s="498" t="str">
        <f t="shared" si="17"/>
        <v/>
      </c>
      <c r="BL62" s="498" t="str">
        <f t="shared" si="18"/>
        <v/>
      </c>
    </row>
    <row r="63" spans="1:64" x14ac:dyDescent="0.25">
      <c r="A63" s="762">
        <f t="shared" si="34"/>
        <v>58</v>
      </c>
      <c r="B63" s="229"/>
      <c r="C63" s="223"/>
      <c r="D63" s="224"/>
      <c r="E63" s="225"/>
      <c r="F63" s="1036" t="str">
        <f t="shared" si="26"/>
        <v/>
      </c>
      <c r="G63" s="1037" t="str">
        <f t="shared" si="20"/>
        <v/>
      </c>
      <c r="H63" s="225"/>
      <c r="I63" s="1013"/>
      <c r="J63" s="1013"/>
      <c r="K63" s="1028"/>
      <c r="L63" s="1035" t="str">
        <f t="shared" si="25"/>
        <v/>
      </c>
      <c r="AJ63" s="498"/>
      <c r="AM63" s="498">
        <f t="shared" si="3"/>
        <v>0</v>
      </c>
      <c r="AN63" s="498">
        <f t="shared" si="4"/>
        <v>0</v>
      </c>
      <c r="AO63" s="498">
        <f t="shared" si="5"/>
        <v>0</v>
      </c>
      <c r="AP63" s="498">
        <f t="shared" si="32"/>
        <v>0</v>
      </c>
      <c r="AQ63" s="498">
        <f t="shared" si="33"/>
        <v>0</v>
      </c>
      <c r="AU63" s="498">
        <f t="shared" si="8"/>
        <v>0</v>
      </c>
      <c r="AV63" s="498">
        <f t="shared" si="9"/>
        <v>0</v>
      </c>
      <c r="AW63" s="498">
        <f t="shared" si="10"/>
        <v>0</v>
      </c>
      <c r="AX63" s="498">
        <f t="shared" si="11"/>
        <v>0</v>
      </c>
      <c r="AY63" s="498">
        <f t="shared" si="12"/>
        <v>0</v>
      </c>
      <c r="BB63" s="498" t="str">
        <f t="shared" si="13"/>
        <v/>
      </c>
      <c r="BC63" s="743" t="str">
        <f t="shared" si="14"/>
        <v/>
      </c>
      <c r="BD63" s="743" t="str">
        <f t="shared" si="15"/>
        <v/>
      </c>
      <c r="BE63" s="743" t="str">
        <f>IF(D63="","",VLOOKUP(D63,'General Basis'!$J$39:$K$46,2,0))</f>
        <v/>
      </c>
      <c r="BF63" s="744" t="str">
        <f>IF(D63="","",VLOOKUP(D63,'General Basis'!$J$39:$L$46,3,0))</f>
        <v/>
      </c>
      <c r="BG63" s="744" t="str">
        <f t="shared" si="23"/>
        <v/>
      </c>
      <c r="BH63" s="744" t="str">
        <f>IF(G63="","",IF(BF63="Abu Dhabi",IF(G63&lt;18,'General Basis'!$C$39,IF(G63&lt;41,'General Basis'!$C$40,IF(G63&lt;60,'General Basis'!$C$41,IF(G63&lt;65,'General Basis'!$C$42,'General Basis'!$C$43)))),IF(G63&lt;11,'General Basis'!$B$39,IF(G63&lt;18,'General Basis'!$B$40,IF(G63&lt;26,'General Basis'!$B$41,IF(G63&lt;31,'General Basis'!$B$42,IF(G63&lt;36,'General Basis'!$B$43,IF(G63&lt;41,'General Basis'!$B$44,IF(G63&lt;46,'General Basis'!$B$45,IF(G63&lt;51,'General Basis'!$B$46,IF(G63&lt;56,'General Basis'!$B$47,IF(G63&lt;60,'General Basis'!$B$48,IF(G63&lt;65,'General Basis'!$B$49,'General Basis'!$B$50)))))))))))))</f>
        <v/>
      </c>
      <c r="BI63" s="744" t="str">
        <f t="shared" si="16"/>
        <v/>
      </c>
      <c r="BJ63" s="747" t="str">
        <f t="shared" si="24"/>
        <v/>
      </c>
      <c r="BK63" s="498" t="str">
        <f t="shared" si="17"/>
        <v/>
      </c>
      <c r="BL63" s="498" t="str">
        <f t="shared" si="18"/>
        <v/>
      </c>
    </row>
    <row r="64" spans="1:64" x14ac:dyDescent="0.25">
      <c r="A64" s="762">
        <f t="shared" si="34"/>
        <v>59</v>
      </c>
      <c r="B64" s="229"/>
      <c r="C64" s="223"/>
      <c r="D64" s="224"/>
      <c r="E64" s="225"/>
      <c r="F64" s="1036" t="str">
        <f t="shared" si="26"/>
        <v/>
      </c>
      <c r="G64" s="1037" t="str">
        <f t="shared" si="20"/>
        <v/>
      </c>
      <c r="H64" s="225"/>
      <c r="I64" s="1013"/>
      <c r="J64" s="1013"/>
      <c r="K64" s="1028"/>
      <c r="L64" s="1035" t="str">
        <f t="shared" si="25"/>
        <v/>
      </c>
      <c r="AJ64" s="498"/>
      <c r="AM64" s="498">
        <f t="shared" si="3"/>
        <v>0</v>
      </c>
      <c r="AN64" s="498">
        <f t="shared" si="4"/>
        <v>0</v>
      </c>
      <c r="AO64" s="498">
        <f t="shared" si="5"/>
        <v>0</v>
      </c>
      <c r="AP64" s="498">
        <f t="shared" si="32"/>
        <v>0</v>
      </c>
      <c r="AQ64" s="498">
        <f t="shared" si="33"/>
        <v>0</v>
      </c>
      <c r="AU64" s="498">
        <f t="shared" si="8"/>
        <v>0</v>
      </c>
      <c r="AV64" s="498">
        <f t="shared" si="9"/>
        <v>0</v>
      </c>
      <c r="AW64" s="498">
        <f t="shared" si="10"/>
        <v>0</v>
      </c>
      <c r="AX64" s="498">
        <f t="shared" si="11"/>
        <v>0</v>
      </c>
      <c r="AY64" s="498">
        <f t="shared" si="12"/>
        <v>0</v>
      </c>
      <c r="BB64" s="498" t="str">
        <f t="shared" si="13"/>
        <v/>
      </c>
      <c r="BC64" s="743" t="str">
        <f t="shared" si="14"/>
        <v/>
      </c>
      <c r="BD64" s="743" t="str">
        <f t="shared" si="15"/>
        <v/>
      </c>
      <c r="BE64" s="743" t="str">
        <f>IF(D64="","",VLOOKUP(D64,'General Basis'!$J$39:$K$46,2,0))</f>
        <v/>
      </c>
      <c r="BF64" s="744" t="str">
        <f>IF(D64="","",VLOOKUP(D64,'General Basis'!$J$39:$L$46,3,0))</f>
        <v/>
      </c>
      <c r="BG64" s="744" t="str">
        <f t="shared" si="23"/>
        <v/>
      </c>
      <c r="BH64" s="744" t="str">
        <f>IF(G64="","",IF(BF64="Abu Dhabi",IF(G64&lt;18,'General Basis'!$C$39,IF(G64&lt;41,'General Basis'!$C$40,IF(G64&lt;60,'General Basis'!$C$41,IF(G64&lt;65,'General Basis'!$C$42,'General Basis'!$C$43)))),IF(G64&lt;11,'General Basis'!$B$39,IF(G64&lt;18,'General Basis'!$B$40,IF(G64&lt;26,'General Basis'!$B$41,IF(G64&lt;31,'General Basis'!$B$42,IF(G64&lt;36,'General Basis'!$B$43,IF(G64&lt;41,'General Basis'!$B$44,IF(G64&lt;46,'General Basis'!$B$45,IF(G64&lt;51,'General Basis'!$B$46,IF(G64&lt;56,'General Basis'!$B$47,IF(G64&lt;60,'General Basis'!$B$48,IF(G64&lt;65,'General Basis'!$B$49,'General Basis'!$B$50)))))))))))))</f>
        <v/>
      </c>
      <c r="BI64" s="744" t="str">
        <f t="shared" si="16"/>
        <v/>
      </c>
      <c r="BJ64" s="747" t="str">
        <f t="shared" si="24"/>
        <v/>
      </c>
      <c r="BK64" s="498" t="str">
        <f t="shared" si="17"/>
        <v/>
      </c>
      <c r="BL64" s="498" t="str">
        <f t="shared" si="18"/>
        <v/>
      </c>
    </row>
    <row r="65" spans="1:64" x14ac:dyDescent="0.25">
      <c r="A65" s="762">
        <f t="shared" si="34"/>
        <v>60</v>
      </c>
      <c r="B65" s="229"/>
      <c r="C65" s="223"/>
      <c r="D65" s="224"/>
      <c r="E65" s="225"/>
      <c r="F65" s="1036" t="str">
        <f t="shared" si="26"/>
        <v/>
      </c>
      <c r="G65" s="1037" t="str">
        <f t="shared" si="20"/>
        <v/>
      </c>
      <c r="H65" s="225"/>
      <c r="I65" s="1013"/>
      <c r="J65" s="1013"/>
      <c r="K65" s="1028"/>
      <c r="L65" s="1035" t="str">
        <f t="shared" si="25"/>
        <v/>
      </c>
      <c r="S65" s="498"/>
      <c r="AJ65" s="498"/>
      <c r="AM65" s="498">
        <f t="shared" si="3"/>
        <v>0</v>
      </c>
      <c r="AN65" s="498">
        <f t="shared" si="4"/>
        <v>0</v>
      </c>
      <c r="AO65" s="498">
        <f t="shared" si="5"/>
        <v>0</v>
      </c>
      <c r="AP65" s="498">
        <f t="shared" si="32"/>
        <v>0</v>
      </c>
      <c r="AQ65" s="498">
        <f t="shared" si="33"/>
        <v>0</v>
      </c>
      <c r="AU65" s="498">
        <f t="shared" si="8"/>
        <v>0</v>
      </c>
      <c r="AV65" s="498">
        <f t="shared" si="9"/>
        <v>0</v>
      </c>
      <c r="AW65" s="498">
        <f t="shared" si="10"/>
        <v>0</v>
      </c>
      <c r="AX65" s="498">
        <f t="shared" si="11"/>
        <v>0</v>
      </c>
      <c r="AY65" s="498">
        <f t="shared" si="12"/>
        <v>0</v>
      </c>
      <c r="BB65" s="498" t="str">
        <f t="shared" si="13"/>
        <v/>
      </c>
      <c r="BC65" s="743" t="str">
        <f t="shared" si="14"/>
        <v/>
      </c>
      <c r="BD65" s="743" t="str">
        <f t="shared" si="15"/>
        <v/>
      </c>
      <c r="BE65" s="743" t="str">
        <f>IF(D65="","",VLOOKUP(D65,'General Basis'!$J$39:$K$46,2,0))</f>
        <v/>
      </c>
      <c r="BF65" s="744" t="str">
        <f>IF(D65="","",VLOOKUP(D65,'General Basis'!$J$39:$L$46,3,0))</f>
        <v/>
      </c>
      <c r="BG65" s="744" t="str">
        <f t="shared" si="23"/>
        <v/>
      </c>
      <c r="BH65" s="744" t="str">
        <f>IF(G65="","",IF(BF65="Abu Dhabi",IF(G65&lt;18,'General Basis'!$C$39,IF(G65&lt;41,'General Basis'!$C$40,IF(G65&lt;60,'General Basis'!$C$41,IF(G65&lt;65,'General Basis'!$C$42,'General Basis'!$C$43)))),IF(G65&lt;11,'General Basis'!$B$39,IF(G65&lt;18,'General Basis'!$B$40,IF(G65&lt;26,'General Basis'!$B$41,IF(G65&lt;31,'General Basis'!$B$42,IF(G65&lt;36,'General Basis'!$B$43,IF(G65&lt;41,'General Basis'!$B$44,IF(G65&lt;46,'General Basis'!$B$45,IF(G65&lt;51,'General Basis'!$B$46,IF(G65&lt;56,'General Basis'!$B$47,IF(G65&lt;60,'General Basis'!$B$48,IF(G65&lt;65,'General Basis'!$B$49,'General Basis'!$B$50)))))))))))))</f>
        <v/>
      </c>
      <c r="BI65" s="744" t="str">
        <f t="shared" si="16"/>
        <v/>
      </c>
      <c r="BJ65" s="747" t="str">
        <f t="shared" si="24"/>
        <v/>
      </c>
      <c r="BK65" s="498" t="str">
        <f t="shared" si="17"/>
        <v/>
      </c>
      <c r="BL65" s="498" t="str">
        <f t="shared" si="18"/>
        <v/>
      </c>
    </row>
    <row r="66" spans="1:64" x14ac:dyDescent="0.25">
      <c r="A66" s="762">
        <f t="shared" si="34"/>
        <v>61</v>
      </c>
      <c r="B66" s="229"/>
      <c r="C66" s="223"/>
      <c r="D66" s="224"/>
      <c r="E66" s="225"/>
      <c r="F66" s="1036" t="str">
        <f t="shared" si="26"/>
        <v/>
      </c>
      <c r="G66" s="1037" t="str">
        <f t="shared" si="20"/>
        <v/>
      </c>
      <c r="H66" s="225"/>
      <c r="I66" s="1013"/>
      <c r="J66" s="1013"/>
      <c r="K66" s="1028"/>
      <c r="L66" s="1035" t="str">
        <f t="shared" si="25"/>
        <v/>
      </c>
      <c r="S66" s="498"/>
      <c r="AJ66" s="498"/>
      <c r="AM66" s="498">
        <f t="shared" si="3"/>
        <v>0</v>
      </c>
      <c r="AN66" s="498">
        <f t="shared" si="4"/>
        <v>0</v>
      </c>
      <c r="AO66" s="498">
        <f t="shared" si="5"/>
        <v>0</v>
      </c>
      <c r="AP66" s="498">
        <f t="shared" si="32"/>
        <v>0</v>
      </c>
      <c r="AQ66" s="498">
        <f t="shared" si="33"/>
        <v>0</v>
      </c>
      <c r="AU66" s="498">
        <f t="shared" si="8"/>
        <v>0</v>
      </c>
      <c r="AV66" s="498">
        <f t="shared" si="9"/>
        <v>0</v>
      </c>
      <c r="AW66" s="498">
        <f t="shared" si="10"/>
        <v>0</v>
      </c>
      <c r="AX66" s="498">
        <f t="shared" si="11"/>
        <v>0</v>
      </c>
      <c r="AY66" s="498">
        <f t="shared" si="12"/>
        <v>0</v>
      </c>
      <c r="BB66" s="498" t="str">
        <f t="shared" si="13"/>
        <v/>
      </c>
      <c r="BC66" s="743" t="str">
        <f t="shared" si="14"/>
        <v/>
      </c>
      <c r="BD66" s="743" t="str">
        <f t="shared" si="15"/>
        <v/>
      </c>
      <c r="BE66" s="743" t="str">
        <f>IF(D66="","",VLOOKUP(D66,'General Basis'!$J$39:$K$46,2,0))</f>
        <v/>
      </c>
      <c r="BF66" s="744" t="str">
        <f>IF(D66="","",VLOOKUP(D66,'General Basis'!$J$39:$L$46,3,0))</f>
        <v/>
      </c>
      <c r="BG66" s="744" t="str">
        <f t="shared" si="23"/>
        <v/>
      </c>
      <c r="BH66" s="744" t="str">
        <f>IF(G66="","",IF(BF66="Abu Dhabi",IF(G66&lt;18,'General Basis'!$C$39,IF(G66&lt;41,'General Basis'!$C$40,IF(G66&lt;60,'General Basis'!$C$41,IF(G66&lt;65,'General Basis'!$C$42,'General Basis'!$C$43)))),IF(G66&lt;11,'General Basis'!$B$39,IF(G66&lt;18,'General Basis'!$B$40,IF(G66&lt;26,'General Basis'!$B$41,IF(G66&lt;31,'General Basis'!$B$42,IF(G66&lt;36,'General Basis'!$B$43,IF(G66&lt;41,'General Basis'!$B$44,IF(G66&lt;46,'General Basis'!$B$45,IF(G66&lt;51,'General Basis'!$B$46,IF(G66&lt;56,'General Basis'!$B$47,IF(G66&lt;60,'General Basis'!$B$48,IF(G66&lt;65,'General Basis'!$B$49,'General Basis'!$B$50)))))))))))))</f>
        <v/>
      </c>
      <c r="BI66" s="744" t="str">
        <f t="shared" si="16"/>
        <v/>
      </c>
      <c r="BJ66" s="747" t="str">
        <f t="shared" si="24"/>
        <v/>
      </c>
      <c r="BK66" s="498" t="str">
        <f t="shared" si="17"/>
        <v/>
      </c>
      <c r="BL66" s="498" t="str">
        <f t="shared" si="18"/>
        <v/>
      </c>
    </row>
    <row r="67" spans="1:64" x14ac:dyDescent="0.25">
      <c r="A67" s="762">
        <f t="shared" si="34"/>
        <v>62</v>
      </c>
      <c r="B67" s="229"/>
      <c r="C67" s="223"/>
      <c r="D67" s="224"/>
      <c r="E67" s="225"/>
      <c r="F67" s="1036" t="str">
        <f t="shared" si="26"/>
        <v/>
      </c>
      <c r="G67" s="1037" t="str">
        <f t="shared" si="20"/>
        <v/>
      </c>
      <c r="H67" s="225"/>
      <c r="I67" s="1013"/>
      <c r="J67" s="1013"/>
      <c r="K67" s="1028"/>
      <c r="L67" s="1035" t="str">
        <f t="shared" si="25"/>
        <v/>
      </c>
      <c r="S67" s="498"/>
      <c r="AJ67" s="498"/>
      <c r="AM67" s="498">
        <f t="shared" si="3"/>
        <v>0</v>
      </c>
      <c r="AN67" s="498">
        <f t="shared" si="4"/>
        <v>0</v>
      </c>
      <c r="AO67" s="498">
        <f t="shared" si="5"/>
        <v>0</v>
      </c>
      <c r="AP67" s="498">
        <f t="shared" si="32"/>
        <v>0</v>
      </c>
      <c r="AQ67" s="498">
        <f t="shared" si="33"/>
        <v>0</v>
      </c>
      <c r="AU67" s="498">
        <f t="shared" si="8"/>
        <v>0</v>
      </c>
      <c r="AV67" s="498">
        <f t="shared" si="9"/>
        <v>0</v>
      </c>
      <c r="AW67" s="498">
        <f t="shared" si="10"/>
        <v>0</v>
      </c>
      <c r="AX67" s="498">
        <f t="shared" si="11"/>
        <v>0</v>
      </c>
      <c r="AY67" s="498">
        <f t="shared" si="12"/>
        <v>0</v>
      </c>
      <c r="BB67" s="498" t="str">
        <f t="shared" si="13"/>
        <v/>
      </c>
      <c r="BC67" s="743" t="str">
        <f t="shared" si="14"/>
        <v/>
      </c>
      <c r="BD67" s="743" t="str">
        <f t="shared" si="15"/>
        <v/>
      </c>
      <c r="BE67" s="743" t="str">
        <f>IF(D67="","",VLOOKUP(D67,'General Basis'!$J$39:$K$46,2,0))</f>
        <v/>
      </c>
      <c r="BF67" s="744" t="str">
        <f>IF(D67="","",VLOOKUP(D67,'General Basis'!$J$39:$L$46,3,0))</f>
        <v/>
      </c>
      <c r="BG67" s="744" t="str">
        <f t="shared" si="23"/>
        <v/>
      </c>
      <c r="BH67" s="744" t="str">
        <f>IF(G67="","",IF(BF67="Abu Dhabi",IF(G67&lt;18,'General Basis'!$C$39,IF(G67&lt;41,'General Basis'!$C$40,IF(G67&lt;60,'General Basis'!$C$41,IF(G67&lt;65,'General Basis'!$C$42,'General Basis'!$C$43)))),IF(G67&lt;11,'General Basis'!$B$39,IF(G67&lt;18,'General Basis'!$B$40,IF(G67&lt;26,'General Basis'!$B$41,IF(G67&lt;31,'General Basis'!$B$42,IF(G67&lt;36,'General Basis'!$B$43,IF(G67&lt;41,'General Basis'!$B$44,IF(G67&lt;46,'General Basis'!$B$45,IF(G67&lt;51,'General Basis'!$B$46,IF(G67&lt;56,'General Basis'!$B$47,IF(G67&lt;60,'General Basis'!$B$48,IF(G67&lt;65,'General Basis'!$B$49,'General Basis'!$B$50)))))))))))))</f>
        <v/>
      </c>
      <c r="BI67" s="744" t="str">
        <f t="shared" si="16"/>
        <v/>
      </c>
      <c r="BJ67" s="747" t="str">
        <f t="shared" si="24"/>
        <v/>
      </c>
      <c r="BK67" s="498" t="str">
        <f t="shared" si="17"/>
        <v/>
      </c>
      <c r="BL67" s="498" t="str">
        <f t="shared" si="18"/>
        <v/>
      </c>
    </row>
    <row r="68" spans="1:64" x14ac:dyDescent="0.25">
      <c r="A68" s="762">
        <f t="shared" si="34"/>
        <v>63</v>
      </c>
      <c r="B68" s="229"/>
      <c r="C68" s="223"/>
      <c r="D68" s="224"/>
      <c r="E68" s="225"/>
      <c r="F68" s="1036" t="str">
        <f t="shared" si="26"/>
        <v/>
      </c>
      <c r="G68" s="1037" t="str">
        <f t="shared" si="20"/>
        <v/>
      </c>
      <c r="H68" s="225"/>
      <c r="I68" s="1013"/>
      <c r="J68" s="1013"/>
      <c r="K68" s="1028"/>
      <c r="L68" s="1035" t="str">
        <f t="shared" si="25"/>
        <v/>
      </c>
      <c r="S68" s="498"/>
      <c r="AJ68" s="498"/>
      <c r="AM68" s="498">
        <f t="shared" si="3"/>
        <v>0</v>
      </c>
      <c r="AN68" s="498">
        <f t="shared" si="4"/>
        <v>0</v>
      </c>
      <c r="AO68" s="498">
        <f t="shared" si="5"/>
        <v>0</v>
      </c>
      <c r="AP68" s="498">
        <f t="shared" si="32"/>
        <v>0</v>
      </c>
      <c r="AQ68" s="498">
        <f t="shared" si="33"/>
        <v>0</v>
      </c>
      <c r="AU68" s="498">
        <f t="shared" si="8"/>
        <v>0</v>
      </c>
      <c r="AV68" s="498">
        <f t="shared" si="9"/>
        <v>0</v>
      </c>
      <c r="AW68" s="498">
        <f t="shared" si="10"/>
        <v>0</v>
      </c>
      <c r="AX68" s="498">
        <f t="shared" si="11"/>
        <v>0</v>
      </c>
      <c r="AY68" s="498">
        <f t="shared" si="12"/>
        <v>0</v>
      </c>
      <c r="BB68" s="498" t="str">
        <f t="shared" si="13"/>
        <v/>
      </c>
      <c r="BC68" s="743" t="str">
        <f t="shared" si="14"/>
        <v/>
      </c>
      <c r="BD68" s="743" t="str">
        <f t="shared" si="15"/>
        <v/>
      </c>
      <c r="BE68" s="743" t="str">
        <f>IF(D68="","",VLOOKUP(D68,'General Basis'!$J$39:$K$46,2,0))</f>
        <v/>
      </c>
      <c r="BF68" s="744" t="str">
        <f>IF(D68="","",VLOOKUP(D68,'General Basis'!$J$39:$L$46,3,0))</f>
        <v/>
      </c>
      <c r="BG68" s="744" t="str">
        <f t="shared" si="23"/>
        <v/>
      </c>
      <c r="BH68" s="744" t="str">
        <f>IF(G68="","",IF(BF68="Abu Dhabi",IF(G68&lt;18,'General Basis'!$C$39,IF(G68&lt;41,'General Basis'!$C$40,IF(G68&lt;60,'General Basis'!$C$41,IF(G68&lt;65,'General Basis'!$C$42,'General Basis'!$C$43)))),IF(G68&lt;11,'General Basis'!$B$39,IF(G68&lt;18,'General Basis'!$B$40,IF(G68&lt;26,'General Basis'!$B$41,IF(G68&lt;31,'General Basis'!$B$42,IF(G68&lt;36,'General Basis'!$B$43,IF(G68&lt;41,'General Basis'!$B$44,IF(G68&lt;46,'General Basis'!$B$45,IF(G68&lt;51,'General Basis'!$B$46,IF(G68&lt;56,'General Basis'!$B$47,IF(G68&lt;60,'General Basis'!$B$48,IF(G68&lt;65,'General Basis'!$B$49,'General Basis'!$B$50)))))))))))))</f>
        <v/>
      </c>
      <c r="BI68" s="744" t="str">
        <f t="shared" si="16"/>
        <v/>
      </c>
      <c r="BJ68" s="747" t="str">
        <f t="shared" si="24"/>
        <v/>
      </c>
      <c r="BK68" s="498" t="str">
        <f t="shared" si="17"/>
        <v/>
      </c>
      <c r="BL68" s="498" t="str">
        <f t="shared" si="18"/>
        <v/>
      </c>
    </row>
    <row r="69" spans="1:64" x14ac:dyDescent="0.25">
      <c r="A69" s="762">
        <f t="shared" si="34"/>
        <v>64</v>
      </c>
      <c r="B69" s="229"/>
      <c r="C69" s="223"/>
      <c r="D69" s="224"/>
      <c r="E69" s="225"/>
      <c r="F69" s="1036" t="str">
        <f t="shared" si="26"/>
        <v/>
      </c>
      <c r="G69" s="1037" t="str">
        <f t="shared" si="20"/>
        <v/>
      </c>
      <c r="H69" s="225"/>
      <c r="I69" s="1013"/>
      <c r="J69" s="1013"/>
      <c r="K69" s="1028"/>
      <c r="L69" s="1035" t="str">
        <f t="shared" si="25"/>
        <v/>
      </c>
      <c r="S69" s="498"/>
      <c r="AJ69" s="498"/>
      <c r="AM69" s="498">
        <f t="shared" si="3"/>
        <v>0</v>
      </c>
      <c r="AN69" s="498">
        <f t="shared" si="4"/>
        <v>0</v>
      </c>
      <c r="AO69" s="498">
        <f t="shared" si="5"/>
        <v>0</v>
      </c>
      <c r="AP69" s="498">
        <f t="shared" si="32"/>
        <v>0</v>
      </c>
      <c r="AQ69" s="498">
        <f t="shared" si="33"/>
        <v>0</v>
      </c>
      <c r="AU69" s="498">
        <f t="shared" si="8"/>
        <v>0</v>
      </c>
      <c r="AV69" s="498">
        <f t="shared" si="9"/>
        <v>0</v>
      </c>
      <c r="AW69" s="498">
        <f t="shared" si="10"/>
        <v>0</v>
      </c>
      <c r="AX69" s="498">
        <f t="shared" si="11"/>
        <v>0</v>
      </c>
      <c r="AY69" s="498">
        <f t="shared" si="12"/>
        <v>0</v>
      </c>
      <c r="BB69" s="498" t="str">
        <f t="shared" si="13"/>
        <v/>
      </c>
      <c r="BC69" s="743" t="str">
        <f t="shared" si="14"/>
        <v/>
      </c>
      <c r="BD69" s="743" t="str">
        <f t="shared" si="15"/>
        <v/>
      </c>
      <c r="BE69" s="743" t="str">
        <f>IF(D69="","",VLOOKUP(D69,'General Basis'!$J$39:$K$46,2,0))</f>
        <v/>
      </c>
      <c r="BF69" s="744" t="str">
        <f>IF(D69="","",VLOOKUP(D69,'General Basis'!$J$39:$L$46,3,0))</f>
        <v/>
      </c>
      <c r="BG69" s="744" t="str">
        <f t="shared" si="23"/>
        <v/>
      </c>
      <c r="BH69" s="744" t="str">
        <f>IF(G69="","",IF(BF69="Abu Dhabi",IF(G69&lt;18,'General Basis'!$C$39,IF(G69&lt;41,'General Basis'!$C$40,IF(G69&lt;60,'General Basis'!$C$41,IF(G69&lt;65,'General Basis'!$C$42,'General Basis'!$C$43)))),IF(G69&lt;11,'General Basis'!$B$39,IF(G69&lt;18,'General Basis'!$B$40,IF(G69&lt;26,'General Basis'!$B$41,IF(G69&lt;31,'General Basis'!$B$42,IF(G69&lt;36,'General Basis'!$B$43,IF(G69&lt;41,'General Basis'!$B$44,IF(G69&lt;46,'General Basis'!$B$45,IF(G69&lt;51,'General Basis'!$B$46,IF(G69&lt;56,'General Basis'!$B$47,IF(G69&lt;60,'General Basis'!$B$48,IF(G69&lt;65,'General Basis'!$B$49,'General Basis'!$B$50)))))))))))))</f>
        <v/>
      </c>
      <c r="BI69" s="744" t="str">
        <f t="shared" si="16"/>
        <v/>
      </c>
      <c r="BJ69" s="747" t="str">
        <f t="shared" si="24"/>
        <v/>
      </c>
      <c r="BK69" s="498" t="str">
        <f t="shared" si="17"/>
        <v/>
      </c>
      <c r="BL69" s="498" t="str">
        <f t="shared" si="18"/>
        <v/>
      </c>
    </row>
    <row r="70" spans="1:64" x14ac:dyDescent="0.25">
      <c r="A70" s="762">
        <f t="shared" si="34"/>
        <v>65</v>
      </c>
      <c r="B70" s="229"/>
      <c r="C70" s="223"/>
      <c r="D70" s="224"/>
      <c r="E70" s="225"/>
      <c r="F70" s="1036" t="str">
        <f t="shared" si="26"/>
        <v/>
      </c>
      <c r="G70" s="1037" t="str">
        <f t="shared" si="20"/>
        <v/>
      </c>
      <c r="H70" s="225"/>
      <c r="I70" s="1013"/>
      <c r="J70" s="1013"/>
      <c r="K70" s="1028"/>
      <c r="L70" s="1035" t="str">
        <f t="shared" si="25"/>
        <v/>
      </c>
      <c r="S70" s="498"/>
      <c r="AJ70" s="498"/>
      <c r="AM70" s="498">
        <f t="shared" ref="AM70:AM133" si="37">IF(ISTEXT(B70),1,0)</f>
        <v>0</v>
      </c>
      <c r="AN70" s="498">
        <f t="shared" ref="AN70:AN133" si="38">IF(ISBLANK(B70),0,IF(B70&lt;$AK$6,1,0))</f>
        <v>0</v>
      </c>
      <c r="AO70" s="498">
        <f t="shared" ref="AO70:AO133" si="39">IF(ISBLANK(B70),0,IF(B70&gt;$AK$7,1,0))</f>
        <v>0</v>
      </c>
      <c r="AP70" s="498">
        <f t="shared" ref="AP70:AP82" si="40">IF(ISBLANK($B70),0,IF(OR($C70="M",$C70="F"),0,1))</f>
        <v>0</v>
      </c>
      <c r="AQ70" s="498">
        <f t="shared" si="33"/>
        <v>0</v>
      </c>
      <c r="AU70" s="498">
        <f t="shared" ref="AU70:AU133" si="41">IF(ISBLANK(B70),0,1)</f>
        <v>0</v>
      </c>
      <c r="AV70" s="498">
        <f t="shared" ref="AV70:AV133" si="42">IF(ISBLANK(C70),0,1)</f>
        <v>0</v>
      </c>
      <c r="AW70" s="498">
        <f t="shared" ref="AW70:AW133" si="43">IF(ISBLANK(D70),0,1)</f>
        <v>0</v>
      </c>
      <c r="AX70" s="498">
        <f t="shared" ref="AX70:AX133" si="44">IF(ISBLANK(E70),0,1)</f>
        <v>0</v>
      </c>
      <c r="AY70" s="498">
        <f t="shared" ref="AY70:AY133" si="45">IF(ISBLANK(H70),0,1)</f>
        <v>0</v>
      </c>
      <c r="BB70" s="498" t="str">
        <f t="shared" ref="BB70:BB133" si="46">IF(E70="Principal","Principal",IF(E70="","","Other"))</f>
        <v/>
      </c>
      <c r="BC70" s="743" t="str">
        <f t="shared" ref="BC70:BC133" si="47">IF(D70="","",D70)</f>
        <v/>
      </c>
      <c r="BD70" s="743" t="str">
        <f t="shared" ref="BD70:BD133" si="48">IF(E70="Principal","Employee",IF(E70="","","Dependent"))</f>
        <v/>
      </c>
      <c r="BE70" s="743" t="str">
        <f>IF(D70="","",VLOOKUP(D70,'General Basis'!$J$39:$K$46,2,0))</f>
        <v/>
      </c>
      <c r="BF70" s="744" t="str">
        <f>IF(D70="","",VLOOKUP(D70,'General Basis'!$J$39:$L$46,3,0))</f>
        <v/>
      </c>
      <c r="BG70" s="744" t="str">
        <f t="shared" si="23"/>
        <v/>
      </c>
      <c r="BH70" s="744" t="str">
        <f>IF(G70="","",IF(BF70="Abu Dhabi",IF(G70&lt;18,'General Basis'!$C$39,IF(G70&lt;41,'General Basis'!$C$40,IF(G70&lt;60,'General Basis'!$C$41,IF(G70&lt;65,'General Basis'!$C$42,'General Basis'!$C$43)))),IF(G70&lt;11,'General Basis'!$B$39,IF(G70&lt;18,'General Basis'!$B$40,IF(G70&lt;26,'General Basis'!$B$41,IF(G70&lt;31,'General Basis'!$B$42,IF(G70&lt;36,'General Basis'!$B$43,IF(G70&lt;41,'General Basis'!$B$44,IF(G70&lt;46,'General Basis'!$B$45,IF(G70&lt;51,'General Basis'!$B$46,IF(G70&lt;56,'General Basis'!$B$47,IF(G70&lt;60,'General Basis'!$B$48,IF(G70&lt;65,'General Basis'!$B$49,'General Basis'!$B$50)))))))))))))</f>
        <v/>
      </c>
      <c r="BI70" s="744" t="str">
        <f t="shared" ref="BI70:BI133" si="49">IF(C70="","",IF(C70="M","Male","Female"))</f>
        <v/>
      </c>
      <c r="BJ70" s="747" t="str">
        <f t="shared" si="24"/>
        <v/>
      </c>
      <c r="BK70" s="498" t="str">
        <f t="shared" ref="BK70:BK133" si="50">IF(BD70="","",IF(AND(BD70="Employee",BI70="Male",BF70="Abu Dhabi",BE70=GN_Plus),VLOOKUP(BH70,AUH_MALE_EMP,2,0),IF(AND(BD70="Employee",BI70="Male",BF70="Abu Dhabi",BE70=GN),VLOOKUP(BH70,AUH_MALE_EMP,3,0),IF(AND(BD70="Employee",BI70="Male",BF70="Abu Dhabi",BE70=RN_Plus),VLOOKUP(BH70,AUH_MALE_EMP,4,0),IF(AND(BD70="Employee",BI70="Male",BF70="Abu Dhabi",BE70=RN),VLOOKUP(BH70,AUH_MALE_EMP,5,0),IF(AND(BD70="Employee",BI70="Male",BF70="Abu Dhabi",BE70=RN_2),VLOOKUP(BH70,AUH_MALE_EMP,6,0),IF(AND(BD70="Employee",BI70="Male",BF70="Abu Dhabi",BE70=RN2_minus),VLOOKUP(BH70,AUH_MALE_EMP,7,0),IF(AND(BD70="Employee",BI70="Male",BF70="Abu Dhabi",BE70=RN_3),VLOOKUP(BH70,AUH_MALE_EMP,8,0),IF(AND(BD70="Employee",BI70="Male",BF70="Abu Dhabi",BE70=VN),VLOOKUP(BH70,AUH_MALE_EMP,9,0),IF(BD70="","",IF(AND(BD70="Employee",BI70="Female",BF70="Abu Dhabi",BE70=GN_Plus),VLOOKUP(BH70,AUH_FEMALE_EMP,2,0),IF(AND(BD70="Employee",BI70="Female",BF70="Abu Dhabi",BE70=GN),VLOOKUP(BH70,AUH_FEMALE_EMP,3,0),IF(AND(BD70="Employee",BI70="Female",BF70="Abu Dhabi",BE70=RN_Plus),VLOOKUP(BH70,AUH_FEMALE_EMP,4,0),IF(AND(BD70="Employee",BI70="Female",BF70="Abu Dhabi",BE70=RN),VLOOKUP(BH70,AUH_FEMALE_EMP,5,0),IF(AND(BD70="Employee",BI70="Female",BF70="Abu Dhabi",BE70=RN_2),VLOOKUP(BH70,AUH_FEMALE_EMP,6,0),IF(AND(BD70="Employee",BI70="Female",BF70="Abu Dhabi",BE70=RN2_minus),VLOOKUP(BH70,AUH_FEMALE_EMP,7,0),IF(AND(BD70="Employee",BI70="Female",BF70="Abu Dhabi",BE70=RN_3),VLOOKUP(BH70,AUH_FEMALE_EMP,8,0),IF(AND(BD70="Employee",BI70="Female",BF70="Abu Dhabi",BE70=VN),VLOOKUP(BH70,AUH_FEMALE_EMP,9,0),IF(BD70="","",IF(AND(BD70="Dependent",BI70="Male",BF70="Abu Dhabi",BE70=GN_Plus),VLOOKUP(BH70,AUH_MALE_DEP,2,0),IF(AND(BD70="Dependent",BI70="Male",BF70="Abu Dhabi",BE70=GN),VLOOKUP(BH70,AUH_MALE_DEP,3,0),IF(AND(BD70="Dependent",BI70="Male",BF70="Abu Dhabi",BE70=RN_Plus),VLOOKUP(BH70,AUH_MALE_DEP,4,0),IF(AND(BD70="Dependent",BI70="Male",BF70="Abu Dhabi",BE70=RN),VLOOKUP(BH70,AUH_MALE_DEP,5,0),IF(AND(BD70="Dependent",BI70="Male",BF70="Abu Dhabi",BE70=RN_2),VLOOKUP(BH70,AUH_MALE_DEP,6,0),IF(AND(BD70="Dependent",BI70="Male",BF70="Abu Dhabi",BE70=RN2_minus),VLOOKUP(BH70,AUH_MALE_DEP,7,0),IF(AND(BD70="Dependent",BI70="Male",BF70="Abu Dhabi",BE70=RN_3),VLOOKUP(BH70,AUH_MALE_DEP,8,0),IF(AND(BD70="Dependent",BI70="Male",BF70="Abu Dhabi",BE70=VN),VLOOKUP(BH70,AUH_MALE_DEP,9,0),IF(BD70="","",IF(AND(BD70="Dependent",BI70="Female",BF70="Abu Dhabi",BE70=GN_Plus),VLOOKUP(BH70,AUH_FEMALE_DEP,2,0),IF(AND(BD70="Dependent",BI70="Female",BF70="Abu Dhabi",BE70=GN),VLOOKUP(BH70,AUH_FEMALE_DEP,3,0),IF(AND(BD70="Dependent",BI70="Female",BF70="Abu Dhabi",BE70=RN_Plus),VLOOKUP(BH70,AUH_FEMALE_DEP,4,0),IF(AND(BD70="Dependent",BI70="Female",BF70="Abu Dhabi",BE70=RN),VLOOKUP(BH70,AUH_FEMALE_DEP,5,0),IF(AND(BD70="Dependent",BI70="Female",BF70="Abu Dhabi",BE70=RN_2),VLOOKUP(BH70,AUH_FEMALE_DEP,6,0),IF(AND(BD70="Dependent",BI70="Female",BF70="Abu Dhabi",BE70=RN2_minus),VLOOKUP(BH70,AUH_FEMALE_DEP,7,0),IF(AND(BD70="Dependent",BI70="Female",BF70="Abu Dhabi",BE70=RN_3),VLOOKUP(BH70,AUH_FEMALE_DEP,8,0),IF(AND(BD70="Dependent",BI70="Female",BF70="Abu Dhabi",BE70=VN),VLOOKUP(BH70,AUH_FEMALE_DEP,9,0),"ABC"))))))))))))))))))))))))))))))))))))</f>
        <v/>
      </c>
      <c r="BL70" s="498" t="str">
        <f t="shared" ref="BL70:BL133" si="51">IF(BD70="","",IF(AND(BD70="Employee",BI70="Male",BF70="Dubai",BE70=GN_Plus),VLOOKUP(BH70,DXB_MALE_EMP,2,0),IF(AND(BD70="Employee",BI70="Male",BF70="Dubai",BE70=GN),VLOOKUP(BH70,DXB_MALE_EMP,3,0),IF(AND(BD70="Employee",BI70="Male",BF70="Dubai",BE70=RN_Plus),VLOOKUP(BH70,DXB_MALE_EMP,4,0),IF(AND(BD70="Employee",BI70="Male",BF70="Dubai",BE70=RN),VLOOKUP(BH70,DXB_MALE_EMP,5,0),IF(AND(BD70="Employee",BI70="Male",BF70="Dubai",BE70=RN_2),VLOOKUP(BH70,DXB_MALE_EMP,6,0),IF(AND(BD70="Employee",BI70="Male",BF70="Dubai",BE70=RN2_minus),VLOOKUP(BH70,DXB_MALE_EMP,7,0),IF(AND(BD70="Employee",BI70="Male",BF70="Dubai",BE70=RN_3),VLOOKUP(BH70,DXB_MALE_EMP,8,0),IF(AND(BD70="Employee",BI70="Male",BF70="Dubai",BE70=VN),VLOOKUP(BH70,DXB_MALE_EMP,9,0),IF(BD70="","",IF(AND(BD70="Employee",BI70="Female",BF70="Dubai",BE70=GN_Plus),VLOOKUP(BH70,DXB_FEMALE_EMP,2,0),IF(AND(BD70="Employee",BI70="Female",BF70="Dubai",BE70=GN),VLOOKUP(BH70,DXB_FEMALE_EMP,3,0),IF(AND(BD70="Employee",BI70="Female",BF70="Dubai",BE70=RN_Plus),VLOOKUP(BH70,DXB_FEMALE_EMP,4,0),IF(AND(BD70="Employee",BI70="Female",BF70="Dubai",BE70=RN),VLOOKUP(BH70,DXB_FEMALE_EMP,5,0),IF(AND(BD70="Employee",BI70="Female",BF70="Dubai",BE70=RN_2),VLOOKUP(BH70,DXB_FEMALE_EMP,6,0),IF(AND(BD70="Employee",BI70="Female",BF70="Dubai",BE70=RN2_minus),VLOOKUP(BH70,DXB_FEMALE_EMP,7,0),IF(AND(BD70="Employee",BI70="Female",BF70="Dubai",BE70=RN_3),VLOOKUP(BH70,DXB_FEMALE_EMP,8,0),IF(AND(BD70="Employee",BI70="Female",BF70="Dubai",BE70=VN),VLOOKUP(BH70,DXB_FEMALE_EMP,9,0),IF(BD70="","",IF(AND(BD70="Dependent",BI70="Male",BF70="Dubai",BE70=GN_Plus),VLOOKUP(BH70,DXB_MALE_DEP,2,0),IF(AND(BD70="Dependent",BI70="Male",BF70="Dubai",BE70=GN),VLOOKUP(BH70,DXB_MALE_DEP,3,0),IF(AND(BD70="Dependent",BI70="Male",BF70="Dubai",BE70=RN_Plus),VLOOKUP(BH70,DXB_MALE_DEP,4,0),IF(AND(BD70="Dependent",BI70="Male",BF70="Dubai",BE70=RN),VLOOKUP(BH70,DXB_MALE_DEP,5,0),IF(AND(BD70="Dependent",BI70="Male",BF70="Dubai",BE70=RN_2),VLOOKUP(BH70,DXB_MALE_DEP,6,0),IF(AND(BD70="Dependent",BI70="Male",BF70="Dubai",BE70=RN2_minus),VLOOKUP(BH70,DXB_MALE_DEP,7,0),IF(AND(BD70="Dependent",BI70="Male",BF70="Dubai",BE70=RN_3),VLOOKUP(BH70,DXB_MALE_DEP,8,0),IF(AND(BD70="Dependent",BI70="Male",BF70="Dubai",BE70=VN),VLOOKUP(BH70,DXB_MALE_DEP,9,0),IF(BD70="","",IF(AND(BD70="Dependent",BI70="Female",BF70="Dubai",BE70=GN_Plus),VLOOKUP(BH70,DXB_FEMALE_DEP,2,0),IF(AND(BD70="Dependent",BI70="Female",BF70="Dubai",BE70=GN),VLOOKUP(BH70,DXB_FEMALE_DEP,3,0),IF(AND(BD70="Dependent",BI70="Female",BF70="Dubai",BE70=RN_Plus),VLOOKUP(BH70,DXB_FEMALE_DEP,4,0),IF(AND(BD70="Dependent",BI70="Female",BF70="Dubai",BE70=RN),VLOOKUP(BH70,DXB_FEMALE_DEP,5,0),IF(AND(BD70="Dependent",BI70="Female",BF70="Dubai",BE70=RN_2),VLOOKUP(BH70,DXB_FEMALE_DEP,6,0),IF(AND(BD70="Dependent",BI70="Female",BF70="Dubai",BE70=RN2_minus),VLOOKUP(BH70,DXB_FEMALE_DEP,7,0),IF(AND(BD70="Dependent",BI70="Female",BF70="Dubai",BE70=RN_3),VLOOKUP(BH70,DXB_FEMALE_DEP,8,0),IF(AND(BD70="Dependent",BI70="Female",BF70="Dubai",BE70=VN),VLOOKUP(BH70,DXB_FEMALE_DEP,9,0),"ABC"))))))))))))))))))))))))))))))))))))</f>
        <v/>
      </c>
    </row>
    <row r="71" spans="1:64" x14ac:dyDescent="0.25">
      <c r="A71" s="762">
        <f t="shared" ref="A71:A134" si="52">+A70+1</f>
        <v>66</v>
      </c>
      <c r="B71" s="229"/>
      <c r="C71" s="223"/>
      <c r="D71" s="224"/>
      <c r="E71" s="225"/>
      <c r="F71" s="1036" t="str">
        <f t="shared" si="26"/>
        <v/>
      </c>
      <c r="G71" s="1037" t="str">
        <f t="shared" ref="G71:G134" si="53">IF(D71="","",MAX(0,ROUNDUP(F71,0)))</f>
        <v/>
      </c>
      <c r="H71" s="225"/>
      <c r="I71" s="1013"/>
      <c r="J71" s="1013"/>
      <c r="K71" s="1028"/>
      <c r="L71" s="1035" t="str">
        <f t="shared" si="25"/>
        <v/>
      </c>
      <c r="S71" s="498"/>
      <c r="AJ71" s="498"/>
      <c r="AM71" s="498">
        <f t="shared" si="37"/>
        <v>0</v>
      </c>
      <c r="AN71" s="498">
        <f t="shared" si="38"/>
        <v>0</v>
      </c>
      <c r="AO71" s="498">
        <f t="shared" si="39"/>
        <v>0</v>
      </c>
      <c r="AP71" s="498">
        <f t="shared" si="40"/>
        <v>0</v>
      </c>
      <c r="AQ71" s="498">
        <f t="shared" ref="AQ71:AQ134" si="54">IF(ISBLANK($B71),0,IF(OR($H71="Single",$H71="Married"),0,1))</f>
        <v>0</v>
      </c>
      <c r="AU71" s="498">
        <f t="shared" si="41"/>
        <v>0</v>
      </c>
      <c r="AV71" s="498">
        <f t="shared" si="42"/>
        <v>0</v>
      </c>
      <c r="AW71" s="498">
        <f t="shared" si="43"/>
        <v>0</v>
      </c>
      <c r="AX71" s="498">
        <f t="shared" si="44"/>
        <v>0</v>
      </c>
      <c r="AY71" s="498">
        <f t="shared" si="45"/>
        <v>0</v>
      </c>
      <c r="BB71" s="498" t="str">
        <f t="shared" si="46"/>
        <v/>
      </c>
      <c r="BC71" s="743" t="str">
        <f t="shared" si="47"/>
        <v/>
      </c>
      <c r="BD71" s="743" t="str">
        <f t="shared" si="48"/>
        <v/>
      </c>
      <c r="BE71" s="743" t="str">
        <f>IF(D71="","",VLOOKUP(D71,'General Basis'!$J$39:$K$46,2,0))</f>
        <v/>
      </c>
      <c r="BF71" s="744" t="str">
        <f>IF(D71="","",VLOOKUP(D71,'General Basis'!$J$39:$L$46,3,0))</f>
        <v/>
      </c>
      <c r="BG71" s="744" t="str">
        <f t="shared" ref="BG71:BG134" si="55">BC71&amp;BI71</f>
        <v/>
      </c>
      <c r="BH71" s="744" t="str">
        <f>IF(G71="","",IF(BF71="Abu Dhabi",IF(G71&lt;18,'General Basis'!$C$39,IF(G71&lt;41,'General Basis'!$C$40,IF(G71&lt;60,'General Basis'!$C$41,IF(G71&lt;65,'General Basis'!$C$42,'General Basis'!$C$43)))),IF(G71&lt;11,'General Basis'!$B$39,IF(G71&lt;18,'General Basis'!$B$40,IF(G71&lt;26,'General Basis'!$B$41,IF(G71&lt;31,'General Basis'!$B$42,IF(G71&lt;36,'General Basis'!$B$43,IF(G71&lt;41,'General Basis'!$B$44,IF(G71&lt;46,'General Basis'!$B$45,IF(G71&lt;51,'General Basis'!$B$46,IF(G71&lt;56,'General Basis'!$B$47,IF(G71&lt;60,'General Basis'!$B$48,IF(G71&lt;65,'General Basis'!$B$49,'General Basis'!$B$50)))))))))))))</f>
        <v/>
      </c>
      <c r="BI71" s="744" t="str">
        <f t="shared" si="49"/>
        <v/>
      </c>
      <c r="BJ71" s="747" t="str">
        <f t="shared" ref="BJ71:BJ134" si="56">IF(BD71="","",IF(BF71="Abu Dhabi",BK71,BL71))</f>
        <v/>
      </c>
      <c r="BK71" s="498" t="str">
        <f t="shared" si="50"/>
        <v/>
      </c>
      <c r="BL71" s="498" t="str">
        <f t="shared" si="51"/>
        <v/>
      </c>
    </row>
    <row r="72" spans="1:64" x14ac:dyDescent="0.25">
      <c r="A72" s="762">
        <f t="shared" si="52"/>
        <v>67</v>
      </c>
      <c r="B72" s="229"/>
      <c r="C72" s="223"/>
      <c r="D72" s="224"/>
      <c r="E72" s="225"/>
      <c r="F72" s="1036" t="str">
        <f t="shared" si="26"/>
        <v/>
      </c>
      <c r="G72" s="1037" t="str">
        <f t="shared" si="53"/>
        <v/>
      </c>
      <c r="H72" s="225"/>
      <c r="I72" s="1013"/>
      <c r="J72" s="1013"/>
      <c r="K72" s="1028"/>
      <c r="L72" s="1035" t="str">
        <f t="shared" ref="L72:L135" si="57">IF(AND(E72="Child",H72="Married"),"Check the Marital Status of the Child. ",IF(AND(E72="Child",F72&gt;18),"Child Age exceed 18 years. ",IF(AND(E72="Spouse",H72="Single"),"Spouse is selected as Single. ","")))&amp;IF(K72&gt;0,"UW Loading has been Applied","")</f>
        <v/>
      </c>
      <c r="S72" s="498"/>
      <c r="AJ72" s="498"/>
      <c r="AM72" s="498">
        <f t="shared" si="37"/>
        <v>0</v>
      </c>
      <c r="AN72" s="498">
        <f t="shared" si="38"/>
        <v>0</v>
      </c>
      <c r="AO72" s="498">
        <f t="shared" si="39"/>
        <v>0</v>
      </c>
      <c r="AP72" s="498">
        <f t="shared" si="40"/>
        <v>0</v>
      </c>
      <c r="AQ72" s="498">
        <f t="shared" si="54"/>
        <v>0</v>
      </c>
      <c r="AU72" s="498">
        <f t="shared" si="41"/>
        <v>0</v>
      </c>
      <c r="AV72" s="498">
        <f t="shared" si="42"/>
        <v>0</v>
      </c>
      <c r="AW72" s="498">
        <f t="shared" si="43"/>
        <v>0</v>
      </c>
      <c r="AX72" s="498">
        <f t="shared" si="44"/>
        <v>0</v>
      </c>
      <c r="AY72" s="498">
        <f t="shared" si="45"/>
        <v>0</v>
      </c>
      <c r="BB72" s="498" t="str">
        <f t="shared" si="46"/>
        <v/>
      </c>
      <c r="BC72" s="743" t="str">
        <f t="shared" si="47"/>
        <v/>
      </c>
      <c r="BD72" s="743" t="str">
        <f t="shared" si="48"/>
        <v/>
      </c>
      <c r="BE72" s="743" t="str">
        <f>IF(D72="","",VLOOKUP(D72,'General Basis'!$J$39:$K$46,2,0))</f>
        <v/>
      </c>
      <c r="BF72" s="744" t="str">
        <f>IF(D72="","",VLOOKUP(D72,'General Basis'!$J$39:$L$46,3,0))</f>
        <v/>
      </c>
      <c r="BG72" s="744" t="str">
        <f t="shared" si="55"/>
        <v/>
      </c>
      <c r="BH72" s="744" t="str">
        <f>IF(G72="","",IF(BF72="Abu Dhabi",IF(G72&lt;18,'General Basis'!$C$39,IF(G72&lt;41,'General Basis'!$C$40,IF(G72&lt;60,'General Basis'!$C$41,IF(G72&lt;65,'General Basis'!$C$42,'General Basis'!$C$43)))),IF(G72&lt;11,'General Basis'!$B$39,IF(G72&lt;18,'General Basis'!$B$40,IF(G72&lt;26,'General Basis'!$B$41,IF(G72&lt;31,'General Basis'!$B$42,IF(G72&lt;36,'General Basis'!$B$43,IF(G72&lt;41,'General Basis'!$B$44,IF(G72&lt;46,'General Basis'!$B$45,IF(G72&lt;51,'General Basis'!$B$46,IF(G72&lt;56,'General Basis'!$B$47,IF(G72&lt;60,'General Basis'!$B$48,IF(G72&lt;65,'General Basis'!$B$49,'General Basis'!$B$50)))))))))))))</f>
        <v/>
      </c>
      <c r="BI72" s="744" t="str">
        <f t="shared" si="49"/>
        <v/>
      </c>
      <c r="BJ72" s="747" t="str">
        <f t="shared" si="56"/>
        <v/>
      </c>
      <c r="BK72" s="498" t="str">
        <f t="shared" si="50"/>
        <v/>
      </c>
      <c r="BL72" s="498" t="str">
        <f t="shared" si="51"/>
        <v/>
      </c>
    </row>
    <row r="73" spans="1:64" x14ac:dyDescent="0.25">
      <c r="A73" s="762">
        <f t="shared" si="52"/>
        <v>68</v>
      </c>
      <c r="B73" s="229"/>
      <c r="C73" s="223"/>
      <c r="D73" s="224"/>
      <c r="E73" s="225"/>
      <c r="F73" s="1036" t="str">
        <f t="shared" si="26"/>
        <v/>
      </c>
      <c r="G73" s="1037" t="str">
        <f t="shared" si="53"/>
        <v/>
      </c>
      <c r="H73" s="225"/>
      <c r="I73" s="1013"/>
      <c r="J73" s="1013"/>
      <c r="K73" s="1028"/>
      <c r="L73" s="1035" t="str">
        <f t="shared" si="57"/>
        <v/>
      </c>
      <c r="S73" s="498"/>
      <c r="AJ73" s="498"/>
      <c r="AM73" s="498">
        <f t="shared" si="37"/>
        <v>0</v>
      </c>
      <c r="AN73" s="498">
        <f t="shared" si="38"/>
        <v>0</v>
      </c>
      <c r="AO73" s="498">
        <f t="shared" si="39"/>
        <v>0</v>
      </c>
      <c r="AP73" s="498">
        <f t="shared" si="40"/>
        <v>0</v>
      </c>
      <c r="AQ73" s="498">
        <f t="shared" si="54"/>
        <v>0</v>
      </c>
      <c r="AU73" s="498">
        <f t="shared" si="41"/>
        <v>0</v>
      </c>
      <c r="AV73" s="498">
        <f t="shared" si="42"/>
        <v>0</v>
      </c>
      <c r="AW73" s="498">
        <f t="shared" si="43"/>
        <v>0</v>
      </c>
      <c r="AX73" s="498">
        <f t="shared" si="44"/>
        <v>0</v>
      </c>
      <c r="AY73" s="498">
        <f t="shared" si="45"/>
        <v>0</v>
      </c>
      <c r="BB73" s="498" t="str">
        <f t="shared" si="46"/>
        <v/>
      </c>
      <c r="BC73" s="743" t="str">
        <f t="shared" si="47"/>
        <v/>
      </c>
      <c r="BD73" s="743" t="str">
        <f t="shared" si="48"/>
        <v/>
      </c>
      <c r="BE73" s="743" t="str">
        <f>IF(D73="","",VLOOKUP(D73,'General Basis'!$J$39:$K$46,2,0))</f>
        <v/>
      </c>
      <c r="BF73" s="744" t="str">
        <f>IF(D73="","",VLOOKUP(D73,'General Basis'!$J$39:$L$46,3,0))</f>
        <v/>
      </c>
      <c r="BG73" s="744" t="str">
        <f t="shared" si="55"/>
        <v/>
      </c>
      <c r="BH73" s="744" t="str">
        <f>IF(G73="","",IF(BF73="Abu Dhabi",IF(G73&lt;18,'General Basis'!$C$39,IF(G73&lt;41,'General Basis'!$C$40,IF(G73&lt;60,'General Basis'!$C$41,IF(G73&lt;65,'General Basis'!$C$42,'General Basis'!$C$43)))),IF(G73&lt;11,'General Basis'!$B$39,IF(G73&lt;18,'General Basis'!$B$40,IF(G73&lt;26,'General Basis'!$B$41,IF(G73&lt;31,'General Basis'!$B$42,IF(G73&lt;36,'General Basis'!$B$43,IF(G73&lt;41,'General Basis'!$B$44,IF(G73&lt;46,'General Basis'!$B$45,IF(G73&lt;51,'General Basis'!$B$46,IF(G73&lt;56,'General Basis'!$B$47,IF(G73&lt;60,'General Basis'!$B$48,IF(G73&lt;65,'General Basis'!$B$49,'General Basis'!$B$50)))))))))))))</f>
        <v/>
      </c>
      <c r="BI73" s="744" t="str">
        <f t="shared" si="49"/>
        <v/>
      </c>
      <c r="BJ73" s="747" t="str">
        <f t="shared" si="56"/>
        <v/>
      </c>
      <c r="BK73" s="498" t="str">
        <f t="shared" si="50"/>
        <v/>
      </c>
      <c r="BL73" s="498" t="str">
        <f t="shared" si="51"/>
        <v/>
      </c>
    </row>
    <row r="74" spans="1:64" x14ac:dyDescent="0.25">
      <c r="A74" s="762">
        <f t="shared" si="52"/>
        <v>69</v>
      </c>
      <c r="B74" s="229"/>
      <c r="C74" s="223"/>
      <c r="D74" s="224"/>
      <c r="E74" s="225"/>
      <c r="F74" s="1036" t="str">
        <f t="shared" si="26"/>
        <v/>
      </c>
      <c r="G74" s="1037" t="str">
        <f t="shared" si="53"/>
        <v/>
      </c>
      <c r="H74" s="225"/>
      <c r="I74" s="1013"/>
      <c r="J74" s="1013"/>
      <c r="K74" s="1028"/>
      <c r="L74" s="1035" t="str">
        <f t="shared" si="57"/>
        <v/>
      </c>
      <c r="S74" s="498"/>
      <c r="AJ74" s="498"/>
      <c r="AM74" s="498">
        <f t="shared" si="37"/>
        <v>0</v>
      </c>
      <c r="AN74" s="498">
        <f t="shared" si="38"/>
        <v>0</v>
      </c>
      <c r="AO74" s="498">
        <f t="shared" si="39"/>
        <v>0</v>
      </c>
      <c r="AP74" s="498">
        <f t="shared" si="40"/>
        <v>0</v>
      </c>
      <c r="AQ74" s="498">
        <f t="shared" si="54"/>
        <v>0</v>
      </c>
      <c r="AU74" s="498">
        <f t="shared" si="41"/>
        <v>0</v>
      </c>
      <c r="AV74" s="498">
        <f t="shared" si="42"/>
        <v>0</v>
      </c>
      <c r="AW74" s="498">
        <f t="shared" si="43"/>
        <v>0</v>
      </c>
      <c r="AX74" s="498">
        <f t="shared" si="44"/>
        <v>0</v>
      </c>
      <c r="AY74" s="498">
        <f t="shared" si="45"/>
        <v>0</v>
      </c>
      <c r="BB74" s="498" t="str">
        <f t="shared" si="46"/>
        <v/>
      </c>
      <c r="BC74" s="743" t="str">
        <f t="shared" si="47"/>
        <v/>
      </c>
      <c r="BD74" s="743" t="str">
        <f t="shared" si="48"/>
        <v/>
      </c>
      <c r="BE74" s="743" t="str">
        <f>IF(D74="","",VLOOKUP(D74,'General Basis'!$J$39:$K$46,2,0))</f>
        <v/>
      </c>
      <c r="BF74" s="744" t="str">
        <f>IF(D74="","",VLOOKUP(D74,'General Basis'!$J$39:$L$46,3,0))</f>
        <v/>
      </c>
      <c r="BG74" s="744" t="str">
        <f t="shared" si="55"/>
        <v/>
      </c>
      <c r="BH74" s="744" t="str">
        <f>IF(G74="","",IF(BF74="Abu Dhabi",IF(G74&lt;18,'General Basis'!$C$39,IF(G74&lt;41,'General Basis'!$C$40,IF(G74&lt;60,'General Basis'!$C$41,IF(G74&lt;65,'General Basis'!$C$42,'General Basis'!$C$43)))),IF(G74&lt;11,'General Basis'!$B$39,IF(G74&lt;18,'General Basis'!$B$40,IF(G74&lt;26,'General Basis'!$B$41,IF(G74&lt;31,'General Basis'!$B$42,IF(G74&lt;36,'General Basis'!$B$43,IF(G74&lt;41,'General Basis'!$B$44,IF(G74&lt;46,'General Basis'!$B$45,IF(G74&lt;51,'General Basis'!$B$46,IF(G74&lt;56,'General Basis'!$B$47,IF(G74&lt;60,'General Basis'!$B$48,IF(G74&lt;65,'General Basis'!$B$49,'General Basis'!$B$50)))))))))))))</f>
        <v/>
      </c>
      <c r="BI74" s="744" t="str">
        <f t="shared" si="49"/>
        <v/>
      </c>
      <c r="BJ74" s="747" t="str">
        <f t="shared" si="56"/>
        <v/>
      </c>
      <c r="BK74" s="498" t="str">
        <f t="shared" si="50"/>
        <v/>
      </c>
      <c r="BL74" s="498" t="str">
        <f t="shared" si="51"/>
        <v/>
      </c>
    </row>
    <row r="75" spans="1:64" x14ac:dyDescent="0.25">
      <c r="A75" s="762">
        <f t="shared" si="52"/>
        <v>70</v>
      </c>
      <c r="B75" s="229"/>
      <c r="C75" s="223"/>
      <c r="D75" s="224"/>
      <c r="E75" s="225"/>
      <c r="F75" s="1036" t="str">
        <f t="shared" si="26"/>
        <v/>
      </c>
      <c r="G75" s="1037" t="str">
        <f t="shared" si="53"/>
        <v/>
      </c>
      <c r="H75" s="225"/>
      <c r="I75" s="1013"/>
      <c r="J75" s="1013"/>
      <c r="K75" s="1028"/>
      <c r="L75" s="1035" t="str">
        <f t="shared" si="57"/>
        <v/>
      </c>
      <c r="S75" s="498"/>
      <c r="AJ75" s="498"/>
      <c r="AM75" s="498">
        <f t="shared" si="37"/>
        <v>0</v>
      </c>
      <c r="AN75" s="498">
        <f t="shared" si="38"/>
        <v>0</v>
      </c>
      <c r="AO75" s="498">
        <f t="shared" si="39"/>
        <v>0</v>
      </c>
      <c r="AP75" s="498">
        <f t="shared" si="40"/>
        <v>0</v>
      </c>
      <c r="AQ75" s="498">
        <f t="shared" si="54"/>
        <v>0</v>
      </c>
      <c r="AU75" s="498">
        <f t="shared" si="41"/>
        <v>0</v>
      </c>
      <c r="AV75" s="498">
        <f t="shared" si="42"/>
        <v>0</v>
      </c>
      <c r="AW75" s="498">
        <f t="shared" si="43"/>
        <v>0</v>
      </c>
      <c r="AX75" s="498">
        <f t="shared" si="44"/>
        <v>0</v>
      </c>
      <c r="AY75" s="498">
        <f t="shared" si="45"/>
        <v>0</v>
      </c>
      <c r="BB75" s="498" t="str">
        <f t="shared" si="46"/>
        <v/>
      </c>
      <c r="BC75" s="743" t="str">
        <f t="shared" si="47"/>
        <v/>
      </c>
      <c r="BD75" s="743" t="str">
        <f t="shared" si="48"/>
        <v/>
      </c>
      <c r="BE75" s="743" t="str">
        <f>IF(D75="","",VLOOKUP(D75,'General Basis'!$J$39:$K$46,2,0))</f>
        <v/>
      </c>
      <c r="BF75" s="744" t="str">
        <f>IF(D75="","",VLOOKUP(D75,'General Basis'!$J$39:$L$46,3,0))</f>
        <v/>
      </c>
      <c r="BG75" s="744" t="str">
        <f t="shared" si="55"/>
        <v/>
      </c>
      <c r="BH75" s="744" t="str">
        <f>IF(G75="","",IF(BF75="Abu Dhabi",IF(G75&lt;18,'General Basis'!$C$39,IF(G75&lt;41,'General Basis'!$C$40,IF(G75&lt;60,'General Basis'!$C$41,IF(G75&lt;65,'General Basis'!$C$42,'General Basis'!$C$43)))),IF(G75&lt;11,'General Basis'!$B$39,IF(G75&lt;18,'General Basis'!$B$40,IF(G75&lt;26,'General Basis'!$B$41,IF(G75&lt;31,'General Basis'!$B$42,IF(G75&lt;36,'General Basis'!$B$43,IF(G75&lt;41,'General Basis'!$B$44,IF(G75&lt;46,'General Basis'!$B$45,IF(G75&lt;51,'General Basis'!$B$46,IF(G75&lt;56,'General Basis'!$B$47,IF(G75&lt;60,'General Basis'!$B$48,IF(G75&lt;65,'General Basis'!$B$49,'General Basis'!$B$50)))))))))))))</f>
        <v/>
      </c>
      <c r="BI75" s="744" t="str">
        <f t="shared" si="49"/>
        <v/>
      </c>
      <c r="BJ75" s="747" t="str">
        <f t="shared" si="56"/>
        <v/>
      </c>
      <c r="BK75" s="498" t="str">
        <f t="shared" si="50"/>
        <v/>
      </c>
      <c r="BL75" s="498" t="str">
        <f t="shared" si="51"/>
        <v/>
      </c>
    </row>
    <row r="76" spans="1:64" x14ac:dyDescent="0.25">
      <c r="A76" s="762">
        <f t="shared" si="52"/>
        <v>71</v>
      </c>
      <c r="B76" s="229"/>
      <c r="C76" s="223"/>
      <c r="D76" s="224"/>
      <c r="E76" s="225"/>
      <c r="F76" s="1036" t="str">
        <f t="shared" si="26"/>
        <v/>
      </c>
      <c r="G76" s="1037" t="str">
        <f t="shared" si="53"/>
        <v/>
      </c>
      <c r="H76" s="225"/>
      <c r="I76" s="1013"/>
      <c r="J76" s="1013"/>
      <c r="K76" s="1028"/>
      <c r="L76" s="1035" t="str">
        <f t="shared" si="57"/>
        <v/>
      </c>
      <c r="S76" s="498"/>
      <c r="AJ76" s="498"/>
      <c r="AM76" s="498">
        <f t="shared" si="37"/>
        <v>0</v>
      </c>
      <c r="AN76" s="498">
        <f t="shared" si="38"/>
        <v>0</v>
      </c>
      <c r="AO76" s="498">
        <f t="shared" si="39"/>
        <v>0</v>
      </c>
      <c r="AP76" s="498">
        <f t="shared" si="40"/>
        <v>0</v>
      </c>
      <c r="AQ76" s="498">
        <f t="shared" si="54"/>
        <v>0</v>
      </c>
      <c r="AU76" s="498">
        <f t="shared" si="41"/>
        <v>0</v>
      </c>
      <c r="AV76" s="498">
        <f t="shared" si="42"/>
        <v>0</v>
      </c>
      <c r="AW76" s="498">
        <f t="shared" si="43"/>
        <v>0</v>
      </c>
      <c r="AX76" s="498">
        <f t="shared" si="44"/>
        <v>0</v>
      </c>
      <c r="AY76" s="498">
        <f t="shared" si="45"/>
        <v>0</v>
      </c>
      <c r="BB76" s="498" t="str">
        <f t="shared" si="46"/>
        <v/>
      </c>
      <c r="BC76" s="743" t="str">
        <f t="shared" si="47"/>
        <v/>
      </c>
      <c r="BD76" s="743" t="str">
        <f t="shared" si="48"/>
        <v/>
      </c>
      <c r="BE76" s="743" t="str">
        <f>IF(D76="","",VLOOKUP(D76,'General Basis'!$J$39:$K$46,2,0))</f>
        <v/>
      </c>
      <c r="BF76" s="744" t="str">
        <f>IF(D76="","",VLOOKUP(D76,'General Basis'!$J$39:$L$46,3,0))</f>
        <v/>
      </c>
      <c r="BG76" s="744" t="str">
        <f t="shared" si="55"/>
        <v/>
      </c>
      <c r="BH76" s="744" t="str">
        <f>IF(G76="","",IF(BF76="Abu Dhabi",IF(G76&lt;18,'General Basis'!$C$39,IF(G76&lt;41,'General Basis'!$C$40,IF(G76&lt;60,'General Basis'!$C$41,IF(G76&lt;65,'General Basis'!$C$42,'General Basis'!$C$43)))),IF(G76&lt;11,'General Basis'!$B$39,IF(G76&lt;18,'General Basis'!$B$40,IF(G76&lt;26,'General Basis'!$B$41,IF(G76&lt;31,'General Basis'!$B$42,IF(G76&lt;36,'General Basis'!$B$43,IF(G76&lt;41,'General Basis'!$B$44,IF(G76&lt;46,'General Basis'!$B$45,IF(G76&lt;51,'General Basis'!$B$46,IF(G76&lt;56,'General Basis'!$B$47,IF(G76&lt;60,'General Basis'!$B$48,IF(G76&lt;65,'General Basis'!$B$49,'General Basis'!$B$50)))))))))))))</f>
        <v/>
      </c>
      <c r="BI76" s="744" t="str">
        <f t="shared" si="49"/>
        <v/>
      </c>
      <c r="BJ76" s="747" t="str">
        <f t="shared" si="56"/>
        <v/>
      </c>
      <c r="BK76" s="498" t="str">
        <f t="shared" si="50"/>
        <v/>
      </c>
      <c r="BL76" s="498" t="str">
        <f t="shared" si="51"/>
        <v/>
      </c>
    </row>
    <row r="77" spans="1:64" x14ac:dyDescent="0.25">
      <c r="A77" s="762">
        <f t="shared" si="52"/>
        <v>72</v>
      </c>
      <c r="B77" s="229"/>
      <c r="C77" s="223"/>
      <c r="D77" s="224"/>
      <c r="E77" s="225"/>
      <c r="F77" s="1036" t="str">
        <f t="shared" si="26"/>
        <v/>
      </c>
      <c r="G77" s="1037" t="str">
        <f t="shared" si="53"/>
        <v/>
      </c>
      <c r="H77" s="225"/>
      <c r="I77" s="1013"/>
      <c r="J77" s="1013"/>
      <c r="K77" s="1028"/>
      <c r="L77" s="1035" t="str">
        <f t="shared" si="57"/>
        <v/>
      </c>
      <c r="S77" s="498"/>
      <c r="AJ77" s="498"/>
      <c r="AM77" s="498">
        <f t="shared" si="37"/>
        <v>0</v>
      </c>
      <c r="AN77" s="498">
        <f t="shared" si="38"/>
        <v>0</v>
      </c>
      <c r="AO77" s="498">
        <f t="shared" si="39"/>
        <v>0</v>
      </c>
      <c r="AP77" s="498">
        <f t="shared" si="40"/>
        <v>0</v>
      </c>
      <c r="AQ77" s="498">
        <f t="shared" si="54"/>
        <v>0</v>
      </c>
      <c r="AU77" s="498">
        <f t="shared" si="41"/>
        <v>0</v>
      </c>
      <c r="AV77" s="498">
        <f t="shared" si="42"/>
        <v>0</v>
      </c>
      <c r="AW77" s="498">
        <f t="shared" si="43"/>
        <v>0</v>
      </c>
      <c r="AX77" s="498">
        <f t="shared" si="44"/>
        <v>0</v>
      </c>
      <c r="AY77" s="498">
        <f t="shared" si="45"/>
        <v>0</v>
      </c>
      <c r="BB77" s="498" t="str">
        <f t="shared" si="46"/>
        <v/>
      </c>
      <c r="BC77" s="743" t="str">
        <f t="shared" si="47"/>
        <v/>
      </c>
      <c r="BD77" s="743" t="str">
        <f t="shared" si="48"/>
        <v/>
      </c>
      <c r="BE77" s="743" t="str">
        <f>IF(D77="","",VLOOKUP(D77,'General Basis'!$J$39:$K$46,2,0))</f>
        <v/>
      </c>
      <c r="BF77" s="744" t="str">
        <f>IF(D77="","",VLOOKUP(D77,'General Basis'!$J$39:$L$46,3,0))</f>
        <v/>
      </c>
      <c r="BG77" s="744" t="str">
        <f t="shared" si="55"/>
        <v/>
      </c>
      <c r="BH77" s="744" t="str">
        <f>IF(G77="","",IF(BF77="Abu Dhabi",IF(G77&lt;18,'General Basis'!$C$39,IF(G77&lt;41,'General Basis'!$C$40,IF(G77&lt;60,'General Basis'!$C$41,IF(G77&lt;65,'General Basis'!$C$42,'General Basis'!$C$43)))),IF(G77&lt;11,'General Basis'!$B$39,IF(G77&lt;18,'General Basis'!$B$40,IF(G77&lt;26,'General Basis'!$B$41,IF(G77&lt;31,'General Basis'!$B$42,IF(G77&lt;36,'General Basis'!$B$43,IF(G77&lt;41,'General Basis'!$B$44,IF(G77&lt;46,'General Basis'!$B$45,IF(G77&lt;51,'General Basis'!$B$46,IF(G77&lt;56,'General Basis'!$B$47,IF(G77&lt;60,'General Basis'!$B$48,IF(G77&lt;65,'General Basis'!$B$49,'General Basis'!$B$50)))))))))))))</f>
        <v/>
      </c>
      <c r="BI77" s="744" t="str">
        <f t="shared" si="49"/>
        <v/>
      </c>
      <c r="BJ77" s="747" t="str">
        <f t="shared" si="56"/>
        <v/>
      </c>
      <c r="BK77" s="498" t="str">
        <f t="shared" si="50"/>
        <v/>
      </c>
      <c r="BL77" s="498" t="str">
        <f t="shared" si="51"/>
        <v/>
      </c>
    </row>
    <row r="78" spans="1:64" x14ac:dyDescent="0.25">
      <c r="A78" s="762">
        <f t="shared" si="52"/>
        <v>73</v>
      </c>
      <c r="B78" s="229"/>
      <c r="C78" s="223"/>
      <c r="D78" s="224"/>
      <c r="E78" s="225"/>
      <c r="F78" s="1036" t="str">
        <f t="shared" si="26"/>
        <v/>
      </c>
      <c r="G78" s="1037" t="str">
        <f t="shared" si="53"/>
        <v/>
      </c>
      <c r="H78" s="225"/>
      <c r="I78" s="1013"/>
      <c r="J78" s="1013"/>
      <c r="K78" s="1028"/>
      <c r="L78" s="1035" t="str">
        <f t="shared" si="57"/>
        <v/>
      </c>
      <c r="S78" s="498"/>
      <c r="AJ78" s="498"/>
      <c r="AM78" s="498">
        <f t="shared" si="37"/>
        <v>0</v>
      </c>
      <c r="AN78" s="498">
        <f t="shared" si="38"/>
        <v>0</v>
      </c>
      <c r="AO78" s="498">
        <f t="shared" si="39"/>
        <v>0</v>
      </c>
      <c r="AP78" s="498">
        <f t="shared" si="40"/>
        <v>0</v>
      </c>
      <c r="AQ78" s="498">
        <f t="shared" si="54"/>
        <v>0</v>
      </c>
      <c r="AU78" s="498">
        <f t="shared" si="41"/>
        <v>0</v>
      </c>
      <c r="AV78" s="498">
        <f t="shared" si="42"/>
        <v>0</v>
      </c>
      <c r="AW78" s="498">
        <f t="shared" si="43"/>
        <v>0</v>
      </c>
      <c r="AX78" s="498">
        <f t="shared" si="44"/>
        <v>0</v>
      </c>
      <c r="AY78" s="498">
        <f t="shared" si="45"/>
        <v>0</v>
      </c>
      <c r="BB78" s="498" t="str">
        <f t="shared" si="46"/>
        <v/>
      </c>
      <c r="BC78" s="743" t="str">
        <f t="shared" si="47"/>
        <v/>
      </c>
      <c r="BD78" s="743" t="str">
        <f t="shared" si="48"/>
        <v/>
      </c>
      <c r="BE78" s="743" t="str">
        <f>IF(D78="","",VLOOKUP(D78,'General Basis'!$J$39:$K$46,2,0))</f>
        <v/>
      </c>
      <c r="BF78" s="744" t="str">
        <f>IF(D78="","",VLOOKUP(D78,'General Basis'!$J$39:$L$46,3,0))</f>
        <v/>
      </c>
      <c r="BG78" s="744" t="str">
        <f t="shared" si="55"/>
        <v/>
      </c>
      <c r="BH78" s="744" t="str">
        <f>IF(G78="","",IF(BF78="Abu Dhabi",IF(G78&lt;18,'General Basis'!$C$39,IF(G78&lt;41,'General Basis'!$C$40,IF(G78&lt;60,'General Basis'!$C$41,IF(G78&lt;65,'General Basis'!$C$42,'General Basis'!$C$43)))),IF(G78&lt;11,'General Basis'!$B$39,IF(G78&lt;18,'General Basis'!$B$40,IF(G78&lt;26,'General Basis'!$B$41,IF(G78&lt;31,'General Basis'!$B$42,IF(G78&lt;36,'General Basis'!$B$43,IF(G78&lt;41,'General Basis'!$B$44,IF(G78&lt;46,'General Basis'!$B$45,IF(G78&lt;51,'General Basis'!$B$46,IF(G78&lt;56,'General Basis'!$B$47,IF(G78&lt;60,'General Basis'!$B$48,IF(G78&lt;65,'General Basis'!$B$49,'General Basis'!$B$50)))))))))))))</f>
        <v/>
      </c>
      <c r="BI78" s="744" t="str">
        <f t="shared" si="49"/>
        <v/>
      </c>
      <c r="BJ78" s="747" t="str">
        <f t="shared" si="56"/>
        <v/>
      </c>
      <c r="BK78" s="498" t="str">
        <f t="shared" si="50"/>
        <v/>
      </c>
      <c r="BL78" s="498" t="str">
        <f t="shared" si="51"/>
        <v/>
      </c>
    </row>
    <row r="79" spans="1:64" x14ac:dyDescent="0.25">
      <c r="A79" s="762">
        <f t="shared" si="52"/>
        <v>74</v>
      </c>
      <c r="B79" s="229"/>
      <c r="C79" s="223"/>
      <c r="D79" s="224"/>
      <c r="E79" s="225"/>
      <c r="F79" s="1036" t="str">
        <f t="shared" si="26"/>
        <v/>
      </c>
      <c r="G79" s="1037" t="str">
        <f t="shared" si="53"/>
        <v/>
      </c>
      <c r="H79" s="225"/>
      <c r="I79" s="1013"/>
      <c r="J79" s="1013"/>
      <c r="K79" s="1028"/>
      <c r="L79" s="1035" t="str">
        <f t="shared" si="57"/>
        <v/>
      </c>
      <c r="S79" s="498"/>
      <c r="AJ79" s="498"/>
      <c r="AM79" s="498">
        <f t="shared" si="37"/>
        <v>0</v>
      </c>
      <c r="AN79" s="498">
        <f t="shared" si="38"/>
        <v>0</v>
      </c>
      <c r="AO79" s="498">
        <f t="shared" si="39"/>
        <v>0</v>
      </c>
      <c r="AP79" s="498">
        <f t="shared" si="40"/>
        <v>0</v>
      </c>
      <c r="AQ79" s="498">
        <f t="shared" si="54"/>
        <v>0</v>
      </c>
      <c r="AU79" s="498">
        <f t="shared" si="41"/>
        <v>0</v>
      </c>
      <c r="AV79" s="498">
        <f t="shared" si="42"/>
        <v>0</v>
      </c>
      <c r="AW79" s="498">
        <f t="shared" si="43"/>
        <v>0</v>
      </c>
      <c r="AX79" s="498">
        <f t="shared" si="44"/>
        <v>0</v>
      </c>
      <c r="AY79" s="498">
        <f t="shared" si="45"/>
        <v>0</v>
      </c>
      <c r="BB79" s="498" t="str">
        <f t="shared" si="46"/>
        <v/>
      </c>
      <c r="BC79" s="743" t="str">
        <f t="shared" si="47"/>
        <v/>
      </c>
      <c r="BD79" s="743" t="str">
        <f t="shared" si="48"/>
        <v/>
      </c>
      <c r="BE79" s="743" t="str">
        <f>IF(D79="","",VLOOKUP(D79,'General Basis'!$J$39:$K$46,2,0))</f>
        <v/>
      </c>
      <c r="BF79" s="744" t="str">
        <f>IF(D79="","",VLOOKUP(D79,'General Basis'!$J$39:$L$46,3,0))</f>
        <v/>
      </c>
      <c r="BG79" s="744" t="str">
        <f t="shared" si="55"/>
        <v/>
      </c>
      <c r="BH79" s="744" t="str">
        <f>IF(G79="","",IF(BF79="Abu Dhabi",IF(G79&lt;18,'General Basis'!$C$39,IF(G79&lt;41,'General Basis'!$C$40,IF(G79&lt;60,'General Basis'!$C$41,IF(G79&lt;65,'General Basis'!$C$42,'General Basis'!$C$43)))),IF(G79&lt;11,'General Basis'!$B$39,IF(G79&lt;18,'General Basis'!$B$40,IF(G79&lt;26,'General Basis'!$B$41,IF(G79&lt;31,'General Basis'!$B$42,IF(G79&lt;36,'General Basis'!$B$43,IF(G79&lt;41,'General Basis'!$B$44,IF(G79&lt;46,'General Basis'!$B$45,IF(G79&lt;51,'General Basis'!$B$46,IF(G79&lt;56,'General Basis'!$B$47,IF(G79&lt;60,'General Basis'!$B$48,IF(G79&lt;65,'General Basis'!$B$49,'General Basis'!$B$50)))))))))))))</f>
        <v/>
      </c>
      <c r="BI79" s="744" t="str">
        <f t="shared" si="49"/>
        <v/>
      </c>
      <c r="BJ79" s="747" t="str">
        <f t="shared" si="56"/>
        <v/>
      </c>
      <c r="BK79" s="498" t="str">
        <f t="shared" si="50"/>
        <v/>
      </c>
      <c r="BL79" s="498" t="str">
        <f t="shared" si="51"/>
        <v/>
      </c>
    </row>
    <row r="80" spans="1:64" x14ac:dyDescent="0.25">
      <c r="A80" s="762">
        <f t="shared" si="52"/>
        <v>75</v>
      </c>
      <c r="B80" s="229"/>
      <c r="C80" s="223"/>
      <c r="D80" s="224"/>
      <c r="E80" s="225"/>
      <c r="F80" s="1036" t="str">
        <f t="shared" ref="F80:F143" si="58">IF(C80="","",IF($B80="","",((YEAR($F$3)-YEAR($B80))+(MONTH($F$3)-MONTH($B80))/12+(DAY($F$3)-DAY($B80))/(DATE(YEAR($F$3),12,31)-DATE(YEAR($F$3),1,1)+1))))</f>
        <v/>
      </c>
      <c r="G80" s="1037" t="str">
        <f t="shared" si="53"/>
        <v/>
      </c>
      <c r="H80" s="225"/>
      <c r="I80" s="1013"/>
      <c r="J80" s="1013"/>
      <c r="K80" s="1028"/>
      <c r="L80" s="1035" t="str">
        <f t="shared" si="57"/>
        <v/>
      </c>
      <c r="S80" s="498"/>
      <c r="AJ80" s="498"/>
      <c r="AM80" s="498">
        <f t="shared" si="37"/>
        <v>0</v>
      </c>
      <c r="AN80" s="498">
        <f t="shared" si="38"/>
        <v>0</v>
      </c>
      <c r="AO80" s="498">
        <f t="shared" si="39"/>
        <v>0</v>
      </c>
      <c r="AP80" s="498">
        <f t="shared" si="40"/>
        <v>0</v>
      </c>
      <c r="AQ80" s="498">
        <f t="shared" si="54"/>
        <v>0</v>
      </c>
      <c r="AU80" s="498">
        <f t="shared" si="41"/>
        <v>0</v>
      </c>
      <c r="AV80" s="498">
        <f t="shared" si="42"/>
        <v>0</v>
      </c>
      <c r="AW80" s="498">
        <f t="shared" si="43"/>
        <v>0</v>
      </c>
      <c r="AX80" s="498">
        <f t="shared" si="44"/>
        <v>0</v>
      </c>
      <c r="AY80" s="498">
        <f t="shared" si="45"/>
        <v>0</v>
      </c>
      <c r="BB80" s="498" t="str">
        <f t="shared" si="46"/>
        <v/>
      </c>
      <c r="BC80" s="743" t="str">
        <f t="shared" si="47"/>
        <v/>
      </c>
      <c r="BD80" s="743" t="str">
        <f t="shared" si="48"/>
        <v/>
      </c>
      <c r="BE80" s="743" t="str">
        <f>IF(D80="","",VLOOKUP(D80,'General Basis'!$J$39:$K$46,2,0))</f>
        <v/>
      </c>
      <c r="BF80" s="744" t="str">
        <f>IF(D80="","",VLOOKUP(D80,'General Basis'!$J$39:$L$46,3,0))</f>
        <v/>
      </c>
      <c r="BG80" s="744" t="str">
        <f t="shared" si="55"/>
        <v/>
      </c>
      <c r="BH80" s="744" t="str">
        <f>IF(G80="","",IF(BF80="Abu Dhabi",IF(G80&lt;18,'General Basis'!$C$39,IF(G80&lt;41,'General Basis'!$C$40,IF(G80&lt;60,'General Basis'!$C$41,IF(G80&lt;65,'General Basis'!$C$42,'General Basis'!$C$43)))),IF(G80&lt;11,'General Basis'!$B$39,IF(G80&lt;18,'General Basis'!$B$40,IF(G80&lt;26,'General Basis'!$B$41,IF(G80&lt;31,'General Basis'!$B$42,IF(G80&lt;36,'General Basis'!$B$43,IF(G80&lt;41,'General Basis'!$B$44,IF(G80&lt;46,'General Basis'!$B$45,IF(G80&lt;51,'General Basis'!$B$46,IF(G80&lt;56,'General Basis'!$B$47,IF(G80&lt;60,'General Basis'!$B$48,IF(G80&lt;65,'General Basis'!$B$49,'General Basis'!$B$50)))))))))))))</f>
        <v/>
      </c>
      <c r="BI80" s="744" t="str">
        <f t="shared" si="49"/>
        <v/>
      </c>
      <c r="BJ80" s="747" t="str">
        <f t="shared" si="56"/>
        <v/>
      </c>
      <c r="BK80" s="498" t="str">
        <f t="shared" si="50"/>
        <v/>
      </c>
      <c r="BL80" s="498" t="str">
        <f t="shared" si="51"/>
        <v/>
      </c>
    </row>
    <row r="81" spans="1:64" x14ac:dyDescent="0.25">
      <c r="A81" s="762">
        <f t="shared" si="52"/>
        <v>76</v>
      </c>
      <c r="B81" s="229"/>
      <c r="C81" s="223"/>
      <c r="D81" s="224"/>
      <c r="E81" s="225"/>
      <c r="F81" s="1036" t="str">
        <f t="shared" si="58"/>
        <v/>
      </c>
      <c r="G81" s="1037" t="str">
        <f t="shared" si="53"/>
        <v/>
      </c>
      <c r="H81" s="225"/>
      <c r="I81" s="1013"/>
      <c r="J81" s="1013"/>
      <c r="K81" s="1028"/>
      <c r="L81" s="1035" t="str">
        <f t="shared" si="57"/>
        <v/>
      </c>
      <c r="S81" s="498"/>
      <c r="AJ81" s="498"/>
      <c r="AM81" s="498">
        <f t="shared" si="37"/>
        <v>0</v>
      </c>
      <c r="AN81" s="498">
        <f t="shared" si="38"/>
        <v>0</v>
      </c>
      <c r="AO81" s="498">
        <f t="shared" si="39"/>
        <v>0</v>
      </c>
      <c r="AP81" s="498">
        <f t="shared" si="40"/>
        <v>0</v>
      </c>
      <c r="AQ81" s="498">
        <f t="shared" si="54"/>
        <v>0</v>
      </c>
      <c r="AU81" s="498">
        <f t="shared" si="41"/>
        <v>0</v>
      </c>
      <c r="AV81" s="498">
        <f t="shared" si="42"/>
        <v>0</v>
      </c>
      <c r="AW81" s="498">
        <f t="shared" si="43"/>
        <v>0</v>
      </c>
      <c r="AX81" s="498">
        <f t="shared" si="44"/>
        <v>0</v>
      </c>
      <c r="AY81" s="498">
        <f t="shared" si="45"/>
        <v>0</v>
      </c>
      <c r="BB81" s="498" t="str">
        <f t="shared" si="46"/>
        <v/>
      </c>
      <c r="BC81" s="743" t="str">
        <f t="shared" si="47"/>
        <v/>
      </c>
      <c r="BD81" s="743" t="str">
        <f t="shared" si="48"/>
        <v/>
      </c>
      <c r="BE81" s="743" t="str">
        <f>IF(D81="","",VLOOKUP(D81,'General Basis'!$J$39:$K$46,2,0))</f>
        <v/>
      </c>
      <c r="BF81" s="744" t="str">
        <f>IF(D81="","",VLOOKUP(D81,'General Basis'!$J$39:$L$46,3,0))</f>
        <v/>
      </c>
      <c r="BG81" s="744" t="str">
        <f t="shared" si="55"/>
        <v/>
      </c>
      <c r="BH81" s="744" t="str">
        <f>IF(G81="","",IF(BF81="Abu Dhabi",IF(G81&lt;18,'General Basis'!$C$39,IF(G81&lt;41,'General Basis'!$C$40,IF(G81&lt;60,'General Basis'!$C$41,IF(G81&lt;65,'General Basis'!$C$42,'General Basis'!$C$43)))),IF(G81&lt;11,'General Basis'!$B$39,IF(G81&lt;18,'General Basis'!$B$40,IF(G81&lt;26,'General Basis'!$B$41,IF(G81&lt;31,'General Basis'!$B$42,IF(G81&lt;36,'General Basis'!$B$43,IF(G81&lt;41,'General Basis'!$B$44,IF(G81&lt;46,'General Basis'!$B$45,IF(G81&lt;51,'General Basis'!$B$46,IF(G81&lt;56,'General Basis'!$B$47,IF(G81&lt;60,'General Basis'!$B$48,IF(G81&lt;65,'General Basis'!$B$49,'General Basis'!$B$50)))))))))))))</f>
        <v/>
      </c>
      <c r="BI81" s="744" t="str">
        <f t="shared" si="49"/>
        <v/>
      </c>
      <c r="BJ81" s="747" t="str">
        <f t="shared" si="56"/>
        <v/>
      </c>
      <c r="BK81" s="498" t="str">
        <f t="shared" si="50"/>
        <v/>
      </c>
      <c r="BL81" s="498" t="str">
        <f t="shared" si="51"/>
        <v/>
      </c>
    </row>
    <row r="82" spans="1:64" x14ac:dyDescent="0.25">
      <c r="A82" s="762">
        <f t="shared" si="52"/>
        <v>77</v>
      </c>
      <c r="B82" s="229"/>
      <c r="C82" s="223"/>
      <c r="D82" s="224"/>
      <c r="E82" s="225"/>
      <c r="F82" s="1036" t="str">
        <f t="shared" si="58"/>
        <v/>
      </c>
      <c r="G82" s="1037" t="str">
        <f t="shared" si="53"/>
        <v/>
      </c>
      <c r="H82" s="225"/>
      <c r="I82" s="1013"/>
      <c r="J82" s="1013"/>
      <c r="K82" s="1028"/>
      <c r="L82" s="1035" t="str">
        <f t="shared" si="57"/>
        <v/>
      </c>
      <c r="S82" s="498"/>
      <c r="AJ82" s="498"/>
      <c r="AM82" s="498">
        <f t="shared" si="37"/>
        <v>0</v>
      </c>
      <c r="AN82" s="498">
        <f t="shared" si="38"/>
        <v>0</v>
      </c>
      <c r="AO82" s="498">
        <f t="shared" si="39"/>
        <v>0</v>
      </c>
      <c r="AP82" s="498">
        <f t="shared" si="40"/>
        <v>0</v>
      </c>
      <c r="AQ82" s="498">
        <f t="shared" si="54"/>
        <v>0</v>
      </c>
      <c r="AU82" s="498">
        <f t="shared" si="41"/>
        <v>0</v>
      </c>
      <c r="AV82" s="498">
        <f t="shared" si="42"/>
        <v>0</v>
      </c>
      <c r="AW82" s="498">
        <f t="shared" si="43"/>
        <v>0</v>
      </c>
      <c r="AX82" s="498">
        <f t="shared" si="44"/>
        <v>0</v>
      </c>
      <c r="AY82" s="498">
        <f t="shared" si="45"/>
        <v>0</v>
      </c>
      <c r="BB82" s="498" t="str">
        <f t="shared" si="46"/>
        <v/>
      </c>
      <c r="BC82" s="743" t="str">
        <f t="shared" si="47"/>
        <v/>
      </c>
      <c r="BD82" s="743" t="str">
        <f t="shared" si="48"/>
        <v/>
      </c>
      <c r="BE82" s="743" t="str">
        <f>IF(D82="","",VLOOKUP(D82,'General Basis'!$J$39:$K$46,2,0))</f>
        <v/>
      </c>
      <c r="BF82" s="744" t="str">
        <f>IF(D82="","",VLOOKUP(D82,'General Basis'!$J$39:$L$46,3,0))</f>
        <v/>
      </c>
      <c r="BG82" s="744" t="str">
        <f t="shared" si="55"/>
        <v/>
      </c>
      <c r="BH82" s="744" t="str">
        <f>IF(G82="","",IF(BF82="Abu Dhabi",IF(G82&lt;18,'General Basis'!$C$39,IF(G82&lt;41,'General Basis'!$C$40,IF(G82&lt;60,'General Basis'!$C$41,IF(G82&lt;65,'General Basis'!$C$42,'General Basis'!$C$43)))),IF(G82&lt;11,'General Basis'!$B$39,IF(G82&lt;18,'General Basis'!$B$40,IF(G82&lt;26,'General Basis'!$B$41,IF(G82&lt;31,'General Basis'!$B$42,IF(G82&lt;36,'General Basis'!$B$43,IF(G82&lt;41,'General Basis'!$B$44,IF(G82&lt;46,'General Basis'!$B$45,IF(G82&lt;51,'General Basis'!$B$46,IF(G82&lt;56,'General Basis'!$B$47,IF(G82&lt;60,'General Basis'!$B$48,IF(G82&lt;65,'General Basis'!$B$49,'General Basis'!$B$50)))))))))))))</f>
        <v/>
      </c>
      <c r="BI82" s="744" t="str">
        <f t="shared" si="49"/>
        <v/>
      </c>
      <c r="BJ82" s="747" t="str">
        <f t="shared" si="56"/>
        <v/>
      </c>
      <c r="BK82" s="498" t="str">
        <f t="shared" si="50"/>
        <v/>
      </c>
      <c r="BL82" s="498" t="str">
        <f t="shared" si="51"/>
        <v/>
      </c>
    </row>
    <row r="83" spans="1:64" x14ac:dyDescent="0.25">
      <c r="A83" s="762">
        <f t="shared" si="52"/>
        <v>78</v>
      </c>
      <c r="B83" s="229"/>
      <c r="C83" s="223"/>
      <c r="D83" s="224"/>
      <c r="E83" s="225"/>
      <c r="F83" s="1036" t="str">
        <f t="shared" si="58"/>
        <v/>
      </c>
      <c r="G83" s="1037" t="str">
        <f t="shared" si="53"/>
        <v/>
      </c>
      <c r="H83" s="225"/>
      <c r="I83" s="1013"/>
      <c r="J83" s="1013"/>
      <c r="K83" s="1028"/>
      <c r="L83" s="1035" t="str">
        <f t="shared" si="57"/>
        <v/>
      </c>
      <c r="S83" s="498"/>
      <c r="AJ83" s="498"/>
      <c r="AM83" s="498">
        <f t="shared" si="37"/>
        <v>0</v>
      </c>
      <c r="AN83" s="498">
        <f t="shared" si="38"/>
        <v>0</v>
      </c>
      <c r="AO83" s="498">
        <f t="shared" si="39"/>
        <v>0</v>
      </c>
      <c r="AP83" s="498">
        <f t="shared" ref="AP83:AP146" si="59">IF(ISBLANK($B83),0,IF(OR($C83="M",$C83="F"),0,1))</f>
        <v>0</v>
      </c>
      <c r="AQ83" s="498">
        <f t="shared" si="54"/>
        <v>0</v>
      </c>
      <c r="AU83" s="498">
        <f t="shared" si="41"/>
        <v>0</v>
      </c>
      <c r="AV83" s="498">
        <f t="shared" si="42"/>
        <v>0</v>
      </c>
      <c r="AW83" s="498">
        <f t="shared" si="43"/>
        <v>0</v>
      </c>
      <c r="AX83" s="498">
        <f t="shared" si="44"/>
        <v>0</v>
      </c>
      <c r="AY83" s="498">
        <f t="shared" si="45"/>
        <v>0</v>
      </c>
      <c r="BB83" s="498" t="str">
        <f t="shared" si="46"/>
        <v/>
      </c>
      <c r="BC83" s="743" t="str">
        <f t="shared" si="47"/>
        <v/>
      </c>
      <c r="BD83" s="743" t="str">
        <f t="shared" si="48"/>
        <v/>
      </c>
      <c r="BE83" s="743" t="str">
        <f>IF(D83="","",VLOOKUP(D83,'General Basis'!$J$39:$K$46,2,0))</f>
        <v/>
      </c>
      <c r="BF83" s="744" t="str">
        <f>IF(D83="","",VLOOKUP(D83,'General Basis'!$J$39:$L$46,3,0))</f>
        <v/>
      </c>
      <c r="BG83" s="744" t="str">
        <f t="shared" si="55"/>
        <v/>
      </c>
      <c r="BH83" s="744" t="str">
        <f>IF(G83="","",IF(BF83="Abu Dhabi",IF(G83&lt;18,'General Basis'!$C$39,IF(G83&lt;41,'General Basis'!$C$40,IF(G83&lt;60,'General Basis'!$C$41,IF(G83&lt;65,'General Basis'!$C$42,'General Basis'!$C$43)))),IF(G83&lt;11,'General Basis'!$B$39,IF(G83&lt;18,'General Basis'!$B$40,IF(G83&lt;26,'General Basis'!$B$41,IF(G83&lt;31,'General Basis'!$B$42,IF(G83&lt;36,'General Basis'!$B$43,IF(G83&lt;41,'General Basis'!$B$44,IF(G83&lt;46,'General Basis'!$B$45,IF(G83&lt;51,'General Basis'!$B$46,IF(G83&lt;56,'General Basis'!$B$47,IF(G83&lt;60,'General Basis'!$B$48,IF(G83&lt;65,'General Basis'!$B$49,'General Basis'!$B$50)))))))))))))</f>
        <v/>
      </c>
      <c r="BI83" s="744" t="str">
        <f t="shared" si="49"/>
        <v/>
      </c>
      <c r="BJ83" s="747" t="str">
        <f t="shared" si="56"/>
        <v/>
      </c>
      <c r="BK83" s="498" t="str">
        <f t="shared" si="50"/>
        <v/>
      </c>
      <c r="BL83" s="498" t="str">
        <f t="shared" si="51"/>
        <v/>
      </c>
    </row>
    <row r="84" spans="1:64" x14ac:dyDescent="0.25">
      <c r="A84" s="762">
        <f t="shared" si="52"/>
        <v>79</v>
      </c>
      <c r="B84" s="229"/>
      <c r="C84" s="223"/>
      <c r="D84" s="224"/>
      <c r="E84" s="225"/>
      <c r="F84" s="1036" t="str">
        <f t="shared" si="58"/>
        <v/>
      </c>
      <c r="G84" s="1037" t="str">
        <f t="shared" si="53"/>
        <v/>
      </c>
      <c r="H84" s="225"/>
      <c r="I84" s="1013"/>
      <c r="J84" s="1013"/>
      <c r="K84" s="1028"/>
      <c r="L84" s="1035" t="str">
        <f t="shared" si="57"/>
        <v/>
      </c>
      <c r="S84" s="498"/>
      <c r="AJ84" s="498"/>
      <c r="AM84" s="498">
        <f t="shared" si="37"/>
        <v>0</v>
      </c>
      <c r="AN84" s="498">
        <f t="shared" si="38"/>
        <v>0</v>
      </c>
      <c r="AO84" s="498">
        <f t="shared" si="39"/>
        <v>0</v>
      </c>
      <c r="AP84" s="498">
        <f t="shared" si="59"/>
        <v>0</v>
      </c>
      <c r="AQ84" s="498">
        <f t="shared" si="54"/>
        <v>0</v>
      </c>
      <c r="AU84" s="498">
        <f t="shared" si="41"/>
        <v>0</v>
      </c>
      <c r="AV84" s="498">
        <f t="shared" si="42"/>
        <v>0</v>
      </c>
      <c r="AW84" s="498">
        <f t="shared" si="43"/>
        <v>0</v>
      </c>
      <c r="AX84" s="498">
        <f t="shared" si="44"/>
        <v>0</v>
      </c>
      <c r="AY84" s="498">
        <f t="shared" si="45"/>
        <v>0</v>
      </c>
      <c r="BB84" s="498" t="str">
        <f t="shared" si="46"/>
        <v/>
      </c>
      <c r="BC84" s="743" t="str">
        <f t="shared" si="47"/>
        <v/>
      </c>
      <c r="BD84" s="743" t="str">
        <f t="shared" si="48"/>
        <v/>
      </c>
      <c r="BE84" s="743" t="str">
        <f>IF(D84="","",VLOOKUP(D84,'General Basis'!$J$39:$K$46,2,0))</f>
        <v/>
      </c>
      <c r="BF84" s="744" t="str">
        <f>IF(D84="","",VLOOKUP(D84,'General Basis'!$J$39:$L$46,3,0))</f>
        <v/>
      </c>
      <c r="BG84" s="744" t="str">
        <f t="shared" si="55"/>
        <v/>
      </c>
      <c r="BH84" s="744" t="str">
        <f>IF(G84="","",IF(BF84="Abu Dhabi",IF(G84&lt;18,'General Basis'!$C$39,IF(G84&lt;41,'General Basis'!$C$40,IF(G84&lt;60,'General Basis'!$C$41,IF(G84&lt;65,'General Basis'!$C$42,'General Basis'!$C$43)))),IF(G84&lt;11,'General Basis'!$B$39,IF(G84&lt;18,'General Basis'!$B$40,IF(G84&lt;26,'General Basis'!$B$41,IF(G84&lt;31,'General Basis'!$B$42,IF(G84&lt;36,'General Basis'!$B$43,IF(G84&lt;41,'General Basis'!$B$44,IF(G84&lt;46,'General Basis'!$B$45,IF(G84&lt;51,'General Basis'!$B$46,IF(G84&lt;56,'General Basis'!$B$47,IF(G84&lt;60,'General Basis'!$B$48,IF(G84&lt;65,'General Basis'!$B$49,'General Basis'!$B$50)))))))))))))</f>
        <v/>
      </c>
      <c r="BI84" s="744" t="str">
        <f t="shared" si="49"/>
        <v/>
      </c>
      <c r="BJ84" s="747" t="str">
        <f t="shared" si="56"/>
        <v/>
      </c>
      <c r="BK84" s="498" t="str">
        <f t="shared" si="50"/>
        <v/>
      </c>
      <c r="BL84" s="498" t="str">
        <f t="shared" si="51"/>
        <v/>
      </c>
    </row>
    <row r="85" spans="1:64" x14ac:dyDescent="0.25">
      <c r="A85" s="762">
        <f t="shared" si="52"/>
        <v>80</v>
      </c>
      <c r="B85" s="229"/>
      <c r="C85" s="223"/>
      <c r="D85" s="224"/>
      <c r="E85" s="225"/>
      <c r="F85" s="1036" t="str">
        <f t="shared" si="58"/>
        <v/>
      </c>
      <c r="G85" s="1037" t="str">
        <f t="shared" si="53"/>
        <v/>
      </c>
      <c r="H85" s="225"/>
      <c r="I85" s="1013"/>
      <c r="J85" s="1013"/>
      <c r="K85" s="1028"/>
      <c r="L85" s="1035" t="str">
        <f t="shared" si="57"/>
        <v/>
      </c>
      <c r="S85" s="498"/>
      <c r="AJ85" s="498"/>
      <c r="AM85" s="498">
        <f t="shared" si="37"/>
        <v>0</v>
      </c>
      <c r="AN85" s="498">
        <f t="shared" si="38"/>
        <v>0</v>
      </c>
      <c r="AO85" s="498">
        <f t="shared" si="39"/>
        <v>0</v>
      </c>
      <c r="AP85" s="498">
        <f t="shared" si="59"/>
        <v>0</v>
      </c>
      <c r="AQ85" s="498">
        <f t="shared" si="54"/>
        <v>0</v>
      </c>
      <c r="AU85" s="498">
        <f t="shared" si="41"/>
        <v>0</v>
      </c>
      <c r="AV85" s="498">
        <f t="shared" si="42"/>
        <v>0</v>
      </c>
      <c r="AW85" s="498">
        <f t="shared" si="43"/>
        <v>0</v>
      </c>
      <c r="AX85" s="498">
        <f t="shared" si="44"/>
        <v>0</v>
      </c>
      <c r="AY85" s="498">
        <f t="shared" si="45"/>
        <v>0</v>
      </c>
      <c r="BB85" s="498" t="str">
        <f t="shared" si="46"/>
        <v/>
      </c>
      <c r="BC85" s="743" t="str">
        <f t="shared" si="47"/>
        <v/>
      </c>
      <c r="BD85" s="743" t="str">
        <f t="shared" si="48"/>
        <v/>
      </c>
      <c r="BE85" s="743" t="str">
        <f>IF(D85="","",VLOOKUP(D85,'General Basis'!$J$39:$K$46,2,0))</f>
        <v/>
      </c>
      <c r="BF85" s="744" t="str">
        <f>IF(D85="","",VLOOKUP(D85,'General Basis'!$J$39:$L$46,3,0))</f>
        <v/>
      </c>
      <c r="BG85" s="744" t="str">
        <f t="shared" si="55"/>
        <v/>
      </c>
      <c r="BH85" s="744" t="str">
        <f>IF(G85="","",IF(BF85="Abu Dhabi",IF(G85&lt;18,'General Basis'!$C$39,IF(G85&lt;41,'General Basis'!$C$40,IF(G85&lt;60,'General Basis'!$C$41,IF(G85&lt;65,'General Basis'!$C$42,'General Basis'!$C$43)))),IF(G85&lt;11,'General Basis'!$B$39,IF(G85&lt;18,'General Basis'!$B$40,IF(G85&lt;26,'General Basis'!$B$41,IF(G85&lt;31,'General Basis'!$B$42,IF(G85&lt;36,'General Basis'!$B$43,IF(G85&lt;41,'General Basis'!$B$44,IF(G85&lt;46,'General Basis'!$B$45,IF(G85&lt;51,'General Basis'!$B$46,IF(G85&lt;56,'General Basis'!$B$47,IF(G85&lt;60,'General Basis'!$B$48,IF(G85&lt;65,'General Basis'!$B$49,'General Basis'!$B$50)))))))))))))</f>
        <v/>
      </c>
      <c r="BI85" s="744" t="str">
        <f t="shared" si="49"/>
        <v/>
      </c>
      <c r="BJ85" s="747" t="str">
        <f t="shared" si="56"/>
        <v/>
      </c>
      <c r="BK85" s="498" t="str">
        <f t="shared" si="50"/>
        <v/>
      </c>
      <c r="BL85" s="498" t="str">
        <f t="shared" si="51"/>
        <v/>
      </c>
    </row>
    <row r="86" spans="1:64" x14ac:dyDescent="0.25">
      <c r="A86" s="762">
        <f t="shared" si="52"/>
        <v>81</v>
      </c>
      <c r="B86" s="229"/>
      <c r="C86" s="223"/>
      <c r="D86" s="224"/>
      <c r="E86" s="225"/>
      <c r="F86" s="1036" t="str">
        <f t="shared" si="58"/>
        <v/>
      </c>
      <c r="G86" s="1037" t="str">
        <f t="shared" si="53"/>
        <v/>
      </c>
      <c r="H86" s="225"/>
      <c r="I86" s="1013"/>
      <c r="J86" s="1013"/>
      <c r="K86" s="1028"/>
      <c r="L86" s="1035" t="str">
        <f t="shared" si="57"/>
        <v/>
      </c>
      <c r="S86" s="498"/>
      <c r="AJ86" s="498"/>
      <c r="AM86" s="498">
        <f t="shared" si="37"/>
        <v>0</v>
      </c>
      <c r="AN86" s="498">
        <f t="shared" si="38"/>
        <v>0</v>
      </c>
      <c r="AO86" s="498">
        <f t="shared" si="39"/>
        <v>0</v>
      </c>
      <c r="AP86" s="498">
        <f t="shared" si="59"/>
        <v>0</v>
      </c>
      <c r="AQ86" s="498">
        <f t="shared" si="54"/>
        <v>0</v>
      </c>
      <c r="AU86" s="498">
        <f t="shared" si="41"/>
        <v>0</v>
      </c>
      <c r="AV86" s="498">
        <f t="shared" si="42"/>
        <v>0</v>
      </c>
      <c r="AW86" s="498">
        <f t="shared" si="43"/>
        <v>0</v>
      </c>
      <c r="AX86" s="498">
        <f t="shared" si="44"/>
        <v>0</v>
      </c>
      <c r="AY86" s="498">
        <f t="shared" si="45"/>
        <v>0</v>
      </c>
      <c r="BB86" s="498" t="str">
        <f t="shared" si="46"/>
        <v/>
      </c>
      <c r="BC86" s="743" t="str">
        <f t="shared" si="47"/>
        <v/>
      </c>
      <c r="BD86" s="743" t="str">
        <f t="shared" si="48"/>
        <v/>
      </c>
      <c r="BE86" s="743" t="str">
        <f>IF(D86="","",VLOOKUP(D86,'General Basis'!$J$39:$K$46,2,0))</f>
        <v/>
      </c>
      <c r="BF86" s="744" t="str">
        <f>IF(D86="","",VLOOKUP(D86,'General Basis'!$J$39:$L$46,3,0))</f>
        <v/>
      </c>
      <c r="BG86" s="744" t="str">
        <f t="shared" si="55"/>
        <v/>
      </c>
      <c r="BH86" s="744" t="str">
        <f>IF(G86="","",IF(BF86="Abu Dhabi",IF(G86&lt;18,'General Basis'!$C$39,IF(G86&lt;41,'General Basis'!$C$40,IF(G86&lt;60,'General Basis'!$C$41,IF(G86&lt;65,'General Basis'!$C$42,'General Basis'!$C$43)))),IF(G86&lt;11,'General Basis'!$B$39,IF(G86&lt;18,'General Basis'!$B$40,IF(G86&lt;26,'General Basis'!$B$41,IF(G86&lt;31,'General Basis'!$B$42,IF(G86&lt;36,'General Basis'!$B$43,IF(G86&lt;41,'General Basis'!$B$44,IF(G86&lt;46,'General Basis'!$B$45,IF(G86&lt;51,'General Basis'!$B$46,IF(G86&lt;56,'General Basis'!$B$47,IF(G86&lt;60,'General Basis'!$B$48,IF(G86&lt;65,'General Basis'!$B$49,'General Basis'!$B$50)))))))))))))</f>
        <v/>
      </c>
      <c r="BI86" s="744" t="str">
        <f t="shared" si="49"/>
        <v/>
      </c>
      <c r="BJ86" s="747" t="str">
        <f t="shared" si="56"/>
        <v/>
      </c>
      <c r="BK86" s="498" t="str">
        <f t="shared" si="50"/>
        <v/>
      </c>
      <c r="BL86" s="498" t="str">
        <f t="shared" si="51"/>
        <v/>
      </c>
    </row>
    <row r="87" spans="1:64" x14ac:dyDescent="0.25">
      <c r="A87" s="762">
        <f t="shared" si="52"/>
        <v>82</v>
      </c>
      <c r="B87" s="229"/>
      <c r="C87" s="223"/>
      <c r="D87" s="224"/>
      <c r="E87" s="225"/>
      <c r="F87" s="1036" t="str">
        <f t="shared" si="58"/>
        <v/>
      </c>
      <c r="G87" s="1037" t="str">
        <f t="shared" si="53"/>
        <v/>
      </c>
      <c r="H87" s="225"/>
      <c r="I87" s="1013"/>
      <c r="J87" s="1013"/>
      <c r="K87" s="1028"/>
      <c r="L87" s="1035" t="str">
        <f t="shared" si="57"/>
        <v/>
      </c>
      <c r="S87" s="498"/>
      <c r="AJ87" s="498"/>
      <c r="AM87" s="498">
        <f t="shared" si="37"/>
        <v>0</v>
      </c>
      <c r="AN87" s="498">
        <f t="shared" si="38"/>
        <v>0</v>
      </c>
      <c r="AO87" s="498">
        <f t="shared" si="39"/>
        <v>0</v>
      </c>
      <c r="AP87" s="498">
        <f t="shared" si="59"/>
        <v>0</v>
      </c>
      <c r="AQ87" s="498">
        <f t="shared" si="54"/>
        <v>0</v>
      </c>
      <c r="AU87" s="498">
        <f t="shared" si="41"/>
        <v>0</v>
      </c>
      <c r="AV87" s="498">
        <f t="shared" si="42"/>
        <v>0</v>
      </c>
      <c r="AW87" s="498">
        <f t="shared" si="43"/>
        <v>0</v>
      </c>
      <c r="AX87" s="498">
        <f t="shared" si="44"/>
        <v>0</v>
      </c>
      <c r="AY87" s="498">
        <f t="shared" si="45"/>
        <v>0</v>
      </c>
      <c r="BB87" s="498" t="str">
        <f t="shared" si="46"/>
        <v/>
      </c>
      <c r="BC87" s="743" t="str">
        <f t="shared" si="47"/>
        <v/>
      </c>
      <c r="BD87" s="743" t="str">
        <f t="shared" si="48"/>
        <v/>
      </c>
      <c r="BE87" s="743" t="str">
        <f>IF(D87="","",VLOOKUP(D87,'General Basis'!$J$39:$K$46,2,0))</f>
        <v/>
      </c>
      <c r="BF87" s="744" t="str">
        <f>IF(D87="","",VLOOKUP(D87,'General Basis'!$J$39:$L$46,3,0))</f>
        <v/>
      </c>
      <c r="BG87" s="744" t="str">
        <f t="shared" si="55"/>
        <v/>
      </c>
      <c r="BH87" s="744" t="str">
        <f>IF(G87="","",IF(BF87="Abu Dhabi",IF(G87&lt;18,'General Basis'!$C$39,IF(G87&lt;41,'General Basis'!$C$40,IF(G87&lt;60,'General Basis'!$C$41,IF(G87&lt;65,'General Basis'!$C$42,'General Basis'!$C$43)))),IF(G87&lt;11,'General Basis'!$B$39,IF(G87&lt;18,'General Basis'!$B$40,IF(G87&lt;26,'General Basis'!$B$41,IF(G87&lt;31,'General Basis'!$B$42,IF(G87&lt;36,'General Basis'!$B$43,IF(G87&lt;41,'General Basis'!$B$44,IF(G87&lt;46,'General Basis'!$B$45,IF(G87&lt;51,'General Basis'!$B$46,IF(G87&lt;56,'General Basis'!$B$47,IF(G87&lt;60,'General Basis'!$B$48,IF(G87&lt;65,'General Basis'!$B$49,'General Basis'!$B$50)))))))))))))</f>
        <v/>
      </c>
      <c r="BI87" s="744" t="str">
        <f t="shared" si="49"/>
        <v/>
      </c>
      <c r="BJ87" s="747" t="str">
        <f t="shared" si="56"/>
        <v/>
      </c>
      <c r="BK87" s="498" t="str">
        <f t="shared" si="50"/>
        <v/>
      </c>
      <c r="BL87" s="498" t="str">
        <f t="shared" si="51"/>
        <v/>
      </c>
    </row>
    <row r="88" spans="1:64" x14ac:dyDescent="0.25">
      <c r="A88" s="762">
        <f t="shared" si="52"/>
        <v>83</v>
      </c>
      <c r="B88" s="229"/>
      <c r="C88" s="223"/>
      <c r="D88" s="224"/>
      <c r="E88" s="225"/>
      <c r="F88" s="1036" t="str">
        <f t="shared" si="58"/>
        <v/>
      </c>
      <c r="G88" s="1037" t="str">
        <f t="shared" si="53"/>
        <v/>
      </c>
      <c r="H88" s="225"/>
      <c r="I88" s="1013"/>
      <c r="J88" s="1013"/>
      <c r="K88" s="1028"/>
      <c r="L88" s="1035" t="str">
        <f t="shared" si="57"/>
        <v/>
      </c>
      <c r="S88" s="498"/>
      <c r="AJ88" s="498"/>
      <c r="AM88" s="498">
        <f t="shared" si="37"/>
        <v>0</v>
      </c>
      <c r="AN88" s="498">
        <f t="shared" si="38"/>
        <v>0</v>
      </c>
      <c r="AO88" s="498">
        <f t="shared" si="39"/>
        <v>0</v>
      </c>
      <c r="AP88" s="498">
        <f t="shared" si="59"/>
        <v>0</v>
      </c>
      <c r="AQ88" s="498">
        <f t="shared" si="54"/>
        <v>0</v>
      </c>
      <c r="AU88" s="498">
        <f t="shared" si="41"/>
        <v>0</v>
      </c>
      <c r="AV88" s="498">
        <f t="shared" si="42"/>
        <v>0</v>
      </c>
      <c r="AW88" s="498">
        <f t="shared" si="43"/>
        <v>0</v>
      </c>
      <c r="AX88" s="498">
        <f t="shared" si="44"/>
        <v>0</v>
      </c>
      <c r="AY88" s="498">
        <f t="shared" si="45"/>
        <v>0</v>
      </c>
      <c r="BB88" s="498" t="str">
        <f t="shared" si="46"/>
        <v/>
      </c>
      <c r="BC88" s="743" t="str">
        <f t="shared" si="47"/>
        <v/>
      </c>
      <c r="BD88" s="743" t="str">
        <f t="shared" si="48"/>
        <v/>
      </c>
      <c r="BE88" s="743" t="str">
        <f>IF(D88="","",VLOOKUP(D88,'General Basis'!$J$39:$K$46,2,0))</f>
        <v/>
      </c>
      <c r="BF88" s="744" t="str">
        <f>IF(D88="","",VLOOKUP(D88,'General Basis'!$J$39:$L$46,3,0))</f>
        <v/>
      </c>
      <c r="BG88" s="744" t="str">
        <f t="shared" si="55"/>
        <v/>
      </c>
      <c r="BH88" s="744" t="str">
        <f>IF(G88="","",IF(BF88="Abu Dhabi",IF(G88&lt;18,'General Basis'!$C$39,IF(G88&lt;41,'General Basis'!$C$40,IF(G88&lt;60,'General Basis'!$C$41,IF(G88&lt;65,'General Basis'!$C$42,'General Basis'!$C$43)))),IF(G88&lt;11,'General Basis'!$B$39,IF(G88&lt;18,'General Basis'!$B$40,IF(G88&lt;26,'General Basis'!$B$41,IF(G88&lt;31,'General Basis'!$B$42,IF(G88&lt;36,'General Basis'!$B$43,IF(G88&lt;41,'General Basis'!$B$44,IF(G88&lt;46,'General Basis'!$B$45,IF(G88&lt;51,'General Basis'!$B$46,IF(G88&lt;56,'General Basis'!$B$47,IF(G88&lt;60,'General Basis'!$B$48,IF(G88&lt;65,'General Basis'!$B$49,'General Basis'!$B$50)))))))))))))</f>
        <v/>
      </c>
      <c r="BI88" s="744" t="str">
        <f t="shared" si="49"/>
        <v/>
      </c>
      <c r="BJ88" s="747" t="str">
        <f t="shared" si="56"/>
        <v/>
      </c>
      <c r="BK88" s="498" t="str">
        <f t="shared" si="50"/>
        <v/>
      </c>
      <c r="BL88" s="498" t="str">
        <f t="shared" si="51"/>
        <v/>
      </c>
    </row>
    <row r="89" spans="1:64" x14ac:dyDescent="0.25">
      <c r="A89" s="762">
        <f t="shared" si="52"/>
        <v>84</v>
      </c>
      <c r="B89" s="229"/>
      <c r="C89" s="223"/>
      <c r="D89" s="224"/>
      <c r="E89" s="225"/>
      <c r="F89" s="1036" t="str">
        <f t="shared" si="58"/>
        <v/>
      </c>
      <c r="G89" s="1037" t="str">
        <f t="shared" si="53"/>
        <v/>
      </c>
      <c r="H89" s="225"/>
      <c r="I89" s="1013"/>
      <c r="J89" s="1013"/>
      <c r="K89" s="1028"/>
      <c r="L89" s="1035" t="str">
        <f t="shared" si="57"/>
        <v/>
      </c>
      <c r="S89" s="498"/>
      <c r="AJ89" s="498"/>
      <c r="AM89" s="498">
        <f t="shared" si="37"/>
        <v>0</v>
      </c>
      <c r="AN89" s="498">
        <f t="shared" si="38"/>
        <v>0</v>
      </c>
      <c r="AO89" s="498">
        <f t="shared" si="39"/>
        <v>0</v>
      </c>
      <c r="AP89" s="498">
        <f t="shared" si="59"/>
        <v>0</v>
      </c>
      <c r="AQ89" s="498">
        <f t="shared" si="54"/>
        <v>0</v>
      </c>
      <c r="AU89" s="498">
        <f t="shared" si="41"/>
        <v>0</v>
      </c>
      <c r="AV89" s="498">
        <f t="shared" si="42"/>
        <v>0</v>
      </c>
      <c r="AW89" s="498">
        <f t="shared" si="43"/>
        <v>0</v>
      </c>
      <c r="AX89" s="498">
        <f t="shared" si="44"/>
        <v>0</v>
      </c>
      <c r="AY89" s="498">
        <f t="shared" si="45"/>
        <v>0</v>
      </c>
      <c r="BB89" s="498" t="str">
        <f t="shared" si="46"/>
        <v/>
      </c>
      <c r="BC89" s="743" t="str">
        <f t="shared" si="47"/>
        <v/>
      </c>
      <c r="BD89" s="743" t="str">
        <f t="shared" si="48"/>
        <v/>
      </c>
      <c r="BE89" s="743" t="str">
        <f>IF(D89="","",VLOOKUP(D89,'General Basis'!$J$39:$K$46,2,0))</f>
        <v/>
      </c>
      <c r="BF89" s="744" t="str">
        <f>IF(D89="","",VLOOKUP(D89,'General Basis'!$J$39:$L$46,3,0))</f>
        <v/>
      </c>
      <c r="BG89" s="744" t="str">
        <f t="shared" si="55"/>
        <v/>
      </c>
      <c r="BH89" s="744" t="str">
        <f>IF(G89="","",IF(BF89="Abu Dhabi",IF(G89&lt;18,'General Basis'!$C$39,IF(G89&lt;41,'General Basis'!$C$40,IF(G89&lt;60,'General Basis'!$C$41,IF(G89&lt;65,'General Basis'!$C$42,'General Basis'!$C$43)))),IF(G89&lt;11,'General Basis'!$B$39,IF(G89&lt;18,'General Basis'!$B$40,IF(G89&lt;26,'General Basis'!$B$41,IF(G89&lt;31,'General Basis'!$B$42,IF(G89&lt;36,'General Basis'!$B$43,IF(G89&lt;41,'General Basis'!$B$44,IF(G89&lt;46,'General Basis'!$B$45,IF(G89&lt;51,'General Basis'!$B$46,IF(G89&lt;56,'General Basis'!$B$47,IF(G89&lt;60,'General Basis'!$B$48,IF(G89&lt;65,'General Basis'!$B$49,'General Basis'!$B$50)))))))))))))</f>
        <v/>
      </c>
      <c r="BI89" s="744" t="str">
        <f t="shared" si="49"/>
        <v/>
      </c>
      <c r="BJ89" s="747" t="str">
        <f t="shared" si="56"/>
        <v/>
      </c>
      <c r="BK89" s="498" t="str">
        <f t="shared" si="50"/>
        <v/>
      </c>
      <c r="BL89" s="498" t="str">
        <f t="shared" si="51"/>
        <v/>
      </c>
    </row>
    <row r="90" spans="1:64" x14ac:dyDescent="0.25">
      <c r="A90" s="762">
        <f t="shared" si="52"/>
        <v>85</v>
      </c>
      <c r="B90" s="229"/>
      <c r="C90" s="223"/>
      <c r="D90" s="224"/>
      <c r="E90" s="225"/>
      <c r="F90" s="1036" t="str">
        <f t="shared" si="58"/>
        <v/>
      </c>
      <c r="G90" s="1037" t="str">
        <f t="shared" si="53"/>
        <v/>
      </c>
      <c r="H90" s="225"/>
      <c r="I90" s="1013"/>
      <c r="J90" s="1013"/>
      <c r="K90" s="1028"/>
      <c r="L90" s="1035" t="str">
        <f t="shared" si="57"/>
        <v/>
      </c>
      <c r="S90" s="498"/>
      <c r="AJ90" s="498"/>
      <c r="AM90" s="498">
        <f t="shared" si="37"/>
        <v>0</v>
      </c>
      <c r="AN90" s="498">
        <f t="shared" si="38"/>
        <v>0</v>
      </c>
      <c r="AO90" s="498">
        <f t="shared" si="39"/>
        <v>0</v>
      </c>
      <c r="AP90" s="498">
        <f t="shared" si="59"/>
        <v>0</v>
      </c>
      <c r="AQ90" s="498">
        <f t="shared" si="54"/>
        <v>0</v>
      </c>
      <c r="AU90" s="498">
        <f t="shared" si="41"/>
        <v>0</v>
      </c>
      <c r="AV90" s="498">
        <f t="shared" si="42"/>
        <v>0</v>
      </c>
      <c r="AW90" s="498">
        <f t="shared" si="43"/>
        <v>0</v>
      </c>
      <c r="AX90" s="498">
        <f t="shared" si="44"/>
        <v>0</v>
      </c>
      <c r="AY90" s="498">
        <f t="shared" si="45"/>
        <v>0</v>
      </c>
      <c r="BB90" s="498" t="str">
        <f t="shared" si="46"/>
        <v/>
      </c>
      <c r="BC90" s="743" t="str">
        <f t="shared" si="47"/>
        <v/>
      </c>
      <c r="BD90" s="743" t="str">
        <f t="shared" si="48"/>
        <v/>
      </c>
      <c r="BE90" s="743" t="str">
        <f>IF(D90="","",VLOOKUP(D90,'General Basis'!$J$39:$K$46,2,0))</f>
        <v/>
      </c>
      <c r="BF90" s="744" t="str">
        <f>IF(D90="","",VLOOKUP(D90,'General Basis'!$J$39:$L$46,3,0))</f>
        <v/>
      </c>
      <c r="BG90" s="744" t="str">
        <f t="shared" si="55"/>
        <v/>
      </c>
      <c r="BH90" s="744" t="str">
        <f>IF(G90="","",IF(BF90="Abu Dhabi",IF(G90&lt;18,'General Basis'!$C$39,IF(G90&lt;41,'General Basis'!$C$40,IF(G90&lt;60,'General Basis'!$C$41,IF(G90&lt;65,'General Basis'!$C$42,'General Basis'!$C$43)))),IF(G90&lt;11,'General Basis'!$B$39,IF(G90&lt;18,'General Basis'!$B$40,IF(G90&lt;26,'General Basis'!$B$41,IF(G90&lt;31,'General Basis'!$B$42,IF(G90&lt;36,'General Basis'!$B$43,IF(G90&lt;41,'General Basis'!$B$44,IF(G90&lt;46,'General Basis'!$B$45,IF(G90&lt;51,'General Basis'!$B$46,IF(G90&lt;56,'General Basis'!$B$47,IF(G90&lt;60,'General Basis'!$B$48,IF(G90&lt;65,'General Basis'!$B$49,'General Basis'!$B$50)))))))))))))</f>
        <v/>
      </c>
      <c r="BI90" s="744" t="str">
        <f t="shared" si="49"/>
        <v/>
      </c>
      <c r="BJ90" s="747" t="str">
        <f t="shared" si="56"/>
        <v/>
      </c>
      <c r="BK90" s="498" t="str">
        <f t="shared" si="50"/>
        <v/>
      </c>
      <c r="BL90" s="498" t="str">
        <f t="shared" si="51"/>
        <v/>
      </c>
    </row>
    <row r="91" spans="1:64" x14ac:dyDescent="0.25">
      <c r="A91" s="762">
        <f t="shared" si="52"/>
        <v>86</v>
      </c>
      <c r="B91" s="229"/>
      <c r="C91" s="223"/>
      <c r="D91" s="224"/>
      <c r="E91" s="225"/>
      <c r="F91" s="1036" t="str">
        <f t="shared" si="58"/>
        <v/>
      </c>
      <c r="G91" s="1037" t="str">
        <f t="shared" si="53"/>
        <v/>
      </c>
      <c r="H91" s="225"/>
      <c r="I91" s="1013"/>
      <c r="J91" s="1013"/>
      <c r="K91" s="1028"/>
      <c r="L91" s="1035" t="str">
        <f t="shared" si="57"/>
        <v/>
      </c>
      <c r="S91" s="498"/>
      <c r="AJ91" s="498"/>
      <c r="AM91" s="498">
        <f t="shared" si="37"/>
        <v>0</v>
      </c>
      <c r="AN91" s="498">
        <f t="shared" si="38"/>
        <v>0</v>
      </c>
      <c r="AO91" s="498">
        <f t="shared" si="39"/>
        <v>0</v>
      </c>
      <c r="AP91" s="498">
        <f t="shared" si="59"/>
        <v>0</v>
      </c>
      <c r="AQ91" s="498">
        <f t="shared" si="54"/>
        <v>0</v>
      </c>
      <c r="AU91" s="498">
        <f t="shared" si="41"/>
        <v>0</v>
      </c>
      <c r="AV91" s="498">
        <f t="shared" si="42"/>
        <v>0</v>
      </c>
      <c r="AW91" s="498">
        <f t="shared" si="43"/>
        <v>0</v>
      </c>
      <c r="AX91" s="498">
        <f t="shared" si="44"/>
        <v>0</v>
      </c>
      <c r="AY91" s="498">
        <f t="shared" si="45"/>
        <v>0</v>
      </c>
      <c r="BB91" s="498" t="str">
        <f t="shared" si="46"/>
        <v/>
      </c>
      <c r="BC91" s="743" t="str">
        <f t="shared" si="47"/>
        <v/>
      </c>
      <c r="BD91" s="743" t="str">
        <f t="shared" si="48"/>
        <v/>
      </c>
      <c r="BE91" s="743" t="str">
        <f>IF(D91="","",VLOOKUP(D91,'General Basis'!$J$39:$K$46,2,0))</f>
        <v/>
      </c>
      <c r="BF91" s="744" t="str">
        <f>IF(D91="","",VLOOKUP(D91,'General Basis'!$J$39:$L$46,3,0))</f>
        <v/>
      </c>
      <c r="BG91" s="744" t="str">
        <f t="shared" si="55"/>
        <v/>
      </c>
      <c r="BH91" s="744" t="str">
        <f>IF(G91="","",IF(BF91="Abu Dhabi",IF(G91&lt;18,'General Basis'!$C$39,IF(G91&lt;41,'General Basis'!$C$40,IF(G91&lt;60,'General Basis'!$C$41,IF(G91&lt;65,'General Basis'!$C$42,'General Basis'!$C$43)))),IF(G91&lt;11,'General Basis'!$B$39,IF(G91&lt;18,'General Basis'!$B$40,IF(G91&lt;26,'General Basis'!$B$41,IF(G91&lt;31,'General Basis'!$B$42,IF(G91&lt;36,'General Basis'!$B$43,IF(G91&lt;41,'General Basis'!$B$44,IF(G91&lt;46,'General Basis'!$B$45,IF(G91&lt;51,'General Basis'!$B$46,IF(G91&lt;56,'General Basis'!$B$47,IF(G91&lt;60,'General Basis'!$B$48,IF(G91&lt;65,'General Basis'!$B$49,'General Basis'!$B$50)))))))))))))</f>
        <v/>
      </c>
      <c r="BI91" s="744" t="str">
        <f t="shared" si="49"/>
        <v/>
      </c>
      <c r="BJ91" s="747" t="str">
        <f t="shared" si="56"/>
        <v/>
      </c>
      <c r="BK91" s="498" t="str">
        <f t="shared" si="50"/>
        <v/>
      </c>
      <c r="BL91" s="498" t="str">
        <f t="shared" si="51"/>
        <v/>
      </c>
    </row>
    <row r="92" spans="1:64" x14ac:dyDescent="0.25">
      <c r="A92" s="762">
        <f t="shared" si="52"/>
        <v>87</v>
      </c>
      <c r="B92" s="229"/>
      <c r="C92" s="223"/>
      <c r="D92" s="224"/>
      <c r="E92" s="225"/>
      <c r="F92" s="1036" t="str">
        <f t="shared" si="58"/>
        <v/>
      </c>
      <c r="G92" s="1037" t="str">
        <f t="shared" si="53"/>
        <v/>
      </c>
      <c r="H92" s="225"/>
      <c r="I92" s="1013"/>
      <c r="J92" s="1013"/>
      <c r="K92" s="1028"/>
      <c r="L92" s="1035" t="str">
        <f t="shared" si="57"/>
        <v/>
      </c>
      <c r="S92" s="498"/>
      <c r="AJ92" s="498"/>
      <c r="AM92" s="498">
        <f t="shared" si="37"/>
        <v>0</v>
      </c>
      <c r="AN92" s="498">
        <f t="shared" si="38"/>
        <v>0</v>
      </c>
      <c r="AO92" s="498">
        <f t="shared" si="39"/>
        <v>0</v>
      </c>
      <c r="AP92" s="498">
        <f t="shared" si="59"/>
        <v>0</v>
      </c>
      <c r="AQ92" s="498">
        <f t="shared" si="54"/>
        <v>0</v>
      </c>
      <c r="AU92" s="498">
        <f t="shared" si="41"/>
        <v>0</v>
      </c>
      <c r="AV92" s="498">
        <f t="shared" si="42"/>
        <v>0</v>
      </c>
      <c r="AW92" s="498">
        <f t="shared" si="43"/>
        <v>0</v>
      </c>
      <c r="AX92" s="498">
        <f t="shared" si="44"/>
        <v>0</v>
      </c>
      <c r="AY92" s="498">
        <f t="shared" si="45"/>
        <v>0</v>
      </c>
      <c r="BB92" s="498" t="str">
        <f t="shared" si="46"/>
        <v/>
      </c>
      <c r="BC92" s="743" t="str">
        <f t="shared" si="47"/>
        <v/>
      </c>
      <c r="BD92" s="743" t="str">
        <f t="shared" si="48"/>
        <v/>
      </c>
      <c r="BE92" s="743" t="str">
        <f>IF(D92="","",VLOOKUP(D92,'General Basis'!$J$39:$K$46,2,0))</f>
        <v/>
      </c>
      <c r="BF92" s="744" t="str">
        <f>IF(D92="","",VLOOKUP(D92,'General Basis'!$J$39:$L$46,3,0))</f>
        <v/>
      </c>
      <c r="BG92" s="744" t="str">
        <f t="shared" si="55"/>
        <v/>
      </c>
      <c r="BH92" s="744" t="str">
        <f>IF(G92="","",IF(BF92="Abu Dhabi",IF(G92&lt;18,'General Basis'!$C$39,IF(G92&lt;41,'General Basis'!$C$40,IF(G92&lt;60,'General Basis'!$C$41,IF(G92&lt;65,'General Basis'!$C$42,'General Basis'!$C$43)))),IF(G92&lt;11,'General Basis'!$B$39,IF(G92&lt;18,'General Basis'!$B$40,IF(G92&lt;26,'General Basis'!$B$41,IF(G92&lt;31,'General Basis'!$B$42,IF(G92&lt;36,'General Basis'!$B$43,IF(G92&lt;41,'General Basis'!$B$44,IF(G92&lt;46,'General Basis'!$B$45,IF(G92&lt;51,'General Basis'!$B$46,IF(G92&lt;56,'General Basis'!$B$47,IF(G92&lt;60,'General Basis'!$B$48,IF(G92&lt;65,'General Basis'!$B$49,'General Basis'!$B$50)))))))))))))</f>
        <v/>
      </c>
      <c r="BI92" s="744" t="str">
        <f t="shared" si="49"/>
        <v/>
      </c>
      <c r="BJ92" s="747" t="str">
        <f t="shared" si="56"/>
        <v/>
      </c>
      <c r="BK92" s="498" t="str">
        <f t="shared" si="50"/>
        <v/>
      </c>
      <c r="BL92" s="498" t="str">
        <f t="shared" si="51"/>
        <v/>
      </c>
    </row>
    <row r="93" spans="1:64" x14ac:dyDescent="0.25">
      <c r="A93" s="762">
        <f t="shared" si="52"/>
        <v>88</v>
      </c>
      <c r="B93" s="229"/>
      <c r="C93" s="223"/>
      <c r="D93" s="224"/>
      <c r="E93" s="225"/>
      <c r="F93" s="1036" t="str">
        <f t="shared" si="58"/>
        <v/>
      </c>
      <c r="G93" s="1037" t="str">
        <f t="shared" si="53"/>
        <v/>
      </c>
      <c r="H93" s="225"/>
      <c r="I93" s="1013"/>
      <c r="J93" s="1013"/>
      <c r="K93" s="1028"/>
      <c r="L93" s="1035" t="str">
        <f t="shared" si="57"/>
        <v/>
      </c>
      <c r="S93" s="498"/>
      <c r="AJ93" s="498"/>
      <c r="AM93" s="498">
        <f t="shared" si="37"/>
        <v>0</v>
      </c>
      <c r="AN93" s="498">
        <f t="shared" si="38"/>
        <v>0</v>
      </c>
      <c r="AO93" s="498">
        <f t="shared" si="39"/>
        <v>0</v>
      </c>
      <c r="AP93" s="498">
        <f t="shared" si="59"/>
        <v>0</v>
      </c>
      <c r="AQ93" s="498">
        <f t="shared" si="54"/>
        <v>0</v>
      </c>
      <c r="AU93" s="498">
        <f t="shared" si="41"/>
        <v>0</v>
      </c>
      <c r="AV93" s="498">
        <f t="shared" si="42"/>
        <v>0</v>
      </c>
      <c r="AW93" s="498">
        <f t="shared" si="43"/>
        <v>0</v>
      </c>
      <c r="AX93" s="498">
        <f t="shared" si="44"/>
        <v>0</v>
      </c>
      <c r="AY93" s="498">
        <f t="shared" si="45"/>
        <v>0</v>
      </c>
      <c r="BB93" s="498" t="str">
        <f t="shared" si="46"/>
        <v/>
      </c>
      <c r="BC93" s="743" t="str">
        <f t="shared" si="47"/>
        <v/>
      </c>
      <c r="BD93" s="743" t="str">
        <f t="shared" si="48"/>
        <v/>
      </c>
      <c r="BE93" s="743" t="str">
        <f>IF(D93="","",VLOOKUP(D93,'General Basis'!$J$39:$K$46,2,0))</f>
        <v/>
      </c>
      <c r="BF93" s="744" t="str">
        <f>IF(D93="","",VLOOKUP(D93,'General Basis'!$J$39:$L$46,3,0))</f>
        <v/>
      </c>
      <c r="BG93" s="744" t="str">
        <f t="shared" si="55"/>
        <v/>
      </c>
      <c r="BH93" s="744" t="str">
        <f>IF(G93="","",IF(BF93="Abu Dhabi",IF(G93&lt;18,'General Basis'!$C$39,IF(G93&lt;41,'General Basis'!$C$40,IF(G93&lt;60,'General Basis'!$C$41,IF(G93&lt;65,'General Basis'!$C$42,'General Basis'!$C$43)))),IF(G93&lt;11,'General Basis'!$B$39,IF(G93&lt;18,'General Basis'!$B$40,IF(G93&lt;26,'General Basis'!$B$41,IF(G93&lt;31,'General Basis'!$B$42,IF(G93&lt;36,'General Basis'!$B$43,IF(G93&lt;41,'General Basis'!$B$44,IF(G93&lt;46,'General Basis'!$B$45,IF(G93&lt;51,'General Basis'!$B$46,IF(G93&lt;56,'General Basis'!$B$47,IF(G93&lt;60,'General Basis'!$B$48,IF(G93&lt;65,'General Basis'!$B$49,'General Basis'!$B$50)))))))))))))</f>
        <v/>
      </c>
      <c r="BI93" s="744" t="str">
        <f t="shared" si="49"/>
        <v/>
      </c>
      <c r="BJ93" s="747" t="str">
        <f t="shared" si="56"/>
        <v/>
      </c>
      <c r="BK93" s="498" t="str">
        <f t="shared" si="50"/>
        <v/>
      </c>
      <c r="BL93" s="498" t="str">
        <f t="shared" si="51"/>
        <v/>
      </c>
    </row>
    <row r="94" spans="1:64" x14ac:dyDescent="0.25">
      <c r="A94" s="762">
        <f t="shared" si="52"/>
        <v>89</v>
      </c>
      <c r="B94" s="229"/>
      <c r="C94" s="223"/>
      <c r="D94" s="224"/>
      <c r="E94" s="225"/>
      <c r="F94" s="1036" t="str">
        <f t="shared" si="58"/>
        <v/>
      </c>
      <c r="G94" s="1037" t="str">
        <f t="shared" si="53"/>
        <v/>
      </c>
      <c r="H94" s="225"/>
      <c r="I94" s="1013"/>
      <c r="J94" s="1013"/>
      <c r="K94" s="1028"/>
      <c r="L94" s="1035" t="str">
        <f t="shared" si="57"/>
        <v/>
      </c>
      <c r="S94" s="498"/>
      <c r="AJ94" s="498"/>
      <c r="AM94" s="498">
        <f t="shared" si="37"/>
        <v>0</v>
      </c>
      <c r="AN94" s="498">
        <f t="shared" si="38"/>
        <v>0</v>
      </c>
      <c r="AO94" s="498">
        <f t="shared" si="39"/>
        <v>0</v>
      </c>
      <c r="AP94" s="498">
        <f t="shared" si="59"/>
        <v>0</v>
      </c>
      <c r="AQ94" s="498">
        <f t="shared" si="54"/>
        <v>0</v>
      </c>
      <c r="AU94" s="498">
        <f t="shared" si="41"/>
        <v>0</v>
      </c>
      <c r="AV94" s="498">
        <f t="shared" si="42"/>
        <v>0</v>
      </c>
      <c r="AW94" s="498">
        <f t="shared" si="43"/>
        <v>0</v>
      </c>
      <c r="AX94" s="498">
        <f t="shared" si="44"/>
        <v>0</v>
      </c>
      <c r="AY94" s="498">
        <f t="shared" si="45"/>
        <v>0</v>
      </c>
      <c r="BB94" s="498" t="str">
        <f t="shared" si="46"/>
        <v/>
      </c>
      <c r="BC94" s="743" t="str">
        <f t="shared" si="47"/>
        <v/>
      </c>
      <c r="BD94" s="743" t="str">
        <f t="shared" si="48"/>
        <v/>
      </c>
      <c r="BE94" s="743" t="str">
        <f>IF(D94="","",VLOOKUP(D94,'General Basis'!$J$39:$K$46,2,0))</f>
        <v/>
      </c>
      <c r="BF94" s="744" t="str">
        <f>IF(D94="","",VLOOKUP(D94,'General Basis'!$J$39:$L$46,3,0))</f>
        <v/>
      </c>
      <c r="BG94" s="744" t="str">
        <f t="shared" si="55"/>
        <v/>
      </c>
      <c r="BH94" s="744" t="str">
        <f>IF(G94="","",IF(BF94="Abu Dhabi",IF(G94&lt;18,'General Basis'!$C$39,IF(G94&lt;41,'General Basis'!$C$40,IF(G94&lt;60,'General Basis'!$C$41,IF(G94&lt;65,'General Basis'!$C$42,'General Basis'!$C$43)))),IF(G94&lt;11,'General Basis'!$B$39,IF(G94&lt;18,'General Basis'!$B$40,IF(G94&lt;26,'General Basis'!$B$41,IF(G94&lt;31,'General Basis'!$B$42,IF(G94&lt;36,'General Basis'!$B$43,IF(G94&lt;41,'General Basis'!$B$44,IF(G94&lt;46,'General Basis'!$B$45,IF(G94&lt;51,'General Basis'!$B$46,IF(G94&lt;56,'General Basis'!$B$47,IF(G94&lt;60,'General Basis'!$B$48,IF(G94&lt;65,'General Basis'!$B$49,'General Basis'!$B$50)))))))))))))</f>
        <v/>
      </c>
      <c r="BI94" s="744" t="str">
        <f t="shared" si="49"/>
        <v/>
      </c>
      <c r="BJ94" s="747" t="str">
        <f t="shared" si="56"/>
        <v/>
      </c>
      <c r="BK94" s="498" t="str">
        <f t="shared" si="50"/>
        <v/>
      </c>
      <c r="BL94" s="498" t="str">
        <f t="shared" si="51"/>
        <v/>
      </c>
    </row>
    <row r="95" spans="1:64" x14ac:dyDescent="0.25">
      <c r="A95" s="762">
        <f t="shared" si="52"/>
        <v>90</v>
      </c>
      <c r="B95" s="229"/>
      <c r="C95" s="223"/>
      <c r="D95" s="224"/>
      <c r="E95" s="225"/>
      <c r="F95" s="1036" t="str">
        <f t="shared" si="58"/>
        <v/>
      </c>
      <c r="G95" s="1037" t="str">
        <f t="shared" si="53"/>
        <v/>
      </c>
      <c r="H95" s="225"/>
      <c r="I95" s="1013"/>
      <c r="J95" s="1013"/>
      <c r="K95" s="1028"/>
      <c r="L95" s="1035" t="str">
        <f t="shared" si="57"/>
        <v/>
      </c>
      <c r="S95" s="498"/>
      <c r="AJ95" s="498"/>
      <c r="AM95" s="498">
        <f t="shared" si="37"/>
        <v>0</v>
      </c>
      <c r="AN95" s="498">
        <f t="shared" si="38"/>
        <v>0</v>
      </c>
      <c r="AO95" s="498">
        <f t="shared" si="39"/>
        <v>0</v>
      </c>
      <c r="AP95" s="498">
        <f t="shared" si="59"/>
        <v>0</v>
      </c>
      <c r="AQ95" s="498">
        <f t="shared" si="54"/>
        <v>0</v>
      </c>
      <c r="AU95" s="498">
        <f t="shared" si="41"/>
        <v>0</v>
      </c>
      <c r="AV95" s="498">
        <f t="shared" si="42"/>
        <v>0</v>
      </c>
      <c r="AW95" s="498">
        <f t="shared" si="43"/>
        <v>0</v>
      </c>
      <c r="AX95" s="498">
        <f t="shared" si="44"/>
        <v>0</v>
      </c>
      <c r="AY95" s="498">
        <f t="shared" si="45"/>
        <v>0</v>
      </c>
      <c r="BB95" s="498" t="str">
        <f t="shared" si="46"/>
        <v/>
      </c>
      <c r="BC95" s="743" t="str">
        <f t="shared" si="47"/>
        <v/>
      </c>
      <c r="BD95" s="743" t="str">
        <f t="shared" si="48"/>
        <v/>
      </c>
      <c r="BE95" s="743" t="str">
        <f>IF(D95="","",VLOOKUP(D95,'General Basis'!$J$39:$K$46,2,0))</f>
        <v/>
      </c>
      <c r="BF95" s="744" t="str">
        <f>IF(D95="","",VLOOKUP(D95,'General Basis'!$J$39:$L$46,3,0))</f>
        <v/>
      </c>
      <c r="BG95" s="744" t="str">
        <f t="shared" si="55"/>
        <v/>
      </c>
      <c r="BH95" s="744" t="str">
        <f>IF(G95="","",IF(BF95="Abu Dhabi",IF(G95&lt;18,'General Basis'!$C$39,IF(G95&lt;41,'General Basis'!$C$40,IF(G95&lt;60,'General Basis'!$C$41,IF(G95&lt;65,'General Basis'!$C$42,'General Basis'!$C$43)))),IF(G95&lt;11,'General Basis'!$B$39,IF(G95&lt;18,'General Basis'!$B$40,IF(G95&lt;26,'General Basis'!$B$41,IF(G95&lt;31,'General Basis'!$B$42,IF(G95&lt;36,'General Basis'!$B$43,IF(G95&lt;41,'General Basis'!$B$44,IF(G95&lt;46,'General Basis'!$B$45,IF(G95&lt;51,'General Basis'!$B$46,IF(G95&lt;56,'General Basis'!$B$47,IF(G95&lt;60,'General Basis'!$B$48,IF(G95&lt;65,'General Basis'!$B$49,'General Basis'!$B$50)))))))))))))</f>
        <v/>
      </c>
      <c r="BI95" s="744" t="str">
        <f t="shared" si="49"/>
        <v/>
      </c>
      <c r="BJ95" s="747" t="str">
        <f t="shared" si="56"/>
        <v/>
      </c>
      <c r="BK95" s="498" t="str">
        <f t="shared" si="50"/>
        <v/>
      </c>
      <c r="BL95" s="498" t="str">
        <f t="shared" si="51"/>
        <v/>
      </c>
    </row>
    <row r="96" spans="1:64" x14ac:dyDescent="0.25">
      <c r="A96" s="762">
        <f t="shared" si="52"/>
        <v>91</v>
      </c>
      <c r="B96" s="229"/>
      <c r="C96" s="223"/>
      <c r="D96" s="224"/>
      <c r="E96" s="225"/>
      <c r="F96" s="1036" t="str">
        <f t="shared" si="58"/>
        <v/>
      </c>
      <c r="G96" s="1037" t="str">
        <f t="shared" si="53"/>
        <v/>
      </c>
      <c r="H96" s="225"/>
      <c r="I96" s="1013"/>
      <c r="J96" s="1013"/>
      <c r="K96" s="1028"/>
      <c r="L96" s="1035" t="str">
        <f t="shared" si="57"/>
        <v/>
      </c>
      <c r="S96" s="498"/>
      <c r="AJ96" s="498"/>
      <c r="AM96" s="498">
        <f t="shared" si="37"/>
        <v>0</v>
      </c>
      <c r="AN96" s="498">
        <f t="shared" si="38"/>
        <v>0</v>
      </c>
      <c r="AO96" s="498">
        <f t="shared" si="39"/>
        <v>0</v>
      </c>
      <c r="AP96" s="498">
        <f t="shared" si="59"/>
        <v>0</v>
      </c>
      <c r="AQ96" s="498">
        <f t="shared" si="54"/>
        <v>0</v>
      </c>
      <c r="AU96" s="498">
        <f t="shared" si="41"/>
        <v>0</v>
      </c>
      <c r="AV96" s="498">
        <f t="shared" si="42"/>
        <v>0</v>
      </c>
      <c r="AW96" s="498">
        <f t="shared" si="43"/>
        <v>0</v>
      </c>
      <c r="AX96" s="498">
        <f t="shared" si="44"/>
        <v>0</v>
      </c>
      <c r="AY96" s="498">
        <f t="shared" si="45"/>
        <v>0</v>
      </c>
      <c r="BB96" s="498" t="str">
        <f t="shared" si="46"/>
        <v/>
      </c>
      <c r="BC96" s="743" t="str">
        <f t="shared" si="47"/>
        <v/>
      </c>
      <c r="BD96" s="743" t="str">
        <f t="shared" si="48"/>
        <v/>
      </c>
      <c r="BE96" s="743" t="str">
        <f>IF(D96="","",VLOOKUP(D96,'General Basis'!$J$39:$K$46,2,0))</f>
        <v/>
      </c>
      <c r="BF96" s="744" t="str">
        <f>IF(D96="","",VLOOKUP(D96,'General Basis'!$J$39:$L$46,3,0))</f>
        <v/>
      </c>
      <c r="BG96" s="744" t="str">
        <f t="shared" si="55"/>
        <v/>
      </c>
      <c r="BH96" s="744" t="str">
        <f>IF(G96="","",IF(BF96="Abu Dhabi",IF(G96&lt;18,'General Basis'!$C$39,IF(G96&lt;41,'General Basis'!$C$40,IF(G96&lt;60,'General Basis'!$C$41,IF(G96&lt;65,'General Basis'!$C$42,'General Basis'!$C$43)))),IF(G96&lt;11,'General Basis'!$B$39,IF(G96&lt;18,'General Basis'!$B$40,IF(G96&lt;26,'General Basis'!$B$41,IF(G96&lt;31,'General Basis'!$B$42,IF(G96&lt;36,'General Basis'!$B$43,IF(G96&lt;41,'General Basis'!$B$44,IF(G96&lt;46,'General Basis'!$B$45,IF(G96&lt;51,'General Basis'!$B$46,IF(G96&lt;56,'General Basis'!$B$47,IF(G96&lt;60,'General Basis'!$B$48,IF(G96&lt;65,'General Basis'!$B$49,'General Basis'!$B$50)))))))))))))</f>
        <v/>
      </c>
      <c r="BI96" s="744" t="str">
        <f t="shared" si="49"/>
        <v/>
      </c>
      <c r="BJ96" s="747" t="str">
        <f t="shared" si="56"/>
        <v/>
      </c>
      <c r="BK96" s="498" t="str">
        <f t="shared" si="50"/>
        <v/>
      </c>
      <c r="BL96" s="498" t="str">
        <f t="shared" si="51"/>
        <v/>
      </c>
    </row>
    <row r="97" spans="1:64" x14ac:dyDescent="0.25">
      <c r="A97" s="762">
        <f t="shared" si="52"/>
        <v>92</v>
      </c>
      <c r="B97" s="229"/>
      <c r="C97" s="223"/>
      <c r="D97" s="224"/>
      <c r="E97" s="225"/>
      <c r="F97" s="1036" t="str">
        <f t="shared" si="58"/>
        <v/>
      </c>
      <c r="G97" s="1037" t="str">
        <f t="shared" si="53"/>
        <v/>
      </c>
      <c r="H97" s="225"/>
      <c r="I97" s="1013"/>
      <c r="J97" s="1013"/>
      <c r="K97" s="1028"/>
      <c r="L97" s="1035" t="str">
        <f t="shared" si="57"/>
        <v/>
      </c>
      <c r="S97" s="498"/>
      <c r="AJ97" s="498"/>
      <c r="AM97" s="498">
        <f t="shared" si="37"/>
        <v>0</v>
      </c>
      <c r="AN97" s="498">
        <f t="shared" si="38"/>
        <v>0</v>
      </c>
      <c r="AO97" s="498">
        <f t="shared" si="39"/>
        <v>0</v>
      </c>
      <c r="AP97" s="498">
        <f t="shared" si="59"/>
        <v>0</v>
      </c>
      <c r="AQ97" s="498">
        <f t="shared" si="54"/>
        <v>0</v>
      </c>
      <c r="AU97" s="498">
        <f t="shared" si="41"/>
        <v>0</v>
      </c>
      <c r="AV97" s="498">
        <f t="shared" si="42"/>
        <v>0</v>
      </c>
      <c r="AW97" s="498">
        <f t="shared" si="43"/>
        <v>0</v>
      </c>
      <c r="AX97" s="498">
        <f t="shared" si="44"/>
        <v>0</v>
      </c>
      <c r="AY97" s="498">
        <f t="shared" si="45"/>
        <v>0</v>
      </c>
      <c r="BB97" s="498" t="str">
        <f t="shared" si="46"/>
        <v/>
      </c>
      <c r="BC97" s="743" t="str">
        <f t="shared" si="47"/>
        <v/>
      </c>
      <c r="BD97" s="743" t="str">
        <f t="shared" si="48"/>
        <v/>
      </c>
      <c r="BE97" s="743" t="str">
        <f>IF(D97="","",VLOOKUP(D97,'General Basis'!$J$39:$K$46,2,0))</f>
        <v/>
      </c>
      <c r="BF97" s="744" t="str">
        <f>IF(D97="","",VLOOKUP(D97,'General Basis'!$J$39:$L$46,3,0))</f>
        <v/>
      </c>
      <c r="BG97" s="744" t="str">
        <f t="shared" si="55"/>
        <v/>
      </c>
      <c r="BH97" s="744" t="str">
        <f>IF(G97="","",IF(BF97="Abu Dhabi",IF(G97&lt;18,'General Basis'!$C$39,IF(G97&lt;41,'General Basis'!$C$40,IF(G97&lt;60,'General Basis'!$C$41,IF(G97&lt;65,'General Basis'!$C$42,'General Basis'!$C$43)))),IF(G97&lt;11,'General Basis'!$B$39,IF(G97&lt;18,'General Basis'!$B$40,IF(G97&lt;26,'General Basis'!$B$41,IF(G97&lt;31,'General Basis'!$B$42,IF(G97&lt;36,'General Basis'!$B$43,IF(G97&lt;41,'General Basis'!$B$44,IF(G97&lt;46,'General Basis'!$B$45,IF(G97&lt;51,'General Basis'!$B$46,IF(G97&lt;56,'General Basis'!$B$47,IF(G97&lt;60,'General Basis'!$B$48,IF(G97&lt;65,'General Basis'!$B$49,'General Basis'!$B$50)))))))))))))</f>
        <v/>
      </c>
      <c r="BI97" s="744" t="str">
        <f t="shared" si="49"/>
        <v/>
      </c>
      <c r="BJ97" s="747" t="str">
        <f t="shared" si="56"/>
        <v/>
      </c>
      <c r="BK97" s="498" t="str">
        <f t="shared" si="50"/>
        <v/>
      </c>
      <c r="BL97" s="498" t="str">
        <f t="shared" si="51"/>
        <v/>
      </c>
    </row>
    <row r="98" spans="1:64" x14ac:dyDescent="0.25">
      <c r="A98" s="762">
        <f t="shared" si="52"/>
        <v>93</v>
      </c>
      <c r="B98" s="229"/>
      <c r="C98" s="223"/>
      <c r="D98" s="224"/>
      <c r="E98" s="225"/>
      <c r="F98" s="1036" t="str">
        <f t="shared" si="58"/>
        <v/>
      </c>
      <c r="G98" s="1037" t="str">
        <f t="shared" si="53"/>
        <v/>
      </c>
      <c r="H98" s="225"/>
      <c r="I98" s="1013"/>
      <c r="J98" s="1013"/>
      <c r="K98" s="1028"/>
      <c r="L98" s="1035" t="str">
        <f t="shared" si="57"/>
        <v/>
      </c>
      <c r="S98" s="498"/>
      <c r="AJ98" s="498"/>
      <c r="AM98" s="498">
        <f t="shared" si="37"/>
        <v>0</v>
      </c>
      <c r="AN98" s="498">
        <f t="shared" si="38"/>
        <v>0</v>
      </c>
      <c r="AO98" s="498">
        <f t="shared" si="39"/>
        <v>0</v>
      </c>
      <c r="AP98" s="498">
        <f t="shared" si="59"/>
        <v>0</v>
      </c>
      <c r="AQ98" s="498">
        <f t="shared" si="54"/>
        <v>0</v>
      </c>
      <c r="AU98" s="498">
        <f t="shared" si="41"/>
        <v>0</v>
      </c>
      <c r="AV98" s="498">
        <f t="shared" si="42"/>
        <v>0</v>
      </c>
      <c r="AW98" s="498">
        <f t="shared" si="43"/>
        <v>0</v>
      </c>
      <c r="AX98" s="498">
        <f t="shared" si="44"/>
        <v>0</v>
      </c>
      <c r="AY98" s="498">
        <f t="shared" si="45"/>
        <v>0</v>
      </c>
      <c r="BB98" s="498" t="str">
        <f t="shared" si="46"/>
        <v/>
      </c>
      <c r="BC98" s="743" t="str">
        <f t="shared" si="47"/>
        <v/>
      </c>
      <c r="BD98" s="743" t="str">
        <f t="shared" si="48"/>
        <v/>
      </c>
      <c r="BE98" s="743" t="str">
        <f>IF(D98="","",VLOOKUP(D98,'General Basis'!$J$39:$K$46,2,0))</f>
        <v/>
      </c>
      <c r="BF98" s="744" t="str">
        <f>IF(D98="","",VLOOKUP(D98,'General Basis'!$J$39:$L$46,3,0))</f>
        <v/>
      </c>
      <c r="BG98" s="744" t="str">
        <f t="shared" si="55"/>
        <v/>
      </c>
      <c r="BH98" s="744" t="str">
        <f>IF(G98="","",IF(BF98="Abu Dhabi",IF(G98&lt;18,'General Basis'!$C$39,IF(G98&lt;41,'General Basis'!$C$40,IF(G98&lt;60,'General Basis'!$C$41,IF(G98&lt;65,'General Basis'!$C$42,'General Basis'!$C$43)))),IF(G98&lt;11,'General Basis'!$B$39,IF(G98&lt;18,'General Basis'!$B$40,IF(G98&lt;26,'General Basis'!$B$41,IF(G98&lt;31,'General Basis'!$B$42,IF(G98&lt;36,'General Basis'!$B$43,IF(G98&lt;41,'General Basis'!$B$44,IF(G98&lt;46,'General Basis'!$B$45,IF(G98&lt;51,'General Basis'!$B$46,IF(G98&lt;56,'General Basis'!$B$47,IF(G98&lt;60,'General Basis'!$B$48,IF(G98&lt;65,'General Basis'!$B$49,'General Basis'!$B$50)))))))))))))</f>
        <v/>
      </c>
      <c r="BI98" s="744" t="str">
        <f t="shared" si="49"/>
        <v/>
      </c>
      <c r="BJ98" s="747" t="str">
        <f t="shared" si="56"/>
        <v/>
      </c>
      <c r="BK98" s="498" t="str">
        <f t="shared" si="50"/>
        <v/>
      </c>
      <c r="BL98" s="498" t="str">
        <f t="shared" si="51"/>
        <v/>
      </c>
    </row>
    <row r="99" spans="1:64" x14ac:dyDescent="0.25">
      <c r="A99" s="762">
        <f t="shared" si="52"/>
        <v>94</v>
      </c>
      <c r="B99" s="229"/>
      <c r="C99" s="223"/>
      <c r="D99" s="224"/>
      <c r="E99" s="225"/>
      <c r="F99" s="1036" t="str">
        <f t="shared" si="58"/>
        <v/>
      </c>
      <c r="G99" s="1037" t="str">
        <f t="shared" si="53"/>
        <v/>
      </c>
      <c r="H99" s="225"/>
      <c r="I99" s="1013"/>
      <c r="J99" s="1013"/>
      <c r="K99" s="1028"/>
      <c r="L99" s="1035" t="str">
        <f t="shared" si="57"/>
        <v/>
      </c>
      <c r="S99" s="498"/>
      <c r="AJ99" s="498"/>
      <c r="AM99" s="498">
        <f t="shared" si="37"/>
        <v>0</v>
      </c>
      <c r="AN99" s="498">
        <f t="shared" si="38"/>
        <v>0</v>
      </c>
      <c r="AO99" s="498">
        <f t="shared" si="39"/>
        <v>0</v>
      </c>
      <c r="AP99" s="498">
        <f t="shared" si="59"/>
        <v>0</v>
      </c>
      <c r="AQ99" s="498">
        <f t="shared" si="54"/>
        <v>0</v>
      </c>
      <c r="AU99" s="498">
        <f t="shared" si="41"/>
        <v>0</v>
      </c>
      <c r="AV99" s="498">
        <f t="shared" si="42"/>
        <v>0</v>
      </c>
      <c r="AW99" s="498">
        <f t="shared" si="43"/>
        <v>0</v>
      </c>
      <c r="AX99" s="498">
        <f t="shared" si="44"/>
        <v>0</v>
      </c>
      <c r="AY99" s="498">
        <f t="shared" si="45"/>
        <v>0</v>
      </c>
      <c r="BB99" s="498" t="str">
        <f t="shared" si="46"/>
        <v/>
      </c>
      <c r="BC99" s="743" t="str">
        <f t="shared" si="47"/>
        <v/>
      </c>
      <c r="BD99" s="743" t="str">
        <f t="shared" si="48"/>
        <v/>
      </c>
      <c r="BE99" s="743" t="str">
        <f>IF(D99="","",VLOOKUP(D99,'General Basis'!$J$39:$K$46,2,0))</f>
        <v/>
      </c>
      <c r="BF99" s="744" t="str">
        <f>IF(D99="","",VLOOKUP(D99,'General Basis'!$J$39:$L$46,3,0))</f>
        <v/>
      </c>
      <c r="BG99" s="744" t="str">
        <f t="shared" si="55"/>
        <v/>
      </c>
      <c r="BH99" s="744" t="str">
        <f>IF(G99="","",IF(BF99="Abu Dhabi",IF(G99&lt;18,'General Basis'!$C$39,IF(G99&lt;41,'General Basis'!$C$40,IF(G99&lt;60,'General Basis'!$C$41,IF(G99&lt;65,'General Basis'!$C$42,'General Basis'!$C$43)))),IF(G99&lt;11,'General Basis'!$B$39,IF(G99&lt;18,'General Basis'!$B$40,IF(G99&lt;26,'General Basis'!$B$41,IF(G99&lt;31,'General Basis'!$B$42,IF(G99&lt;36,'General Basis'!$B$43,IF(G99&lt;41,'General Basis'!$B$44,IF(G99&lt;46,'General Basis'!$B$45,IF(G99&lt;51,'General Basis'!$B$46,IF(G99&lt;56,'General Basis'!$B$47,IF(G99&lt;60,'General Basis'!$B$48,IF(G99&lt;65,'General Basis'!$B$49,'General Basis'!$B$50)))))))))))))</f>
        <v/>
      </c>
      <c r="BI99" s="744" t="str">
        <f t="shared" si="49"/>
        <v/>
      </c>
      <c r="BJ99" s="747" t="str">
        <f t="shared" si="56"/>
        <v/>
      </c>
      <c r="BK99" s="498" t="str">
        <f t="shared" si="50"/>
        <v/>
      </c>
      <c r="BL99" s="498" t="str">
        <f t="shared" si="51"/>
        <v/>
      </c>
    </row>
    <row r="100" spans="1:64" x14ac:dyDescent="0.25">
      <c r="A100" s="762">
        <f t="shared" si="52"/>
        <v>95</v>
      </c>
      <c r="B100" s="229"/>
      <c r="C100" s="223"/>
      <c r="D100" s="224"/>
      <c r="E100" s="225"/>
      <c r="F100" s="1036" t="str">
        <f t="shared" si="58"/>
        <v/>
      </c>
      <c r="G100" s="1037" t="str">
        <f t="shared" si="53"/>
        <v/>
      </c>
      <c r="H100" s="225"/>
      <c r="I100" s="1013"/>
      <c r="J100" s="1013"/>
      <c r="K100" s="1028"/>
      <c r="L100" s="1035" t="str">
        <f t="shared" si="57"/>
        <v/>
      </c>
      <c r="S100" s="498"/>
      <c r="AJ100" s="498"/>
      <c r="AM100" s="498">
        <f t="shared" si="37"/>
        <v>0</v>
      </c>
      <c r="AN100" s="498">
        <f t="shared" si="38"/>
        <v>0</v>
      </c>
      <c r="AO100" s="498">
        <f t="shared" si="39"/>
        <v>0</v>
      </c>
      <c r="AP100" s="498">
        <f t="shared" si="59"/>
        <v>0</v>
      </c>
      <c r="AQ100" s="498">
        <f t="shared" si="54"/>
        <v>0</v>
      </c>
      <c r="AU100" s="498">
        <f t="shared" si="41"/>
        <v>0</v>
      </c>
      <c r="AV100" s="498">
        <f t="shared" si="42"/>
        <v>0</v>
      </c>
      <c r="AW100" s="498">
        <f t="shared" si="43"/>
        <v>0</v>
      </c>
      <c r="AX100" s="498">
        <f t="shared" si="44"/>
        <v>0</v>
      </c>
      <c r="AY100" s="498">
        <f t="shared" si="45"/>
        <v>0</v>
      </c>
      <c r="BB100" s="498" t="str">
        <f t="shared" si="46"/>
        <v/>
      </c>
      <c r="BC100" s="743" t="str">
        <f t="shared" si="47"/>
        <v/>
      </c>
      <c r="BD100" s="743" t="str">
        <f t="shared" si="48"/>
        <v/>
      </c>
      <c r="BE100" s="743" t="str">
        <f>IF(D100="","",VLOOKUP(D100,'General Basis'!$J$39:$K$46,2,0))</f>
        <v/>
      </c>
      <c r="BF100" s="744" t="str">
        <f>IF(D100="","",VLOOKUP(D100,'General Basis'!$J$39:$L$46,3,0))</f>
        <v/>
      </c>
      <c r="BG100" s="744" t="str">
        <f t="shared" si="55"/>
        <v/>
      </c>
      <c r="BH100" s="744" t="str">
        <f>IF(G100="","",IF(BF100="Abu Dhabi",IF(G100&lt;18,'General Basis'!$C$39,IF(G100&lt;41,'General Basis'!$C$40,IF(G100&lt;60,'General Basis'!$C$41,IF(G100&lt;65,'General Basis'!$C$42,'General Basis'!$C$43)))),IF(G100&lt;11,'General Basis'!$B$39,IF(G100&lt;18,'General Basis'!$B$40,IF(G100&lt;26,'General Basis'!$B$41,IF(G100&lt;31,'General Basis'!$B$42,IF(G100&lt;36,'General Basis'!$B$43,IF(G100&lt;41,'General Basis'!$B$44,IF(G100&lt;46,'General Basis'!$B$45,IF(G100&lt;51,'General Basis'!$B$46,IF(G100&lt;56,'General Basis'!$B$47,IF(G100&lt;60,'General Basis'!$B$48,IF(G100&lt;65,'General Basis'!$B$49,'General Basis'!$B$50)))))))))))))</f>
        <v/>
      </c>
      <c r="BI100" s="744" t="str">
        <f t="shared" si="49"/>
        <v/>
      </c>
      <c r="BJ100" s="747" t="str">
        <f t="shared" si="56"/>
        <v/>
      </c>
      <c r="BK100" s="498" t="str">
        <f t="shared" si="50"/>
        <v/>
      </c>
      <c r="BL100" s="498" t="str">
        <f t="shared" si="51"/>
        <v/>
      </c>
    </row>
    <row r="101" spans="1:64" x14ac:dyDescent="0.25">
      <c r="A101" s="762">
        <f t="shared" si="52"/>
        <v>96</v>
      </c>
      <c r="B101" s="229"/>
      <c r="C101" s="223"/>
      <c r="D101" s="224"/>
      <c r="E101" s="225"/>
      <c r="F101" s="1036" t="str">
        <f t="shared" si="58"/>
        <v/>
      </c>
      <c r="G101" s="1037" t="str">
        <f t="shared" si="53"/>
        <v/>
      </c>
      <c r="H101" s="225"/>
      <c r="I101" s="1013"/>
      <c r="J101" s="1013"/>
      <c r="K101" s="1028"/>
      <c r="L101" s="1035" t="str">
        <f t="shared" si="57"/>
        <v/>
      </c>
      <c r="S101" s="498"/>
      <c r="AJ101" s="498"/>
      <c r="AM101" s="498">
        <f t="shared" si="37"/>
        <v>0</v>
      </c>
      <c r="AN101" s="498">
        <f t="shared" si="38"/>
        <v>0</v>
      </c>
      <c r="AO101" s="498">
        <f t="shared" si="39"/>
        <v>0</v>
      </c>
      <c r="AP101" s="498">
        <f t="shared" si="59"/>
        <v>0</v>
      </c>
      <c r="AQ101" s="498">
        <f t="shared" si="54"/>
        <v>0</v>
      </c>
      <c r="AU101" s="498">
        <f t="shared" si="41"/>
        <v>0</v>
      </c>
      <c r="AV101" s="498">
        <f t="shared" si="42"/>
        <v>0</v>
      </c>
      <c r="AW101" s="498">
        <f t="shared" si="43"/>
        <v>0</v>
      </c>
      <c r="AX101" s="498">
        <f t="shared" si="44"/>
        <v>0</v>
      </c>
      <c r="AY101" s="498">
        <f t="shared" si="45"/>
        <v>0</v>
      </c>
      <c r="BB101" s="498" t="str">
        <f t="shared" si="46"/>
        <v/>
      </c>
      <c r="BC101" s="743" t="str">
        <f t="shared" si="47"/>
        <v/>
      </c>
      <c r="BD101" s="743" t="str">
        <f t="shared" si="48"/>
        <v/>
      </c>
      <c r="BE101" s="743" t="str">
        <f>IF(D101="","",VLOOKUP(D101,'General Basis'!$J$39:$K$46,2,0))</f>
        <v/>
      </c>
      <c r="BF101" s="744" t="str">
        <f>IF(D101="","",VLOOKUP(D101,'General Basis'!$J$39:$L$46,3,0))</f>
        <v/>
      </c>
      <c r="BG101" s="744" t="str">
        <f t="shared" si="55"/>
        <v/>
      </c>
      <c r="BH101" s="744" t="str">
        <f>IF(G101="","",IF(BF101="Abu Dhabi",IF(G101&lt;18,'General Basis'!$C$39,IF(G101&lt;41,'General Basis'!$C$40,IF(G101&lt;60,'General Basis'!$C$41,IF(G101&lt;65,'General Basis'!$C$42,'General Basis'!$C$43)))),IF(G101&lt;11,'General Basis'!$B$39,IF(G101&lt;18,'General Basis'!$B$40,IF(G101&lt;26,'General Basis'!$B$41,IF(G101&lt;31,'General Basis'!$B$42,IF(G101&lt;36,'General Basis'!$B$43,IF(G101&lt;41,'General Basis'!$B$44,IF(G101&lt;46,'General Basis'!$B$45,IF(G101&lt;51,'General Basis'!$B$46,IF(G101&lt;56,'General Basis'!$B$47,IF(G101&lt;60,'General Basis'!$B$48,IF(G101&lt;65,'General Basis'!$B$49,'General Basis'!$B$50)))))))))))))</f>
        <v/>
      </c>
      <c r="BI101" s="744" t="str">
        <f t="shared" si="49"/>
        <v/>
      </c>
      <c r="BJ101" s="747" t="str">
        <f t="shared" si="56"/>
        <v/>
      </c>
      <c r="BK101" s="498" t="str">
        <f t="shared" si="50"/>
        <v/>
      </c>
      <c r="BL101" s="498" t="str">
        <f t="shared" si="51"/>
        <v/>
      </c>
    </row>
    <row r="102" spans="1:64" x14ac:dyDescent="0.25">
      <c r="A102" s="762">
        <f t="shared" si="52"/>
        <v>97</v>
      </c>
      <c r="B102" s="229"/>
      <c r="C102" s="223"/>
      <c r="D102" s="224"/>
      <c r="E102" s="225"/>
      <c r="F102" s="1036" t="str">
        <f t="shared" si="58"/>
        <v/>
      </c>
      <c r="G102" s="1037" t="str">
        <f t="shared" si="53"/>
        <v/>
      </c>
      <c r="H102" s="225"/>
      <c r="I102" s="1013"/>
      <c r="J102" s="1013"/>
      <c r="K102" s="1028"/>
      <c r="L102" s="1035" t="str">
        <f t="shared" si="57"/>
        <v/>
      </c>
      <c r="S102" s="498"/>
      <c r="AJ102" s="498"/>
      <c r="AM102" s="498">
        <f t="shared" si="37"/>
        <v>0</v>
      </c>
      <c r="AN102" s="498">
        <f t="shared" si="38"/>
        <v>0</v>
      </c>
      <c r="AO102" s="498">
        <f t="shared" si="39"/>
        <v>0</v>
      </c>
      <c r="AP102" s="498">
        <f t="shared" si="59"/>
        <v>0</v>
      </c>
      <c r="AQ102" s="498">
        <f t="shared" si="54"/>
        <v>0</v>
      </c>
      <c r="AU102" s="498">
        <f t="shared" si="41"/>
        <v>0</v>
      </c>
      <c r="AV102" s="498">
        <f t="shared" si="42"/>
        <v>0</v>
      </c>
      <c r="AW102" s="498">
        <f t="shared" si="43"/>
        <v>0</v>
      </c>
      <c r="AX102" s="498">
        <f t="shared" si="44"/>
        <v>0</v>
      </c>
      <c r="AY102" s="498">
        <f t="shared" si="45"/>
        <v>0</v>
      </c>
      <c r="BB102" s="498" t="str">
        <f t="shared" si="46"/>
        <v/>
      </c>
      <c r="BC102" s="743" t="str">
        <f t="shared" si="47"/>
        <v/>
      </c>
      <c r="BD102" s="743" t="str">
        <f t="shared" si="48"/>
        <v/>
      </c>
      <c r="BE102" s="743" t="str">
        <f>IF(D102="","",VLOOKUP(D102,'General Basis'!$J$39:$K$46,2,0))</f>
        <v/>
      </c>
      <c r="BF102" s="744" t="str">
        <f>IF(D102="","",VLOOKUP(D102,'General Basis'!$J$39:$L$46,3,0))</f>
        <v/>
      </c>
      <c r="BG102" s="744" t="str">
        <f t="shared" si="55"/>
        <v/>
      </c>
      <c r="BH102" s="744" t="str">
        <f>IF(G102="","",IF(BF102="Abu Dhabi",IF(G102&lt;18,'General Basis'!$C$39,IF(G102&lt;41,'General Basis'!$C$40,IF(G102&lt;60,'General Basis'!$C$41,IF(G102&lt;65,'General Basis'!$C$42,'General Basis'!$C$43)))),IF(G102&lt;11,'General Basis'!$B$39,IF(G102&lt;18,'General Basis'!$B$40,IF(G102&lt;26,'General Basis'!$B$41,IF(G102&lt;31,'General Basis'!$B$42,IF(G102&lt;36,'General Basis'!$B$43,IF(G102&lt;41,'General Basis'!$B$44,IF(G102&lt;46,'General Basis'!$B$45,IF(G102&lt;51,'General Basis'!$B$46,IF(G102&lt;56,'General Basis'!$B$47,IF(G102&lt;60,'General Basis'!$B$48,IF(G102&lt;65,'General Basis'!$B$49,'General Basis'!$B$50)))))))))))))</f>
        <v/>
      </c>
      <c r="BI102" s="744" t="str">
        <f t="shared" si="49"/>
        <v/>
      </c>
      <c r="BJ102" s="747" t="str">
        <f t="shared" si="56"/>
        <v/>
      </c>
      <c r="BK102" s="498" t="str">
        <f t="shared" si="50"/>
        <v/>
      </c>
      <c r="BL102" s="498" t="str">
        <f t="shared" si="51"/>
        <v/>
      </c>
    </row>
    <row r="103" spans="1:64" x14ac:dyDescent="0.25">
      <c r="A103" s="762">
        <f t="shared" si="52"/>
        <v>98</v>
      </c>
      <c r="B103" s="229"/>
      <c r="C103" s="223"/>
      <c r="D103" s="224"/>
      <c r="E103" s="225"/>
      <c r="F103" s="1036" t="str">
        <f t="shared" si="58"/>
        <v/>
      </c>
      <c r="G103" s="1037" t="str">
        <f t="shared" si="53"/>
        <v/>
      </c>
      <c r="H103" s="225"/>
      <c r="I103" s="1013"/>
      <c r="J103" s="1013"/>
      <c r="K103" s="1028"/>
      <c r="L103" s="1035" t="str">
        <f t="shared" si="57"/>
        <v/>
      </c>
      <c r="S103" s="498"/>
      <c r="AJ103" s="498"/>
      <c r="AM103" s="498">
        <f t="shared" si="37"/>
        <v>0</v>
      </c>
      <c r="AN103" s="498">
        <f t="shared" si="38"/>
        <v>0</v>
      </c>
      <c r="AO103" s="498">
        <f t="shared" si="39"/>
        <v>0</v>
      </c>
      <c r="AP103" s="498">
        <f t="shared" si="59"/>
        <v>0</v>
      </c>
      <c r="AQ103" s="498">
        <f t="shared" si="54"/>
        <v>0</v>
      </c>
      <c r="AU103" s="498">
        <f t="shared" si="41"/>
        <v>0</v>
      </c>
      <c r="AV103" s="498">
        <f t="shared" si="42"/>
        <v>0</v>
      </c>
      <c r="AW103" s="498">
        <f t="shared" si="43"/>
        <v>0</v>
      </c>
      <c r="AX103" s="498">
        <f t="shared" si="44"/>
        <v>0</v>
      </c>
      <c r="AY103" s="498">
        <f t="shared" si="45"/>
        <v>0</v>
      </c>
      <c r="BB103" s="498" t="str">
        <f t="shared" si="46"/>
        <v/>
      </c>
      <c r="BC103" s="743" t="str">
        <f t="shared" si="47"/>
        <v/>
      </c>
      <c r="BD103" s="743" t="str">
        <f t="shared" si="48"/>
        <v/>
      </c>
      <c r="BE103" s="743" t="str">
        <f>IF(D103="","",VLOOKUP(D103,'General Basis'!$J$39:$K$46,2,0))</f>
        <v/>
      </c>
      <c r="BF103" s="744" t="str">
        <f>IF(D103="","",VLOOKUP(D103,'General Basis'!$J$39:$L$46,3,0))</f>
        <v/>
      </c>
      <c r="BG103" s="744" t="str">
        <f t="shared" si="55"/>
        <v/>
      </c>
      <c r="BH103" s="744" t="str">
        <f>IF(G103="","",IF(BF103="Abu Dhabi",IF(G103&lt;18,'General Basis'!$C$39,IF(G103&lt;41,'General Basis'!$C$40,IF(G103&lt;60,'General Basis'!$C$41,IF(G103&lt;65,'General Basis'!$C$42,'General Basis'!$C$43)))),IF(G103&lt;11,'General Basis'!$B$39,IF(G103&lt;18,'General Basis'!$B$40,IF(G103&lt;26,'General Basis'!$B$41,IF(G103&lt;31,'General Basis'!$B$42,IF(G103&lt;36,'General Basis'!$B$43,IF(G103&lt;41,'General Basis'!$B$44,IF(G103&lt;46,'General Basis'!$B$45,IF(G103&lt;51,'General Basis'!$B$46,IF(G103&lt;56,'General Basis'!$B$47,IF(G103&lt;60,'General Basis'!$B$48,IF(G103&lt;65,'General Basis'!$B$49,'General Basis'!$B$50)))))))))))))</f>
        <v/>
      </c>
      <c r="BI103" s="744" t="str">
        <f t="shared" si="49"/>
        <v/>
      </c>
      <c r="BJ103" s="747" t="str">
        <f t="shared" si="56"/>
        <v/>
      </c>
      <c r="BK103" s="498" t="str">
        <f t="shared" si="50"/>
        <v/>
      </c>
      <c r="BL103" s="498" t="str">
        <f t="shared" si="51"/>
        <v/>
      </c>
    </row>
    <row r="104" spans="1:64" x14ac:dyDescent="0.25">
      <c r="A104" s="762">
        <f t="shared" si="52"/>
        <v>99</v>
      </c>
      <c r="B104" s="229"/>
      <c r="C104" s="223"/>
      <c r="D104" s="224"/>
      <c r="E104" s="225"/>
      <c r="F104" s="1036" t="str">
        <f t="shared" si="58"/>
        <v/>
      </c>
      <c r="G104" s="1037" t="str">
        <f t="shared" si="53"/>
        <v/>
      </c>
      <c r="H104" s="225"/>
      <c r="I104" s="1013"/>
      <c r="J104" s="1013"/>
      <c r="K104" s="1028"/>
      <c r="L104" s="1035" t="str">
        <f t="shared" si="57"/>
        <v/>
      </c>
      <c r="S104" s="498"/>
      <c r="AJ104" s="498"/>
      <c r="AM104" s="498">
        <f t="shared" si="37"/>
        <v>0</v>
      </c>
      <c r="AN104" s="498">
        <f t="shared" si="38"/>
        <v>0</v>
      </c>
      <c r="AO104" s="498">
        <f t="shared" si="39"/>
        <v>0</v>
      </c>
      <c r="AP104" s="498">
        <f t="shared" si="59"/>
        <v>0</v>
      </c>
      <c r="AQ104" s="498">
        <f t="shared" si="54"/>
        <v>0</v>
      </c>
      <c r="AU104" s="498">
        <f t="shared" si="41"/>
        <v>0</v>
      </c>
      <c r="AV104" s="498">
        <f t="shared" si="42"/>
        <v>0</v>
      </c>
      <c r="AW104" s="498">
        <f t="shared" si="43"/>
        <v>0</v>
      </c>
      <c r="AX104" s="498">
        <f t="shared" si="44"/>
        <v>0</v>
      </c>
      <c r="AY104" s="498">
        <f t="shared" si="45"/>
        <v>0</v>
      </c>
      <c r="BB104" s="498" t="str">
        <f t="shared" si="46"/>
        <v/>
      </c>
      <c r="BC104" s="743" t="str">
        <f t="shared" si="47"/>
        <v/>
      </c>
      <c r="BD104" s="743" t="str">
        <f t="shared" si="48"/>
        <v/>
      </c>
      <c r="BE104" s="743" t="str">
        <f>IF(D104="","",VLOOKUP(D104,'General Basis'!$J$39:$K$46,2,0))</f>
        <v/>
      </c>
      <c r="BF104" s="744" t="str">
        <f>IF(D104="","",VLOOKUP(D104,'General Basis'!$J$39:$L$46,3,0))</f>
        <v/>
      </c>
      <c r="BG104" s="744" t="str">
        <f t="shared" si="55"/>
        <v/>
      </c>
      <c r="BH104" s="744" t="str">
        <f>IF(G104="","",IF(BF104="Abu Dhabi",IF(G104&lt;18,'General Basis'!$C$39,IF(G104&lt;41,'General Basis'!$C$40,IF(G104&lt;60,'General Basis'!$C$41,IF(G104&lt;65,'General Basis'!$C$42,'General Basis'!$C$43)))),IF(G104&lt;11,'General Basis'!$B$39,IF(G104&lt;18,'General Basis'!$B$40,IF(G104&lt;26,'General Basis'!$B$41,IF(G104&lt;31,'General Basis'!$B$42,IF(G104&lt;36,'General Basis'!$B$43,IF(G104&lt;41,'General Basis'!$B$44,IF(G104&lt;46,'General Basis'!$B$45,IF(G104&lt;51,'General Basis'!$B$46,IF(G104&lt;56,'General Basis'!$B$47,IF(G104&lt;60,'General Basis'!$B$48,IF(G104&lt;65,'General Basis'!$B$49,'General Basis'!$B$50)))))))))))))</f>
        <v/>
      </c>
      <c r="BI104" s="744" t="str">
        <f t="shared" si="49"/>
        <v/>
      </c>
      <c r="BJ104" s="747" t="str">
        <f t="shared" si="56"/>
        <v/>
      </c>
      <c r="BK104" s="498" t="str">
        <f t="shared" si="50"/>
        <v/>
      </c>
      <c r="BL104" s="498" t="str">
        <f t="shared" si="51"/>
        <v/>
      </c>
    </row>
    <row r="105" spans="1:64" x14ac:dyDescent="0.25">
      <c r="A105" s="762">
        <f t="shared" si="52"/>
        <v>100</v>
      </c>
      <c r="B105" s="229"/>
      <c r="C105" s="223"/>
      <c r="D105" s="224"/>
      <c r="E105" s="225"/>
      <c r="F105" s="1036" t="str">
        <f t="shared" si="58"/>
        <v/>
      </c>
      <c r="G105" s="1037" t="str">
        <f t="shared" si="53"/>
        <v/>
      </c>
      <c r="H105" s="225"/>
      <c r="I105" s="1013"/>
      <c r="J105" s="1013"/>
      <c r="K105" s="1028"/>
      <c r="L105" s="1035" t="str">
        <f t="shared" si="57"/>
        <v/>
      </c>
      <c r="S105" s="498"/>
      <c r="AJ105" s="498"/>
      <c r="AM105" s="498">
        <f t="shared" si="37"/>
        <v>0</v>
      </c>
      <c r="AN105" s="498">
        <f t="shared" si="38"/>
        <v>0</v>
      </c>
      <c r="AO105" s="498">
        <f t="shared" si="39"/>
        <v>0</v>
      </c>
      <c r="AP105" s="498">
        <f t="shared" si="59"/>
        <v>0</v>
      </c>
      <c r="AQ105" s="498">
        <f t="shared" si="54"/>
        <v>0</v>
      </c>
      <c r="AU105" s="498">
        <f t="shared" si="41"/>
        <v>0</v>
      </c>
      <c r="AV105" s="498">
        <f t="shared" si="42"/>
        <v>0</v>
      </c>
      <c r="AW105" s="498">
        <f t="shared" si="43"/>
        <v>0</v>
      </c>
      <c r="AX105" s="498">
        <f t="shared" si="44"/>
        <v>0</v>
      </c>
      <c r="AY105" s="498">
        <f t="shared" si="45"/>
        <v>0</v>
      </c>
      <c r="BB105" s="498" t="str">
        <f t="shared" si="46"/>
        <v/>
      </c>
      <c r="BC105" s="743" t="str">
        <f t="shared" si="47"/>
        <v/>
      </c>
      <c r="BD105" s="743" t="str">
        <f t="shared" si="48"/>
        <v/>
      </c>
      <c r="BE105" s="743" t="str">
        <f>IF(D105="","",VLOOKUP(D105,'General Basis'!$J$39:$K$46,2,0))</f>
        <v/>
      </c>
      <c r="BF105" s="744" t="str">
        <f>IF(D105="","",VLOOKUP(D105,'General Basis'!$J$39:$L$46,3,0))</f>
        <v/>
      </c>
      <c r="BG105" s="744" t="str">
        <f t="shared" si="55"/>
        <v/>
      </c>
      <c r="BH105" s="744" t="str">
        <f>IF(G105="","",IF(BF105="Abu Dhabi",IF(G105&lt;18,'General Basis'!$C$39,IF(G105&lt;41,'General Basis'!$C$40,IF(G105&lt;60,'General Basis'!$C$41,IF(G105&lt;65,'General Basis'!$C$42,'General Basis'!$C$43)))),IF(G105&lt;11,'General Basis'!$B$39,IF(G105&lt;18,'General Basis'!$B$40,IF(G105&lt;26,'General Basis'!$B$41,IF(G105&lt;31,'General Basis'!$B$42,IF(G105&lt;36,'General Basis'!$B$43,IF(G105&lt;41,'General Basis'!$B$44,IF(G105&lt;46,'General Basis'!$B$45,IF(G105&lt;51,'General Basis'!$B$46,IF(G105&lt;56,'General Basis'!$B$47,IF(G105&lt;60,'General Basis'!$B$48,IF(G105&lt;65,'General Basis'!$B$49,'General Basis'!$B$50)))))))))))))</f>
        <v/>
      </c>
      <c r="BI105" s="744" t="str">
        <f t="shared" si="49"/>
        <v/>
      </c>
      <c r="BJ105" s="747" t="str">
        <f t="shared" si="56"/>
        <v/>
      </c>
      <c r="BK105" s="498" t="str">
        <f t="shared" si="50"/>
        <v/>
      </c>
      <c r="BL105" s="498" t="str">
        <f t="shared" si="51"/>
        <v/>
      </c>
    </row>
    <row r="106" spans="1:64" x14ac:dyDescent="0.25">
      <c r="A106" s="762">
        <f t="shared" si="52"/>
        <v>101</v>
      </c>
      <c r="B106" s="229"/>
      <c r="C106" s="223"/>
      <c r="D106" s="224"/>
      <c r="E106" s="225"/>
      <c r="F106" s="1036" t="str">
        <f t="shared" si="58"/>
        <v/>
      </c>
      <c r="G106" s="1037" t="str">
        <f t="shared" si="53"/>
        <v/>
      </c>
      <c r="H106" s="225"/>
      <c r="I106" s="1013"/>
      <c r="J106" s="1013"/>
      <c r="K106" s="1028"/>
      <c r="L106" s="1035" t="str">
        <f t="shared" si="57"/>
        <v/>
      </c>
      <c r="S106" s="498"/>
      <c r="AJ106" s="498"/>
      <c r="AM106" s="498">
        <f t="shared" si="37"/>
        <v>0</v>
      </c>
      <c r="AN106" s="498">
        <f t="shared" si="38"/>
        <v>0</v>
      </c>
      <c r="AO106" s="498">
        <f t="shared" si="39"/>
        <v>0</v>
      </c>
      <c r="AP106" s="498">
        <f t="shared" si="59"/>
        <v>0</v>
      </c>
      <c r="AQ106" s="498">
        <f t="shared" si="54"/>
        <v>0</v>
      </c>
      <c r="AU106" s="498">
        <f t="shared" si="41"/>
        <v>0</v>
      </c>
      <c r="AV106" s="498">
        <f t="shared" si="42"/>
        <v>0</v>
      </c>
      <c r="AW106" s="498">
        <f t="shared" si="43"/>
        <v>0</v>
      </c>
      <c r="AX106" s="498">
        <f t="shared" si="44"/>
        <v>0</v>
      </c>
      <c r="AY106" s="498">
        <f t="shared" si="45"/>
        <v>0</v>
      </c>
      <c r="BB106" s="498" t="str">
        <f t="shared" si="46"/>
        <v/>
      </c>
      <c r="BC106" s="743" t="str">
        <f t="shared" si="47"/>
        <v/>
      </c>
      <c r="BD106" s="743" t="str">
        <f t="shared" si="48"/>
        <v/>
      </c>
      <c r="BE106" s="743" t="str">
        <f>IF(D106="","",VLOOKUP(D106,'General Basis'!$J$39:$K$46,2,0))</f>
        <v/>
      </c>
      <c r="BF106" s="744" t="str">
        <f>IF(D106="","",VLOOKUP(D106,'General Basis'!$J$39:$L$46,3,0))</f>
        <v/>
      </c>
      <c r="BG106" s="744" t="str">
        <f t="shared" si="55"/>
        <v/>
      </c>
      <c r="BH106" s="744" t="str">
        <f>IF(G106="","",IF(BF106="Abu Dhabi",IF(G106&lt;18,'General Basis'!$C$39,IF(G106&lt;41,'General Basis'!$C$40,IF(G106&lt;60,'General Basis'!$C$41,IF(G106&lt;65,'General Basis'!$C$42,'General Basis'!$C$43)))),IF(G106&lt;11,'General Basis'!$B$39,IF(G106&lt;18,'General Basis'!$B$40,IF(G106&lt;26,'General Basis'!$B$41,IF(G106&lt;31,'General Basis'!$B$42,IF(G106&lt;36,'General Basis'!$B$43,IF(G106&lt;41,'General Basis'!$B$44,IF(G106&lt;46,'General Basis'!$B$45,IF(G106&lt;51,'General Basis'!$B$46,IF(G106&lt;56,'General Basis'!$B$47,IF(G106&lt;60,'General Basis'!$B$48,IF(G106&lt;65,'General Basis'!$B$49,'General Basis'!$B$50)))))))))))))</f>
        <v/>
      </c>
      <c r="BI106" s="744" t="str">
        <f t="shared" si="49"/>
        <v/>
      </c>
      <c r="BJ106" s="747" t="str">
        <f t="shared" si="56"/>
        <v/>
      </c>
      <c r="BK106" s="498" t="str">
        <f t="shared" si="50"/>
        <v/>
      </c>
      <c r="BL106" s="498" t="str">
        <f t="shared" si="51"/>
        <v/>
      </c>
    </row>
    <row r="107" spans="1:64" x14ac:dyDescent="0.25">
      <c r="A107" s="762">
        <f t="shared" si="52"/>
        <v>102</v>
      </c>
      <c r="B107" s="229"/>
      <c r="C107" s="223"/>
      <c r="D107" s="224"/>
      <c r="E107" s="225"/>
      <c r="F107" s="1036" t="str">
        <f t="shared" si="58"/>
        <v/>
      </c>
      <c r="G107" s="1037" t="str">
        <f t="shared" si="53"/>
        <v/>
      </c>
      <c r="H107" s="225"/>
      <c r="I107" s="1013"/>
      <c r="J107" s="1013"/>
      <c r="K107" s="1028"/>
      <c r="L107" s="1035" t="str">
        <f t="shared" si="57"/>
        <v/>
      </c>
      <c r="S107" s="498"/>
      <c r="AJ107" s="498"/>
      <c r="AM107" s="498">
        <f t="shared" si="37"/>
        <v>0</v>
      </c>
      <c r="AN107" s="498">
        <f t="shared" si="38"/>
        <v>0</v>
      </c>
      <c r="AO107" s="498">
        <f t="shared" si="39"/>
        <v>0</v>
      </c>
      <c r="AP107" s="498">
        <f t="shared" si="59"/>
        <v>0</v>
      </c>
      <c r="AQ107" s="498">
        <f t="shared" si="54"/>
        <v>0</v>
      </c>
      <c r="AU107" s="498">
        <f t="shared" si="41"/>
        <v>0</v>
      </c>
      <c r="AV107" s="498">
        <f t="shared" si="42"/>
        <v>0</v>
      </c>
      <c r="AW107" s="498">
        <f t="shared" si="43"/>
        <v>0</v>
      </c>
      <c r="AX107" s="498">
        <f t="shared" si="44"/>
        <v>0</v>
      </c>
      <c r="AY107" s="498">
        <f t="shared" si="45"/>
        <v>0</v>
      </c>
      <c r="BB107" s="498" t="str">
        <f t="shared" si="46"/>
        <v/>
      </c>
      <c r="BC107" s="743" t="str">
        <f t="shared" si="47"/>
        <v/>
      </c>
      <c r="BD107" s="743" t="str">
        <f t="shared" si="48"/>
        <v/>
      </c>
      <c r="BE107" s="743" t="str">
        <f>IF(D107="","",VLOOKUP(D107,'General Basis'!$J$39:$K$46,2,0))</f>
        <v/>
      </c>
      <c r="BF107" s="744" t="str">
        <f>IF(D107="","",VLOOKUP(D107,'General Basis'!$J$39:$L$46,3,0))</f>
        <v/>
      </c>
      <c r="BG107" s="744" t="str">
        <f t="shared" si="55"/>
        <v/>
      </c>
      <c r="BH107" s="744" t="str">
        <f>IF(G107="","",IF(BF107="Abu Dhabi",IF(G107&lt;18,'General Basis'!$C$39,IF(G107&lt;41,'General Basis'!$C$40,IF(G107&lt;60,'General Basis'!$C$41,IF(G107&lt;65,'General Basis'!$C$42,'General Basis'!$C$43)))),IF(G107&lt;11,'General Basis'!$B$39,IF(G107&lt;18,'General Basis'!$B$40,IF(G107&lt;26,'General Basis'!$B$41,IF(G107&lt;31,'General Basis'!$B$42,IF(G107&lt;36,'General Basis'!$B$43,IF(G107&lt;41,'General Basis'!$B$44,IF(G107&lt;46,'General Basis'!$B$45,IF(G107&lt;51,'General Basis'!$B$46,IF(G107&lt;56,'General Basis'!$B$47,IF(G107&lt;60,'General Basis'!$B$48,IF(G107&lt;65,'General Basis'!$B$49,'General Basis'!$B$50)))))))))))))</f>
        <v/>
      </c>
      <c r="BI107" s="744" t="str">
        <f t="shared" si="49"/>
        <v/>
      </c>
      <c r="BJ107" s="747" t="str">
        <f t="shared" si="56"/>
        <v/>
      </c>
      <c r="BK107" s="498" t="str">
        <f t="shared" si="50"/>
        <v/>
      </c>
      <c r="BL107" s="498" t="str">
        <f t="shared" si="51"/>
        <v/>
      </c>
    </row>
    <row r="108" spans="1:64" x14ac:dyDescent="0.25">
      <c r="A108" s="762">
        <f t="shared" si="52"/>
        <v>103</v>
      </c>
      <c r="B108" s="229"/>
      <c r="C108" s="223"/>
      <c r="D108" s="224"/>
      <c r="E108" s="225"/>
      <c r="F108" s="1036" t="str">
        <f t="shared" si="58"/>
        <v/>
      </c>
      <c r="G108" s="1037" t="str">
        <f t="shared" si="53"/>
        <v/>
      </c>
      <c r="H108" s="225"/>
      <c r="I108" s="1013"/>
      <c r="J108" s="1013"/>
      <c r="K108" s="1028"/>
      <c r="L108" s="1035" t="str">
        <f t="shared" si="57"/>
        <v/>
      </c>
      <c r="S108" s="498"/>
      <c r="AJ108" s="498"/>
      <c r="AM108" s="498">
        <f t="shared" si="37"/>
        <v>0</v>
      </c>
      <c r="AN108" s="498">
        <f t="shared" si="38"/>
        <v>0</v>
      </c>
      <c r="AO108" s="498">
        <f t="shared" si="39"/>
        <v>0</v>
      </c>
      <c r="AP108" s="498">
        <f t="shared" si="59"/>
        <v>0</v>
      </c>
      <c r="AQ108" s="498">
        <f t="shared" si="54"/>
        <v>0</v>
      </c>
      <c r="AU108" s="498">
        <f t="shared" si="41"/>
        <v>0</v>
      </c>
      <c r="AV108" s="498">
        <f t="shared" si="42"/>
        <v>0</v>
      </c>
      <c r="AW108" s="498">
        <f t="shared" si="43"/>
        <v>0</v>
      </c>
      <c r="AX108" s="498">
        <f t="shared" si="44"/>
        <v>0</v>
      </c>
      <c r="AY108" s="498">
        <f t="shared" si="45"/>
        <v>0</v>
      </c>
      <c r="BB108" s="498" t="str">
        <f t="shared" si="46"/>
        <v/>
      </c>
      <c r="BC108" s="743" t="str">
        <f t="shared" si="47"/>
        <v/>
      </c>
      <c r="BD108" s="743" t="str">
        <f t="shared" si="48"/>
        <v/>
      </c>
      <c r="BE108" s="743" t="str">
        <f>IF(D108="","",VLOOKUP(D108,'General Basis'!$J$39:$K$46,2,0))</f>
        <v/>
      </c>
      <c r="BF108" s="744" t="str">
        <f>IF(D108="","",VLOOKUP(D108,'General Basis'!$J$39:$L$46,3,0))</f>
        <v/>
      </c>
      <c r="BG108" s="744" t="str">
        <f t="shared" si="55"/>
        <v/>
      </c>
      <c r="BH108" s="744" t="str">
        <f>IF(G108="","",IF(BF108="Abu Dhabi",IF(G108&lt;18,'General Basis'!$C$39,IF(G108&lt;41,'General Basis'!$C$40,IF(G108&lt;60,'General Basis'!$C$41,IF(G108&lt;65,'General Basis'!$C$42,'General Basis'!$C$43)))),IF(G108&lt;11,'General Basis'!$B$39,IF(G108&lt;18,'General Basis'!$B$40,IF(G108&lt;26,'General Basis'!$B$41,IF(G108&lt;31,'General Basis'!$B$42,IF(G108&lt;36,'General Basis'!$B$43,IF(G108&lt;41,'General Basis'!$B$44,IF(G108&lt;46,'General Basis'!$B$45,IF(G108&lt;51,'General Basis'!$B$46,IF(G108&lt;56,'General Basis'!$B$47,IF(G108&lt;60,'General Basis'!$B$48,IF(G108&lt;65,'General Basis'!$B$49,'General Basis'!$B$50)))))))))))))</f>
        <v/>
      </c>
      <c r="BI108" s="744" t="str">
        <f t="shared" si="49"/>
        <v/>
      </c>
      <c r="BJ108" s="747" t="str">
        <f t="shared" si="56"/>
        <v/>
      </c>
      <c r="BK108" s="498" t="str">
        <f t="shared" si="50"/>
        <v/>
      </c>
      <c r="BL108" s="498" t="str">
        <f t="shared" si="51"/>
        <v/>
      </c>
    </row>
    <row r="109" spans="1:64" x14ac:dyDescent="0.25">
      <c r="A109" s="762">
        <f t="shared" si="52"/>
        <v>104</v>
      </c>
      <c r="B109" s="229"/>
      <c r="C109" s="223"/>
      <c r="D109" s="224"/>
      <c r="E109" s="225"/>
      <c r="F109" s="1036" t="str">
        <f t="shared" si="58"/>
        <v/>
      </c>
      <c r="G109" s="1037" t="str">
        <f t="shared" si="53"/>
        <v/>
      </c>
      <c r="H109" s="225"/>
      <c r="I109" s="1013"/>
      <c r="J109" s="1013"/>
      <c r="K109" s="1028"/>
      <c r="L109" s="1035" t="str">
        <f t="shared" si="57"/>
        <v/>
      </c>
      <c r="S109" s="498"/>
      <c r="AJ109" s="498"/>
      <c r="AM109" s="498">
        <f t="shared" si="37"/>
        <v>0</v>
      </c>
      <c r="AN109" s="498">
        <f t="shared" si="38"/>
        <v>0</v>
      </c>
      <c r="AO109" s="498">
        <f t="shared" si="39"/>
        <v>0</v>
      </c>
      <c r="AP109" s="498">
        <f t="shared" si="59"/>
        <v>0</v>
      </c>
      <c r="AQ109" s="498">
        <f t="shared" si="54"/>
        <v>0</v>
      </c>
      <c r="AU109" s="498">
        <f t="shared" si="41"/>
        <v>0</v>
      </c>
      <c r="AV109" s="498">
        <f t="shared" si="42"/>
        <v>0</v>
      </c>
      <c r="AW109" s="498">
        <f t="shared" si="43"/>
        <v>0</v>
      </c>
      <c r="AX109" s="498">
        <f t="shared" si="44"/>
        <v>0</v>
      </c>
      <c r="AY109" s="498">
        <f t="shared" si="45"/>
        <v>0</v>
      </c>
      <c r="BB109" s="498" t="str">
        <f t="shared" si="46"/>
        <v/>
      </c>
      <c r="BC109" s="743" t="str">
        <f t="shared" si="47"/>
        <v/>
      </c>
      <c r="BD109" s="743" t="str">
        <f t="shared" si="48"/>
        <v/>
      </c>
      <c r="BE109" s="743" t="str">
        <f>IF(D109="","",VLOOKUP(D109,'General Basis'!$J$39:$K$46,2,0))</f>
        <v/>
      </c>
      <c r="BF109" s="744" t="str">
        <f>IF(D109="","",VLOOKUP(D109,'General Basis'!$J$39:$L$46,3,0))</f>
        <v/>
      </c>
      <c r="BG109" s="744" t="str">
        <f t="shared" si="55"/>
        <v/>
      </c>
      <c r="BH109" s="744" t="str">
        <f>IF(G109="","",IF(BF109="Abu Dhabi",IF(G109&lt;18,'General Basis'!$C$39,IF(G109&lt;41,'General Basis'!$C$40,IF(G109&lt;60,'General Basis'!$C$41,IF(G109&lt;65,'General Basis'!$C$42,'General Basis'!$C$43)))),IF(G109&lt;11,'General Basis'!$B$39,IF(G109&lt;18,'General Basis'!$B$40,IF(G109&lt;26,'General Basis'!$B$41,IF(G109&lt;31,'General Basis'!$B$42,IF(G109&lt;36,'General Basis'!$B$43,IF(G109&lt;41,'General Basis'!$B$44,IF(G109&lt;46,'General Basis'!$B$45,IF(G109&lt;51,'General Basis'!$B$46,IF(G109&lt;56,'General Basis'!$B$47,IF(G109&lt;60,'General Basis'!$B$48,IF(G109&lt;65,'General Basis'!$B$49,'General Basis'!$B$50)))))))))))))</f>
        <v/>
      </c>
      <c r="BI109" s="744" t="str">
        <f t="shared" si="49"/>
        <v/>
      </c>
      <c r="BJ109" s="747" t="str">
        <f t="shared" si="56"/>
        <v/>
      </c>
      <c r="BK109" s="498" t="str">
        <f t="shared" si="50"/>
        <v/>
      </c>
      <c r="BL109" s="498" t="str">
        <f t="shared" si="51"/>
        <v/>
      </c>
    </row>
    <row r="110" spans="1:64" x14ac:dyDescent="0.25">
      <c r="A110" s="762">
        <f t="shared" si="52"/>
        <v>105</v>
      </c>
      <c r="B110" s="229"/>
      <c r="C110" s="223"/>
      <c r="D110" s="224"/>
      <c r="E110" s="225"/>
      <c r="F110" s="1036" t="str">
        <f t="shared" si="58"/>
        <v/>
      </c>
      <c r="G110" s="1037" t="str">
        <f t="shared" si="53"/>
        <v/>
      </c>
      <c r="H110" s="225"/>
      <c r="I110" s="1013"/>
      <c r="J110" s="1013"/>
      <c r="K110" s="1028"/>
      <c r="L110" s="1035" t="str">
        <f t="shared" si="57"/>
        <v/>
      </c>
      <c r="S110" s="498"/>
      <c r="AJ110" s="498"/>
      <c r="AM110" s="498">
        <f t="shared" si="37"/>
        <v>0</v>
      </c>
      <c r="AN110" s="498">
        <f t="shared" si="38"/>
        <v>0</v>
      </c>
      <c r="AO110" s="498">
        <f t="shared" si="39"/>
        <v>0</v>
      </c>
      <c r="AP110" s="498">
        <f t="shared" si="59"/>
        <v>0</v>
      </c>
      <c r="AQ110" s="498">
        <f t="shared" si="54"/>
        <v>0</v>
      </c>
      <c r="AU110" s="498">
        <f t="shared" si="41"/>
        <v>0</v>
      </c>
      <c r="AV110" s="498">
        <f t="shared" si="42"/>
        <v>0</v>
      </c>
      <c r="AW110" s="498">
        <f t="shared" si="43"/>
        <v>0</v>
      </c>
      <c r="AX110" s="498">
        <f t="shared" si="44"/>
        <v>0</v>
      </c>
      <c r="AY110" s="498">
        <f t="shared" si="45"/>
        <v>0</v>
      </c>
      <c r="BB110" s="498" t="str">
        <f t="shared" si="46"/>
        <v/>
      </c>
      <c r="BC110" s="743" t="str">
        <f t="shared" si="47"/>
        <v/>
      </c>
      <c r="BD110" s="743" t="str">
        <f t="shared" si="48"/>
        <v/>
      </c>
      <c r="BE110" s="743" t="str">
        <f>IF(D110="","",VLOOKUP(D110,'General Basis'!$J$39:$K$46,2,0))</f>
        <v/>
      </c>
      <c r="BF110" s="744" t="str">
        <f>IF(D110="","",VLOOKUP(D110,'General Basis'!$J$39:$L$46,3,0))</f>
        <v/>
      </c>
      <c r="BG110" s="744" t="str">
        <f t="shared" si="55"/>
        <v/>
      </c>
      <c r="BH110" s="744" t="str">
        <f>IF(G110="","",IF(BF110="Abu Dhabi",IF(G110&lt;18,'General Basis'!$C$39,IF(G110&lt;41,'General Basis'!$C$40,IF(G110&lt;60,'General Basis'!$C$41,IF(G110&lt;65,'General Basis'!$C$42,'General Basis'!$C$43)))),IF(G110&lt;11,'General Basis'!$B$39,IF(G110&lt;18,'General Basis'!$B$40,IF(G110&lt;26,'General Basis'!$B$41,IF(G110&lt;31,'General Basis'!$B$42,IF(G110&lt;36,'General Basis'!$B$43,IF(G110&lt;41,'General Basis'!$B$44,IF(G110&lt;46,'General Basis'!$B$45,IF(G110&lt;51,'General Basis'!$B$46,IF(G110&lt;56,'General Basis'!$B$47,IF(G110&lt;60,'General Basis'!$B$48,IF(G110&lt;65,'General Basis'!$B$49,'General Basis'!$B$50)))))))))))))</f>
        <v/>
      </c>
      <c r="BI110" s="744" t="str">
        <f t="shared" si="49"/>
        <v/>
      </c>
      <c r="BJ110" s="747" t="str">
        <f t="shared" si="56"/>
        <v/>
      </c>
      <c r="BK110" s="498" t="str">
        <f t="shared" si="50"/>
        <v/>
      </c>
      <c r="BL110" s="498" t="str">
        <f t="shared" si="51"/>
        <v/>
      </c>
    </row>
    <row r="111" spans="1:64" x14ac:dyDescent="0.25">
      <c r="A111" s="762">
        <f t="shared" si="52"/>
        <v>106</v>
      </c>
      <c r="B111" s="229"/>
      <c r="C111" s="223"/>
      <c r="D111" s="224"/>
      <c r="E111" s="225"/>
      <c r="F111" s="1036" t="str">
        <f t="shared" si="58"/>
        <v/>
      </c>
      <c r="G111" s="1037" t="str">
        <f t="shared" si="53"/>
        <v/>
      </c>
      <c r="H111" s="225"/>
      <c r="I111" s="1013"/>
      <c r="J111" s="1013"/>
      <c r="K111" s="1028"/>
      <c r="L111" s="1035" t="str">
        <f t="shared" si="57"/>
        <v/>
      </c>
      <c r="S111" s="498"/>
      <c r="AJ111" s="498"/>
      <c r="AM111" s="498">
        <f t="shared" si="37"/>
        <v>0</v>
      </c>
      <c r="AN111" s="498">
        <f t="shared" si="38"/>
        <v>0</v>
      </c>
      <c r="AO111" s="498">
        <f t="shared" si="39"/>
        <v>0</v>
      </c>
      <c r="AP111" s="498">
        <f t="shared" si="59"/>
        <v>0</v>
      </c>
      <c r="AQ111" s="498">
        <f t="shared" si="54"/>
        <v>0</v>
      </c>
      <c r="AU111" s="498">
        <f t="shared" si="41"/>
        <v>0</v>
      </c>
      <c r="AV111" s="498">
        <f t="shared" si="42"/>
        <v>0</v>
      </c>
      <c r="AW111" s="498">
        <f t="shared" si="43"/>
        <v>0</v>
      </c>
      <c r="AX111" s="498">
        <f t="shared" si="44"/>
        <v>0</v>
      </c>
      <c r="AY111" s="498">
        <f t="shared" si="45"/>
        <v>0</v>
      </c>
      <c r="BB111" s="498" t="str">
        <f t="shared" si="46"/>
        <v/>
      </c>
      <c r="BC111" s="743" t="str">
        <f t="shared" si="47"/>
        <v/>
      </c>
      <c r="BD111" s="743" t="str">
        <f t="shared" si="48"/>
        <v/>
      </c>
      <c r="BE111" s="743" t="str">
        <f>IF(D111="","",VLOOKUP(D111,'General Basis'!$J$39:$K$46,2,0))</f>
        <v/>
      </c>
      <c r="BF111" s="744" t="str">
        <f>IF(D111="","",VLOOKUP(D111,'General Basis'!$J$39:$L$46,3,0))</f>
        <v/>
      </c>
      <c r="BG111" s="744" t="str">
        <f t="shared" si="55"/>
        <v/>
      </c>
      <c r="BH111" s="744" t="str">
        <f>IF(G111="","",IF(BF111="Abu Dhabi",IF(G111&lt;18,'General Basis'!$C$39,IF(G111&lt;41,'General Basis'!$C$40,IF(G111&lt;60,'General Basis'!$C$41,IF(G111&lt;65,'General Basis'!$C$42,'General Basis'!$C$43)))),IF(G111&lt;11,'General Basis'!$B$39,IF(G111&lt;18,'General Basis'!$B$40,IF(G111&lt;26,'General Basis'!$B$41,IF(G111&lt;31,'General Basis'!$B$42,IF(G111&lt;36,'General Basis'!$B$43,IF(G111&lt;41,'General Basis'!$B$44,IF(G111&lt;46,'General Basis'!$B$45,IF(G111&lt;51,'General Basis'!$B$46,IF(G111&lt;56,'General Basis'!$B$47,IF(G111&lt;60,'General Basis'!$B$48,IF(G111&lt;65,'General Basis'!$B$49,'General Basis'!$B$50)))))))))))))</f>
        <v/>
      </c>
      <c r="BI111" s="744" t="str">
        <f t="shared" si="49"/>
        <v/>
      </c>
      <c r="BJ111" s="747" t="str">
        <f t="shared" si="56"/>
        <v/>
      </c>
      <c r="BK111" s="498" t="str">
        <f t="shared" si="50"/>
        <v/>
      </c>
      <c r="BL111" s="498" t="str">
        <f t="shared" si="51"/>
        <v/>
      </c>
    </row>
    <row r="112" spans="1:64" x14ac:dyDescent="0.25">
      <c r="A112" s="762">
        <f t="shared" si="52"/>
        <v>107</v>
      </c>
      <c r="B112" s="229"/>
      <c r="C112" s="223"/>
      <c r="D112" s="224"/>
      <c r="E112" s="225"/>
      <c r="F112" s="1036" t="str">
        <f t="shared" si="58"/>
        <v/>
      </c>
      <c r="G112" s="1037" t="str">
        <f t="shared" si="53"/>
        <v/>
      </c>
      <c r="H112" s="225"/>
      <c r="I112" s="1013"/>
      <c r="J112" s="1013"/>
      <c r="K112" s="1028"/>
      <c r="L112" s="1035" t="str">
        <f t="shared" si="57"/>
        <v/>
      </c>
      <c r="S112" s="498"/>
      <c r="AJ112" s="498"/>
      <c r="AM112" s="498">
        <f t="shared" si="37"/>
        <v>0</v>
      </c>
      <c r="AN112" s="498">
        <f t="shared" si="38"/>
        <v>0</v>
      </c>
      <c r="AO112" s="498">
        <f t="shared" si="39"/>
        <v>0</v>
      </c>
      <c r="AP112" s="498">
        <f t="shared" si="59"/>
        <v>0</v>
      </c>
      <c r="AQ112" s="498">
        <f t="shared" si="54"/>
        <v>0</v>
      </c>
      <c r="AU112" s="498">
        <f t="shared" si="41"/>
        <v>0</v>
      </c>
      <c r="AV112" s="498">
        <f t="shared" si="42"/>
        <v>0</v>
      </c>
      <c r="AW112" s="498">
        <f t="shared" si="43"/>
        <v>0</v>
      </c>
      <c r="AX112" s="498">
        <f t="shared" si="44"/>
        <v>0</v>
      </c>
      <c r="AY112" s="498">
        <f t="shared" si="45"/>
        <v>0</v>
      </c>
      <c r="BB112" s="498" t="str">
        <f t="shared" si="46"/>
        <v/>
      </c>
      <c r="BC112" s="743" t="str">
        <f t="shared" si="47"/>
        <v/>
      </c>
      <c r="BD112" s="743" t="str">
        <f t="shared" si="48"/>
        <v/>
      </c>
      <c r="BE112" s="743" t="str">
        <f>IF(D112="","",VLOOKUP(D112,'General Basis'!$J$39:$K$46,2,0))</f>
        <v/>
      </c>
      <c r="BF112" s="744" t="str">
        <f>IF(D112="","",VLOOKUP(D112,'General Basis'!$J$39:$L$46,3,0))</f>
        <v/>
      </c>
      <c r="BG112" s="744" t="str">
        <f t="shared" si="55"/>
        <v/>
      </c>
      <c r="BH112" s="744" t="str">
        <f>IF(G112="","",IF(BF112="Abu Dhabi",IF(G112&lt;18,'General Basis'!$C$39,IF(G112&lt;41,'General Basis'!$C$40,IF(G112&lt;60,'General Basis'!$C$41,IF(G112&lt;65,'General Basis'!$C$42,'General Basis'!$C$43)))),IF(G112&lt;11,'General Basis'!$B$39,IF(G112&lt;18,'General Basis'!$B$40,IF(G112&lt;26,'General Basis'!$B$41,IF(G112&lt;31,'General Basis'!$B$42,IF(G112&lt;36,'General Basis'!$B$43,IF(G112&lt;41,'General Basis'!$B$44,IF(G112&lt;46,'General Basis'!$B$45,IF(G112&lt;51,'General Basis'!$B$46,IF(G112&lt;56,'General Basis'!$B$47,IF(G112&lt;60,'General Basis'!$B$48,IF(G112&lt;65,'General Basis'!$B$49,'General Basis'!$B$50)))))))))))))</f>
        <v/>
      </c>
      <c r="BI112" s="744" t="str">
        <f t="shared" si="49"/>
        <v/>
      </c>
      <c r="BJ112" s="747" t="str">
        <f t="shared" si="56"/>
        <v/>
      </c>
      <c r="BK112" s="498" t="str">
        <f t="shared" si="50"/>
        <v/>
      </c>
      <c r="BL112" s="498" t="str">
        <f t="shared" si="51"/>
        <v/>
      </c>
    </row>
    <row r="113" spans="1:64" x14ac:dyDescent="0.25">
      <c r="A113" s="762">
        <f t="shared" si="52"/>
        <v>108</v>
      </c>
      <c r="B113" s="229"/>
      <c r="C113" s="223"/>
      <c r="D113" s="224"/>
      <c r="E113" s="225"/>
      <c r="F113" s="1036" t="str">
        <f t="shared" si="58"/>
        <v/>
      </c>
      <c r="G113" s="1037" t="str">
        <f t="shared" si="53"/>
        <v/>
      </c>
      <c r="H113" s="225"/>
      <c r="I113" s="1013"/>
      <c r="J113" s="1013"/>
      <c r="K113" s="1028"/>
      <c r="L113" s="1035" t="str">
        <f t="shared" si="57"/>
        <v/>
      </c>
      <c r="S113" s="498"/>
      <c r="AJ113" s="498"/>
      <c r="AM113" s="498">
        <f t="shared" si="37"/>
        <v>0</v>
      </c>
      <c r="AN113" s="498">
        <f t="shared" si="38"/>
        <v>0</v>
      </c>
      <c r="AO113" s="498">
        <f t="shared" si="39"/>
        <v>0</v>
      </c>
      <c r="AP113" s="498">
        <f t="shared" si="59"/>
        <v>0</v>
      </c>
      <c r="AQ113" s="498">
        <f t="shared" si="54"/>
        <v>0</v>
      </c>
      <c r="AU113" s="498">
        <f t="shared" si="41"/>
        <v>0</v>
      </c>
      <c r="AV113" s="498">
        <f t="shared" si="42"/>
        <v>0</v>
      </c>
      <c r="AW113" s="498">
        <f t="shared" si="43"/>
        <v>0</v>
      </c>
      <c r="AX113" s="498">
        <f t="shared" si="44"/>
        <v>0</v>
      </c>
      <c r="AY113" s="498">
        <f t="shared" si="45"/>
        <v>0</v>
      </c>
      <c r="BB113" s="498" t="str">
        <f t="shared" si="46"/>
        <v/>
      </c>
      <c r="BC113" s="743" t="str">
        <f t="shared" si="47"/>
        <v/>
      </c>
      <c r="BD113" s="743" t="str">
        <f t="shared" si="48"/>
        <v/>
      </c>
      <c r="BE113" s="743" t="str">
        <f>IF(D113="","",VLOOKUP(D113,'General Basis'!$J$39:$K$46,2,0))</f>
        <v/>
      </c>
      <c r="BF113" s="744" t="str">
        <f>IF(D113="","",VLOOKUP(D113,'General Basis'!$J$39:$L$46,3,0))</f>
        <v/>
      </c>
      <c r="BG113" s="744" t="str">
        <f t="shared" si="55"/>
        <v/>
      </c>
      <c r="BH113" s="744" t="str">
        <f>IF(G113="","",IF(BF113="Abu Dhabi",IF(G113&lt;18,'General Basis'!$C$39,IF(G113&lt;41,'General Basis'!$C$40,IF(G113&lt;60,'General Basis'!$C$41,IF(G113&lt;65,'General Basis'!$C$42,'General Basis'!$C$43)))),IF(G113&lt;11,'General Basis'!$B$39,IF(G113&lt;18,'General Basis'!$B$40,IF(G113&lt;26,'General Basis'!$B$41,IF(G113&lt;31,'General Basis'!$B$42,IF(G113&lt;36,'General Basis'!$B$43,IF(G113&lt;41,'General Basis'!$B$44,IF(G113&lt;46,'General Basis'!$B$45,IF(G113&lt;51,'General Basis'!$B$46,IF(G113&lt;56,'General Basis'!$B$47,IF(G113&lt;60,'General Basis'!$B$48,IF(G113&lt;65,'General Basis'!$B$49,'General Basis'!$B$50)))))))))))))</f>
        <v/>
      </c>
      <c r="BI113" s="744" t="str">
        <f t="shared" si="49"/>
        <v/>
      </c>
      <c r="BJ113" s="747" t="str">
        <f t="shared" si="56"/>
        <v/>
      </c>
      <c r="BK113" s="498" t="str">
        <f t="shared" si="50"/>
        <v/>
      </c>
      <c r="BL113" s="498" t="str">
        <f t="shared" si="51"/>
        <v/>
      </c>
    </row>
    <row r="114" spans="1:64" x14ac:dyDescent="0.25">
      <c r="A114" s="762">
        <f t="shared" si="52"/>
        <v>109</v>
      </c>
      <c r="B114" s="229"/>
      <c r="C114" s="223"/>
      <c r="D114" s="224"/>
      <c r="E114" s="225"/>
      <c r="F114" s="1036" t="str">
        <f t="shared" si="58"/>
        <v/>
      </c>
      <c r="G114" s="1037" t="str">
        <f t="shared" si="53"/>
        <v/>
      </c>
      <c r="H114" s="225"/>
      <c r="I114" s="1013"/>
      <c r="J114" s="1013"/>
      <c r="K114" s="1028"/>
      <c r="L114" s="1035" t="str">
        <f t="shared" si="57"/>
        <v/>
      </c>
      <c r="S114" s="498"/>
      <c r="AJ114" s="498"/>
      <c r="AM114" s="498">
        <f t="shared" si="37"/>
        <v>0</v>
      </c>
      <c r="AN114" s="498">
        <f t="shared" si="38"/>
        <v>0</v>
      </c>
      <c r="AO114" s="498">
        <f t="shared" si="39"/>
        <v>0</v>
      </c>
      <c r="AP114" s="498">
        <f t="shared" si="59"/>
        <v>0</v>
      </c>
      <c r="AQ114" s="498">
        <f t="shared" si="54"/>
        <v>0</v>
      </c>
      <c r="AU114" s="498">
        <f t="shared" si="41"/>
        <v>0</v>
      </c>
      <c r="AV114" s="498">
        <f t="shared" si="42"/>
        <v>0</v>
      </c>
      <c r="AW114" s="498">
        <f t="shared" si="43"/>
        <v>0</v>
      </c>
      <c r="AX114" s="498">
        <f t="shared" si="44"/>
        <v>0</v>
      </c>
      <c r="AY114" s="498">
        <f t="shared" si="45"/>
        <v>0</v>
      </c>
      <c r="BB114" s="498" t="str">
        <f t="shared" si="46"/>
        <v/>
      </c>
      <c r="BC114" s="743" t="str">
        <f t="shared" si="47"/>
        <v/>
      </c>
      <c r="BD114" s="743" t="str">
        <f t="shared" si="48"/>
        <v/>
      </c>
      <c r="BE114" s="743" t="str">
        <f>IF(D114="","",VLOOKUP(D114,'General Basis'!$J$39:$K$46,2,0))</f>
        <v/>
      </c>
      <c r="BF114" s="744" t="str">
        <f>IF(D114="","",VLOOKUP(D114,'General Basis'!$J$39:$L$46,3,0))</f>
        <v/>
      </c>
      <c r="BG114" s="744" t="str">
        <f t="shared" si="55"/>
        <v/>
      </c>
      <c r="BH114" s="744" t="str">
        <f>IF(G114="","",IF(BF114="Abu Dhabi",IF(G114&lt;18,'General Basis'!$C$39,IF(G114&lt;41,'General Basis'!$C$40,IF(G114&lt;60,'General Basis'!$C$41,IF(G114&lt;65,'General Basis'!$C$42,'General Basis'!$C$43)))),IF(G114&lt;11,'General Basis'!$B$39,IF(G114&lt;18,'General Basis'!$B$40,IF(G114&lt;26,'General Basis'!$B$41,IF(G114&lt;31,'General Basis'!$B$42,IF(G114&lt;36,'General Basis'!$B$43,IF(G114&lt;41,'General Basis'!$B$44,IF(G114&lt;46,'General Basis'!$B$45,IF(G114&lt;51,'General Basis'!$B$46,IF(G114&lt;56,'General Basis'!$B$47,IF(G114&lt;60,'General Basis'!$B$48,IF(G114&lt;65,'General Basis'!$B$49,'General Basis'!$B$50)))))))))))))</f>
        <v/>
      </c>
      <c r="BI114" s="744" t="str">
        <f t="shared" si="49"/>
        <v/>
      </c>
      <c r="BJ114" s="747" t="str">
        <f t="shared" si="56"/>
        <v/>
      </c>
      <c r="BK114" s="498" t="str">
        <f t="shared" si="50"/>
        <v/>
      </c>
      <c r="BL114" s="498" t="str">
        <f t="shared" si="51"/>
        <v/>
      </c>
    </row>
    <row r="115" spans="1:64" x14ac:dyDescent="0.25">
      <c r="A115" s="762">
        <f t="shared" si="52"/>
        <v>110</v>
      </c>
      <c r="B115" s="229"/>
      <c r="C115" s="223"/>
      <c r="D115" s="224"/>
      <c r="E115" s="225"/>
      <c r="F115" s="1036" t="str">
        <f t="shared" si="58"/>
        <v/>
      </c>
      <c r="G115" s="1037" t="str">
        <f t="shared" si="53"/>
        <v/>
      </c>
      <c r="H115" s="225"/>
      <c r="I115" s="1013"/>
      <c r="J115" s="1013"/>
      <c r="K115" s="1028"/>
      <c r="L115" s="1035" t="str">
        <f t="shared" si="57"/>
        <v/>
      </c>
      <c r="S115" s="498"/>
      <c r="AJ115" s="498"/>
      <c r="AM115" s="498">
        <f t="shared" si="37"/>
        <v>0</v>
      </c>
      <c r="AN115" s="498">
        <f t="shared" si="38"/>
        <v>0</v>
      </c>
      <c r="AO115" s="498">
        <f t="shared" si="39"/>
        <v>0</v>
      </c>
      <c r="AP115" s="498">
        <f t="shared" si="59"/>
        <v>0</v>
      </c>
      <c r="AQ115" s="498">
        <f t="shared" si="54"/>
        <v>0</v>
      </c>
      <c r="AU115" s="498">
        <f t="shared" si="41"/>
        <v>0</v>
      </c>
      <c r="AV115" s="498">
        <f t="shared" si="42"/>
        <v>0</v>
      </c>
      <c r="AW115" s="498">
        <f t="shared" si="43"/>
        <v>0</v>
      </c>
      <c r="AX115" s="498">
        <f t="shared" si="44"/>
        <v>0</v>
      </c>
      <c r="AY115" s="498">
        <f t="shared" si="45"/>
        <v>0</v>
      </c>
      <c r="BB115" s="498" t="str">
        <f t="shared" si="46"/>
        <v/>
      </c>
      <c r="BC115" s="743" t="str">
        <f t="shared" si="47"/>
        <v/>
      </c>
      <c r="BD115" s="743" t="str">
        <f t="shared" si="48"/>
        <v/>
      </c>
      <c r="BE115" s="743" t="str">
        <f>IF(D115="","",VLOOKUP(D115,'General Basis'!$J$39:$K$46,2,0))</f>
        <v/>
      </c>
      <c r="BF115" s="744" t="str">
        <f>IF(D115="","",VLOOKUP(D115,'General Basis'!$J$39:$L$46,3,0))</f>
        <v/>
      </c>
      <c r="BG115" s="744" t="str">
        <f t="shared" si="55"/>
        <v/>
      </c>
      <c r="BH115" s="744" t="str">
        <f>IF(G115="","",IF(BF115="Abu Dhabi",IF(G115&lt;18,'General Basis'!$C$39,IF(G115&lt;41,'General Basis'!$C$40,IF(G115&lt;60,'General Basis'!$C$41,IF(G115&lt;65,'General Basis'!$C$42,'General Basis'!$C$43)))),IF(G115&lt;11,'General Basis'!$B$39,IF(G115&lt;18,'General Basis'!$B$40,IF(G115&lt;26,'General Basis'!$B$41,IF(G115&lt;31,'General Basis'!$B$42,IF(G115&lt;36,'General Basis'!$B$43,IF(G115&lt;41,'General Basis'!$B$44,IF(G115&lt;46,'General Basis'!$B$45,IF(G115&lt;51,'General Basis'!$B$46,IF(G115&lt;56,'General Basis'!$B$47,IF(G115&lt;60,'General Basis'!$B$48,IF(G115&lt;65,'General Basis'!$B$49,'General Basis'!$B$50)))))))))))))</f>
        <v/>
      </c>
      <c r="BI115" s="744" t="str">
        <f t="shared" si="49"/>
        <v/>
      </c>
      <c r="BJ115" s="747" t="str">
        <f t="shared" si="56"/>
        <v/>
      </c>
      <c r="BK115" s="498" t="str">
        <f t="shared" si="50"/>
        <v/>
      </c>
      <c r="BL115" s="498" t="str">
        <f t="shared" si="51"/>
        <v/>
      </c>
    </row>
    <row r="116" spans="1:64" x14ac:dyDescent="0.25">
      <c r="A116" s="762">
        <f t="shared" si="52"/>
        <v>111</v>
      </c>
      <c r="B116" s="229"/>
      <c r="C116" s="223"/>
      <c r="D116" s="224"/>
      <c r="E116" s="225"/>
      <c r="F116" s="1036" t="str">
        <f t="shared" si="58"/>
        <v/>
      </c>
      <c r="G116" s="1037" t="str">
        <f t="shared" si="53"/>
        <v/>
      </c>
      <c r="H116" s="225"/>
      <c r="I116" s="1013"/>
      <c r="J116" s="1013"/>
      <c r="K116" s="1028"/>
      <c r="L116" s="1035" t="str">
        <f t="shared" si="57"/>
        <v/>
      </c>
      <c r="S116" s="498"/>
      <c r="AJ116" s="498"/>
      <c r="AM116" s="498">
        <f t="shared" si="37"/>
        <v>0</v>
      </c>
      <c r="AN116" s="498">
        <f t="shared" si="38"/>
        <v>0</v>
      </c>
      <c r="AO116" s="498">
        <f t="shared" si="39"/>
        <v>0</v>
      </c>
      <c r="AP116" s="498">
        <f t="shared" si="59"/>
        <v>0</v>
      </c>
      <c r="AQ116" s="498">
        <f t="shared" si="54"/>
        <v>0</v>
      </c>
      <c r="AU116" s="498">
        <f t="shared" si="41"/>
        <v>0</v>
      </c>
      <c r="AV116" s="498">
        <f t="shared" si="42"/>
        <v>0</v>
      </c>
      <c r="AW116" s="498">
        <f t="shared" si="43"/>
        <v>0</v>
      </c>
      <c r="AX116" s="498">
        <f t="shared" si="44"/>
        <v>0</v>
      </c>
      <c r="AY116" s="498">
        <f t="shared" si="45"/>
        <v>0</v>
      </c>
      <c r="BB116" s="498" t="str">
        <f t="shared" si="46"/>
        <v/>
      </c>
      <c r="BC116" s="743" t="str">
        <f t="shared" si="47"/>
        <v/>
      </c>
      <c r="BD116" s="743" t="str">
        <f t="shared" si="48"/>
        <v/>
      </c>
      <c r="BE116" s="743" t="str">
        <f>IF(D116="","",VLOOKUP(D116,'General Basis'!$J$39:$K$46,2,0))</f>
        <v/>
      </c>
      <c r="BF116" s="744" t="str">
        <f>IF(D116="","",VLOOKUP(D116,'General Basis'!$J$39:$L$46,3,0))</f>
        <v/>
      </c>
      <c r="BG116" s="744" t="str">
        <f t="shared" si="55"/>
        <v/>
      </c>
      <c r="BH116" s="744" t="str">
        <f>IF(G116="","",IF(BF116="Abu Dhabi",IF(G116&lt;18,'General Basis'!$C$39,IF(G116&lt;41,'General Basis'!$C$40,IF(G116&lt;60,'General Basis'!$C$41,IF(G116&lt;65,'General Basis'!$C$42,'General Basis'!$C$43)))),IF(G116&lt;11,'General Basis'!$B$39,IF(G116&lt;18,'General Basis'!$B$40,IF(G116&lt;26,'General Basis'!$B$41,IF(G116&lt;31,'General Basis'!$B$42,IF(G116&lt;36,'General Basis'!$B$43,IF(G116&lt;41,'General Basis'!$B$44,IF(G116&lt;46,'General Basis'!$B$45,IF(G116&lt;51,'General Basis'!$B$46,IF(G116&lt;56,'General Basis'!$B$47,IF(G116&lt;60,'General Basis'!$B$48,IF(G116&lt;65,'General Basis'!$B$49,'General Basis'!$B$50)))))))))))))</f>
        <v/>
      </c>
      <c r="BI116" s="744" t="str">
        <f t="shared" si="49"/>
        <v/>
      </c>
      <c r="BJ116" s="747" t="str">
        <f t="shared" si="56"/>
        <v/>
      </c>
      <c r="BK116" s="498" t="str">
        <f t="shared" si="50"/>
        <v/>
      </c>
      <c r="BL116" s="498" t="str">
        <f t="shared" si="51"/>
        <v/>
      </c>
    </row>
    <row r="117" spans="1:64" x14ac:dyDescent="0.25">
      <c r="A117" s="762">
        <f t="shared" si="52"/>
        <v>112</v>
      </c>
      <c r="B117" s="229"/>
      <c r="C117" s="223"/>
      <c r="D117" s="224"/>
      <c r="E117" s="225"/>
      <c r="F117" s="1036" t="str">
        <f t="shared" si="58"/>
        <v/>
      </c>
      <c r="G117" s="1037" t="str">
        <f t="shared" si="53"/>
        <v/>
      </c>
      <c r="H117" s="225"/>
      <c r="I117" s="1013"/>
      <c r="J117" s="1013"/>
      <c r="K117" s="1028"/>
      <c r="L117" s="1035" t="str">
        <f t="shared" si="57"/>
        <v/>
      </c>
      <c r="S117" s="498"/>
      <c r="AJ117" s="498"/>
      <c r="AM117" s="498">
        <f t="shared" si="37"/>
        <v>0</v>
      </c>
      <c r="AN117" s="498">
        <f t="shared" si="38"/>
        <v>0</v>
      </c>
      <c r="AO117" s="498">
        <f t="shared" si="39"/>
        <v>0</v>
      </c>
      <c r="AP117" s="498">
        <f t="shared" si="59"/>
        <v>0</v>
      </c>
      <c r="AQ117" s="498">
        <f t="shared" si="54"/>
        <v>0</v>
      </c>
      <c r="AU117" s="498">
        <f t="shared" si="41"/>
        <v>0</v>
      </c>
      <c r="AV117" s="498">
        <f t="shared" si="42"/>
        <v>0</v>
      </c>
      <c r="AW117" s="498">
        <f t="shared" si="43"/>
        <v>0</v>
      </c>
      <c r="AX117" s="498">
        <f t="shared" si="44"/>
        <v>0</v>
      </c>
      <c r="AY117" s="498">
        <f t="shared" si="45"/>
        <v>0</v>
      </c>
      <c r="BB117" s="498" t="str">
        <f t="shared" si="46"/>
        <v/>
      </c>
      <c r="BC117" s="743" t="str">
        <f t="shared" si="47"/>
        <v/>
      </c>
      <c r="BD117" s="743" t="str">
        <f t="shared" si="48"/>
        <v/>
      </c>
      <c r="BE117" s="743" t="str">
        <f>IF(D117="","",VLOOKUP(D117,'General Basis'!$J$39:$K$46,2,0))</f>
        <v/>
      </c>
      <c r="BF117" s="744" t="str">
        <f>IF(D117="","",VLOOKUP(D117,'General Basis'!$J$39:$L$46,3,0))</f>
        <v/>
      </c>
      <c r="BG117" s="744" t="str">
        <f t="shared" si="55"/>
        <v/>
      </c>
      <c r="BH117" s="744" t="str">
        <f>IF(G117="","",IF(BF117="Abu Dhabi",IF(G117&lt;18,'General Basis'!$C$39,IF(G117&lt;41,'General Basis'!$C$40,IF(G117&lt;60,'General Basis'!$C$41,IF(G117&lt;65,'General Basis'!$C$42,'General Basis'!$C$43)))),IF(G117&lt;11,'General Basis'!$B$39,IF(G117&lt;18,'General Basis'!$B$40,IF(G117&lt;26,'General Basis'!$B$41,IF(G117&lt;31,'General Basis'!$B$42,IF(G117&lt;36,'General Basis'!$B$43,IF(G117&lt;41,'General Basis'!$B$44,IF(G117&lt;46,'General Basis'!$B$45,IF(G117&lt;51,'General Basis'!$B$46,IF(G117&lt;56,'General Basis'!$B$47,IF(G117&lt;60,'General Basis'!$B$48,IF(G117&lt;65,'General Basis'!$B$49,'General Basis'!$B$50)))))))))))))</f>
        <v/>
      </c>
      <c r="BI117" s="744" t="str">
        <f t="shared" si="49"/>
        <v/>
      </c>
      <c r="BJ117" s="747" t="str">
        <f t="shared" si="56"/>
        <v/>
      </c>
      <c r="BK117" s="498" t="str">
        <f t="shared" si="50"/>
        <v/>
      </c>
      <c r="BL117" s="498" t="str">
        <f t="shared" si="51"/>
        <v/>
      </c>
    </row>
    <row r="118" spans="1:64" x14ac:dyDescent="0.25">
      <c r="A118" s="762">
        <f t="shared" si="52"/>
        <v>113</v>
      </c>
      <c r="B118" s="229"/>
      <c r="C118" s="223"/>
      <c r="D118" s="224"/>
      <c r="E118" s="225"/>
      <c r="F118" s="1036" t="str">
        <f t="shared" si="58"/>
        <v/>
      </c>
      <c r="G118" s="1037" t="str">
        <f t="shared" si="53"/>
        <v/>
      </c>
      <c r="H118" s="225"/>
      <c r="I118" s="1013"/>
      <c r="J118" s="1013"/>
      <c r="K118" s="1028"/>
      <c r="L118" s="1035" t="str">
        <f t="shared" si="57"/>
        <v/>
      </c>
      <c r="S118" s="498"/>
      <c r="AJ118" s="498"/>
      <c r="AM118" s="498">
        <f t="shared" si="37"/>
        <v>0</v>
      </c>
      <c r="AN118" s="498">
        <f t="shared" si="38"/>
        <v>0</v>
      </c>
      <c r="AO118" s="498">
        <f t="shared" si="39"/>
        <v>0</v>
      </c>
      <c r="AP118" s="498">
        <f t="shared" si="59"/>
        <v>0</v>
      </c>
      <c r="AQ118" s="498">
        <f t="shared" si="54"/>
        <v>0</v>
      </c>
      <c r="AU118" s="498">
        <f t="shared" si="41"/>
        <v>0</v>
      </c>
      <c r="AV118" s="498">
        <f t="shared" si="42"/>
        <v>0</v>
      </c>
      <c r="AW118" s="498">
        <f t="shared" si="43"/>
        <v>0</v>
      </c>
      <c r="AX118" s="498">
        <f t="shared" si="44"/>
        <v>0</v>
      </c>
      <c r="AY118" s="498">
        <f t="shared" si="45"/>
        <v>0</v>
      </c>
      <c r="BB118" s="498" t="str">
        <f t="shared" si="46"/>
        <v/>
      </c>
      <c r="BC118" s="743" t="str">
        <f t="shared" si="47"/>
        <v/>
      </c>
      <c r="BD118" s="743" t="str">
        <f t="shared" si="48"/>
        <v/>
      </c>
      <c r="BE118" s="743" t="str">
        <f>IF(D118="","",VLOOKUP(D118,'General Basis'!$J$39:$K$46,2,0))</f>
        <v/>
      </c>
      <c r="BF118" s="744" t="str">
        <f>IF(D118="","",VLOOKUP(D118,'General Basis'!$J$39:$L$46,3,0))</f>
        <v/>
      </c>
      <c r="BG118" s="744" t="str">
        <f t="shared" si="55"/>
        <v/>
      </c>
      <c r="BH118" s="744" t="str">
        <f>IF(G118="","",IF(BF118="Abu Dhabi",IF(G118&lt;18,'General Basis'!$C$39,IF(G118&lt;41,'General Basis'!$C$40,IF(G118&lt;60,'General Basis'!$C$41,IF(G118&lt;65,'General Basis'!$C$42,'General Basis'!$C$43)))),IF(G118&lt;11,'General Basis'!$B$39,IF(G118&lt;18,'General Basis'!$B$40,IF(G118&lt;26,'General Basis'!$B$41,IF(G118&lt;31,'General Basis'!$B$42,IF(G118&lt;36,'General Basis'!$B$43,IF(G118&lt;41,'General Basis'!$B$44,IF(G118&lt;46,'General Basis'!$B$45,IF(G118&lt;51,'General Basis'!$B$46,IF(G118&lt;56,'General Basis'!$B$47,IF(G118&lt;60,'General Basis'!$B$48,IF(G118&lt;65,'General Basis'!$B$49,'General Basis'!$B$50)))))))))))))</f>
        <v/>
      </c>
      <c r="BI118" s="744" t="str">
        <f t="shared" si="49"/>
        <v/>
      </c>
      <c r="BJ118" s="747" t="str">
        <f t="shared" si="56"/>
        <v/>
      </c>
      <c r="BK118" s="498" t="str">
        <f t="shared" si="50"/>
        <v/>
      </c>
      <c r="BL118" s="498" t="str">
        <f t="shared" si="51"/>
        <v/>
      </c>
    </row>
    <row r="119" spans="1:64" x14ac:dyDescent="0.25">
      <c r="A119" s="762">
        <f t="shared" si="52"/>
        <v>114</v>
      </c>
      <c r="B119" s="229"/>
      <c r="C119" s="223"/>
      <c r="D119" s="224"/>
      <c r="E119" s="225"/>
      <c r="F119" s="1036" t="str">
        <f t="shared" si="58"/>
        <v/>
      </c>
      <c r="G119" s="1037" t="str">
        <f t="shared" si="53"/>
        <v/>
      </c>
      <c r="H119" s="225"/>
      <c r="I119" s="1013"/>
      <c r="J119" s="1013"/>
      <c r="K119" s="1028"/>
      <c r="L119" s="1035" t="str">
        <f t="shared" si="57"/>
        <v/>
      </c>
      <c r="S119" s="498"/>
      <c r="AJ119" s="498"/>
      <c r="AM119" s="498">
        <f t="shared" si="37"/>
        <v>0</v>
      </c>
      <c r="AN119" s="498">
        <f t="shared" si="38"/>
        <v>0</v>
      </c>
      <c r="AO119" s="498">
        <f t="shared" si="39"/>
        <v>0</v>
      </c>
      <c r="AP119" s="498">
        <f t="shared" si="59"/>
        <v>0</v>
      </c>
      <c r="AQ119" s="498">
        <f t="shared" si="54"/>
        <v>0</v>
      </c>
      <c r="AU119" s="498">
        <f t="shared" si="41"/>
        <v>0</v>
      </c>
      <c r="AV119" s="498">
        <f t="shared" si="42"/>
        <v>0</v>
      </c>
      <c r="AW119" s="498">
        <f t="shared" si="43"/>
        <v>0</v>
      </c>
      <c r="AX119" s="498">
        <f t="shared" si="44"/>
        <v>0</v>
      </c>
      <c r="AY119" s="498">
        <f t="shared" si="45"/>
        <v>0</v>
      </c>
      <c r="BB119" s="498" t="str">
        <f t="shared" si="46"/>
        <v/>
      </c>
      <c r="BC119" s="743" t="str">
        <f t="shared" si="47"/>
        <v/>
      </c>
      <c r="BD119" s="743" t="str">
        <f t="shared" si="48"/>
        <v/>
      </c>
      <c r="BE119" s="743" t="str">
        <f>IF(D119="","",VLOOKUP(D119,'General Basis'!$J$39:$K$46,2,0))</f>
        <v/>
      </c>
      <c r="BF119" s="744" t="str">
        <f>IF(D119="","",VLOOKUP(D119,'General Basis'!$J$39:$L$46,3,0))</f>
        <v/>
      </c>
      <c r="BG119" s="744" t="str">
        <f t="shared" si="55"/>
        <v/>
      </c>
      <c r="BH119" s="744" t="str">
        <f>IF(G119="","",IF(BF119="Abu Dhabi",IF(G119&lt;18,'General Basis'!$C$39,IF(G119&lt;41,'General Basis'!$C$40,IF(G119&lt;60,'General Basis'!$C$41,IF(G119&lt;65,'General Basis'!$C$42,'General Basis'!$C$43)))),IF(G119&lt;11,'General Basis'!$B$39,IF(G119&lt;18,'General Basis'!$B$40,IF(G119&lt;26,'General Basis'!$B$41,IF(G119&lt;31,'General Basis'!$B$42,IF(G119&lt;36,'General Basis'!$B$43,IF(G119&lt;41,'General Basis'!$B$44,IF(G119&lt;46,'General Basis'!$B$45,IF(G119&lt;51,'General Basis'!$B$46,IF(G119&lt;56,'General Basis'!$B$47,IF(G119&lt;60,'General Basis'!$B$48,IF(G119&lt;65,'General Basis'!$B$49,'General Basis'!$B$50)))))))))))))</f>
        <v/>
      </c>
      <c r="BI119" s="744" t="str">
        <f t="shared" si="49"/>
        <v/>
      </c>
      <c r="BJ119" s="747" t="str">
        <f t="shared" si="56"/>
        <v/>
      </c>
      <c r="BK119" s="498" t="str">
        <f t="shared" si="50"/>
        <v/>
      </c>
      <c r="BL119" s="498" t="str">
        <f t="shared" si="51"/>
        <v/>
      </c>
    </row>
    <row r="120" spans="1:64" x14ac:dyDescent="0.25">
      <c r="A120" s="762">
        <f t="shared" si="52"/>
        <v>115</v>
      </c>
      <c r="B120" s="229"/>
      <c r="C120" s="223"/>
      <c r="D120" s="224"/>
      <c r="E120" s="225"/>
      <c r="F120" s="1036" t="str">
        <f t="shared" si="58"/>
        <v/>
      </c>
      <c r="G120" s="1037" t="str">
        <f t="shared" si="53"/>
        <v/>
      </c>
      <c r="H120" s="225"/>
      <c r="I120" s="1013"/>
      <c r="J120" s="1013"/>
      <c r="K120" s="1028"/>
      <c r="L120" s="1035" t="str">
        <f t="shared" si="57"/>
        <v/>
      </c>
      <c r="S120" s="498"/>
      <c r="AJ120" s="498"/>
      <c r="AM120" s="498">
        <f t="shared" si="37"/>
        <v>0</v>
      </c>
      <c r="AN120" s="498">
        <f t="shared" si="38"/>
        <v>0</v>
      </c>
      <c r="AO120" s="498">
        <f t="shared" si="39"/>
        <v>0</v>
      </c>
      <c r="AP120" s="498">
        <f t="shared" si="59"/>
        <v>0</v>
      </c>
      <c r="AQ120" s="498">
        <f t="shared" si="54"/>
        <v>0</v>
      </c>
      <c r="AU120" s="498">
        <f t="shared" si="41"/>
        <v>0</v>
      </c>
      <c r="AV120" s="498">
        <f t="shared" si="42"/>
        <v>0</v>
      </c>
      <c r="AW120" s="498">
        <f t="shared" si="43"/>
        <v>0</v>
      </c>
      <c r="AX120" s="498">
        <f t="shared" si="44"/>
        <v>0</v>
      </c>
      <c r="AY120" s="498">
        <f t="shared" si="45"/>
        <v>0</v>
      </c>
      <c r="BB120" s="498" t="str">
        <f t="shared" si="46"/>
        <v/>
      </c>
      <c r="BC120" s="743" t="str">
        <f t="shared" si="47"/>
        <v/>
      </c>
      <c r="BD120" s="743" t="str">
        <f t="shared" si="48"/>
        <v/>
      </c>
      <c r="BE120" s="743" t="str">
        <f>IF(D120="","",VLOOKUP(D120,'General Basis'!$J$39:$K$46,2,0))</f>
        <v/>
      </c>
      <c r="BF120" s="744" t="str">
        <f>IF(D120="","",VLOOKUP(D120,'General Basis'!$J$39:$L$46,3,0))</f>
        <v/>
      </c>
      <c r="BG120" s="744" t="str">
        <f t="shared" si="55"/>
        <v/>
      </c>
      <c r="BH120" s="744" t="str">
        <f>IF(G120="","",IF(BF120="Abu Dhabi",IF(G120&lt;18,'General Basis'!$C$39,IF(G120&lt;41,'General Basis'!$C$40,IF(G120&lt;60,'General Basis'!$C$41,IF(G120&lt;65,'General Basis'!$C$42,'General Basis'!$C$43)))),IF(G120&lt;11,'General Basis'!$B$39,IF(G120&lt;18,'General Basis'!$B$40,IF(G120&lt;26,'General Basis'!$B$41,IF(G120&lt;31,'General Basis'!$B$42,IF(G120&lt;36,'General Basis'!$B$43,IF(G120&lt;41,'General Basis'!$B$44,IF(G120&lt;46,'General Basis'!$B$45,IF(G120&lt;51,'General Basis'!$B$46,IF(G120&lt;56,'General Basis'!$B$47,IF(G120&lt;60,'General Basis'!$B$48,IF(G120&lt;65,'General Basis'!$B$49,'General Basis'!$B$50)))))))))))))</f>
        <v/>
      </c>
      <c r="BI120" s="744" t="str">
        <f t="shared" si="49"/>
        <v/>
      </c>
      <c r="BJ120" s="747" t="str">
        <f t="shared" si="56"/>
        <v/>
      </c>
      <c r="BK120" s="498" t="str">
        <f t="shared" si="50"/>
        <v/>
      </c>
      <c r="BL120" s="498" t="str">
        <f t="shared" si="51"/>
        <v/>
      </c>
    </row>
    <row r="121" spans="1:64" x14ac:dyDescent="0.25">
      <c r="A121" s="762">
        <f t="shared" si="52"/>
        <v>116</v>
      </c>
      <c r="B121" s="229"/>
      <c r="C121" s="223"/>
      <c r="D121" s="224"/>
      <c r="E121" s="225"/>
      <c r="F121" s="1036" t="str">
        <f t="shared" si="58"/>
        <v/>
      </c>
      <c r="G121" s="1037" t="str">
        <f t="shared" si="53"/>
        <v/>
      </c>
      <c r="H121" s="225"/>
      <c r="I121" s="1013"/>
      <c r="J121" s="1013"/>
      <c r="K121" s="1028"/>
      <c r="L121" s="1035" t="str">
        <f t="shared" si="57"/>
        <v/>
      </c>
      <c r="S121" s="498"/>
      <c r="AJ121" s="498"/>
      <c r="AM121" s="498">
        <f t="shared" si="37"/>
        <v>0</v>
      </c>
      <c r="AN121" s="498">
        <f t="shared" si="38"/>
        <v>0</v>
      </c>
      <c r="AO121" s="498">
        <f t="shared" si="39"/>
        <v>0</v>
      </c>
      <c r="AP121" s="498">
        <f t="shared" si="59"/>
        <v>0</v>
      </c>
      <c r="AQ121" s="498">
        <f t="shared" si="54"/>
        <v>0</v>
      </c>
      <c r="AU121" s="498">
        <f t="shared" si="41"/>
        <v>0</v>
      </c>
      <c r="AV121" s="498">
        <f t="shared" si="42"/>
        <v>0</v>
      </c>
      <c r="AW121" s="498">
        <f t="shared" si="43"/>
        <v>0</v>
      </c>
      <c r="AX121" s="498">
        <f t="shared" si="44"/>
        <v>0</v>
      </c>
      <c r="AY121" s="498">
        <f t="shared" si="45"/>
        <v>0</v>
      </c>
      <c r="BB121" s="498" t="str">
        <f t="shared" si="46"/>
        <v/>
      </c>
      <c r="BC121" s="743" t="str">
        <f t="shared" si="47"/>
        <v/>
      </c>
      <c r="BD121" s="743" t="str">
        <f t="shared" si="48"/>
        <v/>
      </c>
      <c r="BE121" s="743" t="str">
        <f>IF(D121="","",VLOOKUP(D121,'General Basis'!$J$39:$K$46,2,0))</f>
        <v/>
      </c>
      <c r="BF121" s="744" t="str">
        <f>IF(D121="","",VLOOKUP(D121,'General Basis'!$J$39:$L$46,3,0))</f>
        <v/>
      </c>
      <c r="BG121" s="744" t="str">
        <f t="shared" si="55"/>
        <v/>
      </c>
      <c r="BH121" s="744" t="str">
        <f>IF(G121="","",IF(BF121="Abu Dhabi",IF(G121&lt;18,'General Basis'!$C$39,IF(G121&lt;41,'General Basis'!$C$40,IF(G121&lt;60,'General Basis'!$C$41,IF(G121&lt;65,'General Basis'!$C$42,'General Basis'!$C$43)))),IF(G121&lt;11,'General Basis'!$B$39,IF(G121&lt;18,'General Basis'!$B$40,IF(G121&lt;26,'General Basis'!$B$41,IF(G121&lt;31,'General Basis'!$B$42,IF(G121&lt;36,'General Basis'!$B$43,IF(G121&lt;41,'General Basis'!$B$44,IF(G121&lt;46,'General Basis'!$B$45,IF(G121&lt;51,'General Basis'!$B$46,IF(G121&lt;56,'General Basis'!$B$47,IF(G121&lt;60,'General Basis'!$B$48,IF(G121&lt;65,'General Basis'!$B$49,'General Basis'!$B$50)))))))))))))</f>
        <v/>
      </c>
      <c r="BI121" s="744" t="str">
        <f t="shared" si="49"/>
        <v/>
      </c>
      <c r="BJ121" s="747" t="str">
        <f t="shared" si="56"/>
        <v/>
      </c>
      <c r="BK121" s="498" t="str">
        <f t="shared" si="50"/>
        <v/>
      </c>
      <c r="BL121" s="498" t="str">
        <f t="shared" si="51"/>
        <v/>
      </c>
    </row>
    <row r="122" spans="1:64" x14ac:dyDescent="0.25">
      <c r="A122" s="762">
        <f t="shared" si="52"/>
        <v>117</v>
      </c>
      <c r="B122" s="229"/>
      <c r="C122" s="223"/>
      <c r="D122" s="224"/>
      <c r="E122" s="225"/>
      <c r="F122" s="1036" t="str">
        <f t="shared" si="58"/>
        <v/>
      </c>
      <c r="G122" s="1037" t="str">
        <f t="shared" si="53"/>
        <v/>
      </c>
      <c r="H122" s="225"/>
      <c r="I122" s="1013"/>
      <c r="J122" s="1013"/>
      <c r="K122" s="1028"/>
      <c r="L122" s="1035" t="str">
        <f t="shared" si="57"/>
        <v/>
      </c>
      <c r="S122" s="498"/>
      <c r="AJ122" s="498"/>
      <c r="AM122" s="498">
        <f t="shared" si="37"/>
        <v>0</v>
      </c>
      <c r="AN122" s="498">
        <f t="shared" si="38"/>
        <v>0</v>
      </c>
      <c r="AO122" s="498">
        <f t="shared" si="39"/>
        <v>0</v>
      </c>
      <c r="AP122" s="498">
        <f t="shared" si="59"/>
        <v>0</v>
      </c>
      <c r="AQ122" s="498">
        <f t="shared" si="54"/>
        <v>0</v>
      </c>
      <c r="AU122" s="498">
        <f t="shared" si="41"/>
        <v>0</v>
      </c>
      <c r="AV122" s="498">
        <f t="shared" si="42"/>
        <v>0</v>
      </c>
      <c r="AW122" s="498">
        <f t="shared" si="43"/>
        <v>0</v>
      </c>
      <c r="AX122" s="498">
        <f t="shared" si="44"/>
        <v>0</v>
      </c>
      <c r="AY122" s="498">
        <f t="shared" si="45"/>
        <v>0</v>
      </c>
      <c r="BB122" s="498" t="str">
        <f t="shared" si="46"/>
        <v/>
      </c>
      <c r="BC122" s="743" t="str">
        <f t="shared" si="47"/>
        <v/>
      </c>
      <c r="BD122" s="743" t="str">
        <f t="shared" si="48"/>
        <v/>
      </c>
      <c r="BE122" s="743" t="str">
        <f>IF(D122="","",VLOOKUP(D122,'General Basis'!$J$39:$K$46,2,0))</f>
        <v/>
      </c>
      <c r="BF122" s="744" t="str">
        <f>IF(D122="","",VLOOKUP(D122,'General Basis'!$J$39:$L$46,3,0))</f>
        <v/>
      </c>
      <c r="BG122" s="744" t="str">
        <f t="shared" si="55"/>
        <v/>
      </c>
      <c r="BH122" s="744" t="str">
        <f>IF(G122="","",IF(BF122="Abu Dhabi",IF(G122&lt;18,'General Basis'!$C$39,IF(G122&lt;41,'General Basis'!$C$40,IF(G122&lt;60,'General Basis'!$C$41,IF(G122&lt;65,'General Basis'!$C$42,'General Basis'!$C$43)))),IF(G122&lt;11,'General Basis'!$B$39,IF(G122&lt;18,'General Basis'!$B$40,IF(G122&lt;26,'General Basis'!$B$41,IF(G122&lt;31,'General Basis'!$B$42,IF(G122&lt;36,'General Basis'!$B$43,IF(G122&lt;41,'General Basis'!$B$44,IF(G122&lt;46,'General Basis'!$B$45,IF(G122&lt;51,'General Basis'!$B$46,IF(G122&lt;56,'General Basis'!$B$47,IF(G122&lt;60,'General Basis'!$B$48,IF(G122&lt;65,'General Basis'!$B$49,'General Basis'!$B$50)))))))))))))</f>
        <v/>
      </c>
      <c r="BI122" s="744" t="str">
        <f t="shared" si="49"/>
        <v/>
      </c>
      <c r="BJ122" s="747" t="str">
        <f t="shared" si="56"/>
        <v/>
      </c>
      <c r="BK122" s="498" t="str">
        <f t="shared" si="50"/>
        <v/>
      </c>
      <c r="BL122" s="498" t="str">
        <f t="shared" si="51"/>
        <v/>
      </c>
    </row>
    <row r="123" spans="1:64" x14ac:dyDescent="0.25">
      <c r="A123" s="762">
        <f t="shared" si="52"/>
        <v>118</v>
      </c>
      <c r="B123" s="229"/>
      <c r="C123" s="223"/>
      <c r="D123" s="224"/>
      <c r="E123" s="225"/>
      <c r="F123" s="1036" t="str">
        <f t="shared" si="58"/>
        <v/>
      </c>
      <c r="G123" s="1037" t="str">
        <f t="shared" si="53"/>
        <v/>
      </c>
      <c r="H123" s="225"/>
      <c r="I123" s="1013"/>
      <c r="J123" s="1013"/>
      <c r="K123" s="1028"/>
      <c r="L123" s="1035" t="str">
        <f t="shared" si="57"/>
        <v/>
      </c>
      <c r="S123" s="498"/>
      <c r="AJ123" s="498"/>
      <c r="AM123" s="498">
        <f t="shared" si="37"/>
        <v>0</v>
      </c>
      <c r="AN123" s="498">
        <f t="shared" si="38"/>
        <v>0</v>
      </c>
      <c r="AO123" s="498">
        <f t="shared" si="39"/>
        <v>0</v>
      </c>
      <c r="AP123" s="498">
        <f t="shared" si="59"/>
        <v>0</v>
      </c>
      <c r="AQ123" s="498">
        <f t="shared" si="54"/>
        <v>0</v>
      </c>
      <c r="AU123" s="498">
        <f t="shared" si="41"/>
        <v>0</v>
      </c>
      <c r="AV123" s="498">
        <f t="shared" si="42"/>
        <v>0</v>
      </c>
      <c r="AW123" s="498">
        <f t="shared" si="43"/>
        <v>0</v>
      </c>
      <c r="AX123" s="498">
        <f t="shared" si="44"/>
        <v>0</v>
      </c>
      <c r="AY123" s="498">
        <f t="shared" si="45"/>
        <v>0</v>
      </c>
      <c r="BB123" s="498" t="str">
        <f t="shared" si="46"/>
        <v/>
      </c>
      <c r="BC123" s="743" t="str">
        <f t="shared" si="47"/>
        <v/>
      </c>
      <c r="BD123" s="743" t="str">
        <f t="shared" si="48"/>
        <v/>
      </c>
      <c r="BE123" s="743" t="str">
        <f>IF(D123="","",VLOOKUP(D123,'General Basis'!$J$39:$K$46,2,0))</f>
        <v/>
      </c>
      <c r="BF123" s="744" t="str">
        <f>IF(D123="","",VLOOKUP(D123,'General Basis'!$J$39:$L$46,3,0))</f>
        <v/>
      </c>
      <c r="BG123" s="744" t="str">
        <f t="shared" si="55"/>
        <v/>
      </c>
      <c r="BH123" s="744" t="str">
        <f>IF(G123="","",IF(BF123="Abu Dhabi",IF(G123&lt;18,'General Basis'!$C$39,IF(G123&lt;41,'General Basis'!$C$40,IF(G123&lt;60,'General Basis'!$C$41,IF(G123&lt;65,'General Basis'!$C$42,'General Basis'!$C$43)))),IF(G123&lt;11,'General Basis'!$B$39,IF(G123&lt;18,'General Basis'!$B$40,IF(G123&lt;26,'General Basis'!$B$41,IF(G123&lt;31,'General Basis'!$B$42,IF(G123&lt;36,'General Basis'!$B$43,IF(G123&lt;41,'General Basis'!$B$44,IF(G123&lt;46,'General Basis'!$B$45,IF(G123&lt;51,'General Basis'!$B$46,IF(G123&lt;56,'General Basis'!$B$47,IF(G123&lt;60,'General Basis'!$B$48,IF(G123&lt;65,'General Basis'!$B$49,'General Basis'!$B$50)))))))))))))</f>
        <v/>
      </c>
      <c r="BI123" s="744" t="str">
        <f t="shared" si="49"/>
        <v/>
      </c>
      <c r="BJ123" s="747" t="str">
        <f t="shared" si="56"/>
        <v/>
      </c>
      <c r="BK123" s="498" t="str">
        <f t="shared" si="50"/>
        <v/>
      </c>
      <c r="BL123" s="498" t="str">
        <f t="shared" si="51"/>
        <v/>
      </c>
    </row>
    <row r="124" spans="1:64" x14ac:dyDescent="0.25">
      <c r="A124" s="762">
        <f t="shared" si="52"/>
        <v>119</v>
      </c>
      <c r="B124" s="229"/>
      <c r="C124" s="223"/>
      <c r="D124" s="224"/>
      <c r="E124" s="225"/>
      <c r="F124" s="1036" t="str">
        <f t="shared" si="58"/>
        <v/>
      </c>
      <c r="G124" s="1037" t="str">
        <f t="shared" si="53"/>
        <v/>
      </c>
      <c r="H124" s="225"/>
      <c r="I124" s="1013"/>
      <c r="J124" s="1013"/>
      <c r="K124" s="1028"/>
      <c r="L124" s="1035" t="str">
        <f t="shared" si="57"/>
        <v/>
      </c>
      <c r="S124" s="498"/>
      <c r="AJ124" s="498"/>
      <c r="AM124" s="498">
        <f t="shared" si="37"/>
        <v>0</v>
      </c>
      <c r="AN124" s="498">
        <f t="shared" si="38"/>
        <v>0</v>
      </c>
      <c r="AO124" s="498">
        <f t="shared" si="39"/>
        <v>0</v>
      </c>
      <c r="AP124" s="498">
        <f t="shared" si="59"/>
        <v>0</v>
      </c>
      <c r="AQ124" s="498">
        <f t="shared" si="54"/>
        <v>0</v>
      </c>
      <c r="AU124" s="498">
        <f t="shared" si="41"/>
        <v>0</v>
      </c>
      <c r="AV124" s="498">
        <f t="shared" si="42"/>
        <v>0</v>
      </c>
      <c r="AW124" s="498">
        <f t="shared" si="43"/>
        <v>0</v>
      </c>
      <c r="AX124" s="498">
        <f t="shared" si="44"/>
        <v>0</v>
      </c>
      <c r="AY124" s="498">
        <f t="shared" si="45"/>
        <v>0</v>
      </c>
      <c r="BB124" s="498" t="str">
        <f t="shared" si="46"/>
        <v/>
      </c>
      <c r="BC124" s="743" t="str">
        <f t="shared" si="47"/>
        <v/>
      </c>
      <c r="BD124" s="743" t="str">
        <f t="shared" si="48"/>
        <v/>
      </c>
      <c r="BE124" s="743" t="str">
        <f>IF(D124="","",VLOOKUP(D124,'General Basis'!$J$39:$K$46,2,0))</f>
        <v/>
      </c>
      <c r="BF124" s="744" t="str">
        <f>IF(D124="","",VLOOKUP(D124,'General Basis'!$J$39:$L$46,3,0))</f>
        <v/>
      </c>
      <c r="BG124" s="744" t="str">
        <f t="shared" si="55"/>
        <v/>
      </c>
      <c r="BH124" s="744" t="str">
        <f>IF(G124="","",IF(BF124="Abu Dhabi",IF(G124&lt;18,'General Basis'!$C$39,IF(G124&lt;41,'General Basis'!$C$40,IF(G124&lt;60,'General Basis'!$C$41,IF(G124&lt;65,'General Basis'!$C$42,'General Basis'!$C$43)))),IF(G124&lt;11,'General Basis'!$B$39,IF(G124&lt;18,'General Basis'!$B$40,IF(G124&lt;26,'General Basis'!$B$41,IF(G124&lt;31,'General Basis'!$B$42,IF(G124&lt;36,'General Basis'!$B$43,IF(G124&lt;41,'General Basis'!$B$44,IF(G124&lt;46,'General Basis'!$B$45,IF(G124&lt;51,'General Basis'!$B$46,IF(G124&lt;56,'General Basis'!$B$47,IF(G124&lt;60,'General Basis'!$B$48,IF(G124&lt;65,'General Basis'!$B$49,'General Basis'!$B$50)))))))))))))</f>
        <v/>
      </c>
      <c r="BI124" s="744" t="str">
        <f t="shared" si="49"/>
        <v/>
      </c>
      <c r="BJ124" s="747" t="str">
        <f t="shared" si="56"/>
        <v/>
      </c>
      <c r="BK124" s="498" t="str">
        <f t="shared" si="50"/>
        <v/>
      </c>
      <c r="BL124" s="498" t="str">
        <f t="shared" si="51"/>
        <v/>
      </c>
    </row>
    <row r="125" spans="1:64" x14ac:dyDescent="0.25">
      <c r="A125" s="762">
        <f t="shared" si="52"/>
        <v>120</v>
      </c>
      <c r="B125" s="229"/>
      <c r="C125" s="223"/>
      <c r="D125" s="224"/>
      <c r="E125" s="225"/>
      <c r="F125" s="1036" t="str">
        <f t="shared" si="58"/>
        <v/>
      </c>
      <c r="G125" s="1037" t="str">
        <f t="shared" si="53"/>
        <v/>
      </c>
      <c r="H125" s="225"/>
      <c r="I125" s="1013"/>
      <c r="J125" s="1013"/>
      <c r="K125" s="1028"/>
      <c r="L125" s="1035" t="str">
        <f t="shared" si="57"/>
        <v/>
      </c>
      <c r="S125" s="498"/>
      <c r="AJ125" s="498"/>
      <c r="AM125" s="498">
        <f t="shared" si="37"/>
        <v>0</v>
      </c>
      <c r="AN125" s="498">
        <f t="shared" si="38"/>
        <v>0</v>
      </c>
      <c r="AO125" s="498">
        <f t="shared" si="39"/>
        <v>0</v>
      </c>
      <c r="AP125" s="498">
        <f t="shared" si="59"/>
        <v>0</v>
      </c>
      <c r="AQ125" s="498">
        <f t="shared" si="54"/>
        <v>0</v>
      </c>
      <c r="AU125" s="498">
        <f t="shared" si="41"/>
        <v>0</v>
      </c>
      <c r="AV125" s="498">
        <f t="shared" si="42"/>
        <v>0</v>
      </c>
      <c r="AW125" s="498">
        <f t="shared" si="43"/>
        <v>0</v>
      </c>
      <c r="AX125" s="498">
        <f t="shared" si="44"/>
        <v>0</v>
      </c>
      <c r="AY125" s="498">
        <f t="shared" si="45"/>
        <v>0</v>
      </c>
      <c r="BB125" s="498" t="str">
        <f t="shared" si="46"/>
        <v/>
      </c>
      <c r="BC125" s="743" t="str">
        <f t="shared" si="47"/>
        <v/>
      </c>
      <c r="BD125" s="743" t="str">
        <f t="shared" si="48"/>
        <v/>
      </c>
      <c r="BE125" s="743" t="str">
        <f>IF(D125="","",VLOOKUP(D125,'General Basis'!$J$39:$K$46,2,0))</f>
        <v/>
      </c>
      <c r="BF125" s="744" t="str">
        <f>IF(D125="","",VLOOKUP(D125,'General Basis'!$J$39:$L$46,3,0))</f>
        <v/>
      </c>
      <c r="BG125" s="744" t="str">
        <f t="shared" si="55"/>
        <v/>
      </c>
      <c r="BH125" s="744" t="str">
        <f>IF(G125="","",IF(BF125="Abu Dhabi",IF(G125&lt;18,'General Basis'!$C$39,IF(G125&lt;41,'General Basis'!$C$40,IF(G125&lt;60,'General Basis'!$C$41,IF(G125&lt;65,'General Basis'!$C$42,'General Basis'!$C$43)))),IF(G125&lt;11,'General Basis'!$B$39,IF(G125&lt;18,'General Basis'!$B$40,IF(G125&lt;26,'General Basis'!$B$41,IF(G125&lt;31,'General Basis'!$B$42,IF(G125&lt;36,'General Basis'!$B$43,IF(G125&lt;41,'General Basis'!$B$44,IF(G125&lt;46,'General Basis'!$B$45,IF(G125&lt;51,'General Basis'!$B$46,IF(G125&lt;56,'General Basis'!$B$47,IF(G125&lt;60,'General Basis'!$B$48,IF(G125&lt;65,'General Basis'!$B$49,'General Basis'!$B$50)))))))))))))</f>
        <v/>
      </c>
      <c r="BI125" s="744" t="str">
        <f t="shared" si="49"/>
        <v/>
      </c>
      <c r="BJ125" s="747" t="str">
        <f t="shared" si="56"/>
        <v/>
      </c>
      <c r="BK125" s="498" t="str">
        <f t="shared" si="50"/>
        <v/>
      </c>
      <c r="BL125" s="498" t="str">
        <f t="shared" si="51"/>
        <v/>
      </c>
    </row>
    <row r="126" spans="1:64" x14ac:dyDescent="0.25">
      <c r="A126" s="762">
        <f t="shared" si="52"/>
        <v>121</v>
      </c>
      <c r="B126" s="229"/>
      <c r="C126" s="223"/>
      <c r="D126" s="224"/>
      <c r="E126" s="225"/>
      <c r="F126" s="1036" t="str">
        <f t="shared" si="58"/>
        <v/>
      </c>
      <c r="G126" s="1037" t="str">
        <f t="shared" si="53"/>
        <v/>
      </c>
      <c r="H126" s="225"/>
      <c r="I126" s="1013"/>
      <c r="J126" s="1013"/>
      <c r="K126" s="1028"/>
      <c r="L126" s="1035" t="str">
        <f t="shared" si="57"/>
        <v/>
      </c>
      <c r="S126" s="498"/>
      <c r="AJ126" s="498"/>
      <c r="AM126" s="498">
        <f t="shared" si="37"/>
        <v>0</v>
      </c>
      <c r="AN126" s="498">
        <f t="shared" si="38"/>
        <v>0</v>
      </c>
      <c r="AO126" s="498">
        <f t="shared" si="39"/>
        <v>0</v>
      </c>
      <c r="AP126" s="498">
        <f t="shared" si="59"/>
        <v>0</v>
      </c>
      <c r="AQ126" s="498">
        <f t="shared" si="54"/>
        <v>0</v>
      </c>
      <c r="AU126" s="498">
        <f t="shared" si="41"/>
        <v>0</v>
      </c>
      <c r="AV126" s="498">
        <f t="shared" si="42"/>
        <v>0</v>
      </c>
      <c r="AW126" s="498">
        <f t="shared" si="43"/>
        <v>0</v>
      </c>
      <c r="AX126" s="498">
        <f t="shared" si="44"/>
        <v>0</v>
      </c>
      <c r="AY126" s="498">
        <f t="shared" si="45"/>
        <v>0</v>
      </c>
      <c r="BB126" s="498" t="str">
        <f t="shared" si="46"/>
        <v/>
      </c>
      <c r="BC126" s="743" t="str">
        <f t="shared" si="47"/>
        <v/>
      </c>
      <c r="BD126" s="743" t="str">
        <f t="shared" si="48"/>
        <v/>
      </c>
      <c r="BE126" s="743" t="str">
        <f>IF(D126="","",VLOOKUP(D126,'General Basis'!$J$39:$K$46,2,0))</f>
        <v/>
      </c>
      <c r="BF126" s="744" t="str">
        <f>IF(D126="","",VLOOKUP(D126,'General Basis'!$J$39:$L$46,3,0))</f>
        <v/>
      </c>
      <c r="BG126" s="744" t="str">
        <f t="shared" si="55"/>
        <v/>
      </c>
      <c r="BH126" s="744" t="str">
        <f>IF(G126="","",IF(BF126="Abu Dhabi",IF(G126&lt;18,'General Basis'!$C$39,IF(G126&lt;41,'General Basis'!$C$40,IF(G126&lt;60,'General Basis'!$C$41,IF(G126&lt;65,'General Basis'!$C$42,'General Basis'!$C$43)))),IF(G126&lt;11,'General Basis'!$B$39,IF(G126&lt;18,'General Basis'!$B$40,IF(G126&lt;26,'General Basis'!$B$41,IF(G126&lt;31,'General Basis'!$B$42,IF(G126&lt;36,'General Basis'!$B$43,IF(G126&lt;41,'General Basis'!$B$44,IF(G126&lt;46,'General Basis'!$B$45,IF(G126&lt;51,'General Basis'!$B$46,IF(G126&lt;56,'General Basis'!$B$47,IF(G126&lt;60,'General Basis'!$B$48,IF(G126&lt;65,'General Basis'!$B$49,'General Basis'!$B$50)))))))))))))</f>
        <v/>
      </c>
      <c r="BI126" s="744" t="str">
        <f t="shared" si="49"/>
        <v/>
      </c>
      <c r="BJ126" s="747" t="str">
        <f t="shared" si="56"/>
        <v/>
      </c>
      <c r="BK126" s="498" t="str">
        <f t="shared" si="50"/>
        <v/>
      </c>
      <c r="BL126" s="498" t="str">
        <f t="shared" si="51"/>
        <v/>
      </c>
    </row>
    <row r="127" spans="1:64" x14ac:dyDescent="0.25">
      <c r="A127" s="762">
        <f t="shared" si="52"/>
        <v>122</v>
      </c>
      <c r="B127" s="229"/>
      <c r="C127" s="223"/>
      <c r="D127" s="224"/>
      <c r="E127" s="225"/>
      <c r="F127" s="1036" t="str">
        <f t="shared" si="58"/>
        <v/>
      </c>
      <c r="G127" s="1037" t="str">
        <f t="shared" si="53"/>
        <v/>
      </c>
      <c r="H127" s="225"/>
      <c r="I127" s="1013"/>
      <c r="J127" s="1013"/>
      <c r="K127" s="1028"/>
      <c r="L127" s="1035" t="str">
        <f t="shared" si="57"/>
        <v/>
      </c>
      <c r="S127" s="498"/>
      <c r="AJ127" s="498"/>
      <c r="AM127" s="498">
        <f t="shared" si="37"/>
        <v>0</v>
      </c>
      <c r="AN127" s="498">
        <f t="shared" si="38"/>
        <v>0</v>
      </c>
      <c r="AO127" s="498">
        <f t="shared" si="39"/>
        <v>0</v>
      </c>
      <c r="AP127" s="498">
        <f t="shared" si="59"/>
        <v>0</v>
      </c>
      <c r="AQ127" s="498">
        <f t="shared" si="54"/>
        <v>0</v>
      </c>
      <c r="AU127" s="498">
        <f t="shared" si="41"/>
        <v>0</v>
      </c>
      <c r="AV127" s="498">
        <f t="shared" si="42"/>
        <v>0</v>
      </c>
      <c r="AW127" s="498">
        <f t="shared" si="43"/>
        <v>0</v>
      </c>
      <c r="AX127" s="498">
        <f t="shared" si="44"/>
        <v>0</v>
      </c>
      <c r="AY127" s="498">
        <f t="shared" si="45"/>
        <v>0</v>
      </c>
      <c r="BB127" s="498" t="str">
        <f t="shared" si="46"/>
        <v/>
      </c>
      <c r="BC127" s="743" t="str">
        <f t="shared" si="47"/>
        <v/>
      </c>
      <c r="BD127" s="743" t="str">
        <f t="shared" si="48"/>
        <v/>
      </c>
      <c r="BE127" s="743" t="str">
        <f>IF(D127="","",VLOOKUP(D127,'General Basis'!$J$39:$K$46,2,0))</f>
        <v/>
      </c>
      <c r="BF127" s="744" t="str">
        <f>IF(D127="","",VLOOKUP(D127,'General Basis'!$J$39:$L$46,3,0))</f>
        <v/>
      </c>
      <c r="BG127" s="744" t="str">
        <f t="shared" si="55"/>
        <v/>
      </c>
      <c r="BH127" s="744" t="str">
        <f>IF(G127="","",IF(BF127="Abu Dhabi",IF(G127&lt;18,'General Basis'!$C$39,IF(G127&lt;41,'General Basis'!$C$40,IF(G127&lt;60,'General Basis'!$C$41,IF(G127&lt;65,'General Basis'!$C$42,'General Basis'!$C$43)))),IF(G127&lt;11,'General Basis'!$B$39,IF(G127&lt;18,'General Basis'!$B$40,IF(G127&lt;26,'General Basis'!$B$41,IF(G127&lt;31,'General Basis'!$B$42,IF(G127&lt;36,'General Basis'!$B$43,IF(G127&lt;41,'General Basis'!$B$44,IF(G127&lt;46,'General Basis'!$B$45,IF(G127&lt;51,'General Basis'!$B$46,IF(G127&lt;56,'General Basis'!$B$47,IF(G127&lt;60,'General Basis'!$B$48,IF(G127&lt;65,'General Basis'!$B$49,'General Basis'!$B$50)))))))))))))</f>
        <v/>
      </c>
      <c r="BI127" s="744" t="str">
        <f t="shared" si="49"/>
        <v/>
      </c>
      <c r="BJ127" s="747" t="str">
        <f t="shared" si="56"/>
        <v/>
      </c>
      <c r="BK127" s="498" t="str">
        <f t="shared" si="50"/>
        <v/>
      </c>
      <c r="BL127" s="498" t="str">
        <f t="shared" si="51"/>
        <v/>
      </c>
    </row>
    <row r="128" spans="1:64" x14ac:dyDescent="0.25">
      <c r="A128" s="762">
        <f t="shared" si="52"/>
        <v>123</v>
      </c>
      <c r="B128" s="229"/>
      <c r="C128" s="223"/>
      <c r="D128" s="224"/>
      <c r="E128" s="225"/>
      <c r="F128" s="1036" t="str">
        <f t="shared" si="58"/>
        <v/>
      </c>
      <c r="G128" s="1037" t="str">
        <f t="shared" si="53"/>
        <v/>
      </c>
      <c r="H128" s="225"/>
      <c r="I128" s="1013"/>
      <c r="J128" s="1013"/>
      <c r="K128" s="1028"/>
      <c r="L128" s="1035" t="str">
        <f t="shared" si="57"/>
        <v/>
      </c>
      <c r="S128" s="498"/>
      <c r="AJ128" s="498"/>
      <c r="AM128" s="498">
        <f t="shared" si="37"/>
        <v>0</v>
      </c>
      <c r="AN128" s="498">
        <f t="shared" si="38"/>
        <v>0</v>
      </c>
      <c r="AO128" s="498">
        <f t="shared" si="39"/>
        <v>0</v>
      </c>
      <c r="AP128" s="498">
        <f t="shared" si="59"/>
        <v>0</v>
      </c>
      <c r="AQ128" s="498">
        <f t="shared" si="54"/>
        <v>0</v>
      </c>
      <c r="AU128" s="498">
        <f t="shared" si="41"/>
        <v>0</v>
      </c>
      <c r="AV128" s="498">
        <f t="shared" si="42"/>
        <v>0</v>
      </c>
      <c r="AW128" s="498">
        <f t="shared" si="43"/>
        <v>0</v>
      </c>
      <c r="AX128" s="498">
        <f t="shared" si="44"/>
        <v>0</v>
      </c>
      <c r="AY128" s="498">
        <f t="shared" si="45"/>
        <v>0</v>
      </c>
      <c r="BB128" s="498" t="str">
        <f t="shared" si="46"/>
        <v/>
      </c>
      <c r="BC128" s="743" t="str">
        <f t="shared" si="47"/>
        <v/>
      </c>
      <c r="BD128" s="743" t="str">
        <f t="shared" si="48"/>
        <v/>
      </c>
      <c r="BE128" s="743" t="str">
        <f>IF(D128="","",VLOOKUP(D128,'General Basis'!$J$39:$K$46,2,0))</f>
        <v/>
      </c>
      <c r="BF128" s="744" t="str">
        <f>IF(D128="","",VLOOKUP(D128,'General Basis'!$J$39:$L$46,3,0))</f>
        <v/>
      </c>
      <c r="BG128" s="744" t="str">
        <f t="shared" si="55"/>
        <v/>
      </c>
      <c r="BH128" s="744" t="str">
        <f>IF(G128="","",IF(BF128="Abu Dhabi",IF(G128&lt;18,'General Basis'!$C$39,IF(G128&lt;41,'General Basis'!$C$40,IF(G128&lt;60,'General Basis'!$C$41,IF(G128&lt;65,'General Basis'!$C$42,'General Basis'!$C$43)))),IF(G128&lt;11,'General Basis'!$B$39,IF(G128&lt;18,'General Basis'!$B$40,IF(G128&lt;26,'General Basis'!$B$41,IF(G128&lt;31,'General Basis'!$B$42,IF(G128&lt;36,'General Basis'!$B$43,IF(G128&lt;41,'General Basis'!$B$44,IF(G128&lt;46,'General Basis'!$B$45,IF(G128&lt;51,'General Basis'!$B$46,IF(G128&lt;56,'General Basis'!$B$47,IF(G128&lt;60,'General Basis'!$B$48,IF(G128&lt;65,'General Basis'!$B$49,'General Basis'!$B$50)))))))))))))</f>
        <v/>
      </c>
      <c r="BI128" s="744" t="str">
        <f t="shared" si="49"/>
        <v/>
      </c>
      <c r="BJ128" s="747" t="str">
        <f t="shared" si="56"/>
        <v/>
      </c>
      <c r="BK128" s="498" t="str">
        <f t="shared" si="50"/>
        <v/>
      </c>
      <c r="BL128" s="498" t="str">
        <f t="shared" si="51"/>
        <v/>
      </c>
    </row>
    <row r="129" spans="1:64" x14ac:dyDescent="0.25">
      <c r="A129" s="762">
        <f t="shared" si="52"/>
        <v>124</v>
      </c>
      <c r="B129" s="229"/>
      <c r="C129" s="223"/>
      <c r="D129" s="224"/>
      <c r="E129" s="225"/>
      <c r="F129" s="1036" t="str">
        <f t="shared" si="58"/>
        <v/>
      </c>
      <c r="G129" s="1037" t="str">
        <f t="shared" si="53"/>
        <v/>
      </c>
      <c r="H129" s="225"/>
      <c r="I129" s="1013"/>
      <c r="J129" s="1013"/>
      <c r="K129" s="1028"/>
      <c r="L129" s="1035" t="str">
        <f t="shared" si="57"/>
        <v/>
      </c>
      <c r="S129" s="498"/>
      <c r="AJ129" s="498"/>
      <c r="AM129" s="498">
        <f t="shared" si="37"/>
        <v>0</v>
      </c>
      <c r="AN129" s="498">
        <f t="shared" si="38"/>
        <v>0</v>
      </c>
      <c r="AO129" s="498">
        <f t="shared" si="39"/>
        <v>0</v>
      </c>
      <c r="AP129" s="498">
        <f t="shared" si="59"/>
        <v>0</v>
      </c>
      <c r="AQ129" s="498">
        <f t="shared" si="54"/>
        <v>0</v>
      </c>
      <c r="AU129" s="498">
        <f t="shared" si="41"/>
        <v>0</v>
      </c>
      <c r="AV129" s="498">
        <f t="shared" si="42"/>
        <v>0</v>
      </c>
      <c r="AW129" s="498">
        <f t="shared" si="43"/>
        <v>0</v>
      </c>
      <c r="AX129" s="498">
        <f t="shared" si="44"/>
        <v>0</v>
      </c>
      <c r="AY129" s="498">
        <f t="shared" si="45"/>
        <v>0</v>
      </c>
      <c r="BB129" s="498" t="str">
        <f t="shared" si="46"/>
        <v/>
      </c>
      <c r="BC129" s="743" t="str">
        <f t="shared" si="47"/>
        <v/>
      </c>
      <c r="BD129" s="743" t="str">
        <f t="shared" si="48"/>
        <v/>
      </c>
      <c r="BE129" s="743" t="str">
        <f>IF(D129="","",VLOOKUP(D129,'General Basis'!$J$39:$K$46,2,0))</f>
        <v/>
      </c>
      <c r="BF129" s="744" t="str">
        <f>IF(D129="","",VLOOKUP(D129,'General Basis'!$J$39:$L$46,3,0))</f>
        <v/>
      </c>
      <c r="BG129" s="744" t="str">
        <f t="shared" si="55"/>
        <v/>
      </c>
      <c r="BH129" s="744" t="str">
        <f>IF(G129="","",IF(BF129="Abu Dhabi",IF(G129&lt;18,'General Basis'!$C$39,IF(G129&lt;41,'General Basis'!$C$40,IF(G129&lt;60,'General Basis'!$C$41,IF(G129&lt;65,'General Basis'!$C$42,'General Basis'!$C$43)))),IF(G129&lt;11,'General Basis'!$B$39,IF(G129&lt;18,'General Basis'!$B$40,IF(G129&lt;26,'General Basis'!$B$41,IF(G129&lt;31,'General Basis'!$B$42,IF(G129&lt;36,'General Basis'!$B$43,IF(G129&lt;41,'General Basis'!$B$44,IF(G129&lt;46,'General Basis'!$B$45,IF(G129&lt;51,'General Basis'!$B$46,IF(G129&lt;56,'General Basis'!$B$47,IF(G129&lt;60,'General Basis'!$B$48,IF(G129&lt;65,'General Basis'!$B$49,'General Basis'!$B$50)))))))))))))</f>
        <v/>
      </c>
      <c r="BI129" s="744" t="str">
        <f t="shared" si="49"/>
        <v/>
      </c>
      <c r="BJ129" s="747" t="str">
        <f t="shared" si="56"/>
        <v/>
      </c>
      <c r="BK129" s="498" t="str">
        <f t="shared" si="50"/>
        <v/>
      </c>
      <c r="BL129" s="498" t="str">
        <f t="shared" si="51"/>
        <v/>
      </c>
    </row>
    <row r="130" spans="1:64" x14ac:dyDescent="0.25">
      <c r="A130" s="762">
        <f t="shared" si="52"/>
        <v>125</v>
      </c>
      <c r="B130" s="229"/>
      <c r="C130" s="223"/>
      <c r="D130" s="224"/>
      <c r="E130" s="225"/>
      <c r="F130" s="1036" t="str">
        <f t="shared" si="58"/>
        <v/>
      </c>
      <c r="G130" s="1037" t="str">
        <f t="shared" si="53"/>
        <v/>
      </c>
      <c r="H130" s="225"/>
      <c r="I130" s="1013"/>
      <c r="J130" s="1013"/>
      <c r="K130" s="1028"/>
      <c r="L130" s="1035" t="str">
        <f t="shared" si="57"/>
        <v/>
      </c>
      <c r="S130" s="498"/>
      <c r="AJ130" s="498"/>
      <c r="AM130" s="498">
        <f t="shared" si="37"/>
        <v>0</v>
      </c>
      <c r="AN130" s="498">
        <f t="shared" si="38"/>
        <v>0</v>
      </c>
      <c r="AO130" s="498">
        <f t="shared" si="39"/>
        <v>0</v>
      </c>
      <c r="AP130" s="498">
        <f t="shared" si="59"/>
        <v>0</v>
      </c>
      <c r="AQ130" s="498">
        <f t="shared" si="54"/>
        <v>0</v>
      </c>
      <c r="AU130" s="498">
        <f t="shared" si="41"/>
        <v>0</v>
      </c>
      <c r="AV130" s="498">
        <f t="shared" si="42"/>
        <v>0</v>
      </c>
      <c r="AW130" s="498">
        <f t="shared" si="43"/>
        <v>0</v>
      </c>
      <c r="AX130" s="498">
        <f t="shared" si="44"/>
        <v>0</v>
      </c>
      <c r="AY130" s="498">
        <f t="shared" si="45"/>
        <v>0</v>
      </c>
      <c r="BB130" s="498" t="str">
        <f t="shared" si="46"/>
        <v/>
      </c>
      <c r="BC130" s="743" t="str">
        <f t="shared" si="47"/>
        <v/>
      </c>
      <c r="BD130" s="743" t="str">
        <f t="shared" si="48"/>
        <v/>
      </c>
      <c r="BE130" s="743" t="str">
        <f>IF(D130="","",VLOOKUP(D130,'General Basis'!$J$39:$K$46,2,0))</f>
        <v/>
      </c>
      <c r="BF130" s="744" t="str">
        <f>IF(D130="","",VLOOKUP(D130,'General Basis'!$J$39:$L$46,3,0))</f>
        <v/>
      </c>
      <c r="BG130" s="744" t="str">
        <f t="shared" si="55"/>
        <v/>
      </c>
      <c r="BH130" s="744" t="str">
        <f>IF(G130="","",IF(BF130="Abu Dhabi",IF(G130&lt;18,'General Basis'!$C$39,IF(G130&lt;41,'General Basis'!$C$40,IF(G130&lt;60,'General Basis'!$C$41,IF(G130&lt;65,'General Basis'!$C$42,'General Basis'!$C$43)))),IF(G130&lt;11,'General Basis'!$B$39,IF(G130&lt;18,'General Basis'!$B$40,IF(G130&lt;26,'General Basis'!$B$41,IF(G130&lt;31,'General Basis'!$B$42,IF(G130&lt;36,'General Basis'!$B$43,IF(G130&lt;41,'General Basis'!$B$44,IF(G130&lt;46,'General Basis'!$B$45,IF(G130&lt;51,'General Basis'!$B$46,IF(G130&lt;56,'General Basis'!$B$47,IF(G130&lt;60,'General Basis'!$B$48,IF(G130&lt;65,'General Basis'!$B$49,'General Basis'!$B$50)))))))))))))</f>
        <v/>
      </c>
      <c r="BI130" s="744" t="str">
        <f t="shared" si="49"/>
        <v/>
      </c>
      <c r="BJ130" s="747" t="str">
        <f t="shared" si="56"/>
        <v/>
      </c>
      <c r="BK130" s="498" t="str">
        <f t="shared" si="50"/>
        <v/>
      </c>
      <c r="BL130" s="498" t="str">
        <f t="shared" si="51"/>
        <v/>
      </c>
    </row>
    <row r="131" spans="1:64" x14ac:dyDescent="0.25">
      <c r="A131" s="762">
        <f t="shared" si="52"/>
        <v>126</v>
      </c>
      <c r="B131" s="229"/>
      <c r="C131" s="223"/>
      <c r="D131" s="224"/>
      <c r="E131" s="225"/>
      <c r="F131" s="1036" t="str">
        <f t="shared" si="58"/>
        <v/>
      </c>
      <c r="G131" s="1037" t="str">
        <f t="shared" si="53"/>
        <v/>
      </c>
      <c r="H131" s="225"/>
      <c r="I131" s="1013"/>
      <c r="J131" s="1013"/>
      <c r="K131" s="1028"/>
      <c r="L131" s="1035" t="str">
        <f t="shared" si="57"/>
        <v/>
      </c>
      <c r="S131" s="498"/>
      <c r="AJ131" s="498"/>
      <c r="AM131" s="498">
        <f t="shared" si="37"/>
        <v>0</v>
      </c>
      <c r="AN131" s="498">
        <f t="shared" si="38"/>
        <v>0</v>
      </c>
      <c r="AO131" s="498">
        <f t="shared" si="39"/>
        <v>0</v>
      </c>
      <c r="AP131" s="498">
        <f t="shared" si="59"/>
        <v>0</v>
      </c>
      <c r="AQ131" s="498">
        <f t="shared" si="54"/>
        <v>0</v>
      </c>
      <c r="AU131" s="498">
        <f t="shared" si="41"/>
        <v>0</v>
      </c>
      <c r="AV131" s="498">
        <f t="shared" si="42"/>
        <v>0</v>
      </c>
      <c r="AW131" s="498">
        <f t="shared" si="43"/>
        <v>0</v>
      </c>
      <c r="AX131" s="498">
        <f t="shared" si="44"/>
        <v>0</v>
      </c>
      <c r="AY131" s="498">
        <f t="shared" si="45"/>
        <v>0</v>
      </c>
      <c r="BB131" s="498" t="str">
        <f t="shared" si="46"/>
        <v/>
      </c>
      <c r="BC131" s="743" t="str">
        <f t="shared" si="47"/>
        <v/>
      </c>
      <c r="BD131" s="743" t="str">
        <f t="shared" si="48"/>
        <v/>
      </c>
      <c r="BE131" s="743" t="str">
        <f>IF(D131="","",VLOOKUP(D131,'General Basis'!$J$39:$K$46,2,0))</f>
        <v/>
      </c>
      <c r="BF131" s="744" t="str">
        <f>IF(D131="","",VLOOKUP(D131,'General Basis'!$J$39:$L$46,3,0))</f>
        <v/>
      </c>
      <c r="BG131" s="744" t="str">
        <f t="shared" si="55"/>
        <v/>
      </c>
      <c r="BH131" s="744" t="str">
        <f>IF(G131="","",IF(BF131="Abu Dhabi",IF(G131&lt;18,'General Basis'!$C$39,IF(G131&lt;41,'General Basis'!$C$40,IF(G131&lt;60,'General Basis'!$C$41,IF(G131&lt;65,'General Basis'!$C$42,'General Basis'!$C$43)))),IF(G131&lt;11,'General Basis'!$B$39,IF(G131&lt;18,'General Basis'!$B$40,IF(G131&lt;26,'General Basis'!$B$41,IF(G131&lt;31,'General Basis'!$B$42,IF(G131&lt;36,'General Basis'!$B$43,IF(G131&lt;41,'General Basis'!$B$44,IF(G131&lt;46,'General Basis'!$B$45,IF(G131&lt;51,'General Basis'!$B$46,IF(G131&lt;56,'General Basis'!$B$47,IF(G131&lt;60,'General Basis'!$B$48,IF(G131&lt;65,'General Basis'!$B$49,'General Basis'!$B$50)))))))))))))</f>
        <v/>
      </c>
      <c r="BI131" s="744" t="str">
        <f t="shared" si="49"/>
        <v/>
      </c>
      <c r="BJ131" s="747" t="str">
        <f t="shared" si="56"/>
        <v/>
      </c>
      <c r="BK131" s="498" t="str">
        <f t="shared" si="50"/>
        <v/>
      </c>
      <c r="BL131" s="498" t="str">
        <f t="shared" si="51"/>
        <v/>
      </c>
    </row>
    <row r="132" spans="1:64" x14ac:dyDescent="0.25">
      <c r="A132" s="762">
        <f t="shared" si="52"/>
        <v>127</v>
      </c>
      <c r="B132" s="229"/>
      <c r="C132" s="223"/>
      <c r="D132" s="224"/>
      <c r="E132" s="225"/>
      <c r="F132" s="1036" t="str">
        <f t="shared" si="58"/>
        <v/>
      </c>
      <c r="G132" s="1037" t="str">
        <f t="shared" si="53"/>
        <v/>
      </c>
      <c r="H132" s="225"/>
      <c r="I132" s="1013"/>
      <c r="J132" s="1013"/>
      <c r="K132" s="1028"/>
      <c r="L132" s="1035" t="str">
        <f t="shared" si="57"/>
        <v/>
      </c>
      <c r="S132" s="498"/>
      <c r="AJ132" s="498"/>
      <c r="AM132" s="498">
        <f t="shared" si="37"/>
        <v>0</v>
      </c>
      <c r="AN132" s="498">
        <f t="shared" si="38"/>
        <v>0</v>
      </c>
      <c r="AO132" s="498">
        <f t="shared" si="39"/>
        <v>0</v>
      </c>
      <c r="AP132" s="498">
        <f t="shared" si="59"/>
        <v>0</v>
      </c>
      <c r="AQ132" s="498">
        <f t="shared" si="54"/>
        <v>0</v>
      </c>
      <c r="AU132" s="498">
        <f t="shared" si="41"/>
        <v>0</v>
      </c>
      <c r="AV132" s="498">
        <f t="shared" si="42"/>
        <v>0</v>
      </c>
      <c r="AW132" s="498">
        <f t="shared" si="43"/>
        <v>0</v>
      </c>
      <c r="AX132" s="498">
        <f t="shared" si="44"/>
        <v>0</v>
      </c>
      <c r="AY132" s="498">
        <f t="shared" si="45"/>
        <v>0</v>
      </c>
      <c r="BB132" s="498" t="str">
        <f t="shared" si="46"/>
        <v/>
      </c>
      <c r="BC132" s="743" t="str">
        <f t="shared" si="47"/>
        <v/>
      </c>
      <c r="BD132" s="743" t="str">
        <f t="shared" si="48"/>
        <v/>
      </c>
      <c r="BE132" s="743" t="str">
        <f>IF(D132="","",VLOOKUP(D132,'General Basis'!$J$39:$K$46,2,0))</f>
        <v/>
      </c>
      <c r="BF132" s="744" t="str">
        <f>IF(D132="","",VLOOKUP(D132,'General Basis'!$J$39:$L$46,3,0))</f>
        <v/>
      </c>
      <c r="BG132" s="744" t="str">
        <f t="shared" si="55"/>
        <v/>
      </c>
      <c r="BH132" s="744" t="str">
        <f>IF(G132="","",IF(BF132="Abu Dhabi",IF(G132&lt;18,'General Basis'!$C$39,IF(G132&lt;41,'General Basis'!$C$40,IF(G132&lt;60,'General Basis'!$C$41,IF(G132&lt;65,'General Basis'!$C$42,'General Basis'!$C$43)))),IF(G132&lt;11,'General Basis'!$B$39,IF(G132&lt;18,'General Basis'!$B$40,IF(G132&lt;26,'General Basis'!$B$41,IF(G132&lt;31,'General Basis'!$B$42,IF(G132&lt;36,'General Basis'!$B$43,IF(G132&lt;41,'General Basis'!$B$44,IF(G132&lt;46,'General Basis'!$B$45,IF(G132&lt;51,'General Basis'!$B$46,IF(G132&lt;56,'General Basis'!$B$47,IF(G132&lt;60,'General Basis'!$B$48,IF(G132&lt;65,'General Basis'!$B$49,'General Basis'!$B$50)))))))))))))</f>
        <v/>
      </c>
      <c r="BI132" s="744" t="str">
        <f t="shared" si="49"/>
        <v/>
      </c>
      <c r="BJ132" s="747" t="str">
        <f t="shared" si="56"/>
        <v/>
      </c>
      <c r="BK132" s="498" t="str">
        <f t="shared" si="50"/>
        <v/>
      </c>
      <c r="BL132" s="498" t="str">
        <f t="shared" si="51"/>
        <v/>
      </c>
    </row>
    <row r="133" spans="1:64" x14ac:dyDescent="0.25">
      <c r="A133" s="762">
        <f t="shared" si="52"/>
        <v>128</v>
      </c>
      <c r="B133" s="229"/>
      <c r="C133" s="223"/>
      <c r="D133" s="224"/>
      <c r="E133" s="225"/>
      <c r="F133" s="1036" t="str">
        <f t="shared" si="58"/>
        <v/>
      </c>
      <c r="G133" s="1037" t="str">
        <f t="shared" si="53"/>
        <v/>
      </c>
      <c r="H133" s="225"/>
      <c r="I133" s="1013"/>
      <c r="J133" s="1013"/>
      <c r="K133" s="1028"/>
      <c r="L133" s="1035" t="str">
        <f t="shared" si="57"/>
        <v/>
      </c>
      <c r="S133" s="498"/>
      <c r="AJ133" s="498"/>
      <c r="AM133" s="498">
        <f t="shared" si="37"/>
        <v>0</v>
      </c>
      <c r="AN133" s="498">
        <f t="shared" si="38"/>
        <v>0</v>
      </c>
      <c r="AO133" s="498">
        <f t="shared" si="39"/>
        <v>0</v>
      </c>
      <c r="AP133" s="498">
        <f t="shared" si="59"/>
        <v>0</v>
      </c>
      <c r="AQ133" s="498">
        <f t="shared" si="54"/>
        <v>0</v>
      </c>
      <c r="AU133" s="498">
        <f t="shared" si="41"/>
        <v>0</v>
      </c>
      <c r="AV133" s="498">
        <f t="shared" si="42"/>
        <v>0</v>
      </c>
      <c r="AW133" s="498">
        <f t="shared" si="43"/>
        <v>0</v>
      </c>
      <c r="AX133" s="498">
        <f t="shared" si="44"/>
        <v>0</v>
      </c>
      <c r="AY133" s="498">
        <f t="shared" si="45"/>
        <v>0</v>
      </c>
      <c r="BB133" s="498" t="str">
        <f t="shared" si="46"/>
        <v/>
      </c>
      <c r="BC133" s="743" t="str">
        <f t="shared" si="47"/>
        <v/>
      </c>
      <c r="BD133" s="743" t="str">
        <f t="shared" si="48"/>
        <v/>
      </c>
      <c r="BE133" s="743" t="str">
        <f>IF(D133="","",VLOOKUP(D133,'General Basis'!$J$39:$K$46,2,0))</f>
        <v/>
      </c>
      <c r="BF133" s="744" t="str">
        <f>IF(D133="","",VLOOKUP(D133,'General Basis'!$J$39:$L$46,3,0))</f>
        <v/>
      </c>
      <c r="BG133" s="744" t="str">
        <f t="shared" si="55"/>
        <v/>
      </c>
      <c r="BH133" s="744" t="str">
        <f>IF(G133="","",IF(BF133="Abu Dhabi",IF(G133&lt;18,'General Basis'!$C$39,IF(G133&lt;41,'General Basis'!$C$40,IF(G133&lt;60,'General Basis'!$C$41,IF(G133&lt;65,'General Basis'!$C$42,'General Basis'!$C$43)))),IF(G133&lt;11,'General Basis'!$B$39,IF(G133&lt;18,'General Basis'!$B$40,IF(G133&lt;26,'General Basis'!$B$41,IF(G133&lt;31,'General Basis'!$B$42,IF(G133&lt;36,'General Basis'!$B$43,IF(G133&lt;41,'General Basis'!$B$44,IF(G133&lt;46,'General Basis'!$B$45,IF(G133&lt;51,'General Basis'!$B$46,IF(G133&lt;56,'General Basis'!$B$47,IF(G133&lt;60,'General Basis'!$B$48,IF(G133&lt;65,'General Basis'!$B$49,'General Basis'!$B$50)))))))))))))</f>
        <v/>
      </c>
      <c r="BI133" s="744" t="str">
        <f t="shared" si="49"/>
        <v/>
      </c>
      <c r="BJ133" s="747" t="str">
        <f t="shared" si="56"/>
        <v/>
      </c>
      <c r="BK133" s="498" t="str">
        <f t="shared" si="50"/>
        <v/>
      </c>
      <c r="BL133" s="498" t="str">
        <f t="shared" si="51"/>
        <v/>
      </c>
    </row>
    <row r="134" spans="1:64" x14ac:dyDescent="0.25">
      <c r="A134" s="762">
        <f t="shared" si="52"/>
        <v>129</v>
      </c>
      <c r="B134" s="229"/>
      <c r="C134" s="223"/>
      <c r="D134" s="224"/>
      <c r="E134" s="225"/>
      <c r="F134" s="1036" t="str">
        <f t="shared" si="58"/>
        <v/>
      </c>
      <c r="G134" s="1037" t="str">
        <f t="shared" si="53"/>
        <v/>
      </c>
      <c r="H134" s="225"/>
      <c r="I134" s="1013"/>
      <c r="J134" s="1013"/>
      <c r="K134" s="1028"/>
      <c r="L134" s="1035" t="str">
        <f t="shared" si="57"/>
        <v/>
      </c>
      <c r="S134" s="498"/>
      <c r="AJ134" s="498"/>
      <c r="AM134" s="498">
        <f t="shared" ref="AM134:AM197" si="60">IF(ISTEXT(B134),1,0)</f>
        <v>0</v>
      </c>
      <c r="AN134" s="498">
        <f t="shared" ref="AN134:AN197" si="61">IF(ISBLANK(B134),0,IF(B134&lt;$AK$6,1,0))</f>
        <v>0</v>
      </c>
      <c r="AO134" s="498">
        <f t="shared" ref="AO134:AO197" si="62">IF(ISBLANK(B134),0,IF(B134&gt;$AK$7,1,0))</f>
        <v>0</v>
      </c>
      <c r="AP134" s="498">
        <f t="shared" si="59"/>
        <v>0</v>
      </c>
      <c r="AQ134" s="498">
        <f t="shared" si="54"/>
        <v>0</v>
      </c>
      <c r="AU134" s="498">
        <f t="shared" ref="AU134:AU197" si="63">IF(ISBLANK(B134),0,1)</f>
        <v>0</v>
      </c>
      <c r="AV134" s="498">
        <f t="shared" ref="AV134:AV197" si="64">IF(ISBLANK(C134),0,1)</f>
        <v>0</v>
      </c>
      <c r="AW134" s="498">
        <f t="shared" ref="AW134:AW197" si="65">IF(ISBLANK(D134),0,1)</f>
        <v>0</v>
      </c>
      <c r="AX134" s="498">
        <f t="shared" ref="AX134:AX197" si="66">IF(ISBLANK(E134),0,1)</f>
        <v>0</v>
      </c>
      <c r="AY134" s="498">
        <f t="shared" ref="AY134:AY197" si="67">IF(ISBLANK(H134),0,1)</f>
        <v>0</v>
      </c>
      <c r="BB134" s="498" t="str">
        <f t="shared" ref="BB134:BB197" si="68">IF(E134="Principal","Principal",IF(E134="","","Other"))</f>
        <v/>
      </c>
      <c r="BC134" s="743" t="str">
        <f t="shared" ref="BC134:BC197" si="69">IF(D134="","",D134)</f>
        <v/>
      </c>
      <c r="BD134" s="743" t="str">
        <f t="shared" ref="BD134:BD197" si="70">IF(E134="Principal","Employee",IF(E134="","","Dependent"))</f>
        <v/>
      </c>
      <c r="BE134" s="743" t="str">
        <f>IF(D134="","",VLOOKUP(D134,'General Basis'!$J$39:$K$46,2,0))</f>
        <v/>
      </c>
      <c r="BF134" s="744" t="str">
        <f>IF(D134="","",VLOOKUP(D134,'General Basis'!$J$39:$L$46,3,0))</f>
        <v/>
      </c>
      <c r="BG134" s="744" t="str">
        <f t="shared" si="55"/>
        <v/>
      </c>
      <c r="BH134" s="744" t="str">
        <f>IF(G134="","",IF(BF134="Abu Dhabi",IF(G134&lt;18,'General Basis'!$C$39,IF(G134&lt;41,'General Basis'!$C$40,IF(G134&lt;60,'General Basis'!$C$41,IF(G134&lt;65,'General Basis'!$C$42,'General Basis'!$C$43)))),IF(G134&lt;11,'General Basis'!$B$39,IF(G134&lt;18,'General Basis'!$B$40,IF(G134&lt;26,'General Basis'!$B$41,IF(G134&lt;31,'General Basis'!$B$42,IF(G134&lt;36,'General Basis'!$B$43,IF(G134&lt;41,'General Basis'!$B$44,IF(G134&lt;46,'General Basis'!$B$45,IF(G134&lt;51,'General Basis'!$B$46,IF(G134&lt;56,'General Basis'!$B$47,IF(G134&lt;60,'General Basis'!$B$48,IF(G134&lt;65,'General Basis'!$B$49,'General Basis'!$B$50)))))))))))))</f>
        <v/>
      </c>
      <c r="BI134" s="744" t="str">
        <f t="shared" ref="BI134:BI197" si="71">IF(C134="","",IF(C134="M","Male","Female"))</f>
        <v/>
      </c>
      <c r="BJ134" s="747" t="str">
        <f t="shared" si="56"/>
        <v/>
      </c>
      <c r="BK134" s="498" t="str">
        <f t="shared" ref="BK134:BK197" si="72">IF(BD134="","",IF(AND(BD134="Employee",BI134="Male",BF134="Abu Dhabi",BE134=GN_Plus),VLOOKUP(BH134,AUH_MALE_EMP,2,0),IF(AND(BD134="Employee",BI134="Male",BF134="Abu Dhabi",BE134=GN),VLOOKUP(BH134,AUH_MALE_EMP,3,0),IF(AND(BD134="Employee",BI134="Male",BF134="Abu Dhabi",BE134=RN_Plus),VLOOKUP(BH134,AUH_MALE_EMP,4,0),IF(AND(BD134="Employee",BI134="Male",BF134="Abu Dhabi",BE134=RN),VLOOKUP(BH134,AUH_MALE_EMP,5,0),IF(AND(BD134="Employee",BI134="Male",BF134="Abu Dhabi",BE134=RN_2),VLOOKUP(BH134,AUH_MALE_EMP,6,0),IF(AND(BD134="Employee",BI134="Male",BF134="Abu Dhabi",BE134=RN2_minus),VLOOKUP(BH134,AUH_MALE_EMP,7,0),IF(AND(BD134="Employee",BI134="Male",BF134="Abu Dhabi",BE134=RN_3),VLOOKUP(BH134,AUH_MALE_EMP,8,0),IF(AND(BD134="Employee",BI134="Male",BF134="Abu Dhabi",BE134=VN),VLOOKUP(BH134,AUH_MALE_EMP,9,0),IF(BD134="","",IF(AND(BD134="Employee",BI134="Female",BF134="Abu Dhabi",BE134=GN_Plus),VLOOKUP(BH134,AUH_FEMALE_EMP,2,0),IF(AND(BD134="Employee",BI134="Female",BF134="Abu Dhabi",BE134=GN),VLOOKUP(BH134,AUH_FEMALE_EMP,3,0),IF(AND(BD134="Employee",BI134="Female",BF134="Abu Dhabi",BE134=RN_Plus),VLOOKUP(BH134,AUH_FEMALE_EMP,4,0),IF(AND(BD134="Employee",BI134="Female",BF134="Abu Dhabi",BE134=RN),VLOOKUP(BH134,AUH_FEMALE_EMP,5,0),IF(AND(BD134="Employee",BI134="Female",BF134="Abu Dhabi",BE134=RN_2),VLOOKUP(BH134,AUH_FEMALE_EMP,6,0),IF(AND(BD134="Employee",BI134="Female",BF134="Abu Dhabi",BE134=RN2_minus),VLOOKUP(BH134,AUH_FEMALE_EMP,7,0),IF(AND(BD134="Employee",BI134="Female",BF134="Abu Dhabi",BE134=RN_3),VLOOKUP(BH134,AUH_FEMALE_EMP,8,0),IF(AND(BD134="Employee",BI134="Female",BF134="Abu Dhabi",BE134=VN),VLOOKUP(BH134,AUH_FEMALE_EMP,9,0),IF(BD134="","",IF(AND(BD134="Dependent",BI134="Male",BF134="Abu Dhabi",BE134=GN_Plus),VLOOKUP(BH134,AUH_MALE_DEP,2,0),IF(AND(BD134="Dependent",BI134="Male",BF134="Abu Dhabi",BE134=GN),VLOOKUP(BH134,AUH_MALE_DEP,3,0),IF(AND(BD134="Dependent",BI134="Male",BF134="Abu Dhabi",BE134=RN_Plus),VLOOKUP(BH134,AUH_MALE_DEP,4,0),IF(AND(BD134="Dependent",BI134="Male",BF134="Abu Dhabi",BE134=RN),VLOOKUP(BH134,AUH_MALE_DEP,5,0),IF(AND(BD134="Dependent",BI134="Male",BF134="Abu Dhabi",BE134=RN_2),VLOOKUP(BH134,AUH_MALE_DEP,6,0),IF(AND(BD134="Dependent",BI134="Male",BF134="Abu Dhabi",BE134=RN2_minus),VLOOKUP(BH134,AUH_MALE_DEP,7,0),IF(AND(BD134="Dependent",BI134="Male",BF134="Abu Dhabi",BE134=RN_3),VLOOKUP(BH134,AUH_MALE_DEP,8,0),IF(AND(BD134="Dependent",BI134="Male",BF134="Abu Dhabi",BE134=VN),VLOOKUP(BH134,AUH_MALE_DEP,9,0),IF(BD134="","",IF(AND(BD134="Dependent",BI134="Female",BF134="Abu Dhabi",BE134=GN_Plus),VLOOKUP(BH134,AUH_FEMALE_DEP,2,0),IF(AND(BD134="Dependent",BI134="Female",BF134="Abu Dhabi",BE134=GN),VLOOKUP(BH134,AUH_FEMALE_DEP,3,0),IF(AND(BD134="Dependent",BI134="Female",BF134="Abu Dhabi",BE134=RN_Plus),VLOOKUP(BH134,AUH_FEMALE_DEP,4,0),IF(AND(BD134="Dependent",BI134="Female",BF134="Abu Dhabi",BE134=RN),VLOOKUP(BH134,AUH_FEMALE_DEP,5,0),IF(AND(BD134="Dependent",BI134="Female",BF134="Abu Dhabi",BE134=RN_2),VLOOKUP(BH134,AUH_FEMALE_DEP,6,0),IF(AND(BD134="Dependent",BI134="Female",BF134="Abu Dhabi",BE134=RN2_minus),VLOOKUP(BH134,AUH_FEMALE_DEP,7,0),IF(AND(BD134="Dependent",BI134="Female",BF134="Abu Dhabi",BE134=RN_3),VLOOKUP(BH134,AUH_FEMALE_DEP,8,0),IF(AND(BD134="Dependent",BI134="Female",BF134="Abu Dhabi",BE134=VN),VLOOKUP(BH134,AUH_FEMALE_DEP,9,0),"ABC"))))))))))))))))))))))))))))))))))))</f>
        <v/>
      </c>
      <c r="BL134" s="498" t="str">
        <f t="shared" ref="BL134:BL197" si="73">IF(BD134="","",IF(AND(BD134="Employee",BI134="Male",BF134="Dubai",BE134=GN_Plus),VLOOKUP(BH134,DXB_MALE_EMP,2,0),IF(AND(BD134="Employee",BI134="Male",BF134="Dubai",BE134=GN),VLOOKUP(BH134,DXB_MALE_EMP,3,0),IF(AND(BD134="Employee",BI134="Male",BF134="Dubai",BE134=RN_Plus),VLOOKUP(BH134,DXB_MALE_EMP,4,0),IF(AND(BD134="Employee",BI134="Male",BF134="Dubai",BE134=RN),VLOOKUP(BH134,DXB_MALE_EMP,5,0),IF(AND(BD134="Employee",BI134="Male",BF134="Dubai",BE134=RN_2),VLOOKUP(BH134,DXB_MALE_EMP,6,0),IF(AND(BD134="Employee",BI134="Male",BF134="Dubai",BE134=RN2_minus),VLOOKUP(BH134,DXB_MALE_EMP,7,0),IF(AND(BD134="Employee",BI134="Male",BF134="Dubai",BE134=RN_3),VLOOKUP(BH134,DXB_MALE_EMP,8,0),IF(AND(BD134="Employee",BI134="Male",BF134="Dubai",BE134=VN),VLOOKUP(BH134,DXB_MALE_EMP,9,0),IF(BD134="","",IF(AND(BD134="Employee",BI134="Female",BF134="Dubai",BE134=GN_Plus),VLOOKUP(BH134,DXB_FEMALE_EMP,2,0),IF(AND(BD134="Employee",BI134="Female",BF134="Dubai",BE134=GN),VLOOKUP(BH134,DXB_FEMALE_EMP,3,0),IF(AND(BD134="Employee",BI134="Female",BF134="Dubai",BE134=RN_Plus),VLOOKUP(BH134,DXB_FEMALE_EMP,4,0),IF(AND(BD134="Employee",BI134="Female",BF134="Dubai",BE134=RN),VLOOKUP(BH134,DXB_FEMALE_EMP,5,0),IF(AND(BD134="Employee",BI134="Female",BF134="Dubai",BE134=RN_2),VLOOKUP(BH134,DXB_FEMALE_EMP,6,0),IF(AND(BD134="Employee",BI134="Female",BF134="Dubai",BE134=RN2_minus),VLOOKUP(BH134,DXB_FEMALE_EMP,7,0),IF(AND(BD134="Employee",BI134="Female",BF134="Dubai",BE134=RN_3),VLOOKUP(BH134,DXB_FEMALE_EMP,8,0),IF(AND(BD134="Employee",BI134="Female",BF134="Dubai",BE134=VN),VLOOKUP(BH134,DXB_FEMALE_EMP,9,0),IF(BD134="","",IF(AND(BD134="Dependent",BI134="Male",BF134="Dubai",BE134=GN_Plus),VLOOKUP(BH134,DXB_MALE_DEP,2,0),IF(AND(BD134="Dependent",BI134="Male",BF134="Dubai",BE134=GN),VLOOKUP(BH134,DXB_MALE_DEP,3,0),IF(AND(BD134="Dependent",BI134="Male",BF134="Dubai",BE134=RN_Plus),VLOOKUP(BH134,DXB_MALE_DEP,4,0),IF(AND(BD134="Dependent",BI134="Male",BF134="Dubai",BE134=RN),VLOOKUP(BH134,DXB_MALE_DEP,5,0),IF(AND(BD134="Dependent",BI134="Male",BF134="Dubai",BE134=RN_2),VLOOKUP(BH134,DXB_MALE_DEP,6,0),IF(AND(BD134="Dependent",BI134="Male",BF134="Dubai",BE134=RN2_minus),VLOOKUP(BH134,DXB_MALE_DEP,7,0),IF(AND(BD134="Dependent",BI134="Male",BF134="Dubai",BE134=RN_3),VLOOKUP(BH134,DXB_MALE_DEP,8,0),IF(AND(BD134="Dependent",BI134="Male",BF134="Dubai",BE134=VN),VLOOKUP(BH134,DXB_MALE_DEP,9,0),IF(BD134="","",IF(AND(BD134="Dependent",BI134="Female",BF134="Dubai",BE134=GN_Plus),VLOOKUP(BH134,DXB_FEMALE_DEP,2,0),IF(AND(BD134="Dependent",BI134="Female",BF134="Dubai",BE134=GN),VLOOKUP(BH134,DXB_FEMALE_DEP,3,0),IF(AND(BD134="Dependent",BI134="Female",BF134="Dubai",BE134=RN_Plus),VLOOKUP(BH134,DXB_FEMALE_DEP,4,0),IF(AND(BD134="Dependent",BI134="Female",BF134="Dubai",BE134=RN),VLOOKUP(BH134,DXB_FEMALE_DEP,5,0),IF(AND(BD134="Dependent",BI134="Female",BF134="Dubai",BE134=RN_2),VLOOKUP(BH134,DXB_FEMALE_DEP,6,0),IF(AND(BD134="Dependent",BI134="Female",BF134="Dubai",BE134=RN2_minus),VLOOKUP(BH134,DXB_FEMALE_DEP,7,0),IF(AND(BD134="Dependent",BI134="Female",BF134="Dubai",BE134=RN_3),VLOOKUP(BH134,DXB_FEMALE_DEP,8,0),IF(AND(BD134="Dependent",BI134="Female",BF134="Dubai",BE134=VN),VLOOKUP(BH134,DXB_FEMALE_DEP,9,0),"ABC"))))))))))))))))))))))))))))))))))))</f>
        <v/>
      </c>
    </row>
    <row r="135" spans="1:64" x14ac:dyDescent="0.25">
      <c r="A135" s="762">
        <f t="shared" ref="A135:A198" si="74">+A134+1</f>
        <v>130</v>
      </c>
      <c r="B135" s="229"/>
      <c r="C135" s="223"/>
      <c r="D135" s="224"/>
      <c r="E135" s="225"/>
      <c r="F135" s="1036" t="str">
        <f t="shared" si="58"/>
        <v/>
      </c>
      <c r="G135" s="1037" t="str">
        <f t="shared" ref="G135:G198" si="75">IF(D135="","",MAX(0,ROUNDUP(F135,0)))</f>
        <v/>
      </c>
      <c r="H135" s="225"/>
      <c r="I135" s="1013"/>
      <c r="J135" s="1013"/>
      <c r="K135" s="1028"/>
      <c r="L135" s="1035" t="str">
        <f t="shared" si="57"/>
        <v/>
      </c>
      <c r="S135" s="498"/>
      <c r="AJ135" s="498"/>
      <c r="AM135" s="498">
        <f t="shared" si="60"/>
        <v>0</v>
      </c>
      <c r="AN135" s="498">
        <f t="shared" si="61"/>
        <v>0</v>
      </c>
      <c r="AO135" s="498">
        <f t="shared" si="62"/>
        <v>0</v>
      </c>
      <c r="AP135" s="498">
        <f t="shared" si="59"/>
        <v>0</v>
      </c>
      <c r="AQ135" s="498">
        <f t="shared" ref="AQ135:AQ198" si="76">IF(ISBLANK($B135),0,IF(OR($H135="Single",$H135="Married"),0,1))</f>
        <v>0</v>
      </c>
      <c r="AU135" s="498">
        <f t="shared" si="63"/>
        <v>0</v>
      </c>
      <c r="AV135" s="498">
        <f t="shared" si="64"/>
        <v>0</v>
      </c>
      <c r="AW135" s="498">
        <f t="shared" si="65"/>
        <v>0</v>
      </c>
      <c r="AX135" s="498">
        <f t="shared" si="66"/>
        <v>0</v>
      </c>
      <c r="AY135" s="498">
        <f t="shared" si="67"/>
        <v>0</v>
      </c>
      <c r="BB135" s="498" t="str">
        <f t="shared" si="68"/>
        <v/>
      </c>
      <c r="BC135" s="743" t="str">
        <f t="shared" si="69"/>
        <v/>
      </c>
      <c r="BD135" s="743" t="str">
        <f t="shared" si="70"/>
        <v/>
      </c>
      <c r="BE135" s="743" t="str">
        <f>IF(D135="","",VLOOKUP(D135,'General Basis'!$J$39:$K$46,2,0))</f>
        <v/>
      </c>
      <c r="BF135" s="744" t="str">
        <f>IF(D135="","",VLOOKUP(D135,'General Basis'!$J$39:$L$46,3,0))</f>
        <v/>
      </c>
      <c r="BG135" s="744" t="str">
        <f t="shared" ref="BG135:BG198" si="77">BC135&amp;BI135</f>
        <v/>
      </c>
      <c r="BH135" s="744" t="str">
        <f>IF(G135="","",IF(BF135="Abu Dhabi",IF(G135&lt;18,'General Basis'!$C$39,IF(G135&lt;41,'General Basis'!$C$40,IF(G135&lt;60,'General Basis'!$C$41,IF(G135&lt;65,'General Basis'!$C$42,'General Basis'!$C$43)))),IF(G135&lt;11,'General Basis'!$B$39,IF(G135&lt;18,'General Basis'!$B$40,IF(G135&lt;26,'General Basis'!$B$41,IF(G135&lt;31,'General Basis'!$B$42,IF(G135&lt;36,'General Basis'!$B$43,IF(G135&lt;41,'General Basis'!$B$44,IF(G135&lt;46,'General Basis'!$B$45,IF(G135&lt;51,'General Basis'!$B$46,IF(G135&lt;56,'General Basis'!$B$47,IF(G135&lt;60,'General Basis'!$B$48,IF(G135&lt;65,'General Basis'!$B$49,'General Basis'!$B$50)))))))))))))</f>
        <v/>
      </c>
      <c r="BI135" s="744" t="str">
        <f t="shared" si="71"/>
        <v/>
      </c>
      <c r="BJ135" s="747" t="str">
        <f t="shared" ref="BJ135:BJ198" si="78">IF(BD135="","",IF(BF135="Abu Dhabi",BK135,BL135))</f>
        <v/>
      </c>
      <c r="BK135" s="498" t="str">
        <f t="shared" si="72"/>
        <v/>
      </c>
      <c r="BL135" s="498" t="str">
        <f t="shared" si="73"/>
        <v/>
      </c>
    </row>
    <row r="136" spans="1:64" x14ac:dyDescent="0.25">
      <c r="A136" s="762">
        <f t="shared" si="74"/>
        <v>131</v>
      </c>
      <c r="B136" s="229"/>
      <c r="C136" s="223"/>
      <c r="D136" s="224"/>
      <c r="E136" s="225"/>
      <c r="F136" s="1036" t="str">
        <f t="shared" si="58"/>
        <v/>
      </c>
      <c r="G136" s="1037" t="str">
        <f t="shared" si="75"/>
        <v/>
      </c>
      <c r="H136" s="225"/>
      <c r="I136" s="1013"/>
      <c r="J136" s="1013"/>
      <c r="K136" s="1028"/>
      <c r="L136" s="1035" t="str">
        <f t="shared" ref="L136:L199" si="79">IF(AND(E136="Child",H136="Married"),"Check the Marital Status of the Child. ",IF(AND(E136="Child",F136&gt;18),"Child Age exceed 18 years. ",IF(AND(E136="Spouse",H136="Single"),"Spouse is selected as Single. ","")))&amp;IF(K136&gt;0,"UW Loading has been Applied","")</f>
        <v/>
      </c>
      <c r="S136" s="498"/>
      <c r="AJ136" s="498"/>
      <c r="AM136" s="498">
        <f t="shared" si="60"/>
        <v>0</v>
      </c>
      <c r="AN136" s="498">
        <f t="shared" si="61"/>
        <v>0</v>
      </c>
      <c r="AO136" s="498">
        <f t="shared" si="62"/>
        <v>0</v>
      </c>
      <c r="AP136" s="498">
        <f t="shared" si="59"/>
        <v>0</v>
      </c>
      <c r="AQ136" s="498">
        <f t="shared" si="76"/>
        <v>0</v>
      </c>
      <c r="AU136" s="498">
        <f t="shared" si="63"/>
        <v>0</v>
      </c>
      <c r="AV136" s="498">
        <f t="shared" si="64"/>
        <v>0</v>
      </c>
      <c r="AW136" s="498">
        <f t="shared" si="65"/>
        <v>0</v>
      </c>
      <c r="AX136" s="498">
        <f t="shared" si="66"/>
        <v>0</v>
      </c>
      <c r="AY136" s="498">
        <f t="shared" si="67"/>
        <v>0</v>
      </c>
      <c r="BB136" s="498" t="str">
        <f t="shared" si="68"/>
        <v/>
      </c>
      <c r="BC136" s="743" t="str">
        <f t="shared" si="69"/>
        <v/>
      </c>
      <c r="BD136" s="743" t="str">
        <f t="shared" si="70"/>
        <v/>
      </c>
      <c r="BE136" s="743" t="str">
        <f>IF(D136="","",VLOOKUP(D136,'General Basis'!$J$39:$K$46,2,0))</f>
        <v/>
      </c>
      <c r="BF136" s="744" t="str">
        <f>IF(D136="","",VLOOKUP(D136,'General Basis'!$J$39:$L$46,3,0))</f>
        <v/>
      </c>
      <c r="BG136" s="744" t="str">
        <f t="shared" si="77"/>
        <v/>
      </c>
      <c r="BH136" s="744" t="str">
        <f>IF(G136="","",IF(BF136="Abu Dhabi",IF(G136&lt;18,'General Basis'!$C$39,IF(G136&lt;41,'General Basis'!$C$40,IF(G136&lt;60,'General Basis'!$C$41,IF(G136&lt;65,'General Basis'!$C$42,'General Basis'!$C$43)))),IF(G136&lt;11,'General Basis'!$B$39,IF(G136&lt;18,'General Basis'!$B$40,IF(G136&lt;26,'General Basis'!$B$41,IF(G136&lt;31,'General Basis'!$B$42,IF(G136&lt;36,'General Basis'!$B$43,IF(G136&lt;41,'General Basis'!$B$44,IF(G136&lt;46,'General Basis'!$B$45,IF(G136&lt;51,'General Basis'!$B$46,IF(G136&lt;56,'General Basis'!$B$47,IF(G136&lt;60,'General Basis'!$B$48,IF(G136&lt;65,'General Basis'!$B$49,'General Basis'!$B$50)))))))))))))</f>
        <v/>
      </c>
      <c r="BI136" s="744" t="str">
        <f t="shared" si="71"/>
        <v/>
      </c>
      <c r="BJ136" s="747" t="str">
        <f t="shared" si="78"/>
        <v/>
      </c>
      <c r="BK136" s="498" t="str">
        <f t="shared" si="72"/>
        <v/>
      </c>
      <c r="BL136" s="498" t="str">
        <f t="shared" si="73"/>
        <v/>
      </c>
    </row>
    <row r="137" spans="1:64" x14ac:dyDescent="0.25">
      <c r="A137" s="762">
        <f t="shared" si="74"/>
        <v>132</v>
      </c>
      <c r="B137" s="229"/>
      <c r="C137" s="223"/>
      <c r="D137" s="224"/>
      <c r="E137" s="225"/>
      <c r="F137" s="1036" t="str">
        <f t="shared" si="58"/>
        <v/>
      </c>
      <c r="G137" s="1037" t="str">
        <f t="shared" si="75"/>
        <v/>
      </c>
      <c r="H137" s="225"/>
      <c r="I137" s="1013"/>
      <c r="J137" s="1013"/>
      <c r="K137" s="1028"/>
      <c r="L137" s="1035" t="str">
        <f t="shared" si="79"/>
        <v/>
      </c>
      <c r="S137" s="498"/>
      <c r="AJ137" s="498"/>
      <c r="AM137" s="498">
        <f t="shared" si="60"/>
        <v>0</v>
      </c>
      <c r="AN137" s="498">
        <f t="shared" si="61"/>
        <v>0</v>
      </c>
      <c r="AO137" s="498">
        <f t="shared" si="62"/>
        <v>0</v>
      </c>
      <c r="AP137" s="498">
        <f t="shared" si="59"/>
        <v>0</v>
      </c>
      <c r="AQ137" s="498">
        <f t="shared" si="76"/>
        <v>0</v>
      </c>
      <c r="AU137" s="498">
        <f t="shared" si="63"/>
        <v>0</v>
      </c>
      <c r="AV137" s="498">
        <f t="shared" si="64"/>
        <v>0</v>
      </c>
      <c r="AW137" s="498">
        <f t="shared" si="65"/>
        <v>0</v>
      </c>
      <c r="AX137" s="498">
        <f t="shared" si="66"/>
        <v>0</v>
      </c>
      <c r="AY137" s="498">
        <f t="shared" si="67"/>
        <v>0</v>
      </c>
      <c r="BB137" s="498" t="str">
        <f t="shared" si="68"/>
        <v/>
      </c>
      <c r="BC137" s="743" t="str">
        <f t="shared" si="69"/>
        <v/>
      </c>
      <c r="BD137" s="743" t="str">
        <f t="shared" si="70"/>
        <v/>
      </c>
      <c r="BE137" s="743" t="str">
        <f>IF(D137="","",VLOOKUP(D137,'General Basis'!$J$39:$K$46,2,0))</f>
        <v/>
      </c>
      <c r="BF137" s="744" t="str">
        <f>IF(D137="","",VLOOKUP(D137,'General Basis'!$J$39:$L$46,3,0))</f>
        <v/>
      </c>
      <c r="BG137" s="744" t="str">
        <f t="shared" si="77"/>
        <v/>
      </c>
      <c r="BH137" s="744" t="str">
        <f>IF(G137="","",IF(BF137="Abu Dhabi",IF(G137&lt;18,'General Basis'!$C$39,IF(G137&lt;41,'General Basis'!$C$40,IF(G137&lt;60,'General Basis'!$C$41,IF(G137&lt;65,'General Basis'!$C$42,'General Basis'!$C$43)))),IF(G137&lt;11,'General Basis'!$B$39,IF(G137&lt;18,'General Basis'!$B$40,IF(G137&lt;26,'General Basis'!$B$41,IF(G137&lt;31,'General Basis'!$B$42,IF(G137&lt;36,'General Basis'!$B$43,IF(G137&lt;41,'General Basis'!$B$44,IF(G137&lt;46,'General Basis'!$B$45,IF(G137&lt;51,'General Basis'!$B$46,IF(G137&lt;56,'General Basis'!$B$47,IF(G137&lt;60,'General Basis'!$B$48,IF(G137&lt;65,'General Basis'!$B$49,'General Basis'!$B$50)))))))))))))</f>
        <v/>
      </c>
      <c r="BI137" s="744" t="str">
        <f t="shared" si="71"/>
        <v/>
      </c>
      <c r="BJ137" s="747" t="str">
        <f t="shared" si="78"/>
        <v/>
      </c>
      <c r="BK137" s="498" t="str">
        <f t="shared" si="72"/>
        <v/>
      </c>
      <c r="BL137" s="498" t="str">
        <f t="shared" si="73"/>
        <v/>
      </c>
    </row>
    <row r="138" spans="1:64" x14ac:dyDescent="0.25">
      <c r="A138" s="762">
        <f t="shared" si="74"/>
        <v>133</v>
      </c>
      <c r="B138" s="229"/>
      <c r="C138" s="223"/>
      <c r="D138" s="224"/>
      <c r="E138" s="225"/>
      <c r="F138" s="1036" t="str">
        <f t="shared" si="58"/>
        <v/>
      </c>
      <c r="G138" s="1037" t="str">
        <f t="shared" si="75"/>
        <v/>
      </c>
      <c r="H138" s="225"/>
      <c r="I138" s="1013"/>
      <c r="J138" s="1013"/>
      <c r="K138" s="1028"/>
      <c r="L138" s="1035" t="str">
        <f t="shared" si="79"/>
        <v/>
      </c>
      <c r="S138" s="498"/>
      <c r="AJ138" s="498"/>
      <c r="AM138" s="498">
        <f t="shared" si="60"/>
        <v>0</v>
      </c>
      <c r="AN138" s="498">
        <f t="shared" si="61"/>
        <v>0</v>
      </c>
      <c r="AO138" s="498">
        <f t="shared" si="62"/>
        <v>0</v>
      </c>
      <c r="AP138" s="498">
        <f t="shared" si="59"/>
        <v>0</v>
      </c>
      <c r="AQ138" s="498">
        <f t="shared" si="76"/>
        <v>0</v>
      </c>
      <c r="AU138" s="498">
        <f t="shared" si="63"/>
        <v>0</v>
      </c>
      <c r="AV138" s="498">
        <f t="shared" si="64"/>
        <v>0</v>
      </c>
      <c r="AW138" s="498">
        <f t="shared" si="65"/>
        <v>0</v>
      </c>
      <c r="AX138" s="498">
        <f t="shared" si="66"/>
        <v>0</v>
      </c>
      <c r="AY138" s="498">
        <f t="shared" si="67"/>
        <v>0</v>
      </c>
      <c r="BB138" s="498" t="str">
        <f t="shared" si="68"/>
        <v/>
      </c>
      <c r="BC138" s="743" t="str">
        <f t="shared" si="69"/>
        <v/>
      </c>
      <c r="BD138" s="743" t="str">
        <f t="shared" si="70"/>
        <v/>
      </c>
      <c r="BE138" s="743" t="str">
        <f>IF(D138="","",VLOOKUP(D138,'General Basis'!$J$39:$K$46,2,0))</f>
        <v/>
      </c>
      <c r="BF138" s="744" t="str">
        <f>IF(D138="","",VLOOKUP(D138,'General Basis'!$J$39:$L$46,3,0))</f>
        <v/>
      </c>
      <c r="BG138" s="744" t="str">
        <f t="shared" si="77"/>
        <v/>
      </c>
      <c r="BH138" s="744" t="str">
        <f>IF(G138="","",IF(BF138="Abu Dhabi",IF(G138&lt;18,'General Basis'!$C$39,IF(G138&lt;41,'General Basis'!$C$40,IF(G138&lt;60,'General Basis'!$C$41,IF(G138&lt;65,'General Basis'!$C$42,'General Basis'!$C$43)))),IF(G138&lt;11,'General Basis'!$B$39,IF(G138&lt;18,'General Basis'!$B$40,IF(G138&lt;26,'General Basis'!$B$41,IF(G138&lt;31,'General Basis'!$B$42,IF(G138&lt;36,'General Basis'!$B$43,IF(G138&lt;41,'General Basis'!$B$44,IF(G138&lt;46,'General Basis'!$B$45,IF(G138&lt;51,'General Basis'!$B$46,IF(G138&lt;56,'General Basis'!$B$47,IF(G138&lt;60,'General Basis'!$B$48,IF(G138&lt;65,'General Basis'!$B$49,'General Basis'!$B$50)))))))))))))</f>
        <v/>
      </c>
      <c r="BI138" s="744" t="str">
        <f t="shared" si="71"/>
        <v/>
      </c>
      <c r="BJ138" s="747" t="str">
        <f t="shared" si="78"/>
        <v/>
      </c>
      <c r="BK138" s="498" t="str">
        <f t="shared" si="72"/>
        <v/>
      </c>
      <c r="BL138" s="498" t="str">
        <f t="shared" si="73"/>
        <v/>
      </c>
    </row>
    <row r="139" spans="1:64" x14ac:dyDescent="0.25">
      <c r="A139" s="762">
        <f t="shared" si="74"/>
        <v>134</v>
      </c>
      <c r="B139" s="229"/>
      <c r="C139" s="223"/>
      <c r="D139" s="224"/>
      <c r="E139" s="225"/>
      <c r="F139" s="1036" t="str">
        <f t="shared" si="58"/>
        <v/>
      </c>
      <c r="G139" s="1037" t="str">
        <f t="shared" si="75"/>
        <v/>
      </c>
      <c r="H139" s="225"/>
      <c r="I139" s="1013"/>
      <c r="J139" s="1013"/>
      <c r="K139" s="1028"/>
      <c r="L139" s="1035" t="str">
        <f t="shared" si="79"/>
        <v/>
      </c>
      <c r="S139" s="498"/>
      <c r="AJ139" s="498"/>
      <c r="AM139" s="498">
        <f t="shared" si="60"/>
        <v>0</v>
      </c>
      <c r="AN139" s="498">
        <f t="shared" si="61"/>
        <v>0</v>
      </c>
      <c r="AO139" s="498">
        <f t="shared" si="62"/>
        <v>0</v>
      </c>
      <c r="AP139" s="498">
        <f t="shared" si="59"/>
        <v>0</v>
      </c>
      <c r="AQ139" s="498">
        <f t="shared" si="76"/>
        <v>0</v>
      </c>
      <c r="AU139" s="498">
        <f t="shared" si="63"/>
        <v>0</v>
      </c>
      <c r="AV139" s="498">
        <f t="shared" si="64"/>
        <v>0</v>
      </c>
      <c r="AW139" s="498">
        <f t="shared" si="65"/>
        <v>0</v>
      </c>
      <c r="AX139" s="498">
        <f t="shared" si="66"/>
        <v>0</v>
      </c>
      <c r="AY139" s="498">
        <f t="shared" si="67"/>
        <v>0</v>
      </c>
      <c r="BB139" s="498" t="str">
        <f t="shared" si="68"/>
        <v/>
      </c>
      <c r="BC139" s="743" t="str">
        <f t="shared" si="69"/>
        <v/>
      </c>
      <c r="BD139" s="743" t="str">
        <f t="shared" si="70"/>
        <v/>
      </c>
      <c r="BE139" s="743" t="str">
        <f>IF(D139="","",VLOOKUP(D139,'General Basis'!$J$39:$K$46,2,0))</f>
        <v/>
      </c>
      <c r="BF139" s="744" t="str">
        <f>IF(D139="","",VLOOKUP(D139,'General Basis'!$J$39:$L$46,3,0))</f>
        <v/>
      </c>
      <c r="BG139" s="744" t="str">
        <f t="shared" si="77"/>
        <v/>
      </c>
      <c r="BH139" s="744" t="str">
        <f>IF(G139="","",IF(BF139="Abu Dhabi",IF(G139&lt;18,'General Basis'!$C$39,IF(G139&lt;41,'General Basis'!$C$40,IF(G139&lt;60,'General Basis'!$C$41,IF(G139&lt;65,'General Basis'!$C$42,'General Basis'!$C$43)))),IF(G139&lt;11,'General Basis'!$B$39,IF(G139&lt;18,'General Basis'!$B$40,IF(G139&lt;26,'General Basis'!$B$41,IF(G139&lt;31,'General Basis'!$B$42,IF(G139&lt;36,'General Basis'!$B$43,IF(G139&lt;41,'General Basis'!$B$44,IF(G139&lt;46,'General Basis'!$B$45,IF(G139&lt;51,'General Basis'!$B$46,IF(G139&lt;56,'General Basis'!$B$47,IF(G139&lt;60,'General Basis'!$B$48,IF(G139&lt;65,'General Basis'!$B$49,'General Basis'!$B$50)))))))))))))</f>
        <v/>
      </c>
      <c r="BI139" s="744" t="str">
        <f t="shared" si="71"/>
        <v/>
      </c>
      <c r="BJ139" s="747" t="str">
        <f t="shared" si="78"/>
        <v/>
      </c>
      <c r="BK139" s="498" t="str">
        <f t="shared" si="72"/>
        <v/>
      </c>
      <c r="BL139" s="498" t="str">
        <f t="shared" si="73"/>
        <v/>
      </c>
    </row>
    <row r="140" spans="1:64" x14ac:dyDescent="0.25">
      <c r="A140" s="762">
        <f t="shared" si="74"/>
        <v>135</v>
      </c>
      <c r="B140" s="229"/>
      <c r="C140" s="223"/>
      <c r="D140" s="224"/>
      <c r="E140" s="225"/>
      <c r="F140" s="1036" t="str">
        <f t="shared" si="58"/>
        <v/>
      </c>
      <c r="G140" s="1037" t="str">
        <f t="shared" si="75"/>
        <v/>
      </c>
      <c r="H140" s="225"/>
      <c r="I140" s="1013"/>
      <c r="J140" s="1013"/>
      <c r="K140" s="1028"/>
      <c r="L140" s="1035" t="str">
        <f t="shared" si="79"/>
        <v/>
      </c>
      <c r="S140" s="498"/>
      <c r="AJ140" s="498"/>
      <c r="AM140" s="498">
        <f t="shared" si="60"/>
        <v>0</v>
      </c>
      <c r="AN140" s="498">
        <f t="shared" si="61"/>
        <v>0</v>
      </c>
      <c r="AO140" s="498">
        <f t="shared" si="62"/>
        <v>0</v>
      </c>
      <c r="AP140" s="498">
        <f t="shared" si="59"/>
        <v>0</v>
      </c>
      <c r="AQ140" s="498">
        <f t="shared" si="76"/>
        <v>0</v>
      </c>
      <c r="AU140" s="498">
        <f t="shared" si="63"/>
        <v>0</v>
      </c>
      <c r="AV140" s="498">
        <f t="shared" si="64"/>
        <v>0</v>
      </c>
      <c r="AW140" s="498">
        <f t="shared" si="65"/>
        <v>0</v>
      </c>
      <c r="AX140" s="498">
        <f t="shared" si="66"/>
        <v>0</v>
      </c>
      <c r="AY140" s="498">
        <f t="shared" si="67"/>
        <v>0</v>
      </c>
      <c r="BB140" s="498" t="str">
        <f t="shared" si="68"/>
        <v/>
      </c>
      <c r="BC140" s="743" t="str">
        <f t="shared" si="69"/>
        <v/>
      </c>
      <c r="BD140" s="743" t="str">
        <f t="shared" si="70"/>
        <v/>
      </c>
      <c r="BE140" s="743" t="str">
        <f>IF(D140="","",VLOOKUP(D140,'General Basis'!$J$39:$K$46,2,0))</f>
        <v/>
      </c>
      <c r="BF140" s="744" t="str">
        <f>IF(D140="","",VLOOKUP(D140,'General Basis'!$J$39:$L$46,3,0))</f>
        <v/>
      </c>
      <c r="BG140" s="744" t="str">
        <f t="shared" si="77"/>
        <v/>
      </c>
      <c r="BH140" s="744" t="str">
        <f>IF(G140="","",IF(BF140="Abu Dhabi",IF(G140&lt;18,'General Basis'!$C$39,IF(G140&lt;41,'General Basis'!$C$40,IF(G140&lt;60,'General Basis'!$C$41,IF(G140&lt;65,'General Basis'!$C$42,'General Basis'!$C$43)))),IF(G140&lt;11,'General Basis'!$B$39,IF(G140&lt;18,'General Basis'!$B$40,IF(G140&lt;26,'General Basis'!$B$41,IF(G140&lt;31,'General Basis'!$B$42,IF(G140&lt;36,'General Basis'!$B$43,IF(G140&lt;41,'General Basis'!$B$44,IF(G140&lt;46,'General Basis'!$B$45,IF(G140&lt;51,'General Basis'!$B$46,IF(G140&lt;56,'General Basis'!$B$47,IF(G140&lt;60,'General Basis'!$B$48,IF(G140&lt;65,'General Basis'!$B$49,'General Basis'!$B$50)))))))))))))</f>
        <v/>
      </c>
      <c r="BI140" s="744" t="str">
        <f t="shared" si="71"/>
        <v/>
      </c>
      <c r="BJ140" s="747" t="str">
        <f t="shared" si="78"/>
        <v/>
      </c>
      <c r="BK140" s="498" t="str">
        <f t="shared" si="72"/>
        <v/>
      </c>
      <c r="BL140" s="498" t="str">
        <f t="shared" si="73"/>
        <v/>
      </c>
    </row>
    <row r="141" spans="1:64" x14ac:dyDescent="0.25">
      <c r="A141" s="762">
        <f t="shared" si="74"/>
        <v>136</v>
      </c>
      <c r="B141" s="229"/>
      <c r="C141" s="223"/>
      <c r="D141" s="224"/>
      <c r="E141" s="225"/>
      <c r="F141" s="1036" t="str">
        <f t="shared" si="58"/>
        <v/>
      </c>
      <c r="G141" s="1037" t="str">
        <f t="shared" si="75"/>
        <v/>
      </c>
      <c r="H141" s="225"/>
      <c r="I141" s="1013"/>
      <c r="J141" s="1013"/>
      <c r="K141" s="1028"/>
      <c r="L141" s="1035" t="str">
        <f t="shared" si="79"/>
        <v/>
      </c>
      <c r="S141" s="498"/>
      <c r="AJ141" s="498"/>
      <c r="AM141" s="498">
        <f t="shared" si="60"/>
        <v>0</v>
      </c>
      <c r="AN141" s="498">
        <f t="shared" si="61"/>
        <v>0</v>
      </c>
      <c r="AO141" s="498">
        <f t="shared" si="62"/>
        <v>0</v>
      </c>
      <c r="AP141" s="498">
        <f t="shared" si="59"/>
        <v>0</v>
      </c>
      <c r="AQ141" s="498">
        <f t="shared" si="76"/>
        <v>0</v>
      </c>
      <c r="AU141" s="498">
        <f t="shared" si="63"/>
        <v>0</v>
      </c>
      <c r="AV141" s="498">
        <f t="shared" si="64"/>
        <v>0</v>
      </c>
      <c r="AW141" s="498">
        <f t="shared" si="65"/>
        <v>0</v>
      </c>
      <c r="AX141" s="498">
        <f t="shared" si="66"/>
        <v>0</v>
      </c>
      <c r="AY141" s="498">
        <f t="shared" si="67"/>
        <v>0</v>
      </c>
      <c r="BB141" s="498" t="str">
        <f t="shared" si="68"/>
        <v/>
      </c>
      <c r="BC141" s="743" t="str">
        <f t="shared" si="69"/>
        <v/>
      </c>
      <c r="BD141" s="743" t="str">
        <f t="shared" si="70"/>
        <v/>
      </c>
      <c r="BE141" s="743" t="str">
        <f>IF(D141="","",VLOOKUP(D141,'General Basis'!$J$39:$K$46,2,0))</f>
        <v/>
      </c>
      <c r="BF141" s="744" t="str">
        <f>IF(D141="","",VLOOKUP(D141,'General Basis'!$J$39:$L$46,3,0))</f>
        <v/>
      </c>
      <c r="BG141" s="744" t="str">
        <f t="shared" si="77"/>
        <v/>
      </c>
      <c r="BH141" s="744" t="str">
        <f>IF(G141="","",IF(BF141="Abu Dhabi",IF(G141&lt;18,'General Basis'!$C$39,IF(G141&lt;41,'General Basis'!$C$40,IF(G141&lt;60,'General Basis'!$C$41,IF(G141&lt;65,'General Basis'!$C$42,'General Basis'!$C$43)))),IF(G141&lt;11,'General Basis'!$B$39,IF(G141&lt;18,'General Basis'!$B$40,IF(G141&lt;26,'General Basis'!$B$41,IF(G141&lt;31,'General Basis'!$B$42,IF(G141&lt;36,'General Basis'!$B$43,IF(G141&lt;41,'General Basis'!$B$44,IF(G141&lt;46,'General Basis'!$B$45,IF(G141&lt;51,'General Basis'!$B$46,IF(G141&lt;56,'General Basis'!$B$47,IF(G141&lt;60,'General Basis'!$B$48,IF(G141&lt;65,'General Basis'!$B$49,'General Basis'!$B$50)))))))))))))</f>
        <v/>
      </c>
      <c r="BI141" s="744" t="str">
        <f t="shared" si="71"/>
        <v/>
      </c>
      <c r="BJ141" s="747" t="str">
        <f t="shared" si="78"/>
        <v/>
      </c>
      <c r="BK141" s="498" t="str">
        <f t="shared" si="72"/>
        <v/>
      </c>
      <c r="BL141" s="498" t="str">
        <f t="shared" si="73"/>
        <v/>
      </c>
    </row>
    <row r="142" spans="1:64" x14ac:dyDescent="0.25">
      <c r="A142" s="762">
        <f t="shared" si="74"/>
        <v>137</v>
      </c>
      <c r="B142" s="229"/>
      <c r="C142" s="223"/>
      <c r="D142" s="224"/>
      <c r="E142" s="225"/>
      <c r="F142" s="1036" t="str">
        <f t="shared" si="58"/>
        <v/>
      </c>
      <c r="G142" s="1037" t="str">
        <f t="shared" si="75"/>
        <v/>
      </c>
      <c r="H142" s="225"/>
      <c r="I142" s="1013"/>
      <c r="J142" s="1013"/>
      <c r="K142" s="1028"/>
      <c r="L142" s="1035" t="str">
        <f t="shared" si="79"/>
        <v/>
      </c>
      <c r="S142" s="498"/>
      <c r="AJ142" s="498"/>
      <c r="AM142" s="498">
        <f t="shared" si="60"/>
        <v>0</v>
      </c>
      <c r="AN142" s="498">
        <f t="shared" si="61"/>
        <v>0</v>
      </c>
      <c r="AO142" s="498">
        <f t="shared" si="62"/>
        <v>0</v>
      </c>
      <c r="AP142" s="498">
        <f t="shared" si="59"/>
        <v>0</v>
      </c>
      <c r="AQ142" s="498">
        <f t="shared" si="76"/>
        <v>0</v>
      </c>
      <c r="AU142" s="498">
        <f t="shared" si="63"/>
        <v>0</v>
      </c>
      <c r="AV142" s="498">
        <f t="shared" si="64"/>
        <v>0</v>
      </c>
      <c r="AW142" s="498">
        <f t="shared" si="65"/>
        <v>0</v>
      </c>
      <c r="AX142" s="498">
        <f t="shared" si="66"/>
        <v>0</v>
      </c>
      <c r="AY142" s="498">
        <f t="shared" si="67"/>
        <v>0</v>
      </c>
      <c r="BB142" s="498" t="str">
        <f t="shared" si="68"/>
        <v/>
      </c>
      <c r="BC142" s="743" t="str">
        <f t="shared" si="69"/>
        <v/>
      </c>
      <c r="BD142" s="743" t="str">
        <f t="shared" si="70"/>
        <v/>
      </c>
      <c r="BE142" s="743" t="str">
        <f>IF(D142="","",VLOOKUP(D142,'General Basis'!$J$39:$K$46,2,0))</f>
        <v/>
      </c>
      <c r="BF142" s="744" t="str">
        <f>IF(D142="","",VLOOKUP(D142,'General Basis'!$J$39:$L$46,3,0))</f>
        <v/>
      </c>
      <c r="BG142" s="744" t="str">
        <f t="shared" si="77"/>
        <v/>
      </c>
      <c r="BH142" s="744" t="str">
        <f>IF(G142="","",IF(BF142="Abu Dhabi",IF(G142&lt;18,'General Basis'!$C$39,IF(G142&lt;41,'General Basis'!$C$40,IF(G142&lt;60,'General Basis'!$C$41,IF(G142&lt;65,'General Basis'!$C$42,'General Basis'!$C$43)))),IF(G142&lt;11,'General Basis'!$B$39,IF(G142&lt;18,'General Basis'!$B$40,IF(G142&lt;26,'General Basis'!$B$41,IF(G142&lt;31,'General Basis'!$B$42,IF(G142&lt;36,'General Basis'!$B$43,IF(G142&lt;41,'General Basis'!$B$44,IF(G142&lt;46,'General Basis'!$B$45,IF(G142&lt;51,'General Basis'!$B$46,IF(G142&lt;56,'General Basis'!$B$47,IF(G142&lt;60,'General Basis'!$B$48,IF(G142&lt;65,'General Basis'!$B$49,'General Basis'!$B$50)))))))))))))</f>
        <v/>
      </c>
      <c r="BI142" s="744" t="str">
        <f t="shared" si="71"/>
        <v/>
      </c>
      <c r="BJ142" s="747" t="str">
        <f t="shared" si="78"/>
        <v/>
      </c>
      <c r="BK142" s="498" t="str">
        <f t="shared" si="72"/>
        <v/>
      </c>
      <c r="BL142" s="498" t="str">
        <f t="shared" si="73"/>
        <v/>
      </c>
    </row>
    <row r="143" spans="1:64" x14ac:dyDescent="0.25">
      <c r="A143" s="762">
        <f t="shared" si="74"/>
        <v>138</v>
      </c>
      <c r="B143" s="229"/>
      <c r="C143" s="223"/>
      <c r="D143" s="224"/>
      <c r="E143" s="225"/>
      <c r="F143" s="1036" t="str">
        <f t="shared" si="58"/>
        <v/>
      </c>
      <c r="G143" s="1037" t="str">
        <f t="shared" si="75"/>
        <v/>
      </c>
      <c r="H143" s="225"/>
      <c r="I143" s="1013"/>
      <c r="J143" s="1013"/>
      <c r="K143" s="1028"/>
      <c r="L143" s="1035" t="str">
        <f t="shared" si="79"/>
        <v/>
      </c>
      <c r="S143" s="498"/>
      <c r="AJ143" s="498"/>
      <c r="AM143" s="498">
        <f t="shared" si="60"/>
        <v>0</v>
      </c>
      <c r="AN143" s="498">
        <f t="shared" si="61"/>
        <v>0</v>
      </c>
      <c r="AO143" s="498">
        <f t="shared" si="62"/>
        <v>0</v>
      </c>
      <c r="AP143" s="498">
        <f t="shared" si="59"/>
        <v>0</v>
      </c>
      <c r="AQ143" s="498">
        <f t="shared" si="76"/>
        <v>0</v>
      </c>
      <c r="AU143" s="498">
        <f t="shared" si="63"/>
        <v>0</v>
      </c>
      <c r="AV143" s="498">
        <f t="shared" si="64"/>
        <v>0</v>
      </c>
      <c r="AW143" s="498">
        <f t="shared" si="65"/>
        <v>0</v>
      </c>
      <c r="AX143" s="498">
        <f t="shared" si="66"/>
        <v>0</v>
      </c>
      <c r="AY143" s="498">
        <f t="shared" si="67"/>
        <v>0</v>
      </c>
      <c r="BB143" s="498" t="str">
        <f t="shared" si="68"/>
        <v/>
      </c>
      <c r="BC143" s="743" t="str">
        <f t="shared" si="69"/>
        <v/>
      </c>
      <c r="BD143" s="743" t="str">
        <f t="shared" si="70"/>
        <v/>
      </c>
      <c r="BE143" s="743" t="str">
        <f>IF(D143="","",VLOOKUP(D143,'General Basis'!$J$39:$K$46,2,0))</f>
        <v/>
      </c>
      <c r="BF143" s="744" t="str">
        <f>IF(D143="","",VLOOKUP(D143,'General Basis'!$J$39:$L$46,3,0))</f>
        <v/>
      </c>
      <c r="BG143" s="744" t="str">
        <f t="shared" si="77"/>
        <v/>
      </c>
      <c r="BH143" s="744" t="str">
        <f>IF(G143="","",IF(BF143="Abu Dhabi",IF(G143&lt;18,'General Basis'!$C$39,IF(G143&lt;41,'General Basis'!$C$40,IF(G143&lt;60,'General Basis'!$C$41,IF(G143&lt;65,'General Basis'!$C$42,'General Basis'!$C$43)))),IF(G143&lt;11,'General Basis'!$B$39,IF(G143&lt;18,'General Basis'!$B$40,IF(G143&lt;26,'General Basis'!$B$41,IF(G143&lt;31,'General Basis'!$B$42,IF(G143&lt;36,'General Basis'!$B$43,IF(G143&lt;41,'General Basis'!$B$44,IF(G143&lt;46,'General Basis'!$B$45,IF(G143&lt;51,'General Basis'!$B$46,IF(G143&lt;56,'General Basis'!$B$47,IF(G143&lt;60,'General Basis'!$B$48,IF(G143&lt;65,'General Basis'!$B$49,'General Basis'!$B$50)))))))))))))</f>
        <v/>
      </c>
      <c r="BI143" s="744" t="str">
        <f t="shared" si="71"/>
        <v/>
      </c>
      <c r="BJ143" s="747" t="str">
        <f t="shared" si="78"/>
        <v/>
      </c>
      <c r="BK143" s="498" t="str">
        <f t="shared" si="72"/>
        <v/>
      </c>
      <c r="BL143" s="498" t="str">
        <f t="shared" si="73"/>
        <v/>
      </c>
    </row>
    <row r="144" spans="1:64" x14ac:dyDescent="0.25">
      <c r="A144" s="762">
        <f t="shared" si="74"/>
        <v>139</v>
      </c>
      <c r="B144" s="229"/>
      <c r="C144" s="223"/>
      <c r="D144" s="224"/>
      <c r="E144" s="225"/>
      <c r="F144" s="1036" t="str">
        <f t="shared" ref="F144:F207" si="80">IF(C144="","",IF($B144="","",((YEAR($F$3)-YEAR($B144))+(MONTH($F$3)-MONTH($B144))/12+(DAY($F$3)-DAY($B144))/(DATE(YEAR($F$3),12,31)-DATE(YEAR($F$3),1,1)+1))))</f>
        <v/>
      </c>
      <c r="G144" s="1037" t="str">
        <f t="shared" si="75"/>
        <v/>
      </c>
      <c r="H144" s="225"/>
      <c r="I144" s="1013"/>
      <c r="J144" s="1013"/>
      <c r="K144" s="1028"/>
      <c r="L144" s="1035" t="str">
        <f t="shared" si="79"/>
        <v/>
      </c>
      <c r="S144" s="498"/>
      <c r="AJ144" s="498"/>
      <c r="AM144" s="498">
        <f t="shared" si="60"/>
        <v>0</v>
      </c>
      <c r="AN144" s="498">
        <f t="shared" si="61"/>
        <v>0</v>
      </c>
      <c r="AO144" s="498">
        <f t="shared" si="62"/>
        <v>0</v>
      </c>
      <c r="AP144" s="498">
        <f t="shared" si="59"/>
        <v>0</v>
      </c>
      <c r="AQ144" s="498">
        <f t="shared" si="76"/>
        <v>0</v>
      </c>
      <c r="AU144" s="498">
        <f t="shared" si="63"/>
        <v>0</v>
      </c>
      <c r="AV144" s="498">
        <f t="shared" si="64"/>
        <v>0</v>
      </c>
      <c r="AW144" s="498">
        <f t="shared" si="65"/>
        <v>0</v>
      </c>
      <c r="AX144" s="498">
        <f t="shared" si="66"/>
        <v>0</v>
      </c>
      <c r="AY144" s="498">
        <f t="shared" si="67"/>
        <v>0</v>
      </c>
      <c r="BB144" s="498" t="str">
        <f t="shared" si="68"/>
        <v/>
      </c>
      <c r="BC144" s="743" t="str">
        <f t="shared" si="69"/>
        <v/>
      </c>
      <c r="BD144" s="743" t="str">
        <f t="shared" si="70"/>
        <v/>
      </c>
      <c r="BE144" s="743" t="str">
        <f>IF(D144="","",VLOOKUP(D144,'General Basis'!$J$39:$K$46,2,0))</f>
        <v/>
      </c>
      <c r="BF144" s="744" t="str">
        <f>IF(D144="","",VLOOKUP(D144,'General Basis'!$J$39:$L$46,3,0))</f>
        <v/>
      </c>
      <c r="BG144" s="744" t="str">
        <f t="shared" si="77"/>
        <v/>
      </c>
      <c r="BH144" s="744" t="str">
        <f>IF(G144="","",IF(BF144="Abu Dhabi",IF(G144&lt;18,'General Basis'!$C$39,IF(G144&lt;41,'General Basis'!$C$40,IF(G144&lt;60,'General Basis'!$C$41,IF(G144&lt;65,'General Basis'!$C$42,'General Basis'!$C$43)))),IF(G144&lt;11,'General Basis'!$B$39,IF(G144&lt;18,'General Basis'!$B$40,IF(G144&lt;26,'General Basis'!$B$41,IF(G144&lt;31,'General Basis'!$B$42,IF(G144&lt;36,'General Basis'!$B$43,IF(G144&lt;41,'General Basis'!$B$44,IF(G144&lt;46,'General Basis'!$B$45,IF(G144&lt;51,'General Basis'!$B$46,IF(G144&lt;56,'General Basis'!$B$47,IF(G144&lt;60,'General Basis'!$B$48,IF(G144&lt;65,'General Basis'!$B$49,'General Basis'!$B$50)))))))))))))</f>
        <v/>
      </c>
      <c r="BI144" s="744" t="str">
        <f t="shared" si="71"/>
        <v/>
      </c>
      <c r="BJ144" s="747" t="str">
        <f t="shared" si="78"/>
        <v/>
      </c>
      <c r="BK144" s="498" t="str">
        <f t="shared" si="72"/>
        <v/>
      </c>
      <c r="BL144" s="498" t="str">
        <f t="shared" si="73"/>
        <v/>
      </c>
    </row>
    <row r="145" spans="1:64" x14ac:dyDescent="0.25">
      <c r="A145" s="762">
        <f t="shared" si="74"/>
        <v>140</v>
      </c>
      <c r="B145" s="229"/>
      <c r="C145" s="223"/>
      <c r="D145" s="224"/>
      <c r="E145" s="225"/>
      <c r="F145" s="1036" t="str">
        <f t="shared" si="80"/>
        <v/>
      </c>
      <c r="G145" s="1037" t="str">
        <f t="shared" si="75"/>
        <v/>
      </c>
      <c r="H145" s="225"/>
      <c r="I145" s="1013"/>
      <c r="J145" s="1013"/>
      <c r="K145" s="1028"/>
      <c r="L145" s="1035" t="str">
        <f t="shared" si="79"/>
        <v/>
      </c>
      <c r="S145" s="498"/>
      <c r="AJ145" s="498"/>
      <c r="AM145" s="498">
        <f t="shared" si="60"/>
        <v>0</v>
      </c>
      <c r="AN145" s="498">
        <f t="shared" si="61"/>
        <v>0</v>
      </c>
      <c r="AO145" s="498">
        <f t="shared" si="62"/>
        <v>0</v>
      </c>
      <c r="AP145" s="498">
        <f t="shared" si="59"/>
        <v>0</v>
      </c>
      <c r="AQ145" s="498">
        <f t="shared" si="76"/>
        <v>0</v>
      </c>
      <c r="AU145" s="498">
        <f t="shared" si="63"/>
        <v>0</v>
      </c>
      <c r="AV145" s="498">
        <f t="shared" si="64"/>
        <v>0</v>
      </c>
      <c r="AW145" s="498">
        <f t="shared" si="65"/>
        <v>0</v>
      </c>
      <c r="AX145" s="498">
        <f t="shared" si="66"/>
        <v>0</v>
      </c>
      <c r="AY145" s="498">
        <f t="shared" si="67"/>
        <v>0</v>
      </c>
      <c r="BB145" s="498" t="str">
        <f t="shared" si="68"/>
        <v/>
      </c>
      <c r="BC145" s="743" t="str">
        <f t="shared" si="69"/>
        <v/>
      </c>
      <c r="BD145" s="743" t="str">
        <f t="shared" si="70"/>
        <v/>
      </c>
      <c r="BE145" s="743" t="str">
        <f>IF(D145="","",VLOOKUP(D145,'General Basis'!$J$39:$K$46,2,0))</f>
        <v/>
      </c>
      <c r="BF145" s="744" t="str">
        <f>IF(D145="","",VLOOKUP(D145,'General Basis'!$J$39:$L$46,3,0))</f>
        <v/>
      </c>
      <c r="BG145" s="744" t="str">
        <f t="shared" si="77"/>
        <v/>
      </c>
      <c r="BH145" s="744" t="str">
        <f>IF(G145="","",IF(BF145="Abu Dhabi",IF(G145&lt;18,'General Basis'!$C$39,IF(G145&lt;41,'General Basis'!$C$40,IF(G145&lt;60,'General Basis'!$C$41,IF(G145&lt;65,'General Basis'!$C$42,'General Basis'!$C$43)))),IF(G145&lt;11,'General Basis'!$B$39,IF(G145&lt;18,'General Basis'!$B$40,IF(G145&lt;26,'General Basis'!$B$41,IF(G145&lt;31,'General Basis'!$B$42,IF(G145&lt;36,'General Basis'!$B$43,IF(G145&lt;41,'General Basis'!$B$44,IF(G145&lt;46,'General Basis'!$B$45,IF(G145&lt;51,'General Basis'!$B$46,IF(G145&lt;56,'General Basis'!$B$47,IF(G145&lt;60,'General Basis'!$B$48,IF(G145&lt;65,'General Basis'!$B$49,'General Basis'!$B$50)))))))))))))</f>
        <v/>
      </c>
      <c r="BI145" s="744" t="str">
        <f t="shared" si="71"/>
        <v/>
      </c>
      <c r="BJ145" s="747" t="str">
        <f t="shared" si="78"/>
        <v/>
      </c>
      <c r="BK145" s="498" t="str">
        <f t="shared" si="72"/>
        <v/>
      </c>
      <c r="BL145" s="498" t="str">
        <f t="shared" si="73"/>
        <v/>
      </c>
    </row>
    <row r="146" spans="1:64" x14ac:dyDescent="0.25">
      <c r="A146" s="762">
        <f t="shared" si="74"/>
        <v>141</v>
      </c>
      <c r="B146" s="229"/>
      <c r="C146" s="223"/>
      <c r="D146" s="224"/>
      <c r="E146" s="225"/>
      <c r="F146" s="1036" t="str">
        <f t="shared" si="80"/>
        <v/>
      </c>
      <c r="G146" s="1037" t="str">
        <f t="shared" si="75"/>
        <v/>
      </c>
      <c r="H146" s="225"/>
      <c r="I146" s="1013"/>
      <c r="J146" s="1013"/>
      <c r="K146" s="1028"/>
      <c r="L146" s="1035" t="str">
        <f t="shared" si="79"/>
        <v/>
      </c>
      <c r="S146" s="498"/>
      <c r="AJ146" s="498"/>
      <c r="AM146" s="498">
        <f t="shared" si="60"/>
        <v>0</v>
      </c>
      <c r="AN146" s="498">
        <f t="shared" si="61"/>
        <v>0</v>
      </c>
      <c r="AO146" s="498">
        <f t="shared" si="62"/>
        <v>0</v>
      </c>
      <c r="AP146" s="498">
        <f t="shared" si="59"/>
        <v>0</v>
      </c>
      <c r="AQ146" s="498">
        <f t="shared" si="76"/>
        <v>0</v>
      </c>
      <c r="AU146" s="498">
        <f t="shared" si="63"/>
        <v>0</v>
      </c>
      <c r="AV146" s="498">
        <f t="shared" si="64"/>
        <v>0</v>
      </c>
      <c r="AW146" s="498">
        <f t="shared" si="65"/>
        <v>0</v>
      </c>
      <c r="AX146" s="498">
        <f t="shared" si="66"/>
        <v>0</v>
      </c>
      <c r="AY146" s="498">
        <f t="shared" si="67"/>
        <v>0</v>
      </c>
      <c r="BB146" s="498" t="str">
        <f t="shared" si="68"/>
        <v/>
      </c>
      <c r="BC146" s="743" t="str">
        <f t="shared" si="69"/>
        <v/>
      </c>
      <c r="BD146" s="743" t="str">
        <f t="shared" si="70"/>
        <v/>
      </c>
      <c r="BE146" s="743" t="str">
        <f>IF(D146="","",VLOOKUP(D146,'General Basis'!$J$39:$K$46,2,0))</f>
        <v/>
      </c>
      <c r="BF146" s="744" t="str">
        <f>IF(D146="","",VLOOKUP(D146,'General Basis'!$J$39:$L$46,3,0))</f>
        <v/>
      </c>
      <c r="BG146" s="744" t="str">
        <f t="shared" si="77"/>
        <v/>
      </c>
      <c r="BH146" s="744" t="str">
        <f>IF(G146="","",IF(BF146="Abu Dhabi",IF(G146&lt;18,'General Basis'!$C$39,IF(G146&lt;41,'General Basis'!$C$40,IF(G146&lt;60,'General Basis'!$C$41,IF(G146&lt;65,'General Basis'!$C$42,'General Basis'!$C$43)))),IF(G146&lt;11,'General Basis'!$B$39,IF(G146&lt;18,'General Basis'!$B$40,IF(G146&lt;26,'General Basis'!$B$41,IF(G146&lt;31,'General Basis'!$B$42,IF(G146&lt;36,'General Basis'!$B$43,IF(G146&lt;41,'General Basis'!$B$44,IF(G146&lt;46,'General Basis'!$B$45,IF(G146&lt;51,'General Basis'!$B$46,IF(G146&lt;56,'General Basis'!$B$47,IF(G146&lt;60,'General Basis'!$B$48,IF(G146&lt;65,'General Basis'!$B$49,'General Basis'!$B$50)))))))))))))</f>
        <v/>
      </c>
      <c r="BI146" s="744" t="str">
        <f t="shared" si="71"/>
        <v/>
      </c>
      <c r="BJ146" s="747" t="str">
        <f t="shared" si="78"/>
        <v/>
      </c>
      <c r="BK146" s="498" t="str">
        <f t="shared" si="72"/>
        <v/>
      </c>
      <c r="BL146" s="498" t="str">
        <f t="shared" si="73"/>
        <v/>
      </c>
    </row>
    <row r="147" spans="1:64" x14ac:dyDescent="0.25">
      <c r="A147" s="762">
        <f t="shared" si="74"/>
        <v>142</v>
      </c>
      <c r="B147" s="229"/>
      <c r="C147" s="223"/>
      <c r="D147" s="224"/>
      <c r="E147" s="225"/>
      <c r="F147" s="1036" t="str">
        <f t="shared" si="80"/>
        <v/>
      </c>
      <c r="G147" s="1037" t="str">
        <f t="shared" si="75"/>
        <v/>
      </c>
      <c r="H147" s="225"/>
      <c r="I147" s="1013"/>
      <c r="J147" s="1013"/>
      <c r="K147" s="1028"/>
      <c r="L147" s="1035" t="str">
        <f t="shared" si="79"/>
        <v/>
      </c>
      <c r="S147" s="498"/>
      <c r="AJ147" s="498"/>
      <c r="AM147" s="498">
        <f t="shared" si="60"/>
        <v>0</v>
      </c>
      <c r="AN147" s="498">
        <f t="shared" si="61"/>
        <v>0</v>
      </c>
      <c r="AO147" s="498">
        <f t="shared" si="62"/>
        <v>0</v>
      </c>
      <c r="AP147" s="498">
        <f t="shared" ref="AP147:AP210" si="81">IF(ISBLANK($B147),0,IF(OR($C147="M",$C147="F"),0,1))</f>
        <v>0</v>
      </c>
      <c r="AQ147" s="498">
        <f t="shared" si="76"/>
        <v>0</v>
      </c>
      <c r="AU147" s="498">
        <f t="shared" si="63"/>
        <v>0</v>
      </c>
      <c r="AV147" s="498">
        <f t="shared" si="64"/>
        <v>0</v>
      </c>
      <c r="AW147" s="498">
        <f t="shared" si="65"/>
        <v>0</v>
      </c>
      <c r="AX147" s="498">
        <f t="shared" si="66"/>
        <v>0</v>
      </c>
      <c r="AY147" s="498">
        <f t="shared" si="67"/>
        <v>0</v>
      </c>
      <c r="BB147" s="498" t="str">
        <f t="shared" si="68"/>
        <v/>
      </c>
      <c r="BC147" s="743" t="str">
        <f t="shared" si="69"/>
        <v/>
      </c>
      <c r="BD147" s="743" t="str">
        <f t="shared" si="70"/>
        <v/>
      </c>
      <c r="BE147" s="743" t="str">
        <f>IF(D147="","",VLOOKUP(D147,'General Basis'!$J$39:$K$46,2,0))</f>
        <v/>
      </c>
      <c r="BF147" s="744" t="str">
        <f>IF(D147="","",VLOOKUP(D147,'General Basis'!$J$39:$L$46,3,0))</f>
        <v/>
      </c>
      <c r="BG147" s="744" t="str">
        <f t="shared" si="77"/>
        <v/>
      </c>
      <c r="BH147" s="744" t="str">
        <f>IF(G147="","",IF(BF147="Abu Dhabi",IF(G147&lt;18,'General Basis'!$C$39,IF(G147&lt;41,'General Basis'!$C$40,IF(G147&lt;60,'General Basis'!$C$41,IF(G147&lt;65,'General Basis'!$C$42,'General Basis'!$C$43)))),IF(G147&lt;11,'General Basis'!$B$39,IF(G147&lt;18,'General Basis'!$B$40,IF(G147&lt;26,'General Basis'!$B$41,IF(G147&lt;31,'General Basis'!$B$42,IF(G147&lt;36,'General Basis'!$B$43,IF(G147&lt;41,'General Basis'!$B$44,IF(G147&lt;46,'General Basis'!$B$45,IF(G147&lt;51,'General Basis'!$B$46,IF(G147&lt;56,'General Basis'!$B$47,IF(G147&lt;60,'General Basis'!$B$48,IF(G147&lt;65,'General Basis'!$B$49,'General Basis'!$B$50)))))))))))))</f>
        <v/>
      </c>
      <c r="BI147" s="744" t="str">
        <f t="shared" si="71"/>
        <v/>
      </c>
      <c r="BJ147" s="747" t="str">
        <f t="shared" si="78"/>
        <v/>
      </c>
      <c r="BK147" s="498" t="str">
        <f t="shared" si="72"/>
        <v/>
      </c>
      <c r="BL147" s="498" t="str">
        <f t="shared" si="73"/>
        <v/>
      </c>
    </row>
    <row r="148" spans="1:64" x14ac:dyDescent="0.25">
      <c r="A148" s="762">
        <f t="shared" si="74"/>
        <v>143</v>
      </c>
      <c r="B148" s="229"/>
      <c r="C148" s="223"/>
      <c r="D148" s="224"/>
      <c r="E148" s="225"/>
      <c r="F148" s="1036" t="str">
        <f t="shared" si="80"/>
        <v/>
      </c>
      <c r="G148" s="1037" t="str">
        <f t="shared" si="75"/>
        <v/>
      </c>
      <c r="H148" s="225"/>
      <c r="I148" s="1013"/>
      <c r="J148" s="1013"/>
      <c r="K148" s="1028"/>
      <c r="L148" s="1035" t="str">
        <f t="shared" si="79"/>
        <v/>
      </c>
      <c r="S148" s="498"/>
      <c r="AJ148" s="498"/>
      <c r="AM148" s="498">
        <f t="shared" si="60"/>
        <v>0</v>
      </c>
      <c r="AN148" s="498">
        <f t="shared" si="61"/>
        <v>0</v>
      </c>
      <c r="AO148" s="498">
        <f t="shared" si="62"/>
        <v>0</v>
      </c>
      <c r="AP148" s="498">
        <f t="shared" si="81"/>
        <v>0</v>
      </c>
      <c r="AQ148" s="498">
        <f t="shared" si="76"/>
        <v>0</v>
      </c>
      <c r="AU148" s="498">
        <f t="shared" si="63"/>
        <v>0</v>
      </c>
      <c r="AV148" s="498">
        <f t="shared" si="64"/>
        <v>0</v>
      </c>
      <c r="AW148" s="498">
        <f t="shared" si="65"/>
        <v>0</v>
      </c>
      <c r="AX148" s="498">
        <f t="shared" si="66"/>
        <v>0</v>
      </c>
      <c r="AY148" s="498">
        <f t="shared" si="67"/>
        <v>0</v>
      </c>
      <c r="BB148" s="498" t="str">
        <f t="shared" si="68"/>
        <v/>
      </c>
      <c r="BC148" s="743" t="str">
        <f t="shared" si="69"/>
        <v/>
      </c>
      <c r="BD148" s="743" t="str">
        <f t="shared" si="70"/>
        <v/>
      </c>
      <c r="BE148" s="743" t="str">
        <f>IF(D148="","",VLOOKUP(D148,'General Basis'!$J$39:$K$46,2,0))</f>
        <v/>
      </c>
      <c r="BF148" s="744" t="str">
        <f>IF(D148="","",VLOOKUP(D148,'General Basis'!$J$39:$L$46,3,0))</f>
        <v/>
      </c>
      <c r="BG148" s="744" t="str">
        <f t="shared" si="77"/>
        <v/>
      </c>
      <c r="BH148" s="744" t="str">
        <f>IF(G148="","",IF(BF148="Abu Dhabi",IF(G148&lt;18,'General Basis'!$C$39,IF(G148&lt;41,'General Basis'!$C$40,IF(G148&lt;60,'General Basis'!$C$41,IF(G148&lt;65,'General Basis'!$C$42,'General Basis'!$C$43)))),IF(G148&lt;11,'General Basis'!$B$39,IF(G148&lt;18,'General Basis'!$B$40,IF(G148&lt;26,'General Basis'!$B$41,IF(G148&lt;31,'General Basis'!$B$42,IF(G148&lt;36,'General Basis'!$B$43,IF(G148&lt;41,'General Basis'!$B$44,IF(G148&lt;46,'General Basis'!$B$45,IF(G148&lt;51,'General Basis'!$B$46,IF(G148&lt;56,'General Basis'!$B$47,IF(G148&lt;60,'General Basis'!$B$48,IF(G148&lt;65,'General Basis'!$B$49,'General Basis'!$B$50)))))))))))))</f>
        <v/>
      </c>
      <c r="BI148" s="744" t="str">
        <f t="shared" si="71"/>
        <v/>
      </c>
      <c r="BJ148" s="747" t="str">
        <f t="shared" si="78"/>
        <v/>
      </c>
      <c r="BK148" s="498" t="str">
        <f t="shared" si="72"/>
        <v/>
      </c>
      <c r="BL148" s="498" t="str">
        <f t="shared" si="73"/>
        <v/>
      </c>
    </row>
    <row r="149" spans="1:64" x14ac:dyDescent="0.25">
      <c r="A149" s="762">
        <f t="shared" si="74"/>
        <v>144</v>
      </c>
      <c r="B149" s="229"/>
      <c r="C149" s="223"/>
      <c r="D149" s="224"/>
      <c r="E149" s="225"/>
      <c r="F149" s="1036" t="str">
        <f t="shared" si="80"/>
        <v/>
      </c>
      <c r="G149" s="1037" t="str">
        <f t="shared" si="75"/>
        <v/>
      </c>
      <c r="H149" s="225"/>
      <c r="I149" s="1013"/>
      <c r="J149" s="1013"/>
      <c r="K149" s="1028"/>
      <c r="L149" s="1035" t="str">
        <f t="shared" si="79"/>
        <v/>
      </c>
      <c r="S149" s="498"/>
      <c r="AJ149" s="498"/>
      <c r="AM149" s="498">
        <f t="shared" si="60"/>
        <v>0</v>
      </c>
      <c r="AN149" s="498">
        <f t="shared" si="61"/>
        <v>0</v>
      </c>
      <c r="AO149" s="498">
        <f t="shared" si="62"/>
        <v>0</v>
      </c>
      <c r="AP149" s="498">
        <f t="shared" si="81"/>
        <v>0</v>
      </c>
      <c r="AQ149" s="498">
        <f t="shared" si="76"/>
        <v>0</v>
      </c>
      <c r="AU149" s="498">
        <f t="shared" si="63"/>
        <v>0</v>
      </c>
      <c r="AV149" s="498">
        <f t="shared" si="64"/>
        <v>0</v>
      </c>
      <c r="AW149" s="498">
        <f t="shared" si="65"/>
        <v>0</v>
      </c>
      <c r="AX149" s="498">
        <f t="shared" si="66"/>
        <v>0</v>
      </c>
      <c r="AY149" s="498">
        <f t="shared" si="67"/>
        <v>0</v>
      </c>
      <c r="BB149" s="498" t="str">
        <f t="shared" si="68"/>
        <v/>
      </c>
      <c r="BC149" s="743" t="str">
        <f t="shared" si="69"/>
        <v/>
      </c>
      <c r="BD149" s="743" t="str">
        <f t="shared" si="70"/>
        <v/>
      </c>
      <c r="BE149" s="743" t="str">
        <f>IF(D149="","",VLOOKUP(D149,'General Basis'!$J$39:$K$46,2,0))</f>
        <v/>
      </c>
      <c r="BF149" s="744" t="str">
        <f>IF(D149="","",VLOOKUP(D149,'General Basis'!$J$39:$L$46,3,0))</f>
        <v/>
      </c>
      <c r="BG149" s="744" t="str">
        <f t="shared" si="77"/>
        <v/>
      </c>
      <c r="BH149" s="744" t="str">
        <f>IF(G149="","",IF(BF149="Abu Dhabi",IF(G149&lt;18,'General Basis'!$C$39,IF(G149&lt;41,'General Basis'!$C$40,IF(G149&lt;60,'General Basis'!$C$41,IF(G149&lt;65,'General Basis'!$C$42,'General Basis'!$C$43)))),IF(G149&lt;11,'General Basis'!$B$39,IF(G149&lt;18,'General Basis'!$B$40,IF(G149&lt;26,'General Basis'!$B$41,IF(G149&lt;31,'General Basis'!$B$42,IF(G149&lt;36,'General Basis'!$B$43,IF(G149&lt;41,'General Basis'!$B$44,IF(G149&lt;46,'General Basis'!$B$45,IF(G149&lt;51,'General Basis'!$B$46,IF(G149&lt;56,'General Basis'!$B$47,IF(G149&lt;60,'General Basis'!$B$48,IF(G149&lt;65,'General Basis'!$B$49,'General Basis'!$B$50)))))))))))))</f>
        <v/>
      </c>
      <c r="BI149" s="744" t="str">
        <f t="shared" si="71"/>
        <v/>
      </c>
      <c r="BJ149" s="747" t="str">
        <f t="shared" si="78"/>
        <v/>
      </c>
      <c r="BK149" s="498" t="str">
        <f t="shared" si="72"/>
        <v/>
      </c>
      <c r="BL149" s="498" t="str">
        <f t="shared" si="73"/>
        <v/>
      </c>
    </row>
    <row r="150" spans="1:64" x14ac:dyDescent="0.25">
      <c r="A150" s="762">
        <f t="shared" si="74"/>
        <v>145</v>
      </c>
      <c r="B150" s="229"/>
      <c r="C150" s="223"/>
      <c r="D150" s="224"/>
      <c r="E150" s="225"/>
      <c r="F150" s="1036" t="str">
        <f t="shared" si="80"/>
        <v/>
      </c>
      <c r="G150" s="1037" t="str">
        <f t="shared" si="75"/>
        <v/>
      </c>
      <c r="H150" s="225"/>
      <c r="I150" s="1013"/>
      <c r="J150" s="1013"/>
      <c r="K150" s="1028"/>
      <c r="L150" s="1035" t="str">
        <f t="shared" si="79"/>
        <v/>
      </c>
      <c r="S150" s="498"/>
      <c r="AJ150" s="498"/>
      <c r="AM150" s="498">
        <f t="shared" si="60"/>
        <v>0</v>
      </c>
      <c r="AN150" s="498">
        <f t="shared" si="61"/>
        <v>0</v>
      </c>
      <c r="AO150" s="498">
        <f t="shared" si="62"/>
        <v>0</v>
      </c>
      <c r="AP150" s="498">
        <f t="shared" si="81"/>
        <v>0</v>
      </c>
      <c r="AQ150" s="498">
        <f t="shared" si="76"/>
        <v>0</v>
      </c>
      <c r="AU150" s="498">
        <f t="shared" si="63"/>
        <v>0</v>
      </c>
      <c r="AV150" s="498">
        <f t="shared" si="64"/>
        <v>0</v>
      </c>
      <c r="AW150" s="498">
        <f t="shared" si="65"/>
        <v>0</v>
      </c>
      <c r="AX150" s="498">
        <f t="shared" si="66"/>
        <v>0</v>
      </c>
      <c r="AY150" s="498">
        <f t="shared" si="67"/>
        <v>0</v>
      </c>
      <c r="BB150" s="498" t="str">
        <f t="shared" si="68"/>
        <v/>
      </c>
      <c r="BC150" s="743" t="str">
        <f t="shared" si="69"/>
        <v/>
      </c>
      <c r="BD150" s="743" t="str">
        <f t="shared" si="70"/>
        <v/>
      </c>
      <c r="BE150" s="743" t="str">
        <f>IF(D150="","",VLOOKUP(D150,'General Basis'!$J$39:$K$46,2,0))</f>
        <v/>
      </c>
      <c r="BF150" s="744" t="str">
        <f>IF(D150="","",VLOOKUP(D150,'General Basis'!$J$39:$L$46,3,0))</f>
        <v/>
      </c>
      <c r="BG150" s="744" t="str">
        <f t="shared" si="77"/>
        <v/>
      </c>
      <c r="BH150" s="744" t="str">
        <f>IF(G150="","",IF(BF150="Abu Dhabi",IF(G150&lt;18,'General Basis'!$C$39,IF(G150&lt;41,'General Basis'!$C$40,IF(G150&lt;60,'General Basis'!$C$41,IF(G150&lt;65,'General Basis'!$C$42,'General Basis'!$C$43)))),IF(G150&lt;11,'General Basis'!$B$39,IF(G150&lt;18,'General Basis'!$B$40,IF(G150&lt;26,'General Basis'!$B$41,IF(G150&lt;31,'General Basis'!$B$42,IF(G150&lt;36,'General Basis'!$B$43,IF(G150&lt;41,'General Basis'!$B$44,IF(G150&lt;46,'General Basis'!$B$45,IF(G150&lt;51,'General Basis'!$B$46,IF(G150&lt;56,'General Basis'!$B$47,IF(G150&lt;60,'General Basis'!$B$48,IF(G150&lt;65,'General Basis'!$B$49,'General Basis'!$B$50)))))))))))))</f>
        <v/>
      </c>
      <c r="BI150" s="744" t="str">
        <f t="shared" si="71"/>
        <v/>
      </c>
      <c r="BJ150" s="747" t="str">
        <f t="shared" si="78"/>
        <v/>
      </c>
      <c r="BK150" s="498" t="str">
        <f t="shared" si="72"/>
        <v/>
      </c>
      <c r="BL150" s="498" t="str">
        <f t="shared" si="73"/>
        <v/>
      </c>
    </row>
    <row r="151" spans="1:64" x14ac:dyDescent="0.25">
      <c r="A151" s="762">
        <f t="shared" si="74"/>
        <v>146</v>
      </c>
      <c r="B151" s="229"/>
      <c r="C151" s="223"/>
      <c r="D151" s="224"/>
      <c r="E151" s="225"/>
      <c r="F151" s="1036" t="str">
        <f t="shared" si="80"/>
        <v/>
      </c>
      <c r="G151" s="1037" t="str">
        <f t="shared" si="75"/>
        <v/>
      </c>
      <c r="H151" s="225"/>
      <c r="I151" s="1013"/>
      <c r="J151" s="1013"/>
      <c r="K151" s="1028"/>
      <c r="L151" s="1035" t="str">
        <f t="shared" si="79"/>
        <v/>
      </c>
      <c r="S151" s="498"/>
      <c r="AJ151" s="498"/>
      <c r="AM151" s="498">
        <f t="shared" si="60"/>
        <v>0</v>
      </c>
      <c r="AN151" s="498">
        <f t="shared" si="61"/>
        <v>0</v>
      </c>
      <c r="AO151" s="498">
        <f t="shared" si="62"/>
        <v>0</v>
      </c>
      <c r="AP151" s="498">
        <f t="shared" si="81"/>
        <v>0</v>
      </c>
      <c r="AQ151" s="498">
        <f t="shared" si="76"/>
        <v>0</v>
      </c>
      <c r="AU151" s="498">
        <f t="shared" si="63"/>
        <v>0</v>
      </c>
      <c r="AV151" s="498">
        <f t="shared" si="64"/>
        <v>0</v>
      </c>
      <c r="AW151" s="498">
        <f t="shared" si="65"/>
        <v>0</v>
      </c>
      <c r="AX151" s="498">
        <f t="shared" si="66"/>
        <v>0</v>
      </c>
      <c r="AY151" s="498">
        <f t="shared" si="67"/>
        <v>0</v>
      </c>
      <c r="BB151" s="498" t="str">
        <f t="shared" si="68"/>
        <v/>
      </c>
      <c r="BC151" s="743" t="str">
        <f t="shared" si="69"/>
        <v/>
      </c>
      <c r="BD151" s="743" t="str">
        <f t="shared" si="70"/>
        <v/>
      </c>
      <c r="BE151" s="743" t="str">
        <f>IF(D151="","",VLOOKUP(D151,'General Basis'!$J$39:$K$46,2,0))</f>
        <v/>
      </c>
      <c r="BF151" s="744" t="str">
        <f>IF(D151="","",VLOOKUP(D151,'General Basis'!$J$39:$L$46,3,0))</f>
        <v/>
      </c>
      <c r="BG151" s="744" t="str">
        <f t="shared" si="77"/>
        <v/>
      </c>
      <c r="BH151" s="744" t="str">
        <f>IF(G151="","",IF(BF151="Abu Dhabi",IF(G151&lt;18,'General Basis'!$C$39,IF(G151&lt;41,'General Basis'!$C$40,IF(G151&lt;60,'General Basis'!$C$41,IF(G151&lt;65,'General Basis'!$C$42,'General Basis'!$C$43)))),IF(G151&lt;11,'General Basis'!$B$39,IF(G151&lt;18,'General Basis'!$B$40,IF(G151&lt;26,'General Basis'!$B$41,IF(G151&lt;31,'General Basis'!$B$42,IF(G151&lt;36,'General Basis'!$B$43,IF(G151&lt;41,'General Basis'!$B$44,IF(G151&lt;46,'General Basis'!$B$45,IF(G151&lt;51,'General Basis'!$B$46,IF(G151&lt;56,'General Basis'!$B$47,IF(G151&lt;60,'General Basis'!$B$48,IF(G151&lt;65,'General Basis'!$B$49,'General Basis'!$B$50)))))))))))))</f>
        <v/>
      </c>
      <c r="BI151" s="744" t="str">
        <f t="shared" si="71"/>
        <v/>
      </c>
      <c r="BJ151" s="747" t="str">
        <f t="shared" si="78"/>
        <v/>
      </c>
      <c r="BK151" s="498" t="str">
        <f t="shared" si="72"/>
        <v/>
      </c>
      <c r="BL151" s="498" t="str">
        <f t="shared" si="73"/>
        <v/>
      </c>
    </row>
    <row r="152" spans="1:64" x14ac:dyDescent="0.25">
      <c r="A152" s="762">
        <f t="shared" si="74"/>
        <v>147</v>
      </c>
      <c r="B152" s="229"/>
      <c r="C152" s="223"/>
      <c r="D152" s="224"/>
      <c r="E152" s="225"/>
      <c r="F152" s="1036" t="str">
        <f t="shared" si="80"/>
        <v/>
      </c>
      <c r="G152" s="1037" t="str">
        <f t="shared" si="75"/>
        <v/>
      </c>
      <c r="H152" s="225"/>
      <c r="I152" s="1013"/>
      <c r="J152" s="1013"/>
      <c r="K152" s="1028"/>
      <c r="L152" s="1035" t="str">
        <f t="shared" si="79"/>
        <v/>
      </c>
      <c r="S152" s="498"/>
      <c r="AJ152" s="498"/>
      <c r="AM152" s="498">
        <f t="shared" si="60"/>
        <v>0</v>
      </c>
      <c r="AN152" s="498">
        <f t="shared" si="61"/>
        <v>0</v>
      </c>
      <c r="AO152" s="498">
        <f t="shared" si="62"/>
        <v>0</v>
      </c>
      <c r="AP152" s="498">
        <f t="shared" si="81"/>
        <v>0</v>
      </c>
      <c r="AQ152" s="498">
        <f t="shared" si="76"/>
        <v>0</v>
      </c>
      <c r="AU152" s="498">
        <f t="shared" si="63"/>
        <v>0</v>
      </c>
      <c r="AV152" s="498">
        <f t="shared" si="64"/>
        <v>0</v>
      </c>
      <c r="AW152" s="498">
        <f t="shared" si="65"/>
        <v>0</v>
      </c>
      <c r="AX152" s="498">
        <f t="shared" si="66"/>
        <v>0</v>
      </c>
      <c r="AY152" s="498">
        <f t="shared" si="67"/>
        <v>0</v>
      </c>
      <c r="BB152" s="498" t="str">
        <f t="shared" si="68"/>
        <v/>
      </c>
      <c r="BC152" s="743" t="str">
        <f t="shared" si="69"/>
        <v/>
      </c>
      <c r="BD152" s="743" t="str">
        <f t="shared" si="70"/>
        <v/>
      </c>
      <c r="BE152" s="743" t="str">
        <f>IF(D152="","",VLOOKUP(D152,'General Basis'!$J$39:$K$46,2,0))</f>
        <v/>
      </c>
      <c r="BF152" s="744" t="str">
        <f>IF(D152="","",VLOOKUP(D152,'General Basis'!$J$39:$L$46,3,0))</f>
        <v/>
      </c>
      <c r="BG152" s="744" t="str">
        <f t="shared" si="77"/>
        <v/>
      </c>
      <c r="BH152" s="744" t="str">
        <f>IF(G152="","",IF(BF152="Abu Dhabi",IF(G152&lt;18,'General Basis'!$C$39,IF(G152&lt;41,'General Basis'!$C$40,IF(G152&lt;60,'General Basis'!$C$41,IF(G152&lt;65,'General Basis'!$C$42,'General Basis'!$C$43)))),IF(G152&lt;11,'General Basis'!$B$39,IF(G152&lt;18,'General Basis'!$B$40,IF(G152&lt;26,'General Basis'!$B$41,IF(G152&lt;31,'General Basis'!$B$42,IF(G152&lt;36,'General Basis'!$B$43,IF(G152&lt;41,'General Basis'!$B$44,IF(G152&lt;46,'General Basis'!$B$45,IF(G152&lt;51,'General Basis'!$B$46,IF(G152&lt;56,'General Basis'!$B$47,IF(G152&lt;60,'General Basis'!$B$48,IF(G152&lt;65,'General Basis'!$B$49,'General Basis'!$B$50)))))))))))))</f>
        <v/>
      </c>
      <c r="BI152" s="744" t="str">
        <f t="shared" si="71"/>
        <v/>
      </c>
      <c r="BJ152" s="747" t="str">
        <f t="shared" si="78"/>
        <v/>
      </c>
      <c r="BK152" s="498" t="str">
        <f t="shared" si="72"/>
        <v/>
      </c>
      <c r="BL152" s="498" t="str">
        <f t="shared" si="73"/>
        <v/>
      </c>
    </row>
    <row r="153" spans="1:64" x14ac:dyDescent="0.25">
      <c r="A153" s="762">
        <f t="shared" si="74"/>
        <v>148</v>
      </c>
      <c r="B153" s="229"/>
      <c r="C153" s="223"/>
      <c r="D153" s="224"/>
      <c r="E153" s="225"/>
      <c r="F153" s="1036" t="str">
        <f t="shared" si="80"/>
        <v/>
      </c>
      <c r="G153" s="1037" t="str">
        <f t="shared" si="75"/>
        <v/>
      </c>
      <c r="H153" s="225"/>
      <c r="I153" s="1013"/>
      <c r="J153" s="1013"/>
      <c r="K153" s="1028"/>
      <c r="L153" s="1035" t="str">
        <f t="shared" si="79"/>
        <v/>
      </c>
      <c r="S153" s="498"/>
      <c r="AJ153" s="498"/>
      <c r="AM153" s="498">
        <f t="shared" si="60"/>
        <v>0</v>
      </c>
      <c r="AN153" s="498">
        <f t="shared" si="61"/>
        <v>0</v>
      </c>
      <c r="AO153" s="498">
        <f t="shared" si="62"/>
        <v>0</v>
      </c>
      <c r="AP153" s="498">
        <f t="shared" si="81"/>
        <v>0</v>
      </c>
      <c r="AQ153" s="498">
        <f t="shared" si="76"/>
        <v>0</v>
      </c>
      <c r="AU153" s="498">
        <f t="shared" si="63"/>
        <v>0</v>
      </c>
      <c r="AV153" s="498">
        <f t="shared" si="64"/>
        <v>0</v>
      </c>
      <c r="AW153" s="498">
        <f t="shared" si="65"/>
        <v>0</v>
      </c>
      <c r="AX153" s="498">
        <f t="shared" si="66"/>
        <v>0</v>
      </c>
      <c r="AY153" s="498">
        <f t="shared" si="67"/>
        <v>0</v>
      </c>
      <c r="BB153" s="498" t="str">
        <f t="shared" si="68"/>
        <v/>
      </c>
      <c r="BC153" s="743" t="str">
        <f t="shared" si="69"/>
        <v/>
      </c>
      <c r="BD153" s="743" t="str">
        <f t="shared" si="70"/>
        <v/>
      </c>
      <c r="BE153" s="743" t="str">
        <f>IF(D153="","",VLOOKUP(D153,'General Basis'!$J$39:$K$46,2,0))</f>
        <v/>
      </c>
      <c r="BF153" s="744" t="str">
        <f>IF(D153="","",VLOOKUP(D153,'General Basis'!$J$39:$L$46,3,0))</f>
        <v/>
      </c>
      <c r="BG153" s="744" t="str">
        <f t="shared" si="77"/>
        <v/>
      </c>
      <c r="BH153" s="744" t="str">
        <f>IF(G153="","",IF(BF153="Abu Dhabi",IF(G153&lt;18,'General Basis'!$C$39,IF(G153&lt;41,'General Basis'!$C$40,IF(G153&lt;60,'General Basis'!$C$41,IF(G153&lt;65,'General Basis'!$C$42,'General Basis'!$C$43)))),IF(G153&lt;11,'General Basis'!$B$39,IF(G153&lt;18,'General Basis'!$B$40,IF(G153&lt;26,'General Basis'!$B$41,IF(G153&lt;31,'General Basis'!$B$42,IF(G153&lt;36,'General Basis'!$B$43,IF(G153&lt;41,'General Basis'!$B$44,IF(G153&lt;46,'General Basis'!$B$45,IF(G153&lt;51,'General Basis'!$B$46,IF(G153&lt;56,'General Basis'!$B$47,IF(G153&lt;60,'General Basis'!$B$48,IF(G153&lt;65,'General Basis'!$B$49,'General Basis'!$B$50)))))))))))))</f>
        <v/>
      </c>
      <c r="BI153" s="744" t="str">
        <f t="shared" si="71"/>
        <v/>
      </c>
      <c r="BJ153" s="747" t="str">
        <f t="shared" si="78"/>
        <v/>
      </c>
      <c r="BK153" s="498" t="str">
        <f t="shared" si="72"/>
        <v/>
      </c>
      <c r="BL153" s="498" t="str">
        <f t="shared" si="73"/>
        <v/>
      </c>
    </row>
    <row r="154" spans="1:64" x14ac:dyDescent="0.25">
      <c r="A154" s="762">
        <f t="shared" si="74"/>
        <v>149</v>
      </c>
      <c r="B154" s="229"/>
      <c r="C154" s="223"/>
      <c r="D154" s="224"/>
      <c r="E154" s="225"/>
      <c r="F154" s="1036" t="str">
        <f t="shared" si="80"/>
        <v/>
      </c>
      <c r="G154" s="1037" t="str">
        <f t="shared" si="75"/>
        <v/>
      </c>
      <c r="H154" s="225"/>
      <c r="I154" s="1013"/>
      <c r="J154" s="1013"/>
      <c r="K154" s="1028"/>
      <c r="L154" s="1035" t="str">
        <f t="shared" si="79"/>
        <v/>
      </c>
      <c r="S154" s="498"/>
      <c r="AJ154" s="498"/>
      <c r="AM154" s="498">
        <f t="shared" si="60"/>
        <v>0</v>
      </c>
      <c r="AN154" s="498">
        <f t="shared" si="61"/>
        <v>0</v>
      </c>
      <c r="AO154" s="498">
        <f t="shared" si="62"/>
        <v>0</v>
      </c>
      <c r="AP154" s="498">
        <f t="shared" si="81"/>
        <v>0</v>
      </c>
      <c r="AQ154" s="498">
        <f t="shared" si="76"/>
        <v>0</v>
      </c>
      <c r="AU154" s="498">
        <f t="shared" si="63"/>
        <v>0</v>
      </c>
      <c r="AV154" s="498">
        <f t="shared" si="64"/>
        <v>0</v>
      </c>
      <c r="AW154" s="498">
        <f t="shared" si="65"/>
        <v>0</v>
      </c>
      <c r="AX154" s="498">
        <f t="shared" si="66"/>
        <v>0</v>
      </c>
      <c r="AY154" s="498">
        <f t="shared" si="67"/>
        <v>0</v>
      </c>
      <c r="BB154" s="498" t="str">
        <f t="shared" si="68"/>
        <v/>
      </c>
      <c r="BC154" s="743" t="str">
        <f t="shared" si="69"/>
        <v/>
      </c>
      <c r="BD154" s="743" t="str">
        <f t="shared" si="70"/>
        <v/>
      </c>
      <c r="BE154" s="743" t="str">
        <f>IF(D154="","",VLOOKUP(D154,'General Basis'!$J$39:$K$46,2,0))</f>
        <v/>
      </c>
      <c r="BF154" s="744" t="str">
        <f>IF(D154="","",VLOOKUP(D154,'General Basis'!$J$39:$L$46,3,0))</f>
        <v/>
      </c>
      <c r="BG154" s="744" t="str">
        <f t="shared" si="77"/>
        <v/>
      </c>
      <c r="BH154" s="744" t="str">
        <f>IF(G154="","",IF(BF154="Abu Dhabi",IF(G154&lt;18,'General Basis'!$C$39,IF(G154&lt;41,'General Basis'!$C$40,IF(G154&lt;60,'General Basis'!$C$41,IF(G154&lt;65,'General Basis'!$C$42,'General Basis'!$C$43)))),IF(G154&lt;11,'General Basis'!$B$39,IF(G154&lt;18,'General Basis'!$B$40,IF(G154&lt;26,'General Basis'!$B$41,IF(G154&lt;31,'General Basis'!$B$42,IF(G154&lt;36,'General Basis'!$B$43,IF(G154&lt;41,'General Basis'!$B$44,IF(G154&lt;46,'General Basis'!$B$45,IF(G154&lt;51,'General Basis'!$B$46,IF(G154&lt;56,'General Basis'!$B$47,IF(G154&lt;60,'General Basis'!$B$48,IF(G154&lt;65,'General Basis'!$B$49,'General Basis'!$B$50)))))))))))))</f>
        <v/>
      </c>
      <c r="BI154" s="744" t="str">
        <f t="shared" si="71"/>
        <v/>
      </c>
      <c r="BJ154" s="747" t="str">
        <f t="shared" si="78"/>
        <v/>
      </c>
      <c r="BK154" s="498" t="str">
        <f t="shared" si="72"/>
        <v/>
      </c>
      <c r="BL154" s="498" t="str">
        <f t="shared" si="73"/>
        <v/>
      </c>
    </row>
    <row r="155" spans="1:64" x14ac:dyDescent="0.25">
      <c r="A155" s="762">
        <f t="shared" si="74"/>
        <v>150</v>
      </c>
      <c r="B155" s="229"/>
      <c r="C155" s="223"/>
      <c r="D155" s="224"/>
      <c r="E155" s="225"/>
      <c r="F155" s="1036" t="str">
        <f t="shared" si="80"/>
        <v/>
      </c>
      <c r="G155" s="1037" t="str">
        <f t="shared" si="75"/>
        <v/>
      </c>
      <c r="H155" s="225"/>
      <c r="I155" s="1013"/>
      <c r="J155" s="1013"/>
      <c r="K155" s="1028"/>
      <c r="L155" s="1035" t="str">
        <f t="shared" si="79"/>
        <v/>
      </c>
      <c r="S155" s="498"/>
      <c r="AJ155" s="498"/>
      <c r="AM155" s="498">
        <f t="shared" si="60"/>
        <v>0</v>
      </c>
      <c r="AN155" s="498">
        <f t="shared" si="61"/>
        <v>0</v>
      </c>
      <c r="AO155" s="498">
        <f t="shared" si="62"/>
        <v>0</v>
      </c>
      <c r="AP155" s="498">
        <f t="shared" si="81"/>
        <v>0</v>
      </c>
      <c r="AQ155" s="498">
        <f t="shared" si="76"/>
        <v>0</v>
      </c>
      <c r="AU155" s="498">
        <f t="shared" si="63"/>
        <v>0</v>
      </c>
      <c r="AV155" s="498">
        <f t="shared" si="64"/>
        <v>0</v>
      </c>
      <c r="AW155" s="498">
        <f t="shared" si="65"/>
        <v>0</v>
      </c>
      <c r="AX155" s="498">
        <f t="shared" si="66"/>
        <v>0</v>
      </c>
      <c r="AY155" s="498">
        <f t="shared" si="67"/>
        <v>0</v>
      </c>
      <c r="BB155" s="498" t="str">
        <f t="shared" si="68"/>
        <v/>
      </c>
      <c r="BC155" s="743" t="str">
        <f t="shared" si="69"/>
        <v/>
      </c>
      <c r="BD155" s="743" t="str">
        <f t="shared" si="70"/>
        <v/>
      </c>
      <c r="BE155" s="743" t="str">
        <f>IF(D155="","",VLOOKUP(D155,'General Basis'!$J$39:$K$46,2,0))</f>
        <v/>
      </c>
      <c r="BF155" s="744" t="str">
        <f>IF(D155="","",VLOOKUP(D155,'General Basis'!$J$39:$L$46,3,0))</f>
        <v/>
      </c>
      <c r="BG155" s="744" t="str">
        <f t="shared" si="77"/>
        <v/>
      </c>
      <c r="BH155" s="744" t="str">
        <f>IF(G155="","",IF(BF155="Abu Dhabi",IF(G155&lt;18,'General Basis'!$C$39,IF(G155&lt;41,'General Basis'!$C$40,IF(G155&lt;60,'General Basis'!$C$41,IF(G155&lt;65,'General Basis'!$C$42,'General Basis'!$C$43)))),IF(G155&lt;11,'General Basis'!$B$39,IF(G155&lt;18,'General Basis'!$B$40,IF(G155&lt;26,'General Basis'!$B$41,IF(G155&lt;31,'General Basis'!$B$42,IF(G155&lt;36,'General Basis'!$B$43,IF(G155&lt;41,'General Basis'!$B$44,IF(G155&lt;46,'General Basis'!$B$45,IF(G155&lt;51,'General Basis'!$B$46,IF(G155&lt;56,'General Basis'!$B$47,IF(G155&lt;60,'General Basis'!$B$48,IF(G155&lt;65,'General Basis'!$B$49,'General Basis'!$B$50)))))))))))))</f>
        <v/>
      </c>
      <c r="BI155" s="744" t="str">
        <f t="shared" si="71"/>
        <v/>
      </c>
      <c r="BJ155" s="747" t="str">
        <f t="shared" si="78"/>
        <v/>
      </c>
      <c r="BK155" s="498" t="str">
        <f t="shared" si="72"/>
        <v/>
      </c>
      <c r="BL155" s="498" t="str">
        <f t="shared" si="73"/>
        <v/>
      </c>
    </row>
    <row r="156" spans="1:64" x14ac:dyDescent="0.25">
      <c r="A156" s="762">
        <f t="shared" si="74"/>
        <v>151</v>
      </c>
      <c r="B156" s="229"/>
      <c r="C156" s="223"/>
      <c r="D156" s="224"/>
      <c r="E156" s="225"/>
      <c r="F156" s="1036" t="str">
        <f t="shared" si="80"/>
        <v/>
      </c>
      <c r="G156" s="1037" t="str">
        <f t="shared" si="75"/>
        <v/>
      </c>
      <c r="H156" s="225"/>
      <c r="I156" s="1013"/>
      <c r="J156" s="1013"/>
      <c r="K156" s="1028"/>
      <c r="L156" s="1035" t="str">
        <f t="shared" si="79"/>
        <v/>
      </c>
      <c r="S156" s="498"/>
      <c r="AJ156" s="498"/>
      <c r="AM156" s="498">
        <f t="shared" si="60"/>
        <v>0</v>
      </c>
      <c r="AN156" s="498">
        <f t="shared" si="61"/>
        <v>0</v>
      </c>
      <c r="AO156" s="498">
        <f t="shared" si="62"/>
        <v>0</v>
      </c>
      <c r="AP156" s="498">
        <f t="shared" si="81"/>
        <v>0</v>
      </c>
      <c r="AQ156" s="498">
        <f t="shared" si="76"/>
        <v>0</v>
      </c>
      <c r="AU156" s="498">
        <f t="shared" si="63"/>
        <v>0</v>
      </c>
      <c r="AV156" s="498">
        <f t="shared" si="64"/>
        <v>0</v>
      </c>
      <c r="AW156" s="498">
        <f t="shared" si="65"/>
        <v>0</v>
      </c>
      <c r="AX156" s="498">
        <f t="shared" si="66"/>
        <v>0</v>
      </c>
      <c r="AY156" s="498">
        <f t="shared" si="67"/>
        <v>0</v>
      </c>
      <c r="BB156" s="498" t="str">
        <f t="shared" si="68"/>
        <v/>
      </c>
      <c r="BC156" s="743" t="str">
        <f t="shared" si="69"/>
        <v/>
      </c>
      <c r="BD156" s="743" t="str">
        <f t="shared" si="70"/>
        <v/>
      </c>
      <c r="BE156" s="743" t="str">
        <f>IF(D156="","",VLOOKUP(D156,'General Basis'!$J$39:$K$46,2,0))</f>
        <v/>
      </c>
      <c r="BF156" s="744" t="str">
        <f>IF(D156="","",VLOOKUP(D156,'General Basis'!$J$39:$L$46,3,0))</f>
        <v/>
      </c>
      <c r="BG156" s="744" t="str">
        <f t="shared" si="77"/>
        <v/>
      </c>
      <c r="BH156" s="744" t="str">
        <f>IF(G156="","",IF(BF156="Abu Dhabi",IF(G156&lt;18,'General Basis'!$C$39,IF(G156&lt;41,'General Basis'!$C$40,IF(G156&lt;60,'General Basis'!$C$41,IF(G156&lt;65,'General Basis'!$C$42,'General Basis'!$C$43)))),IF(G156&lt;11,'General Basis'!$B$39,IF(G156&lt;18,'General Basis'!$B$40,IF(G156&lt;26,'General Basis'!$B$41,IF(G156&lt;31,'General Basis'!$B$42,IF(G156&lt;36,'General Basis'!$B$43,IF(G156&lt;41,'General Basis'!$B$44,IF(G156&lt;46,'General Basis'!$B$45,IF(G156&lt;51,'General Basis'!$B$46,IF(G156&lt;56,'General Basis'!$B$47,IF(G156&lt;60,'General Basis'!$B$48,IF(G156&lt;65,'General Basis'!$B$49,'General Basis'!$B$50)))))))))))))</f>
        <v/>
      </c>
      <c r="BI156" s="744" t="str">
        <f t="shared" si="71"/>
        <v/>
      </c>
      <c r="BJ156" s="747" t="str">
        <f t="shared" si="78"/>
        <v/>
      </c>
      <c r="BK156" s="498" t="str">
        <f t="shared" si="72"/>
        <v/>
      </c>
      <c r="BL156" s="498" t="str">
        <f t="shared" si="73"/>
        <v/>
      </c>
    </row>
    <row r="157" spans="1:64" x14ac:dyDescent="0.25">
      <c r="A157" s="762">
        <f t="shared" si="74"/>
        <v>152</v>
      </c>
      <c r="B157" s="229"/>
      <c r="C157" s="223"/>
      <c r="D157" s="224"/>
      <c r="E157" s="225"/>
      <c r="F157" s="1036" t="str">
        <f t="shared" si="80"/>
        <v/>
      </c>
      <c r="G157" s="1037" t="str">
        <f t="shared" si="75"/>
        <v/>
      </c>
      <c r="H157" s="225"/>
      <c r="I157" s="1013"/>
      <c r="J157" s="1013"/>
      <c r="K157" s="1028"/>
      <c r="L157" s="1035" t="str">
        <f t="shared" si="79"/>
        <v/>
      </c>
      <c r="S157" s="498"/>
      <c r="AJ157" s="498"/>
      <c r="AM157" s="498">
        <f t="shared" si="60"/>
        <v>0</v>
      </c>
      <c r="AN157" s="498">
        <f t="shared" si="61"/>
        <v>0</v>
      </c>
      <c r="AO157" s="498">
        <f t="shared" si="62"/>
        <v>0</v>
      </c>
      <c r="AP157" s="498">
        <f t="shared" si="81"/>
        <v>0</v>
      </c>
      <c r="AQ157" s="498">
        <f t="shared" si="76"/>
        <v>0</v>
      </c>
      <c r="AU157" s="498">
        <f t="shared" si="63"/>
        <v>0</v>
      </c>
      <c r="AV157" s="498">
        <f t="shared" si="64"/>
        <v>0</v>
      </c>
      <c r="AW157" s="498">
        <f t="shared" si="65"/>
        <v>0</v>
      </c>
      <c r="AX157" s="498">
        <f t="shared" si="66"/>
        <v>0</v>
      </c>
      <c r="AY157" s="498">
        <f t="shared" si="67"/>
        <v>0</v>
      </c>
      <c r="BB157" s="498" t="str">
        <f t="shared" si="68"/>
        <v/>
      </c>
      <c r="BC157" s="743" t="str">
        <f t="shared" si="69"/>
        <v/>
      </c>
      <c r="BD157" s="743" t="str">
        <f t="shared" si="70"/>
        <v/>
      </c>
      <c r="BE157" s="743" t="str">
        <f>IF(D157="","",VLOOKUP(D157,'General Basis'!$J$39:$K$46,2,0))</f>
        <v/>
      </c>
      <c r="BF157" s="744" t="str">
        <f>IF(D157="","",VLOOKUP(D157,'General Basis'!$J$39:$L$46,3,0))</f>
        <v/>
      </c>
      <c r="BG157" s="744" t="str">
        <f t="shared" si="77"/>
        <v/>
      </c>
      <c r="BH157" s="744" t="str">
        <f>IF(G157="","",IF(BF157="Abu Dhabi",IF(G157&lt;18,'General Basis'!$C$39,IF(G157&lt;41,'General Basis'!$C$40,IF(G157&lt;60,'General Basis'!$C$41,IF(G157&lt;65,'General Basis'!$C$42,'General Basis'!$C$43)))),IF(G157&lt;11,'General Basis'!$B$39,IF(G157&lt;18,'General Basis'!$B$40,IF(G157&lt;26,'General Basis'!$B$41,IF(G157&lt;31,'General Basis'!$B$42,IF(G157&lt;36,'General Basis'!$B$43,IF(G157&lt;41,'General Basis'!$B$44,IF(G157&lt;46,'General Basis'!$B$45,IF(G157&lt;51,'General Basis'!$B$46,IF(G157&lt;56,'General Basis'!$B$47,IF(G157&lt;60,'General Basis'!$B$48,IF(G157&lt;65,'General Basis'!$B$49,'General Basis'!$B$50)))))))))))))</f>
        <v/>
      </c>
      <c r="BI157" s="744" t="str">
        <f t="shared" si="71"/>
        <v/>
      </c>
      <c r="BJ157" s="747" t="str">
        <f t="shared" si="78"/>
        <v/>
      </c>
      <c r="BK157" s="498" t="str">
        <f t="shared" si="72"/>
        <v/>
      </c>
      <c r="BL157" s="498" t="str">
        <f t="shared" si="73"/>
        <v/>
      </c>
    </row>
    <row r="158" spans="1:64" x14ac:dyDescent="0.25">
      <c r="A158" s="762">
        <f t="shared" si="74"/>
        <v>153</v>
      </c>
      <c r="B158" s="229"/>
      <c r="C158" s="223"/>
      <c r="D158" s="224"/>
      <c r="E158" s="225"/>
      <c r="F158" s="1036" t="str">
        <f t="shared" si="80"/>
        <v/>
      </c>
      <c r="G158" s="1037" t="str">
        <f t="shared" si="75"/>
        <v/>
      </c>
      <c r="H158" s="225"/>
      <c r="I158" s="1013"/>
      <c r="J158" s="1013"/>
      <c r="K158" s="1028"/>
      <c r="L158" s="1035" t="str">
        <f t="shared" si="79"/>
        <v/>
      </c>
      <c r="S158" s="498"/>
      <c r="AJ158" s="498"/>
      <c r="AM158" s="498">
        <f t="shared" si="60"/>
        <v>0</v>
      </c>
      <c r="AN158" s="498">
        <f t="shared" si="61"/>
        <v>0</v>
      </c>
      <c r="AO158" s="498">
        <f t="shared" si="62"/>
        <v>0</v>
      </c>
      <c r="AP158" s="498">
        <f t="shared" si="81"/>
        <v>0</v>
      </c>
      <c r="AQ158" s="498">
        <f t="shared" si="76"/>
        <v>0</v>
      </c>
      <c r="AU158" s="498">
        <f t="shared" si="63"/>
        <v>0</v>
      </c>
      <c r="AV158" s="498">
        <f t="shared" si="64"/>
        <v>0</v>
      </c>
      <c r="AW158" s="498">
        <f t="shared" si="65"/>
        <v>0</v>
      </c>
      <c r="AX158" s="498">
        <f t="shared" si="66"/>
        <v>0</v>
      </c>
      <c r="AY158" s="498">
        <f t="shared" si="67"/>
        <v>0</v>
      </c>
      <c r="BB158" s="498" t="str">
        <f t="shared" si="68"/>
        <v/>
      </c>
      <c r="BC158" s="743" t="str">
        <f t="shared" si="69"/>
        <v/>
      </c>
      <c r="BD158" s="743" t="str">
        <f t="shared" si="70"/>
        <v/>
      </c>
      <c r="BE158" s="743" t="str">
        <f>IF(D158="","",VLOOKUP(D158,'General Basis'!$J$39:$K$46,2,0))</f>
        <v/>
      </c>
      <c r="BF158" s="744" t="str">
        <f>IF(D158="","",VLOOKUP(D158,'General Basis'!$J$39:$L$46,3,0))</f>
        <v/>
      </c>
      <c r="BG158" s="744" t="str">
        <f t="shared" si="77"/>
        <v/>
      </c>
      <c r="BH158" s="744" t="str">
        <f>IF(G158="","",IF(BF158="Abu Dhabi",IF(G158&lt;18,'General Basis'!$C$39,IF(G158&lt;41,'General Basis'!$C$40,IF(G158&lt;60,'General Basis'!$C$41,IF(G158&lt;65,'General Basis'!$C$42,'General Basis'!$C$43)))),IF(G158&lt;11,'General Basis'!$B$39,IF(G158&lt;18,'General Basis'!$B$40,IF(G158&lt;26,'General Basis'!$B$41,IF(G158&lt;31,'General Basis'!$B$42,IF(G158&lt;36,'General Basis'!$B$43,IF(G158&lt;41,'General Basis'!$B$44,IF(G158&lt;46,'General Basis'!$B$45,IF(G158&lt;51,'General Basis'!$B$46,IF(G158&lt;56,'General Basis'!$B$47,IF(G158&lt;60,'General Basis'!$B$48,IF(G158&lt;65,'General Basis'!$B$49,'General Basis'!$B$50)))))))))))))</f>
        <v/>
      </c>
      <c r="BI158" s="744" t="str">
        <f t="shared" si="71"/>
        <v/>
      </c>
      <c r="BJ158" s="747" t="str">
        <f t="shared" si="78"/>
        <v/>
      </c>
      <c r="BK158" s="498" t="str">
        <f t="shared" si="72"/>
        <v/>
      </c>
      <c r="BL158" s="498" t="str">
        <f t="shared" si="73"/>
        <v/>
      </c>
    </row>
    <row r="159" spans="1:64" x14ac:dyDescent="0.25">
      <c r="A159" s="762">
        <f t="shared" si="74"/>
        <v>154</v>
      </c>
      <c r="B159" s="229"/>
      <c r="C159" s="223"/>
      <c r="D159" s="224"/>
      <c r="E159" s="225"/>
      <c r="F159" s="1036" t="str">
        <f t="shared" si="80"/>
        <v/>
      </c>
      <c r="G159" s="1037" t="str">
        <f t="shared" si="75"/>
        <v/>
      </c>
      <c r="H159" s="225"/>
      <c r="I159" s="1013"/>
      <c r="J159" s="1013"/>
      <c r="K159" s="1028"/>
      <c r="L159" s="1035" t="str">
        <f t="shared" si="79"/>
        <v/>
      </c>
      <c r="S159" s="498"/>
      <c r="AJ159" s="498"/>
      <c r="AM159" s="498">
        <f t="shared" si="60"/>
        <v>0</v>
      </c>
      <c r="AN159" s="498">
        <f t="shared" si="61"/>
        <v>0</v>
      </c>
      <c r="AO159" s="498">
        <f t="shared" si="62"/>
        <v>0</v>
      </c>
      <c r="AP159" s="498">
        <f t="shared" si="81"/>
        <v>0</v>
      </c>
      <c r="AQ159" s="498">
        <f t="shared" si="76"/>
        <v>0</v>
      </c>
      <c r="AU159" s="498">
        <f t="shared" si="63"/>
        <v>0</v>
      </c>
      <c r="AV159" s="498">
        <f t="shared" si="64"/>
        <v>0</v>
      </c>
      <c r="AW159" s="498">
        <f t="shared" si="65"/>
        <v>0</v>
      </c>
      <c r="AX159" s="498">
        <f t="shared" si="66"/>
        <v>0</v>
      </c>
      <c r="AY159" s="498">
        <f t="shared" si="67"/>
        <v>0</v>
      </c>
      <c r="BB159" s="498" t="str">
        <f t="shared" si="68"/>
        <v/>
      </c>
      <c r="BC159" s="743" t="str">
        <f t="shared" si="69"/>
        <v/>
      </c>
      <c r="BD159" s="743" t="str">
        <f t="shared" si="70"/>
        <v/>
      </c>
      <c r="BE159" s="743" t="str">
        <f>IF(D159="","",VLOOKUP(D159,'General Basis'!$J$39:$K$46,2,0))</f>
        <v/>
      </c>
      <c r="BF159" s="744" t="str">
        <f>IF(D159="","",VLOOKUP(D159,'General Basis'!$J$39:$L$46,3,0))</f>
        <v/>
      </c>
      <c r="BG159" s="744" t="str">
        <f t="shared" si="77"/>
        <v/>
      </c>
      <c r="BH159" s="744" t="str">
        <f>IF(G159="","",IF(BF159="Abu Dhabi",IF(G159&lt;18,'General Basis'!$C$39,IF(G159&lt;41,'General Basis'!$C$40,IF(G159&lt;60,'General Basis'!$C$41,IF(G159&lt;65,'General Basis'!$C$42,'General Basis'!$C$43)))),IF(G159&lt;11,'General Basis'!$B$39,IF(G159&lt;18,'General Basis'!$B$40,IF(G159&lt;26,'General Basis'!$B$41,IF(G159&lt;31,'General Basis'!$B$42,IF(G159&lt;36,'General Basis'!$B$43,IF(G159&lt;41,'General Basis'!$B$44,IF(G159&lt;46,'General Basis'!$B$45,IF(G159&lt;51,'General Basis'!$B$46,IF(G159&lt;56,'General Basis'!$B$47,IF(G159&lt;60,'General Basis'!$B$48,IF(G159&lt;65,'General Basis'!$B$49,'General Basis'!$B$50)))))))))))))</f>
        <v/>
      </c>
      <c r="BI159" s="744" t="str">
        <f t="shared" si="71"/>
        <v/>
      </c>
      <c r="BJ159" s="747" t="str">
        <f t="shared" si="78"/>
        <v/>
      </c>
      <c r="BK159" s="498" t="str">
        <f t="shared" si="72"/>
        <v/>
      </c>
      <c r="BL159" s="498" t="str">
        <f t="shared" si="73"/>
        <v/>
      </c>
    </row>
    <row r="160" spans="1:64" x14ac:dyDescent="0.25">
      <c r="A160" s="762">
        <f t="shared" si="74"/>
        <v>155</v>
      </c>
      <c r="B160" s="229"/>
      <c r="C160" s="223"/>
      <c r="D160" s="224"/>
      <c r="E160" s="225"/>
      <c r="F160" s="1036" t="str">
        <f t="shared" si="80"/>
        <v/>
      </c>
      <c r="G160" s="1037" t="str">
        <f t="shared" si="75"/>
        <v/>
      </c>
      <c r="H160" s="225"/>
      <c r="I160" s="1013"/>
      <c r="J160" s="1013"/>
      <c r="K160" s="1028"/>
      <c r="L160" s="1035" t="str">
        <f t="shared" si="79"/>
        <v/>
      </c>
      <c r="S160" s="498"/>
      <c r="AJ160" s="498"/>
      <c r="AM160" s="498">
        <f t="shared" si="60"/>
        <v>0</v>
      </c>
      <c r="AN160" s="498">
        <f t="shared" si="61"/>
        <v>0</v>
      </c>
      <c r="AO160" s="498">
        <f t="shared" si="62"/>
        <v>0</v>
      </c>
      <c r="AP160" s="498">
        <f t="shared" si="81"/>
        <v>0</v>
      </c>
      <c r="AQ160" s="498">
        <f t="shared" si="76"/>
        <v>0</v>
      </c>
      <c r="AU160" s="498">
        <f t="shared" si="63"/>
        <v>0</v>
      </c>
      <c r="AV160" s="498">
        <f t="shared" si="64"/>
        <v>0</v>
      </c>
      <c r="AW160" s="498">
        <f t="shared" si="65"/>
        <v>0</v>
      </c>
      <c r="AX160" s="498">
        <f t="shared" si="66"/>
        <v>0</v>
      </c>
      <c r="AY160" s="498">
        <f t="shared" si="67"/>
        <v>0</v>
      </c>
      <c r="BB160" s="498" t="str">
        <f t="shared" si="68"/>
        <v/>
      </c>
      <c r="BC160" s="743" t="str">
        <f t="shared" si="69"/>
        <v/>
      </c>
      <c r="BD160" s="743" t="str">
        <f t="shared" si="70"/>
        <v/>
      </c>
      <c r="BE160" s="743" t="str">
        <f>IF(D160="","",VLOOKUP(D160,'General Basis'!$J$39:$K$46,2,0))</f>
        <v/>
      </c>
      <c r="BF160" s="744" t="str">
        <f>IF(D160="","",VLOOKUP(D160,'General Basis'!$J$39:$L$46,3,0))</f>
        <v/>
      </c>
      <c r="BG160" s="744" t="str">
        <f t="shared" si="77"/>
        <v/>
      </c>
      <c r="BH160" s="744" t="str">
        <f>IF(G160="","",IF(BF160="Abu Dhabi",IF(G160&lt;18,'General Basis'!$C$39,IF(G160&lt;41,'General Basis'!$C$40,IF(G160&lt;60,'General Basis'!$C$41,IF(G160&lt;65,'General Basis'!$C$42,'General Basis'!$C$43)))),IF(G160&lt;11,'General Basis'!$B$39,IF(G160&lt;18,'General Basis'!$B$40,IF(G160&lt;26,'General Basis'!$B$41,IF(G160&lt;31,'General Basis'!$B$42,IF(G160&lt;36,'General Basis'!$B$43,IF(G160&lt;41,'General Basis'!$B$44,IF(G160&lt;46,'General Basis'!$B$45,IF(G160&lt;51,'General Basis'!$B$46,IF(G160&lt;56,'General Basis'!$B$47,IF(G160&lt;60,'General Basis'!$B$48,IF(G160&lt;65,'General Basis'!$B$49,'General Basis'!$B$50)))))))))))))</f>
        <v/>
      </c>
      <c r="BI160" s="744" t="str">
        <f t="shared" si="71"/>
        <v/>
      </c>
      <c r="BJ160" s="747" t="str">
        <f t="shared" si="78"/>
        <v/>
      </c>
      <c r="BK160" s="498" t="str">
        <f t="shared" si="72"/>
        <v/>
      </c>
      <c r="BL160" s="498" t="str">
        <f t="shared" si="73"/>
        <v/>
      </c>
    </row>
    <row r="161" spans="1:64" x14ac:dyDescent="0.25">
      <c r="A161" s="762">
        <f t="shared" si="74"/>
        <v>156</v>
      </c>
      <c r="B161" s="229"/>
      <c r="C161" s="223"/>
      <c r="D161" s="224"/>
      <c r="E161" s="225"/>
      <c r="F161" s="1036" t="str">
        <f t="shared" si="80"/>
        <v/>
      </c>
      <c r="G161" s="1037" t="str">
        <f t="shared" si="75"/>
        <v/>
      </c>
      <c r="H161" s="225"/>
      <c r="I161" s="1013"/>
      <c r="J161" s="1013"/>
      <c r="K161" s="1028"/>
      <c r="L161" s="1035" t="str">
        <f t="shared" si="79"/>
        <v/>
      </c>
      <c r="S161" s="498"/>
      <c r="AJ161" s="498"/>
      <c r="AM161" s="498">
        <f t="shared" si="60"/>
        <v>0</v>
      </c>
      <c r="AN161" s="498">
        <f t="shared" si="61"/>
        <v>0</v>
      </c>
      <c r="AO161" s="498">
        <f t="shared" si="62"/>
        <v>0</v>
      </c>
      <c r="AP161" s="498">
        <f t="shared" si="81"/>
        <v>0</v>
      </c>
      <c r="AQ161" s="498">
        <f t="shared" si="76"/>
        <v>0</v>
      </c>
      <c r="AU161" s="498">
        <f t="shared" si="63"/>
        <v>0</v>
      </c>
      <c r="AV161" s="498">
        <f t="shared" si="64"/>
        <v>0</v>
      </c>
      <c r="AW161" s="498">
        <f t="shared" si="65"/>
        <v>0</v>
      </c>
      <c r="AX161" s="498">
        <f t="shared" si="66"/>
        <v>0</v>
      </c>
      <c r="AY161" s="498">
        <f t="shared" si="67"/>
        <v>0</v>
      </c>
      <c r="BB161" s="498" t="str">
        <f t="shared" si="68"/>
        <v/>
      </c>
      <c r="BC161" s="743" t="str">
        <f t="shared" si="69"/>
        <v/>
      </c>
      <c r="BD161" s="743" t="str">
        <f t="shared" si="70"/>
        <v/>
      </c>
      <c r="BE161" s="743" t="str">
        <f>IF(D161="","",VLOOKUP(D161,'General Basis'!$J$39:$K$46,2,0))</f>
        <v/>
      </c>
      <c r="BF161" s="744" t="str">
        <f>IF(D161="","",VLOOKUP(D161,'General Basis'!$J$39:$L$46,3,0))</f>
        <v/>
      </c>
      <c r="BG161" s="744" t="str">
        <f t="shared" si="77"/>
        <v/>
      </c>
      <c r="BH161" s="744" t="str">
        <f>IF(G161="","",IF(BF161="Abu Dhabi",IF(G161&lt;18,'General Basis'!$C$39,IF(G161&lt;41,'General Basis'!$C$40,IF(G161&lt;60,'General Basis'!$C$41,IF(G161&lt;65,'General Basis'!$C$42,'General Basis'!$C$43)))),IF(G161&lt;11,'General Basis'!$B$39,IF(G161&lt;18,'General Basis'!$B$40,IF(G161&lt;26,'General Basis'!$B$41,IF(G161&lt;31,'General Basis'!$B$42,IF(G161&lt;36,'General Basis'!$B$43,IF(G161&lt;41,'General Basis'!$B$44,IF(G161&lt;46,'General Basis'!$B$45,IF(G161&lt;51,'General Basis'!$B$46,IF(G161&lt;56,'General Basis'!$B$47,IF(G161&lt;60,'General Basis'!$B$48,IF(G161&lt;65,'General Basis'!$B$49,'General Basis'!$B$50)))))))))))))</f>
        <v/>
      </c>
      <c r="BI161" s="744" t="str">
        <f t="shared" si="71"/>
        <v/>
      </c>
      <c r="BJ161" s="747" t="str">
        <f t="shared" si="78"/>
        <v/>
      </c>
      <c r="BK161" s="498" t="str">
        <f t="shared" si="72"/>
        <v/>
      </c>
      <c r="BL161" s="498" t="str">
        <f t="shared" si="73"/>
        <v/>
      </c>
    </row>
    <row r="162" spans="1:64" x14ac:dyDescent="0.25">
      <c r="A162" s="762">
        <f t="shared" si="74"/>
        <v>157</v>
      </c>
      <c r="B162" s="229"/>
      <c r="C162" s="223"/>
      <c r="D162" s="224"/>
      <c r="E162" s="225"/>
      <c r="F162" s="1036" t="str">
        <f t="shared" si="80"/>
        <v/>
      </c>
      <c r="G162" s="1037" t="str">
        <f t="shared" si="75"/>
        <v/>
      </c>
      <c r="H162" s="225"/>
      <c r="I162" s="1013"/>
      <c r="J162" s="1013"/>
      <c r="K162" s="1028"/>
      <c r="L162" s="1035" t="str">
        <f t="shared" si="79"/>
        <v/>
      </c>
      <c r="S162" s="498"/>
      <c r="AJ162" s="498"/>
      <c r="AM162" s="498">
        <f t="shared" si="60"/>
        <v>0</v>
      </c>
      <c r="AN162" s="498">
        <f t="shared" si="61"/>
        <v>0</v>
      </c>
      <c r="AO162" s="498">
        <f t="shared" si="62"/>
        <v>0</v>
      </c>
      <c r="AP162" s="498">
        <f t="shared" si="81"/>
        <v>0</v>
      </c>
      <c r="AQ162" s="498">
        <f t="shared" si="76"/>
        <v>0</v>
      </c>
      <c r="AU162" s="498">
        <f t="shared" si="63"/>
        <v>0</v>
      </c>
      <c r="AV162" s="498">
        <f t="shared" si="64"/>
        <v>0</v>
      </c>
      <c r="AW162" s="498">
        <f t="shared" si="65"/>
        <v>0</v>
      </c>
      <c r="AX162" s="498">
        <f t="shared" si="66"/>
        <v>0</v>
      </c>
      <c r="AY162" s="498">
        <f t="shared" si="67"/>
        <v>0</v>
      </c>
      <c r="BB162" s="498" t="str">
        <f t="shared" si="68"/>
        <v/>
      </c>
      <c r="BC162" s="743" t="str">
        <f t="shared" si="69"/>
        <v/>
      </c>
      <c r="BD162" s="743" t="str">
        <f t="shared" si="70"/>
        <v/>
      </c>
      <c r="BE162" s="743" t="str">
        <f>IF(D162="","",VLOOKUP(D162,'General Basis'!$J$39:$K$46,2,0))</f>
        <v/>
      </c>
      <c r="BF162" s="744" t="str">
        <f>IF(D162="","",VLOOKUP(D162,'General Basis'!$J$39:$L$46,3,0))</f>
        <v/>
      </c>
      <c r="BG162" s="744" t="str">
        <f t="shared" si="77"/>
        <v/>
      </c>
      <c r="BH162" s="744" t="str">
        <f>IF(G162="","",IF(BF162="Abu Dhabi",IF(G162&lt;18,'General Basis'!$C$39,IF(G162&lt;41,'General Basis'!$C$40,IF(G162&lt;60,'General Basis'!$C$41,IF(G162&lt;65,'General Basis'!$C$42,'General Basis'!$C$43)))),IF(G162&lt;11,'General Basis'!$B$39,IF(G162&lt;18,'General Basis'!$B$40,IF(G162&lt;26,'General Basis'!$B$41,IF(G162&lt;31,'General Basis'!$B$42,IF(G162&lt;36,'General Basis'!$B$43,IF(G162&lt;41,'General Basis'!$B$44,IF(G162&lt;46,'General Basis'!$B$45,IF(G162&lt;51,'General Basis'!$B$46,IF(G162&lt;56,'General Basis'!$B$47,IF(G162&lt;60,'General Basis'!$B$48,IF(G162&lt;65,'General Basis'!$B$49,'General Basis'!$B$50)))))))))))))</f>
        <v/>
      </c>
      <c r="BI162" s="744" t="str">
        <f t="shared" si="71"/>
        <v/>
      </c>
      <c r="BJ162" s="747" t="str">
        <f t="shared" si="78"/>
        <v/>
      </c>
      <c r="BK162" s="498" t="str">
        <f t="shared" si="72"/>
        <v/>
      </c>
      <c r="BL162" s="498" t="str">
        <f t="shared" si="73"/>
        <v/>
      </c>
    </row>
    <row r="163" spans="1:64" x14ac:dyDescent="0.25">
      <c r="A163" s="762">
        <f t="shared" si="74"/>
        <v>158</v>
      </c>
      <c r="B163" s="229"/>
      <c r="C163" s="223"/>
      <c r="D163" s="224"/>
      <c r="E163" s="225"/>
      <c r="F163" s="1036" t="str">
        <f t="shared" si="80"/>
        <v/>
      </c>
      <c r="G163" s="1037" t="str">
        <f t="shared" si="75"/>
        <v/>
      </c>
      <c r="H163" s="225"/>
      <c r="I163" s="1013"/>
      <c r="J163" s="1013"/>
      <c r="K163" s="1028"/>
      <c r="L163" s="1035" t="str">
        <f t="shared" si="79"/>
        <v/>
      </c>
      <c r="S163" s="498"/>
      <c r="AJ163" s="498"/>
      <c r="AM163" s="498">
        <f t="shared" si="60"/>
        <v>0</v>
      </c>
      <c r="AN163" s="498">
        <f t="shared" si="61"/>
        <v>0</v>
      </c>
      <c r="AO163" s="498">
        <f t="shared" si="62"/>
        <v>0</v>
      </c>
      <c r="AP163" s="498">
        <f t="shared" si="81"/>
        <v>0</v>
      </c>
      <c r="AQ163" s="498">
        <f t="shared" si="76"/>
        <v>0</v>
      </c>
      <c r="AU163" s="498">
        <f t="shared" si="63"/>
        <v>0</v>
      </c>
      <c r="AV163" s="498">
        <f t="shared" si="64"/>
        <v>0</v>
      </c>
      <c r="AW163" s="498">
        <f t="shared" si="65"/>
        <v>0</v>
      </c>
      <c r="AX163" s="498">
        <f t="shared" si="66"/>
        <v>0</v>
      </c>
      <c r="AY163" s="498">
        <f t="shared" si="67"/>
        <v>0</v>
      </c>
      <c r="BB163" s="498" t="str">
        <f t="shared" si="68"/>
        <v/>
      </c>
      <c r="BC163" s="743" t="str">
        <f t="shared" si="69"/>
        <v/>
      </c>
      <c r="BD163" s="743" t="str">
        <f t="shared" si="70"/>
        <v/>
      </c>
      <c r="BE163" s="743" t="str">
        <f>IF(D163="","",VLOOKUP(D163,'General Basis'!$J$39:$K$46,2,0))</f>
        <v/>
      </c>
      <c r="BF163" s="744" t="str">
        <f>IF(D163="","",VLOOKUP(D163,'General Basis'!$J$39:$L$46,3,0))</f>
        <v/>
      </c>
      <c r="BG163" s="744" t="str">
        <f t="shared" si="77"/>
        <v/>
      </c>
      <c r="BH163" s="744" t="str">
        <f>IF(G163="","",IF(BF163="Abu Dhabi",IF(G163&lt;18,'General Basis'!$C$39,IF(G163&lt;41,'General Basis'!$C$40,IF(G163&lt;60,'General Basis'!$C$41,IF(G163&lt;65,'General Basis'!$C$42,'General Basis'!$C$43)))),IF(G163&lt;11,'General Basis'!$B$39,IF(G163&lt;18,'General Basis'!$B$40,IF(G163&lt;26,'General Basis'!$B$41,IF(G163&lt;31,'General Basis'!$B$42,IF(G163&lt;36,'General Basis'!$B$43,IF(G163&lt;41,'General Basis'!$B$44,IF(G163&lt;46,'General Basis'!$B$45,IF(G163&lt;51,'General Basis'!$B$46,IF(G163&lt;56,'General Basis'!$B$47,IF(G163&lt;60,'General Basis'!$B$48,IF(G163&lt;65,'General Basis'!$B$49,'General Basis'!$B$50)))))))))))))</f>
        <v/>
      </c>
      <c r="BI163" s="744" t="str">
        <f t="shared" si="71"/>
        <v/>
      </c>
      <c r="BJ163" s="747" t="str">
        <f t="shared" si="78"/>
        <v/>
      </c>
      <c r="BK163" s="498" t="str">
        <f t="shared" si="72"/>
        <v/>
      </c>
      <c r="BL163" s="498" t="str">
        <f t="shared" si="73"/>
        <v/>
      </c>
    </row>
    <row r="164" spans="1:64" x14ac:dyDescent="0.25">
      <c r="A164" s="762">
        <f t="shared" si="74"/>
        <v>159</v>
      </c>
      <c r="B164" s="229"/>
      <c r="C164" s="223"/>
      <c r="D164" s="224"/>
      <c r="E164" s="225"/>
      <c r="F164" s="1036" t="str">
        <f t="shared" si="80"/>
        <v/>
      </c>
      <c r="G164" s="1037" t="str">
        <f t="shared" si="75"/>
        <v/>
      </c>
      <c r="H164" s="225"/>
      <c r="I164" s="1013"/>
      <c r="J164" s="1013"/>
      <c r="K164" s="1028"/>
      <c r="L164" s="1035" t="str">
        <f t="shared" si="79"/>
        <v/>
      </c>
      <c r="S164" s="498"/>
      <c r="AJ164" s="498"/>
      <c r="AM164" s="498">
        <f t="shared" si="60"/>
        <v>0</v>
      </c>
      <c r="AN164" s="498">
        <f t="shared" si="61"/>
        <v>0</v>
      </c>
      <c r="AO164" s="498">
        <f t="shared" si="62"/>
        <v>0</v>
      </c>
      <c r="AP164" s="498">
        <f t="shared" si="81"/>
        <v>0</v>
      </c>
      <c r="AQ164" s="498">
        <f t="shared" si="76"/>
        <v>0</v>
      </c>
      <c r="AU164" s="498">
        <f t="shared" si="63"/>
        <v>0</v>
      </c>
      <c r="AV164" s="498">
        <f t="shared" si="64"/>
        <v>0</v>
      </c>
      <c r="AW164" s="498">
        <f t="shared" si="65"/>
        <v>0</v>
      </c>
      <c r="AX164" s="498">
        <f t="shared" si="66"/>
        <v>0</v>
      </c>
      <c r="AY164" s="498">
        <f t="shared" si="67"/>
        <v>0</v>
      </c>
      <c r="BB164" s="498" t="str">
        <f t="shared" si="68"/>
        <v/>
      </c>
      <c r="BC164" s="743" t="str">
        <f t="shared" si="69"/>
        <v/>
      </c>
      <c r="BD164" s="743" t="str">
        <f t="shared" si="70"/>
        <v/>
      </c>
      <c r="BE164" s="743" t="str">
        <f>IF(D164="","",VLOOKUP(D164,'General Basis'!$J$39:$K$46,2,0))</f>
        <v/>
      </c>
      <c r="BF164" s="744" t="str">
        <f>IF(D164="","",VLOOKUP(D164,'General Basis'!$J$39:$L$46,3,0))</f>
        <v/>
      </c>
      <c r="BG164" s="744" t="str">
        <f t="shared" si="77"/>
        <v/>
      </c>
      <c r="BH164" s="744" t="str">
        <f>IF(G164="","",IF(BF164="Abu Dhabi",IF(G164&lt;18,'General Basis'!$C$39,IF(G164&lt;41,'General Basis'!$C$40,IF(G164&lt;60,'General Basis'!$C$41,IF(G164&lt;65,'General Basis'!$C$42,'General Basis'!$C$43)))),IF(G164&lt;11,'General Basis'!$B$39,IF(G164&lt;18,'General Basis'!$B$40,IF(G164&lt;26,'General Basis'!$B$41,IF(G164&lt;31,'General Basis'!$B$42,IF(G164&lt;36,'General Basis'!$B$43,IF(G164&lt;41,'General Basis'!$B$44,IF(G164&lt;46,'General Basis'!$B$45,IF(G164&lt;51,'General Basis'!$B$46,IF(G164&lt;56,'General Basis'!$B$47,IF(G164&lt;60,'General Basis'!$B$48,IF(G164&lt;65,'General Basis'!$B$49,'General Basis'!$B$50)))))))))))))</f>
        <v/>
      </c>
      <c r="BI164" s="744" t="str">
        <f t="shared" si="71"/>
        <v/>
      </c>
      <c r="BJ164" s="747" t="str">
        <f t="shared" si="78"/>
        <v/>
      </c>
      <c r="BK164" s="498" t="str">
        <f t="shared" si="72"/>
        <v/>
      </c>
      <c r="BL164" s="498" t="str">
        <f t="shared" si="73"/>
        <v/>
      </c>
    </row>
    <row r="165" spans="1:64" x14ac:dyDescent="0.25">
      <c r="A165" s="762">
        <f t="shared" si="74"/>
        <v>160</v>
      </c>
      <c r="B165" s="229"/>
      <c r="C165" s="223"/>
      <c r="D165" s="224"/>
      <c r="E165" s="225"/>
      <c r="F165" s="1036" t="str">
        <f t="shared" si="80"/>
        <v/>
      </c>
      <c r="G165" s="1037" t="str">
        <f t="shared" si="75"/>
        <v/>
      </c>
      <c r="H165" s="225"/>
      <c r="I165" s="1013"/>
      <c r="J165" s="1013"/>
      <c r="K165" s="1028"/>
      <c r="L165" s="1035" t="str">
        <f t="shared" si="79"/>
        <v/>
      </c>
      <c r="S165" s="498"/>
      <c r="AJ165" s="498"/>
      <c r="AM165" s="498">
        <f t="shared" si="60"/>
        <v>0</v>
      </c>
      <c r="AN165" s="498">
        <f t="shared" si="61"/>
        <v>0</v>
      </c>
      <c r="AO165" s="498">
        <f t="shared" si="62"/>
        <v>0</v>
      </c>
      <c r="AP165" s="498">
        <f t="shared" si="81"/>
        <v>0</v>
      </c>
      <c r="AQ165" s="498">
        <f t="shared" si="76"/>
        <v>0</v>
      </c>
      <c r="AU165" s="498">
        <f t="shared" si="63"/>
        <v>0</v>
      </c>
      <c r="AV165" s="498">
        <f t="shared" si="64"/>
        <v>0</v>
      </c>
      <c r="AW165" s="498">
        <f t="shared" si="65"/>
        <v>0</v>
      </c>
      <c r="AX165" s="498">
        <f t="shared" si="66"/>
        <v>0</v>
      </c>
      <c r="AY165" s="498">
        <f t="shared" si="67"/>
        <v>0</v>
      </c>
      <c r="BB165" s="498" t="str">
        <f t="shared" si="68"/>
        <v/>
      </c>
      <c r="BC165" s="743" t="str">
        <f t="shared" si="69"/>
        <v/>
      </c>
      <c r="BD165" s="743" t="str">
        <f t="shared" si="70"/>
        <v/>
      </c>
      <c r="BE165" s="743" t="str">
        <f>IF(D165="","",VLOOKUP(D165,'General Basis'!$J$39:$K$46,2,0))</f>
        <v/>
      </c>
      <c r="BF165" s="744" t="str">
        <f>IF(D165="","",VLOOKUP(D165,'General Basis'!$J$39:$L$46,3,0))</f>
        <v/>
      </c>
      <c r="BG165" s="744" t="str">
        <f t="shared" si="77"/>
        <v/>
      </c>
      <c r="BH165" s="744" t="str">
        <f>IF(G165="","",IF(BF165="Abu Dhabi",IF(G165&lt;18,'General Basis'!$C$39,IF(G165&lt;41,'General Basis'!$C$40,IF(G165&lt;60,'General Basis'!$C$41,IF(G165&lt;65,'General Basis'!$C$42,'General Basis'!$C$43)))),IF(G165&lt;11,'General Basis'!$B$39,IF(G165&lt;18,'General Basis'!$B$40,IF(G165&lt;26,'General Basis'!$B$41,IF(G165&lt;31,'General Basis'!$B$42,IF(G165&lt;36,'General Basis'!$B$43,IF(G165&lt;41,'General Basis'!$B$44,IF(G165&lt;46,'General Basis'!$B$45,IF(G165&lt;51,'General Basis'!$B$46,IF(G165&lt;56,'General Basis'!$B$47,IF(G165&lt;60,'General Basis'!$B$48,IF(G165&lt;65,'General Basis'!$B$49,'General Basis'!$B$50)))))))))))))</f>
        <v/>
      </c>
      <c r="BI165" s="744" t="str">
        <f t="shared" si="71"/>
        <v/>
      </c>
      <c r="BJ165" s="747" t="str">
        <f t="shared" si="78"/>
        <v/>
      </c>
      <c r="BK165" s="498" t="str">
        <f t="shared" si="72"/>
        <v/>
      </c>
      <c r="BL165" s="498" t="str">
        <f t="shared" si="73"/>
        <v/>
      </c>
    </row>
    <row r="166" spans="1:64" x14ac:dyDescent="0.25">
      <c r="A166" s="762">
        <f t="shared" si="74"/>
        <v>161</v>
      </c>
      <c r="B166" s="229"/>
      <c r="C166" s="223"/>
      <c r="D166" s="224"/>
      <c r="E166" s="225"/>
      <c r="F166" s="1036" t="str">
        <f t="shared" si="80"/>
        <v/>
      </c>
      <c r="G166" s="1037" t="str">
        <f t="shared" si="75"/>
        <v/>
      </c>
      <c r="H166" s="225"/>
      <c r="I166" s="1013"/>
      <c r="J166" s="1013"/>
      <c r="K166" s="1028"/>
      <c r="L166" s="1035" t="str">
        <f t="shared" si="79"/>
        <v/>
      </c>
      <c r="S166" s="498"/>
      <c r="AJ166" s="498"/>
      <c r="AM166" s="498">
        <f t="shared" si="60"/>
        <v>0</v>
      </c>
      <c r="AN166" s="498">
        <f t="shared" si="61"/>
        <v>0</v>
      </c>
      <c r="AO166" s="498">
        <f t="shared" si="62"/>
        <v>0</v>
      </c>
      <c r="AP166" s="498">
        <f t="shared" si="81"/>
        <v>0</v>
      </c>
      <c r="AQ166" s="498">
        <f t="shared" si="76"/>
        <v>0</v>
      </c>
      <c r="AU166" s="498">
        <f t="shared" si="63"/>
        <v>0</v>
      </c>
      <c r="AV166" s="498">
        <f t="shared" si="64"/>
        <v>0</v>
      </c>
      <c r="AW166" s="498">
        <f t="shared" si="65"/>
        <v>0</v>
      </c>
      <c r="AX166" s="498">
        <f t="shared" si="66"/>
        <v>0</v>
      </c>
      <c r="AY166" s="498">
        <f t="shared" si="67"/>
        <v>0</v>
      </c>
      <c r="BB166" s="498" t="str">
        <f t="shared" si="68"/>
        <v/>
      </c>
      <c r="BC166" s="743" t="str">
        <f t="shared" si="69"/>
        <v/>
      </c>
      <c r="BD166" s="743" t="str">
        <f t="shared" si="70"/>
        <v/>
      </c>
      <c r="BE166" s="743" t="str">
        <f>IF(D166="","",VLOOKUP(D166,'General Basis'!$J$39:$K$46,2,0))</f>
        <v/>
      </c>
      <c r="BF166" s="744" t="str">
        <f>IF(D166="","",VLOOKUP(D166,'General Basis'!$J$39:$L$46,3,0))</f>
        <v/>
      </c>
      <c r="BG166" s="744" t="str">
        <f t="shared" si="77"/>
        <v/>
      </c>
      <c r="BH166" s="744" t="str">
        <f>IF(G166="","",IF(BF166="Abu Dhabi",IF(G166&lt;18,'General Basis'!$C$39,IF(G166&lt;41,'General Basis'!$C$40,IF(G166&lt;60,'General Basis'!$C$41,IF(G166&lt;65,'General Basis'!$C$42,'General Basis'!$C$43)))),IF(G166&lt;11,'General Basis'!$B$39,IF(G166&lt;18,'General Basis'!$B$40,IF(G166&lt;26,'General Basis'!$B$41,IF(G166&lt;31,'General Basis'!$B$42,IF(G166&lt;36,'General Basis'!$B$43,IF(G166&lt;41,'General Basis'!$B$44,IF(G166&lt;46,'General Basis'!$B$45,IF(G166&lt;51,'General Basis'!$B$46,IF(G166&lt;56,'General Basis'!$B$47,IF(G166&lt;60,'General Basis'!$B$48,IF(G166&lt;65,'General Basis'!$B$49,'General Basis'!$B$50)))))))))))))</f>
        <v/>
      </c>
      <c r="BI166" s="744" t="str">
        <f t="shared" si="71"/>
        <v/>
      </c>
      <c r="BJ166" s="747" t="str">
        <f t="shared" si="78"/>
        <v/>
      </c>
      <c r="BK166" s="498" t="str">
        <f t="shared" si="72"/>
        <v/>
      </c>
      <c r="BL166" s="498" t="str">
        <f t="shared" si="73"/>
        <v/>
      </c>
    </row>
    <row r="167" spans="1:64" x14ac:dyDescent="0.25">
      <c r="A167" s="762">
        <f t="shared" si="74"/>
        <v>162</v>
      </c>
      <c r="B167" s="229"/>
      <c r="C167" s="223"/>
      <c r="D167" s="224"/>
      <c r="E167" s="225"/>
      <c r="F167" s="1036" t="str">
        <f t="shared" si="80"/>
        <v/>
      </c>
      <c r="G167" s="1037" t="str">
        <f t="shared" si="75"/>
        <v/>
      </c>
      <c r="H167" s="225"/>
      <c r="I167" s="1013"/>
      <c r="J167" s="1013"/>
      <c r="K167" s="1028"/>
      <c r="L167" s="1035" t="str">
        <f t="shared" si="79"/>
        <v/>
      </c>
      <c r="S167" s="498"/>
      <c r="AJ167" s="498"/>
      <c r="AM167" s="498">
        <f t="shared" si="60"/>
        <v>0</v>
      </c>
      <c r="AN167" s="498">
        <f t="shared" si="61"/>
        <v>0</v>
      </c>
      <c r="AO167" s="498">
        <f t="shared" si="62"/>
        <v>0</v>
      </c>
      <c r="AP167" s="498">
        <f t="shared" si="81"/>
        <v>0</v>
      </c>
      <c r="AQ167" s="498">
        <f t="shared" si="76"/>
        <v>0</v>
      </c>
      <c r="AU167" s="498">
        <f t="shared" si="63"/>
        <v>0</v>
      </c>
      <c r="AV167" s="498">
        <f t="shared" si="64"/>
        <v>0</v>
      </c>
      <c r="AW167" s="498">
        <f t="shared" si="65"/>
        <v>0</v>
      </c>
      <c r="AX167" s="498">
        <f t="shared" si="66"/>
        <v>0</v>
      </c>
      <c r="AY167" s="498">
        <f t="shared" si="67"/>
        <v>0</v>
      </c>
      <c r="BB167" s="498" t="str">
        <f t="shared" si="68"/>
        <v/>
      </c>
      <c r="BC167" s="743" t="str">
        <f t="shared" si="69"/>
        <v/>
      </c>
      <c r="BD167" s="743" t="str">
        <f t="shared" si="70"/>
        <v/>
      </c>
      <c r="BE167" s="743" t="str">
        <f>IF(D167="","",VLOOKUP(D167,'General Basis'!$J$39:$K$46,2,0))</f>
        <v/>
      </c>
      <c r="BF167" s="744" t="str">
        <f>IF(D167="","",VLOOKUP(D167,'General Basis'!$J$39:$L$46,3,0))</f>
        <v/>
      </c>
      <c r="BG167" s="744" t="str">
        <f t="shared" si="77"/>
        <v/>
      </c>
      <c r="BH167" s="744" t="str">
        <f>IF(G167="","",IF(BF167="Abu Dhabi",IF(G167&lt;18,'General Basis'!$C$39,IF(G167&lt;41,'General Basis'!$C$40,IF(G167&lt;60,'General Basis'!$C$41,IF(G167&lt;65,'General Basis'!$C$42,'General Basis'!$C$43)))),IF(G167&lt;11,'General Basis'!$B$39,IF(G167&lt;18,'General Basis'!$B$40,IF(G167&lt;26,'General Basis'!$B$41,IF(G167&lt;31,'General Basis'!$B$42,IF(G167&lt;36,'General Basis'!$B$43,IF(G167&lt;41,'General Basis'!$B$44,IF(G167&lt;46,'General Basis'!$B$45,IF(G167&lt;51,'General Basis'!$B$46,IF(G167&lt;56,'General Basis'!$B$47,IF(G167&lt;60,'General Basis'!$B$48,IF(G167&lt;65,'General Basis'!$B$49,'General Basis'!$B$50)))))))))))))</f>
        <v/>
      </c>
      <c r="BI167" s="744" t="str">
        <f t="shared" si="71"/>
        <v/>
      </c>
      <c r="BJ167" s="747" t="str">
        <f t="shared" si="78"/>
        <v/>
      </c>
      <c r="BK167" s="498" t="str">
        <f t="shared" si="72"/>
        <v/>
      </c>
      <c r="BL167" s="498" t="str">
        <f t="shared" si="73"/>
        <v/>
      </c>
    </row>
    <row r="168" spans="1:64" x14ac:dyDescent="0.25">
      <c r="A168" s="762">
        <f t="shared" si="74"/>
        <v>163</v>
      </c>
      <c r="B168" s="229"/>
      <c r="C168" s="223"/>
      <c r="D168" s="224"/>
      <c r="E168" s="225"/>
      <c r="F168" s="1036" t="str">
        <f t="shared" si="80"/>
        <v/>
      </c>
      <c r="G168" s="1037" t="str">
        <f t="shared" si="75"/>
        <v/>
      </c>
      <c r="H168" s="225"/>
      <c r="I168" s="1013"/>
      <c r="J168" s="1013"/>
      <c r="K168" s="1028"/>
      <c r="L168" s="1035" t="str">
        <f t="shared" si="79"/>
        <v/>
      </c>
      <c r="S168" s="498"/>
      <c r="AJ168" s="498"/>
      <c r="AM168" s="498">
        <f t="shared" si="60"/>
        <v>0</v>
      </c>
      <c r="AN168" s="498">
        <f t="shared" si="61"/>
        <v>0</v>
      </c>
      <c r="AO168" s="498">
        <f t="shared" si="62"/>
        <v>0</v>
      </c>
      <c r="AP168" s="498">
        <f t="shared" si="81"/>
        <v>0</v>
      </c>
      <c r="AQ168" s="498">
        <f t="shared" si="76"/>
        <v>0</v>
      </c>
      <c r="AU168" s="498">
        <f t="shared" si="63"/>
        <v>0</v>
      </c>
      <c r="AV168" s="498">
        <f t="shared" si="64"/>
        <v>0</v>
      </c>
      <c r="AW168" s="498">
        <f t="shared" si="65"/>
        <v>0</v>
      </c>
      <c r="AX168" s="498">
        <f t="shared" si="66"/>
        <v>0</v>
      </c>
      <c r="AY168" s="498">
        <f t="shared" si="67"/>
        <v>0</v>
      </c>
      <c r="BB168" s="498" t="str">
        <f t="shared" si="68"/>
        <v/>
      </c>
      <c r="BC168" s="743" t="str">
        <f t="shared" si="69"/>
        <v/>
      </c>
      <c r="BD168" s="743" t="str">
        <f t="shared" si="70"/>
        <v/>
      </c>
      <c r="BE168" s="743" t="str">
        <f>IF(D168="","",VLOOKUP(D168,'General Basis'!$J$39:$K$46,2,0))</f>
        <v/>
      </c>
      <c r="BF168" s="744" t="str">
        <f>IF(D168="","",VLOOKUP(D168,'General Basis'!$J$39:$L$46,3,0))</f>
        <v/>
      </c>
      <c r="BG168" s="744" t="str">
        <f t="shared" si="77"/>
        <v/>
      </c>
      <c r="BH168" s="744" t="str">
        <f>IF(G168="","",IF(BF168="Abu Dhabi",IF(G168&lt;18,'General Basis'!$C$39,IF(G168&lt;41,'General Basis'!$C$40,IF(G168&lt;60,'General Basis'!$C$41,IF(G168&lt;65,'General Basis'!$C$42,'General Basis'!$C$43)))),IF(G168&lt;11,'General Basis'!$B$39,IF(G168&lt;18,'General Basis'!$B$40,IF(G168&lt;26,'General Basis'!$B$41,IF(G168&lt;31,'General Basis'!$B$42,IF(G168&lt;36,'General Basis'!$B$43,IF(G168&lt;41,'General Basis'!$B$44,IF(G168&lt;46,'General Basis'!$B$45,IF(G168&lt;51,'General Basis'!$B$46,IF(G168&lt;56,'General Basis'!$B$47,IF(G168&lt;60,'General Basis'!$B$48,IF(G168&lt;65,'General Basis'!$B$49,'General Basis'!$B$50)))))))))))))</f>
        <v/>
      </c>
      <c r="BI168" s="744" t="str">
        <f t="shared" si="71"/>
        <v/>
      </c>
      <c r="BJ168" s="747" t="str">
        <f t="shared" si="78"/>
        <v/>
      </c>
      <c r="BK168" s="498" t="str">
        <f t="shared" si="72"/>
        <v/>
      </c>
      <c r="BL168" s="498" t="str">
        <f t="shared" si="73"/>
        <v/>
      </c>
    </row>
    <row r="169" spans="1:64" x14ac:dyDescent="0.25">
      <c r="A169" s="762">
        <f t="shared" si="74"/>
        <v>164</v>
      </c>
      <c r="B169" s="229"/>
      <c r="C169" s="223"/>
      <c r="D169" s="224"/>
      <c r="E169" s="225"/>
      <c r="F169" s="1036" t="str">
        <f t="shared" si="80"/>
        <v/>
      </c>
      <c r="G169" s="1037" t="str">
        <f t="shared" si="75"/>
        <v/>
      </c>
      <c r="H169" s="225"/>
      <c r="I169" s="1013"/>
      <c r="J169" s="1013"/>
      <c r="K169" s="1028"/>
      <c r="L169" s="1035" t="str">
        <f t="shared" si="79"/>
        <v/>
      </c>
      <c r="S169" s="498"/>
      <c r="AJ169" s="498"/>
      <c r="AM169" s="498">
        <f t="shared" si="60"/>
        <v>0</v>
      </c>
      <c r="AN169" s="498">
        <f t="shared" si="61"/>
        <v>0</v>
      </c>
      <c r="AO169" s="498">
        <f t="shared" si="62"/>
        <v>0</v>
      </c>
      <c r="AP169" s="498">
        <f t="shared" si="81"/>
        <v>0</v>
      </c>
      <c r="AQ169" s="498">
        <f t="shared" si="76"/>
        <v>0</v>
      </c>
      <c r="AU169" s="498">
        <f t="shared" si="63"/>
        <v>0</v>
      </c>
      <c r="AV169" s="498">
        <f t="shared" si="64"/>
        <v>0</v>
      </c>
      <c r="AW169" s="498">
        <f t="shared" si="65"/>
        <v>0</v>
      </c>
      <c r="AX169" s="498">
        <f t="shared" si="66"/>
        <v>0</v>
      </c>
      <c r="AY169" s="498">
        <f t="shared" si="67"/>
        <v>0</v>
      </c>
      <c r="BB169" s="498" t="str">
        <f t="shared" si="68"/>
        <v/>
      </c>
      <c r="BC169" s="743" t="str">
        <f t="shared" si="69"/>
        <v/>
      </c>
      <c r="BD169" s="743" t="str">
        <f t="shared" si="70"/>
        <v/>
      </c>
      <c r="BE169" s="743" t="str">
        <f>IF(D169="","",VLOOKUP(D169,'General Basis'!$J$39:$K$46,2,0))</f>
        <v/>
      </c>
      <c r="BF169" s="744" t="str">
        <f>IF(D169="","",VLOOKUP(D169,'General Basis'!$J$39:$L$46,3,0))</f>
        <v/>
      </c>
      <c r="BG169" s="744" t="str">
        <f t="shared" si="77"/>
        <v/>
      </c>
      <c r="BH169" s="744" t="str">
        <f>IF(G169="","",IF(BF169="Abu Dhabi",IF(G169&lt;18,'General Basis'!$C$39,IF(G169&lt;41,'General Basis'!$C$40,IF(G169&lt;60,'General Basis'!$C$41,IF(G169&lt;65,'General Basis'!$C$42,'General Basis'!$C$43)))),IF(G169&lt;11,'General Basis'!$B$39,IF(G169&lt;18,'General Basis'!$B$40,IF(G169&lt;26,'General Basis'!$B$41,IF(G169&lt;31,'General Basis'!$B$42,IF(G169&lt;36,'General Basis'!$B$43,IF(G169&lt;41,'General Basis'!$B$44,IF(G169&lt;46,'General Basis'!$B$45,IF(G169&lt;51,'General Basis'!$B$46,IF(G169&lt;56,'General Basis'!$B$47,IF(G169&lt;60,'General Basis'!$B$48,IF(G169&lt;65,'General Basis'!$B$49,'General Basis'!$B$50)))))))))))))</f>
        <v/>
      </c>
      <c r="BI169" s="744" t="str">
        <f t="shared" si="71"/>
        <v/>
      </c>
      <c r="BJ169" s="747" t="str">
        <f t="shared" si="78"/>
        <v/>
      </c>
      <c r="BK169" s="498" t="str">
        <f t="shared" si="72"/>
        <v/>
      </c>
      <c r="BL169" s="498" t="str">
        <f t="shared" si="73"/>
        <v/>
      </c>
    </row>
    <row r="170" spans="1:64" x14ac:dyDescent="0.25">
      <c r="A170" s="762">
        <f t="shared" si="74"/>
        <v>165</v>
      </c>
      <c r="B170" s="229"/>
      <c r="C170" s="223"/>
      <c r="D170" s="224"/>
      <c r="E170" s="225"/>
      <c r="F170" s="1036" t="str">
        <f t="shared" si="80"/>
        <v/>
      </c>
      <c r="G170" s="1037" t="str">
        <f t="shared" si="75"/>
        <v/>
      </c>
      <c r="H170" s="225"/>
      <c r="I170" s="1013"/>
      <c r="J170" s="1013"/>
      <c r="K170" s="1028"/>
      <c r="L170" s="1035" t="str">
        <f t="shared" si="79"/>
        <v/>
      </c>
      <c r="S170" s="498"/>
      <c r="AJ170" s="498"/>
      <c r="AM170" s="498">
        <f t="shared" si="60"/>
        <v>0</v>
      </c>
      <c r="AN170" s="498">
        <f t="shared" si="61"/>
        <v>0</v>
      </c>
      <c r="AO170" s="498">
        <f t="shared" si="62"/>
        <v>0</v>
      </c>
      <c r="AP170" s="498">
        <f t="shared" si="81"/>
        <v>0</v>
      </c>
      <c r="AQ170" s="498">
        <f t="shared" si="76"/>
        <v>0</v>
      </c>
      <c r="AU170" s="498">
        <f t="shared" si="63"/>
        <v>0</v>
      </c>
      <c r="AV170" s="498">
        <f t="shared" si="64"/>
        <v>0</v>
      </c>
      <c r="AW170" s="498">
        <f t="shared" si="65"/>
        <v>0</v>
      </c>
      <c r="AX170" s="498">
        <f t="shared" si="66"/>
        <v>0</v>
      </c>
      <c r="AY170" s="498">
        <f t="shared" si="67"/>
        <v>0</v>
      </c>
      <c r="BB170" s="498" t="str">
        <f t="shared" si="68"/>
        <v/>
      </c>
      <c r="BC170" s="743" t="str">
        <f t="shared" si="69"/>
        <v/>
      </c>
      <c r="BD170" s="743" t="str">
        <f t="shared" si="70"/>
        <v/>
      </c>
      <c r="BE170" s="743" t="str">
        <f>IF(D170="","",VLOOKUP(D170,'General Basis'!$J$39:$K$46,2,0))</f>
        <v/>
      </c>
      <c r="BF170" s="744" t="str">
        <f>IF(D170="","",VLOOKUP(D170,'General Basis'!$J$39:$L$46,3,0))</f>
        <v/>
      </c>
      <c r="BG170" s="744" t="str">
        <f t="shared" si="77"/>
        <v/>
      </c>
      <c r="BH170" s="744" t="str">
        <f>IF(G170="","",IF(BF170="Abu Dhabi",IF(G170&lt;18,'General Basis'!$C$39,IF(G170&lt;41,'General Basis'!$C$40,IF(G170&lt;60,'General Basis'!$C$41,IF(G170&lt;65,'General Basis'!$C$42,'General Basis'!$C$43)))),IF(G170&lt;11,'General Basis'!$B$39,IF(G170&lt;18,'General Basis'!$B$40,IF(G170&lt;26,'General Basis'!$B$41,IF(G170&lt;31,'General Basis'!$B$42,IF(G170&lt;36,'General Basis'!$B$43,IF(G170&lt;41,'General Basis'!$B$44,IF(G170&lt;46,'General Basis'!$B$45,IF(G170&lt;51,'General Basis'!$B$46,IF(G170&lt;56,'General Basis'!$B$47,IF(G170&lt;60,'General Basis'!$B$48,IF(G170&lt;65,'General Basis'!$B$49,'General Basis'!$B$50)))))))))))))</f>
        <v/>
      </c>
      <c r="BI170" s="744" t="str">
        <f t="shared" si="71"/>
        <v/>
      </c>
      <c r="BJ170" s="747" t="str">
        <f t="shared" si="78"/>
        <v/>
      </c>
      <c r="BK170" s="498" t="str">
        <f t="shared" si="72"/>
        <v/>
      </c>
      <c r="BL170" s="498" t="str">
        <f t="shared" si="73"/>
        <v/>
      </c>
    </row>
    <row r="171" spans="1:64" x14ac:dyDescent="0.25">
      <c r="A171" s="762">
        <f t="shared" si="74"/>
        <v>166</v>
      </c>
      <c r="B171" s="229"/>
      <c r="C171" s="223"/>
      <c r="D171" s="224"/>
      <c r="E171" s="225"/>
      <c r="F171" s="1036" t="str">
        <f t="shared" si="80"/>
        <v/>
      </c>
      <c r="G171" s="1037" t="str">
        <f t="shared" si="75"/>
        <v/>
      </c>
      <c r="H171" s="225"/>
      <c r="I171" s="1013"/>
      <c r="J171" s="1013"/>
      <c r="K171" s="1028"/>
      <c r="L171" s="1035" t="str">
        <f t="shared" si="79"/>
        <v/>
      </c>
      <c r="S171" s="498"/>
      <c r="AJ171" s="498"/>
      <c r="AM171" s="498">
        <f t="shared" si="60"/>
        <v>0</v>
      </c>
      <c r="AN171" s="498">
        <f t="shared" si="61"/>
        <v>0</v>
      </c>
      <c r="AO171" s="498">
        <f t="shared" si="62"/>
        <v>0</v>
      </c>
      <c r="AP171" s="498">
        <f t="shared" si="81"/>
        <v>0</v>
      </c>
      <c r="AQ171" s="498">
        <f t="shared" si="76"/>
        <v>0</v>
      </c>
      <c r="AU171" s="498">
        <f t="shared" si="63"/>
        <v>0</v>
      </c>
      <c r="AV171" s="498">
        <f t="shared" si="64"/>
        <v>0</v>
      </c>
      <c r="AW171" s="498">
        <f t="shared" si="65"/>
        <v>0</v>
      </c>
      <c r="AX171" s="498">
        <f t="shared" si="66"/>
        <v>0</v>
      </c>
      <c r="AY171" s="498">
        <f t="shared" si="67"/>
        <v>0</v>
      </c>
      <c r="BB171" s="498" t="str">
        <f t="shared" si="68"/>
        <v/>
      </c>
      <c r="BC171" s="743" t="str">
        <f t="shared" si="69"/>
        <v/>
      </c>
      <c r="BD171" s="743" t="str">
        <f t="shared" si="70"/>
        <v/>
      </c>
      <c r="BE171" s="743" t="str">
        <f>IF(D171="","",VLOOKUP(D171,'General Basis'!$J$39:$K$46,2,0))</f>
        <v/>
      </c>
      <c r="BF171" s="744" t="str">
        <f>IF(D171="","",VLOOKUP(D171,'General Basis'!$J$39:$L$46,3,0))</f>
        <v/>
      </c>
      <c r="BG171" s="744" t="str">
        <f t="shared" si="77"/>
        <v/>
      </c>
      <c r="BH171" s="744" t="str">
        <f>IF(G171="","",IF(BF171="Abu Dhabi",IF(G171&lt;18,'General Basis'!$C$39,IF(G171&lt;41,'General Basis'!$C$40,IF(G171&lt;60,'General Basis'!$C$41,IF(G171&lt;65,'General Basis'!$C$42,'General Basis'!$C$43)))),IF(G171&lt;11,'General Basis'!$B$39,IF(G171&lt;18,'General Basis'!$B$40,IF(G171&lt;26,'General Basis'!$B$41,IF(G171&lt;31,'General Basis'!$B$42,IF(G171&lt;36,'General Basis'!$B$43,IF(G171&lt;41,'General Basis'!$B$44,IF(G171&lt;46,'General Basis'!$B$45,IF(G171&lt;51,'General Basis'!$B$46,IF(G171&lt;56,'General Basis'!$B$47,IF(G171&lt;60,'General Basis'!$B$48,IF(G171&lt;65,'General Basis'!$B$49,'General Basis'!$B$50)))))))))))))</f>
        <v/>
      </c>
      <c r="BI171" s="744" t="str">
        <f t="shared" si="71"/>
        <v/>
      </c>
      <c r="BJ171" s="747" t="str">
        <f t="shared" si="78"/>
        <v/>
      </c>
      <c r="BK171" s="498" t="str">
        <f t="shared" si="72"/>
        <v/>
      </c>
      <c r="BL171" s="498" t="str">
        <f t="shared" si="73"/>
        <v/>
      </c>
    </row>
    <row r="172" spans="1:64" x14ac:dyDescent="0.25">
      <c r="A172" s="762">
        <f t="shared" si="74"/>
        <v>167</v>
      </c>
      <c r="B172" s="229"/>
      <c r="C172" s="223"/>
      <c r="D172" s="224"/>
      <c r="E172" s="225"/>
      <c r="F172" s="1036" t="str">
        <f t="shared" si="80"/>
        <v/>
      </c>
      <c r="G172" s="1037" t="str">
        <f t="shared" si="75"/>
        <v/>
      </c>
      <c r="H172" s="225"/>
      <c r="I172" s="1013"/>
      <c r="J172" s="1013"/>
      <c r="K172" s="1028"/>
      <c r="L172" s="1035" t="str">
        <f t="shared" si="79"/>
        <v/>
      </c>
      <c r="S172" s="498"/>
      <c r="AJ172" s="498"/>
      <c r="AM172" s="498">
        <f t="shared" si="60"/>
        <v>0</v>
      </c>
      <c r="AN172" s="498">
        <f t="shared" si="61"/>
        <v>0</v>
      </c>
      <c r="AO172" s="498">
        <f t="shared" si="62"/>
        <v>0</v>
      </c>
      <c r="AP172" s="498">
        <f t="shared" si="81"/>
        <v>0</v>
      </c>
      <c r="AQ172" s="498">
        <f t="shared" si="76"/>
        <v>0</v>
      </c>
      <c r="AU172" s="498">
        <f t="shared" si="63"/>
        <v>0</v>
      </c>
      <c r="AV172" s="498">
        <f t="shared" si="64"/>
        <v>0</v>
      </c>
      <c r="AW172" s="498">
        <f t="shared" si="65"/>
        <v>0</v>
      </c>
      <c r="AX172" s="498">
        <f t="shared" si="66"/>
        <v>0</v>
      </c>
      <c r="AY172" s="498">
        <f t="shared" si="67"/>
        <v>0</v>
      </c>
      <c r="BB172" s="498" t="str">
        <f t="shared" si="68"/>
        <v/>
      </c>
      <c r="BC172" s="743" t="str">
        <f t="shared" si="69"/>
        <v/>
      </c>
      <c r="BD172" s="743" t="str">
        <f t="shared" si="70"/>
        <v/>
      </c>
      <c r="BE172" s="743" t="str">
        <f>IF(D172="","",VLOOKUP(D172,'General Basis'!$J$39:$K$46,2,0))</f>
        <v/>
      </c>
      <c r="BF172" s="744" t="str">
        <f>IF(D172="","",VLOOKUP(D172,'General Basis'!$J$39:$L$46,3,0))</f>
        <v/>
      </c>
      <c r="BG172" s="744" t="str">
        <f t="shared" si="77"/>
        <v/>
      </c>
      <c r="BH172" s="744" t="str">
        <f>IF(G172="","",IF(BF172="Abu Dhabi",IF(G172&lt;18,'General Basis'!$C$39,IF(G172&lt;41,'General Basis'!$C$40,IF(G172&lt;60,'General Basis'!$C$41,IF(G172&lt;65,'General Basis'!$C$42,'General Basis'!$C$43)))),IF(G172&lt;11,'General Basis'!$B$39,IF(G172&lt;18,'General Basis'!$B$40,IF(G172&lt;26,'General Basis'!$B$41,IF(G172&lt;31,'General Basis'!$B$42,IF(G172&lt;36,'General Basis'!$B$43,IF(G172&lt;41,'General Basis'!$B$44,IF(G172&lt;46,'General Basis'!$B$45,IF(G172&lt;51,'General Basis'!$B$46,IF(G172&lt;56,'General Basis'!$B$47,IF(G172&lt;60,'General Basis'!$B$48,IF(G172&lt;65,'General Basis'!$B$49,'General Basis'!$B$50)))))))))))))</f>
        <v/>
      </c>
      <c r="BI172" s="744" t="str">
        <f t="shared" si="71"/>
        <v/>
      </c>
      <c r="BJ172" s="747" t="str">
        <f t="shared" si="78"/>
        <v/>
      </c>
      <c r="BK172" s="498" t="str">
        <f t="shared" si="72"/>
        <v/>
      </c>
      <c r="BL172" s="498" t="str">
        <f t="shared" si="73"/>
        <v/>
      </c>
    </row>
    <row r="173" spans="1:64" x14ac:dyDescent="0.25">
      <c r="A173" s="762">
        <f t="shared" si="74"/>
        <v>168</v>
      </c>
      <c r="B173" s="229"/>
      <c r="C173" s="223"/>
      <c r="D173" s="224"/>
      <c r="E173" s="225"/>
      <c r="F173" s="1036" t="str">
        <f t="shared" si="80"/>
        <v/>
      </c>
      <c r="G173" s="1037" t="str">
        <f t="shared" si="75"/>
        <v/>
      </c>
      <c r="H173" s="225"/>
      <c r="I173" s="1013"/>
      <c r="J173" s="1013"/>
      <c r="K173" s="1028"/>
      <c r="L173" s="1035" t="str">
        <f t="shared" si="79"/>
        <v/>
      </c>
      <c r="S173" s="498"/>
      <c r="AJ173" s="498"/>
      <c r="AM173" s="498">
        <f t="shared" si="60"/>
        <v>0</v>
      </c>
      <c r="AN173" s="498">
        <f t="shared" si="61"/>
        <v>0</v>
      </c>
      <c r="AO173" s="498">
        <f t="shared" si="62"/>
        <v>0</v>
      </c>
      <c r="AP173" s="498">
        <f t="shared" si="81"/>
        <v>0</v>
      </c>
      <c r="AQ173" s="498">
        <f t="shared" si="76"/>
        <v>0</v>
      </c>
      <c r="AU173" s="498">
        <f t="shared" si="63"/>
        <v>0</v>
      </c>
      <c r="AV173" s="498">
        <f t="shared" si="64"/>
        <v>0</v>
      </c>
      <c r="AW173" s="498">
        <f t="shared" si="65"/>
        <v>0</v>
      </c>
      <c r="AX173" s="498">
        <f t="shared" si="66"/>
        <v>0</v>
      </c>
      <c r="AY173" s="498">
        <f t="shared" si="67"/>
        <v>0</v>
      </c>
      <c r="BB173" s="498" t="str">
        <f t="shared" si="68"/>
        <v/>
      </c>
      <c r="BC173" s="743" t="str">
        <f t="shared" si="69"/>
        <v/>
      </c>
      <c r="BD173" s="743" t="str">
        <f t="shared" si="70"/>
        <v/>
      </c>
      <c r="BE173" s="743" t="str">
        <f>IF(D173="","",VLOOKUP(D173,'General Basis'!$J$39:$K$46,2,0))</f>
        <v/>
      </c>
      <c r="BF173" s="744" t="str">
        <f>IF(D173="","",VLOOKUP(D173,'General Basis'!$J$39:$L$46,3,0))</f>
        <v/>
      </c>
      <c r="BG173" s="744" t="str">
        <f t="shared" si="77"/>
        <v/>
      </c>
      <c r="BH173" s="744" t="str">
        <f>IF(G173="","",IF(BF173="Abu Dhabi",IF(G173&lt;18,'General Basis'!$C$39,IF(G173&lt;41,'General Basis'!$C$40,IF(G173&lt;60,'General Basis'!$C$41,IF(G173&lt;65,'General Basis'!$C$42,'General Basis'!$C$43)))),IF(G173&lt;11,'General Basis'!$B$39,IF(G173&lt;18,'General Basis'!$B$40,IF(G173&lt;26,'General Basis'!$B$41,IF(G173&lt;31,'General Basis'!$B$42,IF(G173&lt;36,'General Basis'!$B$43,IF(G173&lt;41,'General Basis'!$B$44,IF(G173&lt;46,'General Basis'!$B$45,IF(G173&lt;51,'General Basis'!$B$46,IF(G173&lt;56,'General Basis'!$B$47,IF(G173&lt;60,'General Basis'!$B$48,IF(G173&lt;65,'General Basis'!$B$49,'General Basis'!$B$50)))))))))))))</f>
        <v/>
      </c>
      <c r="BI173" s="744" t="str">
        <f t="shared" si="71"/>
        <v/>
      </c>
      <c r="BJ173" s="747" t="str">
        <f t="shared" si="78"/>
        <v/>
      </c>
      <c r="BK173" s="498" t="str">
        <f t="shared" si="72"/>
        <v/>
      </c>
      <c r="BL173" s="498" t="str">
        <f t="shared" si="73"/>
        <v/>
      </c>
    </row>
    <row r="174" spans="1:64" x14ac:dyDescent="0.25">
      <c r="A174" s="762">
        <f t="shared" si="74"/>
        <v>169</v>
      </c>
      <c r="B174" s="229"/>
      <c r="C174" s="223"/>
      <c r="D174" s="224"/>
      <c r="E174" s="225"/>
      <c r="F174" s="1036" t="str">
        <f t="shared" si="80"/>
        <v/>
      </c>
      <c r="G174" s="1037" t="str">
        <f t="shared" si="75"/>
        <v/>
      </c>
      <c r="H174" s="225"/>
      <c r="I174" s="1013"/>
      <c r="J174" s="1013"/>
      <c r="K174" s="1028"/>
      <c r="L174" s="1035" t="str">
        <f t="shared" si="79"/>
        <v/>
      </c>
      <c r="S174" s="498"/>
      <c r="AJ174" s="498"/>
      <c r="AM174" s="498">
        <f t="shared" si="60"/>
        <v>0</v>
      </c>
      <c r="AN174" s="498">
        <f t="shared" si="61"/>
        <v>0</v>
      </c>
      <c r="AO174" s="498">
        <f t="shared" si="62"/>
        <v>0</v>
      </c>
      <c r="AP174" s="498">
        <f t="shared" si="81"/>
        <v>0</v>
      </c>
      <c r="AQ174" s="498">
        <f t="shared" si="76"/>
        <v>0</v>
      </c>
      <c r="AU174" s="498">
        <f t="shared" si="63"/>
        <v>0</v>
      </c>
      <c r="AV174" s="498">
        <f t="shared" si="64"/>
        <v>0</v>
      </c>
      <c r="AW174" s="498">
        <f t="shared" si="65"/>
        <v>0</v>
      </c>
      <c r="AX174" s="498">
        <f t="shared" si="66"/>
        <v>0</v>
      </c>
      <c r="AY174" s="498">
        <f t="shared" si="67"/>
        <v>0</v>
      </c>
      <c r="BB174" s="498" t="str">
        <f t="shared" si="68"/>
        <v/>
      </c>
      <c r="BC174" s="743" t="str">
        <f t="shared" si="69"/>
        <v/>
      </c>
      <c r="BD174" s="743" t="str">
        <f t="shared" si="70"/>
        <v/>
      </c>
      <c r="BE174" s="743" t="str">
        <f>IF(D174="","",VLOOKUP(D174,'General Basis'!$J$39:$K$46,2,0))</f>
        <v/>
      </c>
      <c r="BF174" s="744" t="str">
        <f>IF(D174="","",VLOOKUP(D174,'General Basis'!$J$39:$L$46,3,0))</f>
        <v/>
      </c>
      <c r="BG174" s="744" t="str">
        <f t="shared" si="77"/>
        <v/>
      </c>
      <c r="BH174" s="744" t="str">
        <f>IF(G174="","",IF(BF174="Abu Dhabi",IF(G174&lt;18,'General Basis'!$C$39,IF(G174&lt;41,'General Basis'!$C$40,IF(G174&lt;60,'General Basis'!$C$41,IF(G174&lt;65,'General Basis'!$C$42,'General Basis'!$C$43)))),IF(G174&lt;11,'General Basis'!$B$39,IF(G174&lt;18,'General Basis'!$B$40,IF(G174&lt;26,'General Basis'!$B$41,IF(G174&lt;31,'General Basis'!$B$42,IF(G174&lt;36,'General Basis'!$B$43,IF(G174&lt;41,'General Basis'!$B$44,IF(G174&lt;46,'General Basis'!$B$45,IF(G174&lt;51,'General Basis'!$B$46,IF(G174&lt;56,'General Basis'!$B$47,IF(G174&lt;60,'General Basis'!$B$48,IF(G174&lt;65,'General Basis'!$B$49,'General Basis'!$B$50)))))))))))))</f>
        <v/>
      </c>
      <c r="BI174" s="744" t="str">
        <f t="shared" si="71"/>
        <v/>
      </c>
      <c r="BJ174" s="747" t="str">
        <f t="shared" si="78"/>
        <v/>
      </c>
      <c r="BK174" s="498" t="str">
        <f t="shared" si="72"/>
        <v/>
      </c>
      <c r="BL174" s="498" t="str">
        <f t="shared" si="73"/>
        <v/>
      </c>
    </row>
    <row r="175" spans="1:64" x14ac:dyDescent="0.25">
      <c r="A175" s="762">
        <f t="shared" si="74"/>
        <v>170</v>
      </c>
      <c r="B175" s="229"/>
      <c r="C175" s="223"/>
      <c r="D175" s="224"/>
      <c r="E175" s="225"/>
      <c r="F175" s="1036" t="str">
        <f t="shared" si="80"/>
        <v/>
      </c>
      <c r="G175" s="1037" t="str">
        <f t="shared" si="75"/>
        <v/>
      </c>
      <c r="H175" s="225"/>
      <c r="I175" s="1013"/>
      <c r="J175" s="1013"/>
      <c r="K175" s="1028"/>
      <c r="L175" s="1035" t="str">
        <f t="shared" si="79"/>
        <v/>
      </c>
      <c r="S175" s="498"/>
      <c r="AJ175" s="498"/>
      <c r="AM175" s="498">
        <f t="shared" si="60"/>
        <v>0</v>
      </c>
      <c r="AN175" s="498">
        <f t="shared" si="61"/>
        <v>0</v>
      </c>
      <c r="AO175" s="498">
        <f t="shared" si="62"/>
        <v>0</v>
      </c>
      <c r="AP175" s="498">
        <f t="shared" si="81"/>
        <v>0</v>
      </c>
      <c r="AQ175" s="498">
        <f t="shared" si="76"/>
        <v>0</v>
      </c>
      <c r="AU175" s="498">
        <f t="shared" si="63"/>
        <v>0</v>
      </c>
      <c r="AV175" s="498">
        <f t="shared" si="64"/>
        <v>0</v>
      </c>
      <c r="AW175" s="498">
        <f t="shared" si="65"/>
        <v>0</v>
      </c>
      <c r="AX175" s="498">
        <f t="shared" si="66"/>
        <v>0</v>
      </c>
      <c r="AY175" s="498">
        <f t="shared" si="67"/>
        <v>0</v>
      </c>
      <c r="BB175" s="498" t="str">
        <f t="shared" si="68"/>
        <v/>
      </c>
      <c r="BC175" s="743" t="str">
        <f t="shared" si="69"/>
        <v/>
      </c>
      <c r="BD175" s="743" t="str">
        <f t="shared" si="70"/>
        <v/>
      </c>
      <c r="BE175" s="743" t="str">
        <f>IF(D175="","",VLOOKUP(D175,'General Basis'!$J$39:$K$46,2,0))</f>
        <v/>
      </c>
      <c r="BF175" s="744" t="str">
        <f>IF(D175="","",VLOOKUP(D175,'General Basis'!$J$39:$L$46,3,0))</f>
        <v/>
      </c>
      <c r="BG175" s="744" t="str">
        <f t="shared" si="77"/>
        <v/>
      </c>
      <c r="BH175" s="744" t="str">
        <f>IF(G175="","",IF(BF175="Abu Dhabi",IF(G175&lt;18,'General Basis'!$C$39,IF(G175&lt;41,'General Basis'!$C$40,IF(G175&lt;60,'General Basis'!$C$41,IF(G175&lt;65,'General Basis'!$C$42,'General Basis'!$C$43)))),IF(G175&lt;11,'General Basis'!$B$39,IF(G175&lt;18,'General Basis'!$B$40,IF(G175&lt;26,'General Basis'!$B$41,IF(G175&lt;31,'General Basis'!$B$42,IF(G175&lt;36,'General Basis'!$B$43,IF(G175&lt;41,'General Basis'!$B$44,IF(G175&lt;46,'General Basis'!$B$45,IF(G175&lt;51,'General Basis'!$B$46,IF(G175&lt;56,'General Basis'!$B$47,IF(G175&lt;60,'General Basis'!$B$48,IF(G175&lt;65,'General Basis'!$B$49,'General Basis'!$B$50)))))))))))))</f>
        <v/>
      </c>
      <c r="BI175" s="744" t="str">
        <f t="shared" si="71"/>
        <v/>
      </c>
      <c r="BJ175" s="747" t="str">
        <f t="shared" si="78"/>
        <v/>
      </c>
      <c r="BK175" s="498" t="str">
        <f t="shared" si="72"/>
        <v/>
      </c>
      <c r="BL175" s="498" t="str">
        <f t="shared" si="73"/>
        <v/>
      </c>
    </row>
    <row r="176" spans="1:64" x14ac:dyDescent="0.25">
      <c r="A176" s="762">
        <f t="shared" si="74"/>
        <v>171</v>
      </c>
      <c r="B176" s="229"/>
      <c r="C176" s="223"/>
      <c r="D176" s="224"/>
      <c r="E176" s="225"/>
      <c r="F176" s="1036" t="str">
        <f t="shared" si="80"/>
        <v/>
      </c>
      <c r="G176" s="1037" t="str">
        <f t="shared" si="75"/>
        <v/>
      </c>
      <c r="H176" s="225"/>
      <c r="I176" s="1013"/>
      <c r="J176" s="1013"/>
      <c r="K176" s="1028"/>
      <c r="L176" s="1035" t="str">
        <f t="shared" si="79"/>
        <v/>
      </c>
      <c r="S176" s="498"/>
      <c r="AJ176" s="498"/>
      <c r="AM176" s="498">
        <f t="shared" si="60"/>
        <v>0</v>
      </c>
      <c r="AN176" s="498">
        <f t="shared" si="61"/>
        <v>0</v>
      </c>
      <c r="AO176" s="498">
        <f t="shared" si="62"/>
        <v>0</v>
      </c>
      <c r="AP176" s="498">
        <f t="shared" si="81"/>
        <v>0</v>
      </c>
      <c r="AQ176" s="498">
        <f t="shared" si="76"/>
        <v>0</v>
      </c>
      <c r="AU176" s="498">
        <f t="shared" si="63"/>
        <v>0</v>
      </c>
      <c r="AV176" s="498">
        <f t="shared" si="64"/>
        <v>0</v>
      </c>
      <c r="AW176" s="498">
        <f t="shared" si="65"/>
        <v>0</v>
      </c>
      <c r="AX176" s="498">
        <f t="shared" si="66"/>
        <v>0</v>
      </c>
      <c r="AY176" s="498">
        <f t="shared" si="67"/>
        <v>0</v>
      </c>
      <c r="BB176" s="498" t="str">
        <f t="shared" si="68"/>
        <v/>
      </c>
      <c r="BC176" s="743" t="str">
        <f t="shared" si="69"/>
        <v/>
      </c>
      <c r="BD176" s="743" t="str">
        <f t="shared" si="70"/>
        <v/>
      </c>
      <c r="BE176" s="743" t="str">
        <f>IF(D176="","",VLOOKUP(D176,'General Basis'!$J$39:$K$46,2,0))</f>
        <v/>
      </c>
      <c r="BF176" s="744" t="str">
        <f>IF(D176="","",VLOOKUP(D176,'General Basis'!$J$39:$L$46,3,0))</f>
        <v/>
      </c>
      <c r="BG176" s="744" t="str">
        <f t="shared" si="77"/>
        <v/>
      </c>
      <c r="BH176" s="744" t="str">
        <f>IF(G176="","",IF(BF176="Abu Dhabi",IF(G176&lt;18,'General Basis'!$C$39,IF(G176&lt;41,'General Basis'!$C$40,IF(G176&lt;60,'General Basis'!$C$41,IF(G176&lt;65,'General Basis'!$C$42,'General Basis'!$C$43)))),IF(G176&lt;11,'General Basis'!$B$39,IF(G176&lt;18,'General Basis'!$B$40,IF(G176&lt;26,'General Basis'!$B$41,IF(G176&lt;31,'General Basis'!$B$42,IF(G176&lt;36,'General Basis'!$B$43,IF(G176&lt;41,'General Basis'!$B$44,IF(G176&lt;46,'General Basis'!$B$45,IF(G176&lt;51,'General Basis'!$B$46,IF(G176&lt;56,'General Basis'!$B$47,IF(G176&lt;60,'General Basis'!$B$48,IF(G176&lt;65,'General Basis'!$B$49,'General Basis'!$B$50)))))))))))))</f>
        <v/>
      </c>
      <c r="BI176" s="744" t="str">
        <f t="shared" si="71"/>
        <v/>
      </c>
      <c r="BJ176" s="747" t="str">
        <f t="shared" si="78"/>
        <v/>
      </c>
      <c r="BK176" s="498" t="str">
        <f t="shared" si="72"/>
        <v/>
      </c>
      <c r="BL176" s="498" t="str">
        <f t="shared" si="73"/>
        <v/>
      </c>
    </row>
    <row r="177" spans="1:64" x14ac:dyDescent="0.25">
      <c r="A177" s="762">
        <f t="shared" si="74"/>
        <v>172</v>
      </c>
      <c r="B177" s="229"/>
      <c r="C177" s="223"/>
      <c r="D177" s="224"/>
      <c r="E177" s="225"/>
      <c r="F177" s="1036" t="str">
        <f t="shared" si="80"/>
        <v/>
      </c>
      <c r="G177" s="1037" t="str">
        <f t="shared" si="75"/>
        <v/>
      </c>
      <c r="H177" s="225"/>
      <c r="I177" s="1013"/>
      <c r="J177" s="1013"/>
      <c r="K177" s="1028"/>
      <c r="L177" s="1035" t="str">
        <f t="shared" si="79"/>
        <v/>
      </c>
      <c r="S177" s="498"/>
      <c r="AJ177" s="498"/>
      <c r="AM177" s="498">
        <f t="shared" si="60"/>
        <v>0</v>
      </c>
      <c r="AN177" s="498">
        <f t="shared" si="61"/>
        <v>0</v>
      </c>
      <c r="AO177" s="498">
        <f t="shared" si="62"/>
        <v>0</v>
      </c>
      <c r="AP177" s="498">
        <f t="shared" si="81"/>
        <v>0</v>
      </c>
      <c r="AQ177" s="498">
        <f t="shared" si="76"/>
        <v>0</v>
      </c>
      <c r="AU177" s="498">
        <f t="shared" si="63"/>
        <v>0</v>
      </c>
      <c r="AV177" s="498">
        <f t="shared" si="64"/>
        <v>0</v>
      </c>
      <c r="AW177" s="498">
        <f t="shared" si="65"/>
        <v>0</v>
      </c>
      <c r="AX177" s="498">
        <f t="shared" si="66"/>
        <v>0</v>
      </c>
      <c r="AY177" s="498">
        <f t="shared" si="67"/>
        <v>0</v>
      </c>
      <c r="BB177" s="498" t="str">
        <f t="shared" si="68"/>
        <v/>
      </c>
      <c r="BC177" s="743" t="str">
        <f t="shared" si="69"/>
        <v/>
      </c>
      <c r="BD177" s="743" t="str">
        <f t="shared" si="70"/>
        <v/>
      </c>
      <c r="BE177" s="743" t="str">
        <f>IF(D177="","",VLOOKUP(D177,'General Basis'!$J$39:$K$46,2,0))</f>
        <v/>
      </c>
      <c r="BF177" s="744" t="str">
        <f>IF(D177="","",VLOOKUP(D177,'General Basis'!$J$39:$L$46,3,0))</f>
        <v/>
      </c>
      <c r="BG177" s="744" t="str">
        <f t="shared" si="77"/>
        <v/>
      </c>
      <c r="BH177" s="744" t="str">
        <f>IF(G177="","",IF(BF177="Abu Dhabi",IF(G177&lt;18,'General Basis'!$C$39,IF(G177&lt;41,'General Basis'!$C$40,IF(G177&lt;60,'General Basis'!$C$41,IF(G177&lt;65,'General Basis'!$C$42,'General Basis'!$C$43)))),IF(G177&lt;11,'General Basis'!$B$39,IF(G177&lt;18,'General Basis'!$B$40,IF(G177&lt;26,'General Basis'!$B$41,IF(G177&lt;31,'General Basis'!$B$42,IF(G177&lt;36,'General Basis'!$B$43,IF(G177&lt;41,'General Basis'!$B$44,IF(G177&lt;46,'General Basis'!$B$45,IF(G177&lt;51,'General Basis'!$B$46,IF(G177&lt;56,'General Basis'!$B$47,IF(G177&lt;60,'General Basis'!$B$48,IF(G177&lt;65,'General Basis'!$B$49,'General Basis'!$B$50)))))))))))))</f>
        <v/>
      </c>
      <c r="BI177" s="744" t="str">
        <f t="shared" si="71"/>
        <v/>
      </c>
      <c r="BJ177" s="747" t="str">
        <f t="shared" si="78"/>
        <v/>
      </c>
      <c r="BK177" s="498" t="str">
        <f t="shared" si="72"/>
        <v/>
      </c>
      <c r="BL177" s="498" t="str">
        <f t="shared" si="73"/>
        <v/>
      </c>
    </row>
    <row r="178" spans="1:64" x14ac:dyDescent="0.25">
      <c r="A178" s="762">
        <f t="shared" si="74"/>
        <v>173</v>
      </c>
      <c r="B178" s="229"/>
      <c r="C178" s="223"/>
      <c r="D178" s="224"/>
      <c r="E178" s="225"/>
      <c r="F178" s="1036" t="str">
        <f t="shared" si="80"/>
        <v/>
      </c>
      <c r="G178" s="1037" t="str">
        <f t="shared" si="75"/>
        <v/>
      </c>
      <c r="H178" s="225"/>
      <c r="I178" s="1013"/>
      <c r="J178" s="1013"/>
      <c r="K178" s="1028"/>
      <c r="L178" s="1035" t="str">
        <f t="shared" si="79"/>
        <v/>
      </c>
      <c r="S178" s="498"/>
      <c r="AJ178" s="498"/>
      <c r="AM178" s="498">
        <f t="shared" si="60"/>
        <v>0</v>
      </c>
      <c r="AN178" s="498">
        <f t="shared" si="61"/>
        <v>0</v>
      </c>
      <c r="AO178" s="498">
        <f t="shared" si="62"/>
        <v>0</v>
      </c>
      <c r="AP178" s="498">
        <f t="shared" si="81"/>
        <v>0</v>
      </c>
      <c r="AQ178" s="498">
        <f t="shared" si="76"/>
        <v>0</v>
      </c>
      <c r="AU178" s="498">
        <f t="shared" si="63"/>
        <v>0</v>
      </c>
      <c r="AV178" s="498">
        <f t="shared" si="64"/>
        <v>0</v>
      </c>
      <c r="AW178" s="498">
        <f t="shared" si="65"/>
        <v>0</v>
      </c>
      <c r="AX178" s="498">
        <f t="shared" si="66"/>
        <v>0</v>
      </c>
      <c r="AY178" s="498">
        <f t="shared" si="67"/>
        <v>0</v>
      </c>
      <c r="BB178" s="498" t="str">
        <f t="shared" si="68"/>
        <v/>
      </c>
      <c r="BC178" s="743" t="str">
        <f t="shared" si="69"/>
        <v/>
      </c>
      <c r="BD178" s="743" t="str">
        <f t="shared" si="70"/>
        <v/>
      </c>
      <c r="BE178" s="743" t="str">
        <f>IF(D178="","",VLOOKUP(D178,'General Basis'!$J$39:$K$46,2,0))</f>
        <v/>
      </c>
      <c r="BF178" s="744" t="str">
        <f>IF(D178="","",VLOOKUP(D178,'General Basis'!$J$39:$L$46,3,0))</f>
        <v/>
      </c>
      <c r="BG178" s="744" t="str">
        <f t="shared" si="77"/>
        <v/>
      </c>
      <c r="BH178" s="744" t="str">
        <f>IF(G178="","",IF(BF178="Abu Dhabi",IF(G178&lt;18,'General Basis'!$C$39,IF(G178&lt;41,'General Basis'!$C$40,IF(G178&lt;60,'General Basis'!$C$41,IF(G178&lt;65,'General Basis'!$C$42,'General Basis'!$C$43)))),IF(G178&lt;11,'General Basis'!$B$39,IF(G178&lt;18,'General Basis'!$B$40,IF(G178&lt;26,'General Basis'!$B$41,IF(G178&lt;31,'General Basis'!$B$42,IF(G178&lt;36,'General Basis'!$B$43,IF(G178&lt;41,'General Basis'!$B$44,IF(G178&lt;46,'General Basis'!$B$45,IF(G178&lt;51,'General Basis'!$B$46,IF(G178&lt;56,'General Basis'!$B$47,IF(G178&lt;60,'General Basis'!$B$48,IF(G178&lt;65,'General Basis'!$B$49,'General Basis'!$B$50)))))))))))))</f>
        <v/>
      </c>
      <c r="BI178" s="744" t="str">
        <f t="shared" si="71"/>
        <v/>
      </c>
      <c r="BJ178" s="747" t="str">
        <f t="shared" si="78"/>
        <v/>
      </c>
      <c r="BK178" s="498" t="str">
        <f t="shared" si="72"/>
        <v/>
      </c>
      <c r="BL178" s="498" t="str">
        <f t="shared" si="73"/>
        <v/>
      </c>
    </row>
    <row r="179" spans="1:64" x14ac:dyDescent="0.25">
      <c r="A179" s="762">
        <f t="shared" si="74"/>
        <v>174</v>
      </c>
      <c r="B179" s="229"/>
      <c r="C179" s="223"/>
      <c r="D179" s="224"/>
      <c r="E179" s="225"/>
      <c r="F179" s="1036" t="str">
        <f t="shared" si="80"/>
        <v/>
      </c>
      <c r="G179" s="1037" t="str">
        <f t="shared" si="75"/>
        <v/>
      </c>
      <c r="H179" s="225"/>
      <c r="I179" s="1013"/>
      <c r="J179" s="1013"/>
      <c r="K179" s="1028"/>
      <c r="L179" s="1035" t="str">
        <f t="shared" si="79"/>
        <v/>
      </c>
      <c r="S179" s="498"/>
      <c r="AJ179" s="498"/>
      <c r="AM179" s="498">
        <f t="shared" si="60"/>
        <v>0</v>
      </c>
      <c r="AN179" s="498">
        <f t="shared" si="61"/>
        <v>0</v>
      </c>
      <c r="AO179" s="498">
        <f t="shared" si="62"/>
        <v>0</v>
      </c>
      <c r="AP179" s="498">
        <f t="shared" si="81"/>
        <v>0</v>
      </c>
      <c r="AQ179" s="498">
        <f t="shared" si="76"/>
        <v>0</v>
      </c>
      <c r="AU179" s="498">
        <f t="shared" si="63"/>
        <v>0</v>
      </c>
      <c r="AV179" s="498">
        <f t="shared" si="64"/>
        <v>0</v>
      </c>
      <c r="AW179" s="498">
        <f t="shared" si="65"/>
        <v>0</v>
      </c>
      <c r="AX179" s="498">
        <f t="shared" si="66"/>
        <v>0</v>
      </c>
      <c r="AY179" s="498">
        <f t="shared" si="67"/>
        <v>0</v>
      </c>
      <c r="BB179" s="498" t="str">
        <f t="shared" si="68"/>
        <v/>
      </c>
      <c r="BC179" s="743" t="str">
        <f t="shared" si="69"/>
        <v/>
      </c>
      <c r="BD179" s="743" t="str">
        <f t="shared" si="70"/>
        <v/>
      </c>
      <c r="BE179" s="743" t="str">
        <f>IF(D179="","",VLOOKUP(D179,'General Basis'!$J$39:$K$46,2,0))</f>
        <v/>
      </c>
      <c r="BF179" s="744" t="str">
        <f>IF(D179="","",VLOOKUP(D179,'General Basis'!$J$39:$L$46,3,0))</f>
        <v/>
      </c>
      <c r="BG179" s="744" t="str">
        <f t="shared" si="77"/>
        <v/>
      </c>
      <c r="BH179" s="744" t="str">
        <f>IF(G179="","",IF(BF179="Abu Dhabi",IF(G179&lt;18,'General Basis'!$C$39,IF(G179&lt;41,'General Basis'!$C$40,IF(G179&lt;60,'General Basis'!$C$41,IF(G179&lt;65,'General Basis'!$C$42,'General Basis'!$C$43)))),IF(G179&lt;11,'General Basis'!$B$39,IF(G179&lt;18,'General Basis'!$B$40,IF(G179&lt;26,'General Basis'!$B$41,IF(G179&lt;31,'General Basis'!$B$42,IF(G179&lt;36,'General Basis'!$B$43,IF(G179&lt;41,'General Basis'!$B$44,IF(G179&lt;46,'General Basis'!$B$45,IF(G179&lt;51,'General Basis'!$B$46,IF(G179&lt;56,'General Basis'!$B$47,IF(G179&lt;60,'General Basis'!$B$48,IF(G179&lt;65,'General Basis'!$B$49,'General Basis'!$B$50)))))))))))))</f>
        <v/>
      </c>
      <c r="BI179" s="744" t="str">
        <f t="shared" si="71"/>
        <v/>
      </c>
      <c r="BJ179" s="747" t="str">
        <f t="shared" si="78"/>
        <v/>
      </c>
      <c r="BK179" s="498" t="str">
        <f t="shared" si="72"/>
        <v/>
      </c>
      <c r="BL179" s="498" t="str">
        <f t="shared" si="73"/>
        <v/>
      </c>
    </row>
    <row r="180" spans="1:64" x14ac:dyDescent="0.25">
      <c r="A180" s="762">
        <f t="shared" si="74"/>
        <v>175</v>
      </c>
      <c r="B180" s="229"/>
      <c r="C180" s="223"/>
      <c r="D180" s="224"/>
      <c r="E180" s="225"/>
      <c r="F180" s="1036" t="str">
        <f t="shared" si="80"/>
        <v/>
      </c>
      <c r="G180" s="1037" t="str">
        <f t="shared" si="75"/>
        <v/>
      </c>
      <c r="H180" s="225"/>
      <c r="I180" s="1013"/>
      <c r="J180" s="1013"/>
      <c r="K180" s="1028"/>
      <c r="L180" s="1035" t="str">
        <f t="shared" si="79"/>
        <v/>
      </c>
      <c r="S180" s="498"/>
      <c r="AJ180" s="498"/>
      <c r="AM180" s="498">
        <f t="shared" si="60"/>
        <v>0</v>
      </c>
      <c r="AN180" s="498">
        <f t="shared" si="61"/>
        <v>0</v>
      </c>
      <c r="AO180" s="498">
        <f t="shared" si="62"/>
        <v>0</v>
      </c>
      <c r="AP180" s="498">
        <f t="shared" si="81"/>
        <v>0</v>
      </c>
      <c r="AQ180" s="498">
        <f t="shared" si="76"/>
        <v>0</v>
      </c>
      <c r="AU180" s="498">
        <f t="shared" si="63"/>
        <v>0</v>
      </c>
      <c r="AV180" s="498">
        <f t="shared" si="64"/>
        <v>0</v>
      </c>
      <c r="AW180" s="498">
        <f t="shared" si="65"/>
        <v>0</v>
      </c>
      <c r="AX180" s="498">
        <f t="shared" si="66"/>
        <v>0</v>
      </c>
      <c r="AY180" s="498">
        <f t="shared" si="67"/>
        <v>0</v>
      </c>
      <c r="BB180" s="498" t="str">
        <f t="shared" si="68"/>
        <v/>
      </c>
      <c r="BC180" s="743" t="str">
        <f t="shared" si="69"/>
        <v/>
      </c>
      <c r="BD180" s="743" t="str">
        <f t="shared" si="70"/>
        <v/>
      </c>
      <c r="BE180" s="743" t="str">
        <f>IF(D180="","",VLOOKUP(D180,'General Basis'!$J$39:$K$46,2,0))</f>
        <v/>
      </c>
      <c r="BF180" s="744" t="str">
        <f>IF(D180="","",VLOOKUP(D180,'General Basis'!$J$39:$L$46,3,0))</f>
        <v/>
      </c>
      <c r="BG180" s="744" t="str">
        <f t="shared" si="77"/>
        <v/>
      </c>
      <c r="BH180" s="744" t="str">
        <f>IF(G180="","",IF(BF180="Abu Dhabi",IF(G180&lt;18,'General Basis'!$C$39,IF(G180&lt;41,'General Basis'!$C$40,IF(G180&lt;60,'General Basis'!$C$41,IF(G180&lt;65,'General Basis'!$C$42,'General Basis'!$C$43)))),IF(G180&lt;11,'General Basis'!$B$39,IF(G180&lt;18,'General Basis'!$B$40,IF(G180&lt;26,'General Basis'!$B$41,IF(G180&lt;31,'General Basis'!$B$42,IF(G180&lt;36,'General Basis'!$B$43,IF(G180&lt;41,'General Basis'!$B$44,IF(G180&lt;46,'General Basis'!$B$45,IF(G180&lt;51,'General Basis'!$B$46,IF(G180&lt;56,'General Basis'!$B$47,IF(G180&lt;60,'General Basis'!$B$48,IF(G180&lt;65,'General Basis'!$B$49,'General Basis'!$B$50)))))))))))))</f>
        <v/>
      </c>
      <c r="BI180" s="744" t="str">
        <f t="shared" si="71"/>
        <v/>
      </c>
      <c r="BJ180" s="747" t="str">
        <f t="shared" si="78"/>
        <v/>
      </c>
      <c r="BK180" s="498" t="str">
        <f t="shared" si="72"/>
        <v/>
      </c>
      <c r="BL180" s="498" t="str">
        <f t="shared" si="73"/>
        <v/>
      </c>
    </row>
    <row r="181" spans="1:64" x14ac:dyDescent="0.25">
      <c r="A181" s="762">
        <f t="shared" si="74"/>
        <v>176</v>
      </c>
      <c r="B181" s="229"/>
      <c r="C181" s="223"/>
      <c r="D181" s="224"/>
      <c r="E181" s="225"/>
      <c r="F181" s="1036" t="str">
        <f t="shared" si="80"/>
        <v/>
      </c>
      <c r="G181" s="1037" t="str">
        <f t="shared" si="75"/>
        <v/>
      </c>
      <c r="H181" s="225"/>
      <c r="I181" s="1013"/>
      <c r="J181" s="1013"/>
      <c r="K181" s="1028"/>
      <c r="L181" s="1035" t="str">
        <f t="shared" si="79"/>
        <v/>
      </c>
      <c r="S181" s="498"/>
      <c r="AJ181" s="498"/>
      <c r="AM181" s="498">
        <f t="shared" si="60"/>
        <v>0</v>
      </c>
      <c r="AN181" s="498">
        <f t="shared" si="61"/>
        <v>0</v>
      </c>
      <c r="AO181" s="498">
        <f t="shared" si="62"/>
        <v>0</v>
      </c>
      <c r="AP181" s="498">
        <f t="shared" si="81"/>
        <v>0</v>
      </c>
      <c r="AQ181" s="498">
        <f t="shared" si="76"/>
        <v>0</v>
      </c>
      <c r="AU181" s="498">
        <f t="shared" si="63"/>
        <v>0</v>
      </c>
      <c r="AV181" s="498">
        <f t="shared" si="64"/>
        <v>0</v>
      </c>
      <c r="AW181" s="498">
        <f t="shared" si="65"/>
        <v>0</v>
      </c>
      <c r="AX181" s="498">
        <f t="shared" si="66"/>
        <v>0</v>
      </c>
      <c r="AY181" s="498">
        <f t="shared" si="67"/>
        <v>0</v>
      </c>
      <c r="BB181" s="498" t="str">
        <f t="shared" si="68"/>
        <v/>
      </c>
      <c r="BC181" s="743" t="str">
        <f t="shared" si="69"/>
        <v/>
      </c>
      <c r="BD181" s="743" t="str">
        <f t="shared" si="70"/>
        <v/>
      </c>
      <c r="BE181" s="743" t="str">
        <f>IF(D181="","",VLOOKUP(D181,'General Basis'!$J$39:$K$46,2,0))</f>
        <v/>
      </c>
      <c r="BF181" s="744" t="str">
        <f>IF(D181="","",VLOOKUP(D181,'General Basis'!$J$39:$L$46,3,0))</f>
        <v/>
      </c>
      <c r="BG181" s="744" t="str">
        <f t="shared" si="77"/>
        <v/>
      </c>
      <c r="BH181" s="744" t="str">
        <f>IF(G181="","",IF(BF181="Abu Dhabi",IF(G181&lt;18,'General Basis'!$C$39,IF(G181&lt;41,'General Basis'!$C$40,IF(G181&lt;60,'General Basis'!$C$41,IF(G181&lt;65,'General Basis'!$C$42,'General Basis'!$C$43)))),IF(G181&lt;11,'General Basis'!$B$39,IF(G181&lt;18,'General Basis'!$B$40,IF(G181&lt;26,'General Basis'!$B$41,IF(G181&lt;31,'General Basis'!$B$42,IF(G181&lt;36,'General Basis'!$B$43,IF(G181&lt;41,'General Basis'!$B$44,IF(G181&lt;46,'General Basis'!$B$45,IF(G181&lt;51,'General Basis'!$B$46,IF(G181&lt;56,'General Basis'!$B$47,IF(G181&lt;60,'General Basis'!$B$48,IF(G181&lt;65,'General Basis'!$B$49,'General Basis'!$B$50)))))))))))))</f>
        <v/>
      </c>
      <c r="BI181" s="744" t="str">
        <f t="shared" si="71"/>
        <v/>
      </c>
      <c r="BJ181" s="747" t="str">
        <f t="shared" si="78"/>
        <v/>
      </c>
      <c r="BK181" s="498" t="str">
        <f t="shared" si="72"/>
        <v/>
      </c>
      <c r="BL181" s="498" t="str">
        <f t="shared" si="73"/>
        <v/>
      </c>
    </row>
    <row r="182" spans="1:64" x14ac:dyDescent="0.25">
      <c r="A182" s="762">
        <f t="shared" si="74"/>
        <v>177</v>
      </c>
      <c r="B182" s="229"/>
      <c r="C182" s="223"/>
      <c r="D182" s="224"/>
      <c r="E182" s="225"/>
      <c r="F182" s="1036" t="str">
        <f t="shared" si="80"/>
        <v/>
      </c>
      <c r="G182" s="1037" t="str">
        <f t="shared" si="75"/>
        <v/>
      </c>
      <c r="H182" s="225"/>
      <c r="I182" s="1013"/>
      <c r="J182" s="1013"/>
      <c r="K182" s="1028"/>
      <c r="L182" s="1035" t="str">
        <f t="shared" si="79"/>
        <v/>
      </c>
      <c r="S182" s="498"/>
      <c r="AJ182" s="498"/>
      <c r="AM182" s="498">
        <f t="shared" si="60"/>
        <v>0</v>
      </c>
      <c r="AN182" s="498">
        <f t="shared" si="61"/>
        <v>0</v>
      </c>
      <c r="AO182" s="498">
        <f t="shared" si="62"/>
        <v>0</v>
      </c>
      <c r="AP182" s="498">
        <f t="shared" si="81"/>
        <v>0</v>
      </c>
      <c r="AQ182" s="498">
        <f t="shared" si="76"/>
        <v>0</v>
      </c>
      <c r="AU182" s="498">
        <f t="shared" si="63"/>
        <v>0</v>
      </c>
      <c r="AV182" s="498">
        <f t="shared" si="64"/>
        <v>0</v>
      </c>
      <c r="AW182" s="498">
        <f t="shared" si="65"/>
        <v>0</v>
      </c>
      <c r="AX182" s="498">
        <f t="shared" si="66"/>
        <v>0</v>
      </c>
      <c r="AY182" s="498">
        <f t="shared" si="67"/>
        <v>0</v>
      </c>
      <c r="BB182" s="498" t="str">
        <f t="shared" si="68"/>
        <v/>
      </c>
      <c r="BC182" s="743" t="str">
        <f t="shared" si="69"/>
        <v/>
      </c>
      <c r="BD182" s="743" t="str">
        <f t="shared" si="70"/>
        <v/>
      </c>
      <c r="BE182" s="743" t="str">
        <f>IF(D182="","",VLOOKUP(D182,'General Basis'!$J$39:$K$46,2,0))</f>
        <v/>
      </c>
      <c r="BF182" s="744" t="str">
        <f>IF(D182="","",VLOOKUP(D182,'General Basis'!$J$39:$L$46,3,0))</f>
        <v/>
      </c>
      <c r="BG182" s="744" t="str">
        <f t="shared" si="77"/>
        <v/>
      </c>
      <c r="BH182" s="744" t="str">
        <f>IF(G182="","",IF(BF182="Abu Dhabi",IF(G182&lt;18,'General Basis'!$C$39,IF(G182&lt;41,'General Basis'!$C$40,IF(G182&lt;60,'General Basis'!$C$41,IF(G182&lt;65,'General Basis'!$C$42,'General Basis'!$C$43)))),IF(G182&lt;11,'General Basis'!$B$39,IF(G182&lt;18,'General Basis'!$B$40,IF(G182&lt;26,'General Basis'!$B$41,IF(G182&lt;31,'General Basis'!$B$42,IF(G182&lt;36,'General Basis'!$B$43,IF(G182&lt;41,'General Basis'!$B$44,IF(G182&lt;46,'General Basis'!$B$45,IF(G182&lt;51,'General Basis'!$B$46,IF(G182&lt;56,'General Basis'!$B$47,IF(G182&lt;60,'General Basis'!$B$48,IF(G182&lt;65,'General Basis'!$B$49,'General Basis'!$B$50)))))))))))))</f>
        <v/>
      </c>
      <c r="BI182" s="744" t="str">
        <f t="shared" si="71"/>
        <v/>
      </c>
      <c r="BJ182" s="747" t="str">
        <f t="shared" si="78"/>
        <v/>
      </c>
      <c r="BK182" s="498" t="str">
        <f t="shared" si="72"/>
        <v/>
      </c>
      <c r="BL182" s="498" t="str">
        <f t="shared" si="73"/>
        <v/>
      </c>
    </row>
    <row r="183" spans="1:64" x14ac:dyDescent="0.25">
      <c r="A183" s="762">
        <f t="shared" si="74"/>
        <v>178</v>
      </c>
      <c r="B183" s="229"/>
      <c r="C183" s="223"/>
      <c r="D183" s="224"/>
      <c r="E183" s="225"/>
      <c r="F183" s="1036" t="str">
        <f t="shared" si="80"/>
        <v/>
      </c>
      <c r="G183" s="1037" t="str">
        <f t="shared" si="75"/>
        <v/>
      </c>
      <c r="H183" s="225"/>
      <c r="I183" s="1013"/>
      <c r="J183" s="1013"/>
      <c r="K183" s="1028"/>
      <c r="L183" s="1035" t="str">
        <f t="shared" si="79"/>
        <v/>
      </c>
      <c r="S183" s="498"/>
      <c r="AJ183" s="498"/>
      <c r="AM183" s="498">
        <f t="shared" si="60"/>
        <v>0</v>
      </c>
      <c r="AN183" s="498">
        <f t="shared" si="61"/>
        <v>0</v>
      </c>
      <c r="AO183" s="498">
        <f t="shared" si="62"/>
        <v>0</v>
      </c>
      <c r="AP183" s="498">
        <f t="shared" si="81"/>
        <v>0</v>
      </c>
      <c r="AQ183" s="498">
        <f t="shared" si="76"/>
        <v>0</v>
      </c>
      <c r="AU183" s="498">
        <f t="shared" si="63"/>
        <v>0</v>
      </c>
      <c r="AV183" s="498">
        <f t="shared" si="64"/>
        <v>0</v>
      </c>
      <c r="AW183" s="498">
        <f t="shared" si="65"/>
        <v>0</v>
      </c>
      <c r="AX183" s="498">
        <f t="shared" si="66"/>
        <v>0</v>
      </c>
      <c r="AY183" s="498">
        <f t="shared" si="67"/>
        <v>0</v>
      </c>
      <c r="BB183" s="498" t="str">
        <f t="shared" si="68"/>
        <v/>
      </c>
      <c r="BC183" s="743" t="str">
        <f t="shared" si="69"/>
        <v/>
      </c>
      <c r="BD183" s="743" t="str">
        <f t="shared" si="70"/>
        <v/>
      </c>
      <c r="BE183" s="743" t="str">
        <f>IF(D183="","",VLOOKUP(D183,'General Basis'!$J$39:$K$46,2,0))</f>
        <v/>
      </c>
      <c r="BF183" s="744" t="str">
        <f>IF(D183="","",VLOOKUP(D183,'General Basis'!$J$39:$L$46,3,0))</f>
        <v/>
      </c>
      <c r="BG183" s="744" t="str">
        <f t="shared" si="77"/>
        <v/>
      </c>
      <c r="BH183" s="744" t="str">
        <f>IF(G183="","",IF(BF183="Abu Dhabi",IF(G183&lt;18,'General Basis'!$C$39,IF(G183&lt;41,'General Basis'!$C$40,IF(G183&lt;60,'General Basis'!$C$41,IF(G183&lt;65,'General Basis'!$C$42,'General Basis'!$C$43)))),IF(G183&lt;11,'General Basis'!$B$39,IF(G183&lt;18,'General Basis'!$B$40,IF(G183&lt;26,'General Basis'!$B$41,IF(G183&lt;31,'General Basis'!$B$42,IF(G183&lt;36,'General Basis'!$B$43,IF(G183&lt;41,'General Basis'!$B$44,IF(G183&lt;46,'General Basis'!$B$45,IF(G183&lt;51,'General Basis'!$B$46,IF(G183&lt;56,'General Basis'!$B$47,IF(G183&lt;60,'General Basis'!$B$48,IF(G183&lt;65,'General Basis'!$B$49,'General Basis'!$B$50)))))))))))))</f>
        <v/>
      </c>
      <c r="BI183" s="744" t="str">
        <f t="shared" si="71"/>
        <v/>
      </c>
      <c r="BJ183" s="747" t="str">
        <f t="shared" si="78"/>
        <v/>
      </c>
      <c r="BK183" s="498" t="str">
        <f t="shared" si="72"/>
        <v/>
      </c>
      <c r="BL183" s="498" t="str">
        <f t="shared" si="73"/>
        <v/>
      </c>
    </row>
    <row r="184" spans="1:64" x14ac:dyDescent="0.25">
      <c r="A184" s="762">
        <f t="shared" si="74"/>
        <v>179</v>
      </c>
      <c r="B184" s="229"/>
      <c r="C184" s="223"/>
      <c r="D184" s="224"/>
      <c r="E184" s="225"/>
      <c r="F184" s="1036" t="str">
        <f t="shared" si="80"/>
        <v/>
      </c>
      <c r="G184" s="1037" t="str">
        <f t="shared" si="75"/>
        <v/>
      </c>
      <c r="H184" s="225"/>
      <c r="I184" s="1013"/>
      <c r="J184" s="1013"/>
      <c r="K184" s="1028"/>
      <c r="L184" s="1035" t="str">
        <f t="shared" si="79"/>
        <v/>
      </c>
      <c r="S184" s="498"/>
      <c r="AJ184" s="498"/>
      <c r="AM184" s="498">
        <f t="shared" si="60"/>
        <v>0</v>
      </c>
      <c r="AN184" s="498">
        <f t="shared" si="61"/>
        <v>0</v>
      </c>
      <c r="AO184" s="498">
        <f t="shared" si="62"/>
        <v>0</v>
      </c>
      <c r="AP184" s="498">
        <f t="shared" si="81"/>
        <v>0</v>
      </c>
      <c r="AQ184" s="498">
        <f t="shared" si="76"/>
        <v>0</v>
      </c>
      <c r="AU184" s="498">
        <f t="shared" si="63"/>
        <v>0</v>
      </c>
      <c r="AV184" s="498">
        <f t="shared" si="64"/>
        <v>0</v>
      </c>
      <c r="AW184" s="498">
        <f t="shared" si="65"/>
        <v>0</v>
      </c>
      <c r="AX184" s="498">
        <f t="shared" si="66"/>
        <v>0</v>
      </c>
      <c r="AY184" s="498">
        <f t="shared" si="67"/>
        <v>0</v>
      </c>
      <c r="BB184" s="498" t="str">
        <f t="shared" si="68"/>
        <v/>
      </c>
      <c r="BC184" s="743" t="str">
        <f t="shared" si="69"/>
        <v/>
      </c>
      <c r="BD184" s="743" t="str">
        <f t="shared" si="70"/>
        <v/>
      </c>
      <c r="BE184" s="743" t="str">
        <f>IF(D184="","",VLOOKUP(D184,'General Basis'!$J$39:$K$46,2,0))</f>
        <v/>
      </c>
      <c r="BF184" s="744" t="str">
        <f>IF(D184="","",VLOOKUP(D184,'General Basis'!$J$39:$L$46,3,0))</f>
        <v/>
      </c>
      <c r="BG184" s="744" t="str">
        <f t="shared" si="77"/>
        <v/>
      </c>
      <c r="BH184" s="744" t="str">
        <f>IF(G184="","",IF(BF184="Abu Dhabi",IF(G184&lt;18,'General Basis'!$C$39,IF(G184&lt;41,'General Basis'!$C$40,IF(G184&lt;60,'General Basis'!$C$41,IF(G184&lt;65,'General Basis'!$C$42,'General Basis'!$C$43)))),IF(G184&lt;11,'General Basis'!$B$39,IF(G184&lt;18,'General Basis'!$B$40,IF(G184&lt;26,'General Basis'!$B$41,IF(G184&lt;31,'General Basis'!$B$42,IF(G184&lt;36,'General Basis'!$B$43,IF(G184&lt;41,'General Basis'!$B$44,IF(G184&lt;46,'General Basis'!$B$45,IF(G184&lt;51,'General Basis'!$B$46,IF(G184&lt;56,'General Basis'!$B$47,IF(G184&lt;60,'General Basis'!$B$48,IF(G184&lt;65,'General Basis'!$B$49,'General Basis'!$B$50)))))))))))))</f>
        <v/>
      </c>
      <c r="BI184" s="744" t="str">
        <f t="shared" si="71"/>
        <v/>
      </c>
      <c r="BJ184" s="747" t="str">
        <f t="shared" si="78"/>
        <v/>
      </c>
      <c r="BK184" s="498" t="str">
        <f t="shared" si="72"/>
        <v/>
      </c>
      <c r="BL184" s="498" t="str">
        <f t="shared" si="73"/>
        <v/>
      </c>
    </row>
    <row r="185" spans="1:64" x14ac:dyDescent="0.25">
      <c r="A185" s="762">
        <f t="shared" si="74"/>
        <v>180</v>
      </c>
      <c r="B185" s="229"/>
      <c r="C185" s="223"/>
      <c r="D185" s="224"/>
      <c r="E185" s="225"/>
      <c r="F185" s="1036" t="str">
        <f t="shared" si="80"/>
        <v/>
      </c>
      <c r="G185" s="1037" t="str">
        <f t="shared" si="75"/>
        <v/>
      </c>
      <c r="H185" s="225"/>
      <c r="I185" s="1013"/>
      <c r="J185" s="1013"/>
      <c r="K185" s="1028"/>
      <c r="L185" s="1035" t="str">
        <f t="shared" si="79"/>
        <v/>
      </c>
      <c r="S185" s="498"/>
      <c r="AJ185" s="498"/>
      <c r="AM185" s="498">
        <f t="shared" si="60"/>
        <v>0</v>
      </c>
      <c r="AN185" s="498">
        <f t="shared" si="61"/>
        <v>0</v>
      </c>
      <c r="AO185" s="498">
        <f t="shared" si="62"/>
        <v>0</v>
      </c>
      <c r="AP185" s="498">
        <f t="shared" si="81"/>
        <v>0</v>
      </c>
      <c r="AQ185" s="498">
        <f t="shared" si="76"/>
        <v>0</v>
      </c>
      <c r="AU185" s="498">
        <f t="shared" si="63"/>
        <v>0</v>
      </c>
      <c r="AV185" s="498">
        <f t="shared" si="64"/>
        <v>0</v>
      </c>
      <c r="AW185" s="498">
        <f t="shared" si="65"/>
        <v>0</v>
      </c>
      <c r="AX185" s="498">
        <f t="shared" si="66"/>
        <v>0</v>
      </c>
      <c r="AY185" s="498">
        <f t="shared" si="67"/>
        <v>0</v>
      </c>
      <c r="BB185" s="498" t="str">
        <f t="shared" si="68"/>
        <v/>
      </c>
      <c r="BC185" s="743" t="str">
        <f t="shared" si="69"/>
        <v/>
      </c>
      <c r="BD185" s="743" t="str">
        <f t="shared" si="70"/>
        <v/>
      </c>
      <c r="BE185" s="743" t="str">
        <f>IF(D185="","",VLOOKUP(D185,'General Basis'!$J$39:$K$46,2,0))</f>
        <v/>
      </c>
      <c r="BF185" s="744" t="str">
        <f>IF(D185="","",VLOOKUP(D185,'General Basis'!$J$39:$L$46,3,0))</f>
        <v/>
      </c>
      <c r="BG185" s="744" t="str">
        <f t="shared" si="77"/>
        <v/>
      </c>
      <c r="BH185" s="744" t="str">
        <f>IF(G185="","",IF(BF185="Abu Dhabi",IF(G185&lt;18,'General Basis'!$C$39,IF(G185&lt;41,'General Basis'!$C$40,IF(G185&lt;60,'General Basis'!$C$41,IF(G185&lt;65,'General Basis'!$C$42,'General Basis'!$C$43)))),IF(G185&lt;11,'General Basis'!$B$39,IF(G185&lt;18,'General Basis'!$B$40,IF(G185&lt;26,'General Basis'!$B$41,IF(G185&lt;31,'General Basis'!$B$42,IF(G185&lt;36,'General Basis'!$B$43,IF(G185&lt;41,'General Basis'!$B$44,IF(G185&lt;46,'General Basis'!$B$45,IF(G185&lt;51,'General Basis'!$B$46,IF(G185&lt;56,'General Basis'!$B$47,IF(G185&lt;60,'General Basis'!$B$48,IF(G185&lt;65,'General Basis'!$B$49,'General Basis'!$B$50)))))))))))))</f>
        <v/>
      </c>
      <c r="BI185" s="744" t="str">
        <f t="shared" si="71"/>
        <v/>
      </c>
      <c r="BJ185" s="747" t="str">
        <f t="shared" si="78"/>
        <v/>
      </c>
      <c r="BK185" s="498" t="str">
        <f t="shared" si="72"/>
        <v/>
      </c>
      <c r="BL185" s="498" t="str">
        <f t="shared" si="73"/>
        <v/>
      </c>
    </row>
    <row r="186" spans="1:64" x14ac:dyDescent="0.25">
      <c r="A186" s="762">
        <f t="shared" si="74"/>
        <v>181</v>
      </c>
      <c r="B186" s="229"/>
      <c r="C186" s="223"/>
      <c r="D186" s="224"/>
      <c r="E186" s="225"/>
      <c r="F186" s="1036" t="str">
        <f t="shared" si="80"/>
        <v/>
      </c>
      <c r="G186" s="1037" t="str">
        <f t="shared" si="75"/>
        <v/>
      </c>
      <c r="H186" s="225"/>
      <c r="I186" s="1013"/>
      <c r="J186" s="1013"/>
      <c r="K186" s="1028"/>
      <c r="L186" s="1035" t="str">
        <f t="shared" si="79"/>
        <v/>
      </c>
      <c r="S186" s="498"/>
      <c r="AJ186" s="498"/>
      <c r="AM186" s="498">
        <f t="shared" si="60"/>
        <v>0</v>
      </c>
      <c r="AN186" s="498">
        <f t="shared" si="61"/>
        <v>0</v>
      </c>
      <c r="AO186" s="498">
        <f t="shared" si="62"/>
        <v>0</v>
      </c>
      <c r="AP186" s="498">
        <f t="shared" si="81"/>
        <v>0</v>
      </c>
      <c r="AQ186" s="498">
        <f t="shared" si="76"/>
        <v>0</v>
      </c>
      <c r="AU186" s="498">
        <f t="shared" si="63"/>
        <v>0</v>
      </c>
      <c r="AV186" s="498">
        <f t="shared" si="64"/>
        <v>0</v>
      </c>
      <c r="AW186" s="498">
        <f t="shared" si="65"/>
        <v>0</v>
      </c>
      <c r="AX186" s="498">
        <f t="shared" si="66"/>
        <v>0</v>
      </c>
      <c r="AY186" s="498">
        <f t="shared" si="67"/>
        <v>0</v>
      </c>
      <c r="BB186" s="498" t="str">
        <f t="shared" si="68"/>
        <v/>
      </c>
      <c r="BC186" s="743" t="str">
        <f t="shared" si="69"/>
        <v/>
      </c>
      <c r="BD186" s="743" t="str">
        <f t="shared" si="70"/>
        <v/>
      </c>
      <c r="BE186" s="743" t="str">
        <f>IF(D186="","",VLOOKUP(D186,'General Basis'!$J$39:$K$46,2,0))</f>
        <v/>
      </c>
      <c r="BF186" s="744" t="str">
        <f>IF(D186="","",VLOOKUP(D186,'General Basis'!$J$39:$L$46,3,0))</f>
        <v/>
      </c>
      <c r="BG186" s="744" t="str">
        <f t="shared" si="77"/>
        <v/>
      </c>
      <c r="BH186" s="744" t="str">
        <f>IF(G186="","",IF(BF186="Abu Dhabi",IF(G186&lt;18,'General Basis'!$C$39,IF(G186&lt;41,'General Basis'!$C$40,IF(G186&lt;60,'General Basis'!$C$41,IF(G186&lt;65,'General Basis'!$C$42,'General Basis'!$C$43)))),IF(G186&lt;11,'General Basis'!$B$39,IF(G186&lt;18,'General Basis'!$B$40,IF(G186&lt;26,'General Basis'!$B$41,IF(G186&lt;31,'General Basis'!$B$42,IF(G186&lt;36,'General Basis'!$B$43,IF(G186&lt;41,'General Basis'!$B$44,IF(G186&lt;46,'General Basis'!$B$45,IF(G186&lt;51,'General Basis'!$B$46,IF(G186&lt;56,'General Basis'!$B$47,IF(G186&lt;60,'General Basis'!$B$48,IF(G186&lt;65,'General Basis'!$B$49,'General Basis'!$B$50)))))))))))))</f>
        <v/>
      </c>
      <c r="BI186" s="744" t="str">
        <f t="shared" si="71"/>
        <v/>
      </c>
      <c r="BJ186" s="747" t="str">
        <f t="shared" si="78"/>
        <v/>
      </c>
      <c r="BK186" s="498" t="str">
        <f t="shared" si="72"/>
        <v/>
      </c>
      <c r="BL186" s="498" t="str">
        <f t="shared" si="73"/>
        <v/>
      </c>
    </row>
    <row r="187" spans="1:64" x14ac:dyDescent="0.25">
      <c r="A187" s="762">
        <f t="shared" si="74"/>
        <v>182</v>
      </c>
      <c r="B187" s="229"/>
      <c r="C187" s="223"/>
      <c r="D187" s="224"/>
      <c r="E187" s="225"/>
      <c r="F187" s="1036" t="str">
        <f t="shared" si="80"/>
        <v/>
      </c>
      <c r="G187" s="1037" t="str">
        <f t="shared" si="75"/>
        <v/>
      </c>
      <c r="H187" s="225"/>
      <c r="I187" s="1013"/>
      <c r="J187" s="1013"/>
      <c r="K187" s="1028"/>
      <c r="L187" s="1035" t="str">
        <f t="shared" si="79"/>
        <v/>
      </c>
      <c r="S187" s="498"/>
      <c r="AJ187" s="498"/>
      <c r="AM187" s="498">
        <f t="shared" si="60"/>
        <v>0</v>
      </c>
      <c r="AN187" s="498">
        <f t="shared" si="61"/>
        <v>0</v>
      </c>
      <c r="AO187" s="498">
        <f t="shared" si="62"/>
        <v>0</v>
      </c>
      <c r="AP187" s="498">
        <f t="shared" si="81"/>
        <v>0</v>
      </c>
      <c r="AQ187" s="498">
        <f t="shared" si="76"/>
        <v>0</v>
      </c>
      <c r="AU187" s="498">
        <f t="shared" si="63"/>
        <v>0</v>
      </c>
      <c r="AV187" s="498">
        <f t="shared" si="64"/>
        <v>0</v>
      </c>
      <c r="AW187" s="498">
        <f t="shared" si="65"/>
        <v>0</v>
      </c>
      <c r="AX187" s="498">
        <f t="shared" si="66"/>
        <v>0</v>
      </c>
      <c r="AY187" s="498">
        <f t="shared" si="67"/>
        <v>0</v>
      </c>
      <c r="BB187" s="498" t="str">
        <f t="shared" si="68"/>
        <v/>
      </c>
      <c r="BC187" s="743" t="str">
        <f t="shared" si="69"/>
        <v/>
      </c>
      <c r="BD187" s="743" t="str">
        <f t="shared" si="70"/>
        <v/>
      </c>
      <c r="BE187" s="743" t="str">
        <f>IF(D187="","",VLOOKUP(D187,'General Basis'!$J$39:$K$46,2,0))</f>
        <v/>
      </c>
      <c r="BF187" s="744" t="str">
        <f>IF(D187="","",VLOOKUP(D187,'General Basis'!$J$39:$L$46,3,0))</f>
        <v/>
      </c>
      <c r="BG187" s="744" t="str">
        <f t="shared" si="77"/>
        <v/>
      </c>
      <c r="BH187" s="744" t="str">
        <f>IF(G187="","",IF(BF187="Abu Dhabi",IF(G187&lt;18,'General Basis'!$C$39,IF(G187&lt;41,'General Basis'!$C$40,IF(G187&lt;60,'General Basis'!$C$41,IF(G187&lt;65,'General Basis'!$C$42,'General Basis'!$C$43)))),IF(G187&lt;11,'General Basis'!$B$39,IF(G187&lt;18,'General Basis'!$B$40,IF(G187&lt;26,'General Basis'!$B$41,IF(G187&lt;31,'General Basis'!$B$42,IF(G187&lt;36,'General Basis'!$B$43,IF(G187&lt;41,'General Basis'!$B$44,IF(G187&lt;46,'General Basis'!$B$45,IF(G187&lt;51,'General Basis'!$B$46,IF(G187&lt;56,'General Basis'!$B$47,IF(G187&lt;60,'General Basis'!$B$48,IF(G187&lt;65,'General Basis'!$B$49,'General Basis'!$B$50)))))))))))))</f>
        <v/>
      </c>
      <c r="BI187" s="744" t="str">
        <f t="shared" si="71"/>
        <v/>
      </c>
      <c r="BJ187" s="747" t="str">
        <f t="shared" si="78"/>
        <v/>
      </c>
      <c r="BK187" s="498" t="str">
        <f t="shared" si="72"/>
        <v/>
      </c>
      <c r="BL187" s="498" t="str">
        <f t="shared" si="73"/>
        <v/>
      </c>
    </row>
    <row r="188" spans="1:64" x14ac:dyDescent="0.25">
      <c r="A188" s="762">
        <f t="shared" si="74"/>
        <v>183</v>
      </c>
      <c r="B188" s="229"/>
      <c r="C188" s="223"/>
      <c r="D188" s="224"/>
      <c r="E188" s="225"/>
      <c r="F188" s="1036" t="str">
        <f t="shared" si="80"/>
        <v/>
      </c>
      <c r="G188" s="1037" t="str">
        <f t="shared" si="75"/>
        <v/>
      </c>
      <c r="H188" s="225"/>
      <c r="I188" s="1013"/>
      <c r="J188" s="1013"/>
      <c r="K188" s="1028"/>
      <c r="L188" s="1035" t="str">
        <f t="shared" si="79"/>
        <v/>
      </c>
      <c r="S188" s="498"/>
      <c r="AJ188" s="498"/>
      <c r="AM188" s="498">
        <f t="shared" si="60"/>
        <v>0</v>
      </c>
      <c r="AN188" s="498">
        <f t="shared" si="61"/>
        <v>0</v>
      </c>
      <c r="AO188" s="498">
        <f t="shared" si="62"/>
        <v>0</v>
      </c>
      <c r="AP188" s="498">
        <f t="shared" si="81"/>
        <v>0</v>
      </c>
      <c r="AQ188" s="498">
        <f t="shared" si="76"/>
        <v>0</v>
      </c>
      <c r="AU188" s="498">
        <f t="shared" si="63"/>
        <v>0</v>
      </c>
      <c r="AV188" s="498">
        <f t="shared" si="64"/>
        <v>0</v>
      </c>
      <c r="AW188" s="498">
        <f t="shared" si="65"/>
        <v>0</v>
      </c>
      <c r="AX188" s="498">
        <f t="shared" si="66"/>
        <v>0</v>
      </c>
      <c r="AY188" s="498">
        <f t="shared" si="67"/>
        <v>0</v>
      </c>
      <c r="BB188" s="498" t="str">
        <f t="shared" si="68"/>
        <v/>
      </c>
      <c r="BC188" s="743" t="str">
        <f t="shared" si="69"/>
        <v/>
      </c>
      <c r="BD188" s="743" t="str">
        <f t="shared" si="70"/>
        <v/>
      </c>
      <c r="BE188" s="743" t="str">
        <f>IF(D188="","",VLOOKUP(D188,'General Basis'!$J$39:$K$46,2,0))</f>
        <v/>
      </c>
      <c r="BF188" s="744" t="str">
        <f>IF(D188="","",VLOOKUP(D188,'General Basis'!$J$39:$L$46,3,0))</f>
        <v/>
      </c>
      <c r="BG188" s="744" t="str">
        <f t="shared" si="77"/>
        <v/>
      </c>
      <c r="BH188" s="744" t="str">
        <f>IF(G188="","",IF(BF188="Abu Dhabi",IF(G188&lt;18,'General Basis'!$C$39,IF(G188&lt;41,'General Basis'!$C$40,IF(G188&lt;60,'General Basis'!$C$41,IF(G188&lt;65,'General Basis'!$C$42,'General Basis'!$C$43)))),IF(G188&lt;11,'General Basis'!$B$39,IF(G188&lt;18,'General Basis'!$B$40,IF(G188&lt;26,'General Basis'!$B$41,IF(G188&lt;31,'General Basis'!$B$42,IF(G188&lt;36,'General Basis'!$B$43,IF(G188&lt;41,'General Basis'!$B$44,IF(G188&lt;46,'General Basis'!$B$45,IF(G188&lt;51,'General Basis'!$B$46,IF(G188&lt;56,'General Basis'!$B$47,IF(G188&lt;60,'General Basis'!$B$48,IF(G188&lt;65,'General Basis'!$B$49,'General Basis'!$B$50)))))))))))))</f>
        <v/>
      </c>
      <c r="BI188" s="744" t="str">
        <f t="shared" si="71"/>
        <v/>
      </c>
      <c r="BJ188" s="747" t="str">
        <f t="shared" si="78"/>
        <v/>
      </c>
      <c r="BK188" s="498" t="str">
        <f t="shared" si="72"/>
        <v/>
      </c>
      <c r="BL188" s="498" t="str">
        <f t="shared" si="73"/>
        <v/>
      </c>
    </row>
    <row r="189" spans="1:64" x14ac:dyDescent="0.25">
      <c r="A189" s="762">
        <f t="shared" si="74"/>
        <v>184</v>
      </c>
      <c r="B189" s="229"/>
      <c r="C189" s="223"/>
      <c r="D189" s="224"/>
      <c r="E189" s="225"/>
      <c r="F189" s="1036" t="str">
        <f t="shared" si="80"/>
        <v/>
      </c>
      <c r="G189" s="1037" t="str">
        <f t="shared" si="75"/>
        <v/>
      </c>
      <c r="H189" s="225"/>
      <c r="I189" s="1013"/>
      <c r="J189" s="1013"/>
      <c r="K189" s="1028"/>
      <c r="L189" s="1035" t="str">
        <f t="shared" si="79"/>
        <v/>
      </c>
      <c r="S189" s="498"/>
      <c r="AJ189" s="498"/>
      <c r="AM189" s="498">
        <f t="shared" si="60"/>
        <v>0</v>
      </c>
      <c r="AN189" s="498">
        <f t="shared" si="61"/>
        <v>0</v>
      </c>
      <c r="AO189" s="498">
        <f t="shared" si="62"/>
        <v>0</v>
      </c>
      <c r="AP189" s="498">
        <f t="shared" si="81"/>
        <v>0</v>
      </c>
      <c r="AQ189" s="498">
        <f t="shared" si="76"/>
        <v>0</v>
      </c>
      <c r="AU189" s="498">
        <f t="shared" si="63"/>
        <v>0</v>
      </c>
      <c r="AV189" s="498">
        <f t="shared" si="64"/>
        <v>0</v>
      </c>
      <c r="AW189" s="498">
        <f t="shared" si="65"/>
        <v>0</v>
      </c>
      <c r="AX189" s="498">
        <f t="shared" si="66"/>
        <v>0</v>
      </c>
      <c r="AY189" s="498">
        <f t="shared" si="67"/>
        <v>0</v>
      </c>
      <c r="BB189" s="498" t="str">
        <f t="shared" si="68"/>
        <v/>
      </c>
      <c r="BC189" s="743" t="str">
        <f t="shared" si="69"/>
        <v/>
      </c>
      <c r="BD189" s="743" t="str">
        <f t="shared" si="70"/>
        <v/>
      </c>
      <c r="BE189" s="743" t="str">
        <f>IF(D189="","",VLOOKUP(D189,'General Basis'!$J$39:$K$46,2,0))</f>
        <v/>
      </c>
      <c r="BF189" s="744" t="str">
        <f>IF(D189="","",VLOOKUP(D189,'General Basis'!$J$39:$L$46,3,0))</f>
        <v/>
      </c>
      <c r="BG189" s="744" t="str">
        <f t="shared" si="77"/>
        <v/>
      </c>
      <c r="BH189" s="744" t="str">
        <f>IF(G189="","",IF(BF189="Abu Dhabi",IF(G189&lt;18,'General Basis'!$C$39,IF(G189&lt;41,'General Basis'!$C$40,IF(G189&lt;60,'General Basis'!$C$41,IF(G189&lt;65,'General Basis'!$C$42,'General Basis'!$C$43)))),IF(G189&lt;11,'General Basis'!$B$39,IF(G189&lt;18,'General Basis'!$B$40,IF(G189&lt;26,'General Basis'!$B$41,IF(G189&lt;31,'General Basis'!$B$42,IF(G189&lt;36,'General Basis'!$B$43,IF(G189&lt;41,'General Basis'!$B$44,IF(G189&lt;46,'General Basis'!$B$45,IF(G189&lt;51,'General Basis'!$B$46,IF(G189&lt;56,'General Basis'!$B$47,IF(G189&lt;60,'General Basis'!$B$48,IF(G189&lt;65,'General Basis'!$B$49,'General Basis'!$B$50)))))))))))))</f>
        <v/>
      </c>
      <c r="BI189" s="744" t="str">
        <f t="shared" si="71"/>
        <v/>
      </c>
      <c r="BJ189" s="747" t="str">
        <f t="shared" si="78"/>
        <v/>
      </c>
      <c r="BK189" s="498" t="str">
        <f t="shared" si="72"/>
        <v/>
      </c>
      <c r="BL189" s="498" t="str">
        <f t="shared" si="73"/>
        <v/>
      </c>
    </row>
    <row r="190" spans="1:64" x14ac:dyDescent="0.25">
      <c r="A190" s="762">
        <f t="shared" si="74"/>
        <v>185</v>
      </c>
      <c r="B190" s="229"/>
      <c r="C190" s="223"/>
      <c r="D190" s="224"/>
      <c r="E190" s="225"/>
      <c r="F190" s="1036" t="str">
        <f t="shared" si="80"/>
        <v/>
      </c>
      <c r="G190" s="1037" t="str">
        <f t="shared" si="75"/>
        <v/>
      </c>
      <c r="H190" s="225"/>
      <c r="I190" s="1013"/>
      <c r="J190" s="1013"/>
      <c r="K190" s="1028"/>
      <c r="L190" s="1035" t="str">
        <f t="shared" si="79"/>
        <v/>
      </c>
      <c r="S190" s="498"/>
      <c r="AJ190" s="498"/>
      <c r="AM190" s="498">
        <f t="shared" si="60"/>
        <v>0</v>
      </c>
      <c r="AN190" s="498">
        <f t="shared" si="61"/>
        <v>0</v>
      </c>
      <c r="AO190" s="498">
        <f t="shared" si="62"/>
        <v>0</v>
      </c>
      <c r="AP190" s="498">
        <f t="shared" si="81"/>
        <v>0</v>
      </c>
      <c r="AQ190" s="498">
        <f t="shared" si="76"/>
        <v>0</v>
      </c>
      <c r="AU190" s="498">
        <f t="shared" si="63"/>
        <v>0</v>
      </c>
      <c r="AV190" s="498">
        <f t="shared" si="64"/>
        <v>0</v>
      </c>
      <c r="AW190" s="498">
        <f t="shared" si="65"/>
        <v>0</v>
      </c>
      <c r="AX190" s="498">
        <f t="shared" si="66"/>
        <v>0</v>
      </c>
      <c r="AY190" s="498">
        <f t="shared" si="67"/>
        <v>0</v>
      </c>
      <c r="BB190" s="498" t="str">
        <f t="shared" si="68"/>
        <v/>
      </c>
      <c r="BC190" s="743" t="str">
        <f t="shared" si="69"/>
        <v/>
      </c>
      <c r="BD190" s="743" t="str">
        <f t="shared" si="70"/>
        <v/>
      </c>
      <c r="BE190" s="743" t="str">
        <f>IF(D190="","",VLOOKUP(D190,'General Basis'!$J$39:$K$46,2,0))</f>
        <v/>
      </c>
      <c r="BF190" s="744" t="str">
        <f>IF(D190="","",VLOOKUP(D190,'General Basis'!$J$39:$L$46,3,0))</f>
        <v/>
      </c>
      <c r="BG190" s="744" t="str">
        <f t="shared" si="77"/>
        <v/>
      </c>
      <c r="BH190" s="744" t="str">
        <f>IF(G190="","",IF(BF190="Abu Dhabi",IF(G190&lt;18,'General Basis'!$C$39,IF(G190&lt;41,'General Basis'!$C$40,IF(G190&lt;60,'General Basis'!$C$41,IF(G190&lt;65,'General Basis'!$C$42,'General Basis'!$C$43)))),IF(G190&lt;11,'General Basis'!$B$39,IF(G190&lt;18,'General Basis'!$B$40,IF(G190&lt;26,'General Basis'!$B$41,IF(G190&lt;31,'General Basis'!$B$42,IF(G190&lt;36,'General Basis'!$B$43,IF(G190&lt;41,'General Basis'!$B$44,IF(G190&lt;46,'General Basis'!$B$45,IF(G190&lt;51,'General Basis'!$B$46,IF(G190&lt;56,'General Basis'!$B$47,IF(G190&lt;60,'General Basis'!$B$48,IF(G190&lt;65,'General Basis'!$B$49,'General Basis'!$B$50)))))))))))))</f>
        <v/>
      </c>
      <c r="BI190" s="744" t="str">
        <f t="shared" si="71"/>
        <v/>
      </c>
      <c r="BJ190" s="747" t="str">
        <f t="shared" si="78"/>
        <v/>
      </c>
      <c r="BK190" s="498" t="str">
        <f t="shared" si="72"/>
        <v/>
      </c>
      <c r="BL190" s="498" t="str">
        <f t="shared" si="73"/>
        <v/>
      </c>
    </row>
    <row r="191" spans="1:64" x14ac:dyDescent="0.25">
      <c r="A191" s="762">
        <f t="shared" si="74"/>
        <v>186</v>
      </c>
      <c r="B191" s="229"/>
      <c r="C191" s="223"/>
      <c r="D191" s="224"/>
      <c r="E191" s="225"/>
      <c r="F191" s="1036" t="str">
        <f t="shared" si="80"/>
        <v/>
      </c>
      <c r="G191" s="1037" t="str">
        <f t="shared" si="75"/>
        <v/>
      </c>
      <c r="H191" s="225"/>
      <c r="I191" s="1013"/>
      <c r="J191" s="1013"/>
      <c r="K191" s="1028"/>
      <c r="L191" s="1035" t="str">
        <f t="shared" si="79"/>
        <v/>
      </c>
      <c r="S191" s="498"/>
      <c r="AJ191" s="498"/>
      <c r="AM191" s="498">
        <f t="shared" si="60"/>
        <v>0</v>
      </c>
      <c r="AN191" s="498">
        <f t="shared" si="61"/>
        <v>0</v>
      </c>
      <c r="AO191" s="498">
        <f t="shared" si="62"/>
        <v>0</v>
      </c>
      <c r="AP191" s="498">
        <f t="shared" si="81"/>
        <v>0</v>
      </c>
      <c r="AQ191" s="498">
        <f t="shared" si="76"/>
        <v>0</v>
      </c>
      <c r="AU191" s="498">
        <f t="shared" si="63"/>
        <v>0</v>
      </c>
      <c r="AV191" s="498">
        <f t="shared" si="64"/>
        <v>0</v>
      </c>
      <c r="AW191" s="498">
        <f t="shared" si="65"/>
        <v>0</v>
      </c>
      <c r="AX191" s="498">
        <f t="shared" si="66"/>
        <v>0</v>
      </c>
      <c r="AY191" s="498">
        <f t="shared" si="67"/>
        <v>0</v>
      </c>
      <c r="BB191" s="498" t="str">
        <f t="shared" si="68"/>
        <v/>
      </c>
      <c r="BC191" s="743" t="str">
        <f t="shared" si="69"/>
        <v/>
      </c>
      <c r="BD191" s="743" t="str">
        <f t="shared" si="70"/>
        <v/>
      </c>
      <c r="BE191" s="743" t="str">
        <f>IF(D191="","",VLOOKUP(D191,'General Basis'!$J$39:$K$46,2,0))</f>
        <v/>
      </c>
      <c r="BF191" s="744" t="str">
        <f>IF(D191="","",VLOOKUP(D191,'General Basis'!$J$39:$L$46,3,0))</f>
        <v/>
      </c>
      <c r="BG191" s="744" t="str">
        <f t="shared" si="77"/>
        <v/>
      </c>
      <c r="BH191" s="744" t="str">
        <f>IF(G191="","",IF(BF191="Abu Dhabi",IF(G191&lt;18,'General Basis'!$C$39,IF(G191&lt;41,'General Basis'!$C$40,IF(G191&lt;60,'General Basis'!$C$41,IF(G191&lt;65,'General Basis'!$C$42,'General Basis'!$C$43)))),IF(G191&lt;11,'General Basis'!$B$39,IF(G191&lt;18,'General Basis'!$B$40,IF(G191&lt;26,'General Basis'!$B$41,IF(G191&lt;31,'General Basis'!$B$42,IF(G191&lt;36,'General Basis'!$B$43,IF(G191&lt;41,'General Basis'!$B$44,IF(G191&lt;46,'General Basis'!$B$45,IF(G191&lt;51,'General Basis'!$B$46,IF(G191&lt;56,'General Basis'!$B$47,IF(G191&lt;60,'General Basis'!$B$48,IF(G191&lt;65,'General Basis'!$B$49,'General Basis'!$B$50)))))))))))))</f>
        <v/>
      </c>
      <c r="BI191" s="744" t="str">
        <f t="shared" si="71"/>
        <v/>
      </c>
      <c r="BJ191" s="747" t="str">
        <f t="shared" si="78"/>
        <v/>
      </c>
      <c r="BK191" s="498" t="str">
        <f t="shared" si="72"/>
        <v/>
      </c>
      <c r="BL191" s="498" t="str">
        <f t="shared" si="73"/>
        <v/>
      </c>
    </row>
    <row r="192" spans="1:64" x14ac:dyDescent="0.25">
      <c r="A192" s="762">
        <f t="shared" si="74"/>
        <v>187</v>
      </c>
      <c r="B192" s="229"/>
      <c r="C192" s="223"/>
      <c r="D192" s="224"/>
      <c r="E192" s="225"/>
      <c r="F192" s="1036" t="str">
        <f t="shared" si="80"/>
        <v/>
      </c>
      <c r="G192" s="1037" t="str">
        <f t="shared" si="75"/>
        <v/>
      </c>
      <c r="H192" s="225"/>
      <c r="I192" s="1013"/>
      <c r="J192" s="1013"/>
      <c r="K192" s="1028"/>
      <c r="L192" s="1035" t="str">
        <f t="shared" si="79"/>
        <v/>
      </c>
      <c r="S192" s="498"/>
      <c r="AJ192" s="498"/>
      <c r="AM192" s="498">
        <f t="shared" si="60"/>
        <v>0</v>
      </c>
      <c r="AN192" s="498">
        <f t="shared" si="61"/>
        <v>0</v>
      </c>
      <c r="AO192" s="498">
        <f t="shared" si="62"/>
        <v>0</v>
      </c>
      <c r="AP192" s="498">
        <f t="shared" si="81"/>
        <v>0</v>
      </c>
      <c r="AQ192" s="498">
        <f t="shared" si="76"/>
        <v>0</v>
      </c>
      <c r="AU192" s="498">
        <f t="shared" si="63"/>
        <v>0</v>
      </c>
      <c r="AV192" s="498">
        <f t="shared" si="64"/>
        <v>0</v>
      </c>
      <c r="AW192" s="498">
        <f t="shared" si="65"/>
        <v>0</v>
      </c>
      <c r="AX192" s="498">
        <f t="shared" si="66"/>
        <v>0</v>
      </c>
      <c r="AY192" s="498">
        <f t="shared" si="67"/>
        <v>0</v>
      </c>
      <c r="BB192" s="498" t="str">
        <f t="shared" si="68"/>
        <v/>
      </c>
      <c r="BC192" s="743" t="str">
        <f t="shared" si="69"/>
        <v/>
      </c>
      <c r="BD192" s="743" t="str">
        <f t="shared" si="70"/>
        <v/>
      </c>
      <c r="BE192" s="743" t="str">
        <f>IF(D192="","",VLOOKUP(D192,'General Basis'!$J$39:$K$46,2,0))</f>
        <v/>
      </c>
      <c r="BF192" s="744" t="str">
        <f>IF(D192="","",VLOOKUP(D192,'General Basis'!$J$39:$L$46,3,0))</f>
        <v/>
      </c>
      <c r="BG192" s="744" t="str">
        <f t="shared" si="77"/>
        <v/>
      </c>
      <c r="BH192" s="744" t="str">
        <f>IF(G192="","",IF(BF192="Abu Dhabi",IF(G192&lt;18,'General Basis'!$C$39,IF(G192&lt;41,'General Basis'!$C$40,IF(G192&lt;60,'General Basis'!$C$41,IF(G192&lt;65,'General Basis'!$C$42,'General Basis'!$C$43)))),IF(G192&lt;11,'General Basis'!$B$39,IF(G192&lt;18,'General Basis'!$B$40,IF(G192&lt;26,'General Basis'!$B$41,IF(G192&lt;31,'General Basis'!$B$42,IF(G192&lt;36,'General Basis'!$B$43,IF(G192&lt;41,'General Basis'!$B$44,IF(G192&lt;46,'General Basis'!$B$45,IF(G192&lt;51,'General Basis'!$B$46,IF(G192&lt;56,'General Basis'!$B$47,IF(G192&lt;60,'General Basis'!$B$48,IF(G192&lt;65,'General Basis'!$B$49,'General Basis'!$B$50)))))))))))))</f>
        <v/>
      </c>
      <c r="BI192" s="744" t="str">
        <f t="shared" si="71"/>
        <v/>
      </c>
      <c r="BJ192" s="747" t="str">
        <f t="shared" si="78"/>
        <v/>
      </c>
      <c r="BK192" s="498" t="str">
        <f t="shared" si="72"/>
        <v/>
      </c>
      <c r="BL192" s="498" t="str">
        <f t="shared" si="73"/>
        <v/>
      </c>
    </row>
    <row r="193" spans="1:64" x14ac:dyDescent="0.25">
      <c r="A193" s="762">
        <f t="shared" si="74"/>
        <v>188</v>
      </c>
      <c r="B193" s="229"/>
      <c r="C193" s="223"/>
      <c r="D193" s="224"/>
      <c r="E193" s="225"/>
      <c r="F193" s="1036" t="str">
        <f t="shared" si="80"/>
        <v/>
      </c>
      <c r="G193" s="1037" t="str">
        <f t="shared" si="75"/>
        <v/>
      </c>
      <c r="H193" s="225"/>
      <c r="I193" s="1013"/>
      <c r="J193" s="1013"/>
      <c r="K193" s="1028"/>
      <c r="L193" s="1035" t="str">
        <f t="shared" si="79"/>
        <v/>
      </c>
      <c r="S193" s="498"/>
      <c r="AJ193" s="498"/>
      <c r="AM193" s="498">
        <f t="shared" si="60"/>
        <v>0</v>
      </c>
      <c r="AN193" s="498">
        <f t="shared" si="61"/>
        <v>0</v>
      </c>
      <c r="AO193" s="498">
        <f t="shared" si="62"/>
        <v>0</v>
      </c>
      <c r="AP193" s="498">
        <f t="shared" si="81"/>
        <v>0</v>
      </c>
      <c r="AQ193" s="498">
        <f t="shared" si="76"/>
        <v>0</v>
      </c>
      <c r="AU193" s="498">
        <f t="shared" si="63"/>
        <v>0</v>
      </c>
      <c r="AV193" s="498">
        <f t="shared" si="64"/>
        <v>0</v>
      </c>
      <c r="AW193" s="498">
        <f t="shared" si="65"/>
        <v>0</v>
      </c>
      <c r="AX193" s="498">
        <f t="shared" si="66"/>
        <v>0</v>
      </c>
      <c r="AY193" s="498">
        <f t="shared" si="67"/>
        <v>0</v>
      </c>
      <c r="BB193" s="498" t="str">
        <f t="shared" si="68"/>
        <v/>
      </c>
      <c r="BC193" s="743" t="str">
        <f t="shared" si="69"/>
        <v/>
      </c>
      <c r="BD193" s="743" t="str">
        <f t="shared" si="70"/>
        <v/>
      </c>
      <c r="BE193" s="743" t="str">
        <f>IF(D193="","",VLOOKUP(D193,'General Basis'!$J$39:$K$46,2,0))</f>
        <v/>
      </c>
      <c r="BF193" s="744" t="str">
        <f>IF(D193="","",VLOOKUP(D193,'General Basis'!$J$39:$L$46,3,0))</f>
        <v/>
      </c>
      <c r="BG193" s="744" t="str">
        <f t="shared" si="77"/>
        <v/>
      </c>
      <c r="BH193" s="744" t="str">
        <f>IF(G193="","",IF(BF193="Abu Dhabi",IF(G193&lt;18,'General Basis'!$C$39,IF(G193&lt;41,'General Basis'!$C$40,IF(G193&lt;60,'General Basis'!$C$41,IF(G193&lt;65,'General Basis'!$C$42,'General Basis'!$C$43)))),IF(G193&lt;11,'General Basis'!$B$39,IF(G193&lt;18,'General Basis'!$B$40,IF(G193&lt;26,'General Basis'!$B$41,IF(G193&lt;31,'General Basis'!$B$42,IF(G193&lt;36,'General Basis'!$B$43,IF(G193&lt;41,'General Basis'!$B$44,IF(G193&lt;46,'General Basis'!$B$45,IF(G193&lt;51,'General Basis'!$B$46,IF(G193&lt;56,'General Basis'!$B$47,IF(G193&lt;60,'General Basis'!$B$48,IF(G193&lt;65,'General Basis'!$B$49,'General Basis'!$B$50)))))))))))))</f>
        <v/>
      </c>
      <c r="BI193" s="744" t="str">
        <f t="shared" si="71"/>
        <v/>
      </c>
      <c r="BJ193" s="747" t="str">
        <f t="shared" si="78"/>
        <v/>
      </c>
      <c r="BK193" s="498" t="str">
        <f t="shared" si="72"/>
        <v/>
      </c>
      <c r="BL193" s="498" t="str">
        <f t="shared" si="73"/>
        <v/>
      </c>
    </row>
    <row r="194" spans="1:64" x14ac:dyDescent="0.25">
      <c r="A194" s="762">
        <f t="shared" si="74"/>
        <v>189</v>
      </c>
      <c r="B194" s="229"/>
      <c r="C194" s="223"/>
      <c r="D194" s="224"/>
      <c r="E194" s="225"/>
      <c r="F194" s="1036" t="str">
        <f t="shared" si="80"/>
        <v/>
      </c>
      <c r="G194" s="1037" t="str">
        <f t="shared" si="75"/>
        <v/>
      </c>
      <c r="H194" s="225"/>
      <c r="I194" s="1013"/>
      <c r="J194" s="1013"/>
      <c r="K194" s="1028"/>
      <c r="L194" s="1035" t="str">
        <f t="shared" si="79"/>
        <v/>
      </c>
      <c r="S194" s="498"/>
      <c r="AJ194" s="498"/>
      <c r="AM194" s="498">
        <f t="shared" si="60"/>
        <v>0</v>
      </c>
      <c r="AN194" s="498">
        <f t="shared" si="61"/>
        <v>0</v>
      </c>
      <c r="AO194" s="498">
        <f t="shared" si="62"/>
        <v>0</v>
      </c>
      <c r="AP194" s="498">
        <f t="shared" si="81"/>
        <v>0</v>
      </c>
      <c r="AQ194" s="498">
        <f t="shared" si="76"/>
        <v>0</v>
      </c>
      <c r="AU194" s="498">
        <f t="shared" si="63"/>
        <v>0</v>
      </c>
      <c r="AV194" s="498">
        <f t="shared" si="64"/>
        <v>0</v>
      </c>
      <c r="AW194" s="498">
        <f t="shared" si="65"/>
        <v>0</v>
      </c>
      <c r="AX194" s="498">
        <f t="shared" si="66"/>
        <v>0</v>
      </c>
      <c r="AY194" s="498">
        <f t="shared" si="67"/>
        <v>0</v>
      </c>
      <c r="BB194" s="498" t="str">
        <f t="shared" si="68"/>
        <v/>
      </c>
      <c r="BC194" s="743" t="str">
        <f t="shared" si="69"/>
        <v/>
      </c>
      <c r="BD194" s="743" t="str">
        <f t="shared" si="70"/>
        <v/>
      </c>
      <c r="BE194" s="743" t="str">
        <f>IF(D194="","",VLOOKUP(D194,'General Basis'!$J$39:$K$46,2,0))</f>
        <v/>
      </c>
      <c r="BF194" s="744" t="str">
        <f>IF(D194="","",VLOOKUP(D194,'General Basis'!$J$39:$L$46,3,0))</f>
        <v/>
      </c>
      <c r="BG194" s="744" t="str">
        <f t="shared" si="77"/>
        <v/>
      </c>
      <c r="BH194" s="744" t="str">
        <f>IF(G194="","",IF(BF194="Abu Dhabi",IF(G194&lt;18,'General Basis'!$C$39,IF(G194&lt;41,'General Basis'!$C$40,IF(G194&lt;60,'General Basis'!$C$41,IF(G194&lt;65,'General Basis'!$C$42,'General Basis'!$C$43)))),IF(G194&lt;11,'General Basis'!$B$39,IF(G194&lt;18,'General Basis'!$B$40,IF(G194&lt;26,'General Basis'!$B$41,IF(G194&lt;31,'General Basis'!$B$42,IF(G194&lt;36,'General Basis'!$B$43,IF(G194&lt;41,'General Basis'!$B$44,IF(G194&lt;46,'General Basis'!$B$45,IF(G194&lt;51,'General Basis'!$B$46,IF(G194&lt;56,'General Basis'!$B$47,IF(G194&lt;60,'General Basis'!$B$48,IF(G194&lt;65,'General Basis'!$B$49,'General Basis'!$B$50)))))))))))))</f>
        <v/>
      </c>
      <c r="BI194" s="744" t="str">
        <f t="shared" si="71"/>
        <v/>
      </c>
      <c r="BJ194" s="747" t="str">
        <f t="shared" si="78"/>
        <v/>
      </c>
      <c r="BK194" s="498" t="str">
        <f t="shared" si="72"/>
        <v/>
      </c>
      <c r="BL194" s="498" t="str">
        <f t="shared" si="73"/>
        <v/>
      </c>
    </row>
    <row r="195" spans="1:64" x14ac:dyDescent="0.25">
      <c r="A195" s="762">
        <f t="shared" si="74"/>
        <v>190</v>
      </c>
      <c r="B195" s="229"/>
      <c r="C195" s="223"/>
      <c r="D195" s="224"/>
      <c r="E195" s="225"/>
      <c r="F195" s="1036" t="str">
        <f t="shared" si="80"/>
        <v/>
      </c>
      <c r="G195" s="1037" t="str">
        <f t="shared" si="75"/>
        <v/>
      </c>
      <c r="H195" s="225"/>
      <c r="I195" s="1013"/>
      <c r="J195" s="1013"/>
      <c r="K195" s="1028"/>
      <c r="L195" s="1035" t="str">
        <f t="shared" si="79"/>
        <v/>
      </c>
      <c r="S195" s="498"/>
      <c r="AJ195" s="498"/>
      <c r="AM195" s="498">
        <f t="shared" si="60"/>
        <v>0</v>
      </c>
      <c r="AN195" s="498">
        <f t="shared" si="61"/>
        <v>0</v>
      </c>
      <c r="AO195" s="498">
        <f t="shared" si="62"/>
        <v>0</v>
      </c>
      <c r="AP195" s="498">
        <f t="shared" si="81"/>
        <v>0</v>
      </c>
      <c r="AQ195" s="498">
        <f t="shared" si="76"/>
        <v>0</v>
      </c>
      <c r="AU195" s="498">
        <f t="shared" si="63"/>
        <v>0</v>
      </c>
      <c r="AV195" s="498">
        <f t="shared" si="64"/>
        <v>0</v>
      </c>
      <c r="AW195" s="498">
        <f t="shared" si="65"/>
        <v>0</v>
      </c>
      <c r="AX195" s="498">
        <f t="shared" si="66"/>
        <v>0</v>
      </c>
      <c r="AY195" s="498">
        <f t="shared" si="67"/>
        <v>0</v>
      </c>
      <c r="BB195" s="498" t="str">
        <f t="shared" si="68"/>
        <v/>
      </c>
      <c r="BC195" s="743" t="str">
        <f t="shared" si="69"/>
        <v/>
      </c>
      <c r="BD195" s="743" t="str">
        <f t="shared" si="70"/>
        <v/>
      </c>
      <c r="BE195" s="743" t="str">
        <f>IF(D195="","",VLOOKUP(D195,'General Basis'!$J$39:$K$46,2,0))</f>
        <v/>
      </c>
      <c r="BF195" s="744" t="str">
        <f>IF(D195="","",VLOOKUP(D195,'General Basis'!$J$39:$L$46,3,0))</f>
        <v/>
      </c>
      <c r="BG195" s="744" t="str">
        <f t="shared" si="77"/>
        <v/>
      </c>
      <c r="BH195" s="744" t="str">
        <f>IF(G195="","",IF(BF195="Abu Dhabi",IF(G195&lt;18,'General Basis'!$C$39,IF(G195&lt;41,'General Basis'!$C$40,IF(G195&lt;60,'General Basis'!$C$41,IF(G195&lt;65,'General Basis'!$C$42,'General Basis'!$C$43)))),IF(G195&lt;11,'General Basis'!$B$39,IF(G195&lt;18,'General Basis'!$B$40,IF(G195&lt;26,'General Basis'!$B$41,IF(G195&lt;31,'General Basis'!$B$42,IF(G195&lt;36,'General Basis'!$B$43,IF(G195&lt;41,'General Basis'!$B$44,IF(G195&lt;46,'General Basis'!$B$45,IF(G195&lt;51,'General Basis'!$B$46,IF(G195&lt;56,'General Basis'!$B$47,IF(G195&lt;60,'General Basis'!$B$48,IF(G195&lt;65,'General Basis'!$B$49,'General Basis'!$B$50)))))))))))))</f>
        <v/>
      </c>
      <c r="BI195" s="744" t="str">
        <f t="shared" si="71"/>
        <v/>
      </c>
      <c r="BJ195" s="747" t="str">
        <f t="shared" si="78"/>
        <v/>
      </c>
      <c r="BK195" s="498" t="str">
        <f t="shared" si="72"/>
        <v/>
      </c>
      <c r="BL195" s="498" t="str">
        <f t="shared" si="73"/>
        <v/>
      </c>
    </row>
    <row r="196" spans="1:64" x14ac:dyDescent="0.25">
      <c r="A196" s="762">
        <f t="shared" si="74"/>
        <v>191</v>
      </c>
      <c r="B196" s="229"/>
      <c r="C196" s="223"/>
      <c r="D196" s="224"/>
      <c r="E196" s="225"/>
      <c r="F196" s="1036" t="str">
        <f t="shared" si="80"/>
        <v/>
      </c>
      <c r="G196" s="1037" t="str">
        <f t="shared" si="75"/>
        <v/>
      </c>
      <c r="H196" s="225"/>
      <c r="I196" s="1013"/>
      <c r="J196" s="1013"/>
      <c r="K196" s="1028"/>
      <c r="L196" s="1035" t="str">
        <f t="shared" si="79"/>
        <v/>
      </c>
      <c r="S196" s="498"/>
      <c r="AJ196" s="498"/>
      <c r="AM196" s="498">
        <f t="shared" si="60"/>
        <v>0</v>
      </c>
      <c r="AN196" s="498">
        <f t="shared" si="61"/>
        <v>0</v>
      </c>
      <c r="AO196" s="498">
        <f t="shared" si="62"/>
        <v>0</v>
      </c>
      <c r="AP196" s="498">
        <f t="shared" si="81"/>
        <v>0</v>
      </c>
      <c r="AQ196" s="498">
        <f t="shared" si="76"/>
        <v>0</v>
      </c>
      <c r="AU196" s="498">
        <f t="shared" si="63"/>
        <v>0</v>
      </c>
      <c r="AV196" s="498">
        <f t="shared" si="64"/>
        <v>0</v>
      </c>
      <c r="AW196" s="498">
        <f t="shared" si="65"/>
        <v>0</v>
      </c>
      <c r="AX196" s="498">
        <f t="shared" si="66"/>
        <v>0</v>
      </c>
      <c r="AY196" s="498">
        <f t="shared" si="67"/>
        <v>0</v>
      </c>
      <c r="BB196" s="498" t="str">
        <f t="shared" si="68"/>
        <v/>
      </c>
      <c r="BC196" s="743" t="str">
        <f t="shared" si="69"/>
        <v/>
      </c>
      <c r="BD196" s="743" t="str">
        <f t="shared" si="70"/>
        <v/>
      </c>
      <c r="BE196" s="743" t="str">
        <f>IF(D196="","",VLOOKUP(D196,'General Basis'!$J$39:$K$46,2,0))</f>
        <v/>
      </c>
      <c r="BF196" s="744" t="str">
        <f>IF(D196="","",VLOOKUP(D196,'General Basis'!$J$39:$L$46,3,0))</f>
        <v/>
      </c>
      <c r="BG196" s="744" t="str">
        <f t="shared" si="77"/>
        <v/>
      </c>
      <c r="BH196" s="744" t="str">
        <f>IF(G196="","",IF(BF196="Abu Dhabi",IF(G196&lt;18,'General Basis'!$C$39,IF(G196&lt;41,'General Basis'!$C$40,IF(G196&lt;60,'General Basis'!$C$41,IF(G196&lt;65,'General Basis'!$C$42,'General Basis'!$C$43)))),IF(G196&lt;11,'General Basis'!$B$39,IF(G196&lt;18,'General Basis'!$B$40,IF(G196&lt;26,'General Basis'!$B$41,IF(G196&lt;31,'General Basis'!$B$42,IF(G196&lt;36,'General Basis'!$B$43,IF(G196&lt;41,'General Basis'!$B$44,IF(G196&lt;46,'General Basis'!$B$45,IF(G196&lt;51,'General Basis'!$B$46,IF(G196&lt;56,'General Basis'!$B$47,IF(G196&lt;60,'General Basis'!$B$48,IF(G196&lt;65,'General Basis'!$B$49,'General Basis'!$B$50)))))))))))))</f>
        <v/>
      </c>
      <c r="BI196" s="744" t="str">
        <f t="shared" si="71"/>
        <v/>
      </c>
      <c r="BJ196" s="747" t="str">
        <f t="shared" si="78"/>
        <v/>
      </c>
      <c r="BK196" s="498" t="str">
        <f t="shared" si="72"/>
        <v/>
      </c>
      <c r="BL196" s="498" t="str">
        <f t="shared" si="73"/>
        <v/>
      </c>
    </row>
    <row r="197" spans="1:64" x14ac:dyDescent="0.25">
      <c r="A197" s="762">
        <f t="shared" si="74"/>
        <v>192</v>
      </c>
      <c r="B197" s="229"/>
      <c r="C197" s="223"/>
      <c r="D197" s="224"/>
      <c r="E197" s="225"/>
      <c r="F197" s="1036" t="str">
        <f t="shared" si="80"/>
        <v/>
      </c>
      <c r="G197" s="1037" t="str">
        <f t="shared" si="75"/>
        <v/>
      </c>
      <c r="H197" s="225"/>
      <c r="I197" s="1013"/>
      <c r="J197" s="1013"/>
      <c r="K197" s="1028"/>
      <c r="L197" s="1035" t="str">
        <f t="shared" si="79"/>
        <v/>
      </c>
      <c r="S197" s="498"/>
      <c r="AJ197" s="498"/>
      <c r="AM197" s="498">
        <f t="shared" si="60"/>
        <v>0</v>
      </c>
      <c r="AN197" s="498">
        <f t="shared" si="61"/>
        <v>0</v>
      </c>
      <c r="AO197" s="498">
        <f t="shared" si="62"/>
        <v>0</v>
      </c>
      <c r="AP197" s="498">
        <f t="shared" si="81"/>
        <v>0</v>
      </c>
      <c r="AQ197" s="498">
        <f t="shared" si="76"/>
        <v>0</v>
      </c>
      <c r="AU197" s="498">
        <f t="shared" si="63"/>
        <v>0</v>
      </c>
      <c r="AV197" s="498">
        <f t="shared" si="64"/>
        <v>0</v>
      </c>
      <c r="AW197" s="498">
        <f t="shared" si="65"/>
        <v>0</v>
      </c>
      <c r="AX197" s="498">
        <f t="shared" si="66"/>
        <v>0</v>
      </c>
      <c r="AY197" s="498">
        <f t="shared" si="67"/>
        <v>0</v>
      </c>
      <c r="BB197" s="498" t="str">
        <f t="shared" si="68"/>
        <v/>
      </c>
      <c r="BC197" s="743" t="str">
        <f t="shared" si="69"/>
        <v/>
      </c>
      <c r="BD197" s="743" t="str">
        <f t="shared" si="70"/>
        <v/>
      </c>
      <c r="BE197" s="743" t="str">
        <f>IF(D197="","",VLOOKUP(D197,'General Basis'!$J$39:$K$46,2,0))</f>
        <v/>
      </c>
      <c r="BF197" s="744" t="str">
        <f>IF(D197="","",VLOOKUP(D197,'General Basis'!$J$39:$L$46,3,0))</f>
        <v/>
      </c>
      <c r="BG197" s="744" t="str">
        <f t="shared" si="77"/>
        <v/>
      </c>
      <c r="BH197" s="744" t="str">
        <f>IF(G197="","",IF(BF197="Abu Dhabi",IF(G197&lt;18,'General Basis'!$C$39,IF(G197&lt;41,'General Basis'!$C$40,IF(G197&lt;60,'General Basis'!$C$41,IF(G197&lt;65,'General Basis'!$C$42,'General Basis'!$C$43)))),IF(G197&lt;11,'General Basis'!$B$39,IF(G197&lt;18,'General Basis'!$B$40,IF(G197&lt;26,'General Basis'!$B$41,IF(G197&lt;31,'General Basis'!$B$42,IF(G197&lt;36,'General Basis'!$B$43,IF(G197&lt;41,'General Basis'!$B$44,IF(G197&lt;46,'General Basis'!$B$45,IF(G197&lt;51,'General Basis'!$B$46,IF(G197&lt;56,'General Basis'!$B$47,IF(G197&lt;60,'General Basis'!$B$48,IF(G197&lt;65,'General Basis'!$B$49,'General Basis'!$B$50)))))))))))))</f>
        <v/>
      </c>
      <c r="BI197" s="744" t="str">
        <f t="shared" si="71"/>
        <v/>
      </c>
      <c r="BJ197" s="747" t="str">
        <f t="shared" si="78"/>
        <v/>
      </c>
      <c r="BK197" s="498" t="str">
        <f t="shared" si="72"/>
        <v/>
      </c>
      <c r="BL197" s="498" t="str">
        <f t="shared" si="73"/>
        <v/>
      </c>
    </row>
    <row r="198" spans="1:64" x14ac:dyDescent="0.25">
      <c r="A198" s="762">
        <f t="shared" si="74"/>
        <v>193</v>
      </c>
      <c r="B198" s="229"/>
      <c r="C198" s="223"/>
      <c r="D198" s="224"/>
      <c r="E198" s="225"/>
      <c r="F198" s="1036" t="str">
        <f t="shared" si="80"/>
        <v/>
      </c>
      <c r="G198" s="1037" t="str">
        <f t="shared" si="75"/>
        <v/>
      </c>
      <c r="H198" s="225"/>
      <c r="I198" s="1013"/>
      <c r="J198" s="1013"/>
      <c r="K198" s="1028"/>
      <c r="L198" s="1035" t="str">
        <f t="shared" si="79"/>
        <v/>
      </c>
      <c r="S198" s="498"/>
      <c r="AJ198" s="498"/>
      <c r="AM198" s="498">
        <f t="shared" ref="AM198:AM261" si="82">IF(ISTEXT(B198),1,0)</f>
        <v>0</v>
      </c>
      <c r="AN198" s="498">
        <f t="shared" ref="AN198:AN261" si="83">IF(ISBLANK(B198),0,IF(B198&lt;$AK$6,1,0))</f>
        <v>0</v>
      </c>
      <c r="AO198" s="498">
        <f t="shared" ref="AO198:AO261" si="84">IF(ISBLANK(B198),0,IF(B198&gt;$AK$7,1,0))</f>
        <v>0</v>
      </c>
      <c r="AP198" s="498">
        <f t="shared" si="81"/>
        <v>0</v>
      </c>
      <c r="AQ198" s="498">
        <f t="shared" si="76"/>
        <v>0</v>
      </c>
      <c r="AU198" s="498">
        <f t="shared" ref="AU198:AU261" si="85">IF(ISBLANK(B198),0,1)</f>
        <v>0</v>
      </c>
      <c r="AV198" s="498">
        <f t="shared" ref="AV198:AV261" si="86">IF(ISBLANK(C198),0,1)</f>
        <v>0</v>
      </c>
      <c r="AW198" s="498">
        <f t="shared" ref="AW198:AW261" si="87">IF(ISBLANK(D198),0,1)</f>
        <v>0</v>
      </c>
      <c r="AX198" s="498">
        <f t="shared" ref="AX198:AX261" si="88">IF(ISBLANK(E198),0,1)</f>
        <v>0</v>
      </c>
      <c r="AY198" s="498">
        <f t="shared" ref="AY198:AY261" si="89">IF(ISBLANK(H198),0,1)</f>
        <v>0</v>
      </c>
      <c r="BB198" s="498" t="str">
        <f t="shared" ref="BB198:BB261" si="90">IF(E198="Principal","Principal",IF(E198="","","Other"))</f>
        <v/>
      </c>
      <c r="BC198" s="743" t="str">
        <f t="shared" ref="BC198:BC261" si="91">IF(D198="","",D198)</f>
        <v/>
      </c>
      <c r="BD198" s="743" t="str">
        <f t="shared" ref="BD198:BD261" si="92">IF(E198="Principal","Employee",IF(E198="","","Dependent"))</f>
        <v/>
      </c>
      <c r="BE198" s="743" t="str">
        <f>IF(D198="","",VLOOKUP(D198,'General Basis'!$J$39:$K$46,2,0))</f>
        <v/>
      </c>
      <c r="BF198" s="744" t="str">
        <f>IF(D198="","",VLOOKUP(D198,'General Basis'!$J$39:$L$46,3,0))</f>
        <v/>
      </c>
      <c r="BG198" s="744" t="str">
        <f t="shared" si="77"/>
        <v/>
      </c>
      <c r="BH198" s="744" t="str">
        <f>IF(G198="","",IF(BF198="Abu Dhabi",IF(G198&lt;18,'General Basis'!$C$39,IF(G198&lt;41,'General Basis'!$C$40,IF(G198&lt;60,'General Basis'!$C$41,IF(G198&lt;65,'General Basis'!$C$42,'General Basis'!$C$43)))),IF(G198&lt;11,'General Basis'!$B$39,IF(G198&lt;18,'General Basis'!$B$40,IF(G198&lt;26,'General Basis'!$B$41,IF(G198&lt;31,'General Basis'!$B$42,IF(G198&lt;36,'General Basis'!$B$43,IF(G198&lt;41,'General Basis'!$B$44,IF(G198&lt;46,'General Basis'!$B$45,IF(G198&lt;51,'General Basis'!$B$46,IF(G198&lt;56,'General Basis'!$B$47,IF(G198&lt;60,'General Basis'!$B$48,IF(G198&lt;65,'General Basis'!$B$49,'General Basis'!$B$50)))))))))))))</f>
        <v/>
      </c>
      <c r="BI198" s="744" t="str">
        <f t="shared" ref="BI198:BI261" si="93">IF(C198="","",IF(C198="M","Male","Female"))</f>
        <v/>
      </c>
      <c r="BJ198" s="747" t="str">
        <f t="shared" si="78"/>
        <v/>
      </c>
      <c r="BK198" s="498" t="str">
        <f t="shared" ref="BK198:BK261" si="94">IF(BD198="","",IF(AND(BD198="Employee",BI198="Male",BF198="Abu Dhabi",BE198=GN_Plus),VLOOKUP(BH198,AUH_MALE_EMP,2,0),IF(AND(BD198="Employee",BI198="Male",BF198="Abu Dhabi",BE198=GN),VLOOKUP(BH198,AUH_MALE_EMP,3,0),IF(AND(BD198="Employee",BI198="Male",BF198="Abu Dhabi",BE198=RN_Plus),VLOOKUP(BH198,AUH_MALE_EMP,4,0),IF(AND(BD198="Employee",BI198="Male",BF198="Abu Dhabi",BE198=RN),VLOOKUP(BH198,AUH_MALE_EMP,5,0),IF(AND(BD198="Employee",BI198="Male",BF198="Abu Dhabi",BE198=RN_2),VLOOKUP(BH198,AUH_MALE_EMP,6,0),IF(AND(BD198="Employee",BI198="Male",BF198="Abu Dhabi",BE198=RN2_minus),VLOOKUP(BH198,AUH_MALE_EMP,7,0),IF(AND(BD198="Employee",BI198="Male",BF198="Abu Dhabi",BE198=RN_3),VLOOKUP(BH198,AUH_MALE_EMP,8,0),IF(AND(BD198="Employee",BI198="Male",BF198="Abu Dhabi",BE198=VN),VLOOKUP(BH198,AUH_MALE_EMP,9,0),IF(BD198="","",IF(AND(BD198="Employee",BI198="Female",BF198="Abu Dhabi",BE198=GN_Plus),VLOOKUP(BH198,AUH_FEMALE_EMP,2,0),IF(AND(BD198="Employee",BI198="Female",BF198="Abu Dhabi",BE198=GN),VLOOKUP(BH198,AUH_FEMALE_EMP,3,0),IF(AND(BD198="Employee",BI198="Female",BF198="Abu Dhabi",BE198=RN_Plus),VLOOKUP(BH198,AUH_FEMALE_EMP,4,0),IF(AND(BD198="Employee",BI198="Female",BF198="Abu Dhabi",BE198=RN),VLOOKUP(BH198,AUH_FEMALE_EMP,5,0),IF(AND(BD198="Employee",BI198="Female",BF198="Abu Dhabi",BE198=RN_2),VLOOKUP(BH198,AUH_FEMALE_EMP,6,0),IF(AND(BD198="Employee",BI198="Female",BF198="Abu Dhabi",BE198=RN2_minus),VLOOKUP(BH198,AUH_FEMALE_EMP,7,0),IF(AND(BD198="Employee",BI198="Female",BF198="Abu Dhabi",BE198=RN_3),VLOOKUP(BH198,AUH_FEMALE_EMP,8,0),IF(AND(BD198="Employee",BI198="Female",BF198="Abu Dhabi",BE198=VN),VLOOKUP(BH198,AUH_FEMALE_EMP,9,0),IF(BD198="","",IF(AND(BD198="Dependent",BI198="Male",BF198="Abu Dhabi",BE198=GN_Plus),VLOOKUP(BH198,AUH_MALE_DEP,2,0),IF(AND(BD198="Dependent",BI198="Male",BF198="Abu Dhabi",BE198=GN),VLOOKUP(BH198,AUH_MALE_DEP,3,0),IF(AND(BD198="Dependent",BI198="Male",BF198="Abu Dhabi",BE198=RN_Plus),VLOOKUP(BH198,AUH_MALE_DEP,4,0),IF(AND(BD198="Dependent",BI198="Male",BF198="Abu Dhabi",BE198=RN),VLOOKUP(BH198,AUH_MALE_DEP,5,0),IF(AND(BD198="Dependent",BI198="Male",BF198="Abu Dhabi",BE198=RN_2),VLOOKUP(BH198,AUH_MALE_DEP,6,0),IF(AND(BD198="Dependent",BI198="Male",BF198="Abu Dhabi",BE198=RN2_minus),VLOOKUP(BH198,AUH_MALE_DEP,7,0),IF(AND(BD198="Dependent",BI198="Male",BF198="Abu Dhabi",BE198=RN_3),VLOOKUP(BH198,AUH_MALE_DEP,8,0),IF(AND(BD198="Dependent",BI198="Male",BF198="Abu Dhabi",BE198=VN),VLOOKUP(BH198,AUH_MALE_DEP,9,0),IF(BD198="","",IF(AND(BD198="Dependent",BI198="Female",BF198="Abu Dhabi",BE198=GN_Plus),VLOOKUP(BH198,AUH_FEMALE_DEP,2,0),IF(AND(BD198="Dependent",BI198="Female",BF198="Abu Dhabi",BE198=GN),VLOOKUP(BH198,AUH_FEMALE_DEP,3,0),IF(AND(BD198="Dependent",BI198="Female",BF198="Abu Dhabi",BE198=RN_Plus),VLOOKUP(BH198,AUH_FEMALE_DEP,4,0),IF(AND(BD198="Dependent",BI198="Female",BF198="Abu Dhabi",BE198=RN),VLOOKUP(BH198,AUH_FEMALE_DEP,5,0),IF(AND(BD198="Dependent",BI198="Female",BF198="Abu Dhabi",BE198=RN_2),VLOOKUP(BH198,AUH_FEMALE_DEP,6,0),IF(AND(BD198="Dependent",BI198="Female",BF198="Abu Dhabi",BE198=RN2_minus),VLOOKUP(BH198,AUH_FEMALE_DEP,7,0),IF(AND(BD198="Dependent",BI198="Female",BF198="Abu Dhabi",BE198=RN_3),VLOOKUP(BH198,AUH_FEMALE_DEP,8,0),IF(AND(BD198="Dependent",BI198="Female",BF198="Abu Dhabi",BE198=VN),VLOOKUP(BH198,AUH_FEMALE_DEP,9,0),"ABC"))))))))))))))))))))))))))))))))))))</f>
        <v/>
      </c>
      <c r="BL198" s="498" t="str">
        <f t="shared" ref="BL198:BL261" si="95">IF(BD198="","",IF(AND(BD198="Employee",BI198="Male",BF198="Dubai",BE198=GN_Plus),VLOOKUP(BH198,DXB_MALE_EMP,2,0),IF(AND(BD198="Employee",BI198="Male",BF198="Dubai",BE198=GN),VLOOKUP(BH198,DXB_MALE_EMP,3,0),IF(AND(BD198="Employee",BI198="Male",BF198="Dubai",BE198=RN_Plus),VLOOKUP(BH198,DXB_MALE_EMP,4,0),IF(AND(BD198="Employee",BI198="Male",BF198="Dubai",BE198=RN),VLOOKUP(BH198,DXB_MALE_EMP,5,0),IF(AND(BD198="Employee",BI198="Male",BF198="Dubai",BE198=RN_2),VLOOKUP(BH198,DXB_MALE_EMP,6,0),IF(AND(BD198="Employee",BI198="Male",BF198="Dubai",BE198=RN2_minus),VLOOKUP(BH198,DXB_MALE_EMP,7,0),IF(AND(BD198="Employee",BI198="Male",BF198="Dubai",BE198=RN_3),VLOOKUP(BH198,DXB_MALE_EMP,8,0),IF(AND(BD198="Employee",BI198="Male",BF198="Dubai",BE198=VN),VLOOKUP(BH198,DXB_MALE_EMP,9,0),IF(BD198="","",IF(AND(BD198="Employee",BI198="Female",BF198="Dubai",BE198=GN_Plus),VLOOKUP(BH198,DXB_FEMALE_EMP,2,0),IF(AND(BD198="Employee",BI198="Female",BF198="Dubai",BE198=GN),VLOOKUP(BH198,DXB_FEMALE_EMP,3,0),IF(AND(BD198="Employee",BI198="Female",BF198="Dubai",BE198=RN_Plus),VLOOKUP(BH198,DXB_FEMALE_EMP,4,0),IF(AND(BD198="Employee",BI198="Female",BF198="Dubai",BE198=RN),VLOOKUP(BH198,DXB_FEMALE_EMP,5,0),IF(AND(BD198="Employee",BI198="Female",BF198="Dubai",BE198=RN_2),VLOOKUP(BH198,DXB_FEMALE_EMP,6,0),IF(AND(BD198="Employee",BI198="Female",BF198="Dubai",BE198=RN2_minus),VLOOKUP(BH198,DXB_FEMALE_EMP,7,0),IF(AND(BD198="Employee",BI198="Female",BF198="Dubai",BE198=RN_3),VLOOKUP(BH198,DXB_FEMALE_EMP,8,0),IF(AND(BD198="Employee",BI198="Female",BF198="Dubai",BE198=VN),VLOOKUP(BH198,DXB_FEMALE_EMP,9,0),IF(BD198="","",IF(AND(BD198="Dependent",BI198="Male",BF198="Dubai",BE198=GN_Plus),VLOOKUP(BH198,DXB_MALE_DEP,2,0),IF(AND(BD198="Dependent",BI198="Male",BF198="Dubai",BE198=GN),VLOOKUP(BH198,DXB_MALE_DEP,3,0),IF(AND(BD198="Dependent",BI198="Male",BF198="Dubai",BE198=RN_Plus),VLOOKUP(BH198,DXB_MALE_DEP,4,0),IF(AND(BD198="Dependent",BI198="Male",BF198="Dubai",BE198=RN),VLOOKUP(BH198,DXB_MALE_DEP,5,0),IF(AND(BD198="Dependent",BI198="Male",BF198="Dubai",BE198=RN_2),VLOOKUP(BH198,DXB_MALE_DEP,6,0),IF(AND(BD198="Dependent",BI198="Male",BF198="Dubai",BE198=RN2_minus),VLOOKUP(BH198,DXB_MALE_DEP,7,0),IF(AND(BD198="Dependent",BI198="Male",BF198="Dubai",BE198=RN_3),VLOOKUP(BH198,DXB_MALE_DEP,8,0),IF(AND(BD198="Dependent",BI198="Male",BF198="Dubai",BE198=VN),VLOOKUP(BH198,DXB_MALE_DEP,9,0),IF(BD198="","",IF(AND(BD198="Dependent",BI198="Female",BF198="Dubai",BE198=GN_Plus),VLOOKUP(BH198,DXB_FEMALE_DEP,2,0),IF(AND(BD198="Dependent",BI198="Female",BF198="Dubai",BE198=GN),VLOOKUP(BH198,DXB_FEMALE_DEP,3,0),IF(AND(BD198="Dependent",BI198="Female",BF198="Dubai",BE198=RN_Plus),VLOOKUP(BH198,DXB_FEMALE_DEP,4,0),IF(AND(BD198="Dependent",BI198="Female",BF198="Dubai",BE198=RN),VLOOKUP(BH198,DXB_FEMALE_DEP,5,0),IF(AND(BD198="Dependent",BI198="Female",BF198="Dubai",BE198=RN_2),VLOOKUP(BH198,DXB_FEMALE_DEP,6,0),IF(AND(BD198="Dependent",BI198="Female",BF198="Dubai",BE198=RN2_minus),VLOOKUP(BH198,DXB_FEMALE_DEP,7,0),IF(AND(BD198="Dependent",BI198="Female",BF198="Dubai",BE198=RN_3),VLOOKUP(BH198,DXB_FEMALE_DEP,8,0),IF(AND(BD198="Dependent",BI198="Female",BF198="Dubai",BE198=VN),VLOOKUP(BH198,DXB_FEMALE_DEP,9,0),"ABC"))))))))))))))))))))))))))))))))))))</f>
        <v/>
      </c>
    </row>
    <row r="199" spans="1:64" x14ac:dyDescent="0.25">
      <c r="A199" s="762">
        <f t="shared" ref="A199:A262" si="96">+A198+1</f>
        <v>194</v>
      </c>
      <c r="B199" s="229"/>
      <c r="C199" s="223"/>
      <c r="D199" s="224"/>
      <c r="E199" s="225"/>
      <c r="F199" s="1036" t="str">
        <f t="shared" si="80"/>
        <v/>
      </c>
      <c r="G199" s="1037" t="str">
        <f t="shared" ref="G199:G262" si="97">IF(D199="","",MAX(0,ROUNDUP(F199,0)))</f>
        <v/>
      </c>
      <c r="H199" s="225"/>
      <c r="I199" s="1013"/>
      <c r="J199" s="1013"/>
      <c r="K199" s="1028"/>
      <c r="L199" s="1035" t="str">
        <f t="shared" si="79"/>
        <v/>
      </c>
      <c r="S199" s="498"/>
      <c r="AJ199" s="498"/>
      <c r="AM199" s="498">
        <f t="shared" si="82"/>
        <v>0</v>
      </c>
      <c r="AN199" s="498">
        <f t="shared" si="83"/>
        <v>0</v>
      </c>
      <c r="AO199" s="498">
        <f t="shared" si="84"/>
        <v>0</v>
      </c>
      <c r="AP199" s="498">
        <f t="shared" si="81"/>
        <v>0</v>
      </c>
      <c r="AQ199" s="498">
        <f t="shared" ref="AQ199:AQ262" si="98">IF(ISBLANK($B199),0,IF(OR($H199="Single",$H199="Married"),0,1))</f>
        <v>0</v>
      </c>
      <c r="AU199" s="498">
        <f t="shared" si="85"/>
        <v>0</v>
      </c>
      <c r="AV199" s="498">
        <f t="shared" si="86"/>
        <v>0</v>
      </c>
      <c r="AW199" s="498">
        <f t="shared" si="87"/>
        <v>0</v>
      </c>
      <c r="AX199" s="498">
        <f t="shared" si="88"/>
        <v>0</v>
      </c>
      <c r="AY199" s="498">
        <f t="shared" si="89"/>
        <v>0</v>
      </c>
      <c r="BB199" s="498" t="str">
        <f t="shared" si="90"/>
        <v/>
      </c>
      <c r="BC199" s="743" t="str">
        <f t="shared" si="91"/>
        <v/>
      </c>
      <c r="BD199" s="743" t="str">
        <f t="shared" si="92"/>
        <v/>
      </c>
      <c r="BE199" s="743" t="str">
        <f>IF(D199="","",VLOOKUP(D199,'General Basis'!$J$39:$K$46,2,0))</f>
        <v/>
      </c>
      <c r="BF199" s="744" t="str">
        <f>IF(D199="","",VLOOKUP(D199,'General Basis'!$J$39:$L$46,3,0))</f>
        <v/>
      </c>
      <c r="BG199" s="744" t="str">
        <f t="shared" ref="BG199:BG262" si="99">BC199&amp;BI199</f>
        <v/>
      </c>
      <c r="BH199" s="744" t="str">
        <f>IF(G199="","",IF(BF199="Abu Dhabi",IF(G199&lt;18,'General Basis'!$C$39,IF(G199&lt;41,'General Basis'!$C$40,IF(G199&lt;60,'General Basis'!$C$41,IF(G199&lt;65,'General Basis'!$C$42,'General Basis'!$C$43)))),IF(G199&lt;11,'General Basis'!$B$39,IF(G199&lt;18,'General Basis'!$B$40,IF(G199&lt;26,'General Basis'!$B$41,IF(G199&lt;31,'General Basis'!$B$42,IF(G199&lt;36,'General Basis'!$B$43,IF(G199&lt;41,'General Basis'!$B$44,IF(G199&lt;46,'General Basis'!$B$45,IF(G199&lt;51,'General Basis'!$B$46,IF(G199&lt;56,'General Basis'!$B$47,IF(G199&lt;60,'General Basis'!$B$48,IF(G199&lt;65,'General Basis'!$B$49,'General Basis'!$B$50)))))))))))))</f>
        <v/>
      </c>
      <c r="BI199" s="744" t="str">
        <f t="shared" si="93"/>
        <v/>
      </c>
      <c r="BJ199" s="747" t="str">
        <f t="shared" ref="BJ199:BJ262" si="100">IF(BD199="","",IF(BF199="Abu Dhabi",BK199,BL199))</f>
        <v/>
      </c>
      <c r="BK199" s="498" t="str">
        <f t="shared" si="94"/>
        <v/>
      </c>
      <c r="BL199" s="498" t="str">
        <f t="shared" si="95"/>
        <v/>
      </c>
    </row>
    <row r="200" spans="1:64" x14ac:dyDescent="0.25">
      <c r="A200" s="762">
        <f t="shared" si="96"/>
        <v>195</v>
      </c>
      <c r="B200" s="229"/>
      <c r="C200" s="223"/>
      <c r="D200" s="224"/>
      <c r="E200" s="225"/>
      <c r="F200" s="1036" t="str">
        <f t="shared" si="80"/>
        <v/>
      </c>
      <c r="G200" s="1037" t="str">
        <f t="shared" si="97"/>
        <v/>
      </c>
      <c r="H200" s="225"/>
      <c r="I200" s="1013"/>
      <c r="J200" s="1013"/>
      <c r="K200" s="1028"/>
      <c r="L200" s="1035" t="str">
        <f t="shared" ref="L200:L263" si="101">IF(AND(E200="Child",H200="Married"),"Check the Marital Status of the Child. ",IF(AND(E200="Child",F200&gt;18),"Child Age exceed 18 years. ",IF(AND(E200="Spouse",H200="Single"),"Spouse is selected as Single. ","")))&amp;IF(K200&gt;0,"UW Loading has been Applied","")</f>
        <v/>
      </c>
      <c r="S200" s="498"/>
      <c r="AJ200" s="498"/>
      <c r="AM200" s="498">
        <f t="shared" si="82"/>
        <v>0</v>
      </c>
      <c r="AN200" s="498">
        <f t="shared" si="83"/>
        <v>0</v>
      </c>
      <c r="AO200" s="498">
        <f t="shared" si="84"/>
        <v>0</v>
      </c>
      <c r="AP200" s="498">
        <f t="shared" si="81"/>
        <v>0</v>
      </c>
      <c r="AQ200" s="498">
        <f t="shared" si="98"/>
        <v>0</v>
      </c>
      <c r="AU200" s="498">
        <f t="shared" si="85"/>
        <v>0</v>
      </c>
      <c r="AV200" s="498">
        <f t="shared" si="86"/>
        <v>0</v>
      </c>
      <c r="AW200" s="498">
        <f t="shared" si="87"/>
        <v>0</v>
      </c>
      <c r="AX200" s="498">
        <f t="shared" si="88"/>
        <v>0</v>
      </c>
      <c r="AY200" s="498">
        <f t="shared" si="89"/>
        <v>0</v>
      </c>
      <c r="BB200" s="498" t="str">
        <f t="shared" si="90"/>
        <v/>
      </c>
      <c r="BC200" s="743" t="str">
        <f t="shared" si="91"/>
        <v/>
      </c>
      <c r="BD200" s="743" t="str">
        <f t="shared" si="92"/>
        <v/>
      </c>
      <c r="BE200" s="743" t="str">
        <f>IF(D200="","",VLOOKUP(D200,'General Basis'!$J$39:$K$46,2,0))</f>
        <v/>
      </c>
      <c r="BF200" s="744" t="str">
        <f>IF(D200="","",VLOOKUP(D200,'General Basis'!$J$39:$L$46,3,0))</f>
        <v/>
      </c>
      <c r="BG200" s="744" t="str">
        <f t="shared" si="99"/>
        <v/>
      </c>
      <c r="BH200" s="744" t="str">
        <f>IF(G200="","",IF(BF200="Abu Dhabi",IF(G200&lt;18,'General Basis'!$C$39,IF(G200&lt;41,'General Basis'!$C$40,IF(G200&lt;60,'General Basis'!$C$41,IF(G200&lt;65,'General Basis'!$C$42,'General Basis'!$C$43)))),IF(G200&lt;11,'General Basis'!$B$39,IF(G200&lt;18,'General Basis'!$B$40,IF(G200&lt;26,'General Basis'!$B$41,IF(G200&lt;31,'General Basis'!$B$42,IF(G200&lt;36,'General Basis'!$B$43,IF(G200&lt;41,'General Basis'!$B$44,IF(G200&lt;46,'General Basis'!$B$45,IF(G200&lt;51,'General Basis'!$B$46,IF(G200&lt;56,'General Basis'!$B$47,IF(G200&lt;60,'General Basis'!$B$48,IF(G200&lt;65,'General Basis'!$B$49,'General Basis'!$B$50)))))))))))))</f>
        <v/>
      </c>
      <c r="BI200" s="744" t="str">
        <f t="shared" si="93"/>
        <v/>
      </c>
      <c r="BJ200" s="747" t="str">
        <f t="shared" si="100"/>
        <v/>
      </c>
      <c r="BK200" s="498" t="str">
        <f t="shared" si="94"/>
        <v/>
      </c>
      <c r="BL200" s="498" t="str">
        <f t="shared" si="95"/>
        <v/>
      </c>
    </row>
    <row r="201" spans="1:64" x14ac:dyDescent="0.25">
      <c r="A201" s="762">
        <f t="shared" si="96"/>
        <v>196</v>
      </c>
      <c r="B201" s="229"/>
      <c r="C201" s="223"/>
      <c r="D201" s="224"/>
      <c r="E201" s="225"/>
      <c r="F201" s="1036" t="str">
        <f t="shared" si="80"/>
        <v/>
      </c>
      <c r="G201" s="1037" t="str">
        <f t="shared" si="97"/>
        <v/>
      </c>
      <c r="H201" s="225"/>
      <c r="I201" s="1013"/>
      <c r="J201" s="1013"/>
      <c r="K201" s="1028"/>
      <c r="L201" s="1035" t="str">
        <f t="shared" si="101"/>
        <v/>
      </c>
      <c r="S201" s="498"/>
      <c r="AJ201" s="498"/>
      <c r="AM201" s="498">
        <f t="shared" si="82"/>
        <v>0</v>
      </c>
      <c r="AN201" s="498">
        <f t="shared" si="83"/>
        <v>0</v>
      </c>
      <c r="AO201" s="498">
        <f t="shared" si="84"/>
        <v>0</v>
      </c>
      <c r="AP201" s="498">
        <f t="shared" si="81"/>
        <v>0</v>
      </c>
      <c r="AQ201" s="498">
        <f t="shared" si="98"/>
        <v>0</v>
      </c>
      <c r="AU201" s="498">
        <f t="shared" si="85"/>
        <v>0</v>
      </c>
      <c r="AV201" s="498">
        <f t="shared" si="86"/>
        <v>0</v>
      </c>
      <c r="AW201" s="498">
        <f t="shared" si="87"/>
        <v>0</v>
      </c>
      <c r="AX201" s="498">
        <f t="shared" si="88"/>
        <v>0</v>
      </c>
      <c r="AY201" s="498">
        <f t="shared" si="89"/>
        <v>0</v>
      </c>
      <c r="BB201" s="498" t="str">
        <f t="shared" si="90"/>
        <v/>
      </c>
      <c r="BC201" s="743" t="str">
        <f t="shared" si="91"/>
        <v/>
      </c>
      <c r="BD201" s="743" t="str">
        <f t="shared" si="92"/>
        <v/>
      </c>
      <c r="BE201" s="743" t="str">
        <f>IF(D201="","",VLOOKUP(D201,'General Basis'!$J$39:$K$46,2,0))</f>
        <v/>
      </c>
      <c r="BF201" s="744" t="str">
        <f>IF(D201="","",VLOOKUP(D201,'General Basis'!$J$39:$L$46,3,0))</f>
        <v/>
      </c>
      <c r="BG201" s="744" t="str">
        <f t="shared" si="99"/>
        <v/>
      </c>
      <c r="BH201" s="744" t="str">
        <f>IF(G201="","",IF(BF201="Abu Dhabi",IF(G201&lt;18,'General Basis'!$C$39,IF(G201&lt;41,'General Basis'!$C$40,IF(G201&lt;60,'General Basis'!$C$41,IF(G201&lt;65,'General Basis'!$C$42,'General Basis'!$C$43)))),IF(G201&lt;11,'General Basis'!$B$39,IF(G201&lt;18,'General Basis'!$B$40,IF(G201&lt;26,'General Basis'!$B$41,IF(G201&lt;31,'General Basis'!$B$42,IF(G201&lt;36,'General Basis'!$B$43,IF(G201&lt;41,'General Basis'!$B$44,IF(G201&lt;46,'General Basis'!$B$45,IF(G201&lt;51,'General Basis'!$B$46,IF(G201&lt;56,'General Basis'!$B$47,IF(G201&lt;60,'General Basis'!$B$48,IF(G201&lt;65,'General Basis'!$B$49,'General Basis'!$B$50)))))))))))))</f>
        <v/>
      </c>
      <c r="BI201" s="744" t="str">
        <f t="shared" si="93"/>
        <v/>
      </c>
      <c r="BJ201" s="747" t="str">
        <f t="shared" si="100"/>
        <v/>
      </c>
      <c r="BK201" s="498" t="str">
        <f t="shared" si="94"/>
        <v/>
      </c>
      <c r="BL201" s="498" t="str">
        <f t="shared" si="95"/>
        <v/>
      </c>
    </row>
    <row r="202" spans="1:64" x14ac:dyDescent="0.25">
      <c r="A202" s="762">
        <f t="shared" si="96"/>
        <v>197</v>
      </c>
      <c r="B202" s="229"/>
      <c r="C202" s="223"/>
      <c r="D202" s="224"/>
      <c r="E202" s="225"/>
      <c r="F202" s="1036" t="str">
        <f t="shared" si="80"/>
        <v/>
      </c>
      <c r="G202" s="1037" t="str">
        <f t="shared" si="97"/>
        <v/>
      </c>
      <c r="H202" s="225"/>
      <c r="I202" s="1013"/>
      <c r="J202" s="1013"/>
      <c r="K202" s="1028"/>
      <c r="L202" s="1035" t="str">
        <f t="shared" si="101"/>
        <v/>
      </c>
      <c r="S202" s="498"/>
      <c r="AJ202" s="498"/>
      <c r="AM202" s="498">
        <f t="shared" si="82"/>
        <v>0</v>
      </c>
      <c r="AN202" s="498">
        <f t="shared" si="83"/>
        <v>0</v>
      </c>
      <c r="AO202" s="498">
        <f t="shared" si="84"/>
        <v>0</v>
      </c>
      <c r="AP202" s="498">
        <f t="shared" si="81"/>
        <v>0</v>
      </c>
      <c r="AQ202" s="498">
        <f t="shared" si="98"/>
        <v>0</v>
      </c>
      <c r="AU202" s="498">
        <f t="shared" si="85"/>
        <v>0</v>
      </c>
      <c r="AV202" s="498">
        <f t="shared" si="86"/>
        <v>0</v>
      </c>
      <c r="AW202" s="498">
        <f t="shared" si="87"/>
        <v>0</v>
      </c>
      <c r="AX202" s="498">
        <f t="shared" si="88"/>
        <v>0</v>
      </c>
      <c r="AY202" s="498">
        <f t="shared" si="89"/>
        <v>0</v>
      </c>
      <c r="BB202" s="498" t="str">
        <f t="shared" si="90"/>
        <v/>
      </c>
      <c r="BC202" s="743" t="str">
        <f t="shared" si="91"/>
        <v/>
      </c>
      <c r="BD202" s="743" t="str">
        <f t="shared" si="92"/>
        <v/>
      </c>
      <c r="BE202" s="743" t="str">
        <f>IF(D202="","",VLOOKUP(D202,'General Basis'!$J$39:$K$46,2,0))</f>
        <v/>
      </c>
      <c r="BF202" s="744" t="str">
        <f>IF(D202="","",VLOOKUP(D202,'General Basis'!$J$39:$L$46,3,0))</f>
        <v/>
      </c>
      <c r="BG202" s="744" t="str">
        <f t="shared" si="99"/>
        <v/>
      </c>
      <c r="BH202" s="744" t="str">
        <f>IF(G202="","",IF(BF202="Abu Dhabi",IF(G202&lt;18,'General Basis'!$C$39,IF(G202&lt;41,'General Basis'!$C$40,IF(G202&lt;60,'General Basis'!$C$41,IF(G202&lt;65,'General Basis'!$C$42,'General Basis'!$C$43)))),IF(G202&lt;11,'General Basis'!$B$39,IF(G202&lt;18,'General Basis'!$B$40,IF(G202&lt;26,'General Basis'!$B$41,IF(G202&lt;31,'General Basis'!$B$42,IF(G202&lt;36,'General Basis'!$B$43,IF(G202&lt;41,'General Basis'!$B$44,IF(G202&lt;46,'General Basis'!$B$45,IF(G202&lt;51,'General Basis'!$B$46,IF(G202&lt;56,'General Basis'!$B$47,IF(G202&lt;60,'General Basis'!$B$48,IF(G202&lt;65,'General Basis'!$B$49,'General Basis'!$B$50)))))))))))))</f>
        <v/>
      </c>
      <c r="BI202" s="744" t="str">
        <f t="shared" si="93"/>
        <v/>
      </c>
      <c r="BJ202" s="747" t="str">
        <f t="shared" si="100"/>
        <v/>
      </c>
      <c r="BK202" s="498" t="str">
        <f t="shared" si="94"/>
        <v/>
      </c>
      <c r="BL202" s="498" t="str">
        <f t="shared" si="95"/>
        <v/>
      </c>
    </row>
    <row r="203" spans="1:64" x14ac:dyDescent="0.25">
      <c r="A203" s="762">
        <f t="shared" si="96"/>
        <v>198</v>
      </c>
      <c r="B203" s="229"/>
      <c r="C203" s="223"/>
      <c r="D203" s="224"/>
      <c r="E203" s="225"/>
      <c r="F203" s="1036" t="str">
        <f t="shared" si="80"/>
        <v/>
      </c>
      <c r="G203" s="1037" t="str">
        <f t="shared" si="97"/>
        <v/>
      </c>
      <c r="H203" s="225"/>
      <c r="I203" s="1013"/>
      <c r="J203" s="1013"/>
      <c r="K203" s="1028"/>
      <c r="L203" s="1035" t="str">
        <f t="shared" si="101"/>
        <v/>
      </c>
      <c r="S203" s="498"/>
      <c r="AJ203" s="498"/>
      <c r="AM203" s="498">
        <f t="shared" si="82"/>
        <v>0</v>
      </c>
      <c r="AN203" s="498">
        <f t="shared" si="83"/>
        <v>0</v>
      </c>
      <c r="AO203" s="498">
        <f t="shared" si="84"/>
        <v>0</v>
      </c>
      <c r="AP203" s="498">
        <f t="shared" si="81"/>
        <v>0</v>
      </c>
      <c r="AQ203" s="498">
        <f t="shared" si="98"/>
        <v>0</v>
      </c>
      <c r="AU203" s="498">
        <f t="shared" si="85"/>
        <v>0</v>
      </c>
      <c r="AV203" s="498">
        <f t="shared" si="86"/>
        <v>0</v>
      </c>
      <c r="AW203" s="498">
        <f t="shared" si="87"/>
        <v>0</v>
      </c>
      <c r="AX203" s="498">
        <f t="shared" si="88"/>
        <v>0</v>
      </c>
      <c r="AY203" s="498">
        <f t="shared" si="89"/>
        <v>0</v>
      </c>
      <c r="BB203" s="498" t="str">
        <f t="shared" si="90"/>
        <v/>
      </c>
      <c r="BC203" s="743" t="str">
        <f t="shared" si="91"/>
        <v/>
      </c>
      <c r="BD203" s="743" t="str">
        <f t="shared" si="92"/>
        <v/>
      </c>
      <c r="BE203" s="743" t="str">
        <f>IF(D203="","",VLOOKUP(D203,'General Basis'!$J$39:$K$46,2,0))</f>
        <v/>
      </c>
      <c r="BF203" s="744" t="str">
        <f>IF(D203="","",VLOOKUP(D203,'General Basis'!$J$39:$L$46,3,0))</f>
        <v/>
      </c>
      <c r="BG203" s="744" t="str">
        <f t="shared" si="99"/>
        <v/>
      </c>
      <c r="BH203" s="744" t="str">
        <f>IF(G203="","",IF(BF203="Abu Dhabi",IF(G203&lt;18,'General Basis'!$C$39,IF(G203&lt;41,'General Basis'!$C$40,IF(G203&lt;60,'General Basis'!$C$41,IF(G203&lt;65,'General Basis'!$C$42,'General Basis'!$C$43)))),IF(G203&lt;11,'General Basis'!$B$39,IF(G203&lt;18,'General Basis'!$B$40,IF(G203&lt;26,'General Basis'!$B$41,IF(G203&lt;31,'General Basis'!$B$42,IF(G203&lt;36,'General Basis'!$B$43,IF(G203&lt;41,'General Basis'!$B$44,IF(G203&lt;46,'General Basis'!$B$45,IF(G203&lt;51,'General Basis'!$B$46,IF(G203&lt;56,'General Basis'!$B$47,IF(G203&lt;60,'General Basis'!$B$48,IF(G203&lt;65,'General Basis'!$B$49,'General Basis'!$B$50)))))))))))))</f>
        <v/>
      </c>
      <c r="BI203" s="744" t="str">
        <f t="shared" si="93"/>
        <v/>
      </c>
      <c r="BJ203" s="747" t="str">
        <f t="shared" si="100"/>
        <v/>
      </c>
      <c r="BK203" s="498" t="str">
        <f t="shared" si="94"/>
        <v/>
      </c>
      <c r="BL203" s="498" t="str">
        <f t="shared" si="95"/>
        <v/>
      </c>
    </row>
    <row r="204" spans="1:64" x14ac:dyDescent="0.25">
      <c r="A204" s="762">
        <f t="shared" si="96"/>
        <v>199</v>
      </c>
      <c r="B204" s="229"/>
      <c r="C204" s="223"/>
      <c r="D204" s="224"/>
      <c r="E204" s="225"/>
      <c r="F204" s="1036" t="str">
        <f t="shared" si="80"/>
        <v/>
      </c>
      <c r="G204" s="1037" t="str">
        <f t="shared" si="97"/>
        <v/>
      </c>
      <c r="H204" s="225"/>
      <c r="I204" s="1013"/>
      <c r="J204" s="1013"/>
      <c r="K204" s="1028"/>
      <c r="L204" s="1035" t="str">
        <f t="shared" si="101"/>
        <v/>
      </c>
      <c r="S204" s="498"/>
      <c r="AJ204" s="498"/>
      <c r="AM204" s="498">
        <f t="shared" si="82"/>
        <v>0</v>
      </c>
      <c r="AN204" s="498">
        <f t="shared" si="83"/>
        <v>0</v>
      </c>
      <c r="AO204" s="498">
        <f t="shared" si="84"/>
        <v>0</v>
      </c>
      <c r="AP204" s="498">
        <f t="shared" si="81"/>
        <v>0</v>
      </c>
      <c r="AQ204" s="498">
        <f t="shared" si="98"/>
        <v>0</v>
      </c>
      <c r="AU204" s="498">
        <f t="shared" si="85"/>
        <v>0</v>
      </c>
      <c r="AV204" s="498">
        <f t="shared" si="86"/>
        <v>0</v>
      </c>
      <c r="AW204" s="498">
        <f t="shared" si="87"/>
        <v>0</v>
      </c>
      <c r="AX204" s="498">
        <f t="shared" si="88"/>
        <v>0</v>
      </c>
      <c r="AY204" s="498">
        <f t="shared" si="89"/>
        <v>0</v>
      </c>
      <c r="BB204" s="498" t="str">
        <f t="shared" si="90"/>
        <v/>
      </c>
      <c r="BC204" s="743" t="str">
        <f t="shared" si="91"/>
        <v/>
      </c>
      <c r="BD204" s="743" t="str">
        <f t="shared" si="92"/>
        <v/>
      </c>
      <c r="BE204" s="743" t="str">
        <f>IF(D204="","",VLOOKUP(D204,'General Basis'!$J$39:$K$46,2,0))</f>
        <v/>
      </c>
      <c r="BF204" s="744" t="str">
        <f>IF(D204="","",VLOOKUP(D204,'General Basis'!$J$39:$L$46,3,0))</f>
        <v/>
      </c>
      <c r="BG204" s="744" t="str">
        <f t="shared" si="99"/>
        <v/>
      </c>
      <c r="BH204" s="744" t="str">
        <f>IF(G204="","",IF(BF204="Abu Dhabi",IF(G204&lt;18,'General Basis'!$C$39,IF(G204&lt;41,'General Basis'!$C$40,IF(G204&lt;60,'General Basis'!$C$41,IF(G204&lt;65,'General Basis'!$C$42,'General Basis'!$C$43)))),IF(G204&lt;11,'General Basis'!$B$39,IF(G204&lt;18,'General Basis'!$B$40,IF(G204&lt;26,'General Basis'!$B$41,IF(G204&lt;31,'General Basis'!$B$42,IF(G204&lt;36,'General Basis'!$B$43,IF(G204&lt;41,'General Basis'!$B$44,IF(G204&lt;46,'General Basis'!$B$45,IF(G204&lt;51,'General Basis'!$B$46,IF(G204&lt;56,'General Basis'!$B$47,IF(G204&lt;60,'General Basis'!$B$48,IF(G204&lt;65,'General Basis'!$B$49,'General Basis'!$B$50)))))))))))))</f>
        <v/>
      </c>
      <c r="BI204" s="744" t="str">
        <f t="shared" si="93"/>
        <v/>
      </c>
      <c r="BJ204" s="747" t="str">
        <f t="shared" si="100"/>
        <v/>
      </c>
      <c r="BK204" s="498" t="str">
        <f t="shared" si="94"/>
        <v/>
      </c>
      <c r="BL204" s="498" t="str">
        <f t="shared" si="95"/>
        <v/>
      </c>
    </row>
    <row r="205" spans="1:64" x14ac:dyDescent="0.25">
      <c r="A205" s="762">
        <f t="shared" si="96"/>
        <v>200</v>
      </c>
      <c r="B205" s="229"/>
      <c r="C205" s="223"/>
      <c r="D205" s="224"/>
      <c r="E205" s="225"/>
      <c r="F205" s="1036" t="str">
        <f t="shared" si="80"/>
        <v/>
      </c>
      <c r="G205" s="1037" t="str">
        <f t="shared" si="97"/>
        <v/>
      </c>
      <c r="H205" s="225"/>
      <c r="I205" s="1013"/>
      <c r="J205" s="1013"/>
      <c r="K205" s="1028"/>
      <c r="L205" s="1035" t="str">
        <f t="shared" si="101"/>
        <v/>
      </c>
      <c r="S205" s="498"/>
      <c r="AJ205" s="498"/>
      <c r="AM205" s="498">
        <f t="shared" si="82"/>
        <v>0</v>
      </c>
      <c r="AN205" s="498">
        <f t="shared" si="83"/>
        <v>0</v>
      </c>
      <c r="AO205" s="498">
        <f t="shared" si="84"/>
        <v>0</v>
      </c>
      <c r="AP205" s="498">
        <f t="shared" si="81"/>
        <v>0</v>
      </c>
      <c r="AQ205" s="498">
        <f t="shared" si="98"/>
        <v>0</v>
      </c>
      <c r="AU205" s="498">
        <f t="shared" si="85"/>
        <v>0</v>
      </c>
      <c r="AV205" s="498">
        <f t="shared" si="86"/>
        <v>0</v>
      </c>
      <c r="AW205" s="498">
        <f t="shared" si="87"/>
        <v>0</v>
      </c>
      <c r="AX205" s="498">
        <f t="shared" si="88"/>
        <v>0</v>
      </c>
      <c r="AY205" s="498">
        <f t="shared" si="89"/>
        <v>0</v>
      </c>
      <c r="BB205" s="498" t="str">
        <f t="shared" si="90"/>
        <v/>
      </c>
      <c r="BC205" s="743" t="str">
        <f t="shared" si="91"/>
        <v/>
      </c>
      <c r="BD205" s="743" t="str">
        <f t="shared" si="92"/>
        <v/>
      </c>
      <c r="BE205" s="743" t="str">
        <f>IF(D205="","",VLOOKUP(D205,'General Basis'!$J$39:$K$46,2,0))</f>
        <v/>
      </c>
      <c r="BF205" s="744" t="str">
        <f>IF(D205="","",VLOOKUP(D205,'General Basis'!$J$39:$L$46,3,0))</f>
        <v/>
      </c>
      <c r="BG205" s="744" t="str">
        <f t="shared" si="99"/>
        <v/>
      </c>
      <c r="BH205" s="744" t="str">
        <f>IF(G205="","",IF(BF205="Abu Dhabi",IF(G205&lt;18,'General Basis'!$C$39,IF(G205&lt;41,'General Basis'!$C$40,IF(G205&lt;60,'General Basis'!$C$41,IF(G205&lt;65,'General Basis'!$C$42,'General Basis'!$C$43)))),IF(G205&lt;11,'General Basis'!$B$39,IF(G205&lt;18,'General Basis'!$B$40,IF(G205&lt;26,'General Basis'!$B$41,IF(G205&lt;31,'General Basis'!$B$42,IF(G205&lt;36,'General Basis'!$B$43,IF(G205&lt;41,'General Basis'!$B$44,IF(G205&lt;46,'General Basis'!$B$45,IF(G205&lt;51,'General Basis'!$B$46,IF(G205&lt;56,'General Basis'!$B$47,IF(G205&lt;60,'General Basis'!$B$48,IF(G205&lt;65,'General Basis'!$B$49,'General Basis'!$B$50)))))))))))))</f>
        <v/>
      </c>
      <c r="BI205" s="744" t="str">
        <f t="shared" si="93"/>
        <v/>
      </c>
      <c r="BJ205" s="747" t="str">
        <f t="shared" si="100"/>
        <v/>
      </c>
      <c r="BK205" s="498" t="str">
        <f t="shared" si="94"/>
        <v/>
      </c>
      <c r="BL205" s="498" t="str">
        <f t="shared" si="95"/>
        <v/>
      </c>
    </row>
    <row r="206" spans="1:64" x14ac:dyDescent="0.25">
      <c r="A206" s="762">
        <f t="shared" si="96"/>
        <v>201</v>
      </c>
      <c r="B206" s="229"/>
      <c r="C206" s="223"/>
      <c r="D206" s="224"/>
      <c r="E206" s="225"/>
      <c r="F206" s="1036" t="str">
        <f t="shared" si="80"/>
        <v/>
      </c>
      <c r="G206" s="1037" t="str">
        <f t="shared" si="97"/>
        <v/>
      </c>
      <c r="H206" s="225"/>
      <c r="I206" s="1013"/>
      <c r="J206" s="1013"/>
      <c r="K206" s="1028"/>
      <c r="L206" s="1035" t="str">
        <f t="shared" si="101"/>
        <v/>
      </c>
      <c r="S206" s="498"/>
      <c r="AJ206" s="498"/>
      <c r="AM206" s="498">
        <f t="shared" si="82"/>
        <v>0</v>
      </c>
      <c r="AN206" s="498">
        <f t="shared" si="83"/>
        <v>0</v>
      </c>
      <c r="AO206" s="498">
        <f t="shared" si="84"/>
        <v>0</v>
      </c>
      <c r="AP206" s="498">
        <f t="shared" si="81"/>
        <v>0</v>
      </c>
      <c r="AQ206" s="498">
        <f t="shared" si="98"/>
        <v>0</v>
      </c>
      <c r="AU206" s="498">
        <f t="shared" si="85"/>
        <v>0</v>
      </c>
      <c r="AV206" s="498">
        <f t="shared" si="86"/>
        <v>0</v>
      </c>
      <c r="AW206" s="498">
        <f t="shared" si="87"/>
        <v>0</v>
      </c>
      <c r="AX206" s="498">
        <f t="shared" si="88"/>
        <v>0</v>
      </c>
      <c r="AY206" s="498">
        <f t="shared" si="89"/>
        <v>0</v>
      </c>
      <c r="BB206" s="498" t="str">
        <f t="shared" si="90"/>
        <v/>
      </c>
      <c r="BC206" s="743" t="str">
        <f t="shared" si="91"/>
        <v/>
      </c>
      <c r="BD206" s="743" t="str">
        <f t="shared" si="92"/>
        <v/>
      </c>
      <c r="BE206" s="743" t="str">
        <f>IF(D206="","",VLOOKUP(D206,'General Basis'!$J$39:$K$46,2,0))</f>
        <v/>
      </c>
      <c r="BF206" s="744" t="str">
        <f>IF(D206="","",VLOOKUP(D206,'General Basis'!$J$39:$L$46,3,0))</f>
        <v/>
      </c>
      <c r="BG206" s="744" t="str">
        <f t="shared" si="99"/>
        <v/>
      </c>
      <c r="BH206" s="744" t="str">
        <f>IF(G206="","",IF(BF206="Abu Dhabi",IF(G206&lt;18,'General Basis'!$C$39,IF(G206&lt;41,'General Basis'!$C$40,IF(G206&lt;60,'General Basis'!$C$41,IF(G206&lt;65,'General Basis'!$C$42,'General Basis'!$C$43)))),IF(G206&lt;11,'General Basis'!$B$39,IF(G206&lt;18,'General Basis'!$B$40,IF(G206&lt;26,'General Basis'!$B$41,IF(G206&lt;31,'General Basis'!$B$42,IF(G206&lt;36,'General Basis'!$B$43,IF(G206&lt;41,'General Basis'!$B$44,IF(G206&lt;46,'General Basis'!$B$45,IF(G206&lt;51,'General Basis'!$B$46,IF(G206&lt;56,'General Basis'!$B$47,IF(G206&lt;60,'General Basis'!$B$48,IF(G206&lt;65,'General Basis'!$B$49,'General Basis'!$B$50)))))))))))))</f>
        <v/>
      </c>
      <c r="BI206" s="744" t="str">
        <f t="shared" si="93"/>
        <v/>
      </c>
      <c r="BJ206" s="747" t="str">
        <f t="shared" si="100"/>
        <v/>
      </c>
      <c r="BK206" s="498" t="str">
        <f t="shared" si="94"/>
        <v/>
      </c>
      <c r="BL206" s="498" t="str">
        <f t="shared" si="95"/>
        <v/>
      </c>
    </row>
    <row r="207" spans="1:64" x14ac:dyDescent="0.25">
      <c r="A207" s="762">
        <f t="shared" si="96"/>
        <v>202</v>
      </c>
      <c r="B207" s="229"/>
      <c r="C207" s="223"/>
      <c r="D207" s="224"/>
      <c r="E207" s="225"/>
      <c r="F207" s="1036" t="str">
        <f t="shared" si="80"/>
        <v/>
      </c>
      <c r="G207" s="1037" t="str">
        <f t="shared" si="97"/>
        <v/>
      </c>
      <c r="H207" s="225"/>
      <c r="I207" s="1013"/>
      <c r="J207" s="1013"/>
      <c r="K207" s="1028"/>
      <c r="L207" s="1035" t="str">
        <f t="shared" si="101"/>
        <v/>
      </c>
      <c r="S207" s="498"/>
      <c r="AJ207" s="498"/>
      <c r="AM207" s="498">
        <f t="shared" si="82"/>
        <v>0</v>
      </c>
      <c r="AN207" s="498">
        <f t="shared" si="83"/>
        <v>0</v>
      </c>
      <c r="AO207" s="498">
        <f t="shared" si="84"/>
        <v>0</v>
      </c>
      <c r="AP207" s="498">
        <f t="shared" si="81"/>
        <v>0</v>
      </c>
      <c r="AQ207" s="498">
        <f t="shared" si="98"/>
        <v>0</v>
      </c>
      <c r="AU207" s="498">
        <f t="shared" si="85"/>
        <v>0</v>
      </c>
      <c r="AV207" s="498">
        <f t="shared" si="86"/>
        <v>0</v>
      </c>
      <c r="AW207" s="498">
        <f t="shared" si="87"/>
        <v>0</v>
      </c>
      <c r="AX207" s="498">
        <f t="shared" si="88"/>
        <v>0</v>
      </c>
      <c r="AY207" s="498">
        <f t="shared" si="89"/>
        <v>0</v>
      </c>
      <c r="BB207" s="498" t="str">
        <f t="shared" si="90"/>
        <v/>
      </c>
      <c r="BC207" s="743" t="str">
        <f t="shared" si="91"/>
        <v/>
      </c>
      <c r="BD207" s="743" t="str">
        <f t="shared" si="92"/>
        <v/>
      </c>
      <c r="BE207" s="743" t="str">
        <f>IF(D207="","",VLOOKUP(D207,'General Basis'!$J$39:$K$46,2,0))</f>
        <v/>
      </c>
      <c r="BF207" s="744" t="str">
        <f>IF(D207="","",VLOOKUP(D207,'General Basis'!$J$39:$L$46,3,0))</f>
        <v/>
      </c>
      <c r="BG207" s="744" t="str">
        <f t="shared" si="99"/>
        <v/>
      </c>
      <c r="BH207" s="744" t="str">
        <f>IF(G207="","",IF(BF207="Abu Dhabi",IF(G207&lt;18,'General Basis'!$C$39,IF(G207&lt;41,'General Basis'!$C$40,IF(G207&lt;60,'General Basis'!$C$41,IF(G207&lt;65,'General Basis'!$C$42,'General Basis'!$C$43)))),IF(G207&lt;11,'General Basis'!$B$39,IF(G207&lt;18,'General Basis'!$B$40,IF(G207&lt;26,'General Basis'!$B$41,IF(G207&lt;31,'General Basis'!$B$42,IF(G207&lt;36,'General Basis'!$B$43,IF(G207&lt;41,'General Basis'!$B$44,IF(G207&lt;46,'General Basis'!$B$45,IF(G207&lt;51,'General Basis'!$B$46,IF(G207&lt;56,'General Basis'!$B$47,IF(G207&lt;60,'General Basis'!$B$48,IF(G207&lt;65,'General Basis'!$B$49,'General Basis'!$B$50)))))))))))))</f>
        <v/>
      </c>
      <c r="BI207" s="744" t="str">
        <f t="shared" si="93"/>
        <v/>
      </c>
      <c r="BJ207" s="747" t="str">
        <f t="shared" si="100"/>
        <v/>
      </c>
      <c r="BK207" s="498" t="str">
        <f t="shared" si="94"/>
        <v/>
      </c>
      <c r="BL207" s="498" t="str">
        <f t="shared" si="95"/>
        <v/>
      </c>
    </row>
    <row r="208" spans="1:64" x14ac:dyDescent="0.25">
      <c r="A208" s="762">
        <f t="shared" si="96"/>
        <v>203</v>
      </c>
      <c r="B208" s="229"/>
      <c r="C208" s="223"/>
      <c r="D208" s="224"/>
      <c r="E208" s="225"/>
      <c r="F208" s="1036" t="str">
        <f t="shared" ref="F208:F271" si="102">IF(C208="","",IF($B208="","",((YEAR($F$3)-YEAR($B208))+(MONTH($F$3)-MONTH($B208))/12+(DAY($F$3)-DAY($B208))/(DATE(YEAR($F$3),12,31)-DATE(YEAR($F$3),1,1)+1))))</f>
        <v/>
      </c>
      <c r="G208" s="1037" t="str">
        <f t="shared" si="97"/>
        <v/>
      </c>
      <c r="H208" s="225"/>
      <c r="I208" s="1013"/>
      <c r="J208" s="1013"/>
      <c r="K208" s="1028"/>
      <c r="L208" s="1035" t="str">
        <f t="shared" si="101"/>
        <v/>
      </c>
      <c r="S208" s="498"/>
      <c r="AJ208" s="498"/>
      <c r="AM208" s="498">
        <f t="shared" si="82"/>
        <v>0</v>
      </c>
      <c r="AN208" s="498">
        <f t="shared" si="83"/>
        <v>0</v>
      </c>
      <c r="AO208" s="498">
        <f t="shared" si="84"/>
        <v>0</v>
      </c>
      <c r="AP208" s="498">
        <f t="shared" si="81"/>
        <v>0</v>
      </c>
      <c r="AQ208" s="498">
        <f t="shared" si="98"/>
        <v>0</v>
      </c>
      <c r="AU208" s="498">
        <f t="shared" si="85"/>
        <v>0</v>
      </c>
      <c r="AV208" s="498">
        <f t="shared" si="86"/>
        <v>0</v>
      </c>
      <c r="AW208" s="498">
        <f t="shared" si="87"/>
        <v>0</v>
      </c>
      <c r="AX208" s="498">
        <f t="shared" si="88"/>
        <v>0</v>
      </c>
      <c r="AY208" s="498">
        <f t="shared" si="89"/>
        <v>0</v>
      </c>
      <c r="BB208" s="498" t="str">
        <f t="shared" si="90"/>
        <v/>
      </c>
      <c r="BC208" s="743" t="str">
        <f t="shared" si="91"/>
        <v/>
      </c>
      <c r="BD208" s="743" t="str">
        <f t="shared" si="92"/>
        <v/>
      </c>
      <c r="BE208" s="743" t="str">
        <f>IF(D208="","",VLOOKUP(D208,'General Basis'!$J$39:$K$46,2,0))</f>
        <v/>
      </c>
      <c r="BF208" s="744" t="str">
        <f>IF(D208="","",VLOOKUP(D208,'General Basis'!$J$39:$L$46,3,0))</f>
        <v/>
      </c>
      <c r="BG208" s="744" t="str">
        <f t="shared" si="99"/>
        <v/>
      </c>
      <c r="BH208" s="744" t="str">
        <f>IF(G208="","",IF(BF208="Abu Dhabi",IF(G208&lt;18,'General Basis'!$C$39,IF(G208&lt;41,'General Basis'!$C$40,IF(G208&lt;60,'General Basis'!$C$41,IF(G208&lt;65,'General Basis'!$C$42,'General Basis'!$C$43)))),IF(G208&lt;11,'General Basis'!$B$39,IF(G208&lt;18,'General Basis'!$B$40,IF(G208&lt;26,'General Basis'!$B$41,IF(G208&lt;31,'General Basis'!$B$42,IF(G208&lt;36,'General Basis'!$B$43,IF(G208&lt;41,'General Basis'!$B$44,IF(G208&lt;46,'General Basis'!$B$45,IF(G208&lt;51,'General Basis'!$B$46,IF(G208&lt;56,'General Basis'!$B$47,IF(G208&lt;60,'General Basis'!$B$48,IF(G208&lt;65,'General Basis'!$B$49,'General Basis'!$B$50)))))))))))))</f>
        <v/>
      </c>
      <c r="BI208" s="744" t="str">
        <f t="shared" si="93"/>
        <v/>
      </c>
      <c r="BJ208" s="747" t="str">
        <f t="shared" si="100"/>
        <v/>
      </c>
      <c r="BK208" s="498" t="str">
        <f t="shared" si="94"/>
        <v/>
      </c>
      <c r="BL208" s="498" t="str">
        <f t="shared" si="95"/>
        <v/>
      </c>
    </row>
    <row r="209" spans="1:64" x14ac:dyDescent="0.25">
      <c r="A209" s="762">
        <f t="shared" si="96"/>
        <v>204</v>
      </c>
      <c r="B209" s="229"/>
      <c r="C209" s="223"/>
      <c r="D209" s="224"/>
      <c r="E209" s="225"/>
      <c r="F209" s="1036" t="str">
        <f t="shared" si="102"/>
        <v/>
      </c>
      <c r="G209" s="1037" t="str">
        <f t="shared" si="97"/>
        <v/>
      </c>
      <c r="H209" s="225"/>
      <c r="I209" s="1013"/>
      <c r="J209" s="1013"/>
      <c r="K209" s="1028"/>
      <c r="L209" s="1035" t="str">
        <f t="shared" si="101"/>
        <v/>
      </c>
      <c r="S209" s="498"/>
      <c r="AJ209" s="498"/>
      <c r="AM209" s="498">
        <f t="shared" si="82"/>
        <v>0</v>
      </c>
      <c r="AN209" s="498">
        <f t="shared" si="83"/>
        <v>0</v>
      </c>
      <c r="AO209" s="498">
        <f t="shared" si="84"/>
        <v>0</v>
      </c>
      <c r="AP209" s="498">
        <f t="shared" si="81"/>
        <v>0</v>
      </c>
      <c r="AQ209" s="498">
        <f t="shared" si="98"/>
        <v>0</v>
      </c>
      <c r="AU209" s="498">
        <f t="shared" si="85"/>
        <v>0</v>
      </c>
      <c r="AV209" s="498">
        <f t="shared" si="86"/>
        <v>0</v>
      </c>
      <c r="AW209" s="498">
        <f t="shared" si="87"/>
        <v>0</v>
      </c>
      <c r="AX209" s="498">
        <f t="shared" si="88"/>
        <v>0</v>
      </c>
      <c r="AY209" s="498">
        <f t="shared" si="89"/>
        <v>0</v>
      </c>
      <c r="BB209" s="498" t="str">
        <f t="shared" si="90"/>
        <v/>
      </c>
      <c r="BC209" s="743" t="str">
        <f t="shared" si="91"/>
        <v/>
      </c>
      <c r="BD209" s="743" t="str">
        <f t="shared" si="92"/>
        <v/>
      </c>
      <c r="BE209" s="743" t="str">
        <f>IF(D209="","",VLOOKUP(D209,'General Basis'!$J$39:$K$46,2,0))</f>
        <v/>
      </c>
      <c r="BF209" s="744" t="str">
        <f>IF(D209="","",VLOOKUP(D209,'General Basis'!$J$39:$L$46,3,0))</f>
        <v/>
      </c>
      <c r="BG209" s="744" t="str">
        <f t="shared" si="99"/>
        <v/>
      </c>
      <c r="BH209" s="744" t="str">
        <f>IF(G209="","",IF(BF209="Abu Dhabi",IF(G209&lt;18,'General Basis'!$C$39,IF(G209&lt;41,'General Basis'!$C$40,IF(G209&lt;60,'General Basis'!$C$41,IF(G209&lt;65,'General Basis'!$C$42,'General Basis'!$C$43)))),IF(G209&lt;11,'General Basis'!$B$39,IF(G209&lt;18,'General Basis'!$B$40,IF(G209&lt;26,'General Basis'!$B$41,IF(G209&lt;31,'General Basis'!$B$42,IF(G209&lt;36,'General Basis'!$B$43,IF(G209&lt;41,'General Basis'!$B$44,IF(G209&lt;46,'General Basis'!$B$45,IF(G209&lt;51,'General Basis'!$B$46,IF(G209&lt;56,'General Basis'!$B$47,IF(G209&lt;60,'General Basis'!$B$48,IF(G209&lt;65,'General Basis'!$B$49,'General Basis'!$B$50)))))))))))))</f>
        <v/>
      </c>
      <c r="BI209" s="744" t="str">
        <f t="shared" si="93"/>
        <v/>
      </c>
      <c r="BJ209" s="747" t="str">
        <f t="shared" si="100"/>
        <v/>
      </c>
      <c r="BK209" s="498" t="str">
        <f t="shared" si="94"/>
        <v/>
      </c>
      <c r="BL209" s="498" t="str">
        <f t="shared" si="95"/>
        <v/>
      </c>
    </row>
    <row r="210" spans="1:64" x14ac:dyDescent="0.25">
      <c r="A210" s="762">
        <f t="shared" si="96"/>
        <v>205</v>
      </c>
      <c r="B210" s="229"/>
      <c r="C210" s="223"/>
      <c r="D210" s="224"/>
      <c r="E210" s="225"/>
      <c r="F210" s="1036" t="str">
        <f t="shared" si="102"/>
        <v/>
      </c>
      <c r="G210" s="1037" t="str">
        <f t="shared" si="97"/>
        <v/>
      </c>
      <c r="H210" s="225"/>
      <c r="I210" s="1013"/>
      <c r="J210" s="1013"/>
      <c r="K210" s="1028"/>
      <c r="L210" s="1035" t="str">
        <f t="shared" si="101"/>
        <v/>
      </c>
      <c r="S210" s="498"/>
      <c r="AJ210" s="498"/>
      <c r="AM210" s="498">
        <f t="shared" si="82"/>
        <v>0</v>
      </c>
      <c r="AN210" s="498">
        <f t="shared" si="83"/>
        <v>0</v>
      </c>
      <c r="AO210" s="498">
        <f t="shared" si="84"/>
        <v>0</v>
      </c>
      <c r="AP210" s="498">
        <f t="shared" si="81"/>
        <v>0</v>
      </c>
      <c r="AQ210" s="498">
        <f t="shared" si="98"/>
        <v>0</v>
      </c>
      <c r="AU210" s="498">
        <f t="shared" si="85"/>
        <v>0</v>
      </c>
      <c r="AV210" s="498">
        <f t="shared" si="86"/>
        <v>0</v>
      </c>
      <c r="AW210" s="498">
        <f t="shared" si="87"/>
        <v>0</v>
      </c>
      <c r="AX210" s="498">
        <f t="shared" si="88"/>
        <v>0</v>
      </c>
      <c r="AY210" s="498">
        <f t="shared" si="89"/>
        <v>0</v>
      </c>
      <c r="BB210" s="498" t="str">
        <f t="shared" si="90"/>
        <v/>
      </c>
      <c r="BC210" s="743" t="str">
        <f t="shared" si="91"/>
        <v/>
      </c>
      <c r="BD210" s="743" t="str">
        <f t="shared" si="92"/>
        <v/>
      </c>
      <c r="BE210" s="743" t="str">
        <f>IF(D210="","",VLOOKUP(D210,'General Basis'!$J$39:$K$46,2,0))</f>
        <v/>
      </c>
      <c r="BF210" s="744" t="str">
        <f>IF(D210="","",VLOOKUP(D210,'General Basis'!$J$39:$L$46,3,0))</f>
        <v/>
      </c>
      <c r="BG210" s="744" t="str">
        <f t="shared" si="99"/>
        <v/>
      </c>
      <c r="BH210" s="744" t="str">
        <f>IF(G210="","",IF(BF210="Abu Dhabi",IF(G210&lt;18,'General Basis'!$C$39,IF(G210&lt;41,'General Basis'!$C$40,IF(G210&lt;60,'General Basis'!$C$41,IF(G210&lt;65,'General Basis'!$C$42,'General Basis'!$C$43)))),IF(G210&lt;11,'General Basis'!$B$39,IF(G210&lt;18,'General Basis'!$B$40,IF(G210&lt;26,'General Basis'!$B$41,IF(G210&lt;31,'General Basis'!$B$42,IF(G210&lt;36,'General Basis'!$B$43,IF(G210&lt;41,'General Basis'!$B$44,IF(G210&lt;46,'General Basis'!$B$45,IF(G210&lt;51,'General Basis'!$B$46,IF(G210&lt;56,'General Basis'!$B$47,IF(G210&lt;60,'General Basis'!$B$48,IF(G210&lt;65,'General Basis'!$B$49,'General Basis'!$B$50)))))))))))))</f>
        <v/>
      </c>
      <c r="BI210" s="744" t="str">
        <f t="shared" si="93"/>
        <v/>
      </c>
      <c r="BJ210" s="747" t="str">
        <f t="shared" si="100"/>
        <v/>
      </c>
      <c r="BK210" s="498" t="str">
        <f t="shared" si="94"/>
        <v/>
      </c>
      <c r="BL210" s="498" t="str">
        <f t="shared" si="95"/>
        <v/>
      </c>
    </row>
    <row r="211" spans="1:64" x14ac:dyDescent="0.25">
      <c r="A211" s="762">
        <f t="shared" si="96"/>
        <v>206</v>
      </c>
      <c r="B211" s="229"/>
      <c r="C211" s="223"/>
      <c r="D211" s="224"/>
      <c r="E211" s="225"/>
      <c r="F211" s="1036" t="str">
        <f t="shared" si="102"/>
        <v/>
      </c>
      <c r="G211" s="1037" t="str">
        <f t="shared" si="97"/>
        <v/>
      </c>
      <c r="H211" s="225"/>
      <c r="I211" s="1013"/>
      <c r="J211" s="1013"/>
      <c r="K211" s="1028"/>
      <c r="L211" s="1035" t="str">
        <f t="shared" si="101"/>
        <v/>
      </c>
      <c r="S211" s="498"/>
      <c r="AJ211" s="498"/>
      <c r="AM211" s="498">
        <f t="shared" si="82"/>
        <v>0</v>
      </c>
      <c r="AN211" s="498">
        <f t="shared" si="83"/>
        <v>0</v>
      </c>
      <c r="AO211" s="498">
        <f t="shared" si="84"/>
        <v>0</v>
      </c>
      <c r="AP211" s="498">
        <f t="shared" ref="AP211:AP274" si="103">IF(ISBLANK($B211),0,IF(OR($C211="M",$C211="F"),0,1))</f>
        <v>0</v>
      </c>
      <c r="AQ211" s="498">
        <f t="shared" si="98"/>
        <v>0</v>
      </c>
      <c r="AU211" s="498">
        <f t="shared" si="85"/>
        <v>0</v>
      </c>
      <c r="AV211" s="498">
        <f t="shared" si="86"/>
        <v>0</v>
      </c>
      <c r="AW211" s="498">
        <f t="shared" si="87"/>
        <v>0</v>
      </c>
      <c r="AX211" s="498">
        <f t="shared" si="88"/>
        <v>0</v>
      </c>
      <c r="AY211" s="498">
        <f t="shared" si="89"/>
        <v>0</v>
      </c>
      <c r="BB211" s="498" t="str">
        <f t="shared" si="90"/>
        <v/>
      </c>
      <c r="BC211" s="743" t="str">
        <f t="shared" si="91"/>
        <v/>
      </c>
      <c r="BD211" s="743" t="str">
        <f t="shared" si="92"/>
        <v/>
      </c>
      <c r="BE211" s="743" t="str">
        <f>IF(D211="","",VLOOKUP(D211,'General Basis'!$J$39:$K$46,2,0))</f>
        <v/>
      </c>
      <c r="BF211" s="744" t="str">
        <f>IF(D211="","",VLOOKUP(D211,'General Basis'!$J$39:$L$46,3,0))</f>
        <v/>
      </c>
      <c r="BG211" s="744" t="str">
        <f t="shared" si="99"/>
        <v/>
      </c>
      <c r="BH211" s="744" t="str">
        <f>IF(G211="","",IF(BF211="Abu Dhabi",IF(G211&lt;18,'General Basis'!$C$39,IF(G211&lt;41,'General Basis'!$C$40,IF(G211&lt;60,'General Basis'!$C$41,IF(G211&lt;65,'General Basis'!$C$42,'General Basis'!$C$43)))),IF(G211&lt;11,'General Basis'!$B$39,IF(G211&lt;18,'General Basis'!$B$40,IF(G211&lt;26,'General Basis'!$B$41,IF(G211&lt;31,'General Basis'!$B$42,IF(G211&lt;36,'General Basis'!$B$43,IF(G211&lt;41,'General Basis'!$B$44,IF(G211&lt;46,'General Basis'!$B$45,IF(G211&lt;51,'General Basis'!$B$46,IF(G211&lt;56,'General Basis'!$B$47,IF(G211&lt;60,'General Basis'!$B$48,IF(G211&lt;65,'General Basis'!$B$49,'General Basis'!$B$50)))))))))))))</f>
        <v/>
      </c>
      <c r="BI211" s="744" t="str">
        <f t="shared" si="93"/>
        <v/>
      </c>
      <c r="BJ211" s="747" t="str">
        <f t="shared" si="100"/>
        <v/>
      </c>
      <c r="BK211" s="498" t="str">
        <f t="shared" si="94"/>
        <v/>
      </c>
      <c r="BL211" s="498" t="str">
        <f t="shared" si="95"/>
        <v/>
      </c>
    </row>
    <row r="212" spans="1:64" x14ac:dyDescent="0.25">
      <c r="A212" s="762">
        <f t="shared" si="96"/>
        <v>207</v>
      </c>
      <c r="B212" s="229"/>
      <c r="C212" s="223"/>
      <c r="D212" s="224"/>
      <c r="E212" s="225"/>
      <c r="F212" s="1036" t="str">
        <f t="shared" si="102"/>
        <v/>
      </c>
      <c r="G212" s="1037" t="str">
        <f t="shared" si="97"/>
        <v/>
      </c>
      <c r="H212" s="225"/>
      <c r="I212" s="1013"/>
      <c r="J212" s="1013"/>
      <c r="K212" s="1028"/>
      <c r="L212" s="1035" t="str">
        <f t="shared" si="101"/>
        <v/>
      </c>
      <c r="S212" s="498"/>
      <c r="AJ212" s="498"/>
      <c r="AM212" s="498">
        <f t="shared" si="82"/>
        <v>0</v>
      </c>
      <c r="AN212" s="498">
        <f t="shared" si="83"/>
        <v>0</v>
      </c>
      <c r="AO212" s="498">
        <f t="shared" si="84"/>
        <v>0</v>
      </c>
      <c r="AP212" s="498">
        <f t="shared" si="103"/>
        <v>0</v>
      </c>
      <c r="AQ212" s="498">
        <f t="shared" si="98"/>
        <v>0</v>
      </c>
      <c r="AU212" s="498">
        <f t="shared" si="85"/>
        <v>0</v>
      </c>
      <c r="AV212" s="498">
        <f t="shared" si="86"/>
        <v>0</v>
      </c>
      <c r="AW212" s="498">
        <f t="shared" si="87"/>
        <v>0</v>
      </c>
      <c r="AX212" s="498">
        <f t="shared" si="88"/>
        <v>0</v>
      </c>
      <c r="AY212" s="498">
        <f t="shared" si="89"/>
        <v>0</v>
      </c>
      <c r="BB212" s="498" t="str">
        <f t="shared" si="90"/>
        <v/>
      </c>
      <c r="BC212" s="743" t="str">
        <f t="shared" si="91"/>
        <v/>
      </c>
      <c r="BD212" s="743" t="str">
        <f t="shared" si="92"/>
        <v/>
      </c>
      <c r="BE212" s="743" t="str">
        <f>IF(D212="","",VLOOKUP(D212,'General Basis'!$J$39:$K$46,2,0))</f>
        <v/>
      </c>
      <c r="BF212" s="744" t="str">
        <f>IF(D212="","",VLOOKUP(D212,'General Basis'!$J$39:$L$46,3,0))</f>
        <v/>
      </c>
      <c r="BG212" s="744" t="str">
        <f t="shared" si="99"/>
        <v/>
      </c>
      <c r="BH212" s="744" t="str">
        <f>IF(G212="","",IF(BF212="Abu Dhabi",IF(G212&lt;18,'General Basis'!$C$39,IF(G212&lt;41,'General Basis'!$C$40,IF(G212&lt;60,'General Basis'!$C$41,IF(G212&lt;65,'General Basis'!$C$42,'General Basis'!$C$43)))),IF(G212&lt;11,'General Basis'!$B$39,IF(G212&lt;18,'General Basis'!$B$40,IF(G212&lt;26,'General Basis'!$B$41,IF(G212&lt;31,'General Basis'!$B$42,IF(G212&lt;36,'General Basis'!$B$43,IF(G212&lt;41,'General Basis'!$B$44,IF(G212&lt;46,'General Basis'!$B$45,IF(G212&lt;51,'General Basis'!$B$46,IF(G212&lt;56,'General Basis'!$B$47,IF(G212&lt;60,'General Basis'!$B$48,IF(G212&lt;65,'General Basis'!$B$49,'General Basis'!$B$50)))))))))))))</f>
        <v/>
      </c>
      <c r="BI212" s="744" t="str">
        <f t="shared" si="93"/>
        <v/>
      </c>
      <c r="BJ212" s="747" t="str">
        <f t="shared" si="100"/>
        <v/>
      </c>
      <c r="BK212" s="498" t="str">
        <f t="shared" si="94"/>
        <v/>
      </c>
      <c r="BL212" s="498" t="str">
        <f t="shared" si="95"/>
        <v/>
      </c>
    </row>
    <row r="213" spans="1:64" x14ac:dyDescent="0.25">
      <c r="A213" s="762">
        <f t="shared" si="96"/>
        <v>208</v>
      </c>
      <c r="B213" s="229"/>
      <c r="C213" s="223"/>
      <c r="D213" s="224"/>
      <c r="E213" s="225"/>
      <c r="F213" s="1036" t="str">
        <f t="shared" si="102"/>
        <v/>
      </c>
      <c r="G213" s="1037" t="str">
        <f t="shared" si="97"/>
        <v/>
      </c>
      <c r="H213" s="225"/>
      <c r="I213" s="1013"/>
      <c r="J213" s="1013"/>
      <c r="K213" s="1028"/>
      <c r="L213" s="1035" t="str">
        <f t="shared" si="101"/>
        <v/>
      </c>
      <c r="S213" s="498"/>
      <c r="AJ213" s="498"/>
      <c r="AM213" s="498">
        <f t="shared" si="82"/>
        <v>0</v>
      </c>
      <c r="AN213" s="498">
        <f t="shared" si="83"/>
        <v>0</v>
      </c>
      <c r="AO213" s="498">
        <f t="shared" si="84"/>
        <v>0</v>
      </c>
      <c r="AP213" s="498">
        <f t="shared" si="103"/>
        <v>0</v>
      </c>
      <c r="AQ213" s="498">
        <f t="shared" si="98"/>
        <v>0</v>
      </c>
      <c r="AU213" s="498">
        <f t="shared" si="85"/>
        <v>0</v>
      </c>
      <c r="AV213" s="498">
        <f t="shared" si="86"/>
        <v>0</v>
      </c>
      <c r="AW213" s="498">
        <f t="shared" si="87"/>
        <v>0</v>
      </c>
      <c r="AX213" s="498">
        <f t="shared" si="88"/>
        <v>0</v>
      </c>
      <c r="AY213" s="498">
        <f t="shared" si="89"/>
        <v>0</v>
      </c>
      <c r="BB213" s="498" t="str">
        <f t="shared" si="90"/>
        <v/>
      </c>
      <c r="BC213" s="743" t="str">
        <f t="shared" si="91"/>
        <v/>
      </c>
      <c r="BD213" s="743" t="str">
        <f t="shared" si="92"/>
        <v/>
      </c>
      <c r="BE213" s="743" t="str">
        <f>IF(D213="","",VLOOKUP(D213,'General Basis'!$J$39:$K$46,2,0))</f>
        <v/>
      </c>
      <c r="BF213" s="744" t="str">
        <f>IF(D213="","",VLOOKUP(D213,'General Basis'!$J$39:$L$46,3,0))</f>
        <v/>
      </c>
      <c r="BG213" s="744" t="str">
        <f t="shared" si="99"/>
        <v/>
      </c>
      <c r="BH213" s="744" t="str">
        <f>IF(G213="","",IF(BF213="Abu Dhabi",IF(G213&lt;18,'General Basis'!$C$39,IF(G213&lt;41,'General Basis'!$C$40,IF(G213&lt;60,'General Basis'!$C$41,IF(G213&lt;65,'General Basis'!$C$42,'General Basis'!$C$43)))),IF(G213&lt;11,'General Basis'!$B$39,IF(G213&lt;18,'General Basis'!$B$40,IF(G213&lt;26,'General Basis'!$B$41,IF(G213&lt;31,'General Basis'!$B$42,IF(G213&lt;36,'General Basis'!$B$43,IF(G213&lt;41,'General Basis'!$B$44,IF(G213&lt;46,'General Basis'!$B$45,IF(G213&lt;51,'General Basis'!$B$46,IF(G213&lt;56,'General Basis'!$B$47,IF(G213&lt;60,'General Basis'!$B$48,IF(G213&lt;65,'General Basis'!$B$49,'General Basis'!$B$50)))))))))))))</f>
        <v/>
      </c>
      <c r="BI213" s="744" t="str">
        <f t="shared" si="93"/>
        <v/>
      </c>
      <c r="BJ213" s="747" t="str">
        <f t="shared" si="100"/>
        <v/>
      </c>
      <c r="BK213" s="498" t="str">
        <f t="shared" si="94"/>
        <v/>
      </c>
      <c r="BL213" s="498" t="str">
        <f t="shared" si="95"/>
        <v/>
      </c>
    </row>
    <row r="214" spans="1:64" x14ac:dyDescent="0.25">
      <c r="A214" s="762">
        <f t="shared" si="96"/>
        <v>209</v>
      </c>
      <c r="B214" s="229"/>
      <c r="C214" s="223"/>
      <c r="D214" s="224"/>
      <c r="E214" s="225"/>
      <c r="F214" s="1036" t="str">
        <f t="shared" si="102"/>
        <v/>
      </c>
      <c r="G214" s="1037" t="str">
        <f t="shared" si="97"/>
        <v/>
      </c>
      <c r="H214" s="225"/>
      <c r="I214" s="1013"/>
      <c r="J214" s="1013"/>
      <c r="K214" s="1028"/>
      <c r="L214" s="1035" t="str">
        <f t="shared" si="101"/>
        <v/>
      </c>
      <c r="S214" s="498"/>
      <c r="AJ214" s="498"/>
      <c r="AM214" s="498">
        <f t="shared" si="82"/>
        <v>0</v>
      </c>
      <c r="AN214" s="498">
        <f t="shared" si="83"/>
        <v>0</v>
      </c>
      <c r="AO214" s="498">
        <f t="shared" si="84"/>
        <v>0</v>
      </c>
      <c r="AP214" s="498">
        <f t="shared" si="103"/>
        <v>0</v>
      </c>
      <c r="AQ214" s="498">
        <f t="shared" si="98"/>
        <v>0</v>
      </c>
      <c r="AU214" s="498">
        <f t="shared" si="85"/>
        <v>0</v>
      </c>
      <c r="AV214" s="498">
        <f t="shared" si="86"/>
        <v>0</v>
      </c>
      <c r="AW214" s="498">
        <f t="shared" si="87"/>
        <v>0</v>
      </c>
      <c r="AX214" s="498">
        <f t="shared" si="88"/>
        <v>0</v>
      </c>
      <c r="AY214" s="498">
        <f t="shared" si="89"/>
        <v>0</v>
      </c>
      <c r="BB214" s="498" t="str">
        <f t="shared" si="90"/>
        <v/>
      </c>
      <c r="BC214" s="743" t="str">
        <f t="shared" si="91"/>
        <v/>
      </c>
      <c r="BD214" s="743" t="str">
        <f t="shared" si="92"/>
        <v/>
      </c>
      <c r="BE214" s="743" t="str">
        <f>IF(D214="","",VLOOKUP(D214,'General Basis'!$J$39:$K$46,2,0))</f>
        <v/>
      </c>
      <c r="BF214" s="744" t="str">
        <f>IF(D214="","",VLOOKUP(D214,'General Basis'!$J$39:$L$46,3,0))</f>
        <v/>
      </c>
      <c r="BG214" s="744" t="str">
        <f t="shared" si="99"/>
        <v/>
      </c>
      <c r="BH214" s="744" t="str">
        <f>IF(G214="","",IF(BF214="Abu Dhabi",IF(G214&lt;18,'General Basis'!$C$39,IF(G214&lt;41,'General Basis'!$C$40,IF(G214&lt;60,'General Basis'!$C$41,IF(G214&lt;65,'General Basis'!$C$42,'General Basis'!$C$43)))),IF(G214&lt;11,'General Basis'!$B$39,IF(G214&lt;18,'General Basis'!$B$40,IF(G214&lt;26,'General Basis'!$B$41,IF(G214&lt;31,'General Basis'!$B$42,IF(G214&lt;36,'General Basis'!$B$43,IF(G214&lt;41,'General Basis'!$B$44,IF(G214&lt;46,'General Basis'!$B$45,IF(G214&lt;51,'General Basis'!$B$46,IF(G214&lt;56,'General Basis'!$B$47,IF(G214&lt;60,'General Basis'!$B$48,IF(G214&lt;65,'General Basis'!$B$49,'General Basis'!$B$50)))))))))))))</f>
        <v/>
      </c>
      <c r="BI214" s="744" t="str">
        <f t="shared" si="93"/>
        <v/>
      </c>
      <c r="BJ214" s="747" t="str">
        <f t="shared" si="100"/>
        <v/>
      </c>
      <c r="BK214" s="498" t="str">
        <f t="shared" si="94"/>
        <v/>
      </c>
      <c r="BL214" s="498" t="str">
        <f t="shared" si="95"/>
        <v/>
      </c>
    </row>
    <row r="215" spans="1:64" x14ac:dyDescent="0.25">
      <c r="A215" s="762">
        <f t="shared" si="96"/>
        <v>210</v>
      </c>
      <c r="B215" s="229"/>
      <c r="C215" s="223"/>
      <c r="D215" s="224"/>
      <c r="E215" s="225"/>
      <c r="F215" s="1036" t="str">
        <f t="shared" si="102"/>
        <v/>
      </c>
      <c r="G215" s="1037" t="str">
        <f t="shared" si="97"/>
        <v/>
      </c>
      <c r="H215" s="225"/>
      <c r="I215" s="1013"/>
      <c r="J215" s="1013"/>
      <c r="K215" s="1028"/>
      <c r="L215" s="1035" t="str">
        <f t="shared" si="101"/>
        <v/>
      </c>
      <c r="S215" s="498"/>
      <c r="AJ215" s="498"/>
      <c r="AM215" s="498">
        <f t="shared" si="82"/>
        <v>0</v>
      </c>
      <c r="AN215" s="498">
        <f t="shared" si="83"/>
        <v>0</v>
      </c>
      <c r="AO215" s="498">
        <f t="shared" si="84"/>
        <v>0</v>
      </c>
      <c r="AP215" s="498">
        <f t="shared" si="103"/>
        <v>0</v>
      </c>
      <c r="AQ215" s="498">
        <f t="shared" si="98"/>
        <v>0</v>
      </c>
      <c r="AU215" s="498">
        <f t="shared" si="85"/>
        <v>0</v>
      </c>
      <c r="AV215" s="498">
        <f t="shared" si="86"/>
        <v>0</v>
      </c>
      <c r="AW215" s="498">
        <f t="shared" si="87"/>
        <v>0</v>
      </c>
      <c r="AX215" s="498">
        <f t="shared" si="88"/>
        <v>0</v>
      </c>
      <c r="AY215" s="498">
        <f t="shared" si="89"/>
        <v>0</v>
      </c>
      <c r="BB215" s="498" t="str">
        <f t="shared" si="90"/>
        <v/>
      </c>
      <c r="BC215" s="743" t="str">
        <f t="shared" si="91"/>
        <v/>
      </c>
      <c r="BD215" s="743" t="str">
        <f t="shared" si="92"/>
        <v/>
      </c>
      <c r="BE215" s="743" t="str">
        <f>IF(D215="","",VLOOKUP(D215,'General Basis'!$J$39:$K$46,2,0))</f>
        <v/>
      </c>
      <c r="BF215" s="744" t="str">
        <f>IF(D215="","",VLOOKUP(D215,'General Basis'!$J$39:$L$46,3,0))</f>
        <v/>
      </c>
      <c r="BG215" s="744" t="str">
        <f t="shared" si="99"/>
        <v/>
      </c>
      <c r="BH215" s="744" t="str">
        <f>IF(G215="","",IF(BF215="Abu Dhabi",IF(G215&lt;18,'General Basis'!$C$39,IF(G215&lt;41,'General Basis'!$C$40,IF(G215&lt;60,'General Basis'!$C$41,IF(G215&lt;65,'General Basis'!$C$42,'General Basis'!$C$43)))),IF(G215&lt;11,'General Basis'!$B$39,IF(G215&lt;18,'General Basis'!$B$40,IF(G215&lt;26,'General Basis'!$B$41,IF(G215&lt;31,'General Basis'!$B$42,IF(G215&lt;36,'General Basis'!$B$43,IF(G215&lt;41,'General Basis'!$B$44,IF(G215&lt;46,'General Basis'!$B$45,IF(G215&lt;51,'General Basis'!$B$46,IF(G215&lt;56,'General Basis'!$B$47,IF(G215&lt;60,'General Basis'!$B$48,IF(G215&lt;65,'General Basis'!$B$49,'General Basis'!$B$50)))))))))))))</f>
        <v/>
      </c>
      <c r="BI215" s="744" t="str">
        <f t="shared" si="93"/>
        <v/>
      </c>
      <c r="BJ215" s="747" t="str">
        <f t="shared" si="100"/>
        <v/>
      </c>
      <c r="BK215" s="498" t="str">
        <f t="shared" si="94"/>
        <v/>
      </c>
      <c r="BL215" s="498" t="str">
        <f t="shared" si="95"/>
        <v/>
      </c>
    </row>
    <row r="216" spans="1:64" x14ac:dyDescent="0.25">
      <c r="A216" s="762">
        <f t="shared" si="96"/>
        <v>211</v>
      </c>
      <c r="B216" s="229"/>
      <c r="C216" s="223"/>
      <c r="D216" s="224"/>
      <c r="E216" s="225"/>
      <c r="F216" s="1036" t="str">
        <f t="shared" si="102"/>
        <v/>
      </c>
      <c r="G216" s="1037" t="str">
        <f t="shared" si="97"/>
        <v/>
      </c>
      <c r="H216" s="225"/>
      <c r="I216" s="1013"/>
      <c r="J216" s="1013"/>
      <c r="K216" s="1028"/>
      <c r="L216" s="1035" t="str">
        <f t="shared" si="101"/>
        <v/>
      </c>
      <c r="S216" s="498"/>
      <c r="AJ216" s="498"/>
      <c r="AM216" s="498">
        <f t="shared" si="82"/>
        <v>0</v>
      </c>
      <c r="AN216" s="498">
        <f t="shared" si="83"/>
        <v>0</v>
      </c>
      <c r="AO216" s="498">
        <f t="shared" si="84"/>
        <v>0</v>
      </c>
      <c r="AP216" s="498">
        <f t="shared" si="103"/>
        <v>0</v>
      </c>
      <c r="AQ216" s="498">
        <f t="shared" si="98"/>
        <v>0</v>
      </c>
      <c r="AU216" s="498">
        <f t="shared" si="85"/>
        <v>0</v>
      </c>
      <c r="AV216" s="498">
        <f t="shared" si="86"/>
        <v>0</v>
      </c>
      <c r="AW216" s="498">
        <f t="shared" si="87"/>
        <v>0</v>
      </c>
      <c r="AX216" s="498">
        <f t="shared" si="88"/>
        <v>0</v>
      </c>
      <c r="AY216" s="498">
        <f t="shared" si="89"/>
        <v>0</v>
      </c>
      <c r="BB216" s="498" t="str">
        <f t="shared" si="90"/>
        <v/>
      </c>
      <c r="BC216" s="743" t="str">
        <f t="shared" si="91"/>
        <v/>
      </c>
      <c r="BD216" s="743" t="str">
        <f t="shared" si="92"/>
        <v/>
      </c>
      <c r="BE216" s="743" t="str">
        <f>IF(D216="","",VLOOKUP(D216,'General Basis'!$J$39:$K$46,2,0))</f>
        <v/>
      </c>
      <c r="BF216" s="744" t="str">
        <f>IF(D216="","",VLOOKUP(D216,'General Basis'!$J$39:$L$46,3,0))</f>
        <v/>
      </c>
      <c r="BG216" s="744" t="str">
        <f t="shared" si="99"/>
        <v/>
      </c>
      <c r="BH216" s="744" t="str">
        <f>IF(G216="","",IF(BF216="Abu Dhabi",IF(G216&lt;18,'General Basis'!$C$39,IF(G216&lt;41,'General Basis'!$C$40,IF(G216&lt;60,'General Basis'!$C$41,IF(G216&lt;65,'General Basis'!$C$42,'General Basis'!$C$43)))),IF(G216&lt;11,'General Basis'!$B$39,IF(G216&lt;18,'General Basis'!$B$40,IF(G216&lt;26,'General Basis'!$B$41,IF(G216&lt;31,'General Basis'!$B$42,IF(G216&lt;36,'General Basis'!$B$43,IF(G216&lt;41,'General Basis'!$B$44,IF(G216&lt;46,'General Basis'!$B$45,IF(G216&lt;51,'General Basis'!$B$46,IF(G216&lt;56,'General Basis'!$B$47,IF(G216&lt;60,'General Basis'!$B$48,IF(G216&lt;65,'General Basis'!$B$49,'General Basis'!$B$50)))))))))))))</f>
        <v/>
      </c>
      <c r="BI216" s="744" t="str">
        <f t="shared" si="93"/>
        <v/>
      </c>
      <c r="BJ216" s="747" t="str">
        <f t="shared" si="100"/>
        <v/>
      </c>
      <c r="BK216" s="498" t="str">
        <f t="shared" si="94"/>
        <v/>
      </c>
      <c r="BL216" s="498" t="str">
        <f t="shared" si="95"/>
        <v/>
      </c>
    </row>
    <row r="217" spans="1:64" x14ac:dyDescent="0.25">
      <c r="A217" s="762">
        <f t="shared" si="96"/>
        <v>212</v>
      </c>
      <c r="B217" s="229"/>
      <c r="C217" s="223"/>
      <c r="D217" s="224"/>
      <c r="E217" s="225"/>
      <c r="F217" s="1036" t="str">
        <f t="shared" si="102"/>
        <v/>
      </c>
      <c r="G217" s="1037" t="str">
        <f t="shared" si="97"/>
        <v/>
      </c>
      <c r="H217" s="225"/>
      <c r="I217" s="1013"/>
      <c r="J217" s="1013"/>
      <c r="K217" s="1028"/>
      <c r="L217" s="1035" t="str">
        <f t="shared" si="101"/>
        <v/>
      </c>
      <c r="S217" s="498"/>
      <c r="AJ217" s="498"/>
      <c r="AM217" s="498">
        <f t="shared" si="82"/>
        <v>0</v>
      </c>
      <c r="AN217" s="498">
        <f t="shared" si="83"/>
        <v>0</v>
      </c>
      <c r="AO217" s="498">
        <f t="shared" si="84"/>
        <v>0</v>
      </c>
      <c r="AP217" s="498">
        <f t="shared" si="103"/>
        <v>0</v>
      </c>
      <c r="AQ217" s="498">
        <f t="shared" si="98"/>
        <v>0</v>
      </c>
      <c r="AU217" s="498">
        <f t="shared" si="85"/>
        <v>0</v>
      </c>
      <c r="AV217" s="498">
        <f t="shared" si="86"/>
        <v>0</v>
      </c>
      <c r="AW217" s="498">
        <f t="shared" si="87"/>
        <v>0</v>
      </c>
      <c r="AX217" s="498">
        <f t="shared" si="88"/>
        <v>0</v>
      </c>
      <c r="AY217" s="498">
        <f t="shared" si="89"/>
        <v>0</v>
      </c>
      <c r="BB217" s="498" t="str">
        <f t="shared" si="90"/>
        <v/>
      </c>
      <c r="BC217" s="743" t="str">
        <f t="shared" si="91"/>
        <v/>
      </c>
      <c r="BD217" s="743" t="str">
        <f t="shared" si="92"/>
        <v/>
      </c>
      <c r="BE217" s="743" t="str">
        <f>IF(D217="","",VLOOKUP(D217,'General Basis'!$J$39:$K$46,2,0))</f>
        <v/>
      </c>
      <c r="BF217" s="744" t="str">
        <f>IF(D217="","",VLOOKUP(D217,'General Basis'!$J$39:$L$46,3,0))</f>
        <v/>
      </c>
      <c r="BG217" s="744" t="str">
        <f t="shared" si="99"/>
        <v/>
      </c>
      <c r="BH217" s="744" t="str">
        <f>IF(G217="","",IF(BF217="Abu Dhabi",IF(G217&lt;18,'General Basis'!$C$39,IF(G217&lt;41,'General Basis'!$C$40,IF(G217&lt;60,'General Basis'!$C$41,IF(G217&lt;65,'General Basis'!$C$42,'General Basis'!$C$43)))),IF(G217&lt;11,'General Basis'!$B$39,IF(G217&lt;18,'General Basis'!$B$40,IF(G217&lt;26,'General Basis'!$B$41,IF(G217&lt;31,'General Basis'!$B$42,IF(G217&lt;36,'General Basis'!$B$43,IF(G217&lt;41,'General Basis'!$B$44,IF(G217&lt;46,'General Basis'!$B$45,IF(G217&lt;51,'General Basis'!$B$46,IF(G217&lt;56,'General Basis'!$B$47,IF(G217&lt;60,'General Basis'!$B$48,IF(G217&lt;65,'General Basis'!$B$49,'General Basis'!$B$50)))))))))))))</f>
        <v/>
      </c>
      <c r="BI217" s="744" t="str">
        <f t="shared" si="93"/>
        <v/>
      </c>
      <c r="BJ217" s="747" t="str">
        <f t="shared" si="100"/>
        <v/>
      </c>
      <c r="BK217" s="498" t="str">
        <f t="shared" si="94"/>
        <v/>
      </c>
      <c r="BL217" s="498" t="str">
        <f t="shared" si="95"/>
        <v/>
      </c>
    </row>
    <row r="218" spans="1:64" x14ac:dyDescent="0.25">
      <c r="A218" s="762">
        <f t="shared" si="96"/>
        <v>213</v>
      </c>
      <c r="B218" s="229"/>
      <c r="C218" s="223"/>
      <c r="D218" s="224"/>
      <c r="E218" s="225"/>
      <c r="F218" s="1036" t="str">
        <f t="shared" si="102"/>
        <v/>
      </c>
      <c r="G218" s="1037" t="str">
        <f t="shared" si="97"/>
        <v/>
      </c>
      <c r="H218" s="225"/>
      <c r="I218" s="1013"/>
      <c r="J218" s="1013"/>
      <c r="K218" s="1028"/>
      <c r="L218" s="1035" t="str">
        <f t="shared" si="101"/>
        <v/>
      </c>
      <c r="S218" s="498"/>
      <c r="AJ218" s="498"/>
      <c r="AM218" s="498">
        <f t="shared" si="82"/>
        <v>0</v>
      </c>
      <c r="AN218" s="498">
        <f t="shared" si="83"/>
        <v>0</v>
      </c>
      <c r="AO218" s="498">
        <f t="shared" si="84"/>
        <v>0</v>
      </c>
      <c r="AP218" s="498">
        <f t="shared" si="103"/>
        <v>0</v>
      </c>
      <c r="AQ218" s="498">
        <f t="shared" si="98"/>
        <v>0</v>
      </c>
      <c r="AU218" s="498">
        <f t="shared" si="85"/>
        <v>0</v>
      </c>
      <c r="AV218" s="498">
        <f t="shared" si="86"/>
        <v>0</v>
      </c>
      <c r="AW218" s="498">
        <f t="shared" si="87"/>
        <v>0</v>
      </c>
      <c r="AX218" s="498">
        <f t="shared" si="88"/>
        <v>0</v>
      </c>
      <c r="AY218" s="498">
        <f t="shared" si="89"/>
        <v>0</v>
      </c>
      <c r="BB218" s="498" t="str">
        <f t="shared" si="90"/>
        <v/>
      </c>
      <c r="BC218" s="743" t="str">
        <f t="shared" si="91"/>
        <v/>
      </c>
      <c r="BD218" s="743" t="str">
        <f t="shared" si="92"/>
        <v/>
      </c>
      <c r="BE218" s="743" t="str">
        <f>IF(D218="","",VLOOKUP(D218,'General Basis'!$J$39:$K$46,2,0))</f>
        <v/>
      </c>
      <c r="BF218" s="744" t="str">
        <f>IF(D218="","",VLOOKUP(D218,'General Basis'!$J$39:$L$46,3,0))</f>
        <v/>
      </c>
      <c r="BG218" s="744" t="str">
        <f t="shared" si="99"/>
        <v/>
      </c>
      <c r="BH218" s="744" t="str">
        <f>IF(G218="","",IF(BF218="Abu Dhabi",IF(G218&lt;18,'General Basis'!$C$39,IF(G218&lt;41,'General Basis'!$C$40,IF(G218&lt;60,'General Basis'!$C$41,IF(G218&lt;65,'General Basis'!$C$42,'General Basis'!$C$43)))),IF(G218&lt;11,'General Basis'!$B$39,IF(G218&lt;18,'General Basis'!$B$40,IF(G218&lt;26,'General Basis'!$B$41,IF(G218&lt;31,'General Basis'!$B$42,IF(G218&lt;36,'General Basis'!$B$43,IF(G218&lt;41,'General Basis'!$B$44,IF(G218&lt;46,'General Basis'!$B$45,IF(G218&lt;51,'General Basis'!$B$46,IF(G218&lt;56,'General Basis'!$B$47,IF(G218&lt;60,'General Basis'!$B$48,IF(G218&lt;65,'General Basis'!$B$49,'General Basis'!$B$50)))))))))))))</f>
        <v/>
      </c>
      <c r="BI218" s="744" t="str">
        <f t="shared" si="93"/>
        <v/>
      </c>
      <c r="BJ218" s="747" t="str">
        <f t="shared" si="100"/>
        <v/>
      </c>
      <c r="BK218" s="498" t="str">
        <f t="shared" si="94"/>
        <v/>
      </c>
      <c r="BL218" s="498" t="str">
        <f t="shared" si="95"/>
        <v/>
      </c>
    </row>
    <row r="219" spans="1:64" x14ac:dyDescent="0.25">
      <c r="A219" s="762">
        <f t="shared" si="96"/>
        <v>214</v>
      </c>
      <c r="B219" s="229"/>
      <c r="C219" s="223"/>
      <c r="D219" s="224"/>
      <c r="E219" s="225"/>
      <c r="F219" s="1036" t="str">
        <f t="shared" si="102"/>
        <v/>
      </c>
      <c r="G219" s="1037" t="str">
        <f t="shared" si="97"/>
        <v/>
      </c>
      <c r="H219" s="225"/>
      <c r="I219" s="1013"/>
      <c r="J219" s="1013"/>
      <c r="K219" s="1028"/>
      <c r="L219" s="1035" t="str">
        <f t="shared" si="101"/>
        <v/>
      </c>
      <c r="S219" s="498"/>
      <c r="AJ219" s="498"/>
      <c r="AM219" s="498">
        <f t="shared" si="82"/>
        <v>0</v>
      </c>
      <c r="AN219" s="498">
        <f t="shared" si="83"/>
        <v>0</v>
      </c>
      <c r="AO219" s="498">
        <f t="shared" si="84"/>
        <v>0</v>
      </c>
      <c r="AP219" s="498">
        <f t="shared" si="103"/>
        <v>0</v>
      </c>
      <c r="AQ219" s="498">
        <f t="shared" si="98"/>
        <v>0</v>
      </c>
      <c r="AU219" s="498">
        <f t="shared" si="85"/>
        <v>0</v>
      </c>
      <c r="AV219" s="498">
        <f t="shared" si="86"/>
        <v>0</v>
      </c>
      <c r="AW219" s="498">
        <f t="shared" si="87"/>
        <v>0</v>
      </c>
      <c r="AX219" s="498">
        <f t="shared" si="88"/>
        <v>0</v>
      </c>
      <c r="AY219" s="498">
        <f t="shared" si="89"/>
        <v>0</v>
      </c>
      <c r="BB219" s="498" t="str">
        <f t="shared" si="90"/>
        <v/>
      </c>
      <c r="BC219" s="743" t="str">
        <f t="shared" si="91"/>
        <v/>
      </c>
      <c r="BD219" s="743" t="str">
        <f t="shared" si="92"/>
        <v/>
      </c>
      <c r="BE219" s="743" t="str">
        <f>IF(D219="","",VLOOKUP(D219,'General Basis'!$J$39:$K$46,2,0))</f>
        <v/>
      </c>
      <c r="BF219" s="744" t="str">
        <f>IF(D219="","",VLOOKUP(D219,'General Basis'!$J$39:$L$46,3,0))</f>
        <v/>
      </c>
      <c r="BG219" s="744" t="str">
        <f t="shared" si="99"/>
        <v/>
      </c>
      <c r="BH219" s="744" t="str">
        <f>IF(G219="","",IF(BF219="Abu Dhabi",IF(G219&lt;18,'General Basis'!$C$39,IF(G219&lt;41,'General Basis'!$C$40,IF(G219&lt;60,'General Basis'!$C$41,IF(G219&lt;65,'General Basis'!$C$42,'General Basis'!$C$43)))),IF(G219&lt;11,'General Basis'!$B$39,IF(G219&lt;18,'General Basis'!$B$40,IF(G219&lt;26,'General Basis'!$B$41,IF(G219&lt;31,'General Basis'!$B$42,IF(G219&lt;36,'General Basis'!$B$43,IF(G219&lt;41,'General Basis'!$B$44,IF(G219&lt;46,'General Basis'!$B$45,IF(G219&lt;51,'General Basis'!$B$46,IF(G219&lt;56,'General Basis'!$B$47,IF(G219&lt;60,'General Basis'!$B$48,IF(G219&lt;65,'General Basis'!$B$49,'General Basis'!$B$50)))))))))))))</f>
        <v/>
      </c>
      <c r="BI219" s="744" t="str">
        <f t="shared" si="93"/>
        <v/>
      </c>
      <c r="BJ219" s="747" t="str">
        <f t="shared" si="100"/>
        <v/>
      </c>
      <c r="BK219" s="498" t="str">
        <f t="shared" si="94"/>
        <v/>
      </c>
      <c r="BL219" s="498" t="str">
        <f t="shared" si="95"/>
        <v/>
      </c>
    </row>
    <row r="220" spans="1:64" x14ac:dyDescent="0.25">
      <c r="A220" s="762">
        <f t="shared" si="96"/>
        <v>215</v>
      </c>
      <c r="B220" s="229"/>
      <c r="C220" s="223"/>
      <c r="D220" s="224"/>
      <c r="E220" s="225"/>
      <c r="F220" s="1036" t="str">
        <f t="shared" si="102"/>
        <v/>
      </c>
      <c r="G220" s="1037" t="str">
        <f t="shared" si="97"/>
        <v/>
      </c>
      <c r="H220" s="225"/>
      <c r="I220" s="1013"/>
      <c r="J220" s="1013"/>
      <c r="K220" s="1028"/>
      <c r="L220" s="1035" t="str">
        <f t="shared" si="101"/>
        <v/>
      </c>
      <c r="S220" s="498"/>
      <c r="AJ220" s="498"/>
      <c r="AM220" s="498">
        <f t="shared" si="82"/>
        <v>0</v>
      </c>
      <c r="AN220" s="498">
        <f t="shared" si="83"/>
        <v>0</v>
      </c>
      <c r="AO220" s="498">
        <f t="shared" si="84"/>
        <v>0</v>
      </c>
      <c r="AP220" s="498">
        <f t="shared" si="103"/>
        <v>0</v>
      </c>
      <c r="AQ220" s="498">
        <f t="shared" si="98"/>
        <v>0</v>
      </c>
      <c r="AU220" s="498">
        <f t="shared" si="85"/>
        <v>0</v>
      </c>
      <c r="AV220" s="498">
        <f t="shared" si="86"/>
        <v>0</v>
      </c>
      <c r="AW220" s="498">
        <f t="shared" si="87"/>
        <v>0</v>
      </c>
      <c r="AX220" s="498">
        <f t="shared" si="88"/>
        <v>0</v>
      </c>
      <c r="AY220" s="498">
        <f t="shared" si="89"/>
        <v>0</v>
      </c>
      <c r="BB220" s="498" t="str">
        <f t="shared" si="90"/>
        <v/>
      </c>
      <c r="BC220" s="743" t="str">
        <f t="shared" si="91"/>
        <v/>
      </c>
      <c r="BD220" s="743" t="str">
        <f t="shared" si="92"/>
        <v/>
      </c>
      <c r="BE220" s="743" t="str">
        <f>IF(D220="","",VLOOKUP(D220,'General Basis'!$J$39:$K$46,2,0))</f>
        <v/>
      </c>
      <c r="BF220" s="744" t="str">
        <f>IF(D220="","",VLOOKUP(D220,'General Basis'!$J$39:$L$46,3,0))</f>
        <v/>
      </c>
      <c r="BG220" s="744" t="str">
        <f t="shared" si="99"/>
        <v/>
      </c>
      <c r="BH220" s="744" t="str">
        <f>IF(G220="","",IF(BF220="Abu Dhabi",IF(G220&lt;18,'General Basis'!$C$39,IF(G220&lt;41,'General Basis'!$C$40,IF(G220&lt;60,'General Basis'!$C$41,IF(G220&lt;65,'General Basis'!$C$42,'General Basis'!$C$43)))),IF(G220&lt;11,'General Basis'!$B$39,IF(G220&lt;18,'General Basis'!$B$40,IF(G220&lt;26,'General Basis'!$B$41,IF(G220&lt;31,'General Basis'!$B$42,IF(G220&lt;36,'General Basis'!$B$43,IF(G220&lt;41,'General Basis'!$B$44,IF(G220&lt;46,'General Basis'!$B$45,IF(G220&lt;51,'General Basis'!$B$46,IF(G220&lt;56,'General Basis'!$B$47,IF(G220&lt;60,'General Basis'!$B$48,IF(G220&lt;65,'General Basis'!$B$49,'General Basis'!$B$50)))))))))))))</f>
        <v/>
      </c>
      <c r="BI220" s="744" t="str">
        <f t="shared" si="93"/>
        <v/>
      </c>
      <c r="BJ220" s="747" t="str">
        <f t="shared" si="100"/>
        <v/>
      </c>
      <c r="BK220" s="498" t="str">
        <f t="shared" si="94"/>
        <v/>
      </c>
      <c r="BL220" s="498" t="str">
        <f t="shared" si="95"/>
        <v/>
      </c>
    </row>
    <row r="221" spans="1:64" x14ac:dyDescent="0.25">
      <c r="A221" s="762">
        <f t="shared" si="96"/>
        <v>216</v>
      </c>
      <c r="B221" s="229"/>
      <c r="C221" s="223"/>
      <c r="D221" s="224"/>
      <c r="E221" s="225"/>
      <c r="F221" s="1036" t="str">
        <f t="shared" si="102"/>
        <v/>
      </c>
      <c r="G221" s="1037" t="str">
        <f t="shared" si="97"/>
        <v/>
      </c>
      <c r="H221" s="225"/>
      <c r="I221" s="1013"/>
      <c r="J221" s="1013"/>
      <c r="K221" s="1028"/>
      <c r="L221" s="1035" t="str">
        <f t="shared" si="101"/>
        <v/>
      </c>
      <c r="S221" s="498"/>
      <c r="AJ221" s="498"/>
      <c r="AM221" s="498">
        <f t="shared" si="82"/>
        <v>0</v>
      </c>
      <c r="AN221" s="498">
        <f t="shared" si="83"/>
        <v>0</v>
      </c>
      <c r="AO221" s="498">
        <f t="shared" si="84"/>
        <v>0</v>
      </c>
      <c r="AP221" s="498">
        <f t="shared" si="103"/>
        <v>0</v>
      </c>
      <c r="AQ221" s="498">
        <f t="shared" si="98"/>
        <v>0</v>
      </c>
      <c r="AU221" s="498">
        <f t="shared" si="85"/>
        <v>0</v>
      </c>
      <c r="AV221" s="498">
        <f t="shared" si="86"/>
        <v>0</v>
      </c>
      <c r="AW221" s="498">
        <f t="shared" si="87"/>
        <v>0</v>
      </c>
      <c r="AX221" s="498">
        <f t="shared" si="88"/>
        <v>0</v>
      </c>
      <c r="AY221" s="498">
        <f t="shared" si="89"/>
        <v>0</v>
      </c>
      <c r="BB221" s="498" t="str">
        <f t="shared" si="90"/>
        <v/>
      </c>
      <c r="BC221" s="743" t="str">
        <f t="shared" si="91"/>
        <v/>
      </c>
      <c r="BD221" s="743" t="str">
        <f t="shared" si="92"/>
        <v/>
      </c>
      <c r="BE221" s="743" t="str">
        <f>IF(D221="","",VLOOKUP(D221,'General Basis'!$J$39:$K$46,2,0))</f>
        <v/>
      </c>
      <c r="BF221" s="744" t="str">
        <f>IF(D221="","",VLOOKUP(D221,'General Basis'!$J$39:$L$46,3,0))</f>
        <v/>
      </c>
      <c r="BG221" s="744" t="str">
        <f t="shared" si="99"/>
        <v/>
      </c>
      <c r="BH221" s="744" t="str">
        <f>IF(G221="","",IF(BF221="Abu Dhabi",IF(G221&lt;18,'General Basis'!$C$39,IF(G221&lt;41,'General Basis'!$C$40,IF(G221&lt;60,'General Basis'!$C$41,IF(G221&lt;65,'General Basis'!$C$42,'General Basis'!$C$43)))),IF(G221&lt;11,'General Basis'!$B$39,IF(G221&lt;18,'General Basis'!$B$40,IF(G221&lt;26,'General Basis'!$B$41,IF(G221&lt;31,'General Basis'!$B$42,IF(G221&lt;36,'General Basis'!$B$43,IF(G221&lt;41,'General Basis'!$B$44,IF(G221&lt;46,'General Basis'!$B$45,IF(G221&lt;51,'General Basis'!$B$46,IF(G221&lt;56,'General Basis'!$B$47,IF(G221&lt;60,'General Basis'!$B$48,IF(G221&lt;65,'General Basis'!$B$49,'General Basis'!$B$50)))))))))))))</f>
        <v/>
      </c>
      <c r="BI221" s="744" t="str">
        <f t="shared" si="93"/>
        <v/>
      </c>
      <c r="BJ221" s="747" t="str">
        <f t="shared" si="100"/>
        <v/>
      </c>
      <c r="BK221" s="498" t="str">
        <f t="shared" si="94"/>
        <v/>
      </c>
      <c r="BL221" s="498" t="str">
        <f t="shared" si="95"/>
        <v/>
      </c>
    </row>
    <row r="222" spans="1:64" x14ac:dyDescent="0.25">
      <c r="A222" s="762">
        <f t="shared" si="96"/>
        <v>217</v>
      </c>
      <c r="B222" s="229"/>
      <c r="C222" s="223"/>
      <c r="D222" s="224"/>
      <c r="E222" s="225"/>
      <c r="F222" s="1036" t="str">
        <f t="shared" si="102"/>
        <v/>
      </c>
      <c r="G222" s="1037" t="str">
        <f t="shared" si="97"/>
        <v/>
      </c>
      <c r="H222" s="225"/>
      <c r="I222" s="1013"/>
      <c r="J222" s="1013"/>
      <c r="K222" s="1028"/>
      <c r="L222" s="1035" t="str">
        <f t="shared" si="101"/>
        <v/>
      </c>
      <c r="S222" s="498"/>
      <c r="AJ222" s="498"/>
      <c r="AM222" s="498">
        <f t="shared" si="82"/>
        <v>0</v>
      </c>
      <c r="AN222" s="498">
        <f t="shared" si="83"/>
        <v>0</v>
      </c>
      <c r="AO222" s="498">
        <f t="shared" si="84"/>
        <v>0</v>
      </c>
      <c r="AP222" s="498">
        <f t="shared" si="103"/>
        <v>0</v>
      </c>
      <c r="AQ222" s="498">
        <f t="shared" si="98"/>
        <v>0</v>
      </c>
      <c r="AU222" s="498">
        <f t="shared" si="85"/>
        <v>0</v>
      </c>
      <c r="AV222" s="498">
        <f t="shared" si="86"/>
        <v>0</v>
      </c>
      <c r="AW222" s="498">
        <f t="shared" si="87"/>
        <v>0</v>
      </c>
      <c r="AX222" s="498">
        <f t="shared" si="88"/>
        <v>0</v>
      </c>
      <c r="AY222" s="498">
        <f t="shared" si="89"/>
        <v>0</v>
      </c>
      <c r="BB222" s="498" t="str">
        <f t="shared" si="90"/>
        <v/>
      </c>
      <c r="BC222" s="743" t="str">
        <f t="shared" si="91"/>
        <v/>
      </c>
      <c r="BD222" s="743" t="str">
        <f t="shared" si="92"/>
        <v/>
      </c>
      <c r="BE222" s="743" t="str">
        <f>IF(D222="","",VLOOKUP(D222,'General Basis'!$J$39:$K$46,2,0))</f>
        <v/>
      </c>
      <c r="BF222" s="744" t="str">
        <f>IF(D222="","",VLOOKUP(D222,'General Basis'!$J$39:$L$46,3,0))</f>
        <v/>
      </c>
      <c r="BG222" s="744" t="str">
        <f t="shared" si="99"/>
        <v/>
      </c>
      <c r="BH222" s="744" t="str">
        <f>IF(G222="","",IF(BF222="Abu Dhabi",IF(G222&lt;18,'General Basis'!$C$39,IF(G222&lt;41,'General Basis'!$C$40,IF(G222&lt;60,'General Basis'!$C$41,IF(G222&lt;65,'General Basis'!$C$42,'General Basis'!$C$43)))),IF(G222&lt;11,'General Basis'!$B$39,IF(G222&lt;18,'General Basis'!$B$40,IF(G222&lt;26,'General Basis'!$B$41,IF(G222&lt;31,'General Basis'!$B$42,IF(G222&lt;36,'General Basis'!$B$43,IF(G222&lt;41,'General Basis'!$B$44,IF(G222&lt;46,'General Basis'!$B$45,IF(G222&lt;51,'General Basis'!$B$46,IF(G222&lt;56,'General Basis'!$B$47,IF(G222&lt;60,'General Basis'!$B$48,IF(G222&lt;65,'General Basis'!$B$49,'General Basis'!$B$50)))))))))))))</f>
        <v/>
      </c>
      <c r="BI222" s="744" t="str">
        <f t="shared" si="93"/>
        <v/>
      </c>
      <c r="BJ222" s="747" t="str">
        <f t="shared" si="100"/>
        <v/>
      </c>
      <c r="BK222" s="498" t="str">
        <f t="shared" si="94"/>
        <v/>
      </c>
      <c r="BL222" s="498" t="str">
        <f t="shared" si="95"/>
        <v/>
      </c>
    </row>
    <row r="223" spans="1:64" x14ac:dyDescent="0.25">
      <c r="A223" s="762">
        <f t="shared" si="96"/>
        <v>218</v>
      </c>
      <c r="B223" s="229"/>
      <c r="C223" s="223"/>
      <c r="D223" s="224"/>
      <c r="E223" s="225"/>
      <c r="F223" s="1036" t="str">
        <f t="shared" si="102"/>
        <v/>
      </c>
      <c r="G223" s="1037" t="str">
        <f t="shared" si="97"/>
        <v/>
      </c>
      <c r="H223" s="225"/>
      <c r="I223" s="1013"/>
      <c r="J223" s="1013"/>
      <c r="K223" s="1028"/>
      <c r="L223" s="1035" t="str">
        <f t="shared" si="101"/>
        <v/>
      </c>
      <c r="S223" s="498"/>
      <c r="AJ223" s="498"/>
      <c r="AM223" s="498">
        <f t="shared" si="82"/>
        <v>0</v>
      </c>
      <c r="AN223" s="498">
        <f t="shared" si="83"/>
        <v>0</v>
      </c>
      <c r="AO223" s="498">
        <f t="shared" si="84"/>
        <v>0</v>
      </c>
      <c r="AP223" s="498">
        <f t="shared" si="103"/>
        <v>0</v>
      </c>
      <c r="AQ223" s="498">
        <f t="shared" si="98"/>
        <v>0</v>
      </c>
      <c r="AU223" s="498">
        <f t="shared" si="85"/>
        <v>0</v>
      </c>
      <c r="AV223" s="498">
        <f t="shared" si="86"/>
        <v>0</v>
      </c>
      <c r="AW223" s="498">
        <f t="shared" si="87"/>
        <v>0</v>
      </c>
      <c r="AX223" s="498">
        <f t="shared" si="88"/>
        <v>0</v>
      </c>
      <c r="AY223" s="498">
        <f t="shared" si="89"/>
        <v>0</v>
      </c>
      <c r="BB223" s="498" t="str">
        <f t="shared" si="90"/>
        <v/>
      </c>
      <c r="BC223" s="743" t="str">
        <f t="shared" si="91"/>
        <v/>
      </c>
      <c r="BD223" s="743" t="str">
        <f t="shared" si="92"/>
        <v/>
      </c>
      <c r="BE223" s="743" t="str">
        <f>IF(D223="","",VLOOKUP(D223,'General Basis'!$J$39:$K$46,2,0))</f>
        <v/>
      </c>
      <c r="BF223" s="744" t="str">
        <f>IF(D223="","",VLOOKUP(D223,'General Basis'!$J$39:$L$46,3,0))</f>
        <v/>
      </c>
      <c r="BG223" s="744" t="str">
        <f t="shared" si="99"/>
        <v/>
      </c>
      <c r="BH223" s="744" t="str">
        <f>IF(G223="","",IF(BF223="Abu Dhabi",IF(G223&lt;18,'General Basis'!$C$39,IF(G223&lt;41,'General Basis'!$C$40,IF(G223&lt;60,'General Basis'!$C$41,IF(G223&lt;65,'General Basis'!$C$42,'General Basis'!$C$43)))),IF(G223&lt;11,'General Basis'!$B$39,IF(G223&lt;18,'General Basis'!$B$40,IF(G223&lt;26,'General Basis'!$B$41,IF(G223&lt;31,'General Basis'!$B$42,IF(G223&lt;36,'General Basis'!$B$43,IF(G223&lt;41,'General Basis'!$B$44,IF(G223&lt;46,'General Basis'!$B$45,IF(G223&lt;51,'General Basis'!$B$46,IF(G223&lt;56,'General Basis'!$B$47,IF(G223&lt;60,'General Basis'!$B$48,IF(G223&lt;65,'General Basis'!$B$49,'General Basis'!$B$50)))))))))))))</f>
        <v/>
      </c>
      <c r="BI223" s="744" t="str">
        <f t="shared" si="93"/>
        <v/>
      </c>
      <c r="BJ223" s="747" t="str">
        <f t="shared" si="100"/>
        <v/>
      </c>
      <c r="BK223" s="498" t="str">
        <f t="shared" si="94"/>
        <v/>
      </c>
      <c r="BL223" s="498" t="str">
        <f t="shared" si="95"/>
        <v/>
      </c>
    </row>
    <row r="224" spans="1:64" x14ac:dyDescent="0.25">
      <c r="A224" s="762">
        <f t="shared" si="96"/>
        <v>219</v>
      </c>
      <c r="B224" s="229"/>
      <c r="C224" s="223"/>
      <c r="D224" s="224"/>
      <c r="E224" s="225"/>
      <c r="F224" s="1036" t="str">
        <f t="shared" si="102"/>
        <v/>
      </c>
      <c r="G224" s="1037" t="str">
        <f t="shared" si="97"/>
        <v/>
      </c>
      <c r="H224" s="225"/>
      <c r="I224" s="1013"/>
      <c r="J224" s="1013"/>
      <c r="K224" s="1028"/>
      <c r="L224" s="1035" t="str">
        <f t="shared" si="101"/>
        <v/>
      </c>
      <c r="S224" s="498"/>
      <c r="AJ224" s="498"/>
      <c r="AM224" s="498">
        <f t="shared" si="82"/>
        <v>0</v>
      </c>
      <c r="AN224" s="498">
        <f t="shared" si="83"/>
        <v>0</v>
      </c>
      <c r="AO224" s="498">
        <f t="shared" si="84"/>
        <v>0</v>
      </c>
      <c r="AP224" s="498">
        <f t="shared" si="103"/>
        <v>0</v>
      </c>
      <c r="AQ224" s="498">
        <f t="shared" si="98"/>
        <v>0</v>
      </c>
      <c r="AU224" s="498">
        <f t="shared" si="85"/>
        <v>0</v>
      </c>
      <c r="AV224" s="498">
        <f t="shared" si="86"/>
        <v>0</v>
      </c>
      <c r="AW224" s="498">
        <f t="shared" si="87"/>
        <v>0</v>
      </c>
      <c r="AX224" s="498">
        <f t="shared" si="88"/>
        <v>0</v>
      </c>
      <c r="AY224" s="498">
        <f t="shared" si="89"/>
        <v>0</v>
      </c>
      <c r="BB224" s="498" t="str">
        <f t="shared" si="90"/>
        <v/>
      </c>
      <c r="BC224" s="743" t="str">
        <f t="shared" si="91"/>
        <v/>
      </c>
      <c r="BD224" s="743" t="str">
        <f t="shared" si="92"/>
        <v/>
      </c>
      <c r="BE224" s="743" t="str">
        <f>IF(D224="","",VLOOKUP(D224,'General Basis'!$J$39:$K$46,2,0))</f>
        <v/>
      </c>
      <c r="BF224" s="744" t="str">
        <f>IF(D224="","",VLOOKUP(D224,'General Basis'!$J$39:$L$46,3,0))</f>
        <v/>
      </c>
      <c r="BG224" s="744" t="str">
        <f t="shared" si="99"/>
        <v/>
      </c>
      <c r="BH224" s="744" t="str">
        <f>IF(G224="","",IF(BF224="Abu Dhabi",IF(G224&lt;18,'General Basis'!$C$39,IF(G224&lt;41,'General Basis'!$C$40,IF(G224&lt;60,'General Basis'!$C$41,IF(G224&lt;65,'General Basis'!$C$42,'General Basis'!$C$43)))),IF(G224&lt;11,'General Basis'!$B$39,IF(G224&lt;18,'General Basis'!$B$40,IF(G224&lt;26,'General Basis'!$B$41,IF(G224&lt;31,'General Basis'!$B$42,IF(G224&lt;36,'General Basis'!$B$43,IF(G224&lt;41,'General Basis'!$B$44,IF(G224&lt;46,'General Basis'!$B$45,IF(G224&lt;51,'General Basis'!$B$46,IF(G224&lt;56,'General Basis'!$B$47,IF(G224&lt;60,'General Basis'!$B$48,IF(G224&lt;65,'General Basis'!$B$49,'General Basis'!$B$50)))))))))))))</f>
        <v/>
      </c>
      <c r="BI224" s="744" t="str">
        <f t="shared" si="93"/>
        <v/>
      </c>
      <c r="BJ224" s="747" t="str">
        <f t="shared" si="100"/>
        <v/>
      </c>
      <c r="BK224" s="498" t="str">
        <f t="shared" si="94"/>
        <v/>
      </c>
      <c r="BL224" s="498" t="str">
        <f t="shared" si="95"/>
        <v/>
      </c>
    </row>
    <row r="225" spans="1:64" x14ac:dyDescent="0.25">
      <c r="A225" s="762">
        <f t="shared" si="96"/>
        <v>220</v>
      </c>
      <c r="B225" s="229"/>
      <c r="C225" s="223"/>
      <c r="D225" s="224"/>
      <c r="E225" s="225"/>
      <c r="F225" s="1036" t="str">
        <f t="shared" si="102"/>
        <v/>
      </c>
      <c r="G225" s="1037" t="str">
        <f t="shared" si="97"/>
        <v/>
      </c>
      <c r="H225" s="225"/>
      <c r="I225" s="1013"/>
      <c r="J225" s="1013"/>
      <c r="K225" s="1028"/>
      <c r="L225" s="1035" t="str">
        <f t="shared" si="101"/>
        <v/>
      </c>
      <c r="S225" s="498"/>
      <c r="AJ225" s="498"/>
      <c r="AM225" s="498">
        <f t="shared" si="82"/>
        <v>0</v>
      </c>
      <c r="AN225" s="498">
        <f t="shared" si="83"/>
        <v>0</v>
      </c>
      <c r="AO225" s="498">
        <f t="shared" si="84"/>
        <v>0</v>
      </c>
      <c r="AP225" s="498">
        <f t="shared" si="103"/>
        <v>0</v>
      </c>
      <c r="AQ225" s="498">
        <f t="shared" si="98"/>
        <v>0</v>
      </c>
      <c r="AU225" s="498">
        <f t="shared" si="85"/>
        <v>0</v>
      </c>
      <c r="AV225" s="498">
        <f t="shared" si="86"/>
        <v>0</v>
      </c>
      <c r="AW225" s="498">
        <f t="shared" si="87"/>
        <v>0</v>
      </c>
      <c r="AX225" s="498">
        <f t="shared" si="88"/>
        <v>0</v>
      </c>
      <c r="AY225" s="498">
        <f t="shared" si="89"/>
        <v>0</v>
      </c>
      <c r="BB225" s="498" t="str">
        <f t="shared" si="90"/>
        <v/>
      </c>
      <c r="BC225" s="743" t="str">
        <f t="shared" si="91"/>
        <v/>
      </c>
      <c r="BD225" s="743" t="str">
        <f t="shared" si="92"/>
        <v/>
      </c>
      <c r="BE225" s="743" t="str">
        <f>IF(D225="","",VLOOKUP(D225,'General Basis'!$J$39:$K$46,2,0))</f>
        <v/>
      </c>
      <c r="BF225" s="744" t="str">
        <f>IF(D225="","",VLOOKUP(D225,'General Basis'!$J$39:$L$46,3,0))</f>
        <v/>
      </c>
      <c r="BG225" s="744" t="str">
        <f t="shared" si="99"/>
        <v/>
      </c>
      <c r="BH225" s="744" t="str">
        <f>IF(G225="","",IF(BF225="Abu Dhabi",IF(G225&lt;18,'General Basis'!$C$39,IF(G225&lt;41,'General Basis'!$C$40,IF(G225&lt;60,'General Basis'!$C$41,IF(G225&lt;65,'General Basis'!$C$42,'General Basis'!$C$43)))),IF(G225&lt;11,'General Basis'!$B$39,IF(G225&lt;18,'General Basis'!$B$40,IF(G225&lt;26,'General Basis'!$B$41,IF(G225&lt;31,'General Basis'!$B$42,IF(G225&lt;36,'General Basis'!$B$43,IF(G225&lt;41,'General Basis'!$B$44,IF(G225&lt;46,'General Basis'!$B$45,IF(G225&lt;51,'General Basis'!$B$46,IF(G225&lt;56,'General Basis'!$B$47,IF(G225&lt;60,'General Basis'!$B$48,IF(G225&lt;65,'General Basis'!$B$49,'General Basis'!$B$50)))))))))))))</f>
        <v/>
      </c>
      <c r="BI225" s="744" t="str">
        <f t="shared" si="93"/>
        <v/>
      </c>
      <c r="BJ225" s="747" t="str">
        <f t="shared" si="100"/>
        <v/>
      </c>
      <c r="BK225" s="498" t="str">
        <f t="shared" si="94"/>
        <v/>
      </c>
      <c r="BL225" s="498" t="str">
        <f t="shared" si="95"/>
        <v/>
      </c>
    </row>
    <row r="226" spans="1:64" x14ac:dyDescent="0.25">
      <c r="A226" s="762">
        <f t="shared" si="96"/>
        <v>221</v>
      </c>
      <c r="B226" s="229"/>
      <c r="C226" s="223"/>
      <c r="D226" s="224"/>
      <c r="E226" s="225"/>
      <c r="F226" s="1036" t="str">
        <f t="shared" si="102"/>
        <v/>
      </c>
      <c r="G226" s="1037" t="str">
        <f t="shared" si="97"/>
        <v/>
      </c>
      <c r="H226" s="225"/>
      <c r="I226" s="1013"/>
      <c r="J226" s="1013"/>
      <c r="K226" s="1028"/>
      <c r="L226" s="1035" t="str">
        <f t="shared" si="101"/>
        <v/>
      </c>
      <c r="S226" s="498"/>
      <c r="AJ226" s="498"/>
      <c r="AM226" s="498">
        <f t="shared" si="82"/>
        <v>0</v>
      </c>
      <c r="AN226" s="498">
        <f t="shared" si="83"/>
        <v>0</v>
      </c>
      <c r="AO226" s="498">
        <f t="shared" si="84"/>
        <v>0</v>
      </c>
      <c r="AP226" s="498">
        <f t="shared" si="103"/>
        <v>0</v>
      </c>
      <c r="AQ226" s="498">
        <f t="shared" si="98"/>
        <v>0</v>
      </c>
      <c r="AU226" s="498">
        <f t="shared" si="85"/>
        <v>0</v>
      </c>
      <c r="AV226" s="498">
        <f t="shared" si="86"/>
        <v>0</v>
      </c>
      <c r="AW226" s="498">
        <f t="shared" si="87"/>
        <v>0</v>
      </c>
      <c r="AX226" s="498">
        <f t="shared" si="88"/>
        <v>0</v>
      </c>
      <c r="AY226" s="498">
        <f t="shared" si="89"/>
        <v>0</v>
      </c>
      <c r="BB226" s="498" t="str">
        <f t="shared" si="90"/>
        <v/>
      </c>
      <c r="BC226" s="743" t="str">
        <f t="shared" si="91"/>
        <v/>
      </c>
      <c r="BD226" s="743" t="str">
        <f t="shared" si="92"/>
        <v/>
      </c>
      <c r="BE226" s="743" t="str">
        <f>IF(D226="","",VLOOKUP(D226,'General Basis'!$J$39:$K$46,2,0))</f>
        <v/>
      </c>
      <c r="BF226" s="744" t="str">
        <f>IF(D226="","",VLOOKUP(D226,'General Basis'!$J$39:$L$46,3,0))</f>
        <v/>
      </c>
      <c r="BG226" s="744" t="str">
        <f t="shared" si="99"/>
        <v/>
      </c>
      <c r="BH226" s="744" t="str">
        <f>IF(G226="","",IF(BF226="Abu Dhabi",IF(G226&lt;18,'General Basis'!$C$39,IF(G226&lt;41,'General Basis'!$C$40,IF(G226&lt;60,'General Basis'!$C$41,IF(G226&lt;65,'General Basis'!$C$42,'General Basis'!$C$43)))),IF(G226&lt;11,'General Basis'!$B$39,IF(G226&lt;18,'General Basis'!$B$40,IF(G226&lt;26,'General Basis'!$B$41,IF(G226&lt;31,'General Basis'!$B$42,IF(G226&lt;36,'General Basis'!$B$43,IF(G226&lt;41,'General Basis'!$B$44,IF(G226&lt;46,'General Basis'!$B$45,IF(G226&lt;51,'General Basis'!$B$46,IF(G226&lt;56,'General Basis'!$B$47,IF(G226&lt;60,'General Basis'!$B$48,IF(G226&lt;65,'General Basis'!$B$49,'General Basis'!$B$50)))))))))))))</f>
        <v/>
      </c>
      <c r="BI226" s="744" t="str">
        <f t="shared" si="93"/>
        <v/>
      </c>
      <c r="BJ226" s="747" t="str">
        <f t="shared" si="100"/>
        <v/>
      </c>
      <c r="BK226" s="498" t="str">
        <f t="shared" si="94"/>
        <v/>
      </c>
      <c r="BL226" s="498" t="str">
        <f t="shared" si="95"/>
        <v/>
      </c>
    </row>
    <row r="227" spans="1:64" x14ac:dyDescent="0.25">
      <c r="A227" s="762">
        <f t="shared" si="96"/>
        <v>222</v>
      </c>
      <c r="B227" s="229"/>
      <c r="C227" s="223"/>
      <c r="D227" s="224"/>
      <c r="E227" s="225"/>
      <c r="F227" s="1036" t="str">
        <f t="shared" si="102"/>
        <v/>
      </c>
      <c r="G227" s="1037" t="str">
        <f t="shared" si="97"/>
        <v/>
      </c>
      <c r="H227" s="225"/>
      <c r="I227" s="1013"/>
      <c r="J227" s="1013"/>
      <c r="K227" s="1028"/>
      <c r="L227" s="1035" t="str">
        <f t="shared" si="101"/>
        <v/>
      </c>
      <c r="S227" s="498"/>
      <c r="AJ227" s="498"/>
      <c r="AM227" s="498">
        <f t="shared" si="82"/>
        <v>0</v>
      </c>
      <c r="AN227" s="498">
        <f t="shared" si="83"/>
        <v>0</v>
      </c>
      <c r="AO227" s="498">
        <f t="shared" si="84"/>
        <v>0</v>
      </c>
      <c r="AP227" s="498">
        <f t="shared" si="103"/>
        <v>0</v>
      </c>
      <c r="AQ227" s="498">
        <f t="shared" si="98"/>
        <v>0</v>
      </c>
      <c r="AU227" s="498">
        <f t="shared" si="85"/>
        <v>0</v>
      </c>
      <c r="AV227" s="498">
        <f t="shared" si="86"/>
        <v>0</v>
      </c>
      <c r="AW227" s="498">
        <f t="shared" si="87"/>
        <v>0</v>
      </c>
      <c r="AX227" s="498">
        <f t="shared" si="88"/>
        <v>0</v>
      </c>
      <c r="AY227" s="498">
        <f t="shared" si="89"/>
        <v>0</v>
      </c>
      <c r="BB227" s="498" t="str">
        <f t="shared" si="90"/>
        <v/>
      </c>
      <c r="BC227" s="743" t="str">
        <f t="shared" si="91"/>
        <v/>
      </c>
      <c r="BD227" s="743" t="str">
        <f t="shared" si="92"/>
        <v/>
      </c>
      <c r="BE227" s="743" t="str">
        <f>IF(D227="","",VLOOKUP(D227,'General Basis'!$J$39:$K$46,2,0))</f>
        <v/>
      </c>
      <c r="BF227" s="744" t="str">
        <f>IF(D227="","",VLOOKUP(D227,'General Basis'!$J$39:$L$46,3,0))</f>
        <v/>
      </c>
      <c r="BG227" s="744" t="str">
        <f t="shared" si="99"/>
        <v/>
      </c>
      <c r="BH227" s="744" t="str">
        <f>IF(G227="","",IF(BF227="Abu Dhabi",IF(G227&lt;18,'General Basis'!$C$39,IF(G227&lt;41,'General Basis'!$C$40,IF(G227&lt;60,'General Basis'!$C$41,IF(G227&lt;65,'General Basis'!$C$42,'General Basis'!$C$43)))),IF(G227&lt;11,'General Basis'!$B$39,IF(G227&lt;18,'General Basis'!$B$40,IF(G227&lt;26,'General Basis'!$B$41,IF(G227&lt;31,'General Basis'!$B$42,IF(G227&lt;36,'General Basis'!$B$43,IF(G227&lt;41,'General Basis'!$B$44,IF(G227&lt;46,'General Basis'!$B$45,IF(G227&lt;51,'General Basis'!$B$46,IF(G227&lt;56,'General Basis'!$B$47,IF(G227&lt;60,'General Basis'!$B$48,IF(G227&lt;65,'General Basis'!$B$49,'General Basis'!$B$50)))))))))))))</f>
        <v/>
      </c>
      <c r="BI227" s="744" t="str">
        <f t="shared" si="93"/>
        <v/>
      </c>
      <c r="BJ227" s="747" t="str">
        <f t="shared" si="100"/>
        <v/>
      </c>
      <c r="BK227" s="498" t="str">
        <f t="shared" si="94"/>
        <v/>
      </c>
      <c r="BL227" s="498" t="str">
        <f t="shared" si="95"/>
        <v/>
      </c>
    </row>
    <row r="228" spans="1:64" x14ac:dyDescent="0.25">
      <c r="A228" s="762">
        <f t="shared" si="96"/>
        <v>223</v>
      </c>
      <c r="B228" s="229"/>
      <c r="C228" s="223"/>
      <c r="D228" s="224"/>
      <c r="E228" s="225"/>
      <c r="F228" s="1036" t="str">
        <f t="shared" si="102"/>
        <v/>
      </c>
      <c r="G228" s="1037" t="str">
        <f t="shared" si="97"/>
        <v/>
      </c>
      <c r="H228" s="225"/>
      <c r="I228" s="1013"/>
      <c r="J228" s="1013"/>
      <c r="K228" s="1028"/>
      <c r="L228" s="1035" t="str">
        <f t="shared" si="101"/>
        <v/>
      </c>
      <c r="S228" s="498"/>
      <c r="AJ228" s="498"/>
      <c r="AM228" s="498">
        <f t="shared" si="82"/>
        <v>0</v>
      </c>
      <c r="AN228" s="498">
        <f t="shared" si="83"/>
        <v>0</v>
      </c>
      <c r="AO228" s="498">
        <f t="shared" si="84"/>
        <v>0</v>
      </c>
      <c r="AP228" s="498">
        <f t="shared" si="103"/>
        <v>0</v>
      </c>
      <c r="AQ228" s="498">
        <f t="shared" si="98"/>
        <v>0</v>
      </c>
      <c r="AU228" s="498">
        <f t="shared" si="85"/>
        <v>0</v>
      </c>
      <c r="AV228" s="498">
        <f t="shared" si="86"/>
        <v>0</v>
      </c>
      <c r="AW228" s="498">
        <f t="shared" si="87"/>
        <v>0</v>
      </c>
      <c r="AX228" s="498">
        <f t="shared" si="88"/>
        <v>0</v>
      </c>
      <c r="AY228" s="498">
        <f t="shared" si="89"/>
        <v>0</v>
      </c>
      <c r="BB228" s="498" t="str">
        <f t="shared" si="90"/>
        <v/>
      </c>
      <c r="BC228" s="743" t="str">
        <f t="shared" si="91"/>
        <v/>
      </c>
      <c r="BD228" s="743" t="str">
        <f t="shared" si="92"/>
        <v/>
      </c>
      <c r="BE228" s="743" t="str">
        <f>IF(D228="","",VLOOKUP(D228,'General Basis'!$J$39:$K$46,2,0))</f>
        <v/>
      </c>
      <c r="BF228" s="744" t="str">
        <f>IF(D228="","",VLOOKUP(D228,'General Basis'!$J$39:$L$46,3,0))</f>
        <v/>
      </c>
      <c r="BG228" s="744" t="str">
        <f t="shared" si="99"/>
        <v/>
      </c>
      <c r="BH228" s="744" t="str">
        <f>IF(G228="","",IF(BF228="Abu Dhabi",IF(G228&lt;18,'General Basis'!$C$39,IF(G228&lt;41,'General Basis'!$C$40,IF(G228&lt;60,'General Basis'!$C$41,IF(G228&lt;65,'General Basis'!$C$42,'General Basis'!$C$43)))),IF(G228&lt;11,'General Basis'!$B$39,IF(G228&lt;18,'General Basis'!$B$40,IF(G228&lt;26,'General Basis'!$B$41,IF(G228&lt;31,'General Basis'!$B$42,IF(G228&lt;36,'General Basis'!$B$43,IF(G228&lt;41,'General Basis'!$B$44,IF(G228&lt;46,'General Basis'!$B$45,IF(G228&lt;51,'General Basis'!$B$46,IF(G228&lt;56,'General Basis'!$B$47,IF(G228&lt;60,'General Basis'!$B$48,IF(G228&lt;65,'General Basis'!$B$49,'General Basis'!$B$50)))))))))))))</f>
        <v/>
      </c>
      <c r="BI228" s="744" t="str">
        <f t="shared" si="93"/>
        <v/>
      </c>
      <c r="BJ228" s="747" t="str">
        <f t="shared" si="100"/>
        <v/>
      </c>
      <c r="BK228" s="498" t="str">
        <f t="shared" si="94"/>
        <v/>
      </c>
      <c r="BL228" s="498" t="str">
        <f t="shared" si="95"/>
        <v/>
      </c>
    </row>
    <row r="229" spans="1:64" x14ac:dyDescent="0.25">
      <c r="A229" s="762">
        <f t="shared" si="96"/>
        <v>224</v>
      </c>
      <c r="B229" s="229"/>
      <c r="C229" s="223"/>
      <c r="D229" s="224"/>
      <c r="E229" s="225"/>
      <c r="F229" s="1036" t="str">
        <f t="shared" si="102"/>
        <v/>
      </c>
      <c r="G229" s="1037" t="str">
        <f t="shared" si="97"/>
        <v/>
      </c>
      <c r="H229" s="225"/>
      <c r="I229" s="1013"/>
      <c r="J229" s="1013"/>
      <c r="K229" s="1028"/>
      <c r="L229" s="1035" t="str">
        <f t="shared" si="101"/>
        <v/>
      </c>
      <c r="S229" s="498"/>
      <c r="AJ229" s="498"/>
      <c r="AM229" s="498">
        <f t="shared" si="82"/>
        <v>0</v>
      </c>
      <c r="AN229" s="498">
        <f t="shared" si="83"/>
        <v>0</v>
      </c>
      <c r="AO229" s="498">
        <f t="shared" si="84"/>
        <v>0</v>
      </c>
      <c r="AP229" s="498">
        <f t="shared" si="103"/>
        <v>0</v>
      </c>
      <c r="AQ229" s="498">
        <f t="shared" si="98"/>
        <v>0</v>
      </c>
      <c r="AU229" s="498">
        <f t="shared" si="85"/>
        <v>0</v>
      </c>
      <c r="AV229" s="498">
        <f t="shared" si="86"/>
        <v>0</v>
      </c>
      <c r="AW229" s="498">
        <f t="shared" si="87"/>
        <v>0</v>
      </c>
      <c r="AX229" s="498">
        <f t="shared" si="88"/>
        <v>0</v>
      </c>
      <c r="AY229" s="498">
        <f t="shared" si="89"/>
        <v>0</v>
      </c>
      <c r="BB229" s="498" t="str">
        <f t="shared" si="90"/>
        <v/>
      </c>
      <c r="BC229" s="743" t="str">
        <f t="shared" si="91"/>
        <v/>
      </c>
      <c r="BD229" s="743" t="str">
        <f t="shared" si="92"/>
        <v/>
      </c>
      <c r="BE229" s="743" t="str">
        <f>IF(D229="","",VLOOKUP(D229,'General Basis'!$J$39:$K$46,2,0))</f>
        <v/>
      </c>
      <c r="BF229" s="744" t="str">
        <f>IF(D229="","",VLOOKUP(D229,'General Basis'!$J$39:$L$46,3,0))</f>
        <v/>
      </c>
      <c r="BG229" s="744" t="str">
        <f t="shared" si="99"/>
        <v/>
      </c>
      <c r="BH229" s="744" t="str">
        <f>IF(G229="","",IF(BF229="Abu Dhabi",IF(G229&lt;18,'General Basis'!$C$39,IF(G229&lt;41,'General Basis'!$C$40,IF(G229&lt;60,'General Basis'!$C$41,IF(G229&lt;65,'General Basis'!$C$42,'General Basis'!$C$43)))),IF(G229&lt;11,'General Basis'!$B$39,IF(G229&lt;18,'General Basis'!$B$40,IF(G229&lt;26,'General Basis'!$B$41,IF(G229&lt;31,'General Basis'!$B$42,IF(G229&lt;36,'General Basis'!$B$43,IF(G229&lt;41,'General Basis'!$B$44,IF(G229&lt;46,'General Basis'!$B$45,IF(G229&lt;51,'General Basis'!$B$46,IF(G229&lt;56,'General Basis'!$B$47,IF(G229&lt;60,'General Basis'!$B$48,IF(G229&lt;65,'General Basis'!$B$49,'General Basis'!$B$50)))))))))))))</f>
        <v/>
      </c>
      <c r="BI229" s="744" t="str">
        <f t="shared" si="93"/>
        <v/>
      </c>
      <c r="BJ229" s="747" t="str">
        <f t="shared" si="100"/>
        <v/>
      </c>
      <c r="BK229" s="498" t="str">
        <f t="shared" si="94"/>
        <v/>
      </c>
      <c r="BL229" s="498" t="str">
        <f t="shared" si="95"/>
        <v/>
      </c>
    </row>
    <row r="230" spans="1:64" x14ac:dyDescent="0.25">
      <c r="A230" s="762">
        <f t="shared" si="96"/>
        <v>225</v>
      </c>
      <c r="B230" s="229"/>
      <c r="C230" s="223"/>
      <c r="D230" s="224"/>
      <c r="E230" s="225"/>
      <c r="F230" s="1036" t="str">
        <f t="shared" si="102"/>
        <v/>
      </c>
      <c r="G230" s="1037" t="str">
        <f t="shared" si="97"/>
        <v/>
      </c>
      <c r="H230" s="225"/>
      <c r="I230" s="1013"/>
      <c r="J230" s="1013"/>
      <c r="K230" s="1028"/>
      <c r="L230" s="1035" t="str">
        <f t="shared" si="101"/>
        <v/>
      </c>
      <c r="S230" s="498"/>
      <c r="AJ230" s="498"/>
      <c r="AM230" s="498">
        <f t="shared" si="82"/>
        <v>0</v>
      </c>
      <c r="AN230" s="498">
        <f t="shared" si="83"/>
        <v>0</v>
      </c>
      <c r="AO230" s="498">
        <f t="shared" si="84"/>
        <v>0</v>
      </c>
      <c r="AP230" s="498">
        <f t="shared" si="103"/>
        <v>0</v>
      </c>
      <c r="AQ230" s="498">
        <f t="shared" si="98"/>
        <v>0</v>
      </c>
      <c r="AU230" s="498">
        <f t="shared" si="85"/>
        <v>0</v>
      </c>
      <c r="AV230" s="498">
        <f t="shared" si="86"/>
        <v>0</v>
      </c>
      <c r="AW230" s="498">
        <f t="shared" si="87"/>
        <v>0</v>
      </c>
      <c r="AX230" s="498">
        <f t="shared" si="88"/>
        <v>0</v>
      </c>
      <c r="AY230" s="498">
        <f t="shared" si="89"/>
        <v>0</v>
      </c>
      <c r="BB230" s="498" t="str">
        <f t="shared" si="90"/>
        <v/>
      </c>
      <c r="BC230" s="743" t="str">
        <f t="shared" si="91"/>
        <v/>
      </c>
      <c r="BD230" s="743" t="str">
        <f t="shared" si="92"/>
        <v/>
      </c>
      <c r="BE230" s="743" t="str">
        <f>IF(D230="","",VLOOKUP(D230,'General Basis'!$J$39:$K$46,2,0))</f>
        <v/>
      </c>
      <c r="BF230" s="744" t="str">
        <f>IF(D230="","",VLOOKUP(D230,'General Basis'!$J$39:$L$46,3,0))</f>
        <v/>
      </c>
      <c r="BG230" s="744" t="str">
        <f t="shared" si="99"/>
        <v/>
      </c>
      <c r="BH230" s="744" t="str">
        <f>IF(G230="","",IF(BF230="Abu Dhabi",IF(G230&lt;18,'General Basis'!$C$39,IF(G230&lt;41,'General Basis'!$C$40,IF(G230&lt;60,'General Basis'!$C$41,IF(G230&lt;65,'General Basis'!$C$42,'General Basis'!$C$43)))),IF(G230&lt;11,'General Basis'!$B$39,IF(G230&lt;18,'General Basis'!$B$40,IF(G230&lt;26,'General Basis'!$B$41,IF(G230&lt;31,'General Basis'!$B$42,IF(G230&lt;36,'General Basis'!$B$43,IF(G230&lt;41,'General Basis'!$B$44,IF(G230&lt;46,'General Basis'!$B$45,IF(G230&lt;51,'General Basis'!$B$46,IF(G230&lt;56,'General Basis'!$B$47,IF(G230&lt;60,'General Basis'!$B$48,IF(G230&lt;65,'General Basis'!$B$49,'General Basis'!$B$50)))))))))))))</f>
        <v/>
      </c>
      <c r="BI230" s="744" t="str">
        <f t="shared" si="93"/>
        <v/>
      </c>
      <c r="BJ230" s="747" t="str">
        <f t="shared" si="100"/>
        <v/>
      </c>
      <c r="BK230" s="498" t="str">
        <f t="shared" si="94"/>
        <v/>
      </c>
      <c r="BL230" s="498" t="str">
        <f t="shared" si="95"/>
        <v/>
      </c>
    </row>
    <row r="231" spans="1:64" x14ac:dyDescent="0.25">
      <c r="A231" s="762">
        <f t="shared" si="96"/>
        <v>226</v>
      </c>
      <c r="B231" s="229"/>
      <c r="C231" s="223"/>
      <c r="D231" s="224"/>
      <c r="E231" s="225"/>
      <c r="F231" s="1036" t="str">
        <f t="shared" si="102"/>
        <v/>
      </c>
      <c r="G231" s="1037" t="str">
        <f t="shared" si="97"/>
        <v/>
      </c>
      <c r="H231" s="225"/>
      <c r="I231" s="1013"/>
      <c r="J231" s="1013"/>
      <c r="K231" s="1028"/>
      <c r="L231" s="1035" t="str">
        <f t="shared" si="101"/>
        <v/>
      </c>
      <c r="S231" s="498"/>
      <c r="AJ231" s="498"/>
      <c r="AM231" s="498">
        <f t="shared" si="82"/>
        <v>0</v>
      </c>
      <c r="AN231" s="498">
        <f t="shared" si="83"/>
        <v>0</v>
      </c>
      <c r="AO231" s="498">
        <f t="shared" si="84"/>
        <v>0</v>
      </c>
      <c r="AP231" s="498">
        <f t="shared" si="103"/>
        <v>0</v>
      </c>
      <c r="AQ231" s="498">
        <f t="shared" si="98"/>
        <v>0</v>
      </c>
      <c r="AU231" s="498">
        <f t="shared" si="85"/>
        <v>0</v>
      </c>
      <c r="AV231" s="498">
        <f t="shared" si="86"/>
        <v>0</v>
      </c>
      <c r="AW231" s="498">
        <f t="shared" si="87"/>
        <v>0</v>
      </c>
      <c r="AX231" s="498">
        <f t="shared" si="88"/>
        <v>0</v>
      </c>
      <c r="AY231" s="498">
        <f t="shared" si="89"/>
        <v>0</v>
      </c>
      <c r="BB231" s="498" t="str">
        <f t="shared" si="90"/>
        <v/>
      </c>
      <c r="BC231" s="743" t="str">
        <f t="shared" si="91"/>
        <v/>
      </c>
      <c r="BD231" s="743" t="str">
        <f t="shared" si="92"/>
        <v/>
      </c>
      <c r="BE231" s="743" t="str">
        <f>IF(D231="","",VLOOKUP(D231,'General Basis'!$J$39:$K$46,2,0))</f>
        <v/>
      </c>
      <c r="BF231" s="744" t="str">
        <f>IF(D231="","",VLOOKUP(D231,'General Basis'!$J$39:$L$46,3,0))</f>
        <v/>
      </c>
      <c r="BG231" s="744" t="str">
        <f t="shared" si="99"/>
        <v/>
      </c>
      <c r="BH231" s="744" t="str">
        <f>IF(G231="","",IF(BF231="Abu Dhabi",IF(G231&lt;18,'General Basis'!$C$39,IF(G231&lt;41,'General Basis'!$C$40,IF(G231&lt;60,'General Basis'!$C$41,IF(G231&lt;65,'General Basis'!$C$42,'General Basis'!$C$43)))),IF(G231&lt;11,'General Basis'!$B$39,IF(G231&lt;18,'General Basis'!$B$40,IF(G231&lt;26,'General Basis'!$B$41,IF(G231&lt;31,'General Basis'!$B$42,IF(G231&lt;36,'General Basis'!$B$43,IF(G231&lt;41,'General Basis'!$B$44,IF(G231&lt;46,'General Basis'!$B$45,IF(G231&lt;51,'General Basis'!$B$46,IF(G231&lt;56,'General Basis'!$B$47,IF(G231&lt;60,'General Basis'!$B$48,IF(G231&lt;65,'General Basis'!$B$49,'General Basis'!$B$50)))))))))))))</f>
        <v/>
      </c>
      <c r="BI231" s="744" t="str">
        <f t="shared" si="93"/>
        <v/>
      </c>
      <c r="BJ231" s="747" t="str">
        <f t="shared" si="100"/>
        <v/>
      </c>
      <c r="BK231" s="498" t="str">
        <f t="shared" si="94"/>
        <v/>
      </c>
      <c r="BL231" s="498" t="str">
        <f t="shared" si="95"/>
        <v/>
      </c>
    </row>
    <row r="232" spans="1:64" x14ac:dyDescent="0.25">
      <c r="A232" s="762">
        <f t="shared" si="96"/>
        <v>227</v>
      </c>
      <c r="B232" s="229"/>
      <c r="C232" s="223"/>
      <c r="D232" s="224"/>
      <c r="E232" s="225"/>
      <c r="F232" s="1036" t="str">
        <f t="shared" si="102"/>
        <v/>
      </c>
      <c r="G232" s="1037" t="str">
        <f t="shared" si="97"/>
        <v/>
      </c>
      <c r="H232" s="225"/>
      <c r="I232" s="1013"/>
      <c r="J232" s="1013"/>
      <c r="K232" s="1028"/>
      <c r="L232" s="1035" t="str">
        <f t="shared" si="101"/>
        <v/>
      </c>
      <c r="S232" s="498"/>
      <c r="AJ232" s="498"/>
      <c r="AM232" s="498">
        <f t="shared" si="82"/>
        <v>0</v>
      </c>
      <c r="AN232" s="498">
        <f t="shared" si="83"/>
        <v>0</v>
      </c>
      <c r="AO232" s="498">
        <f t="shared" si="84"/>
        <v>0</v>
      </c>
      <c r="AP232" s="498">
        <f t="shared" si="103"/>
        <v>0</v>
      </c>
      <c r="AQ232" s="498">
        <f t="shared" si="98"/>
        <v>0</v>
      </c>
      <c r="AU232" s="498">
        <f t="shared" si="85"/>
        <v>0</v>
      </c>
      <c r="AV232" s="498">
        <f t="shared" si="86"/>
        <v>0</v>
      </c>
      <c r="AW232" s="498">
        <f t="shared" si="87"/>
        <v>0</v>
      </c>
      <c r="AX232" s="498">
        <f t="shared" si="88"/>
        <v>0</v>
      </c>
      <c r="AY232" s="498">
        <f t="shared" si="89"/>
        <v>0</v>
      </c>
      <c r="BB232" s="498" t="str">
        <f t="shared" si="90"/>
        <v/>
      </c>
      <c r="BC232" s="743" t="str">
        <f t="shared" si="91"/>
        <v/>
      </c>
      <c r="BD232" s="743" t="str">
        <f t="shared" si="92"/>
        <v/>
      </c>
      <c r="BE232" s="743" t="str">
        <f>IF(D232="","",VLOOKUP(D232,'General Basis'!$J$39:$K$46,2,0))</f>
        <v/>
      </c>
      <c r="BF232" s="744" t="str">
        <f>IF(D232="","",VLOOKUP(D232,'General Basis'!$J$39:$L$46,3,0))</f>
        <v/>
      </c>
      <c r="BG232" s="744" t="str">
        <f t="shared" si="99"/>
        <v/>
      </c>
      <c r="BH232" s="744" t="str">
        <f>IF(G232="","",IF(BF232="Abu Dhabi",IF(G232&lt;18,'General Basis'!$C$39,IF(G232&lt;41,'General Basis'!$C$40,IF(G232&lt;60,'General Basis'!$C$41,IF(G232&lt;65,'General Basis'!$C$42,'General Basis'!$C$43)))),IF(G232&lt;11,'General Basis'!$B$39,IF(G232&lt;18,'General Basis'!$B$40,IF(G232&lt;26,'General Basis'!$B$41,IF(G232&lt;31,'General Basis'!$B$42,IF(G232&lt;36,'General Basis'!$B$43,IF(G232&lt;41,'General Basis'!$B$44,IF(G232&lt;46,'General Basis'!$B$45,IF(G232&lt;51,'General Basis'!$B$46,IF(G232&lt;56,'General Basis'!$B$47,IF(G232&lt;60,'General Basis'!$B$48,IF(G232&lt;65,'General Basis'!$B$49,'General Basis'!$B$50)))))))))))))</f>
        <v/>
      </c>
      <c r="BI232" s="744" t="str">
        <f t="shared" si="93"/>
        <v/>
      </c>
      <c r="BJ232" s="747" t="str">
        <f t="shared" si="100"/>
        <v/>
      </c>
      <c r="BK232" s="498" t="str">
        <f t="shared" si="94"/>
        <v/>
      </c>
      <c r="BL232" s="498" t="str">
        <f t="shared" si="95"/>
        <v/>
      </c>
    </row>
    <row r="233" spans="1:64" x14ac:dyDescent="0.25">
      <c r="A233" s="762">
        <f t="shared" si="96"/>
        <v>228</v>
      </c>
      <c r="B233" s="229"/>
      <c r="C233" s="223"/>
      <c r="D233" s="224"/>
      <c r="E233" s="225"/>
      <c r="F233" s="1036" t="str">
        <f t="shared" si="102"/>
        <v/>
      </c>
      <c r="G233" s="1037" t="str">
        <f t="shared" si="97"/>
        <v/>
      </c>
      <c r="H233" s="225"/>
      <c r="I233" s="1013"/>
      <c r="J233" s="1013"/>
      <c r="K233" s="1028"/>
      <c r="L233" s="1035" t="str">
        <f t="shared" si="101"/>
        <v/>
      </c>
      <c r="S233" s="498"/>
      <c r="AJ233" s="498"/>
      <c r="AM233" s="498">
        <f t="shared" si="82"/>
        <v>0</v>
      </c>
      <c r="AN233" s="498">
        <f t="shared" si="83"/>
        <v>0</v>
      </c>
      <c r="AO233" s="498">
        <f t="shared" si="84"/>
        <v>0</v>
      </c>
      <c r="AP233" s="498">
        <f t="shared" si="103"/>
        <v>0</v>
      </c>
      <c r="AQ233" s="498">
        <f t="shared" si="98"/>
        <v>0</v>
      </c>
      <c r="AU233" s="498">
        <f t="shared" si="85"/>
        <v>0</v>
      </c>
      <c r="AV233" s="498">
        <f t="shared" si="86"/>
        <v>0</v>
      </c>
      <c r="AW233" s="498">
        <f t="shared" si="87"/>
        <v>0</v>
      </c>
      <c r="AX233" s="498">
        <f t="shared" si="88"/>
        <v>0</v>
      </c>
      <c r="AY233" s="498">
        <f t="shared" si="89"/>
        <v>0</v>
      </c>
      <c r="BB233" s="498" t="str">
        <f t="shared" si="90"/>
        <v/>
      </c>
      <c r="BC233" s="743" t="str">
        <f t="shared" si="91"/>
        <v/>
      </c>
      <c r="BD233" s="743" t="str">
        <f t="shared" si="92"/>
        <v/>
      </c>
      <c r="BE233" s="743" t="str">
        <f>IF(D233="","",VLOOKUP(D233,'General Basis'!$J$39:$K$46,2,0))</f>
        <v/>
      </c>
      <c r="BF233" s="744" t="str">
        <f>IF(D233="","",VLOOKUP(D233,'General Basis'!$J$39:$L$46,3,0))</f>
        <v/>
      </c>
      <c r="BG233" s="744" t="str">
        <f t="shared" si="99"/>
        <v/>
      </c>
      <c r="BH233" s="744" t="str">
        <f>IF(G233="","",IF(BF233="Abu Dhabi",IF(G233&lt;18,'General Basis'!$C$39,IF(G233&lt;41,'General Basis'!$C$40,IF(G233&lt;60,'General Basis'!$C$41,IF(G233&lt;65,'General Basis'!$C$42,'General Basis'!$C$43)))),IF(G233&lt;11,'General Basis'!$B$39,IF(G233&lt;18,'General Basis'!$B$40,IF(G233&lt;26,'General Basis'!$B$41,IF(G233&lt;31,'General Basis'!$B$42,IF(G233&lt;36,'General Basis'!$B$43,IF(G233&lt;41,'General Basis'!$B$44,IF(G233&lt;46,'General Basis'!$B$45,IF(G233&lt;51,'General Basis'!$B$46,IF(G233&lt;56,'General Basis'!$B$47,IF(G233&lt;60,'General Basis'!$B$48,IF(G233&lt;65,'General Basis'!$B$49,'General Basis'!$B$50)))))))))))))</f>
        <v/>
      </c>
      <c r="BI233" s="744" t="str">
        <f t="shared" si="93"/>
        <v/>
      </c>
      <c r="BJ233" s="747" t="str">
        <f t="shared" si="100"/>
        <v/>
      </c>
      <c r="BK233" s="498" t="str">
        <f t="shared" si="94"/>
        <v/>
      </c>
      <c r="BL233" s="498" t="str">
        <f t="shared" si="95"/>
        <v/>
      </c>
    </row>
    <row r="234" spans="1:64" x14ac:dyDescent="0.25">
      <c r="A234" s="762">
        <f t="shared" si="96"/>
        <v>229</v>
      </c>
      <c r="B234" s="229"/>
      <c r="C234" s="223"/>
      <c r="D234" s="224"/>
      <c r="E234" s="225"/>
      <c r="F234" s="1036" t="str">
        <f t="shared" si="102"/>
        <v/>
      </c>
      <c r="G234" s="1037" t="str">
        <f t="shared" si="97"/>
        <v/>
      </c>
      <c r="H234" s="225"/>
      <c r="I234" s="1013"/>
      <c r="J234" s="1013"/>
      <c r="K234" s="1028"/>
      <c r="L234" s="1035" t="str">
        <f t="shared" si="101"/>
        <v/>
      </c>
      <c r="S234" s="498"/>
      <c r="AJ234" s="498"/>
      <c r="AM234" s="498">
        <f t="shared" si="82"/>
        <v>0</v>
      </c>
      <c r="AN234" s="498">
        <f t="shared" si="83"/>
        <v>0</v>
      </c>
      <c r="AO234" s="498">
        <f t="shared" si="84"/>
        <v>0</v>
      </c>
      <c r="AP234" s="498">
        <f t="shared" si="103"/>
        <v>0</v>
      </c>
      <c r="AQ234" s="498">
        <f t="shared" si="98"/>
        <v>0</v>
      </c>
      <c r="AU234" s="498">
        <f t="shared" si="85"/>
        <v>0</v>
      </c>
      <c r="AV234" s="498">
        <f t="shared" si="86"/>
        <v>0</v>
      </c>
      <c r="AW234" s="498">
        <f t="shared" si="87"/>
        <v>0</v>
      </c>
      <c r="AX234" s="498">
        <f t="shared" si="88"/>
        <v>0</v>
      </c>
      <c r="AY234" s="498">
        <f t="shared" si="89"/>
        <v>0</v>
      </c>
      <c r="BB234" s="498" t="str">
        <f t="shared" si="90"/>
        <v/>
      </c>
      <c r="BC234" s="743" t="str">
        <f t="shared" si="91"/>
        <v/>
      </c>
      <c r="BD234" s="743" t="str">
        <f t="shared" si="92"/>
        <v/>
      </c>
      <c r="BE234" s="743" t="str">
        <f>IF(D234="","",VLOOKUP(D234,'General Basis'!$J$39:$K$46,2,0))</f>
        <v/>
      </c>
      <c r="BF234" s="744" t="str">
        <f>IF(D234="","",VLOOKUP(D234,'General Basis'!$J$39:$L$46,3,0))</f>
        <v/>
      </c>
      <c r="BG234" s="744" t="str">
        <f t="shared" si="99"/>
        <v/>
      </c>
      <c r="BH234" s="744" t="str">
        <f>IF(G234="","",IF(BF234="Abu Dhabi",IF(G234&lt;18,'General Basis'!$C$39,IF(G234&lt;41,'General Basis'!$C$40,IF(G234&lt;60,'General Basis'!$C$41,IF(G234&lt;65,'General Basis'!$C$42,'General Basis'!$C$43)))),IF(G234&lt;11,'General Basis'!$B$39,IF(G234&lt;18,'General Basis'!$B$40,IF(G234&lt;26,'General Basis'!$B$41,IF(G234&lt;31,'General Basis'!$B$42,IF(G234&lt;36,'General Basis'!$B$43,IF(G234&lt;41,'General Basis'!$B$44,IF(G234&lt;46,'General Basis'!$B$45,IF(G234&lt;51,'General Basis'!$B$46,IF(G234&lt;56,'General Basis'!$B$47,IF(G234&lt;60,'General Basis'!$B$48,IF(G234&lt;65,'General Basis'!$B$49,'General Basis'!$B$50)))))))))))))</f>
        <v/>
      </c>
      <c r="BI234" s="744" t="str">
        <f t="shared" si="93"/>
        <v/>
      </c>
      <c r="BJ234" s="747" t="str">
        <f t="shared" si="100"/>
        <v/>
      </c>
      <c r="BK234" s="498" t="str">
        <f t="shared" si="94"/>
        <v/>
      </c>
      <c r="BL234" s="498" t="str">
        <f t="shared" si="95"/>
        <v/>
      </c>
    </row>
    <row r="235" spans="1:64" x14ac:dyDescent="0.25">
      <c r="A235" s="762">
        <f t="shared" si="96"/>
        <v>230</v>
      </c>
      <c r="B235" s="229"/>
      <c r="C235" s="223"/>
      <c r="D235" s="224"/>
      <c r="E235" s="225"/>
      <c r="F235" s="1036" t="str">
        <f t="shared" si="102"/>
        <v/>
      </c>
      <c r="G235" s="1037" t="str">
        <f t="shared" si="97"/>
        <v/>
      </c>
      <c r="H235" s="225"/>
      <c r="I235" s="1013"/>
      <c r="J235" s="1013"/>
      <c r="K235" s="1028"/>
      <c r="L235" s="1035" t="str">
        <f t="shared" si="101"/>
        <v/>
      </c>
      <c r="S235" s="498"/>
      <c r="AJ235" s="498"/>
      <c r="AM235" s="498">
        <f t="shared" si="82"/>
        <v>0</v>
      </c>
      <c r="AN235" s="498">
        <f t="shared" si="83"/>
        <v>0</v>
      </c>
      <c r="AO235" s="498">
        <f t="shared" si="84"/>
        <v>0</v>
      </c>
      <c r="AP235" s="498">
        <f t="shared" si="103"/>
        <v>0</v>
      </c>
      <c r="AQ235" s="498">
        <f t="shared" si="98"/>
        <v>0</v>
      </c>
      <c r="AU235" s="498">
        <f t="shared" si="85"/>
        <v>0</v>
      </c>
      <c r="AV235" s="498">
        <f t="shared" si="86"/>
        <v>0</v>
      </c>
      <c r="AW235" s="498">
        <f t="shared" si="87"/>
        <v>0</v>
      </c>
      <c r="AX235" s="498">
        <f t="shared" si="88"/>
        <v>0</v>
      </c>
      <c r="AY235" s="498">
        <f t="shared" si="89"/>
        <v>0</v>
      </c>
      <c r="BB235" s="498" t="str">
        <f t="shared" si="90"/>
        <v/>
      </c>
      <c r="BC235" s="743" t="str">
        <f t="shared" si="91"/>
        <v/>
      </c>
      <c r="BD235" s="743" t="str">
        <f t="shared" si="92"/>
        <v/>
      </c>
      <c r="BE235" s="743" t="str">
        <f>IF(D235="","",VLOOKUP(D235,'General Basis'!$J$39:$K$46,2,0))</f>
        <v/>
      </c>
      <c r="BF235" s="744" t="str">
        <f>IF(D235="","",VLOOKUP(D235,'General Basis'!$J$39:$L$46,3,0))</f>
        <v/>
      </c>
      <c r="BG235" s="744" t="str">
        <f t="shared" si="99"/>
        <v/>
      </c>
      <c r="BH235" s="744" t="str">
        <f>IF(G235="","",IF(BF235="Abu Dhabi",IF(G235&lt;18,'General Basis'!$C$39,IF(G235&lt;41,'General Basis'!$C$40,IF(G235&lt;60,'General Basis'!$C$41,IF(G235&lt;65,'General Basis'!$C$42,'General Basis'!$C$43)))),IF(G235&lt;11,'General Basis'!$B$39,IF(G235&lt;18,'General Basis'!$B$40,IF(G235&lt;26,'General Basis'!$B$41,IF(G235&lt;31,'General Basis'!$B$42,IF(G235&lt;36,'General Basis'!$B$43,IF(G235&lt;41,'General Basis'!$B$44,IF(G235&lt;46,'General Basis'!$B$45,IF(G235&lt;51,'General Basis'!$B$46,IF(G235&lt;56,'General Basis'!$B$47,IF(G235&lt;60,'General Basis'!$B$48,IF(G235&lt;65,'General Basis'!$B$49,'General Basis'!$B$50)))))))))))))</f>
        <v/>
      </c>
      <c r="BI235" s="744" t="str">
        <f t="shared" si="93"/>
        <v/>
      </c>
      <c r="BJ235" s="747" t="str">
        <f t="shared" si="100"/>
        <v/>
      </c>
      <c r="BK235" s="498" t="str">
        <f t="shared" si="94"/>
        <v/>
      </c>
      <c r="BL235" s="498" t="str">
        <f t="shared" si="95"/>
        <v/>
      </c>
    </row>
    <row r="236" spans="1:64" x14ac:dyDescent="0.25">
      <c r="A236" s="762">
        <f t="shared" si="96"/>
        <v>231</v>
      </c>
      <c r="B236" s="229"/>
      <c r="C236" s="223"/>
      <c r="D236" s="224"/>
      <c r="E236" s="225"/>
      <c r="F236" s="1036" t="str">
        <f t="shared" si="102"/>
        <v/>
      </c>
      <c r="G236" s="1037" t="str">
        <f t="shared" si="97"/>
        <v/>
      </c>
      <c r="H236" s="225"/>
      <c r="I236" s="1013"/>
      <c r="J236" s="1013"/>
      <c r="K236" s="1028"/>
      <c r="L236" s="1035" t="str">
        <f t="shared" si="101"/>
        <v/>
      </c>
      <c r="S236" s="498"/>
      <c r="AJ236" s="498"/>
      <c r="AM236" s="498">
        <f t="shared" si="82"/>
        <v>0</v>
      </c>
      <c r="AN236" s="498">
        <f t="shared" si="83"/>
        <v>0</v>
      </c>
      <c r="AO236" s="498">
        <f t="shared" si="84"/>
        <v>0</v>
      </c>
      <c r="AP236" s="498">
        <f t="shared" si="103"/>
        <v>0</v>
      </c>
      <c r="AQ236" s="498">
        <f t="shared" si="98"/>
        <v>0</v>
      </c>
      <c r="AU236" s="498">
        <f t="shared" si="85"/>
        <v>0</v>
      </c>
      <c r="AV236" s="498">
        <f t="shared" si="86"/>
        <v>0</v>
      </c>
      <c r="AW236" s="498">
        <f t="shared" si="87"/>
        <v>0</v>
      </c>
      <c r="AX236" s="498">
        <f t="shared" si="88"/>
        <v>0</v>
      </c>
      <c r="AY236" s="498">
        <f t="shared" si="89"/>
        <v>0</v>
      </c>
      <c r="BB236" s="498" t="str">
        <f t="shared" si="90"/>
        <v/>
      </c>
      <c r="BC236" s="743" t="str">
        <f t="shared" si="91"/>
        <v/>
      </c>
      <c r="BD236" s="743" t="str">
        <f t="shared" si="92"/>
        <v/>
      </c>
      <c r="BE236" s="743" t="str">
        <f>IF(D236="","",VLOOKUP(D236,'General Basis'!$J$39:$K$46,2,0))</f>
        <v/>
      </c>
      <c r="BF236" s="744" t="str">
        <f>IF(D236="","",VLOOKUP(D236,'General Basis'!$J$39:$L$46,3,0))</f>
        <v/>
      </c>
      <c r="BG236" s="744" t="str">
        <f t="shared" si="99"/>
        <v/>
      </c>
      <c r="BH236" s="744" t="str">
        <f>IF(G236="","",IF(BF236="Abu Dhabi",IF(G236&lt;18,'General Basis'!$C$39,IF(G236&lt;41,'General Basis'!$C$40,IF(G236&lt;60,'General Basis'!$C$41,IF(G236&lt;65,'General Basis'!$C$42,'General Basis'!$C$43)))),IF(G236&lt;11,'General Basis'!$B$39,IF(G236&lt;18,'General Basis'!$B$40,IF(G236&lt;26,'General Basis'!$B$41,IF(G236&lt;31,'General Basis'!$B$42,IF(G236&lt;36,'General Basis'!$B$43,IF(G236&lt;41,'General Basis'!$B$44,IF(G236&lt;46,'General Basis'!$B$45,IF(G236&lt;51,'General Basis'!$B$46,IF(G236&lt;56,'General Basis'!$B$47,IF(G236&lt;60,'General Basis'!$B$48,IF(G236&lt;65,'General Basis'!$B$49,'General Basis'!$B$50)))))))))))))</f>
        <v/>
      </c>
      <c r="BI236" s="744" t="str">
        <f t="shared" si="93"/>
        <v/>
      </c>
      <c r="BJ236" s="747" t="str">
        <f t="shared" si="100"/>
        <v/>
      </c>
      <c r="BK236" s="498" t="str">
        <f t="shared" si="94"/>
        <v/>
      </c>
      <c r="BL236" s="498" t="str">
        <f t="shared" si="95"/>
        <v/>
      </c>
    </row>
    <row r="237" spans="1:64" x14ac:dyDescent="0.25">
      <c r="A237" s="762">
        <f t="shared" si="96"/>
        <v>232</v>
      </c>
      <c r="B237" s="229"/>
      <c r="C237" s="223"/>
      <c r="D237" s="224"/>
      <c r="E237" s="225"/>
      <c r="F237" s="1036" t="str">
        <f t="shared" si="102"/>
        <v/>
      </c>
      <c r="G237" s="1037" t="str">
        <f t="shared" si="97"/>
        <v/>
      </c>
      <c r="H237" s="225"/>
      <c r="I237" s="1013"/>
      <c r="J237" s="1013"/>
      <c r="K237" s="1028"/>
      <c r="L237" s="1035" t="str">
        <f t="shared" si="101"/>
        <v/>
      </c>
      <c r="S237" s="498"/>
      <c r="AJ237" s="498"/>
      <c r="AM237" s="498">
        <f t="shared" si="82"/>
        <v>0</v>
      </c>
      <c r="AN237" s="498">
        <f t="shared" si="83"/>
        <v>0</v>
      </c>
      <c r="AO237" s="498">
        <f t="shared" si="84"/>
        <v>0</v>
      </c>
      <c r="AP237" s="498">
        <f t="shared" si="103"/>
        <v>0</v>
      </c>
      <c r="AQ237" s="498">
        <f t="shared" si="98"/>
        <v>0</v>
      </c>
      <c r="AU237" s="498">
        <f t="shared" si="85"/>
        <v>0</v>
      </c>
      <c r="AV237" s="498">
        <f t="shared" si="86"/>
        <v>0</v>
      </c>
      <c r="AW237" s="498">
        <f t="shared" si="87"/>
        <v>0</v>
      </c>
      <c r="AX237" s="498">
        <f t="shared" si="88"/>
        <v>0</v>
      </c>
      <c r="AY237" s="498">
        <f t="shared" si="89"/>
        <v>0</v>
      </c>
      <c r="BB237" s="498" t="str">
        <f t="shared" si="90"/>
        <v/>
      </c>
      <c r="BC237" s="743" t="str">
        <f t="shared" si="91"/>
        <v/>
      </c>
      <c r="BD237" s="743" t="str">
        <f t="shared" si="92"/>
        <v/>
      </c>
      <c r="BE237" s="743" t="str">
        <f>IF(D237="","",VLOOKUP(D237,'General Basis'!$J$39:$K$46,2,0))</f>
        <v/>
      </c>
      <c r="BF237" s="744" t="str">
        <f>IF(D237="","",VLOOKUP(D237,'General Basis'!$J$39:$L$46,3,0))</f>
        <v/>
      </c>
      <c r="BG237" s="744" t="str">
        <f t="shared" si="99"/>
        <v/>
      </c>
      <c r="BH237" s="744" t="str">
        <f>IF(G237="","",IF(BF237="Abu Dhabi",IF(G237&lt;18,'General Basis'!$C$39,IF(G237&lt;41,'General Basis'!$C$40,IF(G237&lt;60,'General Basis'!$C$41,IF(G237&lt;65,'General Basis'!$C$42,'General Basis'!$C$43)))),IF(G237&lt;11,'General Basis'!$B$39,IF(G237&lt;18,'General Basis'!$B$40,IF(G237&lt;26,'General Basis'!$B$41,IF(G237&lt;31,'General Basis'!$B$42,IF(G237&lt;36,'General Basis'!$B$43,IF(G237&lt;41,'General Basis'!$B$44,IF(G237&lt;46,'General Basis'!$B$45,IF(G237&lt;51,'General Basis'!$B$46,IF(G237&lt;56,'General Basis'!$B$47,IF(G237&lt;60,'General Basis'!$B$48,IF(G237&lt;65,'General Basis'!$B$49,'General Basis'!$B$50)))))))))))))</f>
        <v/>
      </c>
      <c r="BI237" s="744" t="str">
        <f t="shared" si="93"/>
        <v/>
      </c>
      <c r="BJ237" s="747" t="str">
        <f t="shared" si="100"/>
        <v/>
      </c>
      <c r="BK237" s="498" t="str">
        <f t="shared" si="94"/>
        <v/>
      </c>
      <c r="BL237" s="498" t="str">
        <f t="shared" si="95"/>
        <v/>
      </c>
    </row>
    <row r="238" spans="1:64" x14ac:dyDescent="0.25">
      <c r="A238" s="762">
        <f t="shared" si="96"/>
        <v>233</v>
      </c>
      <c r="B238" s="229"/>
      <c r="C238" s="223"/>
      <c r="D238" s="224"/>
      <c r="E238" s="225"/>
      <c r="F238" s="1036" t="str">
        <f t="shared" si="102"/>
        <v/>
      </c>
      <c r="G238" s="1037" t="str">
        <f t="shared" si="97"/>
        <v/>
      </c>
      <c r="H238" s="225"/>
      <c r="I238" s="1013"/>
      <c r="J238" s="1013"/>
      <c r="K238" s="1028"/>
      <c r="L238" s="1035" t="str">
        <f t="shared" si="101"/>
        <v/>
      </c>
      <c r="S238" s="498"/>
      <c r="AJ238" s="498"/>
      <c r="AM238" s="498">
        <f t="shared" si="82"/>
        <v>0</v>
      </c>
      <c r="AN238" s="498">
        <f t="shared" si="83"/>
        <v>0</v>
      </c>
      <c r="AO238" s="498">
        <f t="shared" si="84"/>
        <v>0</v>
      </c>
      <c r="AP238" s="498">
        <f t="shared" si="103"/>
        <v>0</v>
      </c>
      <c r="AQ238" s="498">
        <f t="shared" si="98"/>
        <v>0</v>
      </c>
      <c r="AU238" s="498">
        <f t="shared" si="85"/>
        <v>0</v>
      </c>
      <c r="AV238" s="498">
        <f t="shared" si="86"/>
        <v>0</v>
      </c>
      <c r="AW238" s="498">
        <f t="shared" si="87"/>
        <v>0</v>
      </c>
      <c r="AX238" s="498">
        <f t="shared" si="88"/>
        <v>0</v>
      </c>
      <c r="AY238" s="498">
        <f t="shared" si="89"/>
        <v>0</v>
      </c>
      <c r="BB238" s="498" t="str">
        <f t="shared" si="90"/>
        <v/>
      </c>
      <c r="BC238" s="743" t="str">
        <f t="shared" si="91"/>
        <v/>
      </c>
      <c r="BD238" s="743" t="str">
        <f t="shared" si="92"/>
        <v/>
      </c>
      <c r="BE238" s="743" t="str">
        <f>IF(D238="","",VLOOKUP(D238,'General Basis'!$J$39:$K$46,2,0))</f>
        <v/>
      </c>
      <c r="BF238" s="744" t="str">
        <f>IF(D238="","",VLOOKUP(D238,'General Basis'!$J$39:$L$46,3,0))</f>
        <v/>
      </c>
      <c r="BG238" s="744" t="str">
        <f t="shared" si="99"/>
        <v/>
      </c>
      <c r="BH238" s="744" t="str">
        <f>IF(G238="","",IF(BF238="Abu Dhabi",IF(G238&lt;18,'General Basis'!$C$39,IF(G238&lt;41,'General Basis'!$C$40,IF(G238&lt;60,'General Basis'!$C$41,IF(G238&lt;65,'General Basis'!$C$42,'General Basis'!$C$43)))),IF(G238&lt;11,'General Basis'!$B$39,IF(G238&lt;18,'General Basis'!$B$40,IF(G238&lt;26,'General Basis'!$B$41,IF(G238&lt;31,'General Basis'!$B$42,IF(G238&lt;36,'General Basis'!$B$43,IF(G238&lt;41,'General Basis'!$B$44,IF(G238&lt;46,'General Basis'!$B$45,IF(G238&lt;51,'General Basis'!$B$46,IF(G238&lt;56,'General Basis'!$B$47,IF(G238&lt;60,'General Basis'!$B$48,IF(G238&lt;65,'General Basis'!$B$49,'General Basis'!$B$50)))))))))))))</f>
        <v/>
      </c>
      <c r="BI238" s="744" t="str">
        <f t="shared" si="93"/>
        <v/>
      </c>
      <c r="BJ238" s="747" t="str">
        <f t="shared" si="100"/>
        <v/>
      </c>
      <c r="BK238" s="498" t="str">
        <f t="shared" si="94"/>
        <v/>
      </c>
      <c r="BL238" s="498" t="str">
        <f t="shared" si="95"/>
        <v/>
      </c>
    </row>
    <row r="239" spans="1:64" x14ac:dyDescent="0.25">
      <c r="A239" s="762">
        <f t="shared" si="96"/>
        <v>234</v>
      </c>
      <c r="B239" s="229"/>
      <c r="C239" s="223"/>
      <c r="D239" s="224"/>
      <c r="E239" s="225"/>
      <c r="F239" s="1036" t="str">
        <f t="shared" si="102"/>
        <v/>
      </c>
      <c r="G239" s="1037" t="str">
        <f t="shared" si="97"/>
        <v/>
      </c>
      <c r="H239" s="225"/>
      <c r="I239" s="1013"/>
      <c r="J239" s="1013"/>
      <c r="K239" s="1028"/>
      <c r="L239" s="1035" t="str">
        <f t="shared" si="101"/>
        <v/>
      </c>
      <c r="S239" s="498"/>
      <c r="AJ239" s="498"/>
      <c r="AM239" s="498">
        <f t="shared" si="82"/>
        <v>0</v>
      </c>
      <c r="AN239" s="498">
        <f t="shared" si="83"/>
        <v>0</v>
      </c>
      <c r="AO239" s="498">
        <f t="shared" si="84"/>
        <v>0</v>
      </c>
      <c r="AP239" s="498">
        <f t="shared" si="103"/>
        <v>0</v>
      </c>
      <c r="AQ239" s="498">
        <f t="shared" si="98"/>
        <v>0</v>
      </c>
      <c r="AU239" s="498">
        <f t="shared" si="85"/>
        <v>0</v>
      </c>
      <c r="AV239" s="498">
        <f t="shared" si="86"/>
        <v>0</v>
      </c>
      <c r="AW239" s="498">
        <f t="shared" si="87"/>
        <v>0</v>
      </c>
      <c r="AX239" s="498">
        <f t="shared" si="88"/>
        <v>0</v>
      </c>
      <c r="AY239" s="498">
        <f t="shared" si="89"/>
        <v>0</v>
      </c>
      <c r="BB239" s="498" t="str">
        <f t="shared" si="90"/>
        <v/>
      </c>
      <c r="BC239" s="743" t="str">
        <f t="shared" si="91"/>
        <v/>
      </c>
      <c r="BD239" s="743" t="str">
        <f t="shared" si="92"/>
        <v/>
      </c>
      <c r="BE239" s="743" t="str">
        <f>IF(D239="","",VLOOKUP(D239,'General Basis'!$J$39:$K$46,2,0))</f>
        <v/>
      </c>
      <c r="BF239" s="744" t="str">
        <f>IF(D239="","",VLOOKUP(D239,'General Basis'!$J$39:$L$46,3,0))</f>
        <v/>
      </c>
      <c r="BG239" s="744" t="str">
        <f t="shared" si="99"/>
        <v/>
      </c>
      <c r="BH239" s="744" t="str">
        <f>IF(G239="","",IF(BF239="Abu Dhabi",IF(G239&lt;18,'General Basis'!$C$39,IF(G239&lt;41,'General Basis'!$C$40,IF(G239&lt;60,'General Basis'!$C$41,IF(G239&lt;65,'General Basis'!$C$42,'General Basis'!$C$43)))),IF(G239&lt;11,'General Basis'!$B$39,IF(G239&lt;18,'General Basis'!$B$40,IF(G239&lt;26,'General Basis'!$B$41,IF(G239&lt;31,'General Basis'!$B$42,IF(G239&lt;36,'General Basis'!$B$43,IF(G239&lt;41,'General Basis'!$B$44,IF(G239&lt;46,'General Basis'!$B$45,IF(G239&lt;51,'General Basis'!$B$46,IF(G239&lt;56,'General Basis'!$B$47,IF(G239&lt;60,'General Basis'!$B$48,IF(G239&lt;65,'General Basis'!$B$49,'General Basis'!$B$50)))))))))))))</f>
        <v/>
      </c>
      <c r="BI239" s="744" t="str">
        <f t="shared" si="93"/>
        <v/>
      </c>
      <c r="BJ239" s="747" t="str">
        <f t="shared" si="100"/>
        <v/>
      </c>
      <c r="BK239" s="498" t="str">
        <f t="shared" si="94"/>
        <v/>
      </c>
      <c r="BL239" s="498" t="str">
        <f t="shared" si="95"/>
        <v/>
      </c>
    </row>
    <row r="240" spans="1:64" x14ac:dyDescent="0.25">
      <c r="A240" s="762">
        <f t="shared" si="96"/>
        <v>235</v>
      </c>
      <c r="B240" s="229"/>
      <c r="C240" s="223"/>
      <c r="D240" s="224"/>
      <c r="E240" s="225"/>
      <c r="F240" s="1036" t="str">
        <f t="shared" si="102"/>
        <v/>
      </c>
      <c r="G240" s="1037" t="str">
        <f t="shared" si="97"/>
        <v/>
      </c>
      <c r="H240" s="225"/>
      <c r="I240" s="1013"/>
      <c r="J240" s="1013"/>
      <c r="K240" s="1028"/>
      <c r="L240" s="1035" t="str">
        <f t="shared" si="101"/>
        <v/>
      </c>
      <c r="S240" s="498"/>
      <c r="AJ240" s="498"/>
      <c r="AM240" s="498">
        <f t="shared" si="82"/>
        <v>0</v>
      </c>
      <c r="AN240" s="498">
        <f t="shared" si="83"/>
        <v>0</v>
      </c>
      <c r="AO240" s="498">
        <f t="shared" si="84"/>
        <v>0</v>
      </c>
      <c r="AP240" s="498">
        <f t="shared" si="103"/>
        <v>0</v>
      </c>
      <c r="AQ240" s="498">
        <f t="shared" si="98"/>
        <v>0</v>
      </c>
      <c r="AU240" s="498">
        <f t="shared" si="85"/>
        <v>0</v>
      </c>
      <c r="AV240" s="498">
        <f t="shared" si="86"/>
        <v>0</v>
      </c>
      <c r="AW240" s="498">
        <f t="shared" si="87"/>
        <v>0</v>
      </c>
      <c r="AX240" s="498">
        <f t="shared" si="88"/>
        <v>0</v>
      </c>
      <c r="AY240" s="498">
        <f t="shared" si="89"/>
        <v>0</v>
      </c>
      <c r="BB240" s="498" t="str">
        <f t="shared" si="90"/>
        <v/>
      </c>
      <c r="BC240" s="743" t="str">
        <f t="shared" si="91"/>
        <v/>
      </c>
      <c r="BD240" s="743" t="str">
        <f t="shared" si="92"/>
        <v/>
      </c>
      <c r="BE240" s="743" t="str">
        <f>IF(D240="","",VLOOKUP(D240,'General Basis'!$J$39:$K$46,2,0))</f>
        <v/>
      </c>
      <c r="BF240" s="744" t="str">
        <f>IF(D240="","",VLOOKUP(D240,'General Basis'!$J$39:$L$46,3,0))</f>
        <v/>
      </c>
      <c r="BG240" s="744" t="str">
        <f t="shared" si="99"/>
        <v/>
      </c>
      <c r="BH240" s="744" t="str">
        <f>IF(G240="","",IF(BF240="Abu Dhabi",IF(G240&lt;18,'General Basis'!$C$39,IF(G240&lt;41,'General Basis'!$C$40,IF(G240&lt;60,'General Basis'!$C$41,IF(G240&lt;65,'General Basis'!$C$42,'General Basis'!$C$43)))),IF(G240&lt;11,'General Basis'!$B$39,IF(G240&lt;18,'General Basis'!$B$40,IF(G240&lt;26,'General Basis'!$B$41,IF(G240&lt;31,'General Basis'!$B$42,IF(G240&lt;36,'General Basis'!$B$43,IF(G240&lt;41,'General Basis'!$B$44,IF(G240&lt;46,'General Basis'!$B$45,IF(G240&lt;51,'General Basis'!$B$46,IF(G240&lt;56,'General Basis'!$B$47,IF(G240&lt;60,'General Basis'!$B$48,IF(G240&lt;65,'General Basis'!$B$49,'General Basis'!$B$50)))))))))))))</f>
        <v/>
      </c>
      <c r="BI240" s="744" t="str">
        <f t="shared" si="93"/>
        <v/>
      </c>
      <c r="BJ240" s="747" t="str">
        <f t="shared" si="100"/>
        <v/>
      </c>
      <c r="BK240" s="498" t="str">
        <f t="shared" si="94"/>
        <v/>
      </c>
      <c r="BL240" s="498" t="str">
        <f t="shared" si="95"/>
        <v/>
      </c>
    </row>
    <row r="241" spans="1:64" x14ac:dyDescent="0.25">
      <c r="A241" s="762">
        <f t="shared" si="96"/>
        <v>236</v>
      </c>
      <c r="B241" s="229"/>
      <c r="C241" s="223"/>
      <c r="D241" s="224"/>
      <c r="E241" s="225"/>
      <c r="F241" s="1036" t="str">
        <f t="shared" si="102"/>
        <v/>
      </c>
      <c r="G241" s="1037" t="str">
        <f t="shared" si="97"/>
        <v/>
      </c>
      <c r="H241" s="225"/>
      <c r="I241" s="1013"/>
      <c r="J241" s="1013"/>
      <c r="K241" s="1028"/>
      <c r="L241" s="1035" t="str">
        <f t="shared" si="101"/>
        <v/>
      </c>
      <c r="S241" s="498"/>
      <c r="AJ241" s="498"/>
      <c r="AM241" s="498">
        <f t="shared" si="82"/>
        <v>0</v>
      </c>
      <c r="AN241" s="498">
        <f t="shared" si="83"/>
        <v>0</v>
      </c>
      <c r="AO241" s="498">
        <f t="shared" si="84"/>
        <v>0</v>
      </c>
      <c r="AP241" s="498">
        <f t="shared" si="103"/>
        <v>0</v>
      </c>
      <c r="AQ241" s="498">
        <f t="shared" si="98"/>
        <v>0</v>
      </c>
      <c r="AU241" s="498">
        <f t="shared" si="85"/>
        <v>0</v>
      </c>
      <c r="AV241" s="498">
        <f t="shared" si="86"/>
        <v>0</v>
      </c>
      <c r="AW241" s="498">
        <f t="shared" si="87"/>
        <v>0</v>
      </c>
      <c r="AX241" s="498">
        <f t="shared" si="88"/>
        <v>0</v>
      </c>
      <c r="AY241" s="498">
        <f t="shared" si="89"/>
        <v>0</v>
      </c>
      <c r="BB241" s="498" t="str">
        <f t="shared" si="90"/>
        <v/>
      </c>
      <c r="BC241" s="743" t="str">
        <f t="shared" si="91"/>
        <v/>
      </c>
      <c r="BD241" s="743" t="str">
        <f t="shared" si="92"/>
        <v/>
      </c>
      <c r="BE241" s="743" t="str">
        <f>IF(D241="","",VLOOKUP(D241,'General Basis'!$J$39:$K$46,2,0))</f>
        <v/>
      </c>
      <c r="BF241" s="744" t="str">
        <f>IF(D241="","",VLOOKUP(D241,'General Basis'!$J$39:$L$46,3,0))</f>
        <v/>
      </c>
      <c r="BG241" s="744" t="str">
        <f t="shared" si="99"/>
        <v/>
      </c>
      <c r="BH241" s="744" t="str">
        <f>IF(G241="","",IF(BF241="Abu Dhabi",IF(G241&lt;18,'General Basis'!$C$39,IF(G241&lt;41,'General Basis'!$C$40,IF(G241&lt;60,'General Basis'!$C$41,IF(G241&lt;65,'General Basis'!$C$42,'General Basis'!$C$43)))),IF(G241&lt;11,'General Basis'!$B$39,IF(G241&lt;18,'General Basis'!$B$40,IF(G241&lt;26,'General Basis'!$B$41,IF(G241&lt;31,'General Basis'!$B$42,IF(G241&lt;36,'General Basis'!$B$43,IF(G241&lt;41,'General Basis'!$B$44,IF(G241&lt;46,'General Basis'!$B$45,IF(G241&lt;51,'General Basis'!$B$46,IF(G241&lt;56,'General Basis'!$B$47,IF(G241&lt;60,'General Basis'!$B$48,IF(G241&lt;65,'General Basis'!$B$49,'General Basis'!$B$50)))))))))))))</f>
        <v/>
      </c>
      <c r="BI241" s="744" t="str">
        <f t="shared" si="93"/>
        <v/>
      </c>
      <c r="BJ241" s="747" t="str">
        <f t="shared" si="100"/>
        <v/>
      </c>
      <c r="BK241" s="498" t="str">
        <f t="shared" si="94"/>
        <v/>
      </c>
      <c r="BL241" s="498" t="str">
        <f t="shared" si="95"/>
        <v/>
      </c>
    </row>
    <row r="242" spans="1:64" x14ac:dyDescent="0.25">
      <c r="A242" s="762">
        <f t="shared" si="96"/>
        <v>237</v>
      </c>
      <c r="B242" s="229"/>
      <c r="C242" s="223"/>
      <c r="D242" s="224"/>
      <c r="E242" s="225"/>
      <c r="F242" s="1036" t="str">
        <f t="shared" si="102"/>
        <v/>
      </c>
      <c r="G242" s="1037" t="str">
        <f t="shared" si="97"/>
        <v/>
      </c>
      <c r="H242" s="225"/>
      <c r="I242" s="1013"/>
      <c r="J242" s="1013"/>
      <c r="K242" s="1028"/>
      <c r="L242" s="1035" t="str">
        <f t="shared" si="101"/>
        <v/>
      </c>
      <c r="S242" s="498"/>
      <c r="AJ242" s="498"/>
      <c r="AM242" s="498">
        <f t="shared" si="82"/>
        <v>0</v>
      </c>
      <c r="AN242" s="498">
        <f t="shared" si="83"/>
        <v>0</v>
      </c>
      <c r="AO242" s="498">
        <f t="shared" si="84"/>
        <v>0</v>
      </c>
      <c r="AP242" s="498">
        <f t="shared" si="103"/>
        <v>0</v>
      </c>
      <c r="AQ242" s="498">
        <f t="shared" si="98"/>
        <v>0</v>
      </c>
      <c r="AU242" s="498">
        <f t="shared" si="85"/>
        <v>0</v>
      </c>
      <c r="AV242" s="498">
        <f t="shared" si="86"/>
        <v>0</v>
      </c>
      <c r="AW242" s="498">
        <f t="shared" si="87"/>
        <v>0</v>
      </c>
      <c r="AX242" s="498">
        <f t="shared" si="88"/>
        <v>0</v>
      </c>
      <c r="AY242" s="498">
        <f t="shared" si="89"/>
        <v>0</v>
      </c>
      <c r="BB242" s="498" t="str">
        <f t="shared" si="90"/>
        <v/>
      </c>
      <c r="BC242" s="743" t="str">
        <f t="shared" si="91"/>
        <v/>
      </c>
      <c r="BD242" s="743" t="str">
        <f t="shared" si="92"/>
        <v/>
      </c>
      <c r="BE242" s="743" t="str">
        <f>IF(D242="","",VLOOKUP(D242,'General Basis'!$J$39:$K$46,2,0))</f>
        <v/>
      </c>
      <c r="BF242" s="744" t="str">
        <f>IF(D242="","",VLOOKUP(D242,'General Basis'!$J$39:$L$46,3,0))</f>
        <v/>
      </c>
      <c r="BG242" s="744" t="str">
        <f t="shared" si="99"/>
        <v/>
      </c>
      <c r="BH242" s="744" t="str">
        <f>IF(G242="","",IF(BF242="Abu Dhabi",IF(G242&lt;18,'General Basis'!$C$39,IF(G242&lt;41,'General Basis'!$C$40,IF(G242&lt;60,'General Basis'!$C$41,IF(G242&lt;65,'General Basis'!$C$42,'General Basis'!$C$43)))),IF(G242&lt;11,'General Basis'!$B$39,IF(G242&lt;18,'General Basis'!$B$40,IF(G242&lt;26,'General Basis'!$B$41,IF(G242&lt;31,'General Basis'!$B$42,IF(G242&lt;36,'General Basis'!$B$43,IF(G242&lt;41,'General Basis'!$B$44,IF(G242&lt;46,'General Basis'!$B$45,IF(G242&lt;51,'General Basis'!$B$46,IF(G242&lt;56,'General Basis'!$B$47,IF(G242&lt;60,'General Basis'!$B$48,IF(G242&lt;65,'General Basis'!$B$49,'General Basis'!$B$50)))))))))))))</f>
        <v/>
      </c>
      <c r="BI242" s="744" t="str">
        <f t="shared" si="93"/>
        <v/>
      </c>
      <c r="BJ242" s="747" t="str">
        <f t="shared" si="100"/>
        <v/>
      </c>
      <c r="BK242" s="498" t="str">
        <f t="shared" si="94"/>
        <v/>
      </c>
      <c r="BL242" s="498" t="str">
        <f t="shared" si="95"/>
        <v/>
      </c>
    </row>
    <row r="243" spans="1:64" x14ac:dyDescent="0.25">
      <c r="A243" s="762">
        <f t="shared" si="96"/>
        <v>238</v>
      </c>
      <c r="B243" s="229"/>
      <c r="C243" s="223"/>
      <c r="D243" s="224"/>
      <c r="E243" s="225"/>
      <c r="F243" s="1036" t="str">
        <f t="shared" si="102"/>
        <v/>
      </c>
      <c r="G243" s="1037" t="str">
        <f t="shared" si="97"/>
        <v/>
      </c>
      <c r="H243" s="225"/>
      <c r="I243" s="1013"/>
      <c r="J243" s="1013"/>
      <c r="K243" s="1028"/>
      <c r="L243" s="1035" t="str">
        <f t="shared" si="101"/>
        <v/>
      </c>
      <c r="S243" s="498"/>
      <c r="AJ243" s="498"/>
      <c r="AM243" s="498">
        <f t="shared" si="82"/>
        <v>0</v>
      </c>
      <c r="AN243" s="498">
        <f t="shared" si="83"/>
        <v>0</v>
      </c>
      <c r="AO243" s="498">
        <f t="shared" si="84"/>
        <v>0</v>
      </c>
      <c r="AP243" s="498">
        <f t="shared" si="103"/>
        <v>0</v>
      </c>
      <c r="AQ243" s="498">
        <f t="shared" si="98"/>
        <v>0</v>
      </c>
      <c r="AU243" s="498">
        <f t="shared" si="85"/>
        <v>0</v>
      </c>
      <c r="AV243" s="498">
        <f t="shared" si="86"/>
        <v>0</v>
      </c>
      <c r="AW243" s="498">
        <f t="shared" si="87"/>
        <v>0</v>
      </c>
      <c r="AX243" s="498">
        <f t="shared" si="88"/>
        <v>0</v>
      </c>
      <c r="AY243" s="498">
        <f t="shared" si="89"/>
        <v>0</v>
      </c>
      <c r="BB243" s="498" t="str">
        <f t="shared" si="90"/>
        <v/>
      </c>
      <c r="BC243" s="743" t="str">
        <f t="shared" si="91"/>
        <v/>
      </c>
      <c r="BD243" s="743" t="str">
        <f t="shared" si="92"/>
        <v/>
      </c>
      <c r="BE243" s="743" t="str">
        <f>IF(D243="","",VLOOKUP(D243,'General Basis'!$J$39:$K$46,2,0))</f>
        <v/>
      </c>
      <c r="BF243" s="744" t="str">
        <f>IF(D243="","",VLOOKUP(D243,'General Basis'!$J$39:$L$46,3,0))</f>
        <v/>
      </c>
      <c r="BG243" s="744" t="str">
        <f t="shared" si="99"/>
        <v/>
      </c>
      <c r="BH243" s="744" t="str">
        <f>IF(G243="","",IF(BF243="Abu Dhabi",IF(G243&lt;18,'General Basis'!$C$39,IF(G243&lt;41,'General Basis'!$C$40,IF(G243&lt;60,'General Basis'!$C$41,IF(G243&lt;65,'General Basis'!$C$42,'General Basis'!$C$43)))),IF(G243&lt;11,'General Basis'!$B$39,IF(G243&lt;18,'General Basis'!$B$40,IF(G243&lt;26,'General Basis'!$B$41,IF(G243&lt;31,'General Basis'!$B$42,IF(G243&lt;36,'General Basis'!$B$43,IF(G243&lt;41,'General Basis'!$B$44,IF(G243&lt;46,'General Basis'!$B$45,IF(G243&lt;51,'General Basis'!$B$46,IF(G243&lt;56,'General Basis'!$B$47,IF(G243&lt;60,'General Basis'!$B$48,IF(G243&lt;65,'General Basis'!$B$49,'General Basis'!$B$50)))))))))))))</f>
        <v/>
      </c>
      <c r="BI243" s="744" t="str">
        <f t="shared" si="93"/>
        <v/>
      </c>
      <c r="BJ243" s="747" t="str">
        <f t="shared" si="100"/>
        <v/>
      </c>
      <c r="BK243" s="498" t="str">
        <f t="shared" si="94"/>
        <v/>
      </c>
      <c r="BL243" s="498" t="str">
        <f t="shared" si="95"/>
        <v/>
      </c>
    </row>
    <row r="244" spans="1:64" x14ac:dyDescent="0.25">
      <c r="A244" s="762">
        <f t="shared" si="96"/>
        <v>239</v>
      </c>
      <c r="B244" s="229"/>
      <c r="C244" s="223"/>
      <c r="D244" s="224"/>
      <c r="E244" s="225"/>
      <c r="F244" s="1036" t="str">
        <f t="shared" si="102"/>
        <v/>
      </c>
      <c r="G244" s="1037" t="str">
        <f t="shared" si="97"/>
        <v/>
      </c>
      <c r="H244" s="225"/>
      <c r="I244" s="1013"/>
      <c r="J244" s="1013"/>
      <c r="K244" s="1028"/>
      <c r="L244" s="1035" t="str">
        <f t="shared" si="101"/>
        <v/>
      </c>
      <c r="S244" s="498"/>
      <c r="AJ244" s="498"/>
      <c r="AM244" s="498">
        <f t="shared" si="82"/>
        <v>0</v>
      </c>
      <c r="AN244" s="498">
        <f t="shared" si="83"/>
        <v>0</v>
      </c>
      <c r="AO244" s="498">
        <f t="shared" si="84"/>
        <v>0</v>
      </c>
      <c r="AP244" s="498">
        <f t="shared" si="103"/>
        <v>0</v>
      </c>
      <c r="AQ244" s="498">
        <f t="shared" si="98"/>
        <v>0</v>
      </c>
      <c r="AU244" s="498">
        <f t="shared" si="85"/>
        <v>0</v>
      </c>
      <c r="AV244" s="498">
        <f t="shared" si="86"/>
        <v>0</v>
      </c>
      <c r="AW244" s="498">
        <f t="shared" si="87"/>
        <v>0</v>
      </c>
      <c r="AX244" s="498">
        <f t="shared" si="88"/>
        <v>0</v>
      </c>
      <c r="AY244" s="498">
        <f t="shared" si="89"/>
        <v>0</v>
      </c>
      <c r="BB244" s="498" t="str">
        <f t="shared" si="90"/>
        <v/>
      </c>
      <c r="BC244" s="743" t="str">
        <f t="shared" si="91"/>
        <v/>
      </c>
      <c r="BD244" s="743" t="str">
        <f t="shared" si="92"/>
        <v/>
      </c>
      <c r="BE244" s="743" t="str">
        <f>IF(D244="","",VLOOKUP(D244,'General Basis'!$J$39:$K$46,2,0))</f>
        <v/>
      </c>
      <c r="BF244" s="744" t="str">
        <f>IF(D244="","",VLOOKUP(D244,'General Basis'!$J$39:$L$46,3,0))</f>
        <v/>
      </c>
      <c r="BG244" s="744" t="str">
        <f t="shared" si="99"/>
        <v/>
      </c>
      <c r="BH244" s="744" t="str">
        <f>IF(G244="","",IF(BF244="Abu Dhabi",IF(G244&lt;18,'General Basis'!$C$39,IF(G244&lt;41,'General Basis'!$C$40,IF(G244&lt;60,'General Basis'!$C$41,IF(G244&lt;65,'General Basis'!$C$42,'General Basis'!$C$43)))),IF(G244&lt;11,'General Basis'!$B$39,IF(G244&lt;18,'General Basis'!$B$40,IF(G244&lt;26,'General Basis'!$B$41,IF(G244&lt;31,'General Basis'!$B$42,IF(G244&lt;36,'General Basis'!$B$43,IF(G244&lt;41,'General Basis'!$B$44,IF(G244&lt;46,'General Basis'!$B$45,IF(G244&lt;51,'General Basis'!$B$46,IF(G244&lt;56,'General Basis'!$B$47,IF(G244&lt;60,'General Basis'!$B$48,IF(G244&lt;65,'General Basis'!$B$49,'General Basis'!$B$50)))))))))))))</f>
        <v/>
      </c>
      <c r="BI244" s="744" t="str">
        <f t="shared" si="93"/>
        <v/>
      </c>
      <c r="BJ244" s="747" t="str">
        <f t="shared" si="100"/>
        <v/>
      </c>
      <c r="BK244" s="498" t="str">
        <f t="shared" si="94"/>
        <v/>
      </c>
      <c r="BL244" s="498" t="str">
        <f t="shared" si="95"/>
        <v/>
      </c>
    </row>
    <row r="245" spans="1:64" x14ac:dyDescent="0.25">
      <c r="A245" s="762">
        <f t="shared" si="96"/>
        <v>240</v>
      </c>
      <c r="B245" s="229"/>
      <c r="C245" s="223"/>
      <c r="D245" s="224"/>
      <c r="E245" s="225"/>
      <c r="F245" s="1036" t="str">
        <f t="shared" si="102"/>
        <v/>
      </c>
      <c r="G245" s="1037" t="str">
        <f t="shared" si="97"/>
        <v/>
      </c>
      <c r="H245" s="225"/>
      <c r="I245" s="1013"/>
      <c r="J245" s="1013"/>
      <c r="K245" s="1028"/>
      <c r="L245" s="1035" t="str">
        <f t="shared" si="101"/>
        <v/>
      </c>
      <c r="S245" s="498"/>
      <c r="AJ245" s="498"/>
      <c r="AM245" s="498">
        <f t="shared" si="82"/>
        <v>0</v>
      </c>
      <c r="AN245" s="498">
        <f t="shared" si="83"/>
        <v>0</v>
      </c>
      <c r="AO245" s="498">
        <f t="shared" si="84"/>
        <v>0</v>
      </c>
      <c r="AP245" s="498">
        <f t="shared" si="103"/>
        <v>0</v>
      </c>
      <c r="AQ245" s="498">
        <f t="shared" si="98"/>
        <v>0</v>
      </c>
      <c r="AU245" s="498">
        <f t="shared" si="85"/>
        <v>0</v>
      </c>
      <c r="AV245" s="498">
        <f t="shared" si="86"/>
        <v>0</v>
      </c>
      <c r="AW245" s="498">
        <f t="shared" si="87"/>
        <v>0</v>
      </c>
      <c r="AX245" s="498">
        <f t="shared" si="88"/>
        <v>0</v>
      </c>
      <c r="AY245" s="498">
        <f t="shared" si="89"/>
        <v>0</v>
      </c>
      <c r="BB245" s="498" t="str">
        <f t="shared" si="90"/>
        <v/>
      </c>
      <c r="BC245" s="743" t="str">
        <f t="shared" si="91"/>
        <v/>
      </c>
      <c r="BD245" s="743" t="str">
        <f t="shared" si="92"/>
        <v/>
      </c>
      <c r="BE245" s="743" t="str">
        <f>IF(D245="","",VLOOKUP(D245,'General Basis'!$J$39:$K$46,2,0))</f>
        <v/>
      </c>
      <c r="BF245" s="744" t="str">
        <f>IF(D245="","",VLOOKUP(D245,'General Basis'!$J$39:$L$46,3,0))</f>
        <v/>
      </c>
      <c r="BG245" s="744" t="str">
        <f t="shared" si="99"/>
        <v/>
      </c>
      <c r="BH245" s="744" t="str">
        <f>IF(G245="","",IF(BF245="Abu Dhabi",IF(G245&lt;18,'General Basis'!$C$39,IF(G245&lt;41,'General Basis'!$C$40,IF(G245&lt;60,'General Basis'!$C$41,IF(G245&lt;65,'General Basis'!$C$42,'General Basis'!$C$43)))),IF(G245&lt;11,'General Basis'!$B$39,IF(G245&lt;18,'General Basis'!$B$40,IF(G245&lt;26,'General Basis'!$B$41,IF(G245&lt;31,'General Basis'!$B$42,IF(G245&lt;36,'General Basis'!$B$43,IF(G245&lt;41,'General Basis'!$B$44,IF(G245&lt;46,'General Basis'!$B$45,IF(G245&lt;51,'General Basis'!$B$46,IF(G245&lt;56,'General Basis'!$B$47,IF(G245&lt;60,'General Basis'!$B$48,IF(G245&lt;65,'General Basis'!$B$49,'General Basis'!$B$50)))))))))))))</f>
        <v/>
      </c>
      <c r="BI245" s="744" t="str">
        <f t="shared" si="93"/>
        <v/>
      </c>
      <c r="BJ245" s="747" t="str">
        <f t="shared" si="100"/>
        <v/>
      </c>
      <c r="BK245" s="498" t="str">
        <f t="shared" si="94"/>
        <v/>
      </c>
      <c r="BL245" s="498" t="str">
        <f t="shared" si="95"/>
        <v/>
      </c>
    </row>
    <row r="246" spans="1:64" x14ac:dyDescent="0.25">
      <c r="A246" s="762">
        <f t="shared" si="96"/>
        <v>241</v>
      </c>
      <c r="B246" s="229"/>
      <c r="C246" s="223"/>
      <c r="D246" s="224"/>
      <c r="E246" s="225"/>
      <c r="F246" s="1036" t="str">
        <f t="shared" si="102"/>
        <v/>
      </c>
      <c r="G246" s="1037" t="str">
        <f t="shared" si="97"/>
        <v/>
      </c>
      <c r="H246" s="225"/>
      <c r="I246" s="1013"/>
      <c r="J246" s="1013"/>
      <c r="K246" s="1028"/>
      <c r="L246" s="1035" t="str">
        <f t="shared" si="101"/>
        <v/>
      </c>
      <c r="S246" s="498"/>
      <c r="AJ246" s="498"/>
      <c r="AM246" s="498">
        <f t="shared" si="82"/>
        <v>0</v>
      </c>
      <c r="AN246" s="498">
        <f t="shared" si="83"/>
        <v>0</v>
      </c>
      <c r="AO246" s="498">
        <f t="shared" si="84"/>
        <v>0</v>
      </c>
      <c r="AP246" s="498">
        <f t="shared" si="103"/>
        <v>0</v>
      </c>
      <c r="AQ246" s="498">
        <f t="shared" si="98"/>
        <v>0</v>
      </c>
      <c r="AU246" s="498">
        <f t="shared" si="85"/>
        <v>0</v>
      </c>
      <c r="AV246" s="498">
        <f t="shared" si="86"/>
        <v>0</v>
      </c>
      <c r="AW246" s="498">
        <f t="shared" si="87"/>
        <v>0</v>
      </c>
      <c r="AX246" s="498">
        <f t="shared" si="88"/>
        <v>0</v>
      </c>
      <c r="AY246" s="498">
        <f t="shared" si="89"/>
        <v>0</v>
      </c>
      <c r="BB246" s="498" t="str">
        <f t="shared" si="90"/>
        <v/>
      </c>
      <c r="BC246" s="743" t="str">
        <f t="shared" si="91"/>
        <v/>
      </c>
      <c r="BD246" s="743" t="str">
        <f t="shared" si="92"/>
        <v/>
      </c>
      <c r="BE246" s="743" t="str">
        <f>IF(D246="","",VLOOKUP(D246,'General Basis'!$J$39:$K$46,2,0))</f>
        <v/>
      </c>
      <c r="BF246" s="744" t="str">
        <f>IF(D246="","",VLOOKUP(D246,'General Basis'!$J$39:$L$46,3,0))</f>
        <v/>
      </c>
      <c r="BG246" s="744" t="str">
        <f t="shared" si="99"/>
        <v/>
      </c>
      <c r="BH246" s="744" t="str">
        <f>IF(G246="","",IF(BF246="Abu Dhabi",IF(G246&lt;18,'General Basis'!$C$39,IF(G246&lt;41,'General Basis'!$C$40,IF(G246&lt;60,'General Basis'!$C$41,IF(G246&lt;65,'General Basis'!$C$42,'General Basis'!$C$43)))),IF(G246&lt;11,'General Basis'!$B$39,IF(G246&lt;18,'General Basis'!$B$40,IF(G246&lt;26,'General Basis'!$B$41,IF(G246&lt;31,'General Basis'!$B$42,IF(G246&lt;36,'General Basis'!$B$43,IF(G246&lt;41,'General Basis'!$B$44,IF(G246&lt;46,'General Basis'!$B$45,IF(G246&lt;51,'General Basis'!$B$46,IF(G246&lt;56,'General Basis'!$B$47,IF(G246&lt;60,'General Basis'!$B$48,IF(G246&lt;65,'General Basis'!$B$49,'General Basis'!$B$50)))))))))))))</f>
        <v/>
      </c>
      <c r="BI246" s="744" t="str">
        <f t="shared" si="93"/>
        <v/>
      </c>
      <c r="BJ246" s="747" t="str">
        <f t="shared" si="100"/>
        <v/>
      </c>
      <c r="BK246" s="498" t="str">
        <f t="shared" si="94"/>
        <v/>
      </c>
      <c r="BL246" s="498" t="str">
        <f t="shared" si="95"/>
        <v/>
      </c>
    </row>
    <row r="247" spans="1:64" x14ac:dyDescent="0.25">
      <c r="A247" s="762">
        <f t="shared" si="96"/>
        <v>242</v>
      </c>
      <c r="B247" s="229"/>
      <c r="C247" s="223"/>
      <c r="D247" s="224"/>
      <c r="E247" s="225"/>
      <c r="F247" s="1036" t="str">
        <f t="shared" si="102"/>
        <v/>
      </c>
      <c r="G247" s="1037" t="str">
        <f t="shared" si="97"/>
        <v/>
      </c>
      <c r="H247" s="225"/>
      <c r="I247" s="1013"/>
      <c r="J247" s="1013"/>
      <c r="K247" s="1028"/>
      <c r="L247" s="1035" t="str">
        <f t="shared" si="101"/>
        <v/>
      </c>
      <c r="S247" s="498"/>
      <c r="AJ247" s="498"/>
      <c r="AM247" s="498">
        <f t="shared" si="82"/>
        <v>0</v>
      </c>
      <c r="AN247" s="498">
        <f t="shared" si="83"/>
        <v>0</v>
      </c>
      <c r="AO247" s="498">
        <f t="shared" si="84"/>
        <v>0</v>
      </c>
      <c r="AP247" s="498">
        <f t="shared" si="103"/>
        <v>0</v>
      </c>
      <c r="AQ247" s="498">
        <f t="shared" si="98"/>
        <v>0</v>
      </c>
      <c r="AU247" s="498">
        <f t="shared" si="85"/>
        <v>0</v>
      </c>
      <c r="AV247" s="498">
        <f t="shared" si="86"/>
        <v>0</v>
      </c>
      <c r="AW247" s="498">
        <f t="shared" si="87"/>
        <v>0</v>
      </c>
      <c r="AX247" s="498">
        <f t="shared" si="88"/>
        <v>0</v>
      </c>
      <c r="AY247" s="498">
        <f t="shared" si="89"/>
        <v>0</v>
      </c>
      <c r="BB247" s="498" t="str">
        <f t="shared" si="90"/>
        <v/>
      </c>
      <c r="BC247" s="743" t="str">
        <f t="shared" si="91"/>
        <v/>
      </c>
      <c r="BD247" s="743" t="str">
        <f t="shared" si="92"/>
        <v/>
      </c>
      <c r="BE247" s="743" t="str">
        <f>IF(D247="","",VLOOKUP(D247,'General Basis'!$J$39:$K$46,2,0))</f>
        <v/>
      </c>
      <c r="BF247" s="744" t="str">
        <f>IF(D247="","",VLOOKUP(D247,'General Basis'!$J$39:$L$46,3,0))</f>
        <v/>
      </c>
      <c r="BG247" s="744" t="str">
        <f t="shared" si="99"/>
        <v/>
      </c>
      <c r="BH247" s="744" t="str">
        <f>IF(G247="","",IF(BF247="Abu Dhabi",IF(G247&lt;18,'General Basis'!$C$39,IF(G247&lt;41,'General Basis'!$C$40,IF(G247&lt;60,'General Basis'!$C$41,IF(G247&lt;65,'General Basis'!$C$42,'General Basis'!$C$43)))),IF(G247&lt;11,'General Basis'!$B$39,IF(G247&lt;18,'General Basis'!$B$40,IF(G247&lt;26,'General Basis'!$B$41,IF(G247&lt;31,'General Basis'!$B$42,IF(G247&lt;36,'General Basis'!$B$43,IF(G247&lt;41,'General Basis'!$B$44,IF(G247&lt;46,'General Basis'!$B$45,IF(G247&lt;51,'General Basis'!$B$46,IF(G247&lt;56,'General Basis'!$B$47,IF(G247&lt;60,'General Basis'!$B$48,IF(G247&lt;65,'General Basis'!$B$49,'General Basis'!$B$50)))))))))))))</f>
        <v/>
      </c>
      <c r="BI247" s="744" t="str">
        <f t="shared" si="93"/>
        <v/>
      </c>
      <c r="BJ247" s="747" t="str">
        <f t="shared" si="100"/>
        <v/>
      </c>
      <c r="BK247" s="498" t="str">
        <f t="shared" si="94"/>
        <v/>
      </c>
      <c r="BL247" s="498" t="str">
        <f t="shared" si="95"/>
        <v/>
      </c>
    </row>
    <row r="248" spans="1:64" x14ac:dyDescent="0.25">
      <c r="A248" s="762">
        <f t="shared" si="96"/>
        <v>243</v>
      </c>
      <c r="B248" s="229"/>
      <c r="C248" s="223"/>
      <c r="D248" s="224"/>
      <c r="E248" s="225"/>
      <c r="F248" s="1036" t="str">
        <f t="shared" si="102"/>
        <v/>
      </c>
      <c r="G248" s="1037" t="str">
        <f t="shared" si="97"/>
        <v/>
      </c>
      <c r="H248" s="225"/>
      <c r="I248" s="1013"/>
      <c r="J248" s="1013"/>
      <c r="K248" s="1028"/>
      <c r="L248" s="1035" t="str">
        <f t="shared" si="101"/>
        <v/>
      </c>
      <c r="S248" s="498"/>
      <c r="AJ248" s="498"/>
      <c r="AM248" s="498">
        <f t="shared" si="82"/>
        <v>0</v>
      </c>
      <c r="AN248" s="498">
        <f t="shared" si="83"/>
        <v>0</v>
      </c>
      <c r="AO248" s="498">
        <f t="shared" si="84"/>
        <v>0</v>
      </c>
      <c r="AP248" s="498">
        <f t="shared" si="103"/>
        <v>0</v>
      </c>
      <c r="AQ248" s="498">
        <f t="shared" si="98"/>
        <v>0</v>
      </c>
      <c r="AU248" s="498">
        <f t="shared" si="85"/>
        <v>0</v>
      </c>
      <c r="AV248" s="498">
        <f t="shared" si="86"/>
        <v>0</v>
      </c>
      <c r="AW248" s="498">
        <f t="shared" si="87"/>
        <v>0</v>
      </c>
      <c r="AX248" s="498">
        <f t="shared" si="88"/>
        <v>0</v>
      </c>
      <c r="AY248" s="498">
        <f t="shared" si="89"/>
        <v>0</v>
      </c>
      <c r="BB248" s="498" t="str">
        <f t="shared" si="90"/>
        <v/>
      </c>
      <c r="BC248" s="743" t="str">
        <f t="shared" si="91"/>
        <v/>
      </c>
      <c r="BD248" s="743" t="str">
        <f t="shared" si="92"/>
        <v/>
      </c>
      <c r="BE248" s="743" t="str">
        <f>IF(D248="","",VLOOKUP(D248,'General Basis'!$J$39:$K$46,2,0))</f>
        <v/>
      </c>
      <c r="BF248" s="744" t="str">
        <f>IF(D248="","",VLOOKUP(D248,'General Basis'!$J$39:$L$46,3,0))</f>
        <v/>
      </c>
      <c r="BG248" s="744" t="str">
        <f t="shared" si="99"/>
        <v/>
      </c>
      <c r="BH248" s="744" t="str">
        <f>IF(G248="","",IF(BF248="Abu Dhabi",IF(G248&lt;18,'General Basis'!$C$39,IF(G248&lt;41,'General Basis'!$C$40,IF(G248&lt;60,'General Basis'!$C$41,IF(G248&lt;65,'General Basis'!$C$42,'General Basis'!$C$43)))),IF(G248&lt;11,'General Basis'!$B$39,IF(G248&lt;18,'General Basis'!$B$40,IF(G248&lt;26,'General Basis'!$B$41,IF(G248&lt;31,'General Basis'!$B$42,IF(G248&lt;36,'General Basis'!$B$43,IF(G248&lt;41,'General Basis'!$B$44,IF(G248&lt;46,'General Basis'!$B$45,IF(G248&lt;51,'General Basis'!$B$46,IF(G248&lt;56,'General Basis'!$B$47,IF(G248&lt;60,'General Basis'!$B$48,IF(G248&lt;65,'General Basis'!$B$49,'General Basis'!$B$50)))))))))))))</f>
        <v/>
      </c>
      <c r="BI248" s="744" t="str">
        <f t="shared" si="93"/>
        <v/>
      </c>
      <c r="BJ248" s="747" t="str">
        <f t="shared" si="100"/>
        <v/>
      </c>
      <c r="BK248" s="498" t="str">
        <f t="shared" si="94"/>
        <v/>
      </c>
      <c r="BL248" s="498" t="str">
        <f t="shared" si="95"/>
        <v/>
      </c>
    </row>
    <row r="249" spans="1:64" x14ac:dyDescent="0.25">
      <c r="A249" s="762">
        <f t="shared" si="96"/>
        <v>244</v>
      </c>
      <c r="B249" s="229"/>
      <c r="C249" s="223"/>
      <c r="D249" s="224"/>
      <c r="E249" s="225"/>
      <c r="F249" s="1036" t="str">
        <f t="shared" si="102"/>
        <v/>
      </c>
      <c r="G249" s="1037" t="str">
        <f t="shared" si="97"/>
        <v/>
      </c>
      <c r="H249" s="225"/>
      <c r="I249" s="1013"/>
      <c r="J249" s="1013"/>
      <c r="K249" s="1028"/>
      <c r="L249" s="1035" t="str">
        <f t="shared" si="101"/>
        <v/>
      </c>
      <c r="S249" s="498"/>
      <c r="AJ249" s="498"/>
      <c r="AM249" s="498">
        <f t="shared" si="82"/>
        <v>0</v>
      </c>
      <c r="AN249" s="498">
        <f t="shared" si="83"/>
        <v>0</v>
      </c>
      <c r="AO249" s="498">
        <f t="shared" si="84"/>
        <v>0</v>
      </c>
      <c r="AP249" s="498">
        <f t="shared" si="103"/>
        <v>0</v>
      </c>
      <c r="AQ249" s="498">
        <f t="shared" si="98"/>
        <v>0</v>
      </c>
      <c r="AU249" s="498">
        <f t="shared" si="85"/>
        <v>0</v>
      </c>
      <c r="AV249" s="498">
        <f t="shared" si="86"/>
        <v>0</v>
      </c>
      <c r="AW249" s="498">
        <f t="shared" si="87"/>
        <v>0</v>
      </c>
      <c r="AX249" s="498">
        <f t="shared" si="88"/>
        <v>0</v>
      </c>
      <c r="AY249" s="498">
        <f t="shared" si="89"/>
        <v>0</v>
      </c>
      <c r="BB249" s="498" t="str">
        <f t="shared" si="90"/>
        <v/>
      </c>
      <c r="BC249" s="743" t="str">
        <f t="shared" si="91"/>
        <v/>
      </c>
      <c r="BD249" s="743" t="str">
        <f t="shared" si="92"/>
        <v/>
      </c>
      <c r="BE249" s="743" t="str">
        <f>IF(D249="","",VLOOKUP(D249,'General Basis'!$J$39:$K$46,2,0))</f>
        <v/>
      </c>
      <c r="BF249" s="744" t="str">
        <f>IF(D249="","",VLOOKUP(D249,'General Basis'!$J$39:$L$46,3,0))</f>
        <v/>
      </c>
      <c r="BG249" s="744" t="str">
        <f t="shared" si="99"/>
        <v/>
      </c>
      <c r="BH249" s="744" t="str">
        <f>IF(G249="","",IF(BF249="Abu Dhabi",IF(G249&lt;18,'General Basis'!$C$39,IF(G249&lt;41,'General Basis'!$C$40,IF(G249&lt;60,'General Basis'!$C$41,IF(G249&lt;65,'General Basis'!$C$42,'General Basis'!$C$43)))),IF(G249&lt;11,'General Basis'!$B$39,IF(G249&lt;18,'General Basis'!$B$40,IF(G249&lt;26,'General Basis'!$B$41,IF(G249&lt;31,'General Basis'!$B$42,IF(G249&lt;36,'General Basis'!$B$43,IF(G249&lt;41,'General Basis'!$B$44,IF(G249&lt;46,'General Basis'!$B$45,IF(G249&lt;51,'General Basis'!$B$46,IF(G249&lt;56,'General Basis'!$B$47,IF(G249&lt;60,'General Basis'!$B$48,IF(G249&lt;65,'General Basis'!$B$49,'General Basis'!$B$50)))))))))))))</f>
        <v/>
      </c>
      <c r="BI249" s="744" t="str">
        <f t="shared" si="93"/>
        <v/>
      </c>
      <c r="BJ249" s="747" t="str">
        <f t="shared" si="100"/>
        <v/>
      </c>
      <c r="BK249" s="498" t="str">
        <f t="shared" si="94"/>
        <v/>
      </c>
      <c r="BL249" s="498" t="str">
        <f t="shared" si="95"/>
        <v/>
      </c>
    </row>
    <row r="250" spans="1:64" x14ac:dyDescent="0.25">
      <c r="A250" s="762">
        <f t="shared" si="96"/>
        <v>245</v>
      </c>
      <c r="B250" s="229"/>
      <c r="C250" s="223"/>
      <c r="D250" s="224"/>
      <c r="E250" s="225"/>
      <c r="F250" s="1036" t="str">
        <f t="shared" si="102"/>
        <v/>
      </c>
      <c r="G250" s="1037" t="str">
        <f t="shared" si="97"/>
        <v/>
      </c>
      <c r="H250" s="225"/>
      <c r="I250" s="1013"/>
      <c r="J250" s="1013"/>
      <c r="K250" s="1028"/>
      <c r="L250" s="1035" t="str">
        <f t="shared" si="101"/>
        <v/>
      </c>
      <c r="S250" s="498"/>
      <c r="AJ250" s="498"/>
      <c r="AM250" s="498">
        <f t="shared" si="82"/>
        <v>0</v>
      </c>
      <c r="AN250" s="498">
        <f t="shared" si="83"/>
        <v>0</v>
      </c>
      <c r="AO250" s="498">
        <f t="shared" si="84"/>
        <v>0</v>
      </c>
      <c r="AP250" s="498">
        <f t="shared" si="103"/>
        <v>0</v>
      </c>
      <c r="AQ250" s="498">
        <f t="shared" si="98"/>
        <v>0</v>
      </c>
      <c r="AU250" s="498">
        <f t="shared" si="85"/>
        <v>0</v>
      </c>
      <c r="AV250" s="498">
        <f t="shared" si="86"/>
        <v>0</v>
      </c>
      <c r="AW250" s="498">
        <f t="shared" si="87"/>
        <v>0</v>
      </c>
      <c r="AX250" s="498">
        <f t="shared" si="88"/>
        <v>0</v>
      </c>
      <c r="AY250" s="498">
        <f t="shared" si="89"/>
        <v>0</v>
      </c>
      <c r="BB250" s="498" t="str">
        <f t="shared" si="90"/>
        <v/>
      </c>
      <c r="BC250" s="743" t="str">
        <f t="shared" si="91"/>
        <v/>
      </c>
      <c r="BD250" s="743" t="str">
        <f t="shared" si="92"/>
        <v/>
      </c>
      <c r="BE250" s="743" t="str">
        <f>IF(D250="","",VLOOKUP(D250,'General Basis'!$J$39:$K$46,2,0))</f>
        <v/>
      </c>
      <c r="BF250" s="744" t="str">
        <f>IF(D250="","",VLOOKUP(D250,'General Basis'!$J$39:$L$46,3,0))</f>
        <v/>
      </c>
      <c r="BG250" s="744" t="str">
        <f t="shared" si="99"/>
        <v/>
      </c>
      <c r="BH250" s="744" t="str">
        <f>IF(G250="","",IF(BF250="Abu Dhabi",IF(G250&lt;18,'General Basis'!$C$39,IF(G250&lt;41,'General Basis'!$C$40,IF(G250&lt;60,'General Basis'!$C$41,IF(G250&lt;65,'General Basis'!$C$42,'General Basis'!$C$43)))),IF(G250&lt;11,'General Basis'!$B$39,IF(G250&lt;18,'General Basis'!$B$40,IF(G250&lt;26,'General Basis'!$B$41,IF(G250&lt;31,'General Basis'!$B$42,IF(G250&lt;36,'General Basis'!$B$43,IF(G250&lt;41,'General Basis'!$B$44,IF(G250&lt;46,'General Basis'!$B$45,IF(G250&lt;51,'General Basis'!$B$46,IF(G250&lt;56,'General Basis'!$B$47,IF(G250&lt;60,'General Basis'!$B$48,IF(G250&lt;65,'General Basis'!$B$49,'General Basis'!$B$50)))))))))))))</f>
        <v/>
      </c>
      <c r="BI250" s="744" t="str">
        <f t="shared" si="93"/>
        <v/>
      </c>
      <c r="BJ250" s="747" t="str">
        <f t="shared" si="100"/>
        <v/>
      </c>
      <c r="BK250" s="498" t="str">
        <f t="shared" si="94"/>
        <v/>
      </c>
      <c r="BL250" s="498" t="str">
        <f t="shared" si="95"/>
        <v/>
      </c>
    </row>
    <row r="251" spans="1:64" x14ac:dyDescent="0.25">
      <c r="A251" s="762">
        <f t="shared" si="96"/>
        <v>246</v>
      </c>
      <c r="B251" s="229"/>
      <c r="C251" s="223"/>
      <c r="D251" s="224"/>
      <c r="E251" s="225"/>
      <c r="F251" s="1036" t="str">
        <f t="shared" si="102"/>
        <v/>
      </c>
      <c r="G251" s="1037" t="str">
        <f t="shared" si="97"/>
        <v/>
      </c>
      <c r="H251" s="225"/>
      <c r="I251" s="1013"/>
      <c r="J251" s="1013"/>
      <c r="K251" s="1028"/>
      <c r="L251" s="1035" t="str">
        <f t="shared" si="101"/>
        <v/>
      </c>
      <c r="S251" s="498"/>
      <c r="AJ251" s="498"/>
      <c r="AM251" s="498">
        <f t="shared" si="82"/>
        <v>0</v>
      </c>
      <c r="AN251" s="498">
        <f t="shared" si="83"/>
        <v>0</v>
      </c>
      <c r="AO251" s="498">
        <f t="shared" si="84"/>
        <v>0</v>
      </c>
      <c r="AP251" s="498">
        <f t="shared" si="103"/>
        <v>0</v>
      </c>
      <c r="AQ251" s="498">
        <f t="shared" si="98"/>
        <v>0</v>
      </c>
      <c r="AU251" s="498">
        <f t="shared" si="85"/>
        <v>0</v>
      </c>
      <c r="AV251" s="498">
        <f t="shared" si="86"/>
        <v>0</v>
      </c>
      <c r="AW251" s="498">
        <f t="shared" si="87"/>
        <v>0</v>
      </c>
      <c r="AX251" s="498">
        <f t="shared" si="88"/>
        <v>0</v>
      </c>
      <c r="AY251" s="498">
        <f t="shared" si="89"/>
        <v>0</v>
      </c>
      <c r="BB251" s="498" t="str">
        <f t="shared" si="90"/>
        <v/>
      </c>
      <c r="BC251" s="743" t="str">
        <f t="shared" si="91"/>
        <v/>
      </c>
      <c r="BD251" s="743" t="str">
        <f t="shared" si="92"/>
        <v/>
      </c>
      <c r="BE251" s="743" t="str">
        <f>IF(D251="","",VLOOKUP(D251,'General Basis'!$J$39:$K$46,2,0))</f>
        <v/>
      </c>
      <c r="BF251" s="744" t="str">
        <f>IF(D251="","",VLOOKUP(D251,'General Basis'!$J$39:$L$46,3,0))</f>
        <v/>
      </c>
      <c r="BG251" s="744" t="str">
        <f t="shared" si="99"/>
        <v/>
      </c>
      <c r="BH251" s="744" t="str">
        <f>IF(G251="","",IF(BF251="Abu Dhabi",IF(G251&lt;18,'General Basis'!$C$39,IF(G251&lt;41,'General Basis'!$C$40,IF(G251&lt;60,'General Basis'!$C$41,IF(G251&lt;65,'General Basis'!$C$42,'General Basis'!$C$43)))),IF(G251&lt;11,'General Basis'!$B$39,IF(G251&lt;18,'General Basis'!$B$40,IF(G251&lt;26,'General Basis'!$B$41,IF(G251&lt;31,'General Basis'!$B$42,IF(G251&lt;36,'General Basis'!$B$43,IF(G251&lt;41,'General Basis'!$B$44,IF(G251&lt;46,'General Basis'!$B$45,IF(G251&lt;51,'General Basis'!$B$46,IF(G251&lt;56,'General Basis'!$B$47,IF(G251&lt;60,'General Basis'!$B$48,IF(G251&lt;65,'General Basis'!$B$49,'General Basis'!$B$50)))))))))))))</f>
        <v/>
      </c>
      <c r="BI251" s="744" t="str">
        <f t="shared" si="93"/>
        <v/>
      </c>
      <c r="BJ251" s="747" t="str">
        <f t="shared" si="100"/>
        <v/>
      </c>
      <c r="BK251" s="498" t="str">
        <f t="shared" si="94"/>
        <v/>
      </c>
      <c r="BL251" s="498" t="str">
        <f t="shared" si="95"/>
        <v/>
      </c>
    </row>
    <row r="252" spans="1:64" x14ac:dyDescent="0.25">
      <c r="A252" s="762">
        <f t="shared" si="96"/>
        <v>247</v>
      </c>
      <c r="B252" s="229"/>
      <c r="C252" s="223"/>
      <c r="D252" s="224"/>
      <c r="E252" s="225"/>
      <c r="F252" s="1036" t="str">
        <f t="shared" si="102"/>
        <v/>
      </c>
      <c r="G252" s="1037" t="str">
        <f t="shared" si="97"/>
        <v/>
      </c>
      <c r="H252" s="225"/>
      <c r="I252" s="1013"/>
      <c r="J252" s="1013"/>
      <c r="K252" s="1028"/>
      <c r="L252" s="1035" t="str">
        <f t="shared" si="101"/>
        <v/>
      </c>
      <c r="S252" s="498"/>
      <c r="AJ252" s="498"/>
      <c r="AM252" s="498">
        <f t="shared" si="82"/>
        <v>0</v>
      </c>
      <c r="AN252" s="498">
        <f t="shared" si="83"/>
        <v>0</v>
      </c>
      <c r="AO252" s="498">
        <f t="shared" si="84"/>
        <v>0</v>
      </c>
      <c r="AP252" s="498">
        <f t="shared" si="103"/>
        <v>0</v>
      </c>
      <c r="AQ252" s="498">
        <f t="shared" si="98"/>
        <v>0</v>
      </c>
      <c r="AU252" s="498">
        <f t="shared" si="85"/>
        <v>0</v>
      </c>
      <c r="AV252" s="498">
        <f t="shared" si="86"/>
        <v>0</v>
      </c>
      <c r="AW252" s="498">
        <f t="shared" si="87"/>
        <v>0</v>
      </c>
      <c r="AX252" s="498">
        <f t="shared" si="88"/>
        <v>0</v>
      </c>
      <c r="AY252" s="498">
        <f t="shared" si="89"/>
        <v>0</v>
      </c>
      <c r="BB252" s="498" t="str">
        <f t="shared" si="90"/>
        <v/>
      </c>
      <c r="BC252" s="743" t="str">
        <f t="shared" si="91"/>
        <v/>
      </c>
      <c r="BD252" s="743" t="str">
        <f t="shared" si="92"/>
        <v/>
      </c>
      <c r="BE252" s="743" t="str">
        <f>IF(D252="","",VLOOKUP(D252,'General Basis'!$J$39:$K$46,2,0))</f>
        <v/>
      </c>
      <c r="BF252" s="744" t="str">
        <f>IF(D252="","",VLOOKUP(D252,'General Basis'!$J$39:$L$46,3,0))</f>
        <v/>
      </c>
      <c r="BG252" s="744" t="str">
        <f t="shared" si="99"/>
        <v/>
      </c>
      <c r="BH252" s="744" t="str">
        <f>IF(G252="","",IF(BF252="Abu Dhabi",IF(G252&lt;18,'General Basis'!$C$39,IF(G252&lt;41,'General Basis'!$C$40,IF(G252&lt;60,'General Basis'!$C$41,IF(G252&lt;65,'General Basis'!$C$42,'General Basis'!$C$43)))),IF(G252&lt;11,'General Basis'!$B$39,IF(G252&lt;18,'General Basis'!$B$40,IF(G252&lt;26,'General Basis'!$B$41,IF(G252&lt;31,'General Basis'!$B$42,IF(G252&lt;36,'General Basis'!$B$43,IF(G252&lt;41,'General Basis'!$B$44,IF(G252&lt;46,'General Basis'!$B$45,IF(G252&lt;51,'General Basis'!$B$46,IF(G252&lt;56,'General Basis'!$B$47,IF(G252&lt;60,'General Basis'!$B$48,IF(G252&lt;65,'General Basis'!$B$49,'General Basis'!$B$50)))))))))))))</f>
        <v/>
      </c>
      <c r="BI252" s="744" t="str">
        <f t="shared" si="93"/>
        <v/>
      </c>
      <c r="BJ252" s="747" t="str">
        <f t="shared" si="100"/>
        <v/>
      </c>
      <c r="BK252" s="498" t="str">
        <f t="shared" si="94"/>
        <v/>
      </c>
      <c r="BL252" s="498" t="str">
        <f t="shared" si="95"/>
        <v/>
      </c>
    </row>
    <row r="253" spans="1:64" x14ac:dyDescent="0.25">
      <c r="A253" s="762">
        <f t="shared" si="96"/>
        <v>248</v>
      </c>
      <c r="B253" s="229"/>
      <c r="C253" s="223"/>
      <c r="D253" s="224"/>
      <c r="E253" s="225"/>
      <c r="F253" s="1036" t="str">
        <f t="shared" si="102"/>
        <v/>
      </c>
      <c r="G253" s="1037" t="str">
        <f t="shared" si="97"/>
        <v/>
      </c>
      <c r="H253" s="225"/>
      <c r="I253" s="1013"/>
      <c r="J253" s="1013"/>
      <c r="K253" s="1028"/>
      <c r="L253" s="1035" t="str">
        <f t="shared" si="101"/>
        <v/>
      </c>
      <c r="S253" s="498"/>
      <c r="AJ253" s="498"/>
      <c r="AM253" s="498">
        <f t="shared" si="82"/>
        <v>0</v>
      </c>
      <c r="AN253" s="498">
        <f t="shared" si="83"/>
        <v>0</v>
      </c>
      <c r="AO253" s="498">
        <f t="shared" si="84"/>
        <v>0</v>
      </c>
      <c r="AP253" s="498">
        <f t="shared" si="103"/>
        <v>0</v>
      </c>
      <c r="AQ253" s="498">
        <f t="shared" si="98"/>
        <v>0</v>
      </c>
      <c r="AU253" s="498">
        <f t="shared" si="85"/>
        <v>0</v>
      </c>
      <c r="AV253" s="498">
        <f t="shared" si="86"/>
        <v>0</v>
      </c>
      <c r="AW253" s="498">
        <f t="shared" si="87"/>
        <v>0</v>
      </c>
      <c r="AX253" s="498">
        <f t="shared" si="88"/>
        <v>0</v>
      </c>
      <c r="AY253" s="498">
        <f t="shared" si="89"/>
        <v>0</v>
      </c>
      <c r="BB253" s="498" t="str">
        <f t="shared" si="90"/>
        <v/>
      </c>
      <c r="BC253" s="743" t="str">
        <f t="shared" si="91"/>
        <v/>
      </c>
      <c r="BD253" s="743" t="str">
        <f t="shared" si="92"/>
        <v/>
      </c>
      <c r="BE253" s="743" t="str">
        <f>IF(D253="","",VLOOKUP(D253,'General Basis'!$J$39:$K$46,2,0))</f>
        <v/>
      </c>
      <c r="BF253" s="744" t="str">
        <f>IF(D253="","",VLOOKUP(D253,'General Basis'!$J$39:$L$46,3,0))</f>
        <v/>
      </c>
      <c r="BG253" s="744" t="str">
        <f t="shared" si="99"/>
        <v/>
      </c>
      <c r="BH253" s="744" t="str">
        <f>IF(G253="","",IF(BF253="Abu Dhabi",IF(G253&lt;18,'General Basis'!$C$39,IF(G253&lt;41,'General Basis'!$C$40,IF(G253&lt;60,'General Basis'!$C$41,IF(G253&lt;65,'General Basis'!$C$42,'General Basis'!$C$43)))),IF(G253&lt;11,'General Basis'!$B$39,IF(G253&lt;18,'General Basis'!$B$40,IF(G253&lt;26,'General Basis'!$B$41,IF(G253&lt;31,'General Basis'!$B$42,IF(G253&lt;36,'General Basis'!$B$43,IF(G253&lt;41,'General Basis'!$B$44,IF(G253&lt;46,'General Basis'!$B$45,IF(G253&lt;51,'General Basis'!$B$46,IF(G253&lt;56,'General Basis'!$B$47,IF(G253&lt;60,'General Basis'!$B$48,IF(G253&lt;65,'General Basis'!$B$49,'General Basis'!$B$50)))))))))))))</f>
        <v/>
      </c>
      <c r="BI253" s="744" t="str">
        <f t="shared" si="93"/>
        <v/>
      </c>
      <c r="BJ253" s="747" t="str">
        <f t="shared" si="100"/>
        <v/>
      </c>
      <c r="BK253" s="498" t="str">
        <f t="shared" si="94"/>
        <v/>
      </c>
      <c r="BL253" s="498" t="str">
        <f t="shared" si="95"/>
        <v/>
      </c>
    </row>
    <row r="254" spans="1:64" x14ac:dyDescent="0.25">
      <c r="A254" s="762">
        <f t="shared" si="96"/>
        <v>249</v>
      </c>
      <c r="B254" s="229"/>
      <c r="C254" s="223"/>
      <c r="D254" s="224"/>
      <c r="E254" s="225"/>
      <c r="F254" s="1036" t="str">
        <f t="shared" si="102"/>
        <v/>
      </c>
      <c r="G254" s="1037" t="str">
        <f t="shared" si="97"/>
        <v/>
      </c>
      <c r="H254" s="225"/>
      <c r="I254" s="1013"/>
      <c r="J254" s="1013"/>
      <c r="K254" s="1028"/>
      <c r="L254" s="1035" t="str">
        <f t="shared" si="101"/>
        <v/>
      </c>
      <c r="S254" s="498"/>
      <c r="AJ254" s="498"/>
      <c r="AM254" s="498">
        <f t="shared" si="82"/>
        <v>0</v>
      </c>
      <c r="AN254" s="498">
        <f t="shared" si="83"/>
        <v>0</v>
      </c>
      <c r="AO254" s="498">
        <f t="shared" si="84"/>
        <v>0</v>
      </c>
      <c r="AP254" s="498">
        <f t="shared" si="103"/>
        <v>0</v>
      </c>
      <c r="AQ254" s="498">
        <f t="shared" si="98"/>
        <v>0</v>
      </c>
      <c r="AU254" s="498">
        <f t="shared" si="85"/>
        <v>0</v>
      </c>
      <c r="AV254" s="498">
        <f t="shared" si="86"/>
        <v>0</v>
      </c>
      <c r="AW254" s="498">
        <f t="shared" si="87"/>
        <v>0</v>
      </c>
      <c r="AX254" s="498">
        <f t="shared" si="88"/>
        <v>0</v>
      </c>
      <c r="AY254" s="498">
        <f t="shared" si="89"/>
        <v>0</v>
      </c>
      <c r="BB254" s="498" t="str">
        <f t="shared" si="90"/>
        <v/>
      </c>
      <c r="BC254" s="743" t="str">
        <f t="shared" si="91"/>
        <v/>
      </c>
      <c r="BD254" s="743" t="str">
        <f t="shared" si="92"/>
        <v/>
      </c>
      <c r="BE254" s="743" t="str">
        <f>IF(D254="","",VLOOKUP(D254,'General Basis'!$J$39:$K$46,2,0))</f>
        <v/>
      </c>
      <c r="BF254" s="744" t="str">
        <f>IF(D254="","",VLOOKUP(D254,'General Basis'!$J$39:$L$46,3,0))</f>
        <v/>
      </c>
      <c r="BG254" s="744" t="str">
        <f t="shared" si="99"/>
        <v/>
      </c>
      <c r="BH254" s="744" t="str">
        <f>IF(G254="","",IF(BF254="Abu Dhabi",IF(G254&lt;18,'General Basis'!$C$39,IF(G254&lt;41,'General Basis'!$C$40,IF(G254&lt;60,'General Basis'!$C$41,IF(G254&lt;65,'General Basis'!$C$42,'General Basis'!$C$43)))),IF(G254&lt;11,'General Basis'!$B$39,IF(G254&lt;18,'General Basis'!$B$40,IF(G254&lt;26,'General Basis'!$B$41,IF(G254&lt;31,'General Basis'!$B$42,IF(G254&lt;36,'General Basis'!$B$43,IF(G254&lt;41,'General Basis'!$B$44,IF(G254&lt;46,'General Basis'!$B$45,IF(G254&lt;51,'General Basis'!$B$46,IF(G254&lt;56,'General Basis'!$B$47,IF(G254&lt;60,'General Basis'!$B$48,IF(G254&lt;65,'General Basis'!$B$49,'General Basis'!$B$50)))))))))))))</f>
        <v/>
      </c>
      <c r="BI254" s="744" t="str">
        <f t="shared" si="93"/>
        <v/>
      </c>
      <c r="BJ254" s="747" t="str">
        <f t="shared" si="100"/>
        <v/>
      </c>
      <c r="BK254" s="498" t="str">
        <f t="shared" si="94"/>
        <v/>
      </c>
      <c r="BL254" s="498" t="str">
        <f t="shared" si="95"/>
        <v/>
      </c>
    </row>
    <row r="255" spans="1:64" x14ac:dyDescent="0.25">
      <c r="A255" s="762">
        <f t="shared" si="96"/>
        <v>250</v>
      </c>
      <c r="B255" s="229"/>
      <c r="C255" s="223"/>
      <c r="D255" s="224"/>
      <c r="E255" s="225"/>
      <c r="F255" s="1036" t="str">
        <f t="shared" si="102"/>
        <v/>
      </c>
      <c r="G255" s="1037" t="str">
        <f t="shared" si="97"/>
        <v/>
      </c>
      <c r="H255" s="225"/>
      <c r="I255" s="1013"/>
      <c r="J255" s="1013"/>
      <c r="K255" s="1028"/>
      <c r="L255" s="1035" t="str">
        <f t="shared" si="101"/>
        <v/>
      </c>
      <c r="S255" s="498"/>
      <c r="AJ255" s="498"/>
      <c r="AM255" s="498">
        <f t="shared" si="82"/>
        <v>0</v>
      </c>
      <c r="AN255" s="498">
        <f t="shared" si="83"/>
        <v>0</v>
      </c>
      <c r="AO255" s="498">
        <f t="shared" si="84"/>
        <v>0</v>
      </c>
      <c r="AP255" s="498">
        <f t="shared" si="103"/>
        <v>0</v>
      </c>
      <c r="AQ255" s="498">
        <f t="shared" si="98"/>
        <v>0</v>
      </c>
      <c r="AU255" s="498">
        <f t="shared" si="85"/>
        <v>0</v>
      </c>
      <c r="AV255" s="498">
        <f t="shared" si="86"/>
        <v>0</v>
      </c>
      <c r="AW255" s="498">
        <f t="shared" si="87"/>
        <v>0</v>
      </c>
      <c r="AX255" s="498">
        <f t="shared" si="88"/>
        <v>0</v>
      </c>
      <c r="AY255" s="498">
        <f t="shared" si="89"/>
        <v>0</v>
      </c>
      <c r="BB255" s="498" t="str">
        <f t="shared" si="90"/>
        <v/>
      </c>
      <c r="BC255" s="743" t="str">
        <f t="shared" si="91"/>
        <v/>
      </c>
      <c r="BD255" s="743" t="str">
        <f t="shared" si="92"/>
        <v/>
      </c>
      <c r="BE255" s="743" t="str">
        <f>IF(D255="","",VLOOKUP(D255,'General Basis'!$J$39:$K$46,2,0))</f>
        <v/>
      </c>
      <c r="BF255" s="744" t="str">
        <f>IF(D255="","",VLOOKUP(D255,'General Basis'!$J$39:$L$46,3,0))</f>
        <v/>
      </c>
      <c r="BG255" s="744" t="str">
        <f t="shared" si="99"/>
        <v/>
      </c>
      <c r="BH255" s="744" t="str">
        <f>IF(G255="","",IF(BF255="Abu Dhabi",IF(G255&lt;18,'General Basis'!$C$39,IF(G255&lt;41,'General Basis'!$C$40,IF(G255&lt;60,'General Basis'!$C$41,IF(G255&lt;65,'General Basis'!$C$42,'General Basis'!$C$43)))),IF(G255&lt;11,'General Basis'!$B$39,IF(G255&lt;18,'General Basis'!$B$40,IF(G255&lt;26,'General Basis'!$B$41,IF(G255&lt;31,'General Basis'!$B$42,IF(G255&lt;36,'General Basis'!$B$43,IF(G255&lt;41,'General Basis'!$B$44,IF(G255&lt;46,'General Basis'!$B$45,IF(G255&lt;51,'General Basis'!$B$46,IF(G255&lt;56,'General Basis'!$B$47,IF(G255&lt;60,'General Basis'!$B$48,IF(G255&lt;65,'General Basis'!$B$49,'General Basis'!$B$50)))))))))))))</f>
        <v/>
      </c>
      <c r="BI255" s="744" t="str">
        <f t="shared" si="93"/>
        <v/>
      </c>
      <c r="BJ255" s="747" t="str">
        <f t="shared" si="100"/>
        <v/>
      </c>
      <c r="BK255" s="498" t="str">
        <f t="shared" si="94"/>
        <v/>
      </c>
      <c r="BL255" s="498" t="str">
        <f t="shared" si="95"/>
        <v/>
      </c>
    </row>
    <row r="256" spans="1:64" x14ac:dyDescent="0.25">
      <c r="A256" s="762">
        <f t="shared" si="96"/>
        <v>251</v>
      </c>
      <c r="B256" s="229"/>
      <c r="C256" s="223"/>
      <c r="D256" s="224"/>
      <c r="E256" s="225"/>
      <c r="F256" s="1036" t="str">
        <f t="shared" si="102"/>
        <v/>
      </c>
      <c r="G256" s="1037" t="str">
        <f t="shared" si="97"/>
        <v/>
      </c>
      <c r="H256" s="225"/>
      <c r="I256" s="1013"/>
      <c r="J256" s="1013"/>
      <c r="K256" s="1028"/>
      <c r="L256" s="1035" t="str">
        <f t="shared" si="101"/>
        <v/>
      </c>
      <c r="S256" s="498"/>
      <c r="AJ256" s="498"/>
      <c r="AM256" s="498">
        <f t="shared" si="82"/>
        <v>0</v>
      </c>
      <c r="AN256" s="498">
        <f t="shared" si="83"/>
        <v>0</v>
      </c>
      <c r="AO256" s="498">
        <f t="shared" si="84"/>
        <v>0</v>
      </c>
      <c r="AP256" s="498">
        <f t="shared" si="103"/>
        <v>0</v>
      </c>
      <c r="AQ256" s="498">
        <f t="shared" si="98"/>
        <v>0</v>
      </c>
      <c r="AU256" s="498">
        <f t="shared" si="85"/>
        <v>0</v>
      </c>
      <c r="AV256" s="498">
        <f t="shared" si="86"/>
        <v>0</v>
      </c>
      <c r="AW256" s="498">
        <f t="shared" si="87"/>
        <v>0</v>
      </c>
      <c r="AX256" s="498">
        <f t="shared" si="88"/>
        <v>0</v>
      </c>
      <c r="AY256" s="498">
        <f t="shared" si="89"/>
        <v>0</v>
      </c>
      <c r="BB256" s="498" t="str">
        <f t="shared" si="90"/>
        <v/>
      </c>
      <c r="BC256" s="743" t="str">
        <f t="shared" si="91"/>
        <v/>
      </c>
      <c r="BD256" s="743" t="str">
        <f t="shared" si="92"/>
        <v/>
      </c>
      <c r="BE256" s="743" t="str">
        <f>IF(D256="","",VLOOKUP(D256,'General Basis'!$J$39:$K$46,2,0))</f>
        <v/>
      </c>
      <c r="BF256" s="744" t="str">
        <f>IF(D256="","",VLOOKUP(D256,'General Basis'!$J$39:$L$46,3,0))</f>
        <v/>
      </c>
      <c r="BG256" s="744" t="str">
        <f t="shared" si="99"/>
        <v/>
      </c>
      <c r="BH256" s="744" t="str">
        <f>IF(G256="","",IF(BF256="Abu Dhabi",IF(G256&lt;18,'General Basis'!$C$39,IF(G256&lt;41,'General Basis'!$C$40,IF(G256&lt;60,'General Basis'!$C$41,IF(G256&lt;65,'General Basis'!$C$42,'General Basis'!$C$43)))),IF(G256&lt;11,'General Basis'!$B$39,IF(G256&lt;18,'General Basis'!$B$40,IF(G256&lt;26,'General Basis'!$B$41,IF(G256&lt;31,'General Basis'!$B$42,IF(G256&lt;36,'General Basis'!$B$43,IF(G256&lt;41,'General Basis'!$B$44,IF(G256&lt;46,'General Basis'!$B$45,IF(G256&lt;51,'General Basis'!$B$46,IF(G256&lt;56,'General Basis'!$B$47,IF(G256&lt;60,'General Basis'!$B$48,IF(G256&lt;65,'General Basis'!$B$49,'General Basis'!$B$50)))))))))))))</f>
        <v/>
      </c>
      <c r="BI256" s="744" t="str">
        <f t="shared" si="93"/>
        <v/>
      </c>
      <c r="BJ256" s="747" t="str">
        <f t="shared" si="100"/>
        <v/>
      </c>
      <c r="BK256" s="498" t="str">
        <f t="shared" si="94"/>
        <v/>
      </c>
      <c r="BL256" s="498" t="str">
        <f t="shared" si="95"/>
        <v/>
      </c>
    </row>
    <row r="257" spans="1:64" x14ac:dyDescent="0.25">
      <c r="A257" s="762">
        <f t="shared" si="96"/>
        <v>252</v>
      </c>
      <c r="B257" s="229"/>
      <c r="C257" s="223"/>
      <c r="D257" s="224"/>
      <c r="E257" s="225"/>
      <c r="F257" s="1036" t="str">
        <f t="shared" si="102"/>
        <v/>
      </c>
      <c r="G257" s="1037" t="str">
        <f t="shared" si="97"/>
        <v/>
      </c>
      <c r="H257" s="225"/>
      <c r="I257" s="1013"/>
      <c r="J257" s="1013"/>
      <c r="K257" s="1028"/>
      <c r="L257" s="1035" t="str">
        <f t="shared" si="101"/>
        <v/>
      </c>
      <c r="S257" s="498"/>
      <c r="AJ257" s="498"/>
      <c r="AM257" s="498">
        <f t="shared" si="82"/>
        <v>0</v>
      </c>
      <c r="AN257" s="498">
        <f t="shared" si="83"/>
        <v>0</v>
      </c>
      <c r="AO257" s="498">
        <f t="shared" si="84"/>
        <v>0</v>
      </c>
      <c r="AP257" s="498">
        <f t="shared" si="103"/>
        <v>0</v>
      </c>
      <c r="AQ257" s="498">
        <f t="shared" si="98"/>
        <v>0</v>
      </c>
      <c r="AU257" s="498">
        <f t="shared" si="85"/>
        <v>0</v>
      </c>
      <c r="AV257" s="498">
        <f t="shared" si="86"/>
        <v>0</v>
      </c>
      <c r="AW257" s="498">
        <f t="shared" si="87"/>
        <v>0</v>
      </c>
      <c r="AX257" s="498">
        <f t="shared" si="88"/>
        <v>0</v>
      </c>
      <c r="AY257" s="498">
        <f t="shared" si="89"/>
        <v>0</v>
      </c>
      <c r="BB257" s="498" t="str">
        <f t="shared" si="90"/>
        <v/>
      </c>
      <c r="BC257" s="743" t="str">
        <f t="shared" si="91"/>
        <v/>
      </c>
      <c r="BD257" s="743" t="str">
        <f t="shared" si="92"/>
        <v/>
      </c>
      <c r="BE257" s="743" t="str">
        <f>IF(D257="","",VLOOKUP(D257,'General Basis'!$J$39:$K$46,2,0))</f>
        <v/>
      </c>
      <c r="BF257" s="744" t="str">
        <f>IF(D257="","",VLOOKUP(D257,'General Basis'!$J$39:$L$46,3,0))</f>
        <v/>
      </c>
      <c r="BG257" s="744" t="str">
        <f t="shared" si="99"/>
        <v/>
      </c>
      <c r="BH257" s="744" t="str">
        <f>IF(G257="","",IF(BF257="Abu Dhabi",IF(G257&lt;18,'General Basis'!$C$39,IF(G257&lt;41,'General Basis'!$C$40,IF(G257&lt;60,'General Basis'!$C$41,IF(G257&lt;65,'General Basis'!$C$42,'General Basis'!$C$43)))),IF(G257&lt;11,'General Basis'!$B$39,IF(G257&lt;18,'General Basis'!$B$40,IF(G257&lt;26,'General Basis'!$B$41,IF(G257&lt;31,'General Basis'!$B$42,IF(G257&lt;36,'General Basis'!$B$43,IF(G257&lt;41,'General Basis'!$B$44,IF(G257&lt;46,'General Basis'!$B$45,IF(G257&lt;51,'General Basis'!$B$46,IF(G257&lt;56,'General Basis'!$B$47,IF(G257&lt;60,'General Basis'!$B$48,IF(G257&lt;65,'General Basis'!$B$49,'General Basis'!$B$50)))))))))))))</f>
        <v/>
      </c>
      <c r="BI257" s="744" t="str">
        <f t="shared" si="93"/>
        <v/>
      </c>
      <c r="BJ257" s="747" t="str">
        <f t="shared" si="100"/>
        <v/>
      </c>
      <c r="BK257" s="498" t="str">
        <f t="shared" si="94"/>
        <v/>
      </c>
      <c r="BL257" s="498" t="str">
        <f t="shared" si="95"/>
        <v/>
      </c>
    </row>
    <row r="258" spans="1:64" x14ac:dyDescent="0.25">
      <c r="A258" s="762">
        <f t="shared" si="96"/>
        <v>253</v>
      </c>
      <c r="B258" s="229"/>
      <c r="C258" s="223"/>
      <c r="D258" s="224"/>
      <c r="E258" s="225"/>
      <c r="F258" s="1036" t="str">
        <f t="shared" si="102"/>
        <v/>
      </c>
      <c r="G258" s="1037" t="str">
        <f t="shared" si="97"/>
        <v/>
      </c>
      <c r="H258" s="225"/>
      <c r="I258" s="1013"/>
      <c r="J258" s="1013"/>
      <c r="K258" s="1028"/>
      <c r="L258" s="1035" t="str">
        <f t="shared" si="101"/>
        <v/>
      </c>
      <c r="S258" s="498"/>
      <c r="AJ258" s="498"/>
      <c r="AM258" s="498">
        <f t="shared" si="82"/>
        <v>0</v>
      </c>
      <c r="AN258" s="498">
        <f t="shared" si="83"/>
        <v>0</v>
      </c>
      <c r="AO258" s="498">
        <f t="shared" si="84"/>
        <v>0</v>
      </c>
      <c r="AP258" s="498">
        <f t="shared" si="103"/>
        <v>0</v>
      </c>
      <c r="AQ258" s="498">
        <f t="shared" si="98"/>
        <v>0</v>
      </c>
      <c r="AU258" s="498">
        <f t="shared" si="85"/>
        <v>0</v>
      </c>
      <c r="AV258" s="498">
        <f t="shared" si="86"/>
        <v>0</v>
      </c>
      <c r="AW258" s="498">
        <f t="shared" si="87"/>
        <v>0</v>
      </c>
      <c r="AX258" s="498">
        <f t="shared" si="88"/>
        <v>0</v>
      </c>
      <c r="AY258" s="498">
        <f t="shared" si="89"/>
        <v>0</v>
      </c>
      <c r="BB258" s="498" t="str">
        <f t="shared" si="90"/>
        <v/>
      </c>
      <c r="BC258" s="743" t="str">
        <f t="shared" si="91"/>
        <v/>
      </c>
      <c r="BD258" s="743" t="str">
        <f t="shared" si="92"/>
        <v/>
      </c>
      <c r="BE258" s="743" t="str">
        <f>IF(D258="","",VLOOKUP(D258,'General Basis'!$J$39:$K$46,2,0))</f>
        <v/>
      </c>
      <c r="BF258" s="744" t="str">
        <f>IF(D258="","",VLOOKUP(D258,'General Basis'!$J$39:$L$46,3,0))</f>
        <v/>
      </c>
      <c r="BG258" s="744" t="str">
        <f t="shared" si="99"/>
        <v/>
      </c>
      <c r="BH258" s="744" t="str">
        <f>IF(G258="","",IF(BF258="Abu Dhabi",IF(G258&lt;18,'General Basis'!$C$39,IF(G258&lt;41,'General Basis'!$C$40,IF(G258&lt;60,'General Basis'!$C$41,IF(G258&lt;65,'General Basis'!$C$42,'General Basis'!$C$43)))),IF(G258&lt;11,'General Basis'!$B$39,IF(G258&lt;18,'General Basis'!$B$40,IF(G258&lt;26,'General Basis'!$B$41,IF(G258&lt;31,'General Basis'!$B$42,IF(G258&lt;36,'General Basis'!$B$43,IF(G258&lt;41,'General Basis'!$B$44,IF(G258&lt;46,'General Basis'!$B$45,IF(G258&lt;51,'General Basis'!$B$46,IF(G258&lt;56,'General Basis'!$B$47,IF(G258&lt;60,'General Basis'!$B$48,IF(G258&lt;65,'General Basis'!$B$49,'General Basis'!$B$50)))))))))))))</f>
        <v/>
      </c>
      <c r="BI258" s="744" t="str">
        <f t="shared" si="93"/>
        <v/>
      </c>
      <c r="BJ258" s="747" t="str">
        <f t="shared" si="100"/>
        <v/>
      </c>
      <c r="BK258" s="498" t="str">
        <f t="shared" si="94"/>
        <v/>
      </c>
      <c r="BL258" s="498" t="str">
        <f t="shared" si="95"/>
        <v/>
      </c>
    </row>
    <row r="259" spans="1:64" x14ac:dyDescent="0.25">
      <c r="A259" s="762">
        <f t="shared" si="96"/>
        <v>254</v>
      </c>
      <c r="B259" s="229"/>
      <c r="C259" s="223"/>
      <c r="D259" s="224"/>
      <c r="E259" s="225"/>
      <c r="F259" s="1036" t="str">
        <f t="shared" si="102"/>
        <v/>
      </c>
      <c r="G259" s="1037" t="str">
        <f t="shared" si="97"/>
        <v/>
      </c>
      <c r="H259" s="225"/>
      <c r="I259" s="1013"/>
      <c r="J259" s="1013"/>
      <c r="K259" s="1028"/>
      <c r="L259" s="1035" t="str">
        <f t="shared" si="101"/>
        <v/>
      </c>
      <c r="S259" s="498"/>
      <c r="AJ259" s="498"/>
      <c r="AM259" s="498">
        <f t="shared" si="82"/>
        <v>0</v>
      </c>
      <c r="AN259" s="498">
        <f t="shared" si="83"/>
        <v>0</v>
      </c>
      <c r="AO259" s="498">
        <f t="shared" si="84"/>
        <v>0</v>
      </c>
      <c r="AP259" s="498">
        <f t="shared" si="103"/>
        <v>0</v>
      </c>
      <c r="AQ259" s="498">
        <f t="shared" si="98"/>
        <v>0</v>
      </c>
      <c r="AU259" s="498">
        <f t="shared" si="85"/>
        <v>0</v>
      </c>
      <c r="AV259" s="498">
        <f t="shared" si="86"/>
        <v>0</v>
      </c>
      <c r="AW259" s="498">
        <f t="shared" si="87"/>
        <v>0</v>
      </c>
      <c r="AX259" s="498">
        <f t="shared" si="88"/>
        <v>0</v>
      </c>
      <c r="AY259" s="498">
        <f t="shared" si="89"/>
        <v>0</v>
      </c>
      <c r="BB259" s="498" t="str">
        <f t="shared" si="90"/>
        <v/>
      </c>
      <c r="BC259" s="743" t="str">
        <f t="shared" si="91"/>
        <v/>
      </c>
      <c r="BD259" s="743" t="str">
        <f t="shared" si="92"/>
        <v/>
      </c>
      <c r="BE259" s="743" t="str">
        <f>IF(D259="","",VLOOKUP(D259,'General Basis'!$J$39:$K$46,2,0))</f>
        <v/>
      </c>
      <c r="BF259" s="744" t="str">
        <f>IF(D259="","",VLOOKUP(D259,'General Basis'!$J$39:$L$46,3,0))</f>
        <v/>
      </c>
      <c r="BG259" s="744" t="str">
        <f t="shared" si="99"/>
        <v/>
      </c>
      <c r="BH259" s="744" t="str">
        <f>IF(G259="","",IF(BF259="Abu Dhabi",IF(G259&lt;18,'General Basis'!$C$39,IF(G259&lt;41,'General Basis'!$C$40,IF(G259&lt;60,'General Basis'!$C$41,IF(G259&lt;65,'General Basis'!$C$42,'General Basis'!$C$43)))),IF(G259&lt;11,'General Basis'!$B$39,IF(G259&lt;18,'General Basis'!$B$40,IF(G259&lt;26,'General Basis'!$B$41,IF(G259&lt;31,'General Basis'!$B$42,IF(G259&lt;36,'General Basis'!$B$43,IF(G259&lt;41,'General Basis'!$B$44,IF(G259&lt;46,'General Basis'!$B$45,IF(G259&lt;51,'General Basis'!$B$46,IF(G259&lt;56,'General Basis'!$B$47,IF(G259&lt;60,'General Basis'!$B$48,IF(G259&lt;65,'General Basis'!$B$49,'General Basis'!$B$50)))))))))))))</f>
        <v/>
      </c>
      <c r="BI259" s="744" t="str">
        <f t="shared" si="93"/>
        <v/>
      </c>
      <c r="BJ259" s="747" t="str">
        <f t="shared" si="100"/>
        <v/>
      </c>
      <c r="BK259" s="498" t="str">
        <f t="shared" si="94"/>
        <v/>
      </c>
      <c r="BL259" s="498" t="str">
        <f t="shared" si="95"/>
        <v/>
      </c>
    </row>
    <row r="260" spans="1:64" x14ac:dyDescent="0.25">
      <c r="A260" s="762">
        <f t="shared" si="96"/>
        <v>255</v>
      </c>
      <c r="B260" s="229"/>
      <c r="C260" s="223"/>
      <c r="D260" s="224"/>
      <c r="E260" s="225"/>
      <c r="F260" s="1036" t="str">
        <f t="shared" si="102"/>
        <v/>
      </c>
      <c r="G260" s="1037" t="str">
        <f t="shared" si="97"/>
        <v/>
      </c>
      <c r="H260" s="225"/>
      <c r="I260" s="1013"/>
      <c r="J260" s="1013"/>
      <c r="K260" s="1028"/>
      <c r="L260" s="1035" t="str">
        <f t="shared" si="101"/>
        <v/>
      </c>
      <c r="S260" s="498"/>
      <c r="AJ260" s="498"/>
      <c r="AM260" s="498">
        <f t="shared" si="82"/>
        <v>0</v>
      </c>
      <c r="AN260" s="498">
        <f t="shared" si="83"/>
        <v>0</v>
      </c>
      <c r="AO260" s="498">
        <f t="shared" si="84"/>
        <v>0</v>
      </c>
      <c r="AP260" s="498">
        <f t="shared" si="103"/>
        <v>0</v>
      </c>
      <c r="AQ260" s="498">
        <f t="shared" si="98"/>
        <v>0</v>
      </c>
      <c r="AU260" s="498">
        <f t="shared" si="85"/>
        <v>0</v>
      </c>
      <c r="AV260" s="498">
        <f t="shared" si="86"/>
        <v>0</v>
      </c>
      <c r="AW260" s="498">
        <f t="shared" si="87"/>
        <v>0</v>
      </c>
      <c r="AX260" s="498">
        <f t="shared" si="88"/>
        <v>0</v>
      </c>
      <c r="AY260" s="498">
        <f t="shared" si="89"/>
        <v>0</v>
      </c>
      <c r="BB260" s="498" t="str">
        <f t="shared" si="90"/>
        <v/>
      </c>
      <c r="BC260" s="743" t="str">
        <f t="shared" si="91"/>
        <v/>
      </c>
      <c r="BD260" s="743" t="str">
        <f t="shared" si="92"/>
        <v/>
      </c>
      <c r="BE260" s="743" t="str">
        <f>IF(D260="","",VLOOKUP(D260,'General Basis'!$J$39:$K$46,2,0))</f>
        <v/>
      </c>
      <c r="BF260" s="744" t="str">
        <f>IF(D260="","",VLOOKUP(D260,'General Basis'!$J$39:$L$46,3,0))</f>
        <v/>
      </c>
      <c r="BG260" s="744" t="str">
        <f t="shared" si="99"/>
        <v/>
      </c>
      <c r="BH260" s="744" t="str">
        <f>IF(G260="","",IF(BF260="Abu Dhabi",IF(G260&lt;18,'General Basis'!$C$39,IF(G260&lt;41,'General Basis'!$C$40,IF(G260&lt;60,'General Basis'!$C$41,IF(G260&lt;65,'General Basis'!$C$42,'General Basis'!$C$43)))),IF(G260&lt;11,'General Basis'!$B$39,IF(G260&lt;18,'General Basis'!$B$40,IF(G260&lt;26,'General Basis'!$B$41,IF(G260&lt;31,'General Basis'!$B$42,IF(G260&lt;36,'General Basis'!$B$43,IF(G260&lt;41,'General Basis'!$B$44,IF(G260&lt;46,'General Basis'!$B$45,IF(G260&lt;51,'General Basis'!$B$46,IF(G260&lt;56,'General Basis'!$B$47,IF(G260&lt;60,'General Basis'!$B$48,IF(G260&lt;65,'General Basis'!$B$49,'General Basis'!$B$50)))))))))))))</f>
        <v/>
      </c>
      <c r="BI260" s="744" t="str">
        <f t="shared" si="93"/>
        <v/>
      </c>
      <c r="BJ260" s="747" t="str">
        <f t="shared" si="100"/>
        <v/>
      </c>
      <c r="BK260" s="498" t="str">
        <f t="shared" si="94"/>
        <v/>
      </c>
      <c r="BL260" s="498" t="str">
        <f t="shared" si="95"/>
        <v/>
      </c>
    </row>
    <row r="261" spans="1:64" x14ac:dyDescent="0.25">
      <c r="A261" s="762">
        <f t="shared" si="96"/>
        <v>256</v>
      </c>
      <c r="B261" s="229"/>
      <c r="C261" s="223"/>
      <c r="D261" s="224"/>
      <c r="E261" s="225"/>
      <c r="F261" s="1036" t="str">
        <f t="shared" si="102"/>
        <v/>
      </c>
      <c r="G261" s="1037" t="str">
        <f t="shared" si="97"/>
        <v/>
      </c>
      <c r="H261" s="225"/>
      <c r="I261" s="1013"/>
      <c r="J261" s="1013"/>
      <c r="K261" s="1028"/>
      <c r="L261" s="1035" t="str">
        <f t="shared" si="101"/>
        <v/>
      </c>
      <c r="S261" s="498"/>
      <c r="AJ261" s="498"/>
      <c r="AM261" s="498">
        <f t="shared" si="82"/>
        <v>0</v>
      </c>
      <c r="AN261" s="498">
        <f t="shared" si="83"/>
        <v>0</v>
      </c>
      <c r="AO261" s="498">
        <f t="shared" si="84"/>
        <v>0</v>
      </c>
      <c r="AP261" s="498">
        <f t="shared" si="103"/>
        <v>0</v>
      </c>
      <c r="AQ261" s="498">
        <f t="shared" si="98"/>
        <v>0</v>
      </c>
      <c r="AU261" s="498">
        <f t="shared" si="85"/>
        <v>0</v>
      </c>
      <c r="AV261" s="498">
        <f t="shared" si="86"/>
        <v>0</v>
      </c>
      <c r="AW261" s="498">
        <f t="shared" si="87"/>
        <v>0</v>
      </c>
      <c r="AX261" s="498">
        <f t="shared" si="88"/>
        <v>0</v>
      </c>
      <c r="AY261" s="498">
        <f t="shared" si="89"/>
        <v>0</v>
      </c>
      <c r="BB261" s="498" t="str">
        <f t="shared" si="90"/>
        <v/>
      </c>
      <c r="BC261" s="743" t="str">
        <f t="shared" si="91"/>
        <v/>
      </c>
      <c r="BD261" s="743" t="str">
        <f t="shared" si="92"/>
        <v/>
      </c>
      <c r="BE261" s="743" t="str">
        <f>IF(D261="","",VLOOKUP(D261,'General Basis'!$J$39:$K$46,2,0))</f>
        <v/>
      </c>
      <c r="BF261" s="744" t="str">
        <f>IF(D261="","",VLOOKUP(D261,'General Basis'!$J$39:$L$46,3,0))</f>
        <v/>
      </c>
      <c r="BG261" s="744" t="str">
        <f t="shared" si="99"/>
        <v/>
      </c>
      <c r="BH261" s="744" t="str">
        <f>IF(G261="","",IF(BF261="Abu Dhabi",IF(G261&lt;18,'General Basis'!$C$39,IF(G261&lt;41,'General Basis'!$C$40,IF(G261&lt;60,'General Basis'!$C$41,IF(G261&lt;65,'General Basis'!$C$42,'General Basis'!$C$43)))),IF(G261&lt;11,'General Basis'!$B$39,IF(G261&lt;18,'General Basis'!$B$40,IF(G261&lt;26,'General Basis'!$B$41,IF(G261&lt;31,'General Basis'!$B$42,IF(G261&lt;36,'General Basis'!$B$43,IF(G261&lt;41,'General Basis'!$B$44,IF(G261&lt;46,'General Basis'!$B$45,IF(G261&lt;51,'General Basis'!$B$46,IF(G261&lt;56,'General Basis'!$B$47,IF(G261&lt;60,'General Basis'!$B$48,IF(G261&lt;65,'General Basis'!$B$49,'General Basis'!$B$50)))))))))))))</f>
        <v/>
      </c>
      <c r="BI261" s="744" t="str">
        <f t="shared" si="93"/>
        <v/>
      </c>
      <c r="BJ261" s="747" t="str">
        <f t="shared" si="100"/>
        <v/>
      </c>
      <c r="BK261" s="498" t="str">
        <f t="shared" si="94"/>
        <v/>
      </c>
      <c r="BL261" s="498" t="str">
        <f t="shared" si="95"/>
        <v/>
      </c>
    </row>
    <row r="262" spans="1:64" x14ac:dyDescent="0.25">
      <c r="A262" s="762">
        <f t="shared" si="96"/>
        <v>257</v>
      </c>
      <c r="B262" s="229"/>
      <c r="C262" s="223"/>
      <c r="D262" s="224"/>
      <c r="E262" s="225"/>
      <c r="F262" s="1036" t="str">
        <f t="shared" si="102"/>
        <v/>
      </c>
      <c r="G262" s="1037" t="str">
        <f t="shared" si="97"/>
        <v/>
      </c>
      <c r="H262" s="225"/>
      <c r="I262" s="1013"/>
      <c r="J262" s="1013"/>
      <c r="K262" s="1028"/>
      <c r="L262" s="1035" t="str">
        <f t="shared" si="101"/>
        <v/>
      </c>
      <c r="S262" s="498"/>
      <c r="AJ262" s="498"/>
      <c r="AM262" s="498">
        <f t="shared" ref="AM262:AM325" si="104">IF(ISTEXT(B262),1,0)</f>
        <v>0</v>
      </c>
      <c r="AN262" s="498">
        <f t="shared" ref="AN262:AN325" si="105">IF(ISBLANK(B262),0,IF(B262&lt;$AK$6,1,0))</f>
        <v>0</v>
      </c>
      <c r="AO262" s="498">
        <f t="shared" ref="AO262:AO325" si="106">IF(ISBLANK(B262),0,IF(B262&gt;$AK$7,1,0))</f>
        <v>0</v>
      </c>
      <c r="AP262" s="498">
        <f t="shared" si="103"/>
        <v>0</v>
      </c>
      <c r="AQ262" s="498">
        <f t="shared" si="98"/>
        <v>0</v>
      </c>
      <c r="AU262" s="498">
        <f t="shared" ref="AU262:AU325" si="107">IF(ISBLANK(B262),0,1)</f>
        <v>0</v>
      </c>
      <c r="AV262" s="498">
        <f t="shared" ref="AV262:AV325" si="108">IF(ISBLANK(C262),0,1)</f>
        <v>0</v>
      </c>
      <c r="AW262" s="498">
        <f t="shared" ref="AW262:AW325" si="109">IF(ISBLANK(D262),0,1)</f>
        <v>0</v>
      </c>
      <c r="AX262" s="498">
        <f t="shared" ref="AX262:AX325" si="110">IF(ISBLANK(E262),0,1)</f>
        <v>0</v>
      </c>
      <c r="AY262" s="498">
        <f t="shared" ref="AY262:AY325" si="111">IF(ISBLANK(H262),0,1)</f>
        <v>0</v>
      </c>
      <c r="BB262" s="498" t="str">
        <f t="shared" ref="BB262:BB325" si="112">IF(E262="Principal","Principal",IF(E262="","","Other"))</f>
        <v/>
      </c>
      <c r="BC262" s="743" t="str">
        <f t="shared" ref="BC262:BC325" si="113">IF(D262="","",D262)</f>
        <v/>
      </c>
      <c r="BD262" s="743" t="str">
        <f t="shared" ref="BD262:BD325" si="114">IF(E262="Principal","Employee",IF(E262="","","Dependent"))</f>
        <v/>
      </c>
      <c r="BE262" s="743" t="str">
        <f>IF(D262="","",VLOOKUP(D262,'General Basis'!$J$39:$K$46,2,0))</f>
        <v/>
      </c>
      <c r="BF262" s="744" t="str">
        <f>IF(D262="","",VLOOKUP(D262,'General Basis'!$J$39:$L$46,3,0))</f>
        <v/>
      </c>
      <c r="BG262" s="744" t="str">
        <f t="shared" si="99"/>
        <v/>
      </c>
      <c r="BH262" s="744" t="str">
        <f>IF(G262="","",IF(BF262="Abu Dhabi",IF(G262&lt;18,'General Basis'!$C$39,IF(G262&lt;41,'General Basis'!$C$40,IF(G262&lt;60,'General Basis'!$C$41,IF(G262&lt;65,'General Basis'!$C$42,'General Basis'!$C$43)))),IF(G262&lt;11,'General Basis'!$B$39,IF(G262&lt;18,'General Basis'!$B$40,IF(G262&lt;26,'General Basis'!$B$41,IF(G262&lt;31,'General Basis'!$B$42,IF(G262&lt;36,'General Basis'!$B$43,IF(G262&lt;41,'General Basis'!$B$44,IF(G262&lt;46,'General Basis'!$B$45,IF(G262&lt;51,'General Basis'!$B$46,IF(G262&lt;56,'General Basis'!$B$47,IF(G262&lt;60,'General Basis'!$B$48,IF(G262&lt;65,'General Basis'!$B$49,'General Basis'!$B$50)))))))))))))</f>
        <v/>
      </c>
      <c r="BI262" s="744" t="str">
        <f t="shared" ref="BI262:BI325" si="115">IF(C262="","",IF(C262="M","Male","Female"))</f>
        <v/>
      </c>
      <c r="BJ262" s="747" t="str">
        <f t="shared" si="100"/>
        <v/>
      </c>
      <c r="BK262" s="498" t="str">
        <f t="shared" ref="BK262:BK325" si="116">IF(BD262="","",IF(AND(BD262="Employee",BI262="Male",BF262="Abu Dhabi",BE262=GN_Plus),VLOOKUP(BH262,AUH_MALE_EMP,2,0),IF(AND(BD262="Employee",BI262="Male",BF262="Abu Dhabi",BE262=GN),VLOOKUP(BH262,AUH_MALE_EMP,3,0),IF(AND(BD262="Employee",BI262="Male",BF262="Abu Dhabi",BE262=RN_Plus),VLOOKUP(BH262,AUH_MALE_EMP,4,0),IF(AND(BD262="Employee",BI262="Male",BF262="Abu Dhabi",BE262=RN),VLOOKUP(BH262,AUH_MALE_EMP,5,0),IF(AND(BD262="Employee",BI262="Male",BF262="Abu Dhabi",BE262=RN_2),VLOOKUP(BH262,AUH_MALE_EMP,6,0),IF(AND(BD262="Employee",BI262="Male",BF262="Abu Dhabi",BE262=RN2_minus),VLOOKUP(BH262,AUH_MALE_EMP,7,0),IF(AND(BD262="Employee",BI262="Male",BF262="Abu Dhabi",BE262=RN_3),VLOOKUP(BH262,AUH_MALE_EMP,8,0),IF(AND(BD262="Employee",BI262="Male",BF262="Abu Dhabi",BE262=VN),VLOOKUP(BH262,AUH_MALE_EMP,9,0),IF(BD262="","",IF(AND(BD262="Employee",BI262="Female",BF262="Abu Dhabi",BE262=GN_Plus),VLOOKUP(BH262,AUH_FEMALE_EMP,2,0),IF(AND(BD262="Employee",BI262="Female",BF262="Abu Dhabi",BE262=GN),VLOOKUP(BH262,AUH_FEMALE_EMP,3,0),IF(AND(BD262="Employee",BI262="Female",BF262="Abu Dhabi",BE262=RN_Plus),VLOOKUP(BH262,AUH_FEMALE_EMP,4,0),IF(AND(BD262="Employee",BI262="Female",BF262="Abu Dhabi",BE262=RN),VLOOKUP(BH262,AUH_FEMALE_EMP,5,0),IF(AND(BD262="Employee",BI262="Female",BF262="Abu Dhabi",BE262=RN_2),VLOOKUP(BH262,AUH_FEMALE_EMP,6,0),IF(AND(BD262="Employee",BI262="Female",BF262="Abu Dhabi",BE262=RN2_minus),VLOOKUP(BH262,AUH_FEMALE_EMP,7,0),IF(AND(BD262="Employee",BI262="Female",BF262="Abu Dhabi",BE262=RN_3),VLOOKUP(BH262,AUH_FEMALE_EMP,8,0),IF(AND(BD262="Employee",BI262="Female",BF262="Abu Dhabi",BE262=VN),VLOOKUP(BH262,AUH_FEMALE_EMP,9,0),IF(BD262="","",IF(AND(BD262="Dependent",BI262="Male",BF262="Abu Dhabi",BE262=GN_Plus),VLOOKUP(BH262,AUH_MALE_DEP,2,0),IF(AND(BD262="Dependent",BI262="Male",BF262="Abu Dhabi",BE262=GN),VLOOKUP(BH262,AUH_MALE_DEP,3,0),IF(AND(BD262="Dependent",BI262="Male",BF262="Abu Dhabi",BE262=RN_Plus),VLOOKUP(BH262,AUH_MALE_DEP,4,0),IF(AND(BD262="Dependent",BI262="Male",BF262="Abu Dhabi",BE262=RN),VLOOKUP(BH262,AUH_MALE_DEP,5,0),IF(AND(BD262="Dependent",BI262="Male",BF262="Abu Dhabi",BE262=RN_2),VLOOKUP(BH262,AUH_MALE_DEP,6,0),IF(AND(BD262="Dependent",BI262="Male",BF262="Abu Dhabi",BE262=RN2_minus),VLOOKUP(BH262,AUH_MALE_DEP,7,0),IF(AND(BD262="Dependent",BI262="Male",BF262="Abu Dhabi",BE262=RN_3),VLOOKUP(BH262,AUH_MALE_DEP,8,0),IF(AND(BD262="Dependent",BI262="Male",BF262="Abu Dhabi",BE262=VN),VLOOKUP(BH262,AUH_MALE_DEP,9,0),IF(BD262="","",IF(AND(BD262="Dependent",BI262="Female",BF262="Abu Dhabi",BE262=GN_Plus),VLOOKUP(BH262,AUH_FEMALE_DEP,2,0),IF(AND(BD262="Dependent",BI262="Female",BF262="Abu Dhabi",BE262=GN),VLOOKUP(BH262,AUH_FEMALE_DEP,3,0),IF(AND(BD262="Dependent",BI262="Female",BF262="Abu Dhabi",BE262=RN_Plus),VLOOKUP(BH262,AUH_FEMALE_DEP,4,0),IF(AND(BD262="Dependent",BI262="Female",BF262="Abu Dhabi",BE262=RN),VLOOKUP(BH262,AUH_FEMALE_DEP,5,0),IF(AND(BD262="Dependent",BI262="Female",BF262="Abu Dhabi",BE262=RN_2),VLOOKUP(BH262,AUH_FEMALE_DEP,6,0),IF(AND(BD262="Dependent",BI262="Female",BF262="Abu Dhabi",BE262=RN2_minus),VLOOKUP(BH262,AUH_FEMALE_DEP,7,0),IF(AND(BD262="Dependent",BI262="Female",BF262="Abu Dhabi",BE262=RN_3),VLOOKUP(BH262,AUH_FEMALE_DEP,8,0),IF(AND(BD262="Dependent",BI262="Female",BF262="Abu Dhabi",BE262=VN),VLOOKUP(BH262,AUH_FEMALE_DEP,9,0),"ABC"))))))))))))))))))))))))))))))))))))</f>
        <v/>
      </c>
      <c r="BL262" s="498" t="str">
        <f t="shared" ref="BL262:BL325" si="117">IF(BD262="","",IF(AND(BD262="Employee",BI262="Male",BF262="Dubai",BE262=GN_Plus),VLOOKUP(BH262,DXB_MALE_EMP,2,0),IF(AND(BD262="Employee",BI262="Male",BF262="Dubai",BE262=GN),VLOOKUP(BH262,DXB_MALE_EMP,3,0),IF(AND(BD262="Employee",BI262="Male",BF262="Dubai",BE262=RN_Plus),VLOOKUP(BH262,DXB_MALE_EMP,4,0),IF(AND(BD262="Employee",BI262="Male",BF262="Dubai",BE262=RN),VLOOKUP(BH262,DXB_MALE_EMP,5,0),IF(AND(BD262="Employee",BI262="Male",BF262="Dubai",BE262=RN_2),VLOOKUP(BH262,DXB_MALE_EMP,6,0),IF(AND(BD262="Employee",BI262="Male",BF262="Dubai",BE262=RN2_minus),VLOOKUP(BH262,DXB_MALE_EMP,7,0),IF(AND(BD262="Employee",BI262="Male",BF262="Dubai",BE262=RN_3),VLOOKUP(BH262,DXB_MALE_EMP,8,0),IF(AND(BD262="Employee",BI262="Male",BF262="Dubai",BE262=VN),VLOOKUP(BH262,DXB_MALE_EMP,9,0),IF(BD262="","",IF(AND(BD262="Employee",BI262="Female",BF262="Dubai",BE262=GN_Plus),VLOOKUP(BH262,DXB_FEMALE_EMP,2,0),IF(AND(BD262="Employee",BI262="Female",BF262="Dubai",BE262=GN),VLOOKUP(BH262,DXB_FEMALE_EMP,3,0),IF(AND(BD262="Employee",BI262="Female",BF262="Dubai",BE262=RN_Plus),VLOOKUP(BH262,DXB_FEMALE_EMP,4,0),IF(AND(BD262="Employee",BI262="Female",BF262="Dubai",BE262=RN),VLOOKUP(BH262,DXB_FEMALE_EMP,5,0),IF(AND(BD262="Employee",BI262="Female",BF262="Dubai",BE262=RN_2),VLOOKUP(BH262,DXB_FEMALE_EMP,6,0),IF(AND(BD262="Employee",BI262="Female",BF262="Dubai",BE262=RN2_minus),VLOOKUP(BH262,DXB_FEMALE_EMP,7,0),IF(AND(BD262="Employee",BI262="Female",BF262="Dubai",BE262=RN_3),VLOOKUP(BH262,DXB_FEMALE_EMP,8,0),IF(AND(BD262="Employee",BI262="Female",BF262="Dubai",BE262=VN),VLOOKUP(BH262,DXB_FEMALE_EMP,9,0),IF(BD262="","",IF(AND(BD262="Dependent",BI262="Male",BF262="Dubai",BE262=GN_Plus),VLOOKUP(BH262,DXB_MALE_DEP,2,0),IF(AND(BD262="Dependent",BI262="Male",BF262="Dubai",BE262=GN),VLOOKUP(BH262,DXB_MALE_DEP,3,0),IF(AND(BD262="Dependent",BI262="Male",BF262="Dubai",BE262=RN_Plus),VLOOKUP(BH262,DXB_MALE_DEP,4,0),IF(AND(BD262="Dependent",BI262="Male",BF262="Dubai",BE262=RN),VLOOKUP(BH262,DXB_MALE_DEP,5,0),IF(AND(BD262="Dependent",BI262="Male",BF262="Dubai",BE262=RN_2),VLOOKUP(BH262,DXB_MALE_DEP,6,0),IF(AND(BD262="Dependent",BI262="Male",BF262="Dubai",BE262=RN2_minus),VLOOKUP(BH262,DXB_MALE_DEP,7,0),IF(AND(BD262="Dependent",BI262="Male",BF262="Dubai",BE262=RN_3),VLOOKUP(BH262,DXB_MALE_DEP,8,0),IF(AND(BD262="Dependent",BI262="Male",BF262="Dubai",BE262=VN),VLOOKUP(BH262,DXB_MALE_DEP,9,0),IF(BD262="","",IF(AND(BD262="Dependent",BI262="Female",BF262="Dubai",BE262=GN_Plus),VLOOKUP(BH262,DXB_FEMALE_DEP,2,0),IF(AND(BD262="Dependent",BI262="Female",BF262="Dubai",BE262=GN),VLOOKUP(BH262,DXB_FEMALE_DEP,3,0),IF(AND(BD262="Dependent",BI262="Female",BF262="Dubai",BE262=RN_Plus),VLOOKUP(BH262,DXB_FEMALE_DEP,4,0),IF(AND(BD262="Dependent",BI262="Female",BF262="Dubai",BE262=RN),VLOOKUP(BH262,DXB_FEMALE_DEP,5,0),IF(AND(BD262="Dependent",BI262="Female",BF262="Dubai",BE262=RN_2),VLOOKUP(BH262,DXB_FEMALE_DEP,6,0),IF(AND(BD262="Dependent",BI262="Female",BF262="Dubai",BE262=RN2_minus),VLOOKUP(BH262,DXB_FEMALE_DEP,7,0),IF(AND(BD262="Dependent",BI262="Female",BF262="Dubai",BE262=RN_3),VLOOKUP(BH262,DXB_FEMALE_DEP,8,0),IF(AND(BD262="Dependent",BI262="Female",BF262="Dubai",BE262=VN),VLOOKUP(BH262,DXB_FEMALE_DEP,9,0),"ABC"))))))))))))))))))))))))))))))))))))</f>
        <v/>
      </c>
    </row>
    <row r="263" spans="1:64" x14ac:dyDescent="0.25">
      <c r="A263" s="762">
        <f t="shared" ref="A263:A326" si="118">+A262+1</f>
        <v>258</v>
      </c>
      <c r="B263" s="229"/>
      <c r="C263" s="223"/>
      <c r="D263" s="224"/>
      <c r="E263" s="225"/>
      <c r="F263" s="1036" t="str">
        <f t="shared" si="102"/>
        <v/>
      </c>
      <c r="G263" s="1037" t="str">
        <f t="shared" ref="G263:G326" si="119">IF(D263="","",MAX(0,ROUNDUP(F263,0)))</f>
        <v/>
      </c>
      <c r="H263" s="225"/>
      <c r="I263" s="1013"/>
      <c r="J263" s="1013"/>
      <c r="K263" s="1028"/>
      <c r="L263" s="1035" t="str">
        <f t="shared" si="101"/>
        <v/>
      </c>
      <c r="S263" s="498"/>
      <c r="AJ263" s="498"/>
      <c r="AM263" s="498">
        <f t="shared" si="104"/>
        <v>0</v>
      </c>
      <c r="AN263" s="498">
        <f t="shared" si="105"/>
        <v>0</v>
      </c>
      <c r="AO263" s="498">
        <f t="shared" si="106"/>
        <v>0</v>
      </c>
      <c r="AP263" s="498">
        <f t="shared" si="103"/>
        <v>0</v>
      </c>
      <c r="AQ263" s="498">
        <f t="shared" ref="AQ263:AQ326" si="120">IF(ISBLANK($B263),0,IF(OR($H263="Single",$H263="Married"),0,1))</f>
        <v>0</v>
      </c>
      <c r="AU263" s="498">
        <f t="shared" si="107"/>
        <v>0</v>
      </c>
      <c r="AV263" s="498">
        <f t="shared" si="108"/>
        <v>0</v>
      </c>
      <c r="AW263" s="498">
        <f t="shared" si="109"/>
        <v>0</v>
      </c>
      <c r="AX263" s="498">
        <f t="shared" si="110"/>
        <v>0</v>
      </c>
      <c r="AY263" s="498">
        <f t="shared" si="111"/>
        <v>0</v>
      </c>
      <c r="BB263" s="498" t="str">
        <f t="shared" si="112"/>
        <v/>
      </c>
      <c r="BC263" s="743" t="str">
        <f t="shared" si="113"/>
        <v/>
      </c>
      <c r="BD263" s="743" t="str">
        <f t="shared" si="114"/>
        <v/>
      </c>
      <c r="BE263" s="743" t="str">
        <f>IF(D263="","",VLOOKUP(D263,'General Basis'!$J$39:$K$46,2,0))</f>
        <v/>
      </c>
      <c r="BF263" s="744" t="str">
        <f>IF(D263="","",VLOOKUP(D263,'General Basis'!$J$39:$L$46,3,0))</f>
        <v/>
      </c>
      <c r="BG263" s="744" t="str">
        <f t="shared" ref="BG263:BG326" si="121">BC263&amp;BI263</f>
        <v/>
      </c>
      <c r="BH263" s="744" t="str">
        <f>IF(G263="","",IF(BF263="Abu Dhabi",IF(G263&lt;18,'General Basis'!$C$39,IF(G263&lt;41,'General Basis'!$C$40,IF(G263&lt;60,'General Basis'!$C$41,IF(G263&lt;65,'General Basis'!$C$42,'General Basis'!$C$43)))),IF(G263&lt;11,'General Basis'!$B$39,IF(G263&lt;18,'General Basis'!$B$40,IF(G263&lt;26,'General Basis'!$B$41,IF(G263&lt;31,'General Basis'!$B$42,IF(G263&lt;36,'General Basis'!$B$43,IF(G263&lt;41,'General Basis'!$B$44,IF(G263&lt;46,'General Basis'!$B$45,IF(G263&lt;51,'General Basis'!$B$46,IF(G263&lt;56,'General Basis'!$B$47,IF(G263&lt;60,'General Basis'!$B$48,IF(G263&lt;65,'General Basis'!$B$49,'General Basis'!$B$50)))))))))))))</f>
        <v/>
      </c>
      <c r="BI263" s="744" t="str">
        <f t="shared" si="115"/>
        <v/>
      </c>
      <c r="BJ263" s="747" t="str">
        <f t="shared" ref="BJ263:BJ326" si="122">IF(BD263="","",IF(BF263="Abu Dhabi",BK263,BL263))</f>
        <v/>
      </c>
      <c r="BK263" s="498" t="str">
        <f t="shared" si="116"/>
        <v/>
      </c>
      <c r="BL263" s="498" t="str">
        <f t="shared" si="117"/>
        <v/>
      </c>
    </row>
    <row r="264" spans="1:64" x14ac:dyDescent="0.25">
      <c r="A264" s="762">
        <f t="shared" si="118"/>
        <v>259</v>
      </c>
      <c r="B264" s="229"/>
      <c r="C264" s="223"/>
      <c r="D264" s="224"/>
      <c r="E264" s="225"/>
      <c r="F264" s="1036" t="str">
        <f t="shared" si="102"/>
        <v/>
      </c>
      <c r="G264" s="1037" t="str">
        <f t="shared" si="119"/>
        <v/>
      </c>
      <c r="H264" s="225"/>
      <c r="I264" s="1013"/>
      <c r="J264" s="1013"/>
      <c r="K264" s="1028"/>
      <c r="L264" s="1035" t="str">
        <f t="shared" ref="L264:L327" si="123">IF(AND(E264="Child",H264="Married"),"Check the Marital Status of the Child. ",IF(AND(E264="Child",F264&gt;18),"Child Age exceed 18 years. ",IF(AND(E264="Spouse",H264="Single"),"Spouse is selected as Single. ","")))&amp;IF(K264&gt;0,"UW Loading has been Applied","")</f>
        <v/>
      </c>
      <c r="S264" s="498"/>
      <c r="AJ264" s="498"/>
      <c r="AM264" s="498">
        <f t="shared" si="104"/>
        <v>0</v>
      </c>
      <c r="AN264" s="498">
        <f t="shared" si="105"/>
        <v>0</v>
      </c>
      <c r="AO264" s="498">
        <f t="shared" si="106"/>
        <v>0</v>
      </c>
      <c r="AP264" s="498">
        <f t="shared" si="103"/>
        <v>0</v>
      </c>
      <c r="AQ264" s="498">
        <f t="shared" si="120"/>
        <v>0</v>
      </c>
      <c r="AU264" s="498">
        <f t="shared" si="107"/>
        <v>0</v>
      </c>
      <c r="AV264" s="498">
        <f t="shared" si="108"/>
        <v>0</v>
      </c>
      <c r="AW264" s="498">
        <f t="shared" si="109"/>
        <v>0</v>
      </c>
      <c r="AX264" s="498">
        <f t="shared" si="110"/>
        <v>0</v>
      </c>
      <c r="AY264" s="498">
        <f t="shared" si="111"/>
        <v>0</v>
      </c>
      <c r="BB264" s="498" t="str">
        <f t="shared" si="112"/>
        <v/>
      </c>
      <c r="BC264" s="743" t="str">
        <f t="shared" si="113"/>
        <v/>
      </c>
      <c r="BD264" s="743" t="str">
        <f t="shared" si="114"/>
        <v/>
      </c>
      <c r="BE264" s="743" t="str">
        <f>IF(D264="","",VLOOKUP(D264,'General Basis'!$J$39:$K$46,2,0))</f>
        <v/>
      </c>
      <c r="BF264" s="744" t="str">
        <f>IF(D264="","",VLOOKUP(D264,'General Basis'!$J$39:$L$46,3,0))</f>
        <v/>
      </c>
      <c r="BG264" s="744" t="str">
        <f t="shared" si="121"/>
        <v/>
      </c>
      <c r="BH264" s="744" t="str">
        <f>IF(G264="","",IF(BF264="Abu Dhabi",IF(G264&lt;18,'General Basis'!$C$39,IF(G264&lt;41,'General Basis'!$C$40,IF(G264&lt;60,'General Basis'!$C$41,IF(G264&lt;65,'General Basis'!$C$42,'General Basis'!$C$43)))),IF(G264&lt;11,'General Basis'!$B$39,IF(G264&lt;18,'General Basis'!$B$40,IF(G264&lt;26,'General Basis'!$B$41,IF(G264&lt;31,'General Basis'!$B$42,IF(G264&lt;36,'General Basis'!$B$43,IF(G264&lt;41,'General Basis'!$B$44,IF(G264&lt;46,'General Basis'!$B$45,IF(G264&lt;51,'General Basis'!$B$46,IF(G264&lt;56,'General Basis'!$B$47,IF(G264&lt;60,'General Basis'!$B$48,IF(G264&lt;65,'General Basis'!$B$49,'General Basis'!$B$50)))))))))))))</f>
        <v/>
      </c>
      <c r="BI264" s="744" t="str">
        <f t="shared" si="115"/>
        <v/>
      </c>
      <c r="BJ264" s="747" t="str">
        <f t="shared" si="122"/>
        <v/>
      </c>
      <c r="BK264" s="498" t="str">
        <f t="shared" si="116"/>
        <v/>
      </c>
      <c r="BL264" s="498" t="str">
        <f t="shared" si="117"/>
        <v/>
      </c>
    </row>
    <row r="265" spans="1:64" x14ac:dyDescent="0.25">
      <c r="A265" s="762">
        <f t="shared" si="118"/>
        <v>260</v>
      </c>
      <c r="B265" s="229"/>
      <c r="C265" s="223"/>
      <c r="D265" s="224"/>
      <c r="E265" s="225"/>
      <c r="F265" s="1036" t="str">
        <f t="shared" si="102"/>
        <v/>
      </c>
      <c r="G265" s="1037" t="str">
        <f t="shared" si="119"/>
        <v/>
      </c>
      <c r="H265" s="225"/>
      <c r="I265" s="1013"/>
      <c r="J265" s="1013"/>
      <c r="K265" s="1028"/>
      <c r="L265" s="1035" t="str">
        <f t="shared" si="123"/>
        <v/>
      </c>
      <c r="S265" s="498"/>
      <c r="AJ265" s="498"/>
      <c r="AM265" s="498">
        <f t="shared" si="104"/>
        <v>0</v>
      </c>
      <c r="AN265" s="498">
        <f t="shared" si="105"/>
        <v>0</v>
      </c>
      <c r="AO265" s="498">
        <f t="shared" si="106"/>
        <v>0</v>
      </c>
      <c r="AP265" s="498">
        <f t="shared" si="103"/>
        <v>0</v>
      </c>
      <c r="AQ265" s="498">
        <f t="shared" si="120"/>
        <v>0</v>
      </c>
      <c r="AU265" s="498">
        <f t="shared" si="107"/>
        <v>0</v>
      </c>
      <c r="AV265" s="498">
        <f t="shared" si="108"/>
        <v>0</v>
      </c>
      <c r="AW265" s="498">
        <f t="shared" si="109"/>
        <v>0</v>
      </c>
      <c r="AX265" s="498">
        <f t="shared" si="110"/>
        <v>0</v>
      </c>
      <c r="AY265" s="498">
        <f t="shared" si="111"/>
        <v>0</v>
      </c>
      <c r="BB265" s="498" t="str">
        <f t="shared" si="112"/>
        <v/>
      </c>
      <c r="BC265" s="743" t="str">
        <f t="shared" si="113"/>
        <v/>
      </c>
      <c r="BD265" s="743" t="str">
        <f t="shared" si="114"/>
        <v/>
      </c>
      <c r="BE265" s="743" t="str">
        <f>IF(D265="","",VLOOKUP(D265,'General Basis'!$J$39:$K$46,2,0))</f>
        <v/>
      </c>
      <c r="BF265" s="744" t="str">
        <f>IF(D265="","",VLOOKUP(D265,'General Basis'!$J$39:$L$46,3,0))</f>
        <v/>
      </c>
      <c r="BG265" s="744" t="str">
        <f t="shared" si="121"/>
        <v/>
      </c>
      <c r="BH265" s="744" t="str">
        <f>IF(G265="","",IF(BF265="Abu Dhabi",IF(G265&lt;18,'General Basis'!$C$39,IF(G265&lt;41,'General Basis'!$C$40,IF(G265&lt;60,'General Basis'!$C$41,IF(G265&lt;65,'General Basis'!$C$42,'General Basis'!$C$43)))),IF(G265&lt;11,'General Basis'!$B$39,IF(G265&lt;18,'General Basis'!$B$40,IF(G265&lt;26,'General Basis'!$B$41,IF(G265&lt;31,'General Basis'!$B$42,IF(G265&lt;36,'General Basis'!$B$43,IF(G265&lt;41,'General Basis'!$B$44,IF(G265&lt;46,'General Basis'!$B$45,IF(G265&lt;51,'General Basis'!$B$46,IF(G265&lt;56,'General Basis'!$B$47,IF(G265&lt;60,'General Basis'!$B$48,IF(G265&lt;65,'General Basis'!$B$49,'General Basis'!$B$50)))))))))))))</f>
        <v/>
      </c>
      <c r="BI265" s="744" t="str">
        <f t="shared" si="115"/>
        <v/>
      </c>
      <c r="BJ265" s="747" t="str">
        <f t="shared" si="122"/>
        <v/>
      </c>
      <c r="BK265" s="498" t="str">
        <f t="shared" si="116"/>
        <v/>
      </c>
      <c r="BL265" s="498" t="str">
        <f t="shared" si="117"/>
        <v/>
      </c>
    </row>
    <row r="266" spans="1:64" x14ac:dyDescent="0.25">
      <c r="A266" s="762">
        <f t="shared" si="118"/>
        <v>261</v>
      </c>
      <c r="B266" s="229"/>
      <c r="C266" s="223"/>
      <c r="D266" s="224"/>
      <c r="E266" s="225"/>
      <c r="F266" s="1036" t="str">
        <f t="shared" si="102"/>
        <v/>
      </c>
      <c r="G266" s="1037" t="str">
        <f t="shared" si="119"/>
        <v/>
      </c>
      <c r="H266" s="225"/>
      <c r="I266" s="1013"/>
      <c r="J266" s="1013"/>
      <c r="K266" s="1028"/>
      <c r="L266" s="1035" t="str">
        <f t="shared" si="123"/>
        <v/>
      </c>
      <c r="S266" s="498"/>
      <c r="AJ266" s="498"/>
      <c r="AM266" s="498">
        <f t="shared" si="104"/>
        <v>0</v>
      </c>
      <c r="AN266" s="498">
        <f t="shared" si="105"/>
        <v>0</v>
      </c>
      <c r="AO266" s="498">
        <f t="shared" si="106"/>
        <v>0</v>
      </c>
      <c r="AP266" s="498">
        <f t="shared" si="103"/>
        <v>0</v>
      </c>
      <c r="AQ266" s="498">
        <f t="shared" si="120"/>
        <v>0</v>
      </c>
      <c r="AU266" s="498">
        <f t="shared" si="107"/>
        <v>0</v>
      </c>
      <c r="AV266" s="498">
        <f t="shared" si="108"/>
        <v>0</v>
      </c>
      <c r="AW266" s="498">
        <f t="shared" si="109"/>
        <v>0</v>
      </c>
      <c r="AX266" s="498">
        <f t="shared" si="110"/>
        <v>0</v>
      </c>
      <c r="AY266" s="498">
        <f t="shared" si="111"/>
        <v>0</v>
      </c>
      <c r="BB266" s="498" t="str">
        <f t="shared" si="112"/>
        <v/>
      </c>
      <c r="BC266" s="743" t="str">
        <f t="shared" si="113"/>
        <v/>
      </c>
      <c r="BD266" s="743" t="str">
        <f t="shared" si="114"/>
        <v/>
      </c>
      <c r="BE266" s="743" t="str">
        <f>IF(D266="","",VLOOKUP(D266,'General Basis'!$J$39:$K$46,2,0))</f>
        <v/>
      </c>
      <c r="BF266" s="744" t="str">
        <f>IF(D266="","",VLOOKUP(D266,'General Basis'!$J$39:$L$46,3,0))</f>
        <v/>
      </c>
      <c r="BG266" s="744" t="str">
        <f t="shared" si="121"/>
        <v/>
      </c>
      <c r="BH266" s="744" t="str">
        <f>IF(G266="","",IF(BF266="Abu Dhabi",IF(G266&lt;18,'General Basis'!$C$39,IF(G266&lt;41,'General Basis'!$C$40,IF(G266&lt;60,'General Basis'!$C$41,IF(G266&lt;65,'General Basis'!$C$42,'General Basis'!$C$43)))),IF(G266&lt;11,'General Basis'!$B$39,IF(G266&lt;18,'General Basis'!$B$40,IF(G266&lt;26,'General Basis'!$B$41,IF(G266&lt;31,'General Basis'!$B$42,IF(G266&lt;36,'General Basis'!$B$43,IF(G266&lt;41,'General Basis'!$B$44,IF(G266&lt;46,'General Basis'!$B$45,IF(G266&lt;51,'General Basis'!$B$46,IF(G266&lt;56,'General Basis'!$B$47,IF(G266&lt;60,'General Basis'!$B$48,IF(G266&lt;65,'General Basis'!$B$49,'General Basis'!$B$50)))))))))))))</f>
        <v/>
      </c>
      <c r="BI266" s="744" t="str">
        <f t="shared" si="115"/>
        <v/>
      </c>
      <c r="BJ266" s="747" t="str">
        <f t="shared" si="122"/>
        <v/>
      </c>
      <c r="BK266" s="498" t="str">
        <f t="shared" si="116"/>
        <v/>
      </c>
      <c r="BL266" s="498" t="str">
        <f t="shared" si="117"/>
        <v/>
      </c>
    </row>
    <row r="267" spans="1:64" x14ac:dyDescent="0.25">
      <c r="A267" s="762">
        <f t="shared" si="118"/>
        <v>262</v>
      </c>
      <c r="B267" s="229"/>
      <c r="C267" s="223"/>
      <c r="D267" s="224"/>
      <c r="E267" s="225"/>
      <c r="F267" s="1036" t="str">
        <f t="shared" si="102"/>
        <v/>
      </c>
      <c r="G267" s="1037" t="str">
        <f t="shared" si="119"/>
        <v/>
      </c>
      <c r="H267" s="225"/>
      <c r="I267" s="1013"/>
      <c r="J267" s="1013"/>
      <c r="K267" s="1028"/>
      <c r="L267" s="1035" t="str">
        <f t="shared" si="123"/>
        <v/>
      </c>
      <c r="S267" s="498"/>
      <c r="AJ267" s="498"/>
      <c r="AM267" s="498">
        <f t="shared" si="104"/>
        <v>0</v>
      </c>
      <c r="AN267" s="498">
        <f t="shared" si="105"/>
        <v>0</v>
      </c>
      <c r="AO267" s="498">
        <f t="shared" si="106"/>
        <v>0</v>
      </c>
      <c r="AP267" s="498">
        <f t="shared" si="103"/>
        <v>0</v>
      </c>
      <c r="AQ267" s="498">
        <f t="shared" si="120"/>
        <v>0</v>
      </c>
      <c r="AU267" s="498">
        <f t="shared" si="107"/>
        <v>0</v>
      </c>
      <c r="AV267" s="498">
        <f t="shared" si="108"/>
        <v>0</v>
      </c>
      <c r="AW267" s="498">
        <f t="shared" si="109"/>
        <v>0</v>
      </c>
      <c r="AX267" s="498">
        <f t="shared" si="110"/>
        <v>0</v>
      </c>
      <c r="AY267" s="498">
        <f t="shared" si="111"/>
        <v>0</v>
      </c>
      <c r="BB267" s="498" t="str">
        <f t="shared" si="112"/>
        <v/>
      </c>
      <c r="BC267" s="743" t="str">
        <f t="shared" si="113"/>
        <v/>
      </c>
      <c r="BD267" s="743" t="str">
        <f t="shared" si="114"/>
        <v/>
      </c>
      <c r="BE267" s="743" t="str">
        <f>IF(D267="","",VLOOKUP(D267,'General Basis'!$J$39:$K$46,2,0))</f>
        <v/>
      </c>
      <c r="BF267" s="744" t="str">
        <f>IF(D267="","",VLOOKUP(D267,'General Basis'!$J$39:$L$46,3,0))</f>
        <v/>
      </c>
      <c r="BG267" s="744" t="str">
        <f t="shared" si="121"/>
        <v/>
      </c>
      <c r="BH267" s="744" t="str">
        <f>IF(G267="","",IF(BF267="Abu Dhabi",IF(G267&lt;18,'General Basis'!$C$39,IF(G267&lt;41,'General Basis'!$C$40,IF(G267&lt;60,'General Basis'!$C$41,IF(G267&lt;65,'General Basis'!$C$42,'General Basis'!$C$43)))),IF(G267&lt;11,'General Basis'!$B$39,IF(G267&lt;18,'General Basis'!$B$40,IF(G267&lt;26,'General Basis'!$B$41,IF(G267&lt;31,'General Basis'!$B$42,IF(G267&lt;36,'General Basis'!$B$43,IF(G267&lt;41,'General Basis'!$B$44,IF(G267&lt;46,'General Basis'!$B$45,IF(G267&lt;51,'General Basis'!$B$46,IF(G267&lt;56,'General Basis'!$B$47,IF(G267&lt;60,'General Basis'!$B$48,IF(G267&lt;65,'General Basis'!$B$49,'General Basis'!$B$50)))))))))))))</f>
        <v/>
      </c>
      <c r="BI267" s="744" t="str">
        <f t="shared" si="115"/>
        <v/>
      </c>
      <c r="BJ267" s="747" t="str">
        <f t="shared" si="122"/>
        <v/>
      </c>
      <c r="BK267" s="498" t="str">
        <f t="shared" si="116"/>
        <v/>
      </c>
      <c r="BL267" s="498" t="str">
        <f t="shared" si="117"/>
        <v/>
      </c>
    </row>
    <row r="268" spans="1:64" x14ac:dyDescent="0.25">
      <c r="A268" s="762">
        <f t="shared" si="118"/>
        <v>263</v>
      </c>
      <c r="B268" s="229"/>
      <c r="C268" s="223"/>
      <c r="D268" s="224"/>
      <c r="E268" s="225"/>
      <c r="F268" s="1036" t="str">
        <f t="shared" si="102"/>
        <v/>
      </c>
      <c r="G268" s="1037" t="str">
        <f t="shared" si="119"/>
        <v/>
      </c>
      <c r="H268" s="225"/>
      <c r="I268" s="1013"/>
      <c r="J268" s="1013"/>
      <c r="K268" s="1028"/>
      <c r="L268" s="1035" t="str">
        <f t="shared" si="123"/>
        <v/>
      </c>
      <c r="S268" s="498"/>
      <c r="AJ268" s="498"/>
      <c r="AM268" s="498">
        <f t="shared" si="104"/>
        <v>0</v>
      </c>
      <c r="AN268" s="498">
        <f t="shared" si="105"/>
        <v>0</v>
      </c>
      <c r="AO268" s="498">
        <f t="shared" si="106"/>
        <v>0</v>
      </c>
      <c r="AP268" s="498">
        <f t="shared" si="103"/>
        <v>0</v>
      </c>
      <c r="AQ268" s="498">
        <f t="shared" si="120"/>
        <v>0</v>
      </c>
      <c r="AU268" s="498">
        <f t="shared" si="107"/>
        <v>0</v>
      </c>
      <c r="AV268" s="498">
        <f t="shared" si="108"/>
        <v>0</v>
      </c>
      <c r="AW268" s="498">
        <f t="shared" si="109"/>
        <v>0</v>
      </c>
      <c r="AX268" s="498">
        <f t="shared" si="110"/>
        <v>0</v>
      </c>
      <c r="AY268" s="498">
        <f t="shared" si="111"/>
        <v>0</v>
      </c>
      <c r="BB268" s="498" t="str">
        <f t="shared" si="112"/>
        <v/>
      </c>
      <c r="BC268" s="743" t="str">
        <f t="shared" si="113"/>
        <v/>
      </c>
      <c r="BD268" s="743" t="str">
        <f t="shared" si="114"/>
        <v/>
      </c>
      <c r="BE268" s="743" t="str">
        <f>IF(D268="","",VLOOKUP(D268,'General Basis'!$J$39:$K$46,2,0))</f>
        <v/>
      </c>
      <c r="BF268" s="744" t="str">
        <f>IF(D268="","",VLOOKUP(D268,'General Basis'!$J$39:$L$46,3,0))</f>
        <v/>
      </c>
      <c r="BG268" s="744" t="str">
        <f t="shared" si="121"/>
        <v/>
      </c>
      <c r="BH268" s="744" t="str">
        <f>IF(G268="","",IF(BF268="Abu Dhabi",IF(G268&lt;18,'General Basis'!$C$39,IF(G268&lt;41,'General Basis'!$C$40,IF(G268&lt;60,'General Basis'!$C$41,IF(G268&lt;65,'General Basis'!$C$42,'General Basis'!$C$43)))),IF(G268&lt;11,'General Basis'!$B$39,IF(G268&lt;18,'General Basis'!$B$40,IF(G268&lt;26,'General Basis'!$B$41,IF(G268&lt;31,'General Basis'!$B$42,IF(G268&lt;36,'General Basis'!$B$43,IF(G268&lt;41,'General Basis'!$B$44,IF(G268&lt;46,'General Basis'!$B$45,IF(G268&lt;51,'General Basis'!$B$46,IF(G268&lt;56,'General Basis'!$B$47,IF(G268&lt;60,'General Basis'!$B$48,IF(G268&lt;65,'General Basis'!$B$49,'General Basis'!$B$50)))))))))))))</f>
        <v/>
      </c>
      <c r="BI268" s="744" t="str">
        <f t="shared" si="115"/>
        <v/>
      </c>
      <c r="BJ268" s="747" t="str">
        <f t="shared" si="122"/>
        <v/>
      </c>
      <c r="BK268" s="498" t="str">
        <f t="shared" si="116"/>
        <v/>
      </c>
      <c r="BL268" s="498" t="str">
        <f t="shared" si="117"/>
        <v/>
      </c>
    </row>
    <row r="269" spans="1:64" x14ac:dyDescent="0.25">
      <c r="A269" s="762">
        <f t="shared" si="118"/>
        <v>264</v>
      </c>
      <c r="B269" s="229"/>
      <c r="C269" s="223"/>
      <c r="D269" s="224"/>
      <c r="E269" s="225"/>
      <c r="F269" s="1036" t="str">
        <f t="shared" si="102"/>
        <v/>
      </c>
      <c r="G269" s="1037" t="str">
        <f t="shared" si="119"/>
        <v/>
      </c>
      <c r="H269" s="225"/>
      <c r="I269" s="1013"/>
      <c r="J269" s="1013"/>
      <c r="K269" s="1028"/>
      <c r="L269" s="1035" t="str">
        <f t="shared" si="123"/>
        <v/>
      </c>
      <c r="S269" s="498"/>
      <c r="AJ269" s="498"/>
      <c r="AM269" s="498">
        <f t="shared" si="104"/>
        <v>0</v>
      </c>
      <c r="AN269" s="498">
        <f t="shared" si="105"/>
        <v>0</v>
      </c>
      <c r="AO269" s="498">
        <f t="shared" si="106"/>
        <v>0</v>
      </c>
      <c r="AP269" s="498">
        <f t="shared" si="103"/>
        <v>0</v>
      </c>
      <c r="AQ269" s="498">
        <f t="shared" si="120"/>
        <v>0</v>
      </c>
      <c r="AU269" s="498">
        <f t="shared" si="107"/>
        <v>0</v>
      </c>
      <c r="AV269" s="498">
        <f t="shared" si="108"/>
        <v>0</v>
      </c>
      <c r="AW269" s="498">
        <f t="shared" si="109"/>
        <v>0</v>
      </c>
      <c r="AX269" s="498">
        <f t="shared" si="110"/>
        <v>0</v>
      </c>
      <c r="AY269" s="498">
        <f t="shared" si="111"/>
        <v>0</v>
      </c>
      <c r="BB269" s="498" t="str">
        <f t="shared" si="112"/>
        <v/>
      </c>
      <c r="BC269" s="743" t="str">
        <f t="shared" si="113"/>
        <v/>
      </c>
      <c r="BD269" s="743" t="str">
        <f t="shared" si="114"/>
        <v/>
      </c>
      <c r="BE269" s="743" t="str">
        <f>IF(D269="","",VLOOKUP(D269,'General Basis'!$J$39:$K$46,2,0))</f>
        <v/>
      </c>
      <c r="BF269" s="744" t="str">
        <f>IF(D269="","",VLOOKUP(D269,'General Basis'!$J$39:$L$46,3,0))</f>
        <v/>
      </c>
      <c r="BG269" s="744" t="str">
        <f t="shared" si="121"/>
        <v/>
      </c>
      <c r="BH269" s="744" t="str">
        <f>IF(G269="","",IF(BF269="Abu Dhabi",IF(G269&lt;18,'General Basis'!$C$39,IF(G269&lt;41,'General Basis'!$C$40,IF(G269&lt;60,'General Basis'!$C$41,IF(G269&lt;65,'General Basis'!$C$42,'General Basis'!$C$43)))),IF(G269&lt;11,'General Basis'!$B$39,IF(G269&lt;18,'General Basis'!$B$40,IF(G269&lt;26,'General Basis'!$B$41,IF(G269&lt;31,'General Basis'!$B$42,IF(G269&lt;36,'General Basis'!$B$43,IF(G269&lt;41,'General Basis'!$B$44,IF(G269&lt;46,'General Basis'!$B$45,IF(G269&lt;51,'General Basis'!$B$46,IF(G269&lt;56,'General Basis'!$B$47,IF(G269&lt;60,'General Basis'!$B$48,IF(G269&lt;65,'General Basis'!$B$49,'General Basis'!$B$50)))))))))))))</f>
        <v/>
      </c>
      <c r="BI269" s="744" t="str">
        <f t="shared" si="115"/>
        <v/>
      </c>
      <c r="BJ269" s="747" t="str">
        <f t="shared" si="122"/>
        <v/>
      </c>
      <c r="BK269" s="498" t="str">
        <f t="shared" si="116"/>
        <v/>
      </c>
      <c r="BL269" s="498" t="str">
        <f t="shared" si="117"/>
        <v/>
      </c>
    </row>
    <row r="270" spans="1:64" x14ac:dyDescent="0.25">
      <c r="A270" s="762">
        <f t="shared" si="118"/>
        <v>265</v>
      </c>
      <c r="B270" s="229"/>
      <c r="C270" s="223"/>
      <c r="D270" s="224"/>
      <c r="E270" s="225"/>
      <c r="F270" s="1036" t="str">
        <f t="shared" si="102"/>
        <v/>
      </c>
      <c r="G270" s="1037" t="str">
        <f t="shared" si="119"/>
        <v/>
      </c>
      <c r="H270" s="225"/>
      <c r="I270" s="1013"/>
      <c r="J270" s="1013"/>
      <c r="K270" s="1028"/>
      <c r="L270" s="1035" t="str">
        <f t="shared" si="123"/>
        <v/>
      </c>
      <c r="S270" s="498"/>
      <c r="AJ270" s="498"/>
      <c r="AM270" s="498">
        <f t="shared" si="104"/>
        <v>0</v>
      </c>
      <c r="AN270" s="498">
        <f t="shared" si="105"/>
        <v>0</v>
      </c>
      <c r="AO270" s="498">
        <f t="shared" si="106"/>
        <v>0</v>
      </c>
      <c r="AP270" s="498">
        <f t="shared" si="103"/>
        <v>0</v>
      </c>
      <c r="AQ270" s="498">
        <f t="shared" si="120"/>
        <v>0</v>
      </c>
      <c r="AU270" s="498">
        <f t="shared" si="107"/>
        <v>0</v>
      </c>
      <c r="AV270" s="498">
        <f t="shared" si="108"/>
        <v>0</v>
      </c>
      <c r="AW270" s="498">
        <f t="shared" si="109"/>
        <v>0</v>
      </c>
      <c r="AX270" s="498">
        <f t="shared" si="110"/>
        <v>0</v>
      </c>
      <c r="AY270" s="498">
        <f t="shared" si="111"/>
        <v>0</v>
      </c>
      <c r="BB270" s="498" t="str">
        <f t="shared" si="112"/>
        <v/>
      </c>
      <c r="BC270" s="743" t="str">
        <f t="shared" si="113"/>
        <v/>
      </c>
      <c r="BD270" s="743" t="str">
        <f t="shared" si="114"/>
        <v/>
      </c>
      <c r="BE270" s="743" t="str">
        <f>IF(D270="","",VLOOKUP(D270,'General Basis'!$J$39:$K$46,2,0))</f>
        <v/>
      </c>
      <c r="BF270" s="744" t="str">
        <f>IF(D270="","",VLOOKUP(D270,'General Basis'!$J$39:$L$46,3,0))</f>
        <v/>
      </c>
      <c r="BG270" s="744" t="str">
        <f t="shared" si="121"/>
        <v/>
      </c>
      <c r="BH270" s="744" t="str">
        <f>IF(G270="","",IF(BF270="Abu Dhabi",IF(G270&lt;18,'General Basis'!$C$39,IF(G270&lt;41,'General Basis'!$C$40,IF(G270&lt;60,'General Basis'!$C$41,IF(G270&lt;65,'General Basis'!$C$42,'General Basis'!$C$43)))),IF(G270&lt;11,'General Basis'!$B$39,IF(G270&lt;18,'General Basis'!$B$40,IF(G270&lt;26,'General Basis'!$B$41,IF(G270&lt;31,'General Basis'!$B$42,IF(G270&lt;36,'General Basis'!$B$43,IF(G270&lt;41,'General Basis'!$B$44,IF(G270&lt;46,'General Basis'!$B$45,IF(G270&lt;51,'General Basis'!$B$46,IF(G270&lt;56,'General Basis'!$B$47,IF(G270&lt;60,'General Basis'!$B$48,IF(G270&lt;65,'General Basis'!$B$49,'General Basis'!$B$50)))))))))))))</f>
        <v/>
      </c>
      <c r="BI270" s="744" t="str">
        <f t="shared" si="115"/>
        <v/>
      </c>
      <c r="BJ270" s="747" t="str">
        <f t="shared" si="122"/>
        <v/>
      </c>
      <c r="BK270" s="498" t="str">
        <f t="shared" si="116"/>
        <v/>
      </c>
      <c r="BL270" s="498" t="str">
        <f t="shared" si="117"/>
        <v/>
      </c>
    </row>
    <row r="271" spans="1:64" x14ac:dyDescent="0.25">
      <c r="A271" s="762">
        <f t="shared" si="118"/>
        <v>266</v>
      </c>
      <c r="B271" s="229"/>
      <c r="C271" s="223"/>
      <c r="D271" s="224"/>
      <c r="E271" s="225"/>
      <c r="F271" s="1036" t="str">
        <f t="shared" si="102"/>
        <v/>
      </c>
      <c r="G271" s="1037" t="str">
        <f t="shared" si="119"/>
        <v/>
      </c>
      <c r="H271" s="225"/>
      <c r="I271" s="1013"/>
      <c r="J271" s="1013"/>
      <c r="K271" s="1028"/>
      <c r="L271" s="1035" t="str">
        <f t="shared" si="123"/>
        <v/>
      </c>
      <c r="S271" s="498"/>
      <c r="AJ271" s="498"/>
      <c r="AM271" s="498">
        <f t="shared" si="104"/>
        <v>0</v>
      </c>
      <c r="AN271" s="498">
        <f t="shared" si="105"/>
        <v>0</v>
      </c>
      <c r="AO271" s="498">
        <f t="shared" si="106"/>
        <v>0</v>
      </c>
      <c r="AP271" s="498">
        <f t="shared" si="103"/>
        <v>0</v>
      </c>
      <c r="AQ271" s="498">
        <f t="shared" si="120"/>
        <v>0</v>
      </c>
      <c r="AU271" s="498">
        <f t="shared" si="107"/>
        <v>0</v>
      </c>
      <c r="AV271" s="498">
        <f t="shared" si="108"/>
        <v>0</v>
      </c>
      <c r="AW271" s="498">
        <f t="shared" si="109"/>
        <v>0</v>
      </c>
      <c r="AX271" s="498">
        <f t="shared" si="110"/>
        <v>0</v>
      </c>
      <c r="AY271" s="498">
        <f t="shared" si="111"/>
        <v>0</v>
      </c>
      <c r="BB271" s="498" t="str">
        <f t="shared" si="112"/>
        <v/>
      </c>
      <c r="BC271" s="743" t="str">
        <f t="shared" si="113"/>
        <v/>
      </c>
      <c r="BD271" s="743" t="str">
        <f t="shared" si="114"/>
        <v/>
      </c>
      <c r="BE271" s="743" t="str">
        <f>IF(D271="","",VLOOKUP(D271,'General Basis'!$J$39:$K$46,2,0))</f>
        <v/>
      </c>
      <c r="BF271" s="744" t="str">
        <f>IF(D271="","",VLOOKUP(D271,'General Basis'!$J$39:$L$46,3,0))</f>
        <v/>
      </c>
      <c r="BG271" s="744" t="str">
        <f t="shared" si="121"/>
        <v/>
      </c>
      <c r="BH271" s="744" t="str">
        <f>IF(G271="","",IF(BF271="Abu Dhabi",IF(G271&lt;18,'General Basis'!$C$39,IF(G271&lt;41,'General Basis'!$C$40,IF(G271&lt;60,'General Basis'!$C$41,IF(G271&lt;65,'General Basis'!$C$42,'General Basis'!$C$43)))),IF(G271&lt;11,'General Basis'!$B$39,IF(G271&lt;18,'General Basis'!$B$40,IF(G271&lt;26,'General Basis'!$B$41,IF(G271&lt;31,'General Basis'!$B$42,IF(G271&lt;36,'General Basis'!$B$43,IF(G271&lt;41,'General Basis'!$B$44,IF(G271&lt;46,'General Basis'!$B$45,IF(G271&lt;51,'General Basis'!$B$46,IF(G271&lt;56,'General Basis'!$B$47,IF(G271&lt;60,'General Basis'!$B$48,IF(G271&lt;65,'General Basis'!$B$49,'General Basis'!$B$50)))))))))))))</f>
        <v/>
      </c>
      <c r="BI271" s="744" t="str">
        <f t="shared" si="115"/>
        <v/>
      </c>
      <c r="BJ271" s="747" t="str">
        <f t="shared" si="122"/>
        <v/>
      </c>
      <c r="BK271" s="498" t="str">
        <f t="shared" si="116"/>
        <v/>
      </c>
      <c r="BL271" s="498" t="str">
        <f t="shared" si="117"/>
        <v/>
      </c>
    </row>
    <row r="272" spans="1:64" x14ac:dyDescent="0.25">
      <c r="A272" s="762">
        <f t="shared" si="118"/>
        <v>267</v>
      </c>
      <c r="B272" s="229"/>
      <c r="C272" s="223"/>
      <c r="D272" s="224"/>
      <c r="E272" s="225"/>
      <c r="F272" s="1036" t="str">
        <f t="shared" ref="F272:F335" si="124">IF(C272="","",IF($B272="","",((YEAR($F$3)-YEAR($B272))+(MONTH($F$3)-MONTH($B272))/12+(DAY($F$3)-DAY($B272))/(DATE(YEAR($F$3),12,31)-DATE(YEAR($F$3),1,1)+1))))</f>
        <v/>
      </c>
      <c r="G272" s="1037" t="str">
        <f t="shared" si="119"/>
        <v/>
      </c>
      <c r="H272" s="225"/>
      <c r="I272" s="1013"/>
      <c r="J272" s="1013"/>
      <c r="K272" s="1028"/>
      <c r="L272" s="1035" t="str">
        <f t="shared" si="123"/>
        <v/>
      </c>
      <c r="S272" s="498"/>
      <c r="AJ272" s="498"/>
      <c r="AM272" s="498">
        <f t="shared" si="104"/>
        <v>0</v>
      </c>
      <c r="AN272" s="498">
        <f t="shared" si="105"/>
        <v>0</v>
      </c>
      <c r="AO272" s="498">
        <f t="shared" si="106"/>
        <v>0</v>
      </c>
      <c r="AP272" s="498">
        <f t="shared" si="103"/>
        <v>0</v>
      </c>
      <c r="AQ272" s="498">
        <f t="shared" si="120"/>
        <v>0</v>
      </c>
      <c r="AU272" s="498">
        <f t="shared" si="107"/>
        <v>0</v>
      </c>
      <c r="AV272" s="498">
        <f t="shared" si="108"/>
        <v>0</v>
      </c>
      <c r="AW272" s="498">
        <f t="shared" si="109"/>
        <v>0</v>
      </c>
      <c r="AX272" s="498">
        <f t="shared" si="110"/>
        <v>0</v>
      </c>
      <c r="AY272" s="498">
        <f t="shared" si="111"/>
        <v>0</v>
      </c>
      <c r="BB272" s="498" t="str">
        <f t="shared" si="112"/>
        <v/>
      </c>
      <c r="BC272" s="743" t="str">
        <f t="shared" si="113"/>
        <v/>
      </c>
      <c r="BD272" s="743" t="str">
        <f t="shared" si="114"/>
        <v/>
      </c>
      <c r="BE272" s="743" t="str">
        <f>IF(D272="","",VLOOKUP(D272,'General Basis'!$J$39:$K$46,2,0))</f>
        <v/>
      </c>
      <c r="BF272" s="744" t="str">
        <f>IF(D272="","",VLOOKUP(D272,'General Basis'!$J$39:$L$46,3,0))</f>
        <v/>
      </c>
      <c r="BG272" s="744" t="str">
        <f t="shared" si="121"/>
        <v/>
      </c>
      <c r="BH272" s="744" t="str">
        <f>IF(G272="","",IF(BF272="Abu Dhabi",IF(G272&lt;18,'General Basis'!$C$39,IF(G272&lt;41,'General Basis'!$C$40,IF(G272&lt;60,'General Basis'!$C$41,IF(G272&lt;65,'General Basis'!$C$42,'General Basis'!$C$43)))),IF(G272&lt;11,'General Basis'!$B$39,IF(G272&lt;18,'General Basis'!$B$40,IF(G272&lt;26,'General Basis'!$B$41,IF(G272&lt;31,'General Basis'!$B$42,IF(G272&lt;36,'General Basis'!$B$43,IF(G272&lt;41,'General Basis'!$B$44,IF(G272&lt;46,'General Basis'!$B$45,IF(G272&lt;51,'General Basis'!$B$46,IF(G272&lt;56,'General Basis'!$B$47,IF(G272&lt;60,'General Basis'!$B$48,IF(G272&lt;65,'General Basis'!$B$49,'General Basis'!$B$50)))))))))))))</f>
        <v/>
      </c>
      <c r="BI272" s="744" t="str">
        <f t="shared" si="115"/>
        <v/>
      </c>
      <c r="BJ272" s="747" t="str">
        <f t="shared" si="122"/>
        <v/>
      </c>
      <c r="BK272" s="498" t="str">
        <f t="shared" si="116"/>
        <v/>
      </c>
      <c r="BL272" s="498" t="str">
        <f t="shared" si="117"/>
        <v/>
      </c>
    </row>
    <row r="273" spans="1:64" x14ac:dyDescent="0.25">
      <c r="A273" s="762">
        <f t="shared" si="118"/>
        <v>268</v>
      </c>
      <c r="B273" s="229"/>
      <c r="C273" s="223"/>
      <c r="D273" s="224"/>
      <c r="E273" s="225"/>
      <c r="F273" s="1036" t="str">
        <f t="shared" si="124"/>
        <v/>
      </c>
      <c r="G273" s="1037" t="str">
        <f t="shared" si="119"/>
        <v/>
      </c>
      <c r="H273" s="225"/>
      <c r="I273" s="1013"/>
      <c r="J273" s="1013"/>
      <c r="K273" s="1028"/>
      <c r="L273" s="1035" t="str">
        <f t="shared" si="123"/>
        <v/>
      </c>
      <c r="S273" s="498"/>
      <c r="AJ273" s="498"/>
      <c r="AM273" s="498">
        <f t="shared" si="104"/>
        <v>0</v>
      </c>
      <c r="AN273" s="498">
        <f t="shared" si="105"/>
        <v>0</v>
      </c>
      <c r="AO273" s="498">
        <f t="shared" si="106"/>
        <v>0</v>
      </c>
      <c r="AP273" s="498">
        <f t="shared" si="103"/>
        <v>0</v>
      </c>
      <c r="AQ273" s="498">
        <f t="shared" si="120"/>
        <v>0</v>
      </c>
      <c r="AU273" s="498">
        <f t="shared" si="107"/>
        <v>0</v>
      </c>
      <c r="AV273" s="498">
        <f t="shared" si="108"/>
        <v>0</v>
      </c>
      <c r="AW273" s="498">
        <f t="shared" si="109"/>
        <v>0</v>
      </c>
      <c r="AX273" s="498">
        <f t="shared" si="110"/>
        <v>0</v>
      </c>
      <c r="AY273" s="498">
        <f t="shared" si="111"/>
        <v>0</v>
      </c>
      <c r="BB273" s="498" t="str">
        <f t="shared" si="112"/>
        <v/>
      </c>
      <c r="BC273" s="743" t="str">
        <f t="shared" si="113"/>
        <v/>
      </c>
      <c r="BD273" s="743" t="str">
        <f t="shared" si="114"/>
        <v/>
      </c>
      <c r="BE273" s="743" t="str">
        <f>IF(D273="","",VLOOKUP(D273,'General Basis'!$J$39:$K$46,2,0))</f>
        <v/>
      </c>
      <c r="BF273" s="744" t="str">
        <f>IF(D273="","",VLOOKUP(D273,'General Basis'!$J$39:$L$46,3,0))</f>
        <v/>
      </c>
      <c r="BG273" s="744" t="str">
        <f t="shared" si="121"/>
        <v/>
      </c>
      <c r="BH273" s="744" t="str">
        <f>IF(G273="","",IF(BF273="Abu Dhabi",IF(G273&lt;18,'General Basis'!$C$39,IF(G273&lt;41,'General Basis'!$C$40,IF(G273&lt;60,'General Basis'!$C$41,IF(G273&lt;65,'General Basis'!$C$42,'General Basis'!$C$43)))),IF(G273&lt;11,'General Basis'!$B$39,IF(G273&lt;18,'General Basis'!$B$40,IF(G273&lt;26,'General Basis'!$B$41,IF(G273&lt;31,'General Basis'!$B$42,IF(G273&lt;36,'General Basis'!$B$43,IF(G273&lt;41,'General Basis'!$B$44,IF(G273&lt;46,'General Basis'!$B$45,IF(G273&lt;51,'General Basis'!$B$46,IF(G273&lt;56,'General Basis'!$B$47,IF(G273&lt;60,'General Basis'!$B$48,IF(G273&lt;65,'General Basis'!$B$49,'General Basis'!$B$50)))))))))))))</f>
        <v/>
      </c>
      <c r="BI273" s="744" t="str">
        <f t="shared" si="115"/>
        <v/>
      </c>
      <c r="BJ273" s="747" t="str">
        <f t="shared" si="122"/>
        <v/>
      </c>
      <c r="BK273" s="498" t="str">
        <f t="shared" si="116"/>
        <v/>
      </c>
      <c r="BL273" s="498" t="str">
        <f t="shared" si="117"/>
        <v/>
      </c>
    </row>
    <row r="274" spans="1:64" x14ac:dyDescent="0.25">
      <c r="A274" s="762">
        <f t="shared" si="118"/>
        <v>269</v>
      </c>
      <c r="B274" s="229"/>
      <c r="C274" s="223"/>
      <c r="D274" s="224"/>
      <c r="E274" s="225"/>
      <c r="F274" s="1036" t="str">
        <f t="shared" si="124"/>
        <v/>
      </c>
      <c r="G274" s="1037" t="str">
        <f t="shared" si="119"/>
        <v/>
      </c>
      <c r="H274" s="225"/>
      <c r="I274" s="1013"/>
      <c r="J274" s="1013"/>
      <c r="K274" s="1028"/>
      <c r="L274" s="1035" t="str">
        <f t="shared" si="123"/>
        <v/>
      </c>
      <c r="S274" s="498"/>
      <c r="AJ274" s="498"/>
      <c r="AM274" s="498">
        <f t="shared" si="104"/>
        <v>0</v>
      </c>
      <c r="AN274" s="498">
        <f t="shared" si="105"/>
        <v>0</v>
      </c>
      <c r="AO274" s="498">
        <f t="shared" si="106"/>
        <v>0</v>
      </c>
      <c r="AP274" s="498">
        <f t="shared" si="103"/>
        <v>0</v>
      </c>
      <c r="AQ274" s="498">
        <f t="shared" si="120"/>
        <v>0</v>
      </c>
      <c r="AU274" s="498">
        <f t="shared" si="107"/>
        <v>0</v>
      </c>
      <c r="AV274" s="498">
        <f t="shared" si="108"/>
        <v>0</v>
      </c>
      <c r="AW274" s="498">
        <f t="shared" si="109"/>
        <v>0</v>
      </c>
      <c r="AX274" s="498">
        <f t="shared" si="110"/>
        <v>0</v>
      </c>
      <c r="AY274" s="498">
        <f t="shared" si="111"/>
        <v>0</v>
      </c>
      <c r="BB274" s="498" t="str">
        <f t="shared" si="112"/>
        <v/>
      </c>
      <c r="BC274" s="743" t="str">
        <f t="shared" si="113"/>
        <v/>
      </c>
      <c r="BD274" s="743" t="str">
        <f t="shared" si="114"/>
        <v/>
      </c>
      <c r="BE274" s="743" t="str">
        <f>IF(D274="","",VLOOKUP(D274,'General Basis'!$J$39:$K$46,2,0))</f>
        <v/>
      </c>
      <c r="BF274" s="744" t="str">
        <f>IF(D274="","",VLOOKUP(D274,'General Basis'!$J$39:$L$46,3,0))</f>
        <v/>
      </c>
      <c r="BG274" s="744" t="str">
        <f t="shared" si="121"/>
        <v/>
      </c>
      <c r="BH274" s="744" t="str">
        <f>IF(G274="","",IF(BF274="Abu Dhabi",IF(G274&lt;18,'General Basis'!$C$39,IF(G274&lt;41,'General Basis'!$C$40,IF(G274&lt;60,'General Basis'!$C$41,IF(G274&lt;65,'General Basis'!$C$42,'General Basis'!$C$43)))),IF(G274&lt;11,'General Basis'!$B$39,IF(G274&lt;18,'General Basis'!$B$40,IF(G274&lt;26,'General Basis'!$B$41,IF(G274&lt;31,'General Basis'!$B$42,IF(G274&lt;36,'General Basis'!$B$43,IF(G274&lt;41,'General Basis'!$B$44,IF(G274&lt;46,'General Basis'!$B$45,IF(G274&lt;51,'General Basis'!$B$46,IF(G274&lt;56,'General Basis'!$B$47,IF(G274&lt;60,'General Basis'!$B$48,IF(G274&lt;65,'General Basis'!$B$49,'General Basis'!$B$50)))))))))))))</f>
        <v/>
      </c>
      <c r="BI274" s="744" t="str">
        <f t="shared" si="115"/>
        <v/>
      </c>
      <c r="BJ274" s="747" t="str">
        <f t="shared" si="122"/>
        <v/>
      </c>
      <c r="BK274" s="498" t="str">
        <f t="shared" si="116"/>
        <v/>
      </c>
      <c r="BL274" s="498" t="str">
        <f t="shared" si="117"/>
        <v/>
      </c>
    </row>
    <row r="275" spans="1:64" x14ac:dyDescent="0.25">
      <c r="A275" s="762">
        <f t="shared" si="118"/>
        <v>270</v>
      </c>
      <c r="B275" s="229"/>
      <c r="C275" s="223"/>
      <c r="D275" s="224"/>
      <c r="E275" s="225"/>
      <c r="F275" s="1036" t="str">
        <f t="shared" si="124"/>
        <v/>
      </c>
      <c r="G275" s="1037" t="str">
        <f t="shared" si="119"/>
        <v/>
      </c>
      <c r="H275" s="225"/>
      <c r="I275" s="1013"/>
      <c r="J275" s="1013"/>
      <c r="K275" s="1028"/>
      <c r="L275" s="1035" t="str">
        <f t="shared" si="123"/>
        <v/>
      </c>
      <c r="S275" s="498"/>
      <c r="AJ275" s="498"/>
      <c r="AM275" s="498">
        <f t="shared" si="104"/>
        <v>0</v>
      </c>
      <c r="AN275" s="498">
        <f t="shared" si="105"/>
        <v>0</v>
      </c>
      <c r="AO275" s="498">
        <f t="shared" si="106"/>
        <v>0</v>
      </c>
      <c r="AP275" s="498">
        <f t="shared" ref="AP275:AP338" si="125">IF(ISBLANK($B275),0,IF(OR($C275="M",$C275="F"),0,1))</f>
        <v>0</v>
      </c>
      <c r="AQ275" s="498">
        <f t="shared" si="120"/>
        <v>0</v>
      </c>
      <c r="AU275" s="498">
        <f t="shared" si="107"/>
        <v>0</v>
      </c>
      <c r="AV275" s="498">
        <f t="shared" si="108"/>
        <v>0</v>
      </c>
      <c r="AW275" s="498">
        <f t="shared" si="109"/>
        <v>0</v>
      </c>
      <c r="AX275" s="498">
        <f t="shared" si="110"/>
        <v>0</v>
      </c>
      <c r="AY275" s="498">
        <f t="shared" si="111"/>
        <v>0</v>
      </c>
      <c r="BB275" s="498" t="str">
        <f t="shared" si="112"/>
        <v/>
      </c>
      <c r="BC275" s="743" t="str">
        <f t="shared" si="113"/>
        <v/>
      </c>
      <c r="BD275" s="743" t="str">
        <f t="shared" si="114"/>
        <v/>
      </c>
      <c r="BE275" s="743" t="str">
        <f>IF(D275="","",VLOOKUP(D275,'General Basis'!$J$39:$K$46,2,0))</f>
        <v/>
      </c>
      <c r="BF275" s="744" t="str">
        <f>IF(D275="","",VLOOKUP(D275,'General Basis'!$J$39:$L$46,3,0))</f>
        <v/>
      </c>
      <c r="BG275" s="744" t="str">
        <f t="shared" si="121"/>
        <v/>
      </c>
      <c r="BH275" s="744" t="str">
        <f>IF(G275="","",IF(BF275="Abu Dhabi",IF(G275&lt;18,'General Basis'!$C$39,IF(G275&lt;41,'General Basis'!$C$40,IF(G275&lt;60,'General Basis'!$C$41,IF(G275&lt;65,'General Basis'!$C$42,'General Basis'!$C$43)))),IF(G275&lt;11,'General Basis'!$B$39,IF(G275&lt;18,'General Basis'!$B$40,IF(G275&lt;26,'General Basis'!$B$41,IF(G275&lt;31,'General Basis'!$B$42,IF(G275&lt;36,'General Basis'!$B$43,IF(G275&lt;41,'General Basis'!$B$44,IF(G275&lt;46,'General Basis'!$B$45,IF(G275&lt;51,'General Basis'!$B$46,IF(G275&lt;56,'General Basis'!$B$47,IF(G275&lt;60,'General Basis'!$B$48,IF(G275&lt;65,'General Basis'!$B$49,'General Basis'!$B$50)))))))))))))</f>
        <v/>
      </c>
      <c r="BI275" s="744" t="str">
        <f t="shared" si="115"/>
        <v/>
      </c>
      <c r="BJ275" s="747" t="str">
        <f t="shared" si="122"/>
        <v/>
      </c>
      <c r="BK275" s="498" t="str">
        <f t="shared" si="116"/>
        <v/>
      </c>
      <c r="BL275" s="498" t="str">
        <f t="shared" si="117"/>
        <v/>
      </c>
    </row>
    <row r="276" spans="1:64" x14ac:dyDescent="0.25">
      <c r="A276" s="762">
        <f t="shared" si="118"/>
        <v>271</v>
      </c>
      <c r="B276" s="229"/>
      <c r="C276" s="223"/>
      <c r="D276" s="224"/>
      <c r="E276" s="225"/>
      <c r="F276" s="1036" t="str">
        <f t="shared" si="124"/>
        <v/>
      </c>
      <c r="G276" s="1037" t="str">
        <f t="shared" si="119"/>
        <v/>
      </c>
      <c r="H276" s="225"/>
      <c r="I276" s="1013"/>
      <c r="J276" s="1013"/>
      <c r="K276" s="1028"/>
      <c r="L276" s="1035" t="str">
        <f t="shared" si="123"/>
        <v/>
      </c>
      <c r="S276" s="498"/>
      <c r="AJ276" s="498"/>
      <c r="AM276" s="498">
        <f t="shared" si="104"/>
        <v>0</v>
      </c>
      <c r="AN276" s="498">
        <f t="shared" si="105"/>
        <v>0</v>
      </c>
      <c r="AO276" s="498">
        <f t="shared" si="106"/>
        <v>0</v>
      </c>
      <c r="AP276" s="498">
        <f t="shared" si="125"/>
        <v>0</v>
      </c>
      <c r="AQ276" s="498">
        <f t="shared" si="120"/>
        <v>0</v>
      </c>
      <c r="AU276" s="498">
        <f t="shared" si="107"/>
        <v>0</v>
      </c>
      <c r="AV276" s="498">
        <f t="shared" si="108"/>
        <v>0</v>
      </c>
      <c r="AW276" s="498">
        <f t="shared" si="109"/>
        <v>0</v>
      </c>
      <c r="AX276" s="498">
        <f t="shared" si="110"/>
        <v>0</v>
      </c>
      <c r="AY276" s="498">
        <f t="shared" si="111"/>
        <v>0</v>
      </c>
      <c r="BB276" s="498" t="str">
        <f t="shared" si="112"/>
        <v/>
      </c>
      <c r="BC276" s="743" t="str">
        <f t="shared" si="113"/>
        <v/>
      </c>
      <c r="BD276" s="743" t="str">
        <f t="shared" si="114"/>
        <v/>
      </c>
      <c r="BE276" s="743" t="str">
        <f>IF(D276="","",VLOOKUP(D276,'General Basis'!$J$39:$K$46,2,0))</f>
        <v/>
      </c>
      <c r="BF276" s="744" t="str">
        <f>IF(D276="","",VLOOKUP(D276,'General Basis'!$J$39:$L$46,3,0))</f>
        <v/>
      </c>
      <c r="BG276" s="744" t="str">
        <f t="shared" si="121"/>
        <v/>
      </c>
      <c r="BH276" s="744" t="str">
        <f>IF(G276="","",IF(BF276="Abu Dhabi",IF(G276&lt;18,'General Basis'!$C$39,IF(G276&lt;41,'General Basis'!$C$40,IF(G276&lt;60,'General Basis'!$C$41,IF(G276&lt;65,'General Basis'!$C$42,'General Basis'!$C$43)))),IF(G276&lt;11,'General Basis'!$B$39,IF(G276&lt;18,'General Basis'!$B$40,IF(G276&lt;26,'General Basis'!$B$41,IF(G276&lt;31,'General Basis'!$B$42,IF(G276&lt;36,'General Basis'!$B$43,IF(G276&lt;41,'General Basis'!$B$44,IF(G276&lt;46,'General Basis'!$B$45,IF(G276&lt;51,'General Basis'!$B$46,IF(G276&lt;56,'General Basis'!$B$47,IF(G276&lt;60,'General Basis'!$B$48,IF(G276&lt;65,'General Basis'!$B$49,'General Basis'!$B$50)))))))))))))</f>
        <v/>
      </c>
      <c r="BI276" s="744" t="str">
        <f t="shared" si="115"/>
        <v/>
      </c>
      <c r="BJ276" s="747" t="str">
        <f t="shared" si="122"/>
        <v/>
      </c>
      <c r="BK276" s="498" t="str">
        <f t="shared" si="116"/>
        <v/>
      </c>
      <c r="BL276" s="498" t="str">
        <f t="shared" si="117"/>
        <v/>
      </c>
    </row>
    <row r="277" spans="1:64" x14ac:dyDescent="0.25">
      <c r="A277" s="762">
        <f t="shared" si="118"/>
        <v>272</v>
      </c>
      <c r="B277" s="229"/>
      <c r="C277" s="223"/>
      <c r="D277" s="224"/>
      <c r="E277" s="225"/>
      <c r="F277" s="1036" t="str">
        <f t="shared" si="124"/>
        <v/>
      </c>
      <c r="G277" s="1037" t="str">
        <f t="shared" si="119"/>
        <v/>
      </c>
      <c r="H277" s="225"/>
      <c r="I277" s="1013"/>
      <c r="J277" s="1013"/>
      <c r="K277" s="1028"/>
      <c r="L277" s="1035" t="str">
        <f t="shared" si="123"/>
        <v/>
      </c>
      <c r="S277" s="498"/>
      <c r="AJ277" s="498"/>
      <c r="AM277" s="498">
        <f t="shared" si="104"/>
        <v>0</v>
      </c>
      <c r="AN277" s="498">
        <f t="shared" si="105"/>
        <v>0</v>
      </c>
      <c r="AO277" s="498">
        <f t="shared" si="106"/>
        <v>0</v>
      </c>
      <c r="AP277" s="498">
        <f t="shared" si="125"/>
        <v>0</v>
      </c>
      <c r="AQ277" s="498">
        <f t="shared" si="120"/>
        <v>0</v>
      </c>
      <c r="AU277" s="498">
        <f t="shared" si="107"/>
        <v>0</v>
      </c>
      <c r="AV277" s="498">
        <f t="shared" si="108"/>
        <v>0</v>
      </c>
      <c r="AW277" s="498">
        <f t="shared" si="109"/>
        <v>0</v>
      </c>
      <c r="AX277" s="498">
        <f t="shared" si="110"/>
        <v>0</v>
      </c>
      <c r="AY277" s="498">
        <f t="shared" si="111"/>
        <v>0</v>
      </c>
      <c r="BB277" s="498" t="str">
        <f t="shared" si="112"/>
        <v/>
      </c>
      <c r="BC277" s="743" t="str">
        <f t="shared" si="113"/>
        <v/>
      </c>
      <c r="BD277" s="743" t="str">
        <f t="shared" si="114"/>
        <v/>
      </c>
      <c r="BE277" s="743" t="str">
        <f>IF(D277="","",VLOOKUP(D277,'General Basis'!$J$39:$K$46,2,0))</f>
        <v/>
      </c>
      <c r="BF277" s="744" t="str">
        <f>IF(D277="","",VLOOKUP(D277,'General Basis'!$J$39:$L$46,3,0))</f>
        <v/>
      </c>
      <c r="BG277" s="744" t="str">
        <f t="shared" si="121"/>
        <v/>
      </c>
      <c r="BH277" s="744" t="str">
        <f>IF(G277="","",IF(BF277="Abu Dhabi",IF(G277&lt;18,'General Basis'!$C$39,IF(G277&lt;41,'General Basis'!$C$40,IF(G277&lt;60,'General Basis'!$C$41,IF(G277&lt;65,'General Basis'!$C$42,'General Basis'!$C$43)))),IF(G277&lt;11,'General Basis'!$B$39,IF(G277&lt;18,'General Basis'!$B$40,IF(G277&lt;26,'General Basis'!$B$41,IF(G277&lt;31,'General Basis'!$B$42,IF(G277&lt;36,'General Basis'!$B$43,IF(G277&lt;41,'General Basis'!$B$44,IF(G277&lt;46,'General Basis'!$B$45,IF(G277&lt;51,'General Basis'!$B$46,IF(G277&lt;56,'General Basis'!$B$47,IF(G277&lt;60,'General Basis'!$B$48,IF(G277&lt;65,'General Basis'!$B$49,'General Basis'!$B$50)))))))))))))</f>
        <v/>
      </c>
      <c r="BI277" s="744" t="str">
        <f t="shared" si="115"/>
        <v/>
      </c>
      <c r="BJ277" s="747" t="str">
        <f t="shared" si="122"/>
        <v/>
      </c>
      <c r="BK277" s="498" t="str">
        <f t="shared" si="116"/>
        <v/>
      </c>
      <c r="BL277" s="498" t="str">
        <f t="shared" si="117"/>
        <v/>
      </c>
    </row>
    <row r="278" spans="1:64" x14ac:dyDescent="0.25">
      <c r="A278" s="762">
        <f t="shared" si="118"/>
        <v>273</v>
      </c>
      <c r="B278" s="229"/>
      <c r="C278" s="223"/>
      <c r="D278" s="224"/>
      <c r="E278" s="225"/>
      <c r="F278" s="1036" t="str">
        <f t="shared" si="124"/>
        <v/>
      </c>
      <c r="G278" s="1037" t="str">
        <f t="shared" si="119"/>
        <v/>
      </c>
      <c r="H278" s="225"/>
      <c r="I278" s="1013"/>
      <c r="J278" s="1013"/>
      <c r="K278" s="1028"/>
      <c r="L278" s="1035" t="str">
        <f t="shared" si="123"/>
        <v/>
      </c>
      <c r="S278" s="498"/>
      <c r="AJ278" s="498"/>
      <c r="AM278" s="498">
        <f t="shared" si="104"/>
        <v>0</v>
      </c>
      <c r="AN278" s="498">
        <f t="shared" si="105"/>
        <v>0</v>
      </c>
      <c r="AO278" s="498">
        <f t="shared" si="106"/>
        <v>0</v>
      </c>
      <c r="AP278" s="498">
        <f t="shared" si="125"/>
        <v>0</v>
      </c>
      <c r="AQ278" s="498">
        <f t="shared" si="120"/>
        <v>0</v>
      </c>
      <c r="AU278" s="498">
        <f t="shared" si="107"/>
        <v>0</v>
      </c>
      <c r="AV278" s="498">
        <f t="shared" si="108"/>
        <v>0</v>
      </c>
      <c r="AW278" s="498">
        <f t="shared" si="109"/>
        <v>0</v>
      </c>
      <c r="AX278" s="498">
        <f t="shared" si="110"/>
        <v>0</v>
      </c>
      <c r="AY278" s="498">
        <f t="shared" si="111"/>
        <v>0</v>
      </c>
      <c r="BB278" s="498" t="str">
        <f t="shared" si="112"/>
        <v/>
      </c>
      <c r="BC278" s="743" t="str">
        <f t="shared" si="113"/>
        <v/>
      </c>
      <c r="BD278" s="743" t="str">
        <f t="shared" si="114"/>
        <v/>
      </c>
      <c r="BE278" s="743" t="str">
        <f>IF(D278="","",VLOOKUP(D278,'General Basis'!$J$39:$K$46,2,0))</f>
        <v/>
      </c>
      <c r="BF278" s="744" t="str">
        <f>IF(D278="","",VLOOKUP(D278,'General Basis'!$J$39:$L$46,3,0))</f>
        <v/>
      </c>
      <c r="BG278" s="744" t="str">
        <f t="shared" si="121"/>
        <v/>
      </c>
      <c r="BH278" s="744" t="str">
        <f>IF(G278="","",IF(BF278="Abu Dhabi",IF(G278&lt;18,'General Basis'!$C$39,IF(G278&lt;41,'General Basis'!$C$40,IF(G278&lt;60,'General Basis'!$C$41,IF(G278&lt;65,'General Basis'!$C$42,'General Basis'!$C$43)))),IF(G278&lt;11,'General Basis'!$B$39,IF(G278&lt;18,'General Basis'!$B$40,IF(G278&lt;26,'General Basis'!$B$41,IF(G278&lt;31,'General Basis'!$B$42,IF(G278&lt;36,'General Basis'!$B$43,IF(G278&lt;41,'General Basis'!$B$44,IF(G278&lt;46,'General Basis'!$B$45,IF(G278&lt;51,'General Basis'!$B$46,IF(G278&lt;56,'General Basis'!$B$47,IF(G278&lt;60,'General Basis'!$B$48,IF(G278&lt;65,'General Basis'!$B$49,'General Basis'!$B$50)))))))))))))</f>
        <v/>
      </c>
      <c r="BI278" s="744" t="str">
        <f t="shared" si="115"/>
        <v/>
      </c>
      <c r="BJ278" s="747" t="str">
        <f t="shared" si="122"/>
        <v/>
      </c>
      <c r="BK278" s="498" t="str">
        <f t="shared" si="116"/>
        <v/>
      </c>
      <c r="BL278" s="498" t="str">
        <f t="shared" si="117"/>
        <v/>
      </c>
    </row>
    <row r="279" spans="1:64" x14ac:dyDescent="0.25">
      <c r="A279" s="762">
        <f t="shared" si="118"/>
        <v>274</v>
      </c>
      <c r="B279" s="229"/>
      <c r="C279" s="223"/>
      <c r="D279" s="224"/>
      <c r="E279" s="225"/>
      <c r="F279" s="1036" t="str">
        <f t="shared" si="124"/>
        <v/>
      </c>
      <c r="G279" s="1037" t="str">
        <f t="shared" si="119"/>
        <v/>
      </c>
      <c r="H279" s="225"/>
      <c r="I279" s="1013"/>
      <c r="J279" s="1013"/>
      <c r="K279" s="1028"/>
      <c r="L279" s="1035" t="str">
        <f t="shared" si="123"/>
        <v/>
      </c>
      <c r="S279" s="498"/>
      <c r="AJ279" s="498"/>
      <c r="AM279" s="498">
        <f t="shared" si="104"/>
        <v>0</v>
      </c>
      <c r="AN279" s="498">
        <f t="shared" si="105"/>
        <v>0</v>
      </c>
      <c r="AO279" s="498">
        <f t="shared" si="106"/>
        <v>0</v>
      </c>
      <c r="AP279" s="498">
        <f t="shared" si="125"/>
        <v>0</v>
      </c>
      <c r="AQ279" s="498">
        <f t="shared" si="120"/>
        <v>0</v>
      </c>
      <c r="AU279" s="498">
        <f t="shared" si="107"/>
        <v>0</v>
      </c>
      <c r="AV279" s="498">
        <f t="shared" si="108"/>
        <v>0</v>
      </c>
      <c r="AW279" s="498">
        <f t="shared" si="109"/>
        <v>0</v>
      </c>
      <c r="AX279" s="498">
        <f t="shared" si="110"/>
        <v>0</v>
      </c>
      <c r="AY279" s="498">
        <f t="shared" si="111"/>
        <v>0</v>
      </c>
      <c r="BB279" s="498" t="str">
        <f t="shared" si="112"/>
        <v/>
      </c>
      <c r="BC279" s="743" t="str">
        <f t="shared" si="113"/>
        <v/>
      </c>
      <c r="BD279" s="743" t="str">
        <f t="shared" si="114"/>
        <v/>
      </c>
      <c r="BE279" s="743" t="str">
        <f>IF(D279="","",VLOOKUP(D279,'General Basis'!$J$39:$K$46,2,0))</f>
        <v/>
      </c>
      <c r="BF279" s="744" t="str">
        <f>IF(D279="","",VLOOKUP(D279,'General Basis'!$J$39:$L$46,3,0))</f>
        <v/>
      </c>
      <c r="BG279" s="744" t="str">
        <f t="shared" si="121"/>
        <v/>
      </c>
      <c r="BH279" s="744" t="str">
        <f>IF(G279="","",IF(BF279="Abu Dhabi",IF(G279&lt;18,'General Basis'!$C$39,IF(G279&lt;41,'General Basis'!$C$40,IF(G279&lt;60,'General Basis'!$C$41,IF(G279&lt;65,'General Basis'!$C$42,'General Basis'!$C$43)))),IF(G279&lt;11,'General Basis'!$B$39,IF(G279&lt;18,'General Basis'!$B$40,IF(G279&lt;26,'General Basis'!$B$41,IF(G279&lt;31,'General Basis'!$B$42,IF(G279&lt;36,'General Basis'!$B$43,IF(G279&lt;41,'General Basis'!$B$44,IF(G279&lt;46,'General Basis'!$B$45,IF(G279&lt;51,'General Basis'!$B$46,IF(G279&lt;56,'General Basis'!$B$47,IF(G279&lt;60,'General Basis'!$B$48,IF(G279&lt;65,'General Basis'!$B$49,'General Basis'!$B$50)))))))))))))</f>
        <v/>
      </c>
      <c r="BI279" s="744" t="str">
        <f t="shared" si="115"/>
        <v/>
      </c>
      <c r="BJ279" s="747" t="str">
        <f t="shared" si="122"/>
        <v/>
      </c>
      <c r="BK279" s="498" t="str">
        <f t="shared" si="116"/>
        <v/>
      </c>
      <c r="BL279" s="498" t="str">
        <f t="shared" si="117"/>
        <v/>
      </c>
    </row>
    <row r="280" spans="1:64" x14ac:dyDescent="0.25">
      <c r="A280" s="762">
        <f t="shared" si="118"/>
        <v>275</v>
      </c>
      <c r="B280" s="229"/>
      <c r="C280" s="223"/>
      <c r="D280" s="224"/>
      <c r="E280" s="225"/>
      <c r="F280" s="1036" t="str">
        <f t="shared" si="124"/>
        <v/>
      </c>
      <c r="G280" s="1037" t="str">
        <f t="shared" si="119"/>
        <v/>
      </c>
      <c r="H280" s="225"/>
      <c r="I280" s="1013"/>
      <c r="J280" s="1013"/>
      <c r="K280" s="1028"/>
      <c r="L280" s="1035" t="str">
        <f t="shared" si="123"/>
        <v/>
      </c>
      <c r="S280" s="498"/>
      <c r="AJ280" s="498"/>
      <c r="AM280" s="498">
        <f t="shared" si="104"/>
        <v>0</v>
      </c>
      <c r="AN280" s="498">
        <f t="shared" si="105"/>
        <v>0</v>
      </c>
      <c r="AO280" s="498">
        <f t="shared" si="106"/>
        <v>0</v>
      </c>
      <c r="AP280" s="498">
        <f t="shared" si="125"/>
        <v>0</v>
      </c>
      <c r="AQ280" s="498">
        <f t="shared" si="120"/>
        <v>0</v>
      </c>
      <c r="AU280" s="498">
        <f t="shared" si="107"/>
        <v>0</v>
      </c>
      <c r="AV280" s="498">
        <f t="shared" si="108"/>
        <v>0</v>
      </c>
      <c r="AW280" s="498">
        <f t="shared" si="109"/>
        <v>0</v>
      </c>
      <c r="AX280" s="498">
        <f t="shared" si="110"/>
        <v>0</v>
      </c>
      <c r="AY280" s="498">
        <f t="shared" si="111"/>
        <v>0</v>
      </c>
      <c r="BB280" s="498" t="str">
        <f t="shared" si="112"/>
        <v/>
      </c>
      <c r="BC280" s="743" t="str">
        <f t="shared" si="113"/>
        <v/>
      </c>
      <c r="BD280" s="743" t="str">
        <f t="shared" si="114"/>
        <v/>
      </c>
      <c r="BE280" s="743" t="str">
        <f>IF(D280="","",VLOOKUP(D280,'General Basis'!$J$39:$K$46,2,0))</f>
        <v/>
      </c>
      <c r="BF280" s="744" t="str">
        <f>IF(D280="","",VLOOKUP(D280,'General Basis'!$J$39:$L$46,3,0))</f>
        <v/>
      </c>
      <c r="BG280" s="744" t="str">
        <f t="shared" si="121"/>
        <v/>
      </c>
      <c r="BH280" s="744" t="str">
        <f>IF(G280="","",IF(BF280="Abu Dhabi",IF(G280&lt;18,'General Basis'!$C$39,IF(G280&lt;41,'General Basis'!$C$40,IF(G280&lt;60,'General Basis'!$C$41,IF(G280&lt;65,'General Basis'!$C$42,'General Basis'!$C$43)))),IF(G280&lt;11,'General Basis'!$B$39,IF(G280&lt;18,'General Basis'!$B$40,IF(G280&lt;26,'General Basis'!$B$41,IF(G280&lt;31,'General Basis'!$B$42,IF(G280&lt;36,'General Basis'!$B$43,IF(G280&lt;41,'General Basis'!$B$44,IF(G280&lt;46,'General Basis'!$B$45,IF(G280&lt;51,'General Basis'!$B$46,IF(G280&lt;56,'General Basis'!$B$47,IF(G280&lt;60,'General Basis'!$B$48,IF(G280&lt;65,'General Basis'!$B$49,'General Basis'!$B$50)))))))))))))</f>
        <v/>
      </c>
      <c r="BI280" s="744" t="str">
        <f t="shared" si="115"/>
        <v/>
      </c>
      <c r="BJ280" s="747" t="str">
        <f t="shared" si="122"/>
        <v/>
      </c>
      <c r="BK280" s="498" t="str">
        <f t="shared" si="116"/>
        <v/>
      </c>
      <c r="BL280" s="498" t="str">
        <f t="shared" si="117"/>
        <v/>
      </c>
    </row>
    <row r="281" spans="1:64" x14ac:dyDescent="0.25">
      <c r="A281" s="762">
        <f t="shared" si="118"/>
        <v>276</v>
      </c>
      <c r="B281" s="229"/>
      <c r="C281" s="223"/>
      <c r="D281" s="224"/>
      <c r="E281" s="225"/>
      <c r="F281" s="1036" t="str">
        <f t="shared" si="124"/>
        <v/>
      </c>
      <c r="G281" s="1037" t="str">
        <f t="shared" si="119"/>
        <v/>
      </c>
      <c r="H281" s="225"/>
      <c r="I281" s="1013"/>
      <c r="J281" s="1013"/>
      <c r="K281" s="1028"/>
      <c r="L281" s="1035" t="str">
        <f t="shared" si="123"/>
        <v/>
      </c>
      <c r="S281" s="498"/>
      <c r="AJ281" s="498"/>
      <c r="AM281" s="498">
        <f t="shared" si="104"/>
        <v>0</v>
      </c>
      <c r="AN281" s="498">
        <f t="shared" si="105"/>
        <v>0</v>
      </c>
      <c r="AO281" s="498">
        <f t="shared" si="106"/>
        <v>0</v>
      </c>
      <c r="AP281" s="498">
        <f t="shared" si="125"/>
        <v>0</v>
      </c>
      <c r="AQ281" s="498">
        <f t="shared" si="120"/>
        <v>0</v>
      </c>
      <c r="AU281" s="498">
        <f t="shared" si="107"/>
        <v>0</v>
      </c>
      <c r="AV281" s="498">
        <f t="shared" si="108"/>
        <v>0</v>
      </c>
      <c r="AW281" s="498">
        <f t="shared" si="109"/>
        <v>0</v>
      </c>
      <c r="AX281" s="498">
        <f t="shared" si="110"/>
        <v>0</v>
      </c>
      <c r="AY281" s="498">
        <f t="shared" si="111"/>
        <v>0</v>
      </c>
      <c r="BB281" s="498" t="str">
        <f t="shared" si="112"/>
        <v/>
      </c>
      <c r="BC281" s="743" t="str">
        <f t="shared" si="113"/>
        <v/>
      </c>
      <c r="BD281" s="743" t="str">
        <f t="shared" si="114"/>
        <v/>
      </c>
      <c r="BE281" s="743" t="str">
        <f>IF(D281="","",VLOOKUP(D281,'General Basis'!$J$39:$K$46,2,0))</f>
        <v/>
      </c>
      <c r="BF281" s="744" t="str">
        <f>IF(D281="","",VLOOKUP(D281,'General Basis'!$J$39:$L$46,3,0))</f>
        <v/>
      </c>
      <c r="BG281" s="744" t="str">
        <f t="shared" si="121"/>
        <v/>
      </c>
      <c r="BH281" s="744" t="str">
        <f>IF(G281="","",IF(BF281="Abu Dhabi",IF(G281&lt;18,'General Basis'!$C$39,IF(G281&lt;41,'General Basis'!$C$40,IF(G281&lt;60,'General Basis'!$C$41,IF(G281&lt;65,'General Basis'!$C$42,'General Basis'!$C$43)))),IF(G281&lt;11,'General Basis'!$B$39,IF(G281&lt;18,'General Basis'!$B$40,IF(G281&lt;26,'General Basis'!$B$41,IF(G281&lt;31,'General Basis'!$B$42,IF(G281&lt;36,'General Basis'!$B$43,IF(G281&lt;41,'General Basis'!$B$44,IF(G281&lt;46,'General Basis'!$B$45,IF(G281&lt;51,'General Basis'!$B$46,IF(G281&lt;56,'General Basis'!$B$47,IF(G281&lt;60,'General Basis'!$B$48,IF(G281&lt;65,'General Basis'!$B$49,'General Basis'!$B$50)))))))))))))</f>
        <v/>
      </c>
      <c r="BI281" s="744" t="str">
        <f t="shared" si="115"/>
        <v/>
      </c>
      <c r="BJ281" s="747" t="str">
        <f t="shared" si="122"/>
        <v/>
      </c>
      <c r="BK281" s="498" t="str">
        <f t="shared" si="116"/>
        <v/>
      </c>
      <c r="BL281" s="498" t="str">
        <f t="shared" si="117"/>
        <v/>
      </c>
    </row>
    <row r="282" spans="1:64" x14ac:dyDescent="0.25">
      <c r="A282" s="762">
        <f t="shared" si="118"/>
        <v>277</v>
      </c>
      <c r="B282" s="229"/>
      <c r="C282" s="223"/>
      <c r="D282" s="224"/>
      <c r="E282" s="225"/>
      <c r="F282" s="1036" t="str">
        <f t="shared" si="124"/>
        <v/>
      </c>
      <c r="G282" s="1037" t="str">
        <f t="shared" si="119"/>
        <v/>
      </c>
      <c r="H282" s="225"/>
      <c r="I282" s="1013"/>
      <c r="J282" s="1013"/>
      <c r="K282" s="1028"/>
      <c r="L282" s="1035" t="str">
        <f t="shared" si="123"/>
        <v/>
      </c>
      <c r="S282" s="498"/>
      <c r="AJ282" s="498"/>
      <c r="AM282" s="498">
        <f t="shared" si="104"/>
        <v>0</v>
      </c>
      <c r="AN282" s="498">
        <f t="shared" si="105"/>
        <v>0</v>
      </c>
      <c r="AO282" s="498">
        <f t="shared" si="106"/>
        <v>0</v>
      </c>
      <c r="AP282" s="498">
        <f t="shared" si="125"/>
        <v>0</v>
      </c>
      <c r="AQ282" s="498">
        <f t="shared" si="120"/>
        <v>0</v>
      </c>
      <c r="AU282" s="498">
        <f t="shared" si="107"/>
        <v>0</v>
      </c>
      <c r="AV282" s="498">
        <f t="shared" si="108"/>
        <v>0</v>
      </c>
      <c r="AW282" s="498">
        <f t="shared" si="109"/>
        <v>0</v>
      </c>
      <c r="AX282" s="498">
        <f t="shared" si="110"/>
        <v>0</v>
      </c>
      <c r="AY282" s="498">
        <f t="shared" si="111"/>
        <v>0</v>
      </c>
      <c r="BB282" s="498" t="str">
        <f t="shared" si="112"/>
        <v/>
      </c>
      <c r="BC282" s="743" t="str">
        <f t="shared" si="113"/>
        <v/>
      </c>
      <c r="BD282" s="743" t="str">
        <f t="shared" si="114"/>
        <v/>
      </c>
      <c r="BE282" s="743" t="str">
        <f>IF(D282="","",VLOOKUP(D282,'General Basis'!$J$39:$K$46,2,0))</f>
        <v/>
      </c>
      <c r="BF282" s="744" t="str">
        <f>IF(D282="","",VLOOKUP(D282,'General Basis'!$J$39:$L$46,3,0))</f>
        <v/>
      </c>
      <c r="BG282" s="744" t="str">
        <f t="shared" si="121"/>
        <v/>
      </c>
      <c r="BH282" s="744" t="str">
        <f>IF(G282="","",IF(BF282="Abu Dhabi",IF(G282&lt;18,'General Basis'!$C$39,IF(G282&lt;41,'General Basis'!$C$40,IF(G282&lt;60,'General Basis'!$C$41,IF(G282&lt;65,'General Basis'!$C$42,'General Basis'!$C$43)))),IF(G282&lt;11,'General Basis'!$B$39,IF(G282&lt;18,'General Basis'!$B$40,IF(G282&lt;26,'General Basis'!$B$41,IF(G282&lt;31,'General Basis'!$B$42,IF(G282&lt;36,'General Basis'!$B$43,IF(G282&lt;41,'General Basis'!$B$44,IF(G282&lt;46,'General Basis'!$B$45,IF(G282&lt;51,'General Basis'!$B$46,IF(G282&lt;56,'General Basis'!$B$47,IF(G282&lt;60,'General Basis'!$B$48,IF(G282&lt;65,'General Basis'!$B$49,'General Basis'!$B$50)))))))))))))</f>
        <v/>
      </c>
      <c r="BI282" s="744" t="str">
        <f t="shared" si="115"/>
        <v/>
      </c>
      <c r="BJ282" s="747" t="str">
        <f t="shared" si="122"/>
        <v/>
      </c>
      <c r="BK282" s="498" t="str">
        <f t="shared" si="116"/>
        <v/>
      </c>
      <c r="BL282" s="498" t="str">
        <f t="shared" si="117"/>
        <v/>
      </c>
    </row>
    <row r="283" spans="1:64" x14ac:dyDescent="0.25">
      <c r="A283" s="762">
        <f t="shared" si="118"/>
        <v>278</v>
      </c>
      <c r="B283" s="229"/>
      <c r="C283" s="223"/>
      <c r="D283" s="224"/>
      <c r="E283" s="225"/>
      <c r="F283" s="1036" t="str">
        <f t="shared" si="124"/>
        <v/>
      </c>
      <c r="G283" s="1037" t="str">
        <f t="shared" si="119"/>
        <v/>
      </c>
      <c r="H283" s="225"/>
      <c r="I283" s="1013"/>
      <c r="J283" s="1013"/>
      <c r="K283" s="1028"/>
      <c r="L283" s="1035" t="str">
        <f t="shared" si="123"/>
        <v/>
      </c>
      <c r="S283" s="498"/>
      <c r="AJ283" s="498"/>
      <c r="AM283" s="498">
        <f t="shared" si="104"/>
        <v>0</v>
      </c>
      <c r="AN283" s="498">
        <f t="shared" si="105"/>
        <v>0</v>
      </c>
      <c r="AO283" s="498">
        <f t="shared" si="106"/>
        <v>0</v>
      </c>
      <c r="AP283" s="498">
        <f t="shared" si="125"/>
        <v>0</v>
      </c>
      <c r="AQ283" s="498">
        <f t="shared" si="120"/>
        <v>0</v>
      </c>
      <c r="AU283" s="498">
        <f t="shared" si="107"/>
        <v>0</v>
      </c>
      <c r="AV283" s="498">
        <f t="shared" si="108"/>
        <v>0</v>
      </c>
      <c r="AW283" s="498">
        <f t="shared" si="109"/>
        <v>0</v>
      </c>
      <c r="AX283" s="498">
        <f t="shared" si="110"/>
        <v>0</v>
      </c>
      <c r="AY283" s="498">
        <f t="shared" si="111"/>
        <v>0</v>
      </c>
      <c r="BB283" s="498" t="str">
        <f t="shared" si="112"/>
        <v/>
      </c>
      <c r="BC283" s="743" t="str">
        <f t="shared" si="113"/>
        <v/>
      </c>
      <c r="BD283" s="743" t="str">
        <f t="shared" si="114"/>
        <v/>
      </c>
      <c r="BE283" s="743" t="str">
        <f>IF(D283="","",VLOOKUP(D283,'General Basis'!$J$39:$K$46,2,0))</f>
        <v/>
      </c>
      <c r="BF283" s="744" t="str">
        <f>IF(D283="","",VLOOKUP(D283,'General Basis'!$J$39:$L$46,3,0))</f>
        <v/>
      </c>
      <c r="BG283" s="744" t="str">
        <f t="shared" si="121"/>
        <v/>
      </c>
      <c r="BH283" s="744" t="str">
        <f>IF(G283="","",IF(BF283="Abu Dhabi",IF(G283&lt;18,'General Basis'!$C$39,IF(G283&lt;41,'General Basis'!$C$40,IF(G283&lt;60,'General Basis'!$C$41,IF(G283&lt;65,'General Basis'!$C$42,'General Basis'!$C$43)))),IF(G283&lt;11,'General Basis'!$B$39,IF(G283&lt;18,'General Basis'!$B$40,IF(G283&lt;26,'General Basis'!$B$41,IF(G283&lt;31,'General Basis'!$B$42,IF(G283&lt;36,'General Basis'!$B$43,IF(G283&lt;41,'General Basis'!$B$44,IF(G283&lt;46,'General Basis'!$B$45,IF(G283&lt;51,'General Basis'!$B$46,IF(G283&lt;56,'General Basis'!$B$47,IF(G283&lt;60,'General Basis'!$B$48,IF(G283&lt;65,'General Basis'!$B$49,'General Basis'!$B$50)))))))))))))</f>
        <v/>
      </c>
      <c r="BI283" s="744" t="str">
        <f t="shared" si="115"/>
        <v/>
      </c>
      <c r="BJ283" s="747" t="str">
        <f t="shared" si="122"/>
        <v/>
      </c>
      <c r="BK283" s="498" t="str">
        <f t="shared" si="116"/>
        <v/>
      </c>
      <c r="BL283" s="498" t="str">
        <f t="shared" si="117"/>
        <v/>
      </c>
    </row>
    <row r="284" spans="1:64" x14ac:dyDescent="0.25">
      <c r="A284" s="762">
        <f t="shared" si="118"/>
        <v>279</v>
      </c>
      <c r="B284" s="229"/>
      <c r="C284" s="223"/>
      <c r="D284" s="224"/>
      <c r="E284" s="225"/>
      <c r="F284" s="1036" t="str">
        <f t="shared" si="124"/>
        <v/>
      </c>
      <c r="G284" s="1037" t="str">
        <f t="shared" si="119"/>
        <v/>
      </c>
      <c r="H284" s="225"/>
      <c r="I284" s="1013"/>
      <c r="J284" s="1013"/>
      <c r="K284" s="1028"/>
      <c r="L284" s="1035" t="str">
        <f t="shared" si="123"/>
        <v/>
      </c>
      <c r="S284" s="498"/>
      <c r="AJ284" s="498"/>
      <c r="AM284" s="498">
        <f t="shared" si="104"/>
        <v>0</v>
      </c>
      <c r="AN284" s="498">
        <f t="shared" si="105"/>
        <v>0</v>
      </c>
      <c r="AO284" s="498">
        <f t="shared" si="106"/>
        <v>0</v>
      </c>
      <c r="AP284" s="498">
        <f t="shared" si="125"/>
        <v>0</v>
      </c>
      <c r="AQ284" s="498">
        <f t="shared" si="120"/>
        <v>0</v>
      </c>
      <c r="AU284" s="498">
        <f t="shared" si="107"/>
        <v>0</v>
      </c>
      <c r="AV284" s="498">
        <f t="shared" si="108"/>
        <v>0</v>
      </c>
      <c r="AW284" s="498">
        <f t="shared" si="109"/>
        <v>0</v>
      </c>
      <c r="AX284" s="498">
        <f t="shared" si="110"/>
        <v>0</v>
      </c>
      <c r="AY284" s="498">
        <f t="shared" si="111"/>
        <v>0</v>
      </c>
      <c r="BB284" s="498" t="str">
        <f t="shared" si="112"/>
        <v/>
      </c>
      <c r="BC284" s="743" t="str">
        <f t="shared" si="113"/>
        <v/>
      </c>
      <c r="BD284" s="743" t="str">
        <f t="shared" si="114"/>
        <v/>
      </c>
      <c r="BE284" s="743" t="str">
        <f>IF(D284="","",VLOOKUP(D284,'General Basis'!$J$39:$K$46,2,0))</f>
        <v/>
      </c>
      <c r="BF284" s="744" t="str">
        <f>IF(D284="","",VLOOKUP(D284,'General Basis'!$J$39:$L$46,3,0))</f>
        <v/>
      </c>
      <c r="BG284" s="744" t="str">
        <f t="shared" si="121"/>
        <v/>
      </c>
      <c r="BH284" s="744" t="str">
        <f>IF(G284="","",IF(BF284="Abu Dhabi",IF(G284&lt;18,'General Basis'!$C$39,IF(G284&lt;41,'General Basis'!$C$40,IF(G284&lt;60,'General Basis'!$C$41,IF(G284&lt;65,'General Basis'!$C$42,'General Basis'!$C$43)))),IF(G284&lt;11,'General Basis'!$B$39,IF(G284&lt;18,'General Basis'!$B$40,IF(G284&lt;26,'General Basis'!$B$41,IF(G284&lt;31,'General Basis'!$B$42,IF(G284&lt;36,'General Basis'!$B$43,IF(G284&lt;41,'General Basis'!$B$44,IF(G284&lt;46,'General Basis'!$B$45,IF(G284&lt;51,'General Basis'!$B$46,IF(G284&lt;56,'General Basis'!$B$47,IF(G284&lt;60,'General Basis'!$B$48,IF(G284&lt;65,'General Basis'!$B$49,'General Basis'!$B$50)))))))))))))</f>
        <v/>
      </c>
      <c r="BI284" s="744" t="str">
        <f t="shared" si="115"/>
        <v/>
      </c>
      <c r="BJ284" s="747" t="str">
        <f t="shared" si="122"/>
        <v/>
      </c>
      <c r="BK284" s="498" t="str">
        <f t="shared" si="116"/>
        <v/>
      </c>
      <c r="BL284" s="498" t="str">
        <f t="shared" si="117"/>
        <v/>
      </c>
    </row>
    <row r="285" spans="1:64" x14ac:dyDescent="0.25">
      <c r="A285" s="762">
        <f t="shared" si="118"/>
        <v>280</v>
      </c>
      <c r="B285" s="229"/>
      <c r="C285" s="223"/>
      <c r="D285" s="224"/>
      <c r="E285" s="225"/>
      <c r="F285" s="1036" t="str">
        <f t="shared" si="124"/>
        <v/>
      </c>
      <c r="G285" s="1037" t="str">
        <f t="shared" si="119"/>
        <v/>
      </c>
      <c r="H285" s="225"/>
      <c r="I285" s="1013"/>
      <c r="J285" s="1013"/>
      <c r="K285" s="1028"/>
      <c r="L285" s="1035" t="str">
        <f t="shared" si="123"/>
        <v/>
      </c>
      <c r="S285" s="498"/>
      <c r="AJ285" s="498"/>
      <c r="AM285" s="498">
        <f t="shared" si="104"/>
        <v>0</v>
      </c>
      <c r="AN285" s="498">
        <f t="shared" si="105"/>
        <v>0</v>
      </c>
      <c r="AO285" s="498">
        <f t="shared" si="106"/>
        <v>0</v>
      </c>
      <c r="AP285" s="498">
        <f t="shared" si="125"/>
        <v>0</v>
      </c>
      <c r="AQ285" s="498">
        <f t="shared" si="120"/>
        <v>0</v>
      </c>
      <c r="AU285" s="498">
        <f t="shared" si="107"/>
        <v>0</v>
      </c>
      <c r="AV285" s="498">
        <f t="shared" si="108"/>
        <v>0</v>
      </c>
      <c r="AW285" s="498">
        <f t="shared" si="109"/>
        <v>0</v>
      </c>
      <c r="AX285" s="498">
        <f t="shared" si="110"/>
        <v>0</v>
      </c>
      <c r="AY285" s="498">
        <f t="shared" si="111"/>
        <v>0</v>
      </c>
      <c r="BB285" s="498" t="str">
        <f t="shared" si="112"/>
        <v/>
      </c>
      <c r="BC285" s="743" t="str">
        <f t="shared" si="113"/>
        <v/>
      </c>
      <c r="BD285" s="743" t="str">
        <f t="shared" si="114"/>
        <v/>
      </c>
      <c r="BE285" s="743" t="str">
        <f>IF(D285="","",VLOOKUP(D285,'General Basis'!$J$39:$K$46,2,0))</f>
        <v/>
      </c>
      <c r="BF285" s="744" t="str">
        <f>IF(D285="","",VLOOKUP(D285,'General Basis'!$J$39:$L$46,3,0))</f>
        <v/>
      </c>
      <c r="BG285" s="744" t="str">
        <f t="shared" si="121"/>
        <v/>
      </c>
      <c r="BH285" s="744" t="str">
        <f>IF(G285="","",IF(BF285="Abu Dhabi",IF(G285&lt;18,'General Basis'!$C$39,IF(G285&lt;41,'General Basis'!$C$40,IF(G285&lt;60,'General Basis'!$C$41,IF(G285&lt;65,'General Basis'!$C$42,'General Basis'!$C$43)))),IF(G285&lt;11,'General Basis'!$B$39,IF(G285&lt;18,'General Basis'!$B$40,IF(G285&lt;26,'General Basis'!$B$41,IF(G285&lt;31,'General Basis'!$B$42,IF(G285&lt;36,'General Basis'!$B$43,IF(G285&lt;41,'General Basis'!$B$44,IF(G285&lt;46,'General Basis'!$B$45,IF(G285&lt;51,'General Basis'!$B$46,IF(G285&lt;56,'General Basis'!$B$47,IF(G285&lt;60,'General Basis'!$B$48,IF(G285&lt;65,'General Basis'!$B$49,'General Basis'!$B$50)))))))))))))</f>
        <v/>
      </c>
      <c r="BI285" s="744" t="str">
        <f t="shared" si="115"/>
        <v/>
      </c>
      <c r="BJ285" s="747" t="str">
        <f t="shared" si="122"/>
        <v/>
      </c>
      <c r="BK285" s="498" t="str">
        <f t="shared" si="116"/>
        <v/>
      </c>
      <c r="BL285" s="498" t="str">
        <f t="shared" si="117"/>
        <v/>
      </c>
    </row>
    <row r="286" spans="1:64" x14ac:dyDescent="0.25">
      <c r="A286" s="762">
        <f t="shared" si="118"/>
        <v>281</v>
      </c>
      <c r="B286" s="229"/>
      <c r="C286" s="223"/>
      <c r="D286" s="224"/>
      <c r="E286" s="225"/>
      <c r="F286" s="1036" t="str">
        <f t="shared" si="124"/>
        <v/>
      </c>
      <c r="G286" s="1037" t="str">
        <f t="shared" si="119"/>
        <v/>
      </c>
      <c r="H286" s="225"/>
      <c r="I286" s="1013"/>
      <c r="J286" s="1013"/>
      <c r="K286" s="1028"/>
      <c r="L286" s="1035" t="str">
        <f t="shared" si="123"/>
        <v/>
      </c>
      <c r="S286" s="498"/>
      <c r="AJ286" s="498"/>
      <c r="AM286" s="498">
        <f t="shared" si="104"/>
        <v>0</v>
      </c>
      <c r="AN286" s="498">
        <f t="shared" si="105"/>
        <v>0</v>
      </c>
      <c r="AO286" s="498">
        <f t="shared" si="106"/>
        <v>0</v>
      </c>
      <c r="AP286" s="498">
        <f t="shared" si="125"/>
        <v>0</v>
      </c>
      <c r="AQ286" s="498">
        <f t="shared" si="120"/>
        <v>0</v>
      </c>
      <c r="AU286" s="498">
        <f t="shared" si="107"/>
        <v>0</v>
      </c>
      <c r="AV286" s="498">
        <f t="shared" si="108"/>
        <v>0</v>
      </c>
      <c r="AW286" s="498">
        <f t="shared" si="109"/>
        <v>0</v>
      </c>
      <c r="AX286" s="498">
        <f t="shared" si="110"/>
        <v>0</v>
      </c>
      <c r="AY286" s="498">
        <f t="shared" si="111"/>
        <v>0</v>
      </c>
      <c r="BB286" s="498" t="str">
        <f t="shared" si="112"/>
        <v/>
      </c>
      <c r="BC286" s="743" t="str">
        <f t="shared" si="113"/>
        <v/>
      </c>
      <c r="BD286" s="743" t="str">
        <f t="shared" si="114"/>
        <v/>
      </c>
      <c r="BE286" s="743" t="str">
        <f>IF(D286="","",VLOOKUP(D286,'General Basis'!$J$39:$K$46,2,0))</f>
        <v/>
      </c>
      <c r="BF286" s="744" t="str">
        <f>IF(D286="","",VLOOKUP(D286,'General Basis'!$J$39:$L$46,3,0))</f>
        <v/>
      </c>
      <c r="BG286" s="744" t="str">
        <f t="shared" si="121"/>
        <v/>
      </c>
      <c r="BH286" s="744" t="str">
        <f>IF(G286="","",IF(BF286="Abu Dhabi",IF(G286&lt;18,'General Basis'!$C$39,IF(G286&lt;41,'General Basis'!$C$40,IF(G286&lt;60,'General Basis'!$C$41,IF(G286&lt;65,'General Basis'!$C$42,'General Basis'!$C$43)))),IF(G286&lt;11,'General Basis'!$B$39,IF(G286&lt;18,'General Basis'!$B$40,IF(G286&lt;26,'General Basis'!$B$41,IF(G286&lt;31,'General Basis'!$B$42,IF(G286&lt;36,'General Basis'!$B$43,IF(G286&lt;41,'General Basis'!$B$44,IF(G286&lt;46,'General Basis'!$B$45,IF(G286&lt;51,'General Basis'!$B$46,IF(G286&lt;56,'General Basis'!$B$47,IF(G286&lt;60,'General Basis'!$B$48,IF(G286&lt;65,'General Basis'!$B$49,'General Basis'!$B$50)))))))))))))</f>
        <v/>
      </c>
      <c r="BI286" s="744" t="str">
        <f t="shared" si="115"/>
        <v/>
      </c>
      <c r="BJ286" s="747" t="str">
        <f t="shared" si="122"/>
        <v/>
      </c>
      <c r="BK286" s="498" t="str">
        <f t="shared" si="116"/>
        <v/>
      </c>
      <c r="BL286" s="498" t="str">
        <f t="shared" si="117"/>
        <v/>
      </c>
    </row>
    <row r="287" spans="1:64" x14ac:dyDescent="0.25">
      <c r="A287" s="762">
        <f t="shared" si="118"/>
        <v>282</v>
      </c>
      <c r="B287" s="229"/>
      <c r="C287" s="223"/>
      <c r="D287" s="224"/>
      <c r="E287" s="225"/>
      <c r="F287" s="1036" t="str">
        <f t="shared" si="124"/>
        <v/>
      </c>
      <c r="G287" s="1037" t="str">
        <f t="shared" si="119"/>
        <v/>
      </c>
      <c r="H287" s="225"/>
      <c r="I287" s="1013"/>
      <c r="J287" s="1013"/>
      <c r="K287" s="1028"/>
      <c r="L287" s="1035" t="str">
        <f t="shared" si="123"/>
        <v/>
      </c>
      <c r="S287" s="498"/>
      <c r="AJ287" s="498"/>
      <c r="AM287" s="498">
        <f t="shared" si="104"/>
        <v>0</v>
      </c>
      <c r="AN287" s="498">
        <f t="shared" si="105"/>
        <v>0</v>
      </c>
      <c r="AO287" s="498">
        <f t="shared" si="106"/>
        <v>0</v>
      </c>
      <c r="AP287" s="498">
        <f t="shared" si="125"/>
        <v>0</v>
      </c>
      <c r="AQ287" s="498">
        <f t="shared" si="120"/>
        <v>0</v>
      </c>
      <c r="AU287" s="498">
        <f t="shared" si="107"/>
        <v>0</v>
      </c>
      <c r="AV287" s="498">
        <f t="shared" si="108"/>
        <v>0</v>
      </c>
      <c r="AW287" s="498">
        <f t="shared" si="109"/>
        <v>0</v>
      </c>
      <c r="AX287" s="498">
        <f t="shared" si="110"/>
        <v>0</v>
      </c>
      <c r="AY287" s="498">
        <f t="shared" si="111"/>
        <v>0</v>
      </c>
      <c r="BB287" s="498" t="str">
        <f t="shared" si="112"/>
        <v/>
      </c>
      <c r="BC287" s="743" t="str">
        <f t="shared" si="113"/>
        <v/>
      </c>
      <c r="BD287" s="743" t="str">
        <f t="shared" si="114"/>
        <v/>
      </c>
      <c r="BE287" s="743" t="str">
        <f>IF(D287="","",VLOOKUP(D287,'General Basis'!$J$39:$K$46,2,0))</f>
        <v/>
      </c>
      <c r="BF287" s="744" t="str">
        <f>IF(D287="","",VLOOKUP(D287,'General Basis'!$J$39:$L$46,3,0))</f>
        <v/>
      </c>
      <c r="BG287" s="744" t="str">
        <f t="shared" si="121"/>
        <v/>
      </c>
      <c r="BH287" s="744" t="str">
        <f>IF(G287="","",IF(BF287="Abu Dhabi",IF(G287&lt;18,'General Basis'!$C$39,IF(G287&lt;41,'General Basis'!$C$40,IF(G287&lt;60,'General Basis'!$C$41,IF(G287&lt;65,'General Basis'!$C$42,'General Basis'!$C$43)))),IF(G287&lt;11,'General Basis'!$B$39,IF(G287&lt;18,'General Basis'!$B$40,IF(G287&lt;26,'General Basis'!$B$41,IF(G287&lt;31,'General Basis'!$B$42,IF(G287&lt;36,'General Basis'!$B$43,IF(G287&lt;41,'General Basis'!$B$44,IF(G287&lt;46,'General Basis'!$B$45,IF(G287&lt;51,'General Basis'!$B$46,IF(G287&lt;56,'General Basis'!$B$47,IF(G287&lt;60,'General Basis'!$B$48,IF(G287&lt;65,'General Basis'!$B$49,'General Basis'!$B$50)))))))))))))</f>
        <v/>
      </c>
      <c r="BI287" s="744" t="str">
        <f t="shared" si="115"/>
        <v/>
      </c>
      <c r="BJ287" s="747" t="str">
        <f t="shared" si="122"/>
        <v/>
      </c>
      <c r="BK287" s="498" t="str">
        <f t="shared" si="116"/>
        <v/>
      </c>
      <c r="BL287" s="498" t="str">
        <f t="shared" si="117"/>
        <v/>
      </c>
    </row>
    <row r="288" spans="1:64" x14ac:dyDescent="0.25">
      <c r="A288" s="762">
        <f t="shared" si="118"/>
        <v>283</v>
      </c>
      <c r="B288" s="229"/>
      <c r="C288" s="223"/>
      <c r="D288" s="224"/>
      <c r="E288" s="225"/>
      <c r="F288" s="1036" t="str">
        <f t="shared" si="124"/>
        <v/>
      </c>
      <c r="G288" s="1037" t="str">
        <f t="shared" si="119"/>
        <v/>
      </c>
      <c r="H288" s="225"/>
      <c r="I288" s="1013"/>
      <c r="J288" s="1013"/>
      <c r="K288" s="1028"/>
      <c r="L288" s="1035" t="str">
        <f t="shared" si="123"/>
        <v/>
      </c>
      <c r="S288" s="498"/>
      <c r="AJ288" s="498"/>
      <c r="AM288" s="498">
        <f t="shared" si="104"/>
        <v>0</v>
      </c>
      <c r="AN288" s="498">
        <f t="shared" si="105"/>
        <v>0</v>
      </c>
      <c r="AO288" s="498">
        <f t="shared" si="106"/>
        <v>0</v>
      </c>
      <c r="AP288" s="498">
        <f t="shared" si="125"/>
        <v>0</v>
      </c>
      <c r="AQ288" s="498">
        <f t="shared" si="120"/>
        <v>0</v>
      </c>
      <c r="AU288" s="498">
        <f t="shared" si="107"/>
        <v>0</v>
      </c>
      <c r="AV288" s="498">
        <f t="shared" si="108"/>
        <v>0</v>
      </c>
      <c r="AW288" s="498">
        <f t="shared" si="109"/>
        <v>0</v>
      </c>
      <c r="AX288" s="498">
        <f t="shared" si="110"/>
        <v>0</v>
      </c>
      <c r="AY288" s="498">
        <f t="shared" si="111"/>
        <v>0</v>
      </c>
      <c r="BB288" s="498" t="str">
        <f t="shared" si="112"/>
        <v/>
      </c>
      <c r="BC288" s="743" t="str">
        <f t="shared" si="113"/>
        <v/>
      </c>
      <c r="BD288" s="743" t="str">
        <f t="shared" si="114"/>
        <v/>
      </c>
      <c r="BE288" s="743" t="str">
        <f>IF(D288="","",VLOOKUP(D288,'General Basis'!$J$39:$K$46,2,0))</f>
        <v/>
      </c>
      <c r="BF288" s="744" t="str">
        <f>IF(D288="","",VLOOKUP(D288,'General Basis'!$J$39:$L$46,3,0))</f>
        <v/>
      </c>
      <c r="BG288" s="744" t="str">
        <f t="shared" si="121"/>
        <v/>
      </c>
      <c r="BH288" s="744" t="str">
        <f>IF(G288="","",IF(BF288="Abu Dhabi",IF(G288&lt;18,'General Basis'!$C$39,IF(G288&lt;41,'General Basis'!$C$40,IF(G288&lt;60,'General Basis'!$C$41,IF(G288&lt;65,'General Basis'!$C$42,'General Basis'!$C$43)))),IF(G288&lt;11,'General Basis'!$B$39,IF(G288&lt;18,'General Basis'!$B$40,IF(G288&lt;26,'General Basis'!$B$41,IF(G288&lt;31,'General Basis'!$B$42,IF(G288&lt;36,'General Basis'!$B$43,IF(G288&lt;41,'General Basis'!$B$44,IF(G288&lt;46,'General Basis'!$B$45,IF(G288&lt;51,'General Basis'!$B$46,IF(G288&lt;56,'General Basis'!$B$47,IF(G288&lt;60,'General Basis'!$B$48,IF(G288&lt;65,'General Basis'!$B$49,'General Basis'!$B$50)))))))))))))</f>
        <v/>
      </c>
      <c r="BI288" s="744" t="str">
        <f t="shared" si="115"/>
        <v/>
      </c>
      <c r="BJ288" s="747" t="str">
        <f t="shared" si="122"/>
        <v/>
      </c>
      <c r="BK288" s="498" t="str">
        <f t="shared" si="116"/>
        <v/>
      </c>
      <c r="BL288" s="498" t="str">
        <f t="shared" si="117"/>
        <v/>
      </c>
    </row>
    <row r="289" spans="1:64" x14ac:dyDescent="0.25">
      <c r="A289" s="762">
        <f t="shared" si="118"/>
        <v>284</v>
      </c>
      <c r="B289" s="229"/>
      <c r="C289" s="223"/>
      <c r="D289" s="224"/>
      <c r="E289" s="225"/>
      <c r="F289" s="1036" t="str">
        <f t="shared" si="124"/>
        <v/>
      </c>
      <c r="G289" s="1037" t="str">
        <f t="shared" si="119"/>
        <v/>
      </c>
      <c r="H289" s="225"/>
      <c r="I289" s="1013"/>
      <c r="J289" s="1013"/>
      <c r="K289" s="1028"/>
      <c r="L289" s="1035" t="str">
        <f t="shared" si="123"/>
        <v/>
      </c>
      <c r="S289" s="498"/>
      <c r="AJ289" s="498"/>
      <c r="AM289" s="498">
        <f t="shared" si="104"/>
        <v>0</v>
      </c>
      <c r="AN289" s="498">
        <f t="shared" si="105"/>
        <v>0</v>
      </c>
      <c r="AO289" s="498">
        <f t="shared" si="106"/>
        <v>0</v>
      </c>
      <c r="AP289" s="498">
        <f t="shared" si="125"/>
        <v>0</v>
      </c>
      <c r="AQ289" s="498">
        <f t="shared" si="120"/>
        <v>0</v>
      </c>
      <c r="AU289" s="498">
        <f t="shared" si="107"/>
        <v>0</v>
      </c>
      <c r="AV289" s="498">
        <f t="shared" si="108"/>
        <v>0</v>
      </c>
      <c r="AW289" s="498">
        <f t="shared" si="109"/>
        <v>0</v>
      </c>
      <c r="AX289" s="498">
        <f t="shared" si="110"/>
        <v>0</v>
      </c>
      <c r="AY289" s="498">
        <f t="shared" si="111"/>
        <v>0</v>
      </c>
      <c r="BB289" s="498" t="str">
        <f t="shared" si="112"/>
        <v/>
      </c>
      <c r="BC289" s="743" t="str">
        <f t="shared" si="113"/>
        <v/>
      </c>
      <c r="BD289" s="743" t="str">
        <f t="shared" si="114"/>
        <v/>
      </c>
      <c r="BE289" s="743" t="str">
        <f>IF(D289="","",VLOOKUP(D289,'General Basis'!$J$39:$K$46,2,0))</f>
        <v/>
      </c>
      <c r="BF289" s="744" t="str">
        <f>IF(D289="","",VLOOKUP(D289,'General Basis'!$J$39:$L$46,3,0))</f>
        <v/>
      </c>
      <c r="BG289" s="744" t="str">
        <f t="shared" si="121"/>
        <v/>
      </c>
      <c r="BH289" s="744" t="str">
        <f>IF(G289="","",IF(BF289="Abu Dhabi",IF(G289&lt;18,'General Basis'!$C$39,IF(G289&lt;41,'General Basis'!$C$40,IF(G289&lt;60,'General Basis'!$C$41,IF(G289&lt;65,'General Basis'!$C$42,'General Basis'!$C$43)))),IF(G289&lt;11,'General Basis'!$B$39,IF(G289&lt;18,'General Basis'!$B$40,IF(G289&lt;26,'General Basis'!$B$41,IF(G289&lt;31,'General Basis'!$B$42,IF(G289&lt;36,'General Basis'!$B$43,IF(G289&lt;41,'General Basis'!$B$44,IF(G289&lt;46,'General Basis'!$B$45,IF(G289&lt;51,'General Basis'!$B$46,IF(G289&lt;56,'General Basis'!$B$47,IF(G289&lt;60,'General Basis'!$B$48,IF(G289&lt;65,'General Basis'!$B$49,'General Basis'!$B$50)))))))))))))</f>
        <v/>
      </c>
      <c r="BI289" s="744" t="str">
        <f t="shared" si="115"/>
        <v/>
      </c>
      <c r="BJ289" s="747" t="str">
        <f t="shared" si="122"/>
        <v/>
      </c>
      <c r="BK289" s="498" t="str">
        <f t="shared" si="116"/>
        <v/>
      </c>
      <c r="BL289" s="498" t="str">
        <f t="shared" si="117"/>
        <v/>
      </c>
    </row>
    <row r="290" spans="1:64" x14ac:dyDescent="0.25">
      <c r="A290" s="762">
        <f t="shared" si="118"/>
        <v>285</v>
      </c>
      <c r="B290" s="229"/>
      <c r="C290" s="223"/>
      <c r="D290" s="224"/>
      <c r="E290" s="225"/>
      <c r="F290" s="1036" t="str">
        <f t="shared" si="124"/>
        <v/>
      </c>
      <c r="G290" s="1037" t="str">
        <f t="shared" si="119"/>
        <v/>
      </c>
      <c r="H290" s="225"/>
      <c r="I290" s="1013"/>
      <c r="J290" s="1013"/>
      <c r="K290" s="1028"/>
      <c r="L290" s="1035" t="str">
        <f t="shared" si="123"/>
        <v/>
      </c>
      <c r="S290" s="498"/>
      <c r="AJ290" s="498"/>
      <c r="AM290" s="498">
        <f t="shared" si="104"/>
        <v>0</v>
      </c>
      <c r="AN290" s="498">
        <f t="shared" si="105"/>
        <v>0</v>
      </c>
      <c r="AO290" s="498">
        <f t="shared" si="106"/>
        <v>0</v>
      </c>
      <c r="AP290" s="498">
        <f t="shared" si="125"/>
        <v>0</v>
      </c>
      <c r="AQ290" s="498">
        <f t="shared" si="120"/>
        <v>0</v>
      </c>
      <c r="AU290" s="498">
        <f t="shared" si="107"/>
        <v>0</v>
      </c>
      <c r="AV290" s="498">
        <f t="shared" si="108"/>
        <v>0</v>
      </c>
      <c r="AW290" s="498">
        <f t="shared" si="109"/>
        <v>0</v>
      </c>
      <c r="AX290" s="498">
        <f t="shared" si="110"/>
        <v>0</v>
      </c>
      <c r="AY290" s="498">
        <f t="shared" si="111"/>
        <v>0</v>
      </c>
      <c r="BB290" s="498" t="str">
        <f t="shared" si="112"/>
        <v/>
      </c>
      <c r="BC290" s="743" t="str">
        <f t="shared" si="113"/>
        <v/>
      </c>
      <c r="BD290" s="743" t="str">
        <f t="shared" si="114"/>
        <v/>
      </c>
      <c r="BE290" s="743" t="str">
        <f>IF(D290="","",VLOOKUP(D290,'General Basis'!$J$39:$K$46,2,0))</f>
        <v/>
      </c>
      <c r="BF290" s="744" t="str">
        <f>IF(D290="","",VLOOKUP(D290,'General Basis'!$J$39:$L$46,3,0))</f>
        <v/>
      </c>
      <c r="BG290" s="744" t="str">
        <f t="shared" si="121"/>
        <v/>
      </c>
      <c r="BH290" s="744" t="str">
        <f>IF(G290="","",IF(BF290="Abu Dhabi",IF(G290&lt;18,'General Basis'!$C$39,IF(G290&lt;41,'General Basis'!$C$40,IF(G290&lt;60,'General Basis'!$C$41,IF(G290&lt;65,'General Basis'!$C$42,'General Basis'!$C$43)))),IF(G290&lt;11,'General Basis'!$B$39,IF(G290&lt;18,'General Basis'!$B$40,IF(G290&lt;26,'General Basis'!$B$41,IF(G290&lt;31,'General Basis'!$B$42,IF(G290&lt;36,'General Basis'!$B$43,IF(G290&lt;41,'General Basis'!$B$44,IF(G290&lt;46,'General Basis'!$B$45,IF(G290&lt;51,'General Basis'!$B$46,IF(G290&lt;56,'General Basis'!$B$47,IF(G290&lt;60,'General Basis'!$B$48,IF(G290&lt;65,'General Basis'!$B$49,'General Basis'!$B$50)))))))))))))</f>
        <v/>
      </c>
      <c r="BI290" s="744" t="str">
        <f t="shared" si="115"/>
        <v/>
      </c>
      <c r="BJ290" s="747" t="str">
        <f t="shared" si="122"/>
        <v/>
      </c>
      <c r="BK290" s="498" t="str">
        <f t="shared" si="116"/>
        <v/>
      </c>
      <c r="BL290" s="498" t="str">
        <f t="shared" si="117"/>
        <v/>
      </c>
    </row>
    <row r="291" spans="1:64" x14ac:dyDescent="0.25">
      <c r="A291" s="762">
        <f t="shared" si="118"/>
        <v>286</v>
      </c>
      <c r="B291" s="229"/>
      <c r="C291" s="223"/>
      <c r="D291" s="224"/>
      <c r="E291" s="225"/>
      <c r="F291" s="1036" t="str">
        <f t="shared" si="124"/>
        <v/>
      </c>
      <c r="G291" s="1037" t="str">
        <f t="shared" si="119"/>
        <v/>
      </c>
      <c r="H291" s="225"/>
      <c r="I291" s="1013"/>
      <c r="J291" s="1013"/>
      <c r="K291" s="1028"/>
      <c r="L291" s="1035" t="str">
        <f t="shared" si="123"/>
        <v/>
      </c>
      <c r="S291" s="498"/>
      <c r="AJ291" s="498"/>
      <c r="AM291" s="498">
        <f t="shared" si="104"/>
        <v>0</v>
      </c>
      <c r="AN291" s="498">
        <f t="shared" si="105"/>
        <v>0</v>
      </c>
      <c r="AO291" s="498">
        <f t="shared" si="106"/>
        <v>0</v>
      </c>
      <c r="AP291" s="498">
        <f t="shared" si="125"/>
        <v>0</v>
      </c>
      <c r="AQ291" s="498">
        <f t="shared" si="120"/>
        <v>0</v>
      </c>
      <c r="AU291" s="498">
        <f t="shared" si="107"/>
        <v>0</v>
      </c>
      <c r="AV291" s="498">
        <f t="shared" si="108"/>
        <v>0</v>
      </c>
      <c r="AW291" s="498">
        <f t="shared" si="109"/>
        <v>0</v>
      </c>
      <c r="AX291" s="498">
        <f t="shared" si="110"/>
        <v>0</v>
      </c>
      <c r="AY291" s="498">
        <f t="shared" si="111"/>
        <v>0</v>
      </c>
      <c r="BB291" s="498" t="str">
        <f t="shared" si="112"/>
        <v/>
      </c>
      <c r="BC291" s="743" t="str">
        <f t="shared" si="113"/>
        <v/>
      </c>
      <c r="BD291" s="743" t="str">
        <f t="shared" si="114"/>
        <v/>
      </c>
      <c r="BE291" s="743" t="str">
        <f>IF(D291="","",VLOOKUP(D291,'General Basis'!$J$39:$K$46,2,0))</f>
        <v/>
      </c>
      <c r="BF291" s="744" t="str">
        <f>IF(D291="","",VLOOKUP(D291,'General Basis'!$J$39:$L$46,3,0))</f>
        <v/>
      </c>
      <c r="BG291" s="744" t="str">
        <f t="shared" si="121"/>
        <v/>
      </c>
      <c r="BH291" s="744" t="str">
        <f>IF(G291="","",IF(BF291="Abu Dhabi",IF(G291&lt;18,'General Basis'!$C$39,IF(G291&lt;41,'General Basis'!$C$40,IF(G291&lt;60,'General Basis'!$C$41,IF(G291&lt;65,'General Basis'!$C$42,'General Basis'!$C$43)))),IF(G291&lt;11,'General Basis'!$B$39,IF(G291&lt;18,'General Basis'!$B$40,IF(G291&lt;26,'General Basis'!$B$41,IF(G291&lt;31,'General Basis'!$B$42,IF(G291&lt;36,'General Basis'!$B$43,IF(G291&lt;41,'General Basis'!$B$44,IF(G291&lt;46,'General Basis'!$B$45,IF(G291&lt;51,'General Basis'!$B$46,IF(G291&lt;56,'General Basis'!$B$47,IF(G291&lt;60,'General Basis'!$B$48,IF(G291&lt;65,'General Basis'!$B$49,'General Basis'!$B$50)))))))))))))</f>
        <v/>
      </c>
      <c r="BI291" s="744" t="str">
        <f t="shared" si="115"/>
        <v/>
      </c>
      <c r="BJ291" s="747" t="str">
        <f t="shared" si="122"/>
        <v/>
      </c>
      <c r="BK291" s="498" t="str">
        <f t="shared" si="116"/>
        <v/>
      </c>
      <c r="BL291" s="498" t="str">
        <f t="shared" si="117"/>
        <v/>
      </c>
    </row>
    <row r="292" spans="1:64" x14ac:dyDescent="0.25">
      <c r="A292" s="762">
        <f t="shared" si="118"/>
        <v>287</v>
      </c>
      <c r="B292" s="229"/>
      <c r="C292" s="223"/>
      <c r="D292" s="224"/>
      <c r="E292" s="225"/>
      <c r="F292" s="1036" t="str">
        <f t="shared" si="124"/>
        <v/>
      </c>
      <c r="G292" s="1037" t="str">
        <f t="shared" si="119"/>
        <v/>
      </c>
      <c r="H292" s="225"/>
      <c r="I292" s="1013"/>
      <c r="J292" s="1013"/>
      <c r="K292" s="1028"/>
      <c r="L292" s="1035" t="str">
        <f t="shared" si="123"/>
        <v/>
      </c>
      <c r="S292" s="498"/>
      <c r="AJ292" s="498"/>
      <c r="AM292" s="498">
        <f t="shared" si="104"/>
        <v>0</v>
      </c>
      <c r="AN292" s="498">
        <f t="shared" si="105"/>
        <v>0</v>
      </c>
      <c r="AO292" s="498">
        <f t="shared" si="106"/>
        <v>0</v>
      </c>
      <c r="AP292" s="498">
        <f t="shared" si="125"/>
        <v>0</v>
      </c>
      <c r="AQ292" s="498">
        <f t="shared" si="120"/>
        <v>0</v>
      </c>
      <c r="AU292" s="498">
        <f t="shared" si="107"/>
        <v>0</v>
      </c>
      <c r="AV292" s="498">
        <f t="shared" si="108"/>
        <v>0</v>
      </c>
      <c r="AW292" s="498">
        <f t="shared" si="109"/>
        <v>0</v>
      </c>
      <c r="AX292" s="498">
        <f t="shared" si="110"/>
        <v>0</v>
      </c>
      <c r="AY292" s="498">
        <f t="shared" si="111"/>
        <v>0</v>
      </c>
      <c r="BB292" s="498" t="str">
        <f t="shared" si="112"/>
        <v/>
      </c>
      <c r="BC292" s="743" t="str">
        <f t="shared" si="113"/>
        <v/>
      </c>
      <c r="BD292" s="743" t="str">
        <f t="shared" si="114"/>
        <v/>
      </c>
      <c r="BE292" s="743" t="str">
        <f>IF(D292="","",VLOOKUP(D292,'General Basis'!$J$39:$K$46,2,0))</f>
        <v/>
      </c>
      <c r="BF292" s="744" t="str">
        <f>IF(D292="","",VLOOKUP(D292,'General Basis'!$J$39:$L$46,3,0))</f>
        <v/>
      </c>
      <c r="BG292" s="744" t="str">
        <f t="shared" si="121"/>
        <v/>
      </c>
      <c r="BH292" s="744" t="str">
        <f>IF(G292="","",IF(BF292="Abu Dhabi",IF(G292&lt;18,'General Basis'!$C$39,IF(G292&lt;41,'General Basis'!$C$40,IF(G292&lt;60,'General Basis'!$C$41,IF(G292&lt;65,'General Basis'!$C$42,'General Basis'!$C$43)))),IF(G292&lt;11,'General Basis'!$B$39,IF(G292&lt;18,'General Basis'!$B$40,IF(G292&lt;26,'General Basis'!$B$41,IF(G292&lt;31,'General Basis'!$B$42,IF(G292&lt;36,'General Basis'!$B$43,IF(G292&lt;41,'General Basis'!$B$44,IF(G292&lt;46,'General Basis'!$B$45,IF(G292&lt;51,'General Basis'!$B$46,IF(G292&lt;56,'General Basis'!$B$47,IF(G292&lt;60,'General Basis'!$B$48,IF(G292&lt;65,'General Basis'!$B$49,'General Basis'!$B$50)))))))))))))</f>
        <v/>
      </c>
      <c r="BI292" s="744" t="str">
        <f t="shared" si="115"/>
        <v/>
      </c>
      <c r="BJ292" s="747" t="str">
        <f t="shared" si="122"/>
        <v/>
      </c>
      <c r="BK292" s="498" t="str">
        <f t="shared" si="116"/>
        <v/>
      </c>
      <c r="BL292" s="498" t="str">
        <f t="shared" si="117"/>
        <v/>
      </c>
    </row>
    <row r="293" spans="1:64" x14ac:dyDescent="0.25">
      <c r="A293" s="762">
        <f t="shared" si="118"/>
        <v>288</v>
      </c>
      <c r="B293" s="229"/>
      <c r="C293" s="223"/>
      <c r="D293" s="224"/>
      <c r="E293" s="225"/>
      <c r="F293" s="1036" t="str">
        <f t="shared" si="124"/>
        <v/>
      </c>
      <c r="G293" s="1037" t="str">
        <f t="shared" si="119"/>
        <v/>
      </c>
      <c r="H293" s="225"/>
      <c r="I293" s="1013"/>
      <c r="J293" s="1013"/>
      <c r="K293" s="1028"/>
      <c r="L293" s="1035" t="str">
        <f t="shared" si="123"/>
        <v/>
      </c>
      <c r="S293" s="498"/>
      <c r="AJ293" s="498"/>
      <c r="AM293" s="498">
        <f t="shared" si="104"/>
        <v>0</v>
      </c>
      <c r="AN293" s="498">
        <f t="shared" si="105"/>
        <v>0</v>
      </c>
      <c r="AO293" s="498">
        <f t="shared" si="106"/>
        <v>0</v>
      </c>
      <c r="AP293" s="498">
        <f t="shared" si="125"/>
        <v>0</v>
      </c>
      <c r="AQ293" s="498">
        <f t="shared" si="120"/>
        <v>0</v>
      </c>
      <c r="AU293" s="498">
        <f t="shared" si="107"/>
        <v>0</v>
      </c>
      <c r="AV293" s="498">
        <f t="shared" si="108"/>
        <v>0</v>
      </c>
      <c r="AW293" s="498">
        <f t="shared" si="109"/>
        <v>0</v>
      </c>
      <c r="AX293" s="498">
        <f t="shared" si="110"/>
        <v>0</v>
      </c>
      <c r="AY293" s="498">
        <f t="shared" si="111"/>
        <v>0</v>
      </c>
      <c r="BB293" s="498" t="str">
        <f t="shared" si="112"/>
        <v/>
      </c>
      <c r="BC293" s="743" t="str">
        <f t="shared" si="113"/>
        <v/>
      </c>
      <c r="BD293" s="743" t="str">
        <f t="shared" si="114"/>
        <v/>
      </c>
      <c r="BE293" s="743" t="str">
        <f>IF(D293="","",VLOOKUP(D293,'General Basis'!$J$39:$K$46,2,0))</f>
        <v/>
      </c>
      <c r="BF293" s="744" t="str">
        <f>IF(D293="","",VLOOKUP(D293,'General Basis'!$J$39:$L$46,3,0))</f>
        <v/>
      </c>
      <c r="BG293" s="744" t="str">
        <f t="shared" si="121"/>
        <v/>
      </c>
      <c r="BH293" s="744" t="str">
        <f>IF(G293="","",IF(BF293="Abu Dhabi",IF(G293&lt;18,'General Basis'!$C$39,IF(G293&lt;41,'General Basis'!$C$40,IF(G293&lt;60,'General Basis'!$C$41,IF(G293&lt;65,'General Basis'!$C$42,'General Basis'!$C$43)))),IF(G293&lt;11,'General Basis'!$B$39,IF(G293&lt;18,'General Basis'!$B$40,IF(G293&lt;26,'General Basis'!$B$41,IF(G293&lt;31,'General Basis'!$B$42,IF(G293&lt;36,'General Basis'!$B$43,IF(G293&lt;41,'General Basis'!$B$44,IF(G293&lt;46,'General Basis'!$B$45,IF(G293&lt;51,'General Basis'!$B$46,IF(G293&lt;56,'General Basis'!$B$47,IF(G293&lt;60,'General Basis'!$B$48,IF(G293&lt;65,'General Basis'!$B$49,'General Basis'!$B$50)))))))))))))</f>
        <v/>
      </c>
      <c r="BI293" s="744" t="str">
        <f t="shared" si="115"/>
        <v/>
      </c>
      <c r="BJ293" s="747" t="str">
        <f t="shared" si="122"/>
        <v/>
      </c>
      <c r="BK293" s="498" t="str">
        <f t="shared" si="116"/>
        <v/>
      </c>
      <c r="BL293" s="498" t="str">
        <f t="shared" si="117"/>
        <v/>
      </c>
    </row>
    <row r="294" spans="1:64" x14ac:dyDescent="0.25">
      <c r="A294" s="762">
        <f t="shared" si="118"/>
        <v>289</v>
      </c>
      <c r="B294" s="229"/>
      <c r="C294" s="223"/>
      <c r="D294" s="224"/>
      <c r="E294" s="225"/>
      <c r="F294" s="1036" t="str">
        <f t="shared" si="124"/>
        <v/>
      </c>
      <c r="G294" s="1037" t="str">
        <f t="shared" si="119"/>
        <v/>
      </c>
      <c r="H294" s="225"/>
      <c r="I294" s="1013"/>
      <c r="J294" s="1013"/>
      <c r="K294" s="1028"/>
      <c r="L294" s="1035" t="str">
        <f t="shared" si="123"/>
        <v/>
      </c>
      <c r="S294" s="498"/>
      <c r="AJ294" s="498"/>
      <c r="AM294" s="498">
        <f t="shared" si="104"/>
        <v>0</v>
      </c>
      <c r="AN294" s="498">
        <f t="shared" si="105"/>
        <v>0</v>
      </c>
      <c r="AO294" s="498">
        <f t="shared" si="106"/>
        <v>0</v>
      </c>
      <c r="AP294" s="498">
        <f t="shared" si="125"/>
        <v>0</v>
      </c>
      <c r="AQ294" s="498">
        <f t="shared" si="120"/>
        <v>0</v>
      </c>
      <c r="AU294" s="498">
        <f t="shared" si="107"/>
        <v>0</v>
      </c>
      <c r="AV294" s="498">
        <f t="shared" si="108"/>
        <v>0</v>
      </c>
      <c r="AW294" s="498">
        <f t="shared" si="109"/>
        <v>0</v>
      </c>
      <c r="AX294" s="498">
        <f t="shared" si="110"/>
        <v>0</v>
      </c>
      <c r="AY294" s="498">
        <f t="shared" si="111"/>
        <v>0</v>
      </c>
      <c r="BB294" s="498" t="str">
        <f t="shared" si="112"/>
        <v/>
      </c>
      <c r="BC294" s="743" t="str">
        <f t="shared" si="113"/>
        <v/>
      </c>
      <c r="BD294" s="743" t="str">
        <f t="shared" si="114"/>
        <v/>
      </c>
      <c r="BE294" s="743" t="str">
        <f>IF(D294="","",VLOOKUP(D294,'General Basis'!$J$39:$K$46,2,0))</f>
        <v/>
      </c>
      <c r="BF294" s="744" t="str">
        <f>IF(D294="","",VLOOKUP(D294,'General Basis'!$J$39:$L$46,3,0))</f>
        <v/>
      </c>
      <c r="BG294" s="744" t="str">
        <f t="shared" si="121"/>
        <v/>
      </c>
      <c r="BH294" s="744" t="str">
        <f>IF(G294="","",IF(BF294="Abu Dhabi",IF(G294&lt;18,'General Basis'!$C$39,IF(G294&lt;41,'General Basis'!$C$40,IF(G294&lt;60,'General Basis'!$C$41,IF(G294&lt;65,'General Basis'!$C$42,'General Basis'!$C$43)))),IF(G294&lt;11,'General Basis'!$B$39,IF(G294&lt;18,'General Basis'!$B$40,IF(G294&lt;26,'General Basis'!$B$41,IF(G294&lt;31,'General Basis'!$B$42,IF(G294&lt;36,'General Basis'!$B$43,IF(G294&lt;41,'General Basis'!$B$44,IF(G294&lt;46,'General Basis'!$B$45,IF(G294&lt;51,'General Basis'!$B$46,IF(G294&lt;56,'General Basis'!$B$47,IF(G294&lt;60,'General Basis'!$B$48,IF(G294&lt;65,'General Basis'!$B$49,'General Basis'!$B$50)))))))))))))</f>
        <v/>
      </c>
      <c r="BI294" s="744" t="str">
        <f t="shared" si="115"/>
        <v/>
      </c>
      <c r="BJ294" s="747" t="str">
        <f t="shared" si="122"/>
        <v/>
      </c>
      <c r="BK294" s="498" t="str">
        <f t="shared" si="116"/>
        <v/>
      </c>
      <c r="BL294" s="498" t="str">
        <f t="shared" si="117"/>
        <v/>
      </c>
    </row>
    <row r="295" spans="1:64" x14ac:dyDescent="0.25">
      <c r="A295" s="762">
        <f t="shared" si="118"/>
        <v>290</v>
      </c>
      <c r="B295" s="229"/>
      <c r="C295" s="223"/>
      <c r="D295" s="224"/>
      <c r="E295" s="225"/>
      <c r="F295" s="1036" t="str">
        <f t="shared" si="124"/>
        <v/>
      </c>
      <c r="G295" s="1037" t="str">
        <f t="shared" si="119"/>
        <v/>
      </c>
      <c r="H295" s="225"/>
      <c r="I295" s="1013"/>
      <c r="J295" s="1013"/>
      <c r="K295" s="1028"/>
      <c r="L295" s="1035" t="str">
        <f t="shared" si="123"/>
        <v/>
      </c>
      <c r="S295" s="498"/>
      <c r="AJ295" s="498"/>
      <c r="AM295" s="498">
        <f t="shared" si="104"/>
        <v>0</v>
      </c>
      <c r="AN295" s="498">
        <f t="shared" si="105"/>
        <v>0</v>
      </c>
      <c r="AO295" s="498">
        <f t="shared" si="106"/>
        <v>0</v>
      </c>
      <c r="AP295" s="498">
        <f t="shared" si="125"/>
        <v>0</v>
      </c>
      <c r="AQ295" s="498">
        <f t="shared" si="120"/>
        <v>0</v>
      </c>
      <c r="AU295" s="498">
        <f t="shared" si="107"/>
        <v>0</v>
      </c>
      <c r="AV295" s="498">
        <f t="shared" si="108"/>
        <v>0</v>
      </c>
      <c r="AW295" s="498">
        <f t="shared" si="109"/>
        <v>0</v>
      </c>
      <c r="AX295" s="498">
        <f t="shared" si="110"/>
        <v>0</v>
      </c>
      <c r="AY295" s="498">
        <f t="shared" si="111"/>
        <v>0</v>
      </c>
      <c r="BB295" s="498" t="str">
        <f t="shared" si="112"/>
        <v/>
      </c>
      <c r="BC295" s="743" t="str">
        <f t="shared" si="113"/>
        <v/>
      </c>
      <c r="BD295" s="743" t="str">
        <f t="shared" si="114"/>
        <v/>
      </c>
      <c r="BE295" s="743" t="str">
        <f>IF(D295="","",VLOOKUP(D295,'General Basis'!$J$39:$K$46,2,0))</f>
        <v/>
      </c>
      <c r="BF295" s="744" t="str">
        <f>IF(D295="","",VLOOKUP(D295,'General Basis'!$J$39:$L$46,3,0))</f>
        <v/>
      </c>
      <c r="BG295" s="744" t="str">
        <f t="shared" si="121"/>
        <v/>
      </c>
      <c r="BH295" s="744" t="str">
        <f>IF(G295="","",IF(BF295="Abu Dhabi",IF(G295&lt;18,'General Basis'!$C$39,IF(G295&lt;41,'General Basis'!$C$40,IF(G295&lt;60,'General Basis'!$C$41,IF(G295&lt;65,'General Basis'!$C$42,'General Basis'!$C$43)))),IF(G295&lt;11,'General Basis'!$B$39,IF(G295&lt;18,'General Basis'!$B$40,IF(G295&lt;26,'General Basis'!$B$41,IF(G295&lt;31,'General Basis'!$B$42,IF(G295&lt;36,'General Basis'!$B$43,IF(G295&lt;41,'General Basis'!$B$44,IF(G295&lt;46,'General Basis'!$B$45,IF(G295&lt;51,'General Basis'!$B$46,IF(G295&lt;56,'General Basis'!$B$47,IF(G295&lt;60,'General Basis'!$B$48,IF(G295&lt;65,'General Basis'!$B$49,'General Basis'!$B$50)))))))))))))</f>
        <v/>
      </c>
      <c r="BI295" s="744" t="str">
        <f t="shared" si="115"/>
        <v/>
      </c>
      <c r="BJ295" s="747" t="str">
        <f t="shared" si="122"/>
        <v/>
      </c>
      <c r="BK295" s="498" t="str">
        <f t="shared" si="116"/>
        <v/>
      </c>
      <c r="BL295" s="498" t="str">
        <f t="shared" si="117"/>
        <v/>
      </c>
    </row>
    <row r="296" spans="1:64" x14ac:dyDescent="0.25">
      <c r="A296" s="762">
        <f t="shared" si="118"/>
        <v>291</v>
      </c>
      <c r="B296" s="229"/>
      <c r="C296" s="223"/>
      <c r="D296" s="224"/>
      <c r="E296" s="225"/>
      <c r="F296" s="1036" t="str">
        <f t="shared" si="124"/>
        <v/>
      </c>
      <c r="G296" s="1037" t="str">
        <f t="shared" si="119"/>
        <v/>
      </c>
      <c r="H296" s="225"/>
      <c r="I296" s="1013"/>
      <c r="J296" s="1013"/>
      <c r="K296" s="1028"/>
      <c r="L296" s="1035" t="str">
        <f t="shared" si="123"/>
        <v/>
      </c>
      <c r="S296" s="498"/>
      <c r="AJ296" s="498"/>
      <c r="AM296" s="498">
        <f t="shared" si="104"/>
        <v>0</v>
      </c>
      <c r="AN296" s="498">
        <f t="shared" si="105"/>
        <v>0</v>
      </c>
      <c r="AO296" s="498">
        <f t="shared" si="106"/>
        <v>0</v>
      </c>
      <c r="AP296" s="498">
        <f t="shared" si="125"/>
        <v>0</v>
      </c>
      <c r="AQ296" s="498">
        <f t="shared" si="120"/>
        <v>0</v>
      </c>
      <c r="AU296" s="498">
        <f t="shared" si="107"/>
        <v>0</v>
      </c>
      <c r="AV296" s="498">
        <f t="shared" si="108"/>
        <v>0</v>
      </c>
      <c r="AW296" s="498">
        <f t="shared" si="109"/>
        <v>0</v>
      </c>
      <c r="AX296" s="498">
        <f t="shared" si="110"/>
        <v>0</v>
      </c>
      <c r="AY296" s="498">
        <f t="shared" si="111"/>
        <v>0</v>
      </c>
      <c r="BB296" s="498" t="str">
        <f t="shared" si="112"/>
        <v/>
      </c>
      <c r="BC296" s="743" t="str">
        <f t="shared" si="113"/>
        <v/>
      </c>
      <c r="BD296" s="743" t="str">
        <f t="shared" si="114"/>
        <v/>
      </c>
      <c r="BE296" s="743" t="str">
        <f>IF(D296="","",VLOOKUP(D296,'General Basis'!$J$39:$K$46,2,0))</f>
        <v/>
      </c>
      <c r="BF296" s="744" t="str">
        <f>IF(D296="","",VLOOKUP(D296,'General Basis'!$J$39:$L$46,3,0))</f>
        <v/>
      </c>
      <c r="BG296" s="744" t="str">
        <f t="shared" si="121"/>
        <v/>
      </c>
      <c r="BH296" s="744" t="str">
        <f>IF(G296="","",IF(BF296="Abu Dhabi",IF(G296&lt;18,'General Basis'!$C$39,IF(G296&lt;41,'General Basis'!$C$40,IF(G296&lt;60,'General Basis'!$C$41,IF(G296&lt;65,'General Basis'!$C$42,'General Basis'!$C$43)))),IF(G296&lt;11,'General Basis'!$B$39,IF(G296&lt;18,'General Basis'!$B$40,IF(G296&lt;26,'General Basis'!$B$41,IF(G296&lt;31,'General Basis'!$B$42,IF(G296&lt;36,'General Basis'!$B$43,IF(G296&lt;41,'General Basis'!$B$44,IF(G296&lt;46,'General Basis'!$B$45,IF(G296&lt;51,'General Basis'!$B$46,IF(G296&lt;56,'General Basis'!$B$47,IF(G296&lt;60,'General Basis'!$B$48,IF(G296&lt;65,'General Basis'!$B$49,'General Basis'!$B$50)))))))))))))</f>
        <v/>
      </c>
      <c r="BI296" s="744" t="str">
        <f t="shared" si="115"/>
        <v/>
      </c>
      <c r="BJ296" s="747" t="str">
        <f t="shared" si="122"/>
        <v/>
      </c>
      <c r="BK296" s="498" t="str">
        <f t="shared" si="116"/>
        <v/>
      </c>
      <c r="BL296" s="498" t="str">
        <f t="shared" si="117"/>
        <v/>
      </c>
    </row>
    <row r="297" spans="1:64" x14ac:dyDescent="0.25">
      <c r="A297" s="762">
        <f t="shared" si="118"/>
        <v>292</v>
      </c>
      <c r="B297" s="229"/>
      <c r="C297" s="223"/>
      <c r="D297" s="224"/>
      <c r="E297" s="225"/>
      <c r="F297" s="1036" t="str">
        <f t="shared" si="124"/>
        <v/>
      </c>
      <c r="G297" s="1037" t="str">
        <f t="shared" si="119"/>
        <v/>
      </c>
      <c r="H297" s="225"/>
      <c r="I297" s="1013"/>
      <c r="J297" s="1013"/>
      <c r="K297" s="1028"/>
      <c r="L297" s="1035" t="str">
        <f t="shared" si="123"/>
        <v/>
      </c>
      <c r="S297" s="498"/>
      <c r="AJ297" s="498"/>
      <c r="AM297" s="498">
        <f t="shared" si="104"/>
        <v>0</v>
      </c>
      <c r="AN297" s="498">
        <f t="shared" si="105"/>
        <v>0</v>
      </c>
      <c r="AO297" s="498">
        <f t="shared" si="106"/>
        <v>0</v>
      </c>
      <c r="AP297" s="498">
        <f t="shared" si="125"/>
        <v>0</v>
      </c>
      <c r="AQ297" s="498">
        <f t="shared" si="120"/>
        <v>0</v>
      </c>
      <c r="AU297" s="498">
        <f t="shared" si="107"/>
        <v>0</v>
      </c>
      <c r="AV297" s="498">
        <f t="shared" si="108"/>
        <v>0</v>
      </c>
      <c r="AW297" s="498">
        <f t="shared" si="109"/>
        <v>0</v>
      </c>
      <c r="AX297" s="498">
        <f t="shared" si="110"/>
        <v>0</v>
      </c>
      <c r="AY297" s="498">
        <f t="shared" si="111"/>
        <v>0</v>
      </c>
      <c r="BB297" s="498" t="str">
        <f t="shared" si="112"/>
        <v/>
      </c>
      <c r="BC297" s="743" t="str">
        <f t="shared" si="113"/>
        <v/>
      </c>
      <c r="BD297" s="743" t="str">
        <f t="shared" si="114"/>
        <v/>
      </c>
      <c r="BE297" s="743" t="str">
        <f>IF(D297="","",VLOOKUP(D297,'General Basis'!$J$39:$K$46,2,0))</f>
        <v/>
      </c>
      <c r="BF297" s="744" t="str">
        <f>IF(D297="","",VLOOKUP(D297,'General Basis'!$J$39:$L$46,3,0))</f>
        <v/>
      </c>
      <c r="BG297" s="744" t="str">
        <f t="shared" si="121"/>
        <v/>
      </c>
      <c r="BH297" s="744" t="str">
        <f>IF(G297="","",IF(BF297="Abu Dhabi",IF(G297&lt;18,'General Basis'!$C$39,IF(G297&lt;41,'General Basis'!$C$40,IF(G297&lt;60,'General Basis'!$C$41,IF(G297&lt;65,'General Basis'!$C$42,'General Basis'!$C$43)))),IF(G297&lt;11,'General Basis'!$B$39,IF(G297&lt;18,'General Basis'!$B$40,IF(G297&lt;26,'General Basis'!$B$41,IF(G297&lt;31,'General Basis'!$B$42,IF(G297&lt;36,'General Basis'!$B$43,IF(G297&lt;41,'General Basis'!$B$44,IF(G297&lt;46,'General Basis'!$B$45,IF(G297&lt;51,'General Basis'!$B$46,IF(G297&lt;56,'General Basis'!$B$47,IF(G297&lt;60,'General Basis'!$B$48,IF(G297&lt;65,'General Basis'!$B$49,'General Basis'!$B$50)))))))))))))</f>
        <v/>
      </c>
      <c r="BI297" s="744" t="str">
        <f t="shared" si="115"/>
        <v/>
      </c>
      <c r="BJ297" s="747" t="str">
        <f t="shared" si="122"/>
        <v/>
      </c>
      <c r="BK297" s="498" t="str">
        <f t="shared" si="116"/>
        <v/>
      </c>
      <c r="BL297" s="498" t="str">
        <f t="shared" si="117"/>
        <v/>
      </c>
    </row>
    <row r="298" spans="1:64" x14ac:dyDescent="0.25">
      <c r="A298" s="762">
        <f t="shared" si="118"/>
        <v>293</v>
      </c>
      <c r="B298" s="229"/>
      <c r="C298" s="223"/>
      <c r="D298" s="224"/>
      <c r="E298" s="225"/>
      <c r="F298" s="1036" t="str">
        <f t="shared" si="124"/>
        <v/>
      </c>
      <c r="G298" s="1037" t="str">
        <f t="shared" si="119"/>
        <v/>
      </c>
      <c r="H298" s="225"/>
      <c r="I298" s="1013"/>
      <c r="J298" s="1013"/>
      <c r="K298" s="1028"/>
      <c r="L298" s="1035" t="str">
        <f t="shared" si="123"/>
        <v/>
      </c>
      <c r="S298" s="498"/>
      <c r="AJ298" s="498"/>
      <c r="AM298" s="498">
        <f t="shared" si="104"/>
        <v>0</v>
      </c>
      <c r="AN298" s="498">
        <f t="shared" si="105"/>
        <v>0</v>
      </c>
      <c r="AO298" s="498">
        <f t="shared" si="106"/>
        <v>0</v>
      </c>
      <c r="AP298" s="498">
        <f t="shared" si="125"/>
        <v>0</v>
      </c>
      <c r="AQ298" s="498">
        <f t="shared" si="120"/>
        <v>0</v>
      </c>
      <c r="AU298" s="498">
        <f t="shared" si="107"/>
        <v>0</v>
      </c>
      <c r="AV298" s="498">
        <f t="shared" si="108"/>
        <v>0</v>
      </c>
      <c r="AW298" s="498">
        <f t="shared" si="109"/>
        <v>0</v>
      </c>
      <c r="AX298" s="498">
        <f t="shared" si="110"/>
        <v>0</v>
      </c>
      <c r="AY298" s="498">
        <f t="shared" si="111"/>
        <v>0</v>
      </c>
      <c r="BB298" s="498" t="str">
        <f t="shared" si="112"/>
        <v/>
      </c>
      <c r="BC298" s="743" t="str">
        <f t="shared" si="113"/>
        <v/>
      </c>
      <c r="BD298" s="743" t="str">
        <f t="shared" si="114"/>
        <v/>
      </c>
      <c r="BE298" s="743" t="str">
        <f>IF(D298="","",VLOOKUP(D298,'General Basis'!$J$39:$K$46,2,0))</f>
        <v/>
      </c>
      <c r="BF298" s="744" t="str">
        <f>IF(D298="","",VLOOKUP(D298,'General Basis'!$J$39:$L$46,3,0))</f>
        <v/>
      </c>
      <c r="BG298" s="744" t="str">
        <f t="shared" si="121"/>
        <v/>
      </c>
      <c r="BH298" s="744" t="str">
        <f>IF(G298="","",IF(BF298="Abu Dhabi",IF(G298&lt;18,'General Basis'!$C$39,IF(G298&lt;41,'General Basis'!$C$40,IF(G298&lt;60,'General Basis'!$C$41,IF(G298&lt;65,'General Basis'!$C$42,'General Basis'!$C$43)))),IF(G298&lt;11,'General Basis'!$B$39,IF(G298&lt;18,'General Basis'!$B$40,IF(G298&lt;26,'General Basis'!$B$41,IF(G298&lt;31,'General Basis'!$B$42,IF(G298&lt;36,'General Basis'!$B$43,IF(G298&lt;41,'General Basis'!$B$44,IF(G298&lt;46,'General Basis'!$B$45,IF(G298&lt;51,'General Basis'!$B$46,IF(G298&lt;56,'General Basis'!$B$47,IF(G298&lt;60,'General Basis'!$B$48,IF(G298&lt;65,'General Basis'!$B$49,'General Basis'!$B$50)))))))))))))</f>
        <v/>
      </c>
      <c r="BI298" s="744" t="str">
        <f t="shared" si="115"/>
        <v/>
      </c>
      <c r="BJ298" s="747" t="str">
        <f t="shared" si="122"/>
        <v/>
      </c>
      <c r="BK298" s="498" t="str">
        <f t="shared" si="116"/>
        <v/>
      </c>
      <c r="BL298" s="498" t="str">
        <f t="shared" si="117"/>
        <v/>
      </c>
    </row>
    <row r="299" spans="1:64" x14ac:dyDescent="0.25">
      <c r="A299" s="762">
        <f t="shared" si="118"/>
        <v>294</v>
      </c>
      <c r="B299" s="229"/>
      <c r="C299" s="223"/>
      <c r="D299" s="224"/>
      <c r="E299" s="225"/>
      <c r="F299" s="1036" t="str">
        <f t="shared" si="124"/>
        <v/>
      </c>
      <c r="G299" s="1037" t="str">
        <f t="shared" si="119"/>
        <v/>
      </c>
      <c r="H299" s="225"/>
      <c r="I299" s="1013"/>
      <c r="J299" s="1013"/>
      <c r="K299" s="1028"/>
      <c r="L299" s="1035" t="str">
        <f t="shared" si="123"/>
        <v/>
      </c>
      <c r="S299" s="498"/>
      <c r="AJ299" s="498"/>
      <c r="AM299" s="498">
        <f t="shared" si="104"/>
        <v>0</v>
      </c>
      <c r="AN299" s="498">
        <f t="shared" si="105"/>
        <v>0</v>
      </c>
      <c r="AO299" s="498">
        <f t="shared" si="106"/>
        <v>0</v>
      </c>
      <c r="AP299" s="498">
        <f t="shared" si="125"/>
        <v>0</v>
      </c>
      <c r="AQ299" s="498">
        <f t="shared" si="120"/>
        <v>0</v>
      </c>
      <c r="AU299" s="498">
        <f t="shared" si="107"/>
        <v>0</v>
      </c>
      <c r="AV299" s="498">
        <f t="shared" si="108"/>
        <v>0</v>
      </c>
      <c r="AW299" s="498">
        <f t="shared" si="109"/>
        <v>0</v>
      </c>
      <c r="AX299" s="498">
        <f t="shared" si="110"/>
        <v>0</v>
      </c>
      <c r="AY299" s="498">
        <f t="shared" si="111"/>
        <v>0</v>
      </c>
      <c r="BB299" s="498" t="str">
        <f t="shared" si="112"/>
        <v/>
      </c>
      <c r="BC299" s="743" t="str">
        <f t="shared" si="113"/>
        <v/>
      </c>
      <c r="BD299" s="743" t="str">
        <f t="shared" si="114"/>
        <v/>
      </c>
      <c r="BE299" s="743" t="str">
        <f>IF(D299="","",VLOOKUP(D299,'General Basis'!$J$39:$K$46,2,0))</f>
        <v/>
      </c>
      <c r="BF299" s="744" t="str">
        <f>IF(D299="","",VLOOKUP(D299,'General Basis'!$J$39:$L$46,3,0))</f>
        <v/>
      </c>
      <c r="BG299" s="744" t="str">
        <f t="shared" si="121"/>
        <v/>
      </c>
      <c r="BH299" s="744" t="str">
        <f>IF(G299="","",IF(BF299="Abu Dhabi",IF(G299&lt;18,'General Basis'!$C$39,IF(G299&lt;41,'General Basis'!$C$40,IF(G299&lt;60,'General Basis'!$C$41,IF(G299&lt;65,'General Basis'!$C$42,'General Basis'!$C$43)))),IF(G299&lt;11,'General Basis'!$B$39,IF(G299&lt;18,'General Basis'!$B$40,IF(G299&lt;26,'General Basis'!$B$41,IF(G299&lt;31,'General Basis'!$B$42,IF(G299&lt;36,'General Basis'!$B$43,IF(G299&lt;41,'General Basis'!$B$44,IF(G299&lt;46,'General Basis'!$B$45,IF(G299&lt;51,'General Basis'!$B$46,IF(G299&lt;56,'General Basis'!$B$47,IF(G299&lt;60,'General Basis'!$B$48,IF(G299&lt;65,'General Basis'!$B$49,'General Basis'!$B$50)))))))))))))</f>
        <v/>
      </c>
      <c r="BI299" s="744" t="str">
        <f t="shared" si="115"/>
        <v/>
      </c>
      <c r="BJ299" s="747" t="str">
        <f t="shared" si="122"/>
        <v/>
      </c>
      <c r="BK299" s="498" t="str">
        <f t="shared" si="116"/>
        <v/>
      </c>
      <c r="BL299" s="498" t="str">
        <f t="shared" si="117"/>
        <v/>
      </c>
    </row>
    <row r="300" spans="1:64" x14ac:dyDescent="0.25">
      <c r="A300" s="762">
        <f t="shared" si="118"/>
        <v>295</v>
      </c>
      <c r="B300" s="229"/>
      <c r="C300" s="223"/>
      <c r="D300" s="224"/>
      <c r="E300" s="225"/>
      <c r="F300" s="1036" t="str">
        <f t="shared" si="124"/>
        <v/>
      </c>
      <c r="G300" s="1037" t="str">
        <f t="shared" si="119"/>
        <v/>
      </c>
      <c r="H300" s="225"/>
      <c r="I300" s="1013"/>
      <c r="J300" s="1013"/>
      <c r="K300" s="1028"/>
      <c r="L300" s="1035" t="str">
        <f t="shared" si="123"/>
        <v/>
      </c>
      <c r="S300" s="498"/>
      <c r="AJ300" s="498"/>
      <c r="AM300" s="498">
        <f t="shared" si="104"/>
        <v>0</v>
      </c>
      <c r="AN300" s="498">
        <f t="shared" si="105"/>
        <v>0</v>
      </c>
      <c r="AO300" s="498">
        <f t="shared" si="106"/>
        <v>0</v>
      </c>
      <c r="AP300" s="498">
        <f t="shared" si="125"/>
        <v>0</v>
      </c>
      <c r="AQ300" s="498">
        <f t="shared" si="120"/>
        <v>0</v>
      </c>
      <c r="AU300" s="498">
        <f t="shared" si="107"/>
        <v>0</v>
      </c>
      <c r="AV300" s="498">
        <f t="shared" si="108"/>
        <v>0</v>
      </c>
      <c r="AW300" s="498">
        <f t="shared" si="109"/>
        <v>0</v>
      </c>
      <c r="AX300" s="498">
        <f t="shared" si="110"/>
        <v>0</v>
      </c>
      <c r="AY300" s="498">
        <f t="shared" si="111"/>
        <v>0</v>
      </c>
      <c r="BB300" s="498" t="str">
        <f t="shared" si="112"/>
        <v/>
      </c>
      <c r="BC300" s="743" t="str">
        <f t="shared" si="113"/>
        <v/>
      </c>
      <c r="BD300" s="743" t="str">
        <f t="shared" si="114"/>
        <v/>
      </c>
      <c r="BE300" s="743" t="str">
        <f>IF(D300="","",VLOOKUP(D300,'General Basis'!$J$39:$K$46,2,0))</f>
        <v/>
      </c>
      <c r="BF300" s="744" t="str">
        <f>IF(D300="","",VLOOKUP(D300,'General Basis'!$J$39:$L$46,3,0))</f>
        <v/>
      </c>
      <c r="BG300" s="744" t="str">
        <f t="shared" si="121"/>
        <v/>
      </c>
      <c r="BH300" s="744" t="str">
        <f>IF(G300="","",IF(BF300="Abu Dhabi",IF(G300&lt;18,'General Basis'!$C$39,IF(G300&lt;41,'General Basis'!$C$40,IF(G300&lt;60,'General Basis'!$C$41,IF(G300&lt;65,'General Basis'!$C$42,'General Basis'!$C$43)))),IF(G300&lt;11,'General Basis'!$B$39,IF(G300&lt;18,'General Basis'!$B$40,IF(G300&lt;26,'General Basis'!$B$41,IF(G300&lt;31,'General Basis'!$B$42,IF(G300&lt;36,'General Basis'!$B$43,IF(G300&lt;41,'General Basis'!$B$44,IF(G300&lt;46,'General Basis'!$B$45,IF(G300&lt;51,'General Basis'!$B$46,IF(G300&lt;56,'General Basis'!$B$47,IF(G300&lt;60,'General Basis'!$B$48,IF(G300&lt;65,'General Basis'!$B$49,'General Basis'!$B$50)))))))))))))</f>
        <v/>
      </c>
      <c r="BI300" s="744" t="str">
        <f t="shared" si="115"/>
        <v/>
      </c>
      <c r="BJ300" s="747" t="str">
        <f t="shared" si="122"/>
        <v/>
      </c>
      <c r="BK300" s="498" t="str">
        <f t="shared" si="116"/>
        <v/>
      </c>
      <c r="BL300" s="498" t="str">
        <f t="shared" si="117"/>
        <v/>
      </c>
    </row>
    <row r="301" spans="1:64" x14ac:dyDescent="0.25">
      <c r="A301" s="762">
        <f t="shared" si="118"/>
        <v>296</v>
      </c>
      <c r="B301" s="229"/>
      <c r="C301" s="223"/>
      <c r="D301" s="224"/>
      <c r="E301" s="225"/>
      <c r="F301" s="1036" t="str">
        <f t="shared" si="124"/>
        <v/>
      </c>
      <c r="G301" s="1037" t="str">
        <f t="shared" si="119"/>
        <v/>
      </c>
      <c r="H301" s="225"/>
      <c r="I301" s="1013"/>
      <c r="J301" s="1013"/>
      <c r="K301" s="1028"/>
      <c r="L301" s="1035" t="str">
        <f t="shared" si="123"/>
        <v/>
      </c>
      <c r="S301" s="498"/>
      <c r="AJ301" s="498"/>
      <c r="AM301" s="498">
        <f t="shared" si="104"/>
        <v>0</v>
      </c>
      <c r="AN301" s="498">
        <f t="shared" si="105"/>
        <v>0</v>
      </c>
      <c r="AO301" s="498">
        <f t="shared" si="106"/>
        <v>0</v>
      </c>
      <c r="AP301" s="498">
        <f t="shared" si="125"/>
        <v>0</v>
      </c>
      <c r="AQ301" s="498">
        <f t="shared" si="120"/>
        <v>0</v>
      </c>
      <c r="AU301" s="498">
        <f t="shared" si="107"/>
        <v>0</v>
      </c>
      <c r="AV301" s="498">
        <f t="shared" si="108"/>
        <v>0</v>
      </c>
      <c r="AW301" s="498">
        <f t="shared" si="109"/>
        <v>0</v>
      </c>
      <c r="AX301" s="498">
        <f t="shared" si="110"/>
        <v>0</v>
      </c>
      <c r="AY301" s="498">
        <f t="shared" si="111"/>
        <v>0</v>
      </c>
      <c r="BB301" s="498" t="str">
        <f t="shared" si="112"/>
        <v/>
      </c>
      <c r="BC301" s="743" t="str">
        <f t="shared" si="113"/>
        <v/>
      </c>
      <c r="BD301" s="743" t="str">
        <f t="shared" si="114"/>
        <v/>
      </c>
      <c r="BE301" s="743" t="str">
        <f>IF(D301="","",VLOOKUP(D301,'General Basis'!$J$39:$K$46,2,0))</f>
        <v/>
      </c>
      <c r="BF301" s="744" t="str">
        <f>IF(D301="","",VLOOKUP(D301,'General Basis'!$J$39:$L$46,3,0))</f>
        <v/>
      </c>
      <c r="BG301" s="744" t="str">
        <f t="shared" si="121"/>
        <v/>
      </c>
      <c r="BH301" s="744" t="str">
        <f>IF(G301="","",IF(BF301="Abu Dhabi",IF(G301&lt;18,'General Basis'!$C$39,IF(G301&lt;41,'General Basis'!$C$40,IF(G301&lt;60,'General Basis'!$C$41,IF(G301&lt;65,'General Basis'!$C$42,'General Basis'!$C$43)))),IF(G301&lt;11,'General Basis'!$B$39,IF(G301&lt;18,'General Basis'!$B$40,IF(G301&lt;26,'General Basis'!$B$41,IF(G301&lt;31,'General Basis'!$B$42,IF(G301&lt;36,'General Basis'!$B$43,IF(G301&lt;41,'General Basis'!$B$44,IF(G301&lt;46,'General Basis'!$B$45,IF(G301&lt;51,'General Basis'!$B$46,IF(G301&lt;56,'General Basis'!$B$47,IF(G301&lt;60,'General Basis'!$B$48,IF(G301&lt;65,'General Basis'!$B$49,'General Basis'!$B$50)))))))))))))</f>
        <v/>
      </c>
      <c r="BI301" s="744" t="str">
        <f t="shared" si="115"/>
        <v/>
      </c>
      <c r="BJ301" s="747" t="str">
        <f t="shared" si="122"/>
        <v/>
      </c>
      <c r="BK301" s="498" t="str">
        <f t="shared" si="116"/>
        <v/>
      </c>
      <c r="BL301" s="498" t="str">
        <f t="shared" si="117"/>
        <v/>
      </c>
    </row>
    <row r="302" spans="1:64" x14ac:dyDescent="0.25">
      <c r="A302" s="762">
        <f t="shared" si="118"/>
        <v>297</v>
      </c>
      <c r="B302" s="229"/>
      <c r="C302" s="223"/>
      <c r="D302" s="224"/>
      <c r="E302" s="225"/>
      <c r="F302" s="1036" t="str">
        <f t="shared" si="124"/>
        <v/>
      </c>
      <c r="G302" s="1037" t="str">
        <f t="shared" si="119"/>
        <v/>
      </c>
      <c r="H302" s="225"/>
      <c r="I302" s="1013"/>
      <c r="J302" s="1013"/>
      <c r="K302" s="1028"/>
      <c r="L302" s="1035" t="str">
        <f t="shared" si="123"/>
        <v/>
      </c>
      <c r="S302" s="498"/>
      <c r="AJ302" s="498"/>
      <c r="AM302" s="498">
        <f t="shared" si="104"/>
        <v>0</v>
      </c>
      <c r="AN302" s="498">
        <f t="shared" si="105"/>
        <v>0</v>
      </c>
      <c r="AO302" s="498">
        <f t="shared" si="106"/>
        <v>0</v>
      </c>
      <c r="AP302" s="498">
        <f t="shared" si="125"/>
        <v>0</v>
      </c>
      <c r="AQ302" s="498">
        <f t="shared" si="120"/>
        <v>0</v>
      </c>
      <c r="AU302" s="498">
        <f t="shared" si="107"/>
        <v>0</v>
      </c>
      <c r="AV302" s="498">
        <f t="shared" si="108"/>
        <v>0</v>
      </c>
      <c r="AW302" s="498">
        <f t="shared" si="109"/>
        <v>0</v>
      </c>
      <c r="AX302" s="498">
        <f t="shared" si="110"/>
        <v>0</v>
      </c>
      <c r="AY302" s="498">
        <f t="shared" si="111"/>
        <v>0</v>
      </c>
      <c r="BB302" s="498" t="str">
        <f t="shared" si="112"/>
        <v/>
      </c>
      <c r="BC302" s="743" t="str">
        <f t="shared" si="113"/>
        <v/>
      </c>
      <c r="BD302" s="743" t="str">
        <f t="shared" si="114"/>
        <v/>
      </c>
      <c r="BE302" s="743" t="str">
        <f>IF(D302="","",VLOOKUP(D302,'General Basis'!$J$39:$K$46,2,0))</f>
        <v/>
      </c>
      <c r="BF302" s="744" t="str">
        <f>IF(D302="","",VLOOKUP(D302,'General Basis'!$J$39:$L$46,3,0))</f>
        <v/>
      </c>
      <c r="BG302" s="744" t="str">
        <f t="shared" si="121"/>
        <v/>
      </c>
      <c r="BH302" s="744" t="str">
        <f>IF(G302="","",IF(BF302="Abu Dhabi",IF(G302&lt;18,'General Basis'!$C$39,IF(G302&lt;41,'General Basis'!$C$40,IF(G302&lt;60,'General Basis'!$C$41,IF(G302&lt;65,'General Basis'!$C$42,'General Basis'!$C$43)))),IF(G302&lt;11,'General Basis'!$B$39,IF(G302&lt;18,'General Basis'!$B$40,IF(G302&lt;26,'General Basis'!$B$41,IF(G302&lt;31,'General Basis'!$B$42,IF(G302&lt;36,'General Basis'!$B$43,IF(G302&lt;41,'General Basis'!$B$44,IF(G302&lt;46,'General Basis'!$B$45,IF(G302&lt;51,'General Basis'!$B$46,IF(G302&lt;56,'General Basis'!$B$47,IF(G302&lt;60,'General Basis'!$B$48,IF(G302&lt;65,'General Basis'!$B$49,'General Basis'!$B$50)))))))))))))</f>
        <v/>
      </c>
      <c r="BI302" s="744" t="str">
        <f t="shared" si="115"/>
        <v/>
      </c>
      <c r="BJ302" s="747" t="str">
        <f t="shared" si="122"/>
        <v/>
      </c>
      <c r="BK302" s="498" t="str">
        <f t="shared" si="116"/>
        <v/>
      </c>
      <c r="BL302" s="498" t="str">
        <f t="shared" si="117"/>
        <v/>
      </c>
    </row>
    <row r="303" spans="1:64" x14ac:dyDescent="0.25">
      <c r="A303" s="762">
        <f t="shared" si="118"/>
        <v>298</v>
      </c>
      <c r="B303" s="229"/>
      <c r="C303" s="223"/>
      <c r="D303" s="224"/>
      <c r="E303" s="225"/>
      <c r="F303" s="1036" t="str">
        <f t="shared" si="124"/>
        <v/>
      </c>
      <c r="G303" s="1037" t="str">
        <f t="shared" si="119"/>
        <v/>
      </c>
      <c r="H303" s="225"/>
      <c r="I303" s="1013"/>
      <c r="J303" s="1013"/>
      <c r="K303" s="1028"/>
      <c r="L303" s="1035" t="str">
        <f t="shared" si="123"/>
        <v/>
      </c>
      <c r="S303" s="498"/>
      <c r="AJ303" s="498"/>
      <c r="AM303" s="498">
        <f t="shared" si="104"/>
        <v>0</v>
      </c>
      <c r="AN303" s="498">
        <f t="shared" si="105"/>
        <v>0</v>
      </c>
      <c r="AO303" s="498">
        <f t="shared" si="106"/>
        <v>0</v>
      </c>
      <c r="AP303" s="498">
        <f t="shared" si="125"/>
        <v>0</v>
      </c>
      <c r="AQ303" s="498">
        <f t="shared" si="120"/>
        <v>0</v>
      </c>
      <c r="AU303" s="498">
        <f t="shared" si="107"/>
        <v>0</v>
      </c>
      <c r="AV303" s="498">
        <f t="shared" si="108"/>
        <v>0</v>
      </c>
      <c r="AW303" s="498">
        <f t="shared" si="109"/>
        <v>0</v>
      </c>
      <c r="AX303" s="498">
        <f t="shared" si="110"/>
        <v>0</v>
      </c>
      <c r="AY303" s="498">
        <f t="shared" si="111"/>
        <v>0</v>
      </c>
      <c r="BB303" s="498" t="str">
        <f t="shared" si="112"/>
        <v/>
      </c>
      <c r="BC303" s="743" t="str">
        <f t="shared" si="113"/>
        <v/>
      </c>
      <c r="BD303" s="743" t="str">
        <f t="shared" si="114"/>
        <v/>
      </c>
      <c r="BE303" s="743" t="str">
        <f>IF(D303="","",VLOOKUP(D303,'General Basis'!$J$39:$K$46,2,0))</f>
        <v/>
      </c>
      <c r="BF303" s="744" t="str">
        <f>IF(D303="","",VLOOKUP(D303,'General Basis'!$J$39:$L$46,3,0))</f>
        <v/>
      </c>
      <c r="BG303" s="744" t="str">
        <f t="shared" si="121"/>
        <v/>
      </c>
      <c r="BH303" s="744" t="str">
        <f>IF(G303="","",IF(BF303="Abu Dhabi",IF(G303&lt;18,'General Basis'!$C$39,IF(G303&lt;41,'General Basis'!$C$40,IF(G303&lt;60,'General Basis'!$C$41,IF(G303&lt;65,'General Basis'!$C$42,'General Basis'!$C$43)))),IF(G303&lt;11,'General Basis'!$B$39,IF(G303&lt;18,'General Basis'!$B$40,IF(G303&lt;26,'General Basis'!$B$41,IF(G303&lt;31,'General Basis'!$B$42,IF(G303&lt;36,'General Basis'!$B$43,IF(G303&lt;41,'General Basis'!$B$44,IF(G303&lt;46,'General Basis'!$B$45,IF(G303&lt;51,'General Basis'!$B$46,IF(G303&lt;56,'General Basis'!$B$47,IF(G303&lt;60,'General Basis'!$B$48,IF(G303&lt;65,'General Basis'!$B$49,'General Basis'!$B$50)))))))))))))</f>
        <v/>
      </c>
      <c r="BI303" s="744" t="str">
        <f t="shared" si="115"/>
        <v/>
      </c>
      <c r="BJ303" s="747" t="str">
        <f t="shared" si="122"/>
        <v/>
      </c>
      <c r="BK303" s="498" t="str">
        <f t="shared" si="116"/>
        <v/>
      </c>
      <c r="BL303" s="498" t="str">
        <f t="shared" si="117"/>
        <v/>
      </c>
    </row>
    <row r="304" spans="1:64" x14ac:dyDescent="0.25">
      <c r="A304" s="762">
        <f t="shared" si="118"/>
        <v>299</v>
      </c>
      <c r="B304" s="229"/>
      <c r="C304" s="223"/>
      <c r="D304" s="224"/>
      <c r="E304" s="225"/>
      <c r="F304" s="1036" t="str">
        <f t="shared" si="124"/>
        <v/>
      </c>
      <c r="G304" s="1037" t="str">
        <f t="shared" si="119"/>
        <v/>
      </c>
      <c r="H304" s="225"/>
      <c r="I304" s="1013"/>
      <c r="J304" s="1013"/>
      <c r="K304" s="1028"/>
      <c r="L304" s="1035" t="str">
        <f t="shared" si="123"/>
        <v/>
      </c>
      <c r="S304" s="498"/>
      <c r="AJ304" s="498"/>
      <c r="AM304" s="498">
        <f t="shared" si="104"/>
        <v>0</v>
      </c>
      <c r="AN304" s="498">
        <f t="shared" si="105"/>
        <v>0</v>
      </c>
      <c r="AO304" s="498">
        <f t="shared" si="106"/>
        <v>0</v>
      </c>
      <c r="AP304" s="498">
        <f t="shared" si="125"/>
        <v>0</v>
      </c>
      <c r="AQ304" s="498">
        <f t="shared" si="120"/>
        <v>0</v>
      </c>
      <c r="AU304" s="498">
        <f t="shared" si="107"/>
        <v>0</v>
      </c>
      <c r="AV304" s="498">
        <f t="shared" si="108"/>
        <v>0</v>
      </c>
      <c r="AW304" s="498">
        <f t="shared" si="109"/>
        <v>0</v>
      </c>
      <c r="AX304" s="498">
        <f t="shared" si="110"/>
        <v>0</v>
      </c>
      <c r="AY304" s="498">
        <f t="shared" si="111"/>
        <v>0</v>
      </c>
      <c r="BB304" s="498" t="str">
        <f t="shared" si="112"/>
        <v/>
      </c>
      <c r="BC304" s="743" t="str">
        <f t="shared" si="113"/>
        <v/>
      </c>
      <c r="BD304" s="743" t="str">
        <f t="shared" si="114"/>
        <v/>
      </c>
      <c r="BE304" s="743" t="str">
        <f>IF(D304="","",VLOOKUP(D304,'General Basis'!$J$39:$K$46,2,0))</f>
        <v/>
      </c>
      <c r="BF304" s="744" t="str">
        <f>IF(D304="","",VLOOKUP(D304,'General Basis'!$J$39:$L$46,3,0))</f>
        <v/>
      </c>
      <c r="BG304" s="744" t="str">
        <f t="shared" si="121"/>
        <v/>
      </c>
      <c r="BH304" s="744" t="str">
        <f>IF(G304="","",IF(BF304="Abu Dhabi",IF(G304&lt;18,'General Basis'!$C$39,IF(G304&lt;41,'General Basis'!$C$40,IF(G304&lt;60,'General Basis'!$C$41,IF(G304&lt;65,'General Basis'!$C$42,'General Basis'!$C$43)))),IF(G304&lt;11,'General Basis'!$B$39,IF(G304&lt;18,'General Basis'!$B$40,IF(G304&lt;26,'General Basis'!$B$41,IF(G304&lt;31,'General Basis'!$B$42,IF(G304&lt;36,'General Basis'!$B$43,IF(G304&lt;41,'General Basis'!$B$44,IF(G304&lt;46,'General Basis'!$B$45,IF(G304&lt;51,'General Basis'!$B$46,IF(G304&lt;56,'General Basis'!$B$47,IF(G304&lt;60,'General Basis'!$B$48,IF(G304&lt;65,'General Basis'!$B$49,'General Basis'!$B$50)))))))))))))</f>
        <v/>
      </c>
      <c r="BI304" s="744" t="str">
        <f t="shared" si="115"/>
        <v/>
      </c>
      <c r="BJ304" s="747" t="str">
        <f t="shared" si="122"/>
        <v/>
      </c>
      <c r="BK304" s="498" t="str">
        <f t="shared" si="116"/>
        <v/>
      </c>
      <c r="BL304" s="498" t="str">
        <f t="shared" si="117"/>
        <v/>
      </c>
    </row>
    <row r="305" spans="1:64" x14ac:dyDescent="0.25">
      <c r="A305" s="762">
        <f t="shared" si="118"/>
        <v>300</v>
      </c>
      <c r="B305" s="229"/>
      <c r="C305" s="223"/>
      <c r="D305" s="224"/>
      <c r="E305" s="225"/>
      <c r="F305" s="1036" t="str">
        <f t="shared" si="124"/>
        <v/>
      </c>
      <c r="G305" s="1037" t="str">
        <f t="shared" si="119"/>
        <v/>
      </c>
      <c r="H305" s="225"/>
      <c r="I305" s="1013"/>
      <c r="J305" s="1013"/>
      <c r="K305" s="1028"/>
      <c r="L305" s="1035" t="str">
        <f t="shared" si="123"/>
        <v/>
      </c>
      <c r="S305" s="498"/>
      <c r="AJ305" s="498"/>
      <c r="AM305" s="498">
        <f t="shared" si="104"/>
        <v>0</v>
      </c>
      <c r="AN305" s="498">
        <f t="shared" si="105"/>
        <v>0</v>
      </c>
      <c r="AO305" s="498">
        <f t="shared" si="106"/>
        <v>0</v>
      </c>
      <c r="AP305" s="498">
        <f t="shared" si="125"/>
        <v>0</v>
      </c>
      <c r="AQ305" s="498">
        <f t="shared" si="120"/>
        <v>0</v>
      </c>
      <c r="AU305" s="498">
        <f t="shared" si="107"/>
        <v>0</v>
      </c>
      <c r="AV305" s="498">
        <f t="shared" si="108"/>
        <v>0</v>
      </c>
      <c r="AW305" s="498">
        <f t="shared" si="109"/>
        <v>0</v>
      </c>
      <c r="AX305" s="498">
        <f t="shared" si="110"/>
        <v>0</v>
      </c>
      <c r="AY305" s="498">
        <f t="shared" si="111"/>
        <v>0</v>
      </c>
      <c r="BB305" s="498" t="str">
        <f t="shared" si="112"/>
        <v/>
      </c>
      <c r="BC305" s="743" t="str">
        <f t="shared" si="113"/>
        <v/>
      </c>
      <c r="BD305" s="743" t="str">
        <f t="shared" si="114"/>
        <v/>
      </c>
      <c r="BE305" s="743" t="str">
        <f>IF(D305="","",VLOOKUP(D305,'General Basis'!$J$39:$K$46,2,0))</f>
        <v/>
      </c>
      <c r="BF305" s="744" t="str">
        <f>IF(D305="","",VLOOKUP(D305,'General Basis'!$J$39:$L$46,3,0))</f>
        <v/>
      </c>
      <c r="BG305" s="744" t="str">
        <f t="shared" si="121"/>
        <v/>
      </c>
      <c r="BH305" s="744" t="str">
        <f>IF(G305="","",IF(BF305="Abu Dhabi",IF(G305&lt;18,'General Basis'!$C$39,IF(G305&lt;41,'General Basis'!$C$40,IF(G305&lt;60,'General Basis'!$C$41,IF(G305&lt;65,'General Basis'!$C$42,'General Basis'!$C$43)))),IF(G305&lt;11,'General Basis'!$B$39,IF(G305&lt;18,'General Basis'!$B$40,IF(G305&lt;26,'General Basis'!$B$41,IF(G305&lt;31,'General Basis'!$B$42,IF(G305&lt;36,'General Basis'!$B$43,IF(G305&lt;41,'General Basis'!$B$44,IF(G305&lt;46,'General Basis'!$B$45,IF(G305&lt;51,'General Basis'!$B$46,IF(G305&lt;56,'General Basis'!$B$47,IF(G305&lt;60,'General Basis'!$B$48,IF(G305&lt;65,'General Basis'!$B$49,'General Basis'!$B$50)))))))))))))</f>
        <v/>
      </c>
      <c r="BI305" s="744" t="str">
        <f t="shared" si="115"/>
        <v/>
      </c>
      <c r="BJ305" s="747" t="str">
        <f t="shared" si="122"/>
        <v/>
      </c>
      <c r="BK305" s="498" t="str">
        <f t="shared" si="116"/>
        <v/>
      </c>
      <c r="BL305" s="498" t="str">
        <f t="shared" si="117"/>
        <v/>
      </c>
    </row>
    <row r="306" spans="1:64" x14ac:dyDescent="0.25">
      <c r="A306" s="762">
        <f t="shared" si="118"/>
        <v>301</v>
      </c>
      <c r="B306" s="229"/>
      <c r="C306" s="223"/>
      <c r="D306" s="224"/>
      <c r="E306" s="225"/>
      <c r="F306" s="1036" t="str">
        <f t="shared" si="124"/>
        <v/>
      </c>
      <c r="G306" s="1037" t="str">
        <f t="shared" si="119"/>
        <v/>
      </c>
      <c r="H306" s="225"/>
      <c r="I306" s="1013"/>
      <c r="J306" s="1013"/>
      <c r="K306" s="1028"/>
      <c r="L306" s="1035" t="str">
        <f t="shared" si="123"/>
        <v/>
      </c>
      <c r="S306" s="498"/>
      <c r="AJ306" s="498"/>
      <c r="AM306" s="498">
        <f t="shared" si="104"/>
        <v>0</v>
      </c>
      <c r="AN306" s="498">
        <f t="shared" si="105"/>
        <v>0</v>
      </c>
      <c r="AO306" s="498">
        <f t="shared" si="106"/>
        <v>0</v>
      </c>
      <c r="AP306" s="498">
        <f t="shared" si="125"/>
        <v>0</v>
      </c>
      <c r="AQ306" s="498">
        <f t="shared" si="120"/>
        <v>0</v>
      </c>
      <c r="AU306" s="498">
        <f t="shared" si="107"/>
        <v>0</v>
      </c>
      <c r="AV306" s="498">
        <f t="shared" si="108"/>
        <v>0</v>
      </c>
      <c r="AW306" s="498">
        <f t="shared" si="109"/>
        <v>0</v>
      </c>
      <c r="AX306" s="498">
        <f t="shared" si="110"/>
        <v>0</v>
      </c>
      <c r="AY306" s="498">
        <f t="shared" si="111"/>
        <v>0</v>
      </c>
      <c r="BB306" s="498" t="str">
        <f t="shared" si="112"/>
        <v/>
      </c>
      <c r="BC306" s="743" t="str">
        <f t="shared" si="113"/>
        <v/>
      </c>
      <c r="BD306" s="743" t="str">
        <f t="shared" si="114"/>
        <v/>
      </c>
      <c r="BE306" s="743" t="str">
        <f>IF(D306="","",VLOOKUP(D306,'General Basis'!$J$39:$K$46,2,0))</f>
        <v/>
      </c>
      <c r="BF306" s="744" t="str">
        <f>IF(D306="","",VLOOKUP(D306,'General Basis'!$J$39:$L$46,3,0))</f>
        <v/>
      </c>
      <c r="BG306" s="744" t="str">
        <f t="shared" si="121"/>
        <v/>
      </c>
      <c r="BH306" s="744" t="str">
        <f>IF(G306="","",IF(BF306="Abu Dhabi",IF(G306&lt;18,'General Basis'!$C$39,IF(G306&lt;41,'General Basis'!$C$40,IF(G306&lt;60,'General Basis'!$C$41,IF(G306&lt;65,'General Basis'!$C$42,'General Basis'!$C$43)))),IF(G306&lt;11,'General Basis'!$B$39,IF(G306&lt;18,'General Basis'!$B$40,IF(G306&lt;26,'General Basis'!$B$41,IF(G306&lt;31,'General Basis'!$B$42,IF(G306&lt;36,'General Basis'!$B$43,IF(G306&lt;41,'General Basis'!$B$44,IF(G306&lt;46,'General Basis'!$B$45,IF(G306&lt;51,'General Basis'!$B$46,IF(G306&lt;56,'General Basis'!$B$47,IF(G306&lt;60,'General Basis'!$B$48,IF(G306&lt;65,'General Basis'!$B$49,'General Basis'!$B$50)))))))))))))</f>
        <v/>
      </c>
      <c r="BI306" s="744" t="str">
        <f t="shared" si="115"/>
        <v/>
      </c>
      <c r="BJ306" s="747" t="str">
        <f t="shared" si="122"/>
        <v/>
      </c>
      <c r="BK306" s="498" t="str">
        <f t="shared" si="116"/>
        <v/>
      </c>
      <c r="BL306" s="498" t="str">
        <f t="shared" si="117"/>
        <v/>
      </c>
    </row>
    <row r="307" spans="1:64" x14ac:dyDescent="0.25">
      <c r="A307" s="762">
        <f t="shared" si="118"/>
        <v>302</v>
      </c>
      <c r="B307" s="229"/>
      <c r="C307" s="223"/>
      <c r="D307" s="224"/>
      <c r="E307" s="225"/>
      <c r="F307" s="1036" t="str">
        <f t="shared" si="124"/>
        <v/>
      </c>
      <c r="G307" s="1037" t="str">
        <f t="shared" si="119"/>
        <v/>
      </c>
      <c r="H307" s="225"/>
      <c r="I307" s="1013"/>
      <c r="J307" s="1013"/>
      <c r="K307" s="1028"/>
      <c r="L307" s="1035" t="str">
        <f t="shared" si="123"/>
        <v/>
      </c>
      <c r="S307" s="498"/>
      <c r="AJ307" s="498"/>
      <c r="AM307" s="498">
        <f t="shared" si="104"/>
        <v>0</v>
      </c>
      <c r="AN307" s="498">
        <f t="shared" si="105"/>
        <v>0</v>
      </c>
      <c r="AO307" s="498">
        <f t="shared" si="106"/>
        <v>0</v>
      </c>
      <c r="AP307" s="498">
        <f t="shared" si="125"/>
        <v>0</v>
      </c>
      <c r="AQ307" s="498">
        <f t="shared" si="120"/>
        <v>0</v>
      </c>
      <c r="AU307" s="498">
        <f t="shared" si="107"/>
        <v>0</v>
      </c>
      <c r="AV307" s="498">
        <f t="shared" si="108"/>
        <v>0</v>
      </c>
      <c r="AW307" s="498">
        <f t="shared" si="109"/>
        <v>0</v>
      </c>
      <c r="AX307" s="498">
        <f t="shared" si="110"/>
        <v>0</v>
      </c>
      <c r="AY307" s="498">
        <f t="shared" si="111"/>
        <v>0</v>
      </c>
      <c r="BB307" s="498" t="str">
        <f t="shared" si="112"/>
        <v/>
      </c>
      <c r="BC307" s="743" t="str">
        <f t="shared" si="113"/>
        <v/>
      </c>
      <c r="BD307" s="743" t="str">
        <f t="shared" si="114"/>
        <v/>
      </c>
      <c r="BE307" s="743" t="str">
        <f>IF(D307="","",VLOOKUP(D307,'General Basis'!$J$39:$K$46,2,0))</f>
        <v/>
      </c>
      <c r="BF307" s="744" t="str">
        <f>IF(D307="","",VLOOKUP(D307,'General Basis'!$J$39:$L$46,3,0))</f>
        <v/>
      </c>
      <c r="BG307" s="744" t="str">
        <f t="shared" si="121"/>
        <v/>
      </c>
      <c r="BH307" s="744" t="str">
        <f>IF(G307="","",IF(BF307="Abu Dhabi",IF(G307&lt;18,'General Basis'!$C$39,IF(G307&lt;41,'General Basis'!$C$40,IF(G307&lt;60,'General Basis'!$C$41,IF(G307&lt;65,'General Basis'!$C$42,'General Basis'!$C$43)))),IF(G307&lt;11,'General Basis'!$B$39,IF(G307&lt;18,'General Basis'!$B$40,IF(G307&lt;26,'General Basis'!$B$41,IF(G307&lt;31,'General Basis'!$B$42,IF(G307&lt;36,'General Basis'!$B$43,IF(G307&lt;41,'General Basis'!$B$44,IF(G307&lt;46,'General Basis'!$B$45,IF(G307&lt;51,'General Basis'!$B$46,IF(G307&lt;56,'General Basis'!$B$47,IF(G307&lt;60,'General Basis'!$B$48,IF(G307&lt;65,'General Basis'!$B$49,'General Basis'!$B$50)))))))))))))</f>
        <v/>
      </c>
      <c r="BI307" s="744" t="str">
        <f t="shared" si="115"/>
        <v/>
      </c>
      <c r="BJ307" s="747" t="str">
        <f t="shared" si="122"/>
        <v/>
      </c>
      <c r="BK307" s="498" t="str">
        <f t="shared" si="116"/>
        <v/>
      </c>
      <c r="BL307" s="498" t="str">
        <f t="shared" si="117"/>
        <v/>
      </c>
    </row>
    <row r="308" spans="1:64" x14ac:dyDescent="0.25">
      <c r="A308" s="762">
        <f t="shared" si="118"/>
        <v>303</v>
      </c>
      <c r="B308" s="229"/>
      <c r="C308" s="223"/>
      <c r="D308" s="224"/>
      <c r="E308" s="225"/>
      <c r="F308" s="1036" t="str">
        <f t="shared" si="124"/>
        <v/>
      </c>
      <c r="G308" s="1037" t="str">
        <f t="shared" si="119"/>
        <v/>
      </c>
      <c r="H308" s="225"/>
      <c r="I308" s="1013"/>
      <c r="J308" s="1013"/>
      <c r="K308" s="1028"/>
      <c r="L308" s="1035" t="str">
        <f t="shared" si="123"/>
        <v/>
      </c>
      <c r="S308" s="498"/>
      <c r="AJ308" s="498"/>
      <c r="AM308" s="498">
        <f t="shared" si="104"/>
        <v>0</v>
      </c>
      <c r="AN308" s="498">
        <f t="shared" si="105"/>
        <v>0</v>
      </c>
      <c r="AO308" s="498">
        <f t="shared" si="106"/>
        <v>0</v>
      </c>
      <c r="AP308" s="498">
        <f t="shared" si="125"/>
        <v>0</v>
      </c>
      <c r="AQ308" s="498">
        <f t="shared" si="120"/>
        <v>0</v>
      </c>
      <c r="AU308" s="498">
        <f t="shared" si="107"/>
        <v>0</v>
      </c>
      <c r="AV308" s="498">
        <f t="shared" si="108"/>
        <v>0</v>
      </c>
      <c r="AW308" s="498">
        <f t="shared" si="109"/>
        <v>0</v>
      </c>
      <c r="AX308" s="498">
        <f t="shared" si="110"/>
        <v>0</v>
      </c>
      <c r="AY308" s="498">
        <f t="shared" si="111"/>
        <v>0</v>
      </c>
      <c r="BB308" s="498" t="str">
        <f t="shared" si="112"/>
        <v/>
      </c>
      <c r="BC308" s="743" t="str">
        <f t="shared" si="113"/>
        <v/>
      </c>
      <c r="BD308" s="743" t="str">
        <f t="shared" si="114"/>
        <v/>
      </c>
      <c r="BE308" s="743" t="str">
        <f>IF(D308="","",VLOOKUP(D308,'General Basis'!$J$39:$K$46,2,0))</f>
        <v/>
      </c>
      <c r="BF308" s="744" t="str">
        <f>IF(D308="","",VLOOKUP(D308,'General Basis'!$J$39:$L$46,3,0))</f>
        <v/>
      </c>
      <c r="BG308" s="744" t="str">
        <f t="shared" si="121"/>
        <v/>
      </c>
      <c r="BH308" s="744" t="str">
        <f>IF(G308="","",IF(BF308="Abu Dhabi",IF(G308&lt;18,'General Basis'!$C$39,IF(G308&lt;41,'General Basis'!$C$40,IF(G308&lt;60,'General Basis'!$C$41,IF(G308&lt;65,'General Basis'!$C$42,'General Basis'!$C$43)))),IF(G308&lt;11,'General Basis'!$B$39,IF(G308&lt;18,'General Basis'!$B$40,IF(G308&lt;26,'General Basis'!$B$41,IF(G308&lt;31,'General Basis'!$B$42,IF(G308&lt;36,'General Basis'!$B$43,IF(G308&lt;41,'General Basis'!$B$44,IF(G308&lt;46,'General Basis'!$B$45,IF(G308&lt;51,'General Basis'!$B$46,IF(G308&lt;56,'General Basis'!$B$47,IF(G308&lt;60,'General Basis'!$B$48,IF(G308&lt;65,'General Basis'!$B$49,'General Basis'!$B$50)))))))))))))</f>
        <v/>
      </c>
      <c r="BI308" s="744" t="str">
        <f t="shared" si="115"/>
        <v/>
      </c>
      <c r="BJ308" s="747" t="str">
        <f t="shared" si="122"/>
        <v/>
      </c>
      <c r="BK308" s="498" t="str">
        <f t="shared" si="116"/>
        <v/>
      </c>
      <c r="BL308" s="498" t="str">
        <f t="shared" si="117"/>
        <v/>
      </c>
    </row>
    <row r="309" spans="1:64" x14ac:dyDescent="0.25">
      <c r="A309" s="762">
        <f t="shared" si="118"/>
        <v>304</v>
      </c>
      <c r="B309" s="229"/>
      <c r="C309" s="223"/>
      <c r="D309" s="224"/>
      <c r="E309" s="225"/>
      <c r="F309" s="1036" t="str">
        <f t="shared" si="124"/>
        <v/>
      </c>
      <c r="G309" s="1037" t="str">
        <f t="shared" si="119"/>
        <v/>
      </c>
      <c r="H309" s="225"/>
      <c r="I309" s="1013"/>
      <c r="J309" s="1013"/>
      <c r="K309" s="1028"/>
      <c r="L309" s="1035" t="str">
        <f t="shared" si="123"/>
        <v/>
      </c>
      <c r="S309" s="498"/>
      <c r="AJ309" s="498"/>
      <c r="AM309" s="498">
        <f t="shared" si="104"/>
        <v>0</v>
      </c>
      <c r="AN309" s="498">
        <f t="shared" si="105"/>
        <v>0</v>
      </c>
      <c r="AO309" s="498">
        <f t="shared" si="106"/>
        <v>0</v>
      </c>
      <c r="AP309" s="498">
        <f t="shared" si="125"/>
        <v>0</v>
      </c>
      <c r="AQ309" s="498">
        <f t="shared" si="120"/>
        <v>0</v>
      </c>
      <c r="AU309" s="498">
        <f t="shared" si="107"/>
        <v>0</v>
      </c>
      <c r="AV309" s="498">
        <f t="shared" si="108"/>
        <v>0</v>
      </c>
      <c r="AW309" s="498">
        <f t="shared" si="109"/>
        <v>0</v>
      </c>
      <c r="AX309" s="498">
        <f t="shared" si="110"/>
        <v>0</v>
      </c>
      <c r="AY309" s="498">
        <f t="shared" si="111"/>
        <v>0</v>
      </c>
      <c r="BB309" s="498" t="str">
        <f t="shared" si="112"/>
        <v/>
      </c>
      <c r="BC309" s="743" t="str">
        <f t="shared" si="113"/>
        <v/>
      </c>
      <c r="BD309" s="743" t="str">
        <f t="shared" si="114"/>
        <v/>
      </c>
      <c r="BE309" s="743" t="str">
        <f>IF(D309="","",VLOOKUP(D309,'General Basis'!$J$39:$K$46,2,0))</f>
        <v/>
      </c>
      <c r="BF309" s="744" t="str">
        <f>IF(D309="","",VLOOKUP(D309,'General Basis'!$J$39:$L$46,3,0))</f>
        <v/>
      </c>
      <c r="BG309" s="744" t="str">
        <f t="shared" si="121"/>
        <v/>
      </c>
      <c r="BH309" s="744" t="str">
        <f>IF(G309="","",IF(BF309="Abu Dhabi",IF(G309&lt;18,'General Basis'!$C$39,IF(G309&lt;41,'General Basis'!$C$40,IF(G309&lt;60,'General Basis'!$C$41,IF(G309&lt;65,'General Basis'!$C$42,'General Basis'!$C$43)))),IF(G309&lt;11,'General Basis'!$B$39,IF(G309&lt;18,'General Basis'!$B$40,IF(G309&lt;26,'General Basis'!$B$41,IF(G309&lt;31,'General Basis'!$B$42,IF(G309&lt;36,'General Basis'!$B$43,IF(G309&lt;41,'General Basis'!$B$44,IF(G309&lt;46,'General Basis'!$B$45,IF(G309&lt;51,'General Basis'!$B$46,IF(G309&lt;56,'General Basis'!$B$47,IF(G309&lt;60,'General Basis'!$B$48,IF(G309&lt;65,'General Basis'!$B$49,'General Basis'!$B$50)))))))))))))</f>
        <v/>
      </c>
      <c r="BI309" s="744" t="str">
        <f t="shared" si="115"/>
        <v/>
      </c>
      <c r="BJ309" s="747" t="str">
        <f t="shared" si="122"/>
        <v/>
      </c>
      <c r="BK309" s="498" t="str">
        <f t="shared" si="116"/>
        <v/>
      </c>
      <c r="BL309" s="498" t="str">
        <f t="shared" si="117"/>
        <v/>
      </c>
    </row>
    <row r="310" spans="1:64" x14ac:dyDescent="0.25">
      <c r="A310" s="762">
        <f t="shared" si="118"/>
        <v>305</v>
      </c>
      <c r="B310" s="229"/>
      <c r="C310" s="223"/>
      <c r="D310" s="224"/>
      <c r="E310" s="225"/>
      <c r="F310" s="1036" t="str">
        <f t="shared" si="124"/>
        <v/>
      </c>
      <c r="G310" s="1037" t="str">
        <f t="shared" si="119"/>
        <v/>
      </c>
      <c r="H310" s="225"/>
      <c r="I310" s="1013"/>
      <c r="J310" s="1013"/>
      <c r="K310" s="1028"/>
      <c r="L310" s="1035" t="str">
        <f t="shared" si="123"/>
        <v/>
      </c>
      <c r="S310" s="498"/>
      <c r="AJ310" s="498"/>
      <c r="AM310" s="498">
        <f t="shared" si="104"/>
        <v>0</v>
      </c>
      <c r="AN310" s="498">
        <f t="shared" si="105"/>
        <v>0</v>
      </c>
      <c r="AO310" s="498">
        <f t="shared" si="106"/>
        <v>0</v>
      </c>
      <c r="AP310" s="498">
        <f t="shared" si="125"/>
        <v>0</v>
      </c>
      <c r="AQ310" s="498">
        <f t="shared" si="120"/>
        <v>0</v>
      </c>
      <c r="AU310" s="498">
        <f t="shared" si="107"/>
        <v>0</v>
      </c>
      <c r="AV310" s="498">
        <f t="shared" si="108"/>
        <v>0</v>
      </c>
      <c r="AW310" s="498">
        <f t="shared" si="109"/>
        <v>0</v>
      </c>
      <c r="AX310" s="498">
        <f t="shared" si="110"/>
        <v>0</v>
      </c>
      <c r="AY310" s="498">
        <f t="shared" si="111"/>
        <v>0</v>
      </c>
      <c r="BB310" s="498" t="str">
        <f t="shared" si="112"/>
        <v/>
      </c>
      <c r="BC310" s="743" t="str">
        <f t="shared" si="113"/>
        <v/>
      </c>
      <c r="BD310" s="743" t="str">
        <f t="shared" si="114"/>
        <v/>
      </c>
      <c r="BE310" s="743" t="str">
        <f>IF(D310="","",VLOOKUP(D310,'General Basis'!$J$39:$K$46,2,0))</f>
        <v/>
      </c>
      <c r="BF310" s="744" t="str">
        <f>IF(D310="","",VLOOKUP(D310,'General Basis'!$J$39:$L$46,3,0))</f>
        <v/>
      </c>
      <c r="BG310" s="744" t="str">
        <f t="shared" si="121"/>
        <v/>
      </c>
      <c r="BH310" s="744" t="str">
        <f>IF(G310="","",IF(BF310="Abu Dhabi",IF(G310&lt;18,'General Basis'!$C$39,IF(G310&lt;41,'General Basis'!$C$40,IF(G310&lt;60,'General Basis'!$C$41,IF(G310&lt;65,'General Basis'!$C$42,'General Basis'!$C$43)))),IF(G310&lt;11,'General Basis'!$B$39,IF(G310&lt;18,'General Basis'!$B$40,IF(G310&lt;26,'General Basis'!$B$41,IF(G310&lt;31,'General Basis'!$B$42,IF(G310&lt;36,'General Basis'!$B$43,IF(G310&lt;41,'General Basis'!$B$44,IF(G310&lt;46,'General Basis'!$B$45,IF(G310&lt;51,'General Basis'!$B$46,IF(G310&lt;56,'General Basis'!$B$47,IF(G310&lt;60,'General Basis'!$B$48,IF(G310&lt;65,'General Basis'!$B$49,'General Basis'!$B$50)))))))))))))</f>
        <v/>
      </c>
      <c r="BI310" s="744" t="str">
        <f t="shared" si="115"/>
        <v/>
      </c>
      <c r="BJ310" s="747" t="str">
        <f t="shared" si="122"/>
        <v/>
      </c>
      <c r="BK310" s="498" t="str">
        <f t="shared" si="116"/>
        <v/>
      </c>
      <c r="BL310" s="498" t="str">
        <f t="shared" si="117"/>
        <v/>
      </c>
    </row>
    <row r="311" spans="1:64" x14ac:dyDescent="0.25">
      <c r="A311" s="762">
        <f t="shared" si="118"/>
        <v>306</v>
      </c>
      <c r="B311" s="229"/>
      <c r="C311" s="223"/>
      <c r="D311" s="224"/>
      <c r="E311" s="225"/>
      <c r="F311" s="1036" t="str">
        <f t="shared" si="124"/>
        <v/>
      </c>
      <c r="G311" s="1037" t="str">
        <f t="shared" si="119"/>
        <v/>
      </c>
      <c r="H311" s="225"/>
      <c r="I311" s="1013"/>
      <c r="J311" s="1013"/>
      <c r="K311" s="1028"/>
      <c r="L311" s="1035" t="str">
        <f t="shared" si="123"/>
        <v/>
      </c>
      <c r="S311" s="498"/>
      <c r="AJ311" s="498"/>
      <c r="AM311" s="498">
        <f t="shared" si="104"/>
        <v>0</v>
      </c>
      <c r="AN311" s="498">
        <f t="shared" si="105"/>
        <v>0</v>
      </c>
      <c r="AO311" s="498">
        <f t="shared" si="106"/>
        <v>0</v>
      </c>
      <c r="AP311" s="498">
        <f t="shared" si="125"/>
        <v>0</v>
      </c>
      <c r="AQ311" s="498">
        <f t="shared" si="120"/>
        <v>0</v>
      </c>
      <c r="AU311" s="498">
        <f t="shared" si="107"/>
        <v>0</v>
      </c>
      <c r="AV311" s="498">
        <f t="shared" si="108"/>
        <v>0</v>
      </c>
      <c r="AW311" s="498">
        <f t="shared" si="109"/>
        <v>0</v>
      </c>
      <c r="AX311" s="498">
        <f t="shared" si="110"/>
        <v>0</v>
      </c>
      <c r="AY311" s="498">
        <f t="shared" si="111"/>
        <v>0</v>
      </c>
      <c r="BB311" s="498" t="str">
        <f t="shared" si="112"/>
        <v/>
      </c>
      <c r="BC311" s="743" t="str">
        <f t="shared" si="113"/>
        <v/>
      </c>
      <c r="BD311" s="743" t="str">
        <f t="shared" si="114"/>
        <v/>
      </c>
      <c r="BE311" s="743" t="str">
        <f>IF(D311="","",VLOOKUP(D311,'General Basis'!$J$39:$K$46,2,0))</f>
        <v/>
      </c>
      <c r="BF311" s="744" t="str">
        <f>IF(D311="","",VLOOKUP(D311,'General Basis'!$J$39:$L$46,3,0))</f>
        <v/>
      </c>
      <c r="BG311" s="744" t="str">
        <f t="shared" si="121"/>
        <v/>
      </c>
      <c r="BH311" s="744" t="str">
        <f>IF(G311="","",IF(BF311="Abu Dhabi",IF(G311&lt;18,'General Basis'!$C$39,IF(G311&lt;41,'General Basis'!$C$40,IF(G311&lt;60,'General Basis'!$C$41,IF(G311&lt;65,'General Basis'!$C$42,'General Basis'!$C$43)))),IF(G311&lt;11,'General Basis'!$B$39,IF(G311&lt;18,'General Basis'!$B$40,IF(G311&lt;26,'General Basis'!$B$41,IF(G311&lt;31,'General Basis'!$B$42,IF(G311&lt;36,'General Basis'!$B$43,IF(G311&lt;41,'General Basis'!$B$44,IF(G311&lt;46,'General Basis'!$B$45,IF(G311&lt;51,'General Basis'!$B$46,IF(G311&lt;56,'General Basis'!$B$47,IF(G311&lt;60,'General Basis'!$B$48,IF(G311&lt;65,'General Basis'!$B$49,'General Basis'!$B$50)))))))))))))</f>
        <v/>
      </c>
      <c r="BI311" s="744" t="str">
        <f t="shared" si="115"/>
        <v/>
      </c>
      <c r="BJ311" s="747" t="str">
        <f t="shared" si="122"/>
        <v/>
      </c>
      <c r="BK311" s="498" t="str">
        <f t="shared" si="116"/>
        <v/>
      </c>
      <c r="BL311" s="498" t="str">
        <f t="shared" si="117"/>
        <v/>
      </c>
    </row>
    <row r="312" spans="1:64" x14ac:dyDescent="0.25">
      <c r="A312" s="762">
        <f t="shared" si="118"/>
        <v>307</v>
      </c>
      <c r="B312" s="229"/>
      <c r="C312" s="223"/>
      <c r="D312" s="224"/>
      <c r="E312" s="225"/>
      <c r="F312" s="1036" t="str">
        <f t="shared" si="124"/>
        <v/>
      </c>
      <c r="G312" s="1037" t="str">
        <f t="shared" si="119"/>
        <v/>
      </c>
      <c r="H312" s="225"/>
      <c r="I312" s="1013"/>
      <c r="J312" s="1013"/>
      <c r="K312" s="1028"/>
      <c r="L312" s="1035" t="str">
        <f t="shared" si="123"/>
        <v/>
      </c>
      <c r="S312" s="498"/>
      <c r="AJ312" s="498"/>
      <c r="AM312" s="498">
        <f t="shared" si="104"/>
        <v>0</v>
      </c>
      <c r="AN312" s="498">
        <f t="shared" si="105"/>
        <v>0</v>
      </c>
      <c r="AO312" s="498">
        <f t="shared" si="106"/>
        <v>0</v>
      </c>
      <c r="AP312" s="498">
        <f t="shared" si="125"/>
        <v>0</v>
      </c>
      <c r="AQ312" s="498">
        <f t="shared" si="120"/>
        <v>0</v>
      </c>
      <c r="AU312" s="498">
        <f t="shared" si="107"/>
        <v>0</v>
      </c>
      <c r="AV312" s="498">
        <f t="shared" si="108"/>
        <v>0</v>
      </c>
      <c r="AW312" s="498">
        <f t="shared" si="109"/>
        <v>0</v>
      </c>
      <c r="AX312" s="498">
        <f t="shared" si="110"/>
        <v>0</v>
      </c>
      <c r="AY312" s="498">
        <f t="shared" si="111"/>
        <v>0</v>
      </c>
      <c r="BB312" s="498" t="str">
        <f t="shared" si="112"/>
        <v/>
      </c>
      <c r="BC312" s="743" t="str">
        <f t="shared" si="113"/>
        <v/>
      </c>
      <c r="BD312" s="743" t="str">
        <f t="shared" si="114"/>
        <v/>
      </c>
      <c r="BE312" s="743" t="str">
        <f>IF(D312="","",VLOOKUP(D312,'General Basis'!$J$39:$K$46,2,0))</f>
        <v/>
      </c>
      <c r="BF312" s="744" t="str">
        <f>IF(D312="","",VLOOKUP(D312,'General Basis'!$J$39:$L$46,3,0))</f>
        <v/>
      </c>
      <c r="BG312" s="744" t="str">
        <f t="shared" si="121"/>
        <v/>
      </c>
      <c r="BH312" s="744" t="str">
        <f>IF(G312="","",IF(BF312="Abu Dhabi",IF(G312&lt;18,'General Basis'!$C$39,IF(G312&lt;41,'General Basis'!$C$40,IF(G312&lt;60,'General Basis'!$C$41,IF(G312&lt;65,'General Basis'!$C$42,'General Basis'!$C$43)))),IF(G312&lt;11,'General Basis'!$B$39,IF(G312&lt;18,'General Basis'!$B$40,IF(G312&lt;26,'General Basis'!$B$41,IF(G312&lt;31,'General Basis'!$B$42,IF(G312&lt;36,'General Basis'!$B$43,IF(G312&lt;41,'General Basis'!$B$44,IF(G312&lt;46,'General Basis'!$B$45,IF(G312&lt;51,'General Basis'!$B$46,IF(G312&lt;56,'General Basis'!$B$47,IF(G312&lt;60,'General Basis'!$B$48,IF(G312&lt;65,'General Basis'!$B$49,'General Basis'!$B$50)))))))))))))</f>
        <v/>
      </c>
      <c r="BI312" s="744" t="str">
        <f t="shared" si="115"/>
        <v/>
      </c>
      <c r="BJ312" s="747" t="str">
        <f t="shared" si="122"/>
        <v/>
      </c>
      <c r="BK312" s="498" t="str">
        <f t="shared" si="116"/>
        <v/>
      </c>
      <c r="BL312" s="498" t="str">
        <f t="shared" si="117"/>
        <v/>
      </c>
    </row>
    <row r="313" spans="1:64" x14ac:dyDescent="0.25">
      <c r="A313" s="762">
        <f t="shared" si="118"/>
        <v>308</v>
      </c>
      <c r="B313" s="229"/>
      <c r="C313" s="223"/>
      <c r="D313" s="224"/>
      <c r="E313" s="225"/>
      <c r="F313" s="1036" t="str">
        <f t="shared" si="124"/>
        <v/>
      </c>
      <c r="G313" s="1037" t="str">
        <f t="shared" si="119"/>
        <v/>
      </c>
      <c r="H313" s="225"/>
      <c r="I313" s="1013"/>
      <c r="J313" s="1013"/>
      <c r="K313" s="1028"/>
      <c r="L313" s="1035" t="str">
        <f t="shared" si="123"/>
        <v/>
      </c>
      <c r="S313" s="498"/>
      <c r="AJ313" s="498"/>
      <c r="AM313" s="498">
        <f t="shared" si="104"/>
        <v>0</v>
      </c>
      <c r="AN313" s="498">
        <f t="shared" si="105"/>
        <v>0</v>
      </c>
      <c r="AO313" s="498">
        <f t="shared" si="106"/>
        <v>0</v>
      </c>
      <c r="AP313" s="498">
        <f t="shared" si="125"/>
        <v>0</v>
      </c>
      <c r="AQ313" s="498">
        <f t="shared" si="120"/>
        <v>0</v>
      </c>
      <c r="AU313" s="498">
        <f t="shared" si="107"/>
        <v>0</v>
      </c>
      <c r="AV313" s="498">
        <f t="shared" si="108"/>
        <v>0</v>
      </c>
      <c r="AW313" s="498">
        <f t="shared" si="109"/>
        <v>0</v>
      </c>
      <c r="AX313" s="498">
        <f t="shared" si="110"/>
        <v>0</v>
      </c>
      <c r="AY313" s="498">
        <f t="shared" si="111"/>
        <v>0</v>
      </c>
      <c r="BB313" s="498" t="str">
        <f t="shared" si="112"/>
        <v/>
      </c>
      <c r="BC313" s="743" t="str">
        <f t="shared" si="113"/>
        <v/>
      </c>
      <c r="BD313" s="743" t="str">
        <f t="shared" si="114"/>
        <v/>
      </c>
      <c r="BE313" s="743" t="str">
        <f>IF(D313="","",VLOOKUP(D313,'General Basis'!$J$39:$K$46,2,0))</f>
        <v/>
      </c>
      <c r="BF313" s="744" t="str">
        <f>IF(D313="","",VLOOKUP(D313,'General Basis'!$J$39:$L$46,3,0))</f>
        <v/>
      </c>
      <c r="BG313" s="744" t="str">
        <f t="shared" si="121"/>
        <v/>
      </c>
      <c r="BH313" s="744" t="str">
        <f>IF(G313="","",IF(BF313="Abu Dhabi",IF(G313&lt;18,'General Basis'!$C$39,IF(G313&lt;41,'General Basis'!$C$40,IF(G313&lt;60,'General Basis'!$C$41,IF(G313&lt;65,'General Basis'!$C$42,'General Basis'!$C$43)))),IF(G313&lt;11,'General Basis'!$B$39,IF(G313&lt;18,'General Basis'!$B$40,IF(G313&lt;26,'General Basis'!$B$41,IF(G313&lt;31,'General Basis'!$B$42,IF(G313&lt;36,'General Basis'!$B$43,IF(G313&lt;41,'General Basis'!$B$44,IF(G313&lt;46,'General Basis'!$B$45,IF(G313&lt;51,'General Basis'!$B$46,IF(G313&lt;56,'General Basis'!$B$47,IF(G313&lt;60,'General Basis'!$B$48,IF(G313&lt;65,'General Basis'!$B$49,'General Basis'!$B$50)))))))))))))</f>
        <v/>
      </c>
      <c r="BI313" s="744" t="str">
        <f t="shared" si="115"/>
        <v/>
      </c>
      <c r="BJ313" s="747" t="str">
        <f t="shared" si="122"/>
        <v/>
      </c>
      <c r="BK313" s="498" t="str">
        <f t="shared" si="116"/>
        <v/>
      </c>
      <c r="BL313" s="498" t="str">
        <f t="shared" si="117"/>
        <v/>
      </c>
    </row>
    <row r="314" spans="1:64" x14ac:dyDescent="0.25">
      <c r="A314" s="762">
        <f t="shared" si="118"/>
        <v>309</v>
      </c>
      <c r="B314" s="229"/>
      <c r="C314" s="223"/>
      <c r="D314" s="224"/>
      <c r="E314" s="225"/>
      <c r="F314" s="1036" t="str">
        <f t="shared" si="124"/>
        <v/>
      </c>
      <c r="G314" s="1037" t="str">
        <f t="shared" si="119"/>
        <v/>
      </c>
      <c r="H314" s="225"/>
      <c r="I314" s="1013"/>
      <c r="J314" s="1013"/>
      <c r="K314" s="1028"/>
      <c r="L314" s="1035" t="str">
        <f t="shared" si="123"/>
        <v/>
      </c>
      <c r="S314" s="498"/>
      <c r="AJ314" s="498"/>
      <c r="AM314" s="498">
        <f t="shared" si="104"/>
        <v>0</v>
      </c>
      <c r="AN314" s="498">
        <f t="shared" si="105"/>
        <v>0</v>
      </c>
      <c r="AO314" s="498">
        <f t="shared" si="106"/>
        <v>0</v>
      </c>
      <c r="AP314" s="498">
        <f t="shared" si="125"/>
        <v>0</v>
      </c>
      <c r="AQ314" s="498">
        <f t="shared" si="120"/>
        <v>0</v>
      </c>
      <c r="AU314" s="498">
        <f t="shared" si="107"/>
        <v>0</v>
      </c>
      <c r="AV314" s="498">
        <f t="shared" si="108"/>
        <v>0</v>
      </c>
      <c r="AW314" s="498">
        <f t="shared" si="109"/>
        <v>0</v>
      </c>
      <c r="AX314" s="498">
        <f t="shared" si="110"/>
        <v>0</v>
      </c>
      <c r="AY314" s="498">
        <f t="shared" si="111"/>
        <v>0</v>
      </c>
      <c r="BB314" s="498" t="str">
        <f t="shared" si="112"/>
        <v/>
      </c>
      <c r="BC314" s="743" t="str">
        <f t="shared" si="113"/>
        <v/>
      </c>
      <c r="BD314" s="743" t="str">
        <f t="shared" si="114"/>
        <v/>
      </c>
      <c r="BE314" s="743" t="str">
        <f>IF(D314="","",VLOOKUP(D314,'General Basis'!$J$39:$K$46,2,0))</f>
        <v/>
      </c>
      <c r="BF314" s="744" t="str">
        <f>IF(D314="","",VLOOKUP(D314,'General Basis'!$J$39:$L$46,3,0))</f>
        <v/>
      </c>
      <c r="BG314" s="744" t="str">
        <f t="shared" si="121"/>
        <v/>
      </c>
      <c r="BH314" s="744" t="str">
        <f>IF(G314="","",IF(BF314="Abu Dhabi",IF(G314&lt;18,'General Basis'!$C$39,IF(G314&lt;41,'General Basis'!$C$40,IF(G314&lt;60,'General Basis'!$C$41,IF(G314&lt;65,'General Basis'!$C$42,'General Basis'!$C$43)))),IF(G314&lt;11,'General Basis'!$B$39,IF(G314&lt;18,'General Basis'!$B$40,IF(G314&lt;26,'General Basis'!$B$41,IF(G314&lt;31,'General Basis'!$B$42,IF(G314&lt;36,'General Basis'!$B$43,IF(G314&lt;41,'General Basis'!$B$44,IF(G314&lt;46,'General Basis'!$B$45,IF(G314&lt;51,'General Basis'!$B$46,IF(G314&lt;56,'General Basis'!$B$47,IF(G314&lt;60,'General Basis'!$B$48,IF(G314&lt;65,'General Basis'!$B$49,'General Basis'!$B$50)))))))))))))</f>
        <v/>
      </c>
      <c r="BI314" s="744" t="str">
        <f t="shared" si="115"/>
        <v/>
      </c>
      <c r="BJ314" s="747" t="str">
        <f t="shared" si="122"/>
        <v/>
      </c>
      <c r="BK314" s="498" t="str">
        <f t="shared" si="116"/>
        <v/>
      </c>
      <c r="BL314" s="498" t="str">
        <f t="shared" si="117"/>
        <v/>
      </c>
    </row>
    <row r="315" spans="1:64" x14ac:dyDescent="0.25">
      <c r="A315" s="762">
        <f t="shared" si="118"/>
        <v>310</v>
      </c>
      <c r="B315" s="229"/>
      <c r="C315" s="223"/>
      <c r="D315" s="224"/>
      <c r="E315" s="225"/>
      <c r="F315" s="1036" t="str">
        <f t="shared" si="124"/>
        <v/>
      </c>
      <c r="G315" s="1037" t="str">
        <f t="shared" si="119"/>
        <v/>
      </c>
      <c r="H315" s="225"/>
      <c r="I315" s="1013"/>
      <c r="J315" s="1013"/>
      <c r="K315" s="1028"/>
      <c r="L315" s="1035" t="str">
        <f t="shared" si="123"/>
        <v/>
      </c>
      <c r="S315" s="498"/>
      <c r="AJ315" s="498"/>
      <c r="AM315" s="498">
        <f t="shared" si="104"/>
        <v>0</v>
      </c>
      <c r="AN315" s="498">
        <f t="shared" si="105"/>
        <v>0</v>
      </c>
      <c r="AO315" s="498">
        <f t="shared" si="106"/>
        <v>0</v>
      </c>
      <c r="AP315" s="498">
        <f t="shared" si="125"/>
        <v>0</v>
      </c>
      <c r="AQ315" s="498">
        <f t="shared" si="120"/>
        <v>0</v>
      </c>
      <c r="AU315" s="498">
        <f t="shared" si="107"/>
        <v>0</v>
      </c>
      <c r="AV315" s="498">
        <f t="shared" si="108"/>
        <v>0</v>
      </c>
      <c r="AW315" s="498">
        <f t="shared" si="109"/>
        <v>0</v>
      </c>
      <c r="AX315" s="498">
        <f t="shared" si="110"/>
        <v>0</v>
      </c>
      <c r="AY315" s="498">
        <f t="shared" si="111"/>
        <v>0</v>
      </c>
      <c r="BB315" s="498" t="str">
        <f t="shared" si="112"/>
        <v/>
      </c>
      <c r="BC315" s="743" t="str">
        <f t="shared" si="113"/>
        <v/>
      </c>
      <c r="BD315" s="743" t="str">
        <f t="shared" si="114"/>
        <v/>
      </c>
      <c r="BE315" s="743" t="str">
        <f>IF(D315="","",VLOOKUP(D315,'General Basis'!$J$39:$K$46,2,0))</f>
        <v/>
      </c>
      <c r="BF315" s="744" t="str">
        <f>IF(D315="","",VLOOKUP(D315,'General Basis'!$J$39:$L$46,3,0))</f>
        <v/>
      </c>
      <c r="BG315" s="744" t="str">
        <f t="shared" si="121"/>
        <v/>
      </c>
      <c r="BH315" s="744" t="str">
        <f>IF(G315="","",IF(BF315="Abu Dhabi",IF(G315&lt;18,'General Basis'!$C$39,IF(G315&lt;41,'General Basis'!$C$40,IF(G315&lt;60,'General Basis'!$C$41,IF(G315&lt;65,'General Basis'!$C$42,'General Basis'!$C$43)))),IF(G315&lt;11,'General Basis'!$B$39,IF(G315&lt;18,'General Basis'!$B$40,IF(G315&lt;26,'General Basis'!$B$41,IF(G315&lt;31,'General Basis'!$B$42,IF(G315&lt;36,'General Basis'!$B$43,IF(G315&lt;41,'General Basis'!$B$44,IF(G315&lt;46,'General Basis'!$B$45,IF(G315&lt;51,'General Basis'!$B$46,IF(G315&lt;56,'General Basis'!$B$47,IF(G315&lt;60,'General Basis'!$B$48,IF(G315&lt;65,'General Basis'!$B$49,'General Basis'!$B$50)))))))))))))</f>
        <v/>
      </c>
      <c r="BI315" s="744" t="str">
        <f t="shared" si="115"/>
        <v/>
      </c>
      <c r="BJ315" s="747" t="str">
        <f t="shared" si="122"/>
        <v/>
      </c>
      <c r="BK315" s="498" t="str">
        <f t="shared" si="116"/>
        <v/>
      </c>
      <c r="BL315" s="498" t="str">
        <f t="shared" si="117"/>
        <v/>
      </c>
    </row>
    <row r="316" spans="1:64" x14ac:dyDescent="0.25">
      <c r="A316" s="762">
        <f t="shared" si="118"/>
        <v>311</v>
      </c>
      <c r="B316" s="229"/>
      <c r="C316" s="223"/>
      <c r="D316" s="224"/>
      <c r="E316" s="225"/>
      <c r="F316" s="1036" t="str">
        <f t="shared" si="124"/>
        <v/>
      </c>
      <c r="G316" s="1037" t="str">
        <f t="shared" si="119"/>
        <v/>
      </c>
      <c r="H316" s="225"/>
      <c r="I316" s="1013"/>
      <c r="J316" s="1013"/>
      <c r="K316" s="1028"/>
      <c r="L316" s="1035" t="str">
        <f t="shared" si="123"/>
        <v/>
      </c>
      <c r="S316" s="498"/>
      <c r="AJ316" s="498"/>
      <c r="AM316" s="498">
        <f t="shared" si="104"/>
        <v>0</v>
      </c>
      <c r="AN316" s="498">
        <f t="shared" si="105"/>
        <v>0</v>
      </c>
      <c r="AO316" s="498">
        <f t="shared" si="106"/>
        <v>0</v>
      </c>
      <c r="AP316" s="498">
        <f t="shared" si="125"/>
        <v>0</v>
      </c>
      <c r="AQ316" s="498">
        <f t="shared" si="120"/>
        <v>0</v>
      </c>
      <c r="AU316" s="498">
        <f t="shared" si="107"/>
        <v>0</v>
      </c>
      <c r="AV316" s="498">
        <f t="shared" si="108"/>
        <v>0</v>
      </c>
      <c r="AW316" s="498">
        <f t="shared" si="109"/>
        <v>0</v>
      </c>
      <c r="AX316" s="498">
        <f t="shared" si="110"/>
        <v>0</v>
      </c>
      <c r="AY316" s="498">
        <f t="shared" si="111"/>
        <v>0</v>
      </c>
      <c r="BB316" s="498" t="str">
        <f t="shared" si="112"/>
        <v/>
      </c>
      <c r="BC316" s="743" t="str">
        <f t="shared" si="113"/>
        <v/>
      </c>
      <c r="BD316" s="743" t="str">
        <f t="shared" si="114"/>
        <v/>
      </c>
      <c r="BE316" s="743" t="str">
        <f>IF(D316="","",VLOOKUP(D316,'General Basis'!$J$39:$K$46,2,0))</f>
        <v/>
      </c>
      <c r="BF316" s="744" t="str">
        <f>IF(D316="","",VLOOKUP(D316,'General Basis'!$J$39:$L$46,3,0))</f>
        <v/>
      </c>
      <c r="BG316" s="744" t="str">
        <f t="shared" si="121"/>
        <v/>
      </c>
      <c r="BH316" s="744" t="str">
        <f>IF(G316="","",IF(BF316="Abu Dhabi",IF(G316&lt;18,'General Basis'!$C$39,IF(G316&lt;41,'General Basis'!$C$40,IF(G316&lt;60,'General Basis'!$C$41,IF(G316&lt;65,'General Basis'!$C$42,'General Basis'!$C$43)))),IF(G316&lt;11,'General Basis'!$B$39,IF(G316&lt;18,'General Basis'!$B$40,IF(G316&lt;26,'General Basis'!$B$41,IF(G316&lt;31,'General Basis'!$B$42,IF(G316&lt;36,'General Basis'!$B$43,IF(G316&lt;41,'General Basis'!$B$44,IF(G316&lt;46,'General Basis'!$B$45,IF(G316&lt;51,'General Basis'!$B$46,IF(G316&lt;56,'General Basis'!$B$47,IF(G316&lt;60,'General Basis'!$B$48,IF(G316&lt;65,'General Basis'!$B$49,'General Basis'!$B$50)))))))))))))</f>
        <v/>
      </c>
      <c r="BI316" s="744" t="str">
        <f t="shared" si="115"/>
        <v/>
      </c>
      <c r="BJ316" s="747" t="str">
        <f t="shared" si="122"/>
        <v/>
      </c>
      <c r="BK316" s="498" t="str">
        <f t="shared" si="116"/>
        <v/>
      </c>
      <c r="BL316" s="498" t="str">
        <f t="shared" si="117"/>
        <v/>
      </c>
    </row>
    <row r="317" spans="1:64" x14ac:dyDescent="0.25">
      <c r="A317" s="762">
        <f t="shared" si="118"/>
        <v>312</v>
      </c>
      <c r="B317" s="229"/>
      <c r="C317" s="223"/>
      <c r="D317" s="224"/>
      <c r="E317" s="225"/>
      <c r="F317" s="1036" t="str">
        <f t="shared" si="124"/>
        <v/>
      </c>
      <c r="G317" s="1037" t="str">
        <f t="shared" si="119"/>
        <v/>
      </c>
      <c r="H317" s="225"/>
      <c r="I317" s="1013"/>
      <c r="J317" s="1013"/>
      <c r="K317" s="1028"/>
      <c r="L317" s="1035" t="str">
        <f t="shared" si="123"/>
        <v/>
      </c>
      <c r="S317" s="498"/>
      <c r="AJ317" s="498"/>
      <c r="AM317" s="498">
        <f t="shared" si="104"/>
        <v>0</v>
      </c>
      <c r="AN317" s="498">
        <f t="shared" si="105"/>
        <v>0</v>
      </c>
      <c r="AO317" s="498">
        <f t="shared" si="106"/>
        <v>0</v>
      </c>
      <c r="AP317" s="498">
        <f t="shared" si="125"/>
        <v>0</v>
      </c>
      <c r="AQ317" s="498">
        <f t="shared" si="120"/>
        <v>0</v>
      </c>
      <c r="AU317" s="498">
        <f t="shared" si="107"/>
        <v>0</v>
      </c>
      <c r="AV317" s="498">
        <f t="shared" si="108"/>
        <v>0</v>
      </c>
      <c r="AW317" s="498">
        <f t="shared" si="109"/>
        <v>0</v>
      </c>
      <c r="AX317" s="498">
        <f t="shared" si="110"/>
        <v>0</v>
      </c>
      <c r="AY317" s="498">
        <f t="shared" si="111"/>
        <v>0</v>
      </c>
      <c r="BB317" s="498" t="str">
        <f t="shared" si="112"/>
        <v/>
      </c>
      <c r="BC317" s="743" t="str">
        <f t="shared" si="113"/>
        <v/>
      </c>
      <c r="BD317" s="743" t="str">
        <f t="shared" si="114"/>
        <v/>
      </c>
      <c r="BE317" s="743" t="str">
        <f>IF(D317="","",VLOOKUP(D317,'General Basis'!$J$39:$K$46,2,0))</f>
        <v/>
      </c>
      <c r="BF317" s="744" t="str">
        <f>IF(D317="","",VLOOKUP(D317,'General Basis'!$J$39:$L$46,3,0))</f>
        <v/>
      </c>
      <c r="BG317" s="744" t="str">
        <f t="shared" si="121"/>
        <v/>
      </c>
      <c r="BH317" s="744" t="str">
        <f>IF(G317="","",IF(BF317="Abu Dhabi",IF(G317&lt;18,'General Basis'!$C$39,IF(G317&lt;41,'General Basis'!$C$40,IF(G317&lt;60,'General Basis'!$C$41,IF(G317&lt;65,'General Basis'!$C$42,'General Basis'!$C$43)))),IF(G317&lt;11,'General Basis'!$B$39,IF(G317&lt;18,'General Basis'!$B$40,IF(G317&lt;26,'General Basis'!$B$41,IF(G317&lt;31,'General Basis'!$B$42,IF(G317&lt;36,'General Basis'!$B$43,IF(G317&lt;41,'General Basis'!$B$44,IF(G317&lt;46,'General Basis'!$B$45,IF(G317&lt;51,'General Basis'!$B$46,IF(G317&lt;56,'General Basis'!$B$47,IF(G317&lt;60,'General Basis'!$B$48,IF(G317&lt;65,'General Basis'!$B$49,'General Basis'!$B$50)))))))))))))</f>
        <v/>
      </c>
      <c r="BI317" s="744" t="str">
        <f t="shared" si="115"/>
        <v/>
      </c>
      <c r="BJ317" s="747" t="str">
        <f t="shared" si="122"/>
        <v/>
      </c>
      <c r="BK317" s="498" t="str">
        <f t="shared" si="116"/>
        <v/>
      </c>
      <c r="BL317" s="498" t="str">
        <f t="shared" si="117"/>
        <v/>
      </c>
    </row>
    <row r="318" spans="1:64" x14ac:dyDescent="0.25">
      <c r="A318" s="762">
        <f t="shared" si="118"/>
        <v>313</v>
      </c>
      <c r="B318" s="229"/>
      <c r="C318" s="223"/>
      <c r="D318" s="224"/>
      <c r="E318" s="225"/>
      <c r="F318" s="1036" t="str">
        <f t="shared" si="124"/>
        <v/>
      </c>
      <c r="G318" s="1037" t="str">
        <f t="shared" si="119"/>
        <v/>
      </c>
      <c r="H318" s="225"/>
      <c r="I318" s="1013"/>
      <c r="J318" s="1013"/>
      <c r="K318" s="1028"/>
      <c r="L318" s="1035" t="str">
        <f t="shared" si="123"/>
        <v/>
      </c>
      <c r="S318" s="498"/>
      <c r="AJ318" s="498"/>
      <c r="AM318" s="498">
        <f t="shared" si="104"/>
        <v>0</v>
      </c>
      <c r="AN318" s="498">
        <f t="shared" si="105"/>
        <v>0</v>
      </c>
      <c r="AO318" s="498">
        <f t="shared" si="106"/>
        <v>0</v>
      </c>
      <c r="AP318" s="498">
        <f t="shared" si="125"/>
        <v>0</v>
      </c>
      <c r="AQ318" s="498">
        <f t="shared" si="120"/>
        <v>0</v>
      </c>
      <c r="AU318" s="498">
        <f t="shared" si="107"/>
        <v>0</v>
      </c>
      <c r="AV318" s="498">
        <f t="shared" si="108"/>
        <v>0</v>
      </c>
      <c r="AW318" s="498">
        <f t="shared" si="109"/>
        <v>0</v>
      </c>
      <c r="AX318" s="498">
        <f t="shared" si="110"/>
        <v>0</v>
      </c>
      <c r="AY318" s="498">
        <f t="shared" si="111"/>
        <v>0</v>
      </c>
      <c r="BB318" s="498" t="str">
        <f t="shared" si="112"/>
        <v/>
      </c>
      <c r="BC318" s="743" t="str">
        <f t="shared" si="113"/>
        <v/>
      </c>
      <c r="BD318" s="743" t="str">
        <f t="shared" si="114"/>
        <v/>
      </c>
      <c r="BE318" s="743" t="str">
        <f>IF(D318="","",VLOOKUP(D318,'General Basis'!$J$39:$K$46,2,0))</f>
        <v/>
      </c>
      <c r="BF318" s="744" t="str">
        <f>IF(D318="","",VLOOKUP(D318,'General Basis'!$J$39:$L$46,3,0))</f>
        <v/>
      </c>
      <c r="BG318" s="744" t="str">
        <f t="shared" si="121"/>
        <v/>
      </c>
      <c r="BH318" s="744" t="str">
        <f>IF(G318="","",IF(BF318="Abu Dhabi",IF(G318&lt;18,'General Basis'!$C$39,IF(G318&lt;41,'General Basis'!$C$40,IF(G318&lt;60,'General Basis'!$C$41,IF(G318&lt;65,'General Basis'!$C$42,'General Basis'!$C$43)))),IF(G318&lt;11,'General Basis'!$B$39,IF(G318&lt;18,'General Basis'!$B$40,IF(G318&lt;26,'General Basis'!$B$41,IF(G318&lt;31,'General Basis'!$B$42,IF(G318&lt;36,'General Basis'!$B$43,IF(G318&lt;41,'General Basis'!$B$44,IF(G318&lt;46,'General Basis'!$B$45,IF(G318&lt;51,'General Basis'!$B$46,IF(G318&lt;56,'General Basis'!$B$47,IF(G318&lt;60,'General Basis'!$B$48,IF(G318&lt;65,'General Basis'!$B$49,'General Basis'!$B$50)))))))))))))</f>
        <v/>
      </c>
      <c r="BI318" s="744" t="str">
        <f t="shared" si="115"/>
        <v/>
      </c>
      <c r="BJ318" s="747" t="str">
        <f t="shared" si="122"/>
        <v/>
      </c>
      <c r="BK318" s="498" t="str">
        <f t="shared" si="116"/>
        <v/>
      </c>
      <c r="BL318" s="498" t="str">
        <f t="shared" si="117"/>
        <v/>
      </c>
    </row>
    <row r="319" spans="1:64" x14ac:dyDescent="0.25">
      <c r="A319" s="762">
        <f t="shared" si="118"/>
        <v>314</v>
      </c>
      <c r="B319" s="229"/>
      <c r="C319" s="223"/>
      <c r="D319" s="224"/>
      <c r="E319" s="225"/>
      <c r="F319" s="1036" t="str">
        <f t="shared" si="124"/>
        <v/>
      </c>
      <c r="G319" s="1037" t="str">
        <f t="shared" si="119"/>
        <v/>
      </c>
      <c r="H319" s="225"/>
      <c r="I319" s="1013"/>
      <c r="J319" s="1013"/>
      <c r="K319" s="1028"/>
      <c r="L319" s="1035" t="str">
        <f t="shared" si="123"/>
        <v/>
      </c>
      <c r="S319" s="498"/>
      <c r="AJ319" s="498"/>
      <c r="AM319" s="498">
        <f t="shared" si="104"/>
        <v>0</v>
      </c>
      <c r="AN319" s="498">
        <f t="shared" si="105"/>
        <v>0</v>
      </c>
      <c r="AO319" s="498">
        <f t="shared" si="106"/>
        <v>0</v>
      </c>
      <c r="AP319" s="498">
        <f t="shared" si="125"/>
        <v>0</v>
      </c>
      <c r="AQ319" s="498">
        <f t="shared" si="120"/>
        <v>0</v>
      </c>
      <c r="AU319" s="498">
        <f t="shared" si="107"/>
        <v>0</v>
      </c>
      <c r="AV319" s="498">
        <f t="shared" si="108"/>
        <v>0</v>
      </c>
      <c r="AW319" s="498">
        <f t="shared" si="109"/>
        <v>0</v>
      </c>
      <c r="AX319" s="498">
        <f t="shared" si="110"/>
        <v>0</v>
      </c>
      <c r="AY319" s="498">
        <f t="shared" si="111"/>
        <v>0</v>
      </c>
      <c r="BB319" s="498" t="str">
        <f t="shared" si="112"/>
        <v/>
      </c>
      <c r="BC319" s="743" t="str">
        <f t="shared" si="113"/>
        <v/>
      </c>
      <c r="BD319" s="743" t="str">
        <f t="shared" si="114"/>
        <v/>
      </c>
      <c r="BE319" s="743" t="str">
        <f>IF(D319="","",VLOOKUP(D319,'General Basis'!$J$39:$K$46,2,0))</f>
        <v/>
      </c>
      <c r="BF319" s="744" t="str">
        <f>IF(D319="","",VLOOKUP(D319,'General Basis'!$J$39:$L$46,3,0))</f>
        <v/>
      </c>
      <c r="BG319" s="744" t="str">
        <f t="shared" si="121"/>
        <v/>
      </c>
      <c r="BH319" s="744" t="str">
        <f>IF(G319="","",IF(BF319="Abu Dhabi",IF(G319&lt;18,'General Basis'!$C$39,IF(G319&lt;41,'General Basis'!$C$40,IF(G319&lt;60,'General Basis'!$C$41,IF(G319&lt;65,'General Basis'!$C$42,'General Basis'!$C$43)))),IF(G319&lt;11,'General Basis'!$B$39,IF(G319&lt;18,'General Basis'!$B$40,IF(G319&lt;26,'General Basis'!$B$41,IF(G319&lt;31,'General Basis'!$B$42,IF(G319&lt;36,'General Basis'!$B$43,IF(G319&lt;41,'General Basis'!$B$44,IF(G319&lt;46,'General Basis'!$B$45,IF(G319&lt;51,'General Basis'!$B$46,IF(G319&lt;56,'General Basis'!$B$47,IF(G319&lt;60,'General Basis'!$B$48,IF(G319&lt;65,'General Basis'!$B$49,'General Basis'!$B$50)))))))))))))</f>
        <v/>
      </c>
      <c r="BI319" s="744" t="str">
        <f t="shared" si="115"/>
        <v/>
      </c>
      <c r="BJ319" s="747" t="str">
        <f t="shared" si="122"/>
        <v/>
      </c>
      <c r="BK319" s="498" t="str">
        <f t="shared" si="116"/>
        <v/>
      </c>
      <c r="BL319" s="498" t="str">
        <f t="shared" si="117"/>
        <v/>
      </c>
    </row>
    <row r="320" spans="1:64" x14ac:dyDescent="0.25">
      <c r="A320" s="762">
        <f t="shared" si="118"/>
        <v>315</v>
      </c>
      <c r="B320" s="229"/>
      <c r="C320" s="223"/>
      <c r="D320" s="224"/>
      <c r="E320" s="225"/>
      <c r="F320" s="1036" t="str">
        <f t="shared" si="124"/>
        <v/>
      </c>
      <c r="G320" s="1037" t="str">
        <f t="shared" si="119"/>
        <v/>
      </c>
      <c r="H320" s="225"/>
      <c r="I320" s="1013"/>
      <c r="J320" s="1013"/>
      <c r="K320" s="1028"/>
      <c r="L320" s="1035" t="str">
        <f t="shared" si="123"/>
        <v/>
      </c>
      <c r="S320" s="498"/>
      <c r="AJ320" s="498"/>
      <c r="AM320" s="498">
        <f t="shared" si="104"/>
        <v>0</v>
      </c>
      <c r="AN320" s="498">
        <f t="shared" si="105"/>
        <v>0</v>
      </c>
      <c r="AO320" s="498">
        <f t="shared" si="106"/>
        <v>0</v>
      </c>
      <c r="AP320" s="498">
        <f t="shared" si="125"/>
        <v>0</v>
      </c>
      <c r="AQ320" s="498">
        <f t="shared" si="120"/>
        <v>0</v>
      </c>
      <c r="AU320" s="498">
        <f t="shared" si="107"/>
        <v>0</v>
      </c>
      <c r="AV320" s="498">
        <f t="shared" si="108"/>
        <v>0</v>
      </c>
      <c r="AW320" s="498">
        <f t="shared" si="109"/>
        <v>0</v>
      </c>
      <c r="AX320" s="498">
        <f t="shared" si="110"/>
        <v>0</v>
      </c>
      <c r="AY320" s="498">
        <f t="shared" si="111"/>
        <v>0</v>
      </c>
      <c r="BB320" s="498" t="str">
        <f t="shared" si="112"/>
        <v/>
      </c>
      <c r="BC320" s="743" t="str">
        <f t="shared" si="113"/>
        <v/>
      </c>
      <c r="BD320" s="743" t="str">
        <f t="shared" si="114"/>
        <v/>
      </c>
      <c r="BE320" s="743" t="str">
        <f>IF(D320="","",VLOOKUP(D320,'General Basis'!$J$39:$K$46,2,0))</f>
        <v/>
      </c>
      <c r="BF320" s="744" t="str">
        <f>IF(D320="","",VLOOKUP(D320,'General Basis'!$J$39:$L$46,3,0))</f>
        <v/>
      </c>
      <c r="BG320" s="744" t="str">
        <f t="shared" si="121"/>
        <v/>
      </c>
      <c r="BH320" s="744" t="str">
        <f>IF(G320="","",IF(BF320="Abu Dhabi",IF(G320&lt;18,'General Basis'!$C$39,IF(G320&lt;41,'General Basis'!$C$40,IF(G320&lt;60,'General Basis'!$C$41,IF(G320&lt;65,'General Basis'!$C$42,'General Basis'!$C$43)))),IF(G320&lt;11,'General Basis'!$B$39,IF(G320&lt;18,'General Basis'!$B$40,IF(G320&lt;26,'General Basis'!$B$41,IF(G320&lt;31,'General Basis'!$B$42,IF(G320&lt;36,'General Basis'!$B$43,IF(G320&lt;41,'General Basis'!$B$44,IF(G320&lt;46,'General Basis'!$B$45,IF(G320&lt;51,'General Basis'!$B$46,IF(G320&lt;56,'General Basis'!$B$47,IF(G320&lt;60,'General Basis'!$B$48,IF(G320&lt;65,'General Basis'!$B$49,'General Basis'!$B$50)))))))))))))</f>
        <v/>
      </c>
      <c r="BI320" s="744" t="str">
        <f t="shared" si="115"/>
        <v/>
      </c>
      <c r="BJ320" s="747" t="str">
        <f t="shared" si="122"/>
        <v/>
      </c>
      <c r="BK320" s="498" t="str">
        <f t="shared" si="116"/>
        <v/>
      </c>
      <c r="BL320" s="498" t="str">
        <f t="shared" si="117"/>
        <v/>
      </c>
    </row>
    <row r="321" spans="1:64" x14ac:dyDescent="0.25">
      <c r="A321" s="762">
        <f t="shared" si="118"/>
        <v>316</v>
      </c>
      <c r="B321" s="229"/>
      <c r="C321" s="223"/>
      <c r="D321" s="224"/>
      <c r="E321" s="225"/>
      <c r="F321" s="1036" t="str">
        <f t="shared" si="124"/>
        <v/>
      </c>
      <c r="G321" s="1037" t="str">
        <f t="shared" si="119"/>
        <v/>
      </c>
      <c r="H321" s="225"/>
      <c r="I321" s="1013"/>
      <c r="J321" s="1013"/>
      <c r="K321" s="1028"/>
      <c r="L321" s="1035" t="str">
        <f t="shared" si="123"/>
        <v/>
      </c>
      <c r="S321" s="498"/>
      <c r="AJ321" s="498"/>
      <c r="AM321" s="498">
        <f t="shared" si="104"/>
        <v>0</v>
      </c>
      <c r="AN321" s="498">
        <f t="shared" si="105"/>
        <v>0</v>
      </c>
      <c r="AO321" s="498">
        <f t="shared" si="106"/>
        <v>0</v>
      </c>
      <c r="AP321" s="498">
        <f t="shared" si="125"/>
        <v>0</v>
      </c>
      <c r="AQ321" s="498">
        <f t="shared" si="120"/>
        <v>0</v>
      </c>
      <c r="AU321" s="498">
        <f t="shared" si="107"/>
        <v>0</v>
      </c>
      <c r="AV321" s="498">
        <f t="shared" si="108"/>
        <v>0</v>
      </c>
      <c r="AW321" s="498">
        <f t="shared" si="109"/>
        <v>0</v>
      </c>
      <c r="AX321" s="498">
        <f t="shared" si="110"/>
        <v>0</v>
      </c>
      <c r="AY321" s="498">
        <f t="shared" si="111"/>
        <v>0</v>
      </c>
      <c r="BB321" s="498" t="str">
        <f t="shared" si="112"/>
        <v/>
      </c>
      <c r="BC321" s="743" t="str">
        <f t="shared" si="113"/>
        <v/>
      </c>
      <c r="BD321" s="743" t="str">
        <f t="shared" si="114"/>
        <v/>
      </c>
      <c r="BE321" s="743" t="str">
        <f>IF(D321="","",VLOOKUP(D321,'General Basis'!$J$39:$K$46,2,0))</f>
        <v/>
      </c>
      <c r="BF321" s="744" t="str">
        <f>IF(D321="","",VLOOKUP(D321,'General Basis'!$J$39:$L$46,3,0))</f>
        <v/>
      </c>
      <c r="BG321" s="744" t="str">
        <f t="shared" si="121"/>
        <v/>
      </c>
      <c r="BH321" s="744" t="str">
        <f>IF(G321="","",IF(BF321="Abu Dhabi",IF(G321&lt;18,'General Basis'!$C$39,IF(G321&lt;41,'General Basis'!$C$40,IF(G321&lt;60,'General Basis'!$C$41,IF(G321&lt;65,'General Basis'!$C$42,'General Basis'!$C$43)))),IF(G321&lt;11,'General Basis'!$B$39,IF(G321&lt;18,'General Basis'!$B$40,IF(G321&lt;26,'General Basis'!$B$41,IF(G321&lt;31,'General Basis'!$B$42,IF(G321&lt;36,'General Basis'!$B$43,IF(G321&lt;41,'General Basis'!$B$44,IF(G321&lt;46,'General Basis'!$B$45,IF(G321&lt;51,'General Basis'!$B$46,IF(G321&lt;56,'General Basis'!$B$47,IF(G321&lt;60,'General Basis'!$B$48,IF(G321&lt;65,'General Basis'!$B$49,'General Basis'!$B$50)))))))))))))</f>
        <v/>
      </c>
      <c r="BI321" s="744" t="str">
        <f t="shared" si="115"/>
        <v/>
      </c>
      <c r="BJ321" s="747" t="str">
        <f t="shared" si="122"/>
        <v/>
      </c>
      <c r="BK321" s="498" t="str">
        <f t="shared" si="116"/>
        <v/>
      </c>
      <c r="BL321" s="498" t="str">
        <f t="shared" si="117"/>
        <v/>
      </c>
    </row>
    <row r="322" spans="1:64" x14ac:dyDescent="0.25">
      <c r="A322" s="762">
        <f t="shared" si="118"/>
        <v>317</v>
      </c>
      <c r="B322" s="229"/>
      <c r="C322" s="223"/>
      <c r="D322" s="224"/>
      <c r="E322" s="225"/>
      <c r="F322" s="1036" t="str">
        <f t="shared" si="124"/>
        <v/>
      </c>
      <c r="G322" s="1037" t="str">
        <f t="shared" si="119"/>
        <v/>
      </c>
      <c r="H322" s="225"/>
      <c r="I322" s="1013"/>
      <c r="J322" s="1013"/>
      <c r="K322" s="1028"/>
      <c r="L322" s="1035" t="str">
        <f t="shared" si="123"/>
        <v/>
      </c>
      <c r="S322" s="498"/>
      <c r="AJ322" s="498"/>
      <c r="AM322" s="498">
        <f t="shared" si="104"/>
        <v>0</v>
      </c>
      <c r="AN322" s="498">
        <f t="shared" si="105"/>
        <v>0</v>
      </c>
      <c r="AO322" s="498">
        <f t="shared" si="106"/>
        <v>0</v>
      </c>
      <c r="AP322" s="498">
        <f t="shared" si="125"/>
        <v>0</v>
      </c>
      <c r="AQ322" s="498">
        <f t="shared" si="120"/>
        <v>0</v>
      </c>
      <c r="AU322" s="498">
        <f t="shared" si="107"/>
        <v>0</v>
      </c>
      <c r="AV322" s="498">
        <f t="shared" si="108"/>
        <v>0</v>
      </c>
      <c r="AW322" s="498">
        <f t="shared" si="109"/>
        <v>0</v>
      </c>
      <c r="AX322" s="498">
        <f t="shared" si="110"/>
        <v>0</v>
      </c>
      <c r="AY322" s="498">
        <f t="shared" si="111"/>
        <v>0</v>
      </c>
      <c r="BB322" s="498" t="str">
        <f t="shared" si="112"/>
        <v/>
      </c>
      <c r="BC322" s="743" t="str">
        <f t="shared" si="113"/>
        <v/>
      </c>
      <c r="BD322" s="743" t="str">
        <f t="shared" si="114"/>
        <v/>
      </c>
      <c r="BE322" s="743" t="str">
        <f>IF(D322="","",VLOOKUP(D322,'General Basis'!$J$39:$K$46,2,0))</f>
        <v/>
      </c>
      <c r="BF322" s="744" t="str">
        <f>IF(D322="","",VLOOKUP(D322,'General Basis'!$J$39:$L$46,3,0))</f>
        <v/>
      </c>
      <c r="BG322" s="744" t="str">
        <f t="shared" si="121"/>
        <v/>
      </c>
      <c r="BH322" s="744" t="str">
        <f>IF(G322="","",IF(BF322="Abu Dhabi",IF(G322&lt;18,'General Basis'!$C$39,IF(G322&lt;41,'General Basis'!$C$40,IF(G322&lt;60,'General Basis'!$C$41,IF(G322&lt;65,'General Basis'!$C$42,'General Basis'!$C$43)))),IF(G322&lt;11,'General Basis'!$B$39,IF(G322&lt;18,'General Basis'!$B$40,IF(G322&lt;26,'General Basis'!$B$41,IF(G322&lt;31,'General Basis'!$B$42,IF(G322&lt;36,'General Basis'!$B$43,IF(G322&lt;41,'General Basis'!$B$44,IF(G322&lt;46,'General Basis'!$B$45,IF(G322&lt;51,'General Basis'!$B$46,IF(G322&lt;56,'General Basis'!$B$47,IF(G322&lt;60,'General Basis'!$B$48,IF(G322&lt;65,'General Basis'!$B$49,'General Basis'!$B$50)))))))))))))</f>
        <v/>
      </c>
      <c r="BI322" s="744" t="str">
        <f t="shared" si="115"/>
        <v/>
      </c>
      <c r="BJ322" s="747" t="str">
        <f t="shared" si="122"/>
        <v/>
      </c>
      <c r="BK322" s="498" t="str">
        <f t="shared" si="116"/>
        <v/>
      </c>
      <c r="BL322" s="498" t="str">
        <f t="shared" si="117"/>
        <v/>
      </c>
    </row>
    <row r="323" spans="1:64" x14ac:dyDescent="0.25">
      <c r="A323" s="762">
        <f t="shared" si="118"/>
        <v>318</v>
      </c>
      <c r="B323" s="229"/>
      <c r="C323" s="223"/>
      <c r="D323" s="224"/>
      <c r="E323" s="225"/>
      <c r="F323" s="1036" t="str">
        <f t="shared" si="124"/>
        <v/>
      </c>
      <c r="G323" s="1037" t="str">
        <f t="shared" si="119"/>
        <v/>
      </c>
      <c r="H323" s="225"/>
      <c r="I323" s="1013"/>
      <c r="J323" s="1013"/>
      <c r="K323" s="1028"/>
      <c r="L323" s="1035" t="str">
        <f t="shared" si="123"/>
        <v/>
      </c>
      <c r="S323" s="498"/>
      <c r="AJ323" s="498"/>
      <c r="AM323" s="498">
        <f t="shared" si="104"/>
        <v>0</v>
      </c>
      <c r="AN323" s="498">
        <f t="shared" si="105"/>
        <v>0</v>
      </c>
      <c r="AO323" s="498">
        <f t="shared" si="106"/>
        <v>0</v>
      </c>
      <c r="AP323" s="498">
        <f t="shared" si="125"/>
        <v>0</v>
      </c>
      <c r="AQ323" s="498">
        <f t="shared" si="120"/>
        <v>0</v>
      </c>
      <c r="AU323" s="498">
        <f t="shared" si="107"/>
        <v>0</v>
      </c>
      <c r="AV323" s="498">
        <f t="shared" si="108"/>
        <v>0</v>
      </c>
      <c r="AW323" s="498">
        <f t="shared" si="109"/>
        <v>0</v>
      </c>
      <c r="AX323" s="498">
        <f t="shared" si="110"/>
        <v>0</v>
      </c>
      <c r="AY323" s="498">
        <f t="shared" si="111"/>
        <v>0</v>
      </c>
      <c r="BB323" s="498" t="str">
        <f t="shared" si="112"/>
        <v/>
      </c>
      <c r="BC323" s="743" t="str">
        <f t="shared" si="113"/>
        <v/>
      </c>
      <c r="BD323" s="743" t="str">
        <f t="shared" si="114"/>
        <v/>
      </c>
      <c r="BE323" s="743" t="str">
        <f>IF(D323="","",VLOOKUP(D323,'General Basis'!$J$39:$K$46,2,0))</f>
        <v/>
      </c>
      <c r="BF323" s="744" t="str">
        <f>IF(D323="","",VLOOKUP(D323,'General Basis'!$J$39:$L$46,3,0))</f>
        <v/>
      </c>
      <c r="BG323" s="744" t="str">
        <f t="shared" si="121"/>
        <v/>
      </c>
      <c r="BH323" s="744" t="str">
        <f>IF(G323="","",IF(BF323="Abu Dhabi",IF(G323&lt;18,'General Basis'!$C$39,IF(G323&lt;41,'General Basis'!$C$40,IF(G323&lt;60,'General Basis'!$C$41,IF(G323&lt;65,'General Basis'!$C$42,'General Basis'!$C$43)))),IF(G323&lt;11,'General Basis'!$B$39,IF(G323&lt;18,'General Basis'!$B$40,IF(G323&lt;26,'General Basis'!$B$41,IF(G323&lt;31,'General Basis'!$B$42,IF(G323&lt;36,'General Basis'!$B$43,IF(G323&lt;41,'General Basis'!$B$44,IF(G323&lt;46,'General Basis'!$B$45,IF(G323&lt;51,'General Basis'!$B$46,IF(G323&lt;56,'General Basis'!$B$47,IF(G323&lt;60,'General Basis'!$B$48,IF(G323&lt;65,'General Basis'!$B$49,'General Basis'!$B$50)))))))))))))</f>
        <v/>
      </c>
      <c r="BI323" s="744" t="str">
        <f t="shared" si="115"/>
        <v/>
      </c>
      <c r="BJ323" s="747" t="str">
        <f t="shared" si="122"/>
        <v/>
      </c>
      <c r="BK323" s="498" t="str">
        <f t="shared" si="116"/>
        <v/>
      </c>
      <c r="BL323" s="498" t="str">
        <f t="shared" si="117"/>
        <v/>
      </c>
    </row>
    <row r="324" spans="1:64" x14ac:dyDescent="0.25">
      <c r="A324" s="762">
        <f t="shared" si="118"/>
        <v>319</v>
      </c>
      <c r="B324" s="229"/>
      <c r="C324" s="223"/>
      <c r="D324" s="224"/>
      <c r="E324" s="225"/>
      <c r="F324" s="1036" t="str">
        <f t="shared" si="124"/>
        <v/>
      </c>
      <c r="G324" s="1037" t="str">
        <f t="shared" si="119"/>
        <v/>
      </c>
      <c r="H324" s="225"/>
      <c r="I324" s="1013"/>
      <c r="J324" s="1013"/>
      <c r="K324" s="1028"/>
      <c r="L324" s="1035" t="str">
        <f t="shared" si="123"/>
        <v/>
      </c>
      <c r="S324" s="498"/>
      <c r="AJ324" s="498"/>
      <c r="AM324" s="498">
        <f t="shared" si="104"/>
        <v>0</v>
      </c>
      <c r="AN324" s="498">
        <f t="shared" si="105"/>
        <v>0</v>
      </c>
      <c r="AO324" s="498">
        <f t="shared" si="106"/>
        <v>0</v>
      </c>
      <c r="AP324" s="498">
        <f t="shared" si="125"/>
        <v>0</v>
      </c>
      <c r="AQ324" s="498">
        <f t="shared" si="120"/>
        <v>0</v>
      </c>
      <c r="AU324" s="498">
        <f t="shared" si="107"/>
        <v>0</v>
      </c>
      <c r="AV324" s="498">
        <f t="shared" si="108"/>
        <v>0</v>
      </c>
      <c r="AW324" s="498">
        <f t="shared" si="109"/>
        <v>0</v>
      </c>
      <c r="AX324" s="498">
        <f t="shared" si="110"/>
        <v>0</v>
      </c>
      <c r="AY324" s="498">
        <f t="shared" si="111"/>
        <v>0</v>
      </c>
      <c r="BB324" s="498" t="str">
        <f t="shared" si="112"/>
        <v/>
      </c>
      <c r="BC324" s="743" t="str">
        <f t="shared" si="113"/>
        <v/>
      </c>
      <c r="BD324" s="743" t="str">
        <f t="shared" si="114"/>
        <v/>
      </c>
      <c r="BE324" s="743" t="str">
        <f>IF(D324="","",VLOOKUP(D324,'General Basis'!$J$39:$K$46,2,0))</f>
        <v/>
      </c>
      <c r="BF324" s="744" t="str">
        <f>IF(D324="","",VLOOKUP(D324,'General Basis'!$J$39:$L$46,3,0))</f>
        <v/>
      </c>
      <c r="BG324" s="744" t="str">
        <f t="shared" si="121"/>
        <v/>
      </c>
      <c r="BH324" s="744" t="str">
        <f>IF(G324="","",IF(BF324="Abu Dhabi",IF(G324&lt;18,'General Basis'!$C$39,IF(G324&lt;41,'General Basis'!$C$40,IF(G324&lt;60,'General Basis'!$C$41,IF(G324&lt;65,'General Basis'!$C$42,'General Basis'!$C$43)))),IF(G324&lt;11,'General Basis'!$B$39,IF(G324&lt;18,'General Basis'!$B$40,IF(G324&lt;26,'General Basis'!$B$41,IF(G324&lt;31,'General Basis'!$B$42,IF(G324&lt;36,'General Basis'!$B$43,IF(G324&lt;41,'General Basis'!$B$44,IF(G324&lt;46,'General Basis'!$B$45,IF(G324&lt;51,'General Basis'!$B$46,IF(G324&lt;56,'General Basis'!$B$47,IF(G324&lt;60,'General Basis'!$B$48,IF(G324&lt;65,'General Basis'!$B$49,'General Basis'!$B$50)))))))))))))</f>
        <v/>
      </c>
      <c r="BI324" s="744" t="str">
        <f t="shared" si="115"/>
        <v/>
      </c>
      <c r="BJ324" s="747" t="str">
        <f t="shared" si="122"/>
        <v/>
      </c>
      <c r="BK324" s="498" t="str">
        <f t="shared" si="116"/>
        <v/>
      </c>
      <c r="BL324" s="498" t="str">
        <f t="shared" si="117"/>
        <v/>
      </c>
    </row>
    <row r="325" spans="1:64" x14ac:dyDescent="0.25">
      <c r="A325" s="762">
        <f t="shared" si="118"/>
        <v>320</v>
      </c>
      <c r="B325" s="229"/>
      <c r="C325" s="223"/>
      <c r="D325" s="224"/>
      <c r="E325" s="225"/>
      <c r="F325" s="1036" t="str">
        <f t="shared" si="124"/>
        <v/>
      </c>
      <c r="G325" s="1037" t="str">
        <f t="shared" si="119"/>
        <v/>
      </c>
      <c r="H325" s="225"/>
      <c r="I325" s="1013"/>
      <c r="J325" s="1013"/>
      <c r="K325" s="1028"/>
      <c r="L325" s="1035" t="str">
        <f t="shared" si="123"/>
        <v/>
      </c>
      <c r="S325" s="498"/>
      <c r="AJ325" s="498"/>
      <c r="AM325" s="498">
        <f t="shared" si="104"/>
        <v>0</v>
      </c>
      <c r="AN325" s="498">
        <f t="shared" si="105"/>
        <v>0</v>
      </c>
      <c r="AO325" s="498">
        <f t="shared" si="106"/>
        <v>0</v>
      </c>
      <c r="AP325" s="498">
        <f t="shared" si="125"/>
        <v>0</v>
      </c>
      <c r="AQ325" s="498">
        <f t="shared" si="120"/>
        <v>0</v>
      </c>
      <c r="AU325" s="498">
        <f t="shared" si="107"/>
        <v>0</v>
      </c>
      <c r="AV325" s="498">
        <f t="shared" si="108"/>
        <v>0</v>
      </c>
      <c r="AW325" s="498">
        <f t="shared" si="109"/>
        <v>0</v>
      </c>
      <c r="AX325" s="498">
        <f t="shared" si="110"/>
        <v>0</v>
      </c>
      <c r="AY325" s="498">
        <f t="shared" si="111"/>
        <v>0</v>
      </c>
      <c r="BB325" s="498" t="str">
        <f t="shared" si="112"/>
        <v/>
      </c>
      <c r="BC325" s="743" t="str">
        <f t="shared" si="113"/>
        <v/>
      </c>
      <c r="BD325" s="743" t="str">
        <f t="shared" si="114"/>
        <v/>
      </c>
      <c r="BE325" s="743" t="str">
        <f>IF(D325="","",VLOOKUP(D325,'General Basis'!$J$39:$K$46,2,0))</f>
        <v/>
      </c>
      <c r="BF325" s="744" t="str">
        <f>IF(D325="","",VLOOKUP(D325,'General Basis'!$J$39:$L$46,3,0))</f>
        <v/>
      </c>
      <c r="BG325" s="744" t="str">
        <f t="shared" si="121"/>
        <v/>
      </c>
      <c r="BH325" s="744" t="str">
        <f>IF(G325="","",IF(BF325="Abu Dhabi",IF(G325&lt;18,'General Basis'!$C$39,IF(G325&lt;41,'General Basis'!$C$40,IF(G325&lt;60,'General Basis'!$C$41,IF(G325&lt;65,'General Basis'!$C$42,'General Basis'!$C$43)))),IF(G325&lt;11,'General Basis'!$B$39,IF(G325&lt;18,'General Basis'!$B$40,IF(G325&lt;26,'General Basis'!$B$41,IF(G325&lt;31,'General Basis'!$B$42,IF(G325&lt;36,'General Basis'!$B$43,IF(G325&lt;41,'General Basis'!$B$44,IF(G325&lt;46,'General Basis'!$B$45,IF(G325&lt;51,'General Basis'!$B$46,IF(G325&lt;56,'General Basis'!$B$47,IF(G325&lt;60,'General Basis'!$B$48,IF(G325&lt;65,'General Basis'!$B$49,'General Basis'!$B$50)))))))))))))</f>
        <v/>
      </c>
      <c r="BI325" s="744" t="str">
        <f t="shared" si="115"/>
        <v/>
      </c>
      <c r="BJ325" s="747" t="str">
        <f t="shared" si="122"/>
        <v/>
      </c>
      <c r="BK325" s="498" t="str">
        <f t="shared" si="116"/>
        <v/>
      </c>
      <c r="BL325" s="498" t="str">
        <f t="shared" si="117"/>
        <v/>
      </c>
    </row>
    <row r="326" spans="1:64" x14ac:dyDescent="0.25">
      <c r="A326" s="762">
        <f t="shared" si="118"/>
        <v>321</v>
      </c>
      <c r="B326" s="229"/>
      <c r="C326" s="223"/>
      <c r="D326" s="224"/>
      <c r="E326" s="225"/>
      <c r="F326" s="1036" t="str">
        <f t="shared" si="124"/>
        <v/>
      </c>
      <c r="G326" s="1037" t="str">
        <f t="shared" si="119"/>
        <v/>
      </c>
      <c r="H326" s="225"/>
      <c r="I326" s="1013"/>
      <c r="J326" s="1013"/>
      <c r="K326" s="1028"/>
      <c r="L326" s="1035" t="str">
        <f t="shared" si="123"/>
        <v/>
      </c>
      <c r="S326" s="498"/>
      <c r="AJ326" s="498"/>
      <c r="AM326" s="498">
        <f t="shared" ref="AM326:AM389" si="126">IF(ISTEXT(B326),1,0)</f>
        <v>0</v>
      </c>
      <c r="AN326" s="498">
        <f t="shared" ref="AN326:AN389" si="127">IF(ISBLANK(B326),0,IF(B326&lt;$AK$6,1,0))</f>
        <v>0</v>
      </c>
      <c r="AO326" s="498">
        <f t="shared" ref="AO326:AO389" si="128">IF(ISBLANK(B326),0,IF(B326&gt;$AK$7,1,0))</f>
        <v>0</v>
      </c>
      <c r="AP326" s="498">
        <f t="shared" si="125"/>
        <v>0</v>
      </c>
      <c r="AQ326" s="498">
        <f t="shared" si="120"/>
        <v>0</v>
      </c>
      <c r="AU326" s="498">
        <f t="shared" ref="AU326:AU389" si="129">IF(ISBLANK(B326),0,1)</f>
        <v>0</v>
      </c>
      <c r="AV326" s="498">
        <f t="shared" ref="AV326:AV389" si="130">IF(ISBLANK(C326),0,1)</f>
        <v>0</v>
      </c>
      <c r="AW326" s="498">
        <f t="shared" ref="AW326:AW389" si="131">IF(ISBLANK(D326),0,1)</f>
        <v>0</v>
      </c>
      <c r="AX326" s="498">
        <f t="shared" ref="AX326:AX389" si="132">IF(ISBLANK(E326),0,1)</f>
        <v>0</v>
      </c>
      <c r="AY326" s="498">
        <f t="shared" ref="AY326:AY389" si="133">IF(ISBLANK(H326),0,1)</f>
        <v>0</v>
      </c>
      <c r="BB326" s="498" t="str">
        <f t="shared" ref="BB326:BB389" si="134">IF(E326="Principal","Principal",IF(E326="","","Other"))</f>
        <v/>
      </c>
      <c r="BC326" s="743" t="str">
        <f t="shared" ref="BC326:BC389" si="135">IF(D326="","",D326)</f>
        <v/>
      </c>
      <c r="BD326" s="743" t="str">
        <f t="shared" ref="BD326:BD389" si="136">IF(E326="Principal","Employee",IF(E326="","","Dependent"))</f>
        <v/>
      </c>
      <c r="BE326" s="743" t="str">
        <f>IF(D326="","",VLOOKUP(D326,'General Basis'!$J$39:$K$46,2,0))</f>
        <v/>
      </c>
      <c r="BF326" s="744" t="str">
        <f>IF(D326="","",VLOOKUP(D326,'General Basis'!$J$39:$L$46,3,0))</f>
        <v/>
      </c>
      <c r="BG326" s="744" t="str">
        <f t="shared" si="121"/>
        <v/>
      </c>
      <c r="BH326" s="744" t="str">
        <f>IF(G326="","",IF(BF326="Abu Dhabi",IF(G326&lt;18,'General Basis'!$C$39,IF(G326&lt;41,'General Basis'!$C$40,IF(G326&lt;60,'General Basis'!$C$41,IF(G326&lt;65,'General Basis'!$C$42,'General Basis'!$C$43)))),IF(G326&lt;11,'General Basis'!$B$39,IF(G326&lt;18,'General Basis'!$B$40,IF(G326&lt;26,'General Basis'!$B$41,IF(G326&lt;31,'General Basis'!$B$42,IF(G326&lt;36,'General Basis'!$B$43,IF(G326&lt;41,'General Basis'!$B$44,IF(G326&lt;46,'General Basis'!$B$45,IF(G326&lt;51,'General Basis'!$B$46,IF(G326&lt;56,'General Basis'!$B$47,IF(G326&lt;60,'General Basis'!$B$48,IF(G326&lt;65,'General Basis'!$B$49,'General Basis'!$B$50)))))))))))))</f>
        <v/>
      </c>
      <c r="BI326" s="744" t="str">
        <f t="shared" ref="BI326:BI389" si="137">IF(C326="","",IF(C326="M","Male","Female"))</f>
        <v/>
      </c>
      <c r="BJ326" s="747" t="str">
        <f t="shared" si="122"/>
        <v/>
      </c>
      <c r="BK326" s="498" t="str">
        <f t="shared" ref="BK326:BK389" si="138">IF(BD326="","",IF(AND(BD326="Employee",BI326="Male",BF326="Abu Dhabi",BE326=GN_Plus),VLOOKUP(BH326,AUH_MALE_EMP,2,0),IF(AND(BD326="Employee",BI326="Male",BF326="Abu Dhabi",BE326=GN),VLOOKUP(BH326,AUH_MALE_EMP,3,0),IF(AND(BD326="Employee",BI326="Male",BF326="Abu Dhabi",BE326=RN_Plus),VLOOKUP(BH326,AUH_MALE_EMP,4,0),IF(AND(BD326="Employee",BI326="Male",BF326="Abu Dhabi",BE326=RN),VLOOKUP(BH326,AUH_MALE_EMP,5,0),IF(AND(BD326="Employee",BI326="Male",BF326="Abu Dhabi",BE326=RN_2),VLOOKUP(BH326,AUH_MALE_EMP,6,0),IF(AND(BD326="Employee",BI326="Male",BF326="Abu Dhabi",BE326=RN2_minus),VLOOKUP(BH326,AUH_MALE_EMP,7,0),IF(AND(BD326="Employee",BI326="Male",BF326="Abu Dhabi",BE326=RN_3),VLOOKUP(BH326,AUH_MALE_EMP,8,0),IF(AND(BD326="Employee",BI326="Male",BF326="Abu Dhabi",BE326=VN),VLOOKUP(BH326,AUH_MALE_EMP,9,0),IF(BD326="","",IF(AND(BD326="Employee",BI326="Female",BF326="Abu Dhabi",BE326=GN_Plus),VLOOKUP(BH326,AUH_FEMALE_EMP,2,0),IF(AND(BD326="Employee",BI326="Female",BF326="Abu Dhabi",BE326=GN),VLOOKUP(BH326,AUH_FEMALE_EMP,3,0),IF(AND(BD326="Employee",BI326="Female",BF326="Abu Dhabi",BE326=RN_Plus),VLOOKUP(BH326,AUH_FEMALE_EMP,4,0),IF(AND(BD326="Employee",BI326="Female",BF326="Abu Dhabi",BE326=RN),VLOOKUP(BH326,AUH_FEMALE_EMP,5,0),IF(AND(BD326="Employee",BI326="Female",BF326="Abu Dhabi",BE326=RN_2),VLOOKUP(BH326,AUH_FEMALE_EMP,6,0),IF(AND(BD326="Employee",BI326="Female",BF326="Abu Dhabi",BE326=RN2_minus),VLOOKUP(BH326,AUH_FEMALE_EMP,7,0),IF(AND(BD326="Employee",BI326="Female",BF326="Abu Dhabi",BE326=RN_3),VLOOKUP(BH326,AUH_FEMALE_EMP,8,0),IF(AND(BD326="Employee",BI326="Female",BF326="Abu Dhabi",BE326=VN),VLOOKUP(BH326,AUH_FEMALE_EMP,9,0),IF(BD326="","",IF(AND(BD326="Dependent",BI326="Male",BF326="Abu Dhabi",BE326=GN_Plus),VLOOKUP(BH326,AUH_MALE_DEP,2,0),IF(AND(BD326="Dependent",BI326="Male",BF326="Abu Dhabi",BE326=GN),VLOOKUP(BH326,AUH_MALE_DEP,3,0),IF(AND(BD326="Dependent",BI326="Male",BF326="Abu Dhabi",BE326=RN_Plus),VLOOKUP(BH326,AUH_MALE_DEP,4,0),IF(AND(BD326="Dependent",BI326="Male",BF326="Abu Dhabi",BE326=RN),VLOOKUP(BH326,AUH_MALE_DEP,5,0),IF(AND(BD326="Dependent",BI326="Male",BF326="Abu Dhabi",BE326=RN_2),VLOOKUP(BH326,AUH_MALE_DEP,6,0),IF(AND(BD326="Dependent",BI326="Male",BF326="Abu Dhabi",BE326=RN2_minus),VLOOKUP(BH326,AUH_MALE_DEP,7,0),IF(AND(BD326="Dependent",BI326="Male",BF326="Abu Dhabi",BE326=RN_3),VLOOKUP(BH326,AUH_MALE_DEP,8,0),IF(AND(BD326="Dependent",BI326="Male",BF326="Abu Dhabi",BE326=VN),VLOOKUP(BH326,AUH_MALE_DEP,9,0),IF(BD326="","",IF(AND(BD326="Dependent",BI326="Female",BF326="Abu Dhabi",BE326=GN_Plus),VLOOKUP(BH326,AUH_FEMALE_DEP,2,0),IF(AND(BD326="Dependent",BI326="Female",BF326="Abu Dhabi",BE326=GN),VLOOKUP(BH326,AUH_FEMALE_DEP,3,0),IF(AND(BD326="Dependent",BI326="Female",BF326="Abu Dhabi",BE326=RN_Plus),VLOOKUP(BH326,AUH_FEMALE_DEP,4,0),IF(AND(BD326="Dependent",BI326="Female",BF326="Abu Dhabi",BE326=RN),VLOOKUP(BH326,AUH_FEMALE_DEP,5,0),IF(AND(BD326="Dependent",BI326="Female",BF326="Abu Dhabi",BE326=RN_2),VLOOKUP(BH326,AUH_FEMALE_DEP,6,0),IF(AND(BD326="Dependent",BI326="Female",BF326="Abu Dhabi",BE326=RN2_minus),VLOOKUP(BH326,AUH_FEMALE_DEP,7,0),IF(AND(BD326="Dependent",BI326="Female",BF326="Abu Dhabi",BE326=RN_3),VLOOKUP(BH326,AUH_FEMALE_DEP,8,0),IF(AND(BD326="Dependent",BI326="Female",BF326="Abu Dhabi",BE326=VN),VLOOKUP(BH326,AUH_FEMALE_DEP,9,0),"ABC"))))))))))))))))))))))))))))))))))))</f>
        <v/>
      </c>
      <c r="BL326" s="498" t="str">
        <f t="shared" ref="BL326:BL389" si="139">IF(BD326="","",IF(AND(BD326="Employee",BI326="Male",BF326="Dubai",BE326=GN_Plus),VLOOKUP(BH326,DXB_MALE_EMP,2,0),IF(AND(BD326="Employee",BI326="Male",BF326="Dubai",BE326=GN),VLOOKUP(BH326,DXB_MALE_EMP,3,0),IF(AND(BD326="Employee",BI326="Male",BF326="Dubai",BE326=RN_Plus),VLOOKUP(BH326,DXB_MALE_EMP,4,0),IF(AND(BD326="Employee",BI326="Male",BF326="Dubai",BE326=RN),VLOOKUP(BH326,DXB_MALE_EMP,5,0),IF(AND(BD326="Employee",BI326="Male",BF326="Dubai",BE326=RN_2),VLOOKUP(BH326,DXB_MALE_EMP,6,0),IF(AND(BD326="Employee",BI326="Male",BF326="Dubai",BE326=RN2_minus),VLOOKUP(BH326,DXB_MALE_EMP,7,0),IF(AND(BD326="Employee",BI326="Male",BF326="Dubai",BE326=RN_3),VLOOKUP(BH326,DXB_MALE_EMP,8,0),IF(AND(BD326="Employee",BI326="Male",BF326="Dubai",BE326=VN),VLOOKUP(BH326,DXB_MALE_EMP,9,0),IF(BD326="","",IF(AND(BD326="Employee",BI326="Female",BF326="Dubai",BE326=GN_Plus),VLOOKUP(BH326,DXB_FEMALE_EMP,2,0),IF(AND(BD326="Employee",BI326="Female",BF326="Dubai",BE326=GN),VLOOKUP(BH326,DXB_FEMALE_EMP,3,0),IF(AND(BD326="Employee",BI326="Female",BF326="Dubai",BE326=RN_Plus),VLOOKUP(BH326,DXB_FEMALE_EMP,4,0),IF(AND(BD326="Employee",BI326="Female",BF326="Dubai",BE326=RN),VLOOKUP(BH326,DXB_FEMALE_EMP,5,0),IF(AND(BD326="Employee",BI326="Female",BF326="Dubai",BE326=RN_2),VLOOKUP(BH326,DXB_FEMALE_EMP,6,0),IF(AND(BD326="Employee",BI326="Female",BF326="Dubai",BE326=RN2_minus),VLOOKUP(BH326,DXB_FEMALE_EMP,7,0),IF(AND(BD326="Employee",BI326="Female",BF326="Dubai",BE326=RN_3),VLOOKUP(BH326,DXB_FEMALE_EMP,8,0),IF(AND(BD326="Employee",BI326="Female",BF326="Dubai",BE326=VN),VLOOKUP(BH326,DXB_FEMALE_EMP,9,0),IF(BD326="","",IF(AND(BD326="Dependent",BI326="Male",BF326="Dubai",BE326=GN_Plus),VLOOKUP(BH326,DXB_MALE_DEP,2,0),IF(AND(BD326="Dependent",BI326="Male",BF326="Dubai",BE326=GN),VLOOKUP(BH326,DXB_MALE_DEP,3,0),IF(AND(BD326="Dependent",BI326="Male",BF326="Dubai",BE326=RN_Plus),VLOOKUP(BH326,DXB_MALE_DEP,4,0),IF(AND(BD326="Dependent",BI326="Male",BF326="Dubai",BE326=RN),VLOOKUP(BH326,DXB_MALE_DEP,5,0),IF(AND(BD326="Dependent",BI326="Male",BF326="Dubai",BE326=RN_2),VLOOKUP(BH326,DXB_MALE_DEP,6,0),IF(AND(BD326="Dependent",BI326="Male",BF326="Dubai",BE326=RN2_minus),VLOOKUP(BH326,DXB_MALE_DEP,7,0),IF(AND(BD326="Dependent",BI326="Male",BF326="Dubai",BE326=RN_3),VLOOKUP(BH326,DXB_MALE_DEP,8,0),IF(AND(BD326="Dependent",BI326="Male",BF326="Dubai",BE326=VN),VLOOKUP(BH326,DXB_MALE_DEP,9,0),IF(BD326="","",IF(AND(BD326="Dependent",BI326="Female",BF326="Dubai",BE326=GN_Plus),VLOOKUP(BH326,DXB_FEMALE_DEP,2,0),IF(AND(BD326="Dependent",BI326="Female",BF326="Dubai",BE326=GN),VLOOKUP(BH326,DXB_FEMALE_DEP,3,0),IF(AND(BD326="Dependent",BI326="Female",BF326="Dubai",BE326=RN_Plus),VLOOKUP(BH326,DXB_FEMALE_DEP,4,0),IF(AND(BD326="Dependent",BI326="Female",BF326="Dubai",BE326=RN),VLOOKUP(BH326,DXB_FEMALE_DEP,5,0),IF(AND(BD326="Dependent",BI326="Female",BF326="Dubai",BE326=RN_2),VLOOKUP(BH326,DXB_FEMALE_DEP,6,0),IF(AND(BD326="Dependent",BI326="Female",BF326="Dubai",BE326=RN2_minus),VLOOKUP(BH326,DXB_FEMALE_DEP,7,0),IF(AND(BD326="Dependent",BI326="Female",BF326="Dubai",BE326=RN_3),VLOOKUP(BH326,DXB_FEMALE_DEP,8,0),IF(AND(BD326="Dependent",BI326="Female",BF326="Dubai",BE326=VN),VLOOKUP(BH326,DXB_FEMALE_DEP,9,0),"ABC"))))))))))))))))))))))))))))))))))))</f>
        <v/>
      </c>
    </row>
    <row r="327" spans="1:64" x14ac:dyDescent="0.25">
      <c r="A327" s="762">
        <f t="shared" ref="A327:A390" si="140">+A326+1</f>
        <v>322</v>
      </c>
      <c r="B327" s="229"/>
      <c r="C327" s="223"/>
      <c r="D327" s="224"/>
      <c r="E327" s="225"/>
      <c r="F327" s="1036" t="str">
        <f t="shared" si="124"/>
        <v/>
      </c>
      <c r="G327" s="1037" t="str">
        <f t="shared" ref="G327:G390" si="141">IF(D327="","",MAX(0,ROUNDUP(F327,0)))</f>
        <v/>
      </c>
      <c r="H327" s="225"/>
      <c r="I327" s="1013"/>
      <c r="J327" s="1013"/>
      <c r="K327" s="1028"/>
      <c r="L327" s="1035" t="str">
        <f t="shared" si="123"/>
        <v/>
      </c>
      <c r="S327" s="498"/>
      <c r="AJ327" s="498"/>
      <c r="AM327" s="498">
        <f t="shared" si="126"/>
        <v>0</v>
      </c>
      <c r="AN327" s="498">
        <f t="shared" si="127"/>
        <v>0</v>
      </c>
      <c r="AO327" s="498">
        <f t="shared" si="128"/>
        <v>0</v>
      </c>
      <c r="AP327" s="498">
        <f t="shared" si="125"/>
        <v>0</v>
      </c>
      <c r="AQ327" s="498">
        <f t="shared" ref="AQ327:AQ390" si="142">IF(ISBLANK($B327),0,IF(OR($H327="Single",$H327="Married"),0,1))</f>
        <v>0</v>
      </c>
      <c r="AU327" s="498">
        <f t="shared" si="129"/>
        <v>0</v>
      </c>
      <c r="AV327" s="498">
        <f t="shared" si="130"/>
        <v>0</v>
      </c>
      <c r="AW327" s="498">
        <f t="shared" si="131"/>
        <v>0</v>
      </c>
      <c r="AX327" s="498">
        <f t="shared" si="132"/>
        <v>0</v>
      </c>
      <c r="AY327" s="498">
        <f t="shared" si="133"/>
        <v>0</v>
      </c>
      <c r="BB327" s="498" t="str">
        <f t="shared" si="134"/>
        <v/>
      </c>
      <c r="BC327" s="743" t="str">
        <f t="shared" si="135"/>
        <v/>
      </c>
      <c r="BD327" s="743" t="str">
        <f t="shared" si="136"/>
        <v/>
      </c>
      <c r="BE327" s="743" t="str">
        <f>IF(D327="","",VLOOKUP(D327,'General Basis'!$J$39:$K$46,2,0))</f>
        <v/>
      </c>
      <c r="BF327" s="744" t="str">
        <f>IF(D327="","",VLOOKUP(D327,'General Basis'!$J$39:$L$46,3,0))</f>
        <v/>
      </c>
      <c r="BG327" s="744" t="str">
        <f t="shared" ref="BG327:BG390" si="143">BC327&amp;BI327</f>
        <v/>
      </c>
      <c r="BH327" s="744" t="str">
        <f>IF(G327="","",IF(BF327="Abu Dhabi",IF(G327&lt;18,'General Basis'!$C$39,IF(G327&lt;41,'General Basis'!$C$40,IF(G327&lt;60,'General Basis'!$C$41,IF(G327&lt;65,'General Basis'!$C$42,'General Basis'!$C$43)))),IF(G327&lt;11,'General Basis'!$B$39,IF(G327&lt;18,'General Basis'!$B$40,IF(G327&lt;26,'General Basis'!$B$41,IF(G327&lt;31,'General Basis'!$B$42,IF(G327&lt;36,'General Basis'!$B$43,IF(G327&lt;41,'General Basis'!$B$44,IF(G327&lt;46,'General Basis'!$B$45,IF(G327&lt;51,'General Basis'!$B$46,IF(G327&lt;56,'General Basis'!$B$47,IF(G327&lt;60,'General Basis'!$B$48,IF(G327&lt;65,'General Basis'!$B$49,'General Basis'!$B$50)))))))))))))</f>
        <v/>
      </c>
      <c r="BI327" s="744" t="str">
        <f t="shared" si="137"/>
        <v/>
      </c>
      <c r="BJ327" s="747" t="str">
        <f t="shared" ref="BJ327:BJ390" si="144">IF(BD327="","",IF(BF327="Abu Dhabi",BK327,BL327))</f>
        <v/>
      </c>
      <c r="BK327" s="498" t="str">
        <f t="shared" si="138"/>
        <v/>
      </c>
      <c r="BL327" s="498" t="str">
        <f t="shared" si="139"/>
        <v/>
      </c>
    </row>
    <row r="328" spans="1:64" x14ac:dyDescent="0.25">
      <c r="A328" s="762">
        <f t="shared" si="140"/>
        <v>323</v>
      </c>
      <c r="B328" s="229"/>
      <c r="C328" s="223"/>
      <c r="D328" s="224"/>
      <c r="E328" s="225"/>
      <c r="F328" s="1036" t="str">
        <f t="shared" si="124"/>
        <v/>
      </c>
      <c r="G328" s="1037" t="str">
        <f t="shared" si="141"/>
        <v/>
      </c>
      <c r="H328" s="225"/>
      <c r="I328" s="1013"/>
      <c r="J328" s="1013"/>
      <c r="K328" s="1028"/>
      <c r="L328" s="1035" t="str">
        <f t="shared" ref="L328:L391" si="145">IF(AND(E328="Child",H328="Married"),"Check the Marital Status of the Child. ",IF(AND(E328="Child",F328&gt;18),"Child Age exceed 18 years. ",IF(AND(E328="Spouse",H328="Single"),"Spouse is selected as Single. ","")))&amp;IF(K328&gt;0,"UW Loading has been Applied","")</f>
        <v/>
      </c>
      <c r="S328" s="498"/>
      <c r="AJ328" s="498"/>
      <c r="AM328" s="498">
        <f t="shared" si="126"/>
        <v>0</v>
      </c>
      <c r="AN328" s="498">
        <f t="shared" si="127"/>
        <v>0</v>
      </c>
      <c r="AO328" s="498">
        <f t="shared" si="128"/>
        <v>0</v>
      </c>
      <c r="AP328" s="498">
        <f t="shared" si="125"/>
        <v>0</v>
      </c>
      <c r="AQ328" s="498">
        <f t="shared" si="142"/>
        <v>0</v>
      </c>
      <c r="AU328" s="498">
        <f t="shared" si="129"/>
        <v>0</v>
      </c>
      <c r="AV328" s="498">
        <f t="shared" si="130"/>
        <v>0</v>
      </c>
      <c r="AW328" s="498">
        <f t="shared" si="131"/>
        <v>0</v>
      </c>
      <c r="AX328" s="498">
        <f t="shared" si="132"/>
        <v>0</v>
      </c>
      <c r="AY328" s="498">
        <f t="shared" si="133"/>
        <v>0</v>
      </c>
      <c r="BB328" s="498" t="str">
        <f t="shared" si="134"/>
        <v/>
      </c>
      <c r="BC328" s="743" t="str">
        <f t="shared" si="135"/>
        <v/>
      </c>
      <c r="BD328" s="743" t="str">
        <f t="shared" si="136"/>
        <v/>
      </c>
      <c r="BE328" s="743" t="str">
        <f>IF(D328="","",VLOOKUP(D328,'General Basis'!$J$39:$K$46,2,0))</f>
        <v/>
      </c>
      <c r="BF328" s="744" t="str">
        <f>IF(D328="","",VLOOKUP(D328,'General Basis'!$J$39:$L$46,3,0))</f>
        <v/>
      </c>
      <c r="BG328" s="744" t="str">
        <f t="shared" si="143"/>
        <v/>
      </c>
      <c r="BH328" s="744" t="str">
        <f>IF(G328="","",IF(BF328="Abu Dhabi",IF(G328&lt;18,'General Basis'!$C$39,IF(G328&lt;41,'General Basis'!$C$40,IF(G328&lt;60,'General Basis'!$C$41,IF(G328&lt;65,'General Basis'!$C$42,'General Basis'!$C$43)))),IF(G328&lt;11,'General Basis'!$B$39,IF(G328&lt;18,'General Basis'!$B$40,IF(G328&lt;26,'General Basis'!$B$41,IF(G328&lt;31,'General Basis'!$B$42,IF(G328&lt;36,'General Basis'!$B$43,IF(G328&lt;41,'General Basis'!$B$44,IF(G328&lt;46,'General Basis'!$B$45,IF(G328&lt;51,'General Basis'!$B$46,IF(G328&lt;56,'General Basis'!$B$47,IF(G328&lt;60,'General Basis'!$B$48,IF(G328&lt;65,'General Basis'!$B$49,'General Basis'!$B$50)))))))))))))</f>
        <v/>
      </c>
      <c r="BI328" s="744" t="str">
        <f t="shared" si="137"/>
        <v/>
      </c>
      <c r="BJ328" s="747" t="str">
        <f t="shared" si="144"/>
        <v/>
      </c>
      <c r="BK328" s="498" t="str">
        <f t="shared" si="138"/>
        <v/>
      </c>
      <c r="BL328" s="498" t="str">
        <f t="shared" si="139"/>
        <v/>
      </c>
    </row>
    <row r="329" spans="1:64" x14ac:dyDescent="0.25">
      <c r="A329" s="762">
        <f t="shared" si="140"/>
        <v>324</v>
      </c>
      <c r="B329" s="229"/>
      <c r="C329" s="223"/>
      <c r="D329" s="224"/>
      <c r="E329" s="225"/>
      <c r="F329" s="1036" t="str">
        <f t="shared" si="124"/>
        <v/>
      </c>
      <c r="G329" s="1037" t="str">
        <f t="shared" si="141"/>
        <v/>
      </c>
      <c r="H329" s="225"/>
      <c r="I329" s="1013"/>
      <c r="J329" s="1013"/>
      <c r="K329" s="1028"/>
      <c r="L329" s="1035" t="str">
        <f t="shared" si="145"/>
        <v/>
      </c>
      <c r="S329" s="498"/>
      <c r="AJ329" s="498"/>
      <c r="AM329" s="498">
        <f t="shared" si="126"/>
        <v>0</v>
      </c>
      <c r="AN329" s="498">
        <f t="shared" si="127"/>
        <v>0</v>
      </c>
      <c r="AO329" s="498">
        <f t="shared" si="128"/>
        <v>0</v>
      </c>
      <c r="AP329" s="498">
        <f t="shared" si="125"/>
        <v>0</v>
      </c>
      <c r="AQ329" s="498">
        <f t="shared" si="142"/>
        <v>0</v>
      </c>
      <c r="AU329" s="498">
        <f t="shared" si="129"/>
        <v>0</v>
      </c>
      <c r="AV329" s="498">
        <f t="shared" si="130"/>
        <v>0</v>
      </c>
      <c r="AW329" s="498">
        <f t="shared" si="131"/>
        <v>0</v>
      </c>
      <c r="AX329" s="498">
        <f t="shared" si="132"/>
        <v>0</v>
      </c>
      <c r="AY329" s="498">
        <f t="shared" si="133"/>
        <v>0</v>
      </c>
      <c r="BB329" s="498" t="str">
        <f t="shared" si="134"/>
        <v/>
      </c>
      <c r="BC329" s="743" t="str">
        <f t="shared" si="135"/>
        <v/>
      </c>
      <c r="BD329" s="743" t="str">
        <f t="shared" si="136"/>
        <v/>
      </c>
      <c r="BE329" s="743" t="str">
        <f>IF(D329="","",VLOOKUP(D329,'General Basis'!$J$39:$K$46,2,0))</f>
        <v/>
      </c>
      <c r="BF329" s="744" t="str">
        <f>IF(D329="","",VLOOKUP(D329,'General Basis'!$J$39:$L$46,3,0))</f>
        <v/>
      </c>
      <c r="BG329" s="744" t="str">
        <f t="shared" si="143"/>
        <v/>
      </c>
      <c r="BH329" s="744" t="str">
        <f>IF(G329="","",IF(BF329="Abu Dhabi",IF(G329&lt;18,'General Basis'!$C$39,IF(G329&lt;41,'General Basis'!$C$40,IF(G329&lt;60,'General Basis'!$C$41,IF(G329&lt;65,'General Basis'!$C$42,'General Basis'!$C$43)))),IF(G329&lt;11,'General Basis'!$B$39,IF(G329&lt;18,'General Basis'!$B$40,IF(G329&lt;26,'General Basis'!$B$41,IF(G329&lt;31,'General Basis'!$B$42,IF(G329&lt;36,'General Basis'!$B$43,IF(G329&lt;41,'General Basis'!$B$44,IF(G329&lt;46,'General Basis'!$B$45,IF(G329&lt;51,'General Basis'!$B$46,IF(G329&lt;56,'General Basis'!$B$47,IF(G329&lt;60,'General Basis'!$B$48,IF(G329&lt;65,'General Basis'!$B$49,'General Basis'!$B$50)))))))))))))</f>
        <v/>
      </c>
      <c r="BI329" s="744" t="str">
        <f t="shared" si="137"/>
        <v/>
      </c>
      <c r="BJ329" s="747" t="str">
        <f t="shared" si="144"/>
        <v/>
      </c>
      <c r="BK329" s="498" t="str">
        <f t="shared" si="138"/>
        <v/>
      </c>
      <c r="BL329" s="498" t="str">
        <f t="shared" si="139"/>
        <v/>
      </c>
    </row>
    <row r="330" spans="1:64" x14ac:dyDescent="0.25">
      <c r="A330" s="762">
        <f t="shared" si="140"/>
        <v>325</v>
      </c>
      <c r="B330" s="229"/>
      <c r="C330" s="223"/>
      <c r="D330" s="224"/>
      <c r="E330" s="225"/>
      <c r="F330" s="1036" t="str">
        <f t="shared" si="124"/>
        <v/>
      </c>
      <c r="G330" s="1037" t="str">
        <f t="shared" si="141"/>
        <v/>
      </c>
      <c r="H330" s="225"/>
      <c r="I330" s="1013"/>
      <c r="J330" s="1013"/>
      <c r="K330" s="1028"/>
      <c r="L330" s="1035" t="str">
        <f t="shared" si="145"/>
        <v/>
      </c>
      <c r="S330" s="498"/>
      <c r="AJ330" s="498"/>
      <c r="AM330" s="498">
        <f t="shared" si="126"/>
        <v>0</v>
      </c>
      <c r="AN330" s="498">
        <f t="shared" si="127"/>
        <v>0</v>
      </c>
      <c r="AO330" s="498">
        <f t="shared" si="128"/>
        <v>0</v>
      </c>
      <c r="AP330" s="498">
        <f t="shared" si="125"/>
        <v>0</v>
      </c>
      <c r="AQ330" s="498">
        <f t="shared" si="142"/>
        <v>0</v>
      </c>
      <c r="AU330" s="498">
        <f t="shared" si="129"/>
        <v>0</v>
      </c>
      <c r="AV330" s="498">
        <f t="shared" si="130"/>
        <v>0</v>
      </c>
      <c r="AW330" s="498">
        <f t="shared" si="131"/>
        <v>0</v>
      </c>
      <c r="AX330" s="498">
        <f t="shared" si="132"/>
        <v>0</v>
      </c>
      <c r="AY330" s="498">
        <f t="shared" si="133"/>
        <v>0</v>
      </c>
      <c r="BB330" s="498" t="str">
        <f t="shared" si="134"/>
        <v/>
      </c>
      <c r="BC330" s="743" t="str">
        <f t="shared" si="135"/>
        <v/>
      </c>
      <c r="BD330" s="743" t="str">
        <f t="shared" si="136"/>
        <v/>
      </c>
      <c r="BE330" s="743" t="str">
        <f>IF(D330="","",VLOOKUP(D330,'General Basis'!$J$39:$K$46,2,0))</f>
        <v/>
      </c>
      <c r="BF330" s="744" t="str">
        <f>IF(D330="","",VLOOKUP(D330,'General Basis'!$J$39:$L$46,3,0))</f>
        <v/>
      </c>
      <c r="BG330" s="744" t="str">
        <f t="shared" si="143"/>
        <v/>
      </c>
      <c r="BH330" s="744" t="str">
        <f>IF(G330="","",IF(BF330="Abu Dhabi",IF(G330&lt;18,'General Basis'!$C$39,IF(G330&lt;41,'General Basis'!$C$40,IF(G330&lt;60,'General Basis'!$C$41,IF(G330&lt;65,'General Basis'!$C$42,'General Basis'!$C$43)))),IF(G330&lt;11,'General Basis'!$B$39,IF(G330&lt;18,'General Basis'!$B$40,IF(G330&lt;26,'General Basis'!$B$41,IF(G330&lt;31,'General Basis'!$B$42,IF(G330&lt;36,'General Basis'!$B$43,IF(G330&lt;41,'General Basis'!$B$44,IF(G330&lt;46,'General Basis'!$B$45,IF(G330&lt;51,'General Basis'!$B$46,IF(G330&lt;56,'General Basis'!$B$47,IF(G330&lt;60,'General Basis'!$B$48,IF(G330&lt;65,'General Basis'!$B$49,'General Basis'!$B$50)))))))))))))</f>
        <v/>
      </c>
      <c r="BI330" s="744" t="str">
        <f t="shared" si="137"/>
        <v/>
      </c>
      <c r="BJ330" s="747" t="str">
        <f t="shared" si="144"/>
        <v/>
      </c>
      <c r="BK330" s="498" t="str">
        <f t="shared" si="138"/>
        <v/>
      </c>
      <c r="BL330" s="498" t="str">
        <f t="shared" si="139"/>
        <v/>
      </c>
    </row>
    <row r="331" spans="1:64" x14ac:dyDescent="0.25">
      <c r="A331" s="762">
        <f t="shared" si="140"/>
        <v>326</v>
      </c>
      <c r="B331" s="229"/>
      <c r="C331" s="223"/>
      <c r="D331" s="224"/>
      <c r="E331" s="225"/>
      <c r="F331" s="1036" t="str">
        <f t="shared" si="124"/>
        <v/>
      </c>
      <c r="G331" s="1037" t="str">
        <f t="shared" si="141"/>
        <v/>
      </c>
      <c r="H331" s="225"/>
      <c r="I331" s="1013"/>
      <c r="J331" s="1013"/>
      <c r="K331" s="1028"/>
      <c r="L331" s="1035" t="str">
        <f t="shared" si="145"/>
        <v/>
      </c>
      <c r="S331" s="498"/>
      <c r="AJ331" s="498"/>
      <c r="AM331" s="498">
        <f t="shared" si="126"/>
        <v>0</v>
      </c>
      <c r="AN331" s="498">
        <f t="shared" si="127"/>
        <v>0</v>
      </c>
      <c r="AO331" s="498">
        <f t="shared" si="128"/>
        <v>0</v>
      </c>
      <c r="AP331" s="498">
        <f t="shared" si="125"/>
        <v>0</v>
      </c>
      <c r="AQ331" s="498">
        <f t="shared" si="142"/>
        <v>0</v>
      </c>
      <c r="AU331" s="498">
        <f t="shared" si="129"/>
        <v>0</v>
      </c>
      <c r="AV331" s="498">
        <f t="shared" si="130"/>
        <v>0</v>
      </c>
      <c r="AW331" s="498">
        <f t="shared" si="131"/>
        <v>0</v>
      </c>
      <c r="AX331" s="498">
        <f t="shared" si="132"/>
        <v>0</v>
      </c>
      <c r="AY331" s="498">
        <f t="shared" si="133"/>
        <v>0</v>
      </c>
      <c r="BB331" s="498" t="str">
        <f t="shared" si="134"/>
        <v/>
      </c>
      <c r="BC331" s="743" t="str">
        <f t="shared" si="135"/>
        <v/>
      </c>
      <c r="BD331" s="743" t="str">
        <f t="shared" si="136"/>
        <v/>
      </c>
      <c r="BE331" s="743" t="str">
        <f>IF(D331="","",VLOOKUP(D331,'General Basis'!$J$39:$K$46,2,0))</f>
        <v/>
      </c>
      <c r="BF331" s="744" t="str">
        <f>IF(D331="","",VLOOKUP(D331,'General Basis'!$J$39:$L$46,3,0))</f>
        <v/>
      </c>
      <c r="BG331" s="744" t="str">
        <f t="shared" si="143"/>
        <v/>
      </c>
      <c r="BH331" s="744" t="str">
        <f>IF(G331="","",IF(BF331="Abu Dhabi",IF(G331&lt;18,'General Basis'!$C$39,IF(G331&lt;41,'General Basis'!$C$40,IF(G331&lt;60,'General Basis'!$C$41,IF(G331&lt;65,'General Basis'!$C$42,'General Basis'!$C$43)))),IF(G331&lt;11,'General Basis'!$B$39,IF(G331&lt;18,'General Basis'!$B$40,IF(G331&lt;26,'General Basis'!$B$41,IF(G331&lt;31,'General Basis'!$B$42,IF(G331&lt;36,'General Basis'!$B$43,IF(G331&lt;41,'General Basis'!$B$44,IF(G331&lt;46,'General Basis'!$B$45,IF(G331&lt;51,'General Basis'!$B$46,IF(G331&lt;56,'General Basis'!$B$47,IF(G331&lt;60,'General Basis'!$B$48,IF(G331&lt;65,'General Basis'!$B$49,'General Basis'!$B$50)))))))))))))</f>
        <v/>
      </c>
      <c r="BI331" s="744" t="str">
        <f t="shared" si="137"/>
        <v/>
      </c>
      <c r="BJ331" s="747" t="str">
        <f t="shared" si="144"/>
        <v/>
      </c>
      <c r="BK331" s="498" t="str">
        <f t="shared" si="138"/>
        <v/>
      </c>
      <c r="BL331" s="498" t="str">
        <f t="shared" si="139"/>
        <v/>
      </c>
    </row>
    <row r="332" spans="1:64" x14ac:dyDescent="0.25">
      <c r="A332" s="762">
        <f t="shared" si="140"/>
        <v>327</v>
      </c>
      <c r="B332" s="229"/>
      <c r="C332" s="223"/>
      <c r="D332" s="224"/>
      <c r="E332" s="225"/>
      <c r="F332" s="1036" t="str">
        <f t="shared" si="124"/>
        <v/>
      </c>
      <c r="G332" s="1037" t="str">
        <f t="shared" si="141"/>
        <v/>
      </c>
      <c r="H332" s="225"/>
      <c r="I332" s="1013"/>
      <c r="J332" s="1013"/>
      <c r="K332" s="1028"/>
      <c r="L332" s="1035" t="str">
        <f t="shared" si="145"/>
        <v/>
      </c>
      <c r="S332" s="498"/>
      <c r="AJ332" s="498"/>
      <c r="AM332" s="498">
        <f t="shared" si="126"/>
        <v>0</v>
      </c>
      <c r="AN332" s="498">
        <f t="shared" si="127"/>
        <v>0</v>
      </c>
      <c r="AO332" s="498">
        <f t="shared" si="128"/>
        <v>0</v>
      </c>
      <c r="AP332" s="498">
        <f t="shared" si="125"/>
        <v>0</v>
      </c>
      <c r="AQ332" s="498">
        <f t="shared" si="142"/>
        <v>0</v>
      </c>
      <c r="AU332" s="498">
        <f t="shared" si="129"/>
        <v>0</v>
      </c>
      <c r="AV332" s="498">
        <f t="shared" si="130"/>
        <v>0</v>
      </c>
      <c r="AW332" s="498">
        <f t="shared" si="131"/>
        <v>0</v>
      </c>
      <c r="AX332" s="498">
        <f t="shared" si="132"/>
        <v>0</v>
      </c>
      <c r="AY332" s="498">
        <f t="shared" si="133"/>
        <v>0</v>
      </c>
      <c r="BB332" s="498" t="str">
        <f t="shared" si="134"/>
        <v/>
      </c>
      <c r="BC332" s="743" t="str">
        <f t="shared" si="135"/>
        <v/>
      </c>
      <c r="BD332" s="743" t="str">
        <f t="shared" si="136"/>
        <v/>
      </c>
      <c r="BE332" s="743" t="str">
        <f>IF(D332="","",VLOOKUP(D332,'General Basis'!$J$39:$K$46,2,0))</f>
        <v/>
      </c>
      <c r="BF332" s="744" t="str">
        <f>IF(D332="","",VLOOKUP(D332,'General Basis'!$J$39:$L$46,3,0))</f>
        <v/>
      </c>
      <c r="BG332" s="744" t="str">
        <f t="shared" si="143"/>
        <v/>
      </c>
      <c r="BH332" s="744" t="str">
        <f>IF(G332="","",IF(BF332="Abu Dhabi",IF(G332&lt;18,'General Basis'!$C$39,IF(G332&lt;41,'General Basis'!$C$40,IF(G332&lt;60,'General Basis'!$C$41,IF(G332&lt;65,'General Basis'!$C$42,'General Basis'!$C$43)))),IF(G332&lt;11,'General Basis'!$B$39,IF(G332&lt;18,'General Basis'!$B$40,IF(G332&lt;26,'General Basis'!$B$41,IF(G332&lt;31,'General Basis'!$B$42,IF(G332&lt;36,'General Basis'!$B$43,IF(G332&lt;41,'General Basis'!$B$44,IF(G332&lt;46,'General Basis'!$B$45,IF(G332&lt;51,'General Basis'!$B$46,IF(G332&lt;56,'General Basis'!$B$47,IF(G332&lt;60,'General Basis'!$B$48,IF(G332&lt;65,'General Basis'!$B$49,'General Basis'!$B$50)))))))))))))</f>
        <v/>
      </c>
      <c r="BI332" s="744" t="str">
        <f t="shared" si="137"/>
        <v/>
      </c>
      <c r="BJ332" s="747" t="str">
        <f t="shared" si="144"/>
        <v/>
      </c>
      <c r="BK332" s="498" t="str">
        <f t="shared" si="138"/>
        <v/>
      </c>
      <c r="BL332" s="498" t="str">
        <f t="shared" si="139"/>
        <v/>
      </c>
    </row>
    <row r="333" spans="1:64" x14ac:dyDescent="0.25">
      <c r="A333" s="762">
        <f t="shared" si="140"/>
        <v>328</v>
      </c>
      <c r="B333" s="229"/>
      <c r="C333" s="223"/>
      <c r="D333" s="224"/>
      <c r="E333" s="225"/>
      <c r="F333" s="1036" t="str">
        <f t="shared" si="124"/>
        <v/>
      </c>
      <c r="G333" s="1037" t="str">
        <f t="shared" si="141"/>
        <v/>
      </c>
      <c r="H333" s="225"/>
      <c r="I333" s="1013"/>
      <c r="J333" s="1013"/>
      <c r="K333" s="1028"/>
      <c r="L333" s="1035" t="str">
        <f t="shared" si="145"/>
        <v/>
      </c>
      <c r="S333" s="498"/>
      <c r="AJ333" s="498"/>
      <c r="AM333" s="498">
        <f t="shared" si="126"/>
        <v>0</v>
      </c>
      <c r="AN333" s="498">
        <f t="shared" si="127"/>
        <v>0</v>
      </c>
      <c r="AO333" s="498">
        <f t="shared" si="128"/>
        <v>0</v>
      </c>
      <c r="AP333" s="498">
        <f t="shared" si="125"/>
        <v>0</v>
      </c>
      <c r="AQ333" s="498">
        <f t="shared" si="142"/>
        <v>0</v>
      </c>
      <c r="AU333" s="498">
        <f t="shared" si="129"/>
        <v>0</v>
      </c>
      <c r="AV333" s="498">
        <f t="shared" si="130"/>
        <v>0</v>
      </c>
      <c r="AW333" s="498">
        <f t="shared" si="131"/>
        <v>0</v>
      </c>
      <c r="AX333" s="498">
        <f t="shared" si="132"/>
        <v>0</v>
      </c>
      <c r="AY333" s="498">
        <f t="shared" si="133"/>
        <v>0</v>
      </c>
      <c r="BB333" s="498" t="str">
        <f t="shared" si="134"/>
        <v/>
      </c>
      <c r="BC333" s="743" t="str">
        <f t="shared" si="135"/>
        <v/>
      </c>
      <c r="BD333" s="743" t="str">
        <f t="shared" si="136"/>
        <v/>
      </c>
      <c r="BE333" s="743" t="str">
        <f>IF(D333="","",VLOOKUP(D333,'General Basis'!$J$39:$K$46,2,0))</f>
        <v/>
      </c>
      <c r="BF333" s="744" t="str">
        <f>IF(D333="","",VLOOKUP(D333,'General Basis'!$J$39:$L$46,3,0))</f>
        <v/>
      </c>
      <c r="BG333" s="744" t="str">
        <f t="shared" si="143"/>
        <v/>
      </c>
      <c r="BH333" s="744" t="str">
        <f>IF(G333="","",IF(BF333="Abu Dhabi",IF(G333&lt;18,'General Basis'!$C$39,IF(G333&lt;41,'General Basis'!$C$40,IF(G333&lt;60,'General Basis'!$C$41,IF(G333&lt;65,'General Basis'!$C$42,'General Basis'!$C$43)))),IF(G333&lt;11,'General Basis'!$B$39,IF(G333&lt;18,'General Basis'!$B$40,IF(G333&lt;26,'General Basis'!$B$41,IF(G333&lt;31,'General Basis'!$B$42,IF(G333&lt;36,'General Basis'!$B$43,IF(G333&lt;41,'General Basis'!$B$44,IF(G333&lt;46,'General Basis'!$B$45,IF(G333&lt;51,'General Basis'!$B$46,IF(G333&lt;56,'General Basis'!$B$47,IF(G333&lt;60,'General Basis'!$B$48,IF(G333&lt;65,'General Basis'!$B$49,'General Basis'!$B$50)))))))))))))</f>
        <v/>
      </c>
      <c r="BI333" s="744" t="str">
        <f t="shared" si="137"/>
        <v/>
      </c>
      <c r="BJ333" s="747" t="str">
        <f t="shared" si="144"/>
        <v/>
      </c>
      <c r="BK333" s="498" t="str">
        <f t="shared" si="138"/>
        <v/>
      </c>
      <c r="BL333" s="498" t="str">
        <f t="shared" si="139"/>
        <v/>
      </c>
    </row>
    <row r="334" spans="1:64" x14ac:dyDescent="0.25">
      <c r="A334" s="762">
        <f t="shared" si="140"/>
        <v>329</v>
      </c>
      <c r="B334" s="229"/>
      <c r="C334" s="223"/>
      <c r="D334" s="224"/>
      <c r="E334" s="225"/>
      <c r="F334" s="1036" t="str">
        <f t="shared" si="124"/>
        <v/>
      </c>
      <c r="G334" s="1037" t="str">
        <f t="shared" si="141"/>
        <v/>
      </c>
      <c r="H334" s="225"/>
      <c r="I334" s="1013"/>
      <c r="J334" s="1013"/>
      <c r="K334" s="1028"/>
      <c r="L334" s="1035" t="str">
        <f t="shared" si="145"/>
        <v/>
      </c>
      <c r="S334" s="498"/>
      <c r="AJ334" s="498"/>
      <c r="AM334" s="498">
        <f t="shared" si="126"/>
        <v>0</v>
      </c>
      <c r="AN334" s="498">
        <f t="shared" si="127"/>
        <v>0</v>
      </c>
      <c r="AO334" s="498">
        <f t="shared" si="128"/>
        <v>0</v>
      </c>
      <c r="AP334" s="498">
        <f t="shared" si="125"/>
        <v>0</v>
      </c>
      <c r="AQ334" s="498">
        <f t="shared" si="142"/>
        <v>0</v>
      </c>
      <c r="AU334" s="498">
        <f t="shared" si="129"/>
        <v>0</v>
      </c>
      <c r="AV334" s="498">
        <f t="shared" si="130"/>
        <v>0</v>
      </c>
      <c r="AW334" s="498">
        <f t="shared" si="131"/>
        <v>0</v>
      </c>
      <c r="AX334" s="498">
        <f t="shared" si="132"/>
        <v>0</v>
      </c>
      <c r="AY334" s="498">
        <f t="shared" si="133"/>
        <v>0</v>
      </c>
      <c r="BB334" s="498" t="str">
        <f t="shared" si="134"/>
        <v/>
      </c>
      <c r="BC334" s="743" t="str">
        <f t="shared" si="135"/>
        <v/>
      </c>
      <c r="BD334" s="743" t="str">
        <f t="shared" si="136"/>
        <v/>
      </c>
      <c r="BE334" s="743" t="str">
        <f>IF(D334="","",VLOOKUP(D334,'General Basis'!$J$39:$K$46,2,0))</f>
        <v/>
      </c>
      <c r="BF334" s="744" t="str">
        <f>IF(D334="","",VLOOKUP(D334,'General Basis'!$J$39:$L$46,3,0))</f>
        <v/>
      </c>
      <c r="BG334" s="744" t="str">
        <f t="shared" si="143"/>
        <v/>
      </c>
      <c r="BH334" s="744" t="str">
        <f>IF(G334="","",IF(BF334="Abu Dhabi",IF(G334&lt;18,'General Basis'!$C$39,IF(G334&lt;41,'General Basis'!$C$40,IF(G334&lt;60,'General Basis'!$C$41,IF(G334&lt;65,'General Basis'!$C$42,'General Basis'!$C$43)))),IF(G334&lt;11,'General Basis'!$B$39,IF(G334&lt;18,'General Basis'!$B$40,IF(G334&lt;26,'General Basis'!$B$41,IF(G334&lt;31,'General Basis'!$B$42,IF(G334&lt;36,'General Basis'!$B$43,IF(G334&lt;41,'General Basis'!$B$44,IF(G334&lt;46,'General Basis'!$B$45,IF(G334&lt;51,'General Basis'!$B$46,IF(G334&lt;56,'General Basis'!$B$47,IF(G334&lt;60,'General Basis'!$B$48,IF(G334&lt;65,'General Basis'!$B$49,'General Basis'!$B$50)))))))))))))</f>
        <v/>
      </c>
      <c r="BI334" s="744" t="str">
        <f t="shared" si="137"/>
        <v/>
      </c>
      <c r="BJ334" s="747" t="str">
        <f t="shared" si="144"/>
        <v/>
      </c>
      <c r="BK334" s="498" t="str">
        <f t="shared" si="138"/>
        <v/>
      </c>
      <c r="BL334" s="498" t="str">
        <f t="shared" si="139"/>
        <v/>
      </c>
    </row>
    <row r="335" spans="1:64" x14ac:dyDescent="0.25">
      <c r="A335" s="762">
        <f t="shared" si="140"/>
        <v>330</v>
      </c>
      <c r="B335" s="229"/>
      <c r="C335" s="223"/>
      <c r="D335" s="224"/>
      <c r="E335" s="225"/>
      <c r="F335" s="1036" t="str">
        <f t="shared" si="124"/>
        <v/>
      </c>
      <c r="G335" s="1037" t="str">
        <f t="shared" si="141"/>
        <v/>
      </c>
      <c r="H335" s="225"/>
      <c r="I335" s="1013"/>
      <c r="J335" s="1013"/>
      <c r="K335" s="1028"/>
      <c r="L335" s="1035" t="str">
        <f t="shared" si="145"/>
        <v/>
      </c>
      <c r="S335" s="498"/>
      <c r="AJ335" s="498"/>
      <c r="AM335" s="498">
        <f t="shared" si="126"/>
        <v>0</v>
      </c>
      <c r="AN335" s="498">
        <f t="shared" si="127"/>
        <v>0</v>
      </c>
      <c r="AO335" s="498">
        <f t="shared" si="128"/>
        <v>0</v>
      </c>
      <c r="AP335" s="498">
        <f t="shared" si="125"/>
        <v>0</v>
      </c>
      <c r="AQ335" s="498">
        <f t="shared" si="142"/>
        <v>0</v>
      </c>
      <c r="AU335" s="498">
        <f t="shared" si="129"/>
        <v>0</v>
      </c>
      <c r="AV335" s="498">
        <f t="shared" si="130"/>
        <v>0</v>
      </c>
      <c r="AW335" s="498">
        <f t="shared" si="131"/>
        <v>0</v>
      </c>
      <c r="AX335" s="498">
        <f t="shared" si="132"/>
        <v>0</v>
      </c>
      <c r="AY335" s="498">
        <f t="shared" si="133"/>
        <v>0</v>
      </c>
      <c r="BB335" s="498" t="str">
        <f t="shared" si="134"/>
        <v/>
      </c>
      <c r="BC335" s="743" t="str">
        <f t="shared" si="135"/>
        <v/>
      </c>
      <c r="BD335" s="743" t="str">
        <f t="shared" si="136"/>
        <v/>
      </c>
      <c r="BE335" s="743" t="str">
        <f>IF(D335="","",VLOOKUP(D335,'General Basis'!$J$39:$K$46,2,0))</f>
        <v/>
      </c>
      <c r="BF335" s="744" t="str">
        <f>IF(D335="","",VLOOKUP(D335,'General Basis'!$J$39:$L$46,3,0))</f>
        <v/>
      </c>
      <c r="BG335" s="744" t="str">
        <f t="shared" si="143"/>
        <v/>
      </c>
      <c r="BH335" s="744" t="str">
        <f>IF(G335="","",IF(BF335="Abu Dhabi",IF(G335&lt;18,'General Basis'!$C$39,IF(G335&lt;41,'General Basis'!$C$40,IF(G335&lt;60,'General Basis'!$C$41,IF(G335&lt;65,'General Basis'!$C$42,'General Basis'!$C$43)))),IF(G335&lt;11,'General Basis'!$B$39,IF(G335&lt;18,'General Basis'!$B$40,IF(G335&lt;26,'General Basis'!$B$41,IF(G335&lt;31,'General Basis'!$B$42,IF(G335&lt;36,'General Basis'!$B$43,IF(G335&lt;41,'General Basis'!$B$44,IF(G335&lt;46,'General Basis'!$B$45,IF(G335&lt;51,'General Basis'!$B$46,IF(G335&lt;56,'General Basis'!$B$47,IF(G335&lt;60,'General Basis'!$B$48,IF(G335&lt;65,'General Basis'!$B$49,'General Basis'!$B$50)))))))))))))</f>
        <v/>
      </c>
      <c r="BI335" s="744" t="str">
        <f t="shared" si="137"/>
        <v/>
      </c>
      <c r="BJ335" s="747" t="str">
        <f t="shared" si="144"/>
        <v/>
      </c>
      <c r="BK335" s="498" t="str">
        <f t="shared" si="138"/>
        <v/>
      </c>
      <c r="BL335" s="498" t="str">
        <f t="shared" si="139"/>
        <v/>
      </c>
    </row>
    <row r="336" spans="1:64" x14ac:dyDescent="0.25">
      <c r="A336" s="762">
        <f t="shared" si="140"/>
        <v>331</v>
      </c>
      <c r="B336" s="229"/>
      <c r="C336" s="223"/>
      <c r="D336" s="224"/>
      <c r="E336" s="225"/>
      <c r="F336" s="1036" t="str">
        <f t="shared" ref="F336:F399" si="146">IF(C336="","",IF($B336="","",((YEAR($F$3)-YEAR($B336))+(MONTH($F$3)-MONTH($B336))/12+(DAY($F$3)-DAY($B336))/(DATE(YEAR($F$3),12,31)-DATE(YEAR($F$3),1,1)+1))))</f>
        <v/>
      </c>
      <c r="G336" s="1037" t="str">
        <f t="shared" si="141"/>
        <v/>
      </c>
      <c r="H336" s="225"/>
      <c r="I336" s="1013"/>
      <c r="J336" s="1013"/>
      <c r="K336" s="1028"/>
      <c r="L336" s="1035" t="str">
        <f t="shared" si="145"/>
        <v/>
      </c>
      <c r="S336" s="498"/>
      <c r="AJ336" s="498"/>
      <c r="AM336" s="498">
        <f t="shared" si="126"/>
        <v>0</v>
      </c>
      <c r="AN336" s="498">
        <f t="shared" si="127"/>
        <v>0</v>
      </c>
      <c r="AO336" s="498">
        <f t="shared" si="128"/>
        <v>0</v>
      </c>
      <c r="AP336" s="498">
        <f t="shared" si="125"/>
        <v>0</v>
      </c>
      <c r="AQ336" s="498">
        <f t="shared" si="142"/>
        <v>0</v>
      </c>
      <c r="AU336" s="498">
        <f t="shared" si="129"/>
        <v>0</v>
      </c>
      <c r="AV336" s="498">
        <f t="shared" si="130"/>
        <v>0</v>
      </c>
      <c r="AW336" s="498">
        <f t="shared" si="131"/>
        <v>0</v>
      </c>
      <c r="AX336" s="498">
        <f t="shared" si="132"/>
        <v>0</v>
      </c>
      <c r="AY336" s="498">
        <f t="shared" si="133"/>
        <v>0</v>
      </c>
      <c r="BB336" s="498" t="str">
        <f t="shared" si="134"/>
        <v/>
      </c>
      <c r="BC336" s="743" t="str">
        <f t="shared" si="135"/>
        <v/>
      </c>
      <c r="BD336" s="743" t="str">
        <f t="shared" si="136"/>
        <v/>
      </c>
      <c r="BE336" s="743" t="str">
        <f>IF(D336="","",VLOOKUP(D336,'General Basis'!$J$39:$K$46,2,0))</f>
        <v/>
      </c>
      <c r="BF336" s="744" t="str">
        <f>IF(D336="","",VLOOKUP(D336,'General Basis'!$J$39:$L$46,3,0))</f>
        <v/>
      </c>
      <c r="BG336" s="744" t="str">
        <f t="shared" si="143"/>
        <v/>
      </c>
      <c r="BH336" s="744" t="str">
        <f>IF(G336="","",IF(BF336="Abu Dhabi",IF(G336&lt;18,'General Basis'!$C$39,IF(G336&lt;41,'General Basis'!$C$40,IF(G336&lt;60,'General Basis'!$C$41,IF(G336&lt;65,'General Basis'!$C$42,'General Basis'!$C$43)))),IF(G336&lt;11,'General Basis'!$B$39,IF(G336&lt;18,'General Basis'!$B$40,IF(G336&lt;26,'General Basis'!$B$41,IF(G336&lt;31,'General Basis'!$B$42,IF(G336&lt;36,'General Basis'!$B$43,IF(G336&lt;41,'General Basis'!$B$44,IF(G336&lt;46,'General Basis'!$B$45,IF(G336&lt;51,'General Basis'!$B$46,IF(G336&lt;56,'General Basis'!$B$47,IF(G336&lt;60,'General Basis'!$B$48,IF(G336&lt;65,'General Basis'!$B$49,'General Basis'!$B$50)))))))))))))</f>
        <v/>
      </c>
      <c r="BI336" s="744" t="str">
        <f t="shared" si="137"/>
        <v/>
      </c>
      <c r="BJ336" s="747" t="str">
        <f t="shared" si="144"/>
        <v/>
      </c>
      <c r="BK336" s="498" t="str">
        <f t="shared" si="138"/>
        <v/>
      </c>
      <c r="BL336" s="498" t="str">
        <f t="shared" si="139"/>
        <v/>
      </c>
    </row>
    <row r="337" spans="1:64" x14ac:dyDescent="0.25">
      <c r="A337" s="762">
        <f t="shared" si="140"/>
        <v>332</v>
      </c>
      <c r="B337" s="229"/>
      <c r="C337" s="223"/>
      <c r="D337" s="224"/>
      <c r="E337" s="225"/>
      <c r="F337" s="1036" t="str">
        <f t="shared" si="146"/>
        <v/>
      </c>
      <c r="G337" s="1037" t="str">
        <f t="shared" si="141"/>
        <v/>
      </c>
      <c r="H337" s="225"/>
      <c r="I337" s="1013"/>
      <c r="J337" s="1013"/>
      <c r="K337" s="1028"/>
      <c r="L337" s="1035" t="str">
        <f t="shared" si="145"/>
        <v/>
      </c>
      <c r="S337" s="498"/>
      <c r="AJ337" s="498"/>
      <c r="AM337" s="498">
        <f t="shared" si="126"/>
        <v>0</v>
      </c>
      <c r="AN337" s="498">
        <f t="shared" si="127"/>
        <v>0</v>
      </c>
      <c r="AO337" s="498">
        <f t="shared" si="128"/>
        <v>0</v>
      </c>
      <c r="AP337" s="498">
        <f t="shared" si="125"/>
        <v>0</v>
      </c>
      <c r="AQ337" s="498">
        <f t="shared" si="142"/>
        <v>0</v>
      </c>
      <c r="AU337" s="498">
        <f t="shared" si="129"/>
        <v>0</v>
      </c>
      <c r="AV337" s="498">
        <f t="shared" si="130"/>
        <v>0</v>
      </c>
      <c r="AW337" s="498">
        <f t="shared" si="131"/>
        <v>0</v>
      </c>
      <c r="AX337" s="498">
        <f t="shared" si="132"/>
        <v>0</v>
      </c>
      <c r="AY337" s="498">
        <f t="shared" si="133"/>
        <v>0</v>
      </c>
      <c r="BB337" s="498" t="str">
        <f t="shared" si="134"/>
        <v/>
      </c>
      <c r="BC337" s="743" t="str">
        <f t="shared" si="135"/>
        <v/>
      </c>
      <c r="BD337" s="743" t="str">
        <f t="shared" si="136"/>
        <v/>
      </c>
      <c r="BE337" s="743" t="str">
        <f>IF(D337="","",VLOOKUP(D337,'General Basis'!$J$39:$K$46,2,0))</f>
        <v/>
      </c>
      <c r="BF337" s="744" t="str">
        <f>IF(D337="","",VLOOKUP(D337,'General Basis'!$J$39:$L$46,3,0))</f>
        <v/>
      </c>
      <c r="BG337" s="744" t="str">
        <f t="shared" si="143"/>
        <v/>
      </c>
      <c r="BH337" s="744" t="str">
        <f>IF(G337="","",IF(BF337="Abu Dhabi",IF(G337&lt;18,'General Basis'!$C$39,IF(G337&lt;41,'General Basis'!$C$40,IF(G337&lt;60,'General Basis'!$C$41,IF(G337&lt;65,'General Basis'!$C$42,'General Basis'!$C$43)))),IF(G337&lt;11,'General Basis'!$B$39,IF(G337&lt;18,'General Basis'!$B$40,IF(G337&lt;26,'General Basis'!$B$41,IF(G337&lt;31,'General Basis'!$B$42,IF(G337&lt;36,'General Basis'!$B$43,IF(G337&lt;41,'General Basis'!$B$44,IF(G337&lt;46,'General Basis'!$B$45,IF(G337&lt;51,'General Basis'!$B$46,IF(G337&lt;56,'General Basis'!$B$47,IF(G337&lt;60,'General Basis'!$B$48,IF(G337&lt;65,'General Basis'!$B$49,'General Basis'!$B$50)))))))))))))</f>
        <v/>
      </c>
      <c r="BI337" s="744" t="str">
        <f t="shared" si="137"/>
        <v/>
      </c>
      <c r="BJ337" s="747" t="str">
        <f t="shared" si="144"/>
        <v/>
      </c>
      <c r="BK337" s="498" t="str">
        <f t="shared" si="138"/>
        <v/>
      </c>
      <c r="BL337" s="498" t="str">
        <f t="shared" si="139"/>
        <v/>
      </c>
    </row>
    <row r="338" spans="1:64" x14ac:dyDescent="0.25">
      <c r="A338" s="762">
        <f t="shared" si="140"/>
        <v>333</v>
      </c>
      <c r="B338" s="229"/>
      <c r="C338" s="223"/>
      <c r="D338" s="224"/>
      <c r="E338" s="225"/>
      <c r="F338" s="1036" t="str">
        <f t="shared" si="146"/>
        <v/>
      </c>
      <c r="G338" s="1037" t="str">
        <f t="shared" si="141"/>
        <v/>
      </c>
      <c r="H338" s="225"/>
      <c r="I338" s="1013"/>
      <c r="J338" s="1013"/>
      <c r="K338" s="1028"/>
      <c r="L338" s="1035" t="str">
        <f t="shared" si="145"/>
        <v/>
      </c>
      <c r="S338" s="498"/>
      <c r="AJ338" s="498"/>
      <c r="AM338" s="498">
        <f t="shared" si="126"/>
        <v>0</v>
      </c>
      <c r="AN338" s="498">
        <f t="shared" si="127"/>
        <v>0</v>
      </c>
      <c r="AO338" s="498">
        <f t="shared" si="128"/>
        <v>0</v>
      </c>
      <c r="AP338" s="498">
        <f t="shared" si="125"/>
        <v>0</v>
      </c>
      <c r="AQ338" s="498">
        <f t="shared" si="142"/>
        <v>0</v>
      </c>
      <c r="AU338" s="498">
        <f t="shared" si="129"/>
        <v>0</v>
      </c>
      <c r="AV338" s="498">
        <f t="shared" si="130"/>
        <v>0</v>
      </c>
      <c r="AW338" s="498">
        <f t="shared" si="131"/>
        <v>0</v>
      </c>
      <c r="AX338" s="498">
        <f t="shared" si="132"/>
        <v>0</v>
      </c>
      <c r="AY338" s="498">
        <f t="shared" si="133"/>
        <v>0</v>
      </c>
      <c r="BB338" s="498" t="str">
        <f t="shared" si="134"/>
        <v/>
      </c>
      <c r="BC338" s="743" t="str">
        <f t="shared" si="135"/>
        <v/>
      </c>
      <c r="BD338" s="743" t="str">
        <f t="shared" si="136"/>
        <v/>
      </c>
      <c r="BE338" s="743" t="str">
        <f>IF(D338="","",VLOOKUP(D338,'General Basis'!$J$39:$K$46,2,0))</f>
        <v/>
      </c>
      <c r="BF338" s="744" t="str">
        <f>IF(D338="","",VLOOKUP(D338,'General Basis'!$J$39:$L$46,3,0))</f>
        <v/>
      </c>
      <c r="BG338" s="744" t="str">
        <f t="shared" si="143"/>
        <v/>
      </c>
      <c r="BH338" s="744" t="str">
        <f>IF(G338="","",IF(BF338="Abu Dhabi",IF(G338&lt;18,'General Basis'!$C$39,IF(G338&lt;41,'General Basis'!$C$40,IF(G338&lt;60,'General Basis'!$C$41,IF(G338&lt;65,'General Basis'!$C$42,'General Basis'!$C$43)))),IF(G338&lt;11,'General Basis'!$B$39,IF(G338&lt;18,'General Basis'!$B$40,IF(G338&lt;26,'General Basis'!$B$41,IF(G338&lt;31,'General Basis'!$B$42,IF(G338&lt;36,'General Basis'!$B$43,IF(G338&lt;41,'General Basis'!$B$44,IF(G338&lt;46,'General Basis'!$B$45,IF(G338&lt;51,'General Basis'!$B$46,IF(G338&lt;56,'General Basis'!$B$47,IF(G338&lt;60,'General Basis'!$B$48,IF(G338&lt;65,'General Basis'!$B$49,'General Basis'!$B$50)))))))))))))</f>
        <v/>
      </c>
      <c r="BI338" s="744" t="str">
        <f t="shared" si="137"/>
        <v/>
      </c>
      <c r="BJ338" s="747" t="str">
        <f t="shared" si="144"/>
        <v/>
      </c>
      <c r="BK338" s="498" t="str">
        <f t="shared" si="138"/>
        <v/>
      </c>
      <c r="BL338" s="498" t="str">
        <f t="shared" si="139"/>
        <v/>
      </c>
    </row>
    <row r="339" spans="1:64" x14ac:dyDescent="0.25">
      <c r="A339" s="762">
        <f t="shared" si="140"/>
        <v>334</v>
      </c>
      <c r="B339" s="229"/>
      <c r="C339" s="223"/>
      <c r="D339" s="224"/>
      <c r="E339" s="225"/>
      <c r="F339" s="1036" t="str">
        <f t="shared" si="146"/>
        <v/>
      </c>
      <c r="G339" s="1037" t="str">
        <f t="shared" si="141"/>
        <v/>
      </c>
      <c r="H339" s="225"/>
      <c r="I339" s="1013"/>
      <c r="J339" s="1013"/>
      <c r="K339" s="1028"/>
      <c r="L339" s="1035" t="str">
        <f t="shared" si="145"/>
        <v/>
      </c>
      <c r="S339" s="498"/>
      <c r="AJ339" s="498"/>
      <c r="AM339" s="498">
        <f t="shared" si="126"/>
        <v>0</v>
      </c>
      <c r="AN339" s="498">
        <f t="shared" si="127"/>
        <v>0</v>
      </c>
      <c r="AO339" s="498">
        <f t="shared" si="128"/>
        <v>0</v>
      </c>
      <c r="AP339" s="498">
        <f t="shared" ref="AP339:AP402" si="147">IF(ISBLANK($B339),0,IF(OR($C339="M",$C339="F"),0,1))</f>
        <v>0</v>
      </c>
      <c r="AQ339" s="498">
        <f t="shared" si="142"/>
        <v>0</v>
      </c>
      <c r="AU339" s="498">
        <f t="shared" si="129"/>
        <v>0</v>
      </c>
      <c r="AV339" s="498">
        <f t="shared" si="130"/>
        <v>0</v>
      </c>
      <c r="AW339" s="498">
        <f t="shared" si="131"/>
        <v>0</v>
      </c>
      <c r="AX339" s="498">
        <f t="shared" si="132"/>
        <v>0</v>
      </c>
      <c r="AY339" s="498">
        <f t="shared" si="133"/>
        <v>0</v>
      </c>
      <c r="BB339" s="498" t="str">
        <f t="shared" si="134"/>
        <v/>
      </c>
      <c r="BC339" s="743" t="str">
        <f t="shared" si="135"/>
        <v/>
      </c>
      <c r="BD339" s="743" t="str">
        <f t="shared" si="136"/>
        <v/>
      </c>
      <c r="BE339" s="743" t="str">
        <f>IF(D339="","",VLOOKUP(D339,'General Basis'!$J$39:$K$46,2,0))</f>
        <v/>
      </c>
      <c r="BF339" s="744" t="str">
        <f>IF(D339="","",VLOOKUP(D339,'General Basis'!$J$39:$L$46,3,0))</f>
        <v/>
      </c>
      <c r="BG339" s="744" t="str">
        <f t="shared" si="143"/>
        <v/>
      </c>
      <c r="BH339" s="744" t="str">
        <f>IF(G339="","",IF(BF339="Abu Dhabi",IF(G339&lt;18,'General Basis'!$C$39,IF(G339&lt;41,'General Basis'!$C$40,IF(G339&lt;60,'General Basis'!$C$41,IF(G339&lt;65,'General Basis'!$C$42,'General Basis'!$C$43)))),IF(G339&lt;11,'General Basis'!$B$39,IF(G339&lt;18,'General Basis'!$B$40,IF(G339&lt;26,'General Basis'!$B$41,IF(G339&lt;31,'General Basis'!$B$42,IF(G339&lt;36,'General Basis'!$B$43,IF(G339&lt;41,'General Basis'!$B$44,IF(G339&lt;46,'General Basis'!$B$45,IF(G339&lt;51,'General Basis'!$B$46,IF(G339&lt;56,'General Basis'!$B$47,IF(G339&lt;60,'General Basis'!$B$48,IF(G339&lt;65,'General Basis'!$B$49,'General Basis'!$B$50)))))))))))))</f>
        <v/>
      </c>
      <c r="BI339" s="744" t="str">
        <f t="shared" si="137"/>
        <v/>
      </c>
      <c r="BJ339" s="747" t="str">
        <f t="shared" si="144"/>
        <v/>
      </c>
      <c r="BK339" s="498" t="str">
        <f t="shared" si="138"/>
        <v/>
      </c>
      <c r="BL339" s="498" t="str">
        <f t="shared" si="139"/>
        <v/>
      </c>
    </row>
    <row r="340" spans="1:64" x14ac:dyDescent="0.25">
      <c r="A340" s="762">
        <f t="shared" si="140"/>
        <v>335</v>
      </c>
      <c r="B340" s="229"/>
      <c r="C340" s="223"/>
      <c r="D340" s="224"/>
      <c r="E340" s="225"/>
      <c r="F340" s="1036" t="str">
        <f t="shared" si="146"/>
        <v/>
      </c>
      <c r="G340" s="1037" t="str">
        <f t="shared" si="141"/>
        <v/>
      </c>
      <c r="H340" s="225"/>
      <c r="I340" s="1013"/>
      <c r="J340" s="1013"/>
      <c r="K340" s="1028"/>
      <c r="L340" s="1035" t="str">
        <f t="shared" si="145"/>
        <v/>
      </c>
      <c r="S340" s="498"/>
      <c r="AJ340" s="498"/>
      <c r="AM340" s="498">
        <f t="shared" si="126"/>
        <v>0</v>
      </c>
      <c r="AN340" s="498">
        <f t="shared" si="127"/>
        <v>0</v>
      </c>
      <c r="AO340" s="498">
        <f t="shared" si="128"/>
        <v>0</v>
      </c>
      <c r="AP340" s="498">
        <f t="shared" si="147"/>
        <v>0</v>
      </c>
      <c r="AQ340" s="498">
        <f t="shared" si="142"/>
        <v>0</v>
      </c>
      <c r="AU340" s="498">
        <f t="shared" si="129"/>
        <v>0</v>
      </c>
      <c r="AV340" s="498">
        <f t="shared" si="130"/>
        <v>0</v>
      </c>
      <c r="AW340" s="498">
        <f t="shared" si="131"/>
        <v>0</v>
      </c>
      <c r="AX340" s="498">
        <f t="shared" si="132"/>
        <v>0</v>
      </c>
      <c r="AY340" s="498">
        <f t="shared" si="133"/>
        <v>0</v>
      </c>
      <c r="BB340" s="498" t="str">
        <f t="shared" si="134"/>
        <v/>
      </c>
      <c r="BC340" s="743" t="str">
        <f t="shared" si="135"/>
        <v/>
      </c>
      <c r="BD340" s="743" t="str">
        <f t="shared" si="136"/>
        <v/>
      </c>
      <c r="BE340" s="743" t="str">
        <f>IF(D340="","",VLOOKUP(D340,'General Basis'!$J$39:$K$46,2,0))</f>
        <v/>
      </c>
      <c r="BF340" s="744" t="str">
        <f>IF(D340="","",VLOOKUP(D340,'General Basis'!$J$39:$L$46,3,0))</f>
        <v/>
      </c>
      <c r="BG340" s="744" t="str">
        <f t="shared" si="143"/>
        <v/>
      </c>
      <c r="BH340" s="744" t="str">
        <f>IF(G340="","",IF(BF340="Abu Dhabi",IF(G340&lt;18,'General Basis'!$C$39,IF(G340&lt;41,'General Basis'!$C$40,IF(G340&lt;60,'General Basis'!$C$41,IF(G340&lt;65,'General Basis'!$C$42,'General Basis'!$C$43)))),IF(G340&lt;11,'General Basis'!$B$39,IF(G340&lt;18,'General Basis'!$B$40,IF(G340&lt;26,'General Basis'!$B$41,IF(G340&lt;31,'General Basis'!$B$42,IF(G340&lt;36,'General Basis'!$B$43,IF(G340&lt;41,'General Basis'!$B$44,IF(G340&lt;46,'General Basis'!$B$45,IF(G340&lt;51,'General Basis'!$B$46,IF(G340&lt;56,'General Basis'!$B$47,IF(G340&lt;60,'General Basis'!$B$48,IF(G340&lt;65,'General Basis'!$B$49,'General Basis'!$B$50)))))))))))))</f>
        <v/>
      </c>
      <c r="BI340" s="744" t="str">
        <f t="shared" si="137"/>
        <v/>
      </c>
      <c r="BJ340" s="747" t="str">
        <f t="shared" si="144"/>
        <v/>
      </c>
      <c r="BK340" s="498" t="str">
        <f t="shared" si="138"/>
        <v/>
      </c>
      <c r="BL340" s="498" t="str">
        <f t="shared" si="139"/>
        <v/>
      </c>
    </row>
    <row r="341" spans="1:64" x14ac:dyDescent="0.25">
      <c r="A341" s="762">
        <f t="shared" si="140"/>
        <v>336</v>
      </c>
      <c r="B341" s="229"/>
      <c r="C341" s="223"/>
      <c r="D341" s="224"/>
      <c r="E341" s="225"/>
      <c r="F341" s="1036" t="str">
        <f t="shared" si="146"/>
        <v/>
      </c>
      <c r="G341" s="1037" t="str">
        <f t="shared" si="141"/>
        <v/>
      </c>
      <c r="H341" s="225"/>
      <c r="I341" s="1013"/>
      <c r="J341" s="1013"/>
      <c r="K341" s="1028"/>
      <c r="L341" s="1035" t="str">
        <f t="shared" si="145"/>
        <v/>
      </c>
      <c r="S341" s="498"/>
      <c r="AJ341" s="498"/>
      <c r="AM341" s="498">
        <f t="shared" si="126"/>
        <v>0</v>
      </c>
      <c r="AN341" s="498">
        <f t="shared" si="127"/>
        <v>0</v>
      </c>
      <c r="AO341" s="498">
        <f t="shared" si="128"/>
        <v>0</v>
      </c>
      <c r="AP341" s="498">
        <f t="shared" si="147"/>
        <v>0</v>
      </c>
      <c r="AQ341" s="498">
        <f t="shared" si="142"/>
        <v>0</v>
      </c>
      <c r="AU341" s="498">
        <f t="shared" si="129"/>
        <v>0</v>
      </c>
      <c r="AV341" s="498">
        <f t="shared" si="130"/>
        <v>0</v>
      </c>
      <c r="AW341" s="498">
        <f t="shared" si="131"/>
        <v>0</v>
      </c>
      <c r="AX341" s="498">
        <f t="shared" si="132"/>
        <v>0</v>
      </c>
      <c r="AY341" s="498">
        <f t="shared" si="133"/>
        <v>0</v>
      </c>
      <c r="BB341" s="498" t="str">
        <f t="shared" si="134"/>
        <v/>
      </c>
      <c r="BC341" s="743" t="str">
        <f t="shared" si="135"/>
        <v/>
      </c>
      <c r="BD341" s="743" t="str">
        <f t="shared" si="136"/>
        <v/>
      </c>
      <c r="BE341" s="743" t="str">
        <f>IF(D341="","",VLOOKUP(D341,'General Basis'!$J$39:$K$46,2,0))</f>
        <v/>
      </c>
      <c r="BF341" s="744" t="str">
        <f>IF(D341="","",VLOOKUP(D341,'General Basis'!$J$39:$L$46,3,0))</f>
        <v/>
      </c>
      <c r="BG341" s="744" t="str">
        <f t="shared" si="143"/>
        <v/>
      </c>
      <c r="BH341" s="744" t="str">
        <f>IF(G341="","",IF(BF341="Abu Dhabi",IF(G341&lt;18,'General Basis'!$C$39,IF(G341&lt;41,'General Basis'!$C$40,IF(G341&lt;60,'General Basis'!$C$41,IF(G341&lt;65,'General Basis'!$C$42,'General Basis'!$C$43)))),IF(G341&lt;11,'General Basis'!$B$39,IF(G341&lt;18,'General Basis'!$B$40,IF(G341&lt;26,'General Basis'!$B$41,IF(G341&lt;31,'General Basis'!$B$42,IF(G341&lt;36,'General Basis'!$B$43,IF(G341&lt;41,'General Basis'!$B$44,IF(G341&lt;46,'General Basis'!$B$45,IF(G341&lt;51,'General Basis'!$B$46,IF(G341&lt;56,'General Basis'!$B$47,IF(G341&lt;60,'General Basis'!$B$48,IF(G341&lt;65,'General Basis'!$B$49,'General Basis'!$B$50)))))))))))))</f>
        <v/>
      </c>
      <c r="BI341" s="744" t="str">
        <f t="shared" si="137"/>
        <v/>
      </c>
      <c r="BJ341" s="747" t="str">
        <f t="shared" si="144"/>
        <v/>
      </c>
      <c r="BK341" s="498" t="str">
        <f t="shared" si="138"/>
        <v/>
      </c>
      <c r="BL341" s="498" t="str">
        <f t="shared" si="139"/>
        <v/>
      </c>
    </row>
    <row r="342" spans="1:64" x14ac:dyDescent="0.25">
      <c r="A342" s="762">
        <f t="shared" si="140"/>
        <v>337</v>
      </c>
      <c r="B342" s="229"/>
      <c r="C342" s="223"/>
      <c r="D342" s="224"/>
      <c r="E342" s="225"/>
      <c r="F342" s="1036" t="str">
        <f t="shared" si="146"/>
        <v/>
      </c>
      <c r="G342" s="1037" t="str">
        <f t="shared" si="141"/>
        <v/>
      </c>
      <c r="H342" s="225"/>
      <c r="I342" s="1013"/>
      <c r="J342" s="1013"/>
      <c r="K342" s="1028"/>
      <c r="L342" s="1035" t="str">
        <f t="shared" si="145"/>
        <v/>
      </c>
      <c r="S342" s="498"/>
      <c r="AJ342" s="498"/>
      <c r="AM342" s="498">
        <f t="shared" si="126"/>
        <v>0</v>
      </c>
      <c r="AN342" s="498">
        <f t="shared" si="127"/>
        <v>0</v>
      </c>
      <c r="AO342" s="498">
        <f t="shared" si="128"/>
        <v>0</v>
      </c>
      <c r="AP342" s="498">
        <f t="shared" si="147"/>
        <v>0</v>
      </c>
      <c r="AQ342" s="498">
        <f t="shared" si="142"/>
        <v>0</v>
      </c>
      <c r="AU342" s="498">
        <f t="shared" si="129"/>
        <v>0</v>
      </c>
      <c r="AV342" s="498">
        <f t="shared" si="130"/>
        <v>0</v>
      </c>
      <c r="AW342" s="498">
        <f t="shared" si="131"/>
        <v>0</v>
      </c>
      <c r="AX342" s="498">
        <f t="shared" si="132"/>
        <v>0</v>
      </c>
      <c r="AY342" s="498">
        <f t="shared" si="133"/>
        <v>0</v>
      </c>
      <c r="BB342" s="498" t="str">
        <f t="shared" si="134"/>
        <v/>
      </c>
      <c r="BC342" s="743" t="str">
        <f t="shared" si="135"/>
        <v/>
      </c>
      <c r="BD342" s="743" t="str">
        <f t="shared" si="136"/>
        <v/>
      </c>
      <c r="BE342" s="743" t="str">
        <f>IF(D342="","",VLOOKUP(D342,'General Basis'!$J$39:$K$46,2,0))</f>
        <v/>
      </c>
      <c r="BF342" s="744" t="str">
        <f>IF(D342="","",VLOOKUP(D342,'General Basis'!$J$39:$L$46,3,0))</f>
        <v/>
      </c>
      <c r="BG342" s="744" t="str">
        <f t="shared" si="143"/>
        <v/>
      </c>
      <c r="BH342" s="744" t="str">
        <f>IF(G342="","",IF(BF342="Abu Dhabi",IF(G342&lt;18,'General Basis'!$C$39,IF(G342&lt;41,'General Basis'!$C$40,IF(G342&lt;60,'General Basis'!$C$41,IF(G342&lt;65,'General Basis'!$C$42,'General Basis'!$C$43)))),IF(G342&lt;11,'General Basis'!$B$39,IF(G342&lt;18,'General Basis'!$B$40,IF(G342&lt;26,'General Basis'!$B$41,IF(G342&lt;31,'General Basis'!$B$42,IF(G342&lt;36,'General Basis'!$B$43,IF(G342&lt;41,'General Basis'!$B$44,IF(G342&lt;46,'General Basis'!$B$45,IF(G342&lt;51,'General Basis'!$B$46,IF(G342&lt;56,'General Basis'!$B$47,IF(G342&lt;60,'General Basis'!$B$48,IF(G342&lt;65,'General Basis'!$B$49,'General Basis'!$B$50)))))))))))))</f>
        <v/>
      </c>
      <c r="BI342" s="744" t="str">
        <f t="shared" si="137"/>
        <v/>
      </c>
      <c r="BJ342" s="747" t="str">
        <f t="shared" si="144"/>
        <v/>
      </c>
      <c r="BK342" s="498" t="str">
        <f t="shared" si="138"/>
        <v/>
      </c>
      <c r="BL342" s="498" t="str">
        <f t="shared" si="139"/>
        <v/>
      </c>
    </row>
    <row r="343" spans="1:64" x14ac:dyDescent="0.25">
      <c r="A343" s="762">
        <f t="shared" si="140"/>
        <v>338</v>
      </c>
      <c r="B343" s="229"/>
      <c r="C343" s="223"/>
      <c r="D343" s="224"/>
      <c r="E343" s="225"/>
      <c r="F343" s="1036" t="str">
        <f t="shared" si="146"/>
        <v/>
      </c>
      <c r="G343" s="1037" t="str">
        <f t="shared" si="141"/>
        <v/>
      </c>
      <c r="H343" s="225"/>
      <c r="I343" s="1013"/>
      <c r="J343" s="1013"/>
      <c r="K343" s="1028"/>
      <c r="L343" s="1035" t="str">
        <f t="shared" si="145"/>
        <v/>
      </c>
      <c r="S343" s="498"/>
      <c r="AJ343" s="498"/>
      <c r="AM343" s="498">
        <f t="shared" si="126"/>
        <v>0</v>
      </c>
      <c r="AN343" s="498">
        <f t="shared" si="127"/>
        <v>0</v>
      </c>
      <c r="AO343" s="498">
        <f t="shared" si="128"/>
        <v>0</v>
      </c>
      <c r="AP343" s="498">
        <f t="shared" si="147"/>
        <v>0</v>
      </c>
      <c r="AQ343" s="498">
        <f t="shared" si="142"/>
        <v>0</v>
      </c>
      <c r="AU343" s="498">
        <f t="shared" si="129"/>
        <v>0</v>
      </c>
      <c r="AV343" s="498">
        <f t="shared" si="130"/>
        <v>0</v>
      </c>
      <c r="AW343" s="498">
        <f t="shared" si="131"/>
        <v>0</v>
      </c>
      <c r="AX343" s="498">
        <f t="shared" si="132"/>
        <v>0</v>
      </c>
      <c r="AY343" s="498">
        <f t="shared" si="133"/>
        <v>0</v>
      </c>
      <c r="BB343" s="498" t="str">
        <f t="shared" si="134"/>
        <v/>
      </c>
      <c r="BC343" s="743" t="str">
        <f t="shared" si="135"/>
        <v/>
      </c>
      <c r="BD343" s="743" t="str">
        <f t="shared" si="136"/>
        <v/>
      </c>
      <c r="BE343" s="743" t="str">
        <f>IF(D343="","",VLOOKUP(D343,'General Basis'!$J$39:$K$46,2,0))</f>
        <v/>
      </c>
      <c r="BF343" s="744" t="str">
        <f>IF(D343="","",VLOOKUP(D343,'General Basis'!$J$39:$L$46,3,0))</f>
        <v/>
      </c>
      <c r="BG343" s="744" t="str">
        <f t="shared" si="143"/>
        <v/>
      </c>
      <c r="BH343" s="744" t="str">
        <f>IF(G343="","",IF(BF343="Abu Dhabi",IF(G343&lt;18,'General Basis'!$C$39,IF(G343&lt;41,'General Basis'!$C$40,IF(G343&lt;60,'General Basis'!$C$41,IF(G343&lt;65,'General Basis'!$C$42,'General Basis'!$C$43)))),IF(G343&lt;11,'General Basis'!$B$39,IF(G343&lt;18,'General Basis'!$B$40,IF(G343&lt;26,'General Basis'!$B$41,IF(G343&lt;31,'General Basis'!$B$42,IF(G343&lt;36,'General Basis'!$B$43,IF(G343&lt;41,'General Basis'!$B$44,IF(G343&lt;46,'General Basis'!$B$45,IF(G343&lt;51,'General Basis'!$B$46,IF(G343&lt;56,'General Basis'!$B$47,IF(G343&lt;60,'General Basis'!$B$48,IF(G343&lt;65,'General Basis'!$B$49,'General Basis'!$B$50)))))))))))))</f>
        <v/>
      </c>
      <c r="BI343" s="744" t="str">
        <f t="shared" si="137"/>
        <v/>
      </c>
      <c r="BJ343" s="747" t="str">
        <f t="shared" si="144"/>
        <v/>
      </c>
      <c r="BK343" s="498" t="str">
        <f t="shared" si="138"/>
        <v/>
      </c>
      <c r="BL343" s="498" t="str">
        <f t="shared" si="139"/>
        <v/>
      </c>
    </row>
    <row r="344" spans="1:64" x14ac:dyDescent="0.25">
      <c r="A344" s="762">
        <f t="shared" si="140"/>
        <v>339</v>
      </c>
      <c r="B344" s="229"/>
      <c r="C344" s="223"/>
      <c r="D344" s="224"/>
      <c r="E344" s="225"/>
      <c r="F344" s="1036" t="str">
        <f t="shared" si="146"/>
        <v/>
      </c>
      <c r="G344" s="1037" t="str">
        <f t="shared" si="141"/>
        <v/>
      </c>
      <c r="H344" s="225"/>
      <c r="I344" s="1013"/>
      <c r="J344" s="1013"/>
      <c r="K344" s="1028"/>
      <c r="L344" s="1035" t="str">
        <f t="shared" si="145"/>
        <v/>
      </c>
      <c r="S344" s="498"/>
      <c r="AJ344" s="498"/>
      <c r="AM344" s="498">
        <f t="shared" si="126"/>
        <v>0</v>
      </c>
      <c r="AN344" s="498">
        <f t="shared" si="127"/>
        <v>0</v>
      </c>
      <c r="AO344" s="498">
        <f t="shared" si="128"/>
        <v>0</v>
      </c>
      <c r="AP344" s="498">
        <f t="shared" si="147"/>
        <v>0</v>
      </c>
      <c r="AQ344" s="498">
        <f t="shared" si="142"/>
        <v>0</v>
      </c>
      <c r="AU344" s="498">
        <f t="shared" si="129"/>
        <v>0</v>
      </c>
      <c r="AV344" s="498">
        <f t="shared" si="130"/>
        <v>0</v>
      </c>
      <c r="AW344" s="498">
        <f t="shared" si="131"/>
        <v>0</v>
      </c>
      <c r="AX344" s="498">
        <f t="shared" si="132"/>
        <v>0</v>
      </c>
      <c r="AY344" s="498">
        <f t="shared" si="133"/>
        <v>0</v>
      </c>
      <c r="BB344" s="498" t="str">
        <f t="shared" si="134"/>
        <v/>
      </c>
      <c r="BC344" s="743" t="str">
        <f t="shared" si="135"/>
        <v/>
      </c>
      <c r="BD344" s="743" t="str">
        <f t="shared" si="136"/>
        <v/>
      </c>
      <c r="BE344" s="743" t="str">
        <f>IF(D344="","",VLOOKUP(D344,'General Basis'!$J$39:$K$46,2,0))</f>
        <v/>
      </c>
      <c r="BF344" s="744" t="str">
        <f>IF(D344="","",VLOOKUP(D344,'General Basis'!$J$39:$L$46,3,0))</f>
        <v/>
      </c>
      <c r="BG344" s="744" t="str">
        <f t="shared" si="143"/>
        <v/>
      </c>
      <c r="BH344" s="744" t="str">
        <f>IF(G344="","",IF(BF344="Abu Dhabi",IF(G344&lt;18,'General Basis'!$C$39,IF(G344&lt;41,'General Basis'!$C$40,IF(G344&lt;60,'General Basis'!$C$41,IF(G344&lt;65,'General Basis'!$C$42,'General Basis'!$C$43)))),IF(G344&lt;11,'General Basis'!$B$39,IF(G344&lt;18,'General Basis'!$B$40,IF(G344&lt;26,'General Basis'!$B$41,IF(G344&lt;31,'General Basis'!$B$42,IF(G344&lt;36,'General Basis'!$B$43,IF(G344&lt;41,'General Basis'!$B$44,IF(G344&lt;46,'General Basis'!$B$45,IF(G344&lt;51,'General Basis'!$B$46,IF(G344&lt;56,'General Basis'!$B$47,IF(G344&lt;60,'General Basis'!$B$48,IF(G344&lt;65,'General Basis'!$B$49,'General Basis'!$B$50)))))))))))))</f>
        <v/>
      </c>
      <c r="BI344" s="744" t="str">
        <f t="shared" si="137"/>
        <v/>
      </c>
      <c r="BJ344" s="747" t="str">
        <f t="shared" si="144"/>
        <v/>
      </c>
      <c r="BK344" s="498" t="str">
        <f t="shared" si="138"/>
        <v/>
      </c>
      <c r="BL344" s="498" t="str">
        <f t="shared" si="139"/>
        <v/>
      </c>
    </row>
    <row r="345" spans="1:64" x14ac:dyDescent="0.25">
      <c r="A345" s="762">
        <f t="shared" si="140"/>
        <v>340</v>
      </c>
      <c r="B345" s="229"/>
      <c r="C345" s="223"/>
      <c r="D345" s="224"/>
      <c r="E345" s="225"/>
      <c r="F345" s="1036" t="str">
        <f t="shared" si="146"/>
        <v/>
      </c>
      <c r="G345" s="1037" t="str">
        <f t="shared" si="141"/>
        <v/>
      </c>
      <c r="H345" s="225"/>
      <c r="I345" s="1013"/>
      <c r="J345" s="1013"/>
      <c r="K345" s="1028"/>
      <c r="L345" s="1035" t="str">
        <f t="shared" si="145"/>
        <v/>
      </c>
      <c r="S345" s="498"/>
      <c r="AJ345" s="498"/>
      <c r="AM345" s="498">
        <f t="shared" si="126"/>
        <v>0</v>
      </c>
      <c r="AN345" s="498">
        <f t="shared" si="127"/>
        <v>0</v>
      </c>
      <c r="AO345" s="498">
        <f t="shared" si="128"/>
        <v>0</v>
      </c>
      <c r="AP345" s="498">
        <f t="shared" si="147"/>
        <v>0</v>
      </c>
      <c r="AQ345" s="498">
        <f t="shared" si="142"/>
        <v>0</v>
      </c>
      <c r="AU345" s="498">
        <f t="shared" si="129"/>
        <v>0</v>
      </c>
      <c r="AV345" s="498">
        <f t="shared" si="130"/>
        <v>0</v>
      </c>
      <c r="AW345" s="498">
        <f t="shared" si="131"/>
        <v>0</v>
      </c>
      <c r="AX345" s="498">
        <f t="shared" si="132"/>
        <v>0</v>
      </c>
      <c r="AY345" s="498">
        <f t="shared" si="133"/>
        <v>0</v>
      </c>
      <c r="BB345" s="498" t="str">
        <f t="shared" si="134"/>
        <v/>
      </c>
      <c r="BC345" s="743" t="str">
        <f t="shared" si="135"/>
        <v/>
      </c>
      <c r="BD345" s="743" t="str">
        <f t="shared" si="136"/>
        <v/>
      </c>
      <c r="BE345" s="743" t="str">
        <f>IF(D345="","",VLOOKUP(D345,'General Basis'!$J$39:$K$46,2,0))</f>
        <v/>
      </c>
      <c r="BF345" s="744" t="str">
        <f>IF(D345="","",VLOOKUP(D345,'General Basis'!$J$39:$L$46,3,0))</f>
        <v/>
      </c>
      <c r="BG345" s="744" t="str">
        <f t="shared" si="143"/>
        <v/>
      </c>
      <c r="BH345" s="744" t="str">
        <f>IF(G345="","",IF(BF345="Abu Dhabi",IF(G345&lt;18,'General Basis'!$C$39,IF(G345&lt;41,'General Basis'!$C$40,IF(G345&lt;60,'General Basis'!$C$41,IF(G345&lt;65,'General Basis'!$C$42,'General Basis'!$C$43)))),IF(G345&lt;11,'General Basis'!$B$39,IF(G345&lt;18,'General Basis'!$B$40,IF(G345&lt;26,'General Basis'!$B$41,IF(G345&lt;31,'General Basis'!$B$42,IF(G345&lt;36,'General Basis'!$B$43,IF(G345&lt;41,'General Basis'!$B$44,IF(G345&lt;46,'General Basis'!$B$45,IF(G345&lt;51,'General Basis'!$B$46,IF(G345&lt;56,'General Basis'!$B$47,IF(G345&lt;60,'General Basis'!$B$48,IF(G345&lt;65,'General Basis'!$B$49,'General Basis'!$B$50)))))))))))))</f>
        <v/>
      </c>
      <c r="BI345" s="744" t="str">
        <f t="shared" si="137"/>
        <v/>
      </c>
      <c r="BJ345" s="747" t="str">
        <f t="shared" si="144"/>
        <v/>
      </c>
      <c r="BK345" s="498" t="str">
        <f t="shared" si="138"/>
        <v/>
      </c>
      <c r="BL345" s="498" t="str">
        <f t="shared" si="139"/>
        <v/>
      </c>
    </row>
    <row r="346" spans="1:64" x14ac:dyDescent="0.25">
      <c r="A346" s="762">
        <f t="shared" si="140"/>
        <v>341</v>
      </c>
      <c r="B346" s="229"/>
      <c r="C346" s="223"/>
      <c r="D346" s="224"/>
      <c r="E346" s="225"/>
      <c r="F346" s="1036" t="str">
        <f t="shared" si="146"/>
        <v/>
      </c>
      <c r="G346" s="1037" t="str">
        <f t="shared" si="141"/>
        <v/>
      </c>
      <c r="H346" s="225"/>
      <c r="I346" s="1013"/>
      <c r="J346" s="1013"/>
      <c r="K346" s="1028"/>
      <c r="L346" s="1035" t="str">
        <f t="shared" si="145"/>
        <v/>
      </c>
      <c r="S346" s="498"/>
      <c r="AJ346" s="498"/>
      <c r="AM346" s="498">
        <f t="shared" si="126"/>
        <v>0</v>
      </c>
      <c r="AN346" s="498">
        <f t="shared" si="127"/>
        <v>0</v>
      </c>
      <c r="AO346" s="498">
        <f t="shared" si="128"/>
        <v>0</v>
      </c>
      <c r="AP346" s="498">
        <f t="shared" si="147"/>
        <v>0</v>
      </c>
      <c r="AQ346" s="498">
        <f t="shared" si="142"/>
        <v>0</v>
      </c>
      <c r="AU346" s="498">
        <f t="shared" si="129"/>
        <v>0</v>
      </c>
      <c r="AV346" s="498">
        <f t="shared" si="130"/>
        <v>0</v>
      </c>
      <c r="AW346" s="498">
        <f t="shared" si="131"/>
        <v>0</v>
      </c>
      <c r="AX346" s="498">
        <f t="shared" si="132"/>
        <v>0</v>
      </c>
      <c r="AY346" s="498">
        <f t="shared" si="133"/>
        <v>0</v>
      </c>
      <c r="BB346" s="498" t="str">
        <f t="shared" si="134"/>
        <v/>
      </c>
      <c r="BC346" s="743" t="str">
        <f t="shared" si="135"/>
        <v/>
      </c>
      <c r="BD346" s="743" t="str">
        <f t="shared" si="136"/>
        <v/>
      </c>
      <c r="BE346" s="743" t="str">
        <f>IF(D346="","",VLOOKUP(D346,'General Basis'!$J$39:$K$46,2,0))</f>
        <v/>
      </c>
      <c r="BF346" s="744" t="str">
        <f>IF(D346="","",VLOOKUP(D346,'General Basis'!$J$39:$L$46,3,0))</f>
        <v/>
      </c>
      <c r="BG346" s="744" t="str">
        <f t="shared" si="143"/>
        <v/>
      </c>
      <c r="BH346" s="744" t="str">
        <f>IF(G346="","",IF(BF346="Abu Dhabi",IF(G346&lt;18,'General Basis'!$C$39,IF(G346&lt;41,'General Basis'!$C$40,IF(G346&lt;60,'General Basis'!$C$41,IF(G346&lt;65,'General Basis'!$C$42,'General Basis'!$C$43)))),IF(G346&lt;11,'General Basis'!$B$39,IF(G346&lt;18,'General Basis'!$B$40,IF(G346&lt;26,'General Basis'!$B$41,IF(G346&lt;31,'General Basis'!$B$42,IF(G346&lt;36,'General Basis'!$B$43,IF(G346&lt;41,'General Basis'!$B$44,IF(G346&lt;46,'General Basis'!$B$45,IF(G346&lt;51,'General Basis'!$B$46,IF(G346&lt;56,'General Basis'!$B$47,IF(G346&lt;60,'General Basis'!$B$48,IF(G346&lt;65,'General Basis'!$B$49,'General Basis'!$B$50)))))))))))))</f>
        <v/>
      </c>
      <c r="BI346" s="744" t="str">
        <f t="shared" si="137"/>
        <v/>
      </c>
      <c r="BJ346" s="747" t="str">
        <f t="shared" si="144"/>
        <v/>
      </c>
      <c r="BK346" s="498" t="str">
        <f t="shared" si="138"/>
        <v/>
      </c>
      <c r="BL346" s="498" t="str">
        <f t="shared" si="139"/>
        <v/>
      </c>
    </row>
    <row r="347" spans="1:64" x14ac:dyDescent="0.25">
      <c r="A347" s="762">
        <f t="shared" si="140"/>
        <v>342</v>
      </c>
      <c r="B347" s="229"/>
      <c r="C347" s="223"/>
      <c r="D347" s="224"/>
      <c r="E347" s="225"/>
      <c r="F347" s="1036" t="str">
        <f t="shared" si="146"/>
        <v/>
      </c>
      <c r="G347" s="1037" t="str">
        <f t="shared" si="141"/>
        <v/>
      </c>
      <c r="H347" s="225"/>
      <c r="I347" s="1013"/>
      <c r="J347" s="1013"/>
      <c r="K347" s="1028"/>
      <c r="L347" s="1035" t="str">
        <f t="shared" si="145"/>
        <v/>
      </c>
      <c r="S347" s="498"/>
      <c r="AJ347" s="498"/>
      <c r="AM347" s="498">
        <f t="shared" si="126"/>
        <v>0</v>
      </c>
      <c r="AN347" s="498">
        <f t="shared" si="127"/>
        <v>0</v>
      </c>
      <c r="AO347" s="498">
        <f t="shared" si="128"/>
        <v>0</v>
      </c>
      <c r="AP347" s="498">
        <f t="shared" si="147"/>
        <v>0</v>
      </c>
      <c r="AQ347" s="498">
        <f t="shared" si="142"/>
        <v>0</v>
      </c>
      <c r="AU347" s="498">
        <f t="shared" si="129"/>
        <v>0</v>
      </c>
      <c r="AV347" s="498">
        <f t="shared" si="130"/>
        <v>0</v>
      </c>
      <c r="AW347" s="498">
        <f t="shared" si="131"/>
        <v>0</v>
      </c>
      <c r="AX347" s="498">
        <f t="shared" si="132"/>
        <v>0</v>
      </c>
      <c r="AY347" s="498">
        <f t="shared" si="133"/>
        <v>0</v>
      </c>
      <c r="BB347" s="498" t="str">
        <f t="shared" si="134"/>
        <v/>
      </c>
      <c r="BC347" s="743" t="str">
        <f t="shared" si="135"/>
        <v/>
      </c>
      <c r="BD347" s="743" t="str">
        <f t="shared" si="136"/>
        <v/>
      </c>
      <c r="BE347" s="743" t="str">
        <f>IF(D347="","",VLOOKUP(D347,'General Basis'!$J$39:$K$46,2,0))</f>
        <v/>
      </c>
      <c r="BF347" s="744" t="str">
        <f>IF(D347="","",VLOOKUP(D347,'General Basis'!$J$39:$L$46,3,0))</f>
        <v/>
      </c>
      <c r="BG347" s="744" t="str">
        <f t="shared" si="143"/>
        <v/>
      </c>
      <c r="BH347" s="744" t="str">
        <f>IF(G347="","",IF(BF347="Abu Dhabi",IF(G347&lt;18,'General Basis'!$C$39,IF(G347&lt;41,'General Basis'!$C$40,IF(G347&lt;60,'General Basis'!$C$41,IF(G347&lt;65,'General Basis'!$C$42,'General Basis'!$C$43)))),IF(G347&lt;11,'General Basis'!$B$39,IF(G347&lt;18,'General Basis'!$B$40,IF(G347&lt;26,'General Basis'!$B$41,IF(G347&lt;31,'General Basis'!$B$42,IF(G347&lt;36,'General Basis'!$B$43,IF(G347&lt;41,'General Basis'!$B$44,IF(G347&lt;46,'General Basis'!$B$45,IF(G347&lt;51,'General Basis'!$B$46,IF(G347&lt;56,'General Basis'!$B$47,IF(G347&lt;60,'General Basis'!$B$48,IF(G347&lt;65,'General Basis'!$B$49,'General Basis'!$B$50)))))))))))))</f>
        <v/>
      </c>
      <c r="BI347" s="744" t="str">
        <f t="shared" si="137"/>
        <v/>
      </c>
      <c r="BJ347" s="747" t="str">
        <f t="shared" si="144"/>
        <v/>
      </c>
      <c r="BK347" s="498" t="str">
        <f t="shared" si="138"/>
        <v/>
      </c>
      <c r="BL347" s="498" t="str">
        <f t="shared" si="139"/>
        <v/>
      </c>
    </row>
    <row r="348" spans="1:64" x14ac:dyDescent="0.25">
      <c r="A348" s="762">
        <f t="shared" si="140"/>
        <v>343</v>
      </c>
      <c r="B348" s="229"/>
      <c r="C348" s="223"/>
      <c r="D348" s="224"/>
      <c r="E348" s="225"/>
      <c r="F348" s="1036" t="str">
        <f t="shared" si="146"/>
        <v/>
      </c>
      <c r="G348" s="1037" t="str">
        <f t="shared" si="141"/>
        <v/>
      </c>
      <c r="H348" s="225"/>
      <c r="I348" s="1013"/>
      <c r="J348" s="1013"/>
      <c r="K348" s="1028"/>
      <c r="L348" s="1035" t="str">
        <f t="shared" si="145"/>
        <v/>
      </c>
      <c r="S348" s="498"/>
      <c r="AJ348" s="498"/>
      <c r="AM348" s="498">
        <f t="shared" si="126"/>
        <v>0</v>
      </c>
      <c r="AN348" s="498">
        <f t="shared" si="127"/>
        <v>0</v>
      </c>
      <c r="AO348" s="498">
        <f t="shared" si="128"/>
        <v>0</v>
      </c>
      <c r="AP348" s="498">
        <f t="shared" si="147"/>
        <v>0</v>
      </c>
      <c r="AQ348" s="498">
        <f t="shared" si="142"/>
        <v>0</v>
      </c>
      <c r="AU348" s="498">
        <f t="shared" si="129"/>
        <v>0</v>
      </c>
      <c r="AV348" s="498">
        <f t="shared" si="130"/>
        <v>0</v>
      </c>
      <c r="AW348" s="498">
        <f t="shared" si="131"/>
        <v>0</v>
      </c>
      <c r="AX348" s="498">
        <f t="shared" si="132"/>
        <v>0</v>
      </c>
      <c r="AY348" s="498">
        <f t="shared" si="133"/>
        <v>0</v>
      </c>
      <c r="BB348" s="498" t="str">
        <f t="shared" si="134"/>
        <v/>
      </c>
      <c r="BC348" s="743" t="str">
        <f t="shared" si="135"/>
        <v/>
      </c>
      <c r="BD348" s="743" t="str">
        <f t="shared" si="136"/>
        <v/>
      </c>
      <c r="BE348" s="743" t="str">
        <f>IF(D348="","",VLOOKUP(D348,'General Basis'!$J$39:$K$46,2,0))</f>
        <v/>
      </c>
      <c r="BF348" s="744" t="str">
        <f>IF(D348="","",VLOOKUP(D348,'General Basis'!$J$39:$L$46,3,0))</f>
        <v/>
      </c>
      <c r="BG348" s="744" t="str">
        <f t="shared" si="143"/>
        <v/>
      </c>
      <c r="BH348" s="744" t="str">
        <f>IF(G348="","",IF(BF348="Abu Dhabi",IF(G348&lt;18,'General Basis'!$C$39,IF(G348&lt;41,'General Basis'!$C$40,IF(G348&lt;60,'General Basis'!$C$41,IF(G348&lt;65,'General Basis'!$C$42,'General Basis'!$C$43)))),IF(G348&lt;11,'General Basis'!$B$39,IF(G348&lt;18,'General Basis'!$B$40,IF(G348&lt;26,'General Basis'!$B$41,IF(G348&lt;31,'General Basis'!$B$42,IF(G348&lt;36,'General Basis'!$B$43,IF(G348&lt;41,'General Basis'!$B$44,IF(G348&lt;46,'General Basis'!$B$45,IF(G348&lt;51,'General Basis'!$B$46,IF(G348&lt;56,'General Basis'!$B$47,IF(G348&lt;60,'General Basis'!$B$48,IF(G348&lt;65,'General Basis'!$B$49,'General Basis'!$B$50)))))))))))))</f>
        <v/>
      </c>
      <c r="BI348" s="744" t="str">
        <f t="shared" si="137"/>
        <v/>
      </c>
      <c r="BJ348" s="747" t="str">
        <f t="shared" si="144"/>
        <v/>
      </c>
      <c r="BK348" s="498" t="str">
        <f t="shared" si="138"/>
        <v/>
      </c>
      <c r="BL348" s="498" t="str">
        <f t="shared" si="139"/>
        <v/>
      </c>
    </row>
    <row r="349" spans="1:64" x14ac:dyDescent="0.25">
      <c r="A349" s="762">
        <f t="shared" si="140"/>
        <v>344</v>
      </c>
      <c r="B349" s="229"/>
      <c r="C349" s="223"/>
      <c r="D349" s="224"/>
      <c r="E349" s="225"/>
      <c r="F349" s="1036" t="str">
        <f t="shared" si="146"/>
        <v/>
      </c>
      <c r="G349" s="1037" t="str">
        <f t="shared" si="141"/>
        <v/>
      </c>
      <c r="H349" s="225"/>
      <c r="I349" s="1013"/>
      <c r="J349" s="1013"/>
      <c r="K349" s="1028"/>
      <c r="L349" s="1035" t="str">
        <f t="shared" si="145"/>
        <v/>
      </c>
      <c r="S349" s="498"/>
      <c r="AJ349" s="498"/>
      <c r="AM349" s="498">
        <f t="shared" si="126"/>
        <v>0</v>
      </c>
      <c r="AN349" s="498">
        <f t="shared" si="127"/>
        <v>0</v>
      </c>
      <c r="AO349" s="498">
        <f t="shared" si="128"/>
        <v>0</v>
      </c>
      <c r="AP349" s="498">
        <f t="shared" si="147"/>
        <v>0</v>
      </c>
      <c r="AQ349" s="498">
        <f t="shared" si="142"/>
        <v>0</v>
      </c>
      <c r="AU349" s="498">
        <f t="shared" si="129"/>
        <v>0</v>
      </c>
      <c r="AV349" s="498">
        <f t="shared" si="130"/>
        <v>0</v>
      </c>
      <c r="AW349" s="498">
        <f t="shared" si="131"/>
        <v>0</v>
      </c>
      <c r="AX349" s="498">
        <f t="shared" si="132"/>
        <v>0</v>
      </c>
      <c r="AY349" s="498">
        <f t="shared" si="133"/>
        <v>0</v>
      </c>
      <c r="BB349" s="498" t="str">
        <f t="shared" si="134"/>
        <v/>
      </c>
      <c r="BC349" s="743" t="str">
        <f t="shared" si="135"/>
        <v/>
      </c>
      <c r="BD349" s="743" t="str">
        <f t="shared" si="136"/>
        <v/>
      </c>
      <c r="BE349" s="743" t="str">
        <f>IF(D349="","",VLOOKUP(D349,'General Basis'!$J$39:$K$46,2,0))</f>
        <v/>
      </c>
      <c r="BF349" s="744" t="str">
        <f>IF(D349="","",VLOOKUP(D349,'General Basis'!$J$39:$L$46,3,0))</f>
        <v/>
      </c>
      <c r="BG349" s="744" t="str">
        <f t="shared" si="143"/>
        <v/>
      </c>
      <c r="BH349" s="744" t="str">
        <f>IF(G349="","",IF(BF349="Abu Dhabi",IF(G349&lt;18,'General Basis'!$C$39,IF(G349&lt;41,'General Basis'!$C$40,IF(G349&lt;60,'General Basis'!$C$41,IF(G349&lt;65,'General Basis'!$C$42,'General Basis'!$C$43)))),IF(G349&lt;11,'General Basis'!$B$39,IF(G349&lt;18,'General Basis'!$B$40,IF(G349&lt;26,'General Basis'!$B$41,IF(G349&lt;31,'General Basis'!$B$42,IF(G349&lt;36,'General Basis'!$B$43,IF(G349&lt;41,'General Basis'!$B$44,IF(G349&lt;46,'General Basis'!$B$45,IF(G349&lt;51,'General Basis'!$B$46,IF(G349&lt;56,'General Basis'!$B$47,IF(G349&lt;60,'General Basis'!$B$48,IF(G349&lt;65,'General Basis'!$B$49,'General Basis'!$B$50)))))))))))))</f>
        <v/>
      </c>
      <c r="BI349" s="744" t="str">
        <f t="shared" si="137"/>
        <v/>
      </c>
      <c r="BJ349" s="747" t="str">
        <f t="shared" si="144"/>
        <v/>
      </c>
      <c r="BK349" s="498" t="str">
        <f t="shared" si="138"/>
        <v/>
      </c>
      <c r="BL349" s="498" t="str">
        <f t="shared" si="139"/>
        <v/>
      </c>
    </row>
    <row r="350" spans="1:64" x14ac:dyDescent="0.25">
      <c r="A350" s="762">
        <f t="shared" si="140"/>
        <v>345</v>
      </c>
      <c r="B350" s="229"/>
      <c r="C350" s="223"/>
      <c r="D350" s="224"/>
      <c r="E350" s="225"/>
      <c r="F350" s="1036" t="str">
        <f t="shared" si="146"/>
        <v/>
      </c>
      <c r="G350" s="1037" t="str">
        <f t="shared" si="141"/>
        <v/>
      </c>
      <c r="H350" s="225"/>
      <c r="I350" s="1013"/>
      <c r="J350" s="1013"/>
      <c r="K350" s="1028"/>
      <c r="L350" s="1035" t="str">
        <f t="shared" si="145"/>
        <v/>
      </c>
      <c r="S350" s="498"/>
      <c r="AJ350" s="498"/>
      <c r="AM350" s="498">
        <f t="shared" si="126"/>
        <v>0</v>
      </c>
      <c r="AN350" s="498">
        <f t="shared" si="127"/>
        <v>0</v>
      </c>
      <c r="AO350" s="498">
        <f t="shared" si="128"/>
        <v>0</v>
      </c>
      <c r="AP350" s="498">
        <f t="shared" si="147"/>
        <v>0</v>
      </c>
      <c r="AQ350" s="498">
        <f t="shared" si="142"/>
        <v>0</v>
      </c>
      <c r="AU350" s="498">
        <f t="shared" si="129"/>
        <v>0</v>
      </c>
      <c r="AV350" s="498">
        <f t="shared" si="130"/>
        <v>0</v>
      </c>
      <c r="AW350" s="498">
        <f t="shared" si="131"/>
        <v>0</v>
      </c>
      <c r="AX350" s="498">
        <f t="shared" si="132"/>
        <v>0</v>
      </c>
      <c r="AY350" s="498">
        <f t="shared" si="133"/>
        <v>0</v>
      </c>
      <c r="BB350" s="498" t="str">
        <f t="shared" si="134"/>
        <v/>
      </c>
      <c r="BC350" s="743" t="str">
        <f t="shared" si="135"/>
        <v/>
      </c>
      <c r="BD350" s="743" t="str">
        <f t="shared" si="136"/>
        <v/>
      </c>
      <c r="BE350" s="743" t="str">
        <f>IF(D350="","",VLOOKUP(D350,'General Basis'!$J$39:$K$46,2,0))</f>
        <v/>
      </c>
      <c r="BF350" s="744" t="str">
        <f>IF(D350="","",VLOOKUP(D350,'General Basis'!$J$39:$L$46,3,0))</f>
        <v/>
      </c>
      <c r="BG350" s="744" t="str">
        <f t="shared" si="143"/>
        <v/>
      </c>
      <c r="BH350" s="744" t="str">
        <f>IF(G350="","",IF(BF350="Abu Dhabi",IF(G350&lt;18,'General Basis'!$C$39,IF(G350&lt;41,'General Basis'!$C$40,IF(G350&lt;60,'General Basis'!$C$41,IF(G350&lt;65,'General Basis'!$C$42,'General Basis'!$C$43)))),IF(G350&lt;11,'General Basis'!$B$39,IF(G350&lt;18,'General Basis'!$B$40,IF(G350&lt;26,'General Basis'!$B$41,IF(G350&lt;31,'General Basis'!$B$42,IF(G350&lt;36,'General Basis'!$B$43,IF(G350&lt;41,'General Basis'!$B$44,IF(G350&lt;46,'General Basis'!$B$45,IF(G350&lt;51,'General Basis'!$B$46,IF(G350&lt;56,'General Basis'!$B$47,IF(G350&lt;60,'General Basis'!$B$48,IF(G350&lt;65,'General Basis'!$B$49,'General Basis'!$B$50)))))))))))))</f>
        <v/>
      </c>
      <c r="BI350" s="744" t="str">
        <f t="shared" si="137"/>
        <v/>
      </c>
      <c r="BJ350" s="747" t="str">
        <f t="shared" si="144"/>
        <v/>
      </c>
      <c r="BK350" s="498" t="str">
        <f t="shared" si="138"/>
        <v/>
      </c>
      <c r="BL350" s="498" t="str">
        <f t="shared" si="139"/>
        <v/>
      </c>
    </row>
    <row r="351" spans="1:64" x14ac:dyDescent="0.25">
      <c r="A351" s="762">
        <f t="shared" si="140"/>
        <v>346</v>
      </c>
      <c r="B351" s="229"/>
      <c r="C351" s="223"/>
      <c r="D351" s="224"/>
      <c r="E351" s="225"/>
      <c r="F351" s="1036" t="str">
        <f t="shared" si="146"/>
        <v/>
      </c>
      <c r="G351" s="1037" t="str">
        <f t="shared" si="141"/>
        <v/>
      </c>
      <c r="H351" s="225"/>
      <c r="I351" s="1013"/>
      <c r="J351" s="1013"/>
      <c r="K351" s="1028"/>
      <c r="L351" s="1035" t="str">
        <f t="shared" si="145"/>
        <v/>
      </c>
      <c r="S351" s="498"/>
      <c r="AJ351" s="498"/>
      <c r="AM351" s="498">
        <f t="shared" si="126"/>
        <v>0</v>
      </c>
      <c r="AN351" s="498">
        <f t="shared" si="127"/>
        <v>0</v>
      </c>
      <c r="AO351" s="498">
        <f t="shared" si="128"/>
        <v>0</v>
      </c>
      <c r="AP351" s="498">
        <f t="shared" si="147"/>
        <v>0</v>
      </c>
      <c r="AQ351" s="498">
        <f t="shared" si="142"/>
        <v>0</v>
      </c>
      <c r="AU351" s="498">
        <f t="shared" si="129"/>
        <v>0</v>
      </c>
      <c r="AV351" s="498">
        <f t="shared" si="130"/>
        <v>0</v>
      </c>
      <c r="AW351" s="498">
        <f t="shared" si="131"/>
        <v>0</v>
      </c>
      <c r="AX351" s="498">
        <f t="shared" si="132"/>
        <v>0</v>
      </c>
      <c r="AY351" s="498">
        <f t="shared" si="133"/>
        <v>0</v>
      </c>
      <c r="BB351" s="498" t="str">
        <f t="shared" si="134"/>
        <v/>
      </c>
      <c r="BC351" s="743" t="str">
        <f t="shared" si="135"/>
        <v/>
      </c>
      <c r="BD351" s="743" t="str">
        <f t="shared" si="136"/>
        <v/>
      </c>
      <c r="BE351" s="743" t="str">
        <f>IF(D351="","",VLOOKUP(D351,'General Basis'!$J$39:$K$46,2,0))</f>
        <v/>
      </c>
      <c r="BF351" s="744" t="str">
        <f>IF(D351="","",VLOOKUP(D351,'General Basis'!$J$39:$L$46,3,0))</f>
        <v/>
      </c>
      <c r="BG351" s="744" t="str">
        <f t="shared" si="143"/>
        <v/>
      </c>
      <c r="BH351" s="744" t="str">
        <f>IF(G351="","",IF(BF351="Abu Dhabi",IF(G351&lt;18,'General Basis'!$C$39,IF(G351&lt;41,'General Basis'!$C$40,IF(G351&lt;60,'General Basis'!$C$41,IF(G351&lt;65,'General Basis'!$C$42,'General Basis'!$C$43)))),IF(G351&lt;11,'General Basis'!$B$39,IF(G351&lt;18,'General Basis'!$B$40,IF(G351&lt;26,'General Basis'!$B$41,IF(G351&lt;31,'General Basis'!$B$42,IF(G351&lt;36,'General Basis'!$B$43,IF(G351&lt;41,'General Basis'!$B$44,IF(G351&lt;46,'General Basis'!$B$45,IF(G351&lt;51,'General Basis'!$B$46,IF(G351&lt;56,'General Basis'!$B$47,IF(G351&lt;60,'General Basis'!$B$48,IF(G351&lt;65,'General Basis'!$B$49,'General Basis'!$B$50)))))))))))))</f>
        <v/>
      </c>
      <c r="BI351" s="744" t="str">
        <f t="shared" si="137"/>
        <v/>
      </c>
      <c r="BJ351" s="747" t="str">
        <f t="shared" si="144"/>
        <v/>
      </c>
      <c r="BK351" s="498" t="str">
        <f t="shared" si="138"/>
        <v/>
      </c>
      <c r="BL351" s="498" t="str">
        <f t="shared" si="139"/>
        <v/>
      </c>
    </row>
    <row r="352" spans="1:64" x14ac:dyDescent="0.25">
      <c r="A352" s="762">
        <f t="shared" si="140"/>
        <v>347</v>
      </c>
      <c r="B352" s="229"/>
      <c r="C352" s="223"/>
      <c r="D352" s="224"/>
      <c r="E352" s="225"/>
      <c r="F352" s="1036" t="str">
        <f t="shared" si="146"/>
        <v/>
      </c>
      <c r="G352" s="1037" t="str">
        <f t="shared" si="141"/>
        <v/>
      </c>
      <c r="H352" s="225"/>
      <c r="I352" s="1013"/>
      <c r="J352" s="1013"/>
      <c r="K352" s="1028"/>
      <c r="L352" s="1035" t="str">
        <f t="shared" si="145"/>
        <v/>
      </c>
      <c r="S352" s="498"/>
      <c r="AJ352" s="498"/>
      <c r="AM352" s="498">
        <f t="shared" si="126"/>
        <v>0</v>
      </c>
      <c r="AN352" s="498">
        <f t="shared" si="127"/>
        <v>0</v>
      </c>
      <c r="AO352" s="498">
        <f t="shared" si="128"/>
        <v>0</v>
      </c>
      <c r="AP352" s="498">
        <f t="shared" si="147"/>
        <v>0</v>
      </c>
      <c r="AQ352" s="498">
        <f t="shared" si="142"/>
        <v>0</v>
      </c>
      <c r="AU352" s="498">
        <f t="shared" si="129"/>
        <v>0</v>
      </c>
      <c r="AV352" s="498">
        <f t="shared" si="130"/>
        <v>0</v>
      </c>
      <c r="AW352" s="498">
        <f t="shared" si="131"/>
        <v>0</v>
      </c>
      <c r="AX352" s="498">
        <f t="shared" si="132"/>
        <v>0</v>
      </c>
      <c r="AY352" s="498">
        <f t="shared" si="133"/>
        <v>0</v>
      </c>
      <c r="BB352" s="498" t="str">
        <f t="shared" si="134"/>
        <v/>
      </c>
      <c r="BC352" s="743" t="str">
        <f t="shared" si="135"/>
        <v/>
      </c>
      <c r="BD352" s="743" t="str">
        <f t="shared" si="136"/>
        <v/>
      </c>
      <c r="BE352" s="743" t="str">
        <f>IF(D352="","",VLOOKUP(D352,'General Basis'!$J$39:$K$46,2,0))</f>
        <v/>
      </c>
      <c r="BF352" s="744" t="str">
        <f>IF(D352="","",VLOOKUP(D352,'General Basis'!$J$39:$L$46,3,0))</f>
        <v/>
      </c>
      <c r="BG352" s="744" t="str">
        <f t="shared" si="143"/>
        <v/>
      </c>
      <c r="BH352" s="744" t="str">
        <f>IF(G352="","",IF(BF352="Abu Dhabi",IF(G352&lt;18,'General Basis'!$C$39,IF(G352&lt;41,'General Basis'!$C$40,IF(G352&lt;60,'General Basis'!$C$41,IF(G352&lt;65,'General Basis'!$C$42,'General Basis'!$C$43)))),IF(G352&lt;11,'General Basis'!$B$39,IF(G352&lt;18,'General Basis'!$B$40,IF(G352&lt;26,'General Basis'!$B$41,IF(G352&lt;31,'General Basis'!$B$42,IF(G352&lt;36,'General Basis'!$B$43,IF(G352&lt;41,'General Basis'!$B$44,IF(G352&lt;46,'General Basis'!$B$45,IF(G352&lt;51,'General Basis'!$B$46,IF(G352&lt;56,'General Basis'!$B$47,IF(G352&lt;60,'General Basis'!$B$48,IF(G352&lt;65,'General Basis'!$B$49,'General Basis'!$B$50)))))))))))))</f>
        <v/>
      </c>
      <c r="BI352" s="744" t="str">
        <f t="shared" si="137"/>
        <v/>
      </c>
      <c r="BJ352" s="747" t="str">
        <f t="shared" si="144"/>
        <v/>
      </c>
      <c r="BK352" s="498" t="str">
        <f t="shared" si="138"/>
        <v/>
      </c>
      <c r="BL352" s="498" t="str">
        <f t="shared" si="139"/>
        <v/>
      </c>
    </row>
    <row r="353" spans="1:64" x14ac:dyDescent="0.25">
      <c r="A353" s="762">
        <f t="shared" si="140"/>
        <v>348</v>
      </c>
      <c r="B353" s="229"/>
      <c r="C353" s="223"/>
      <c r="D353" s="224"/>
      <c r="E353" s="225"/>
      <c r="F353" s="1036" t="str">
        <f t="shared" si="146"/>
        <v/>
      </c>
      <c r="G353" s="1037" t="str">
        <f t="shared" si="141"/>
        <v/>
      </c>
      <c r="H353" s="225"/>
      <c r="I353" s="1013"/>
      <c r="J353" s="1013"/>
      <c r="K353" s="1028"/>
      <c r="L353" s="1035" t="str">
        <f t="shared" si="145"/>
        <v/>
      </c>
      <c r="S353" s="498"/>
      <c r="AJ353" s="498"/>
      <c r="AM353" s="498">
        <f t="shared" si="126"/>
        <v>0</v>
      </c>
      <c r="AN353" s="498">
        <f t="shared" si="127"/>
        <v>0</v>
      </c>
      <c r="AO353" s="498">
        <f t="shared" si="128"/>
        <v>0</v>
      </c>
      <c r="AP353" s="498">
        <f t="shared" si="147"/>
        <v>0</v>
      </c>
      <c r="AQ353" s="498">
        <f t="shared" si="142"/>
        <v>0</v>
      </c>
      <c r="AU353" s="498">
        <f t="shared" si="129"/>
        <v>0</v>
      </c>
      <c r="AV353" s="498">
        <f t="shared" si="130"/>
        <v>0</v>
      </c>
      <c r="AW353" s="498">
        <f t="shared" si="131"/>
        <v>0</v>
      </c>
      <c r="AX353" s="498">
        <f t="shared" si="132"/>
        <v>0</v>
      </c>
      <c r="AY353" s="498">
        <f t="shared" si="133"/>
        <v>0</v>
      </c>
      <c r="BB353" s="498" t="str">
        <f t="shared" si="134"/>
        <v/>
      </c>
      <c r="BC353" s="743" t="str">
        <f t="shared" si="135"/>
        <v/>
      </c>
      <c r="BD353" s="743" t="str">
        <f t="shared" si="136"/>
        <v/>
      </c>
      <c r="BE353" s="743" t="str">
        <f>IF(D353="","",VLOOKUP(D353,'General Basis'!$J$39:$K$46,2,0))</f>
        <v/>
      </c>
      <c r="BF353" s="744" t="str">
        <f>IF(D353="","",VLOOKUP(D353,'General Basis'!$J$39:$L$46,3,0))</f>
        <v/>
      </c>
      <c r="BG353" s="744" t="str">
        <f t="shared" si="143"/>
        <v/>
      </c>
      <c r="BH353" s="744" t="str">
        <f>IF(G353="","",IF(BF353="Abu Dhabi",IF(G353&lt;18,'General Basis'!$C$39,IF(G353&lt;41,'General Basis'!$C$40,IF(G353&lt;60,'General Basis'!$C$41,IF(G353&lt;65,'General Basis'!$C$42,'General Basis'!$C$43)))),IF(G353&lt;11,'General Basis'!$B$39,IF(G353&lt;18,'General Basis'!$B$40,IF(G353&lt;26,'General Basis'!$B$41,IF(G353&lt;31,'General Basis'!$B$42,IF(G353&lt;36,'General Basis'!$B$43,IF(G353&lt;41,'General Basis'!$B$44,IF(G353&lt;46,'General Basis'!$B$45,IF(G353&lt;51,'General Basis'!$B$46,IF(G353&lt;56,'General Basis'!$B$47,IF(G353&lt;60,'General Basis'!$B$48,IF(G353&lt;65,'General Basis'!$B$49,'General Basis'!$B$50)))))))))))))</f>
        <v/>
      </c>
      <c r="BI353" s="744" t="str">
        <f t="shared" si="137"/>
        <v/>
      </c>
      <c r="BJ353" s="747" t="str">
        <f t="shared" si="144"/>
        <v/>
      </c>
      <c r="BK353" s="498" t="str">
        <f t="shared" si="138"/>
        <v/>
      </c>
      <c r="BL353" s="498" t="str">
        <f t="shared" si="139"/>
        <v/>
      </c>
    </row>
    <row r="354" spans="1:64" x14ac:dyDescent="0.25">
      <c r="A354" s="762">
        <f t="shared" si="140"/>
        <v>349</v>
      </c>
      <c r="B354" s="229"/>
      <c r="C354" s="223"/>
      <c r="D354" s="224"/>
      <c r="E354" s="225"/>
      <c r="F354" s="1036" t="str">
        <f t="shared" si="146"/>
        <v/>
      </c>
      <c r="G354" s="1037" t="str">
        <f t="shared" si="141"/>
        <v/>
      </c>
      <c r="H354" s="225"/>
      <c r="I354" s="1013"/>
      <c r="J354" s="1013"/>
      <c r="K354" s="1028"/>
      <c r="L354" s="1035" t="str">
        <f t="shared" si="145"/>
        <v/>
      </c>
      <c r="S354" s="498"/>
      <c r="AJ354" s="498"/>
      <c r="AM354" s="498">
        <f t="shared" si="126"/>
        <v>0</v>
      </c>
      <c r="AN354" s="498">
        <f t="shared" si="127"/>
        <v>0</v>
      </c>
      <c r="AO354" s="498">
        <f t="shared" si="128"/>
        <v>0</v>
      </c>
      <c r="AP354" s="498">
        <f t="shared" si="147"/>
        <v>0</v>
      </c>
      <c r="AQ354" s="498">
        <f t="shared" si="142"/>
        <v>0</v>
      </c>
      <c r="AU354" s="498">
        <f t="shared" si="129"/>
        <v>0</v>
      </c>
      <c r="AV354" s="498">
        <f t="shared" si="130"/>
        <v>0</v>
      </c>
      <c r="AW354" s="498">
        <f t="shared" si="131"/>
        <v>0</v>
      </c>
      <c r="AX354" s="498">
        <f t="shared" si="132"/>
        <v>0</v>
      </c>
      <c r="AY354" s="498">
        <f t="shared" si="133"/>
        <v>0</v>
      </c>
      <c r="BB354" s="498" t="str">
        <f t="shared" si="134"/>
        <v/>
      </c>
      <c r="BC354" s="743" t="str">
        <f t="shared" si="135"/>
        <v/>
      </c>
      <c r="BD354" s="743" t="str">
        <f t="shared" si="136"/>
        <v/>
      </c>
      <c r="BE354" s="743" t="str">
        <f>IF(D354="","",VLOOKUP(D354,'General Basis'!$J$39:$K$46,2,0))</f>
        <v/>
      </c>
      <c r="BF354" s="744" t="str">
        <f>IF(D354="","",VLOOKUP(D354,'General Basis'!$J$39:$L$46,3,0))</f>
        <v/>
      </c>
      <c r="BG354" s="744" t="str">
        <f t="shared" si="143"/>
        <v/>
      </c>
      <c r="BH354" s="744" t="str">
        <f>IF(G354="","",IF(BF354="Abu Dhabi",IF(G354&lt;18,'General Basis'!$C$39,IF(G354&lt;41,'General Basis'!$C$40,IF(G354&lt;60,'General Basis'!$C$41,IF(G354&lt;65,'General Basis'!$C$42,'General Basis'!$C$43)))),IF(G354&lt;11,'General Basis'!$B$39,IF(G354&lt;18,'General Basis'!$B$40,IF(G354&lt;26,'General Basis'!$B$41,IF(G354&lt;31,'General Basis'!$B$42,IF(G354&lt;36,'General Basis'!$B$43,IF(G354&lt;41,'General Basis'!$B$44,IF(G354&lt;46,'General Basis'!$B$45,IF(G354&lt;51,'General Basis'!$B$46,IF(G354&lt;56,'General Basis'!$B$47,IF(G354&lt;60,'General Basis'!$B$48,IF(G354&lt;65,'General Basis'!$B$49,'General Basis'!$B$50)))))))))))))</f>
        <v/>
      </c>
      <c r="BI354" s="744" t="str">
        <f t="shared" si="137"/>
        <v/>
      </c>
      <c r="BJ354" s="747" t="str">
        <f t="shared" si="144"/>
        <v/>
      </c>
      <c r="BK354" s="498" t="str">
        <f t="shared" si="138"/>
        <v/>
      </c>
      <c r="BL354" s="498" t="str">
        <f t="shared" si="139"/>
        <v/>
      </c>
    </row>
    <row r="355" spans="1:64" x14ac:dyDescent="0.25">
      <c r="A355" s="762">
        <f t="shared" si="140"/>
        <v>350</v>
      </c>
      <c r="B355" s="229"/>
      <c r="C355" s="223"/>
      <c r="D355" s="224"/>
      <c r="E355" s="225"/>
      <c r="F355" s="1036" t="str">
        <f t="shared" si="146"/>
        <v/>
      </c>
      <c r="G355" s="1037" t="str">
        <f t="shared" si="141"/>
        <v/>
      </c>
      <c r="H355" s="225"/>
      <c r="I355" s="1013"/>
      <c r="J355" s="1013"/>
      <c r="K355" s="1028"/>
      <c r="L355" s="1035" t="str">
        <f t="shared" si="145"/>
        <v/>
      </c>
      <c r="S355" s="498"/>
      <c r="AJ355" s="498"/>
      <c r="AM355" s="498">
        <f t="shared" si="126"/>
        <v>0</v>
      </c>
      <c r="AN355" s="498">
        <f t="shared" si="127"/>
        <v>0</v>
      </c>
      <c r="AO355" s="498">
        <f t="shared" si="128"/>
        <v>0</v>
      </c>
      <c r="AP355" s="498">
        <f t="shared" si="147"/>
        <v>0</v>
      </c>
      <c r="AQ355" s="498">
        <f t="shared" si="142"/>
        <v>0</v>
      </c>
      <c r="AU355" s="498">
        <f t="shared" si="129"/>
        <v>0</v>
      </c>
      <c r="AV355" s="498">
        <f t="shared" si="130"/>
        <v>0</v>
      </c>
      <c r="AW355" s="498">
        <f t="shared" si="131"/>
        <v>0</v>
      </c>
      <c r="AX355" s="498">
        <f t="shared" si="132"/>
        <v>0</v>
      </c>
      <c r="AY355" s="498">
        <f t="shared" si="133"/>
        <v>0</v>
      </c>
      <c r="BB355" s="498" t="str">
        <f t="shared" si="134"/>
        <v/>
      </c>
      <c r="BC355" s="743" t="str">
        <f t="shared" si="135"/>
        <v/>
      </c>
      <c r="BD355" s="743" t="str">
        <f t="shared" si="136"/>
        <v/>
      </c>
      <c r="BE355" s="743" t="str">
        <f>IF(D355="","",VLOOKUP(D355,'General Basis'!$J$39:$K$46,2,0))</f>
        <v/>
      </c>
      <c r="BF355" s="744" t="str">
        <f>IF(D355="","",VLOOKUP(D355,'General Basis'!$J$39:$L$46,3,0))</f>
        <v/>
      </c>
      <c r="BG355" s="744" t="str">
        <f t="shared" si="143"/>
        <v/>
      </c>
      <c r="BH355" s="744" t="str">
        <f>IF(G355="","",IF(BF355="Abu Dhabi",IF(G355&lt;18,'General Basis'!$C$39,IF(G355&lt;41,'General Basis'!$C$40,IF(G355&lt;60,'General Basis'!$C$41,IF(G355&lt;65,'General Basis'!$C$42,'General Basis'!$C$43)))),IF(G355&lt;11,'General Basis'!$B$39,IF(G355&lt;18,'General Basis'!$B$40,IF(G355&lt;26,'General Basis'!$B$41,IF(G355&lt;31,'General Basis'!$B$42,IF(G355&lt;36,'General Basis'!$B$43,IF(G355&lt;41,'General Basis'!$B$44,IF(G355&lt;46,'General Basis'!$B$45,IF(G355&lt;51,'General Basis'!$B$46,IF(G355&lt;56,'General Basis'!$B$47,IF(G355&lt;60,'General Basis'!$B$48,IF(G355&lt;65,'General Basis'!$B$49,'General Basis'!$B$50)))))))))))))</f>
        <v/>
      </c>
      <c r="BI355" s="744" t="str">
        <f t="shared" si="137"/>
        <v/>
      </c>
      <c r="BJ355" s="747" t="str">
        <f t="shared" si="144"/>
        <v/>
      </c>
      <c r="BK355" s="498" t="str">
        <f t="shared" si="138"/>
        <v/>
      </c>
      <c r="BL355" s="498" t="str">
        <f t="shared" si="139"/>
        <v/>
      </c>
    </row>
    <row r="356" spans="1:64" x14ac:dyDescent="0.25">
      <c r="A356" s="762">
        <f t="shared" si="140"/>
        <v>351</v>
      </c>
      <c r="B356" s="229"/>
      <c r="C356" s="223"/>
      <c r="D356" s="224"/>
      <c r="E356" s="225"/>
      <c r="F356" s="1036" t="str">
        <f t="shared" si="146"/>
        <v/>
      </c>
      <c r="G356" s="1037" t="str">
        <f t="shared" si="141"/>
        <v/>
      </c>
      <c r="H356" s="225"/>
      <c r="I356" s="1013"/>
      <c r="J356" s="1013"/>
      <c r="K356" s="1028"/>
      <c r="L356" s="1035" t="str">
        <f t="shared" si="145"/>
        <v/>
      </c>
      <c r="S356" s="498"/>
      <c r="AJ356" s="498"/>
      <c r="AM356" s="498">
        <f t="shared" si="126"/>
        <v>0</v>
      </c>
      <c r="AN356" s="498">
        <f t="shared" si="127"/>
        <v>0</v>
      </c>
      <c r="AO356" s="498">
        <f t="shared" si="128"/>
        <v>0</v>
      </c>
      <c r="AP356" s="498">
        <f t="shared" si="147"/>
        <v>0</v>
      </c>
      <c r="AQ356" s="498">
        <f t="shared" si="142"/>
        <v>0</v>
      </c>
      <c r="AU356" s="498">
        <f t="shared" si="129"/>
        <v>0</v>
      </c>
      <c r="AV356" s="498">
        <f t="shared" si="130"/>
        <v>0</v>
      </c>
      <c r="AW356" s="498">
        <f t="shared" si="131"/>
        <v>0</v>
      </c>
      <c r="AX356" s="498">
        <f t="shared" si="132"/>
        <v>0</v>
      </c>
      <c r="AY356" s="498">
        <f t="shared" si="133"/>
        <v>0</v>
      </c>
      <c r="BB356" s="498" t="str">
        <f t="shared" si="134"/>
        <v/>
      </c>
      <c r="BC356" s="743" t="str">
        <f t="shared" si="135"/>
        <v/>
      </c>
      <c r="BD356" s="743" t="str">
        <f t="shared" si="136"/>
        <v/>
      </c>
      <c r="BE356" s="743" t="str">
        <f>IF(D356="","",VLOOKUP(D356,'General Basis'!$J$39:$K$46,2,0))</f>
        <v/>
      </c>
      <c r="BF356" s="744" t="str">
        <f>IF(D356="","",VLOOKUP(D356,'General Basis'!$J$39:$L$46,3,0))</f>
        <v/>
      </c>
      <c r="BG356" s="744" t="str">
        <f t="shared" si="143"/>
        <v/>
      </c>
      <c r="BH356" s="744" t="str">
        <f>IF(G356="","",IF(BF356="Abu Dhabi",IF(G356&lt;18,'General Basis'!$C$39,IF(G356&lt;41,'General Basis'!$C$40,IF(G356&lt;60,'General Basis'!$C$41,IF(G356&lt;65,'General Basis'!$C$42,'General Basis'!$C$43)))),IF(G356&lt;11,'General Basis'!$B$39,IF(G356&lt;18,'General Basis'!$B$40,IF(G356&lt;26,'General Basis'!$B$41,IF(G356&lt;31,'General Basis'!$B$42,IF(G356&lt;36,'General Basis'!$B$43,IF(G356&lt;41,'General Basis'!$B$44,IF(G356&lt;46,'General Basis'!$B$45,IF(G356&lt;51,'General Basis'!$B$46,IF(G356&lt;56,'General Basis'!$B$47,IF(G356&lt;60,'General Basis'!$B$48,IF(G356&lt;65,'General Basis'!$B$49,'General Basis'!$B$50)))))))))))))</f>
        <v/>
      </c>
      <c r="BI356" s="744" t="str">
        <f t="shared" si="137"/>
        <v/>
      </c>
      <c r="BJ356" s="747" t="str">
        <f t="shared" si="144"/>
        <v/>
      </c>
      <c r="BK356" s="498" t="str">
        <f t="shared" si="138"/>
        <v/>
      </c>
      <c r="BL356" s="498" t="str">
        <f t="shared" si="139"/>
        <v/>
      </c>
    </row>
    <row r="357" spans="1:64" x14ac:dyDescent="0.25">
      <c r="A357" s="762">
        <f t="shared" si="140"/>
        <v>352</v>
      </c>
      <c r="B357" s="229"/>
      <c r="C357" s="223"/>
      <c r="D357" s="224"/>
      <c r="E357" s="225"/>
      <c r="F357" s="1036" t="str">
        <f t="shared" si="146"/>
        <v/>
      </c>
      <c r="G357" s="1037" t="str">
        <f t="shared" si="141"/>
        <v/>
      </c>
      <c r="H357" s="225"/>
      <c r="I357" s="1013"/>
      <c r="J357" s="1013"/>
      <c r="K357" s="1028"/>
      <c r="L357" s="1035" t="str">
        <f t="shared" si="145"/>
        <v/>
      </c>
      <c r="S357" s="498"/>
      <c r="AJ357" s="498"/>
      <c r="AM357" s="498">
        <f t="shared" si="126"/>
        <v>0</v>
      </c>
      <c r="AN357" s="498">
        <f t="shared" si="127"/>
        <v>0</v>
      </c>
      <c r="AO357" s="498">
        <f t="shared" si="128"/>
        <v>0</v>
      </c>
      <c r="AP357" s="498">
        <f t="shared" si="147"/>
        <v>0</v>
      </c>
      <c r="AQ357" s="498">
        <f t="shared" si="142"/>
        <v>0</v>
      </c>
      <c r="AU357" s="498">
        <f t="shared" si="129"/>
        <v>0</v>
      </c>
      <c r="AV357" s="498">
        <f t="shared" si="130"/>
        <v>0</v>
      </c>
      <c r="AW357" s="498">
        <f t="shared" si="131"/>
        <v>0</v>
      </c>
      <c r="AX357" s="498">
        <f t="shared" si="132"/>
        <v>0</v>
      </c>
      <c r="AY357" s="498">
        <f t="shared" si="133"/>
        <v>0</v>
      </c>
      <c r="BB357" s="498" t="str">
        <f t="shared" si="134"/>
        <v/>
      </c>
      <c r="BC357" s="743" t="str">
        <f t="shared" si="135"/>
        <v/>
      </c>
      <c r="BD357" s="743" t="str">
        <f t="shared" si="136"/>
        <v/>
      </c>
      <c r="BE357" s="743" t="str">
        <f>IF(D357="","",VLOOKUP(D357,'General Basis'!$J$39:$K$46,2,0))</f>
        <v/>
      </c>
      <c r="BF357" s="744" t="str">
        <f>IF(D357="","",VLOOKUP(D357,'General Basis'!$J$39:$L$46,3,0))</f>
        <v/>
      </c>
      <c r="BG357" s="744" t="str">
        <f t="shared" si="143"/>
        <v/>
      </c>
      <c r="BH357" s="744" t="str">
        <f>IF(G357="","",IF(BF357="Abu Dhabi",IF(G357&lt;18,'General Basis'!$C$39,IF(G357&lt;41,'General Basis'!$C$40,IF(G357&lt;60,'General Basis'!$C$41,IF(G357&lt;65,'General Basis'!$C$42,'General Basis'!$C$43)))),IF(G357&lt;11,'General Basis'!$B$39,IF(G357&lt;18,'General Basis'!$B$40,IF(G357&lt;26,'General Basis'!$B$41,IF(G357&lt;31,'General Basis'!$B$42,IF(G357&lt;36,'General Basis'!$B$43,IF(G357&lt;41,'General Basis'!$B$44,IF(G357&lt;46,'General Basis'!$B$45,IF(G357&lt;51,'General Basis'!$B$46,IF(G357&lt;56,'General Basis'!$B$47,IF(G357&lt;60,'General Basis'!$B$48,IF(G357&lt;65,'General Basis'!$B$49,'General Basis'!$B$50)))))))))))))</f>
        <v/>
      </c>
      <c r="BI357" s="744" t="str">
        <f t="shared" si="137"/>
        <v/>
      </c>
      <c r="BJ357" s="747" t="str">
        <f t="shared" si="144"/>
        <v/>
      </c>
      <c r="BK357" s="498" t="str">
        <f t="shared" si="138"/>
        <v/>
      </c>
      <c r="BL357" s="498" t="str">
        <f t="shared" si="139"/>
        <v/>
      </c>
    </row>
    <row r="358" spans="1:64" x14ac:dyDescent="0.25">
      <c r="A358" s="762">
        <f t="shared" si="140"/>
        <v>353</v>
      </c>
      <c r="B358" s="229"/>
      <c r="C358" s="223"/>
      <c r="D358" s="224"/>
      <c r="E358" s="225"/>
      <c r="F358" s="1036" t="str">
        <f t="shared" si="146"/>
        <v/>
      </c>
      <c r="G358" s="1037" t="str">
        <f t="shared" si="141"/>
        <v/>
      </c>
      <c r="H358" s="225"/>
      <c r="I358" s="1013"/>
      <c r="J358" s="1013"/>
      <c r="K358" s="1028"/>
      <c r="L358" s="1035" t="str">
        <f t="shared" si="145"/>
        <v/>
      </c>
      <c r="S358" s="498"/>
      <c r="AJ358" s="498"/>
      <c r="AM358" s="498">
        <f t="shared" si="126"/>
        <v>0</v>
      </c>
      <c r="AN358" s="498">
        <f t="shared" si="127"/>
        <v>0</v>
      </c>
      <c r="AO358" s="498">
        <f t="shared" si="128"/>
        <v>0</v>
      </c>
      <c r="AP358" s="498">
        <f t="shared" si="147"/>
        <v>0</v>
      </c>
      <c r="AQ358" s="498">
        <f t="shared" si="142"/>
        <v>0</v>
      </c>
      <c r="AU358" s="498">
        <f t="shared" si="129"/>
        <v>0</v>
      </c>
      <c r="AV358" s="498">
        <f t="shared" si="130"/>
        <v>0</v>
      </c>
      <c r="AW358" s="498">
        <f t="shared" si="131"/>
        <v>0</v>
      </c>
      <c r="AX358" s="498">
        <f t="shared" si="132"/>
        <v>0</v>
      </c>
      <c r="AY358" s="498">
        <f t="shared" si="133"/>
        <v>0</v>
      </c>
      <c r="BB358" s="498" t="str">
        <f t="shared" si="134"/>
        <v/>
      </c>
      <c r="BC358" s="743" t="str">
        <f t="shared" si="135"/>
        <v/>
      </c>
      <c r="BD358" s="743" t="str">
        <f t="shared" si="136"/>
        <v/>
      </c>
      <c r="BE358" s="743" t="str">
        <f>IF(D358="","",VLOOKUP(D358,'General Basis'!$J$39:$K$46,2,0))</f>
        <v/>
      </c>
      <c r="BF358" s="744" t="str">
        <f>IF(D358="","",VLOOKUP(D358,'General Basis'!$J$39:$L$46,3,0))</f>
        <v/>
      </c>
      <c r="BG358" s="744" t="str">
        <f t="shared" si="143"/>
        <v/>
      </c>
      <c r="BH358" s="744" t="str">
        <f>IF(G358="","",IF(BF358="Abu Dhabi",IF(G358&lt;18,'General Basis'!$C$39,IF(G358&lt;41,'General Basis'!$C$40,IF(G358&lt;60,'General Basis'!$C$41,IF(G358&lt;65,'General Basis'!$C$42,'General Basis'!$C$43)))),IF(G358&lt;11,'General Basis'!$B$39,IF(G358&lt;18,'General Basis'!$B$40,IF(G358&lt;26,'General Basis'!$B$41,IF(G358&lt;31,'General Basis'!$B$42,IF(G358&lt;36,'General Basis'!$B$43,IF(G358&lt;41,'General Basis'!$B$44,IF(G358&lt;46,'General Basis'!$B$45,IF(G358&lt;51,'General Basis'!$B$46,IF(G358&lt;56,'General Basis'!$B$47,IF(G358&lt;60,'General Basis'!$B$48,IF(G358&lt;65,'General Basis'!$B$49,'General Basis'!$B$50)))))))))))))</f>
        <v/>
      </c>
      <c r="BI358" s="744" t="str">
        <f t="shared" si="137"/>
        <v/>
      </c>
      <c r="BJ358" s="747" t="str">
        <f t="shared" si="144"/>
        <v/>
      </c>
      <c r="BK358" s="498" t="str">
        <f t="shared" si="138"/>
        <v/>
      </c>
      <c r="BL358" s="498" t="str">
        <f t="shared" si="139"/>
        <v/>
      </c>
    </row>
    <row r="359" spans="1:64" x14ac:dyDescent="0.25">
      <c r="A359" s="762">
        <f t="shared" si="140"/>
        <v>354</v>
      </c>
      <c r="B359" s="229"/>
      <c r="C359" s="223"/>
      <c r="D359" s="224"/>
      <c r="E359" s="225"/>
      <c r="F359" s="1036" t="str">
        <f t="shared" si="146"/>
        <v/>
      </c>
      <c r="G359" s="1037" t="str">
        <f t="shared" si="141"/>
        <v/>
      </c>
      <c r="H359" s="225"/>
      <c r="I359" s="1013"/>
      <c r="J359" s="1013"/>
      <c r="K359" s="1028"/>
      <c r="L359" s="1035" t="str">
        <f t="shared" si="145"/>
        <v/>
      </c>
      <c r="S359" s="498"/>
      <c r="AJ359" s="498"/>
      <c r="AM359" s="498">
        <f t="shared" si="126"/>
        <v>0</v>
      </c>
      <c r="AN359" s="498">
        <f t="shared" si="127"/>
        <v>0</v>
      </c>
      <c r="AO359" s="498">
        <f t="shared" si="128"/>
        <v>0</v>
      </c>
      <c r="AP359" s="498">
        <f t="shared" si="147"/>
        <v>0</v>
      </c>
      <c r="AQ359" s="498">
        <f t="shared" si="142"/>
        <v>0</v>
      </c>
      <c r="AU359" s="498">
        <f t="shared" si="129"/>
        <v>0</v>
      </c>
      <c r="AV359" s="498">
        <f t="shared" si="130"/>
        <v>0</v>
      </c>
      <c r="AW359" s="498">
        <f t="shared" si="131"/>
        <v>0</v>
      </c>
      <c r="AX359" s="498">
        <f t="shared" si="132"/>
        <v>0</v>
      </c>
      <c r="AY359" s="498">
        <f t="shared" si="133"/>
        <v>0</v>
      </c>
      <c r="BB359" s="498" t="str">
        <f t="shared" si="134"/>
        <v/>
      </c>
      <c r="BC359" s="743" t="str">
        <f t="shared" si="135"/>
        <v/>
      </c>
      <c r="BD359" s="743" t="str">
        <f t="shared" si="136"/>
        <v/>
      </c>
      <c r="BE359" s="743" t="str">
        <f>IF(D359="","",VLOOKUP(D359,'General Basis'!$J$39:$K$46,2,0))</f>
        <v/>
      </c>
      <c r="BF359" s="744" t="str">
        <f>IF(D359="","",VLOOKUP(D359,'General Basis'!$J$39:$L$46,3,0))</f>
        <v/>
      </c>
      <c r="BG359" s="744" t="str">
        <f t="shared" si="143"/>
        <v/>
      </c>
      <c r="BH359" s="744" t="str">
        <f>IF(G359="","",IF(BF359="Abu Dhabi",IF(G359&lt;18,'General Basis'!$C$39,IF(G359&lt;41,'General Basis'!$C$40,IF(G359&lt;60,'General Basis'!$C$41,IF(G359&lt;65,'General Basis'!$C$42,'General Basis'!$C$43)))),IF(G359&lt;11,'General Basis'!$B$39,IF(G359&lt;18,'General Basis'!$B$40,IF(G359&lt;26,'General Basis'!$B$41,IF(G359&lt;31,'General Basis'!$B$42,IF(G359&lt;36,'General Basis'!$B$43,IF(G359&lt;41,'General Basis'!$B$44,IF(G359&lt;46,'General Basis'!$B$45,IF(G359&lt;51,'General Basis'!$B$46,IF(G359&lt;56,'General Basis'!$B$47,IF(G359&lt;60,'General Basis'!$B$48,IF(G359&lt;65,'General Basis'!$B$49,'General Basis'!$B$50)))))))))))))</f>
        <v/>
      </c>
      <c r="BI359" s="744" t="str">
        <f t="shared" si="137"/>
        <v/>
      </c>
      <c r="BJ359" s="747" t="str">
        <f t="shared" si="144"/>
        <v/>
      </c>
      <c r="BK359" s="498" t="str">
        <f t="shared" si="138"/>
        <v/>
      </c>
      <c r="BL359" s="498" t="str">
        <f t="shared" si="139"/>
        <v/>
      </c>
    </row>
    <row r="360" spans="1:64" x14ac:dyDescent="0.25">
      <c r="A360" s="762">
        <f t="shared" si="140"/>
        <v>355</v>
      </c>
      <c r="B360" s="229"/>
      <c r="C360" s="223"/>
      <c r="D360" s="224"/>
      <c r="E360" s="225"/>
      <c r="F360" s="1036" t="str">
        <f t="shared" si="146"/>
        <v/>
      </c>
      <c r="G360" s="1037" t="str">
        <f t="shared" si="141"/>
        <v/>
      </c>
      <c r="H360" s="225"/>
      <c r="I360" s="1013"/>
      <c r="J360" s="1013"/>
      <c r="K360" s="1028"/>
      <c r="L360" s="1035" t="str">
        <f t="shared" si="145"/>
        <v/>
      </c>
      <c r="S360" s="498"/>
      <c r="AJ360" s="498"/>
      <c r="AM360" s="498">
        <f t="shared" si="126"/>
        <v>0</v>
      </c>
      <c r="AN360" s="498">
        <f t="shared" si="127"/>
        <v>0</v>
      </c>
      <c r="AO360" s="498">
        <f t="shared" si="128"/>
        <v>0</v>
      </c>
      <c r="AP360" s="498">
        <f t="shared" si="147"/>
        <v>0</v>
      </c>
      <c r="AQ360" s="498">
        <f t="shared" si="142"/>
        <v>0</v>
      </c>
      <c r="AU360" s="498">
        <f t="shared" si="129"/>
        <v>0</v>
      </c>
      <c r="AV360" s="498">
        <f t="shared" si="130"/>
        <v>0</v>
      </c>
      <c r="AW360" s="498">
        <f t="shared" si="131"/>
        <v>0</v>
      </c>
      <c r="AX360" s="498">
        <f t="shared" si="132"/>
        <v>0</v>
      </c>
      <c r="AY360" s="498">
        <f t="shared" si="133"/>
        <v>0</v>
      </c>
      <c r="BB360" s="498" t="str">
        <f t="shared" si="134"/>
        <v/>
      </c>
      <c r="BC360" s="743" t="str">
        <f t="shared" si="135"/>
        <v/>
      </c>
      <c r="BD360" s="743" t="str">
        <f t="shared" si="136"/>
        <v/>
      </c>
      <c r="BE360" s="743" t="str">
        <f>IF(D360="","",VLOOKUP(D360,'General Basis'!$J$39:$K$46,2,0))</f>
        <v/>
      </c>
      <c r="BF360" s="744" t="str">
        <f>IF(D360="","",VLOOKUP(D360,'General Basis'!$J$39:$L$46,3,0))</f>
        <v/>
      </c>
      <c r="BG360" s="744" t="str">
        <f t="shared" si="143"/>
        <v/>
      </c>
      <c r="BH360" s="744" t="str">
        <f>IF(G360="","",IF(BF360="Abu Dhabi",IF(G360&lt;18,'General Basis'!$C$39,IF(G360&lt;41,'General Basis'!$C$40,IF(G360&lt;60,'General Basis'!$C$41,IF(G360&lt;65,'General Basis'!$C$42,'General Basis'!$C$43)))),IF(G360&lt;11,'General Basis'!$B$39,IF(G360&lt;18,'General Basis'!$B$40,IF(G360&lt;26,'General Basis'!$B$41,IF(G360&lt;31,'General Basis'!$B$42,IF(G360&lt;36,'General Basis'!$B$43,IF(G360&lt;41,'General Basis'!$B$44,IF(G360&lt;46,'General Basis'!$B$45,IF(G360&lt;51,'General Basis'!$B$46,IF(G360&lt;56,'General Basis'!$B$47,IF(G360&lt;60,'General Basis'!$B$48,IF(G360&lt;65,'General Basis'!$B$49,'General Basis'!$B$50)))))))))))))</f>
        <v/>
      </c>
      <c r="BI360" s="744" t="str">
        <f t="shared" si="137"/>
        <v/>
      </c>
      <c r="BJ360" s="747" t="str">
        <f t="shared" si="144"/>
        <v/>
      </c>
      <c r="BK360" s="498" t="str">
        <f t="shared" si="138"/>
        <v/>
      </c>
      <c r="BL360" s="498" t="str">
        <f t="shared" si="139"/>
        <v/>
      </c>
    </row>
    <row r="361" spans="1:64" x14ac:dyDescent="0.25">
      <c r="A361" s="762">
        <f t="shared" si="140"/>
        <v>356</v>
      </c>
      <c r="B361" s="229"/>
      <c r="C361" s="223"/>
      <c r="D361" s="224"/>
      <c r="E361" s="225"/>
      <c r="F361" s="1036" t="str">
        <f t="shared" si="146"/>
        <v/>
      </c>
      <c r="G361" s="1037" t="str">
        <f t="shared" si="141"/>
        <v/>
      </c>
      <c r="H361" s="225"/>
      <c r="I361" s="1013"/>
      <c r="J361" s="1013"/>
      <c r="K361" s="1028"/>
      <c r="L361" s="1035" t="str">
        <f t="shared" si="145"/>
        <v/>
      </c>
      <c r="S361" s="498"/>
      <c r="AJ361" s="498"/>
      <c r="AM361" s="498">
        <f t="shared" si="126"/>
        <v>0</v>
      </c>
      <c r="AN361" s="498">
        <f t="shared" si="127"/>
        <v>0</v>
      </c>
      <c r="AO361" s="498">
        <f t="shared" si="128"/>
        <v>0</v>
      </c>
      <c r="AP361" s="498">
        <f t="shared" si="147"/>
        <v>0</v>
      </c>
      <c r="AQ361" s="498">
        <f t="shared" si="142"/>
        <v>0</v>
      </c>
      <c r="AU361" s="498">
        <f t="shared" si="129"/>
        <v>0</v>
      </c>
      <c r="AV361" s="498">
        <f t="shared" si="130"/>
        <v>0</v>
      </c>
      <c r="AW361" s="498">
        <f t="shared" si="131"/>
        <v>0</v>
      </c>
      <c r="AX361" s="498">
        <f t="shared" si="132"/>
        <v>0</v>
      </c>
      <c r="AY361" s="498">
        <f t="shared" si="133"/>
        <v>0</v>
      </c>
      <c r="BB361" s="498" t="str">
        <f t="shared" si="134"/>
        <v/>
      </c>
      <c r="BC361" s="743" t="str">
        <f t="shared" si="135"/>
        <v/>
      </c>
      <c r="BD361" s="743" t="str">
        <f t="shared" si="136"/>
        <v/>
      </c>
      <c r="BE361" s="743" t="str">
        <f>IF(D361="","",VLOOKUP(D361,'General Basis'!$J$39:$K$46,2,0))</f>
        <v/>
      </c>
      <c r="BF361" s="744" t="str">
        <f>IF(D361="","",VLOOKUP(D361,'General Basis'!$J$39:$L$46,3,0))</f>
        <v/>
      </c>
      <c r="BG361" s="744" t="str">
        <f t="shared" si="143"/>
        <v/>
      </c>
      <c r="BH361" s="744" t="str">
        <f>IF(G361="","",IF(BF361="Abu Dhabi",IF(G361&lt;18,'General Basis'!$C$39,IF(G361&lt;41,'General Basis'!$C$40,IF(G361&lt;60,'General Basis'!$C$41,IF(G361&lt;65,'General Basis'!$C$42,'General Basis'!$C$43)))),IF(G361&lt;11,'General Basis'!$B$39,IF(G361&lt;18,'General Basis'!$B$40,IF(G361&lt;26,'General Basis'!$B$41,IF(G361&lt;31,'General Basis'!$B$42,IF(G361&lt;36,'General Basis'!$B$43,IF(G361&lt;41,'General Basis'!$B$44,IF(G361&lt;46,'General Basis'!$B$45,IF(G361&lt;51,'General Basis'!$B$46,IF(G361&lt;56,'General Basis'!$B$47,IF(G361&lt;60,'General Basis'!$B$48,IF(G361&lt;65,'General Basis'!$B$49,'General Basis'!$B$50)))))))))))))</f>
        <v/>
      </c>
      <c r="BI361" s="744" t="str">
        <f t="shared" si="137"/>
        <v/>
      </c>
      <c r="BJ361" s="747" t="str">
        <f t="shared" si="144"/>
        <v/>
      </c>
      <c r="BK361" s="498" t="str">
        <f t="shared" si="138"/>
        <v/>
      </c>
      <c r="BL361" s="498" t="str">
        <f t="shared" si="139"/>
        <v/>
      </c>
    </row>
    <row r="362" spans="1:64" x14ac:dyDescent="0.25">
      <c r="A362" s="762">
        <f t="shared" si="140"/>
        <v>357</v>
      </c>
      <c r="B362" s="229"/>
      <c r="C362" s="223"/>
      <c r="D362" s="224"/>
      <c r="E362" s="225"/>
      <c r="F362" s="1036" t="str">
        <f t="shared" si="146"/>
        <v/>
      </c>
      <c r="G362" s="1037" t="str">
        <f t="shared" si="141"/>
        <v/>
      </c>
      <c r="H362" s="225"/>
      <c r="I362" s="1013"/>
      <c r="J362" s="1013"/>
      <c r="K362" s="1028"/>
      <c r="L362" s="1035" t="str">
        <f t="shared" si="145"/>
        <v/>
      </c>
      <c r="S362" s="498"/>
      <c r="AJ362" s="498"/>
      <c r="AM362" s="498">
        <f t="shared" si="126"/>
        <v>0</v>
      </c>
      <c r="AN362" s="498">
        <f t="shared" si="127"/>
        <v>0</v>
      </c>
      <c r="AO362" s="498">
        <f t="shared" si="128"/>
        <v>0</v>
      </c>
      <c r="AP362" s="498">
        <f t="shared" si="147"/>
        <v>0</v>
      </c>
      <c r="AQ362" s="498">
        <f t="shared" si="142"/>
        <v>0</v>
      </c>
      <c r="AU362" s="498">
        <f t="shared" si="129"/>
        <v>0</v>
      </c>
      <c r="AV362" s="498">
        <f t="shared" si="130"/>
        <v>0</v>
      </c>
      <c r="AW362" s="498">
        <f t="shared" si="131"/>
        <v>0</v>
      </c>
      <c r="AX362" s="498">
        <f t="shared" si="132"/>
        <v>0</v>
      </c>
      <c r="AY362" s="498">
        <f t="shared" si="133"/>
        <v>0</v>
      </c>
      <c r="BB362" s="498" t="str">
        <f t="shared" si="134"/>
        <v/>
      </c>
      <c r="BC362" s="743" t="str">
        <f t="shared" si="135"/>
        <v/>
      </c>
      <c r="BD362" s="743" t="str">
        <f t="shared" si="136"/>
        <v/>
      </c>
      <c r="BE362" s="743" t="str">
        <f>IF(D362="","",VLOOKUP(D362,'General Basis'!$J$39:$K$46,2,0))</f>
        <v/>
      </c>
      <c r="BF362" s="744" t="str">
        <f>IF(D362="","",VLOOKUP(D362,'General Basis'!$J$39:$L$46,3,0))</f>
        <v/>
      </c>
      <c r="BG362" s="744" t="str">
        <f t="shared" si="143"/>
        <v/>
      </c>
      <c r="BH362" s="744" t="str">
        <f>IF(G362="","",IF(BF362="Abu Dhabi",IF(G362&lt;18,'General Basis'!$C$39,IF(G362&lt;41,'General Basis'!$C$40,IF(G362&lt;60,'General Basis'!$C$41,IF(G362&lt;65,'General Basis'!$C$42,'General Basis'!$C$43)))),IF(G362&lt;11,'General Basis'!$B$39,IF(G362&lt;18,'General Basis'!$B$40,IF(G362&lt;26,'General Basis'!$B$41,IF(G362&lt;31,'General Basis'!$B$42,IF(G362&lt;36,'General Basis'!$B$43,IF(G362&lt;41,'General Basis'!$B$44,IF(G362&lt;46,'General Basis'!$B$45,IF(G362&lt;51,'General Basis'!$B$46,IF(G362&lt;56,'General Basis'!$B$47,IF(G362&lt;60,'General Basis'!$B$48,IF(G362&lt;65,'General Basis'!$B$49,'General Basis'!$B$50)))))))))))))</f>
        <v/>
      </c>
      <c r="BI362" s="744" t="str">
        <f t="shared" si="137"/>
        <v/>
      </c>
      <c r="BJ362" s="747" t="str">
        <f t="shared" si="144"/>
        <v/>
      </c>
      <c r="BK362" s="498" t="str">
        <f t="shared" si="138"/>
        <v/>
      </c>
      <c r="BL362" s="498" t="str">
        <f t="shared" si="139"/>
        <v/>
      </c>
    </row>
    <row r="363" spans="1:64" x14ac:dyDescent="0.25">
      <c r="A363" s="762">
        <f t="shared" si="140"/>
        <v>358</v>
      </c>
      <c r="B363" s="229"/>
      <c r="C363" s="223"/>
      <c r="D363" s="224"/>
      <c r="E363" s="225"/>
      <c r="F363" s="1036" t="str">
        <f t="shared" si="146"/>
        <v/>
      </c>
      <c r="G363" s="1037" t="str">
        <f t="shared" si="141"/>
        <v/>
      </c>
      <c r="H363" s="225"/>
      <c r="I363" s="1013"/>
      <c r="J363" s="1013"/>
      <c r="K363" s="1028"/>
      <c r="L363" s="1035" t="str">
        <f t="shared" si="145"/>
        <v/>
      </c>
      <c r="S363" s="498"/>
      <c r="AJ363" s="498"/>
      <c r="AM363" s="498">
        <f t="shared" si="126"/>
        <v>0</v>
      </c>
      <c r="AN363" s="498">
        <f t="shared" si="127"/>
        <v>0</v>
      </c>
      <c r="AO363" s="498">
        <f t="shared" si="128"/>
        <v>0</v>
      </c>
      <c r="AP363" s="498">
        <f t="shared" si="147"/>
        <v>0</v>
      </c>
      <c r="AQ363" s="498">
        <f t="shared" si="142"/>
        <v>0</v>
      </c>
      <c r="AU363" s="498">
        <f t="shared" si="129"/>
        <v>0</v>
      </c>
      <c r="AV363" s="498">
        <f t="shared" si="130"/>
        <v>0</v>
      </c>
      <c r="AW363" s="498">
        <f t="shared" si="131"/>
        <v>0</v>
      </c>
      <c r="AX363" s="498">
        <f t="shared" si="132"/>
        <v>0</v>
      </c>
      <c r="AY363" s="498">
        <f t="shared" si="133"/>
        <v>0</v>
      </c>
      <c r="BB363" s="498" t="str">
        <f t="shared" si="134"/>
        <v/>
      </c>
      <c r="BC363" s="743" t="str">
        <f t="shared" si="135"/>
        <v/>
      </c>
      <c r="BD363" s="743" t="str">
        <f t="shared" si="136"/>
        <v/>
      </c>
      <c r="BE363" s="743" t="str">
        <f>IF(D363="","",VLOOKUP(D363,'General Basis'!$J$39:$K$46,2,0))</f>
        <v/>
      </c>
      <c r="BF363" s="744" t="str">
        <f>IF(D363="","",VLOOKUP(D363,'General Basis'!$J$39:$L$46,3,0))</f>
        <v/>
      </c>
      <c r="BG363" s="744" t="str">
        <f t="shared" si="143"/>
        <v/>
      </c>
      <c r="BH363" s="744" t="str">
        <f>IF(G363="","",IF(BF363="Abu Dhabi",IF(G363&lt;18,'General Basis'!$C$39,IF(G363&lt;41,'General Basis'!$C$40,IF(G363&lt;60,'General Basis'!$C$41,IF(G363&lt;65,'General Basis'!$C$42,'General Basis'!$C$43)))),IF(G363&lt;11,'General Basis'!$B$39,IF(G363&lt;18,'General Basis'!$B$40,IF(G363&lt;26,'General Basis'!$B$41,IF(G363&lt;31,'General Basis'!$B$42,IF(G363&lt;36,'General Basis'!$B$43,IF(G363&lt;41,'General Basis'!$B$44,IF(G363&lt;46,'General Basis'!$B$45,IF(G363&lt;51,'General Basis'!$B$46,IF(G363&lt;56,'General Basis'!$B$47,IF(G363&lt;60,'General Basis'!$B$48,IF(G363&lt;65,'General Basis'!$B$49,'General Basis'!$B$50)))))))))))))</f>
        <v/>
      </c>
      <c r="BI363" s="744" t="str">
        <f t="shared" si="137"/>
        <v/>
      </c>
      <c r="BJ363" s="747" t="str">
        <f t="shared" si="144"/>
        <v/>
      </c>
      <c r="BK363" s="498" t="str">
        <f t="shared" si="138"/>
        <v/>
      </c>
      <c r="BL363" s="498" t="str">
        <f t="shared" si="139"/>
        <v/>
      </c>
    </row>
    <row r="364" spans="1:64" x14ac:dyDescent="0.25">
      <c r="A364" s="762">
        <f t="shared" si="140"/>
        <v>359</v>
      </c>
      <c r="B364" s="229"/>
      <c r="C364" s="223"/>
      <c r="D364" s="224"/>
      <c r="E364" s="225"/>
      <c r="F364" s="1036" t="str">
        <f t="shared" si="146"/>
        <v/>
      </c>
      <c r="G364" s="1037" t="str">
        <f t="shared" si="141"/>
        <v/>
      </c>
      <c r="H364" s="225"/>
      <c r="I364" s="1013"/>
      <c r="J364" s="1013"/>
      <c r="K364" s="1028"/>
      <c r="L364" s="1035" t="str">
        <f t="shared" si="145"/>
        <v/>
      </c>
      <c r="S364" s="498"/>
      <c r="AJ364" s="498"/>
      <c r="AM364" s="498">
        <f t="shared" si="126"/>
        <v>0</v>
      </c>
      <c r="AN364" s="498">
        <f t="shared" si="127"/>
        <v>0</v>
      </c>
      <c r="AO364" s="498">
        <f t="shared" si="128"/>
        <v>0</v>
      </c>
      <c r="AP364" s="498">
        <f t="shared" si="147"/>
        <v>0</v>
      </c>
      <c r="AQ364" s="498">
        <f t="shared" si="142"/>
        <v>0</v>
      </c>
      <c r="AU364" s="498">
        <f t="shared" si="129"/>
        <v>0</v>
      </c>
      <c r="AV364" s="498">
        <f t="shared" si="130"/>
        <v>0</v>
      </c>
      <c r="AW364" s="498">
        <f t="shared" si="131"/>
        <v>0</v>
      </c>
      <c r="AX364" s="498">
        <f t="shared" si="132"/>
        <v>0</v>
      </c>
      <c r="AY364" s="498">
        <f t="shared" si="133"/>
        <v>0</v>
      </c>
      <c r="BB364" s="498" t="str">
        <f t="shared" si="134"/>
        <v/>
      </c>
      <c r="BC364" s="743" t="str">
        <f t="shared" si="135"/>
        <v/>
      </c>
      <c r="BD364" s="743" t="str">
        <f t="shared" si="136"/>
        <v/>
      </c>
      <c r="BE364" s="743" t="str">
        <f>IF(D364="","",VLOOKUP(D364,'General Basis'!$J$39:$K$46,2,0))</f>
        <v/>
      </c>
      <c r="BF364" s="744" t="str">
        <f>IF(D364="","",VLOOKUP(D364,'General Basis'!$J$39:$L$46,3,0))</f>
        <v/>
      </c>
      <c r="BG364" s="744" t="str">
        <f t="shared" si="143"/>
        <v/>
      </c>
      <c r="BH364" s="744" t="str">
        <f>IF(G364="","",IF(BF364="Abu Dhabi",IF(G364&lt;18,'General Basis'!$C$39,IF(G364&lt;41,'General Basis'!$C$40,IF(G364&lt;60,'General Basis'!$C$41,IF(G364&lt;65,'General Basis'!$C$42,'General Basis'!$C$43)))),IF(G364&lt;11,'General Basis'!$B$39,IF(G364&lt;18,'General Basis'!$B$40,IF(G364&lt;26,'General Basis'!$B$41,IF(G364&lt;31,'General Basis'!$B$42,IF(G364&lt;36,'General Basis'!$B$43,IF(G364&lt;41,'General Basis'!$B$44,IF(G364&lt;46,'General Basis'!$B$45,IF(G364&lt;51,'General Basis'!$B$46,IF(G364&lt;56,'General Basis'!$B$47,IF(G364&lt;60,'General Basis'!$B$48,IF(G364&lt;65,'General Basis'!$B$49,'General Basis'!$B$50)))))))))))))</f>
        <v/>
      </c>
      <c r="BI364" s="744" t="str">
        <f t="shared" si="137"/>
        <v/>
      </c>
      <c r="BJ364" s="747" t="str">
        <f t="shared" si="144"/>
        <v/>
      </c>
      <c r="BK364" s="498" t="str">
        <f t="shared" si="138"/>
        <v/>
      </c>
      <c r="BL364" s="498" t="str">
        <f t="shared" si="139"/>
        <v/>
      </c>
    </row>
    <row r="365" spans="1:64" x14ac:dyDescent="0.25">
      <c r="A365" s="762">
        <f t="shared" si="140"/>
        <v>360</v>
      </c>
      <c r="B365" s="229"/>
      <c r="C365" s="223"/>
      <c r="D365" s="224"/>
      <c r="E365" s="225"/>
      <c r="F365" s="1036" t="str">
        <f t="shared" si="146"/>
        <v/>
      </c>
      <c r="G365" s="1037" t="str">
        <f t="shared" si="141"/>
        <v/>
      </c>
      <c r="H365" s="225"/>
      <c r="I365" s="1013"/>
      <c r="J365" s="1013"/>
      <c r="K365" s="1028"/>
      <c r="L365" s="1035" t="str">
        <f t="shared" si="145"/>
        <v/>
      </c>
      <c r="S365" s="498"/>
      <c r="AJ365" s="498"/>
      <c r="AM365" s="498">
        <f t="shared" si="126"/>
        <v>0</v>
      </c>
      <c r="AN365" s="498">
        <f t="shared" si="127"/>
        <v>0</v>
      </c>
      <c r="AO365" s="498">
        <f t="shared" si="128"/>
        <v>0</v>
      </c>
      <c r="AP365" s="498">
        <f t="shared" si="147"/>
        <v>0</v>
      </c>
      <c r="AQ365" s="498">
        <f t="shared" si="142"/>
        <v>0</v>
      </c>
      <c r="AU365" s="498">
        <f t="shared" si="129"/>
        <v>0</v>
      </c>
      <c r="AV365" s="498">
        <f t="shared" si="130"/>
        <v>0</v>
      </c>
      <c r="AW365" s="498">
        <f t="shared" si="131"/>
        <v>0</v>
      </c>
      <c r="AX365" s="498">
        <f t="shared" si="132"/>
        <v>0</v>
      </c>
      <c r="AY365" s="498">
        <f t="shared" si="133"/>
        <v>0</v>
      </c>
      <c r="BB365" s="498" t="str">
        <f t="shared" si="134"/>
        <v/>
      </c>
      <c r="BC365" s="743" t="str">
        <f t="shared" si="135"/>
        <v/>
      </c>
      <c r="BD365" s="743" t="str">
        <f t="shared" si="136"/>
        <v/>
      </c>
      <c r="BE365" s="743" t="str">
        <f>IF(D365="","",VLOOKUP(D365,'General Basis'!$J$39:$K$46,2,0))</f>
        <v/>
      </c>
      <c r="BF365" s="744" t="str">
        <f>IF(D365="","",VLOOKUP(D365,'General Basis'!$J$39:$L$46,3,0))</f>
        <v/>
      </c>
      <c r="BG365" s="744" t="str">
        <f t="shared" si="143"/>
        <v/>
      </c>
      <c r="BH365" s="744" t="str">
        <f>IF(G365="","",IF(BF365="Abu Dhabi",IF(G365&lt;18,'General Basis'!$C$39,IF(G365&lt;41,'General Basis'!$C$40,IF(G365&lt;60,'General Basis'!$C$41,IF(G365&lt;65,'General Basis'!$C$42,'General Basis'!$C$43)))),IF(G365&lt;11,'General Basis'!$B$39,IF(G365&lt;18,'General Basis'!$B$40,IF(G365&lt;26,'General Basis'!$B$41,IF(G365&lt;31,'General Basis'!$B$42,IF(G365&lt;36,'General Basis'!$B$43,IF(G365&lt;41,'General Basis'!$B$44,IF(G365&lt;46,'General Basis'!$B$45,IF(G365&lt;51,'General Basis'!$B$46,IF(G365&lt;56,'General Basis'!$B$47,IF(G365&lt;60,'General Basis'!$B$48,IF(G365&lt;65,'General Basis'!$B$49,'General Basis'!$B$50)))))))))))))</f>
        <v/>
      </c>
      <c r="BI365" s="744" t="str">
        <f t="shared" si="137"/>
        <v/>
      </c>
      <c r="BJ365" s="747" t="str">
        <f t="shared" si="144"/>
        <v/>
      </c>
      <c r="BK365" s="498" t="str">
        <f t="shared" si="138"/>
        <v/>
      </c>
      <c r="BL365" s="498" t="str">
        <f t="shared" si="139"/>
        <v/>
      </c>
    </row>
    <row r="366" spans="1:64" x14ac:dyDescent="0.25">
      <c r="A366" s="762">
        <f t="shared" si="140"/>
        <v>361</v>
      </c>
      <c r="B366" s="229"/>
      <c r="C366" s="223"/>
      <c r="D366" s="224"/>
      <c r="E366" s="225"/>
      <c r="F366" s="1036" t="str">
        <f t="shared" si="146"/>
        <v/>
      </c>
      <c r="G366" s="1037" t="str">
        <f t="shared" si="141"/>
        <v/>
      </c>
      <c r="H366" s="225"/>
      <c r="I366" s="1013"/>
      <c r="J366" s="1013"/>
      <c r="K366" s="1028"/>
      <c r="L366" s="1035" t="str">
        <f t="shared" si="145"/>
        <v/>
      </c>
      <c r="S366" s="498"/>
      <c r="AJ366" s="498"/>
      <c r="AM366" s="498">
        <f t="shared" si="126"/>
        <v>0</v>
      </c>
      <c r="AN366" s="498">
        <f t="shared" si="127"/>
        <v>0</v>
      </c>
      <c r="AO366" s="498">
        <f t="shared" si="128"/>
        <v>0</v>
      </c>
      <c r="AP366" s="498">
        <f t="shared" si="147"/>
        <v>0</v>
      </c>
      <c r="AQ366" s="498">
        <f t="shared" si="142"/>
        <v>0</v>
      </c>
      <c r="AU366" s="498">
        <f t="shared" si="129"/>
        <v>0</v>
      </c>
      <c r="AV366" s="498">
        <f t="shared" si="130"/>
        <v>0</v>
      </c>
      <c r="AW366" s="498">
        <f t="shared" si="131"/>
        <v>0</v>
      </c>
      <c r="AX366" s="498">
        <f t="shared" si="132"/>
        <v>0</v>
      </c>
      <c r="AY366" s="498">
        <f t="shared" si="133"/>
        <v>0</v>
      </c>
      <c r="BB366" s="498" t="str">
        <f t="shared" si="134"/>
        <v/>
      </c>
      <c r="BC366" s="743" t="str">
        <f t="shared" si="135"/>
        <v/>
      </c>
      <c r="BD366" s="743" t="str">
        <f t="shared" si="136"/>
        <v/>
      </c>
      <c r="BE366" s="743" t="str">
        <f>IF(D366="","",VLOOKUP(D366,'General Basis'!$J$39:$K$46,2,0))</f>
        <v/>
      </c>
      <c r="BF366" s="744" t="str">
        <f>IF(D366="","",VLOOKUP(D366,'General Basis'!$J$39:$L$46,3,0))</f>
        <v/>
      </c>
      <c r="BG366" s="744" t="str">
        <f t="shared" si="143"/>
        <v/>
      </c>
      <c r="BH366" s="744" t="str">
        <f>IF(G366="","",IF(BF366="Abu Dhabi",IF(G366&lt;18,'General Basis'!$C$39,IF(G366&lt;41,'General Basis'!$C$40,IF(G366&lt;60,'General Basis'!$C$41,IF(G366&lt;65,'General Basis'!$C$42,'General Basis'!$C$43)))),IF(G366&lt;11,'General Basis'!$B$39,IF(G366&lt;18,'General Basis'!$B$40,IF(G366&lt;26,'General Basis'!$B$41,IF(G366&lt;31,'General Basis'!$B$42,IF(G366&lt;36,'General Basis'!$B$43,IF(G366&lt;41,'General Basis'!$B$44,IF(G366&lt;46,'General Basis'!$B$45,IF(G366&lt;51,'General Basis'!$B$46,IF(G366&lt;56,'General Basis'!$B$47,IF(G366&lt;60,'General Basis'!$B$48,IF(G366&lt;65,'General Basis'!$B$49,'General Basis'!$B$50)))))))))))))</f>
        <v/>
      </c>
      <c r="BI366" s="744" t="str">
        <f t="shared" si="137"/>
        <v/>
      </c>
      <c r="BJ366" s="747" t="str">
        <f t="shared" si="144"/>
        <v/>
      </c>
      <c r="BK366" s="498" t="str">
        <f t="shared" si="138"/>
        <v/>
      </c>
      <c r="BL366" s="498" t="str">
        <f t="shared" si="139"/>
        <v/>
      </c>
    </row>
    <row r="367" spans="1:64" x14ac:dyDescent="0.25">
      <c r="A367" s="762">
        <f t="shared" si="140"/>
        <v>362</v>
      </c>
      <c r="B367" s="229"/>
      <c r="C367" s="223"/>
      <c r="D367" s="224"/>
      <c r="E367" s="225"/>
      <c r="F367" s="1036" t="str">
        <f t="shared" si="146"/>
        <v/>
      </c>
      <c r="G367" s="1037" t="str">
        <f t="shared" si="141"/>
        <v/>
      </c>
      <c r="H367" s="225"/>
      <c r="I367" s="1013"/>
      <c r="J367" s="1013"/>
      <c r="K367" s="1028"/>
      <c r="L367" s="1035" t="str">
        <f t="shared" si="145"/>
        <v/>
      </c>
      <c r="S367" s="498"/>
      <c r="AJ367" s="498"/>
      <c r="AM367" s="498">
        <f t="shared" si="126"/>
        <v>0</v>
      </c>
      <c r="AN367" s="498">
        <f t="shared" si="127"/>
        <v>0</v>
      </c>
      <c r="AO367" s="498">
        <f t="shared" si="128"/>
        <v>0</v>
      </c>
      <c r="AP367" s="498">
        <f t="shared" si="147"/>
        <v>0</v>
      </c>
      <c r="AQ367" s="498">
        <f t="shared" si="142"/>
        <v>0</v>
      </c>
      <c r="AU367" s="498">
        <f t="shared" si="129"/>
        <v>0</v>
      </c>
      <c r="AV367" s="498">
        <f t="shared" si="130"/>
        <v>0</v>
      </c>
      <c r="AW367" s="498">
        <f t="shared" si="131"/>
        <v>0</v>
      </c>
      <c r="AX367" s="498">
        <f t="shared" si="132"/>
        <v>0</v>
      </c>
      <c r="AY367" s="498">
        <f t="shared" si="133"/>
        <v>0</v>
      </c>
      <c r="BB367" s="498" t="str">
        <f t="shared" si="134"/>
        <v/>
      </c>
      <c r="BC367" s="743" t="str">
        <f t="shared" si="135"/>
        <v/>
      </c>
      <c r="BD367" s="743" t="str">
        <f t="shared" si="136"/>
        <v/>
      </c>
      <c r="BE367" s="743" t="str">
        <f>IF(D367="","",VLOOKUP(D367,'General Basis'!$J$39:$K$46,2,0))</f>
        <v/>
      </c>
      <c r="BF367" s="744" t="str">
        <f>IF(D367="","",VLOOKUP(D367,'General Basis'!$J$39:$L$46,3,0))</f>
        <v/>
      </c>
      <c r="BG367" s="744" t="str">
        <f t="shared" si="143"/>
        <v/>
      </c>
      <c r="BH367" s="744" t="str">
        <f>IF(G367="","",IF(BF367="Abu Dhabi",IF(G367&lt;18,'General Basis'!$C$39,IF(G367&lt;41,'General Basis'!$C$40,IF(G367&lt;60,'General Basis'!$C$41,IF(G367&lt;65,'General Basis'!$C$42,'General Basis'!$C$43)))),IF(G367&lt;11,'General Basis'!$B$39,IF(G367&lt;18,'General Basis'!$B$40,IF(G367&lt;26,'General Basis'!$B$41,IF(G367&lt;31,'General Basis'!$B$42,IF(G367&lt;36,'General Basis'!$B$43,IF(G367&lt;41,'General Basis'!$B$44,IF(G367&lt;46,'General Basis'!$B$45,IF(G367&lt;51,'General Basis'!$B$46,IF(G367&lt;56,'General Basis'!$B$47,IF(G367&lt;60,'General Basis'!$B$48,IF(G367&lt;65,'General Basis'!$B$49,'General Basis'!$B$50)))))))))))))</f>
        <v/>
      </c>
      <c r="BI367" s="744" t="str">
        <f t="shared" si="137"/>
        <v/>
      </c>
      <c r="BJ367" s="747" t="str">
        <f t="shared" si="144"/>
        <v/>
      </c>
      <c r="BK367" s="498" t="str">
        <f t="shared" si="138"/>
        <v/>
      </c>
      <c r="BL367" s="498" t="str">
        <f t="shared" si="139"/>
        <v/>
      </c>
    </row>
    <row r="368" spans="1:64" x14ac:dyDescent="0.25">
      <c r="A368" s="762">
        <f t="shared" si="140"/>
        <v>363</v>
      </c>
      <c r="B368" s="229"/>
      <c r="C368" s="223"/>
      <c r="D368" s="224"/>
      <c r="E368" s="225"/>
      <c r="F368" s="1036" t="str">
        <f t="shared" si="146"/>
        <v/>
      </c>
      <c r="G368" s="1037" t="str">
        <f t="shared" si="141"/>
        <v/>
      </c>
      <c r="H368" s="225"/>
      <c r="I368" s="1013"/>
      <c r="J368" s="1013"/>
      <c r="K368" s="1028"/>
      <c r="L368" s="1035" t="str">
        <f t="shared" si="145"/>
        <v/>
      </c>
      <c r="S368" s="498"/>
      <c r="AJ368" s="498"/>
      <c r="AM368" s="498">
        <f t="shared" si="126"/>
        <v>0</v>
      </c>
      <c r="AN368" s="498">
        <f t="shared" si="127"/>
        <v>0</v>
      </c>
      <c r="AO368" s="498">
        <f t="shared" si="128"/>
        <v>0</v>
      </c>
      <c r="AP368" s="498">
        <f t="shared" si="147"/>
        <v>0</v>
      </c>
      <c r="AQ368" s="498">
        <f t="shared" si="142"/>
        <v>0</v>
      </c>
      <c r="AU368" s="498">
        <f t="shared" si="129"/>
        <v>0</v>
      </c>
      <c r="AV368" s="498">
        <f t="shared" si="130"/>
        <v>0</v>
      </c>
      <c r="AW368" s="498">
        <f t="shared" si="131"/>
        <v>0</v>
      </c>
      <c r="AX368" s="498">
        <f t="shared" si="132"/>
        <v>0</v>
      </c>
      <c r="AY368" s="498">
        <f t="shared" si="133"/>
        <v>0</v>
      </c>
      <c r="BB368" s="498" t="str">
        <f t="shared" si="134"/>
        <v/>
      </c>
      <c r="BC368" s="743" t="str">
        <f t="shared" si="135"/>
        <v/>
      </c>
      <c r="BD368" s="743" t="str">
        <f t="shared" si="136"/>
        <v/>
      </c>
      <c r="BE368" s="743" t="str">
        <f>IF(D368="","",VLOOKUP(D368,'General Basis'!$J$39:$K$46,2,0))</f>
        <v/>
      </c>
      <c r="BF368" s="744" t="str">
        <f>IF(D368="","",VLOOKUP(D368,'General Basis'!$J$39:$L$46,3,0))</f>
        <v/>
      </c>
      <c r="BG368" s="744" t="str">
        <f t="shared" si="143"/>
        <v/>
      </c>
      <c r="BH368" s="744" t="str">
        <f>IF(G368="","",IF(BF368="Abu Dhabi",IF(G368&lt;18,'General Basis'!$C$39,IF(G368&lt;41,'General Basis'!$C$40,IF(G368&lt;60,'General Basis'!$C$41,IF(G368&lt;65,'General Basis'!$C$42,'General Basis'!$C$43)))),IF(G368&lt;11,'General Basis'!$B$39,IF(G368&lt;18,'General Basis'!$B$40,IF(G368&lt;26,'General Basis'!$B$41,IF(G368&lt;31,'General Basis'!$B$42,IF(G368&lt;36,'General Basis'!$B$43,IF(G368&lt;41,'General Basis'!$B$44,IF(G368&lt;46,'General Basis'!$B$45,IF(G368&lt;51,'General Basis'!$B$46,IF(G368&lt;56,'General Basis'!$B$47,IF(G368&lt;60,'General Basis'!$B$48,IF(G368&lt;65,'General Basis'!$B$49,'General Basis'!$B$50)))))))))))))</f>
        <v/>
      </c>
      <c r="BI368" s="744" t="str">
        <f t="shared" si="137"/>
        <v/>
      </c>
      <c r="BJ368" s="747" t="str">
        <f t="shared" si="144"/>
        <v/>
      </c>
      <c r="BK368" s="498" t="str">
        <f t="shared" si="138"/>
        <v/>
      </c>
      <c r="BL368" s="498" t="str">
        <f t="shared" si="139"/>
        <v/>
      </c>
    </row>
    <row r="369" spans="1:64" x14ac:dyDescent="0.25">
      <c r="A369" s="762">
        <f t="shared" si="140"/>
        <v>364</v>
      </c>
      <c r="B369" s="229"/>
      <c r="C369" s="223"/>
      <c r="D369" s="224"/>
      <c r="E369" s="225"/>
      <c r="F369" s="1036" t="str">
        <f t="shared" si="146"/>
        <v/>
      </c>
      <c r="G369" s="1037" t="str">
        <f t="shared" si="141"/>
        <v/>
      </c>
      <c r="H369" s="225"/>
      <c r="I369" s="1013"/>
      <c r="J369" s="1013"/>
      <c r="K369" s="1028"/>
      <c r="L369" s="1035" t="str">
        <f t="shared" si="145"/>
        <v/>
      </c>
      <c r="S369" s="498"/>
      <c r="AJ369" s="498"/>
      <c r="AM369" s="498">
        <f t="shared" si="126"/>
        <v>0</v>
      </c>
      <c r="AN369" s="498">
        <f t="shared" si="127"/>
        <v>0</v>
      </c>
      <c r="AO369" s="498">
        <f t="shared" si="128"/>
        <v>0</v>
      </c>
      <c r="AP369" s="498">
        <f t="shared" si="147"/>
        <v>0</v>
      </c>
      <c r="AQ369" s="498">
        <f t="shared" si="142"/>
        <v>0</v>
      </c>
      <c r="AU369" s="498">
        <f t="shared" si="129"/>
        <v>0</v>
      </c>
      <c r="AV369" s="498">
        <f t="shared" si="130"/>
        <v>0</v>
      </c>
      <c r="AW369" s="498">
        <f t="shared" si="131"/>
        <v>0</v>
      </c>
      <c r="AX369" s="498">
        <f t="shared" si="132"/>
        <v>0</v>
      </c>
      <c r="AY369" s="498">
        <f t="shared" si="133"/>
        <v>0</v>
      </c>
      <c r="BB369" s="498" t="str">
        <f t="shared" si="134"/>
        <v/>
      </c>
      <c r="BC369" s="743" t="str">
        <f t="shared" si="135"/>
        <v/>
      </c>
      <c r="BD369" s="743" t="str">
        <f t="shared" si="136"/>
        <v/>
      </c>
      <c r="BE369" s="743" t="str">
        <f>IF(D369="","",VLOOKUP(D369,'General Basis'!$J$39:$K$46,2,0))</f>
        <v/>
      </c>
      <c r="BF369" s="744" t="str">
        <f>IF(D369="","",VLOOKUP(D369,'General Basis'!$J$39:$L$46,3,0))</f>
        <v/>
      </c>
      <c r="BG369" s="744" t="str">
        <f t="shared" si="143"/>
        <v/>
      </c>
      <c r="BH369" s="744" t="str">
        <f>IF(G369="","",IF(BF369="Abu Dhabi",IF(G369&lt;18,'General Basis'!$C$39,IF(G369&lt;41,'General Basis'!$C$40,IF(G369&lt;60,'General Basis'!$C$41,IF(G369&lt;65,'General Basis'!$C$42,'General Basis'!$C$43)))),IF(G369&lt;11,'General Basis'!$B$39,IF(G369&lt;18,'General Basis'!$B$40,IF(G369&lt;26,'General Basis'!$B$41,IF(G369&lt;31,'General Basis'!$B$42,IF(G369&lt;36,'General Basis'!$B$43,IF(G369&lt;41,'General Basis'!$B$44,IF(G369&lt;46,'General Basis'!$B$45,IF(G369&lt;51,'General Basis'!$B$46,IF(G369&lt;56,'General Basis'!$B$47,IF(G369&lt;60,'General Basis'!$B$48,IF(G369&lt;65,'General Basis'!$B$49,'General Basis'!$B$50)))))))))))))</f>
        <v/>
      </c>
      <c r="BI369" s="744" t="str">
        <f t="shared" si="137"/>
        <v/>
      </c>
      <c r="BJ369" s="747" t="str">
        <f t="shared" si="144"/>
        <v/>
      </c>
      <c r="BK369" s="498" t="str">
        <f t="shared" si="138"/>
        <v/>
      </c>
      <c r="BL369" s="498" t="str">
        <f t="shared" si="139"/>
        <v/>
      </c>
    </row>
    <row r="370" spans="1:64" x14ac:dyDescent="0.25">
      <c r="A370" s="762">
        <f t="shared" si="140"/>
        <v>365</v>
      </c>
      <c r="B370" s="229"/>
      <c r="C370" s="223"/>
      <c r="D370" s="224"/>
      <c r="E370" s="225"/>
      <c r="F370" s="1036" t="str">
        <f t="shared" si="146"/>
        <v/>
      </c>
      <c r="G370" s="1037" t="str">
        <f t="shared" si="141"/>
        <v/>
      </c>
      <c r="H370" s="225"/>
      <c r="I370" s="1013"/>
      <c r="J370" s="1013"/>
      <c r="K370" s="1028"/>
      <c r="L370" s="1035" t="str">
        <f t="shared" si="145"/>
        <v/>
      </c>
      <c r="S370" s="498"/>
      <c r="AJ370" s="498"/>
      <c r="AM370" s="498">
        <f t="shared" si="126"/>
        <v>0</v>
      </c>
      <c r="AN370" s="498">
        <f t="shared" si="127"/>
        <v>0</v>
      </c>
      <c r="AO370" s="498">
        <f t="shared" si="128"/>
        <v>0</v>
      </c>
      <c r="AP370" s="498">
        <f t="shared" si="147"/>
        <v>0</v>
      </c>
      <c r="AQ370" s="498">
        <f t="shared" si="142"/>
        <v>0</v>
      </c>
      <c r="AU370" s="498">
        <f t="shared" si="129"/>
        <v>0</v>
      </c>
      <c r="AV370" s="498">
        <f t="shared" si="130"/>
        <v>0</v>
      </c>
      <c r="AW370" s="498">
        <f t="shared" si="131"/>
        <v>0</v>
      </c>
      <c r="AX370" s="498">
        <f t="shared" si="132"/>
        <v>0</v>
      </c>
      <c r="AY370" s="498">
        <f t="shared" si="133"/>
        <v>0</v>
      </c>
      <c r="BB370" s="498" t="str">
        <f t="shared" si="134"/>
        <v/>
      </c>
      <c r="BC370" s="743" t="str">
        <f t="shared" si="135"/>
        <v/>
      </c>
      <c r="BD370" s="743" t="str">
        <f t="shared" si="136"/>
        <v/>
      </c>
      <c r="BE370" s="743" t="str">
        <f>IF(D370="","",VLOOKUP(D370,'General Basis'!$J$39:$K$46,2,0))</f>
        <v/>
      </c>
      <c r="BF370" s="744" t="str">
        <f>IF(D370="","",VLOOKUP(D370,'General Basis'!$J$39:$L$46,3,0))</f>
        <v/>
      </c>
      <c r="BG370" s="744" t="str">
        <f t="shared" si="143"/>
        <v/>
      </c>
      <c r="BH370" s="744" t="str">
        <f>IF(G370="","",IF(BF370="Abu Dhabi",IF(G370&lt;18,'General Basis'!$C$39,IF(G370&lt;41,'General Basis'!$C$40,IF(G370&lt;60,'General Basis'!$C$41,IF(G370&lt;65,'General Basis'!$C$42,'General Basis'!$C$43)))),IF(G370&lt;11,'General Basis'!$B$39,IF(G370&lt;18,'General Basis'!$B$40,IF(G370&lt;26,'General Basis'!$B$41,IF(G370&lt;31,'General Basis'!$B$42,IF(G370&lt;36,'General Basis'!$B$43,IF(G370&lt;41,'General Basis'!$B$44,IF(G370&lt;46,'General Basis'!$B$45,IF(G370&lt;51,'General Basis'!$B$46,IF(G370&lt;56,'General Basis'!$B$47,IF(G370&lt;60,'General Basis'!$B$48,IF(G370&lt;65,'General Basis'!$B$49,'General Basis'!$B$50)))))))))))))</f>
        <v/>
      </c>
      <c r="BI370" s="744" t="str">
        <f t="shared" si="137"/>
        <v/>
      </c>
      <c r="BJ370" s="747" t="str">
        <f t="shared" si="144"/>
        <v/>
      </c>
      <c r="BK370" s="498" t="str">
        <f t="shared" si="138"/>
        <v/>
      </c>
      <c r="BL370" s="498" t="str">
        <f t="shared" si="139"/>
        <v/>
      </c>
    </row>
    <row r="371" spans="1:64" x14ac:dyDescent="0.25">
      <c r="A371" s="762">
        <f t="shared" si="140"/>
        <v>366</v>
      </c>
      <c r="B371" s="229"/>
      <c r="C371" s="223"/>
      <c r="D371" s="224"/>
      <c r="E371" s="225"/>
      <c r="F371" s="1036" t="str">
        <f t="shared" si="146"/>
        <v/>
      </c>
      <c r="G371" s="1037" t="str">
        <f t="shared" si="141"/>
        <v/>
      </c>
      <c r="H371" s="225"/>
      <c r="I371" s="1013"/>
      <c r="J371" s="1013"/>
      <c r="K371" s="1028"/>
      <c r="L371" s="1035" t="str">
        <f t="shared" si="145"/>
        <v/>
      </c>
      <c r="S371" s="498"/>
      <c r="AJ371" s="498"/>
      <c r="AM371" s="498">
        <f t="shared" si="126"/>
        <v>0</v>
      </c>
      <c r="AN371" s="498">
        <f t="shared" si="127"/>
        <v>0</v>
      </c>
      <c r="AO371" s="498">
        <f t="shared" si="128"/>
        <v>0</v>
      </c>
      <c r="AP371" s="498">
        <f t="shared" si="147"/>
        <v>0</v>
      </c>
      <c r="AQ371" s="498">
        <f t="shared" si="142"/>
        <v>0</v>
      </c>
      <c r="AU371" s="498">
        <f t="shared" si="129"/>
        <v>0</v>
      </c>
      <c r="AV371" s="498">
        <f t="shared" si="130"/>
        <v>0</v>
      </c>
      <c r="AW371" s="498">
        <f t="shared" si="131"/>
        <v>0</v>
      </c>
      <c r="AX371" s="498">
        <f t="shared" si="132"/>
        <v>0</v>
      </c>
      <c r="AY371" s="498">
        <f t="shared" si="133"/>
        <v>0</v>
      </c>
      <c r="BB371" s="498" t="str">
        <f t="shared" si="134"/>
        <v/>
      </c>
      <c r="BC371" s="743" t="str">
        <f t="shared" si="135"/>
        <v/>
      </c>
      <c r="BD371" s="743" t="str">
        <f t="shared" si="136"/>
        <v/>
      </c>
      <c r="BE371" s="743" t="str">
        <f>IF(D371="","",VLOOKUP(D371,'General Basis'!$J$39:$K$46,2,0))</f>
        <v/>
      </c>
      <c r="BF371" s="744" t="str">
        <f>IF(D371="","",VLOOKUP(D371,'General Basis'!$J$39:$L$46,3,0))</f>
        <v/>
      </c>
      <c r="BG371" s="744" t="str">
        <f t="shared" si="143"/>
        <v/>
      </c>
      <c r="BH371" s="744" t="str">
        <f>IF(G371="","",IF(BF371="Abu Dhabi",IF(G371&lt;18,'General Basis'!$C$39,IF(G371&lt;41,'General Basis'!$C$40,IF(G371&lt;60,'General Basis'!$C$41,IF(G371&lt;65,'General Basis'!$C$42,'General Basis'!$C$43)))),IF(G371&lt;11,'General Basis'!$B$39,IF(G371&lt;18,'General Basis'!$B$40,IF(G371&lt;26,'General Basis'!$B$41,IF(G371&lt;31,'General Basis'!$B$42,IF(G371&lt;36,'General Basis'!$B$43,IF(G371&lt;41,'General Basis'!$B$44,IF(G371&lt;46,'General Basis'!$B$45,IF(G371&lt;51,'General Basis'!$B$46,IF(G371&lt;56,'General Basis'!$B$47,IF(G371&lt;60,'General Basis'!$B$48,IF(G371&lt;65,'General Basis'!$B$49,'General Basis'!$B$50)))))))))))))</f>
        <v/>
      </c>
      <c r="BI371" s="744" t="str">
        <f t="shared" si="137"/>
        <v/>
      </c>
      <c r="BJ371" s="747" t="str">
        <f t="shared" si="144"/>
        <v/>
      </c>
      <c r="BK371" s="498" t="str">
        <f t="shared" si="138"/>
        <v/>
      </c>
      <c r="BL371" s="498" t="str">
        <f t="shared" si="139"/>
        <v/>
      </c>
    </row>
    <row r="372" spans="1:64" x14ac:dyDescent="0.25">
      <c r="A372" s="762">
        <f t="shared" si="140"/>
        <v>367</v>
      </c>
      <c r="B372" s="229"/>
      <c r="C372" s="223"/>
      <c r="D372" s="224"/>
      <c r="E372" s="225"/>
      <c r="F372" s="1036" t="str">
        <f t="shared" si="146"/>
        <v/>
      </c>
      <c r="G372" s="1037" t="str">
        <f t="shared" si="141"/>
        <v/>
      </c>
      <c r="H372" s="225"/>
      <c r="I372" s="1013"/>
      <c r="J372" s="1013"/>
      <c r="K372" s="1028"/>
      <c r="L372" s="1035" t="str">
        <f t="shared" si="145"/>
        <v/>
      </c>
      <c r="S372" s="498"/>
      <c r="AJ372" s="498"/>
      <c r="AM372" s="498">
        <f t="shared" si="126"/>
        <v>0</v>
      </c>
      <c r="AN372" s="498">
        <f t="shared" si="127"/>
        <v>0</v>
      </c>
      <c r="AO372" s="498">
        <f t="shared" si="128"/>
        <v>0</v>
      </c>
      <c r="AP372" s="498">
        <f t="shared" si="147"/>
        <v>0</v>
      </c>
      <c r="AQ372" s="498">
        <f t="shared" si="142"/>
        <v>0</v>
      </c>
      <c r="AU372" s="498">
        <f t="shared" si="129"/>
        <v>0</v>
      </c>
      <c r="AV372" s="498">
        <f t="shared" si="130"/>
        <v>0</v>
      </c>
      <c r="AW372" s="498">
        <f t="shared" si="131"/>
        <v>0</v>
      </c>
      <c r="AX372" s="498">
        <f t="shared" si="132"/>
        <v>0</v>
      </c>
      <c r="AY372" s="498">
        <f t="shared" si="133"/>
        <v>0</v>
      </c>
      <c r="BB372" s="498" t="str">
        <f t="shared" si="134"/>
        <v/>
      </c>
      <c r="BC372" s="743" t="str">
        <f t="shared" si="135"/>
        <v/>
      </c>
      <c r="BD372" s="743" t="str">
        <f t="shared" si="136"/>
        <v/>
      </c>
      <c r="BE372" s="743" t="str">
        <f>IF(D372="","",VLOOKUP(D372,'General Basis'!$J$39:$K$46,2,0))</f>
        <v/>
      </c>
      <c r="BF372" s="744" t="str">
        <f>IF(D372="","",VLOOKUP(D372,'General Basis'!$J$39:$L$46,3,0))</f>
        <v/>
      </c>
      <c r="BG372" s="744" t="str">
        <f t="shared" si="143"/>
        <v/>
      </c>
      <c r="BH372" s="744" t="str">
        <f>IF(G372="","",IF(BF372="Abu Dhabi",IF(G372&lt;18,'General Basis'!$C$39,IF(G372&lt;41,'General Basis'!$C$40,IF(G372&lt;60,'General Basis'!$C$41,IF(G372&lt;65,'General Basis'!$C$42,'General Basis'!$C$43)))),IF(G372&lt;11,'General Basis'!$B$39,IF(G372&lt;18,'General Basis'!$B$40,IF(G372&lt;26,'General Basis'!$B$41,IF(G372&lt;31,'General Basis'!$B$42,IF(G372&lt;36,'General Basis'!$B$43,IF(G372&lt;41,'General Basis'!$B$44,IF(G372&lt;46,'General Basis'!$B$45,IF(G372&lt;51,'General Basis'!$B$46,IF(G372&lt;56,'General Basis'!$B$47,IF(G372&lt;60,'General Basis'!$B$48,IF(G372&lt;65,'General Basis'!$B$49,'General Basis'!$B$50)))))))))))))</f>
        <v/>
      </c>
      <c r="BI372" s="744" t="str">
        <f t="shared" si="137"/>
        <v/>
      </c>
      <c r="BJ372" s="747" t="str">
        <f t="shared" si="144"/>
        <v/>
      </c>
      <c r="BK372" s="498" t="str">
        <f t="shared" si="138"/>
        <v/>
      </c>
      <c r="BL372" s="498" t="str">
        <f t="shared" si="139"/>
        <v/>
      </c>
    </row>
    <row r="373" spans="1:64" x14ac:dyDescent="0.25">
      <c r="A373" s="762">
        <f t="shared" si="140"/>
        <v>368</v>
      </c>
      <c r="B373" s="229"/>
      <c r="C373" s="223"/>
      <c r="D373" s="224"/>
      <c r="E373" s="225"/>
      <c r="F373" s="1036" t="str">
        <f t="shared" si="146"/>
        <v/>
      </c>
      <c r="G373" s="1037" t="str">
        <f t="shared" si="141"/>
        <v/>
      </c>
      <c r="H373" s="225"/>
      <c r="I373" s="1013"/>
      <c r="J373" s="1013"/>
      <c r="K373" s="1028"/>
      <c r="L373" s="1035" t="str">
        <f t="shared" si="145"/>
        <v/>
      </c>
      <c r="S373" s="498"/>
      <c r="AJ373" s="498"/>
      <c r="AM373" s="498">
        <f t="shared" si="126"/>
        <v>0</v>
      </c>
      <c r="AN373" s="498">
        <f t="shared" si="127"/>
        <v>0</v>
      </c>
      <c r="AO373" s="498">
        <f t="shared" si="128"/>
        <v>0</v>
      </c>
      <c r="AP373" s="498">
        <f t="shared" si="147"/>
        <v>0</v>
      </c>
      <c r="AQ373" s="498">
        <f t="shared" si="142"/>
        <v>0</v>
      </c>
      <c r="AU373" s="498">
        <f t="shared" si="129"/>
        <v>0</v>
      </c>
      <c r="AV373" s="498">
        <f t="shared" si="130"/>
        <v>0</v>
      </c>
      <c r="AW373" s="498">
        <f t="shared" si="131"/>
        <v>0</v>
      </c>
      <c r="AX373" s="498">
        <f t="shared" si="132"/>
        <v>0</v>
      </c>
      <c r="AY373" s="498">
        <f t="shared" si="133"/>
        <v>0</v>
      </c>
      <c r="BB373" s="498" t="str">
        <f t="shared" si="134"/>
        <v/>
      </c>
      <c r="BC373" s="743" t="str">
        <f t="shared" si="135"/>
        <v/>
      </c>
      <c r="BD373" s="743" t="str">
        <f t="shared" si="136"/>
        <v/>
      </c>
      <c r="BE373" s="743" t="str">
        <f>IF(D373="","",VLOOKUP(D373,'General Basis'!$J$39:$K$46,2,0))</f>
        <v/>
      </c>
      <c r="BF373" s="744" t="str">
        <f>IF(D373="","",VLOOKUP(D373,'General Basis'!$J$39:$L$46,3,0))</f>
        <v/>
      </c>
      <c r="BG373" s="744" t="str">
        <f t="shared" si="143"/>
        <v/>
      </c>
      <c r="BH373" s="744" t="str">
        <f>IF(G373="","",IF(BF373="Abu Dhabi",IF(G373&lt;18,'General Basis'!$C$39,IF(G373&lt;41,'General Basis'!$C$40,IF(G373&lt;60,'General Basis'!$C$41,IF(G373&lt;65,'General Basis'!$C$42,'General Basis'!$C$43)))),IF(G373&lt;11,'General Basis'!$B$39,IF(G373&lt;18,'General Basis'!$B$40,IF(G373&lt;26,'General Basis'!$B$41,IF(G373&lt;31,'General Basis'!$B$42,IF(G373&lt;36,'General Basis'!$B$43,IF(G373&lt;41,'General Basis'!$B$44,IF(G373&lt;46,'General Basis'!$B$45,IF(G373&lt;51,'General Basis'!$B$46,IF(G373&lt;56,'General Basis'!$B$47,IF(G373&lt;60,'General Basis'!$B$48,IF(G373&lt;65,'General Basis'!$B$49,'General Basis'!$B$50)))))))))))))</f>
        <v/>
      </c>
      <c r="BI373" s="744" t="str">
        <f t="shared" si="137"/>
        <v/>
      </c>
      <c r="BJ373" s="747" t="str">
        <f t="shared" si="144"/>
        <v/>
      </c>
      <c r="BK373" s="498" t="str">
        <f t="shared" si="138"/>
        <v/>
      </c>
      <c r="BL373" s="498" t="str">
        <f t="shared" si="139"/>
        <v/>
      </c>
    </row>
    <row r="374" spans="1:64" x14ac:dyDescent="0.25">
      <c r="A374" s="762">
        <f t="shared" si="140"/>
        <v>369</v>
      </c>
      <c r="B374" s="229"/>
      <c r="C374" s="223"/>
      <c r="D374" s="224"/>
      <c r="E374" s="225"/>
      <c r="F374" s="1036" t="str">
        <f t="shared" si="146"/>
        <v/>
      </c>
      <c r="G374" s="1037" t="str">
        <f t="shared" si="141"/>
        <v/>
      </c>
      <c r="H374" s="225"/>
      <c r="I374" s="1013"/>
      <c r="J374" s="1013"/>
      <c r="K374" s="1028"/>
      <c r="L374" s="1035" t="str">
        <f t="shared" si="145"/>
        <v/>
      </c>
      <c r="S374" s="498"/>
      <c r="AJ374" s="498"/>
      <c r="AM374" s="498">
        <f t="shared" si="126"/>
        <v>0</v>
      </c>
      <c r="AN374" s="498">
        <f t="shared" si="127"/>
        <v>0</v>
      </c>
      <c r="AO374" s="498">
        <f t="shared" si="128"/>
        <v>0</v>
      </c>
      <c r="AP374" s="498">
        <f t="shared" si="147"/>
        <v>0</v>
      </c>
      <c r="AQ374" s="498">
        <f t="shared" si="142"/>
        <v>0</v>
      </c>
      <c r="AU374" s="498">
        <f t="shared" si="129"/>
        <v>0</v>
      </c>
      <c r="AV374" s="498">
        <f t="shared" si="130"/>
        <v>0</v>
      </c>
      <c r="AW374" s="498">
        <f t="shared" si="131"/>
        <v>0</v>
      </c>
      <c r="AX374" s="498">
        <f t="shared" si="132"/>
        <v>0</v>
      </c>
      <c r="AY374" s="498">
        <f t="shared" si="133"/>
        <v>0</v>
      </c>
      <c r="BB374" s="498" t="str">
        <f t="shared" si="134"/>
        <v/>
      </c>
      <c r="BC374" s="743" t="str">
        <f t="shared" si="135"/>
        <v/>
      </c>
      <c r="BD374" s="743" t="str">
        <f t="shared" si="136"/>
        <v/>
      </c>
      <c r="BE374" s="743" t="str">
        <f>IF(D374="","",VLOOKUP(D374,'General Basis'!$J$39:$K$46,2,0))</f>
        <v/>
      </c>
      <c r="BF374" s="744" t="str">
        <f>IF(D374="","",VLOOKUP(D374,'General Basis'!$J$39:$L$46,3,0))</f>
        <v/>
      </c>
      <c r="BG374" s="744" t="str">
        <f t="shared" si="143"/>
        <v/>
      </c>
      <c r="BH374" s="744" t="str">
        <f>IF(G374="","",IF(BF374="Abu Dhabi",IF(G374&lt;18,'General Basis'!$C$39,IF(G374&lt;41,'General Basis'!$C$40,IF(G374&lt;60,'General Basis'!$C$41,IF(G374&lt;65,'General Basis'!$C$42,'General Basis'!$C$43)))),IF(G374&lt;11,'General Basis'!$B$39,IF(G374&lt;18,'General Basis'!$B$40,IF(G374&lt;26,'General Basis'!$B$41,IF(G374&lt;31,'General Basis'!$B$42,IF(G374&lt;36,'General Basis'!$B$43,IF(G374&lt;41,'General Basis'!$B$44,IF(G374&lt;46,'General Basis'!$B$45,IF(G374&lt;51,'General Basis'!$B$46,IF(G374&lt;56,'General Basis'!$B$47,IF(G374&lt;60,'General Basis'!$B$48,IF(G374&lt;65,'General Basis'!$B$49,'General Basis'!$B$50)))))))))))))</f>
        <v/>
      </c>
      <c r="BI374" s="744" t="str">
        <f t="shared" si="137"/>
        <v/>
      </c>
      <c r="BJ374" s="747" t="str">
        <f t="shared" si="144"/>
        <v/>
      </c>
      <c r="BK374" s="498" t="str">
        <f t="shared" si="138"/>
        <v/>
      </c>
      <c r="BL374" s="498" t="str">
        <f t="shared" si="139"/>
        <v/>
      </c>
    </row>
    <row r="375" spans="1:64" x14ac:dyDescent="0.25">
      <c r="A375" s="762">
        <f t="shared" si="140"/>
        <v>370</v>
      </c>
      <c r="B375" s="229"/>
      <c r="C375" s="223"/>
      <c r="D375" s="224"/>
      <c r="E375" s="225"/>
      <c r="F375" s="1036" t="str">
        <f t="shared" si="146"/>
        <v/>
      </c>
      <c r="G375" s="1037" t="str">
        <f t="shared" si="141"/>
        <v/>
      </c>
      <c r="H375" s="225"/>
      <c r="I375" s="1013"/>
      <c r="J375" s="1013"/>
      <c r="K375" s="1028"/>
      <c r="L375" s="1035" t="str">
        <f t="shared" si="145"/>
        <v/>
      </c>
      <c r="S375" s="498"/>
      <c r="AJ375" s="498"/>
      <c r="AM375" s="498">
        <f t="shared" si="126"/>
        <v>0</v>
      </c>
      <c r="AN375" s="498">
        <f t="shared" si="127"/>
        <v>0</v>
      </c>
      <c r="AO375" s="498">
        <f t="shared" si="128"/>
        <v>0</v>
      </c>
      <c r="AP375" s="498">
        <f t="shared" si="147"/>
        <v>0</v>
      </c>
      <c r="AQ375" s="498">
        <f t="shared" si="142"/>
        <v>0</v>
      </c>
      <c r="AU375" s="498">
        <f t="shared" si="129"/>
        <v>0</v>
      </c>
      <c r="AV375" s="498">
        <f t="shared" si="130"/>
        <v>0</v>
      </c>
      <c r="AW375" s="498">
        <f t="shared" si="131"/>
        <v>0</v>
      </c>
      <c r="AX375" s="498">
        <f t="shared" si="132"/>
        <v>0</v>
      </c>
      <c r="AY375" s="498">
        <f t="shared" si="133"/>
        <v>0</v>
      </c>
      <c r="BB375" s="498" t="str">
        <f t="shared" si="134"/>
        <v/>
      </c>
      <c r="BC375" s="743" t="str">
        <f t="shared" si="135"/>
        <v/>
      </c>
      <c r="BD375" s="743" t="str">
        <f t="shared" si="136"/>
        <v/>
      </c>
      <c r="BE375" s="743" t="str">
        <f>IF(D375="","",VLOOKUP(D375,'General Basis'!$J$39:$K$46,2,0))</f>
        <v/>
      </c>
      <c r="BF375" s="744" t="str">
        <f>IF(D375="","",VLOOKUP(D375,'General Basis'!$J$39:$L$46,3,0))</f>
        <v/>
      </c>
      <c r="BG375" s="744" t="str">
        <f t="shared" si="143"/>
        <v/>
      </c>
      <c r="BH375" s="744" t="str">
        <f>IF(G375="","",IF(BF375="Abu Dhabi",IF(G375&lt;18,'General Basis'!$C$39,IF(G375&lt;41,'General Basis'!$C$40,IF(G375&lt;60,'General Basis'!$C$41,IF(G375&lt;65,'General Basis'!$C$42,'General Basis'!$C$43)))),IF(G375&lt;11,'General Basis'!$B$39,IF(G375&lt;18,'General Basis'!$B$40,IF(G375&lt;26,'General Basis'!$B$41,IF(G375&lt;31,'General Basis'!$B$42,IF(G375&lt;36,'General Basis'!$B$43,IF(G375&lt;41,'General Basis'!$B$44,IF(G375&lt;46,'General Basis'!$B$45,IF(G375&lt;51,'General Basis'!$B$46,IF(G375&lt;56,'General Basis'!$B$47,IF(G375&lt;60,'General Basis'!$B$48,IF(G375&lt;65,'General Basis'!$B$49,'General Basis'!$B$50)))))))))))))</f>
        <v/>
      </c>
      <c r="BI375" s="744" t="str">
        <f t="shared" si="137"/>
        <v/>
      </c>
      <c r="BJ375" s="747" t="str">
        <f t="shared" si="144"/>
        <v/>
      </c>
      <c r="BK375" s="498" t="str">
        <f t="shared" si="138"/>
        <v/>
      </c>
      <c r="BL375" s="498" t="str">
        <f t="shared" si="139"/>
        <v/>
      </c>
    </row>
    <row r="376" spans="1:64" x14ac:dyDescent="0.25">
      <c r="A376" s="762">
        <f t="shared" si="140"/>
        <v>371</v>
      </c>
      <c r="B376" s="229"/>
      <c r="C376" s="223"/>
      <c r="D376" s="224"/>
      <c r="E376" s="225"/>
      <c r="F376" s="1036" t="str">
        <f t="shared" si="146"/>
        <v/>
      </c>
      <c r="G376" s="1037" t="str">
        <f t="shared" si="141"/>
        <v/>
      </c>
      <c r="H376" s="225"/>
      <c r="I376" s="1013"/>
      <c r="J376" s="1013"/>
      <c r="K376" s="1028"/>
      <c r="L376" s="1035" t="str">
        <f t="shared" si="145"/>
        <v/>
      </c>
      <c r="S376" s="498"/>
      <c r="AJ376" s="498"/>
      <c r="AM376" s="498">
        <f t="shared" si="126"/>
        <v>0</v>
      </c>
      <c r="AN376" s="498">
        <f t="shared" si="127"/>
        <v>0</v>
      </c>
      <c r="AO376" s="498">
        <f t="shared" si="128"/>
        <v>0</v>
      </c>
      <c r="AP376" s="498">
        <f t="shared" si="147"/>
        <v>0</v>
      </c>
      <c r="AQ376" s="498">
        <f t="shared" si="142"/>
        <v>0</v>
      </c>
      <c r="AU376" s="498">
        <f t="shared" si="129"/>
        <v>0</v>
      </c>
      <c r="AV376" s="498">
        <f t="shared" si="130"/>
        <v>0</v>
      </c>
      <c r="AW376" s="498">
        <f t="shared" si="131"/>
        <v>0</v>
      </c>
      <c r="AX376" s="498">
        <f t="shared" si="132"/>
        <v>0</v>
      </c>
      <c r="AY376" s="498">
        <f t="shared" si="133"/>
        <v>0</v>
      </c>
      <c r="BB376" s="498" t="str">
        <f t="shared" si="134"/>
        <v/>
      </c>
      <c r="BC376" s="743" t="str">
        <f t="shared" si="135"/>
        <v/>
      </c>
      <c r="BD376" s="743" t="str">
        <f t="shared" si="136"/>
        <v/>
      </c>
      <c r="BE376" s="743" t="str">
        <f>IF(D376="","",VLOOKUP(D376,'General Basis'!$J$39:$K$46,2,0))</f>
        <v/>
      </c>
      <c r="BF376" s="744" t="str">
        <f>IF(D376="","",VLOOKUP(D376,'General Basis'!$J$39:$L$46,3,0))</f>
        <v/>
      </c>
      <c r="BG376" s="744" t="str">
        <f t="shared" si="143"/>
        <v/>
      </c>
      <c r="BH376" s="744" t="str">
        <f>IF(G376="","",IF(BF376="Abu Dhabi",IF(G376&lt;18,'General Basis'!$C$39,IF(G376&lt;41,'General Basis'!$C$40,IF(G376&lt;60,'General Basis'!$C$41,IF(G376&lt;65,'General Basis'!$C$42,'General Basis'!$C$43)))),IF(G376&lt;11,'General Basis'!$B$39,IF(G376&lt;18,'General Basis'!$B$40,IF(G376&lt;26,'General Basis'!$B$41,IF(G376&lt;31,'General Basis'!$B$42,IF(G376&lt;36,'General Basis'!$B$43,IF(G376&lt;41,'General Basis'!$B$44,IF(G376&lt;46,'General Basis'!$B$45,IF(G376&lt;51,'General Basis'!$B$46,IF(G376&lt;56,'General Basis'!$B$47,IF(G376&lt;60,'General Basis'!$B$48,IF(G376&lt;65,'General Basis'!$B$49,'General Basis'!$B$50)))))))))))))</f>
        <v/>
      </c>
      <c r="BI376" s="744" t="str">
        <f t="shared" si="137"/>
        <v/>
      </c>
      <c r="BJ376" s="747" t="str">
        <f t="shared" si="144"/>
        <v/>
      </c>
      <c r="BK376" s="498" t="str">
        <f t="shared" si="138"/>
        <v/>
      </c>
      <c r="BL376" s="498" t="str">
        <f t="shared" si="139"/>
        <v/>
      </c>
    </row>
    <row r="377" spans="1:64" x14ac:dyDescent="0.25">
      <c r="A377" s="762">
        <f t="shared" si="140"/>
        <v>372</v>
      </c>
      <c r="B377" s="229"/>
      <c r="C377" s="223"/>
      <c r="D377" s="224"/>
      <c r="E377" s="225"/>
      <c r="F377" s="1036" t="str">
        <f t="shared" si="146"/>
        <v/>
      </c>
      <c r="G377" s="1037" t="str">
        <f t="shared" si="141"/>
        <v/>
      </c>
      <c r="H377" s="225"/>
      <c r="I377" s="1013"/>
      <c r="J377" s="1013"/>
      <c r="K377" s="1028"/>
      <c r="L377" s="1035" t="str">
        <f t="shared" si="145"/>
        <v/>
      </c>
      <c r="S377" s="498"/>
      <c r="AJ377" s="498"/>
      <c r="AM377" s="498">
        <f t="shared" si="126"/>
        <v>0</v>
      </c>
      <c r="AN377" s="498">
        <f t="shared" si="127"/>
        <v>0</v>
      </c>
      <c r="AO377" s="498">
        <f t="shared" si="128"/>
        <v>0</v>
      </c>
      <c r="AP377" s="498">
        <f t="shared" si="147"/>
        <v>0</v>
      </c>
      <c r="AQ377" s="498">
        <f t="shared" si="142"/>
        <v>0</v>
      </c>
      <c r="AU377" s="498">
        <f t="shared" si="129"/>
        <v>0</v>
      </c>
      <c r="AV377" s="498">
        <f t="shared" si="130"/>
        <v>0</v>
      </c>
      <c r="AW377" s="498">
        <f t="shared" si="131"/>
        <v>0</v>
      </c>
      <c r="AX377" s="498">
        <f t="shared" si="132"/>
        <v>0</v>
      </c>
      <c r="AY377" s="498">
        <f t="shared" si="133"/>
        <v>0</v>
      </c>
      <c r="BB377" s="498" t="str">
        <f t="shared" si="134"/>
        <v/>
      </c>
      <c r="BC377" s="743" t="str">
        <f t="shared" si="135"/>
        <v/>
      </c>
      <c r="BD377" s="743" t="str">
        <f t="shared" si="136"/>
        <v/>
      </c>
      <c r="BE377" s="743" t="str">
        <f>IF(D377="","",VLOOKUP(D377,'General Basis'!$J$39:$K$46,2,0))</f>
        <v/>
      </c>
      <c r="BF377" s="744" t="str">
        <f>IF(D377="","",VLOOKUP(D377,'General Basis'!$J$39:$L$46,3,0))</f>
        <v/>
      </c>
      <c r="BG377" s="744" t="str">
        <f t="shared" si="143"/>
        <v/>
      </c>
      <c r="BH377" s="744" t="str">
        <f>IF(G377="","",IF(BF377="Abu Dhabi",IF(G377&lt;18,'General Basis'!$C$39,IF(G377&lt;41,'General Basis'!$C$40,IF(G377&lt;60,'General Basis'!$C$41,IF(G377&lt;65,'General Basis'!$C$42,'General Basis'!$C$43)))),IF(G377&lt;11,'General Basis'!$B$39,IF(G377&lt;18,'General Basis'!$B$40,IF(G377&lt;26,'General Basis'!$B$41,IF(G377&lt;31,'General Basis'!$B$42,IF(G377&lt;36,'General Basis'!$B$43,IF(G377&lt;41,'General Basis'!$B$44,IF(G377&lt;46,'General Basis'!$B$45,IF(G377&lt;51,'General Basis'!$B$46,IF(G377&lt;56,'General Basis'!$B$47,IF(G377&lt;60,'General Basis'!$B$48,IF(G377&lt;65,'General Basis'!$B$49,'General Basis'!$B$50)))))))))))))</f>
        <v/>
      </c>
      <c r="BI377" s="744" t="str">
        <f t="shared" si="137"/>
        <v/>
      </c>
      <c r="BJ377" s="747" t="str">
        <f t="shared" si="144"/>
        <v/>
      </c>
      <c r="BK377" s="498" t="str">
        <f t="shared" si="138"/>
        <v/>
      </c>
      <c r="BL377" s="498" t="str">
        <f t="shared" si="139"/>
        <v/>
      </c>
    </row>
    <row r="378" spans="1:64" x14ac:dyDescent="0.25">
      <c r="A378" s="762">
        <f t="shared" si="140"/>
        <v>373</v>
      </c>
      <c r="B378" s="229"/>
      <c r="C378" s="223"/>
      <c r="D378" s="224"/>
      <c r="E378" s="225"/>
      <c r="F378" s="1036" t="str">
        <f t="shared" si="146"/>
        <v/>
      </c>
      <c r="G378" s="1037" t="str">
        <f t="shared" si="141"/>
        <v/>
      </c>
      <c r="H378" s="225"/>
      <c r="I378" s="1013"/>
      <c r="J378" s="1013"/>
      <c r="K378" s="1028"/>
      <c r="L378" s="1035" t="str">
        <f t="shared" si="145"/>
        <v/>
      </c>
      <c r="S378" s="498"/>
      <c r="AJ378" s="498"/>
      <c r="AM378" s="498">
        <f t="shared" si="126"/>
        <v>0</v>
      </c>
      <c r="AN378" s="498">
        <f t="shared" si="127"/>
        <v>0</v>
      </c>
      <c r="AO378" s="498">
        <f t="shared" si="128"/>
        <v>0</v>
      </c>
      <c r="AP378" s="498">
        <f t="shared" si="147"/>
        <v>0</v>
      </c>
      <c r="AQ378" s="498">
        <f t="shared" si="142"/>
        <v>0</v>
      </c>
      <c r="AU378" s="498">
        <f t="shared" si="129"/>
        <v>0</v>
      </c>
      <c r="AV378" s="498">
        <f t="shared" si="130"/>
        <v>0</v>
      </c>
      <c r="AW378" s="498">
        <f t="shared" si="131"/>
        <v>0</v>
      </c>
      <c r="AX378" s="498">
        <f t="shared" si="132"/>
        <v>0</v>
      </c>
      <c r="AY378" s="498">
        <f t="shared" si="133"/>
        <v>0</v>
      </c>
      <c r="BB378" s="498" t="str">
        <f t="shared" si="134"/>
        <v/>
      </c>
      <c r="BC378" s="743" t="str">
        <f t="shared" si="135"/>
        <v/>
      </c>
      <c r="BD378" s="743" t="str">
        <f t="shared" si="136"/>
        <v/>
      </c>
      <c r="BE378" s="743" t="str">
        <f>IF(D378="","",VLOOKUP(D378,'General Basis'!$J$39:$K$46,2,0))</f>
        <v/>
      </c>
      <c r="BF378" s="744" t="str">
        <f>IF(D378="","",VLOOKUP(D378,'General Basis'!$J$39:$L$46,3,0))</f>
        <v/>
      </c>
      <c r="BG378" s="744" t="str">
        <f t="shared" si="143"/>
        <v/>
      </c>
      <c r="BH378" s="744" t="str">
        <f>IF(G378="","",IF(BF378="Abu Dhabi",IF(G378&lt;18,'General Basis'!$C$39,IF(G378&lt;41,'General Basis'!$C$40,IF(G378&lt;60,'General Basis'!$C$41,IF(G378&lt;65,'General Basis'!$C$42,'General Basis'!$C$43)))),IF(G378&lt;11,'General Basis'!$B$39,IF(G378&lt;18,'General Basis'!$B$40,IF(G378&lt;26,'General Basis'!$B$41,IF(G378&lt;31,'General Basis'!$B$42,IF(G378&lt;36,'General Basis'!$B$43,IF(G378&lt;41,'General Basis'!$B$44,IF(G378&lt;46,'General Basis'!$B$45,IF(G378&lt;51,'General Basis'!$B$46,IF(G378&lt;56,'General Basis'!$B$47,IF(G378&lt;60,'General Basis'!$B$48,IF(G378&lt;65,'General Basis'!$B$49,'General Basis'!$B$50)))))))))))))</f>
        <v/>
      </c>
      <c r="BI378" s="744" t="str">
        <f t="shared" si="137"/>
        <v/>
      </c>
      <c r="BJ378" s="747" t="str">
        <f t="shared" si="144"/>
        <v/>
      </c>
      <c r="BK378" s="498" t="str">
        <f t="shared" si="138"/>
        <v/>
      </c>
      <c r="BL378" s="498" t="str">
        <f t="shared" si="139"/>
        <v/>
      </c>
    </row>
    <row r="379" spans="1:64" x14ac:dyDescent="0.25">
      <c r="A379" s="762">
        <f t="shared" si="140"/>
        <v>374</v>
      </c>
      <c r="B379" s="229"/>
      <c r="C379" s="223"/>
      <c r="D379" s="224"/>
      <c r="E379" s="225"/>
      <c r="F379" s="1036" t="str">
        <f t="shared" si="146"/>
        <v/>
      </c>
      <c r="G379" s="1037" t="str">
        <f t="shared" si="141"/>
        <v/>
      </c>
      <c r="H379" s="225"/>
      <c r="I379" s="1013"/>
      <c r="J379" s="1013"/>
      <c r="K379" s="1028"/>
      <c r="L379" s="1035" t="str">
        <f t="shared" si="145"/>
        <v/>
      </c>
      <c r="S379" s="498"/>
      <c r="AJ379" s="498"/>
      <c r="AM379" s="498">
        <f t="shared" si="126"/>
        <v>0</v>
      </c>
      <c r="AN379" s="498">
        <f t="shared" si="127"/>
        <v>0</v>
      </c>
      <c r="AO379" s="498">
        <f t="shared" si="128"/>
        <v>0</v>
      </c>
      <c r="AP379" s="498">
        <f t="shared" si="147"/>
        <v>0</v>
      </c>
      <c r="AQ379" s="498">
        <f t="shared" si="142"/>
        <v>0</v>
      </c>
      <c r="AU379" s="498">
        <f t="shared" si="129"/>
        <v>0</v>
      </c>
      <c r="AV379" s="498">
        <f t="shared" si="130"/>
        <v>0</v>
      </c>
      <c r="AW379" s="498">
        <f t="shared" si="131"/>
        <v>0</v>
      </c>
      <c r="AX379" s="498">
        <f t="shared" si="132"/>
        <v>0</v>
      </c>
      <c r="AY379" s="498">
        <f t="shared" si="133"/>
        <v>0</v>
      </c>
      <c r="BB379" s="498" t="str">
        <f t="shared" si="134"/>
        <v/>
      </c>
      <c r="BC379" s="743" t="str">
        <f t="shared" si="135"/>
        <v/>
      </c>
      <c r="BD379" s="743" t="str">
        <f t="shared" si="136"/>
        <v/>
      </c>
      <c r="BE379" s="743" t="str">
        <f>IF(D379="","",VLOOKUP(D379,'General Basis'!$J$39:$K$46,2,0))</f>
        <v/>
      </c>
      <c r="BF379" s="744" t="str">
        <f>IF(D379="","",VLOOKUP(D379,'General Basis'!$J$39:$L$46,3,0))</f>
        <v/>
      </c>
      <c r="BG379" s="744" t="str">
        <f t="shared" si="143"/>
        <v/>
      </c>
      <c r="BH379" s="744" t="str">
        <f>IF(G379="","",IF(BF379="Abu Dhabi",IF(G379&lt;18,'General Basis'!$C$39,IF(G379&lt;41,'General Basis'!$C$40,IF(G379&lt;60,'General Basis'!$C$41,IF(G379&lt;65,'General Basis'!$C$42,'General Basis'!$C$43)))),IF(G379&lt;11,'General Basis'!$B$39,IF(G379&lt;18,'General Basis'!$B$40,IF(G379&lt;26,'General Basis'!$B$41,IF(G379&lt;31,'General Basis'!$B$42,IF(G379&lt;36,'General Basis'!$B$43,IF(G379&lt;41,'General Basis'!$B$44,IF(G379&lt;46,'General Basis'!$B$45,IF(G379&lt;51,'General Basis'!$B$46,IF(G379&lt;56,'General Basis'!$B$47,IF(G379&lt;60,'General Basis'!$B$48,IF(G379&lt;65,'General Basis'!$B$49,'General Basis'!$B$50)))))))))))))</f>
        <v/>
      </c>
      <c r="BI379" s="744" t="str">
        <f t="shared" si="137"/>
        <v/>
      </c>
      <c r="BJ379" s="747" t="str">
        <f t="shared" si="144"/>
        <v/>
      </c>
      <c r="BK379" s="498" t="str">
        <f t="shared" si="138"/>
        <v/>
      </c>
      <c r="BL379" s="498" t="str">
        <f t="shared" si="139"/>
        <v/>
      </c>
    </row>
    <row r="380" spans="1:64" x14ac:dyDescent="0.25">
      <c r="A380" s="762">
        <f t="shared" si="140"/>
        <v>375</v>
      </c>
      <c r="B380" s="229"/>
      <c r="C380" s="223"/>
      <c r="D380" s="224"/>
      <c r="E380" s="225"/>
      <c r="F380" s="1036" t="str">
        <f t="shared" si="146"/>
        <v/>
      </c>
      <c r="G380" s="1037" t="str">
        <f t="shared" si="141"/>
        <v/>
      </c>
      <c r="H380" s="225"/>
      <c r="I380" s="1013"/>
      <c r="J380" s="1013"/>
      <c r="K380" s="1028"/>
      <c r="L380" s="1035" t="str">
        <f t="shared" si="145"/>
        <v/>
      </c>
      <c r="S380" s="498"/>
      <c r="AJ380" s="498"/>
      <c r="AM380" s="498">
        <f t="shared" si="126"/>
        <v>0</v>
      </c>
      <c r="AN380" s="498">
        <f t="shared" si="127"/>
        <v>0</v>
      </c>
      <c r="AO380" s="498">
        <f t="shared" si="128"/>
        <v>0</v>
      </c>
      <c r="AP380" s="498">
        <f t="shared" si="147"/>
        <v>0</v>
      </c>
      <c r="AQ380" s="498">
        <f t="shared" si="142"/>
        <v>0</v>
      </c>
      <c r="AU380" s="498">
        <f t="shared" si="129"/>
        <v>0</v>
      </c>
      <c r="AV380" s="498">
        <f t="shared" si="130"/>
        <v>0</v>
      </c>
      <c r="AW380" s="498">
        <f t="shared" si="131"/>
        <v>0</v>
      </c>
      <c r="AX380" s="498">
        <f t="shared" si="132"/>
        <v>0</v>
      </c>
      <c r="AY380" s="498">
        <f t="shared" si="133"/>
        <v>0</v>
      </c>
      <c r="BB380" s="498" t="str">
        <f t="shared" si="134"/>
        <v/>
      </c>
      <c r="BC380" s="743" t="str">
        <f t="shared" si="135"/>
        <v/>
      </c>
      <c r="BD380" s="743" t="str">
        <f t="shared" si="136"/>
        <v/>
      </c>
      <c r="BE380" s="743" t="str">
        <f>IF(D380="","",VLOOKUP(D380,'General Basis'!$J$39:$K$46,2,0))</f>
        <v/>
      </c>
      <c r="BF380" s="744" t="str">
        <f>IF(D380="","",VLOOKUP(D380,'General Basis'!$J$39:$L$46,3,0))</f>
        <v/>
      </c>
      <c r="BG380" s="744" t="str">
        <f t="shared" si="143"/>
        <v/>
      </c>
      <c r="BH380" s="744" t="str">
        <f>IF(G380="","",IF(BF380="Abu Dhabi",IF(G380&lt;18,'General Basis'!$C$39,IF(G380&lt;41,'General Basis'!$C$40,IF(G380&lt;60,'General Basis'!$C$41,IF(G380&lt;65,'General Basis'!$C$42,'General Basis'!$C$43)))),IF(G380&lt;11,'General Basis'!$B$39,IF(G380&lt;18,'General Basis'!$B$40,IF(G380&lt;26,'General Basis'!$B$41,IF(G380&lt;31,'General Basis'!$B$42,IF(G380&lt;36,'General Basis'!$B$43,IF(G380&lt;41,'General Basis'!$B$44,IF(G380&lt;46,'General Basis'!$B$45,IF(G380&lt;51,'General Basis'!$B$46,IF(G380&lt;56,'General Basis'!$B$47,IF(G380&lt;60,'General Basis'!$B$48,IF(G380&lt;65,'General Basis'!$B$49,'General Basis'!$B$50)))))))))))))</f>
        <v/>
      </c>
      <c r="BI380" s="744" t="str">
        <f t="shared" si="137"/>
        <v/>
      </c>
      <c r="BJ380" s="747" t="str">
        <f t="shared" si="144"/>
        <v/>
      </c>
      <c r="BK380" s="498" t="str">
        <f t="shared" si="138"/>
        <v/>
      </c>
      <c r="BL380" s="498" t="str">
        <f t="shared" si="139"/>
        <v/>
      </c>
    </row>
    <row r="381" spans="1:64" x14ac:dyDescent="0.25">
      <c r="A381" s="762">
        <f t="shared" si="140"/>
        <v>376</v>
      </c>
      <c r="B381" s="229"/>
      <c r="C381" s="223"/>
      <c r="D381" s="224"/>
      <c r="E381" s="225"/>
      <c r="F381" s="1036" t="str">
        <f t="shared" si="146"/>
        <v/>
      </c>
      <c r="G381" s="1037" t="str">
        <f t="shared" si="141"/>
        <v/>
      </c>
      <c r="H381" s="225"/>
      <c r="I381" s="1013"/>
      <c r="J381" s="1013"/>
      <c r="K381" s="1028"/>
      <c r="L381" s="1035" t="str">
        <f t="shared" si="145"/>
        <v/>
      </c>
      <c r="S381" s="498"/>
      <c r="AJ381" s="498"/>
      <c r="AM381" s="498">
        <f t="shared" si="126"/>
        <v>0</v>
      </c>
      <c r="AN381" s="498">
        <f t="shared" si="127"/>
        <v>0</v>
      </c>
      <c r="AO381" s="498">
        <f t="shared" si="128"/>
        <v>0</v>
      </c>
      <c r="AP381" s="498">
        <f t="shared" si="147"/>
        <v>0</v>
      </c>
      <c r="AQ381" s="498">
        <f t="shared" si="142"/>
        <v>0</v>
      </c>
      <c r="AU381" s="498">
        <f t="shared" si="129"/>
        <v>0</v>
      </c>
      <c r="AV381" s="498">
        <f t="shared" si="130"/>
        <v>0</v>
      </c>
      <c r="AW381" s="498">
        <f t="shared" si="131"/>
        <v>0</v>
      </c>
      <c r="AX381" s="498">
        <f t="shared" si="132"/>
        <v>0</v>
      </c>
      <c r="AY381" s="498">
        <f t="shared" si="133"/>
        <v>0</v>
      </c>
      <c r="BB381" s="498" t="str">
        <f t="shared" si="134"/>
        <v/>
      </c>
      <c r="BC381" s="743" t="str">
        <f t="shared" si="135"/>
        <v/>
      </c>
      <c r="BD381" s="743" t="str">
        <f t="shared" si="136"/>
        <v/>
      </c>
      <c r="BE381" s="743" t="str">
        <f>IF(D381="","",VLOOKUP(D381,'General Basis'!$J$39:$K$46,2,0))</f>
        <v/>
      </c>
      <c r="BF381" s="744" t="str">
        <f>IF(D381="","",VLOOKUP(D381,'General Basis'!$J$39:$L$46,3,0))</f>
        <v/>
      </c>
      <c r="BG381" s="744" t="str">
        <f t="shared" si="143"/>
        <v/>
      </c>
      <c r="BH381" s="744" t="str">
        <f>IF(G381="","",IF(BF381="Abu Dhabi",IF(G381&lt;18,'General Basis'!$C$39,IF(G381&lt;41,'General Basis'!$C$40,IF(G381&lt;60,'General Basis'!$C$41,IF(G381&lt;65,'General Basis'!$C$42,'General Basis'!$C$43)))),IF(G381&lt;11,'General Basis'!$B$39,IF(G381&lt;18,'General Basis'!$B$40,IF(G381&lt;26,'General Basis'!$B$41,IF(G381&lt;31,'General Basis'!$B$42,IF(G381&lt;36,'General Basis'!$B$43,IF(G381&lt;41,'General Basis'!$B$44,IF(G381&lt;46,'General Basis'!$B$45,IF(G381&lt;51,'General Basis'!$B$46,IF(G381&lt;56,'General Basis'!$B$47,IF(G381&lt;60,'General Basis'!$B$48,IF(G381&lt;65,'General Basis'!$B$49,'General Basis'!$B$50)))))))))))))</f>
        <v/>
      </c>
      <c r="BI381" s="744" t="str">
        <f t="shared" si="137"/>
        <v/>
      </c>
      <c r="BJ381" s="747" t="str">
        <f t="shared" si="144"/>
        <v/>
      </c>
      <c r="BK381" s="498" t="str">
        <f t="shared" si="138"/>
        <v/>
      </c>
      <c r="BL381" s="498" t="str">
        <f t="shared" si="139"/>
        <v/>
      </c>
    </row>
    <row r="382" spans="1:64" x14ac:dyDescent="0.25">
      <c r="A382" s="762">
        <f t="shared" si="140"/>
        <v>377</v>
      </c>
      <c r="B382" s="229"/>
      <c r="C382" s="223"/>
      <c r="D382" s="224"/>
      <c r="E382" s="225"/>
      <c r="F382" s="1036" t="str">
        <f t="shared" si="146"/>
        <v/>
      </c>
      <c r="G382" s="1037" t="str">
        <f t="shared" si="141"/>
        <v/>
      </c>
      <c r="H382" s="225"/>
      <c r="I382" s="1013"/>
      <c r="J382" s="1013"/>
      <c r="K382" s="1028"/>
      <c r="L382" s="1035" t="str">
        <f t="shared" si="145"/>
        <v/>
      </c>
      <c r="S382" s="498"/>
      <c r="AJ382" s="498"/>
      <c r="AM382" s="498">
        <f t="shared" si="126"/>
        <v>0</v>
      </c>
      <c r="AN382" s="498">
        <f t="shared" si="127"/>
        <v>0</v>
      </c>
      <c r="AO382" s="498">
        <f t="shared" si="128"/>
        <v>0</v>
      </c>
      <c r="AP382" s="498">
        <f t="shared" si="147"/>
        <v>0</v>
      </c>
      <c r="AQ382" s="498">
        <f t="shared" si="142"/>
        <v>0</v>
      </c>
      <c r="AU382" s="498">
        <f t="shared" si="129"/>
        <v>0</v>
      </c>
      <c r="AV382" s="498">
        <f t="shared" si="130"/>
        <v>0</v>
      </c>
      <c r="AW382" s="498">
        <f t="shared" si="131"/>
        <v>0</v>
      </c>
      <c r="AX382" s="498">
        <f t="shared" si="132"/>
        <v>0</v>
      </c>
      <c r="AY382" s="498">
        <f t="shared" si="133"/>
        <v>0</v>
      </c>
      <c r="BB382" s="498" t="str">
        <f t="shared" si="134"/>
        <v/>
      </c>
      <c r="BC382" s="743" t="str">
        <f t="shared" si="135"/>
        <v/>
      </c>
      <c r="BD382" s="743" t="str">
        <f t="shared" si="136"/>
        <v/>
      </c>
      <c r="BE382" s="743" t="str">
        <f>IF(D382="","",VLOOKUP(D382,'General Basis'!$J$39:$K$46,2,0))</f>
        <v/>
      </c>
      <c r="BF382" s="744" t="str">
        <f>IF(D382="","",VLOOKUP(D382,'General Basis'!$J$39:$L$46,3,0))</f>
        <v/>
      </c>
      <c r="BG382" s="744" t="str">
        <f t="shared" si="143"/>
        <v/>
      </c>
      <c r="BH382" s="744" t="str">
        <f>IF(G382="","",IF(BF382="Abu Dhabi",IF(G382&lt;18,'General Basis'!$C$39,IF(G382&lt;41,'General Basis'!$C$40,IF(G382&lt;60,'General Basis'!$C$41,IF(G382&lt;65,'General Basis'!$C$42,'General Basis'!$C$43)))),IF(G382&lt;11,'General Basis'!$B$39,IF(G382&lt;18,'General Basis'!$B$40,IF(G382&lt;26,'General Basis'!$B$41,IF(G382&lt;31,'General Basis'!$B$42,IF(G382&lt;36,'General Basis'!$B$43,IF(G382&lt;41,'General Basis'!$B$44,IF(G382&lt;46,'General Basis'!$B$45,IF(G382&lt;51,'General Basis'!$B$46,IF(G382&lt;56,'General Basis'!$B$47,IF(G382&lt;60,'General Basis'!$B$48,IF(G382&lt;65,'General Basis'!$B$49,'General Basis'!$B$50)))))))))))))</f>
        <v/>
      </c>
      <c r="BI382" s="744" t="str">
        <f t="shared" si="137"/>
        <v/>
      </c>
      <c r="BJ382" s="747" t="str">
        <f t="shared" si="144"/>
        <v/>
      </c>
      <c r="BK382" s="498" t="str">
        <f t="shared" si="138"/>
        <v/>
      </c>
      <c r="BL382" s="498" t="str">
        <f t="shared" si="139"/>
        <v/>
      </c>
    </row>
    <row r="383" spans="1:64" x14ac:dyDescent="0.25">
      <c r="A383" s="762">
        <f t="shared" si="140"/>
        <v>378</v>
      </c>
      <c r="B383" s="229"/>
      <c r="C383" s="223"/>
      <c r="D383" s="224"/>
      <c r="E383" s="225"/>
      <c r="F383" s="1036" t="str">
        <f t="shared" si="146"/>
        <v/>
      </c>
      <c r="G383" s="1037" t="str">
        <f t="shared" si="141"/>
        <v/>
      </c>
      <c r="H383" s="225"/>
      <c r="I383" s="1013"/>
      <c r="J383" s="1013"/>
      <c r="K383" s="1028"/>
      <c r="L383" s="1035" t="str">
        <f t="shared" si="145"/>
        <v/>
      </c>
      <c r="S383" s="498"/>
      <c r="AJ383" s="498"/>
      <c r="AM383" s="498">
        <f t="shared" si="126"/>
        <v>0</v>
      </c>
      <c r="AN383" s="498">
        <f t="shared" si="127"/>
        <v>0</v>
      </c>
      <c r="AO383" s="498">
        <f t="shared" si="128"/>
        <v>0</v>
      </c>
      <c r="AP383" s="498">
        <f t="shared" si="147"/>
        <v>0</v>
      </c>
      <c r="AQ383" s="498">
        <f t="shared" si="142"/>
        <v>0</v>
      </c>
      <c r="AU383" s="498">
        <f t="shared" si="129"/>
        <v>0</v>
      </c>
      <c r="AV383" s="498">
        <f t="shared" si="130"/>
        <v>0</v>
      </c>
      <c r="AW383" s="498">
        <f t="shared" si="131"/>
        <v>0</v>
      </c>
      <c r="AX383" s="498">
        <f t="shared" si="132"/>
        <v>0</v>
      </c>
      <c r="AY383" s="498">
        <f t="shared" si="133"/>
        <v>0</v>
      </c>
      <c r="BB383" s="498" t="str">
        <f t="shared" si="134"/>
        <v/>
      </c>
      <c r="BC383" s="743" t="str">
        <f t="shared" si="135"/>
        <v/>
      </c>
      <c r="BD383" s="743" t="str">
        <f t="shared" si="136"/>
        <v/>
      </c>
      <c r="BE383" s="743" t="str">
        <f>IF(D383="","",VLOOKUP(D383,'General Basis'!$J$39:$K$46,2,0))</f>
        <v/>
      </c>
      <c r="BF383" s="744" t="str">
        <f>IF(D383="","",VLOOKUP(D383,'General Basis'!$J$39:$L$46,3,0))</f>
        <v/>
      </c>
      <c r="BG383" s="744" t="str">
        <f t="shared" si="143"/>
        <v/>
      </c>
      <c r="BH383" s="744" t="str">
        <f>IF(G383="","",IF(BF383="Abu Dhabi",IF(G383&lt;18,'General Basis'!$C$39,IF(G383&lt;41,'General Basis'!$C$40,IF(G383&lt;60,'General Basis'!$C$41,IF(G383&lt;65,'General Basis'!$C$42,'General Basis'!$C$43)))),IF(G383&lt;11,'General Basis'!$B$39,IF(G383&lt;18,'General Basis'!$B$40,IF(G383&lt;26,'General Basis'!$B$41,IF(G383&lt;31,'General Basis'!$B$42,IF(G383&lt;36,'General Basis'!$B$43,IF(G383&lt;41,'General Basis'!$B$44,IF(G383&lt;46,'General Basis'!$B$45,IF(G383&lt;51,'General Basis'!$B$46,IF(G383&lt;56,'General Basis'!$B$47,IF(G383&lt;60,'General Basis'!$B$48,IF(G383&lt;65,'General Basis'!$B$49,'General Basis'!$B$50)))))))))))))</f>
        <v/>
      </c>
      <c r="BI383" s="744" t="str">
        <f t="shared" si="137"/>
        <v/>
      </c>
      <c r="BJ383" s="747" t="str">
        <f t="shared" si="144"/>
        <v/>
      </c>
      <c r="BK383" s="498" t="str">
        <f t="shared" si="138"/>
        <v/>
      </c>
      <c r="BL383" s="498" t="str">
        <f t="shared" si="139"/>
        <v/>
      </c>
    </row>
    <row r="384" spans="1:64" x14ac:dyDescent="0.25">
      <c r="A384" s="762">
        <f t="shared" si="140"/>
        <v>379</v>
      </c>
      <c r="B384" s="229"/>
      <c r="C384" s="223"/>
      <c r="D384" s="224"/>
      <c r="E384" s="225"/>
      <c r="F384" s="1036" t="str">
        <f t="shared" si="146"/>
        <v/>
      </c>
      <c r="G384" s="1037" t="str">
        <f t="shared" si="141"/>
        <v/>
      </c>
      <c r="H384" s="225"/>
      <c r="I384" s="1013"/>
      <c r="J384" s="1013"/>
      <c r="K384" s="1028"/>
      <c r="L384" s="1035" t="str">
        <f t="shared" si="145"/>
        <v/>
      </c>
      <c r="S384" s="498"/>
      <c r="AJ384" s="498"/>
      <c r="AM384" s="498">
        <f t="shared" si="126"/>
        <v>0</v>
      </c>
      <c r="AN384" s="498">
        <f t="shared" si="127"/>
        <v>0</v>
      </c>
      <c r="AO384" s="498">
        <f t="shared" si="128"/>
        <v>0</v>
      </c>
      <c r="AP384" s="498">
        <f t="shared" si="147"/>
        <v>0</v>
      </c>
      <c r="AQ384" s="498">
        <f t="shared" si="142"/>
        <v>0</v>
      </c>
      <c r="AU384" s="498">
        <f t="shared" si="129"/>
        <v>0</v>
      </c>
      <c r="AV384" s="498">
        <f t="shared" si="130"/>
        <v>0</v>
      </c>
      <c r="AW384" s="498">
        <f t="shared" si="131"/>
        <v>0</v>
      </c>
      <c r="AX384" s="498">
        <f t="shared" si="132"/>
        <v>0</v>
      </c>
      <c r="AY384" s="498">
        <f t="shared" si="133"/>
        <v>0</v>
      </c>
      <c r="BB384" s="498" t="str">
        <f t="shared" si="134"/>
        <v/>
      </c>
      <c r="BC384" s="743" t="str">
        <f t="shared" si="135"/>
        <v/>
      </c>
      <c r="BD384" s="743" t="str">
        <f t="shared" si="136"/>
        <v/>
      </c>
      <c r="BE384" s="743" t="str">
        <f>IF(D384="","",VLOOKUP(D384,'General Basis'!$J$39:$K$46,2,0))</f>
        <v/>
      </c>
      <c r="BF384" s="744" t="str">
        <f>IF(D384="","",VLOOKUP(D384,'General Basis'!$J$39:$L$46,3,0))</f>
        <v/>
      </c>
      <c r="BG384" s="744" t="str">
        <f t="shared" si="143"/>
        <v/>
      </c>
      <c r="BH384" s="744" t="str">
        <f>IF(G384="","",IF(BF384="Abu Dhabi",IF(G384&lt;18,'General Basis'!$C$39,IF(G384&lt;41,'General Basis'!$C$40,IF(G384&lt;60,'General Basis'!$C$41,IF(G384&lt;65,'General Basis'!$C$42,'General Basis'!$C$43)))),IF(G384&lt;11,'General Basis'!$B$39,IF(G384&lt;18,'General Basis'!$B$40,IF(G384&lt;26,'General Basis'!$B$41,IF(G384&lt;31,'General Basis'!$B$42,IF(G384&lt;36,'General Basis'!$B$43,IF(G384&lt;41,'General Basis'!$B$44,IF(G384&lt;46,'General Basis'!$B$45,IF(G384&lt;51,'General Basis'!$B$46,IF(G384&lt;56,'General Basis'!$B$47,IF(G384&lt;60,'General Basis'!$B$48,IF(G384&lt;65,'General Basis'!$B$49,'General Basis'!$B$50)))))))))))))</f>
        <v/>
      </c>
      <c r="BI384" s="744" t="str">
        <f t="shared" si="137"/>
        <v/>
      </c>
      <c r="BJ384" s="747" t="str">
        <f t="shared" si="144"/>
        <v/>
      </c>
      <c r="BK384" s="498" t="str">
        <f t="shared" si="138"/>
        <v/>
      </c>
      <c r="BL384" s="498" t="str">
        <f t="shared" si="139"/>
        <v/>
      </c>
    </row>
    <row r="385" spans="1:64" x14ac:dyDescent="0.25">
      <c r="A385" s="762">
        <f t="shared" si="140"/>
        <v>380</v>
      </c>
      <c r="B385" s="229"/>
      <c r="C385" s="223"/>
      <c r="D385" s="224"/>
      <c r="E385" s="225"/>
      <c r="F385" s="1036" t="str">
        <f t="shared" si="146"/>
        <v/>
      </c>
      <c r="G385" s="1037" t="str">
        <f t="shared" si="141"/>
        <v/>
      </c>
      <c r="H385" s="225"/>
      <c r="I385" s="1013"/>
      <c r="J385" s="1013"/>
      <c r="K385" s="1028"/>
      <c r="L385" s="1035" t="str">
        <f t="shared" si="145"/>
        <v/>
      </c>
      <c r="S385" s="498"/>
      <c r="AJ385" s="498"/>
      <c r="AM385" s="498">
        <f t="shared" si="126"/>
        <v>0</v>
      </c>
      <c r="AN385" s="498">
        <f t="shared" si="127"/>
        <v>0</v>
      </c>
      <c r="AO385" s="498">
        <f t="shared" si="128"/>
        <v>0</v>
      </c>
      <c r="AP385" s="498">
        <f t="shared" si="147"/>
        <v>0</v>
      </c>
      <c r="AQ385" s="498">
        <f t="shared" si="142"/>
        <v>0</v>
      </c>
      <c r="AU385" s="498">
        <f t="shared" si="129"/>
        <v>0</v>
      </c>
      <c r="AV385" s="498">
        <f t="shared" si="130"/>
        <v>0</v>
      </c>
      <c r="AW385" s="498">
        <f t="shared" si="131"/>
        <v>0</v>
      </c>
      <c r="AX385" s="498">
        <f t="shared" si="132"/>
        <v>0</v>
      </c>
      <c r="AY385" s="498">
        <f t="shared" si="133"/>
        <v>0</v>
      </c>
      <c r="BB385" s="498" t="str">
        <f t="shared" si="134"/>
        <v/>
      </c>
      <c r="BC385" s="743" t="str">
        <f t="shared" si="135"/>
        <v/>
      </c>
      <c r="BD385" s="743" t="str">
        <f t="shared" si="136"/>
        <v/>
      </c>
      <c r="BE385" s="743" t="str">
        <f>IF(D385="","",VLOOKUP(D385,'General Basis'!$J$39:$K$46,2,0))</f>
        <v/>
      </c>
      <c r="BF385" s="744" t="str">
        <f>IF(D385="","",VLOOKUP(D385,'General Basis'!$J$39:$L$46,3,0))</f>
        <v/>
      </c>
      <c r="BG385" s="744" t="str">
        <f t="shared" si="143"/>
        <v/>
      </c>
      <c r="BH385" s="744" t="str">
        <f>IF(G385="","",IF(BF385="Abu Dhabi",IF(G385&lt;18,'General Basis'!$C$39,IF(G385&lt;41,'General Basis'!$C$40,IF(G385&lt;60,'General Basis'!$C$41,IF(G385&lt;65,'General Basis'!$C$42,'General Basis'!$C$43)))),IF(G385&lt;11,'General Basis'!$B$39,IF(G385&lt;18,'General Basis'!$B$40,IF(G385&lt;26,'General Basis'!$B$41,IF(G385&lt;31,'General Basis'!$B$42,IF(G385&lt;36,'General Basis'!$B$43,IF(G385&lt;41,'General Basis'!$B$44,IF(G385&lt;46,'General Basis'!$B$45,IF(G385&lt;51,'General Basis'!$B$46,IF(G385&lt;56,'General Basis'!$B$47,IF(G385&lt;60,'General Basis'!$B$48,IF(G385&lt;65,'General Basis'!$B$49,'General Basis'!$B$50)))))))))))))</f>
        <v/>
      </c>
      <c r="BI385" s="744" t="str">
        <f t="shared" si="137"/>
        <v/>
      </c>
      <c r="BJ385" s="747" t="str">
        <f t="shared" si="144"/>
        <v/>
      </c>
      <c r="BK385" s="498" t="str">
        <f t="shared" si="138"/>
        <v/>
      </c>
      <c r="BL385" s="498" t="str">
        <f t="shared" si="139"/>
        <v/>
      </c>
    </row>
    <row r="386" spans="1:64" x14ac:dyDescent="0.25">
      <c r="A386" s="762">
        <f t="shared" si="140"/>
        <v>381</v>
      </c>
      <c r="B386" s="229"/>
      <c r="C386" s="223"/>
      <c r="D386" s="224"/>
      <c r="E386" s="225"/>
      <c r="F386" s="1036" t="str">
        <f t="shared" si="146"/>
        <v/>
      </c>
      <c r="G386" s="1037" t="str">
        <f t="shared" si="141"/>
        <v/>
      </c>
      <c r="H386" s="225"/>
      <c r="I386" s="1013"/>
      <c r="J386" s="1013"/>
      <c r="K386" s="1028"/>
      <c r="L386" s="1035" t="str">
        <f t="shared" si="145"/>
        <v/>
      </c>
      <c r="S386" s="498"/>
      <c r="AJ386" s="498"/>
      <c r="AM386" s="498">
        <f t="shared" si="126"/>
        <v>0</v>
      </c>
      <c r="AN386" s="498">
        <f t="shared" si="127"/>
        <v>0</v>
      </c>
      <c r="AO386" s="498">
        <f t="shared" si="128"/>
        <v>0</v>
      </c>
      <c r="AP386" s="498">
        <f t="shared" si="147"/>
        <v>0</v>
      </c>
      <c r="AQ386" s="498">
        <f t="shared" si="142"/>
        <v>0</v>
      </c>
      <c r="AU386" s="498">
        <f t="shared" si="129"/>
        <v>0</v>
      </c>
      <c r="AV386" s="498">
        <f t="shared" si="130"/>
        <v>0</v>
      </c>
      <c r="AW386" s="498">
        <f t="shared" si="131"/>
        <v>0</v>
      </c>
      <c r="AX386" s="498">
        <f t="shared" si="132"/>
        <v>0</v>
      </c>
      <c r="AY386" s="498">
        <f t="shared" si="133"/>
        <v>0</v>
      </c>
      <c r="BB386" s="498" t="str">
        <f t="shared" si="134"/>
        <v/>
      </c>
      <c r="BC386" s="743" t="str">
        <f t="shared" si="135"/>
        <v/>
      </c>
      <c r="BD386" s="743" t="str">
        <f t="shared" si="136"/>
        <v/>
      </c>
      <c r="BE386" s="743" t="str">
        <f>IF(D386="","",VLOOKUP(D386,'General Basis'!$J$39:$K$46,2,0))</f>
        <v/>
      </c>
      <c r="BF386" s="744" t="str">
        <f>IF(D386="","",VLOOKUP(D386,'General Basis'!$J$39:$L$46,3,0))</f>
        <v/>
      </c>
      <c r="BG386" s="744" t="str">
        <f t="shared" si="143"/>
        <v/>
      </c>
      <c r="BH386" s="744" t="str">
        <f>IF(G386="","",IF(BF386="Abu Dhabi",IF(G386&lt;18,'General Basis'!$C$39,IF(G386&lt;41,'General Basis'!$C$40,IF(G386&lt;60,'General Basis'!$C$41,IF(G386&lt;65,'General Basis'!$C$42,'General Basis'!$C$43)))),IF(G386&lt;11,'General Basis'!$B$39,IF(G386&lt;18,'General Basis'!$B$40,IF(G386&lt;26,'General Basis'!$B$41,IF(G386&lt;31,'General Basis'!$B$42,IF(G386&lt;36,'General Basis'!$B$43,IF(G386&lt;41,'General Basis'!$B$44,IF(G386&lt;46,'General Basis'!$B$45,IF(G386&lt;51,'General Basis'!$B$46,IF(G386&lt;56,'General Basis'!$B$47,IF(G386&lt;60,'General Basis'!$B$48,IF(G386&lt;65,'General Basis'!$B$49,'General Basis'!$B$50)))))))))))))</f>
        <v/>
      </c>
      <c r="BI386" s="744" t="str">
        <f t="shared" si="137"/>
        <v/>
      </c>
      <c r="BJ386" s="747" t="str">
        <f t="shared" si="144"/>
        <v/>
      </c>
      <c r="BK386" s="498" t="str">
        <f t="shared" si="138"/>
        <v/>
      </c>
      <c r="BL386" s="498" t="str">
        <f t="shared" si="139"/>
        <v/>
      </c>
    </row>
    <row r="387" spans="1:64" x14ac:dyDescent="0.25">
      <c r="A387" s="762">
        <f t="shared" si="140"/>
        <v>382</v>
      </c>
      <c r="B387" s="229"/>
      <c r="C387" s="223"/>
      <c r="D387" s="224"/>
      <c r="E387" s="225"/>
      <c r="F387" s="1036" t="str">
        <f t="shared" si="146"/>
        <v/>
      </c>
      <c r="G387" s="1037" t="str">
        <f t="shared" si="141"/>
        <v/>
      </c>
      <c r="H387" s="225"/>
      <c r="I387" s="1013"/>
      <c r="J387" s="1013"/>
      <c r="K387" s="1028"/>
      <c r="L387" s="1035" t="str">
        <f t="shared" si="145"/>
        <v/>
      </c>
      <c r="S387" s="498"/>
      <c r="AJ387" s="498"/>
      <c r="AM387" s="498">
        <f t="shared" si="126"/>
        <v>0</v>
      </c>
      <c r="AN387" s="498">
        <f t="shared" si="127"/>
        <v>0</v>
      </c>
      <c r="AO387" s="498">
        <f t="shared" si="128"/>
        <v>0</v>
      </c>
      <c r="AP387" s="498">
        <f t="shared" si="147"/>
        <v>0</v>
      </c>
      <c r="AQ387" s="498">
        <f t="shared" si="142"/>
        <v>0</v>
      </c>
      <c r="AU387" s="498">
        <f t="shared" si="129"/>
        <v>0</v>
      </c>
      <c r="AV387" s="498">
        <f t="shared" si="130"/>
        <v>0</v>
      </c>
      <c r="AW387" s="498">
        <f t="shared" si="131"/>
        <v>0</v>
      </c>
      <c r="AX387" s="498">
        <f t="shared" si="132"/>
        <v>0</v>
      </c>
      <c r="AY387" s="498">
        <f t="shared" si="133"/>
        <v>0</v>
      </c>
      <c r="BB387" s="498" t="str">
        <f t="shared" si="134"/>
        <v/>
      </c>
      <c r="BC387" s="743" t="str">
        <f t="shared" si="135"/>
        <v/>
      </c>
      <c r="BD387" s="743" t="str">
        <f t="shared" si="136"/>
        <v/>
      </c>
      <c r="BE387" s="743" t="str">
        <f>IF(D387="","",VLOOKUP(D387,'General Basis'!$J$39:$K$46,2,0))</f>
        <v/>
      </c>
      <c r="BF387" s="744" t="str">
        <f>IF(D387="","",VLOOKUP(D387,'General Basis'!$J$39:$L$46,3,0))</f>
        <v/>
      </c>
      <c r="BG387" s="744" t="str">
        <f t="shared" si="143"/>
        <v/>
      </c>
      <c r="BH387" s="744" t="str">
        <f>IF(G387="","",IF(BF387="Abu Dhabi",IF(G387&lt;18,'General Basis'!$C$39,IF(G387&lt;41,'General Basis'!$C$40,IF(G387&lt;60,'General Basis'!$C$41,IF(G387&lt;65,'General Basis'!$C$42,'General Basis'!$C$43)))),IF(G387&lt;11,'General Basis'!$B$39,IF(G387&lt;18,'General Basis'!$B$40,IF(G387&lt;26,'General Basis'!$B$41,IF(G387&lt;31,'General Basis'!$B$42,IF(G387&lt;36,'General Basis'!$B$43,IF(G387&lt;41,'General Basis'!$B$44,IF(G387&lt;46,'General Basis'!$B$45,IF(G387&lt;51,'General Basis'!$B$46,IF(G387&lt;56,'General Basis'!$B$47,IF(G387&lt;60,'General Basis'!$B$48,IF(G387&lt;65,'General Basis'!$B$49,'General Basis'!$B$50)))))))))))))</f>
        <v/>
      </c>
      <c r="BI387" s="744" t="str">
        <f t="shared" si="137"/>
        <v/>
      </c>
      <c r="BJ387" s="747" t="str">
        <f t="shared" si="144"/>
        <v/>
      </c>
      <c r="BK387" s="498" t="str">
        <f t="shared" si="138"/>
        <v/>
      </c>
      <c r="BL387" s="498" t="str">
        <f t="shared" si="139"/>
        <v/>
      </c>
    </row>
    <row r="388" spans="1:64" x14ac:dyDescent="0.25">
      <c r="A388" s="762">
        <f t="shared" si="140"/>
        <v>383</v>
      </c>
      <c r="B388" s="229"/>
      <c r="C388" s="223"/>
      <c r="D388" s="224"/>
      <c r="E388" s="225"/>
      <c r="F388" s="1036" t="str">
        <f t="shared" si="146"/>
        <v/>
      </c>
      <c r="G388" s="1037" t="str">
        <f t="shared" si="141"/>
        <v/>
      </c>
      <c r="H388" s="225"/>
      <c r="I388" s="1013"/>
      <c r="J388" s="1013"/>
      <c r="K388" s="1028"/>
      <c r="L388" s="1035" t="str">
        <f t="shared" si="145"/>
        <v/>
      </c>
      <c r="S388" s="498"/>
      <c r="AJ388" s="498"/>
      <c r="AM388" s="498">
        <f t="shared" si="126"/>
        <v>0</v>
      </c>
      <c r="AN388" s="498">
        <f t="shared" si="127"/>
        <v>0</v>
      </c>
      <c r="AO388" s="498">
        <f t="shared" si="128"/>
        <v>0</v>
      </c>
      <c r="AP388" s="498">
        <f t="shared" si="147"/>
        <v>0</v>
      </c>
      <c r="AQ388" s="498">
        <f t="shared" si="142"/>
        <v>0</v>
      </c>
      <c r="AU388" s="498">
        <f t="shared" si="129"/>
        <v>0</v>
      </c>
      <c r="AV388" s="498">
        <f t="shared" si="130"/>
        <v>0</v>
      </c>
      <c r="AW388" s="498">
        <f t="shared" si="131"/>
        <v>0</v>
      </c>
      <c r="AX388" s="498">
        <f t="shared" si="132"/>
        <v>0</v>
      </c>
      <c r="AY388" s="498">
        <f t="shared" si="133"/>
        <v>0</v>
      </c>
      <c r="BB388" s="498" t="str">
        <f t="shared" si="134"/>
        <v/>
      </c>
      <c r="BC388" s="743" t="str">
        <f t="shared" si="135"/>
        <v/>
      </c>
      <c r="BD388" s="743" t="str">
        <f t="shared" si="136"/>
        <v/>
      </c>
      <c r="BE388" s="743" t="str">
        <f>IF(D388="","",VLOOKUP(D388,'General Basis'!$J$39:$K$46,2,0))</f>
        <v/>
      </c>
      <c r="BF388" s="744" t="str">
        <f>IF(D388="","",VLOOKUP(D388,'General Basis'!$J$39:$L$46,3,0))</f>
        <v/>
      </c>
      <c r="BG388" s="744" t="str">
        <f t="shared" si="143"/>
        <v/>
      </c>
      <c r="BH388" s="744" t="str">
        <f>IF(G388="","",IF(BF388="Abu Dhabi",IF(G388&lt;18,'General Basis'!$C$39,IF(G388&lt;41,'General Basis'!$C$40,IF(G388&lt;60,'General Basis'!$C$41,IF(G388&lt;65,'General Basis'!$C$42,'General Basis'!$C$43)))),IF(G388&lt;11,'General Basis'!$B$39,IF(G388&lt;18,'General Basis'!$B$40,IF(G388&lt;26,'General Basis'!$B$41,IF(G388&lt;31,'General Basis'!$B$42,IF(G388&lt;36,'General Basis'!$B$43,IF(G388&lt;41,'General Basis'!$B$44,IF(G388&lt;46,'General Basis'!$B$45,IF(G388&lt;51,'General Basis'!$B$46,IF(G388&lt;56,'General Basis'!$B$47,IF(G388&lt;60,'General Basis'!$B$48,IF(G388&lt;65,'General Basis'!$B$49,'General Basis'!$B$50)))))))))))))</f>
        <v/>
      </c>
      <c r="BI388" s="744" t="str">
        <f t="shared" si="137"/>
        <v/>
      </c>
      <c r="BJ388" s="747" t="str">
        <f t="shared" si="144"/>
        <v/>
      </c>
      <c r="BK388" s="498" t="str">
        <f t="shared" si="138"/>
        <v/>
      </c>
      <c r="BL388" s="498" t="str">
        <f t="shared" si="139"/>
        <v/>
      </c>
    </row>
    <row r="389" spans="1:64" x14ac:dyDescent="0.25">
      <c r="A389" s="762">
        <f t="shared" si="140"/>
        <v>384</v>
      </c>
      <c r="B389" s="229"/>
      <c r="C389" s="223"/>
      <c r="D389" s="224"/>
      <c r="E389" s="225"/>
      <c r="F389" s="1036" t="str">
        <f t="shared" si="146"/>
        <v/>
      </c>
      <c r="G389" s="1037" t="str">
        <f t="shared" si="141"/>
        <v/>
      </c>
      <c r="H389" s="225"/>
      <c r="I389" s="1013"/>
      <c r="J389" s="1013"/>
      <c r="K389" s="1028"/>
      <c r="L389" s="1035" t="str">
        <f t="shared" si="145"/>
        <v/>
      </c>
      <c r="S389" s="498"/>
      <c r="AJ389" s="498"/>
      <c r="AM389" s="498">
        <f t="shared" si="126"/>
        <v>0</v>
      </c>
      <c r="AN389" s="498">
        <f t="shared" si="127"/>
        <v>0</v>
      </c>
      <c r="AO389" s="498">
        <f t="shared" si="128"/>
        <v>0</v>
      </c>
      <c r="AP389" s="498">
        <f t="shared" si="147"/>
        <v>0</v>
      </c>
      <c r="AQ389" s="498">
        <f t="shared" si="142"/>
        <v>0</v>
      </c>
      <c r="AU389" s="498">
        <f t="shared" si="129"/>
        <v>0</v>
      </c>
      <c r="AV389" s="498">
        <f t="shared" si="130"/>
        <v>0</v>
      </c>
      <c r="AW389" s="498">
        <f t="shared" si="131"/>
        <v>0</v>
      </c>
      <c r="AX389" s="498">
        <f t="shared" si="132"/>
        <v>0</v>
      </c>
      <c r="AY389" s="498">
        <f t="shared" si="133"/>
        <v>0</v>
      </c>
      <c r="BB389" s="498" t="str">
        <f t="shared" si="134"/>
        <v/>
      </c>
      <c r="BC389" s="743" t="str">
        <f t="shared" si="135"/>
        <v/>
      </c>
      <c r="BD389" s="743" t="str">
        <f t="shared" si="136"/>
        <v/>
      </c>
      <c r="BE389" s="743" t="str">
        <f>IF(D389="","",VLOOKUP(D389,'General Basis'!$J$39:$K$46,2,0))</f>
        <v/>
      </c>
      <c r="BF389" s="744" t="str">
        <f>IF(D389="","",VLOOKUP(D389,'General Basis'!$J$39:$L$46,3,0))</f>
        <v/>
      </c>
      <c r="BG389" s="744" t="str">
        <f t="shared" si="143"/>
        <v/>
      </c>
      <c r="BH389" s="744" t="str">
        <f>IF(G389="","",IF(BF389="Abu Dhabi",IF(G389&lt;18,'General Basis'!$C$39,IF(G389&lt;41,'General Basis'!$C$40,IF(G389&lt;60,'General Basis'!$C$41,IF(G389&lt;65,'General Basis'!$C$42,'General Basis'!$C$43)))),IF(G389&lt;11,'General Basis'!$B$39,IF(G389&lt;18,'General Basis'!$B$40,IF(G389&lt;26,'General Basis'!$B$41,IF(G389&lt;31,'General Basis'!$B$42,IF(G389&lt;36,'General Basis'!$B$43,IF(G389&lt;41,'General Basis'!$B$44,IF(G389&lt;46,'General Basis'!$B$45,IF(G389&lt;51,'General Basis'!$B$46,IF(G389&lt;56,'General Basis'!$B$47,IF(G389&lt;60,'General Basis'!$B$48,IF(G389&lt;65,'General Basis'!$B$49,'General Basis'!$B$50)))))))))))))</f>
        <v/>
      </c>
      <c r="BI389" s="744" t="str">
        <f t="shared" si="137"/>
        <v/>
      </c>
      <c r="BJ389" s="747" t="str">
        <f t="shared" si="144"/>
        <v/>
      </c>
      <c r="BK389" s="498" t="str">
        <f t="shared" si="138"/>
        <v/>
      </c>
      <c r="BL389" s="498" t="str">
        <f t="shared" si="139"/>
        <v/>
      </c>
    </row>
    <row r="390" spans="1:64" x14ac:dyDescent="0.25">
      <c r="A390" s="762">
        <f t="shared" si="140"/>
        <v>385</v>
      </c>
      <c r="B390" s="229"/>
      <c r="C390" s="223"/>
      <c r="D390" s="224"/>
      <c r="E390" s="225"/>
      <c r="F390" s="1036" t="str">
        <f t="shared" si="146"/>
        <v/>
      </c>
      <c r="G390" s="1037" t="str">
        <f t="shared" si="141"/>
        <v/>
      </c>
      <c r="H390" s="225"/>
      <c r="I390" s="1013"/>
      <c r="J390" s="1013"/>
      <c r="K390" s="1028"/>
      <c r="L390" s="1035" t="str">
        <f t="shared" si="145"/>
        <v/>
      </c>
      <c r="S390" s="498"/>
      <c r="AJ390" s="498"/>
      <c r="AM390" s="498">
        <f t="shared" ref="AM390:AM453" si="148">IF(ISTEXT(B390),1,0)</f>
        <v>0</v>
      </c>
      <c r="AN390" s="498">
        <f t="shared" ref="AN390:AN453" si="149">IF(ISBLANK(B390),0,IF(B390&lt;$AK$6,1,0))</f>
        <v>0</v>
      </c>
      <c r="AO390" s="498">
        <f t="shared" ref="AO390:AO453" si="150">IF(ISBLANK(B390),0,IF(B390&gt;$AK$7,1,0))</f>
        <v>0</v>
      </c>
      <c r="AP390" s="498">
        <f t="shared" si="147"/>
        <v>0</v>
      </c>
      <c r="AQ390" s="498">
        <f t="shared" si="142"/>
        <v>0</v>
      </c>
      <c r="AU390" s="498">
        <f t="shared" ref="AU390:AU453" si="151">IF(ISBLANK(B390),0,1)</f>
        <v>0</v>
      </c>
      <c r="AV390" s="498">
        <f t="shared" ref="AV390:AV453" si="152">IF(ISBLANK(C390),0,1)</f>
        <v>0</v>
      </c>
      <c r="AW390" s="498">
        <f t="shared" ref="AW390:AW453" si="153">IF(ISBLANK(D390),0,1)</f>
        <v>0</v>
      </c>
      <c r="AX390" s="498">
        <f t="shared" ref="AX390:AX453" si="154">IF(ISBLANK(E390),0,1)</f>
        <v>0</v>
      </c>
      <c r="AY390" s="498">
        <f t="shared" ref="AY390:AY453" si="155">IF(ISBLANK(H390),0,1)</f>
        <v>0</v>
      </c>
      <c r="BB390" s="498" t="str">
        <f t="shared" ref="BB390:BB453" si="156">IF(E390="Principal","Principal",IF(E390="","","Other"))</f>
        <v/>
      </c>
      <c r="BC390" s="743" t="str">
        <f t="shared" ref="BC390:BC453" si="157">IF(D390="","",D390)</f>
        <v/>
      </c>
      <c r="BD390" s="743" t="str">
        <f t="shared" ref="BD390:BD453" si="158">IF(E390="Principal","Employee",IF(E390="","","Dependent"))</f>
        <v/>
      </c>
      <c r="BE390" s="743" t="str">
        <f>IF(D390="","",VLOOKUP(D390,'General Basis'!$J$39:$K$46,2,0))</f>
        <v/>
      </c>
      <c r="BF390" s="744" t="str">
        <f>IF(D390="","",VLOOKUP(D390,'General Basis'!$J$39:$L$46,3,0))</f>
        <v/>
      </c>
      <c r="BG390" s="744" t="str">
        <f t="shared" si="143"/>
        <v/>
      </c>
      <c r="BH390" s="744" t="str">
        <f>IF(G390="","",IF(BF390="Abu Dhabi",IF(G390&lt;18,'General Basis'!$C$39,IF(G390&lt;41,'General Basis'!$C$40,IF(G390&lt;60,'General Basis'!$C$41,IF(G390&lt;65,'General Basis'!$C$42,'General Basis'!$C$43)))),IF(G390&lt;11,'General Basis'!$B$39,IF(G390&lt;18,'General Basis'!$B$40,IF(G390&lt;26,'General Basis'!$B$41,IF(G390&lt;31,'General Basis'!$B$42,IF(G390&lt;36,'General Basis'!$B$43,IF(G390&lt;41,'General Basis'!$B$44,IF(G390&lt;46,'General Basis'!$B$45,IF(G390&lt;51,'General Basis'!$B$46,IF(G390&lt;56,'General Basis'!$B$47,IF(G390&lt;60,'General Basis'!$B$48,IF(G390&lt;65,'General Basis'!$B$49,'General Basis'!$B$50)))))))))))))</f>
        <v/>
      </c>
      <c r="BI390" s="744" t="str">
        <f t="shared" ref="BI390:BI453" si="159">IF(C390="","",IF(C390="M","Male","Female"))</f>
        <v/>
      </c>
      <c r="BJ390" s="747" t="str">
        <f t="shared" si="144"/>
        <v/>
      </c>
      <c r="BK390" s="498" t="str">
        <f t="shared" ref="BK390:BK453" si="160">IF(BD390="","",IF(AND(BD390="Employee",BI390="Male",BF390="Abu Dhabi",BE390=GN_Plus),VLOOKUP(BH390,AUH_MALE_EMP,2,0),IF(AND(BD390="Employee",BI390="Male",BF390="Abu Dhabi",BE390=GN),VLOOKUP(BH390,AUH_MALE_EMP,3,0),IF(AND(BD390="Employee",BI390="Male",BF390="Abu Dhabi",BE390=RN_Plus),VLOOKUP(BH390,AUH_MALE_EMP,4,0),IF(AND(BD390="Employee",BI390="Male",BF390="Abu Dhabi",BE390=RN),VLOOKUP(BH390,AUH_MALE_EMP,5,0),IF(AND(BD390="Employee",BI390="Male",BF390="Abu Dhabi",BE390=RN_2),VLOOKUP(BH390,AUH_MALE_EMP,6,0),IF(AND(BD390="Employee",BI390="Male",BF390="Abu Dhabi",BE390=RN2_minus),VLOOKUP(BH390,AUH_MALE_EMP,7,0),IF(AND(BD390="Employee",BI390="Male",BF390="Abu Dhabi",BE390=RN_3),VLOOKUP(BH390,AUH_MALE_EMP,8,0),IF(AND(BD390="Employee",BI390="Male",BF390="Abu Dhabi",BE390=VN),VLOOKUP(BH390,AUH_MALE_EMP,9,0),IF(BD390="","",IF(AND(BD390="Employee",BI390="Female",BF390="Abu Dhabi",BE390=GN_Plus),VLOOKUP(BH390,AUH_FEMALE_EMP,2,0),IF(AND(BD390="Employee",BI390="Female",BF390="Abu Dhabi",BE390=GN),VLOOKUP(BH390,AUH_FEMALE_EMP,3,0),IF(AND(BD390="Employee",BI390="Female",BF390="Abu Dhabi",BE390=RN_Plus),VLOOKUP(BH390,AUH_FEMALE_EMP,4,0),IF(AND(BD390="Employee",BI390="Female",BF390="Abu Dhabi",BE390=RN),VLOOKUP(BH390,AUH_FEMALE_EMP,5,0),IF(AND(BD390="Employee",BI390="Female",BF390="Abu Dhabi",BE390=RN_2),VLOOKUP(BH390,AUH_FEMALE_EMP,6,0),IF(AND(BD390="Employee",BI390="Female",BF390="Abu Dhabi",BE390=RN2_minus),VLOOKUP(BH390,AUH_FEMALE_EMP,7,0),IF(AND(BD390="Employee",BI390="Female",BF390="Abu Dhabi",BE390=RN_3),VLOOKUP(BH390,AUH_FEMALE_EMP,8,0),IF(AND(BD390="Employee",BI390="Female",BF390="Abu Dhabi",BE390=VN),VLOOKUP(BH390,AUH_FEMALE_EMP,9,0),IF(BD390="","",IF(AND(BD390="Dependent",BI390="Male",BF390="Abu Dhabi",BE390=GN_Plus),VLOOKUP(BH390,AUH_MALE_DEP,2,0),IF(AND(BD390="Dependent",BI390="Male",BF390="Abu Dhabi",BE390=GN),VLOOKUP(BH390,AUH_MALE_DEP,3,0),IF(AND(BD390="Dependent",BI390="Male",BF390="Abu Dhabi",BE390=RN_Plus),VLOOKUP(BH390,AUH_MALE_DEP,4,0),IF(AND(BD390="Dependent",BI390="Male",BF390="Abu Dhabi",BE390=RN),VLOOKUP(BH390,AUH_MALE_DEP,5,0),IF(AND(BD390="Dependent",BI390="Male",BF390="Abu Dhabi",BE390=RN_2),VLOOKUP(BH390,AUH_MALE_DEP,6,0),IF(AND(BD390="Dependent",BI390="Male",BF390="Abu Dhabi",BE390=RN2_minus),VLOOKUP(BH390,AUH_MALE_DEP,7,0),IF(AND(BD390="Dependent",BI390="Male",BF390="Abu Dhabi",BE390=RN_3),VLOOKUP(BH390,AUH_MALE_DEP,8,0),IF(AND(BD390="Dependent",BI390="Male",BF390="Abu Dhabi",BE390=VN),VLOOKUP(BH390,AUH_MALE_DEP,9,0),IF(BD390="","",IF(AND(BD390="Dependent",BI390="Female",BF390="Abu Dhabi",BE390=GN_Plus),VLOOKUP(BH390,AUH_FEMALE_DEP,2,0),IF(AND(BD390="Dependent",BI390="Female",BF390="Abu Dhabi",BE390=GN),VLOOKUP(BH390,AUH_FEMALE_DEP,3,0),IF(AND(BD390="Dependent",BI390="Female",BF390="Abu Dhabi",BE390=RN_Plus),VLOOKUP(BH390,AUH_FEMALE_DEP,4,0),IF(AND(BD390="Dependent",BI390="Female",BF390="Abu Dhabi",BE390=RN),VLOOKUP(BH390,AUH_FEMALE_DEP,5,0),IF(AND(BD390="Dependent",BI390="Female",BF390="Abu Dhabi",BE390=RN_2),VLOOKUP(BH390,AUH_FEMALE_DEP,6,0),IF(AND(BD390="Dependent",BI390="Female",BF390="Abu Dhabi",BE390=RN2_minus),VLOOKUP(BH390,AUH_FEMALE_DEP,7,0),IF(AND(BD390="Dependent",BI390="Female",BF390="Abu Dhabi",BE390=RN_3),VLOOKUP(BH390,AUH_FEMALE_DEP,8,0),IF(AND(BD390="Dependent",BI390="Female",BF390="Abu Dhabi",BE390=VN),VLOOKUP(BH390,AUH_FEMALE_DEP,9,0),"ABC"))))))))))))))))))))))))))))))))))))</f>
        <v/>
      </c>
      <c r="BL390" s="498" t="str">
        <f t="shared" ref="BL390:BL453" si="161">IF(BD390="","",IF(AND(BD390="Employee",BI390="Male",BF390="Dubai",BE390=GN_Plus),VLOOKUP(BH390,DXB_MALE_EMP,2,0),IF(AND(BD390="Employee",BI390="Male",BF390="Dubai",BE390=GN),VLOOKUP(BH390,DXB_MALE_EMP,3,0),IF(AND(BD390="Employee",BI390="Male",BF390="Dubai",BE390=RN_Plus),VLOOKUP(BH390,DXB_MALE_EMP,4,0),IF(AND(BD390="Employee",BI390="Male",BF390="Dubai",BE390=RN),VLOOKUP(BH390,DXB_MALE_EMP,5,0),IF(AND(BD390="Employee",BI390="Male",BF390="Dubai",BE390=RN_2),VLOOKUP(BH390,DXB_MALE_EMP,6,0),IF(AND(BD390="Employee",BI390="Male",BF390="Dubai",BE390=RN2_minus),VLOOKUP(BH390,DXB_MALE_EMP,7,0),IF(AND(BD390="Employee",BI390="Male",BF390="Dubai",BE390=RN_3),VLOOKUP(BH390,DXB_MALE_EMP,8,0),IF(AND(BD390="Employee",BI390="Male",BF390="Dubai",BE390=VN),VLOOKUP(BH390,DXB_MALE_EMP,9,0),IF(BD390="","",IF(AND(BD390="Employee",BI390="Female",BF390="Dubai",BE390=GN_Plus),VLOOKUP(BH390,DXB_FEMALE_EMP,2,0),IF(AND(BD390="Employee",BI390="Female",BF390="Dubai",BE390=GN),VLOOKUP(BH390,DXB_FEMALE_EMP,3,0),IF(AND(BD390="Employee",BI390="Female",BF390="Dubai",BE390=RN_Plus),VLOOKUP(BH390,DXB_FEMALE_EMP,4,0),IF(AND(BD390="Employee",BI390="Female",BF390="Dubai",BE390=RN),VLOOKUP(BH390,DXB_FEMALE_EMP,5,0),IF(AND(BD390="Employee",BI390="Female",BF390="Dubai",BE390=RN_2),VLOOKUP(BH390,DXB_FEMALE_EMP,6,0),IF(AND(BD390="Employee",BI390="Female",BF390="Dubai",BE390=RN2_minus),VLOOKUP(BH390,DXB_FEMALE_EMP,7,0),IF(AND(BD390="Employee",BI390="Female",BF390="Dubai",BE390=RN_3),VLOOKUP(BH390,DXB_FEMALE_EMP,8,0),IF(AND(BD390="Employee",BI390="Female",BF390="Dubai",BE390=VN),VLOOKUP(BH390,DXB_FEMALE_EMP,9,0),IF(BD390="","",IF(AND(BD390="Dependent",BI390="Male",BF390="Dubai",BE390=GN_Plus),VLOOKUP(BH390,DXB_MALE_DEP,2,0),IF(AND(BD390="Dependent",BI390="Male",BF390="Dubai",BE390=GN),VLOOKUP(BH390,DXB_MALE_DEP,3,0),IF(AND(BD390="Dependent",BI390="Male",BF390="Dubai",BE390=RN_Plus),VLOOKUP(BH390,DXB_MALE_DEP,4,0),IF(AND(BD390="Dependent",BI390="Male",BF390="Dubai",BE390=RN),VLOOKUP(BH390,DXB_MALE_DEP,5,0),IF(AND(BD390="Dependent",BI390="Male",BF390="Dubai",BE390=RN_2),VLOOKUP(BH390,DXB_MALE_DEP,6,0),IF(AND(BD390="Dependent",BI390="Male",BF390="Dubai",BE390=RN2_minus),VLOOKUP(BH390,DXB_MALE_DEP,7,0),IF(AND(BD390="Dependent",BI390="Male",BF390="Dubai",BE390=RN_3),VLOOKUP(BH390,DXB_MALE_DEP,8,0),IF(AND(BD390="Dependent",BI390="Male",BF390="Dubai",BE390=VN),VLOOKUP(BH390,DXB_MALE_DEP,9,0),IF(BD390="","",IF(AND(BD390="Dependent",BI390="Female",BF390="Dubai",BE390=GN_Plus),VLOOKUP(BH390,DXB_FEMALE_DEP,2,0),IF(AND(BD390="Dependent",BI390="Female",BF390="Dubai",BE390=GN),VLOOKUP(BH390,DXB_FEMALE_DEP,3,0),IF(AND(BD390="Dependent",BI390="Female",BF390="Dubai",BE390=RN_Plus),VLOOKUP(BH390,DXB_FEMALE_DEP,4,0),IF(AND(BD390="Dependent",BI390="Female",BF390="Dubai",BE390=RN),VLOOKUP(BH390,DXB_FEMALE_DEP,5,0),IF(AND(BD390="Dependent",BI390="Female",BF390="Dubai",BE390=RN_2),VLOOKUP(BH390,DXB_FEMALE_DEP,6,0),IF(AND(BD390="Dependent",BI390="Female",BF390="Dubai",BE390=RN2_minus),VLOOKUP(BH390,DXB_FEMALE_DEP,7,0),IF(AND(BD390="Dependent",BI390="Female",BF390="Dubai",BE390=RN_3),VLOOKUP(BH390,DXB_FEMALE_DEP,8,0),IF(AND(BD390="Dependent",BI390="Female",BF390="Dubai",BE390=VN),VLOOKUP(BH390,DXB_FEMALE_DEP,9,0),"ABC"))))))))))))))))))))))))))))))))))))</f>
        <v/>
      </c>
    </row>
    <row r="391" spans="1:64" x14ac:dyDescent="0.25">
      <c r="A391" s="762">
        <f t="shared" ref="A391:A454" si="162">+A390+1</f>
        <v>386</v>
      </c>
      <c r="B391" s="229"/>
      <c r="C391" s="223"/>
      <c r="D391" s="224"/>
      <c r="E391" s="225"/>
      <c r="F391" s="1036" t="str">
        <f t="shared" si="146"/>
        <v/>
      </c>
      <c r="G391" s="1037" t="str">
        <f t="shared" ref="G391:G454" si="163">IF(D391="","",MAX(0,ROUNDUP(F391,0)))</f>
        <v/>
      </c>
      <c r="H391" s="225"/>
      <c r="I391" s="1013"/>
      <c r="J391" s="1013"/>
      <c r="K391" s="1028"/>
      <c r="L391" s="1035" t="str">
        <f t="shared" si="145"/>
        <v/>
      </c>
      <c r="S391" s="498"/>
      <c r="AJ391" s="498"/>
      <c r="AM391" s="498">
        <f t="shared" si="148"/>
        <v>0</v>
      </c>
      <c r="AN391" s="498">
        <f t="shared" si="149"/>
        <v>0</v>
      </c>
      <c r="AO391" s="498">
        <f t="shared" si="150"/>
        <v>0</v>
      </c>
      <c r="AP391" s="498">
        <f t="shared" si="147"/>
        <v>0</v>
      </c>
      <c r="AQ391" s="498">
        <f t="shared" ref="AQ391:AQ454" si="164">IF(ISBLANK($B391),0,IF(OR($H391="Single",$H391="Married"),0,1))</f>
        <v>0</v>
      </c>
      <c r="AU391" s="498">
        <f t="shared" si="151"/>
        <v>0</v>
      </c>
      <c r="AV391" s="498">
        <f t="shared" si="152"/>
        <v>0</v>
      </c>
      <c r="AW391" s="498">
        <f t="shared" si="153"/>
        <v>0</v>
      </c>
      <c r="AX391" s="498">
        <f t="shared" si="154"/>
        <v>0</v>
      </c>
      <c r="AY391" s="498">
        <f t="shared" si="155"/>
        <v>0</v>
      </c>
      <c r="BB391" s="498" t="str">
        <f t="shared" si="156"/>
        <v/>
      </c>
      <c r="BC391" s="743" t="str">
        <f t="shared" si="157"/>
        <v/>
      </c>
      <c r="BD391" s="743" t="str">
        <f t="shared" si="158"/>
        <v/>
      </c>
      <c r="BE391" s="743" t="str">
        <f>IF(D391="","",VLOOKUP(D391,'General Basis'!$J$39:$K$46,2,0))</f>
        <v/>
      </c>
      <c r="BF391" s="744" t="str">
        <f>IF(D391="","",VLOOKUP(D391,'General Basis'!$J$39:$L$46,3,0))</f>
        <v/>
      </c>
      <c r="BG391" s="744" t="str">
        <f t="shared" ref="BG391:BG454" si="165">BC391&amp;BI391</f>
        <v/>
      </c>
      <c r="BH391" s="744" t="str">
        <f>IF(G391="","",IF(BF391="Abu Dhabi",IF(G391&lt;18,'General Basis'!$C$39,IF(G391&lt;41,'General Basis'!$C$40,IF(G391&lt;60,'General Basis'!$C$41,IF(G391&lt;65,'General Basis'!$C$42,'General Basis'!$C$43)))),IF(G391&lt;11,'General Basis'!$B$39,IF(G391&lt;18,'General Basis'!$B$40,IF(G391&lt;26,'General Basis'!$B$41,IF(G391&lt;31,'General Basis'!$B$42,IF(G391&lt;36,'General Basis'!$B$43,IF(G391&lt;41,'General Basis'!$B$44,IF(G391&lt;46,'General Basis'!$B$45,IF(G391&lt;51,'General Basis'!$B$46,IF(G391&lt;56,'General Basis'!$B$47,IF(G391&lt;60,'General Basis'!$B$48,IF(G391&lt;65,'General Basis'!$B$49,'General Basis'!$B$50)))))))))))))</f>
        <v/>
      </c>
      <c r="BI391" s="744" t="str">
        <f t="shared" si="159"/>
        <v/>
      </c>
      <c r="BJ391" s="747" t="str">
        <f t="shared" ref="BJ391:BJ454" si="166">IF(BD391="","",IF(BF391="Abu Dhabi",BK391,BL391))</f>
        <v/>
      </c>
      <c r="BK391" s="498" t="str">
        <f t="shared" si="160"/>
        <v/>
      </c>
      <c r="BL391" s="498" t="str">
        <f t="shared" si="161"/>
        <v/>
      </c>
    </row>
    <row r="392" spans="1:64" x14ac:dyDescent="0.25">
      <c r="A392" s="762">
        <f t="shared" si="162"/>
        <v>387</v>
      </c>
      <c r="B392" s="229"/>
      <c r="C392" s="223"/>
      <c r="D392" s="224"/>
      <c r="E392" s="225"/>
      <c r="F392" s="1036" t="str">
        <f t="shared" si="146"/>
        <v/>
      </c>
      <c r="G392" s="1037" t="str">
        <f t="shared" si="163"/>
        <v/>
      </c>
      <c r="H392" s="225"/>
      <c r="I392" s="1013"/>
      <c r="J392" s="1013"/>
      <c r="K392" s="1028"/>
      <c r="L392" s="1035" t="str">
        <f t="shared" ref="L392:L455" si="167">IF(AND(E392="Child",H392="Married"),"Check the Marital Status of the Child. ",IF(AND(E392="Child",F392&gt;18),"Child Age exceed 18 years. ",IF(AND(E392="Spouse",H392="Single"),"Spouse is selected as Single. ","")))&amp;IF(K392&gt;0,"UW Loading has been Applied","")</f>
        <v/>
      </c>
      <c r="S392" s="498"/>
      <c r="AJ392" s="498"/>
      <c r="AM392" s="498">
        <f t="shared" si="148"/>
        <v>0</v>
      </c>
      <c r="AN392" s="498">
        <f t="shared" si="149"/>
        <v>0</v>
      </c>
      <c r="AO392" s="498">
        <f t="shared" si="150"/>
        <v>0</v>
      </c>
      <c r="AP392" s="498">
        <f t="shared" si="147"/>
        <v>0</v>
      </c>
      <c r="AQ392" s="498">
        <f t="shared" si="164"/>
        <v>0</v>
      </c>
      <c r="AU392" s="498">
        <f t="shared" si="151"/>
        <v>0</v>
      </c>
      <c r="AV392" s="498">
        <f t="shared" si="152"/>
        <v>0</v>
      </c>
      <c r="AW392" s="498">
        <f t="shared" si="153"/>
        <v>0</v>
      </c>
      <c r="AX392" s="498">
        <f t="shared" si="154"/>
        <v>0</v>
      </c>
      <c r="AY392" s="498">
        <f t="shared" si="155"/>
        <v>0</v>
      </c>
      <c r="BB392" s="498" t="str">
        <f t="shared" si="156"/>
        <v/>
      </c>
      <c r="BC392" s="743" t="str">
        <f t="shared" si="157"/>
        <v/>
      </c>
      <c r="BD392" s="743" t="str">
        <f t="shared" si="158"/>
        <v/>
      </c>
      <c r="BE392" s="743" t="str">
        <f>IF(D392="","",VLOOKUP(D392,'General Basis'!$J$39:$K$46,2,0))</f>
        <v/>
      </c>
      <c r="BF392" s="744" t="str">
        <f>IF(D392="","",VLOOKUP(D392,'General Basis'!$J$39:$L$46,3,0))</f>
        <v/>
      </c>
      <c r="BG392" s="744" t="str">
        <f t="shared" si="165"/>
        <v/>
      </c>
      <c r="BH392" s="744" t="str">
        <f>IF(G392="","",IF(BF392="Abu Dhabi",IF(G392&lt;18,'General Basis'!$C$39,IF(G392&lt;41,'General Basis'!$C$40,IF(G392&lt;60,'General Basis'!$C$41,IF(G392&lt;65,'General Basis'!$C$42,'General Basis'!$C$43)))),IF(G392&lt;11,'General Basis'!$B$39,IF(G392&lt;18,'General Basis'!$B$40,IF(G392&lt;26,'General Basis'!$B$41,IF(G392&lt;31,'General Basis'!$B$42,IF(G392&lt;36,'General Basis'!$B$43,IF(G392&lt;41,'General Basis'!$B$44,IF(G392&lt;46,'General Basis'!$B$45,IF(G392&lt;51,'General Basis'!$B$46,IF(G392&lt;56,'General Basis'!$B$47,IF(G392&lt;60,'General Basis'!$B$48,IF(G392&lt;65,'General Basis'!$B$49,'General Basis'!$B$50)))))))))))))</f>
        <v/>
      </c>
      <c r="BI392" s="744" t="str">
        <f t="shared" si="159"/>
        <v/>
      </c>
      <c r="BJ392" s="747" t="str">
        <f t="shared" si="166"/>
        <v/>
      </c>
      <c r="BK392" s="498" t="str">
        <f t="shared" si="160"/>
        <v/>
      </c>
      <c r="BL392" s="498" t="str">
        <f t="shared" si="161"/>
        <v/>
      </c>
    </row>
    <row r="393" spans="1:64" x14ac:dyDescent="0.25">
      <c r="A393" s="762">
        <f t="shared" si="162"/>
        <v>388</v>
      </c>
      <c r="B393" s="229"/>
      <c r="C393" s="223"/>
      <c r="D393" s="224"/>
      <c r="E393" s="225"/>
      <c r="F393" s="1036" t="str">
        <f t="shared" si="146"/>
        <v/>
      </c>
      <c r="G393" s="1037" t="str">
        <f t="shared" si="163"/>
        <v/>
      </c>
      <c r="H393" s="225"/>
      <c r="I393" s="1013"/>
      <c r="J393" s="1013"/>
      <c r="K393" s="1028"/>
      <c r="L393" s="1035" t="str">
        <f t="shared" si="167"/>
        <v/>
      </c>
      <c r="S393" s="498"/>
      <c r="AJ393" s="498"/>
      <c r="AM393" s="498">
        <f t="shared" si="148"/>
        <v>0</v>
      </c>
      <c r="AN393" s="498">
        <f t="shared" si="149"/>
        <v>0</v>
      </c>
      <c r="AO393" s="498">
        <f t="shared" si="150"/>
        <v>0</v>
      </c>
      <c r="AP393" s="498">
        <f t="shared" si="147"/>
        <v>0</v>
      </c>
      <c r="AQ393" s="498">
        <f t="shared" si="164"/>
        <v>0</v>
      </c>
      <c r="AU393" s="498">
        <f t="shared" si="151"/>
        <v>0</v>
      </c>
      <c r="AV393" s="498">
        <f t="shared" si="152"/>
        <v>0</v>
      </c>
      <c r="AW393" s="498">
        <f t="shared" si="153"/>
        <v>0</v>
      </c>
      <c r="AX393" s="498">
        <f t="shared" si="154"/>
        <v>0</v>
      </c>
      <c r="AY393" s="498">
        <f t="shared" si="155"/>
        <v>0</v>
      </c>
      <c r="BB393" s="498" t="str">
        <f t="shared" si="156"/>
        <v/>
      </c>
      <c r="BC393" s="743" t="str">
        <f t="shared" si="157"/>
        <v/>
      </c>
      <c r="BD393" s="743" t="str">
        <f t="shared" si="158"/>
        <v/>
      </c>
      <c r="BE393" s="743" t="str">
        <f>IF(D393="","",VLOOKUP(D393,'General Basis'!$J$39:$K$46,2,0))</f>
        <v/>
      </c>
      <c r="BF393" s="744" t="str">
        <f>IF(D393="","",VLOOKUP(D393,'General Basis'!$J$39:$L$46,3,0))</f>
        <v/>
      </c>
      <c r="BG393" s="744" t="str">
        <f t="shared" si="165"/>
        <v/>
      </c>
      <c r="BH393" s="744" t="str">
        <f>IF(G393="","",IF(BF393="Abu Dhabi",IF(G393&lt;18,'General Basis'!$C$39,IF(G393&lt;41,'General Basis'!$C$40,IF(G393&lt;60,'General Basis'!$C$41,IF(G393&lt;65,'General Basis'!$C$42,'General Basis'!$C$43)))),IF(G393&lt;11,'General Basis'!$B$39,IF(G393&lt;18,'General Basis'!$B$40,IF(G393&lt;26,'General Basis'!$B$41,IF(G393&lt;31,'General Basis'!$B$42,IF(G393&lt;36,'General Basis'!$B$43,IF(G393&lt;41,'General Basis'!$B$44,IF(G393&lt;46,'General Basis'!$B$45,IF(G393&lt;51,'General Basis'!$B$46,IF(G393&lt;56,'General Basis'!$B$47,IF(G393&lt;60,'General Basis'!$B$48,IF(G393&lt;65,'General Basis'!$B$49,'General Basis'!$B$50)))))))))))))</f>
        <v/>
      </c>
      <c r="BI393" s="744" t="str">
        <f t="shared" si="159"/>
        <v/>
      </c>
      <c r="BJ393" s="747" t="str">
        <f t="shared" si="166"/>
        <v/>
      </c>
      <c r="BK393" s="498" t="str">
        <f t="shared" si="160"/>
        <v/>
      </c>
      <c r="BL393" s="498" t="str">
        <f t="shared" si="161"/>
        <v/>
      </c>
    </row>
    <row r="394" spans="1:64" x14ac:dyDescent="0.25">
      <c r="A394" s="762">
        <f t="shared" si="162"/>
        <v>389</v>
      </c>
      <c r="B394" s="229"/>
      <c r="C394" s="223"/>
      <c r="D394" s="224"/>
      <c r="E394" s="225"/>
      <c r="F394" s="1036" t="str">
        <f t="shared" si="146"/>
        <v/>
      </c>
      <c r="G394" s="1037" t="str">
        <f t="shared" si="163"/>
        <v/>
      </c>
      <c r="H394" s="225"/>
      <c r="I394" s="1013"/>
      <c r="J394" s="1013"/>
      <c r="K394" s="1028"/>
      <c r="L394" s="1035" t="str">
        <f t="shared" si="167"/>
        <v/>
      </c>
      <c r="S394" s="498"/>
      <c r="AJ394" s="498"/>
      <c r="AM394" s="498">
        <f t="shared" si="148"/>
        <v>0</v>
      </c>
      <c r="AN394" s="498">
        <f t="shared" si="149"/>
        <v>0</v>
      </c>
      <c r="AO394" s="498">
        <f t="shared" si="150"/>
        <v>0</v>
      </c>
      <c r="AP394" s="498">
        <f t="shared" si="147"/>
        <v>0</v>
      </c>
      <c r="AQ394" s="498">
        <f t="shared" si="164"/>
        <v>0</v>
      </c>
      <c r="AU394" s="498">
        <f t="shared" si="151"/>
        <v>0</v>
      </c>
      <c r="AV394" s="498">
        <f t="shared" si="152"/>
        <v>0</v>
      </c>
      <c r="AW394" s="498">
        <f t="shared" si="153"/>
        <v>0</v>
      </c>
      <c r="AX394" s="498">
        <f t="shared" si="154"/>
        <v>0</v>
      </c>
      <c r="AY394" s="498">
        <f t="shared" si="155"/>
        <v>0</v>
      </c>
      <c r="BB394" s="498" t="str">
        <f t="shared" si="156"/>
        <v/>
      </c>
      <c r="BC394" s="743" t="str">
        <f t="shared" si="157"/>
        <v/>
      </c>
      <c r="BD394" s="743" t="str">
        <f t="shared" si="158"/>
        <v/>
      </c>
      <c r="BE394" s="743" t="str">
        <f>IF(D394="","",VLOOKUP(D394,'General Basis'!$J$39:$K$46,2,0))</f>
        <v/>
      </c>
      <c r="BF394" s="744" t="str">
        <f>IF(D394="","",VLOOKUP(D394,'General Basis'!$J$39:$L$46,3,0))</f>
        <v/>
      </c>
      <c r="BG394" s="744" t="str">
        <f t="shared" si="165"/>
        <v/>
      </c>
      <c r="BH394" s="744" t="str">
        <f>IF(G394="","",IF(BF394="Abu Dhabi",IF(G394&lt;18,'General Basis'!$C$39,IF(G394&lt;41,'General Basis'!$C$40,IF(G394&lt;60,'General Basis'!$C$41,IF(G394&lt;65,'General Basis'!$C$42,'General Basis'!$C$43)))),IF(G394&lt;11,'General Basis'!$B$39,IF(G394&lt;18,'General Basis'!$B$40,IF(G394&lt;26,'General Basis'!$B$41,IF(G394&lt;31,'General Basis'!$B$42,IF(G394&lt;36,'General Basis'!$B$43,IF(G394&lt;41,'General Basis'!$B$44,IF(G394&lt;46,'General Basis'!$B$45,IF(G394&lt;51,'General Basis'!$B$46,IF(G394&lt;56,'General Basis'!$B$47,IF(G394&lt;60,'General Basis'!$B$48,IF(G394&lt;65,'General Basis'!$B$49,'General Basis'!$B$50)))))))))))))</f>
        <v/>
      </c>
      <c r="BI394" s="744" t="str">
        <f t="shared" si="159"/>
        <v/>
      </c>
      <c r="BJ394" s="747" t="str">
        <f t="shared" si="166"/>
        <v/>
      </c>
      <c r="BK394" s="498" t="str">
        <f t="shared" si="160"/>
        <v/>
      </c>
      <c r="BL394" s="498" t="str">
        <f t="shared" si="161"/>
        <v/>
      </c>
    </row>
    <row r="395" spans="1:64" x14ac:dyDescent="0.25">
      <c r="A395" s="762">
        <f t="shared" si="162"/>
        <v>390</v>
      </c>
      <c r="B395" s="229"/>
      <c r="C395" s="223"/>
      <c r="D395" s="224"/>
      <c r="E395" s="225"/>
      <c r="F395" s="1036" t="str">
        <f t="shared" si="146"/>
        <v/>
      </c>
      <c r="G395" s="1037" t="str">
        <f t="shared" si="163"/>
        <v/>
      </c>
      <c r="H395" s="225"/>
      <c r="I395" s="1013"/>
      <c r="J395" s="1013"/>
      <c r="K395" s="1028"/>
      <c r="L395" s="1035" t="str">
        <f t="shared" si="167"/>
        <v/>
      </c>
      <c r="S395" s="498"/>
      <c r="AJ395" s="498"/>
      <c r="AM395" s="498">
        <f t="shared" si="148"/>
        <v>0</v>
      </c>
      <c r="AN395" s="498">
        <f t="shared" si="149"/>
        <v>0</v>
      </c>
      <c r="AO395" s="498">
        <f t="shared" si="150"/>
        <v>0</v>
      </c>
      <c r="AP395" s="498">
        <f t="shared" si="147"/>
        <v>0</v>
      </c>
      <c r="AQ395" s="498">
        <f t="shared" si="164"/>
        <v>0</v>
      </c>
      <c r="AU395" s="498">
        <f t="shared" si="151"/>
        <v>0</v>
      </c>
      <c r="AV395" s="498">
        <f t="shared" si="152"/>
        <v>0</v>
      </c>
      <c r="AW395" s="498">
        <f t="shared" si="153"/>
        <v>0</v>
      </c>
      <c r="AX395" s="498">
        <f t="shared" si="154"/>
        <v>0</v>
      </c>
      <c r="AY395" s="498">
        <f t="shared" si="155"/>
        <v>0</v>
      </c>
      <c r="BB395" s="498" t="str">
        <f t="shared" si="156"/>
        <v/>
      </c>
      <c r="BC395" s="743" t="str">
        <f t="shared" si="157"/>
        <v/>
      </c>
      <c r="BD395" s="743" t="str">
        <f t="shared" si="158"/>
        <v/>
      </c>
      <c r="BE395" s="743" t="str">
        <f>IF(D395="","",VLOOKUP(D395,'General Basis'!$J$39:$K$46,2,0))</f>
        <v/>
      </c>
      <c r="BF395" s="744" t="str">
        <f>IF(D395="","",VLOOKUP(D395,'General Basis'!$J$39:$L$46,3,0))</f>
        <v/>
      </c>
      <c r="BG395" s="744" t="str">
        <f t="shared" si="165"/>
        <v/>
      </c>
      <c r="BH395" s="744" t="str">
        <f>IF(G395="","",IF(BF395="Abu Dhabi",IF(G395&lt;18,'General Basis'!$C$39,IF(G395&lt;41,'General Basis'!$C$40,IF(G395&lt;60,'General Basis'!$C$41,IF(G395&lt;65,'General Basis'!$C$42,'General Basis'!$C$43)))),IF(G395&lt;11,'General Basis'!$B$39,IF(G395&lt;18,'General Basis'!$B$40,IF(G395&lt;26,'General Basis'!$B$41,IF(G395&lt;31,'General Basis'!$B$42,IF(G395&lt;36,'General Basis'!$B$43,IF(G395&lt;41,'General Basis'!$B$44,IF(G395&lt;46,'General Basis'!$B$45,IF(G395&lt;51,'General Basis'!$B$46,IF(G395&lt;56,'General Basis'!$B$47,IF(G395&lt;60,'General Basis'!$B$48,IF(G395&lt;65,'General Basis'!$B$49,'General Basis'!$B$50)))))))))))))</f>
        <v/>
      </c>
      <c r="BI395" s="744" t="str">
        <f t="shared" si="159"/>
        <v/>
      </c>
      <c r="BJ395" s="747" t="str">
        <f t="shared" si="166"/>
        <v/>
      </c>
      <c r="BK395" s="498" t="str">
        <f t="shared" si="160"/>
        <v/>
      </c>
      <c r="BL395" s="498" t="str">
        <f t="shared" si="161"/>
        <v/>
      </c>
    </row>
    <row r="396" spans="1:64" x14ac:dyDescent="0.25">
      <c r="A396" s="762">
        <f t="shared" si="162"/>
        <v>391</v>
      </c>
      <c r="B396" s="229"/>
      <c r="C396" s="223"/>
      <c r="D396" s="224"/>
      <c r="E396" s="225"/>
      <c r="F396" s="1036" t="str">
        <f t="shared" si="146"/>
        <v/>
      </c>
      <c r="G396" s="1037" t="str">
        <f t="shared" si="163"/>
        <v/>
      </c>
      <c r="H396" s="225"/>
      <c r="I396" s="1013"/>
      <c r="J396" s="1013"/>
      <c r="K396" s="1028"/>
      <c r="L396" s="1035" t="str">
        <f t="shared" si="167"/>
        <v/>
      </c>
      <c r="S396" s="498"/>
      <c r="AJ396" s="498"/>
      <c r="AM396" s="498">
        <f t="shared" si="148"/>
        <v>0</v>
      </c>
      <c r="AN396" s="498">
        <f t="shared" si="149"/>
        <v>0</v>
      </c>
      <c r="AO396" s="498">
        <f t="shared" si="150"/>
        <v>0</v>
      </c>
      <c r="AP396" s="498">
        <f t="shared" si="147"/>
        <v>0</v>
      </c>
      <c r="AQ396" s="498">
        <f t="shared" si="164"/>
        <v>0</v>
      </c>
      <c r="AU396" s="498">
        <f t="shared" si="151"/>
        <v>0</v>
      </c>
      <c r="AV396" s="498">
        <f t="shared" si="152"/>
        <v>0</v>
      </c>
      <c r="AW396" s="498">
        <f t="shared" si="153"/>
        <v>0</v>
      </c>
      <c r="AX396" s="498">
        <f t="shared" si="154"/>
        <v>0</v>
      </c>
      <c r="AY396" s="498">
        <f t="shared" si="155"/>
        <v>0</v>
      </c>
      <c r="BB396" s="498" t="str">
        <f t="shared" si="156"/>
        <v/>
      </c>
      <c r="BC396" s="743" t="str">
        <f t="shared" si="157"/>
        <v/>
      </c>
      <c r="BD396" s="743" t="str">
        <f t="shared" si="158"/>
        <v/>
      </c>
      <c r="BE396" s="743" t="str">
        <f>IF(D396="","",VLOOKUP(D396,'General Basis'!$J$39:$K$46,2,0))</f>
        <v/>
      </c>
      <c r="BF396" s="744" t="str">
        <f>IF(D396="","",VLOOKUP(D396,'General Basis'!$J$39:$L$46,3,0))</f>
        <v/>
      </c>
      <c r="BG396" s="744" t="str">
        <f t="shared" si="165"/>
        <v/>
      </c>
      <c r="BH396" s="744" t="str">
        <f>IF(G396="","",IF(BF396="Abu Dhabi",IF(G396&lt;18,'General Basis'!$C$39,IF(G396&lt;41,'General Basis'!$C$40,IF(G396&lt;60,'General Basis'!$C$41,IF(G396&lt;65,'General Basis'!$C$42,'General Basis'!$C$43)))),IF(G396&lt;11,'General Basis'!$B$39,IF(G396&lt;18,'General Basis'!$B$40,IF(G396&lt;26,'General Basis'!$B$41,IF(G396&lt;31,'General Basis'!$B$42,IF(G396&lt;36,'General Basis'!$B$43,IF(G396&lt;41,'General Basis'!$B$44,IF(G396&lt;46,'General Basis'!$B$45,IF(G396&lt;51,'General Basis'!$B$46,IF(G396&lt;56,'General Basis'!$B$47,IF(G396&lt;60,'General Basis'!$B$48,IF(G396&lt;65,'General Basis'!$B$49,'General Basis'!$B$50)))))))))))))</f>
        <v/>
      </c>
      <c r="BI396" s="744" t="str">
        <f t="shared" si="159"/>
        <v/>
      </c>
      <c r="BJ396" s="747" t="str">
        <f t="shared" si="166"/>
        <v/>
      </c>
      <c r="BK396" s="498" t="str">
        <f t="shared" si="160"/>
        <v/>
      </c>
      <c r="BL396" s="498" t="str">
        <f t="shared" si="161"/>
        <v/>
      </c>
    </row>
    <row r="397" spans="1:64" x14ac:dyDescent="0.25">
      <c r="A397" s="762">
        <f t="shared" si="162"/>
        <v>392</v>
      </c>
      <c r="B397" s="229"/>
      <c r="C397" s="223"/>
      <c r="D397" s="224"/>
      <c r="E397" s="225"/>
      <c r="F397" s="1036" t="str">
        <f t="shared" si="146"/>
        <v/>
      </c>
      <c r="G397" s="1037" t="str">
        <f t="shared" si="163"/>
        <v/>
      </c>
      <c r="H397" s="225"/>
      <c r="I397" s="1013"/>
      <c r="J397" s="1013"/>
      <c r="K397" s="1028"/>
      <c r="L397" s="1035" t="str">
        <f t="shared" si="167"/>
        <v/>
      </c>
      <c r="S397" s="498"/>
      <c r="AJ397" s="498"/>
      <c r="AM397" s="498">
        <f t="shared" si="148"/>
        <v>0</v>
      </c>
      <c r="AN397" s="498">
        <f t="shared" si="149"/>
        <v>0</v>
      </c>
      <c r="AO397" s="498">
        <f t="shared" si="150"/>
        <v>0</v>
      </c>
      <c r="AP397" s="498">
        <f t="shared" si="147"/>
        <v>0</v>
      </c>
      <c r="AQ397" s="498">
        <f t="shared" si="164"/>
        <v>0</v>
      </c>
      <c r="AU397" s="498">
        <f t="shared" si="151"/>
        <v>0</v>
      </c>
      <c r="AV397" s="498">
        <f t="shared" si="152"/>
        <v>0</v>
      </c>
      <c r="AW397" s="498">
        <f t="shared" si="153"/>
        <v>0</v>
      </c>
      <c r="AX397" s="498">
        <f t="shared" si="154"/>
        <v>0</v>
      </c>
      <c r="AY397" s="498">
        <f t="shared" si="155"/>
        <v>0</v>
      </c>
      <c r="BB397" s="498" t="str">
        <f t="shared" si="156"/>
        <v/>
      </c>
      <c r="BC397" s="743" t="str">
        <f t="shared" si="157"/>
        <v/>
      </c>
      <c r="BD397" s="743" t="str">
        <f t="shared" si="158"/>
        <v/>
      </c>
      <c r="BE397" s="743" t="str">
        <f>IF(D397="","",VLOOKUP(D397,'General Basis'!$J$39:$K$46,2,0))</f>
        <v/>
      </c>
      <c r="BF397" s="744" t="str">
        <f>IF(D397="","",VLOOKUP(D397,'General Basis'!$J$39:$L$46,3,0))</f>
        <v/>
      </c>
      <c r="BG397" s="744" t="str">
        <f t="shared" si="165"/>
        <v/>
      </c>
      <c r="BH397" s="744" t="str">
        <f>IF(G397="","",IF(BF397="Abu Dhabi",IF(G397&lt;18,'General Basis'!$C$39,IF(G397&lt;41,'General Basis'!$C$40,IF(G397&lt;60,'General Basis'!$C$41,IF(G397&lt;65,'General Basis'!$C$42,'General Basis'!$C$43)))),IF(G397&lt;11,'General Basis'!$B$39,IF(G397&lt;18,'General Basis'!$B$40,IF(G397&lt;26,'General Basis'!$B$41,IF(G397&lt;31,'General Basis'!$B$42,IF(G397&lt;36,'General Basis'!$B$43,IF(G397&lt;41,'General Basis'!$B$44,IF(G397&lt;46,'General Basis'!$B$45,IF(G397&lt;51,'General Basis'!$B$46,IF(G397&lt;56,'General Basis'!$B$47,IF(G397&lt;60,'General Basis'!$B$48,IF(G397&lt;65,'General Basis'!$B$49,'General Basis'!$B$50)))))))))))))</f>
        <v/>
      </c>
      <c r="BI397" s="744" t="str">
        <f t="shared" si="159"/>
        <v/>
      </c>
      <c r="BJ397" s="747" t="str">
        <f t="shared" si="166"/>
        <v/>
      </c>
      <c r="BK397" s="498" t="str">
        <f t="shared" si="160"/>
        <v/>
      </c>
      <c r="BL397" s="498" t="str">
        <f t="shared" si="161"/>
        <v/>
      </c>
    </row>
    <row r="398" spans="1:64" x14ac:dyDescent="0.25">
      <c r="A398" s="762">
        <f t="shared" si="162"/>
        <v>393</v>
      </c>
      <c r="B398" s="229"/>
      <c r="C398" s="223"/>
      <c r="D398" s="224"/>
      <c r="E398" s="225"/>
      <c r="F398" s="1036" t="str">
        <f t="shared" si="146"/>
        <v/>
      </c>
      <c r="G398" s="1037" t="str">
        <f t="shared" si="163"/>
        <v/>
      </c>
      <c r="H398" s="225"/>
      <c r="I398" s="1013"/>
      <c r="J398" s="1013"/>
      <c r="K398" s="1028"/>
      <c r="L398" s="1035" t="str">
        <f t="shared" si="167"/>
        <v/>
      </c>
      <c r="S398" s="498"/>
      <c r="AJ398" s="498"/>
      <c r="AM398" s="498">
        <f t="shared" si="148"/>
        <v>0</v>
      </c>
      <c r="AN398" s="498">
        <f t="shared" si="149"/>
        <v>0</v>
      </c>
      <c r="AO398" s="498">
        <f t="shared" si="150"/>
        <v>0</v>
      </c>
      <c r="AP398" s="498">
        <f t="shared" si="147"/>
        <v>0</v>
      </c>
      <c r="AQ398" s="498">
        <f t="shared" si="164"/>
        <v>0</v>
      </c>
      <c r="AU398" s="498">
        <f t="shared" si="151"/>
        <v>0</v>
      </c>
      <c r="AV398" s="498">
        <f t="shared" si="152"/>
        <v>0</v>
      </c>
      <c r="AW398" s="498">
        <f t="shared" si="153"/>
        <v>0</v>
      </c>
      <c r="AX398" s="498">
        <f t="shared" si="154"/>
        <v>0</v>
      </c>
      <c r="AY398" s="498">
        <f t="shared" si="155"/>
        <v>0</v>
      </c>
      <c r="BB398" s="498" t="str">
        <f t="shared" si="156"/>
        <v/>
      </c>
      <c r="BC398" s="743" t="str">
        <f t="shared" si="157"/>
        <v/>
      </c>
      <c r="BD398" s="743" t="str">
        <f t="shared" si="158"/>
        <v/>
      </c>
      <c r="BE398" s="743" t="str">
        <f>IF(D398="","",VLOOKUP(D398,'General Basis'!$J$39:$K$46,2,0))</f>
        <v/>
      </c>
      <c r="BF398" s="744" t="str">
        <f>IF(D398="","",VLOOKUP(D398,'General Basis'!$J$39:$L$46,3,0))</f>
        <v/>
      </c>
      <c r="BG398" s="744" t="str">
        <f t="shared" si="165"/>
        <v/>
      </c>
      <c r="BH398" s="744" t="str">
        <f>IF(G398="","",IF(BF398="Abu Dhabi",IF(G398&lt;18,'General Basis'!$C$39,IF(G398&lt;41,'General Basis'!$C$40,IF(G398&lt;60,'General Basis'!$C$41,IF(G398&lt;65,'General Basis'!$C$42,'General Basis'!$C$43)))),IF(G398&lt;11,'General Basis'!$B$39,IF(G398&lt;18,'General Basis'!$B$40,IF(G398&lt;26,'General Basis'!$B$41,IF(G398&lt;31,'General Basis'!$B$42,IF(G398&lt;36,'General Basis'!$B$43,IF(G398&lt;41,'General Basis'!$B$44,IF(G398&lt;46,'General Basis'!$B$45,IF(G398&lt;51,'General Basis'!$B$46,IF(G398&lt;56,'General Basis'!$B$47,IF(G398&lt;60,'General Basis'!$B$48,IF(G398&lt;65,'General Basis'!$B$49,'General Basis'!$B$50)))))))))))))</f>
        <v/>
      </c>
      <c r="BI398" s="744" t="str">
        <f t="shared" si="159"/>
        <v/>
      </c>
      <c r="BJ398" s="747" t="str">
        <f t="shared" si="166"/>
        <v/>
      </c>
      <c r="BK398" s="498" t="str">
        <f t="shared" si="160"/>
        <v/>
      </c>
      <c r="BL398" s="498" t="str">
        <f t="shared" si="161"/>
        <v/>
      </c>
    </row>
    <row r="399" spans="1:64" x14ac:dyDescent="0.25">
      <c r="A399" s="762">
        <f t="shared" si="162"/>
        <v>394</v>
      </c>
      <c r="B399" s="229"/>
      <c r="C399" s="223"/>
      <c r="D399" s="224"/>
      <c r="E399" s="225"/>
      <c r="F399" s="1036" t="str">
        <f t="shared" si="146"/>
        <v/>
      </c>
      <c r="G399" s="1037" t="str">
        <f t="shared" si="163"/>
        <v/>
      </c>
      <c r="H399" s="225"/>
      <c r="I399" s="1013"/>
      <c r="J399" s="1013"/>
      <c r="K399" s="1028"/>
      <c r="L399" s="1035" t="str">
        <f t="shared" si="167"/>
        <v/>
      </c>
      <c r="S399" s="498"/>
      <c r="AJ399" s="498"/>
      <c r="AM399" s="498">
        <f t="shared" si="148"/>
        <v>0</v>
      </c>
      <c r="AN399" s="498">
        <f t="shared" si="149"/>
        <v>0</v>
      </c>
      <c r="AO399" s="498">
        <f t="shared" si="150"/>
        <v>0</v>
      </c>
      <c r="AP399" s="498">
        <f t="shared" si="147"/>
        <v>0</v>
      </c>
      <c r="AQ399" s="498">
        <f t="shared" si="164"/>
        <v>0</v>
      </c>
      <c r="AU399" s="498">
        <f t="shared" si="151"/>
        <v>0</v>
      </c>
      <c r="AV399" s="498">
        <f t="shared" si="152"/>
        <v>0</v>
      </c>
      <c r="AW399" s="498">
        <f t="shared" si="153"/>
        <v>0</v>
      </c>
      <c r="AX399" s="498">
        <f t="shared" si="154"/>
        <v>0</v>
      </c>
      <c r="AY399" s="498">
        <f t="shared" si="155"/>
        <v>0</v>
      </c>
      <c r="BB399" s="498" t="str">
        <f t="shared" si="156"/>
        <v/>
      </c>
      <c r="BC399" s="743" t="str">
        <f t="shared" si="157"/>
        <v/>
      </c>
      <c r="BD399" s="743" t="str">
        <f t="shared" si="158"/>
        <v/>
      </c>
      <c r="BE399" s="743" t="str">
        <f>IF(D399="","",VLOOKUP(D399,'General Basis'!$J$39:$K$46,2,0))</f>
        <v/>
      </c>
      <c r="BF399" s="744" t="str">
        <f>IF(D399="","",VLOOKUP(D399,'General Basis'!$J$39:$L$46,3,0))</f>
        <v/>
      </c>
      <c r="BG399" s="744" t="str">
        <f t="shared" si="165"/>
        <v/>
      </c>
      <c r="BH399" s="744" t="str">
        <f>IF(G399="","",IF(BF399="Abu Dhabi",IF(G399&lt;18,'General Basis'!$C$39,IF(G399&lt;41,'General Basis'!$C$40,IF(G399&lt;60,'General Basis'!$C$41,IF(G399&lt;65,'General Basis'!$C$42,'General Basis'!$C$43)))),IF(G399&lt;11,'General Basis'!$B$39,IF(G399&lt;18,'General Basis'!$B$40,IF(G399&lt;26,'General Basis'!$B$41,IF(G399&lt;31,'General Basis'!$B$42,IF(G399&lt;36,'General Basis'!$B$43,IF(G399&lt;41,'General Basis'!$B$44,IF(G399&lt;46,'General Basis'!$B$45,IF(G399&lt;51,'General Basis'!$B$46,IF(G399&lt;56,'General Basis'!$B$47,IF(G399&lt;60,'General Basis'!$B$48,IF(G399&lt;65,'General Basis'!$B$49,'General Basis'!$B$50)))))))))))))</f>
        <v/>
      </c>
      <c r="BI399" s="744" t="str">
        <f t="shared" si="159"/>
        <v/>
      </c>
      <c r="BJ399" s="747" t="str">
        <f t="shared" si="166"/>
        <v/>
      </c>
      <c r="BK399" s="498" t="str">
        <f t="shared" si="160"/>
        <v/>
      </c>
      <c r="BL399" s="498" t="str">
        <f t="shared" si="161"/>
        <v/>
      </c>
    </row>
    <row r="400" spans="1:64" x14ac:dyDescent="0.25">
      <c r="A400" s="762">
        <f t="shared" si="162"/>
        <v>395</v>
      </c>
      <c r="B400" s="229"/>
      <c r="C400" s="223"/>
      <c r="D400" s="224"/>
      <c r="E400" s="225"/>
      <c r="F400" s="1036" t="str">
        <f t="shared" ref="F400:F463" si="168">IF(C400="","",IF($B400="","",((YEAR($F$3)-YEAR($B400))+(MONTH($F$3)-MONTH($B400))/12+(DAY($F$3)-DAY($B400))/(DATE(YEAR($F$3),12,31)-DATE(YEAR($F$3),1,1)+1))))</f>
        <v/>
      </c>
      <c r="G400" s="1037" t="str">
        <f t="shared" si="163"/>
        <v/>
      </c>
      <c r="H400" s="225"/>
      <c r="I400" s="1013"/>
      <c r="J400" s="1013"/>
      <c r="K400" s="1028"/>
      <c r="L400" s="1035" t="str">
        <f t="shared" si="167"/>
        <v/>
      </c>
      <c r="S400" s="498"/>
      <c r="AJ400" s="498"/>
      <c r="AM400" s="498">
        <f t="shared" si="148"/>
        <v>0</v>
      </c>
      <c r="AN400" s="498">
        <f t="shared" si="149"/>
        <v>0</v>
      </c>
      <c r="AO400" s="498">
        <f t="shared" si="150"/>
        <v>0</v>
      </c>
      <c r="AP400" s="498">
        <f t="shared" si="147"/>
        <v>0</v>
      </c>
      <c r="AQ400" s="498">
        <f t="shared" si="164"/>
        <v>0</v>
      </c>
      <c r="AU400" s="498">
        <f t="shared" si="151"/>
        <v>0</v>
      </c>
      <c r="AV400" s="498">
        <f t="shared" si="152"/>
        <v>0</v>
      </c>
      <c r="AW400" s="498">
        <f t="shared" si="153"/>
        <v>0</v>
      </c>
      <c r="AX400" s="498">
        <f t="shared" si="154"/>
        <v>0</v>
      </c>
      <c r="AY400" s="498">
        <f t="shared" si="155"/>
        <v>0</v>
      </c>
      <c r="BB400" s="498" t="str">
        <f t="shared" si="156"/>
        <v/>
      </c>
      <c r="BC400" s="743" t="str">
        <f t="shared" si="157"/>
        <v/>
      </c>
      <c r="BD400" s="743" t="str">
        <f t="shared" si="158"/>
        <v/>
      </c>
      <c r="BE400" s="743" t="str">
        <f>IF(D400="","",VLOOKUP(D400,'General Basis'!$J$39:$K$46,2,0))</f>
        <v/>
      </c>
      <c r="BF400" s="744" t="str">
        <f>IF(D400="","",VLOOKUP(D400,'General Basis'!$J$39:$L$46,3,0))</f>
        <v/>
      </c>
      <c r="BG400" s="744" t="str">
        <f t="shared" si="165"/>
        <v/>
      </c>
      <c r="BH400" s="744" t="str">
        <f>IF(G400="","",IF(BF400="Abu Dhabi",IF(G400&lt;18,'General Basis'!$C$39,IF(G400&lt;41,'General Basis'!$C$40,IF(G400&lt;60,'General Basis'!$C$41,IF(G400&lt;65,'General Basis'!$C$42,'General Basis'!$C$43)))),IF(G400&lt;11,'General Basis'!$B$39,IF(G400&lt;18,'General Basis'!$B$40,IF(G400&lt;26,'General Basis'!$B$41,IF(G400&lt;31,'General Basis'!$B$42,IF(G400&lt;36,'General Basis'!$B$43,IF(G400&lt;41,'General Basis'!$B$44,IF(G400&lt;46,'General Basis'!$B$45,IF(G400&lt;51,'General Basis'!$B$46,IF(G400&lt;56,'General Basis'!$B$47,IF(G400&lt;60,'General Basis'!$B$48,IF(G400&lt;65,'General Basis'!$B$49,'General Basis'!$B$50)))))))))))))</f>
        <v/>
      </c>
      <c r="BI400" s="744" t="str">
        <f t="shared" si="159"/>
        <v/>
      </c>
      <c r="BJ400" s="747" t="str">
        <f t="shared" si="166"/>
        <v/>
      </c>
      <c r="BK400" s="498" t="str">
        <f t="shared" si="160"/>
        <v/>
      </c>
      <c r="BL400" s="498" t="str">
        <f t="shared" si="161"/>
        <v/>
      </c>
    </row>
    <row r="401" spans="1:64" x14ac:dyDescent="0.25">
      <c r="A401" s="762">
        <f t="shared" si="162"/>
        <v>396</v>
      </c>
      <c r="B401" s="229"/>
      <c r="C401" s="223"/>
      <c r="D401" s="224"/>
      <c r="E401" s="225"/>
      <c r="F401" s="1036" t="str">
        <f t="shared" si="168"/>
        <v/>
      </c>
      <c r="G401" s="1037" t="str">
        <f t="shared" si="163"/>
        <v/>
      </c>
      <c r="H401" s="225"/>
      <c r="I401" s="1013"/>
      <c r="J401" s="1013"/>
      <c r="K401" s="1028"/>
      <c r="L401" s="1035" t="str">
        <f t="shared" si="167"/>
        <v/>
      </c>
      <c r="S401" s="498"/>
      <c r="AJ401" s="498"/>
      <c r="AM401" s="498">
        <f t="shared" si="148"/>
        <v>0</v>
      </c>
      <c r="AN401" s="498">
        <f t="shared" si="149"/>
        <v>0</v>
      </c>
      <c r="AO401" s="498">
        <f t="shared" si="150"/>
        <v>0</v>
      </c>
      <c r="AP401" s="498">
        <f t="shared" si="147"/>
        <v>0</v>
      </c>
      <c r="AQ401" s="498">
        <f t="shared" si="164"/>
        <v>0</v>
      </c>
      <c r="AU401" s="498">
        <f t="shared" si="151"/>
        <v>0</v>
      </c>
      <c r="AV401" s="498">
        <f t="shared" si="152"/>
        <v>0</v>
      </c>
      <c r="AW401" s="498">
        <f t="shared" si="153"/>
        <v>0</v>
      </c>
      <c r="AX401" s="498">
        <f t="shared" si="154"/>
        <v>0</v>
      </c>
      <c r="AY401" s="498">
        <f t="shared" si="155"/>
        <v>0</v>
      </c>
      <c r="BB401" s="498" t="str">
        <f t="shared" si="156"/>
        <v/>
      </c>
      <c r="BC401" s="743" t="str">
        <f t="shared" si="157"/>
        <v/>
      </c>
      <c r="BD401" s="743" t="str">
        <f t="shared" si="158"/>
        <v/>
      </c>
      <c r="BE401" s="743" t="str">
        <f>IF(D401="","",VLOOKUP(D401,'General Basis'!$J$39:$K$46,2,0))</f>
        <v/>
      </c>
      <c r="BF401" s="744" t="str">
        <f>IF(D401="","",VLOOKUP(D401,'General Basis'!$J$39:$L$46,3,0))</f>
        <v/>
      </c>
      <c r="BG401" s="744" t="str">
        <f t="shared" si="165"/>
        <v/>
      </c>
      <c r="BH401" s="744" t="str">
        <f>IF(G401="","",IF(BF401="Abu Dhabi",IF(G401&lt;18,'General Basis'!$C$39,IF(G401&lt;41,'General Basis'!$C$40,IF(G401&lt;60,'General Basis'!$C$41,IF(G401&lt;65,'General Basis'!$C$42,'General Basis'!$C$43)))),IF(G401&lt;11,'General Basis'!$B$39,IF(G401&lt;18,'General Basis'!$B$40,IF(G401&lt;26,'General Basis'!$B$41,IF(G401&lt;31,'General Basis'!$B$42,IF(G401&lt;36,'General Basis'!$B$43,IF(G401&lt;41,'General Basis'!$B$44,IF(G401&lt;46,'General Basis'!$B$45,IF(G401&lt;51,'General Basis'!$B$46,IF(G401&lt;56,'General Basis'!$B$47,IF(G401&lt;60,'General Basis'!$B$48,IF(G401&lt;65,'General Basis'!$B$49,'General Basis'!$B$50)))))))))))))</f>
        <v/>
      </c>
      <c r="BI401" s="744" t="str">
        <f t="shared" si="159"/>
        <v/>
      </c>
      <c r="BJ401" s="747" t="str">
        <f t="shared" si="166"/>
        <v/>
      </c>
      <c r="BK401" s="498" t="str">
        <f t="shared" si="160"/>
        <v/>
      </c>
      <c r="BL401" s="498" t="str">
        <f t="shared" si="161"/>
        <v/>
      </c>
    </row>
    <row r="402" spans="1:64" x14ac:dyDescent="0.25">
      <c r="A402" s="762">
        <f t="shared" si="162"/>
        <v>397</v>
      </c>
      <c r="B402" s="229"/>
      <c r="C402" s="223"/>
      <c r="D402" s="224"/>
      <c r="E402" s="225"/>
      <c r="F402" s="1036" t="str">
        <f t="shared" si="168"/>
        <v/>
      </c>
      <c r="G402" s="1037" t="str">
        <f t="shared" si="163"/>
        <v/>
      </c>
      <c r="H402" s="225"/>
      <c r="I402" s="1013"/>
      <c r="J402" s="1013"/>
      <c r="K402" s="1028"/>
      <c r="L402" s="1035" t="str">
        <f t="shared" si="167"/>
        <v/>
      </c>
      <c r="S402" s="498"/>
      <c r="AJ402" s="498"/>
      <c r="AM402" s="498">
        <f t="shared" si="148"/>
        <v>0</v>
      </c>
      <c r="AN402" s="498">
        <f t="shared" si="149"/>
        <v>0</v>
      </c>
      <c r="AO402" s="498">
        <f t="shared" si="150"/>
        <v>0</v>
      </c>
      <c r="AP402" s="498">
        <f t="shared" si="147"/>
        <v>0</v>
      </c>
      <c r="AQ402" s="498">
        <f t="shared" si="164"/>
        <v>0</v>
      </c>
      <c r="AU402" s="498">
        <f t="shared" si="151"/>
        <v>0</v>
      </c>
      <c r="AV402" s="498">
        <f t="shared" si="152"/>
        <v>0</v>
      </c>
      <c r="AW402" s="498">
        <f t="shared" si="153"/>
        <v>0</v>
      </c>
      <c r="AX402" s="498">
        <f t="shared" si="154"/>
        <v>0</v>
      </c>
      <c r="AY402" s="498">
        <f t="shared" si="155"/>
        <v>0</v>
      </c>
      <c r="BB402" s="498" t="str">
        <f t="shared" si="156"/>
        <v/>
      </c>
      <c r="BC402" s="743" t="str">
        <f t="shared" si="157"/>
        <v/>
      </c>
      <c r="BD402" s="743" t="str">
        <f t="shared" si="158"/>
        <v/>
      </c>
      <c r="BE402" s="743" t="str">
        <f>IF(D402="","",VLOOKUP(D402,'General Basis'!$J$39:$K$46,2,0))</f>
        <v/>
      </c>
      <c r="BF402" s="744" t="str">
        <f>IF(D402="","",VLOOKUP(D402,'General Basis'!$J$39:$L$46,3,0))</f>
        <v/>
      </c>
      <c r="BG402" s="744" t="str">
        <f t="shared" si="165"/>
        <v/>
      </c>
      <c r="BH402" s="744" t="str">
        <f>IF(G402="","",IF(BF402="Abu Dhabi",IF(G402&lt;18,'General Basis'!$C$39,IF(G402&lt;41,'General Basis'!$C$40,IF(G402&lt;60,'General Basis'!$C$41,IF(G402&lt;65,'General Basis'!$C$42,'General Basis'!$C$43)))),IF(G402&lt;11,'General Basis'!$B$39,IF(G402&lt;18,'General Basis'!$B$40,IF(G402&lt;26,'General Basis'!$B$41,IF(G402&lt;31,'General Basis'!$B$42,IF(G402&lt;36,'General Basis'!$B$43,IF(G402&lt;41,'General Basis'!$B$44,IF(G402&lt;46,'General Basis'!$B$45,IF(G402&lt;51,'General Basis'!$B$46,IF(G402&lt;56,'General Basis'!$B$47,IF(G402&lt;60,'General Basis'!$B$48,IF(G402&lt;65,'General Basis'!$B$49,'General Basis'!$B$50)))))))))))))</f>
        <v/>
      </c>
      <c r="BI402" s="744" t="str">
        <f t="shared" si="159"/>
        <v/>
      </c>
      <c r="BJ402" s="747" t="str">
        <f t="shared" si="166"/>
        <v/>
      </c>
      <c r="BK402" s="498" t="str">
        <f t="shared" si="160"/>
        <v/>
      </c>
      <c r="BL402" s="498" t="str">
        <f t="shared" si="161"/>
        <v/>
      </c>
    </row>
    <row r="403" spans="1:64" x14ac:dyDescent="0.25">
      <c r="A403" s="762">
        <f t="shared" si="162"/>
        <v>398</v>
      </c>
      <c r="B403" s="229"/>
      <c r="C403" s="223"/>
      <c r="D403" s="224"/>
      <c r="E403" s="225"/>
      <c r="F403" s="1036" t="str">
        <f t="shared" si="168"/>
        <v/>
      </c>
      <c r="G403" s="1037" t="str">
        <f t="shared" si="163"/>
        <v/>
      </c>
      <c r="H403" s="225"/>
      <c r="I403" s="1013"/>
      <c r="J403" s="1013"/>
      <c r="K403" s="1028"/>
      <c r="L403" s="1035" t="str">
        <f t="shared" si="167"/>
        <v/>
      </c>
      <c r="S403" s="498"/>
      <c r="AJ403" s="498"/>
      <c r="AM403" s="498">
        <f t="shared" si="148"/>
        <v>0</v>
      </c>
      <c r="AN403" s="498">
        <f t="shared" si="149"/>
        <v>0</v>
      </c>
      <c r="AO403" s="498">
        <f t="shared" si="150"/>
        <v>0</v>
      </c>
      <c r="AP403" s="498">
        <f t="shared" ref="AP403:AP466" si="169">IF(ISBLANK($B403),0,IF(OR($C403="M",$C403="F"),0,1))</f>
        <v>0</v>
      </c>
      <c r="AQ403" s="498">
        <f t="shared" si="164"/>
        <v>0</v>
      </c>
      <c r="AU403" s="498">
        <f t="shared" si="151"/>
        <v>0</v>
      </c>
      <c r="AV403" s="498">
        <f t="shared" si="152"/>
        <v>0</v>
      </c>
      <c r="AW403" s="498">
        <f t="shared" si="153"/>
        <v>0</v>
      </c>
      <c r="AX403" s="498">
        <f t="shared" si="154"/>
        <v>0</v>
      </c>
      <c r="AY403" s="498">
        <f t="shared" si="155"/>
        <v>0</v>
      </c>
      <c r="BB403" s="498" t="str">
        <f t="shared" si="156"/>
        <v/>
      </c>
      <c r="BC403" s="743" t="str">
        <f t="shared" si="157"/>
        <v/>
      </c>
      <c r="BD403" s="743" t="str">
        <f t="shared" si="158"/>
        <v/>
      </c>
      <c r="BE403" s="743" t="str">
        <f>IF(D403="","",VLOOKUP(D403,'General Basis'!$J$39:$K$46,2,0))</f>
        <v/>
      </c>
      <c r="BF403" s="744" t="str">
        <f>IF(D403="","",VLOOKUP(D403,'General Basis'!$J$39:$L$46,3,0))</f>
        <v/>
      </c>
      <c r="BG403" s="744" t="str">
        <f t="shared" si="165"/>
        <v/>
      </c>
      <c r="BH403" s="744" t="str">
        <f>IF(G403="","",IF(BF403="Abu Dhabi",IF(G403&lt;18,'General Basis'!$C$39,IF(G403&lt;41,'General Basis'!$C$40,IF(G403&lt;60,'General Basis'!$C$41,IF(G403&lt;65,'General Basis'!$C$42,'General Basis'!$C$43)))),IF(G403&lt;11,'General Basis'!$B$39,IF(G403&lt;18,'General Basis'!$B$40,IF(G403&lt;26,'General Basis'!$B$41,IF(G403&lt;31,'General Basis'!$B$42,IF(G403&lt;36,'General Basis'!$B$43,IF(G403&lt;41,'General Basis'!$B$44,IF(G403&lt;46,'General Basis'!$B$45,IF(G403&lt;51,'General Basis'!$B$46,IF(G403&lt;56,'General Basis'!$B$47,IF(G403&lt;60,'General Basis'!$B$48,IF(G403&lt;65,'General Basis'!$B$49,'General Basis'!$B$50)))))))))))))</f>
        <v/>
      </c>
      <c r="BI403" s="744" t="str">
        <f t="shared" si="159"/>
        <v/>
      </c>
      <c r="BJ403" s="747" t="str">
        <f t="shared" si="166"/>
        <v/>
      </c>
      <c r="BK403" s="498" t="str">
        <f t="shared" si="160"/>
        <v/>
      </c>
      <c r="BL403" s="498" t="str">
        <f t="shared" si="161"/>
        <v/>
      </c>
    </row>
    <row r="404" spans="1:64" x14ac:dyDescent="0.25">
      <c r="A404" s="762">
        <f t="shared" si="162"/>
        <v>399</v>
      </c>
      <c r="B404" s="229"/>
      <c r="C404" s="223"/>
      <c r="D404" s="224"/>
      <c r="E404" s="225"/>
      <c r="F404" s="1036" t="str">
        <f t="shared" si="168"/>
        <v/>
      </c>
      <c r="G404" s="1037" t="str">
        <f t="shared" si="163"/>
        <v/>
      </c>
      <c r="H404" s="225"/>
      <c r="I404" s="1013"/>
      <c r="J404" s="1013"/>
      <c r="K404" s="1028"/>
      <c r="L404" s="1035" t="str">
        <f t="shared" si="167"/>
        <v/>
      </c>
      <c r="S404" s="498"/>
      <c r="AJ404" s="498"/>
      <c r="AM404" s="498">
        <f t="shared" si="148"/>
        <v>0</v>
      </c>
      <c r="AN404" s="498">
        <f t="shared" si="149"/>
        <v>0</v>
      </c>
      <c r="AO404" s="498">
        <f t="shared" si="150"/>
        <v>0</v>
      </c>
      <c r="AP404" s="498">
        <f t="shared" si="169"/>
        <v>0</v>
      </c>
      <c r="AQ404" s="498">
        <f t="shared" si="164"/>
        <v>0</v>
      </c>
      <c r="AU404" s="498">
        <f t="shared" si="151"/>
        <v>0</v>
      </c>
      <c r="AV404" s="498">
        <f t="shared" si="152"/>
        <v>0</v>
      </c>
      <c r="AW404" s="498">
        <f t="shared" si="153"/>
        <v>0</v>
      </c>
      <c r="AX404" s="498">
        <f t="shared" si="154"/>
        <v>0</v>
      </c>
      <c r="AY404" s="498">
        <f t="shared" si="155"/>
        <v>0</v>
      </c>
      <c r="BB404" s="498" t="str">
        <f t="shared" si="156"/>
        <v/>
      </c>
      <c r="BC404" s="743" t="str">
        <f t="shared" si="157"/>
        <v/>
      </c>
      <c r="BD404" s="743" t="str">
        <f t="shared" si="158"/>
        <v/>
      </c>
      <c r="BE404" s="743" t="str">
        <f>IF(D404="","",VLOOKUP(D404,'General Basis'!$J$39:$K$46,2,0))</f>
        <v/>
      </c>
      <c r="BF404" s="744" t="str">
        <f>IF(D404="","",VLOOKUP(D404,'General Basis'!$J$39:$L$46,3,0))</f>
        <v/>
      </c>
      <c r="BG404" s="744" t="str">
        <f t="shared" si="165"/>
        <v/>
      </c>
      <c r="BH404" s="744" t="str">
        <f>IF(G404="","",IF(BF404="Abu Dhabi",IF(G404&lt;18,'General Basis'!$C$39,IF(G404&lt;41,'General Basis'!$C$40,IF(G404&lt;60,'General Basis'!$C$41,IF(G404&lt;65,'General Basis'!$C$42,'General Basis'!$C$43)))),IF(G404&lt;11,'General Basis'!$B$39,IF(G404&lt;18,'General Basis'!$B$40,IF(G404&lt;26,'General Basis'!$B$41,IF(G404&lt;31,'General Basis'!$B$42,IF(G404&lt;36,'General Basis'!$B$43,IF(G404&lt;41,'General Basis'!$B$44,IF(G404&lt;46,'General Basis'!$B$45,IF(G404&lt;51,'General Basis'!$B$46,IF(G404&lt;56,'General Basis'!$B$47,IF(G404&lt;60,'General Basis'!$B$48,IF(G404&lt;65,'General Basis'!$B$49,'General Basis'!$B$50)))))))))))))</f>
        <v/>
      </c>
      <c r="BI404" s="744" t="str">
        <f t="shared" si="159"/>
        <v/>
      </c>
      <c r="BJ404" s="747" t="str">
        <f t="shared" si="166"/>
        <v/>
      </c>
      <c r="BK404" s="498" t="str">
        <f t="shared" si="160"/>
        <v/>
      </c>
      <c r="BL404" s="498" t="str">
        <f t="shared" si="161"/>
        <v/>
      </c>
    </row>
    <row r="405" spans="1:64" x14ac:dyDescent="0.25">
      <c r="A405" s="762">
        <f t="shared" si="162"/>
        <v>400</v>
      </c>
      <c r="B405" s="229"/>
      <c r="C405" s="223"/>
      <c r="D405" s="224"/>
      <c r="E405" s="225"/>
      <c r="F405" s="1036" t="str">
        <f t="shared" si="168"/>
        <v/>
      </c>
      <c r="G405" s="1037" t="str">
        <f t="shared" si="163"/>
        <v/>
      </c>
      <c r="H405" s="225"/>
      <c r="I405" s="1013"/>
      <c r="J405" s="1013"/>
      <c r="K405" s="1028"/>
      <c r="L405" s="1035" t="str">
        <f t="shared" si="167"/>
        <v/>
      </c>
      <c r="S405" s="498"/>
      <c r="AJ405" s="498"/>
      <c r="AM405" s="498">
        <f t="shared" si="148"/>
        <v>0</v>
      </c>
      <c r="AN405" s="498">
        <f t="shared" si="149"/>
        <v>0</v>
      </c>
      <c r="AO405" s="498">
        <f t="shared" si="150"/>
        <v>0</v>
      </c>
      <c r="AP405" s="498">
        <f t="shared" si="169"/>
        <v>0</v>
      </c>
      <c r="AQ405" s="498">
        <f t="shared" si="164"/>
        <v>0</v>
      </c>
      <c r="AU405" s="498">
        <f t="shared" si="151"/>
        <v>0</v>
      </c>
      <c r="AV405" s="498">
        <f t="shared" si="152"/>
        <v>0</v>
      </c>
      <c r="AW405" s="498">
        <f t="shared" si="153"/>
        <v>0</v>
      </c>
      <c r="AX405" s="498">
        <f t="shared" si="154"/>
        <v>0</v>
      </c>
      <c r="AY405" s="498">
        <f t="shared" si="155"/>
        <v>0</v>
      </c>
      <c r="BB405" s="498" t="str">
        <f t="shared" si="156"/>
        <v/>
      </c>
      <c r="BC405" s="743" t="str">
        <f t="shared" si="157"/>
        <v/>
      </c>
      <c r="BD405" s="743" t="str">
        <f t="shared" si="158"/>
        <v/>
      </c>
      <c r="BE405" s="743" t="str">
        <f>IF(D405="","",VLOOKUP(D405,'General Basis'!$J$39:$K$46,2,0))</f>
        <v/>
      </c>
      <c r="BF405" s="744" t="str">
        <f>IF(D405="","",VLOOKUP(D405,'General Basis'!$J$39:$L$46,3,0))</f>
        <v/>
      </c>
      <c r="BG405" s="744" t="str">
        <f t="shared" si="165"/>
        <v/>
      </c>
      <c r="BH405" s="744" t="str">
        <f>IF(G405="","",IF(BF405="Abu Dhabi",IF(G405&lt;18,'General Basis'!$C$39,IF(G405&lt;41,'General Basis'!$C$40,IF(G405&lt;60,'General Basis'!$C$41,IF(G405&lt;65,'General Basis'!$C$42,'General Basis'!$C$43)))),IF(G405&lt;11,'General Basis'!$B$39,IF(G405&lt;18,'General Basis'!$B$40,IF(G405&lt;26,'General Basis'!$B$41,IF(G405&lt;31,'General Basis'!$B$42,IF(G405&lt;36,'General Basis'!$B$43,IF(G405&lt;41,'General Basis'!$B$44,IF(G405&lt;46,'General Basis'!$B$45,IF(G405&lt;51,'General Basis'!$B$46,IF(G405&lt;56,'General Basis'!$B$47,IF(G405&lt;60,'General Basis'!$B$48,IF(G405&lt;65,'General Basis'!$B$49,'General Basis'!$B$50)))))))))))))</f>
        <v/>
      </c>
      <c r="BI405" s="744" t="str">
        <f t="shared" si="159"/>
        <v/>
      </c>
      <c r="BJ405" s="747" t="str">
        <f t="shared" si="166"/>
        <v/>
      </c>
      <c r="BK405" s="498" t="str">
        <f t="shared" si="160"/>
        <v/>
      </c>
      <c r="BL405" s="498" t="str">
        <f t="shared" si="161"/>
        <v/>
      </c>
    </row>
    <row r="406" spans="1:64" x14ac:dyDescent="0.25">
      <c r="A406" s="762">
        <f t="shared" si="162"/>
        <v>401</v>
      </c>
      <c r="B406" s="229"/>
      <c r="C406" s="223"/>
      <c r="D406" s="224"/>
      <c r="E406" s="225"/>
      <c r="F406" s="1036" t="str">
        <f t="shared" si="168"/>
        <v/>
      </c>
      <c r="G406" s="1037" t="str">
        <f t="shared" si="163"/>
        <v/>
      </c>
      <c r="H406" s="225"/>
      <c r="I406" s="1013"/>
      <c r="J406" s="1013"/>
      <c r="K406" s="1028"/>
      <c r="L406" s="1035" t="str">
        <f t="shared" si="167"/>
        <v/>
      </c>
      <c r="S406" s="498"/>
      <c r="AJ406" s="498"/>
      <c r="AM406" s="498">
        <f t="shared" si="148"/>
        <v>0</v>
      </c>
      <c r="AN406" s="498">
        <f t="shared" si="149"/>
        <v>0</v>
      </c>
      <c r="AO406" s="498">
        <f t="shared" si="150"/>
        <v>0</v>
      </c>
      <c r="AP406" s="498">
        <f t="shared" si="169"/>
        <v>0</v>
      </c>
      <c r="AQ406" s="498">
        <f t="shared" si="164"/>
        <v>0</v>
      </c>
      <c r="AU406" s="498">
        <f t="shared" si="151"/>
        <v>0</v>
      </c>
      <c r="AV406" s="498">
        <f t="shared" si="152"/>
        <v>0</v>
      </c>
      <c r="AW406" s="498">
        <f t="shared" si="153"/>
        <v>0</v>
      </c>
      <c r="AX406" s="498">
        <f t="shared" si="154"/>
        <v>0</v>
      </c>
      <c r="AY406" s="498">
        <f t="shared" si="155"/>
        <v>0</v>
      </c>
      <c r="BB406" s="498" t="str">
        <f t="shared" si="156"/>
        <v/>
      </c>
      <c r="BC406" s="743" t="str">
        <f t="shared" si="157"/>
        <v/>
      </c>
      <c r="BD406" s="743" t="str">
        <f t="shared" si="158"/>
        <v/>
      </c>
      <c r="BE406" s="743" t="str">
        <f>IF(D406="","",VLOOKUP(D406,'General Basis'!$J$39:$K$46,2,0))</f>
        <v/>
      </c>
      <c r="BF406" s="744" t="str">
        <f>IF(D406="","",VLOOKUP(D406,'General Basis'!$J$39:$L$46,3,0))</f>
        <v/>
      </c>
      <c r="BG406" s="744" t="str">
        <f t="shared" si="165"/>
        <v/>
      </c>
      <c r="BH406" s="744" t="str">
        <f>IF(G406="","",IF(BF406="Abu Dhabi",IF(G406&lt;18,'General Basis'!$C$39,IF(G406&lt;41,'General Basis'!$C$40,IF(G406&lt;60,'General Basis'!$C$41,IF(G406&lt;65,'General Basis'!$C$42,'General Basis'!$C$43)))),IF(G406&lt;11,'General Basis'!$B$39,IF(G406&lt;18,'General Basis'!$B$40,IF(G406&lt;26,'General Basis'!$B$41,IF(G406&lt;31,'General Basis'!$B$42,IF(G406&lt;36,'General Basis'!$B$43,IF(G406&lt;41,'General Basis'!$B$44,IF(G406&lt;46,'General Basis'!$B$45,IF(G406&lt;51,'General Basis'!$B$46,IF(G406&lt;56,'General Basis'!$B$47,IF(G406&lt;60,'General Basis'!$B$48,IF(G406&lt;65,'General Basis'!$B$49,'General Basis'!$B$50)))))))))))))</f>
        <v/>
      </c>
      <c r="BI406" s="744" t="str">
        <f t="shared" si="159"/>
        <v/>
      </c>
      <c r="BJ406" s="747" t="str">
        <f t="shared" si="166"/>
        <v/>
      </c>
      <c r="BK406" s="498" t="str">
        <f t="shared" si="160"/>
        <v/>
      </c>
      <c r="BL406" s="498" t="str">
        <f t="shared" si="161"/>
        <v/>
      </c>
    </row>
    <row r="407" spans="1:64" x14ac:dyDescent="0.25">
      <c r="A407" s="762">
        <f t="shared" si="162"/>
        <v>402</v>
      </c>
      <c r="B407" s="229"/>
      <c r="C407" s="223"/>
      <c r="D407" s="224"/>
      <c r="E407" s="225"/>
      <c r="F407" s="1036" t="str">
        <f t="shared" si="168"/>
        <v/>
      </c>
      <c r="G407" s="1037" t="str">
        <f t="shared" si="163"/>
        <v/>
      </c>
      <c r="H407" s="225"/>
      <c r="I407" s="1013"/>
      <c r="J407" s="1013"/>
      <c r="K407" s="1028"/>
      <c r="L407" s="1035" t="str">
        <f t="shared" si="167"/>
        <v/>
      </c>
      <c r="S407" s="498"/>
      <c r="AJ407" s="498"/>
      <c r="AM407" s="498">
        <f t="shared" si="148"/>
        <v>0</v>
      </c>
      <c r="AN407" s="498">
        <f t="shared" si="149"/>
        <v>0</v>
      </c>
      <c r="AO407" s="498">
        <f t="shared" si="150"/>
        <v>0</v>
      </c>
      <c r="AP407" s="498">
        <f t="shared" si="169"/>
        <v>0</v>
      </c>
      <c r="AQ407" s="498">
        <f t="shared" si="164"/>
        <v>0</v>
      </c>
      <c r="AU407" s="498">
        <f t="shared" si="151"/>
        <v>0</v>
      </c>
      <c r="AV407" s="498">
        <f t="shared" si="152"/>
        <v>0</v>
      </c>
      <c r="AW407" s="498">
        <f t="shared" si="153"/>
        <v>0</v>
      </c>
      <c r="AX407" s="498">
        <f t="shared" si="154"/>
        <v>0</v>
      </c>
      <c r="AY407" s="498">
        <f t="shared" si="155"/>
        <v>0</v>
      </c>
      <c r="BB407" s="498" t="str">
        <f t="shared" si="156"/>
        <v/>
      </c>
      <c r="BC407" s="743" t="str">
        <f t="shared" si="157"/>
        <v/>
      </c>
      <c r="BD407" s="743" t="str">
        <f t="shared" si="158"/>
        <v/>
      </c>
      <c r="BE407" s="743" t="str">
        <f>IF(D407="","",VLOOKUP(D407,'General Basis'!$J$39:$K$46,2,0))</f>
        <v/>
      </c>
      <c r="BF407" s="744" t="str">
        <f>IF(D407="","",VLOOKUP(D407,'General Basis'!$J$39:$L$46,3,0))</f>
        <v/>
      </c>
      <c r="BG407" s="744" t="str">
        <f t="shared" si="165"/>
        <v/>
      </c>
      <c r="BH407" s="744" t="str">
        <f>IF(G407="","",IF(BF407="Abu Dhabi",IF(G407&lt;18,'General Basis'!$C$39,IF(G407&lt;41,'General Basis'!$C$40,IF(G407&lt;60,'General Basis'!$C$41,IF(G407&lt;65,'General Basis'!$C$42,'General Basis'!$C$43)))),IF(G407&lt;11,'General Basis'!$B$39,IF(G407&lt;18,'General Basis'!$B$40,IF(G407&lt;26,'General Basis'!$B$41,IF(G407&lt;31,'General Basis'!$B$42,IF(G407&lt;36,'General Basis'!$B$43,IF(G407&lt;41,'General Basis'!$B$44,IF(G407&lt;46,'General Basis'!$B$45,IF(G407&lt;51,'General Basis'!$B$46,IF(G407&lt;56,'General Basis'!$B$47,IF(G407&lt;60,'General Basis'!$B$48,IF(G407&lt;65,'General Basis'!$B$49,'General Basis'!$B$50)))))))))))))</f>
        <v/>
      </c>
      <c r="BI407" s="744" t="str">
        <f t="shared" si="159"/>
        <v/>
      </c>
      <c r="BJ407" s="747" t="str">
        <f t="shared" si="166"/>
        <v/>
      </c>
      <c r="BK407" s="498" t="str">
        <f t="shared" si="160"/>
        <v/>
      </c>
      <c r="BL407" s="498" t="str">
        <f t="shared" si="161"/>
        <v/>
      </c>
    </row>
    <row r="408" spans="1:64" x14ac:dyDescent="0.25">
      <c r="A408" s="762">
        <f t="shared" si="162"/>
        <v>403</v>
      </c>
      <c r="B408" s="229"/>
      <c r="C408" s="223"/>
      <c r="D408" s="224"/>
      <c r="E408" s="225"/>
      <c r="F408" s="1036" t="str">
        <f t="shared" si="168"/>
        <v/>
      </c>
      <c r="G408" s="1037" t="str">
        <f t="shared" si="163"/>
        <v/>
      </c>
      <c r="H408" s="225"/>
      <c r="I408" s="1013"/>
      <c r="J408" s="1013"/>
      <c r="K408" s="1028"/>
      <c r="L408" s="1035" t="str">
        <f t="shared" si="167"/>
        <v/>
      </c>
      <c r="S408" s="498"/>
      <c r="AJ408" s="498"/>
      <c r="AM408" s="498">
        <f t="shared" si="148"/>
        <v>0</v>
      </c>
      <c r="AN408" s="498">
        <f t="shared" si="149"/>
        <v>0</v>
      </c>
      <c r="AO408" s="498">
        <f t="shared" si="150"/>
        <v>0</v>
      </c>
      <c r="AP408" s="498">
        <f t="shared" si="169"/>
        <v>0</v>
      </c>
      <c r="AQ408" s="498">
        <f t="shared" si="164"/>
        <v>0</v>
      </c>
      <c r="AU408" s="498">
        <f t="shared" si="151"/>
        <v>0</v>
      </c>
      <c r="AV408" s="498">
        <f t="shared" si="152"/>
        <v>0</v>
      </c>
      <c r="AW408" s="498">
        <f t="shared" si="153"/>
        <v>0</v>
      </c>
      <c r="AX408" s="498">
        <f t="shared" si="154"/>
        <v>0</v>
      </c>
      <c r="AY408" s="498">
        <f t="shared" si="155"/>
        <v>0</v>
      </c>
      <c r="BB408" s="498" t="str">
        <f t="shared" si="156"/>
        <v/>
      </c>
      <c r="BC408" s="743" t="str">
        <f t="shared" si="157"/>
        <v/>
      </c>
      <c r="BD408" s="743" t="str">
        <f t="shared" si="158"/>
        <v/>
      </c>
      <c r="BE408" s="743" t="str">
        <f>IF(D408="","",VLOOKUP(D408,'General Basis'!$J$39:$K$46,2,0))</f>
        <v/>
      </c>
      <c r="BF408" s="744" t="str">
        <f>IF(D408="","",VLOOKUP(D408,'General Basis'!$J$39:$L$46,3,0))</f>
        <v/>
      </c>
      <c r="BG408" s="744" t="str">
        <f t="shared" si="165"/>
        <v/>
      </c>
      <c r="BH408" s="744" t="str">
        <f>IF(G408="","",IF(BF408="Abu Dhabi",IF(G408&lt;18,'General Basis'!$C$39,IF(G408&lt;41,'General Basis'!$C$40,IF(G408&lt;60,'General Basis'!$C$41,IF(G408&lt;65,'General Basis'!$C$42,'General Basis'!$C$43)))),IF(G408&lt;11,'General Basis'!$B$39,IF(G408&lt;18,'General Basis'!$B$40,IF(G408&lt;26,'General Basis'!$B$41,IF(G408&lt;31,'General Basis'!$B$42,IF(G408&lt;36,'General Basis'!$B$43,IF(G408&lt;41,'General Basis'!$B$44,IF(G408&lt;46,'General Basis'!$B$45,IF(G408&lt;51,'General Basis'!$B$46,IF(G408&lt;56,'General Basis'!$B$47,IF(G408&lt;60,'General Basis'!$B$48,IF(G408&lt;65,'General Basis'!$B$49,'General Basis'!$B$50)))))))))))))</f>
        <v/>
      </c>
      <c r="BI408" s="744" t="str">
        <f t="shared" si="159"/>
        <v/>
      </c>
      <c r="BJ408" s="747" t="str">
        <f t="shared" si="166"/>
        <v/>
      </c>
      <c r="BK408" s="498" t="str">
        <f t="shared" si="160"/>
        <v/>
      </c>
      <c r="BL408" s="498" t="str">
        <f t="shared" si="161"/>
        <v/>
      </c>
    </row>
    <row r="409" spans="1:64" x14ac:dyDescent="0.25">
      <c r="A409" s="762">
        <f t="shared" si="162"/>
        <v>404</v>
      </c>
      <c r="B409" s="229"/>
      <c r="C409" s="223"/>
      <c r="D409" s="224"/>
      <c r="E409" s="225"/>
      <c r="F409" s="1036" t="str">
        <f t="shared" si="168"/>
        <v/>
      </c>
      <c r="G409" s="1037" t="str">
        <f t="shared" si="163"/>
        <v/>
      </c>
      <c r="H409" s="225"/>
      <c r="I409" s="1013"/>
      <c r="J409" s="1013"/>
      <c r="K409" s="1028"/>
      <c r="L409" s="1035" t="str">
        <f t="shared" si="167"/>
        <v/>
      </c>
      <c r="S409" s="498"/>
      <c r="AJ409" s="498"/>
      <c r="AM409" s="498">
        <f t="shared" si="148"/>
        <v>0</v>
      </c>
      <c r="AN409" s="498">
        <f t="shared" si="149"/>
        <v>0</v>
      </c>
      <c r="AO409" s="498">
        <f t="shared" si="150"/>
        <v>0</v>
      </c>
      <c r="AP409" s="498">
        <f t="shared" si="169"/>
        <v>0</v>
      </c>
      <c r="AQ409" s="498">
        <f t="shared" si="164"/>
        <v>0</v>
      </c>
      <c r="AU409" s="498">
        <f t="shared" si="151"/>
        <v>0</v>
      </c>
      <c r="AV409" s="498">
        <f t="shared" si="152"/>
        <v>0</v>
      </c>
      <c r="AW409" s="498">
        <f t="shared" si="153"/>
        <v>0</v>
      </c>
      <c r="AX409" s="498">
        <f t="shared" si="154"/>
        <v>0</v>
      </c>
      <c r="AY409" s="498">
        <f t="shared" si="155"/>
        <v>0</v>
      </c>
      <c r="BB409" s="498" t="str">
        <f t="shared" si="156"/>
        <v/>
      </c>
      <c r="BC409" s="743" t="str">
        <f t="shared" si="157"/>
        <v/>
      </c>
      <c r="BD409" s="743" t="str">
        <f t="shared" si="158"/>
        <v/>
      </c>
      <c r="BE409" s="743" t="str">
        <f>IF(D409="","",VLOOKUP(D409,'General Basis'!$J$39:$K$46,2,0))</f>
        <v/>
      </c>
      <c r="BF409" s="744" t="str">
        <f>IF(D409="","",VLOOKUP(D409,'General Basis'!$J$39:$L$46,3,0))</f>
        <v/>
      </c>
      <c r="BG409" s="744" t="str">
        <f t="shared" si="165"/>
        <v/>
      </c>
      <c r="BH409" s="744" t="str">
        <f>IF(G409="","",IF(BF409="Abu Dhabi",IF(G409&lt;18,'General Basis'!$C$39,IF(G409&lt;41,'General Basis'!$C$40,IF(G409&lt;60,'General Basis'!$C$41,IF(G409&lt;65,'General Basis'!$C$42,'General Basis'!$C$43)))),IF(G409&lt;11,'General Basis'!$B$39,IF(G409&lt;18,'General Basis'!$B$40,IF(G409&lt;26,'General Basis'!$B$41,IF(G409&lt;31,'General Basis'!$B$42,IF(G409&lt;36,'General Basis'!$B$43,IF(G409&lt;41,'General Basis'!$B$44,IF(G409&lt;46,'General Basis'!$B$45,IF(G409&lt;51,'General Basis'!$B$46,IF(G409&lt;56,'General Basis'!$B$47,IF(G409&lt;60,'General Basis'!$B$48,IF(G409&lt;65,'General Basis'!$B$49,'General Basis'!$B$50)))))))))))))</f>
        <v/>
      </c>
      <c r="BI409" s="744" t="str">
        <f t="shared" si="159"/>
        <v/>
      </c>
      <c r="BJ409" s="747" t="str">
        <f t="shared" si="166"/>
        <v/>
      </c>
      <c r="BK409" s="498" t="str">
        <f t="shared" si="160"/>
        <v/>
      </c>
      <c r="BL409" s="498" t="str">
        <f t="shared" si="161"/>
        <v/>
      </c>
    </row>
    <row r="410" spans="1:64" x14ac:dyDescent="0.25">
      <c r="A410" s="762">
        <f t="shared" si="162"/>
        <v>405</v>
      </c>
      <c r="B410" s="229"/>
      <c r="C410" s="223"/>
      <c r="D410" s="224"/>
      <c r="E410" s="225"/>
      <c r="F410" s="1036" t="str">
        <f t="shared" si="168"/>
        <v/>
      </c>
      <c r="G410" s="1037" t="str">
        <f t="shared" si="163"/>
        <v/>
      </c>
      <c r="H410" s="225"/>
      <c r="I410" s="1013"/>
      <c r="J410" s="1013"/>
      <c r="K410" s="1028"/>
      <c r="L410" s="1035" t="str">
        <f t="shared" si="167"/>
        <v/>
      </c>
      <c r="S410" s="498"/>
      <c r="AJ410" s="498"/>
      <c r="AM410" s="498">
        <f t="shared" si="148"/>
        <v>0</v>
      </c>
      <c r="AN410" s="498">
        <f t="shared" si="149"/>
        <v>0</v>
      </c>
      <c r="AO410" s="498">
        <f t="shared" si="150"/>
        <v>0</v>
      </c>
      <c r="AP410" s="498">
        <f t="shared" si="169"/>
        <v>0</v>
      </c>
      <c r="AQ410" s="498">
        <f t="shared" si="164"/>
        <v>0</v>
      </c>
      <c r="AU410" s="498">
        <f t="shared" si="151"/>
        <v>0</v>
      </c>
      <c r="AV410" s="498">
        <f t="shared" si="152"/>
        <v>0</v>
      </c>
      <c r="AW410" s="498">
        <f t="shared" si="153"/>
        <v>0</v>
      </c>
      <c r="AX410" s="498">
        <f t="shared" si="154"/>
        <v>0</v>
      </c>
      <c r="AY410" s="498">
        <f t="shared" si="155"/>
        <v>0</v>
      </c>
      <c r="BB410" s="498" t="str">
        <f t="shared" si="156"/>
        <v/>
      </c>
      <c r="BC410" s="743" t="str">
        <f t="shared" si="157"/>
        <v/>
      </c>
      <c r="BD410" s="743" t="str">
        <f t="shared" si="158"/>
        <v/>
      </c>
      <c r="BE410" s="743" t="str">
        <f>IF(D410="","",VLOOKUP(D410,'General Basis'!$J$39:$K$46,2,0))</f>
        <v/>
      </c>
      <c r="BF410" s="744" t="str">
        <f>IF(D410="","",VLOOKUP(D410,'General Basis'!$J$39:$L$46,3,0))</f>
        <v/>
      </c>
      <c r="BG410" s="744" t="str">
        <f t="shared" si="165"/>
        <v/>
      </c>
      <c r="BH410" s="744" t="str">
        <f>IF(G410="","",IF(BF410="Abu Dhabi",IF(G410&lt;18,'General Basis'!$C$39,IF(G410&lt;41,'General Basis'!$C$40,IF(G410&lt;60,'General Basis'!$C$41,IF(G410&lt;65,'General Basis'!$C$42,'General Basis'!$C$43)))),IF(G410&lt;11,'General Basis'!$B$39,IF(G410&lt;18,'General Basis'!$B$40,IF(G410&lt;26,'General Basis'!$B$41,IF(G410&lt;31,'General Basis'!$B$42,IF(G410&lt;36,'General Basis'!$B$43,IF(G410&lt;41,'General Basis'!$B$44,IF(G410&lt;46,'General Basis'!$B$45,IF(G410&lt;51,'General Basis'!$B$46,IF(G410&lt;56,'General Basis'!$B$47,IF(G410&lt;60,'General Basis'!$B$48,IF(G410&lt;65,'General Basis'!$B$49,'General Basis'!$B$50)))))))))))))</f>
        <v/>
      </c>
      <c r="BI410" s="744" t="str">
        <f t="shared" si="159"/>
        <v/>
      </c>
      <c r="BJ410" s="747" t="str">
        <f t="shared" si="166"/>
        <v/>
      </c>
      <c r="BK410" s="498" t="str">
        <f t="shared" si="160"/>
        <v/>
      </c>
      <c r="BL410" s="498" t="str">
        <f t="shared" si="161"/>
        <v/>
      </c>
    </row>
    <row r="411" spans="1:64" x14ac:dyDescent="0.25">
      <c r="A411" s="762">
        <f t="shared" si="162"/>
        <v>406</v>
      </c>
      <c r="B411" s="229"/>
      <c r="C411" s="223"/>
      <c r="D411" s="224"/>
      <c r="E411" s="225"/>
      <c r="F411" s="1036" t="str">
        <f t="shared" si="168"/>
        <v/>
      </c>
      <c r="G411" s="1037" t="str">
        <f t="shared" si="163"/>
        <v/>
      </c>
      <c r="H411" s="225"/>
      <c r="I411" s="1013"/>
      <c r="J411" s="1013"/>
      <c r="K411" s="1028"/>
      <c r="L411" s="1035" t="str">
        <f t="shared" si="167"/>
        <v/>
      </c>
      <c r="S411" s="498"/>
      <c r="AJ411" s="498"/>
      <c r="AM411" s="498">
        <f t="shared" si="148"/>
        <v>0</v>
      </c>
      <c r="AN411" s="498">
        <f t="shared" si="149"/>
        <v>0</v>
      </c>
      <c r="AO411" s="498">
        <f t="shared" si="150"/>
        <v>0</v>
      </c>
      <c r="AP411" s="498">
        <f t="shared" si="169"/>
        <v>0</v>
      </c>
      <c r="AQ411" s="498">
        <f t="shared" si="164"/>
        <v>0</v>
      </c>
      <c r="AU411" s="498">
        <f t="shared" si="151"/>
        <v>0</v>
      </c>
      <c r="AV411" s="498">
        <f t="shared" si="152"/>
        <v>0</v>
      </c>
      <c r="AW411" s="498">
        <f t="shared" si="153"/>
        <v>0</v>
      </c>
      <c r="AX411" s="498">
        <f t="shared" si="154"/>
        <v>0</v>
      </c>
      <c r="AY411" s="498">
        <f t="shared" si="155"/>
        <v>0</v>
      </c>
      <c r="BB411" s="498" t="str">
        <f t="shared" si="156"/>
        <v/>
      </c>
      <c r="BC411" s="743" t="str">
        <f t="shared" si="157"/>
        <v/>
      </c>
      <c r="BD411" s="743" t="str">
        <f t="shared" si="158"/>
        <v/>
      </c>
      <c r="BE411" s="743" t="str">
        <f>IF(D411="","",VLOOKUP(D411,'General Basis'!$J$39:$K$46,2,0))</f>
        <v/>
      </c>
      <c r="BF411" s="744" t="str">
        <f>IF(D411="","",VLOOKUP(D411,'General Basis'!$J$39:$L$46,3,0))</f>
        <v/>
      </c>
      <c r="BG411" s="744" t="str">
        <f t="shared" si="165"/>
        <v/>
      </c>
      <c r="BH411" s="744" t="str">
        <f>IF(G411="","",IF(BF411="Abu Dhabi",IF(G411&lt;18,'General Basis'!$C$39,IF(G411&lt;41,'General Basis'!$C$40,IF(G411&lt;60,'General Basis'!$C$41,IF(G411&lt;65,'General Basis'!$C$42,'General Basis'!$C$43)))),IF(G411&lt;11,'General Basis'!$B$39,IF(G411&lt;18,'General Basis'!$B$40,IF(G411&lt;26,'General Basis'!$B$41,IF(G411&lt;31,'General Basis'!$B$42,IF(G411&lt;36,'General Basis'!$B$43,IF(G411&lt;41,'General Basis'!$B$44,IF(G411&lt;46,'General Basis'!$B$45,IF(G411&lt;51,'General Basis'!$B$46,IF(G411&lt;56,'General Basis'!$B$47,IF(G411&lt;60,'General Basis'!$B$48,IF(G411&lt;65,'General Basis'!$B$49,'General Basis'!$B$50)))))))))))))</f>
        <v/>
      </c>
      <c r="BI411" s="744" t="str">
        <f t="shared" si="159"/>
        <v/>
      </c>
      <c r="BJ411" s="747" t="str">
        <f t="shared" si="166"/>
        <v/>
      </c>
      <c r="BK411" s="498" t="str">
        <f t="shared" si="160"/>
        <v/>
      </c>
      <c r="BL411" s="498" t="str">
        <f t="shared" si="161"/>
        <v/>
      </c>
    </row>
    <row r="412" spans="1:64" x14ac:dyDescent="0.25">
      <c r="A412" s="762">
        <f t="shared" si="162"/>
        <v>407</v>
      </c>
      <c r="B412" s="229"/>
      <c r="C412" s="223"/>
      <c r="D412" s="224"/>
      <c r="E412" s="225"/>
      <c r="F412" s="1036" t="str">
        <f t="shared" si="168"/>
        <v/>
      </c>
      <c r="G412" s="1037" t="str">
        <f t="shared" si="163"/>
        <v/>
      </c>
      <c r="H412" s="225"/>
      <c r="I412" s="1013"/>
      <c r="J412" s="1013"/>
      <c r="K412" s="1028"/>
      <c r="L412" s="1035" t="str">
        <f t="shared" si="167"/>
        <v/>
      </c>
      <c r="S412" s="498"/>
      <c r="AJ412" s="498"/>
      <c r="AM412" s="498">
        <f t="shared" si="148"/>
        <v>0</v>
      </c>
      <c r="AN412" s="498">
        <f t="shared" si="149"/>
        <v>0</v>
      </c>
      <c r="AO412" s="498">
        <f t="shared" si="150"/>
        <v>0</v>
      </c>
      <c r="AP412" s="498">
        <f t="shared" si="169"/>
        <v>0</v>
      </c>
      <c r="AQ412" s="498">
        <f t="shared" si="164"/>
        <v>0</v>
      </c>
      <c r="AU412" s="498">
        <f t="shared" si="151"/>
        <v>0</v>
      </c>
      <c r="AV412" s="498">
        <f t="shared" si="152"/>
        <v>0</v>
      </c>
      <c r="AW412" s="498">
        <f t="shared" si="153"/>
        <v>0</v>
      </c>
      <c r="AX412" s="498">
        <f t="shared" si="154"/>
        <v>0</v>
      </c>
      <c r="AY412" s="498">
        <f t="shared" si="155"/>
        <v>0</v>
      </c>
      <c r="BB412" s="498" t="str">
        <f t="shared" si="156"/>
        <v/>
      </c>
      <c r="BC412" s="743" t="str">
        <f t="shared" si="157"/>
        <v/>
      </c>
      <c r="BD412" s="743" t="str">
        <f t="shared" si="158"/>
        <v/>
      </c>
      <c r="BE412" s="743" t="str">
        <f>IF(D412="","",VLOOKUP(D412,'General Basis'!$J$39:$K$46,2,0))</f>
        <v/>
      </c>
      <c r="BF412" s="744" t="str">
        <f>IF(D412="","",VLOOKUP(D412,'General Basis'!$J$39:$L$46,3,0))</f>
        <v/>
      </c>
      <c r="BG412" s="744" t="str">
        <f t="shared" si="165"/>
        <v/>
      </c>
      <c r="BH412" s="744" t="str">
        <f>IF(G412="","",IF(BF412="Abu Dhabi",IF(G412&lt;18,'General Basis'!$C$39,IF(G412&lt;41,'General Basis'!$C$40,IF(G412&lt;60,'General Basis'!$C$41,IF(G412&lt;65,'General Basis'!$C$42,'General Basis'!$C$43)))),IF(G412&lt;11,'General Basis'!$B$39,IF(G412&lt;18,'General Basis'!$B$40,IF(G412&lt;26,'General Basis'!$B$41,IF(G412&lt;31,'General Basis'!$B$42,IF(G412&lt;36,'General Basis'!$B$43,IF(G412&lt;41,'General Basis'!$B$44,IF(G412&lt;46,'General Basis'!$B$45,IF(G412&lt;51,'General Basis'!$B$46,IF(G412&lt;56,'General Basis'!$B$47,IF(G412&lt;60,'General Basis'!$B$48,IF(G412&lt;65,'General Basis'!$B$49,'General Basis'!$B$50)))))))))))))</f>
        <v/>
      </c>
      <c r="BI412" s="744" t="str">
        <f t="shared" si="159"/>
        <v/>
      </c>
      <c r="BJ412" s="747" t="str">
        <f t="shared" si="166"/>
        <v/>
      </c>
      <c r="BK412" s="498" t="str">
        <f t="shared" si="160"/>
        <v/>
      </c>
      <c r="BL412" s="498" t="str">
        <f t="shared" si="161"/>
        <v/>
      </c>
    </row>
    <row r="413" spans="1:64" x14ac:dyDescent="0.25">
      <c r="A413" s="762">
        <f t="shared" si="162"/>
        <v>408</v>
      </c>
      <c r="B413" s="229"/>
      <c r="C413" s="223"/>
      <c r="D413" s="224"/>
      <c r="E413" s="225"/>
      <c r="F413" s="1036" t="str">
        <f t="shared" si="168"/>
        <v/>
      </c>
      <c r="G413" s="1037" t="str">
        <f t="shared" si="163"/>
        <v/>
      </c>
      <c r="H413" s="225"/>
      <c r="I413" s="1013"/>
      <c r="J413" s="1013"/>
      <c r="K413" s="1028"/>
      <c r="L413" s="1035" t="str">
        <f t="shared" si="167"/>
        <v/>
      </c>
      <c r="S413" s="498"/>
      <c r="AJ413" s="498"/>
      <c r="AM413" s="498">
        <f t="shared" si="148"/>
        <v>0</v>
      </c>
      <c r="AN413" s="498">
        <f t="shared" si="149"/>
        <v>0</v>
      </c>
      <c r="AO413" s="498">
        <f t="shared" si="150"/>
        <v>0</v>
      </c>
      <c r="AP413" s="498">
        <f t="shared" si="169"/>
        <v>0</v>
      </c>
      <c r="AQ413" s="498">
        <f t="shared" si="164"/>
        <v>0</v>
      </c>
      <c r="AU413" s="498">
        <f t="shared" si="151"/>
        <v>0</v>
      </c>
      <c r="AV413" s="498">
        <f t="shared" si="152"/>
        <v>0</v>
      </c>
      <c r="AW413" s="498">
        <f t="shared" si="153"/>
        <v>0</v>
      </c>
      <c r="AX413" s="498">
        <f t="shared" si="154"/>
        <v>0</v>
      </c>
      <c r="AY413" s="498">
        <f t="shared" si="155"/>
        <v>0</v>
      </c>
      <c r="BB413" s="498" t="str">
        <f t="shared" si="156"/>
        <v/>
      </c>
      <c r="BC413" s="743" t="str">
        <f t="shared" si="157"/>
        <v/>
      </c>
      <c r="BD413" s="743" t="str">
        <f t="shared" si="158"/>
        <v/>
      </c>
      <c r="BE413" s="743" t="str">
        <f>IF(D413="","",VLOOKUP(D413,'General Basis'!$J$39:$K$46,2,0))</f>
        <v/>
      </c>
      <c r="BF413" s="744" t="str">
        <f>IF(D413="","",VLOOKUP(D413,'General Basis'!$J$39:$L$46,3,0))</f>
        <v/>
      </c>
      <c r="BG413" s="744" t="str">
        <f t="shared" si="165"/>
        <v/>
      </c>
      <c r="BH413" s="744" t="str">
        <f>IF(G413="","",IF(BF413="Abu Dhabi",IF(G413&lt;18,'General Basis'!$C$39,IF(G413&lt;41,'General Basis'!$C$40,IF(G413&lt;60,'General Basis'!$C$41,IF(G413&lt;65,'General Basis'!$C$42,'General Basis'!$C$43)))),IF(G413&lt;11,'General Basis'!$B$39,IF(G413&lt;18,'General Basis'!$B$40,IF(G413&lt;26,'General Basis'!$B$41,IF(G413&lt;31,'General Basis'!$B$42,IF(G413&lt;36,'General Basis'!$B$43,IF(G413&lt;41,'General Basis'!$B$44,IF(G413&lt;46,'General Basis'!$B$45,IF(G413&lt;51,'General Basis'!$B$46,IF(G413&lt;56,'General Basis'!$B$47,IF(G413&lt;60,'General Basis'!$B$48,IF(G413&lt;65,'General Basis'!$B$49,'General Basis'!$B$50)))))))))))))</f>
        <v/>
      </c>
      <c r="BI413" s="744" t="str">
        <f t="shared" si="159"/>
        <v/>
      </c>
      <c r="BJ413" s="747" t="str">
        <f t="shared" si="166"/>
        <v/>
      </c>
      <c r="BK413" s="498" t="str">
        <f t="shared" si="160"/>
        <v/>
      </c>
      <c r="BL413" s="498" t="str">
        <f t="shared" si="161"/>
        <v/>
      </c>
    </row>
    <row r="414" spans="1:64" x14ac:dyDescent="0.25">
      <c r="A414" s="762">
        <f t="shared" si="162"/>
        <v>409</v>
      </c>
      <c r="B414" s="229"/>
      <c r="C414" s="223"/>
      <c r="D414" s="224"/>
      <c r="E414" s="225"/>
      <c r="F414" s="1036" t="str">
        <f t="shared" si="168"/>
        <v/>
      </c>
      <c r="G414" s="1037" t="str">
        <f t="shared" si="163"/>
        <v/>
      </c>
      <c r="H414" s="225"/>
      <c r="I414" s="1013"/>
      <c r="J414" s="1013"/>
      <c r="K414" s="1028"/>
      <c r="L414" s="1035" t="str">
        <f t="shared" si="167"/>
        <v/>
      </c>
      <c r="S414" s="498"/>
      <c r="AJ414" s="498"/>
      <c r="AM414" s="498">
        <f t="shared" si="148"/>
        <v>0</v>
      </c>
      <c r="AN414" s="498">
        <f t="shared" si="149"/>
        <v>0</v>
      </c>
      <c r="AO414" s="498">
        <f t="shared" si="150"/>
        <v>0</v>
      </c>
      <c r="AP414" s="498">
        <f t="shared" si="169"/>
        <v>0</v>
      </c>
      <c r="AQ414" s="498">
        <f t="shared" si="164"/>
        <v>0</v>
      </c>
      <c r="AU414" s="498">
        <f t="shared" si="151"/>
        <v>0</v>
      </c>
      <c r="AV414" s="498">
        <f t="shared" si="152"/>
        <v>0</v>
      </c>
      <c r="AW414" s="498">
        <f t="shared" si="153"/>
        <v>0</v>
      </c>
      <c r="AX414" s="498">
        <f t="shared" si="154"/>
        <v>0</v>
      </c>
      <c r="AY414" s="498">
        <f t="shared" si="155"/>
        <v>0</v>
      </c>
      <c r="BB414" s="498" t="str">
        <f t="shared" si="156"/>
        <v/>
      </c>
      <c r="BC414" s="743" t="str">
        <f t="shared" si="157"/>
        <v/>
      </c>
      <c r="BD414" s="743" t="str">
        <f t="shared" si="158"/>
        <v/>
      </c>
      <c r="BE414" s="743" t="str">
        <f>IF(D414="","",VLOOKUP(D414,'General Basis'!$J$39:$K$46,2,0))</f>
        <v/>
      </c>
      <c r="BF414" s="744" t="str">
        <f>IF(D414="","",VLOOKUP(D414,'General Basis'!$J$39:$L$46,3,0))</f>
        <v/>
      </c>
      <c r="BG414" s="744" t="str">
        <f t="shared" si="165"/>
        <v/>
      </c>
      <c r="BH414" s="744" t="str">
        <f>IF(G414="","",IF(BF414="Abu Dhabi",IF(G414&lt;18,'General Basis'!$C$39,IF(G414&lt;41,'General Basis'!$C$40,IF(G414&lt;60,'General Basis'!$C$41,IF(G414&lt;65,'General Basis'!$C$42,'General Basis'!$C$43)))),IF(G414&lt;11,'General Basis'!$B$39,IF(G414&lt;18,'General Basis'!$B$40,IF(G414&lt;26,'General Basis'!$B$41,IF(G414&lt;31,'General Basis'!$B$42,IF(G414&lt;36,'General Basis'!$B$43,IF(G414&lt;41,'General Basis'!$B$44,IF(G414&lt;46,'General Basis'!$B$45,IF(G414&lt;51,'General Basis'!$B$46,IF(G414&lt;56,'General Basis'!$B$47,IF(G414&lt;60,'General Basis'!$B$48,IF(G414&lt;65,'General Basis'!$B$49,'General Basis'!$B$50)))))))))))))</f>
        <v/>
      </c>
      <c r="BI414" s="744" t="str">
        <f t="shared" si="159"/>
        <v/>
      </c>
      <c r="BJ414" s="747" t="str">
        <f t="shared" si="166"/>
        <v/>
      </c>
      <c r="BK414" s="498" t="str">
        <f t="shared" si="160"/>
        <v/>
      </c>
      <c r="BL414" s="498" t="str">
        <f t="shared" si="161"/>
        <v/>
      </c>
    </row>
    <row r="415" spans="1:64" x14ac:dyDescent="0.25">
      <c r="A415" s="762">
        <f t="shared" si="162"/>
        <v>410</v>
      </c>
      <c r="B415" s="229"/>
      <c r="C415" s="223"/>
      <c r="D415" s="224"/>
      <c r="E415" s="225"/>
      <c r="F415" s="1036" t="str">
        <f t="shared" si="168"/>
        <v/>
      </c>
      <c r="G415" s="1037" t="str">
        <f t="shared" si="163"/>
        <v/>
      </c>
      <c r="H415" s="225"/>
      <c r="I415" s="1013"/>
      <c r="J415" s="1013"/>
      <c r="K415" s="1028"/>
      <c r="L415" s="1035" t="str">
        <f t="shared" si="167"/>
        <v/>
      </c>
      <c r="S415" s="498"/>
      <c r="AJ415" s="498"/>
      <c r="AM415" s="498">
        <f t="shared" si="148"/>
        <v>0</v>
      </c>
      <c r="AN415" s="498">
        <f t="shared" si="149"/>
        <v>0</v>
      </c>
      <c r="AO415" s="498">
        <f t="shared" si="150"/>
        <v>0</v>
      </c>
      <c r="AP415" s="498">
        <f t="shared" si="169"/>
        <v>0</v>
      </c>
      <c r="AQ415" s="498">
        <f t="shared" si="164"/>
        <v>0</v>
      </c>
      <c r="AU415" s="498">
        <f t="shared" si="151"/>
        <v>0</v>
      </c>
      <c r="AV415" s="498">
        <f t="shared" si="152"/>
        <v>0</v>
      </c>
      <c r="AW415" s="498">
        <f t="shared" si="153"/>
        <v>0</v>
      </c>
      <c r="AX415" s="498">
        <f t="shared" si="154"/>
        <v>0</v>
      </c>
      <c r="AY415" s="498">
        <f t="shared" si="155"/>
        <v>0</v>
      </c>
      <c r="BB415" s="498" t="str">
        <f t="shared" si="156"/>
        <v/>
      </c>
      <c r="BC415" s="743" t="str">
        <f t="shared" si="157"/>
        <v/>
      </c>
      <c r="BD415" s="743" t="str">
        <f t="shared" si="158"/>
        <v/>
      </c>
      <c r="BE415" s="743" t="str">
        <f>IF(D415="","",VLOOKUP(D415,'General Basis'!$J$39:$K$46,2,0))</f>
        <v/>
      </c>
      <c r="BF415" s="744" t="str">
        <f>IF(D415="","",VLOOKUP(D415,'General Basis'!$J$39:$L$46,3,0))</f>
        <v/>
      </c>
      <c r="BG415" s="744" t="str">
        <f t="shared" si="165"/>
        <v/>
      </c>
      <c r="BH415" s="744" t="str">
        <f>IF(G415="","",IF(BF415="Abu Dhabi",IF(G415&lt;18,'General Basis'!$C$39,IF(G415&lt;41,'General Basis'!$C$40,IF(G415&lt;60,'General Basis'!$C$41,IF(G415&lt;65,'General Basis'!$C$42,'General Basis'!$C$43)))),IF(G415&lt;11,'General Basis'!$B$39,IF(G415&lt;18,'General Basis'!$B$40,IF(G415&lt;26,'General Basis'!$B$41,IF(G415&lt;31,'General Basis'!$B$42,IF(G415&lt;36,'General Basis'!$B$43,IF(G415&lt;41,'General Basis'!$B$44,IF(G415&lt;46,'General Basis'!$B$45,IF(G415&lt;51,'General Basis'!$B$46,IF(G415&lt;56,'General Basis'!$B$47,IF(G415&lt;60,'General Basis'!$B$48,IF(G415&lt;65,'General Basis'!$B$49,'General Basis'!$B$50)))))))))))))</f>
        <v/>
      </c>
      <c r="BI415" s="744" t="str">
        <f t="shared" si="159"/>
        <v/>
      </c>
      <c r="BJ415" s="747" t="str">
        <f t="shared" si="166"/>
        <v/>
      </c>
      <c r="BK415" s="498" t="str">
        <f t="shared" si="160"/>
        <v/>
      </c>
      <c r="BL415" s="498" t="str">
        <f t="shared" si="161"/>
        <v/>
      </c>
    </row>
    <row r="416" spans="1:64" x14ac:dyDescent="0.25">
      <c r="A416" s="762">
        <f t="shared" si="162"/>
        <v>411</v>
      </c>
      <c r="B416" s="229"/>
      <c r="C416" s="223"/>
      <c r="D416" s="224"/>
      <c r="E416" s="225"/>
      <c r="F416" s="1036" t="str">
        <f t="shared" si="168"/>
        <v/>
      </c>
      <c r="G416" s="1037" t="str">
        <f t="shared" si="163"/>
        <v/>
      </c>
      <c r="H416" s="225"/>
      <c r="I416" s="1013"/>
      <c r="J416" s="1013"/>
      <c r="K416" s="1028"/>
      <c r="L416" s="1035" t="str">
        <f t="shared" si="167"/>
        <v/>
      </c>
      <c r="S416" s="498"/>
      <c r="AJ416" s="498"/>
      <c r="AM416" s="498">
        <f t="shared" si="148"/>
        <v>0</v>
      </c>
      <c r="AN416" s="498">
        <f t="shared" si="149"/>
        <v>0</v>
      </c>
      <c r="AO416" s="498">
        <f t="shared" si="150"/>
        <v>0</v>
      </c>
      <c r="AP416" s="498">
        <f t="shared" si="169"/>
        <v>0</v>
      </c>
      <c r="AQ416" s="498">
        <f t="shared" si="164"/>
        <v>0</v>
      </c>
      <c r="AU416" s="498">
        <f t="shared" si="151"/>
        <v>0</v>
      </c>
      <c r="AV416" s="498">
        <f t="shared" si="152"/>
        <v>0</v>
      </c>
      <c r="AW416" s="498">
        <f t="shared" si="153"/>
        <v>0</v>
      </c>
      <c r="AX416" s="498">
        <f t="shared" si="154"/>
        <v>0</v>
      </c>
      <c r="AY416" s="498">
        <f t="shared" si="155"/>
        <v>0</v>
      </c>
      <c r="BB416" s="498" t="str">
        <f t="shared" si="156"/>
        <v/>
      </c>
      <c r="BC416" s="743" t="str">
        <f t="shared" si="157"/>
        <v/>
      </c>
      <c r="BD416" s="743" t="str">
        <f t="shared" si="158"/>
        <v/>
      </c>
      <c r="BE416" s="743" t="str">
        <f>IF(D416="","",VLOOKUP(D416,'General Basis'!$J$39:$K$46,2,0))</f>
        <v/>
      </c>
      <c r="BF416" s="744" t="str">
        <f>IF(D416="","",VLOOKUP(D416,'General Basis'!$J$39:$L$46,3,0))</f>
        <v/>
      </c>
      <c r="BG416" s="744" t="str">
        <f t="shared" si="165"/>
        <v/>
      </c>
      <c r="BH416" s="744" t="str">
        <f>IF(G416="","",IF(BF416="Abu Dhabi",IF(G416&lt;18,'General Basis'!$C$39,IF(G416&lt;41,'General Basis'!$C$40,IF(G416&lt;60,'General Basis'!$C$41,IF(G416&lt;65,'General Basis'!$C$42,'General Basis'!$C$43)))),IF(G416&lt;11,'General Basis'!$B$39,IF(G416&lt;18,'General Basis'!$B$40,IF(G416&lt;26,'General Basis'!$B$41,IF(G416&lt;31,'General Basis'!$B$42,IF(G416&lt;36,'General Basis'!$B$43,IF(G416&lt;41,'General Basis'!$B$44,IF(G416&lt;46,'General Basis'!$B$45,IF(G416&lt;51,'General Basis'!$B$46,IF(G416&lt;56,'General Basis'!$B$47,IF(G416&lt;60,'General Basis'!$B$48,IF(G416&lt;65,'General Basis'!$B$49,'General Basis'!$B$50)))))))))))))</f>
        <v/>
      </c>
      <c r="BI416" s="744" t="str">
        <f t="shared" si="159"/>
        <v/>
      </c>
      <c r="BJ416" s="747" t="str">
        <f t="shared" si="166"/>
        <v/>
      </c>
      <c r="BK416" s="498" t="str">
        <f t="shared" si="160"/>
        <v/>
      </c>
      <c r="BL416" s="498" t="str">
        <f t="shared" si="161"/>
        <v/>
      </c>
    </row>
    <row r="417" spans="1:64" x14ac:dyDescent="0.25">
      <c r="A417" s="762">
        <f t="shared" si="162"/>
        <v>412</v>
      </c>
      <c r="B417" s="229"/>
      <c r="C417" s="223"/>
      <c r="D417" s="224"/>
      <c r="E417" s="225"/>
      <c r="F417" s="1036" t="str">
        <f t="shared" si="168"/>
        <v/>
      </c>
      <c r="G417" s="1037" t="str">
        <f t="shared" si="163"/>
        <v/>
      </c>
      <c r="H417" s="225"/>
      <c r="I417" s="1013"/>
      <c r="J417" s="1013"/>
      <c r="K417" s="1028"/>
      <c r="L417" s="1035" t="str">
        <f t="shared" si="167"/>
        <v/>
      </c>
      <c r="S417" s="498"/>
      <c r="AJ417" s="498"/>
      <c r="AM417" s="498">
        <f t="shared" si="148"/>
        <v>0</v>
      </c>
      <c r="AN417" s="498">
        <f t="shared" si="149"/>
        <v>0</v>
      </c>
      <c r="AO417" s="498">
        <f t="shared" si="150"/>
        <v>0</v>
      </c>
      <c r="AP417" s="498">
        <f t="shared" si="169"/>
        <v>0</v>
      </c>
      <c r="AQ417" s="498">
        <f t="shared" si="164"/>
        <v>0</v>
      </c>
      <c r="AU417" s="498">
        <f t="shared" si="151"/>
        <v>0</v>
      </c>
      <c r="AV417" s="498">
        <f t="shared" si="152"/>
        <v>0</v>
      </c>
      <c r="AW417" s="498">
        <f t="shared" si="153"/>
        <v>0</v>
      </c>
      <c r="AX417" s="498">
        <f t="shared" si="154"/>
        <v>0</v>
      </c>
      <c r="AY417" s="498">
        <f t="shared" si="155"/>
        <v>0</v>
      </c>
      <c r="BB417" s="498" t="str">
        <f t="shared" si="156"/>
        <v/>
      </c>
      <c r="BC417" s="743" t="str">
        <f t="shared" si="157"/>
        <v/>
      </c>
      <c r="BD417" s="743" t="str">
        <f t="shared" si="158"/>
        <v/>
      </c>
      <c r="BE417" s="743" t="str">
        <f>IF(D417="","",VLOOKUP(D417,'General Basis'!$J$39:$K$46,2,0))</f>
        <v/>
      </c>
      <c r="BF417" s="744" t="str">
        <f>IF(D417="","",VLOOKUP(D417,'General Basis'!$J$39:$L$46,3,0))</f>
        <v/>
      </c>
      <c r="BG417" s="744" t="str">
        <f t="shared" si="165"/>
        <v/>
      </c>
      <c r="BH417" s="744" t="str">
        <f>IF(G417="","",IF(BF417="Abu Dhabi",IF(G417&lt;18,'General Basis'!$C$39,IF(G417&lt;41,'General Basis'!$C$40,IF(G417&lt;60,'General Basis'!$C$41,IF(G417&lt;65,'General Basis'!$C$42,'General Basis'!$C$43)))),IF(G417&lt;11,'General Basis'!$B$39,IF(G417&lt;18,'General Basis'!$B$40,IF(G417&lt;26,'General Basis'!$B$41,IF(G417&lt;31,'General Basis'!$B$42,IF(G417&lt;36,'General Basis'!$B$43,IF(G417&lt;41,'General Basis'!$B$44,IF(G417&lt;46,'General Basis'!$B$45,IF(G417&lt;51,'General Basis'!$B$46,IF(G417&lt;56,'General Basis'!$B$47,IF(G417&lt;60,'General Basis'!$B$48,IF(G417&lt;65,'General Basis'!$B$49,'General Basis'!$B$50)))))))))))))</f>
        <v/>
      </c>
      <c r="BI417" s="744" t="str">
        <f t="shared" si="159"/>
        <v/>
      </c>
      <c r="BJ417" s="747" t="str">
        <f t="shared" si="166"/>
        <v/>
      </c>
      <c r="BK417" s="498" t="str">
        <f t="shared" si="160"/>
        <v/>
      </c>
      <c r="BL417" s="498" t="str">
        <f t="shared" si="161"/>
        <v/>
      </c>
    </row>
    <row r="418" spans="1:64" x14ac:dyDescent="0.25">
      <c r="A418" s="762">
        <f t="shared" si="162"/>
        <v>413</v>
      </c>
      <c r="B418" s="229"/>
      <c r="C418" s="223"/>
      <c r="D418" s="224"/>
      <c r="E418" s="225"/>
      <c r="F418" s="1036" t="str">
        <f t="shared" si="168"/>
        <v/>
      </c>
      <c r="G418" s="1037" t="str">
        <f t="shared" si="163"/>
        <v/>
      </c>
      <c r="H418" s="225"/>
      <c r="I418" s="1013"/>
      <c r="J418" s="1013"/>
      <c r="K418" s="1028"/>
      <c r="L418" s="1035" t="str">
        <f t="shared" si="167"/>
        <v/>
      </c>
      <c r="S418" s="498"/>
      <c r="AJ418" s="498"/>
      <c r="AM418" s="498">
        <f t="shared" si="148"/>
        <v>0</v>
      </c>
      <c r="AN418" s="498">
        <f t="shared" si="149"/>
        <v>0</v>
      </c>
      <c r="AO418" s="498">
        <f t="shared" si="150"/>
        <v>0</v>
      </c>
      <c r="AP418" s="498">
        <f t="shared" si="169"/>
        <v>0</v>
      </c>
      <c r="AQ418" s="498">
        <f t="shared" si="164"/>
        <v>0</v>
      </c>
      <c r="AU418" s="498">
        <f t="shared" si="151"/>
        <v>0</v>
      </c>
      <c r="AV418" s="498">
        <f t="shared" si="152"/>
        <v>0</v>
      </c>
      <c r="AW418" s="498">
        <f t="shared" si="153"/>
        <v>0</v>
      </c>
      <c r="AX418" s="498">
        <f t="shared" si="154"/>
        <v>0</v>
      </c>
      <c r="AY418" s="498">
        <f t="shared" si="155"/>
        <v>0</v>
      </c>
      <c r="BB418" s="498" t="str">
        <f t="shared" si="156"/>
        <v/>
      </c>
      <c r="BC418" s="743" t="str">
        <f t="shared" si="157"/>
        <v/>
      </c>
      <c r="BD418" s="743" t="str">
        <f t="shared" si="158"/>
        <v/>
      </c>
      <c r="BE418" s="743" t="str">
        <f>IF(D418="","",VLOOKUP(D418,'General Basis'!$J$39:$K$46,2,0))</f>
        <v/>
      </c>
      <c r="BF418" s="744" t="str">
        <f>IF(D418="","",VLOOKUP(D418,'General Basis'!$J$39:$L$46,3,0))</f>
        <v/>
      </c>
      <c r="BG418" s="744" t="str">
        <f t="shared" si="165"/>
        <v/>
      </c>
      <c r="BH418" s="744" t="str">
        <f>IF(G418="","",IF(BF418="Abu Dhabi",IF(G418&lt;18,'General Basis'!$C$39,IF(G418&lt;41,'General Basis'!$C$40,IF(G418&lt;60,'General Basis'!$C$41,IF(G418&lt;65,'General Basis'!$C$42,'General Basis'!$C$43)))),IF(G418&lt;11,'General Basis'!$B$39,IF(G418&lt;18,'General Basis'!$B$40,IF(G418&lt;26,'General Basis'!$B$41,IF(G418&lt;31,'General Basis'!$B$42,IF(G418&lt;36,'General Basis'!$B$43,IF(G418&lt;41,'General Basis'!$B$44,IF(G418&lt;46,'General Basis'!$B$45,IF(G418&lt;51,'General Basis'!$B$46,IF(G418&lt;56,'General Basis'!$B$47,IF(G418&lt;60,'General Basis'!$B$48,IF(G418&lt;65,'General Basis'!$B$49,'General Basis'!$B$50)))))))))))))</f>
        <v/>
      </c>
      <c r="BI418" s="744" t="str">
        <f t="shared" si="159"/>
        <v/>
      </c>
      <c r="BJ418" s="747" t="str">
        <f t="shared" si="166"/>
        <v/>
      </c>
      <c r="BK418" s="498" t="str">
        <f t="shared" si="160"/>
        <v/>
      </c>
      <c r="BL418" s="498" t="str">
        <f t="shared" si="161"/>
        <v/>
      </c>
    </row>
    <row r="419" spans="1:64" x14ac:dyDescent="0.25">
      <c r="A419" s="762">
        <f t="shared" si="162"/>
        <v>414</v>
      </c>
      <c r="B419" s="229"/>
      <c r="C419" s="223"/>
      <c r="D419" s="224"/>
      <c r="E419" s="225"/>
      <c r="F419" s="1036" t="str">
        <f t="shared" si="168"/>
        <v/>
      </c>
      <c r="G419" s="1037" t="str">
        <f t="shared" si="163"/>
        <v/>
      </c>
      <c r="H419" s="225"/>
      <c r="I419" s="1013"/>
      <c r="J419" s="1013"/>
      <c r="K419" s="1028"/>
      <c r="L419" s="1035" t="str">
        <f t="shared" si="167"/>
        <v/>
      </c>
      <c r="S419" s="498"/>
      <c r="AJ419" s="498"/>
      <c r="AM419" s="498">
        <f t="shared" si="148"/>
        <v>0</v>
      </c>
      <c r="AN419" s="498">
        <f t="shared" si="149"/>
        <v>0</v>
      </c>
      <c r="AO419" s="498">
        <f t="shared" si="150"/>
        <v>0</v>
      </c>
      <c r="AP419" s="498">
        <f t="shared" si="169"/>
        <v>0</v>
      </c>
      <c r="AQ419" s="498">
        <f t="shared" si="164"/>
        <v>0</v>
      </c>
      <c r="AU419" s="498">
        <f t="shared" si="151"/>
        <v>0</v>
      </c>
      <c r="AV419" s="498">
        <f t="shared" si="152"/>
        <v>0</v>
      </c>
      <c r="AW419" s="498">
        <f t="shared" si="153"/>
        <v>0</v>
      </c>
      <c r="AX419" s="498">
        <f t="shared" si="154"/>
        <v>0</v>
      </c>
      <c r="AY419" s="498">
        <f t="shared" si="155"/>
        <v>0</v>
      </c>
      <c r="BB419" s="498" t="str">
        <f t="shared" si="156"/>
        <v/>
      </c>
      <c r="BC419" s="743" t="str">
        <f t="shared" si="157"/>
        <v/>
      </c>
      <c r="BD419" s="743" t="str">
        <f t="shared" si="158"/>
        <v/>
      </c>
      <c r="BE419" s="743" t="str">
        <f>IF(D419="","",VLOOKUP(D419,'General Basis'!$J$39:$K$46,2,0))</f>
        <v/>
      </c>
      <c r="BF419" s="744" t="str">
        <f>IF(D419="","",VLOOKUP(D419,'General Basis'!$J$39:$L$46,3,0))</f>
        <v/>
      </c>
      <c r="BG419" s="744" t="str">
        <f t="shared" si="165"/>
        <v/>
      </c>
      <c r="BH419" s="744" t="str">
        <f>IF(G419="","",IF(BF419="Abu Dhabi",IF(G419&lt;18,'General Basis'!$C$39,IF(G419&lt;41,'General Basis'!$C$40,IF(G419&lt;60,'General Basis'!$C$41,IF(G419&lt;65,'General Basis'!$C$42,'General Basis'!$C$43)))),IF(G419&lt;11,'General Basis'!$B$39,IF(G419&lt;18,'General Basis'!$B$40,IF(G419&lt;26,'General Basis'!$B$41,IF(G419&lt;31,'General Basis'!$B$42,IF(G419&lt;36,'General Basis'!$B$43,IF(G419&lt;41,'General Basis'!$B$44,IF(G419&lt;46,'General Basis'!$B$45,IF(G419&lt;51,'General Basis'!$B$46,IF(G419&lt;56,'General Basis'!$B$47,IF(G419&lt;60,'General Basis'!$B$48,IF(G419&lt;65,'General Basis'!$B$49,'General Basis'!$B$50)))))))))))))</f>
        <v/>
      </c>
      <c r="BI419" s="744" t="str">
        <f t="shared" si="159"/>
        <v/>
      </c>
      <c r="BJ419" s="747" t="str">
        <f t="shared" si="166"/>
        <v/>
      </c>
      <c r="BK419" s="498" t="str">
        <f t="shared" si="160"/>
        <v/>
      </c>
      <c r="BL419" s="498" t="str">
        <f t="shared" si="161"/>
        <v/>
      </c>
    </row>
    <row r="420" spans="1:64" x14ac:dyDescent="0.25">
      <c r="A420" s="762">
        <f t="shared" si="162"/>
        <v>415</v>
      </c>
      <c r="B420" s="229"/>
      <c r="C420" s="223"/>
      <c r="D420" s="224"/>
      <c r="E420" s="225"/>
      <c r="F420" s="1036" t="str">
        <f t="shared" si="168"/>
        <v/>
      </c>
      <c r="G420" s="1037" t="str">
        <f t="shared" si="163"/>
        <v/>
      </c>
      <c r="H420" s="225"/>
      <c r="I420" s="1013"/>
      <c r="J420" s="1013"/>
      <c r="K420" s="1028"/>
      <c r="L420" s="1035" t="str">
        <f t="shared" si="167"/>
        <v/>
      </c>
      <c r="S420" s="498"/>
      <c r="AJ420" s="498"/>
      <c r="AM420" s="498">
        <f t="shared" si="148"/>
        <v>0</v>
      </c>
      <c r="AN420" s="498">
        <f t="shared" si="149"/>
        <v>0</v>
      </c>
      <c r="AO420" s="498">
        <f t="shared" si="150"/>
        <v>0</v>
      </c>
      <c r="AP420" s="498">
        <f t="shared" si="169"/>
        <v>0</v>
      </c>
      <c r="AQ420" s="498">
        <f t="shared" si="164"/>
        <v>0</v>
      </c>
      <c r="AU420" s="498">
        <f t="shared" si="151"/>
        <v>0</v>
      </c>
      <c r="AV420" s="498">
        <f t="shared" si="152"/>
        <v>0</v>
      </c>
      <c r="AW420" s="498">
        <f t="shared" si="153"/>
        <v>0</v>
      </c>
      <c r="AX420" s="498">
        <f t="shared" si="154"/>
        <v>0</v>
      </c>
      <c r="AY420" s="498">
        <f t="shared" si="155"/>
        <v>0</v>
      </c>
      <c r="BB420" s="498" t="str">
        <f t="shared" si="156"/>
        <v/>
      </c>
      <c r="BC420" s="743" t="str">
        <f t="shared" si="157"/>
        <v/>
      </c>
      <c r="BD420" s="743" t="str">
        <f t="shared" si="158"/>
        <v/>
      </c>
      <c r="BE420" s="743" t="str">
        <f>IF(D420="","",VLOOKUP(D420,'General Basis'!$J$39:$K$46,2,0))</f>
        <v/>
      </c>
      <c r="BF420" s="744" t="str">
        <f>IF(D420="","",VLOOKUP(D420,'General Basis'!$J$39:$L$46,3,0))</f>
        <v/>
      </c>
      <c r="BG420" s="744" t="str">
        <f t="shared" si="165"/>
        <v/>
      </c>
      <c r="BH420" s="744" t="str">
        <f>IF(G420="","",IF(BF420="Abu Dhabi",IF(G420&lt;18,'General Basis'!$C$39,IF(G420&lt;41,'General Basis'!$C$40,IF(G420&lt;60,'General Basis'!$C$41,IF(G420&lt;65,'General Basis'!$C$42,'General Basis'!$C$43)))),IF(G420&lt;11,'General Basis'!$B$39,IF(G420&lt;18,'General Basis'!$B$40,IF(G420&lt;26,'General Basis'!$B$41,IF(G420&lt;31,'General Basis'!$B$42,IF(G420&lt;36,'General Basis'!$B$43,IF(G420&lt;41,'General Basis'!$B$44,IF(G420&lt;46,'General Basis'!$B$45,IF(G420&lt;51,'General Basis'!$B$46,IF(G420&lt;56,'General Basis'!$B$47,IF(G420&lt;60,'General Basis'!$B$48,IF(G420&lt;65,'General Basis'!$B$49,'General Basis'!$B$50)))))))))))))</f>
        <v/>
      </c>
      <c r="BI420" s="744" t="str">
        <f t="shared" si="159"/>
        <v/>
      </c>
      <c r="BJ420" s="747" t="str">
        <f t="shared" si="166"/>
        <v/>
      </c>
      <c r="BK420" s="498" t="str">
        <f t="shared" si="160"/>
        <v/>
      </c>
      <c r="BL420" s="498" t="str">
        <f t="shared" si="161"/>
        <v/>
      </c>
    </row>
    <row r="421" spans="1:64" x14ac:dyDescent="0.25">
      <c r="A421" s="762">
        <f t="shared" si="162"/>
        <v>416</v>
      </c>
      <c r="B421" s="229"/>
      <c r="C421" s="223"/>
      <c r="D421" s="224"/>
      <c r="E421" s="225"/>
      <c r="F421" s="1036" t="str">
        <f t="shared" si="168"/>
        <v/>
      </c>
      <c r="G421" s="1037" t="str">
        <f t="shared" si="163"/>
        <v/>
      </c>
      <c r="H421" s="225"/>
      <c r="I421" s="1013"/>
      <c r="J421" s="1013"/>
      <c r="K421" s="1028"/>
      <c r="L421" s="1035" t="str">
        <f t="shared" si="167"/>
        <v/>
      </c>
      <c r="S421" s="498"/>
      <c r="AJ421" s="498"/>
      <c r="AM421" s="498">
        <f t="shared" si="148"/>
        <v>0</v>
      </c>
      <c r="AN421" s="498">
        <f t="shared" si="149"/>
        <v>0</v>
      </c>
      <c r="AO421" s="498">
        <f t="shared" si="150"/>
        <v>0</v>
      </c>
      <c r="AP421" s="498">
        <f t="shared" si="169"/>
        <v>0</v>
      </c>
      <c r="AQ421" s="498">
        <f t="shared" si="164"/>
        <v>0</v>
      </c>
      <c r="AU421" s="498">
        <f t="shared" si="151"/>
        <v>0</v>
      </c>
      <c r="AV421" s="498">
        <f t="shared" si="152"/>
        <v>0</v>
      </c>
      <c r="AW421" s="498">
        <f t="shared" si="153"/>
        <v>0</v>
      </c>
      <c r="AX421" s="498">
        <f t="shared" si="154"/>
        <v>0</v>
      </c>
      <c r="AY421" s="498">
        <f t="shared" si="155"/>
        <v>0</v>
      </c>
      <c r="BB421" s="498" t="str">
        <f t="shared" si="156"/>
        <v/>
      </c>
      <c r="BC421" s="743" t="str">
        <f t="shared" si="157"/>
        <v/>
      </c>
      <c r="BD421" s="743" t="str">
        <f t="shared" si="158"/>
        <v/>
      </c>
      <c r="BE421" s="743" t="str">
        <f>IF(D421="","",VLOOKUP(D421,'General Basis'!$J$39:$K$46,2,0))</f>
        <v/>
      </c>
      <c r="BF421" s="744" t="str">
        <f>IF(D421="","",VLOOKUP(D421,'General Basis'!$J$39:$L$46,3,0))</f>
        <v/>
      </c>
      <c r="BG421" s="744" t="str">
        <f t="shared" si="165"/>
        <v/>
      </c>
      <c r="BH421" s="744" t="str">
        <f>IF(G421="","",IF(BF421="Abu Dhabi",IF(G421&lt;18,'General Basis'!$C$39,IF(G421&lt;41,'General Basis'!$C$40,IF(G421&lt;60,'General Basis'!$C$41,IF(G421&lt;65,'General Basis'!$C$42,'General Basis'!$C$43)))),IF(G421&lt;11,'General Basis'!$B$39,IF(G421&lt;18,'General Basis'!$B$40,IF(G421&lt;26,'General Basis'!$B$41,IF(G421&lt;31,'General Basis'!$B$42,IF(G421&lt;36,'General Basis'!$B$43,IF(G421&lt;41,'General Basis'!$B$44,IF(G421&lt;46,'General Basis'!$B$45,IF(G421&lt;51,'General Basis'!$B$46,IF(G421&lt;56,'General Basis'!$B$47,IF(G421&lt;60,'General Basis'!$B$48,IF(G421&lt;65,'General Basis'!$B$49,'General Basis'!$B$50)))))))))))))</f>
        <v/>
      </c>
      <c r="BI421" s="744" t="str">
        <f t="shared" si="159"/>
        <v/>
      </c>
      <c r="BJ421" s="747" t="str">
        <f t="shared" si="166"/>
        <v/>
      </c>
      <c r="BK421" s="498" t="str">
        <f t="shared" si="160"/>
        <v/>
      </c>
      <c r="BL421" s="498" t="str">
        <f t="shared" si="161"/>
        <v/>
      </c>
    </row>
    <row r="422" spans="1:64" x14ac:dyDescent="0.25">
      <c r="A422" s="762">
        <f t="shared" si="162"/>
        <v>417</v>
      </c>
      <c r="B422" s="229"/>
      <c r="C422" s="223"/>
      <c r="D422" s="224"/>
      <c r="E422" s="225"/>
      <c r="F422" s="1036" t="str">
        <f t="shared" si="168"/>
        <v/>
      </c>
      <c r="G422" s="1037" t="str">
        <f t="shared" si="163"/>
        <v/>
      </c>
      <c r="H422" s="225"/>
      <c r="I422" s="1013"/>
      <c r="J422" s="1013"/>
      <c r="K422" s="1028"/>
      <c r="L422" s="1035" t="str">
        <f t="shared" si="167"/>
        <v/>
      </c>
      <c r="S422" s="498"/>
      <c r="AJ422" s="498"/>
      <c r="AM422" s="498">
        <f t="shared" si="148"/>
        <v>0</v>
      </c>
      <c r="AN422" s="498">
        <f t="shared" si="149"/>
        <v>0</v>
      </c>
      <c r="AO422" s="498">
        <f t="shared" si="150"/>
        <v>0</v>
      </c>
      <c r="AP422" s="498">
        <f t="shared" si="169"/>
        <v>0</v>
      </c>
      <c r="AQ422" s="498">
        <f t="shared" si="164"/>
        <v>0</v>
      </c>
      <c r="AU422" s="498">
        <f t="shared" si="151"/>
        <v>0</v>
      </c>
      <c r="AV422" s="498">
        <f t="shared" si="152"/>
        <v>0</v>
      </c>
      <c r="AW422" s="498">
        <f t="shared" si="153"/>
        <v>0</v>
      </c>
      <c r="AX422" s="498">
        <f t="shared" si="154"/>
        <v>0</v>
      </c>
      <c r="AY422" s="498">
        <f t="shared" si="155"/>
        <v>0</v>
      </c>
      <c r="BB422" s="498" t="str">
        <f t="shared" si="156"/>
        <v/>
      </c>
      <c r="BC422" s="743" t="str">
        <f t="shared" si="157"/>
        <v/>
      </c>
      <c r="BD422" s="743" t="str">
        <f t="shared" si="158"/>
        <v/>
      </c>
      <c r="BE422" s="743" t="str">
        <f>IF(D422="","",VLOOKUP(D422,'General Basis'!$J$39:$K$46,2,0))</f>
        <v/>
      </c>
      <c r="BF422" s="744" t="str">
        <f>IF(D422="","",VLOOKUP(D422,'General Basis'!$J$39:$L$46,3,0))</f>
        <v/>
      </c>
      <c r="BG422" s="744" t="str">
        <f t="shared" si="165"/>
        <v/>
      </c>
      <c r="BH422" s="744" t="str">
        <f>IF(G422="","",IF(BF422="Abu Dhabi",IF(G422&lt;18,'General Basis'!$C$39,IF(G422&lt;41,'General Basis'!$C$40,IF(G422&lt;60,'General Basis'!$C$41,IF(G422&lt;65,'General Basis'!$C$42,'General Basis'!$C$43)))),IF(G422&lt;11,'General Basis'!$B$39,IF(G422&lt;18,'General Basis'!$B$40,IF(G422&lt;26,'General Basis'!$B$41,IF(G422&lt;31,'General Basis'!$B$42,IF(G422&lt;36,'General Basis'!$B$43,IF(G422&lt;41,'General Basis'!$B$44,IF(G422&lt;46,'General Basis'!$B$45,IF(G422&lt;51,'General Basis'!$B$46,IF(G422&lt;56,'General Basis'!$B$47,IF(G422&lt;60,'General Basis'!$B$48,IF(G422&lt;65,'General Basis'!$B$49,'General Basis'!$B$50)))))))))))))</f>
        <v/>
      </c>
      <c r="BI422" s="744" t="str">
        <f t="shared" si="159"/>
        <v/>
      </c>
      <c r="BJ422" s="747" t="str">
        <f t="shared" si="166"/>
        <v/>
      </c>
      <c r="BK422" s="498" t="str">
        <f t="shared" si="160"/>
        <v/>
      </c>
      <c r="BL422" s="498" t="str">
        <f t="shared" si="161"/>
        <v/>
      </c>
    </row>
    <row r="423" spans="1:64" x14ac:dyDescent="0.25">
      <c r="A423" s="762">
        <f t="shared" si="162"/>
        <v>418</v>
      </c>
      <c r="B423" s="229"/>
      <c r="C423" s="223"/>
      <c r="D423" s="224"/>
      <c r="E423" s="225"/>
      <c r="F423" s="1036" t="str">
        <f t="shared" si="168"/>
        <v/>
      </c>
      <c r="G423" s="1037" t="str">
        <f t="shared" si="163"/>
        <v/>
      </c>
      <c r="H423" s="225"/>
      <c r="I423" s="1013"/>
      <c r="J423" s="1013"/>
      <c r="K423" s="1028"/>
      <c r="L423" s="1035" t="str">
        <f t="shared" si="167"/>
        <v/>
      </c>
      <c r="S423" s="498"/>
      <c r="AJ423" s="498"/>
      <c r="AM423" s="498">
        <f t="shared" si="148"/>
        <v>0</v>
      </c>
      <c r="AN423" s="498">
        <f t="shared" si="149"/>
        <v>0</v>
      </c>
      <c r="AO423" s="498">
        <f t="shared" si="150"/>
        <v>0</v>
      </c>
      <c r="AP423" s="498">
        <f t="shared" si="169"/>
        <v>0</v>
      </c>
      <c r="AQ423" s="498">
        <f t="shared" si="164"/>
        <v>0</v>
      </c>
      <c r="AU423" s="498">
        <f t="shared" si="151"/>
        <v>0</v>
      </c>
      <c r="AV423" s="498">
        <f t="shared" si="152"/>
        <v>0</v>
      </c>
      <c r="AW423" s="498">
        <f t="shared" si="153"/>
        <v>0</v>
      </c>
      <c r="AX423" s="498">
        <f t="shared" si="154"/>
        <v>0</v>
      </c>
      <c r="AY423" s="498">
        <f t="shared" si="155"/>
        <v>0</v>
      </c>
      <c r="BB423" s="498" t="str">
        <f t="shared" si="156"/>
        <v/>
      </c>
      <c r="BC423" s="743" t="str">
        <f t="shared" si="157"/>
        <v/>
      </c>
      <c r="BD423" s="743" t="str">
        <f t="shared" si="158"/>
        <v/>
      </c>
      <c r="BE423" s="743" t="str">
        <f>IF(D423="","",VLOOKUP(D423,'General Basis'!$J$39:$K$46,2,0))</f>
        <v/>
      </c>
      <c r="BF423" s="744" t="str">
        <f>IF(D423="","",VLOOKUP(D423,'General Basis'!$J$39:$L$46,3,0))</f>
        <v/>
      </c>
      <c r="BG423" s="744" t="str">
        <f t="shared" si="165"/>
        <v/>
      </c>
      <c r="BH423" s="744" t="str">
        <f>IF(G423="","",IF(BF423="Abu Dhabi",IF(G423&lt;18,'General Basis'!$C$39,IF(G423&lt;41,'General Basis'!$C$40,IF(G423&lt;60,'General Basis'!$C$41,IF(G423&lt;65,'General Basis'!$C$42,'General Basis'!$C$43)))),IF(G423&lt;11,'General Basis'!$B$39,IF(G423&lt;18,'General Basis'!$B$40,IF(G423&lt;26,'General Basis'!$B$41,IF(G423&lt;31,'General Basis'!$B$42,IF(G423&lt;36,'General Basis'!$B$43,IF(G423&lt;41,'General Basis'!$B$44,IF(G423&lt;46,'General Basis'!$B$45,IF(G423&lt;51,'General Basis'!$B$46,IF(G423&lt;56,'General Basis'!$B$47,IF(G423&lt;60,'General Basis'!$B$48,IF(G423&lt;65,'General Basis'!$B$49,'General Basis'!$B$50)))))))))))))</f>
        <v/>
      </c>
      <c r="BI423" s="744" t="str">
        <f t="shared" si="159"/>
        <v/>
      </c>
      <c r="BJ423" s="747" t="str">
        <f t="shared" si="166"/>
        <v/>
      </c>
      <c r="BK423" s="498" t="str">
        <f t="shared" si="160"/>
        <v/>
      </c>
      <c r="BL423" s="498" t="str">
        <f t="shared" si="161"/>
        <v/>
      </c>
    </row>
    <row r="424" spans="1:64" x14ac:dyDescent="0.25">
      <c r="A424" s="762">
        <f t="shared" si="162"/>
        <v>419</v>
      </c>
      <c r="B424" s="229"/>
      <c r="C424" s="223"/>
      <c r="D424" s="224"/>
      <c r="E424" s="225"/>
      <c r="F424" s="1036" t="str">
        <f t="shared" si="168"/>
        <v/>
      </c>
      <c r="G424" s="1037" t="str">
        <f t="shared" si="163"/>
        <v/>
      </c>
      <c r="H424" s="225"/>
      <c r="I424" s="1013"/>
      <c r="J424" s="1013"/>
      <c r="K424" s="1028"/>
      <c r="L424" s="1035" t="str">
        <f t="shared" si="167"/>
        <v/>
      </c>
      <c r="S424" s="498"/>
      <c r="AJ424" s="498"/>
      <c r="AM424" s="498">
        <f t="shared" si="148"/>
        <v>0</v>
      </c>
      <c r="AN424" s="498">
        <f t="shared" si="149"/>
        <v>0</v>
      </c>
      <c r="AO424" s="498">
        <f t="shared" si="150"/>
        <v>0</v>
      </c>
      <c r="AP424" s="498">
        <f t="shared" si="169"/>
        <v>0</v>
      </c>
      <c r="AQ424" s="498">
        <f t="shared" si="164"/>
        <v>0</v>
      </c>
      <c r="AU424" s="498">
        <f t="shared" si="151"/>
        <v>0</v>
      </c>
      <c r="AV424" s="498">
        <f t="shared" si="152"/>
        <v>0</v>
      </c>
      <c r="AW424" s="498">
        <f t="shared" si="153"/>
        <v>0</v>
      </c>
      <c r="AX424" s="498">
        <f t="shared" si="154"/>
        <v>0</v>
      </c>
      <c r="AY424" s="498">
        <f t="shared" si="155"/>
        <v>0</v>
      </c>
      <c r="BB424" s="498" t="str">
        <f t="shared" si="156"/>
        <v/>
      </c>
      <c r="BC424" s="743" t="str">
        <f t="shared" si="157"/>
        <v/>
      </c>
      <c r="BD424" s="743" t="str">
        <f t="shared" si="158"/>
        <v/>
      </c>
      <c r="BE424" s="743" t="str">
        <f>IF(D424="","",VLOOKUP(D424,'General Basis'!$J$39:$K$46,2,0))</f>
        <v/>
      </c>
      <c r="BF424" s="744" t="str">
        <f>IF(D424="","",VLOOKUP(D424,'General Basis'!$J$39:$L$46,3,0))</f>
        <v/>
      </c>
      <c r="BG424" s="744" t="str">
        <f t="shared" si="165"/>
        <v/>
      </c>
      <c r="BH424" s="744" t="str">
        <f>IF(G424="","",IF(BF424="Abu Dhabi",IF(G424&lt;18,'General Basis'!$C$39,IF(G424&lt;41,'General Basis'!$C$40,IF(G424&lt;60,'General Basis'!$C$41,IF(G424&lt;65,'General Basis'!$C$42,'General Basis'!$C$43)))),IF(G424&lt;11,'General Basis'!$B$39,IF(G424&lt;18,'General Basis'!$B$40,IF(G424&lt;26,'General Basis'!$B$41,IF(G424&lt;31,'General Basis'!$B$42,IF(G424&lt;36,'General Basis'!$B$43,IF(G424&lt;41,'General Basis'!$B$44,IF(G424&lt;46,'General Basis'!$B$45,IF(G424&lt;51,'General Basis'!$B$46,IF(G424&lt;56,'General Basis'!$B$47,IF(G424&lt;60,'General Basis'!$B$48,IF(G424&lt;65,'General Basis'!$B$49,'General Basis'!$B$50)))))))))))))</f>
        <v/>
      </c>
      <c r="BI424" s="744" t="str">
        <f t="shared" si="159"/>
        <v/>
      </c>
      <c r="BJ424" s="747" t="str">
        <f t="shared" si="166"/>
        <v/>
      </c>
      <c r="BK424" s="498" t="str">
        <f t="shared" si="160"/>
        <v/>
      </c>
      <c r="BL424" s="498" t="str">
        <f t="shared" si="161"/>
        <v/>
      </c>
    </row>
    <row r="425" spans="1:64" x14ac:dyDescent="0.25">
      <c r="A425" s="762">
        <f t="shared" si="162"/>
        <v>420</v>
      </c>
      <c r="B425" s="229"/>
      <c r="C425" s="223"/>
      <c r="D425" s="224"/>
      <c r="E425" s="225"/>
      <c r="F425" s="1036" t="str">
        <f t="shared" si="168"/>
        <v/>
      </c>
      <c r="G425" s="1037" t="str">
        <f t="shared" si="163"/>
        <v/>
      </c>
      <c r="H425" s="225"/>
      <c r="I425" s="1013"/>
      <c r="J425" s="1013"/>
      <c r="K425" s="1028"/>
      <c r="L425" s="1035" t="str">
        <f t="shared" si="167"/>
        <v/>
      </c>
      <c r="S425" s="498"/>
      <c r="AJ425" s="498"/>
      <c r="AM425" s="498">
        <f t="shared" si="148"/>
        <v>0</v>
      </c>
      <c r="AN425" s="498">
        <f t="shared" si="149"/>
        <v>0</v>
      </c>
      <c r="AO425" s="498">
        <f t="shared" si="150"/>
        <v>0</v>
      </c>
      <c r="AP425" s="498">
        <f t="shared" si="169"/>
        <v>0</v>
      </c>
      <c r="AQ425" s="498">
        <f t="shared" si="164"/>
        <v>0</v>
      </c>
      <c r="AU425" s="498">
        <f t="shared" si="151"/>
        <v>0</v>
      </c>
      <c r="AV425" s="498">
        <f t="shared" si="152"/>
        <v>0</v>
      </c>
      <c r="AW425" s="498">
        <f t="shared" si="153"/>
        <v>0</v>
      </c>
      <c r="AX425" s="498">
        <f t="shared" si="154"/>
        <v>0</v>
      </c>
      <c r="AY425" s="498">
        <f t="shared" si="155"/>
        <v>0</v>
      </c>
      <c r="BB425" s="498" t="str">
        <f t="shared" si="156"/>
        <v/>
      </c>
      <c r="BC425" s="743" t="str">
        <f t="shared" si="157"/>
        <v/>
      </c>
      <c r="BD425" s="743" t="str">
        <f t="shared" si="158"/>
        <v/>
      </c>
      <c r="BE425" s="743" t="str">
        <f>IF(D425="","",VLOOKUP(D425,'General Basis'!$J$39:$K$46,2,0))</f>
        <v/>
      </c>
      <c r="BF425" s="744" t="str">
        <f>IF(D425="","",VLOOKUP(D425,'General Basis'!$J$39:$L$46,3,0))</f>
        <v/>
      </c>
      <c r="BG425" s="744" t="str">
        <f t="shared" si="165"/>
        <v/>
      </c>
      <c r="BH425" s="744" t="str">
        <f>IF(G425="","",IF(BF425="Abu Dhabi",IF(G425&lt;18,'General Basis'!$C$39,IF(G425&lt;41,'General Basis'!$C$40,IF(G425&lt;60,'General Basis'!$C$41,IF(G425&lt;65,'General Basis'!$C$42,'General Basis'!$C$43)))),IF(G425&lt;11,'General Basis'!$B$39,IF(G425&lt;18,'General Basis'!$B$40,IF(G425&lt;26,'General Basis'!$B$41,IF(G425&lt;31,'General Basis'!$B$42,IF(G425&lt;36,'General Basis'!$B$43,IF(G425&lt;41,'General Basis'!$B$44,IF(G425&lt;46,'General Basis'!$B$45,IF(G425&lt;51,'General Basis'!$B$46,IF(G425&lt;56,'General Basis'!$B$47,IF(G425&lt;60,'General Basis'!$B$48,IF(G425&lt;65,'General Basis'!$B$49,'General Basis'!$B$50)))))))))))))</f>
        <v/>
      </c>
      <c r="BI425" s="744" t="str">
        <f t="shared" si="159"/>
        <v/>
      </c>
      <c r="BJ425" s="747" t="str">
        <f t="shared" si="166"/>
        <v/>
      </c>
      <c r="BK425" s="498" t="str">
        <f t="shared" si="160"/>
        <v/>
      </c>
      <c r="BL425" s="498" t="str">
        <f t="shared" si="161"/>
        <v/>
      </c>
    </row>
    <row r="426" spans="1:64" x14ac:dyDescent="0.25">
      <c r="A426" s="762">
        <f t="shared" si="162"/>
        <v>421</v>
      </c>
      <c r="B426" s="229"/>
      <c r="C426" s="223"/>
      <c r="D426" s="224"/>
      <c r="E426" s="225"/>
      <c r="F426" s="1036" t="str">
        <f t="shared" si="168"/>
        <v/>
      </c>
      <c r="G426" s="1037" t="str">
        <f t="shared" si="163"/>
        <v/>
      </c>
      <c r="H426" s="225"/>
      <c r="I426" s="1013"/>
      <c r="J426" s="1013"/>
      <c r="K426" s="1028"/>
      <c r="L426" s="1035" t="str">
        <f t="shared" si="167"/>
        <v/>
      </c>
      <c r="S426" s="498"/>
      <c r="AJ426" s="498"/>
      <c r="AM426" s="498">
        <f t="shared" si="148"/>
        <v>0</v>
      </c>
      <c r="AN426" s="498">
        <f t="shared" si="149"/>
        <v>0</v>
      </c>
      <c r="AO426" s="498">
        <f t="shared" si="150"/>
        <v>0</v>
      </c>
      <c r="AP426" s="498">
        <f t="shared" si="169"/>
        <v>0</v>
      </c>
      <c r="AQ426" s="498">
        <f t="shared" si="164"/>
        <v>0</v>
      </c>
      <c r="AU426" s="498">
        <f t="shared" si="151"/>
        <v>0</v>
      </c>
      <c r="AV426" s="498">
        <f t="shared" si="152"/>
        <v>0</v>
      </c>
      <c r="AW426" s="498">
        <f t="shared" si="153"/>
        <v>0</v>
      </c>
      <c r="AX426" s="498">
        <f t="shared" si="154"/>
        <v>0</v>
      </c>
      <c r="AY426" s="498">
        <f t="shared" si="155"/>
        <v>0</v>
      </c>
      <c r="BB426" s="498" t="str">
        <f t="shared" si="156"/>
        <v/>
      </c>
      <c r="BC426" s="743" t="str">
        <f t="shared" si="157"/>
        <v/>
      </c>
      <c r="BD426" s="743" t="str">
        <f t="shared" si="158"/>
        <v/>
      </c>
      <c r="BE426" s="743" t="str">
        <f>IF(D426="","",VLOOKUP(D426,'General Basis'!$J$39:$K$46,2,0))</f>
        <v/>
      </c>
      <c r="BF426" s="744" t="str">
        <f>IF(D426="","",VLOOKUP(D426,'General Basis'!$J$39:$L$46,3,0))</f>
        <v/>
      </c>
      <c r="BG426" s="744" t="str">
        <f t="shared" si="165"/>
        <v/>
      </c>
      <c r="BH426" s="744" t="str">
        <f>IF(G426="","",IF(BF426="Abu Dhabi",IF(G426&lt;18,'General Basis'!$C$39,IF(G426&lt;41,'General Basis'!$C$40,IF(G426&lt;60,'General Basis'!$C$41,IF(G426&lt;65,'General Basis'!$C$42,'General Basis'!$C$43)))),IF(G426&lt;11,'General Basis'!$B$39,IF(G426&lt;18,'General Basis'!$B$40,IF(G426&lt;26,'General Basis'!$B$41,IF(G426&lt;31,'General Basis'!$B$42,IF(G426&lt;36,'General Basis'!$B$43,IF(G426&lt;41,'General Basis'!$B$44,IF(G426&lt;46,'General Basis'!$B$45,IF(G426&lt;51,'General Basis'!$B$46,IF(G426&lt;56,'General Basis'!$B$47,IF(G426&lt;60,'General Basis'!$B$48,IF(G426&lt;65,'General Basis'!$B$49,'General Basis'!$B$50)))))))))))))</f>
        <v/>
      </c>
      <c r="BI426" s="744" t="str">
        <f t="shared" si="159"/>
        <v/>
      </c>
      <c r="BJ426" s="747" t="str">
        <f t="shared" si="166"/>
        <v/>
      </c>
      <c r="BK426" s="498" t="str">
        <f t="shared" si="160"/>
        <v/>
      </c>
      <c r="BL426" s="498" t="str">
        <f t="shared" si="161"/>
        <v/>
      </c>
    </row>
    <row r="427" spans="1:64" x14ac:dyDescent="0.25">
      <c r="A427" s="762">
        <f t="shared" si="162"/>
        <v>422</v>
      </c>
      <c r="B427" s="229"/>
      <c r="C427" s="223"/>
      <c r="D427" s="224"/>
      <c r="E427" s="225"/>
      <c r="F427" s="1036" t="str">
        <f t="shared" si="168"/>
        <v/>
      </c>
      <c r="G427" s="1037" t="str">
        <f t="shared" si="163"/>
        <v/>
      </c>
      <c r="H427" s="225"/>
      <c r="I427" s="1013"/>
      <c r="J427" s="1013"/>
      <c r="K427" s="1028"/>
      <c r="L427" s="1035" t="str">
        <f t="shared" si="167"/>
        <v/>
      </c>
      <c r="S427" s="498"/>
      <c r="AJ427" s="498"/>
      <c r="AM427" s="498">
        <f t="shared" si="148"/>
        <v>0</v>
      </c>
      <c r="AN427" s="498">
        <f t="shared" si="149"/>
        <v>0</v>
      </c>
      <c r="AO427" s="498">
        <f t="shared" si="150"/>
        <v>0</v>
      </c>
      <c r="AP427" s="498">
        <f t="shared" si="169"/>
        <v>0</v>
      </c>
      <c r="AQ427" s="498">
        <f t="shared" si="164"/>
        <v>0</v>
      </c>
      <c r="AU427" s="498">
        <f t="shared" si="151"/>
        <v>0</v>
      </c>
      <c r="AV427" s="498">
        <f t="shared" si="152"/>
        <v>0</v>
      </c>
      <c r="AW427" s="498">
        <f t="shared" si="153"/>
        <v>0</v>
      </c>
      <c r="AX427" s="498">
        <f t="shared" si="154"/>
        <v>0</v>
      </c>
      <c r="AY427" s="498">
        <f t="shared" si="155"/>
        <v>0</v>
      </c>
      <c r="BB427" s="498" t="str">
        <f t="shared" si="156"/>
        <v/>
      </c>
      <c r="BC427" s="743" t="str">
        <f t="shared" si="157"/>
        <v/>
      </c>
      <c r="BD427" s="743" t="str">
        <f t="shared" si="158"/>
        <v/>
      </c>
      <c r="BE427" s="743" t="str">
        <f>IF(D427="","",VLOOKUP(D427,'General Basis'!$J$39:$K$46,2,0))</f>
        <v/>
      </c>
      <c r="BF427" s="744" t="str">
        <f>IF(D427="","",VLOOKUP(D427,'General Basis'!$J$39:$L$46,3,0))</f>
        <v/>
      </c>
      <c r="BG427" s="744" t="str">
        <f t="shared" si="165"/>
        <v/>
      </c>
      <c r="BH427" s="744" t="str">
        <f>IF(G427="","",IF(BF427="Abu Dhabi",IF(G427&lt;18,'General Basis'!$C$39,IF(G427&lt;41,'General Basis'!$C$40,IF(G427&lt;60,'General Basis'!$C$41,IF(G427&lt;65,'General Basis'!$C$42,'General Basis'!$C$43)))),IF(G427&lt;11,'General Basis'!$B$39,IF(G427&lt;18,'General Basis'!$B$40,IF(G427&lt;26,'General Basis'!$B$41,IF(G427&lt;31,'General Basis'!$B$42,IF(G427&lt;36,'General Basis'!$B$43,IF(G427&lt;41,'General Basis'!$B$44,IF(G427&lt;46,'General Basis'!$B$45,IF(G427&lt;51,'General Basis'!$B$46,IF(G427&lt;56,'General Basis'!$B$47,IF(G427&lt;60,'General Basis'!$B$48,IF(G427&lt;65,'General Basis'!$B$49,'General Basis'!$B$50)))))))))))))</f>
        <v/>
      </c>
      <c r="BI427" s="744" t="str">
        <f t="shared" si="159"/>
        <v/>
      </c>
      <c r="BJ427" s="747" t="str">
        <f t="shared" si="166"/>
        <v/>
      </c>
      <c r="BK427" s="498" t="str">
        <f t="shared" si="160"/>
        <v/>
      </c>
      <c r="BL427" s="498" t="str">
        <f t="shared" si="161"/>
        <v/>
      </c>
    </row>
    <row r="428" spans="1:64" x14ac:dyDescent="0.25">
      <c r="A428" s="762">
        <f t="shared" si="162"/>
        <v>423</v>
      </c>
      <c r="B428" s="229"/>
      <c r="C428" s="223"/>
      <c r="D428" s="224"/>
      <c r="E428" s="225"/>
      <c r="F428" s="1036" t="str">
        <f t="shared" si="168"/>
        <v/>
      </c>
      <c r="G428" s="1037" t="str">
        <f t="shared" si="163"/>
        <v/>
      </c>
      <c r="H428" s="225"/>
      <c r="I428" s="1013"/>
      <c r="J428" s="1013"/>
      <c r="K428" s="1028"/>
      <c r="L428" s="1035" t="str">
        <f t="shared" si="167"/>
        <v/>
      </c>
      <c r="S428" s="498"/>
      <c r="AJ428" s="498"/>
      <c r="AM428" s="498">
        <f t="shared" si="148"/>
        <v>0</v>
      </c>
      <c r="AN428" s="498">
        <f t="shared" si="149"/>
        <v>0</v>
      </c>
      <c r="AO428" s="498">
        <f t="shared" si="150"/>
        <v>0</v>
      </c>
      <c r="AP428" s="498">
        <f t="shared" si="169"/>
        <v>0</v>
      </c>
      <c r="AQ428" s="498">
        <f t="shared" si="164"/>
        <v>0</v>
      </c>
      <c r="AU428" s="498">
        <f t="shared" si="151"/>
        <v>0</v>
      </c>
      <c r="AV428" s="498">
        <f t="shared" si="152"/>
        <v>0</v>
      </c>
      <c r="AW428" s="498">
        <f t="shared" si="153"/>
        <v>0</v>
      </c>
      <c r="AX428" s="498">
        <f t="shared" si="154"/>
        <v>0</v>
      </c>
      <c r="AY428" s="498">
        <f t="shared" si="155"/>
        <v>0</v>
      </c>
      <c r="BB428" s="498" t="str">
        <f t="shared" si="156"/>
        <v/>
      </c>
      <c r="BC428" s="743" t="str">
        <f t="shared" si="157"/>
        <v/>
      </c>
      <c r="BD428" s="743" t="str">
        <f t="shared" si="158"/>
        <v/>
      </c>
      <c r="BE428" s="743" t="str">
        <f>IF(D428="","",VLOOKUP(D428,'General Basis'!$J$39:$K$46,2,0))</f>
        <v/>
      </c>
      <c r="BF428" s="744" t="str">
        <f>IF(D428="","",VLOOKUP(D428,'General Basis'!$J$39:$L$46,3,0))</f>
        <v/>
      </c>
      <c r="BG428" s="744" t="str">
        <f t="shared" si="165"/>
        <v/>
      </c>
      <c r="BH428" s="744" t="str">
        <f>IF(G428="","",IF(BF428="Abu Dhabi",IF(G428&lt;18,'General Basis'!$C$39,IF(G428&lt;41,'General Basis'!$C$40,IF(G428&lt;60,'General Basis'!$C$41,IF(G428&lt;65,'General Basis'!$C$42,'General Basis'!$C$43)))),IF(G428&lt;11,'General Basis'!$B$39,IF(G428&lt;18,'General Basis'!$B$40,IF(G428&lt;26,'General Basis'!$B$41,IF(G428&lt;31,'General Basis'!$B$42,IF(G428&lt;36,'General Basis'!$B$43,IF(G428&lt;41,'General Basis'!$B$44,IF(G428&lt;46,'General Basis'!$B$45,IF(G428&lt;51,'General Basis'!$B$46,IF(G428&lt;56,'General Basis'!$B$47,IF(G428&lt;60,'General Basis'!$B$48,IF(G428&lt;65,'General Basis'!$B$49,'General Basis'!$B$50)))))))))))))</f>
        <v/>
      </c>
      <c r="BI428" s="744" t="str">
        <f t="shared" si="159"/>
        <v/>
      </c>
      <c r="BJ428" s="747" t="str">
        <f t="shared" si="166"/>
        <v/>
      </c>
      <c r="BK428" s="498" t="str">
        <f t="shared" si="160"/>
        <v/>
      </c>
      <c r="BL428" s="498" t="str">
        <f t="shared" si="161"/>
        <v/>
      </c>
    </row>
    <row r="429" spans="1:64" x14ac:dyDescent="0.25">
      <c r="A429" s="762">
        <f t="shared" si="162"/>
        <v>424</v>
      </c>
      <c r="B429" s="229"/>
      <c r="C429" s="223"/>
      <c r="D429" s="224"/>
      <c r="E429" s="225"/>
      <c r="F429" s="1036" t="str">
        <f t="shared" si="168"/>
        <v/>
      </c>
      <c r="G429" s="1037" t="str">
        <f t="shared" si="163"/>
        <v/>
      </c>
      <c r="H429" s="225"/>
      <c r="I429" s="1013"/>
      <c r="J429" s="1013"/>
      <c r="K429" s="1028"/>
      <c r="L429" s="1035" t="str">
        <f t="shared" si="167"/>
        <v/>
      </c>
      <c r="S429" s="498"/>
      <c r="AJ429" s="498"/>
      <c r="AM429" s="498">
        <f t="shared" si="148"/>
        <v>0</v>
      </c>
      <c r="AN429" s="498">
        <f t="shared" si="149"/>
        <v>0</v>
      </c>
      <c r="AO429" s="498">
        <f t="shared" si="150"/>
        <v>0</v>
      </c>
      <c r="AP429" s="498">
        <f t="shared" si="169"/>
        <v>0</v>
      </c>
      <c r="AQ429" s="498">
        <f t="shared" si="164"/>
        <v>0</v>
      </c>
      <c r="AU429" s="498">
        <f t="shared" si="151"/>
        <v>0</v>
      </c>
      <c r="AV429" s="498">
        <f t="shared" si="152"/>
        <v>0</v>
      </c>
      <c r="AW429" s="498">
        <f t="shared" si="153"/>
        <v>0</v>
      </c>
      <c r="AX429" s="498">
        <f t="shared" si="154"/>
        <v>0</v>
      </c>
      <c r="AY429" s="498">
        <f t="shared" si="155"/>
        <v>0</v>
      </c>
      <c r="BB429" s="498" t="str">
        <f t="shared" si="156"/>
        <v/>
      </c>
      <c r="BC429" s="743" t="str">
        <f t="shared" si="157"/>
        <v/>
      </c>
      <c r="BD429" s="743" t="str">
        <f t="shared" si="158"/>
        <v/>
      </c>
      <c r="BE429" s="743" t="str">
        <f>IF(D429="","",VLOOKUP(D429,'General Basis'!$J$39:$K$46,2,0))</f>
        <v/>
      </c>
      <c r="BF429" s="744" t="str">
        <f>IF(D429="","",VLOOKUP(D429,'General Basis'!$J$39:$L$46,3,0))</f>
        <v/>
      </c>
      <c r="BG429" s="744" t="str">
        <f t="shared" si="165"/>
        <v/>
      </c>
      <c r="BH429" s="744" t="str">
        <f>IF(G429="","",IF(BF429="Abu Dhabi",IF(G429&lt;18,'General Basis'!$C$39,IF(G429&lt;41,'General Basis'!$C$40,IF(G429&lt;60,'General Basis'!$C$41,IF(G429&lt;65,'General Basis'!$C$42,'General Basis'!$C$43)))),IF(G429&lt;11,'General Basis'!$B$39,IF(G429&lt;18,'General Basis'!$B$40,IF(G429&lt;26,'General Basis'!$B$41,IF(G429&lt;31,'General Basis'!$B$42,IF(G429&lt;36,'General Basis'!$B$43,IF(G429&lt;41,'General Basis'!$B$44,IF(G429&lt;46,'General Basis'!$B$45,IF(G429&lt;51,'General Basis'!$B$46,IF(G429&lt;56,'General Basis'!$B$47,IF(G429&lt;60,'General Basis'!$B$48,IF(G429&lt;65,'General Basis'!$B$49,'General Basis'!$B$50)))))))))))))</f>
        <v/>
      </c>
      <c r="BI429" s="744" t="str">
        <f t="shared" si="159"/>
        <v/>
      </c>
      <c r="BJ429" s="747" t="str">
        <f t="shared" si="166"/>
        <v/>
      </c>
      <c r="BK429" s="498" t="str">
        <f t="shared" si="160"/>
        <v/>
      </c>
      <c r="BL429" s="498" t="str">
        <f t="shared" si="161"/>
        <v/>
      </c>
    </row>
    <row r="430" spans="1:64" x14ac:dyDescent="0.25">
      <c r="A430" s="762">
        <f t="shared" si="162"/>
        <v>425</v>
      </c>
      <c r="B430" s="229"/>
      <c r="C430" s="223"/>
      <c r="D430" s="224"/>
      <c r="E430" s="225"/>
      <c r="F430" s="1036" t="str">
        <f t="shared" si="168"/>
        <v/>
      </c>
      <c r="G430" s="1037" t="str">
        <f t="shared" si="163"/>
        <v/>
      </c>
      <c r="H430" s="225"/>
      <c r="I430" s="1013"/>
      <c r="J430" s="1013"/>
      <c r="K430" s="1028"/>
      <c r="L430" s="1035" t="str">
        <f t="shared" si="167"/>
        <v/>
      </c>
      <c r="S430" s="498"/>
      <c r="AJ430" s="498"/>
      <c r="AM430" s="498">
        <f t="shared" si="148"/>
        <v>0</v>
      </c>
      <c r="AN430" s="498">
        <f t="shared" si="149"/>
        <v>0</v>
      </c>
      <c r="AO430" s="498">
        <f t="shared" si="150"/>
        <v>0</v>
      </c>
      <c r="AP430" s="498">
        <f t="shared" si="169"/>
        <v>0</v>
      </c>
      <c r="AQ430" s="498">
        <f t="shared" si="164"/>
        <v>0</v>
      </c>
      <c r="AU430" s="498">
        <f t="shared" si="151"/>
        <v>0</v>
      </c>
      <c r="AV430" s="498">
        <f t="shared" si="152"/>
        <v>0</v>
      </c>
      <c r="AW430" s="498">
        <f t="shared" si="153"/>
        <v>0</v>
      </c>
      <c r="AX430" s="498">
        <f t="shared" si="154"/>
        <v>0</v>
      </c>
      <c r="AY430" s="498">
        <f t="shared" si="155"/>
        <v>0</v>
      </c>
      <c r="BB430" s="498" t="str">
        <f t="shared" si="156"/>
        <v/>
      </c>
      <c r="BC430" s="743" t="str">
        <f t="shared" si="157"/>
        <v/>
      </c>
      <c r="BD430" s="743" t="str">
        <f t="shared" si="158"/>
        <v/>
      </c>
      <c r="BE430" s="743" t="str">
        <f>IF(D430="","",VLOOKUP(D430,'General Basis'!$J$39:$K$46,2,0))</f>
        <v/>
      </c>
      <c r="BF430" s="744" t="str">
        <f>IF(D430="","",VLOOKUP(D430,'General Basis'!$J$39:$L$46,3,0))</f>
        <v/>
      </c>
      <c r="BG430" s="744" t="str">
        <f t="shared" si="165"/>
        <v/>
      </c>
      <c r="BH430" s="744" t="str">
        <f>IF(G430="","",IF(BF430="Abu Dhabi",IF(G430&lt;18,'General Basis'!$C$39,IF(G430&lt;41,'General Basis'!$C$40,IF(G430&lt;60,'General Basis'!$C$41,IF(G430&lt;65,'General Basis'!$C$42,'General Basis'!$C$43)))),IF(G430&lt;11,'General Basis'!$B$39,IF(G430&lt;18,'General Basis'!$B$40,IF(G430&lt;26,'General Basis'!$B$41,IF(G430&lt;31,'General Basis'!$B$42,IF(G430&lt;36,'General Basis'!$B$43,IF(G430&lt;41,'General Basis'!$B$44,IF(G430&lt;46,'General Basis'!$B$45,IF(G430&lt;51,'General Basis'!$B$46,IF(G430&lt;56,'General Basis'!$B$47,IF(G430&lt;60,'General Basis'!$B$48,IF(G430&lt;65,'General Basis'!$B$49,'General Basis'!$B$50)))))))))))))</f>
        <v/>
      </c>
      <c r="BI430" s="744" t="str">
        <f t="shared" si="159"/>
        <v/>
      </c>
      <c r="BJ430" s="747" t="str">
        <f t="shared" si="166"/>
        <v/>
      </c>
      <c r="BK430" s="498" t="str">
        <f t="shared" si="160"/>
        <v/>
      </c>
      <c r="BL430" s="498" t="str">
        <f t="shared" si="161"/>
        <v/>
      </c>
    </row>
    <row r="431" spans="1:64" x14ac:dyDescent="0.25">
      <c r="A431" s="762">
        <f t="shared" si="162"/>
        <v>426</v>
      </c>
      <c r="B431" s="229"/>
      <c r="C431" s="223"/>
      <c r="D431" s="224"/>
      <c r="E431" s="225"/>
      <c r="F431" s="1036" t="str">
        <f t="shared" si="168"/>
        <v/>
      </c>
      <c r="G431" s="1037" t="str">
        <f t="shared" si="163"/>
        <v/>
      </c>
      <c r="H431" s="225"/>
      <c r="I431" s="1013"/>
      <c r="J431" s="1013"/>
      <c r="K431" s="1028"/>
      <c r="L431" s="1035" t="str">
        <f t="shared" si="167"/>
        <v/>
      </c>
      <c r="S431" s="498"/>
      <c r="AJ431" s="498"/>
      <c r="AM431" s="498">
        <f t="shared" si="148"/>
        <v>0</v>
      </c>
      <c r="AN431" s="498">
        <f t="shared" si="149"/>
        <v>0</v>
      </c>
      <c r="AO431" s="498">
        <f t="shared" si="150"/>
        <v>0</v>
      </c>
      <c r="AP431" s="498">
        <f t="shared" si="169"/>
        <v>0</v>
      </c>
      <c r="AQ431" s="498">
        <f t="shared" si="164"/>
        <v>0</v>
      </c>
      <c r="AU431" s="498">
        <f t="shared" si="151"/>
        <v>0</v>
      </c>
      <c r="AV431" s="498">
        <f t="shared" si="152"/>
        <v>0</v>
      </c>
      <c r="AW431" s="498">
        <f t="shared" si="153"/>
        <v>0</v>
      </c>
      <c r="AX431" s="498">
        <f t="shared" si="154"/>
        <v>0</v>
      </c>
      <c r="AY431" s="498">
        <f t="shared" si="155"/>
        <v>0</v>
      </c>
      <c r="BB431" s="498" t="str">
        <f t="shared" si="156"/>
        <v/>
      </c>
      <c r="BC431" s="743" t="str">
        <f t="shared" si="157"/>
        <v/>
      </c>
      <c r="BD431" s="743" t="str">
        <f t="shared" si="158"/>
        <v/>
      </c>
      <c r="BE431" s="743" t="str">
        <f>IF(D431="","",VLOOKUP(D431,'General Basis'!$J$39:$K$46,2,0))</f>
        <v/>
      </c>
      <c r="BF431" s="744" t="str">
        <f>IF(D431="","",VLOOKUP(D431,'General Basis'!$J$39:$L$46,3,0))</f>
        <v/>
      </c>
      <c r="BG431" s="744" t="str">
        <f t="shared" si="165"/>
        <v/>
      </c>
      <c r="BH431" s="744" t="str">
        <f>IF(G431="","",IF(BF431="Abu Dhabi",IF(G431&lt;18,'General Basis'!$C$39,IF(G431&lt;41,'General Basis'!$C$40,IF(G431&lt;60,'General Basis'!$C$41,IF(G431&lt;65,'General Basis'!$C$42,'General Basis'!$C$43)))),IF(G431&lt;11,'General Basis'!$B$39,IF(G431&lt;18,'General Basis'!$B$40,IF(G431&lt;26,'General Basis'!$B$41,IF(G431&lt;31,'General Basis'!$B$42,IF(G431&lt;36,'General Basis'!$B$43,IF(G431&lt;41,'General Basis'!$B$44,IF(G431&lt;46,'General Basis'!$B$45,IF(G431&lt;51,'General Basis'!$B$46,IF(G431&lt;56,'General Basis'!$B$47,IF(G431&lt;60,'General Basis'!$B$48,IF(G431&lt;65,'General Basis'!$B$49,'General Basis'!$B$50)))))))))))))</f>
        <v/>
      </c>
      <c r="BI431" s="744" t="str">
        <f t="shared" si="159"/>
        <v/>
      </c>
      <c r="BJ431" s="747" t="str">
        <f t="shared" si="166"/>
        <v/>
      </c>
      <c r="BK431" s="498" t="str">
        <f t="shared" si="160"/>
        <v/>
      </c>
      <c r="BL431" s="498" t="str">
        <f t="shared" si="161"/>
        <v/>
      </c>
    </row>
    <row r="432" spans="1:64" x14ac:dyDescent="0.25">
      <c r="A432" s="762">
        <f t="shared" si="162"/>
        <v>427</v>
      </c>
      <c r="B432" s="229"/>
      <c r="C432" s="223"/>
      <c r="D432" s="224"/>
      <c r="E432" s="225"/>
      <c r="F432" s="1036" t="str">
        <f t="shared" si="168"/>
        <v/>
      </c>
      <c r="G432" s="1037" t="str">
        <f t="shared" si="163"/>
        <v/>
      </c>
      <c r="H432" s="225"/>
      <c r="I432" s="1013"/>
      <c r="J432" s="1013"/>
      <c r="K432" s="1028"/>
      <c r="L432" s="1035" t="str">
        <f t="shared" si="167"/>
        <v/>
      </c>
      <c r="S432" s="498"/>
      <c r="AJ432" s="498"/>
      <c r="AM432" s="498">
        <f t="shared" si="148"/>
        <v>0</v>
      </c>
      <c r="AN432" s="498">
        <f t="shared" si="149"/>
        <v>0</v>
      </c>
      <c r="AO432" s="498">
        <f t="shared" si="150"/>
        <v>0</v>
      </c>
      <c r="AP432" s="498">
        <f t="shared" si="169"/>
        <v>0</v>
      </c>
      <c r="AQ432" s="498">
        <f t="shared" si="164"/>
        <v>0</v>
      </c>
      <c r="AU432" s="498">
        <f t="shared" si="151"/>
        <v>0</v>
      </c>
      <c r="AV432" s="498">
        <f t="shared" si="152"/>
        <v>0</v>
      </c>
      <c r="AW432" s="498">
        <f t="shared" si="153"/>
        <v>0</v>
      </c>
      <c r="AX432" s="498">
        <f t="shared" si="154"/>
        <v>0</v>
      </c>
      <c r="AY432" s="498">
        <f t="shared" si="155"/>
        <v>0</v>
      </c>
      <c r="BB432" s="498" t="str">
        <f t="shared" si="156"/>
        <v/>
      </c>
      <c r="BC432" s="743" t="str">
        <f t="shared" si="157"/>
        <v/>
      </c>
      <c r="BD432" s="743" t="str">
        <f t="shared" si="158"/>
        <v/>
      </c>
      <c r="BE432" s="743" t="str">
        <f>IF(D432="","",VLOOKUP(D432,'General Basis'!$J$39:$K$46,2,0))</f>
        <v/>
      </c>
      <c r="BF432" s="744" t="str">
        <f>IF(D432="","",VLOOKUP(D432,'General Basis'!$J$39:$L$46,3,0))</f>
        <v/>
      </c>
      <c r="BG432" s="744" t="str">
        <f t="shared" si="165"/>
        <v/>
      </c>
      <c r="BH432" s="744" t="str">
        <f>IF(G432="","",IF(BF432="Abu Dhabi",IF(G432&lt;18,'General Basis'!$C$39,IF(G432&lt;41,'General Basis'!$C$40,IF(G432&lt;60,'General Basis'!$C$41,IF(G432&lt;65,'General Basis'!$C$42,'General Basis'!$C$43)))),IF(G432&lt;11,'General Basis'!$B$39,IF(G432&lt;18,'General Basis'!$B$40,IF(G432&lt;26,'General Basis'!$B$41,IF(G432&lt;31,'General Basis'!$B$42,IF(G432&lt;36,'General Basis'!$B$43,IF(G432&lt;41,'General Basis'!$B$44,IF(G432&lt;46,'General Basis'!$B$45,IF(G432&lt;51,'General Basis'!$B$46,IF(G432&lt;56,'General Basis'!$B$47,IF(G432&lt;60,'General Basis'!$B$48,IF(G432&lt;65,'General Basis'!$B$49,'General Basis'!$B$50)))))))))))))</f>
        <v/>
      </c>
      <c r="BI432" s="744" t="str">
        <f t="shared" si="159"/>
        <v/>
      </c>
      <c r="BJ432" s="747" t="str">
        <f t="shared" si="166"/>
        <v/>
      </c>
      <c r="BK432" s="498" t="str">
        <f t="shared" si="160"/>
        <v/>
      </c>
      <c r="BL432" s="498" t="str">
        <f t="shared" si="161"/>
        <v/>
      </c>
    </row>
    <row r="433" spans="1:64" x14ac:dyDescent="0.25">
      <c r="A433" s="762">
        <f t="shared" si="162"/>
        <v>428</v>
      </c>
      <c r="B433" s="229"/>
      <c r="C433" s="223"/>
      <c r="D433" s="224"/>
      <c r="E433" s="225"/>
      <c r="F433" s="1036" t="str">
        <f t="shared" si="168"/>
        <v/>
      </c>
      <c r="G433" s="1037" t="str">
        <f t="shared" si="163"/>
        <v/>
      </c>
      <c r="H433" s="225"/>
      <c r="I433" s="1013"/>
      <c r="J433" s="1013"/>
      <c r="K433" s="1028"/>
      <c r="L433" s="1035" t="str">
        <f t="shared" si="167"/>
        <v/>
      </c>
      <c r="S433" s="498"/>
      <c r="AJ433" s="498"/>
      <c r="AM433" s="498">
        <f t="shared" si="148"/>
        <v>0</v>
      </c>
      <c r="AN433" s="498">
        <f t="shared" si="149"/>
        <v>0</v>
      </c>
      <c r="AO433" s="498">
        <f t="shared" si="150"/>
        <v>0</v>
      </c>
      <c r="AP433" s="498">
        <f t="shared" si="169"/>
        <v>0</v>
      </c>
      <c r="AQ433" s="498">
        <f t="shared" si="164"/>
        <v>0</v>
      </c>
      <c r="AU433" s="498">
        <f t="shared" si="151"/>
        <v>0</v>
      </c>
      <c r="AV433" s="498">
        <f t="shared" si="152"/>
        <v>0</v>
      </c>
      <c r="AW433" s="498">
        <f t="shared" si="153"/>
        <v>0</v>
      </c>
      <c r="AX433" s="498">
        <f t="shared" si="154"/>
        <v>0</v>
      </c>
      <c r="AY433" s="498">
        <f t="shared" si="155"/>
        <v>0</v>
      </c>
      <c r="BB433" s="498" t="str">
        <f t="shared" si="156"/>
        <v/>
      </c>
      <c r="BC433" s="743" t="str">
        <f t="shared" si="157"/>
        <v/>
      </c>
      <c r="BD433" s="743" t="str">
        <f t="shared" si="158"/>
        <v/>
      </c>
      <c r="BE433" s="743" t="str">
        <f>IF(D433="","",VLOOKUP(D433,'General Basis'!$J$39:$K$46,2,0))</f>
        <v/>
      </c>
      <c r="BF433" s="744" t="str">
        <f>IF(D433="","",VLOOKUP(D433,'General Basis'!$J$39:$L$46,3,0))</f>
        <v/>
      </c>
      <c r="BG433" s="744" t="str">
        <f t="shared" si="165"/>
        <v/>
      </c>
      <c r="BH433" s="744" t="str">
        <f>IF(G433="","",IF(BF433="Abu Dhabi",IF(G433&lt;18,'General Basis'!$C$39,IF(G433&lt;41,'General Basis'!$C$40,IF(G433&lt;60,'General Basis'!$C$41,IF(G433&lt;65,'General Basis'!$C$42,'General Basis'!$C$43)))),IF(G433&lt;11,'General Basis'!$B$39,IF(G433&lt;18,'General Basis'!$B$40,IF(G433&lt;26,'General Basis'!$B$41,IF(G433&lt;31,'General Basis'!$B$42,IF(G433&lt;36,'General Basis'!$B$43,IF(G433&lt;41,'General Basis'!$B$44,IF(G433&lt;46,'General Basis'!$B$45,IF(G433&lt;51,'General Basis'!$B$46,IF(G433&lt;56,'General Basis'!$B$47,IF(G433&lt;60,'General Basis'!$B$48,IF(G433&lt;65,'General Basis'!$B$49,'General Basis'!$B$50)))))))))))))</f>
        <v/>
      </c>
      <c r="BI433" s="744" t="str">
        <f t="shared" si="159"/>
        <v/>
      </c>
      <c r="BJ433" s="747" t="str">
        <f t="shared" si="166"/>
        <v/>
      </c>
      <c r="BK433" s="498" t="str">
        <f t="shared" si="160"/>
        <v/>
      </c>
      <c r="BL433" s="498" t="str">
        <f t="shared" si="161"/>
        <v/>
      </c>
    </row>
    <row r="434" spans="1:64" x14ac:dyDescent="0.25">
      <c r="A434" s="762">
        <f t="shared" si="162"/>
        <v>429</v>
      </c>
      <c r="B434" s="229"/>
      <c r="C434" s="223"/>
      <c r="D434" s="224"/>
      <c r="E434" s="225"/>
      <c r="F434" s="1036" t="str">
        <f t="shared" si="168"/>
        <v/>
      </c>
      <c r="G434" s="1037" t="str">
        <f t="shared" si="163"/>
        <v/>
      </c>
      <c r="H434" s="225"/>
      <c r="I434" s="1013"/>
      <c r="J434" s="1013"/>
      <c r="K434" s="1028"/>
      <c r="L434" s="1035" t="str">
        <f t="shared" si="167"/>
        <v/>
      </c>
      <c r="S434" s="498"/>
      <c r="AJ434" s="498"/>
      <c r="AM434" s="498">
        <f t="shared" si="148"/>
        <v>0</v>
      </c>
      <c r="AN434" s="498">
        <f t="shared" si="149"/>
        <v>0</v>
      </c>
      <c r="AO434" s="498">
        <f t="shared" si="150"/>
        <v>0</v>
      </c>
      <c r="AP434" s="498">
        <f t="shared" si="169"/>
        <v>0</v>
      </c>
      <c r="AQ434" s="498">
        <f t="shared" si="164"/>
        <v>0</v>
      </c>
      <c r="AU434" s="498">
        <f t="shared" si="151"/>
        <v>0</v>
      </c>
      <c r="AV434" s="498">
        <f t="shared" si="152"/>
        <v>0</v>
      </c>
      <c r="AW434" s="498">
        <f t="shared" si="153"/>
        <v>0</v>
      </c>
      <c r="AX434" s="498">
        <f t="shared" si="154"/>
        <v>0</v>
      </c>
      <c r="AY434" s="498">
        <f t="shared" si="155"/>
        <v>0</v>
      </c>
      <c r="BB434" s="498" t="str">
        <f t="shared" si="156"/>
        <v/>
      </c>
      <c r="BC434" s="743" t="str">
        <f t="shared" si="157"/>
        <v/>
      </c>
      <c r="BD434" s="743" t="str">
        <f t="shared" si="158"/>
        <v/>
      </c>
      <c r="BE434" s="743" t="str">
        <f>IF(D434="","",VLOOKUP(D434,'General Basis'!$J$39:$K$46,2,0))</f>
        <v/>
      </c>
      <c r="BF434" s="744" t="str">
        <f>IF(D434="","",VLOOKUP(D434,'General Basis'!$J$39:$L$46,3,0))</f>
        <v/>
      </c>
      <c r="BG434" s="744" t="str">
        <f t="shared" si="165"/>
        <v/>
      </c>
      <c r="BH434" s="744" t="str">
        <f>IF(G434="","",IF(BF434="Abu Dhabi",IF(G434&lt;18,'General Basis'!$C$39,IF(G434&lt;41,'General Basis'!$C$40,IF(G434&lt;60,'General Basis'!$C$41,IF(G434&lt;65,'General Basis'!$C$42,'General Basis'!$C$43)))),IF(G434&lt;11,'General Basis'!$B$39,IF(G434&lt;18,'General Basis'!$B$40,IF(G434&lt;26,'General Basis'!$B$41,IF(G434&lt;31,'General Basis'!$B$42,IF(G434&lt;36,'General Basis'!$B$43,IF(G434&lt;41,'General Basis'!$B$44,IF(G434&lt;46,'General Basis'!$B$45,IF(G434&lt;51,'General Basis'!$B$46,IF(G434&lt;56,'General Basis'!$B$47,IF(G434&lt;60,'General Basis'!$B$48,IF(G434&lt;65,'General Basis'!$B$49,'General Basis'!$B$50)))))))))))))</f>
        <v/>
      </c>
      <c r="BI434" s="744" t="str">
        <f t="shared" si="159"/>
        <v/>
      </c>
      <c r="BJ434" s="747" t="str">
        <f t="shared" si="166"/>
        <v/>
      </c>
      <c r="BK434" s="498" t="str">
        <f t="shared" si="160"/>
        <v/>
      </c>
      <c r="BL434" s="498" t="str">
        <f t="shared" si="161"/>
        <v/>
      </c>
    </row>
    <row r="435" spans="1:64" x14ac:dyDescent="0.25">
      <c r="A435" s="762">
        <f t="shared" si="162"/>
        <v>430</v>
      </c>
      <c r="B435" s="229"/>
      <c r="C435" s="223"/>
      <c r="D435" s="224"/>
      <c r="E435" s="225"/>
      <c r="F435" s="1036" t="str">
        <f t="shared" si="168"/>
        <v/>
      </c>
      <c r="G435" s="1037" t="str">
        <f t="shared" si="163"/>
        <v/>
      </c>
      <c r="H435" s="225"/>
      <c r="I435" s="1013"/>
      <c r="J435" s="1013"/>
      <c r="K435" s="1028"/>
      <c r="L435" s="1035" t="str">
        <f t="shared" si="167"/>
        <v/>
      </c>
      <c r="S435" s="498"/>
      <c r="AJ435" s="498"/>
      <c r="AM435" s="498">
        <f t="shared" si="148"/>
        <v>0</v>
      </c>
      <c r="AN435" s="498">
        <f t="shared" si="149"/>
        <v>0</v>
      </c>
      <c r="AO435" s="498">
        <f t="shared" si="150"/>
        <v>0</v>
      </c>
      <c r="AP435" s="498">
        <f t="shared" si="169"/>
        <v>0</v>
      </c>
      <c r="AQ435" s="498">
        <f t="shared" si="164"/>
        <v>0</v>
      </c>
      <c r="AU435" s="498">
        <f t="shared" si="151"/>
        <v>0</v>
      </c>
      <c r="AV435" s="498">
        <f t="shared" si="152"/>
        <v>0</v>
      </c>
      <c r="AW435" s="498">
        <f t="shared" si="153"/>
        <v>0</v>
      </c>
      <c r="AX435" s="498">
        <f t="shared" si="154"/>
        <v>0</v>
      </c>
      <c r="AY435" s="498">
        <f t="shared" si="155"/>
        <v>0</v>
      </c>
      <c r="BB435" s="498" t="str">
        <f t="shared" si="156"/>
        <v/>
      </c>
      <c r="BC435" s="743" t="str">
        <f t="shared" si="157"/>
        <v/>
      </c>
      <c r="BD435" s="743" t="str">
        <f t="shared" si="158"/>
        <v/>
      </c>
      <c r="BE435" s="743" t="str">
        <f>IF(D435="","",VLOOKUP(D435,'General Basis'!$J$39:$K$46,2,0))</f>
        <v/>
      </c>
      <c r="BF435" s="744" t="str">
        <f>IF(D435="","",VLOOKUP(D435,'General Basis'!$J$39:$L$46,3,0))</f>
        <v/>
      </c>
      <c r="BG435" s="744" t="str">
        <f t="shared" si="165"/>
        <v/>
      </c>
      <c r="BH435" s="744" t="str">
        <f>IF(G435="","",IF(BF435="Abu Dhabi",IF(G435&lt;18,'General Basis'!$C$39,IF(G435&lt;41,'General Basis'!$C$40,IF(G435&lt;60,'General Basis'!$C$41,IF(G435&lt;65,'General Basis'!$C$42,'General Basis'!$C$43)))),IF(G435&lt;11,'General Basis'!$B$39,IF(G435&lt;18,'General Basis'!$B$40,IF(G435&lt;26,'General Basis'!$B$41,IF(G435&lt;31,'General Basis'!$B$42,IF(G435&lt;36,'General Basis'!$B$43,IF(G435&lt;41,'General Basis'!$B$44,IF(G435&lt;46,'General Basis'!$B$45,IF(G435&lt;51,'General Basis'!$B$46,IF(G435&lt;56,'General Basis'!$B$47,IF(G435&lt;60,'General Basis'!$B$48,IF(G435&lt;65,'General Basis'!$B$49,'General Basis'!$B$50)))))))))))))</f>
        <v/>
      </c>
      <c r="BI435" s="744" t="str">
        <f t="shared" si="159"/>
        <v/>
      </c>
      <c r="BJ435" s="747" t="str">
        <f t="shared" si="166"/>
        <v/>
      </c>
      <c r="BK435" s="498" t="str">
        <f t="shared" si="160"/>
        <v/>
      </c>
      <c r="BL435" s="498" t="str">
        <f t="shared" si="161"/>
        <v/>
      </c>
    </row>
    <row r="436" spans="1:64" x14ac:dyDescent="0.25">
      <c r="A436" s="762">
        <f t="shared" si="162"/>
        <v>431</v>
      </c>
      <c r="B436" s="229"/>
      <c r="C436" s="223"/>
      <c r="D436" s="224"/>
      <c r="E436" s="225"/>
      <c r="F436" s="1036" t="str">
        <f t="shared" si="168"/>
        <v/>
      </c>
      <c r="G436" s="1037" t="str">
        <f t="shared" si="163"/>
        <v/>
      </c>
      <c r="H436" s="225"/>
      <c r="I436" s="1013"/>
      <c r="J436" s="1013"/>
      <c r="K436" s="1028"/>
      <c r="L436" s="1035" t="str">
        <f t="shared" si="167"/>
        <v/>
      </c>
      <c r="S436" s="498"/>
      <c r="AJ436" s="498"/>
      <c r="AM436" s="498">
        <f t="shared" si="148"/>
        <v>0</v>
      </c>
      <c r="AN436" s="498">
        <f t="shared" si="149"/>
        <v>0</v>
      </c>
      <c r="AO436" s="498">
        <f t="shared" si="150"/>
        <v>0</v>
      </c>
      <c r="AP436" s="498">
        <f t="shared" si="169"/>
        <v>0</v>
      </c>
      <c r="AQ436" s="498">
        <f t="shared" si="164"/>
        <v>0</v>
      </c>
      <c r="AU436" s="498">
        <f t="shared" si="151"/>
        <v>0</v>
      </c>
      <c r="AV436" s="498">
        <f t="shared" si="152"/>
        <v>0</v>
      </c>
      <c r="AW436" s="498">
        <f t="shared" si="153"/>
        <v>0</v>
      </c>
      <c r="AX436" s="498">
        <f t="shared" si="154"/>
        <v>0</v>
      </c>
      <c r="AY436" s="498">
        <f t="shared" si="155"/>
        <v>0</v>
      </c>
      <c r="BB436" s="498" t="str">
        <f t="shared" si="156"/>
        <v/>
      </c>
      <c r="BC436" s="743" t="str">
        <f t="shared" si="157"/>
        <v/>
      </c>
      <c r="BD436" s="743" t="str">
        <f t="shared" si="158"/>
        <v/>
      </c>
      <c r="BE436" s="743" t="str">
        <f>IF(D436="","",VLOOKUP(D436,'General Basis'!$J$39:$K$46,2,0))</f>
        <v/>
      </c>
      <c r="BF436" s="744" t="str">
        <f>IF(D436="","",VLOOKUP(D436,'General Basis'!$J$39:$L$46,3,0))</f>
        <v/>
      </c>
      <c r="BG436" s="744" t="str">
        <f t="shared" si="165"/>
        <v/>
      </c>
      <c r="BH436" s="744" t="str">
        <f>IF(G436="","",IF(BF436="Abu Dhabi",IF(G436&lt;18,'General Basis'!$C$39,IF(G436&lt;41,'General Basis'!$C$40,IF(G436&lt;60,'General Basis'!$C$41,IF(G436&lt;65,'General Basis'!$C$42,'General Basis'!$C$43)))),IF(G436&lt;11,'General Basis'!$B$39,IF(G436&lt;18,'General Basis'!$B$40,IF(G436&lt;26,'General Basis'!$B$41,IF(G436&lt;31,'General Basis'!$B$42,IF(G436&lt;36,'General Basis'!$B$43,IF(G436&lt;41,'General Basis'!$B$44,IF(G436&lt;46,'General Basis'!$B$45,IF(G436&lt;51,'General Basis'!$B$46,IF(G436&lt;56,'General Basis'!$B$47,IF(G436&lt;60,'General Basis'!$B$48,IF(G436&lt;65,'General Basis'!$B$49,'General Basis'!$B$50)))))))))))))</f>
        <v/>
      </c>
      <c r="BI436" s="744" t="str">
        <f t="shared" si="159"/>
        <v/>
      </c>
      <c r="BJ436" s="747" t="str">
        <f t="shared" si="166"/>
        <v/>
      </c>
      <c r="BK436" s="498" t="str">
        <f t="shared" si="160"/>
        <v/>
      </c>
      <c r="BL436" s="498" t="str">
        <f t="shared" si="161"/>
        <v/>
      </c>
    </row>
    <row r="437" spans="1:64" x14ac:dyDescent="0.25">
      <c r="A437" s="762">
        <f t="shared" si="162"/>
        <v>432</v>
      </c>
      <c r="B437" s="229"/>
      <c r="C437" s="223"/>
      <c r="D437" s="224"/>
      <c r="E437" s="225"/>
      <c r="F437" s="1036" t="str">
        <f t="shared" si="168"/>
        <v/>
      </c>
      <c r="G437" s="1037" t="str">
        <f t="shared" si="163"/>
        <v/>
      </c>
      <c r="H437" s="225"/>
      <c r="I437" s="1013"/>
      <c r="J437" s="1013"/>
      <c r="K437" s="1028"/>
      <c r="L437" s="1035" t="str">
        <f t="shared" si="167"/>
        <v/>
      </c>
      <c r="S437" s="498"/>
      <c r="AJ437" s="498"/>
      <c r="AM437" s="498">
        <f t="shared" si="148"/>
        <v>0</v>
      </c>
      <c r="AN437" s="498">
        <f t="shared" si="149"/>
        <v>0</v>
      </c>
      <c r="AO437" s="498">
        <f t="shared" si="150"/>
        <v>0</v>
      </c>
      <c r="AP437" s="498">
        <f t="shared" si="169"/>
        <v>0</v>
      </c>
      <c r="AQ437" s="498">
        <f t="shared" si="164"/>
        <v>0</v>
      </c>
      <c r="AU437" s="498">
        <f t="shared" si="151"/>
        <v>0</v>
      </c>
      <c r="AV437" s="498">
        <f t="shared" si="152"/>
        <v>0</v>
      </c>
      <c r="AW437" s="498">
        <f t="shared" si="153"/>
        <v>0</v>
      </c>
      <c r="AX437" s="498">
        <f t="shared" si="154"/>
        <v>0</v>
      </c>
      <c r="AY437" s="498">
        <f t="shared" si="155"/>
        <v>0</v>
      </c>
      <c r="BB437" s="498" t="str">
        <f t="shared" si="156"/>
        <v/>
      </c>
      <c r="BC437" s="743" t="str">
        <f t="shared" si="157"/>
        <v/>
      </c>
      <c r="BD437" s="743" t="str">
        <f t="shared" si="158"/>
        <v/>
      </c>
      <c r="BE437" s="743" t="str">
        <f>IF(D437="","",VLOOKUP(D437,'General Basis'!$J$39:$K$46,2,0))</f>
        <v/>
      </c>
      <c r="BF437" s="744" t="str">
        <f>IF(D437="","",VLOOKUP(D437,'General Basis'!$J$39:$L$46,3,0))</f>
        <v/>
      </c>
      <c r="BG437" s="744" t="str">
        <f t="shared" si="165"/>
        <v/>
      </c>
      <c r="BH437" s="744" t="str">
        <f>IF(G437="","",IF(BF437="Abu Dhabi",IF(G437&lt;18,'General Basis'!$C$39,IF(G437&lt;41,'General Basis'!$C$40,IF(G437&lt;60,'General Basis'!$C$41,IF(G437&lt;65,'General Basis'!$C$42,'General Basis'!$C$43)))),IF(G437&lt;11,'General Basis'!$B$39,IF(G437&lt;18,'General Basis'!$B$40,IF(G437&lt;26,'General Basis'!$B$41,IF(G437&lt;31,'General Basis'!$B$42,IF(G437&lt;36,'General Basis'!$B$43,IF(G437&lt;41,'General Basis'!$B$44,IF(G437&lt;46,'General Basis'!$B$45,IF(G437&lt;51,'General Basis'!$B$46,IF(G437&lt;56,'General Basis'!$B$47,IF(G437&lt;60,'General Basis'!$B$48,IF(G437&lt;65,'General Basis'!$B$49,'General Basis'!$B$50)))))))))))))</f>
        <v/>
      </c>
      <c r="BI437" s="744" t="str">
        <f t="shared" si="159"/>
        <v/>
      </c>
      <c r="BJ437" s="747" t="str">
        <f t="shared" si="166"/>
        <v/>
      </c>
      <c r="BK437" s="498" t="str">
        <f t="shared" si="160"/>
        <v/>
      </c>
      <c r="BL437" s="498" t="str">
        <f t="shared" si="161"/>
        <v/>
      </c>
    </row>
    <row r="438" spans="1:64" x14ac:dyDescent="0.25">
      <c r="A438" s="762">
        <f t="shared" si="162"/>
        <v>433</v>
      </c>
      <c r="B438" s="229"/>
      <c r="C438" s="223"/>
      <c r="D438" s="224"/>
      <c r="E438" s="225"/>
      <c r="F438" s="1036" t="str">
        <f t="shared" si="168"/>
        <v/>
      </c>
      <c r="G438" s="1037" t="str">
        <f t="shared" si="163"/>
        <v/>
      </c>
      <c r="H438" s="225"/>
      <c r="I438" s="1013"/>
      <c r="J438" s="1013"/>
      <c r="K438" s="1028"/>
      <c r="L438" s="1035" t="str">
        <f t="shared" si="167"/>
        <v/>
      </c>
      <c r="S438" s="498"/>
      <c r="AJ438" s="498"/>
      <c r="AM438" s="498">
        <f t="shared" si="148"/>
        <v>0</v>
      </c>
      <c r="AN438" s="498">
        <f t="shared" si="149"/>
        <v>0</v>
      </c>
      <c r="AO438" s="498">
        <f t="shared" si="150"/>
        <v>0</v>
      </c>
      <c r="AP438" s="498">
        <f t="shared" si="169"/>
        <v>0</v>
      </c>
      <c r="AQ438" s="498">
        <f t="shared" si="164"/>
        <v>0</v>
      </c>
      <c r="AU438" s="498">
        <f t="shared" si="151"/>
        <v>0</v>
      </c>
      <c r="AV438" s="498">
        <f t="shared" si="152"/>
        <v>0</v>
      </c>
      <c r="AW438" s="498">
        <f t="shared" si="153"/>
        <v>0</v>
      </c>
      <c r="AX438" s="498">
        <f t="shared" si="154"/>
        <v>0</v>
      </c>
      <c r="AY438" s="498">
        <f t="shared" si="155"/>
        <v>0</v>
      </c>
      <c r="BB438" s="498" t="str">
        <f t="shared" si="156"/>
        <v/>
      </c>
      <c r="BC438" s="743" t="str">
        <f t="shared" si="157"/>
        <v/>
      </c>
      <c r="BD438" s="743" t="str">
        <f t="shared" si="158"/>
        <v/>
      </c>
      <c r="BE438" s="743" t="str">
        <f>IF(D438="","",VLOOKUP(D438,'General Basis'!$J$39:$K$46,2,0))</f>
        <v/>
      </c>
      <c r="BF438" s="744" t="str">
        <f>IF(D438="","",VLOOKUP(D438,'General Basis'!$J$39:$L$46,3,0))</f>
        <v/>
      </c>
      <c r="BG438" s="744" t="str">
        <f t="shared" si="165"/>
        <v/>
      </c>
      <c r="BH438" s="744" t="str">
        <f>IF(G438="","",IF(BF438="Abu Dhabi",IF(G438&lt;18,'General Basis'!$C$39,IF(G438&lt;41,'General Basis'!$C$40,IF(G438&lt;60,'General Basis'!$C$41,IF(G438&lt;65,'General Basis'!$C$42,'General Basis'!$C$43)))),IF(G438&lt;11,'General Basis'!$B$39,IF(G438&lt;18,'General Basis'!$B$40,IF(G438&lt;26,'General Basis'!$B$41,IF(G438&lt;31,'General Basis'!$B$42,IF(G438&lt;36,'General Basis'!$B$43,IF(G438&lt;41,'General Basis'!$B$44,IF(G438&lt;46,'General Basis'!$B$45,IF(G438&lt;51,'General Basis'!$B$46,IF(G438&lt;56,'General Basis'!$B$47,IF(G438&lt;60,'General Basis'!$B$48,IF(G438&lt;65,'General Basis'!$B$49,'General Basis'!$B$50)))))))))))))</f>
        <v/>
      </c>
      <c r="BI438" s="744" t="str">
        <f t="shared" si="159"/>
        <v/>
      </c>
      <c r="BJ438" s="747" t="str">
        <f t="shared" si="166"/>
        <v/>
      </c>
      <c r="BK438" s="498" t="str">
        <f t="shared" si="160"/>
        <v/>
      </c>
      <c r="BL438" s="498" t="str">
        <f t="shared" si="161"/>
        <v/>
      </c>
    </row>
    <row r="439" spans="1:64" x14ac:dyDescent="0.25">
      <c r="A439" s="762">
        <f t="shared" si="162"/>
        <v>434</v>
      </c>
      <c r="B439" s="229"/>
      <c r="C439" s="223"/>
      <c r="D439" s="224"/>
      <c r="E439" s="225"/>
      <c r="F439" s="1036" t="str">
        <f t="shared" si="168"/>
        <v/>
      </c>
      <c r="G439" s="1037" t="str">
        <f t="shared" si="163"/>
        <v/>
      </c>
      <c r="H439" s="225"/>
      <c r="I439" s="1013"/>
      <c r="J439" s="1013"/>
      <c r="K439" s="1028"/>
      <c r="L439" s="1035" t="str">
        <f t="shared" si="167"/>
        <v/>
      </c>
      <c r="S439" s="498"/>
      <c r="AJ439" s="498"/>
      <c r="AM439" s="498">
        <f t="shared" si="148"/>
        <v>0</v>
      </c>
      <c r="AN439" s="498">
        <f t="shared" si="149"/>
        <v>0</v>
      </c>
      <c r="AO439" s="498">
        <f t="shared" si="150"/>
        <v>0</v>
      </c>
      <c r="AP439" s="498">
        <f t="shared" si="169"/>
        <v>0</v>
      </c>
      <c r="AQ439" s="498">
        <f t="shared" si="164"/>
        <v>0</v>
      </c>
      <c r="AU439" s="498">
        <f t="shared" si="151"/>
        <v>0</v>
      </c>
      <c r="AV439" s="498">
        <f t="shared" si="152"/>
        <v>0</v>
      </c>
      <c r="AW439" s="498">
        <f t="shared" si="153"/>
        <v>0</v>
      </c>
      <c r="AX439" s="498">
        <f t="shared" si="154"/>
        <v>0</v>
      </c>
      <c r="AY439" s="498">
        <f t="shared" si="155"/>
        <v>0</v>
      </c>
      <c r="BB439" s="498" t="str">
        <f t="shared" si="156"/>
        <v/>
      </c>
      <c r="BC439" s="743" t="str">
        <f t="shared" si="157"/>
        <v/>
      </c>
      <c r="BD439" s="743" t="str">
        <f t="shared" si="158"/>
        <v/>
      </c>
      <c r="BE439" s="743" t="str">
        <f>IF(D439="","",VLOOKUP(D439,'General Basis'!$J$39:$K$46,2,0))</f>
        <v/>
      </c>
      <c r="BF439" s="744" t="str">
        <f>IF(D439="","",VLOOKUP(D439,'General Basis'!$J$39:$L$46,3,0))</f>
        <v/>
      </c>
      <c r="BG439" s="744" t="str">
        <f t="shared" si="165"/>
        <v/>
      </c>
      <c r="BH439" s="744" t="str">
        <f>IF(G439="","",IF(BF439="Abu Dhabi",IF(G439&lt;18,'General Basis'!$C$39,IF(G439&lt;41,'General Basis'!$C$40,IF(G439&lt;60,'General Basis'!$C$41,IF(G439&lt;65,'General Basis'!$C$42,'General Basis'!$C$43)))),IF(G439&lt;11,'General Basis'!$B$39,IF(G439&lt;18,'General Basis'!$B$40,IF(G439&lt;26,'General Basis'!$B$41,IF(G439&lt;31,'General Basis'!$B$42,IF(G439&lt;36,'General Basis'!$B$43,IF(G439&lt;41,'General Basis'!$B$44,IF(G439&lt;46,'General Basis'!$B$45,IF(G439&lt;51,'General Basis'!$B$46,IF(G439&lt;56,'General Basis'!$B$47,IF(G439&lt;60,'General Basis'!$B$48,IF(G439&lt;65,'General Basis'!$B$49,'General Basis'!$B$50)))))))))))))</f>
        <v/>
      </c>
      <c r="BI439" s="744" t="str">
        <f t="shared" si="159"/>
        <v/>
      </c>
      <c r="BJ439" s="747" t="str">
        <f t="shared" si="166"/>
        <v/>
      </c>
      <c r="BK439" s="498" t="str">
        <f t="shared" si="160"/>
        <v/>
      </c>
      <c r="BL439" s="498" t="str">
        <f t="shared" si="161"/>
        <v/>
      </c>
    </row>
    <row r="440" spans="1:64" x14ac:dyDescent="0.25">
      <c r="A440" s="762">
        <f t="shared" si="162"/>
        <v>435</v>
      </c>
      <c r="B440" s="229"/>
      <c r="C440" s="223"/>
      <c r="D440" s="224"/>
      <c r="E440" s="225"/>
      <c r="F440" s="1036" t="str">
        <f t="shared" si="168"/>
        <v/>
      </c>
      <c r="G440" s="1037" t="str">
        <f t="shared" si="163"/>
        <v/>
      </c>
      <c r="H440" s="225"/>
      <c r="I440" s="1013"/>
      <c r="J440" s="1013"/>
      <c r="K440" s="1028"/>
      <c r="L440" s="1035" t="str">
        <f t="shared" si="167"/>
        <v/>
      </c>
      <c r="S440" s="498"/>
      <c r="AJ440" s="498"/>
      <c r="AM440" s="498">
        <f t="shared" si="148"/>
        <v>0</v>
      </c>
      <c r="AN440" s="498">
        <f t="shared" si="149"/>
        <v>0</v>
      </c>
      <c r="AO440" s="498">
        <f t="shared" si="150"/>
        <v>0</v>
      </c>
      <c r="AP440" s="498">
        <f t="shared" si="169"/>
        <v>0</v>
      </c>
      <c r="AQ440" s="498">
        <f t="shared" si="164"/>
        <v>0</v>
      </c>
      <c r="AU440" s="498">
        <f t="shared" si="151"/>
        <v>0</v>
      </c>
      <c r="AV440" s="498">
        <f t="shared" si="152"/>
        <v>0</v>
      </c>
      <c r="AW440" s="498">
        <f t="shared" si="153"/>
        <v>0</v>
      </c>
      <c r="AX440" s="498">
        <f t="shared" si="154"/>
        <v>0</v>
      </c>
      <c r="AY440" s="498">
        <f t="shared" si="155"/>
        <v>0</v>
      </c>
      <c r="BB440" s="498" t="str">
        <f t="shared" si="156"/>
        <v/>
      </c>
      <c r="BC440" s="743" t="str">
        <f t="shared" si="157"/>
        <v/>
      </c>
      <c r="BD440" s="743" t="str">
        <f t="shared" si="158"/>
        <v/>
      </c>
      <c r="BE440" s="743" t="str">
        <f>IF(D440="","",VLOOKUP(D440,'General Basis'!$J$39:$K$46,2,0))</f>
        <v/>
      </c>
      <c r="BF440" s="744" t="str">
        <f>IF(D440="","",VLOOKUP(D440,'General Basis'!$J$39:$L$46,3,0))</f>
        <v/>
      </c>
      <c r="BG440" s="744" t="str">
        <f t="shared" si="165"/>
        <v/>
      </c>
      <c r="BH440" s="744" t="str">
        <f>IF(G440="","",IF(BF440="Abu Dhabi",IF(G440&lt;18,'General Basis'!$C$39,IF(G440&lt;41,'General Basis'!$C$40,IF(G440&lt;60,'General Basis'!$C$41,IF(G440&lt;65,'General Basis'!$C$42,'General Basis'!$C$43)))),IF(G440&lt;11,'General Basis'!$B$39,IF(G440&lt;18,'General Basis'!$B$40,IF(G440&lt;26,'General Basis'!$B$41,IF(G440&lt;31,'General Basis'!$B$42,IF(G440&lt;36,'General Basis'!$B$43,IF(G440&lt;41,'General Basis'!$B$44,IF(G440&lt;46,'General Basis'!$B$45,IF(G440&lt;51,'General Basis'!$B$46,IF(G440&lt;56,'General Basis'!$B$47,IF(G440&lt;60,'General Basis'!$B$48,IF(G440&lt;65,'General Basis'!$B$49,'General Basis'!$B$50)))))))))))))</f>
        <v/>
      </c>
      <c r="BI440" s="744" t="str">
        <f t="shared" si="159"/>
        <v/>
      </c>
      <c r="BJ440" s="747" t="str">
        <f t="shared" si="166"/>
        <v/>
      </c>
      <c r="BK440" s="498" t="str">
        <f t="shared" si="160"/>
        <v/>
      </c>
      <c r="BL440" s="498" t="str">
        <f t="shared" si="161"/>
        <v/>
      </c>
    </row>
    <row r="441" spans="1:64" x14ac:dyDescent="0.25">
      <c r="A441" s="762">
        <f t="shared" si="162"/>
        <v>436</v>
      </c>
      <c r="B441" s="229"/>
      <c r="C441" s="223"/>
      <c r="D441" s="224"/>
      <c r="E441" s="225"/>
      <c r="F441" s="1036" t="str">
        <f t="shared" si="168"/>
        <v/>
      </c>
      <c r="G441" s="1037" t="str">
        <f t="shared" si="163"/>
        <v/>
      </c>
      <c r="H441" s="225"/>
      <c r="I441" s="1013"/>
      <c r="J441" s="1013"/>
      <c r="K441" s="1028"/>
      <c r="L441" s="1035" t="str">
        <f t="shared" si="167"/>
        <v/>
      </c>
      <c r="S441" s="498"/>
      <c r="AJ441" s="498"/>
      <c r="AM441" s="498">
        <f t="shared" si="148"/>
        <v>0</v>
      </c>
      <c r="AN441" s="498">
        <f t="shared" si="149"/>
        <v>0</v>
      </c>
      <c r="AO441" s="498">
        <f t="shared" si="150"/>
        <v>0</v>
      </c>
      <c r="AP441" s="498">
        <f t="shared" si="169"/>
        <v>0</v>
      </c>
      <c r="AQ441" s="498">
        <f t="shared" si="164"/>
        <v>0</v>
      </c>
      <c r="AU441" s="498">
        <f t="shared" si="151"/>
        <v>0</v>
      </c>
      <c r="AV441" s="498">
        <f t="shared" si="152"/>
        <v>0</v>
      </c>
      <c r="AW441" s="498">
        <f t="shared" si="153"/>
        <v>0</v>
      </c>
      <c r="AX441" s="498">
        <f t="shared" si="154"/>
        <v>0</v>
      </c>
      <c r="AY441" s="498">
        <f t="shared" si="155"/>
        <v>0</v>
      </c>
      <c r="BB441" s="498" t="str">
        <f t="shared" si="156"/>
        <v/>
      </c>
      <c r="BC441" s="743" t="str">
        <f t="shared" si="157"/>
        <v/>
      </c>
      <c r="BD441" s="743" t="str">
        <f t="shared" si="158"/>
        <v/>
      </c>
      <c r="BE441" s="743" t="str">
        <f>IF(D441="","",VLOOKUP(D441,'General Basis'!$J$39:$K$46,2,0))</f>
        <v/>
      </c>
      <c r="BF441" s="744" t="str">
        <f>IF(D441="","",VLOOKUP(D441,'General Basis'!$J$39:$L$46,3,0))</f>
        <v/>
      </c>
      <c r="BG441" s="744" t="str">
        <f t="shared" si="165"/>
        <v/>
      </c>
      <c r="BH441" s="744" t="str">
        <f>IF(G441="","",IF(BF441="Abu Dhabi",IF(G441&lt;18,'General Basis'!$C$39,IF(G441&lt;41,'General Basis'!$C$40,IF(G441&lt;60,'General Basis'!$C$41,IF(G441&lt;65,'General Basis'!$C$42,'General Basis'!$C$43)))),IF(G441&lt;11,'General Basis'!$B$39,IF(G441&lt;18,'General Basis'!$B$40,IF(G441&lt;26,'General Basis'!$B$41,IF(G441&lt;31,'General Basis'!$B$42,IF(G441&lt;36,'General Basis'!$B$43,IF(G441&lt;41,'General Basis'!$B$44,IF(G441&lt;46,'General Basis'!$B$45,IF(G441&lt;51,'General Basis'!$B$46,IF(G441&lt;56,'General Basis'!$B$47,IF(G441&lt;60,'General Basis'!$B$48,IF(G441&lt;65,'General Basis'!$B$49,'General Basis'!$B$50)))))))))))))</f>
        <v/>
      </c>
      <c r="BI441" s="744" t="str">
        <f t="shared" si="159"/>
        <v/>
      </c>
      <c r="BJ441" s="747" t="str">
        <f t="shared" si="166"/>
        <v/>
      </c>
      <c r="BK441" s="498" t="str">
        <f t="shared" si="160"/>
        <v/>
      </c>
      <c r="BL441" s="498" t="str">
        <f t="shared" si="161"/>
        <v/>
      </c>
    </row>
    <row r="442" spans="1:64" x14ac:dyDescent="0.25">
      <c r="A442" s="762">
        <f t="shared" si="162"/>
        <v>437</v>
      </c>
      <c r="B442" s="229"/>
      <c r="C442" s="223"/>
      <c r="D442" s="224"/>
      <c r="E442" s="225"/>
      <c r="F442" s="1036" t="str">
        <f t="shared" si="168"/>
        <v/>
      </c>
      <c r="G442" s="1037" t="str">
        <f t="shared" si="163"/>
        <v/>
      </c>
      <c r="H442" s="225"/>
      <c r="I442" s="1013"/>
      <c r="J442" s="1013"/>
      <c r="K442" s="1028"/>
      <c r="L442" s="1035" t="str">
        <f t="shared" si="167"/>
        <v/>
      </c>
      <c r="S442" s="498"/>
      <c r="AJ442" s="498"/>
      <c r="AM442" s="498">
        <f t="shared" si="148"/>
        <v>0</v>
      </c>
      <c r="AN442" s="498">
        <f t="shared" si="149"/>
        <v>0</v>
      </c>
      <c r="AO442" s="498">
        <f t="shared" si="150"/>
        <v>0</v>
      </c>
      <c r="AP442" s="498">
        <f t="shared" si="169"/>
        <v>0</v>
      </c>
      <c r="AQ442" s="498">
        <f t="shared" si="164"/>
        <v>0</v>
      </c>
      <c r="AU442" s="498">
        <f t="shared" si="151"/>
        <v>0</v>
      </c>
      <c r="AV442" s="498">
        <f t="shared" si="152"/>
        <v>0</v>
      </c>
      <c r="AW442" s="498">
        <f t="shared" si="153"/>
        <v>0</v>
      </c>
      <c r="AX442" s="498">
        <f t="shared" si="154"/>
        <v>0</v>
      </c>
      <c r="AY442" s="498">
        <f t="shared" si="155"/>
        <v>0</v>
      </c>
      <c r="BB442" s="498" t="str">
        <f t="shared" si="156"/>
        <v/>
      </c>
      <c r="BC442" s="743" t="str">
        <f t="shared" si="157"/>
        <v/>
      </c>
      <c r="BD442" s="743" t="str">
        <f t="shared" si="158"/>
        <v/>
      </c>
      <c r="BE442" s="743" t="str">
        <f>IF(D442="","",VLOOKUP(D442,'General Basis'!$J$39:$K$46,2,0))</f>
        <v/>
      </c>
      <c r="BF442" s="744" t="str">
        <f>IF(D442="","",VLOOKUP(D442,'General Basis'!$J$39:$L$46,3,0))</f>
        <v/>
      </c>
      <c r="BG442" s="744" t="str">
        <f t="shared" si="165"/>
        <v/>
      </c>
      <c r="BH442" s="744" t="str">
        <f>IF(G442="","",IF(BF442="Abu Dhabi",IF(G442&lt;18,'General Basis'!$C$39,IF(G442&lt;41,'General Basis'!$C$40,IF(G442&lt;60,'General Basis'!$C$41,IF(G442&lt;65,'General Basis'!$C$42,'General Basis'!$C$43)))),IF(G442&lt;11,'General Basis'!$B$39,IF(G442&lt;18,'General Basis'!$B$40,IF(G442&lt;26,'General Basis'!$B$41,IF(G442&lt;31,'General Basis'!$B$42,IF(G442&lt;36,'General Basis'!$B$43,IF(G442&lt;41,'General Basis'!$B$44,IF(G442&lt;46,'General Basis'!$B$45,IF(G442&lt;51,'General Basis'!$B$46,IF(G442&lt;56,'General Basis'!$B$47,IF(G442&lt;60,'General Basis'!$B$48,IF(G442&lt;65,'General Basis'!$B$49,'General Basis'!$B$50)))))))))))))</f>
        <v/>
      </c>
      <c r="BI442" s="744" t="str">
        <f t="shared" si="159"/>
        <v/>
      </c>
      <c r="BJ442" s="747" t="str">
        <f t="shared" si="166"/>
        <v/>
      </c>
      <c r="BK442" s="498" t="str">
        <f t="shared" si="160"/>
        <v/>
      </c>
      <c r="BL442" s="498" t="str">
        <f t="shared" si="161"/>
        <v/>
      </c>
    </row>
    <row r="443" spans="1:64" x14ac:dyDescent="0.25">
      <c r="A443" s="762">
        <f t="shared" si="162"/>
        <v>438</v>
      </c>
      <c r="B443" s="229"/>
      <c r="C443" s="223"/>
      <c r="D443" s="224"/>
      <c r="E443" s="225"/>
      <c r="F443" s="1036" t="str">
        <f t="shared" si="168"/>
        <v/>
      </c>
      <c r="G443" s="1037" t="str">
        <f t="shared" si="163"/>
        <v/>
      </c>
      <c r="H443" s="225"/>
      <c r="I443" s="1013"/>
      <c r="J443" s="1013"/>
      <c r="K443" s="1028"/>
      <c r="L443" s="1035" t="str">
        <f t="shared" si="167"/>
        <v/>
      </c>
      <c r="S443" s="498"/>
      <c r="AJ443" s="498"/>
      <c r="AM443" s="498">
        <f t="shared" si="148"/>
        <v>0</v>
      </c>
      <c r="AN443" s="498">
        <f t="shared" si="149"/>
        <v>0</v>
      </c>
      <c r="AO443" s="498">
        <f t="shared" si="150"/>
        <v>0</v>
      </c>
      <c r="AP443" s="498">
        <f t="shared" si="169"/>
        <v>0</v>
      </c>
      <c r="AQ443" s="498">
        <f t="shared" si="164"/>
        <v>0</v>
      </c>
      <c r="AU443" s="498">
        <f t="shared" si="151"/>
        <v>0</v>
      </c>
      <c r="AV443" s="498">
        <f t="shared" si="152"/>
        <v>0</v>
      </c>
      <c r="AW443" s="498">
        <f t="shared" si="153"/>
        <v>0</v>
      </c>
      <c r="AX443" s="498">
        <f t="shared" si="154"/>
        <v>0</v>
      </c>
      <c r="AY443" s="498">
        <f t="shared" si="155"/>
        <v>0</v>
      </c>
      <c r="BB443" s="498" t="str">
        <f t="shared" si="156"/>
        <v/>
      </c>
      <c r="BC443" s="743" t="str">
        <f t="shared" si="157"/>
        <v/>
      </c>
      <c r="BD443" s="743" t="str">
        <f t="shared" si="158"/>
        <v/>
      </c>
      <c r="BE443" s="743" t="str">
        <f>IF(D443="","",VLOOKUP(D443,'General Basis'!$J$39:$K$46,2,0))</f>
        <v/>
      </c>
      <c r="BF443" s="744" t="str">
        <f>IF(D443="","",VLOOKUP(D443,'General Basis'!$J$39:$L$46,3,0))</f>
        <v/>
      </c>
      <c r="BG443" s="744" t="str">
        <f t="shared" si="165"/>
        <v/>
      </c>
      <c r="BH443" s="744" t="str">
        <f>IF(G443="","",IF(BF443="Abu Dhabi",IF(G443&lt;18,'General Basis'!$C$39,IF(G443&lt;41,'General Basis'!$C$40,IF(G443&lt;60,'General Basis'!$C$41,IF(G443&lt;65,'General Basis'!$C$42,'General Basis'!$C$43)))),IF(G443&lt;11,'General Basis'!$B$39,IF(G443&lt;18,'General Basis'!$B$40,IF(G443&lt;26,'General Basis'!$B$41,IF(G443&lt;31,'General Basis'!$B$42,IF(G443&lt;36,'General Basis'!$B$43,IF(G443&lt;41,'General Basis'!$B$44,IF(G443&lt;46,'General Basis'!$B$45,IF(G443&lt;51,'General Basis'!$B$46,IF(G443&lt;56,'General Basis'!$B$47,IF(G443&lt;60,'General Basis'!$B$48,IF(G443&lt;65,'General Basis'!$B$49,'General Basis'!$B$50)))))))))))))</f>
        <v/>
      </c>
      <c r="BI443" s="744" t="str">
        <f t="shared" si="159"/>
        <v/>
      </c>
      <c r="BJ443" s="747" t="str">
        <f t="shared" si="166"/>
        <v/>
      </c>
      <c r="BK443" s="498" t="str">
        <f t="shared" si="160"/>
        <v/>
      </c>
      <c r="BL443" s="498" t="str">
        <f t="shared" si="161"/>
        <v/>
      </c>
    </row>
    <row r="444" spans="1:64" x14ac:dyDescent="0.25">
      <c r="A444" s="762">
        <f t="shared" si="162"/>
        <v>439</v>
      </c>
      <c r="B444" s="229"/>
      <c r="C444" s="223"/>
      <c r="D444" s="224"/>
      <c r="E444" s="225"/>
      <c r="F444" s="1036" t="str">
        <f t="shared" si="168"/>
        <v/>
      </c>
      <c r="G444" s="1037" t="str">
        <f t="shared" si="163"/>
        <v/>
      </c>
      <c r="H444" s="225"/>
      <c r="I444" s="1013"/>
      <c r="J444" s="1013"/>
      <c r="K444" s="1028"/>
      <c r="L444" s="1035" t="str">
        <f t="shared" si="167"/>
        <v/>
      </c>
      <c r="S444" s="498"/>
      <c r="AJ444" s="498"/>
      <c r="AM444" s="498">
        <f t="shared" si="148"/>
        <v>0</v>
      </c>
      <c r="AN444" s="498">
        <f t="shared" si="149"/>
        <v>0</v>
      </c>
      <c r="AO444" s="498">
        <f t="shared" si="150"/>
        <v>0</v>
      </c>
      <c r="AP444" s="498">
        <f t="shared" si="169"/>
        <v>0</v>
      </c>
      <c r="AQ444" s="498">
        <f t="shared" si="164"/>
        <v>0</v>
      </c>
      <c r="AU444" s="498">
        <f t="shared" si="151"/>
        <v>0</v>
      </c>
      <c r="AV444" s="498">
        <f t="shared" si="152"/>
        <v>0</v>
      </c>
      <c r="AW444" s="498">
        <f t="shared" si="153"/>
        <v>0</v>
      </c>
      <c r="AX444" s="498">
        <f t="shared" si="154"/>
        <v>0</v>
      </c>
      <c r="AY444" s="498">
        <f t="shared" si="155"/>
        <v>0</v>
      </c>
      <c r="BB444" s="498" t="str">
        <f t="shared" si="156"/>
        <v/>
      </c>
      <c r="BC444" s="743" t="str">
        <f t="shared" si="157"/>
        <v/>
      </c>
      <c r="BD444" s="743" t="str">
        <f t="shared" si="158"/>
        <v/>
      </c>
      <c r="BE444" s="743" t="str">
        <f>IF(D444="","",VLOOKUP(D444,'General Basis'!$J$39:$K$46,2,0))</f>
        <v/>
      </c>
      <c r="BF444" s="744" t="str">
        <f>IF(D444="","",VLOOKUP(D444,'General Basis'!$J$39:$L$46,3,0))</f>
        <v/>
      </c>
      <c r="BG444" s="744" t="str">
        <f t="shared" si="165"/>
        <v/>
      </c>
      <c r="BH444" s="744" t="str">
        <f>IF(G444="","",IF(BF444="Abu Dhabi",IF(G444&lt;18,'General Basis'!$C$39,IF(G444&lt;41,'General Basis'!$C$40,IF(G444&lt;60,'General Basis'!$C$41,IF(G444&lt;65,'General Basis'!$C$42,'General Basis'!$C$43)))),IF(G444&lt;11,'General Basis'!$B$39,IF(G444&lt;18,'General Basis'!$B$40,IF(G444&lt;26,'General Basis'!$B$41,IF(G444&lt;31,'General Basis'!$B$42,IF(G444&lt;36,'General Basis'!$B$43,IF(G444&lt;41,'General Basis'!$B$44,IF(G444&lt;46,'General Basis'!$B$45,IF(G444&lt;51,'General Basis'!$B$46,IF(G444&lt;56,'General Basis'!$B$47,IF(G444&lt;60,'General Basis'!$B$48,IF(G444&lt;65,'General Basis'!$B$49,'General Basis'!$B$50)))))))))))))</f>
        <v/>
      </c>
      <c r="BI444" s="744" t="str">
        <f t="shared" si="159"/>
        <v/>
      </c>
      <c r="BJ444" s="747" t="str">
        <f t="shared" si="166"/>
        <v/>
      </c>
      <c r="BK444" s="498" t="str">
        <f t="shared" si="160"/>
        <v/>
      </c>
      <c r="BL444" s="498" t="str">
        <f t="shared" si="161"/>
        <v/>
      </c>
    </row>
    <row r="445" spans="1:64" x14ac:dyDescent="0.25">
      <c r="A445" s="762">
        <f t="shared" si="162"/>
        <v>440</v>
      </c>
      <c r="B445" s="229"/>
      <c r="C445" s="223"/>
      <c r="D445" s="224"/>
      <c r="E445" s="225"/>
      <c r="F445" s="1036" t="str">
        <f t="shared" si="168"/>
        <v/>
      </c>
      <c r="G445" s="1037" t="str">
        <f t="shared" si="163"/>
        <v/>
      </c>
      <c r="H445" s="225"/>
      <c r="I445" s="1013"/>
      <c r="J445" s="1013"/>
      <c r="K445" s="1028"/>
      <c r="L445" s="1035" t="str">
        <f t="shared" si="167"/>
        <v/>
      </c>
      <c r="S445" s="498"/>
      <c r="AJ445" s="498"/>
      <c r="AM445" s="498">
        <f t="shared" si="148"/>
        <v>0</v>
      </c>
      <c r="AN445" s="498">
        <f t="shared" si="149"/>
        <v>0</v>
      </c>
      <c r="AO445" s="498">
        <f t="shared" si="150"/>
        <v>0</v>
      </c>
      <c r="AP445" s="498">
        <f t="shared" si="169"/>
        <v>0</v>
      </c>
      <c r="AQ445" s="498">
        <f t="shared" si="164"/>
        <v>0</v>
      </c>
      <c r="AU445" s="498">
        <f t="shared" si="151"/>
        <v>0</v>
      </c>
      <c r="AV445" s="498">
        <f t="shared" si="152"/>
        <v>0</v>
      </c>
      <c r="AW445" s="498">
        <f t="shared" si="153"/>
        <v>0</v>
      </c>
      <c r="AX445" s="498">
        <f t="shared" si="154"/>
        <v>0</v>
      </c>
      <c r="AY445" s="498">
        <f t="shared" si="155"/>
        <v>0</v>
      </c>
      <c r="BB445" s="498" t="str">
        <f t="shared" si="156"/>
        <v/>
      </c>
      <c r="BC445" s="743" t="str">
        <f t="shared" si="157"/>
        <v/>
      </c>
      <c r="BD445" s="743" t="str">
        <f t="shared" si="158"/>
        <v/>
      </c>
      <c r="BE445" s="743" t="str">
        <f>IF(D445="","",VLOOKUP(D445,'General Basis'!$J$39:$K$46,2,0))</f>
        <v/>
      </c>
      <c r="BF445" s="744" t="str">
        <f>IF(D445="","",VLOOKUP(D445,'General Basis'!$J$39:$L$46,3,0))</f>
        <v/>
      </c>
      <c r="BG445" s="744" t="str">
        <f t="shared" si="165"/>
        <v/>
      </c>
      <c r="BH445" s="744" t="str">
        <f>IF(G445="","",IF(BF445="Abu Dhabi",IF(G445&lt;18,'General Basis'!$C$39,IF(G445&lt;41,'General Basis'!$C$40,IF(G445&lt;60,'General Basis'!$C$41,IF(G445&lt;65,'General Basis'!$C$42,'General Basis'!$C$43)))),IF(G445&lt;11,'General Basis'!$B$39,IF(G445&lt;18,'General Basis'!$B$40,IF(G445&lt;26,'General Basis'!$B$41,IF(G445&lt;31,'General Basis'!$B$42,IF(G445&lt;36,'General Basis'!$B$43,IF(G445&lt;41,'General Basis'!$B$44,IF(G445&lt;46,'General Basis'!$B$45,IF(G445&lt;51,'General Basis'!$B$46,IF(G445&lt;56,'General Basis'!$B$47,IF(G445&lt;60,'General Basis'!$B$48,IF(G445&lt;65,'General Basis'!$B$49,'General Basis'!$B$50)))))))))))))</f>
        <v/>
      </c>
      <c r="BI445" s="744" t="str">
        <f t="shared" si="159"/>
        <v/>
      </c>
      <c r="BJ445" s="747" t="str">
        <f t="shared" si="166"/>
        <v/>
      </c>
      <c r="BK445" s="498" t="str">
        <f t="shared" si="160"/>
        <v/>
      </c>
      <c r="BL445" s="498" t="str">
        <f t="shared" si="161"/>
        <v/>
      </c>
    </row>
    <row r="446" spans="1:64" x14ac:dyDescent="0.25">
      <c r="A446" s="762">
        <f t="shared" si="162"/>
        <v>441</v>
      </c>
      <c r="B446" s="229"/>
      <c r="C446" s="223"/>
      <c r="D446" s="224"/>
      <c r="E446" s="225"/>
      <c r="F446" s="1036" t="str">
        <f t="shared" si="168"/>
        <v/>
      </c>
      <c r="G446" s="1037" t="str">
        <f t="shared" si="163"/>
        <v/>
      </c>
      <c r="H446" s="225"/>
      <c r="I446" s="1013"/>
      <c r="J446" s="1013"/>
      <c r="K446" s="1028"/>
      <c r="L446" s="1035" t="str">
        <f t="shared" si="167"/>
        <v/>
      </c>
      <c r="S446" s="498"/>
      <c r="AJ446" s="498"/>
      <c r="AM446" s="498">
        <f t="shared" si="148"/>
        <v>0</v>
      </c>
      <c r="AN446" s="498">
        <f t="shared" si="149"/>
        <v>0</v>
      </c>
      <c r="AO446" s="498">
        <f t="shared" si="150"/>
        <v>0</v>
      </c>
      <c r="AP446" s="498">
        <f t="shared" si="169"/>
        <v>0</v>
      </c>
      <c r="AQ446" s="498">
        <f t="shared" si="164"/>
        <v>0</v>
      </c>
      <c r="AU446" s="498">
        <f t="shared" si="151"/>
        <v>0</v>
      </c>
      <c r="AV446" s="498">
        <f t="shared" si="152"/>
        <v>0</v>
      </c>
      <c r="AW446" s="498">
        <f t="shared" si="153"/>
        <v>0</v>
      </c>
      <c r="AX446" s="498">
        <f t="shared" si="154"/>
        <v>0</v>
      </c>
      <c r="AY446" s="498">
        <f t="shared" si="155"/>
        <v>0</v>
      </c>
      <c r="BB446" s="498" t="str">
        <f t="shared" si="156"/>
        <v/>
      </c>
      <c r="BC446" s="743" t="str">
        <f t="shared" si="157"/>
        <v/>
      </c>
      <c r="BD446" s="743" t="str">
        <f t="shared" si="158"/>
        <v/>
      </c>
      <c r="BE446" s="743" t="str">
        <f>IF(D446="","",VLOOKUP(D446,'General Basis'!$J$39:$K$46,2,0))</f>
        <v/>
      </c>
      <c r="BF446" s="744" t="str">
        <f>IF(D446="","",VLOOKUP(D446,'General Basis'!$J$39:$L$46,3,0))</f>
        <v/>
      </c>
      <c r="BG446" s="744" t="str">
        <f t="shared" si="165"/>
        <v/>
      </c>
      <c r="BH446" s="744" t="str">
        <f>IF(G446="","",IF(BF446="Abu Dhabi",IF(G446&lt;18,'General Basis'!$C$39,IF(G446&lt;41,'General Basis'!$C$40,IF(G446&lt;60,'General Basis'!$C$41,IF(G446&lt;65,'General Basis'!$C$42,'General Basis'!$C$43)))),IF(G446&lt;11,'General Basis'!$B$39,IF(G446&lt;18,'General Basis'!$B$40,IF(G446&lt;26,'General Basis'!$B$41,IF(G446&lt;31,'General Basis'!$B$42,IF(G446&lt;36,'General Basis'!$B$43,IF(G446&lt;41,'General Basis'!$B$44,IF(G446&lt;46,'General Basis'!$B$45,IF(G446&lt;51,'General Basis'!$B$46,IF(G446&lt;56,'General Basis'!$B$47,IF(G446&lt;60,'General Basis'!$B$48,IF(G446&lt;65,'General Basis'!$B$49,'General Basis'!$B$50)))))))))))))</f>
        <v/>
      </c>
      <c r="BI446" s="744" t="str">
        <f t="shared" si="159"/>
        <v/>
      </c>
      <c r="BJ446" s="747" t="str">
        <f t="shared" si="166"/>
        <v/>
      </c>
      <c r="BK446" s="498" t="str">
        <f t="shared" si="160"/>
        <v/>
      </c>
      <c r="BL446" s="498" t="str">
        <f t="shared" si="161"/>
        <v/>
      </c>
    </row>
    <row r="447" spans="1:64" x14ac:dyDescent="0.25">
      <c r="A447" s="762">
        <f t="shared" si="162"/>
        <v>442</v>
      </c>
      <c r="B447" s="229"/>
      <c r="C447" s="223"/>
      <c r="D447" s="224"/>
      <c r="E447" s="225"/>
      <c r="F447" s="1036" t="str">
        <f t="shared" si="168"/>
        <v/>
      </c>
      <c r="G447" s="1037" t="str">
        <f t="shared" si="163"/>
        <v/>
      </c>
      <c r="H447" s="225"/>
      <c r="I447" s="1013"/>
      <c r="J447" s="1013"/>
      <c r="K447" s="1028"/>
      <c r="L447" s="1035" t="str">
        <f t="shared" si="167"/>
        <v/>
      </c>
      <c r="S447" s="498"/>
      <c r="AJ447" s="498"/>
      <c r="AM447" s="498">
        <f t="shared" si="148"/>
        <v>0</v>
      </c>
      <c r="AN447" s="498">
        <f t="shared" si="149"/>
        <v>0</v>
      </c>
      <c r="AO447" s="498">
        <f t="shared" si="150"/>
        <v>0</v>
      </c>
      <c r="AP447" s="498">
        <f t="shared" si="169"/>
        <v>0</v>
      </c>
      <c r="AQ447" s="498">
        <f t="shared" si="164"/>
        <v>0</v>
      </c>
      <c r="AU447" s="498">
        <f t="shared" si="151"/>
        <v>0</v>
      </c>
      <c r="AV447" s="498">
        <f t="shared" si="152"/>
        <v>0</v>
      </c>
      <c r="AW447" s="498">
        <f t="shared" si="153"/>
        <v>0</v>
      </c>
      <c r="AX447" s="498">
        <f t="shared" si="154"/>
        <v>0</v>
      </c>
      <c r="AY447" s="498">
        <f t="shared" si="155"/>
        <v>0</v>
      </c>
      <c r="BB447" s="498" t="str">
        <f t="shared" si="156"/>
        <v/>
      </c>
      <c r="BC447" s="743" t="str">
        <f t="shared" si="157"/>
        <v/>
      </c>
      <c r="BD447" s="743" t="str">
        <f t="shared" si="158"/>
        <v/>
      </c>
      <c r="BE447" s="743" t="str">
        <f>IF(D447="","",VLOOKUP(D447,'General Basis'!$J$39:$K$46,2,0))</f>
        <v/>
      </c>
      <c r="BF447" s="744" t="str">
        <f>IF(D447="","",VLOOKUP(D447,'General Basis'!$J$39:$L$46,3,0))</f>
        <v/>
      </c>
      <c r="BG447" s="744" t="str">
        <f t="shared" si="165"/>
        <v/>
      </c>
      <c r="BH447" s="744" t="str">
        <f>IF(G447="","",IF(BF447="Abu Dhabi",IF(G447&lt;18,'General Basis'!$C$39,IF(G447&lt;41,'General Basis'!$C$40,IF(G447&lt;60,'General Basis'!$C$41,IF(G447&lt;65,'General Basis'!$C$42,'General Basis'!$C$43)))),IF(G447&lt;11,'General Basis'!$B$39,IF(G447&lt;18,'General Basis'!$B$40,IF(G447&lt;26,'General Basis'!$B$41,IF(G447&lt;31,'General Basis'!$B$42,IF(G447&lt;36,'General Basis'!$B$43,IF(G447&lt;41,'General Basis'!$B$44,IF(G447&lt;46,'General Basis'!$B$45,IF(G447&lt;51,'General Basis'!$B$46,IF(G447&lt;56,'General Basis'!$B$47,IF(G447&lt;60,'General Basis'!$B$48,IF(G447&lt;65,'General Basis'!$B$49,'General Basis'!$B$50)))))))))))))</f>
        <v/>
      </c>
      <c r="BI447" s="744" t="str">
        <f t="shared" si="159"/>
        <v/>
      </c>
      <c r="BJ447" s="747" t="str">
        <f t="shared" si="166"/>
        <v/>
      </c>
      <c r="BK447" s="498" t="str">
        <f t="shared" si="160"/>
        <v/>
      </c>
      <c r="BL447" s="498" t="str">
        <f t="shared" si="161"/>
        <v/>
      </c>
    </row>
    <row r="448" spans="1:64" x14ac:dyDescent="0.25">
      <c r="A448" s="762">
        <f t="shared" si="162"/>
        <v>443</v>
      </c>
      <c r="B448" s="229"/>
      <c r="C448" s="223"/>
      <c r="D448" s="224"/>
      <c r="E448" s="225"/>
      <c r="F448" s="1036" t="str">
        <f t="shared" si="168"/>
        <v/>
      </c>
      <c r="G448" s="1037" t="str">
        <f t="shared" si="163"/>
        <v/>
      </c>
      <c r="H448" s="225"/>
      <c r="I448" s="1013"/>
      <c r="J448" s="1013"/>
      <c r="K448" s="1028"/>
      <c r="L448" s="1035" t="str">
        <f t="shared" si="167"/>
        <v/>
      </c>
      <c r="S448" s="498"/>
      <c r="AJ448" s="498"/>
      <c r="AM448" s="498">
        <f t="shared" si="148"/>
        <v>0</v>
      </c>
      <c r="AN448" s="498">
        <f t="shared" si="149"/>
        <v>0</v>
      </c>
      <c r="AO448" s="498">
        <f t="shared" si="150"/>
        <v>0</v>
      </c>
      <c r="AP448" s="498">
        <f t="shared" si="169"/>
        <v>0</v>
      </c>
      <c r="AQ448" s="498">
        <f t="shared" si="164"/>
        <v>0</v>
      </c>
      <c r="AU448" s="498">
        <f t="shared" si="151"/>
        <v>0</v>
      </c>
      <c r="AV448" s="498">
        <f t="shared" si="152"/>
        <v>0</v>
      </c>
      <c r="AW448" s="498">
        <f t="shared" si="153"/>
        <v>0</v>
      </c>
      <c r="AX448" s="498">
        <f t="shared" si="154"/>
        <v>0</v>
      </c>
      <c r="AY448" s="498">
        <f t="shared" si="155"/>
        <v>0</v>
      </c>
      <c r="BB448" s="498" t="str">
        <f t="shared" si="156"/>
        <v/>
      </c>
      <c r="BC448" s="743" t="str">
        <f t="shared" si="157"/>
        <v/>
      </c>
      <c r="BD448" s="743" t="str">
        <f t="shared" si="158"/>
        <v/>
      </c>
      <c r="BE448" s="743" t="str">
        <f>IF(D448="","",VLOOKUP(D448,'General Basis'!$J$39:$K$46,2,0))</f>
        <v/>
      </c>
      <c r="BF448" s="744" t="str">
        <f>IF(D448="","",VLOOKUP(D448,'General Basis'!$J$39:$L$46,3,0))</f>
        <v/>
      </c>
      <c r="BG448" s="744" t="str">
        <f t="shared" si="165"/>
        <v/>
      </c>
      <c r="BH448" s="744" t="str">
        <f>IF(G448="","",IF(BF448="Abu Dhabi",IF(G448&lt;18,'General Basis'!$C$39,IF(G448&lt;41,'General Basis'!$C$40,IF(G448&lt;60,'General Basis'!$C$41,IF(G448&lt;65,'General Basis'!$C$42,'General Basis'!$C$43)))),IF(G448&lt;11,'General Basis'!$B$39,IF(G448&lt;18,'General Basis'!$B$40,IF(G448&lt;26,'General Basis'!$B$41,IF(G448&lt;31,'General Basis'!$B$42,IF(G448&lt;36,'General Basis'!$B$43,IF(G448&lt;41,'General Basis'!$B$44,IF(G448&lt;46,'General Basis'!$B$45,IF(G448&lt;51,'General Basis'!$B$46,IF(G448&lt;56,'General Basis'!$B$47,IF(G448&lt;60,'General Basis'!$B$48,IF(G448&lt;65,'General Basis'!$B$49,'General Basis'!$B$50)))))))))))))</f>
        <v/>
      </c>
      <c r="BI448" s="744" t="str">
        <f t="shared" si="159"/>
        <v/>
      </c>
      <c r="BJ448" s="747" t="str">
        <f t="shared" si="166"/>
        <v/>
      </c>
      <c r="BK448" s="498" t="str">
        <f t="shared" si="160"/>
        <v/>
      </c>
      <c r="BL448" s="498" t="str">
        <f t="shared" si="161"/>
        <v/>
      </c>
    </row>
    <row r="449" spans="1:64" x14ac:dyDescent="0.25">
      <c r="A449" s="762">
        <f t="shared" si="162"/>
        <v>444</v>
      </c>
      <c r="B449" s="229"/>
      <c r="C449" s="223"/>
      <c r="D449" s="224"/>
      <c r="E449" s="225"/>
      <c r="F449" s="1036" t="str">
        <f t="shared" si="168"/>
        <v/>
      </c>
      <c r="G449" s="1037" t="str">
        <f t="shared" si="163"/>
        <v/>
      </c>
      <c r="H449" s="225"/>
      <c r="I449" s="1013"/>
      <c r="J449" s="1013"/>
      <c r="K449" s="1028"/>
      <c r="L449" s="1035" t="str">
        <f t="shared" si="167"/>
        <v/>
      </c>
      <c r="S449" s="498"/>
      <c r="AJ449" s="498"/>
      <c r="AM449" s="498">
        <f t="shared" si="148"/>
        <v>0</v>
      </c>
      <c r="AN449" s="498">
        <f t="shared" si="149"/>
        <v>0</v>
      </c>
      <c r="AO449" s="498">
        <f t="shared" si="150"/>
        <v>0</v>
      </c>
      <c r="AP449" s="498">
        <f t="shared" si="169"/>
        <v>0</v>
      </c>
      <c r="AQ449" s="498">
        <f t="shared" si="164"/>
        <v>0</v>
      </c>
      <c r="AU449" s="498">
        <f t="shared" si="151"/>
        <v>0</v>
      </c>
      <c r="AV449" s="498">
        <f t="shared" si="152"/>
        <v>0</v>
      </c>
      <c r="AW449" s="498">
        <f t="shared" si="153"/>
        <v>0</v>
      </c>
      <c r="AX449" s="498">
        <f t="shared" si="154"/>
        <v>0</v>
      </c>
      <c r="AY449" s="498">
        <f t="shared" si="155"/>
        <v>0</v>
      </c>
      <c r="BB449" s="498" t="str">
        <f t="shared" si="156"/>
        <v/>
      </c>
      <c r="BC449" s="743" t="str">
        <f t="shared" si="157"/>
        <v/>
      </c>
      <c r="BD449" s="743" t="str">
        <f t="shared" si="158"/>
        <v/>
      </c>
      <c r="BE449" s="743" t="str">
        <f>IF(D449="","",VLOOKUP(D449,'General Basis'!$J$39:$K$46,2,0))</f>
        <v/>
      </c>
      <c r="BF449" s="744" t="str">
        <f>IF(D449="","",VLOOKUP(D449,'General Basis'!$J$39:$L$46,3,0))</f>
        <v/>
      </c>
      <c r="BG449" s="744" t="str">
        <f t="shared" si="165"/>
        <v/>
      </c>
      <c r="BH449" s="744" t="str">
        <f>IF(G449="","",IF(BF449="Abu Dhabi",IF(G449&lt;18,'General Basis'!$C$39,IF(G449&lt;41,'General Basis'!$C$40,IF(G449&lt;60,'General Basis'!$C$41,IF(G449&lt;65,'General Basis'!$C$42,'General Basis'!$C$43)))),IF(G449&lt;11,'General Basis'!$B$39,IF(G449&lt;18,'General Basis'!$B$40,IF(G449&lt;26,'General Basis'!$B$41,IF(G449&lt;31,'General Basis'!$B$42,IF(G449&lt;36,'General Basis'!$B$43,IF(G449&lt;41,'General Basis'!$B$44,IF(G449&lt;46,'General Basis'!$B$45,IF(G449&lt;51,'General Basis'!$B$46,IF(G449&lt;56,'General Basis'!$B$47,IF(G449&lt;60,'General Basis'!$B$48,IF(G449&lt;65,'General Basis'!$B$49,'General Basis'!$B$50)))))))))))))</f>
        <v/>
      </c>
      <c r="BI449" s="744" t="str">
        <f t="shared" si="159"/>
        <v/>
      </c>
      <c r="BJ449" s="747" t="str">
        <f t="shared" si="166"/>
        <v/>
      </c>
      <c r="BK449" s="498" t="str">
        <f t="shared" si="160"/>
        <v/>
      </c>
      <c r="BL449" s="498" t="str">
        <f t="shared" si="161"/>
        <v/>
      </c>
    </row>
    <row r="450" spans="1:64" x14ac:dyDescent="0.25">
      <c r="A450" s="762">
        <f t="shared" si="162"/>
        <v>445</v>
      </c>
      <c r="B450" s="229"/>
      <c r="C450" s="223"/>
      <c r="D450" s="224"/>
      <c r="E450" s="225"/>
      <c r="F450" s="1036" t="str">
        <f t="shared" si="168"/>
        <v/>
      </c>
      <c r="G450" s="1037" t="str">
        <f t="shared" si="163"/>
        <v/>
      </c>
      <c r="H450" s="225"/>
      <c r="I450" s="1013"/>
      <c r="J450" s="1013"/>
      <c r="K450" s="1028"/>
      <c r="L450" s="1035" t="str">
        <f t="shared" si="167"/>
        <v/>
      </c>
      <c r="S450" s="498"/>
      <c r="AJ450" s="498"/>
      <c r="AM450" s="498">
        <f t="shared" si="148"/>
        <v>0</v>
      </c>
      <c r="AN450" s="498">
        <f t="shared" si="149"/>
        <v>0</v>
      </c>
      <c r="AO450" s="498">
        <f t="shared" si="150"/>
        <v>0</v>
      </c>
      <c r="AP450" s="498">
        <f t="shared" si="169"/>
        <v>0</v>
      </c>
      <c r="AQ450" s="498">
        <f t="shared" si="164"/>
        <v>0</v>
      </c>
      <c r="AU450" s="498">
        <f t="shared" si="151"/>
        <v>0</v>
      </c>
      <c r="AV450" s="498">
        <f t="shared" si="152"/>
        <v>0</v>
      </c>
      <c r="AW450" s="498">
        <f t="shared" si="153"/>
        <v>0</v>
      </c>
      <c r="AX450" s="498">
        <f t="shared" si="154"/>
        <v>0</v>
      </c>
      <c r="AY450" s="498">
        <f t="shared" si="155"/>
        <v>0</v>
      </c>
      <c r="BB450" s="498" t="str">
        <f t="shared" si="156"/>
        <v/>
      </c>
      <c r="BC450" s="743" t="str">
        <f t="shared" si="157"/>
        <v/>
      </c>
      <c r="BD450" s="743" t="str">
        <f t="shared" si="158"/>
        <v/>
      </c>
      <c r="BE450" s="743" t="str">
        <f>IF(D450="","",VLOOKUP(D450,'General Basis'!$J$39:$K$46,2,0))</f>
        <v/>
      </c>
      <c r="BF450" s="744" t="str">
        <f>IF(D450="","",VLOOKUP(D450,'General Basis'!$J$39:$L$46,3,0))</f>
        <v/>
      </c>
      <c r="BG450" s="744" t="str">
        <f t="shared" si="165"/>
        <v/>
      </c>
      <c r="BH450" s="744" t="str">
        <f>IF(G450="","",IF(BF450="Abu Dhabi",IF(G450&lt;18,'General Basis'!$C$39,IF(G450&lt;41,'General Basis'!$C$40,IF(G450&lt;60,'General Basis'!$C$41,IF(G450&lt;65,'General Basis'!$C$42,'General Basis'!$C$43)))),IF(G450&lt;11,'General Basis'!$B$39,IF(G450&lt;18,'General Basis'!$B$40,IF(G450&lt;26,'General Basis'!$B$41,IF(G450&lt;31,'General Basis'!$B$42,IF(G450&lt;36,'General Basis'!$B$43,IF(G450&lt;41,'General Basis'!$B$44,IF(G450&lt;46,'General Basis'!$B$45,IF(G450&lt;51,'General Basis'!$B$46,IF(G450&lt;56,'General Basis'!$B$47,IF(G450&lt;60,'General Basis'!$B$48,IF(G450&lt;65,'General Basis'!$B$49,'General Basis'!$B$50)))))))))))))</f>
        <v/>
      </c>
      <c r="BI450" s="744" t="str">
        <f t="shared" si="159"/>
        <v/>
      </c>
      <c r="BJ450" s="747" t="str">
        <f t="shared" si="166"/>
        <v/>
      </c>
      <c r="BK450" s="498" t="str">
        <f t="shared" si="160"/>
        <v/>
      </c>
      <c r="BL450" s="498" t="str">
        <f t="shared" si="161"/>
        <v/>
      </c>
    </row>
    <row r="451" spans="1:64" x14ac:dyDescent="0.25">
      <c r="A451" s="762">
        <f t="shared" si="162"/>
        <v>446</v>
      </c>
      <c r="B451" s="229"/>
      <c r="C451" s="223"/>
      <c r="D451" s="224"/>
      <c r="E451" s="225"/>
      <c r="F451" s="1036" t="str">
        <f t="shared" si="168"/>
        <v/>
      </c>
      <c r="G451" s="1037" t="str">
        <f t="shared" si="163"/>
        <v/>
      </c>
      <c r="H451" s="225"/>
      <c r="I451" s="1013"/>
      <c r="J451" s="1013"/>
      <c r="K451" s="1028"/>
      <c r="L451" s="1035" t="str">
        <f t="shared" si="167"/>
        <v/>
      </c>
      <c r="S451" s="498"/>
      <c r="AJ451" s="498"/>
      <c r="AM451" s="498">
        <f t="shared" si="148"/>
        <v>0</v>
      </c>
      <c r="AN451" s="498">
        <f t="shared" si="149"/>
        <v>0</v>
      </c>
      <c r="AO451" s="498">
        <f t="shared" si="150"/>
        <v>0</v>
      </c>
      <c r="AP451" s="498">
        <f t="shared" si="169"/>
        <v>0</v>
      </c>
      <c r="AQ451" s="498">
        <f t="shared" si="164"/>
        <v>0</v>
      </c>
      <c r="AU451" s="498">
        <f t="shared" si="151"/>
        <v>0</v>
      </c>
      <c r="AV451" s="498">
        <f t="shared" si="152"/>
        <v>0</v>
      </c>
      <c r="AW451" s="498">
        <f t="shared" si="153"/>
        <v>0</v>
      </c>
      <c r="AX451" s="498">
        <f t="shared" si="154"/>
        <v>0</v>
      </c>
      <c r="AY451" s="498">
        <f t="shared" si="155"/>
        <v>0</v>
      </c>
      <c r="BB451" s="498" t="str">
        <f t="shared" si="156"/>
        <v/>
      </c>
      <c r="BC451" s="743" t="str">
        <f t="shared" si="157"/>
        <v/>
      </c>
      <c r="BD451" s="743" t="str">
        <f t="shared" si="158"/>
        <v/>
      </c>
      <c r="BE451" s="743" t="str">
        <f>IF(D451="","",VLOOKUP(D451,'General Basis'!$J$39:$K$46,2,0))</f>
        <v/>
      </c>
      <c r="BF451" s="744" t="str">
        <f>IF(D451="","",VLOOKUP(D451,'General Basis'!$J$39:$L$46,3,0))</f>
        <v/>
      </c>
      <c r="BG451" s="744" t="str">
        <f t="shared" si="165"/>
        <v/>
      </c>
      <c r="BH451" s="744" t="str">
        <f>IF(G451="","",IF(BF451="Abu Dhabi",IF(G451&lt;18,'General Basis'!$C$39,IF(G451&lt;41,'General Basis'!$C$40,IF(G451&lt;60,'General Basis'!$C$41,IF(G451&lt;65,'General Basis'!$C$42,'General Basis'!$C$43)))),IF(G451&lt;11,'General Basis'!$B$39,IF(G451&lt;18,'General Basis'!$B$40,IF(G451&lt;26,'General Basis'!$B$41,IF(G451&lt;31,'General Basis'!$B$42,IF(G451&lt;36,'General Basis'!$B$43,IF(G451&lt;41,'General Basis'!$B$44,IF(G451&lt;46,'General Basis'!$B$45,IF(G451&lt;51,'General Basis'!$B$46,IF(G451&lt;56,'General Basis'!$B$47,IF(G451&lt;60,'General Basis'!$B$48,IF(G451&lt;65,'General Basis'!$B$49,'General Basis'!$B$50)))))))))))))</f>
        <v/>
      </c>
      <c r="BI451" s="744" t="str">
        <f t="shared" si="159"/>
        <v/>
      </c>
      <c r="BJ451" s="747" t="str">
        <f t="shared" si="166"/>
        <v/>
      </c>
      <c r="BK451" s="498" t="str">
        <f t="shared" si="160"/>
        <v/>
      </c>
      <c r="BL451" s="498" t="str">
        <f t="shared" si="161"/>
        <v/>
      </c>
    </row>
    <row r="452" spans="1:64" x14ac:dyDescent="0.25">
      <c r="A452" s="762">
        <f t="shared" si="162"/>
        <v>447</v>
      </c>
      <c r="B452" s="229"/>
      <c r="C452" s="223"/>
      <c r="D452" s="224"/>
      <c r="E452" s="225"/>
      <c r="F452" s="1036" t="str">
        <f t="shared" si="168"/>
        <v/>
      </c>
      <c r="G452" s="1037" t="str">
        <f t="shared" si="163"/>
        <v/>
      </c>
      <c r="H452" s="225"/>
      <c r="I452" s="1013"/>
      <c r="J452" s="1013"/>
      <c r="K452" s="1028"/>
      <c r="L452" s="1035" t="str">
        <f t="shared" si="167"/>
        <v/>
      </c>
      <c r="S452" s="498"/>
      <c r="AJ452" s="498"/>
      <c r="AM452" s="498">
        <f t="shared" si="148"/>
        <v>0</v>
      </c>
      <c r="AN452" s="498">
        <f t="shared" si="149"/>
        <v>0</v>
      </c>
      <c r="AO452" s="498">
        <f t="shared" si="150"/>
        <v>0</v>
      </c>
      <c r="AP452" s="498">
        <f t="shared" si="169"/>
        <v>0</v>
      </c>
      <c r="AQ452" s="498">
        <f t="shared" si="164"/>
        <v>0</v>
      </c>
      <c r="AU452" s="498">
        <f t="shared" si="151"/>
        <v>0</v>
      </c>
      <c r="AV452" s="498">
        <f t="shared" si="152"/>
        <v>0</v>
      </c>
      <c r="AW452" s="498">
        <f t="shared" si="153"/>
        <v>0</v>
      </c>
      <c r="AX452" s="498">
        <f t="shared" si="154"/>
        <v>0</v>
      </c>
      <c r="AY452" s="498">
        <f t="shared" si="155"/>
        <v>0</v>
      </c>
      <c r="BB452" s="498" t="str">
        <f t="shared" si="156"/>
        <v/>
      </c>
      <c r="BC452" s="743" t="str">
        <f t="shared" si="157"/>
        <v/>
      </c>
      <c r="BD452" s="743" t="str">
        <f t="shared" si="158"/>
        <v/>
      </c>
      <c r="BE452" s="743" t="str">
        <f>IF(D452="","",VLOOKUP(D452,'General Basis'!$J$39:$K$46,2,0))</f>
        <v/>
      </c>
      <c r="BF452" s="744" t="str">
        <f>IF(D452="","",VLOOKUP(D452,'General Basis'!$J$39:$L$46,3,0))</f>
        <v/>
      </c>
      <c r="BG452" s="744" t="str">
        <f t="shared" si="165"/>
        <v/>
      </c>
      <c r="BH452" s="744" t="str">
        <f>IF(G452="","",IF(BF452="Abu Dhabi",IF(G452&lt;18,'General Basis'!$C$39,IF(G452&lt;41,'General Basis'!$C$40,IF(G452&lt;60,'General Basis'!$C$41,IF(G452&lt;65,'General Basis'!$C$42,'General Basis'!$C$43)))),IF(G452&lt;11,'General Basis'!$B$39,IF(G452&lt;18,'General Basis'!$B$40,IF(G452&lt;26,'General Basis'!$B$41,IF(G452&lt;31,'General Basis'!$B$42,IF(G452&lt;36,'General Basis'!$B$43,IF(G452&lt;41,'General Basis'!$B$44,IF(G452&lt;46,'General Basis'!$B$45,IF(G452&lt;51,'General Basis'!$B$46,IF(G452&lt;56,'General Basis'!$B$47,IF(G452&lt;60,'General Basis'!$B$48,IF(G452&lt;65,'General Basis'!$B$49,'General Basis'!$B$50)))))))))))))</f>
        <v/>
      </c>
      <c r="BI452" s="744" t="str">
        <f t="shared" si="159"/>
        <v/>
      </c>
      <c r="BJ452" s="747" t="str">
        <f t="shared" si="166"/>
        <v/>
      </c>
      <c r="BK452" s="498" t="str">
        <f t="shared" si="160"/>
        <v/>
      </c>
      <c r="BL452" s="498" t="str">
        <f t="shared" si="161"/>
        <v/>
      </c>
    </row>
    <row r="453" spans="1:64" x14ac:dyDescent="0.25">
      <c r="A453" s="762">
        <f t="shared" si="162"/>
        <v>448</v>
      </c>
      <c r="B453" s="229"/>
      <c r="C453" s="223"/>
      <c r="D453" s="224"/>
      <c r="E453" s="225"/>
      <c r="F453" s="1036" t="str">
        <f t="shared" si="168"/>
        <v/>
      </c>
      <c r="G453" s="1037" t="str">
        <f t="shared" si="163"/>
        <v/>
      </c>
      <c r="H453" s="225"/>
      <c r="I453" s="1013"/>
      <c r="J453" s="1013"/>
      <c r="K453" s="1028"/>
      <c r="L453" s="1035" t="str">
        <f t="shared" si="167"/>
        <v/>
      </c>
      <c r="S453" s="498"/>
      <c r="AJ453" s="498"/>
      <c r="AM453" s="498">
        <f t="shared" si="148"/>
        <v>0</v>
      </c>
      <c r="AN453" s="498">
        <f t="shared" si="149"/>
        <v>0</v>
      </c>
      <c r="AO453" s="498">
        <f t="shared" si="150"/>
        <v>0</v>
      </c>
      <c r="AP453" s="498">
        <f t="shared" si="169"/>
        <v>0</v>
      </c>
      <c r="AQ453" s="498">
        <f t="shared" si="164"/>
        <v>0</v>
      </c>
      <c r="AU453" s="498">
        <f t="shared" si="151"/>
        <v>0</v>
      </c>
      <c r="AV453" s="498">
        <f t="shared" si="152"/>
        <v>0</v>
      </c>
      <c r="AW453" s="498">
        <f t="shared" si="153"/>
        <v>0</v>
      </c>
      <c r="AX453" s="498">
        <f t="shared" si="154"/>
        <v>0</v>
      </c>
      <c r="AY453" s="498">
        <f t="shared" si="155"/>
        <v>0</v>
      </c>
      <c r="BB453" s="498" t="str">
        <f t="shared" si="156"/>
        <v/>
      </c>
      <c r="BC453" s="743" t="str">
        <f t="shared" si="157"/>
        <v/>
      </c>
      <c r="BD453" s="743" t="str">
        <f t="shared" si="158"/>
        <v/>
      </c>
      <c r="BE453" s="743" t="str">
        <f>IF(D453="","",VLOOKUP(D453,'General Basis'!$J$39:$K$46,2,0))</f>
        <v/>
      </c>
      <c r="BF453" s="744" t="str">
        <f>IF(D453="","",VLOOKUP(D453,'General Basis'!$J$39:$L$46,3,0))</f>
        <v/>
      </c>
      <c r="BG453" s="744" t="str">
        <f t="shared" si="165"/>
        <v/>
      </c>
      <c r="BH453" s="744" t="str">
        <f>IF(G453="","",IF(BF453="Abu Dhabi",IF(G453&lt;18,'General Basis'!$C$39,IF(G453&lt;41,'General Basis'!$C$40,IF(G453&lt;60,'General Basis'!$C$41,IF(G453&lt;65,'General Basis'!$C$42,'General Basis'!$C$43)))),IF(G453&lt;11,'General Basis'!$B$39,IF(G453&lt;18,'General Basis'!$B$40,IF(G453&lt;26,'General Basis'!$B$41,IF(G453&lt;31,'General Basis'!$B$42,IF(G453&lt;36,'General Basis'!$B$43,IF(G453&lt;41,'General Basis'!$B$44,IF(G453&lt;46,'General Basis'!$B$45,IF(G453&lt;51,'General Basis'!$B$46,IF(G453&lt;56,'General Basis'!$B$47,IF(G453&lt;60,'General Basis'!$B$48,IF(G453&lt;65,'General Basis'!$B$49,'General Basis'!$B$50)))))))))))))</f>
        <v/>
      </c>
      <c r="BI453" s="744" t="str">
        <f t="shared" si="159"/>
        <v/>
      </c>
      <c r="BJ453" s="747" t="str">
        <f t="shared" si="166"/>
        <v/>
      </c>
      <c r="BK453" s="498" t="str">
        <f t="shared" si="160"/>
        <v/>
      </c>
      <c r="BL453" s="498" t="str">
        <f t="shared" si="161"/>
        <v/>
      </c>
    </row>
    <row r="454" spans="1:64" x14ac:dyDescent="0.25">
      <c r="A454" s="762">
        <f t="shared" si="162"/>
        <v>449</v>
      </c>
      <c r="B454" s="229"/>
      <c r="C454" s="223"/>
      <c r="D454" s="224"/>
      <c r="E454" s="225"/>
      <c r="F454" s="1036" t="str">
        <f t="shared" si="168"/>
        <v/>
      </c>
      <c r="G454" s="1037" t="str">
        <f t="shared" si="163"/>
        <v/>
      </c>
      <c r="H454" s="225"/>
      <c r="I454" s="1013"/>
      <c r="J454" s="1013"/>
      <c r="K454" s="1028"/>
      <c r="L454" s="1035" t="str">
        <f t="shared" si="167"/>
        <v/>
      </c>
      <c r="S454" s="498"/>
      <c r="AJ454" s="498"/>
      <c r="AM454" s="498">
        <f t="shared" ref="AM454:AM517" si="170">IF(ISTEXT(B454),1,0)</f>
        <v>0</v>
      </c>
      <c r="AN454" s="498">
        <f t="shared" ref="AN454:AN517" si="171">IF(ISBLANK(B454),0,IF(B454&lt;$AK$6,1,0))</f>
        <v>0</v>
      </c>
      <c r="AO454" s="498">
        <f t="shared" ref="AO454:AO517" si="172">IF(ISBLANK(B454),0,IF(B454&gt;$AK$7,1,0))</f>
        <v>0</v>
      </c>
      <c r="AP454" s="498">
        <f t="shared" si="169"/>
        <v>0</v>
      </c>
      <c r="AQ454" s="498">
        <f t="shared" si="164"/>
        <v>0</v>
      </c>
      <c r="AU454" s="498">
        <f t="shared" ref="AU454:AU517" si="173">IF(ISBLANK(B454),0,1)</f>
        <v>0</v>
      </c>
      <c r="AV454" s="498">
        <f t="shared" ref="AV454:AV517" si="174">IF(ISBLANK(C454),0,1)</f>
        <v>0</v>
      </c>
      <c r="AW454" s="498">
        <f t="shared" ref="AW454:AW517" si="175">IF(ISBLANK(D454),0,1)</f>
        <v>0</v>
      </c>
      <c r="AX454" s="498">
        <f t="shared" ref="AX454:AX517" si="176">IF(ISBLANK(E454),0,1)</f>
        <v>0</v>
      </c>
      <c r="AY454" s="498">
        <f t="shared" ref="AY454:AY517" si="177">IF(ISBLANK(H454),0,1)</f>
        <v>0</v>
      </c>
      <c r="BB454" s="498" t="str">
        <f t="shared" ref="BB454:BB517" si="178">IF(E454="Principal","Principal",IF(E454="","","Other"))</f>
        <v/>
      </c>
      <c r="BC454" s="743" t="str">
        <f t="shared" ref="BC454:BC517" si="179">IF(D454="","",D454)</f>
        <v/>
      </c>
      <c r="BD454" s="743" t="str">
        <f t="shared" ref="BD454:BD517" si="180">IF(E454="Principal","Employee",IF(E454="","","Dependent"))</f>
        <v/>
      </c>
      <c r="BE454" s="743" t="str">
        <f>IF(D454="","",VLOOKUP(D454,'General Basis'!$J$39:$K$46,2,0))</f>
        <v/>
      </c>
      <c r="BF454" s="744" t="str">
        <f>IF(D454="","",VLOOKUP(D454,'General Basis'!$J$39:$L$46,3,0))</f>
        <v/>
      </c>
      <c r="BG454" s="744" t="str">
        <f t="shared" si="165"/>
        <v/>
      </c>
      <c r="BH454" s="744" t="str">
        <f>IF(G454="","",IF(BF454="Abu Dhabi",IF(G454&lt;18,'General Basis'!$C$39,IF(G454&lt;41,'General Basis'!$C$40,IF(G454&lt;60,'General Basis'!$C$41,IF(G454&lt;65,'General Basis'!$C$42,'General Basis'!$C$43)))),IF(G454&lt;11,'General Basis'!$B$39,IF(G454&lt;18,'General Basis'!$B$40,IF(G454&lt;26,'General Basis'!$B$41,IF(G454&lt;31,'General Basis'!$B$42,IF(G454&lt;36,'General Basis'!$B$43,IF(G454&lt;41,'General Basis'!$B$44,IF(G454&lt;46,'General Basis'!$B$45,IF(G454&lt;51,'General Basis'!$B$46,IF(G454&lt;56,'General Basis'!$B$47,IF(G454&lt;60,'General Basis'!$B$48,IF(G454&lt;65,'General Basis'!$B$49,'General Basis'!$B$50)))))))))))))</f>
        <v/>
      </c>
      <c r="BI454" s="744" t="str">
        <f t="shared" ref="BI454:BI517" si="181">IF(C454="","",IF(C454="M","Male","Female"))</f>
        <v/>
      </c>
      <c r="BJ454" s="747" t="str">
        <f t="shared" si="166"/>
        <v/>
      </c>
      <c r="BK454" s="498" t="str">
        <f t="shared" ref="BK454:BK517" si="182">IF(BD454="","",IF(AND(BD454="Employee",BI454="Male",BF454="Abu Dhabi",BE454=GN_Plus),VLOOKUP(BH454,AUH_MALE_EMP,2,0),IF(AND(BD454="Employee",BI454="Male",BF454="Abu Dhabi",BE454=GN),VLOOKUP(BH454,AUH_MALE_EMP,3,0),IF(AND(BD454="Employee",BI454="Male",BF454="Abu Dhabi",BE454=RN_Plus),VLOOKUP(BH454,AUH_MALE_EMP,4,0),IF(AND(BD454="Employee",BI454="Male",BF454="Abu Dhabi",BE454=RN),VLOOKUP(BH454,AUH_MALE_EMP,5,0),IF(AND(BD454="Employee",BI454="Male",BF454="Abu Dhabi",BE454=RN_2),VLOOKUP(BH454,AUH_MALE_EMP,6,0),IF(AND(BD454="Employee",BI454="Male",BF454="Abu Dhabi",BE454=RN2_minus),VLOOKUP(BH454,AUH_MALE_EMP,7,0),IF(AND(BD454="Employee",BI454="Male",BF454="Abu Dhabi",BE454=RN_3),VLOOKUP(BH454,AUH_MALE_EMP,8,0),IF(AND(BD454="Employee",BI454="Male",BF454="Abu Dhabi",BE454=VN),VLOOKUP(BH454,AUH_MALE_EMP,9,0),IF(BD454="","",IF(AND(BD454="Employee",BI454="Female",BF454="Abu Dhabi",BE454=GN_Plus),VLOOKUP(BH454,AUH_FEMALE_EMP,2,0),IF(AND(BD454="Employee",BI454="Female",BF454="Abu Dhabi",BE454=GN),VLOOKUP(BH454,AUH_FEMALE_EMP,3,0),IF(AND(BD454="Employee",BI454="Female",BF454="Abu Dhabi",BE454=RN_Plus),VLOOKUP(BH454,AUH_FEMALE_EMP,4,0),IF(AND(BD454="Employee",BI454="Female",BF454="Abu Dhabi",BE454=RN),VLOOKUP(BH454,AUH_FEMALE_EMP,5,0),IF(AND(BD454="Employee",BI454="Female",BF454="Abu Dhabi",BE454=RN_2),VLOOKUP(BH454,AUH_FEMALE_EMP,6,0),IF(AND(BD454="Employee",BI454="Female",BF454="Abu Dhabi",BE454=RN2_minus),VLOOKUP(BH454,AUH_FEMALE_EMP,7,0),IF(AND(BD454="Employee",BI454="Female",BF454="Abu Dhabi",BE454=RN_3),VLOOKUP(BH454,AUH_FEMALE_EMP,8,0),IF(AND(BD454="Employee",BI454="Female",BF454="Abu Dhabi",BE454=VN),VLOOKUP(BH454,AUH_FEMALE_EMP,9,0),IF(BD454="","",IF(AND(BD454="Dependent",BI454="Male",BF454="Abu Dhabi",BE454=GN_Plus),VLOOKUP(BH454,AUH_MALE_DEP,2,0),IF(AND(BD454="Dependent",BI454="Male",BF454="Abu Dhabi",BE454=GN),VLOOKUP(BH454,AUH_MALE_DEP,3,0),IF(AND(BD454="Dependent",BI454="Male",BF454="Abu Dhabi",BE454=RN_Plus),VLOOKUP(BH454,AUH_MALE_DEP,4,0),IF(AND(BD454="Dependent",BI454="Male",BF454="Abu Dhabi",BE454=RN),VLOOKUP(BH454,AUH_MALE_DEP,5,0),IF(AND(BD454="Dependent",BI454="Male",BF454="Abu Dhabi",BE454=RN_2),VLOOKUP(BH454,AUH_MALE_DEP,6,0),IF(AND(BD454="Dependent",BI454="Male",BF454="Abu Dhabi",BE454=RN2_minus),VLOOKUP(BH454,AUH_MALE_DEP,7,0),IF(AND(BD454="Dependent",BI454="Male",BF454="Abu Dhabi",BE454=RN_3),VLOOKUP(BH454,AUH_MALE_DEP,8,0),IF(AND(BD454="Dependent",BI454="Male",BF454="Abu Dhabi",BE454=VN),VLOOKUP(BH454,AUH_MALE_DEP,9,0),IF(BD454="","",IF(AND(BD454="Dependent",BI454="Female",BF454="Abu Dhabi",BE454=GN_Plus),VLOOKUP(BH454,AUH_FEMALE_DEP,2,0),IF(AND(BD454="Dependent",BI454="Female",BF454="Abu Dhabi",BE454=GN),VLOOKUP(BH454,AUH_FEMALE_DEP,3,0),IF(AND(BD454="Dependent",BI454="Female",BF454="Abu Dhabi",BE454=RN_Plus),VLOOKUP(BH454,AUH_FEMALE_DEP,4,0),IF(AND(BD454="Dependent",BI454="Female",BF454="Abu Dhabi",BE454=RN),VLOOKUP(BH454,AUH_FEMALE_DEP,5,0),IF(AND(BD454="Dependent",BI454="Female",BF454="Abu Dhabi",BE454=RN_2),VLOOKUP(BH454,AUH_FEMALE_DEP,6,0),IF(AND(BD454="Dependent",BI454="Female",BF454="Abu Dhabi",BE454=RN2_minus),VLOOKUP(BH454,AUH_FEMALE_DEP,7,0),IF(AND(BD454="Dependent",BI454="Female",BF454="Abu Dhabi",BE454=RN_3),VLOOKUP(BH454,AUH_FEMALE_DEP,8,0),IF(AND(BD454="Dependent",BI454="Female",BF454="Abu Dhabi",BE454=VN),VLOOKUP(BH454,AUH_FEMALE_DEP,9,0),"ABC"))))))))))))))))))))))))))))))))))))</f>
        <v/>
      </c>
      <c r="BL454" s="498" t="str">
        <f t="shared" ref="BL454:BL517" si="183">IF(BD454="","",IF(AND(BD454="Employee",BI454="Male",BF454="Dubai",BE454=GN_Plus),VLOOKUP(BH454,DXB_MALE_EMP,2,0),IF(AND(BD454="Employee",BI454="Male",BF454="Dubai",BE454=GN),VLOOKUP(BH454,DXB_MALE_EMP,3,0),IF(AND(BD454="Employee",BI454="Male",BF454="Dubai",BE454=RN_Plus),VLOOKUP(BH454,DXB_MALE_EMP,4,0),IF(AND(BD454="Employee",BI454="Male",BF454="Dubai",BE454=RN),VLOOKUP(BH454,DXB_MALE_EMP,5,0),IF(AND(BD454="Employee",BI454="Male",BF454="Dubai",BE454=RN_2),VLOOKUP(BH454,DXB_MALE_EMP,6,0),IF(AND(BD454="Employee",BI454="Male",BF454="Dubai",BE454=RN2_minus),VLOOKUP(BH454,DXB_MALE_EMP,7,0),IF(AND(BD454="Employee",BI454="Male",BF454="Dubai",BE454=RN_3),VLOOKUP(BH454,DXB_MALE_EMP,8,0),IF(AND(BD454="Employee",BI454="Male",BF454="Dubai",BE454=VN),VLOOKUP(BH454,DXB_MALE_EMP,9,0),IF(BD454="","",IF(AND(BD454="Employee",BI454="Female",BF454="Dubai",BE454=GN_Plus),VLOOKUP(BH454,DXB_FEMALE_EMP,2,0),IF(AND(BD454="Employee",BI454="Female",BF454="Dubai",BE454=GN),VLOOKUP(BH454,DXB_FEMALE_EMP,3,0),IF(AND(BD454="Employee",BI454="Female",BF454="Dubai",BE454=RN_Plus),VLOOKUP(BH454,DXB_FEMALE_EMP,4,0),IF(AND(BD454="Employee",BI454="Female",BF454="Dubai",BE454=RN),VLOOKUP(BH454,DXB_FEMALE_EMP,5,0),IF(AND(BD454="Employee",BI454="Female",BF454="Dubai",BE454=RN_2),VLOOKUP(BH454,DXB_FEMALE_EMP,6,0),IF(AND(BD454="Employee",BI454="Female",BF454="Dubai",BE454=RN2_minus),VLOOKUP(BH454,DXB_FEMALE_EMP,7,0),IF(AND(BD454="Employee",BI454="Female",BF454="Dubai",BE454=RN_3),VLOOKUP(BH454,DXB_FEMALE_EMP,8,0),IF(AND(BD454="Employee",BI454="Female",BF454="Dubai",BE454=VN),VLOOKUP(BH454,DXB_FEMALE_EMP,9,0),IF(BD454="","",IF(AND(BD454="Dependent",BI454="Male",BF454="Dubai",BE454=GN_Plus),VLOOKUP(BH454,DXB_MALE_DEP,2,0),IF(AND(BD454="Dependent",BI454="Male",BF454="Dubai",BE454=GN),VLOOKUP(BH454,DXB_MALE_DEP,3,0),IF(AND(BD454="Dependent",BI454="Male",BF454="Dubai",BE454=RN_Plus),VLOOKUP(BH454,DXB_MALE_DEP,4,0),IF(AND(BD454="Dependent",BI454="Male",BF454="Dubai",BE454=RN),VLOOKUP(BH454,DXB_MALE_DEP,5,0),IF(AND(BD454="Dependent",BI454="Male",BF454="Dubai",BE454=RN_2),VLOOKUP(BH454,DXB_MALE_DEP,6,0),IF(AND(BD454="Dependent",BI454="Male",BF454="Dubai",BE454=RN2_minus),VLOOKUP(BH454,DXB_MALE_DEP,7,0),IF(AND(BD454="Dependent",BI454="Male",BF454="Dubai",BE454=RN_3),VLOOKUP(BH454,DXB_MALE_DEP,8,0),IF(AND(BD454="Dependent",BI454="Male",BF454="Dubai",BE454=VN),VLOOKUP(BH454,DXB_MALE_DEP,9,0),IF(BD454="","",IF(AND(BD454="Dependent",BI454="Female",BF454="Dubai",BE454=GN_Plus),VLOOKUP(BH454,DXB_FEMALE_DEP,2,0),IF(AND(BD454="Dependent",BI454="Female",BF454="Dubai",BE454=GN),VLOOKUP(BH454,DXB_FEMALE_DEP,3,0),IF(AND(BD454="Dependent",BI454="Female",BF454="Dubai",BE454=RN_Plus),VLOOKUP(BH454,DXB_FEMALE_DEP,4,0),IF(AND(BD454="Dependent",BI454="Female",BF454="Dubai",BE454=RN),VLOOKUP(BH454,DXB_FEMALE_DEP,5,0),IF(AND(BD454="Dependent",BI454="Female",BF454="Dubai",BE454=RN_2),VLOOKUP(BH454,DXB_FEMALE_DEP,6,0),IF(AND(BD454="Dependent",BI454="Female",BF454="Dubai",BE454=RN2_minus),VLOOKUP(BH454,DXB_FEMALE_DEP,7,0),IF(AND(BD454="Dependent",BI454="Female",BF454="Dubai",BE454=RN_3),VLOOKUP(BH454,DXB_FEMALE_DEP,8,0),IF(AND(BD454="Dependent",BI454="Female",BF454="Dubai",BE454=VN),VLOOKUP(BH454,DXB_FEMALE_DEP,9,0),"ABC"))))))))))))))))))))))))))))))))))))</f>
        <v/>
      </c>
    </row>
    <row r="455" spans="1:64" x14ac:dyDescent="0.25">
      <c r="A455" s="762">
        <f t="shared" ref="A455:A518" si="184">+A454+1</f>
        <v>450</v>
      </c>
      <c r="B455" s="229"/>
      <c r="C455" s="223"/>
      <c r="D455" s="224"/>
      <c r="E455" s="225"/>
      <c r="F455" s="1036" t="str">
        <f t="shared" si="168"/>
        <v/>
      </c>
      <c r="G455" s="1037" t="str">
        <f t="shared" ref="G455:G518" si="185">IF(D455="","",MAX(0,ROUNDUP(F455,0)))</f>
        <v/>
      </c>
      <c r="H455" s="225"/>
      <c r="I455" s="1013"/>
      <c r="J455" s="1013"/>
      <c r="K455" s="1028"/>
      <c r="L455" s="1035" t="str">
        <f t="shared" si="167"/>
        <v/>
      </c>
      <c r="S455" s="498"/>
      <c r="AJ455" s="498"/>
      <c r="AM455" s="498">
        <f t="shared" si="170"/>
        <v>0</v>
      </c>
      <c r="AN455" s="498">
        <f t="shared" si="171"/>
        <v>0</v>
      </c>
      <c r="AO455" s="498">
        <f t="shared" si="172"/>
        <v>0</v>
      </c>
      <c r="AP455" s="498">
        <f t="shared" si="169"/>
        <v>0</v>
      </c>
      <c r="AQ455" s="498">
        <f t="shared" ref="AQ455:AQ518" si="186">IF(ISBLANK($B455),0,IF(OR($H455="Single",$H455="Married"),0,1))</f>
        <v>0</v>
      </c>
      <c r="AU455" s="498">
        <f t="shared" si="173"/>
        <v>0</v>
      </c>
      <c r="AV455" s="498">
        <f t="shared" si="174"/>
        <v>0</v>
      </c>
      <c r="AW455" s="498">
        <f t="shared" si="175"/>
        <v>0</v>
      </c>
      <c r="AX455" s="498">
        <f t="shared" si="176"/>
        <v>0</v>
      </c>
      <c r="AY455" s="498">
        <f t="shared" si="177"/>
        <v>0</v>
      </c>
      <c r="BB455" s="498" t="str">
        <f t="shared" si="178"/>
        <v/>
      </c>
      <c r="BC455" s="743" t="str">
        <f t="shared" si="179"/>
        <v/>
      </c>
      <c r="BD455" s="743" t="str">
        <f t="shared" si="180"/>
        <v/>
      </c>
      <c r="BE455" s="743" t="str">
        <f>IF(D455="","",VLOOKUP(D455,'General Basis'!$J$39:$K$46,2,0))</f>
        <v/>
      </c>
      <c r="BF455" s="744" t="str">
        <f>IF(D455="","",VLOOKUP(D455,'General Basis'!$J$39:$L$46,3,0))</f>
        <v/>
      </c>
      <c r="BG455" s="744" t="str">
        <f t="shared" ref="BG455:BG518" si="187">BC455&amp;BI455</f>
        <v/>
      </c>
      <c r="BH455" s="744" t="str">
        <f>IF(G455="","",IF(BF455="Abu Dhabi",IF(G455&lt;18,'General Basis'!$C$39,IF(G455&lt;41,'General Basis'!$C$40,IF(G455&lt;60,'General Basis'!$C$41,IF(G455&lt;65,'General Basis'!$C$42,'General Basis'!$C$43)))),IF(G455&lt;11,'General Basis'!$B$39,IF(G455&lt;18,'General Basis'!$B$40,IF(G455&lt;26,'General Basis'!$B$41,IF(G455&lt;31,'General Basis'!$B$42,IF(G455&lt;36,'General Basis'!$B$43,IF(G455&lt;41,'General Basis'!$B$44,IF(G455&lt;46,'General Basis'!$B$45,IF(G455&lt;51,'General Basis'!$B$46,IF(G455&lt;56,'General Basis'!$B$47,IF(G455&lt;60,'General Basis'!$B$48,IF(G455&lt;65,'General Basis'!$B$49,'General Basis'!$B$50)))))))))))))</f>
        <v/>
      </c>
      <c r="BI455" s="744" t="str">
        <f t="shared" si="181"/>
        <v/>
      </c>
      <c r="BJ455" s="747" t="str">
        <f t="shared" ref="BJ455:BJ518" si="188">IF(BD455="","",IF(BF455="Abu Dhabi",BK455,BL455))</f>
        <v/>
      </c>
      <c r="BK455" s="498" t="str">
        <f t="shared" si="182"/>
        <v/>
      </c>
      <c r="BL455" s="498" t="str">
        <f t="shared" si="183"/>
        <v/>
      </c>
    </row>
    <row r="456" spans="1:64" x14ac:dyDescent="0.25">
      <c r="A456" s="762">
        <f t="shared" si="184"/>
        <v>451</v>
      </c>
      <c r="B456" s="229"/>
      <c r="C456" s="223"/>
      <c r="D456" s="224"/>
      <c r="E456" s="225"/>
      <c r="F456" s="1036" t="str">
        <f t="shared" si="168"/>
        <v/>
      </c>
      <c r="G456" s="1037" t="str">
        <f t="shared" si="185"/>
        <v/>
      </c>
      <c r="H456" s="225"/>
      <c r="I456" s="1013"/>
      <c r="J456" s="1013"/>
      <c r="K456" s="1028"/>
      <c r="L456" s="1035" t="str">
        <f t="shared" ref="L456:L519" si="189">IF(AND(E456="Child",H456="Married"),"Check the Marital Status of the Child. ",IF(AND(E456="Child",F456&gt;18),"Child Age exceed 18 years. ",IF(AND(E456="Spouse",H456="Single"),"Spouse is selected as Single. ","")))&amp;IF(K456&gt;0,"UW Loading has been Applied","")</f>
        <v/>
      </c>
      <c r="S456" s="498"/>
      <c r="AJ456" s="498"/>
      <c r="AM456" s="498">
        <f t="shared" si="170"/>
        <v>0</v>
      </c>
      <c r="AN456" s="498">
        <f t="shared" si="171"/>
        <v>0</v>
      </c>
      <c r="AO456" s="498">
        <f t="shared" si="172"/>
        <v>0</v>
      </c>
      <c r="AP456" s="498">
        <f t="shared" si="169"/>
        <v>0</v>
      </c>
      <c r="AQ456" s="498">
        <f t="shared" si="186"/>
        <v>0</v>
      </c>
      <c r="AU456" s="498">
        <f t="shared" si="173"/>
        <v>0</v>
      </c>
      <c r="AV456" s="498">
        <f t="shared" si="174"/>
        <v>0</v>
      </c>
      <c r="AW456" s="498">
        <f t="shared" si="175"/>
        <v>0</v>
      </c>
      <c r="AX456" s="498">
        <f t="shared" si="176"/>
        <v>0</v>
      </c>
      <c r="AY456" s="498">
        <f t="shared" si="177"/>
        <v>0</v>
      </c>
      <c r="BB456" s="498" t="str">
        <f t="shared" si="178"/>
        <v/>
      </c>
      <c r="BC456" s="743" t="str">
        <f t="shared" si="179"/>
        <v/>
      </c>
      <c r="BD456" s="743" t="str">
        <f t="shared" si="180"/>
        <v/>
      </c>
      <c r="BE456" s="743" t="str">
        <f>IF(D456="","",VLOOKUP(D456,'General Basis'!$J$39:$K$46,2,0))</f>
        <v/>
      </c>
      <c r="BF456" s="744" t="str">
        <f>IF(D456="","",VLOOKUP(D456,'General Basis'!$J$39:$L$46,3,0))</f>
        <v/>
      </c>
      <c r="BG456" s="744" t="str">
        <f t="shared" si="187"/>
        <v/>
      </c>
      <c r="BH456" s="744" t="str">
        <f>IF(G456="","",IF(BF456="Abu Dhabi",IF(G456&lt;18,'General Basis'!$C$39,IF(G456&lt;41,'General Basis'!$C$40,IF(G456&lt;60,'General Basis'!$C$41,IF(G456&lt;65,'General Basis'!$C$42,'General Basis'!$C$43)))),IF(G456&lt;11,'General Basis'!$B$39,IF(G456&lt;18,'General Basis'!$B$40,IF(G456&lt;26,'General Basis'!$B$41,IF(G456&lt;31,'General Basis'!$B$42,IF(G456&lt;36,'General Basis'!$B$43,IF(G456&lt;41,'General Basis'!$B$44,IF(G456&lt;46,'General Basis'!$B$45,IF(G456&lt;51,'General Basis'!$B$46,IF(G456&lt;56,'General Basis'!$B$47,IF(G456&lt;60,'General Basis'!$B$48,IF(G456&lt;65,'General Basis'!$B$49,'General Basis'!$B$50)))))))))))))</f>
        <v/>
      </c>
      <c r="BI456" s="744" t="str">
        <f t="shared" si="181"/>
        <v/>
      </c>
      <c r="BJ456" s="747" t="str">
        <f t="shared" si="188"/>
        <v/>
      </c>
      <c r="BK456" s="498" t="str">
        <f t="shared" si="182"/>
        <v/>
      </c>
      <c r="BL456" s="498" t="str">
        <f t="shared" si="183"/>
        <v/>
      </c>
    </row>
    <row r="457" spans="1:64" x14ac:dyDescent="0.25">
      <c r="A457" s="762">
        <f t="shared" si="184"/>
        <v>452</v>
      </c>
      <c r="B457" s="229"/>
      <c r="C457" s="223"/>
      <c r="D457" s="224"/>
      <c r="E457" s="225"/>
      <c r="F457" s="1036" t="str">
        <f t="shared" si="168"/>
        <v/>
      </c>
      <c r="G457" s="1037" t="str">
        <f t="shared" si="185"/>
        <v/>
      </c>
      <c r="H457" s="225"/>
      <c r="I457" s="1013"/>
      <c r="J457" s="1013"/>
      <c r="K457" s="1028"/>
      <c r="L457" s="1035" t="str">
        <f t="shared" si="189"/>
        <v/>
      </c>
      <c r="S457" s="498"/>
      <c r="AJ457" s="498"/>
      <c r="AM457" s="498">
        <f t="shared" si="170"/>
        <v>0</v>
      </c>
      <c r="AN457" s="498">
        <f t="shared" si="171"/>
        <v>0</v>
      </c>
      <c r="AO457" s="498">
        <f t="shared" si="172"/>
        <v>0</v>
      </c>
      <c r="AP457" s="498">
        <f t="shared" si="169"/>
        <v>0</v>
      </c>
      <c r="AQ457" s="498">
        <f t="shared" si="186"/>
        <v>0</v>
      </c>
      <c r="AU457" s="498">
        <f t="shared" si="173"/>
        <v>0</v>
      </c>
      <c r="AV457" s="498">
        <f t="shared" si="174"/>
        <v>0</v>
      </c>
      <c r="AW457" s="498">
        <f t="shared" si="175"/>
        <v>0</v>
      </c>
      <c r="AX457" s="498">
        <f t="shared" si="176"/>
        <v>0</v>
      </c>
      <c r="AY457" s="498">
        <f t="shared" si="177"/>
        <v>0</v>
      </c>
      <c r="BB457" s="498" t="str">
        <f t="shared" si="178"/>
        <v/>
      </c>
      <c r="BC457" s="743" t="str">
        <f t="shared" si="179"/>
        <v/>
      </c>
      <c r="BD457" s="743" t="str">
        <f t="shared" si="180"/>
        <v/>
      </c>
      <c r="BE457" s="743" t="str">
        <f>IF(D457="","",VLOOKUP(D457,'General Basis'!$J$39:$K$46,2,0))</f>
        <v/>
      </c>
      <c r="BF457" s="744" t="str">
        <f>IF(D457="","",VLOOKUP(D457,'General Basis'!$J$39:$L$46,3,0))</f>
        <v/>
      </c>
      <c r="BG457" s="744" t="str">
        <f t="shared" si="187"/>
        <v/>
      </c>
      <c r="BH457" s="744" t="str">
        <f>IF(G457="","",IF(BF457="Abu Dhabi",IF(G457&lt;18,'General Basis'!$C$39,IF(G457&lt;41,'General Basis'!$C$40,IF(G457&lt;60,'General Basis'!$C$41,IF(G457&lt;65,'General Basis'!$C$42,'General Basis'!$C$43)))),IF(G457&lt;11,'General Basis'!$B$39,IF(G457&lt;18,'General Basis'!$B$40,IF(G457&lt;26,'General Basis'!$B$41,IF(G457&lt;31,'General Basis'!$B$42,IF(G457&lt;36,'General Basis'!$B$43,IF(G457&lt;41,'General Basis'!$B$44,IF(G457&lt;46,'General Basis'!$B$45,IF(G457&lt;51,'General Basis'!$B$46,IF(G457&lt;56,'General Basis'!$B$47,IF(G457&lt;60,'General Basis'!$B$48,IF(G457&lt;65,'General Basis'!$B$49,'General Basis'!$B$50)))))))))))))</f>
        <v/>
      </c>
      <c r="BI457" s="744" t="str">
        <f t="shared" si="181"/>
        <v/>
      </c>
      <c r="BJ457" s="747" t="str">
        <f t="shared" si="188"/>
        <v/>
      </c>
      <c r="BK457" s="498" t="str">
        <f t="shared" si="182"/>
        <v/>
      </c>
      <c r="BL457" s="498" t="str">
        <f t="shared" si="183"/>
        <v/>
      </c>
    </row>
    <row r="458" spans="1:64" x14ac:dyDescent="0.25">
      <c r="A458" s="762">
        <f t="shared" si="184"/>
        <v>453</v>
      </c>
      <c r="B458" s="229"/>
      <c r="C458" s="223"/>
      <c r="D458" s="224"/>
      <c r="E458" s="225"/>
      <c r="F458" s="1036" t="str">
        <f t="shared" si="168"/>
        <v/>
      </c>
      <c r="G458" s="1037" t="str">
        <f t="shared" si="185"/>
        <v/>
      </c>
      <c r="H458" s="225"/>
      <c r="I458" s="1013"/>
      <c r="J458" s="1013"/>
      <c r="K458" s="1028"/>
      <c r="L458" s="1035" t="str">
        <f t="shared" si="189"/>
        <v/>
      </c>
      <c r="S458" s="498"/>
      <c r="AJ458" s="498"/>
      <c r="AM458" s="498">
        <f t="shared" si="170"/>
        <v>0</v>
      </c>
      <c r="AN458" s="498">
        <f t="shared" si="171"/>
        <v>0</v>
      </c>
      <c r="AO458" s="498">
        <f t="shared" si="172"/>
        <v>0</v>
      </c>
      <c r="AP458" s="498">
        <f t="shared" si="169"/>
        <v>0</v>
      </c>
      <c r="AQ458" s="498">
        <f t="shared" si="186"/>
        <v>0</v>
      </c>
      <c r="AU458" s="498">
        <f t="shared" si="173"/>
        <v>0</v>
      </c>
      <c r="AV458" s="498">
        <f t="shared" si="174"/>
        <v>0</v>
      </c>
      <c r="AW458" s="498">
        <f t="shared" si="175"/>
        <v>0</v>
      </c>
      <c r="AX458" s="498">
        <f t="shared" si="176"/>
        <v>0</v>
      </c>
      <c r="AY458" s="498">
        <f t="shared" si="177"/>
        <v>0</v>
      </c>
      <c r="BB458" s="498" t="str">
        <f t="shared" si="178"/>
        <v/>
      </c>
      <c r="BC458" s="743" t="str">
        <f t="shared" si="179"/>
        <v/>
      </c>
      <c r="BD458" s="743" t="str">
        <f t="shared" si="180"/>
        <v/>
      </c>
      <c r="BE458" s="743" t="str">
        <f>IF(D458="","",VLOOKUP(D458,'General Basis'!$J$39:$K$46,2,0))</f>
        <v/>
      </c>
      <c r="BF458" s="744" t="str">
        <f>IF(D458="","",VLOOKUP(D458,'General Basis'!$J$39:$L$46,3,0))</f>
        <v/>
      </c>
      <c r="BG458" s="744" t="str">
        <f t="shared" si="187"/>
        <v/>
      </c>
      <c r="BH458" s="744" t="str">
        <f>IF(G458="","",IF(BF458="Abu Dhabi",IF(G458&lt;18,'General Basis'!$C$39,IF(G458&lt;41,'General Basis'!$C$40,IF(G458&lt;60,'General Basis'!$C$41,IF(G458&lt;65,'General Basis'!$C$42,'General Basis'!$C$43)))),IF(G458&lt;11,'General Basis'!$B$39,IF(G458&lt;18,'General Basis'!$B$40,IF(G458&lt;26,'General Basis'!$B$41,IF(G458&lt;31,'General Basis'!$B$42,IF(G458&lt;36,'General Basis'!$B$43,IF(G458&lt;41,'General Basis'!$B$44,IF(G458&lt;46,'General Basis'!$B$45,IF(G458&lt;51,'General Basis'!$B$46,IF(G458&lt;56,'General Basis'!$B$47,IF(G458&lt;60,'General Basis'!$B$48,IF(G458&lt;65,'General Basis'!$B$49,'General Basis'!$B$50)))))))))))))</f>
        <v/>
      </c>
      <c r="BI458" s="744" t="str">
        <f t="shared" si="181"/>
        <v/>
      </c>
      <c r="BJ458" s="747" t="str">
        <f t="shared" si="188"/>
        <v/>
      </c>
      <c r="BK458" s="498" t="str">
        <f t="shared" si="182"/>
        <v/>
      </c>
      <c r="BL458" s="498" t="str">
        <f t="shared" si="183"/>
        <v/>
      </c>
    </row>
    <row r="459" spans="1:64" x14ac:dyDescent="0.25">
      <c r="A459" s="762">
        <f t="shared" si="184"/>
        <v>454</v>
      </c>
      <c r="B459" s="229"/>
      <c r="C459" s="223"/>
      <c r="D459" s="224"/>
      <c r="E459" s="225"/>
      <c r="F459" s="1036" t="str">
        <f t="shared" si="168"/>
        <v/>
      </c>
      <c r="G459" s="1037" t="str">
        <f t="shared" si="185"/>
        <v/>
      </c>
      <c r="H459" s="225"/>
      <c r="I459" s="1013"/>
      <c r="J459" s="1013"/>
      <c r="K459" s="1028"/>
      <c r="L459" s="1035" t="str">
        <f t="shared" si="189"/>
        <v/>
      </c>
      <c r="S459" s="498"/>
      <c r="AJ459" s="498"/>
      <c r="AM459" s="498">
        <f t="shared" si="170"/>
        <v>0</v>
      </c>
      <c r="AN459" s="498">
        <f t="shared" si="171"/>
        <v>0</v>
      </c>
      <c r="AO459" s="498">
        <f t="shared" si="172"/>
        <v>0</v>
      </c>
      <c r="AP459" s="498">
        <f t="shared" si="169"/>
        <v>0</v>
      </c>
      <c r="AQ459" s="498">
        <f t="shared" si="186"/>
        <v>0</v>
      </c>
      <c r="AU459" s="498">
        <f t="shared" si="173"/>
        <v>0</v>
      </c>
      <c r="AV459" s="498">
        <f t="shared" si="174"/>
        <v>0</v>
      </c>
      <c r="AW459" s="498">
        <f t="shared" si="175"/>
        <v>0</v>
      </c>
      <c r="AX459" s="498">
        <f t="shared" si="176"/>
        <v>0</v>
      </c>
      <c r="AY459" s="498">
        <f t="shared" si="177"/>
        <v>0</v>
      </c>
      <c r="BB459" s="498" t="str">
        <f t="shared" si="178"/>
        <v/>
      </c>
      <c r="BC459" s="743" t="str">
        <f t="shared" si="179"/>
        <v/>
      </c>
      <c r="BD459" s="743" t="str">
        <f t="shared" si="180"/>
        <v/>
      </c>
      <c r="BE459" s="743" t="str">
        <f>IF(D459="","",VLOOKUP(D459,'General Basis'!$J$39:$K$46,2,0))</f>
        <v/>
      </c>
      <c r="BF459" s="744" t="str">
        <f>IF(D459="","",VLOOKUP(D459,'General Basis'!$J$39:$L$46,3,0))</f>
        <v/>
      </c>
      <c r="BG459" s="744" t="str">
        <f t="shared" si="187"/>
        <v/>
      </c>
      <c r="BH459" s="744" t="str">
        <f>IF(G459="","",IF(BF459="Abu Dhabi",IF(G459&lt;18,'General Basis'!$C$39,IF(G459&lt;41,'General Basis'!$C$40,IF(G459&lt;60,'General Basis'!$C$41,IF(G459&lt;65,'General Basis'!$C$42,'General Basis'!$C$43)))),IF(G459&lt;11,'General Basis'!$B$39,IF(G459&lt;18,'General Basis'!$B$40,IF(G459&lt;26,'General Basis'!$B$41,IF(G459&lt;31,'General Basis'!$B$42,IF(G459&lt;36,'General Basis'!$B$43,IF(G459&lt;41,'General Basis'!$B$44,IF(G459&lt;46,'General Basis'!$B$45,IF(G459&lt;51,'General Basis'!$B$46,IF(G459&lt;56,'General Basis'!$B$47,IF(G459&lt;60,'General Basis'!$B$48,IF(G459&lt;65,'General Basis'!$B$49,'General Basis'!$B$50)))))))))))))</f>
        <v/>
      </c>
      <c r="BI459" s="744" t="str">
        <f t="shared" si="181"/>
        <v/>
      </c>
      <c r="BJ459" s="747" t="str">
        <f t="shared" si="188"/>
        <v/>
      </c>
      <c r="BK459" s="498" t="str">
        <f t="shared" si="182"/>
        <v/>
      </c>
      <c r="BL459" s="498" t="str">
        <f t="shared" si="183"/>
        <v/>
      </c>
    </row>
    <row r="460" spans="1:64" x14ac:dyDescent="0.25">
      <c r="A460" s="762">
        <f t="shared" si="184"/>
        <v>455</v>
      </c>
      <c r="B460" s="229"/>
      <c r="C460" s="223"/>
      <c r="D460" s="224"/>
      <c r="E460" s="225"/>
      <c r="F460" s="1036" t="str">
        <f t="shared" si="168"/>
        <v/>
      </c>
      <c r="G460" s="1037" t="str">
        <f t="shared" si="185"/>
        <v/>
      </c>
      <c r="H460" s="225"/>
      <c r="I460" s="1013"/>
      <c r="J460" s="1013"/>
      <c r="K460" s="1028"/>
      <c r="L460" s="1035" t="str">
        <f t="shared" si="189"/>
        <v/>
      </c>
      <c r="S460" s="498"/>
      <c r="AJ460" s="498"/>
      <c r="AM460" s="498">
        <f t="shared" si="170"/>
        <v>0</v>
      </c>
      <c r="AN460" s="498">
        <f t="shared" si="171"/>
        <v>0</v>
      </c>
      <c r="AO460" s="498">
        <f t="shared" si="172"/>
        <v>0</v>
      </c>
      <c r="AP460" s="498">
        <f t="shared" si="169"/>
        <v>0</v>
      </c>
      <c r="AQ460" s="498">
        <f t="shared" si="186"/>
        <v>0</v>
      </c>
      <c r="AU460" s="498">
        <f t="shared" si="173"/>
        <v>0</v>
      </c>
      <c r="AV460" s="498">
        <f t="shared" si="174"/>
        <v>0</v>
      </c>
      <c r="AW460" s="498">
        <f t="shared" si="175"/>
        <v>0</v>
      </c>
      <c r="AX460" s="498">
        <f t="shared" si="176"/>
        <v>0</v>
      </c>
      <c r="AY460" s="498">
        <f t="shared" si="177"/>
        <v>0</v>
      </c>
      <c r="BB460" s="498" t="str">
        <f t="shared" si="178"/>
        <v/>
      </c>
      <c r="BC460" s="743" t="str">
        <f t="shared" si="179"/>
        <v/>
      </c>
      <c r="BD460" s="743" t="str">
        <f t="shared" si="180"/>
        <v/>
      </c>
      <c r="BE460" s="743" t="str">
        <f>IF(D460="","",VLOOKUP(D460,'General Basis'!$J$39:$K$46,2,0))</f>
        <v/>
      </c>
      <c r="BF460" s="744" t="str">
        <f>IF(D460="","",VLOOKUP(D460,'General Basis'!$J$39:$L$46,3,0))</f>
        <v/>
      </c>
      <c r="BG460" s="744" t="str">
        <f t="shared" si="187"/>
        <v/>
      </c>
      <c r="BH460" s="744" t="str">
        <f>IF(G460="","",IF(BF460="Abu Dhabi",IF(G460&lt;18,'General Basis'!$C$39,IF(G460&lt;41,'General Basis'!$C$40,IF(G460&lt;60,'General Basis'!$C$41,IF(G460&lt;65,'General Basis'!$C$42,'General Basis'!$C$43)))),IF(G460&lt;11,'General Basis'!$B$39,IF(G460&lt;18,'General Basis'!$B$40,IF(G460&lt;26,'General Basis'!$B$41,IF(G460&lt;31,'General Basis'!$B$42,IF(G460&lt;36,'General Basis'!$B$43,IF(G460&lt;41,'General Basis'!$B$44,IF(G460&lt;46,'General Basis'!$B$45,IF(G460&lt;51,'General Basis'!$B$46,IF(G460&lt;56,'General Basis'!$B$47,IF(G460&lt;60,'General Basis'!$B$48,IF(G460&lt;65,'General Basis'!$B$49,'General Basis'!$B$50)))))))))))))</f>
        <v/>
      </c>
      <c r="BI460" s="744" t="str">
        <f t="shared" si="181"/>
        <v/>
      </c>
      <c r="BJ460" s="747" t="str">
        <f t="shared" si="188"/>
        <v/>
      </c>
      <c r="BK460" s="498" t="str">
        <f t="shared" si="182"/>
        <v/>
      </c>
      <c r="BL460" s="498" t="str">
        <f t="shared" si="183"/>
        <v/>
      </c>
    </row>
    <row r="461" spans="1:64" x14ac:dyDescent="0.25">
      <c r="A461" s="762">
        <f t="shared" si="184"/>
        <v>456</v>
      </c>
      <c r="B461" s="229"/>
      <c r="C461" s="223"/>
      <c r="D461" s="224"/>
      <c r="E461" s="225"/>
      <c r="F461" s="1036" t="str">
        <f t="shared" si="168"/>
        <v/>
      </c>
      <c r="G461" s="1037" t="str">
        <f t="shared" si="185"/>
        <v/>
      </c>
      <c r="H461" s="225"/>
      <c r="I461" s="1013"/>
      <c r="J461" s="1013"/>
      <c r="K461" s="1028"/>
      <c r="L461" s="1035" t="str">
        <f t="shared" si="189"/>
        <v/>
      </c>
      <c r="S461" s="498"/>
      <c r="AJ461" s="498"/>
      <c r="AM461" s="498">
        <f t="shared" si="170"/>
        <v>0</v>
      </c>
      <c r="AN461" s="498">
        <f t="shared" si="171"/>
        <v>0</v>
      </c>
      <c r="AO461" s="498">
        <f t="shared" si="172"/>
        <v>0</v>
      </c>
      <c r="AP461" s="498">
        <f t="shared" si="169"/>
        <v>0</v>
      </c>
      <c r="AQ461" s="498">
        <f t="shared" si="186"/>
        <v>0</v>
      </c>
      <c r="AU461" s="498">
        <f t="shared" si="173"/>
        <v>0</v>
      </c>
      <c r="AV461" s="498">
        <f t="shared" si="174"/>
        <v>0</v>
      </c>
      <c r="AW461" s="498">
        <f t="shared" si="175"/>
        <v>0</v>
      </c>
      <c r="AX461" s="498">
        <f t="shared" si="176"/>
        <v>0</v>
      </c>
      <c r="AY461" s="498">
        <f t="shared" si="177"/>
        <v>0</v>
      </c>
      <c r="BB461" s="498" t="str">
        <f t="shared" si="178"/>
        <v/>
      </c>
      <c r="BC461" s="743" t="str">
        <f t="shared" si="179"/>
        <v/>
      </c>
      <c r="BD461" s="743" t="str">
        <f t="shared" si="180"/>
        <v/>
      </c>
      <c r="BE461" s="743" t="str">
        <f>IF(D461="","",VLOOKUP(D461,'General Basis'!$J$39:$K$46,2,0))</f>
        <v/>
      </c>
      <c r="BF461" s="744" t="str">
        <f>IF(D461="","",VLOOKUP(D461,'General Basis'!$J$39:$L$46,3,0))</f>
        <v/>
      </c>
      <c r="BG461" s="744" t="str">
        <f t="shared" si="187"/>
        <v/>
      </c>
      <c r="BH461" s="744" t="str">
        <f>IF(G461="","",IF(BF461="Abu Dhabi",IF(G461&lt;18,'General Basis'!$C$39,IF(G461&lt;41,'General Basis'!$C$40,IF(G461&lt;60,'General Basis'!$C$41,IF(G461&lt;65,'General Basis'!$C$42,'General Basis'!$C$43)))),IF(G461&lt;11,'General Basis'!$B$39,IF(G461&lt;18,'General Basis'!$B$40,IF(G461&lt;26,'General Basis'!$B$41,IF(G461&lt;31,'General Basis'!$B$42,IF(G461&lt;36,'General Basis'!$B$43,IF(G461&lt;41,'General Basis'!$B$44,IF(G461&lt;46,'General Basis'!$B$45,IF(G461&lt;51,'General Basis'!$B$46,IF(G461&lt;56,'General Basis'!$B$47,IF(G461&lt;60,'General Basis'!$B$48,IF(G461&lt;65,'General Basis'!$B$49,'General Basis'!$B$50)))))))))))))</f>
        <v/>
      </c>
      <c r="BI461" s="744" t="str">
        <f t="shared" si="181"/>
        <v/>
      </c>
      <c r="BJ461" s="747" t="str">
        <f t="shared" si="188"/>
        <v/>
      </c>
      <c r="BK461" s="498" t="str">
        <f t="shared" si="182"/>
        <v/>
      </c>
      <c r="BL461" s="498" t="str">
        <f t="shared" si="183"/>
        <v/>
      </c>
    </row>
    <row r="462" spans="1:64" x14ac:dyDescent="0.25">
      <c r="A462" s="762">
        <f t="shared" si="184"/>
        <v>457</v>
      </c>
      <c r="B462" s="229"/>
      <c r="C462" s="223"/>
      <c r="D462" s="224"/>
      <c r="E462" s="225"/>
      <c r="F462" s="1036" t="str">
        <f t="shared" si="168"/>
        <v/>
      </c>
      <c r="G462" s="1037" t="str">
        <f t="shared" si="185"/>
        <v/>
      </c>
      <c r="H462" s="225"/>
      <c r="I462" s="1013"/>
      <c r="J462" s="1013"/>
      <c r="K462" s="1028"/>
      <c r="L462" s="1035" t="str">
        <f t="shared" si="189"/>
        <v/>
      </c>
      <c r="S462" s="498"/>
      <c r="AJ462" s="498"/>
      <c r="AM462" s="498">
        <f t="shared" si="170"/>
        <v>0</v>
      </c>
      <c r="AN462" s="498">
        <f t="shared" si="171"/>
        <v>0</v>
      </c>
      <c r="AO462" s="498">
        <f t="shared" si="172"/>
        <v>0</v>
      </c>
      <c r="AP462" s="498">
        <f t="shared" si="169"/>
        <v>0</v>
      </c>
      <c r="AQ462" s="498">
        <f t="shared" si="186"/>
        <v>0</v>
      </c>
      <c r="AU462" s="498">
        <f t="shared" si="173"/>
        <v>0</v>
      </c>
      <c r="AV462" s="498">
        <f t="shared" si="174"/>
        <v>0</v>
      </c>
      <c r="AW462" s="498">
        <f t="shared" si="175"/>
        <v>0</v>
      </c>
      <c r="AX462" s="498">
        <f t="shared" si="176"/>
        <v>0</v>
      </c>
      <c r="AY462" s="498">
        <f t="shared" si="177"/>
        <v>0</v>
      </c>
      <c r="BB462" s="498" t="str">
        <f t="shared" si="178"/>
        <v/>
      </c>
      <c r="BC462" s="743" t="str">
        <f t="shared" si="179"/>
        <v/>
      </c>
      <c r="BD462" s="743" t="str">
        <f t="shared" si="180"/>
        <v/>
      </c>
      <c r="BE462" s="743" t="str">
        <f>IF(D462="","",VLOOKUP(D462,'General Basis'!$J$39:$K$46,2,0))</f>
        <v/>
      </c>
      <c r="BF462" s="744" t="str">
        <f>IF(D462="","",VLOOKUP(D462,'General Basis'!$J$39:$L$46,3,0))</f>
        <v/>
      </c>
      <c r="BG462" s="744" t="str">
        <f t="shared" si="187"/>
        <v/>
      </c>
      <c r="BH462" s="744" t="str">
        <f>IF(G462="","",IF(BF462="Abu Dhabi",IF(G462&lt;18,'General Basis'!$C$39,IF(G462&lt;41,'General Basis'!$C$40,IF(G462&lt;60,'General Basis'!$C$41,IF(G462&lt;65,'General Basis'!$C$42,'General Basis'!$C$43)))),IF(G462&lt;11,'General Basis'!$B$39,IF(G462&lt;18,'General Basis'!$B$40,IF(G462&lt;26,'General Basis'!$B$41,IF(G462&lt;31,'General Basis'!$B$42,IF(G462&lt;36,'General Basis'!$B$43,IF(G462&lt;41,'General Basis'!$B$44,IF(G462&lt;46,'General Basis'!$B$45,IF(G462&lt;51,'General Basis'!$B$46,IF(G462&lt;56,'General Basis'!$B$47,IF(G462&lt;60,'General Basis'!$B$48,IF(G462&lt;65,'General Basis'!$B$49,'General Basis'!$B$50)))))))))))))</f>
        <v/>
      </c>
      <c r="BI462" s="744" t="str">
        <f t="shared" si="181"/>
        <v/>
      </c>
      <c r="BJ462" s="747" t="str">
        <f t="shared" si="188"/>
        <v/>
      </c>
      <c r="BK462" s="498" t="str">
        <f t="shared" si="182"/>
        <v/>
      </c>
      <c r="BL462" s="498" t="str">
        <f t="shared" si="183"/>
        <v/>
      </c>
    </row>
    <row r="463" spans="1:64" x14ac:dyDescent="0.25">
      <c r="A463" s="762">
        <f t="shared" si="184"/>
        <v>458</v>
      </c>
      <c r="B463" s="229"/>
      <c r="C463" s="223"/>
      <c r="D463" s="224"/>
      <c r="E463" s="225"/>
      <c r="F463" s="1036" t="str">
        <f t="shared" si="168"/>
        <v/>
      </c>
      <c r="G463" s="1037" t="str">
        <f t="shared" si="185"/>
        <v/>
      </c>
      <c r="H463" s="225"/>
      <c r="I463" s="1013"/>
      <c r="J463" s="1013"/>
      <c r="K463" s="1028"/>
      <c r="L463" s="1035" t="str">
        <f t="shared" si="189"/>
        <v/>
      </c>
      <c r="S463" s="498"/>
      <c r="AJ463" s="498"/>
      <c r="AM463" s="498">
        <f t="shared" si="170"/>
        <v>0</v>
      </c>
      <c r="AN463" s="498">
        <f t="shared" si="171"/>
        <v>0</v>
      </c>
      <c r="AO463" s="498">
        <f t="shared" si="172"/>
        <v>0</v>
      </c>
      <c r="AP463" s="498">
        <f t="shared" si="169"/>
        <v>0</v>
      </c>
      <c r="AQ463" s="498">
        <f t="shared" si="186"/>
        <v>0</v>
      </c>
      <c r="AU463" s="498">
        <f t="shared" si="173"/>
        <v>0</v>
      </c>
      <c r="AV463" s="498">
        <f t="shared" si="174"/>
        <v>0</v>
      </c>
      <c r="AW463" s="498">
        <f t="shared" si="175"/>
        <v>0</v>
      </c>
      <c r="AX463" s="498">
        <f t="shared" si="176"/>
        <v>0</v>
      </c>
      <c r="AY463" s="498">
        <f t="shared" si="177"/>
        <v>0</v>
      </c>
      <c r="BB463" s="498" t="str">
        <f t="shared" si="178"/>
        <v/>
      </c>
      <c r="BC463" s="743" t="str">
        <f t="shared" si="179"/>
        <v/>
      </c>
      <c r="BD463" s="743" t="str">
        <f t="shared" si="180"/>
        <v/>
      </c>
      <c r="BE463" s="743" t="str">
        <f>IF(D463="","",VLOOKUP(D463,'General Basis'!$J$39:$K$46,2,0))</f>
        <v/>
      </c>
      <c r="BF463" s="744" t="str">
        <f>IF(D463="","",VLOOKUP(D463,'General Basis'!$J$39:$L$46,3,0))</f>
        <v/>
      </c>
      <c r="BG463" s="744" t="str">
        <f t="shared" si="187"/>
        <v/>
      </c>
      <c r="BH463" s="744" t="str">
        <f>IF(G463="","",IF(BF463="Abu Dhabi",IF(G463&lt;18,'General Basis'!$C$39,IF(G463&lt;41,'General Basis'!$C$40,IF(G463&lt;60,'General Basis'!$C$41,IF(G463&lt;65,'General Basis'!$C$42,'General Basis'!$C$43)))),IF(G463&lt;11,'General Basis'!$B$39,IF(G463&lt;18,'General Basis'!$B$40,IF(G463&lt;26,'General Basis'!$B$41,IF(G463&lt;31,'General Basis'!$B$42,IF(G463&lt;36,'General Basis'!$B$43,IF(G463&lt;41,'General Basis'!$B$44,IF(G463&lt;46,'General Basis'!$B$45,IF(G463&lt;51,'General Basis'!$B$46,IF(G463&lt;56,'General Basis'!$B$47,IF(G463&lt;60,'General Basis'!$B$48,IF(G463&lt;65,'General Basis'!$B$49,'General Basis'!$B$50)))))))))))))</f>
        <v/>
      </c>
      <c r="BI463" s="744" t="str">
        <f t="shared" si="181"/>
        <v/>
      </c>
      <c r="BJ463" s="747" t="str">
        <f t="shared" si="188"/>
        <v/>
      </c>
      <c r="BK463" s="498" t="str">
        <f t="shared" si="182"/>
        <v/>
      </c>
      <c r="BL463" s="498" t="str">
        <f t="shared" si="183"/>
        <v/>
      </c>
    </row>
    <row r="464" spans="1:64" x14ac:dyDescent="0.25">
      <c r="A464" s="762">
        <f t="shared" si="184"/>
        <v>459</v>
      </c>
      <c r="B464" s="229"/>
      <c r="C464" s="223"/>
      <c r="D464" s="224"/>
      <c r="E464" s="225"/>
      <c r="F464" s="1036" t="str">
        <f t="shared" ref="F464:F527" si="190">IF(C464="","",IF($B464="","",((YEAR($F$3)-YEAR($B464))+(MONTH($F$3)-MONTH($B464))/12+(DAY($F$3)-DAY($B464))/(DATE(YEAR($F$3),12,31)-DATE(YEAR($F$3),1,1)+1))))</f>
        <v/>
      </c>
      <c r="G464" s="1037" t="str">
        <f t="shared" si="185"/>
        <v/>
      </c>
      <c r="H464" s="225"/>
      <c r="I464" s="1013"/>
      <c r="J464" s="1013"/>
      <c r="K464" s="1028"/>
      <c r="L464" s="1035" t="str">
        <f t="shared" si="189"/>
        <v/>
      </c>
      <c r="S464" s="498"/>
      <c r="AJ464" s="498"/>
      <c r="AM464" s="498">
        <f t="shared" si="170"/>
        <v>0</v>
      </c>
      <c r="AN464" s="498">
        <f t="shared" si="171"/>
        <v>0</v>
      </c>
      <c r="AO464" s="498">
        <f t="shared" si="172"/>
        <v>0</v>
      </c>
      <c r="AP464" s="498">
        <f t="shared" si="169"/>
        <v>0</v>
      </c>
      <c r="AQ464" s="498">
        <f t="shared" si="186"/>
        <v>0</v>
      </c>
      <c r="AU464" s="498">
        <f t="shared" si="173"/>
        <v>0</v>
      </c>
      <c r="AV464" s="498">
        <f t="shared" si="174"/>
        <v>0</v>
      </c>
      <c r="AW464" s="498">
        <f t="shared" si="175"/>
        <v>0</v>
      </c>
      <c r="AX464" s="498">
        <f t="shared" si="176"/>
        <v>0</v>
      </c>
      <c r="AY464" s="498">
        <f t="shared" si="177"/>
        <v>0</v>
      </c>
      <c r="BB464" s="498" t="str">
        <f t="shared" si="178"/>
        <v/>
      </c>
      <c r="BC464" s="743" t="str">
        <f t="shared" si="179"/>
        <v/>
      </c>
      <c r="BD464" s="743" t="str">
        <f t="shared" si="180"/>
        <v/>
      </c>
      <c r="BE464" s="743" t="str">
        <f>IF(D464="","",VLOOKUP(D464,'General Basis'!$J$39:$K$46,2,0))</f>
        <v/>
      </c>
      <c r="BF464" s="744" t="str">
        <f>IF(D464="","",VLOOKUP(D464,'General Basis'!$J$39:$L$46,3,0))</f>
        <v/>
      </c>
      <c r="BG464" s="744" t="str">
        <f t="shared" si="187"/>
        <v/>
      </c>
      <c r="BH464" s="744" t="str">
        <f>IF(G464="","",IF(BF464="Abu Dhabi",IF(G464&lt;18,'General Basis'!$C$39,IF(G464&lt;41,'General Basis'!$C$40,IF(G464&lt;60,'General Basis'!$C$41,IF(G464&lt;65,'General Basis'!$C$42,'General Basis'!$C$43)))),IF(G464&lt;11,'General Basis'!$B$39,IF(G464&lt;18,'General Basis'!$B$40,IF(G464&lt;26,'General Basis'!$B$41,IF(G464&lt;31,'General Basis'!$B$42,IF(G464&lt;36,'General Basis'!$B$43,IF(G464&lt;41,'General Basis'!$B$44,IF(G464&lt;46,'General Basis'!$B$45,IF(G464&lt;51,'General Basis'!$B$46,IF(G464&lt;56,'General Basis'!$B$47,IF(G464&lt;60,'General Basis'!$B$48,IF(G464&lt;65,'General Basis'!$B$49,'General Basis'!$B$50)))))))))))))</f>
        <v/>
      </c>
      <c r="BI464" s="744" t="str">
        <f t="shared" si="181"/>
        <v/>
      </c>
      <c r="BJ464" s="747" t="str">
        <f t="shared" si="188"/>
        <v/>
      </c>
      <c r="BK464" s="498" t="str">
        <f t="shared" si="182"/>
        <v/>
      </c>
      <c r="BL464" s="498" t="str">
        <f t="shared" si="183"/>
        <v/>
      </c>
    </row>
    <row r="465" spans="1:64" x14ac:dyDescent="0.25">
      <c r="A465" s="762">
        <f t="shared" si="184"/>
        <v>460</v>
      </c>
      <c r="B465" s="229"/>
      <c r="C465" s="223"/>
      <c r="D465" s="224"/>
      <c r="E465" s="225"/>
      <c r="F465" s="1036" t="str">
        <f t="shared" si="190"/>
        <v/>
      </c>
      <c r="G465" s="1037" t="str">
        <f t="shared" si="185"/>
        <v/>
      </c>
      <c r="H465" s="225"/>
      <c r="I465" s="1013"/>
      <c r="J465" s="1013"/>
      <c r="K465" s="1028"/>
      <c r="L465" s="1035" t="str">
        <f t="shared" si="189"/>
        <v/>
      </c>
      <c r="S465" s="498"/>
      <c r="AJ465" s="498"/>
      <c r="AM465" s="498">
        <f t="shared" si="170"/>
        <v>0</v>
      </c>
      <c r="AN465" s="498">
        <f t="shared" si="171"/>
        <v>0</v>
      </c>
      <c r="AO465" s="498">
        <f t="shared" si="172"/>
        <v>0</v>
      </c>
      <c r="AP465" s="498">
        <f t="shared" si="169"/>
        <v>0</v>
      </c>
      <c r="AQ465" s="498">
        <f t="shared" si="186"/>
        <v>0</v>
      </c>
      <c r="AU465" s="498">
        <f t="shared" si="173"/>
        <v>0</v>
      </c>
      <c r="AV465" s="498">
        <f t="shared" si="174"/>
        <v>0</v>
      </c>
      <c r="AW465" s="498">
        <f t="shared" si="175"/>
        <v>0</v>
      </c>
      <c r="AX465" s="498">
        <f t="shared" si="176"/>
        <v>0</v>
      </c>
      <c r="AY465" s="498">
        <f t="shared" si="177"/>
        <v>0</v>
      </c>
      <c r="BB465" s="498" t="str">
        <f t="shared" si="178"/>
        <v/>
      </c>
      <c r="BC465" s="743" t="str">
        <f t="shared" si="179"/>
        <v/>
      </c>
      <c r="BD465" s="743" t="str">
        <f t="shared" si="180"/>
        <v/>
      </c>
      <c r="BE465" s="743" t="str">
        <f>IF(D465="","",VLOOKUP(D465,'General Basis'!$J$39:$K$46,2,0))</f>
        <v/>
      </c>
      <c r="BF465" s="744" t="str">
        <f>IF(D465="","",VLOOKUP(D465,'General Basis'!$J$39:$L$46,3,0))</f>
        <v/>
      </c>
      <c r="BG465" s="744" t="str">
        <f t="shared" si="187"/>
        <v/>
      </c>
      <c r="BH465" s="744" t="str">
        <f>IF(G465="","",IF(BF465="Abu Dhabi",IF(G465&lt;18,'General Basis'!$C$39,IF(G465&lt;41,'General Basis'!$C$40,IF(G465&lt;60,'General Basis'!$C$41,IF(G465&lt;65,'General Basis'!$C$42,'General Basis'!$C$43)))),IF(G465&lt;11,'General Basis'!$B$39,IF(G465&lt;18,'General Basis'!$B$40,IF(G465&lt;26,'General Basis'!$B$41,IF(G465&lt;31,'General Basis'!$B$42,IF(G465&lt;36,'General Basis'!$B$43,IF(G465&lt;41,'General Basis'!$B$44,IF(G465&lt;46,'General Basis'!$B$45,IF(G465&lt;51,'General Basis'!$B$46,IF(G465&lt;56,'General Basis'!$B$47,IF(G465&lt;60,'General Basis'!$B$48,IF(G465&lt;65,'General Basis'!$B$49,'General Basis'!$B$50)))))))))))))</f>
        <v/>
      </c>
      <c r="BI465" s="744" t="str">
        <f t="shared" si="181"/>
        <v/>
      </c>
      <c r="BJ465" s="747" t="str">
        <f t="shared" si="188"/>
        <v/>
      </c>
      <c r="BK465" s="498" t="str">
        <f t="shared" si="182"/>
        <v/>
      </c>
      <c r="BL465" s="498" t="str">
        <f t="shared" si="183"/>
        <v/>
      </c>
    </row>
    <row r="466" spans="1:64" x14ac:dyDescent="0.25">
      <c r="A466" s="762">
        <f t="shared" si="184"/>
        <v>461</v>
      </c>
      <c r="B466" s="229"/>
      <c r="C466" s="223"/>
      <c r="D466" s="224"/>
      <c r="E466" s="225"/>
      <c r="F466" s="1036" t="str">
        <f t="shared" si="190"/>
        <v/>
      </c>
      <c r="G466" s="1037" t="str">
        <f t="shared" si="185"/>
        <v/>
      </c>
      <c r="H466" s="225"/>
      <c r="I466" s="1013"/>
      <c r="J466" s="1013"/>
      <c r="K466" s="1028"/>
      <c r="L466" s="1035" t="str">
        <f t="shared" si="189"/>
        <v/>
      </c>
      <c r="S466" s="498"/>
      <c r="AJ466" s="498"/>
      <c r="AM466" s="498">
        <f t="shared" si="170"/>
        <v>0</v>
      </c>
      <c r="AN466" s="498">
        <f t="shared" si="171"/>
        <v>0</v>
      </c>
      <c r="AO466" s="498">
        <f t="shared" si="172"/>
        <v>0</v>
      </c>
      <c r="AP466" s="498">
        <f t="shared" si="169"/>
        <v>0</v>
      </c>
      <c r="AQ466" s="498">
        <f t="shared" si="186"/>
        <v>0</v>
      </c>
      <c r="AU466" s="498">
        <f t="shared" si="173"/>
        <v>0</v>
      </c>
      <c r="AV466" s="498">
        <f t="shared" si="174"/>
        <v>0</v>
      </c>
      <c r="AW466" s="498">
        <f t="shared" si="175"/>
        <v>0</v>
      </c>
      <c r="AX466" s="498">
        <f t="shared" si="176"/>
        <v>0</v>
      </c>
      <c r="AY466" s="498">
        <f t="shared" si="177"/>
        <v>0</v>
      </c>
      <c r="BB466" s="498" t="str">
        <f t="shared" si="178"/>
        <v/>
      </c>
      <c r="BC466" s="743" t="str">
        <f t="shared" si="179"/>
        <v/>
      </c>
      <c r="BD466" s="743" t="str">
        <f t="shared" si="180"/>
        <v/>
      </c>
      <c r="BE466" s="743" t="str">
        <f>IF(D466="","",VLOOKUP(D466,'General Basis'!$J$39:$K$46,2,0))</f>
        <v/>
      </c>
      <c r="BF466" s="744" t="str">
        <f>IF(D466="","",VLOOKUP(D466,'General Basis'!$J$39:$L$46,3,0))</f>
        <v/>
      </c>
      <c r="BG466" s="744" t="str">
        <f t="shared" si="187"/>
        <v/>
      </c>
      <c r="BH466" s="744" t="str">
        <f>IF(G466="","",IF(BF466="Abu Dhabi",IF(G466&lt;18,'General Basis'!$C$39,IF(G466&lt;41,'General Basis'!$C$40,IF(G466&lt;60,'General Basis'!$C$41,IF(G466&lt;65,'General Basis'!$C$42,'General Basis'!$C$43)))),IF(G466&lt;11,'General Basis'!$B$39,IF(G466&lt;18,'General Basis'!$B$40,IF(G466&lt;26,'General Basis'!$B$41,IF(G466&lt;31,'General Basis'!$B$42,IF(G466&lt;36,'General Basis'!$B$43,IF(G466&lt;41,'General Basis'!$B$44,IF(G466&lt;46,'General Basis'!$B$45,IF(G466&lt;51,'General Basis'!$B$46,IF(G466&lt;56,'General Basis'!$B$47,IF(G466&lt;60,'General Basis'!$B$48,IF(G466&lt;65,'General Basis'!$B$49,'General Basis'!$B$50)))))))))))))</f>
        <v/>
      </c>
      <c r="BI466" s="744" t="str">
        <f t="shared" si="181"/>
        <v/>
      </c>
      <c r="BJ466" s="747" t="str">
        <f t="shared" si="188"/>
        <v/>
      </c>
      <c r="BK466" s="498" t="str">
        <f t="shared" si="182"/>
        <v/>
      </c>
      <c r="BL466" s="498" t="str">
        <f t="shared" si="183"/>
        <v/>
      </c>
    </row>
    <row r="467" spans="1:64" x14ac:dyDescent="0.25">
      <c r="A467" s="762">
        <f t="shared" si="184"/>
        <v>462</v>
      </c>
      <c r="B467" s="229"/>
      <c r="C467" s="223"/>
      <c r="D467" s="224"/>
      <c r="E467" s="225"/>
      <c r="F467" s="1036" t="str">
        <f t="shared" si="190"/>
        <v/>
      </c>
      <c r="G467" s="1037" t="str">
        <f t="shared" si="185"/>
        <v/>
      </c>
      <c r="H467" s="225"/>
      <c r="I467" s="1013"/>
      <c r="J467" s="1013"/>
      <c r="K467" s="1028"/>
      <c r="L467" s="1035" t="str">
        <f t="shared" si="189"/>
        <v/>
      </c>
      <c r="S467" s="498"/>
      <c r="AJ467" s="498"/>
      <c r="AM467" s="498">
        <f t="shared" si="170"/>
        <v>0</v>
      </c>
      <c r="AN467" s="498">
        <f t="shared" si="171"/>
        <v>0</v>
      </c>
      <c r="AO467" s="498">
        <f t="shared" si="172"/>
        <v>0</v>
      </c>
      <c r="AP467" s="498">
        <f t="shared" ref="AP467:AP530" si="191">IF(ISBLANK($B467),0,IF(OR($C467="M",$C467="F"),0,1))</f>
        <v>0</v>
      </c>
      <c r="AQ467" s="498">
        <f t="shared" si="186"/>
        <v>0</v>
      </c>
      <c r="AU467" s="498">
        <f t="shared" si="173"/>
        <v>0</v>
      </c>
      <c r="AV467" s="498">
        <f t="shared" si="174"/>
        <v>0</v>
      </c>
      <c r="AW467" s="498">
        <f t="shared" si="175"/>
        <v>0</v>
      </c>
      <c r="AX467" s="498">
        <f t="shared" si="176"/>
        <v>0</v>
      </c>
      <c r="AY467" s="498">
        <f t="shared" si="177"/>
        <v>0</v>
      </c>
      <c r="BB467" s="498" t="str">
        <f t="shared" si="178"/>
        <v/>
      </c>
      <c r="BC467" s="743" t="str">
        <f t="shared" si="179"/>
        <v/>
      </c>
      <c r="BD467" s="743" t="str">
        <f t="shared" si="180"/>
        <v/>
      </c>
      <c r="BE467" s="743" t="str">
        <f>IF(D467="","",VLOOKUP(D467,'General Basis'!$J$39:$K$46,2,0))</f>
        <v/>
      </c>
      <c r="BF467" s="744" t="str">
        <f>IF(D467="","",VLOOKUP(D467,'General Basis'!$J$39:$L$46,3,0))</f>
        <v/>
      </c>
      <c r="BG467" s="744" t="str">
        <f t="shared" si="187"/>
        <v/>
      </c>
      <c r="BH467" s="744" t="str">
        <f>IF(G467="","",IF(BF467="Abu Dhabi",IF(G467&lt;18,'General Basis'!$C$39,IF(G467&lt;41,'General Basis'!$C$40,IF(G467&lt;60,'General Basis'!$C$41,IF(G467&lt;65,'General Basis'!$C$42,'General Basis'!$C$43)))),IF(G467&lt;11,'General Basis'!$B$39,IF(G467&lt;18,'General Basis'!$B$40,IF(G467&lt;26,'General Basis'!$B$41,IF(G467&lt;31,'General Basis'!$B$42,IF(G467&lt;36,'General Basis'!$B$43,IF(G467&lt;41,'General Basis'!$B$44,IF(G467&lt;46,'General Basis'!$B$45,IF(G467&lt;51,'General Basis'!$B$46,IF(G467&lt;56,'General Basis'!$B$47,IF(G467&lt;60,'General Basis'!$B$48,IF(G467&lt;65,'General Basis'!$B$49,'General Basis'!$B$50)))))))))))))</f>
        <v/>
      </c>
      <c r="BI467" s="744" t="str">
        <f t="shared" si="181"/>
        <v/>
      </c>
      <c r="BJ467" s="747" t="str">
        <f t="shared" si="188"/>
        <v/>
      </c>
      <c r="BK467" s="498" t="str">
        <f t="shared" si="182"/>
        <v/>
      </c>
      <c r="BL467" s="498" t="str">
        <f t="shared" si="183"/>
        <v/>
      </c>
    </row>
    <row r="468" spans="1:64" x14ac:dyDescent="0.25">
      <c r="A468" s="762">
        <f t="shared" si="184"/>
        <v>463</v>
      </c>
      <c r="B468" s="229"/>
      <c r="C468" s="223"/>
      <c r="D468" s="224"/>
      <c r="E468" s="225"/>
      <c r="F468" s="1036" t="str">
        <f t="shared" si="190"/>
        <v/>
      </c>
      <c r="G468" s="1037" t="str">
        <f t="shared" si="185"/>
        <v/>
      </c>
      <c r="H468" s="225"/>
      <c r="I468" s="1013"/>
      <c r="J468" s="1013"/>
      <c r="K468" s="1028"/>
      <c r="L468" s="1035" t="str">
        <f t="shared" si="189"/>
        <v/>
      </c>
      <c r="S468" s="498"/>
      <c r="AJ468" s="498"/>
      <c r="AM468" s="498">
        <f t="shared" si="170"/>
        <v>0</v>
      </c>
      <c r="AN468" s="498">
        <f t="shared" si="171"/>
        <v>0</v>
      </c>
      <c r="AO468" s="498">
        <f t="shared" si="172"/>
        <v>0</v>
      </c>
      <c r="AP468" s="498">
        <f t="shared" si="191"/>
        <v>0</v>
      </c>
      <c r="AQ468" s="498">
        <f t="shared" si="186"/>
        <v>0</v>
      </c>
      <c r="AU468" s="498">
        <f t="shared" si="173"/>
        <v>0</v>
      </c>
      <c r="AV468" s="498">
        <f t="shared" si="174"/>
        <v>0</v>
      </c>
      <c r="AW468" s="498">
        <f t="shared" si="175"/>
        <v>0</v>
      </c>
      <c r="AX468" s="498">
        <f t="shared" si="176"/>
        <v>0</v>
      </c>
      <c r="AY468" s="498">
        <f t="shared" si="177"/>
        <v>0</v>
      </c>
      <c r="BB468" s="498" t="str">
        <f t="shared" si="178"/>
        <v/>
      </c>
      <c r="BC468" s="743" t="str">
        <f t="shared" si="179"/>
        <v/>
      </c>
      <c r="BD468" s="743" t="str">
        <f t="shared" si="180"/>
        <v/>
      </c>
      <c r="BE468" s="743" t="str">
        <f>IF(D468="","",VLOOKUP(D468,'General Basis'!$J$39:$K$46,2,0))</f>
        <v/>
      </c>
      <c r="BF468" s="744" t="str">
        <f>IF(D468="","",VLOOKUP(D468,'General Basis'!$J$39:$L$46,3,0))</f>
        <v/>
      </c>
      <c r="BG468" s="744" t="str">
        <f t="shared" si="187"/>
        <v/>
      </c>
      <c r="BH468" s="744" t="str">
        <f>IF(G468="","",IF(BF468="Abu Dhabi",IF(G468&lt;18,'General Basis'!$C$39,IF(G468&lt;41,'General Basis'!$C$40,IF(G468&lt;60,'General Basis'!$C$41,IF(G468&lt;65,'General Basis'!$C$42,'General Basis'!$C$43)))),IF(G468&lt;11,'General Basis'!$B$39,IF(G468&lt;18,'General Basis'!$B$40,IF(G468&lt;26,'General Basis'!$B$41,IF(G468&lt;31,'General Basis'!$B$42,IF(G468&lt;36,'General Basis'!$B$43,IF(G468&lt;41,'General Basis'!$B$44,IF(G468&lt;46,'General Basis'!$B$45,IF(G468&lt;51,'General Basis'!$B$46,IF(G468&lt;56,'General Basis'!$B$47,IF(G468&lt;60,'General Basis'!$B$48,IF(G468&lt;65,'General Basis'!$B$49,'General Basis'!$B$50)))))))))))))</f>
        <v/>
      </c>
      <c r="BI468" s="744" t="str">
        <f t="shared" si="181"/>
        <v/>
      </c>
      <c r="BJ468" s="747" t="str">
        <f t="shared" si="188"/>
        <v/>
      </c>
      <c r="BK468" s="498" t="str">
        <f t="shared" si="182"/>
        <v/>
      </c>
      <c r="BL468" s="498" t="str">
        <f t="shared" si="183"/>
        <v/>
      </c>
    </row>
    <row r="469" spans="1:64" x14ac:dyDescent="0.25">
      <c r="A469" s="762">
        <f t="shared" si="184"/>
        <v>464</v>
      </c>
      <c r="B469" s="229"/>
      <c r="C469" s="223"/>
      <c r="D469" s="224"/>
      <c r="E469" s="225"/>
      <c r="F469" s="1036" t="str">
        <f t="shared" si="190"/>
        <v/>
      </c>
      <c r="G469" s="1037" t="str">
        <f t="shared" si="185"/>
        <v/>
      </c>
      <c r="H469" s="225"/>
      <c r="I469" s="1013"/>
      <c r="J469" s="1013"/>
      <c r="K469" s="1028"/>
      <c r="L469" s="1035" t="str">
        <f t="shared" si="189"/>
        <v/>
      </c>
      <c r="S469" s="498"/>
      <c r="AJ469" s="498"/>
      <c r="AM469" s="498">
        <f t="shared" si="170"/>
        <v>0</v>
      </c>
      <c r="AN469" s="498">
        <f t="shared" si="171"/>
        <v>0</v>
      </c>
      <c r="AO469" s="498">
        <f t="shared" si="172"/>
        <v>0</v>
      </c>
      <c r="AP469" s="498">
        <f t="shared" si="191"/>
        <v>0</v>
      </c>
      <c r="AQ469" s="498">
        <f t="shared" si="186"/>
        <v>0</v>
      </c>
      <c r="AU469" s="498">
        <f t="shared" si="173"/>
        <v>0</v>
      </c>
      <c r="AV469" s="498">
        <f t="shared" si="174"/>
        <v>0</v>
      </c>
      <c r="AW469" s="498">
        <f t="shared" si="175"/>
        <v>0</v>
      </c>
      <c r="AX469" s="498">
        <f t="shared" si="176"/>
        <v>0</v>
      </c>
      <c r="AY469" s="498">
        <f t="shared" si="177"/>
        <v>0</v>
      </c>
      <c r="BB469" s="498" t="str">
        <f t="shared" si="178"/>
        <v/>
      </c>
      <c r="BC469" s="743" t="str">
        <f t="shared" si="179"/>
        <v/>
      </c>
      <c r="BD469" s="743" t="str">
        <f t="shared" si="180"/>
        <v/>
      </c>
      <c r="BE469" s="743" t="str">
        <f>IF(D469="","",VLOOKUP(D469,'General Basis'!$J$39:$K$46,2,0))</f>
        <v/>
      </c>
      <c r="BF469" s="744" t="str">
        <f>IF(D469="","",VLOOKUP(D469,'General Basis'!$J$39:$L$46,3,0))</f>
        <v/>
      </c>
      <c r="BG469" s="744" t="str">
        <f t="shared" si="187"/>
        <v/>
      </c>
      <c r="BH469" s="744" t="str">
        <f>IF(G469="","",IF(BF469="Abu Dhabi",IF(G469&lt;18,'General Basis'!$C$39,IF(G469&lt;41,'General Basis'!$C$40,IF(G469&lt;60,'General Basis'!$C$41,IF(G469&lt;65,'General Basis'!$C$42,'General Basis'!$C$43)))),IF(G469&lt;11,'General Basis'!$B$39,IF(G469&lt;18,'General Basis'!$B$40,IF(G469&lt;26,'General Basis'!$B$41,IF(G469&lt;31,'General Basis'!$B$42,IF(G469&lt;36,'General Basis'!$B$43,IF(G469&lt;41,'General Basis'!$B$44,IF(G469&lt;46,'General Basis'!$B$45,IF(G469&lt;51,'General Basis'!$B$46,IF(G469&lt;56,'General Basis'!$B$47,IF(G469&lt;60,'General Basis'!$B$48,IF(G469&lt;65,'General Basis'!$B$49,'General Basis'!$B$50)))))))))))))</f>
        <v/>
      </c>
      <c r="BI469" s="744" t="str">
        <f t="shared" si="181"/>
        <v/>
      </c>
      <c r="BJ469" s="747" t="str">
        <f t="shared" si="188"/>
        <v/>
      </c>
      <c r="BK469" s="498" t="str">
        <f t="shared" si="182"/>
        <v/>
      </c>
      <c r="BL469" s="498" t="str">
        <f t="shared" si="183"/>
        <v/>
      </c>
    </row>
    <row r="470" spans="1:64" x14ac:dyDescent="0.25">
      <c r="A470" s="762">
        <f t="shared" si="184"/>
        <v>465</v>
      </c>
      <c r="B470" s="229"/>
      <c r="C470" s="223"/>
      <c r="D470" s="224"/>
      <c r="E470" s="225"/>
      <c r="F470" s="1036" t="str">
        <f t="shared" si="190"/>
        <v/>
      </c>
      <c r="G470" s="1037" t="str">
        <f t="shared" si="185"/>
        <v/>
      </c>
      <c r="H470" s="225"/>
      <c r="I470" s="1013"/>
      <c r="J470" s="1013"/>
      <c r="K470" s="1028"/>
      <c r="L470" s="1035" t="str">
        <f t="shared" si="189"/>
        <v/>
      </c>
      <c r="S470" s="498"/>
      <c r="AJ470" s="498"/>
      <c r="AM470" s="498">
        <f t="shared" si="170"/>
        <v>0</v>
      </c>
      <c r="AN470" s="498">
        <f t="shared" si="171"/>
        <v>0</v>
      </c>
      <c r="AO470" s="498">
        <f t="shared" si="172"/>
        <v>0</v>
      </c>
      <c r="AP470" s="498">
        <f t="shared" si="191"/>
        <v>0</v>
      </c>
      <c r="AQ470" s="498">
        <f t="shared" si="186"/>
        <v>0</v>
      </c>
      <c r="AU470" s="498">
        <f t="shared" si="173"/>
        <v>0</v>
      </c>
      <c r="AV470" s="498">
        <f t="shared" si="174"/>
        <v>0</v>
      </c>
      <c r="AW470" s="498">
        <f t="shared" si="175"/>
        <v>0</v>
      </c>
      <c r="AX470" s="498">
        <f t="shared" si="176"/>
        <v>0</v>
      </c>
      <c r="AY470" s="498">
        <f t="shared" si="177"/>
        <v>0</v>
      </c>
      <c r="BB470" s="498" t="str">
        <f t="shared" si="178"/>
        <v/>
      </c>
      <c r="BC470" s="743" t="str">
        <f t="shared" si="179"/>
        <v/>
      </c>
      <c r="BD470" s="743" t="str">
        <f t="shared" si="180"/>
        <v/>
      </c>
      <c r="BE470" s="743" t="str">
        <f>IF(D470="","",VLOOKUP(D470,'General Basis'!$J$39:$K$46,2,0))</f>
        <v/>
      </c>
      <c r="BF470" s="744" t="str">
        <f>IF(D470="","",VLOOKUP(D470,'General Basis'!$J$39:$L$46,3,0))</f>
        <v/>
      </c>
      <c r="BG470" s="744" t="str">
        <f t="shared" si="187"/>
        <v/>
      </c>
      <c r="BH470" s="744" t="str">
        <f>IF(G470="","",IF(BF470="Abu Dhabi",IF(G470&lt;18,'General Basis'!$C$39,IF(G470&lt;41,'General Basis'!$C$40,IF(G470&lt;60,'General Basis'!$C$41,IF(G470&lt;65,'General Basis'!$C$42,'General Basis'!$C$43)))),IF(G470&lt;11,'General Basis'!$B$39,IF(G470&lt;18,'General Basis'!$B$40,IF(G470&lt;26,'General Basis'!$B$41,IF(G470&lt;31,'General Basis'!$B$42,IF(G470&lt;36,'General Basis'!$B$43,IF(G470&lt;41,'General Basis'!$B$44,IF(G470&lt;46,'General Basis'!$B$45,IF(G470&lt;51,'General Basis'!$B$46,IF(G470&lt;56,'General Basis'!$B$47,IF(G470&lt;60,'General Basis'!$B$48,IF(G470&lt;65,'General Basis'!$B$49,'General Basis'!$B$50)))))))))))))</f>
        <v/>
      </c>
      <c r="BI470" s="744" t="str">
        <f t="shared" si="181"/>
        <v/>
      </c>
      <c r="BJ470" s="747" t="str">
        <f t="shared" si="188"/>
        <v/>
      </c>
      <c r="BK470" s="498" t="str">
        <f t="shared" si="182"/>
        <v/>
      </c>
      <c r="BL470" s="498" t="str">
        <f t="shared" si="183"/>
        <v/>
      </c>
    </row>
    <row r="471" spans="1:64" x14ac:dyDescent="0.25">
      <c r="A471" s="762">
        <f t="shared" si="184"/>
        <v>466</v>
      </c>
      <c r="B471" s="229"/>
      <c r="C471" s="223"/>
      <c r="D471" s="224"/>
      <c r="E471" s="225"/>
      <c r="F471" s="1036" t="str">
        <f t="shared" si="190"/>
        <v/>
      </c>
      <c r="G471" s="1037" t="str">
        <f t="shared" si="185"/>
        <v/>
      </c>
      <c r="H471" s="225"/>
      <c r="I471" s="1013"/>
      <c r="J471" s="1013"/>
      <c r="K471" s="1028"/>
      <c r="L471" s="1035" t="str">
        <f t="shared" si="189"/>
        <v/>
      </c>
      <c r="S471" s="498"/>
      <c r="AJ471" s="498"/>
      <c r="AM471" s="498">
        <f t="shared" si="170"/>
        <v>0</v>
      </c>
      <c r="AN471" s="498">
        <f t="shared" si="171"/>
        <v>0</v>
      </c>
      <c r="AO471" s="498">
        <f t="shared" si="172"/>
        <v>0</v>
      </c>
      <c r="AP471" s="498">
        <f t="shared" si="191"/>
        <v>0</v>
      </c>
      <c r="AQ471" s="498">
        <f t="shared" si="186"/>
        <v>0</v>
      </c>
      <c r="AU471" s="498">
        <f t="shared" si="173"/>
        <v>0</v>
      </c>
      <c r="AV471" s="498">
        <f t="shared" si="174"/>
        <v>0</v>
      </c>
      <c r="AW471" s="498">
        <f t="shared" si="175"/>
        <v>0</v>
      </c>
      <c r="AX471" s="498">
        <f t="shared" si="176"/>
        <v>0</v>
      </c>
      <c r="AY471" s="498">
        <f t="shared" si="177"/>
        <v>0</v>
      </c>
      <c r="BB471" s="498" t="str">
        <f t="shared" si="178"/>
        <v/>
      </c>
      <c r="BC471" s="743" t="str">
        <f t="shared" si="179"/>
        <v/>
      </c>
      <c r="BD471" s="743" t="str">
        <f t="shared" si="180"/>
        <v/>
      </c>
      <c r="BE471" s="743" t="str">
        <f>IF(D471="","",VLOOKUP(D471,'General Basis'!$J$39:$K$46,2,0))</f>
        <v/>
      </c>
      <c r="BF471" s="744" t="str">
        <f>IF(D471="","",VLOOKUP(D471,'General Basis'!$J$39:$L$46,3,0))</f>
        <v/>
      </c>
      <c r="BG471" s="744" t="str">
        <f t="shared" si="187"/>
        <v/>
      </c>
      <c r="BH471" s="744" t="str">
        <f>IF(G471="","",IF(BF471="Abu Dhabi",IF(G471&lt;18,'General Basis'!$C$39,IF(G471&lt;41,'General Basis'!$C$40,IF(G471&lt;60,'General Basis'!$C$41,IF(G471&lt;65,'General Basis'!$C$42,'General Basis'!$C$43)))),IF(G471&lt;11,'General Basis'!$B$39,IF(G471&lt;18,'General Basis'!$B$40,IF(G471&lt;26,'General Basis'!$B$41,IF(G471&lt;31,'General Basis'!$B$42,IF(G471&lt;36,'General Basis'!$B$43,IF(G471&lt;41,'General Basis'!$B$44,IF(G471&lt;46,'General Basis'!$B$45,IF(G471&lt;51,'General Basis'!$B$46,IF(G471&lt;56,'General Basis'!$B$47,IF(G471&lt;60,'General Basis'!$B$48,IF(G471&lt;65,'General Basis'!$B$49,'General Basis'!$B$50)))))))))))))</f>
        <v/>
      </c>
      <c r="BI471" s="744" t="str">
        <f t="shared" si="181"/>
        <v/>
      </c>
      <c r="BJ471" s="747" t="str">
        <f t="shared" si="188"/>
        <v/>
      </c>
      <c r="BK471" s="498" t="str">
        <f t="shared" si="182"/>
        <v/>
      </c>
      <c r="BL471" s="498" t="str">
        <f t="shared" si="183"/>
        <v/>
      </c>
    </row>
    <row r="472" spans="1:64" x14ac:dyDescent="0.25">
      <c r="A472" s="762">
        <f t="shared" si="184"/>
        <v>467</v>
      </c>
      <c r="B472" s="229"/>
      <c r="C472" s="223"/>
      <c r="D472" s="224"/>
      <c r="E472" s="225"/>
      <c r="F472" s="1036" t="str">
        <f t="shared" si="190"/>
        <v/>
      </c>
      <c r="G472" s="1037" t="str">
        <f t="shared" si="185"/>
        <v/>
      </c>
      <c r="H472" s="225"/>
      <c r="I472" s="1013"/>
      <c r="J472" s="1013"/>
      <c r="K472" s="1028"/>
      <c r="L472" s="1035" t="str">
        <f t="shared" si="189"/>
        <v/>
      </c>
      <c r="S472" s="498"/>
      <c r="AJ472" s="498"/>
      <c r="AM472" s="498">
        <f t="shared" si="170"/>
        <v>0</v>
      </c>
      <c r="AN472" s="498">
        <f t="shared" si="171"/>
        <v>0</v>
      </c>
      <c r="AO472" s="498">
        <f t="shared" si="172"/>
        <v>0</v>
      </c>
      <c r="AP472" s="498">
        <f t="shared" si="191"/>
        <v>0</v>
      </c>
      <c r="AQ472" s="498">
        <f t="shared" si="186"/>
        <v>0</v>
      </c>
      <c r="AU472" s="498">
        <f t="shared" si="173"/>
        <v>0</v>
      </c>
      <c r="AV472" s="498">
        <f t="shared" si="174"/>
        <v>0</v>
      </c>
      <c r="AW472" s="498">
        <f t="shared" si="175"/>
        <v>0</v>
      </c>
      <c r="AX472" s="498">
        <f t="shared" si="176"/>
        <v>0</v>
      </c>
      <c r="AY472" s="498">
        <f t="shared" si="177"/>
        <v>0</v>
      </c>
      <c r="BB472" s="498" t="str">
        <f t="shared" si="178"/>
        <v/>
      </c>
      <c r="BC472" s="743" t="str">
        <f t="shared" si="179"/>
        <v/>
      </c>
      <c r="BD472" s="743" t="str">
        <f t="shared" si="180"/>
        <v/>
      </c>
      <c r="BE472" s="743" t="str">
        <f>IF(D472="","",VLOOKUP(D472,'General Basis'!$J$39:$K$46,2,0))</f>
        <v/>
      </c>
      <c r="BF472" s="744" t="str">
        <f>IF(D472="","",VLOOKUP(D472,'General Basis'!$J$39:$L$46,3,0))</f>
        <v/>
      </c>
      <c r="BG472" s="744" t="str">
        <f t="shared" si="187"/>
        <v/>
      </c>
      <c r="BH472" s="744" t="str">
        <f>IF(G472="","",IF(BF472="Abu Dhabi",IF(G472&lt;18,'General Basis'!$C$39,IF(G472&lt;41,'General Basis'!$C$40,IF(G472&lt;60,'General Basis'!$C$41,IF(G472&lt;65,'General Basis'!$C$42,'General Basis'!$C$43)))),IF(G472&lt;11,'General Basis'!$B$39,IF(G472&lt;18,'General Basis'!$B$40,IF(G472&lt;26,'General Basis'!$B$41,IF(G472&lt;31,'General Basis'!$B$42,IF(G472&lt;36,'General Basis'!$B$43,IF(G472&lt;41,'General Basis'!$B$44,IF(G472&lt;46,'General Basis'!$B$45,IF(G472&lt;51,'General Basis'!$B$46,IF(G472&lt;56,'General Basis'!$B$47,IF(G472&lt;60,'General Basis'!$B$48,IF(G472&lt;65,'General Basis'!$B$49,'General Basis'!$B$50)))))))))))))</f>
        <v/>
      </c>
      <c r="BI472" s="744" t="str">
        <f t="shared" si="181"/>
        <v/>
      </c>
      <c r="BJ472" s="747" t="str">
        <f t="shared" si="188"/>
        <v/>
      </c>
      <c r="BK472" s="498" t="str">
        <f t="shared" si="182"/>
        <v/>
      </c>
      <c r="BL472" s="498" t="str">
        <f t="shared" si="183"/>
        <v/>
      </c>
    </row>
    <row r="473" spans="1:64" x14ac:dyDescent="0.25">
      <c r="A473" s="762">
        <f t="shared" si="184"/>
        <v>468</v>
      </c>
      <c r="B473" s="229"/>
      <c r="C473" s="223"/>
      <c r="D473" s="224"/>
      <c r="E473" s="225"/>
      <c r="F473" s="1036" t="str">
        <f t="shared" si="190"/>
        <v/>
      </c>
      <c r="G473" s="1037" t="str">
        <f t="shared" si="185"/>
        <v/>
      </c>
      <c r="H473" s="225"/>
      <c r="I473" s="1013"/>
      <c r="J473" s="1013"/>
      <c r="K473" s="1028"/>
      <c r="L473" s="1035" t="str">
        <f t="shared" si="189"/>
        <v/>
      </c>
      <c r="S473" s="498"/>
      <c r="AJ473" s="498"/>
      <c r="AM473" s="498">
        <f t="shared" si="170"/>
        <v>0</v>
      </c>
      <c r="AN473" s="498">
        <f t="shared" si="171"/>
        <v>0</v>
      </c>
      <c r="AO473" s="498">
        <f t="shared" si="172"/>
        <v>0</v>
      </c>
      <c r="AP473" s="498">
        <f t="shared" si="191"/>
        <v>0</v>
      </c>
      <c r="AQ473" s="498">
        <f t="shared" si="186"/>
        <v>0</v>
      </c>
      <c r="AU473" s="498">
        <f t="shared" si="173"/>
        <v>0</v>
      </c>
      <c r="AV473" s="498">
        <f t="shared" si="174"/>
        <v>0</v>
      </c>
      <c r="AW473" s="498">
        <f t="shared" si="175"/>
        <v>0</v>
      </c>
      <c r="AX473" s="498">
        <f t="shared" si="176"/>
        <v>0</v>
      </c>
      <c r="AY473" s="498">
        <f t="shared" si="177"/>
        <v>0</v>
      </c>
      <c r="BB473" s="498" t="str">
        <f t="shared" si="178"/>
        <v/>
      </c>
      <c r="BC473" s="743" t="str">
        <f t="shared" si="179"/>
        <v/>
      </c>
      <c r="BD473" s="743" t="str">
        <f t="shared" si="180"/>
        <v/>
      </c>
      <c r="BE473" s="743" t="str">
        <f>IF(D473="","",VLOOKUP(D473,'General Basis'!$J$39:$K$46,2,0))</f>
        <v/>
      </c>
      <c r="BF473" s="744" t="str">
        <f>IF(D473="","",VLOOKUP(D473,'General Basis'!$J$39:$L$46,3,0))</f>
        <v/>
      </c>
      <c r="BG473" s="744" t="str">
        <f t="shared" si="187"/>
        <v/>
      </c>
      <c r="BH473" s="744" t="str">
        <f>IF(G473="","",IF(BF473="Abu Dhabi",IF(G473&lt;18,'General Basis'!$C$39,IF(G473&lt;41,'General Basis'!$C$40,IF(G473&lt;60,'General Basis'!$C$41,IF(G473&lt;65,'General Basis'!$C$42,'General Basis'!$C$43)))),IF(G473&lt;11,'General Basis'!$B$39,IF(G473&lt;18,'General Basis'!$B$40,IF(G473&lt;26,'General Basis'!$B$41,IF(G473&lt;31,'General Basis'!$B$42,IF(G473&lt;36,'General Basis'!$B$43,IF(G473&lt;41,'General Basis'!$B$44,IF(G473&lt;46,'General Basis'!$B$45,IF(G473&lt;51,'General Basis'!$B$46,IF(G473&lt;56,'General Basis'!$B$47,IF(G473&lt;60,'General Basis'!$B$48,IF(G473&lt;65,'General Basis'!$B$49,'General Basis'!$B$50)))))))))))))</f>
        <v/>
      </c>
      <c r="BI473" s="744" t="str">
        <f t="shared" si="181"/>
        <v/>
      </c>
      <c r="BJ473" s="747" t="str">
        <f t="shared" si="188"/>
        <v/>
      </c>
      <c r="BK473" s="498" t="str">
        <f t="shared" si="182"/>
        <v/>
      </c>
      <c r="BL473" s="498" t="str">
        <f t="shared" si="183"/>
        <v/>
      </c>
    </row>
    <row r="474" spans="1:64" x14ac:dyDescent="0.25">
      <c r="A474" s="762">
        <f t="shared" si="184"/>
        <v>469</v>
      </c>
      <c r="B474" s="229"/>
      <c r="C474" s="223"/>
      <c r="D474" s="224"/>
      <c r="E474" s="225"/>
      <c r="F474" s="1036" t="str">
        <f t="shared" si="190"/>
        <v/>
      </c>
      <c r="G474" s="1037" t="str">
        <f t="shared" si="185"/>
        <v/>
      </c>
      <c r="H474" s="225"/>
      <c r="I474" s="1013"/>
      <c r="J474" s="1013"/>
      <c r="K474" s="1028"/>
      <c r="L474" s="1035" t="str">
        <f t="shared" si="189"/>
        <v/>
      </c>
      <c r="S474" s="498"/>
      <c r="AJ474" s="498"/>
      <c r="AM474" s="498">
        <f t="shared" si="170"/>
        <v>0</v>
      </c>
      <c r="AN474" s="498">
        <f t="shared" si="171"/>
        <v>0</v>
      </c>
      <c r="AO474" s="498">
        <f t="shared" si="172"/>
        <v>0</v>
      </c>
      <c r="AP474" s="498">
        <f t="shared" si="191"/>
        <v>0</v>
      </c>
      <c r="AQ474" s="498">
        <f t="shared" si="186"/>
        <v>0</v>
      </c>
      <c r="AU474" s="498">
        <f t="shared" si="173"/>
        <v>0</v>
      </c>
      <c r="AV474" s="498">
        <f t="shared" si="174"/>
        <v>0</v>
      </c>
      <c r="AW474" s="498">
        <f t="shared" si="175"/>
        <v>0</v>
      </c>
      <c r="AX474" s="498">
        <f t="shared" si="176"/>
        <v>0</v>
      </c>
      <c r="AY474" s="498">
        <f t="shared" si="177"/>
        <v>0</v>
      </c>
      <c r="BB474" s="498" t="str">
        <f t="shared" si="178"/>
        <v/>
      </c>
      <c r="BC474" s="743" t="str">
        <f t="shared" si="179"/>
        <v/>
      </c>
      <c r="BD474" s="743" t="str">
        <f t="shared" si="180"/>
        <v/>
      </c>
      <c r="BE474" s="743" t="str">
        <f>IF(D474="","",VLOOKUP(D474,'General Basis'!$J$39:$K$46,2,0))</f>
        <v/>
      </c>
      <c r="BF474" s="744" t="str">
        <f>IF(D474="","",VLOOKUP(D474,'General Basis'!$J$39:$L$46,3,0))</f>
        <v/>
      </c>
      <c r="BG474" s="744" t="str">
        <f t="shared" si="187"/>
        <v/>
      </c>
      <c r="BH474" s="744" t="str">
        <f>IF(G474="","",IF(BF474="Abu Dhabi",IF(G474&lt;18,'General Basis'!$C$39,IF(G474&lt;41,'General Basis'!$C$40,IF(G474&lt;60,'General Basis'!$C$41,IF(G474&lt;65,'General Basis'!$C$42,'General Basis'!$C$43)))),IF(G474&lt;11,'General Basis'!$B$39,IF(G474&lt;18,'General Basis'!$B$40,IF(G474&lt;26,'General Basis'!$B$41,IF(G474&lt;31,'General Basis'!$B$42,IF(G474&lt;36,'General Basis'!$B$43,IF(G474&lt;41,'General Basis'!$B$44,IF(G474&lt;46,'General Basis'!$B$45,IF(G474&lt;51,'General Basis'!$B$46,IF(G474&lt;56,'General Basis'!$B$47,IF(G474&lt;60,'General Basis'!$B$48,IF(G474&lt;65,'General Basis'!$B$49,'General Basis'!$B$50)))))))))))))</f>
        <v/>
      </c>
      <c r="BI474" s="744" t="str">
        <f t="shared" si="181"/>
        <v/>
      </c>
      <c r="BJ474" s="747" t="str">
        <f t="shared" si="188"/>
        <v/>
      </c>
      <c r="BK474" s="498" t="str">
        <f t="shared" si="182"/>
        <v/>
      </c>
      <c r="BL474" s="498" t="str">
        <f t="shared" si="183"/>
        <v/>
      </c>
    </row>
    <row r="475" spans="1:64" x14ac:dyDescent="0.25">
      <c r="A475" s="762">
        <f t="shared" si="184"/>
        <v>470</v>
      </c>
      <c r="B475" s="229"/>
      <c r="C475" s="223"/>
      <c r="D475" s="224"/>
      <c r="E475" s="225"/>
      <c r="F475" s="1036" t="str">
        <f t="shared" si="190"/>
        <v/>
      </c>
      <c r="G475" s="1037" t="str">
        <f t="shared" si="185"/>
        <v/>
      </c>
      <c r="H475" s="225"/>
      <c r="I475" s="1013"/>
      <c r="J475" s="1013"/>
      <c r="K475" s="1028"/>
      <c r="L475" s="1035" t="str">
        <f t="shared" si="189"/>
        <v/>
      </c>
      <c r="S475" s="498"/>
      <c r="AJ475" s="498"/>
      <c r="AM475" s="498">
        <f t="shared" si="170"/>
        <v>0</v>
      </c>
      <c r="AN475" s="498">
        <f t="shared" si="171"/>
        <v>0</v>
      </c>
      <c r="AO475" s="498">
        <f t="shared" si="172"/>
        <v>0</v>
      </c>
      <c r="AP475" s="498">
        <f t="shared" si="191"/>
        <v>0</v>
      </c>
      <c r="AQ475" s="498">
        <f t="shared" si="186"/>
        <v>0</v>
      </c>
      <c r="AU475" s="498">
        <f t="shared" si="173"/>
        <v>0</v>
      </c>
      <c r="AV475" s="498">
        <f t="shared" si="174"/>
        <v>0</v>
      </c>
      <c r="AW475" s="498">
        <f t="shared" si="175"/>
        <v>0</v>
      </c>
      <c r="AX475" s="498">
        <f t="shared" si="176"/>
        <v>0</v>
      </c>
      <c r="AY475" s="498">
        <f t="shared" si="177"/>
        <v>0</v>
      </c>
      <c r="BB475" s="498" t="str">
        <f t="shared" si="178"/>
        <v/>
      </c>
      <c r="BC475" s="743" t="str">
        <f t="shared" si="179"/>
        <v/>
      </c>
      <c r="BD475" s="743" t="str">
        <f t="shared" si="180"/>
        <v/>
      </c>
      <c r="BE475" s="743" t="str">
        <f>IF(D475="","",VLOOKUP(D475,'General Basis'!$J$39:$K$46,2,0))</f>
        <v/>
      </c>
      <c r="BF475" s="744" t="str">
        <f>IF(D475="","",VLOOKUP(D475,'General Basis'!$J$39:$L$46,3,0))</f>
        <v/>
      </c>
      <c r="BG475" s="744" t="str">
        <f t="shared" si="187"/>
        <v/>
      </c>
      <c r="BH475" s="744" t="str">
        <f>IF(G475="","",IF(BF475="Abu Dhabi",IF(G475&lt;18,'General Basis'!$C$39,IF(G475&lt;41,'General Basis'!$C$40,IF(G475&lt;60,'General Basis'!$C$41,IF(G475&lt;65,'General Basis'!$C$42,'General Basis'!$C$43)))),IF(G475&lt;11,'General Basis'!$B$39,IF(G475&lt;18,'General Basis'!$B$40,IF(G475&lt;26,'General Basis'!$B$41,IF(G475&lt;31,'General Basis'!$B$42,IF(G475&lt;36,'General Basis'!$B$43,IF(G475&lt;41,'General Basis'!$B$44,IF(G475&lt;46,'General Basis'!$B$45,IF(G475&lt;51,'General Basis'!$B$46,IF(G475&lt;56,'General Basis'!$B$47,IF(G475&lt;60,'General Basis'!$B$48,IF(G475&lt;65,'General Basis'!$B$49,'General Basis'!$B$50)))))))))))))</f>
        <v/>
      </c>
      <c r="BI475" s="744" t="str">
        <f t="shared" si="181"/>
        <v/>
      </c>
      <c r="BJ475" s="747" t="str">
        <f t="shared" si="188"/>
        <v/>
      </c>
      <c r="BK475" s="498" t="str">
        <f t="shared" si="182"/>
        <v/>
      </c>
      <c r="BL475" s="498" t="str">
        <f t="shared" si="183"/>
        <v/>
      </c>
    </row>
    <row r="476" spans="1:64" x14ac:dyDescent="0.25">
      <c r="A476" s="762">
        <f t="shared" si="184"/>
        <v>471</v>
      </c>
      <c r="B476" s="229"/>
      <c r="C476" s="223"/>
      <c r="D476" s="224"/>
      <c r="E476" s="225"/>
      <c r="F476" s="1036" t="str">
        <f t="shared" si="190"/>
        <v/>
      </c>
      <c r="G476" s="1037" t="str">
        <f t="shared" si="185"/>
        <v/>
      </c>
      <c r="H476" s="225"/>
      <c r="I476" s="1013"/>
      <c r="J476" s="1013"/>
      <c r="K476" s="1028"/>
      <c r="L476" s="1035" t="str">
        <f t="shared" si="189"/>
        <v/>
      </c>
      <c r="S476" s="498"/>
      <c r="AJ476" s="498"/>
      <c r="AM476" s="498">
        <f t="shared" si="170"/>
        <v>0</v>
      </c>
      <c r="AN476" s="498">
        <f t="shared" si="171"/>
        <v>0</v>
      </c>
      <c r="AO476" s="498">
        <f t="shared" si="172"/>
        <v>0</v>
      </c>
      <c r="AP476" s="498">
        <f t="shared" si="191"/>
        <v>0</v>
      </c>
      <c r="AQ476" s="498">
        <f t="shared" si="186"/>
        <v>0</v>
      </c>
      <c r="AU476" s="498">
        <f t="shared" si="173"/>
        <v>0</v>
      </c>
      <c r="AV476" s="498">
        <f t="shared" si="174"/>
        <v>0</v>
      </c>
      <c r="AW476" s="498">
        <f t="shared" si="175"/>
        <v>0</v>
      </c>
      <c r="AX476" s="498">
        <f t="shared" si="176"/>
        <v>0</v>
      </c>
      <c r="AY476" s="498">
        <f t="shared" si="177"/>
        <v>0</v>
      </c>
      <c r="BB476" s="498" t="str">
        <f t="shared" si="178"/>
        <v/>
      </c>
      <c r="BC476" s="743" t="str">
        <f t="shared" si="179"/>
        <v/>
      </c>
      <c r="BD476" s="743" t="str">
        <f t="shared" si="180"/>
        <v/>
      </c>
      <c r="BE476" s="743" t="str">
        <f>IF(D476="","",VLOOKUP(D476,'General Basis'!$J$39:$K$46,2,0))</f>
        <v/>
      </c>
      <c r="BF476" s="744" t="str">
        <f>IF(D476="","",VLOOKUP(D476,'General Basis'!$J$39:$L$46,3,0))</f>
        <v/>
      </c>
      <c r="BG476" s="744" t="str">
        <f t="shared" si="187"/>
        <v/>
      </c>
      <c r="BH476" s="744" t="str">
        <f>IF(G476="","",IF(BF476="Abu Dhabi",IF(G476&lt;18,'General Basis'!$C$39,IF(G476&lt;41,'General Basis'!$C$40,IF(G476&lt;60,'General Basis'!$C$41,IF(G476&lt;65,'General Basis'!$C$42,'General Basis'!$C$43)))),IF(G476&lt;11,'General Basis'!$B$39,IF(G476&lt;18,'General Basis'!$B$40,IF(G476&lt;26,'General Basis'!$B$41,IF(G476&lt;31,'General Basis'!$B$42,IF(G476&lt;36,'General Basis'!$B$43,IF(G476&lt;41,'General Basis'!$B$44,IF(G476&lt;46,'General Basis'!$B$45,IF(G476&lt;51,'General Basis'!$B$46,IF(G476&lt;56,'General Basis'!$B$47,IF(G476&lt;60,'General Basis'!$B$48,IF(G476&lt;65,'General Basis'!$B$49,'General Basis'!$B$50)))))))))))))</f>
        <v/>
      </c>
      <c r="BI476" s="744" t="str">
        <f t="shared" si="181"/>
        <v/>
      </c>
      <c r="BJ476" s="747" t="str">
        <f t="shared" si="188"/>
        <v/>
      </c>
      <c r="BK476" s="498" t="str">
        <f t="shared" si="182"/>
        <v/>
      </c>
      <c r="BL476" s="498" t="str">
        <f t="shared" si="183"/>
        <v/>
      </c>
    </row>
    <row r="477" spans="1:64" x14ac:dyDescent="0.25">
      <c r="A477" s="762">
        <f t="shared" si="184"/>
        <v>472</v>
      </c>
      <c r="B477" s="229"/>
      <c r="C477" s="223"/>
      <c r="D477" s="224"/>
      <c r="E477" s="225"/>
      <c r="F477" s="1036" t="str">
        <f t="shared" si="190"/>
        <v/>
      </c>
      <c r="G477" s="1037" t="str">
        <f t="shared" si="185"/>
        <v/>
      </c>
      <c r="H477" s="225"/>
      <c r="I477" s="1013"/>
      <c r="J477" s="1013"/>
      <c r="K477" s="1028"/>
      <c r="L477" s="1035" t="str">
        <f t="shared" si="189"/>
        <v/>
      </c>
      <c r="S477" s="498"/>
      <c r="AJ477" s="498"/>
      <c r="AM477" s="498">
        <f t="shared" si="170"/>
        <v>0</v>
      </c>
      <c r="AN477" s="498">
        <f t="shared" si="171"/>
        <v>0</v>
      </c>
      <c r="AO477" s="498">
        <f t="shared" si="172"/>
        <v>0</v>
      </c>
      <c r="AP477" s="498">
        <f t="shared" si="191"/>
        <v>0</v>
      </c>
      <c r="AQ477" s="498">
        <f t="shared" si="186"/>
        <v>0</v>
      </c>
      <c r="AU477" s="498">
        <f t="shared" si="173"/>
        <v>0</v>
      </c>
      <c r="AV477" s="498">
        <f t="shared" si="174"/>
        <v>0</v>
      </c>
      <c r="AW477" s="498">
        <f t="shared" si="175"/>
        <v>0</v>
      </c>
      <c r="AX477" s="498">
        <f t="shared" si="176"/>
        <v>0</v>
      </c>
      <c r="AY477" s="498">
        <f t="shared" si="177"/>
        <v>0</v>
      </c>
      <c r="BB477" s="498" t="str">
        <f t="shared" si="178"/>
        <v/>
      </c>
      <c r="BC477" s="743" t="str">
        <f t="shared" si="179"/>
        <v/>
      </c>
      <c r="BD477" s="743" t="str">
        <f t="shared" si="180"/>
        <v/>
      </c>
      <c r="BE477" s="743" t="str">
        <f>IF(D477="","",VLOOKUP(D477,'General Basis'!$J$39:$K$46,2,0))</f>
        <v/>
      </c>
      <c r="BF477" s="744" t="str">
        <f>IF(D477="","",VLOOKUP(D477,'General Basis'!$J$39:$L$46,3,0))</f>
        <v/>
      </c>
      <c r="BG477" s="744" t="str">
        <f t="shared" si="187"/>
        <v/>
      </c>
      <c r="BH477" s="744" t="str">
        <f>IF(G477="","",IF(BF477="Abu Dhabi",IF(G477&lt;18,'General Basis'!$C$39,IF(G477&lt;41,'General Basis'!$C$40,IF(G477&lt;60,'General Basis'!$C$41,IF(G477&lt;65,'General Basis'!$C$42,'General Basis'!$C$43)))),IF(G477&lt;11,'General Basis'!$B$39,IF(G477&lt;18,'General Basis'!$B$40,IF(G477&lt;26,'General Basis'!$B$41,IF(G477&lt;31,'General Basis'!$B$42,IF(G477&lt;36,'General Basis'!$B$43,IF(G477&lt;41,'General Basis'!$B$44,IF(G477&lt;46,'General Basis'!$B$45,IF(G477&lt;51,'General Basis'!$B$46,IF(G477&lt;56,'General Basis'!$B$47,IF(G477&lt;60,'General Basis'!$B$48,IF(G477&lt;65,'General Basis'!$B$49,'General Basis'!$B$50)))))))))))))</f>
        <v/>
      </c>
      <c r="BI477" s="744" t="str">
        <f t="shared" si="181"/>
        <v/>
      </c>
      <c r="BJ477" s="747" t="str">
        <f t="shared" si="188"/>
        <v/>
      </c>
      <c r="BK477" s="498" t="str">
        <f t="shared" si="182"/>
        <v/>
      </c>
      <c r="BL477" s="498" t="str">
        <f t="shared" si="183"/>
        <v/>
      </c>
    </row>
    <row r="478" spans="1:64" x14ac:dyDescent="0.25">
      <c r="A478" s="762">
        <f t="shared" si="184"/>
        <v>473</v>
      </c>
      <c r="B478" s="229"/>
      <c r="C478" s="223"/>
      <c r="D478" s="224"/>
      <c r="E478" s="225"/>
      <c r="F478" s="1036" t="str">
        <f t="shared" si="190"/>
        <v/>
      </c>
      <c r="G478" s="1037" t="str">
        <f t="shared" si="185"/>
        <v/>
      </c>
      <c r="H478" s="225"/>
      <c r="I478" s="1013"/>
      <c r="J478" s="1013"/>
      <c r="K478" s="1028"/>
      <c r="L478" s="1035" t="str">
        <f t="shared" si="189"/>
        <v/>
      </c>
      <c r="S478" s="498"/>
      <c r="AJ478" s="498"/>
      <c r="AM478" s="498">
        <f t="shared" si="170"/>
        <v>0</v>
      </c>
      <c r="AN478" s="498">
        <f t="shared" si="171"/>
        <v>0</v>
      </c>
      <c r="AO478" s="498">
        <f t="shared" si="172"/>
        <v>0</v>
      </c>
      <c r="AP478" s="498">
        <f t="shared" si="191"/>
        <v>0</v>
      </c>
      <c r="AQ478" s="498">
        <f t="shared" si="186"/>
        <v>0</v>
      </c>
      <c r="AU478" s="498">
        <f t="shared" si="173"/>
        <v>0</v>
      </c>
      <c r="AV478" s="498">
        <f t="shared" si="174"/>
        <v>0</v>
      </c>
      <c r="AW478" s="498">
        <f t="shared" si="175"/>
        <v>0</v>
      </c>
      <c r="AX478" s="498">
        <f t="shared" si="176"/>
        <v>0</v>
      </c>
      <c r="AY478" s="498">
        <f t="shared" si="177"/>
        <v>0</v>
      </c>
      <c r="BB478" s="498" t="str">
        <f t="shared" si="178"/>
        <v/>
      </c>
      <c r="BC478" s="743" t="str">
        <f t="shared" si="179"/>
        <v/>
      </c>
      <c r="BD478" s="743" t="str">
        <f t="shared" si="180"/>
        <v/>
      </c>
      <c r="BE478" s="743" t="str">
        <f>IF(D478="","",VLOOKUP(D478,'General Basis'!$J$39:$K$46,2,0))</f>
        <v/>
      </c>
      <c r="BF478" s="744" t="str">
        <f>IF(D478="","",VLOOKUP(D478,'General Basis'!$J$39:$L$46,3,0))</f>
        <v/>
      </c>
      <c r="BG478" s="744" t="str">
        <f t="shared" si="187"/>
        <v/>
      </c>
      <c r="BH478" s="744" t="str">
        <f>IF(G478="","",IF(BF478="Abu Dhabi",IF(G478&lt;18,'General Basis'!$C$39,IF(G478&lt;41,'General Basis'!$C$40,IF(G478&lt;60,'General Basis'!$C$41,IF(G478&lt;65,'General Basis'!$C$42,'General Basis'!$C$43)))),IF(G478&lt;11,'General Basis'!$B$39,IF(G478&lt;18,'General Basis'!$B$40,IF(G478&lt;26,'General Basis'!$B$41,IF(G478&lt;31,'General Basis'!$B$42,IF(G478&lt;36,'General Basis'!$B$43,IF(G478&lt;41,'General Basis'!$B$44,IF(G478&lt;46,'General Basis'!$B$45,IF(G478&lt;51,'General Basis'!$B$46,IF(G478&lt;56,'General Basis'!$B$47,IF(G478&lt;60,'General Basis'!$B$48,IF(G478&lt;65,'General Basis'!$B$49,'General Basis'!$B$50)))))))))))))</f>
        <v/>
      </c>
      <c r="BI478" s="744" t="str">
        <f t="shared" si="181"/>
        <v/>
      </c>
      <c r="BJ478" s="747" t="str">
        <f t="shared" si="188"/>
        <v/>
      </c>
      <c r="BK478" s="498" t="str">
        <f t="shared" si="182"/>
        <v/>
      </c>
      <c r="BL478" s="498" t="str">
        <f t="shared" si="183"/>
        <v/>
      </c>
    </row>
    <row r="479" spans="1:64" x14ac:dyDescent="0.25">
      <c r="A479" s="762">
        <f t="shared" si="184"/>
        <v>474</v>
      </c>
      <c r="B479" s="229"/>
      <c r="C479" s="223"/>
      <c r="D479" s="224"/>
      <c r="E479" s="225"/>
      <c r="F479" s="1036" t="str">
        <f t="shared" si="190"/>
        <v/>
      </c>
      <c r="G479" s="1037" t="str">
        <f t="shared" si="185"/>
        <v/>
      </c>
      <c r="H479" s="225"/>
      <c r="I479" s="1013"/>
      <c r="J479" s="1013"/>
      <c r="K479" s="1028"/>
      <c r="L479" s="1035" t="str">
        <f t="shared" si="189"/>
        <v/>
      </c>
      <c r="S479" s="498"/>
      <c r="AJ479" s="498"/>
      <c r="AM479" s="498">
        <f t="shared" si="170"/>
        <v>0</v>
      </c>
      <c r="AN479" s="498">
        <f t="shared" si="171"/>
        <v>0</v>
      </c>
      <c r="AO479" s="498">
        <f t="shared" si="172"/>
        <v>0</v>
      </c>
      <c r="AP479" s="498">
        <f t="shared" si="191"/>
        <v>0</v>
      </c>
      <c r="AQ479" s="498">
        <f t="shared" si="186"/>
        <v>0</v>
      </c>
      <c r="AU479" s="498">
        <f t="shared" si="173"/>
        <v>0</v>
      </c>
      <c r="AV479" s="498">
        <f t="shared" si="174"/>
        <v>0</v>
      </c>
      <c r="AW479" s="498">
        <f t="shared" si="175"/>
        <v>0</v>
      </c>
      <c r="AX479" s="498">
        <f t="shared" si="176"/>
        <v>0</v>
      </c>
      <c r="AY479" s="498">
        <f t="shared" si="177"/>
        <v>0</v>
      </c>
      <c r="BB479" s="498" t="str">
        <f t="shared" si="178"/>
        <v/>
      </c>
      <c r="BC479" s="743" t="str">
        <f t="shared" si="179"/>
        <v/>
      </c>
      <c r="BD479" s="743" t="str">
        <f t="shared" si="180"/>
        <v/>
      </c>
      <c r="BE479" s="743" t="str">
        <f>IF(D479="","",VLOOKUP(D479,'General Basis'!$J$39:$K$46,2,0))</f>
        <v/>
      </c>
      <c r="BF479" s="744" t="str">
        <f>IF(D479="","",VLOOKUP(D479,'General Basis'!$J$39:$L$46,3,0))</f>
        <v/>
      </c>
      <c r="BG479" s="744" t="str">
        <f t="shared" si="187"/>
        <v/>
      </c>
      <c r="BH479" s="744" t="str">
        <f>IF(G479="","",IF(BF479="Abu Dhabi",IF(G479&lt;18,'General Basis'!$C$39,IF(G479&lt;41,'General Basis'!$C$40,IF(G479&lt;60,'General Basis'!$C$41,IF(G479&lt;65,'General Basis'!$C$42,'General Basis'!$C$43)))),IF(G479&lt;11,'General Basis'!$B$39,IF(G479&lt;18,'General Basis'!$B$40,IF(G479&lt;26,'General Basis'!$B$41,IF(G479&lt;31,'General Basis'!$B$42,IF(G479&lt;36,'General Basis'!$B$43,IF(G479&lt;41,'General Basis'!$B$44,IF(G479&lt;46,'General Basis'!$B$45,IF(G479&lt;51,'General Basis'!$B$46,IF(G479&lt;56,'General Basis'!$B$47,IF(G479&lt;60,'General Basis'!$B$48,IF(G479&lt;65,'General Basis'!$B$49,'General Basis'!$B$50)))))))))))))</f>
        <v/>
      </c>
      <c r="BI479" s="744" t="str">
        <f t="shared" si="181"/>
        <v/>
      </c>
      <c r="BJ479" s="747" t="str">
        <f t="shared" si="188"/>
        <v/>
      </c>
      <c r="BK479" s="498" t="str">
        <f t="shared" si="182"/>
        <v/>
      </c>
      <c r="BL479" s="498" t="str">
        <f t="shared" si="183"/>
        <v/>
      </c>
    </row>
    <row r="480" spans="1:64" x14ac:dyDescent="0.25">
      <c r="A480" s="762">
        <f t="shared" si="184"/>
        <v>475</v>
      </c>
      <c r="B480" s="229"/>
      <c r="C480" s="223"/>
      <c r="D480" s="224"/>
      <c r="E480" s="225"/>
      <c r="F480" s="1036" t="str">
        <f t="shared" si="190"/>
        <v/>
      </c>
      <c r="G480" s="1037" t="str">
        <f t="shared" si="185"/>
        <v/>
      </c>
      <c r="H480" s="225"/>
      <c r="I480" s="1013"/>
      <c r="J480" s="1013"/>
      <c r="K480" s="1028"/>
      <c r="L480" s="1035" t="str">
        <f t="shared" si="189"/>
        <v/>
      </c>
      <c r="S480" s="498"/>
      <c r="AJ480" s="498"/>
      <c r="AM480" s="498">
        <f t="shared" si="170"/>
        <v>0</v>
      </c>
      <c r="AN480" s="498">
        <f t="shared" si="171"/>
        <v>0</v>
      </c>
      <c r="AO480" s="498">
        <f t="shared" si="172"/>
        <v>0</v>
      </c>
      <c r="AP480" s="498">
        <f t="shared" si="191"/>
        <v>0</v>
      </c>
      <c r="AQ480" s="498">
        <f t="shared" si="186"/>
        <v>0</v>
      </c>
      <c r="AU480" s="498">
        <f t="shared" si="173"/>
        <v>0</v>
      </c>
      <c r="AV480" s="498">
        <f t="shared" si="174"/>
        <v>0</v>
      </c>
      <c r="AW480" s="498">
        <f t="shared" si="175"/>
        <v>0</v>
      </c>
      <c r="AX480" s="498">
        <f t="shared" si="176"/>
        <v>0</v>
      </c>
      <c r="AY480" s="498">
        <f t="shared" si="177"/>
        <v>0</v>
      </c>
      <c r="BB480" s="498" t="str">
        <f t="shared" si="178"/>
        <v/>
      </c>
      <c r="BC480" s="743" t="str">
        <f t="shared" si="179"/>
        <v/>
      </c>
      <c r="BD480" s="743" t="str">
        <f t="shared" si="180"/>
        <v/>
      </c>
      <c r="BE480" s="743" t="str">
        <f>IF(D480="","",VLOOKUP(D480,'General Basis'!$J$39:$K$46,2,0))</f>
        <v/>
      </c>
      <c r="BF480" s="744" t="str">
        <f>IF(D480="","",VLOOKUP(D480,'General Basis'!$J$39:$L$46,3,0))</f>
        <v/>
      </c>
      <c r="BG480" s="744" t="str">
        <f t="shared" si="187"/>
        <v/>
      </c>
      <c r="BH480" s="744" t="str">
        <f>IF(G480="","",IF(BF480="Abu Dhabi",IF(G480&lt;18,'General Basis'!$C$39,IF(G480&lt;41,'General Basis'!$C$40,IF(G480&lt;60,'General Basis'!$C$41,IF(G480&lt;65,'General Basis'!$C$42,'General Basis'!$C$43)))),IF(G480&lt;11,'General Basis'!$B$39,IF(G480&lt;18,'General Basis'!$B$40,IF(G480&lt;26,'General Basis'!$B$41,IF(G480&lt;31,'General Basis'!$B$42,IF(G480&lt;36,'General Basis'!$B$43,IF(G480&lt;41,'General Basis'!$B$44,IF(G480&lt;46,'General Basis'!$B$45,IF(G480&lt;51,'General Basis'!$B$46,IF(G480&lt;56,'General Basis'!$B$47,IF(G480&lt;60,'General Basis'!$B$48,IF(G480&lt;65,'General Basis'!$B$49,'General Basis'!$B$50)))))))))))))</f>
        <v/>
      </c>
      <c r="BI480" s="744" t="str">
        <f t="shared" si="181"/>
        <v/>
      </c>
      <c r="BJ480" s="747" t="str">
        <f t="shared" si="188"/>
        <v/>
      </c>
      <c r="BK480" s="498" t="str">
        <f t="shared" si="182"/>
        <v/>
      </c>
      <c r="BL480" s="498" t="str">
        <f t="shared" si="183"/>
        <v/>
      </c>
    </row>
    <row r="481" spans="1:64" x14ac:dyDescent="0.25">
      <c r="A481" s="762">
        <f t="shared" si="184"/>
        <v>476</v>
      </c>
      <c r="B481" s="229"/>
      <c r="C481" s="223"/>
      <c r="D481" s="224"/>
      <c r="E481" s="225"/>
      <c r="F481" s="1036" t="str">
        <f t="shared" si="190"/>
        <v/>
      </c>
      <c r="G481" s="1037" t="str">
        <f t="shared" si="185"/>
        <v/>
      </c>
      <c r="H481" s="225"/>
      <c r="I481" s="1013"/>
      <c r="J481" s="1013"/>
      <c r="K481" s="1028"/>
      <c r="L481" s="1035" t="str">
        <f t="shared" si="189"/>
        <v/>
      </c>
      <c r="S481" s="498"/>
      <c r="AJ481" s="498"/>
      <c r="AM481" s="498">
        <f t="shared" si="170"/>
        <v>0</v>
      </c>
      <c r="AN481" s="498">
        <f t="shared" si="171"/>
        <v>0</v>
      </c>
      <c r="AO481" s="498">
        <f t="shared" si="172"/>
        <v>0</v>
      </c>
      <c r="AP481" s="498">
        <f t="shared" si="191"/>
        <v>0</v>
      </c>
      <c r="AQ481" s="498">
        <f t="shared" si="186"/>
        <v>0</v>
      </c>
      <c r="AU481" s="498">
        <f t="shared" si="173"/>
        <v>0</v>
      </c>
      <c r="AV481" s="498">
        <f t="shared" si="174"/>
        <v>0</v>
      </c>
      <c r="AW481" s="498">
        <f t="shared" si="175"/>
        <v>0</v>
      </c>
      <c r="AX481" s="498">
        <f t="shared" si="176"/>
        <v>0</v>
      </c>
      <c r="AY481" s="498">
        <f t="shared" si="177"/>
        <v>0</v>
      </c>
      <c r="BB481" s="498" t="str">
        <f t="shared" si="178"/>
        <v/>
      </c>
      <c r="BC481" s="743" t="str">
        <f t="shared" si="179"/>
        <v/>
      </c>
      <c r="BD481" s="743" t="str">
        <f t="shared" si="180"/>
        <v/>
      </c>
      <c r="BE481" s="743" t="str">
        <f>IF(D481="","",VLOOKUP(D481,'General Basis'!$J$39:$K$46,2,0))</f>
        <v/>
      </c>
      <c r="BF481" s="744" t="str">
        <f>IF(D481="","",VLOOKUP(D481,'General Basis'!$J$39:$L$46,3,0))</f>
        <v/>
      </c>
      <c r="BG481" s="744" t="str">
        <f t="shared" si="187"/>
        <v/>
      </c>
      <c r="BH481" s="744" t="str">
        <f>IF(G481="","",IF(BF481="Abu Dhabi",IF(G481&lt;18,'General Basis'!$C$39,IF(G481&lt;41,'General Basis'!$C$40,IF(G481&lt;60,'General Basis'!$C$41,IF(G481&lt;65,'General Basis'!$C$42,'General Basis'!$C$43)))),IF(G481&lt;11,'General Basis'!$B$39,IF(G481&lt;18,'General Basis'!$B$40,IF(G481&lt;26,'General Basis'!$B$41,IF(G481&lt;31,'General Basis'!$B$42,IF(G481&lt;36,'General Basis'!$B$43,IF(G481&lt;41,'General Basis'!$B$44,IF(G481&lt;46,'General Basis'!$B$45,IF(G481&lt;51,'General Basis'!$B$46,IF(G481&lt;56,'General Basis'!$B$47,IF(G481&lt;60,'General Basis'!$B$48,IF(G481&lt;65,'General Basis'!$B$49,'General Basis'!$B$50)))))))))))))</f>
        <v/>
      </c>
      <c r="BI481" s="744" t="str">
        <f t="shared" si="181"/>
        <v/>
      </c>
      <c r="BJ481" s="747" t="str">
        <f t="shared" si="188"/>
        <v/>
      </c>
      <c r="BK481" s="498" t="str">
        <f t="shared" si="182"/>
        <v/>
      </c>
      <c r="BL481" s="498" t="str">
        <f t="shared" si="183"/>
        <v/>
      </c>
    </row>
    <row r="482" spans="1:64" x14ac:dyDescent="0.25">
      <c r="A482" s="762">
        <f t="shared" si="184"/>
        <v>477</v>
      </c>
      <c r="B482" s="229"/>
      <c r="C482" s="223"/>
      <c r="D482" s="224"/>
      <c r="E482" s="225"/>
      <c r="F482" s="1036" t="str">
        <f t="shared" si="190"/>
        <v/>
      </c>
      <c r="G482" s="1037" t="str">
        <f t="shared" si="185"/>
        <v/>
      </c>
      <c r="H482" s="225"/>
      <c r="I482" s="1013"/>
      <c r="J482" s="1013"/>
      <c r="K482" s="1028"/>
      <c r="L482" s="1035" t="str">
        <f t="shared" si="189"/>
        <v/>
      </c>
      <c r="S482" s="498"/>
      <c r="AJ482" s="498"/>
      <c r="AM482" s="498">
        <f t="shared" si="170"/>
        <v>0</v>
      </c>
      <c r="AN482" s="498">
        <f t="shared" si="171"/>
        <v>0</v>
      </c>
      <c r="AO482" s="498">
        <f t="shared" si="172"/>
        <v>0</v>
      </c>
      <c r="AP482" s="498">
        <f t="shared" si="191"/>
        <v>0</v>
      </c>
      <c r="AQ482" s="498">
        <f t="shared" si="186"/>
        <v>0</v>
      </c>
      <c r="AU482" s="498">
        <f t="shared" si="173"/>
        <v>0</v>
      </c>
      <c r="AV482" s="498">
        <f t="shared" si="174"/>
        <v>0</v>
      </c>
      <c r="AW482" s="498">
        <f t="shared" si="175"/>
        <v>0</v>
      </c>
      <c r="AX482" s="498">
        <f t="shared" si="176"/>
        <v>0</v>
      </c>
      <c r="AY482" s="498">
        <f t="shared" si="177"/>
        <v>0</v>
      </c>
      <c r="BB482" s="498" t="str">
        <f t="shared" si="178"/>
        <v/>
      </c>
      <c r="BC482" s="743" t="str">
        <f t="shared" si="179"/>
        <v/>
      </c>
      <c r="BD482" s="743" t="str">
        <f t="shared" si="180"/>
        <v/>
      </c>
      <c r="BE482" s="743" t="str">
        <f>IF(D482="","",VLOOKUP(D482,'General Basis'!$J$39:$K$46,2,0))</f>
        <v/>
      </c>
      <c r="BF482" s="744" t="str">
        <f>IF(D482="","",VLOOKUP(D482,'General Basis'!$J$39:$L$46,3,0))</f>
        <v/>
      </c>
      <c r="BG482" s="744" t="str">
        <f t="shared" si="187"/>
        <v/>
      </c>
      <c r="BH482" s="744" t="str">
        <f>IF(G482="","",IF(BF482="Abu Dhabi",IF(G482&lt;18,'General Basis'!$C$39,IF(G482&lt;41,'General Basis'!$C$40,IF(G482&lt;60,'General Basis'!$C$41,IF(G482&lt;65,'General Basis'!$C$42,'General Basis'!$C$43)))),IF(G482&lt;11,'General Basis'!$B$39,IF(G482&lt;18,'General Basis'!$B$40,IF(G482&lt;26,'General Basis'!$B$41,IF(G482&lt;31,'General Basis'!$B$42,IF(G482&lt;36,'General Basis'!$B$43,IF(G482&lt;41,'General Basis'!$B$44,IF(G482&lt;46,'General Basis'!$B$45,IF(G482&lt;51,'General Basis'!$B$46,IF(G482&lt;56,'General Basis'!$B$47,IF(G482&lt;60,'General Basis'!$B$48,IF(G482&lt;65,'General Basis'!$B$49,'General Basis'!$B$50)))))))))))))</f>
        <v/>
      </c>
      <c r="BI482" s="744" t="str">
        <f t="shared" si="181"/>
        <v/>
      </c>
      <c r="BJ482" s="747" t="str">
        <f t="shared" si="188"/>
        <v/>
      </c>
      <c r="BK482" s="498" t="str">
        <f t="shared" si="182"/>
        <v/>
      </c>
      <c r="BL482" s="498" t="str">
        <f t="shared" si="183"/>
        <v/>
      </c>
    </row>
    <row r="483" spans="1:64" x14ac:dyDescent="0.25">
      <c r="A483" s="762">
        <f t="shared" si="184"/>
        <v>478</v>
      </c>
      <c r="B483" s="229"/>
      <c r="C483" s="223"/>
      <c r="D483" s="224"/>
      <c r="E483" s="225"/>
      <c r="F483" s="1036" t="str">
        <f t="shared" si="190"/>
        <v/>
      </c>
      <c r="G483" s="1037" t="str">
        <f t="shared" si="185"/>
        <v/>
      </c>
      <c r="H483" s="225"/>
      <c r="I483" s="1013"/>
      <c r="J483" s="1013"/>
      <c r="K483" s="1028"/>
      <c r="L483" s="1035" t="str">
        <f t="shared" si="189"/>
        <v/>
      </c>
      <c r="S483" s="498"/>
      <c r="AJ483" s="498"/>
      <c r="AM483" s="498">
        <f t="shared" si="170"/>
        <v>0</v>
      </c>
      <c r="AN483" s="498">
        <f t="shared" si="171"/>
        <v>0</v>
      </c>
      <c r="AO483" s="498">
        <f t="shared" si="172"/>
        <v>0</v>
      </c>
      <c r="AP483" s="498">
        <f t="shared" si="191"/>
        <v>0</v>
      </c>
      <c r="AQ483" s="498">
        <f t="shared" si="186"/>
        <v>0</v>
      </c>
      <c r="AU483" s="498">
        <f t="shared" si="173"/>
        <v>0</v>
      </c>
      <c r="AV483" s="498">
        <f t="shared" si="174"/>
        <v>0</v>
      </c>
      <c r="AW483" s="498">
        <f t="shared" si="175"/>
        <v>0</v>
      </c>
      <c r="AX483" s="498">
        <f t="shared" si="176"/>
        <v>0</v>
      </c>
      <c r="AY483" s="498">
        <f t="shared" si="177"/>
        <v>0</v>
      </c>
      <c r="BB483" s="498" t="str">
        <f t="shared" si="178"/>
        <v/>
      </c>
      <c r="BC483" s="743" t="str">
        <f t="shared" si="179"/>
        <v/>
      </c>
      <c r="BD483" s="743" t="str">
        <f t="shared" si="180"/>
        <v/>
      </c>
      <c r="BE483" s="743" t="str">
        <f>IF(D483="","",VLOOKUP(D483,'General Basis'!$J$39:$K$46,2,0))</f>
        <v/>
      </c>
      <c r="BF483" s="744" t="str">
        <f>IF(D483="","",VLOOKUP(D483,'General Basis'!$J$39:$L$46,3,0))</f>
        <v/>
      </c>
      <c r="BG483" s="744" t="str">
        <f t="shared" si="187"/>
        <v/>
      </c>
      <c r="BH483" s="744" t="str">
        <f>IF(G483="","",IF(BF483="Abu Dhabi",IF(G483&lt;18,'General Basis'!$C$39,IF(G483&lt;41,'General Basis'!$C$40,IF(G483&lt;60,'General Basis'!$C$41,IF(G483&lt;65,'General Basis'!$C$42,'General Basis'!$C$43)))),IF(G483&lt;11,'General Basis'!$B$39,IF(G483&lt;18,'General Basis'!$B$40,IF(G483&lt;26,'General Basis'!$B$41,IF(G483&lt;31,'General Basis'!$B$42,IF(G483&lt;36,'General Basis'!$B$43,IF(G483&lt;41,'General Basis'!$B$44,IF(G483&lt;46,'General Basis'!$B$45,IF(G483&lt;51,'General Basis'!$B$46,IF(G483&lt;56,'General Basis'!$B$47,IF(G483&lt;60,'General Basis'!$B$48,IF(G483&lt;65,'General Basis'!$B$49,'General Basis'!$B$50)))))))))))))</f>
        <v/>
      </c>
      <c r="BI483" s="744" t="str">
        <f t="shared" si="181"/>
        <v/>
      </c>
      <c r="BJ483" s="747" t="str">
        <f t="shared" si="188"/>
        <v/>
      </c>
      <c r="BK483" s="498" t="str">
        <f t="shared" si="182"/>
        <v/>
      </c>
      <c r="BL483" s="498" t="str">
        <f t="shared" si="183"/>
        <v/>
      </c>
    </row>
    <row r="484" spans="1:64" x14ac:dyDescent="0.25">
      <c r="A484" s="762">
        <f t="shared" si="184"/>
        <v>479</v>
      </c>
      <c r="B484" s="229"/>
      <c r="C484" s="223"/>
      <c r="D484" s="224"/>
      <c r="E484" s="225"/>
      <c r="F484" s="1036" t="str">
        <f t="shared" si="190"/>
        <v/>
      </c>
      <c r="G484" s="1037" t="str">
        <f t="shared" si="185"/>
        <v/>
      </c>
      <c r="H484" s="225"/>
      <c r="I484" s="1013"/>
      <c r="J484" s="1013"/>
      <c r="K484" s="1028"/>
      <c r="L484" s="1035" t="str">
        <f t="shared" si="189"/>
        <v/>
      </c>
      <c r="S484" s="498"/>
      <c r="AJ484" s="498"/>
      <c r="AM484" s="498">
        <f t="shared" si="170"/>
        <v>0</v>
      </c>
      <c r="AN484" s="498">
        <f t="shared" si="171"/>
        <v>0</v>
      </c>
      <c r="AO484" s="498">
        <f t="shared" si="172"/>
        <v>0</v>
      </c>
      <c r="AP484" s="498">
        <f t="shared" si="191"/>
        <v>0</v>
      </c>
      <c r="AQ484" s="498">
        <f t="shared" si="186"/>
        <v>0</v>
      </c>
      <c r="AU484" s="498">
        <f t="shared" si="173"/>
        <v>0</v>
      </c>
      <c r="AV484" s="498">
        <f t="shared" si="174"/>
        <v>0</v>
      </c>
      <c r="AW484" s="498">
        <f t="shared" si="175"/>
        <v>0</v>
      </c>
      <c r="AX484" s="498">
        <f t="shared" si="176"/>
        <v>0</v>
      </c>
      <c r="AY484" s="498">
        <f t="shared" si="177"/>
        <v>0</v>
      </c>
      <c r="BB484" s="498" t="str">
        <f t="shared" si="178"/>
        <v/>
      </c>
      <c r="BC484" s="743" t="str">
        <f t="shared" si="179"/>
        <v/>
      </c>
      <c r="BD484" s="743" t="str">
        <f t="shared" si="180"/>
        <v/>
      </c>
      <c r="BE484" s="743" t="str">
        <f>IF(D484="","",VLOOKUP(D484,'General Basis'!$J$39:$K$46,2,0))</f>
        <v/>
      </c>
      <c r="BF484" s="744" t="str">
        <f>IF(D484="","",VLOOKUP(D484,'General Basis'!$J$39:$L$46,3,0))</f>
        <v/>
      </c>
      <c r="BG484" s="744" t="str">
        <f t="shared" si="187"/>
        <v/>
      </c>
      <c r="BH484" s="744" t="str">
        <f>IF(G484="","",IF(BF484="Abu Dhabi",IF(G484&lt;18,'General Basis'!$C$39,IF(G484&lt;41,'General Basis'!$C$40,IF(G484&lt;60,'General Basis'!$C$41,IF(G484&lt;65,'General Basis'!$C$42,'General Basis'!$C$43)))),IF(G484&lt;11,'General Basis'!$B$39,IF(G484&lt;18,'General Basis'!$B$40,IF(G484&lt;26,'General Basis'!$B$41,IF(G484&lt;31,'General Basis'!$B$42,IF(G484&lt;36,'General Basis'!$B$43,IF(G484&lt;41,'General Basis'!$B$44,IF(G484&lt;46,'General Basis'!$B$45,IF(G484&lt;51,'General Basis'!$B$46,IF(G484&lt;56,'General Basis'!$B$47,IF(G484&lt;60,'General Basis'!$B$48,IF(G484&lt;65,'General Basis'!$B$49,'General Basis'!$B$50)))))))))))))</f>
        <v/>
      </c>
      <c r="BI484" s="744" t="str">
        <f t="shared" si="181"/>
        <v/>
      </c>
      <c r="BJ484" s="747" t="str">
        <f t="shared" si="188"/>
        <v/>
      </c>
      <c r="BK484" s="498" t="str">
        <f t="shared" si="182"/>
        <v/>
      </c>
      <c r="BL484" s="498" t="str">
        <f t="shared" si="183"/>
        <v/>
      </c>
    </row>
    <row r="485" spans="1:64" x14ac:dyDescent="0.25">
      <c r="A485" s="762">
        <f t="shared" si="184"/>
        <v>480</v>
      </c>
      <c r="B485" s="229"/>
      <c r="C485" s="223"/>
      <c r="D485" s="224"/>
      <c r="E485" s="225"/>
      <c r="F485" s="1036" t="str">
        <f t="shared" si="190"/>
        <v/>
      </c>
      <c r="G485" s="1037" t="str">
        <f t="shared" si="185"/>
        <v/>
      </c>
      <c r="H485" s="225"/>
      <c r="I485" s="1013"/>
      <c r="J485" s="1013"/>
      <c r="K485" s="1028"/>
      <c r="L485" s="1035" t="str">
        <f t="shared" si="189"/>
        <v/>
      </c>
      <c r="S485" s="498"/>
      <c r="AJ485" s="498"/>
      <c r="AM485" s="498">
        <f t="shared" si="170"/>
        <v>0</v>
      </c>
      <c r="AN485" s="498">
        <f t="shared" si="171"/>
        <v>0</v>
      </c>
      <c r="AO485" s="498">
        <f t="shared" si="172"/>
        <v>0</v>
      </c>
      <c r="AP485" s="498">
        <f t="shared" si="191"/>
        <v>0</v>
      </c>
      <c r="AQ485" s="498">
        <f t="shared" si="186"/>
        <v>0</v>
      </c>
      <c r="AU485" s="498">
        <f t="shared" si="173"/>
        <v>0</v>
      </c>
      <c r="AV485" s="498">
        <f t="shared" si="174"/>
        <v>0</v>
      </c>
      <c r="AW485" s="498">
        <f t="shared" si="175"/>
        <v>0</v>
      </c>
      <c r="AX485" s="498">
        <f t="shared" si="176"/>
        <v>0</v>
      </c>
      <c r="AY485" s="498">
        <f t="shared" si="177"/>
        <v>0</v>
      </c>
      <c r="BB485" s="498" t="str">
        <f t="shared" si="178"/>
        <v/>
      </c>
      <c r="BC485" s="743" t="str">
        <f t="shared" si="179"/>
        <v/>
      </c>
      <c r="BD485" s="743" t="str">
        <f t="shared" si="180"/>
        <v/>
      </c>
      <c r="BE485" s="743" t="str">
        <f>IF(D485="","",VLOOKUP(D485,'General Basis'!$J$39:$K$46,2,0))</f>
        <v/>
      </c>
      <c r="BF485" s="744" t="str">
        <f>IF(D485="","",VLOOKUP(D485,'General Basis'!$J$39:$L$46,3,0))</f>
        <v/>
      </c>
      <c r="BG485" s="744" t="str">
        <f t="shared" si="187"/>
        <v/>
      </c>
      <c r="BH485" s="744" t="str">
        <f>IF(G485="","",IF(BF485="Abu Dhabi",IF(G485&lt;18,'General Basis'!$C$39,IF(G485&lt;41,'General Basis'!$C$40,IF(G485&lt;60,'General Basis'!$C$41,IF(G485&lt;65,'General Basis'!$C$42,'General Basis'!$C$43)))),IF(G485&lt;11,'General Basis'!$B$39,IF(G485&lt;18,'General Basis'!$B$40,IF(G485&lt;26,'General Basis'!$B$41,IF(G485&lt;31,'General Basis'!$B$42,IF(G485&lt;36,'General Basis'!$B$43,IF(G485&lt;41,'General Basis'!$B$44,IF(G485&lt;46,'General Basis'!$B$45,IF(G485&lt;51,'General Basis'!$B$46,IF(G485&lt;56,'General Basis'!$B$47,IF(G485&lt;60,'General Basis'!$B$48,IF(G485&lt;65,'General Basis'!$B$49,'General Basis'!$B$50)))))))))))))</f>
        <v/>
      </c>
      <c r="BI485" s="744" t="str">
        <f t="shared" si="181"/>
        <v/>
      </c>
      <c r="BJ485" s="747" t="str">
        <f t="shared" si="188"/>
        <v/>
      </c>
      <c r="BK485" s="498" t="str">
        <f t="shared" si="182"/>
        <v/>
      </c>
      <c r="BL485" s="498" t="str">
        <f t="shared" si="183"/>
        <v/>
      </c>
    </row>
    <row r="486" spans="1:64" x14ac:dyDescent="0.25">
      <c r="A486" s="762">
        <f t="shared" si="184"/>
        <v>481</v>
      </c>
      <c r="B486" s="229"/>
      <c r="C486" s="223"/>
      <c r="D486" s="224"/>
      <c r="E486" s="225"/>
      <c r="F486" s="1036" t="str">
        <f t="shared" si="190"/>
        <v/>
      </c>
      <c r="G486" s="1037" t="str">
        <f t="shared" si="185"/>
        <v/>
      </c>
      <c r="H486" s="225"/>
      <c r="I486" s="1013"/>
      <c r="J486" s="1013"/>
      <c r="K486" s="1028"/>
      <c r="L486" s="1035" t="str">
        <f t="shared" si="189"/>
        <v/>
      </c>
      <c r="S486" s="498"/>
      <c r="AJ486" s="498"/>
      <c r="AM486" s="498">
        <f t="shared" si="170"/>
        <v>0</v>
      </c>
      <c r="AN486" s="498">
        <f t="shared" si="171"/>
        <v>0</v>
      </c>
      <c r="AO486" s="498">
        <f t="shared" si="172"/>
        <v>0</v>
      </c>
      <c r="AP486" s="498">
        <f t="shared" si="191"/>
        <v>0</v>
      </c>
      <c r="AQ486" s="498">
        <f t="shared" si="186"/>
        <v>0</v>
      </c>
      <c r="AU486" s="498">
        <f t="shared" si="173"/>
        <v>0</v>
      </c>
      <c r="AV486" s="498">
        <f t="shared" si="174"/>
        <v>0</v>
      </c>
      <c r="AW486" s="498">
        <f t="shared" si="175"/>
        <v>0</v>
      </c>
      <c r="AX486" s="498">
        <f t="shared" si="176"/>
        <v>0</v>
      </c>
      <c r="AY486" s="498">
        <f t="shared" si="177"/>
        <v>0</v>
      </c>
      <c r="BB486" s="498" t="str">
        <f t="shared" si="178"/>
        <v/>
      </c>
      <c r="BC486" s="743" t="str">
        <f t="shared" si="179"/>
        <v/>
      </c>
      <c r="BD486" s="743" t="str">
        <f t="shared" si="180"/>
        <v/>
      </c>
      <c r="BE486" s="743" t="str">
        <f>IF(D486="","",VLOOKUP(D486,'General Basis'!$J$39:$K$46,2,0))</f>
        <v/>
      </c>
      <c r="BF486" s="744" t="str">
        <f>IF(D486="","",VLOOKUP(D486,'General Basis'!$J$39:$L$46,3,0))</f>
        <v/>
      </c>
      <c r="BG486" s="744" t="str">
        <f t="shared" si="187"/>
        <v/>
      </c>
      <c r="BH486" s="744" t="str">
        <f>IF(G486="","",IF(BF486="Abu Dhabi",IF(G486&lt;18,'General Basis'!$C$39,IF(G486&lt;41,'General Basis'!$C$40,IF(G486&lt;60,'General Basis'!$C$41,IF(G486&lt;65,'General Basis'!$C$42,'General Basis'!$C$43)))),IF(G486&lt;11,'General Basis'!$B$39,IF(G486&lt;18,'General Basis'!$B$40,IF(G486&lt;26,'General Basis'!$B$41,IF(G486&lt;31,'General Basis'!$B$42,IF(G486&lt;36,'General Basis'!$B$43,IF(G486&lt;41,'General Basis'!$B$44,IF(G486&lt;46,'General Basis'!$B$45,IF(G486&lt;51,'General Basis'!$B$46,IF(G486&lt;56,'General Basis'!$B$47,IF(G486&lt;60,'General Basis'!$B$48,IF(G486&lt;65,'General Basis'!$B$49,'General Basis'!$B$50)))))))))))))</f>
        <v/>
      </c>
      <c r="BI486" s="744" t="str">
        <f t="shared" si="181"/>
        <v/>
      </c>
      <c r="BJ486" s="747" t="str">
        <f t="shared" si="188"/>
        <v/>
      </c>
      <c r="BK486" s="498" t="str">
        <f t="shared" si="182"/>
        <v/>
      </c>
      <c r="BL486" s="498" t="str">
        <f t="shared" si="183"/>
        <v/>
      </c>
    </row>
    <row r="487" spans="1:64" x14ac:dyDescent="0.25">
      <c r="A487" s="762">
        <f t="shared" si="184"/>
        <v>482</v>
      </c>
      <c r="B487" s="229"/>
      <c r="C487" s="223"/>
      <c r="D487" s="224"/>
      <c r="E487" s="225"/>
      <c r="F487" s="1036" t="str">
        <f t="shared" si="190"/>
        <v/>
      </c>
      <c r="G487" s="1037" t="str">
        <f t="shared" si="185"/>
        <v/>
      </c>
      <c r="H487" s="225"/>
      <c r="I487" s="1013"/>
      <c r="J487" s="1013"/>
      <c r="K487" s="1028"/>
      <c r="L487" s="1035" t="str">
        <f t="shared" si="189"/>
        <v/>
      </c>
      <c r="S487" s="498"/>
      <c r="AJ487" s="498"/>
      <c r="AM487" s="498">
        <f t="shared" si="170"/>
        <v>0</v>
      </c>
      <c r="AN487" s="498">
        <f t="shared" si="171"/>
        <v>0</v>
      </c>
      <c r="AO487" s="498">
        <f t="shared" si="172"/>
        <v>0</v>
      </c>
      <c r="AP487" s="498">
        <f t="shared" si="191"/>
        <v>0</v>
      </c>
      <c r="AQ487" s="498">
        <f t="shared" si="186"/>
        <v>0</v>
      </c>
      <c r="AU487" s="498">
        <f t="shared" si="173"/>
        <v>0</v>
      </c>
      <c r="AV487" s="498">
        <f t="shared" si="174"/>
        <v>0</v>
      </c>
      <c r="AW487" s="498">
        <f t="shared" si="175"/>
        <v>0</v>
      </c>
      <c r="AX487" s="498">
        <f t="shared" si="176"/>
        <v>0</v>
      </c>
      <c r="AY487" s="498">
        <f t="shared" si="177"/>
        <v>0</v>
      </c>
      <c r="BB487" s="498" t="str">
        <f t="shared" si="178"/>
        <v/>
      </c>
      <c r="BC487" s="743" t="str">
        <f t="shared" si="179"/>
        <v/>
      </c>
      <c r="BD487" s="743" t="str">
        <f t="shared" si="180"/>
        <v/>
      </c>
      <c r="BE487" s="743" t="str">
        <f>IF(D487="","",VLOOKUP(D487,'General Basis'!$J$39:$K$46,2,0))</f>
        <v/>
      </c>
      <c r="BF487" s="744" t="str">
        <f>IF(D487="","",VLOOKUP(D487,'General Basis'!$J$39:$L$46,3,0))</f>
        <v/>
      </c>
      <c r="BG487" s="744" t="str">
        <f t="shared" si="187"/>
        <v/>
      </c>
      <c r="BH487" s="744" t="str">
        <f>IF(G487="","",IF(BF487="Abu Dhabi",IF(G487&lt;18,'General Basis'!$C$39,IF(G487&lt;41,'General Basis'!$C$40,IF(G487&lt;60,'General Basis'!$C$41,IF(G487&lt;65,'General Basis'!$C$42,'General Basis'!$C$43)))),IF(G487&lt;11,'General Basis'!$B$39,IF(G487&lt;18,'General Basis'!$B$40,IF(G487&lt;26,'General Basis'!$B$41,IF(G487&lt;31,'General Basis'!$B$42,IF(G487&lt;36,'General Basis'!$B$43,IF(G487&lt;41,'General Basis'!$B$44,IF(G487&lt;46,'General Basis'!$B$45,IF(G487&lt;51,'General Basis'!$B$46,IF(G487&lt;56,'General Basis'!$B$47,IF(G487&lt;60,'General Basis'!$B$48,IF(G487&lt;65,'General Basis'!$B$49,'General Basis'!$B$50)))))))))))))</f>
        <v/>
      </c>
      <c r="BI487" s="744" t="str">
        <f t="shared" si="181"/>
        <v/>
      </c>
      <c r="BJ487" s="747" t="str">
        <f t="shared" si="188"/>
        <v/>
      </c>
      <c r="BK487" s="498" t="str">
        <f t="shared" si="182"/>
        <v/>
      </c>
      <c r="BL487" s="498" t="str">
        <f t="shared" si="183"/>
        <v/>
      </c>
    </row>
    <row r="488" spans="1:64" x14ac:dyDescent="0.25">
      <c r="A488" s="762">
        <f t="shared" si="184"/>
        <v>483</v>
      </c>
      <c r="B488" s="229"/>
      <c r="C488" s="223"/>
      <c r="D488" s="224"/>
      <c r="E488" s="225"/>
      <c r="F488" s="1036" t="str">
        <f t="shared" si="190"/>
        <v/>
      </c>
      <c r="G488" s="1037" t="str">
        <f t="shared" si="185"/>
        <v/>
      </c>
      <c r="H488" s="225"/>
      <c r="I488" s="1013"/>
      <c r="J488" s="1013"/>
      <c r="K488" s="1028"/>
      <c r="L488" s="1035" t="str">
        <f t="shared" si="189"/>
        <v/>
      </c>
      <c r="S488" s="498"/>
      <c r="AJ488" s="498"/>
      <c r="AM488" s="498">
        <f t="shared" si="170"/>
        <v>0</v>
      </c>
      <c r="AN488" s="498">
        <f t="shared" si="171"/>
        <v>0</v>
      </c>
      <c r="AO488" s="498">
        <f t="shared" si="172"/>
        <v>0</v>
      </c>
      <c r="AP488" s="498">
        <f t="shared" si="191"/>
        <v>0</v>
      </c>
      <c r="AQ488" s="498">
        <f t="shared" si="186"/>
        <v>0</v>
      </c>
      <c r="AU488" s="498">
        <f t="shared" si="173"/>
        <v>0</v>
      </c>
      <c r="AV488" s="498">
        <f t="shared" si="174"/>
        <v>0</v>
      </c>
      <c r="AW488" s="498">
        <f t="shared" si="175"/>
        <v>0</v>
      </c>
      <c r="AX488" s="498">
        <f t="shared" si="176"/>
        <v>0</v>
      </c>
      <c r="AY488" s="498">
        <f t="shared" si="177"/>
        <v>0</v>
      </c>
      <c r="BB488" s="498" t="str">
        <f t="shared" si="178"/>
        <v/>
      </c>
      <c r="BC488" s="743" t="str">
        <f t="shared" si="179"/>
        <v/>
      </c>
      <c r="BD488" s="743" t="str">
        <f t="shared" si="180"/>
        <v/>
      </c>
      <c r="BE488" s="743" t="str">
        <f>IF(D488="","",VLOOKUP(D488,'General Basis'!$J$39:$K$46,2,0))</f>
        <v/>
      </c>
      <c r="BF488" s="744" t="str">
        <f>IF(D488="","",VLOOKUP(D488,'General Basis'!$J$39:$L$46,3,0))</f>
        <v/>
      </c>
      <c r="BG488" s="744" t="str">
        <f t="shared" si="187"/>
        <v/>
      </c>
      <c r="BH488" s="744" t="str">
        <f>IF(G488="","",IF(BF488="Abu Dhabi",IF(G488&lt;18,'General Basis'!$C$39,IF(G488&lt;41,'General Basis'!$C$40,IF(G488&lt;60,'General Basis'!$C$41,IF(G488&lt;65,'General Basis'!$C$42,'General Basis'!$C$43)))),IF(G488&lt;11,'General Basis'!$B$39,IF(G488&lt;18,'General Basis'!$B$40,IF(G488&lt;26,'General Basis'!$B$41,IF(G488&lt;31,'General Basis'!$B$42,IF(G488&lt;36,'General Basis'!$B$43,IF(G488&lt;41,'General Basis'!$B$44,IF(G488&lt;46,'General Basis'!$B$45,IF(G488&lt;51,'General Basis'!$B$46,IF(G488&lt;56,'General Basis'!$B$47,IF(G488&lt;60,'General Basis'!$B$48,IF(G488&lt;65,'General Basis'!$B$49,'General Basis'!$B$50)))))))))))))</f>
        <v/>
      </c>
      <c r="BI488" s="744" t="str">
        <f t="shared" si="181"/>
        <v/>
      </c>
      <c r="BJ488" s="747" t="str">
        <f t="shared" si="188"/>
        <v/>
      </c>
      <c r="BK488" s="498" t="str">
        <f t="shared" si="182"/>
        <v/>
      </c>
      <c r="BL488" s="498" t="str">
        <f t="shared" si="183"/>
        <v/>
      </c>
    </row>
    <row r="489" spans="1:64" x14ac:dyDescent="0.25">
      <c r="A489" s="762">
        <f t="shared" si="184"/>
        <v>484</v>
      </c>
      <c r="B489" s="229"/>
      <c r="C489" s="223"/>
      <c r="D489" s="224"/>
      <c r="E489" s="225"/>
      <c r="F489" s="1036" t="str">
        <f t="shared" si="190"/>
        <v/>
      </c>
      <c r="G489" s="1037" t="str">
        <f t="shared" si="185"/>
        <v/>
      </c>
      <c r="H489" s="225"/>
      <c r="I489" s="1013"/>
      <c r="J489" s="1013"/>
      <c r="K489" s="1028"/>
      <c r="L489" s="1035" t="str">
        <f t="shared" si="189"/>
        <v/>
      </c>
      <c r="S489" s="498"/>
      <c r="AJ489" s="498"/>
      <c r="AM489" s="498">
        <f t="shared" si="170"/>
        <v>0</v>
      </c>
      <c r="AN489" s="498">
        <f t="shared" si="171"/>
        <v>0</v>
      </c>
      <c r="AO489" s="498">
        <f t="shared" si="172"/>
        <v>0</v>
      </c>
      <c r="AP489" s="498">
        <f t="shared" si="191"/>
        <v>0</v>
      </c>
      <c r="AQ489" s="498">
        <f t="shared" si="186"/>
        <v>0</v>
      </c>
      <c r="AU489" s="498">
        <f t="shared" si="173"/>
        <v>0</v>
      </c>
      <c r="AV489" s="498">
        <f t="shared" si="174"/>
        <v>0</v>
      </c>
      <c r="AW489" s="498">
        <f t="shared" si="175"/>
        <v>0</v>
      </c>
      <c r="AX489" s="498">
        <f t="shared" si="176"/>
        <v>0</v>
      </c>
      <c r="AY489" s="498">
        <f t="shared" si="177"/>
        <v>0</v>
      </c>
      <c r="BB489" s="498" t="str">
        <f t="shared" si="178"/>
        <v/>
      </c>
      <c r="BC489" s="743" t="str">
        <f t="shared" si="179"/>
        <v/>
      </c>
      <c r="BD489" s="743" t="str">
        <f t="shared" si="180"/>
        <v/>
      </c>
      <c r="BE489" s="743" t="str">
        <f>IF(D489="","",VLOOKUP(D489,'General Basis'!$J$39:$K$46,2,0))</f>
        <v/>
      </c>
      <c r="BF489" s="744" t="str">
        <f>IF(D489="","",VLOOKUP(D489,'General Basis'!$J$39:$L$46,3,0))</f>
        <v/>
      </c>
      <c r="BG489" s="744" t="str">
        <f t="shared" si="187"/>
        <v/>
      </c>
      <c r="BH489" s="744" t="str">
        <f>IF(G489="","",IF(BF489="Abu Dhabi",IF(G489&lt;18,'General Basis'!$C$39,IF(G489&lt;41,'General Basis'!$C$40,IF(G489&lt;60,'General Basis'!$C$41,IF(G489&lt;65,'General Basis'!$C$42,'General Basis'!$C$43)))),IF(G489&lt;11,'General Basis'!$B$39,IF(G489&lt;18,'General Basis'!$B$40,IF(G489&lt;26,'General Basis'!$B$41,IF(G489&lt;31,'General Basis'!$B$42,IF(G489&lt;36,'General Basis'!$B$43,IF(G489&lt;41,'General Basis'!$B$44,IF(G489&lt;46,'General Basis'!$B$45,IF(G489&lt;51,'General Basis'!$B$46,IF(G489&lt;56,'General Basis'!$B$47,IF(G489&lt;60,'General Basis'!$B$48,IF(G489&lt;65,'General Basis'!$B$49,'General Basis'!$B$50)))))))))))))</f>
        <v/>
      </c>
      <c r="BI489" s="744" t="str">
        <f t="shared" si="181"/>
        <v/>
      </c>
      <c r="BJ489" s="747" t="str">
        <f t="shared" si="188"/>
        <v/>
      </c>
      <c r="BK489" s="498" t="str">
        <f t="shared" si="182"/>
        <v/>
      </c>
      <c r="BL489" s="498" t="str">
        <f t="shared" si="183"/>
        <v/>
      </c>
    </row>
    <row r="490" spans="1:64" x14ac:dyDescent="0.25">
      <c r="A490" s="762">
        <f t="shared" si="184"/>
        <v>485</v>
      </c>
      <c r="B490" s="229"/>
      <c r="C490" s="223"/>
      <c r="D490" s="224"/>
      <c r="E490" s="225"/>
      <c r="F490" s="1036" t="str">
        <f t="shared" si="190"/>
        <v/>
      </c>
      <c r="G490" s="1037" t="str">
        <f t="shared" si="185"/>
        <v/>
      </c>
      <c r="H490" s="225"/>
      <c r="I490" s="1013"/>
      <c r="J490" s="1013"/>
      <c r="K490" s="1028"/>
      <c r="L490" s="1035" t="str">
        <f t="shared" si="189"/>
        <v/>
      </c>
      <c r="S490" s="498"/>
      <c r="AJ490" s="498"/>
      <c r="AM490" s="498">
        <f t="shared" si="170"/>
        <v>0</v>
      </c>
      <c r="AN490" s="498">
        <f t="shared" si="171"/>
        <v>0</v>
      </c>
      <c r="AO490" s="498">
        <f t="shared" si="172"/>
        <v>0</v>
      </c>
      <c r="AP490" s="498">
        <f t="shared" si="191"/>
        <v>0</v>
      </c>
      <c r="AQ490" s="498">
        <f t="shared" si="186"/>
        <v>0</v>
      </c>
      <c r="AU490" s="498">
        <f t="shared" si="173"/>
        <v>0</v>
      </c>
      <c r="AV490" s="498">
        <f t="shared" si="174"/>
        <v>0</v>
      </c>
      <c r="AW490" s="498">
        <f t="shared" si="175"/>
        <v>0</v>
      </c>
      <c r="AX490" s="498">
        <f t="shared" si="176"/>
        <v>0</v>
      </c>
      <c r="AY490" s="498">
        <f t="shared" si="177"/>
        <v>0</v>
      </c>
      <c r="BB490" s="498" t="str">
        <f t="shared" si="178"/>
        <v/>
      </c>
      <c r="BC490" s="743" t="str">
        <f t="shared" si="179"/>
        <v/>
      </c>
      <c r="BD490" s="743" t="str">
        <f t="shared" si="180"/>
        <v/>
      </c>
      <c r="BE490" s="743" t="str">
        <f>IF(D490="","",VLOOKUP(D490,'General Basis'!$J$39:$K$46,2,0))</f>
        <v/>
      </c>
      <c r="BF490" s="744" t="str">
        <f>IF(D490="","",VLOOKUP(D490,'General Basis'!$J$39:$L$46,3,0))</f>
        <v/>
      </c>
      <c r="BG490" s="744" t="str">
        <f t="shared" si="187"/>
        <v/>
      </c>
      <c r="BH490" s="744" t="str">
        <f>IF(G490="","",IF(BF490="Abu Dhabi",IF(G490&lt;18,'General Basis'!$C$39,IF(G490&lt;41,'General Basis'!$C$40,IF(G490&lt;60,'General Basis'!$C$41,IF(G490&lt;65,'General Basis'!$C$42,'General Basis'!$C$43)))),IF(G490&lt;11,'General Basis'!$B$39,IF(G490&lt;18,'General Basis'!$B$40,IF(G490&lt;26,'General Basis'!$B$41,IF(G490&lt;31,'General Basis'!$B$42,IF(G490&lt;36,'General Basis'!$B$43,IF(G490&lt;41,'General Basis'!$B$44,IF(G490&lt;46,'General Basis'!$B$45,IF(G490&lt;51,'General Basis'!$B$46,IF(G490&lt;56,'General Basis'!$B$47,IF(G490&lt;60,'General Basis'!$B$48,IF(G490&lt;65,'General Basis'!$B$49,'General Basis'!$B$50)))))))))))))</f>
        <v/>
      </c>
      <c r="BI490" s="744" t="str">
        <f t="shared" si="181"/>
        <v/>
      </c>
      <c r="BJ490" s="747" t="str">
        <f t="shared" si="188"/>
        <v/>
      </c>
      <c r="BK490" s="498" t="str">
        <f t="shared" si="182"/>
        <v/>
      </c>
      <c r="BL490" s="498" t="str">
        <f t="shared" si="183"/>
        <v/>
      </c>
    </row>
    <row r="491" spans="1:64" x14ac:dyDescent="0.25">
      <c r="A491" s="762">
        <f t="shared" si="184"/>
        <v>486</v>
      </c>
      <c r="B491" s="229"/>
      <c r="C491" s="223"/>
      <c r="D491" s="224"/>
      <c r="E491" s="225"/>
      <c r="F491" s="1036" t="str">
        <f t="shared" si="190"/>
        <v/>
      </c>
      <c r="G491" s="1037" t="str">
        <f t="shared" si="185"/>
        <v/>
      </c>
      <c r="H491" s="225"/>
      <c r="I491" s="1013"/>
      <c r="J491" s="1013"/>
      <c r="K491" s="1028"/>
      <c r="L491" s="1035" t="str">
        <f t="shared" si="189"/>
        <v/>
      </c>
      <c r="S491" s="498"/>
      <c r="AJ491" s="498"/>
      <c r="AM491" s="498">
        <f t="shared" si="170"/>
        <v>0</v>
      </c>
      <c r="AN491" s="498">
        <f t="shared" si="171"/>
        <v>0</v>
      </c>
      <c r="AO491" s="498">
        <f t="shared" si="172"/>
        <v>0</v>
      </c>
      <c r="AP491" s="498">
        <f t="shared" si="191"/>
        <v>0</v>
      </c>
      <c r="AQ491" s="498">
        <f t="shared" si="186"/>
        <v>0</v>
      </c>
      <c r="AU491" s="498">
        <f t="shared" si="173"/>
        <v>0</v>
      </c>
      <c r="AV491" s="498">
        <f t="shared" si="174"/>
        <v>0</v>
      </c>
      <c r="AW491" s="498">
        <f t="shared" si="175"/>
        <v>0</v>
      </c>
      <c r="AX491" s="498">
        <f t="shared" si="176"/>
        <v>0</v>
      </c>
      <c r="AY491" s="498">
        <f t="shared" si="177"/>
        <v>0</v>
      </c>
      <c r="BB491" s="498" t="str">
        <f t="shared" si="178"/>
        <v/>
      </c>
      <c r="BC491" s="743" t="str">
        <f t="shared" si="179"/>
        <v/>
      </c>
      <c r="BD491" s="743" t="str">
        <f t="shared" si="180"/>
        <v/>
      </c>
      <c r="BE491" s="743" t="str">
        <f>IF(D491="","",VLOOKUP(D491,'General Basis'!$J$39:$K$46,2,0))</f>
        <v/>
      </c>
      <c r="BF491" s="744" t="str">
        <f>IF(D491="","",VLOOKUP(D491,'General Basis'!$J$39:$L$46,3,0))</f>
        <v/>
      </c>
      <c r="BG491" s="744" t="str">
        <f t="shared" si="187"/>
        <v/>
      </c>
      <c r="BH491" s="744" t="str">
        <f>IF(G491="","",IF(BF491="Abu Dhabi",IF(G491&lt;18,'General Basis'!$C$39,IF(G491&lt;41,'General Basis'!$C$40,IF(G491&lt;60,'General Basis'!$C$41,IF(G491&lt;65,'General Basis'!$C$42,'General Basis'!$C$43)))),IF(G491&lt;11,'General Basis'!$B$39,IF(G491&lt;18,'General Basis'!$B$40,IF(G491&lt;26,'General Basis'!$B$41,IF(G491&lt;31,'General Basis'!$B$42,IF(G491&lt;36,'General Basis'!$B$43,IF(G491&lt;41,'General Basis'!$B$44,IF(G491&lt;46,'General Basis'!$B$45,IF(G491&lt;51,'General Basis'!$B$46,IF(G491&lt;56,'General Basis'!$B$47,IF(G491&lt;60,'General Basis'!$B$48,IF(G491&lt;65,'General Basis'!$B$49,'General Basis'!$B$50)))))))))))))</f>
        <v/>
      </c>
      <c r="BI491" s="744" t="str">
        <f t="shared" si="181"/>
        <v/>
      </c>
      <c r="BJ491" s="747" t="str">
        <f t="shared" si="188"/>
        <v/>
      </c>
      <c r="BK491" s="498" t="str">
        <f t="shared" si="182"/>
        <v/>
      </c>
      <c r="BL491" s="498" t="str">
        <f t="shared" si="183"/>
        <v/>
      </c>
    </row>
    <row r="492" spans="1:64" x14ac:dyDescent="0.25">
      <c r="A492" s="762">
        <f t="shared" si="184"/>
        <v>487</v>
      </c>
      <c r="B492" s="229"/>
      <c r="C492" s="223"/>
      <c r="D492" s="224"/>
      <c r="E492" s="225"/>
      <c r="F492" s="1036" t="str">
        <f t="shared" si="190"/>
        <v/>
      </c>
      <c r="G492" s="1037" t="str">
        <f t="shared" si="185"/>
        <v/>
      </c>
      <c r="H492" s="225"/>
      <c r="I492" s="1013"/>
      <c r="J492" s="1013"/>
      <c r="K492" s="1028"/>
      <c r="L492" s="1035" t="str">
        <f t="shared" si="189"/>
        <v/>
      </c>
      <c r="S492" s="498"/>
      <c r="AJ492" s="498"/>
      <c r="AM492" s="498">
        <f t="shared" si="170"/>
        <v>0</v>
      </c>
      <c r="AN492" s="498">
        <f t="shared" si="171"/>
        <v>0</v>
      </c>
      <c r="AO492" s="498">
        <f t="shared" si="172"/>
        <v>0</v>
      </c>
      <c r="AP492" s="498">
        <f t="shared" si="191"/>
        <v>0</v>
      </c>
      <c r="AQ492" s="498">
        <f t="shared" si="186"/>
        <v>0</v>
      </c>
      <c r="AU492" s="498">
        <f t="shared" si="173"/>
        <v>0</v>
      </c>
      <c r="AV492" s="498">
        <f t="shared" si="174"/>
        <v>0</v>
      </c>
      <c r="AW492" s="498">
        <f t="shared" si="175"/>
        <v>0</v>
      </c>
      <c r="AX492" s="498">
        <f t="shared" si="176"/>
        <v>0</v>
      </c>
      <c r="AY492" s="498">
        <f t="shared" si="177"/>
        <v>0</v>
      </c>
      <c r="BB492" s="498" t="str">
        <f t="shared" si="178"/>
        <v/>
      </c>
      <c r="BC492" s="743" t="str">
        <f t="shared" si="179"/>
        <v/>
      </c>
      <c r="BD492" s="743" t="str">
        <f t="shared" si="180"/>
        <v/>
      </c>
      <c r="BE492" s="743" t="str">
        <f>IF(D492="","",VLOOKUP(D492,'General Basis'!$J$39:$K$46,2,0))</f>
        <v/>
      </c>
      <c r="BF492" s="744" t="str">
        <f>IF(D492="","",VLOOKUP(D492,'General Basis'!$J$39:$L$46,3,0))</f>
        <v/>
      </c>
      <c r="BG492" s="744" t="str">
        <f t="shared" si="187"/>
        <v/>
      </c>
      <c r="BH492" s="744" t="str">
        <f>IF(G492="","",IF(BF492="Abu Dhabi",IF(G492&lt;18,'General Basis'!$C$39,IF(G492&lt;41,'General Basis'!$C$40,IF(G492&lt;60,'General Basis'!$C$41,IF(G492&lt;65,'General Basis'!$C$42,'General Basis'!$C$43)))),IF(G492&lt;11,'General Basis'!$B$39,IF(G492&lt;18,'General Basis'!$B$40,IF(G492&lt;26,'General Basis'!$B$41,IF(G492&lt;31,'General Basis'!$B$42,IF(G492&lt;36,'General Basis'!$B$43,IF(G492&lt;41,'General Basis'!$B$44,IF(G492&lt;46,'General Basis'!$B$45,IF(G492&lt;51,'General Basis'!$B$46,IF(G492&lt;56,'General Basis'!$B$47,IF(G492&lt;60,'General Basis'!$B$48,IF(G492&lt;65,'General Basis'!$B$49,'General Basis'!$B$50)))))))))))))</f>
        <v/>
      </c>
      <c r="BI492" s="744" t="str">
        <f t="shared" si="181"/>
        <v/>
      </c>
      <c r="BJ492" s="747" t="str">
        <f t="shared" si="188"/>
        <v/>
      </c>
      <c r="BK492" s="498" t="str">
        <f t="shared" si="182"/>
        <v/>
      </c>
      <c r="BL492" s="498" t="str">
        <f t="shared" si="183"/>
        <v/>
      </c>
    </row>
    <row r="493" spans="1:64" x14ac:dyDescent="0.25">
      <c r="A493" s="762">
        <f t="shared" si="184"/>
        <v>488</v>
      </c>
      <c r="B493" s="229"/>
      <c r="C493" s="223"/>
      <c r="D493" s="224"/>
      <c r="E493" s="225"/>
      <c r="F493" s="1036" t="str">
        <f t="shared" si="190"/>
        <v/>
      </c>
      <c r="G493" s="1037" t="str">
        <f t="shared" si="185"/>
        <v/>
      </c>
      <c r="H493" s="225"/>
      <c r="I493" s="1013"/>
      <c r="J493" s="1013"/>
      <c r="K493" s="1028"/>
      <c r="L493" s="1035" t="str">
        <f t="shared" si="189"/>
        <v/>
      </c>
      <c r="S493" s="498"/>
      <c r="AJ493" s="498"/>
      <c r="AM493" s="498">
        <f t="shared" si="170"/>
        <v>0</v>
      </c>
      <c r="AN493" s="498">
        <f t="shared" si="171"/>
        <v>0</v>
      </c>
      <c r="AO493" s="498">
        <f t="shared" si="172"/>
        <v>0</v>
      </c>
      <c r="AP493" s="498">
        <f t="shared" si="191"/>
        <v>0</v>
      </c>
      <c r="AQ493" s="498">
        <f t="shared" si="186"/>
        <v>0</v>
      </c>
      <c r="AU493" s="498">
        <f t="shared" si="173"/>
        <v>0</v>
      </c>
      <c r="AV493" s="498">
        <f t="shared" si="174"/>
        <v>0</v>
      </c>
      <c r="AW493" s="498">
        <f t="shared" si="175"/>
        <v>0</v>
      </c>
      <c r="AX493" s="498">
        <f t="shared" si="176"/>
        <v>0</v>
      </c>
      <c r="AY493" s="498">
        <f t="shared" si="177"/>
        <v>0</v>
      </c>
      <c r="BB493" s="498" t="str">
        <f t="shared" si="178"/>
        <v/>
      </c>
      <c r="BC493" s="743" t="str">
        <f t="shared" si="179"/>
        <v/>
      </c>
      <c r="BD493" s="743" t="str">
        <f t="shared" si="180"/>
        <v/>
      </c>
      <c r="BE493" s="743" t="str">
        <f>IF(D493="","",VLOOKUP(D493,'General Basis'!$J$39:$K$46,2,0))</f>
        <v/>
      </c>
      <c r="BF493" s="744" t="str">
        <f>IF(D493="","",VLOOKUP(D493,'General Basis'!$J$39:$L$46,3,0))</f>
        <v/>
      </c>
      <c r="BG493" s="744" t="str">
        <f t="shared" si="187"/>
        <v/>
      </c>
      <c r="BH493" s="744" t="str">
        <f>IF(G493="","",IF(BF493="Abu Dhabi",IF(G493&lt;18,'General Basis'!$C$39,IF(G493&lt;41,'General Basis'!$C$40,IF(G493&lt;60,'General Basis'!$C$41,IF(G493&lt;65,'General Basis'!$C$42,'General Basis'!$C$43)))),IF(G493&lt;11,'General Basis'!$B$39,IF(G493&lt;18,'General Basis'!$B$40,IF(G493&lt;26,'General Basis'!$B$41,IF(G493&lt;31,'General Basis'!$B$42,IF(G493&lt;36,'General Basis'!$B$43,IF(G493&lt;41,'General Basis'!$B$44,IF(G493&lt;46,'General Basis'!$B$45,IF(G493&lt;51,'General Basis'!$B$46,IF(G493&lt;56,'General Basis'!$B$47,IF(G493&lt;60,'General Basis'!$B$48,IF(G493&lt;65,'General Basis'!$B$49,'General Basis'!$B$50)))))))))))))</f>
        <v/>
      </c>
      <c r="BI493" s="744" t="str">
        <f t="shared" si="181"/>
        <v/>
      </c>
      <c r="BJ493" s="747" t="str">
        <f t="shared" si="188"/>
        <v/>
      </c>
      <c r="BK493" s="498" t="str">
        <f t="shared" si="182"/>
        <v/>
      </c>
      <c r="BL493" s="498" t="str">
        <f t="shared" si="183"/>
        <v/>
      </c>
    </row>
    <row r="494" spans="1:64" x14ac:dyDescent="0.25">
      <c r="A494" s="762">
        <f t="shared" si="184"/>
        <v>489</v>
      </c>
      <c r="B494" s="229"/>
      <c r="C494" s="223"/>
      <c r="D494" s="224"/>
      <c r="E494" s="225"/>
      <c r="F494" s="1036" t="str">
        <f t="shared" si="190"/>
        <v/>
      </c>
      <c r="G494" s="1037" t="str">
        <f t="shared" si="185"/>
        <v/>
      </c>
      <c r="H494" s="225"/>
      <c r="I494" s="1013"/>
      <c r="J494" s="1013"/>
      <c r="K494" s="1028"/>
      <c r="L494" s="1035" t="str">
        <f t="shared" si="189"/>
        <v/>
      </c>
      <c r="S494" s="498"/>
      <c r="AJ494" s="498"/>
      <c r="AM494" s="498">
        <f t="shared" si="170"/>
        <v>0</v>
      </c>
      <c r="AN494" s="498">
        <f t="shared" si="171"/>
        <v>0</v>
      </c>
      <c r="AO494" s="498">
        <f t="shared" si="172"/>
        <v>0</v>
      </c>
      <c r="AP494" s="498">
        <f t="shared" si="191"/>
        <v>0</v>
      </c>
      <c r="AQ494" s="498">
        <f t="shared" si="186"/>
        <v>0</v>
      </c>
      <c r="AU494" s="498">
        <f t="shared" si="173"/>
        <v>0</v>
      </c>
      <c r="AV494" s="498">
        <f t="shared" si="174"/>
        <v>0</v>
      </c>
      <c r="AW494" s="498">
        <f t="shared" si="175"/>
        <v>0</v>
      </c>
      <c r="AX494" s="498">
        <f t="shared" si="176"/>
        <v>0</v>
      </c>
      <c r="AY494" s="498">
        <f t="shared" si="177"/>
        <v>0</v>
      </c>
      <c r="BB494" s="498" t="str">
        <f t="shared" si="178"/>
        <v/>
      </c>
      <c r="BC494" s="743" t="str">
        <f t="shared" si="179"/>
        <v/>
      </c>
      <c r="BD494" s="743" t="str">
        <f t="shared" si="180"/>
        <v/>
      </c>
      <c r="BE494" s="743" t="str">
        <f>IF(D494="","",VLOOKUP(D494,'General Basis'!$J$39:$K$46,2,0))</f>
        <v/>
      </c>
      <c r="BF494" s="744" t="str">
        <f>IF(D494="","",VLOOKUP(D494,'General Basis'!$J$39:$L$46,3,0))</f>
        <v/>
      </c>
      <c r="BG494" s="744" t="str">
        <f t="shared" si="187"/>
        <v/>
      </c>
      <c r="BH494" s="744" t="str">
        <f>IF(G494="","",IF(BF494="Abu Dhabi",IF(G494&lt;18,'General Basis'!$C$39,IF(G494&lt;41,'General Basis'!$C$40,IF(G494&lt;60,'General Basis'!$C$41,IF(G494&lt;65,'General Basis'!$C$42,'General Basis'!$C$43)))),IF(G494&lt;11,'General Basis'!$B$39,IF(G494&lt;18,'General Basis'!$B$40,IF(G494&lt;26,'General Basis'!$B$41,IF(G494&lt;31,'General Basis'!$B$42,IF(G494&lt;36,'General Basis'!$B$43,IF(G494&lt;41,'General Basis'!$B$44,IF(G494&lt;46,'General Basis'!$B$45,IF(G494&lt;51,'General Basis'!$B$46,IF(G494&lt;56,'General Basis'!$B$47,IF(G494&lt;60,'General Basis'!$B$48,IF(G494&lt;65,'General Basis'!$B$49,'General Basis'!$B$50)))))))))))))</f>
        <v/>
      </c>
      <c r="BI494" s="744" t="str">
        <f t="shared" si="181"/>
        <v/>
      </c>
      <c r="BJ494" s="747" t="str">
        <f t="shared" si="188"/>
        <v/>
      </c>
      <c r="BK494" s="498" t="str">
        <f t="shared" si="182"/>
        <v/>
      </c>
      <c r="BL494" s="498" t="str">
        <f t="shared" si="183"/>
        <v/>
      </c>
    </row>
    <row r="495" spans="1:64" x14ac:dyDescent="0.25">
      <c r="A495" s="762">
        <f t="shared" si="184"/>
        <v>490</v>
      </c>
      <c r="B495" s="229"/>
      <c r="C495" s="223"/>
      <c r="D495" s="224"/>
      <c r="E495" s="225"/>
      <c r="F495" s="1036" t="str">
        <f t="shared" si="190"/>
        <v/>
      </c>
      <c r="G495" s="1037" t="str">
        <f t="shared" si="185"/>
        <v/>
      </c>
      <c r="H495" s="225"/>
      <c r="I495" s="1013"/>
      <c r="J495" s="1013"/>
      <c r="K495" s="1028"/>
      <c r="L495" s="1035" t="str">
        <f t="shared" si="189"/>
        <v/>
      </c>
      <c r="S495" s="498"/>
      <c r="AJ495" s="498"/>
      <c r="AM495" s="498">
        <f t="shared" si="170"/>
        <v>0</v>
      </c>
      <c r="AN495" s="498">
        <f t="shared" si="171"/>
        <v>0</v>
      </c>
      <c r="AO495" s="498">
        <f t="shared" si="172"/>
        <v>0</v>
      </c>
      <c r="AP495" s="498">
        <f t="shared" si="191"/>
        <v>0</v>
      </c>
      <c r="AQ495" s="498">
        <f t="shared" si="186"/>
        <v>0</v>
      </c>
      <c r="AU495" s="498">
        <f t="shared" si="173"/>
        <v>0</v>
      </c>
      <c r="AV495" s="498">
        <f t="shared" si="174"/>
        <v>0</v>
      </c>
      <c r="AW495" s="498">
        <f t="shared" si="175"/>
        <v>0</v>
      </c>
      <c r="AX495" s="498">
        <f t="shared" si="176"/>
        <v>0</v>
      </c>
      <c r="AY495" s="498">
        <f t="shared" si="177"/>
        <v>0</v>
      </c>
      <c r="BB495" s="498" t="str">
        <f t="shared" si="178"/>
        <v/>
      </c>
      <c r="BC495" s="743" t="str">
        <f t="shared" si="179"/>
        <v/>
      </c>
      <c r="BD495" s="743" t="str">
        <f t="shared" si="180"/>
        <v/>
      </c>
      <c r="BE495" s="743" t="str">
        <f>IF(D495="","",VLOOKUP(D495,'General Basis'!$J$39:$K$46,2,0))</f>
        <v/>
      </c>
      <c r="BF495" s="744" t="str">
        <f>IF(D495="","",VLOOKUP(D495,'General Basis'!$J$39:$L$46,3,0))</f>
        <v/>
      </c>
      <c r="BG495" s="744" t="str">
        <f t="shared" si="187"/>
        <v/>
      </c>
      <c r="BH495" s="744" t="str">
        <f>IF(G495="","",IF(BF495="Abu Dhabi",IF(G495&lt;18,'General Basis'!$C$39,IF(G495&lt;41,'General Basis'!$C$40,IF(G495&lt;60,'General Basis'!$C$41,IF(G495&lt;65,'General Basis'!$C$42,'General Basis'!$C$43)))),IF(G495&lt;11,'General Basis'!$B$39,IF(G495&lt;18,'General Basis'!$B$40,IF(G495&lt;26,'General Basis'!$B$41,IF(G495&lt;31,'General Basis'!$B$42,IF(G495&lt;36,'General Basis'!$B$43,IF(G495&lt;41,'General Basis'!$B$44,IF(G495&lt;46,'General Basis'!$B$45,IF(G495&lt;51,'General Basis'!$B$46,IF(G495&lt;56,'General Basis'!$B$47,IF(G495&lt;60,'General Basis'!$B$48,IF(G495&lt;65,'General Basis'!$B$49,'General Basis'!$B$50)))))))))))))</f>
        <v/>
      </c>
      <c r="BI495" s="744" t="str">
        <f t="shared" si="181"/>
        <v/>
      </c>
      <c r="BJ495" s="747" t="str">
        <f t="shared" si="188"/>
        <v/>
      </c>
      <c r="BK495" s="498" t="str">
        <f t="shared" si="182"/>
        <v/>
      </c>
      <c r="BL495" s="498" t="str">
        <f t="shared" si="183"/>
        <v/>
      </c>
    </row>
    <row r="496" spans="1:64" x14ac:dyDescent="0.25">
      <c r="A496" s="762">
        <f t="shared" si="184"/>
        <v>491</v>
      </c>
      <c r="B496" s="229"/>
      <c r="C496" s="223"/>
      <c r="D496" s="224"/>
      <c r="E496" s="225"/>
      <c r="F496" s="1036" t="str">
        <f t="shared" si="190"/>
        <v/>
      </c>
      <c r="G496" s="1037" t="str">
        <f t="shared" si="185"/>
        <v/>
      </c>
      <c r="H496" s="225"/>
      <c r="I496" s="1013"/>
      <c r="J496" s="1013"/>
      <c r="K496" s="1028"/>
      <c r="L496" s="1035" t="str">
        <f t="shared" si="189"/>
        <v/>
      </c>
      <c r="S496" s="498"/>
      <c r="AJ496" s="498"/>
      <c r="AM496" s="498">
        <f t="shared" si="170"/>
        <v>0</v>
      </c>
      <c r="AN496" s="498">
        <f t="shared" si="171"/>
        <v>0</v>
      </c>
      <c r="AO496" s="498">
        <f t="shared" si="172"/>
        <v>0</v>
      </c>
      <c r="AP496" s="498">
        <f t="shared" si="191"/>
        <v>0</v>
      </c>
      <c r="AQ496" s="498">
        <f t="shared" si="186"/>
        <v>0</v>
      </c>
      <c r="AU496" s="498">
        <f t="shared" si="173"/>
        <v>0</v>
      </c>
      <c r="AV496" s="498">
        <f t="shared" si="174"/>
        <v>0</v>
      </c>
      <c r="AW496" s="498">
        <f t="shared" si="175"/>
        <v>0</v>
      </c>
      <c r="AX496" s="498">
        <f t="shared" si="176"/>
        <v>0</v>
      </c>
      <c r="AY496" s="498">
        <f t="shared" si="177"/>
        <v>0</v>
      </c>
      <c r="BB496" s="498" t="str">
        <f t="shared" si="178"/>
        <v/>
      </c>
      <c r="BC496" s="743" t="str">
        <f t="shared" si="179"/>
        <v/>
      </c>
      <c r="BD496" s="743" t="str">
        <f t="shared" si="180"/>
        <v/>
      </c>
      <c r="BE496" s="743" t="str">
        <f>IF(D496="","",VLOOKUP(D496,'General Basis'!$J$39:$K$46,2,0))</f>
        <v/>
      </c>
      <c r="BF496" s="744" t="str">
        <f>IF(D496="","",VLOOKUP(D496,'General Basis'!$J$39:$L$46,3,0))</f>
        <v/>
      </c>
      <c r="BG496" s="744" t="str">
        <f t="shared" si="187"/>
        <v/>
      </c>
      <c r="BH496" s="744" t="str">
        <f>IF(G496="","",IF(BF496="Abu Dhabi",IF(G496&lt;18,'General Basis'!$C$39,IF(G496&lt;41,'General Basis'!$C$40,IF(G496&lt;60,'General Basis'!$C$41,IF(G496&lt;65,'General Basis'!$C$42,'General Basis'!$C$43)))),IF(G496&lt;11,'General Basis'!$B$39,IF(G496&lt;18,'General Basis'!$B$40,IF(G496&lt;26,'General Basis'!$B$41,IF(G496&lt;31,'General Basis'!$B$42,IF(G496&lt;36,'General Basis'!$B$43,IF(G496&lt;41,'General Basis'!$B$44,IF(G496&lt;46,'General Basis'!$B$45,IF(G496&lt;51,'General Basis'!$B$46,IF(G496&lt;56,'General Basis'!$B$47,IF(G496&lt;60,'General Basis'!$B$48,IF(G496&lt;65,'General Basis'!$B$49,'General Basis'!$B$50)))))))))))))</f>
        <v/>
      </c>
      <c r="BI496" s="744" t="str">
        <f t="shared" si="181"/>
        <v/>
      </c>
      <c r="BJ496" s="747" t="str">
        <f t="shared" si="188"/>
        <v/>
      </c>
      <c r="BK496" s="498" t="str">
        <f t="shared" si="182"/>
        <v/>
      </c>
      <c r="BL496" s="498" t="str">
        <f t="shared" si="183"/>
        <v/>
      </c>
    </row>
    <row r="497" spans="1:64" x14ac:dyDescent="0.25">
      <c r="A497" s="762">
        <f t="shared" si="184"/>
        <v>492</v>
      </c>
      <c r="B497" s="229"/>
      <c r="C497" s="223"/>
      <c r="D497" s="224"/>
      <c r="E497" s="225"/>
      <c r="F497" s="1036" t="str">
        <f t="shared" si="190"/>
        <v/>
      </c>
      <c r="G497" s="1037" t="str">
        <f t="shared" si="185"/>
        <v/>
      </c>
      <c r="H497" s="225"/>
      <c r="I497" s="1013"/>
      <c r="J497" s="1013"/>
      <c r="K497" s="1028"/>
      <c r="L497" s="1035" t="str">
        <f t="shared" si="189"/>
        <v/>
      </c>
      <c r="S497" s="498"/>
      <c r="AJ497" s="498"/>
      <c r="AM497" s="498">
        <f t="shared" si="170"/>
        <v>0</v>
      </c>
      <c r="AN497" s="498">
        <f t="shared" si="171"/>
        <v>0</v>
      </c>
      <c r="AO497" s="498">
        <f t="shared" si="172"/>
        <v>0</v>
      </c>
      <c r="AP497" s="498">
        <f t="shared" si="191"/>
        <v>0</v>
      </c>
      <c r="AQ497" s="498">
        <f t="shared" si="186"/>
        <v>0</v>
      </c>
      <c r="AU497" s="498">
        <f t="shared" si="173"/>
        <v>0</v>
      </c>
      <c r="AV497" s="498">
        <f t="shared" si="174"/>
        <v>0</v>
      </c>
      <c r="AW497" s="498">
        <f t="shared" si="175"/>
        <v>0</v>
      </c>
      <c r="AX497" s="498">
        <f t="shared" si="176"/>
        <v>0</v>
      </c>
      <c r="AY497" s="498">
        <f t="shared" si="177"/>
        <v>0</v>
      </c>
      <c r="BB497" s="498" t="str">
        <f t="shared" si="178"/>
        <v/>
      </c>
      <c r="BC497" s="743" t="str">
        <f t="shared" si="179"/>
        <v/>
      </c>
      <c r="BD497" s="743" t="str">
        <f t="shared" si="180"/>
        <v/>
      </c>
      <c r="BE497" s="743" t="str">
        <f>IF(D497="","",VLOOKUP(D497,'General Basis'!$J$39:$K$46,2,0))</f>
        <v/>
      </c>
      <c r="BF497" s="744" t="str">
        <f>IF(D497="","",VLOOKUP(D497,'General Basis'!$J$39:$L$46,3,0))</f>
        <v/>
      </c>
      <c r="BG497" s="744" t="str">
        <f t="shared" si="187"/>
        <v/>
      </c>
      <c r="BH497" s="744" t="str">
        <f>IF(G497="","",IF(BF497="Abu Dhabi",IF(G497&lt;18,'General Basis'!$C$39,IF(G497&lt;41,'General Basis'!$C$40,IF(G497&lt;60,'General Basis'!$C$41,IF(G497&lt;65,'General Basis'!$C$42,'General Basis'!$C$43)))),IF(G497&lt;11,'General Basis'!$B$39,IF(G497&lt;18,'General Basis'!$B$40,IF(G497&lt;26,'General Basis'!$B$41,IF(G497&lt;31,'General Basis'!$B$42,IF(G497&lt;36,'General Basis'!$B$43,IF(G497&lt;41,'General Basis'!$B$44,IF(G497&lt;46,'General Basis'!$B$45,IF(G497&lt;51,'General Basis'!$B$46,IF(G497&lt;56,'General Basis'!$B$47,IF(G497&lt;60,'General Basis'!$B$48,IF(G497&lt;65,'General Basis'!$B$49,'General Basis'!$B$50)))))))))))))</f>
        <v/>
      </c>
      <c r="BI497" s="744" t="str">
        <f t="shared" si="181"/>
        <v/>
      </c>
      <c r="BJ497" s="747" t="str">
        <f t="shared" si="188"/>
        <v/>
      </c>
      <c r="BK497" s="498" t="str">
        <f t="shared" si="182"/>
        <v/>
      </c>
      <c r="BL497" s="498" t="str">
        <f t="shared" si="183"/>
        <v/>
      </c>
    </row>
    <row r="498" spans="1:64" x14ac:dyDescent="0.25">
      <c r="A498" s="762">
        <f t="shared" si="184"/>
        <v>493</v>
      </c>
      <c r="B498" s="229"/>
      <c r="C498" s="223"/>
      <c r="D498" s="224"/>
      <c r="E498" s="225"/>
      <c r="F498" s="1036" t="str">
        <f t="shared" si="190"/>
        <v/>
      </c>
      <c r="G498" s="1037" t="str">
        <f t="shared" si="185"/>
        <v/>
      </c>
      <c r="H498" s="225"/>
      <c r="I498" s="1013"/>
      <c r="J498" s="1013"/>
      <c r="K498" s="1028"/>
      <c r="L498" s="1035" t="str">
        <f t="shared" si="189"/>
        <v/>
      </c>
      <c r="S498" s="498"/>
      <c r="AJ498" s="498"/>
      <c r="AM498" s="498">
        <f t="shared" si="170"/>
        <v>0</v>
      </c>
      <c r="AN498" s="498">
        <f t="shared" si="171"/>
        <v>0</v>
      </c>
      <c r="AO498" s="498">
        <f t="shared" si="172"/>
        <v>0</v>
      </c>
      <c r="AP498" s="498">
        <f t="shared" si="191"/>
        <v>0</v>
      </c>
      <c r="AQ498" s="498">
        <f t="shared" si="186"/>
        <v>0</v>
      </c>
      <c r="AU498" s="498">
        <f t="shared" si="173"/>
        <v>0</v>
      </c>
      <c r="AV498" s="498">
        <f t="shared" si="174"/>
        <v>0</v>
      </c>
      <c r="AW498" s="498">
        <f t="shared" si="175"/>
        <v>0</v>
      </c>
      <c r="AX498" s="498">
        <f t="shared" si="176"/>
        <v>0</v>
      </c>
      <c r="AY498" s="498">
        <f t="shared" si="177"/>
        <v>0</v>
      </c>
      <c r="BB498" s="498" t="str">
        <f t="shared" si="178"/>
        <v/>
      </c>
      <c r="BC498" s="743" t="str">
        <f t="shared" si="179"/>
        <v/>
      </c>
      <c r="BD498" s="743" t="str">
        <f t="shared" si="180"/>
        <v/>
      </c>
      <c r="BE498" s="743" t="str">
        <f>IF(D498="","",VLOOKUP(D498,'General Basis'!$J$39:$K$46,2,0))</f>
        <v/>
      </c>
      <c r="BF498" s="744" t="str">
        <f>IF(D498="","",VLOOKUP(D498,'General Basis'!$J$39:$L$46,3,0))</f>
        <v/>
      </c>
      <c r="BG498" s="744" t="str">
        <f t="shared" si="187"/>
        <v/>
      </c>
      <c r="BH498" s="744" t="str">
        <f>IF(G498="","",IF(BF498="Abu Dhabi",IF(G498&lt;18,'General Basis'!$C$39,IF(G498&lt;41,'General Basis'!$C$40,IF(G498&lt;60,'General Basis'!$C$41,IF(G498&lt;65,'General Basis'!$C$42,'General Basis'!$C$43)))),IF(G498&lt;11,'General Basis'!$B$39,IF(G498&lt;18,'General Basis'!$B$40,IF(G498&lt;26,'General Basis'!$B$41,IF(G498&lt;31,'General Basis'!$B$42,IF(G498&lt;36,'General Basis'!$B$43,IF(G498&lt;41,'General Basis'!$B$44,IF(G498&lt;46,'General Basis'!$B$45,IF(G498&lt;51,'General Basis'!$B$46,IF(G498&lt;56,'General Basis'!$B$47,IF(G498&lt;60,'General Basis'!$B$48,IF(G498&lt;65,'General Basis'!$B$49,'General Basis'!$B$50)))))))))))))</f>
        <v/>
      </c>
      <c r="BI498" s="744" t="str">
        <f t="shared" si="181"/>
        <v/>
      </c>
      <c r="BJ498" s="747" t="str">
        <f t="shared" si="188"/>
        <v/>
      </c>
      <c r="BK498" s="498" t="str">
        <f t="shared" si="182"/>
        <v/>
      </c>
      <c r="BL498" s="498" t="str">
        <f t="shared" si="183"/>
        <v/>
      </c>
    </row>
    <row r="499" spans="1:64" x14ac:dyDescent="0.25">
      <c r="A499" s="762">
        <f t="shared" si="184"/>
        <v>494</v>
      </c>
      <c r="B499" s="229"/>
      <c r="C499" s="223"/>
      <c r="D499" s="224"/>
      <c r="E499" s="225"/>
      <c r="F499" s="1036" t="str">
        <f t="shared" si="190"/>
        <v/>
      </c>
      <c r="G499" s="1037" t="str">
        <f t="shared" si="185"/>
        <v/>
      </c>
      <c r="H499" s="225"/>
      <c r="I499" s="1013"/>
      <c r="J499" s="1013"/>
      <c r="K499" s="1028"/>
      <c r="L499" s="1035" t="str">
        <f t="shared" si="189"/>
        <v/>
      </c>
      <c r="S499" s="498"/>
      <c r="AJ499" s="498"/>
      <c r="AM499" s="498">
        <f t="shared" si="170"/>
        <v>0</v>
      </c>
      <c r="AN499" s="498">
        <f t="shared" si="171"/>
        <v>0</v>
      </c>
      <c r="AO499" s="498">
        <f t="shared" si="172"/>
        <v>0</v>
      </c>
      <c r="AP499" s="498">
        <f t="shared" si="191"/>
        <v>0</v>
      </c>
      <c r="AQ499" s="498">
        <f t="shared" si="186"/>
        <v>0</v>
      </c>
      <c r="AU499" s="498">
        <f t="shared" si="173"/>
        <v>0</v>
      </c>
      <c r="AV499" s="498">
        <f t="shared" si="174"/>
        <v>0</v>
      </c>
      <c r="AW499" s="498">
        <f t="shared" si="175"/>
        <v>0</v>
      </c>
      <c r="AX499" s="498">
        <f t="shared" si="176"/>
        <v>0</v>
      </c>
      <c r="AY499" s="498">
        <f t="shared" si="177"/>
        <v>0</v>
      </c>
      <c r="BB499" s="498" t="str">
        <f t="shared" si="178"/>
        <v/>
      </c>
      <c r="BC499" s="743" t="str">
        <f t="shared" si="179"/>
        <v/>
      </c>
      <c r="BD499" s="743" t="str">
        <f t="shared" si="180"/>
        <v/>
      </c>
      <c r="BE499" s="743" t="str">
        <f>IF(D499="","",VLOOKUP(D499,'General Basis'!$J$39:$K$46,2,0))</f>
        <v/>
      </c>
      <c r="BF499" s="744" t="str">
        <f>IF(D499="","",VLOOKUP(D499,'General Basis'!$J$39:$L$46,3,0))</f>
        <v/>
      </c>
      <c r="BG499" s="744" t="str">
        <f t="shared" si="187"/>
        <v/>
      </c>
      <c r="BH499" s="744" t="str">
        <f>IF(G499="","",IF(BF499="Abu Dhabi",IF(G499&lt;18,'General Basis'!$C$39,IF(G499&lt;41,'General Basis'!$C$40,IF(G499&lt;60,'General Basis'!$C$41,IF(G499&lt;65,'General Basis'!$C$42,'General Basis'!$C$43)))),IF(G499&lt;11,'General Basis'!$B$39,IF(G499&lt;18,'General Basis'!$B$40,IF(G499&lt;26,'General Basis'!$B$41,IF(G499&lt;31,'General Basis'!$B$42,IF(G499&lt;36,'General Basis'!$B$43,IF(G499&lt;41,'General Basis'!$B$44,IF(G499&lt;46,'General Basis'!$B$45,IF(G499&lt;51,'General Basis'!$B$46,IF(G499&lt;56,'General Basis'!$B$47,IF(G499&lt;60,'General Basis'!$B$48,IF(G499&lt;65,'General Basis'!$B$49,'General Basis'!$B$50)))))))))))))</f>
        <v/>
      </c>
      <c r="BI499" s="744" t="str">
        <f t="shared" si="181"/>
        <v/>
      </c>
      <c r="BJ499" s="747" t="str">
        <f t="shared" si="188"/>
        <v/>
      </c>
      <c r="BK499" s="498" t="str">
        <f t="shared" si="182"/>
        <v/>
      </c>
      <c r="BL499" s="498" t="str">
        <f t="shared" si="183"/>
        <v/>
      </c>
    </row>
    <row r="500" spans="1:64" x14ac:dyDescent="0.25">
      <c r="A500" s="762">
        <f t="shared" si="184"/>
        <v>495</v>
      </c>
      <c r="B500" s="229"/>
      <c r="C500" s="223"/>
      <c r="D500" s="224"/>
      <c r="E500" s="225"/>
      <c r="F500" s="1036" t="str">
        <f t="shared" si="190"/>
        <v/>
      </c>
      <c r="G500" s="1037" t="str">
        <f t="shared" si="185"/>
        <v/>
      </c>
      <c r="H500" s="225"/>
      <c r="I500" s="1013"/>
      <c r="J500" s="1013"/>
      <c r="K500" s="1028"/>
      <c r="L500" s="1035" t="str">
        <f t="shared" si="189"/>
        <v/>
      </c>
      <c r="S500" s="498"/>
      <c r="AJ500" s="498"/>
      <c r="AM500" s="498">
        <f t="shared" si="170"/>
        <v>0</v>
      </c>
      <c r="AN500" s="498">
        <f t="shared" si="171"/>
        <v>0</v>
      </c>
      <c r="AO500" s="498">
        <f t="shared" si="172"/>
        <v>0</v>
      </c>
      <c r="AP500" s="498">
        <f t="shared" si="191"/>
        <v>0</v>
      </c>
      <c r="AQ500" s="498">
        <f t="shared" si="186"/>
        <v>0</v>
      </c>
      <c r="AU500" s="498">
        <f t="shared" si="173"/>
        <v>0</v>
      </c>
      <c r="AV500" s="498">
        <f t="shared" si="174"/>
        <v>0</v>
      </c>
      <c r="AW500" s="498">
        <f t="shared" si="175"/>
        <v>0</v>
      </c>
      <c r="AX500" s="498">
        <f t="shared" si="176"/>
        <v>0</v>
      </c>
      <c r="AY500" s="498">
        <f t="shared" si="177"/>
        <v>0</v>
      </c>
      <c r="BB500" s="498" t="str">
        <f t="shared" si="178"/>
        <v/>
      </c>
      <c r="BC500" s="743" t="str">
        <f t="shared" si="179"/>
        <v/>
      </c>
      <c r="BD500" s="743" t="str">
        <f t="shared" si="180"/>
        <v/>
      </c>
      <c r="BE500" s="743" t="str">
        <f>IF(D500="","",VLOOKUP(D500,'General Basis'!$J$39:$K$46,2,0))</f>
        <v/>
      </c>
      <c r="BF500" s="744" t="str">
        <f>IF(D500="","",VLOOKUP(D500,'General Basis'!$J$39:$L$46,3,0))</f>
        <v/>
      </c>
      <c r="BG500" s="744" t="str">
        <f t="shared" si="187"/>
        <v/>
      </c>
      <c r="BH500" s="744" t="str">
        <f>IF(G500="","",IF(BF500="Abu Dhabi",IF(G500&lt;18,'General Basis'!$C$39,IF(G500&lt;41,'General Basis'!$C$40,IF(G500&lt;60,'General Basis'!$C$41,IF(G500&lt;65,'General Basis'!$C$42,'General Basis'!$C$43)))),IF(G500&lt;11,'General Basis'!$B$39,IF(G500&lt;18,'General Basis'!$B$40,IF(G500&lt;26,'General Basis'!$B$41,IF(G500&lt;31,'General Basis'!$B$42,IF(G500&lt;36,'General Basis'!$B$43,IF(G500&lt;41,'General Basis'!$B$44,IF(G500&lt;46,'General Basis'!$B$45,IF(G500&lt;51,'General Basis'!$B$46,IF(G500&lt;56,'General Basis'!$B$47,IF(G500&lt;60,'General Basis'!$B$48,IF(G500&lt;65,'General Basis'!$B$49,'General Basis'!$B$50)))))))))))))</f>
        <v/>
      </c>
      <c r="BI500" s="744" t="str">
        <f t="shared" si="181"/>
        <v/>
      </c>
      <c r="BJ500" s="747" t="str">
        <f t="shared" si="188"/>
        <v/>
      </c>
      <c r="BK500" s="498" t="str">
        <f t="shared" si="182"/>
        <v/>
      </c>
      <c r="BL500" s="498" t="str">
        <f t="shared" si="183"/>
        <v/>
      </c>
    </row>
    <row r="501" spans="1:64" x14ac:dyDescent="0.25">
      <c r="A501" s="762">
        <f t="shared" si="184"/>
        <v>496</v>
      </c>
      <c r="B501" s="229"/>
      <c r="C501" s="223"/>
      <c r="D501" s="224"/>
      <c r="E501" s="225"/>
      <c r="F501" s="1036" t="str">
        <f t="shared" si="190"/>
        <v/>
      </c>
      <c r="G501" s="1037" t="str">
        <f t="shared" si="185"/>
        <v/>
      </c>
      <c r="H501" s="225"/>
      <c r="I501" s="1013"/>
      <c r="J501" s="1013"/>
      <c r="K501" s="1028"/>
      <c r="L501" s="1035" t="str">
        <f t="shared" si="189"/>
        <v/>
      </c>
      <c r="S501" s="498"/>
      <c r="AJ501" s="498"/>
      <c r="AM501" s="498">
        <f t="shared" si="170"/>
        <v>0</v>
      </c>
      <c r="AN501" s="498">
        <f t="shared" si="171"/>
        <v>0</v>
      </c>
      <c r="AO501" s="498">
        <f t="shared" si="172"/>
        <v>0</v>
      </c>
      <c r="AP501" s="498">
        <f t="shared" si="191"/>
        <v>0</v>
      </c>
      <c r="AQ501" s="498">
        <f t="shared" si="186"/>
        <v>0</v>
      </c>
      <c r="AU501" s="498">
        <f t="shared" si="173"/>
        <v>0</v>
      </c>
      <c r="AV501" s="498">
        <f t="shared" si="174"/>
        <v>0</v>
      </c>
      <c r="AW501" s="498">
        <f t="shared" si="175"/>
        <v>0</v>
      </c>
      <c r="AX501" s="498">
        <f t="shared" si="176"/>
        <v>0</v>
      </c>
      <c r="AY501" s="498">
        <f t="shared" si="177"/>
        <v>0</v>
      </c>
      <c r="BB501" s="498" t="str">
        <f t="shared" si="178"/>
        <v/>
      </c>
      <c r="BC501" s="743" t="str">
        <f t="shared" si="179"/>
        <v/>
      </c>
      <c r="BD501" s="743" t="str">
        <f t="shared" si="180"/>
        <v/>
      </c>
      <c r="BE501" s="743" t="str">
        <f>IF(D501="","",VLOOKUP(D501,'General Basis'!$J$39:$K$46,2,0))</f>
        <v/>
      </c>
      <c r="BF501" s="744" t="str">
        <f>IF(D501="","",VLOOKUP(D501,'General Basis'!$J$39:$L$46,3,0))</f>
        <v/>
      </c>
      <c r="BG501" s="744" t="str">
        <f t="shared" si="187"/>
        <v/>
      </c>
      <c r="BH501" s="744" t="str">
        <f>IF(G501="","",IF(BF501="Abu Dhabi",IF(G501&lt;18,'General Basis'!$C$39,IF(G501&lt;41,'General Basis'!$C$40,IF(G501&lt;60,'General Basis'!$C$41,IF(G501&lt;65,'General Basis'!$C$42,'General Basis'!$C$43)))),IF(G501&lt;11,'General Basis'!$B$39,IF(G501&lt;18,'General Basis'!$B$40,IF(G501&lt;26,'General Basis'!$B$41,IF(G501&lt;31,'General Basis'!$B$42,IF(G501&lt;36,'General Basis'!$B$43,IF(G501&lt;41,'General Basis'!$B$44,IF(G501&lt;46,'General Basis'!$B$45,IF(G501&lt;51,'General Basis'!$B$46,IF(G501&lt;56,'General Basis'!$B$47,IF(G501&lt;60,'General Basis'!$B$48,IF(G501&lt;65,'General Basis'!$B$49,'General Basis'!$B$50)))))))))))))</f>
        <v/>
      </c>
      <c r="BI501" s="744" t="str">
        <f t="shared" si="181"/>
        <v/>
      </c>
      <c r="BJ501" s="747" t="str">
        <f t="shared" si="188"/>
        <v/>
      </c>
      <c r="BK501" s="498" t="str">
        <f t="shared" si="182"/>
        <v/>
      </c>
      <c r="BL501" s="498" t="str">
        <f t="shared" si="183"/>
        <v/>
      </c>
    </row>
    <row r="502" spans="1:64" x14ac:dyDescent="0.25">
      <c r="A502" s="762">
        <f t="shared" si="184"/>
        <v>497</v>
      </c>
      <c r="B502" s="229"/>
      <c r="C502" s="223"/>
      <c r="D502" s="224"/>
      <c r="E502" s="225"/>
      <c r="F502" s="1036" t="str">
        <f t="shared" si="190"/>
        <v/>
      </c>
      <c r="G502" s="1037" t="str">
        <f t="shared" si="185"/>
        <v/>
      </c>
      <c r="H502" s="225"/>
      <c r="I502" s="1013"/>
      <c r="J502" s="1013"/>
      <c r="K502" s="1028"/>
      <c r="L502" s="1035" t="str">
        <f t="shared" si="189"/>
        <v/>
      </c>
      <c r="S502" s="498"/>
      <c r="AJ502" s="498"/>
      <c r="AM502" s="498">
        <f t="shared" si="170"/>
        <v>0</v>
      </c>
      <c r="AN502" s="498">
        <f t="shared" si="171"/>
        <v>0</v>
      </c>
      <c r="AO502" s="498">
        <f t="shared" si="172"/>
        <v>0</v>
      </c>
      <c r="AP502" s="498">
        <f t="shared" si="191"/>
        <v>0</v>
      </c>
      <c r="AQ502" s="498">
        <f t="shared" si="186"/>
        <v>0</v>
      </c>
      <c r="AU502" s="498">
        <f t="shared" si="173"/>
        <v>0</v>
      </c>
      <c r="AV502" s="498">
        <f t="shared" si="174"/>
        <v>0</v>
      </c>
      <c r="AW502" s="498">
        <f t="shared" si="175"/>
        <v>0</v>
      </c>
      <c r="AX502" s="498">
        <f t="shared" si="176"/>
        <v>0</v>
      </c>
      <c r="AY502" s="498">
        <f t="shared" si="177"/>
        <v>0</v>
      </c>
      <c r="BB502" s="498" t="str">
        <f t="shared" si="178"/>
        <v/>
      </c>
      <c r="BC502" s="743" t="str">
        <f t="shared" si="179"/>
        <v/>
      </c>
      <c r="BD502" s="743" t="str">
        <f t="shared" si="180"/>
        <v/>
      </c>
      <c r="BE502" s="743" t="str">
        <f>IF(D502="","",VLOOKUP(D502,'General Basis'!$J$39:$K$46,2,0))</f>
        <v/>
      </c>
      <c r="BF502" s="744" t="str">
        <f>IF(D502="","",VLOOKUP(D502,'General Basis'!$J$39:$L$46,3,0))</f>
        <v/>
      </c>
      <c r="BG502" s="744" t="str">
        <f t="shared" si="187"/>
        <v/>
      </c>
      <c r="BH502" s="744" t="str">
        <f>IF(G502="","",IF(BF502="Abu Dhabi",IF(G502&lt;18,'General Basis'!$C$39,IF(G502&lt;41,'General Basis'!$C$40,IF(G502&lt;60,'General Basis'!$C$41,IF(G502&lt;65,'General Basis'!$C$42,'General Basis'!$C$43)))),IF(G502&lt;11,'General Basis'!$B$39,IF(G502&lt;18,'General Basis'!$B$40,IF(G502&lt;26,'General Basis'!$B$41,IF(G502&lt;31,'General Basis'!$B$42,IF(G502&lt;36,'General Basis'!$B$43,IF(G502&lt;41,'General Basis'!$B$44,IF(G502&lt;46,'General Basis'!$B$45,IF(G502&lt;51,'General Basis'!$B$46,IF(G502&lt;56,'General Basis'!$B$47,IF(G502&lt;60,'General Basis'!$B$48,IF(G502&lt;65,'General Basis'!$B$49,'General Basis'!$B$50)))))))))))))</f>
        <v/>
      </c>
      <c r="BI502" s="744" t="str">
        <f t="shared" si="181"/>
        <v/>
      </c>
      <c r="BJ502" s="747" t="str">
        <f t="shared" si="188"/>
        <v/>
      </c>
      <c r="BK502" s="498" t="str">
        <f t="shared" si="182"/>
        <v/>
      </c>
      <c r="BL502" s="498" t="str">
        <f t="shared" si="183"/>
        <v/>
      </c>
    </row>
    <row r="503" spans="1:64" x14ac:dyDescent="0.25">
      <c r="A503" s="762">
        <f t="shared" si="184"/>
        <v>498</v>
      </c>
      <c r="B503" s="229"/>
      <c r="C503" s="223"/>
      <c r="D503" s="224"/>
      <c r="E503" s="225"/>
      <c r="F503" s="1036" t="str">
        <f t="shared" si="190"/>
        <v/>
      </c>
      <c r="G503" s="1037" t="str">
        <f t="shared" si="185"/>
        <v/>
      </c>
      <c r="H503" s="225"/>
      <c r="I503" s="1013"/>
      <c r="J503" s="1013"/>
      <c r="K503" s="1028"/>
      <c r="L503" s="1035" t="str">
        <f t="shared" si="189"/>
        <v/>
      </c>
      <c r="S503" s="498"/>
      <c r="AJ503" s="498"/>
      <c r="AM503" s="498">
        <f t="shared" si="170"/>
        <v>0</v>
      </c>
      <c r="AN503" s="498">
        <f t="shared" si="171"/>
        <v>0</v>
      </c>
      <c r="AO503" s="498">
        <f t="shared" si="172"/>
        <v>0</v>
      </c>
      <c r="AP503" s="498">
        <f t="shared" si="191"/>
        <v>0</v>
      </c>
      <c r="AQ503" s="498">
        <f t="shared" si="186"/>
        <v>0</v>
      </c>
      <c r="AU503" s="498">
        <f t="shared" si="173"/>
        <v>0</v>
      </c>
      <c r="AV503" s="498">
        <f t="shared" si="174"/>
        <v>0</v>
      </c>
      <c r="AW503" s="498">
        <f t="shared" si="175"/>
        <v>0</v>
      </c>
      <c r="AX503" s="498">
        <f t="shared" si="176"/>
        <v>0</v>
      </c>
      <c r="AY503" s="498">
        <f t="shared" si="177"/>
        <v>0</v>
      </c>
      <c r="BB503" s="498" t="str">
        <f t="shared" si="178"/>
        <v/>
      </c>
      <c r="BC503" s="743" t="str">
        <f t="shared" si="179"/>
        <v/>
      </c>
      <c r="BD503" s="743" t="str">
        <f t="shared" si="180"/>
        <v/>
      </c>
      <c r="BE503" s="743" t="str">
        <f>IF(D503="","",VLOOKUP(D503,'General Basis'!$J$39:$K$46,2,0))</f>
        <v/>
      </c>
      <c r="BF503" s="744" t="str">
        <f>IF(D503="","",VLOOKUP(D503,'General Basis'!$J$39:$L$46,3,0))</f>
        <v/>
      </c>
      <c r="BG503" s="744" t="str">
        <f t="shared" si="187"/>
        <v/>
      </c>
      <c r="BH503" s="744" t="str">
        <f>IF(G503="","",IF(BF503="Abu Dhabi",IF(G503&lt;18,'General Basis'!$C$39,IF(G503&lt;41,'General Basis'!$C$40,IF(G503&lt;60,'General Basis'!$C$41,IF(G503&lt;65,'General Basis'!$C$42,'General Basis'!$C$43)))),IF(G503&lt;11,'General Basis'!$B$39,IF(G503&lt;18,'General Basis'!$B$40,IF(G503&lt;26,'General Basis'!$B$41,IF(G503&lt;31,'General Basis'!$B$42,IF(G503&lt;36,'General Basis'!$B$43,IF(G503&lt;41,'General Basis'!$B$44,IF(G503&lt;46,'General Basis'!$B$45,IF(G503&lt;51,'General Basis'!$B$46,IF(G503&lt;56,'General Basis'!$B$47,IF(G503&lt;60,'General Basis'!$B$48,IF(G503&lt;65,'General Basis'!$B$49,'General Basis'!$B$50)))))))))))))</f>
        <v/>
      </c>
      <c r="BI503" s="744" t="str">
        <f t="shared" si="181"/>
        <v/>
      </c>
      <c r="BJ503" s="747" t="str">
        <f t="shared" si="188"/>
        <v/>
      </c>
      <c r="BK503" s="498" t="str">
        <f t="shared" si="182"/>
        <v/>
      </c>
      <c r="BL503" s="498" t="str">
        <f t="shared" si="183"/>
        <v/>
      </c>
    </row>
    <row r="504" spans="1:64" x14ac:dyDescent="0.25">
      <c r="A504" s="762">
        <f t="shared" si="184"/>
        <v>499</v>
      </c>
      <c r="B504" s="229"/>
      <c r="C504" s="223"/>
      <c r="D504" s="224"/>
      <c r="E504" s="225"/>
      <c r="F504" s="1036" t="str">
        <f t="shared" si="190"/>
        <v/>
      </c>
      <c r="G504" s="1037" t="str">
        <f t="shared" si="185"/>
        <v/>
      </c>
      <c r="H504" s="225"/>
      <c r="I504" s="1013"/>
      <c r="J504" s="1013"/>
      <c r="K504" s="1028"/>
      <c r="L504" s="1035" t="str">
        <f t="shared" si="189"/>
        <v/>
      </c>
      <c r="S504" s="498"/>
      <c r="AJ504" s="498"/>
      <c r="AM504" s="498">
        <f t="shared" si="170"/>
        <v>0</v>
      </c>
      <c r="AN504" s="498">
        <f t="shared" si="171"/>
        <v>0</v>
      </c>
      <c r="AO504" s="498">
        <f t="shared" si="172"/>
        <v>0</v>
      </c>
      <c r="AP504" s="498">
        <f t="shared" si="191"/>
        <v>0</v>
      </c>
      <c r="AQ504" s="498">
        <f t="shared" si="186"/>
        <v>0</v>
      </c>
      <c r="AU504" s="498">
        <f t="shared" si="173"/>
        <v>0</v>
      </c>
      <c r="AV504" s="498">
        <f t="shared" si="174"/>
        <v>0</v>
      </c>
      <c r="AW504" s="498">
        <f t="shared" si="175"/>
        <v>0</v>
      </c>
      <c r="AX504" s="498">
        <f t="shared" si="176"/>
        <v>0</v>
      </c>
      <c r="AY504" s="498">
        <f t="shared" si="177"/>
        <v>0</v>
      </c>
      <c r="BB504" s="498" t="str">
        <f t="shared" si="178"/>
        <v/>
      </c>
      <c r="BC504" s="743" t="str">
        <f t="shared" si="179"/>
        <v/>
      </c>
      <c r="BD504" s="743" t="str">
        <f t="shared" si="180"/>
        <v/>
      </c>
      <c r="BE504" s="743" t="str">
        <f>IF(D504="","",VLOOKUP(D504,'General Basis'!$J$39:$K$46,2,0))</f>
        <v/>
      </c>
      <c r="BF504" s="744" t="str">
        <f>IF(D504="","",VLOOKUP(D504,'General Basis'!$J$39:$L$46,3,0))</f>
        <v/>
      </c>
      <c r="BG504" s="744" t="str">
        <f t="shared" si="187"/>
        <v/>
      </c>
      <c r="BH504" s="744" t="str">
        <f>IF(G504="","",IF(BF504="Abu Dhabi",IF(G504&lt;18,'General Basis'!$C$39,IF(G504&lt;41,'General Basis'!$C$40,IF(G504&lt;60,'General Basis'!$C$41,IF(G504&lt;65,'General Basis'!$C$42,'General Basis'!$C$43)))),IF(G504&lt;11,'General Basis'!$B$39,IF(G504&lt;18,'General Basis'!$B$40,IF(G504&lt;26,'General Basis'!$B$41,IF(G504&lt;31,'General Basis'!$B$42,IF(G504&lt;36,'General Basis'!$B$43,IF(G504&lt;41,'General Basis'!$B$44,IF(G504&lt;46,'General Basis'!$B$45,IF(G504&lt;51,'General Basis'!$B$46,IF(G504&lt;56,'General Basis'!$B$47,IF(G504&lt;60,'General Basis'!$B$48,IF(G504&lt;65,'General Basis'!$B$49,'General Basis'!$B$50)))))))))))))</f>
        <v/>
      </c>
      <c r="BI504" s="744" t="str">
        <f t="shared" si="181"/>
        <v/>
      </c>
      <c r="BJ504" s="747" t="str">
        <f t="shared" si="188"/>
        <v/>
      </c>
      <c r="BK504" s="498" t="str">
        <f t="shared" si="182"/>
        <v/>
      </c>
      <c r="BL504" s="498" t="str">
        <f t="shared" si="183"/>
        <v/>
      </c>
    </row>
    <row r="505" spans="1:64" x14ac:dyDescent="0.25">
      <c r="A505" s="762">
        <f t="shared" si="184"/>
        <v>500</v>
      </c>
      <c r="B505" s="229"/>
      <c r="C505" s="223"/>
      <c r="D505" s="224"/>
      <c r="E505" s="225"/>
      <c r="F505" s="1036" t="str">
        <f t="shared" si="190"/>
        <v/>
      </c>
      <c r="G505" s="1037" t="str">
        <f t="shared" si="185"/>
        <v/>
      </c>
      <c r="H505" s="225"/>
      <c r="I505" s="1013"/>
      <c r="J505" s="1013"/>
      <c r="K505" s="1028"/>
      <c r="L505" s="1035" t="str">
        <f t="shared" si="189"/>
        <v/>
      </c>
      <c r="S505" s="498"/>
      <c r="AJ505" s="498"/>
      <c r="AM505" s="498">
        <f t="shared" si="170"/>
        <v>0</v>
      </c>
      <c r="AN505" s="498">
        <f t="shared" si="171"/>
        <v>0</v>
      </c>
      <c r="AO505" s="498">
        <f t="shared" si="172"/>
        <v>0</v>
      </c>
      <c r="AP505" s="498">
        <f t="shared" si="191"/>
        <v>0</v>
      </c>
      <c r="AQ505" s="498">
        <f t="shared" si="186"/>
        <v>0</v>
      </c>
      <c r="AU505" s="498">
        <f t="shared" si="173"/>
        <v>0</v>
      </c>
      <c r="AV505" s="498">
        <f t="shared" si="174"/>
        <v>0</v>
      </c>
      <c r="AW505" s="498">
        <f t="shared" si="175"/>
        <v>0</v>
      </c>
      <c r="AX505" s="498">
        <f t="shared" si="176"/>
        <v>0</v>
      </c>
      <c r="AY505" s="498">
        <f t="shared" si="177"/>
        <v>0</v>
      </c>
      <c r="BB505" s="498" t="str">
        <f t="shared" si="178"/>
        <v/>
      </c>
      <c r="BC505" s="743" t="str">
        <f t="shared" si="179"/>
        <v/>
      </c>
      <c r="BD505" s="743" t="str">
        <f t="shared" si="180"/>
        <v/>
      </c>
      <c r="BE505" s="743" t="str">
        <f>IF(D505="","",VLOOKUP(D505,'General Basis'!$J$39:$K$46,2,0))</f>
        <v/>
      </c>
      <c r="BF505" s="744" t="str">
        <f>IF(D505="","",VLOOKUP(D505,'General Basis'!$J$39:$L$46,3,0))</f>
        <v/>
      </c>
      <c r="BG505" s="744" t="str">
        <f t="shared" si="187"/>
        <v/>
      </c>
      <c r="BH505" s="744" t="str">
        <f>IF(G505="","",IF(BF505="Abu Dhabi",IF(G505&lt;18,'General Basis'!$C$39,IF(G505&lt;41,'General Basis'!$C$40,IF(G505&lt;60,'General Basis'!$C$41,IF(G505&lt;65,'General Basis'!$C$42,'General Basis'!$C$43)))),IF(G505&lt;11,'General Basis'!$B$39,IF(G505&lt;18,'General Basis'!$B$40,IF(G505&lt;26,'General Basis'!$B$41,IF(G505&lt;31,'General Basis'!$B$42,IF(G505&lt;36,'General Basis'!$B$43,IF(G505&lt;41,'General Basis'!$B$44,IF(G505&lt;46,'General Basis'!$B$45,IF(G505&lt;51,'General Basis'!$B$46,IF(G505&lt;56,'General Basis'!$B$47,IF(G505&lt;60,'General Basis'!$B$48,IF(G505&lt;65,'General Basis'!$B$49,'General Basis'!$B$50)))))))))))))</f>
        <v/>
      </c>
      <c r="BI505" s="744" t="str">
        <f t="shared" si="181"/>
        <v/>
      </c>
      <c r="BJ505" s="747" t="str">
        <f t="shared" si="188"/>
        <v/>
      </c>
      <c r="BK505" s="498" t="str">
        <f t="shared" si="182"/>
        <v/>
      </c>
      <c r="BL505" s="498" t="str">
        <f t="shared" si="183"/>
        <v/>
      </c>
    </row>
    <row r="506" spans="1:64" x14ac:dyDescent="0.25">
      <c r="A506" s="762">
        <f t="shared" si="184"/>
        <v>501</v>
      </c>
      <c r="B506" s="229"/>
      <c r="C506" s="223"/>
      <c r="D506" s="224"/>
      <c r="E506" s="225"/>
      <c r="F506" s="1036" t="str">
        <f t="shared" si="190"/>
        <v/>
      </c>
      <c r="G506" s="1037" t="str">
        <f t="shared" si="185"/>
        <v/>
      </c>
      <c r="H506" s="225"/>
      <c r="I506" s="1013"/>
      <c r="J506" s="1013"/>
      <c r="K506" s="1028"/>
      <c r="L506" s="1035" t="str">
        <f t="shared" si="189"/>
        <v/>
      </c>
      <c r="S506" s="498"/>
      <c r="AJ506" s="498"/>
      <c r="AM506" s="498">
        <f t="shared" si="170"/>
        <v>0</v>
      </c>
      <c r="AN506" s="498">
        <f t="shared" si="171"/>
        <v>0</v>
      </c>
      <c r="AO506" s="498">
        <f t="shared" si="172"/>
        <v>0</v>
      </c>
      <c r="AP506" s="498">
        <f t="shared" si="191"/>
        <v>0</v>
      </c>
      <c r="AQ506" s="498">
        <f t="shared" si="186"/>
        <v>0</v>
      </c>
      <c r="AU506" s="498">
        <f t="shared" si="173"/>
        <v>0</v>
      </c>
      <c r="AV506" s="498">
        <f t="shared" si="174"/>
        <v>0</v>
      </c>
      <c r="AW506" s="498">
        <f t="shared" si="175"/>
        <v>0</v>
      </c>
      <c r="AX506" s="498">
        <f t="shared" si="176"/>
        <v>0</v>
      </c>
      <c r="AY506" s="498">
        <f t="shared" si="177"/>
        <v>0</v>
      </c>
      <c r="BB506" s="498" t="str">
        <f t="shared" si="178"/>
        <v/>
      </c>
      <c r="BC506" s="743" t="str">
        <f t="shared" si="179"/>
        <v/>
      </c>
      <c r="BD506" s="743" t="str">
        <f t="shared" si="180"/>
        <v/>
      </c>
      <c r="BE506" s="743" t="str">
        <f>IF(D506="","",VLOOKUP(D506,'General Basis'!$J$39:$K$46,2,0))</f>
        <v/>
      </c>
      <c r="BF506" s="744" t="str">
        <f>IF(D506="","",VLOOKUP(D506,'General Basis'!$J$39:$L$46,3,0))</f>
        <v/>
      </c>
      <c r="BG506" s="744" t="str">
        <f t="shared" si="187"/>
        <v/>
      </c>
      <c r="BH506" s="744" t="str">
        <f>IF(G506="","",IF(BF506="Abu Dhabi",IF(G506&lt;18,'General Basis'!$C$39,IF(G506&lt;41,'General Basis'!$C$40,IF(G506&lt;60,'General Basis'!$C$41,IF(G506&lt;65,'General Basis'!$C$42,'General Basis'!$C$43)))),IF(G506&lt;11,'General Basis'!$B$39,IF(G506&lt;18,'General Basis'!$B$40,IF(G506&lt;26,'General Basis'!$B$41,IF(G506&lt;31,'General Basis'!$B$42,IF(G506&lt;36,'General Basis'!$B$43,IF(G506&lt;41,'General Basis'!$B$44,IF(G506&lt;46,'General Basis'!$B$45,IF(G506&lt;51,'General Basis'!$B$46,IF(G506&lt;56,'General Basis'!$B$47,IF(G506&lt;60,'General Basis'!$B$48,IF(G506&lt;65,'General Basis'!$B$49,'General Basis'!$B$50)))))))))))))</f>
        <v/>
      </c>
      <c r="BI506" s="744" t="str">
        <f t="shared" si="181"/>
        <v/>
      </c>
      <c r="BJ506" s="747" t="str">
        <f t="shared" si="188"/>
        <v/>
      </c>
      <c r="BK506" s="498" t="str">
        <f t="shared" si="182"/>
        <v/>
      </c>
      <c r="BL506" s="498" t="str">
        <f t="shared" si="183"/>
        <v/>
      </c>
    </row>
    <row r="507" spans="1:64" x14ac:dyDescent="0.25">
      <c r="A507" s="762">
        <f t="shared" si="184"/>
        <v>502</v>
      </c>
      <c r="B507" s="229"/>
      <c r="C507" s="223"/>
      <c r="D507" s="224"/>
      <c r="E507" s="225"/>
      <c r="F507" s="1036" t="str">
        <f t="shared" si="190"/>
        <v/>
      </c>
      <c r="G507" s="1037" t="str">
        <f t="shared" si="185"/>
        <v/>
      </c>
      <c r="H507" s="225"/>
      <c r="I507" s="1013"/>
      <c r="J507" s="1013"/>
      <c r="K507" s="1028"/>
      <c r="L507" s="1035" t="str">
        <f t="shared" si="189"/>
        <v/>
      </c>
      <c r="S507" s="498"/>
      <c r="AJ507" s="498"/>
      <c r="AM507" s="498">
        <f t="shared" si="170"/>
        <v>0</v>
      </c>
      <c r="AN507" s="498">
        <f t="shared" si="171"/>
        <v>0</v>
      </c>
      <c r="AO507" s="498">
        <f t="shared" si="172"/>
        <v>0</v>
      </c>
      <c r="AP507" s="498">
        <f t="shared" si="191"/>
        <v>0</v>
      </c>
      <c r="AQ507" s="498">
        <f t="shared" si="186"/>
        <v>0</v>
      </c>
      <c r="AU507" s="498">
        <f t="shared" si="173"/>
        <v>0</v>
      </c>
      <c r="AV507" s="498">
        <f t="shared" si="174"/>
        <v>0</v>
      </c>
      <c r="AW507" s="498">
        <f t="shared" si="175"/>
        <v>0</v>
      </c>
      <c r="AX507" s="498">
        <f t="shared" si="176"/>
        <v>0</v>
      </c>
      <c r="AY507" s="498">
        <f t="shared" si="177"/>
        <v>0</v>
      </c>
      <c r="BB507" s="498" t="str">
        <f t="shared" si="178"/>
        <v/>
      </c>
      <c r="BC507" s="743" t="str">
        <f t="shared" si="179"/>
        <v/>
      </c>
      <c r="BD507" s="743" t="str">
        <f t="shared" si="180"/>
        <v/>
      </c>
      <c r="BE507" s="743" t="str">
        <f>IF(D507="","",VLOOKUP(D507,'General Basis'!$J$39:$K$46,2,0))</f>
        <v/>
      </c>
      <c r="BF507" s="744" t="str">
        <f>IF(D507="","",VLOOKUP(D507,'General Basis'!$J$39:$L$46,3,0))</f>
        <v/>
      </c>
      <c r="BG507" s="744" t="str">
        <f t="shared" si="187"/>
        <v/>
      </c>
      <c r="BH507" s="744" t="str">
        <f>IF(G507="","",IF(BF507="Abu Dhabi",IF(G507&lt;18,'General Basis'!$C$39,IF(G507&lt;41,'General Basis'!$C$40,IF(G507&lt;60,'General Basis'!$C$41,IF(G507&lt;65,'General Basis'!$C$42,'General Basis'!$C$43)))),IF(G507&lt;11,'General Basis'!$B$39,IF(G507&lt;18,'General Basis'!$B$40,IF(G507&lt;26,'General Basis'!$B$41,IF(G507&lt;31,'General Basis'!$B$42,IF(G507&lt;36,'General Basis'!$B$43,IF(G507&lt;41,'General Basis'!$B$44,IF(G507&lt;46,'General Basis'!$B$45,IF(G507&lt;51,'General Basis'!$B$46,IF(G507&lt;56,'General Basis'!$B$47,IF(G507&lt;60,'General Basis'!$B$48,IF(G507&lt;65,'General Basis'!$B$49,'General Basis'!$B$50)))))))))))))</f>
        <v/>
      </c>
      <c r="BI507" s="744" t="str">
        <f t="shared" si="181"/>
        <v/>
      </c>
      <c r="BJ507" s="747" t="str">
        <f t="shared" si="188"/>
        <v/>
      </c>
      <c r="BK507" s="498" t="str">
        <f t="shared" si="182"/>
        <v/>
      </c>
      <c r="BL507" s="498" t="str">
        <f t="shared" si="183"/>
        <v/>
      </c>
    </row>
    <row r="508" spans="1:64" x14ac:dyDescent="0.25">
      <c r="A508" s="762">
        <f t="shared" si="184"/>
        <v>503</v>
      </c>
      <c r="B508" s="229"/>
      <c r="C508" s="223"/>
      <c r="D508" s="224"/>
      <c r="E508" s="225"/>
      <c r="F508" s="1036" t="str">
        <f t="shared" si="190"/>
        <v/>
      </c>
      <c r="G508" s="1037" t="str">
        <f t="shared" si="185"/>
        <v/>
      </c>
      <c r="H508" s="225"/>
      <c r="I508" s="1013"/>
      <c r="J508" s="1013"/>
      <c r="K508" s="1028"/>
      <c r="L508" s="1035" t="str">
        <f t="shared" si="189"/>
        <v/>
      </c>
      <c r="S508" s="498"/>
      <c r="AJ508" s="498"/>
      <c r="AM508" s="498">
        <f t="shared" si="170"/>
        <v>0</v>
      </c>
      <c r="AN508" s="498">
        <f t="shared" si="171"/>
        <v>0</v>
      </c>
      <c r="AO508" s="498">
        <f t="shared" si="172"/>
        <v>0</v>
      </c>
      <c r="AP508" s="498">
        <f t="shared" si="191"/>
        <v>0</v>
      </c>
      <c r="AQ508" s="498">
        <f t="shared" si="186"/>
        <v>0</v>
      </c>
      <c r="AU508" s="498">
        <f t="shared" si="173"/>
        <v>0</v>
      </c>
      <c r="AV508" s="498">
        <f t="shared" si="174"/>
        <v>0</v>
      </c>
      <c r="AW508" s="498">
        <f t="shared" si="175"/>
        <v>0</v>
      </c>
      <c r="AX508" s="498">
        <f t="shared" si="176"/>
        <v>0</v>
      </c>
      <c r="AY508" s="498">
        <f t="shared" si="177"/>
        <v>0</v>
      </c>
      <c r="BB508" s="498" t="str">
        <f t="shared" si="178"/>
        <v/>
      </c>
      <c r="BC508" s="743" t="str">
        <f t="shared" si="179"/>
        <v/>
      </c>
      <c r="BD508" s="743" t="str">
        <f t="shared" si="180"/>
        <v/>
      </c>
      <c r="BE508" s="743" t="str">
        <f>IF(D508="","",VLOOKUP(D508,'General Basis'!$J$39:$K$46,2,0))</f>
        <v/>
      </c>
      <c r="BF508" s="744" t="str">
        <f>IF(D508="","",VLOOKUP(D508,'General Basis'!$J$39:$L$46,3,0))</f>
        <v/>
      </c>
      <c r="BG508" s="744" t="str">
        <f t="shared" si="187"/>
        <v/>
      </c>
      <c r="BH508" s="744" t="str">
        <f>IF(G508="","",IF(BF508="Abu Dhabi",IF(G508&lt;18,'General Basis'!$C$39,IF(G508&lt;41,'General Basis'!$C$40,IF(G508&lt;60,'General Basis'!$C$41,IF(G508&lt;65,'General Basis'!$C$42,'General Basis'!$C$43)))),IF(G508&lt;11,'General Basis'!$B$39,IF(G508&lt;18,'General Basis'!$B$40,IF(G508&lt;26,'General Basis'!$B$41,IF(G508&lt;31,'General Basis'!$B$42,IF(G508&lt;36,'General Basis'!$B$43,IF(G508&lt;41,'General Basis'!$B$44,IF(G508&lt;46,'General Basis'!$B$45,IF(G508&lt;51,'General Basis'!$B$46,IF(G508&lt;56,'General Basis'!$B$47,IF(G508&lt;60,'General Basis'!$B$48,IF(G508&lt;65,'General Basis'!$B$49,'General Basis'!$B$50)))))))))))))</f>
        <v/>
      </c>
      <c r="BI508" s="744" t="str">
        <f t="shared" si="181"/>
        <v/>
      </c>
      <c r="BJ508" s="747" t="str">
        <f t="shared" si="188"/>
        <v/>
      </c>
      <c r="BK508" s="498" t="str">
        <f t="shared" si="182"/>
        <v/>
      </c>
      <c r="BL508" s="498" t="str">
        <f t="shared" si="183"/>
        <v/>
      </c>
    </row>
    <row r="509" spans="1:64" x14ac:dyDescent="0.25">
      <c r="A509" s="762">
        <f t="shared" si="184"/>
        <v>504</v>
      </c>
      <c r="B509" s="229"/>
      <c r="C509" s="223"/>
      <c r="D509" s="224"/>
      <c r="E509" s="225"/>
      <c r="F509" s="1036" t="str">
        <f t="shared" si="190"/>
        <v/>
      </c>
      <c r="G509" s="1037" t="str">
        <f t="shared" si="185"/>
        <v/>
      </c>
      <c r="H509" s="225"/>
      <c r="I509" s="1013"/>
      <c r="J509" s="1013"/>
      <c r="K509" s="1028"/>
      <c r="L509" s="1035" t="str">
        <f t="shared" si="189"/>
        <v/>
      </c>
      <c r="S509" s="498"/>
      <c r="AJ509" s="498"/>
      <c r="AM509" s="498">
        <f t="shared" si="170"/>
        <v>0</v>
      </c>
      <c r="AN509" s="498">
        <f t="shared" si="171"/>
        <v>0</v>
      </c>
      <c r="AO509" s="498">
        <f t="shared" si="172"/>
        <v>0</v>
      </c>
      <c r="AP509" s="498">
        <f t="shared" si="191"/>
        <v>0</v>
      </c>
      <c r="AQ509" s="498">
        <f t="shared" si="186"/>
        <v>0</v>
      </c>
      <c r="AU509" s="498">
        <f t="shared" si="173"/>
        <v>0</v>
      </c>
      <c r="AV509" s="498">
        <f t="shared" si="174"/>
        <v>0</v>
      </c>
      <c r="AW509" s="498">
        <f t="shared" si="175"/>
        <v>0</v>
      </c>
      <c r="AX509" s="498">
        <f t="shared" si="176"/>
        <v>0</v>
      </c>
      <c r="AY509" s="498">
        <f t="shared" si="177"/>
        <v>0</v>
      </c>
      <c r="BB509" s="498" t="str">
        <f t="shared" si="178"/>
        <v/>
      </c>
      <c r="BC509" s="743" t="str">
        <f t="shared" si="179"/>
        <v/>
      </c>
      <c r="BD509" s="743" t="str">
        <f t="shared" si="180"/>
        <v/>
      </c>
      <c r="BE509" s="743" t="str">
        <f>IF(D509="","",VLOOKUP(D509,'General Basis'!$J$39:$K$46,2,0))</f>
        <v/>
      </c>
      <c r="BF509" s="744" t="str">
        <f>IF(D509="","",VLOOKUP(D509,'General Basis'!$J$39:$L$46,3,0))</f>
        <v/>
      </c>
      <c r="BG509" s="744" t="str">
        <f t="shared" si="187"/>
        <v/>
      </c>
      <c r="BH509" s="744" t="str">
        <f>IF(G509="","",IF(BF509="Abu Dhabi",IF(G509&lt;18,'General Basis'!$C$39,IF(G509&lt;41,'General Basis'!$C$40,IF(G509&lt;60,'General Basis'!$C$41,IF(G509&lt;65,'General Basis'!$C$42,'General Basis'!$C$43)))),IF(G509&lt;11,'General Basis'!$B$39,IF(G509&lt;18,'General Basis'!$B$40,IF(G509&lt;26,'General Basis'!$B$41,IF(G509&lt;31,'General Basis'!$B$42,IF(G509&lt;36,'General Basis'!$B$43,IF(G509&lt;41,'General Basis'!$B$44,IF(G509&lt;46,'General Basis'!$B$45,IF(G509&lt;51,'General Basis'!$B$46,IF(G509&lt;56,'General Basis'!$B$47,IF(G509&lt;60,'General Basis'!$B$48,IF(G509&lt;65,'General Basis'!$B$49,'General Basis'!$B$50)))))))))))))</f>
        <v/>
      </c>
      <c r="BI509" s="744" t="str">
        <f t="shared" si="181"/>
        <v/>
      </c>
      <c r="BJ509" s="747" t="str">
        <f t="shared" si="188"/>
        <v/>
      </c>
      <c r="BK509" s="498" t="str">
        <f t="shared" si="182"/>
        <v/>
      </c>
      <c r="BL509" s="498" t="str">
        <f t="shared" si="183"/>
        <v/>
      </c>
    </row>
    <row r="510" spans="1:64" x14ac:dyDescent="0.25">
      <c r="A510" s="762">
        <f t="shared" si="184"/>
        <v>505</v>
      </c>
      <c r="B510" s="229"/>
      <c r="C510" s="223"/>
      <c r="D510" s="224"/>
      <c r="E510" s="225"/>
      <c r="F510" s="1036" t="str">
        <f t="shared" si="190"/>
        <v/>
      </c>
      <c r="G510" s="1037" t="str">
        <f t="shared" si="185"/>
        <v/>
      </c>
      <c r="H510" s="225"/>
      <c r="I510" s="1013"/>
      <c r="J510" s="1013"/>
      <c r="K510" s="1028"/>
      <c r="L510" s="1035" t="str">
        <f t="shared" si="189"/>
        <v/>
      </c>
      <c r="S510" s="498"/>
      <c r="AJ510" s="498"/>
      <c r="AM510" s="498">
        <f t="shared" si="170"/>
        <v>0</v>
      </c>
      <c r="AN510" s="498">
        <f t="shared" si="171"/>
        <v>0</v>
      </c>
      <c r="AO510" s="498">
        <f t="shared" si="172"/>
        <v>0</v>
      </c>
      <c r="AP510" s="498">
        <f t="shared" si="191"/>
        <v>0</v>
      </c>
      <c r="AQ510" s="498">
        <f t="shared" si="186"/>
        <v>0</v>
      </c>
      <c r="AU510" s="498">
        <f t="shared" si="173"/>
        <v>0</v>
      </c>
      <c r="AV510" s="498">
        <f t="shared" si="174"/>
        <v>0</v>
      </c>
      <c r="AW510" s="498">
        <f t="shared" si="175"/>
        <v>0</v>
      </c>
      <c r="AX510" s="498">
        <f t="shared" si="176"/>
        <v>0</v>
      </c>
      <c r="AY510" s="498">
        <f t="shared" si="177"/>
        <v>0</v>
      </c>
      <c r="BB510" s="498" t="str">
        <f t="shared" si="178"/>
        <v/>
      </c>
      <c r="BC510" s="743" t="str">
        <f t="shared" si="179"/>
        <v/>
      </c>
      <c r="BD510" s="743" t="str">
        <f t="shared" si="180"/>
        <v/>
      </c>
      <c r="BE510" s="743" t="str">
        <f>IF(D510="","",VLOOKUP(D510,'General Basis'!$J$39:$K$46,2,0))</f>
        <v/>
      </c>
      <c r="BF510" s="744" t="str">
        <f>IF(D510="","",VLOOKUP(D510,'General Basis'!$J$39:$L$46,3,0))</f>
        <v/>
      </c>
      <c r="BG510" s="744" t="str">
        <f t="shared" si="187"/>
        <v/>
      </c>
      <c r="BH510" s="744" t="str">
        <f>IF(G510="","",IF(BF510="Abu Dhabi",IF(G510&lt;18,'General Basis'!$C$39,IF(G510&lt;41,'General Basis'!$C$40,IF(G510&lt;60,'General Basis'!$C$41,IF(G510&lt;65,'General Basis'!$C$42,'General Basis'!$C$43)))),IF(G510&lt;11,'General Basis'!$B$39,IF(G510&lt;18,'General Basis'!$B$40,IF(G510&lt;26,'General Basis'!$B$41,IF(G510&lt;31,'General Basis'!$B$42,IF(G510&lt;36,'General Basis'!$B$43,IF(G510&lt;41,'General Basis'!$B$44,IF(G510&lt;46,'General Basis'!$B$45,IF(G510&lt;51,'General Basis'!$B$46,IF(G510&lt;56,'General Basis'!$B$47,IF(G510&lt;60,'General Basis'!$B$48,IF(G510&lt;65,'General Basis'!$B$49,'General Basis'!$B$50)))))))))))))</f>
        <v/>
      </c>
      <c r="BI510" s="744" t="str">
        <f t="shared" si="181"/>
        <v/>
      </c>
      <c r="BJ510" s="747" t="str">
        <f t="shared" si="188"/>
        <v/>
      </c>
      <c r="BK510" s="498" t="str">
        <f t="shared" si="182"/>
        <v/>
      </c>
      <c r="BL510" s="498" t="str">
        <f t="shared" si="183"/>
        <v/>
      </c>
    </row>
    <row r="511" spans="1:64" x14ac:dyDescent="0.25">
      <c r="A511" s="762">
        <f t="shared" si="184"/>
        <v>506</v>
      </c>
      <c r="B511" s="229"/>
      <c r="C511" s="223"/>
      <c r="D511" s="224"/>
      <c r="E511" s="225"/>
      <c r="F511" s="1036" t="str">
        <f t="shared" si="190"/>
        <v/>
      </c>
      <c r="G511" s="1037" t="str">
        <f t="shared" si="185"/>
        <v/>
      </c>
      <c r="H511" s="225"/>
      <c r="I511" s="1013"/>
      <c r="J511" s="1013"/>
      <c r="K511" s="1028"/>
      <c r="L511" s="1035" t="str">
        <f t="shared" si="189"/>
        <v/>
      </c>
      <c r="S511" s="498"/>
      <c r="AJ511" s="498"/>
      <c r="AM511" s="498">
        <f t="shared" si="170"/>
        <v>0</v>
      </c>
      <c r="AN511" s="498">
        <f t="shared" si="171"/>
        <v>0</v>
      </c>
      <c r="AO511" s="498">
        <f t="shared" si="172"/>
        <v>0</v>
      </c>
      <c r="AP511" s="498">
        <f t="shared" si="191"/>
        <v>0</v>
      </c>
      <c r="AQ511" s="498">
        <f t="shared" si="186"/>
        <v>0</v>
      </c>
      <c r="AU511" s="498">
        <f t="shared" si="173"/>
        <v>0</v>
      </c>
      <c r="AV511" s="498">
        <f t="shared" si="174"/>
        <v>0</v>
      </c>
      <c r="AW511" s="498">
        <f t="shared" si="175"/>
        <v>0</v>
      </c>
      <c r="AX511" s="498">
        <f t="shared" si="176"/>
        <v>0</v>
      </c>
      <c r="AY511" s="498">
        <f t="shared" si="177"/>
        <v>0</v>
      </c>
      <c r="BB511" s="498" t="str">
        <f t="shared" si="178"/>
        <v/>
      </c>
      <c r="BC511" s="743" t="str">
        <f t="shared" si="179"/>
        <v/>
      </c>
      <c r="BD511" s="743" t="str">
        <f t="shared" si="180"/>
        <v/>
      </c>
      <c r="BE511" s="743" t="str">
        <f>IF(D511="","",VLOOKUP(D511,'General Basis'!$J$39:$K$46,2,0))</f>
        <v/>
      </c>
      <c r="BF511" s="744" t="str">
        <f>IF(D511="","",VLOOKUP(D511,'General Basis'!$J$39:$L$46,3,0))</f>
        <v/>
      </c>
      <c r="BG511" s="744" t="str">
        <f t="shared" si="187"/>
        <v/>
      </c>
      <c r="BH511" s="744" t="str">
        <f>IF(G511="","",IF(BF511="Abu Dhabi",IF(G511&lt;18,'General Basis'!$C$39,IF(G511&lt;41,'General Basis'!$C$40,IF(G511&lt;60,'General Basis'!$C$41,IF(G511&lt;65,'General Basis'!$C$42,'General Basis'!$C$43)))),IF(G511&lt;11,'General Basis'!$B$39,IF(G511&lt;18,'General Basis'!$B$40,IF(G511&lt;26,'General Basis'!$B$41,IF(G511&lt;31,'General Basis'!$B$42,IF(G511&lt;36,'General Basis'!$B$43,IF(G511&lt;41,'General Basis'!$B$44,IF(G511&lt;46,'General Basis'!$B$45,IF(G511&lt;51,'General Basis'!$B$46,IF(G511&lt;56,'General Basis'!$B$47,IF(G511&lt;60,'General Basis'!$B$48,IF(G511&lt;65,'General Basis'!$B$49,'General Basis'!$B$50)))))))))))))</f>
        <v/>
      </c>
      <c r="BI511" s="744" t="str">
        <f t="shared" si="181"/>
        <v/>
      </c>
      <c r="BJ511" s="747" t="str">
        <f t="shared" si="188"/>
        <v/>
      </c>
      <c r="BK511" s="498" t="str">
        <f t="shared" si="182"/>
        <v/>
      </c>
      <c r="BL511" s="498" t="str">
        <f t="shared" si="183"/>
        <v/>
      </c>
    </row>
    <row r="512" spans="1:64" x14ac:dyDescent="0.25">
      <c r="A512" s="762">
        <f t="shared" si="184"/>
        <v>507</v>
      </c>
      <c r="B512" s="229"/>
      <c r="C512" s="223"/>
      <c r="D512" s="224"/>
      <c r="E512" s="225"/>
      <c r="F512" s="1036" t="str">
        <f t="shared" si="190"/>
        <v/>
      </c>
      <c r="G512" s="1037" t="str">
        <f t="shared" si="185"/>
        <v/>
      </c>
      <c r="H512" s="225"/>
      <c r="I512" s="1013"/>
      <c r="J512" s="1013"/>
      <c r="K512" s="1028"/>
      <c r="L512" s="1035" t="str">
        <f t="shared" si="189"/>
        <v/>
      </c>
      <c r="S512" s="498"/>
      <c r="AJ512" s="498"/>
      <c r="AM512" s="498">
        <f t="shared" si="170"/>
        <v>0</v>
      </c>
      <c r="AN512" s="498">
        <f t="shared" si="171"/>
        <v>0</v>
      </c>
      <c r="AO512" s="498">
        <f t="shared" si="172"/>
        <v>0</v>
      </c>
      <c r="AP512" s="498">
        <f t="shared" si="191"/>
        <v>0</v>
      </c>
      <c r="AQ512" s="498">
        <f t="shared" si="186"/>
        <v>0</v>
      </c>
      <c r="AU512" s="498">
        <f t="shared" si="173"/>
        <v>0</v>
      </c>
      <c r="AV512" s="498">
        <f t="shared" si="174"/>
        <v>0</v>
      </c>
      <c r="AW512" s="498">
        <f t="shared" si="175"/>
        <v>0</v>
      </c>
      <c r="AX512" s="498">
        <f t="shared" si="176"/>
        <v>0</v>
      </c>
      <c r="AY512" s="498">
        <f t="shared" si="177"/>
        <v>0</v>
      </c>
      <c r="BB512" s="498" t="str">
        <f t="shared" si="178"/>
        <v/>
      </c>
      <c r="BC512" s="743" t="str">
        <f t="shared" si="179"/>
        <v/>
      </c>
      <c r="BD512" s="743" t="str">
        <f t="shared" si="180"/>
        <v/>
      </c>
      <c r="BE512" s="743" t="str">
        <f>IF(D512="","",VLOOKUP(D512,'General Basis'!$J$39:$K$46,2,0))</f>
        <v/>
      </c>
      <c r="BF512" s="744" t="str">
        <f>IF(D512="","",VLOOKUP(D512,'General Basis'!$J$39:$L$46,3,0))</f>
        <v/>
      </c>
      <c r="BG512" s="744" t="str">
        <f t="shared" si="187"/>
        <v/>
      </c>
      <c r="BH512" s="744" t="str">
        <f>IF(G512="","",IF(BF512="Abu Dhabi",IF(G512&lt;18,'General Basis'!$C$39,IF(G512&lt;41,'General Basis'!$C$40,IF(G512&lt;60,'General Basis'!$C$41,IF(G512&lt;65,'General Basis'!$C$42,'General Basis'!$C$43)))),IF(G512&lt;11,'General Basis'!$B$39,IF(G512&lt;18,'General Basis'!$B$40,IF(G512&lt;26,'General Basis'!$B$41,IF(G512&lt;31,'General Basis'!$B$42,IF(G512&lt;36,'General Basis'!$B$43,IF(G512&lt;41,'General Basis'!$B$44,IF(G512&lt;46,'General Basis'!$B$45,IF(G512&lt;51,'General Basis'!$B$46,IF(G512&lt;56,'General Basis'!$B$47,IF(G512&lt;60,'General Basis'!$B$48,IF(G512&lt;65,'General Basis'!$B$49,'General Basis'!$B$50)))))))))))))</f>
        <v/>
      </c>
      <c r="BI512" s="744" t="str">
        <f t="shared" si="181"/>
        <v/>
      </c>
      <c r="BJ512" s="747" t="str">
        <f t="shared" si="188"/>
        <v/>
      </c>
      <c r="BK512" s="498" t="str">
        <f t="shared" si="182"/>
        <v/>
      </c>
      <c r="BL512" s="498" t="str">
        <f t="shared" si="183"/>
        <v/>
      </c>
    </row>
    <row r="513" spans="1:64" x14ac:dyDescent="0.25">
      <c r="A513" s="762">
        <f t="shared" si="184"/>
        <v>508</v>
      </c>
      <c r="B513" s="229"/>
      <c r="C513" s="223"/>
      <c r="D513" s="224"/>
      <c r="E513" s="225"/>
      <c r="F513" s="1036" t="str">
        <f t="shared" si="190"/>
        <v/>
      </c>
      <c r="G513" s="1037" t="str">
        <f t="shared" si="185"/>
        <v/>
      </c>
      <c r="H513" s="225"/>
      <c r="I513" s="1013"/>
      <c r="J513" s="1013"/>
      <c r="K513" s="1028"/>
      <c r="L513" s="1035" t="str">
        <f t="shared" si="189"/>
        <v/>
      </c>
      <c r="S513" s="498"/>
      <c r="AJ513" s="498"/>
      <c r="AM513" s="498">
        <f t="shared" si="170"/>
        <v>0</v>
      </c>
      <c r="AN513" s="498">
        <f t="shared" si="171"/>
        <v>0</v>
      </c>
      <c r="AO513" s="498">
        <f t="shared" si="172"/>
        <v>0</v>
      </c>
      <c r="AP513" s="498">
        <f t="shared" si="191"/>
        <v>0</v>
      </c>
      <c r="AQ513" s="498">
        <f t="shared" si="186"/>
        <v>0</v>
      </c>
      <c r="AU513" s="498">
        <f t="shared" si="173"/>
        <v>0</v>
      </c>
      <c r="AV513" s="498">
        <f t="shared" si="174"/>
        <v>0</v>
      </c>
      <c r="AW513" s="498">
        <f t="shared" si="175"/>
        <v>0</v>
      </c>
      <c r="AX513" s="498">
        <f t="shared" si="176"/>
        <v>0</v>
      </c>
      <c r="AY513" s="498">
        <f t="shared" si="177"/>
        <v>0</v>
      </c>
      <c r="BB513" s="498" t="str">
        <f t="shared" si="178"/>
        <v/>
      </c>
      <c r="BC513" s="743" t="str">
        <f t="shared" si="179"/>
        <v/>
      </c>
      <c r="BD513" s="743" t="str">
        <f t="shared" si="180"/>
        <v/>
      </c>
      <c r="BE513" s="743" t="str">
        <f>IF(D513="","",VLOOKUP(D513,'General Basis'!$J$39:$K$46,2,0))</f>
        <v/>
      </c>
      <c r="BF513" s="744" t="str">
        <f>IF(D513="","",VLOOKUP(D513,'General Basis'!$J$39:$L$46,3,0))</f>
        <v/>
      </c>
      <c r="BG513" s="744" t="str">
        <f t="shared" si="187"/>
        <v/>
      </c>
      <c r="BH513" s="744" t="str">
        <f>IF(G513="","",IF(BF513="Abu Dhabi",IF(G513&lt;18,'General Basis'!$C$39,IF(G513&lt;41,'General Basis'!$C$40,IF(G513&lt;60,'General Basis'!$C$41,IF(G513&lt;65,'General Basis'!$C$42,'General Basis'!$C$43)))),IF(G513&lt;11,'General Basis'!$B$39,IF(G513&lt;18,'General Basis'!$B$40,IF(G513&lt;26,'General Basis'!$B$41,IF(G513&lt;31,'General Basis'!$B$42,IF(G513&lt;36,'General Basis'!$B$43,IF(G513&lt;41,'General Basis'!$B$44,IF(G513&lt;46,'General Basis'!$B$45,IF(G513&lt;51,'General Basis'!$B$46,IF(G513&lt;56,'General Basis'!$B$47,IF(G513&lt;60,'General Basis'!$B$48,IF(G513&lt;65,'General Basis'!$B$49,'General Basis'!$B$50)))))))))))))</f>
        <v/>
      </c>
      <c r="BI513" s="744" t="str">
        <f t="shared" si="181"/>
        <v/>
      </c>
      <c r="BJ513" s="747" t="str">
        <f t="shared" si="188"/>
        <v/>
      </c>
      <c r="BK513" s="498" t="str">
        <f t="shared" si="182"/>
        <v/>
      </c>
      <c r="BL513" s="498" t="str">
        <f t="shared" si="183"/>
        <v/>
      </c>
    </row>
    <row r="514" spans="1:64" x14ac:dyDescent="0.25">
      <c r="A514" s="762">
        <f t="shared" si="184"/>
        <v>509</v>
      </c>
      <c r="B514" s="229"/>
      <c r="C514" s="223"/>
      <c r="D514" s="224"/>
      <c r="E514" s="225"/>
      <c r="F514" s="1036" t="str">
        <f t="shared" si="190"/>
        <v/>
      </c>
      <c r="G514" s="1037" t="str">
        <f t="shared" si="185"/>
        <v/>
      </c>
      <c r="H514" s="225"/>
      <c r="I514" s="1013"/>
      <c r="J514" s="1013"/>
      <c r="K514" s="1028"/>
      <c r="L514" s="1035" t="str">
        <f t="shared" si="189"/>
        <v/>
      </c>
      <c r="S514" s="498"/>
      <c r="AJ514" s="498"/>
      <c r="AM514" s="498">
        <f t="shared" si="170"/>
        <v>0</v>
      </c>
      <c r="AN514" s="498">
        <f t="shared" si="171"/>
        <v>0</v>
      </c>
      <c r="AO514" s="498">
        <f t="shared" si="172"/>
        <v>0</v>
      </c>
      <c r="AP514" s="498">
        <f t="shared" si="191"/>
        <v>0</v>
      </c>
      <c r="AQ514" s="498">
        <f t="shared" si="186"/>
        <v>0</v>
      </c>
      <c r="AU514" s="498">
        <f t="shared" si="173"/>
        <v>0</v>
      </c>
      <c r="AV514" s="498">
        <f t="shared" si="174"/>
        <v>0</v>
      </c>
      <c r="AW514" s="498">
        <f t="shared" si="175"/>
        <v>0</v>
      </c>
      <c r="AX514" s="498">
        <f t="shared" si="176"/>
        <v>0</v>
      </c>
      <c r="AY514" s="498">
        <f t="shared" si="177"/>
        <v>0</v>
      </c>
      <c r="BB514" s="498" t="str">
        <f t="shared" si="178"/>
        <v/>
      </c>
      <c r="BC514" s="743" t="str">
        <f t="shared" si="179"/>
        <v/>
      </c>
      <c r="BD514" s="743" t="str">
        <f t="shared" si="180"/>
        <v/>
      </c>
      <c r="BE514" s="743" t="str">
        <f>IF(D514="","",VLOOKUP(D514,'General Basis'!$J$39:$K$46,2,0))</f>
        <v/>
      </c>
      <c r="BF514" s="744" t="str">
        <f>IF(D514="","",VLOOKUP(D514,'General Basis'!$J$39:$L$46,3,0))</f>
        <v/>
      </c>
      <c r="BG514" s="744" t="str">
        <f t="shared" si="187"/>
        <v/>
      </c>
      <c r="BH514" s="744" t="str">
        <f>IF(G514="","",IF(BF514="Abu Dhabi",IF(G514&lt;18,'General Basis'!$C$39,IF(G514&lt;41,'General Basis'!$C$40,IF(G514&lt;60,'General Basis'!$C$41,IF(G514&lt;65,'General Basis'!$C$42,'General Basis'!$C$43)))),IF(G514&lt;11,'General Basis'!$B$39,IF(G514&lt;18,'General Basis'!$B$40,IF(G514&lt;26,'General Basis'!$B$41,IF(G514&lt;31,'General Basis'!$B$42,IF(G514&lt;36,'General Basis'!$B$43,IF(G514&lt;41,'General Basis'!$B$44,IF(G514&lt;46,'General Basis'!$B$45,IF(G514&lt;51,'General Basis'!$B$46,IF(G514&lt;56,'General Basis'!$B$47,IF(G514&lt;60,'General Basis'!$B$48,IF(G514&lt;65,'General Basis'!$B$49,'General Basis'!$B$50)))))))))))))</f>
        <v/>
      </c>
      <c r="BI514" s="744" t="str">
        <f t="shared" si="181"/>
        <v/>
      </c>
      <c r="BJ514" s="747" t="str">
        <f t="shared" si="188"/>
        <v/>
      </c>
      <c r="BK514" s="498" t="str">
        <f t="shared" si="182"/>
        <v/>
      </c>
      <c r="BL514" s="498" t="str">
        <f t="shared" si="183"/>
        <v/>
      </c>
    </row>
    <row r="515" spans="1:64" x14ac:dyDescent="0.25">
      <c r="A515" s="762">
        <f t="shared" si="184"/>
        <v>510</v>
      </c>
      <c r="B515" s="229"/>
      <c r="C515" s="223"/>
      <c r="D515" s="224"/>
      <c r="E515" s="225"/>
      <c r="F515" s="1036" t="str">
        <f t="shared" si="190"/>
        <v/>
      </c>
      <c r="G515" s="1037" t="str">
        <f t="shared" si="185"/>
        <v/>
      </c>
      <c r="H515" s="225"/>
      <c r="I515" s="1013"/>
      <c r="J515" s="1013"/>
      <c r="K515" s="1028"/>
      <c r="L515" s="1035" t="str">
        <f t="shared" si="189"/>
        <v/>
      </c>
      <c r="S515" s="498"/>
      <c r="AJ515" s="498"/>
      <c r="AM515" s="498">
        <f t="shared" si="170"/>
        <v>0</v>
      </c>
      <c r="AN515" s="498">
        <f t="shared" si="171"/>
        <v>0</v>
      </c>
      <c r="AO515" s="498">
        <f t="shared" si="172"/>
        <v>0</v>
      </c>
      <c r="AP515" s="498">
        <f t="shared" si="191"/>
        <v>0</v>
      </c>
      <c r="AQ515" s="498">
        <f t="shared" si="186"/>
        <v>0</v>
      </c>
      <c r="AU515" s="498">
        <f t="shared" si="173"/>
        <v>0</v>
      </c>
      <c r="AV515" s="498">
        <f t="shared" si="174"/>
        <v>0</v>
      </c>
      <c r="AW515" s="498">
        <f t="shared" si="175"/>
        <v>0</v>
      </c>
      <c r="AX515" s="498">
        <f t="shared" si="176"/>
        <v>0</v>
      </c>
      <c r="AY515" s="498">
        <f t="shared" si="177"/>
        <v>0</v>
      </c>
      <c r="BB515" s="498" t="str">
        <f t="shared" si="178"/>
        <v/>
      </c>
      <c r="BC515" s="743" t="str">
        <f t="shared" si="179"/>
        <v/>
      </c>
      <c r="BD515" s="743" t="str">
        <f t="shared" si="180"/>
        <v/>
      </c>
      <c r="BE515" s="743" t="str">
        <f>IF(D515="","",VLOOKUP(D515,'General Basis'!$J$39:$K$46,2,0))</f>
        <v/>
      </c>
      <c r="BF515" s="744" t="str">
        <f>IF(D515="","",VLOOKUP(D515,'General Basis'!$J$39:$L$46,3,0))</f>
        <v/>
      </c>
      <c r="BG515" s="744" t="str">
        <f t="shared" si="187"/>
        <v/>
      </c>
      <c r="BH515" s="744" t="str">
        <f>IF(G515="","",IF(BF515="Abu Dhabi",IF(G515&lt;18,'General Basis'!$C$39,IF(G515&lt;41,'General Basis'!$C$40,IF(G515&lt;60,'General Basis'!$C$41,IF(G515&lt;65,'General Basis'!$C$42,'General Basis'!$C$43)))),IF(G515&lt;11,'General Basis'!$B$39,IF(G515&lt;18,'General Basis'!$B$40,IF(G515&lt;26,'General Basis'!$B$41,IF(G515&lt;31,'General Basis'!$B$42,IF(G515&lt;36,'General Basis'!$B$43,IF(G515&lt;41,'General Basis'!$B$44,IF(G515&lt;46,'General Basis'!$B$45,IF(G515&lt;51,'General Basis'!$B$46,IF(G515&lt;56,'General Basis'!$B$47,IF(G515&lt;60,'General Basis'!$B$48,IF(G515&lt;65,'General Basis'!$B$49,'General Basis'!$B$50)))))))))))))</f>
        <v/>
      </c>
      <c r="BI515" s="744" t="str">
        <f t="shared" si="181"/>
        <v/>
      </c>
      <c r="BJ515" s="747" t="str">
        <f t="shared" si="188"/>
        <v/>
      </c>
      <c r="BK515" s="498" t="str">
        <f t="shared" si="182"/>
        <v/>
      </c>
      <c r="BL515" s="498" t="str">
        <f t="shared" si="183"/>
        <v/>
      </c>
    </row>
    <row r="516" spans="1:64" x14ac:dyDescent="0.25">
      <c r="A516" s="762">
        <f t="shared" si="184"/>
        <v>511</v>
      </c>
      <c r="B516" s="229"/>
      <c r="C516" s="223"/>
      <c r="D516" s="224"/>
      <c r="E516" s="225"/>
      <c r="F516" s="1036" t="str">
        <f t="shared" si="190"/>
        <v/>
      </c>
      <c r="G516" s="1037" t="str">
        <f t="shared" si="185"/>
        <v/>
      </c>
      <c r="H516" s="225"/>
      <c r="I516" s="1013"/>
      <c r="J516" s="1013"/>
      <c r="K516" s="1028"/>
      <c r="L516" s="1035" t="str">
        <f t="shared" si="189"/>
        <v/>
      </c>
      <c r="S516" s="498"/>
      <c r="AJ516" s="498"/>
      <c r="AM516" s="498">
        <f t="shared" si="170"/>
        <v>0</v>
      </c>
      <c r="AN516" s="498">
        <f t="shared" si="171"/>
        <v>0</v>
      </c>
      <c r="AO516" s="498">
        <f t="shared" si="172"/>
        <v>0</v>
      </c>
      <c r="AP516" s="498">
        <f t="shared" si="191"/>
        <v>0</v>
      </c>
      <c r="AQ516" s="498">
        <f t="shared" si="186"/>
        <v>0</v>
      </c>
      <c r="AU516" s="498">
        <f t="shared" si="173"/>
        <v>0</v>
      </c>
      <c r="AV516" s="498">
        <f t="shared" si="174"/>
        <v>0</v>
      </c>
      <c r="AW516" s="498">
        <f t="shared" si="175"/>
        <v>0</v>
      </c>
      <c r="AX516" s="498">
        <f t="shared" si="176"/>
        <v>0</v>
      </c>
      <c r="AY516" s="498">
        <f t="shared" si="177"/>
        <v>0</v>
      </c>
      <c r="BB516" s="498" t="str">
        <f t="shared" si="178"/>
        <v/>
      </c>
      <c r="BC516" s="743" t="str">
        <f t="shared" si="179"/>
        <v/>
      </c>
      <c r="BD516" s="743" t="str">
        <f t="shared" si="180"/>
        <v/>
      </c>
      <c r="BE516" s="743" t="str">
        <f>IF(D516="","",VLOOKUP(D516,'General Basis'!$J$39:$K$46,2,0))</f>
        <v/>
      </c>
      <c r="BF516" s="744" t="str">
        <f>IF(D516="","",VLOOKUP(D516,'General Basis'!$J$39:$L$46,3,0))</f>
        <v/>
      </c>
      <c r="BG516" s="744" t="str">
        <f t="shared" si="187"/>
        <v/>
      </c>
      <c r="BH516" s="744" t="str">
        <f>IF(G516="","",IF(BF516="Abu Dhabi",IF(G516&lt;18,'General Basis'!$C$39,IF(G516&lt;41,'General Basis'!$C$40,IF(G516&lt;60,'General Basis'!$C$41,IF(G516&lt;65,'General Basis'!$C$42,'General Basis'!$C$43)))),IF(G516&lt;11,'General Basis'!$B$39,IF(G516&lt;18,'General Basis'!$B$40,IF(G516&lt;26,'General Basis'!$B$41,IF(G516&lt;31,'General Basis'!$B$42,IF(G516&lt;36,'General Basis'!$B$43,IF(G516&lt;41,'General Basis'!$B$44,IF(G516&lt;46,'General Basis'!$B$45,IF(G516&lt;51,'General Basis'!$B$46,IF(G516&lt;56,'General Basis'!$B$47,IF(G516&lt;60,'General Basis'!$B$48,IF(G516&lt;65,'General Basis'!$B$49,'General Basis'!$B$50)))))))))))))</f>
        <v/>
      </c>
      <c r="BI516" s="744" t="str">
        <f t="shared" si="181"/>
        <v/>
      </c>
      <c r="BJ516" s="747" t="str">
        <f t="shared" si="188"/>
        <v/>
      </c>
      <c r="BK516" s="498" t="str">
        <f t="shared" si="182"/>
        <v/>
      </c>
      <c r="BL516" s="498" t="str">
        <f t="shared" si="183"/>
        <v/>
      </c>
    </row>
    <row r="517" spans="1:64" x14ac:dyDescent="0.25">
      <c r="A517" s="762">
        <f t="shared" si="184"/>
        <v>512</v>
      </c>
      <c r="B517" s="229"/>
      <c r="C517" s="223"/>
      <c r="D517" s="224"/>
      <c r="E517" s="225"/>
      <c r="F517" s="1036" t="str">
        <f t="shared" si="190"/>
        <v/>
      </c>
      <c r="G517" s="1037" t="str">
        <f t="shared" si="185"/>
        <v/>
      </c>
      <c r="H517" s="225"/>
      <c r="I517" s="1013"/>
      <c r="J517" s="1013"/>
      <c r="K517" s="1028"/>
      <c r="L517" s="1035" t="str">
        <f t="shared" si="189"/>
        <v/>
      </c>
      <c r="S517" s="498"/>
      <c r="AJ517" s="498"/>
      <c r="AM517" s="498">
        <f t="shared" si="170"/>
        <v>0</v>
      </c>
      <c r="AN517" s="498">
        <f t="shared" si="171"/>
        <v>0</v>
      </c>
      <c r="AO517" s="498">
        <f t="shared" si="172"/>
        <v>0</v>
      </c>
      <c r="AP517" s="498">
        <f t="shared" si="191"/>
        <v>0</v>
      </c>
      <c r="AQ517" s="498">
        <f t="shared" si="186"/>
        <v>0</v>
      </c>
      <c r="AU517" s="498">
        <f t="shared" si="173"/>
        <v>0</v>
      </c>
      <c r="AV517" s="498">
        <f t="shared" si="174"/>
        <v>0</v>
      </c>
      <c r="AW517" s="498">
        <f t="shared" si="175"/>
        <v>0</v>
      </c>
      <c r="AX517" s="498">
        <f t="shared" si="176"/>
        <v>0</v>
      </c>
      <c r="AY517" s="498">
        <f t="shared" si="177"/>
        <v>0</v>
      </c>
      <c r="BB517" s="498" t="str">
        <f t="shared" si="178"/>
        <v/>
      </c>
      <c r="BC517" s="743" t="str">
        <f t="shared" si="179"/>
        <v/>
      </c>
      <c r="BD517" s="743" t="str">
        <f t="shared" si="180"/>
        <v/>
      </c>
      <c r="BE517" s="743" t="str">
        <f>IF(D517="","",VLOOKUP(D517,'General Basis'!$J$39:$K$46,2,0))</f>
        <v/>
      </c>
      <c r="BF517" s="744" t="str">
        <f>IF(D517="","",VLOOKUP(D517,'General Basis'!$J$39:$L$46,3,0))</f>
        <v/>
      </c>
      <c r="BG517" s="744" t="str">
        <f t="shared" si="187"/>
        <v/>
      </c>
      <c r="BH517" s="744" t="str">
        <f>IF(G517="","",IF(BF517="Abu Dhabi",IF(G517&lt;18,'General Basis'!$C$39,IF(G517&lt;41,'General Basis'!$C$40,IF(G517&lt;60,'General Basis'!$C$41,IF(G517&lt;65,'General Basis'!$C$42,'General Basis'!$C$43)))),IF(G517&lt;11,'General Basis'!$B$39,IF(G517&lt;18,'General Basis'!$B$40,IF(G517&lt;26,'General Basis'!$B$41,IF(G517&lt;31,'General Basis'!$B$42,IF(G517&lt;36,'General Basis'!$B$43,IF(G517&lt;41,'General Basis'!$B$44,IF(G517&lt;46,'General Basis'!$B$45,IF(G517&lt;51,'General Basis'!$B$46,IF(G517&lt;56,'General Basis'!$B$47,IF(G517&lt;60,'General Basis'!$B$48,IF(G517&lt;65,'General Basis'!$B$49,'General Basis'!$B$50)))))))))))))</f>
        <v/>
      </c>
      <c r="BI517" s="744" t="str">
        <f t="shared" si="181"/>
        <v/>
      </c>
      <c r="BJ517" s="747" t="str">
        <f t="shared" si="188"/>
        <v/>
      </c>
      <c r="BK517" s="498" t="str">
        <f t="shared" si="182"/>
        <v/>
      </c>
      <c r="BL517" s="498" t="str">
        <f t="shared" si="183"/>
        <v/>
      </c>
    </row>
    <row r="518" spans="1:64" x14ac:dyDescent="0.25">
      <c r="A518" s="762">
        <f t="shared" si="184"/>
        <v>513</v>
      </c>
      <c r="B518" s="229"/>
      <c r="C518" s="223"/>
      <c r="D518" s="224"/>
      <c r="E518" s="225"/>
      <c r="F518" s="1036" t="str">
        <f t="shared" si="190"/>
        <v/>
      </c>
      <c r="G518" s="1037" t="str">
        <f t="shared" si="185"/>
        <v/>
      </c>
      <c r="H518" s="225"/>
      <c r="I518" s="1013"/>
      <c r="J518" s="1013"/>
      <c r="K518" s="1028"/>
      <c r="L518" s="1035" t="str">
        <f t="shared" si="189"/>
        <v/>
      </c>
      <c r="S518" s="498"/>
      <c r="AJ518" s="498"/>
      <c r="AM518" s="498">
        <f t="shared" ref="AM518:AM581" si="192">IF(ISTEXT(B518),1,0)</f>
        <v>0</v>
      </c>
      <c r="AN518" s="498">
        <f t="shared" ref="AN518:AN581" si="193">IF(ISBLANK(B518),0,IF(B518&lt;$AK$6,1,0))</f>
        <v>0</v>
      </c>
      <c r="AO518" s="498">
        <f t="shared" ref="AO518:AO581" si="194">IF(ISBLANK(B518),0,IF(B518&gt;$AK$7,1,0))</f>
        <v>0</v>
      </c>
      <c r="AP518" s="498">
        <f t="shared" si="191"/>
        <v>0</v>
      </c>
      <c r="AQ518" s="498">
        <f t="shared" si="186"/>
        <v>0</v>
      </c>
      <c r="AU518" s="498">
        <f t="shared" ref="AU518:AU581" si="195">IF(ISBLANK(B518),0,1)</f>
        <v>0</v>
      </c>
      <c r="AV518" s="498">
        <f t="shared" ref="AV518:AV581" si="196">IF(ISBLANK(C518),0,1)</f>
        <v>0</v>
      </c>
      <c r="AW518" s="498">
        <f t="shared" ref="AW518:AW581" si="197">IF(ISBLANK(D518),0,1)</f>
        <v>0</v>
      </c>
      <c r="AX518" s="498">
        <f t="shared" ref="AX518:AX581" si="198">IF(ISBLANK(E518),0,1)</f>
        <v>0</v>
      </c>
      <c r="AY518" s="498">
        <f t="shared" ref="AY518:AY581" si="199">IF(ISBLANK(H518),0,1)</f>
        <v>0</v>
      </c>
      <c r="BB518" s="498" t="str">
        <f t="shared" ref="BB518:BB581" si="200">IF(E518="Principal","Principal",IF(E518="","","Other"))</f>
        <v/>
      </c>
      <c r="BC518" s="743" t="str">
        <f t="shared" ref="BC518:BC581" si="201">IF(D518="","",D518)</f>
        <v/>
      </c>
      <c r="BD518" s="743" t="str">
        <f t="shared" ref="BD518:BD581" si="202">IF(E518="Principal","Employee",IF(E518="","","Dependent"))</f>
        <v/>
      </c>
      <c r="BE518" s="743" t="str">
        <f>IF(D518="","",VLOOKUP(D518,'General Basis'!$J$39:$K$46,2,0))</f>
        <v/>
      </c>
      <c r="BF518" s="744" t="str">
        <f>IF(D518="","",VLOOKUP(D518,'General Basis'!$J$39:$L$46,3,0))</f>
        <v/>
      </c>
      <c r="BG518" s="744" t="str">
        <f t="shared" si="187"/>
        <v/>
      </c>
      <c r="BH518" s="744" t="str">
        <f>IF(G518="","",IF(BF518="Abu Dhabi",IF(G518&lt;18,'General Basis'!$C$39,IF(G518&lt;41,'General Basis'!$C$40,IF(G518&lt;60,'General Basis'!$C$41,IF(G518&lt;65,'General Basis'!$C$42,'General Basis'!$C$43)))),IF(G518&lt;11,'General Basis'!$B$39,IF(G518&lt;18,'General Basis'!$B$40,IF(G518&lt;26,'General Basis'!$B$41,IF(G518&lt;31,'General Basis'!$B$42,IF(G518&lt;36,'General Basis'!$B$43,IF(G518&lt;41,'General Basis'!$B$44,IF(G518&lt;46,'General Basis'!$B$45,IF(G518&lt;51,'General Basis'!$B$46,IF(G518&lt;56,'General Basis'!$B$47,IF(G518&lt;60,'General Basis'!$B$48,IF(G518&lt;65,'General Basis'!$B$49,'General Basis'!$B$50)))))))))))))</f>
        <v/>
      </c>
      <c r="BI518" s="744" t="str">
        <f t="shared" ref="BI518:BI581" si="203">IF(C518="","",IF(C518="M","Male","Female"))</f>
        <v/>
      </c>
      <c r="BJ518" s="747" t="str">
        <f t="shared" si="188"/>
        <v/>
      </c>
      <c r="BK518" s="498" t="str">
        <f t="shared" ref="BK518:BK581" si="204">IF(BD518="","",IF(AND(BD518="Employee",BI518="Male",BF518="Abu Dhabi",BE518=GN_Plus),VLOOKUP(BH518,AUH_MALE_EMP,2,0),IF(AND(BD518="Employee",BI518="Male",BF518="Abu Dhabi",BE518=GN),VLOOKUP(BH518,AUH_MALE_EMP,3,0),IF(AND(BD518="Employee",BI518="Male",BF518="Abu Dhabi",BE518=RN_Plus),VLOOKUP(BH518,AUH_MALE_EMP,4,0),IF(AND(BD518="Employee",BI518="Male",BF518="Abu Dhabi",BE518=RN),VLOOKUP(BH518,AUH_MALE_EMP,5,0),IF(AND(BD518="Employee",BI518="Male",BF518="Abu Dhabi",BE518=RN_2),VLOOKUP(BH518,AUH_MALE_EMP,6,0),IF(AND(BD518="Employee",BI518="Male",BF518="Abu Dhabi",BE518=RN2_minus),VLOOKUP(BH518,AUH_MALE_EMP,7,0),IF(AND(BD518="Employee",BI518="Male",BF518="Abu Dhabi",BE518=RN_3),VLOOKUP(BH518,AUH_MALE_EMP,8,0),IF(AND(BD518="Employee",BI518="Male",BF518="Abu Dhabi",BE518=VN),VLOOKUP(BH518,AUH_MALE_EMP,9,0),IF(BD518="","",IF(AND(BD518="Employee",BI518="Female",BF518="Abu Dhabi",BE518=GN_Plus),VLOOKUP(BH518,AUH_FEMALE_EMP,2,0),IF(AND(BD518="Employee",BI518="Female",BF518="Abu Dhabi",BE518=GN),VLOOKUP(BH518,AUH_FEMALE_EMP,3,0),IF(AND(BD518="Employee",BI518="Female",BF518="Abu Dhabi",BE518=RN_Plus),VLOOKUP(BH518,AUH_FEMALE_EMP,4,0),IF(AND(BD518="Employee",BI518="Female",BF518="Abu Dhabi",BE518=RN),VLOOKUP(BH518,AUH_FEMALE_EMP,5,0),IF(AND(BD518="Employee",BI518="Female",BF518="Abu Dhabi",BE518=RN_2),VLOOKUP(BH518,AUH_FEMALE_EMP,6,0),IF(AND(BD518="Employee",BI518="Female",BF518="Abu Dhabi",BE518=RN2_minus),VLOOKUP(BH518,AUH_FEMALE_EMP,7,0),IF(AND(BD518="Employee",BI518="Female",BF518="Abu Dhabi",BE518=RN_3),VLOOKUP(BH518,AUH_FEMALE_EMP,8,0),IF(AND(BD518="Employee",BI518="Female",BF518="Abu Dhabi",BE518=VN),VLOOKUP(BH518,AUH_FEMALE_EMP,9,0),IF(BD518="","",IF(AND(BD518="Dependent",BI518="Male",BF518="Abu Dhabi",BE518=GN_Plus),VLOOKUP(BH518,AUH_MALE_DEP,2,0),IF(AND(BD518="Dependent",BI518="Male",BF518="Abu Dhabi",BE518=GN),VLOOKUP(BH518,AUH_MALE_DEP,3,0),IF(AND(BD518="Dependent",BI518="Male",BF518="Abu Dhabi",BE518=RN_Plus),VLOOKUP(BH518,AUH_MALE_DEP,4,0),IF(AND(BD518="Dependent",BI518="Male",BF518="Abu Dhabi",BE518=RN),VLOOKUP(BH518,AUH_MALE_DEP,5,0),IF(AND(BD518="Dependent",BI518="Male",BF518="Abu Dhabi",BE518=RN_2),VLOOKUP(BH518,AUH_MALE_DEP,6,0),IF(AND(BD518="Dependent",BI518="Male",BF518="Abu Dhabi",BE518=RN2_minus),VLOOKUP(BH518,AUH_MALE_DEP,7,0),IF(AND(BD518="Dependent",BI518="Male",BF518="Abu Dhabi",BE518=RN_3),VLOOKUP(BH518,AUH_MALE_DEP,8,0),IF(AND(BD518="Dependent",BI518="Male",BF518="Abu Dhabi",BE518=VN),VLOOKUP(BH518,AUH_MALE_DEP,9,0),IF(BD518="","",IF(AND(BD518="Dependent",BI518="Female",BF518="Abu Dhabi",BE518=GN_Plus),VLOOKUP(BH518,AUH_FEMALE_DEP,2,0),IF(AND(BD518="Dependent",BI518="Female",BF518="Abu Dhabi",BE518=GN),VLOOKUP(BH518,AUH_FEMALE_DEP,3,0),IF(AND(BD518="Dependent",BI518="Female",BF518="Abu Dhabi",BE518=RN_Plus),VLOOKUP(BH518,AUH_FEMALE_DEP,4,0),IF(AND(BD518="Dependent",BI518="Female",BF518="Abu Dhabi",BE518=RN),VLOOKUP(BH518,AUH_FEMALE_DEP,5,0),IF(AND(BD518="Dependent",BI518="Female",BF518="Abu Dhabi",BE518=RN_2),VLOOKUP(BH518,AUH_FEMALE_DEP,6,0),IF(AND(BD518="Dependent",BI518="Female",BF518="Abu Dhabi",BE518=RN2_minus),VLOOKUP(BH518,AUH_FEMALE_DEP,7,0),IF(AND(BD518="Dependent",BI518="Female",BF518="Abu Dhabi",BE518=RN_3),VLOOKUP(BH518,AUH_FEMALE_DEP,8,0),IF(AND(BD518="Dependent",BI518="Female",BF518="Abu Dhabi",BE518=VN),VLOOKUP(BH518,AUH_FEMALE_DEP,9,0),"ABC"))))))))))))))))))))))))))))))))))))</f>
        <v/>
      </c>
      <c r="BL518" s="498" t="str">
        <f t="shared" ref="BL518:BL581" si="205">IF(BD518="","",IF(AND(BD518="Employee",BI518="Male",BF518="Dubai",BE518=GN_Plus),VLOOKUP(BH518,DXB_MALE_EMP,2,0),IF(AND(BD518="Employee",BI518="Male",BF518="Dubai",BE518=GN),VLOOKUP(BH518,DXB_MALE_EMP,3,0),IF(AND(BD518="Employee",BI518="Male",BF518="Dubai",BE518=RN_Plus),VLOOKUP(BH518,DXB_MALE_EMP,4,0),IF(AND(BD518="Employee",BI518="Male",BF518="Dubai",BE518=RN),VLOOKUP(BH518,DXB_MALE_EMP,5,0),IF(AND(BD518="Employee",BI518="Male",BF518="Dubai",BE518=RN_2),VLOOKUP(BH518,DXB_MALE_EMP,6,0),IF(AND(BD518="Employee",BI518="Male",BF518="Dubai",BE518=RN2_minus),VLOOKUP(BH518,DXB_MALE_EMP,7,0),IF(AND(BD518="Employee",BI518="Male",BF518="Dubai",BE518=RN_3),VLOOKUP(BH518,DXB_MALE_EMP,8,0),IF(AND(BD518="Employee",BI518="Male",BF518="Dubai",BE518=VN),VLOOKUP(BH518,DXB_MALE_EMP,9,0),IF(BD518="","",IF(AND(BD518="Employee",BI518="Female",BF518="Dubai",BE518=GN_Plus),VLOOKUP(BH518,DXB_FEMALE_EMP,2,0),IF(AND(BD518="Employee",BI518="Female",BF518="Dubai",BE518=GN),VLOOKUP(BH518,DXB_FEMALE_EMP,3,0),IF(AND(BD518="Employee",BI518="Female",BF518="Dubai",BE518=RN_Plus),VLOOKUP(BH518,DXB_FEMALE_EMP,4,0),IF(AND(BD518="Employee",BI518="Female",BF518="Dubai",BE518=RN),VLOOKUP(BH518,DXB_FEMALE_EMP,5,0),IF(AND(BD518="Employee",BI518="Female",BF518="Dubai",BE518=RN_2),VLOOKUP(BH518,DXB_FEMALE_EMP,6,0),IF(AND(BD518="Employee",BI518="Female",BF518="Dubai",BE518=RN2_minus),VLOOKUP(BH518,DXB_FEMALE_EMP,7,0),IF(AND(BD518="Employee",BI518="Female",BF518="Dubai",BE518=RN_3),VLOOKUP(BH518,DXB_FEMALE_EMP,8,0),IF(AND(BD518="Employee",BI518="Female",BF518="Dubai",BE518=VN),VLOOKUP(BH518,DXB_FEMALE_EMP,9,0),IF(BD518="","",IF(AND(BD518="Dependent",BI518="Male",BF518="Dubai",BE518=GN_Plus),VLOOKUP(BH518,DXB_MALE_DEP,2,0),IF(AND(BD518="Dependent",BI518="Male",BF518="Dubai",BE518=GN),VLOOKUP(BH518,DXB_MALE_DEP,3,0),IF(AND(BD518="Dependent",BI518="Male",BF518="Dubai",BE518=RN_Plus),VLOOKUP(BH518,DXB_MALE_DEP,4,0),IF(AND(BD518="Dependent",BI518="Male",BF518="Dubai",BE518=RN),VLOOKUP(BH518,DXB_MALE_DEP,5,0),IF(AND(BD518="Dependent",BI518="Male",BF518="Dubai",BE518=RN_2),VLOOKUP(BH518,DXB_MALE_DEP,6,0),IF(AND(BD518="Dependent",BI518="Male",BF518="Dubai",BE518=RN2_minus),VLOOKUP(BH518,DXB_MALE_DEP,7,0),IF(AND(BD518="Dependent",BI518="Male",BF518="Dubai",BE518=RN_3),VLOOKUP(BH518,DXB_MALE_DEP,8,0),IF(AND(BD518="Dependent",BI518="Male",BF518="Dubai",BE518=VN),VLOOKUP(BH518,DXB_MALE_DEP,9,0),IF(BD518="","",IF(AND(BD518="Dependent",BI518="Female",BF518="Dubai",BE518=GN_Plus),VLOOKUP(BH518,DXB_FEMALE_DEP,2,0),IF(AND(BD518="Dependent",BI518="Female",BF518="Dubai",BE518=GN),VLOOKUP(BH518,DXB_FEMALE_DEP,3,0),IF(AND(BD518="Dependent",BI518="Female",BF518="Dubai",BE518=RN_Plus),VLOOKUP(BH518,DXB_FEMALE_DEP,4,0),IF(AND(BD518="Dependent",BI518="Female",BF518="Dubai",BE518=RN),VLOOKUP(BH518,DXB_FEMALE_DEP,5,0),IF(AND(BD518="Dependent",BI518="Female",BF518="Dubai",BE518=RN_2),VLOOKUP(BH518,DXB_FEMALE_DEP,6,0),IF(AND(BD518="Dependent",BI518="Female",BF518="Dubai",BE518=RN2_minus),VLOOKUP(BH518,DXB_FEMALE_DEP,7,0),IF(AND(BD518="Dependent",BI518="Female",BF518="Dubai",BE518=RN_3),VLOOKUP(BH518,DXB_FEMALE_DEP,8,0),IF(AND(BD518="Dependent",BI518="Female",BF518="Dubai",BE518=VN),VLOOKUP(BH518,DXB_FEMALE_DEP,9,0),"ABC"))))))))))))))))))))))))))))))))))))</f>
        <v/>
      </c>
    </row>
    <row r="519" spans="1:64" x14ac:dyDescent="0.25">
      <c r="A519" s="762">
        <f t="shared" ref="A519:A582" si="206">+A518+1</f>
        <v>514</v>
      </c>
      <c r="B519" s="229"/>
      <c r="C519" s="223"/>
      <c r="D519" s="224"/>
      <c r="E519" s="225"/>
      <c r="F519" s="1036" t="str">
        <f t="shared" si="190"/>
        <v/>
      </c>
      <c r="G519" s="1037" t="str">
        <f t="shared" ref="G519:G582" si="207">IF(D519="","",MAX(0,ROUNDUP(F519,0)))</f>
        <v/>
      </c>
      <c r="H519" s="225"/>
      <c r="I519" s="1013"/>
      <c r="J519" s="1013"/>
      <c r="K519" s="1028"/>
      <c r="L519" s="1035" t="str">
        <f t="shared" si="189"/>
        <v/>
      </c>
      <c r="S519" s="498"/>
      <c r="AJ519" s="498"/>
      <c r="AM519" s="498">
        <f t="shared" si="192"/>
        <v>0</v>
      </c>
      <c r="AN519" s="498">
        <f t="shared" si="193"/>
        <v>0</v>
      </c>
      <c r="AO519" s="498">
        <f t="shared" si="194"/>
        <v>0</v>
      </c>
      <c r="AP519" s="498">
        <f t="shared" si="191"/>
        <v>0</v>
      </c>
      <c r="AQ519" s="498">
        <f t="shared" ref="AQ519:AQ582" si="208">IF(ISBLANK($B519),0,IF(OR($H519="Single",$H519="Married"),0,1))</f>
        <v>0</v>
      </c>
      <c r="AU519" s="498">
        <f t="shared" si="195"/>
        <v>0</v>
      </c>
      <c r="AV519" s="498">
        <f t="shared" si="196"/>
        <v>0</v>
      </c>
      <c r="AW519" s="498">
        <f t="shared" si="197"/>
        <v>0</v>
      </c>
      <c r="AX519" s="498">
        <f t="shared" si="198"/>
        <v>0</v>
      </c>
      <c r="AY519" s="498">
        <f t="shared" si="199"/>
        <v>0</v>
      </c>
      <c r="BB519" s="498" t="str">
        <f t="shared" si="200"/>
        <v/>
      </c>
      <c r="BC519" s="743" t="str">
        <f t="shared" si="201"/>
        <v/>
      </c>
      <c r="BD519" s="743" t="str">
        <f t="shared" si="202"/>
        <v/>
      </c>
      <c r="BE519" s="743" t="str">
        <f>IF(D519="","",VLOOKUP(D519,'General Basis'!$J$39:$K$46,2,0))</f>
        <v/>
      </c>
      <c r="BF519" s="744" t="str">
        <f>IF(D519="","",VLOOKUP(D519,'General Basis'!$J$39:$L$46,3,0))</f>
        <v/>
      </c>
      <c r="BG519" s="744" t="str">
        <f t="shared" ref="BG519:BG582" si="209">BC519&amp;BI519</f>
        <v/>
      </c>
      <c r="BH519" s="744" t="str">
        <f>IF(G519="","",IF(BF519="Abu Dhabi",IF(G519&lt;18,'General Basis'!$C$39,IF(G519&lt;41,'General Basis'!$C$40,IF(G519&lt;60,'General Basis'!$C$41,IF(G519&lt;65,'General Basis'!$C$42,'General Basis'!$C$43)))),IF(G519&lt;11,'General Basis'!$B$39,IF(G519&lt;18,'General Basis'!$B$40,IF(G519&lt;26,'General Basis'!$B$41,IF(G519&lt;31,'General Basis'!$B$42,IF(G519&lt;36,'General Basis'!$B$43,IF(G519&lt;41,'General Basis'!$B$44,IF(G519&lt;46,'General Basis'!$B$45,IF(G519&lt;51,'General Basis'!$B$46,IF(G519&lt;56,'General Basis'!$B$47,IF(G519&lt;60,'General Basis'!$B$48,IF(G519&lt;65,'General Basis'!$B$49,'General Basis'!$B$50)))))))))))))</f>
        <v/>
      </c>
      <c r="BI519" s="744" t="str">
        <f t="shared" si="203"/>
        <v/>
      </c>
      <c r="BJ519" s="747" t="str">
        <f t="shared" ref="BJ519:BJ582" si="210">IF(BD519="","",IF(BF519="Abu Dhabi",BK519,BL519))</f>
        <v/>
      </c>
      <c r="BK519" s="498" t="str">
        <f t="shared" si="204"/>
        <v/>
      </c>
      <c r="BL519" s="498" t="str">
        <f t="shared" si="205"/>
        <v/>
      </c>
    </row>
    <row r="520" spans="1:64" x14ac:dyDescent="0.25">
      <c r="A520" s="762">
        <f t="shared" si="206"/>
        <v>515</v>
      </c>
      <c r="B520" s="229"/>
      <c r="C520" s="223"/>
      <c r="D520" s="224"/>
      <c r="E520" s="225"/>
      <c r="F520" s="1036" t="str">
        <f t="shared" si="190"/>
        <v/>
      </c>
      <c r="G520" s="1037" t="str">
        <f t="shared" si="207"/>
        <v/>
      </c>
      <c r="H520" s="225"/>
      <c r="I520" s="1013"/>
      <c r="J520" s="1013"/>
      <c r="K520" s="1028"/>
      <c r="L520" s="1035" t="str">
        <f t="shared" ref="L520:L583" si="211">IF(AND(E520="Child",H520="Married"),"Check the Marital Status of the Child. ",IF(AND(E520="Child",F520&gt;18),"Child Age exceed 18 years. ",IF(AND(E520="Spouse",H520="Single"),"Spouse is selected as Single. ","")))&amp;IF(K520&gt;0,"UW Loading has been Applied","")</f>
        <v/>
      </c>
      <c r="S520" s="498"/>
      <c r="AJ520" s="498"/>
      <c r="AM520" s="498">
        <f t="shared" si="192"/>
        <v>0</v>
      </c>
      <c r="AN520" s="498">
        <f t="shared" si="193"/>
        <v>0</v>
      </c>
      <c r="AO520" s="498">
        <f t="shared" si="194"/>
        <v>0</v>
      </c>
      <c r="AP520" s="498">
        <f t="shared" si="191"/>
        <v>0</v>
      </c>
      <c r="AQ520" s="498">
        <f t="shared" si="208"/>
        <v>0</v>
      </c>
      <c r="AU520" s="498">
        <f t="shared" si="195"/>
        <v>0</v>
      </c>
      <c r="AV520" s="498">
        <f t="shared" si="196"/>
        <v>0</v>
      </c>
      <c r="AW520" s="498">
        <f t="shared" si="197"/>
        <v>0</v>
      </c>
      <c r="AX520" s="498">
        <f t="shared" si="198"/>
        <v>0</v>
      </c>
      <c r="AY520" s="498">
        <f t="shared" si="199"/>
        <v>0</v>
      </c>
      <c r="BB520" s="498" t="str">
        <f t="shared" si="200"/>
        <v/>
      </c>
      <c r="BC520" s="743" t="str">
        <f t="shared" si="201"/>
        <v/>
      </c>
      <c r="BD520" s="743" t="str">
        <f t="shared" si="202"/>
        <v/>
      </c>
      <c r="BE520" s="743" t="str">
        <f>IF(D520="","",VLOOKUP(D520,'General Basis'!$J$39:$K$46,2,0))</f>
        <v/>
      </c>
      <c r="BF520" s="744" t="str">
        <f>IF(D520="","",VLOOKUP(D520,'General Basis'!$J$39:$L$46,3,0))</f>
        <v/>
      </c>
      <c r="BG520" s="744" t="str">
        <f t="shared" si="209"/>
        <v/>
      </c>
      <c r="BH520" s="744" t="str">
        <f>IF(G520="","",IF(BF520="Abu Dhabi",IF(G520&lt;18,'General Basis'!$C$39,IF(G520&lt;41,'General Basis'!$C$40,IF(G520&lt;60,'General Basis'!$C$41,IF(G520&lt;65,'General Basis'!$C$42,'General Basis'!$C$43)))),IF(G520&lt;11,'General Basis'!$B$39,IF(G520&lt;18,'General Basis'!$B$40,IF(G520&lt;26,'General Basis'!$B$41,IF(G520&lt;31,'General Basis'!$B$42,IF(G520&lt;36,'General Basis'!$B$43,IF(G520&lt;41,'General Basis'!$B$44,IF(G520&lt;46,'General Basis'!$B$45,IF(G520&lt;51,'General Basis'!$B$46,IF(G520&lt;56,'General Basis'!$B$47,IF(G520&lt;60,'General Basis'!$B$48,IF(G520&lt;65,'General Basis'!$B$49,'General Basis'!$B$50)))))))))))))</f>
        <v/>
      </c>
      <c r="BI520" s="744" t="str">
        <f t="shared" si="203"/>
        <v/>
      </c>
      <c r="BJ520" s="747" t="str">
        <f t="shared" si="210"/>
        <v/>
      </c>
      <c r="BK520" s="498" t="str">
        <f t="shared" si="204"/>
        <v/>
      </c>
      <c r="BL520" s="498" t="str">
        <f t="shared" si="205"/>
        <v/>
      </c>
    </row>
    <row r="521" spans="1:64" x14ac:dyDescent="0.25">
      <c r="A521" s="762">
        <f t="shared" si="206"/>
        <v>516</v>
      </c>
      <c r="B521" s="229"/>
      <c r="C521" s="223"/>
      <c r="D521" s="224"/>
      <c r="E521" s="225"/>
      <c r="F521" s="1036" t="str">
        <f t="shared" si="190"/>
        <v/>
      </c>
      <c r="G521" s="1037" t="str">
        <f t="shared" si="207"/>
        <v/>
      </c>
      <c r="H521" s="225"/>
      <c r="I521" s="1013"/>
      <c r="J521" s="1013"/>
      <c r="K521" s="1028"/>
      <c r="L521" s="1035" t="str">
        <f t="shared" si="211"/>
        <v/>
      </c>
      <c r="S521" s="498"/>
      <c r="AJ521" s="498"/>
      <c r="AM521" s="498">
        <f t="shared" si="192"/>
        <v>0</v>
      </c>
      <c r="AN521" s="498">
        <f t="shared" si="193"/>
        <v>0</v>
      </c>
      <c r="AO521" s="498">
        <f t="shared" si="194"/>
        <v>0</v>
      </c>
      <c r="AP521" s="498">
        <f t="shared" si="191"/>
        <v>0</v>
      </c>
      <c r="AQ521" s="498">
        <f t="shared" si="208"/>
        <v>0</v>
      </c>
      <c r="AU521" s="498">
        <f t="shared" si="195"/>
        <v>0</v>
      </c>
      <c r="AV521" s="498">
        <f t="shared" si="196"/>
        <v>0</v>
      </c>
      <c r="AW521" s="498">
        <f t="shared" si="197"/>
        <v>0</v>
      </c>
      <c r="AX521" s="498">
        <f t="shared" si="198"/>
        <v>0</v>
      </c>
      <c r="AY521" s="498">
        <f t="shared" si="199"/>
        <v>0</v>
      </c>
      <c r="BB521" s="498" t="str">
        <f t="shared" si="200"/>
        <v/>
      </c>
      <c r="BC521" s="743" t="str">
        <f t="shared" si="201"/>
        <v/>
      </c>
      <c r="BD521" s="743" t="str">
        <f t="shared" si="202"/>
        <v/>
      </c>
      <c r="BE521" s="743" t="str">
        <f>IF(D521="","",VLOOKUP(D521,'General Basis'!$J$39:$K$46,2,0))</f>
        <v/>
      </c>
      <c r="BF521" s="744" t="str">
        <f>IF(D521="","",VLOOKUP(D521,'General Basis'!$J$39:$L$46,3,0))</f>
        <v/>
      </c>
      <c r="BG521" s="744" t="str">
        <f t="shared" si="209"/>
        <v/>
      </c>
      <c r="BH521" s="744" t="str">
        <f>IF(G521="","",IF(BF521="Abu Dhabi",IF(G521&lt;18,'General Basis'!$C$39,IF(G521&lt;41,'General Basis'!$C$40,IF(G521&lt;60,'General Basis'!$C$41,IF(G521&lt;65,'General Basis'!$C$42,'General Basis'!$C$43)))),IF(G521&lt;11,'General Basis'!$B$39,IF(G521&lt;18,'General Basis'!$B$40,IF(G521&lt;26,'General Basis'!$B$41,IF(G521&lt;31,'General Basis'!$B$42,IF(G521&lt;36,'General Basis'!$B$43,IF(G521&lt;41,'General Basis'!$B$44,IF(G521&lt;46,'General Basis'!$B$45,IF(G521&lt;51,'General Basis'!$B$46,IF(G521&lt;56,'General Basis'!$B$47,IF(G521&lt;60,'General Basis'!$B$48,IF(G521&lt;65,'General Basis'!$B$49,'General Basis'!$B$50)))))))))))))</f>
        <v/>
      </c>
      <c r="BI521" s="744" t="str">
        <f t="shared" si="203"/>
        <v/>
      </c>
      <c r="BJ521" s="747" t="str">
        <f t="shared" si="210"/>
        <v/>
      </c>
      <c r="BK521" s="498" t="str">
        <f t="shared" si="204"/>
        <v/>
      </c>
      <c r="BL521" s="498" t="str">
        <f t="shared" si="205"/>
        <v/>
      </c>
    </row>
    <row r="522" spans="1:64" x14ac:dyDescent="0.25">
      <c r="A522" s="762">
        <f t="shared" si="206"/>
        <v>517</v>
      </c>
      <c r="B522" s="229"/>
      <c r="C522" s="223"/>
      <c r="D522" s="224"/>
      <c r="E522" s="225"/>
      <c r="F522" s="1036" t="str">
        <f t="shared" si="190"/>
        <v/>
      </c>
      <c r="G522" s="1037" t="str">
        <f t="shared" si="207"/>
        <v/>
      </c>
      <c r="H522" s="225"/>
      <c r="I522" s="1013"/>
      <c r="J522" s="1013"/>
      <c r="K522" s="1028"/>
      <c r="L522" s="1035" t="str">
        <f t="shared" si="211"/>
        <v/>
      </c>
      <c r="S522" s="498"/>
      <c r="AJ522" s="498"/>
      <c r="AM522" s="498">
        <f t="shared" si="192"/>
        <v>0</v>
      </c>
      <c r="AN522" s="498">
        <f t="shared" si="193"/>
        <v>0</v>
      </c>
      <c r="AO522" s="498">
        <f t="shared" si="194"/>
        <v>0</v>
      </c>
      <c r="AP522" s="498">
        <f t="shared" si="191"/>
        <v>0</v>
      </c>
      <c r="AQ522" s="498">
        <f t="shared" si="208"/>
        <v>0</v>
      </c>
      <c r="AU522" s="498">
        <f t="shared" si="195"/>
        <v>0</v>
      </c>
      <c r="AV522" s="498">
        <f t="shared" si="196"/>
        <v>0</v>
      </c>
      <c r="AW522" s="498">
        <f t="shared" si="197"/>
        <v>0</v>
      </c>
      <c r="AX522" s="498">
        <f t="shared" si="198"/>
        <v>0</v>
      </c>
      <c r="AY522" s="498">
        <f t="shared" si="199"/>
        <v>0</v>
      </c>
      <c r="BB522" s="498" t="str">
        <f t="shared" si="200"/>
        <v/>
      </c>
      <c r="BC522" s="743" t="str">
        <f t="shared" si="201"/>
        <v/>
      </c>
      <c r="BD522" s="743" t="str">
        <f t="shared" si="202"/>
        <v/>
      </c>
      <c r="BE522" s="743" t="str">
        <f>IF(D522="","",VLOOKUP(D522,'General Basis'!$J$39:$K$46,2,0))</f>
        <v/>
      </c>
      <c r="BF522" s="744" t="str">
        <f>IF(D522="","",VLOOKUP(D522,'General Basis'!$J$39:$L$46,3,0))</f>
        <v/>
      </c>
      <c r="BG522" s="744" t="str">
        <f t="shared" si="209"/>
        <v/>
      </c>
      <c r="BH522" s="744" t="str">
        <f>IF(G522="","",IF(BF522="Abu Dhabi",IF(G522&lt;18,'General Basis'!$C$39,IF(G522&lt;41,'General Basis'!$C$40,IF(G522&lt;60,'General Basis'!$C$41,IF(G522&lt;65,'General Basis'!$C$42,'General Basis'!$C$43)))),IF(G522&lt;11,'General Basis'!$B$39,IF(G522&lt;18,'General Basis'!$B$40,IF(G522&lt;26,'General Basis'!$B$41,IF(G522&lt;31,'General Basis'!$B$42,IF(G522&lt;36,'General Basis'!$B$43,IF(G522&lt;41,'General Basis'!$B$44,IF(G522&lt;46,'General Basis'!$B$45,IF(G522&lt;51,'General Basis'!$B$46,IF(G522&lt;56,'General Basis'!$B$47,IF(G522&lt;60,'General Basis'!$B$48,IF(G522&lt;65,'General Basis'!$B$49,'General Basis'!$B$50)))))))))))))</f>
        <v/>
      </c>
      <c r="BI522" s="744" t="str">
        <f t="shared" si="203"/>
        <v/>
      </c>
      <c r="BJ522" s="747" t="str">
        <f t="shared" si="210"/>
        <v/>
      </c>
      <c r="BK522" s="498" t="str">
        <f t="shared" si="204"/>
        <v/>
      </c>
      <c r="BL522" s="498" t="str">
        <f t="shared" si="205"/>
        <v/>
      </c>
    </row>
    <row r="523" spans="1:64" x14ac:dyDescent="0.25">
      <c r="A523" s="762">
        <f t="shared" si="206"/>
        <v>518</v>
      </c>
      <c r="B523" s="229"/>
      <c r="C523" s="223"/>
      <c r="D523" s="224"/>
      <c r="E523" s="225"/>
      <c r="F523" s="1036" t="str">
        <f t="shared" si="190"/>
        <v/>
      </c>
      <c r="G523" s="1037" t="str">
        <f t="shared" si="207"/>
        <v/>
      </c>
      <c r="H523" s="225"/>
      <c r="I523" s="1013"/>
      <c r="J523" s="1013"/>
      <c r="K523" s="1028"/>
      <c r="L523" s="1035" t="str">
        <f t="shared" si="211"/>
        <v/>
      </c>
      <c r="S523" s="498"/>
      <c r="AJ523" s="498"/>
      <c r="AM523" s="498">
        <f t="shared" si="192"/>
        <v>0</v>
      </c>
      <c r="AN523" s="498">
        <f t="shared" si="193"/>
        <v>0</v>
      </c>
      <c r="AO523" s="498">
        <f t="shared" si="194"/>
        <v>0</v>
      </c>
      <c r="AP523" s="498">
        <f t="shared" si="191"/>
        <v>0</v>
      </c>
      <c r="AQ523" s="498">
        <f t="shared" si="208"/>
        <v>0</v>
      </c>
      <c r="AU523" s="498">
        <f t="shared" si="195"/>
        <v>0</v>
      </c>
      <c r="AV523" s="498">
        <f t="shared" si="196"/>
        <v>0</v>
      </c>
      <c r="AW523" s="498">
        <f t="shared" si="197"/>
        <v>0</v>
      </c>
      <c r="AX523" s="498">
        <f t="shared" si="198"/>
        <v>0</v>
      </c>
      <c r="AY523" s="498">
        <f t="shared" si="199"/>
        <v>0</v>
      </c>
      <c r="BB523" s="498" t="str">
        <f t="shared" si="200"/>
        <v/>
      </c>
      <c r="BC523" s="743" t="str">
        <f t="shared" si="201"/>
        <v/>
      </c>
      <c r="BD523" s="743" t="str">
        <f t="shared" si="202"/>
        <v/>
      </c>
      <c r="BE523" s="743" t="str">
        <f>IF(D523="","",VLOOKUP(D523,'General Basis'!$J$39:$K$46,2,0))</f>
        <v/>
      </c>
      <c r="BF523" s="744" t="str">
        <f>IF(D523="","",VLOOKUP(D523,'General Basis'!$J$39:$L$46,3,0))</f>
        <v/>
      </c>
      <c r="BG523" s="744" t="str">
        <f t="shared" si="209"/>
        <v/>
      </c>
      <c r="BH523" s="744" t="str">
        <f>IF(G523="","",IF(BF523="Abu Dhabi",IF(G523&lt;18,'General Basis'!$C$39,IF(G523&lt;41,'General Basis'!$C$40,IF(G523&lt;60,'General Basis'!$C$41,IF(G523&lt;65,'General Basis'!$C$42,'General Basis'!$C$43)))),IF(G523&lt;11,'General Basis'!$B$39,IF(G523&lt;18,'General Basis'!$B$40,IF(G523&lt;26,'General Basis'!$B$41,IF(G523&lt;31,'General Basis'!$B$42,IF(G523&lt;36,'General Basis'!$B$43,IF(G523&lt;41,'General Basis'!$B$44,IF(G523&lt;46,'General Basis'!$B$45,IF(G523&lt;51,'General Basis'!$B$46,IF(G523&lt;56,'General Basis'!$B$47,IF(G523&lt;60,'General Basis'!$B$48,IF(G523&lt;65,'General Basis'!$B$49,'General Basis'!$B$50)))))))))))))</f>
        <v/>
      </c>
      <c r="BI523" s="744" t="str">
        <f t="shared" si="203"/>
        <v/>
      </c>
      <c r="BJ523" s="747" t="str">
        <f t="shared" si="210"/>
        <v/>
      </c>
      <c r="BK523" s="498" t="str">
        <f t="shared" si="204"/>
        <v/>
      </c>
      <c r="BL523" s="498" t="str">
        <f t="shared" si="205"/>
        <v/>
      </c>
    </row>
    <row r="524" spans="1:64" x14ac:dyDescent="0.25">
      <c r="A524" s="762">
        <f t="shared" si="206"/>
        <v>519</v>
      </c>
      <c r="B524" s="229"/>
      <c r="C524" s="223"/>
      <c r="D524" s="224"/>
      <c r="E524" s="225"/>
      <c r="F524" s="1036" t="str">
        <f t="shared" si="190"/>
        <v/>
      </c>
      <c r="G524" s="1037" t="str">
        <f t="shared" si="207"/>
        <v/>
      </c>
      <c r="H524" s="225"/>
      <c r="I524" s="1013"/>
      <c r="J524" s="1013"/>
      <c r="K524" s="1028"/>
      <c r="L524" s="1035" t="str">
        <f t="shared" si="211"/>
        <v/>
      </c>
      <c r="S524" s="498"/>
      <c r="AJ524" s="498"/>
      <c r="AM524" s="498">
        <f t="shared" si="192"/>
        <v>0</v>
      </c>
      <c r="AN524" s="498">
        <f t="shared" si="193"/>
        <v>0</v>
      </c>
      <c r="AO524" s="498">
        <f t="shared" si="194"/>
        <v>0</v>
      </c>
      <c r="AP524" s="498">
        <f t="shared" si="191"/>
        <v>0</v>
      </c>
      <c r="AQ524" s="498">
        <f t="shared" si="208"/>
        <v>0</v>
      </c>
      <c r="AU524" s="498">
        <f t="shared" si="195"/>
        <v>0</v>
      </c>
      <c r="AV524" s="498">
        <f t="shared" si="196"/>
        <v>0</v>
      </c>
      <c r="AW524" s="498">
        <f t="shared" si="197"/>
        <v>0</v>
      </c>
      <c r="AX524" s="498">
        <f t="shared" si="198"/>
        <v>0</v>
      </c>
      <c r="AY524" s="498">
        <f t="shared" si="199"/>
        <v>0</v>
      </c>
      <c r="BB524" s="498" t="str">
        <f t="shared" si="200"/>
        <v/>
      </c>
      <c r="BC524" s="743" t="str">
        <f t="shared" si="201"/>
        <v/>
      </c>
      <c r="BD524" s="743" t="str">
        <f t="shared" si="202"/>
        <v/>
      </c>
      <c r="BE524" s="743" t="str">
        <f>IF(D524="","",VLOOKUP(D524,'General Basis'!$J$39:$K$46,2,0))</f>
        <v/>
      </c>
      <c r="BF524" s="744" t="str">
        <f>IF(D524="","",VLOOKUP(D524,'General Basis'!$J$39:$L$46,3,0))</f>
        <v/>
      </c>
      <c r="BG524" s="744" t="str">
        <f t="shared" si="209"/>
        <v/>
      </c>
      <c r="BH524" s="744" t="str">
        <f>IF(G524="","",IF(BF524="Abu Dhabi",IF(G524&lt;18,'General Basis'!$C$39,IF(G524&lt;41,'General Basis'!$C$40,IF(G524&lt;60,'General Basis'!$C$41,IF(G524&lt;65,'General Basis'!$C$42,'General Basis'!$C$43)))),IF(G524&lt;11,'General Basis'!$B$39,IF(G524&lt;18,'General Basis'!$B$40,IF(G524&lt;26,'General Basis'!$B$41,IF(G524&lt;31,'General Basis'!$B$42,IF(G524&lt;36,'General Basis'!$B$43,IF(G524&lt;41,'General Basis'!$B$44,IF(G524&lt;46,'General Basis'!$B$45,IF(G524&lt;51,'General Basis'!$B$46,IF(G524&lt;56,'General Basis'!$B$47,IF(G524&lt;60,'General Basis'!$B$48,IF(G524&lt;65,'General Basis'!$B$49,'General Basis'!$B$50)))))))))))))</f>
        <v/>
      </c>
      <c r="BI524" s="744" t="str">
        <f t="shared" si="203"/>
        <v/>
      </c>
      <c r="BJ524" s="747" t="str">
        <f t="shared" si="210"/>
        <v/>
      </c>
      <c r="BK524" s="498" t="str">
        <f t="shared" si="204"/>
        <v/>
      </c>
      <c r="BL524" s="498" t="str">
        <f t="shared" si="205"/>
        <v/>
      </c>
    </row>
    <row r="525" spans="1:64" x14ac:dyDescent="0.25">
      <c r="A525" s="762">
        <f t="shared" si="206"/>
        <v>520</v>
      </c>
      <c r="B525" s="229"/>
      <c r="C525" s="223"/>
      <c r="D525" s="224"/>
      <c r="E525" s="225"/>
      <c r="F525" s="1036" t="str">
        <f t="shared" si="190"/>
        <v/>
      </c>
      <c r="G525" s="1037" t="str">
        <f t="shared" si="207"/>
        <v/>
      </c>
      <c r="H525" s="225"/>
      <c r="I525" s="1013"/>
      <c r="J525" s="1013"/>
      <c r="K525" s="1028"/>
      <c r="L525" s="1035" t="str">
        <f t="shared" si="211"/>
        <v/>
      </c>
      <c r="S525" s="498"/>
      <c r="AJ525" s="498"/>
      <c r="AM525" s="498">
        <f t="shared" si="192"/>
        <v>0</v>
      </c>
      <c r="AN525" s="498">
        <f t="shared" si="193"/>
        <v>0</v>
      </c>
      <c r="AO525" s="498">
        <f t="shared" si="194"/>
        <v>0</v>
      </c>
      <c r="AP525" s="498">
        <f t="shared" si="191"/>
        <v>0</v>
      </c>
      <c r="AQ525" s="498">
        <f t="shared" si="208"/>
        <v>0</v>
      </c>
      <c r="AU525" s="498">
        <f t="shared" si="195"/>
        <v>0</v>
      </c>
      <c r="AV525" s="498">
        <f t="shared" si="196"/>
        <v>0</v>
      </c>
      <c r="AW525" s="498">
        <f t="shared" si="197"/>
        <v>0</v>
      </c>
      <c r="AX525" s="498">
        <f t="shared" si="198"/>
        <v>0</v>
      </c>
      <c r="AY525" s="498">
        <f t="shared" si="199"/>
        <v>0</v>
      </c>
      <c r="BB525" s="498" t="str">
        <f t="shared" si="200"/>
        <v/>
      </c>
      <c r="BC525" s="743" t="str">
        <f t="shared" si="201"/>
        <v/>
      </c>
      <c r="BD525" s="743" t="str">
        <f t="shared" si="202"/>
        <v/>
      </c>
      <c r="BE525" s="743" t="str">
        <f>IF(D525="","",VLOOKUP(D525,'General Basis'!$J$39:$K$46,2,0))</f>
        <v/>
      </c>
      <c r="BF525" s="744" t="str">
        <f>IF(D525="","",VLOOKUP(D525,'General Basis'!$J$39:$L$46,3,0))</f>
        <v/>
      </c>
      <c r="BG525" s="744" t="str">
        <f t="shared" si="209"/>
        <v/>
      </c>
      <c r="BH525" s="744" t="str">
        <f>IF(G525="","",IF(BF525="Abu Dhabi",IF(G525&lt;18,'General Basis'!$C$39,IF(G525&lt;41,'General Basis'!$C$40,IF(G525&lt;60,'General Basis'!$C$41,IF(G525&lt;65,'General Basis'!$C$42,'General Basis'!$C$43)))),IF(G525&lt;11,'General Basis'!$B$39,IF(G525&lt;18,'General Basis'!$B$40,IF(G525&lt;26,'General Basis'!$B$41,IF(G525&lt;31,'General Basis'!$B$42,IF(G525&lt;36,'General Basis'!$B$43,IF(G525&lt;41,'General Basis'!$B$44,IF(G525&lt;46,'General Basis'!$B$45,IF(G525&lt;51,'General Basis'!$B$46,IF(G525&lt;56,'General Basis'!$B$47,IF(G525&lt;60,'General Basis'!$B$48,IF(G525&lt;65,'General Basis'!$B$49,'General Basis'!$B$50)))))))))))))</f>
        <v/>
      </c>
      <c r="BI525" s="744" t="str">
        <f t="shared" si="203"/>
        <v/>
      </c>
      <c r="BJ525" s="747" t="str">
        <f t="shared" si="210"/>
        <v/>
      </c>
      <c r="BK525" s="498" t="str">
        <f t="shared" si="204"/>
        <v/>
      </c>
      <c r="BL525" s="498" t="str">
        <f t="shared" si="205"/>
        <v/>
      </c>
    </row>
    <row r="526" spans="1:64" x14ac:dyDescent="0.25">
      <c r="A526" s="762">
        <f t="shared" si="206"/>
        <v>521</v>
      </c>
      <c r="B526" s="229"/>
      <c r="C526" s="223"/>
      <c r="D526" s="224"/>
      <c r="E526" s="225"/>
      <c r="F526" s="1036" t="str">
        <f t="shared" si="190"/>
        <v/>
      </c>
      <c r="G526" s="1037" t="str">
        <f t="shared" si="207"/>
        <v/>
      </c>
      <c r="H526" s="225"/>
      <c r="I526" s="1013"/>
      <c r="J526" s="1013"/>
      <c r="K526" s="1028"/>
      <c r="L526" s="1035" t="str">
        <f t="shared" si="211"/>
        <v/>
      </c>
      <c r="S526" s="498"/>
      <c r="AJ526" s="498"/>
      <c r="AM526" s="498">
        <f t="shared" si="192"/>
        <v>0</v>
      </c>
      <c r="AN526" s="498">
        <f t="shared" si="193"/>
        <v>0</v>
      </c>
      <c r="AO526" s="498">
        <f t="shared" si="194"/>
        <v>0</v>
      </c>
      <c r="AP526" s="498">
        <f t="shared" si="191"/>
        <v>0</v>
      </c>
      <c r="AQ526" s="498">
        <f t="shared" si="208"/>
        <v>0</v>
      </c>
      <c r="AU526" s="498">
        <f t="shared" si="195"/>
        <v>0</v>
      </c>
      <c r="AV526" s="498">
        <f t="shared" si="196"/>
        <v>0</v>
      </c>
      <c r="AW526" s="498">
        <f t="shared" si="197"/>
        <v>0</v>
      </c>
      <c r="AX526" s="498">
        <f t="shared" si="198"/>
        <v>0</v>
      </c>
      <c r="AY526" s="498">
        <f t="shared" si="199"/>
        <v>0</v>
      </c>
      <c r="BB526" s="498" t="str">
        <f t="shared" si="200"/>
        <v/>
      </c>
      <c r="BC526" s="743" t="str">
        <f t="shared" si="201"/>
        <v/>
      </c>
      <c r="BD526" s="743" t="str">
        <f t="shared" si="202"/>
        <v/>
      </c>
      <c r="BE526" s="743" t="str">
        <f>IF(D526="","",VLOOKUP(D526,'General Basis'!$J$39:$K$46,2,0))</f>
        <v/>
      </c>
      <c r="BF526" s="744" t="str">
        <f>IF(D526="","",VLOOKUP(D526,'General Basis'!$J$39:$L$46,3,0))</f>
        <v/>
      </c>
      <c r="BG526" s="744" t="str">
        <f t="shared" si="209"/>
        <v/>
      </c>
      <c r="BH526" s="744" t="str">
        <f>IF(G526="","",IF(BF526="Abu Dhabi",IF(G526&lt;18,'General Basis'!$C$39,IF(G526&lt;41,'General Basis'!$C$40,IF(G526&lt;60,'General Basis'!$C$41,IF(G526&lt;65,'General Basis'!$C$42,'General Basis'!$C$43)))),IF(G526&lt;11,'General Basis'!$B$39,IF(G526&lt;18,'General Basis'!$B$40,IF(G526&lt;26,'General Basis'!$B$41,IF(G526&lt;31,'General Basis'!$B$42,IF(G526&lt;36,'General Basis'!$B$43,IF(G526&lt;41,'General Basis'!$B$44,IF(G526&lt;46,'General Basis'!$B$45,IF(G526&lt;51,'General Basis'!$B$46,IF(G526&lt;56,'General Basis'!$B$47,IF(G526&lt;60,'General Basis'!$B$48,IF(G526&lt;65,'General Basis'!$B$49,'General Basis'!$B$50)))))))))))))</f>
        <v/>
      </c>
      <c r="BI526" s="744" t="str">
        <f t="shared" si="203"/>
        <v/>
      </c>
      <c r="BJ526" s="747" t="str">
        <f t="shared" si="210"/>
        <v/>
      </c>
      <c r="BK526" s="498" t="str">
        <f t="shared" si="204"/>
        <v/>
      </c>
      <c r="BL526" s="498" t="str">
        <f t="shared" si="205"/>
        <v/>
      </c>
    </row>
    <row r="527" spans="1:64" x14ac:dyDescent="0.25">
      <c r="A527" s="762">
        <f t="shared" si="206"/>
        <v>522</v>
      </c>
      <c r="B527" s="229"/>
      <c r="C527" s="223"/>
      <c r="D527" s="224"/>
      <c r="E527" s="225"/>
      <c r="F527" s="1036" t="str">
        <f t="shared" si="190"/>
        <v/>
      </c>
      <c r="G527" s="1037" t="str">
        <f t="shared" si="207"/>
        <v/>
      </c>
      <c r="H527" s="225"/>
      <c r="I527" s="1013"/>
      <c r="J527" s="1013"/>
      <c r="K527" s="1028"/>
      <c r="L527" s="1035" t="str">
        <f t="shared" si="211"/>
        <v/>
      </c>
      <c r="S527" s="498"/>
      <c r="AJ527" s="498"/>
      <c r="AM527" s="498">
        <f t="shared" si="192"/>
        <v>0</v>
      </c>
      <c r="AN527" s="498">
        <f t="shared" si="193"/>
        <v>0</v>
      </c>
      <c r="AO527" s="498">
        <f t="shared" si="194"/>
        <v>0</v>
      </c>
      <c r="AP527" s="498">
        <f t="shared" si="191"/>
        <v>0</v>
      </c>
      <c r="AQ527" s="498">
        <f t="shared" si="208"/>
        <v>0</v>
      </c>
      <c r="AU527" s="498">
        <f t="shared" si="195"/>
        <v>0</v>
      </c>
      <c r="AV527" s="498">
        <f t="shared" si="196"/>
        <v>0</v>
      </c>
      <c r="AW527" s="498">
        <f t="shared" si="197"/>
        <v>0</v>
      </c>
      <c r="AX527" s="498">
        <f t="shared" si="198"/>
        <v>0</v>
      </c>
      <c r="AY527" s="498">
        <f t="shared" si="199"/>
        <v>0</v>
      </c>
      <c r="BB527" s="498" t="str">
        <f t="shared" si="200"/>
        <v/>
      </c>
      <c r="BC527" s="743" t="str">
        <f t="shared" si="201"/>
        <v/>
      </c>
      <c r="BD527" s="743" t="str">
        <f t="shared" si="202"/>
        <v/>
      </c>
      <c r="BE527" s="743" t="str">
        <f>IF(D527="","",VLOOKUP(D527,'General Basis'!$J$39:$K$46,2,0))</f>
        <v/>
      </c>
      <c r="BF527" s="744" t="str">
        <f>IF(D527="","",VLOOKUP(D527,'General Basis'!$J$39:$L$46,3,0))</f>
        <v/>
      </c>
      <c r="BG527" s="744" t="str">
        <f t="shared" si="209"/>
        <v/>
      </c>
      <c r="BH527" s="744" t="str">
        <f>IF(G527="","",IF(BF527="Abu Dhabi",IF(G527&lt;18,'General Basis'!$C$39,IF(G527&lt;41,'General Basis'!$C$40,IF(G527&lt;60,'General Basis'!$C$41,IF(G527&lt;65,'General Basis'!$C$42,'General Basis'!$C$43)))),IF(G527&lt;11,'General Basis'!$B$39,IF(G527&lt;18,'General Basis'!$B$40,IF(G527&lt;26,'General Basis'!$B$41,IF(G527&lt;31,'General Basis'!$B$42,IF(G527&lt;36,'General Basis'!$B$43,IF(G527&lt;41,'General Basis'!$B$44,IF(G527&lt;46,'General Basis'!$B$45,IF(G527&lt;51,'General Basis'!$B$46,IF(G527&lt;56,'General Basis'!$B$47,IF(G527&lt;60,'General Basis'!$B$48,IF(G527&lt;65,'General Basis'!$B$49,'General Basis'!$B$50)))))))))))))</f>
        <v/>
      </c>
      <c r="BI527" s="744" t="str">
        <f t="shared" si="203"/>
        <v/>
      </c>
      <c r="BJ527" s="747" t="str">
        <f t="shared" si="210"/>
        <v/>
      </c>
      <c r="BK527" s="498" t="str">
        <f t="shared" si="204"/>
        <v/>
      </c>
      <c r="BL527" s="498" t="str">
        <f t="shared" si="205"/>
        <v/>
      </c>
    </row>
    <row r="528" spans="1:64" x14ac:dyDescent="0.25">
      <c r="A528" s="762">
        <f t="shared" si="206"/>
        <v>523</v>
      </c>
      <c r="B528" s="229"/>
      <c r="C528" s="223"/>
      <c r="D528" s="224"/>
      <c r="E528" s="225"/>
      <c r="F528" s="1036" t="str">
        <f t="shared" ref="F528:F591" si="212">IF(C528="","",IF($B528="","",((YEAR($F$3)-YEAR($B528))+(MONTH($F$3)-MONTH($B528))/12+(DAY($F$3)-DAY($B528))/(DATE(YEAR($F$3),12,31)-DATE(YEAR($F$3),1,1)+1))))</f>
        <v/>
      </c>
      <c r="G528" s="1037" t="str">
        <f t="shared" si="207"/>
        <v/>
      </c>
      <c r="H528" s="225"/>
      <c r="I528" s="1013"/>
      <c r="J528" s="1013"/>
      <c r="K528" s="1028"/>
      <c r="L528" s="1035" t="str">
        <f t="shared" si="211"/>
        <v/>
      </c>
      <c r="S528" s="498"/>
      <c r="AJ528" s="498"/>
      <c r="AM528" s="498">
        <f t="shared" si="192"/>
        <v>0</v>
      </c>
      <c r="AN528" s="498">
        <f t="shared" si="193"/>
        <v>0</v>
      </c>
      <c r="AO528" s="498">
        <f t="shared" si="194"/>
        <v>0</v>
      </c>
      <c r="AP528" s="498">
        <f t="shared" si="191"/>
        <v>0</v>
      </c>
      <c r="AQ528" s="498">
        <f t="shared" si="208"/>
        <v>0</v>
      </c>
      <c r="AU528" s="498">
        <f t="shared" si="195"/>
        <v>0</v>
      </c>
      <c r="AV528" s="498">
        <f t="shared" si="196"/>
        <v>0</v>
      </c>
      <c r="AW528" s="498">
        <f t="shared" si="197"/>
        <v>0</v>
      </c>
      <c r="AX528" s="498">
        <f t="shared" si="198"/>
        <v>0</v>
      </c>
      <c r="AY528" s="498">
        <f t="shared" si="199"/>
        <v>0</v>
      </c>
      <c r="BB528" s="498" t="str">
        <f t="shared" si="200"/>
        <v/>
      </c>
      <c r="BC528" s="743" t="str">
        <f t="shared" si="201"/>
        <v/>
      </c>
      <c r="BD528" s="743" t="str">
        <f t="shared" si="202"/>
        <v/>
      </c>
      <c r="BE528" s="743" t="str">
        <f>IF(D528="","",VLOOKUP(D528,'General Basis'!$J$39:$K$46,2,0))</f>
        <v/>
      </c>
      <c r="BF528" s="744" t="str">
        <f>IF(D528="","",VLOOKUP(D528,'General Basis'!$J$39:$L$46,3,0))</f>
        <v/>
      </c>
      <c r="BG528" s="744" t="str">
        <f t="shared" si="209"/>
        <v/>
      </c>
      <c r="BH528" s="744" t="str">
        <f>IF(G528="","",IF(BF528="Abu Dhabi",IF(G528&lt;18,'General Basis'!$C$39,IF(G528&lt;41,'General Basis'!$C$40,IF(G528&lt;60,'General Basis'!$C$41,IF(G528&lt;65,'General Basis'!$C$42,'General Basis'!$C$43)))),IF(G528&lt;11,'General Basis'!$B$39,IF(G528&lt;18,'General Basis'!$B$40,IF(G528&lt;26,'General Basis'!$B$41,IF(G528&lt;31,'General Basis'!$B$42,IF(G528&lt;36,'General Basis'!$B$43,IF(G528&lt;41,'General Basis'!$B$44,IF(G528&lt;46,'General Basis'!$B$45,IF(G528&lt;51,'General Basis'!$B$46,IF(G528&lt;56,'General Basis'!$B$47,IF(G528&lt;60,'General Basis'!$B$48,IF(G528&lt;65,'General Basis'!$B$49,'General Basis'!$B$50)))))))))))))</f>
        <v/>
      </c>
      <c r="BI528" s="744" t="str">
        <f t="shared" si="203"/>
        <v/>
      </c>
      <c r="BJ528" s="747" t="str">
        <f t="shared" si="210"/>
        <v/>
      </c>
      <c r="BK528" s="498" t="str">
        <f t="shared" si="204"/>
        <v/>
      </c>
      <c r="BL528" s="498" t="str">
        <f t="shared" si="205"/>
        <v/>
      </c>
    </row>
    <row r="529" spans="1:64" x14ac:dyDescent="0.25">
      <c r="A529" s="762">
        <f t="shared" si="206"/>
        <v>524</v>
      </c>
      <c r="B529" s="229"/>
      <c r="C529" s="223"/>
      <c r="D529" s="224"/>
      <c r="E529" s="225"/>
      <c r="F529" s="1036" t="str">
        <f t="shared" si="212"/>
        <v/>
      </c>
      <c r="G529" s="1037" t="str">
        <f t="shared" si="207"/>
        <v/>
      </c>
      <c r="H529" s="225"/>
      <c r="I529" s="1013"/>
      <c r="J529" s="1013"/>
      <c r="K529" s="1028"/>
      <c r="L529" s="1035" t="str">
        <f t="shared" si="211"/>
        <v/>
      </c>
      <c r="S529" s="498"/>
      <c r="AJ529" s="498"/>
      <c r="AM529" s="498">
        <f t="shared" si="192"/>
        <v>0</v>
      </c>
      <c r="AN529" s="498">
        <f t="shared" si="193"/>
        <v>0</v>
      </c>
      <c r="AO529" s="498">
        <f t="shared" si="194"/>
        <v>0</v>
      </c>
      <c r="AP529" s="498">
        <f t="shared" si="191"/>
        <v>0</v>
      </c>
      <c r="AQ529" s="498">
        <f t="shared" si="208"/>
        <v>0</v>
      </c>
      <c r="AU529" s="498">
        <f t="shared" si="195"/>
        <v>0</v>
      </c>
      <c r="AV529" s="498">
        <f t="shared" si="196"/>
        <v>0</v>
      </c>
      <c r="AW529" s="498">
        <f t="shared" si="197"/>
        <v>0</v>
      </c>
      <c r="AX529" s="498">
        <f t="shared" si="198"/>
        <v>0</v>
      </c>
      <c r="AY529" s="498">
        <f t="shared" si="199"/>
        <v>0</v>
      </c>
      <c r="BB529" s="498" t="str">
        <f t="shared" si="200"/>
        <v/>
      </c>
      <c r="BC529" s="743" t="str">
        <f t="shared" si="201"/>
        <v/>
      </c>
      <c r="BD529" s="743" t="str">
        <f t="shared" si="202"/>
        <v/>
      </c>
      <c r="BE529" s="743" t="str">
        <f>IF(D529="","",VLOOKUP(D529,'General Basis'!$J$39:$K$46,2,0))</f>
        <v/>
      </c>
      <c r="BF529" s="744" t="str">
        <f>IF(D529="","",VLOOKUP(D529,'General Basis'!$J$39:$L$46,3,0))</f>
        <v/>
      </c>
      <c r="BG529" s="744" t="str">
        <f t="shared" si="209"/>
        <v/>
      </c>
      <c r="BH529" s="744" t="str">
        <f>IF(G529="","",IF(BF529="Abu Dhabi",IF(G529&lt;18,'General Basis'!$C$39,IF(G529&lt;41,'General Basis'!$C$40,IF(G529&lt;60,'General Basis'!$C$41,IF(G529&lt;65,'General Basis'!$C$42,'General Basis'!$C$43)))),IF(G529&lt;11,'General Basis'!$B$39,IF(G529&lt;18,'General Basis'!$B$40,IF(G529&lt;26,'General Basis'!$B$41,IF(G529&lt;31,'General Basis'!$B$42,IF(G529&lt;36,'General Basis'!$B$43,IF(G529&lt;41,'General Basis'!$B$44,IF(G529&lt;46,'General Basis'!$B$45,IF(G529&lt;51,'General Basis'!$B$46,IF(G529&lt;56,'General Basis'!$B$47,IF(G529&lt;60,'General Basis'!$B$48,IF(G529&lt;65,'General Basis'!$B$49,'General Basis'!$B$50)))))))))))))</f>
        <v/>
      </c>
      <c r="BI529" s="744" t="str">
        <f t="shared" si="203"/>
        <v/>
      </c>
      <c r="BJ529" s="747" t="str">
        <f t="shared" si="210"/>
        <v/>
      </c>
      <c r="BK529" s="498" t="str">
        <f t="shared" si="204"/>
        <v/>
      </c>
      <c r="BL529" s="498" t="str">
        <f t="shared" si="205"/>
        <v/>
      </c>
    </row>
    <row r="530" spans="1:64" x14ac:dyDescent="0.25">
      <c r="A530" s="762">
        <f t="shared" si="206"/>
        <v>525</v>
      </c>
      <c r="B530" s="229"/>
      <c r="C530" s="223"/>
      <c r="D530" s="224"/>
      <c r="E530" s="225"/>
      <c r="F530" s="1036" t="str">
        <f t="shared" si="212"/>
        <v/>
      </c>
      <c r="G530" s="1037" t="str">
        <f t="shared" si="207"/>
        <v/>
      </c>
      <c r="H530" s="225"/>
      <c r="I530" s="1013"/>
      <c r="J530" s="1013"/>
      <c r="K530" s="1028"/>
      <c r="L530" s="1035" t="str">
        <f t="shared" si="211"/>
        <v/>
      </c>
      <c r="S530" s="498"/>
      <c r="AJ530" s="498"/>
      <c r="AM530" s="498">
        <f t="shared" si="192"/>
        <v>0</v>
      </c>
      <c r="AN530" s="498">
        <f t="shared" si="193"/>
        <v>0</v>
      </c>
      <c r="AO530" s="498">
        <f t="shared" si="194"/>
        <v>0</v>
      </c>
      <c r="AP530" s="498">
        <f t="shared" si="191"/>
        <v>0</v>
      </c>
      <c r="AQ530" s="498">
        <f t="shared" si="208"/>
        <v>0</v>
      </c>
      <c r="AU530" s="498">
        <f t="shared" si="195"/>
        <v>0</v>
      </c>
      <c r="AV530" s="498">
        <f t="shared" si="196"/>
        <v>0</v>
      </c>
      <c r="AW530" s="498">
        <f t="shared" si="197"/>
        <v>0</v>
      </c>
      <c r="AX530" s="498">
        <f t="shared" si="198"/>
        <v>0</v>
      </c>
      <c r="AY530" s="498">
        <f t="shared" si="199"/>
        <v>0</v>
      </c>
      <c r="BB530" s="498" t="str">
        <f t="shared" si="200"/>
        <v/>
      </c>
      <c r="BC530" s="743" t="str">
        <f t="shared" si="201"/>
        <v/>
      </c>
      <c r="BD530" s="743" t="str">
        <f t="shared" si="202"/>
        <v/>
      </c>
      <c r="BE530" s="743" t="str">
        <f>IF(D530="","",VLOOKUP(D530,'General Basis'!$J$39:$K$46,2,0))</f>
        <v/>
      </c>
      <c r="BF530" s="744" t="str">
        <f>IF(D530="","",VLOOKUP(D530,'General Basis'!$J$39:$L$46,3,0))</f>
        <v/>
      </c>
      <c r="BG530" s="744" t="str">
        <f t="shared" si="209"/>
        <v/>
      </c>
      <c r="BH530" s="744" t="str">
        <f>IF(G530="","",IF(BF530="Abu Dhabi",IF(G530&lt;18,'General Basis'!$C$39,IF(G530&lt;41,'General Basis'!$C$40,IF(G530&lt;60,'General Basis'!$C$41,IF(G530&lt;65,'General Basis'!$C$42,'General Basis'!$C$43)))),IF(G530&lt;11,'General Basis'!$B$39,IF(G530&lt;18,'General Basis'!$B$40,IF(G530&lt;26,'General Basis'!$B$41,IF(G530&lt;31,'General Basis'!$B$42,IF(G530&lt;36,'General Basis'!$B$43,IF(G530&lt;41,'General Basis'!$B$44,IF(G530&lt;46,'General Basis'!$B$45,IF(G530&lt;51,'General Basis'!$B$46,IF(G530&lt;56,'General Basis'!$B$47,IF(G530&lt;60,'General Basis'!$B$48,IF(G530&lt;65,'General Basis'!$B$49,'General Basis'!$B$50)))))))))))))</f>
        <v/>
      </c>
      <c r="BI530" s="744" t="str">
        <f t="shared" si="203"/>
        <v/>
      </c>
      <c r="BJ530" s="747" t="str">
        <f t="shared" si="210"/>
        <v/>
      </c>
      <c r="BK530" s="498" t="str">
        <f t="shared" si="204"/>
        <v/>
      </c>
      <c r="BL530" s="498" t="str">
        <f t="shared" si="205"/>
        <v/>
      </c>
    </row>
    <row r="531" spans="1:64" x14ac:dyDescent="0.25">
      <c r="A531" s="762">
        <f t="shared" si="206"/>
        <v>526</v>
      </c>
      <c r="B531" s="229"/>
      <c r="C531" s="223"/>
      <c r="D531" s="224"/>
      <c r="E531" s="225"/>
      <c r="F531" s="1036" t="str">
        <f t="shared" si="212"/>
        <v/>
      </c>
      <c r="G531" s="1037" t="str">
        <f t="shared" si="207"/>
        <v/>
      </c>
      <c r="H531" s="225"/>
      <c r="I531" s="1013"/>
      <c r="J531" s="1013"/>
      <c r="K531" s="1028"/>
      <c r="L531" s="1035" t="str">
        <f t="shared" si="211"/>
        <v/>
      </c>
      <c r="S531" s="498"/>
      <c r="AJ531" s="498"/>
      <c r="AM531" s="498">
        <f t="shared" si="192"/>
        <v>0</v>
      </c>
      <c r="AN531" s="498">
        <f t="shared" si="193"/>
        <v>0</v>
      </c>
      <c r="AO531" s="498">
        <f t="shared" si="194"/>
        <v>0</v>
      </c>
      <c r="AP531" s="498">
        <f t="shared" ref="AP531:AP594" si="213">IF(ISBLANK($B531),0,IF(OR($C531="M",$C531="F"),0,1))</f>
        <v>0</v>
      </c>
      <c r="AQ531" s="498">
        <f t="shared" si="208"/>
        <v>0</v>
      </c>
      <c r="AU531" s="498">
        <f t="shared" si="195"/>
        <v>0</v>
      </c>
      <c r="AV531" s="498">
        <f t="shared" si="196"/>
        <v>0</v>
      </c>
      <c r="AW531" s="498">
        <f t="shared" si="197"/>
        <v>0</v>
      </c>
      <c r="AX531" s="498">
        <f t="shared" si="198"/>
        <v>0</v>
      </c>
      <c r="AY531" s="498">
        <f t="shared" si="199"/>
        <v>0</v>
      </c>
      <c r="BB531" s="498" t="str">
        <f t="shared" si="200"/>
        <v/>
      </c>
      <c r="BC531" s="743" t="str">
        <f t="shared" si="201"/>
        <v/>
      </c>
      <c r="BD531" s="743" t="str">
        <f t="shared" si="202"/>
        <v/>
      </c>
      <c r="BE531" s="743" t="str">
        <f>IF(D531="","",VLOOKUP(D531,'General Basis'!$J$39:$K$46,2,0))</f>
        <v/>
      </c>
      <c r="BF531" s="744" t="str">
        <f>IF(D531="","",VLOOKUP(D531,'General Basis'!$J$39:$L$46,3,0))</f>
        <v/>
      </c>
      <c r="BG531" s="744" t="str">
        <f t="shared" si="209"/>
        <v/>
      </c>
      <c r="BH531" s="744" t="str">
        <f>IF(G531="","",IF(BF531="Abu Dhabi",IF(G531&lt;18,'General Basis'!$C$39,IF(G531&lt;41,'General Basis'!$C$40,IF(G531&lt;60,'General Basis'!$C$41,IF(G531&lt;65,'General Basis'!$C$42,'General Basis'!$C$43)))),IF(G531&lt;11,'General Basis'!$B$39,IF(G531&lt;18,'General Basis'!$B$40,IF(G531&lt;26,'General Basis'!$B$41,IF(G531&lt;31,'General Basis'!$B$42,IF(G531&lt;36,'General Basis'!$B$43,IF(G531&lt;41,'General Basis'!$B$44,IF(G531&lt;46,'General Basis'!$B$45,IF(G531&lt;51,'General Basis'!$B$46,IF(G531&lt;56,'General Basis'!$B$47,IF(G531&lt;60,'General Basis'!$B$48,IF(G531&lt;65,'General Basis'!$B$49,'General Basis'!$B$50)))))))))))))</f>
        <v/>
      </c>
      <c r="BI531" s="744" t="str">
        <f t="shared" si="203"/>
        <v/>
      </c>
      <c r="BJ531" s="747" t="str">
        <f t="shared" si="210"/>
        <v/>
      </c>
      <c r="BK531" s="498" t="str">
        <f t="shared" si="204"/>
        <v/>
      </c>
      <c r="BL531" s="498" t="str">
        <f t="shared" si="205"/>
        <v/>
      </c>
    </row>
    <row r="532" spans="1:64" x14ac:dyDescent="0.25">
      <c r="A532" s="762">
        <f t="shared" si="206"/>
        <v>527</v>
      </c>
      <c r="B532" s="229"/>
      <c r="C532" s="223"/>
      <c r="D532" s="224"/>
      <c r="E532" s="225"/>
      <c r="F532" s="1036" t="str">
        <f t="shared" si="212"/>
        <v/>
      </c>
      <c r="G532" s="1037" t="str">
        <f t="shared" si="207"/>
        <v/>
      </c>
      <c r="H532" s="225"/>
      <c r="I532" s="1013"/>
      <c r="J532" s="1013"/>
      <c r="K532" s="1028"/>
      <c r="L532" s="1035" t="str">
        <f t="shared" si="211"/>
        <v/>
      </c>
      <c r="S532" s="498"/>
      <c r="AJ532" s="498"/>
      <c r="AM532" s="498">
        <f t="shared" si="192"/>
        <v>0</v>
      </c>
      <c r="AN532" s="498">
        <f t="shared" si="193"/>
        <v>0</v>
      </c>
      <c r="AO532" s="498">
        <f t="shared" si="194"/>
        <v>0</v>
      </c>
      <c r="AP532" s="498">
        <f t="shared" si="213"/>
        <v>0</v>
      </c>
      <c r="AQ532" s="498">
        <f t="shared" si="208"/>
        <v>0</v>
      </c>
      <c r="AU532" s="498">
        <f t="shared" si="195"/>
        <v>0</v>
      </c>
      <c r="AV532" s="498">
        <f t="shared" si="196"/>
        <v>0</v>
      </c>
      <c r="AW532" s="498">
        <f t="shared" si="197"/>
        <v>0</v>
      </c>
      <c r="AX532" s="498">
        <f t="shared" si="198"/>
        <v>0</v>
      </c>
      <c r="AY532" s="498">
        <f t="shared" si="199"/>
        <v>0</v>
      </c>
      <c r="BB532" s="498" t="str">
        <f t="shared" si="200"/>
        <v/>
      </c>
      <c r="BC532" s="743" t="str">
        <f t="shared" si="201"/>
        <v/>
      </c>
      <c r="BD532" s="743" t="str">
        <f t="shared" si="202"/>
        <v/>
      </c>
      <c r="BE532" s="743" t="str">
        <f>IF(D532="","",VLOOKUP(D532,'General Basis'!$J$39:$K$46,2,0))</f>
        <v/>
      </c>
      <c r="BF532" s="744" t="str">
        <f>IF(D532="","",VLOOKUP(D532,'General Basis'!$J$39:$L$46,3,0))</f>
        <v/>
      </c>
      <c r="BG532" s="744" t="str">
        <f t="shared" si="209"/>
        <v/>
      </c>
      <c r="BH532" s="744" t="str">
        <f>IF(G532="","",IF(BF532="Abu Dhabi",IF(G532&lt;18,'General Basis'!$C$39,IF(G532&lt;41,'General Basis'!$C$40,IF(G532&lt;60,'General Basis'!$C$41,IF(G532&lt;65,'General Basis'!$C$42,'General Basis'!$C$43)))),IF(G532&lt;11,'General Basis'!$B$39,IF(G532&lt;18,'General Basis'!$B$40,IF(G532&lt;26,'General Basis'!$B$41,IF(G532&lt;31,'General Basis'!$B$42,IF(G532&lt;36,'General Basis'!$B$43,IF(G532&lt;41,'General Basis'!$B$44,IF(G532&lt;46,'General Basis'!$B$45,IF(G532&lt;51,'General Basis'!$B$46,IF(G532&lt;56,'General Basis'!$B$47,IF(G532&lt;60,'General Basis'!$B$48,IF(G532&lt;65,'General Basis'!$B$49,'General Basis'!$B$50)))))))))))))</f>
        <v/>
      </c>
      <c r="BI532" s="744" t="str">
        <f t="shared" si="203"/>
        <v/>
      </c>
      <c r="BJ532" s="747" t="str">
        <f t="shared" si="210"/>
        <v/>
      </c>
      <c r="BK532" s="498" t="str">
        <f t="shared" si="204"/>
        <v/>
      </c>
      <c r="BL532" s="498" t="str">
        <f t="shared" si="205"/>
        <v/>
      </c>
    </row>
    <row r="533" spans="1:64" x14ac:dyDescent="0.25">
      <c r="A533" s="762">
        <f t="shared" si="206"/>
        <v>528</v>
      </c>
      <c r="B533" s="229"/>
      <c r="C533" s="223"/>
      <c r="D533" s="224"/>
      <c r="E533" s="225"/>
      <c r="F533" s="1036" t="str">
        <f t="shared" si="212"/>
        <v/>
      </c>
      <c r="G533" s="1037" t="str">
        <f t="shared" si="207"/>
        <v/>
      </c>
      <c r="H533" s="225"/>
      <c r="I533" s="1013"/>
      <c r="J533" s="1013"/>
      <c r="K533" s="1028"/>
      <c r="L533" s="1035" t="str">
        <f t="shared" si="211"/>
        <v/>
      </c>
      <c r="S533" s="498"/>
      <c r="AJ533" s="498"/>
      <c r="AM533" s="498">
        <f t="shared" si="192"/>
        <v>0</v>
      </c>
      <c r="AN533" s="498">
        <f t="shared" si="193"/>
        <v>0</v>
      </c>
      <c r="AO533" s="498">
        <f t="shared" si="194"/>
        <v>0</v>
      </c>
      <c r="AP533" s="498">
        <f t="shared" si="213"/>
        <v>0</v>
      </c>
      <c r="AQ533" s="498">
        <f t="shared" si="208"/>
        <v>0</v>
      </c>
      <c r="AU533" s="498">
        <f t="shared" si="195"/>
        <v>0</v>
      </c>
      <c r="AV533" s="498">
        <f t="shared" si="196"/>
        <v>0</v>
      </c>
      <c r="AW533" s="498">
        <f t="shared" si="197"/>
        <v>0</v>
      </c>
      <c r="AX533" s="498">
        <f t="shared" si="198"/>
        <v>0</v>
      </c>
      <c r="AY533" s="498">
        <f t="shared" si="199"/>
        <v>0</v>
      </c>
      <c r="BB533" s="498" t="str">
        <f t="shared" si="200"/>
        <v/>
      </c>
      <c r="BC533" s="743" t="str">
        <f t="shared" si="201"/>
        <v/>
      </c>
      <c r="BD533" s="743" t="str">
        <f t="shared" si="202"/>
        <v/>
      </c>
      <c r="BE533" s="743" t="str">
        <f>IF(D533="","",VLOOKUP(D533,'General Basis'!$J$39:$K$46,2,0))</f>
        <v/>
      </c>
      <c r="BF533" s="744" t="str">
        <f>IF(D533="","",VLOOKUP(D533,'General Basis'!$J$39:$L$46,3,0))</f>
        <v/>
      </c>
      <c r="BG533" s="744" t="str">
        <f t="shared" si="209"/>
        <v/>
      </c>
      <c r="BH533" s="744" t="str">
        <f>IF(G533="","",IF(BF533="Abu Dhabi",IF(G533&lt;18,'General Basis'!$C$39,IF(G533&lt;41,'General Basis'!$C$40,IF(G533&lt;60,'General Basis'!$C$41,IF(G533&lt;65,'General Basis'!$C$42,'General Basis'!$C$43)))),IF(G533&lt;11,'General Basis'!$B$39,IF(G533&lt;18,'General Basis'!$B$40,IF(G533&lt;26,'General Basis'!$B$41,IF(G533&lt;31,'General Basis'!$B$42,IF(G533&lt;36,'General Basis'!$B$43,IF(G533&lt;41,'General Basis'!$B$44,IF(G533&lt;46,'General Basis'!$B$45,IF(G533&lt;51,'General Basis'!$B$46,IF(G533&lt;56,'General Basis'!$B$47,IF(G533&lt;60,'General Basis'!$B$48,IF(G533&lt;65,'General Basis'!$B$49,'General Basis'!$B$50)))))))))))))</f>
        <v/>
      </c>
      <c r="BI533" s="744" t="str">
        <f t="shared" si="203"/>
        <v/>
      </c>
      <c r="BJ533" s="747" t="str">
        <f t="shared" si="210"/>
        <v/>
      </c>
      <c r="BK533" s="498" t="str">
        <f t="shared" si="204"/>
        <v/>
      </c>
      <c r="BL533" s="498" t="str">
        <f t="shared" si="205"/>
        <v/>
      </c>
    </row>
    <row r="534" spans="1:64" x14ac:dyDescent="0.25">
      <c r="A534" s="762">
        <f t="shared" si="206"/>
        <v>529</v>
      </c>
      <c r="B534" s="229"/>
      <c r="C534" s="223"/>
      <c r="D534" s="224"/>
      <c r="E534" s="225"/>
      <c r="F534" s="1036" t="str">
        <f t="shared" si="212"/>
        <v/>
      </c>
      <c r="G534" s="1037" t="str">
        <f t="shared" si="207"/>
        <v/>
      </c>
      <c r="H534" s="225"/>
      <c r="I534" s="1013"/>
      <c r="J534" s="1013"/>
      <c r="K534" s="1028"/>
      <c r="L534" s="1035" t="str">
        <f t="shared" si="211"/>
        <v/>
      </c>
      <c r="S534" s="498"/>
      <c r="AJ534" s="498"/>
      <c r="AM534" s="498">
        <f t="shared" si="192"/>
        <v>0</v>
      </c>
      <c r="AN534" s="498">
        <f t="shared" si="193"/>
        <v>0</v>
      </c>
      <c r="AO534" s="498">
        <f t="shared" si="194"/>
        <v>0</v>
      </c>
      <c r="AP534" s="498">
        <f t="shared" si="213"/>
        <v>0</v>
      </c>
      <c r="AQ534" s="498">
        <f t="shared" si="208"/>
        <v>0</v>
      </c>
      <c r="AU534" s="498">
        <f t="shared" si="195"/>
        <v>0</v>
      </c>
      <c r="AV534" s="498">
        <f t="shared" si="196"/>
        <v>0</v>
      </c>
      <c r="AW534" s="498">
        <f t="shared" si="197"/>
        <v>0</v>
      </c>
      <c r="AX534" s="498">
        <f t="shared" si="198"/>
        <v>0</v>
      </c>
      <c r="AY534" s="498">
        <f t="shared" si="199"/>
        <v>0</v>
      </c>
      <c r="BB534" s="498" t="str">
        <f t="shared" si="200"/>
        <v/>
      </c>
      <c r="BC534" s="743" t="str">
        <f t="shared" si="201"/>
        <v/>
      </c>
      <c r="BD534" s="743" t="str">
        <f t="shared" si="202"/>
        <v/>
      </c>
      <c r="BE534" s="743" t="str">
        <f>IF(D534="","",VLOOKUP(D534,'General Basis'!$J$39:$K$46,2,0))</f>
        <v/>
      </c>
      <c r="BF534" s="744" t="str">
        <f>IF(D534="","",VLOOKUP(D534,'General Basis'!$J$39:$L$46,3,0))</f>
        <v/>
      </c>
      <c r="BG534" s="744" t="str">
        <f t="shared" si="209"/>
        <v/>
      </c>
      <c r="BH534" s="744" t="str">
        <f>IF(G534="","",IF(BF534="Abu Dhabi",IF(G534&lt;18,'General Basis'!$C$39,IF(G534&lt;41,'General Basis'!$C$40,IF(G534&lt;60,'General Basis'!$C$41,IF(G534&lt;65,'General Basis'!$C$42,'General Basis'!$C$43)))),IF(G534&lt;11,'General Basis'!$B$39,IF(G534&lt;18,'General Basis'!$B$40,IF(G534&lt;26,'General Basis'!$B$41,IF(G534&lt;31,'General Basis'!$B$42,IF(G534&lt;36,'General Basis'!$B$43,IF(G534&lt;41,'General Basis'!$B$44,IF(G534&lt;46,'General Basis'!$B$45,IF(G534&lt;51,'General Basis'!$B$46,IF(G534&lt;56,'General Basis'!$B$47,IF(G534&lt;60,'General Basis'!$B$48,IF(G534&lt;65,'General Basis'!$B$49,'General Basis'!$B$50)))))))))))))</f>
        <v/>
      </c>
      <c r="BI534" s="744" t="str">
        <f t="shared" si="203"/>
        <v/>
      </c>
      <c r="BJ534" s="747" t="str">
        <f t="shared" si="210"/>
        <v/>
      </c>
      <c r="BK534" s="498" t="str">
        <f t="shared" si="204"/>
        <v/>
      </c>
      <c r="BL534" s="498" t="str">
        <f t="shared" si="205"/>
        <v/>
      </c>
    </row>
    <row r="535" spans="1:64" x14ac:dyDescent="0.25">
      <c r="A535" s="762">
        <f t="shared" si="206"/>
        <v>530</v>
      </c>
      <c r="B535" s="229"/>
      <c r="C535" s="223"/>
      <c r="D535" s="224"/>
      <c r="E535" s="225"/>
      <c r="F535" s="1036" t="str">
        <f t="shared" si="212"/>
        <v/>
      </c>
      <c r="G535" s="1037" t="str">
        <f t="shared" si="207"/>
        <v/>
      </c>
      <c r="H535" s="225"/>
      <c r="I535" s="1013"/>
      <c r="J535" s="1013"/>
      <c r="K535" s="1028"/>
      <c r="L535" s="1035" t="str">
        <f t="shared" si="211"/>
        <v/>
      </c>
      <c r="S535" s="498"/>
      <c r="AJ535" s="498"/>
      <c r="AM535" s="498">
        <f t="shared" si="192"/>
        <v>0</v>
      </c>
      <c r="AN535" s="498">
        <f t="shared" si="193"/>
        <v>0</v>
      </c>
      <c r="AO535" s="498">
        <f t="shared" si="194"/>
        <v>0</v>
      </c>
      <c r="AP535" s="498">
        <f t="shared" si="213"/>
        <v>0</v>
      </c>
      <c r="AQ535" s="498">
        <f t="shared" si="208"/>
        <v>0</v>
      </c>
      <c r="AU535" s="498">
        <f t="shared" si="195"/>
        <v>0</v>
      </c>
      <c r="AV535" s="498">
        <f t="shared" si="196"/>
        <v>0</v>
      </c>
      <c r="AW535" s="498">
        <f t="shared" si="197"/>
        <v>0</v>
      </c>
      <c r="AX535" s="498">
        <f t="shared" si="198"/>
        <v>0</v>
      </c>
      <c r="AY535" s="498">
        <f t="shared" si="199"/>
        <v>0</v>
      </c>
      <c r="BB535" s="498" t="str">
        <f t="shared" si="200"/>
        <v/>
      </c>
      <c r="BC535" s="743" t="str">
        <f t="shared" si="201"/>
        <v/>
      </c>
      <c r="BD535" s="743" t="str">
        <f t="shared" si="202"/>
        <v/>
      </c>
      <c r="BE535" s="743" t="str">
        <f>IF(D535="","",VLOOKUP(D535,'General Basis'!$J$39:$K$46,2,0))</f>
        <v/>
      </c>
      <c r="BF535" s="744" t="str">
        <f>IF(D535="","",VLOOKUP(D535,'General Basis'!$J$39:$L$46,3,0))</f>
        <v/>
      </c>
      <c r="BG535" s="744" t="str">
        <f t="shared" si="209"/>
        <v/>
      </c>
      <c r="BH535" s="744" t="str">
        <f>IF(G535="","",IF(BF535="Abu Dhabi",IF(G535&lt;18,'General Basis'!$C$39,IF(G535&lt;41,'General Basis'!$C$40,IF(G535&lt;60,'General Basis'!$C$41,IF(G535&lt;65,'General Basis'!$C$42,'General Basis'!$C$43)))),IF(G535&lt;11,'General Basis'!$B$39,IF(G535&lt;18,'General Basis'!$B$40,IF(G535&lt;26,'General Basis'!$B$41,IF(G535&lt;31,'General Basis'!$B$42,IF(G535&lt;36,'General Basis'!$B$43,IF(G535&lt;41,'General Basis'!$B$44,IF(G535&lt;46,'General Basis'!$B$45,IF(G535&lt;51,'General Basis'!$B$46,IF(G535&lt;56,'General Basis'!$B$47,IF(G535&lt;60,'General Basis'!$B$48,IF(G535&lt;65,'General Basis'!$B$49,'General Basis'!$B$50)))))))))))))</f>
        <v/>
      </c>
      <c r="BI535" s="744" t="str">
        <f t="shared" si="203"/>
        <v/>
      </c>
      <c r="BJ535" s="747" t="str">
        <f t="shared" si="210"/>
        <v/>
      </c>
      <c r="BK535" s="498" t="str">
        <f t="shared" si="204"/>
        <v/>
      </c>
      <c r="BL535" s="498" t="str">
        <f t="shared" si="205"/>
        <v/>
      </c>
    </row>
    <row r="536" spans="1:64" x14ac:dyDescent="0.25">
      <c r="A536" s="762">
        <f t="shared" si="206"/>
        <v>531</v>
      </c>
      <c r="B536" s="229"/>
      <c r="C536" s="223"/>
      <c r="D536" s="224"/>
      <c r="E536" s="225"/>
      <c r="F536" s="1036" t="str">
        <f t="shared" si="212"/>
        <v/>
      </c>
      <c r="G536" s="1037" t="str">
        <f t="shared" si="207"/>
        <v/>
      </c>
      <c r="H536" s="225"/>
      <c r="I536" s="1013"/>
      <c r="J536" s="1013"/>
      <c r="K536" s="1028"/>
      <c r="L536" s="1035" t="str">
        <f t="shared" si="211"/>
        <v/>
      </c>
      <c r="S536" s="498"/>
      <c r="AJ536" s="498"/>
      <c r="AM536" s="498">
        <f t="shared" si="192"/>
        <v>0</v>
      </c>
      <c r="AN536" s="498">
        <f t="shared" si="193"/>
        <v>0</v>
      </c>
      <c r="AO536" s="498">
        <f t="shared" si="194"/>
        <v>0</v>
      </c>
      <c r="AP536" s="498">
        <f t="shared" si="213"/>
        <v>0</v>
      </c>
      <c r="AQ536" s="498">
        <f t="shared" si="208"/>
        <v>0</v>
      </c>
      <c r="AU536" s="498">
        <f t="shared" si="195"/>
        <v>0</v>
      </c>
      <c r="AV536" s="498">
        <f t="shared" si="196"/>
        <v>0</v>
      </c>
      <c r="AW536" s="498">
        <f t="shared" si="197"/>
        <v>0</v>
      </c>
      <c r="AX536" s="498">
        <f t="shared" si="198"/>
        <v>0</v>
      </c>
      <c r="AY536" s="498">
        <f t="shared" si="199"/>
        <v>0</v>
      </c>
      <c r="BB536" s="498" t="str">
        <f t="shared" si="200"/>
        <v/>
      </c>
      <c r="BC536" s="743" t="str">
        <f t="shared" si="201"/>
        <v/>
      </c>
      <c r="BD536" s="743" t="str">
        <f t="shared" si="202"/>
        <v/>
      </c>
      <c r="BE536" s="743" t="str">
        <f>IF(D536="","",VLOOKUP(D536,'General Basis'!$J$39:$K$46,2,0))</f>
        <v/>
      </c>
      <c r="BF536" s="744" t="str">
        <f>IF(D536="","",VLOOKUP(D536,'General Basis'!$J$39:$L$46,3,0))</f>
        <v/>
      </c>
      <c r="BG536" s="744" t="str">
        <f t="shared" si="209"/>
        <v/>
      </c>
      <c r="BH536" s="744" t="str">
        <f>IF(G536="","",IF(BF536="Abu Dhabi",IF(G536&lt;18,'General Basis'!$C$39,IF(G536&lt;41,'General Basis'!$C$40,IF(G536&lt;60,'General Basis'!$C$41,IF(G536&lt;65,'General Basis'!$C$42,'General Basis'!$C$43)))),IF(G536&lt;11,'General Basis'!$B$39,IF(G536&lt;18,'General Basis'!$B$40,IF(G536&lt;26,'General Basis'!$B$41,IF(G536&lt;31,'General Basis'!$B$42,IF(G536&lt;36,'General Basis'!$B$43,IF(G536&lt;41,'General Basis'!$B$44,IF(G536&lt;46,'General Basis'!$B$45,IF(G536&lt;51,'General Basis'!$B$46,IF(G536&lt;56,'General Basis'!$B$47,IF(G536&lt;60,'General Basis'!$B$48,IF(G536&lt;65,'General Basis'!$B$49,'General Basis'!$B$50)))))))))))))</f>
        <v/>
      </c>
      <c r="BI536" s="744" t="str">
        <f t="shared" si="203"/>
        <v/>
      </c>
      <c r="BJ536" s="747" t="str">
        <f t="shared" si="210"/>
        <v/>
      </c>
      <c r="BK536" s="498" t="str">
        <f t="shared" si="204"/>
        <v/>
      </c>
      <c r="BL536" s="498" t="str">
        <f t="shared" si="205"/>
        <v/>
      </c>
    </row>
    <row r="537" spans="1:64" x14ac:dyDescent="0.25">
      <c r="A537" s="762">
        <f t="shared" si="206"/>
        <v>532</v>
      </c>
      <c r="B537" s="229"/>
      <c r="C537" s="223"/>
      <c r="D537" s="224"/>
      <c r="E537" s="225"/>
      <c r="F537" s="1036" t="str">
        <f t="shared" si="212"/>
        <v/>
      </c>
      <c r="G537" s="1037" t="str">
        <f t="shared" si="207"/>
        <v/>
      </c>
      <c r="H537" s="225"/>
      <c r="I537" s="1013"/>
      <c r="J537" s="1013"/>
      <c r="K537" s="1028"/>
      <c r="L537" s="1035" t="str">
        <f t="shared" si="211"/>
        <v/>
      </c>
      <c r="S537" s="498"/>
      <c r="AJ537" s="498"/>
      <c r="AM537" s="498">
        <f t="shared" si="192"/>
        <v>0</v>
      </c>
      <c r="AN537" s="498">
        <f t="shared" si="193"/>
        <v>0</v>
      </c>
      <c r="AO537" s="498">
        <f t="shared" si="194"/>
        <v>0</v>
      </c>
      <c r="AP537" s="498">
        <f t="shared" si="213"/>
        <v>0</v>
      </c>
      <c r="AQ537" s="498">
        <f t="shared" si="208"/>
        <v>0</v>
      </c>
      <c r="AU537" s="498">
        <f t="shared" si="195"/>
        <v>0</v>
      </c>
      <c r="AV537" s="498">
        <f t="shared" si="196"/>
        <v>0</v>
      </c>
      <c r="AW537" s="498">
        <f t="shared" si="197"/>
        <v>0</v>
      </c>
      <c r="AX537" s="498">
        <f t="shared" si="198"/>
        <v>0</v>
      </c>
      <c r="AY537" s="498">
        <f t="shared" si="199"/>
        <v>0</v>
      </c>
      <c r="BB537" s="498" t="str">
        <f t="shared" si="200"/>
        <v/>
      </c>
      <c r="BC537" s="743" t="str">
        <f t="shared" si="201"/>
        <v/>
      </c>
      <c r="BD537" s="743" t="str">
        <f t="shared" si="202"/>
        <v/>
      </c>
      <c r="BE537" s="743" t="str">
        <f>IF(D537="","",VLOOKUP(D537,'General Basis'!$J$39:$K$46,2,0))</f>
        <v/>
      </c>
      <c r="BF537" s="744" t="str">
        <f>IF(D537="","",VLOOKUP(D537,'General Basis'!$J$39:$L$46,3,0))</f>
        <v/>
      </c>
      <c r="BG537" s="744" t="str">
        <f t="shared" si="209"/>
        <v/>
      </c>
      <c r="BH537" s="744" t="str">
        <f>IF(G537="","",IF(BF537="Abu Dhabi",IF(G537&lt;18,'General Basis'!$C$39,IF(G537&lt;41,'General Basis'!$C$40,IF(G537&lt;60,'General Basis'!$C$41,IF(G537&lt;65,'General Basis'!$C$42,'General Basis'!$C$43)))),IF(G537&lt;11,'General Basis'!$B$39,IF(G537&lt;18,'General Basis'!$B$40,IF(G537&lt;26,'General Basis'!$B$41,IF(G537&lt;31,'General Basis'!$B$42,IF(G537&lt;36,'General Basis'!$B$43,IF(G537&lt;41,'General Basis'!$B$44,IF(G537&lt;46,'General Basis'!$B$45,IF(G537&lt;51,'General Basis'!$B$46,IF(G537&lt;56,'General Basis'!$B$47,IF(G537&lt;60,'General Basis'!$B$48,IF(G537&lt;65,'General Basis'!$B$49,'General Basis'!$B$50)))))))))))))</f>
        <v/>
      </c>
      <c r="BI537" s="744" t="str">
        <f t="shared" si="203"/>
        <v/>
      </c>
      <c r="BJ537" s="747" t="str">
        <f t="shared" si="210"/>
        <v/>
      </c>
      <c r="BK537" s="498" t="str">
        <f t="shared" si="204"/>
        <v/>
      </c>
      <c r="BL537" s="498" t="str">
        <f t="shared" si="205"/>
        <v/>
      </c>
    </row>
    <row r="538" spans="1:64" x14ac:dyDescent="0.25">
      <c r="A538" s="762">
        <f t="shared" si="206"/>
        <v>533</v>
      </c>
      <c r="B538" s="229"/>
      <c r="C538" s="223"/>
      <c r="D538" s="224"/>
      <c r="E538" s="225"/>
      <c r="F538" s="1036" t="str">
        <f t="shared" si="212"/>
        <v/>
      </c>
      <c r="G538" s="1037" t="str">
        <f t="shared" si="207"/>
        <v/>
      </c>
      <c r="H538" s="225"/>
      <c r="I538" s="1013"/>
      <c r="J538" s="1013"/>
      <c r="K538" s="1028"/>
      <c r="L538" s="1035" t="str">
        <f t="shared" si="211"/>
        <v/>
      </c>
      <c r="S538" s="498"/>
      <c r="AJ538" s="498"/>
      <c r="AM538" s="498">
        <f t="shared" si="192"/>
        <v>0</v>
      </c>
      <c r="AN538" s="498">
        <f t="shared" si="193"/>
        <v>0</v>
      </c>
      <c r="AO538" s="498">
        <f t="shared" si="194"/>
        <v>0</v>
      </c>
      <c r="AP538" s="498">
        <f t="shared" si="213"/>
        <v>0</v>
      </c>
      <c r="AQ538" s="498">
        <f t="shared" si="208"/>
        <v>0</v>
      </c>
      <c r="AU538" s="498">
        <f t="shared" si="195"/>
        <v>0</v>
      </c>
      <c r="AV538" s="498">
        <f t="shared" si="196"/>
        <v>0</v>
      </c>
      <c r="AW538" s="498">
        <f t="shared" si="197"/>
        <v>0</v>
      </c>
      <c r="AX538" s="498">
        <f t="shared" si="198"/>
        <v>0</v>
      </c>
      <c r="AY538" s="498">
        <f t="shared" si="199"/>
        <v>0</v>
      </c>
      <c r="BB538" s="498" t="str">
        <f t="shared" si="200"/>
        <v/>
      </c>
      <c r="BC538" s="743" t="str">
        <f t="shared" si="201"/>
        <v/>
      </c>
      <c r="BD538" s="743" t="str">
        <f t="shared" si="202"/>
        <v/>
      </c>
      <c r="BE538" s="743" t="str">
        <f>IF(D538="","",VLOOKUP(D538,'General Basis'!$J$39:$K$46,2,0))</f>
        <v/>
      </c>
      <c r="BF538" s="744" t="str">
        <f>IF(D538="","",VLOOKUP(D538,'General Basis'!$J$39:$L$46,3,0))</f>
        <v/>
      </c>
      <c r="BG538" s="744" t="str">
        <f t="shared" si="209"/>
        <v/>
      </c>
      <c r="BH538" s="744" t="str">
        <f>IF(G538="","",IF(BF538="Abu Dhabi",IF(G538&lt;18,'General Basis'!$C$39,IF(G538&lt;41,'General Basis'!$C$40,IF(G538&lt;60,'General Basis'!$C$41,IF(G538&lt;65,'General Basis'!$C$42,'General Basis'!$C$43)))),IF(G538&lt;11,'General Basis'!$B$39,IF(G538&lt;18,'General Basis'!$B$40,IF(G538&lt;26,'General Basis'!$B$41,IF(G538&lt;31,'General Basis'!$B$42,IF(G538&lt;36,'General Basis'!$B$43,IF(G538&lt;41,'General Basis'!$B$44,IF(G538&lt;46,'General Basis'!$B$45,IF(G538&lt;51,'General Basis'!$B$46,IF(G538&lt;56,'General Basis'!$B$47,IF(G538&lt;60,'General Basis'!$B$48,IF(G538&lt;65,'General Basis'!$B$49,'General Basis'!$B$50)))))))))))))</f>
        <v/>
      </c>
      <c r="BI538" s="744" t="str">
        <f t="shared" si="203"/>
        <v/>
      </c>
      <c r="BJ538" s="747" t="str">
        <f t="shared" si="210"/>
        <v/>
      </c>
      <c r="BK538" s="498" t="str">
        <f t="shared" si="204"/>
        <v/>
      </c>
      <c r="BL538" s="498" t="str">
        <f t="shared" si="205"/>
        <v/>
      </c>
    </row>
    <row r="539" spans="1:64" x14ac:dyDescent="0.25">
      <c r="A539" s="762">
        <f t="shared" si="206"/>
        <v>534</v>
      </c>
      <c r="B539" s="229"/>
      <c r="C539" s="223"/>
      <c r="D539" s="224"/>
      <c r="E539" s="225"/>
      <c r="F539" s="1036" t="str">
        <f t="shared" si="212"/>
        <v/>
      </c>
      <c r="G539" s="1037" t="str">
        <f t="shared" si="207"/>
        <v/>
      </c>
      <c r="H539" s="225"/>
      <c r="I539" s="1013"/>
      <c r="J539" s="1013"/>
      <c r="K539" s="1028"/>
      <c r="L539" s="1035" t="str">
        <f t="shared" si="211"/>
        <v/>
      </c>
      <c r="S539" s="498"/>
      <c r="AJ539" s="498"/>
      <c r="AM539" s="498">
        <f t="shared" si="192"/>
        <v>0</v>
      </c>
      <c r="AN539" s="498">
        <f t="shared" si="193"/>
        <v>0</v>
      </c>
      <c r="AO539" s="498">
        <f t="shared" si="194"/>
        <v>0</v>
      </c>
      <c r="AP539" s="498">
        <f t="shared" si="213"/>
        <v>0</v>
      </c>
      <c r="AQ539" s="498">
        <f t="shared" si="208"/>
        <v>0</v>
      </c>
      <c r="AU539" s="498">
        <f t="shared" si="195"/>
        <v>0</v>
      </c>
      <c r="AV539" s="498">
        <f t="shared" si="196"/>
        <v>0</v>
      </c>
      <c r="AW539" s="498">
        <f t="shared" si="197"/>
        <v>0</v>
      </c>
      <c r="AX539" s="498">
        <f t="shared" si="198"/>
        <v>0</v>
      </c>
      <c r="AY539" s="498">
        <f t="shared" si="199"/>
        <v>0</v>
      </c>
      <c r="BB539" s="498" t="str">
        <f t="shared" si="200"/>
        <v/>
      </c>
      <c r="BC539" s="743" t="str">
        <f t="shared" si="201"/>
        <v/>
      </c>
      <c r="BD539" s="743" t="str">
        <f t="shared" si="202"/>
        <v/>
      </c>
      <c r="BE539" s="743" t="str">
        <f>IF(D539="","",VLOOKUP(D539,'General Basis'!$J$39:$K$46,2,0))</f>
        <v/>
      </c>
      <c r="BF539" s="744" t="str">
        <f>IF(D539="","",VLOOKUP(D539,'General Basis'!$J$39:$L$46,3,0))</f>
        <v/>
      </c>
      <c r="BG539" s="744" t="str">
        <f t="shared" si="209"/>
        <v/>
      </c>
      <c r="BH539" s="744" t="str">
        <f>IF(G539="","",IF(BF539="Abu Dhabi",IF(G539&lt;18,'General Basis'!$C$39,IF(G539&lt;41,'General Basis'!$C$40,IF(G539&lt;60,'General Basis'!$C$41,IF(G539&lt;65,'General Basis'!$C$42,'General Basis'!$C$43)))),IF(G539&lt;11,'General Basis'!$B$39,IF(G539&lt;18,'General Basis'!$B$40,IF(G539&lt;26,'General Basis'!$B$41,IF(G539&lt;31,'General Basis'!$B$42,IF(G539&lt;36,'General Basis'!$B$43,IF(G539&lt;41,'General Basis'!$B$44,IF(G539&lt;46,'General Basis'!$B$45,IF(G539&lt;51,'General Basis'!$B$46,IF(G539&lt;56,'General Basis'!$B$47,IF(G539&lt;60,'General Basis'!$B$48,IF(G539&lt;65,'General Basis'!$B$49,'General Basis'!$B$50)))))))))))))</f>
        <v/>
      </c>
      <c r="BI539" s="744" t="str">
        <f t="shared" si="203"/>
        <v/>
      </c>
      <c r="BJ539" s="747" t="str">
        <f t="shared" si="210"/>
        <v/>
      </c>
      <c r="BK539" s="498" t="str">
        <f t="shared" si="204"/>
        <v/>
      </c>
      <c r="BL539" s="498" t="str">
        <f t="shared" si="205"/>
        <v/>
      </c>
    </row>
    <row r="540" spans="1:64" x14ac:dyDescent="0.25">
      <c r="A540" s="762">
        <f t="shared" si="206"/>
        <v>535</v>
      </c>
      <c r="B540" s="229"/>
      <c r="C540" s="223"/>
      <c r="D540" s="224"/>
      <c r="E540" s="225"/>
      <c r="F540" s="1036" t="str">
        <f t="shared" si="212"/>
        <v/>
      </c>
      <c r="G540" s="1037" t="str">
        <f t="shared" si="207"/>
        <v/>
      </c>
      <c r="H540" s="225"/>
      <c r="I540" s="1013"/>
      <c r="J540" s="1013"/>
      <c r="K540" s="1028"/>
      <c r="L540" s="1035" t="str">
        <f t="shared" si="211"/>
        <v/>
      </c>
      <c r="S540" s="498"/>
      <c r="AJ540" s="498"/>
      <c r="AM540" s="498">
        <f t="shared" si="192"/>
        <v>0</v>
      </c>
      <c r="AN540" s="498">
        <f t="shared" si="193"/>
        <v>0</v>
      </c>
      <c r="AO540" s="498">
        <f t="shared" si="194"/>
        <v>0</v>
      </c>
      <c r="AP540" s="498">
        <f t="shared" si="213"/>
        <v>0</v>
      </c>
      <c r="AQ540" s="498">
        <f t="shared" si="208"/>
        <v>0</v>
      </c>
      <c r="AU540" s="498">
        <f t="shared" si="195"/>
        <v>0</v>
      </c>
      <c r="AV540" s="498">
        <f t="shared" si="196"/>
        <v>0</v>
      </c>
      <c r="AW540" s="498">
        <f t="shared" si="197"/>
        <v>0</v>
      </c>
      <c r="AX540" s="498">
        <f t="shared" si="198"/>
        <v>0</v>
      </c>
      <c r="AY540" s="498">
        <f t="shared" si="199"/>
        <v>0</v>
      </c>
      <c r="BB540" s="498" t="str">
        <f t="shared" si="200"/>
        <v/>
      </c>
      <c r="BC540" s="743" t="str">
        <f t="shared" si="201"/>
        <v/>
      </c>
      <c r="BD540" s="743" t="str">
        <f t="shared" si="202"/>
        <v/>
      </c>
      <c r="BE540" s="743" t="str">
        <f>IF(D540="","",VLOOKUP(D540,'General Basis'!$J$39:$K$46,2,0))</f>
        <v/>
      </c>
      <c r="BF540" s="744" t="str">
        <f>IF(D540="","",VLOOKUP(D540,'General Basis'!$J$39:$L$46,3,0))</f>
        <v/>
      </c>
      <c r="BG540" s="744" t="str">
        <f t="shared" si="209"/>
        <v/>
      </c>
      <c r="BH540" s="744" t="str">
        <f>IF(G540="","",IF(BF540="Abu Dhabi",IF(G540&lt;18,'General Basis'!$C$39,IF(G540&lt;41,'General Basis'!$C$40,IF(G540&lt;60,'General Basis'!$C$41,IF(G540&lt;65,'General Basis'!$C$42,'General Basis'!$C$43)))),IF(G540&lt;11,'General Basis'!$B$39,IF(G540&lt;18,'General Basis'!$B$40,IF(G540&lt;26,'General Basis'!$B$41,IF(G540&lt;31,'General Basis'!$B$42,IF(G540&lt;36,'General Basis'!$B$43,IF(G540&lt;41,'General Basis'!$B$44,IF(G540&lt;46,'General Basis'!$B$45,IF(G540&lt;51,'General Basis'!$B$46,IF(G540&lt;56,'General Basis'!$B$47,IF(G540&lt;60,'General Basis'!$B$48,IF(G540&lt;65,'General Basis'!$B$49,'General Basis'!$B$50)))))))))))))</f>
        <v/>
      </c>
      <c r="BI540" s="744" t="str">
        <f t="shared" si="203"/>
        <v/>
      </c>
      <c r="BJ540" s="747" t="str">
        <f t="shared" si="210"/>
        <v/>
      </c>
      <c r="BK540" s="498" t="str">
        <f t="shared" si="204"/>
        <v/>
      </c>
      <c r="BL540" s="498" t="str">
        <f t="shared" si="205"/>
        <v/>
      </c>
    </row>
    <row r="541" spans="1:64" x14ac:dyDescent="0.25">
      <c r="A541" s="762">
        <f t="shared" si="206"/>
        <v>536</v>
      </c>
      <c r="B541" s="229"/>
      <c r="C541" s="223"/>
      <c r="D541" s="224"/>
      <c r="E541" s="225"/>
      <c r="F541" s="1036" t="str">
        <f t="shared" si="212"/>
        <v/>
      </c>
      <c r="G541" s="1037" t="str">
        <f t="shared" si="207"/>
        <v/>
      </c>
      <c r="H541" s="225"/>
      <c r="I541" s="1013"/>
      <c r="J541" s="1013"/>
      <c r="K541" s="1028"/>
      <c r="L541" s="1035" t="str">
        <f t="shared" si="211"/>
        <v/>
      </c>
      <c r="S541" s="498"/>
      <c r="AJ541" s="498"/>
      <c r="AM541" s="498">
        <f t="shared" si="192"/>
        <v>0</v>
      </c>
      <c r="AN541" s="498">
        <f t="shared" si="193"/>
        <v>0</v>
      </c>
      <c r="AO541" s="498">
        <f t="shared" si="194"/>
        <v>0</v>
      </c>
      <c r="AP541" s="498">
        <f t="shared" si="213"/>
        <v>0</v>
      </c>
      <c r="AQ541" s="498">
        <f t="shared" si="208"/>
        <v>0</v>
      </c>
      <c r="AU541" s="498">
        <f t="shared" si="195"/>
        <v>0</v>
      </c>
      <c r="AV541" s="498">
        <f t="shared" si="196"/>
        <v>0</v>
      </c>
      <c r="AW541" s="498">
        <f t="shared" si="197"/>
        <v>0</v>
      </c>
      <c r="AX541" s="498">
        <f t="shared" si="198"/>
        <v>0</v>
      </c>
      <c r="AY541" s="498">
        <f t="shared" si="199"/>
        <v>0</v>
      </c>
      <c r="BB541" s="498" t="str">
        <f t="shared" si="200"/>
        <v/>
      </c>
      <c r="BC541" s="743" t="str">
        <f t="shared" si="201"/>
        <v/>
      </c>
      <c r="BD541" s="743" t="str">
        <f t="shared" si="202"/>
        <v/>
      </c>
      <c r="BE541" s="743" t="str">
        <f>IF(D541="","",VLOOKUP(D541,'General Basis'!$J$39:$K$46,2,0))</f>
        <v/>
      </c>
      <c r="BF541" s="744" t="str">
        <f>IF(D541="","",VLOOKUP(D541,'General Basis'!$J$39:$L$46,3,0))</f>
        <v/>
      </c>
      <c r="BG541" s="744" t="str">
        <f t="shared" si="209"/>
        <v/>
      </c>
      <c r="BH541" s="744" t="str">
        <f>IF(G541="","",IF(BF541="Abu Dhabi",IF(G541&lt;18,'General Basis'!$C$39,IF(G541&lt;41,'General Basis'!$C$40,IF(G541&lt;60,'General Basis'!$C$41,IF(G541&lt;65,'General Basis'!$C$42,'General Basis'!$C$43)))),IF(G541&lt;11,'General Basis'!$B$39,IF(G541&lt;18,'General Basis'!$B$40,IF(G541&lt;26,'General Basis'!$B$41,IF(G541&lt;31,'General Basis'!$B$42,IF(G541&lt;36,'General Basis'!$B$43,IF(G541&lt;41,'General Basis'!$B$44,IF(G541&lt;46,'General Basis'!$B$45,IF(G541&lt;51,'General Basis'!$B$46,IF(G541&lt;56,'General Basis'!$B$47,IF(G541&lt;60,'General Basis'!$B$48,IF(G541&lt;65,'General Basis'!$B$49,'General Basis'!$B$50)))))))))))))</f>
        <v/>
      </c>
      <c r="BI541" s="744" t="str">
        <f t="shared" si="203"/>
        <v/>
      </c>
      <c r="BJ541" s="747" t="str">
        <f t="shared" si="210"/>
        <v/>
      </c>
      <c r="BK541" s="498" t="str">
        <f t="shared" si="204"/>
        <v/>
      </c>
      <c r="BL541" s="498" t="str">
        <f t="shared" si="205"/>
        <v/>
      </c>
    </row>
    <row r="542" spans="1:64" x14ac:dyDescent="0.25">
      <c r="A542" s="762">
        <f t="shared" si="206"/>
        <v>537</v>
      </c>
      <c r="B542" s="229"/>
      <c r="C542" s="223"/>
      <c r="D542" s="224"/>
      <c r="E542" s="225"/>
      <c r="F542" s="1036" t="str">
        <f t="shared" si="212"/>
        <v/>
      </c>
      <c r="G542" s="1037" t="str">
        <f t="shared" si="207"/>
        <v/>
      </c>
      <c r="H542" s="225"/>
      <c r="I542" s="1013"/>
      <c r="J542" s="1013"/>
      <c r="K542" s="1028"/>
      <c r="L542" s="1035" t="str">
        <f t="shared" si="211"/>
        <v/>
      </c>
      <c r="S542" s="498"/>
      <c r="AJ542" s="498"/>
      <c r="AM542" s="498">
        <f t="shared" si="192"/>
        <v>0</v>
      </c>
      <c r="AN542" s="498">
        <f t="shared" si="193"/>
        <v>0</v>
      </c>
      <c r="AO542" s="498">
        <f t="shared" si="194"/>
        <v>0</v>
      </c>
      <c r="AP542" s="498">
        <f t="shared" si="213"/>
        <v>0</v>
      </c>
      <c r="AQ542" s="498">
        <f t="shared" si="208"/>
        <v>0</v>
      </c>
      <c r="AU542" s="498">
        <f t="shared" si="195"/>
        <v>0</v>
      </c>
      <c r="AV542" s="498">
        <f t="shared" si="196"/>
        <v>0</v>
      </c>
      <c r="AW542" s="498">
        <f t="shared" si="197"/>
        <v>0</v>
      </c>
      <c r="AX542" s="498">
        <f t="shared" si="198"/>
        <v>0</v>
      </c>
      <c r="AY542" s="498">
        <f t="shared" si="199"/>
        <v>0</v>
      </c>
      <c r="BB542" s="498" t="str">
        <f t="shared" si="200"/>
        <v/>
      </c>
      <c r="BC542" s="743" t="str">
        <f t="shared" si="201"/>
        <v/>
      </c>
      <c r="BD542" s="743" t="str">
        <f t="shared" si="202"/>
        <v/>
      </c>
      <c r="BE542" s="743" t="str">
        <f>IF(D542="","",VLOOKUP(D542,'General Basis'!$J$39:$K$46,2,0))</f>
        <v/>
      </c>
      <c r="BF542" s="744" t="str">
        <f>IF(D542="","",VLOOKUP(D542,'General Basis'!$J$39:$L$46,3,0))</f>
        <v/>
      </c>
      <c r="BG542" s="744" t="str">
        <f t="shared" si="209"/>
        <v/>
      </c>
      <c r="BH542" s="744" t="str">
        <f>IF(G542="","",IF(BF542="Abu Dhabi",IF(G542&lt;18,'General Basis'!$C$39,IF(G542&lt;41,'General Basis'!$C$40,IF(G542&lt;60,'General Basis'!$C$41,IF(G542&lt;65,'General Basis'!$C$42,'General Basis'!$C$43)))),IF(G542&lt;11,'General Basis'!$B$39,IF(G542&lt;18,'General Basis'!$B$40,IF(G542&lt;26,'General Basis'!$B$41,IF(G542&lt;31,'General Basis'!$B$42,IF(G542&lt;36,'General Basis'!$B$43,IF(G542&lt;41,'General Basis'!$B$44,IF(G542&lt;46,'General Basis'!$B$45,IF(G542&lt;51,'General Basis'!$B$46,IF(G542&lt;56,'General Basis'!$B$47,IF(G542&lt;60,'General Basis'!$B$48,IF(G542&lt;65,'General Basis'!$B$49,'General Basis'!$B$50)))))))))))))</f>
        <v/>
      </c>
      <c r="BI542" s="744" t="str">
        <f t="shared" si="203"/>
        <v/>
      </c>
      <c r="BJ542" s="747" t="str">
        <f t="shared" si="210"/>
        <v/>
      </c>
      <c r="BK542" s="498" t="str">
        <f t="shared" si="204"/>
        <v/>
      </c>
      <c r="BL542" s="498" t="str">
        <f t="shared" si="205"/>
        <v/>
      </c>
    </row>
    <row r="543" spans="1:64" x14ac:dyDescent="0.25">
      <c r="A543" s="762">
        <f t="shared" si="206"/>
        <v>538</v>
      </c>
      <c r="B543" s="229"/>
      <c r="C543" s="223"/>
      <c r="D543" s="224"/>
      <c r="E543" s="225"/>
      <c r="F543" s="1036" t="str">
        <f t="shared" si="212"/>
        <v/>
      </c>
      <c r="G543" s="1037" t="str">
        <f t="shared" si="207"/>
        <v/>
      </c>
      <c r="H543" s="225"/>
      <c r="I543" s="1013"/>
      <c r="J543" s="1013"/>
      <c r="K543" s="1028"/>
      <c r="L543" s="1035" t="str">
        <f t="shared" si="211"/>
        <v/>
      </c>
      <c r="S543" s="498"/>
      <c r="AJ543" s="498"/>
      <c r="AM543" s="498">
        <f t="shared" si="192"/>
        <v>0</v>
      </c>
      <c r="AN543" s="498">
        <f t="shared" si="193"/>
        <v>0</v>
      </c>
      <c r="AO543" s="498">
        <f t="shared" si="194"/>
        <v>0</v>
      </c>
      <c r="AP543" s="498">
        <f t="shared" si="213"/>
        <v>0</v>
      </c>
      <c r="AQ543" s="498">
        <f t="shared" si="208"/>
        <v>0</v>
      </c>
      <c r="AU543" s="498">
        <f t="shared" si="195"/>
        <v>0</v>
      </c>
      <c r="AV543" s="498">
        <f t="shared" si="196"/>
        <v>0</v>
      </c>
      <c r="AW543" s="498">
        <f t="shared" si="197"/>
        <v>0</v>
      </c>
      <c r="AX543" s="498">
        <f t="shared" si="198"/>
        <v>0</v>
      </c>
      <c r="AY543" s="498">
        <f t="shared" si="199"/>
        <v>0</v>
      </c>
      <c r="BB543" s="498" t="str">
        <f t="shared" si="200"/>
        <v/>
      </c>
      <c r="BC543" s="743" t="str">
        <f t="shared" si="201"/>
        <v/>
      </c>
      <c r="BD543" s="743" t="str">
        <f t="shared" si="202"/>
        <v/>
      </c>
      <c r="BE543" s="743" t="str">
        <f>IF(D543="","",VLOOKUP(D543,'General Basis'!$J$39:$K$46,2,0))</f>
        <v/>
      </c>
      <c r="BF543" s="744" t="str">
        <f>IF(D543="","",VLOOKUP(D543,'General Basis'!$J$39:$L$46,3,0))</f>
        <v/>
      </c>
      <c r="BG543" s="744" t="str">
        <f t="shared" si="209"/>
        <v/>
      </c>
      <c r="BH543" s="744" t="str">
        <f>IF(G543="","",IF(BF543="Abu Dhabi",IF(G543&lt;18,'General Basis'!$C$39,IF(G543&lt;41,'General Basis'!$C$40,IF(G543&lt;60,'General Basis'!$C$41,IF(G543&lt;65,'General Basis'!$C$42,'General Basis'!$C$43)))),IF(G543&lt;11,'General Basis'!$B$39,IF(G543&lt;18,'General Basis'!$B$40,IF(G543&lt;26,'General Basis'!$B$41,IF(G543&lt;31,'General Basis'!$B$42,IF(G543&lt;36,'General Basis'!$B$43,IF(G543&lt;41,'General Basis'!$B$44,IF(G543&lt;46,'General Basis'!$B$45,IF(G543&lt;51,'General Basis'!$B$46,IF(G543&lt;56,'General Basis'!$B$47,IF(G543&lt;60,'General Basis'!$B$48,IF(G543&lt;65,'General Basis'!$B$49,'General Basis'!$B$50)))))))))))))</f>
        <v/>
      </c>
      <c r="BI543" s="744" t="str">
        <f t="shared" si="203"/>
        <v/>
      </c>
      <c r="BJ543" s="747" t="str">
        <f t="shared" si="210"/>
        <v/>
      </c>
      <c r="BK543" s="498" t="str">
        <f t="shared" si="204"/>
        <v/>
      </c>
      <c r="BL543" s="498" t="str">
        <f t="shared" si="205"/>
        <v/>
      </c>
    </row>
    <row r="544" spans="1:64" x14ac:dyDescent="0.25">
      <c r="A544" s="762">
        <f t="shared" si="206"/>
        <v>539</v>
      </c>
      <c r="B544" s="229"/>
      <c r="C544" s="223"/>
      <c r="D544" s="224"/>
      <c r="E544" s="225"/>
      <c r="F544" s="1036" t="str">
        <f t="shared" si="212"/>
        <v/>
      </c>
      <c r="G544" s="1037" t="str">
        <f t="shared" si="207"/>
        <v/>
      </c>
      <c r="H544" s="225"/>
      <c r="I544" s="1013"/>
      <c r="J544" s="1013"/>
      <c r="K544" s="1028"/>
      <c r="L544" s="1035" t="str">
        <f t="shared" si="211"/>
        <v/>
      </c>
      <c r="S544" s="498"/>
      <c r="AJ544" s="498"/>
      <c r="AM544" s="498">
        <f t="shared" si="192"/>
        <v>0</v>
      </c>
      <c r="AN544" s="498">
        <f t="shared" si="193"/>
        <v>0</v>
      </c>
      <c r="AO544" s="498">
        <f t="shared" si="194"/>
        <v>0</v>
      </c>
      <c r="AP544" s="498">
        <f t="shared" si="213"/>
        <v>0</v>
      </c>
      <c r="AQ544" s="498">
        <f t="shared" si="208"/>
        <v>0</v>
      </c>
      <c r="AU544" s="498">
        <f t="shared" si="195"/>
        <v>0</v>
      </c>
      <c r="AV544" s="498">
        <f t="shared" si="196"/>
        <v>0</v>
      </c>
      <c r="AW544" s="498">
        <f t="shared" si="197"/>
        <v>0</v>
      </c>
      <c r="AX544" s="498">
        <f t="shared" si="198"/>
        <v>0</v>
      </c>
      <c r="AY544" s="498">
        <f t="shared" si="199"/>
        <v>0</v>
      </c>
      <c r="BB544" s="498" t="str">
        <f t="shared" si="200"/>
        <v/>
      </c>
      <c r="BC544" s="743" t="str">
        <f t="shared" si="201"/>
        <v/>
      </c>
      <c r="BD544" s="743" t="str">
        <f t="shared" si="202"/>
        <v/>
      </c>
      <c r="BE544" s="743" t="str">
        <f>IF(D544="","",VLOOKUP(D544,'General Basis'!$J$39:$K$46,2,0))</f>
        <v/>
      </c>
      <c r="BF544" s="744" t="str">
        <f>IF(D544="","",VLOOKUP(D544,'General Basis'!$J$39:$L$46,3,0))</f>
        <v/>
      </c>
      <c r="BG544" s="744" t="str">
        <f t="shared" si="209"/>
        <v/>
      </c>
      <c r="BH544" s="744" t="str">
        <f>IF(G544="","",IF(BF544="Abu Dhabi",IF(G544&lt;18,'General Basis'!$C$39,IF(G544&lt;41,'General Basis'!$C$40,IF(G544&lt;60,'General Basis'!$C$41,IF(G544&lt;65,'General Basis'!$C$42,'General Basis'!$C$43)))),IF(G544&lt;11,'General Basis'!$B$39,IF(G544&lt;18,'General Basis'!$B$40,IF(G544&lt;26,'General Basis'!$B$41,IF(G544&lt;31,'General Basis'!$B$42,IF(G544&lt;36,'General Basis'!$B$43,IF(G544&lt;41,'General Basis'!$B$44,IF(G544&lt;46,'General Basis'!$B$45,IF(G544&lt;51,'General Basis'!$B$46,IF(G544&lt;56,'General Basis'!$B$47,IF(G544&lt;60,'General Basis'!$B$48,IF(G544&lt;65,'General Basis'!$B$49,'General Basis'!$B$50)))))))))))))</f>
        <v/>
      </c>
      <c r="BI544" s="744" t="str">
        <f t="shared" si="203"/>
        <v/>
      </c>
      <c r="BJ544" s="747" t="str">
        <f t="shared" si="210"/>
        <v/>
      </c>
      <c r="BK544" s="498" t="str">
        <f t="shared" si="204"/>
        <v/>
      </c>
      <c r="BL544" s="498" t="str">
        <f t="shared" si="205"/>
        <v/>
      </c>
    </row>
    <row r="545" spans="1:64" x14ac:dyDescent="0.25">
      <c r="A545" s="762">
        <f t="shared" si="206"/>
        <v>540</v>
      </c>
      <c r="B545" s="229"/>
      <c r="C545" s="223"/>
      <c r="D545" s="224"/>
      <c r="E545" s="225"/>
      <c r="F545" s="1036" t="str">
        <f t="shared" si="212"/>
        <v/>
      </c>
      <c r="G545" s="1037" t="str">
        <f t="shared" si="207"/>
        <v/>
      </c>
      <c r="H545" s="225"/>
      <c r="I545" s="1013"/>
      <c r="J545" s="1013"/>
      <c r="K545" s="1028"/>
      <c r="L545" s="1035" t="str">
        <f t="shared" si="211"/>
        <v/>
      </c>
      <c r="S545" s="498"/>
      <c r="AJ545" s="498"/>
      <c r="AM545" s="498">
        <f t="shared" si="192"/>
        <v>0</v>
      </c>
      <c r="AN545" s="498">
        <f t="shared" si="193"/>
        <v>0</v>
      </c>
      <c r="AO545" s="498">
        <f t="shared" si="194"/>
        <v>0</v>
      </c>
      <c r="AP545" s="498">
        <f t="shared" si="213"/>
        <v>0</v>
      </c>
      <c r="AQ545" s="498">
        <f t="shared" si="208"/>
        <v>0</v>
      </c>
      <c r="AU545" s="498">
        <f t="shared" si="195"/>
        <v>0</v>
      </c>
      <c r="AV545" s="498">
        <f t="shared" si="196"/>
        <v>0</v>
      </c>
      <c r="AW545" s="498">
        <f t="shared" si="197"/>
        <v>0</v>
      </c>
      <c r="AX545" s="498">
        <f t="shared" si="198"/>
        <v>0</v>
      </c>
      <c r="AY545" s="498">
        <f t="shared" si="199"/>
        <v>0</v>
      </c>
      <c r="BB545" s="498" t="str">
        <f t="shared" si="200"/>
        <v/>
      </c>
      <c r="BC545" s="743" t="str">
        <f t="shared" si="201"/>
        <v/>
      </c>
      <c r="BD545" s="743" t="str">
        <f t="shared" si="202"/>
        <v/>
      </c>
      <c r="BE545" s="743" t="str">
        <f>IF(D545="","",VLOOKUP(D545,'General Basis'!$J$39:$K$46,2,0))</f>
        <v/>
      </c>
      <c r="BF545" s="744" t="str">
        <f>IF(D545="","",VLOOKUP(D545,'General Basis'!$J$39:$L$46,3,0))</f>
        <v/>
      </c>
      <c r="BG545" s="744" t="str">
        <f t="shared" si="209"/>
        <v/>
      </c>
      <c r="BH545" s="744" t="str">
        <f>IF(G545="","",IF(BF545="Abu Dhabi",IF(G545&lt;18,'General Basis'!$C$39,IF(G545&lt;41,'General Basis'!$C$40,IF(G545&lt;60,'General Basis'!$C$41,IF(G545&lt;65,'General Basis'!$C$42,'General Basis'!$C$43)))),IF(G545&lt;11,'General Basis'!$B$39,IF(G545&lt;18,'General Basis'!$B$40,IF(G545&lt;26,'General Basis'!$B$41,IF(G545&lt;31,'General Basis'!$B$42,IF(G545&lt;36,'General Basis'!$B$43,IF(G545&lt;41,'General Basis'!$B$44,IF(G545&lt;46,'General Basis'!$B$45,IF(G545&lt;51,'General Basis'!$B$46,IF(G545&lt;56,'General Basis'!$B$47,IF(G545&lt;60,'General Basis'!$B$48,IF(G545&lt;65,'General Basis'!$B$49,'General Basis'!$B$50)))))))))))))</f>
        <v/>
      </c>
      <c r="BI545" s="744" t="str">
        <f t="shared" si="203"/>
        <v/>
      </c>
      <c r="BJ545" s="747" t="str">
        <f t="shared" si="210"/>
        <v/>
      </c>
      <c r="BK545" s="498" t="str">
        <f t="shared" si="204"/>
        <v/>
      </c>
      <c r="BL545" s="498" t="str">
        <f t="shared" si="205"/>
        <v/>
      </c>
    </row>
    <row r="546" spans="1:64" x14ac:dyDescent="0.25">
      <c r="A546" s="762">
        <f t="shared" si="206"/>
        <v>541</v>
      </c>
      <c r="B546" s="229"/>
      <c r="C546" s="223"/>
      <c r="D546" s="224"/>
      <c r="E546" s="225"/>
      <c r="F546" s="1036" t="str">
        <f t="shared" si="212"/>
        <v/>
      </c>
      <c r="G546" s="1037" t="str">
        <f t="shared" si="207"/>
        <v/>
      </c>
      <c r="H546" s="225"/>
      <c r="I546" s="1013"/>
      <c r="J546" s="1013"/>
      <c r="K546" s="1028"/>
      <c r="L546" s="1035" t="str">
        <f t="shared" si="211"/>
        <v/>
      </c>
      <c r="S546" s="498"/>
      <c r="AJ546" s="498"/>
      <c r="AM546" s="498">
        <f t="shared" si="192"/>
        <v>0</v>
      </c>
      <c r="AN546" s="498">
        <f t="shared" si="193"/>
        <v>0</v>
      </c>
      <c r="AO546" s="498">
        <f t="shared" si="194"/>
        <v>0</v>
      </c>
      <c r="AP546" s="498">
        <f t="shared" si="213"/>
        <v>0</v>
      </c>
      <c r="AQ546" s="498">
        <f t="shared" si="208"/>
        <v>0</v>
      </c>
      <c r="AU546" s="498">
        <f t="shared" si="195"/>
        <v>0</v>
      </c>
      <c r="AV546" s="498">
        <f t="shared" si="196"/>
        <v>0</v>
      </c>
      <c r="AW546" s="498">
        <f t="shared" si="197"/>
        <v>0</v>
      </c>
      <c r="AX546" s="498">
        <f t="shared" si="198"/>
        <v>0</v>
      </c>
      <c r="AY546" s="498">
        <f t="shared" si="199"/>
        <v>0</v>
      </c>
      <c r="BB546" s="498" t="str">
        <f t="shared" si="200"/>
        <v/>
      </c>
      <c r="BC546" s="743" t="str">
        <f t="shared" si="201"/>
        <v/>
      </c>
      <c r="BD546" s="743" t="str">
        <f t="shared" si="202"/>
        <v/>
      </c>
      <c r="BE546" s="743" t="str">
        <f>IF(D546="","",VLOOKUP(D546,'General Basis'!$J$39:$K$46,2,0))</f>
        <v/>
      </c>
      <c r="BF546" s="744" t="str">
        <f>IF(D546="","",VLOOKUP(D546,'General Basis'!$J$39:$L$46,3,0))</f>
        <v/>
      </c>
      <c r="BG546" s="744" t="str">
        <f t="shared" si="209"/>
        <v/>
      </c>
      <c r="BH546" s="744" t="str">
        <f>IF(G546="","",IF(BF546="Abu Dhabi",IF(G546&lt;18,'General Basis'!$C$39,IF(G546&lt;41,'General Basis'!$C$40,IF(G546&lt;60,'General Basis'!$C$41,IF(G546&lt;65,'General Basis'!$C$42,'General Basis'!$C$43)))),IF(G546&lt;11,'General Basis'!$B$39,IF(G546&lt;18,'General Basis'!$B$40,IF(G546&lt;26,'General Basis'!$B$41,IF(G546&lt;31,'General Basis'!$B$42,IF(G546&lt;36,'General Basis'!$B$43,IF(G546&lt;41,'General Basis'!$B$44,IF(G546&lt;46,'General Basis'!$B$45,IF(G546&lt;51,'General Basis'!$B$46,IF(G546&lt;56,'General Basis'!$B$47,IF(G546&lt;60,'General Basis'!$B$48,IF(G546&lt;65,'General Basis'!$B$49,'General Basis'!$B$50)))))))))))))</f>
        <v/>
      </c>
      <c r="BI546" s="744" t="str">
        <f t="shared" si="203"/>
        <v/>
      </c>
      <c r="BJ546" s="747" t="str">
        <f t="shared" si="210"/>
        <v/>
      </c>
      <c r="BK546" s="498" t="str">
        <f t="shared" si="204"/>
        <v/>
      </c>
      <c r="BL546" s="498" t="str">
        <f t="shared" si="205"/>
        <v/>
      </c>
    </row>
    <row r="547" spans="1:64" x14ac:dyDescent="0.25">
      <c r="A547" s="762">
        <f t="shared" si="206"/>
        <v>542</v>
      </c>
      <c r="B547" s="229"/>
      <c r="C547" s="223"/>
      <c r="D547" s="224"/>
      <c r="E547" s="225"/>
      <c r="F547" s="1036" t="str">
        <f t="shared" si="212"/>
        <v/>
      </c>
      <c r="G547" s="1037" t="str">
        <f t="shared" si="207"/>
        <v/>
      </c>
      <c r="H547" s="225"/>
      <c r="I547" s="1013"/>
      <c r="J547" s="1013"/>
      <c r="K547" s="1028"/>
      <c r="L547" s="1035" t="str">
        <f t="shared" si="211"/>
        <v/>
      </c>
      <c r="S547" s="498"/>
      <c r="AJ547" s="498"/>
      <c r="AM547" s="498">
        <f t="shared" si="192"/>
        <v>0</v>
      </c>
      <c r="AN547" s="498">
        <f t="shared" si="193"/>
        <v>0</v>
      </c>
      <c r="AO547" s="498">
        <f t="shared" si="194"/>
        <v>0</v>
      </c>
      <c r="AP547" s="498">
        <f t="shared" si="213"/>
        <v>0</v>
      </c>
      <c r="AQ547" s="498">
        <f t="shared" si="208"/>
        <v>0</v>
      </c>
      <c r="AU547" s="498">
        <f t="shared" si="195"/>
        <v>0</v>
      </c>
      <c r="AV547" s="498">
        <f t="shared" si="196"/>
        <v>0</v>
      </c>
      <c r="AW547" s="498">
        <f t="shared" si="197"/>
        <v>0</v>
      </c>
      <c r="AX547" s="498">
        <f t="shared" si="198"/>
        <v>0</v>
      </c>
      <c r="AY547" s="498">
        <f t="shared" si="199"/>
        <v>0</v>
      </c>
      <c r="BB547" s="498" t="str">
        <f t="shared" si="200"/>
        <v/>
      </c>
      <c r="BC547" s="743" t="str">
        <f t="shared" si="201"/>
        <v/>
      </c>
      <c r="BD547" s="743" t="str">
        <f t="shared" si="202"/>
        <v/>
      </c>
      <c r="BE547" s="743" t="str">
        <f>IF(D547="","",VLOOKUP(D547,'General Basis'!$J$39:$K$46,2,0))</f>
        <v/>
      </c>
      <c r="BF547" s="744" t="str">
        <f>IF(D547="","",VLOOKUP(D547,'General Basis'!$J$39:$L$46,3,0))</f>
        <v/>
      </c>
      <c r="BG547" s="744" t="str">
        <f t="shared" si="209"/>
        <v/>
      </c>
      <c r="BH547" s="744" t="str">
        <f>IF(G547="","",IF(BF547="Abu Dhabi",IF(G547&lt;18,'General Basis'!$C$39,IF(G547&lt;41,'General Basis'!$C$40,IF(G547&lt;60,'General Basis'!$C$41,IF(G547&lt;65,'General Basis'!$C$42,'General Basis'!$C$43)))),IF(G547&lt;11,'General Basis'!$B$39,IF(G547&lt;18,'General Basis'!$B$40,IF(G547&lt;26,'General Basis'!$B$41,IF(G547&lt;31,'General Basis'!$B$42,IF(G547&lt;36,'General Basis'!$B$43,IF(G547&lt;41,'General Basis'!$B$44,IF(G547&lt;46,'General Basis'!$B$45,IF(G547&lt;51,'General Basis'!$B$46,IF(G547&lt;56,'General Basis'!$B$47,IF(G547&lt;60,'General Basis'!$B$48,IF(G547&lt;65,'General Basis'!$B$49,'General Basis'!$B$50)))))))))))))</f>
        <v/>
      </c>
      <c r="BI547" s="744" t="str">
        <f t="shared" si="203"/>
        <v/>
      </c>
      <c r="BJ547" s="747" t="str">
        <f t="shared" si="210"/>
        <v/>
      </c>
      <c r="BK547" s="498" t="str">
        <f t="shared" si="204"/>
        <v/>
      </c>
      <c r="BL547" s="498" t="str">
        <f t="shared" si="205"/>
        <v/>
      </c>
    </row>
    <row r="548" spans="1:64" x14ac:dyDescent="0.25">
      <c r="A548" s="762">
        <f t="shared" si="206"/>
        <v>543</v>
      </c>
      <c r="B548" s="229"/>
      <c r="C548" s="223"/>
      <c r="D548" s="224"/>
      <c r="E548" s="225"/>
      <c r="F548" s="1036" t="str">
        <f t="shared" si="212"/>
        <v/>
      </c>
      <c r="G548" s="1037" t="str">
        <f t="shared" si="207"/>
        <v/>
      </c>
      <c r="H548" s="225"/>
      <c r="I548" s="1013"/>
      <c r="J548" s="1013"/>
      <c r="K548" s="1028"/>
      <c r="L548" s="1035" t="str">
        <f t="shared" si="211"/>
        <v/>
      </c>
      <c r="S548" s="498"/>
      <c r="AJ548" s="498"/>
      <c r="AM548" s="498">
        <f t="shared" si="192"/>
        <v>0</v>
      </c>
      <c r="AN548" s="498">
        <f t="shared" si="193"/>
        <v>0</v>
      </c>
      <c r="AO548" s="498">
        <f t="shared" si="194"/>
        <v>0</v>
      </c>
      <c r="AP548" s="498">
        <f t="shared" si="213"/>
        <v>0</v>
      </c>
      <c r="AQ548" s="498">
        <f t="shared" si="208"/>
        <v>0</v>
      </c>
      <c r="AU548" s="498">
        <f t="shared" si="195"/>
        <v>0</v>
      </c>
      <c r="AV548" s="498">
        <f t="shared" si="196"/>
        <v>0</v>
      </c>
      <c r="AW548" s="498">
        <f t="shared" si="197"/>
        <v>0</v>
      </c>
      <c r="AX548" s="498">
        <f t="shared" si="198"/>
        <v>0</v>
      </c>
      <c r="AY548" s="498">
        <f t="shared" si="199"/>
        <v>0</v>
      </c>
      <c r="BB548" s="498" t="str">
        <f t="shared" si="200"/>
        <v/>
      </c>
      <c r="BC548" s="743" t="str">
        <f t="shared" si="201"/>
        <v/>
      </c>
      <c r="BD548" s="743" t="str">
        <f t="shared" si="202"/>
        <v/>
      </c>
      <c r="BE548" s="743" t="str">
        <f>IF(D548="","",VLOOKUP(D548,'General Basis'!$J$39:$K$46,2,0))</f>
        <v/>
      </c>
      <c r="BF548" s="744" t="str">
        <f>IF(D548="","",VLOOKUP(D548,'General Basis'!$J$39:$L$46,3,0))</f>
        <v/>
      </c>
      <c r="BG548" s="744" t="str">
        <f t="shared" si="209"/>
        <v/>
      </c>
      <c r="BH548" s="744" t="str">
        <f>IF(G548="","",IF(BF548="Abu Dhabi",IF(G548&lt;18,'General Basis'!$C$39,IF(G548&lt;41,'General Basis'!$C$40,IF(G548&lt;60,'General Basis'!$C$41,IF(G548&lt;65,'General Basis'!$C$42,'General Basis'!$C$43)))),IF(G548&lt;11,'General Basis'!$B$39,IF(G548&lt;18,'General Basis'!$B$40,IF(G548&lt;26,'General Basis'!$B$41,IF(G548&lt;31,'General Basis'!$B$42,IF(G548&lt;36,'General Basis'!$B$43,IF(G548&lt;41,'General Basis'!$B$44,IF(G548&lt;46,'General Basis'!$B$45,IF(G548&lt;51,'General Basis'!$B$46,IF(G548&lt;56,'General Basis'!$B$47,IF(G548&lt;60,'General Basis'!$B$48,IF(G548&lt;65,'General Basis'!$B$49,'General Basis'!$B$50)))))))))))))</f>
        <v/>
      </c>
      <c r="BI548" s="744" t="str">
        <f t="shared" si="203"/>
        <v/>
      </c>
      <c r="BJ548" s="747" t="str">
        <f t="shared" si="210"/>
        <v/>
      </c>
      <c r="BK548" s="498" t="str">
        <f t="shared" si="204"/>
        <v/>
      </c>
      <c r="BL548" s="498" t="str">
        <f t="shared" si="205"/>
        <v/>
      </c>
    </row>
    <row r="549" spans="1:64" x14ac:dyDescent="0.25">
      <c r="A549" s="762">
        <f t="shared" si="206"/>
        <v>544</v>
      </c>
      <c r="B549" s="229"/>
      <c r="C549" s="223"/>
      <c r="D549" s="224"/>
      <c r="E549" s="225"/>
      <c r="F549" s="1036" t="str">
        <f t="shared" si="212"/>
        <v/>
      </c>
      <c r="G549" s="1037" t="str">
        <f t="shared" si="207"/>
        <v/>
      </c>
      <c r="H549" s="225"/>
      <c r="I549" s="1013"/>
      <c r="J549" s="1013"/>
      <c r="K549" s="1028"/>
      <c r="L549" s="1035" t="str">
        <f t="shared" si="211"/>
        <v/>
      </c>
      <c r="S549" s="498"/>
      <c r="AJ549" s="498"/>
      <c r="AM549" s="498">
        <f t="shared" si="192"/>
        <v>0</v>
      </c>
      <c r="AN549" s="498">
        <f t="shared" si="193"/>
        <v>0</v>
      </c>
      <c r="AO549" s="498">
        <f t="shared" si="194"/>
        <v>0</v>
      </c>
      <c r="AP549" s="498">
        <f t="shared" si="213"/>
        <v>0</v>
      </c>
      <c r="AQ549" s="498">
        <f t="shared" si="208"/>
        <v>0</v>
      </c>
      <c r="AU549" s="498">
        <f t="shared" si="195"/>
        <v>0</v>
      </c>
      <c r="AV549" s="498">
        <f t="shared" si="196"/>
        <v>0</v>
      </c>
      <c r="AW549" s="498">
        <f t="shared" si="197"/>
        <v>0</v>
      </c>
      <c r="AX549" s="498">
        <f t="shared" si="198"/>
        <v>0</v>
      </c>
      <c r="AY549" s="498">
        <f t="shared" si="199"/>
        <v>0</v>
      </c>
      <c r="BB549" s="498" t="str">
        <f t="shared" si="200"/>
        <v/>
      </c>
      <c r="BC549" s="743" t="str">
        <f t="shared" si="201"/>
        <v/>
      </c>
      <c r="BD549" s="743" t="str">
        <f t="shared" si="202"/>
        <v/>
      </c>
      <c r="BE549" s="743" t="str">
        <f>IF(D549="","",VLOOKUP(D549,'General Basis'!$J$39:$K$46,2,0))</f>
        <v/>
      </c>
      <c r="BF549" s="744" t="str">
        <f>IF(D549="","",VLOOKUP(D549,'General Basis'!$J$39:$L$46,3,0))</f>
        <v/>
      </c>
      <c r="BG549" s="744" t="str">
        <f t="shared" si="209"/>
        <v/>
      </c>
      <c r="BH549" s="744" t="str">
        <f>IF(G549="","",IF(BF549="Abu Dhabi",IF(G549&lt;18,'General Basis'!$C$39,IF(G549&lt;41,'General Basis'!$C$40,IF(G549&lt;60,'General Basis'!$C$41,IF(G549&lt;65,'General Basis'!$C$42,'General Basis'!$C$43)))),IF(G549&lt;11,'General Basis'!$B$39,IF(G549&lt;18,'General Basis'!$B$40,IF(G549&lt;26,'General Basis'!$B$41,IF(G549&lt;31,'General Basis'!$B$42,IF(G549&lt;36,'General Basis'!$B$43,IF(G549&lt;41,'General Basis'!$B$44,IF(G549&lt;46,'General Basis'!$B$45,IF(G549&lt;51,'General Basis'!$B$46,IF(G549&lt;56,'General Basis'!$B$47,IF(G549&lt;60,'General Basis'!$B$48,IF(G549&lt;65,'General Basis'!$B$49,'General Basis'!$B$50)))))))))))))</f>
        <v/>
      </c>
      <c r="BI549" s="744" t="str">
        <f t="shared" si="203"/>
        <v/>
      </c>
      <c r="BJ549" s="747" t="str">
        <f t="shared" si="210"/>
        <v/>
      </c>
      <c r="BK549" s="498" t="str">
        <f t="shared" si="204"/>
        <v/>
      </c>
      <c r="BL549" s="498" t="str">
        <f t="shared" si="205"/>
        <v/>
      </c>
    </row>
    <row r="550" spans="1:64" x14ac:dyDescent="0.25">
      <c r="A550" s="762">
        <f t="shared" si="206"/>
        <v>545</v>
      </c>
      <c r="B550" s="229"/>
      <c r="C550" s="223"/>
      <c r="D550" s="224"/>
      <c r="E550" s="225"/>
      <c r="F550" s="1036" t="str">
        <f t="shared" si="212"/>
        <v/>
      </c>
      <c r="G550" s="1037" t="str">
        <f t="shared" si="207"/>
        <v/>
      </c>
      <c r="H550" s="225"/>
      <c r="I550" s="1013"/>
      <c r="J550" s="1013"/>
      <c r="K550" s="1028"/>
      <c r="L550" s="1035" t="str">
        <f t="shared" si="211"/>
        <v/>
      </c>
      <c r="S550" s="498"/>
      <c r="AJ550" s="498"/>
      <c r="AM550" s="498">
        <f t="shared" si="192"/>
        <v>0</v>
      </c>
      <c r="AN550" s="498">
        <f t="shared" si="193"/>
        <v>0</v>
      </c>
      <c r="AO550" s="498">
        <f t="shared" si="194"/>
        <v>0</v>
      </c>
      <c r="AP550" s="498">
        <f t="shared" si="213"/>
        <v>0</v>
      </c>
      <c r="AQ550" s="498">
        <f t="shared" si="208"/>
        <v>0</v>
      </c>
      <c r="AU550" s="498">
        <f t="shared" si="195"/>
        <v>0</v>
      </c>
      <c r="AV550" s="498">
        <f t="shared" si="196"/>
        <v>0</v>
      </c>
      <c r="AW550" s="498">
        <f t="shared" si="197"/>
        <v>0</v>
      </c>
      <c r="AX550" s="498">
        <f t="shared" si="198"/>
        <v>0</v>
      </c>
      <c r="AY550" s="498">
        <f t="shared" si="199"/>
        <v>0</v>
      </c>
      <c r="BB550" s="498" t="str">
        <f t="shared" si="200"/>
        <v/>
      </c>
      <c r="BC550" s="743" t="str">
        <f t="shared" si="201"/>
        <v/>
      </c>
      <c r="BD550" s="743" t="str">
        <f t="shared" si="202"/>
        <v/>
      </c>
      <c r="BE550" s="743" t="str">
        <f>IF(D550="","",VLOOKUP(D550,'General Basis'!$J$39:$K$46,2,0))</f>
        <v/>
      </c>
      <c r="BF550" s="744" t="str">
        <f>IF(D550="","",VLOOKUP(D550,'General Basis'!$J$39:$L$46,3,0))</f>
        <v/>
      </c>
      <c r="BG550" s="744" t="str">
        <f t="shared" si="209"/>
        <v/>
      </c>
      <c r="BH550" s="744" t="str">
        <f>IF(G550="","",IF(BF550="Abu Dhabi",IF(G550&lt;18,'General Basis'!$C$39,IF(G550&lt;41,'General Basis'!$C$40,IF(G550&lt;60,'General Basis'!$C$41,IF(G550&lt;65,'General Basis'!$C$42,'General Basis'!$C$43)))),IF(G550&lt;11,'General Basis'!$B$39,IF(G550&lt;18,'General Basis'!$B$40,IF(G550&lt;26,'General Basis'!$B$41,IF(G550&lt;31,'General Basis'!$B$42,IF(G550&lt;36,'General Basis'!$B$43,IF(G550&lt;41,'General Basis'!$B$44,IF(G550&lt;46,'General Basis'!$B$45,IF(G550&lt;51,'General Basis'!$B$46,IF(G550&lt;56,'General Basis'!$B$47,IF(G550&lt;60,'General Basis'!$B$48,IF(G550&lt;65,'General Basis'!$B$49,'General Basis'!$B$50)))))))))))))</f>
        <v/>
      </c>
      <c r="BI550" s="744" t="str">
        <f t="shared" si="203"/>
        <v/>
      </c>
      <c r="BJ550" s="747" t="str">
        <f t="shared" si="210"/>
        <v/>
      </c>
      <c r="BK550" s="498" t="str">
        <f t="shared" si="204"/>
        <v/>
      </c>
      <c r="BL550" s="498" t="str">
        <f t="shared" si="205"/>
        <v/>
      </c>
    </row>
    <row r="551" spans="1:64" x14ac:dyDescent="0.25">
      <c r="A551" s="762">
        <f t="shared" si="206"/>
        <v>546</v>
      </c>
      <c r="B551" s="229"/>
      <c r="C551" s="223"/>
      <c r="D551" s="224"/>
      <c r="E551" s="225"/>
      <c r="F551" s="1036" t="str">
        <f t="shared" si="212"/>
        <v/>
      </c>
      <c r="G551" s="1037" t="str">
        <f t="shared" si="207"/>
        <v/>
      </c>
      <c r="H551" s="225"/>
      <c r="I551" s="1013"/>
      <c r="J551" s="1013"/>
      <c r="K551" s="1028"/>
      <c r="L551" s="1035" t="str">
        <f t="shared" si="211"/>
        <v/>
      </c>
      <c r="S551" s="498"/>
      <c r="AJ551" s="498"/>
      <c r="AM551" s="498">
        <f t="shared" si="192"/>
        <v>0</v>
      </c>
      <c r="AN551" s="498">
        <f t="shared" si="193"/>
        <v>0</v>
      </c>
      <c r="AO551" s="498">
        <f t="shared" si="194"/>
        <v>0</v>
      </c>
      <c r="AP551" s="498">
        <f t="shared" si="213"/>
        <v>0</v>
      </c>
      <c r="AQ551" s="498">
        <f t="shared" si="208"/>
        <v>0</v>
      </c>
      <c r="AU551" s="498">
        <f t="shared" si="195"/>
        <v>0</v>
      </c>
      <c r="AV551" s="498">
        <f t="shared" si="196"/>
        <v>0</v>
      </c>
      <c r="AW551" s="498">
        <f t="shared" si="197"/>
        <v>0</v>
      </c>
      <c r="AX551" s="498">
        <f t="shared" si="198"/>
        <v>0</v>
      </c>
      <c r="AY551" s="498">
        <f t="shared" si="199"/>
        <v>0</v>
      </c>
      <c r="BB551" s="498" t="str">
        <f t="shared" si="200"/>
        <v/>
      </c>
      <c r="BC551" s="743" t="str">
        <f t="shared" si="201"/>
        <v/>
      </c>
      <c r="BD551" s="743" t="str">
        <f t="shared" si="202"/>
        <v/>
      </c>
      <c r="BE551" s="743" t="str">
        <f>IF(D551="","",VLOOKUP(D551,'General Basis'!$J$39:$K$46,2,0))</f>
        <v/>
      </c>
      <c r="BF551" s="744" t="str">
        <f>IF(D551="","",VLOOKUP(D551,'General Basis'!$J$39:$L$46,3,0))</f>
        <v/>
      </c>
      <c r="BG551" s="744" t="str">
        <f t="shared" si="209"/>
        <v/>
      </c>
      <c r="BH551" s="744" t="str">
        <f>IF(G551="","",IF(BF551="Abu Dhabi",IF(G551&lt;18,'General Basis'!$C$39,IF(G551&lt;41,'General Basis'!$C$40,IF(G551&lt;60,'General Basis'!$C$41,IF(G551&lt;65,'General Basis'!$C$42,'General Basis'!$C$43)))),IF(G551&lt;11,'General Basis'!$B$39,IF(G551&lt;18,'General Basis'!$B$40,IF(G551&lt;26,'General Basis'!$B$41,IF(G551&lt;31,'General Basis'!$B$42,IF(G551&lt;36,'General Basis'!$B$43,IF(G551&lt;41,'General Basis'!$B$44,IF(G551&lt;46,'General Basis'!$B$45,IF(G551&lt;51,'General Basis'!$B$46,IF(G551&lt;56,'General Basis'!$B$47,IF(G551&lt;60,'General Basis'!$B$48,IF(G551&lt;65,'General Basis'!$B$49,'General Basis'!$B$50)))))))))))))</f>
        <v/>
      </c>
      <c r="BI551" s="744" t="str">
        <f t="shared" si="203"/>
        <v/>
      </c>
      <c r="BJ551" s="747" t="str">
        <f t="shared" si="210"/>
        <v/>
      </c>
      <c r="BK551" s="498" t="str">
        <f t="shared" si="204"/>
        <v/>
      </c>
      <c r="BL551" s="498" t="str">
        <f t="shared" si="205"/>
        <v/>
      </c>
    </row>
    <row r="552" spans="1:64" x14ac:dyDescent="0.25">
      <c r="A552" s="762">
        <f t="shared" si="206"/>
        <v>547</v>
      </c>
      <c r="B552" s="229"/>
      <c r="C552" s="223"/>
      <c r="D552" s="224"/>
      <c r="E552" s="225"/>
      <c r="F552" s="1036" t="str">
        <f t="shared" si="212"/>
        <v/>
      </c>
      <c r="G552" s="1037" t="str">
        <f t="shared" si="207"/>
        <v/>
      </c>
      <c r="H552" s="225"/>
      <c r="I552" s="1013"/>
      <c r="J552" s="1013"/>
      <c r="K552" s="1028"/>
      <c r="L552" s="1035" t="str">
        <f t="shared" si="211"/>
        <v/>
      </c>
      <c r="S552" s="498"/>
      <c r="AJ552" s="498"/>
      <c r="AM552" s="498">
        <f t="shared" si="192"/>
        <v>0</v>
      </c>
      <c r="AN552" s="498">
        <f t="shared" si="193"/>
        <v>0</v>
      </c>
      <c r="AO552" s="498">
        <f t="shared" si="194"/>
        <v>0</v>
      </c>
      <c r="AP552" s="498">
        <f t="shared" si="213"/>
        <v>0</v>
      </c>
      <c r="AQ552" s="498">
        <f t="shared" si="208"/>
        <v>0</v>
      </c>
      <c r="AU552" s="498">
        <f t="shared" si="195"/>
        <v>0</v>
      </c>
      <c r="AV552" s="498">
        <f t="shared" si="196"/>
        <v>0</v>
      </c>
      <c r="AW552" s="498">
        <f t="shared" si="197"/>
        <v>0</v>
      </c>
      <c r="AX552" s="498">
        <f t="shared" si="198"/>
        <v>0</v>
      </c>
      <c r="AY552" s="498">
        <f t="shared" si="199"/>
        <v>0</v>
      </c>
      <c r="BB552" s="498" t="str">
        <f t="shared" si="200"/>
        <v/>
      </c>
      <c r="BC552" s="743" t="str">
        <f t="shared" si="201"/>
        <v/>
      </c>
      <c r="BD552" s="743" t="str">
        <f t="shared" si="202"/>
        <v/>
      </c>
      <c r="BE552" s="743" t="str">
        <f>IF(D552="","",VLOOKUP(D552,'General Basis'!$J$39:$K$46,2,0))</f>
        <v/>
      </c>
      <c r="BF552" s="744" t="str">
        <f>IF(D552="","",VLOOKUP(D552,'General Basis'!$J$39:$L$46,3,0))</f>
        <v/>
      </c>
      <c r="BG552" s="744" t="str">
        <f t="shared" si="209"/>
        <v/>
      </c>
      <c r="BH552" s="744" t="str">
        <f>IF(G552="","",IF(BF552="Abu Dhabi",IF(G552&lt;18,'General Basis'!$C$39,IF(G552&lt;41,'General Basis'!$C$40,IF(G552&lt;60,'General Basis'!$C$41,IF(G552&lt;65,'General Basis'!$C$42,'General Basis'!$C$43)))),IF(G552&lt;11,'General Basis'!$B$39,IF(G552&lt;18,'General Basis'!$B$40,IF(G552&lt;26,'General Basis'!$B$41,IF(G552&lt;31,'General Basis'!$B$42,IF(G552&lt;36,'General Basis'!$B$43,IF(G552&lt;41,'General Basis'!$B$44,IF(G552&lt;46,'General Basis'!$B$45,IF(G552&lt;51,'General Basis'!$B$46,IF(G552&lt;56,'General Basis'!$B$47,IF(G552&lt;60,'General Basis'!$B$48,IF(G552&lt;65,'General Basis'!$B$49,'General Basis'!$B$50)))))))))))))</f>
        <v/>
      </c>
      <c r="BI552" s="744" t="str">
        <f t="shared" si="203"/>
        <v/>
      </c>
      <c r="BJ552" s="747" t="str">
        <f t="shared" si="210"/>
        <v/>
      </c>
      <c r="BK552" s="498" t="str">
        <f t="shared" si="204"/>
        <v/>
      </c>
      <c r="BL552" s="498" t="str">
        <f t="shared" si="205"/>
        <v/>
      </c>
    </row>
    <row r="553" spans="1:64" x14ac:dyDescent="0.25">
      <c r="A553" s="762">
        <f t="shared" si="206"/>
        <v>548</v>
      </c>
      <c r="B553" s="229"/>
      <c r="C553" s="223"/>
      <c r="D553" s="224"/>
      <c r="E553" s="225"/>
      <c r="F553" s="1036" t="str">
        <f t="shared" si="212"/>
        <v/>
      </c>
      <c r="G553" s="1037" t="str">
        <f t="shared" si="207"/>
        <v/>
      </c>
      <c r="H553" s="225"/>
      <c r="I553" s="1013"/>
      <c r="J553" s="1013"/>
      <c r="K553" s="1028"/>
      <c r="L553" s="1035" t="str">
        <f t="shared" si="211"/>
        <v/>
      </c>
      <c r="S553" s="498"/>
      <c r="AJ553" s="498"/>
      <c r="AM553" s="498">
        <f t="shared" si="192"/>
        <v>0</v>
      </c>
      <c r="AN553" s="498">
        <f t="shared" si="193"/>
        <v>0</v>
      </c>
      <c r="AO553" s="498">
        <f t="shared" si="194"/>
        <v>0</v>
      </c>
      <c r="AP553" s="498">
        <f t="shared" si="213"/>
        <v>0</v>
      </c>
      <c r="AQ553" s="498">
        <f t="shared" si="208"/>
        <v>0</v>
      </c>
      <c r="AU553" s="498">
        <f t="shared" si="195"/>
        <v>0</v>
      </c>
      <c r="AV553" s="498">
        <f t="shared" si="196"/>
        <v>0</v>
      </c>
      <c r="AW553" s="498">
        <f t="shared" si="197"/>
        <v>0</v>
      </c>
      <c r="AX553" s="498">
        <f t="shared" si="198"/>
        <v>0</v>
      </c>
      <c r="AY553" s="498">
        <f t="shared" si="199"/>
        <v>0</v>
      </c>
      <c r="BB553" s="498" t="str">
        <f t="shared" si="200"/>
        <v/>
      </c>
      <c r="BC553" s="743" t="str">
        <f t="shared" si="201"/>
        <v/>
      </c>
      <c r="BD553" s="743" t="str">
        <f t="shared" si="202"/>
        <v/>
      </c>
      <c r="BE553" s="743" t="str">
        <f>IF(D553="","",VLOOKUP(D553,'General Basis'!$J$39:$K$46,2,0))</f>
        <v/>
      </c>
      <c r="BF553" s="744" t="str">
        <f>IF(D553="","",VLOOKUP(D553,'General Basis'!$J$39:$L$46,3,0))</f>
        <v/>
      </c>
      <c r="BG553" s="744" t="str">
        <f t="shared" si="209"/>
        <v/>
      </c>
      <c r="BH553" s="744" t="str">
        <f>IF(G553="","",IF(BF553="Abu Dhabi",IF(G553&lt;18,'General Basis'!$C$39,IF(G553&lt;41,'General Basis'!$C$40,IF(G553&lt;60,'General Basis'!$C$41,IF(G553&lt;65,'General Basis'!$C$42,'General Basis'!$C$43)))),IF(G553&lt;11,'General Basis'!$B$39,IF(G553&lt;18,'General Basis'!$B$40,IF(G553&lt;26,'General Basis'!$B$41,IF(G553&lt;31,'General Basis'!$B$42,IF(G553&lt;36,'General Basis'!$B$43,IF(G553&lt;41,'General Basis'!$B$44,IF(G553&lt;46,'General Basis'!$B$45,IF(G553&lt;51,'General Basis'!$B$46,IF(G553&lt;56,'General Basis'!$B$47,IF(G553&lt;60,'General Basis'!$B$48,IF(G553&lt;65,'General Basis'!$B$49,'General Basis'!$B$50)))))))))))))</f>
        <v/>
      </c>
      <c r="BI553" s="744" t="str">
        <f t="shared" si="203"/>
        <v/>
      </c>
      <c r="BJ553" s="747" t="str">
        <f t="shared" si="210"/>
        <v/>
      </c>
      <c r="BK553" s="498" t="str">
        <f t="shared" si="204"/>
        <v/>
      </c>
      <c r="BL553" s="498" t="str">
        <f t="shared" si="205"/>
        <v/>
      </c>
    </row>
    <row r="554" spans="1:64" x14ac:dyDescent="0.25">
      <c r="A554" s="762">
        <f t="shared" si="206"/>
        <v>549</v>
      </c>
      <c r="B554" s="229"/>
      <c r="C554" s="223"/>
      <c r="D554" s="224"/>
      <c r="E554" s="225"/>
      <c r="F554" s="1036" t="str">
        <f t="shared" si="212"/>
        <v/>
      </c>
      <c r="G554" s="1037" t="str">
        <f t="shared" si="207"/>
        <v/>
      </c>
      <c r="H554" s="225"/>
      <c r="I554" s="1013"/>
      <c r="J554" s="1013"/>
      <c r="K554" s="1028"/>
      <c r="L554" s="1035" t="str">
        <f t="shared" si="211"/>
        <v/>
      </c>
      <c r="S554" s="498"/>
      <c r="AJ554" s="498"/>
      <c r="AM554" s="498">
        <f t="shared" si="192"/>
        <v>0</v>
      </c>
      <c r="AN554" s="498">
        <f t="shared" si="193"/>
        <v>0</v>
      </c>
      <c r="AO554" s="498">
        <f t="shared" si="194"/>
        <v>0</v>
      </c>
      <c r="AP554" s="498">
        <f t="shared" si="213"/>
        <v>0</v>
      </c>
      <c r="AQ554" s="498">
        <f t="shared" si="208"/>
        <v>0</v>
      </c>
      <c r="AU554" s="498">
        <f t="shared" si="195"/>
        <v>0</v>
      </c>
      <c r="AV554" s="498">
        <f t="shared" si="196"/>
        <v>0</v>
      </c>
      <c r="AW554" s="498">
        <f t="shared" si="197"/>
        <v>0</v>
      </c>
      <c r="AX554" s="498">
        <f t="shared" si="198"/>
        <v>0</v>
      </c>
      <c r="AY554" s="498">
        <f t="shared" si="199"/>
        <v>0</v>
      </c>
      <c r="BB554" s="498" t="str">
        <f t="shared" si="200"/>
        <v/>
      </c>
      <c r="BC554" s="743" t="str">
        <f t="shared" si="201"/>
        <v/>
      </c>
      <c r="BD554" s="743" t="str">
        <f t="shared" si="202"/>
        <v/>
      </c>
      <c r="BE554" s="743" t="str">
        <f>IF(D554="","",VLOOKUP(D554,'General Basis'!$J$39:$K$46,2,0))</f>
        <v/>
      </c>
      <c r="BF554" s="744" t="str">
        <f>IF(D554="","",VLOOKUP(D554,'General Basis'!$J$39:$L$46,3,0))</f>
        <v/>
      </c>
      <c r="BG554" s="744" t="str">
        <f t="shared" si="209"/>
        <v/>
      </c>
      <c r="BH554" s="744" t="str">
        <f>IF(G554="","",IF(BF554="Abu Dhabi",IF(G554&lt;18,'General Basis'!$C$39,IF(G554&lt;41,'General Basis'!$C$40,IF(G554&lt;60,'General Basis'!$C$41,IF(G554&lt;65,'General Basis'!$C$42,'General Basis'!$C$43)))),IF(G554&lt;11,'General Basis'!$B$39,IF(G554&lt;18,'General Basis'!$B$40,IF(G554&lt;26,'General Basis'!$B$41,IF(G554&lt;31,'General Basis'!$B$42,IF(G554&lt;36,'General Basis'!$B$43,IF(G554&lt;41,'General Basis'!$B$44,IF(G554&lt;46,'General Basis'!$B$45,IF(G554&lt;51,'General Basis'!$B$46,IF(G554&lt;56,'General Basis'!$B$47,IF(G554&lt;60,'General Basis'!$B$48,IF(G554&lt;65,'General Basis'!$B$49,'General Basis'!$B$50)))))))))))))</f>
        <v/>
      </c>
      <c r="BI554" s="744" t="str">
        <f t="shared" si="203"/>
        <v/>
      </c>
      <c r="BJ554" s="747" t="str">
        <f t="shared" si="210"/>
        <v/>
      </c>
      <c r="BK554" s="498" t="str">
        <f t="shared" si="204"/>
        <v/>
      </c>
      <c r="BL554" s="498" t="str">
        <f t="shared" si="205"/>
        <v/>
      </c>
    </row>
    <row r="555" spans="1:64" x14ac:dyDescent="0.25">
      <c r="A555" s="762">
        <f t="shared" si="206"/>
        <v>550</v>
      </c>
      <c r="B555" s="229"/>
      <c r="C555" s="223"/>
      <c r="D555" s="224"/>
      <c r="E555" s="225"/>
      <c r="F555" s="1036" t="str">
        <f t="shared" si="212"/>
        <v/>
      </c>
      <c r="G555" s="1037" t="str">
        <f t="shared" si="207"/>
        <v/>
      </c>
      <c r="H555" s="225"/>
      <c r="I555" s="1013"/>
      <c r="J555" s="1013"/>
      <c r="K555" s="1028"/>
      <c r="L555" s="1035" t="str">
        <f t="shared" si="211"/>
        <v/>
      </c>
      <c r="S555" s="498"/>
      <c r="AJ555" s="498"/>
      <c r="AM555" s="498">
        <f t="shared" si="192"/>
        <v>0</v>
      </c>
      <c r="AN555" s="498">
        <f t="shared" si="193"/>
        <v>0</v>
      </c>
      <c r="AO555" s="498">
        <f t="shared" si="194"/>
        <v>0</v>
      </c>
      <c r="AP555" s="498">
        <f t="shared" si="213"/>
        <v>0</v>
      </c>
      <c r="AQ555" s="498">
        <f t="shared" si="208"/>
        <v>0</v>
      </c>
      <c r="AU555" s="498">
        <f t="shared" si="195"/>
        <v>0</v>
      </c>
      <c r="AV555" s="498">
        <f t="shared" si="196"/>
        <v>0</v>
      </c>
      <c r="AW555" s="498">
        <f t="shared" si="197"/>
        <v>0</v>
      </c>
      <c r="AX555" s="498">
        <f t="shared" si="198"/>
        <v>0</v>
      </c>
      <c r="AY555" s="498">
        <f t="shared" si="199"/>
        <v>0</v>
      </c>
      <c r="BB555" s="498" t="str">
        <f t="shared" si="200"/>
        <v/>
      </c>
      <c r="BC555" s="743" t="str">
        <f t="shared" si="201"/>
        <v/>
      </c>
      <c r="BD555" s="743" t="str">
        <f t="shared" si="202"/>
        <v/>
      </c>
      <c r="BE555" s="743" t="str">
        <f>IF(D555="","",VLOOKUP(D555,'General Basis'!$J$39:$K$46,2,0))</f>
        <v/>
      </c>
      <c r="BF555" s="744" t="str">
        <f>IF(D555="","",VLOOKUP(D555,'General Basis'!$J$39:$L$46,3,0))</f>
        <v/>
      </c>
      <c r="BG555" s="744" t="str">
        <f t="shared" si="209"/>
        <v/>
      </c>
      <c r="BH555" s="744" t="str">
        <f>IF(G555="","",IF(BF555="Abu Dhabi",IF(G555&lt;18,'General Basis'!$C$39,IF(G555&lt;41,'General Basis'!$C$40,IF(G555&lt;60,'General Basis'!$C$41,IF(G555&lt;65,'General Basis'!$C$42,'General Basis'!$C$43)))),IF(G555&lt;11,'General Basis'!$B$39,IF(G555&lt;18,'General Basis'!$B$40,IF(G555&lt;26,'General Basis'!$B$41,IF(G555&lt;31,'General Basis'!$B$42,IF(G555&lt;36,'General Basis'!$B$43,IF(G555&lt;41,'General Basis'!$B$44,IF(G555&lt;46,'General Basis'!$B$45,IF(G555&lt;51,'General Basis'!$B$46,IF(G555&lt;56,'General Basis'!$B$47,IF(G555&lt;60,'General Basis'!$B$48,IF(G555&lt;65,'General Basis'!$B$49,'General Basis'!$B$50)))))))))))))</f>
        <v/>
      </c>
      <c r="BI555" s="744" t="str">
        <f t="shared" si="203"/>
        <v/>
      </c>
      <c r="BJ555" s="747" t="str">
        <f t="shared" si="210"/>
        <v/>
      </c>
      <c r="BK555" s="498" t="str">
        <f t="shared" si="204"/>
        <v/>
      </c>
      <c r="BL555" s="498" t="str">
        <f t="shared" si="205"/>
        <v/>
      </c>
    </row>
    <row r="556" spans="1:64" x14ac:dyDescent="0.25">
      <c r="A556" s="762">
        <f t="shared" si="206"/>
        <v>551</v>
      </c>
      <c r="B556" s="229"/>
      <c r="C556" s="223"/>
      <c r="D556" s="224"/>
      <c r="E556" s="225"/>
      <c r="F556" s="1036" t="str">
        <f t="shared" si="212"/>
        <v/>
      </c>
      <c r="G556" s="1037" t="str">
        <f t="shared" si="207"/>
        <v/>
      </c>
      <c r="H556" s="225"/>
      <c r="I556" s="1013"/>
      <c r="J556" s="1013"/>
      <c r="K556" s="1028"/>
      <c r="L556" s="1035" t="str">
        <f t="shared" si="211"/>
        <v/>
      </c>
      <c r="S556" s="498"/>
      <c r="AJ556" s="498"/>
      <c r="AM556" s="498">
        <f t="shared" si="192"/>
        <v>0</v>
      </c>
      <c r="AN556" s="498">
        <f t="shared" si="193"/>
        <v>0</v>
      </c>
      <c r="AO556" s="498">
        <f t="shared" si="194"/>
        <v>0</v>
      </c>
      <c r="AP556" s="498">
        <f t="shared" si="213"/>
        <v>0</v>
      </c>
      <c r="AQ556" s="498">
        <f t="shared" si="208"/>
        <v>0</v>
      </c>
      <c r="AU556" s="498">
        <f t="shared" si="195"/>
        <v>0</v>
      </c>
      <c r="AV556" s="498">
        <f t="shared" si="196"/>
        <v>0</v>
      </c>
      <c r="AW556" s="498">
        <f t="shared" si="197"/>
        <v>0</v>
      </c>
      <c r="AX556" s="498">
        <f t="shared" si="198"/>
        <v>0</v>
      </c>
      <c r="AY556" s="498">
        <f t="shared" si="199"/>
        <v>0</v>
      </c>
      <c r="BB556" s="498" t="str">
        <f t="shared" si="200"/>
        <v/>
      </c>
      <c r="BC556" s="743" t="str">
        <f t="shared" si="201"/>
        <v/>
      </c>
      <c r="BD556" s="743" t="str">
        <f t="shared" si="202"/>
        <v/>
      </c>
      <c r="BE556" s="743" t="str">
        <f>IF(D556="","",VLOOKUP(D556,'General Basis'!$J$39:$K$46,2,0))</f>
        <v/>
      </c>
      <c r="BF556" s="744" t="str">
        <f>IF(D556="","",VLOOKUP(D556,'General Basis'!$J$39:$L$46,3,0))</f>
        <v/>
      </c>
      <c r="BG556" s="744" t="str">
        <f t="shared" si="209"/>
        <v/>
      </c>
      <c r="BH556" s="744" t="str">
        <f>IF(G556="","",IF(BF556="Abu Dhabi",IF(G556&lt;18,'General Basis'!$C$39,IF(G556&lt;41,'General Basis'!$C$40,IF(G556&lt;60,'General Basis'!$C$41,IF(G556&lt;65,'General Basis'!$C$42,'General Basis'!$C$43)))),IF(G556&lt;11,'General Basis'!$B$39,IF(G556&lt;18,'General Basis'!$B$40,IF(G556&lt;26,'General Basis'!$B$41,IF(G556&lt;31,'General Basis'!$B$42,IF(G556&lt;36,'General Basis'!$B$43,IF(G556&lt;41,'General Basis'!$B$44,IF(G556&lt;46,'General Basis'!$B$45,IF(G556&lt;51,'General Basis'!$B$46,IF(G556&lt;56,'General Basis'!$B$47,IF(G556&lt;60,'General Basis'!$B$48,IF(G556&lt;65,'General Basis'!$B$49,'General Basis'!$B$50)))))))))))))</f>
        <v/>
      </c>
      <c r="BI556" s="744" t="str">
        <f t="shared" si="203"/>
        <v/>
      </c>
      <c r="BJ556" s="747" t="str">
        <f t="shared" si="210"/>
        <v/>
      </c>
      <c r="BK556" s="498" t="str">
        <f t="shared" si="204"/>
        <v/>
      </c>
      <c r="BL556" s="498" t="str">
        <f t="shared" si="205"/>
        <v/>
      </c>
    </row>
    <row r="557" spans="1:64" x14ac:dyDescent="0.25">
      <c r="A557" s="762">
        <f t="shared" si="206"/>
        <v>552</v>
      </c>
      <c r="B557" s="229"/>
      <c r="C557" s="223"/>
      <c r="D557" s="224"/>
      <c r="E557" s="225"/>
      <c r="F557" s="1036" t="str">
        <f t="shared" si="212"/>
        <v/>
      </c>
      <c r="G557" s="1037" t="str">
        <f t="shared" si="207"/>
        <v/>
      </c>
      <c r="H557" s="225"/>
      <c r="I557" s="1013"/>
      <c r="J557" s="1013"/>
      <c r="K557" s="1028"/>
      <c r="L557" s="1035" t="str">
        <f t="shared" si="211"/>
        <v/>
      </c>
      <c r="S557" s="498"/>
      <c r="AJ557" s="498"/>
      <c r="AM557" s="498">
        <f t="shared" si="192"/>
        <v>0</v>
      </c>
      <c r="AN557" s="498">
        <f t="shared" si="193"/>
        <v>0</v>
      </c>
      <c r="AO557" s="498">
        <f t="shared" si="194"/>
        <v>0</v>
      </c>
      <c r="AP557" s="498">
        <f t="shared" si="213"/>
        <v>0</v>
      </c>
      <c r="AQ557" s="498">
        <f t="shared" si="208"/>
        <v>0</v>
      </c>
      <c r="AU557" s="498">
        <f t="shared" si="195"/>
        <v>0</v>
      </c>
      <c r="AV557" s="498">
        <f t="shared" si="196"/>
        <v>0</v>
      </c>
      <c r="AW557" s="498">
        <f t="shared" si="197"/>
        <v>0</v>
      </c>
      <c r="AX557" s="498">
        <f t="shared" si="198"/>
        <v>0</v>
      </c>
      <c r="AY557" s="498">
        <f t="shared" si="199"/>
        <v>0</v>
      </c>
      <c r="BB557" s="498" t="str">
        <f t="shared" si="200"/>
        <v/>
      </c>
      <c r="BC557" s="743" t="str">
        <f t="shared" si="201"/>
        <v/>
      </c>
      <c r="BD557" s="743" t="str">
        <f t="shared" si="202"/>
        <v/>
      </c>
      <c r="BE557" s="743" t="str">
        <f>IF(D557="","",VLOOKUP(D557,'General Basis'!$J$39:$K$46,2,0))</f>
        <v/>
      </c>
      <c r="BF557" s="744" t="str">
        <f>IF(D557="","",VLOOKUP(D557,'General Basis'!$J$39:$L$46,3,0))</f>
        <v/>
      </c>
      <c r="BG557" s="744" t="str">
        <f t="shared" si="209"/>
        <v/>
      </c>
      <c r="BH557" s="744" t="str">
        <f>IF(G557="","",IF(BF557="Abu Dhabi",IF(G557&lt;18,'General Basis'!$C$39,IF(G557&lt;41,'General Basis'!$C$40,IF(G557&lt;60,'General Basis'!$C$41,IF(G557&lt;65,'General Basis'!$C$42,'General Basis'!$C$43)))),IF(G557&lt;11,'General Basis'!$B$39,IF(G557&lt;18,'General Basis'!$B$40,IF(G557&lt;26,'General Basis'!$B$41,IF(G557&lt;31,'General Basis'!$B$42,IF(G557&lt;36,'General Basis'!$B$43,IF(G557&lt;41,'General Basis'!$B$44,IF(G557&lt;46,'General Basis'!$B$45,IF(G557&lt;51,'General Basis'!$B$46,IF(G557&lt;56,'General Basis'!$B$47,IF(G557&lt;60,'General Basis'!$B$48,IF(G557&lt;65,'General Basis'!$B$49,'General Basis'!$B$50)))))))))))))</f>
        <v/>
      </c>
      <c r="BI557" s="744" t="str">
        <f t="shared" si="203"/>
        <v/>
      </c>
      <c r="BJ557" s="747" t="str">
        <f t="shared" si="210"/>
        <v/>
      </c>
      <c r="BK557" s="498" t="str">
        <f t="shared" si="204"/>
        <v/>
      </c>
      <c r="BL557" s="498" t="str">
        <f t="shared" si="205"/>
        <v/>
      </c>
    </row>
    <row r="558" spans="1:64" x14ac:dyDescent="0.25">
      <c r="A558" s="762">
        <f t="shared" si="206"/>
        <v>553</v>
      </c>
      <c r="B558" s="229"/>
      <c r="C558" s="223"/>
      <c r="D558" s="224"/>
      <c r="E558" s="225"/>
      <c r="F558" s="1036" t="str">
        <f t="shared" si="212"/>
        <v/>
      </c>
      <c r="G558" s="1037" t="str">
        <f t="shared" si="207"/>
        <v/>
      </c>
      <c r="H558" s="225"/>
      <c r="I558" s="1013"/>
      <c r="J558" s="1013"/>
      <c r="K558" s="1028"/>
      <c r="L558" s="1035" t="str">
        <f t="shared" si="211"/>
        <v/>
      </c>
      <c r="S558" s="498"/>
      <c r="AJ558" s="498"/>
      <c r="AM558" s="498">
        <f t="shared" si="192"/>
        <v>0</v>
      </c>
      <c r="AN558" s="498">
        <f t="shared" si="193"/>
        <v>0</v>
      </c>
      <c r="AO558" s="498">
        <f t="shared" si="194"/>
        <v>0</v>
      </c>
      <c r="AP558" s="498">
        <f t="shared" si="213"/>
        <v>0</v>
      </c>
      <c r="AQ558" s="498">
        <f t="shared" si="208"/>
        <v>0</v>
      </c>
      <c r="AU558" s="498">
        <f t="shared" si="195"/>
        <v>0</v>
      </c>
      <c r="AV558" s="498">
        <f t="shared" si="196"/>
        <v>0</v>
      </c>
      <c r="AW558" s="498">
        <f t="shared" si="197"/>
        <v>0</v>
      </c>
      <c r="AX558" s="498">
        <f t="shared" si="198"/>
        <v>0</v>
      </c>
      <c r="AY558" s="498">
        <f t="shared" si="199"/>
        <v>0</v>
      </c>
      <c r="BB558" s="498" t="str">
        <f t="shared" si="200"/>
        <v/>
      </c>
      <c r="BC558" s="743" t="str">
        <f t="shared" si="201"/>
        <v/>
      </c>
      <c r="BD558" s="743" t="str">
        <f t="shared" si="202"/>
        <v/>
      </c>
      <c r="BE558" s="743" t="str">
        <f>IF(D558="","",VLOOKUP(D558,'General Basis'!$J$39:$K$46,2,0))</f>
        <v/>
      </c>
      <c r="BF558" s="744" t="str">
        <f>IF(D558="","",VLOOKUP(D558,'General Basis'!$J$39:$L$46,3,0))</f>
        <v/>
      </c>
      <c r="BG558" s="744" t="str">
        <f t="shared" si="209"/>
        <v/>
      </c>
      <c r="BH558" s="744" t="str">
        <f>IF(G558="","",IF(BF558="Abu Dhabi",IF(G558&lt;18,'General Basis'!$C$39,IF(G558&lt;41,'General Basis'!$C$40,IF(G558&lt;60,'General Basis'!$C$41,IF(G558&lt;65,'General Basis'!$C$42,'General Basis'!$C$43)))),IF(G558&lt;11,'General Basis'!$B$39,IF(G558&lt;18,'General Basis'!$B$40,IF(G558&lt;26,'General Basis'!$B$41,IF(G558&lt;31,'General Basis'!$B$42,IF(G558&lt;36,'General Basis'!$B$43,IF(G558&lt;41,'General Basis'!$B$44,IF(G558&lt;46,'General Basis'!$B$45,IF(G558&lt;51,'General Basis'!$B$46,IF(G558&lt;56,'General Basis'!$B$47,IF(G558&lt;60,'General Basis'!$B$48,IF(G558&lt;65,'General Basis'!$B$49,'General Basis'!$B$50)))))))))))))</f>
        <v/>
      </c>
      <c r="BI558" s="744" t="str">
        <f t="shared" si="203"/>
        <v/>
      </c>
      <c r="BJ558" s="747" t="str">
        <f t="shared" si="210"/>
        <v/>
      </c>
      <c r="BK558" s="498" t="str">
        <f t="shared" si="204"/>
        <v/>
      </c>
      <c r="BL558" s="498" t="str">
        <f t="shared" si="205"/>
        <v/>
      </c>
    </row>
    <row r="559" spans="1:64" x14ac:dyDescent="0.25">
      <c r="A559" s="762">
        <f t="shared" si="206"/>
        <v>554</v>
      </c>
      <c r="B559" s="229"/>
      <c r="C559" s="223"/>
      <c r="D559" s="224"/>
      <c r="E559" s="225"/>
      <c r="F559" s="1036" t="str">
        <f t="shared" si="212"/>
        <v/>
      </c>
      <c r="G559" s="1037" t="str">
        <f t="shared" si="207"/>
        <v/>
      </c>
      <c r="H559" s="225"/>
      <c r="I559" s="1013"/>
      <c r="J559" s="1013"/>
      <c r="K559" s="1028"/>
      <c r="L559" s="1035" t="str">
        <f t="shared" si="211"/>
        <v/>
      </c>
      <c r="S559" s="498"/>
      <c r="AJ559" s="498"/>
      <c r="AM559" s="498">
        <f t="shared" si="192"/>
        <v>0</v>
      </c>
      <c r="AN559" s="498">
        <f t="shared" si="193"/>
        <v>0</v>
      </c>
      <c r="AO559" s="498">
        <f t="shared" si="194"/>
        <v>0</v>
      </c>
      <c r="AP559" s="498">
        <f t="shared" si="213"/>
        <v>0</v>
      </c>
      <c r="AQ559" s="498">
        <f t="shared" si="208"/>
        <v>0</v>
      </c>
      <c r="AU559" s="498">
        <f t="shared" si="195"/>
        <v>0</v>
      </c>
      <c r="AV559" s="498">
        <f t="shared" si="196"/>
        <v>0</v>
      </c>
      <c r="AW559" s="498">
        <f t="shared" si="197"/>
        <v>0</v>
      </c>
      <c r="AX559" s="498">
        <f t="shared" si="198"/>
        <v>0</v>
      </c>
      <c r="AY559" s="498">
        <f t="shared" si="199"/>
        <v>0</v>
      </c>
      <c r="BB559" s="498" t="str">
        <f t="shared" si="200"/>
        <v/>
      </c>
      <c r="BC559" s="743" t="str">
        <f t="shared" si="201"/>
        <v/>
      </c>
      <c r="BD559" s="743" t="str">
        <f t="shared" si="202"/>
        <v/>
      </c>
      <c r="BE559" s="743" t="str">
        <f>IF(D559="","",VLOOKUP(D559,'General Basis'!$J$39:$K$46,2,0))</f>
        <v/>
      </c>
      <c r="BF559" s="744" t="str">
        <f>IF(D559="","",VLOOKUP(D559,'General Basis'!$J$39:$L$46,3,0))</f>
        <v/>
      </c>
      <c r="BG559" s="744" t="str">
        <f t="shared" si="209"/>
        <v/>
      </c>
      <c r="BH559" s="744" t="str">
        <f>IF(G559="","",IF(BF559="Abu Dhabi",IF(G559&lt;18,'General Basis'!$C$39,IF(G559&lt;41,'General Basis'!$C$40,IF(G559&lt;60,'General Basis'!$C$41,IF(G559&lt;65,'General Basis'!$C$42,'General Basis'!$C$43)))),IF(G559&lt;11,'General Basis'!$B$39,IF(G559&lt;18,'General Basis'!$B$40,IF(G559&lt;26,'General Basis'!$B$41,IF(G559&lt;31,'General Basis'!$B$42,IF(G559&lt;36,'General Basis'!$B$43,IF(G559&lt;41,'General Basis'!$B$44,IF(G559&lt;46,'General Basis'!$B$45,IF(G559&lt;51,'General Basis'!$B$46,IF(G559&lt;56,'General Basis'!$B$47,IF(G559&lt;60,'General Basis'!$B$48,IF(G559&lt;65,'General Basis'!$B$49,'General Basis'!$B$50)))))))))))))</f>
        <v/>
      </c>
      <c r="BI559" s="744" t="str">
        <f t="shared" si="203"/>
        <v/>
      </c>
      <c r="BJ559" s="747" t="str">
        <f t="shared" si="210"/>
        <v/>
      </c>
      <c r="BK559" s="498" t="str">
        <f t="shared" si="204"/>
        <v/>
      </c>
      <c r="BL559" s="498" t="str">
        <f t="shared" si="205"/>
        <v/>
      </c>
    </row>
    <row r="560" spans="1:64" x14ac:dyDescent="0.25">
      <c r="A560" s="762">
        <f t="shared" si="206"/>
        <v>555</v>
      </c>
      <c r="B560" s="229"/>
      <c r="C560" s="223"/>
      <c r="D560" s="224"/>
      <c r="E560" s="225"/>
      <c r="F560" s="1036" t="str">
        <f t="shared" si="212"/>
        <v/>
      </c>
      <c r="G560" s="1037" t="str">
        <f t="shared" si="207"/>
        <v/>
      </c>
      <c r="H560" s="225"/>
      <c r="I560" s="1013"/>
      <c r="J560" s="1013"/>
      <c r="K560" s="1028"/>
      <c r="L560" s="1035" t="str">
        <f t="shared" si="211"/>
        <v/>
      </c>
      <c r="S560" s="498"/>
      <c r="AJ560" s="498"/>
      <c r="AM560" s="498">
        <f t="shared" si="192"/>
        <v>0</v>
      </c>
      <c r="AN560" s="498">
        <f t="shared" si="193"/>
        <v>0</v>
      </c>
      <c r="AO560" s="498">
        <f t="shared" si="194"/>
        <v>0</v>
      </c>
      <c r="AP560" s="498">
        <f t="shared" si="213"/>
        <v>0</v>
      </c>
      <c r="AQ560" s="498">
        <f t="shared" si="208"/>
        <v>0</v>
      </c>
      <c r="AU560" s="498">
        <f t="shared" si="195"/>
        <v>0</v>
      </c>
      <c r="AV560" s="498">
        <f t="shared" si="196"/>
        <v>0</v>
      </c>
      <c r="AW560" s="498">
        <f t="shared" si="197"/>
        <v>0</v>
      </c>
      <c r="AX560" s="498">
        <f t="shared" si="198"/>
        <v>0</v>
      </c>
      <c r="AY560" s="498">
        <f t="shared" si="199"/>
        <v>0</v>
      </c>
      <c r="BB560" s="498" t="str">
        <f t="shared" si="200"/>
        <v/>
      </c>
      <c r="BC560" s="743" t="str">
        <f t="shared" si="201"/>
        <v/>
      </c>
      <c r="BD560" s="743" t="str">
        <f t="shared" si="202"/>
        <v/>
      </c>
      <c r="BE560" s="743" t="str">
        <f>IF(D560="","",VLOOKUP(D560,'General Basis'!$J$39:$K$46,2,0))</f>
        <v/>
      </c>
      <c r="BF560" s="744" t="str">
        <f>IF(D560="","",VLOOKUP(D560,'General Basis'!$J$39:$L$46,3,0))</f>
        <v/>
      </c>
      <c r="BG560" s="744" t="str">
        <f t="shared" si="209"/>
        <v/>
      </c>
      <c r="BH560" s="744" t="str">
        <f>IF(G560="","",IF(BF560="Abu Dhabi",IF(G560&lt;18,'General Basis'!$C$39,IF(G560&lt;41,'General Basis'!$C$40,IF(G560&lt;60,'General Basis'!$C$41,IF(G560&lt;65,'General Basis'!$C$42,'General Basis'!$C$43)))),IF(G560&lt;11,'General Basis'!$B$39,IF(G560&lt;18,'General Basis'!$B$40,IF(G560&lt;26,'General Basis'!$B$41,IF(G560&lt;31,'General Basis'!$B$42,IF(G560&lt;36,'General Basis'!$B$43,IF(G560&lt;41,'General Basis'!$B$44,IF(G560&lt;46,'General Basis'!$B$45,IF(G560&lt;51,'General Basis'!$B$46,IF(G560&lt;56,'General Basis'!$B$47,IF(G560&lt;60,'General Basis'!$B$48,IF(G560&lt;65,'General Basis'!$B$49,'General Basis'!$B$50)))))))))))))</f>
        <v/>
      </c>
      <c r="BI560" s="744" t="str">
        <f t="shared" si="203"/>
        <v/>
      </c>
      <c r="BJ560" s="747" t="str">
        <f t="shared" si="210"/>
        <v/>
      </c>
      <c r="BK560" s="498" t="str">
        <f t="shared" si="204"/>
        <v/>
      </c>
      <c r="BL560" s="498" t="str">
        <f t="shared" si="205"/>
        <v/>
      </c>
    </row>
    <row r="561" spans="1:64" x14ac:dyDescent="0.25">
      <c r="A561" s="762">
        <f t="shared" si="206"/>
        <v>556</v>
      </c>
      <c r="B561" s="229"/>
      <c r="C561" s="223"/>
      <c r="D561" s="224"/>
      <c r="E561" s="225"/>
      <c r="F561" s="1036" t="str">
        <f t="shared" si="212"/>
        <v/>
      </c>
      <c r="G561" s="1037" t="str">
        <f t="shared" si="207"/>
        <v/>
      </c>
      <c r="H561" s="225"/>
      <c r="I561" s="1013"/>
      <c r="J561" s="1013"/>
      <c r="K561" s="1028"/>
      <c r="L561" s="1035" t="str">
        <f t="shared" si="211"/>
        <v/>
      </c>
      <c r="S561" s="498"/>
      <c r="AJ561" s="498"/>
      <c r="AM561" s="498">
        <f t="shared" si="192"/>
        <v>0</v>
      </c>
      <c r="AN561" s="498">
        <f t="shared" si="193"/>
        <v>0</v>
      </c>
      <c r="AO561" s="498">
        <f t="shared" si="194"/>
        <v>0</v>
      </c>
      <c r="AP561" s="498">
        <f t="shared" si="213"/>
        <v>0</v>
      </c>
      <c r="AQ561" s="498">
        <f t="shared" si="208"/>
        <v>0</v>
      </c>
      <c r="AU561" s="498">
        <f t="shared" si="195"/>
        <v>0</v>
      </c>
      <c r="AV561" s="498">
        <f t="shared" si="196"/>
        <v>0</v>
      </c>
      <c r="AW561" s="498">
        <f t="shared" si="197"/>
        <v>0</v>
      </c>
      <c r="AX561" s="498">
        <f t="shared" si="198"/>
        <v>0</v>
      </c>
      <c r="AY561" s="498">
        <f t="shared" si="199"/>
        <v>0</v>
      </c>
      <c r="BB561" s="498" t="str">
        <f t="shared" si="200"/>
        <v/>
      </c>
      <c r="BC561" s="743" t="str">
        <f t="shared" si="201"/>
        <v/>
      </c>
      <c r="BD561" s="743" t="str">
        <f t="shared" si="202"/>
        <v/>
      </c>
      <c r="BE561" s="743" t="str">
        <f>IF(D561="","",VLOOKUP(D561,'General Basis'!$J$39:$K$46,2,0))</f>
        <v/>
      </c>
      <c r="BF561" s="744" t="str">
        <f>IF(D561="","",VLOOKUP(D561,'General Basis'!$J$39:$L$46,3,0))</f>
        <v/>
      </c>
      <c r="BG561" s="744" t="str">
        <f t="shared" si="209"/>
        <v/>
      </c>
      <c r="BH561" s="744" t="str">
        <f>IF(G561="","",IF(BF561="Abu Dhabi",IF(G561&lt;18,'General Basis'!$C$39,IF(G561&lt;41,'General Basis'!$C$40,IF(G561&lt;60,'General Basis'!$C$41,IF(G561&lt;65,'General Basis'!$C$42,'General Basis'!$C$43)))),IF(G561&lt;11,'General Basis'!$B$39,IF(G561&lt;18,'General Basis'!$B$40,IF(G561&lt;26,'General Basis'!$B$41,IF(G561&lt;31,'General Basis'!$B$42,IF(G561&lt;36,'General Basis'!$B$43,IF(G561&lt;41,'General Basis'!$B$44,IF(G561&lt;46,'General Basis'!$B$45,IF(G561&lt;51,'General Basis'!$B$46,IF(G561&lt;56,'General Basis'!$B$47,IF(G561&lt;60,'General Basis'!$B$48,IF(G561&lt;65,'General Basis'!$B$49,'General Basis'!$B$50)))))))))))))</f>
        <v/>
      </c>
      <c r="BI561" s="744" t="str">
        <f t="shared" si="203"/>
        <v/>
      </c>
      <c r="BJ561" s="747" t="str">
        <f t="shared" si="210"/>
        <v/>
      </c>
      <c r="BK561" s="498" t="str">
        <f t="shared" si="204"/>
        <v/>
      </c>
      <c r="BL561" s="498" t="str">
        <f t="shared" si="205"/>
        <v/>
      </c>
    </row>
    <row r="562" spans="1:64" x14ac:dyDescent="0.25">
      <c r="A562" s="762">
        <f t="shared" si="206"/>
        <v>557</v>
      </c>
      <c r="B562" s="229"/>
      <c r="C562" s="223"/>
      <c r="D562" s="224"/>
      <c r="E562" s="225"/>
      <c r="F562" s="1036" t="str">
        <f t="shared" si="212"/>
        <v/>
      </c>
      <c r="G562" s="1037" t="str">
        <f t="shared" si="207"/>
        <v/>
      </c>
      <c r="H562" s="225"/>
      <c r="I562" s="1013"/>
      <c r="J562" s="1013"/>
      <c r="K562" s="1028"/>
      <c r="L562" s="1035" t="str">
        <f t="shared" si="211"/>
        <v/>
      </c>
      <c r="S562" s="498"/>
      <c r="AJ562" s="498"/>
      <c r="AM562" s="498">
        <f t="shared" si="192"/>
        <v>0</v>
      </c>
      <c r="AN562" s="498">
        <f t="shared" si="193"/>
        <v>0</v>
      </c>
      <c r="AO562" s="498">
        <f t="shared" si="194"/>
        <v>0</v>
      </c>
      <c r="AP562" s="498">
        <f t="shared" si="213"/>
        <v>0</v>
      </c>
      <c r="AQ562" s="498">
        <f t="shared" si="208"/>
        <v>0</v>
      </c>
      <c r="AU562" s="498">
        <f t="shared" si="195"/>
        <v>0</v>
      </c>
      <c r="AV562" s="498">
        <f t="shared" si="196"/>
        <v>0</v>
      </c>
      <c r="AW562" s="498">
        <f t="shared" si="197"/>
        <v>0</v>
      </c>
      <c r="AX562" s="498">
        <f t="shared" si="198"/>
        <v>0</v>
      </c>
      <c r="AY562" s="498">
        <f t="shared" si="199"/>
        <v>0</v>
      </c>
      <c r="BB562" s="498" t="str">
        <f t="shared" si="200"/>
        <v/>
      </c>
      <c r="BC562" s="743" t="str">
        <f t="shared" si="201"/>
        <v/>
      </c>
      <c r="BD562" s="743" t="str">
        <f t="shared" si="202"/>
        <v/>
      </c>
      <c r="BE562" s="743" t="str">
        <f>IF(D562="","",VLOOKUP(D562,'General Basis'!$J$39:$K$46,2,0))</f>
        <v/>
      </c>
      <c r="BF562" s="744" t="str">
        <f>IF(D562="","",VLOOKUP(D562,'General Basis'!$J$39:$L$46,3,0))</f>
        <v/>
      </c>
      <c r="BG562" s="744" t="str">
        <f t="shared" si="209"/>
        <v/>
      </c>
      <c r="BH562" s="744" t="str">
        <f>IF(G562="","",IF(BF562="Abu Dhabi",IF(G562&lt;18,'General Basis'!$C$39,IF(G562&lt;41,'General Basis'!$C$40,IF(G562&lt;60,'General Basis'!$C$41,IF(G562&lt;65,'General Basis'!$C$42,'General Basis'!$C$43)))),IF(G562&lt;11,'General Basis'!$B$39,IF(G562&lt;18,'General Basis'!$B$40,IF(G562&lt;26,'General Basis'!$B$41,IF(G562&lt;31,'General Basis'!$B$42,IF(G562&lt;36,'General Basis'!$B$43,IF(G562&lt;41,'General Basis'!$B$44,IF(G562&lt;46,'General Basis'!$B$45,IF(G562&lt;51,'General Basis'!$B$46,IF(G562&lt;56,'General Basis'!$B$47,IF(G562&lt;60,'General Basis'!$B$48,IF(G562&lt;65,'General Basis'!$B$49,'General Basis'!$B$50)))))))))))))</f>
        <v/>
      </c>
      <c r="BI562" s="744" t="str">
        <f t="shared" si="203"/>
        <v/>
      </c>
      <c r="BJ562" s="747" t="str">
        <f t="shared" si="210"/>
        <v/>
      </c>
      <c r="BK562" s="498" t="str">
        <f t="shared" si="204"/>
        <v/>
      </c>
      <c r="BL562" s="498" t="str">
        <f t="shared" si="205"/>
        <v/>
      </c>
    </row>
    <row r="563" spans="1:64" x14ac:dyDescent="0.25">
      <c r="A563" s="762">
        <f t="shared" si="206"/>
        <v>558</v>
      </c>
      <c r="B563" s="229"/>
      <c r="C563" s="223"/>
      <c r="D563" s="224"/>
      <c r="E563" s="225"/>
      <c r="F563" s="1036" t="str">
        <f t="shared" si="212"/>
        <v/>
      </c>
      <c r="G563" s="1037" t="str">
        <f t="shared" si="207"/>
        <v/>
      </c>
      <c r="H563" s="225"/>
      <c r="I563" s="1013"/>
      <c r="J563" s="1013"/>
      <c r="K563" s="1028"/>
      <c r="L563" s="1035" t="str">
        <f t="shared" si="211"/>
        <v/>
      </c>
      <c r="S563" s="498"/>
      <c r="AJ563" s="498"/>
      <c r="AM563" s="498">
        <f t="shared" si="192"/>
        <v>0</v>
      </c>
      <c r="AN563" s="498">
        <f t="shared" si="193"/>
        <v>0</v>
      </c>
      <c r="AO563" s="498">
        <f t="shared" si="194"/>
        <v>0</v>
      </c>
      <c r="AP563" s="498">
        <f t="shared" si="213"/>
        <v>0</v>
      </c>
      <c r="AQ563" s="498">
        <f t="shared" si="208"/>
        <v>0</v>
      </c>
      <c r="AU563" s="498">
        <f t="shared" si="195"/>
        <v>0</v>
      </c>
      <c r="AV563" s="498">
        <f t="shared" si="196"/>
        <v>0</v>
      </c>
      <c r="AW563" s="498">
        <f t="shared" si="197"/>
        <v>0</v>
      </c>
      <c r="AX563" s="498">
        <f t="shared" si="198"/>
        <v>0</v>
      </c>
      <c r="AY563" s="498">
        <f t="shared" si="199"/>
        <v>0</v>
      </c>
      <c r="BB563" s="498" t="str">
        <f t="shared" si="200"/>
        <v/>
      </c>
      <c r="BC563" s="743" t="str">
        <f t="shared" si="201"/>
        <v/>
      </c>
      <c r="BD563" s="743" t="str">
        <f t="shared" si="202"/>
        <v/>
      </c>
      <c r="BE563" s="743" t="str">
        <f>IF(D563="","",VLOOKUP(D563,'General Basis'!$J$39:$K$46,2,0))</f>
        <v/>
      </c>
      <c r="BF563" s="744" t="str">
        <f>IF(D563="","",VLOOKUP(D563,'General Basis'!$J$39:$L$46,3,0))</f>
        <v/>
      </c>
      <c r="BG563" s="744" t="str">
        <f t="shared" si="209"/>
        <v/>
      </c>
      <c r="BH563" s="744" t="str">
        <f>IF(G563="","",IF(BF563="Abu Dhabi",IF(G563&lt;18,'General Basis'!$C$39,IF(G563&lt;41,'General Basis'!$C$40,IF(G563&lt;60,'General Basis'!$C$41,IF(G563&lt;65,'General Basis'!$C$42,'General Basis'!$C$43)))),IF(G563&lt;11,'General Basis'!$B$39,IF(G563&lt;18,'General Basis'!$B$40,IF(G563&lt;26,'General Basis'!$B$41,IF(G563&lt;31,'General Basis'!$B$42,IF(G563&lt;36,'General Basis'!$B$43,IF(G563&lt;41,'General Basis'!$B$44,IF(G563&lt;46,'General Basis'!$B$45,IF(G563&lt;51,'General Basis'!$B$46,IF(G563&lt;56,'General Basis'!$B$47,IF(G563&lt;60,'General Basis'!$B$48,IF(G563&lt;65,'General Basis'!$B$49,'General Basis'!$B$50)))))))))))))</f>
        <v/>
      </c>
      <c r="BI563" s="744" t="str">
        <f t="shared" si="203"/>
        <v/>
      </c>
      <c r="BJ563" s="747" t="str">
        <f t="shared" si="210"/>
        <v/>
      </c>
      <c r="BK563" s="498" t="str">
        <f t="shared" si="204"/>
        <v/>
      </c>
      <c r="BL563" s="498" t="str">
        <f t="shared" si="205"/>
        <v/>
      </c>
    </row>
    <row r="564" spans="1:64" x14ac:dyDescent="0.25">
      <c r="A564" s="762">
        <f t="shared" si="206"/>
        <v>559</v>
      </c>
      <c r="B564" s="229"/>
      <c r="C564" s="223"/>
      <c r="D564" s="224"/>
      <c r="E564" s="225"/>
      <c r="F564" s="1036" t="str">
        <f t="shared" si="212"/>
        <v/>
      </c>
      <c r="G564" s="1037" t="str">
        <f t="shared" si="207"/>
        <v/>
      </c>
      <c r="H564" s="225"/>
      <c r="I564" s="1013"/>
      <c r="J564" s="1013"/>
      <c r="K564" s="1028"/>
      <c r="L564" s="1035" t="str">
        <f t="shared" si="211"/>
        <v/>
      </c>
      <c r="S564" s="498"/>
      <c r="AJ564" s="498"/>
      <c r="AM564" s="498">
        <f t="shared" si="192"/>
        <v>0</v>
      </c>
      <c r="AN564" s="498">
        <f t="shared" si="193"/>
        <v>0</v>
      </c>
      <c r="AO564" s="498">
        <f t="shared" si="194"/>
        <v>0</v>
      </c>
      <c r="AP564" s="498">
        <f t="shared" si="213"/>
        <v>0</v>
      </c>
      <c r="AQ564" s="498">
        <f t="shared" si="208"/>
        <v>0</v>
      </c>
      <c r="AU564" s="498">
        <f t="shared" si="195"/>
        <v>0</v>
      </c>
      <c r="AV564" s="498">
        <f t="shared" si="196"/>
        <v>0</v>
      </c>
      <c r="AW564" s="498">
        <f t="shared" si="197"/>
        <v>0</v>
      </c>
      <c r="AX564" s="498">
        <f t="shared" si="198"/>
        <v>0</v>
      </c>
      <c r="AY564" s="498">
        <f t="shared" si="199"/>
        <v>0</v>
      </c>
      <c r="BB564" s="498" t="str">
        <f t="shared" si="200"/>
        <v/>
      </c>
      <c r="BC564" s="743" t="str">
        <f t="shared" si="201"/>
        <v/>
      </c>
      <c r="BD564" s="743" t="str">
        <f t="shared" si="202"/>
        <v/>
      </c>
      <c r="BE564" s="743" t="str">
        <f>IF(D564="","",VLOOKUP(D564,'General Basis'!$J$39:$K$46,2,0))</f>
        <v/>
      </c>
      <c r="BF564" s="744" t="str">
        <f>IF(D564="","",VLOOKUP(D564,'General Basis'!$J$39:$L$46,3,0))</f>
        <v/>
      </c>
      <c r="BG564" s="744" t="str">
        <f t="shared" si="209"/>
        <v/>
      </c>
      <c r="BH564" s="744" t="str">
        <f>IF(G564="","",IF(BF564="Abu Dhabi",IF(G564&lt;18,'General Basis'!$C$39,IF(G564&lt;41,'General Basis'!$C$40,IF(G564&lt;60,'General Basis'!$C$41,IF(G564&lt;65,'General Basis'!$C$42,'General Basis'!$C$43)))),IF(G564&lt;11,'General Basis'!$B$39,IF(G564&lt;18,'General Basis'!$B$40,IF(G564&lt;26,'General Basis'!$B$41,IF(G564&lt;31,'General Basis'!$B$42,IF(G564&lt;36,'General Basis'!$B$43,IF(G564&lt;41,'General Basis'!$B$44,IF(G564&lt;46,'General Basis'!$B$45,IF(G564&lt;51,'General Basis'!$B$46,IF(G564&lt;56,'General Basis'!$B$47,IF(G564&lt;60,'General Basis'!$B$48,IF(G564&lt;65,'General Basis'!$B$49,'General Basis'!$B$50)))))))))))))</f>
        <v/>
      </c>
      <c r="BI564" s="744" t="str">
        <f t="shared" si="203"/>
        <v/>
      </c>
      <c r="BJ564" s="747" t="str">
        <f t="shared" si="210"/>
        <v/>
      </c>
      <c r="BK564" s="498" t="str">
        <f t="shared" si="204"/>
        <v/>
      </c>
      <c r="BL564" s="498" t="str">
        <f t="shared" si="205"/>
        <v/>
      </c>
    </row>
    <row r="565" spans="1:64" x14ac:dyDescent="0.25">
      <c r="A565" s="762">
        <f t="shared" si="206"/>
        <v>560</v>
      </c>
      <c r="B565" s="229"/>
      <c r="C565" s="223"/>
      <c r="D565" s="224"/>
      <c r="E565" s="225"/>
      <c r="F565" s="1036" t="str">
        <f t="shared" si="212"/>
        <v/>
      </c>
      <c r="G565" s="1037" t="str">
        <f t="shared" si="207"/>
        <v/>
      </c>
      <c r="H565" s="225"/>
      <c r="I565" s="1013"/>
      <c r="J565" s="1013"/>
      <c r="K565" s="1028"/>
      <c r="L565" s="1035" t="str">
        <f t="shared" si="211"/>
        <v/>
      </c>
      <c r="S565" s="498"/>
      <c r="AJ565" s="498"/>
      <c r="AM565" s="498">
        <f t="shared" si="192"/>
        <v>0</v>
      </c>
      <c r="AN565" s="498">
        <f t="shared" si="193"/>
        <v>0</v>
      </c>
      <c r="AO565" s="498">
        <f t="shared" si="194"/>
        <v>0</v>
      </c>
      <c r="AP565" s="498">
        <f t="shared" si="213"/>
        <v>0</v>
      </c>
      <c r="AQ565" s="498">
        <f t="shared" si="208"/>
        <v>0</v>
      </c>
      <c r="AU565" s="498">
        <f t="shared" si="195"/>
        <v>0</v>
      </c>
      <c r="AV565" s="498">
        <f t="shared" si="196"/>
        <v>0</v>
      </c>
      <c r="AW565" s="498">
        <f t="shared" si="197"/>
        <v>0</v>
      </c>
      <c r="AX565" s="498">
        <f t="shared" si="198"/>
        <v>0</v>
      </c>
      <c r="AY565" s="498">
        <f t="shared" si="199"/>
        <v>0</v>
      </c>
      <c r="BB565" s="498" t="str">
        <f t="shared" si="200"/>
        <v/>
      </c>
      <c r="BC565" s="743" t="str">
        <f t="shared" si="201"/>
        <v/>
      </c>
      <c r="BD565" s="743" t="str">
        <f t="shared" si="202"/>
        <v/>
      </c>
      <c r="BE565" s="743" t="str">
        <f>IF(D565="","",VLOOKUP(D565,'General Basis'!$J$39:$K$46,2,0))</f>
        <v/>
      </c>
      <c r="BF565" s="744" t="str">
        <f>IF(D565="","",VLOOKUP(D565,'General Basis'!$J$39:$L$46,3,0))</f>
        <v/>
      </c>
      <c r="BG565" s="744" t="str">
        <f t="shared" si="209"/>
        <v/>
      </c>
      <c r="BH565" s="744" t="str">
        <f>IF(G565="","",IF(BF565="Abu Dhabi",IF(G565&lt;18,'General Basis'!$C$39,IF(G565&lt;41,'General Basis'!$C$40,IF(G565&lt;60,'General Basis'!$C$41,IF(G565&lt;65,'General Basis'!$C$42,'General Basis'!$C$43)))),IF(G565&lt;11,'General Basis'!$B$39,IF(G565&lt;18,'General Basis'!$B$40,IF(G565&lt;26,'General Basis'!$B$41,IF(G565&lt;31,'General Basis'!$B$42,IF(G565&lt;36,'General Basis'!$B$43,IF(G565&lt;41,'General Basis'!$B$44,IF(G565&lt;46,'General Basis'!$B$45,IF(G565&lt;51,'General Basis'!$B$46,IF(G565&lt;56,'General Basis'!$B$47,IF(G565&lt;60,'General Basis'!$B$48,IF(G565&lt;65,'General Basis'!$B$49,'General Basis'!$B$50)))))))))))))</f>
        <v/>
      </c>
      <c r="BI565" s="744" t="str">
        <f t="shared" si="203"/>
        <v/>
      </c>
      <c r="BJ565" s="747" t="str">
        <f t="shared" si="210"/>
        <v/>
      </c>
      <c r="BK565" s="498" t="str">
        <f t="shared" si="204"/>
        <v/>
      </c>
      <c r="BL565" s="498" t="str">
        <f t="shared" si="205"/>
        <v/>
      </c>
    </row>
    <row r="566" spans="1:64" x14ac:dyDescent="0.25">
      <c r="A566" s="762">
        <f t="shared" si="206"/>
        <v>561</v>
      </c>
      <c r="B566" s="229"/>
      <c r="C566" s="223"/>
      <c r="D566" s="224"/>
      <c r="E566" s="225"/>
      <c r="F566" s="1036" t="str">
        <f t="shared" si="212"/>
        <v/>
      </c>
      <c r="G566" s="1037" t="str">
        <f t="shared" si="207"/>
        <v/>
      </c>
      <c r="H566" s="225"/>
      <c r="I566" s="1013"/>
      <c r="J566" s="1013"/>
      <c r="K566" s="1028"/>
      <c r="L566" s="1035" t="str">
        <f t="shared" si="211"/>
        <v/>
      </c>
      <c r="S566" s="498"/>
      <c r="AJ566" s="498"/>
      <c r="AM566" s="498">
        <f t="shared" si="192"/>
        <v>0</v>
      </c>
      <c r="AN566" s="498">
        <f t="shared" si="193"/>
        <v>0</v>
      </c>
      <c r="AO566" s="498">
        <f t="shared" si="194"/>
        <v>0</v>
      </c>
      <c r="AP566" s="498">
        <f t="shared" si="213"/>
        <v>0</v>
      </c>
      <c r="AQ566" s="498">
        <f t="shared" si="208"/>
        <v>0</v>
      </c>
      <c r="AU566" s="498">
        <f t="shared" si="195"/>
        <v>0</v>
      </c>
      <c r="AV566" s="498">
        <f t="shared" si="196"/>
        <v>0</v>
      </c>
      <c r="AW566" s="498">
        <f t="shared" si="197"/>
        <v>0</v>
      </c>
      <c r="AX566" s="498">
        <f t="shared" si="198"/>
        <v>0</v>
      </c>
      <c r="AY566" s="498">
        <f t="shared" si="199"/>
        <v>0</v>
      </c>
      <c r="BB566" s="498" t="str">
        <f t="shared" si="200"/>
        <v/>
      </c>
      <c r="BC566" s="743" t="str">
        <f t="shared" si="201"/>
        <v/>
      </c>
      <c r="BD566" s="743" t="str">
        <f t="shared" si="202"/>
        <v/>
      </c>
      <c r="BE566" s="743" t="str">
        <f>IF(D566="","",VLOOKUP(D566,'General Basis'!$J$39:$K$46,2,0))</f>
        <v/>
      </c>
      <c r="BF566" s="744" t="str">
        <f>IF(D566="","",VLOOKUP(D566,'General Basis'!$J$39:$L$46,3,0))</f>
        <v/>
      </c>
      <c r="BG566" s="744" t="str">
        <f t="shared" si="209"/>
        <v/>
      </c>
      <c r="BH566" s="744" t="str">
        <f>IF(G566="","",IF(BF566="Abu Dhabi",IF(G566&lt;18,'General Basis'!$C$39,IF(G566&lt;41,'General Basis'!$C$40,IF(G566&lt;60,'General Basis'!$C$41,IF(G566&lt;65,'General Basis'!$C$42,'General Basis'!$C$43)))),IF(G566&lt;11,'General Basis'!$B$39,IF(G566&lt;18,'General Basis'!$B$40,IF(G566&lt;26,'General Basis'!$B$41,IF(G566&lt;31,'General Basis'!$B$42,IF(G566&lt;36,'General Basis'!$B$43,IF(G566&lt;41,'General Basis'!$B$44,IF(G566&lt;46,'General Basis'!$B$45,IF(G566&lt;51,'General Basis'!$B$46,IF(G566&lt;56,'General Basis'!$B$47,IF(G566&lt;60,'General Basis'!$B$48,IF(G566&lt;65,'General Basis'!$B$49,'General Basis'!$B$50)))))))))))))</f>
        <v/>
      </c>
      <c r="BI566" s="744" t="str">
        <f t="shared" si="203"/>
        <v/>
      </c>
      <c r="BJ566" s="747" t="str">
        <f t="shared" si="210"/>
        <v/>
      </c>
      <c r="BK566" s="498" t="str">
        <f t="shared" si="204"/>
        <v/>
      </c>
      <c r="BL566" s="498" t="str">
        <f t="shared" si="205"/>
        <v/>
      </c>
    </row>
    <row r="567" spans="1:64" x14ac:dyDescent="0.25">
      <c r="A567" s="762">
        <f t="shared" si="206"/>
        <v>562</v>
      </c>
      <c r="B567" s="229"/>
      <c r="C567" s="223"/>
      <c r="D567" s="224"/>
      <c r="E567" s="225"/>
      <c r="F567" s="1036" t="str">
        <f t="shared" si="212"/>
        <v/>
      </c>
      <c r="G567" s="1037" t="str">
        <f t="shared" si="207"/>
        <v/>
      </c>
      <c r="H567" s="225"/>
      <c r="I567" s="1013"/>
      <c r="J567" s="1013"/>
      <c r="K567" s="1028"/>
      <c r="L567" s="1035" t="str">
        <f t="shared" si="211"/>
        <v/>
      </c>
      <c r="S567" s="498"/>
      <c r="AJ567" s="498"/>
      <c r="AM567" s="498">
        <f t="shared" si="192"/>
        <v>0</v>
      </c>
      <c r="AN567" s="498">
        <f t="shared" si="193"/>
        <v>0</v>
      </c>
      <c r="AO567" s="498">
        <f t="shared" si="194"/>
        <v>0</v>
      </c>
      <c r="AP567" s="498">
        <f t="shared" si="213"/>
        <v>0</v>
      </c>
      <c r="AQ567" s="498">
        <f t="shared" si="208"/>
        <v>0</v>
      </c>
      <c r="AU567" s="498">
        <f t="shared" si="195"/>
        <v>0</v>
      </c>
      <c r="AV567" s="498">
        <f t="shared" si="196"/>
        <v>0</v>
      </c>
      <c r="AW567" s="498">
        <f t="shared" si="197"/>
        <v>0</v>
      </c>
      <c r="AX567" s="498">
        <f t="shared" si="198"/>
        <v>0</v>
      </c>
      <c r="AY567" s="498">
        <f t="shared" si="199"/>
        <v>0</v>
      </c>
      <c r="BB567" s="498" t="str">
        <f t="shared" si="200"/>
        <v/>
      </c>
      <c r="BC567" s="743" t="str">
        <f t="shared" si="201"/>
        <v/>
      </c>
      <c r="BD567" s="743" t="str">
        <f t="shared" si="202"/>
        <v/>
      </c>
      <c r="BE567" s="743" t="str">
        <f>IF(D567="","",VLOOKUP(D567,'General Basis'!$J$39:$K$46,2,0))</f>
        <v/>
      </c>
      <c r="BF567" s="744" t="str">
        <f>IF(D567="","",VLOOKUP(D567,'General Basis'!$J$39:$L$46,3,0))</f>
        <v/>
      </c>
      <c r="BG567" s="744" t="str">
        <f t="shared" si="209"/>
        <v/>
      </c>
      <c r="BH567" s="744" t="str">
        <f>IF(G567="","",IF(BF567="Abu Dhabi",IF(G567&lt;18,'General Basis'!$C$39,IF(G567&lt;41,'General Basis'!$C$40,IF(G567&lt;60,'General Basis'!$C$41,IF(G567&lt;65,'General Basis'!$C$42,'General Basis'!$C$43)))),IF(G567&lt;11,'General Basis'!$B$39,IF(G567&lt;18,'General Basis'!$B$40,IF(G567&lt;26,'General Basis'!$B$41,IF(G567&lt;31,'General Basis'!$B$42,IF(G567&lt;36,'General Basis'!$B$43,IF(G567&lt;41,'General Basis'!$B$44,IF(G567&lt;46,'General Basis'!$B$45,IF(G567&lt;51,'General Basis'!$B$46,IF(G567&lt;56,'General Basis'!$B$47,IF(G567&lt;60,'General Basis'!$B$48,IF(G567&lt;65,'General Basis'!$B$49,'General Basis'!$B$50)))))))))))))</f>
        <v/>
      </c>
      <c r="BI567" s="744" t="str">
        <f t="shared" si="203"/>
        <v/>
      </c>
      <c r="BJ567" s="747" t="str">
        <f t="shared" si="210"/>
        <v/>
      </c>
      <c r="BK567" s="498" t="str">
        <f t="shared" si="204"/>
        <v/>
      </c>
      <c r="BL567" s="498" t="str">
        <f t="shared" si="205"/>
        <v/>
      </c>
    </row>
    <row r="568" spans="1:64" x14ac:dyDescent="0.25">
      <c r="A568" s="762">
        <f t="shared" si="206"/>
        <v>563</v>
      </c>
      <c r="B568" s="229"/>
      <c r="C568" s="223"/>
      <c r="D568" s="224"/>
      <c r="E568" s="225"/>
      <c r="F568" s="1036" t="str">
        <f t="shared" si="212"/>
        <v/>
      </c>
      <c r="G568" s="1037" t="str">
        <f t="shared" si="207"/>
        <v/>
      </c>
      <c r="H568" s="225"/>
      <c r="I568" s="1013"/>
      <c r="J568" s="1013"/>
      <c r="K568" s="1028"/>
      <c r="L568" s="1035" t="str">
        <f t="shared" si="211"/>
        <v/>
      </c>
      <c r="S568" s="498"/>
      <c r="AJ568" s="498"/>
      <c r="AM568" s="498">
        <f t="shared" si="192"/>
        <v>0</v>
      </c>
      <c r="AN568" s="498">
        <f t="shared" si="193"/>
        <v>0</v>
      </c>
      <c r="AO568" s="498">
        <f t="shared" si="194"/>
        <v>0</v>
      </c>
      <c r="AP568" s="498">
        <f t="shared" si="213"/>
        <v>0</v>
      </c>
      <c r="AQ568" s="498">
        <f t="shared" si="208"/>
        <v>0</v>
      </c>
      <c r="AU568" s="498">
        <f t="shared" si="195"/>
        <v>0</v>
      </c>
      <c r="AV568" s="498">
        <f t="shared" si="196"/>
        <v>0</v>
      </c>
      <c r="AW568" s="498">
        <f t="shared" si="197"/>
        <v>0</v>
      </c>
      <c r="AX568" s="498">
        <f t="shared" si="198"/>
        <v>0</v>
      </c>
      <c r="AY568" s="498">
        <f t="shared" si="199"/>
        <v>0</v>
      </c>
      <c r="BB568" s="498" t="str">
        <f t="shared" si="200"/>
        <v/>
      </c>
      <c r="BC568" s="743" t="str">
        <f t="shared" si="201"/>
        <v/>
      </c>
      <c r="BD568" s="743" t="str">
        <f t="shared" si="202"/>
        <v/>
      </c>
      <c r="BE568" s="743" t="str">
        <f>IF(D568="","",VLOOKUP(D568,'General Basis'!$J$39:$K$46,2,0))</f>
        <v/>
      </c>
      <c r="BF568" s="744" t="str">
        <f>IF(D568="","",VLOOKUP(D568,'General Basis'!$J$39:$L$46,3,0))</f>
        <v/>
      </c>
      <c r="BG568" s="744" t="str">
        <f t="shared" si="209"/>
        <v/>
      </c>
      <c r="BH568" s="744" t="str">
        <f>IF(G568="","",IF(BF568="Abu Dhabi",IF(G568&lt;18,'General Basis'!$C$39,IF(G568&lt;41,'General Basis'!$C$40,IF(G568&lt;60,'General Basis'!$C$41,IF(G568&lt;65,'General Basis'!$C$42,'General Basis'!$C$43)))),IF(G568&lt;11,'General Basis'!$B$39,IF(G568&lt;18,'General Basis'!$B$40,IF(G568&lt;26,'General Basis'!$B$41,IF(G568&lt;31,'General Basis'!$B$42,IF(G568&lt;36,'General Basis'!$B$43,IF(G568&lt;41,'General Basis'!$B$44,IF(G568&lt;46,'General Basis'!$B$45,IF(G568&lt;51,'General Basis'!$B$46,IF(G568&lt;56,'General Basis'!$B$47,IF(G568&lt;60,'General Basis'!$B$48,IF(G568&lt;65,'General Basis'!$B$49,'General Basis'!$B$50)))))))))))))</f>
        <v/>
      </c>
      <c r="BI568" s="744" t="str">
        <f t="shared" si="203"/>
        <v/>
      </c>
      <c r="BJ568" s="747" t="str">
        <f t="shared" si="210"/>
        <v/>
      </c>
      <c r="BK568" s="498" t="str">
        <f t="shared" si="204"/>
        <v/>
      </c>
      <c r="BL568" s="498" t="str">
        <f t="shared" si="205"/>
        <v/>
      </c>
    </row>
    <row r="569" spans="1:64" x14ac:dyDescent="0.25">
      <c r="A569" s="762">
        <f t="shared" si="206"/>
        <v>564</v>
      </c>
      <c r="B569" s="229"/>
      <c r="C569" s="223"/>
      <c r="D569" s="224"/>
      <c r="E569" s="225"/>
      <c r="F569" s="1036" t="str">
        <f t="shared" si="212"/>
        <v/>
      </c>
      <c r="G569" s="1037" t="str">
        <f t="shared" si="207"/>
        <v/>
      </c>
      <c r="H569" s="225"/>
      <c r="I569" s="1013"/>
      <c r="J569" s="1013"/>
      <c r="K569" s="1028"/>
      <c r="L569" s="1035" t="str">
        <f t="shared" si="211"/>
        <v/>
      </c>
      <c r="S569" s="498"/>
      <c r="AJ569" s="498"/>
      <c r="AM569" s="498">
        <f t="shared" si="192"/>
        <v>0</v>
      </c>
      <c r="AN569" s="498">
        <f t="shared" si="193"/>
        <v>0</v>
      </c>
      <c r="AO569" s="498">
        <f t="shared" si="194"/>
        <v>0</v>
      </c>
      <c r="AP569" s="498">
        <f t="shared" si="213"/>
        <v>0</v>
      </c>
      <c r="AQ569" s="498">
        <f t="shared" si="208"/>
        <v>0</v>
      </c>
      <c r="AU569" s="498">
        <f t="shared" si="195"/>
        <v>0</v>
      </c>
      <c r="AV569" s="498">
        <f t="shared" si="196"/>
        <v>0</v>
      </c>
      <c r="AW569" s="498">
        <f t="shared" si="197"/>
        <v>0</v>
      </c>
      <c r="AX569" s="498">
        <f t="shared" si="198"/>
        <v>0</v>
      </c>
      <c r="AY569" s="498">
        <f t="shared" si="199"/>
        <v>0</v>
      </c>
      <c r="BB569" s="498" t="str">
        <f t="shared" si="200"/>
        <v/>
      </c>
      <c r="BC569" s="743" t="str">
        <f t="shared" si="201"/>
        <v/>
      </c>
      <c r="BD569" s="743" t="str">
        <f t="shared" si="202"/>
        <v/>
      </c>
      <c r="BE569" s="743" t="str">
        <f>IF(D569="","",VLOOKUP(D569,'General Basis'!$J$39:$K$46,2,0))</f>
        <v/>
      </c>
      <c r="BF569" s="744" t="str">
        <f>IF(D569="","",VLOOKUP(D569,'General Basis'!$J$39:$L$46,3,0))</f>
        <v/>
      </c>
      <c r="BG569" s="744" t="str">
        <f t="shared" si="209"/>
        <v/>
      </c>
      <c r="BH569" s="744" t="str">
        <f>IF(G569="","",IF(BF569="Abu Dhabi",IF(G569&lt;18,'General Basis'!$C$39,IF(G569&lt;41,'General Basis'!$C$40,IF(G569&lt;60,'General Basis'!$C$41,IF(G569&lt;65,'General Basis'!$C$42,'General Basis'!$C$43)))),IF(G569&lt;11,'General Basis'!$B$39,IF(G569&lt;18,'General Basis'!$B$40,IF(G569&lt;26,'General Basis'!$B$41,IF(G569&lt;31,'General Basis'!$B$42,IF(G569&lt;36,'General Basis'!$B$43,IF(G569&lt;41,'General Basis'!$B$44,IF(G569&lt;46,'General Basis'!$B$45,IF(G569&lt;51,'General Basis'!$B$46,IF(G569&lt;56,'General Basis'!$B$47,IF(G569&lt;60,'General Basis'!$B$48,IF(G569&lt;65,'General Basis'!$B$49,'General Basis'!$B$50)))))))))))))</f>
        <v/>
      </c>
      <c r="BI569" s="744" t="str">
        <f t="shared" si="203"/>
        <v/>
      </c>
      <c r="BJ569" s="747" t="str">
        <f t="shared" si="210"/>
        <v/>
      </c>
      <c r="BK569" s="498" t="str">
        <f t="shared" si="204"/>
        <v/>
      </c>
      <c r="BL569" s="498" t="str">
        <f t="shared" si="205"/>
        <v/>
      </c>
    </row>
    <row r="570" spans="1:64" x14ac:dyDescent="0.25">
      <c r="A570" s="762">
        <f t="shared" si="206"/>
        <v>565</v>
      </c>
      <c r="B570" s="229"/>
      <c r="C570" s="223"/>
      <c r="D570" s="224"/>
      <c r="E570" s="225"/>
      <c r="F570" s="1036" t="str">
        <f t="shared" si="212"/>
        <v/>
      </c>
      <c r="G570" s="1037" t="str">
        <f t="shared" si="207"/>
        <v/>
      </c>
      <c r="H570" s="225"/>
      <c r="I570" s="1013"/>
      <c r="J570" s="1013"/>
      <c r="K570" s="1028"/>
      <c r="L570" s="1035" t="str">
        <f t="shared" si="211"/>
        <v/>
      </c>
      <c r="S570" s="498"/>
      <c r="AJ570" s="498"/>
      <c r="AM570" s="498">
        <f t="shared" si="192"/>
        <v>0</v>
      </c>
      <c r="AN570" s="498">
        <f t="shared" si="193"/>
        <v>0</v>
      </c>
      <c r="AO570" s="498">
        <f t="shared" si="194"/>
        <v>0</v>
      </c>
      <c r="AP570" s="498">
        <f t="shared" si="213"/>
        <v>0</v>
      </c>
      <c r="AQ570" s="498">
        <f t="shared" si="208"/>
        <v>0</v>
      </c>
      <c r="AU570" s="498">
        <f t="shared" si="195"/>
        <v>0</v>
      </c>
      <c r="AV570" s="498">
        <f t="shared" si="196"/>
        <v>0</v>
      </c>
      <c r="AW570" s="498">
        <f t="shared" si="197"/>
        <v>0</v>
      </c>
      <c r="AX570" s="498">
        <f t="shared" si="198"/>
        <v>0</v>
      </c>
      <c r="AY570" s="498">
        <f t="shared" si="199"/>
        <v>0</v>
      </c>
      <c r="BB570" s="498" t="str">
        <f t="shared" si="200"/>
        <v/>
      </c>
      <c r="BC570" s="743" t="str">
        <f t="shared" si="201"/>
        <v/>
      </c>
      <c r="BD570" s="743" t="str">
        <f t="shared" si="202"/>
        <v/>
      </c>
      <c r="BE570" s="743" t="str">
        <f>IF(D570="","",VLOOKUP(D570,'General Basis'!$J$39:$K$46,2,0))</f>
        <v/>
      </c>
      <c r="BF570" s="744" t="str">
        <f>IF(D570="","",VLOOKUP(D570,'General Basis'!$J$39:$L$46,3,0))</f>
        <v/>
      </c>
      <c r="BG570" s="744" t="str">
        <f t="shared" si="209"/>
        <v/>
      </c>
      <c r="BH570" s="744" t="str">
        <f>IF(G570="","",IF(BF570="Abu Dhabi",IF(G570&lt;18,'General Basis'!$C$39,IF(G570&lt;41,'General Basis'!$C$40,IF(G570&lt;60,'General Basis'!$C$41,IF(G570&lt;65,'General Basis'!$C$42,'General Basis'!$C$43)))),IF(G570&lt;11,'General Basis'!$B$39,IF(G570&lt;18,'General Basis'!$B$40,IF(G570&lt;26,'General Basis'!$B$41,IF(G570&lt;31,'General Basis'!$B$42,IF(G570&lt;36,'General Basis'!$B$43,IF(G570&lt;41,'General Basis'!$B$44,IF(G570&lt;46,'General Basis'!$B$45,IF(G570&lt;51,'General Basis'!$B$46,IF(G570&lt;56,'General Basis'!$B$47,IF(G570&lt;60,'General Basis'!$B$48,IF(G570&lt;65,'General Basis'!$B$49,'General Basis'!$B$50)))))))))))))</f>
        <v/>
      </c>
      <c r="BI570" s="744" t="str">
        <f t="shared" si="203"/>
        <v/>
      </c>
      <c r="BJ570" s="747" t="str">
        <f t="shared" si="210"/>
        <v/>
      </c>
      <c r="BK570" s="498" t="str">
        <f t="shared" si="204"/>
        <v/>
      </c>
      <c r="BL570" s="498" t="str">
        <f t="shared" si="205"/>
        <v/>
      </c>
    </row>
    <row r="571" spans="1:64" x14ac:dyDescent="0.25">
      <c r="A571" s="762">
        <f t="shared" si="206"/>
        <v>566</v>
      </c>
      <c r="B571" s="229"/>
      <c r="C571" s="223"/>
      <c r="D571" s="224"/>
      <c r="E571" s="225"/>
      <c r="F571" s="1036" t="str">
        <f t="shared" si="212"/>
        <v/>
      </c>
      <c r="G571" s="1037" t="str">
        <f t="shared" si="207"/>
        <v/>
      </c>
      <c r="H571" s="225"/>
      <c r="I571" s="1013"/>
      <c r="J571" s="1013"/>
      <c r="K571" s="1028"/>
      <c r="L571" s="1035" t="str">
        <f t="shared" si="211"/>
        <v/>
      </c>
      <c r="S571" s="498"/>
      <c r="AJ571" s="498"/>
      <c r="AM571" s="498">
        <f t="shared" si="192"/>
        <v>0</v>
      </c>
      <c r="AN571" s="498">
        <f t="shared" si="193"/>
        <v>0</v>
      </c>
      <c r="AO571" s="498">
        <f t="shared" si="194"/>
        <v>0</v>
      </c>
      <c r="AP571" s="498">
        <f t="shared" si="213"/>
        <v>0</v>
      </c>
      <c r="AQ571" s="498">
        <f t="shared" si="208"/>
        <v>0</v>
      </c>
      <c r="AU571" s="498">
        <f t="shared" si="195"/>
        <v>0</v>
      </c>
      <c r="AV571" s="498">
        <f t="shared" si="196"/>
        <v>0</v>
      </c>
      <c r="AW571" s="498">
        <f t="shared" si="197"/>
        <v>0</v>
      </c>
      <c r="AX571" s="498">
        <f t="shared" si="198"/>
        <v>0</v>
      </c>
      <c r="AY571" s="498">
        <f t="shared" si="199"/>
        <v>0</v>
      </c>
      <c r="BB571" s="498" t="str">
        <f t="shared" si="200"/>
        <v/>
      </c>
      <c r="BC571" s="743" t="str">
        <f t="shared" si="201"/>
        <v/>
      </c>
      <c r="BD571" s="743" t="str">
        <f t="shared" si="202"/>
        <v/>
      </c>
      <c r="BE571" s="743" t="str">
        <f>IF(D571="","",VLOOKUP(D571,'General Basis'!$J$39:$K$46,2,0))</f>
        <v/>
      </c>
      <c r="BF571" s="744" t="str">
        <f>IF(D571="","",VLOOKUP(D571,'General Basis'!$J$39:$L$46,3,0))</f>
        <v/>
      </c>
      <c r="BG571" s="744" t="str">
        <f t="shared" si="209"/>
        <v/>
      </c>
      <c r="BH571" s="744" t="str">
        <f>IF(G571="","",IF(BF571="Abu Dhabi",IF(G571&lt;18,'General Basis'!$C$39,IF(G571&lt;41,'General Basis'!$C$40,IF(G571&lt;60,'General Basis'!$C$41,IF(G571&lt;65,'General Basis'!$C$42,'General Basis'!$C$43)))),IF(G571&lt;11,'General Basis'!$B$39,IF(G571&lt;18,'General Basis'!$B$40,IF(G571&lt;26,'General Basis'!$B$41,IF(G571&lt;31,'General Basis'!$B$42,IF(G571&lt;36,'General Basis'!$B$43,IF(G571&lt;41,'General Basis'!$B$44,IF(G571&lt;46,'General Basis'!$B$45,IF(G571&lt;51,'General Basis'!$B$46,IF(G571&lt;56,'General Basis'!$B$47,IF(G571&lt;60,'General Basis'!$B$48,IF(G571&lt;65,'General Basis'!$B$49,'General Basis'!$B$50)))))))))))))</f>
        <v/>
      </c>
      <c r="BI571" s="744" t="str">
        <f t="shared" si="203"/>
        <v/>
      </c>
      <c r="BJ571" s="747" t="str">
        <f t="shared" si="210"/>
        <v/>
      </c>
      <c r="BK571" s="498" t="str">
        <f t="shared" si="204"/>
        <v/>
      </c>
      <c r="BL571" s="498" t="str">
        <f t="shared" si="205"/>
        <v/>
      </c>
    </row>
    <row r="572" spans="1:64" x14ac:dyDescent="0.25">
      <c r="A572" s="762">
        <f t="shared" si="206"/>
        <v>567</v>
      </c>
      <c r="B572" s="229"/>
      <c r="C572" s="223"/>
      <c r="D572" s="224"/>
      <c r="E572" s="225"/>
      <c r="F572" s="1036" t="str">
        <f t="shared" si="212"/>
        <v/>
      </c>
      <c r="G572" s="1037" t="str">
        <f t="shared" si="207"/>
        <v/>
      </c>
      <c r="H572" s="225"/>
      <c r="I572" s="1013"/>
      <c r="J572" s="1013"/>
      <c r="K572" s="1028"/>
      <c r="L572" s="1035" t="str">
        <f t="shared" si="211"/>
        <v/>
      </c>
      <c r="S572" s="498"/>
      <c r="AJ572" s="498"/>
      <c r="AM572" s="498">
        <f t="shared" si="192"/>
        <v>0</v>
      </c>
      <c r="AN572" s="498">
        <f t="shared" si="193"/>
        <v>0</v>
      </c>
      <c r="AO572" s="498">
        <f t="shared" si="194"/>
        <v>0</v>
      </c>
      <c r="AP572" s="498">
        <f t="shared" si="213"/>
        <v>0</v>
      </c>
      <c r="AQ572" s="498">
        <f t="shared" si="208"/>
        <v>0</v>
      </c>
      <c r="AU572" s="498">
        <f t="shared" si="195"/>
        <v>0</v>
      </c>
      <c r="AV572" s="498">
        <f t="shared" si="196"/>
        <v>0</v>
      </c>
      <c r="AW572" s="498">
        <f t="shared" si="197"/>
        <v>0</v>
      </c>
      <c r="AX572" s="498">
        <f t="shared" si="198"/>
        <v>0</v>
      </c>
      <c r="AY572" s="498">
        <f t="shared" si="199"/>
        <v>0</v>
      </c>
      <c r="BB572" s="498" t="str">
        <f t="shared" si="200"/>
        <v/>
      </c>
      <c r="BC572" s="743" t="str">
        <f t="shared" si="201"/>
        <v/>
      </c>
      <c r="BD572" s="743" t="str">
        <f t="shared" si="202"/>
        <v/>
      </c>
      <c r="BE572" s="743" t="str">
        <f>IF(D572="","",VLOOKUP(D572,'General Basis'!$J$39:$K$46,2,0))</f>
        <v/>
      </c>
      <c r="BF572" s="744" t="str">
        <f>IF(D572="","",VLOOKUP(D572,'General Basis'!$J$39:$L$46,3,0))</f>
        <v/>
      </c>
      <c r="BG572" s="744" t="str">
        <f t="shared" si="209"/>
        <v/>
      </c>
      <c r="BH572" s="744" t="str">
        <f>IF(G572="","",IF(BF572="Abu Dhabi",IF(G572&lt;18,'General Basis'!$C$39,IF(G572&lt;41,'General Basis'!$C$40,IF(G572&lt;60,'General Basis'!$C$41,IF(G572&lt;65,'General Basis'!$C$42,'General Basis'!$C$43)))),IF(G572&lt;11,'General Basis'!$B$39,IF(G572&lt;18,'General Basis'!$B$40,IF(G572&lt;26,'General Basis'!$B$41,IF(G572&lt;31,'General Basis'!$B$42,IF(G572&lt;36,'General Basis'!$B$43,IF(G572&lt;41,'General Basis'!$B$44,IF(G572&lt;46,'General Basis'!$B$45,IF(G572&lt;51,'General Basis'!$B$46,IF(G572&lt;56,'General Basis'!$B$47,IF(G572&lt;60,'General Basis'!$B$48,IF(G572&lt;65,'General Basis'!$B$49,'General Basis'!$B$50)))))))))))))</f>
        <v/>
      </c>
      <c r="BI572" s="744" t="str">
        <f t="shared" si="203"/>
        <v/>
      </c>
      <c r="BJ572" s="747" t="str">
        <f t="shared" si="210"/>
        <v/>
      </c>
      <c r="BK572" s="498" t="str">
        <f t="shared" si="204"/>
        <v/>
      </c>
      <c r="BL572" s="498" t="str">
        <f t="shared" si="205"/>
        <v/>
      </c>
    </row>
    <row r="573" spans="1:64" x14ac:dyDescent="0.25">
      <c r="A573" s="762">
        <f t="shared" si="206"/>
        <v>568</v>
      </c>
      <c r="B573" s="229"/>
      <c r="C573" s="223"/>
      <c r="D573" s="224"/>
      <c r="E573" s="225"/>
      <c r="F573" s="1036" t="str">
        <f t="shared" si="212"/>
        <v/>
      </c>
      <c r="G573" s="1037" t="str">
        <f t="shared" si="207"/>
        <v/>
      </c>
      <c r="H573" s="225"/>
      <c r="I573" s="1013"/>
      <c r="J573" s="1013"/>
      <c r="K573" s="1028"/>
      <c r="L573" s="1035" t="str">
        <f t="shared" si="211"/>
        <v/>
      </c>
      <c r="S573" s="498"/>
      <c r="AJ573" s="498"/>
      <c r="AM573" s="498">
        <f t="shared" si="192"/>
        <v>0</v>
      </c>
      <c r="AN573" s="498">
        <f t="shared" si="193"/>
        <v>0</v>
      </c>
      <c r="AO573" s="498">
        <f t="shared" si="194"/>
        <v>0</v>
      </c>
      <c r="AP573" s="498">
        <f t="shared" si="213"/>
        <v>0</v>
      </c>
      <c r="AQ573" s="498">
        <f t="shared" si="208"/>
        <v>0</v>
      </c>
      <c r="AU573" s="498">
        <f t="shared" si="195"/>
        <v>0</v>
      </c>
      <c r="AV573" s="498">
        <f t="shared" si="196"/>
        <v>0</v>
      </c>
      <c r="AW573" s="498">
        <f t="shared" si="197"/>
        <v>0</v>
      </c>
      <c r="AX573" s="498">
        <f t="shared" si="198"/>
        <v>0</v>
      </c>
      <c r="AY573" s="498">
        <f t="shared" si="199"/>
        <v>0</v>
      </c>
      <c r="BB573" s="498" t="str">
        <f t="shared" si="200"/>
        <v/>
      </c>
      <c r="BC573" s="743" t="str">
        <f t="shared" si="201"/>
        <v/>
      </c>
      <c r="BD573" s="743" t="str">
        <f t="shared" si="202"/>
        <v/>
      </c>
      <c r="BE573" s="743" t="str">
        <f>IF(D573="","",VLOOKUP(D573,'General Basis'!$J$39:$K$46,2,0))</f>
        <v/>
      </c>
      <c r="BF573" s="744" t="str">
        <f>IF(D573="","",VLOOKUP(D573,'General Basis'!$J$39:$L$46,3,0))</f>
        <v/>
      </c>
      <c r="BG573" s="744" t="str">
        <f t="shared" si="209"/>
        <v/>
      </c>
      <c r="BH573" s="744" t="str">
        <f>IF(G573="","",IF(BF573="Abu Dhabi",IF(G573&lt;18,'General Basis'!$C$39,IF(G573&lt;41,'General Basis'!$C$40,IF(G573&lt;60,'General Basis'!$C$41,IF(G573&lt;65,'General Basis'!$C$42,'General Basis'!$C$43)))),IF(G573&lt;11,'General Basis'!$B$39,IF(G573&lt;18,'General Basis'!$B$40,IF(G573&lt;26,'General Basis'!$B$41,IF(G573&lt;31,'General Basis'!$B$42,IF(G573&lt;36,'General Basis'!$B$43,IF(G573&lt;41,'General Basis'!$B$44,IF(G573&lt;46,'General Basis'!$B$45,IF(G573&lt;51,'General Basis'!$B$46,IF(G573&lt;56,'General Basis'!$B$47,IF(G573&lt;60,'General Basis'!$B$48,IF(G573&lt;65,'General Basis'!$B$49,'General Basis'!$B$50)))))))))))))</f>
        <v/>
      </c>
      <c r="BI573" s="744" t="str">
        <f t="shared" si="203"/>
        <v/>
      </c>
      <c r="BJ573" s="747" t="str">
        <f t="shared" si="210"/>
        <v/>
      </c>
      <c r="BK573" s="498" t="str">
        <f t="shared" si="204"/>
        <v/>
      </c>
      <c r="BL573" s="498" t="str">
        <f t="shared" si="205"/>
        <v/>
      </c>
    </row>
    <row r="574" spans="1:64" x14ac:dyDescent="0.25">
      <c r="A574" s="762">
        <f t="shared" si="206"/>
        <v>569</v>
      </c>
      <c r="B574" s="229"/>
      <c r="C574" s="223"/>
      <c r="D574" s="224"/>
      <c r="E574" s="225"/>
      <c r="F574" s="1036" t="str">
        <f t="shared" si="212"/>
        <v/>
      </c>
      <c r="G574" s="1037" t="str">
        <f t="shared" si="207"/>
        <v/>
      </c>
      <c r="H574" s="225"/>
      <c r="I574" s="1013"/>
      <c r="J574" s="1013"/>
      <c r="K574" s="1028"/>
      <c r="L574" s="1035" t="str">
        <f t="shared" si="211"/>
        <v/>
      </c>
      <c r="S574" s="498"/>
      <c r="AJ574" s="498"/>
      <c r="AM574" s="498">
        <f t="shared" si="192"/>
        <v>0</v>
      </c>
      <c r="AN574" s="498">
        <f t="shared" si="193"/>
        <v>0</v>
      </c>
      <c r="AO574" s="498">
        <f t="shared" si="194"/>
        <v>0</v>
      </c>
      <c r="AP574" s="498">
        <f t="shared" si="213"/>
        <v>0</v>
      </c>
      <c r="AQ574" s="498">
        <f t="shared" si="208"/>
        <v>0</v>
      </c>
      <c r="AU574" s="498">
        <f t="shared" si="195"/>
        <v>0</v>
      </c>
      <c r="AV574" s="498">
        <f t="shared" si="196"/>
        <v>0</v>
      </c>
      <c r="AW574" s="498">
        <f t="shared" si="197"/>
        <v>0</v>
      </c>
      <c r="AX574" s="498">
        <f t="shared" si="198"/>
        <v>0</v>
      </c>
      <c r="AY574" s="498">
        <f t="shared" si="199"/>
        <v>0</v>
      </c>
      <c r="BB574" s="498" t="str">
        <f t="shared" si="200"/>
        <v/>
      </c>
      <c r="BC574" s="743" t="str">
        <f t="shared" si="201"/>
        <v/>
      </c>
      <c r="BD574" s="743" t="str">
        <f t="shared" si="202"/>
        <v/>
      </c>
      <c r="BE574" s="743" t="str">
        <f>IF(D574="","",VLOOKUP(D574,'General Basis'!$J$39:$K$46,2,0))</f>
        <v/>
      </c>
      <c r="BF574" s="744" t="str">
        <f>IF(D574="","",VLOOKUP(D574,'General Basis'!$J$39:$L$46,3,0))</f>
        <v/>
      </c>
      <c r="BG574" s="744" t="str">
        <f t="shared" si="209"/>
        <v/>
      </c>
      <c r="BH574" s="744" t="str">
        <f>IF(G574="","",IF(BF574="Abu Dhabi",IF(G574&lt;18,'General Basis'!$C$39,IF(G574&lt;41,'General Basis'!$C$40,IF(G574&lt;60,'General Basis'!$C$41,IF(G574&lt;65,'General Basis'!$C$42,'General Basis'!$C$43)))),IF(G574&lt;11,'General Basis'!$B$39,IF(G574&lt;18,'General Basis'!$B$40,IF(G574&lt;26,'General Basis'!$B$41,IF(G574&lt;31,'General Basis'!$B$42,IF(G574&lt;36,'General Basis'!$B$43,IF(G574&lt;41,'General Basis'!$B$44,IF(G574&lt;46,'General Basis'!$B$45,IF(G574&lt;51,'General Basis'!$B$46,IF(G574&lt;56,'General Basis'!$B$47,IF(G574&lt;60,'General Basis'!$B$48,IF(G574&lt;65,'General Basis'!$B$49,'General Basis'!$B$50)))))))))))))</f>
        <v/>
      </c>
      <c r="BI574" s="744" t="str">
        <f t="shared" si="203"/>
        <v/>
      </c>
      <c r="BJ574" s="747" t="str">
        <f t="shared" si="210"/>
        <v/>
      </c>
      <c r="BK574" s="498" t="str">
        <f t="shared" si="204"/>
        <v/>
      </c>
      <c r="BL574" s="498" t="str">
        <f t="shared" si="205"/>
        <v/>
      </c>
    </row>
    <row r="575" spans="1:64" x14ac:dyDescent="0.25">
      <c r="A575" s="762">
        <f t="shared" si="206"/>
        <v>570</v>
      </c>
      <c r="B575" s="229"/>
      <c r="C575" s="223"/>
      <c r="D575" s="224"/>
      <c r="E575" s="225"/>
      <c r="F575" s="1036" t="str">
        <f t="shared" si="212"/>
        <v/>
      </c>
      <c r="G575" s="1037" t="str">
        <f t="shared" si="207"/>
        <v/>
      </c>
      <c r="H575" s="225"/>
      <c r="I575" s="1013"/>
      <c r="J575" s="1013"/>
      <c r="K575" s="1028"/>
      <c r="L575" s="1035" t="str">
        <f t="shared" si="211"/>
        <v/>
      </c>
      <c r="S575" s="498"/>
      <c r="AJ575" s="498"/>
      <c r="AM575" s="498">
        <f t="shared" si="192"/>
        <v>0</v>
      </c>
      <c r="AN575" s="498">
        <f t="shared" si="193"/>
        <v>0</v>
      </c>
      <c r="AO575" s="498">
        <f t="shared" si="194"/>
        <v>0</v>
      </c>
      <c r="AP575" s="498">
        <f t="shared" si="213"/>
        <v>0</v>
      </c>
      <c r="AQ575" s="498">
        <f t="shared" si="208"/>
        <v>0</v>
      </c>
      <c r="AU575" s="498">
        <f t="shared" si="195"/>
        <v>0</v>
      </c>
      <c r="AV575" s="498">
        <f t="shared" si="196"/>
        <v>0</v>
      </c>
      <c r="AW575" s="498">
        <f t="shared" si="197"/>
        <v>0</v>
      </c>
      <c r="AX575" s="498">
        <f t="shared" si="198"/>
        <v>0</v>
      </c>
      <c r="AY575" s="498">
        <f t="shared" si="199"/>
        <v>0</v>
      </c>
      <c r="BB575" s="498" t="str">
        <f t="shared" si="200"/>
        <v/>
      </c>
      <c r="BC575" s="743" t="str">
        <f t="shared" si="201"/>
        <v/>
      </c>
      <c r="BD575" s="743" t="str">
        <f t="shared" si="202"/>
        <v/>
      </c>
      <c r="BE575" s="743" t="str">
        <f>IF(D575="","",VLOOKUP(D575,'General Basis'!$J$39:$K$46,2,0))</f>
        <v/>
      </c>
      <c r="BF575" s="744" t="str">
        <f>IF(D575="","",VLOOKUP(D575,'General Basis'!$J$39:$L$46,3,0))</f>
        <v/>
      </c>
      <c r="BG575" s="744" t="str">
        <f t="shared" si="209"/>
        <v/>
      </c>
      <c r="BH575" s="744" t="str">
        <f>IF(G575="","",IF(BF575="Abu Dhabi",IF(G575&lt;18,'General Basis'!$C$39,IF(G575&lt;41,'General Basis'!$C$40,IF(G575&lt;60,'General Basis'!$C$41,IF(G575&lt;65,'General Basis'!$C$42,'General Basis'!$C$43)))),IF(G575&lt;11,'General Basis'!$B$39,IF(G575&lt;18,'General Basis'!$B$40,IF(G575&lt;26,'General Basis'!$B$41,IF(G575&lt;31,'General Basis'!$B$42,IF(G575&lt;36,'General Basis'!$B$43,IF(G575&lt;41,'General Basis'!$B$44,IF(G575&lt;46,'General Basis'!$B$45,IF(G575&lt;51,'General Basis'!$B$46,IF(G575&lt;56,'General Basis'!$B$47,IF(G575&lt;60,'General Basis'!$B$48,IF(G575&lt;65,'General Basis'!$B$49,'General Basis'!$B$50)))))))))))))</f>
        <v/>
      </c>
      <c r="BI575" s="744" t="str">
        <f t="shared" si="203"/>
        <v/>
      </c>
      <c r="BJ575" s="747" t="str">
        <f t="shared" si="210"/>
        <v/>
      </c>
      <c r="BK575" s="498" t="str">
        <f t="shared" si="204"/>
        <v/>
      </c>
      <c r="BL575" s="498" t="str">
        <f t="shared" si="205"/>
        <v/>
      </c>
    </row>
    <row r="576" spans="1:64" x14ac:dyDescent="0.25">
      <c r="A576" s="762">
        <f t="shared" si="206"/>
        <v>571</v>
      </c>
      <c r="B576" s="229"/>
      <c r="C576" s="223"/>
      <c r="D576" s="224"/>
      <c r="E576" s="225"/>
      <c r="F576" s="1036" t="str">
        <f t="shared" si="212"/>
        <v/>
      </c>
      <c r="G576" s="1037" t="str">
        <f t="shared" si="207"/>
        <v/>
      </c>
      <c r="H576" s="225"/>
      <c r="I576" s="1013"/>
      <c r="J576" s="1013"/>
      <c r="K576" s="1028"/>
      <c r="L576" s="1035" t="str">
        <f t="shared" si="211"/>
        <v/>
      </c>
      <c r="S576" s="498"/>
      <c r="AJ576" s="498"/>
      <c r="AM576" s="498">
        <f t="shared" si="192"/>
        <v>0</v>
      </c>
      <c r="AN576" s="498">
        <f t="shared" si="193"/>
        <v>0</v>
      </c>
      <c r="AO576" s="498">
        <f t="shared" si="194"/>
        <v>0</v>
      </c>
      <c r="AP576" s="498">
        <f t="shared" si="213"/>
        <v>0</v>
      </c>
      <c r="AQ576" s="498">
        <f t="shared" si="208"/>
        <v>0</v>
      </c>
      <c r="AU576" s="498">
        <f t="shared" si="195"/>
        <v>0</v>
      </c>
      <c r="AV576" s="498">
        <f t="shared" si="196"/>
        <v>0</v>
      </c>
      <c r="AW576" s="498">
        <f t="shared" si="197"/>
        <v>0</v>
      </c>
      <c r="AX576" s="498">
        <f t="shared" si="198"/>
        <v>0</v>
      </c>
      <c r="AY576" s="498">
        <f t="shared" si="199"/>
        <v>0</v>
      </c>
      <c r="BB576" s="498" t="str">
        <f t="shared" si="200"/>
        <v/>
      </c>
      <c r="BC576" s="743" t="str">
        <f t="shared" si="201"/>
        <v/>
      </c>
      <c r="BD576" s="743" t="str">
        <f t="shared" si="202"/>
        <v/>
      </c>
      <c r="BE576" s="743" t="str">
        <f>IF(D576="","",VLOOKUP(D576,'General Basis'!$J$39:$K$46,2,0))</f>
        <v/>
      </c>
      <c r="BF576" s="744" t="str">
        <f>IF(D576="","",VLOOKUP(D576,'General Basis'!$J$39:$L$46,3,0))</f>
        <v/>
      </c>
      <c r="BG576" s="744" t="str">
        <f t="shared" si="209"/>
        <v/>
      </c>
      <c r="BH576" s="744" t="str">
        <f>IF(G576="","",IF(BF576="Abu Dhabi",IF(G576&lt;18,'General Basis'!$C$39,IF(G576&lt;41,'General Basis'!$C$40,IF(G576&lt;60,'General Basis'!$C$41,IF(G576&lt;65,'General Basis'!$C$42,'General Basis'!$C$43)))),IF(G576&lt;11,'General Basis'!$B$39,IF(G576&lt;18,'General Basis'!$B$40,IF(G576&lt;26,'General Basis'!$B$41,IF(G576&lt;31,'General Basis'!$B$42,IF(G576&lt;36,'General Basis'!$B$43,IF(G576&lt;41,'General Basis'!$B$44,IF(G576&lt;46,'General Basis'!$B$45,IF(G576&lt;51,'General Basis'!$B$46,IF(G576&lt;56,'General Basis'!$B$47,IF(G576&lt;60,'General Basis'!$B$48,IF(G576&lt;65,'General Basis'!$B$49,'General Basis'!$B$50)))))))))))))</f>
        <v/>
      </c>
      <c r="BI576" s="744" t="str">
        <f t="shared" si="203"/>
        <v/>
      </c>
      <c r="BJ576" s="747" t="str">
        <f t="shared" si="210"/>
        <v/>
      </c>
      <c r="BK576" s="498" t="str">
        <f t="shared" si="204"/>
        <v/>
      </c>
      <c r="BL576" s="498" t="str">
        <f t="shared" si="205"/>
        <v/>
      </c>
    </row>
    <row r="577" spans="1:64" x14ac:dyDescent="0.25">
      <c r="A577" s="762">
        <f t="shared" si="206"/>
        <v>572</v>
      </c>
      <c r="B577" s="229"/>
      <c r="C577" s="223"/>
      <c r="D577" s="224"/>
      <c r="E577" s="225"/>
      <c r="F577" s="1036" t="str">
        <f t="shared" si="212"/>
        <v/>
      </c>
      <c r="G577" s="1037" t="str">
        <f t="shared" si="207"/>
        <v/>
      </c>
      <c r="H577" s="225"/>
      <c r="I577" s="1013"/>
      <c r="J577" s="1013"/>
      <c r="K577" s="1028"/>
      <c r="L577" s="1035" t="str">
        <f t="shared" si="211"/>
        <v/>
      </c>
      <c r="S577" s="498"/>
      <c r="AJ577" s="498"/>
      <c r="AM577" s="498">
        <f t="shared" si="192"/>
        <v>0</v>
      </c>
      <c r="AN577" s="498">
        <f t="shared" si="193"/>
        <v>0</v>
      </c>
      <c r="AO577" s="498">
        <f t="shared" si="194"/>
        <v>0</v>
      </c>
      <c r="AP577" s="498">
        <f t="shared" si="213"/>
        <v>0</v>
      </c>
      <c r="AQ577" s="498">
        <f t="shared" si="208"/>
        <v>0</v>
      </c>
      <c r="AU577" s="498">
        <f t="shared" si="195"/>
        <v>0</v>
      </c>
      <c r="AV577" s="498">
        <f t="shared" si="196"/>
        <v>0</v>
      </c>
      <c r="AW577" s="498">
        <f t="shared" si="197"/>
        <v>0</v>
      </c>
      <c r="AX577" s="498">
        <f t="shared" si="198"/>
        <v>0</v>
      </c>
      <c r="AY577" s="498">
        <f t="shared" si="199"/>
        <v>0</v>
      </c>
      <c r="BB577" s="498" t="str">
        <f t="shared" si="200"/>
        <v/>
      </c>
      <c r="BC577" s="743" t="str">
        <f t="shared" si="201"/>
        <v/>
      </c>
      <c r="BD577" s="743" t="str">
        <f t="shared" si="202"/>
        <v/>
      </c>
      <c r="BE577" s="743" t="str">
        <f>IF(D577="","",VLOOKUP(D577,'General Basis'!$J$39:$K$46,2,0))</f>
        <v/>
      </c>
      <c r="BF577" s="744" t="str">
        <f>IF(D577="","",VLOOKUP(D577,'General Basis'!$J$39:$L$46,3,0))</f>
        <v/>
      </c>
      <c r="BG577" s="744" t="str">
        <f t="shared" si="209"/>
        <v/>
      </c>
      <c r="BH577" s="744" t="str">
        <f>IF(G577="","",IF(BF577="Abu Dhabi",IF(G577&lt;18,'General Basis'!$C$39,IF(G577&lt;41,'General Basis'!$C$40,IF(G577&lt;60,'General Basis'!$C$41,IF(G577&lt;65,'General Basis'!$C$42,'General Basis'!$C$43)))),IF(G577&lt;11,'General Basis'!$B$39,IF(G577&lt;18,'General Basis'!$B$40,IF(G577&lt;26,'General Basis'!$B$41,IF(G577&lt;31,'General Basis'!$B$42,IF(G577&lt;36,'General Basis'!$B$43,IF(G577&lt;41,'General Basis'!$B$44,IF(G577&lt;46,'General Basis'!$B$45,IF(G577&lt;51,'General Basis'!$B$46,IF(G577&lt;56,'General Basis'!$B$47,IF(G577&lt;60,'General Basis'!$B$48,IF(G577&lt;65,'General Basis'!$B$49,'General Basis'!$B$50)))))))))))))</f>
        <v/>
      </c>
      <c r="BI577" s="744" t="str">
        <f t="shared" si="203"/>
        <v/>
      </c>
      <c r="BJ577" s="747" t="str">
        <f t="shared" si="210"/>
        <v/>
      </c>
      <c r="BK577" s="498" t="str">
        <f t="shared" si="204"/>
        <v/>
      </c>
      <c r="BL577" s="498" t="str">
        <f t="shared" si="205"/>
        <v/>
      </c>
    </row>
    <row r="578" spans="1:64" x14ac:dyDescent="0.25">
      <c r="A578" s="762">
        <f t="shared" si="206"/>
        <v>573</v>
      </c>
      <c r="B578" s="229"/>
      <c r="C578" s="223"/>
      <c r="D578" s="224"/>
      <c r="E578" s="225"/>
      <c r="F578" s="1036" t="str">
        <f t="shared" si="212"/>
        <v/>
      </c>
      <c r="G578" s="1037" t="str">
        <f t="shared" si="207"/>
        <v/>
      </c>
      <c r="H578" s="225"/>
      <c r="I578" s="1013"/>
      <c r="J578" s="1013"/>
      <c r="K578" s="1028"/>
      <c r="L578" s="1035" t="str">
        <f t="shared" si="211"/>
        <v/>
      </c>
      <c r="S578" s="498"/>
      <c r="AJ578" s="498"/>
      <c r="AM578" s="498">
        <f t="shared" si="192"/>
        <v>0</v>
      </c>
      <c r="AN578" s="498">
        <f t="shared" si="193"/>
        <v>0</v>
      </c>
      <c r="AO578" s="498">
        <f t="shared" si="194"/>
        <v>0</v>
      </c>
      <c r="AP578" s="498">
        <f t="shared" si="213"/>
        <v>0</v>
      </c>
      <c r="AQ578" s="498">
        <f t="shared" si="208"/>
        <v>0</v>
      </c>
      <c r="AU578" s="498">
        <f t="shared" si="195"/>
        <v>0</v>
      </c>
      <c r="AV578" s="498">
        <f t="shared" si="196"/>
        <v>0</v>
      </c>
      <c r="AW578" s="498">
        <f t="shared" si="197"/>
        <v>0</v>
      </c>
      <c r="AX578" s="498">
        <f t="shared" si="198"/>
        <v>0</v>
      </c>
      <c r="AY578" s="498">
        <f t="shared" si="199"/>
        <v>0</v>
      </c>
      <c r="BB578" s="498" t="str">
        <f t="shared" si="200"/>
        <v/>
      </c>
      <c r="BC578" s="743" t="str">
        <f t="shared" si="201"/>
        <v/>
      </c>
      <c r="BD578" s="743" t="str">
        <f t="shared" si="202"/>
        <v/>
      </c>
      <c r="BE578" s="743" t="str">
        <f>IF(D578="","",VLOOKUP(D578,'General Basis'!$J$39:$K$46,2,0))</f>
        <v/>
      </c>
      <c r="BF578" s="744" t="str">
        <f>IF(D578="","",VLOOKUP(D578,'General Basis'!$J$39:$L$46,3,0))</f>
        <v/>
      </c>
      <c r="BG578" s="744" t="str">
        <f t="shared" si="209"/>
        <v/>
      </c>
      <c r="BH578" s="744" t="str">
        <f>IF(G578="","",IF(BF578="Abu Dhabi",IF(G578&lt;18,'General Basis'!$C$39,IF(G578&lt;41,'General Basis'!$C$40,IF(G578&lt;60,'General Basis'!$C$41,IF(G578&lt;65,'General Basis'!$C$42,'General Basis'!$C$43)))),IF(G578&lt;11,'General Basis'!$B$39,IF(G578&lt;18,'General Basis'!$B$40,IF(G578&lt;26,'General Basis'!$B$41,IF(G578&lt;31,'General Basis'!$B$42,IF(G578&lt;36,'General Basis'!$B$43,IF(G578&lt;41,'General Basis'!$B$44,IF(G578&lt;46,'General Basis'!$B$45,IF(G578&lt;51,'General Basis'!$B$46,IF(G578&lt;56,'General Basis'!$B$47,IF(G578&lt;60,'General Basis'!$B$48,IF(G578&lt;65,'General Basis'!$B$49,'General Basis'!$B$50)))))))))))))</f>
        <v/>
      </c>
      <c r="BI578" s="744" t="str">
        <f t="shared" si="203"/>
        <v/>
      </c>
      <c r="BJ578" s="747" t="str">
        <f t="shared" si="210"/>
        <v/>
      </c>
      <c r="BK578" s="498" t="str">
        <f t="shared" si="204"/>
        <v/>
      </c>
      <c r="BL578" s="498" t="str">
        <f t="shared" si="205"/>
        <v/>
      </c>
    </row>
    <row r="579" spans="1:64" x14ac:dyDescent="0.25">
      <c r="A579" s="762">
        <f t="shared" si="206"/>
        <v>574</v>
      </c>
      <c r="B579" s="229"/>
      <c r="C579" s="223"/>
      <c r="D579" s="224"/>
      <c r="E579" s="225"/>
      <c r="F579" s="1036" t="str">
        <f t="shared" si="212"/>
        <v/>
      </c>
      <c r="G579" s="1037" t="str">
        <f t="shared" si="207"/>
        <v/>
      </c>
      <c r="H579" s="225"/>
      <c r="I579" s="1013"/>
      <c r="J579" s="1013"/>
      <c r="K579" s="1028"/>
      <c r="L579" s="1035" t="str">
        <f t="shared" si="211"/>
        <v/>
      </c>
      <c r="S579" s="498"/>
      <c r="AJ579" s="498"/>
      <c r="AM579" s="498">
        <f t="shared" si="192"/>
        <v>0</v>
      </c>
      <c r="AN579" s="498">
        <f t="shared" si="193"/>
        <v>0</v>
      </c>
      <c r="AO579" s="498">
        <f t="shared" si="194"/>
        <v>0</v>
      </c>
      <c r="AP579" s="498">
        <f t="shared" si="213"/>
        <v>0</v>
      </c>
      <c r="AQ579" s="498">
        <f t="shared" si="208"/>
        <v>0</v>
      </c>
      <c r="AU579" s="498">
        <f t="shared" si="195"/>
        <v>0</v>
      </c>
      <c r="AV579" s="498">
        <f t="shared" si="196"/>
        <v>0</v>
      </c>
      <c r="AW579" s="498">
        <f t="shared" si="197"/>
        <v>0</v>
      </c>
      <c r="AX579" s="498">
        <f t="shared" si="198"/>
        <v>0</v>
      </c>
      <c r="AY579" s="498">
        <f t="shared" si="199"/>
        <v>0</v>
      </c>
      <c r="BB579" s="498" t="str">
        <f t="shared" si="200"/>
        <v/>
      </c>
      <c r="BC579" s="743" t="str">
        <f t="shared" si="201"/>
        <v/>
      </c>
      <c r="BD579" s="743" t="str">
        <f t="shared" si="202"/>
        <v/>
      </c>
      <c r="BE579" s="743" t="str">
        <f>IF(D579="","",VLOOKUP(D579,'General Basis'!$J$39:$K$46,2,0))</f>
        <v/>
      </c>
      <c r="BF579" s="744" t="str">
        <f>IF(D579="","",VLOOKUP(D579,'General Basis'!$J$39:$L$46,3,0))</f>
        <v/>
      </c>
      <c r="BG579" s="744" t="str">
        <f t="shared" si="209"/>
        <v/>
      </c>
      <c r="BH579" s="744" t="str">
        <f>IF(G579="","",IF(BF579="Abu Dhabi",IF(G579&lt;18,'General Basis'!$C$39,IF(G579&lt;41,'General Basis'!$C$40,IF(G579&lt;60,'General Basis'!$C$41,IF(G579&lt;65,'General Basis'!$C$42,'General Basis'!$C$43)))),IF(G579&lt;11,'General Basis'!$B$39,IF(G579&lt;18,'General Basis'!$B$40,IF(G579&lt;26,'General Basis'!$B$41,IF(G579&lt;31,'General Basis'!$B$42,IF(G579&lt;36,'General Basis'!$B$43,IF(G579&lt;41,'General Basis'!$B$44,IF(G579&lt;46,'General Basis'!$B$45,IF(G579&lt;51,'General Basis'!$B$46,IF(G579&lt;56,'General Basis'!$B$47,IF(G579&lt;60,'General Basis'!$B$48,IF(G579&lt;65,'General Basis'!$B$49,'General Basis'!$B$50)))))))))))))</f>
        <v/>
      </c>
      <c r="BI579" s="744" t="str">
        <f t="shared" si="203"/>
        <v/>
      </c>
      <c r="BJ579" s="747" t="str">
        <f t="shared" si="210"/>
        <v/>
      </c>
      <c r="BK579" s="498" t="str">
        <f t="shared" si="204"/>
        <v/>
      </c>
      <c r="BL579" s="498" t="str">
        <f t="shared" si="205"/>
        <v/>
      </c>
    </row>
    <row r="580" spans="1:64" x14ac:dyDescent="0.25">
      <c r="A580" s="762">
        <f t="shared" si="206"/>
        <v>575</v>
      </c>
      <c r="B580" s="229"/>
      <c r="C580" s="223"/>
      <c r="D580" s="224"/>
      <c r="E580" s="225"/>
      <c r="F580" s="1036" t="str">
        <f t="shared" si="212"/>
        <v/>
      </c>
      <c r="G580" s="1037" t="str">
        <f t="shared" si="207"/>
        <v/>
      </c>
      <c r="H580" s="225"/>
      <c r="I580" s="1013"/>
      <c r="J580" s="1013"/>
      <c r="K580" s="1028"/>
      <c r="L580" s="1035" t="str">
        <f t="shared" si="211"/>
        <v/>
      </c>
      <c r="S580" s="498"/>
      <c r="AJ580" s="498"/>
      <c r="AM580" s="498">
        <f t="shared" si="192"/>
        <v>0</v>
      </c>
      <c r="AN580" s="498">
        <f t="shared" si="193"/>
        <v>0</v>
      </c>
      <c r="AO580" s="498">
        <f t="shared" si="194"/>
        <v>0</v>
      </c>
      <c r="AP580" s="498">
        <f t="shared" si="213"/>
        <v>0</v>
      </c>
      <c r="AQ580" s="498">
        <f t="shared" si="208"/>
        <v>0</v>
      </c>
      <c r="AU580" s="498">
        <f t="shared" si="195"/>
        <v>0</v>
      </c>
      <c r="AV580" s="498">
        <f t="shared" si="196"/>
        <v>0</v>
      </c>
      <c r="AW580" s="498">
        <f t="shared" si="197"/>
        <v>0</v>
      </c>
      <c r="AX580" s="498">
        <f t="shared" si="198"/>
        <v>0</v>
      </c>
      <c r="AY580" s="498">
        <f t="shared" si="199"/>
        <v>0</v>
      </c>
      <c r="BB580" s="498" t="str">
        <f t="shared" si="200"/>
        <v/>
      </c>
      <c r="BC580" s="743" t="str">
        <f t="shared" si="201"/>
        <v/>
      </c>
      <c r="BD580" s="743" t="str">
        <f t="shared" si="202"/>
        <v/>
      </c>
      <c r="BE580" s="743" t="str">
        <f>IF(D580="","",VLOOKUP(D580,'General Basis'!$J$39:$K$46,2,0))</f>
        <v/>
      </c>
      <c r="BF580" s="744" t="str">
        <f>IF(D580="","",VLOOKUP(D580,'General Basis'!$J$39:$L$46,3,0))</f>
        <v/>
      </c>
      <c r="BG580" s="744" t="str">
        <f t="shared" si="209"/>
        <v/>
      </c>
      <c r="BH580" s="744" t="str">
        <f>IF(G580="","",IF(BF580="Abu Dhabi",IF(G580&lt;18,'General Basis'!$C$39,IF(G580&lt;41,'General Basis'!$C$40,IF(G580&lt;60,'General Basis'!$C$41,IF(G580&lt;65,'General Basis'!$C$42,'General Basis'!$C$43)))),IF(G580&lt;11,'General Basis'!$B$39,IF(G580&lt;18,'General Basis'!$B$40,IF(G580&lt;26,'General Basis'!$B$41,IF(G580&lt;31,'General Basis'!$B$42,IF(G580&lt;36,'General Basis'!$B$43,IF(G580&lt;41,'General Basis'!$B$44,IF(G580&lt;46,'General Basis'!$B$45,IF(G580&lt;51,'General Basis'!$B$46,IF(G580&lt;56,'General Basis'!$B$47,IF(G580&lt;60,'General Basis'!$B$48,IF(G580&lt;65,'General Basis'!$B$49,'General Basis'!$B$50)))))))))))))</f>
        <v/>
      </c>
      <c r="BI580" s="744" t="str">
        <f t="shared" si="203"/>
        <v/>
      </c>
      <c r="BJ580" s="747" t="str">
        <f t="shared" si="210"/>
        <v/>
      </c>
      <c r="BK580" s="498" t="str">
        <f t="shared" si="204"/>
        <v/>
      </c>
      <c r="BL580" s="498" t="str">
        <f t="shared" si="205"/>
        <v/>
      </c>
    </row>
    <row r="581" spans="1:64" x14ac:dyDescent="0.25">
      <c r="A581" s="762">
        <f t="shared" si="206"/>
        <v>576</v>
      </c>
      <c r="B581" s="229"/>
      <c r="C581" s="223"/>
      <c r="D581" s="224"/>
      <c r="E581" s="225"/>
      <c r="F581" s="1036" t="str">
        <f t="shared" si="212"/>
        <v/>
      </c>
      <c r="G581" s="1037" t="str">
        <f t="shared" si="207"/>
        <v/>
      </c>
      <c r="H581" s="225"/>
      <c r="I581" s="1013"/>
      <c r="J581" s="1013"/>
      <c r="K581" s="1028"/>
      <c r="L581" s="1035" t="str">
        <f t="shared" si="211"/>
        <v/>
      </c>
      <c r="S581" s="498"/>
      <c r="AJ581" s="498"/>
      <c r="AM581" s="498">
        <f t="shared" si="192"/>
        <v>0</v>
      </c>
      <c r="AN581" s="498">
        <f t="shared" si="193"/>
        <v>0</v>
      </c>
      <c r="AO581" s="498">
        <f t="shared" si="194"/>
        <v>0</v>
      </c>
      <c r="AP581" s="498">
        <f t="shared" si="213"/>
        <v>0</v>
      </c>
      <c r="AQ581" s="498">
        <f t="shared" si="208"/>
        <v>0</v>
      </c>
      <c r="AU581" s="498">
        <f t="shared" si="195"/>
        <v>0</v>
      </c>
      <c r="AV581" s="498">
        <f t="shared" si="196"/>
        <v>0</v>
      </c>
      <c r="AW581" s="498">
        <f t="shared" si="197"/>
        <v>0</v>
      </c>
      <c r="AX581" s="498">
        <f t="shared" si="198"/>
        <v>0</v>
      </c>
      <c r="AY581" s="498">
        <f t="shared" si="199"/>
        <v>0</v>
      </c>
      <c r="BB581" s="498" t="str">
        <f t="shared" si="200"/>
        <v/>
      </c>
      <c r="BC581" s="743" t="str">
        <f t="shared" si="201"/>
        <v/>
      </c>
      <c r="BD581" s="743" t="str">
        <f t="shared" si="202"/>
        <v/>
      </c>
      <c r="BE581" s="743" t="str">
        <f>IF(D581="","",VLOOKUP(D581,'General Basis'!$J$39:$K$46,2,0))</f>
        <v/>
      </c>
      <c r="BF581" s="744" t="str">
        <f>IF(D581="","",VLOOKUP(D581,'General Basis'!$J$39:$L$46,3,0))</f>
        <v/>
      </c>
      <c r="BG581" s="744" t="str">
        <f t="shared" si="209"/>
        <v/>
      </c>
      <c r="BH581" s="744" t="str">
        <f>IF(G581="","",IF(BF581="Abu Dhabi",IF(G581&lt;18,'General Basis'!$C$39,IF(G581&lt;41,'General Basis'!$C$40,IF(G581&lt;60,'General Basis'!$C$41,IF(G581&lt;65,'General Basis'!$C$42,'General Basis'!$C$43)))),IF(G581&lt;11,'General Basis'!$B$39,IF(G581&lt;18,'General Basis'!$B$40,IF(G581&lt;26,'General Basis'!$B$41,IF(G581&lt;31,'General Basis'!$B$42,IF(G581&lt;36,'General Basis'!$B$43,IF(G581&lt;41,'General Basis'!$B$44,IF(G581&lt;46,'General Basis'!$B$45,IF(G581&lt;51,'General Basis'!$B$46,IF(G581&lt;56,'General Basis'!$B$47,IF(G581&lt;60,'General Basis'!$B$48,IF(G581&lt;65,'General Basis'!$B$49,'General Basis'!$B$50)))))))))))))</f>
        <v/>
      </c>
      <c r="BI581" s="744" t="str">
        <f t="shared" si="203"/>
        <v/>
      </c>
      <c r="BJ581" s="747" t="str">
        <f t="shared" si="210"/>
        <v/>
      </c>
      <c r="BK581" s="498" t="str">
        <f t="shared" si="204"/>
        <v/>
      </c>
      <c r="BL581" s="498" t="str">
        <f t="shared" si="205"/>
        <v/>
      </c>
    </row>
    <row r="582" spans="1:64" x14ac:dyDescent="0.25">
      <c r="A582" s="762">
        <f t="shared" si="206"/>
        <v>577</v>
      </c>
      <c r="B582" s="229"/>
      <c r="C582" s="223"/>
      <c r="D582" s="224"/>
      <c r="E582" s="225"/>
      <c r="F582" s="1036" t="str">
        <f t="shared" si="212"/>
        <v/>
      </c>
      <c r="G582" s="1037" t="str">
        <f t="shared" si="207"/>
        <v/>
      </c>
      <c r="H582" s="225"/>
      <c r="I582" s="1013"/>
      <c r="J582" s="1013"/>
      <c r="K582" s="1028"/>
      <c r="L582" s="1035" t="str">
        <f t="shared" si="211"/>
        <v/>
      </c>
      <c r="S582" s="498"/>
      <c r="AJ582" s="498"/>
      <c r="AM582" s="498">
        <f t="shared" ref="AM582:AM645" si="214">IF(ISTEXT(B582),1,0)</f>
        <v>0</v>
      </c>
      <c r="AN582" s="498">
        <f t="shared" ref="AN582:AN645" si="215">IF(ISBLANK(B582),0,IF(B582&lt;$AK$6,1,0))</f>
        <v>0</v>
      </c>
      <c r="AO582" s="498">
        <f t="shared" ref="AO582:AO645" si="216">IF(ISBLANK(B582),0,IF(B582&gt;$AK$7,1,0))</f>
        <v>0</v>
      </c>
      <c r="AP582" s="498">
        <f t="shared" si="213"/>
        <v>0</v>
      </c>
      <c r="AQ582" s="498">
        <f t="shared" si="208"/>
        <v>0</v>
      </c>
      <c r="AU582" s="498">
        <f t="shared" ref="AU582:AU645" si="217">IF(ISBLANK(B582),0,1)</f>
        <v>0</v>
      </c>
      <c r="AV582" s="498">
        <f t="shared" ref="AV582:AV645" si="218">IF(ISBLANK(C582),0,1)</f>
        <v>0</v>
      </c>
      <c r="AW582" s="498">
        <f t="shared" ref="AW582:AW645" si="219">IF(ISBLANK(D582),0,1)</f>
        <v>0</v>
      </c>
      <c r="AX582" s="498">
        <f t="shared" ref="AX582:AX645" si="220">IF(ISBLANK(E582),0,1)</f>
        <v>0</v>
      </c>
      <c r="AY582" s="498">
        <f t="shared" ref="AY582:AY645" si="221">IF(ISBLANK(H582),0,1)</f>
        <v>0</v>
      </c>
      <c r="BB582" s="498" t="str">
        <f t="shared" ref="BB582:BB645" si="222">IF(E582="Principal","Principal",IF(E582="","","Other"))</f>
        <v/>
      </c>
      <c r="BC582" s="743" t="str">
        <f t="shared" ref="BC582:BC645" si="223">IF(D582="","",D582)</f>
        <v/>
      </c>
      <c r="BD582" s="743" t="str">
        <f t="shared" ref="BD582:BD645" si="224">IF(E582="Principal","Employee",IF(E582="","","Dependent"))</f>
        <v/>
      </c>
      <c r="BE582" s="743" t="str">
        <f>IF(D582="","",VLOOKUP(D582,'General Basis'!$J$39:$K$46,2,0))</f>
        <v/>
      </c>
      <c r="BF582" s="744" t="str">
        <f>IF(D582="","",VLOOKUP(D582,'General Basis'!$J$39:$L$46,3,0))</f>
        <v/>
      </c>
      <c r="BG582" s="744" t="str">
        <f t="shared" si="209"/>
        <v/>
      </c>
      <c r="BH582" s="744" t="str">
        <f>IF(G582="","",IF(BF582="Abu Dhabi",IF(G582&lt;18,'General Basis'!$C$39,IF(G582&lt;41,'General Basis'!$C$40,IF(G582&lt;60,'General Basis'!$C$41,IF(G582&lt;65,'General Basis'!$C$42,'General Basis'!$C$43)))),IF(G582&lt;11,'General Basis'!$B$39,IF(G582&lt;18,'General Basis'!$B$40,IF(G582&lt;26,'General Basis'!$B$41,IF(G582&lt;31,'General Basis'!$B$42,IF(G582&lt;36,'General Basis'!$B$43,IF(G582&lt;41,'General Basis'!$B$44,IF(G582&lt;46,'General Basis'!$B$45,IF(G582&lt;51,'General Basis'!$B$46,IF(G582&lt;56,'General Basis'!$B$47,IF(G582&lt;60,'General Basis'!$B$48,IF(G582&lt;65,'General Basis'!$B$49,'General Basis'!$B$50)))))))))))))</f>
        <v/>
      </c>
      <c r="BI582" s="744" t="str">
        <f t="shared" ref="BI582:BI645" si="225">IF(C582="","",IF(C582="M","Male","Female"))</f>
        <v/>
      </c>
      <c r="BJ582" s="747" t="str">
        <f t="shared" si="210"/>
        <v/>
      </c>
      <c r="BK582" s="498" t="str">
        <f t="shared" ref="BK582:BK645" si="226">IF(BD582="","",IF(AND(BD582="Employee",BI582="Male",BF582="Abu Dhabi",BE582=GN_Plus),VLOOKUP(BH582,AUH_MALE_EMP,2,0),IF(AND(BD582="Employee",BI582="Male",BF582="Abu Dhabi",BE582=GN),VLOOKUP(BH582,AUH_MALE_EMP,3,0),IF(AND(BD582="Employee",BI582="Male",BF582="Abu Dhabi",BE582=RN_Plus),VLOOKUP(BH582,AUH_MALE_EMP,4,0),IF(AND(BD582="Employee",BI582="Male",BF582="Abu Dhabi",BE582=RN),VLOOKUP(BH582,AUH_MALE_EMP,5,0),IF(AND(BD582="Employee",BI582="Male",BF582="Abu Dhabi",BE582=RN_2),VLOOKUP(BH582,AUH_MALE_EMP,6,0),IF(AND(BD582="Employee",BI582="Male",BF582="Abu Dhabi",BE582=RN2_minus),VLOOKUP(BH582,AUH_MALE_EMP,7,0),IF(AND(BD582="Employee",BI582="Male",BF582="Abu Dhabi",BE582=RN_3),VLOOKUP(BH582,AUH_MALE_EMP,8,0),IF(AND(BD582="Employee",BI582="Male",BF582="Abu Dhabi",BE582=VN),VLOOKUP(BH582,AUH_MALE_EMP,9,0),IF(BD582="","",IF(AND(BD582="Employee",BI582="Female",BF582="Abu Dhabi",BE582=GN_Plus),VLOOKUP(BH582,AUH_FEMALE_EMP,2,0),IF(AND(BD582="Employee",BI582="Female",BF582="Abu Dhabi",BE582=GN),VLOOKUP(BH582,AUH_FEMALE_EMP,3,0),IF(AND(BD582="Employee",BI582="Female",BF582="Abu Dhabi",BE582=RN_Plus),VLOOKUP(BH582,AUH_FEMALE_EMP,4,0),IF(AND(BD582="Employee",BI582="Female",BF582="Abu Dhabi",BE582=RN),VLOOKUP(BH582,AUH_FEMALE_EMP,5,0),IF(AND(BD582="Employee",BI582="Female",BF582="Abu Dhabi",BE582=RN_2),VLOOKUP(BH582,AUH_FEMALE_EMP,6,0),IF(AND(BD582="Employee",BI582="Female",BF582="Abu Dhabi",BE582=RN2_minus),VLOOKUP(BH582,AUH_FEMALE_EMP,7,0),IF(AND(BD582="Employee",BI582="Female",BF582="Abu Dhabi",BE582=RN_3),VLOOKUP(BH582,AUH_FEMALE_EMP,8,0),IF(AND(BD582="Employee",BI582="Female",BF582="Abu Dhabi",BE582=VN),VLOOKUP(BH582,AUH_FEMALE_EMP,9,0),IF(BD582="","",IF(AND(BD582="Dependent",BI582="Male",BF582="Abu Dhabi",BE582=GN_Plus),VLOOKUP(BH582,AUH_MALE_DEP,2,0),IF(AND(BD582="Dependent",BI582="Male",BF582="Abu Dhabi",BE582=GN),VLOOKUP(BH582,AUH_MALE_DEP,3,0),IF(AND(BD582="Dependent",BI582="Male",BF582="Abu Dhabi",BE582=RN_Plus),VLOOKUP(BH582,AUH_MALE_DEP,4,0),IF(AND(BD582="Dependent",BI582="Male",BF582="Abu Dhabi",BE582=RN),VLOOKUP(BH582,AUH_MALE_DEP,5,0),IF(AND(BD582="Dependent",BI582="Male",BF582="Abu Dhabi",BE582=RN_2),VLOOKUP(BH582,AUH_MALE_DEP,6,0),IF(AND(BD582="Dependent",BI582="Male",BF582="Abu Dhabi",BE582=RN2_minus),VLOOKUP(BH582,AUH_MALE_DEP,7,0),IF(AND(BD582="Dependent",BI582="Male",BF582="Abu Dhabi",BE582=RN_3),VLOOKUP(BH582,AUH_MALE_DEP,8,0),IF(AND(BD582="Dependent",BI582="Male",BF582="Abu Dhabi",BE582=VN),VLOOKUP(BH582,AUH_MALE_DEP,9,0),IF(BD582="","",IF(AND(BD582="Dependent",BI582="Female",BF582="Abu Dhabi",BE582=GN_Plus),VLOOKUP(BH582,AUH_FEMALE_DEP,2,0),IF(AND(BD582="Dependent",BI582="Female",BF582="Abu Dhabi",BE582=GN),VLOOKUP(BH582,AUH_FEMALE_DEP,3,0),IF(AND(BD582="Dependent",BI582="Female",BF582="Abu Dhabi",BE582=RN_Plus),VLOOKUP(BH582,AUH_FEMALE_DEP,4,0),IF(AND(BD582="Dependent",BI582="Female",BF582="Abu Dhabi",BE582=RN),VLOOKUP(BH582,AUH_FEMALE_DEP,5,0),IF(AND(BD582="Dependent",BI582="Female",BF582="Abu Dhabi",BE582=RN_2),VLOOKUP(BH582,AUH_FEMALE_DEP,6,0),IF(AND(BD582="Dependent",BI582="Female",BF582="Abu Dhabi",BE582=RN2_minus),VLOOKUP(BH582,AUH_FEMALE_DEP,7,0),IF(AND(BD582="Dependent",BI582="Female",BF582="Abu Dhabi",BE582=RN_3),VLOOKUP(BH582,AUH_FEMALE_DEP,8,0),IF(AND(BD582="Dependent",BI582="Female",BF582="Abu Dhabi",BE582=VN),VLOOKUP(BH582,AUH_FEMALE_DEP,9,0),"ABC"))))))))))))))))))))))))))))))))))))</f>
        <v/>
      </c>
      <c r="BL582" s="498" t="str">
        <f t="shared" ref="BL582:BL645" si="227">IF(BD582="","",IF(AND(BD582="Employee",BI582="Male",BF582="Dubai",BE582=GN_Plus),VLOOKUP(BH582,DXB_MALE_EMP,2,0),IF(AND(BD582="Employee",BI582="Male",BF582="Dubai",BE582=GN),VLOOKUP(BH582,DXB_MALE_EMP,3,0),IF(AND(BD582="Employee",BI582="Male",BF582="Dubai",BE582=RN_Plus),VLOOKUP(BH582,DXB_MALE_EMP,4,0),IF(AND(BD582="Employee",BI582="Male",BF582="Dubai",BE582=RN),VLOOKUP(BH582,DXB_MALE_EMP,5,0),IF(AND(BD582="Employee",BI582="Male",BF582="Dubai",BE582=RN_2),VLOOKUP(BH582,DXB_MALE_EMP,6,0),IF(AND(BD582="Employee",BI582="Male",BF582="Dubai",BE582=RN2_minus),VLOOKUP(BH582,DXB_MALE_EMP,7,0),IF(AND(BD582="Employee",BI582="Male",BF582="Dubai",BE582=RN_3),VLOOKUP(BH582,DXB_MALE_EMP,8,0),IF(AND(BD582="Employee",BI582="Male",BF582="Dubai",BE582=VN),VLOOKUP(BH582,DXB_MALE_EMP,9,0),IF(BD582="","",IF(AND(BD582="Employee",BI582="Female",BF582="Dubai",BE582=GN_Plus),VLOOKUP(BH582,DXB_FEMALE_EMP,2,0),IF(AND(BD582="Employee",BI582="Female",BF582="Dubai",BE582=GN),VLOOKUP(BH582,DXB_FEMALE_EMP,3,0),IF(AND(BD582="Employee",BI582="Female",BF582="Dubai",BE582=RN_Plus),VLOOKUP(BH582,DXB_FEMALE_EMP,4,0),IF(AND(BD582="Employee",BI582="Female",BF582="Dubai",BE582=RN),VLOOKUP(BH582,DXB_FEMALE_EMP,5,0),IF(AND(BD582="Employee",BI582="Female",BF582="Dubai",BE582=RN_2),VLOOKUP(BH582,DXB_FEMALE_EMP,6,0),IF(AND(BD582="Employee",BI582="Female",BF582="Dubai",BE582=RN2_minus),VLOOKUP(BH582,DXB_FEMALE_EMP,7,0),IF(AND(BD582="Employee",BI582="Female",BF582="Dubai",BE582=RN_3),VLOOKUP(BH582,DXB_FEMALE_EMP,8,0),IF(AND(BD582="Employee",BI582="Female",BF582="Dubai",BE582=VN),VLOOKUP(BH582,DXB_FEMALE_EMP,9,0),IF(BD582="","",IF(AND(BD582="Dependent",BI582="Male",BF582="Dubai",BE582=GN_Plus),VLOOKUP(BH582,DXB_MALE_DEP,2,0),IF(AND(BD582="Dependent",BI582="Male",BF582="Dubai",BE582=GN),VLOOKUP(BH582,DXB_MALE_DEP,3,0),IF(AND(BD582="Dependent",BI582="Male",BF582="Dubai",BE582=RN_Plus),VLOOKUP(BH582,DXB_MALE_DEP,4,0),IF(AND(BD582="Dependent",BI582="Male",BF582="Dubai",BE582=RN),VLOOKUP(BH582,DXB_MALE_DEP,5,0),IF(AND(BD582="Dependent",BI582="Male",BF582="Dubai",BE582=RN_2),VLOOKUP(BH582,DXB_MALE_DEP,6,0),IF(AND(BD582="Dependent",BI582="Male",BF582="Dubai",BE582=RN2_minus),VLOOKUP(BH582,DXB_MALE_DEP,7,0),IF(AND(BD582="Dependent",BI582="Male",BF582="Dubai",BE582=RN_3),VLOOKUP(BH582,DXB_MALE_DEP,8,0),IF(AND(BD582="Dependent",BI582="Male",BF582="Dubai",BE582=VN),VLOOKUP(BH582,DXB_MALE_DEP,9,0),IF(BD582="","",IF(AND(BD582="Dependent",BI582="Female",BF582="Dubai",BE582=GN_Plus),VLOOKUP(BH582,DXB_FEMALE_DEP,2,0),IF(AND(BD582="Dependent",BI582="Female",BF582="Dubai",BE582=GN),VLOOKUP(BH582,DXB_FEMALE_DEP,3,0),IF(AND(BD582="Dependent",BI582="Female",BF582="Dubai",BE582=RN_Plus),VLOOKUP(BH582,DXB_FEMALE_DEP,4,0),IF(AND(BD582="Dependent",BI582="Female",BF582="Dubai",BE582=RN),VLOOKUP(BH582,DXB_FEMALE_DEP,5,0),IF(AND(BD582="Dependent",BI582="Female",BF582="Dubai",BE582=RN_2),VLOOKUP(BH582,DXB_FEMALE_DEP,6,0),IF(AND(BD582="Dependent",BI582="Female",BF582="Dubai",BE582=RN2_minus),VLOOKUP(BH582,DXB_FEMALE_DEP,7,0),IF(AND(BD582="Dependent",BI582="Female",BF582="Dubai",BE582=RN_3),VLOOKUP(BH582,DXB_FEMALE_DEP,8,0),IF(AND(BD582="Dependent",BI582="Female",BF582="Dubai",BE582=VN),VLOOKUP(BH582,DXB_FEMALE_DEP,9,0),"ABC"))))))))))))))))))))))))))))))))))))</f>
        <v/>
      </c>
    </row>
    <row r="583" spans="1:64" x14ac:dyDescent="0.25">
      <c r="A583" s="762">
        <f t="shared" ref="A583:A646" si="228">+A582+1</f>
        <v>578</v>
      </c>
      <c r="B583" s="229"/>
      <c r="C583" s="223"/>
      <c r="D583" s="224"/>
      <c r="E583" s="225"/>
      <c r="F583" s="1036" t="str">
        <f t="shared" si="212"/>
        <v/>
      </c>
      <c r="G583" s="1037" t="str">
        <f t="shared" ref="G583:G646" si="229">IF(D583="","",MAX(0,ROUNDUP(F583,0)))</f>
        <v/>
      </c>
      <c r="H583" s="225"/>
      <c r="I583" s="1013"/>
      <c r="J583" s="1013"/>
      <c r="K583" s="1028"/>
      <c r="L583" s="1035" t="str">
        <f t="shared" si="211"/>
        <v/>
      </c>
      <c r="S583" s="498"/>
      <c r="AJ583" s="498"/>
      <c r="AM583" s="498">
        <f t="shared" si="214"/>
        <v>0</v>
      </c>
      <c r="AN583" s="498">
        <f t="shared" si="215"/>
        <v>0</v>
      </c>
      <c r="AO583" s="498">
        <f t="shared" si="216"/>
        <v>0</v>
      </c>
      <c r="AP583" s="498">
        <f t="shared" si="213"/>
        <v>0</v>
      </c>
      <c r="AQ583" s="498">
        <f t="shared" ref="AQ583:AQ646" si="230">IF(ISBLANK($B583),0,IF(OR($H583="Single",$H583="Married"),0,1))</f>
        <v>0</v>
      </c>
      <c r="AU583" s="498">
        <f t="shared" si="217"/>
        <v>0</v>
      </c>
      <c r="AV583" s="498">
        <f t="shared" si="218"/>
        <v>0</v>
      </c>
      <c r="AW583" s="498">
        <f t="shared" si="219"/>
        <v>0</v>
      </c>
      <c r="AX583" s="498">
        <f t="shared" si="220"/>
        <v>0</v>
      </c>
      <c r="AY583" s="498">
        <f t="shared" si="221"/>
        <v>0</v>
      </c>
      <c r="BB583" s="498" t="str">
        <f t="shared" si="222"/>
        <v/>
      </c>
      <c r="BC583" s="743" t="str">
        <f t="shared" si="223"/>
        <v/>
      </c>
      <c r="BD583" s="743" t="str">
        <f t="shared" si="224"/>
        <v/>
      </c>
      <c r="BE583" s="743" t="str">
        <f>IF(D583="","",VLOOKUP(D583,'General Basis'!$J$39:$K$46,2,0))</f>
        <v/>
      </c>
      <c r="BF583" s="744" t="str">
        <f>IF(D583="","",VLOOKUP(D583,'General Basis'!$J$39:$L$46,3,0))</f>
        <v/>
      </c>
      <c r="BG583" s="744" t="str">
        <f t="shared" ref="BG583:BG646" si="231">BC583&amp;BI583</f>
        <v/>
      </c>
      <c r="BH583" s="744" t="str">
        <f>IF(G583="","",IF(BF583="Abu Dhabi",IF(G583&lt;18,'General Basis'!$C$39,IF(G583&lt;41,'General Basis'!$C$40,IF(G583&lt;60,'General Basis'!$C$41,IF(G583&lt;65,'General Basis'!$C$42,'General Basis'!$C$43)))),IF(G583&lt;11,'General Basis'!$B$39,IF(G583&lt;18,'General Basis'!$B$40,IF(G583&lt;26,'General Basis'!$B$41,IF(G583&lt;31,'General Basis'!$B$42,IF(G583&lt;36,'General Basis'!$B$43,IF(G583&lt;41,'General Basis'!$B$44,IF(G583&lt;46,'General Basis'!$B$45,IF(G583&lt;51,'General Basis'!$B$46,IF(G583&lt;56,'General Basis'!$B$47,IF(G583&lt;60,'General Basis'!$B$48,IF(G583&lt;65,'General Basis'!$B$49,'General Basis'!$B$50)))))))))))))</f>
        <v/>
      </c>
      <c r="BI583" s="744" t="str">
        <f t="shared" si="225"/>
        <v/>
      </c>
      <c r="BJ583" s="747" t="str">
        <f t="shared" ref="BJ583:BJ646" si="232">IF(BD583="","",IF(BF583="Abu Dhabi",BK583,BL583))</f>
        <v/>
      </c>
      <c r="BK583" s="498" t="str">
        <f t="shared" si="226"/>
        <v/>
      </c>
      <c r="BL583" s="498" t="str">
        <f t="shared" si="227"/>
        <v/>
      </c>
    </row>
    <row r="584" spans="1:64" x14ac:dyDescent="0.25">
      <c r="A584" s="762">
        <f t="shared" si="228"/>
        <v>579</v>
      </c>
      <c r="B584" s="229"/>
      <c r="C584" s="223"/>
      <c r="D584" s="224"/>
      <c r="E584" s="225"/>
      <c r="F584" s="1036" t="str">
        <f t="shared" si="212"/>
        <v/>
      </c>
      <c r="G584" s="1037" t="str">
        <f t="shared" si="229"/>
        <v/>
      </c>
      <c r="H584" s="225"/>
      <c r="I584" s="1013"/>
      <c r="J584" s="1013"/>
      <c r="K584" s="1028"/>
      <c r="L584" s="1035" t="str">
        <f t="shared" ref="L584:L647" si="233">IF(AND(E584="Child",H584="Married"),"Check the Marital Status of the Child. ",IF(AND(E584="Child",F584&gt;18),"Child Age exceed 18 years. ",IF(AND(E584="Spouse",H584="Single"),"Spouse is selected as Single. ","")))&amp;IF(K584&gt;0,"UW Loading has been Applied","")</f>
        <v/>
      </c>
      <c r="S584" s="498"/>
      <c r="AJ584" s="498"/>
      <c r="AM584" s="498">
        <f t="shared" si="214"/>
        <v>0</v>
      </c>
      <c r="AN584" s="498">
        <f t="shared" si="215"/>
        <v>0</v>
      </c>
      <c r="AO584" s="498">
        <f t="shared" si="216"/>
        <v>0</v>
      </c>
      <c r="AP584" s="498">
        <f t="shared" si="213"/>
        <v>0</v>
      </c>
      <c r="AQ584" s="498">
        <f t="shared" si="230"/>
        <v>0</v>
      </c>
      <c r="AU584" s="498">
        <f t="shared" si="217"/>
        <v>0</v>
      </c>
      <c r="AV584" s="498">
        <f t="shared" si="218"/>
        <v>0</v>
      </c>
      <c r="AW584" s="498">
        <f t="shared" si="219"/>
        <v>0</v>
      </c>
      <c r="AX584" s="498">
        <f t="shared" si="220"/>
        <v>0</v>
      </c>
      <c r="AY584" s="498">
        <f t="shared" si="221"/>
        <v>0</v>
      </c>
      <c r="BB584" s="498" t="str">
        <f t="shared" si="222"/>
        <v/>
      </c>
      <c r="BC584" s="743" t="str">
        <f t="shared" si="223"/>
        <v/>
      </c>
      <c r="BD584" s="743" t="str">
        <f t="shared" si="224"/>
        <v/>
      </c>
      <c r="BE584" s="743" t="str">
        <f>IF(D584="","",VLOOKUP(D584,'General Basis'!$J$39:$K$46,2,0))</f>
        <v/>
      </c>
      <c r="BF584" s="744" t="str">
        <f>IF(D584="","",VLOOKUP(D584,'General Basis'!$J$39:$L$46,3,0))</f>
        <v/>
      </c>
      <c r="BG584" s="744" t="str">
        <f t="shared" si="231"/>
        <v/>
      </c>
      <c r="BH584" s="744" t="str">
        <f>IF(G584="","",IF(BF584="Abu Dhabi",IF(G584&lt;18,'General Basis'!$C$39,IF(G584&lt;41,'General Basis'!$C$40,IF(G584&lt;60,'General Basis'!$C$41,IF(G584&lt;65,'General Basis'!$C$42,'General Basis'!$C$43)))),IF(G584&lt;11,'General Basis'!$B$39,IF(G584&lt;18,'General Basis'!$B$40,IF(G584&lt;26,'General Basis'!$B$41,IF(G584&lt;31,'General Basis'!$B$42,IF(G584&lt;36,'General Basis'!$B$43,IF(G584&lt;41,'General Basis'!$B$44,IF(G584&lt;46,'General Basis'!$B$45,IF(G584&lt;51,'General Basis'!$B$46,IF(G584&lt;56,'General Basis'!$B$47,IF(G584&lt;60,'General Basis'!$B$48,IF(G584&lt;65,'General Basis'!$B$49,'General Basis'!$B$50)))))))))))))</f>
        <v/>
      </c>
      <c r="BI584" s="744" t="str">
        <f t="shared" si="225"/>
        <v/>
      </c>
      <c r="BJ584" s="747" t="str">
        <f t="shared" si="232"/>
        <v/>
      </c>
      <c r="BK584" s="498" t="str">
        <f t="shared" si="226"/>
        <v/>
      </c>
      <c r="BL584" s="498" t="str">
        <f t="shared" si="227"/>
        <v/>
      </c>
    </row>
    <row r="585" spans="1:64" x14ac:dyDescent="0.25">
      <c r="A585" s="762">
        <f t="shared" si="228"/>
        <v>580</v>
      </c>
      <c r="B585" s="229"/>
      <c r="C585" s="223"/>
      <c r="D585" s="224"/>
      <c r="E585" s="225"/>
      <c r="F585" s="1036" t="str">
        <f t="shared" si="212"/>
        <v/>
      </c>
      <c r="G585" s="1037" t="str">
        <f t="shared" si="229"/>
        <v/>
      </c>
      <c r="H585" s="225"/>
      <c r="I585" s="1013"/>
      <c r="J585" s="1013"/>
      <c r="K585" s="1028"/>
      <c r="L585" s="1035" t="str">
        <f t="shared" si="233"/>
        <v/>
      </c>
      <c r="S585" s="498"/>
      <c r="AJ585" s="498"/>
      <c r="AM585" s="498">
        <f t="shared" si="214"/>
        <v>0</v>
      </c>
      <c r="AN585" s="498">
        <f t="shared" si="215"/>
        <v>0</v>
      </c>
      <c r="AO585" s="498">
        <f t="shared" si="216"/>
        <v>0</v>
      </c>
      <c r="AP585" s="498">
        <f t="shared" si="213"/>
        <v>0</v>
      </c>
      <c r="AQ585" s="498">
        <f t="shared" si="230"/>
        <v>0</v>
      </c>
      <c r="AU585" s="498">
        <f t="shared" si="217"/>
        <v>0</v>
      </c>
      <c r="AV585" s="498">
        <f t="shared" si="218"/>
        <v>0</v>
      </c>
      <c r="AW585" s="498">
        <f t="shared" si="219"/>
        <v>0</v>
      </c>
      <c r="AX585" s="498">
        <f t="shared" si="220"/>
        <v>0</v>
      </c>
      <c r="AY585" s="498">
        <f t="shared" si="221"/>
        <v>0</v>
      </c>
      <c r="BB585" s="498" t="str">
        <f t="shared" si="222"/>
        <v/>
      </c>
      <c r="BC585" s="743" t="str">
        <f t="shared" si="223"/>
        <v/>
      </c>
      <c r="BD585" s="743" t="str">
        <f t="shared" si="224"/>
        <v/>
      </c>
      <c r="BE585" s="743" t="str">
        <f>IF(D585="","",VLOOKUP(D585,'General Basis'!$J$39:$K$46,2,0))</f>
        <v/>
      </c>
      <c r="BF585" s="744" t="str">
        <f>IF(D585="","",VLOOKUP(D585,'General Basis'!$J$39:$L$46,3,0))</f>
        <v/>
      </c>
      <c r="BG585" s="744" t="str">
        <f t="shared" si="231"/>
        <v/>
      </c>
      <c r="BH585" s="744" t="str">
        <f>IF(G585="","",IF(BF585="Abu Dhabi",IF(G585&lt;18,'General Basis'!$C$39,IF(G585&lt;41,'General Basis'!$C$40,IF(G585&lt;60,'General Basis'!$C$41,IF(G585&lt;65,'General Basis'!$C$42,'General Basis'!$C$43)))),IF(G585&lt;11,'General Basis'!$B$39,IF(G585&lt;18,'General Basis'!$B$40,IF(G585&lt;26,'General Basis'!$B$41,IF(G585&lt;31,'General Basis'!$B$42,IF(G585&lt;36,'General Basis'!$B$43,IF(G585&lt;41,'General Basis'!$B$44,IF(G585&lt;46,'General Basis'!$B$45,IF(G585&lt;51,'General Basis'!$B$46,IF(G585&lt;56,'General Basis'!$B$47,IF(G585&lt;60,'General Basis'!$B$48,IF(G585&lt;65,'General Basis'!$B$49,'General Basis'!$B$50)))))))))))))</f>
        <v/>
      </c>
      <c r="BI585" s="744" t="str">
        <f t="shared" si="225"/>
        <v/>
      </c>
      <c r="BJ585" s="747" t="str">
        <f t="shared" si="232"/>
        <v/>
      </c>
      <c r="BK585" s="498" t="str">
        <f t="shared" si="226"/>
        <v/>
      </c>
      <c r="BL585" s="498" t="str">
        <f t="shared" si="227"/>
        <v/>
      </c>
    </row>
    <row r="586" spans="1:64" x14ac:dyDescent="0.25">
      <c r="A586" s="762">
        <f t="shared" si="228"/>
        <v>581</v>
      </c>
      <c r="B586" s="229"/>
      <c r="C586" s="223"/>
      <c r="D586" s="224"/>
      <c r="E586" s="225"/>
      <c r="F586" s="1036" t="str">
        <f t="shared" si="212"/>
        <v/>
      </c>
      <c r="G586" s="1037" t="str">
        <f t="shared" si="229"/>
        <v/>
      </c>
      <c r="H586" s="225"/>
      <c r="I586" s="1013"/>
      <c r="J586" s="1013"/>
      <c r="K586" s="1028"/>
      <c r="L586" s="1035" t="str">
        <f t="shared" si="233"/>
        <v/>
      </c>
      <c r="S586" s="498"/>
      <c r="AJ586" s="498"/>
      <c r="AM586" s="498">
        <f t="shared" si="214"/>
        <v>0</v>
      </c>
      <c r="AN586" s="498">
        <f t="shared" si="215"/>
        <v>0</v>
      </c>
      <c r="AO586" s="498">
        <f t="shared" si="216"/>
        <v>0</v>
      </c>
      <c r="AP586" s="498">
        <f t="shared" si="213"/>
        <v>0</v>
      </c>
      <c r="AQ586" s="498">
        <f t="shared" si="230"/>
        <v>0</v>
      </c>
      <c r="AU586" s="498">
        <f t="shared" si="217"/>
        <v>0</v>
      </c>
      <c r="AV586" s="498">
        <f t="shared" si="218"/>
        <v>0</v>
      </c>
      <c r="AW586" s="498">
        <f t="shared" si="219"/>
        <v>0</v>
      </c>
      <c r="AX586" s="498">
        <f t="shared" si="220"/>
        <v>0</v>
      </c>
      <c r="AY586" s="498">
        <f t="shared" si="221"/>
        <v>0</v>
      </c>
      <c r="BB586" s="498" t="str">
        <f t="shared" si="222"/>
        <v/>
      </c>
      <c r="BC586" s="743" t="str">
        <f t="shared" si="223"/>
        <v/>
      </c>
      <c r="BD586" s="743" t="str">
        <f t="shared" si="224"/>
        <v/>
      </c>
      <c r="BE586" s="743" t="str">
        <f>IF(D586="","",VLOOKUP(D586,'General Basis'!$J$39:$K$46,2,0))</f>
        <v/>
      </c>
      <c r="BF586" s="744" t="str">
        <f>IF(D586="","",VLOOKUP(D586,'General Basis'!$J$39:$L$46,3,0))</f>
        <v/>
      </c>
      <c r="BG586" s="744" t="str">
        <f t="shared" si="231"/>
        <v/>
      </c>
      <c r="BH586" s="744" t="str">
        <f>IF(G586="","",IF(BF586="Abu Dhabi",IF(G586&lt;18,'General Basis'!$C$39,IF(G586&lt;41,'General Basis'!$C$40,IF(G586&lt;60,'General Basis'!$C$41,IF(G586&lt;65,'General Basis'!$C$42,'General Basis'!$C$43)))),IF(G586&lt;11,'General Basis'!$B$39,IF(G586&lt;18,'General Basis'!$B$40,IF(G586&lt;26,'General Basis'!$B$41,IF(G586&lt;31,'General Basis'!$B$42,IF(G586&lt;36,'General Basis'!$B$43,IF(G586&lt;41,'General Basis'!$B$44,IF(G586&lt;46,'General Basis'!$B$45,IF(G586&lt;51,'General Basis'!$B$46,IF(G586&lt;56,'General Basis'!$B$47,IF(G586&lt;60,'General Basis'!$B$48,IF(G586&lt;65,'General Basis'!$B$49,'General Basis'!$B$50)))))))))))))</f>
        <v/>
      </c>
      <c r="BI586" s="744" t="str">
        <f t="shared" si="225"/>
        <v/>
      </c>
      <c r="BJ586" s="747" t="str">
        <f t="shared" si="232"/>
        <v/>
      </c>
      <c r="BK586" s="498" t="str">
        <f t="shared" si="226"/>
        <v/>
      </c>
      <c r="BL586" s="498" t="str">
        <f t="shared" si="227"/>
        <v/>
      </c>
    </row>
    <row r="587" spans="1:64" x14ac:dyDescent="0.25">
      <c r="A587" s="762">
        <f t="shared" si="228"/>
        <v>582</v>
      </c>
      <c r="B587" s="229"/>
      <c r="C587" s="223"/>
      <c r="D587" s="224"/>
      <c r="E587" s="225"/>
      <c r="F587" s="1036" t="str">
        <f t="shared" si="212"/>
        <v/>
      </c>
      <c r="G587" s="1037" t="str">
        <f t="shared" si="229"/>
        <v/>
      </c>
      <c r="H587" s="225"/>
      <c r="I587" s="1013"/>
      <c r="J587" s="1013"/>
      <c r="K587" s="1028"/>
      <c r="L587" s="1035" t="str">
        <f t="shared" si="233"/>
        <v/>
      </c>
      <c r="S587" s="498"/>
      <c r="AJ587" s="498"/>
      <c r="AM587" s="498">
        <f t="shared" si="214"/>
        <v>0</v>
      </c>
      <c r="AN587" s="498">
        <f t="shared" si="215"/>
        <v>0</v>
      </c>
      <c r="AO587" s="498">
        <f t="shared" si="216"/>
        <v>0</v>
      </c>
      <c r="AP587" s="498">
        <f t="shared" si="213"/>
        <v>0</v>
      </c>
      <c r="AQ587" s="498">
        <f t="shared" si="230"/>
        <v>0</v>
      </c>
      <c r="AU587" s="498">
        <f t="shared" si="217"/>
        <v>0</v>
      </c>
      <c r="AV587" s="498">
        <f t="shared" si="218"/>
        <v>0</v>
      </c>
      <c r="AW587" s="498">
        <f t="shared" si="219"/>
        <v>0</v>
      </c>
      <c r="AX587" s="498">
        <f t="shared" si="220"/>
        <v>0</v>
      </c>
      <c r="AY587" s="498">
        <f t="shared" si="221"/>
        <v>0</v>
      </c>
      <c r="BB587" s="498" t="str">
        <f t="shared" si="222"/>
        <v/>
      </c>
      <c r="BC587" s="743" t="str">
        <f t="shared" si="223"/>
        <v/>
      </c>
      <c r="BD587" s="743" t="str">
        <f t="shared" si="224"/>
        <v/>
      </c>
      <c r="BE587" s="743" t="str">
        <f>IF(D587="","",VLOOKUP(D587,'General Basis'!$J$39:$K$46,2,0))</f>
        <v/>
      </c>
      <c r="BF587" s="744" t="str">
        <f>IF(D587="","",VLOOKUP(D587,'General Basis'!$J$39:$L$46,3,0))</f>
        <v/>
      </c>
      <c r="BG587" s="744" t="str">
        <f t="shared" si="231"/>
        <v/>
      </c>
      <c r="BH587" s="744" t="str">
        <f>IF(G587="","",IF(BF587="Abu Dhabi",IF(G587&lt;18,'General Basis'!$C$39,IF(G587&lt;41,'General Basis'!$C$40,IF(G587&lt;60,'General Basis'!$C$41,IF(G587&lt;65,'General Basis'!$C$42,'General Basis'!$C$43)))),IF(G587&lt;11,'General Basis'!$B$39,IF(G587&lt;18,'General Basis'!$B$40,IF(G587&lt;26,'General Basis'!$B$41,IF(G587&lt;31,'General Basis'!$B$42,IF(G587&lt;36,'General Basis'!$B$43,IF(G587&lt;41,'General Basis'!$B$44,IF(G587&lt;46,'General Basis'!$B$45,IF(G587&lt;51,'General Basis'!$B$46,IF(G587&lt;56,'General Basis'!$B$47,IF(G587&lt;60,'General Basis'!$B$48,IF(G587&lt;65,'General Basis'!$B$49,'General Basis'!$B$50)))))))))))))</f>
        <v/>
      </c>
      <c r="BI587" s="744" t="str">
        <f t="shared" si="225"/>
        <v/>
      </c>
      <c r="BJ587" s="747" t="str">
        <f t="shared" si="232"/>
        <v/>
      </c>
      <c r="BK587" s="498" t="str">
        <f t="shared" si="226"/>
        <v/>
      </c>
      <c r="BL587" s="498" t="str">
        <f t="shared" si="227"/>
        <v/>
      </c>
    </row>
    <row r="588" spans="1:64" x14ac:dyDescent="0.25">
      <c r="A588" s="762">
        <f t="shared" si="228"/>
        <v>583</v>
      </c>
      <c r="B588" s="229"/>
      <c r="C588" s="223"/>
      <c r="D588" s="224"/>
      <c r="E588" s="225"/>
      <c r="F588" s="1036" t="str">
        <f t="shared" si="212"/>
        <v/>
      </c>
      <c r="G588" s="1037" t="str">
        <f t="shared" si="229"/>
        <v/>
      </c>
      <c r="H588" s="225"/>
      <c r="I588" s="1013"/>
      <c r="J588" s="1013"/>
      <c r="K588" s="1028"/>
      <c r="L588" s="1035" t="str">
        <f t="shared" si="233"/>
        <v/>
      </c>
      <c r="S588" s="498"/>
      <c r="AJ588" s="498"/>
      <c r="AM588" s="498">
        <f t="shared" si="214"/>
        <v>0</v>
      </c>
      <c r="AN588" s="498">
        <f t="shared" si="215"/>
        <v>0</v>
      </c>
      <c r="AO588" s="498">
        <f t="shared" si="216"/>
        <v>0</v>
      </c>
      <c r="AP588" s="498">
        <f t="shared" si="213"/>
        <v>0</v>
      </c>
      <c r="AQ588" s="498">
        <f t="shared" si="230"/>
        <v>0</v>
      </c>
      <c r="AU588" s="498">
        <f t="shared" si="217"/>
        <v>0</v>
      </c>
      <c r="AV588" s="498">
        <f t="shared" si="218"/>
        <v>0</v>
      </c>
      <c r="AW588" s="498">
        <f t="shared" si="219"/>
        <v>0</v>
      </c>
      <c r="AX588" s="498">
        <f t="shared" si="220"/>
        <v>0</v>
      </c>
      <c r="AY588" s="498">
        <f t="shared" si="221"/>
        <v>0</v>
      </c>
      <c r="BB588" s="498" t="str">
        <f t="shared" si="222"/>
        <v/>
      </c>
      <c r="BC588" s="743" t="str">
        <f t="shared" si="223"/>
        <v/>
      </c>
      <c r="BD588" s="743" t="str">
        <f t="shared" si="224"/>
        <v/>
      </c>
      <c r="BE588" s="743" t="str">
        <f>IF(D588="","",VLOOKUP(D588,'General Basis'!$J$39:$K$46,2,0))</f>
        <v/>
      </c>
      <c r="BF588" s="744" t="str">
        <f>IF(D588="","",VLOOKUP(D588,'General Basis'!$J$39:$L$46,3,0))</f>
        <v/>
      </c>
      <c r="BG588" s="744" t="str">
        <f t="shared" si="231"/>
        <v/>
      </c>
      <c r="BH588" s="744" t="str">
        <f>IF(G588="","",IF(BF588="Abu Dhabi",IF(G588&lt;18,'General Basis'!$C$39,IF(G588&lt;41,'General Basis'!$C$40,IF(G588&lt;60,'General Basis'!$C$41,IF(G588&lt;65,'General Basis'!$C$42,'General Basis'!$C$43)))),IF(G588&lt;11,'General Basis'!$B$39,IF(G588&lt;18,'General Basis'!$B$40,IF(G588&lt;26,'General Basis'!$B$41,IF(G588&lt;31,'General Basis'!$B$42,IF(G588&lt;36,'General Basis'!$B$43,IF(G588&lt;41,'General Basis'!$B$44,IF(G588&lt;46,'General Basis'!$B$45,IF(G588&lt;51,'General Basis'!$B$46,IF(G588&lt;56,'General Basis'!$B$47,IF(G588&lt;60,'General Basis'!$B$48,IF(G588&lt;65,'General Basis'!$B$49,'General Basis'!$B$50)))))))))))))</f>
        <v/>
      </c>
      <c r="BI588" s="744" t="str">
        <f t="shared" si="225"/>
        <v/>
      </c>
      <c r="BJ588" s="747" t="str">
        <f t="shared" si="232"/>
        <v/>
      </c>
      <c r="BK588" s="498" t="str">
        <f t="shared" si="226"/>
        <v/>
      </c>
      <c r="BL588" s="498" t="str">
        <f t="shared" si="227"/>
        <v/>
      </c>
    </row>
    <row r="589" spans="1:64" x14ac:dyDescent="0.25">
      <c r="A589" s="762">
        <f t="shared" si="228"/>
        <v>584</v>
      </c>
      <c r="B589" s="229"/>
      <c r="C589" s="223"/>
      <c r="D589" s="224"/>
      <c r="E589" s="225"/>
      <c r="F589" s="1036" t="str">
        <f t="shared" si="212"/>
        <v/>
      </c>
      <c r="G589" s="1037" t="str">
        <f t="shared" si="229"/>
        <v/>
      </c>
      <c r="H589" s="225"/>
      <c r="I589" s="1013"/>
      <c r="J589" s="1013"/>
      <c r="K589" s="1028"/>
      <c r="L589" s="1035" t="str">
        <f t="shared" si="233"/>
        <v/>
      </c>
      <c r="S589" s="498"/>
      <c r="AJ589" s="498"/>
      <c r="AM589" s="498">
        <f t="shared" si="214"/>
        <v>0</v>
      </c>
      <c r="AN589" s="498">
        <f t="shared" si="215"/>
        <v>0</v>
      </c>
      <c r="AO589" s="498">
        <f t="shared" si="216"/>
        <v>0</v>
      </c>
      <c r="AP589" s="498">
        <f t="shared" si="213"/>
        <v>0</v>
      </c>
      <c r="AQ589" s="498">
        <f t="shared" si="230"/>
        <v>0</v>
      </c>
      <c r="AU589" s="498">
        <f t="shared" si="217"/>
        <v>0</v>
      </c>
      <c r="AV589" s="498">
        <f t="shared" si="218"/>
        <v>0</v>
      </c>
      <c r="AW589" s="498">
        <f t="shared" si="219"/>
        <v>0</v>
      </c>
      <c r="AX589" s="498">
        <f t="shared" si="220"/>
        <v>0</v>
      </c>
      <c r="AY589" s="498">
        <f t="shared" si="221"/>
        <v>0</v>
      </c>
      <c r="BB589" s="498" t="str">
        <f t="shared" si="222"/>
        <v/>
      </c>
      <c r="BC589" s="743" t="str">
        <f t="shared" si="223"/>
        <v/>
      </c>
      <c r="BD589" s="743" t="str">
        <f t="shared" si="224"/>
        <v/>
      </c>
      <c r="BE589" s="743" t="str">
        <f>IF(D589="","",VLOOKUP(D589,'General Basis'!$J$39:$K$46,2,0))</f>
        <v/>
      </c>
      <c r="BF589" s="744" t="str">
        <f>IF(D589="","",VLOOKUP(D589,'General Basis'!$J$39:$L$46,3,0))</f>
        <v/>
      </c>
      <c r="BG589" s="744" t="str">
        <f t="shared" si="231"/>
        <v/>
      </c>
      <c r="BH589" s="744" t="str">
        <f>IF(G589="","",IF(BF589="Abu Dhabi",IF(G589&lt;18,'General Basis'!$C$39,IF(G589&lt;41,'General Basis'!$C$40,IF(G589&lt;60,'General Basis'!$C$41,IF(G589&lt;65,'General Basis'!$C$42,'General Basis'!$C$43)))),IF(G589&lt;11,'General Basis'!$B$39,IF(G589&lt;18,'General Basis'!$B$40,IF(G589&lt;26,'General Basis'!$B$41,IF(G589&lt;31,'General Basis'!$B$42,IF(G589&lt;36,'General Basis'!$B$43,IF(G589&lt;41,'General Basis'!$B$44,IF(G589&lt;46,'General Basis'!$B$45,IF(G589&lt;51,'General Basis'!$B$46,IF(G589&lt;56,'General Basis'!$B$47,IF(G589&lt;60,'General Basis'!$B$48,IF(G589&lt;65,'General Basis'!$B$49,'General Basis'!$B$50)))))))))))))</f>
        <v/>
      </c>
      <c r="BI589" s="744" t="str">
        <f t="shared" si="225"/>
        <v/>
      </c>
      <c r="BJ589" s="747" t="str">
        <f t="shared" si="232"/>
        <v/>
      </c>
      <c r="BK589" s="498" t="str">
        <f t="shared" si="226"/>
        <v/>
      </c>
      <c r="BL589" s="498" t="str">
        <f t="shared" si="227"/>
        <v/>
      </c>
    </row>
    <row r="590" spans="1:64" x14ac:dyDescent="0.25">
      <c r="A590" s="762">
        <f t="shared" si="228"/>
        <v>585</v>
      </c>
      <c r="B590" s="229"/>
      <c r="C590" s="223"/>
      <c r="D590" s="224"/>
      <c r="E590" s="225"/>
      <c r="F590" s="1036" t="str">
        <f t="shared" si="212"/>
        <v/>
      </c>
      <c r="G590" s="1037" t="str">
        <f t="shared" si="229"/>
        <v/>
      </c>
      <c r="H590" s="225"/>
      <c r="I590" s="1013"/>
      <c r="J590" s="1013"/>
      <c r="K590" s="1028"/>
      <c r="L590" s="1035" t="str">
        <f t="shared" si="233"/>
        <v/>
      </c>
      <c r="S590" s="498"/>
      <c r="AJ590" s="498"/>
      <c r="AM590" s="498">
        <f t="shared" si="214"/>
        <v>0</v>
      </c>
      <c r="AN590" s="498">
        <f t="shared" si="215"/>
        <v>0</v>
      </c>
      <c r="AO590" s="498">
        <f t="shared" si="216"/>
        <v>0</v>
      </c>
      <c r="AP590" s="498">
        <f t="shared" si="213"/>
        <v>0</v>
      </c>
      <c r="AQ590" s="498">
        <f t="shared" si="230"/>
        <v>0</v>
      </c>
      <c r="AU590" s="498">
        <f t="shared" si="217"/>
        <v>0</v>
      </c>
      <c r="AV590" s="498">
        <f t="shared" si="218"/>
        <v>0</v>
      </c>
      <c r="AW590" s="498">
        <f t="shared" si="219"/>
        <v>0</v>
      </c>
      <c r="AX590" s="498">
        <f t="shared" si="220"/>
        <v>0</v>
      </c>
      <c r="AY590" s="498">
        <f t="shared" si="221"/>
        <v>0</v>
      </c>
      <c r="BB590" s="498" t="str">
        <f t="shared" si="222"/>
        <v/>
      </c>
      <c r="BC590" s="743" t="str">
        <f t="shared" si="223"/>
        <v/>
      </c>
      <c r="BD590" s="743" t="str">
        <f t="shared" si="224"/>
        <v/>
      </c>
      <c r="BE590" s="743" t="str">
        <f>IF(D590="","",VLOOKUP(D590,'General Basis'!$J$39:$K$46,2,0))</f>
        <v/>
      </c>
      <c r="BF590" s="744" t="str">
        <f>IF(D590="","",VLOOKUP(D590,'General Basis'!$J$39:$L$46,3,0))</f>
        <v/>
      </c>
      <c r="BG590" s="744" t="str">
        <f t="shared" si="231"/>
        <v/>
      </c>
      <c r="BH590" s="744" t="str">
        <f>IF(G590="","",IF(BF590="Abu Dhabi",IF(G590&lt;18,'General Basis'!$C$39,IF(G590&lt;41,'General Basis'!$C$40,IF(G590&lt;60,'General Basis'!$C$41,IF(G590&lt;65,'General Basis'!$C$42,'General Basis'!$C$43)))),IF(G590&lt;11,'General Basis'!$B$39,IF(G590&lt;18,'General Basis'!$B$40,IF(G590&lt;26,'General Basis'!$B$41,IF(G590&lt;31,'General Basis'!$B$42,IF(G590&lt;36,'General Basis'!$B$43,IF(G590&lt;41,'General Basis'!$B$44,IF(G590&lt;46,'General Basis'!$B$45,IF(G590&lt;51,'General Basis'!$B$46,IF(G590&lt;56,'General Basis'!$B$47,IF(G590&lt;60,'General Basis'!$B$48,IF(G590&lt;65,'General Basis'!$B$49,'General Basis'!$B$50)))))))))))))</f>
        <v/>
      </c>
      <c r="BI590" s="744" t="str">
        <f t="shared" si="225"/>
        <v/>
      </c>
      <c r="BJ590" s="747" t="str">
        <f t="shared" si="232"/>
        <v/>
      </c>
      <c r="BK590" s="498" t="str">
        <f t="shared" si="226"/>
        <v/>
      </c>
      <c r="BL590" s="498" t="str">
        <f t="shared" si="227"/>
        <v/>
      </c>
    </row>
    <row r="591" spans="1:64" x14ac:dyDescent="0.25">
      <c r="A591" s="762">
        <f t="shared" si="228"/>
        <v>586</v>
      </c>
      <c r="B591" s="229"/>
      <c r="C591" s="223"/>
      <c r="D591" s="224"/>
      <c r="E591" s="225"/>
      <c r="F591" s="1036" t="str">
        <f t="shared" si="212"/>
        <v/>
      </c>
      <c r="G591" s="1037" t="str">
        <f t="shared" si="229"/>
        <v/>
      </c>
      <c r="H591" s="225"/>
      <c r="I591" s="1013"/>
      <c r="J591" s="1013"/>
      <c r="K591" s="1028"/>
      <c r="L591" s="1035" t="str">
        <f t="shared" si="233"/>
        <v/>
      </c>
      <c r="S591" s="498"/>
      <c r="AJ591" s="498"/>
      <c r="AM591" s="498">
        <f t="shared" si="214"/>
        <v>0</v>
      </c>
      <c r="AN591" s="498">
        <f t="shared" si="215"/>
        <v>0</v>
      </c>
      <c r="AO591" s="498">
        <f t="shared" si="216"/>
        <v>0</v>
      </c>
      <c r="AP591" s="498">
        <f t="shared" si="213"/>
        <v>0</v>
      </c>
      <c r="AQ591" s="498">
        <f t="shared" si="230"/>
        <v>0</v>
      </c>
      <c r="AU591" s="498">
        <f t="shared" si="217"/>
        <v>0</v>
      </c>
      <c r="AV591" s="498">
        <f t="shared" si="218"/>
        <v>0</v>
      </c>
      <c r="AW591" s="498">
        <f t="shared" si="219"/>
        <v>0</v>
      </c>
      <c r="AX591" s="498">
        <f t="shared" si="220"/>
        <v>0</v>
      </c>
      <c r="AY591" s="498">
        <f t="shared" si="221"/>
        <v>0</v>
      </c>
      <c r="BB591" s="498" t="str">
        <f t="shared" si="222"/>
        <v/>
      </c>
      <c r="BC591" s="743" t="str">
        <f t="shared" si="223"/>
        <v/>
      </c>
      <c r="BD591" s="743" t="str">
        <f t="shared" si="224"/>
        <v/>
      </c>
      <c r="BE591" s="743" t="str">
        <f>IF(D591="","",VLOOKUP(D591,'General Basis'!$J$39:$K$46,2,0))</f>
        <v/>
      </c>
      <c r="BF591" s="744" t="str">
        <f>IF(D591="","",VLOOKUP(D591,'General Basis'!$J$39:$L$46,3,0))</f>
        <v/>
      </c>
      <c r="BG591" s="744" t="str">
        <f t="shared" si="231"/>
        <v/>
      </c>
      <c r="BH591" s="744" t="str">
        <f>IF(G591="","",IF(BF591="Abu Dhabi",IF(G591&lt;18,'General Basis'!$C$39,IF(G591&lt;41,'General Basis'!$C$40,IF(G591&lt;60,'General Basis'!$C$41,IF(G591&lt;65,'General Basis'!$C$42,'General Basis'!$C$43)))),IF(G591&lt;11,'General Basis'!$B$39,IF(G591&lt;18,'General Basis'!$B$40,IF(G591&lt;26,'General Basis'!$B$41,IF(G591&lt;31,'General Basis'!$B$42,IF(G591&lt;36,'General Basis'!$B$43,IF(G591&lt;41,'General Basis'!$B$44,IF(G591&lt;46,'General Basis'!$B$45,IF(G591&lt;51,'General Basis'!$B$46,IF(G591&lt;56,'General Basis'!$B$47,IF(G591&lt;60,'General Basis'!$B$48,IF(G591&lt;65,'General Basis'!$B$49,'General Basis'!$B$50)))))))))))))</f>
        <v/>
      </c>
      <c r="BI591" s="744" t="str">
        <f t="shared" si="225"/>
        <v/>
      </c>
      <c r="BJ591" s="747" t="str">
        <f t="shared" si="232"/>
        <v/>
      </c>
      <c r="BK591" s="498" t="str">
        <f t="shared" si="226"/>
        <v/>
      </c>
      <c r="BL591" s="498" t="str">
        <f t="shared" si="227"/>
        <v/>
      </c>
    </row>
    <row r="592" spans="1:64" x14ac:dyDescent="0.25">
      <c r="A592" s="762">
        <f t="shared" si="228"/>
        <v>587</v>
      </c>
      <c r="B592" s="229"/>
      <c r="C592" s="223"/>
      <c r="D592" s="224"/>
      <c r="E592" s="225"/>
      <c r="F592" s="1036" t="str">
        <f t="shared" ref="F592:F655" si="234">IF(C592="","",IF($B592="","",((YEAR($F$3)-YEAR($B592))+(MONTH($F$3)-MONTH($B592))/12+(DAY($F$3)-DAY($B592))/(DATE(YEAR($F$3),12,31)-DATE(YEAR($F$3),1,1)+1))))</f>
        <v/>
      </c>
      <c r="G592" s="1037" t="str">
        <f t="shared" si="229"/>
        <v/>
      </c>
      <c r="H592" s="225"/>
      <c r="I592" s="1013"/>
      <c r="J592" s="1013"/>
      <c r="K592" s="1028"/>
      <c r="L592" s="1035" t="str">
        <f t="shared" si="233"/>
        <v/>
      </c>
      <c r="S592" s="498"/>
      <c r="AJ592" s="498"/>
      <c r="AM592" s="498">
        <f t="shared" si="214"/>
        <v>0</v>
      </c>
      <c r="AN592" s="498">
        <f t="shared" si="215"/>
        <v>0</v>
      </c>
      <c r="AO592" s="498">
        <f t="shared" si="216"/>
        <v>0</v>
      </c>
      <c r="AP592" s="498">
        <f t="shared" si="213"/>
        <v>0</v>
      </c>
      <c r="AQ592" s="498">
        <f t="shared" si="230"/>
        <v>0</v>
      </c>
      <c r="AU592" s="498">
        <f t="shared" si="217"/>
        <v>0</v>
      </c>
      <c r="AV592" s="498">
        <f t="shared" si="218"/>
        <v>0</v>
      </c>
      <c r="AW592" s="498">
        <f t="shared" si="219"/>
        <v>0</v>
      </c>
      <c r="AX592" s="498">
        <f t="shared" si="220"/>
        <v>0</v>
      </c>
      <c r="AY592" s="498">
        <f t="shared" si="221"/>
        <v>0</v>
      </c>
      <c r="BB592" s="498" t="str">
        <f t="shared" si="222"/>
        <v/>
      </c>
      <c r="BC592" s="743" t="str">
        <f t="shared" si="223"/>
        <v/>
      </c>
      <c r="BD592" s="743" t="str">
        <f t="shared" si="224"/>
        <v/>
      </c>
      <c r="BE592" s="743" t="str">
        <f>IF(D592="","",VLOOKUP(D592,'General Basis'!$J$39:$K$46,2,0))</f>
        <v/>
      </c>
      <c r="BF592" s="744" t="str">
        <f>IF(D592="","",VLOOKUP(D592,'General Basis'!$J$39:$L$46,3,0))</f>
        <v/>
      </c>
      <c r="BG592" s="744" t="str">
        <f t="shared" si="231"/>
        <v/>
      </c>
      <c r="BH592" s="744" t="str">
        <f>IF(G592="","",IF(BF592="Abu Dhabi",IF(G592&lt;18,'General Basis'!$C$39,IF(G592&lt;41,'General Basis'!$C$40,IF(G592&lt;60,'General Basis'!$C$41,IF(G592&lt;65,'General Basis'!$C$42,'General Basis'!$C$43)))),IF(G592&lt;11,'General Basis'!$B$39,IF(G592&lt;18,'General Basis'!$B$40,IF(G592&lt;26,'General Basis'!$B$41,IF(G592&lt;31,'General Basis'!$B$42,IF(G592&lt;36,'General Basis'!$B$43,IF(G592&lt;41,'General Basis'!$B$44,IF(G592&lt;46,'General Basis'!$B$45,IF(G592&lt;51,'General Basis'!$B$46,IF(G592&lt;56,'General Basis'!$B$47,IF(G592&lt;60,'General Basis'!$B$48,IF(G592&lt;65,'General Basis'!$B$49,'General Basis'!$B$50)))))))))))))</f>
        <v/>
      </c>
      <c r="BI592" s="744" t="str">
        <f t="shared" si="225"/>
        <v/>
      </c>
      <c r="BJ592" s="747" t="str">
        <f t="shared" si="232"/>
        <v/>
      </c>
      <c r="BK592" s="498" t="str">
        <f t="shared" si="226"/>
        <v/>
      </c>
      <c r="BL592" s="498" t="str">
        <f t="shared" si="227"/>
        <v/>
      </c>
    </row>
    <row r="593" spans="1:64" x14ac:dyDescent="0.25">
      <c r="A593" s="762">
        <f t="shared" si="228"/>
        <v>588</v>
      </c>
      <c r="B593" s="229"/>
      <c r="C593" s="223"/>
      <c r="D593" s="224"/>
      <c r="E593" s="225"/>
      <c r="F593" s="1036" t="str">
        <f t="shared" si="234"/>
        <v/>
      </c>
      <c r="G593" s="1037" t="str">
        <f t="shared" si="229"/>
        <v/>
      </c>
      <c r="H593" s="225"/>
      <c r="I593" s="1013"/>
      <c r="J593" s="1013"/>
      <c r="K593" s="1028"/>
      <c r="L593" s="1035" t="str">
        <f t="shared" si="233"/>
        <v/>
      </c>
      <c r="S593" s="498"/>
      <c r="AJ593" s="498"/>
      <c r="AM593" s="498">
        <f t="shared" si="214"/>
        <v>0</v>
      </c>
      <c r="AN593" s="498">
        <f t="shared" si="215"/>
        <v>0</v>
      </c>
      <c r="AO593" s="498">
        <f t="shared" si="216"/>
        <v>0</v>
      </c>
      <c r="AP593" s="498">
        <f t="shared" si="213"/>
        <v>0</v>
      </c>
      <c r="AQ593" s="498">
        <f t="shared" si="230"/>
        <v>0</v>
      </c>
      <c r="AU593" s="498">
        <f t="shared" si="217"/>
        <v>0</v>
      </c>
      <c r="AV593" s="498">
        <f t="shared" si="218"/>
        <v>0</v>
      </c>
      <c r="AW593" s="498">
        <f t="shared" si="219"/>
        <v>0</v>
      </c>
      <c r="AX593" s="498">
        <f t="shared" si="220"/>
        <v>0</v>
      </c>
      <c r="AY593" s="498">
        <f t="shared" si="221"/>
        <v>0</v>
      </c>
      <c r="BB593" s="498" t="str">
        <f t="shared" si="222"/>
        <v/>
      </c>
      <c r="BC593" s="743" t="str">
        <f t="shared" si="223"/>
        <v/>
      </c>
      <c r="BD593" s="743" t="str">
        <f t="shared" si="224"/>
        <v/>
      </c>
      <c r="BE593" s="743" t="str">
        <f>IF(D593="","",VLOOKUP(D593,'General Basis'!$J$39:$K$46,2,0))</f>
        <v/>
      </c>
      <c r="BF593" s="744" t="str">
        <f>IF(D593="","",VLOOKUP(D593,'General Basis'!$J$39:$L$46,3,0))</f>
        <v/>
      </c>
      <c r="BG593" s="744" t="str">
        <f t="shared" si="231"/>
        <v/>
      </c>
      <c r="BH593" s="744" t="str">
        <f>IF(G593="","",IF(BF593="Abu Dhabi",IF(G593&lt;18,'General Basis'!$C$39,IF(G593&lt;41,'General Basis'!$C$40,IF(G593&lt;60,'General Basis'!$C$41,IF(G593&lt;65,'General Basis'!$C$42,'General Basis'!$C$43)))),IF(G593&lt;11,'General Basis'!$B$39,IF(G593&lt;18,'General Basis'!$B$40,IF(G593&lt;26,'General Basis'!$B$41,IF(G593&lt;31,'General Basis'!$B$42,IF(G593&lt;36,'General Basis'!$B$43,IF(G593&lt;41,'General Basis'!$B$44,IF(G593&lt;46,'General Basis'!$B$45,IF(G593&lt;51,'General Basis'!$B$46,IF(G593&lt;56,'General Basis'!$B$47,IF(G593&lt;60,'General Basis'!$B$48,IF(G593&lt;65,'General Basis'!$B$49,'General Basis'!$B$50)))))))))))))</f>
        <v/>
      </c>
      <c r="BI593" s="744" t="str">
        <f t="shared" si="225"/>
        <v/>
      </c>
      <c r="BJ593" s="747" t="str">
        <f t="shared" si="232"/>
        <v/>
      </c>
      <c r="BK593" s="498" t="str">
        <f t="shared" si="226"/>
        <v/>
      </c>
      <c r="BL593" s="498" t="str">
        <f t="shared" si="227"/>
        <v/>
      </c>
    </row>
    <row r="594" spans="1:64" x14ac:dyDescent="0.25">
      <c r="A594" s="762">
        <f t="shared" si="228"/>
        <v>589</v>
      </c>
      <c r="B594" s="229"/>
      <c r="C594" s="223"/>
      <c r="D594" s="224"/>
      <c r="E594" s="225"/>
      <c r="F594" s="1036" t="str">
        <f t="shared" si="234"/>
        <v/>
      </c>
      <c r="G594" s="1037" t="str">
        <f t="shared" si="229"/>
        <v/>
      </c>
      <c r="H594" s="225"/>
      <c r="I594" s="1013"/>
      <c r="J594" s="1013"/>
      <c r="K594" s="1028"/>
      <c r="L594" s="1035" t="str">
        <f t="shared" si="233"/>
        <v/>
      </c>
      <c r="S594" s="498"/>
      <c r="AJ594" s="498"/>
      <c r="AM594" s="498">
        <f t="shared" si="214"/>
        <v>0</v>
      </c>
      <c r="AN594" s="498">
        <f t="shared" si="215"/>
        <v>0</v>
      </c>
      <c r="AO594" s="498">
        <f t="shared" si="216"/>
        <v>0</v>
      </c>
      <c r="AP594" s="498">
        <f t="shared" si="213"/>
        <v>0</v>
      </c>
      <c r="AQ594" s="498">
        <f t="shared" si="230"/>
        <v>0</v>
      </c>
      <c r="AU594" s="498">
        <f t="shared" si="217"/>
        <v>0</v>
      </c>
      <c r="AV594" s="498">
        <f t="shared" si="218"/>
        <v>0</v>
      </c>
      <c r="AW594" s="498">
        <f t="shared" si="219"/>
        <v>0</v>
      </c>
      <c r="AX594" s="498">
        <f t="shared" si="220"/>
        <v>0</v>
      </c>
      <c r="AY594" s="498">
        <f t="shared" si="221"/>
        <v>0</v>
      </c>
      <c r="BB594" s="498" t="str">
        <f t="shared" si="222"/>
        <v/>
      </c>
      <c r="BC594" s="743" t="str">
        <f t="shared" si="223"/>
        <v/>
      </c>
      <c r="BD594" s="743" t="str">
        <f t="shared" si="224"/>
        <v/>
      </c>
      <c r="BE594" s="743" t="str">
        <f>IF(D594="","",VLOOKUP(D594,'General Basis'!$J$39:$K$46,2,0))</f>
        <v/>
      </c>
      <c r="BF594" s="744" t="str">
        <f>IF(D594="","",VLOOKUP(D594,'General Basis'!$J$39:$L$46,3,0))</f>
        <v/>
      </c>
      <c r="BG594" s="744" t="str">
        <f t="shared" si="231"/>
        <v/>
      </c>
      <c r="BH594" s="744" t="str">
        <f>IF(G594="","",IF(BF594="Abu Dhabi",IF(G594&lt;18,'General Basis'!$C$39,IF(G594&lt;41,'General Basis'!$C$40,IF(G594&lt;60,'General Basis'!$C$41,IF(G594&lt;65,'General Basis'!$C$42,'General Basis'!$C$43)))),IF(G594&lt;11,'General Basis'!$B$39,IF(G594&lt;18,'General Basis'!$B$40,IF(G594&lt;26,'General Basis'!$B$41,IF(G594&lt;31,'General Basis'!$B$42,IF(G594&lt;36,'General Basis'!$B$43,IF(G594&lt;41,'General Basis'!$B$44,IF(G594&lt;46,'General Basis'!$B$45,IF(G594&lt;51,'General Basis'!$B$46,IF(G594&lt;56,'General Basis'!$B$47,IF(G594&lt;60,'General Basis'!$B$48,IF(G594&lt;65,'General Basis'!$B$49,'General Basis'!$B$50)))))))))))))</f>
        <v/>
      </c>
      <c r="BI594" s="744" t="str">
        <f t="shared" si="225"/>
        <v/>
      </c>
      <c r="BJ594" s="747" t="str">
        <f t="shared" si="232"/>
        <v/>
      </c>
      <c r="BK594" s="498" t="str">
        <f t="shared" si="226"/>
        <v/>
      </c>
      <c r="BL594" s="498" t="str">
        <f t="shared" si="227"/>
        <v/>
      </c>
    </row>
    <row r="595" spans="1:64" x14ac:dyDescent="0.25">
      <c r="A595" s="762">
        <f t="shared" si="228"/>
        <v>590</v>
      </c>
      <c r="B595" s="229"/>
      <c r="C595" s="223"/>
      <c r="D595" s="224"/>
      <c r="E595" s="225"/>
      <c r="F595" s="1036" t="str">
        <f t="shared" si="234"/>
        <v/>
      </c>
      <c r="G595" s="1037" t="str">
        <f t="shared" si="229"/>
        <v/>
      </c>
      <c r="H595" s="225"/>
      <c r="I595" s="1013"/>
      <c r="J595" s="1013"/>
      <c r="K595" s="1028"/>
      <c r="L595" s="1035" t="str">
        <f t="shared" si="233"/>
        <v/>
      </c>
      <c r="S595" s="498"/>
      <c r="AJ595" s="498"/>
      <c r="AM595" s="498">
        <f t="shared" si="214"/>
        <v>0</v>
      </c>
      <c r="AN595" s="498">
        <f t="shared" si="215"/>
        <v>0</v>
      </c>
      <c r="AO595" s="498">
        <f t="shared" si="216"/>
        <v>0</v>
      </c>
      <c r="AP595" s="498">
        <f t="shared" ref="AP595:AP658" si="235">IF(ISBLANK($B595),0,IF(OR($C595="M",$C595="F"),0,1))</f>
        <v>0</v>
      </c>
      <c r="AQ595" s="498">
        <f t="shared" si="230"/>
        <v>0</v>
      </c>
      <c r="AU595" s="498">
        <f t="shared" si="217"/>
        <v>0</v>
      </c>
      <c r="AV595" s="498">
        <f t="shared" si="218"/>
        <v>0</v>
      </c>
      <c r="AW595" s="498">
        <f t="shared" si="219"/>
        <v>0</v>
      </c>
      <c r="AX595" s="498">
        <f t="shared" si="220"/>
        <v>0</v>
      </c>
      <c r="AY595" s="498">
        <f t="shared" si="221"/>
        <v>0</v>
      </c>
      <c r="BB595" s="498" t="str">
        <f t="shared" si="222"/>
        <v/>
      </c>
      <c r="BC595" s="743" t="str">
        <f t="shared" si="223"/>
        <v/>
      </c>
      <c r="BD595" s="743" t="str">
        <f t="shared" si="224"/>
        <v/>
      </c>
      <c r="BE595" s="743" t="str">
        <f>IF(D595="","",VLOOKUP(D595,'General Basis'!$J$39:$K$46,2,0))</f>
        <v/>
      </c>
      <c r="BF595" s="744" t="str">
        <f>IF(D595="","",VLOOKUP(D595,'General Basis'!$J$39:$L$46,3,0))</f>
        <v/>
      </c>
      <c r="BG595" s="744" t="str">
        <f t="shared" si="231"/>
        <v/>
      </c>
      <c r="BH595" s="744" t="str">
        <f>IF(G595="","",IF(BF595="Abu Dhabi",IF(G595&lt;18,'General Basis'!$C$39,IF(G595&lt;41,'General Basis'!$C$40,IF(G595&lt;60,'General Basis'!$C$41,IF(G595&lt;65,'General Basis'!$C$42,'General Basis'!$C$43)))),IF(G595&lt;11,'General Basis'!$B$39,IF(G595&lt;18,'General Basis'!$B$40,IF(G595&lt;26,'General Basis'!$B$41,IF(G595&lt;31,'General Basis'!$B$42,IF(G595&lt;36,'General Basis'!$B$43,IF(G595&lt;41,'General Basis'!$B$44,IF(G595&lt;46,'General Basis'!$B$45,IF(G595&lt;51,'General Basis'!$B$46,IF(G595&lt;56,'General Basis'!$B$47,IF(G595&lt;60,'General Basis'!$B$48,IF(G595&lt;65,'General Basis'!$B$49,'General Basis'!$B$50)))))))))))))</f>
        <v/>
      </c>
      <c r="BI595" s="744" t="str">
        <f t="shared" si="225"/>
        <v/>
      </c>
      <c r="BJ595" s="747" t="str">
        <f t="shared" si="232"/>
        <v/>
      </c>
      <c r="BK595" s="498" t="str">
        <f t="shared" si="226"/>
        <v/>
      </c>
      <c r="BL595" s="498" t="str">
        <f t="shared" si="227"/>
        <v/>
      </c>
    </row>
    <row r="596" spans="1:64" x14ac:dyDescent="0.25">
      <c r="A596" s="762">
        <f t="shared" si="228"/>
        <v>591</v>
      </c>
      <c r="B596" s="229"/>
      <c r="C596" s="223"/>
      <c r="D596" s="224"/>
      <c r="E596" s="225"/>
      <c r="F596" s="1036" t="str">
        <f t="shared" si="234"/>
        <v/>
      </c>
      <c r="G596" s="1037" t="str">
        <f t="shared" si="229"/>
        <v/>
      </c>
      <c r="H596" s="225"/>
      <c r="I596" s="1013"/>
      <c r="J596" s="1013"/>
      <c r="K596" s="1028"/>
      <c r="L596" s="1035" t="str">
        <f t="shared" si="233"/>
        <v/>
      </c>
      <c r="S596" s="498"/>
      <c r="AJ596" s="498"/>
      <c r="AM596" s="498">
        <f t="shared" si="214"/>
        <v>0</v>
      </c>
      <c r="AN596" s="498">
        <f t="shared" si="215"/>
        <v>0</v>
      </c>
      <c r="AO596" s="498">
        <f t="shared" si="216"/>
        <v>0</v>
      </c>
      <c r="AP596" s="498">
        <f t="shared" si="235"/>
        <v>0</v>
      </c>
      <c r="AQ596" s="498">
        <f t="shared" si="230"/>
        <v>0</v>
      </c>
      <c r="AU596" s="498">
        <f t="shared" si="217"/>
        <v>0</v>
      </c>
      <c r="AV596" s="498">
        <f t="shared" si="218"/>
        <v>0</v>
      </c>
      <c r="AW596" s="498">
        <f t="shared" si="219"/>
        <v>0</v>
      </c>
      <c r="AX596" s="498">
        <f t="shared" si="220"/>
        <v>0</v>
      </c>
      <c r="AY596" s="498">
        <f t="shared" si="221"/>
        <v>0</v>
      </c>
      <c r="BB596" s="498" t="str">
        <f t="shared" si="222"/>
        <v/>
      </c>
      <c r="BC596" s="743" t="str">
        <f t="shared" si="223"/>
        <v/>
      </c>
      <c r="BD596" s="743" t="str">
        <f t="shared" si="224"/>
        <v/>
      </c>
      <c r="BE596" s="743" t="str">
        <f>IF(D596="","",VLOOKUP(D596,'General Basis'!$J$39:$K$46,2,0))</f>
        <v/>
      </c>
      <c r="BF596" s="744" t="str">
        <f>IF(D596="","",VLOOKUP(D596,'General Basis'!$J$39:$L$46,3,0))</f>
        <v/>
      </c>
      <c r="BG596" s="744" t="str">
        <f t="shared" si="231"/>
        <v/>
      </c>
      <c r="BH596" s="744" t="str">
        <f>IF(G596="","",IF(BF596="Abu Dhabi",IF(G596&lt;18,'General Basis'!$C$39,IF(G596&lt;41,'General Basis'!$C$40,IF(G596&lt;60,'General Basis'!$C$41,IF(G596&lt;65,'General Basis'!$C$42,'General Basis'!$C$43)))),IF(G596&lt;11,'General Basis'!$B$39,IF(G596&lt;18,'General Basis'!$B$40,IF(G596&lt;26,'General Basis'!$B$41,IF(G596&lt;31,'General Basis'!$B$42,IF(G596&lt;36,'General Basis'!$B$43,IF(G596&lt;41,'General Basis'!$B$44,IF(G596&lt;46,'General Basis'!$B$45,IF(G596&lt;51,'General Basis'!$B$46,IF(G596&lt;56,'General Basis'!$B$47,IF(G596&lt;60,'General Basis'!$B$48,IF(G596&lt;65,'General Basis'!$B$49,'General Basis'!$B$50)))))))))))))</f>
        <v/>
      </c>
      <c r="BI596" s="744" t="str">
        <f t="shared" si="225"/>
        <v/>
      </c>
      <c r="BJ596" s="747" t="str">
        <f t="shared" si="232"/>
        <v/>
      </c>
      <c r="BK596" s="498" t="str">
        <f t="shared" si="226"/>
        <v/>
      </c>
      <c r="BL596" s="498" t="str">
        <f t="shared" si="227"/>
        <v/>
      </c>
    </row>
    <row r="597" spans="1:64" x14ac:dyDescent="0.25">
      <c r="A597" s="762">
        <f t="shared" si="228"/>
        <v>592</v>
      </c>
      <c r="B597" s="229"/>
      <c r="C597" s="223"/>
      <c r="D597" s="224"/>
      <c r="E597" s="225"/>
      <c r="F597" s="1036" t="str">
        <f t="shared" si="234"/>
        <v/>
      </c>
      <c r="G597" s="1037" t="str">
        <f t="shared" si="229"/>
        <v/>
      </c>
      <c r="H597" s="225"/>
      <c r="I597" s="1013"/>
      <c r="J597" s="1013"/>
      <c r="K597" s="1028"/>
      <c r="L597" s="1035" t="str">
        <f t="shared" si="233"/>
        <v/>
      </c>
      <c r="S597" s="498"/>
      <c r="AJ597" s="498"/>
      <c r="AM597" s="498">
        <f t="shared" si="214"/>
        <v>0</v>
      </c>
      <c r="AN597" s="498">
        <f t="shared" si="215"/>
        <v>0</v>
      </c>
      <c r="AO597" s="498">
        <f t="shared" si="216"/>
        <v>0</v>
      </c>
      <c r="AP597" s="498">
        <f t="shared" si="235"/>
        <v>0</v>
      </c>
      <c r="AQ597" s="498">
        <f t="shared" si="230"/>
        <v>0</v>
      </c>
      <c r="AU597" s="498">
        <f t="shared" si="217"/>
        <v>0</v>
      </c>
      <c r="AV597" s="498">
        <f t="shared" si="218"/>
        <v>0</v>
      </c>
      <c r="AW597" s="498">
        <f t="shared" si="219"/>
        <v>0</v>
      </c>
      <c r="AX597" s="498">
        <f t="shared" si="220"/>
        <v>0</v>
      </c>
      <c r="AY597" s="498">
        <f t="shared" si="221"/>
        <v>0</v>
      </c>
      <c r="BB597" s="498" t="str">
        <f t="shared" si="222"/>
        <v/>
      </c>
      <c r="BC597" s="743" t="str">
        <f t="shared" si="223"/>
        <v/>
      </c>
      <c r="BD597" s="743" t="str">
        <f t="shared" si="224"/>
        <v/>
      </c>
      <c r="BE597" s="743" t="str">
        <f>IF(D597="","",VLOOKUP(D597,'General Basis'!$J$39:$K$46,2,0))</f>
        <v/>
      </c>
      <c r="BF597" s="744" t="str">
        <f>IF(D597="","",VLOOKUP(D597,'General Basis'!$J$39:$L$46,3,0))</f>
        <v/>
      </c>
      <c r="BG597" s="744" t="str">
        <f t="shared" si="231"/>
        <v/>
      </c>
      <c r="BH597" s="744" t="str">
        <f>IF(G597="","",IF(BF597="Abu Dhabi",IF(G597&lt;18,'General Basis'!$C$39,IF(G597&lt;41,'General Basis'!$C$40,IF(G597&lt;60,'General Basis'!$C$41,IF(G597&lt;65,'General Basis'!$C$42,'General Basis'!$C$43)))),IF(G597&lt;11,'General Basis'!$B$39,IF(G597&lt;18,'General Basis'!$B$40,IF(G597&lt;26,'General Basis'!$B$41,IF(G597&lt;31,'General Basis'!$B$42,IF(G597&lt;36,'General Basis'!$B$43,IF(G597&lt;41,'General Basis'!$B$44,IF(G597&lt;46,'General Basis'!$B$45,IF(G597&lt;51,'General Basis'!$B$46,IF(G597&lt;56,'General Basis'!$B$47,IF(G597&lt;60,'General Basis'!$B$48,IF(G597&lt;65,'General Basis'!$B$49,'General Basis'!$B$50)))))))))))))</f>
        <v/>
      </c>
      <c r="BI597" s="744" t="str">
        <f t="shared" si="225"/>
        <v/>
      </c>
      <c r="BJ597" s="747" t="str">
        <f t="shared" si="232"/>
        <v/>
      </c>
      <c r="BK597" s="498" t="str">
        <f t="shared" si="226"/>
        <v/>
      </c>
      <c r="BL597" s="498" t="str">
        <f t="shared" si="227"/>
        <v/>
      </c>
    </row>
    <row r="598" spans="1:64" x14ac:dyDescent="0.25">
      <c r="A598" s="762">
        <f t="shared" si="228"/>
        <v>593</v>
      </c>
      <c r="B598" s="229"/>
      <c r="C598" s="223"/>
      <c r="D598" s="224"/>
      <c r="E598" s="225"/>
      <c r="F598" s="1036" t="str">
        <f t="shared" si="234"/>
        <v/>
      </c>
      <c r="G598" s="1037" t="str">
        <f t="shared" si="229"/>
        <v/>
      </c>
      <c r="H598" s="225"/>
      <c r="I598" s="1013"/>
      <c r="J598" s="1013"/>
      <c r="K598" s="1028"/>
      <c r="L598" s="1035" t="str">
        <f t="shared" si="233"/>
        <v/>
      </c>
      <c r="S598" s="498"/>
      <c r="AJ598" s="498"/>
      <c r="AM598" s="498">
        <f t="shared" si="214"/>
        <v>0</v>
      </c>
      <c r="AN598" s="498">
        <f t="shared" si="215"/>
        <v>0</v>
      </c>
      <c r="AO598" s="498">
        <f t="shared" si="216"/>
        <v>0</v>
      </c>
      <c r="AP598" s="498">
        <f t="shared" si="235"/>
        <v>0</v>
      </c>
      <c r="AQ598" s="498">
        <f t="shared" si="230"/>
        <v>0</v>
      </c>
      <c r="AU598" s="498">
        <f t="shared" si="217"/>
        <v>0</v>
      </c>
      <c r="AV598" s="498">
        <f t="shared" si="218"/>
        <v>0</v>
      </c>
      <c r="AW598" s="498">
        <f t="shared" si="219"/>
        <v>0</v>
      </c>
      <c r="AX598" s="498">
        <f t="shared" si="220"/>
        <v>0</v>
      </c>
      <c r="AY598" s="498">
        <f t="shared" si="221"/>
        <v>0</v>
      </c>
      <c r="BB598" s="498" t="str">
        <f t="shared" si="222"/>
        <v/>
      </c>
      <c r="BC598" s="743" t="str">
        <f t="shared" si="223"/>
        <v/>
      </c>
      <c r="BD598" s="743" t="str">
        <f t="shared" si="224"/>
        <v/>
      </c>
      <c r="BE598" s="743" t="str">
        <f>IF(D598="","",VLOOKUP(D598,'General Basis'!$J$39:$K$46,2,0))</f>
        <v/>
      </c>
      <c r="BF598" s="744" t="str">
        <f>IF(D598="","",VLOOKUP(D598,'General Basis'!$J$39:$L$46,3,0))</f>
        <v/>
      </c>
      <c r="BG598" s="744" t="str">
        <f t="shared" si="231"/>
        <v/>
      </c>
      <c r="BH598" s="744" t="str">
        <f>IF(G598="","",IF(BF598="Abu Dhabi",IF(G598&lt;18,'General Basis'!$C$39,IF(G598&lt;41,'General Basis'!$C$40,IF(G598&lt;60,'General Basis'!$C$41,IF(G598&lt;65,'General Basis'!$C$42,'General Basis'!$C$43)))),IF(G598&lt;11,'General Basis'!$B$39,IF(G598&lt;18,'General Basis'!$B$40,IF(G598&lt;26,'General Basis'!$B$41,IF(G598&lt;31,'General Basis'!$B$42,IF(G598&lt;36,'General Basis'!$B$43,IF(G598&lt;41,'General Basis'!$B$44,IF(G598&lt;46,'General Basis'!$B$45,IF(G598&lt;51,'General Basis'!$B$46,IF(G598&lt;56,'General Basis'!$B$47,IF(G598&lt;60,'General Basis'!$B$48,IF(G598&lt;65,'General Basis'!$B$49,'General Basis'!$B$50)))))))))))))</f>
        <v/>
      </c>
      <c r="BI598" s="744" t="str">
        <f t="shared" si="225"/>
        <v/>
      </c>
      <c r="BJ598" s="747" t="str">
        <f t="shared" si="232"/>
        <v/>
      </c>
      <c r="BK598" s="498" t="str">
        <f t="shared" si="226"/>
        <v/>
      </c>
      <c r="BL598" s="498" t="str">
        <f t="shared" si="227"/>
        <v/>
      </c>
    </row>
    <row r="599" spans="1:64" x14ac:dyDescent="0.25">
      <c r="A599" s="762">
        <f t="shared" si="228"/>
        <v>594</v>
      </c>
      <c r="B599" s="229"/>
      <c r="C599" s="223"/>
      <c r="D599" s="224"/>
      <c r="E599" s="225"/>
      <c r="F599" s="1036" t="str">
        <f t="shared" si="234"/>
        <v/>
      </c>
      <c r="G599" s="1037" t="str">
        <f t="shared" si="229"/>
        <v/>
      </c>
      <c r="H599" s="225"/>
      <c r="I599" s="1013"/>
      <c r="J599" s="1013"/>
      <c r="K599" s="1028"/>
      <c r="L599" s="1035" t="str">
        <f t="shared" si="233"/>
        <v/>
      </c>
      <c r="S599" s="498"/>
      <c r="AJ599" s="498"/>
      <c r="AM599" s="498">
        <f t="shared" si="214"/>
        <v>0</v>
      </c>
      <c r="AN599" s="498">
        <f t="shared" si="215"/>
        <v>0</v>
      </c>
      <c r="AO599" s="498">
        <f t="shared" si="216"/>
        <v>0</v>
      </c>
      <c r="AP599" s="498">
        <f t="shared" si="235"/>
        <v>0</v>
      </c>
      <c r="AQ599" s="498">
        <f t="shared" si="230"/>
        <v>0</v>
      </c>
      <c r="AU599" s="498">
        <f t="shared" si="217"/>
        <v>0</v>
      </c>
      <c r="AV599" s="498">
        <f t="shared" si="218"/>
        <v>0</v>
      </c>
      <c r="AW599" s="498">
        <f t="shared" si="219"/>
        <v>0</v>
      </c>
      <c r="AX599" s="498">
        <f t="shared" si="220"/>
        <v>0</v>
      </c>
      <c r="AY599" s="498">
        <f t="shared" si="221"/>
        <v>0</v>
      </c>
      <c r="BB599" s="498" t="str">
        <f t="shared" si="222"/>
        <v/>
      </c>
      <c r="BC599" s="743" t="str">
        <f t="shared" si="223"/>
        <v/>
      </c>
      <c r="BD599" s="743" t="str">
        <f t="shared" si="224"/>
        <v/>
      </c>
      <c r="BE599" s="743" t="str">
        <f>IF(D599="","",VLOOKUP(D599,'General Basis'!$J$39:$K$46,2,0))</f>
        <v/>
      </c>
      <c r="BF599" s="744" t="str">
        <f>IF(D599="","",VLOOKUP(D599,'General Basis'!$J$39:$L$46,3,0))</f>
        <v/>
      </c>
      <c r="BG599" s="744" t="str">
        <f t="shared" si="231"/>
        <v/>
      </c>
      <c r="BH599" s="744" t="str">
        <f>IF(G599="","",IF(BF599="Abu Dhabi",IF(G599&lt;18,'General Basis'!$C$39,IF(G599&lt;41,'General Basis'!$C$40,IF(G599&lt;60,'General Basis'!$C$41,IF(G599&lt;65,'General Basis'!$C$42,'General Basis'!$C$43)))),IF(G599&lt;11,'General Basis'!$B$39,IF(G599&lt;18,'General Basis'!$B$40,IF(G599&lt;26,'General Basis'!$B$41,IF(G599&lt;31,'General Basis'!$B$42,IF(G599&lt;36,'General Basis'!$B$43,IF(G599&lt;41,'General Basis'!$B$44,IF(G599&lt;46,'General Basis'!$B$45,IF(G599&lt;51,'General Basis'!$B$46,IF(G599&lt;56,'General Basis'!$B$47,IF(G599&lt;60,'General Basis'!$B$48,IF(G599&lt;65,'General Basis'!$B$49,'General Basis'!$B$50)))))))))))))</f>
        <v/>
      </c>
      <c r="BI599" s="744" t="str">
        <f t="shared" si="225"/>
        <v/>
      </c>
      <c r="BJ599" s="747" t="str">
        <f t="shared" si="232"/>
        <v/>
      </c>
      <c r="BK599" s="498" t="str">
        <f t="shared" si="226"/>
        <v/>
      </c>
      <c r="BL599" s="498" t="str">
        <f t="shared" si="227"/>
        <v/>
      </c>
    </row>
    <row r="600" spans="1:64" x14ac:dyDescent="0.25">
      <c r="A600" s="762">
        <f t="shared" si="228"/>
        <v>595</v>
      </c>
      <c r="B600" s="229"/>
      <c r="C600" s="223"/>
      <c r="D600" s="224"/>
      <c r="E600" s="225"/>
      <c r="F600" s="1036" t="str">
        <f t="shared" si="234"/>
        <v/>
      </c>
      <c r="G600" s="1037" t="str">
        <f t="shared" si="229"/>
        <v/>
      </c>
      <c r="H600" s="225"/>
      <c r="I600" s="1013"/>
      <c r="J600" s="1013"/>
      <c r="K600" s="1028"/>
      <c r="L600" s="1035" t="str">
        <f t="shared" si="233"/>
        <v/>
      </c>
      <c r="S600" s="498"/>
      <c r="AJ600" s="498"/>
      <c r="AM600" s="498">
        <f t="shared" si="214"/>
        <v>0</v>
      </c>
      <c r="AN600" s="498">
        <f t="shared" si="215"/>
        <v>0</v>
      </c>
      <c r="AO600" s="498">
        <f t="shared" si="216"/>
        <v>0</v>
      </c>
      <c r="AP600" s="498">
        <f t="shared" si="235"/>
        <v>0</v>
      </c>
      <c r="AQ600" s="498">
        <f t="shared" si="230"/>
        <v>0</v>
      </c>
      <c r="AU600" s="498">
        <f t="shared" si="217"/>
        <v>0</v>
      </c>
      <c r="AV600" s="498">
        <f t="shared" si="218"/>
        <v>0</v>
      </c>
      <c r="AW600" s="498">
        <f t="shared" si="219"/>
        <v>0</v>
      </c>
      <c r="AX600" s="498">
        <f t="shared" si="220"/>
        <v>0</v>
      </c>
      <c r="AY600" s="498">
        <f t="shared" si="221"/>
        <v>0</v>
      </c>
      <c r="BB600" s="498" t="str">
        <f t="shared" si="222"/>
        <v/>
      </c>
      <c r="BC600" s="743" t="str">
        <f t="shared" si="223"/>
        <v/>
      </c>
      <c r="BD600" s="743" t="str">
        <f t="shared" si="224"/>
        <v/>
      </c>
      <c r="BE600" s="743" t="str">
        <f>IF(D600="","",VLOOKUP(D600,'General Basis'!$J$39:$K$46,2,0))</f>
        <v/>
      </c>
      <c r="BF600" s="744" t="str">
        <f>IF(D600="","",VLOOKUP(D600,'General Basis'!$J$39:$L$46,3,0))</f>
        <v/>
      </c>
      <c r="BG600" s="744" t="str">
        <f t="shared" si="231"/>
        <v/>
      </c>
      <c r="BH600" s="744" t="str">
        <f>IF(G600="","",IF(BF600="Abu Dhabi",IF(G600&lt;18,'General Basis'!$C$39,IF(G600&lt;41,'General Basis'!$C$40,IF(G600&lt;60,'General Basis'!$C$41,IF(G600&lt;65,'General Basis'!$C$42,'General Basis'!$C$43)))),IF(G600&lt;11,'General Basis'!$B$39,IF(G600&lt;18,'General Basis'!$B$40,IF(G600&lt;26,'General Basis'!$B$41,IF(G600&lt;31,'General Basis'!$B$42,IF(G600&lt;36,'General Basis'!$B$43,IF(G600&lt;41,'General Basis'!$B$44,IF(G600&lt;46,'General Basis'!$B$45,IF(G600&lt;51,'General Basis'!$B$46,IF(G600&lt;56,'General Basis'!$B$47,IF(G600&lt;60,'General Basis'!$B$48,IF(G600&lt;65,'General Basis'!$B$49,'General Basis'!$B$50)))))))))))))</f>
        <v/>
      </c>
      <c r="BI600" s="744" t="str">
        <f t="shared" si="225"/>
        <v/>
      </c>
      <c r="BJ600" s="747" t="str">
        <f t="shared" si="232"/>
        <v/>
      </c>
      <c r="BK600" s="498" t="str">
        <f t="shared" si="226"/>
        <v/>
      </c>
      <c r="BL600" s="498" t="str">
        <f t="shared" si="227"/>
        <v/>
      </c>
    </row>
    <row r="601" spans="1:64" x14ac:dyDescent="0.25">
      <c r="A601" s="762">
        <f t="shared" si="228"/>
        <v>596</v>
      </c>
      <c r="B601" s="229"/>
      <c r="C601" s="223"/>
      <c r="D601" s="224"/>
      <c r="E601" s="225"/>
      <c r="F601" s="1036" t="str">
        <f t="shared" si="234"/>
        <v/>
      </c>
      <c r="G601" s="1037" t="str">
        <f t="shared" si="229"/>
        <v/>
      </c>
      <c r="H601" s="225"/>
      <c r="I601" s="1013"/>
      <c r="J601" s="1013"/>
      <c r="K601" s="1028"/>
      <c r="L601" s="1035" t="str">
        <f t="shared" si="233"/>
        <v/>
      </c>
      <c r="S601" s="498"/>
      <c r="AJ601" s="498"/>
      <c r="AM601" s="498">
        <f t="shared" si="214"/>
        <v>0</v>
      </c>
      <c r="AN601" s="498">
        <f t="shared" si="215"/>
        <v>0</v>
      </c>
      <c r="AO601" s="498">
        <f t="shared" si="216"/>
        <v>0</v>
      </c>
      <c r="AP601" s="498">
        <f t="shared" si="235"/>
        <v>0</v>
      </c>
      <c r="AQ601" s="498">
        <f t="shared" si="230"/>
        <v>0</v>
      </c>
      <c r="AU601" s="498">
        <f t="shared" si="217"/>
        <v>0</v>
      </c>
      <c r="AV601" s="498">
        <f t="shared" si="218"/>
        <v>0</v>
      </c>
      <c r="AW601" s="498">
        <f t="shared" si="219"/>
        <v>0</v>
      </c>
      <c r="AX601" s="498">
        <f t="shared" si="220"/>
        <v>0</v>
      </c>
      <c r="AY601" s="498">
        <f t="shared" si="221"/>
        <v>0</v>
      </c>
      <c r="BB601" s="498" t="str">
        <f t="shared" si="222"/>
        <v/>
      </c>
      <c r="BC601" s="743" t="str">
        <f t="shared" si="223"/>
        <v/>
      </c>
      <c r="BD601" s="743" t="str">
        <f t="shared" si="224"/>
        <v/>
      </c>
      <c r="BE601" s="743" t="str">
        <f>IF(D601="","",VLOOKUP(D601,'General Basis'!$J$39:$K$46,2,0))</f>
        <v/>
      </c>
      <c r="BF601" s="744" t="str">
        <f>IF(D601="","",VLOOKUP(D601,'General Basis'!$J$39:$L$46,3,0))</f>
        <v/>
      </c>
      <c r="BG601" s="744" t="str">
        <f t="shared" si="231"/>
        <v/>
      </c>
      <c r="BH601" s="744" t="str">
        <f>IF(G601="","",IF(BF601="Abu Dhabi",IF(G601&lt;18,'General Basis'!$C$39,IF(G601&lt;41,'General Basis'!$C$40,IF(G601&lt;60,'General Basis'!$C$41,IF(G601&lt;65,'General Basis'!$C$42,'General Basis'!$C$43)))),IF(G601&lt;11,'General Basis'!$B$39,IF(G601&lt;18,'General Basis'!$B$40,IF(G601&lt;26,'General Basis'!$B$41,IF(G601&lt;31,'General Basis'!$B$42,IF(G601&lt;36,'General Basis'!$B$43,IF(G601&lt;41,'General Basis'!$B$44,IF(G601&lt;46,'General Basis'!$B$45,IF(G601&lt;51,'General Basis'!$B$46,IF(G601&lt;56,'General Basis'!$B$47,IF(G601&lt;60,'General Basis'!$B$48,IF(G601&lt;65,'General Basis'!$B$49,'General Basis'!$B$50)))))))))))))</f>
        <v/>
      </c>
      <c r="BI601" s="744" t="str">
        <f t="shared" si="225"/>
        <v/>
      </c>
      <c r="BJ601" s="747" t="str">
        <f t="shared" si="232"/>
        <v/>
      </c>
      <c r="BK601" s="498" t="str">
        <f t="shared" si="226"/>
        <v/>
      </c>
      <c r="BL601" s="498" t="str">
        <f t="shared" si="227"/>
        <v/>
      </c>
    </row>
    <row r="602" spans="1:64" x14ac:dyDescent="0.25">
      <c r="A602" s="762">
        <f t="shared" si="228"/>
        <v>597</v>
      </c>
      <c r="B602" s="229"/>
      <c r="C602" s="223"/>
      <c r="D602" s="224"/>
      <c r="E602" s="225"/>
      <c r="F602" s="1036" t="str">
        <f t="shared" si="234"/>
        <v/>
      </c>
      <c r="G602" s="1037" t="str">
        <f t="shared" si="229"/>
        <v/>
      </c>
      <c r="H602" s="225"/>
      <c r="I602" s="1013"/>
      <c r="J602" s="1013"/>
      <c r="K602" s="1028"/>
      <c r="L602" s="1035" t="str">
        <f t="shared" si="233"/>
        <v/>
      </c>
      <c r="S602" s="498"/>
      <c r="AJ602" s="498"/>
      <c r="AM602" s="498">
        <f t="shared" si="214"/>
        <v>0</v>
      </c>
      <c r="AN602" s="498">
        <f t="shared" si="215"/>
        <v>0</v>
      </c>
      <c r="AO602" s="498">
        <f t="shared" si="216"/>
        <v>0</v>
      </c>
      <c r="AP602" s="498">
        <f t="shared" si="235"/>
        <v>0</v>
      </c>
      <c r="AQ602" s="498">
        <f t="shared" si="230"/>
        <v>0</v>
      </c>
      <c r="AU602" s="498">
        <f t="shared" si="217"/>
        <v>0</v>
      </c>
      <c r="AV602" s="498">
        <f t="shared" si="218"/>
        <v>0</v>
      </c>
      <c r="AW602" s="498">
        <f t="shared" si="219"/>
        <v>0</v>
      </c>
      <c r="AX602" s="498">
        <f t="shared" si="220"/>
        <v>0</v>
      </c>
      <c r="AY602" s="498">
        <f t="shared" si="221"/>
        <v>0</v>
      </c>
      <c r="BB602" s="498" t="str">
        <f t="shared" si="222"/>
        <v/>
      </c>
      <c r="BC602" s="743" t="str">
        <f t="shared" si="223"/>
        <v/>
      </c>
      <c r="BD602" s="743" t="str">
        <f t="shared" si="224"/>
        <v/>
      </c>
      <c r="BE602" s="743" t="str">
        <f>IF(D602="","",VLOOKUP(D602,'General Basis'!$J$39:$K$46,2,0))</f>
        <v/>
      </c>
      <c r="BF602" s="744" t="str">
        <f>IF(D602="","",VLOOKUP(D602,'General Basis'!$J$39:$L$46,3,0))</f>
        <v/>
      </c>
      <c r="BG602" s="744" t="str">
        <f t="shared" si="231"/>
        <v/>
      </c>
      <c r="BH602" s="744" t="str">
        <f>IF(G602="","",IF(BF602="Abu Dhabi",IF(G602&lt;18,'General Basis'!$C$39,IF(G602&lt;41,'General Basis'!$C$40,IF(G602&lt;60,'General Basis'!$C$41,IF(G602&lt;65,'General Basis'!$C$42,'General Basis'!$C$43)))),IF(G602&lt;11,'General Basis'!$B$39,IF(G602&lt;18,'General Basis'!$B$40,IF(G602&lt;26,'General Basis'!$B$41,IF(G602&lt;31,'General Basis'!$B$42,IF(G602&lt;36,'General Basis'!$B$43,IF(G602&lt;41,'General Basis'!$B$44,IF(G602&lt;46,'General Basis'!$B$45,IF(G602&lt;51,'General Basis'!$B$46,IF(G602&lt;56,'General Basis'!$B$47,IF(G602&lt;60,'General Basis'!$B$48,IF(G602&lt;65,'General Basis'!$B$49,'General Basis'!$B$50)))))))))))))</f>
        <v/>
      </c>
      <c r="BI602" s="744" t="str">
        <f t="shared" si="225"/>
        <v/>
      </c>
      <c r="BJ602" s="747" t="str">
        <f t="shared" si="232"/>
        <v/>
      </c>
      <c r="BK602" s="498" t="str">
        <f t="shared" si="226"/>
        <v/>
      </c>
      <c r="BL602" s="498" t="str">
        <f t="shared" si="227"/>
        <v/>
      </c>
    </row>
    <row r="603" spans="1:64" x14ac:dyDescent="0.25">
      <c r="A603" s="762">
        <f t="shared" si="228"/>
        <v>598</v>
      </c>
      <c r="B603" s="229"/>
      <c r="C603" s="223"/>
      <c r="D603" s="224"/>
      <c r="E603" s="225"/>
      <c r="F603" s="1036" t="str">
        <f t="shared" si="234"/>
        <v/>
      </c>
      <c r="G603" s="1037" t="str">
        <f t="shared" si="229"/>
        <v/>
      </c>
      <c r="H603" s="225"/>
      <c r="I603" s="1013"/>
      <c r="J603" s="1013"/>
      <c r="K603" s="1028"/>
      <c r="L603" s="1035" t="str">
        <f t="shared" si="233"/>
        <v/>
      </c>
      <c r="S603" s="498"/>
      <c r="AJ603" s="498"/>
      <c r="AM603" s="498">
        <f t="shared" si="214"/>
        <v>0</v>
      </c>
      <c r="AN603" s="498">
        <f t="shared" si="215"/>
        <v>0</v>
      </c>
      <c r="AO603" s="498">
        <f t="shared" si="216"/>
        <v>0</v>
      </c>
      <c r="AP603" s="498">
        <f t="shared" si="235"/>
        <v>0</v>
      </c>
      <c r="AQ603" s="498">
        <f t="shared" si="230"/>
        <v>0</v>
      </c>
      <c r="AU603" s="498">
        <f t="shared" si="217"/>
        <v>0</v>
      </c>
      <c r="AV603" s="498">
        <f t="shared" si="218"/>
        <v>0</v>
      </c>
      <c r="AW603" s="498">
        <f t="shared" si="219"/>
        <v>0</v>
      </c>
      <c r="AX603" s="498">
        <f t="shared" si="220"/>
        <v>0</v>
      </c>
      <c r="AY603" s="498">
        <f t="shared" si="221"/>
        <v>0</v>
      </c>
      <c r="BB603" s="498" t="str">
        <f t="shared" si="222"/>
        <v/>
      </c>
      <c r="BC603" s="743" t="str">
        <f t="shared" si="223"/>
        <v/>
      </c>
      <c r="BD603" s="743" t="str">
        <f t="shared" si="224"/>
        <v/>
      </c>
      <c r="BE603" s="743" t="str">
        <f>IF(D603="","",VLOOKUP(D603,'General Basis'!$J$39:$K$46,2,0))</f>
        <v/>
      </c>
      <c r="BF603" s="744" t="str">
        <f>IF(D603="","",VLOOKUP(D603,'General Basis'!$J$39:$L$46,3,0))</f>
        <v/>
      </c>
      <c r="BG603" s="744" t="str">
        <f t="shared" si="231"/>
        <v/>
      </c>
      <c r="BH603" s="744" t="str">
        <f>IF(G603="","",IF(BF603="Abu Dhabi",IF(G603&lt;18,'General Basis'!$C$39,IF(G603&lt;41,'General Basis'!$C$40,IF(G603&lt;60,'General Basis'!$C$41,IF(G603&lt;65,'General Basis'!$C$42,'General Basis'!$C$43)))),IF(G603&lt;11,'General Basis'!$B$39,IF(G603&lt;18,'General Basis'!$B$40,IF(G603&lt;26,'General Basis'!$B$41,IF(G603&lt;31,'General Basis'!$B$42,IF(G603&lt;36,'General Basis'!$B$43,IF(G603&lt;41,'General Basis'!$B$44,IF(G603&lt;46,'General Basis'!$B$45,IF(G603&lt;51,'General Basis'!$B$46,IF(G603&lt;56,'General Basis'!$B$47,IF(G603&lt;60,'General Basis'!$B$48,IF(G603&lt;65,'General Basis'!$B$49,'General Basis'!$B$50)))))))))))))</f>
        <v/>
      </c>
      <c r="BI603" s="744" t="str">
        <f t="shared" si="225"/>
        <v/>
      </c>
      <c r="BJ603" s="747" t="str">
        <f t="shared" si="232"/>
        <v/>
      </c>
      <c r="BK603" s="498" t="str">
        <f t="shared" si="226"/>
        <v/>
      </c>
      <c r="BL603" s="498" t="str">
        <f t="shared" si="227"/>
        <v/>
      </c>
    </row>
    <row r="604" spans="1:64" x14ac:dyDescent="0.25">
      <c r="A604" s="762">
        <f t="shared" si="228"/>
        <v>599</v>
      </c>
      <c r="B604" s="229"/>
      <c r="C604" s="223"/>
      <c r="D604" s="224"/>
      <c r="E604" s="225"/>
      <c r="F604" s="1036" t="str">
        <f t="shared" si="234"/>
        <v/>
      </c>
      <c r="G604" s="1037" t="str">
        <f t="shared" si="229"/>
        <v/>
      </c>
      <c r="H604" s="225"/>
      <c r="I604" s="1013"/>
      <c r="J604" s="1013"/>
      <c r="K604" s="1028"/>
      <c r="L604" s="1035" t="str">
        <f t="shared" si="233"/>
        <v/>
      </c>
      <c r="S604" s="498"/>
      <c r="AJ604" s="498"/>
      <c r="AM604" s="498">
        <f t="shared" si="214"/>
        <v>0</v>
      </c>
      <c r="AN604" s="498">
        <f t="shared" si="215"/>
        <v>0</v>
      </c>
      <c r="AO604" s="498">
        <f t="shared" si="216"/>
        <v>0</v>
      </c>
      <c r="AP604" s="498">
        <f t="shared" si="235"/>
        <v>0</v>
      </c>
      <c r="AQ604" s="498">
        <f t="shared" si="230"/>
        <v>0</v>
      </c>
      <c r="AU604" s="498">
        <f t="shared" si="217"/>
        <v>0</v>
      </c>
      <c r="AV604" s="498">
        <f t="shared" si="218"/>
        <v>0</v>
      </c>
      <c r="AW604" s="498">
        <f t="shared" si="219"/>
        <v>0</v>
      </c>
      <c r="AX604" s="498">
        <f t="shared" si="220"/>
        <v>0</v>
      </c>
      <c r="AY604" s="498">
        <f t="shared" si="221"/>
        <v>0</v>
      </c>
      <c r="BB604" s="498" t="str">
        <f t="shared" si="222"/>
        <v/>
      </c>
      <c r="BC604" s="743" t="str">
        <f t="shared" si="223"/>
        <v/>
      </c>
      <c r="BD604" s="743" t="str">
        <f t="shared" si="224"/>
        <v/>
      </c>
      <c r="BE604" s="743" t="str">
        <f>IF(D604="","",VLOOKUP(D604,'General Basis'!$J$39:$K$46,2,0))</f>
        <v/>
      </c>
      <c r="BF604" s="744" t="str">
        <f>IF(D604="","",VLOOKUP(D604,'General Basis'!$J$39:$L$46,3,0))</f>
        <v/>
      </c>
      <c r="BG604" s="744" t="str">
        <f t="shared" si="231"/>
        <v/>
      </c>
      <c r="BH604" s="744" t="str">
        <f>IF(G604="","",IF(BF604="Abu Dhabi",IF(G604&lt;18,'General Basis'!$C$39,IF(G604&lt;41,'General Basis'!$C$40,IF(G604&lt;60,'General Basis'!$C$41,IF(G604&lt;65,'General Basis'!$C$42,'General Basis'!$C$43)))),IF(G604&lt;11,'General Basis'!$B$39,IF(G604&lt;18,'General Basis'!$B$40,IF(G604&lt;26,'General Basis'!$B$41,IF(G604&lt;31,'General Basis'!$B$42,IF(G604&lt;36,'General Basis'!$B$43,IF(G604&lt;41,'General Basis'!$B$44,IF(G604&lt;46,'General Basis'!$B$45,IF(G604&lt;51,'General Basis'!$B$46,IF(G604&lt;56,'General Basis'!$B$47,IF(G604&lt;60,'General Basis'!$B$48,IF(G604&lt;65,'General Basis'!$B$49,'General Basis'!$B$50)))))))))))))</f>
        <v/>
      </c>
      <c r="BI604" s="744" t="str">
        <f t="shared" si="225"/>
        <v/>
      </c>
      <c r="BJ604" s="747" t="str">
        <f t="shared" si="232"/>
        <v/>
      </c>
      <c r="BK604" s="498" t="str">
        <f t="shared" si="226"/>
        <v/>
      </c>
      <c r="BL604" s="498" t="str">
        <f t="shared" si="227"/>
        <v/>
      </c>
    </row>
    <row r="605" spans="1:64" x14ac:dyDescent="0.25">
      <c r="A605" s="762">
        <f t="shared" si="228"/>
        <v>600</v>
      </c>
      <c r="B605" s="229"/>
      <c r="C605" s="223"/>
      <c r="D605" s="224"/>
      <c r="E605" s="225"/>
      <c r="F605" s="1036" t="str">
        <f t="shared" si="234"/>
        <v/>
      </c>
      <c r="G605" s="1037" t="str">
        <f t="shared" si="229"/>
        <v/>
      </c>
      <c r="H605" s="225"/>
      <c r="I605" s="1013"/>
      <c r="J605" s="1013"/>
      <c r="K605" s="1028"/>
      <c r="L605" s="1035" t="str">
        <f t="shared" si="233"/>
        <v/>
      </c>
      <c r="S605" s="498"/>
      <c r="AJ605" s="498"/>
      <c r="AM605" s="498">
        <f t="shared" si="214"/>
        <v>0</v>
      </c>
      <c r="AN605" s="498">
        <f t="shared" si="215"/>
        <v>0</v>
      </c>
      <c r="AO605" s="498">
        <f t="shared" si="216"/>
        <v>0</v>
      </c>
      <c r="AP605" s="498">
        <f t="shared" si="235"/>
        <v>0</v>
      </c>
      <c r="AQ605" s="498">
        <f t="shared" si="230"/>
        <v>0</v>
      </c>
      <c r="AU605" s="498">
        <f t="shared" si="217"/>
        <v>0</v>
      </c>
      <c r="AV605" s="498">
        <f t="shared" si="218"/>
        <v>0</v>
      </c>
      <c r="AW605" s="498">
        <f t="shared" si="219"/>
        <v>0</v>
      </c>
      <c r="AX605" s="498">
        <f t="shared" si="220"/>
        <v>0</v>
      </c>
      <c r="AY605" s="498">
        <f t="shared" si="221"/>
        <v>0</v>
      </c>
      <c r="BB605" s="498" t="str">
        <f t="shared" si="222"/>
        <v/>
      </c>
      <c r="BC605" s="743" t="str">
        <f t="shared" si="223"/>
        <v/>
      </c>
      <c r="BD605" s="743" t="str">
        <f t="shared" si="224"/>
        <v/>
      </c>
      <c r="BE605" s="743" t="str">
        <f>IF(D605="","",VLOOKUP(D605,'General Basis'!$J$39:$K$46,2,0))</f>
        <v/>
      </c>
      <c r="BF605" s="744" t="str">
        <f>IF(D605="","",VLOOKUP(D605,'General Basis'!$J$39:$L$46,3,0))</f>
        <v/>
      </c>
      <c r="BG605" s="744" t="str">
        <f t="shared" si="231"/>
        <v/>
      </c>
      <c r="BH605" s="744" t="str">
        <f>IF(G605="","",IF(BF605="Abu Dhabi",IF(G605&lt;18,'General Basis'!$C$39,IF(G605&lt;41,'General Basis'!$C$40,IF(G605&lt;60,'General Basis'!$C$41,IF(G605&lt;65,'General Basis'!$C$42,'General Basis'!$C$43)))),IF(G605&lt;11,'General Basis'!$B$39,IF(G605&lt;18,'General Basis'!$B$40,IF(G605&lt;26,'General Basis'!$B$41,IF(G605&lt;31,'General Basis'!$B$42,IF(G605&lt;36,'General Basis'!$B$43,IF(G605&lt;41,'General Basis'!$B$44,IF(G605&lt;46,'General Basis'!$B$45,IF(G605&lt;51,'General Basis'!$B$46,IF(G605&lt;56,'General Basis'!$B$47,IF(G605&lt;60,'General Basis'!$B$48,IF(G605&lt;65,'General Basis'!$B$49,'General Basis'!$B$50)))))))))))))</f>
        <v/>
      </c>
      <c r="BI605" s="744" t="str">
        <f t="shared" si="225"/>
        <v/>
      </c>
      <c r="BJ605" s="747" t="str">
        <f t="shared" si="232"/>
        <v/>
      </c>
      <c r="BK605" s="498" t="str">
        <f t="shared" si="226"/>
        <v/>
      </c>
      <c r="BL605" s="498" t="str">
        <f t="shared" si="227"/>
        <v/>
      </c>
    </row>
    <row r="606" spans="1:64" x14ac:dyDescent="0.25">
      <c r="A606" s="762">
        <f t="shared" si="228"/>
        <v>601</v>
      </c>
      <c r="B606" s="229"/>
      <c r="C606" s="223"/>
      <c r="D606" s="224"/>
      <c r="E606" s="225"/>
      <c r="F606" s="1036" t="str">
        <f t="shared" si="234"/>
        <v/>
      </c>
      <c r="G606" s="1037" t="str">
        <f t="shared" si="229"/>
        <v/>
      </c>
      <c r="H606" s="225"/>
      <c r="I606" s="1013"/>
      <c r="J606" s="1013"/>
      <c r="K606" s="1028"/>
      <c r="L606" s="1035" t="str">
        <f t="shared" si="233"/>
        <v/>
      </c>
      <c r="S606" s="498"/>
      <c r="AJ606" s="498"/>
      <c r="AM606" s="498">
        <f t="shared" si="214"/>
        <v>0</v>
      </c>
      <c r="AN606" s="498">
        <f t="shared" si="215"/>
        <v>0</v>
      </c>
      <c r="AO606" s="498">
        <f t="shared" si="216"/>
        <v>0</v>
      </c>
      <c r="AP606" s="498">
        <f t="shared" si="235"/>
        <v>0</v>
      </c>
      <c r="AQ606" s="498">
        <f t="shared" si="230"/>
        <v>0</v>
      </c>
      <c r="AU606" s="498">
        <f t="shared" si="217"/>
        <v>0</v>
      </c>
      <c r="AV606" s="498">
        <f t="shared" si="218"/>
        <v>0</v>
      </c>
      <c r="AW606" s="498">
        <f t="shared" si="219"/>
        <v>0</v>
      </c>
      <c r="AX606" s="498">
        <f t="shared" si="220"/>
        <v>0</v>
      </c>
      <c r="AY606" s="498">
        <f t="shared" si="221"/>
        <v>0</v>
      </c>
      <c r="BB606" s="498" t="str">
        <f t="shared" si="222"/>
        <v/>
      </c>
      <c r="BC606" s="743" t="str">
        <f t="shared" si="223"/>
        <v/>
      </c>
      <c r="BD606" s="743" t="str">
        <f t="shared" si="224"/>
        <v/>
      </c>
      <c r="BE606" s="743" t="str">
        <f>IF(D606="","",VLOOKUP(D606,'General Basis'!$J$39:$K$46,2,0))</f>
        <v/>
      </c>
      <c r="BF606" s="744" t="str">
        <f>IF(D606="","",VLOOKUP(D606,'General Basis'!$J$39:$L$46,3,0))</f>
        <v/>
      </c>
      <c r="BG606" s="744" t="str">
        <f t="shared" si="231"/>
        <v/>
      </c>
      <c r="BH606" s="744" t="str">
        <f>IF(G606="","",IF(BF606="Abu Dhabi",IF(G606&lt;18,'General Basis'!$C$39,IF(G606&lt;41,'General Basis'!$C$40,IF(G606&lt;60,'General Basis'!$C$41,IF(G606&lt;65,'General Basis'!$C$42,'General Basis'!$C$43)))),IF(G606&lt;11,'General Basis'!$B$39,IF(G606&lt;18,'General Basis'!$B$40,IF(G606&lt;26,'General Basis'!$B$41,IF(G606&lt;31,'General Basis'!$B$42,IF(G606&lt;36,'General Basis'!$B$43,IF(G606&lt;41,'General Basis'!$B$44,IF(G606&lt;46,'General Basis'!$B$45,IF(G606&lt;51,'General Basis'!$B$46,IF(G606&lt;56,'General Basis'!$B$47,IF(G606&lt;60,'General Basis'!$B$48,IF(G606&lt;65,'General Basis'!$B$49,'General Basis'!$B$50)))))))))))))</f>
        <v/>
      </c>
      <c r="BI606" s="744" t="str">
        <f t="shared" si="225"/>
        <v/>
      </c>
      <c r="BJ606" s="747" t="str">
        <f t="shared" si="232"/>
        <v/>
      </c>
      <c r="BK606" s="498" t="str">
        <f t="shared" si="226"/>
        <v/>
      </c>
      <c r="BL606" s="498" t="str">
        <f t="shared" si="227"/>
        <v/>
      </c>
    </row>
    <row r="607" spans="1:64" x14ac:dyDescent="0.25">
      <c r="A607" s="762">
        <f t="shared" si="228"/>
        <v>602</v>
      </c>
      <c r="B607" s="229"/>
      <c r="C607" s="223"/>
      <c r="D607" s="224"/>
      <c r="E607" s="225"/>
      <c r="F607" s="1036" t="str">
        <f t="shared" si="234"/>
        <v/>
      </c>
      <c r="G607" s="1037" t="str">
        <f t="shared" si="229"/>
        <v/>
      </c>
      <c r="H607" s="225"/>
      <c r="I607" s="1013"/>
      <c r="J607" s="1013"/>
      <c r="K607" s="1028"/>
      <c r="L607" s="1035" t="str">
        <f t="shared" si="233"/>
        <v/>
      </c>
      <c r="S607" s="498"/>
      <c r="AJ607" s="498"/>
      <c r="AM607" s="498">
        <f t="shared" si="214"/>
        <v>0</v>
      </c>
      <c r="AN607" s="498">
        <f t="shared" si="215"/>
        <v>0</v>
      </c>
      <c r="AO607" s="498">
        <f t="shared" si="216"/>
        <v>0</v>
      </c>
      <c r="AP607" s="498">
        <f t="shared" si="235"/>
        <v>0</v>
      </c>
      <c r="AQ607" s="498">
        <f t="shared" si="230"/>
        <v>0</v>
      </c>
      <c r="AU607" s="498">
        <f t="shared" si="217"/>
        <v>0</v>
      </c>
      <c r="AV607" s="498">
        <f t="shared" si="218"/>
        <v>0</v>
      </c>
      <c r="AW607" s="498">
        <f t="shared" si="219"/>
        <v>0</v>
      </c>
      <c r="AX607" s="498">
        <f t="shared" si="220"/>
        <v>0</v>
      </c>
      <c r="AY607" s="498">
        <f t="shared" si="221"/>
        <v>0</v>
      </c>
      <c r="BB607" s="498" t="str">
        <f t="shared" si="222"/>
        <v/>
      </c>
      <c r="BC607" s="743" t="str">
        <f t="shared" si="223"/>
        <v/>
      </c>
      <c r="BD607" s="743" t="str">
        <f t="shared" si="224"/>
        <v/>
      </c>
      <c r="BE607" s="743" t="str">
        <f>IF(D607="","",VLOOKUP(D607,'General Basis'!$J$39:$K$46,2,0))</f>
        <v/>
      </c>
      <c r="BF607" s="744" t="str">
        <f>IF(D607="","",VLOOKUP(D607,'General Basis'!$J$39:$L$46,3,0))</f>
        <v/>
      </c>
      <c r="BG607" s="744" t="str">
        <f t="shared" si="231"/>
        <v/>
      </c>
      <c r="BH607" s="744" t="str">
        <f>IF(G607="","",IF(BF607="Abu Dhabi",IF(G607&lt;18,'General Basis'!$C$39,IF(G607&lt;41,'General Basis'!$C$40,IF(G607&lt;60,'General Basis'!$C$41,IF(G607&lt;65,'General Basis'!$C$42,'General Basis'!$C$43)))),IF(G607&lt;11,'General Basis'!$B$39,IF(G607&lt;18,'General Basis'!$B$40,IF(G607&lt;26,'General Basis'!$B$41,IF(G607&lt;31,'General Basis'!$B$42,IF(G607&lt;36,'General Basis'!$B$43,IF(G607&lt;41,'General Basis'!$B$44,IF(G607&lt;46,'General Basis'!$B$45,IF(G607&lt;51,'General Basis'!$B$46,IF(G607&lt;56,'General Basis'!$B$47,IF(G607&lt;60,'General Basis'!$B$48,IF(G607&lt;65,'General Basis'!$B$49,'General Basis'!$B$50)))))))))))))</f>
        <v/>
      </c>
      <c r="BI607" s="744" t="str">
        <f t="shared" si="225"/>
        <v/>
      </c>
      <c r="BJ607" s="747" t="str">
        <f t="shared" si="232"/>
        <v/>
      </c>
      <c r="BK607" s="498" t="str">
        <f t="shared" si="226"/>
        <v/>
      </c>
      <c r="BL607" s="498" t="str">
        <f t="shared" si="227"/>
        <v/>
      </c>
    </row>
    <row r="608" spans="1:64" x14ac:dyDescent="0.25">
      <c r="A608" s="762">
        <f t="shared" si="228"/>
        <v>603</v>
      </c>
      <c r="B608" s="229"/>
      <c r="C608" s="223"/>
      <c r="D608" s="224"/>
      <c r="E608" s="225"/>
      <c r="F608" s="1036" t="str">
        <f t="shared" si="234"/>
        <v/>
      </c>
      <c r="G608" s="1037" t="str">
        <f t="shared" si="229"/>
        <v/>
      </c>
      <c r="H608" s="225"/>
      <c r="I608" s="1013"/>
      <c r="J608" s="1013"/>
      <c r="K608" s="1028"/>
      <c r="L608" s="1035" t="str">
        <f t="shared" si="233"/>
        <v/>
      </c>
      <c r="S608" s="498"/>
      <c r="AJ608" s="498"/>
      <c r="AM608" s="498">
        <f t="shared" si="214"/>
        <v>0</v>
      </c>
      <c r="AN608" s="498">
        <f t="shared" si="215"/>
        <v>0</v>
      </c>
      <c r="AO608" s="498">
        <f t="shared" si="216"/>
        <v>0</v>
      </c>
      <c r="AP608" s="498">
        <f t="shared" si="235"/>
        <v>0</v>
      </c>
      <c r="AQ608" s="498">
        <f t="shared" si="230"/>
        <v>0</v>
      </c>
      <c r="AU608" s="498">
        <f t="shared" si="217"/>
        <v>0</v>
      </c>
      <c r="AV608" s="498">
        <f t="shared" si="218"/>
        <v>0</v>
      </c>
      <c r="AW608" s="498">
        <f t="shared" si="219"/>
        <v>0</v>
      </c>
      <c r="AX608" s="498">
        <f t="shared" si="220"/>
        <v>0</v>
      </c>
      <c r="AY608" s="498">
        <f t="shared" si="221"/>
        <v>0</v>
      </c>
      <c r="BB608" s="498" t="str">
        <f t="shared" si="222"/>
        <v/>
      </c>
      <c r="BC608" s="743" t="str">
        <f t="shared" si="223"/>
        <v/>
      </c>
      <c r="BD608" s="743" t="str">
        <f t="shared" si="224"/>
        <v/>
      </c>
      <c r="BE608" s="743" t="str">
        <f>IF(D608="","",VLOOKUP(D608,'General Basis'!$J$39:$K$46,2,0))</f>
        <v/>
      </c>
      <c r="BF608" s="744" t="str">
        <f>IF(D608="","",VLOOKUP(D608,'General Basis'!$J$39:$L$46,3,0))</f>
        <v/>
      </c>
      <c r="BG608" s="744" t="str">
        <f t="shared" si="231"/>
        <v/>
      </c>
      <c r="BH608" s="744" t="str">
        <f>IF(G608="","",IF(BF608="Abu Dhabi",IF(G608&lt;18,'General Basis'!$C$39,IF(G608&lt;41,'General Basis'!$C$40,IF(G608&lt;60,'General Basis'!$C$41,IF(G608&lt;65,'General Basis'!$C$42,'General Basis'!$C$43)))),IF(G608&lt;11,'General Basis'!$B$39,IF(G608&lt;18,'General Basis'!$B$40,IF(G608&lt;26,'General Basis'!$B$41,IF(G608&lt;31,'General Basis'!$B$42,IF(G608&lt;36,'General Basis'!$B$43,IF(G608&lt;41,'General Basis'!$B$44,IF(G608&lt;46,'General Basis'!$B$45,IF(G608&lt;51,'General Basis'!$B$46,IF(G608&lt;56,'General Basis'!$B$47,IF(G608&lt;60,'General Basis'!$B$48,IF(G608&lt;65,'General Basis'!$B$49,'General Basis'!$B$50)))))))))))))</f>
        <v/>
      </c>
      <c r="BI608" s="744" t="str">
        <f t="shared" si="225"/>
        <v/>
      </c>
      <c r="BJ608" s="747" t="str">
        <f t="shared" si="232"/>
        <v/>
      </c>
      <c r="BK608" s="498" t="str">
        <f t="shared" si="226"/>
        <v/>
      </c>
      <c r="BL608" s="498" t="str">
        <f t="shared" si="227"/>
        <v/>
      </c>
    </row>
    <row r="609" spans="1:64" x14ac:dyDescent="0.25">
      <c r="A609" s="762">
        <f t="shared" si="228"/>
        <v>604</v>
      </c>
      <c r="B609" s="229"/>
      <c r="C609" s="223"/>
      <c r="D609" s="224"/>
      <c r="E609" s="225"/>
      <c r="F609" s="1036" t="str">
        <f t="shared" si="234"/>
        <v/>
      </c>
      <c r="G609" s="1037" t="str">
        <f t="shared" si="229"/>
        <v/>
      </c>
      <c r="H609" s="225"/>
      <c r="I609" s="1013"/>
      <c r="J609" s="1013"/>
      <c r="K609" s="1028"/>
      <c r="L609" s="1035" t="str">
        <f t="shared" si="233"/>
        <v/>
      </c>
      <c r="S609" s="498"/>
      <c r="AJ609" s="498"/>
      <c r="AM609" s="498">
        <f t="shared" si="214"/>
        <v>0</v>
      </c>
      <c r="AN609" s="498">
        <f t="shared" si="215"/>
        <v>0</v>
      </c>
      <c r="AO609" s="498">
        <f t="shared" si="216"/>
        <v>0</v>
      </c>
      <c r="AP609" s="498">
        <f t="shared" si="235"/>
        <v>0</v>
      </c>
      <c r="AQ609" s="498">
        <f t="shared" si="230"/>
        <v>0</v>
      </c>
      <c r="AU609" s="498">
        <f t="shared" si="217"/>
        <v>0</v>
      </c>
      <c r="AV609" s="498">
        <f t="shared" si="218"/>
        <v>0</v>
      </c>
      <c r="AW609" s="498">
        <f t="shared" si="219"/>
        <v>0</v>
      </c>
      <c r="AX609" s="498">
        <f t="shared" si="220"/>
        <v>0</v>
      </c>
      <c r="AY609" s="498">
        <f t="shared" si="221"/>
        <v>0</v>
      </c>
      <c r="BB609" s="498" t="str">
        <f t="shared" si="222"/>
        <v/>
      </c>
      <c r="BC609" s="743" t="str">
        <f t="shared" si="223"/>
        <v/>
      </c>
      <c r="BD609" s="743" t="str">
        <f t="shared" si="224"/>
        <v/>
      </c>
      <c r="BE609" s="743" t="str">
        <f>IF(D609="","",VLOOKUP(D609,'General Basis'!$J$39:$K$46,2,0))</f>
        <v/>
      </c>
      <c r="BF609" s="744" t="str">
        <f>IF(D609="","",VLOOKUP(D609,'General Basis'!$J$39:$L$46,3,0))</f>
        <v/>
      </c>
      <c r="BG609" s="744" t="str">
        <f t="shared" si="231"/>
        <v/>
      </c>
      <c r="BH609" s="744" t="str">
        <f>IF(G609="","",IF(BF609="Abu Dhabi",IF(G609&lt;18,'General Basis'!$C$39,IF(G609&lt;41,'General Basis'!$C$40,IF(G609&lt;60,'General Basis'!$C$41,IF(G609&lt;65,'General Basis'!$C$42,'General Basis'!$C$43)))),IF(G609&lt;11,'General Basis'!$B$39,IF(G609&lt;18,'General Basis'!$B$40,IF(G609&lt;26,'General Basis'!$B$41,IF(G609&lt;31,'General Basis'!$B$42,IF(G609&lt;36,'General Basis'!$B$43,IF(G609&lt;41,'General Basis'!$B$44,IF(G609&lt;46,'General Basis'!$B$45,IF(G609&lt;51,'General Basis'!$B$46,IF(G609&lt;56,'General Basis'!$B$47,IF(G609&lt;60,'General Basis'!$B$48,IF(G609&lt;65,'General Basis'!$B$49,'General Basis'!$B$50)))))))))))))</f>
        <v/>
      </c>
      <c r="BI609" s="744" t="str">
        <f t="shared" si="225"/>
        <v/>
      </c>
      <c r="BJ609" s="747" t="str">
        <f t="shared" si="232"/>
        <v/>
      </c>
      <c r="BK609" s="498" t="str">
        <f t="shared" si="226"/>
        <v/>
      </c>
      <c r="BL609" s="498" t="str">
        <f t="shared" si="227"/>
        <v/>
      </c>
    </row>
    <row r="610" spans="1:64" x14ac:dyDescent="0.25">
      <c r="A610" s="762">
        <f t="shared" si="228"/>
        <v>605</v>
      </c>
      <c r="B610" s="229"/>
      <c r="C610" s="223"/>
      <c r="D610" s="224"/>
      <c r="E610" s="225"/>
      <c r="F610" s="1036" t="str">
        <f t="shared" si="234"/>
        <v/>
      </c>
      <c r="G610" s="1037" t="str">
        <f t="shared" si="229"/>
        <v/>
      </c>
      <c r="H610" s="225"/>
      <c r="I610" s="1013"/>
      <c r="J610" s="1013"/>
      <c r="K610" s="1028"/>
      <c r="L610" s="1035" t="str">
        <f t="shared" si="233"/>
        <v/>
      </c>
      <c r="S610" s="498"/>
      <c r="AJ610" s="498"/>
      <c r="AM610" s="498">
        <f t="shared" si="214"/>
        <v>0</v>
      </c>
      <c r="AN610" s="498">
        <f t="shared" si="215"/>
        <v>0</v>
      </c>
      <c r="AO610" s="498">
        <f t="shared" si="216"/>
        <v>0</v>
      </c>
      <c r="AP610" s="498">
        <f t="shared" si="235"/>
        <v>0</v>
      </c>
      <c r="AQ610" s="498">
        <f t="shared" si="230"/>
        <v>0</v>
      </c>
      <c r="AU610" s="498">
        <f t="shared" si="217"/>
        <v>0</v>
      </c>
      <c r="AV610" s="498">
        <f t="shared" si="218"/>
        <v>0</v>
      </c>
      <c r="AW610" s="498">
        <f t="shared" si="219"/>
        <v>0</v>
      </c>
      <c r="AX610" s="498">
        <f t="shared" si="220"/>
        <v>0</v>
      </c>
      <c r="AY610" s="498">
        <f t="shared" si="221"/>
        <v>0</v>
      </c>
      <c r="BB610" s="498" t="str">
        <f t="shared" si="222"/>
        <v/>
      </c>
      <c r="BC610" s="743" t="str">
        <f t="shared" si="223"/>
        <v/>
      </c>
      <c r="BD610" s="743" t="str">
        <f t="shared" si="224"/>
        <v/>
      </c>
      <c r="BE610" s="743" t="str">
        <f>IF(D610="","",VLOOKUP(D610,'General Basis'!$J$39:$K$46,2,0))</f>
        <v/>
      </c>
      <c r="BF610" s="744" t="str">
        <f>IF(D610="","",VLOOKUP(D610,'General Basis'!$J$39:$L$46,3,0))</f>
        <v/>
      </c>
      <c r="BG610" s="744" t="str">
        <f t="shared" si="231"/>
        <v/>
      </c>
      <c r="BH610" s="744" t="str">
        <f>IF(G610="","",IF(BF610="Abu Dhabi",IF(G610&lt;18,'General Basis'!$C$39,IF(G610&lt;41,'General Basis'!$C$40,IF(G610&lt;60,'General Basis'!$C$41,IF(G610&lt;65,'General Basis'!$C$42,'General Basis'!$C$43)))),IF(G610&lt;11,'General Basis'!$B$39,IF(G610&lt;18,'General Basis'!$B$40,IF(G610&lt;26,'General Basis'!$B$41,IF(G610&lt;31,'General Basis'!$B$42,IF(G610&lt;36,'General Basis'!$B$43,IF(G610&lt;41,'General Basis'!$B$44,IF(G610&lt;46,'General Basis'!$B$45,IF(G610&lt;51,'General Basis'!$B$46,IF(G610&lt;56,'General Basis'!$B$47,IF(G610&lt;60,'General Basis'!$B$48,IF(G610&lt;65,'General Basis'!$B$49,'General Basis'!$B$50)))))))))))))</f>
        <v/>
      </c>
      <c r="BI610" s="744" t="str">
        <f t="shared" si="225"/>
        <v/>
      </c>
      <c r="BJ610" s="747" t="str">
        <f t="shared" si="232"/>
        <v/>
      </c>
      <c r="BK610" s="498" t="str">
        <f t="shared" si="226"/>
        <v/>
      </c>
      <c r="BL610" s="498" t="str">
        <f t="shared" si="227"/>
        <v/>
      </c>
    </row>
    <row r="611" spans="1:64" x14ac:dyDescent="0.25">
      <c r="A611" s="762">
        <f t="shared" si="228"/>
        <v>606</v>
      </c>
      <c r="B611" s="229"/>
      <c r="C611" s="223"/>
      <c r="D611" s="224"/>
      <c r="E611" s="225"/>
      <c r="F611" s="1036" t="str">
        <f t="shared" si="234"/>
        <v/>
      </c>
      <c r="G611" s="1037" t="str">
        <f t="shared" si="229"/>
        <v/>
      </c>
      <c r="H611" s="225"/>
      <c r="I611" s="1013"/>
      <c r="J611" s="1013"/>
      <c r="K611" s="1028"/>
      <c r="L611" s="1035" t="str">
        <f t="shared" si="233"/>
        <v/>
      </c>
      <c r="S611" s="498"/>
      <c r="AJ611" s="498"/>
      <c r="AM611" s="498">
        <f t="shared" si="214"/>
        <v>0</v>
      </c>
      <c r="AN611" s="498">
        <f t="shared" si="215"/>
        <v>0</v>
      </c>
      <c r="AO611" s="498">
        <f t="shared" si="216"/>
        <v>0</v>
      </c>
      <c r="AP611" s="498">
        <f t="shared" si="235"/>
        <v>0</v>
      </c>
      <c r="AQ611" s="498">
        <f t="shared" si="230"/>
        <v>0</v>
      </c>
      <c r="AU611" s="498">
        <f t="shared" si="217"/>
        <v>0</v>
      </c>
      <c r="AV611" s="498">
        <f t="shared" si="218"/>
        <v>0</v>
      </c>
      <c r="AW611" s="498">
        <f t="shared" si="219"/>
        <v>0</v>
      </c>
      <c r="AX611" s="498">
        <f t="shared" si="220"/>
        <v>0</v>
      </c>
      <c r="AY611" s="498">
        <f t="shared" si="221"/>
        <v>0</v>
      </c>
      <c r="BB611" s="498" t="str">
        <f t="shared" si="222"/>
        <v/>
      </c>
      <c r="BC611" s="743" t="str">
        <f t="shared" si="223"/>
        <v/>
      </c>
      <c r="BD611" s="743" t="str">
        <f t="shared" si="224"/>
        <v/>
      </c>
      <c r="BE611" s="743" t="str">
        <f>IF(D611="","",VLOOKUP(D611,'General Basis'!$J$39:$K$46,2,0))</f>
        <v/>
      </c>
      <c r="BF611" s="744" t="str">
        <f>IF(D611="","",VLOOKUP(D611,'General Basis'!$J$39:$L$46,3,0))</f>
        <v/>
      </c>
      <c r="BG611" s="744" t="str">
        <f t="shared" si="231"/>
        <v/>
      </c>
      <c r="BH611" s="744" t="str">
        <f>IF(G611="","",IF(BF611="Abu Dhabi",IF(G611&lt;18,'General Basis'!$C$39,IF(G611&lt;41,'General Basis'!$C$40,IF(G611&lt;60,'General Basis'!$C$41,IF(G611&lt;65,'General Basis'!$C$42,'General Basis'!$C$43)))),IF(G611&lt;11,'General Basis'!$B$39,IF(G611&lt;18,'General Basis'!$B$40,IF(G611&lt;26,'General Basis'!$B$41,IF(G611&lt;31,'General Basis'!$B$42,IF(G611&lt;36,'General Basis'!$B$43,IF(G611&lt;41,'General Basis'!$B$44,IF(G611&lt;46,'General Basis'!$B$45,IF(G611&lt;51,'General Basis'!$B$46,IF(G611&lt;56,'General Basis'!$B$47,IF(G611&lt;60,'General Basis'!$B$48,IF(G611&lt;65,'General Basis'!$B$49,'General Basis'!$B$50)))))))))))))</f>
        <v/>
      </c>
      <c r="BI611" s="744" t="str">
        <f t="shared" si="225"/>
        <v/>
      </c>
      <c r="BJ611" s="747" t="str">
        <f t="shared" si="232"/>
        <v/>
      </c>
      <c r="BK611" s="498" t="str">
        <f t="shared" si="226"/>
        <v/>
      </c>
      <c r="BL611" s="498" t="str">
        <f t="shared" si="227"/>
        <v/>
      </c>
    </row>
    <row r="612" spans="1:64" x14ac:dyDescent="0.25">
      <c r="A612" s="762">
        <f t="shared" si="228"/>
        <v>607</v>
      </c>
      <c r="B612" s="229"/>
      <c r="C612" s="223"/>
      <c r="D612" s="224"/>
      <c r="E612" s="225"/>
      <c r="F612" s="1036" t="str">
        <f t="shared" si="234"/>
        <v/>
      </c>
      <c r="G612" s="1037" t="str">
        <f t="shared" si="229"/>
        <v/>
      </c>
      <c r="H612" s="225"/>
      <c r="I612" s="1013"/>
      <c r="J612" s="1013"/>
      <c r="K612" s="1028"/>
      <c r="L612" s="1035" t="str">
        <f t="shared" si="233"/>
        <v/>
      </c>
      <c r="S612" s="498"/>
      <c r="AJ612" s="498"/>
      <c r="AM612" s="498">
        <f t="shared" si="214"/>
        <v>0</v>
      </c>
      <c r="AN612" s="498">
        <f t="shared" si="215"/>
        <v>0</v>
      </c>
      <c r="AO612" s="498">
        <f t="shared" si="216"/>
        <v>0</v>
      </c>
      <c r="AP612" s="498">
        <f t="shared" si="235"/>
        <v>0</v>
      </c>
      <c r="AQ612" s="498">
        <f t="shared" si="230"/>
        <v>0</v>
      </c>
      <c r="AU612" s="498">
        <f t="shared" si="217"/>
        <v>0</v>
      </c>
      <c r="AV612" s="498">
        <f t="shared" si="218"/>
        <v>0</v>
      </c>
      <c r="AW612" s="498">
        <f t="shared" si="219"/>
        <v>0</v>
      </c>
      <c r="AX612" s="498">
        <f t="shared" si="220"/>
        <v>0</v>
      </c>
      <c r="AY612" s="498">
        <f t="shared" si="221"/>
        <v>0</v>
      </c>
      <c r="BB612" s="498" t="str">
        <f t="shared" si="222"/>
        <v/>
      </c>
      <c r="BC612" s="743" t="str">
        <f t="shared" si="223"/>
        <v/>
      </c>
      <c r="BD612" s="743" t="str">
        <f t="shared" si="224"/>
        <v/>
      </c>
      <c r="BE612" s="743" t="str">
        <f>IF(D612="","",VLOOKUP(D612,'General Basis'!$J$39:$K$46,2,0))</f>
        <v/>
      </c>
      <c r="BF612" s="744" t="str">
        <f>IF(D612="","",VLOOKUP(D612,'General Basis'!$J$39:$L$46,3,0))</f>
        <v/>
      </c>
      <c r="BG612" s="744" t="str">
        <f t="shared" si="231"/>
        <v/>
      </c>
      <c r="BH612" s="744" t="str">
        <f>IF(G612="","",IF(BF612="Abu Dhabi",IF(G612&lt;18,'General Basis'!$C$39,IF(G612&lt;41,'General Basis'!$C$40,IF(G612&lt;60,'General Basis'!$C$41,IF(G612&lt;65,'General Basis'!$C$42,'General Basis'!$C$43)))),IF(G612&lt;11,'General Basis'!$B$39,IF(G612&lt;18,'General Basis'!$B$40,IF(G612&lt;26,'General Basis'!$B$41,IF(G612&lt;31,'General Basis'!$B$42,IF(G612&lt;36,'General Basis'!$B$43,IF(G612&lt;41,'General Basis'!$B$44,IF(G612&lt;46,'General Basis'!$B$45,IF(G612&lt;51,'General Basis'!$B$46,IF(G612&lt;56,'General Basis'!$B$47,IF(G612&lt;60,'General Basis'!$B$48,IF(G612&lt;65,'General Basis'!$B$49,'General Basis'!$B$50)))))))))))))</f>
        <v/>
      </c>
      <c r="BI612" s="744" t="str">
        <f t="shared" si="225"/>
        <v/>
      </c>
      <c r="BJ612" s="747" t="str">
        <f t="shared" si="232"/>
        <v/>
      </c>
      <c r="BK612" s="498" t="str">
        <f t="shared" si="226"/>
        <v/>
      </c>
      <c r="BL612" s="498" t="str">
        <f t="shared" si="227"/>
        <v/>
      </c>
    </row>
    <row r="613" spans="1:64" x14ac:dyDescent="0.25">
      <c r="A613" s="762">
        <f t="shared" si="228"/>
        <v>608</v>
      </c>
      <c r="B613" s="229"/>
      <c r="C613" s="223"/>
      <c r="D613" s="224"/>
      <c r="E613" s="225"/>
      <c r="F613" s="1036" t="str">
        <f t="shared" si="234"/>
        <v/>
      </c>
      <c r="G613" s="1037" t="str">
        <f t="shared" si="229"/>
        <v/>
      </c>
      <c r="H613" s="225"/>
      <c r="I613" s="1013"/>
      <c r="J613" s="1013"/>
      <c r="K613" s="1028"/>
      <c r="L613" s="1035" t="str">
        <f t="shared" si="233"/>
        <v/>
      </c>
      <c r="S613" s="498"/>
      <c r="AJ613" s="498"/>
      <c r="AM613" s="498">
        <f t="shared" si="214"/>
        <v>0</v>
      </c>
      <c r="AN613" s="498">
        <f t="shared" si="215"/>
        <v>0</v>
      </c>
      <c r="AO613" s="498">
        <f t="shared" si="216"/>
        <v>0</v>
      </c>
      <c r="AP613" s="498">
        <f t="shared" si="235"/>
        <v>0</v>
      </c>
      <c r="AQ613" s="498">
        <f t="shared" si="230"/>
        <v>0</v>
      </c>
      <c r="AU613" s="498">
        <f t="shared" si="217"/>
        <v>0</v>
      </c>
      <c r="AV613" s="498">
        <f t="shared" si="218"/>
        <v>0</v>
      </c>
      <c r="AW613" s="498">
        <f t="shared" si="219"/>
        <v>0</v>
      </c>
      <c r="AX613" s="498">
        <f t="shared" si="220"/>
        <v>0</v>
      </c>
      <c r="AY613" s="498">
        <f t="shared" si="221"/>
        <v>0</v>
      </c>
      <c r="BB613" s="498" t="str">
        <f t="shared" si="222"/>
        <v/>
      </c>
      <c r="BC613" s="743" t="str">
        <f t="shared" si="223"/>
        <v/>
      </c>
      <c r="BD613" s="743" t="str">
        <f t="shared" si="224"/>
        <v/>
      </c>
      <c r="BE613" s="743" t="str">
        <f>IF(D613="","",VLOOKUP(D613,'General Basis'!$J$39:$K$46,2,0))</f>
        <v/>
      </c>
      <c r="BF613" s="744" t="str">
        <f>IF(D613="","",VLOOKUP(D613,'General Basis'!$J$39:$L$46,3,0))</f>
        <v/>
      </c>
      <c r="BG613" s="744" t="str">
        <f t="shared" si="231"/>
        <v/>
      </c>
      <c r="BH613" s="744" t="str">
        <f>IF(G613="","",IF(BF613="Abu Dhabi",IF(G613&lt;18,'General Basis'!$C$39,IF(G613&lt;41,'General Basis'!$C$40,IF(G613&lt;60,'General Basis'!$C$41,IF(G613&lt;65,'General Basis'!$C$42,'General Basis'!$C$43)))),IF(G613&lt;11,'General Basis'!$B$39,IF(G613&lt;18,'General Basis'!$B$40,IF(G613&lt;26,'General Basis'!$B$41,IF(G613&lt;31,'General Basis'!$B$42,IF(G613&lt;36,'General Basis'!$B$43,IF(G613&lt;41,'General Basis'!$B$44,IF(G613&lt;46,'General Basis'!$B$45,IF(G613&lt;51,'General Basis'!$B$46,IF(G613&lt;56,'General Basis'!$B$47,IF(G613&lt;60,'General Basis'!$B$48,IF(G613&lt;65,'General Basis'!$B$49,'General Basis'!$B$50)))))))))))))</f>
        <v/>
      </c>
      <c r="BI613" s="744" t="str">
        <f t="shared" si="225"/>
        <v/>
      </c>
      <c r="BJ613" s="747" t="str">
        <f t="shared" si="232"/>
        <v/>
      </c>
      <c r="BK613" s="498" t="str">
        <f t="shared" si="226"/>
        <v/>
      </c>
      <c r="BL613" s="498" t="str">
        <f t="shared" si="227"/>
        <v/>
      </c>
    </row>
    <row r="614" spans="1:64" x14ac:dyDescent="0.25">
      <c r="A614" s="762">
        <f t="shared" si="228"/>
        <v>609</v>
      </c>
      <c r="B614" s="229"/>
      <c r="C614" s="223"/>
      <c r="D614" s="224"/>
      <c r="E614" s="225"/>
      <c r="F614" s="1036" t="str">
        <f t="shared" si="234"/>
        <v/>
      </c>
      <c r="G614" s="1037" t="str">
        <f t="shared" si="229"/>
        <v/>
      </c>
      <c r="H614" s="225"/>
      <c r="I614" s="1013"/>
      <c r="J614" s="1013"/>
      <c r="K614" s="1028"/>
      <c r="L614" s="1035" t="str">
        <f t="shared" si="233"/>
        <v/>
      </c>
      <c r="S614" s="498"/>
      <c r="AJ614" s="498"/>
      <c r="AM614" s="498">
        <f t="shared" si="214"/>
        <v>0</v>
      </c>
      <c r="AN614" s="498">
        <f t="shared" si="215"/>
        <v>0</v>
      </c>
      <c r="AO614" s="498">
        <f t="shared" si="216"/>
        <v>0</v>
      </c>
      <c r="AP614" s="498">
        <f t="shared" si="235"/>
        <v>0</v>
      </c>
      <c r="AQ614" s="498">
        <f t="shared" si="230"/>
        <v>0</v>
      </c>
      <c r="AU614" s="498">
        <f t="shared" si="217"/>
        <v>0</v>
      </c>
      <c r="AV614" s="498">
        <f t="shared" si="218"/>
        <v>0</v>
      </c>
      <c r="AW614" s="498">
        <f t="shared" si="219"/>
        <v>0</v>
      </c>
      <c r="AX614" s="498">
        <f t="shared" si="220"/>
        <v>0</v>
      </c>
      <c r="AY614" s="498">
        <f t="shared" si="221"/>
        <v>0</v>
      </c>
      <c r="BB614" s="498" t="str">
        <f t="shared" si="222"/>
        <v/>
      </c>
      <c r="BC614" s="743" t="str">
        <f t="shared" si="223"/>
        <v/>
      </c>
      <c r="BD614" s="743" t="str">
        <f t="shared" si="224"/>
        <v/>
      </c>
      <c r="BE614" s="743" t="str">
        <f>IF(D614="","",VLOOKUP(D614,'General Basis'!$J$39:$K$46,2,0))</f>
        <v/>
      </c>
      <c r="BF614" s="744" t="str">
        <f>IF(D614="","",VLOOKUP(D614,'General Basis'!$J$39:$L$46,3,0))</f>
        <v/>
      </c>
      <c r="BG614" s="744" t="str">
        <f t="shared" si="231"/>
        <v/>
      </c>
      <c r="BH614" s="744" t="str">
        <f>IF(G614="","",IF(BF614="Abu Dhabi",IF(G614&lt;18,'General Basis'!$C$39,IF(G614&lt;41,'General Basis'!$C$40,IF(G614&lt;60,'General Basis'!$C$41,IF(G614&lt;65,'General Basis'!$C$42,'General Basis'!$C$43)))),IF(G614&lt;11,'General Basis'!$B$39,IF(G614&lt;18,'General Basis'!$B$40,IF(G614&lt;26,'General Basis'!$B$41,IF(G614&lt;31,'General Basis'!$B$42,IF(G614&lt;36,'General Basis'!$B$43,IF(G614&lt;41,'General Basis'!$B$44,IF(G614&lt;46,'General Basis'!$B$45,IF(G614&lt;51,'General Basis'!$B$46,IF(G614&lt;56,'General Basis'!$B$47,IF(G614&lt;60,'General Basis'!$B$48,IF(G614&lt;65,'General Basis'!$B$49,'General Basis'!$B$50)))))))))))))</f>
        <v/>
      </c>
      <c r="BI614" s="744" t="str">
        <f t="shared" si="225"/>
        <v/>
      </c>
      <c r="BJ614" s="747" t="str">
        <f t="shared" si="232"/>
        <v/>
      </c>
      <c r="BK614" s="498" t="str">
        <f t="shared" si="226"/>
        <v/>
      </c>
      <c r="BL614" s="498" t="str">
        <f t="shared" si="227"/>
        <v/>
      </c>
    </row>
    <row r="615" spans="1:64" x14ac:dyDescent="0.25">
      <c r="A615" s="762">
        <f t="shared" si="228"/>
        <v>610</v>
      </c>
      <c r="B615" s="229"/>
      <c r="C615" s="223"/>
      <c r="D615" s="224"/>
      <c r="E615" s="225"/>
      <c r="F615" s="1036" t="str">
        <f t="shared" si="234"/>
        <v/>
      </c>
      <c r="G615" s="1037" t="str">
        <f t="shared" si="229"/>
        <v/>
      </c>
      <c r="H615" s="225"/>
      <c r="I615" s="1013"/>
      <c r="J615" s="1013"/>
      <c r="K615" s="1028"/>
      <c r="L615" s="1035" t="str">
        <f t="shared" si="233"/>
        <v/>
      </c>
      <c r="S615" s="498"/>
      <c r="AJ615" s="498"/>
      <c r="AM615" s="498">
        <f t="shared" si="214"/>
        <v>0</v>
      </c>
      <c r="AN615" s="498">
        <f t="shared" si="215"/>
        <v>0</v>
      </c>
      <c r="AO615" s="498">
        <f t="shared" si="216"/>
        <v>0</v>
      </c>
      <c r="AP615" s="498">
        <f t="shared" si="235"/>
        <v>0</v>
      </c>
      <c r="AQ615" s="498">
        <f t="shared" si="230"/>
        <v>0</v>
      </c>
      <c r="AU615" s="498">
        <f t="shared" si="217"/>
        <v>0</v>
      </c>
      <c r="AV615" s="498">
        <f t="shared" si="218"/>
        <v>0</v>
      </c>
      <c r="AW615" s="498">
        <f t="shared" si="219"/>
        <v>0</v>
      </c>
      <c r="AX615" s="498">
        <f t="shared" si="220"/>
        <v>0</v>
      </c>
      <c r="AY615" s="498">
        <f t="shared" si="221"/>
        <v>0</v>
      </c>
      <c r="BB615" s="498" t="str">
        <f t="shared" si="222"/>
        <v/>
      </c>
      <c r="BC615" s="743" t="str">
        <f t="shared" si="223"/>
        <v/>
      </c>
      <c r="BD615" s="743" t="str">
        <f t="shared" si="224"/>
        <v/>
      </c>
      <c r="BE615" s="743" t="str">
        <f>IF(D615="","",VLOOKUP(D615,'General Basis'!$J$39:$K$46,2,0))</f>
        <v/>
      </c>
      <c r="BF615" s="744" t="str">
        <f>IF(D615="","",VLOOKUP(D615,'General Basis'!$J$39:$L$46,3,0))</f>
        <v/>
      </c>
      <c r="BG615" s="744" t="str">
        <f t="shared" si="231"/>
        <v/>
      </c>
      <c r="BH615" s="744" t="str">
        <f>IF(G615="","",IF(BF615="Abu Dhabi",IF(G615&lt;18,'General Basis'!$C$39,IF(G615&lt;41,'General Basis'!$C$40,IF(G615&lt;60,'General Basis'!$C$41,IF(G615&lt;65,'General Basis'!$C$42,'General Basis'!$C$43)))),IF(G615&lt;11,'General Basis'!$B$39,IF(G615&lt;18,'General Basis'!$B$40,IF(G615&lt;26,'General Basis'!$B$41,IF(G615&lt;31,'General Basis'!$B$42,IF(G615&lt;36,'General Basis'!$B$43,IF(G615&lt;41,'General Basis'!$B$44,IF(G615&lt;46,'General Basis'!$B$45,IF(G615&lt;51,'General Basis'!$B$46,IF(G615&lt;56,'General Basis'!$B$47,IF(G615&lt;60,'General Basis'!$B$48,IF(G615&lt;65,'General Basis'!$B$49,'General Basis'!$B$50)))))))))))))</f>
        <v/>
      </c>
      <c r="BI615" s="744" t="str">
        <f t="shared" si="225"/>
        <v/>
      </c>
      <c r="BJ615" s="747" t="str">
        <f t="shared" si="232"/>
        <v/>
      </c>
      <c r="BK615" s="498" t="str">
        <f t="shared" si="226"/>
        <v/>
      </c>
      <c r="BL615" s="498" t="str">
        <f t="shared" si="227"/>
        <v/>
      </c>
    </row>
    <row r="616" spans="1:64" x14ac:dyDescent="0.25">
      <c r="A616" s="762">
        <f t="shared" si="228"/>
        <v>611</v>
      </c>
      <c r="B616" s="229"/>
      <c r="C616" s="223"/>
      <c r="D616" s="224"/>
      <c r="E616" s="225"/>
      <c r="F616" s="1036" t="str">
        <f t="shared" si="234"/>
        <v/>
      </c>
      <c r="G616" s="1037" t="str">
        <f t="shared" si="229"/>
        <v/>
      </c>
      <c r="H616" s="225"/>
      <c r="I616" s="1013"/>
      <c r="J616" s="1013"/>
      <c r="K616" s="1028"/>
      <c r="L616" s="1035" t="str">
        <f t="shared" si="233"/>
        <v/>
      </c>
      <c r="S616" s="498"/>
      <c r="AJ616" s="498"/>
      <c r="AM616" s="498">
        <f t="shared" si="214"/>
        <v>0</v>
      </c>
      <c r="AN616" s="498">
        <f t="shared" si="215"/>
        <v>0</v>
      </c>
      <c r="AO616" s="498">
        <f t="shared" si="216"/>
        <v>0</v>
      </c>
      <c r="AP616" s="498">
        <f t="shared" si="235"/>
        <v>0</v>
      </c>
      <c r="AQ616" s="498">
        <f t="shared" si="230"/>
        <v>0</v>
      </c>
      <c r="AU616" s="498">
        <f t="shared" si="217"/>
        <v>0</v>
      </c>
      <c r="AV616" s="498">
        <f t="shared" si="218"/>
        <v>0</v>
      </c>
      <c r="AW616" s="498">
        <f t="shared" si="219"/>
        <v>0</v>
      </c>
      <c r="AX616" s="498">
        <f t="shared" si="220"/>
        <v>0</v>
      </c>
      <c r="AY616" s="498">
        <f t="shared" si="221"/>
        <v>0</v>
      </c>
      <c r="BB616" s="498" t="str">
        <f t="shared" si="222"/>
        <v/>
      </c>
      <c r="BC616" s="743" t="str">
        <f t="shared" si="223"/>
        <v/>
      </c>
      <c r="BD616" s="743" t="str">
        <f t="shared" si="224"/>
        <v/>
      </c>
      <c r="BE616" s="743" t="str">
        <f>IF(D616="","",VLOOKUP(D616,'General Basis'!$J$39:$K$46,2,0))</f>
        <v/>
      </c>
      <c r="BF616" s="744" t="str">
        <f>IF(D616="","",VLOOKUP(D616,'General Basis'!$J$39:$L$46,3,0))</f>
        <v/>
      </c>
      <c r="BG616" s="744" t="str">
        <f t="shared" si="231"/>
        <v/>
      </c>
      <c r="BH616" s="744" t="str">
        <f>IF(G616="","",IF(BF616="Abu Dhabi",IF(G616&lt;18,'General Basis'!$C$39,IF(G616&lt;41,'General Basis'!$C$40,IF(G616&lt;60,'General Basis'!$C$41,IF(G616&lt;65,'General Basis'!$C$42,'General Basis'!$C$43)))),IF(G616&lt;11,'General Basis'!$B$39,IF(G616&lt;18,'General Basis'!$B$40,IF(G616&lt;26,'General Basis'!$B$41,IF(G616&lt;31,'General Basis'!$B$42,IF(G616&lt;36,'General Basis'!$B$43,IF(G616&lt;41,'General Basis'!$B$44,IF(G616&lt;46,'General Basis'!$B$45,IF(G616&lt;51,'General Basis'!$B$46,IF(G616&lt;56,'General Basis'!$B$47,IF(G616&lt;60,'General Basis'!$B$48,IF(G616&lt;65,'General Basis'!$B$49,'General Basis'!$B$50)))))))))))))</f>
        <v/>
      </c>
      <c r="BI616" s="744" t="str">
        <f t="shared" si="225"/>
        <v/>
      </c>
      <c r="BJ616" s="747" t="str">
        <f t="shared" si="232"/>
        <v/>
      </c>
      <c r="BK616" s="498" t="str">
        <f t="shared" si="226"/>
        <v/>
      </c>
      <c r="BL616" s="498" t="str">
        <f t="shared" si="227"/>
        <v/>
      </c>
    </row>
    <row r="617" spans="1:64" x14ac:dyDescent="0.25">
      <c r="A617" s="762">
        <f t="shared" si="228"/>
        <v>612</v>
      </c>
      <c r="B617" s="229"/>
      <c r="C617" s="223"/>
      <c r="D617" s="224"/>
      <c r="E617" s="225"/>
      <c r="F617" s="1036" t="str">
        <f t="shared" si="234"/>
        <v/>
      </c>
      <c r="G617" s="1037" t="str">
        <f t="shared" si="229"/>
        <v/>
      </c>
      <c r="H617" s="225"/>
      <c r="I617" s="1013"/>
      <c r="J617" s="1013"/>
      <c r="K617" s="1028"/>
      <c r="L617" s="1035" t="str">
        <f t="shared" si="233"/>
        <v/>
      </c>
      <c r="S617" s="498"/>
      <c r="AJ617" s="498"/>
      <c r="AM617" s="498">
        <f t="shared" si="214"/>
        <v>0</v>
      </c>
      <c r="AN617" s="498">
        <f t="shared" si="215"/>
        <v>0</v>
      </c>
      <c r="AO617" s="498">
        <f t="shared" si="216"/>
        <v>0</v>
      </c>
      <c r="AP617" s="498">
        <f t="shared" si="235"/>
        <v>0</v>
      </c>
      <c r="AQ617" s="498">
        <f t="shared" si="230"/>
        <v>0</v>
      </c>
      <c r="AU617" s="498">
        <f t="shared" si="217"/>
        <v>0</v>
      </c>
      <c r="AV617" s="498">
        <f t="shared" si="218"/>
        <v>0</v>
      </c>
      <c r="AW617" s="498">
        <f t="shared" si="219"/>
        <v>0</v>
      </c>
      <c r="AX617" s="498">
        <f t="shared" si="220"/>
        <v>0</v>
      </c>
      <c r="AY617" s="498">
        <f t="shared" si="221"/>
        <v>0</v>
      </c>
      <c r="BB617" s="498" t="str">
        <f t="shared" si="222"/>
        <v/>
      </c>
      <c r="BC617" s="743" t="str">
        <f t="shared" si="223"/>
        <v/>
      </c>
      <c r="BD617" s="743" t="str">
        <f t="shared" si="224"/>
        <v/>
      </c>
      <c r="BE617" s="743" t="str">
        <f>IF(D617="","",VLOOKUP(D617,'General Basis'!$J$39:$K$46,2,0))</f>
        <v/>
      </c>
      <c r="BF617" s="744" t="str">
        <f>IF(D617="","",VLOOKUP(D617,'General Basis'!$J$39:$L$46,3,0))</f>
        <v/>
      </c>
      <c r="BG617" s="744" t="str">
        <f t="shared" si="231"/>
        <v/>
      </c>
      <c r="BH617" s="744" t="str">
        <f>IF(G617="","",IF(BF617="Abu Dhabi",IF(G617&lt;18,'General Basis'!$C$39,IF(G617&lt;41,'General Basis'!$C$40,IF(G617&lt;60,'General Basis'!$C$41,IF(G617&lt;65,'General Basis'!$C$42,'General Basis'!$C$43)))),IF(G617&lt;11,'General Basis'!$B$39,IF(G617&lt;18,'General Basis'!$B$40,IF(G617&lt;26,'General Basis'!$B$41,IF(G617&lt;31,'General Basis'!$B$42,IF(G617&lt;36,'General Basis'!$B$43,IF(G617&lt;41,'General Basis'!$B$44,IF(G617&lt;46,'General Basis'!$B$45,IF(G617&lt;51,'General Basis'!$B$46,IF(G617&lt;56,'General Basis'!$B$47,IF(G617&lt;60,'General Basis'!$B$48,IF(G617&lt;65,'General Basis'!$B$49,'General Basis'!$B$50)))))))))))))</f>
        <v/>
      </c>
      <c r="BI617" s="744" t="str">
        <f t="shared" si="225"/>
        <v/>
      </c>
      <c r="BJ617" s="747" t="str">
        <f t="shared" si="232"/>
        <v/>
      </c>
      <c r="BK617" s="498" t="str">
        <f t="shared" si="226"/>
        <v/>
      </c>
      <c r="BL617" s="498" t="str">
        <f t="shared" si="227"/>
        <v/>
      </c>
    </row>
    <row r="618" spans="1:64" x14ac:dyDescent="0.25">
      <c r="A618" s="762">
        <f t="shared" si="228"/>
        <v>613</v>
      </c>
      <c r="B618" s="229"/>
      <c r="C618" s="223"/>
      <c r="D618" s="224"/>
      <c r="E618" s="225"/>
      <c r="F618" s="1036" t="str">
        <f t="shared" si="234"/>
        <v/>
      </c>
      <c r="G618" s="1037" t="str">
        <f t="shared" si="229"/>
        <v/>
      </c>
      <c r="H618" s="225"/>
      <c r="I618" s="1013"/>
      <c r="J618" s="1013"/>
      <c r="K618" s="1028"/>
      <c r="L618" s="1035" t="str">
        <f t="shared" si="233"/>
        <v/>
      </c>
      <c r="S618" s="498"/>
      <c r="AJ618" s="498"/>
      <c r="AM618" s="498">
        <f t="shared" si="214"/>
        <v>0</v>
      </c>
      <c r="AN618" s="498">
        <f t="shared" si="215"/>
        <v>0</v>
      </c>
      <c r="AO618" s="498">
        <f t="shared" si="216"/>
        <v>0</v>
      </c>
      <c r="AP618" s="498">
        <f t="shared" si="235"/>
        <v>0</v>
      </c>
      <c r="AQ618" s="498">
        <f t="shared" si="230"/>
        <v>0</v>
      </c>
      <c r="AU618" s="498">
        <f t="shared" si="217"/>
        <v>0</v>
      </c>
      <c r="AV618" s="498">
        <f t="shared" si="218"/>
        <v>0</v>
      </c>
      <c r="AW618" s="498">
        <f t="shared" si="219"/>
        <v>0</v>
      </c>
      <c r="AX618" s="498">
        <f t="shared" si="220"/>
        <v>0</v>
      </c>
      <c r="AY618" s="498">
        <f t="shared" si="221"/>
        <v>0</v>
      </c>
      <c r="BB618" s="498" t="str">
        <f t="shared" si="222"/>
        <v/>
      </c>
      <c r="BC618" s="743" t="str">
        <f t="shared" si="223"/>
        <v/>
      </c>
      <c r="BD618" s="743" t="str">
        <f t="shared" si="224"/>
        <v/>
      </c>
      <c r="BE618" s="743" t="str">
        <f>IF(D618="","",VLOOKUP(D618,'General Basis'!$J$39:$K$46,2,0))</f>
        <v/>
      </c>
      <c r="BF618" s="744" t="str">
        <f>IF(D618="","",VLOOKUP(D618,'General Basis'!$J$39:$L$46,3,0))</f>
        <v/>
      </c>
      <c r="BG618" s="744" t="str">
        <f t="shared" si="231"/>
        <v/>
      </c>
      <c r="BH618" s="744" t="str">
        <f>IF(G618="","",IF(BF618="Abu Dhabi",IF(G618&lt;18,'General Basis'!$C$39,IF(G618&lt;41,'General Basis'!$C$40,IF(G618&lt;60,'General Basis'!$C$41,IF(G618&lt;65,'General Basis'!$C$42,'General Basis'!$C$43)))),IF(G618&lt;11,'General Basis'!$B$39,IF(G618&lt;18,'General Basis'!$B$40,IF(G618&lt;26,'General Basis'!$B$41,IF(G618&lt;31,'General Basis'!$B$42,IF(G618&lt;36,'General Basis'!$B$43,IF(G618&lt;41,'General Basis'!$B$44,IF(G618&lt;46,'General Basis'!$B$45,IF(G618&lt;51,'General Basis'!$B$46,IF(G618&lt;56,'General Basis'!$B$47,IF(G618&lt;60,'General Basis'!$B$48,IF(G618&lt;65,'General Basis'!$B$49,'General Basis'!$B$50)))))))))))))</f>
        <v/>
      </c>
      <c r="BI618" s="744" t="str">
        <f t="shared" si="225"/>
        <v/>
      </c>
      <c r="BJ618" s="747" t="str">
        <f t="shared" si="232"/>
        <v/>
      </c>
      <c r="BK618" s="498" t="str">
        <f t="shared" si="226"/>
        <v/>
      </c>
      <c r="BL618" s="498" t="str">
        <f t="shared" si="227"/>
        <v/>
      </c>
    </row>
    <row r="619" spans="1:64" x14ac:dyDescent="0.25">
      <c r="A619" s="762">
        <f t="shared" si="228"/>
        <v>614</v>
      </c>
      <c r="B619" s="229"/>
      <c r="C619" s="223"/>
      <c r="D619" s="224"/>
      <c r="E619" s="225"/>
      <c r="F619" s="1036" t="str">
        <f t="shared" si="234"/>
        <v/>
      </c>
      <c r="G619" s="1037" t="str">
        <f t="shared" si="229"/>
        <v/>
      </c>
      <c r="H619" s="225"/>
      <c r="I619" s="1013"/>
      <c r="J619" s="1013"/>
      <c r="K619" s="1028"/>
      <c r="L619" s="1035" t="str">
        <f t="shared" si="233"/>
        <v/>
      </c>
      <c r="S619" s="498"/>
      <c r="AJ619" s="498"/>
      <c r="AM619" s="498">
        <f t="shared" si="214"/>
        <v>0</v>
      </c>
      <c r="AN619" s="498">
        <f t="shared" si="215"/>
        <v>0</v>
      </c>
      <c r="AO619" s="498">
        <f t="shared" si="216"/>
        <v>0</v>
      </c>
      <c r="AP619" s="498">
        <f t="shared" si="235"/>
        <v>0</v>
      </c>
      <c r="AQ619" s="498">
        <f t="shared" si="230"/>
        <v>0</v>
      </c>
      <c r="AU619" s="498">
        <f t="shared" si="217"/>
        <v>0</v>
      </c>
      <c r="AV619" s="498">
        <f t="shared" si="218"/>
        <v>0</v>
      </c>
      <c r="AW619" s="498">
        <f t="shared" si="219"/>
        <v>0</v>
      </c>
      <c r="AX619" s="498">
        <f t="shared" si="220"/>
        <v>0</v>
      </c>
      <c r="AY619" s="498">
        <f t="shared" si="221"/>
        <v>0</v>
      </c>
      <c r="BB619" s="498" t="str">
        <f t="shared" si="222"/>
        <v/>
      </c>
      <c r="BC619" s="743" t="str">
        <f t="shared" si="223"/>
        <v/>
      </c>
      <c r="BD619" s="743" t="str">
        <f t="shared" si="224"/>
        <v/>
      </c>
      <c r="BE619" s="743" t="str">
        <f>IF(D619="","",VLOOKUP(D619,'General Basis'!$J$39:$K$46,2,0))</f>
        <v/>
      </c>
      <c r="BF619" s="744" t="str">
        <f>IF(D619="","",VLOOKUP(D619,'General Basis'!$J$39:$L$46,3,0))</f>
        <v/>
      </c>
      <c r="BG619" s="744" t="str">
        <f t="shared" si="231"/>
        <v/>
      </c>
      <c r="BH619" s="744" t="str">
        <f>IF(G619="","",IF(BF619="Abu Dhabi",IF(G619&lt;18,'General Basis'!$C$39,IF(G619&lt;41,'General Basis'!$C$40,IF(G619&lt;60,'General Basis'!$C$41,IF(G619&lt;65,'General Basis'!$C$42,'General Basis'!$C$43)))),IF(G619&lt;11,'General Basis'!$B$39,IF(G619&lt;18,'General Basis'!$B$40,IF(G619&lt;26,'General Basis'!$B$41,IF(G619&lt;31,'General Basis'!$B$42,IF(G619&lt;36,'General Basis'!$B$43,IF(G619&lt;41,'General Basis'!$B$44,IF(G619&lt;46,'General Basis'!$B$45,IF(G619&lt;51,'General Basis'!$B$46,IF(G619&lt;56,'General Basis'!$B$47,IF(G619&lt;60,'General Basis'!$B$48,IF(G619&lt;65,'General Basis'!$B$49,'General Basis'!$B$50)))))))))))))</f>
        <v/>
      </c>
      <c r="BI619" s="744" t="str">
        <f t="shared" si="225"/>
        <v/>
      </c>
      <c r="BJ619" s="747" t="str">
        <f t="shared" si="232"/>
        <v/>
      </c>
      <c r="BK619" s="498" t="str">
        <f t="shared" si="226"/>
        <v/>
      </c>
      <c r="BL619" s="498" t="str">
        <f t="shared" si="227"/>
        <v/>
      </c>
    </row>
    <row r="620" spans="1:64" x14ac:dyDescent="0.25">
      <c r="A620" s="762">
        <f t="shared" si="228"/>
        <v>615</v>
      </c>
      <c r="B620" s="229"/>
      <c r="C620" s="223"/>
      <c r="D620" s="224"/>
      <c r="E620" s="225"/>
      <c r="F620" s="1036" t="str">
        <f t="shared" si="234"/>
        <v/>
      </c>
      <c r="G620" s="1037" t="str">
        <f t="shared" si="229"/>
        <v/>
      </c>
      <c r="H620" s="225"/>
      <c r="I620" s="1013"/>
      <c r="J620" s="1013"/>
      <c r="K620" s="1028"/>
      <c r="L620" s="1035" t="str">
        <f t="shared" si="233"/>
        <v/>
      </c>
      <c r="S620" s="498"/>
      <c r="AJ620" s="498"/>
      <c r="AM620" s="498">
        <f t="shared" si="214"/>
        <v>0</v>
      </c>
      <c r="AN620" s="498">
        <f t="shared" si="215"/>
        <v>0</v>
      </c>
      <c r="AO620" s="498">
        <f t="shared" si="216"/>
        <v>0</v>
      </c>
      <c r="AP620" s="498">
        <f t="shared" si="235"/>
        <v>0</v>
      </c>
      <c r="AQ620" s="498">
        <f t="shared" si="230"/>
        <v>0</v>
      </c>
      <c r="AU620" s="498">
        <f t="shared" si="217"/>
        <v>0</v>
      </c>
      <c r="AV620" s="498">
        <f t="shared" si="218"/>
        <v>0</v>
      </c>
      <c r="AW620" s="498">
        <f t="shared" si="219"/>
        <v>0</v>
      </c>
      <c r="AX620" s="498">
        <f t="shared" si="220"/>
        <v>0</v>
      </c>
      <c r="AY620" s="498">
        <f t="shared" si="221"/>
        <v>0</v>
      </c>
      <c r="BB620" s="498" t="str">
        <f t="shared" si="222"/>
        <v/>
      </c>
      <c r="BC620" s="743" t="str">
        <f t="shared" si="223"/>
        <v/>
      </c>
      <c r="BD620" s="743" t="str">
        <f t="shared" si="224"/>
        <v/>
      </c>
      <c r="BE620" s="743" t="str">
        <f>IF(D620="","",VLOOKUP(D620,'General Basis'!$J$39:$K$46,2,0))</f>
        <v/>
      </c>
      <c r="BF620" s="744" t="str">
        <f>IF(D620="","",VLOOKUP(D620,'General Basis'!$J$39:$L$46,3,0))</f>
        <v/>
      </c>
      <c r="BG620" s="744" t="str">
        <f t="shared" si="231"/>
        <v/>
      </c>
      <c r="BH620" s="744" t="str">
        <f>IF(G620="","",IF(BF620="Abu Dhabi",IF(G620&lt;18,'General Basis'!$C$39,IF(G620&lt;41,'General Basis'!$C$40,IF(G620&lt;60,'General Basis'!$C$41,IF(G620&lt;65,'General Basis'!$C$42,'General Basis'!$C$43)))),IF(G620&lt;11,'General Basis'!$B$39,IF(G620&lt;18,'General Basis'!$B$40,IF(G620&lt;26,'General Basis'!$B$41,IF(G620&lt;31,'General Basis'!$B$42,IF(G620&lt;36,'General Basis'!$B$43,IF(G620&lt;41,'General Basis'!$B$44,IF(G620&lt;46,'General Basis'!$B$45,IF(G620&lt;51,'General Basis'!$B$46,IF(G620&lt;56,'General Basis'!$B$47,IF(G620&lt;60,'General Basis'!$B$48,IF(G620&lt;65,'General Basis'!$B$49,'General Basis'!$B$50)))))))))))))</f>
        <v/>
      </c>
      <c r="BI620" s="744" t="str">
        <f t="shared" si="225"/>
        <v/>
      </c>
      <c r="BJ620" s="747" t="str">
        <f t="shared" si="232"/>
        <v/>
      </c>
      <c r="BK620" s="498" t="str">
        <f t="shared" si="226"/>
        <v/>
      </c>
      <c r="BL620" s="498" t="str">
        <f t="shared" si="227"/>
        <v/>
      </c>
    </row>
    <row r="621" spans="1:64" x14ac:dyDescent="0.25">
      <c r="A621" s="762">
        <f t="shared" si="228"/>
        <v>616</v>
      </c>
      <c r="B621" s="229"/>
      <c r="C621" s="223"/>
      <c r="D621" s="224"/>
      <c r="E621" s="225"/>
      <c r="F621" s="1036" t="str">
        <f t="shared" si="234"/>
        <v/>
      </c>
      <c r="G621" s="1037" t="str">
        <f t="shared" si="229"/>
        <v/>
      </c>
      <c r="H621" s="225"/>
      <c r="I621" s="1013"/>
      <c r="J621" s="1013"/>
      <c r="K621" s="1028"/>
      <c r="L621" s="1035" t="str">
        <f t="shared" si="233"/>
        <v/>
      </c>
      <c r="S621" s="498"/>
      <c r="AJ621" s="498"/>
      <c r="AM621" s="498">
        <f t="shared" si="214"/>
        <v>0</v>
      </c>
      <c r="AN621" s="498">
        <f t="shared" si="215"/>
        <v>0</v>
      </c>
      <c r="AO621" s="498">
        <f t="shared" si="216"/>
        <v>0</v>
      </c>
      <c r="AP621" s="498">
        <f t="shared" si="235"/>
        <v>0</v>
      </c>
      <c r="AQ621" s="498">
        <f t="shared" si="230"/>
        <v>0</v>
      </c>
      <c r="AU621" s="498">
        <f t="shared" si="217"/>
        <v>0</v>
      </c>
      <c r="AV621" s="498">
        <f t="shared" si="218"/>
        <v>0</v>
      </c>
      <c r="AW621" s="498">
        <f t="shared" si="219"/>
        <v>0</v>
      </c>
      <c r="AX621" s="498">
        <f t="shared" si="220"/>
        <v>0</v>
      </c>
      <c r="AY621" s="498">
        <f t="shared" si="221"/>
        <v>0</v>
      </c>
      <c r="BB621" s="498" t="str">
        <f t="shared" si="222"/>
        <v/>
      </c>
      <c r="BC621" s="743" t="str">
        <f t="shared" si="223"/>
        <v/>
      </c>
      <c r="BD621" s="743" t="str">
        <f t="shared" si="224"/>
        <v/>
      </c>
      <c r="BE621" s="743" t="str">
        <f>IF(D621="","",VLOOKUP(D621,'General Basis'!$J$39:$K$46,2,0))</f>
        <v/>
      </c>
      <c r="BF621" s="744" t="str">
        <f>IF(D621="","",VLOOKUP(D621,'General Basis'!$J$39:$L$46,3,0))</f>
        <v/>
      </c>
      <c r="BG621" s="744" t="str">
        <f t="shared" si="231"/>
        <v/>
      </c>
      <c r="BH621" s="744" t="str">
        <f>IF(G621="","",IF(BF621="Abu Dhabi",IF(G621&lt;18,'General Basis'!$C$39,IF(G621&lt;41,'General Basis'!$C$40,IF(G621&lt;60,'General Basis'!$C$41,IF(G621&lt;65,'General Basis'!$C$42,'General Basis'!$C$43)))),IF(G621&lt;11,'General Basis'!$B$39,IF(G621&lt;18,'General Basis'!$B$40,IF(G621&lt;26,'General Basis'!$B$41,IF(G621&lt;31,'General Basis'!$B$42,IF(G621&lt;36,'General Basis'!$B$43,IF(G621&lt;41,'General Basis'!$B$44,IF(G621&lt;46,'General Basis'!$B$45,IF(G621&lt;51,'General Basis'!$B$46,IF(G621&lt;56,'General Basis'!$B$47,IF(G621&lt;60,'General Basis'!$B$48,IF(G621&lt;65,'General Basis'!$B$49,'General Basis'!$B$50)))))))))))))</f>
        <v/>
      </c>
      <c r="BI621" s="744" t="str">
        <f t="shared" si="225"/>
        <v/>
      </c>
      <c r="BJ621" s="747" t="str">
        <f t="shared" si="232"/>
        <v/>
      </c>
      <c r="BK621" s="498" t="str">
        <f t="shared" si="226"/>
        <v/>
      </c>
      <c r="BL621" s="498" t="str">
        <f t="shared" si="227"/>
        <v/>
      </c>
    </row>
    <row r="622" spans="1:64" x14ac:dyDescent="0.25">
      <c r="A622" s="762">
        <f t="shared" si="228"/>
        <v>617</v>
      </c>
      <c r="B622" s="229"/>
      <c r="C622" s="223"/>
      <c r="D622" s="224"/>
      <c r="E622" s="225"/>
      <c r="F622" s="1036" t="str">
        <f t="shared" si="234"/>
        <v/>
      </c>
      <c r="G622" s="1037" t="str">
        <f t="shared" si="229"/>
        <v/>
      </c>
      <c r="H622" s="225"/>
      <c r="I622" s="1013"/>
      <c r="J622" s="1013"/>
      <c r="K622" s="1028"/>
      <c r="L622" s="1035" t="str">
        <f t="shared" si="233"/>
        <v/>
      </c>
      <c r="S622" s="498"/>
      <c r="AJ622" s="498"/>
      <c r="AM622" s="498">
        <f t="shared" si="214"/>
        <v>0</v>
      </c>
      <c r="AN622" s="498">
        <f t="shared" si="215"/>
        <v>0</v>
      </c>
      <c r="AO622" s="498">
        <f t="shared" si="216"/>
        <v>0</v>
      </c>
      <c r="AP622" s="498">
        <f t="shared" si="235"/>
        <v>0</v>
      </c>
      <c r="AQ622" s="498">
        <f t="shared" si="230"/>
        <v>0</v>
      </c>
      <c r="AU622" s="498">
        <f t="shared" si="217"/>
        <v>0</v>
      </c>
      <c r="AV622" s="498">
        <f t="shared" si="218"/>
        <v>0</v>
      </c>
      <c r="AW622" s="498">
        <f t="shared" si="219"/>
        <v>0</v>
      </c>
      <c r="AX622" s="498">
        <f t="shared" si="220"/>
        <v>0</v>
      </c>
      <c r="AY622" s="498">
        <f t="shared" si="221"/>
        <v>0</v>
      </c>
      <c r="BB622" s="498" t="str">
        <f t="shared" si="222"/>
        <v/>
      </c>
      <c r="BC622" s="743" t="str">
        <f t="shared" si="223"/>
        <v/>
      </c>
      <c r="BD622" s="743" t="str">
        <f t="shared" si="224"/>
        <v/>
      </c>
      <c r="BE622" s="743" t="str">
        <f>IF(D622="","",VLOOKUP(D622,'General Basis'!$J$39:$K$46,2,0))</f>
        <v/>
      </c>
      <c r="BF622" s="744" t="str">
        <f>IF(D622="","",VLOOKUP(D622,'General Basis'!$J$39:$L$46,3,0))</f>
        <v/>
      </c>
      <c r="BG622" s="744" t="str">
        <f t="shared" si="231"/>
        <v/>
      </c>
      <c r="BH622" s="744" t="str">
        <f>IF(G622="","",IF(BF622="Abu Dhabi",IF(G622&lt;18,'General Basis'!$C$39,IF(G622&lt;41,'General Basis'!$C$40,IF(G622&lt;60,'General Basis'!$C$41,IF(G622&lt;65,'General Basis'!$C$42,'General Basis'!$C$43)))),IF(G622&lt;11,'General Basis'!$B$39,IF(G622&lt;18,'General Basis'!$B$40,IF(G622&lt;26,'General Basis'!$B$41,IF(G622&lt;31,'General Basis'!$B$42,IF(G622&lt;36,'General Basis'!$B$43,IF(G622&lt;41,'General Basis'!$B$44,IF(G622&lt;46,'General Basis'!$B$45,IF(G622&lt;51,'General Basis'!$B$46,IF(G622&lt;56,'General Basis'!$B$47,IF(G622&lt;60,'General Basis'!$B$48,IF(G622&lt;65,'General Basis'!$B$49,'General Basis'!$B$50)))))))))))))</f>
        <v/>
      </c>
      <c r="BI622" s="744" t="str">
        <f t="shared" si="225"/>
        <v/>
      </c>
      <c r="BJ622" s="747" t="str">
        <f t="shared" si="232"/>
        <v/>
      </c>
      <c r="BK622" s="498" t="str">
        <f t="shared" si="226"/>
        <v/>
      </c>
      <c r="BL622" s="498" t="str">
        <f t="shared" si="227"/>
        <v/>
      </c>
    </row>
    <row r="623" spans="1:64" x14ac:dyDescent="0.25">
      <c r="A623" s="762">
        <f t="shared" si="228"/>
        <v>618</v>
      </c>
      <c r="B623" s="229"/>
      <c r="C623" s="223"/>
      <c r="D623" s="224"/>
      <c r="E623" s="225"/>
      <c r="F623" s="1036" t="str">
        <f t="shared" si="234"/>
        <v/>
      </c>
      <c r="G623" s="1037" t="str">
        <f t="shared" si="229"/>
        <v/>
      </c>
      <c r="H623" s="225"/>
      <c r="I623" s="1013"/>
      <c r="J623" s="1013"/>
      <c r="K623" s="1028"/>
      <c r="L623" s="1035" t="str">
        <f t="shared" si="233"/>
        <v/>
      </c>
      <c r="S623" s="498"/>
      <c r="AJ623" s="498"/>
      <c r="AM623" s="498">
        <f t="shared" si="214"/>
        <v>0</v>
      </c>
      <c r="AN623" s="498">
        <f t="shared" si="215"/>
        <v>0</v>
      </c>
      <c r="AO623" s="498">
        <f t="shared" si="216"/>
        <v>0</v>
      </c>
      <c r="AP623" s="498">
        <f t="shared" si="235"/>
        <v>0</v>
      </c>
      <c r="AQ623" s="498">
        <f t="shared" si="230"/>
        <v>0</v>
      </c>
      <c r="AU623" s="498">
        <f t="shared" si="217"/>
        <v>0</v>
      </c>
      <c r="AV623" s="498">
        <f t="shared" si="218"/>
        <v>0</v>
      </c>
      <c r="AW623" s="498">
        <f t="shared" si="219"/>
        <v>0</v>
      </c>
      <c r="AX623" s="498">
        <f t="shared" si="220"/>
        <v>0</v>
      </c>
      <c r="AY623" s="498">
        <f t="shared" si="221"/>
        <v>0</v>
      </c>
      <c r="BB623" s="498" t="str">
        <f t="shared" si="222"/>
        <v/>
      </c>
      <c r="BC623" s="743" t="str">
        <f t="shared" si="223"/>
        <v/>
      </c>
      <c r="BD623" s="743" t="str">
        <f t="shared" si="224"/>
        <v/>
      </c>
      <c r="BE623" s="743" t="str">
        <f>IF(D623="","",VLOOKUP(D623,'General Basis'!$J$39:$K$46,2,0))</f>
        <v/>
      </c>
      <c r="BF623" s="744" t="str">
        <f>IF(D623="","",VLOOKUP(D623,'General Basis'!$J$39:$L$46,3,0))</f>
        <v/>
      </c>
      <c r="BG623" s="744" t="str">
        <f t="shared" si="231"/>
        <v/>
      </c>
      <c r="BH623" s="744" t="str">
        <f>IF(G623="","",IF(BF623="Abu Dhabi",IF(G623&lt;18,'General Basis'!$C$39,IF(G623&lt;41,'General Basis'!$C$40,IF(G623&lt;60,'General Basis'!$C$41,IF(G623&lt;65,'General Basis'!$C$42,'General Basis'!$C$43)))),IF(G623&lt;11,'General Basis'!$B$39,IF(G623&lt;18,'General Basis'!$B$40,IF(G623&lt;26,'General Basis'!$B$41,IF(G623&lt;31,'General Basis'!$B$42,IF(G623&lt;36,'General Basis'!$B$43,IF(G623&lt;41,'General Basis'!$B$44,IF(G623&lt;46,'General Basis'!$B$45,IF(G623&lt;51,'General Basis'!$B$46,IF(G623&lt;56,'General Basis'!$B$47,IF(G623&lt;60,'General Basis'!$B$48,IF(G623&lt;65,'General Basis'!$B$49,'General Basis'!$B$50)))))))))))))</f>
        <v/>
      </c>
      <c r="BI623" s="744" t="str">
        <f t="shared" si="225"/>
        <v/>
      </c>
      <c r="BJ623" s="747" t="str">
        <f t="shared" si="232"/>
        <v/>
      </c>
      <c r="BK623" s="498" t="str">
        <f t="shared" si="226"/>
        <v/>
      </c>
      <c r="BL623" s="498" t="str">
        <f t="shared" si="227"/>
        <v/>
      </c>
    </row>
    <row r="624" spans="1:64" x14ac:dyDescent="0.25">
      <c r="A624" s="762">
        <f t="shared" si="228"/>
        <v>619</v>
      </c>
      <c r="B624" s="229"/>
      <c r="C624" s="223"/>
      <c r="D624" s="224"/>
      <c r="E624" s="225"/>
      <c r="F624" s="1036" t="str">
        <f t="shared" si="234"/>
        <v/>
      </c>
      <c r="G624" s="1037" t="str">
        <f t="shared" si="229"/>
        <v/>
      </c>
      <c r="H624" s="225"/>
      <c r="I624" s="1013"/>
      <c r="J624" s="1013"/>
      <c r="K624" s="1028"/>
      <c r="L624" s="1035" t="str">
        <f t="shared" si="233"/>
        <v/>
      </c>
      <c r="S624" s="498"/>
      <c r="AJ624" s="498"/>
      <c r="AM624" s="498">
        <f t="shared" si="214"/>
        <v>0</v>
      </c>
      <c r="AN624" s="498">
        <f t="shared" si="215"/>
        <v>0</v>
      </c>
      <c r="AO624" s="498">
        <f t="shared" si="216"/>
        <v>0</v>
      </c>
      <c r="AP624" s="498">
        <f t="shared" si="235"/>
        <v>0</v>
      </c>
      <c r="AQ624" s="498">
        <f t="shared" si="230"/>
        <v>0</v>
      </c>
      <c r="AU624" s="498">
        <f t="shared" si="217"/>
        <v>0</v>
      </c>
      <c r="AV624" s="498">
        <f t="shared" si="218"/>
        <v>0</v>
      </c>
      <c r="AW624" s="498">
        <f t="shared" si="219"/>
        <v>0</v>
      </c>
      <c r="AX624" s="498">
        <f t="shared" si="220"/>
        <v>0</v>
      </c>
      <c r="AY624" s="498">
        <f t="shared" si="221"/>
        <v>0</v>
      </c>
      <c r="BB624" s="498" t="str">
        <f t="shared" si="222"/>
        <v/>
      </c>
      <c r="BC624" s="743" t="str">
        <f t="shared" si="223"/>
        <v/>
      </c>
      <c r="BD624" s="743" t="str">
        <f t="shared" si="224"/>
        <v/>
      </c>
      <c r="BE624" s="743" t="str">
        <f>IF(D624="","",VLOOKUP(D624,'General Basis'!$J$39:$K$46,2,0))</f>
        <v/>
      </c>
      <c r="BF624" s="744" t="str">
        <f>IF(D624="","",VLOOKUP(D624,'General Basis'!$J$39:$L$46,3,0))</f>
        <v/>
      </c>
      <c r="BG624" s="744" t="str">
        <f t="shared" si="231"/>
        <v/>
      </c>
      <c r="BH624" s="744" t="str">
        <f>IF(G624="","",IF(BF624="Abu Dhabi",IF(G624&lt;18,'General Basis'!$C$39,IF(G624&lt;41,'General Basis'!$C$40,IF(G624&lt;60,'General Basis'!$C$41,IF(G624&lt;65,'General Basis'!$C$42,'General Basis'!$C$43)))),IF(G624&lt;11,'General Basis'!$B$39,IF(G624&lt;18,'General Basis'!$B$40,IF(G624&lt;26,'General Basis'!$B$41,IF(G624&lt;31,'General Basis'!$B$42,IF(G624&lt;36,'General Basis'!$B$43,IF(G624&lt;41,'General Basis'!$B$44,IF(G624&lt;46,'General Basis'!$B$45,IF(G624&lt;51,'General Basis'!$B$46,IF(G624&lt;56,'General Basis'!$B$47,IF(G624&lt;60,'General Basis'!$B$48,IF(G624&lt;65,'General Basis'!$B$49,'General Basis'!$B$50)))))))))))))</f>
        <v/>
      </c>
      <c r="BI624" s="744" t="str">
        <f t="shared" si="225"/>
        <v/>
      </c>
      <c r="BJ624" s="747" t="str">
        <f t="shared" si="232"/>
        <v/>
      </c>
      <c r="BK624" s="498" t="str">
        <f t="shared" si="226"/>
        <v/>
      </c>
      <c r="BL624" s="498" t="str">
        <f t="shared" si="227"/>
        <v/>
      </c>
    </row>
    <row r="625" spans="1:64" x14ac:dyDescent="0.25">
      <c r="A625" s="762">
        <f t="shared" si="228"/>
        <v>620</v>
      </c>
      <c r="B625" s="229"/>
      <c r="C625" s="223"/>
      <c r="D625" s="224"/>
      <c r="E625" s="225"/>
      <c r="F625" s="1036" t="str">
        <f t="shared" si="234"/>
        <v/>
      </c>
      <c r="G625" s="1037" t="str">
        <f t="shared" si="229"/>
        <v/>
      </c>
      <c r="H625" s="225"/>
      <c r="I625" s="1013"/>
      <c r="J625" s="1013"/>
      <c r="K625" s="1028"/>
      <c r="L625" s="1035" t="str">
        <f t="shared" si="233"/>
        <v/>
      </c>
      <c r="S625" s="498"/>
      <c r="AJ625" s="498"/>
      <c r="AM625" s="498">
        <f t="shared" si="214"/>
        <v>0</v>
      </c>
      <c r="AN625" s="498">
        <f t="shared" si="215"/>
        <v>0</v>
      </c>
      <c r="AO625" s="498">
        <f t="shared" si="216"/>
        <v>0</v>
      </c>
      <c r="AP625" s="498">
        <f t="shared" si="235"/>
        <v>0</v>
      </c>
      <c r="AQ625" s="498">
        <f t="shared" si="230"/>
        <v>0</v>
      </c>
      <c r="AU625" s="498">
        <f t="shared" si="217"/>
        <v>0</v>
      </c>
      <c r="AV625" s="498">
        <f t="shared" si="218"/>
        <v>0</v>
      </c>
      <c r="AW625" s="498">
        <f t="shared" si="219"/>
        <v>0</v>
      </c>
      <c r="AX625" s="498">
        <f t="shared" si="220"/>
        <v>0</v>
      </c>
      <c r="AY625" s="498">
        <f t="shared" si="221"/>
        <v>0</v>
      </c>
      <c r="BB625" s="498" t="str">
        <f t="shared" si="222"/>
        <v/>
      </c>
      <c r="BC625" s="743" t="str">
        <f t="shared" si="223"/>
        <v/>
      </c>
      <c r="BD625" s="743" t="str">
        <f t="shared" si="224"/>
        <v/>
      </c>
      <c r="BE625" s="743" t="str">
        <f>IF(D625="","",VLOOKUP(D625,'General Basis'!$J$39:$K$46,2,0))</f>
        <v/>
      </c>
      <c r="BF625" s="744" t="str">
        <f>IF(D625="","",VLOOKUP(D625,'General Basis'!$J$39:$L$46,3,0))</f>
        <v/>
      </c>
      <c r="BG625" s="744" t="str">
        <f t="shared" si="231"/>
        <v/>
      </c>
      <c r="BH625" s="744" t="str">
        <f>IF(G625="","",IF(BF625="Abu Dhabi",IF(G625&lt;18,'General Basis'!$C$39,IF(G625&lt;41,'General Basis'!$C$40,IF(G625&lt;60,'General Basis'!$C$41,IF(G625&lt;65,'General Basis'!$C$42,'General Basis'!$C$43)))),IF(G625&lt;11,'General Basis'!$B$39,IF(G625&lt;18,'General Basis'!$B$40,IF(G625&lt;26,'General Basis'!$B$41,IF(G625&lt;31,'General Basis'!$B$42,IF(G625&lt;36,'General Basis'!$B$43,IF(G625&lt;41,'General Basis'!$B$44,IF(G625&lt;46,'General Basis'!$B$45,IF(G625&lt;51,'General Basis'!$B$46,IF(G625&lt;56,'General Basis'!$B$47,IF(G625&lt;60,'General Basis'!$B$48,IF(G625&lt;65,'General Basis'!$B$49,'General Basis'!$B$50)))))))))))))</f>
        <v/>
      </c>
      <c r="BI625" s="744" t="str">
        <f t="shared" si="225"/>
        <v/>
      </c>
      <c r="BJ625" s="747" t="str">
        <f t="shared" si="232"/>
        <v/>
      </c>
      <c r="BK625" s="498" t="str">
        <f t="shared" si="226"/>
        <v/>
      </c>
      <c r="BL625" s="498" t="str">
        <f t="shared" si="227"/>
        <v/>
      </c>
    </row>
    <row r="626" spans="1:64" x14ac:dyDescent="0.25">
      <c r="A626" s="762">
        <f t="shared" si="228"/>
        <v>621</v>
      </c>
      <c r="B626" s="229"/>
      <c r="C626" s="223"/>
      <c r="D626" s="224"/>
      <c r="E626" s="225"/>
      <c r="F626" s="1036" t="str">
        <f t="shared" si="234"/>
        <v/>
      </c>
      <c r="G626" s="1037" t="str">
        <f t="shared" si="229"/>
        <v/>
      </c>
      <c r="H626" s="225"/>
      <c r="I626" s="1013"/>
      <c r="J626" s="1013"/>
      <c r="K626" s="1028"/>
      <c r="L626" s="1035" t="str">
        <f t="shared" si="233"/>
        <v/>
      </c>
      <c r="S626" s="498"/>
      <c r="AJ626" s="498"/>
      <c r="AM626" s="498">
        <f t="shared" si="214"/>
        <v>0</v>
      </c>
      <c r="AN626" s="498">
        <f t="shared" si="215"/>
        <v>0</v>
      </c>
      <c r="AO626" s="498">
        <f t="shared" si="216"/>
        <v>0</v>
      </c>
      <c r="AP626" s="498">
        <f t="shared" si="235"/>
        <v>0</v>
      </c>
      <c r="AQ626" s="498">
        <f t="shared" si="230"/>
        <v>0</v>
      </c>
      <c r="AU626" s="498">
        <f t="shared" si="217"/>
        <v>0</v>
      </c>
      <c r="AV626" s="498">
        <f t="shared" si="218"/>
        <v>0</v>
      </c>
      <c r="AW626" s="498">
        <f t="shared" si="219"/>
        <v>0</v>
      </c>
      <c r="AX626" s="498">
        <f t="shared" si="220"/>
        <v>0</v>
      </c>
      <c r="AY626" s="498">
        <f t="shared" si="221"/>
        <v>0</v>
      </c>
      <c r="BB626" s="498" t="str">
        <f t="shared" si="222"/>
        <v/>
      </c>
      <c r="BC626" s="743" t="str">
        <f t="shared" si="223"/>
        <v/>
      </c>
      <c r="BD626" s="743" t="str">
        <f t="shared" si="224"/>
        <v/>
      </c>
      <c r="BE626" s="743" t="str">
        <f>IF(D626="","",VLOOKUP(D626,'General Basis'!$J$39:$K$46,2,0))</f>
        <v/>
      </c>
      <c r="BF626" s="744" t="str">
        <f>IF(D626="","",VLOOKUP(D626,'General Basis'!$J$39:$L$46,3,0))</f>
        <v/>
      </c>
      <c r="BG626" s="744" t="str">
        <f t="shared" si="231"/>
        <v/>
      </c>
      <c r="BH626" s="744" t="str">
        <f>IF(G626="","",IF(BF626="Abu Dhabi",IF(G626&lt;18,'General Basis'!$C$39,IF(G626&lt;41,'General Basis'!$C$40,IF(G626&lt;60,'General Basis'!$C$41,IF(G626&lt;65,'General Basis'!$C$42,'General Basis'!$C$43)))),IF(G626&lt;11,'General Basis'!$B$39,IF(G626&lt;18,'General Basis'!$B$40,IF(G626&lt;26,'General Basis'!$B$41,IF(G626&lt;31,'General Basis'!$B$42,IF(G626&lt;36,'General Basis'!$B$43,IF(G626&lt;41,'General Basis'!$B$44,IF(G626&lt;46,'General Basis'!$B$45,IF(G626&lt;51,'General Basis'!$B$46,IF(G626&lt;56,'General Basis'!$B$47,IF(G626&lt;60,'General Basis'!$B$48,IF(G626&lt;65,'General Basis'!$B$49,'General Basis'!$B$50)))))))))))))</f>
        <v/>
      </c>
      <c r="BI626" s="744" t="str">
        <f t="shared" si="225"/>
        <v/>
      </c>
      <c r="BJ626" s="747" t="str">
        <f t="shared" si="232"/>
        <v/>
      </c>
      <c r="BK626" s="498" t="str">
        <f t="shared" si="226"/>
        <v/>
      </c>
      <c r="BL626" s="498" t="str">
        <f t="shared" si="227"/>
        <v/>
      </c>
    </row>
    <row r="627" spans="1:64" x14ac:dyDescent="0.25">
      <c r="A627" s="762">
        <f t="shared" si="228"/>
        <v>622</v>
      </c>
      <c r="B627" s="229"/>
      <c r="C627" s="223"/>
      <c r="D627" s="224"/>
      <c r="E627" s="225"/>
      <c r="F627" s="1036" t="str">
        <f t="shared" si="234"/>
        <v/>
      </c>
      <c r="G627" s="1037" t="str">
        <f t="shared" si="229"/>
        <v/>
      </c>
      <c r="H627" s="225"/>
      <c r="I627" s="1013"/>
      <c r="J627" s="1013"/>
      <c r="K627" s="1028"/>
      <c r="L627" s="1035" t="str">
        <f t="shared" si="233"/>
        <v/>
      </c>
      <c r="S627" s="498"/>
      <c r="AJ627" s="498"/>
      <c r="AM627" s="498">
        <f t="shared" si="214"/>
        <v>0</v>
      </c>
      <c r="AN627" s="498">
        <f t="shared" si="215"/>
        <v>0</v>
      </c>
      <c r="AO627" s="498">
        <f t="shared" si="216"/>
        <v>0</v>
      </c>
      <c r="AP627" s="498">
        <f t="shared" si="235"/>
        <v>0</v>
      </c>
      <c r="AQ627" s="498">
        <f t="shared" si="230"/>
        <v>0</v>
      </c>
      <c r="AU627" s="498">
        <f t="shared" si="217"/>
        <v>0</v>
      </c>
      <c r="AV627" s="498">
        <f t="shared" si="218"/>
        <v>0</v>
      </c>
      <c r="AW627" s="498">
        <f t="shared" si="219"/>
        <v>0</v>
      </c>
      <c r="AX627" s="498">
        <f t="shared" si="220"/>
        <v>0</v>
      </c>
      <c r="AY627" s="498">
        <f t="shared" si="221"/>
        <v>0</v>
      </c>
      <c r="BB627" s="498" t="str">
        <f t="shared" si="222"/>
        <v/>
      </c>
      <c r="BC627" s="743" t="str">
        <f t="shared" si="223"/>
        <v/>
      </c>
      <c r="BD627" s="743" t="str">
        <f t="shared" si="224"/>
        <v/>
      </c>
      <c r="BE627" s="743" t="str">
        <f>IF(D627="","",VLOOKUP(D627,'General Basis'!$J$39:$K$46,2,0))</f>
        <v/>
      </c>
      <c r="BF627" s="744" t="str">
        <f>IF(D627="","",VLOOKUP(D627,'General Basis'!$J$39:$L$46,3,0))</f>
        <v/>
      </c>
      <c r="BG627" s="744" t="str">
        <f t="shared" si="231"/>
        <v/>
      </c>
      <c r="BH627" s="744" t="str">
        <f>IF(G627="","",IF(BF627="Abu Dhabi",IF(G627&lt;18,'General Basis'!$C$39,IF(G627&lt;41,'General Basis'!$C$40,IF(G627&lt;60,'General Basis'!$C$41,IF(G627&lt;65,'General Basis'!$C$42,'General Basis'!$C$43)))),IF(G627&lt;11,'General Basis'!$B$39,IF(G627&lt;18,'General Basis'!$B$40,IF(G627&lt;26,'General Basis'!$B$41,IF(G627&lt;31,'General Basis'!$B$42,IF(G627&lt;36,'General Basis'!$B$43,IF(G627&lt;41,'General Basis'!$B$44,IF(G627&lt;46,'General Basis'!$B$45,IF(G627&lt;51,'General Basis'!$B$46,IF(G627&lt;56,'General Basis'!$B$47,IF(G627&lt;60,'General Basis'!$B$48,IF(G627&lt;65,'General Basis'!$B$49,'General Basis'!$B$50)))))))))))))</f>
        <v/>
      </c>
      <c r="BI627" s="744" t="str">
        <f t="shared" si="225"/>
        <v/>
      </c>
      <c r="BJ627" s="747" t="str">
        <f t="shared" si="232"/>
        <v/>
      </c>
      <c r="BK627" s="498" t="str">
        <f t="shared" si="226"/>
        <v/>
      </c>
      <c r="BL627" s="498" t="str">
        <f t="shared" si="227"/>
        <v/>
      </c>
    </row>
    <row r="628" spans="1:64" x14ac:dyDescent="0.25">
      <c r="A628" s="762">
        <f t="shared" si="228"/>
        <v>623</v>
      </c>
      <c r="B628" s="229"/>
      <c r="C628" s="223"/>
      <c r="D628" s="224"/>
      <c r="E628" s="225"/>
      <c r="F628" s="1036" t="str">
        <f t="shared" si="234"/>
        <v/>
      </c>
      <c r="G628" s="1037" t="str">
        <f t="shared" si="229"/>
        <v/>
      </c>
      <c r="H628" s="225"/>
      <c r="I628" s="1013"/>
      <c r="J628" s="1013"/>
      <c r="K628" s="1028"/>
      <c r="L628" s="1035" t="str">
        <f t="shared" si="233"/>
        <v/>
      </c>
      <c r="S628" s="498"/>
      <c r="AJ628" s="498"/>
      <c r="AM628" s="498">
        <f t="shared" si="214"/>
        <v>0</v>
      </c>
      <c r="AN628" s="498">
        <f t="shared" si="215"/>
        <v>0</v>
      </c>
      <c r="AO628" s="498">
        <f t="shared" si="216"/>
        <v>0</v>
      </c>
      <c r="AP628" s="498">
        <f t="shared" si="235"/>
        <v>0</v>
      </c>
      <c r="AQ628" s="498">
        <f t="shared" si="230"/>
        <v>0</v>
      </c>
      <c r="AU628" s="498">
        <f t="shared" si="217"/>
        <v>0</v>
      </c>
      <c r="AV628" s="498">
        <f t="shared" si="218"/>
        <v>0</v>
      </c>
      <c r="AW628" s="498">
        <f t="shared" si="219"/>
        <v>0</v>
      </c>
      <c r="AX628" s="498">
        <f t="shared" si="220"/>
        <v>0</v>
      </c>
      <c r="AY628" s="498">
        <f t="shared" si="221"/>
        <v>0</v>
      </c>
      <c r="BB628" s="498" t="str">
        <f t="shared" si="222"/>
        <v/>
      </c>
      <c r="BC628" s="743" t="str">
        <f t="shared" si="223"/>
        <v/>
      </c>
      <c r="BD628" s="743" t="str">
        <f t="shared" si="224"/>
        <v/>
      </c>
      <c r="BE628" s="743" t="str">
        <f>IF(D628="","",VLOOKUP(D628,'General Basis'!$J$39:$K$46,2,0))</f>
        <v/>
      </c>
      <c r="BF628" s="744" t="str">
        <f>IF(D628="","",VLOOKUP(D628,'General Basis'!$J$39:$L$46,3,0))</f>
        <v/>
      </c>
      <c r="BG628" s="744" t="str">
        <f t="shared" si="231"/>
        <v/>
      </c>
      <c r="BH628" s="744" t="str">
        <f>IF(G628="","",IF(BF628="Abu Dhabi",IF(G628&lt;18,'General Basis'!$C$39,IF(G628&lt;41,'General Basis'!$C$40,IF(G628&lt;60,'General Basis'!$C$41,IF(G628&lt;65,'General Basis'!$C$42,'General Basis'!$C$43)))),IF(G628&lt;11,'General Basis'!$B$39,IF(G628&lt;18,'General Basis'!$B$40,IF(G628&lt;26,'General Basis'!$B$41,IF(G628&lt;31,'General Basis'!$B$42,IF(G628&lt;36,'General Basis'!$B$43,IF(G628&lt;41,'General Basis'!$B$44,IF(G628&lt;46,'General Basis'!$B$45,IF(G628&lt;51,'General Basis'!$B$46,IF(G628&lt;56,'General Basis'!$B$47,IF(G628&lt;60,'General Basis'!$B$48,IF(G628&lt;65,'General Basis'!$B$49,'General Basis'!$B$50)))))))))))))</f>
        <v/>
      </c>
      <c r="BI628" s="744" t="str">
        <f t="shared" si="225"/>
        <v/>
      </c>
      <c r="BJ628" s="747" t="str">
        <f t="shared" si="232"/>
        <v/>
      </c>
      <c r="BK628" s="498" t="str">
        <f t="shared" si="226"/>
        <v/>
      </c>
      <c r="BL628" s="498" t="str">
        <f t="shared" si="227"/>
        <v/>
      </c>
    </row>
    <row r="629" spans="1:64" x14ac:dyDescent="0.25">
      <c r="A629" s="762">
        <f t="shared" si="228"/>
        <v>624</v>
      </c>
      <c r="B629" s="229"/>
      <c r="C629" s="223"/>
      <c r="D629" s="224"/>
      <c r="E629" s="225"/>
      <c r="F629" s="1036" t="str">
        <f t="shared" si="234"/>
        <v/>
      </c>
      <c r="G629" s="1037" t="str">
        <f t="shared" si="229"/>
        <v/>
      </c>
      <c r="H629" s="225"/>
      <c r="I629" s="1013"/>
      <c r="J629" s="1013"/>
      <c r="K629" s="1028"/>
      <c r="L629" s="1035" t="str">
        <f t="shared" si="233"/>
        <v/>
      </c>
      <c r="S629" s="498"/>
      <c r="AJ629" s="498"/>
      <c r="AM629" s="498">
        <f t="shared" si="214"/>
        <v>0</v>
      </c>
      <c r="AN629" s="498">
        <f t="shared" si="215"/>
        <v>0</v>
      </c>
      <c r="AO629" s="498">
        <f t="shared" si="216"/>
        <v>0</v>
      </c>
      <c r="AP629" s="498">
        <f t="shared" si="235"/>
        <v>0</v>
      </c>
      <c r="AQ629" s="498">
        <f t="shared" si="230"/>
        <v>0</v>
      </c>
      <c r="AU629" s="498">
        <f t="shared" si="217"/>
        <v>0</v>
      </c>
      <c r="AV629" s="498">
        <f t="shared" si="218"/>
        <v>0</v>
      </c>
      <c r="AW629" s="498">
        <f t="shared" si="219"/>
        <v>0</v>
      </c>
      <c r="AX629" s="498">
        <f t="shared" si="220"/>
        <v>0</v>
      </c>
      <c r="AY629" s="498">
        <f t="shared" si="221"/>
        <v>0</v>
      </c>
      <c r="BB629" s="498" t="str">
        <f t="shared" si="222"/>
        <v/>
      </c>
      <c r="BC629" s="743" t="str">
        <f t="shared" si="223"/>
        <v/>
      </c>
      <c r="BD629" s="743" t="str">
        <f t="shared" si="224"/>
        <v/>
      </c>
      <c r="BE629" s="743" t="str">
        <f>IF(D629="","",VLOOKUP(D629,'General Basis'!$J$39:$K$46,2,0))</f>
        <v/>
      </c>
      <c r="BF629" s="744" t="str">
        <f>IF(D629="","",VLOOKUP(D629,'General Basis'!$J$39:$L$46,3,0))</f>
        <v/>
      </c>
      <c r="BG629" s="744" t="str">
        <f t="shared" si="231"/>
        <v/>
      </c>
      <c r="BH629" s="744" t="str">
        <f>IF(G629="","",IF(BF629="Abu Dhabi",IF(G629&lt;18,'General Basis'!$C$39,IF(G629&lt;41,'General Basis'!$C$40,IF(G629&lt;60,'General Basis'!$C$41,IF(G629&lt;65,'General Basis'!$C$42,'General Basis'!$C$43)))),IF(G629&lt;11,'General Basis'!$B$39,IF(G629&lt;18,'General Basis'!$B$40,IF(G629&lt;26,'General Basis'!$B$41,IF(G629&lt;31,'General Basis'!$B$42,IF(G629&lt;36,'General Basis'!$B$43,IF(G629&lt;41,'General Basis'!$B$44,IF(G629&lt;46,'General Basis'!$B$45,IF(G629&lt;51,'General Basis'!$B$46,IF(G629&lt;56,'General Basis'!$B$47,IF(G629&lt;60,'General Basis'!$B$48,IF(G629&lt;65,'General Basis'!$B$49,'General Basis'!$B$50)))))))))))))</f>
        <v/>
      </c>
      <c r="BI629" s="744" t="str">
        <f t="shared" si="225"/>
        <v/>
      </c>
      <c r="BJ629" s="747" t="str">
        <f t="shared" si="232"/>
        <v/>
      </c>
      <c r="BK629" s="498" t="str">
        <f t="shared" si="226"/>
        <v/>
      </c>
      <c r="BL629" s="498" t="str">
        <f t="shared" si="227"/>
        <v/>
      </c>
    </row>
    <row r="630" spans="1:64" x14ac:dyDescent="0.25">
      <c r="A630" s="762">
        <f t="shared" si="228"/>
        <v>625</v>
      </c>
      <c r="B630" s="229"/>
      <c r="C630" s="223"/>
      <c r="D630" s="224"/>
      <c r="E630" s="225"/>
      <c r="F630" s="1036" t="str">
        <f t="shared" si="234"/>
        <v/>
      </c>
      <c r="G630" s="1037" t="str">
        <f t="shared" si="229"/>
        <v/>
      </c>
      <c r="H630" s="225"/>
      <c r="I630" s="1013"/>
      <c r="J630" s="1013"/>
      <c r="K630" s="1028"/>
      <c r="L630" s="1035" t="str">
        <f t="shared" si="233"/>
        <v/>
      </c>
      <c r="S630" s="498"/>
      <c r="AJ630" s="498"/>
      <c r="AM630" s="498">
        <f t="shared" si="214"/>
        <v>0</v>
      </c>
      <c r="AN630" s="498">
        <f t="shared" si="215"/>
        <v>0</v>
      </c>
      <c r="AO630" s="498">
        <f t="shared" si="216"/>
        <v>0</v>
      </c>
      <c r="AP630" s="498">
        <f t="shared" si="235"/>
        <v>0</v>
      </c>
      <c r="AQ630" s="498">
        <f t="shared" si="230"/>
        <v>0</v>
      </c>
      <c r="AU630" s="498">
        <f t="shared" si="217"/>
        <v>0</v>
      </c>
      <c r="AV630" s="498">
        <f t="shared" si="218"/>
        <v>0</v>
      </c>
      <c r="AW630" s="498">
        <f t="shared" si="219"/>
        <v>0</v>
      </c>
      <c r="AX630" s="498">
        <f t="shared" si="220"/>
        <v>0</v>
      </c>
      <c r="AY630" s="498">
        <f t="shared" si="221"/>
        <v>0</v>
      </c>
      <c r="BB630" s="498" t="str">
        <f t="shared" si="222"/>
        <v/>
      </c>
      <c r="BC630" s="743" t="str">
        <f t="shared" si="223"/>
        <v/>
      </c>
      <c r="BD630" s="743" t="str">
        <f t="shared" si="224"/>
        <v/>
      </c>
      <c r="BE630" s="743" t="str">
        <f>IF(D630="","",VLOOKUP(D630,'General Basis'!$J$39:$K$46,2,0))</f>
        <v/>
      </c>
      <c r="BF630" s="744" t="str">
        <f>IF(D630="","",VLOOKUP(D630,'General Basis'!$J$39:$L$46,3,0))</f>
        <v/>
      </c>
      <c r="BG630" s="744" t="str">
        <f t="shared" si="231"/>
        <v/>
      </c>
      <c r="BH630" s="744" t="str">
        <f>IF(G630="","",IF(BF630="Abu Dhabi",IF(G630&lt;18,'General Basis'!$C$39,IF(G630&lt;41,'General Basis'!$C$40,IF(G630&lt;60,'General Basis'!$C$41,IF(G630&lt;65,'General Basis'!$C$42,'General Basis'!$C$43)))),IF(G630&lt;11,'General Basis'!$B$39,IF(G630&lt;18,'General Basis'!$B$40,IF(G630&lt;26,'General Basis'!$B$41,IF(G630&lt;31,'General Basis'!$B$42,IF(G630&lt;36,'General Basis'!$B$43,IF(G630&lt;41,'General Basis'!$B$44,IF(G630&lt;46,'General Basis'!$B$45,IF(G630&lt;51,'General Basis'!$B$46,IF(G630&lt;56,'General Basis'!$B$47,IF(G630&lt;60,'General Basis'!$B$48,IF(G630&lt;65,'General Basis'!$B$49,'General Basis'!$B$50)))))))))))))</f>
        <v/>
      </c>
      <c r="BI630" s="744" t="str">
        <f t="shared" si="225"/>
        <v/>
      </c>
      <c r="BJ630" s="747" t="str">
        <f t="shared" si="232"/>
        <v/>
      </c>
      <c r="BK630" s="498" t="str">
        <f t="shared" si="226"/>
        <v/>
      </c>
      <c r="BL630" s="498" t="str">
        <f t="shared" si="227"/>
        <v/>
      </c>
    </row>
    <row r="631" spans="1:64" x14ac:dyDescent="0.25">
      <c r="A631" s="762">
        <f t="shared" si="228"/>
        <v>626</v>
      </c>
      <c r="B631" s="229"/>
      <c r="C631" s="223"/>
      <c r="D631" s="224"/>
      <c r="E631" s="225"/>
      <c r="F631" s="1036" t="str">
        <f t="shared" si="234"/>
        <v/>
      </c>
      <c r="G631" s="1037" t="str">
        <f t="shared" si="229"/>
        <v/>
      </c>
      <c r="H631" s="225"/>
      <c r="I631" s="1013"/>
      <c r="J631" s="1013"/>
      <c r="K631" s="1028"/>
      <c r="L631" s="1035" t="str">
        <f t="shared" si="233"/>
        <v/>
      </c>
      <c r="S631" s="498"/>
      <c r="AJ631" s="498"/>
      <c r="AM631" s="498">
        <f t="shared" si="214"/>
        <v>0</v>
      </c>
      <c r="AN631" s="498">
        <f t="shared" si="215"/>
        <v>0</v>
      </c>
      <c r="AO631" s="498">
        <f t="shared" si="216"/>
        <v>0</v>
      </c>
      <c r="AP631" s="498">
        <f t="shared" si="235"/>
        <v>0</v>
      </c>
      <c r="AQ631" s="498">
        <f t="shared" si="230"/>
        <v>0</v>
      </c>
      <c r="AU631" s="498">
        <f t="shared" si="217"/>
        <v>0</v>
      </c>
      <c r="AV631" s="498">
        <f t="shared" si="218"/>
        <v>0</v>
      </c>
      <c r="AW631" s="498">
        <f t="shared" si="219"/>
        <v>0</v>
      </c>
      <c r="AX631" s="498">
        <f t="shared" si="220"/>
        <v>0</v>
      </c>
      <c r="AY631" s="498">
        <f t="shared" si="221"/>
        <v>0</v>
      </c>
      <c r="BB631" s="498" t="str">
        <f t="shared" si="222"/>
        <v/>
      </c>
      <c r="BC631" s="743" t="str">
        <f t="shared" si="223"/>
        <v/>
      </c>
      <c r="BD631" s="743" t="str">
        <f t="shared" si="224"/>
        <v/>
      </c>
      <c r="BE631" s="743" t="str">
        <f>IF(D631="","",VLOOKUP(D631,'General Basis'!$J$39:$K$46,2,0))</f>
        <v/>
      </c>
      <c r="BF631" s="744" t="str">
        <f>IF(D631="","",VLOOKUP(D631,'General Basis'!$J$39:$L$46,3,0))</f>
        <v/>
      </c>
      <c r="BG631" s="744" t="str">
        <f t="shared" si="231"/>
        <v/>
      </c>
      <c r="BH631" s="744" t="str">
        <f>IF(G631="","",IF(BF631="Abu Dhabi",IF(G631&lt;18,'General Basis'!$C$39,IF(G631&lt;41,'General Basis'!$C$40,IF(G631&lt;60,'General Basis'!$C$41,IF(G631&lt;65,'General Basis'!$C$42,'General Basis'!$C$43)))),IF(G631&lt;11,'General Basis'!$B$39,IF(G631&lt;18,'General Basis'!$B$40,IF(G631&lt;26,'General Basis'!$B$41,IF(G631&lt;31,'General Basis'!$B$42,IF(G631&lt;36,'General Basis'!$B$43,IF(G631&lt;41,'General Basis'!$B$44,IF(G631&lt;46,'General Basis'!$B$45,IF(G631&lt;51,'General Basis'!$B$46,IF(G631&lt;56,'General Basis'!$B$47,IF(G631&lt;60,'General Basis'!$B$48,IF(G631&lt;65,'General Basis'!$B$49,'General Basis'!$B$50)))))))))))))</f>
        <v/>
      </c>
      <c r="BI631" s="744" t="str">
        <f t="shared" si="225"/>
        <v/>
      </c>
      <c r="BJ631" s="747" t="str">
        <f t="shared" si="232"/>
        <v/>
      </c>
      <c r="BK631" s="498" t="str">
        <f t="shared" si="226"/>
        <v/>
      </c>
      <c r="BL631" s="498" t="str">
        <f t="shared" si="227"/>
        <v/>
      </c>
    </row>
    <row r="632" spans="1:64" x14ac:dyDescent="0.25">
      <c r="A632" s="762">
        <f t="shared" si="228"/>
        <v>627</v>
      </c>
      <c r="B632" s="229"/>
      <c r="C632" s="223"/>
      <c r="D632" s="224"/>
      <c r="E632" s="225"/>
      <c r="F632" s="1036" t="str">
        <f t="shared" si="234"/>
        <v/>
      </c>
      <c r="G632" s="1037" t="str">
        <f t="shared" si="229"/>
        <v/>
      </c>
      <c r="H632" s="225"/>
      <c r="I632" s="1013"/>
      <c r="J632" s="1013"/>
      <c r="K632" s="1028"/>
      <c r="L632" s="1035" t="str">
        <f t="shared" si="233"/>
        <v/>
      </c>
      <c r="S632" s="498"/>
      <c r="AJ632" s="498"/>
      <c r="AM632" s="498">
        <f t="shared" si="214"/>
        <v>0</v>
      </c>
      <c r="AN632" s="498">
        <f t="shared" si="215"/>
        <v>0</v>
      </c>
      <c r="AO632" s="498">
        <f t="shared" si="216"/>
        <v>0</v>
      </c>
      <c r="AP632" s="498">
        <f t="shared" si="235"/>
        <v>0</v>
      </c>
      <c r="AQ632" s="498">
        <f t="shared" si="230"/>
        <v>0</v>
      </c>
      <c r="AU632" s="498">
        <f t="shared" si="217"/>
        <v>0</v>
      </c>
      <c r="AV632" s="498">
        <f t="shared" si="218"/>
        <v>0</v>
      </c>
      <c r="AW632" s="498">
        <f t="shared" si="219"/>
        <v>0</v>
      </c>
      <c r="AX632" s="498">
        <f t="shared" si="220"/>
        <v>0</v>
      </c>
      <c r="AY632" s="498">
        <f t="shared" si="221"/>
        <v>0</v>
      </c>
      <c r="BB632" s="498" t="str">
        <f t="shared" si="222"/>
        <v/>
      </c>
      <c r="BC632" s="743" t="str">
        <f t="shared" si="223"/>
        <v/>
      </c>
      <c r="BD632" s="743" t="str">
        <f t="shared" si="224"/>
        <v/>
      </c>
      <c r="BE632" s="743" t="str">
        <f>IF(D632="","",VLOOKUP(D632,'General Basis'!$J$39:$K$46,2,0))</f>
        <v/>
      </c>
      <c r="BF632" s="744" t="str">
        <f>IF(D632="","",VLOOKUP(D632,'General Basis'!$J$39:$L$46,3,0))</f>
        <v/>
      </c>
      <c r="BG632" s="744" t="str">
        <f t="shared" si="231"/>
        <v/>
      </c>
      <c r="BH632" s="744" t="str">
        <f>IF(G632="","",IF(BF632="Abu Dhabi",IF(G632&lt;18,'General Basis'!$C$39,IF(G632&lt;41,'General Basis'!$C$40,IF(G632&lt;60,'General Basis'!$C$41,IF(G632&lt;65,'General Basis'!$C$42,'General Basis'!$C$43)))),IF(G632&lt;11,'General Basis'!$B$39,IF(G632&lt;18,'General Basis'!$B$40,IF(G632&lt;26,'General Basis'!$B$41,IF(G632&lt;31,'General Basis'!$B$42,IF(G632&lt;36,'General Basis'!$B$43,IF(G632&lt;41,'General Basis'!$B$44,IF(G632&lt;46,'General Basis'!$B$45,IF(G632&lt;51,'General Basis'!$B$46,IF(G632&lt;56,'General Basis'!$B$47,IF(G632&lt;60,'General Basis'!$B$48,IF(G632&lt;65,'General Basis'!$B$49,'General Basis'!$B$50)))))))))))))</f>
        <v/>
      </c>
      <c r="BI632" s="744" t="str">
        <f t="shared" si="225"/>
        <v/>
      </c>
      <c r="BJ632" s="747" t="str">
        <f t="shared" si="232"/>
        <v/>
      </c>
      <c r="BK632" s="498" t="str">
        <f t="shared" si="226"/>
        <v/>
      </c>
      <c r="BL632" s="498" t="str">
        <f t="shared" si="227"/>
        <v/>
      </c>
    </row>
    <row r="633" spans="1:64" x14ac:dyDescent="0.25">
      <c r="A633" s="762">
        <f t="shared" si="228"/>
        <v>628</v>
      </c>
      <c r="B633" s="229"/>
      <c r="C633" s="223"/>
      <c r="D633" s="224"/>
      <c r="E633" s="225"/>
      <c r="F633" s="1036" t="str">
        <f t="shared" si="234"/>
        <v/>
      </c>
      <c r="G633" s="1037" t="str">
        <f t="shared" si="229"/>
        <v/>
      </c>
      <c r="H633" s="225"/>
      <c r="I633" s="1013"/>
      <c r="J633" s="1013"/>
      <c r="K633" s="1028"/>
      <c r="L633" s="1035" t="str">
        <f t="shared" si="233"/>
        <v/>
      </c>
      <c r="S633" s="498"/>
      <c r="AJ633" s="498"/>
      <c r="AM633" s="498">
        <f t="shared" si="214"/>
        <v>0</v>
      </c>
      <c r="AN633" s="498">
        <f t="shared" si="215"/>
        <v>0</v>
      </c>
      <c r="AO633" s="498">
        <f t="shared" si="216"/>
        <v>0</v>
      </c>
      <c r="AP633" s="498">
        <f t="shared" si="235"/>
        <v>0</v>
      </c>
      <c r="AQ633" s="498">
        <f t="shared" si="230"/>
        <v>0</v>
      </c>
      <c r="AU633" s="498">
        <f t="shared" si="217"/>
        <v>0</v>
      </c>
      <c r="AV633" s="498">
        <f t="shared" si="218"/>
        <v>0</v>
      </c>
      <c r="AW633" s="498">
        <f t="shared" si="219"/>
        <v>0</v>
      </c>
      <c r="AX633" s="498">
        <f t="shared" si="220"/>
        <v>0</v>
      </c>
      <c r="AY633" s="498">
        <f t="shared" si="221"/>
        <v>0</v>
      </c>
      <c r="BB633" s="498" t="str">
        <f t="shared" si="222"/>
        <v/>
      </c>
      <c r="BC633" s="743" t="str">
        <f t="shared" si="223"/>
        <v/>
      </c>
      <c r="BD633" s="743" t="str">
        <f t="shared" si="224"/>
        <v/>
      </c>
      <c r="BE633" s="743" t="str">
        <f>IF(D633="","",VLOOKUP(D633,'General Basis'!$J$39:$K$46,2,0))</f>
        <v/>
      </c>
      <c r="BF633" s="744" t="str">
        <f>IF(D633="","",VLOOKUP(D633,'General Basis'!$J$39:$L$46,3,0))</f>
        <v/>
      </c>
      <c r="BG633" s="744" t="str">
        <f t="shared" si="231"/>
        <v/>
      </c>
      <c r="BH633" s="744" t="str">
        <f>IF(G633="","",IF(BF633="Abu Dhabi",IF(G633&lt;18,'General Basis'!$C$39,IF(G633&lt;41,'General Basis'!$C$40,IF(G633&lt;60,'General Basis'!$C$41,IF(G633&lt;65,'General Basis'!$C$42,'General Basis'!$C$43)))),IF(G633&lt;11,'General Basis'!$B$39,IF(G633&lt;18,'General Basis'!$B$40,IF(G633&lt;26,'General Basis'!$B$41,IF(G633&lt;31,'General Basis'!$B$42,IF(G633&lt;36,'General Basis'!$B$43,IF(G633&lt;41,'General Basis'!$B$44,IF(G633&lt;46,'General Basis'!$B$45,IF(G633&lt;51,'General Basis'!$B$46,IF(G633&lt;56,'General Basis'!$B$47,IF(G633&lt;60,'General Basis'!$B$48,IF(G633&lt;65,'General Basis'!$B$49,'General Basis'!$B$50)))))))))))))</f>
        <v/>
      </c>
      <c r="BI633" s="744" t="str">
        <f t="shared" si="225"/>
        <v/>
      </c>
      <c r="BJ633" s="747" t="str">
        <f t="shared" si="232"/>
        <v/>
      </c>
      <c r="BK633" s="498" t="str">
        <f t="shared" si="226"/>
        <v/>
      </c>
      <c r="BL633" s="498" t="str">
        <f t="shared" si="227"/>
        <v/>
      </c>
    </row>
    <row r="634" spans="1:64" x14ac:dyDescent="0.25">
      <c r="A634" s="762">
        <f t="shared" si="228"/>
        <v>629</v>
      </c>
      <c r="B634" s="229"/>
      <c r="C634" s="223"/>
      <c r="D634" s="224"/>
      <c r="E634" s="225"/>
      <c r="F634" s="1036" t="str">
        <f t="shared" si="234"/>
        <v/>
      </c>
      <c r="G634" s="1037" t="str">
        <f t="shared" si="229"/>
        <v/>
      </c>
      <c r="H634" s="225"/>
      <c r="I634" s="1013"/>
      <c r="J634" s="1013"/>
      <c r="K634" s="1028"/>
      <c r="L634" s="1035" t="str">
        <f t="shared" si="233"/>
        <v/>
      </c>
      <c r="S634" s="498"/>
      <c r="AJ634" s="498"/>
      <c r="AM634" s="498">
        <f t="shared" si="214"/>
        <v>0</v>
      </c>
      <c r="AN634" s="498">
        <f t="shared" si="215"/>
        <v>0</v>
      </c>
      <c r="AO634" s="498">
        <f t="shared" si="216"/>
        <v>0</v>
      </c>
      <c r="AP634" s="498">
        <f t="shared" si="235"/>
        <v>0</v>
      </c>
      <c r="AQ634" s="498">
        <f t="shared" si="230"/>
        <v>0</v>
      </c>
      <c r="AU634" s="498">
        <f t="shared" si="217"/>
        <v>0</v>
      </c>
      <c r="AV634" s="498">
        <f t="shared" si="218"/>
        <v>0</v>
      </c>
      <c r="AW634" s="498">
        <f t="shared" si="219"/>
        <v>0</v>
      </c>
      <c r="AX634" s="498">
        <f t="shared" si="220"/>
        <v>0</v>
      </c>
      <c r="AY634" s="498">
        <f t="shared" si="221"/>
        <v>0</v>
      </c>
      <c r="BB634" s="498" t="str">
        <f t="shared" si="222"/>
        <v/>
      </c>
      <c r="BC634" s="743" t="str">
        <f t="shared" si="223"/>
        <v/>
      </c>
      <c r="BD634" s="743" t="str">
        <f t="shared" si="224"/>
        <v/>
      </c>
      <c r="BE634" s="743" t="str">
        <f>IF(D634="","",VLOOKUP(D634,'General Basis'!$J$39:$K$46,2,0))</f>
        <v/>
      </c>
      <c r="BF634" s="744" t="str">
        <f>IF(D634="","",VLOOKUP(D634,'General Basis'!$J$39:$L$46,3,0))</f>
        <v/>
      </c>
      <c r="BG634" s="744" t="str">
        <f t="shared" si="231"/>
        <v/>
      </c>
      <c r="BH634" s="744" t="str">
        <f>IF(G634="","",IF(BF634="Abu Dhabi",IF(G634&lt;18,'General Basis'!$C$39,IF(G634&lt;41,'General Basis'!$C$40,IF(G634&lt;60,'General Basis'!$C$41,IF(G634&lt;65,'General Basis'!$C$42,'General Basis'!$C$43)))),IF(G634&lt;11,'General Basis'!$B$39,IF(G634&lt;18,'General Basis'!$B$40,IF(G634&lt;26,'General Basis'!$B$41,IF(G634&lt;31,'General Basis'!$B$42,IF(G634&lt;36,'General Basis'!$B$43,IF(G634&lt;41,'General Basis'!$B$44,IF(G634&lt;46,'General Basis'!$B$45,IF(G634&lt;51,'General Basis'!$B$46,IF(G634&lt;56,'General Basis'!$B$47,IF(G634&lt;60,'General Basis'!$B$48,IF(G634&lt;65,'General Basis'!$B$49,'General Basis'!$B$50)))))))))))))</f>
        <v/>
      </c>
      <c r="BI634" s="744" t="str">
        <f t="shared" si="225"/>
        <v/>
      </c>
      <c r="BJ634" s="747" t="str">
        <f t="shared" si="232"/>
        <v/>
      </c>
      <c r="BK634" s="498" t="str">
        <f t="shared" si="226"/>
        <v/>
      </c>
      <c r="BL634" s="498" t="str">
        <f t="shared" si="227"/>
        <v/>
      </c>
    </row>
    <row r="635" spans="1:64" x14ac:dyDescent="0.25">
      <c r="A635" s="762">
        <f t="shared" si="228"/>
        <v>630</v>
      </c>
      <c r="B635" s="229"/>
      <c r="C635" s="223"/>
      <c r="D635" s="224"/>
      <c r="E635" s="225"/>
      <c r="F635" s="1036" t="str">
        <f t="shared" si="234"/>
        <v/>
      </c>
      <c r="G635" s="1037" t="str">
        <f t="shared" si="229"/>
        <v/>
      </c>
      <c r="H635" s="225"/>
      <c r="I635" s="1013"/>
      <c r="J635" s="1013"/>
      <c r="K635" s="1028"/>
      <c r="L635" s="1035" t="str">
        <f t="shared" si="233"/>
        <v/>
      </c>
      <c r="S635" s="498"/>
      <c r="AJ635" s="498"/>
      <c r="AM635" s="498">
        <f t="shared" si="214"/>
        <v>0</v>
      </c>
      <c r="AN635" s="498">
        <f t="shared" si="215"/>
        <v>0</v>
      </c>
      <c r="AO635" s="498">
        <f t="shared" si="216"/>
        <v>0</v>
      </c>
      <c r="AP635" s="498">
        <f t="shared" si="235"/>
        <v>0</v>
      </c>
      <c r="AQ635" s="498">
        <f t="shared" si="230"/>
        <v>0</v>
      </c>
      <c r="AU635" s="498">
        <f t="shared" si="217"/>
        <v>0</v>
      </c>
      <c r="AV635" s="498">
        <f t="shared" si="218"/>
        <v>0</v>
      </c>
      <c r="AW635" s="498">
        <f t="shared" si="219"/>
        <v>0</v>
      </c>
      <c r="AX635" s="498">
        <f t="shared" si="220"/>
        <v>0</v>
      </c>
      <c r="AY635" s="498">
        <f t="shared" si="221"/>
        <v>0</v>
      </c>
      <c r="BB635" s="498" t="str">
        <f t="shared" si="222"/>
        <v/>
      </c>
      <c r="BC635" s="743" t="str">
        <f t="shared" si="223"/>
        <v/>
      </c>
      <c r="BD635" s="743" t="str">
        <f t="shared" si="224"/>
        <v/>
      </c>
      <c r="BE635" s="743" t="str">
        <f>IF(D635="","",VLOOKUP(D635,'General Basis'!$J$39:$K$46,2,0))</f>
        <v/>
      </c>
      <c r="BF635" s="744" t="str">
        <f>IF(D635="","",VLOOKUP(D635,'General Basis'!$J$39:$L$46,3,0))</f>
        <v/>
      </c>
      <c r="BG635" s="744" t="str">
        <f t="shared" si="231"/>
        <v/>
      </c>
      <c r="BH635" s="744" t="str">
        <f>IF(G635="","",IF(BF635="Abu Dhabi",IF(G635&lt;18,'General Basis'!$C$39,IF(G635&lt;41,'General Basis'!$C$40,IF(G635&lt;60,'General Basis'!$C$41,IF(G635&lt;65,'General Basis'!$C$42,'General Basis'!$C$43)))),IF(G635&lt;11,'General Basis'!$B$39,IF(G635&lt;18,'General Basis'!$B$40,IF(G635&lt;26,'General Basis'!$B$41,IF(G635&lt;31,'General Basis'!$B$42,IF(G635&lt;36,'General Basis'!$B$43,IF(G635&lt;41,'General Basis'!$B$44,IF(G635&lt;46,'General Basis'!$B$45,IF(G635&lt;51,'General Basis'!$B$46,IF(G635&lt;56,'General Basis'!$B$47,IF(G635&lt;60,'General Basis'!$B$48,IF(G635&lt;65,'General Basis'!$B$49,'General Basis'!$B$50)))))))))))))</f>
        <v/>
      </c>
      <c r="BI635" s="744" t="str">
        <f t="shared" si="225"/>
        <v/>
      </c>
      <c r="BJ635" s="747" t="str">
        <f t="shared" si="232"/>
        <v/>
      </c>
      <c r="BK635" s="498" t="str">
        <f t="shared" si="226"/>
        <v/>
      </c>
      <c r="BL635" s="498" t="str">
        <f t="shared" si="227"/>
        <v/>
      </c>
    </row>
    <row r="636" spans="1:64" x14ac:dyDescent="0.25">
      <c r="A636" s="762">
        <f t="shared" si="228"/>
        <v>631</v>
      </c>
      <c r="B636" s="229"/>
      <c r="C636" s="223"/>
      <c r="D636" s="224"/>
      <c r="E636" s="225"/>
      <c r="F636" s="1036" t="str">
        <f t="shared" si="234"/>
        <v/>
      </c>
      <c r="G636" s="1037" t="str">
        <f t="shared" si="229"/>
        <v/>
      </c>
      <c r="H636" s="225"/>
      <c r="I636" s="1013"/>
      <c r="J636" s="1013"/>
      <c r="K636" s="1028"/>
      <c r="L636" s="1035" t="str">
        <f t="shared" si="233"/>
        <v/>
      </c>
      <c r="S636" s="498"/>
      <c r="AJ636" s="498"/>
      <c r="AM636" s="498">
        <f t="shared" si="214"/>
        <v>0</v>
      </c>
      <c r="AN636" s="498">
        <f t="shared" si="215"/>
        <v>0</v>
      </c>
      <c r="AO636" s="498">
        <f t="shared" si="216"/>
        <v>0</v>
      </c>
      <c r="AP636" s="498">
        <f t="shared" si="235"/>
        <v>0</v>
      </c>
      <c r="AQ636" s="498">
        <f t="shared" si="230"/>
        <v>0</v>
      </c>
      <c r="AU636" s="498">
        <f t="shared" si="217"/>
        <v>0</v>
      </c>
      <c r="AV636" s="498">
        <f t="shared" si="218"/>
        <v>0</v>
      </c>
      <c r="AW636" s="498">
        <f t="shared" si="219"/>
        <v>0</v>
      </c>
      <c r="AX636" s="498">
        <f t="shared" si="220"/>
        <v>0</v>
      </c>
      <c r="AY636" s="498">
        <f t="shared" si="221"/>
        <v>0</v>
      </c>
      <c r="BB636" s="498" t="str">
        <f t="shared" si="222"/>
        <v/>
      </c>
      <c r="BC636" s="743" t="str">
        <f t="shared" si="223"/>
        <v/>
      </c>
      <c r="BD636" s="743" t="str">
        <f t="shared" si="224"/>
        <v/>
      </c>
      <c r="BE636" s="743" t="str">
        <f>IF(D636="","",VLOOKUP(D636,'General Basis'!$J$39:$K$46,2,0))</f>
        <v/>
      </c>
      <c r="BF636" s="744" t="str">
        <f>IF(D636="","",VLOOKUP(D636,'General Basis'!$J$39:$L$46,3,0))</f>
        <v/>
      </c>
      <c r="BG636" s="744" t="str">
        <f t="shared" si="231"/>
        <v/>
      </c>
      <c r="BH636" s="744" t="str">
        <f>IF(G636="","",IF(BF636="Abu Dhabi",IF(G636&lt;18,'General Basis'!$C$39,IF(G636&lt;41,'General Basis'!$C$40,IF(G636&lt;60,'General Basis'!$C$41,IF(G636&lt;65,'General Basis'!$C$42,'General Basis'!$C$43)))),IF(G636&lt;11,'General Basis'!$B$39,IF(G636&lt;18,'General Basis'!$B$40,IF(G636&lt;26,'General Basis'!$B$41,IF(G636&lt;31,'General Basis'!$B$42,IF(G636&lt;36,'General Basis'!$B$43,IF(G636&lt;41,'General Basis'!$B$44,IF(G636&lt;46,'General Basis'!$B$45,IF(G636&lt;51,'General Basis'!$B$46,IF(G636&lt;56,'General Basis'!$B$47,IF(G636&lt;60,'General Basis'!$B$48,IF(G636&lt;65,'General Basis'!$B$49,'General Basis'!$B$50)))))))))))))</f>
        <v/>
      </c>
      <c r="BI636" s="744" t="str">
        <f t="shared" si="225"/>
        <v/>
      </c>
      <c r="BJ636" s="747" t="str">
        <f t="shared" si="232"/>
        <v/>
      </c>
      <c r="BK636" s="498" t="str">
        <f t="shared" si="226"/>
        <v/>
      </c>
      <c r="BL636" s="498" t="str">
        <f t="shared" si="227"/>
        <v/>
      </c>
    </row>
    <row r="637" spans="1:64" x14ac:dyDescent="0.25">
      <c r="A637" s="762">
        <f t="shared" si="228"/>
        <v>632</v>
      </c>
      <c r="B637" s="229"/>
      <c r="C637" s="223"/>
      <c r="D637" s="224"/>
      <c r="E637" s="225"/>
      <c r="F637" s="1036" t="str">
        <f t="shared" si="234"/>
        <v/>
      </c>
      <c r="G637" s="1037" t="str">
        <f t="shared" si="229"/>
        <v/>
      </c>
      <c r="H637" s="225"/>
      <c r="I637" s="1013"/>
      <c r="J637" s="1013"/>
      <c r="K637" s="1028"/>
      <c r="L637" s="1035" t="str">
        <f t="shared" si="233"/>
        <v/>
      </c>
      <c r="S637" s="498"/>
      <c r="AJ637" s="498"/>
      <c r="AM637" s="498">
        <f t="shared" si="214"/>
        <v>0</v>
      </c>
      <c r="AN637" s="498">
        <f t="shared" si="215"/>
        <v>0</v>
      </c>
      <c r="AO637" s="498">
        <f t="shared" si="216"/>
        <v>0</v>
      </c>
      <c r="AP637" s="498">
        <f t="shared" si="235"/>
        <v>0</v>
      </c>
      <c r="AQ637" s="498">
        <f t="shared" si="230"/>
        <v>0</v>
      </c>
      <c r="AU637" s="498">
        <f t="shared" si="217"/>
        <v>0</v>
      </c>
      <c r="AV637" s="498">
        <f t="shared" si="218"/>
        <v>0</v>
      </c>
      <c r="AW637" s="498">
        <f t="shared" si="219"/>
        <v>0</v>
      </c>
      <c r="AX637" s="498">
        <f t="shared" si="220"/>
        <v>0</v>
      </c>
      <c r="AY637" s="498">
        <f t="shared" si="221"/>
        <v>0</v>
      </c>
      <c r="BB637" s="498" t="str">
        <f t="shared" si="222"/>
        <v/>
      </c>
      <c r="BC637" s="743" t="str">
        <f t="shared" si="223"/>
        <v/>
      </c>
      <c r="BD637" s="743" t="str">
        <f t="shared" si="224"/>
        <v/>
      </c>
      <c r="BE637" s="743" t="str">
        <f>IF(D637="","",VLOOKUP(D637,'General Basis'!$J$39:$K$46,2,0))</f>
        <v/>
      </c>
      <c r="BF637" s="744" t="str">
        <f>IF(D637="","",VLOOKUP(D637,'General Basis'!$J$39:$L$46,3,0))</f>
        <v/>
      </c>
      <c r="BG637" s="744" t="str">
        <f t="shared" si="231"/>
        <v/>
      </c>
      <c r="BH637" s="744" t="str">
        <f>IF(G637="","",IF(BF637="Abu Dhabi",IF(G637&lt;18,'General Basis'!$C$39,IF(G637&lt;41,'General Basis'!$C$40,IF(G637&lt;60,'General Basis'!$C$41,IF(G637&lt;65,'General Basis'!$C$42,'General Basis'!$C$43)))),IF(G637&lt;11,'General Basis'!$B$39,IF(G637&lt;18,'General Basis'!$B$40,IF(G637&lt;26,'General Basis'!$B$41,IF(G637&lt;31,'General Basis'!$B$42,IF(G637&lt;36,'General Basis'!$B$43,IF(G637&lt;41,'General Basis'!$B$44,IF(G637&lt;46,'General Basis'!$B$45,IF(G637&lt;51,'General Basis'!$B$46,IF(G637&lt;56,'General Basis'!$B$47,IF(G637&lt;60,'General Basis'!$B$48,IF(G637&lt;65,'General Basis'!$B$49,'General Basis'!$B$50)))))))))))))</f>
        <v/>
      </c>
      <c r="BI637" s="744" t="str">
        <f t="shared" si="225"/>
        <v/>
      </c>
      <c r="BJ637" s="747" t="str">
        <f t="shared" si="232"/>
        <v/>
      </c>
      <c r="BK637" s="498" t="str">
        <f t="shared" si="226"/>
        <v/>
      </c>
      <c r="BL637" s="498" t="str">
        <f t="shared" si="227"/>
        <v/>
      </c>
    </row>
    <row r="638" spans="1:64" x14ac:dyDescent="0.25">
      <c r="A638" s="762">
        <f t="shared" si="228"/>
        <v>633</v>
      </c>
      <c r="B638" s="229"/>
      <c r="C638" s="223"/>
      <c r="D638" s="224"/>
      <c r="E638" s="225"/>
      <c r="F638" s="1036" t="str">
        <f t="shared" si="234"/>
        <v/>
      </c>
      <c r="G638" s="1037" t="str">
        <f t="shared" si="229"/>
        <v/>
      </c>
      <c r="H638" s="225"/>
      <c r="I638" s="1013"/>
      <c r="J638" s="1013"/>
      <c r="K638" s="1028"/>
      <c r="L638" s="1035" t="str">
        <f t="shared" si="233"/>
        <v/>
      </c>
      <c r="S638" s="498"/>
      <c r="AJ638" s="498"/>
      <c r="AM638" s="498">
        <f t="shared" si="214"/>
        <v>0</v>
      </c>
      <c r="AN638" s="498">
        <f t="shared" si="215"/>
        <v>0</v>
      </c>
      <c r="AO638" s="498">
        <f t="shared" si="216"/>
        <v>0</v>
      </c>
      <c r="AP638" s="498">
        <f t="shared" si="235"/>
        <v>0</v>
      </c>
      <c r="AQ638" s="498">
        <f t="shared" si="230"/>
        <v>0</v>
      </c>
      <c r="AU638" s="498">
        <f t="shared" si="217"/>
        <v>0</v>
      </c>
      <c r="AV638" s="498">
        <f t="shared" si="218"/>
        <v>0</v>
      </c>
      <c r="AW638" s="498">
        <f t="shared" si="219"/>
        <v>0</v>
      </c>
      <c r="AX638" s="498">
        <f t="shared" si="220"/>
        <v>0</v>
      </c>
      <c r="AY638" s="498">
        <f t="shared" si="221"/>
        <v>0</v>
      </c>
      <c r="BB638" s="498" t="str">
        <f t="shared" si="222"/>
        <v/>
      </c>
      <c r="BC638" s="743" t="str">
        <f t="shared" si="223"/>
        <v/>
      </c>
      <c r="BD638" s="743" t="str">
        <f t="shared" si="224"/>
        <v/>
      </c>
      <c r="BE638" s="743" t="str">
        <f>IF(D638="","",VLOOKUP(D638,'General Basis'!$J$39:$K$46,2,0))</f>
        <v/>
      </c>
      <c r="BF638" s="744" t="str">
        <f>IF(D638="","",VLOOKUP(D638,'General Basis'!$J$39:$L$46,3,0))</f>
        <v/>
      </c>
      <c r="BG638" s="744" t="str">
        <f t="shared" si="231"/>
        <v/>
      </c>
      <c r="BH638" s="744" t="str">
        <f>IF(G638="","",IF(BF638="Abu Dhabi",IF(G638&lt;18,'General Basis'!$C$39,IF(G638&lt;41,'General Basis'!$C$40,IF(G638&lt;60,'General Basis'!$C$41,IF(G638&lt;65,'General Basis'!$C$42,'General Basis'!$C$43)))),IF(G638&lt;11,'General Basis'!$B$39,IF(G638&lt;18,'General Basis'!$B$40,IF(G638&lt;26,'General Basis'!$B$41,IF(G638&lt;31,'General Basis'!$B$42,IF(G638&lt;36,'General Basis'!$B$43,IF(G638&lt;41,'General Basis'!$B$44,IF(G638&lt;46,'General Basis'!$B$45,IF(G638&lt;51,'General Basis'!$B$46,IF(G638&lt;56,'General Basis'!$B$47,IF(G638&lt;60,'General Basis'!$B$48,IF(G638&lt;65,'General Basis'!$B$49,'General Basis'!$B$50)))))))))))))</f>
        <v/>
      </c>
      <c r="BI638" s="744" t="str">
        <f t="shared" si="225"/>
        <v/>
      </c>
      <c r="BJ638" s="747" t="str">
        <f t="shared" si="232"/>
        <v/>
      </c>
      <c r="BK638" s="498" t="str">
        <f t="shared" si="226"/>
        <v/>
      </c>
      <c r="BL638" s="498" t="str">
        <f t="shared" si="227"/>
        <v/>
      </c>
    </row>
    <row r="639" spans="1:64" x14ac:dyDescent="0.25">
      <c r="A639" s="762">
        <f t="shared" si="228"/>
        <v>634</v>
      </c>
      <c r="B639" s="229"/>
      <c r="C639" s="223"/>
      <c r="D639" s="224"/>
      <c r="E639" s="225"/>
      <c r="F639" s="1036" t="str">
        <f t="shared" si="234"/>
        <v/>
      </c>
      <c r="G639" s="1037" t="str">
        <f t="shared" si="229"/>
        <v/>
      </c>
      <c r="H639" s="225"/>
      <c r="I639" s="1013"/>
      <c r="J639" s="1013"/>
      <c r="K639" s="1028"/>
      <c r="L639" s="1035" t="str">
        <f t="shared" si="233"/>
        <v/>
      </c>
      <c r="S639" s="498"/>
      <c r="AJ639" s="498"/>
      <c r="AM639" s="498">
        <f t="shared" si="214"/>
        <v>0</v>
      </c>
      <c r="AN639" s="498">
        <f t="shared" si="215"/>
        <v>0</v>
      </c>
      <c r="AO639" s="498">
        <f t="shared" si="216"/>
        <v>0</v>
      </c>
      <c r="AP639" s="498">
        <f t="shared" si="235"/>
        <v>0</v>
      </c>
      <c r="AQ639" s="498">
        <f t="shared" si="230"/>
        <v>0</v>
      </c>
      <c r="AU639" s="498">
        <f t="shared" si="217"/>
        <v>0</v>
      </c>
      <c r="AV639" s="498">
        <f t="shared" si="218"/>
        <v>0</v>
      </c>
      <c r="AW639" s="498">
        <f t="shared" si="219"/>
        <v>0</v>
      </c>
      <c r="AX639" s="498">
        <f t="shared" si="220"/>
        <v>0</v>
      </c>
      <c r="AY639" s="498">
        <f t="shared" si="221"/>
        <v>0</v>
      </c>
      <c r="BB639" s="498" t="str">
        <f t="shared" si="222"/>
        <v/>
      </c>
      <c r="BC639" s="743" t="str">
        <f t="shared" si="223"/>
        <v/>
      </c>
      <c r="BD639" s="743" t="str">
        <f t="shared" si="224"/>
        <v/>
      </c>
      <c r="BE639" s="743" t="str">
        <f>IF(D639="","",VLOOKUP(D639,'General Basis'!$J$39:$K$46,2,0))</f>
        <v/>
      </c>
      <c r="BF639" s="744" t="str">
        <f>IF(D639="","",VLOOKUP(D639,'General Basis'!$J$39:$L$46,3,0))</f>
        <v/>
      </c>
      <c r="BG639" s="744" t="str">
        <f t="shared" si="231"/>
        <v/>
      </c>
      <c r="BH639" s="744" t="str">
        <f>IF(G639="","",IF(BF639="Abu Dhabi",IF(G639&lt;18,'General Basis'!$C$39,IF(G639&lt;41,'General Basis'!$C$40,IF(G639&lt;60,'General Basis'!$C$41,IF(G639&lt;65,'General Basis'!$C$42,'General Basis'!$C$43)))),IF(G639&lt;11,'General Basis'!$B$39,IF(G639&lt;18,'General Basis'!$B$40,IF(G639&lt;26,'General Basis'!$B$41,IF(G639&lt;31,'General Basis'!$B$42,IF(G639&lt;36,'General Basis'!$B$43,IF(G639&lt;41,'General Basis'!$B$44,IF(G639&lt;46,'General Basis'!$B$45,IF(G639&lt;51,'General Basis'!$B$46,IF(G639&lt;56,'General Basis'!$B$47,IF(G639&lt;60,'General Basis'!$B$48,IF(G639&lt;65,'General Basis'!$B$49,'General Basis'!$B$50)))))))))))))</f>
        <v/>
      </c>
      <c r="BI639" s="744" t="str">
        <f t="shared" si="225"/>
        <v/>
      </c>
      <c r="BJ639" s="747" t="str">
        <f t="shared" si="232"/>
        <v/>
      </c>
      <c r="BK639" s="498" t="str">
        <f t="shared" si="226"/>
        <v/>
      </c>
      <c r="BL639" s="498" t="str">
        <f t="shared" si="227"/>
        <v/>
      </c>
    </row>
    <row r="640" spans="1:64" x14ac:dyDescent="0.25">
      <c r="A640" s="762">
        <f t="shared" si="228"/>
        <v>635</v>
      </c>
      <c r="B640" s="229"/>
      <c r="C640" s="223"/>
      <c r="D640" s="224"/>
      <c r="E640" s="225"/>
      <c r="F640" s="1036" t="str">
        <f t="shared" si="234"/>
        <v/>
      </c>
      <c r="G640" s="1037" t="str">
        <f t="shared" si="229"/>
        <v/>
      </c>
      <c r="H640" s="225"/>
      <c r="I640" s="1013"/>
      <c r="J640" s="1013"/>
      <c r="K640" s="1028"/>
      <c r="L640" s="1035" t="str">
        <f t="shared" si="233"/>
        <v/>
      </c>
      <c r="S640" s="498"/>
      <c r="AJ640" s="498"/>
      <c r="AM640" s="498">
        <f t="shared" si="214"/>
        <v>0</v>
      </c>
      <c r="AN640" s="498">
        <f t="shared" si="215"/>
        <v>0</v>
      </c>
      <c r="AO640" s="498">
        <f t="shared" si="216"/>
        <v>0</v>
      </c>
      <c r="AP640" s="498">
        <f t="shared" si="235"/>
        <v>0</v>
      </c>
      <c r="AQ640" s="498">
        <f t="shared" si="230"/>
        <v>0</v>
      </c>
      <c r="AU640" s="498">
        <f t="shared" si="217"/>
        <v>0</v>
      </c>
      <c r="AV640" s="498">
        <f t="shared" si="218"/>
        <v>0</v>
      </c>
      <c r="AW640" s="498">
        <f t="shared" si="219"/>
        <v>0</v>
      </c>
      <c r="AX640" s="498">
        <f t="shared" si="220"/>
        <v>0</v>
      </c>
      <c r="AY640" s="498">
        <f t="shared" si="221"/>
        <v>0</v>
      </c>
      <c r="BB640" s="498" t="str">
        <f t="shared" si="222"/>
        <v/>
      </c>
      <c r="BC640" s="743" t="str">
        <f t="shared" si="223"/>
        <v/>
      </c>
      <c r="BD640" s="743" t="str">
        <f t="shared" si="224"/>
        <v/>
      </c>
      <c r="BE640" s="743" t="str">
        <f>IF(D640="","",VLOOKUP(D640,'General Basis'!$J$39:$K$46,2,0))</f>
        <v/>
      </c>
      <c r="BF640" s="744" t="str">
        <f>IF(D640="","",VLOOKUP(D640,'General Basis'!$J$39:$L$46,3,0))</f>
        <v/>
      </c>
      <c r="BG640" s="744" t="str">
        <f t="shared" si="231"/>
        <v/>
      </c>
      <c r="BH640" s="744" t="str">
        <f>IF(G640="","",IF(BF640="Abu Dhabi",IF(G640&lt;18,'General Basis'!$C$39,IF(G640&lt;41,'General Basis'!$C$40,IF(G640&lt;60,'General Basis'!$C$41,IF(G640&lt;65,'General Basis'!$C$42,'General Basis'!$C$43)))),IF(G640&lt;11,'General Basis'!$B$39,IF(G640&lt;18,'General Basis'!$B$40,IF(G640&lt;26,'General Basis'!$B$41,IF(G640&lt;31,'General Basis'!$B$42,IF(G640&lt;36,'General Basis'!$B$43,IF(G640&lt;41,'General Basis'!$B$44,IF(G640&lt;46,'General Basis'!$B$45,IF(G640&lt;51,'General Basis'!$B$46,IF(G640&lt;56,'General Basis'!$B$47,IF(G640&lt;60,'General Basis'!$B$48,IF(G640&lt;65,'General Basis'!$B$49,'General Basis'!$B$50)))))))))))))</f>
        <v/>
      </c>
      <c r="BI640" s="744" t="str">
        <f t="shared" si="225"/>
        <v/>
      </c>
      <c r="BJ640" s="747" t="str">
        <f t="shared" si="232"/>
        <v/>
      </c>
      <c r="BK640" s="498" t="str">
        <f t="shared" si="226"/>
        <v/>
      </c>
      <c r="BL640" s="498" t="str">
        <f t="shared" si="227"/>
        <v/>
      </c>
    </row>
    <row r="641" spans="1:64" x14ac:dyDescent="0.25">
      <c r="A641" s="762">
        <f t="shared" si="228"/>
        <v>636</v>
      </c>
      <c r="B641" s="229"/>
      <c r="C641" s="223"/>
      <c r="D641" s="224"/>
      <c r="E641" s="225"/>
      <c r="F641" s="1036" t="str">
        <f t="shared" si="234"/>
        <v/>
      </c>
      <c r="G641" s="1037" t="str">
        <f t="shared" si="229"/>
        <v/>
      </c>
      <c r="H641" s="225"/>
      <c r="I641" s="1013"/>
      <c r="J641" s="1013"/>
      <c r="K641" s="1028"/>
      <c r="L641" s="1035" t="str">
        <f t="shared" si="233"/>
        <v/>
      </c>
      <c r="S641" s="498"/>
      <c r="AJ641" s="498"/>
      <c r="AM641" s="498">
        <f t="shared" si="214"/>
        <v>0</v>
      </c>
      <c r="AN641" s="498">
        <f t="shared" si="215"/>
        <v>0</v>
      </c>
      <c r="AO641" s="498">
        <f t="shared" si="216"/>
        <v>0</v>
      </c>
      <c r="AP641" s="498">
        <f t="shared" si="235"/>
        <v>0</v>
      </c>
      <c r="AQ641" s="498">
        <f t="shared" si="230"/>
        <v>0</v>
      </c>
      <c r="AU641" s="498">
        <f t="shared" si="217"/>
        <v>0</v>
      </c>
      <c r="AV641" s="498">
        <f t="shared" si="218"/>
        <v>0</v>
      </c>
      <c r="AW641" s="498">
        <f t="shared" si="219"/>
        <v>0</v>
      </c>
      <c r="AX641" s="498">
        <f t="shared" si="220"/>
        <v>0</v>
      </c>
      <c r="AY641" s="498">
        <f t="shared" si="221"/>
        <v>0</v>
      </c>
      <c r="BB641" s="498" t="str">
        <f t="shared" si="222"/>
        <v/>
      </c>
      <c r="BC641" s="743" t="str">
        <f t="shared" si="223"/>
        <v/>
      </c>
      <c r="BD641" s="743" t="str">
        <f t="shared" si="224"/>
        <v/>
      </c>
      <c r="BE641" s="743" t="str">
        <f>IF(D641="","",VLOOKUP(D641,'General Basis'!$J$39:$K$46,2,0))</f>
        <v/>
      </c>
      <c r="BF641" s="744" t="str">
        <f>IF(D641="","",VLOOKUP(D641,'General Basis'!$J$39:$L$46,3,0))</f>
        <v/>
      </c>
      <c r="BG641" s="744" t="str">
        <f t="shared" si="231"/>
        <v/>
      </c>
      <c r="BH641" s="744" t="str">
        <f>IF(G641="","",IF(BF641="Abu Dhabi",IF(G641&lt;18,'General Basis'!$C$39,IF(G641&lt;41,'General Basis'!$C$40,IF(G641&lt;60,'General Basis'!$C$41,IF(G641&lt;65,'General Basis'!$C$42,'General Basis'!$C$43)))),IF(G641&lt;11,'General Basis'!$B$39,IF(G641&lt;18,'General Basis'!$B$40,IF(G641&lt;26,'General Basis'!$B$41,IF(G641&lt;31,'General Basis'!$B$42,IF(G641&lt;36,'General Basis'!$B$43,IF(G641&lt;41,'General Basis'!$B$44,IF(G641&lt;46,'General Basis'!$B$45,IF(G641&lt;51,'General Basis'!$B$46,IF(G641&lt;56,'General Basis'!$B$47,IF(G641&lt;60,'General Basis'!$B$48,IF(G641&lt;65,'General Basis'!$B$49,'General Basis'!$B$50)))))))))))))</f>
        <v/>
      </c>
      <c r="BI641" s="744" t="str">
        <f t="shared" si="225"/>
        <v/>
      </c>
      <c r="BJ641" s="747" t="str">
        <f t="shared" si="232"/>
        <v/>
      </c>
      <c r="BK641" s="498" t="str">
        <f t="shared" si="226"/>
        <v/>
      </c>
      <c r="BL641" s="498" t="str">
        <f t="shared" si="227"/>
        <v/>
      </c>
    </row>
    <row r="642" spans="1:64" x14ac:dyDescent="0.25">
      <c r="A642" s="762">
        <f t="shared" si="228"/>
        <v>637</v>
      </c>
      <c r="B642" s="229"/>
      <c r="C642" s="223"/>
      <c r="D642" s="224"/>
      <c r="E642" s="225"/>
      <c r="F642" s="1036" t="str">
        <f t="shared" si="234"/>
        <v/>
      </c>
      <c r="G642" s="1037" t="str">
        <f t="shared" si="229"/>
        <v/>
      </c>
      <c r="H642" s="225"/>
      <c r="I642" s="1013"/>
      <c r="J642" s="1013"/>
      <c r="K642" s="1028"/>
      <c r="L642" s="1035" t="str">
        <f t="shared" si="233"/>
        <v/>
      </c>
      <c r="S642" s="498"/>
      <c r="AJ642" s="498"/>
      <c r="AM642" s="498">
        <f t="shared" si="214"/>
        <v>0</v>
      </c>
      <c r="AN642" s="498">
        <f t="shared" si="215"/>
        <v>0</v>
      </c>
      <c r="AO642" s="498">
        <f t="shared" si="216"/>
        <v>0</v>
      </c>
      <c r="AP642" s="498">
        <f t="shared" si="235"/>
        <v>0</v>
      </c>
      <c r="AQ642" s="498">
        <f t="shared" si="230"/>
        <v>0</v>
      </c>
      <c r="AU642" s="498">
        <f t="shared" si="217"/>
        <v>0</v>
      </c>
      <c r="AV642" s="498">
        <f t="shared" si="218"/>
        <v>0</v>
      </c>
      <c r="AW642" s="498">
        <f t="shared" si="219"/>
        <v>0</v>
      </c>
      <c r="AX642" s="498">
        <f t="shared" si="220"/>
        <v>0</v>
      </c>
      <c r="AY642" s="498">
        <f t="shared" si="221"/>
        <v>0</v>
      </c>
      <c r="BB642" s="498" t="str">
        <f t="shared" si="222"/>
        <v/>
      </c>
      <c r="BC642" s="743" t="str">
        <f t="shared" si="223"/>
        <v/>
      </c>
      <c r="BD642" s="743" t="str">
        <f t="shared" si="224"/>
        <v/>
      </c>
      <c r="BE642" s="743" t="str">
        <f>IF(D642="","",VLOOKUP(D642,'General Basis'!$J$39:$K$46,2,0))</f>
        <v/>
      </c>
      <c r="BF642" s="744" t="str">
        <f>IF(D642="","",VLOOKUP(D642,'General Basis'!$J$39:$L$46,3,0))</f>
        <v/>
      </c>
      <c r="BG642" s="744" t="str">
        <f t="shared" si="231"/>
        <v/>
      </c>
      <c r="BH642" s="744" t="str">
        <f>IF(G642="","",IF(BF642="Abu Dhabi",IF(G642&lt;18,'General Basis'!$C$39,IF(G642&lt;41,'General Basis'!$C$40,IF(G642&lt;60,'General Basis'!$C$41,IF(G642&lt;65,'General Basis'!$C$42,'General Basis'!$C$43)))),IF(G642&lt;11,'General Basis'!$B$39,IF(G642&lt;18,'General Basis'!$B$40,IF(G642&lt;26,'General Basis'!$B$41,IF(G642&lt;31,'General Basis'!$B$42,IF(G642&lt;36,'General Basis'!$B$43,IF(G642&lt;41,'General Basis'!$B$44,IF(G642&lt;46,'General Basis'!$B$45,IF(G642&lt;51,'General Basis'!$B$46,IF(G642&lt;56,'General Basis'!$B$47,IF(G642&lt;60,'General Basis'!$B$48,IF(G642&lt;65,'General Basis'!$B$49,'General Basis'!$B$50)))))))))))))</f>
        <v/>
      </c>
      <c r="BI642" s="744" t="str">
        <f t="shared" si="225"/>
        <v/>
      </c>
      <c r="BJ642" s="747" t="str">
        <f t="shared" si="232"/>
        <v/>
      </c>
      <c r="BK642" s="498" t="str">
        <f t="shared" si="226"/>
        <v/>
      </c>
      <c r="BL642" s="498" t="str">
        <f t="shared" si="227"/>
        <v/>
      </c>
    </row>
    <row r="643" spans="1:64" x14ac:dyDescent="0.25">
      <c r="A643" s="762">
        <f t="shared" si="228"/>
        <v>638</v>
      </c>
      <c r="B643" s="229"/>
      <c r="C643" s="223"/>
      <c r="D643" s="224"/>
      <c r="E643" s="225"/>
      <c r="F643" s="1036" t="str">
        <f t="shared" si="234"/>
        <v/>
      </c>
      <c r="G643" s="1037" t="str">
        <f t="shared" si="229"/>
        <v/>
      </c>
      <c r="H643" s="225"/>
      <c r="I643" s="1013"/>
      <c r="J643" s="1013"/>
      <c r="K643" s="1028"/>
      <c r="L643" s="1035" t="str">
        <f t="shared" si="233"/>
        <v/>
      </c>
      <c r="S643" s="498"/>
      <c r="AJ643" s="498"/>
      <c r="AM643" s="498">
        <f t="shared" si="214"/>
        <v>0</v>
      </c>
      <c r="AN643" s="498">
        <f t="shared" si="215"/>
        <v>0</v>
      </c>
      <c r="AO643" s="498">
        <f t="shared" si="216"/>
        <v>0</v>
      </c>
      <c r="AP643" s="498">
        <f t="shared" si="235"/>
        <v>0</v>
      </c>
      <c r="AQ643" s="498">
        <f t="shared" si="230"/>
        <v>0</v>
      </c>
      <c r="AU643" s="498">
        <f t="shared" si="217"/>
        <v>0</v>
      </c>
      <c r="AV643" s="498">
        <f t="shared" si="218"/>
        <v>0</v>
      </c>
      <c r="AW643" s="498">
        <f t="shared" si="219"/>
        <v>0</v>
      </c>
      <c r="AX643" s="498">
        <f t="shared" si="220"/>
        <v>0</v>
      </c>
      <c r="AY643" s="498">
        <f t="shared" si="221"/>
        <v>0</v>
      </c>
      <c r="BB643" s="498" t="str">
        <f t="shared" si="222"/>
        <v/>
      </c>
      <c r="BC643" s="743" t="str">
        <f t="shared" si="223"/>
        <v/>
      </c>
      <c r="BD643" s="743" t="str">
        <f t="shared" si="224"/>
        <v/>
      </c>
      <c r="BE643" s="743" t="str">
        <f>IF(D643="","",VLOOKUP(D643,'General Basis'!$J$39:$K$46,2,0))</f>
        <v/>
      </c>
      <c r="BF643" s="744" t="str">
        <f>IF(D643="","",VLOOKUP(D643,'General Basis'!$J$39:$L$46,3,0))</f>
        <v/>
      </c>
      <c r="BG643" s="744" t="str">
        <f t="shared" si="231"/>
        <v/>
      </c>
      <c r="BH643" s="744" t="str">
        <f>IF(G643="","",IF(BF643="Abu Dhabi",IF(G643&lt;18,'General Basis'!$C$39,IF(G643&lt;41,'General Basis'!$C$40,IF(G643&lt;60,'General Basis'!$C$41,IF(G643&lt;65,'General Basis'!$C$42,'General Basis'!$C$43)))),IF(G643&lt;11,'General Basis'!$B$39,IF(G643&lt;18,'General Basis'!$B$40,IF(G643&lt;26,'General Basis'!$B$41,IF(G643&lt;31,'General Basis'!$B$42,IF(G643&lt;36,'General Basis'!$B$43,IF(G643&lt;41,'General Basis'!$B$44,IF(G643&lt;46,'General Basis'!$B$45,IF(G643&lt;51,'General Basis'!$B$46,IF(G643&lt;56,'General Basis'!$B$47,IF(G643&lt;60,'General Basis'!$B$48,IF(G643&lt;65,'General Basis'!$B$49,'General Basis'!$B$50)))))))))))))</f>
        <v/>
      </c>
      <c r="BI643" s="744" t="str">
        <f t="shared" si="225"/>
        <v/>
      </c>
      <c r="BJ643" s="747" t="str">
        <f t="shared" si="232"/>
        <v/>
      </c>
      <c r="BK643" s="498" t="str">
        <f t="shared" si="226"/>
        <v/>
      </c>
      <c r="BL643" s="498" t="str">
        <f t="shared" si="227"/>
        <v/>
      </c>
    </row>
    <row r="644" spans="1:64" x14ac:dyDescent="0.25">
      <c r="A644" s="762">
        <f t="shared" si="228"/>
        <v>639</v>
      </c>
      <c r="B644" s="229"/>
      <c r="C644" s="223"/>
      <c r="D644" s="224"/>
      <c r="E644" s="225"/>
      <c r="F644" s="1036" t="str">
        <f t="shared" si="234"/>
        <v/>
      </c>
      <c r="G644" s="1037" t="str">
        <f t="shared" si="229"/>
        <v/>
      </c>
      <c r="H644" s="225"/>
      <c r="I644" s="1013"/>
      <c r="J644" s="1013"/>
      <c r="K644" s="1028"/>
      <c r="L644" s="1035" t="str">
        <f t="shared" si="233"/>
        <v/>
      </c>
      <c r="S644" s="498"/>
      <c r="AJ644" s="498"/>
      <c r="AM644" s="498">
        <f t="shared" si="214"/>
        <v>0</v>
      </c>
      <c r="AN644" s="498">
        <f t="shared" si="215"/>
        <v>0</v>
      </c>
      <c r="AO644" s="498">
        <f t="shared" si="216"/>
        <v>0</v>
      </c>
      <c r="AP644" s="498">
        <f t="shared" si="235"/>
        <v>0</v>
      </c>
      <c r="AQ644" s="498">
        <f t="shared" si="230"/>
        <v>0</v>
      </c>
      <c r="AU644" s="498">
        <f t="shared" si="217"/>
        <v>0</v>
      </c>
      <c r="AV644" s="498">
        <f t="shared" si="218"/>
        <v>0</v>
      </c>
      <c r="AW644" s="498">
        <f t="shared" si="219"/>
        <v>0</v>
      </c>
      <c r="AX644" s="498">
        <f t="shared" si="220"/>
        <v>0</v>
      </c>
      <c r="AY644" s="498">
        <f t="shared" si="221"/>
        <v>0</v>
      </c>
      <c r="BB644" s="498" t="str">
        <f t="shared" si="222"/>
        <v/>
      </c>
      <c r="BC644" s="743" t="str">
        <f t="shared" si="223"/>
        <v/>
      </c>
      <c r="BD644" s="743" t="str">
        <f t="shared" si="224"/>
        <v/>
      </c>
      <c r="BE644" s="743" t="str">
        <f>IF(D644="","",VLOOKUP(D644,'General Basis'!$J$39:$K$46,2,0))</f>
        <v/>
      </c>
      <c r="BF644" s="744" t="str">
        <f>IF(D644="","",VLOOKUP(D644,'General Basis'!$J$39:$L$46,3,0))</f>
        <v/>
      </c>
      <c r="BG644" s="744" t="str">
        <f t="shared" si="231"/>
        <v/>
      </c>
      <c r="BH644" s="744" t="str">
        <f>IF(G644="","",IF(BF644="Abu Dhabi",IF(G644&lt;18,'General Basis'!$C$39,IF(G644&lt;41,'General Basis'!$C$40,IF(G644&lt;60,'General Basis'!$C$41,IF(G644&lt;65,'General Basis'!$C$42,'General Basis'!$C$43)))),IF(G644&lt;11,'General Basis'!$B$39,IF(G644&lt;18,'General Basis'!$B$40,IF(G644&lt;26,'General Basis'!$B$41,IF(G644&lt;31,'General Basis'!$B$42,IF(G644&lt;36,'General Basis'!$B$43,IF(G644&lt;41,'General Basis'!$B$44,IF(G644&lt;46,'General Basis'!$B$45,IF(G644&lt;51,'General Basis'!$B$46,IF(G644&lt;56,'General Basis'!$B$47,IF(G644&lt;60,'General Basis'!$B$48,IF(G644&lt;65,'General Basis'!$B$49,'General Basis'!$B$50)))))))))))))</f>
        <v/>
      </c>
      <c r="BI644" s="744" t="str">
        <f t="shared" si="225"/>
        <v/>
      </c>
      <c r="BJ644" s="747" t="str">
        <f t="shared" si="232"/>
        <v/>
      </c>
      <c r="BK644" s="498" t="str">
        <f t="shared" si="226"/>
        <v/>
      </c>
      <c r="BL644" s="498" t="str">
        <f t="shared" si="227"/>
        <v/>
      </c>
    </row>
    <row r="645" spans="1:64" x14ac:dyDescent="0.25">
      <c r="A645" s="762">
        <f t="shared" si="228"/>
        <v>640</v>
      </c>
      <c r="B645" s="229"/>
      <c r="C645" s="223"/>
      <c r="D645" s="224"/>
      <c r="E645" s="225"/>
      <c r="F645" s="1036" t="str">
        <f t="shared" si="234"/>
        <v/>
      </c>
      <c r="G645" s="1037" t="str">
        <f t="shared" si="229"/>
        <v/>
      </c>
      <c r="H645" s="225"/>
      <c r="I645" s="1013"/>
      <c r="J645" s="1013"/>
      <c r="K645" s="1028"/>
      <c r="L645" s="1035" t="str">
        <f t="shared" si="233"/>
        <v/>
      </c>
      <c r="S645" s="498"/>
      <c r="AJ645" s="498"/>
      <c r="AM645" s="498">
        <f t="shared" si="214"/>
        <v>0</v>
      </c>
      <c r="AN645" s="498">
        <f t="shared" si="215"/>
        <v>0</v>
      </c>
      <c r="AO645" s="498">
        <f t="shared" si="216"/>
        <v>0</v>
      </c>
      <c r="AP645" s="498">
        <f t="shared" si="235"/>
        <v>0</v>
      </c>
      <c r="AQ645" s="498">
        <f t="shared" si="230"/>
        <v>0</v>
      </c>
      <c r="AU645" s="498">
        <f t="shared" si="217"/>
        <v>0</v>
      </c>
      <c r="AV645" s="498">
        <f t="shared" si="218"/>
        <v>0</v>
      </c>
      <c r="AW645" s="498">
        <f t="shared" si="219"/>
        <v>0</v>
      </c>
      <c r="AX645" s="498">
        <f t="shared" si="220"/>
        <v>0</v>
      </c>
      <c r="AY645" s="498">
        <f t="shared" si="221"/>
        <v>0</v>
      </c>
      <c r="BB645" s="498" t="str">
        <f t="shared" si="222"/>
        <v/>
      </c>
      <c r="BC645" s="743" t="str">
        <f t="shared" si="223"/>
        <v/>
      </c>
      <c r="BD645" s="743" t="str">
        <f t="shared" si="224"/>
        <v/>
      </c>
      <c r="BE645" s="743" t="str">
        <f>IF(D645="","",VLOOKUP(D645,'General Basis'!$J$39:$K$46,2,0))</f>
        <v/>
      </c>
      <c r="BF645" s="744" t="str">
        <f>IF(D645="","",VLOOKUP(D645,'General Basis'!$J$39:$L$46,3,0))</f>
        <v/>
      </c>
      <c r="BG645" s="744" t="str">
        <f t="shared" si="231"/>
        <v/>
      </c>
      <c r="BH645" s="744" t="str">
        <f>IF(G645="","",IF(BF645="Abu Dhabi",IF(G645&lt;18,'General Basis'!$C$39,IF(G645&lt;41,'General Basis'!$C$40,IF(G645&lt;60,'General Basis'!$C$41,IF(G645&lt;65,'General Basis'!$C$42,'General Basis'!$C$43)))),IF(G645&lt;11,'General Basis'!$B$39,IF(G645&lt;18,'General Basis'!$B$40,IF(G645&lt;26,'General Basis'!$B$41,IF(G645&lt;31,'General Basis'!$B$42,IF(G645&lt;36,'General Basis'!$B$43,IF(G645&lt;41,'General Basis'!$B$44,IF(G645&lt;46,'General Basis'!$B$45,IF(G645&lt;51,'General Basis'!$B$46,IF(G645&lt;56,'General Basis'!$B$47,IF(G645&lt;60,'General Basis'!$B$48,IF(G645&lt;65,'General Basis'!$B$49,'General Basis'!$B$50)))))))))))))</f>
        <v/>
      </c>
      <c r="BI645" s="744" t="str">
        <f t="shared" si="225"/>
        <v/>
      </c>
      <c r="BJ645" s="747" t="str">
        <f t="shared" si="232"/>
        <v/>
      </c>
      <c r="BK645" s="498" t="str">
        <f t="shared" si="226"/>
        <v/>
      </c>
      <c r="BL645" s="498" t="str">
        <f t="shared" si="227"/>
        <v/>
      </c>
    </row>
    <row r="646" spans="1:64" x14ac:dyDescent="0.25">
      <c r="A646" s="762">
        <f t="shared" si="228"/>
        <v>641</v>
      </c>
      <c r="B646" s="229"/>
      <c r="C646" s="223"/>
      <c r="D646" s="224"/>
      <c r="E646" s="225"/>
      <c r="F646" s="1036" t="str">
        <f t="shared" si="234"/>
        <v/>
      </c>
      <c r="G646" s="1037" t="str">
        <f t="shared" si="229"/>
        <v/>
      </c>
      <c r="H646" s="225"/>
      <c r="I646" s="1013"/>
      <c r="J646" s="1013"/>
      <c r="K646" s="1028"/>
      <c r="L646" s="1035" t="str">
        <f t="shared" si="233"/>
        <v/>
      </c>
      <c r="S646" s="498"/>
      <c r="AJ646" s="498"/>
      <c r="AM646" s="498">
        <f t="shared" ref="AM646:AM709" si="236">IF(ISTEXT(B646),1,0)</f>
        <v>0</v>
      </c>
      <c r="AN646" s="498">
        <f t="shared" ref="AN646:AN709" si="237">IF(ISBLANK(B646),0,IF(B646&lt;$AK$6,1,0))</f>
        <v>0</v>
      </c>
      <c r="AO646" s="498">
        <f t="shared" ref="AO646:AO709" si="238">IF(ISBLANK(B646),0,IF(B646&gt;$AK$7,1,0))</f>
        <v>0</v>
      </c>
      <c r="AP646" s="498">
        <f t="shared" si="235"/>
        <v>0</v>
      </c>
      <c r="AQ646" s="498">
        <f t="shared" si="230"/>
        <v>0</v>
      </c>
      <c r="AU646" s="498">
        <f t="shared" ref="AU646:AU709" si="239">IF(ISBLANK(B646),0,1)</f>
        <v>0</v>
      </c>
      <c r="AV646" s="498">
        <f t="shared" ref="AV646:AV709" si="240">IF(ISBLANK(C646),0,1)</f>
        <v>0</v>
      </c>
      <c r="AW646" s="498">
        <f t="shared" ref="AW646:AW709" si="241">IF(ISBLANK(D646),0,1)</f>
        <v>0</v>
      </c>
      <c r="AX646" s="498">
        <f t="shared" ref="AX646:AX709" si="242">IF(ISBLANK(E646),0,1)</f>
        <v>0</v>
      </c>
      <c r="AY646" s="498">
        <f t="shared" ref="AY646:AY709" si="243">IF(ISBLANK(H646),0,1)</f>
        <v>0</v>
      </c>
      <c r="BB646" s="498" t="str">
        <f t="shared" ref="BB646:BB709" si="244">IF(E646="Principal","Principal",IF(E646="","","Other"))</f>
        <v/>
      </c>
      <c r="BC646" s="743" t="str">
        <f t="shared" ref="BC646:BC709" si="245">IF(D646="","",D646)</f>
        <v/>
      </c>
      <c r="BD646" s="743" t="str">
        <f t="shared" ref="BD646:BD709" si="246">IF(E646="Principal","Employee",IF(E646="","","Dependent"))</f>
        <v/>
      </c>
      <c r="BE646" s="743" t="str">
        <f>IF(D646="","",VLOOKUP(D646,'General Basis'!$J$39:$K$46,2,0))</f>
        <v/>
      </c>
      <c r="BF646" s="744" t="str">
        <f>IF(D646="","",VLOOKUP(D646,'General Basis'!$J$39:$L$46,3,0))</f>
        <v/>
      </c>
      <c r="BG646" s="744" t="str">
        <f t="shared" si="231"/>
        <v/>
      </c>
      <c r="BH646" s="744" t="str">
        <f>IF(G646="","",IF(BF646="Abu Dhabi",IF(G646&lt;18,'General Basis'!$C$39,IF(G646&lt;41,'General Basis'!$C$40,IF(G646&lt;60,'General Basis'!$C$41,IF(G646&lt;65,'General Basis'!$C$42,'General Basis'!$C$43)))),IF(G646&lt;11,'General Basis'!$B$39,IF(G646&lt;18,'General Basis'!$B$40,IF(G646&lt;26,'General Basis'!$B$41,IF(G646&lt;31,'General Basis'!$B$42,IF(G646&lt;36,'General Basis'!$B$43,IF(G646&lt;41,'General Basis'!$B$44,IF(G646&lt;46,'General Basis'!$B$45,IF(G646&lt;51,'General Basis'!$B$46,IF(G646&lt;56,'General Basis'!$B$47,IF(G646&lt;60,'General Basis'!$B$48,IF(G646&lt;65,'General Basis'!$B$49,'General Basis'!$B$50)))))))))))))</f>
        <v/>
      </c>
      <c r="BI646" s="744" t="str">
        <f t="shared" ref="BI646:BI709" si="247">IF(C646="","",IF(C646="M","Male","Female"))</f>
        <v/>
      </c>
      <c r="BJ646" s="747" t="str">
        <f t="shared" si="232"/>
        <v/>
      </c>
      <c r="BK646" s="498" t="str">
        <f t="shared" ref="BK646:BK709" si="248">IF(BD646="","",IF(AND(BD646="Employee",BI646="Male",BF646="Abu Dhabi",BE646=GN_Plus),VLOOKUP(BH646,AUH_MALE_EMP,2,0),IF(AND(BD646="Employee",BI646="Male",BF646="Abu Dhabi",BE646=GN),VLOOKUP(BH646,AUH_MALE_EMP,3,0),IF(AND(BD646="Employee",BI646="Male",BF646="Abu Dhabi",BE646=RN_Plus),VLOOKUP(BH646,AUH_MALE_EMP,4,0),IF(AND(BD646="Employee",BI646="Male",BF646="Abu Dhabi",BE646=RN),VLOOKUP(BH646,AUH_MALE_EMP,5,0),IF(AND(BD646="Employee",BI646="Male",BF646="Abu Dhabi",BE646=RN_2),VLOOKUP(BH646,AUH_MALE_EMP,6,0),IF(AND(BD646="Employee",BI646="Male",BF646="Abu Dhabi",BE646=RN2_minus),VLOOKUP(BH646,AUH_MALE_EMP,7,0),IF(AND(BD646="Employee",BI646="Male",BF646="Abu Dhabi",BE646=RN_3),VLOOKUP(BH646,AUH_MALE_EMP,8,0),IF(AND(BD646="Employee",BI646="Male",BF646="Abu Dhabi",BE646=VN),VLOOKUP(BH646,AUH_MALE_EMP,9,0),IF(BD646="","",IF(AND(BD646="Employee",BI646="Female",BF646="Abu Dhabi",BE646=GN_Plus),VLOOKUP(BH646,AUH_FEMALE_EMP,2,0),IF(AND(BD646="Employee",BI646="Female",BF646="Abu Dhabi",BE646=GN),VLOOKUP(BH646,AUH_FEMALE_EMP,3,0),IF(AND(BD646="Employee",BI646="Female",BF646="Abu Dhabi",BE646=RN_Plus),VLOOKUP(BH646,AUH_FEMALE_EMP,4,0),IF(AND(BD646="Employee",BI646="Female",BF646="Abu Dhabi",BE646=RN),VLOOKUP(BH646,AUH_FEMALE_EMP,5,0),IF(AND(BD646="Employee",BI646="Female",BF646="Abu Dhabi",BE646=RN_2),VLOOKUP(BH646,AUH_FEMALE_EMP,6,0),IF(AND(BD646="Employee",BI646="Female",BF646="Abu Dhabi",BE646=RN2_minus),VLOOKUP(BH646,AUH_FEMALE_EMP,7,0),IF(AND(BD646="Employee",BI646="Female",BF646="Abu Dhabi",BE646=RN_3),VLOOKUP(BH646,AUH_FEMALE_EMP,8,0),IF(AND(BD646="Employee",BI646="Female",BF646="Abu Dhabi",BE646=VN),VLOOKUP(BH646,AUH_FEMALE_EMP,9,0),IF(BD646="","",IF(AND(BD646="Dependent",BI646="Male",BF646="Abu Dhabi",BE646=GN_Plus),VLOOKUP(BH646,AUH_MALE_DEP,2,0),IF(AND(BD646="Dependent",BI646="Male",BF646="Abu Dhabi",BE646=GN),VLOOKUP(BH646,AUH_MALE_DEP,3,0),IF(AND(BD646="Dependent",BI646="Male",BF646="Abu Dhabi",BE646=RN_Plus),VLOOKUP(BH646,AUH_MALE_DEP,4,0),IF(AND(BD646="Dependent",BI646="Male",BF646="Abu Dhabi",BE646=RN),VLOOKUP(BH646,AUH_MALE_DEP,5,0),IF(AND(BD646="Dependent",BI646="Male",BF646="Abu Dhabi",BE646=RN_2),VLOOKUP(BH646,AUH_MALE_DEP,6,0),IF(AND(BD646="Dependent",BI646="Male",BF646="Abu Dhabi",BE646=RN2_minus),VLOOKUP(BH646,AUH_MALE_DEP,7,0),IF(AND(BD646="Dependent",BI646="Male",BF646="Abu Dhabi",BE646=RN_3),VLOOKUP(BH646,AUH_MALE_DEP,8,0),IF(AND(BD646="Dependent",BI646="Male",BF646="Abu Dhabi",BE646=VN),VLOOKUP(BH646,AUH_MALE_DEP,9,0),IF(BD646="","",IF(AND(BD646="Dependent",BI646="Female",BF646="Abu Dhabi",BE646=GN_Plus),VLOOKUP(BH646,AUH_FEMALE_DEP,2,0),IF(AND(BD646="Dependent",BI646="Female",BF646="Abu Dhabi",BE646=GN),VLOOKUP(BH646,AUH_FEMALE_DEP,3,0),IF(AND(BD646="Dependent",BI646="Female",BF646="Abu Dhabi",BE646=RN_Plus),VLOOKUP(BH646,AUH_FEMALE_DEP,4,0),IF(AND(BD646="Dependent",BI646="Female",BF646="Abu Dhabi",BE646=RN),VLOOKUP(BH646,AUH_FEMALE_DEP,5,0),IF(AND(BD646="Dependent",BI646="Female",BF646="Abu Dhabi",BE646=RN_2),VLOOKUP(BH646,AUH_FEMALE_DEP,6,0),IF(AND(BD646="Dependent",BI646="Female",BF646="Abu Dhabi",BE646=RN2_minus),VLOOKUP(BH646,AUH_FEMALE_DEP,7,0),IF(AND(BD646="Dependent",BI646="Female",BF646="Abu Dhabi",BE646=RN_3),VLOOKUP(BH646,AUH_FEMALE_DEP,8,0),IF(AND(BD646="Dependent",BI646="Female",BF646="Abu Dhabi",BE646=VN),VLOOKUP(BH646,AUH_FEMALE_DEP,9,0),"ABC"))))))))))))))))))))))))))))))))))))</f>
        <v/>
      </c>
      <c r="BL646" s="498" t="str">
        <f t="shared" ref="BL646:BL709" si="249">IF(BD646="","",IF(AND(BD646="Employee",BI646="Male",BF646="Dubai",BE646=GN_Plus),VLOOKUP(BH646,DXB_MALE_EMP,2,0),IF(AND(BD646="Employee",BI646="Male",BF646="Dubai",BE646=GN),VLOOKUP(BH646,DXB_MALE_EMP,3,0),IF(AND(BD646="Employee",BI646="Male",BF646="Dubai",BE646=RN_Plus),VLOOKUP(BH646,DXB_MALE_EMP,4,0),IF(AND(BD646="Employee",BI646="Male",BF646="Dubai",BE646=RN),VLOOKUP(BH646,DXB_MALE_EMP,5,0),IF(AND(BD646="Employee",BI646="Male",BF646="Dubai",BE646=RN_2),VLOOKUP(BH646,DXB_MALE_EMP,6,0),IF(AND(BD646="Employee",BI646="Male",BF646="Dubai",BE646=RN2_minus),VLOOKUP(BH646,DXB_MALE_EMP,7,0),IF(AND(BD646="Employee",BI646="Male",BF646="Dubai",BE646=RN_3),VLOOKUP(BH646,DXB_MALE_EMP,8,0),IF(AND(BD646="Employee",BI646="Male",BF646="Dubai",BE646=VN),VLOOKUP(BH646,DXB_MALE_EMP,9,0),IF(BD646="","",IF(AND(BD646="Employee",BI646="Female",BF646="Dubai",BE646=GN_Plus),VLOOKUP(BH646,DXB_FEMALE_EMP,2,0),IF(AND(BD646="Employee",BI646="Female",BF646="Dubai",BE646=GN),VLOOKUP(BH646,DXB_FEMALE_EMP,3,0),IF(AND(BD646="Employee",BI646="Female",BF646="Dubai",BE646=RN_Plus),VLOOKUP(BH646,DXB_FEMALE_EMP,4,0),IF(AND(BD646="Employee",BI646="Female",BF646="Dubai",BE646=RN),VLOOKUP(BH646,DXB_FEMALE_EMP,5,0),IF(AND(BD646="Employee",BI646="Female",BF646="Dubai",BE646=RN_2),VLOOKUP(BH646,DXB_FEMALE_EMP,6,0),IF(AND(BD646="Employee",BI646="Female",BF646="Dubai",BE646=RN2_minus),VLOOKUP(BH646,DXB_FEMALE_EMP,7,0),IF(AND(BD646="Employee",BI646="Female",BF646="Dubai",BE646=RN_3),VLOOKUP(BH646,DXB_FEMALE_EMP,8,0),IF(AND(BD646="Employee",BI646="Female",BF646="Dubai",BE646=VN),VLOOKUP(BH646,DXB_FEMALE_EMP,9,0),IF(BD646="","",IF(AND(BD646="Dependent",BI646="Male",BF646="Dubai",BE646=GN_Plus),VLOOKUP(BH646,DXB_MALE_DEP,2,0),IF(AND(BD646="Dependent",BI646="Male",BF646="Dubai",BE646=GN),VLOOKUP(BH646,DXB_MALE_DEP,3,0),IF(AND(BD646="Dependent",BI646="Male",BF646="Dubai",BE646=RN_Plus),VLOOKUP(BH646,DXB_MALE_DEP,4,0),IF(AND(BD646="Dependent",BI646="Male",BF646="Dubai",BE646=RN),VLOOKUP(BH646,DXB_MALE_DEP,5,0),IF(AND(BD646="Dependent",BI646="Male",BF646="Dubai",BE646=RN_2),VLOOKUP(BH646,DXB_MALE_DEP,6,0),IF(AND(BD646="Dependent",BI646="Male",BF646="Dubai",BE646=RN2_minus),VLOOKUP(BH646,DXB_MALE_DEP,7,0),IF(AND(BD646="Dependent",BI646="Male",BF646="Dubai",BE646=RN_3),VLOOKUP(BH646,DXB_MALE_DEP,8,0),IF(AND(BD646="Dependent",BI646="Male",BF646="Dubai",BE646=VN),VLOOKUP(BH646,DXB_MALE_DEP,9,0),IF(BD646="","",IF(AND(BD646="Dependent",BI646="Female",BF646="Dubai",BE646=GN_Plus),VLOOKUP(BH646,DXB_FEMALE_DEP,2,0),IF(AND(BD646="Dependent",BI646="Female",BF646="Dubai",BE646=GN),VLOOKUP(BH646,DXB_FEMALE_DEP,3,0),IF(AND(BD646="Dependent",BI646="Female",BF646="Dubai",BE646=RN_Plus),VLOOKUP(BH646,DXB_FEMALE_DEP,4,0),IF(AND(BD646="Dependent",BI646="Female",BF646="Dubai",BE646=RN),VLOOKUP(BH646,DXB_FEMALE_DEP,5,0),IF(AND(BD646="Dependent",BI646="Female",BF646="Dubai",BE646=RN_2),VLOOKUP(BH646,DXB_FEMALE_DEP,6,0),IF(AND(BD646="Dependent",BI646="Female",BF646="Dubai",BE646=RN2_minus),VLOOKUP(BH646,DXB_FEMALE_DEP,7,0),IF(AND(BD646="Dependent",BI646="Female",BF646="Dubai",BE646=RN_3),VLOOKUP(BH646,DXB_FEMALE_DEP,8,0),IF(AND(BD646="Dependent",BI646="Female",BF646="Dubai",BE646=VN),VLOOKUP(BH646,DXB_FEMALE_DEP,9,0),"ABC"))))))))))))))))))))))))))))))))))))</f>
        <v/>
      </c>
    </row>
    <row r="647" spans="1:64" x14ac:dyDescent="0.25">
      <c r="A647" s="762">
        <f t="shared" ref="A647:A710" si="250">+A646+1</f>
        <v>642</v>
      </c>
      <c r="B647" s="229"/>
      <c r="C647" s="223"/>
      <c r="D647" s="224"/>
      <c r="E647" s="225"/>
      <c r="F647" s="1036" t="str">
        <f t="shared" si="234"/>
        <v/>
      </c>
      <c r="G647" s="1037" t="str">
        <f t="shared" ref="G647:G710" si="251">IF(D647="","",MAX(0,ROUNDUP(F647,0)))</f>
        <v/>
      </c>
      <c r="H647" s="225"/>
      <c r="I647" s="1013"/>
      <c r="J647" s="1013"/>
      <c r="K647" s="1028"/>
      <c r="L647" s="1035" t="str">
        <f t="shared" si="233"/>
        <v/>
      </c>
      <c r="S647" s="498"/>
      <c r="AJ647" s="498"/>
      <c r="AM647" s="498">
        <f t="shared" si="236"/>
        <v>0</v>
      </c>
      <c r="AN647" s="498">
        <f t="shared" si="237"/>
        <v>0</v>
      </c>
      <c r="AO647" s="498">
        <f t="shared" si="238"/>
        <v>0</v>
      </c>
      <c r="AP647" s="498">
        <f t="shared" si="235"/>
        <v>0</v>
      </c>
      <c r="AQ647" s="498">
        <f t="shared" ref="AQ647:AQ710" si="252">IF(ISBLANK($B647),0,IF(OR($H647="Single",$H647="Married"),0,1))</f>
        <v>0</v>
      </c>
      <c r="AU647" s="498">
        <f t="shared" si="239"/>
        <v>0</v>
      </c>
      <c r="AV647" s="498">
        <f t="shared" si="240"/>
        <v>0</v>
      </c>
      <c r="AW647" s="498">
        <f t="shared" si="241"/>
        <v>0</v>
      </c>
      <c r="AX647" s="498">
        <f t="shared" si="242"/>
        <v>0</v>
      </c>
      <c r="AY647" s="498">
        <f t="shared" si="243"/>
        <v>0</v>
      </c>
      <c r="BB647" s="498" t="str">
        <f t="shared" si="244"/>
        <v/>
      </c>
      <c r="BC647" s="743" t="str">
        <f t="shared" si="245"/>
        <v/>
      </c>
      <c r="BD647" s="743" t="str">
        <f t="shared" si="246"/>
        <v/>
      </c>
      <c r="BE647" s="743" t="str">
        <f>IF(D647="","",VLOOKUP(D647,'General Basis'!$J$39:$K$46,2,0))</f>
        <v/>
      </c>
      <c r="BF647" s="744" t="str">
        <f>IF(D647="","",VLOOKUP(D647,'General Basis'!$J$39:$L$46,3,0))</f>
        <v/>
      </c>
      <c r="BG647" s="744" t="str">
        <f t="shared" ref="BG647:BG710" si="253">BC647&amp;BI647</f>
        <v/>
      </c>
      <c r="BH647" s="744" t="str">
        <f>IF(G647="","",IF(BF647="Abu Dhabi",IF(G647&lt;18,'General Basis'!$C$39,IF(G647&lt;41,'General Basis'!$C$40,IF(G647&lt;60,'General Basis'!$C$41,IF(G647&lt;65,'General Basis'!$C$42,'General Basis'!$C$43)))),IF(G647&lt;11,'General Basis'!$B$39,IF(G647&lt;18,'General Basis'!$B$40,IF(G647&lt;26,'General Basis'!$B$41,IF(G647&lt;31,'General Basis'!$B$42,IF(G647&lt;36,'General Basis'!$B$43,IF(G647&lt;41,'General Basis'!$B$44,IF(G647&lt;46,'General Basis'!$B$45,IF(G647&lt;51,'General Basis'!$B$46,IF(G647&lt;56,'General Basis'!$B$47,IF(G647&lt;60,'General Basis'!$B$48,IF(G647&lt;65,'General Basis'!$B$49,'General Basis'!$B$50)))))))))))))</f>
        <v/>
      </c>
      <c r="BI647" s="744" t="str">
        <f t="shared" si="247"/>
        <v/>
      </c>
      <c r="BJ647" s="747" t="str">
        <f t="shared" ref="BJ647:BJ710" si="254">IF(BD647="","",IF(BF647="Abu Dhabi",BK647,BL647))</f>
        <v/>
      </c>
      <c r="BK647" s="498" t="str">
        <f t="shared" si="248"/>
        <v/>
      </c>
      <c r="BL647" s="498" t="str">
        <f t="shared" si="249"/>
        <v/>
      </c>
    </row>
    <row r="648" spans="1:64" x14ac:dyDescent="0.25">
      <c r="A648" s="762">
        <f t="shared" si="250"/>
        <v>643</v>
      </c>
      <c r="B648" s="229"/>
      <c r="C648" s="223"/>
      <c r="D648" s="224"/>
      <c r="E648" s="225"/>
      <c r="F648" s="1036" t="str">
        <f t="shared" si="234"/>
        <v/>
      </c>
      <c r="G648" s="1037" t="str">
        <f t="shared" si="251"/>
        <v/>
      </c>
      <c r="H648" s="225"/>
      <c r="I648" s="1013"/>
      <c r="J648" s="1013"/>
      <c r="K648" s="1028"/>
      <c r="L648" s="1035" t="str">
        <f t="shared" ref="L648:L711" si="255">IF(AND(E648="Child",H648="Married"),"Check the Marital Status of the Child. ",IF(AND(E648="Child",F648&gt;18),"Child Age exceed 18 years. ",IF(AND(E648="Spouse",H648="Single"),"Spouse is selected as Single. ","")))&amp;IF(K648&gt;0,"UW Loading has been Applied","")</f>
        <v/>
      </c>
      <c r="S648" s="498"/>
      <c r="AJ648" s="498"/>
      <c r="AM648" s="498">
        <f t="shared" si="236"/>
        <v>0</v>
      </c>
      <c r="AN648" s="498">
        <f t="shared" si="237"/>
        <v>0</v>
      </c>
      <c r="AO648" s="498">
        <f t="shared" si="238"/>
        <v>0</v>
      </c>
      <c r="AP648" s="498">
        <f t="shared" si="235"/>
        <v>0</v>
      </c>
      <c r="AQ648" s="498">
        <f t="shared" si="252"/>
        <v>0</v>
      </c>
      <c r="AU648" s="498">
        <f t="shared" si="239"/>
        <v>0</v>
      </c>
      <c r="AV648" s="498">
        <f t="shared" si="240"/>
        <v>0</v>
      </c>
      <c r="AW648" s="498">
        <f t="shared" si="241"/>
        <v>0</v>
      </c>
      <c r="AX648" s="498">
        <f t="shared" si="242"/>
        <v>0</v>
      </c>
      <c r="AY648" s="498">
        <f t="shared" si="243"/>
        <v>0</v>
      </c>
      <c r="BB648" s="498" t="str">
        <f t="shared" si="244"/>
        <v/>
      </c>
      <c r="BC648" s="743" t="str">
        <f t="shared" si="245"/>
        <v/>
      </c>
      <c r="BD648" s="743" t="str">
        <f t="shared" si="246"/>
        <v/>
      </c>
      <c r="BE648" s="743" t="str">
        <f>IF(D648="","",VLOOKUP(D648,'General Basis'!$J$39:$K$46,2,0))</f>
        <v/>
      </c>
      <c r="BF648" s="744" t="str">
        <f>IF(D648="","",VLOOKUP(D648,'General Basis'!$J$39:$L$46,3,0))</f>
        <v/>
      </c>
      <c r="BG648" s="744" t="str">
        <f t="shared" si="253"/>
        <v/>
      </c>
      <c r="BH648" s="744" t="str">
        <f>IF(G648="","",IF(BF648="Abu Dhabi",IF(G648&lt;18,'General Basis'!$C$39,IF(G648&lt;41,'General Basis'!$C$40,IF(G648&lt;60,'General Basis'!$C$41,IF(G648&lt;65,'General Basis'!$C$42,'General Basis'!$C$43)))),IF(G648&lt;11,'General Basis'!$B$39,IF(G648&lt;18,'General Basis'!$B$40,IF(G648&lt;26,'General Basis'!$B$41,IF(G648&lt;31,'General Basis'!$B$42,IF(G648&lt;36,'General Basis'!$B$43,IF(G648&lt;41,'General Basis'!$B$44,IF(G648&lt;46,'General Basis'!$B$45,IF(G648&lt;51,'General Basis'!$B$46,IF(G648&lt;56,'General Basis'!$B$47,IF(G648&lt;60,'General Basis'!$B$48,IF(G648&lt;65,'General Basis'!$B$49,'General Basis'!$B$50)))))))))))))</f>
        <v/>
      </c>
      <c r="BI648" s="744" t="str">
        <f t="shared" si="247"/>
        <v/>
      </c>
      <c r="BJ648" s="747" t="str">
        <f t="shared" si="254"/>
        <v/>
      </c>
      <c r="BK648" s="498" t="str">
        <f t="shared" si="248"/>
        <v/>
      </c>
      <c r="BL648" s="498" t="str">
        <f t="shared" si="249"/>
        <v/>
      </c>
    </row>
    <row r="649" spans="1:64" x14ac:dyDescent="0.25">
      <c r="A649" s="762">
        <f t="shared" si="250"/>
        <v>644</v>
      </c>
      <c r="B649" s="229"/>
      <c r="C649" s="223"/>
      <c r="D649" s="224"/>
      <c r="E649" s="225"/>
      <c r="F649" s="1036" t="str">
        <f t="shared" si="234"/>
        <v/>
      </c>
      <c r="G649" s="1037" t="str">
        <f t="shared" si="251"/>
        <v/>
      </c>
      <c r="H649" s="225"/>
      <c r="I649" s="1013"/>
      <c r="J649" s="1013"/>
      <c r="K649" s="1028"/>
      <c r="L649" s="1035" t="str">
        <f t="shared" si="255"/>
        <v/>
      </c>
      <c r="S649" s="498"/>
      <c r="AJ649" s="498"/>
      <c r="AM649" s="498">
        <f t="shared" si="236"/>
        <v>0</v>
      </c>
      <c r="AN649" s="498">
        <f t="shared" si="237"/>
        <v>0</v>
      </c>
      <c r="AO649" s="498">
        <f t="shared" si="238"/>
        <v>0</v>
      </c>
      <c r="AP649" s="498">
        <f t="shared" si="235"/>
        <v>0</v>
      </c>
      <c r="AQ649" s="498">
        <f t="shared" si="252"/>
        <v>0</v>
      </c>
      <c r="AU649" s="498">
        <f t="shared" si="239"/>
        <v>0</v>
      </c>
      <c r="AV649" s="498">
        <f t="shared" si="240"/>
        <v>0</v>
      </c>
      <c r="AW649" s="498">
        <f t="shared" si="241"/>
        <v>0</v>
      </c>
      <c r="AX649" s="498">
        <f t="shared" si="242"/>
        <v>0</v>
      </c>
      <c r="AY649" s="498">
        <f t="shared" si="243"/>
        <v>0</v>
      </c>
      <c r="BB649" s="498" t="str">
        <f t="shared" si="244"/>
        <v/>
      </c>
      <c r="BC649" s="743" t="str">
        <f t="shared" si="245"/>
        <v/>
      </c>
      <c r="BD649" s="743" t="str">
        <f t="shared" si="246"/>
        <v/>
      </c>
      <c r="BE649" s="743" t="str">
        <f>IF(D649="","",VLOOKUP(D649,'General Basis'!$J$39:$K$46,2,0))</f>
        <v/>
      </c>
      <c r="BF649" s="744" t="str">
        <f>IF(D649="","",VLOOKUP(D649,'General Basis'!$J$39:$L$46,3,0))</f>
        <v/>
      </c>
      <c r="BG649" s="744" t="str">
        <f t="shared" si="253"/>
        <v/>
      </c>
      <c r="BH649" s="744" t="str">
        <f>IF(G649="","",IF(BF649="Abu Dhabi",IF(G649&lt;18,'General Basis'!$C$39,IF(G649&lt;41,'General Basis'!$C$40,IF(G649&lt;60,'General Basis'!$C$41,IF(G649&lt;65,'General Basis'!$C$42,'General Basis'!$C$43)))),IF(G649&lt;11,'General Basis'!$B$39,IF(G649&lt;18,'General Basis'!$B$40,IF(G649&lt;26,'General Basis'!$B$41,IF(G649&lt;31,'General Basis'!$B$42,IF(G649&lt;36,'General Basis'!$B$43,IF(G649&lt;41,'General Basis'!$B$44,IF(G649&lt;46,'General Basis'!$B$45,IF(G649&lt;51,'General Basis'!$B$46,IF(G649&lt;56,'General Basis'!$B$47,IF(G649&lt;60,'General Basis'!$B$48,IF(G649&lt;65,'General Basis'!$B$49,'General Basis'!$B$50)))))))))))))</f>
        <v/>
      </c>
      <c r="BI649" s="744" t="str">
        <f t="shared" si="247"/>
        <v/>
      </c>
      <c r="BJ649" s="747" t="str">
        <f t="shared" si="254"/>
        <v/>
      </c>
      <c r="BK649" s="498" t="str">
        <f t="shared" si="248"/>
        <v/>
      </c>
      <c r="BL649" s="498" t="str">
        <f t="shared" si="249"/>
        <v/>
      </c>
    </row>
    <row r="650" spans="1:64" x14ac:dyDescent="0.25">
      <c r="A650" s="762">
        <f t="shared" si="250"/>
        <v>645</v>
      </c>
      <c r="B650" s="229"/>
      <c r="C650" s="223"/>
      <c r="D650" s="224"/>
      <c r="E650" s="225"/>
      <c r="F650" s="1036" t="str">
        <f t="shared" si="234"/>
        <v/>
      </c>
      <c r="G650" s="1037" t="str">
        <f t="shared" si="251"/>
        <v/>
      </c>
      <c r="H650" s="225"/>
      <c r="I650" s="1013"/>
      <c r="J650" s="1013"/>
      <c r="K650" s="1028"/>
      <c r="L650" s="1035" t="str">
        <f t="shared" si="255"/>
        <v/>
      </c>
      <c r="S650" s="498"/>
      <c r="AJ650" s="498"/>
      <c r="AM650" s="498">
        <f t="shared" si="236"/>
        <v>0</v>
      </c>
      <c r="AN650" s="498">
        <f t="shared" si="237"/>
        <v>0</v>
      </c>
      <c r="AO650" s="498">
        <f t="shared" si="238"/>
        <v>0</v>
      </c>
      <c r="AP650" s="498">
        <f t="shared" si="235"/>
        <v>0</v>
      </c>
      <c r="AQ650" s="498">
        <f t="shared" si="252"/>
        <v>0</v>
      </c>
      <c r="AU650" s="498">
        <f t="shared" si="239"/>
        <v>0</v>
      </c>
      <c r="AV650" s="498">
        <f t="shared" si="240"/>
        <v>0</v>
      </c>
      <c r="AW650" s="498">
        <f t="shared" si="241"/>
        <v>0</v>
      </c>
      <c r="AX650" s="498">
        <f t="shared" si="242"/>
        <v>0</v>
      </c>
      <c r="AY650" s="498">
        <f t="shared" si="243"/>
        <v>0</v>
      </c>
      <c r="BB650" s="498" t="str">
        <f t="shared" si="244"/>
        <v/>
      </c>
      <c r="BC650" s="743" t="str">
        <f t="shared" si="245"/>
        <v/>
      </c>
      <c r="BD650" s="743" t="str">
        <f t="shared" si="246"/>
        <v/>
      </c>
      <c r="BE650" s="743" t="str">
        <f>IF(D650="","",VLOOKUP(D650,'General Basis'!$J$39:$K$46,2,0))</f>
        <v/>
      </c>
      <c r="BF650" s="744" t="str">
        <f>IF(D650="","",VLOOKUP(D650,'General Basis'!$J$39:$L$46,3,0))</f>
        <v/>
      </c>
      <c r="BG650" s="744" t="str">
        <f t="shared" si="253"/>
        <v/>
      </c>
      <c r="BH650" s="744" t="str">
        <f>IF(G650="","",IF(BF650="Abu Dhabi",IF(G650&lt;18,'General Basis'!$C$39,IF(G650&lt;41,'General Basis'!$C$40,IF(G650&lt;60,'General Basis'!$C$41,IF(G650&lt;65,'General Basis'!$C$42,'General Basis'!$C$43)))),IF(G650&lt;11,'General Basis'!$B$39,IF(G650&lt;18,'General Basis'!$B$40,IF(G650&lt;26,'General Basis'!$B$41,IF(G650&lt;31,'General Basis'!$B$42,IF(G650&lt;36,'General Basis'!$B$43,IF(G650&lt;41,'General Basis'!$B$44,IF(G650&lt;46,'General Basis'!$B$45,IF(G650&lt;51,'General Basis'!$B$46,IF(G650&lt;56,'General Basis'!$B$47,IF(G650&lt;60,'General Basis'!$B$48,IF(G650&lt;65,'General Basis'!$B$49,'General Basis'!$B$50)))))))))))))</f>
        <v/>
      </c>
      <c r="BI650" s="744" t="str">
        <f t="shared" si="247"/>
        <v/>
      </c>
      <c r="BJ650" s="747" t="str">
        <f t="shared" si="254"/>
        <v/>
      </c>
      <c r="BK650" s="498" t="str">
        <f t="shared" si="248"/>
        <v/>
      </c>
      <c r="BL650" s="498" t="str">
        <f t="shared" si="249"/>
        <v/>
      </c>
    </row>
    <row r="651" spans="1:64" x14ac:dyDescent="0.25">
      <c r="A651" s="762">
        <f t="shared" si="250"/>
        <v>646</v>
      </c>
      <c r="B651" s="229"/>
      <c r="C651" s="223"/>
      <c r="D651" s="224"/>
      <c r="E651" s="225"/>
      <c r="F651" s="1036" t="str">
        <f t="shared" si="234"/>
        <v/>
      </c>
      <c r="G651" s="1037" t="str">
        <f t="shared" si="251"/>
        <v/>
      </c>
      <c r="H651" s="225"/>
      <c r="I651" s="1013"/>
      <c r="J651" s="1013"/>
      <c r="K651" s="1028"/>
      <c r="L651" s="1035" t="str">
        <f t="shared" si="255"/>
        <v/>
      </c>
      <c r="S651" s="498"/>
      <c r="AJ651" s="498"/>
      <c r="AM651" s="498">
        <f t="shared" si="236"/>
        <v>0</v>
      </c>
      <c r="AN651" s="498">
        <f t="shared" si="237"/>
        <v>0</v>
      </c>
      <c r="AO651" s="498">
        <f t="shared" si="238"/>
        <v>0</v>
      </c>
      <c r="AP651" s="498">
        <f t="shared" si="235"/>
        <v>0</v>
      </c>
      <c r="AQ651" s="498">
        <f t="shared" si="252"/>
        <v>0</v>
      </c>
      <c r="AU651" s="498">
        <f t="shared" si="239"/>
        <v>0</v>
      </c>
      <c r="AV651" s="498">
        <f t="shared" si="240"/>
        <v>0</v>
      </c>
      <c r="AW651" s="498">
        <f t="shared" si="241"/>
        <v>0</v>
      </c>
      <c r="AX651" s="498">
        <f t="shared" si="242"/>
        <v>0</v>
      </c>
      <c r="AY651" s="498">
        <f t="shared" si="243"/>
        <v>0</v>
      </c>
      <c r="BB651" s="498" t="str">
        <f t="shared" si="244"/>
        <v/>
      </c>
      <c r="BC651" s="743" t="str">
        <f t="shared" si="245"/>
        <v/>
      </c>
      <c r="BD651" s="743" t="str">
        <f t="shared" si="246"/>
        <v/>
      </c>
      <c r="BE651" s="743" t="str">
        <f>IF(D651="","",VLOOKUP(D651,'General Basis'!$J$39:$K$46,2,0))</f>
        <v/>
      </c>
      <c r="BF651" s="744" t="str">
        <f>IF(D651="","",VLOOKUP(D651,'General Basis'!$J$39:$L$46,3,0))</f>
        <v/>
      </c>
      <c r="BG651" s="744" t="str">
        <f t="shared" si="253"/>
        <v/>
      </c>
      <c r="BH651" s="744" t="str">
        <f>IF(G651="","",IF(BF651="Abu Dhabi",IF(G651&lt;18,'General Basis'!$C$39,IF(G651&lt;41,'General Basis'!$C$40,IF(G651&lt;60,'General Basis'!$C$41,IF(G651&lt;65,'General Basis'!$C$42,'General Basis'!$C$43)))),IF(G651&lt;11,'General Basis'!$B$39,IF(G651&lt;18,'General Basis'!$B$40,IF(G651&lt;26,'General Basis'!$B$41,IF(G651&lt;31,'General Basis'!$B$42,IF(G651&lt;36,'General Basis'!$B$43,IF(G651&lt;41,'General Basis'!$B$44,IF(G651&lt;46,'General Basis'!$B$45,IF(G651&lt;51,'General Basis'!$B$46,IF(G651&lt;56,'General Basis'!$B$47,IF(G651&lt;60,'General Basis'!$B$48,IF(G651&lt;65,'General Basis'!$B$49,'General Basis'!$B$50)))))))))))))</f>
        <v/>
      </c>
      <c r="BI651" s="744" t="str">
        <f t="shared" si="247"/>
        <v/>
      </c>
      <c r="BJ651" s="747" t="str">
        <f t="shared" si="254"/>
        <v/>
      </c>
      <c r="BK651" s="498" t="str">
        <f t="shared" si="248"/>
        <v/>
      </c>
      <c r="BL651" s="498" t="str">
        <f t="shared" si="249"/>
        <v/>
      </c>
    </row>
    <row r="652" spans="1:64" x14ac:dyDescent="0.25">
      <c r="A652" s="762">
        <f t="shared" si="250"/>
        <v>647</v>
      </c>
      <c r="B652" s="229"/>
      <c r="C652" s="223"/>
      <c r="D652" s="224"/>
      <c r="E652" s="225"/>
      <c r="F652" s="1036" t="str">
        <f t="shared" si="234"/>
        <v/>
      </c>
      <c r="G652" s="1037" t="str">
        <f t="shared" si="251"/>
        <v/>
      </c>
      <c r="H652" s="225"/>
      <c r="I652" s="1013"/>
      <c r="J652" s="1013"/>
      <c r="K652" s="1028"/>
      <c r="L652" s="1035" t="str">
        <f t="shared" si="255"/>
        <v/>
      </c>
      <c r="S652" s="498"/>
      <c r="AJ652" s="498"/>
      <c r="AM652" s="498">
        <f t="shared" si="236"/>
        <v>0</v>
      </c>
      <c r="AN652" s="498">
        <f t="shared" si="237"/>
        <v>0</v>
      </c>
      <c r="AO652" s="498">
        <f t="shared" si="238"/>
        <v>0</v>
      </c>
      <c r="AP652" s="498">
        <f t="shared" si="235"/>
        <v>0</v>
      </c>
      <c r="AQ652" s="498">
        <f t="shared" si="252"/>
        <v>0</v>
      </c>
      <c r="AU652" s="498">
        <f t="shared" si="239"/>
        <v>0</v>
      </c>
      <c r="AV652" s="498">
        <f t="shared" si="240"/>
        <v>0</v>
      </c>
      <c r="AW652" s="498">
        <f t="shared" si="241"/>
        <v>0</v>
      </c>
      <c r="AX652" s="498">
        <f t="shared" si="242"/>
        <v>0</v>
      </c>
      <c r="AY652" s="498">
        <f t="shared" si="243"/>
        <v>0</v>
      </c>
      <c r="BB652" s="498" t="str">
        <f t="shared" si="244"/>
        <v/>
      </c>
      <c r="BC652" s="743" t="str">
        <f t="shared" si="245"/>
        <v/>
      </c>
      <c r="BD652" s="743" t="str">
        <f t="shared" si="246"/>
        <v/>
      </c>
      <c r="BE652" s="743" t="str">
        <f>IF(D652="","",VLOOKUP(D652,'General Basis'!$J$39:$K$46,2,0))</f>
        <v/>
      </c>
      <c r="BF652" s="744" t="str">
        <f>IF(D652="","",VLOOKUP(D652,'General Basis'!$J$39:$L$46,3,0))</f>
        <v/>
      </c>
      <c r="BG652" s="744" t="str">
        <f t="shared" si="253"/>
        <v/>
      </c>
      <c r="BH652" s="744" t="str">
        <f>IF(G652="","",IF(BF652="Abu Dhabi",IF(G652&lt;18,'General Basis'!$C$39,IF(G652&lt;41,'General Basis'!$C$40,IF(G652&lt;60,'General Basis'!$C$41,IF(G652&lt;65,'General Basis'!$C$42,'General Basis'!$C$43)))),IF(G652&lt;11,'General Basis'!$B$39,IF(G652&lt;18,'General Basis'!$B$40,IF(G652&lt;26,'General Basis'!$B$41,IF(G652&lt;31,'General Basis'!$B$42,IF(G652&lt;36,'General Basis'!$B$43,IF(G652&lt;41,'General Basis'!$B$44,IF(G652&lt;46,'General Basis'!$B$45,IF(G652&lt;51,'General Basis'!$B$46,IF(G652&lt;56,'General Basis'!$B$47,IF(G652&lt;60,'General Basis'!$B$48,IF(G652&lt;65,'General Basis'!$B$49,'General Basis'!$B$50)))))))))))))</f>
        <v/>
      </c>
      <c r="BI652" s="744" t="str">
        <f t="shared" si="247"/>
        <v/>
      </c>
      <c r="BJ652" s="747" t="str">
        <f t="shared" si="254"/>
        <v/>
      </c>
      <c r="BK652" s="498" t="str">
        <f t="shared" si="248"/>
        <v/>
      </c>
      <c r="BL652" s="498" t="str">
        <f t="shared" si="249"/>
        <v/>
      </c>
    </row>
    <row r="653" spans="1:64" x14ac:dyDescent="0.25">
      <c r="A653" s="762">
        <f t="shared" si="250"/>
        <v>648</v>
      </c>
      <c r="B653" s="229"/>
      <c r="C653" s="223"/>
      <c r="D653" s="224"/>
      <c r="E653" s="225"/>
      <c r="F653" s="1036" t="str">
        <f t="shared" si="234"/>
        <v/>
      </c>
      <c r="G653" s="1037" t="str">
        <f t="shared" si="251"/>
        <v/>
      </c>
      <c r="H653" s="225"/>
      <c r="I653" s="1013"/>
      <c r="J653" s="1013"/>
      <c r="K653" s="1028"/>
      <c r="L653" s="1035" t="str">
        <f t="shared" si="255"/>
        <v/>
      </c>
      <c r="S653" s="498"/>
      <c r="AJ653" s="498"/>
      <c r="AM653" s="498">
        <f t="shared" si="236"/>
        <v>0</v>
      </c>
      <c r="AN653" s="498">
        <f t="shared" si="237"/>
        <v>0</v>
      </c>
      <c r="AO653" s="498">
        <f t="shared" si="238"/>
        <v>0</v>
      </c>
      <c r="AP653" s="498">
        <f t="shared" si="235"/>
        <v>0</v>
      </c>
      <c r="AQ653" s="498">
        <f t="shared" si="252"/>
        <v>0</v>
      </c>
      <c r="AU653" s="498">
        <f t="shared" si="239"/>
        <v>0</v>
      </c>
      <c r="AV653" s="498">
        <f t="shared" si="240"/>
        <v>0</v>
      </c>
      <c r="AW653" s="498">
        <f t="shared" si="241"/>
        <v>0</v>
      </c>
      <c r="AX653" s="498">
        <f t="shared" si="242"/>
        <v>0</v>
      </c>
      <c r="AY653" s="498">
        <f t="shared" si="243"/>
        <v>0</v>
      </c>
      <c r="BB653" s="498" t="str">
        <f t="shared" si="244"/>
        <v/>
      </c>
      <c r="BC653" s="743" t="str">
        <f t="shared" si="245"/>
        <v/>
      </c>
      <c r="BD653" s="743" t="str">
        <f t="shared" si="246"/>
        <v/>
      </c>
      <c r="BE653" s="743" t="str">
        <f>IF(D653="","",VLOOKUP(D653,'General Basis'!$J$39:$K$46,2,0))</f>
        <v/>
      </c>
      <c r="BF653" s="744" t="str">
        <f>IF(D653="","",VLOOKUP(D653,'General Basis'!$J$39:$L$46,3,0))</f>
        <v/>
      </c>
      <c r="BG653" s="744" t="str">
        <f t="shared" si="253"/>
        <v/>
      </c>
      <c r="BH653" s="744" t="str">
        <f>IF(G653="","",IF(BF653="Abu Dhabi",IF(G653&lt;18,'General Basis'!$C$39,IF(G653&lt;41,'General Basis'!$C$40,IF(G653&lt;60,'General Basis'!$C$41,IF(G653&lt;65,'General Basis'!$C$42,'General Basis'!$C$43)))),IF(G653&lt;11,'General Basis'!$B$39,IF(G653&lt;18,'General Basis'!$B$40,IF(G653&lt;26,'General Basis'!$B$41,IF(G653&lt;31,'General Basis'!$B$42,IF(G653&lt;36,'General Basis'!$B$43,IF(G653&lt;41,'General Basis'!$B$44,IF(G653&lt;46,'General Basis'!$B$45,IF(G653&lt;51,'General Basis'!$B$46,IF(G653&lt;56,'General Basis'!$B$47,IF(G653&lt;60,'General Basis'!$B$48,IF(G653&lt;65,'General Basis'!$B$49,'General Basis'!$B$50)))))))))))))</f>
        <v/>
      </c>
      <c r="BI653" s="744" t="str">
        <f t="shared" si="247"/>
        <v/>
      </c>
      <c r="BJ653" s="747" t="str">
        <f t="shared" si="254"/>
        <v/>
      </c>
      <c r="BK653" s="498" t="str">
        <f t="shared" si="248"/>
        <v/>
      </c>
      <c r="BL653" s="498" t="str">
        <f t="shared" si="249"/>
        <v/>
      </c>
    </row>
    <row r="654" spans="1:64" x14ac:dyDescent="0.25">
      <c r="A654" s="762">
        <f t="shared" si="250"/>
        <v>649</v>
      </c>
      <c r="B654" s="229"/>
      <c r="C654" s="223"/>
      <c r="D654" s="224"/>
      <c r="E654" s="225"/>
      <c r="F654" s="1036" t="str">
        <f t="shared" si="234"/>
        <v/>
      </c>
      <c r="G654" s="1037" t="str">
        <f t="shared" si="251"/>
        <v/>
      </c>
      <c r="H654" s="225"/>
      <c r="I654" s="1013"/>
      <c r="J654" s="1013"/>
      <c r="K654" s="1028"/>
      <c r="L654" s="1035" t="str">
        <f t="shared" si="255"/>
        <v/>
      </c>
      <c r="S654" s="498"/>
      <c r="AJ654" s="498"/>
      <c r="AM654" s="498">
        <f t="shared" si="236"/>
        <v>0</v>
      </c>
      <c r="AN654" s="498">
        <f t="shared" si="237"/>
        <v>0</v>
      </c>
      <c r="AO654" s="498">
        <f t="shared" si="238"/>
        <v>0</v>
      </c>
      <c r="AP654" s="498">
        <f t="shared" si="235"/>
        <v>0</v>
      </c>
      <c r="AQ654" s="498">
        <f t="shared" si="252"/>
        <v>0</v>
      </c>
      <c r="AU654" s="498">
        <f t="shared" si="239"/>
        <v>0</v>
      </c>
      <c r="AV654" s="498">
        <f t="shared" si="240"/>
        <v>0</v>
      </c>
      <c r="AW654" s="498">
        <f t="shared" si="241"/>
        <v>0</v>
      </c>
      <c r="AX654" s="498">
        <f t="shared" si="242"/>
        <v>0</v>
      </c>
      <c r="AY654" s="498">
        <f t="shared" si="243"/>
        <v>0</v>
      </c>
      <c r="BB654" s="498" t="str">
        <f t="shared" si="244"/>
        <v/>
      </c>
      <c r="BC654" s="743" t="str">
        <f t="shared" si="245"/>
        <v/>
      </c>
      <c r="BD654" s="743" t="str">
        <f t="shared" si="246"/>
        <v/>
      </c>
      <c r="BE654" s="743" t="str">
        <f>IF(D654="","",VLOOKUP(D654,'General Basis'!$J$39:$K$46,2,0))</f>
        <v/>
      </c>
      <c r="BF654" s="744" t="str">
        <f>IF(D654="","",VLOOKUP(D654,'General Basis'!$J$39:$L$46,3,0))</f>
        <v/>
      </c>
      <c r="BG654" s="744" t="str">
        <f t="shared" si="253"/>
        <v/>
      </c>
      <c r="BH654" s="744" t="str">
        <f>IF(G654="","",IF(BF654="Abu Dhabi",IF(G654&lt;18,'General Basis'!$C$39,IF(G654&lt;41,'General Basis'!$C$40,IF(G654&lt;60,'General Basis'!$C$41,IF(G654&lt;65,'General Basis'!$C$42,'General Basis'!$C$43)))),IF(G654&lt;11,'General Basis'!$B$39,IF(G654&lt;18,'General Basis'!$B$40,IF(G654&lt;26,'General Basis'!$B$41,IF(G654&lt;31,'General Basis'!$B$42,IF(G654&lt;36,'General Basis'!$B$43,IF(G654&lt;41,'General Basis'!$B$44,IF(G654&lt;46,'General Basis'!$B$45,IF(G654&lt;51,'General Basis'!$B$46,IF(G654&lt;56,'General Basis'!$B$47,IF(G654&lt;60,'General Basis'!$B$48,IF(G654&lt;65,'General Basis'!$B$49,'General Basis'!$B$50)))))))))))))</f>
        <v/>
      </c>
      <c r="BI654" s="744" t="str">
        <f t="shared" si="247"/>
        <v/>
      </c>
      <c r="BJ654" s="747" t="str">
        <f t="shared" si="254"/>
        <v/>
      </c>
      <c r="BK654" s="498" t="str">
        <f t="shared" si="248"/>
        <v/>
      </c>
      <c r="BL654" s="498" t="str">
        <f t="shared" si="249"/>
        <v/>
      </c>
    </row>
    <row r="655" spans="1:64" x14ac:dyDescent="0.25">
      <c r="A655" s="762">
        <f t="shared" si="250"/>
        <v>650</v>
      </c>
      <c r="B655" s="229"/>
      <c r="C655" s="223"/>
      <c r="D655" s="224"/>
      <c r="E655" s="225"/>
      <c r="F655" s="1036" t="str">
        <f t="shared" si="234"/>
        <v/>
      </c>
      <c r="G655" s="1037" t="str">
        <f t="shared" si="251"/>
        <v/>
      </c>
      <c r="H655" s="225"/>
      <c r="I655" s="1013"/>
      <c r="J655" s="1013"/>
      <c r="K655" s="1028"/>
      <c r="L655" s="1035" t="str">
        <f t="shared" si="255"/>
        <v/>
      </c>
      <c r="S655" s="498"/>
      <c r="AJ655" s="498"/>
      <c r="AM655" s="498">
        <f t="shared" si="236"/>
        <v>0</v>
      </c>
      <c r="AN655" s="498">
        <f t="shared" si="237"/>
        <v>0</v>
      </c>
      <c r="AO655" s="498">
        <f t="shared" si="238"/>
        <v>0</v>
      </c>
      <c r="AP655" s="498">
        <f t="shared" si="235"/>
        <v>0</v>
      </c>
      <c r="AQ655" s="498">
        <f t="shared" si="252"/>
        <v>0</v>
      </c>
      <c r="AU655" s="498">
        <f t="shared" si="239"/>
        <v>0</v>
      </c>
      <c r="AV655" s="498">
        <f t="shared" si="240"/>
        <v>0</v>
      </c>
      <c r="AW655" s="498">
        <f t="shared" si="241"/>
        <v>0</v>
      </c>
      <c r="AX655" s="498">
        <f t="shared" si="242"/>
        <v>0</v>
      </c>
      <c r="AY655" s="498">
        <f t="shared" si="243"/>
        <v>0</v>
      </c>
      <c r="BB655" s="498" t="str">
        <f t="shared" si="244"/>
        <v/>
      </c>
      <c r="BC655" s="743" t="str">
        <f t="shared" si="245"/>
        <v/>
      </c>
      <c r="BD655" s="743" t="str">
        <f t="shared" si="246"/>
        <v/>
      </c>
      <c r="BE655" s="743" t="str">
        <f>IF(D655="","",VLOOKUP(D655,'General Basis'!$J$39:$K$46,2,0))</f>
        <v/>
      </c>
      <c r="BF655" s="744" t="str">
        <f>IF(D655="","",VLOOKUP(D655,'General Basis'!$J$39:$L$46,3,0))</f>
        <v/>
      </c>
      <c r="BG655" s="744" t="str">
        <f t="shared" si="253"/>
        <v/>
      </c>
      <c r="BH655" s="744" t="str">
        <f>IF(G655="","",IF(BF655="Abu Dhabi",IF(G655&lt;18,'General Basis'!$C$39,IF(G655&lt;41,'General Basis'!$C$40,IF(G655&lt;60,'General Basis'!$C$41,IF(G655&lt;65,'General Basis'!$C$42,'General Basis'!$C$43)))),IF(G655&lt;11,'General Basis'!$B$39,IF(G655&lt;18,'General Basis'!$B$40,IF(G655&lt;26,'General Basis'!$B$41,IF(G655&lt;31,'General Basis'!$B$42,IF(G655&lt;36,'General Basis'!$B$43,IF(G655&lt;41,'General Basis'!$B$44,IF(G655&lt;46,'General Basis'!$B$45,IF(G655&lt;51,'General Basis'!$B$46,IF(G655&lt;56,'General Basis'!$B$47,IF(G655&lt;60,'General Basis'!$B$48,IF(G655&lt;65,'General Basis'!$B$49,'General Basis'!$B$50)))))))))))))</f>
        <v/>
      </c>
      <c r="BI655" s="744" t="str">
        <f t="shared" si="247"/>
        <v/>
      </c>
      <c r="BJ655" s="747" t="str">
        <f t="shared" si="254"/>
        <v/>
      </c>
      <c r="BK655" s="498" t="str">
        <f t="shared" si="248"/>
        <v/>
      </c>
      <c r="BL655" s="498" t="str">
        <f t="shared" si="249"/>
        <v/>
      </c>
    </row>
    <row r="656" spans="1:64" x14ac:dyDescent="0.25">
      <c r="A656" s="762">
        <f t="shared" si="250"/>
        <v>651</v>
      </c>
      <c r="B656" s="229"/>
      <c r="C656" s="223"/>
      <c r="D656" s="224"/>
      <c r="E656" s="225"/>
      <c r="F656" s="1036" t="str">
        <f t="shared" ref="F656:F719" si="256">IF(C656="","",IF($B656="","",((YEAR($F$3)-YEAR($B656))+(MONTH($F$3)-MONTH($B656))/12+(DAY($F$3)-DAY($B656))/(DATE(YEAR($F$3),12,31)-DATE(YEAR($F$3),1,1)+1))))</f>
        <v/>
      </c>
      <c r="G656" s="1037" t="str">
        <f t="shared" si="251"/>
        <v/>
      </c>
      <c r="H656" s="225"/>
      <c r="I656" s="1013"/>
      <c r="J656" s="1013"/>
      <c r="K656" s="1028"/>
      <c r="L656" s="1035" t="str">
        <f t="shared" si="255"/>
        <v/>
      </c>
      <c r="S656" s="498"/>
      <c r="AJ656" s="498"/>
      <c r="AM656" s="498">
        <f t="shared" si="236"/>
        <v>0</v>
      </c>
      <c r="AN656" s="498">
        <f t="shared" si="237"/>
        <v>0</v>
      </c>
      <c r="AO656" s="498">
        <f t="shared" si="238"/>
        <v>0</v>
      </c>
      <c r="AP656" s="498">
        <f t="shared" si="235"/>
        <v>0</v>
      </c>
      <c r="AQ656" s="498">
        <f t="shared" si="252"/>
        <v>0</v>
      </c>
      <c r="AU656" s="498">
        <f t="shared" si="239"/>
        <v>0</v>
      </c>
      <c r="AV656" s="498">
        <f t="shared" si="240"/>
        <v>0</v>
      </c>
      <c r="AW656" s="498">
        <f t="shared" si="241"/>
        <v>0</v>
      </c>
      <c r="AX656" s="498">
        <f t="shared" si="242"/>
        <v>0</v>
      </c>
      <c r="AY656" s="498">
        <f t="shared" si="243"/>
        <v>0</v>
      </c>
      <c r="BB656" s="498" t="str">
        <f t="shared" si="244"/>
        <v/>
      </c>
      <c r="BC656" s="743" t="str">
        <f t="shared" si="245"/>
        <v/>
      </c>
      <c r="BD656" s="743" t="str">
        <f t="shared" si="246"/>
        <v/>
      </c>
      <c r="BE656" s="743" t="str">
        <f>IF(D656="","",VLOOKUP(D656,'General Basis'!$J$39:$K$46,2,0))</f>
        <v/>
      </c>
      <c r="BF656" s="744" t="str">
        <f>IF(D656="","",VLOOKUP(D656,'General Basis'!$J$39:$L$46,3,0))</f>
        <v/>
      </c>
      <c r="BG656" s="744" t="str">
        <f t="shared" si="253"/>
        <v/>
      </c>
      <c r="BH656" s="744" t="str">
        <f>IF(G656="","",IF(BF656="Abu Dhabi",IF(G656&lt;18,'General Basis'!$C$39,IF(G656&lt;41,'General Basis'!$C$40,IF(G656&lt;60,'General Basis'!$C$41,IF(G656&lt;65,'General Basis'!$C$42,'General Basis'!$C$43)))),IF(G656&lt;11,'General Basis'!$B$39,IF(G656&lt;18,'General Basis'!$B$40,IF(G656&lt;26,'General Basis'!$B$41,IF(G656&lt;31,'General Basis'!$B$42,IF(G656&lt;36,'General Basis'!$B$43,IF(G656&lt;41,'General Basis'!$B$44,IF(G656&lt;46,'General Basis'!$B$45,IF(G656&lt;51,'General Basis'!$B$46,IF(G656&lt;56,'General Basis'!$B$47,IF(G656&lt;60,'General Basis'!$B$48,IF(G656&lt;65,'General Basis'!$B$49,'General Basis'!$B$50)))))))))))))</f>
        <v/>
      </c>
      <c r="BI656" s="744" t="str">
        <f t="shared" si="247"/>
        <v/>
      </c>
      <c r="BJ656" s="747" t="str">
        <f t="shared" si="254"/>
        <v/>
      </c>
      <c r="BK656" s="498" t="str">
        <f t="shared" si="248"/>
        <v/>
      </c>
      <c r="BL656" s="498" t="str">
        <f t="shared" si="249"/>
        <v/>
      </c>
    </row>
    <row r="657" spans="1:64" x14ac:dyDescent="0.25">
      <c r="A657" s="762">
        <f t="shared" si="250"/>
        <v>652</v>
      </c>
      <c r="B657" s="229"/>
      <c r="C657" s="223"/>
      <c r="D657" s="224"/>
      <c r="E657" s="225"/>
      <c r="F657" s="1036" t="str">
        <f t="shared" si="256"/>
        <v/>
      </c>
      <c r="G657" s="1037" t="str">
        <f t="shared" si="251"/>
        <v/>
      </c>
      <c r="H657" s="225"/>
      <c r="I657" s="1013"/>
      <c r="J657" s="1013"/>
      <c r="K657" s="1028"/>
      <c r="L657" s="1035" t="str">
        <f t="shared" si="255"/>
        <v/>
      </c>
      <c r="S657" s="498"/>
      <c r="AJ657" s="498"/>
      <c r="AM657" s="498">
        <f t="shared" si="236"/>
        <v>0</v>
      </c>
      <c r="AN657" s="498">
        <f t="shared" si="237"/>
        <v>0</v>
      </c>
      <c r="AO657" s="498">
        <f t="shared" si="238"/>
        <v>0</v>
      </c>
      <c r="AP657" s="498">
        <f t="shared" si="235"/>
        <v>0</v>
      </c>
      <c r="AQ657" s="498">
        <f t="shared" si="252"/>
        <v>0</v>
      </c>
      <c r="AU657" s="498">
        <f t="shared" si="239"/>
        <v>0</v>
      </c>
      <c r="AV657" s="498">
        <f t="shared" si="240"/>
        <v>0</v>
      </c>
      <c r="AW657" s="498">
        <f t="shared" si="241"/>
        <v>0</v>
      </c>
      <c r="AX657" s="498">
        <f t="shared" si="242"/>
        <v>0</v>
      </c>
      <c r="AY657" s="498">
        <f t="shared" si="243"/>
        <v>0</v>
      </c>
      <c r="BB657" s="498" t="str">
        <f t="shared" si="244"/>
        <v/>
      </c>
      <c r="BC657" s="743" t="str">
        <f t="shared" si="245"/>
        <v/>
      </c>
      <c r="BD657" s="743" t="str">
        <f t="shared" si="246"/>
        <v/>
      </c>
      <c r="BE657" s="743" t="str">
        <f>IF(D657="","",VLOOKUP(D657,'General Basis'!$J$39:$K$46,2,0))</f>
        <v/>
      </c>
      <c r="BF657" s="744" t="str">
        <f>IF(D657="","",VLOOKUP(D657,'General Basis'!$J$39:$L$46,3,0))</f>
        <v/>
      </c>
      <c r="BG657" s="744" t="str">
        <f t="shared" si="253"/>
        <v/>
      </c>
      <c r="BH657" s="744" t="str">
        <f>IF(G657="","",IF(BF657="Abu Dhabi",IF(G657&lt;18,'General Basis'!$C$39,IF(G657&lt;41,'General Basis'!$C$40,IF(G657&lt;60,'General Basis'!$C$41,IF(G657&lt;65,'General Basis'!$C$42,'General Basis'!$C$43)))),IF(G657&lt;11,'General Basis'!$B$39,IF(G657&lt;18,'General Basis'!$B$40,IF(G657&lt;26,'General Basis'!$B$41,IF(G657&lt;31,'General Basis'!$B$42,IF(G657&lt;36,'General Basis'!$B$43,IF(G657&lt;41,'General Basis'!$B$44,IF(G657&lt;46,'General Basis'!$B$45,IF(G657&lt;51,'General Basis'!$B$46,IF(G657&lt;56,'General Basis'!$B$47,IF(G657&lt;60,'General Basis'!$B$48,IF(G657&lt;65,'General Basis'!$B$49,'General Basis'!$B$50)))))))))))))</f>
        <v/>
      </c>
      <c r="BI657" s="744" t="str">
        <f t="shared" si="247"/>
        <v/>
      </c>
      <c r="BJ657" s="747" t="str">
        <f t="shared" si="254"/>
        <v/>
      </c>
      <c r="BK657" s="498" t="str">
        <f t="shared" si="248"/>
        <v/>
      </c>
      <c r="BL657" s="498" t="str">
        <f t="shared" si="249"/>
        <v/>
      </c>
    </row>
    <row r="658" spans="1:64" x14ac:dyDescent="0.25">
      <c r="A658" s="762">
        <f t="shared" si="250"/>
        <v>653</v>
      </c>
      <c r="B658" s="229"/>
      <c r="C658" s="223"/>
      <c r="D658" s="224"/>
      <c r="E658" s="225"/>
      <c r="F658" s="1036" t="str">
        <f t="shared" si="256"/>
        <v/>
      </c>
      <c r="G658" s="1037" t="str">
        <f t="shared" si="251"/>
        <v/>
      </c>
      <c r="H658" s="225"/>
      <c r="I658" s="1013"/>
      <c r="J658" s="1013"/>
      <c r="K658" s="1028"/>
      <c r="L658" s="1035" t="str">
        <f t="shared" si="255"/>
        <v/>
      </c>
      <c r="S658" s="498"/>
      <c r="AJ658" s="498"/>
      <c r="AM658" s="498">
        <f t="shared" si="236"/>
        <v>0</v>
      </c>
      <c r="AN658" s="498">
        <f t="shared" si="237"/>
        <v>0</v>
      </c>
      <c r="AO658" s="498">
        <f t="shared" si="238"/>
        <v>0</v>
      </c>
      <c r="AP658" s="498">
        <f t="shared" si="235"/>
        <v>0</v>
      </c>
      <c r="AQ658" s="498">
        <f t="shared" si="252"/>
        <v>0</v>
      </c>
      <c r="AU658" s="498">
        <f t="shared" si="239"/>
        <v>0</v>
      </c>
      <c r="AV658" s="498">
        <f t="shared" si="240"/>
        <v>0</v>
      </c>
      <c r="AW658" s="498">
        <f t="shared" si="241"/>
        <v>0</v>
      </c>
      <c r="AX658" s="498">
        <f t="shared" si="242"/>
        <v>0</v>
      </c>
      <c r="AY658" s="498">
        <f t="shared" si="243"/>
        <v>0</v>
      </c>
      <c r="BB658" s="498" t="str">
        <f t="shared" si="244"/>
        <v/>
      </c>
      <c r="BC658" s="743" t="str">
        <f t="shared" si="245"/>
        <v/>
      </c>
      <c r="BD658" s="743" t="str">
        <f t="shared" si="246"/>
        <v/>
      </c>
      <c r="BE658" s="743" t="str">
        <f>IF(D658="","",VLOOKUP(D658,'General Basis'!$J$39:$K$46,2,0))</f>
        <v/>
      </c>
      <c r="BF658" s="744" t="str">
        <f>IF(D658="","",VLOOKUP(D658,'General Basis'!$J$39:$L$46,3,0))</f>
        <v/>
      </c>
      <c r="BG658" s="744" t="str">
        <f t="shared" si="253"/>
        <v/>
      </c>
      <c r="BH658" s="744" t="str">
        <f>IF(G658="","",IF(BF658="Abu Dhabi",IF(G658&lt;18,'General Basis'!$C$39,IF(G658&lt;41,'General Basis'!$C$40,IF(G658&lt;60,'General Basis'!$C$41,IF(G658&lt;65,'General Basis'!$C$42,'General Basis'!$C$43)))),IF(G658&lt;11,'General Basis'!$B$39,IF(G658&lt;18,'General Basis'!$B$40,IF(G658&lt;26,'General Basis'!$B$41,IF(G658&lt;31,'General Basis'!$B$42,IF(G658&lt;36,'General Basis'!$B$43,IF(G658&lt;41,'General Basis'!$B$44,IF(G658&lt;46,'General Basis'!$B$45,IF(G658&lt;51,'General Basis'!$B$46,IF(G658&lt;56,'General Basis'!$B$47,IF(G658&lt;60,'General Basis'!$B$48,IF(G658&lt;65,'General Basis'!$B$49,'General Basis'!$B$50)))))))))))))</f>
        <v/>
      </c>
      <c r="BI658" s="744" t="str">
        <f t="shared" si="247"/>
        <v/>
      </c>
      <c r="BJ658" s="747" t="str">
        <f t="shared" si="254"/>
        <v/>
      </c>
      <c r="BK658" s="498" t="str">
        <f t="shared" si="248"/>
        <v/>
      </c>
      <c r="BL658" s="498" t="str">
        <f t="shared" si="249"/>
        <v/>
      </c>
    </row>
    <row r="659" spans="1:64" x14ac:dyDescent="0.25">
      <c r="A659" s="762">
        <f t="shared" si="250"/>
        <v>654</v>
      </c>
      <c r="B659" s="229"/>
      <c r="C659" s="223"/>
      <c r="D659" s="224"/>
      <c r="E659" s="225"/>
      <c r="F659" s="1036" t="str">
        <f t="shared" si="256"/>
        <v/>
      </c>
      <c r="G659" s="1037" t="str">
        <f t="shared" si="251"/>
        <v/>
      </c>
      <c r="H659" s="225"/>
      <c r="I659" s="1013"/>
      <c r="J659" s="1013"/>
      <c r="K659" s="1028"/>
      <c r="L659" s="1035" t="str">
        <f t="shared" si="255"/>
        <v/>
      </c>
      <c r="S659" s="498"/>
      <c r="AJ659" s="498"/>
      <c r="AM659" s="498">
        <f t="shared" si="236"/>
        <v>0</v>
      </c>
      <c r="AN659" s="498">
        <f t="shared" si="237"/>
        <v>0</v>
      </c>
      <c r="AO659" s="498">
        <f t="shared" si="238"/>
        <v>0</v>
      </c>
      <c r="AP659" s="498">
        <f t="shared" ref="AP659:AP722" si="257">IF(ISBLANK($B659),0,IF(OR($C659="M",$C659="F"),0,1))</f>
        <v>0</v>
      </c>
      <c r="AQ659" s="498">
        <f t="shared" si="252"/>
        <v>0</v>
      </c>
      <c r="AU659" s="498">
        <f t="shared" si="239"/>
        <v>0</v>
      </c>
      <c r="AV659" s="498">
        <f t="shared" si="240"/>
        <v>0</v>
      </c>
      <c r="AW659" s="498">
        <f t="shared" si="241"/>
        <v>0</v>
      </c>
      <c r="AX659" s="498">
        <f t="shared" si="242"/>
        <v>0</v>
      </c>
      <c r="AY659" s="498">
        <f t="shared" si="243"/>
        <v>0</v>
      </c>
      <c r="BB659" s="498" t="str">
        <f t="shared" si="244"/>
        <v/>
      </c>
      <c r="BC659" s="743" t="str">
        <f t="shared" si="245"/>
        <v/>
      </c>
      <c r="BD659" s="743" t="str">
        <f t="shared" si="246"/>
        <v/>
      </c>
      <c r="BE659" s="743" t="str">
        <f>IF(D659="","",VLOOKUP(D659,'General Basis'!$J$39:$K$46,2,0))</f>
        <v/>
      </c>
      <c r="BF659" s="744" t="str">
        <f>IF(D659="","",VLOOKUP(D659,'General Basis'!$J$39:$L$46,3,0))</f>
        <v/>
      </c>
      <c r="BG659" s="744" t="str">
        <f t="shared" si="253"/>
        <v/>
      </c>
      <c r="BH659" s="744" t="str">
        <f>IF(G659="","",IF(BF659="Abu Dhabi",IF(G659&lt;18,'General Basis'!$C$39,IF(G659&lt;41,'General Basis'!$C$40,IF(G659&lt;60,'General Basis'!$C$41,IF(G659&lt;65,'General Basis'!$C$42,'General Basis'!$C$43)))),IF(G659&lt;11,'General Basis'!$B$39,IF(G659&lt;18,'General Basis'!$B$40,IF(G659&lt;26,'General Basis'!$B$41,IF(G659&lt;31,'General Basis'!$B$42,IF(G659&lt;36,'General Basis'!$B$43,IF(G659&lt;41,'General Basis'!$B$44,IF(G659&lt;46,'General Basis'!$B$45,IF(G659&lt;51,'General Basis'!$B$46,IF(G659&lt;56,'General Basis'!$B$47,IF(G659&lt;60,'General Basis'!$B$48,IF(G659&lt;65,'General Basis'!$B$49,'General Basis'!$B$50)))))))))))))</f>
        <v/>
      </c>
      <c r="BI659" s="744" t="str">
        <f t="shared" si="247"/>
        <v/>
      </c>
      <c r="BJ659" s="747" t="str">
        <f t="shared" si="254"/>
        <v/>
      </c>
      <c r="BK659" s="498" t="str">
        <f t="shared" si="248"/>
        <v/>
      </c>
      <c r="BL659" s="498" t="str">
        <f t="shared" si="249"/>
        <v/>
      </c>
    </row>
    <row r="660" spans="1:64" x14ac:dyDescent="0.25">
      <c r="A660" s="762">
        <f t="shared" si="250"/>
        <v>655</v>
      </c>
      <c r="B660" s="229"/>
      <c r="C660" s="223"/>
      <c r="D660" s="224"/>
      <c r="E660" s="225"/>
      <c r="F660" s="1036" t="str">
        <f t="shared" si="256"/>
        <v/>
      </c>
      <c r="G660" s="1037" t="str">
        <f t="shared" si="251"/>
        <v/>
      </c>
      <c r="H660" s="225"/>
      <c r="I660" s="1013"/>
      <c r="J660" s="1013"/>
      <c r="K660" s="1028"/>
      <c r="L660" s="1035" t="str">
        <f t="shared" si="255"/>
        <v/>
      </c>
      <c r="S660" s="498"/>
      <c r="AJ660" s="498"/>
      <c r="AM660" s="498">
        <f t="shared" si="236"/>
        <v>0</v>
      </c>
      <c r="AN660" s="498">
        <f t="shared" si="237"/>
        <v>0</v>
      </c>
      <c r="AO660" s="498">
        <f t="shared" si="238"/>
        <v>0</v>
      </c>
      <c r="AP660" s="498">
        <f t="shared" si="257"/>
        <v>0</v>
      </c>
      <c r="AQ660" s="498">
        <f t="shared" si="252"/>
        <v>0</v>
      </c>
      <c r="AU660" s="498">
        <f t="shared" si="239"/>
        <v>0</v>
      </c>
      <c r="AV660" s="498">
        <f t="shared" si="240"/>
        <v>0</v>
      </c>
      <c r="AW660" s="498">
        <f t="shared" si="241"/>
        <v>0</v>
      </c>
      <c r="AX660" s="498">
        <f t="shared" si="242"/>
        <v>0</v>
      </c>
      <c r="AY660" s="498">
        <f t="shared" si="243"/>
        <v>0</v>
      </c>
      <c r="BB660" s="498" t="str">
        <f t="shared" si="244"/>
        <v/>
      </c>
      <c r="BC660" s="743" t="str">
        <f t="shared" si="245"/>
        <v/>
      </c>
      <c r="BD660" s="743" t="str">
        <f t="shared" si="246"/>
        <v/>
      </c>
      <c r="BE660" s="743" t="str">
        <f>IF(D660="","",VLOOKUP(D660,'General Basis'!$J$39:$K$46,2,0))</f>
        <v/>
      </c>
      <c r="BF660" s="744" t="str">
        <f>IF(D660="","",VLOOKUP(D660,'General Basis'!$J$39:$L$46,3,0))</f>
        <v/>
      </c>
      <c r="BG660" s="744" t="str">
        <f t="shared" si="253"/>
        <v/>
      </c>
      <c r="BH660" s="744" t="str">
        <f>IF(G660="","",IF(BF660="Abu Dhabi",IF(G660&lt;18,'General Basis'!$C$39,IF(G660&lt;41,'General Basis'!$C$40,IF(G660&lt;60,'General Basis'!$C$41,IF(G660&lt;65,'General Basis'!$C$42,'General Basis'!$C$43)))),IF(G660&lt;11,'General Basis'!$B$39,IF(G660&lt;18,'General Basis'!$B$40,IF(G660&lt;26,'General Basis'!$B$41,IF(G660&lt;31,'General Basis'!$B$42,IF(G660&lt;36,'General Basis'!$B$43,IF(G660&lt;41,'General Basis'!$B$44,IF(G660&lt;46,'General Basis'!$B$45,IF(G660&lt;51,'General Basis'!$B$46,IF(G660&lt;56,'General Basis'!$B$47,IF(G660&lt;60,'General Basis'!$B$48,IF(G660&lt;65,'General Basis'!$B$49,'General Basis'!$B$50)))))))))))))</f>
        <v/>
      </c>
      <c r="BI660" s="744" t="str">
        <f t="shared" si="247"/>
        <v/>
      </c>
      <c r="BJ660" s="747" t="str">
        <f t="shared" si="254"/>
        <v/>
      </c>
      <c r="BK660" s="498" t="str">
        <f t="shared" si="248"/>
        <v/>
      </c>
      <c r="BL660" s="498" t="str">
        <f t="shared" si="249"/>
        <v/>
      </c>
    </row>
    <row r="661" spans="1:64" x14ac:dyDescent="0.25">
      <c r="A661" s="762">
        <f t="shared" si="250"/>
        <v>656</v>
      </c>
      <c r="B661" s="229"/>
      <c r="C661" s="223"/>
      <c r="D661" s="224"/>
      <c r="E661" s="225"/>
      <c r="F661" s="1036" t="str">
        <f t="shared" si="256"/>
        <v/>
      </c>
      <c r="G661" s="1037" t="str">
        <f t="shared" si="251"/>
        <v/>
      </c>
      <c r="H661" s="225"/>
      <c r="I661" s="1013"/>
      <c r="J661" s="1013"/>
      <c r="K661" s="1028"/>
      <c r="L661" s="1035" t="str">
        <f t="shared" si="255"/>
        <v/>
      </c>
      <c r="S661" s="498"/>
      <c r="AJ661" s="498"/>
      <c r="AM661" s="498">
        <f t="shared" si="236"/>
        <v>0</v>
      </c>
      <c r="AN661" s="498">
        <f t="shared" si="237"/>
        <v>0</v>
      </c>
      <c r="AO661" s="498">
        <f t="shared" si="238"/>
        <v>0</v>
      </c>
      <c r="AP661" s="498">
        <f t="shared" si="257"/>
        <v>0</v>
      </c>
      <c r="AQ661" s="498">
        <f t="shared" si="252"/>
        <v>0</v>
      </c>
      <c r="AU661" s="498">
        <f t="shared" si="239"/>
        <v>0</v>
      </c>
      <c r="AV661" s="498">
        <f t="shared" si="240"/>
        <v>0</v>
      </c>
      <c r="AW661" s="498">
        <f t="shared" si="241"/>
        <v>0</v>
      </c>
      <c r="AX661" s="498">
        <f t="shared" si="242"/>
        <v>0</v>
      </c>
      <c r="AY661" s="498">
        <f t="shared" si="243"/>
        <v>0</v>
      </c>
      <c r="BB661" s="498" t="str">
        <f t="shared" si="244"/>
        <v/>
      </c>
      <c r="BC661" s="743" t="str">
        <f t="shared" si="245"/>
        <v/>
      </c>
      <c r="BD661" s="743" t="str">
        <f t="shared" si="246"/>
        <v/>
      </c>
      <c r="BE661" s="743" t="str">
        <f>IF(D661="","",VLOOKUP(D661,'General Basis'!$J$39:$K$46,2,0))</f>
        <v/>
      </c>
      <c r="BF661" s="744" t="str">
        <f>IF(D661="","",VLOOKUP(D661,'General Basis'!$J$39:$L$46,3,0))</f>
        <v/>
      </c>
      <c r="BG661" s="744" t="str">
        <f t="shared" si="253"/>
        <v/>
      </c>
      <c r="BH661" s="744" t="str">
        <f>IF(G661="","",IF(BF661="Abu Dhabi",IF(G661&lt;18,'General Basis'!$C$39,IF(G661&lt;41,'General Basis'!$C$40,IF(G661&lt;60,'General Basis'!$C$41,IF(G661&lt;65,'General Basis'!$C$42,'General Basis'!$C$43)))),IF(G661&lt;11,'General Basis'!$B$39,IF(G661&lt;18,'General Basis'!$B$40,IF(G661&lt;26,'General Basis'!$B$41,IF(G661&lt;31,'General Basis'!$B$42,IF(G661&lt;36,'General Basis'!$B$43,IF(G661&lt;41,'General Basis'!$B$44,IF(G661&lt;46,'General Basis'!$B$45,IF(G661&lt;51,'General Basis'!$B$46,IF(G661&lt;56,'General Basis'!$B$47,IF(G661&lt;60,'General Basis'!$B$48,IF(G661&lt;65,'General Basis'!$B$49,'General Basis'!$B$50)))))))))))))</f>
        <v/>
      </c>
      <c r="BI661" s="744" t="str">
        <f t="shared" si="247"/>
        <v/>
      </c>
      <c r="BJ661" s="747" t="str">
        <f t="shared" si="254"/>
        <v/>
      </c>
      <c r="BK661" s="498" t="str">
        <f t="shared" si="248"/>
        <v/>
      </c>
      <c r="BL661" s="498" t="str">
        <f t="shared" si="249"/>
        <v/>
      </c>
    </row>
    <row r="662" spans="1:64" x14ac:dyDescent="0.25">
      <c r="A662" s="762">
        <f t="shared" si="250"/>
        <v>657</v>
      </c>
      <c r="B662" s="229"/>
      <c r="C662" s="223"/>
      <c r="D662" s="224"/>
      <c r="E662" s="225"/>
      <c r="F662" s="1036" t="str">
        <f t="shared" si="256"/>
        <v/>
      </c>
      <c r="G662" s="1037" t="str">
        <f t="shared" si="251"/>
        <v/>
      </c>
      <c r="H662" s="225"/>
      <c r="I662" s="1013"/>
      <c r="J662" s="1013"/>
      <c r="K662" s="1028"/>
      <c r="L662" s="1035" t="str">
        <f t="shared" si="255"/>
        <v/>
      </c>
      <c r="S662" s="498"/>
      <c r="AJ662" s="498"/>
      <c r="AM662" s="498">
        <f t="shared" si="236"/>
        <v>0</v>
      </c>
      <c r="AN662" s="498">
        <f t="shared" si="237"/>
        <v>0</v>
      </c>
      <c r="AO662" s="498">
        <f t="shared" si="238"/>
        <v>0</v>
      </c>
      <c r="AP662" s="498">
        <f t="shared" si="257"/>
        <v>0</v>
      </c>
      <c r="AQ662" s="498">
        <f t="shared" si="252"/>
        <v>0</v>
      </c>
      <c r="AU662" s="498">
        <f t="shared" si="239"/>
        <v>0</v>
      </c>
      <c r="AV662" s="498">
        <f t="shared" si="240"/>
        <v>0</v>
      </c>
      <c r="AW662" s="498">
        <f t="shared" si="241"/>
        <v>0</v>
      </c>
      <c r="AX662" s="498">
        <f t="shared" si="242"/>
        <v>0</v>
      </c>
      <c r="AY662" s="498">
        <f t="shared" si="243"/>
        <v>0</v>
      </c>
      <c r="BB662" s="498" t="str">
        <f t="shared" si="244"/>
        <v/>
      </c>
      <c r="BC662" s="743" t="str">
        <f t="shared" si="245"/>
        <v/>
      </c>
      <c r="BD662" s="743" t="str">
        <f t="shared" si="246"/>
        <v/>
      </c>
      <c r="BE662" s="743" t="str">
        <f>IF(D662="","",VLOOKUP(D662,'General Basis'!$J$39:$K$46,2,0))</f>
        <v/>
      </c>
      <c r="BF662" s="744" t="str">
        <f>IF(D662="","",VLOOKUP(D662,'General Basis'!$J$39:$L$46,3,0))</f>
        <v/>
      </c>
      <c r="BG662" s="744" t="str">
        <f t="shared" si="253"/>
        <v/>
      </c>
      <c r="BH662" s="744" t="str">
        <f>IF(G662="","",IF(BF662="Abu Dhabi",IF(G662&lt;18,'General Basis'!$C$39,IF(G662&lt;41,'General Basis'!$C$40,IF(G662&lt;60,'General Basis'!$C$41,IF(G662&lt;65,'General Basis'!$C$42,'General Basis'!$C$43)))),IF(G662&lt;11,'General Basis'!$B$39,IF(G662&lt;18,'General Basis'!$B$40,IF(G662&lt;26,'General Basis'!$B$41,IF(G662&lt;31,'General Basis'!$B$42,IF(G662&lt;36,'General Basis'!$B$43,IF(G662&lt;41,'General Basis'!$B$44,IF(G662&lt;46,'General Basis'!$B$45,IF(G662&lt;51,'General Basis'!$B$46,IF(G662&lt;56,'General Basis'!$B$47,IF(G662&lt;60,'General Basis'!$B$48,IF(G662&lt;65,'General Basis'!$B$49,'General Basis'!$B$50)))))))))))))</f>
        <v/>
      </c>
      <c r="BI662" s="744" t="str">
        <f t="shared" si="247"/>
        <v/>
      </c>
      <c r="BJ662" s="747" t="str">
        <f t="shared" si="254"/>
        <v/>
      </c>
      <c r="BK662" s="498" t="str">
        <f t="shared" si="248"/>
        <v/>
      </c>
      <c r="BL662" s="498" t="str">
        <f t="shared" si="249"/>
        <v/>
      </c>
    </row>
    <row r="663" spans="1:64" x14ac:dyDescent="0.25">
      <c r="A663" s="762">
        <f t="shared" si="250"/>
        <v>658</v>
      </c>
      <c r="B663" s="229"/>
      <c r="C663" s="223"/>
      <c r="D663" s="224"/>
      <c r="E663" s="225"/>
      <c r="F663" s="1036" t="str">
        <f t="shared" si="256"/>
        <v/>
      </c>
      <c r="G663" s="1037" t="str">
        <f t="shared" si="251"/>
        <v/>
      </c>
      <c r="H663" s="225"/>
      <c r="I663" s="1013"/>
      <c r="J663" s="1013"/>
      <c r="K663" s="1028"/>
      <c r="L663" s="1035" t="str">
        <f t="shared" si="255"/>
        <v/>
      </c>
      <c r="S663" s="498"/>
      <c r="AJ663" s="498"/>
      <c r="AM663" s="498">
        <f t="shared" si="236"/>
        <v>0</v>
      </c>
      <c r="AN663" s="498">
        <f t="shared" si="237"/>
        <v>0</v>
      </c>
      <c r="AO663" s="498">
        <f t="shared" si="238"/>
        <v>0</v>
      </c>
      <c r="AP663" s="498">
        <f t="shared" si="257"/>
        <v>0</v>
      </c>
      <c r="AQ663" s="498">
        <f t="shared" si="252"/>
        <v>0</v>
      </c>
      <c r="AU663" s="498">
        <f t="shared" si="239"/>
        <v>0</v>
      </c>
      <c r="AV663" s="498">
        <f t="shared" si="240"/>
        <v>0</v>
      </c>
      <c r="AW663" s="498">
        <f t="shared" si="241"/>
        <v>0</v>
      </c>
      <c r="AX663" s="498">
        <f t="shared" si="242"/>
        <v>0</v>
      </c>
      <c r="AY663" s="498">
        <f t="shared" si="243"/>
        <v>0</v>
      </c>
      <c r="BB663" s="498" t="str">
        <f t="shared" si="244"/>
        <v/>
      </c>
      <c r="BC663" s="743" t="str">
        <f t="shared" si="245"/>
        <v/>
      </c>
      <c r="BD663" s="743" t="str">
        <f t="shared" si="246"/>
        <v/>
      </c>
      <c r="BE663" s="743" t="str">
        <f>IF(D663="","",VLOOKUP(D663,'General Basis'!$J$39:$K$46,2,0))</f>
        <v/>
      </c>
      <c r="BF663" s="744" t="str">
        <f>IF(D663="","",VLOOKUP(D663,'General Basis'!$J$39:$L$46,3,0))</f>
        <v/>
      </c>
      <c r="BG663" s="744" t="str">
        <f t="shared" si="253"/>
        <v/>
      </c>
      <c r="BH663" s="744" t="str">
        <f>IF(G663="","",IF(BF663="Abu Dhabi",IF(G663&lt;18,'General Basis'!$C$39,IF(G663&lt;41,'General Basis'!$C$40,IF(G663&lt;60,'General Basis'!$C$41,IF(G663&lt;65,'General Basis'!$C$42,'General Basis'!$C$43)))),IF(G663&lt;11,'General Basis'!$B$39,IF(G663&lt;18,'General Basis'!$B$40,IF(G663&lt;26,'General Basis'!$B$41,IF(G663&lt;31,'General Basis'!$B$42,IF(G663&lt;36,'General Basis'!$B$43,IF(G663&lt;41,'General Basis'!$B$44,IF(G663&lt;46,'General Basis'!$B$45,IF(G663&lt;51,'General Basis'!$B$46,IF(G663&lt;56,'General Basis'!$B$47,IF(G663&lt;60,'General Basis'!$B$48,IF(G663&lt;65,'General Basis'!$B$49,'General Basis'!$B$50)))))))))))))</f>
        <v/>
      </c>
      <c r="BI663" s="744" t="str">
        <f t="shared" si="247"/>
        <v/>
      </c>
      <c r="BJ663" s="747" t="str">
        <f t="shared" si="254"/>
        <v/>
      </c>
      <c r="BK663" s="498" t="str">
        <f t="shared" si="248"/>
        <v/>
      </c>
      <c r="BL663" s="498" t="str">
        <f t="shared" si="249"/>
        <v/>
      </c>
    </row>
    <row r="664" spans="1:64" x14ac:dyDescent="0.25">
      <c r="A664" s="762">
        <f t="shared" si="250"/>
        <v>659</v>
      </c>
      <c r="B664" s="229"/>
      <c r="C664" s="223"/>
      <c r="D664" s="224"/>
      <c r="E664" s="225"/>
      <c r="F664" s="1036" t="str">
        <f t="shared" si="256"/>
        <v/>
      </c>
      <c r="G664" s="1037" t="str">
        <f t="shared" si="251"/>
        <v/>
      </c>
      <c r="H664" s="225"/>
      <c r="I664" s="1013"/>
      <c r="J664" s="1013"/>
      <c r="K664" s="1028"/>
      <c r="L664" s="1035" t="str">
        <f t="shared" si="255"/>
        <v/>
      </c>
      <c r="S664" s="498"/>
      <c r="AJ664" s="498"/>
      <c r="AM664" s="498">
        <f t="shared" si="236"/>
        <v>0</v>
      </c>
      <c r="AN664" s="498">
        <f t="shared" si="237"/>
        <v>0</v>
      </c>
      <c r="AO664" s="498">
        <f t="shared" si="238"/>
        <v>0</v>
      </c>
      <c r="AP664" s="498">
        <f t="shared" si="257"/>
        <v>0</v>
      </c>
      <c r="AQ664" s="498">
        <f t="shared" si="252"/>
        <v>0</v>
      </c>
      <c r="AU664" s="498">
        <f t="shared" si="239"/>
        <v>0</v>
      </c>
      <c r="AV664" s="498">
        <f t="shared" si="240"/>
        <v>0</v>
      </c>
      <c r="AW664" s="498">
        <f t="shared" si="241"/>
        <v>0</v>
      </c>
      <c r="AX664" s="498">
        <f t="shared" si="242"/>
        <v>0</v>
      </c>
      <c r="AY664" s="498">
        <f t="shared" si="243"/>
        <v>0</v>
      </c>
      <c r="BB664" s="498" t="str">
        <f t="shared" si="244"/>
        <v/>
      </c>
      <c r="BC664" s="743" t="str">
        <f t="shared" si="245"/>
        <v/>
      </c>
      <c r="BD664" s="743" t="str">
        <f t="shared" si="246"/>
        <v/>
      </c>
      <c r="BE664" s="743" t="str">
        <f>IF(D664="","",VLOOKUP(D664,'General Basis'!$J$39:$K$46,2,0))</f>
        <v/>
      </c>
      <c r="BF664" s="744" t="str">
        <f>IF(D664="","",VLOOKUP(D664,'General Basis'!$J$39:$L$46,3,0))</f>
        <v/>
      </c>
      <c r="BG664" s="744" t="str">
        <f t="shared" si="253"/>
        <v/>
      </c>
      <c r="BH664" s="744" t="str">
        <f>IF(G664="","",IF(BF664="Abu Dhabi",IF(G664&lt;18,'General Basis'!$C$39,IF(G664&lt;41,'General Basis'!$C$40,IF(G664&lt;60,'General Basis'!$C$41,IF(G664&lt;65,'General Basis'!$C$42,'General Basis'!$C$43)))),IF(G664&lt;11,'General Basis'!$B$39,IF(G664&lt;18,'General Basis'!$B$40,IF(G664&lt;26,'General Basis'!$B$41,IF(G664&lt;31,'General Basis'!$B$42,IF(G664&lt;36,'General Basis'!$B$43,IF(G664&lt;41,'General Basis'!$B$44,IF(G664&lt;46,'General Basis'!$B$45,IF(G664&lt;51,'General Basis'!$B$46,IF(G664&lt;56,'General Basis'!$B$47,IF(G664&lt;60,'General Basis'!$B$48,IF(G664&lt;65,'General Basis'!$B$49,'General Basis'!$B$50)))))))))))))</f>
        <v/>
      </c>
      <c r="BI664" s="744" t="str">
        <f t="shared" si="247"/>
        <v/>
      </c>
      <c r="BJ664" s="747" t="str">
        <f t="shared" si="254"/>
        <v/>
      </c>
      <c r="BK664" s="498" t="str">
        <f t="shared" si="248"/>
        <v/>
      </c>
      <c r="BL664" s="498" t="str">
        <f t="shared" si="249"/>
        <v/>
      </c>
    </row>
    <row r="665" spans="1:64" x14ac:dyDescent="0.25">
      <c r="A665" s="762">
        <f t="shared" si="250"/>
        <v>660</v>
      </c>
      <c r="B665" s="229"/>
      <c r="C665" s="223"/>
      <c r="D665" s="224"/>
      <c r="E665" s="225"/>
      <c r="F665" s="1036" t="str">
        <f t="shared" si="256"/>
        <v/>
      </c>
      <c r="G665" s="1037" t="str">
        <f t="shared" si="251"/>
        <v/>
      </c>
      <c r="H665" s="225"/>
      <c r="I665" s="1013"/>
      <c r="J665" s="1013"/>
      <c r="K665" s="1028"/>
      <c r="L665" s="1035" t="str">
        <f t="shared" si="255"/>
        <v/>
      </c>
      <c r="S665" s="498"/>
      <c r="AJ665" s="498"/>
      <c r="AM665" s="498">
        <f t="shared" si="236"/>
        <v>0</v>
      </c>
      <c r="AN665" s="498">
        <f t="shared" si="237"/>
        <v>0</v>
      </c>
      <c r="AO665" s="498">
        <f t="shared" si="238"/>
        <v>0</v>
      </c>
      <c r="AP665" s="498">
        <f t="shared" si="257"/>
        <v>0</v>
      </c>
      <c r="AQ665" s="498">
        <f t="shared" si="252"/>
        <v>0</v>
      </c>
      <c r="AU665" s="498">
        <f t="shared" si="239"/>
        <v>0</v>
      </c>
      <c r="AV665" s="498">
        <f t="shared" si="240"/>
        <v>0</v>
      </c>
      <c r="AW665" s="498">
        <f t="shared" si="241"/>
        <v>0</v>
      </c>
      <c r="AX665" s="498">
        <f t="shared" si="242"/>
        <v>0</v>
      </c>
      <c r="AY665" s="498">
        <f t="shared" si="243"/>
        <v>0</v>
      </c>
      <c r="BB665" s="498" t="str">
        <f t="shared" si="244"/>
        <v/>
      </c>
      <c r="BC665" s="743" t="str">
        <f t="shared" si="245"/>
        <v/>
      </c>
      <c r="BD665" s="743" t="str">
        <f t="shared" si="246"/>
        <v/>
      </c>
      <c r="BE665" s="743" t="str">
        <f>IF(D665="","",VLOOKUP(D665,'General Basis'!$J$39:$K$46,2,0))</f>
        <v/>
      </c>
      <c r="BF665" s="744" t="str">
        <f>IF(D665="","",VLOOKUP(D665,'General Basis'!$J$39:$L$46,3,0))</f>
        <v/>
      </c>
      <c r="BG665" s="744" t="str">
        <f t="shared" si="253"/>
        <v/>
      </c>
      <c r="BH665" s="744" t="str">
        <f>IF(G665="","",IF(BF665="Abu Dhabi",IF(G665&lt;18,'General Basis'!$C$39,IF(G665&lt;41,'General Basis'!$C$40,IF(G665&lt;60,'General Basis'!$C$41,IF(G665&lt;65,'General Basis'!$C$42,'General Basis'!$C$43)))),IF(G665&lt;11,'General Basis'!$B$39,IF(G665&lt;18,'General Basis'!$B$40,IF(G665&lt;26,'General Basis'!$B$41,IF(G665&lt;31,'General Basis'!$B$42,IF(G665&lt;36,'General Basis'!$B$43,IF(G665&lt;41,'General Basis'!$B$44,IF(G665&lt;46,'General Basis'!$B$45,IF(G665&lt;51,'General Basis'!$B$46,IF(G665&lt;56,'General Basis'!$B$47,IF(G665&lt;60,'General Basis'!$B$48,IF(G665&lt;65,'General Basis'!$B$49,'General Basis'!$B$50)))))))))))))</f>
        <v/>
      </c>
      <c r="BI665" s="744" t="str">
        <f t="shared" si="247"/>
        <v/>
      </c>
      <c r="BJ665" s="747" t="str">
        <f t="shared" si="254"/>
        <v/>
      </c>
      <c r="BK665" s="498" t="str">
        <f t="shared" si="248"/>
        <v/>
      </c>
      <c r="BL665" s="498" t="str">
        <f t="shared" si="249"/>
        <v/>
      </c>
    </row>
    <row r="666" spans="1:64" x14ac:dyDescent="0.25">
      <c r="A666" s="762">
        <f t="shared" si="250"/>
        <v>661</v>
      </c>
      <c r="B666" s="229"/>
      <c r="C666" s="223"/>
      <c r="D666" s="224"/>
      <c r="E666" s="225"/>
      <c r="F666" s="1036" t="str">
        <f t="shared" si="256"/>
        <v/>
      </c>
      <c r="G666" s="1037" t="str">
        <f t="shared" si="251"/>
        <v/>
      </c>
      <c r="H666" s="225"/>
      <c r="I666" s="1013"/>
      <c r="J666" s="1013"/>
      <c r="K666" s="1028"/>
      <c r="L666" s="1035" t="str">
        <f t="shared" si="255"/>
        <v/>
      </c>
      <c r="S666" s="498"/>
      <c r="AJ666" s="498"/>
      <c r="AM666" s="498">
        <f t="shared" si="236"/>
        <v>0</v>
      </c>
      <c r="AN666" s="498">
        <f t="shared" si="237"/>
        <v>0</v>
      </c>
      <c r="AO666" s="498">
        <f t="shared" si="238"/>
        <v>0</v>
      </c>
      <c r="AP666" s="498">
        <f t="shared" si="257"/>
        <v>0</v>
      </c>
      <c r="AQ666" s="498">
        <f t="shared" si="252"/>
        <v>0</v>
      </c>
      <c r="AU666" s="498">
        <f t="shared" si="239"/>
        <v>0</v>
      </c>
      <c r="AV666" s="498">
        <f t="shared" si="240"/>
        <v>0</v>
      </c>
      <c r="AW666" s="498">
        <f t="shared" si="241"/>
        <v>0</v>
      </c>
      <c r="AX666" s="498">
        <f t="shared" si="242"/>
        <v>0</v>
      </c>
      <c r="AY666" s="498">
        <f t="shared" si="243"/>
        <v>0</v>
      </c>
      <c r="BB666" s="498" t="str">
        <f t="shared" si="244"/>
        <v/>
      </c>
      <c r="BC666" s="743" t="str">
        <f t="shared" si="245"/>
        <v/>
      </c>
      <c r="BD666" s="743" t="str">
        <f t="shared" si="246"/>
        <v/>
      </c>
      <c r="BE666" s="743" t="str">
        <f>IF(D666="","",VLOOKUP(D666,'General Basis'!$J$39:$K$46,2,0))</f>
        <v/>
      </c>
      <c r="BF666" s="744" t="str">
        <f>IF(D666="","",VLOOKUP(D666,'General Basis'!$J$39:$L$46,3,0))</f>
        <v/>
      </c>
      <c r="BG666" s="744" t="str">
        <f t="shared" si="253"/>
        <v/>
      </c>
      <c r="BH666" s="744" t="str">
        <f>IF(G666="","",IF(BF666="Abu Dhabi",IF(G666&lt;18,'General Basis'!$C$39,IF(G666&lt;41,'General Basis'!$C$40,IF(G666&lt;60,'General Basis'!$C$41,IF(G666&lt;65,'General Basis'!$C$42,'General Basis'!$C$43)))),IF(G666&lt;11,'General Basis'!$B$39,IF(G666&lt;18,'General Basis'!$B$40,IF(G666&lt;26,'General Basis'!$B$41,IF(G666&lt;31,'General Basis'!$B$42,IF(G666&lt;36,'General Basis'!$B$43,IF(G666&lt;41,'General Basis'!$B$44,IF(G666&lt;46,'General Basis'!$B$45,IF(G666&lt;51,'General Basis'!$B$46,IF(G666&lt;56,'General Basis'!$B$47,IF(G666&lt;60,'General Basis'!$B$48,IF(G666&lt;65,'General Basis'!$B$49,'General Basis'!$B$50)))))))))))))</f>
        <v/>
      </c>
      <c r="BI666" s="744" t="str">
        <f t="shared" si="247"/>
        <v/>
      </c>
      <c r="BJ666" s="747" t="str">
        <f t="shared" si="254"/>
        <v/>
      </c>
      <c r="BK666" s="498" t="str">
        <f t="shared" si="248"/>
        <v/>
      </c>
      <c r="BL666" s="498" t="str">
        <f t="shared" si="249"/>
        <v/>
      </c>
    </row>
    <row r="667" spans="1:64" x14ac:dyDescent="0.25">
      <c r="A667" s="762">
        <f t="shared" si="250"/>
        <v>662</v>
      </c>
      <c r="B667" s="229"/>
      <c r="C667" s="223"/>
      <c r="D667" s="224"/>
      <c r="E667" s="225"/>
      <c r="F667" s="1036" t="str">
        <f t="shared" si="256"/>
        <v/>
      </c>
      <c r="G667" s="1037" t="str">
        <f t="shared" si="251"/>
        <v/>
      </c>
      <c r="H667" s="225"/>
      <c r="I667" s="1013"/>
      <c r="J667" s="1013"/>
      <c r="K667" s="1028"/>
      <c r="L667" s="1035" t="str">
        <f t="shared" si="255"/>
        <v/>
      </c>
      <c r="S667" s="498"/>
      <c r="AJ667" s="498"/>
      <c r="AM667" s="498">
        <f t="shared" si="236"/>
        <v>0</v>
      </c>
      <c r="AN667" s="498">
        <f t="shared" si="237"/>
        <v>0</v>
      </c>
      <c r="AO667" s="498">
        <f t="shared" si="238"/>
        <v>0</v>
      </c>
      <c r="AP667" s="498">
        <f t="shared" si="257"/>
        <v>0</v>
      </c>
      <c r="AQ667" s="498">
        <f t="shared" si="252"/>
        <v>0</v>
      </c>
      <c r="AU667" s="498">
        <f t="shared" si="239"/>
        <v>0</v>
      </c>
      <c r="AV667" s="498">
        <f t="shared" si="240"/>
        <v>0</v>
      </c>
      <c r="AW667" s="498">
        <f t="shared" si="241"/>
        <v>0</v>
      </c>
      <c r="AX667" s="498">
        <f t="shared" si="242"/>
        <v>0</v>
      </c>
      <c r="AY667" s="498">
        <f t="shared" si="243"/>
        <v>0</v>
      </c>
      <c r="BB667" s="498" t="str">
        <f t="shared" si="244"/>
        <v/>
      </c>
      <c r="BC667" s="743" t="str">
        <f t="shared" si="245"/>
        <v/>
      </c>
      <c r="BD667" s="743" t="str">
        <f t="shared" si="246"/>
        <v/>
      </c>
      <c r="BE667" s="743" t="str">
        <f>IF(D667="","",VLOOKUP(D667,'General Basis'!$J$39:$K$46,2,0))</f>
        <v/>
      </c>
      <c r="BF667" s="744" t="str">
        <f>IF(D667="","",VLOOKUP(D667,'General Basis'!$J$39:$L$46,3,0))</f>
        <v/>
      </c>
      <c r="BG667" s="744" t="str">
        <f t="shared" si="253"/>
        <v/>
      </c>
      <c r="BH667" s="744" t="str">
        <f>IF(G667="","",IF(BF667="Abu Dhabi",IF(G667&lt;18,'General Basis'!$C$39,IF(G667&lt;41,'General Basis'!$C$40,IF(G667&lt;60,'General Basis'!$C$41,IF(G667&lt;65,'General Basis'!$C$42,'General Basis'!$C$43)))),IF(G667&lt;11,'General Basis'!$B$39,IF(G667&lt;18,'General Basis'!$B$40,IF(G667&lt;26,'General Basis'!$B$41,IF(G667&lt;31,'General Basis'!$B$42,IF(G667&lt;36,'General Basis'!$B$43,IF(G667&lt;41,'General Basis'!$B$44,IF(G667&lt;46,'General Basis'!$B$45,IF(G667&lt;51,'General Basis'!$B$46,IF(G667&lt;56,'General Basis'!$B$47,IF(G667&lt;60,'General Basis'!$B$48,IF(G667&lt;65,'General Basis'!$B$49,'General Basis'!$B$50)))))))))))))</f>
        <v/>
      </c>
      <c r="BI667" s="744" t="str">
        <f t="shared" si="247"/>
        <v/>
      </c>
      <c r="BJ667" s="747" t="str">
        <f t="shared" si="254"/>
        <v/>
      </c>
      <c r="BK667" s="498" t="str">
        <f t="shared" si="248"/>
        <v/>
      </c>
      <c r="BL667" s="498" t="str">
        <f t="shared" si="249"/>
        <v/>
      </c>
    </row>
    <row r="668" spans="1:64" x14ac:dyDescent="0.25">
      <c r="A668" s="762">
        <f t="shared" si="250"/>
        <v>663</v>
      </c>
      <c r="B668" s="229"/>
      <c r="C668" s="223"/>
      <c r="D668" s="224"/>
      <c r="E668" s="225"/>
      <c r="F668" s="1036" t="str">
        <f t="shared" si="256"/>
        <v/>
      </c>
      <c r="G668" s="1037" t="str">
        <f t="shared" si="251"/>
        <v/>
      </c>
      <c r="H668" s="225"/>
      <c r="I668" s="1013"/>
      <c r="J668" s="1013"/>
      <c r="K668" s="1028"/>
      <c r="L668" s="1035" t="str">
        <f t="shared" si="255"/>
        <v/>
      </c>
      <c r="S668" s="498"/>
      <c r="AJ668" s="498"/>
      <c r="AM668" s="498">
        <f t="shared" si="236"/>
        <v>0</v>
      </c>
      <c r="AN668" s="498">
        <f t="shared" si="237"/>
        <v>0</v>
      </c>
      <c r="AO668" s="498">
        <f t="shared" si="238"/>
        <v>0</v>
      </c>
      <c r="AP668" s="498">
        <f t="shared" si="257"/>
        <v>0</v>
      </c>
      <c r="AQ668" s="498">
        <f t="shared" si="252"/>
        <v>0</v>
      </c>
      <c r="AU668" s="498">
        <f t="shared" si="239"/>
        <v>0</v>
      </c>
      <c r="AV668" s="498">
        <f t="shared" si="240"/>
        <v>0</v>
      </c>
      <c r="AW668" s="498">
        <f t="shared" si="241"/>
        <v>0</v>
      </c>
      <c r="AX668" s="498">
        <f t="shared" si="242"/>
        <v>0</v>
      </c>
      <c r="AY668" s="498">
        <f t="shared" si="243"/>
        <v>0</v>
      </c>
      <c r="BB668" s="498" t="str">
        <f t="shared" si="244"/>
        <v/>
      </c>
      <c r="BC668" s="743" t="str">
        <f t="shared" si="245"/>
        <v/>
      </c>
      <c r="BD668" s="743" t="str">
        <f t="shared" si="246"/>
        <v/>
      </c>
      <c r="BE668" s="743" t="str">
        <f>IF(D668="","",VLOOKUP(D668,'General Basis'!$J$39:$K$46,2,0))</f>
        <v/>
      </c>
      <c r="BF668" s="744" t="str">
        <f>IF(D668="","",VLOOKUP(D668,'General Basis'!$J$39:$L$46,3,0))</f>
        <v/>
      </c>
      <c r="BG668" s="744" t="str">
        <f t="shared" si="253"/>
        <v/>
      </c>
      <c r="BH668" s="744" t="str">
        <f>IF(G668="","",IF(BF668="Abu Dhabi",IF(G668&lt;18,'General Basis'!$C$39,IF(G668&lt;41,'General Basis'!$C$40,IF(G668&lt;60,'General Basis'!$C$41,IF(G668&lt;65,'General Basis'!$C$42,'General Basis'!$C$43)))),IF(G668&lt;11,'General Basis'!$B$39,IF(G668&lt;18,'General Basis'!$B$40,IF(G668&lt;26,'General Basis'!$B$41,IF(G668&lt;31,'General Basis'!$B$42,IF(G668&lt;36,'General Basis'!$B$43,IF(G668&lt;41,'General Basis'!$B$44,IF(G668&lt;46,'General Basis'!$B$45,IF(G668&lt;51,'General Basis'!$B$46,IF(G668&lt;56,'General Basis'!$B$47,IF(G668&lt;60,'General Basis'!$B$48,IF(G668&lt;65,'General Basis'!$B$49,'General Basis'!$B$50)))))))))))))</f>
        <v/>
      </c>
      <c r="BI668" s="744" t="str">
        <f t="shared" si="247"/>
        <v/>
      </c>
      <c r="BJ668" s="747" t="str">
        <f t="shared" si="254"/>
        <v/>
      </c>
      <c r="BK668" s="498" t="str">
        <f t="shared" si="248"/>
        <v/>
      </c>
      <c r="BL668" s="498" t="str">
        <f t="shared" si="249"/>
        <v/>
      </c>
    </row>
    <row r="669" spans="1:64" x14ac:dyDescent="0.25">
      <c r="A669" s="762">
        <f t="shared" si="250"/>
        <v>664</v>
      </c>
      <c r="B669" s="229"/>
      <c r="C669" s="223"/>
      <c r="D669" s="224"/>
      <c r="E669" s="225"/>
      <c r="F669" s="1036" t="str">
        <f t="shared" si="256"/>
        <v/>
      </c>
      <c r="G669" s="1037" t="str">
        <f t="shared" si="251"/>
        <v/>
      </c>
      <c r="H669" s="225"/>
      <c r="I669" s="1013"/>
      <c r="J669" s="1013"/>
      <c r="K669" s="1028"/>
      <c r="L669" s="1035" t="str">
        <f t="shared" si="255"/>
        <v/>
      </c>
      <c r="S669" s="498"/>
      <c r="AJ669" s="498"/>
      <c r="AM669" s="498">
        <f t="shared" si="236"/>
        <v>0</v>
      </c>
      <c r="AN669" s="498">
        <f t="shared" si="237"/>
        <v>0</v>
      </c>
      <c r="AO669" s="498">
        <f t="shared" si="238"/>
        <v>0</v>
      </c>
      <c r="AP669" s="498">
        <f t="shared" si="257"/>
        <v>0</v>
      </c>
      <c r="AQ669" s="498">
        <f t="shared" si="252"/>
        <v>0</v>
      </c>
      <c r="AU669" s="498">
        <f t="shared" si="239"/>
        <v>0</v>
      </c>
      <c r="AV669" s="498">
        <f t="shared" si="240"/>
        <v>0</v>
      </c>
      <c r="AW669" s="498">
        <f t="shared" si="241"/>
        <v>0</v>
      </c>
      <c r="AX669" s="498">
        <f t="shared" si="242"/>
        <v>0</v>
      </c>
      <c r="AY669" s="498">
        <f t="shared" si="243"/>
        <v>0</v>
      </c>
      <c r="BB669" s="498" t="str">
        <f t="shared" si="244"/>
        <v/>
      </c>
      <c r="BC669" s="743" t="str">
        <f t="shared" si="245"/>
        <v/>
      </c>
      <c r="BD669" s="743" t="str">
        <f t="shared" si="246"/>
        <v/>
      </c>
      <c r="BE669" s="743" t="str">
        <f>IF(D669="","",VLOOKUP(D669,'General Basis'!$J$39:$K$46,2,0))</f>
        <v/>
      </c>
      <c r="BF669" s="744" t="str">
        <f>IF(D669="","",VLOOKUP(D669,'General Basis'!$J$39:$L$46,3,0))</f>
        <v/>
      </c>
      <c r="BG669" s="744" t="str">
        <f t="shared" si="253"/>
        <v/>
      </c>
      <c r="BH669" s="744" t="str">
        <f>IF(G669="","",IF(BF669="Abu Dhabi",IF(G669&lt;18,'General Basis'!$C$39,IF(G669&lt;41,'General Basis'!$C$40,IF(G669&lt;60,'General Basis'!$C$41,IF(G669&lt;65,'General Basis'!$C$42,'General Basis'!$C$43)))),IF(G669&lt;11,'General Basis'!$B$39,IF(G669&lt;18,'General Basis'!$B$40,IF(G669&lt;26,'General Basis'!$B$41,IF(G669&lt;31,'General Basis'!$B$42,IF(G669&lt;36,'General Basis'!$B$43,IF(G669&lt;41,'General Basis'!$B$44,IF(G669&lt;46,'General Basis'!$B$45,IF(G669&lt;51,'General Basis'!$B$46,IF(G669&lt;56,'General Basis'!$B$47,IF(G669&lt;60,'General Basis'!$B$48,IF(G669&lt;65,'General Basis'!$B$49,'General Basis'!$B$50)))))))))))))</f>
        <v/>
      </c>
      <c r="BI669" s="744" t="str">
        <f t="shared" si="247"/>
        <v/>
      </c>
      <c r="BJ669" s="747" t="str">
        <f t="shared" si="254"/>
        <v/>
      </c>
      <c r="BK669" s="498" t="str">
        <f t="shared" si="248"/>
        <v/>
      </c>
      <c r="BL669" s="498" t="str">
        <f t="shared" si="249"/>
        <v/>
      </c>
    </row>
    <row r="670" spans="1:64" x14ac:dyDescent="0.25">
      <c r="A670" s="762">
        <f t="shared" si="250"/>
        <v>665</v>
      </c>
      <c r="B670" s="229"/>
      <c r="C670" s="223"/>
      <c r="D670" s="224"/>
      <c r="E670" s="225"/>
      <c r="F670" s="1036" t="str">
        <f t="shared" si="256"/>
        <v/>
      </c>
      <c r="G670" s="1037" t="str">
        <f t="shared" si="251"/>
        <v/>
      </c>
      <c r="H670" s="225"/>
      <c r="I670" s="1013"/>
      <c r="J670" s="1013"/>
      <c r="K670" s="1028"/>
      <c r="L670" s="1035" t="str">
        <f t="shared" si="255"/>
        <v/>
      </c>
      <c r="S670" s="498"/>
      <c r="AJ670" s="498"/>
      <c r="AM670" s="498">
        <f t="shared" si="236"/>
        <v>0</v>
      </c>
      <c r="AN670" s="498">
        <f t="shared" si="237"/>
        <v>0</v>
      </c>
      <c r="AO670" s="498">
        <f t="shared" si="238"/>
        <v>0</v>
      </c>
      <c r="AP670" s="498">
        <f t="shared" si="257"/>
        <v>0</v>
      </c>
      <c r="AQ670" s="498">
        <f t="shared" si="252"/>
        <v>0</v>
      </c>
      <c r="AU670" s="498">
        <f t="shared" si="239"/>
        <v>0</v>
      </c>
      <c r="AV670" s="498">
        <f t="shared" si="240"/>
        <v>0</v>
      </c>
      <c r="AW670" s="498">
        <f t="shared" si="241"/>
        <v>0</v>
      </c>
      <c r="AX670" s="498">
        <f t="shared" si="242"/>
        <v>0</v>
      </c>
      <c r="AY670" s="498">
        <f t="shared" si="243"/>
        <v>0</v>
      </c>
      <c r="BB670" s="498" t="str">
        <f t="shared" si="244"/>
        <v/>
      </c>
      <c r="BC670" s="743" t="str">
        <f t="shared" si="245"/>
        <v/>
      </c>
      <c r="BD670" s="743" t="str">
        <f t="shared" si="246"/>
        <v/>
      </c>
      <c r="BE670" s="743" t="str">
        <f>IF(D670="","",VLOOKUP(D670,'General Basis'!$J$39:$K$46,2,0))</f>
        <v/>
      </c>
      <c r="BF670" s="744" t="str">
        <f>IF(D670="","",VLOOKUP(D670,'General Basis'!$J$39:$L$46,3,0))</f>
        <v/>
      </c>
      <c r="BG670" s="744" t="str">
        <f t="shared" si="253"/>
        <v/>
      </c>
      <c r="BH670" s="744" t="str">
        <f>IF(G670="","",IF(BF670="Abu Dhabi",IF(G670&lt;18,'General Basis'!$C$39,IF(G670&lt;41,'General Basis'!$C$40,IF(G670&lt;60,'General Basis'!$C$41,IF(G670&lt;65,'General Basis'!$C$42,'General Basis'!$C$43)))),IF(G670&lt;11,'General Basis'!$B$39,IF(G670&lt;18,'General Basis'!$B$40,IF(G670&lt;26,'General Basis'!$B$41,IF(G670&lt;31,'General Basis'!$B$42,IF(G670&lt;36,'General Basis'!$B$43,IF(G670&lt;41,'General Basis'!$B$44,IF(G670&lt;46,'General Basis'!$B$45,IF(G670&lt;51,'General Basis'!$B$46,IF(G670&lt;56,'General Basis'!$B$47,IF(G670&lt;60,'General Basis'!$B$48,IF(G670&lt;65,'General Basis'!$B$49,'General Basis'!$B$50)))))))))))))</f>
        <v/>
      </c>
      <c r="BI670" s="744" t="str">
        <f t="shared" si="247"/>
        <v/>
      </c>
      <c r="BJ670" s="747" t="str">
        <f t="shared" si="254"/>
        <v/>
      </c>
      <c r="BK670" s="498" t="str">
        <f t="shared" si="248"/>
        <v/>
      </c>
      <c r="BL670" s="498" t="str">
        <f t="shared" si="249"/>
        <v/>
      </c>
    </row>
    <row r="671" spans="1:64" x14ac:dyDescent="0.25">
      <c r="A671" s="762">
        <f t="shared" si="250"/>
        <v>666</v>
      </c>
      <c r="B671" s="229"/>
      <c r="C671" s="223"/>
      <c r="D671" s="224"/>
      <c r="E671" s="225"/>
      <c r="F671" s="1036" t="str">
        <f t="shared" si="256"/>
        <v/>
      </c>
      <c r="G671" s="1037" t="str">
        <f t="shared" si="251"/>
        <v/>
      </c>
      <c r="H671" s="225"/>
      <c r="I671" s="1013"/>
      <c r="J671" s="1013"/>
      <c r="K671" s="1028"/>
      <c r="L671" s="1035" t="str">
        <f t="shared" si="255"/>
        <v/>
      </c>
      <c r="S671" s="498"/>
      <c r="AJ671" s="498"/>
      <c r="AM671" s="498">
        <f t="shared" si="236"/>
        <v>0</v>
      </c>
      <c r="AN671" s="498">
        <f t="shared" si="237"/>
        <v>0</v>
      </c>
      <c r="AO671" s="498">
        <f t="shared" si="238"/>
        <v>0</v>
      </c>
      <c r="AP671" s="498">
        <f t="shared" si="257"/>
        <v>0</v>
      </c>
      <c r="AQ671" s="498">
        <f t="shared" si="252"/>
        <v>0</v>
      </c>
      <c r="AU671" s="498">
        <f t="shared" si="239"/>
        <v>0</v>
      </c>
      <c r="AV671" s="498">
        <f t="shared" si="240"/>
        <v>0</v>
      </c>
      <c r="AW671" s="498">
        <f t="shared" si="241"/>
        <v>0</v>
      </c>
      <c r="AX671" s="498">
        <f t="shared" si="242"/>
        <v>0</v>
      </c>
      <c r="AY671" s="498">
        <f t="shared" si="243"/>
        <v>0</v>
      </c>
      <c r="BB671" s="498" t="str">
        <f t="shared" si="244"/>
        <v/>
      </c>
      <c r="BC671" s="743" t="str">
        <f t="shared" si="245"/>
        <v/>
      </c>
      <c r="BD671" s="743" t="str">
        <f t="shared" si="246"/>
        <v/>
      </c>
      <c r="BE671" s="743" t="str">
        <f>IF(D671="","",VLOOKUP(D671,'General Basis'!$J$39:$K$46,2,0))</f>
        <v/>
      </c>
      <c r="BF671" s="744" t="str">
        <f>IF(D671="","",VLOOKUP(D671,'General Basis'!$J$39:$L$46,3,0))</f>
        <v/>
      </c>
      <c r="BG671" s="744" t="str">
        <f t="shared" si="253"/>
        <v/>
      </c>
      <c r="BH671" s="744" t="str">
        <f>IF(G671="","",IF(BF671="Abu Dhabi",IF(G671&lt;18,'General Basis'!$C$39,IF(G671&lt;41,'General Basis'!$C$40,IF(G671&lt;60,'General Basis'!$C$41,IF(G671&lt;65,'General Basis'!$C$42,'General Basis'!$C$43)))),IF(G671&lt;11,'General Basis'!$B$39,IF(G671&lt;18,'General Basis'!$B$40,IF(G671&lt;26,'General Basis'!$B$41,IF(G671&lt;31,'General Basis'!$B$42,IF(G671&lt;36,'General Basis'!$B$43,IF(G671&lt;41,'General Basis'!$B$44,IF(G671&lt;46,'General Basis'!$B$45,IF(G671&lt;51,'General Basis'!$B$46,IF(G671&lt;56,'General Basis'!$B$47,IF(G671&lt;60,'General Basis'!$B$48,IF(G671&lt;65,'General Basis'!$B$49,'General Basis'!$B$50)))))))))))))</f>
        <v/>
      </c>
      <c r="BI671" s="744" t="str">
        <f t="shared" si="247"/>
        <v/>
      </c>
      <c r="BJ671" s="747" t="str">
        <f t="shared" si="254"/>
        <v/>
      </c>
      <c r="BK671" s="498" t="str">
        <f t="shared" si="248"/>
        <v/>
      </c>
      <c r="BL671" s="498" t="str">
        <f t="shared" si="249"/>
        <v/>
      </c>
    </row>
    <row r="672" spans="1:64" x14ac:dyDescent="0.25">
      <c r="A672" s="762">
        <f t="shared" si="250"/>
        <v>667</v>
      </c>
      <c r="B672" s="229"/>
      <c r="C672" s="223"/>
      <c r="D672" s="224"/>
      <c r="E672" s="225"/>
      <c r="F672" s="1036" t="str">
        <f t="shared" si="256"/>
        <v/>
      </c>
      <c r="G672" s="1037" t="str">
        <f t="shared" si="251"/>
        <v/>
      </c>
      <c r="H672" s="225"/>
      <c r="I672" s="1013"/>
      <c r="J672" s="1013"/>
      <c r="K672" s="1028"/>
      <c r="L672" s="1035" t="str">
        <f t="shared" si="255"/>
        <v/>
      </c>
      <c r="S672" s="498"/>
      <c r="AJ672" s="498"/>
      <c r="AM672" s="498">
        <f t="shared" si="236"/>
        <v>0</v>
      </c>
      <c r="AN672" s="498">
        <f t="shared" si="237"/>
        <v>0</v>
      </c>
      <c r="AO672" s="498">
        <f t="shared" si="238"/>
        <v>0</v>
      </c>
      <c r="AP672" s="498">
        <f t="shared" si="257"/>
        <v>0</v>
      </c>
      <c r="AQ672" s="498">
        <f t="shared" si="252"/>
        <v>0</v>
      </c>
      <c r="AU672" s="498">
        <f t="shared" si="239"/>
        <v>0</v>
      </c>
      <c r="AV672" s="498">
        <f t="shared" si="240"/>
        <v>0</v>
      </c>
      <c r="AW672" s="498">
        <f t="shared" si="241"/>
        <v>0</v>
      </c>
      <c r="AX672" s="498">
        <f t="shared" si="242"/>
        <v>0</v>
      </c>
      <c r="AY672" s="498">
        <f t="shared" si="243"/>
        <v>0</v>
      </c>
      <c r="BB672" s="498" t="str">
        <f t="shared" si="244"/>
        <v/>
      </c>
      <c r="BC672" s="743" t="str">
        <f t="shared" si="245"/>
        <v/>
      </c>
      <c r="BD672" s="743" t="str">
        <f t="shared" si="246"/>
        <v/>
      </c>
      <c r="BE672" s="743" t="str">
        <f>IF(D672="","",VLOOKUP(D672,'General Basis'!$J$39:$K$46,2,0))</f>
        <v/>
      </c>
      <c r="BF672" s="744" t="str">
        <f>IF(D672="","",VLOOKUP(D672,'General Basis'!$J$39:$L$46,3,0))</f>
        <v/>
      </c>
      <c r="BG672" s="744" t="str">
        <f t="shared" si="253"/>
        <v/>
      </c>
      <c r="BH672" s="744" t="str">
        <f>IF(G672="","",IF(BF672="Abu Dhabi",IF(G672&lt;18,'General Basis'!$C$39,IF(G672&lt;41,'General Basis'!$C$40,IF(G672&lt;60,'General Basis'!$C$41,IF(G672&lt;65,'General Basis'!$C$42,'General Basis'!$C$43)))),IF(G672&lt;11,'General Basis'!$B$39,IF(G672&lt;18,'General Basis'!$B$40,IF(G672&lt;26,'General Basis'!$B$41,IF(G672&lt;31,'General Basis'!$B$42,IF(G672&lt;36,'General Basis'!$B$43,IF(G672&lt;41,'General Basis'!$B$44,IF(G672&lt;46,'General Basis'!$B$45,IF(G672&lt;51,'General Basis'!$B$46,IF(G672&lt;56,'General Basis'!$B$47,IF(G672&lt;60,'General Basis'!$B$48,IF(G672&lt;65,'General Basis'!$B$49,'General Basis'!$B$50)))))))))))))</f>
        <v/>
      </c>
      <c r="BI672" s="744" t="str">
        <f t="shared" si="247"/>
        <v/>
      </c>
      <c r="BJ672" s="747" t="str">
        <f t="shared" si="254"/>
        <v/>
      </c>
      <c r="BK672" s="498" t="str">
        <f t="shared" si="248"/>
        <v/>
      </c>
      <c r="BL672" s="498" t="str">
        <f t="shared" si="249"/>
        <v/>
      </c>
    </row>
    <row r="673" spans="1:64" x14ac:dyDescent="0.25">
      <c r="A673" s="762">
        <f t="shared" si="250"/>
        <v>668</v>
      </c>
      <c r="B673" s="229"/>
      <c r="C673" s="223"/>
      <c r="D673" s="224"/>
      <c r="E673" s="225"/>
      <c r="F673" s="1036" t="str">
        <f t="shared" si="256"/>
        <v/>
      </c>
      <c r="G673" s="1037" t="str">
        <f t="shared" si="251"/>
        <v/>
      </c>
      <c r="H673" s="225"/>
      <c r="I673" s="1013"/>
      <c r="J673" s="1013"/>
      <c r="K673" s="1028"/>
      <c r="L673" s="1035" t="str">
        <f t="shared" si="255"/>
        <v/>
      </c>
      <c r="S673" s="498"/>
      <c r="AJ673" s="498"/>
      <c r="AM673" s="498">
        <f t="shared" si="236"/>
        <v>0</v>
      </c>
      <c r="AN673" s="498">
        <f t="shared" si="237"/>
        <v>0</v>
      </c>
      <c r="AO673" s="498">
        <f t="shared" si="238"/>
        <v>0</v>
      </c>
      <c r="AP673" s="498">
        <f t="shared" si="257"/>
        <v>0</v>
      </c>
      <c r="AQ673" s="498">
        <f t="shared" si="252"/>
        <v>0</v>
      </c>
      <c r="AU673" s="498">
        <f t="shared" si="239"/>
        <v>0</v>
      </c>
      <c r="AV673" s="498">
        <f t="shared" si="240"/>
        <v>0</v>
      </c>
      <c r="AW673" s="498">
        <f t="shared" si="241"/>
        <v>0</v>
      </c>
      <c r="AX673" s="498">
        <f t="shared" si="242"/>
        <v>0</v>
      </c>
      <c r="AY673" s="498">
        <f t="shared" si="243"/>
        <v>0</v>
      </c>
      <c r="BB673" s="498" t="str">
        <f t="shared" si="244"/>
        <v/>
      </c>
      <c r="BC673" s="743" t="str">
        <f t="shared" si="245"/>
        <v/>
      </c>
      <c r="BD673" s="743" t="str">
        <f t="shared" si="246"/>
        <v/>
      </c>
      <c r="BE673" s="743" t="str">
        <f>IF(D673="","",VLOOKUP(D673,'General Basis'!$J$39:$K$46,2,0))</f>
        <v/>
      </c>
      <c r="BF673" s="744" t="str">
        <f>IF(D673="","",VLOOKUP(D673,'General Basis'!$J$39:$L$46,3,0))</f>
        <v/>
      </c>
      <c r="BG673" s="744" t="str">
        <f t="shared" si="253"/>
        <v/>
      </c>
      <c r="BH673" s="744" t="str">
        <f>IF(G673="","",IF(BF673="Abu Dhabi",IF(G673&lt;18,'General Basis'!$C$39,IF(G673&lt;41,'General Basis'!$C$40,IF(G673&lt;60,'General Basis'!$C$41,IF(G673&lt;65,'General Basis'!$C$42,'General Basis'!$C$43)))),IF(G673&lt;11,'General Basis'!$B$39,IF(G673&lt;18,'General Basis'!$B$40,IF(G673&lt;26,'General Basis'!$B$41,IF(G673&lt;31,'General Basis'!$B$42,IF(G673&lt;36,'General Basis'!$B$43,IF(G673&lt;41,'General Basis'!$B$44,IF(G673&lt;46,'General Basis'!$B$45,IF(G673&lt;51,'General Basis'!$B$46,IF(G673&lt;56,'General Basis'!$B$47,IF(G673&lt;60,'General Basis'!$B$48,IF(G673&lt;65,'General Basis'!$B$49,'General Basis'!$B$50)))))))))))))</f>
        <v/>
      </c>
      <c r="BI673" s="744" t="str">
        <f t="shared" si="247"/>
        <v/>
      </c>
      <c r="BJ673" s="747" t="str">
        <f t="shared" si="254"/>
        <v/>
      </c>
      <c r="BK673" s="498" t="str">
        <f t="shared" si="248"/>
        <v/>
      </c>
      <c r="BL673" s="498" t="str">
        <f t="shared" si="249"/>
        <v/>
      </c>
    </row>
    <row r="674" spans="1:64" x14ac:dyDescent="0.25">
      <c r="A674" s="762">
        <f t="shared" si="250"/>
        <v>669</v>
      </c>
      <c r="B674" s="229"/>
      <c r="C674" s="223"/>
      <c r="D674" s="224"/>
      <c r="E674" s="225"/>
      <c r="F674" s="1036" t="str">
        <f t="shared" si="256"/>
        <v/>
      </c>
      <c r="G674" s="1037" t="str">
        <f t="shared" si="251"/>
        <v/>
      </c>
      <c r="H674" s="225"/>
      <c r="I674" s="1013"/>
      <c r="J674" s="1013"/>
      <c r="K674" s="1028"/>
      <c r="L674" s="1035" t="str">
        <f t="shared" si="255"/>
        <v/>
      </c>
      <c r="S674" s="498"/>
      <c r="AJ674" s="498"/>
      <c r="AM674" s="498">
        <f t="shared" si="236"/>
        <v>0</v>
      </c>
      <c r="AN674" s="498">
        <f t="shared" si="237"/>
        <v>0</v>
      </c>
      <c r="AO674" s="498">
        <f t="shared" si="238"/>
        <v>0</v>
      </c>
      <c r="AP674" s="498">
        <f t="shared" si="257"/>
        <v>0</v>
      </c>
      <c r="AQ674" s="498">
        <f t="shared" si="252"/>
        <v>0</v>
      </c>
      <c r="AU674" s="498">
        <f t="shared" si="239"/>
        <v>0</v>
      </c>
      <c r="AV674" s="498">
        <f t="shared" si="240"/>
        <v>0</v>
      </c>
      <c r="AW674" s="498">
        <f t="shared" si="241"/>
        <v>0</v>
      </c>
      <c r="AX674" s="498">
        <f t="shared" si="242"/>
        <v>0</v>
      </c>
      <c r="AY674" s="498">
        <f t="shared" si="243"/>
        <v>0</v>
      </c>
      <c r="BB674" s="498" t="str">
        <f t="shared" si="244"/>
        <v/>
      </c>
      <c r="BC674" s="743" t="str">
        <f t="shared" si="245"/>
        <v/>
      </c>
      <c r="BD674" s="743" t="str">
        <f t="shared" si="246"/>
        <v/>
      </c>
      <c r="BE674" s="743" t="str">
        <f>IF(D674="","",VLOOKUP(D674,'General Basis'!$J$39:$K$46,2,0))</f>
        <v/>
      </c>
      <c r="BF674" s="744" t="str">
        <f>IF(D674="","",VLOOKUP(D674,'General Basis'!$J$39:$L$46,3,0))</f>
        <v/>
      </c>
      <c r="BG674" s="744" t="str">
        <f t="shared" si="253"/>
        <v/>
      </c>
      <c r="BH674" s="744" t="str">
        <f>IF(G674="","",IF(BF674="Abu Dhabi",IF(G674&lt;18,'General Basis'!$C$39,IF(G674&lt;41,'General Basis'!$C$40,IF(G674&lt;60,'General Basis'!$C$41,IF(G674&lt;65,'General Basis'!$C$42,'General Basis'!$C$43)))),IF(G674&lt;11,'General Basis'!$B$39,IF(G674&lt;18,'General Basis'!$B$40,IF(G674&lt;26,'General Basis'!$B$41,IF(G674&lt;31,'General Basis'!$B$42,IF(G674&lt;36,'General Basis'!$B$43,IF(G674&lt;41,'General Basis'!$B$44,IF(G674&lt;46,'General Basis'!$B$45,IF(G674&lt;51,'General Basis'!$B$46,IF(G674&lt;56,'General Basis'!$B$47,IF(G674&lt;60,'General Basis'!$B$48,IF(G674&lt;65,'General Basis'!$B$49,'General Basis'!$B$50)))))))))))))</f>
        <v/>
      </c>
      <c r="BI674" s="744" t="str">
        <f t="shared" si="247"/>
        <v/>
      </c>
      <c r="BJ674" s="747" t="str">
        <f t="shared" si="254"/>
        <v/>
      </c>
      <c r="BK674" s="498" t="str">
        <f t="shared" si="248"/>
        <v/>
      </c>
      <c r="BL674" s="498" t="str">
        <f t="shared" si="249"/>
        <v/>
      </c>
    </row>
    <row r="675" spans="1:64" x14ac:dyDescent="0.25">
      <c r="A675" s="762">
        <f t="shared" si="250"/>
        <v>670</v>
      </c>
      <c r="B675" s="229"/>
      <c r="C675" s="223"/>
      <c r="D675" s="224"/>
      <c r="E675" s="225"/>
      <c r="F675" s="1036" t="str">
        <f t="shared" si="256"/>
        <v/>
      </c>
      <c r="G675" s="1037" t="str">
        <f t="shared" si="251"/>
        <v/>
      </c>
      <c r="H675" s="225"/>
      <c r="I675" s="1013"/>
      <c r="J675" s="1013"/>
      <c r="K675" s="1028"/>
      <c r="L675" s="1035" t="str">
        <f t="shared" si="255"/>
        <v/>
      </c>
      <c r="S675" s="498"/>
      <c r="AJ675" s="498"/>
      <c r="AM675" s="498">
        <f t="shared" si="236"/>
        <v>0</v>
      </c>
      <c r="AN675" s="498">
        <f t="shared" si="237"/>
        <v>0</v>
      </c>
      <c r="AO675" s="498">
        <f t="shared" si="238"/>
        <v>0</v>
      </c>
      <c r="AP675" s="498">
        <f t="shared" si="257"/>
        <v>0</v>
      </c>
      <c r="AQ675" s="498">
        <f t="shared" si="252"/>
        <v>0</v>
      </c>
      <c r="AU675" s="498">
        <f t="shared" si="239"/>
        <v>0</v>
      </c>
      <c r="AV675" s="498">
        <f t="shared" si="240"/>
        <v>0</v>
      </c>
      <c r="AW675" s="498">
        <f t="shared" si="241"/>
        <v>0</v>
      </c>
      <c r="AX675" s="498">
        <f t="shared" si="242"/>
        <v>0</v>
      </c>
      <c r="AY675" s="498">
        <f t="shared" si="243"/>
        <v>0</v>
      </c>
      <c r="BB675" s="498" t="str">
        <f t="shared" si="244"/>
        <v/>
      </c>
      <c r="BC675" s="743" t="str">
        <f t="shared" si="245"/>
        <v/>
      </c>
      <c r="BD675" s="743" t="str">
        <f t="shared" si="246"/>
        <v/>
      </c>
      <c r="BE675" s="743" t="str">
        <f>IF(D675="","",VLOOKUP(D675,'General Basis'!$J$39:$K$46,2,0))</f>
        <v/>
      </c>
      <c r="BF675" s="744" t="str">
        <f>IF(D675="","",VLOOKUP(D675,'General Basis'!$J$39:$L$46,3,0))</f>
        <v/>
      </c>
      <c r="BG675" s="744" t="str">
        <f t="shared" si="253"/>
        <v/>
      </c>
      <c r="BH675" s="744" t="str">
        <f>IF(G675="","",IF(BF675="Abu Dhabi",IF(G675&lt;18,'General Basis'!$C$39,IF(G675&lt;41,'General Basis'!$C$40,IF(G675&lt;60,'General Basis'!$C$41,IF(G675&lt;65,'General Basis'!$C$42,'General Basis'!$C$43)))),IF(G675&lt;11,'General Basis'!$B$39,IF(G675&lt;18,'General Basis'!$B$40,IF(G675&lt;26,'General Basis'!$B$41,IF(G675&lt;31,'General Basis'!$B$42,IF(G675&lt;36,'General Basis'!$B$43,IF(G675&lt;41,'General Basis'!$B$44,IF(G675&lt;46,'General Basis'!$B$45,IF(G675&lt;51,'General Basis'!$B$46,IF(G675&lt;56,'General Basis'!$B$47,IF(G675&lt;60,'General Basis'!$B$48,IF(G675&lt;65,'General Basis'!$B$49,'General Basis'!$B$50)))))))))))))</f>
        <v/>
      </c>
      <c r="BI675" s="744" t="str">
        <f t="shared" si="247"/>
        <v/>
      </c>
      <c r="BJ675" s="747" t="str">
        <f t="shared" si="254"/>
        <v/>
      </c>
      <c r="BK675" s="498" t="str">
        <f t="shared" si="248"/>
        <v/>
      </c>
      <c r="BL675" s="498" t="str">
        <f t="shared" si="249"/>
        <v/>
      </c>
    </row>
    <row r="676" spans="1:64" x14ac:dyDescent="0.25">
      <c r="A676" s="762">
        <f t="shared" si="250"/>
        <v>671</v>
      </c>
      <c r="B676" s="229"/>
      <c r="C676" s="223"/>
      <c r="D676" s="224"/>
      <c r="E676" s="225"/>
      <c r="F676" s="1036" t="str">
        <f t="shared" si="256"/>
        <v/>
      </c>
      <c r="G676" s="1037" t="str">
        <f t="shared" si="251"/>
        <v/>
      </c>
      <c r="H676" s="225"/>
      <c r="I676" s="1013"/>
      <c r="J676" s="1013"/>
      <c r="K676" s="1028"/>
      <c r="L676" s="1035" t="str">
        <f t="shared" si="255"/>
        <v/>
      </c>
      <c r="S676" s="498"/>
      <c r="AJ676" s="498"/>
      <c r="AM676" s="498">
        <f t="shared" si="236"/>
        <v>0</v>
      </c>
      <c r="AN676" s="498">
        <f t="shared" si="237"/>
        <v>0</v>
      </c>
      <c r="AO676" s="498">
        <f t="shared" si="238"/>
        <v>0</v>
      </c>
      <c r="AP676" s="498">
        <f t="shared" si="257"/>
        <v>0</v>
      </c>
      <c r="AQ676" s="498">
        <f t="shared" si="252"/>
        <v>0</v>
      </c>
      <c r="AU676" s="498">
        <f t="shared" si="239"/>
        <v>0</v>
      </c>
      <c r="AV676" s="498">
        <f t="shared" si="240"/>
        <v>0</v>
      </c>
      <c r="AW676" s="498">
        <f t="shared" si="241"/>
        <v>0</v>
      </c>
      <c r="AX676" s="498">
        <f t="shared" si="242"/>
        <v>0</v>
      </c>
      <c r="AY676" s="498">
        <f t="shared" si="243"/>
        <v>0</v>
      </c>
      <c r="BB676" s="498" t="str">
        <f t="shared" si="244"/>
        <v/>
      </c>
      <c r="BC676" s="743" t="str">
        <f t="shared" si="245"/>
        <v/>
      </c>
      <c r="BD676" s="743" t="str">
        <f t="shared" si="246"/>
        <v/>
      </c>
      <c r="BE676" s="743" t="str">
        <f>IF(D676="","",VLOOKUP(D676,'General Basis'!$J$39:$K$46,2,0))</f>
        <v/>
      </c>
      <c r="BF676" s="744" t="str">
        <f>IF(D676="","",VLOOKUP(D676,'General Basis'!$J$39:$L$46,3,0))</f>
        <v/>
      </c>
      <c r="BG676" s="744" t="str">
        <f t="shared" si="253"/>
        <v/>
      </c>
      <c r="BH676" s="744" t="str">
        <f>IF(G676="","",IF(BF676="Abu Dhabi",IF(G676&lt;18,'General Basis'!$C$39,IF(G676&lt;41,'General Basis'!$C$40,IF(G676&lt;60,'General Basis'!$C$41,IF(G676&lt;65,'General Basis'!$C$42,'General Basis'!$C$43)))),IF(G676&lt;11,'General Basis'!$B$39,IF(G676&lt;18,'General Basis'!$B$40,IF(G676&lt;26,'General Basis'!$B$41,IF(G676&lt;31,'General Basis'!$B$42,IF(G676&lt;36,'General Basis'!$B$43,IF(G676&lt;41,'General Basis'!$B$44,IF(G676&lt;46,'General Basis'!$B$45,IF(G676&lt;51,'General Basis'!$B$46,IF(G676&lt;56,'General Basis'!$B$47,IF(G676&lt;60,'General Basis'!$B$48,IF(G676&lt;65,'General Basis'!$B$49,'General Basis'!$B$50)))))))))))))</f>
        <v/>
      </c>
      <c r="BI676" s="744" t="str">
        <f t="shared" si="247"/>
        <v/>
      </c>
      <c r="BJ676" s="747" t="str">
        <f t="shared" si="254"/>
        <v/>
      </c>
      <c r="BK676" s="498" t="str">
        <f t="shared" si="248"/>
        <v/>
      </c>
      <c r="BL676" s="498" t="str">
        <f t="shared" si="249"/>
        <v/>
      </c>
    </row>
    <row r="677" spans="1:64" x14ac:dyDescent="0.25">
      <c r="A677" s="762">
        <f t="shared" si="250"/>
        <v>672</v>
      </c>
      <c r="B677" s="229"/>
      <c r="C677" s="223"/>
      <c r="D677" s="224"/>
      <c r="E677" s="225"/>
      <c r="F677" s="1036" t="str">
        <f t="shared" si="256"/>
        <v/>
      </c>
      <c r="G677" s="1037" t="str">
        <f t="shared" si="251"/>
        <v/>
      </c>
      <c r="H677" s="225"/>
      <c r="I677" s="1013"/>
      <c r="J677" s="1013"/>
      <c r="K677" s="1028"/>
      <c r="L677" s="1035" t="str">
        <f t="shared" si="255"/>
        <v/>
      </c>
      <c r="S677" s="498"/>
      <c r="AJ677" s="498"/>
      <c r="AM677" s="498">
        <f t="shared" si="236"/>
        <v>0</v>
      </c>
      <c r="AN677" s="498">
        <f t="shared" si="237"/>
        <v>0</v>
      </c>
      <c r="AO677" s="498">
        <f t="shared" si="238"/>
        <v>0</v>
      </c>
      <c r="AP677" s="498">
        <f t="shared" si="257"/>
        <v>0</v>
      </c>
      <c r="AQ677" s="498">
        <f t="shared" si="252"/>
        <v>0</v>
      </c>
      <c r="AU677" s="498">
        <f t="shared" si="239"/>
        <v>0</v>
      </c>
      <c r="AV677" s="498">
        <f t="shared" si="240"/>
        <v>0</v>
      </c>
      <c r="AW677" s="498">
        <f t="shared" si="241"/>
        <v>0</v>
      </c>
      <c r="AX677" s="498">
        <f t="shared" si="242"/>
        <v>0</v>
      </c>
      <c r="AY677" s="498">
        <f t="shared" si="243"/>
        <v>0</v>
      </c>
      <c r="BB677" s="498" t="str">
        <f t="shared" si="244"/>
        <v/>
      </c>
      <c r="BC677" s="743" t="str">
        <f t="shared" si="245"/>
        <v/>
      </c>
      <c r="BD677" s="743" t="str">
        <f t="shared" si="246"/>
        <v/>
      </c>
      <c r="BE677" s="743" t="str">
        <f>IF(D677="","",VLOOKUP(D677,'General Basis'!$J$39:$K$46,2,0))</f>
        <v/>
      </c>
      <c r="BF677" s="744" t="str">
        <f>IF(D677="","",VLOOKUP(D677,'General Basis'!$J$39:$L$46,3,0))</f>
        <v/>
      </c>
      <c r="BG677" s="744" t="str">
        <f t="shared" si="253"/>
        <v/>
      </c>
      <c r="BH677" s="744" t="str">
        <f>IF(G677="","",IF(BF677="Abu Dhabi",IF(G677&lt;18,'General Basis'!$C$39,IF(G677&lt;41,'General Basis'!$C$40,IF(G677&lt;60,'General Basis'!$C$41,IF(G677&lt;65,'General Basis'!$C$42,'General Basis'!$C$43)))),IF(G677&lt;11,'General Basis'!$B$39,IF(G677&lt;18,'General Basis'!$B$40,IF(G677&lt;26,'General Basis'!$B$41,IF(G677&lt;31,'General Basis'!$B$42,IF(G677&lt;36,'General Basis'!$B$43,IF(G677&lt;41,'General Basis'!$B$44,IF(G677&lt;46,'General Basis'!$B$45,IF(G677&lt;51,'General Basis'!$B$46,IF(G677&lt;56,'General Basis'!$B$47,IF(G677&lt;60,'General Basis'!$B$48,IF(G677&lt;65,'General Basis'!$B$49,'General Basis'!$B$50)))))))))))))</f>
        <v/>
      </c>
      <c r="BI677" s="744" t="str">
        <f t="shared" si="247"/>
        <v/>
      </c>
      <c r="BJ677" s="747" t="str">
        <f t="shared" si="254"/>
        <v/>
      </c>
      <c r="BK677" s="498" t="str">
        <f t="shared" si="248"/>
        <v/>
      </c>
      <c r="BL677" s="498" t="str">
        <f t="shared" si="249"/>
        <v/>
      </c>
    </row>
    <row r="678" spans="1:64" x14ac:dyDescent="0.25">
      <c r="A678" s="762">
        <f t="shared" si="250"/>
        <v>673</v>
      </c>
      <c r="B678" s="229"/>
      <c r="C678" s="223"/>
      <c r="D678" s="224"/>
      <c r="E678" s="225"/>
      <c r="F678" s="1036" t="str">
        <f t="shared" si="256"/>
        <v/>
      </c>
      <c r="G678" s="1037" t="str">
        <f t="shared" si="251"/>
        <v/>
      </c>
      <c r="H678" s="225"/>
      <c r="I678" s="1013"/>
      <c r="J678" s="1013"/>
      <c r="K678" s="1028"/>
      <c r="L678" s="1035" t="str">
        <f t="shared" si="255"/>
        <v/>
      </c>
      <c r="S678" s="498"/>
      <c r="AJ678" s="498"/>
      <c r="AM678" s="498">
        <f t="shared" si="236"/>
        <v>0</v>
      </c>
      <c r="AN678" s="498">
        <f t="shared" si="237"/>
        <v>0</v>
      </c>
      <c r="AO678" s="498">
        <f t="shared" si="238"/>
        <v>0</v>
      </c>
      <c r="AP678" s="498">
        <f t="shared" si="257"/>
        <v>0</v>
      </c>
      <c r="AQ678" s="498">
        <f t="shared" si="252"/>
        <v>0</v>
      </c>
      <c r="AU678" s="498">
        <f t="shared" si="239"/>
        <v>0</v>
      </c>
      <c r="AV678" s="498">
        <f t="shared" si="240"/>
        <v>0</v>
      </c>
      <c r="AW678" s="498">
        <f t="shared" si="241"/>
        <v>0</v>
      </c>
      <c r="AX678" s="498">
        <f t="shared" si="242"/>
        <v>0</v>
      </c>
      <c r="AY678" s="498">
        <f t="shared" si="243"/>
        <v>0</v>
      </c>
      <c r="BB678" s="498" t="str">
        <f t="shared" si="244"/>
        <v/>
      </c>
      <c r="BC678" s="743" t="str">
        <f t="shared" si="245"/>
        <v/>
      </c>
      <c r="BD678" s="743" t="str">
        <f t="shared" si="246"/>
        <v/>
      </c>
      <c r="BE678" s="743" t="str">
        <f>IF(D678="","",VLOOKUP(D678,'General Basis'!$J$39:$K$46,2,0))</f>
        <v/>
      </c>
      <c r="BF678" s="744" t="str">
        <f>IF(D678="","",VLOOKUP(D678,'General Basis'!$J$39:$L$46,3,0))</f>
        <v/>
      </c>
      <c r="BG678" s="744" t="str">
        <f t="shared" si="253"/>
        <v/>
      </c>
      <c r="BH678" s="744" t="str">
        <f>IF(G678="","",IF(BF678="Abu Dhabi",IF(G678&lt;18,'General Basis'!$C$39,IF(G678&lt;41,'General Basis'!$C$40,IF(G678&lt;60,'General Basis'!$C$41,IF(G678&lt;65,'General Basis'!$C$42,'General Basis'!$C$43)))),IF(G678&lt;11,'General Basis'!$B$39,IF(G678&lt;18,'General Basis'!$B$40,IF(G678&lt;26,'General Basis'!$B$41,IF(G678&lt;31,'General Basis'!$B$42,IF(G678&lt;36,'General Basis'!$B$43,IF(G678&lt;41,'General Basis'!$B$44,IF(G678&lt;46,'General Basis'!$B$45,IF(G678&lt;51,'General Basis'!$B$46,IF(G678&lt;56,'General Basis'!$B$47,IF(G678&lt;60,'General Basis'!$B$48,IF(G678&lt;65,'General Basis'!$B$49,'General Basis'!$B$50)))))))))))))</f>
        <v/>
      </c>
      <c r="BI678" s="744" t="str">
        <f t="shared" si="247"/>
        <v/>
      </c>
      <c r="BJ678" s="747" t="str">
        <f t="shared" si="254"/>
        <v/>
      </c>
      <c r="BK678" s="498" t="str">
        <f t="shared" si="248"/>
        <v/>
      </c>
      <c r="BL678" s="498" t="str">
        <f t="shared" si="249"/>
        <v/>
      </c>
    </row>
    <row r="679" spans="1:64" x14ac:dyDescent="0.25">
      <c r="A679" s="762">
        <f t="shared" si="250"/>
        <v>674</v>
      </c>
      <c r="B679" s="229"/>
      <c r="C679" s="223"/>
      <c r="D679" s="224"/>
      <c r="E679" s="225"/>
      <c r="F679" s="1036" t="str">
        <f t="shared" si="256"/>
        <v/>
      </c>
      <c r="G679" s="1037" t="str">
        <f t="shared" si="251"/>
        <v/>
      </c>
      <c r="H679" s="225"/>
      <c r="I679" s="1013"/>
      <c r="J679" s="1013"/>
      <c r="K679" s="1028"/>
      <c r="L679" s="1035" t="str">
        <f t="shared" si="255"/>
        <v/>
      </c>
      <c r="S679" s="498"/>
      <c r="AJ679" s="498"/>
      <c r="AM679" s="498">
        <f t="shared" si="236"/>
        <v>0</v>
      </c>
      <c r="AN679" s="498">
        <f t="shared" si="237"/>
        <v>0</v>
      </c>
      <c r="AO679" s="498">
        <f t="shared" si="238"/>
        <v>0</v>
      </c>
      <c r="AP679" s="498">
        <f t="shared" si="257"/>
        <v>0</v>
      </c>
      <c r="AQ679" s="498">
        <f t="shared" si="252"/>
        <v>0</v>
      </c>
      <c r="AU679" s="498">
        <f t="shared" si="239"/>
        <v>0</v>
      </c>
      <c r="AV679" s="498">
        <f t="shared" si="240"/>
        <v>0</v>
      </c>
      <c r="AW679" s="498">
        <f t="shared" si="241"/>
        <v>0</v>
      </c>
      <c r="AX679" s="498">
        <f t="shared" si="242"/>
        <v>0</v>
      </c>
      <c r="AY679" s="498">
        <f t="shared" si="243"/>
        <v>0</v>
      </c>
      <c r="BB679" s="498" t="str">
        <f t="shared" si="244"/>
        <v/>
      </c>
      <c r="BC679" s="743" t="str">
        <f t="shared" si="245"/>
        <v/>
      </c>
      <c r="BD679" s="743" t="str">
        <f t="shared" si="246"/>
        <v/>
      </c>
      <c r="BE679" s="743" t="str">
        <f>IF(D679="","",VLOOKUP(D679,'General Basis'!$J$39:$K$46,2,0))</f>
        <v/>
      </c>
      <c r="BF679" s="744" t="str">
        <f>IF(D679="","",VLOOKUP(D679,'General Basis'!$J$39:$L$46,3,0))</f>
        <v/>
      </c>
      <c r="BG679" s="744" t="str">
        <f t="shared" si="253"/>
        <v/>
      </c>
      <c r="BH679" s="744" t="str">
        <f>IF(G679="","",IF(BF679="Abu Dhabi",IF(G679&lt;18,'General Basis'!$C$39,IF(G679&lt;41,'General Basis'!$C$40,IF(G679&lt;60,'General Basis'!$C$41,IF(G679&lt;65,'General Basis'!$C$42,'General Basis'!$C$43)))),IF(G679&lt;11,'General Basis'!$B$39,IF(G679&lt;18,'General Basis'!$B$40,IF(G679&lt;26,'General Basis'!$B$41,IF(G679&lt;31,'General Basis'!$B$42,IF(G679&lt;36,'General Basis'!$B$43,IF(G679&lt;41,'General Basis'!$B$44,IF(G679&lt;46,'General Basis'!$B$45,IF(G679&lt;51,'General Basis'!$B$46,IF(G679&lt;56,'General Basis'!$B$47,IF(G679&lt;60,'General Basis'!$B$48,IF(G679&lt;65,'General Basis'!$B$49,'General Basis'!$B$50)))))))))))))</f>
        <v/>
      </c>
      <c r="BI679" s="744" t="str">
        <f t="shared" si="247"/>
        <v/>
      </c>
      <c r="BJ679" s="747" t="str">
        <f t="shared" si="254"/>
        <v/>
      </c>
      <c r="BK679" s="498" t="str">
        <f t="shared" si="248"/>
        <v/>
      </c>
      <c r="BL679" s="498" t="str">
        <f t="shared" si="249"/>
        <v/>
      </c>
    </row>
    <row r="680" spans="1:64" x14ac:dyDescent="0.25">
      <c r="A680" s="762">
        <f t="shared" si="250"/>
        <v>675</v>
      </c>
      <c r="B680" s="229"/>
      <c r="C680" s="223"/>
      <c r="D680" s="224"/>
      <c r="E680" s="225"/>
      <c r="F680" s="1036" t="str">
        <f t="shared" si="256"/>
        <v/>
      </c>
      <c r="G680" s="1037" t="str">
        <f t="shared" si="251"/>
        <v/>
      </c>
      <c r="H680" s="225"/>
      <c r="I680" s="1013"/>
      <c r="J680" s="1013"/>
      <c r="K680" s="1028"/>
      <c r="L680" s="1035" t="str">
        <f t="shared" si="255"/>
        <v/>
      </c>
      <c r="S680" s="498"/>
      <c r="AJ680" s="498"/>
      <c r="AM680" s="498">
        <f t="shared" si="236"/>
        <v>0</v>
      </c>
      <c r="AN680" s="498">
        <f t="shared" si="237"/>
        <v>0</v>
      </c>
      <c r="AO680" s="498">
        <f t="shared" si="238"/>
        <v>0</v>
      </c>
      <c r="AP680" s="498">
        <f t="shared" si="257"/>
        <v>0</v>
      </c>
      <c r="AQ680" s="498">
        <f t="shared" si="252"/>
        <v>0</v>
      </c>
      <c r="AU680" s="498">
        <f t="shared" si="239"/>
        <v>0</v>
      </c>
      <c r="AV680" s="498">
        <f t="shared" si="240"/>
        <v>0</v>
      </c>
      <c r="AW680" s="498">
        <f t="shared" si="241"/>
        <v>0</v>
      </c>
      <c r="AX680" s="498">
        <f t="shared" si="242"/>
        <v>0</v>
      </c>
      <c r="AY680" s="498">
        <f t="shared" si="243"/>
        <v>0</v>
      </c>
      <c r="BB680" s="498" t="str">
        <f t="shared" si="244"/>
        <v/>
      </c>
      <c r="BC680" s="743" t="str">
        <f t="shared" si="245"/>
        <v/>
      </c>
      <c r="BD680" s="743" t="str">
        <f t="shared" si="246"/>
        <v/>
      </c>
      <c r="BE680" s="743" t="str">
        <f>IF(D680="","",VLOOKUP(D680,'General Basis'!$J$39:$K$46,2,0))</f>
        <v/>
      </c>
      <c r="BF680" s="744" t="str">
        <f>IF(D680="","",VLOOKUP(D680,'General Basis'!$J$39:$L$46,3,0))</f>
        <v/>
      </c>
      <c r="BG680" s="744" t="str">
        <f t="shared" si="253"/>
        <v/>
      </c>
      <c r="BH680" s="744" t="str">
        <f>IF(G680="","",IF(BF680="Abu Dhabi",IF(G680&lt;18,'General Basis'!$C$39,IF(G680&lt;41,'General Basis'!$C$40,IF(G680&lt;60,'General Basis'!$C$41,IF(G680&lt;65,'General Basis'!$C$42,'General Basis'!$C$43)))),IF(G680&lt;11,'General Basis'!$B$39,IF(G680&lt;18,'General Basis'!$B$40,IF(G680&lt;26,'General Basis'!$B$41,IF(G680&lt;31,'General Basis'!$B$42,IF(G680&lt;36,'General Basis'!$B$43,IF(G680&lt;41,'General Basis'!$B$44,IF(G680&lt;46,'General Basis'!$B$45,IF(G680&lt;51,'General Basis'!$B$46,IF(G680&lt;56,'General Basis'!$B$47,IF(G680&lt;60,'General Basis'!$B$48,IF(G680&lt;65,'General Basis'!$B$49,'General Basis'!$B$50)))))))))))))</f>
        <v/>
      </c>
      <c r="BI680" s="744" t="str">
        <f t="shared" si="247"/>
        <v/>
      </c>
      <c r="BJ680" s="747" t="str">
        <f t="shared" si="254"/>
        <v/>
      </c>
      <c r="BK680" s="498" t="str">
        <f t="shared" si="248"/>
        <v/>
      </c>
      <c r="BL680" s="498" t="str">
        <f t="shared" si="249"/>
        <v/>
      </c>
    </row>
    <row r="681" spans="1:64" x14ac:dyDescent="0.25">
      <c r="A681" s="762">
        <f t="shared" si="250"/>
        <v>676</v>
      </c>
      <c r="B681" s="229"/>
      <c r="C681" s="223"/>
      <c r="D681" s="224"/>
      <c r="E681" s="225"/>
      <c r="F681" s="1036" t="str">
        <f t="shared" si="256"/>
        <v/>
      </c>
      <c r="G681" s="1037" t="str">
        <f t="shared" si="251"/>
        <v/>
      </c>
      <c r="H681" s="225"/>
      <c r="I681" s="1013"/>
      <c r="J681" s="1013"/>
      <c r="K681" s="1028"/>
      <c r="L681" s="1035" t="str">
        <f t="shared" si="255"/>
        <v/>
      </c>
      <c r="S681" s="498"/>
      <c r="AJ681" s="498"/>
      <c r="AM681" s="498">
        <f t="shared" si="236"/>
        <v>0</v>
      </c>
      <c r="AN681" s="498">
        <f t="shared" si="237"/>
        <v>0</v>
      </c>
      <c r="AO681" s="498">
        <f t="shared" si="238"/>
        <v>0</v>
      </c>
      <c r="AP681" s="498">
        <f t="shared" si="257"/>
        <v>0</v>
      </c>
      <c r="AQ681" s="498">
        <f t="shared" si="252"/>
        <v>0</v>
      </c>
      <c r="AU681" s="498">
        <f t="shared" si="239"/>
        <v>0</v>
      </c>
      <c r="AV681" s="498">
        <f t="shared" si="240"/>
        <v>0</v>
      </c>
      <c r="AW681" s="498">
        <f t="shared" si="241"/>
        <v>0</v>
      </c>
      <c r="AX681" s="498">
        <f t="shared" si="242"/>
        <v>0</v>
      </c>
      <c r="AY681" s="498">
        <f t="shared" si="243"/>
        <v>0</v>
      </c>
      <c r="BB681" s="498" t="str">
        <f t="shared" si="244"/>
        <v/>
      </c>
      <c r="BC681" s="743" t="str">
        <f t="shared" si="245"/>
        <v/>
      </c>
      <c r="BD681" s="743" t="str">
        <f t="shared" si="246"/>
        <v/>
      </c>
      <c r="BE681" s="743" t="str">
        <f>IF(D681="","",VLOOKUP(D681,'General Basis'!$J$39:$K$46,2,0))</f>
        <v/>
      </c>
      <c r="BF681" s="744" t="str">
        <f>IF(D681="","",VLOOKUP(D681,'General Basis'!$J$39:$L$46,3,0))</f>
        <v/>
      </c>
      <c r="BG681" s="744" t="str">
        <f t="shared" si="253"/>
        <v/>
      </c>
      <c r="BH681" s="744" t="str">
        <f>IF(G681="","",IF(BF681="Abu Dhabi",IF(G681&lt;18,'General Basis'!$C$39,IF(G681&lt;41,'General Basis'!$C$40,IF(G681&lt;60,'General Basis'!$C$41,IF(G681&lt;65,'General Basis'!$C$42,'General Basis'!$C$43)))),IF(G681&lt;11,'General Basis'!$B$39,IF(G681&lt;18,'General Basis'!$B$40,IF(G681&lt;26,'General Basis'!$B$41,IF(G681&lt;31,'General Basis'!$B$42,IF(G681&lt;36,'General Basis'!$B$43,IF(G681&lt;41,'General Basis'!$B$44,IF(G681&lt;46,'General Basis'!$B$45,IF(G681&lt;51,'General Basis'!$B$46,IF(G681&lt;56,'General Basis'!$B$47,IF(G681&lt;60,'General Basis'!$B$48,IF(G681&lt;65,'General Basis'!$B$49,'General Basis'!$B$50)))))))))))))</f>
        <v/>
      </c>
      <c r="BI681" s="744" t="str">
        <f t="shared" si="247"/>
        <v/>
      </c>
      <c r="BJ681" s="747" t="str">
        <f t="shared" si="254"/>
        <v/>
      </c>
      <c r="BK681" s="498" t="str">
        <f t="shared" si="248"/>
        <v/>
      </c>
      <c r="BL681" s="498" t="str">
        <f t="shared" si="249"/>
        <v/>
      </c>
    </row>
    <row r="682" spans="1:64" x14ac:dyDescent="0.25">
      <c r="A682" s="762">
        <f t="shared" si="250"/>
        <v>677</v>
      </c>
      <c r="B682" s="229"/>
      <c r="C682" s="223"/>
      <c r="D682" s="224"/>
      <c r="E682" s="225"/>
      <c r="F682" s="1036" t="str">
        <f t="shared" si="256"/>
        <v/>
      </c>
      <c r="G682" s="1037" t="str">
        <f t="shared" si="251"/>
        <v/>
      </c>
      <c r="H682" s="225"/>
      <c r="I682" s="1013"/>
      <c r="J682" s="1013"/>
      <c r="K682" s="1028"/>
      <c r="L682" s="1035" t="str">
        <f t="shared" si="255"/>
        <v/>
      </c>
      <c r="S682" s="498"/>
      <c r="AJ682" s="498"/>
      <c r="AM682" s="498">
        <f t="shared" si="236"/>
        <v>0</v>
      </c>
      <c r="AN682" s="498">
        <f t="shared" si="237"/>
        <v>0</v>
      </c>
      <c r="AO682" s="498">
        <f t="shared" si="238"/>
        <v>0</v>
      </c>
      <c r="AP682" s="498">
        <f t="shared" si="257"/>
        <v>0</v>
      </c>
      <c r="AQ682" s="498">
        <f t="shared" si="252"/>
        <v>0</v>
      </c>
      <c r="AU682" s="498">
        <f t="shared" si="239"/>
        <v>0</v>
      </c>
      <c r="AV682" s="498">
        <f t="shared" si="240"/>
        <v>0</v>
      </c>
      <c r="AW682" s="498">
        <f t="shared" si="241"/>
        <v>0</v>
      </c>
      <c r="AX682" s="498">
        <f t="shared" si="242"/>
        <v>0</v>
      </c>
      <c r="AY682" s="498">
        <f t="shared" si="243"/>
        <v>0</v>
      </c>
      <c r="BB682" s="498" t="str">
        <f t="shared" si="244"/>
        <v/>
      </c>
      <c r="BC682" s="743" t="str">
        <f t="shared" si="245"/>
        <v/>
      </c>
      <c r="BD682" s="743" t="str">
        <f t="shared" si="246"/>
        <v/>
      </c>
      <c r="BE682" s="743" t="str">
        <f>IF(D682="","",VLOOKUP(D682,'General Basis'!$J$39:$K$46,2,0))</f>
        <v/>
      </c>
      <c r="BF682" s="744" t="str">
        <f>IF(D682="","",VLOOKUP(D682,'General Basis'!$J$39:$L$46,3,0))</f>
        <v/>
      </c>
      <c r="BG682" s="744" t="str">
        <f t="shared" si="253"/>
        <v/>
      </c>
      <c r="BH682" s="744" t="str">
        <f>IF(G682="","",IF(BF682="Abu Dhabi",IF(G682&lt;18,'General Basis'!$C$39,IF(G682&lt;41,'General Basis'!$C$40,IF(G682&lt;60,'General Basis'!$C$41,IF(G682&lt;65,'General Basis'!$C$42,'General Basis'!$C$43)))),IF(G682&lt;11,'General Basis'!$B$39,IF(G682&lt;18,'General Basis'!$B$40,IF(G682&lt;26,'General Basis'!$B$41,IF(G682&lt;31,'General Basis'!$B$42,IF(G682&lt;36,'General Basis'!$B$43,IF(G682&lt;41,'General Basis'!$B$44,IF(G682&lt;46,'General Basis'!$B$45,IF(G682&lt;51,'General Basis'!$B$46,IF(G682&lt;56,'General Basis'!$B$47,IF(G682&lt;60,'General Basis'!$B$48,IF(G682&lt;65,'General Basis'!$B$49,'General Basis'!$B$50)))))))))))))</f>
        <v/>
      </c>
      <c r="BI682" s="744" t="str">
        <f t="shared" si="247"/>
        <v/>
      </c>
      <c r="BJ682" s="747" t="str">
        <f t="shared" si="254"/>
        <v/>
      </c>
      <c r="BK682" s="498" t="str">
        <f t="shared" si="248"/>
        <v/>
      </c>
      <c r="BL682" s="498" t="str">
        <f t="shared" si="249"/>
        <v/>
      </c>
    </row>
    <row r="683" spans="1:64" x14ac:dyDescent="0.25">
      <c r="A683" s="762">
        <f t="shared" si="250"/>
        <v>678</v>
      </c>
      <c r="B683" s="229"/>
      <c r="C683" s="223"/>
      <c r="D683" s="224"/>
      <c r="E683" s="225"/>
      <c r="F683" s="1036" t="str">
        <f t="shared" si="256"/>
        <v/>
      </c>
      <c r="G683" s="1037" t="str">
        <f t="shared" si="251"/>
        <v/>
      </c>
      <c r="H683" s="225"/>
      <c r="I683" s="1013"/>
      <c r="J683" s="1013"/>
      <c r="K683" s="1028"/>
      <c r="L683" s="1035" t="str">
        <f t="shared" si="255"/>
        <v/>
      </c>
      <c r="S683" s="498"/>
      <c r="AJ683" s="498"/>
      <c r="AM683" s="498">
        <f t="shared" si="236"/>
        <v>0</v>
      </c>
      <c r="AN683" s="498">
        <f t="shared" si="237"/>
        <v>0</v>
      </c>
      <c r="AO683" s="498">
        <f t="shared" si="238"/>
        <v>0</v>
      </c>
      <c r="AP683" s="498">
        <f t="shared" si="257"/>
        <v>0</v>
      </c>
      <c r="AQ683" s="498">
        <f t="shared" si="252"/>
        <v>0</v>
      </c>
      <c r="AU683" s="498">
        <f t="shared" si="239"/>
        <v>0</v>
      </c>
      <c r="AV683" s="498">
        <f t="shared" si="240"/>
        <v>0</v>
      </c>
      <c r="AW683" s="498">
        <f t="shared" si="241"/>
        <v>0</v>
      </c>
      <c r="AX683" s="498">
        <f t="shared" si="242"/>
        <v>0</v>
      </c>
      <c r="AY683" s="498">
        <f t="shared" si="243"/>
        <v>0</v>
      </c>
      <c r="BB683" s="498" t="str">
        <f t="shared" si="244"/>
        <v/>
      </c>
      <c r="BC683" s="743" t="str">
        <f t="shared" si="245"/>
        <v/>
      </c>
      <c r="BD683" s="743" t="str">
        <f t="shared" si="246"/>
        <v/>
      </c>
      <c r="BE683" s="743" t="str">
        <f>IF(D683="","",VLOOKUP(D683,'General Basis'!$J$39:$K$46,2,0))</f>
        <v/>
      </c>
      <c r="BF683" s="744" t="str">
        <f>IF(D683="","",VLOOKUP(D683,'General Basis'!$J$39:$L$46,3,0))</f>
        <v/>
      </c>
      <c r="BG683" s="744" t="str">
        <f t="shared" si="253"/>
        <v/>
      </c>
      <c r="BH683" s="744" t="str">
        <f>IF(G683="","",IF(BF683="Abu Dhabi",IF(G683&lt;18,'General Basis'!$C$39,IF(G683&lt;41,'General Basis'!$C$40,IF(G683&lt;60,'General Basis'!$C$41,IF(G683&lt;65,'General Basis'!$C$42,'General Basis'!$C$43)))),IF(G683&lt;11,'General Basis'!$B$39,IF(G683&lt;18,'General Basis'!$B$40,IF(G683&lt;26,'General Basis'!$B$41,IF(G683&lt;31,'General Basis'!$B$42,IF(G683&lt;36,'General Basis'!$B$43,IF(G683&lt;41,'General Basis'!$B$44,IF(G683&lt;46,'General Basis'!$B$45,IF(G683&lt;51,'General Basis'!$B$46,IF(G683&lt;56,'General Basis'!$B$47,IF(G683&lt;60,'General Basis'!$B$48,IF(G683&lt;65,'General Basis'!$B$49,'General Basis'!$B$50)))))))))))))</f>
        <v/>
      </c>
      <c r="BI683" s="744" t="str">
        <f t="shared" si="247"/>
        <v/>
      </c>
      <c r="BJ683" s="747" t="str">
        <f t="shared" si="254"/>
        <v/>
      </c>
      <c r="BK683" s="498" t="str">
        <f t="shared" si="248"/>
        <v/>
      </c>
      <c r="BL683" s="498" t="str">
        <f t="shared" si="249"/>
        <v/>
      </c>
    </row>
    <row r="684" spans="1:64" x14ac:dyDescent="0.25">
      <c r="A684" s="762">
        <f t="shared" si="250"/>
        <v>679</v>
      </c>
      <c r="B684" s="229"/>
      <c r="C684" s="223"/>
      <c r="D684" s="224"/>
      <c r="E684" s="225"/>
      <c r="F684" s="1036" t="str">
        <f t="shared" si="256"/>
        <v/>
      </c>
      <c r="G684" s="1037" t="str">
        <f t="shared" si="251"/>
        <v/>
      </c>
      <c r="H684" s="225"/>
      <c r="I684" s="1013"/>
      <c r="J684" s="1013"/>
      <c r="K684" s="1028"/>
      <c r="L684" s="1035" t="str">
        <f t="shared" si="255"/>
        <v/>
      </c>
      <c r="S684" s="498"/>
      <c r="AJ684" s="498"/>
      <c r="AM684" s="498">
        <f t="shared" si="236"/>
        <v>0</v>
      </c>
      <c r="AN684" s="498">
        <f t="shared" si="237"/>
        <v>0</v>
      </c>
      <c r="AO684" s="498">
        <f t="shared" si="238"/>
        <v>0</v>
      </c>
      <c r="AP684" s="498">
        <f t="shared" si="257"/>
        <v>0</v>
      </c>
      <c r="AQ684" s="498">
        <f t="shared" si="252"/>
        <v>0</v>
      </c>
      <c r="AU684" s="498">
        <f t="shared" si="239"/>
        <v>0</v>
      </c>
      <c r="AV684" s="498">
        <f t="shared" si="240"/>
        <v>0</v>
      </c>
      <c r="AW684" s="498">
        <f t="shared" si="241"/>
        <v>0</v>
      </c>
      <c r="AX684" s="498">
        <f t="shared" si="242"/>
        <v>0</v>
      </c>
      <c r="AY684" s="498">
        <f t="shared" si="243"/>
        <v>0</v>
      </c>
      <c r="BB684" s="498" t="str">
        <f t="shared" si="244"/>
        <v/>
      </c>
      <c r="BC684" s="743" t="str">
        <f t="shared" si="245"/>
        <v/>
      </c>
      <c r="BD684" s="743" t="str">
        <f t="shared" si="246"/>
        <v/>
      </c>
      <c r="BE684" s="743" t="str">
        <f>IF(D684="","",VLOOKUP(D684,'General Basis'!$J$39:$K$46,2,0))</f>
        <v/>
      </c>
      <c r="BF684" s="744" t="str">
        <f>IF(D684="","",VLOOKUP(D684,'General Basis'!$J$39:$L$46,3,0))</f>
        <v/>
      </c>
      <c r="BG684" s="744" t="str">
        <f t="shared" si="253"/>
        <v/>
      </c>
      <c r="BH684" s="744" t="str">
        <f>IF(G684="","",IF(BF684="Abu Dhabi",IF(G684&lt;18,'General Basis'!$C$39,IF(G684&lt;41,'General Basis'!$C$40,IF(G684&lt;60,'General Basis'!$C$41,IF(G684&lt;65,'General Basis'!$C$42,'General Basis'!$C$43)))),IF(G684&lt;11,'General Basis'!$B$39,IF(G684&lt;18,'General Basis'!$B$40,IF(G684&lt;26,'General Basis'!$B$41,IF(G684&lt;31,'General Basis'!$B$42,IF(G684&lt;36,'General Basis'!$B$43,IF(G684&lt;41,'General Basis'!$B$44,IF(G684&lt;46,'General Basis'!$B$45,IF(G684&lt;51,'General Basis'!$B$46,IF(G684&lt;56,'General Basis'!$B$47,IF(G684&lt;60,'General Basis'!$B$48,IF(G684&lt;65,'General Basis'!$B$49,'General Basis'!$B$50)))))))))))))</f>
        <v/>
      </c>
      <c r="BI684" s="744" t="str">
        <f t="shared" si="247"/>
        <v/>
      </c>
      <c r="BJ684" s="747" t="str">
        <f t="shared" si="254"/>
        <v/>
      </c>
      <c r="BK684" s="498" t="str">
        <f t="shared" si="248"/>
        <v/>
      </c>
      <c r="BL684" s="498" t="str">
        <f t="shared" si="249"/>
        <v/>
      </c>
    </row>
    <row r="685" spans="1:64" x14ac:dyDescent="0.25">
      <c r="A685" s="762">
        <f t="shared" si="250"/>
        <v>680</v>
      </c>
      <c r="B685" s="229"/>
      <c r="C685" s="223"/>
      <c r="D685" s="224"/>
      <c r="E685" s="225"/>
      <c r="F685" s="1036" t="str">
        <f t="shared" si="256"/>
        <v/>
      </c>
      <c r="G685" s="1037" t="str">
        <f t="shared" si="251"/>
        <v/>
      </c>
      <c r="H685" s="225"/>
      <c r="I685" s="1013"/>
      <c r="J685" s="1013"/>
      <c r="K685" s="1028"/>
      <c r="L685" s="1035" t="str">
        <f t="shared" si="255"/>
        <v/>
      </c>
      <c r="S685" s="498"/>
      <c r="AJ685" s="498"/>
      <c r="AM685" s="498">
        <f t="shared" si="236"/>
        <v>0</v>
      </c>
      <c r="AN685" s="498">
        <f t="shared" si="237"/>
        <v>0</v>
      </c>
      <c r="AO685" s="498">
        <f t="shared" si="238"/>
        <v>0</v>
      </c>
      <c r="AP685" s="498">
        <f t="shared" si="257"/>
        <v>0</v>
      </c>
      <c r="AQ685" s="498">
        <f t="shared" si="252"/>
        <v>0</v>
      </c>
      <c r="AU685" s="498">
        <f t="shared" si="239"/>
        <v>0</v>
      </c>
      <c r="AV685" s="498">
        <f t="shared" si="240"/>
        <v>0</v>
      </c>
      <c r="AW685" s="498">
        <f t="shared" si="241"/>
        <v>0</v>
      </c>
      <c r="AX685" s="498">
        <f t="shared" si="242"/>
        <v>0</v>
      </c>
      <c r="AY685" s="498">
        <f t="shared" si="243"/>
        <v>0</v>
      </c>
      <c r="BB685" s="498" t="str">
        <f t="shared" si="244"/>
        <v/>
      </c>
      <c r="BC685" s="743" t="str">
        <f t="shared" si="245"/>
        <v/>
      </c>
      <c r="BD685" s="743" t="str">
        <f t="shared" si="246"/>
        <v/>
      </c>
      <c r="BE685" s="743" t="str">
        <f>IF(D685="","",VLOOKUP(D685,'General Basis'!$J$39:$K$46,2,0))</f>
        <v/>
      </c>
      <c r="BF685" s="744" t="str">
        <f>IF(D685="","",VLOOKUP(D685,'General Basis'!$J$39:$L$46,3,0))</f>
        <v/>
      </c>
      <c r="BG685" s="744" t="str">
        <f t="shared" si="253"/>
        <v/>
      </c>
      <c r="BH685" s="744" t="str">
        <f>IF(G685="","",IF(BF685="Abu Dhabi",IF(G685&lt;18,'General Basis'!$C$39,IF(G685&lt;41,'General Basis'!$C$40,IF(G685&lt;60,'General Basis'!$C$41,IF(G685&lt;65,'General Basis'!$C$42,'General Basis'!$C$43)))),IF(G685&lt;11,'General Basis'!$B$39,IF(G685&lt;18,'General Basis'!$B$40,IF(G685&lt;26,'General Basis'!$B$41,IF(G685&lt;31,'General Basis'!$B$42,IF(G685&lt;36,'General Basis'!$B$43,IF(G685&lt;41,'General Basis'!$B$44,IF(G685&lt;46,'General Basis'!$B$45,IF(G685&lt;51,'General Basis'!$B$46,IF(G685&lt;56,'General Basis'!$B$47,IF(G685&lt;60,'General Basis'!$B$48,IF(G685&lt;65,'General Basis'!$B$49,'General Basis'!$B$50)))))))))))))</f>
        <v/>
      </c>
      <c r="BI685" s="744" t="str">
        <f t="shared" si="247"/>
        <v/>
      </c>
      <c r="BJ685" s="747" t="str">
        <f t="shared" si="254"/>
        <v/>
      </c>
      <c r="BK685" s="498" t="str">
        <f t="shared" si="248"/>
        <v/>
      </c>
      <c r="BL685" s="498" t="str">
        <f t="shared" si="249"/>
        <v/>
      </c>
    </row>
    <row r="686" spans="1:64" x14ac:dyDescent="0.25">
      <c r="A686" s="762">
        <f t="shared" si="250"/>
        <v>681</v>
      </c>
      <c r="B686" s="229"/>
      <c r="C686" s="223"/>
      <c r="D686" s="224"/>
      <c r="E686" s="225"/>
      <c r="F686" s="1036" t="str">
        <f t="shared" si="256"/>
        <v/>
      </c>
      <c r="G686" s="1037" t="str">
        <f t="shared" si="251"/>
        <v/>
      </c>
      <c r="H686" s="225"/>
      <c r="I686" s="1013"/>
      <c r="J686" s="1013"/>
      <c r="K686" s="1028"/>
      <c r="L686" s="1035" t="str">
        <f t="shared" si="255"/>
        <v/>
      </c>
      <c r="S686" s="498"/>
      <c r="AJ686" s="498"/>
      <c r="AM686" s="498">
        <f t="shared" si="236"/>
        <v>0</v>
      </c>
      <c r="AN686" s="498">
        <f t="shared" si="237"/>
        <v>0</v>
      </c>
      <c r="AO686" s="498">
        <f t="shared" si="238"/>
        <v>0</v>
      </c>
      <c r="AP686" s="498">
        <f t="shared" si="257"/>
        <v>0</v>
      </c>
      <c r="AQ686" s="498">
        <f t="shared" si="252"/>
        <v>0</v>
      </c>
      <c r="AU686" s="498">
        <f t="shared" si="239"/>
        <v>0</v>
      </c>
      <c r="AV686" s="498">
        <f t="shared" si="240"/>
        <v>0</v>
      </c>
      <c r="AW686" s="498">
        <f t="shared" si="241"/>
        <v>0</v>
      </c>
      <c r="AX686" s="498">
        <f t="shared" si="242"/>
        <v>0</v>
      </c>
      <c r="AY686" s="498">
        <f t="shared" si="243"/>
        <v>0</v>
      </c>
      <c r="BB686" s="498" t="str">
        <f t="shared" si="244"/>
        <v/>
      </c>
      <c r="BC686" s="743" t="str">
        <f t="shared" si="245"/>
        <v/>
      </c>
      <c r="BD686" s="743" t="str">
        <f t="shared" si="246"/>
        <v/>
      </c>
      <c r="BE686" s="743" t="str">
        <f>IF(D686="","",VLOOKUP(D686,'General Basis'!$J$39:$K$46,2,0))</f>
        <v/>
      </c>
      <c r="BF686" s="744" t="str">
        <f>IF(D686="","",VLOOKUP(D686,'General Basis'!$J$39:$L$46,3,0))</f>
        <v/>
      </c>
      <c r="BG686" s="744" t="str">
        <f t="shared" si="253"/>
        <v/>
      </c>
      <c r="BH686" s="744" t="str">
        <f>IF(G686="","",IF(BF686="Abu Dhabi",IF(G686&lt;18,'General Basis'!$C$39,IF(G686&lt;41,'General Basis'!$C$40,IF(G686&lt;60,'General Basis'!$C$41,IF(G686&lt;65,'General Basis'!$C$42,'General Basis'!$C$43)))),IF(G686&lt;11,'General Basis'!$B$39,IF(G686&lt;18,'General Basis'!$B$40,IF(G686&lt;26,'General Basis'!$B$41,IF(G686&lt;31,'General Basis'!$B$42,IF(G686&lt;36,'General Basis'!$B$43,IF(G686&lt;41,'General Basis'!$B$44,IF(G686&lt;46,'General Basis'!$B$45,IF(G686&lt;51,'General Basis'!$B$46,IF(G686&lt;56,'General Basis'!$B$47,IF(G686&lt;60,'General Basis'!$B$48,IF(G686&lt;65,'General Basis'!$B$49,'General Basis'!$B$50)))))))))))))</f>
        <v/>
      </c>
      <c r="BI686" s="744" t="str">
        <f t="shared" si="247"/>
        <v/>
      </c>
      <c r="BJ686" s="747" t="str">
        <f t="shared" si="254"/>
        <v/>
      </c>
      <c r="BK686" s="498" t="str">
        <f t="shared" si="248"/>
        <v/>
      </c>
      <c r="BL686" s="498" t="str">
        <f t="shared" si="249"/>
        <v/>
      </c>
    </row>
    <row r="687" spans="1:64" x14ac:dyDescent="0.25">
      <c r="A687" s="762">
        <f t="shared" si="250"/>
        <v>682</v>
      </c>
      <c r="B687" s="229"/>
      <c r="C687" s="223"/>
      <c r="D687" s="224"/>
      <c r="E687" s="225"/>
      <c r="F687" s="1036" t="str">
        <f t="shared" si="256"/>
        <v/>
      </c>
      <c r="G687" s="1037" t="str">
        <f t="shared" si="251"/>
        <v/>
      </c>
      <c r="H687" s="225"/>
      <c r="I687" s="1013"/>
      <c r="J687" s="1013"/>
      <c r="K687" s="1028"/>
      <c r="L687" s="1035" t="str">
        <f t="shared" si="255"/>
        <v/>
      </c>
      <c r="S687" s="498"/>
      <c r="AJ687" s="498"/>
      <c r="AM687" s="498">
        <f t="shared" si="236"/>
        <v>0</v>
      </c>
      <c r="AN687" s="498">
        <f t="shared" si="237"/>
        <v>0</v>
      </c>
      <c r="AO687" s="498">
        <f t="shared" si="238"/>
        <v>0</v>
      </c>
      <c r="AP687" s="498">
        <f t="shared" si="257"/>
        <v>0</v>
      </c>
      <c r="AQ687" s="498">
        <f t="shared" si="252"/>
        <v>0</v>
      </c>
      <c r="AU687" s="498">
        <f t="shared" si="239"/>
        <v>0</v>
      </c>
      <c r="AV687" s="498">
        <f t="shared" si="240"/>
        <v>0</v>
      </c>
      <c r="AW687" s="498">
        <f t="shared" si="241"/>
        <v>0</v>
      </c>
      <c r="AX687" s="498">
        <f t="shared" si="242"/>
        <v>0</v>
      </c>
      <c r="AY687" s="498">
        <f t="shared" si="243"/>
        <v>0</v>
      </c>
      <c r="BB687" s="498" t="str">
        <f t="shared" si="244"/>
        <v/>
      </c>
      <c r="BC687" s="743" t="str">
        <f t="shared" si="245"/>
        <v/>
      </c>
      <c r="BD687" s="743" t="str">
        <f t="shared" si="246"/>
        <v/>
      </c>
      <c r="BE687" s="743" t="str">
        <f>IF(D687="","",VLOOKUP(D687,'General Basis'!$J$39:$K$46,2,0))</f>
        <v/>
      </c>
      <c r="BF687" s="744" t="str">
        <f>IF(D687="","",VLOOKUP(D687,'General Basis'!$J$39:$L$46,3,0))</f>
        <v/>
      </c>
      <c r="BG687" s="744" t="str">
        <f t="shared" si="253"/>
        <v/>
      </c>
      <c r="BH687" s="744" t="str">
        <f>IF(G687="","",IF(BF687="Abu Dhabi",IF(G687&lt;18,'General Basis'!$C$39,IF(G687&lt;41,'General Basis'!$C$40,IF(G687&lt;60,'General Basis'!$C$41,IF(G687&lt;65,'General Basis'!$C$42,'General Basis'!$C$43)))),IF(G687&lt;11,'General Basis'!$B$39,IF(G687&lt;18,'General Basis'!$B$40,IF(G687&lt;26,'General Basis'!$B$41,IF(G687&lt;31,'General Basis'!$B$42,IF(G687&lt;36,'General Basis'!$B$43,IF(G687&lt;41,'General Basis'!$B$44,IF(G687&lt;46,'General Basis'!$B$45,IF(G687&lt;51,'General Basis'!$B$46,IF(G687&lt;56,'General Basis'!$B$47,IF(G687&lt;60,'General Basis'!$B$48,IF(G687&lt;65,'General Basis'!$B$49,'General Basis'!$B$50)))))))))))))</f>
        <v/>
      </c>
      <c r="BI687" s="744" t="str">
        <f t="shared" si="247"/>
        <v/>
      </c>
      <c r="BJ687" s="747" t="str">
        <f t="shared" si="254"/>
        <v/>
      </c>
      <c r="BK687" s="498" t="str">
        <f t="shared" si="248"/>
        <v/>
      </c>
      <c r="BL687" s="498" t="str">
        <f t="shared" si="249"/>
        <v/>
      </c>
    </row>
    <row r="688" spans="1:64" x14ac:dyDescent="0.25">
      <c r="A688" s="762">
        <f t="shared" si="250"/>
        <v>683</v>
      </c>
      <c r="B688" s="229"/>
      <c r="C688" s="223"/>
      <c r="D688" s="224"/>
      <c r="E688" s="225"/>
      <c r="F688" s="1036" t="str">
        <f t="shared" si="256"/>
        <v/>
      </c>
      <c r="G688" s="1037" t="str">
        <f t="shared" si="251"/>
        <v/>
      </c>
      <c r="H688" s="225"/>
      <c r="I688" s="1013"/>
      <c r="J688" s="1013"/>
      <c r="K688" s="1028"/>
      <c r="L688" s="1035" t="str">
        <f t="shared" si="255"/>
        <v/>
      </c>
      <c r="S688" s="498"/>
      <c r="AJ688" s="498"/>
      <c r="AM688" s="498">
        <f t="shared" si="236"/>
        <v>0</v>
      </c>
      <c r="AN688" s="498">
        <f t="shared" si="237"/>
        <v>0</v>
      </c>
      <c r="AO688" s="498">
        <f t="shared" si="238"/>
        <v>0</v>
      </c>
      <c r="AP688" s="498">
        <f t="shared" si="257"/>
        <v>0</v>
      </c>
      <c r="AQ688" s="498">
        <f t="shared" si="252"/>
        <v>0</v>
      </c>
      <c r="AU688" s="498">
        <f t="shared" si="239"/>
        <v>0</v>
      </c>
      <c r="AV688" s="498">
        <f t="shared" si="240"/>
        <v>0</v>
      </c>
      <c r="AW688" s="498">
        <f t="shared" si="241"/>
        <v>0</v>
      </c>
      <c r="AX688" s="498">
        <f t="shared" si="242"/>
        <v>0</v>
      </c>
      <c r="AY688" s="498">
        <f t="shared" si="243"/>
        <v>0</v>
      </c>
      <c r="BB688" s="498" t="str">
        <f t="shared" si="244"/>
        <v/>
      </c>
      <c r="BC688" s="743" t="str">
        <f t="shared" si="245"/>
        <v/>
      </c>
      <c r="BD688" s="743" t="str">
        <f t="shared" si="246"/>
        <v/>
      </c>
      <c r="BE688" s="743" t="str">
        <f>IF(D688="","",VLOOKUP(D688,'General Basis'!$J$39:$K$46,2,0))</f>
        <v/>
      </c>
      <c r="BF688" s="744" t="str">
        <f>IF(D688="","",VLOOKUP(D688,'General Basis'!$J$39:$L$46,3,0))</f>
        <v/>
      </c>
      <c r="BG688" s="744" t="str">
        <f t="shared" si="253"/>
        <v/>
      </c>
      <c r="BH688" s="744" t="str">
        <f>IF(G688="","",IF(BF688="Abu Dhabi",IF(G688&lt;18,'General Basis'!$C$39,IF(G688&lt;41,'General Basis'!$C$40,IF(G688&lt;60,'General Basis'!$C$41,IF(G688&lt;65,'General Basis'!$C$42,'General Basis'!$C$43)))),IF(G688&lt;11,'General Basis'!$B$39,IF(G688&lt;18,'General Basis'!$B$40,IF(G688&lt;26,'General Basis'!$B$41,IF(G688&lt;31,'General Basis'!$B$42,IF(G688&lt;36,'General Basis'!$B$43,IF(G688&lt;41,'General Basis'!$B$44,IF(G688&lt;46,'General Basis'!$B$45,IF(G688&lt;51,'General Basis'!$B$46,IF(G688&lt;56,'General Basis'!$B$47,IF(G688&lt;60,'General Basis'!$B$48,IF(G688&lt;65,'General Basis'!$B$49,'General Basis'!$B$50)))))))))))))</f>
        <v/>
      </c>
      <c r="BI688" s="744" t="str">
        <f t="shared" si="247"/>
        <v/>
      </c>
      <c r="BJ688" s="747" t="str">
        <f t="shared" si="254"/>
        <v/>
      </c>
      <c r="BK688" s="498" t="str">
        <f t="shared" si="248"/>
        <v/>
      </c>
      <c r="BL688" s="498" t="str">
        <f t="shared" si="249"/>
        <v/>
      </c>
    </row>
    <row r="689" spans="1:64" x14ac:dyDescent="0.25">
      <c r="A689" s="762">
        <f t="shared" si="250"/>
        <v>684</v>
      </c>
      <c r="B689" s="229"/>
      <c r="C689" s="223"/>
      <c r="D689" s="224"/>
      <c r="E689" s="225"/>
      <c r="F689" s="1036" t="str">
        <f t="shared" si="256"/>
        <v/>
      </c>
      <c r="G689" s="1037" t="str">
        <f t="shared" si="251"/>
        <v/>
      </c>
      <c r="H689" s="225"/>
      <c r="I689" s="1013"/>
      <c r="J689" s="1013"/>
      <c r="K689" s="1028"/>
      <c r="L689" s="1035" t="str">
        <f t="shared" si="255"/>
        <v/>
      </c>
      <c r="S689" s="498"/>
      <c r="AJ689" s="498"/>
      <c r="AM689" s="498">
        <f t="shared" si="236"/>
        <v>0</v>
      </c>
      <c r="AN689" s="498">
        <f t="shared" si="237"/>
        <v>0</v>
      </c>
      <c r="AO689" s="498">
        <f t="shared" si="238"/>
        <v>0</v>
      </c>
      <c r="AP689" s="498">
        <f t="shared" si="257"/>
        <v>0</v>
      </c>
      <c r="AQ689" s="498">
        <f t="shared" si="252"/>
        <v>0</v>
      </c>
      <c r="AU689" s="498">
        <f t="shared" si="239"/>
        <v>0</v>
      </c>
      <c r="AV689" s="498">
        <f t="shared" si="240"/>
        <v>0</v>
      </c>
      <c r="AW689" s="498">
        <f t="shared" si="241"/>
        <v>0</v>
      </c>
      <c r="AX689" s="498">
        <f t="shared" si="242"/>
        <v>0</v>
      </c>
      <c r="AY689" s="498">
        <f t="shared" si="243"/>
        <v>0</v>
      </c>
      <c r="BB689" s="498" t="str">
        <f t="shared" si="244"/>
        <v/>
      </c>
      <c r="BC689" s="743" t="str">
        <f t="shared" si="245"/>
        <v/>
      </c>
      <c r="BD689" s="743" t="str">
        <f t="shared" si="246"/>
        <v/>
      </c>
      <c r="BE689" s="743" t="str">
        <f>IF(D689="","",VLOOKUP(D689,'General Basis'!$J$39:$K$46,2,0))</f>
        <v/>
      </c>
      <c r="BF689" s="744" t="str">
        <f>IF(D689="","",VLOOKUP(D689,'General Basis'!$J$39:$L$46,3,0))</f>
        <v/>
      </c>
      <c r="BG689" s="744" t="str">
        <f t="shared" si="253"/>
        <v/>
      </c>
      <c r="BH689" s="744" t="str">
        <f>IF(G689="","",IF(BF689="Abu Dhabi",IF(G689&lt;18,'General Basis'!$C$39,IF(G689&lt;41,'General Basis'!$C$40,IF(G689&lt;60,'General Basis'!$C$41,IF(G689&lt;65,'General Basis'!$C$42,'General Basis'!$C$43)))),IF(G689&lt;11,'General Basis'!$B$39,IF(G689&lt;18,'General Basis'!$B$40,IF(G689&lt;26,'General Basis'!$B$41,IF(G689&lt;31,'General Basis'!$B$42,IF(G689&lt;36,'General Basis'!$B$43,IF(G689&lt;41,'General Basis'!$B$44,IF(G689&lt;46,'General Basis'!$B$45,IF(G689&lt;51,'General Basis'!$B$46,IF(G689&lt;56,'General Basis'!$B$47,IF(G689&lt;60,'General Basis'!$B$48,IF(G689&lt;65,'General Basis'!$B$49,'General Basis'!$B$50)))))))))))))</f>
        <v/>
      </c>
      <c r="BI689" s="744" t="str">
        <f t="shared" si="247"/>
        <v/>
      </c>
      <c r="BJ689" s="747" t="str">
        <f t="shared" si="254"/>
        <v/>
      </c>
      <c r="BK689" s="498" t="str">
        <f t="shared" si="248"/>
        <v/>
      </c>
      <c r="BL689" s="498" t="str">
        <f t="shared" si="249"/>
        <v/>
      </c>
    </row>
    <row r="690" spans="1:64" x14ac:dyDescent="0.25">
      <c r="A690" s="762">
        <f t="shared" si="250"/>
        <v>685</v>
      </c>
      <c r="B690" s="229"/>
      <c r="C690" s="223"/>
      <c r="D690" s="224"/>
      <c r="E690" s="225"/>
      <c r="F690" s="1036" t="str">
        <f t="shared" si="256"/>
        <v/>
      </c>
      <c r="G690" s="1037" t="str">
        <f t="shared" si="251"/>
        <v/>
      </c>
      <c r="H690" s="225"/>
      <c r="I690" s="1013"/>
      <c r="J690" s="1013"/>
      <c r="K690" s="1028"/>
      <c r="L690" s="1035" t="str">
        <f t="shared" si="255"/>
        <v/>
      </c>
      <c r="S690" s="498"/>
      <c r="AJ690" s="498"/>
      <c r="AM690" s="498">
        <f t="shared" si="236"/>
        <v>0</v>
      </c>
      <c r="AN690" s="498">
        <f t="shared" si="237"/>
        <v>0</v>
      </c>
      <c r="AO690" s="498">
        <f t="shared" si="238"/>
        <v>0</v>
      </c>
      <c r="AP690" s="498">
        <f t="shared" si="257"/>
        <v>0</v>
      </c>
      <c r="AQ690" s="498">
        <f t="shared" si="252"/>
        <v>0</v>
      </c>
      <c r="AU690" s="498">
        <f t="shared" si="239"/>
        <v>0</v>
      </c>
      <c r="AV690" s="498">
        <f t="shared" si="240"/>
        <v>0</v>
      </c>
      <c r="AW690" s="498">
        <f t="shared" si="241"/>
        <v>0</v>
      </c>
      <c r="AX690" s="498">
        <f t="shared" si="242"/>
        <v>0</v>
      </c>
      <c r="AY690" s="498">
        <f t="shared" si="243"/>
        <v>0</v>
      </c>
      <c r="BB690" s="498" t="str">
        <f t="shared" si="244"/>
        <v/>
      </c>
      <c r="BC690" s="743" t="str">
        <f t="shared" si="245"/>
        <v/>
      </c>
      <c r="BD690" s="743" t="str">
        <f t="shared" si="246"/>
        <v/>
      </c>
      <c r="BE690" s="743" t="str">
        <f>IF(D690="","",VLOOKUP(D690,'General Basis'!$J$39:$K$46,2,0))</f>
        <v/>
      </c>
      <c r="BF690" s="744" t="str">
        <f>IF(D690="","",VLOOKUP(D690,'General Basis'!$J$39:$L$46,3,0))</f>
        <v/>
      </c>
      <c r="BG690" s="744" t="str">
        <f t="shared" si="253"/>
        <v/>
      </c>
      <c r="BH690" s="744" t="str">
        <f>IF(G690="","",IF(BF690="Abu Dhabi",IF(G690&lt;18,'General Basis'!$C$39,IF(G690&lt;41,'General Basis'!$C$40,IF(G690&lt;60,'General Basis'!$C$41,IF(G690&lt;65,'General Basis'!$C$42,'General Basis'!$C$43)))),IF(G690&lt;11,'General Basis'!$B$39,IF(G690&lt;18,'General Basis'!$B$40,IF(G690&lt;26,'General Basis'!$B$41,IF(G690&lt;31,'General Basis'!$B$42,IF(G690&lt;36,'General Basis'!$B$43,IF(G690&lt;41,'General Basis'!$B$44,IF(G690&lt;46,'General Basis'!$B$45,IF(G690&lt;51,'General Basis'!$B$46,IF(G690&lt;56,'General Basis'!$B$47,IF(G690&lt;60,'General Basis'!$B$48,IF(G690&lt;65,'General Basis'!$B$49,'General Basis'!$B$50)))))))))))))</f>
        <v/>
      </c>
      <c r="BI690" s="744" t="str">
        <f t="shared" si="247"/>
        <v/>
      </c>
      <c r="BJ690" s="747" t="str">
        <f t="shared" si="254"/>
        <v/>
      </c>
      <c r="BK690" s="498" t="str">
        <f t="shared" si="248"/>
        <v/>
      </c>
      <c r="BL690" s="498" t="str">
        <f t="shared" si="249"/>
        <v/>
      </c>
    </row>
    <row r="691" spans="1:64" x14ac:dyDescent="0.25">
      <c r="A691" s="762">
        <f t="shared" si="250"/>
        <v>686</v>
      </c>
      <c r="B691" s="229"/>
      <c r="C691" s="223"/>
      <c r="D691" s="224"/>
      <c r="E691" s="225"/>
      <c r="F691" s="1036" t="str">
        <f t="shared" si="256"/>
        <v/>
      </c>
      <c r="G691" s="1037" t="str">
        <f t="shared" si="251"/>
        <v/>
      </c>
      <c r="H691" s="225"/>
      <c r="I691" s="1013"/>
      <c r="J691" s="1013"/>
      <c r="K691" s="1028"/>
      <c r="L691" s="1035" t="str">
        <f t="shared" si="255"/>
        <v/>
      </c>
      <c r="S691" s="498"/>
      <c r="AJ691" s="498"/>
      <c r="AM691" s="498">
        <f t="shared" si="236"/>
        <v>0</v>
      </c>
      <c r="AN691" s="498">
        <f t="shared" si="237"/>
        <v>0</v>
      </c>
      <c r="AO691" s="498">
        <f t="shared" si="238"/>
        <v>0</v>
      </c>
      <c r="AP691" s="498">
        <f t="shared" si="257"/>
        <v>0</v>
      </c>
      <c r="AQ691" s="498">
        <f t="shared" si="252"/>
        <v>0</v>
      </c>
      <c r="AU691" s="498">
        <f t="shared" si="239"/>
        <v>0</v>
      </c>
      <c r="AV691" s="498">
        <f t="shared" si="240"/>
        <v>0</v>
      </c>
      <c r="AW691" s="498">
        <f t="shared" si="241"/>
        <v>0</v>
      </c>
      <c r="AX691" s="498">
        <f t="shared" si="242"/>
        <v>0</v>
      </c>
      <c r="AY691" s="498">
        <f t="shared" si="243"/>
        <v>0</v>
      </c>
      <c r="BB691" s="498" t="str">
        <f t="shared" si="244"/>
        <v/>
      </c>
      <c r="BC691" s="743" t="str">
        <f t="shared" si="245"/>
        <v/>
      </c>
      <c r="BD691" s="743" t="str">
        <f t="shared" si="246"/>
        <v/>
      </c>
      <c r="BE691" s="743" t="str">
        <f>IF(D691="","",VLOOKUP(D691,'General Basis'!$J$39:$K$46,2,0))</f>
        <v/>
      </c>
      <c r="BF691" s="744" t="str">
        <f>IF(D691="","",VLOOKUP(D691,'General Basis'!$J$39:$L$46,3,0))</f>
        <v/>
      </c>
      <c r="BG691" s="744" t="str">
        <f t="shared" si="253"/>
        <v/>
      </c>
      <c r="BH691" s="744" t="str">
        <f>IF(G691="","",IF(BF691="Abu Dhabi",IF(G691&lt;18,'General Basis'!$C$39,IF(G691&lt;41,'General Basis'!$C$40,IF(G691&lt;60,'General Basis'!$C$41,IF(G691&lt;65,'General Basis'!$C$42,'General Basis'!$C$43)))),IF(G691&lt;11,'General Basis'!$B$39,IF(G691&lt;18,'General Basis'!$B$40,IF(G691&lt;26,'General Basis'!$B$41,IF(G691&lt;31,'General Basis'!$B$42,IF(G691&lt;36,'General Basis'!$B$43,IF(G691&lt;41,'General Basis'!$B$44,IF(G691&lt;46,'General Basis'!$B$45,IF(G691&lt;51,'General Basis'!$B$46,IF(G691&lt;56,'General Basis'!$B$47,IF(G691&lt;60,'General Basis'!$B$48,IF(G691&lt;65,'General Basis'!$B$49,'General Basis'!$B$50)))))))))))))</f>
        <v/>
      </c>
      <c r="BI691" s="744" t="str">
        <f t="shared" si="247"/>
        <v/>
      </c>
      <c r="BJ691" s="747" t="str">
        <f t="shared" si="254"/>
        <v/>
      </c>
      <c r="BK691" s="498" t="str">
        <f t="shared" si="248"/>
        <v/>
      </c>
      <c r="BL691" s="498" t="str">
        <f t="shared" si="249"/>
        <v/>
      </c>
    </row>
    <row r="692" spans="1:64" x14ac:dyDescent="0.25">
      <c r="A692" s="762">
        <f t="shared" si="250"/>
        <v>687</v>
      </c>
      <c r="B692" s="229"/>
      <c r="C692" s="223"/>
      <c r="D692" s="224"/>
      <c r="E692" s="225"/>
      <c r="F692" s="1036" t="str">
        <f t="shared" si="256"/>
        <v/>
      </c>
      <c r="G692" s="1037" t="str">
        <f t="shared" si="251"/>
        <v/>
      </c>
      <c r="H692" s="225"/>
      <c r="I692" s="1013"/>
      <c r="J692" s="1013"/>
      <c r="K692" s="1028"/>
      <c r="L692" s="1035" t="str">
        <f t="shared" si="255"/>
        <v/>
      </c>
      <c r="S692" s="498"/>
      <c r="AJ692" s="498"/>
      <c r="AM692" s="498">
        <f t="shared" si="236"/>
        <v>0</v>
      </c>
      <c r="AN692" s="498">
        <f t="shared" si="237"/>
        <v>0</v>
      </c>
      <c r="AO692" s="498">
        <f t="shared" si="238"/>
        <v>0</v>
      </c>
      <c r="AP692" s="498">
        <f t="shared" si="257"/>
        <v>0</v>
      </c>
      <c r="AQ692" s="498">
        <f t="shared" si="252"/>
        <v>0</v>
      </c>
      <c r="AU692" s="498">
        <f t="shared" si="239"/>
        <v>0</v>
      </c>
      <c r="AV692" s="498">
        <f t="shared" si="240"/>
        <v>0</v>
      </c>
      <c r="AW692" s="498">
        <f t="shared" si="241"/>
        <v>0</v>
      </c>
      <c r="AX692" s="498">
        <f t="shared" si="242"/>
        <v>0</v>
      </c>
      <c r="AY692" s="498">
        <f t="shared" si="243"/>
        <v>0</v>
      </c>
      <c r="BB692" s="498" t="str">
        <f t="shared" si="244"/>
        <v/>
      </c>
      <c r="BC692" s="743" t="str">
        <f t="shared" si="245"/>
        <v/>
      </c>
      <c r="BD692" s="743" t="str">
        <f t="shared" si="246"/>
        <v/>
      </c>
      <c r="BE692" s="743" t="str">
        <f>IF(D692="","",VLOOKUP(D692,'General Basis'!$J$39:$K$46,2,0))</f>
        <v/>
      </c>
      <c r="BF692" s="744" t="str">
        <f>IF(D692="","",VLOOKUP(D692,'General Basis'!$J$39:$L$46,3,0))</f>
        <v/>
      </c>
      <c r="BG692" s="744" t="str">
        <f t="shared" si="253"/>
        <v/>
      </c>
      <c r="BH692" s="744" t="str">
        <f>IF(G692="","",IF(BF692="Abu Dhabi",IF(G692&lt;18,'General Basis'!$C$39,IF(G692&lt;41,'General Basis'!$C$40,IF(G692&lt;60,'General Basis'!$C$41,IF(G692&lt;65,'General Basis'!$C$42,'General Basis'!$C$43)))),IF(G692&lt;11,'General Basis'!$B$39,IF(G692&lt;18,'General Basis'!$B$40,IF(G692&lt;26,'General Basis'!$B$41,IF(G692&lt;31,'General Basis'!$B$42,IF(G692&lt;36,'General Basis'!$B$43,IF(G692&lt;41,'General Basis'!$B$44,IF(G692&lt;46,'General Basis'!$B$45,IF(G692&lt;51,'General Basis'!$B$46,IF(G692&lt;56,'General Basis'!$B$47,IF(G692&lt;60,'General Basis'!$B$48,IF(G692&lt;65,'General Basis'!$B$49,'General Basis'!$B$50)))))))))))))</f>
        <v/>
      </c>
      <c r="BI692" s="744" t="str">
        <f t="shared" si="247"/>
        <v/>
      </c>
      <c r="BJ692" s="747" t="str">
        <f t="shared" si="254"/>
        <v/>
      </c>
      <c r="BK692" s="498" t="str">
        <f t="shared" si="248"/>
        <v/>
      </c>
      <c r="BL692" s="498" t="str">
        <f t="shared" si="249"/>
        <v/>
      </c>
    </row>
    <row r="693" spans="1:64" x14ac:dyDescent="0.25">
      <c r="A693" s="762">
        <f t="shared" si="250"/>
        <v>688</v>
      </c>
      <c r="B693" s="229"/>
      <c r="C693" s="223"/>
      <c r="D693" s="224"/>
      <c r="E693" s="225"/>
      <c r="F693" s="1036" t="str">
        <f t="shared" si="256"/>
        <v/>
      </c>
      <c r="G693" s="1037" t="str">
        <f t="shared" si="251"/>
        <v/>
      </c>
      <c r="H693" s="225"/>
      <c r="I693" s="1013"/>
      <c r="J693" s="1013"/>
      <c r="K693" s="1028"/>
      <c r="L693" s="1035" t="str">
        <f t="shared" si="255"/>
        <v/>
      </c>
      <c r="S693" s="498"/>
      <c r="AJ693" s="498"/>
      <c r="AM693" s="498">
        <f t="shared" si="236"/>
        <v>0</v>
      </c>
      <c r="AN693" s="498">
        <f t="shared" si="237"/>
        <v>0</v>
      </c>
      <c r="AO693" s="498">
        <f t="shared" si="238"/>
        <v>0</v>
      </c>
      <c r="AP693" s="498">
        <f t="shared" si="257"/>
        <v>0</v>
      </c>
      <c r="AQ693" s="498">
        <f t="shared" si="252"/>
        <v>0</v>
      </c>
      <c r="AU693" s="498">
        <f t="shared" si="239"/>
        <v>0</v>
      </c>
      <c r="AV693" s="498">
        <f t="shared" si="240"/>
        <v>0</v>
      </c>
      <c r="AW693" s="498">
        <f t="shared" si="241"/>
        <v>0</v>
      </c>
      <c r="AX693" s="498">
        <f t="shared" si="242"/>
        <v>0</v>
      </c>
      <c r="AY693" s="498">
        <f t="shared" si="243"/>
        <v>0</v>
      </c>
      <c r="BB693" s="498" t="str">
        <f t="shared" si="244"/>
        <v/>
      </c>
      <c r="BC693" s="743" t="str">
        <f t="shared" si="245"/>
        <v/>
      </c>
      <c r="BD693" s="743" t="str">
        <f t="shared" si="246"/>
        <v/>
      </c>
      <c r="BE693" s="743" t="str">
        <f>IF(D693="","",VLOOKUP(D693,'General Basis'!$J$39:$K$46,2,0))</f>
        <v/>
      </c>
      <c r="BF693" s="744" t="str">
        <f>IF(D693="","",VLOOKUP(D693,'General Basis'!$J$39:$L$46,3,0))</f>
        <v/>
      </c>
      <c r="BG693" s="744" t="str">
        <f t="shared" si="253"/>
        <v/>
      </c>
      <c r="BH693" s="744" t="str">
        <f>IF(G693="","",IF(BF693="Abu Dhabi",IF(G693&lt;18,'General Basis'!$C$39,IF(G693&lt;41,'General Basis'!$C$40,IF(G693&lt;60,'General Basis'!$C$41,IF(G693&lt;65,'General Basis'!$C$42,'General Basis'!$C$43)))),IF(G693&lt;11,'General Basis'!$B$39,IF(G693&lt;18,'General Basis'!$B$40,IF(G693&lt;26,'General Basis'!$B$41,IF(G693&lt;31,'General Basis'!$B$42,IF(G693&lt;36,'General Basis'!$B$43,IF(G693&lt;41,'General Basis'!$B$44,IF(G693&lt;46,'General Basis'!$B$45,IF(G693&lt;51,'General Basis'!$B$46,IF(G693&lt;56,'General Basis'!$B$47,IF(G693&lt;60,'General Basis'!$B$48,IF(G693&lt;65,'General Basis'!$B$49,'General Basis'!$B$50)))))))))))))</f>
        <v/>
      </c>
      <c r="BI693" s="744" t="str">
        <f t="shared" si="247"/>
        <v/>
      </c>
      <c r="BJ693" s="747" t="str">
        <f t="shared" si="254"/>
        <v/>
      </c>
      <c r="BK693" s="498" t="str">
        <f t="shared" si="248"/>
        <v/>
      </c>
      <c r="BL693" s="498" t="str">
        <f t="shared" si="249"/>
        <v/>
      </c>
    </row>
    <row r="694" spans="1:64" x14ac:dyDescent="0.25">
      <c r="A694" s="762">
        <f t="shared" si="250"/>
        <v>689</v>
      </c>
      <c r="B694" s="229"/>
      <c r="C694" s="223"/>
      <c r="D694" s="224"/>
      <c r="E694" s="225"/>
      <c r="F694" s="1036" t="str">
        <f t="shared" si="256"/>
        <v/>
      </c>
      <c r="G694" s="1037" t="str">
        <f t="shared" si="251"/>
        <v/>
      </c>
      <c r="H694" s="225"/>
      <c r="I694" s="1013"/>
      <c r="J694" s="1013"/>
      <c r="K694" s="1028"/>
      <c r="L694" s="1035" t="str">
        <f t="shared" si="255"/>
        <v/>
      </c>
      <c r="S694" s="498"/>
      <c r="AJ694" s="498"/>
      <c r="AM694" s="498">
        <f t="shared" si="236"/>
        <v>0</v>
      </c>
      <c r="AN694" s="498">
        <f t="shared" si="237"/>
        <v>0</v>
      </c>
      <c r="AO694" s="498">
        <f t="shared" si="238"/>
        <v>0</v>
      </c>
      <c r="AP694" s="498">
        <f t="shared" si="257"/>
        <v>0</v>
      </c>
      <c r="AQ694" s="498">
        <f t="shared" si="252"/>
        <v>0</v>
      </c>
      <c r="AU694" s="498">
        <f t="shared" si="239"/>
        <v>0</v>
      </c>
      <c r="AV694" s="498">
        <f t="shared" si="240"/>
        <v>0</v>
      </c>
      <c r="AW694" s="498">
        <f t="shared" si="241"/>
        <v>0</v>
      </c>
      <c r="AX694" s="498">
        <f t="shared" si="242"/>
        <v>0</v>
      </c>
      <c r="AY694" s="498">
        <f t="shared" si="243"/>
        <v>0</v>
      </c>
      <c r="BB694" s="498" t="str">
        <f t="shared" si="244"/>
        <v/>
      </c>
      <c r="BC694" s="743" t="str">
        <f t="shared" si="245"/>
        <v/>
      </c>
      <c r="BD694" s="743" t="str">
        <f t="shared" si="246"/>
        <v/>
      </c>
      <c r="BE694" s="743" t="str">
        <f>IF(D694="","",VLOOKUP(D694,'General Basis'!$J$39:$K$46,2,0))</f>
        <v/>
      </c>
      <c r="BF694" s="744" t="str">
        <f>IF(D694="","",VLOOKUP(D694,'General Basis'!$J$39:$L$46,3,0))</f>
        <v/>
      </c>
      <c r="BG694" s="744" t="str">
        <f t="shared" si="253"/>
        <v/>
      </c>
      <c r="BH694" s="744" t="str">
        <f>IF(G694="","",IF(BF694="Abu Dhabi",IF(G694&lt;18,'General Basis'!$C$39,IF(G694&lt;41,'General Basis'!$C$40,IF(G694&lt;60,'General Basis'!$C$41,IF(G694&lt;65,'General Basis'!$C$42,'General Basis'!$C$43)))),IF(G694&lt;11,'General Basis'!$B$39,IF(G694&lt;18,'General Basis'!$B$40,IF(G694&lt;26,'General Basis'!$B$41,IF(G694&lt;31,'General Basis'!$B$42,IF(G694&lt;36,'General Basis'!$B$43,IF(G694&lt;41,'General Basis'!$B$44,IF(G694&lt;46,'General Basis'!$B$45,IF(G694&lt;51,'General Basis'!$B$46,IF(G694&lt;56,'General Basis'!$B$47,IF(G694&lt;60,'General Basis'!$B$48,IF(G694&lt;65,'General Basis'!$B$49,'General Basis'!$B$50)))))))))))))</f>
        <v/>
      </c>
      <c r="BI694" s="744" t="str">
        <f t="shared" si="247"/>
        <v/>
      </c>
      <c r="BJ694" s="747" t="str">
        <f t="shared" si="254"/>
        <v/>
      </c>
      <c r="BK694" s="498" t="str">
        <f t="shared" si="248"/>
        <v/>
      </c>
      <c r="BL694" s="498" t="str">
        <f t="shared" si="249"/>
        <v/>
      </c>
    </row>
    <row r="695" spans="1:64" x14ac:dyDescent="0.25">
      <c r="A695" s="762">
        <f t="shared" si="250"/>
        <v>690</v>
      </c>
      <c r="B695" s="229"/>
      <c r="C695" s="223"/>
      <c r="D695" s="224"/>
      <c r="E695" s="225"/>
      <c r="F695" s="1036" t="str">
        <f t="shared" si="256"/>
        <v/>
      </c>
      <c r="G695" s="1037" t="str">
        <f t="shared" si="251"/>
        <v/>
      </c>
      <c r="H695" s="225"/>
      <c r="I695" s="1013"/>
      <c r="J695" s="1013"/>
      <c r="K695" s="1028"/>
      <c r="L695" s="1035" t="str">
        <f t="shared" si="255"/>
        <v/>
      </c>
      <c r="S695" s="498"/>
      <c r="AJ695" s="498"/>
      <c r="AM695" s="498">
        <f t="shared" si="236"/>
        <v>0</v>
      </c>
      <c r="AN695" s="498">
        <f t="shared" si="237"/>
        <v>0</v>
      </c>
      <c r="AO695" s="498">
        <f t="shared" si="238"/>
        <v>0</v>
      </c>
      <c r="AP695" s="498">
        <f t="shared" si="257"/>
        <v>0</v>
      </c>
      <c r="AQ695" s="498">
        <f t="shared" si="252"/>
        <v>0</v>
      </c>
      <c r="AU695" s="498">
        <f t="shared" si="239"/>
        <v>0</v>
      </c>
      <c r="AV695" s="498">
        <f t="shared" si="240"/>
        <v>0</v>
      </c>
      <c r="AW695" s="498">
        <f t="shared" si="241"/>
        <v>0</v>
      </c>
      <c r="AX695" s="498">
        <f t="shared" si="242"/>
        <v>0</v>
      </c>
      <c r="AY695" s="498">
        <f t="shared" si="243"/>
        <v>0</v>
      </c>
      <c r="BB695" s="498" t="str">
        <f t="shared" si="244"/>
        <v/>
      </c>
      <c r="BC695" s="743" t="str">
        <f t="shared" si="245"/>
        <v/>
      </c>
      <c r="BD695" s="743" t="str">
        <f t="shared" si="246"/>
        <v/>
      </c>
      <c r="BE695" s="743" t="str">
        <f>IF(D695="","",VLOOKUP(D695,'General Basis'!$J$39:$K$46,2,0))</f>
        <v/>
      </c>
      <c r="BF695" s="744" t="str">
        <f>IF(D695="","",VLOOKUP(D695,'General Basis'!$J$39:$L$46,3,0))</f>
        <v/>
      </c>
      <c r="BG695" s="744" t="str">
        <f t="shared" si="253"/>
        <v/>
      </c>
      <c r="BH695" s="744" t="str">
        <f>IF(G695="","",IF(BF695="Abu Dhabi",IF(G695&lt;18,'General Basis'!$C$39,IF(G695&lt;41,'General Basis'!$C$40,IF(G695&lt;60,'General Basis'!$C$41,IF(G695&lt;65,'General Basis'!$C$42,'General Basis'!$C$43)))),IF(G695&lt;11,'General Basis'!$B$39,IF(G695&lt;18,'General Basis'!$B$40,IF(G695&lt;26,'General Basis'!$B$41,IF(G695&lt;31,'General Basis'!$B$42,IF(G695&lt;36,'General Basis'!$B$43,IF(G695&lt;41,'General Basis'!$B$44,IF(G695&lt;46,'General Basis'!$B$45,IF(G695&lt;51,'General Basis'!$B$46,IF(G695&lt;56,'General Basis'!$B$47,IF(G695&lt;60,'General Basis'!$B$48,IF(G695&lt;65,'General Basis'!$B$49,'General Basis'!$B$50)))))))))))))</f>
        <v/>
      </c>
      <c r="BI695" s="744" t="str">
        <f t="shared" si="247"/>
        <v/>
      </c>
      <c r="BJ695" s="747" t="str">
        <f t="shared" si="254"/>
        <v/>
      </c>
      <c r="BK695" s="498" t="str">
        <f t="shared" si="248"/>
        <v/>
      </c>
      <c r="BL695" s="498" t="str">
        <f t="shared" si="249"/>
        <v/>
      </c>
    </row>
    <row r="696" spans="1:64" x14ac:dyDescent="0.25">
      <c r="A696" s="762">
        <f t="shared" si="250"/>
        <v>691</v>
      </c>
      <c r="B696" s="229"/>
      <c r="C696" s="223"/>
      <c r="D696" s="224"/>
      <c r="E696" s="225"/>
      <c r="F696" s="1036" t="str">
        <f t="shared" si="256"/>
        <v/>
      </c>
      <c r="G696" s="1037" t="str">
        <f t="shared" si="251"/>
        <v/>
      </c>
      <c r="H696" s="225"/>
      <c r="I696" s="1013"/>
      <c r="J696" s="1013"/>
      <c r="K696" s="1028"/>
      <c r="L696" s="1035" t="str">
        <f t="shared" si="255"/>
        <v/>
      </c>
      <c r="S696" s="498"/>
      <c r="AJ696" s="498"/>
      <c r="AM696" s="498">
        <f t="shared" si="236"/>
        <v>0</v>
      </c>
      <c r="AN696" s="498">
        <f t="shared" si="237"/>
        <v>0</v>
      </c>
      <c r="AO696" s="498">
        <f t="shared" si="238"/>
        <v>0</v>
      </c>
      <c r="AP696" s="498">
        <f t="shared" si="257"/>
        <v>0</v>
      </c>
      <c r="AQ696" s="498">
        <f t="shared" si="252"/>
        <v>0</v>
      </c>
      <c r="AU696" s="498">
        <f t="shared" si="239"/>
        <v>0</v>
      </c>
      <c r="AV696" s="498">
        <f t="shared" si="240"/>
        <v>0</v>
      </c>
      <c r="AW696" s="498">
        <f t="shared" si="241"/>
        <v>0</v>
      </c>
      <c r="AX696" s="498">
        <f t="shared" si="242"/>
        <v>0</v>
      </c>
      <c r="AY696" s="498">
        <f t="shared" si="243"/>
        <v>0</v>
      </c>
      <c r="BB696" s="498" t="str">
        <f t="shared" si="244"/>
        <v/>
      </c>
      <c r="BC696" s="743" t="str">
        <f t="shared" si="245"/>
        <v/>
      </c>
      <c r="BD696" s="743" t="str">
        <f t="shared" si="246"/>
        <v/>
      </c>
      <c r="BE696" s="743" t="str">
        <f>IF(D696="","",VLOOKUP(D696,'General Basis'!$J$39:$K$46,2,0))</f>
        <v/>
      </c>
      <c r="BF696" s="744" t="str">
        <f>IF(D696="","",VLOOKUP(D696,'General Basis'!$J$39:$L$46,3,0))</f>
        <v/>
      </c>
      <c r="BG696" s="744" t="str">
        <f t="shared" si="253"/>
        <v/>
      </c>
      <c r="BH696" s="744" t="str">
        <f>IF(G696="","",IF(BF696="Abu Dhabi",IF(G696&lt;18,'General Basis'!$C$39,IF(G696&lt;41,'General Basis'!$C$40,IF(G696&lt;60,'General Basis'!$C$41,IF(G696&lt;65,'General Basis'!$C$42,'General Basis'!$C$43)))),IF(G696&lt;11,'General Basis'!$B$39,IF(G696&lt;18,'General Basis'!$B$40,IF(G696&lt;26,'General Basis'!$B$41,IF(G696&lt;31,'General Basis'!$B$42,IF(G696&lt;36,'General Basis'!$B$43,IF(G696&lt;41,'General Basis'!$B$44,IF(G696&lt;46,'General Basis'!$B$45,IF(G696&lt;51,'General Basis'!$B$46,IF(G696&lt;56,'General Basis'!$B$47,IF(G696&lt;60,'General Basis'!$B$48,IF(G696&lt;65,'General Basis'!$B$49,'General Basis'!$B$50)))))))))))))</f>
        <v/>
      </c>
      <c r="BI696" s="744" t="str">
        <f t="shared" si="247"/>
        <v/>
      </c>
      <c r="BJ696" s="747" t="str">
        <f t="shared" si="254"/>
        <v/>
      </c>
      <c r="BK696" s="498" t="str">
        <f t="shared" si="248"/>
        <v/>
      </c>
      <c r="BL696" s="498" t="str">
        <f t="shared" si="249"/>
        <v/>
      </c>
    </row>
    <row r="697" spans="1:64" x14ac:dyDescent="0.25">
      <c r="A697" s="762">
        <f t="shared" si="250"/>
        <v>692</v>
      </c>
      <c r="B697" s="229"/>
      <c r="C697" s="223"/>
      <c r="D697" s="224"/>
      <c r="E697" s="225"/>
      <c r="F697" s="1036" t="str">
        <f t="shared" si="256"/>
        <v/>
      </c>
      <c r="G697" s="1037" t="str">
        <f t="shared" si="251"/>
        <v/>
      </c>
      <c r="H697" s="225"/>
      <c r="I697" s="1013"/>
      <c r="J697" s="1013"/>
      <c r="K697" s="1028"/>
      <c r="L697" s="1035" t="str">
        <f t="shared" si="255"/>
        <v/>
      </c>
      <c r="S697" s="498"/>
      <c r="AJ697" s="498"/>
      <c r="AM697" s="498">
        <f t="shared" si="236"/>
        <v>0</v>
      </c>
      <c r="AN697" s="498">
        <f t="shared" si="237"/>
        <v>0</v>
      </c>
      <c r="AO697" s="498">
        <f t="shared" si="238"/>
        <v>0</v>
      </c>
      <c r="AP697" s="498">
        <f t="shared" si="257"/>
        <v>0</v>
      </c>
      <c r="AQ697" s="498">
        <f t="shared" si="252"/>
        <v>0</v>
      </c>
      <c r="AU697" s="498">
        <f t="shared" si="239"/>
        <v>0</v>
      </c>
      <c r="AV697" s="498">
        <f t="shared" si="240"/>
        <v>0</v>
      </c>
      <c r="AW697" s="498">
        <f t="shared" si="241"/>
        <v>0</v>
      </c>
      <c r="AX697" s="498">
        <f t="shared" si="242"/>
        <v>0</v>
      </c>
      <c r="AY697" s="498">
        <f t="shared" si="243"/>
        <v>0</v>
      </c>
      <c r="BB697" s="498" t="str">
        <f t="shared" si="244"/>
        <v/>
      </c>
      <c r="BC697" s="743" t="str">
        <f t="shared" si="245"/>
        <v/>
      </c>
      <c r="BD697" s="743" t="str">
        <f t="shared" si="246"/>
        <v/>
      </c>
      <c r="BE697" s="743" t="str">
        <f>IF(D697="","",VLOOKUP(D697,'General Basis'!$J$39:$K$46,2,0))</f>
        <v/>
      </c>
      <c r="BF697" s="744" t="str">
        <f>IF(D697="","",VLOOKUP(D697,'General Basis'!$J$39:$L$46,3,0))</f>
        <v/>
      </c>
      <c r="BG697" s="744" t="str">
        <f t="shared" si="253"/>
        <v/>
      </c>
      <c r="BH697" s="744" t="str">
        <f>IF(G697="","",IF(BF697="Abu Dhabi",IF(G697&lt;18,'General Basis'!$C$39,IF(G697&lt;41,'General Basis'!$C$40,IF(G697&lt;60,'General Basis'!$C$41,IF(G697&lt;65,'General Basis'!$C$42,'General Basis'!$C$43)))),IF(G697&lt;11,'General Basis'!$B$39,IF(G697&lt;18,'General Basis'!$B$40,IF(G697&lt;26,'General Basis'!$B$41,IF(G697&lt;31,'General Basis'!$B$42,IF(G697&lt;36,'General Basis'!$B$43,IF(G697&lt;41,'General Basis'!$B$44,IF(G697&lt;46,'General Basis'!$B$45,IF(G697&lt;51,'General Basis'!$B$46,IF(G697&lt;56,'General Basis'!$B$47,IF(G697&lt;60,'General Basis'!$B$48,IF(G697&lt;65,'General Basis'!$B$49,'General Basis'!$B$50)))))))))))))</f>
        <v/>
      </c>
      <c r="BI697" s="744" t="str">
        <f t="shared" si="247"/>
        <v/>
      </c>
      <c r="BJ697" s="747" t="str">
        <f t="shared" si="254"/>
        <v/>
      </c>
      <c r="BK697" s="498" t="str">
        <f t="shared" si="248"/>
        <v/>
      </c>
      <c r="BL697" s="498" t="str">
        <f t="shared" si="249"/>
        <v/>
      </c>
    </row>
    <row r="698" spans="1:64" x14ac:dyDescent="0.25">
      <c r="A698" s="762">
        <f t="shared" si="250"/>
        <v>693</v>
      </c>
      <c r="B698" s="229"/>
      <c r="C698" s="223"/>
      <c r="D698" s="224"/>
      <c r="E698" s="225"/>
      <c r="F698" s="1036" t="str">
        <f t="shared" si="256"/>
        <v/>
      </c>
      <c r="G698" s="1037" t="str">
        <f t="shared" si="251"/>
        <v/>
      </c>
      <c r="H698" s="225"/>
      <c r="I698" s="1013"/>
      <c r="J698" s="1013"/>
      <c r="K698" s="1028"/>
      <c r="L698" s="1035" t="str">
        <f t="shared" si="255"/>
        <v/>
      </c>
      <c r="S698" s="498"/>
      <c r="AJ698" s="498"/>
      <c r="AM698" s="498">
        <f t="shared" si="236"/>
        <v>0</v>
      </c>
      <c r="AN698" s="498">
        <f t="shared" si="237"/>
        <v>0</v>
      </c>
      <c r="AO698" s="498">
        <f t="shared" si="238"/>
        <v>0</v>
      </c>
      <c r="AP698" s="498">
        <f t="shared" si="257"/>
        <v>0</v>
      </c>
      <c r="AQ698" s="498">
        <f t="shared" si="252"/>
        <v>0</v>
      </c>
      <c r="AU698" s="498">
        <f t="shared" si="239"/>
        <v>0</v>
      </c>
      <c r="AV698" s="498">
        <f t="shared" si="240"/>
        <v>0</v>
      </c>
      <c r="AW698" s="498">
        <f t="shared" si="241"/>
        <v>0</v>
      </c>
      <c r="AX698" s="498">
        <f t="shared" si="242"/>
        <v>0</v>
      </c>
      <c r="AY698" s="498">
        <f t="shared" si="243"/>
        <v>0</v>
      </c>
      <c r="BB698" s="498" t="str">
        <f t="shared" si="244"/>
        <v/>
      </c>
      <c r="BC698" s="743" t="str">
        <f t="shared" si="245"/>
        <v/>
      </c>
      <c r="BD698" s="743" t="str">
        <f t="shared" si="246"/>
        <v/>
      </c>
      <c r="BE698" s="743" t="str">
        <f>IF(D698="","",VLOOKUP(D698,'General Basis'!$J$39:$K$46,2,0))</f>
        <v/>
      </c>
      <c r="BF698" s="744" t="str">
        <f>IF(D698="","",VLOOKUP(D698,'General Basis'!$J$39:$L$46,3,0))</f>
        <v/>
      </c>
      <c r="BG698" s="744" t="str">
        <f t="shared" si="253"/>
        <v/>
      </c>
      <c r="BH698" s="744" t="str">
        <f>IF(G698="","",IF(BF698="Abu Dhabi",IF(G698&lt;18,'General Basis'!$C$39,IF(G698&lt;41,'General Basis'!$C$40,IF(G698&lt;60,'General Basis'!$C$41,IF(G698&lt;65,'General Basis'!$C$42,'General Basis'!$C$43)))),IF(G698&lt;11,'General Basis'!$B$39,IF(G698&lt;18,'General Basis'!$B$40,IF(G698&lt;26,'General Basis'!$B$41,IF(G698&lt;31,'General Basis'!$B$42,IF(G698&lt;36,'General Basis'!$B$43,IF(G698&lt;41,'General Basis'!$B$44,IF(G698&lt;46,'General Basis'!$B$45,IF(G698&lt;51,'General Basis'!$B$46,IF(G698&lt;56,'General Basis'!$B$47,IF(G698&lt;60,'General Basis'!$B$48,IF(G698&lt;65,'General Basis'!$B$49,'General Basis'!$B$50)))))))))))))</f>
        <v/>
      </c>
      <c r="BI698" s="744" t="str">
        <f t="shared" si="247"/>
        <v/>
      </c>
      <c r="BJ698" s="747" t="str">
        <f t="shared" si="254"/>
        <v/>
      </c>
      <c r="BK698" s="498" t="str">
        <f t="shared" si="248"/>
        <v/>
      </c>
      <c r="BL698" s="498" t="str">
        <f t="shared" si="249"/>
        <v/>
      </c>
    </row>
    <row r="699" spans="1:64" x14ac:dyDescent="0.25">
      <c r="A699" s="762">
        <f t="shared" si="250"/>
        <v>694</v>
      </c>
      <c r="B699" s="229"/>
      <c r="C699" s="223"/>
      <c r="D699" s="224"/>
      <c r="E699" s="225"/>
      <c r="F699" s="1036" t="str">
        <f t="shared" si="256"/>
        <v/>
      </c>
      <c r="G699" s="1037" t="str">
        <f t="shared" si="251"/>
        <v/>
      </c>
      <c r="H699" s="225"/>
      <c r="I699" s="1013"/>
      <c r="J699" s="1013"/>
      <c r="K699" s="1028"/>
      <c r="L699" s="1035" t="str">
        <f t="shared" si="255"/>
        <v/>
      </c>
      <c r="S699" s="498"/>
      <c r="AJ699" s="498"/>
      <c r="AM699" s="498">
        <f t="shared" si="236"/>
        <v>0</v>
      </c>
      <c r="AN699" s="498">
        <f t="shared" si="237"/>
        <v>0</v>
      </c>
      <c r="AO699" s="498">
        <f t="shared" si="238"/>
        <v>0</v>
      </c>
      <c r="AP699" s="498">
        <f t="shared" si="257"/>
        <v>0</v>
      </c>
      <c r="AQ699" s="498">
        <f t="shared" si="252"/>
        <v>0</v>
      </c>
      <c r="AU699" s="498">
        <f t="shared" si="239"/>
        <v>0</v>
      </c>
      <c r="AV699" s="498">
        <f t="shared" si="240"/>
        <v>0</v>
      </c>
      <c r="AW699" s="498">
        <f t="shared" si="241"/>
        <v>0</v>
      </c>
      <c r="AX699" s="498">
        <f t="shared" si="242"/>
        <v>0</v>
      </c>
      <c r="AY699" s="498">
        <f t="shared" si="243"/>
        <v>0</v>
      </c>
      <c r="BB699" s="498" t="str">
        <f t="shared" si="244"/>
        <v/>
      </c>
      <c r="BC699" s="743" t="str">
        <f t="shared" si="245"/>
        <v/>
      </c>
      <c r="BD699" s="743" t="str">
        <f t="shared" si="246"/>
        <v/>
      </c>
      <c r="BE699" s="743" t="str">
        <f>IF(D699="","",VLOOKUP(D699,'General Basis'!$J$39:$K$46,2,0))</f>
        <v/>
      </c>
      <c r="BF699" s="744" t="str">
        <f>IF(D699="","",VLOOKUP(D699,'General Basis'!$J$39:$L$46,3,0))</f>
        <v/>
      </c>
      <c r="BG699" s="744" t="str">
        <f t="shared" si="253"/>
        <v/>
      </c>
      <c r="BH699" s="744" t="str">
        <f>IF(G699="","",IF(BF699="Abu Dhabi",IF(G699&lt;18,'General Basis'!$C$39,IF(G699&lt;41,'General Basis'!$C$40,IF(G699&lt;60,'General Basis'!$C$41,IF(G699&lt;65,'General Basis'!$C$42,'General Basis'!$C$43)))),IF(G699&lt;11,'General Basis'!$B$39,IF(G699&lt;18,'General Basis'!$B$40,IF(G699&lt;26,'General Basis'!$B$41,IF(G699&lt;31,'General Basis'!$B$42,IF(G699&lt;36,'General Basis'!$B$43,IF(G699&lt;41,'General Basis'!$B$44,IF(G699&lt;46,'General Basis'!$B$45,IF(G699&lt;51,'General Basis'!$B$46,IF(G699&lt;56,'General Basis'!$B$47,IF(G699&lt;60,'General Basis'!$B$48,IF(G699&lt;65,'General Basis'!$B$49,'General Basis'!$B$50)))))))))))))</f>
        <v/>
      </c>
      <c r="BI699" s="744" t="str">
        <f t="shared" si="247"/>
        <v/>
      </c>
      <c r="BJ699" s="747" t="str">
        <f t="shared" si="254"/>
        <v/>
      </c>
      <c r="BK699" s="498" t="str">
        <f t="shared" si="248"/>
        <v/>
      </c>
      <c r="BL699" s="498" t="str">
        <f t="shared" si="249"/>
        <v/>
      </c>
    </row>
    <row r="700" spans="1:64" x14ac:dyDescent="0.25">
      <c r="A700" s="762">
        <f t="shared" si="250"/>
        <v>695</v>
      </c>
      <c r="B700" s="229"/>
      <c r="C700" s="223"/>
      <c r="D700" s="224"/>
      <c r="E700" s="225"/>
      <c r="F700" s="1036" t="str">
        <f t="shared" si="256"/>
        <v/>
      </c>
      <c r="G700" s="1037" t="str">
        <f t="shared" si="251"/>
        <v/>
      </c>
      <c r="H700" s="225"/>
      <c r="I700" s="1013"/>
      <c r="J700" s="1013"/>
      <c r="K700" s="1028"/>
      <c r="L700" s="1035" t="str">
        <f t="shared" si="255"/>
        <v/>
      </c>
      <c r="S700" s="498"/>
      <c r="AJ700" s="498"/>
      <c r="AM700" s="498">
        <f t="shared" si="236"/>
        <v>0</v>
      </c>
      <c r="AN700" s="498">
        <f t="shared" si="237"/>
        <v>0</v>
      </c>
      <c r="AO700" s="498">
        <f t="shared" si="238"/>
        <v>0</v>
      </c>
      <c r="AP700" s="498">
        <f t="shared" si="257"/>
        <v>0</v>
      </c>
      <c r="AQ700" s="498">
        <f t="shared" si="252"/>
        <v>0</v>
      </c>
      <c r="AU700" s="498">
        <f t="shared" si="239"/>
        <v>0</v>
      </c>
      <c r="AV700" s="498">
        <f t="shared" si="240"/>
        <v>0</v>
      </c>
      <c r="AW700" s="498">
        <f t="shared" si="241"/>
        <v>0</v>
      </c>
      <c r="AX700" s="498">
        <f t="shared" si="242"/>
        <v>0</v>
      </c>
      <c r="AY700" s="498">
        <f t="shared" si="243"/>
        <v>0</v>
      </c>
      <c r="BB700" s="498" t="str">
        <f t="shared" si="244"/>
        <v/>
      </c>
      <c r="BC700" s="743" t="str">
        <f t="shared" si="245"/>
        <v/>
      </c>
      <c r="BD700" s="743" t="str">
        <f t="shared" si="246"/>
        <v/>
      </c>
      <c r="BE700" s="743" t="str">
        <f>IF(D700="","",VLOOKUP(D700,'General Basis'!$J$39:$K$46,2,0))</f>
        <v/>
      </c>
      <c r="BF700" s="744" t="str">
        <f>IF(D700="","",VLOOKUP(D700,'General Basis'!$J$39:$L$46,3,0))</f>
        <v/>
      </c>
      <c r="BG700" s="744" t="str">
        <f t="shared" si="253"/>
        <v/>
      </c>
      <c r="BH700" s="744" t="str">
        <f>IF(G700="","",IF(BF700="Abu Dhabi",IF(G700&lt;18,'General Basis'!$C$39,IF(G700&lt;41,'General Basis'!$C$40,IF(G700&lt;60,'General Basis'!$C$41,IF(G700&lt;65,'General Basis'!$C$42,'General Basis'!$C$43)))),IF(G700&lt;11,'General Basis'!$B$39,IF(G700&lt;18,'General Basis'!$B$40,IF(G700&lt;26,'General Basis'!$B$41,IF(G700&lt;31,'General Basis'!$B$42,IF(G700&lt;36,'General Basis'!$B$43,IF(G700&lt;41,'General Basis'!$B$44,IF(G700&lt;46,'General Basis'!$B$45,IF(G700&lt;51,'General Basis'!$B$46,IF(G700&lt;56,'General Basis'!$B$47,IF(G700&lt;60,'General Basis'!$B$48,IF(G700&lt;65,'General Basis'!$B$49,'General Basis'!$B$50)))))))))))))</f>
        <v/>
      </c>
      <c r="BI700" s="744" t="str">
        <f t="shared" si="247"/>
        <v/>
      </c>
      <c r="BJ700" s="747" t="str">
        <f t="shared" si="254"/>
        <v/>
      </c>
      <c r="BK700" s="498" t="str">
        <f t="shared" si="248"/>
        <v/>
      </c>
      <c r="BL700" s="498" t="str">
        <f t="shared" si="249"/>
        <v/>
      </c>
    </row>
    <row r="701" spans="1:64" x14ac:dyDescent="0.25">
      <c r="A701" s="762">
        <f t="shared" si="250"/>
        <v>696</v>
      </c>
      <c r="B701" s="229"/>
      <c r="C701" s="223"/>
      <c r="D701" s="224"/>
      <c r="E701" s="225"/>
      <c r="F701" s="1036" t="str">
        <f t="shared" si="256"/>
        <v/>
      </c>
      <c r="G701" s="1037" t="str">
        <f t="shared" si="251"/>
        <v/>
      </c>
      <c r="H701" s="225"/>
      <c r="I701" s="1013"/>
      <c r="J701" s="1013"/>
      <c r="K701" s="1028"/>
      <c r="L701" s="1035" t="str">
        <f t="shared" si="255"/>
        <v/>
      </c>
      <c r="S701" s="498"/>
      <c r="AJ701" s="498"/>
      <c r="AM701" s="498">
        <f t="shared" si="236"/>
        <v>0</v>
      </c>
      <c r="AN701" s="498">
        <f t="shared" si="237"/>
        <v>0</v>
      </c>
      <c r="AO701" s="498">
        <f t="shared" si="238"/>
        <v>0</v>
      </c>
      <c r="AP701" s="498">
        <f t="shared" si="257"/>
        <v>0</v>
      </c>
      <c r="AQ701" s="498">
        <f t="shared" si="252"/>
        <v>0</v>
      </c>
      <c r="AU701" s="498">
        <f t="shared" si="239"/>
        <v>0</v>
      </c>
      <c r="AV701" s="498">
        <f t="shared" si="240"/>
        <v>0</v>
      </c>
      <c r="AW701" s="498">
        <f t="shared" si="241"/>
        <v>0</v>
      </c>
      <c r="AX701" s="498">
        <f t="shared" si="242"/>
        <v>0</v>
      </c>
      <c r="AY701" s="498">
        <f t="shared" si="243"/>
        <v>0</v>
      </c>
      <c r="BB701" s="498" t="str">
        <f t="shared" si="244"/>
        <v/>
      </c>
      <c r="BC701" s="743" t="str">
        <f t="shared" si="245"/>
        <v/>
      </c>
      <c r="BD701" s="743" t="str">
        <f t="shared" si="246"/>
        <v/>
      </c>
      <c r="BE701" s="743" t="str">
        <f>IF(D701="","",VLOOKUP(D701,'General Basis'!$J$39:$K$46,2,0))</f>
        <v/>
      </c>
      <c r="BF701" s="744" t="str">
        <f>IF(D701="","",VLOOKUP(D701,'General Basis'!$J$39:$L$46,3,0))</f>
        <v/>
      </c>
      <c r="BG701" s="744" t="str">
        <f t="shared" si="253"/>
        <v/>
      </c>
      <c r="BH701" s="744" t="str">
        <f>IF(G701="","",IF(BF701="Abu Dhabi",IF(G701&lt;18,'General Basis'!$C$39,IF(G701&lt;41,'General Basis'!$C$40,IF(G701&lt;60,'General Basis'!$C$41,IF(G701&lt;65,'General Basis'!$C$42,'General Basis'!$C$43)))),IF(G701&lt;11,'General Basis'!$B$39,IF(G701&lt;18,'General Basis'!$B$40,IF(G701&lt;26,'General Basis'!$B$41,IF(G701&lt;31,'General Basis'!$B$42,IF(G701&lt;36,'General Basis'!$B$43,IF(G701&lt;41,'General Basis'!$B$44,IF(G701&lt;46,'General Basis'!$B$45,IF(G701&lt;51,'General Basis'!$B$46,IF(G701&lt;56,'General Basis'!$B$47,IF(G701&lt;60,'General Basis'!$B$48,IF(G701&lt;65,'General Basis'!$B$49,'General Basis'!$B$50)))))))))))))</f>
        <v/>
      </c>
      <c r="BI701" s="744" t="str">
        <f t="shared" si="247"/>
        <v/>
      </c>
      <c r="BJ701" s="747" t="str">
        <f t="shared" si="254"/>
        <v/>
      </c>
      <c r="BK701" s="498" t="str">
        <f t="shared" si="248"/>
        <v/>
      </c>
      <c r="BL701" s="498" t="str">
        <f t="shared" si="249"/>
        <v/>
      </c>
    </row>
    <row r="702" spans="1:64" x14ac:dyDescent="0.25">
      <c r="A702" s="762">
        <f t="shared" si="250"/>
        <v>697</v>
      </c>
      <c r="B702" s="229"/>
      <c r="C702" s="223"/>
      <c r="D702" s="224"/>
      <c r="E702" s="225"/>
      <c r="F702" s="1036" t="str">
        <f t="shared" si="256"/>
        <v/>
      </c>
      <c r="G702" s="1037" t="str">
        <f t="shared" si="251"/>
        <v/>
      </c>
      <c r="H702" s="225"/>
      <c r="I702" s="1013"/>
      <c r="J702" s="1013"/>
      <c r="K702" s="1028"/>
      <c r="L702" s="1035" t="str">
        <f t="shared" si="255"/>
        <v/>
      </c>
      <c r="S702" s="498"/>
      <c r="AJ702" s="498"/>
      <c r="AM702" s="498">
        <f t="shared" si="236"/>
        <v>0</v>
      </c>
      <c r="AN702" s="498">
        <f t="shared" si="237"/>
        <v>0</v>
      </c>
      <c r="AO702" s="498">
        <f t="shared" si="238"/>
        <v>0</v>
      </c>
      <c r="AP702" s="498">
        <f t="shared" si="257"/>
        <v>0</v>
      </c>
      <c r="AQ702" s="498">
        <f t="shared" si="252"/>
        <v>0</v>
      </c>
      <c r="AU702" s="498">
        <f t="shared" si="239"/>
        <v>0</v>
      </c>
      <c r="AV702" s="498">
        <f t="shared" si="240"/>
        <v>0</v>
      </c>
      <c r="AW702" s="498">
        <f t="shared" si="241"/>
        <v>0</v>
      </c>
      <c r="AX702" s="498">
        <f t="shared" si="242"/>
        <v>0</v>
      </c>
      <c r="AY702" s="498">
        <f t="shared" si="243"/>
        <v>0</v>
      </c>
      <c r="BB702" s="498" t="str">
        <f t="shared" si="244"/>
        <v/>
      </c>
      <c r="BC702" s="743" t="str">
        <f t="shared" si="245"/>
        <v/>
      </c>
      <c r="BD702" s="743" t="str">
        <f t="shared" si="246"/>
        <v/>
      </c>
      <c r="BE702" s="743" t="str">
        <f>IF(D702="","",VLOOKUP(D702,'General Basis'!$J$39:$K$46,2,0))</f>
        <v/>
      </c>
      <c r="BF702" s="744" t="str">
        <f>IF(D702="","",VLOOKUP(D702,'General Basis'!$J$39:$L$46,3,0))</f>
        <v/>
      </c>
      <c r="BG702" s="744" t="str">
        <f t="shared" si="253"/>
        <v/>
      </c>
      <c r="BH702" s="744" t="str">
        <f>IF(G702="","",IF(BF702="Abu Dhabi",IF(G702&lt;18,'General Basis'!$C$39,IF(G702&lt;41,'General Basis'!$C$40,IF(G702&lt;60,'General Basis'!$C$41,IF(G702&lt;65,'General Basis'!$C$42,'General Basis'!$C$43)))),IF(G702&lt;11,'General Basis'!$B$39,IF(G702&lt;18,'General Basis'!$B$40,IF(G702&lt;26,'General Basis'!$B$41,IF(G702&lt;31,'General Basis'!$B$42,IF(G702&lt;36,'General Basis'!$B$43,IF(G702&lt;41,'General Basis'!$B$44,IF(G702&lt;46,'General Basis'!$B$45,IF(G702&lt;51,'General Basis'!$B$46,IF(G702&lt;56,'General Basis'!$B$47,IF(G702&lt;60,'General Basis'!$B$48,IF(G702&lt;65,'General Basis'!$B$49,'General Basis'!$B$50)))))))))))))</f>
        <v/>
      </c>
      <c r="BI702" s="744" t="str">
        <f t="shared" si="247"/>
        <v/>
      </c>
      <c r="BJ702" s="747" t="str">
        <f t="shared" si="254"/>
        <v/>
      </c>
      <c r="BK702" s="498" t="str">
        <f t="shared" si="248"/>
        <v/>
      </c>
      <c r="BL702" s="498" t="str">
        <f t="shared" si="249"/>
        <v/>
      </c>
    </row>
    <row r="703" spans="1:64" x14ac:dyDescent="0.25">
      <c r="A703" s="762">
        <f t="shared" si="250"/>
        <v>698</v>
      </c>
      <c r="B703" s="229"/>
      <c r="C703" s="223"/>
      <c r="D703" s="224"/>
      <c r="E703" s="225"/>
      <c r="F703" s="1036" t="str">
        <f t="shared" si="256"/>
        <v/>
      </c>
      <c r="G703" s="1037" t="str">
        <f t="shared" si="251"/>
        <v/>
      </c>
      <c r="H703" s="225"/>
      <c r="I703" s="1013"/>
      <c r="J703" s="1013"/>
      <c r="K703" s="1028"/>
      <c r="L703" s="1035" t="str">
        <f t="shared" si="255"/>
        <v/>
      </c>
      <c r="S703" s="498"/>
      <c r="AJ703" s="498"/>
      <c r="AM703" s="498">
        <f t="shared" si="236"/>
        <v>0</v>
      </c>
      <c r="AN703" s="498">
        <f t="shared" si="237"/>
        <v>0</v>
      </c>
      <c r="AO703" s="498">
        <f t="shared" si="238"/>
        <v>0</v>
      </c>
      <c r="AP703" s="498">
        <f t="shared" si="257"/>
        <v>0</v>
      </c>
      <c r="AQ703" s="498">
        <f t="shared" si="252"/>
        <v>0</v>
      </c>
      <c r="AU703" s="498">
        <f t="shared" si="239"/>
        <v>0</v>
      </c>
      <c r="AV703" s="498">
        <f t="shared" si="240"/>
        <v>0</v>
      </c>
      <c r="AW703" s="498">
        <f t="shared" si="241"/>
        <v>0</v>
      </c>
      <c r="AX703" s="498">
        <f t="shared" si="242"/>
        <v>0</v>
      </c>
      <c r="AY703" s="498">
        <f t="shared" si="243"/>
        <v>0</v>
      </c>
      <c r="BB703" s="498" t="str">
        <f t="shared" si="244"/>
        <v/>
      </c>
      <c r="BC703" s="743" t="str">
        <f t="shared" si="245"/>
        <v/>
      </c>
      <c r="BD703" s="743" t="str">
        <f t="shared" si="246"/>
        <v/>
      </c>
      <c r="BE703" s="743" t="str">
        <f>IF(D703="","",VLOOKUP(D703,'General Basis'!$J$39:$K$46,2,0))</f>
        <v/>
      </c>
      <c r="BF703" s="744" t="str">
        <f>IF(D703="","",VLOOKUP(D703,'General Basis'!$J$39:$L$46,3,0))</f>
        <v/>
      </c>
      <c r="BG703" s="744" t="str">
        <f t="shared" si="253"/>
        <v/>
      </c>
      <c r="BH703" s="744" t="str">
        <f>IF(G703="","",IF(BF703="Abu Dhabi",IF(G703&lt;18,'General Basis'!$C$39,IF(G703&lt;41,'General Basis'!$C$40,IF(G703&lt;60,'General Basis'!$C$41,IF(G703&lt;65,'General Basis'!$C$42,'General Basis'!$C$43)))),IF(G703&lt;11,'General Basis'!$B$39,IF(G703&lt;18,'General Basis'!$B$40,IF(G703&lt;26,'General Basis'!$B$41,IF(G703&lt;31,'General Basis'!$B$42,IF(G703&lt;36,'General Basis'!$B$43,IF(G703&lt;41,'General Basis'!$B$44,IF(G703&lt;46,'General Basis'!$B$45,IF(G703&lt;51,'General Basis'!$B$46,IF(G703&lt;56,'General Basis'!$B$47,IF(G703&lt;60,'General Basis'!$B$48,IF(G703&lt;65,'General Basis'!$B$49,'General Basis'!$B$50)))))))))))))</f>
        <v/>
      </c>
      <c r="BI703" s="744" t="str">
        <f t="shared" si="247"/>
        <v/>
      </c>
      <c r="BJ703" s="747" t="str">
        <f t="shared" si="254"/>
        <v/>
      </c>
      <c r="BK703" s="498" t="str">
        <f t="shared" si="248"/>
        <v/>
      </c>
      <c r="BL703" s="498" t="str">
        <f t="shared" si="249"/>
        <v/>
      </c>
    </row>
    <row r="704" spans="1:64" x14ac:dyDescent="0.25">
      <c r="A704" s="762">
        <f t="shared" si="250"/>
        <v>699</v>
      </c>
      <c r="B704" s="229"/>
      <c r="C704" s="223"/>
      <c r="D704" s="224"/>
      <c r="E704" s="225"/>
      <c r="F704" s="1036" t="str">
        <f t="shared" si="256"/>
        <v/>
      </c>
      <c r="G704" s="1037" t="str">
        <f t="shared" si="251"/>
        <v/>
      </c>
      <c r="H704" s="225"/>
      <c r="I704" s="1013"/>
      <c r="J704" s="1013"/>
      <c r="K704" s="1028"/>
      <c r="L704" s="1035" t="str">
        <f t="shared" si="255"/>
        <v/>
      </c>
      <c r="S704" s="498"/>
      <c r="AJ704" s="498"/>
      <c r="AM704" s="498">
        <f t="shared" si="236"/>
        <v>0</v>
      </c>
      <c r="AN704" s="498">
        <f t="shared" si="237"/>
        <v>0</v>
      </c>
      <c r="AO704" s="498">
        <f t="shared" si="238"/>
        <v>0</v>
      </c>
      <c r="AP704" s="498">
        <f t="shared" si="257"/>
        <v>0</v>
      </c>
      <c r="AQ704" s="498">
        <f t="shared" si="252"/>
        <v>0</v>
      </c>
      <c r="AU704" s="498">
        <f t="shared" si="239"/>
        <v>0</v>
      </c>
      <c r="AV704" s="498">
        <f t="shared" si="240"/>
        <v>0</v>
      </c>
      <c r="AW704" s="498">
        <f t="shared" si="241"/>
        <v>0</v>
      </c>
      <c r="AX704" s="498">
        <f t="shared" si="242"/>
        <v>0</v>
      </c>
      <c r="AY704" s="498">
        <f t="shared" si="243"/>
        <v>0</v>
      </c>
      <c r="BB704" s="498" t="str">
        <f t="shared" si="244"/>
        <v/>
      </c>
      <c r="BC704" s="743" t="str">
        <f t="shared" si="245"/>
        <v/>
      </c>
      <c r="BD704" s="743" t="str">
        <f t="shared" si="246"/>
        <v/>
      </c>
      <c r="BE704" s="743" t="str">
        <f>IF(D704="","",VLOOKUP(D704,'General Basis'!$J$39:$K$46,2,0))</f>
        <v/>
      </c>
      <c r="BF704" s="744" t="str">
        <f>IF(D704="","",VLOOKUP(D704,'General Basis'!$J$39:$L$46,3,0))</f>
        <v/>
      </c>
      <c r="BG704" s="744" t="str">
        <f t="shared" si="253"/>
        <v/>
      </c>
      <c r="BH704" s="744" t="str">
        <f>IF(G704="","",IF(BF704="Abu Dhabi",IF(G704&lt;18,'General Basis'!$C$39,IF(G704&lt;41,'General Basis'!$C$40,IF(G704&lt;60,'General Basis'!$C$41,IF(G704&lt;65,'General Basis'!$C$42,'General Basis'!$C$43)))),IF(G704&lt;11,'General Basis'!$B$39,IF(G704&lt;18,'General Basis'!$B$40,IF(G704&lt;26,'General Basis'!$B$41,IF(G704&lt;31,'General Basis'!$B$42,IF(G704&lt;36,'General Basis'!$B$43,IF(G704&lt;41,'General Basis'!$B$44,IF(G704&lt;46,'General Basis'!$B$45,IF(G704&lt;51,'General Basis'!$B$46,IF(G704&lt;56,'General Basis'!$B$47,IF(G704&lt;60,'General Basis'!$B$48,IF(G704&lt;65,'General Basis'!$B$49,'General Basis'!$B$50)))))))))))))</f>
        <v/>
      </c>
      <c r="BI704" s="744" t="str">
        <f t="shared" si="247"/>
        <v/>
      </c>
      <c r="BJ704" s="747" t="str">
        <f t="shared" si="254"/>
        <v/>
      </c>
      <c r="BK704" s="498" t="str">
        <f t="shared" si="248"/>
        <v/>
      </c>
      <c r="BL704" s="498" t="str">
        <f t="shared" si="249"/>
        <v/>
      </c>
    </row>
    <row r="705" spans="1:64" x14ac:dyDescent="0.25">
      <c r="A705" s="762">
        <f t="shared" si="250"/>
        <v>700</v>
      </c>
      <c r="B705" s="229"/>
      <c r="C705" s="223"/>
      <c r="D705" s="224"/>
      <c r="E705" s="225"/>
      <c r="F705" s="1036" t="str">
        <f t="shared" si="256"/>
        <v/>
      </c>
      <c r="G705" s="1037" t="str">
        <f t="shared" si="251"/>
        <v/>
      </c>
      <c r="H705" s="225"/>
      <c r="I705" s="1013"/>
      <c r="J705" s="1013"/>
      <c r="K705" s="1028"/>
      <c r="L705" s="1035" t="str">
        <f t="shared" si="255"/>
        <v/>
      </c>
      <c r="S705" s="498"/>
      <c r="AJ705" s="498"/>
      <c r="AM705" s="498">
        <f t="shared" si="236"/>
        <v>0</v>
      </c>
      <c r="AN705" s="498">
        <f t="shared" si="237"/>
        <v>0</v>
      </c>
      <c r="AO705" s="498">
        <f t="shared" si="238"/>
        <v>0</v>
      </c>
      <c r="AP705" s="498">
        <f t="shared" si="257"/>
        <v>0</v>
      </c>
      <c r="AQ705" s="498">
        <f t="shared" si="252"/>
        <v>0</v>
      </c>
      <c r="AU705" s="498">
        <f t="shared" si="239"/>
        <v>0</v>
      </c>
      <c r="AV705" s="498">
        <f t="shared" si="240"/>
        <v>0</v>
      </c>
      <c r="AW705" s="498">
        <f t="shared" si="241"/>
        <v>0</v>
      </c>
      <c r="AX705" s="498">
        <f t="shared" si="242"/>
        <v>0</v>
      </c>
      <c r="AY705" s="498">
        <f t="shared" si="243"/>
        <v>0</v>
      </c>
      <c r="BB705" s="498" t="str">
        <f t="shared" si="244"/>
        <v/>
      </c>
      <c r="BC705" s="743" t="str">
        <f t="shared" si="245"/>
        <v/>
      </c>
      <c r="BD705" s="743" t="str">
        <f t="shared" si="246"/>
        <v/>
      </c>
      <c r="BE705" s="743" t="str">
        <f>IF(D705="","",VLOOKUP(D705,'General Basis'!$J$39:$K$46,2,0))</f>
        <v/>
      </c>
      <c r="BF705" s="744" t="str">
        <f>IF(D705="","",VLOOKUP(D705,'General Basis'!$J$39:$L$46,3,0))</f>
        <v/>
      </c>
      <c r="BG705" s="744" t="str">
        <f t="shared" si="253"/>
        <v/>
      </c>
      <c r="BH705" s="744" t="str">
        <f>IF(G705="","",IF(BF705="Abu Dhabi",IF(G705&lt;18,'General Basis'!$C$39,IF(G705&lt;41,'General Basis'!$C$40,IF(G705&lt;60,'General Basis'!$C$41,IF(G705&lt;65,'General Basis'!$C$42,'General Basis'!$C$43)))),IF(G705&lt;11,'General Basis'!$B$39,IF(G705&lt;18,'General Basis'!$B$40,IF(G705&lt;26,'General Basis'!$B$41,IF(G705&lt;31,'General Basis'!$B$42,IF(G705&lt;36,'General Basis'!$B$43,IF(G705&lt;41,'General Basis'!$B$44,IF(G705&lt;46,'General Basis'!$B$45,IF(G705&lt;51,'General Basis'!$B$46,IF(G705&lt;56,'General Basis'!$B$47,IF(G705&lt;60,'General Basis'!$B$48,IF(G705&lt;65,'General Basis'!$B$49,'General Basis'!$B$50)))))))))))))</f>
        <v/>
      </c>
      <c r="BI705" s="744" t="str">
        <f t="shared" si="247"/>
        <v/>
      </c>
      <c r="BJ705" s="747" t="str">
        <f t="shared" si="254"/>
        <v/>
      </c>
      <c r="BK705" s="498" t="str">
        <f t="shared" si="248"/>
        <v/>
      </c>
      <c r="BL705" s="498" t="str">
        <f t="shared" si="249"/>
        <v/>
      </c>
    </row>
    <row r="706" spans="1:64" x14ac:dyDescent="0.25">
      <c r="A706" s="762">
        <f t="shared" si="250"/>
        <v>701</v>
      </c>
      <c r="B706" s="229"/>
      <c r="C706" s="223"/>
      <c r="D706" s="224"/>
      <c r="E706" s="225"/>
      <c r="F706" s="1036" t="str">
        <f t="shared" si="256"/>
        <v/>
      </c>
      <c r="G706" s="1037" t="str">
        <f t="shared" si="251"/>
        <v/>
      </c>
      <c r="H706" s="225"/>
      <c r="I706" s="1013"/>
      <c r="J706" s="1013"/>
      <c r="K706" s="1028"/>
      <c r="L706" s="1035" t="str">
        <f t="shared" si="255"/>
        <v/>
      </c>
      <c r="S706" s="498"/>
      <c r="AJ706" s="498"/>
      <c r="AM706" s="498">
        <f t="shared" si="236"/>
        <v>0</v>
      </c>
      <c r="AN706" s="498">
        <f t="shared" si="237"/>
        <v>0</v>
      </c>
      <c r="AO706" s="498">
        <f t="shared" si="238"/>
        <v>0</v>
      </c>
      <c r="AP706" s="498">
        <f t="shared" si="257"/>
        <v>0</v>
      </c>
      <c r="AQ706" s="498">
        <f t="shared" si="252"/>
        <v>0</v>
      </c>
      <c r="AU706" s="498">
        <f t="shared" si="239"/>
        <v>0</v>
      </c>
      <c r="AV706" s="498">
        <f t="shared" si="240"/>
        <v>0</v>
      </c>
      <c r="AW706" s="498">
        <f t="shared" si="241"/>
        <v>0</v>
      </c>
      <c r="AX706" s="498">
        <f t="shared" si="242"/>
        <v>0</v>
      </c>
      <c r="AY706" s="498">
        <f t="shared" si="243"/>
        <v>0</v>
      </c>
      <c r="BB706" s="498" t="str">
        <f t="shared" si="244"/>
        <v/>
      </c>
      <c r="BC706" s="743" t="str">
        <f t="shared" si="245"/>
        <v/>
      </c>
      <c r="BD706" s="743" t="str">
        <f t="shared" si="246"/>
        <v/>
      </c>
      <c r="BE706" s="743" t="str">
        <f>IF(D706="","",VLOOKUP(D706,'General Basis'!$J$39:$K$46,2,0))</f>
        <v/>
      </c>
      <c r="BF706" s="744" t="str">
        <f>IF(D706="","",VLOOKUP(D706,'General Basis'!$J$39:$L$46,3,0))</f>
        <v/>
      </c>
      <c r="BG706" s="744" t="str">
        <f t="shared" si="253"/>
        <v/>
      </c>
      <c r="BH706" s="744" t="str">
        <f>IF(G706="","",IF(BF706="Abu Dhabi",IF(G706&lt;18,'General Basis'!$C$39,IF(G706&lt;41,'General Basis'!$C$40,IF(G706&lt;60,'General Basis'!$C$41,IF(G706&lt;65,'General Basis'!$C$42,'General Basis'!$C$43)))),IF(G706&lt;11,'General Basis'!$B$39,IF(G706&lt;18,'General Basis'!$B$40,IF(G706&lt;26,'General Basis'!$B$41,IF(G706&lt;31,'General Basis'!$B$42,IF(G706&lt;36,'General Basis'!$B$43,IF(G706&lt;41,'General Basis'!$B$44,IF(G706&lt;46,'General Basis'!$B$45,IF(G706&lt;51,'General Basis'!$B$46,IF(G706&lt;56,'General Basis'!$B$47,IF(G706&lt;60,'General Basis'!$B$48,IF(G706&lt;65,'General Basis'!$B$49,'General Basis'!$B$50)))))))))))))</f>
        <v/>
      </c>
      <c r="BI706" s="744" t="str">
        <f t="shared" si="247"/>
        <v/>
      </c>
      <c r="BJ706" s="747" t="str">
        <f t="shared" si="254"/>
        <v/>
      </c>
      <c r="BK706" s="498" t="str">
        <f t="shared" si="248"/>
        <v/>
      </c>
      <c r="BL706" s="498" t="str">
        <f t="shared" si="249"/>
        <v/>
      </c>
    </row>
    <row r="707" spans="1:64" x14ac:dyDescent="0.25">
      <c r="A707" s="762">
        <f t="shared" si="250"/>
        <v>702</v>
      </c>
      <c r="B707" s="229"/>
      <c r="C707" s="223"/>
      <c r="D707" s="224"/>
      <c r="E707" s="225"/>
      <c r="F707" s="1036" t="str">
        <f t="shared" si="256"/>
        <v/>
      </c>
      <c r="G707" s="1037" t="str">
        <f t="shared" si="251"/>
        <v/>
      </c>
      <c r="H707" s="225"/>
      <c r="I707" s="1013"/>
      <c r="J707" s="1013"/>
      <c r="K707" s="1028"/>
      <c r="L707" s="1035" t="str">
        <f t="shared" si="255"/>
        <v/>
      </c>
      <c r="S707" s="498"/>
      <c r="AJ707" s="498"/>
      <c r="AM707" s="498">
        <f t="shared" si="236"/>
        <v>0</v>
      </c>
      <c r="AN707" s="498">
        <f t="shared" si="237"/>
        <v>0</v>
      </c>
      <c r="AO707" s="498">
        <f t="shared" si="238"/>
        <v>0</v>
      </c>
      <c r="AP707" s="498">
        <f t="shared" si="257"/>
        <v>0</v>
      </c>
      <c r="AQ707" s="498">
        <f t="shared" si="252"/>
        <v>0</v>
      </c>
      <c r="AU707" s="498">
        <f t="shared" si="239"/>
        <v>0</v>
      </c>
      <c r="AV707" s="498">
        <f t="shared" si="240"/>
        <v>0</v>
      </c>
      <c r="AW707" s="498">
        <f t="shared" si="241"/>
        <v>0</v>
      </c>
      <c r="AX707" s="498">
        <f t="shared" si="242"/>
        <v>0</v>
      </c>
      <c r="AY707" s="498">
        <f t="shared" si="243"/>
        <v>0</v>
      </c>
      <c r="BB707" s="498" t="str">
        <f t="shared" si="244"/>
        <v/>
      </c>
      <c r="BC707" s="743" t="str">
        <f t="shared" si="245"/>
        <v/>
      </c>
      <c r="BD707" s="743" t="str">
        <f t="shared" si="246"/>
        <v/>
      </c>
      <c r="BE707" s="743" t="str">
        <f>IF(D707="","",VLOOKUP(D707,'General Basis'!$J$39:$K$46,2,0))</f>
        <v/>
      </c>
      <c r="BF707" s="744" t="str">
        <f>IF(D707="","",VLOOKUP(D707,'General Basis'!$J$39:$L$46,3,0))</f>
        <v/>
      </c>
      <c r="BG707" s="744" t="str">
        <f t="shared" si="253"/>
        <v/>
      </c>
      <c r="BH707" s="744" t="str">
        <f>IF(G707="","",IF(BF707="Abu Dhabi",IF(G707&lt;18,'General Basis'!$C$39,IF(G707&lt;41,'General Basis'!$C$40,IF(G707&lt;60,'General Basis'!$C$41,IF(G707&lt;65,'General Basis'!$C$42,'General Basis'!$C$43)))),IF(G707&lt;11,'General Basis'!$B$39,IF(G707&lt;18,'General Basis'!$B$40,IF(G707&lt;26,'General Basis'!$B$41,IF(G707&lt;31,'General Basis'!$B$42,IF(G707&lt;36,'General Basis'!$B$43,IF(G707&lt;41,'General Basis'!$B$44,IF(G707&lt;46,'General Basis'!$B$45,IF(G707&lt;51,'General Basis'!$B$46,IF(G707&lt;56,'General Basis'!$B$47,IF(G707&lt;60,'General Basis'!$B$48,IF(G707&lt;65,'General Basis'!$B$49,'General Basis'!$B$50)))))))))))))</f>
        <v/>
      </c>
      <c r="BI707" s="744" t="str">
        <f t="shared" si="247"/>
        <v/>
      </c>
      <c r="BJ707" s="747" t="str">
        <f t="shared" si="254"/>
        <v/>
      </c>
      <c r="BK707" s="498" t="str">
        <f t="shared" si="248"/>
        <v/>
      </c>
      <c r="BL707" s="498" t="str">
        <f t="shared" si="249"/>
        <v/>
      </c>
    </row>
    <row r="708" spans="1:64" x14ac:dyDescent="0.25">
      <c r="A708" s="762">
        <f t="shared" si="250"/>
        <v>703</v>
      </c>
      <c r="B708" s="229"/>
      <c r="C708" s="223"/>
      <c r="D708" s="224"/>
      <c r="E708" s="225"/>
      <c r="F708" s="1036" t="str">
        <f t="shared" si="256"/>
        <v/>
      </c>
      <c r="G708" s="1037" t="str">
        <f t="shared" si="251"/>
        <v/>
      </c>
      <c r="H708" s="225"/>
      <c r="I708" s="1013"/>
      <c r="J708" s="1013"/>
      <c r="K708" s="1028"/>
      <c r="L708" s="1035" t="str">
        <f t="shared" si="255"/>
        <v/>
      </c>
      <c r="S708" s="498"/>
      <c r="AJ708" s="498"/>
      <c r="AM708" s="498">
        <f t="shared" si="236"/>
        <v>0</v>
      </c>
      <c r="AN708" s="498">
        <f t="shared" si="237"/>
        <v>0</v>
      </c>
      <c r="AO708" s="498">
        <f t="shared" si="238"/>
        <v>0</v>
      </c>
      <c r="AP708" s="498">
        <f t="shared" si="257"/>
        <v>0</v>
      </c>
      <c r="AQ708" s="498">
        <f t="shared" si="252"/>
        <v>0</v>
      </c>
      <c r="AU708" s="498">
        <f t="shared" si="239"/>
        <v>0</v>
      </c>
      <c r="AV708" s="498">
        <f t="shared" si="240"/>
        <v>0</v>
      </c>
      <c r="AW708" s="498">
        <f t="shared" si="241"/>
        <v>0</v>
      </c>
      <c r="AX708" s="498">
        <f t="shared" si="242"/>
        <v>0</v>
      </c>
      <c r="AY708" s="498">
        <f t="shared" si="243"/>
        <v>0</v>
      </c>
      <c r="BB708" s="498" t="str">
        <f t="shared" si="244"/>
        <v/>
      </c>
      <c r="BC708" s="743" t="str">
        <f t="shared" si="245"/>
        <v/>
      </c>
      <c r="BD708" s="743" t="str">
        <f t="shared" si="246"/>
        <v/>
      </c>
      <c r="BE708" s="743" t="str">
        <f>IF(D708="","",VLOOKUP(D708,'General Basis'!$J$39:$K$46,2,0))</f>
        <v/>
      </c>
      <c r="BF708" s="744" t="str">
        <f>IF(D708="","",VLOOKUP(D708,'General Basis'!$J$39:$L$46,3,0))</f>
        <v/>
      </c>
      <c r="BG708" s="744" t="str">
        <f t="shared" si="253"/>
        <v/>
      </c>
      <c r="BH708" s="744" t="str">
        <f>IF(G708="","",IF(BF708="Abu Dhabi",IF(G708&lt;18,'General Basis'!$C$39,IF(G708&lt;41,'General Basis'!$C$40,IF(G708&lt;60,'General Basis'!$C$41,IF(G708&lt;65,'General Basis'!$C$42,'General Basis'!$C$43)))),IF(G708&lt;11,'General Basis'!$B$39,IF(G708&lt;18,'General Basis'!$B$40,IF(G708&lt;26,'General Basis'!$B$41,IF(G708&lt;31,'General Basis'!$B$42,IF(G708&lt;36,'General Basis'!$B$43,IF(G708&lt;41,'General Basis'!$B$44,IF(G708&lt;46,'General Basis'!$B$45,IF(G708&lt;51,'General Basis'!$B$46,IF(G708&lt;56,'General Basis'!$B$47,IF(G708&lt;60,'General Basis'!$B$48,IF(G708&lt;65,'General Basis'!$B$49,'General Basis'!$B$50)))))))))))))</f>
        <v/>
      </c>
      <c r="BI708" s="744" t="str">
        <f t="shared" si="247"/>
        <v/>
      </c>
      <c r="BJ708" s="747" t="str">
        <f t="shared" si="254"/>
        <v/>
      </c>
      <c r="BK708" s="498" t="str">
        <f t="shared" si="248"/>
        <v/>
      </c>
      <c r="BL708" s="498" t="str">
        <f t="shared" si="249"/>
        <v/>
      </c>
    </row>
    <row r="709" spans="1:64" x14ac:dyDescent="0.25">
      <c r="A709" s="762">
        <f t="shared" si="250"/>
        <v>704</v>
      </c>
      <c r="B709" s="229"/>
      <c r="C709" s="223"/>
      <c r="D709" s="224"/>
      <c r="E709" s="225"/>
      <c r="F709" s="1036" t="str">
        <f t="shared" si="256"/>
        <v/>
      </c>
      <c r="G709" s="1037" t="str">
        <f t="shared" si="251"/>
        <v/>
      </c>
      <c r="H709" s="225"/>
      <c r="I709" s="1013"/>
      <c r="J709" s="1013"/>
      <c r="K709" s="1028"/>
      <c r="L709" s="1035" t="str">
        <f t="shared" si="255"/>
        <v/>
      </c>
      <c r="S709" s="498"/>
      <c r="AJ709" s="498"/>
      <c r="AM709" s="498">
        <f t="shared" si="236"/>
        <v>0</v>
      </c>
      <c r="AN709" s="498">
        <f t="shared" si="237"/>
        <v>0</v>
      </c>
      <c r="AO709" s="498">
        <f t="shared" si="238"/>
        <v>0</v>
      </c>
      <c r="AP709" s="498">
        <f t="shared" si="257"/>
        <v>0</v>
      </c>
      <c r="AQ709" s="498">
        <f t="shared" si="252"/>
        <v>0</v>
      </c>
      <c r="AU709" s="498">
        <f t="shared" si="239"/>
        <v>0</v>
      </c>
      <c r="AV709" s="498">
        <f t="shared" si="240"/>
        <v>0</v>
      </c>
      <c r="AW709" s="498">
        <f t="shared" si="241"/>
        <v>0</v>
      </c>
      <c r="AX709" s="498">
        <f t="shared" si="242"/>
        <v>0</v>
      </c>
      <c r="AY709" s="498">
        <f t="shared" si="243"/>
        <v>0</v>
      </c>
      <c r="BB709" s="498" t="str">
        <f t="shared" si="244"/>
        <v/>
      </c>
      <c r="BC709" s="743" t="str">
        <f t="shared" si="245"/>
        <v/>
      </c>
      <c r="BD709" s="743" t="str">
        <f t="shared" si="246"/>
        <v/>
      </c>
      <c r="BE709" s="743" t="str">
        <f>IF(D709="","",VLOOKUP(D709,'General Basis'!$J$39:$K$46,2,0))</f>
        <v/>
      </c>
      <c r="BF709" s="744" t="str">
        <f>IF(D709="","",VLOOKUP(D709,'General Basis'!$J$39:$L$46,3,0))</f>
        <v/>
      </c>
      <c r="BG709" s="744" t="str">
        <f t="shared" si="253"/>
        <v/>
      </c>
      <c r="BH709" s="744" t="str">
        <f>IF(G709="","",IF(BF709="Abu Dhabi",IF(G709&lt;18,'General Basis'!$C$39,IF(G709&lt;41,'General Basis'!$C$40,IF(G709&lt;60,'General Basis'!$C$41,IF(G709&lt;65,'General Basis'!$C$42,'General Basis'!$C$43)))),IF(G709&lt;11,'General Basis'!$B$39,IF(G709&lt;18,'General Basis'!$B$40,IF(G709&lt;26,'General Basis'!$B$41,IF(G709&lt;31,'General Basis'!$B$42,IF(G709&lt;36,'General Basis'!$B$43,IF(G709&lt;41,'General Basis'!$B$44,IF(G709&lt;46,'General Basis'!$B$45,IF(G709&lt;51,'General Basis'!$B$46,IF(G709&lt;56,'General Basis'!$B$47,IF(G709&lt;60,'General Basis'!$B$48,IF(G709&lt;65,'General Basis'!$B$49,'General Basis'!$B$50)))))))))))))</f>
        <v/>
      </c>
      <c r="BI709" s="744" t="str">
        <f t="shared" si="247"/>
        <v/>
      </c>
      <c r="BJ709" s="747" t="str">
        <f t="shared" si="254"/>
        <v/>
      </c>
      <c r="BK709" s="498" t="str">
        <f t="shared" si="248"/>
        <v/>
      </c>
      <c r="BL709" s="498" t="str">
        <f t="shared" si="249"/>
        <v/>
      </c>
    </row>
    <row r="710" spans="1:64" x14ac:dyDescent="0.25">
      <c r="A710" s="762">
        <f t="shared" si="250"/>
        <v>705</v>
      </c>
      <c r="B710" s="229"/>
      <c r="C710" s="223"/>
      <c r="D710" s="224"/>
      <c r="E710" s="225"/>
      <c r="F710" s="1036" t="str">
        <f t="shared" si="256"/>
        <v/>
      </c>
      <c r="G710" s="1037" t="str">
        <f t="shared" si="251"/>
        <v/>
      </c>
      <c r="H710" s="225"/>
      <c r="I710" s="1013"/>
      <c r="J710" s="1013"/>
      <c r="K710" s="1028"/>
      <c r="L710" s="1035" t="str">
        <f t="shared" si="255"/>
        <v/>
      </c>
      <c r="S710" s="498"/>
      <c r="AJ710" s="498"/>
      <c r="AM710" s="498">
        <f t="shared" ref="AM710:AM773" si="258">IF(ISTEXT(B710),1,0)</f>
        <v>0</v>
      </c>
      <c r="AN710" s="498">
        <f t="shared" ref="AN710:AN773" si="259">IF(ISBLANK(B710),0,IF(B710&lt;$AK$6,1,0))</f>
        <v>0</v>
      </c>
      <c r="AO710" s="498">
        <f t="shared" ref="AO710:AO773" si="260">IF(ISBLANK(B710),0,IF(B710&gt;$AK$7,1,0))</f>
        <v>0</v>
      </c>
      <c r="AP710" s="498">
        <f t="shared" si="257"/>
        <v>0</v>
      </c>
      <c r="AQ710" s="498">
        <f t="shared" si="252"/>
        <v>0</v>
      </c>
      <c r="AU710" s="498">
        <f t="shared" ref="AU710:AU773" si="261">IF(ISBLANK(B710),0,1)</f>
        <v>0</v>
      </c>
      <c r="AV710" s="498">
        <f t="shared" ref="AV710:AV773" si="262">IF(ISBLANK(C710),0,1)</f>
        <v>0</v>
      </c>
      <c r="AW710" s="498">
        <f t="shared" ref="AW710:AW773" si="263">IF(ISBLANK(D710),0,1)</f>
        <v>0</v>
      </c>
      <c r="AX710" s="498">
        <f t="shared" ref="AX710:AX773" si="264">IF(ISBLANK(E710),0,1)</f>
        <v>0</v>
      </c>
      <c r="AY710" s="498">
        <f t="shared" ref="AY710:AY773" si="265">IF(ISBLANK(H710),0,1)</f>
        <v>0</v>
      </c>
      <c r="BB710" s="498" t="str">
        <f t="shared" ref="BB710:BB773" si="266">IF(E710="Principal","Principal",IF(E710="","","Other"))</f>
        <v/>
      </c>
      <c r="BC710" s="743" t="str">
        <f t="shared" ref="BC710:BC773" si="267">IF(D710="","",D710)</f>
        <v/>
      </c>
      <c r="BD710" s="743" t="str">
        <f t="shared" ref="BD710:BD773" si="268">IF(E710="Principal","Employee",IF(E710="","","Dependent"))</f>
        <v/>
      </c>
      <c r="BE710" s="743" t="str">
        <f>IF(D710="","",VLOOKUP(D710,'General Basis'!$J$39:$K$46,2,0))</f>
        <v/>
      </c>
      <c r="BF710" s="744" t="str">
        <f>IF(D710="","",VLOOKUP(D710,'General Basis'!$J$39:$L$46,3,0))</f>
        <v/>
      </c>
      <c r="BG710" s="744" t="str">
        <f t="shared" si="253"/>
        <v/>
      </c>
      <c r="BH710" s="744" t="str">
        <f>IF(G710="","",IF(BF710="Abu Dhabi",IF(G710&lt;18,'General Basis'!$C$39,IF(G710&lt;41,'General Basis'!$C$40,IF(G710&lt;60,'General Basis'!$C$41,IF(G710&lt;65,'General Basis'!$C$42,'General Basis'!$C$43)))),IF(G710&lt;11,'General Basis'!$B$39,IF(G710&lt;18,'General Basis'!$B$40,IF(G710&lt;26,'General Basis'!$B$41,IF(G710&lt;31,'General Basis'!$B$42,IF(G710&lt;36,'General Basis'!$B$43,IF(G710&lt;41,'General Basis'!$B$44,IF(G710&lt;46,'General Basis'!$B$45,IF(G710&lt;51,'General Basis'!$B$46,IF(G710&lt;56,'General Basis'!$B$47,IF(G710&lt;60,'General Basis'!$B$48,IF(G710&lt;65,'General Basis'!$B$49,'General Basis'!$B$50)))))))))))))</f>
        <v/>
      </c>
      <c r="BI710" s="744" t="str">
        <f t="shared" ref="BI710:BI773" si="269">IF(C710="","",IF(C710="M","Male","Female"))</f>
        <v/>
      </c>
      <c r="BJ710" s="747" t="str">
        <f t="shared" si="254"/>
        <v/>
      </c>
      <c r="BK710" s="498" t="str">
        <f t="shared" ref="BK710:BK773" si="270">IF(BD710="","",IF(AND(BD710="Employee",BI710="Male",BF710="Abu Dhabi",BE710=GN_Plus),VLOOKUP(BH710,AUH_MALE_EMP,2,0),IF(AND(BD710="Employee",BI710="Male",BF710="Abu Dhabi",BE710=GN),VLOOKUP(BH710,AUH_MALE_EMP,3,0),IF(AND(BD710="Employee",BI710="Male",BF710="Abu Dhabi",BE710=RN_Plus),VLOOKUP(BH710,AUH_MALE_EMP,4,0),IF(AND(BD710="Employee",BI710="Male",BF710="Abu Dhabi",BE710=RN),VLOOKUP(BH710,AUH_MALE_EMP,5,0),IF(AND(BD710="Employee",BI710="Male",BF710="Abu Dhabi",BE710=RN_2),VLOOKUP(BH710,AUH_MALE_EMP,6,0),IF(AND(BD710="Employee",BI710="Male",BF710="Abu Dhabi",BE710=RN2_minus),VLOOKUP(BH710,AUH_MALE_EMP,7,0),IF(AND(BD710="Employee",BI710="Male",BF710="Abu Dhabi",BE710=RN_3),VLOOKUP(BH710,AUH_MALE_EMP,8,0),IF(AND(BD710="Employee",BI710="Male",BF710="Abu Dhabi",BE710=VN),VLOOKUP(BH710,AUH_MALE_EMP,9,0),IF(BD710="","",IF(AND(BD710="Employee",BI710="Female",BF710="Abu Dhabi",BE710=GN_Plus),VLOOKUP(BH710,AUH_FEMALE_EMP,2,0),IF(AND(BD710="Employee",BI710="Female",BF710="Abu Dhabi",BE710=GN),VLOOKUP(BH710,AUH_FEMALE_EMP,3,0),IF(AND(BD710="Employee",BI710="Female",BF710="Abu Dhabi",BE710=RN_Plus),VLOOKUP(BH710,AUH_FEMALE_EMP,4,0),IF(AND(BD710="Employee",BI710="Female",BF710="Abu Dhabi",BE710=RN),VLOOKUP(BH710,AUH_FEMALE_EMP,5,0),IF(AND(BD710="Employee",BI710="Female",BF710="Abu Dhabi",BE710=RN_2),VLOOKUP(BH710,AUH_FEMALE_EMP,6,0),IF(AND(BD710="Employee",BI710="Female",BF710="Abu Dhabi",BE710=RN2_minus),VLOOKUP(BH710,AUH_FEMALE_EMP,7,0),IF(AND(BD710="Employee",BI710="Female",BF710="Abu Dhabi",BE710=RN_3),VLOOKUP(BH710,AUH_FEMALE_EMP,8,0),IF(AND(BD710="Employee",BI710="Female",BF710="Abu Dhabi",BE710=VN),VLOOKUP(BH710,AUH_FEMALE_EMP,9,0),IF(BD710="","",IF(AND(BD710="Dependent",BI710="Male",BF710="Abu Dhabi",BE710=GN_Plus),VLOOKUP(BH710,AUH_MALE_DEP,2,0),IF(AND(BD710="Dependent",BI710="Male",BF710="Abu Dhabi",BE710=GN),VLOOKUP(BH710,AUH_MALE_DEP,3,0),IF(AND(BD710="Dependent",BI710="Male",BF710="Abu Dhabi",BE710=RN_Plus),VLOOKUP(BH710,AUH_MALE_DEP,4,0),IF(AND(BD710="Dependent",BI710="Male",BF710="Abu Dhabi",BE710=RN),VLOOKUP(BH710,AUH_MALE_DEP,5,0),IF(AND(BD710="Dependent",BI710="Male",BF710="Abu Dhabi",BE710=RN_2),VLOOKUP(BH710,AUH_MALE_DEP,6,0),IF(AND(BD710="Dependent",BI710="Male",BF710="Abu Dhabi",BE710=RN2_minus),VLOOKUP(BH710,AUH_MALE_DEP,7,0),IF(AND(BD710="Dependent",BI710="Male",BF710="Abu Dhabi",BE710=RN_3),VLOOKUP(BH710,AUH_MALE_DEP,8,0),IF(AND(BD710="Dependent",BI710="Male",BF710="Abu Dhabi",BE710=VN),VLOOKUP(BH710,AUH_MALE_DEP,9,0),IF(BD710="","",IF(AND(BD710="Dependent",BI710="Female",BF710="Abu Dhabi",BE710=GN_Plus),VLOOKUP(BH710,AUH_FEMALE_DEP,2,0),IF(AND(BD710="Dependent",BI710="Female",BF710="Abu Dhabi",BE710=GN),VLOOKUP(BH710,AUH_FEMALE_DEP,3,0),IF(AND(BD710="Dependent",BI710="Female",BF710="Abu Dhabi",BE710=RN_Plus),VLOOKUP(BH710,AUH_FEMALE_DEP,4,0),IF(AND(BD710="Dependent",BI710="Female",BF710="Abu Dhabi",BE710=RN),VLOOKUP(BH710,AUH_FEMALE_DEP,5,0),IF(AND(BD710="Dependent",BI710="Female",BF710="Abu Dhabi",BE710=RN_2),VLOOKUP(BH710,AUH_FEMALE_DEP,6,0),IF(AND(BD710="Dependent",BI710="Female",BF710="Abu Dhabi",BE710=RN2_minus),VLOOKUP(BH710,AUH_FEMALE_DEP,7,0),IF(AND(BD710="Dependent",BI710="Female",BF710="Abu Dhabi",BE710=RN_3),VLOOKUP(BH710,AUH_FEMALE_DEP,8,0),IF(AND(BD710="Dependent",BI710="Female",BF710="Abu Dhabi",BE710=VN),VLOOKUP(BH710,AUH_FEMALE_DEP,9,0),"ABC"))))))))))))))))))))))))))))))))))))</f>
        <v/>
      </c>
      <c r="BL710" s="498" t="str">
        <f t="shared" ref="BL710:BL773" si="271">IF(BD710="","",IF(AND(BD710="Employee",BI710="Male",BF710="Dubai",BE710=GN_Plus),VLOOKUP(BH710,DXB_MALE_EMP,2,0),IF(AND(BD710="Employee",BI710="Male",BF710="Dubai",BE710=GN),VLOOKUP(BH710,DXB_MALE_EMP,3,0),IF(AND(BD710="Employee",BI710="Male",BF710="Dubai",BE710=RN_Plus),VLOOKUP(BH710,DXB_MALE_EMP,4,0),IF(AND(BD710="Employee",BI710="Male",BF710="Dubai",BE710=RN),VLOOKUP(BH710,DXB_MALE_EMP,5,0),IF(AND(BD710="Employee",BI710="Male",BF710="Dubai",BE710=RN_2),VLOOKUP(BH710,DXB_MALE_EMP,6,0),IF(AND(BD710="Employee",BI710="Male",BF710="Dubai",BE710=RN2_minus),VLOOKUP(BH710,DXB_MALE_EMP,7,0),IF(AND(BD710="Employee",BI710="Male",BF710="Dubai",BE710=RN_3),VLOOKUP(BH710,DXB_MALE_EMP,8,0),IF(AND(BD710="Employee",BI710="Male",BF710="Dubai",BE710=VN),VLOOKUP(BH710,DXB_MALE_EMP,9,0),IF(BD710="","",IF(AND(BD710="Employee",BI710="Female",BF710="Dubai",BE710=GN_Plus),VLOOKUP(BH710,DXB_FEMALE_EMP,2,0),IF(AND(BD710="Employee",BI710="Female",BF710="Dubai",BE710=GN),VLOOKUP(BH710,DXB_FEMALE_EMP,3,0),IF(AND(BD710="Employee",BI710="Female",BF710="Dubai",BE710=RN_Plus),VLOOKUP(BH710,DXB_FEMALE_EMP,4,0),IF(AND(BD710="Employee",BI710="Female",BF710="Dubai",BE710=RN),VLOOKUP(BH710,DXB_FEMALE_EMP,5,0),IF(AND(BD710="Employee",BI710="Female",BF710="Dubai",BE710=RN_2),VLOOKUP(BH710,DXB_FEMALE_EMP,6,0),IF(AND(BD710="Employee",BI710="Female",BF710="Dubai",BE710=RN2_minus),VLOOKUP(BH710,DXB_FEMALE_EMP,7,0),IF(AND(BD710="Employee",BI710="Female",BF710="Dubai",BE710=RN_3),VLOOKUP(BH710,DXB_FEMALE_EMP,8,0),IF(AND(BD710="Employee",BI710="Female",BF710="Dubai",BE710=VN),VLOOKUP(BH710,DXB_FEMALE_EMP,9,0),IF(BD710="","",IF(AND(BD710="Dependent",BI710="Male",BF710="Dubai",BE710=GN_Plus),VLOOKUP(BH710,DXB_MALE_DEP,2,0),IF(AND(BD710="Dependent",BI710="Male",BF710="Dubai",BE710=GN),VLOOKUP(BH710,DXB_MALE_DEP,3,0),IF(AND(BD710="Dependent",BI710="Male",BF710="Dubai",BE710=RN_Plus),VLOOKUP(BH710,DXB_MALE_DEP,4,0),IF(AND(BD710="Dependent",BI710="Male",BF710="Dubai",BE710=RN),VLOOKUP(BH710,DXB_MALE_DEP,5,0),IF(AND(BD710="Dependent",BI710="Male",BF710="Dubai",BE710=RN_2),VLOOKUP(BH710,DXB_MALE_DEP,6,0),IF(AND(BD710="Dependent",BI710="Male",BF710="Dubai",BE710=RN2_minus),VLOOKUP(BH710,DXB_MALE_DEP,7,0),IF(AND(BD710="Dependent",BI710="Male",BF710="Dubai",BE710=RN_3),VLOOKUP(BH710,DXB_MALE_DEP,8,0),IF(AND(BD710="Dependent",BI710="Male",BF710="Dubai",BE710=VN),VLOOKUP(BH710,DXB_MALE_DEP,9,0),IF(BD710="","",IF(AND(BD710="Dependent",BI710="Female",BF710="Dubai",BE710=GN_Plus),VLOOKUP(BH710,DXB_FEMALE_DEP,2,0),IF(AND(BD710="Dependent",BI710="Female",BF710="Dubai",BE710=GN),VLOOKUP(BH710,DXB_FEMALE_DEP,3,0),IF(AND(BD710="Dependent",BI710="Female",BF710="Dubai",BE710=RN_Plus),VLOOKUP(BH710,DXB_FEMALE_DEP,4,0),IF(AND(BD710="Dependent",BI710="Female",BF710="Dubai",BE710=RN),VLOOKUP(BH710,DXB_FEMALE_DEP,5,0),IF(AND(BD710="Dependent",BI710="Female",BF710="Dubai",BE710=RN_2),VLOOKUP(BH710,DXB_FEMALE_DEP,6,0),IF(AND(BD710="Dependent",BI710="Female",BF710="Dubai",BE710=RN2_minus),VLOOKUP(BH710,DXB_FEMALE_DEP,7,0),IF(AND(BD710="Dependent",BI710="Female",BF710="Dubai",BE710=RN_3),VLOOKUP(BH710,DXB_FEMALE_DEP,8,0),IF(AND(BD710="Dependent",BI710="Female",BF710="Dubai",BE710=VN),VLOOKUP(BH710,DXB_FEMALE_DEP,9,0),"ABC"))))))))))))))))))))))))))))))))))))</f>
        <v/>
      </c>
    </row>
    <row r="711" spans="1:64" x14ac:dyDescent="0.25">
      <c r="A711" s="762">
        <f t="shared" ref="A711:A774" si="272">+A710+1</f>
        <v>706</v>
      </c>
      <c r="B711" s="229"/>
      <c r="C711" s="223"/>
      <c r="D711" s="224"/>
      <c r="E711" s="225"/>
      <c r="F711" s="1036" t="str">
        <f t="shared" si="256"/>
        <v/>
      </c>
      <c r="G711" s="1037" t="str">
        <f t="shared" ref="G711:G774" si="273">IF(D711="","",MAX(0,ROUNDUP(F711,0)))</f>
        <v/>
      </c>
      <c r="H711" s="225"/>
      <c r="I711" s="1013"/>
      <c r="J711" s="1013"/>
      <c r="K711" s="1028"/>
      <c r="L711" s="1035" t="str">
        <f t="shared" si="255"/>
        <v/>
      </c>
      <c r="S711" s="498"/>
      <c r="AJ711" s="498"/>
      <c r="AM711" s="498">
        <f t="shared" si="258"/>
        <v>0</v>
      </c>
      <c r="AN711" s="498">
        <f t="shared" si="259"/>
        <v>0</v>
      </c>
      <c r="AO711" s="498">
        <f t="shared" si="260"/>
        <v>0</v>
      </c>
      <c r="AP711" s="498">
        <f t="shared" si="257"/>
        <v>0</v>
      </c>
      <c r="AQ711" s="498">
        <f t="shared" ref="AQ711:AQ774" si="274">IF(ISBLANK($B711),0,IF(OR($H711="Single",$H711="Married"),0,1))</f>
        <v>0</v>
      </c>
      <c r="AU711" s="498">
        <f t="shared" si="261"/>
        <v>0</v>
      </c>
      <c r="AV711" s="498">
        <f t="shared" si="262"/>
        <v>0</v>
      </c>
      <c r="AW711" s="498">
        <f t="shared" si="263"/>
        <v>0</v>
      </c>
      <c r="AX711" s="498">
        <f t="shared" si="264"/>
        <v>0</v>
      </c>
      <c r="AY711" s="498">
        <f t="shared" si="265"/>
        <v>0</v>
      </c>
      <c r="BB711" s="498" t="str">
        <f t="shared" si="266"/>
        <v/>
      </c>
      <c r="BC711" s="743" t="str">
        <f t="shared" si="267"/>
        <v/>
      </c>
      <c r="BD711" s="743" t="str">
        <f t="shared" si="268"/>
        <v/>
      </c>
      <c r="BE711" s="743" t="str">
        <f>IF(D711="","",VLOOKUP(D711,'General Basis'!$J$39:$K$46,2,0))</f>
        <v/>
      </c>
      <c r="BF711" s="744" t="str">
        <f>IF(D711="","",VLOOKUP(D711,'General Basis'!$J$39:$L$46,3,0))</f>
        <v/>
      </c>
      <c r="BG711" s="744" t="str">
        <f t="shared" ref="BG711:BG774" si="275">BC711&amp;BI711</f>
        <v/>
      </c>
      <c r="BH711" s="744" t="str">
        <f>IF(G711="","",IF(BF711="Abu Dhabi",IF(G711&lt;18,'General Basis'!$C$39,IF(G711&lt;41,'General Basis'!$C$40,IF(G711&lt;60,'General Basis'!$C$41,IF(G711&lt;65,'General Basis'!$C$42,'General Basis'!$C$43)))),IF(G711&lt;11,'General Basis'!$B$39,IF(G711&lt;18,'General Basis'!$B$40,IF(G711&lt;26,'General Basis'!$B$41,IF(G711&lt;31,'General Basis'!$B$42,IF(G711&lt;36,'General Basis'!$B$43,IF(G711&lt;41,'General Basis'!$B$44,IF(G711&lt;46,'General Basis'!$B$45,IF(G711&lt;51,'General Basis'!$B$46,IF(G711&lt;56,'General Basis'!$B$47,IF(G711&lt;60,'General Basis'!$B$48,IF(G711&lt;65,'General Basis'!$B$49,'General Basis'!$B$50)))))))))))))</f>
        <v/>
      </c>
      <c r="BI711" s="744" t="str">
        <f t="shared" si="269"/>
        <v/>
      </c>
      <c r="BJ711" s="747" t="str">
        <f t="shared" ref="BJ711:BJ774" si="276">IF(BD711="","",IF(BF711="Abu Dhabi",BK711,BL711))</f>
        <v/>
      </c>
      <c r="BK711" s="498" t="str">
        <f t="shared" si="270"/>
        <v/>
      </c>
      <c r="BL711" s="498" t="str">
        <f t="shared" si="271"/>
        <v/>
      </c>
    </row>
    <row r="712" spans="1:64" x14ac:dyDescent="0.25">
      <c r="A712" s="762">
        <f t="shared" si="272"/>
        <v>707</v>
      </c>
      <c r="B712" s="229"/>
      <c r="C712" s="223"/>
      <c r="D712" s="224"/>
      <c r="E712" s="225"/>
      <c r="F712" s="1036" t="str">
        <f t="shared" si="256"/>
        <v/>
      </c>
      <c r="G712" s="1037" t="str">
        <f t="shared" si="273"/>
        <v/>
      </c>
      <c r="H712" s="225"/>
      <c r="I712" s="1013"/>
      <c r="J712" s="1013"/>
      <c r="K712" s="1028"/>
      <c r="L712" s="1035" t="str">
        <f t="shared" ref="L712:L775" si="277">IF(AND(E712="Child",H712="Married"),"Check the Marital Status of the Child. ",IF(AND(E712="Child",F712&gt;18),"Child Age exceed 18 years. ",IF(AND(E712="Spouse",H712="Single"),"Spouse is selected as Single. ","")))&amp;IF(K712&gt;0,"UW Loading has been Applied","")</f>
        <v/>
      </c>
      <c r="S712" s="498"/>
      <c r="AJ712" s="498"/>
      <c r="AM712" s="498">
        <f t="shared" si="258"/>
        <v>0</v>
      </c>
      <c r="AN712" s="498">
        <f t="shared" si="259"/>
        <v>0</v>
      </c>
      <c r="AO712" s="498">
        <f t="shared" si="260"/>
        <v>0</v>
      </c>
      <c r="AP712" s="498">
        <f t="shared" si="257"/>
        <v>0</v>
      </c>
      <c r="AQ712" s="498">
        <f t="shared" si="274"/>
        <v>0</v>
      </c>
      <c r="AU712" s="498">
        <f t="shared" si="261"/>
        <v>0</v>
      </c>
      <c r="AV712" s="498">
        <f t="shared" si="262"/>
        <v>0</v>
      </c>
      <c r="AW712" s="498">
        <f t="shared" si="263"/>
        <v>0</v>
      </c>
      <c r="AX712" s="498">
        <f t="shared" si="264"/>
        <v>0</v>
      </c>
      <c r="AY712" s="498">
        <f t="shared" si="265"/>
        <v>0</v>
      </c>
      <c r="BB712" s="498" t="str">
        <f t="shared" si="266"/>
        <v/>
      </c>
      <c r="BC712" s="743" t="str">
        <f t="shared" si="267"/>
        <v/>
      </c>
      <c r="BD712" s="743" t="str">
        <f t="shared" si="268"/>
        <v/>
      </c>
      <c r="BE712" s="743" t="str">
        <f>IF(D712="","",VLOOKUP(D712,'General Basis'!$J$39:$K$46,2,0))</f>
        <v/>
      </c>
      <c r="BF712" s="744" t="str">
        <f>IF(D712="","",VLOOKUP(D712,'General Basis'!$J$39:$L$46,3,0))</f>
        <v/>
      </c>
      <c r="BG712" s="744" t="str">
        <f t="shared" si="275"/>
        <v/>
      </c>
      <c r="BH712" s="744" t="str">
        <f>IF(G712="","",IF(BF712="Abu Dhabi",IF(G712&lt;18,'General Basis'!$C$39,IF(G712&lt;41,'General Basis'!$C$40,IF(G712&lt;60,'General Basis'!$C$41,IF(G712&lt;65,'General Basis'!$C$42,'General Basis'!$C$43)))),IF(G712&lt;11,'General Basis'!$B$39,IF(G712&lt;18,'General Basis'!$B$40,IF(G712&lt;26,'General Basis'!$B$41,IF(G712&lt;31,'General Basis'!$B$42,IF(G712&lt;36,'General Basis'!$B$43,IF(G712&lt;41,'General Basis'!$B$44,IF(G712&lt;46,'General Basis'!$B$45,IF(G712&lt;51,'General Basis'!$B$46,IF(G712&lt;56,'General Basis'!$B$47,IF(G712&lt;60,'General Basis'!$B$48,IF(G712&lt;65,'General Basis'!$B$49,'General Basis'!$B$50)))))))))))))</f>
        <v/>
      </c>
      <c r="BI712" s="744" t="str">
        <f t="shared" si="269"/>
        <v/>
      </c>
      <c r="BJ712" s="747" t="str">
        <f t="shared" si="276"/>
        <v/>
      </c>
      <c r="BK712" s="498" t="str">
        <f t="shared" si="270"/>
        <v/>
      </c>
      <c r="BL712" s="498" t="str">
        <f t="shared" si="271"/>
        <v/>
      </c>
    </row>
    <row r="713" spans="1:64" x14ac:dyDescent="0.25">
      <c r="A713" s="762">
        <f t="shared" si="272"/>
        <v>708</v>
      </c>
      <c r="B713" s="229"/>
      <c r="C713" s="223"/>
      <c r="D713" s="224"/>
      <c r="E713" s="225"/>
      <c r="F713" s="1036" t="str">
        <f t="shared" si="256"/>
        <v/>
      </c>
      <c r="G713" s="1037" t="str">
        <f t="shared" si="273"/>
        <v/>
      </c>
      <c r="H713" s="225"/>
      <c r="I713" s="1013"/>
      <c r="J713" s="1013"/>
      <c r="K713" s="1028"/>
      <c r="L713" s="1035" t="str">
        <f t="shared" si="277"/>
        <v/>
      </c>
      <c r="S713" s="498"/>
      <c r="AJ713" s="498"/>
      <c r="AM713" s="498">
        <f t="shared" si="258"/>
        <v>0</v>
      </c>
      <c r="AN713" s="498">
        <f t="shared" si="259"/>
        <v>0</v>
      </c>
      <c r="AO713" s="498">
        <f t="shared" si="260"/>
        <v>0</v>
      </c>
      <c r="AP713" s="498">
        <f t="shared" si="257"/>
        <v>0</v>
      </c>
      <c r="AQ713" s="498">
        <f t="shared" si="274"/>
        <v>0</v>
      </c>
      <c r="AU713" s="498">
        <f t="shared" si="261"/>
        <v>0</v>
      </c>
      <c r="AV713" s="498">
        <f t="shared" si="262"/>
        <v>0</v>
      </c>
      <c r="AW713" s="498">
        <f t="shared" si="263"/>
        <v>0</v>
      </c>
      <c r="AX713" s="498">
        <f t="shared" si="264"/>
        <v>0</v>
      </c>
      <c r="AY713" s="498">
        <f t="shared" si="265"/>
        <v>0</v>
      </c>
      <c r="BB713" s="498" t="str">
        <f t="shared" si="266"/>
        <v/>
      </c>
      <c r="BC713" s="743" t="str">
        <f t="shared" si="267"/>
        <v/>
      </c>
      <c r="BD713" s="743" t="str">
        <f t="shared" si="268"/>
        <v/>
      </c>
      <c r="BE713" s="743" t="str">
        <f>IF(D713="","",VLOOKUP(D713,'General Basis'!$J$39:$K$46,2,0))</f>
        <v/>
      </c>
      <c r="BF713" s="744" t="str">
        <f>IF(D713="","",VLOOKUP(D713,'General Basis'!$J$39:$L$46,3,0))</f>
        <v/>
      </c>
      <c r="BG713" s="744" t="str">
        <f t="shared" si="275"/>
        <v/>
      </c>
      <c r="BH713" s="744" t="str">
        <f>IF(G713="","",IF(BF713="Abu Dhabi",IF(G713&lt;18,'General Basis'!$C$39,IF(G713&lt;41,'General Basis'!$C$40,IF(G713&lt;60,'General Basis'!$C$41,IF(G713&lt;65,'General Basis'!$C$42,'General Basis'!$C$43)))),IF(G713&lt;11,'General Basis'!$B$39,IF(G713&lt;18,'General Basis'!$B$40,IF(G713&lt;26,'General Basis'!$B$41,IF(G713&lt;31,'General Basis'!$B$42,IF(G713&lt;36,'General Basis'!$B$43,IF(G713&lt;41,'General Basis'!$B$44,IF(G713&lt;46,'General Basis'!$B$45,IF(G713&lt;51,'General Basis'!$B$46,IF(G713&lt;56,'General Basis'!$B$47,IF(G713&lt;60,'General Basis'!$B$48,IF(G713&lt;65,'General Basis'!$B$49,'General Basis'!$B$50)))))))))))))</f>
        <v/>
      </c>
      <c r="BI713" s="744" t="str">
        <f t="shared" si="269"/>
        <v/>
      </c>
      <c r="BJ713" s="747" t="str">
        <f t="shared" si="276"/>
        <v/>
      </c>
      <c r="BK713" s="498" t="str">
        <f t="shared" si="270"/>
        <v/>
      </c>
      <c r="BL713" s="498" t="str">
        <f t="shared" si="271"/>
        <v/>
      </c>
    </row>
    <row r="714" spans="1:64" x14ac:dyDescent="0.25">
      <c r="A714" s="762">
        <f t="shared" si="272"/>
        <v>709</v>
      </c>
      <c r="B714" s="229"/>
      <c r="C714" s="223"/>
      <c r="D714" s="224"/>
      <c r="E714" s="225"/>
      <c r="F714" s="1036" t="str">
        <f t="shared" si="256"/>
        <v/>
      </c>
      <c r="G714" s="1037" t="str">
        <f t="shared" si="273"/>
        <v/>
      </c>
      <c r="H714" s="225"/>
      <c r="I714" s="1013"/>
      <c r="J714" s="1013"/>
      <c r="K714" s="1028"/>
      <c r="L714" s="1035" t="str">
        <f t="shared" si="277"/>
        <v/>
      </c>
      <c r="S714" s="498"/>
      <c r="AJ714" s="498"/>
      <c r="AM714" s="498">
        <f t="shared" si="258"/>
        <v>0</v>
      </c>
      <c r="AN714" s="498">
        <f t="shared" si="259"/>
        <v>0</v>
      </c>
      <c r="AO714" s="498">
        <f t="shared" si="260"/>
        <v>0</v>
      </c>
      <c r="AP714" s="498">
        <f t="shared" si="257"/>
        <v>0</v>
      </c>
      <c r="AQ714" s="498">
        <f t="shared" si="274"/>
        <v>0</v>
      </c>
      <c r="AU714" s="498">
        <f t="shared" si="261"/>
        <v>0</v>
      </c>
      <c r="AV714" s="498">
        <f t="shared" si="262"/>
        <v>0</v>
      </c>
      <c r="AW714" s="498">
        <f t="shared" si="263"/>
        <v>0</v>
      </c>
      <c r="AX714" s="498">
        <f t="shared" si="264"/>
        <v>0</v>
      </c>
      <c r="AY714" s="498">
        <f t="shared" si="265"/>
        <v>0</v>
      </c>
      <c r="BB714" s="498" t="str">
        <f t="shared" si="266"/>
        <v/>
      </c>
      <c r="BC714" s="743" t="str">
        <f t="shared" si="267"/>
        <v/>
      </c>
      <c r="BD714" s="743" t="str">
        <f t="shared" si="268"/>
        <v/>
      </c>
      <c r="BE714" s="743" t="str">
        <f>IF(D714="","",VLOOKUP(D714,'General Basis'!$J$39:$K$46,2,0))</f>
        <v/>
      </c>
      <c r="BF714" s="744" t="str">
        <f>IF(D714="","",VLOOKUP(D714,'General Basis'!$J$39:$L$46,3,0))</f>
        <v/>
      </c>
      <c r="BG714" s="744" t="str">
        <f t="shared" si="275"/>
        <v/>
      </c>
      <c r="BH714" s="744" t="str">
        <f>IF(G714="","",IF(BF714="Abu Dhabi",IF(G714&lt;18,'General Basis'!$C$39,IF(G714&lt;41,'General Basis'!$C$40,IF(G714&lt;60,'General Basis'!$C$41,IF(G714&lt;65,'General Basis'!$C$42,'General Basis'!$C$43)))),IF(G714&lt;11,'General Basis'!$B$39,IF(G714&lt;18,'General Basis'!$B$40,IF(G714&lt;26,'General Basis'!$B$41,IF(G714&lt;31,'General Basis'!$B$42,IF(G714&lt;36,'General Basis'!$B$43,IF(G714&lt;41,'General Basis'!$B$44,IF(G714&lt;46,'General Basis'!$B$45,IF(G714&lt;51,'General Basis'!$B$46,IF(G714&lt;56,'General Basis'!$B$47,IF(G714&lt;60,'General Basis'!$B$48,IF(G714&lt;65,'General Basis'!$B$49,'General Basis'!$B$50)))))))))))))</f>
        <v/>
      </c>
      <c r="BI714" s="744" t="str">
        <f t="shared" si="269"/>
        <v/>
      </c>
      <c r="BJ714" s="747" t="str">
        <f t="shared" si="276"/>
        <v/>
      </c>
      <c r="BK714" s="498" t="str">
        <f t="shared" si="270"/>
        <v/>
      </c>
      <c r="BL714" s="498" t="str">
        <f t="shared" si="271"/>
        <v/>
      </c>
    </row>
    <row r="715" spans="1:64" x14ac:dyDescent="0.25">
      <c r="A715" s="762">
        <f t="shared" si="272"/>
        <v>710</v>
      </c>
      <c r="B715" s="229"/>
      <c r="C715" s="223"/>
      <c r="D715" s="224"/>
      <c r="E715" s="225"/>
      <c r="F715" s="1036" t="str">
        <f t="shared" si="256"/>
        <v/>
      </c>
      <c r="G715" s="1037" t="str">
        <f t="shared" si="273"/>
        <v/>
      </c>
      <c r="H715" s="225"/>
      <c r="I715" s="1013"/>
      <c r="J715" s="1013"/>
      <c r="K715" s="1028"/>
      <c r="L715" s="1035" t="str">
        <f t="shared" si="277"/>
        <v/>
      </c>
      <c r="S715" s="498"/>
      <c r="AJ715" s="498"/>
      <c r="AM715" s="498">
        <f t="shared" si="258"/>
        <v>0</v>
      </c>
      <c r="AN715" s="498">
        <f t="shared" si="259"/>
        <v>0</v>
      </c>
      <c r="AO715" s="498">
        <f t="shared" si="260"/>
        <v>0</v>
      </c>
      <c r="AP715" s="498">
        <f t="shared" si="257"/>
        <v>0</v>
      </c>
      <c r="AQ715" s="498">
        <f t="shared" si="274"/>
        <v>0</v>
      </c>
      <c r="AU715" s="498">
        <f t="shared" si="261"/>
        <v>0</v>
      </c>
      <c r="AV715" s="498">
        <f t="shared" si="262"/>
        <v>0</v>
      </c>
      <c r="AW715" s="498">
        <f t="shared" si="263"/>
        <v>0</v>
      </c>
      <c r="AX715" s="498">
        <f t="shared" si="264"/>
        <v>0</v>
      </c>
      <c r="AY715" s="498">
        <f t="shared" si="265"/>
        <v>0</v>
      </c>
      <c r="BB715" s="498" t="str">
        <f t="shared" si="266"/>
        <v/>
      </c>
      <c r="BC715" s="743" t="str">
        <f t="shared" si="267"/>
        <v/>
      </c>
      <c r="BD715" s="743" t="str">
        <f t="shared" si="268"/>
        <v/>
      </c>
      <c r="BE715" s="743" t="str">
        <f>IF(D715="","",VLOOKUP(D715,'General Basis'!$J$39:$K$46,2,0))</f>
        <v/>
      </c>
      <c r="BF715" s="744" t="str">
        <f>IF(D715="","",VLOOKUP(D715,'General Basis'!$J$39:$L$46,3,0))</f>
        <v/>
      </c>
      <c r="BG715" s="744" t="str">
        <f t="shared" si="275"/>
        <v/>
      </c>
      <c r="BH715" s="744" t="str">
        <f>IF(G715="","",IF(BF715="Abu Dhabi",IF(G715&lt;18,'General Basis'!$C$39,IF(G715&lt;41,'General Basis'!$C$40,IF(G715&lt;60,'General Basis'!$C$41,IF(G715&lt;65,'General Basis'!$C$42,'General Basis'!$C$43)))),IF(G715&lt;11,'General Basis'!$B$39,IF(G715&lt;18,'General Basis'!$B$40,IF(G715&lt;26,'General Basis'!$B$41,IF(G715&lt;31,'General Basis'!$B$42,IF(G715&lt;36,'General Basis'!$B$43,IF(G715&lt;41,'General Basis'!$B$44,IF(G715&lt;46,'General Basis'!$B$45,IF(G715&lt;51,'General Basis'!$B$46,IF(G715&lt;56,'General Basis'!$B$47,IF(G715&lt;60,'General Basis'!$B$48,IF(G715&lt;65,'General Basis'!$B$49,'General Basis'!$B$50)))))))))))))</f>
        <v/>
      </c>
      <c r="BI715" s="744" t="str">
        <f t="shared" si="269"/>
        <v/>
      </c>
      <c r="BJ715" s="747" t="str">
        <f t="shared" si="276"/>
        <v/>
      </c>
      <c r="BK715" s="498" t="str">
        <f t="shared" si="270"/>
        <v/>
      </c>
      <c r="BL715" s="498" t="str">
        <f t="shared" si="271"/>
        <v/>
      </c>
    </row>
    <row r="716" spans="1:64" x14ac:dyDescent="0.25">
      <c r="A716" s="762">
        <f t="shared" si="272"/>
        <v>711</v>
      </c>
      <c r="B716" s="229"/>
      <c r="C716" s="223"/>
      <c r="D716" s="224"/>
      <c r="E716" s="225"/>
      <c r="F716" s="1036" t="str">
        <f t="shared" si="256"/>
        <v/>
      </c>
      <c r="G716" s="1037" t="str">
        <f t="shared" si="273"/>
        <v/>
      </c>
      <c r="H716" s="225"/>
      <c r="I716" s="1013"/>
      <c r="J716" s="1013"/>
      <c r="K716" s="1028"/>
      <c r="L716" s="1035" t="str">
        <f t="shared" si="277"/>
        <v/>
      </c>
      <c r="S716" s="498"/>
      <c r="AJ716" s="498"/>
      <c r="AM716" s="498">
        <f t="shared" si="258"/>
        <v>0</v>
      </c>
      <c r="AN716" s="498">
        <f t="shared" si="259"/>
        <v>0</v>
      </c>
      <c r="AO716" s="498">
        <f t="shared" si="260"/>
        <v>0</v>
      </c>
      <c r="AP716" s="498">
        <f t="shared" si="257"/>
        <v>0</v>
      </c>
      <c r="AQ716" s="498">
        <f t="shared" si="274"/>
        <v>0</v>
      </c>
      <c r="AU716" s="498">
        <f t="shared" si="261"/>
        <v>0</v>
      </c>
      <c r="AV716" s="498">
        <f t="shared" si="262"/>
        <v>0</v>
      </c>
      <c r="AW716" s="498">
        <f t="shared" si="263"/>
        <v>0</v>
      </c>
      <c r="AX716" s="498">
        <f t="shared" si="264"/>
        <v>0</v>
      </c>
      <c r="AY716" s="498">
        <f t="shared" si="265"/>
        <v>0</v>
      </c>
      <c r="BB716" s="498" t="str">
        <f t="shared" si="266"/>
        <v/>
      </c>
      <c r="BC716" s="743" t="str">
        <f t="shared" si="267"/>
        <v/>
      </c>
      <c r="BD716" s="743" t="str">
        <f t="shared" si="268"/>
        <v/>
      </c>
      <c r="BE716" s="743" t="str">
        <f>IF(D716="","",VLOOKUP(D716,'General Basis'!$J$39:$K$46,2,0))</f>
        <v/>
      </c>
      <c r="BF716" s="744" t="str">
        <f>IF(D716="","",VLOOKUP(D716,'General Basis'!$J$39:$L$46,3,0))</f>
        <v/>
      </c>
      <c r="BG716" s="744" t="str">
        <f t="shared" si="275"/>
        <v/>
      </c>
      <c r="BH716" s="744" t="str">
        <f>IF(G716="","",IF(BF716="Abu Dhabi",IF(G716&lt;18,'General Basis'!$C$39,IF(G716&lt;41,'General Basis'!$C$40,IF(G716&lt;60,'General Basis'!$C$41,IF(G716&lt;65,'General Basis'!$C$42,'General Basis'!$C$43)))),IF(G716&lt;11,'General Basis'!$B$39,IF(G716&lt;18,'General Basis'!$B$40,IF(G716&lt;26,'General Basis'!$B$41,IF(G716&lt;31,'General Basis'!$B$42,IF(G716&lt;36,'General Basis'!$B$43,IF(G716&lt;41,'General Basis'!$B$44,IF(G716&lt;46,'General Basis'!$B$45,IF(G716&lt;51,'General Basis'!$B$46,IF(G716&lt;56,'General Basis'!$B$47,IF(G716&lt;60,'General Basis'!$B$48,IF(G716&lt;65,'General Basis'!$B$49,'General Basis'!$B$50)))))))))))))</f>
        <v/>
      </c>
      <c r="BI716" s="744" t="str">
        <f t="shared" si="269"/>
        <v/>
      </c>
      <c r="BJ716" s="747" t="str">
        <f t="shared" si="276"/>
        <v/>
      </c>
      <c r="BK716" s="498" t="str">
        <f t="shared" si="270"/>
        <v/>
      </c>
      <c r="BL716" s="498" t="str">
        <f t="shared" si="271"/>
        <v/>
      </c>
    </row>
    <row r="717" spans="1:64" x14ac:dyDescent="0.25">
      <c r="A717" s="762">
        <f t="shared" si="272"/>
        <v>712</v>
      </c>
      <c r="B717" s="229"/>
      <c r="C717" s="223"/>
      <c r="D717" s="224"/>
      <c r="E717" s="225"/>
      <c r="F717" s="1036" t="str">
        <f t="shared" si="256"/>
        <v/>
      </c>
      <c r="G717" s="1037" t="str">
        <f t="shared" si="273"/>
        <v/>
      </c>
      <c r="H717" s="225"/>
      <c r="I717" s="1013"/>
      <c r="J717" s="1013"/>
      <c r="K717" s="1028"/>
      <c r="L717" s="1035" t="str">
        <f t="shared" si="277"/>
        <v/>
      </c>
      <c r="S717" s="498"/>
      <c r="AJ717" s="498"/>
      <c r="AM717" s="498">
        <f t="shared" si="258"/>
        <v>0</v>
      </c>
      <c r="AN717" s="498">
        <f t="shared" si="259"/>
        <v>0</v>
      </c>
      <c r="AO717" s="498">
        <f t="shared" si="260"/>
        <v>0</v>
      </c>
      <c r="AP717" s="498">
        <f t="shared" si="257"/>
        <v>0</v>
      </c>
      <c r="AQ717" s="498">
        <f t="shared" si="274"/>
        <v>0</v>
      </c>
      <c r="AU717" s="498">
        <f t="shared" si="261"/>
        <v>0</v>
      </c>
      <c r="AV717" s="498">
        <f t="shared" si="262"/>
        <v>0</v>
      </c>
      <c r="AW717" s="498">
        <f t="shared" si="263"/>
        <v>0</v>
      </c>
      <c r="AX717" s="498">
        <f t="shared" si="264"/>
        <v>0</v>
      </c>
      <c r="AY717" s="498">
        <f t="shared" si="265"/>
        <v>0</v>
      </c>
      <c r="BB717" s="498" t="str">
        <f t="shared" si="266"/>
        <v/>
      </c>
      <c r="BC717" s="743" t="str">
        <f t="shared" si="267"/>
        <v/>
      </c>
      <c r="BD717" s="743" t="str">
        <f t="shared" si="268"/>
        <v/>
      </c>
      <c r="BE717" s="743" t="str">
        <f>IF(D717="","",VLOOKUP(D717,'General Basis'!$J$39:$K$46,2,0))</f>
        <v/>
      </c>
      <c r="BF717" s="744" t="str">
        <f>IF(D717="","",VLOOKUP(D717,'General Basis'!$J$39:$L$46,3,0))</f>
        <v/>
      </c>
      <c r="BG717" s="744" t="str">
        <f t="shared" si="275"/>
        <v/>
      </c>
      <c r="BH717" s="744" t="str">
        <f>IF(G717="","",IF(BF717="Abu Dhabi",IF(G717&lt;18,'General Basis'!$C$39,IF(G717&lt;41,'General Basis'!$C$40,IF(G717&lt;60,'General Basis'!$C$41,IF(G717&lt;65,'General Basis'!$C$42,'General Basis'!$C$43)))),IF(G717&lt;11,'General Basis'!$B$39,IF(G717&lt;18,'General Basis'!$B$40,IF(G717&lt;26,'General Basis'!$B$41,IF(G717&lt;31,'General Basis'!$B$42,IF(G717&lt;36,'General Basis'!$B$43,IF(G717&lt;41,'General Basis'!$B$44,IF(G717&lt;46,'General Basis'!$B$45,IF(G717&lt;51,'General Basis'!$B$46,IF(G717&lt;56,'General Basis'!$B$47,IF(G717&lt;60,'General Basis'!$B$48,IF(G717&lt;65,'General Basis'!$B$49,'General Basis'!$B$50)))))))))))))</f>
        <v/>
      </c>
      <c r="BI717" s="744" t="str">
        <f t="shared" si="269"/>
        <v/>
      </c>
      <c r="BJ717" s="747" t="str">
        <f t="shared" si="276"/>
        <v/>
      </c>
      <c r="BK717" s="498" t="str">
        <f t="shared" si="270"/>
        <v/>
      </c>
      <c r="BL717" s="498" t="str">
        <f t="shared" si="271"/>
        <v/>
      </c>
    </row>
    <row r="718" spans="1:64" x14ac:dyDescent="0.25">
      <c r="A718" s="762">
        <f t="shared" si="272"/>
        <v>713</v>
      </c>
      <c r="B718" s="229"/>
      <c r="C718" s="223"/>
      <c r="D718" s="224"/>
      <c r="E718" s="225"/>
      <c r="F718" s="1036" t="str">
        <f t="shared" si="256"/>
        <v/>
      </c>
      <c r="G718" s="1037" t="str">
        <f t="shared" si="273"/>
        <v/>
      </c>
      <c r="H718" s="225"/>
      <c r="I718" s="1013"/>
      <c r="J718" s="1013"/>
      <c r="K718" s="1028"/>
      <c r="L718" s="1035" t="str">
        <f t="shared" si="277"/>
        <v/>
      </c>
      <c r="S718" s="498"/>
      <c r="AJ718" s="498"/>
      <c r="AM718" s="498">
        <f t="shared" si="258"/>
        <v>0</v>
      </c>
      <c r="AN718" s="498">
        <f t="shared" si="259"/>
        <v>0</v>
      </c>
      <c r="AO718" s="498">
        <f t="shared" si="260"/>
        <v>0</v>
      </c>
      <c r="AP718" s="498">
        <f t="shared" si="257"/>
        <v>0</v>
      </c>
      <c r="AQ718" s="498">
        <f t="shared" si="274"/>
        <v>0</v>
      </c>
      <c r="AU718" s="498">
        <f t="shared" si="261"/>
        <v>0</v>
      </c>
      <c r="AV718" s="498">
        <f t="shared" si="262"/>
        <v>0</v>
      </c>
      <c r="AW718" s="498">
        <f t="shared" si="263"/>
        <v>0</v>
      </c>
      <c r="AX718" s="498">
        <f t="shared" si="264"/>
        <v>0</v>
      </c>
      <c r="AY718" s="498">
        <f t="shared" si="265"/>
        <v>0</v>
      </c>
      <c r="BB718" s="498" t="str">
        <f t="shared" si="266"/>
        <v/>
      </c>
      <c r="BC718" s="743" t="str">
        <f t="shared" si="267"/>
        <v/>
      </c>
      <c r="BD718" s="743" t="str">
        <f t="shared" si="268"/>
        <v/>
      </c>
      <c r="BE718" s="743" t="str">
        <f>IF(D718="","",VLOOKUP(D718,'General Basis'!$J$39:$K$46,2,0))</f>
        <v/>
      </c>
      <c r="BF718" s="744" t="str">
        <f>IF(D718="","",VLOOKUP(D718,'General Basis'!$J$39:$L$46,3,0))</f>
        <v/>
      </c>
      <c r="BG718" s="744" t="str">
        <f t="shared" si="275"/>
        <v/>
      </c>
      <c r="BH718" s="744" t="str">
        <f>IF(G718="","",IF(BF718="Abu Dhabi",IF(G718&lt;18,'General Basis'!$C$39,IF(G718&lt;41,'General Basis'!$C$40,IF(G718&lt;60,'General Basis'!$C$41,IF(G718&lt;65,'General Basis'!$C$42,'General Basis'!$C$43)))),IF(G718&lt;11,'General Basis'!$B$39,IF(G718&lt;18,'General Basis'!$B$40,IF(G718&lt;26,'General Basis'!$B$41,IF(G718&lt;31,'General Basis'!$B$42,IF(G718&lt;36,'General Basis'!$B$43,IF(G718&lt;41,'General Basis'!$B$44,IF(G718&lt;46,'General Basis'!$B$45,IF(G718&lt;51,'General Basis'!$B$46,IF(G718&lt;56,'General Basis'!$B$47,IF(G718&lt;60,'General Basis'!$B$48,IF(G718&lt;65,'General Basis'!$B$49,'General Basis'!$B$50)))))))))))))</f>
        <v/>
      </c>
      <c r="BI718" s="744" t="str">
        <f t="shared" si="269"/>
        <v/>
      </c>
      <c r="BJ718" s="747" t="str">
        <f t="shared" si="276"/>
        <v/>
      </c>
      <c r="BK718" s="498" t="str">
        <f t="shared" si="270"/>
        <v/>
      </c>
      <c r="BL718" s="498" t="str">
        <f t="shared" si="271"/>
        <v/>
      </c>
    </row>
    <row r="719" spans="1:64" x14ac:dyDescent="0.25">
      <c r="A719" s="762">
        <f t="shared" si="272"/>
        <v>714</v>
      </c>
      <c r="B719" s="229"/>
      <c r="C719" s="223"/>
      <c r="D719" s="224"/>
      <c r="E719" s="225"/>
      <c r="F719" s="1036" t="str">
        <f t="shared" si="256"/>
        <v/>
      </c>
      <c r="G719" s="1037" t="str">
        <f t="shared" si="273"/>
        <v/>
      </c>
      <c r="H719" s="225"/>
      <c r="I719" s="1013"/>
      <c r="J719" s="1013"/>
      <c r="K719" s="1028"/>
      <c r="L719" s="1035" t="str">
        <f t="shared" si="277"/>
        <v/>
      </c>
      <c r="S719" s="498"/>
      <c r="AJ719" s="498"/>
      <c r="AM719" s="498">
        <f t="shared" si="258"/>
        <v>0</v>
      </c>
      <c r="AN719" s="498">
        <f t="shared" si="259"/>
        <v>0</v>
      </c>
      <c r="AO719" s="498">
        <f t="shared" si="260"/>
        <v>0</v>
      </c>
      <c r="AP719" s="498">
        <f t="shared" si="257"/>
        <v>0</v>
      </c>
      <c r="AQ719" s="498">
        <f t="shared" si="274"/>
        <v>0</v>
      </c>
      <c r="AU719" s="498">
        <f t="shared" si="261"/>
        <v>0</v>
      </c>
      <c r="AV719" s="498">
        <f t="shared" si="262"/>
        <v>0</v>
      </c>
      <c r="AW719" s="498">
        <f t="shared" si="263"/>
        <v>0</v>
      </c>
      <c r="AX719" s="498">
        <f t="shared" si="264"/>
        <v>0</v>
      </c>
      <c r="AY719" s="498">
        <f t="shared" si="265"/>
        <v>0</v>
      </c>
      <c r="BB719" s="498" t="str">
        <f t="shared" si="266"/>
        <v/>
      </c>
      <c r="BC719" s="743" t="str">
        <f t="shared" si="267"/>
        <v/>
      </c>
      <c r="BD719" s="743" t="str">
        <f t="shared" si="268"/>
        <v/>
      </c>
      <c r="BE719" s="743" t="str">
        <f>IF(D719="","",VLOOKUP(D719,'General Basis'!$J$39:$K$46,2,0))</f>
        <v/>
      </c>
      <c r="BF719" s="744" t="str">
        <f>IF(D719="","",VLOOKUP(D719,'General Basis'!$J$39:$L$46,3,0))</f>
        <v/>
      </c>
      <c r="BG719" s="744" t="str">
        <f t="shared" si="275"/>
        <v/>
      </c>
      <c r="BH719" s="744" t="str">
        <f>IF(G719="","",IF(BF719="Abu Dhabi",IF(G719&lt;18,'General Basis'!$C$39,IF(G719&lt;41,'General Basis'!$C$40,IF(G719&lt;60,'General Basis'!$C$41,IF(G719&lt;65,'General Basis'!$C$42,'General Basis'!$C$43)))),IF(G719&lt;11,'General Basis'!$B$39,IF(G719&lt;18,'General Basis'!$B$40,IF(G719&lt;26,'General Basis'!$B$41,IF(G719&lt;31,'General Basis'!$B$42,IF(G719&lt;36,'General Basis'!$B$43,IF(G719&lt;41,'General Basis'!$B$44,IF(G719&lt;46,'General Basis'!$B$45,IF(G719&lt;51,'General Basis'!$B$46,IF(G719&lt;56,'General Basis'!$B$47,IF(G719&lt;60,'General Basis'!$B$48,IF(G719&lt;65,'General Basis'!$B$49,'General Basis'!$B$50)))))))))))))</f>
        <v/>
      </c>
      <c r="BI719" s="744" t="str">
        <f t="shared" si="269"/>
        <v/>
      </c>
      <c r="BJ719" s="747" t="str">
        <f t="shared" si="276"/>
        <v/>
      </c>
      <c r="BK719" s="498" t="str">
        <f t="shared" si="270"/>
        <v/>
      </c>
      <c r="BL719" s="498" t="str">
        <f t="shared" si="271"/>
        <v/>
      </c>
    </row>
    <row r="720" spans="1:64" x14ac:dyDescent="0.25">
      <c r="A720" s="762">
        <f t="shared" si="272"/>
        <v>715</v>
      </c>
      <c r="B720" s="229"/>
      <c r="C720" s="223"/>
      <c r="D720" s="224"/>
      <c r="E720" s="225"/>
      <c r="F720" s="1036" t="str">
        <f t="shared" ref="F720:F783" si="278">IF(C720="","",IF($B720="","",((YEAR($F$3)-YEAR($B720))+(MONTH($F$3)-MONTH($B720))/12+(DAY($F$3)-DAY($B720))/(DATE(YEAR($F$3),12,31)-DATE(YEAR($F$3),1,1)+1))))</f>
        <v/>
      </c>
      <c r="G720" s="1037" t="str">
        <f t="shared" si="273"/>
        <v/>
      </c>
      <c r="H720" s="225"/>
      <c r="I720" s="1013"/>
      <c r="J720" s="1013"/>
      <c r="K720" s="1028"/>
      <c r="L720" s="1035" t="str">
        <f t="shared" si="277"/>
        <v/>
      </c>
      <c r="S720" s="498"/>
      <c r="AJ720" s="498"/>
      <c r="AM720" s="498">
        <f t="shared" si="258"/>
        <v>0</v>
      </c>
      <c r="AN720" s="498">
        <f t="shared" si="259"/>
        <v>0</v>
      </c>
      <c r="AO720" s="498">
        <f t="shared" si="260"/>
        <v>0</v>
      </c>
      <c r="AP720" s="498">
        <f t="shared" si="257"/>
        <v>0</v>
      </c>
      <c r="AQ720" s="498">
        <f t="shared" si="274"/>
        <v>0</v>
      </c>
      <c r="AU720" s="498">
        <f t="shared" si="261"/>
        <v>0</v>
      </c>
      <c r="AV720" s="498">
        <f t="shared" si="262"/>
        <v>0</v>
      </c>
      <c r="AW720" s="498">
        <f t="shared" si="263"/>
        <v>0</v>
      </c>
      <c r="AX720" s="498">
        <f t="shared" si="264"/>
        <v>0</v>
      </c>
      <c r="AY720" s="498">
        <f t="shared" si="265"/>
        <v>0</v>
      </c>
      <c r="BB720" s="498" t="str">
        <f t="shared" si="266"/>
        <v/>
      </c>
      <c r="BC720" s="743" t="str">
        <f t="shared" si="267"/>
        <v/>
      </c>
      <c r="BD720" s="743" t="str">
        <f t="shared" si="268"/>
        <v/>
      </c>
      <c r="BE720" s="743" t="str">
        <f>IF(D720="","",VLOOKUP(D720,'General Basis'!$J$39:$K$46,2,0))</f>
        <v/>
      </c>
      <c r="BF720" s="744" t="str">
        <f>IF(D720="","",VLOOKUP(D720,'General Basis'!$J$39:$L$46,3,0))</f>
        <v/>
      </c>
      <c r="BG720" s="744" t="str">
        <f t="shared" si="275"/>
        <v/>
      </c>
      <c r="BH720" s="744" t="str">
        <f>IF(G720="","",IF(BF720="Abu Dhabi",IF(G720&lt;18,'General Basis'!$C$39,IF(G720&lt;41,'General Basis'!$C$40,IF(G720&lt;60,'General Basis'!$C$41,IF(G720&lt;65,'General Basis'!$C$42,'General Basis'!$C$43)))),IF(G720&lt;11,'General Basis'!$B$39,IF(G720&lt;18,'General Basis'!$B$40,IF(G720&lt;26,'General Basis'!$B$41,IF(G720&lt;31,'General Basis'!$B$42,IF(G720&lt;36,'General Basis'!$B$43,IF(G720&lt;41,'General Basis'!$B$44,IF(G720&lt;46,'General Basis'!$B$45,IF(G720&lt;51,'General Basis'!$B$46,IF(G720&lt;56,'General Basis'!$B$47,IF(G720&lt;60,'General Basis'!$B$48,IF(G720&lt;65,'General Basis'!$B$49,'General Basis'!$B$50)))))))))))))</f>
        <v/>
      </c>
      <c r="BI720" s="744" t="str">
        <f t="shared" si="269"/>
        <v/>
      </c>
      <c r="BJ720" s="747" t="str">
        <f t="shared" si="276"/>
        <v/>
      </c>
      <c r="BK720" s="498" t="str">
        <f t="shared" si="270"/>
        <v/>
      </c>
      <c r="BL720" s="498" t="str">
        <f t="shared" si="271"/>
        <v/>
      </c>
    </row>
    <row r="721" spans="1:64" x14ac:dyDescent="0.25">
      <c r="A721" s="762">
        <f t="shared" si="272"/>
        <v>716</v>
      </c>
      <c r="B721" s="229"/>
      <c r="C721" s="223"/>
      <c r="D721" s="224"/>
      <c r="E721" s="225"/>
      <c r="F721" s="1036" t="str">
        <f t="shared" si="278"/>
        <v/>
      </c>
      <c r="G721" s="1037" t="str">
        <f t="shared" si="273"/>
        <v/>
      </c>
      <c r="H721" s="225"/>
      <c r="I721" s="1013"/>
      <c r="J721" s="1013"/>
      <c r="K721" s="1028"/>
      <c r="L721" s="1035" t="str">
        <f t="shared" si="277"/>
        <v/>
      </c>
      <c r="S721" s="498"/>
      <c r="AJ721" s="498"/>
      <c r="AM721" s="498">
        <f t="shared" si="258"/>
        <v>0</v>
      </c>
      <c r="AN721" s="498">
        <f t="shared" si="259"/>
        <v>0</v>
      </c>
      <c r="AO721" s="498">
        <f t="shared" si="260"/>
        <v>0</v>
      </c>
      <c r="AP721" s="498">
        <f t="shared" si="257"/>
        <v>0</v>
      </c>
      <c r="AQ721" s="498">
        <f t="shared" si="274"/>
        <v>0</v>
      </c>
      <c r="AU721" s="498">
        <f t="shared" si="261"/>
        <v>0</v>
      </c>
      <c r="AV721" s="498">
        <f t="shared" si="262"/>
        <v>0</v>
      </c>
      <c r="AW721" s="498">
        <f t="shared" si="263"/>
        <v>0</v>
      </c>
      <c r="AX721" s="498">
        <f t="shared" si="264"/>
        <v>0</v>
      </c>
      <c r="AY721" s="498">
        <f t="shared" si="265"/>
        <v>0</v>
      </c>
      <c r="BB721" s="498" t="str">
        <f t="shared" si="266"/>
        <v/>
      </c>
      <c r="BC721" s="743" t="str">
        <f t="shared" si="267"/>
        <v/>
      </c>
      <c r="BD721" s="743" t="str">
        <f t="shared" si="268"/>
        <v/>
      </c>
      <c r="BE721" s="743" t="str">
        <f>IF(D721="","",VLOOKUP(D721,'General Basis'!$J$39:$K$46,2,0))</f>
        <v/>
      </c>
      <c r="BF721" s="744" t="str">
        <f>IF(D721="","",VLOOKUP(D721,'General Basis'!$J$39:$L$46,3,0))</f>
        <v/>
      </c>
      <c r="BG721" s="744" t="str">
        <f t="shared" si="275"/>
        <v/>
      </c>
      <c r="BH721" s="744" t="str">
        <f>IF(G721="","",IF(BF721="Abu Dhabi",IF(G721&lt;18,'General Basis'!$C$39,IF(G721&lt;41,'General Basis'!$C$40,IF(G721&lt;60,'General Basis'!$C$41,IF(G721&lt;65,'General Basis'!$C$42,'General Basis'!$C$43)))),IF(G721&lt;11,'General Basis'!$B$39,IF(G721&lt;18,'General Basis'!$B$40,IF(G721&lt;26,'General Basis'!$B$41,IF(G721&lt;31,'General Basis'!$B$42,IF(G721&lt;36,'General Basis'!$B$43,IF(G721&lt;41,'General Basis'!$B$44,IF(G721&lt;46,'General Basis'!$B$45,IF(G721&lt;51,'General Basis'!$B$46,IF(G721&lt;56,'General Basis'!$B$47,IF(G721&lt;60,'General Basis'!$B$48,IF(G721&lt;65,'General Basis'!$B$49,'General Basis'!$B$50)))))))))))))</f>
        <v/>
      </c>
      <c r="BI721" s="744" t="str">
        <f t="shared" si="269"/>
        <v/>
      </c>
      <c r="BJ721" s="747" t="str">
        <f t="shared" si="276"/>
        <v/>
      </c>
      <c r="BK721" s="498" t="str">
        <f t="shared" si="270"/>
        <v/>
      </c>
      <c r="BL721" s="498" t="str">
        <f t="shared" si="271"/>
        <v/>
      </c>
    </row>
    <row r="722" spans="1:64" x14ac:dyDescent="0.25">
      <c r="A722" s="762">
        <f t="shared" si="272"/>
        <v>717</v>
      </c>
      <c r="B722" s="229"/>
      <c r="C722" s="223"/>
      <c r="D722" s="224"/>
      <c r="E722" s="225"/>
      <c r="F722" s="1036" t="str">
        <f t="shared" si="278"/>
        <v/>
      </c>
      <c r="G722" s="1037" t="str">
        <f t="shared" si="273"/>
        <v/>
      </c>
      <c r="H722" s="225"/>
      <c r="I722" s="1013"/>
      <c r="J722" s="1013"/>
      <c r="K722" s="1028"/>
      <c r="L722" s="1035" t="str">
        <f t="shared" si="277"/>
        <v/>
      </c>
      <c r="S722" s="498"/>
      <c r="AJ722" s="498"/>
      <c r="AM722" s="498">
        <f t="shared" si="258"/>
        <v>0</v>
      </c>
      <c r="AN722" s="498">
        <f t="shared" si="259"/>
        <v>0</v>
      </c>
      <c r="AO722" s="498">
        <f t="shared" si="260"/>
        <v>0</v>
      </c>
      <c r="AP722" s="498">
        <f t="shared" si="257"/>
        <v>0</v>
      </c>
      <c r="AQ722" s="498">
        <f t="shared" si="274"/>
        <v>0</v>
      </c>
      <c r="AU722" s="498">
        <f t="shared" si="261"/>
        <v>0</v>
      </c>
      <c r="AV722" s="498">
        <f t="shared" si="262"/>
        <v>0</v>
      </c>
      <c r="AW722" s="498">
        <f t="shared" si="263"/>
        <v>0</v>
      </c>
      <c r="AX722" s="498">
        <f t="shared" si="264"/>
        <v>0</v>
      </c>
      <c r="AY722" s="498">
        <f t="shared" si="265"/>
        <v>0</v>
      </c>
      <c r="BB722" s="498" t="str">
        <f t="shared" si="266"/>
        <v/>
      </c>
      <c r="BC722" s="743" t="str">
        <f t="shared" si="267"/>
        <v/>
      </c>
      <c r="BD722" s="743" t="str">
        <f t="shared" si="268"/>
        <v/>
      </c>
      <c r="BE722" s="743" t="str">
        <f>IF(D722="","",VLOOKUP(D722,'General Basis'!$J$39:$K$46,2,0))</f>
        <v/>
      </c>
      <c r="BF722" s="744" t="str">
        <f>IF(D722="","",VLOOKUP(D722,'General Basis'!$J$39:$L$46,3,0))</f>
        <v/>
      </c>
      <c r="BG722" s="744" t="str">
        <f t="shared" si="275"/>
        <v/>
      </c>
      <c r="BH722" s="744" t="str">
        <f>IF(G722="","",IF(BF722="Abu Dhabi",IF(G722&lt;18,'General Basis'!$C$39,IF(G722&lt;41,'General Basis'!$C$40,IF(G722&lt;60,'General Basis'!$C$41,IF(G722&lt;65,'General Basis'!$C$42,'General Basis'!$C$43)))),IF(G722&lt;11,'General Basis'!$B$39,IF(G722&lt;18,'General Basis'!$B$40,IF(G722&lt;26,'General Basis'!$B$41,IF(G722&lt;31,'General Basis'!$B$42,IF(G722&lt;36,'General Basis'!$B$43,IF(G722&lt;41,'General Basis'!$B$44,IF(G722&lt;46,'General Basis'!$B$45,IF(G722&lt;51,'General Basis'!$B$46,IF(G722&lt;56,'General Basis'!$B$47,IF(G722&lt;60,'General Basis'!$B$48,IF(G722&lt;65,'General Basis'!$B$49,'General Basis'!$B$50)))))))))))))</f>
        <v/>
      </c>
      <c r="BI722" s="744" t="str">
        <f t="shared" si="269"/>
        <v/>
      </c>
      <c r="BJ722" s="747" t="str">
        <f t="shared" si="276"/>
        <v/>
      </c>
      <c r="BK722" s="498" t="str">
        <f t="shared" si="270"/>
        <v/>
      </c>
      <c r="BL722" s="498" t="str">
        <f t="shared" si="271"/>
        <v/>
      </c>
    </row>
    <row r="723" spans="1:64" x14ac:dyDescent="0.25">
      <c r="A723" s="762">
        <f t="shared" si="272"/>
        <v>718</v>
      </c>
      <c r="B723" s="229"/>
      <c r="C723" s="223"/>
      <c r="D723" s="224"/>
      <c r="E723" s="225"/>
      <c r="F723" s="1036" t="str">
        <f t="shared" si="278"/>
        <v/>
      </c>
      <c r="G723" s="1037" t="str">
        <f t="shared" si="273"/>
        <v/>
      </c>
      <c r="H723" s="225"/>
      <c r="I723" s="1013"/>
      <c r="J723" s="1013"/>
      <c r="K723" s="1028"/>
      <c r="L723" s="1035" t="str">
        <f t="shared" si="277"/>
        <v/>
      </c>
      <c r="S723" s="498"/>
      <c r="AJ723" s="498"/>
      <c r="AM723" s="498">
        <f t="shared" si="258"/>
        <v>0</v>
      </c>
      <c r="AN723" s="498">
        <f t="shared" si="259"/>
        <v>0</v>
      </c>
      <c r="AO723" s="498">
        <f t="shared" si="260"/>
        <v>0</v>
      </c>
      <c r="AP723" s="498">
        <f t="shared" ref="AP723:AP786" si="279">IF(ISBLANK($B723),0,IF(OR($C723="M",$C723="F"),0,1))</f>
        <v>0</v>
      </c>
      <c r="AQ723" s="498">
        <f t="shared" si="274"/>
        <v>0</v>
      </c>
      <c r="AU723" s="498">
        <f t="shared" si="261"/>
        <v>0</v>
      </c>
      <c r="AV723" s="498">
        <f t="shared" si="262"/>
        <v>0</v>
      </c>
      <c r="AW723" s="498">
        <f t="shared" si="263"/>
        <v>0</v>
      </c>
      <c r="AX723" s="498">
        <f t="shared" si="264"/>
        <v>0</v>
      </c>
      <c r="AY723" s="498">
        <f t="shared" si="265"/>
        <v>0</v>
      </c>
      <c r="BB723" s="498" t="str">
        <f t="shared" si="266"/>
        <v/>
      </c>
      <c r="BC723" s="743" t="str">
        <f t="shared" si="267"/>
        <v/>
      </c>
      <c r="BD723" s="743" t="str">
        <f t="shared" si="268"/>
        <v/>
      </c>
      <c r="BE723" s="743" t="str">
        <f>IF(D723="","",VLOOKUP(D723,'General Basis'!$J$39:$K$46,2,0))</f>
        <v/>
      </c>
      <c r="BF723" s="744" t="str">
        <f>IF(D723="","",VLOOKUP(D723,'General Basis'!$J$39:$L$46,3,0))</f>
        <v/>
      </c>
      <c r="BG723" s="744" t="str">
        <f t="shared" si="275"/>
        <v/>
      </c>
      <c r="BH723" s="744" t="str">
        <f>IF(G723="","",IF(BF723="Abu Dhabi",IF(G723&lt;18,'General Basis'!$C$39,IF(G723&lt;41,'General Basis'!$C$40,IF(G723&lt;60,'General Basis'!$C$41,IF(G723&lt;65,'General Basis'!$C$42,'General Basis'!$C$43)))),IF(G723&lt;11,'General Basis'!$B$39,IF(G723&lt;18,'General Basis'!$B$40,IF(G723&lt;26,'General Basis'!$B$41,IF(G723&lt;31,'General Basis'!$B$42,IF(G723&lt;36,'General Basis'!$B$43,IF(G723&lt;41,'General Basis'!$B$44,IF(G723&lt;46,'General Basis'!$B$45,IF(G723&lt;51,'General Basis'!$B$46,IF(G723&lt;56,'General Basis'!$B$47,IF(G723&lt;60,'General Basis'!$B$48,IF(G723&lt;65,'General Basis'!$B$49,'General Basis'!$B$50)))))))))))))</f>
        <v/>
      </c>
      <c r="BI723" s="744" t="str">
        <f t="shared" si="269"/>
        <v/>
      </c>
      <c r="BJ723" s="747" t="str">
        <f t="shared" si="276"/>
        <v/>
      </c>
      <c r="BK723" s="498" t="str">
        <f t="shared" si="270"/>
        <v/>
      </c>
      <c r="BL723" s="498" t="str">
        <f t="shared" si="271"/>
        <v/>
      </c>
    </row>
    <row r="724" spans="1:64" x14ac:dyDescent="0.25">
      <c r="A724" s="762">
        <f t="shared" si="272"/>
        <v>719</v>
      </c>
      <c r="B724" s="229"/>
      <c r="C724" s="223"/>
      <c r="D724" s="224"/>
      <c r="E724" s="225"/>
      <c r="F724" s="1036" t="str">
        <f t="shared" si="278"/>
        <v/>
      </c>
      <c r="G724" s="1037" t="str">
        <f t="shared" si="273"/>
        <v/>
      </c>
      <c r="H724" s="225"/>
      <c r="I724" s="1013"/>
      <c r="J724" s="1013"/>
      <c r="K724" s="1028"/>
      <c r="L724" s="1035" t="str">
        <f t="shared" si="277"/>
        <v/>
      </c>
      <c r="S724" s="498"/>
      <c r="AJ724" s="498"/>
      <c r="AM724" s="498">
        <f t="shared" si="258"/>
        <v>0</v>
      </c>
      <c r="AN724" s="498">
        <f t="shared" si="259"/>
        <v>0</v>
      </c>
      <c r="AO724" s="498">
        <f t="shared" si="260"/>
        <v>0</v>
      </c>
      <c r="AP724" s="498">
        <f t="shared" si="279"/>
        <v>0</v>
      </c>
      <c r="AQ724" s="498">
        <f t="shared" si="274"/>
        <v>0</v>
      </c>
      <c r="AU724" s="498">
        <f t="shared" si="261"/>
        <v>0</v>
      </c>
      <c r="AV724" s="498">
        <f t="shared" si="262"/>
        <v>0</v>
      </c>
      <c r="AW724" s="498">
        <f t="shared" si="263"/>
        <v>0</v>
      </c>
      <c r="AX724" s="498">
        <f t="shared" si="264"/>
        <v>0</v>
      </c>
      <c r="AY724" s="498">
        <f t="shared" si="265"/>
        <v>0</v>
      </c>
      <c r="BB724" s="498" t="str">
        <f t="shared" si="266"/>
        <v/>
      </c>
      <c r="BC724" s="743" t="str">
        <f t="shared" si="267"/>
        <v/>
      </c>
      <c r="BD724" s="743" t="str">
        <f t="shared" si="268"/>
        <v/>
      </c>
      <c r="BE724" s="743" t="str">
        <f>IF(D724="","",VLOOKUP(D724,'General Basis'!$J$39:$K$46,2,0))</f>
        <v/>
      </c>
      <c r="BF724" s="744" t="str">
        <f>IF(D724="","",VLOOKUP(D724,'General Basis'!$J$39:$L$46,3,0))</f>
        <v/>
      </c>
      <c r="BG724" s="744" t="str">
        <f t="shared" si="275"/>
        <v/>
      </c>
      <c r="BH724" s="744" t="str">
        <f>IF(G724="","",IF(BF724="Abu Dhabi",IF(G724&lt;18,'General Basis'!$C$39,IF(G724&lt;41,'General Basis'!$C$40,IF(G724&lt;60,'General Basis'!$C$41,IF(G724&lt;65,'General Basis'!$C$42,'General Basis'!$C$43)))),IF(G724&lt;11,'General Basis'!$B$39,IF(G724&lt;18,'General Basis'!$B$40,IF(G724&lt;26,'General Basis'!$B$41,IF(G724&lt;31,'General Basis'!$B$42,IF(G724&lt;36,'General Basis'!$B$43,IF(G724&lt;41,'General Basis'!$B$44,IF(G724&lt;46,'General Basis'!$B$45,IF(G724&lt;51,'General Basis'!$B$46,IF(G724&lt;56,'General Basis'!$B$47,IF(G724&lt;60,'General Basis'!$B$48,IF(G724&lt;65,'General Basis'!$B$49,'General Basis'!$B$50)))))))))))))</f>
        <v/>
      </c>
      <c r="BI724" s="744" t="str">
        <f t="shared" si="269"/>
        <v/>
      </c>
      <c r="BJ724" s="747" t="str">
        <f t="shared" si="276"/>
        <v/>
      </c>
      <c r="BK724" s="498" t="str">
        <f t="shared" si="270"/>
        <v/>
      </c>
      <c r="BL724" s="498" t="str">
        <f t="shared" si="271"/>
        <v/>
      </c>
    </row>
    <row r="725" spans="1:64" x14ac:dyDescent="0.25">
      <c r="A725" s="762">
        <f t="shared" si="272"/>
        <v>720</v>
      </c>
      <c r="B725" s="229"/>
      <c r="C725" s="223"/>
      <c r="D725" s="224"/>
      <c r="E725" s="225"/>
      <c r="F725" s="1036" t="str">
        <f t="shared" si="278"/>
        <v/>
      </c>
      <c r="G725" s="1037" t="str">
        <f t="shared" si="273"/>
        <v/>
      </c>
      <c r="H725" s="225"/>
      <c r="I725" s="1013"/>
      <c r="J725" s="1013"/>
      <c r="K725" s="1028"/>
      <c r="L725" s="1035" t="str">
        <f t="shared" si="277"/>
        <v/>
      </c>
      <c r="S725" s="498"/>
      <c r="AJ725" s="498"/>
      <c r="AM725" s="498">
        <f t="shared" si="258"/>
        <v>0</v>
      </c>
      <c r="AN725" s="498">
        <f t="shared" si="259"/>
        <v>0</v>
      </c>
      <c r="AO725" s="498">
        <f t="shared" si="260"/>
        <v>0</v>
      </c>
      <c r="AP725" s="498">
        <f t="shared" si="279"/>
        <v>0</v>
      </c>
      <c r="AQ725" s="498">
        <f t="shared" si="274"/>
        <v>0</v>
      </c>
      <c r="AU725" s="498">
        <f t="shared" si="261"/>
        <v>0</v>
      </c>
      <c r="AV725" s="498">
        <f t="shared" si="262"/>
        <v>0</v>
      </c>
      <c r="AW725" s="498">
        <f t="shared" si="263"/>
        <v>0</v>
      </c>
      <c r="AX725" s="498">
        <f t="shared" si="264"/>
        <v>0</v>
      </c>
      <c r="AY725" s="498">
        <f t="shared" si="265"/>
        <v>0</v>
      </c>
      <c r="BB725" s="498" t="str">
        <f t="shared" si="266"/>
        <v/>
      </c>
      <c r="BC725" s="743" t="str">
        <f t="shared" si="267"/>
        <v/>
      </c>
      <c r="BD725" s="743" t="str">
        <f t="shared" si="268"/>
        <v/>
      </c>
      <c r="BE725" s="743" t="str">
        <f>IF(D725="","",VLOOKUP(D725,'General Basis'!$J$39:$K$46,2,0))</f>
        <v/>
      </c>
      <c r="BF725" s="744" t="str">
        <f>IF(D725="","",VLOOKUP(D725,'General Basis'!$J$39:$L$46,3,0))</f>
        <v/>
      </c>
      <c r="BG725" s="744" t="str">
        <f t="shared" si="275"/>
        <v/>
      </c>
      <c r="BH725" s="744" t="str">
        <f>IF(G725="","",IF(BF725="Abu Dhabi",IF(G725&lt;18,'General Basis'!$C$39,IF(G725&lt;41,'General Basis'!$C$40,IF(G725&lt;60,'General Basis'!$C$41,IF(G725&lt;65,'General Basis'!$C$42,'General Basis'!$C$43)))),IF(G725&lt;11,'General Basis'!$B$39,IF(G725&lt;18,'General Basis'!$B$40,IF(G725&lt;26,'General Basis'!$B$41,IF(G725&lt;31,'General Basis'!$B$42,IF(G725&lt;36,'General Basis'!$B$43,IF(G725&lt;41,'General Basis'!$B$44,IF(G725&lt;46,'General Basis'!$B$45,IF(G725&lt;51,'General Basis'!$B$46,IF(G725&lt;56,'General Basis'!$B$47,IF(G725&lt;60,'General Basis'!$B$48,IF(G725&lt;65,'General Basis'!$B$49,'General Basis'!$B$50)))))))))))))</f>
        <v/>
      </c>
      <c r="BI725" s="744" t="str">
        <f t="shared" si="269"/>
        <v/>
      </c>
      <c r="BJ725" s="747" t="str">
        <f t="shared" si="276"/>
        <v/>
      </c>
      <c r="BK725" s="498" t="str">
        <f t="shared" si="270"/>
        <v/>
      </c>
      <c r="BL725" s="498" t="str">
        <f t="shared" si="271"/>
        <v/>
      </c>
    </row>
    <row r="726" spans="1:64" x14ac:dyDescent="0.25">
      <c r="A726" s="762">
        <f t="shared" si="272"/>
        <v>721</v>
      </c>
      <c r="B726" s="229"/>
      <c r="C726" s="223"/>
      <c r="D726" s="224"/>
      <c r="E726" s="225"/>
      <c r="F726" s="1036" t="str">
        <f t="shared" si="278"/>
        <v/>
      </c>
      <c r="G726" s="1037" t="str">
        <f t="shared" si="273"/>
        <v/>
      </c>
      <c r="H726" s="225"/>
      <c r="I726" s="1013"/>
      <c r="J726" s="1013"/>
      <c r="K726" s="1028"/>
      <c r="L726" s="1035" t="str">
        <f t="shared" si="277"/>
        <v/>
      </c>
      <c r="S726" s="498"/>
      <c r="AJ726" s="498"/>
      <c r="AM726" s="498">
        <f t="shared" si="258"/>
        <v>0</v>
      </c>
      <c r="AN726" s="498">
        <f t="shared" si="259"/>
        <v>0</v>
      </c>
      <c r="AO726" s="498">
        <f t="shared" si="260"/>
        <v>0</v>
      </c>
      <c r="AP726" s="498">
        <f t="shared" si="279"/>
        <v>0</v>
      </c>
      <c r="AQ726" s="498">
        <f t="shared" si="274"/>
        <v>0</v>
      </c>
      <c r="AU726" s="498">
        <f t="shared" si="261"/>
        <v>0</v>
      </c>
      <c r="AV726" s="498">
        <f t="shared" si="262"/>
        <v>0</v>
      </c>
      <c r="AW726" s="498">
        <f t="shared" si="263"/>
        <v>0</v>
      </c>
      <c r="AX726" s="498">
        <f t="shared" si="264"/>
        <v>0</v>
      </c>
      <c r="AY726" s="498">
        <f t="shared" si="265"/>
        <v>0</v>
      </c>
      <c r="BB726" s="498" t="str">
        <f t="shared" si="266"/>
        <v/>
      </c>
      <c r="BC726" s="743" t="str">
        <f t="shared" si="267"/>
        <v/>
      </c>
      <c r="BD726" s="743" t="str">
        <f t="shared" si="268"/>
        <v/>
      </c>
      <c r="BE726" s="743" t="str">
        <f>IF(D726="","",VLOOKUP(D726,'General Basis'!$J$39:$K$46,2,0))</f>
        <v/>
      </c>
      <c r="BF726" s="744" t="str">
        <f>IF(D726="","",VLOOKUP(D726,'General Basis'!$J$39:$L$46,3,0))</f>
        <v/>
      </c>
      <c r="BG726" s="744" t="str">
        <f t="shared" si="275"/>
        <v/>
      </c>
      <c r="BH726" s="744" t="str">
        <f>IF(G726="","",IF(BF726="Abu Dhabi",IF(G726&lt;18,'General Basis'!$C$39,IF(G726&lt;41,'General Basis'!$C$40,IF(G726&lt;60,'General Basis'!$C$41,IF(G726&lt;65,'General Basis'!$C$42,'General Basis'!$C$43)))),IF(G726&lt;11,'General Basis'!$B$39,IF(G726&lt;18,'General Basis'!$B$40,IF(G726&lt;26,'General Basis'!$B$41,IF(G726&lt;31,'General Basis'!$B$42,IF(G726&lt;36,'General Basis'!$B$43,IF(G726&lt;41,'General Basis'!$B$44,IF(G726&lt;46,'General Basis'!$B$45,IF(G726&lt;51,'General Basis'!$B$46,IF(G726&lt;56,'General Basis'!$B$47,IF(G726&lt;60,'General Basis'!$B$48,IF(G726&lt;65,'General Basis'!$B$49,'General Basis'!$B$50)))))))))))))</f>
        <v/>
      </c>
      <c r="BI726" s="744" t="str">
        <f t="shared" si="269"/>
        <v/>
      </c>
      <c r="BJ726" s="747" t="str">
        <f t="shared" si="276"/>
        <v/>
      </c>
      <c r="BK726" s="498" t="str">
        <f t="shared" si="270"/>
        <v/>
      </c>
      <c r="BL726" s="498" t="str">
        <f t="shared" si="271"/>
        <v/>
      </c>
    </row>
    <row r="727" spans="1:64" x14ac:dyDescent="0.25">
      <c r="A727" s="762">
        <f t="shared" si="272"/>
        <v>722</v>
      </c>
      <c r="B727" s="229"/>
      <c r="C727" s="223"/>
      <c r="D727" s="224"/>
      <c r="E727" s="225"/>
      <c r="F727" s="1036" t="str">
        <f t="shared" si="278"/>
        <v/>
      </c>
      <c r="G727" s="1037" t="str">
        <f t="shared" si="273"/>
        <v/>
      </c>
      <c r="H727" s="225"/>
      <c r="I727" s="1013"/>
      <c r="J727" s="1013"/>
      <c r="K727" s="1028"/>
      <c r="L727" s="1035" t="str">
        <f t="shared" si="277"/>
        <v/>
      </c>
      <c r="S727" s="498"/>
      <c r="AJ727" s="498"/>
      <c r="AM727" s="498">
        <f t="shared" si="258"/>
        <v>0</v>
      </c>
      <c r="AN727" s="498">
        <f t="shared" si="259"/>
        <v>0</v>
      </c>
      <c r="AO727" s="498">
        <f t="shared" si="260"/>
        <v>0</v>
      </c>
      <c r="AP727" s="498">
        <f t="shared" si="279"/>
        <v>0</v>
      </c>
      <c r="AQ727" s="498">
        <f t="shared" si="274"/>
        <v>0</v>
      </c>
      <c r="AU727" s="498">
        <f t="shared" si="261"/>
        <v>0</v>
      </c>
      <c r="AV727" s="498">
        <f t="shared" si="262"/>
        <v>0</v>
      </c>
      <c r="AW727" s="498">
        <f t="shared" si="263"/>
        <v>0</v>
      </c>
      <c r="AX727" s="498">
        <f t="shared" si="264"/>
        <v>0</v>
      </c>
      <c r="AY727" s="498">
        <f t="shared" si="265"/>
        <v>0</v>
      </c>
      <c r="BB727" s="498" t="str">
        <f t="shared" si="266"/>
        <v/>
      </c>
      <c r="BC727" s="743" t="str">
        <f t="shared" si="267"/>
        <v/>
      </c>
      <c r="BD727" s="743" t="str">
        <f t="shared" si="268"/>
        <v/>
      </c>
      <c r="BE727" s="743" t="str">
        <f>IF(D727="","",VLOOKUP(D727,'General Basis'!$J$39:$K$46,2,0))</f>
        <v/>
      </c>
      <c r="BF727" s="744" t="str">
        <f>IF(D727="","",VLOOKUP(D727,'General Basis'!$J$39:$L$46,3,0))</f>
        <v/>
      </c>
      <c r="BG727" s="744" t="str">
        <f t="shared" si="275"/>
        <v/>
      </c>
      <c r="BH727" s="744" t="str">
        <f>IF(G727="","",IF(BF727="Abu Dhabi",IF(G727&lt;18,'General Basis'!$C$39,IF(G727&lt;41,'General Basis'!$C$40,IF(G727&lt;60,'General Basis'!$C$41,IF(G727&lt;65,'General Basis'!$C$42,'General Basis'!$C$43)))),IF(G727&lt;11,'General Basis'!$B$39,IF(G727&lt;18,'General Basis'!$B$40,IF(G727&lt;26,'General Basis'!$B$41,IF(G727&lt;31,'General Basis'!$B$42,IF(G727&lt;36,'General Basis'!$B$43,IF(G727&lt;41,'General Basis'!$B$44,IF(G727&lt;46,'General Basis'!$B$45,IF(G727&lt;51,'General Basis'!$B$46,IF(G727&lt;56,'General Basis'!$B$47,IF(G727&lt;60,'General Basis'!$B$48,IF(G727&lt;65,'General Basis'!$B$49,'General Basis'!$B$50)))))))))))))</f>
        <v/>
      </c>
      <c r="BI727" s="744" t="str">
        <f t="shared" si="269"/>
        <v/>
      </c>
      <c r="BJ727" s="747" t="str">
        <f t="shared" si="276"/>
        <v/>
      </c>
      <c r="BK727" s="498" t="str">
        <f t="shared" si="270"/>
        <v/>
      </c>
      <c r="BL727" s="498" t="str">
        <f t="shared" si="271"/>
        <v/>
      </c>
    </row>
    <row r="728" spans="1:64" x14ac:dyDescent="0.25">
      <c r="A728" s="762">
        <f t="shared" si="272"/>
        <v>723</v>
      </c>
      <c r="B728" s="229"/>
      <c r="C728" s="223"/>
      <c r="D728" s="224"/>
      <c r="E728" s="225"/>
      <c r="F728" s="1036" t="str">
        <f t="shared" si="278"/>
        <v/>
      </c>
      <c r="G728" s="1037" t="str">
        <f t="shared" si="273"/>
        <v/>
      </c>
      <c r="H728" s="225"/>
      <c r="I728" s="1013"/>
      <c r="J728" s="1013"/>
      <c r="K728" s="1028"/>
      <c r="L728" s="1035" t="str">
        <f t="shared" si="277"/>
        <v/>
      </c>
      <c r="S728" s="498"/>
      <c r="AJ728" s="498"/>
      <c r="AM728" s="498">
        <f t="shared" si="258"/>
        <v>0</v>
      </c>
      <c r="AN728" s="498">
        <f t="shared" si="259"/>
        <v>0</v>
      </c>
      <c r="AO728" s="498">
        <f t="shared" si="260"/>
        <v>0</v>
      </c>
      <c r="AP728" s="498">
        <f t="shared" si="279"/>
        <v>0</v>
      </c>
      <c r="AQ728" s="498">
        <f t="shared" si="274"/>
        <v>0</v>
      </c>
      <c r="AU728" s="498">
        <f t="shared" si="261"/>
        <v>0</v>
      </c>
      <c r="AV728" s="498">
        <f t="shared" si="262"/>
        <v>0</v>
      </c>
      <c r="AW728" s="498">
        <f t="shared" si="263"/>
        <v>0</v>
      </c>
      <c r="AX728" s="498">
        <f t="shared" si="264"/>
        <v>0</v>
      </c>
      <c r="AY728" s="498">
        <f t="shared" si="265"/>
        <v>0</v>
      </c>
      <c r="BB728" s="498" t="str">
        <f t="shared" si="266"/>
        <v/>
      </c>
      <c r="BC728" s="743" t="str">
        <f t="shared" si="267"/>
        <v/>
      </c>
      <c r="BD728" s="743" t="str">
        <f t="shared" si="268"/>
        <v/>
      </c>
      <c r="BE728" s="743" t="str">
        <f>IF(D728="","",VLOOKUP(D728,'General Basis'!$J$39:$K$46,2,0))</f>
        <v/>
      </c>
      <c r="BF728" s="744" t="str">
        <f>IF(D728="","",VLOOKUP(D728,'General Basis'!$J$39:$L$46,3,0))</f>
        <v/>
      </c>
      <c r="BG728" s="744" t="str">
        <f t="shared" si="275"/>
        <v/>
      </c>
      <c r="BH728" s="744" t="str">
        <f>IF(G728="","",IF(BF728="Abu Dhabi",IF(G728&lt;18,'General Basis'!$C$39,IF(G728&lt;41,'General Basis'!$C$40,IF(G728&lt;60,'General Basis'!$C$41,IF(G728&lt;65,'General Basis'!$C$42,'General Basis'!$C$43)))),IF(G728&lt;11,'General Basis'!$B$39,IF(G728&lt;18,'General Basis'!$B$40,IF(G728&lt;26,'General Basis'!$B$41,IF(G728&lt;31,'General Basis'!$B$42,IF(G728&lt;36,'General Basis'!$B$43,IF(G728&lt;41,'General Basis'!$B$44,IF(G728&lt;46,'General Basis'!$B$45,IF(G728&lt;51,'General Basis'!$B$46,IF(G728&lt;56,'General Basis'!$B$47,IF(G728&lt;60,'General Basis'!$B$48,IF(G728&lt;65,'General Basis'!$B$49,'General Basis'!$B$50)))))))))))))</f>
        <v/>
      </c>
      <c r="BI728" s="744" t="str">
        <f t="shared" si="269"/>
        <v/>
      </c>
      <c r="BJ728" s="747" t="str">
        <f t="shared" si="276"/>
        <v/>
      </c>
      <c r="BK728" s="498" t="str">
        <f t="shared" si="270"/>
        <v/>
      </c>
      <c r="BL728" s="498" t="str">
        <f t="shared" si="271"/>
        <v/>
      </c>
    </row>
    <row r="729" spans="1:64" x14ac:dyDescent="0.25">
      <c r="A729" s="762">
        <f t="shared" si="272"/>
        <v>724</v>
      </c>
      <c r="B729" s="229"/>
      <c r="C729" s="223"/>
      <c r="D729" s="224"/>
      <c r="E729" s="225"/>
      <c r="F729" s="1036" t="str">
        <f t="shared" si="278"/>
        <v/>
      </c>
      <c r="G729" s="1037" t="str">
        <f t="shared" si="273"/>
        <v/>
      </c>
      <c r="H729" s="225"/>
      <c r="I729" s="1013"/>
      <c r="J729" s="1013"/>
      <c r="K729" s="1028"/>
      <c r="L729" s="1035" t="str">
        <f t="shared" si="277"/>
        <v/>
      </c>
      <c r="S729" s="498"/>
      <c r="AJ729" s="498"/>
      <c r="AM729" s="498">
        <f t="shared" si="258"/>
        <v>0</v>
      </c>
      <c r="AN729" s="498">
        <f t="shared" si="259"/>
        <v>0</v>
      </c>
      <c r="AO729" s="498">
        <f t="shared" si="260"/>
        <v>0</v>
      </c>
      <c r="AP729" s="498">
        <f t="shared" si="279"/>
        <v>0</v>
      </c>
      <c r="AQ729" s="498">
        <f t="shared" si="274"/>
        <v>0</v>
      </c>
      <c r="AU729" s="498">
        <f t="shared" si="261"/>
        <v>0</v>
      </c>
      <c r="AV729" s="498">
        <f t="shared" si="262"/>
        <v>0</v>
      </c>
      <c r="AW729" s="498">
        <f t="shared" si="263"/>
        <v>0</v>
      </c>
      <c r="AX729" s="498">
        <f t="shared" si="264"/>
        <v>0</v>
      </c>
      <c r="AY729" s="498">
        <f t="shared" si="265"/>
        <v>0</v>
      </c>
      <c r="BB729" s="498" t="str">
        <f t="shared" si="266"/>
        <v/>
      </c>
      <c r="BC729" s="743" t="str">
        <f t="shared" si="267"/>
        <v/>
      </c>
      <c r="BD729" s="743" t="str">
        <f t="shared" si="268"/>
        <v/>
      </c>
      <c r="BE729" s="743" t="str">
        <f>IF(D729="","",VLOOKUP(D729,'General Basis'!$J$39:$K$46,2,0))</f>
        <v/>
      </c>
      <c r="BF729" s="744" t="str">
        <f>IF(D729="","",VLOOKUP(D729,'General Basis'!$J$39:$L$46,3,0))</f>
        <v/>
      </c>
      <c r="BG729" s="744" t="str">
        <f t="shared" si="275"/>
        <v/>
      </c>
      <c r="BH729" s="744" t="str">
        <f>IF(G729="","",IF(BF729="Abu Dhabi",IF(G729&lt;18,'General Basis'!$C$39,IF(G729&lt;41,'General Basis'!$C$40,IF(G729&lt;60,'General Basis'!$C$41,IF(G729&lt;65,'General Basis'!$C$42,'General Basis'!$C$43)))),IF(G729&lt;11,'General Basis'!$B$39,IF(G729&lt;18,'General Basis'!$B$40,IF(G729&lt;26,'General Basis'!$B$41,IF(G729&lt;31,'General Basis'!$B$42,IF(G729&lt;36,'General Basis'!$B$43,IF(G729&lt;41,'General Basis'!$B$44,IF(G729&lt;46,'General Basis'!$B$45,IF(G729&lt;51,'General Basis'!$B$46,IF(G729&lt;56,'General Basis'!$B$47,IF(G729&lt;60,'General Basis'!$B$48,IF(G729&lt;65,'General Basis'!$B$49,'General Basis'!$B$50)))))))))))))</f>
        <v/>
      </c>
      <c r="BI729" s="744" t="str">
        <f t="shared" si="269"/>
        <v/>
      </c>
      <c r="BJ729" s="747" t="str">
        <f t="shared" si="276"/>
        <v/>
      </c>
      <c r="BK729" s="498" t="str">
        <f t="shared" si="270"/>
        <v/>
      </c>
      <c r="BL729" s="498" t="str">
        <f t="shared" si="271"/>
        <v/>
      </c>
    </row>
    <row r="730" spans="1:64" x14ac:dyDescent="0.25">
      <c r="A730" s="762">
        <f t="shared" si="272"/>
        <v>725</v>
      </c>
      <c r="B730" s="229"/>
      <c r="C730" s="223"/>
      <c r="D730" s="224"/>
      <c r="E730" s="225"/>
      <c r="F730" s="1036" t="str">
        <f t="shared" si="278"/>
        <v/>
      </c>
      <c r="G730" s="1037" t="str">
        <f t="shared" si="273"/>
        <v/>
      </c>
      <c r="H730" s="225"/>
      <c r="I730" s="1013"/>
      <c r="J730" s="1013"/>
      <c r="K730" s="1028"/>
      <c r="L730" s="1035" t="str">
        <f t="shared" si="277"/>
        <v/>
      </c>
      <c r="S730" s="498"/>
      <c r="AJ730" s="498"/>
      <c r="AM730" s="498">
        <f t="shared" si="258"/>
        <v>0</v>
      </c>
      <c r="AN730" s="498">
        <f t="shared" si="259"/>
        <v>0</v>
      </c>
      <c r="AO730" s="498">
        <f t="shared" si="260"/>
        <v>0</v>
      </c>
      <c r="AP730" s="498">
        <f t="shared" si="279"/>
        <v>0</v>
      </c>
      <c r="AQ730" s="498">
        <f t="shared" si="274"/>
        <v>0</v>
      </c>
      <c r="AU730" s="498">
        <f t="shared" si="261"/>
        <v>0</v>
      </c>
      <c r="AV730" s="498">
        <f t="shared" si="262"/>
        <v>0</v>
      </c>
      <c r="AW730" s="498">
        <f t="shared" si="263"/>
        <v>0</v>
      </c>
      <c r="AX730" s="498">
        <f t="shared" si="264"/>
        <v>0</v>
      </c>
      <c r="AY730" s="498">
        <f t="shared" si="265"/>
        <v>0</v>
      </c>
      <c r="BB730" s="498" t="str">
        <f t="shared" si="266"/>
        <v/>
      </c>
      <c r="BC730" s="743" t="str">
        <f t="shared" si="267"/>
        <v/>
      </c>
      <c r="BD730" s="743" t="str">
        <f t="shared" si="268"/>
        <v/>
      </c>
      <c r="BE730" s="743" t="str">
        <f>IF(D730="","",VLOOKUP(D730,'General Basis'!$J$39:$K$46,2,0))</f>
        <v/>
      </c>
      <c r="BF730" s="744" t="str">
        <f>IF(D730="","",VLOOKUP(D730,'General Basis'!$J$39:$L$46,3,0))</f>
        <v/>
      </c>
      <c r="BG730" s="744" t="str">
        <f t="shared" si="275"/>
        <v/>
      </c>
      <c r="BH730" s="744" t="str">
        <f>IF(G730="","",IF(BF730="Abu Dhabi",IF(G730&lt;18,'General Basis'!$C$39,IF(G730&lt;41,'General Basis'!$C$40,IF(G730&lt;60,'General Basis'!$C$41,IF(G730&lt;65,'General Basis'!$C$42,'General Basis'!$C$43)))),IF(G730&lt;11,'General Basis'!$B$39,IF(G730&lt;18,'General Basis'!$B$40,IF(G730&lt;26,'General Basis'!$B$41,IF(G730&lt;31,'General Basis'!$B$42,IF(G730&lt;36,'General Basis'!$B$43,IF(G730&lt;41,'General Basis'!$B$44,IF(G730&lt;46,'General Basis'!$B$45,IF(G730&lt;51,'General Basis'!$B$46,IF(G730&lt;56,'General Basis'!$B$47,IF(G730&lt;60,'General Basis'!$B$48,IF(G730&lt;65,'General Basis'!$B$49,'General Basis'!$B$50)))))))))))))</f>
        <v/>
      </c>
      <c r="BI730" s="744" t="str">
        <f t="shared" si="269"/>
        <v/>
      </c>
      <c r="BJ730" s="747" t="str">
        <f t="shared" si="276"/>
        <v/>
      </c>
      <c r="BK730" s="498" t="str">
        <f t="shared" si="270"/>
        <v/>
      </c>
      <c r="BL730" s="498" t="str">
        <f t="shared" si="271"/>
        <v/>
      </c>
    </row>
    <row r="731" spans="1:64" x14ac:dyDescent="0.25">
      <c r="A731" s="762">
        <f t="shared" si="272"/>
        <v>726</v>
      </c>
      <c r="B731" s="229"/>
      <c r="C731" s="223"/>
      <c r="D731" s="224"/>
      <c r="E731" s="225"/>
      <c r="F731" s="1036" t="str">
        <f t="shared" si="278"/>
        <v/>
      </c>
      <c r="G731" s="1037" t="str">
        <f t="shared" si="273"/>
        <v/>
      </c>
      <c r="H731" s="225"/>
      <c r="I731" s="1013"/>
      <c r="J731" s="1013"/>
      <c r="K731" s="1028"/>
      <c r="L731" s="1035" t="str">
        <f t="shared" si="277"/>
        <v/>
      </c>
      <c r="S731" s="498"/>
      <c r="AJ731" s="498"/>
      <c r="AM731" s="498">
        <f t="shared" si="258"/>
        <v>0</v>
      </c>
      <c r="AN731" s="498">
        <f t="shared" si="259"/>
        <v>0</v>
      </c>
      <c r="AO731" s="498">
        <f t="shared" si="260"/>
        <v>0</v>
      </c>
      <c r="AP731" s="498">
        <f t="shared" si="279"/>
        <v>0</v>
      </c>
      <c r="AQ731" s="498">
        <f t="shared" si="274"/>
        <v>0</v>
      </c>
      <c r="AU731" s="498">
        <f t="shared" si="261"/>
        <v>0</v>
      </c>
      <c r="AV731" s="498">
        <f t="shared" si="262"/>
        <v>0</v>
      </c>
      <c r="AW731" s="498">
        <f t="shared" si="263"/>
        <v>0</v>
      </c>
      <c r="AX731" s="498">
        <f t="shared" si="264"/>
        <v>0</v>
      </c>
      <c r="AY731" s="498">
        <f t="shared" si="265"/>
        <v>0</v>
      </c>
      <c r="BB731" s="498" t="str">
        <f t="shared" si="266"/>
        <v/>
      </c>
      <c r="BC731" s="743" t="str">
        <f t="shared" si="267"/>
        <v/>
      </c>
      <c r="BD731" s="743" t="str">
        <f t="shared" si="268"/>
        <v/>
      </c>
      <c r="BE731" s="743" t="str">
        <f>IF(D731="","",VLOOKUP(D731,'General Basis'!$J$39:$K$46,2,0))</f>
        <v/>
      </c>
      <c r="BF731" s="744" t="str">
        <f>IF(D731="","",VLOOKUP(D731,'General Basis'!$J$39:$L$46,3,0))</f>
        <v/>
      </c>
      <c r="BG731" s="744" t="str">
        <f t="shared" si="275"/>
        <v/>
      </c>
      <c r="BH731" s="744" t="str">
        <f>IF(G731="","",IF(BF731="Abu Dhabi",IF(G731&lt;18,'General Basis'!$C$39,IF(G731&lt;41,'General Basis'!$C$40,IF(G731&lt;60,'General Basis'!$C$41,IF(G731&lt;65,'General Basis'!$C$42,'General Basis'!$C$43)))),IF(G731&lt;11,'General Basis'!$B$39,IF(G731&lt;18,'General Basis'!$B$40,IF(G731&lt;26,'General Basis'!$B$41,IF(G731&lt;31,'General Basis'!$B$42,IF(G731&lt;36,'General Basis'!$B$43,IF(G731&lt;41,'General Basis'!$B$44,IF(G731&lt;46,'General Basis'!$B$45,IF(G731&lt;51,'General Basis'!$B$46,IF(G731&lt;56,'General Basis'!$B$47,IF(G731&lt;60,'General Basis'!$B$48,IF(G731&lt;65,'General Basis'!$B$49,'General Basis'!$B$50)))))))))))))</f>
        <v/>
      </c>
      <c r="BI731" s="744" t="str">
        <f t="shared" si="269"/>
        <v/>
      </c>
      <c r="BJ731" s="747" t="str">
        <f t="shared" si="276"/>
        <v/>
      </c>
      <c r="BK731" s="498" t="str">
        <f t="shared" si="270"/>
        <v/>
      </c>
      <c r="BL731" s="498" t="str">
        <f t="shared" si="271"/>
        <v/>
      </c>
    </row>
    <row r="732" spans="1:64" x14ac:dyDescent="0.25">
      <c r="A732" s="762">
        <f t="shared" si="272"/>
        <v>727</v>
      </c>
      <c r="B732" s="229"/>
      <c r="C732" s="223"/>
      <c r="D732" s="224"/>
      <c r="E732" s="225"/>
      <c r="F732" s="1036" t="str">
        <f t="shared" si="278"/>
        <v/>
      </c>
      <c r="G732" s="1037" t="str">
        <f t="shared" si="273"/>
        <v/>
      </c>
      <c r="H732" s="225"/>
      <c r="I732" s="1013"/>
      <c r="J732" s="1013"/>
      <c r="K732" s="1028"/>
      <c r="L732" s="1035" t="str">
        <f t="shared" si="277"/>
        <v/>
      </c>
      <c r="S732" s="498"/>
      <c r="AJ732" s="498"/>
      <c r="AM732" s="498">
        <f t="shared" si="258"/>
        <v>0</v>
      </c>
      <c r="AN732" s="498">
        <f t="shared" si="259"/>
        <v>0</v>
      </c>
      <c r="AO732" s="498">
        <f t="shared" si="260"/>
        <v>0</v>
      </c>
      <c r="AP732" s="498">
        <f t="shared" si="279"/>
        <v>0</v>
      </c>
      <c r="AQ732" s="498">
        <f t="shared" si="274"/>
        <v>0</v>
      </c>
      <c r="AU732" s="498">
        <f t="shared" si="261"/>
        <v>0</v>
      </c>
      <c r="AV732" s="498">
        <f t="shared" si="262"/>
        <v>0</v>
      </c>
      <c r="AW732" s="498">
        <f t="shared" si="263"/>
        <v>0</v>
      </c>
      <c r="AX732" s="498">
        <f t="shared" si="264"/>
        <v>0</v>
      </c>
      <c r="AY732" s="498">
        <f t="shared" si="265"/>
        <v>0</v>
      </c>
      <c r="BB732" s="498" t="str">
        <f t="shared" si="266"/>
        <v/>
      </c>
      <c r="BC732" s="743" t="str">
        <f t="shared" si="267"/>
        <v/>
      </c>
      <c r="BD732" s="743" t="str">
        <f t="shared" si="268"/>
        <v/>
      </c>
      <c r="BE732" s="743" t="str">
        <f>IF(D732="","",VLOOKUP(D732,'General Basis'!$J$39:$K$46,2,0))</f>
        <v/>
      </c>
      <c r="BF732" s="744" t="str">
        <f>IF(D732="","",VLOOKUP(D732,'General Basis'!$J$39:$L$46,3,0))</f>
        <v/>
      </c>
      <c r="BG732" s="744" t="str">
        <f t="shared" si="275"/>
        <v/>
      </c>
      <c r="BH732" s="744" t="str">
        <f>IF(G732="","",IF(BF732="Abu Dhabi",IF(G732&lt;18,'General Basis'!$C$39,IF(G732&lt;41,'General Basis'!$C$40,IF(G732&lt;60,'General Basis'!$C$41,IF(G732&lt;65,'General Basis'!$C$42,'General Basis'!$C$43)))),IF(G732&lt;11,'General Basis'!$B$39,IF(G732&lt;18,'General Basis'!$B$40,IF(G732&lt;26,'General Basis'!$B$41,IF(G732&lt;31,'General Basis'!$B$42,IF(G732&lt;36,'General Basis'!$B$43,IF(G732&lt;41,'General Basis'!$B$44,IF(G732&lt;46,'General Basis'!$B$45,IF(G732&lt;51,'General Basis'!$B$46,IF(G732&lt;56,'General Basis'!$B$47,IF(G732&lt;60,'General Basis'!$B$48,IF(G732&lt;65,'General Basis'!$B$49,'General Basis'!$B$50)))))))))))))</f>
        <v/>
      </c>
      <c r="BI732" s="744" t="str">
        <f t="shared" si="269"/>
        <v/>
      </c>
      <c r="BJ732" s="747" t="str">
        <f t="shared" si="276"/>
        <v/>
      </c>
      <c r="BK732" s="498" t="str">
        <f t="shared" si="270"/>
        <v/>
      </c>
      <c r="BL732" s="498" t="str">
        <f t="shared" si="271"/>
        <v/>
      </c>
    </row>
    <row r="733" spans="1:64" x14ac:dyDescent="0.25">
      <c r="A733" s="762">
        <f t="shared" si="272"/>
        <v>728</v>
      </c>
      <c r="B733" s="229"/>
      <c r="C733" s="223"/>
      <c r="D733" s="224"/>
      <c r="E733" s="225"/>
      <c r="F733" s="1036" t="str">
        <f t="shared" si="278"/>
        <v/>
      </c>
      <c r="G733" s="1037" t="str">
        <f t="shared" si="273"/>
        <v/>
      </c>
      <c r="H733" s="225"/>
      <c r="I733" s="1013"/>
      <c r="J733" s="1013"/>
      <c r="K733" s="1028"/>
      <c r="L733" s="1035" t="str">
        <f t="shared" si="277"/>
        <v/>
      </c>
      <c r="S733" s="498"/>
      <c r="AJ733" s="498"/>
      <c r="AM733" s="498">
        <f t="shared" si="258"/>
        <v>0</v>
      </c>
      <c r="AN733" s="498">
        <f t="shared" si="259"/>
        <v>0</v>
      </c>
      <c r="AO733" s="498">
        <f t="shared" si="260"/>
        <v>0</v>
      </c>
      <c r="AP733" s="498">
        <f t="shared" si="279"/>
        <v>0</v>
      </c>
      <c r="AQ733" s="498">
        <f t="shared" si="274"/>
        <v>0</v>
      </c>
      <c r="AU733" s="498">
        <f t="shared" si="261"/>
        <v>0</v>
      </c>
      <c r="AV733" s="498">
        <f t="shared" si="262"/>
        <v>0</v>
      </c>
      <c r="AW733" s="498">
        <f t="shared" si="263"/>
        <v>0</v>
      </c>
      <c r="AX733" s="498">
        <f t="shared" si="264"/>
        <v>0</v>
      </c>
      <c r="AY733" s="498">
        <f t="shared" si="265"/>
        <v>0</v>
      </c>
      <c r="BB733" s="498" t="str">
        <f t="shared" si="266"/>
        <v/>
      </c>
      <c r="BC733" s="743" t="str">
        <f t="shared" si="267"/>
        <v/>
      </c>
      <c r="BD733" s="743" t="str">
        <f t="shared" si="268"/>
        <v/>
      </c>
      <c r="BE733" s="743" t="str">
        <f>IF(D733="","",VLOOKUP(D733,'General Basis'!$J$39:$K$46,2,0))</f>
        <v/>
      </c>
      <c r="BF733" s="744" t="str">
        <f>IF(D733="","",VLOOKUP(D733,'General Basis'!$J$39:$L$46,3,0))</f>
        <v/>
      </c>
      <c r="BG733" s="744" t="str">
        <f t="shared" si="275"/>
        <v/>
      </c>
      <c r="BH733" s="744" t="str">
        <f>IF(G733="","",IF(BF733="Abu Dhabi",IF(G733&lt;18,'General Basis'!$C$39,IF(G733&lt;41,'General Basis'!$C$40,IF(G733&lt;60,'General Basis'!$C$41,IF(G733&lt;65,'General Basis'!$C$42,'General Basis'!$C$43)))),IF(G733&lt;11,'General Basis'!$B$39,IF(G733&lt;18,'General Basis'!$B$40,IF(G733&lt;26,'General Basis'!$B$41,IF(G733&lt;31,'General Basis'!$B$42,IF(G733&lt;36,'General Basis'!$B$43,IF(G733&lt;41,'General Basis'!$B$44,IF(G733&lt;46,'General Basis'!$B$45,IF(G733&lt;51,'General Basis'!$B$46,IF(G733&lt;56,'General Basis'!$B$47,IF(G733&lt;60,'General Basis'!$B$48,IF(G733&lt;65,'General Basis'!$B$49,'General Basis'!$B$50)))))))))))))</f>
        <v/>
      </c>
      <c r="BI733" s="744" t="str">
        <f t="shared" si="269"/>
        <v/>
      </c>
      <c r="BJ733" s="747" t="str">
        <f t="shared" si="276"/>
        <v/>
      </c>
      <c r="BK733" s="498" t="str">
        <f t="shared" si="270"/>
        <v/>
      </c>
      <c r="BL733" s="498" t="str">
        <f t="shared" si="271"/>
        <v/>
      </c>
    </row>
    <row r="734" spans="1:64" x14ac:dyDescent="0.25">
      <c r="A734" s="762">
        <f t="shared" si="272"/>
        <v>729</v>
      </c>
      <c r="B734" s="229"/>
      <c r="C734" s="223"/>
      <c r="D734" s="224"/>
      <c r="E734" s="225"/>
      <c r="F734" s="1036" t="str">
        <f t="shared" si="278"/>
        <v/>
      </c>
      <c r="G734" s="1037" t="str">
        <f t="shared" si="273"/>
        <v/>
      </c>
      <c r="H734" s="225"/>
      <c r="I734" s="1013"/>
      <c r="J734" s="1013"/>
      <c r="K734" s="1028"/>
      <c r="L734" s="1035" t="str">
        <f t="shared" si="277"/>
        <v/>
      </c>
      <c r="S734" s="498"/>
      <c r="AJ734" s="498"/>
      <c r="AM734" s="498">
        <f t="shared" si="258"/>
        <v>0</v>
      </c>
      <c r="AN734" s="498">
        <f t="shared" si="259"/>
        <v>0</v>
      </c>
      <c r="AO734" s="498">
        <f t="shared" si="260"/>
        <v>0</v>
      </c>
      <c r="AP734" s="498">
        <f t="shared" si="279"/>
        <v>0</v>
      </c>
      <c r="AQ734" s="498">
        <f t="shared" si="274"/>
        <v>0</v>
      </c>
      <c r="AU734" s="498">
        <f t="shared" si="261"/>
        <v>0</v>
      </c>
      <c r="AV734" s="498">
        <f t="shared" si="262"/>
        <v>0</v>
      </c>
      <c r="AW734" s="498">
        <f t="shared" si="263"/>
        <v>0</v>
      </c>
      <c r="AX734" s="498">
        <f t="shared" si="264"/>
        <v>0</v>
      </c>
      <c r="AY734" s="498">
        <f t="shared" si="265"/>
        <v>0</v>
      </c>
      <c r="BB734" s="498" t="str">
        <f t="shared" si="266"/>
        <v/>
      </c>
      <c r="BC734" s="743" t="str">
        <f t="shared" si="267"/>
        <v/>
      </c>
      <c r="BD734" s="743" t="str">
        <f t="shared" si="268"/>
        <v/>
      </c>
      <c r="BE734" s="743" t="str">
        <f>IF(D734="","",VLOOKUP(D734,'General Basis'!$J$39:$K$46,2,0))</f>
        <v/>
      </c>
      <c r="BF734" s="744" t="str">
        <f>IF(D734="","",VLOOKUP(D734,'General Basis'!$J$39:$L$46,3,0))</f>
        <v/>
      </c>
      <c r="BG734" s="744" t="str">
        <f t="shared" si="275"/>
        <v/>
      </c>
      <c r="BH734" s="744" t="str">
        <f>IF(G734="","",IF(BF734="Abu Dhabi",IF(G734&lt;18,'General Basis'!$C$39,IF(G734&lt;41,'General Basis'!$C$40,IF(G734&lt;60,'General Basis'!$C$41,IF(G734&lt;65,'General Basis'!$C$42,'General Basis'!$C$43)))),IF(G734&lt;11,'General Basis'!$B$39,IF(G734&lt;18,'General Basis'!$B$40,IF(G734&lt;26,'General Basis'!$B$41,IF(G734&lt;31,'General Basis'!$B$42,IF(G734&lt;36,'General Basis'!$B$43,IF(G734&lt;41,'General Basis'!$B$44,IF(G734&lt;46,'General Basis'!$B$45,IF(G734&lt;51,'General Basis'!$B$46,IF(G734&lt;56,'General Basis'!$B$47,IF(G734&lt;60,'General Basis'!$B$48,IF(G734&lt;65,'General Basis'!$B$49,'General Basis'!$B$50)))))))))))))</f>
        <v/>
      </c>
      <c r="BI734" s="744" t="str">
        <f t="shared" si="269"/>
        <v/>
      </c>
      <c r="BJ734" s="747" t="str">
        <f t="shared" si="276"/>
        <v/>
      </c>
      <c r="BK734" s="498" t="str">
        <f t="shared" si="270"/>
        <v/>
      </c>
      <c r="BL734" s="498" t="str">
        <f t="shared" si="271"/>
        <v/>
      </c>
    </row>
    <row r="735" spans="1:64" x14ac:dyDescent="0.25">
      <c r="A735" s="762">
        <f t="shared" si="272"/>
        <v>730</v>
      </c>
      <c r="B735" s="229"/>
      <c r="C735" s="223"/>
      <c r="D735" s="224"/>
      <c r="E735" s="225"/>
      <c r="F735" s="1036" t="str">
        <f t="shared" si="278"/>
        <v/>
      </c>
      <c r="G735" s="1037" t="str">
        <f t="shared" si="273"/>
        <v/>
      </c>
      <c r="H735" s="225"/>
      <c r="I735" s="1013"/>
      <c r="J735" s="1013"/>
      <c r="K735" s="1028"/>
      <c r="L735" s="1035" t="str">
        <f t="shared" si="277"/>
        <v/>
      </c>
      <c r="S735" s="498"/>
      <c r="AJ735" s="498"/>
      <c r="AM735" s="498">
        <f t="shared" si="258"/>
        <v>0</v>
      </c>
      <c r="AN735" s="498">
        <f t="shared" si="259"/>
        <v>0</v>
      </c>
      <c r="AO735" s="498">
        <f t="shared" si="260"/>
        <v>0</v>
      </c>
      <c r="AP735" s="498">
        <f t="shared" si="279"/>
        <v>0</v>
      </c>
      <c r="AQ735" s="498">
        <f t="shared" si="274"/>
        <v>0</v>
      </c>
      <c r="AU735" s="498">
        <f t="shared" si="261"/>
        <v>0</v>
      </c>
      <c r="AV735" s="498">
        <f t="shared" si="262"/>
        <v>0</v>
      </c>
      <c r="AW735" s="498">
        <f t="shared" si="263"/>
        <v>0</v>
      </c>
      <c r="AX735" s="498">
        <f t="shared" si="264"/>
        <v>0</v>
      </c>
      <c r="AY735" s="498">
        <f t="shared" si="265"/>
        <v>0</v>
      </c>
      <c r="BB735" s="498" t="str">
        <f t="shared" si="266"/>
        <v/>
      </c>
      <c r="BC735" s="743" t="str">
        <f t="shared" si="267"/>
        <v/>
      </c>
      <c r="BD735" s="743" t="str">
        <f t="shared" si="268"/>
        <v/>
      </c>
      <c r="BE735" s="743" t="str">
        <f>IF(D735="","",VLOOKUP(D735,'General Basis'!$J$39:$K$46,2,0))</f>
        <v/>
      </c>
      <c r="BF735" s="744" t="str">
        <f>IF(D735="","",VLOOKUP(D735,'General Basis'!$J$39:$L$46,3,0))</f>
        <v/>
      </c>
      <c r="BG735" s="744" t="str">
        <f t="shared" si="275"/>
        <v/>
      </c>
      <c r="BH735" s="744" t="str">
        <f>IF(G735="","",IF(BF735="Abu Dhabi",IF(G735&lt;18,'General Basis'!$C$39,IF(G735&lt;41,'General Basis'!$C$40,IF(G735&lt;60,'General Basis'!$C$41,IF(G735&lt;65,'General Basis'!$C$42,'General Basis'!$C$43)))),IF(G735&lt;11,'General Basis'!$B$39,IF(G735&lt;18,'General Basis'!$B$40,IF(G735&lt;26,'General Basis'!$B$41,IF(G735&lt;31,'General Basis'!$B$42,IF(G735&lt;36,'General Basis'!$B$43,IF(G735&lt;41,'General Basis'!$B$44,IF(G735&lt;46,'General Basis'!$B$45,IF(G735&lt;51,'General Basis'!$B$46,IF(G735&lt;56,'General Basis'!$B$47,IF(G735&lt;60,'General Basis'!$B$48,IF(G735&lt;65,'General Basis'!$B$49,'General Basis'!$B$50)))))))))))))</f>
        <v/>
      </c>
      <c r="BI735" s="744" t="str">
        <f t="shared" si="269"/>
        <v/>
      </c>
      <c r="BJ735" s="747" t="str">
        <f t="shared" si="276"/>
        <v/>
      </c>
      <c r="BK735" s="498" t="str">
        <f t="shared" si="270"/>
        <v/>
      </c>
      <c r="BL735" s="498" t="str">
        <f t="shared" si="271"/>
        <v/>
      </c>
    </row>
    <row r="736" spans="1:64" x14ac:dyDescent="0.25">
      <c r="A736" s="762">
        <f t="shared" si="272"/>
        <v>731</v>
      </c>
      <c r="B736" s="229"/>
      <c r="C736" s="223"/>
      <c r="D736" s="224"/>
      <c r="E736" s="225"/>
      <c r="F736" s="1036" t="str">
        <f t="shared" si="278"/>
        <v/>
      </c>
      <c r="G736" s="1037" t="str">
        <f t="shared" si="273"/>
        <v/>
      </c>
      <c r="H736" s="225"/>
      <c r="I736" s="1013"/>
      <c r="J736" s="1013"/>
      <c r="K736" s="1028"/>
      <c r="L736" s="1035" t="str">
        <f t="shared" si="277"/>
        <v/>
      </c>
      <c r="S736" s="498"/>
      <c r="AJ736" s="498"/>
      <c r="AM736" s="498">
        <f t="shared" si="258"/>
        <v>0</v>
      </c>
      <c r="AN736" s="498">
        <f t="shared" si="259"/>
        <v>0</v>
      </c>
      <c r="AO736" s="498">
        <f t="shared" si="260"/>
        <v>0</v>
      </c>
      <c r="AP736" s="498">
        <f t="shared" si="279"/>
        <v>0</v>
      </c>
      <c r="AQ736" s="498">
        <f t="shared" si="274"/>
        <v>0</v>
      </c>
      <c r="AU736" s="498">
        <f t="shared" si="261"/>
        <v>0</v>
      </c>
      <c r="AV736" s="498">
        <f t="shared" si="262"/>
        <v>0</v>
      </c>
      <c r="AW736" s="498">
        <f t="shared" si="263"/>
        <v>0</v>
      </c>
      <c r="AX736" s="498">
        <f t="shared" si="264"/>
        <v>0</v>
      </c>
      <c r="AY736" s="498">
        <f t="shared" si="265"/>
        <v>0</v>
      </c>
      <c r="BB736" s="498" t="str">
        <f t="shared" si="266"/>
        <v/>
      </c>
      <c r="BC736" s="743" t="str">
        <f t="shared" si="267"/>
        <v/>
      </c>
      <c r="BD736" s="743" t="str">
        <f t="shared" si="268"/>
        <v/>
      </c>
      <c r="BE736" s="743" t="str">
        <f>IF(D736="","",VLOOKUP(D736,'General Basis'!$J$39:$K$46,2,0))</f>
        <v/>
      </c>
      <c r="BF736" s="744" t="str">
        <f>IF(D736="","",VLOOKUP(D736,'General Basis'!$J$39:$L$46,3,0))</f>
        <v/>
      </c>
      <c r="BG736" s="744" t="str">
        <f t="shared" si="275"/>
        <v/>
      </c>
      <c r="BH736" s="744" t="str">
        <f>IF(G736="","",IF(BF736="Abu Dhabi",IF(G736&lt;18,'General Basis'!$C$39,IF(G736&lt;41,'General Basis'!$C$40,IF(G736&lt;60,'General Basis'!$C$41,IF(G736&lt;65,'General Basis'!$C$42,'General Basis'!$C$43)))),IF(G736&lt;11,'General Basis'!$B$39,IF(G736&lt;18,'General Basis'!$B$40,IF(G736&lt;26,'General Basis'!$B$41,IF(G736&lt;31,'General Basis'!$B$42,IF(G736&lt;36,'General Basis'!$B$43,IF(G736&lt;41,'General Basis'!$B$44,IF(G736&lt;46,'General Basis'!$B$45,IF(G736&lt;51,'General Basis'!$B$46,IF(G736&lt;56,'General Basis'!$B$47,IF(G736&lt;60,'General Basis'!$B$48,IF(G736&lt;65,'General Basis'!$B$49,'General Basis'!$B$50)))))))))))))</f>
        <v/>
      </c>
      <c r="BI736" s="744" t="str">
        <f t="shared" si="269"/>
        <v/>
      </c>
      <c r="BJ736" s="747" t="str">
        <f t="shared" si="276"/>
        <v/>
      </c>
      <c r="BK736" s="498" t="str">
        <f t="shared" si="270"/>
        <v/>
      </c>
      <c r="BL736" s="498" t="str">
        <f t="shared" si="271"/>
        <v/>
      </c>
    </row>
    <row r="737" spans="1:64" x14ac:dyDescent="0.25">
      <c r="A737" s="762">
        <f t="shared" si="272"/>
        <v>732</v>
      </c>
      <c r="B737" s="229"/>
      <c r="C737" s="223"/>
      <c r="D737" s="224"/>
      <c r="E737" s="225"/>
      <c r="F737" s="1036" t="str">
        <f t="shared" si="278"/>
        <v/>
      </c>
      <c r="G737" s="1037" t="str">
        <f t="shared" si="273"/>
        <v/>
      </c>
      <c r="H737" s="225"/>
      <c r="I737" s="1013"/>
      <c r="J737" s="1013"/>
      <c r="K737" s="1028"/>
      <c r="L737" s="1035" t="str">
        <f t="shared" si="277"/>
        <v/>
      </c>
      <c r="S737" s="498"/>
      <c r="AJ737" s="498"/>
      <c r="AM737" s="498">
        <f t="shared" si="258"/>
        <v>0</v>
      </c>
      <c r="AN737" s="498">
        <f t="shared" si="259"/>
        <v>0</v>
      </c>
      <c r="AO737" s="498">
        <f t="shared" si="260"/>
        <v>0</v>
      </c>
      <c r="AP737" s="498">
        <f t="shared" si="279"/>
        <v>0</v>
      </c>
      <c r="AQ737" s="498">
        <f t="shared" si="274"/>
        <v>0</v>
      </c>
      <c r="AU737" s="498">
        <f t="shared" si="261"/>
        <v>0</v>
      </c>
      <c r="AV737" s="498">
        <f t="shared" si="262"/>
        <v>0</v>
      </c>
      <c r="AW737" s="498">
        <f t="shared" si="263"/>
        <v>0</v>
      </c>
      <c r="AX737" s="498">
        <f t="shared" si="264"/>
        <v>0</v>
      </c>
      <c r="AY737" s="498">
        <f t="shared" si="265"/>
        <v>0</v>
      </c>
      <c r="BB737" s="498" t="str">
        <f t="shared" si="266"/>
        <v/>
      </c>
      <c r="BC737" s="743" t="str">
        <f t="shared" si="267"/>
        <v/>
      </c>
      <c r="BD737" s="743" t="str">
        <f t="shared" si="268"/>
        <v/>
      </c>
      <c r="BE737" s="743" t="str">
        <f>IF(D737="","",VLOOKUP(D737,'General Basis'!$J$39:$K$46,2,0))</f>
        <v/>
      </c>
      <c r="BF737" s="744" t="str">
        <f>IF(D737="","",VLOOKUP(D737,'General Basis'!$J$39:$L$46,3,0))</f>
        <v/>
      </c>
      <c r="BG737" s="744" t="str">
        <f t="shared" si="275"/>
        <v/>
      </c>
      <c r="BH737" s="744" t="str">
        <f>IF(G737="","",IF(BF737="Abu Dhabi",IF(G737&lt;18,'General Basis'!$C$39,IF(G737&lt;41,'General Basis'!$C$40,IF(G737&lt;60,'General Basis'!$C$41,IF(G737&lt;65,'General Basis'!$C$42,'General Basis'!$C$43)))),IF(G737&lt;11,'General Basis'!$B$39,IF(G737&lt;18,'General Basis'!$B$40,IF(G737&lt;26,'General Basis'!$B$41,IF(G737&lt;31,'General Basis'!$B$42,IF(G737&lt;36,'General Basis'!$B$43,IF(G737&lt;41,'General Basis'!$B$44,IF(G737&lt;46,'General Basis'!$B$45,IF(G737&lt;51,'General Basis'!$B$46,IF(G737&lt;56,'General Basis'!$B$47,IF(G737&lt;60,'General Basis'!$B$48,IF(G737&lt;65,'General Basis'!$B$49,'General Basis'!$B$50)))))))))))))</f>
        <v/>
      </c>
      <c r="BI737" s="744" t="str">
        <f t="shared" si="269"/>
        <v/>
      </c>
      <c r="BJ737" s="747" t="str">
        <f t="shared" si="276"/>
        <v/>
      </c>
      <c r="BK737" s="498" t="str">
        <f t="shared" si="270"/>
        <v/>
      </c>
      <c r="BL737" s="498" t="str">
        <f t="shared" si="271"/>
        <v/>
      </c>
    </row>
    <row r="738" spans="1:64" x14ac:dyDescent="0.25">
      <c r="A738" s="762">
        <f t="shared" si="272"/>
        <v>733</v>
      </c>
      <c r="B738" s="229"/>
      <c r="C738" s="223"/>
      <c r="D738" s="224"/>
      <c r="E738" s="225"/>
      <c r="F738" s="1036" t="str">
        <f t="shared" si="278"/>
        <v/>
      </c>
      <c r="G738" s="1037" t="str">
        <f t="shared" si="273"/>
        <v/>
      </c>
      <c r="H738" s="225"/>
      <c r="I738" s="1013"/>
      <c r="J738" s="1013"/>
      <c r="K738" s="1028"/>
      <c r="L738" s="1035" t="str">
        <f t="shared" si="277"/>
        <v/>
      </c>
      <c r="S738" s="498"/>
      <c r="AJ738" s="498"/>
      <c r="AM738" s="498">
        <f t="shared" si="258"/>
        <v>0</v>
      </c>
      <c r="AN738" s="498">
        <f t="shared" si="259"/>
        <v>0</v>
      </c>
      <c r="AO738" s="498">
        <f t="shared" si="260"/>
        <v>0</v>
      </c>
      <c r="AP738" s="498">
        <f t="shared" si="279"/>
        <v>0</v>
      </c>
      <c r="AQ738" s="498">
        <f t="shared" si="274"/>
        <v>0</v>
      </c>
      <c r="AU738" s="498">
        <f t="shared" si="261"/>
        <v>0</v>
      </c>
      <c r="AV738" s="498">
        <f t="shared" si="262"/>
        <v>0</v>
      </c>
      <c r="AW738" s="498">
        <f t="shared" si="263"/>
        <v>0</v>
      </c>
      <c r="AX738" s="498">
        <f t="shared" si="264"/>
        <v>0</v>
      </c>
      <c r="AY738" s="498">
        <f t="shared" si="265"/>
        <v>0</v>
      </c>
      <c r="BB738" s="498" t="str">
        <f t="shared" si="266"/>
        <v/>
      </c>
      <c r="BC738" s="743" t="str">
        <f t="shared" si="267"/>
        <v/>
      </c>
      <c r="BD738" s="743" t="str">
        <f t="shared" si="268"/>
        <v/>
      </c>
      <c r="BE738" s="743" t="str">
        <f>IF(D738="","",VLOOKUP(D738,'General Basis'!$J$39:$K$46,2,0))</f>
        <v/>
      </c>
      <c r="BF738" s="744" t="str">
        <f>IF(D738="","",VLOOKUP(D738,'General Basis'!$J$39:$L$46,3,0))</f>
        <v/>
      </c>
      <c r="BG738" s="744" t="str">
        <f t="shared" si="275"/>
        <v/>
      </c>
      <c r="BH738" s="744" t="str">
        <f>IF(G738="","",IF(BF738="Abu Dhabi",IF(G738&lt;18,'General Basis'!$C$39,IF(G738&lt;41,'General Basis'!$C$40,IF(G738&lt;60,'General Basis'!$C$41,IF(G738&lt;65,'General Basis'!$C$42,'General Basis'!$C$43)))),IF(G738&lt;11,'General Basis'!$B$39,IF(G738&lt;18,'General Basis'!$B$40,IF(G738&lt;26,'General Basis'!$B$41,IF(G738&lt;31,'General Basis'!$B$42,IF(G738&lt;36,'General Basis'!$B$43,IF(G738&lt;41,'General Basis'!$B$44,IF(G738&lt;46,'General Basis'!$B$45,IF(G738&lt;51,'General Basis'!$B$46,IF(G738&lt;56,'General Basis'!$B$47,IF(G738&lt;60,'General Basis'!$B$48,IF(G738&lt;65,'General Basis'!$B$49,'General Basis'!$B$50)))))))))))))</f>
        <v/>
      </c>
      <c r="BI738" s="744" t="str">
        <f t="shared" si="269"/>
        <v/>
      </c>
      <c r="BJ738" s="747" t="str">
        <f t="shared" si="276"/>
        <v/>
      </c>
      <c r="BK738" s="498" t="str">
        <f t="shared" si="270"/>
        <v/>
      </c>
      <c r="BL738" s="498" t="str">
        <f t="shared" si="271"/>
        <v/>
      </c>
    </row>
    <row r="739" spans="1:64" x14ac:dyDescent="0.25">
      <c r="A739" s="762">
        <f t="shared" si="272"/>
        <v>734</v>
      </c>
      <c r="B739" s="229"/>
      <c r="C739" s="223"/>
      <c r="D739" s="224"/>
      <c r="E739" s="225"/>
      <c r="F739" s="1036" t="str">
        <f t="shared" si="278"/>
        <v/>
      </c>
      <c r="G739" s="1037" t="str">
        <f t="shared" si="273"/>
        <v/>
      </c>
      <c r="H739" s="225"/>
      <c r="I739" s="1013"/>
      <c r="J739" s="1013"/>
      <c r="K739" s="1028"/>
      <c r="L739" s="1035" t="str">
        <f t="shared" si="277"/>
        <v/>
      </c>
      <c r="S739" s="498"/>
      <c r="AJ739" s="498"/>
      <c r="AM739" s="498">
        <f t="shared" si="258"/>
        <v>0</v>
      </c>
      <c r="AN739" s="498">
        <f t="shared" si="259"/>
        <v>0</v>
      </c>
      <c r="AO739" s="498">
        <f t="shared" si="260"/>
        <v>0</v>
      </c>
      <c r="AP739" s="498">
        <f t="shared" si="279"/>
        <v>0</v>
      </c>
      <c r="AQ739" s="498">
        <f t="shared" si="274"/>
        <v>0</v>
      </c>
      <c r="AU739" s="498">
        <f t="shared" si="261"/>
        <v>0</v>
      </c>
      <c r="AV739" s="498">
        <f t="shared" si="262"/>
        <v>0</v>
      </c>
      <c r="AW739" s="498">
        <f t="shared" si="263"/>
        <v>0</v>
      </c>
      <c r="AX739" s="498">
        <f t="shared" si="264"/>
        <v>0</v>
      </c>
      <c r="AY739" s="498">
        <f t="shared" si="265"/>
        <v>0</v>
      </c>
      <c r="BB739" s="498" t="str">
        <f t="shared" si="266"/>
        <v/>
      </c>
      <c r="BC739" s="743" t="str">
        <f t="shared" si="267"/>
        <v/>
      </c>
      <c r="BD739" s="743" t="str">
        <f t="shared" si="268"/>
        <v/>
      </c>
      <c r="BE739" s="743" t="str">
        <f>IF(D739="","",VLOOKUP(D739,'General Basis'!$J$39:$K$46,2,0))</f>
        <v/>
      </c>
      <c r="BF739" s="744" t="str">
        <f>IF(D739="","",VLOOKUP(D739,'General Basis'!$J$39:$L$46,3,0))</f>
        <v/>
      </c>
      <c r="BG739" s="744" t="str">
        <f t="shared" si="275"/>
        <v/>
      </c>
      <c r="BH739" s="744" t="str">
        <f>IF(G739="","",IF(BF739="Abu Dhabi",IF(G739&lt;18,'General Basis'!$C$39,IF(G739&lt;41,'General Basis'!$C$40,IF(G739&lt;60,'General Basis'!$C$41,IF(G739&lt;65,'General Basis'!$C$42,'General Basis'!$C$43)))),IF(G739&lt;11,'General Basis'!$B$39,IF(G739&lt;18,'General Basis'!$B$40,IF(G739&lt;26,'General Basis'!$B$41,IF(G739&lt;31,'General Basis'!$B$42,IF(G739&lt;36,'General Basis'!$B$43,IF(G739&lt;41,'General Basis'!$B$44,IF(G739&lt;46,'General Basis'!$B$45,IF(G739&lt;51,'General Basis'!$B$46,IF(G739&lt;56,'General Basis'!$B$47,IF(G739&lt;60,'General Basis'!$B$48,IF(G739&lt;65,'General Basis'!$B$49,'General Basis'!$B$50)))))))))))))</f>
        <v/>
      </c>
      <c r="BI739" s="744" t="str">
        <f t="shared" si="269"/>
        <v/>
      </c>
      <c r="BJ739" s="747" t="str">
        <f t="shared" si="276"/>
        <v/>
      </c>
      <c r="BK739" s="498" t="str">
        <f t="shared" si="270"/>
        <v/>
      </c>
      <c r="BL739" s="498" t="str">
        <f t="shared" si="271"/>
        <v/>
      </c>
    </row>
    <row r="740" spans="1:64" x14ac:dyDescent="0.25">
      <c r="A740" s="762">
        <f t="shared" si="272"/>
        <v>735</v>
      </c>
      <c r="B740" s="229"/>
      <c r="C740" s="223"/>
      <c r="D740" s="224"/>
      <c r="E740" s="225"/>
      <c r="F740" s="1036" t="str">
        <f t="shared" si="278"/>
        <v/>
      </c>
      <c r="G740" s="1037" t="str">
        <f t="shared" si="273"/>
        <v/>
      </c>
      <c r="H740" s="225"/>
      <c r="I740" s="1013"/>
      <c r="J740" s="1013"/>
      <c r="K740" s="1028"/>
      <c r="L740" s="1035" t="str">
        <f t="shared" si="277"/>
        <v/>
      </c>
      <c r="S740" s="498"/>
      <c r="AJ740" s="498"/>
      <c r="AM740" s="498">
        <f t="shared" si="258"/>
        <v>0</v>
      </c>
      <c r="AN740" s="498">
        <f t="shared" si="259"/>
        <v>0</v>
      </c>
      <c r="AO740" s="498">
        <f t="shared" si="260"/>
        <v>0</v>
      </c>
      <c r="AP740" s="498">
        <f t="shared" si="279"/>
        <v>0</v>
      </c>
      <c r="AQ740" s="498">
        <f t="shared" si="274"/>
        <v>0</v>
      </c>
      <c r="AU740" s="498">
        <f t="shared" si="261"/>
        <v>0</v>
      </c>
      <c r="AV740" s="498">
        <f t="shared" si="262"/>
        <v>0</v>
      </c>
      <c r="AW740" s="498">
        <f t="shared" si="263"/>
        <v>0</v>
      </c>
      <c r="AX740" s="498">
        <f t="shared" si="264"/>
        <v>0</v>
      </c>
      <c r="AY740" s="498">
        <f t="shared" si="265"/>
        <v>0</v>
      </c>
      <c r="BB740" s="498" t="str">
        <f t="shared" si="266"/>
        <v/>
      </c>
      <c r="BC740" s="743" t="str">
        <f t="shared" si="267"/>
        <v/>
      </c>
      <c r="BD740" s="743" t="str">
        <f t="shared" si="268"/>
        <v/>
      </c>
      <c r="BE740" s="743" t="str">
        <f>IF(D740="","",VLOOKUP(D740,'General Basis'!$J$39:$K$46,2,0))</f>
        <v/>
      </c>
      <c r="BF740" s="744" t="str">
        <f>IF(D740="","",VLOOKUP(D740,'General Basis'!$J$39:$L$46,3,0))</f>
        <v/>
      </c>
      <c r="BG740" s="744" t="str">
        <f t="shared" si="275"/>
        <v/>
      </c>
      <c r="BH740" s="744" t="str">
        <f>IF(G740="","",IF(BF740="Abu Dhabi",IF(G740&lt;18,'General Basis'!$C$39,IF(G740&lt;41,'General Basis'!$C$40,IF(G740&lt;60,'General Basis'!$C$41,IF(G740&lt;65,'General Basis'!$C$42,'General Basis'!$C$43)))),IF(G740&lt;11,'General Basis'!$B$39,IF(G740&lt;18,'General Basis'!$B$40,IF(G740&lt;26,'General Basis'!$B$41,IF(G740&lt;31,'General Basis'!$B$42,IF(G740&lt;36,'General Basis'!$B$43,IF(G740&lt;41,'General Basis'!$B$44,IF(G740&lt;46,'General Basis'!$B$45,IF(G740&lt;51,'General Basis'!$B$46,IF(G740&lt;56,'General Basis'!$B$47,IF(G740&lt;60,'General Basis'!$B$48,IF(G740&lt;65,'General Basis'!$B$49,'General Basis'!$B$50)))))))))))))</f>
        <v/>
      </c>
      <c r="BI740" s="744" t="str">
        <f t="shared" si="269"/>
        <v/>
      </c>
      <c r="BJ740" s="747" t="str">
        <f t="shared" si="276"/>
        <v/>
      </c>
      <c r="BK740" s="498" t="str">
        <f t="shared" si="270"/>
        <v/>
      </c>
      <c r="BL740" s="498" t="str">
        <f t="shared" si="271"/>
        <v/>
      </c>
    </row>
    <row r="741" spans="1:64" x14ac:dyDescent="0.25">
      <c r="A741" s="762">
        <f t="shared" si="272"/>
        <v>736</v>
      </c>
      <c r="B741" s="229"/>
      <c r="C741" s="223"/>
      <c r="D741" s="224"/>
      <c r="E741" s="225"/>
      <c r="F741" s="1036" t="str">
        <f t="shared" si="278"/>
        <v/>
      </c>
      <c r="G741" s="1037" t="str">
        <f t="shared" si="273"/>
        <v/>
      </c>
      <c r="H741" s="225"/>
      <c r="I741" s="1013"/>
      <c r="J741" s="1013"/>
      <c r="K741" s="1028"/>
      <c r="L741" s="1035" t="str">
        <f t="shared" si="277"/>
        <v/>
      </c>
      <c r="S741" s="498"/>
      <c r="AJ741" s="498"/>
      <c r="AM741" s="498">
        <f t="shared" si="258"/>
        <v>0</v>
      </c>
      <c r="AN741" s="498">
        <f t="shared" si="259"/>
        <v>0</v>
      </c>
      <c r="AO741" s="498">
        <f t="shared" si="260"/>
        <v>0</v>
      </c>
      <c r="AP741" s="498">
        <f t="shared" si="279"/>
        <v>0</v>
      </c>
      <c r="AQ741" s="498">
        <f t="shared" si="274"/>
        <v>0</v>
      </c>
      <c r="AU741" s="498">
        <f t="shared" si="261"/>
        <v>0</v>
      </c>
      <c r="AV741" s="498">
        <f t="shared" si="262"/>
        <v>0</v>
      </c>
      <c r="AW741" s="498">
        <f t="shared" si="263"/>
        <v>0</v>
      </c>
      <c r="AX741" s="498">
        <f t="shared" si="264"/>
        <v>0</v>
      </c>
      <c r="AY741" s="498">
        <f t="shared" si="265"/>
        <v>0</v>
      </c>
      <c r="BB741" s="498" t="str">
        <f t="shared" si="266"/>
        <v/>
      </c>
      <c r="BC741" s="743" t="str">
        <f t="shared" si="267"/>
        <v/>
      </c>
      <c r="BD741" s="743" t="str">
        <f t="shared" si="268"/>
        <v/>
      </c>
      <c r="BE741" s="743" t="str">
        <f>IF(D741="","",VLOOKUP(D741,'General Basis'!$J$39:$K$46,2,0))</f>
        <v/>
      </c>
      <c r="BF741" s="744" t="str">
        <f>IF(D741="","",VLOOKUP(D741,'General Basis'!$J$39:$L$46,3,0))</f>
        <v/>
      </c>
      <c r="BG741" s="744" t="str">
        <f t="shared" si="275"/>
        <v/>
      </c>
      <c r="BH741" s="744" t="str">
        <f>IF(G741="","",IF(BF741="Abu Dhabi",IF(G741&lt;18,'General Basis'!$C$39,IF(G741&lt;41,'General Basis'!$C$40,IF(G741&lt;60,'General Basis'!$C$41,IF(G741&lt;65,'General Basis'!$C$42,'General Basis'!$C$43)))),IF(G741&lt;11,'General Basis'!$B$39,IF(G741&lt;18,'General Basis'!$B$40,IF(G741&lt;26,'General Basis'!$B$41,IF(G741&lt;31,'General Basis'!$B$42,IF(G741&lt;36,'General Basis'!$B$43,IF(G741&lt;41,'General Basis'!$B$44,IF(G741&lt;46,'General Basis'!$B$45,IF(G741&lt;51,'General Basis'!$B$46,IF(G741&lt;56,'General Basis'!$B$47,IF(G741&lt;60,'General Basis'!$B$48,IF(G741&lt;65,'General Basis'!$B$49,'General Basis'!$B$50)))))))))))))</f>
        <v/>
      </c>
      <c r="BI741" s="744" t="str">
        <f t="shared" si="269"/>
        <v/>
      </c>
      <c r="BJ741" s="747" t="str">
        <f t="shared" si="276"/>
        <v/>
      </c>
      <c r="BK741" s="498" t="str">
        <f t="shared" si="270"/>
        <v/>
      </c>
      <c r="BL741" s="498" t="str">
        <f t="shared" si="271"/>
        <v/>
      </c>
    </row>
    <row r="742" spans="1:64" x14ac:dyDescent="0.25">
      <c r="A742" s="762">
        <f t="shared" si="272"/>
        <v>737</v>
      </c>
      <c r="B742" s="229"/>
      <c r="C742" s="223"/>
      <c r="D742" s="224"/>
      <c r="E742" s="225"/>
      <c r="F742" s="1036" t="str">
        <f t="shared" si="278"/>
        <v/>
      </c>
      <c r="G742" s="1037" t="str">
        <f t="shared" si="273"/>
        <v/>
      </c>
      <c r="H742" s="225"/>
      <c r="I742" s="1013"/>
      <c r="J742" s="1013"/>
      <c r="K742" s="1028"/>
      <c r="L742" s="1035" t="str">
        <f t="shared" si="277"/>
        <v/>
      </c>
      <c r="S742" s="498"/>
      <c r="AJ742" s="498"/>
      <c r="AM742" s="498">
        <f t="shared" si="258"/>
        <v>0</v>
      </c>
      <c r="AN742" s="498">
        <f t="shared" si="259"/>
        <v>0</v>
      </c>
      <c r="AO742" s="498">
        <f t="shared" si="260"/>
        <v>0</v>
      </c>
      <c r="AP742" s="498">
        <f t="shared" si="279"/>
        <v>0</v>
      </c>
      <c r="AQ742" s="498">
        <f t="shared" si="274"/>
        <v>0</v>
      </c>
      <c r="AU742" s="498">
        <f t="shared" si="261"/>
        <v>0</v>
      </c>
      <c r="AV742" s="498">
        <f t="shared" si="262"/>
        <v>0</v>
      </c>
      <c r="AW742" s="498">
        <f t="shared" si="263"/>
        <v>0</v>
      </c>
      <c r="AX742" s="498">
        <f t="shared" si="264"/>
        <v>0</v>
      </c>
      <c r="AY742" s="498">
        <f t="shared" si="265"/>
        <v>0</v>
      </c>
      <c r="BB742" s="498" t="str">
        <f t="shared" si="266"/>
        <v/>
      </c>
      <c r="BC742" s="743" t="str">
        <f t="shared" si="267"/>
        <v/>
      </c>
      <c r="BD742" s="743" t="str">
        <f t="shared" si="268"/>
        <v/>
      </c>
      <c r="BE742" s="743" t="str">
        <f>IF(D742="","",VLOOKUP(D742,'General Basis'!$J$39:$K$46,2,0))</f>
        <v/>
      </c>
      <c r="BF742" s="744" t="str">
        <f>IF(D742="","",VLOOKUP(D742,'General Basis'!$J$39:$L$46,3,0))</f>
        <v/>
      </c>
      <c r="BG742" s="744" t="str">
        <f t="shared" si="275"/>
        <v/>
      </c>
      <c r="BH742" s="744" t="str">
        <f>IF(G742="","",IF(BF742="Abu Dhabi",IF(G742&lt;18,'General Basis'!$C$39,IF(G742&lt;41,'General Basis'!$C$40,IF(G742&lt;60,'General Basis'!$C$41,IF(G742&lt;65,'General Basis'!$C$42,'General Basis'!$C$43)))),IF(G742&lt;11,'General Basis'!$B$39,IF(G742&lt;18,'General Basis'!$B$40,IF(G742&lt;26,'General Basis'!$B$41,IF(G742&lt;31,'General Basis'!$B$42,IF(G742&lt;36,'General Basis'!$B$43,IF(G742&lt;41,'General Basis'!$B$44,IF(G742&lt;46,'General Basis'!$B$45,IF(G742&lt;51,'General Basis'!$B$46,IF(G742&lt;56,'General Basis'!$B$47,IF(G742&lt;60,'General Basis'!$B$48,IF(G742&lt;65,'General Basis'!$B$49,'General Basis'!$B$50)))))))))))))</f>
        <v/>
      </c>
      <c r="BI742" s="744" t="str">
        <f t="shared" si="269"/>
        <v/>
      </c>
      <c r="BJ742" s="747" t="str">
        <f t="shared" si="276"/>
        <v/>
      </c>
      <c r="BK742" s="498" t="str">
        <f t="shared" si="270"/>
        <v/>
      </c>
      <c r="BL742" s="498" t="str">
        <f t="shared" si="271"/>
        <v/>
      </c>
    </row>
    <row r="743" spans="1:64" x14ac:dyDescent="0.25">
      <c r="A743" s="762">
        <f t="shared" si="272"/>
        <v>738</v>
      </c>
      <c r="B743" s="229"/>
      <c r="C743" s="223"/>
      <c r="D743" s="224"/>
      <c r="E743" s="225"/>
      <c r="F743" s="1036" t="str">
        <f t="shared" si="278"/>
        <v/>
      </c>
      <c r="G743" s="1037" t="str">
        <f t="shared" si="273"/>
        <v/>
      </c>
      <c r="H743" s="225"/>
      <c r="I743" s="1013"/>
      <c r="J743" s="1013"/>
      <c r="K743" s="1028"/>
      <c r="L743" s="1035" t="str">
        <f t="shared" si="277"/>
        <v/>
      </c>
      <c r="S743" s="498"/>
      <c r="AJ743" s="498"/>
      <c r="AM743" s="498">
        <f t="shared" si="258"/>
        <v>0</v>
      </c>
      <c r="AN743" s="498">
        <f t="shared" si="259"/>
        <v>0</v>
      </c>
      <c r="AO743" s="498">
        <f t="shared" si="260"/>
        <v>0</v>
      </c>
      <c r="AP743" s="498">
        <f t="shared" si="279"/>
        <v>0</v>
      </c>
      <c r="AQ743" s="498">
        <f t="shared" si="274"/>
        <v>0</v>
      </c>
      <c r="AU743" s="498">
        <f t="shared" si="261"/>
        <v>0</v>
      </c>
      <c r="AV743" s="498">
        <f t="shared" si="262"/>
        <v>0</v>
      </c>
      <c r="AW743" s="498">
        <f t="shared" si="263"/>
        <v>0</v>
      </c>
      <c r="AX743" s="498">
        <f t="shared" si="264"/>
        <v>0</v>
      </c>
      <c r="AY743" s="498">
        <f t="shared" si="265"/>
        <v>0</v>
      </c>
      <c r="BB743" s="498" t="str">
        <f t="shared" si="266"/>
        <v/>
      </c>
      <c r="BC743" s="743" t="str">
        <f t="shared" si="267"/>
        <v/>
      </c>
      <c r="BD743" s="743" t="str">
        <f t="shared" si="268"/>
        <v/>
      </c>
      <c r="BE743" s="743" t="str">
        <f>IF(D743="","",VLOOKUP(D743,'General Basis'!$J$39:$K$46,2,0))</f>
        <v/>
      </c>
      <c r="BF743" s="744" t="str">
        <f>IF(D743="","",VLOOKUP(D743,'General Basis'!$J$39:$L$46,3,0))</f>
        <v/>
      </c>
      <c r="BG743" s="744" t="str">
        <f t="shared" si="275"/>
        <v/>
      </c>
      <c r="BH743" s="744" t="str">
        <f>IF(G743="","",IF(BF743="Abu Dhabi",IF(G743&lt;18,'General Basis'!$C$39,IF(G743&lt;41,'General Basis'!$C$40,IF(G743&lt;60,'General Basis'!$C$41,IF(G743&lt;65,'General Basis'!$C$42,'General Basis'!$C$43)))),IF(G743&lt;11,'General Basis'!$B$39,IF(G743&lt;18,'General Basis'!$B$40,IF(G743&lt;26,'General Basis'!$B$41,IF(G743&lt;31,'General Basis'!$B$42,IF(G743&lt;36,'General Basis'!$B$43,IF(G743&lt;41,'General Basis'!$B$44,IF(G743&lt;46,'General Basis'!$B$45,IF(G743&lt;51,'General Basis'!$B$46,IF(G743&lt;56,'General Basis'!$B$47,IF(G743&lt;60,'General Basis'!$B$48,IF(G743&lt;65,'General Basis'!$B$49,'General Basis'!$B$50)))))))))))))</f>
        <v/>
      </c>
      <c r="BI743" s="744" t="str">
        <f t="shared" si="269"/>
        <v/>
      </c>
      <c r="BJ743" s="747" t="str">
        <f t="shared" si="276"/>
        <v/>
      </c>
      <c r="BK743" s="498" t="str">
        <f t="shared" si="270"/>
        <v/>
      </c>
      <c r="BL743" s="498" t="str">
        <f t="shared" si="271"/>
        <v/>
      </c>
    </row>
    <row r="744" spans="1:64" x14ac:dyDescent="0.25">
      <c r="A744" s="762">
        <f t="shared" si="272"/>
        <v>739</v>
      </c>
      <c r="B744" s="229"/>
      <c r="C744" s="223"/>
      <c r="D744" s="224"/>
      <c r="E744" s="225"/>
      <c r="F744" s="1036" t="str">
        <f t="shared" si="278"/>
        <v/>
      </c>
      <c r="G744" s="1037" t="str">
        <f t="shared" si="273"/>
        <v/>
      </c>
      <c r="H744" s="225"/>
      <c r="I744" s="1013"/>
      <c r="J744" s="1013"/>
      <c r="K744" s="1028"/>
      <c r="L744" s="1035" t="str">
        <f t="shared" si="277"/>
        <v/>
      </c>
      <c r="S744" s="498"/>
      <c r="AJ744" s="498"/>
      <c r="AM744" s="498">
        <f t="shared" si="258"/>
        <v>0</v>
      </c>
      <c r="AN744" s="498">
        <f t="shared" si="259"/>
        <v>0</v>
      </c>
      <c r="AO744" s="498">
        <f t="shared" si="260"/>
        <v>0</v>
      </c>
      <c r="AP744" s="498">
        <f t="shared" si="279"/>
        <v>0</v>
      </c>
      <c r="AQ744" s="498">
        <f t="shared" si="274"/>
        <v>0</v>
      </c>
      <c r="AU744" s="498">
        <f t="shared" si="261"/>
        <v>0</v>
      </c>
      <c r="AV744" s="498">
        <f t="shared" si="262"/>
        <v>0</v>
      </c>
      <c r="AW744" s="498">
        <f t="shared" si="263"/>
        <v>0</v>
      </c>
      <c r="AX744" s="498">
        <f t="shared" si="264"/>
        <v>0</v>
      </c>
      <c r="AY744" s="498">
        <f t="shared" si="265"/>
        <v>0</v>
      </c>
      <c r="BB744" s="498" t="str">
        <f t="shared" si="266"/>
        <v/>
      </c>
      <c r="BC744" s="743" t="str">
        <f t="shared" si="267"/>
        <v/>
      </c>
      <c r="BD744" s="743" t="str">
        <f t="shared" si="268"/>
        <v/>
      </c>
      <c r="BE744" s="743" t="str">
        <f>IF(D744="","",VLOOKUP(D744,'General Basis'!$J$39:$K$46,2,0))</f>
        <v/>
      </c>
      <c r="BF744" s="744" t="str">
        <f>IF(D744="","",VLOOKUP(D744,'General Basis'!$J$39:$L$46,3,0))</f>
        <v/>
      </c>
      <c r="BG744" s="744" t="str">
        <f t="shared" si="275"/>
        <v/>
      </c>
      <c r="BH744" s="744" t="str">
        <f>IF(G744="","",IF(BF744="Abu Dhabi",IF(G744&lt;18,'General Basis'!$C$39,IF(G744&lt;41,'General Basis'!$C$40,IF(G744&lt;60,'General Basis'!$C$41,IF(G744&lt;65,'General Basis'!$C$42,'General Basis'!$C$43)))),IF(G744&lt;11,'General Basis'!$B$39,IF(G744&lt;18,'General Basis'!$B$40,IF(G744&lt;26,'General Basis'!$B$41,IF(G744&lt;31,'General Basis'!$B$42,IF(G744&lt;36,'General Basis'!$B$43,IF(G744&lt;41,'General Basis'!$B$44,IF(G744&lt;46,'General Basis'!$B$45,IF(G744&lt;51,'General Basis'!$B$46,IF(G744&lt;56,'General Basis'!$B$47,IF(G744&lt;60,'General Basis'!$B$48,IF(G744&lt;65,'General Basis'!$B$49,'General Basis'!$B$50)))))))))))))</f>
        <v/>
      </c>
      <c r="BI744" s="744" t="str">
        <f t="shared" si="269"/>
        <v/>
      </c>
      <c r="BJ744" s="747" t="str">
        <f t="shared" si="276"/>
        <v/>
      </c>
      <c r="BK744" s="498" t="str">
        <f t="shared" si="270"/>
        <v/>
      </c>
      <c r="BL744" s="498" t="str">
        <f t="shared" si="271"/>
        <v/>
      </c>
    </row>
    <row r="745" spans="1:64" x14ac:dyDescent="0.25">
      <c r="A745" s="762">
        <f t="shared" si="272"/>
        <v>740</v>
      </c>
      <c r="B745" s="229"/>
      <c r="C745" s="223"/>
      <c r="D745" s="224"/>
      <c r="E745" s="225"/>
      <c r="F745" s="1036" t="str">
        <f t="shared" si="278"/>
        <v/>
      </c>
      <c r="G745" s="1037" t="str">
        <f t="shared" si="273"/>
        <v/>
      </c>
      <c r="H745" s="225"/>
      <c r="I745" s="1013"/>
      <c r="J745" s="1013"/>
      <c r="K745" s="1028"/>
      <c r="L745" s="1035" t="str">
        <f t="shared" si="277"/>
        <v/>
      </c>
      <c r="S745" s="498"/>
      <c r="AJ745" s="498"/>
      <c r="AM745" s="498">
        <f t="shared" si="258"/>
        <v>0</v>
      </c>
      <c r="AN745" s="498">
        <f t="shared" si="259"/>
        <v>0</v>
      </c>
      <c r="AO745" s="498">
        <f t="shared" si="260"/>
        <v>0</v>
      </c>
      <c r="AP745" s="498">
        <f t="shared" si="279"/>
        <v>0</v>
      </c>
      <c r="AQ745" s="498">
        <f t="shared" si="274"/>
        <v>0</v>
      </c>
      <c r="AU745" s="498">
        <f t="shared" si="261"/>
        <v>0</v>
      </c>
      <c r="AV745" s="498">
        <f t="shared" si="262"/>
        <v>0</v>
      </c>
      <c r="AW745" s="498">
        <f t="shared" si="263"/>
        <v>0</v>
      </c>
      <c r="AX745" s="498">
        <f t="shared" si="264"/>
        <v>0</v>
      </c>
      <c r="AY745" s="498">
        <f t="shared" si="265"/>
        <v>0</v>
      </c>
      <c r="BB745" s="498" t="str">
        <f t="shared" si="266"/>
        <v/>
      </c>
      <c r="BC745" s="743" t="str">
        <f t="shared" si="267"/>
        <v/>
      </c>
      <c r="BD745" s="743" t="str">
        <f t="shared" si="268"/>
        <v/>
      </c>
      <c r="BE745" s="743" t="str">
        <f>IF(D745="","",VLOOKUP(D745,'General Basis'!$J$39:$K$46,2,0))</f>
        <v/>
      </c>
      <c r="BF745" s="744" t="str">
        <f>IF(D745="","",VLOOKUP(D745,'General Basis'!$J$39:$L$46,3,0))</f>
        <v/>
      </c>
      <c r="BG745" s="744" t="str">
        <f t="shared" si="275"/>
        <v/>
      </c>
      <c r="BH745" s="744" t="str">
        <f>IF(G745="","",IF(BF745="Abu Dhabi",IF(G745&lt;18,'General Basis'!$C$39,IF(G745&lt;41,'General Basis'!$C$40,IF(G745&lt;60,'General Basis'!$C$41,IF(G745&lt;65,'General Basis'!$C$42,'General Basis'!$C$43)))),IF(G745&lt;11,'General Basis'!$B$39,IF(G745&lt;18,'General Basis'!$B$40,IF(G745&lt;26,'General Basis'!$B$41,IF(G745&lt;31,'General Basis'!$B$42,IF(G745&lt;36,'General Basis'!$B$43,IF(G745&lt;41,'General Basis'!$B$44,IF(G745&lt;46,'General Basis'!$B$45,IF(G745&lt;51,'General Basis'!$B$46,IF(G745&lt;56,'General Basis'!$B$47,IF(G745&lt;60,'General Basis'!$B$48,IF(G745&lt;65,'General Basis'!$B$49,'General Basis'!$B$50)))))))))))))</f>
        <v/>
      </c>
      <c r="BI745" s="744" t="str">
        <f t="shared" si="269"/>
        <v/>
      </c>
      <c r="BJ745" s="747" t="str">
        <f t="shared" si="276"/>
        <v/>
      </c>
      <c r="BK745" s="498" t="str">
        <f t="shared" si="270"/>
        <v/>
      </c>
      <c r="BL745" s="498" t="str">
        <f t="shared" si="271"/>
        <v/>
      </c>
    </row>
    <row r="746" spans="1:64" x14ac:dyDescent="0.25">
      <c r="A746" s="762">
        <f t="shared" si="272"/>
        <v>741</v>
      </c>
      <c r="B746" s="229"/>
      <c r="C746" s="223"/>
      <c r="D746" s="224"/>
      <c r="E746" s="225"/>
      <c r="F746" s="1036" t="str">
        <f t="shared" si="278"/>
        <v/>
      </c>
      <c r="G746" s="1037" t="str">
        <f t="shared" si="273"/>
        <v/>
      </c>
      <c r="H746" s="225"/>
      <c r="I746" s="1013"/>
      <c r="J746" s="1013"/>
      <c r="K746" s="1028"/>
      <c r="L746" s="1035" t="str">
        <f t="shared" si="277"/>
        <v/>
      </c>
      <c r="S746" s="498"/>
      <c r="AJ746" s="498"/>
      <c r="AM746" s="498">
        <f t="shared" si="258"/>
        <v>0</v>
      </c>
      <c r="AN746" s="498">
        <f t="shared" si="259"/>
        <v>0</v>
      </c>
      <c r="AO746" s="498">
        <f t="shared" si="260"/>
        <v>0</v>
      </c>
      <c r="AP746" s="498">
        <f t="shared" si="279"/>
        <v>0</v>
      </c>
      <c r="AQ746" s="498">
        <f t="shared" si="274"/>
        <v>0</v>
      </c>
      <c r="AU746" s="498">
        <f t="shared" si="261"/>
        <v>0</v>
      </c>
      <c r="AV746" s="498">
        <f t="shared" si="262"/>
        <v>0</v>
      </c>
      <c r="AW746" s="498">
        <f t="shared" si="263"/>
        <v>0</v>
      </c>
      <c r="AX746" s="498">
        <f t="shared" si="264"/>
        <v>0</v>
      </c>
      <c r="AY746" s="498">
        <f t="shared" si="265"/>
        <v>0</v>
      </c>
      <c r="BB746" s="498" t="str">
        <f t="shared" si="266"/>
        <v/>
      </c>
      <c r="BC746" s="743" t="str">
        <f t="shared" si="267"/>
        <v/>
      </c>
      <c r="BD746" s="743" t="str">
        <f t="shared" si="268"/>
        <v/>
      </c>
      <c r="BE746" s="743" t="str">
        <f>IF(D746="","",VLOOKUP(D746,'General Basis'!$J$39:$K$46,2,0))</f>
        <v/>
      </c>
      <c r="BF746" s="744" t="str">
        <f>IF(D746="","",VLOOKUP(D746,'General Basis'!$J$39:$L$46,3,0))</f>
        <v/>
      </c>
      <c r="BG746" s="744" t="str">
        <f t="shared" si="275"/>
        <v/>
      </c>
      <c r="BH746" s="744" t="str">
        <f>IF(G746="","",IF(BF746="Abu Dhabi",IF(G746&lt;18,'General Basis'!$C$39,IF(G746&lt;41,'General Basis'!$C$40,IF(G746&lt;60,'General Basis'!$C$41,IF(G746&lt;65,'General Basis'!$C$42,'General Basis'!$C$43)))),IF(G746&lt;11,'General Basis'!$B$39,IF(G746&lt;18,'General Basis'!$B$40,IF(G746&lt;26,'General Basis'!$B$41,IF(G746&lt;31,'General Basis'!$B$42,IF(G746&lt;36,'General Basis'!$B$43,IF(G746&lt;41,'General Basis'!$B$44,IF(G746&lt;46,'General Basis'!$B$45,IF(G746&lt;51,'General Basis'!$B$46,IF(G746&lt;56,'General Basis'!$B$47,IF(G746&lt;60,'General Basis'!$B$48,IF(G746&lt;65,'General Basis'!$B$49,'General Basis'!$B$50)))))))))))))</f>
        <v/>
      </c>
      <c r="BI746" s="744" t="str">
        <f t="shared" si="269"/>
        <v/>
      </c>
      <c r="BJ746" s="747" t="str">
        <f t="shared" si="276"/>
        <v/>
      </c>
      <c r="BK746" s="498" t="str">
        <f t="shared" si="270"/>
        <v/>
      </c>
      <c r="BL746" s="498" t="str">
        <f t="shared" si="271"/>
        <v/>
      </c>
    </row>
    <row r="747" spans="1:64" x14ac:dyDescent="0.25">
      <c r="A747" s="762">
        <f t="shared" si="272"/>
        <v>742</v>
      </c>
      <c r="B747" s="229"/>
      <c r="C747" s="223"/>
      <c r="D747" s="224"/>
      <c r="E747" s="225"/>
      <c r="F747" s="1036" t="str">
        <f t="shared" si="278"/>
        <v/>
      </c>
      <c r="G747" s="1037" t="str">
        <f t="shared" si="273"/>
        <v/>
      </c>
      <c r="H747" s="225"/>
      <c r="I747" s="1013"/>
      <c r="J747" s="1013"/>
      <c r="K747" s="1028"/>
      <c r="L747" s="1035" t="str">
        <f t="shared" si="277"/>
        <v/>
      </c>
      <c r="S747" s="498"/>
      <c r="AJ747" s="498"/>
      <c r="AM747" s="498">
        <f t="shared" si="258"/>
        <v>0</v>
      </c>
      <c r="AN747" s="498">
        <f t="shared" si="259"/>
        <v>0</v>
      </c>
      <c r="AO747" s="498">
        <f t="shared" si="260"/>
        <v>0</v>
      </c>
      <c r="AP747" s="498">
        <f t="shared" si="279"/>
        <v>0</v>
      </c>
      <c r="AQ747" s="498">
        <f t="shared" si="274"/>
        <v>0</v>
      </c>
      <c r="AU747" s="498">
        <f t="shared" si="261"/>
        <v>0</v>
      </c>
      <c r="AV747" s="498">
        <f t="shared" si="262"/>
        <v>0</v>
      </c>
      <c r="AW747" s="498">
        <f t="shared" si="263"/>
        <v>0</v>
      </c>
      <c r="AX747" s="498">
        <f t="shared" si="264"/>
        <v>0</v>
      </c>
      <c r="AY747" s="498">
        <f t="shared" si="265"/>
        <v>0</v>
      </c>
      <c r="BB747" s="498" t="str">
        <f t="shared" si="266"/>
        <v/>
      </c>
      <c r="BC747" s="743" t="str">
        <f t="shared" si="267"/>
        <v/>
      </c>
      <c r="BD747" s="743" t="str">
        <f t="shared" si="268"/>
        <v/>
      </c>
      <c r="BE747" s="743" t="str">
        <f>IF(D747="","",VLOOKUP(D747,'General Basis'!$J$39:$K$46,2,0))</f>
        <v/>
      </c>
      <c r="BF747" s="744" t="str">
        <f>IF(D747="","",VLOOKUP(D747,'General Basis'!$J$39:$L$46,3,0))</f>
        <v/>
      </c>
      <c r="BG747" s="744" t="str">
        <f t="shared" si="275"/>
        <v/>
      </c>
      <c r="BH747" s="744" t="str">
        <f>IF(G747="","",IF(BF747="Abu Dhabi",IF(G747&lt;18,'General Basis'!$C$39,IF(G747&lt;41,'General Basis'!$C$40,IF(G747&lt;60,'General Basis'!$C$41,IF(G747&lt;65,'General Basis'!$C$42,'General Basis'!$C$43)))),IF(G747&lt;11,'General Basis'!$B$39,IF(G747&lt;18,'General Basis'!$B$40,IF(G747&lt;26,'General Basis'!$B$41,IF(G747&lt;31,'General Basis'!$B$42,IF(G747&lt;36,'General Basis'!$B$43,IF(G747&lt;41,'General Basis'!$B$44,IF(G747&lt;46,'General Basis'!$B$45,IF(G747&lt;51,'General Basis'!$B$46,IF(G747&lt;56,'General Basis'!$B$47,IF(G747&lt;60,'General Basis'!$B$48,IF(G747&lt;65,'General Basis'!$B$49,'General Basis'!$B$50)))))))))))))</f>
        <v/>
      </c>
      <c r="BI747" s="744" t="str">
        <f t="shared" si="269"/>
        <v/>
      </c>
      <c r="BJ747" s="747" t="str">
        <f t="shared" si="276"/>
        <v/>
      </c>
      <c r="BK747" s="498" t="str">
        <f t="shared" si="270"/>
        <v/>
      </c>
      <c r="BL747" s="498" t="str">
        <f t="shared" si="271"/>
        <v/>
      </c>
    </row>
    <row r="748" spans="1:64" x14ac:dyDescent="0.25">
      <c r="A748" s="762">
        <f t="shared" si="272"/>
        <v>743</v>
      </c>
      <c r="B748" s="229"/>
      <c r="C748" s="223"/>
      <c r="D748" s="224"/>
      <c r="E748" s="225"/>
      <c r="F748" s="1036" t="str">
        <f t="shared" si="278"/>
        <v/>
      </c>
      <c r="G748" s="1037" t="str">
        <f t="shared" si="273"/>
        <v/>
      </c>
      <c r="H748" s="225"/>
      <c r="I748" s="1013"/>
      <c r="J748" s="1013"/>
      <c r="K748" s="1028"/>
      <c r="L748" s="1035" t="str">
        <f t="shared" si="277"/>
        <v/>
      </c>
      <c r="S748" s="498"/>
      <c r="AJ748" s="498"/>
      <c r="AM748" s="498">
        <f t="shared" si="258"/>
        <v>0</v>
      </c>
      <c r="AN748" s="498">
        <f t="shared" si="259"/>
        <v>0</v>
      </c>
      <c r="AO748" s="498">
        <f t="shared" si="260"/>
        <v>0</v>
      </c>
      <c r="AP748" s="498">
        <f t="shared" si="279"/>
        <v>0</v>
      </c>
      <c r="AQ748" s="498">
        <f t="shared" si="274"/>
        <v>0</v>
      </c>
      <c r="AU748" s="498">
        <f t="shared" si="261"/>
        <v>0</v>
      </c>
      <c r="AV748" s="498">
        <f t="shared" si="262"/>
        <v>0</v>
      </c>
      <c r="AW748" s="498">
        <f t="shared" si="263"/>
        <v>0</v>
      </c>
      <c r="AX748" s="498">
        <f t="shared" si="264"/>
        <v>0</v>
      </c>
      <c r="AY748" s="498">
        <f t="shared" si="265"/>
        <v>0</v>
      </c>
      <c r="BB748" s="498" t="str">
        <f t="shared" si="266"/>
        <v/>
      </c>
      <c r="BC748" s="743" t="str">
        <f t="shared" si="267"/>
        <v/>
      </c>
      <c r="BD748" s="743" t="str">
        <f t="shared" si="268"/>
        <v/>
      </c>
      <c r="BE748" s="743" t="str">
        <f>IF(D748="","",VLOOKUP(D748,'General Basis'!$J$39:$K$46,2,0))</f>
        <v/>
      </c>
      <c r="BF748" s="744" t="str">
        <f>IF(D748="","",VLOOKUP(D748,'General Basis'!$J$39:$L$46,3,0))</f>
        <v/>
      </c>
      <c r="BG748" s="744" t="str">
        <f t="shared" si="275"/>
        <v/>
      </c>
      <c r="BH748" s="744" t="str">
        <f>IF(G748="","",IF(BF748="Abu Dhabi",IF(G748&lt;18,'General Basis'!$C$39,IF(G748&lt;41,'General Basis'!$C$40,IF(G748&lt;60,'General Basis'!$C$41,IF(G748&lt;65,'General Basis'!$C$42,'General Basis'!$C$43)))),IF(G748&lt;11,'General Basis'!$B$39,IF(G748&lt;18,'General Basis'!$B$40,IF(G748&lt;26,'General Basis'!$B$41,IF(G748&lt;31,'General Basis'!$B$42,IF(G748&lt;36,'General Basis'!$B$43,IF(G748&lt;41,'General Basis'!$B$44,IF(G748&lt;46,'General Basis'!$B$45,IF(G748&lt;51,'General Basis'!$B$46,IF(G748&lt;56,'General Basis'!$B$47,IF(G748&lt;60,'General Basis'!$B$48,IF(G748&lt;65,'General Basis'!$B$49,'General Basis'!$B$50)))))))))))))</f>
        <v/>
      </c>
      <c r="BI748" s="744" t="str">
        <f t="shared" si="269"/>
        <v/>
      </c>
      <c r="BJ748" s="747" t="str">
        <f t="shared" si="276"/>
        <v/>
      </c>
      <c r="BK748" s="498" t="str">
        <f t="shared" si="270"/>
        <v/>
      </c>
      <c r="BL748" s="498" t="str">
        <f t="shared" si="271"/>
        <v/>
      </c>
    </row>
    <row r="749" spans="1:64" x14ac:dyDescent="0.25">
      <c r="A749" s="762">
        <f t="shared" si="272"/>
        <v>744</v>
      </c>
      <c r="B749" s="229"/>
      <c r="C749" s="223"/>
      <c r="D749" s="224"/>
      <c r="E749" s="225"/>
      <c r="F749" s="1036" t="str">
        <f t="shared" si="278"/>
        <v/>
      </c>
      <c r="G749" s="1037" t="str">
        <f t="shared" si="273"/>
        <v/>
      </c>
      <c r="H749" s="225"/>
      <c r="I749" s="1013"/>
      <c r="J749" s="1013"/>
      <c r="K749" s="1028"/>
      <c r="L749" s="1035" t="str">
        <f t="shared" si="277"/>
        <v/>
      </c>
      <c r="S749" s="498"/>
      <c r="AJ749" s="498"/>
      <c r="AM749" s="498">
        <f t="shared" si="258"/>
        <v>0</v>
      </c>
      <c r="AN749" s="498">
        <f t="shared" si="259"/>
        <v>0</v>
      </c>
      <c r="AO749" s="498">
        <f t="shared" si="260"/>
        <v>0</v>
      </c>
      <c r="AP749" s="498">
        <f t="shared" si="279"/>
        <v>0</v>
      </c>
      <c r="AQ749" s="498">
        <f t="shared" si="274"/>
        <v>0</v>
      </c>
      <c r="AU749" s="498">
        <f t="shared" si="261"/>
        <v>0</v>
      </c>
      <c r="AV749" s="498">
        <f t="shared" si="262"/>
        <v>0</v>
      </c>
      <c r="AW749" s="498">
        <f t="shared" si="263"/>
        <v>0</v>
      </c>
      <c r="AX749" s="498">
        <f t="shared" si="264"/>
        <v>0</v>
      </c>
      <c r="AY749" s="498">
        <f t="shared" si="265"/>
        <v>0</v>
      </c>
      <c r="BB749" s="498" t="str">
        <f t="shared" si="266"/>
        <v/>
      </c>
      <c r="BC749" s="743" t="str">
        <f t="shared" si="267"/>
        <v/>
      </c>
      <c r="BD749" s="743" t="str">
        <f t="shared" si="268"/>
        <v/>
      </c>
      <c r="BE749" s="743" t="str">
        <f>IF(D749="","",VLOOKUP(D749,'General Basis'!$J$39:$K$46,2,0))</f>
        <v/>
      </c>
      <c r="BF749" s="744" t="str">
        <f>IF(D749="","",VLOOKUP(D749,'General Basis'!$J$39:$L$46,3,0))</f>
        <v/>
      </c>
      <c r="BG749" s="744" t="str">
        <f t="shared" si="275"/>
        <v/>
      </c>
      <c r="BH749" s="744" t="str">
        <f>IF(G749="","",IF(BF749="Abu Dhabi",IF(G749&lt;18,'General Basis'!$C$39,IF(G749&lt;41,'General Basis'!$C$40,IF(G749&lt;60,'General Basis'!$C$41,IF(G749&lt;65,'General Basis'!$C$42,'General Basis'!$C$43)))),IF(G749&lt;11,'General Basis'!$B$39,IF(G749&lt;18,'General Basis'!$B$40,IF(G749&lt;26,'General Basis'!$B$41,IF(G749&lt;31,'General Basis'!$B$42,IF(G749&lt;36,'General Basis'!$B$43,IF(G749&lt;41,'General Basis'!$B$44,IF(G749&lt;46,'General Basis'!$B$45,IF(G749&lt;51,'General Basis'!$B$46,IF(G749&lt;56,'General Basis'!$B$47,IF(G749&lt;60,'General Basis'!$B$48,IF(G749&lt;65,'General Basis'!$B$49,'General Basis'!$B$50)))))))))))))</f>
        <v/>
      </c>
      <c r="BI749" s="744" t="str">
        <f t="shared" si="269"/>
        <v/>
      </c>
      <c r="BJ749" s="747" t="str">
        <f t="shared" si="276"/>
        <v/>
      </c>
      <c r="BK749" s="498" t="str">
        <f t="shared" si="270"/>
        <v/>
      </c>
      <c r="BL749" s="498" t="str">
        <f t="shared" si="271"/>
        <v/>
      </c>
    </row>
    <row r="750" spans="1:64" x14ac:dyDescent="0.25">
      <c r="A750" s="762">
        <f t="shared" si="272"/>
        <v>745</v>
      </c>
      <c r="B750" s="229"/>
      <c r="C750" s="223"/>
      <c r="D750" s="224"/>
      <c r="E750" s="225"/>
      <c r="F750" s="1036" t="str">
        <f t="shared" si="278"/>
        <v/>
      </c>
      <c r="G750" s="1037" t="str">
        <f t="shared" si="273"/>
        <v/>
      </c>
      <c r="H750" s="225"/>
      <c r="I750" s="1013"/>
      <c r="J750" s="1013"/>
      <c r="K750" s="1028"/>
      <c r="L750" s="1035" t="str">
        <f t="shared" si="277"/>
        <v/>
      </c>
      <c r="S750" s="498"/>
      <c r="AJ750" s="498"/>
      <c r="AM750" s="498">
        <f t="shared" si="258"/>
        <v>0</v>
      </c>
      <c r="AN750" s="498">
        <f t="shared" si="259"/>
        <v>0</v>
      </c>
      <c r="AO750" s="498">
        <f t="shared" si="260"/>
        <v>0</v>
      </c>
      <c r="AP750" s="498">
        <f t="shared" si="279"/>
        <v>0</v>
      </c>
      <c r="AQ750" s="498">
        <f t="shared" si="274"/>
        <v>0</v>
      </c>
      <c r="AU750" s="498">
        <f t="shared" si="261"/>
        <v>0</v>
      </c>
      <c r="AV750" s="498">
        <f t="shared" si="262"/>
        <v>0</v>
      </c>
      <c r="AW750" s="498">
        <f t="shared" si="263"/>
        <v>0</v>
      </c>
      <c r="AX750" s="498">
        <f t="shared" si="264"/>
        <v>0</v>
      </c>
      <c r="AY750" s="498">
        <f t="shared" si="265"/>
        <v>0</v>
      </c>
      <c r="BB750" s="498" t="str">
        <f t="shared" si="266"/>
        <v/>
      </c>
      <c r="BC750" s="743" t="str">
        <f t="shared" si="267"/>
        <v/>
      </c>
      <c r="BD750" s="743" t="str">
        <f t="shared" si="268"/>
        <v/>
      </c>
      <c r="BE750" s="743" t="str">
        <f>IF(D750="","",VLOOKUP(D750,'General Basis'!$J$39:$K$46,2,0))</f>
        <v/>
      </c>
      <c r="BF750" s="744" t="str">
        <f>IF(D750="","",VLOOKUP(D750,'General Basis'!$J$39:$L$46,3,0))</f>
        <v/>
      </c>
      <c r="BG750" s="744" t="str">
        <f t="shared" si="275"/>
        <v/>
      </c>
      <c r="BH750" s="744" t="str">
        <f>IF(G750="","",IF(BF750="Abu Dhabi",IF(G750&lt;18,'General Basis'!$C$39,IF(G750&lt;41,'General Basis'!$C$40,IF(G750&lt;60,'General Basis'!$C$41,IF(G750&lt;65,'General Basis'!$C$42,'General Basis'!$C$43)))),IF(G750&lt;11,'General Basis'!$B$39,IF(G750&lt;18,'General Basis'!$B$40,IF(G750&lt;26,'General Basis'!$B$41,IF(G750&lt;31,'General Basis'!$B$42,IF(G750&lt;36,'General Basis'!$B$43,IF(G750&lt;41,'General Basis'!$B$44,IF(G750&lt;46,'General Basis'!$B$45,IF(G750&lt;51,'General Basis'!$B$46,IF(G750&lt;56,'General Basis'!$B$47,IF(G750&lt;60,'General Basis'!$B$48,IF(G750&lt;65,'General Basis'!$B$49,'General Basis'!$B$50)))))))))))))</f>
        <v/>
      </c>
      <c r="BI750" s="744" t="str">
        <f t="shared" si="269"/>
        <v/>
      </c>
      <c r="BJ750" s="747" t="str">
        <f t="shared" si="276"/>
        <v/>
      </c>
      <c r="BK750" s="498" t="str">
        <f t="shared" si="270"/>
        <v/>
      </c>
      <c r="BL750" s="498" t="str">
        <f t="shared" si="271"/>
        <v/>
      </c>
    </row>
    <row r="751" spans="1:64" x14ac:dyDescent="0.25">
      <c r="A751" s="762">
        <f t="shared" si="272"/>
        <v>746</v>
      </c>
      <c r="B751" s="229"/>
      <c r="C751" s="223"/>
      <c r="D751" s="224"/>
      <c r="E751" s="225"/>
      <c r="F751" s="1036" t="str">
        <f t="shared" si="278"/>
        <v/>
      </c>
      <c r="G751" s="1037" t="str">
        <f t="shared" si="273"/>
        <v/>
      </c>
      <c r="H751" s="225"/>
      <c r="I751" s="1013"/>
      <c r="J751" s="1013"/>
      <c r="K751" s="1028"/>
      <c r="L751" s="1035" t="str">
        <f t="shared" si="277"/>
        <v/>
      </c>
      <c r="S751" s="498"/>
      <c r="AJ751" s="498"/>
      <c r="AM751" s="498">
        <f t="shared" si="258"/>
        <v>0</v>
      </c>
      <c r="AN751" s="498">
        <f t="shared" si="259"/>
        <v>0</v>
      </c>
      <c r="AO751" s="498">
        <f t="shared" si="260"/>
        <v>0</v>
      </c>
      <c r="AP751" s="498">
        <f t="shared" si="279"/>
        <v>0</v>
      </c>
      <c r="AQ751" s="498">
        <f t="shared" si="274"/>
        <v>0</v>
      </c>
      <c r="AU751" s="498">
        <f t="shared" si="261"/>
        <v>0</v>
      </c>
      <c r="AV751" s="498">
        <f t="shared" si="262"/>
        <v>0</v>
      </c>
      <c r="AW751" s="498">
        <f t="shared" si="263"/>
        <v>0</v>
      </c>
      <c r="AX751" s="498">
        <f t="shared" si="264"/>
        <v>0</v>
      </c>
      <c r="AY751" s="498">
        <f t="shared" si="265"/>
        <v>0</v>
      </c>
      <c r="BB751" s="498" t="str">
        <f t="shared" si="266"/>
        <v/>
      </c>
      <c r="BC751" s="743" t="str">
        <f t="shared" si="267"/>
        <v/>
      </c>
      <c r="BD751" s="743" t="str">
        <f t="shared" si="268"/>
        <v/>
      </c>
      <c r="BE751" s="743" t="str">
        <f>IF(D751="","",VLOOKUP(D751,'General Basis'!$J$39:$K$46,2,0))</f>
        <v/>
      </c>
      <c r="BF751" s="744" t="str">
        <f>IF(D751="","",VLOOKUP(D751,'General Basis'!$J$39:$L$46,3,0))</f>
        <v/>
      </c>
      <c r="BG751" s="744" t="str">
        <f t="shared" si="275"/>
        <v/>
      </c>
      <c r="BH751" s="744" t="str">
        <f>IF(G751="","",IF(BF751="Abu Dhabi",IF(G751&lt;18,'General Basis'!$C$39,IF(G751&lt;41,'General Basis'!$C$40,IF(G751&lt;60,'General Basis'!$C$41,IF(G751&lt;65,'General Basis'!$C$42,'General Basis'!$C$43)))),IF(G751&lt;11,'General Basis'!$B$39,IF(G751&lt;18,'General Basis'!$B$40,IF(G751&lt;26,'General Basis'!$B$41,IF(G751&lt;31,'General Basis'!$B$42,IF(G751&lt;36,'General Basis'!$B$43,IF(G751&lt;41,'General Basis'!$B$44,IF(G751&lt;46,'General Basis'!$B$45,IF(G751&lt;51,'General Basis'!$B$46,IF(G751&lt;56,'General Basis'!$B$47,IF(G751&lt;60,'General Basis'!$B$48,IF(G751&lt;65,'General Basis'!$B$49,'General Basis'!$B$50)))))))))))))</f>
        <v/>
      </c>
      <c r="BI751" s="744" t="str">
        <f t="shared" si="269"/>
        <v/>
      </c>
      <c r="BJ751" s="747" t="str">
        <f t="shared" si="276"/>
        <v/>
      </c>
      <c r="BK751" s="498" t="str">
        <f t="shared" si="270"/>
        <v/>
      </c>
      <c r="BL751" s="498" t="str">
        <f t="shared" si="271"/>
        <v/>
      </c>
    </row>
    <row r="752" spans="1:64" x14ac:dyDescent="0.25">
      <c r="A752" s="762">
        <f t="shared" si="272"/>
        <v>747</v>
      </c>
      <c r="B752" s="229"/>
      <c r="C752" s="223"/>
      <c r="D752" s="224"/>
      <c r="E752" s="225"/>
      <c r="F752" s="1036" t="str">
        <f t="shared" si="278"/>
        <v/>
      </c>
      <c r="G752" s="1037" t="str">
        <f t="shared" si="273"/>
        <v/>
      </c>
      <c r="H752" s="225"/>
      <c r="I752" s="1013"/>
      <c r="J752" s="1013"/>
      <c r="K752" s="1028"/>
      <c r="L752" s="1035" t="str">
        <f t="shared" si="277"/>
        <v/>
      </c>
      <c r="S752" s="498"/>
      <c r="AJ752" s="498"/>
      <c r="AM752" s="498">
        <f t="shared" si="258"/>
        <v>0</v>
      </c>
      <c r="AN752" s="498">
        <f t="shared" si="259"/>
        <v>0</v>
      </c>
      <c r="AO752" s="498">
        <f t="shared" si="260"/>
        <v>0</v>
      </c>
      <c r="AP752" s="498">
        <f t="shared" si="279"/>
        <v>0</v>
      </c>
      <c r="AQ752" s="498">
        <f t="shared" si="274"/>
        <v>0</v>
      </c>
      <c r="AU752" s="498">
        <f t="shared" si="261"/>
        <v>0</v>
      </c>
      <c r="AV752" s="498">
        <f t="shared" si="262"/>
        <v>0</v>
      </c>
      <c r="AW752" s="498">
        <f t="shared" si="263"/>
        <v>0</v>
      </c>
      <c r="AX752" s="498">
        <f t="shared" si="264"/>
        <v>0</v>
      </c>
      <c r="AY752" s="498">
        <f t="shared" si="265"/>
        <v>0</v>
      </c>
      <c r="BB752" s="498" t="str">
        <f t="shared" si="266"/>
        <v/>
      </c>
      <c r="BC752" s="743" t="str">
        <f t="shared" si="267"/>
        <v/>
      </c>
      <c r="BD752" s="743" t="str">
        <f t="shared" si="268"/>
        <v/>
      </c>
      <c r="BE752" s="743" t="str">
        <f>IF(D752="","",VLOOKUP(D752,'General Basis'!$J$39:$K$46,2,0))</f>
        <v/>
      </c>
      <c r="BF752" s="744" t="str">
        <f>IF(D752="","",VLOOKUP(D752,'General Basis'!$J$39:$L$46,3,0))</f>
        <v/>
      </c>
      <c r="BG752" s="744" t="str">
        <f t="shared" si="275"/>
        <v/>
      </c>
      <c r="BH752" s="744" t="str">
        <f>IF(G752="","",IF(BF752="Abu Dhabi",IF(G752&lt;18,'General Basis'!$C$39,IF(G752&lt;41,'General Basis'!$C$40,IF(G752&lt;60,'General Basis'!$C$41,IF(G752&lt;65,'General Basis'!$C$42,'General Basis'!$C$43)))),IF(G752&lt;11,'General Basis'!$B$39,IF(G752&lt;18,'General Basis'!$B$40,IF(G752&lt;26,'General Basis'!$B$41,IF(G752&lt;31,'General Basis'!$B$42,IF(G752&lt;36,'General Basis'!$B$43,IF(G752&lt;41,'General Basis'!$B$44,IF(G752&lt;46,'General Basis'!$B$45,IF(G752&lt;51,'General Basis'!$B$46,IF(G752&lt;56,'General Basis'!$B$47,IF(G752&lt;60,'General Basis'!$B$48,IF(G752&lt;65,'General Basis'!$B$49,'General Basis'!$B$50)))))))))))))</f>
        <v/>
      </c>
      <c r="BI752" s="744" t="str">
        <f t="shared" si="269"/>
        <v/>
      </c>
      <c r="BJ752" s="747" t="str">
        <f t="shared" si="276"/>
        <v/>
      </c>
      <c r="BK752" s="498" t="str">
        <f t="shared" si="270"/>
        <v/>
      </c>
      <c r="BL752" s="498" t="str">
        <f t="shared" si="271"/>
        <v/>
      </c>
    </row>
    <row r="753" spans="1:64" x14ac:dyDescent="0.25">
      <c r="A753" s="762">
        <f t="shared" si="272"/>
        <v>748</v>
      </c>
      <c r="B753" s="229"/>
      <c r="C753" s="223"/>
      <c r="D753" s="224"/>
      <c r="E753" s="225"/>
      <c r="F753" s="1036" t="str">
        <f t="shared" si="278"/>
        <v/>
      </c>
      <c r="G753" s="1037" t="str">
        <f t="shared" si="273"/>
        <v/>
      </c>
      <c r="H753" s="225"/>
      <c r="I753" s="1013"/>
      <c r="J753" s="1013"/>
      <c r="K753" s="1028"/>
      <c r="L753" s="1035" t="str">
        <f t="shared" si="277"/>
        <v/>
      </c>
      <c r="S753" s="498"/>
      <c r="AJ753" s="498"/>
      <c r="AM753" s="498">
        <f t="shared" si="258"/>
        <v>0</v>
      </c>
      <c r="AN753" s="498">
        <f t="shared" si="259"/>
        <v>0</v>
      </c>
      <c r="AO753" s="498">
        <f t="shared" si="260"/>
        <v>0</v>
      </c>
      <c r="AP753" s="498">
        <f t="shared" si="279"/>
        <v>0</v>
      </c>
      <c r="AQ753" s="498">
        <f t="shared" si="274"/>
        <v>0</v>
      </c>
      <c r="AU753" s="498">
        <f t="shared" si="261"/>
        <v>0</v>
      </c>
      <c r="AV753" s="498">
        <f t="shared" si="262"/>
        <v>0</v>
      </c>
      <c r="AW753" s="498">
        <f t="shared" si="263"/>
        <v>0</v>
      </c>
      <c r="AX753" s="498">
        <f t="shared" si="264"/>
        <v>0</v>
      </c>
      <c r="AY753" s="498">
        <f t="shared" si="265"/>
        <v>0</v>
      </c>
      <c r="BB753" s="498" t="str">
        <f t="shared" si="266"/>
        <v/>
      </c>
      <c r="BC753" s="743" t="str">
        <f t="shared" si="267"/>
        <v/>
      </c>
      <c r="BD753" s="743" t="str">
        <f t="shared" si="268"/>
        <v/>
      </c>
      <c r="BE753" s="743" t="str">
        <f>IF(D753="","",VLOOKUP(D753,'General Basis'!$J$39:$K$46,2,0))</f>
        <v/>
      </c>
      <c r="BF753" s="744" t="str">
        <f>IF(D753="","",VLOOKUP(D753,'General Basis'!$J$39:$L$46,3,0))</f>
        <v/>
      </c>
      <c r="BG753" s="744" t="str">
        <f t="shared" si="275"/>
        <v/>
      </c>
      <c r="BH753" s="744" t="str">
        <f>IF(G753="","",IF(BF753="Abu Dhabi",IF(G753&lt;18,'General Basis'!$C$39,IF(G753&lt;41,'General Basis'!$C$40,IF(G753&lt;60,'General Basis'!$C$41,IF(G753&lt;65,'General Basis'!$C$42,'General Basis'!$C$43)))),IF(G753&lt;11,'General Basis'!$B$39,IF(G753&lt;18,'General Basis'!$B$40,IF(G753&lt;26,'General Basis'!$B$41,IF(G753&lt;31,'General Basis'!$B$42,IF(G753&lt;36,'General Basis'!$B$43,IF(G753&lt;41,'General Basis'!$B$44,IF(G753&lt;46,'General Basis'!$B$45,IF(G753&lt;51,'General Basis'!$B$46,IF(G753&lt;56,'General Basis'!$B$47,IF(G753&lt;60,'General Basis'!$B$48,IF(G753&lt;65,'General Basis'!$B$49,'General Basis'!$B$50)))))))))))))</f>
        <v/>
      </c>
      <c r="BI753" s="744" t="str">
        <f t="shared" si="269"/>
        <v/>
      </c>
      <c r="BJ753" s="747" t="str">
        <f t="shared" si="276"/>
        <v/>
      </c>
      <c r="BK753" s="498" t="str">
        <f t="shared" si="270"/>
        <v/>
      </c>
      <c r="BL753" s="498" t="str">
        <f t="shared" si="271"/>
        <v/>
      </c>
    </row>
    <row r="754" spans="1:64" x14ac:dyDescent="0.25">
      <c r="A754" s="762">
        <f t="shared" si="272"/>
        <v>749</v>
      </c>
      <c r="B754" s="229"/>
      <c r="C754" s="223"/>
      <c r="D754" s="224"/>
      <c r="E754" s="225"/>
      <c r="F754" s="1036" t="str">
        <f t="shared" si="278"/>
        <v/>
      </c>
      <c r="G754" s="1037" t="str">
        <f t="shared" si="273"/>
        <v/>
      </c>
      <c r="H754" s="225"/>
      <c r="I754" s="1013"/>
      <c r="J754" s="1013"/>
      <c r="K754" s="1028"/>
      <c r="L754" s="1035" t="str">
        <f t="shared" si="277"/>
        <v/>
      </c>
      <c r="S754" s="498"/>
      <c r="AJ754" s="498"/>
      <c r="AM754" s="498">
        <f t="shared" si="258"/>
        <v>0</v>
      </c>
      <c r="AN754" s="498">
        <f t="shared" si="259"/>
        <v>0</v>
      </c>
      <c r="AO754" s="498">
        <f t="shared" si="260"/>
        <v>0</v>
      </c>
      <c r="AP754" s="498">
        <f t="shared" si="279"/>
        <v>0</v>
      </c>
      <c r="AQ754" s="498">
        <f t="shared" si="274"/>
        <v>0</v>
      </c>
      <c r="AU754" s="498">
        <f t="shared" si="261"/>
        <v>0</v>
      </c>
      <c r="AV754" s="498">
        <f t="shared" si="262"/>
        <v>0</v>
      </c>
      <c r="AW754" s="498">
        <f t="shared" si="263"/>
        <v>0</v>
      </c>
      <c r="AX754" s="498">
        <f t="shared" si="264"/>
        <v>0</v>
      </c>
      <c r="AY754" s="498">
        <f t="shared" si="265"/>
        <v>0</v>
      </c>
      <c r="BB754" s="498" t="str">
        <f t="shared" si="266"/>
        <v/>
      </c>
      <c r="BC754" s="743" t="str">
        <f t="shared" si="267"/>
        <v/>
      </c>
      <c r="BD754" s="743" t="str">
        <f t="shared" si="268"/>
        <v/>
      </c>
      <c r="BE754" s="743" t="str">
        <f>IF(D754="","",VLOOKUP(D754,'General Basis'!$J$39:$K$46,2,0))</f>
        <v/>
      </c>
      <c r="BF754" s="744" t="str">
        <f>IF(D754="","",VLOOKUP(D754,'General Basis'!$J$39:$L$46,3,0))</f>
        <v/>
      </c>
      <c r="BG754" s="744" t="str">
        <f t="shared" si="275"/>
        <v/>
      </c>
      <c r="BH754" s="744" t="str">
        <f>IF(G754="","",IF(BF754="Abu Dhabi",IF(G754&lt;18,'General Basis'!$C$39,IF(G754&lt;41,'General Basis'!$C$40,IF(G754&lt;60,'General Basis'!$C$41,IF(G754&lt;65,'General Basis'!$C$42,'General Basis'!$C$43)))),IF(G754&lt;11,'General Basis'!$B$39,IF(G754&lt;18,'General Basis'!$B$40,IF(G754&lt;26,'General Basis'!$B$41,IF(G754&lt;31,'General Basis'!$B$42,IF(G754&lt;36,'General Basis'!$B$43,IF(G754&lt;41,'General Basis'!$B$44,IF(G754&lt;46,'General Basis'!$B$45,IF(G754&lt;51,'General Basis'!$B$46,IF(G754&lt;56,'General Basis'!$B$47,IF(G754&lt;60,'General Basis'!$B$48,IF(G754&lt;65,'General Basis'!$B$49,'General Basis'!$B$50)))))))))))))</f>
        <v/>
      </c>
      <c r="BI754" s="744" t="str">
        <f t="shared" si="269"/>
        <v/>
      </c>
      <c r="BJ754" s="747" t="str">
        <f t="shared" si="276"/>
        <v/>
      </c>
      <c r="BK754" s="498" t="str">
        <f t="shared" si="270"/>
        <v/>
      </c>
      <c r="BL754" s="498" t="str">
        <f t="shared" si="271"/>
        <v/>
      </c>
    </row>
    <row r="755" spans="1:64" x14ac:dyDescent="0.25">
      <c r="A755" s="762">
        <f t="shared" si="272"/>
        <v>750</v>
      </c>
      <c r="B755" s="229"/>
      <c r="C755" s="223"/>
      <c r="D755" s="224"/>
      <c r="E755" s="225"/>
      <c r="F755" s="1036" t="str">
        <f t="shared" si="278"/>
        <v/>
      </c>
      <c r="G755" s="1037" t="str">
        <f t="shared" si="273"/>
        <v/>
      </c>
      <c r="H755" s="225"/>
      <c r="I755" s="1013"/>
      <c r="J755" s="1013"/>
      <c r="K755" s="1028"/>
      <c r="L755" s="1035" t="str">
        <f t="shared" si="277"/>
        <v/>
      </c>
      <c r="S755" s="498"/>
      <c r="AJ755" s="498"/>
      <c r="AM755" s="498">
        <f t="shared" si="258"/>
        <v>0</v>
      </c>
      <c r="AN755" s="498">
        <f t="shared" si="259"/>
        <v>0</v>
      </c>
      <c r="AO755" s="498">
        <f t="shared" si="260"/>
        <v>0</v>
      </c>
      <c r="AP755" s="498">
        <f t="shared" si="279"/>
        <v>0</v>
      </c>
      <c r="AQ755" s="498">
        <f t="shared" si="274"/>
        <v>0</v>
      </c>
      <c r="AU755" s="498">
        <f t="shared" si="261"/>
        <v>0</v>
      </c>
      <c r="AV755" s="498">
        <f t="shared" si="262"/>
        <v>0</v>
      </c>
      <c r="AW755" s="498">
        <f t="shared" si="263"/>
        <v>0</v>
      </c>
      <c r="AX755" s="498">
        <f t="shared" si="264"/>
        <v>0</v>
      </c>
      <c r="AY755" s="498">
        <f t="shared" si="265"/>
        <v>0</v>
      </c>
      <c r="BB755" s="498" t="str">
        <f t="shared" si="266"/>
        <v/>
      </c>
      <c r="BC755" s="743" t="str">
        <f t="shared" si="267"/>
        <v/>
      </c>
      <c r="BD755" s="743" t="str">
        <f t="shared" si="268"/>
        <v/>
      </c>
      <c r="BE755" s="743" t="str">
        <f>IF(D755="","",VLOOKUP(D755,'General Basis'!$J$39:$K$46,2,0))</f>
        <v/>
      </c>
      <c r="BF755" s="744" t="str">
        <f>IF(D755="","",VLOOKUP(D755,'General Basis'!$J$39:$L$46,3,0))</f>
        <v/>
      </c>
      <c r="BG755" s="744" t="str">
        <f t="shared" si="275"/>
        <v/>
      </c>
      <c r="BH755" s="744" t="str">
        <f>IF(G755="","",IF(BF755="Abu Dhabi",IF(G755&lt;18,'General Basis'!$C$39,IF(G755&lt;41,'General Basis'!$C$40,IF(G755&lt;60,'General Basis'!$C$41,IF(G755&lt;65,'General Basis'!$C$42,'General Basis'!$C$43)))),IF(G755&lt;11,'General Basis'!$B$39,IF(G755&lt;18,'General Basis'!$B$40,IF(G755&lt;26,'General Basis'!$B$41,IF(G755&lt;31,'General Basis'!$B$42,IF(G755&lt;36,'General Basis'!$B$43,IF(G755&lt;41,'General Basis'!$B$44,IF(G755&lt;46,'General Basis'!$B$45,IF(G755&lt;51,'General Basis'!$B$46,IF(G755&lt;56,'General Basis'!$B$47,IF(G755&lt;60,'General Basis'!$B$48,IF(G755&lt;65,'General Basis'!$B$49,'General Basis'!$B$50)))))))))))))</f>
        <v/>
      </c>
      <c r="BI755" s="744" t="str">
        <f t="shared" si="269"/>
        <v/>
      </c>
      <c r="BJ755" s="747" t="str">
        <f t="shared" si="276"/>
        <v/>
      </c>
      <c r="BK755" s="498" t="str">
        <f t="shared" si="270"/>
        <v/>
      </c>
      <c r="BL755" s="498" t="str">
        <f t="shared" si="271"/>
        <v/>
      </c>
    </row>
    <row r="756" spans="1:64" x14ac:dyDescent="0.25">
      <c r="A756" s="762">
        <f t="shared" si="272"/>
        <v>751</v>
      </c>
      <c r="B756" s="229"/>
      <c r="C756" s="223"/>
      <c r="D756" s="224"/>
      <c r="E756" s="225"/>
      <c r="F756" s="1036" t="str">
        <f t="shared" si="278"/>
        <v/>
      </c>
      <c r="G756" s="1037" t="str">
        <f t="shared" si="273"/>
        <v/>
      </c>
      <c r="H756" s="225"/>
      <c r="I756" s="1013"/>
      <c r="J756" s="1013"/>
      <c r="K756" s="1028"/>
      <c r="L756" s="1035" t="str">
        <f t="shared" si="277"/>
        <v/>
      </c>
      <c r="S756" s="498"/>
      <c r="AJ756" s="498"/>
      <c r="AM756" s="498">
        <f t="shared" si="258"/>
        <v>0</v>
      </c>
      <c r="AN756" s="498">
        <f t="shared" si="259"/>
        <v>0</v>
      </c>
      <c r="AO756" s="498">
        <f t="shared" si="260"/>
        <v>0</v>
      </c>
      <c r="AP756" s="498">
        <f t="shared" si="279"/>
        <v>0</v>
      </c>
      <c r="AQ756" s="498">
        <f t="shared" si="274"/>
        <v>0</v>
      </c>
      <c r="AU756" s="498">
        <f t="shared" si="261"/>
        <v>0</v>
      </c>
      <c r="AV756" s="498">
        <f t="shared" si="262"/>
        <v>0</v>
      </c>
      <c r="AW756" s="498">
        <f t="shared" si="263"/>
        <v>0</v>
      </c>
      <c r="AX756" s="498">
        <f t="shared" si="264"/>
        <v>0</v>
      </c>
      <c r="AY756" s="498">
        <f t="shared" si="265"/>
        <v>0</v>
      </c>
      <c r="BB756" s="498" t="str">
        <f t="shared" si="266"/>
        <v/>
      </c>
      <c r="BC756" s="743" t="str">
        <f t="shared" si="267"/>
        <v/>
      </c>
      <c r="BD756" s="743" t="str">
        <f t="shared" si="268"/>
        <v/>
      </c>
      <c r="BE756" s="743" t="str">
        <f>IF(D756="","",VLOOKUP(D756,'General Basis'!$J$39:$K$46,2,0))</f>
        <v/>
      </c>
      <c r="BF756" s="744" t="str">
        <f>IF(D756="","",VLOOKUP(D756,'General Basis'!$J$39:$L$46,3,0))</f>
        <v/>
      </c>
      <c r="BG756" s="744" t="str">
        <f t="shared" si="275"/>
        <v/>
      </c>
      <c r="BH756" s="744" t="str">
        <f>IF(G756="","",IF(BF756="Abu Dhabi",IF(G756&lt;18,'General Basis'!$C$39,IF(G756&lt;41,'General Basis'!$C$40,IF(G756&lt;60,'General Basis'!$C$41,IF(G756&lt;65,'General Basis'!$C$42,'General Basis'!$C$43)))),IF(G756&lt;11,'General Basis'!$B$39,IF(G756&lt;18,'General Basis'!$B$40,IF(G756&lt;26,'General Basis'!$B$41,IF(G756&lt;31,'General Basis'!$B$42,IF(G756&lt;36,'General Basis'!$B$43,IF(G756&lt;41,'General Basis'!$B$44,IF(G756&lt;46,'General Basis'!$B$45,IF(G756&lt;51,'General Basis'!$B$46,IF(G756&lt;56,'General Basis'!$B$47,IF(G756&lt;60,'General Basis'!$B$48,IF(G756&lt;65,'General Basis'!$B$49,'General Basis'!$B$50)))))))))))))</f>
        <v/>
      </c>
      <c r="BI756" s="744" t="str">
        <f t="shared" si="269"/>
        <v/>
      </c>
      <c r="BJ756" s="747" t="str">
        <f t="shared" si="276"/>
        <v/>
      </c>
      <c r="BK756" s="498" t="str">
        <f t="shared" si="270"/>
        <v/>
      </c>
      <c r="BL756" s="498" t="str">
        <f t="shared" si="271"/>
        <v/>
      </c>
    </row>
    <row r="757" spans="1:64" x14ac:dyDescent="0.25">
      <c r="A757" s="762">
        <f t="shared" si="272"/>
        <v>752</v>
      </c>
      <c r="B757" s="229"/>
      <c r="C757" s="223"/>
      <c r="D757" s="224"/>
      <c r="E757" s="225"/>
      <c r="F757" s="1036" t="str">
        <f t="shared" si="278"/>
        <v/>
      </c>
      <c r="G757" s="1037" t="str">
        <f t="shared" si="273"/>
        <v/>
      </c>
      <c r="H757" s="225"/>
      <c r="I757" s="1013"/>
      <c r="J757" s="1013"/>
      <c r="K757" s="1028"/>
      <c r="L757" s="1035" t="str">
        <f t="shared" si="277"/>
        <v/>
      </c>
      <c r="S757" s="498"/>
      <c r="AJ757" s="498"/>
      <c r="AM757" s="498">
        <f t="shared" si="258"/>
        <v>0</v>
      </c>
      <c r="AN757" s="498">
        <f t="shared" si="259"/>
        <v>0</v>
      </c>
      <c r="AO757" s="498">
        <f t="shared" si="260"/>
        <v>0</v>
      </c>
      <c r="AP757" s="498">
        <f t="shared" si="279"/>
        <v>0</v>
      </c>
      <c r="AQ757" s="498">
        <f t="shared" si="274"/>
        <v>0</v>
      </c>
      <c r="AU757" s="498">
        <f t="shared" si="261"/>
        <v>0</v>
      </c>
      <c r="AV757" s="498">
        <f t="shared" si="262"/>
        <v>0</v>
      </c>
      <c r="AW757" s="498">
        <f t="shared" si="263"/>
        <v>0</v>
      </c>
      <c r="AX757" s="498">
        <f t="shared" si="264"/>
        <v>0</v>
      </c>
      <c r="AY757" s="498">
        <f t="shared" si="265"/>
        <v>0</v>
      </c>
      <c r="BB757" s="498" t="str">
        <f t="shared" si="266"/>
        <v/>
      </c>
      <c r="BC757" s="743" t="str">
        <f t="shared" si="267"/>
        <v/>
      </c>
      <c r="BD757" s="743" t="str">
        <f t="shared" si="268"/>
        <v/>
      </c>
      <c r="BE757" s="743" t="str">
        <f>IF(D757="","",VLOOKUP(D757,'General Basis'!$J$39:$K$46,2,0))</f>
        <v/>
      </c>
      <c r="BF757" s="744" t="str">
        <f>IF(D757="","",VLOOKUP(D757,'General Basis'!$J$39:$L$46,3,0))</f>
        <v/>
      </c>
      <c r="BG757" s="744" t="str">
        <f t="shared" si="275"/>
        <v/>
      </c>
      <c r="BH757" s="744" t="str">
        <f>IF(G757="","",IF(BF757="Abu Dhabi",IF(G757&lt;18,'General Basis'!$C$39,IF(G757&lt;41,'General Basis'!$C$40,IF(G757&lt;60,'General Basis'!$C$41,IF(G757&lt;65,'General Basis'!$C$42,'General Basis'!$C$43)))),IF(G757&lt;11,'General Basis'!$B$39,IF(G757&lt;18,'General Basis'!$B$40,IF(G757&lt;26,'General Basis'!$B$41,IF(G757&lt;31,'General Basis'!$B$42,IF(G757&lt;36,'General Basis'!$B$43,IF(G757&lt;41,'General Basis'!$B$44,IF(G757&lt;46,'General Basis'!$B$45,IF(G757&lt;51,'General Basis'!$B$46,IF(G757&lt;56,'General Basis'!$B$47,IF(G757&lt;60,'General Basis'!$B$48,IF(G757&lt;65,'General Basis'!$B$49,'General Basis'!$B$50)))))))))))))</f>
        <v/>
      </c>
      <c r="BI757" s="744" t="str">
        <f t="shared" si="269"/>
        <v/>
      </c>
      <c r="BJ757" s="747" t="str">
        <f t="shared" si="276"/>
        <v/>
      </c>
      <c r="BK757" s="498" t="str">
        <f t="shared" si="270"/>
        <v/>
      </c>
      <c r="BL757" s="498" t="str">
        <f t="shared" si="271"/>
        <v/>
      </c>
    </row>
    <row r="758" spans="1:64" x14ac:dyDescent="0.25">
      <c r="A758" s="762">
        <f t="shared" si="272"/>
        <v>753</v>
      </c>
      <c r="B758" s="229"/>
      <c r="C758" s="223"/>
      <c r="D758" s="224"/>
      <c r="E758" s="225"/>
      <c r="F758" s="1036" t="str">
        <f t="shared" si="278"/>
        <v/>
      </c>
      <c r="G758" s="1037" t="str">
        <f t="shared" si="273"/>
        <v/>
      </c>
      <c r="H758" s="225"/>
      <c r="I758" s="1013"/>
      <c r="J758" s="1013"/>
      <c r="K758" s="1028"/>
      <c r="L758" s="1035" t="str">
        <f t="shared" si="277"/>
        <v/>
      </c>
      <c r="S758" s="498"/>
      <c r="AJ758" s="498"/>
      <c r="AM758" s="498">
        <f t="shared" si="258"/>
        <v>0</v>
      </c>
      <c r="AN758" s="498">
        <f t="shared" si="259"/>
        <v>0</v>
      </c>
      <c r="AO758" s="498">
        <f t="shared" si="260"/>
        <v>0</v>
      </c>
      <c r="AP758" s="498">
        <f t="shared" si="279"/>
        <v>0</v>
      </c>
      <c r="AQ758" s="498">
        <f t="shared" si="274"/>
        <v>0</v>
      </c>
      <c r="AU758" s="498">
        <f t="shared" si="261"/>
        <v>0</v>
      </c>
      <c r="AV758" s="498">
        <f t="shared" si="262"/>
        <v>0</v>
      </c>
      <c r="AW758" s="498">
        <f t="shared" si="263"/>
        <v>0</v>
      </c>
      <c r="AX758" s="498">
        <f t="shared" si="264"/>
        <v>0</v>
      </c>
      <c r="AY758" s="498">
        <f t="shared" si="265"/>
        <v>0</v>
      </c>
      <c r="BB758" s="498" t="str">
        <f t="shared" si="266"/>
        <v/>
      </c>
      <c r="BC758" s="743" t="str">
        <f t="shared" si="267"/>
        <v/>
      </c>
      <c r="BD758" s="743" t="str">
        <f t="shared" si="268"/>
        <v/>
      </c>
      <c r="BE758" s="743" t="str">
        <f>IF(D758="","",VLOOKUP(D758,'General Basis'!$J$39:$K$46,2,0))</f>
        <v/>
      </c>
      <c r="BF758" s="744" t="str">
        <f>IF(D758="","",VLOOKUP(D758,'General Basis'!$J$39:$L$46,3,0))</f>
        <v/>
      </c>
      <c r="BG758" s="744" t="str">
        <f t="shared" si="275"/>
        <v/>
      </c>
      <c r="BH758" s="744" t="str">
        <f>IF(G758="","",IF(BF758="Abu Dhabi",IF(G758&lt;18,'General Basis'!$C$39,IF(G758&lt;41,'General Basis'!$C$40,IF(G758&lt;60,'General Basis'!$C$41,IF(G758&lt;65,'General Basis'!$C$42,'General Basis'!$C$43)))),IF(G758&lt;11,'General Basis'!$B$39,IF(G758&lt;18,'General Basis'!$B$40,IF(G758&lt;26,'General Basis'!$B$41,IF(G758&lt;31,'General Basis'!$B$42,IF(G758&lt;36,'General Basis'!$B$43,IF(G758&lt;41,'General Basis'!$B$44,IF(G758&lt;46,'General Basis'!$B$45,IF(G758&lt;51,'General Basis'!$B$46,IF(G758&lt;56,'General Basis'!$B$47,IF(G758&lt;60,'General Basis'!$B$48,IF(G758&lt;65,'General Basis'!$B$49,'General Basis'!$B$50)))))))))))))</f>
        <v/>
      </c>
      <c r="BI758" s="744" t="str">
        <f t="shared" si="269"/>
        <v/>
      </c>
      <c r="BJ758" s="747" t="str">
        <f t="shared" si="276"/>
        <v/>
      </c>
      <c r="BK758" s="498" t="str">
        <f t="shared" si="270"/>
        <v/>
      </c>
      <c r="BL758" s="498" t="str">
        <f t="shared" si="271"/>
        <v/>
      </c>
    </row>
    <row r="759" spans="1:64" x14ac:dyDescent="0.25">
      <c r="A759" s="762">
        <f t="shared" si="272"/>
        <v>754</v>
      </c>
      <c r="B759" s="229"/>
      <c r="C759" s="223"/>
      <c r="D759" s="224"/>
      <c r="E759" s="225"/>
      <c r="F759" s="1036" t="str">
        <f t="shared" si="278"/>
        <v/>
      </c>
      <c r="G759" s="1037" t="str">
        <f t="shared" si="273"/>
        <v/>
      </c>
      <c r="H759" s="225"/>
      <c r="I759" s="1013"/>
      <c r="J759" s="1013"/>
      <c r="K759" s="1028"/>
      <c r="L759" s="1035" t="str">
        <f t="shared" si="277"/>
        <v/>
      </c>
      <c r="S759" s="498"/>
      <c r="AJ759" s="498"/>
      <c r="AM759" s="498">
        <f t="shared" si="258"/>
        <v>0</v>
      </c>
      <c r="AN759" s="498">
        <f t="shared" si="259"/>
        <v>0</v>
      </c>
      <c r="AO759" s="498">
        <f t="shared" si="260"/>
        <v>0</v>
      </c>
      <c r="AP759" s="498">
        <f t="shared" si="279"/>
        <v>0</v>
      </c>
      <c r="AQ759" s="498">
        <f t="shared" si="274"/>
        <v>0</v>
      </c>
      <c r="AU759" s="498">
        <f t="shared" si="261"/>
        <v>0</v>
      </c>
      <c r="AV759" s="498">
        <f t="shared" si="262"/>
        <v>0</v>
      </c>
      <c r="AW759" s="498">
        <f t="shared" si="263"/>
        <v>0</v>
      </c>
      <c r="AX759" s="498">
        <f t="shared" si="264"/>
        <v>0</v>
      </c>
      <c r="AY759" s="498">
        <f t="shared" si="265"/>
        <v>0</v>
      </c>
      <c r="BB759" s="498" t="str">
        <f t="shared" si="266"/>
        <v/>
      </c>
      <c r="BC759" s="743" t="str">
        <f t="shared" si="267"/>
        <v/>
      </c>
      <c r="BD759" s="743" t="str">
        <f t="shared" si="268"/>
        <v/>
      </c>
      <c r="BE759" s="743" t="str">
        <f>IF(D759="","",VLOOKUP(D759,'General Basis'!$J$39:$K$46,2,0))</f>
        <v/>
      </c>
      <c r="BF759" s="744" t="str">
        <f>IF(D759="","",VLOOKUP(D759,'General Basis'!$J$39:$L$46,3,0))</f>
        <v/>
      </c>
      <c r="BG759" s="744" t="str">
        <f t="shared" si="275"/>
        <v/>
      </c>
      <c r="BH759" s="744" t="str">
        <f>IF(G759="","",IF(BF759="Abu Dhabi",IF(G759&lt;18,'General Basis'!$C$39,IF(G759&lt;41,'General Basis'!$C$40,IF(G759&lt;60,'General Basis'!$C$41,IF(G759&lt;65,'General Basis'!$C$42,'General Basis'!$C$43)))),IF(G759&lt;11,'General Basis'!$B$39,IF(G759&lt;18,'General Basis'!$B$40,IF(G759&lt;26,'General Basis'!$B$41,IF(G759&lt;31,'General Basis'!$B$42,IF(G759&lt;36,'General Basis'!$B$43,IF(G759&lt;41,'General Basis'!$B$44,IF(G759&lt;46,'General Basis'!$B$45,IF(G759&lt;51,'General Basis'!$B$46,IF(G759&lt;56,'General Basis'!$B$47,IF(G759&lt;60,'General Basis'!$B$48,IF(G759&lt;65,'General Basis'!$B$49,'General Basis'!$B$50)))))))))))))</f>
        <v/>
      </c>
      <c r="BI759" s="744" t="str">
        <f t="shared" si="269"/>
        <v/>
      </c>
      <c r="BJ759" s="747" t="str">
        <f t="shared" si="276"/>
        <v/>
      </c>
      <c r="BK759" s="498" t="str">
        <f t="shared" si="270"/>
        <v/>
      </c>
      <c r="BL759" s="498" t="str">
        <f t="shared" si="271"/>
        <v/>
      </c>
    </row>
    <row r="760" spans="1:64" x14ac:dyDescent="0.25">
      <c r="A760" s="762">
        <f t="shared" si="272"/>
        <v>755</v>
      </c>
      <c r="B760" s="229"/>
      <c r="C760" s="223"/>
      <c r="D760" s="224"/>
      <c r="E760" s="225"/>
      <c r="F760" s="1036" t="str">
        <f t="shared" si="278"/>
        <v/>
      </c>
      <c r="G760" s="1037" t="str">
        <f t="shared" si="273"/>
        <v/>
      </c>
      <c r="H760" s="225"/>
      <c r="I760" s="1013"/>
      <c r="J760" s="1013"/>
      <c r="K760" s="1028"/>
      <c r="L760" s="1035" t="str">
        <f t="shared" si="277"/>
        <v/>
      </c>
      <c r="S760" s="498"/>
      <c r="AJ760" s="498"/>
      <c r="AM760" s="498">
        <f t="shared" si="258"/>
        <v>0</v>
      </c>
      <c r="AN760" s="498">
        <f t="shared" si="259"/>
        <v>0</v>
      </c>
      <c r="AO760" s="498">
        <f t="shared" si="260"/>
        <v>0</v>
      </c>
      <c r="AP760" s="498">
        <f t="shared" si="279"/>
        <v>0</v>
      </c>
      <c r="AQ760" s="498">
        <f t="shared" si="274"/>
        <v>0</v>
      </c>
      <c r="AU760" s="498">
        <f t="shared" si="261"/>
        <v>0</v>
      </c>
      <c r="AV760" s="498">
        <f t="shared" si="262"/>
        <v>0</v>
      </c>
      <c r="AW760" s="498">
        <f t="shared" si="263"/>
        <v>0</v>
      </c>
      <c r="AX760" s="498">
        <f t="shared" si="264"/>
        <v>0</v>
      </c>
      <c r="AY760" s="498">
        <f t="shared" si="265"/>
        <v>0</v>
      </c>
      <c r="BB760" s="498" t="str">
        <f t="shared" si="266"/>
        <v/>
      </c>
      <c r="BC760" s="743" t="str">
        <f t="shared" si="267"/>
        <v/>
      </c>
      <c r="BD760" s="743" t="str">
        <f t="shared" si="268"/>
        <v/>
      </c>
      <c r="BE760" s="743" t="str">
        <f>IF(D760="","",VLOOKUP(D760,'General Basis'!$J$39:$K$46,2,0))</f>
        <v/>
      </c>
      <c r="BF760" s="744" t="str">
        <f>IF(D760="","",VLOOKUP(D760,'General Basis'!$J$39:$L$46,3,0))</f>
        <v/>
      </c>
      <c r="BG760" s="744" t="str">
        <f t="shared" si="275"/>
        <v/>
      </c>
      <c r="BH760" s="744" t="str">
        <f>IF(G760="","",IF(BF760="Abu Dhabi",IF(G760&lt;18,'General Basis'!$C$39,IF(G760&lt;41,'General Basis'!$C$40,IF(G760&lt;60,'General Basis'!$C$41,IF(G760&lt;65,'General Basis'!$C$42,'General Basis'!$C$43)))),IF(G760&lt;11,'General Basis'!$B$39,IF(G760&lt;18,'General Basis'!$B$40,IF(G760&lt;26,'General Basis'!$B$41,IF(G760&lt;31,'General Basis'!$B$42,IF(G760&lt;36,'General Basis'!$B$43,IF(G760&lt;41,'General Basis'!$B$44,IF(G760&lt;46,'General Basis'!$B$45,IF(G760&lt;51,'General Basis'!$B$46,IF(G760&lt;56,'General Basis'!$B$47,IF(G760&lt;60,'General Basis'!$B$48,IF(G760&lt;65,'General Basis'!$B$49,'General Basis'!$B$50)))))))))))))</f>
        <v/>
      </c>
      <c r="BI760" s="744" t="str">
        <f t="shared" si="269"/>
        <v/>
      </c>
      <c r="BJ760" s="747" t="str">
        <f t="shared" si="276"/>
        <v/>
      </c>
      <c r="BK760" s="498" t="str">
        <f t="shared" si="270"/>
        <v/>
      </c>
      <c r="BL760" s="498" t="str">
        <f t="shared" si="271"/>
        <v/>
      </c>
    </row>
    <row r="761" spans="1:64" x14ac:dyDescent="0.25">
      <c r="A761" s="762">
        <f t="shared" si="272"/>
        <v>756</v>
      </c>
      <c r="B761" s="229"/>
      <c r="C761" s="223"/>
      <c r="D761" s="224"/>
      <c r="E761" s="225"/>
      <c r="F761" s="1036" t="str">
        <f t="shared" si="278"/>
        <v/>
      </c>
      <c r="G761" s="1037" t="str">
        <f t="shared" si="273"/>
        <v/>
      </c>
      <c r="H761" s="225"/>
      <c r="I761" s="1013"/>
      <c r="J761" s="1013"/>
      <c r="K761" s="1028"/>
      <c r="L761" s="1035" t="str">
        <f t="shared" si="277"/>
        <v/>
      </c>
      <c r="S761" s="498"/>
      <c r="AJ761" s="498"/>
      <c r="AM761" s="498">
        <f t="shared" si="258"/>
        <v>0</v>
      </c>
      <c r="AN761" s="498">
        <f t="shared" si="259"/>
        <v>0</v>
      </c>
      <c r="AO761" s="498">
        <f t="shared" si="260"/>
        <v>0</v>
      </c>
      <c r="AP761" s="498">
        <f t="shared" si="279"/>
        <v>0</v>
      </c>
      <c r="AQ761" s="498">
        <f t="shared" si="274"/>
        <v>0</v>
      </c>
      <c r="AU761" s="498">
        <f t="shared" si="261"/>
        <v>0</v>
      </c>
      <c r="AV761" s="498">
        <f t="shared" si="262"/>
        <v>0</v>
      </c>
      <c r="AW761" s="498">
        <f t="shared" si="263"/>
        <v>0</v>
      </c>
      <c r="AX761" s="498">
        <f t="shared" si="264"/>
        <v>0</v>
      </c>
      <c r="AY761" s="498">
        <f t="shared" si="265"/>
        <v>0</v>
      </c>
      <c r="BB761" s="498" t="str">
        <f t="shared" si="266"/>
        <v/>
      </c>
      <c r="BC761" s="743" t="str">
        <f t="shared" si="267"/>
        <v/>
      </c>
      <c r="BD761" s="743" t="str">
        <f t="shared" si="268"/>
        <v/>
      </c>
      <c r="BE761" s="743" t="str">
        <f>IF(D761="","",VLOOKUP(D761,'General Basis'!$J$39:$K$46,2,0))</f>
        <v/>
      </c>
      <c r="BF761" s="744" t="str">
        <f>IF(D761="","",VLOOKUP(D761,'General Basis'!$J$39:$L$46,3,0))</f>
        <v/>
      </c>
      <c r="BG761" s="744" t="str">
        <f t="shared" si="275"/>
        <v/>
      </c>
      <c r="BH761" s="744" t="str">
        <f>IF(G761="","",IF(BF761="Abu Dhabi",IF(G761&lt;18,'General Basis'!$C$39,IF(G761&lt;41,'General Basis'!$C$40,IF(G761&lt;60,'General Basis'!$C$41,IF(G761&lt;65,'General Basis'!$C$42,'General Basis'!$C$43)))),IF(G761&lt;11,'General Basis'!$B$39,IF(G761&lt;18,'General Basis'!$B$40,IF(G761&lt;26,'General Basis'!$B$41,IF(G761&lt;31,'General Basis'!$B$42,IF(G761&lt;36,'General Basis'!$B$43,IF(G761&lt;41,'General Basis'!$B$44,IF(G761&lt;46,'General Basis'!$B$45,IF(G761&lt;51,'General Basis'!$B$46,IF(G761&lt;56,'General Basis'!$B$47,IF(G761&lt;60,'General Basis'!$B$48,IF(G761&lt;65,'General Basis'!$B$49,'General Basis'!$B$50)))))))))))))</f>
        <v/>
      </c>
      <c r="BI761" s="744" t="str">
        <f t="shared" si="269"/>
        <v/>
      </c>
      <c r="BJ761" s="747" t="str">
        <f t="shared" si="276"/>
        <v/>
      </c>
      <c r="BK761" s="498" t="str">
        <f t="shared" si="270"/>
        <v/>
      </c>
      <c r="BL761" s="498" t="str">
        <f t="shared" si="271"/>
        <v/>
      </c>
    </row>
    <row r="762" spans="1:64" x14ac:dyDescent="0.25">
      <c r="A762" s="762">
        <f t="shared" si="272"/>
        <v>757</v>
      </c>
      <c r="B762" s="229"/>
      <c r="C762" s="223"/>
      <c r="D762" s="224"/>
      <c r="E762" s="225"/>
      <c r="F762" s="1036" t="str">
        <f t="shared" si="278"/>
        <v/>
      </c>
      <c r="G762" s="1037" t="str">
        <f t="shared" si="273"/>
        <v/>
      </c>
      <c r="H762" s="225"/>
      <c r="I762" s="1013"/>
      <c r="J762" s="1013"/>
      <c r="K762" s="1028"/>
      <c r="L762" s="1035" t="str">
        <f t="shared" si="277"/>
        <v/>
      </c>
      <c r="S762" s="498"/>
      <c r="AJ762" s="498"/>
      <c r="AM762" s="498">
        <f t="shared" si="258"/>
        <v>0</v>
      </c>
      <c r="AN762" s="498">
        <f t="shared" si="259"/>
        <v>0</v>
      </c>
      <c r="AO762" s="498">
        <f t="shared" si="260"/>
        <v>0</v>
      </c>
      <c r="AP762" s="498">
        <f t="shared" si="279"/>
        <v>0</v>
      </c>
      <c r="AQ762" s="498">
        <f t="shared" si="274"/>
        <v>0</v>
      </c>
      <c r="AU762" s="498">
        <f t="shared" si="261"/>
        <v>0</v>
      </c>
      <c r="AV762" s="498">
        <f t="shared" si="262"/>
        <v>0</v>
      </c>
      <c r="AW762" s="498">
        <f t="shared" si="263"/>
        <v>0</v>
      </c>
      <c r="AX762" s="498">
        <f t="shared" si="264"/>
        <v>0</v>
      </c>
      <c r="AY762" s="498">
        <f t="shared" si="265"/>
        <v>0</v>
      </c>
      <c r="BB762" s="498" t="str">
        <f t="shared" si="266"/>
        <v/>
      </c>
      <c r="BC762" s="743" t="str">
        <f t="shared" si="267"/>
        <v/>
      </c>
      <c r="BD762" s="743" t="str">
        <f t="shared" si="268"/>
        <v/>
      </c>
      <c r="BE762" s="743" t="str">
        <f>IF(D762="","",VLOOKUP(D762,'General Basis'!$J$39:$K$46,2,0))</f>
        <v/>
      </c>
      <c r="BF762" s="744" t="str">
        <f>IF(D762="","",VLOOKUP(D762,'General Basis'!$J$39:$L$46,3,0))</f>
        <v/>
      </c>
      <c r="BG762" s="744" t="str">
        <f t="shared" si="275"/>
        <v/>
      </c>
      <c r="BH762" s="744" t="str">
        <f>IF(G762="","",IF(BF762="Abu Dhabi",IF(G762&lt;18,'General Basis'!$C$39,IF(G762&lt;41,'General Basis'!$C$40,IF(G762&lt;60,'General Basis'!$C$41,IF(G762&lt;65,'General Basis'!$C$42,'General Basis'!$C$43)))),IF(G762&lt;11,'General Basis'!$B$39,IF(G762&lt;18,'General Basis'!$B$40,IF(G762&lt;26,'General Basis'!$B$41,IF(G762&lt;31,'General Basis'!$B$42,IF(G762&lt;36,'General Basis'!$B$43,IF(G762&lt;41,'General Basis'!$B$44,IF(G762&lt;46,'General Basis'!$B$45,IF(G762&lt;51,'General Basis'!$B$46,IF(G762&lt;56,'General Basis'!$B$47,IF(G762&lt;60,'General Basis'!$B$48,IF(G762&lt;65,'General Basis'!$B$49,'General Basis'!$B$50)))))))))))))</f>
        <v/>
      </c>
      <c r="BI762" s="744" t="str">
        <f t="shared" si="269"/>
        <v/>
      </c>
      <c r="BJ762" s="747" t="str">
        <f t="shared" si="276"/>
        <v/>
      </c>
      <c r="BK762" s="498" t="str">
        <f t="shared" si="270"/>
        <v/>
      </c>
      <c r="BL762" s="498" t="str">
        <f t="shared" si="271"/>
        <v/>
      </c>
    </row>
    <row r="763" spans="1:64" x14ac:dyDescent="0.25">
      <c r="A763" s="762">
        <f t="shared" si="272"/>
        <v>758</v>
      </c>
      <c r="B763" s="229"/>
      <c r="C763" s="223"/>
      <c r="D763" s="224"/>
      <c r="E763" s="225"/>
      <c r="F763" s="1036" t="str">
        <f t="shared" si="278"/>
        <v/>
      </c>
      <c r="G763" s="1037" t="str">
        <f t="shared" si="273"/>
        <v/>
      </c>
      <c r="H763" s="225"/>
      <c r="I763" s="1013"/>
      <c r="J763" s="1013"/>
      <c r="K763" s="1028"/>
      <c r="L763" s="1035" t="str">
        <f t="shared" si="277"/>
        <v/>
      </c>
      <c r="S763" s="498"/>
      <c r="AJ763" s="498"/>
      <c r="AM763" s="498">
        <f t="shared" si="258"/>
        <v>0</v>
      </c>
      <c r="AN763" s="498">
        <f t="shared" si="259"/>
        <v>0</v>
      </c>
      <c r="AO763" s="498">
        <f t="shared" si="260"/>
        <v>0</v>
      </c>
      <c r="AP763" s="498">
        <f t="shared" si="279"/>
        <v>0</v>
      </c>
      <c r="AQ763" s="498">
        <f t="shared" si="274"/>
        <v>0</v>
      </c>
      <c r="AU763" s="498">
        <f t="shared" si="261"/>
        <v>0</v>
      </c>
      <c r="AV763" s="498">
        <f t="shared" si="262"/>
        <v>0</v>
      </c>
      <c r="AW763" s="498">
        <f t="shared" si="263"/>
        <v>0</v>
      </c>
      <c r="AX763" s="498">
        <f t="shared" si="264"/>
        <v>0</v>
      </c>
      <c r="AY763" s="498">
        <f t="shared" si="265"/>
        <v>0</v>
      </c>
      <c r="BB763" s="498" t="str">
        <f t="shared" si="266"/>
        <v/>
      </c>
      <c r="BC763" s="743" t="str">
        <f t="shared" si="267"/>
        <v/>
      </c>
      <c r="BD763" s="743" t="str">
        <f t="shared" si="268"/>
        <v/>
      </c>
      <c r="BE763" s="743" t="str">
        <f>IF(D763="","",VLOOKUP(D763,'General Basis'!$J$39:$K$46,2,0))</f>
        <v/>
      </c>
      <c r="BF763" s="744" t="str">
        <f>IF(D763="","",VLOOKUP(D763,'General Basis'!$J$39:$L$46,3,0))</f>
        <v/>
      </c>
      <c r="BG763" s="744" t="str">
        <f t="shared" si="275"/>
        <v/>
      </c>
      <c r="BH763" s="744" t="str">
        <f>IF(G763="","",IF(BF763="Abu Dhabi",IF(G763&lt;18,'General Basis'!$C$39,IF(G763&lt;41,'General Basis'!$C$40,IF(G763&lt;60,'General Basis'!$C$41,IF(G763&lt;65,'General Basis'!$C$42,'General Basis'!$C$43)))),IF(G763&lt;11,'General Basis'!$B$39,IF(G763&lt;18,'General Basis'!$B$40,IF(G763&lt;26,'General Basis'!$B$41,IF(G763&lt;31,'General Basis'!$B$42,IF(G763&lt;36,'General Basis'!$B$43,IF(G763&lt;41,'General Basis'!$B$44,IF(G763&lt;46,'General Basis'!$B$45,IF(G763&lt;51,'General Basis'!$B$46,IF(G763&lt;56,'General Basis'!$B$47,IF(G763&lt;60,'General Basis'!$B$48,IF(G763&lt;65,'General Basis'!$B$49,'General Basis'!$B$50)))))))))))))</f>
        <v/>
      </c>
      <c r="BI763" s="744" t="str">
        <f t="shared" si="269"/>
        <v/>
      </c>
      <c r="BJ763" s="747" t="str">
        <f t="shared" si="276"/>
        <v/>
      </c>
      <c r="BK763" s="498" t="str">
        <f t="shared" si="270"/>
        <v/>
      </c>
      <c r="BL763" s="498" t="str">
        <f t="shared" si="271"/>
        <v/>
      </c>
    </row>
    <row r="764" spans="1:64" x14ac:dyDescent="0.25">
      <c r="A764" s="762">
        <f t="shared" si="272"/>
        <v>759</v>
      </c>
      <c r="B764" s="229"/>
      <c r="C764" s="223"/>
      <c r="D764" s="224"/>
      <c r="E764" s="225"/>
      <c r="F764" s="1036" t="str">
        <f t="shared" si="278"/>
        <v/>
      </c>
      <c r="G764" s="1037" t="str">
        <f t="shared" si="273"/>
        <v/>
      </c>
      <c r="H764" s="225"/>
      <c r="I764" s="1013"/>
      <c r="J764" s="1013"/>
      <c r="K764" s="1028"/>
      <c r="L764" s="1035" t="str">
        <f t="shared" si="277"/>
        <v/>
      </c>
      <c r="S764" s="498"/>
      <c r="AJ764" s="498"/>
      <c r="AM764" s="498">
        <f t="shared" si="258"/>
        <v>0</v>
      </c>
      <c r="AN764" s="498">
        <f t="shared" si="259"/>
        <v>0</v>
      </c>
      <c r="AO764" s="498">
        <f t="shared" si="260"/>
        <v>0</v>
      </c>
      <c r="AP764" s="498">
        <f t="shared" si="279"/>
        <v>0</v>
      </c>
      <c r="AQ764" s="498">
        <f t="shared" si="274"/>
        <v>0</v>
      </c>
      <c r="AU764" s="498">
        <f t="shared" si="261"/>
        <v>0</v>
      </c>
      <c r="AV764" s="498">
        <f t="shared" si="262"/>
        <v>0</v>
      </c>
      <c r="AW764" s="498">
        <f t="shared" si="263"/>
        <v>0</v>
      </c>
      <c r="AX764" s="498">
        <f t="shared" si="264"/>
        <v>0</v>
      </c>
      <c r="AY764" s="498">
        <f t="shared" si="265"/>
        <v>0</v>
      </c>
      <c r="BB764" s="498" t="str">
        <f t="shared" si="266"/>
        <v/>
      </c>
      <c r="BC764" s="743" t="str">
        <f t="shared" si="267"/>
        <v/>
      </c>
      <c r="BD764" s="743" t="str">
        <f t="shared" si="268"/>
        <v/>
      </c>
      <c r="BE764" s="743" t="str">
        <f>IF(D764="","",VLOOKUP(D764,'General Basis'!$J$39:$K$46,2,0))</f>
        <v/>
      </c>
      <c r="BF764" s="744" t="str">
        <f>IF(D764="","",VLOOKUP(D764,'General Basis'!$J$39:$L$46,3,0))</f>
        <v/>
      </c>
      <c r="BG764" s="744" t="str">
        <f t="shared" si="275"/>
        <v/>
      </c>
      <c r="BH764" s="744" t="str">
        <f>IF(G764="","",IF(BF764="Abu Dhabi",IF(G764&lt;18,'General Basis'!$C$39,IF(G764&lt;41,'General Basis'!$C$40,IF(G764&lt;60,'General Basis'!$C$41,IF(G764&lt;65,'General Basis'!$C$42,'General Basis'!$C$43)))),IF(G764&lt;11,'General Basis'!$B$39,IF(G764&lt;18,'General Basis'!$B$40,IF(G764&lt;26,'General Basis'!$B$41,IF(G764&lt;31,'General Basis'!$B$42,IF(G764&lt;36,'General Basis'!$B$43,IF(G764&lt;41,'General Basis'!$B$44,IF(G764&lt;46,'General Basis'!$B$45,IF(G764&lt;51,'General Basis'!$B$46,IF(G764&lt;56,'General Basis'!$B$47,IF(G764&lt;60,'General Basis'!$B$48,IF(G764&lt;65,'General Basis'!$B$49,'General Basis'!$B$50)))))))))))))</f>
        <v/>
      </c>
      <c r="BI764" s="744" t="str">
        <f t="shared" si="269"/>
        <v/>
      </c>
      <c r="BJ764" s="747" t="str">
        <f t="shared" si="276"/>
        <v/>
      </c>
      <c r="BK764" s="498" t="str">
        <f t="shared" si="270"/>
        <v/>
      </c>
      <c r="BL764" s="498" t="str">
        <f t="shared" si="271"/>
        <v/>
      </c>
    </row>
    <row r="765" spans="1:64" x14ac:dyDescent="0.25">
      <c r="A765" s="762">
        <f t="shared" si="272"/>
        <v>760</v>
      </c>
      <c r="B765" s="229"/>
      <c r="C765" s="223"/>
      <c r="D765" s="224"/>
      <c r="E765" s="225"/>
      <c r="F765" s="1036" t="str">
        <f t="shared" si="278"/>
        <v/>
      </c>
      <c r="G765" s="1037" t="str">
        <f t="shared" si="273"/>
        <v/>
      </c>
      <c r="H765" s="225"/>
      <c r="I765" s="1013"/>
      <c r="J765" s="1013"/>
      <c r="K765" s="1028"/>
      <c r="L765" s="1035" t="str">
        <f t="shared" si="277"/>
        <v/>
      </c>
      <c r="S765" s="498"/>
      <c r="AJ765" s="498"/>
      <c r="AM765" s="498">
        <f t="shared" si="258"/>
        <v>0</v>
      </c>
      <c r="AN765" s="498">
        <f t="shared" si="259"/>
        <v>0</v>
      </c>
      <c r="AO765" s="498">
        <f t="shared" si="260"/>
        <v>0</v>
      </c>
      <c r="AP765" s="498">
        <f t="shared" si="279"/>
        <v>0</v>
      </c>
      <c r="AQ765" s="498">
        <f t="shared" si="274"/>
        <v>0</v>
      </c>
      <c r="AU765" s="498">
        <f t="shared" si="261"/>
        <v>0</v>
      </c>
      <c r="AV765" s="498">
        <f t="shared" si="262"/>
        <v>0</v>
      </c>
      <c r="AW765" s="498">
        <f t="shared" si="263"/>
        <v>0</v>
      </c>
      <c r="AX765" s="498">
        <f t="shared" si="264"/>
        <v>0</v>
      </c>
      <c r="AY765" s="498">
        <f t="shared" si="265"/>
        <v>0</v>
      </c>
      <c r="BB765" s="498" t="str">
        <f t="shared" si="266"/>
        <v/>
      </c>
      <c r="BC765" s="743" t="str">
        <f t="shared" si="267"/>
        <v/>
      </c>
      <c r="BD765" s="743" t="str">
        <f t="shared" si="268"/>
        <v/>
      </c>
      <c r="BE765" s="743" t="str">
        <f>IF(D765="","",VLOOKUP(D765,'General Basis'!$J$39:$K$46,2,0))</f>
        <v/>
      </c>
      <c r="BF765" s="744" t="str">
        <f>IF(D765="","",VLOOKUP(D765,'General Basis'!$J$39:$L$46,3,0))</f>
        <v/>
      </c>
      <c r="BG765" s="744" t="str">
        <f t="shared" si="275"/>
        <v/>
      </c>
      <c r="BH765" s="744" t="str">
        <f>IF(G765="","",IF(BF765="Abu Dhabi",IF(G765&lt;18,'General Basis'!$C$39,IF(G765&lt;41,'General Basis'!$C$40,IF(G765&lt;60,'General Basis'!$C$41,IF(G765&lt;65,'General Basis'!$C$42,'General Basis'!$C$43)))),IF(G765&lt;11,'General Basis'!$B$39,IF(G765&lt;18,'General Basis'!$B$40,IF(G765&lt;26,'General Basis'!$B$41,IF(G765&lt;31,'General Basis'!$B$42,IF(G765&lt;36,'General Basis'!$B$43,IF(G765&lt;41,'General Basis'!$B$44,IF(G765&lt;46,'General Basis'!$B$45,IF(G765&lt;51,'General Basis'!$B$46,IF(G765&lt;56,'General Basis'!$B$47,IF(G765&lt;60,'General Basis'!$B$48,IF(G765&lt;65,'General Basis'!$B$49,'General Basis'!$B$50)))))))))))))</f>
        <v/>
      </c>
      <c r="BI765" s="744" t="str">
        <f t="shared" si="269"/>
        <v/>
      </c>
      <c r="BJ765" s="747" t="str">
        <f t="shared" si="276"/>
        <v/>
      </c>
      <c r="BK765" s="498" t="str">
        <f t="shared" si="270"/>
        <v/>
      </c>
      <c r="BL765" s="498" t="str">
        <f t="shared" si="271"/>
        <v/>
      </c>
    </row>
    <row r="766" spans="1:64" x14ac:dyDescent="0.25">
      <c r="A766" s="762">
        <f t="shared" si="272"/>
        <v>761</v>
      </c>
      <c r="B766" s="229"/>
      <c r="C766" s="223"/>
      <c r="D766" s="224"/>
      <c r="E766" s="225"/>
      <c r="F766" s="1036" t="str">
        <f t="shared" si="278"/>
        <v/>
      </c>
      <c r="G766" s="1037" t="str">
        <f t="shared" si="273"/>
        <v/>
      </c>
      <c r="H766" s="225"/>
      <c r="I766" s="1013"/>
      <c r="J766" s="1013"/>
      <c r="K766" s="1028"/>
      <c r="L766" s="1035" t="str">
        <f t="shared" si="277"/>
        <v/>
      </c>
      <c r="S766" s="498"/>
      <c r="AJ766" s="498"/>
      <c r="AM766" s="498">
        <f t="shared" si="258"/>
        <v>0</v>
      </c>
      <c r="AN766" s="498">
        <f t="shared" si="259"/>
        <v>0</v>
      </c>
      <c r="AO766" s="498">
        <f t="shared" si="260"/>
        <v>0</v>
      </c>
      <c r="AP766" s="498">
        <f t="shared" si="279"/>
        <v>0</v>
      </c>
      <c r="AQ766" s="498">
        <f t="shared" si="274"/>
        <v>0</v>
      </c>
      <c r="AU766" s="498">
        <f t="shared" si="261"/>
        <v>0</v>
      </c>
      <c r="AV766" s="498">
        <f t="shared" si="262"/>
        <v>0</v>
      </c>
      <c r="AW766" s="498">
        <f t="shared" si="263"/>
        <v>0</v>
      </c>
      <c r="AX766" s="498">
        <f t="shared" si="264"/>
        <v>0</v>
      </c>
      <c r="AY766" s="498">
        <f t="shared" si="265"/>
        <v>0</v>
      </c>
      <c r="BB766" s="498" t="str">
        <f t="shared" si="266"/>
        <v/>
      </c>
      <c r="BC766" s="743" t="str">
        <f t="shared" si="267"/>
        <v/>
      </c>
      <c r="BD766" s="743" t="str">
        <f t="shared" si="268"/>
        <v/>
      </c>
      <c r="BE766" s="743" t="str">
        <f>IF(D766="","",VLOOKUP(D766,'General Basis'!$J$39:$K$46,2,0))</f>
        <v/>
      </c>
      <c r="BF766" s="744" t="str">
        <f>IF(D766="","",VLOOKUP(D766,'General Basis'!$J$39:$L$46,3,0))</f>
        <v/>
      </c>
      <c r="BG766" s="744" t="str">
        <f t="shared" si="275"/>
        <v/>
      </c>
      <c r="BH766" s="744" t="str">
        <f>IF(G766="","",IF(BF766="Abu Dhabi",IF(G766&lt;18,'General Basis'!$C$39,IF(G766&lt;41,'General Basis'!$C$40,IF(G766&lt;60,'General Basis'!$C$41,IF(G766&lt;65,'General Basis'!$C$42,'General Basis'!$C$43)))),IF(G766&lt;11,'General Basis'!$B$39,IF(G766&lt;18,'General Basis'!$B$40,IF(G766&lt;26,'General Basis'!$B$41,IF(G766&lt;31,'General Basis'!$B$42,IF(G766&lt;36,'General Basis'!$B$43,IF(G766&lt;41,'General Basis'!$B$44,IF(G766&lt;46,'General Basis'!$B$45,IF(G766&lt;51,'General Basis'!$B$46,IF(G766&lt;56,'General Basis'!$B$47,IF(G766&lt;60,'General Basis'!$B$48,IF(G766&lt;65,'General Basis'!$B$49,'General Basis'!$B$50)))))))))))))</f>
        <v/>
      </c>
      <c r="BI766" s="744" t="str">
        <f t="shared" si="269"/>
        <v/>
      </c>
      <c r="BJ766" s="747" t="str">
        <f t="shared" si="276"/>
        <v/>
      </c>
      <c r="BK766" s="498" t="str">
        <f t="shared" si="270"/>
        <v/>
      </c>
      <c r="BL766" s="498" t="str">
        <f t="shared" si="271"/>
        <v/>
      </c>
    </row>
    <row r="767" spans="1:64" x14ac:dyDescent="0.25">
      <c r="A767" s="762">
        <f t="shared" si="272"/>
        <v>762</v>
      </c>
      <c r="B767" s="229"/>
      <c r="C767" s="223"/>
      <c r="D767" s="224"/>
      <c r="E767" s="225"/>
      <c r="F767" s="1036" t="str">
        <f t="shared" si="278"/>
        <v/>
      </c>
      <c r="G767" s="1037" t="str">
        <f t="shared" si="273"/>
        <v/>
      </c>
      <c r="H767" s="225"/>
      <c r="I767" s="1013"/>
      <c r="J767" s="1013"/>
      <c r="K767" s="1028"/>
      <c r="L767" s="1035" t="str">
        <f t="shared" si="277"/>
        <v/>
      </c>
      <c r="S767" s="498"/>
      <c r="AJ767" s="498"/>
      <c r="AM767" s="498">
        <f t="shared" si="258"/>
        <v>0</v>
      </c>
      <c r="AN767" s="498">
        <f t="shared" si="259"/>
        <v>0</v>
      </c>
      <c r="AO767" s="498">
        <f t="shared" si="260"/>
        <v>0</v>
      </c>
      <c r="AP767" s="498">
        <f t="shared" si="279"/>
        <v>0</v>
      </c>
      <c r="AQ767" s="498">
        <f t="shared" si="274"/>
        <v>0</v>
      </c>
      <c r="AU767" s="498">
        <f t="shared" si="261"/>
        <v>0</v>
      </c>
      <c r="AV767" s="498">
        <f t="shared" si="262"/>
        <v>0</v>
      </c>
      <c r="AW767" s="498">
        <f t="shared" si="263"/>
        <v>0</v>
      </c>
      <c r="AX767" s="498">
        <f t="shared" si="264"/>
        <v>0</v>
      </c>
      <c r="AY767" s="498">
        <f t="shared" si="265"/>
        <v>0</v>
      </c>
      <c r="BB767" s="498" t="str">
        <f t="shared" si="266"/>
        <v/>
      </c>
      <c r="BC767" s="743" t="str">
        <f t="shared" si="267"/>
        <v/>
      </c>
      <c r="BD767" s="743" t="str">
        <f t="shared" si="268"/>
        <v/>
      </c>
      <c r="BE767" s="743" t="str">
        <f>IF(D767="","",VLOOKUP(D767,'General Basis'!$J$39:$K$46,2,0))</f>
        <v/>
      </c>
      <c r="BF767" s="744" t="str">
        <f>IF(D767="","",VLOOKUP(D767,'General Basis'!$J$39:$L$46,3,0))</f>
        <v/>
      </c>
      <c r="BG767" s="744" t="str">
        <f t="shared" si="275"/>
        <v/>
      </c>
      <c r="BH767" s="744" t="str">
        <f>IF(G767="","",IF(BF767="Abu Dhabi",IF(G767&lt;18,'General Basis'!$C$39,IF(G767&lt;41,'General Basis'!$C$40,IF(G767&lt;60,'General Basis'!$C$41,IF(G767&lt;65,'General Basis'!$C$42,'General Basis'!$C$43)))),IF(G767&lt;11,'General Basis'!$B$39,IF(G767&lt;18,'General Basis'!$B$40,IF(G767&lt;26,'General Basis'!$B$41,IF(G767&lt;31,'General Basis'!$B$42,IF(G767&lt;36,'General Basis'!$B$43,IF(G767&lt;41,'General Basis'!$B$44,IF(G767&lt;46,'General Basis'!$B$45,IF(G767&lt;51,'General Basis'!$B$46,IF(G767&lt;56,'General Basis'!$B$47,IF(G767&lt;60,'General Basis'!$B$48,IF(G767&lt;65,'General Basis'!$B$49,'General Basis'!$B$50)))))))))))))</f>
        <v/>
      </c>
      <c r="BI767" s="744" t="str">
        <f t="shared" si="269"/>
        <v/>
      </c>
      <c r="BJ767" s="747" t="str">
        <f t="shared" si="276"/>
        <v/>
      </c>
      <c r="BK767" s="498" t="str">
        <f t="shared" si="270"/>
        <v/>
      </c>
      <c r="BL767" s="498" t="str">
        <f t="shared" si="271"/>
        <v/>
      </c>
    </row>
    <row r="768" spans="1:64" x14ac:dyDescent="0.25">
      <c r="A768" s="762">
        <f t="shared" si="272"/>
        <v>763</v>
      </c>
      <c r="B768" s="229"/>
      <c r="C768" s="223"/>
      <c r="D768" s="224"/>
      <c r="E768" s="225"/>
      <c r="F768" s="1036" t="str">
        <f t="shared" si="278"/>
        <v/>
      </c>
      <c r="G768" s="1037" t="str">
        <f t="shared" si="273"/>
        <v/>
      </c>
      <c r="H768" s="225"/>
      <c r="I768" s="1013"/>
      <c r="J768" s="1013"/>
      <c r="K768" s="1028"/>
      <c r="L768" s="1035" t="str">
        <f t="shared" si="277"/>
        <v/>
      </c>
      <c r="S768" s="498"/>
      <c r="AJ768" s="498"/>
      <c r="AM768" s="498">
        <f t="shared" si="258"/>
        <v>0</v>
      </c>
      <c r="AN768" s="498">
        <f t="shared" si="259"/>
        <v>0</v>
      </c>
      <c r="AO768" s="498">
        <f t="shared" si="260"/>
        <v>0</v>
      </c>
      <c r="AP768" s="498">
        <f t="shared" si="279"/>
        <v>0</v>
      </c>
      <c r="AQ768" s="498">
        <f t="shared" si="274"/>
        <v>0</v>
      </c>
      <c r="AU768" s="498">
        <f t="shared" si="261"/>
        <v>0</v>
      </c>
      <c r="AV768" s="498">
        <f t="shared" si="262"/>
        <v>0</v>
      </c>
      <c r="AW768" s="498">
        <f t="shared" si="263"/>
        <v>0</v>
      </c>
      <c r="AX768" s="498">
        <f t="shared" si="264"/>
        <v>0</v>
      </c>
      <c r="AY768" s="498">
        <f t="shared" si="265"/>
        <v>0</v>
      </c>
      <c r="BB768" s="498" t="str">
        <f t="shared" si="266"/>
        <v/>
      </c>
      <c r="BC768" s="743" t="str">
        <f t="shared" si="267"/>
        <v/>
      </c>
      <c r="BD768" s="743" t="str">
        <f t="shared" si="268"/>
        <v/>
      </c>
      <c r="BE768" s="743" t="str">
        <f>IF(D768="","",VLOOKUP(D768,'General Basis'!$J$39:$K$46,2,0))</f>
        <v/>
      </c>
      <c r="BF768" s="744" t="str">
        <f>IF(D768="","",VLOOKUP(D768,'General Basis'!$J$39:$L$46,3,0))</f>
        <v/>
      </c>
      <c r="BG768" s="744" t="str">
        <f t="shared" si="275"/>
        <v/>
      </c>
      <c r="BH768" s="744" t="str">
        <f>IF(G768="","",IF(BF768="Abu Dhabi",IF(G768&lt;18,'General Basis'!$C$39,IF(G768&lt;41,'General Basis'!$C$40,IF(G768&lt;60,'General Basis'!$C$41,IF(G768&lt;65,'General Basis'!$C$42,'General Basis'!$C$43)))),IF(G768&lt;11,'General Basis'!$B$39,IF(G768&lt;18,'General Basis'!$B$40,IF(G768&lt;26,'General Basis'!$B$41,IF(G768&lt;31,'General Basis'!$B$42,IF(G768&lt;36,'General Basis'!$B$43,IF(G768&lt;41,'General Basis'!$B$44,IF(G768&lt;46,'General Basis'!$B$45,IF(G768&lt;51,'General Basis'!$B$46,IF(G768&lt;56,'General Basis'!$B$47,IF(G768&lt;60,'General Basis'!$B$48,IF(G768&lt;65,'General Basis'!$B$49,'General Basis'!$B$50)))))))))))))</f>
        <v/>
      </c>
      <c r="BI768" s="744" t="str">
        <f t="shared" si="269"/>
        <v/>
      </c>
      <c r="BJ768" s="747" t="str">
        <f t="shared" si="276"/>
        <v/>
      </c>
      <c r="BK768" s="498" t="str">
        <f t="shared" si="270"/>
        <v/>
      </c>
      <c r="BL768" s="498" t="str">
        <f t="shared" si="271"/>
        <v/>
      </c>
    </row>
    <row r="769" spans="1:64" x14ac:dyDescent="0.25">
      <c r="A769" s="762">
        <f t="shared" si="272"/>
        <v>764</v>
      </c>
      <c r="B769" s="229"/>
      <c r="C769" s="223"/>
      <c r="D769" s="224"/>
      <c r="E769" s="225"/>
      <c r="F769" s="1036" t="str">
        <f t="shared" si="278"/>
        <v/>
      </c>
      <c r="G769" s="1037" t="str">
        <f t="shared" si="273"/>
        <v/>
      </c>
      <c r="H769" s="225"/>
      <c r="I769" s="1013"/>
      <c r="J769" s="1013"/>
      <c r="K769" s="1028"/>
      <c r="L769" s="1035" t="str">
        <f t="shared" si="277"/>
        <v/>
      </c>
      <c r="S769" s="498"/>
      <c r="AJ769" s="498"/>
      <c r="AM769" s="498">
        <f t="shared" si="258"/>
        <v>0</v>
      </c>
      <c r="AN769" s="498">
        <f t="shared" si="259"/>
        <v>0</v>
      </c>
      <c r="AO769" s="498">
        <f t="shared" si="260"/>
        <v>0</v>
      </c>
      <c r="AP769" s="498">
        <f t="shared" si="279"/>
        <v>0</v>
      </c>
      <c r="AQ769" s="498">
        <f t="shared" si="274"/>
        <v>0</v>
      </c>
      <c r="AU769" s="498">
        <f t="shared" si="261"/>
        <v>0</v>
      </c>
      <c r="AV769" s="498">
        <f t="shared" si="262"/>
        <v>0</v>
      </c>
      <c r="AW769" s="498">
        <f t="shared" si="263"/>
        <v>0</v>
      </c>
      <c r="AX769" s="498">
        <f t="shared" si="264"/>
        <v>0</v>
      </c>
      <c r="AY769" s="498">
        <f t="shared" si="265"/>
        <v>0</v>
      </c>
      <c r="BB769" s="498" t="str">
        <f t="shared" si="266"/>
        <v/>
      </c>
      <c r="BC769" s="743" t="str">
        <f t="shared" si="267"/>
        <v/>
      </c>
      <c r="BD769" s="743" t="str">
        <f t="shared" si="268"/>
        <v/>
      </c>
      <c r="BE769" s="743" t="str">
        <f>IF(D769="","",VLOOKUP(D769,'General Basis'!$J$39:$K$46,2,0))</f>
        <v/>
      </c>
      <c r="BF769" s="744" t="str">
        <f>IF(D769="","",VLOOKUP(D769,'General Basis'!$J$39:$L$46,3,0))</f>
        <v/>
      </c>
      <c r="BG769" s="744" t="str">
        <f t="shared" si="275"/>
        <v/>
      </c>
      <c r="BH769" s="744" t="str">
        <f>IF(G769="","",IF(BF769="Abu Dhabi",IF(G769&lt;18,'General Basis'!$C$39,IF(G769&lt;41,'General Basis'!$C$40,IF(G769&lt;60,'General Basis'!$C$41,IF(G769&lt;65,'General Basis'!$C$42,'General Basis'!$C$43)))),IF(G769&lt;11,'General Basis'!$B$39,IF(G769&lt;18,'General Basis'!$B$40,IF(G769&lt;26,'General Basis'!$B$41,IF(G769&lt;31,'General Basis'!$B$42,IF(G769&lt;36,'General Basis'!$B$43,IF(G769&lt;41,'General Basis'!$B$44,IF(G769&lt;46,'General Basis'!$B$45,IF(G769&lt;51,'General Basis'!$B$46,IF(G769&lt;56,'General Basis'!$B$47,IF(G769&lt;60,'General Basis'!$B$48,IF(G769&lt;65,'General Basis'!$B$49,'General Basis'!$B$50)))))))))))))</f>
        <v/>
      </c>
      <c r="BI769" s="744" t="str">
        <f t="shared" si="269"/>
        <v/>
      </c>
      <c r="BJ769" s="747" t="str">
        <f t="shared" si="276"/>
        <v/>
      </c>
      <c r="BK769" s="498" t="str">
        <f t="shared" si="270"/>
        <v/>
      </c>
      <c r="BL769" s="498" t="str">
        <f t="shared" si="271"/>
        <v/>
      </c>
    </row>
    <row r="770" spans="1:64" x14ac:dyDescent="0.25">
      <c r="A770" s="762">
        <f t="shared" si="272"/>
        <v>765</v>
      </c>
      <c r="B770" s="229"/>
      <c r="C770" s="223"/>
      <c r="D770" s="224"/>
      <c r="E770" s="225"/>
      <c r="F770" s="1036" t="str">
        <f t="shared" si="278"/>
        <v/>
      </c>
      <c r="G770" s="1037" t="str">
        <f t="shared" si="273"/>
        <v/>
      </c>
      <c r="H770" s="225"/>
      <c r="I770" s="1013"/>
      <c r="J770" s="1013"/>
      <c r="K770" s="1028"/>
      <c r="L770" s="1035" t="str">
        <f t="shared" si="277"/>
        <v/>
      </c>
      <c r="S770" s="498"/>
      <c r="AJ770" s="498"/>
      <c r="AM770" s="498">
        <f t="shared" si="258"/>
        <v>0</v>
      </c>
      <c r="AN770" s="498">
        <f t="shared" si="259"/>
        <v>0</v>
      </c>
      <c r="AO770" s="498">
        <f t="shared" si="260"/>
        <v>0</v>
      </c>
      <c r="AP770" s="498">
        <f t="shared" si="279"/>
        <v>0</v>
      </c>
      <c r="AQ770" s="498">
        <f t="shared" si="274"/>
        <v>0</v>
      </c>
      <c r="AU770" s="498">
        <f t="shared" si="261"/>
        <v>0</v>
      </c>
      <c r="AV770" s="498">
        <f t="shared" si="262"/>
        <v>0</v>
      </c>
      <c r="AW770" s="498">
        <f t="shared" si="263"/>
        <v>0</v>
      </c>
      <c r="AX770" s="498">
        <f t="shared" si="264"/>
        <v>0</v>
      </c>
      <c r="AY770" s="498">
        <f t="shared" si="265"/>
        <v>0</v>
      </c>
      <c r="BB770" s="498" t="str">
        <f t="shared" si="266"/>
        <v/>
      </c>
      <c r="BC770" s="743" t="str">
        <f t="shared" si="267"/>
        <v/>
      </c>
      <c r="BD770" s="743" t="str">
        <f t="shared" si="268"/>
        <v/>
      </c>
      <c r="BE770" s="743" t="str">
        <f>IF(D770="","",VLOOKUP(D770,'General Basis'!$J$39:$K$46,2,0))</f>
        <v/>
      </c>
      <c r="BF770" s="744" t="str">
        <f>IF(D770="","",VLOOKUP(D770,'General Basis'!$J$39:$L$46,3,0))</f>
        <v/>
      </c>
      <c r="BG770" s="744" t="str">
        <f t="shared" si="275"/>
        <v/>
      </c>
      <c r="BH770" s="744" t="str">
        <f>IF(G770="","",IF(BF770="Abu Dhabi",IF(G770&lt;18,'General Basis'!$C$39,IF(G770&lt;41,'General Basis'!$C$40,IF(G770&lt;60,'General Basis'!$C$41,IF(G770&lt;65,'General Basis'!$C$42,'General Basis'!$C$43)))),IF(G770&lt;11,'General Basis'!$B$39,IF(G770&lt;18,'General Basis'!$B$40,IF(G770&lt;26,'General Basis'!$B$41,IF(G770&lt;31,'General Basis'!$B$42,IF(G770&lt;36,'General Basis'!$B$43,IF(G770&lt;41,'General Basis'!$B$44,IF(G770&lt;46,'General Basis'!$B$45,IF(G770&lt;51,'General Basis'!$B$46,IF(G770&lt;56,'General Basis'!$B$47,IF(G770&lt;60,'General Basis'!$B$48,IF(G770&lt;65,'General Basis'!$B$49,'General Basis'!$B$50)))))))))))))</f>
        <v/>
      </c>
      <c r="BI770" s="744" t="str">
        <f t="shared" si="269"/>
        <v/>
      </c>
      <c r="BJ770" s="747" t="str">
        <f t="shared" si="276"/>
        <v/>
      </c>
      <c r="BK770" s="498" t="str">
        <f t="shared" si="270"/>
        <v/>
      </c>
      <c r="BL770" s="498" t="str">
        <f t="shared" si="271"/>
        <v/>
      </c>
    </row>
    <row r="771" spans="1:64" x14ac:dyDescent="0.25">
      <c r="A771" s="762">
        <f t="shared" si="272"/>
        <v>766</v>
      </c>
      <c r="B771" s="229"/>
      <c r="C771" s="223"/>
      <c r="D771" s="224"/>
      <c r="E771" s="225"/>
      <c r="F771" s="1036" t="str">
        <f t="shared" si="278"/>
        <v/>
      </c>
      <c r="G771" s="1037" t="str">
        <f t="shared" si="273"/>
        <v/>
      </c>
      <c r="H771" s="225"/>
      <c r="I771" s="1013"/>
      <c r="J771" s="1013"/>
      <c r="K771" s="1028"/>
      <c r="L771" s="1035" t="str">
        <f t="shared" si="277"/>
        <v/>
      </c>
      <c r="S771" s="498"/>
      <c r="AJ771" s="498"/>
      <c r="AM771" s="498">
        <f t="shared" si="258"/>
        <v>0</v>
      </c>
      <c r="AN771" s="498">
        <f t="shared" si="259"/>
        <v>0</v>
      </c>
      <c r="AO771" s="498">
        <f t="shared" si="260"/>
        <v>0</v>
      </c>
      <c r="AP771" s="498">
        <f t="shared" si="279"/>
        <v>0</v>
      </c>
      <c r="AQ771" s="498">
        <f t="shared" si="274"/>
        <v>0</v>
      </c>
      <c r="AU771" s="498">
        <f t="shared" si="261"/>
        <v>0</v>
      </c>
      <c r="AV771" s="498">
        <f t="shared" si="262"/>
        <v>0</v>
      </c>
      <c r="AW771" s="498">
        <f t="shared" si="263"/>
        <v>0</v>
      </c>
      <c r="AX771" s="498">
        <f t="shared" si="264"/>
        <v>0</v>
      </c>
      <c r="AY771" s="498">
        <f t="shared" si="265"/>
        <v>0</v>
      </c>
      <c r="BB771" s="498" t="str">
        <f t="shared" si="266"/>
        <v/>
      </c>
      <c r="BC771" s="743" t="str">
        <f t="shared" si="267"/>
        <v/>
      </c>
      <c r="BD771" s="743" t="str">
        <f t="shared" si="268"/>
        <v/>
      </c>
      <c r="BE771" s="743" t="str">
        <f>IF(D771="","",VLOOKUP(D771,'General Basis'!$J$39:$K$46,2,0))</f>
        <v/>
      </c>
      <c r="BF771" s="744" t="str">
        <f>IF(D771="","",VLOOKUP(D771,'General Basis'!$J$39:$L$46,3,0))</f>
        <v/>
      </c>
      <c r="BG771" s="744" t="str">
        <f t="shared" si="275"/>
        <v/>
      </c>
      <c r="BH771" s="744" t="str">
        <f>IF(G771="","",IF(BF771="Abu Dhabi",IF(G771&lt;18,'General Basis'!$C$39,IF(G771&lt;41,'General Basis'!$C$40,IF(G771&lt;60,'General Basis'!$C$41,IF(G771&lt;65,'General Basis'!$C$42,'General Basis'!$C$43)))),IF(G771&lt;11,'General Basis'!$B$39,IF(G771&lt;18,'General Basis'!$B$40,IF(G771&lt;26,'General Basis'!$B$41,IF(G771&lt;31,'General Basis'!$B$42,IF(G771&lt;36,'General Basis'!$B$43,IF(G771&lt;41,'General Basis'!$B$44,IF(G771&lt;46,'General Basis'!$B$45,IF(G771&lt;51,'General Basis'!$B$46,IF(G771&lt;56,'General Basis'!$B$47,IF(G771&lt;60,'General Basis'!$B$48,IF(G771&lt;65,'General Basis'!$B$49,'General Basis'!$B$50)))))))))))))</f>
        <v/>
      </c>
      <c r="BI771" s="744" t="str">
        <f t="shared" si="269"/>
        <v/>
      </c>
      <c r="BJ771" s="747" t="str">
        <f t="shared" si="276"/>
        <v/>
      </c>
      <c r="BK771" s="498" t="str">
        <f t="shared" si="270"/>
        <v/>
      </c>
      <c r="BL771" s="498" t="str">
        <f t="shared" si="271"/>
        <v/>
      </c>
    </row>
    <row r="772" spans="1:64" x14ac:dyDescent="0.25">
      <c r="A772" s="762">
        <f t="shared" si="272"/>
        <v>767</v>
      </c>
      <c r="B772" s="229"/>
      <c r="C772" s="223"/>
      <c r="D772" s="224"/>
      <c r="E772" s="225"/>
      <c r="F772" s="1036" t="str">
        <f t="shared" si="278"/>
        <v/>
      </c>
      <c r="G772" s="1037" t="str">
        <f t="shared" si="273"/>
        <v/>
      </c>
      <c r="H772" s="225"/>
      <c r="I772" s="1013"/>
      <c r="J772" s="1013"/>
      <c r="K772" s="1028"/>
      <c r="L772" s="1035" t="str">
        <f t="shared" si="277"/>
        <v/>
      </c>
      <c r="S772" s="498"/>
      <c r="AJ772" s="498"/>
      <c r="AM772" s="498">
        <f t="shared" si="258"/>
        <v>0</v>
      </c>
      <c r="AN772" s="498">
        <f t="shared" si="259"/>
        <v>0</v>
      </c>
      <c r="AO772" s="498">
        <f t="shared" si="260"/>
        <v>0</v>
      </c>
      <c r="AP772" s="498">
        <f t="shared" si="279"/>
        <v>0</v>
      </c>
      <c r="AQ772" s="498">
        <f t="shared" si="274"/>
        <v>0</v>
      </c>
      <c r="AU772" s="498">
        <f t="shared" si="261"/>
        <v>0</v>
      </c>
      <c r="AV772" s="498">
        <f t="shared" si="262"/>
        <v>0</v>
      </c>
      <c r="AW772" s="498">
        <f t="shared" si="263"/>
        <v>0</v>
      </c>
      <c r="AX772" s="498">
        <f t="shared" si="264"/>
        <v>0</v>
      </c>
      <c r="AY772" s="498">
        <f t="shared" si="265"/>
        <v>0</v>
      </c>
      <c r="BB772" s="498" t="str">
        <f t="shared" si="266"/>
        <v/>
      </c>
      <c r="BC772" s="743" t="str">
        <f t="shared" si="267"/>
        <v/>
      </c>
      <c r="BD772" s="743" t="str">
        <f t="shared" si="268"/>
        <v/>
      </c>
      <c r="BE772" s="743" t="str">
        <f>IF(D772="","",VLOOKUP(D772,'General Basis'!$J$39:$K$46,2,0))</f>
        <v/>
      </c>
      <c r="BF772" s="744" t="str">
        <f>IF(D772="","",VLOOKUP(D772,'General Basis'!$J$39:$L$46,3,0))</f>
        <v/>
      </c>
      <c r="BG772" s="744" t="str">
        <f t="shared" si="275"/>
        <v/>
      </c>
      <c r="BH772" s="744" t="str">
        <f>IF(G772="","",IF(BF772="Abu Dhabi",IF(G772&lt;18,'General Basis'!$C$39,IF(G772&lt;41,'General Basis'!$C$40,IF(G772&lt;60,'General Basis'!$C$41,IF(G772&lt;65,'General Basis'!$C$42,'General Basis'!$C$43)))),IF(G772&lt;11,'General Basis'!$B$39,IF(G772&lt;18,'General Basis'!$B$40,IF(G772&lt;26,'General Basis'!$B$41,IF(G772&lt;31,'General Basis'!$B$42,IF(G772&lt;36,'General Basis'!$B$43,IF(G772&lt;41,'General Basis'!$B$44,IF(G772&lt;46,'General Basis'!$B$45,IF(G772&lt;51,'General Basis'!$B$46,IF(G772&lt;56,'General Basis'!$B$47,IF(G772&lt;60,'General Basis'!$B$48,IF(G772&lt;65,'General Basis'!$B$49,'General Basis'!$B$50)))))))))))))</f>
        <v/>
      </c>
      <c r="BI772" s="744" t="str">
        <f t="shared" si="269"/>
        <v/>
      </c>
      <c r="BJ772" s="747" t="str">
        <f t="shared" si="276"/>
        <v/>
      </c>
      <c r="BK772" s="498" t="str">
        <f t="shared" si="270"/>
        <v/>
      </c>
      <c r="BL772" s="498" t="str">
        <f t="shared" si="271"/>
        <v/>
      </c>
    </row>
    <row r="773" spans="1:64" x14ac:dyDescent="0.25">
      <c r="A773" s="762">
        <f t="shared" si="272"/>
        <v>768</v>
      </c>
      <c r="B773" s="229"/>
      <c r="C773" s="223"/>
      <c r="D773" s="224"/>
      <c r="E773" s="225"/>
      <c r="F773" s="1036" t="str">
        <f t="shared" si="278"/>
        <v/>
      </c>
      <c r="G773" s="1037" t="str">
        <f t="shared" si="273"/>
        <v/>
      </c>
      <c r="H773" s="225"/>
      <c r="I773" s="1013"/>
      <c r="J773" s="1013"/>
      <c r="K773" s="1028"/>
      <c r="L773" s="1035" t="str">
        <f t="shared" si="277"/>
        <v/>
      </c>
      <c r="S773" s="498"/>
      <c r="AJ773" s="498"/>
      <c r="AM773" s="498">
        <f t="shared" si="258"/>
        <v>0</v>
      </c>
      <c r="AN773" s="498">
        <f t="shared" si="259"/>
        <v>0</v>
      </c>
      <c r="AO773" s="498">
        <f t="shared" si="260"/>
        <v>0</v>
      </c>
      <c r="AP773" s="498">
        <f t="shared" si="279"/>
        <v>0</v>
      </c>
      <c r="AQ773" s="498">
        <f t="shared" si="274"/>
        <v>0</v>
      </c>
      <c r="AU773" s="498">
        <f t="shared" si="261"/>
        <v>0</v>
      </c>
      <c r="AV773" s="498">
        <f t="shared" si="262"/>
        <v>0</v>
      </c>
      <c r="AW773" s="498">
        <f t="shared" si="263"/>
        <v>0</v>
      </c>
      <c r="AX773" s="498">
        <f t="shared" si="264"/>
        <v>0</v>
      </c>
      <c r="AY773" s="498">
        <f t="shared" si="265"/>
        <v>0</v>
      </c>
      <c r="BB773" s="498" t="str">
        <f t="shared" si="266"/>
        <v/>
      </c>
      <c r="BC773" s="743" t="str">
        <f t="shared" si="267"/>
        <v/>
      </c>
      <c r="BD773" s="743" t="str">
        <f t="shared" si="268"/>
        <v/>
      </c>
      <c r="BE773" s="743" t="str">
        <f>IF(D773="","",VLOOKUP(D773,'General Basis'!$J$39:$K$46,2,0))</f>
        <v/>
      </c>
      <c r="BF773" s="744" t="str">
        <f>IF(D773="","",VLOOKUP(D773,'General Basis'!$J$39:$L$46,3,0))</f>
        <v/>
      </c>
      <c r="BG773" s="744" t="str">
        <f t="shared" si="275"/>
        <v/>
      </c>
      <c r="BH773" s="744" t="str">
        <f>IF(G773="","",IF(BF773="Abu Dhabi",IF(G773&lt;18,'General Basis'!$C$39,IF(G773&lt;41,'General Basis'!$C$40,IF(G773&lt;60,'General Basis'!$C$41,IF(G773&lt;65,'General Basis'!$C$42,'General Basis'!$C$43)))),IF(G773&lt;11,'General Basis'!$B$39,IF(G773&lt;18,'General Basis'!$B$40,IF(G773&lt;26,'General Basis'!$B$41,IF(G773&lt;31,'General Basis'!$B$42,IF(G773&lt;36,'General Basis'!$B$43,IF(G773&lt;41,'General Basis'!$B$44,IF(G773&lt;46,'General Basis'!$B$45,IF(G773&lt;51,'General Basis'!$B$46,IF(G773&lt;56,'General Basis'!$B$47,IF(G773&lt;60,'General Basis'!$B$48,IF(G773&lt;65,'General Basis'!$B$49,'General Basis'!$B$50)))))))))))))</f>
        <v/>
      </c>
      <c r="BI773" s="744" t="str">
        <f t="shared" si="269"/>
        <v/>
      </c>
      <c r="BJ773" s="747" t="str">
        <f t="shared" si="276"/>
        <v/>
      </c>
      <c r="BK773" s="498" t="str">
        <f t="shared" si="270"/>
        <v/>
      </c>
      <c r="BL773" s="498" t="str">
        <f t="shared" si="271"/>
        <v/>
      </c>
    </row>
    <row r="774" spans="1:64" x14ac:dyDescent="0.25">
      <c r="A774" s="762">
        <f t="shared" si="272"/>
        <v>769</v>
      </c>
      <c r="B774" s="229"/>
      <c r="C774" s="223"/>
      <c r="D774" s="224"/>
      <c r="E774" s="225"/>
      <c r="F774" s="1036" t="str">
        <f t="shared" si="278"/>
        <v/>
      </c>
      <c r="G774" s="1037" t="str">
        <f t="shared" si="273"/>
        <v/>
      </c>
      <c r="H774" s="225"/>
      <c r="I774" s="1013"/>
      <c r="J774" s="1013"/>
      <c r="K774" s="1028"/>
      <c r="L774" s="1035" t="str">
        <f t="shared" si="277"/>
        <v/>
      </c>
      <c r="S774" s="498"/>
      <c r="AJ774" s="498"/>
      <c r="AM774" s="498">
        <f t="shared" ref="AM774:AM837" si="280">IF(ISTEXT(B774),1,0)</f>
        <v>0</v>
      </c>
      <c r="AN774" s="498">
        <f t="shared" ref="AN774:AN837" si="281">IF(ISBLANK(B774),0,IF(B774&lt;$AK$6,1,0))</f>
        <v>0</v>
      </c>
      <c r="AO774" s="498">
        <f t="shared" ref="AO774:AO837" si="282">IF(ISBLANK(B774),0,IF(B774&gt;$AK$7,1,0))</f>
        <v>0</v>
      </c>
      <c r="AP774" s="498">
        <f t="shared" si="279"/>
        <v>0</v>
      </c>
      <c r="AQ774" s="498">
        <f t="shared" si="274"/>
        <v>0</v>
      </c>
      <c r="AU774" s="498">
        <f t="shared" ref="AU774:AU837" si="283">IF(ISBLANK(B774),0,1)</f>
        <v>0</v>
      </c>
      <c r="AV774" s="498">
        <f t="shared" ref="AV774:AV837" si="284">IF(ISBLANK(C774),0,1)</f>
        <v>0</v>
      </c>
      <c r="AW774" s="498">
        <f t="shared" ref="AW774:AW837" si="285">IF(ISBLANK(D774),0,1)</f>
        <v>0</v>
      </c>
      <c r="AX774" s="498">
        <f t="shared" ref="AX774:AX837" si="286">IF(ISBLANK(E774),0,1)</f>
        <v>0</v>
      </c>
      <c r="AY774" s="498">
        <f t="shared" ref="AY774:AY837" si="287">IF(ISBLANK(H774),0,1)</f>
        <v>0</v>
      </c>
      <c r="BB774" s="498" t="str">
        <f t="shared" ref="BB774:BB837" si="288">IF(E774="Principal","Principal",IF(E774="","","Other"))</f>
        <v/>
      </c>
      <c r="BC774" s="743" t="str">
        <f t="shared" ref="BC774:BC837" si="289">IF(D774="","",D774)</f>
        <v/>
      </c>
      <c r="BD774" s="743" t="str">
        <f t="shared" ref="BD774:BD837" si="290">IF(E774="Principal","Employee",IF(E774="","","Dependent"))</f>
        <v/>
      </c>
      <c r="BE774" s="743" t="str">
        <f>IF(D774="","",VLOOKUP(D774,'General Basis'!$J$39:$K$46,2,0))</f>
        <v/>
      </c>
      <c r="BF774" s="744" t="str">
        <f>IF(D774="","",VLOOKUP(D774,'General Basis'!$J$39:$L$46,3,0))</f>
        <v/>
      </c>
      <c r="BG774" s="744" t="str">
        <f t="shared" si="275"/>
        <v/>
      </c>
      <c r="BH774" s="744" t="str">
        <f>IF(G774="","",IF(BF774="Abu Dhabi",IF(G774&lt;18,'General Basis'!$C$39,IF(G774&lt;41,'General Basis'!$C$40,IF(G774&lt;60,'General Basis'!$C$41,IF(G774&lt;65,'General Basis'!$C$42,'General Basis'!$C$43)))),IF(G774&lt;11,'General Basis'!$B$39,IF(G774&lt;18,'General Basis'!$B$40,IF(G774&lt;26,'General Basis'!$B$41,IF(G774&lt;31,'General Basis'!$B$42,IF(G774&lt;36,'General Basis'!$B$43,IF(G774&lt;41,'General Basis'!$B$44,IF(G774&lt;46,'General Basis'!$B$45,IF(G774&lt;51,'General Basis'!$B$46,IF(G774&lt;56,'General Basis'!$B$47,IF(G774&lt;60,'General Basis'!$B$48,IF(G774&lt;65,'General Basis'!$B$49,'General Basis'!$B$50)))))))))))))</f>
        <v/>
      </c>
      <c r="BI774" s="744" t="str">
        <f t="shared" ref="BI774:BI837" si="291">IF(C774="","",IF(C774="M","Male","Female"))</f>
        <v/>
      </c>
      <c r="BJ774" s="747" t="str">
        <f t="shared" si="276"/>
        <v/>
      </c>
      <c r="BK774" s="498" t="str">
        <f t="shared" ref="BK774:BK837" si="292">IF(BD774="","",IF(AND(BD774="Employee",BI774="Male",BF774="Abu Dhabi",BE774=GN_Plus),VLOOKUP(BH774,AUH_MALE_EMP,2,0),IF(AND(BD774="Employee",BI774="Male",BF774="Abu Dhabi",BE774=GN),VLOOKUP(BH774,AUH_MALE_EMP,3,0),IF(AND(BD774="Employee",BI774="Male",BF774="Abu Dhabi",BE774=RN_Plus),VLOOKUP(BH774,AUH_MALE_EMP,4,0),IF(AND(BD774="Employee",BI774="Male",BF774="Abu Dhabi",BE774=RN),VLOOKUP(BH774,AUH_MALE_EMP,5,0),IF(AND(BD774="Employee",BI774="Male",BF774="Abu Dhabi",BE774=RN_2),VLOOKUP(BH774,AUH_MALE_EMP,6,0),IF(AND(BD774="Employee",BI774="Male",BF774="Abu Dhabi",BE774=RN2_minus),VLOOKUP(BH774,AUH_MALE_EMP,7,0),IF(AND(BD774="Employee",BI774="Male",BF774="Abu Dhabi",BE774=RN_3),VLOOKUP(BH774,AUH_MALE_EMP,8,0),IF(AND(BD774="Employee",BI774="Male",BF774="Abu Dhabi",BE774=VN),VLOOKUP(BH774,AUH_MALE_EMP,9,0),IF(BD774="","",IF(AND(BD774="Employee",BI774="Female",BF774="Abu Dhabi",BE774=GN_Plus),VLOOKUP(BH774,AUH_FEMALE_EMP,2,0),IF(AND(BD774="Employee",BI774="Female",BF774="Abu Dhabi",BE774=GN),VLOOKUP(BH774,AUH_FEMALE_EMP,3,0),IF(AND(BD774="Employee",BI774="Female",BF774="Abu Dhabi",BE774=RN_Plus),VLOOKUP(BH774,AUH_FEMALE_EMP,4,0),IF(AND(BD774="Employee",BI774="Female",BF774="Abu Dhabi",BE774=RN),VLOOKUP(BH774,AUH_FEMALE_EMP,5,0),IF(AND(BD774="Employee",BI774="Female",BF774="Abu Dhabi",BE774=RN_2),VLOOKUP(BH774,AUH_FEMALE_EMP,6,0),IF(AND(BD774="Employee",BI774="Female",BF774="Abu Dhabi",BE774=RN2_minus),VLOOKUP(BH774,AUH_FEMALE_EMP,7,0),IF(AND(BD774="Employee",BI774="Female",BF774="Abu Dhabi",BE774=RN_3),VLOOKUP(BH774,AUH_FEMALE_EMP,8,0),IF(AND(BD774="Employee",BI774="Female",BF774="Abu Dhabi",BE774=VN),VLOOKUP(BH774,AUH_FEMALE_EMP,9,0),IF(BD774="","",IF(AND(BD774="Dependent",BI774="Male",BF774="Abu Dhabi",BE774=GN_Plus),VLOOKUP(BH774,AUH_MALE_DEP,2,0),IF(AND(BD774="Dependent",BI774="Male",BF774="Abu Dhabi",BE774=GN),VLOOKUP(BH774,AUH_MALE_DEP,3,0),IF(AND(BD774="Dependent",BI774="Male",BF774="Abu Dhabi",BE774=RN_Plus),VLOOKUP(BH774,AUH_MALE_DEP,4,0),IF(AND(BD774="Dependent",BI774="Male",BF774="Abu Dhabi",BE774=RN),VLOOKUP(BH774,AUH_MALE_DEP,5,0),IF(AND(BD774="Dependent",BI774="Male",BF774="Abu Dhabi",BE774=RN_2),VLOOKUP(BH774,AUH_MALE_DEP,6,0),IF(AND(BD774="Dependent",BI774="Male",BF774="Abu Dhabi",BE774=RN2_minus),VLOOKUP(BH774,AUH_MALE_DEP,7,0),IF(AND(BD774="Dependent",BI774="Male",BF774="Abu Dhabi",BE774=RN_3),VLOOKUP(BH774,AUH_MALE_DEP,8,0),IF(AND(BD774="Dependent",BI774="Male",BF774="Abu Dhabi",BE774=VN),VLOOKUP(BH774,AUH_MALE_DEP,9,0),IF(BD774="","",IF(AND(BD774="Dependent",BI774="Female",BF774="Abu Dhabi",BE774=GN_Plus),VLOOKUP(BH774,AUH_FEMALE_DEP,2,0),IF(AND(BD774="Dependent",BI774="Female",BF774="Abu Dhabi",BE774=GN),VLOOKUP(BH774,AUH_FEMALE_DEP,3,0),IF(AND(BD774="Dependent",BI774="Female",BF774="Abu Dhabi",BE774=RN_Plus),VLOOKUP(BH774,AUH_FEMALE_DEP,4,0),IF(AND(BD774="Dependent",BI774="Female",BF774="Abu Dhabi",BE774=RN),VLOOKUP(BH774,AUH_FEMALE_DEP,5,0),IF(AND(BD774="Dependent",BI774="Female",BF774="Abu Dhabi",BE774=RN_2),VLOOKUP(BH774,AUH_FEMALE_DEP,6,0),IF(AND(BD774="Dependent",BI774="Female",BF774="Abu Dhabi",BE774=RN2_minus),VLOOKUP(BH774,AUH_FEMALE_DEP,7,0),IF(AND(BD774="Dependent",BI774="Female",BF774="Abu Dhabi",BE774=RN_3),VLOOKUP(BH774,AUH_FEMALE_DEP,8,0),IF(AND(BD774="Dependent",BI774="Female",BF774="Abu Dhabi",BE774=VN),VLOOKUP(BH774,AUH_FEMALE_DEP,9,0),"ABC"))))))))))))))))))))))))))))))))))))</f>
        <v/>
      </c>
      <c r="BL774" s="498" t="str">
        <f t="shared" ref="BL774:BL837" si="293">IF(BD774="","",IF(AND(BD774="Employee",BI774="Male",BF774="Dubai",BE774=GN_Plus),VLOOKUP(BH774,DXB_MALE_EMP,2,0),IF(AND(BD774="Employee",BI774="Male",BF774="Dubai",BE774=GN),VLOOKUP(BH774,DXB_MALE_EMP,3,0),IF(AND(BD774="Employee",BI774="Male",BF774="Dubai",BE774=RN_Plus),VLOOKUP(BH774,DXB_MALE_EMP,4,0),IF(AND(BD774="Employee",BI774="Male",BF774="Dubai",BE774=RN),VLOOKUP(BH774,DXB_MALE_EMP,5,0),IF(AND(BD774="Employee",BI774="Male",BF774="Dubai",BE774=RN_2),VLOOKUP(BH774,DXB_MALE_EMP,6,0),IF(AND(BD774="Employee",BI774="Male",BF774="Dubai",BE774=RN2_minus),VLOOKUP(BH774,DXB_MALE_EMP,7,0),IF(AND(BD774="Employee",BI774="Male",BF774="Dubai",BE774=RN_3),VLOOKUP(BH774,DXB_MALE_EMP,8,0),IF(AND(BD774="Employee",BI774="Male",BF774="Dubai",BE774=VN),VLOOKUP(BH774,DXB_MALE_EMP,9,0),IF(BD774="","",IF(AND(BD774="Employee",BI774="Female",BF774="Dubai",BE774=GN_Plus),VLOOKUP(BH774,DXB_FEMALE_EMP,2,0),IF(AND(BD774="Employee",BI774="Female",BF774="Dubai",BE774=GN),VLOOKUP(BH774,DXB_FEMALE_EMP,3,0),IF(AND(BD774="Employee",BI774="Female",BF774="Dubai",BE774=RN_Plus),VLOOKUP(BH774,DXB_FEMALE_EMP,4,0),IF(AND(BD774="Employee",BI774="Female",BF774="Dubai",BE774=RN),VLOOKUP(BH774,DXB_FEMALE_EMP,5,0),IF(AND(BD774="Employee",BI774="Female",BF774="Dubai",BE774=RN_2),VLOOKUP(BH774,DXB_FEMALE_EMP,6,0),IF(AND(BD774="Employee",BI774="Female",BF774="Dubai",BE774=RN2_minus),VLOOKUP(BH774,DXB_FEMALE_EMP,7,0),IF(AND(BD774="Employee",BI774="Female",BF774="Dubai",BE774=RN_3),VLOOKUP(BH774,DXB_FEMALE_EMP,8,0),IF(AND(BD774="Employee",BI774="Female",BF774="Dubai",BE774=VN),VLOOKUP(BH774,DXB_FEMALE_EMP,9,0),IF(BD774="","",IF(AND(BD774="Dependent",BI774="Male",BF774="Dubai",BE774=GN_Plus),VLOOKUP(BH774,DXB_MALE_DEP,2,0),IF(AND(BD774="Dependent",BI774="Male",BF774="Dubai",BE774=GN),VLOOKUP(BH774,DXB_MALE_DEP,3,0),IF(AND(BD774="Dependent",BI774="Male",BF774="Dubai",BE774=RN_Plus),VLOOKUP(BH774,DXB_MALE_DEP,4,0),IF(AND(BD774="Dependent",BI774="Male",BF774="Dubai",BE774=RN),VLOOKUP(BH774,DXB_MALE_DEP,5,0),IF(AND(BD774="Dependent",BI774="Male",BF774="Dubai",BE774=RN_2),VLOOKUP(BH774,DXB_MALE_DEP,6,0),IF(AND(BD774="Dependent",BI774="Male",BF774="Dubai",BE774=RN2_minus),VLOOKUP(BH774,DXB_MALE_DEP,7,0),IF(AND(BD774="Dependent",BI774="Male",BF774="Dubai",BE774=RN_3),VLOOKUP(BH774,DXB_MALE_DEP,8,0),IF(AND(BD774="Dependent",BI774="Male",BF774="Dubai",BE774=VN),VLOOKUP(BH774,DXB_MALE_DEP,9,0),IF(BD774="","",IF(AND(BD774="Dependent",BI774="Female",BF774="Dubai",BE774=GN_Plus),VLOOKUP(BH774,DXB_FEMALE_DEP,2,0),IF(AND(BD774="Dependent",BI774="Female",BF774="Dubai",BE774=GN),VLOOKUP(BH774,DXB_FEMALE_DEP,3,0),IF(AND(BD774="Dependent",BI774="Female",BF774="Dubai",BE774=RN_Plus),VLOOKUP(BH774,DXB_FEMALE_DEP,4,0),IF(AND(BD774="Dependent",BI774="Female",BF774="Dubai",BE774=RN),VLOOKUP(BH774,DXB_FEMALE_DEP,5,0),IF(AND(BD774="Dependent",BI774="Female",BF774="Dubai",BE774=RN_2),VLOOKUP(BH774,DXB_FEMALE_DEP,6,0),IF(AND(BD774="Dependent",BI774="Female",BF774="Dubai",BE774=RN2_minus),VLOOKUP(BH774,DXB_FEMALE_DEP,7,0),IF(AND(BD774="Dependent",BI774="Female",BF774="Dubai",BE774=RN_3),VLOOKUP(BH774,DXB_FEMALE_DEP,8,0),IF(AND(BD774="Dependent",BI774="Female",BF774="Dubai",BE774=VN),VLOOKUP(BH774,DXB_FEMALE_DEP,9,0),"ABC"))))))))))))))))))))))))))))))))))))</f>
        <v/>
      </c>
    </row>
    <row r="775" spans="1:64" x14ac:dyDescent="0.25">
      <c r="A775" s="762">
        <f t="shared" ref="A775:A838" si="294">+A774+1</f>
        <v>770</v>
      </c>
      <c r="B775" s="229"/>
      <c r="C775" s="223"/>
      <c r="D775" s="224"/>
      <c r="E775" s="225"/>
      <c r="F775" s="1036" t="str">
        <f t="shared" si="278"/>
        <v/>
      </c>
      <c r="G775" s="1037" t="str">
        <f t="shared" ref="G775:G838" si="295">IF(D775="","",MAX(0,ROUNDUP(F775,0)))</f>
        <v/>
      </c>
      <c r="H775" s="225"/>
      <c r="I775" s="1013"/>
      <c r="J775" s="1013"/>
      <c r="K775" s="1028"/>
      <c r="L775" s="1035" t="str">
        <f t="shared" si="277"/>
        <v/>
      </c>
      <c r="S775" s="498"/>
      <c r="AJ775" s="498"/>
      <c r="AM775" s="498">
        <f t="shared" si="280"/>
        <v>0</v>
      </c>
      <c r="AN775" s="498">
        <f t="shared" si="281"/>
        <v>0</v>
      </c>
      <c r="AO775" s="498">
        <f t="shared" si="282"/>
        <v>0</v>
      </c>
      <c r="AP775" s="498">
        <f t="shared" si="279"/>
        <v>0</v>
      </c>
      <c r="AQ775" s="498">
        <f t="shared" ref="AQ775:AQ838" si="296">IF(ISBLANK($B775),0,IF(OR($H775="Single",$H775="Married"),0,1))</f>
        <v>0</v>
      </c>
      <c r="AU775" s="498">
        <f t="shared" si="283"/>
        <v>0</v>
      </c>
      <c r="AV775" s="498">
        <f t="shared" si="284"/>
        <v>0</v>
      </c>
      <c r="AW775" s="498">
        <f t="shared" si="285"/>
        <v>0</v>
      </c>
      <c r="AX775" s="498">
        <f t="shared" si="286"/>
        <v>0</v>
      </c>
      <c r="AY775" s="498">
        <f t="shared" si="287"/>
        <v>0</v>
      </c>
      <c r="BB775" s="498" t="str">
        <f t="shared" si="288"/>
        <v/>
      </c>
      <c r="BC775" s="743" t="str">
        <f t="shared" si="289"/>
        <v/>
      </c>
      <c r="BD775" s="743" t="str">
        <f t="shared" si="290"/>
        <v/>
      </c>
      <c r="BE775" s="743" t="str">
        <f>IF(D775="","",VLOOKUP(D775,'General Basis'!$J$39:$K$46,2,0))</f>
        <v/>
      </c>
      <c r="BF775" s="744" t="str">
        <f>IF(D775="","",VLOOKUP(D775,'General Basis'!$J$39:$L$46,3,0))</f>
        <v/>
      </c>
      <c r="BG775" s="744" t="str">
        <f t="shared" ref="BG775:BG838" si="297">BC775&amp;BI775</f>
        <v/>
      </c>
      <c r="BH775" s="744" t="str">
        <f>IF(G775="","",IF(BF775="Abu Dhabi",IF(G775&lt;18,'General Basis'!$C$39,IF(G775&lt;41,'General Basis'!$C$40,IF(G775&lt;60,'General Basis'!$C$41,IF(G775&lt;65,'General Basis'!$C$42,'General Basis'!$C$43)))),IF(G775&lt;11,'General Basis'!$B$39,IF(G775&lt;18,'General Basis'!$B$40,IF(G775&lt;26,'General Basis'!$B$41,IF(G775&lt;31,'General Basis'!$B$42,IF(G775&lt;36,'General Basis'!$B$43,IF(G775&lt;41,'General Basis'!$B$44,IF(G775&lt;46,'General Basis'!$B$45,IF(G775&lt;51,'General Basis'!$B$46,IF(G775&lt;56,'General Basis'!$B$47,IF(G775&lt;60,'General Basis'!$B$48,IF(G775&lt;65,'General Basis'!$B$49,'General Basis'!$B$50)))))))))))))</f>
        <v/>
      </c>
      <c r="BI775" s="744" t="str">
        <f t="shared" si="291"/>
        <v/>
      </c>
      <c r="BJ775" s="747" t="str">
        <f t="shared" ref="BJ775:BJ838" si="298">IF(BD775="","",IF(BF775="Abu Dhabi",BK775,BL775))</f>
        <v/>
      </c>
      <c r="BK775" s="498" t="str">
        <f t="shared" si="292"/>
        <v/>
      </c>
      <c r="BL775" s="498" t="str">
        <f t="shared" si="293"/>
        <v/>
      </c>
    </row>
    <row r="776" spans="1:64" x14ac:dyDescent="0.25">
      <c r="A776" s="762">
        <f t="shared" si="294"/>
        <v>771</v>
      </c>
      <c r="B776" s="229"/>
      <c r="C776" s="223"/>
      <c r="D776" s="224"/>
      <c r="E776" s="225"/>
      <c r="F776" s="1036" t="str">
        <f t="shared" si="278"/>
        <v/>
      </c>
      <c r="G776" s="1037" t="str">
        <f t="shared" si="295"/>
        <v/>
      </c>
      <c r="H776" s="225"/>
      <c r="I776" s="1013"/>
      <c r="J776" s="1013"/>
      <c r="K776" s="1028"/>
      <c r="L776" s="1035" t="str">
        <f t="shared" ref="L776:L839" si="299">IF(AND(E776="Child",H776="Married"),"Check the Marital Status of the Child. ",IF(AND(E776="Child",F776&gt;18),"Child Age exceed 18 years. ",IF(AND(E776="Spouse",H776="Single"),"Spouse is selected as Single. ","")))&amp;IF(K776&gt;0,"UW Loading has been Applied","")</f>
        <v/>
      </c>
      <c r="S776" s="498"/>
      <c r="AJ776" s="498"/>
      <c r="AM776" s="498">
        <f t="shared" si="280"/>
        <v>0</v>
      </c>
      <c r="AN776" s="498">
        <f t="shared" si="281"/>
        <v>0</v>
      </c>
      <c r="AO776" s="498">
        <f t="shared" si="282"/>
        <v>0</v>
      </c>
      <c r="AP776" s="498">
        <f t="shared" si="279"/>
        <v>0</v>
      </c>
      <c r="AQ776" s="498">
        <f t="shared" si="296"/>
        <v>0</v>
      </c>
      <c r="AU776" s="498">
        <f t="shared" si="283"/>
        <v>0</v>
      </c>
      <c r="AV776" s="498">
        <f t="shared" si="284"/>
        <v>0</v>
      </c>
      <c r="AW776" s="498">
        <f t="shared" si="285"/>
        <v>0</v>
      </c>
      <c r="AX776" s="498">
        <f t="shared" si="286"/>
        <v>0</v>
      </c>
      <c r="AY776" s="498">
        <f t="shared" si="287"/>
        <v>0</v>
      </c>
      <c r="BB776" s="498" t="str">
        <f t="shared" si="288"/>
        <v/>
      </c>
      <c r="BC776" s="743" t="str">
        <f t="shared" si="289"/>
        <v/>
      </c>
      <c r="BD776" s="743" t="str">
        <f t="shared" si="290"/>
        <v/>
      </c>
      <c r="BE776" s="743" t="str">
        <f>IF(D776="","",VLOOKUP(D776,'General Basis'!$J$39:$K$46,2,0))</f>
        <v/>
      </c>
      <c r="BF776" s="744" t="str">
        <f>IF(D776="","",VLOOKUP(D776,'General Basis'!$J$39:$L$46,3,0))</f>
        <v/>
      </c>
      <c r="BG776" s="744" t="str">
        <f t="shared" si="297"/>
        <v/>
      </c>
      <c r="BH776" s="744" t="str">
        <f>IF(G776="","",IF(BF776="Abu Dhabi",IF(G776&lt;18,'General Basis'!$C$39,IF(G776&lt;41,'General Basis'!$C$40,IF(G776&lt;60,'General Basis'!$C$41,IF(G776&lt;65,'General Basis'!$C$42,'General Basis'!$C$43)))),IF(G776&lt;11,'General Basis'!$B$39,IF(G776&lt;18,'General Basis'!$B$40,IF(G776&lt;26,'General Basis'!$B$41,IF(G776&lt;31,'General Basis'!$B$42,IF(G776&lt;36,'General Basis'!$B$43,IF(G776&lt;41,'General Basis'!$B$44,IF(G776&lt;46,'General Basis'!$B$45,IF(G776&lt;51,'General Basis'!$B$46,IF(G776&lt;56,'General Basis'!$B$47,IF(G776&lt;60,'General Basis'!$B$48,IF(G776&lt;65,'General Basis'!$B$49,'General Basis'!$B$50)))))))))))))</f>
        <v/>
      </c>
      <c r="BI776" s="744" t="str">
        <f t="shared" si="291"/>
        <v/>
      </c>
      <c r="BJ776" s="747" t="str">
        <f t="shared" si="298"/>
        <v/>
      </c>
      <c r="BK776" s="498" t="str">
        <f t="shared" si="292"/>
        <v/>
      </c>
      <c r="BL776" s="498" t="str">
        <f t="shared" si="293"/>
        <v/>
      </c>
    </row>
    <row r="777" spans="1:64" x14ac:dyDescent="0.25">
      <c r="A777" s="762">
        <f t="shared" si="294"/>
        <v>772</v>
      </c>
      <c r="B777" s="229"/>
      <c r="C777" s="223"/>
      <c r="D777" s="224"/>
      <c r="E777" s="225"/>
      <c r="F777" s="1036" t="str">
        <f t="shared" si="278"/>
        <v/>
      </c>
      <c r="G777" s="1037" t="str">
        <f t="shared" si="295"/>
        <v/>
      </c>
      <c r="H777" s="225"/>
      <c r="I777" s="1013"/>
      <c r="J777" s="1013"/>
      <c r="K777" s="1028"/>
      <c r="L777" s="1035" t="str">
        <f t="shared" si="299"/>
        <v/>
      </c>
      <c r="S777" s="498"/>
      <c r="AJ777" s="498"/>
      <c r="AM777" s="498">
        <f t="shared" si="280"/>
        <v>0</v>
      </c>
      <c r="AN777" s="498">
        <f t="shared" si="281"/>
        <v>0</v>
      </c>
      <c r="AO777" s="498">
        <f t="shared" si="282"/>
        <v>0</v>
      </c>
      <c r="AP777" s="498">
        <f t="shared" si="279"/>
        <v>0</v>
      </c>
      <c r="AQ777" s="498">
        <f t="shared" si="296"/>
        <v>0</v>
      </c>
      <c r="AU777" s="498">
        <f t="shared" si="283"/>
        <v>0</v>
      </c>
      <c r="AV777" s="498">
        <f t="shared" si="284"/>
        <v>0</v>
      </c>
      <c r="AW777" s="498">
        <f t="shared" si="285"/>
        <v>0</v>
      </c>
      <c r="AX777" s="498">
        <f t="shared" si="286"/>
        <v>0</v>
      </c>
      <c r="AY777" s="498">
        <f t="shared" si="287"/>
        <v>0</v>
      </c>
      <c r="BB777" s="498" t="str">
        <f t="shared" si="288"/>
        <v/>
      </c>
      <c r="BC777" s="743" t="str">
        <f t="shared" si="289"/>
        <v/>
      </c>
      <c r="BD777" s="743" t="str">
        <f t="shared" si="290"/>
        <v/>
      </c>
      <c r="BE777" s="743" t="str">
        <f>IF(D777="","",VLOOKUP(D777,'General Basis'!$J$39:$K$46,2,0))</f>
        <v/>
      </c>
      <c r="BF777" s="744" t="str">
        <f>IF(D777="","",VLOOKUP(D777,'General Basis'!$J$39:$L$46,3,0))</f>
        <v/>
      </c>
      <c r="BG777" s="744" t="str">
        <f t="shared" si="297"/>
        <v/>
      </c>
      <c r="BH777" s="744" t="str">
        <f>IF(G777="","",IF(BF777="Abu Dhabi",IF(G777&lt;18,'General Basis'!$C$39,IF(G777&lt;41,'General Basis'!$C$40,IF(G777&lt;60,'General Basis'!$C$41,IF(G777&lt;65,'General Basis'!$C$42,'General Basis'!$C$43)))),IF(G777&lt;11,'General Basis'!$B$39,IF(G777&lt;18,'General Basis'!$B$40,IF(G777&lt;26,'General Basis'!$B$41,IF(G777&lt;31,'General Basis'!$B$42,IF(G777&lt;36,'General Basis'!$B$43,IF(G777&lt;41,'General Basis'!$B$44,IF(G777&lt;46,'General Basis'!$B$45,IF(G777&lt;51,'General Basis'!$B$46,IF(G777&lt;56,'General Basis'!$B$47,IF(G777&lt;60,'General Basis'!$B$48,IF(G777&lt;65,'General Basis'!$B$49,'General Basis'!$B$50)))))))))))))</f>
        <v/>
      </c>
      <c r="BI777" s="744" t="str">
        <f t="shared" si="291"/>
        <v/>
      </c>
      <c r="BJ777" s="747" t="str">
        <f t="shared" si="298"/>
        <v/>
      </c>
      <c r="BK777" s="498" t="str">
        <f t="shared" si="292"/>
        <v/>
      </c>
      <c r="BL777" s="498" t="str">
        <f t="shared" si="293"/>
        <v/>
      </c>
    </row>
    <row r="778" spans="1:64" x14ac:dyDescent="0.25">
      <c r="A778" s="762">
        <f t="shared" si="294"/>
        <v>773</v>
      </c>
      <c r="B778" s="229"/>
      <c r="C778" s="223"/>
      <c r="D778" s="224"/>
      <c r="E778" s="225"/>
      <c r="F778" s="1036" t="str">
        <f t="shared" si="278"/>
        <v/>
      </c>
      <c r="G778" s="1037" t="str">
        <f t="shared" si="295"/>
        <v/>
      </c>
      <c r="H778" s="225"/>
      <c r="I778" s="1013"/>
      <c r="J778" s="1013"/>
      <c r="K778" s="1028"/>
      <c r="L778" s="1035" t="str">
        <f t="shared" si="299"/>
        <v/>
      </c>
      <c r="S778" s="498"/>
      <c r="AJ778" s="498"/>
      <c r="AM778" s="498">
        <f t="shared" si="280"/>
        <v>0</v>
      </c>
      <c r="AN778" s="498">
        <f t="shared" si="281"/>
        <v>0</v>
      </c>
      <c r="AO778" s="498">
        <f t="shared" si="282"/>
        <v>0</v>
      </c>
      <c r="AP778" s="498">
        <f t="shared" si="279"/>
        <v>0</v>
      </c>
      <c r="AQ778" s="498">
        <f t="shared" si="296"/>
        <v>0</v>
      </c>
      <c r="AU778" s="498">
        <f t="shared" si="283"/>
        <v>0</v>
      </c>
      <c r="AV778" s="498">
        <f t="shared" si="284"/>
        <v>0</v>
      </c>
      <c r="AW778" s="498">
        <f t="shared" si="285"/>
        <v>0</v>
      </c>
      <c r="AX778" s="498">
        <f t="shared" si="286"/>
        <v>0</v>
      </c>
      <c r="AY778" s="498">
        <f t="shared" si="287"/>
        <v>0</v>
      </c>
      <c r="BB778" s="498" t="str">
        <f t="shared" si="288"/>
        <v/>
      </c>
      <c r="BC778" s="743" t="str">
        <f t="shared" si="289"/>
        <v/>
      </c>
      <c r="BD778" s="743" t="str">
        <f t="shared" si="290"/>
        <v/>
      </c>
      <c r="BE778" s="743" t="str">
        <f>IF(D778="","",VLOOKUP(D778,'General Basis'!$J$39:$K$46,2,0))</f>
        <v/>
      </c>
      <c r="BF778" s="744" t="str">
        <f>IF(D778="","",VLOOKUP(D778,'General Basis'!$J$39:$L$46,3,0))</f>
        <v/>
      </c>
      <c r="BG778" s="744" t="str">
        <f t="shared" si="297"/>
        <v/>
      </c>
      <c r="BH778" s="744" t="str">
        <f>IF(G778="","",IF(BF778="Abu Dhabi",IF(G778&lt;18,'General Basis'!$C$39,IF(G778&lt;41,'General Basis'!$C$40,IF(G778&lt;60,'General Basis'!$C$41,IF(G778&lt;65,'General Basis'!$C$42,'General Basis'!$C$43)))),IF(G778&lt;11,'General Basis'!$B$39,IF(G778&lt;18,'General Basis'!$B$40,IF(G778&lt;26,'General Basis'!$B$41,IF(G778&lt;31,'General Basis'!$B$42,IF(G778&lt;36,'General Basis'!$B$43,IF(G778&lt;41,'General Basis'!$B$44,IF(G778&lt;46,'General Basis'!$B$45,IF(G778&lt;51,'General Basis'!$B$46,IF(G778&lt;56,'General Basis'!$B$47,IF(G778&lt;60,'General Basis'!$B$48,IF(G778&lt;65,'General Basis'!$B$49,'General Basis'!$B$50)))))))))))))</f>
        <v/>
      </c>
      <c r="BI778" s="744" t="str">
        <f t="shared" si="291"/>
        <v/>
      </c>
      <c r="BJ778" s="747" t="str">
        <f t="shared" si="298"/>
        <v/>
      </c>
      <c r="BK778" s="498" t="str">
        <f t="shared" si="292"/>
        <v/>
      </c>
      <c r="BL778" s="498" t="str">
        <f t="shared" si="293"/>
        <v/>
      </c>
    </row>
    <row r="779" spans="1:64" x14ac:dyDescent="0.25">
      <c r="A779" s="762">
        <f t="shared" si="294"/>
        <v>774</v>
      </c>
      <c r="B779" s="229"/>
      <c r="C779" s="223"/>
      <c r="D779" s="224"/>
      <c r="E779" s="225"/>
      <c r="F779" s="1036" t="str">
        <f t="shared" si="278"/>
        <v/>
      </c>
      <c r="G779" s="1037" t="str">
        <f t="shared" si="295"/>
        <v/>
      </c>
      <c r="H779" s="225"/>
      <c r="I779" s="1013"/>
      <c r="J779" s="1013"/>
      <c r="K779" s="1028"/>
      <c r="L779" s="1035" t="str">
        <f t="shared" si="299"/>
        <v/>
      </c>
      <c r="S779" s="498"/>
      <c r="AJ779" s="498"/>
      <c r="AM779" s="498">
        <f t="shared" si="280"/>
        <v>0</v>
      </c>
      <c r="AN779" s="498">
        <f t="shared" si="281"/>
        <v>0</v>
      </c>
      <c r="AO779" s="498">
        <f t="shared" si="282"/>
        <v>0</v>
      </c>
      <c r="AP779" s="498">
        <f t="shared" si="279"/>
        <v>0</v>
      </c>
      <c r="AQ779" s="498">
        <f t="shared" si="296"/>
        <v>0</v>
      </c>
      <c r="AU779" s="498">
        <f t="shared" si="283"/>
        <v>0</v>
      </c>
      <c r="AV779" s="498">
        <f t="shared" si="284"/>
        <v>0</v>
      </c>
      <c r="AW779" s="498">
        <f t="shared" si="285"/>
        <v>0</v>
      </c>
      <c r="AX779" s="498">
        <f t="shared" si="286"/>
        <v>0</v>
      </c>
      <c r="AY779" s="498">
        <f t="shared" si="287"/>
        <v>0</v>
      </c>
      <c r="BB779" s="498" t="str">
        <f t="shared" si="288"/>
        <v/>
      </c>
      <c r="BC779" s="743" t="str">
        <f t="shared" si="289"/>
        <v/>
      </c>
      <c r="BD779" s="743" t="str">
        <f t="shared" si="290"/>
        <v/>
      </c>
      <c r="BE779" s="743" t="str">
        <f>IF(D779="","",VLOOKUP(D779,'General Basis'!$J$39:$K$46,2,0))</f>
        <v/>
      </c>
      <c r="BF779" s="744" t="str">
        <f>IF(D779="","",VLOOKUP(D779,'General Basis'!$J$39:$L$46,3,0))</f>
        <v/>
      </c>
      <c r="BG779" s="744" t="str">
        <f t="shared" si="297"/>
        <v/>
      </c>
      <c r="BH779" s="744" t="str">
        <f>IF(G779="","",IF(BF779="Abu Dhabi",IF(G779&lt;18,'General Basis'!$C$39,IF(G779&lt;41,'General Basis'!$C$40,IF(G779&lt;60,'General Basis'!$C$41,IF(G779&lt;65,'General Basis'!$C$42,'General Basis'!$C$43)))),IF(G779&lt;11,'General Basis'!$B$39,IF(G779&lt;18,'General Basis'!$B$40,IF(G779&lt;26,'General Basis'!$B$41,IF(G779&lt;31,'General Basis'!$B$42,IF(G779&lt;36,'General Basis'!$B$43,IF(G779&lt;41,'General Basis'!$B$44,IF(G779&lt;46,'General Basis'!$B$45,IF(G779&lt;51,'General Basis'!$B$46,IF(G779&lt;56,'General Basis'!$B$47,IF(G779&lt;60,'General Basis'!$B$48,IF(G779&lt;65,'General Basis'!$B$49,'General Basis'!$B$50)))))))))))))</f>
        <v/>
      </c>
      <c r="BI779" s="744" t="str">
        <f t="shared" si="291"/>
        <v/>
      </c>
      <c r="BJ779" s="747" t="str">
        <f t="shared" si="298"/>
        <v/>
      </c>
      <c r="BK779" s="498" t="str">
        <f t="shared" si="292"/>
        <v/>
      </c>
      <c r="BL779" s="498" t="str">
        <f t="shared" si="293"/>
        <v/>
      </c>
    </row>
    <row r="780" spans="1:64" x14ac:dyDescent="0.25">
      <c r="A780" s="762">
        <f t="shared" si="294"/>
        <v>775</v>
      </c>
      <c r="B780" s="229"/>
      <c r="C780" s="223"/>
      <c r="D780" s="224"/>
      <c r="E780" s="225"/>
      <c r="F780" s="1036" t="str">
        <f t="shared" si="278"/>
        <v/>
      </c>
      <c r="G780" s="1037" t="str">
        <f t="shared" si="295"/>
        <v/>
      </c>
      <c r="H780" s="225"/>
      <c r="I780" s="1013"/>
      <c r="J780" s="1013"/>
      <c r="K780" s="1028"/>
      <c r="L780" s="1035" t="str">
        <f t="shared" si="299"/>
        <v/>
      </c>
      <c r="S780" s="498"/>
      <c r="AJ780" s="498"/>
      <c r="AM780" s="498">
        <f t="shared" si="280"/>
        <v>0</v>
      </c>
      <c r="AN780" s="498">
        <f t="shared" si="281"/>
        <v>0</v>
      </c>
      <c r="AO780" s="498">
        <f t="shared" si="282"/>
        <v>0</v>
      </c>
      <c r="AP780" s="498">
        <f t="shared" si="279"/>
        <v>0</v>
      </c>
      <c r="AQ780" s="498">
        <f t="shared" si="296"/>
        <v>0</v>
      </c>
      <c r="AU780" s="498">
        <f t="shared" si="283"/>
        <v>0</v>
      </c>
      <c r="AV780" s="498">
        <f t="shared" si="284"/>
        <v>0</v>
      </c>
      <c r="AW780" s="498">
        <f t="shared" si="285"/>
        <v>0</v>
      </c>
      <c r="AX780" s="498">
        <f t="shared" si="286"/>
        <v>0</v>
      </c>
      <c r="AY780" s="498">
        <f t="shared" si="287"/>
        <v>0</v>
      </c>
      <c r="BB780" s="498" t="str">
        <f t="shared" si="288"/>
        <v/>
      </c>
      <c r="BC780" s="743" t="str">
        <f t="shared" si="289"/>
        <v/>
      </c>
      <c r="BD780" s="743" t="str">
        <f t="shared" si="290"/>
        <v/>
      </c>
      <c r="BE780" s="743" t="str">
        <f>IF(D780="","",VLOOKUP(D780,'General Basis'!$J$39:$K$46,2,0))</f>
        <v/>
      </c>
      <c r="BF780" s="744" t="str">
        <f>IF(D780="","",VLOOKUP(D780,'General Basis'!$J$39:$L$46,3,0))</f>
        <v/>
      </c>
      <c r="BG780" s="744" t="str">
        <f t="shared" si="297"/>
        <v/>
      </c>
      <c r="BH780" s="744" t="str">
        <f>IF(G780="","",IF(BF780="Abu Dhabi",IF(G780&lt;18,'General Basis'!$C$39,IF(G780&lt;41,'General Basis'!$C$40,IF(G780&lt;60,'General Basis'!$C$41,IF(G780&lt;65,'General Basis'!$C$42,'General Basis'!$C$43)))),IF(G780&lt;11,'General Basis'!$B$39,IF(G780&lt;18,'General Basis'!$B$40,IF(G780&lt;26,'General Basis'!$B$41,IF(G780&lt;31,'General Basis'!$B$42,IF(G780&lt;36,'General Basis'!$B$43,IF(G780&lt;41,'General Basis'!$B$44,IF(G780&lt;46,'General Basis'!$B$45,IF(G780&lt;51,'General Basis'!$B$46,IF(G780&lt;56,'General Basis'!$B$47,IF(G780&lt;60,'General Basis'!$B$48,IF(G780&lt;65,'General Basis'!$B$49,'General Basis'!$B$50)))))))))))))</f>
        <v/>
      </c>
      <c r="BI780" s="744" t="str">
        <f t="shared" si="291"/>
        <v/>
      </c>
      <c r="BJ780" s="747" t="str">
        <f t="shared" si="298"/>
        <v/>
      </c>
      <c r="BK780" s="498" t="str">
        <f t="shared" si="292"/>
        <v/>
      </c>
      <c r="BL780" s="498" t="str">
        <f t="shared" si="293"/>
        <v/>
      </c>
    </row>
    <row r="781" spans="1:64" x14ac:dyDescent="0.25">
      <c r="A781" s="762">
        <f t="shared" si="294"/>
        <v>776</v>
      </c>
      <c r="B781" s="229"/>
      <c r="C781" s="223"/>
      <c r="D781" s="224"/>
      <c r="E781" s="225"/>
      <c r="F781" s="1036" t="str">
        <f t="shared" si="278"/>
        <v/>
      </c>
      <c r="G781" s="1037" t="str">
        <f t="shared" si="295"/>
        <v/>
      </c>
      <c r="H781" s="225"/>
      <c r="I781" s="1013"/>
      <c r="J781" s="1013"/>
      <c r="K781" s="1028"/>
      <c r="L781" s="1035" t="str">
        <f t="shared" si="299"/>
        <v/>
      </c>
      <c r="S781" s="498"/>
      <c r="AJ781" s="498"/>
      <c r="AM781" s="498">
        <f t="shared" si="280"/>
        <v>0</v>
      </c>
      <c r="AN781" s="498">
        <f t="shared" si="281"/>
        <v>0</v>
      </c>
      <c r="AO781" s="498">
        <f t="shared" si="282"/>
        <v>0</v>
      </c>
      <c r="AP781" s="498">
        <f t="shared" si="279"/>
        <v>0</v>
      </c>
      <c r="AQ781" s="498">
        <f t="shared" si="296"/>
        <v>0</v>
      </c>
      <c r="AU781" s="498">
        <f t="shared" si="283"/>
        <v>0</v>
      </c>
      <c r="AV781" s="498">
        <f t="shared" si="284"/>
        <v>0</v>
      </c>
      <c r="AW781" s="498">
        <f t="shared" si="285"/>
        <v>0</v>
      </c>
      <c r="AX781" s="498">
        <f t="shared" si="286"/>
        <v>0</v>
      </c>
      <c r="AY781" s="498">
        <f t="shared" si="287"/>
        <v>0</v>
      </c>
      <c r="BB781" s="498" t="str">
        <f t="shared" si="288"/>
        <v/>
      </c>
      <c r="BC781" s="743" t="str">
        <f t="shared" si="289"/>
        <v/>
      </c>
      <c r="BD781" s="743" t="str">
        <f t="shared" si="290"/>
        <v/>
      </c>
      <c r="BE781" s="743" t="str">
        <f>IF(D781="","",VLOOKUP(D781,'General Basis'!$J$39:$K$46,2,0))</f>
        <v/>
      </c>
      <c r="BF781" s="744" t="str">
        <f>IF(D781="","",VLOOKUP(D781,'General Basis'!$J$39:$L$46,3,0))</f>
        <v/>
      </c>
      <c r="BG781" s="744" t="str">
        <f t="shared" si="297"/>
        <v/>
      </c>
      <c r="BH781" s="744" t="str">
        <f>IF(G781="","",IF(BF781="Abu Dhabi",IF(G781&lt;18,'General Basis'!$C$39,IF(G781&lt;41,'General Basis'!$C$40,IF(G781&lt;60,'General Basis'!$C$41,IF(G781&lt;65,'General Basis'!$C$42,'General Basis'!$C$43)))),IF(G781&lt;11,'General Basis'!$B$39,IF(G781&lt;18,'General Basis'!$B$40,IF(G781&lt;26,'General Basis'!$B$41,IF(G781&lt;31,'General Basis'!$B$42,IF(G781&lt;36,'General Basis'!$B$43,IF(G781&lt;41,'General Basis'!$B$44,IF(G781&lt;46,'General Basis'!$B$45,IF(G781&lt;51,'General Basis'!$B$46,IF(G781&lt;56,'General Basis'!$B$47,IF(G781&lt;60,'General Basis'!$B$48,IF(G781&lt;65,'General Basis'!$B$49,'General Basis'!$B$50)))))))))))))</f>
        <v/>
      </c>
      <c r="BI781" s="744" t="str">
        <f t="shared" si="291"/>
        <v/>
      </c>
      <c r="BJ781" s="747" t="str">
        <f t="shared" si="298"/>
        <v/>
      </c>
      <c r="BK781" s="498" t="str">
        <f t="shared" si="292"/>
        <v/>
      </c>
      <c r="BL781" s="498" t="str">
        <f t="shared" si="293"/>
        <v/>
      </c>
    </row>
    <row r="782" spans="1:64" x14ac:dyDescent="0.25">
      <c r="A782" s="762">
        <f t="shared" si="294"/>
        <v>777</v>
      </c>
      <c r="B782" s="229"/>
      <c r="C782" s="223"/>
      <c r="D782" s="224"/>
      <c r="E782" s="225"/>
      <c r="F782" s="1036" t="str">
        <f t="shared" si="278"/>
        <v/>
      </c>
      <c r="G782" s="1037" t="str">
        <f t="shared" si="295"/>
        <v/>
      </c>
      <c r="H782" s="225"/>
      <c r="I782" s="1013"/>
      <c r="J782" s="1013"/>
      <c r="K782" s="1028"/>
      <c r="L782" s="1035" t="str">
        <f t="shared" si="299"/>
        <v/>
      </c>
      <c r="S782" s="498"/>
      <c r="AJ782" s="498"/>
      <c r="AM782" s="498">
        <f t="shared" si="280"/>
        <v>0</v>
      </c>
      <c r="AN782" s="498">
        <f t="shared" si="281"/>
        <v>0</v>
      </c>
      <c r="AO782" s="498">
        <f t="shared" si="282"/>
        <v>0</v>
      </c>
      <c r="AP782" s="498">
        <f t="shared" si="279"/>
        <v>0</v>
      </c>
      <c r="AQ782" s="498">
        <f t="shared" si="296"/>
        <v>0</v>
      </c>
      <c r="AU782" s="498">
        <f t="shared" si="283"/>
        <v>0</v>
      </c>
      <c r="AV782" s="498">
        <f t="shared" si="284"/>
        <v>0</v>
      </c>
      <c r="AW782" s="498">
        <f t="shared" si="285"/>
        <v>0</v>
      </c>
      <c r="AX782" s="498">
        <f t="shared" si="286"/>
        <v>0</v>
      </c>
      <c r="AY782" s="498">
        <f t="shared" si="287"/>
        <v>0</v>
      </c>
      <c r="BB782" s="498" t="str">
        <f t="shared" si="288"/>
        <v/>
      </c>
      <c r="BC782" s="743" t="str">
        <f t="shared" si="289"/>
        <v/>
      </c>
      <c r="BD782" s="743" t="str">
        <f t="shared" si="290"/>
        <v/>
      </c>
      <c r="BE782" s="743" t="str">
        <f>IF(D782="","",VLOOKUP(D782,'General Basis'!$J$39:$K$46,2,0))</f>
        <v/>
      </c>
      <c r="BF782" s="744" t="str">
        <f>IF(D782="","",VLOOKUP(D782,'General Basis'!$J$39:$L$46,3,0))</f>
        <v/>
      </c>
      <c r="BG782" s="744" t="str">
        <f t="shared" si="297"/>
        <v/>
      </c>
      <c r="BH782" s="744" t="str">
        <f>IF(G782="","",IF(BF782="Abu Dhabi",IF(G782&lt;18,'General Basis'!$C$39,IF(G782&lt;41,'General Basis'!$C$40,IF(G782&lt;60,'General Basis'!$C$41,IF(G782&lt;65,'General Basis'!$C$42,'General Basis'!$C$43)))),IF(G782&lt;11,'General Basis'!$B$39,IF(G782&lt;18,'General Basis'!$B$40,IF(G782&lt;26,'General Basis'!$B$41,IF(G782&lt;31,'General Basis'!$B$42,IF(G782&lt;36,'General Basis'!$B$43,IF(G782&lt;41,'General Basis'!$B$44,IF(G782&lt;46,'General Basis'!$B$45,IF(G782&lt;51,'General Basis'!$B$46,IF(G782&lt;56,'General Basis'!$B$47,IF(G782&lt;60,'General Basis'!$B$48,IF(G782&lt;65,'General Basis'!$B$49,'General Basis'!$B$50)))))))))))))</f>
        <v/>
      </c>
      <c r="BI782" s="744" t="str">
        <f t="shared" si="291"/>
        <v/>
      </c>
      <c r="BJ782" s="747" t="str">
        <f t="shared" si="298"/>
        <v/>
      </c>
      <c r="BK782" s="498" t="str">
        <f t="shared" si="292"/>
        <v/>
      </c>
      <c r="BL782" s="498" t="str">
        <f t="shared" si="293"/>
        <v/>
      </c>
    </row>
    <row r="783" spans="1:64" x14ac:dyDescent="0.25">
      <c r="A783" s="762">
        <f t="shared" si="294"/>
        <v>778</v>
      </c>
      <c r="B783" s="229"/>
      <c r="C783" s="223"/>
      <c r="D783" s="224"/>
      <c r="E783" s="225"/>
      <c r="F783" s="1036" t="str">
        <f t="shared" si="278"/>
        <v/>
      </c>
      <c r="G783" s="1037" t="str">
        <f t="shared" si="295"/>
        <v/>
      </c>
      <c r="H783" s="225"/>
      <c r="I783" s="1013"/>
      <c r="J783" s="1013"/>
      <c r="K783" s="1028"/>
      <c r="L783" s="1035" t="str">
        <f t="shared" si="299"/>
        <v/>
      </c>
      <c r="S783" s="498"/>
      <c r="AJ783" s="498"/>
      <c r="AM783" s="498">
        <f t="shared" si="280"/>
        <v>0</v>
      </c>
      <c r="AN783" s="498">
        <f t="shared" si="281"/>
        <v>0</v>
      </c>
      <c r="AO783" s="498">
        <f t="shared" si="282"/>
        <v>0</v>
      </c>
      <c r="AP783" s="498">
        <f t="shared" si="279"/>
        <v>0</v>
      </c>
      <c r="AQ783" s="498">
        <f t="shared" si="296"/>
        <v>0</v>
      </c>
      <c r="AU783" s="498">
        <f t="shared" si="283"/>
        <v>0</v>
      </c>
      <c r="AV783" s="498">
        <f t="shared" si="284"/>
        <v>0</v>
      </c>
      <c r="AW783" s="498">
        <f t="shared" si="285"/>
        <v>0</v>
      </c>
      <c r="AX783" s="498">
        <f t="shared" si="286"/>
        <v>0</v>
      </c>
      <c r="AY783" s="498">
        <f t="shared" si="287"/>
        <v>0</v>
      </c>
      <c r="BB783" s="498" t="str">
        <f t="shared" si="288"/>
        <v/>
      </c>
      <c r="BC783" s="743" t="str">
        <f t="shared" si="289"/>
        <v/>
      </c>
      <c r="BD783" s="743" t="str">
        <f t="shared" si="290"/>
        <v/>
      </c>
      <c r="BE783" s="743" t="str">
        <f>IF(D783="","",VLOOKUP(D783,'General Basis'!$J$39:$K$46,2,0))</f>
        <v/>
      </c>
      <c r="BF783" s="744" t="str">
        <f>IF(D783="","",VLOOKUP(D783,'General Basis'!$J$39:$L$46,3,0))</f>
        <v/>
      </c>
      <c r="BG783" s="744" t="str">
        <f t="shared" si="297"/>
        <v/>
      </c>
      <c r="BH783" s="744" t="str">
        <f>IF(G783="","",IF(BF783="Abu Dhabi",IF(G783&lt;18,'General Basis'!$C$39,IF(G783&lt;41,'General Basis'!$C$40,IF(G783&lt;60,'General Basis'!$C$41,IF(G783&lt;65,'General Basis'!$C$42,'General Basis'!$C$43)))),IF(G783&lt;11,'General Basis'!$B$39,IF(G783&lt;18,'General Basis'!$B$40,IF(G783&lt;26,'General Basis'!$B$41,IF(G783&lt;31,'General Basis'!$B$42,IF(G783&lt;36,'General Basis'!$B$43,IF(G783&lt;41,'General Basis'!$B$44,IF(G783&lt;46,'General Basis'!$B$45,IF(G783&lt;51,'General Basis'!$B$46,IF(G783&lt;56,'General Basis'!$B$47,IF(G783&lt;60,'General Basis'!$B$48,IF(G783&lt;65,'General Basis'!$B$49,'General Basis'!$B$50)))))))))))))</f>
        <v/>
      </c>
      <c r="BI783" s="744" t="str">
        <f t="shared" si="291"/>
        <v/>
      </c>
      <c r="BJ783" s="747" t="str">
        <f t="shared" si="298"/>
        <v/>
      </c>
      <c r="BK783" s="498" t="str">
        <f t="shared" si="292"/>
        <v/>
      </c>
      <c r="BL783" s="498" t="str">
        <f t="shared" si="293"/>
        <v/>
      </c>
    </row>
    <row r="784" spans="1:64" x14ac:dyDescent="0.25">
      <c r="A784" s="762">
        <f t="shared" si="294"/>
        <v>779</v>
      </c>
      <c r="B784" s="229"/>
      <c r="C784" s="223"/>
      <c r="D784" s="224"/>
      <c r="E784" s="225"/>
      <c r="F784" s="1036" t="str">
        <f t="shared" ref="F784:F847" si="300">IF(C784="","",IF($B784="","",((YEAR($F$3)-YEAR($B784))+(MONTH($F$3)-MONTH($B784))/12+(DAY($F$3)-DAY($B784))/(DATE(YEAR($F$3),12,31)-DATE(YEAR($F$3),1,1)+1))))</f>
        <v/>
      </c>
      <c r="G784" s="1037" t="str">
        <f t="shared" si="295"/>
        <v/>
      </c>
      <c r="H784" s="225"/>
      <c r="I784" s="1013"/>
      <c r="J784" s="1013"/>
      <c r="K784" s="1028"/>
      <c r="L784" s="1035" t="str">
        <f t="shared" si="299"/>
        <v/>
      </c>
      <c r="S784" s="498"/>
      <c r="AJ784" s="498"/>
      <c r="AM784" s="498">
        <f t="shared" si="280"/>
        <v>0</v>
      </c>
      <c r="AN784" s="498">
        <f t="shared" si="281"/>
        <v>0</v>
      </c>
      <c r="AO784" s="498">
        <f t="shared" si="282"/>
        <v>0</v>
      </c>
      <c r="AP784" s="498">
        <f t="shared" si="279"/>
        <v>0</v>
      </c>
      <c r="AQ784" s="498">
        <f t="shared" si="296"/>
        <v>0</v>
      </c>
      <c r="AU784" s="498">
        <f t="shared" si="283"/>
        <v>0</v>
      </c>
      <c r="AV784" s="498">
        <f t="shared" si="284"/>
        <v>0</v>
      </c>
      <c r="AW784" s="498">
        <f t="shared" si="285"/>
        <v>0</v>
      </c>
      <c r="AX784" s="498">
        <f t="shared" si="286"/>
        <v>0</v>
      </c>
      <c r="AY784" s="498">
        <f t="shared" si="287"/>
        <v>0</v>
      </c>
      <c r="BB784" s="498" t="str">
        <f t="shared" si="288"/>
        <v/>
      </c>
      <c r="BC784" s="743" t="str">
        <f t="shared" si="289"/>
        <v/>
      </c>
      <c r="BD784" s="743" t="str">
        <f t="shared" si="290"/>
        <v/>
      </c>
      <c r="BE784" s="743" t="str">
        <f>IF(D784="","",VLOOKUP(D784,'General Basis'!$J$39:$K$46,2,0))</f>
        <v/>
      </c>
      <c r="BF784" s="744" t="str">
        <f>IF(D784="","",VLOOKUP(D784,'General Basis'!$J$39:$L$46,3,0))</f>
        <v/>
      </c>
      <c r="BG784" s="744" t="str">
        <f t="shared" si="297"/>
        <v/>
      </c>
      <c r="BH784" s="744" t="str">
        <f>IF(G784="","",IF(BF784="Abu Dhabi",IF(G784&lt;18,'General Basis'!$C$39,IF(G784&lt;41,'General Basis'!$C$40,IF(G784&lt;60,'General Basis'!$C$41,IF(G784&lt;65,'General Basis'!$C$42,'General Basis'!$C$43)))),IF(G784&lt;11,'General Basis'!$B$39,IF(G784&lt;18,'General Basis'!$B$40,IF(G784&lt;26,'General Basis'!$B$41,IF(G784&lt;31,'General Basis'!$B$42,IF(G784&lt;36,'General Basis'!$B$43,IF(G784&lt;41,'General Basis'!$B$44,IF(G784&lt;46,'General Basis'!$B$45,IF(G784&lt;51,'General Basis'!$B$46,IF(G784&lt;56,'General Basis'!$B$47,IF(G784&lt;60,'General Basis'!$B$48,IF(G784&lt;65,'General Basis'!$B$49,'General Basis'!$B$50)))))))))))))</f>
        <v/>
      </c>
      <c r="BI784" s="744" t="str">
        <f t="shared" si="291"/>
        <v/>
      </c>
      <c r="BJ784" s="747" t="str">
        <f t="shared" si="298"/>
        <v/>
      </c>
      <c r="BK784" s="498" t="str">
        <f t="shared" si="292"/>
        <v/>
      </c>
      <c r="BL784" s="498" t="str">
        <f t="shared" si="293"/>
        <v/>
      </c>
    </row>
    <row r="785" spans="1:64" x14ac:dyDescent="0.25">
      <c r="A785" s="762">
        <f t="shared" si="294"/>
        <v>780</v>
      </c>
      <c r="B785" s="229"/>
      <c r="C785" s="223"/>
      <c r="D785" s="224"/>
      <c r="E785" s="225"/>
      <c r="F785" s="1036" t="str">
        <f t="shared" si="300"/>
        <v/>
      </c>
      <c r="G785" s="1037" t="str">
        <f t="shared" si="295"/>
        <v/>
      </c>
      <c r="H785" s="225"/>
      <c r="I785" s="1013"/>
      <c r="J785" s="1013"/>
      <c r="K785" s="1028"/>
      <c r="L785" s="1035" t="str">
        <f t="shared" si="299"/>
        <v/>
      </c>
      <c r="S785" s="498"/>
      <c r="AJ785" s="498"/>
      <c r="AM785" s="498">
        <f t="shared" si="280"/>
        <v>0</v>
      </c>
      <c r="AN785" s="498">
        <f t="shared" si="281"/>
        <v>0</v>
      </c>
      <c r="AO785" s="498">
        <f t="shared" si="282"/>
        <v>0</v>
      </c>
      <c r="AP785" s="498">
        <f t="shared" si="279"/>
        <v>0</v>
      </c>
      <c r="AQ785" s="498">
        <f t="shared" si="296"/>
        <v>0</v>
      </c>
      <c r="AU785" s="498">
        <f t="shared" si="283"/>
        <v>0</v>
      </c>
      <c r="AV785" s="498">
        <f t="shared" si="284"/>
        <v>0</v>
      </c>
      <c r="AW785" s="498">
        <f t="shared" si="285"/>
        <v>0</v>
      </c>
      <c r="AX785" s="498">
        <f t="shared" si="286"/>
        <v>0</v>
      </c>
      <c r="AY785" s="498">
        <f t="shared" si="287"/>
        <v>0</v>
      </c>
      <c r="BB785" s="498" t="str">
        <f t="shared" si="288"/>
        <v/>
      </c>
      <c r="BC785" s="743" t="str">
        <f t="shared" si="289"/>
        <v/>
      </c>
      <c r="BD785" s="743" t="str">
        <f t="shared" si="290"/>
        <v/>
      </c>
      <c r="BE785" s="743" t="str">
        <f>IF(D785="","",VLOOKUP(D785,'General Basis'!$J$39:$K$46,2,0))</f>
        <v/>
      </c>
      <c r="BF785" s="744" t="str">
        <f>IF(D785="","",VLOOKUP(D785,'General Basis'!$J$39:$L$46,3,0))</f>
        <v/>
      </c>
      <c r="BG785" s="744" t="str">
        <f t="shared" si="297"/>
        <v/>
      </c>
      <c r="BH785" s="744" t="str">
        <f>IF(G785="","",IF(BF785="Abu Dhabi",IF(G785&lt;18,'General Basis'!$C$39,IF(G785&lt;41,'General Basis'!$C$40,IF(G785&lt;60,'General Basis'!$C$41,IF(G785&lt;65,'General Basis'!$C$42,'General Basis'!$C$43)))),IF(G785&lt;11,'General Basis'!$B$39,IF(G785&lt;18,'General Basis'!$B$40,IF(G785&lt;26,'General Basis'!$B$41,IF(G785&lt;31,'General Basis'!$B$42,IF(G785&lt;36,'General Basis'!$B$43,IF(G785&lt;41,'General Basis'!$B$44,IF(G785&lt;46,'General Basis'!$B$45,IF(G785&lt;51,'General Basis'!$B$46,IF(G785&lt;56,'General Basis'!$B$47,IF(G785&lt;60,'General Basis'!$B$48,IF(G785&lt;65,'General Basis'!$B$49,'General Basis'!$B$50)))))))))))))</f>
        <v/>
      </c>
      <c r="BI785" s="744" t="str">
        <f t="shared" si="291"/>
        <v/>
      </c>
      <c r="BJ785" s="747" t="str">
        <f t="shared" si="298"/>
        <v/>
      </c>
      <c r="BK785" s="498" t="str">
        <f t="shared" si="292"/>
        <v/>
      </c>
      <c r="BL785" s="498" t="str">
        <f t="shared" si="293"/>
        <v/>
      </c>
    </row>
    <row r="786" spans="1:64" x14ac:dyDescent="0.25">
      <c r="A786" s="762">
        <f t="shared" si="294"/>
        <v>781</v>
      </c>
      <c r="B786" s="229"/>
      <c r="C786" s="223"/>
      <c r="D786" s="224"/>
      <c r="E786" s="225"/>
      <c r="F786" s="1036" t="str">
        <f t="shared" si="300"/>
        <v/>
      </c>
      <c r="G786" s="1037" t="str">
        <f t="shared" si="295"/>
        <v/>
      </c>
      <c r="H786" s="225"/>
      <c r="I786" s="1013"/>
      <c r="J786" s="1013"/>
      <c r="K786" s="1028"/>
      <c r="L786" s="1035" t="str">
        <f t="shared" si="299"/>
        <v/>
      </c>
      <c r="S786" s="498"/>
      <c r="AJ786" s="498"/>
      <c r="AM786" s="498">
        <f t="shared" si="280"/>
        <v>0</v>
      </c>
      <c r="AN786" s="498">
        <f t="shared" si="281"/>
        <v>0</v>
      </c>
      <c r="AO786" s="498">
        <f t="shared" si="282"/>
        <v>0</v>
      </c>
      <c r="AP786" s="498">
        <f t="shared" si="279"/>
        <v>0</v>
      </c>
      <c r="AQ786" s="498">
        <f t="shared" si="296"/>
        <v>0</v>
      </c>
      <c r="AU786" s="498">
        <f t="shared" si="283"/>
        <v>0</v>
      </c>
      <c r="AV786" s="498">
        <f t="shared" si="284"/>
        <v>0</v>
      </c>
      <c r="AW786" s="498">
        <f t="shared" si="285"/>
        <v>0</v>
      </c>
      <c r="AX786" s="498">
        <f t="shared" si="286"/>
        <v>0</v>
      </c>
      <c r="AY786" s="498">
        <f t="shared" si="287"/>
        <v>0</v>
      </c>
      <c r="BB786" s="498" t="str">
        <f t="shared" si="288"/>
        <v/>
      </c>
      <c r="BC786" s="743" t="str">
        <f t="shared" si="289"/>
        <v/>
      </c>
      <c r="BD786" s="743" t="str">
        <f t="shared" si="290"/>
        <v/>
      </c>
      <c r="BE786" s="743" t="str">
        <f>IF(D786="","",VLOOKUP(D786,'General Basis'!$J$39:$K$46,2,0))</f>
        <v/>
      </c>
      <c r="BF786" s="744" t="str">
        <f>IF(D786="","",VLOOKUP(D786,'General Basis'!$J$39:$L$46,3,0))</f>
        <v/>
      </c>
      <c r="BG786" s="744" t="str">
        <f t="shared" si="297"/>
        <v/>
      </c>
      <c r="BH786" s="744" t="str">
        <f>IF(G786="","",IF(BF786="Abu Dhabi",IF(G786&lt;18,'General Basis'!$C$39,IF(G786&lt;41,'General Basis'!$C$40,IF(G786&lt;60,'General Basis'!$C$41,IF(G786&lt;65,'General Basis'!$C$42,'General Basis'!$C$43)))),IF(G786&lt;11,'General Basis'!$B$39,IF(G786&lt;18,'General Basis'!$B$40,IF(G786&lt;26,'General Basis'!$B$41,IF(G786&lt;31,'General Basis'!$B$42,IF(G786&lt;36,'General Basis'!$B$43,IF(G786&lt;41,'General Basis'!$B$44,IF(G786&lt;46,'General Basis'!$B$45,IF(G786&lt;51,'General Basis'!$B$46,IF(G786&lt;56,'General Basis'!$B$47,IF(G786&lt;60,'General Basis'!$B$48,IF(G786&lt;65,'General Basis'!$B$49,'General Basis'!$B$50)))))))))))))</f>
        <v/>
      </c>
      <c r="BI786" s="744" t="str">
        <f t="shared" si="291"/>
        <v/>
      </c>
      <c r="BJ786" s="747" t="str">
        <f t="shared" si="298"/>
        <v/>
      </c>
      <c r="BK786" s="498" t="str">
        <f t="shared" si="292"/>
        <v/>
      </c>
      <c r="BL786" s="498" t="str">
        <f t="shared" si="293"/>
        <v/>
      </c>
    </row>
    <row r="787" spans="1:64" x14ac:dyDescent="0.25">
      <c r="A787" s="762">
        <f t="shared" si="294"/>
        <v>782</v>
      </c>
      <c r="B787" s="229"/>
      <c r="C787" s="223"/>
      <c r="D787" s="224"/>
      <c r="E787" s="225"/>
      <c r="F787" s="1036" t="str">
        <f t="shared" si="300"/>
        <v/>
      </c>
      <c r="G787" s="1037" t="str">
        <f t="shared" si="295"/>
        <v/>
      </c>
      <c r="H787" s="225"/>
      <c r="I787" s="1013"/>
      <c r="J787" s="1013"/>
      <c r="K787" s="1028"/>
      <c r="L787" s="1035" t="str">
        <f t="shared" si="299"/>
        <v/>
      </c>
      <c r="S787" s="498"/>
      <c r="AJ787" s="498"/>
      <c r="AM787" s="498">
        <f t="shared" si="280"/>
        <v>0</v>
      </c>
      <c r="AN787" s="498">
        <f t="shared" si="281"/>
        <v>0</v>
      </c>
      <c r="AO787" s="498">
        <f t="shared" si="282"/>
        <v>0</v>
      </c>
      <c r="AP787" s="498">
        <f t="shared" ref="AP787:AP850" si="301">IF(ISBLANK($B787),0,IF(OR($C787="M",$C787="F"),0,1))</f>
        <v>0</v>
      </c>
      <c r="AQ787" s="498">
        <f t="shared" si="296"/>
        <v>0</v>
      </c>
      <c r="AU787" s="498">
        <f t="shared" si="283"/>
        <v>0</v>
      </c>
      <c r="AV787" s="498">
        <f t="shared" si="284"/>
        <v>0</v>
      </c>
      <c r="AW787" s="498">
        <f t="shared" si="285"/>
        <v>0</v>
      </c>
      <c r="AX787" s="498">
        <f t="shared" si="286"/>
        <v>0</v>
      </c>
      <c r="AY787" s="498">
        <f t="shared" si="287"/>
        <v>0</v>
      </c>
      <c r="BB787" s="498" t="str">
        <f t="shared" si="288"/>
        <v/>
      </c>
      <c r="BC787" s="743" t="str">
        <f t="shared" si="289"/>
        <v/>
      </c>
      <c r="BD787" s="743" t="str">
        <f t="shared" si="290"/>
        <v/>
      </c>
      <c r="BE787" s="743" t="str">
        <f>IF(D787="","",VLOOKUP(D787,'General Basis'!$J$39:$K$46,2,0))</f>
        <v/>
      </c>
      <c r="BF787" s="744" t="str">
        <f>IF(D787="","",VLOOKUP(D787,'General Basis'!$J$39:$L$46,3,0))</f>
        <v/>
      </c>
      <c r="BG787" s="744" t="str">
        <f t="shared" si="297"/>
        <v/>
      </c>
      <c r="BH787" s="744" t="str">
        <f>IF(G787="","",IF(BF787="Abu Dhabi",IF(G787&lt;18,'General Basis'!$C$39,IF(G787&lt;41,'General Basis'!$C$40,IF(G787&lt;60,'General Basis'!$C$41,IF(G787&lt;65,'General Basis'!$C$42,'General Basis'!$C$43)))),IF(G787&lt;11,'General Basis'!$B$39,IF(G787&lt;18,'General Basis'!$B$40,IF(G787&lt;26,'General Basis'!$B$41,IF(G787&lt;31,'General Basis'!$B$42,IF(G787&lt;36,'General Basis'!$B$43,IF(G787&lt;41,'General Basis'!$B$44,IF(G787&lt;46,'General Basis'!$B$45,IF(G787&lt;51,'General Basis'!$B$46,IF(G787&lt;56,'General Basis'!$B$47,IF(G787&lt;60,'General Basis'!$B$48,IF(G787&lt;65,'General Basis'!$B$49,'General Basis'!$B$50)))))))))))))</f>
        <v/>
      </c>
      <c r="BI787" s="744" t="str">
        <f t="shared" si="291"/>
        <v/>
      </c>
      <c r="BJ787" s="747" t="str">
        <f t="shared" si="298"/>
        <v/>
      </c>
      <c r="BK787" s="498" t="str">
        <f t="shared" si="292"/>
        <v/>
      </c>
      <c r="BL787" s="498" t="str">
        <f t="shared" si="293"/>
        <v/>
      </c>
    </row>
    <row r="788" spans="1:64" x14ac:dyDescent="0.25">
      <c r="A788" s="762">
        <f t="shared" si="294"/>
        <v>783</v>
      </c>
      <c r="B788" s="229"/>
      <c r="C788" s="223"/>
      <c r="D788" s="224"/>
      <c r="E788" s="225"/>
      <c r="F788" s="1036" t="str">
        <f t="shared" si="300"/>
        <v/>
      </c>
      <c r="G788" s="1037" t="str">
        <f t="shared" si="295"/>
        <v/>
      </c>
      <c r="H788" s="225"/>
      <c r="I788" s="1013"/>
      <c r="J788" s="1013"/>
      <c r="K788" s="1028"/>
      <c r="L788" s="1035" t="str">
        <f t="shared" si="299"/>
        <v/>
      </c>
      <c r="S788" s="498"/>
      <c r="AJ788" s="498"/>
      <c r="AM788" s="498">
        <f t="shared" si="280"/>
        <v>0</v>
      </c>
      <c r="AN788" s="498">
        <f t="shared" si="281"/>
        <v>0</v>
      </c>
      <c r="AO788" s="498">
        <f t="shared" si="282"/>
        <v>0</v>
      </c>
      <c r="AP788" s="498">
        <f t="shared" si="301"/>
        <v>0</v>
      </c>
      <c r="AQ788" s="498">
        <f t="shared" si="296"/>
        <v>0</v>
      </c>
      <c r="AU788" s="498">
        <f t="shared" si="283"/>
        <v>0</v>
      </c>
      <c r="AV788" s="498">
        <f t="shared" si="284"/>
        <v>0</v>
      </c>
      <c r="AW788" s="498">
        <f t="shared" si="285"/>
        <v>0</v>
      </c>
      <c r="AX788" s="498">
        <f t="shared" si="286"/>
        <v>0</v>
      </c>
      <c r="AY788" s="498">
        <f t="shared" si="287"/>
        <v>0</v>
      </c>
      <c r="BB788" s="498" t="str">
        <f t="shared" si="288"/>
        <v/>
      </c>
      <c r="BC788" s="743" t="str">
        <f t="shared" si="289"/>
        <v/>
      </c>
      <c r="BD788" s="743" t="str">
        <f t="shared" si="290"/>
        <v/>
      </c>
      <c r="BE788" s="743" t="str">
        <f>IF(D788="","",VLOOKUP(D788,'General Basis'!$J$39:$K$46,2,0))</f>
        <v/>
      </c>
      <c r="BF788" s="744" t="str">
        <f>IF(D788="","",VLOOKUP(D788,'General Basis'!$J$39:$L$46,3,0))</f>
        <v/>
      </c>
      <c r="BG788" s="744" t="str">
        <f t="shared" si="297"/>
        <v/>
      </c>
      <c r="BH788" s="744" t="str">
        <f>IF(G788="","",IF(BF788="Abu Dhabi",IF(G788&lt;18,'General Basis'!$C$39,IF(G788&lt;41,'General Basis'!$C$40,IF(G788&lt;60,'General Basis'!$C$41,IF(G788&lt;65,'General Basis'!$C$42,'General Basis'!$C$43)))),IF(G788&lt;11,'General Basis'!$B$39,IF(G788&lt;18,'General Basis'!$B$40,IF(G788&lt;26,'General Basis'!$B$41,IF(G788&lt;31,'General Basis'!$B$42,IF(G788&lt;36,'General Basis'!$B$43,IF(G788&lt;41,'General Basis'!$B$44,IF(G788&lt;46,'General Basis'!$B$45,IF(G788&lt;51,'General Basis'!$B$46,IF(G788&lt;56,'General Basis'!$B$47,IF(G788&lt;60,'General Basis'!$B$48,IF(G788&lt;65,'General Basis'!$B$49,'General Basis'!$B$50)))))))))))))</f>
        <v/>
      </c>
      <c r="BI788" s="744" t="str">
        <f t="shared" si="291"/>
        <v/>
      </c>
      <c r="BJ788" s="747" t="str">
        <f t="shared" si="298"/>
        <v/>
      </c>
      <c r="BK788" s="498" t="str">
        <f t="shared" si="292"/>
        <v/>
      </c>
      <c r="BL788" s="498" t="str">
        <f t="shared" si="293"/>
        <v/>
      </c>
    </row>
    <row r="789" spans="1:64" x14ac:dyDescent="0.25">
      <c r="A789" s="762">
        <f t="shared" si="294"/>
        <v>784</v>
      </c>
      <c r="B789" s="229"/>
      <c r="C789" s="223"/>
      <c r="D789" s="224"/>
      <c r="E789" s="225"/>
      <c r="F789" s="1036" t="str">
        <f t="shared" si="300"/>
        <v/>
      </c>
      <c r="G789" s="1037" t="str">
        <f t="shared" si="295"/>
        <v/>
      </c>
      <c r="H789" s="225"/>
      <c r="I789" s="1013"/>
      <c r="J789" s="1013"/>
      <c r="K789" s="1028"/>
      <c r="L789" s="1035" t="str">
        <f t="shared" si="299"/>
        <v/>
      </c>
      <c r="S789" s="498"/>
      <c r="AJ789" s="498"/>
      <c r="AM789" s="498">
        <f t="shared" si="280"/>
        <v>0</v>
      </c>
      <c r="AN789" s="498">
        <f t="shared" si="281"/>
        <v>0</v>
      </c>
      <c r="AO789" s="498">
        <f t="shared" si="282"/>
        <v>0</v>
      </c>
      <c r="AP789" s="498">
        <f t="shared" si="301"/>
        <v>0</v>
      </c>
      <c r="AQ789" s="498">
        <f t="shared" si="296"/>
        <v>0</v>
      </c>
      <c r="AU789" s="498">
        <f t="shared" si="283"/>
        <v>0</v>
      </c>
      <c r="AV789" s="498">
        <f t="shared" si="284"/>
        <v>0</v>
      </c>
      <c r="AW789" s="498">
        <f t="shared" si="285"/>
        <v>0</v>
      </c>
      <c r="AX789" s="498">
        <f t="shared" si="286"/>
        <v>0</v>
      </c>
      <c r="AY789" s="498">
        <f t="shared" si="287"/>
        <v>0</v>
      </c>
      <c r="BB789" s="498" t="str">
        <f t="shared" si="288"/>
        <v/>
      </c>
      <c r="BC789" s="743" t="str">
        <f t="shared" si="289"/>
        <v/>
      </c>
      <c r="BD789" s="743" t="str">
        <f t="shared" si="290"/>
        <v/>
      </c>
      <c r="BE789" s="743" t="str">
        <f>IF(D789="","",VLOOKUP(D789,'General Basis'!$J$39:$K$46,2,0))</f>
        <v/>
      </c>
      <c r="BF789" s="744" t="str">
        <f>IF(D789="","",VLOOKUP(D789,'General Basis'!$J$39:$L$46,3,0))</f>
        <v/>
      </c>
      <c r="BG789" s="744" t="str">
        <f t="shared" si="297"/>
        <v/>
      </c>
      <c r="BH789" s="744" t="str">
        <f>IF(G789="","",IF(BF789="Abu Dhabi",IF(G789&lt;18,'General Basis'!$C$39,IF(G789&lt;41,'General Basis'!$C$40,IF(G789&lt;60,'General Basis'!$C$41,IF(G789&lt;65,'General Basis'!$C$42,'General Basis'!$C$43)))),IF(G789&lt;11,'General Basis'!$B$39,IF(G789&lt;18,'General Basis'!$B$40,IF(G789&lt;26,'General Basis'!$B$41,IF(G789&lt;31,'General Basis'!$B$42,IF(G789&lt;36,'General Basis'!$B$43,IF(G789&lt;41,'General Basis'!$B$44,IF(G789&lt;46,'General Basis'!$B$45,IF(G789&lt;51,'General Basis'!$B$46,IF(G789&lt;56,'General Basis'!$B$47,IF(G789&lt;60,'General Basis'!$B$48,IF(G789&lt;65,'General Basis'!$B$49,'General Basis'!$B$50)))))))))))))</f>
        <v/>
      </c>
      <c r="BI789" s="744" t="str">
        <f t="shared" si="291"/>
        <v/>
      </c>
      <c r="BJ789" s="747" t="str">
        <f t="shared" si="298"/>
        <v/>
      </c>
      <c r="BK789" s="498" t="str">
        <f t="shared" si="292"/>
        <v/>
      </c>
      <c r="BL789" s="498" t="str">
        <f t="shared" si="293"/>
        <v/>
      </c>
    </row>
    <row r="790" spans="1:64" x14ac:dyDescent="0.25">
      <c r="A790" s="762">
        <f t="shared" si="294"/>
        <v>785</v>
      </c>
      <c r="B790" s="229"/>
      <c r="C790" s="223"/>
      <c r="D790" s="224"/>
      <c r="E790" s="225"/>
      <c r="F790" s="1036" t="str">
        <f t="shared" si="300"/>
        <v/>
      </c>
      <c r="G790" s="1037" t="str">
        <f t="shared" si="295"/>
        <v/>
      </c>
      <c r="H790" s="225"/>
      <c r="I790" s="1013"/>
      <c r="J790" s="1013"/>
      <c r="K790" s="1028"/>
      <c r="L790" s="1035" t="str">
        <f t="shared" si="299"/>
        <v/>
      </c>
      <c r="S790" s="498"/>
      <c r="AJ790" s="498"/>
      <c r="AM790" s="498">
        <f t="shared" si="280"/>
        <v>0</v>
      </c>
      <c r="AN790" s="498">
        <f t="shared" si="281"/>
        <v>0</v>
      </c>
      <c r="AO790" s="498">
        <f t="shared" si="282"/>
        <v>0</v>
      </c>
      <c r="AP790" s="498">
        <f t="shared" si="301"/>
        <v>0</v>
      </c>
      <c r="AQ790" s="498">
        <f t="shared" si="296"/>
        <v>0</v>
      </c>
      <c r="AU790" s="498">
        <f t="shared" si="283"/>
        <v>0</v>
      </c>
      <c r="AV790" s="498">
        <f t="shared" si="284"/>
        <v>0</v>
      </c>
      <c r="AW790" s="498">
        <f t="shared" si="285"/>
        <v>0</v>
      </c>
      <c r="AX790" s="498">
        <f t="shared" si="286"/>
        <v>0</v>
      </c>
      <c r="AY790" s="498">
        <f t="shared" si="287"/>
        <v>0</v>
      </c>
      <c r="BB790" s="498" t="str">
        <f t="shared" si="288"/>
        <v/>
      </c>
      <c r="BC790" s="743" t="str">
        <f t="shared" si="289"/>
        <v/>
      </c>
      <c r="BD790" s="743" t="str">
        <f t="shared" si="290"/>
        <v/>
      </c>
      <c r="BE790" s="743" t="str">
        <f>IF(D790="","",VLOOKUP(D790,'General Basis'!$J$39:$K$46,2,0))</f>
        <v/>
      </c>
      <c r="BF790" s="744" t="str">
        <f>IF(D790="","",VLOOKUP(D790,'General Basis'!$J$39:$L$46,3,0))</f>
        <v/>
      </c>
      <c r="BG790" s="744" t="str">
        <f t="shared" si="297"/>
        <v/>
      </c>
      <c r="BH790" s="744" t="str">
        <f>IF(G790="","",IF(BF790="Abu Dhabi",IF(G790&lt;18,'General Basis'!$C$39,IF(G790&lt;41,'General Basis'!$C$40,IF(G790&lt;60,'General Basis'!$C$41,IF(G790&lt;65,'General Basis'!$C$42,'General Basis'!$C$43)))),IF(G790&lt;11,'General Basis'!$B$39,IF(G790&lt;18,'General Basis'!$B$40,IF(G790&lt;26,'General Basis'!$B$41,IF(G790&lt;31,'General Basis'!$B$42,IF(G790&lt;36,'General Basis'!$B$43,IF(G790&lt;41,'General Basis'!$B$44,IF(G790&lt;46,'General Basis'!$B$45,IF(G790&lt;51,'General Basis'!$B$46,IF(G790&lt;56,'General Basis'!$B$47,IF(G790&lt;60,'General Basis'!$B$48,IF(G790&lt;65,'General Basis'!$B$49,'General Basis'!$B$50)))))))))))))</f>
        <v/>
      </c>
      <c r="BI790" s="744" t="str">
        <f t="shared" si="291"/>
        <v/>
      </c>
      <c r="BJ790" s="747" t="str">
        <f t="shared" si="298"/>
        <v/>
      </c>
      <c r="BK790" s="498" t="str">
        <f t="shared" si="292"/>
        <v/>
      </c>
      <c r="BL790" s="498" t="str">
        <f t="shared" si="293"/>
        <v/>
      </c>
    </row>
    <row r="791" spans="1:64" x14ac:dyDescent="0.25">
      <c r="A791" s="762">
        <f t="shared" si="294"/>
        <v>786</v>
      </c>
      <c r="B791" s="229"/>
      <c r="C791" s="223"/>
      <c r="D791" s="224"/>
      <c r="E791" s="225"/>
      <c r="F791" s="1036" t="str">
        <f t="shared" si="300"/>
        <v/>
      </c>
      <c r="G791" s="1037" t="str">
        <f t="shared" si="295"/>
        <v/>
      </c>
      <c r="H791" s="225"/>
      <c r="I791" s="1013"/>
      <c r="J791" s="1013"/>
      <c r="K791" s="1028"/>
      <c r="L791" s="1035" t="str">
        <f t="shared" si="299"/>
        <v/>
      </c>
      <c r="S791" s="498"/>
      <c r="AJ791" s="498"/>
      <c r="AM791" s="498">
        <f t="shared" si="280"/>
        <v>0</v>
      </c>
      <c r="AN791" s="498">
        <f t="shared" si="281"/>
        <v>0</v>
      </c>
      <c r="AO791" s="498">
        <f t="shared" si="282"/>
        <v>0</v>
      </c>
      <c r="AP791" s="498">
        <f t="shared" si="301"/>
        <v>0</v>
      </c>
      <c r="AQ791" s="498">
        <f t="shared" si="296"/>
        <v>0</v>
      </c>
      <c r="AU791" s="498">
        <f t="shared" si="283"/>
        <v>0</v>
      </c>
      <c r="AV791" s="498">
        <f t="shared" si="284"/>
        <v>0</v>
      </c>
      <c r="AW791" s="498">
        <f t="shared" si="285"/>
        <v>0</v>
      </c>
      <c r="AX791" s="498">
        <f t="shared" si="286"/>
        <v>0</v>
      </c>
      <c r="AY791" s="498">
        <f t="shared" si="287"/>
        <v>0</v>
      </c>
      <c r="BB791" s="498" t="str">
        <f t="shared" si="288"/>
        <v/>
      </c>
      <c r="BC791" s="743" t="str">
        <f t="shared" si="289"/>
        <v/>
      </c>
      <c r="BD791" s="743" t="str">
        <f t="shared" si="290"/>
        <v/>
      </c>
      <c r="BE791" s="743" t="str">
        <f>IF(D791="","",VLOOKUP(D791,'General Basis'!$J$39:$K$46,2,0))</f>
        <v/>
      </c>
      <c r="BF791" s="744" t="str">
        <f>IF(D791="","",VLOOKUP(D791,'General Basis'!$J$39:$L$46,3,0))</f>
        <v/>
      </c>
      <c r="BG791" s="744" t="str">
        <f t="shared" si="297"/>
        <v/>
      </c>
      <c r="BH791" s="744" t="str">
        <f>IF(G791="","",IF(BF791="Abu Dhabi",IF(G791&lt;18,'General Basis'!$C$39,IF(G791&lt;41,'General Basis'!$C$40,IF(G791&lt;60,'General Basis'!$C$41,IF(G791&lt;65,'General Basis'!$C$42,'General Basis'!$C$43)))),IF(G791&lt;11,'General Basis'!$B$39,IF(G791&lt;18,'General Basis'!$B$40,IF(G791&lt;26,'General Basis'!$B$41,IF(G791&lt;31,'General Basis'!$B$42,IF(G791&lt;36,'General Basis'!$B$43,IF(G791&lt;41,'General Basis'!$B$44,IF(G791&lt;46,'General Basis'!$B$45,IF(G791&lt;51,'General Basis'!$B$46,IF(G791&lt;56,'General Basis'!$B$47,IF(G791&lt;60,'General Basis'!$B$48,IF(G791&lt;65,'General Basis'!$B$49,'General Basis'!$B$50)))))))))))))</f>
        <v/>
      </c>
      <c r="BI791" s="744" t="str">
        <f t="shared" si="291"/>
        <v/>
      </c>
      <c r="BJ791" s="747" t="str">
        <f t="shared" si="298"/>
        <v/>
      </c>
      <c r="BK791" s="498" t="str">
        <f t="shared" si="292"/>
        <v/>
      </c>
      <c r="BL791" s="498" t="str">
        <f t="shared" si="293"/>
        <v/>
      </c>
    </row>
    <row r="792" spans="1:64" x14ac:dyDescent="0.25">
      <c r="A792" s="762">
        <f t="shared" si="294"/>
        <v>787</v>
      </c>
      <c r="B792" s="229"/>
      <c r="C792" s="223"/>
      <c r="D792" s="224"/>
      <c r="E792" s="225"/>
      <c r="F792" s="1036" t="str">
        <f t="shared" si="300"/>
        <v/>
      </c>
      <c r="G792" s="1037" t="str">
        <f t="shared" si="295"/>
        <v/>
      </c>
      <c r="H792" s="225"/>
      <c r="I792" s="1013"/>
      <c r="J792" s="1013"/>
      <c r="K792" s="1028"/>
      <c r="L792" s="1035" t="str">
        <f t="shared" si="299"/>
        <v/>
      </c>
      <c r="S792" s="498"/>
      <c r="AJ792" s="498"/>
      <c r="AM792" s="498">
        <f t="shared" si="280"/>
        <v>0</v>
      </c>
      <c r="AN792" s="498">
        <f t="shared" si="281"/>
        <v>0</v>
      </c>
      <c r="AO792" s="498">
        <f t="shared" si="282"/>
        <v>0</v>
      </c>
      <c r="AP792" s="498">
        <f t="shared" si="301"/>
        <v>0</v>
      </c>
      <c r="AQ792" s="498">
        <f t="shared" si="296"/>
        <v>0</v>
      </c>
      <c r="AU792" s="498">
        <f t="shared" si="283"/>
        <v>0</v>
      </c>
      <c r="AV792" s="498">
        <f t="shared" si="284"/>
        <v>0</v>
      </c>
      <c r="AW792" s="498">
        <f t="shared" si="285"/>
        <v>0</v>
      </c>
      <c r="AX792" s="498">
        <f t="shared" si="286"/>
        <v>0</v>
      </c>
      <c r="AY792" s="498">
        <f t="shared" si="287"/>
        <v>0</v>
      </c>
      <c r="BB792" s="498" t="str">
        <f t="shared" si="288"/>
        <v/>
      </c>
      <c r="BC792" s="743" t="str">
        <f t="shared" si="289"/>
        <v/>
      </c>
      <c r="BD792" s="743" t="str">
        <f t="shared" si="290"/>
        <v/>
      </c>
      <c r="BE792" s="743" t="str">
        <f>IF(D792="","",VLOOKUP(D792,'General Basis'!$J$39:$K$46,2,0))</f>
        <v/>
      </c>
      <c r="BF792" s="744" t="str">
        <f>IF(D792="","",VLOOKUP(D792,'General Basis'!$J$39:$L$46,3,0))</f>
        <v/>
      </c>
      <c r="BG792" s="744" t="str">
        <f t="shared" si="297"/>
        <v/>
      </c>
      <c r="BH792" s="744" t="str">
        <f>IF(G792="","",IF(BF792="Abu Dhabi",IF(G792&lt;18,'General Basis'!$C$39,IF(G792&lt;41,'General Basis'!$C$40,IF(G792&lt;60,'General Basis'!$C$41,IF(G792&lt;65,'General Basis'!$C$42,'General Basis'!$C$43)))),IF(G792&lt;11,'General Basis'!$B$39,IF(G792&lt;18,'General Basis'!$B$40,IF(G792&lt;26,'General Basis'!$B$41,IF(G792&lt;31,'General Basis'!$B$42,IF(G792&lt;36,'General Basis'!$B$43,IF(G792&lt;41,'General Basis'!$B$44,IF(G792&lt;46,'General Basis'!$B$45,IF(G792&lt;51,'General Basis'!$B$46,IF(G792&lt;56,'General Basis'!$B$47,IF(G792&lt;60,'General Basis'!$B$48,IF(G792&lt;65,'General Basis'!$B$49,'General Basis'!$B$50)))))))))))))</f>
        <v/>
      </c>
      <c r="BI792" s="744" t="str">
        <f t="shared" si="291"/>
        <v/>
      </c>
      <c r="BJ792" s="747" t="str">
        <f t="shared" si="298"/>
        <v/>
      </c>
      <c r="BK792" s="498" t="str">
        <f t="shared" si="292"/>
        <v/>
      </c>
      <c r="BL792" s="498" t="str">
        <f t="shared" si="293"/>
        <v/>
      </c>
    </row>
    <row r="793" spans="1:64" x14ac:dyDescent="0.25">
      <c r="A793" s="762">
        <f t="shared" si="294"/>
        <v>788</v>
      </c>
      <c r="B793" s="229"/>
      <c r="C793" s="223"/>
      <c r="D793" s="224"/>
      <c r="E793" s="225"/>
      <c r="F793" s="1036" t="str">
        <f t="shared" si="300"/>
        <v/>
      </c>
      <c r="G793" s="1037" t="str">
        <f t="shared" si="295"/>
        <v/>
      </c>
      <c r="H793" s="225"/>
      <c r="I793" s="1013"/>
      <c r="J793" s="1013"/>
      <c r="K793" s="1028"/>
      <c r="L793" s="1035" t="str">
        <f t="shared" si="299"/>
        <v/>
      </c>
      <c r="S793" s="498"/>
      <c r="AJ793" s="498"/>
      <c r="AM793" s="498">
        <f t="shared" si="280"/>
        <v>0</v>
      </c>
      <c r="AN793" s="498">
        <f t="shared" si="281"/>
        <v>0</v>
      </c>
      <c r="AO793" s="498">
        <f t="shared" si="282"/>
        <v>0</v>
      </c>
      <c r="AP793" s="498">
        <f t="shared" si="301"/>
        <v>0</v>
      </c>
      <c r="AQ793" s="498">
        <f t="shared" si="296"/>
        <v>0</v>
      </c>
      <c r="AU793" s="498">
        <f t="shared" si="283"/>
        <v>0</v>
      </c>
      <c r="AV793" s="498">
        <f t="shared" si="284"/>
        <v>0</v>
      </c>
      <c r="AW793" s="498">
        <f t="shared" si="285"/>
        <v>0</v>
      </c>
      <c r="AX793" s="498">
        <f t="shared" si="286"/>
        <v>0</v>
      </c>
      <c r="AY793" s="498">
        <f t="shared" si="287"/>
        <v>0</v>
      </c>
      <c r="BB793" s="498" t="str">
        <f t="shared" si="288"/>
        <v/>
      </c>
      <c r="BC793" s="743" t="str">
        <f t="shared" si="289"/>
        <v/>
      </c>
      <c r="BD793" s="743" t="str">
        <f t="shared" si="290"/>
        <v/>
      </c>
      <c r="BE793" s="743" t="str">
        <f>IF(D793="","",VLOOKUP(D793,'General Basis'!$J$39:$K$46,2,0))</f>
        <v/>
      </c>
      <c r="BF793" s="744" t="str">
        <f>IF(D793="","",VLOOKUP(D793,'General Basis'!$J$39:$L$46,3,0))</f>
        <v/>
      </c>
      <c r="BG793" s="744" t="str">
        <f t="shared" si="297"/>
        <v/>
      </c>
      <c r="BH793" s="744" t="str">
        <f>IF(G793="","",IF(BF793="Abu Dhabi",IF(G793&lt;18,'General Basis'!$C$39,IF(G793&lt;41,'General Basis'!$C$40,IF(G793&lt;60,'General Basis'!$C$41,IF(G793&lt;65,'General Basis'!$C$42,'General Basis'!$C$43)))),IF(G793&lt;11,'General Basis'!$B$39,IF(G793&lt;18,'General Basis'!$B$40,IF(G793&lt;26,'General Basis'!$B$41,IF(G793&lt;31,'General Basis'!$B$42,IF(G793&lt;36,'General Basis'!$B$43,IF(G793&lt;41,'General Basis'!$B$44,IF(G793&lt;46,'General Basis'!$B$45,IF(G793&lt;51,'General Basis'!$B$46,IF(G793&lt;56,'General Basis'!$B$47,IF(G793&lt;60,'General Basis'!$B$48,IF(G793&lt;65,'General Basis'!$B$49,'General Basis'!$B$50)))))))))))))</f>
        <v/>
      </c>
      <c r="BI793" s="744" t="str">
        <f t="shared" si="291"/>
        <v/>
      </c>
      <c r="BJ793" s="747" t="str">
        <f t="shared" si="298"/>
        <v/>
      </c>
      <c r="BK793" s="498" t="str">
        <f t="shared" si="292"/>
        <v/>
      </c>
      <c r="BL793" s="498" t="str">
        <f t="shared" si="293"/>
        <v/>
      </c>
    </row>
    <row r="794" spans="1:64" x14ac:dyDescent="0.25">
      <c r="A794" s="762">
        <f t="shared" si="294"/>
        <v>789</v>
      </c>
      <c r="B794" s="229"/>
      <c r="C794" s="223"/>
      <c r="D794" s="224"/>
      <c r="E794" s="225"/>
      <c r="F794" s="1036" t="str">
        <f t="shared" si="300"/>
        <v/>
      </c>
      <c r="G794" s="1037" t="str">
        <f t="shared" si="295"/>
        <v/>
      </c>
      <c r="H794" s="225"/>
      <c r="I794" s="1013"/>
      <c r="J794" s="1013"/>
      <c r="K794" s="1028"/>
      <c r="L794" s="1035" t="str">
        <f t="shared" si="299"/>
        <v/>
      </c>
      <c r="S794" s="498"/>
      <c r="AJ794" s="498"/>
      <c r="AM794" s="498">
        <f t="shared" si="280"/>
        <v>0</v>
      </c>
      <c r="AN794" s="498">
        <f t="shared" si="281"/>
        <v>0</v>
      </c>
      <c r="AO794" s="498">
        <f t="shared" si="282"/>
        <v>0</v>
      </c>
      <c r="AP794" s="498">
        <f t="shared" si="301"/>
        <v>0</v>
      </c>
      <c r="AQ794" s="498">
        <f t="shared" si="296"/>
        <v>0</v>
      </c>
      <c r="AU794" s="498">
        <f t="shared" si="283"/>
        <v>0</v>
      </c>
      <c r="AV794" s="498">
        <f t="shared" si="284"/>
        <v>0</v>
      </c>
      <c r="AW794" s="498">
        <f t="shared" si="285"/>
        <v>0</v>
      </c>
      <c r="AX794" s="498">
        <f t="shared" si="286"/>
        <v>0</v>
      </c>
      <c r="AY794" s="498">
        <f t="shared" si="287"/>
        <v>0</v>
      </c>
      <c r="BB794" s="498" t="str">
        <f t="shared" si="288"/>
        <v/>
      </c>
      <c r="BC794" s="743" t="str">
        <f t="shared" si="289"/>
        <v/>
      </c>
      <c r="BD794" s="743" t="str">
        <f t="shared" si="290"/>
        <v/>
      </c>
      <c r="BE794" s="743" t="str">
        <f>IF(D794="","",VLOOKUP(D794,'General Basis'!$J$39:$K$46,2,0))</f>
        <v/>
      </c>
      <c r="BF794" s="744" t="str">
        <f>IF(D794="","",VLOOKUP(D794,'General Basis'!$J$39:$L$46,3,0))</f>
        <v/>
      </c>
      <c r="BG794" s="744" t="str">
        <f t="shared" si="297"/>
        <v/>
      </c>
      <c r="BH794" s="744" t="str">
        <f>IF(G794="","",IF(BF794="Abu Dhabi",IF(G794&lt;18,'General Basis'!$C$39,IF(G794&lt;41,'General Basis'!$C$40,IF(G794&lt;60,'General Basis'!$C$41,IF(G794&lt;65,'General Basis'!$C$42,'General Basis'!$C$43)))),IF(G794&lt;11,'General Basis'!$B$39,IF(G794&lt;18,'General Basis'!$B$40,IF(G794&lt;26,'General Basis'!$B$41,IF(G794&lt;31,'General Basis'!$B$42,IF(G794&lt;36,'General Basis'!$B$43,IF(G794&lt;41,'General Basis'!$B$44,IF(G794&lt;46,'General Basis'!$B$45,IF(G794&lt;51,'General Basis'!$B$46,IF(G794&lt;56,'General Basis'!$B$47,IF(G794&lt;60,'General Basis'!$B$48,IF(G794&lt;65,'General Basis'!$B$49,'General Basis'!$B$50)))))))))))))</f>
        <v/>
      </c>
      <c r="BI794" s="744" t="str">
        <f t="shared" si="291"/>
        <v/>
      </c>
      <c r="BJ794" s="747" t="str">
        <f t="shared" si="298"/>
        <v/>
      </c>
      <c r="BK794" s="498" t="str">
        <f t="shared" si="292"/>
        <v/>
      </c>
      <c r="BL794" s="498" t="str">
        <f t="shared" si="293"/>
        <v/>
      </c>
    </row>
    <row r="795" spans="1:64" x14ac:dyDescent="0.25">
      <c r="A795" s="762">
        <f t="shared" si="294"/>
        <v>790</v>
      </c>
      <c r="B795" s="229"/>
      <c r="C795" s="223"/>
      <c r="D795" s="224"/>
      <c r="E795" s="225"/>
      <c r="F795" s="1036" t="str">
        <f t="shared" si="300"/>
        <v/>
      </c>
      <c r="G795" s="1037" t="str">
        <f t="shared" si="295"/>
        <v/>
      </c>
      <c r="H795" s="225"/>
      <c r="I795" s="1013"/>
      <c r="J795" s="1013"/>
      <c r="K795" s="1028"/>
      <c r="L795" s="1035" t="str">
        <f t="shared" si="299"/>
        <v/>
      </c>
      <c r="S795" s="498"/>
      <c r="AJ795" s="498"/>
      <c r="AM795" s="498">
        <f t="shared" si="280"/>
        <v>0</v>
      </c>
      <c r="AN795" s="498">
        <f t="shared" si="281"/>
        <v>0</v>
      </c>
      <c r="AO795" s="498">
        <f t="shared" si="282"/>
        <v>0</v>
      </c>
      <c r="AP795" s="498">
        <f t="shared" si="301"/>
        <v>0</v>
      </c>
      <c r="AQ795" s="498">
        <f t="shared" si="296"/>
        <v>0</v>
      </c>
      <c r="AU795" s="498">
        <f t="shared" si="283"/>
        <v>0</v>
      </c>
      <c r="AV795" s="498">
        <f t="shared" si="284"/>
        <v>0</v>
      </c>
      <c r="AW795" s="498">
        <f t="shared" si="285"/>
        <v>0</v>
      </c>
      <c r="AX795" s="498">
        <f t="shared" si="286"/>
        <v>0</v>
      </c>
      <c r="AY795" s="498">
        <f t="shared" si="287"/>
        <v>0</v>
      </c>
      <c r="BB795" s="498" t="str">
        <f t="shared" si="288"/>
        <v/>
      </c>
      <c r="BC795" s="743" t="str">
        <f t="shared" si="289"/>
        <v/>
      </c>
      <c r="BD795" s="743" t="str">
        <f t="shared" si="290"/>
        <v/>
      </c>
      <c r="BE795" s="743" t="str">
        <f>IF(D795="","",VLOOKUP(D795,'General Basis'!$J$39:$K$46,2,0))</f>
        <v/>
      </c>
      <c r="BF795" s="744" t="str">
        <f>IF(D795="","",VLOOKUP(D795,'General Basis'!$J$39:$L$46,3,0))</f>
        <v/>
      </c>
      <c r="BG795" s="744" t="str">
        <f t="shared" si="297"/>
        <v/>
      </c>
      <c r="BH795" s="744" t="str">
        <f>IF(G795="","",IF(BF795="Abu Dhabi",IF(G795&lt;18,'General Basis'!$C$39,IF(G795&lt;41,'General Basis'!$C$40,IF(G795&lt;60,'General Basis'!$C$41,IF(G795&lt;65,'General Basis'!$C$42,'General Basis'!$C$43)))),IF(G795&lt;11,'General Basis'!$B$39,IF(G795&lt;18,'General Basis'!$B$40,IF(G795&lt;26,'General Basis'!$B$41,IF(G795&lt;31,'General Basis'!$B$42,IF(G795&lt;36,'General Basis'!$B$43,IF(G795&lt;41,'General Basis'!$B$44,IF(G795&lt;46,'General Basis'!$B$45,IF(G795&lt;51,'General Basis'!$B$46,IF(G795&lt;56,'General Basis'!$B$47,IF(G795&lt;60,'General Basis'!$B$48,IF(G795&lt;65,'General Basis'!$B$49,'General Basis'!$B$50)))))))))))))</f>
        <v/>
      </c>
      <c r="BI795" s="744" t="str">
        <f t="shared" si="291"/>
        <v/>
      </c>
      <c r="BJ795" s="747" t="str">
        <f t="shared" si="298"/>
        <v/>
      </c>
      <c r="BK795" s="498" t="str">
        <f t="shared" si="292"/>
        <v/>
      </c>
      <c r="BL795" s="498" t="str">
        <f t="shared" si="293"/>
        <v/>
      </c>
    </row>
    <row r="796" spans="1:64" x14ac:dyDescent="0.25">
      <c r="A796" s="762">
        <f t="shared" si="294"/>
        <v>791</v>
      </c>
      <c r="B796" s="229"/>
      <c r="C796" s="223"/>
      <c r="D796" s="224"/>
      <c r="E796" s="225"/>
      <c r="F796" s="1036" t="str">
        <f t="shared" si="300"/>
        <v/>
      </c>
      <c r="G796" s="1037" t="str">
        <f t="shared" si="295"/>
        <v/>
      </c>
      <c r="H796" s="225"/>
      <c r="I796" s="1013"/>
      <c r="J796" s="1013"/>
      <c r="K796" s="1028"/>
      <c r="L796" s="1035" t="str">
        <f t="shared" si="299"/>
        <v/>
      </c>
      <c r="S796" s="498"/>
      <c r="AJ796" s="498"/>
      <c r="AM796" s="498">
        <f t="shared" si="280"/>
        <v>0</v>
      </c>
      <c r="AN796" s="498">
        <f t="shared" si="281"/>
        <v>0</v>
      </c>
      <c r="AO796" s="498">
        <f t="shared" si="282"/>
        <v>0</v>
      </c>
      <c r="AP796" s="498">
        <f t="shared" si="301"/>
        <v>0</v>
      </c>
      <c r="AQ796" s="498">
        <f t="shared" si="296"/>
        <v>0</v>
      </c>
      <c r="AU796" s="498">
        <f t="shared" si="283"/>
        <v>0</v>
      </c>
      <c r="AV796" s="498">
        <f t="shared" si="284"/>
        <v>0</v>
      </c>
      <c r="AW796" s="498">
        <f t="shared" si="285"/>
        <v>0</v>
      </c>
      <c r="AX796" s="498">
        <f t="shared" si="286"/>
        <v>0</v>
      </c>
      <c r="AY796" s="498">
        <f t="shared" si="287"/>
        <v>0</v>
      </c>
      <c r="BB796" s="498" t="str">
        <f t="shared" si="288"/>
        <v/>
      </c>
      <c r="BC796" s="743" t="str">
        <f t="shared" si="289"/>
        <v/>
      </c>
      <c r="BD796" s="743" t="str">
        <f t="shared" si="290"/>
        <v/>
      </c>
      <c r="BE796" s="743" t="str">
        <f>IF(D796="","",VLOOKUP(D796,'General Basis'!$J$39:$K$46,2,0))</f>
        <v/>
      </c>
      <c r="BF796" s="744" t="str">
        <f>IF(D796="","",VLOOKUP(D796,'General Basis'!$J$39:$L$46,3,0))</f>
        <v/>
      </c>
      <c r="BG796" s="744" t="str">
        <f t="shared" si="297"/>
        <v/>
      </c>
      <c r="BH796" s="744" t="str">
        <f>IF(G796="","",IF(BF796="Abu Dhabi",IF(G796&lt;18,'General Basis'!$C$39,IF(G796&lt;41,'General Basis'!$C$40,IF(G796&lt;60,'General Basis'!$C$41,IF(G796&lt;65,'General Basis'!$C$42,'General Basis'!$C$43)))),IF(G796&lt;11,'General Basis'!$B$39,IF(G796&lt;18,'General Basis'!$B$40,IF(G796&lt;26,'General Basis'!$B$41,IF(G796&lt;31,'General Basis'!$B$42,IF(G796&lt;36,'General Basis'!$B$43,IF(G796&lt;41,'General Basis'!$B$44,IF(G796&lt;46,'General Basis'!$B$45,IF(G796&lt;51,'General Basis'!$B$46,IF(G796&lt;56,'General Basis'!$B$47,IF(G796&lt;60,'General Basis'!$B$48,IF(G796&lt;65,'General Basis'!$B$49,'General Basis'!$B$50)))))))))))))</f>
        <v/>
      </c>
      <c r="BI796" s="744" t="str">
        <f t="shared" si="291"/>
        <v/>
      </c>
      <c r="BJ796" s="747" t="str">
        <f t="shared" si="298"/>
        <v/>
      </c>
      <c r="BK796" s="498" t="str">
        <f t="shared" si="292"/>
        <v/>
      </c>
      <c r="BL796" s="498" t="str">
        <f t="shared" si="293"/>
        <v/>
      </c>
    </row>
    <row r="797" spans="1:64" x14ac:dyDescent="0.25">
      <c r="A797" s="762">
        <f t="shared" si="294"/>
        <v>792</v>
      </c>
      <c r="B797" s="229"/>
      <c r="C797" s="223"/>
      <c r="D797" s="224"/>
      <c r="E797" s="225"/>
      <c r="F797" s="1036" t="str">
        <f t="shared" si="300"/>
        <v/>
      </c>
      <c r="G797" s="1037" t="str">
        <f t="shared" si="295"/>
        <v/>
      </c>
      <c r="H797" s="225"/>
      <c r="I797" s="1013"/>
      <c r="J797" s="1013"/>
      <c r="K797" s="1028"/>
      <c r="L797" s="1035" t="str">
        <f t="shared" si="299"/>
        <v/>
      </c>
      <c r="S797" s="498"/>
      <c r="AJ797" s="498"/>
      <c r="AM797" s="498">
        <f t="shared" si="280"/>
        <v>0</v>
      </c>
      <c r="AN797" s="498">
        <f t="shared" si="281"/>
        <v>0</v>
      </c>
      <c r="AO797" s="498">
        <f t="shared" si="282"/>
        <v>0</v>
      </c>
      <c r="AP797" s="498">
        <f t="shared" si="301"/>
        <v>0</v>
      </c>
      <c r="AQ797" s="498">
        <f t="shared" si="296"/>
        <v>0</v>
      </c>
      <c r="AU797" s="498">
        <f t="shared" si="283"/>
        <v>0</v>
      </c>
      <c r="AV797" s="498">
        <f t="shared" si="284"/>
        <v>0</v>
      </c>
      <c r="AW797" s="498">
        <f t="shared" si="285"/>
        <v>0</v>
      </c>
      <c r="AX797" s="498">
        <f t="shared" si="286"/>
        <v>0</v>
      </c>
      <c r="AY797" s="498">
        <f t="shared" si="287"/>
        <v>0</v>
      </c>
      <c r="BB797" s="498" t="str">
        <f t="shared" si="288"/>
        <v/>
      </c>
      <c r="BC797" s="743" t="str">
        <f t="shared" si="289"/>
        <v/>
      </c>
      <c r="BD797" s="743" t="str">
        <f t="shared" si="290"/>
        <v/>
      </c>
      <c r="BE797" s="743" t="str">
        <f>IF(D797="","",VLOOKUP(D797,'General Basis'!$J$39:$K$46,2,0))</f>
        <v/>
      </c>
      <c r="BF797" s="744" t="str">
        <f>IF(D797="","",VLOOKUP(D797,'General Basis'!$J$39:$L$46,3,0))</f>
        <v/>
      </c>
      <c r="BG797" s="744" t="str">
        <f t="shared" si="297"/>
        <v/>
      </c>
      <c r="BH797" s="744" t="str">
        <f>IF(G797="","",IF(BF797="Abu Dhabi",IF(G797&lt;18,'General Basis'!$C$39,IF(G797&lt;41,'General Basis'!$C$40,IF(G797&lt;60,'General Basis'!$C$41,IF(G797&lt;65,'General Basis'!$C$42,'General Basis'!$C$43)))),IF(G797&lt;11,'General Basis'!$B$39,IF(G797&lt;18,'General Basis'!$B$40,IF(G797&lt;26,'General Basis'!$B$41,IF(G797&lt;31,'General Basis'!$B$42,IF(G797&lt;36,'General Basis'!$B$43,IF(G797&lt;41,'General Basis'!$B$44,IF(G797&lt;46,'General Basis'!$B$45,IF(G797&lt;51,'General Basis'!$B$46,IF(G797&lt;56,'General Basis'!$B$47,IF(G797&lt;60,'General Basis'!$B$48,IF(G797&lt;65,'General Basis'!$B$49,'General Basis'!$B$50)))))))))))))</f>
        <v/>
      </c>
      <c r="BI797" s="744" t="str">
        <f t="shared" si="291"/>
        <v/>
      </c>
      <c r="BJ797" s="747" t="str">
        <f t="shared" si="298"/>
        <v/>
      </c>
      <c r="BK797" s="498" t="str">
        <f t="shared" si="292"/>
        <v/>
      </c>
      <c r="BL797" s="498" t="str">
        <f t="shared" si="293"/>
        <v/>
      </c>
    </row>
    <row r="798" spans="1:64" x14ac:dyDescent="0.25">
      <c r="A798" s="762">
        <f t="shared" si="294"/>
        <v>793</v>
      </c>
      <c r="B798" s="229"/>
      <c r="C798" s="223"/>
      <c r="D798" s="224"/>
      <c r="E798" s="225"/>
      <c r="F798" s="1036" t="str">
        <f t="shared" si="300"/>
        <v/>
      </c>
      <c r="G798" s="1037" t="str">
        <f t="shared" si="295"/>
        <v/>
      </c>
      <c r="H798" s="225"/>
      <c r="I798" s="1013"/>
      <c r="J798" s="1013"/>
      <c r="K798" s="1028"/>
      <c r="L798" s="1035" t="str">
        <f t="shared" si="299"/>
        <v/>
      </c>
      <c r="S798" s="498"/>
      <c r="AJ798" s="498"/>
      <c r="AM798" s="498">
        <f t="shared" si="280"/>
        <v>0</v>
      </c>
      <c r="AN798" s="498">
        <f t="shared" si="281"/>
        <v>0</v>
      </c>
      <c r="AO798" s="498">
        <f t="shared" si="282"/>
        <v>0</v>
      </c>
      <c r="AP798" s="498">
        <f t="shared" si="301"/>
        <v>0</v>
      </c>
      <c r="AQ798" s="498">
        <f t="shared" si="296"/>
        <v>0</v>
      </c>
      <c r="AU798" s="498">
        <f t="shared" si="283"/>
        <v>0</v>
      </c>
      <c r="AV798" s="498">
        <f t="shared" si="284"/>
        <v>0</v>
      </c>
      <c r="AW798" s="498">
        <f t="shared" si="285"/>
        <v>0</v>
      </c>
      <c r="AX798" s="498">
        <f t="shared" si="286"/>
        <v>0</v>
      </c>
      <c r="AY798" s="498">
        <f t="shared" si="287"/>
        <v>0</v>
      </c>
      <c r="BB798" s="498" t="str">
        <f t="shared" si="288"/>
        <v/>
      </c>
      <c r="BC798" s="743" t="str">
        <f t="shared" si="289"/>
        <v/>
      </c>
      <c r="BD798" s="743" t="str">
        <f t="shared" si="290"/>
        <v/>
      </c>
      <c r="BE798" s="743" t="str">
        <f>IF(D798="","",VLOOKUP(D798,'General Basis'!$J$39:$K$46,2,0))</f>
        <v/>
      </c>
      <c r="BF798" s="744" t="str">
        <f>IF(D798="","",VLOOKUP(D798,'General Basis'!$J$39:$L$46,3,0))</f>
        <v/>
      </c>
      <c r="BG798" s="744" t="str">
        <f t="shared" si="297"/>
        <v/>
      </c>
      <c r="BH798" s="744" t="str">
        <f>IF(G798="","",IF(BF798="Abu Dhabi",IF(G798&lt;18,'General Basis'!$C$39,IF(G798&lt;41,'General Basis'!$C$40,IF(G798&lt;60,'General Basis'!$C$41,IF(G798&lt;65,'General Basis'!$C$42,'General Basis'!$C$43)))),IF(G798&lt;11,'General Basis'!$B$39,IF(G798&lt;18,'General Basis'!$B$40,IF(G798&lt;26,'General Basis'!$B$41,IF(G798&lt;31,'General Basis'!$B$42,IF(G798&lt;36,'General Basis'!$B$43,IF(G798&lt;41,'General Basis'!$B$44,IF(G798&lt;46,'General Basis'!$B$45,IF(G798&lt;51,'General Basis'!$B$46,IF(G798&lt;56,'General Basis'!$B$47,IF(G798&lt;60,'General Basis'!$B$48,IF(G798&lt;65,'General Basis'!$B$49,'General Basis'!$B$50)))))))))))))</f>
        <v/>
      </c>
      <c r="BI798" s="744" t="str">
        <f t="shared" si="291"/>
        <v/>
      </c>
      <c r="BJ798" s="747" t="str">
        <f t="shared" si="298"/>
        <v/>
      </c>
      <c r="BK798" s="498" t="str">
        <f t="shared" si="292"/>
        <v/>
      </c>
      <c r="BL798" s="498" t="str">
        <f t="shared" si="293"/>
        <v/>
      </c>
    </row>
    <row r="799" spans="1:64" x14ac:dyDescent="0.25">
      <c r="A799" s="762">
        <f t="shared" si="294"/>
        <v>794</v>
      </c>
      <c r="B799" s="229"/>
      <c r="C799" s="223"/>
      <c r="D799" s="224"/>
      <c r="E799" s="225"/>
      <c r="F799" s="1036" t="str">
        <f t="shared" si="300"/>
        <v/>
      </c>
      <c r="G799" s="1037" t="str">
        <f t="shared" si="295"/>
        <v/>
      </c>
      <c r="H799" s="225"/>
      <c r="I799" s="1013"/>
      <c r="J799" s="1013"/>
      <c r="K799" s="1028"/>
      <c r="L799" s="1035" t="str">
        <f t="shared" si="299"/>
        <v/>
      </c>
      <c r="S799" s="498"/>
      <c r="AJ799" s="498"/>
      <c r="AM799" s="498">
        <f t="shared" si="280"/>
        <v>0</v>
      </c>
      <c r="AN799" s="498">
        <f t="shared" si="281"/>
        <v>0</v>
      </c>
      <c r="AO799" s="498">
        <f t="shared" si="282"/>
        <v>0</v>
      </c>
      <c r="AP799" s="498">
        <f t="shared" si="301"/>
        <v>0</v>
      </c>
      <c r="AQ799" s="498">
        <f t="shared" si="296"/>
        <v>0</v>
      </c>
      <c r="AU799" s="498">
        <f t="shared" si="283"/>
        <v>0</v>
      </c>
      <c r="AV799" s="498">
        <f t="shared" si="284"/>
        <v>0</v>
      </c>
      <c r="AW799" s="498">
        <f t="shared" si="285"/>
        <v>0</v>
      </c>
      <c r="AX799" s="498">
        <f t="shared" si="286"/>
        <v>0</v>
      </c>
      <c r="AY799" s="498">
        <f t="shared" si="287"/>
        <v>0</v>
      </c>
      <c r="BB799" s="498" t="str">
        <f t="shared" si="288"/>
        <v/>
      </c>
      <c r="BC799" s="743" t="str">
        <f t="shared" si="289"/>
        <v/>
      </c>
      <c r="BD799" s="743" t="str">
        <f t="shared" si="290"/>
        <v/>
      </c>
      <c r="BE799" s="743" t="str">
        <f>IF(D799="","",VLOOKUP(D799,'General Basis'!$J$39:$K$46,2,0))</f>
        <v/>
      </c>
      <c r="BF799" s="744" t="str">
        <f>IF(D799="","",VLOOKUP(D799,'General Basis'!$J$39:$L$46,3,0))</f>
        <v/>
      </c>
      <c r="BG799" s="744" t="str">
        <f t="shared" si="297"/>
        <v/>
      </c>
      <c r="BH799" s="744" t="str">
        <f>IF(G799="","",IF(BF799="Abu Dhabi",IF(G799&lt;18,'General Basis'!$C$39,IF(G799&lt;41,'General Basis'!$C$40,IF(G799&lt;60,'General Basis'!$C$41,IF(G799&lt;65,'General Basis'!$C$42,'General Basis'!$C$43)))),IF(G799&lt;11,'General Basis'!$B$39,IF(G799&lt;18,'General Basis'!$B$40,IF(G799&lt;26,'General Basis'!$B$41,IF(G799&lt;31,'General Basis'!$B$42,IF(G799&lt;36,'General Basis'!$B$43,IF(G799&lt;41,'General Basis'!$B$44,IF(G799&lt;46,'General Basis'!$B$45,IF(G799&lt;51,'General Basis'!$B$46,IF(G799&lt;56,'General Basis'!$B$47,IF(G799&lt;60,'General Basis'!$B$48,IF(G799&lt;65,'General Basis'!$B$49,'General Basis'!$B$50)))))))))))))</f>
        <v/>
      </c>
      <c r="BI799" s="744" t="str">
        <f t="shared" si="291"/>
        <v/>
      </c>
      <c r="BJ799" s="747" t="str">
        <f t="shared" si="298"/>
        <v/>
      </c>
      <c r="BK799" s="498" t="str">
        <f t="shared" si="292"/>
        <v/>
      </c>
      <c r="BL799" s="498" t="str">
        <f t="shared" si="293"/>
        <v/>
      </c>
    </row>
    <row r="800" spans="1:64" x14ac:dyDescent="0.25">
      <c r="A800" s="762">
        <f t="shared" si="294"/>
        <v>795</v>
      </c>
      <c r="B800" s="229"/>
      <c r="C800" s="223"/>
      <c r="D800" s="224"/>
      <c r="E800" s="225"/>
      <c r="F800" s="1036" t="str">
        <f t="shared" si="300"/>
        <v/>
      </c>
      <c r="G800" s="1037" t="str">
        <f t="shared" si="295"/>
        <v/>
      </c>
      <c r="H800" s="225"/>
      <c r="I800" s="1013"/>
      <c r="J800" s="1013"/>
      <c r="K800" s="1028"/>
      <c r="L800" s="1035" t="str">
        <f t="shared" si="299"/>
        <v/>
      </c>
      <c r="S800" s="498"/>
      <c r="AJ800" s="498"/>
      <c r="AM800" s="498">
        <f t="shared" si="280"/>
        <v>0</v>
      </c>
      <c r="AN800" s="498">
        <f t="shared" si="281"/>
        <v>0</v>
      </c>
      <c r="AO800" s="498">
        <f t="shared" si="282"/>
        <v>0</v>
      </c>
      <c r="AP800" s="498">
        <f t="shared" si="301"/>
        <v>0</v>
      </c>
      <c r="AQ800" s="498">
        <f t="shared" si="296"/>
        <v>0</v>
      </c>
      <c r="AU800" s="498">
        <f t="shared" si="283"/>
        <v>0</v>
      </c>
      <c r="AV800" s="498">
        <f t="shared" si="284"/>
        <v>0</v>
      </c>
      <c r="AW800" s="498">
        <f t="shared" si="285"/>
        <v>0</v>
      </c>
      <c r="AX800" s="498">
        <f t="shared" si="286"/>
        <v>0</v>
      </c>
      <c r="AY800" s="498">
        <f t="shared" si="287"/>
        <v>0</v>
      </c>
      <c r="BB800" s="498" t="str">
        <f t="shared" si="288"/>
        <v/>
      </c>
      <c r="BC800" s="743" t="str">
        <f t="shared" si="289"/>
        <v/>
      </c>
      <c r="BD800" s="743" t="str">
        <f t="shared" si="290"/>
        <v/>
      </c>
      <c r="BE800" s="743" t="str">
        <f>IF(D800="","",VLOOKUP(D800,'General Basis'!$J$39:$K$46,2,0))</f>
        <v/>
      </c>
      <c r="BF800" s="744" t="str">
        <f>IF(D800="","",VLOOKUP(D800,'General Basis'!$J$39:$L$46,3,0))</f>
        <v/>
      </c>
      <c r="BG800" s="744" t="str">
        <f t="shared" si="297"/>
        <v/>
      </c>
      <c r="BH800" s="744" t="str">
        <f>IF(G800="","",IF(BF800="Abu Dhabi",IF(G800&lt;18,'General Basis'!$C$39,IF(G800&lt;41,'General Basis'!$C$40,IF(G800&lt;60,'General Basis'!$C$41,IF(G800&lt;65,'General Basis'!$C$42,'General Basis'!$C$43)))),IF(G800&lt;11,'General Basis'!$B$39,IF(G800&lt;18,'General Basis'!$B$40,IF(G800&lt;26,'General Basis'!$B$41,IF(G800&lt;31,'General Basis'!$B$42,IF(G800&lt;36,'General Basis'!$B$43,IF(G800&lt;41,'General Basis'!$B$44,IF(G800&lt;46,'General Basis'!$B$45,IF(G800&lt;51,'General Basis'!$B$46,IF(G800&lt;56,'General Basis'!$B$47,IF(G800&lt;60,'General Basis'!$B$48,IF(G800&lt;65,'General Basis'!$B$49,'General Basis'!$B$50)))))))))))))</f>
        <v/>
      </c>
      <c r="BI800" s="744" t="str">
        <f t="shared" si="291"/>
        <v/>
      </c>
      <c r="BJ800" s="747" t="str">
        <f t="shared" si="298"/>
        <v/>
      </c>
      <c r="BK800" s="498" t="str">
        <f t="shared" si="292"/>
        <v/>
      </c>
      <c r="BL800" s="498" t="str">
        <f t="shared" si="293"/>
        <v/>
      </c>
    </row>
    <row r="801" spans="1:64" x14ac:dyDescent="0.25">
      <c r="A801" s="762">
        <f t="shared" si="294"/>
        <v>796</v>
      </c>
      <c r="B801" s="229"/>
      <c r="C801" s="223"/>
      <c r="D801" s="224"/>
      <c r="E801" s="225"/>
      <c r="F801" s="1036" t="str">
        <f t="shared" si="300"/>
        <v/>
      </c>
      <c r="G801" s="1037" t="str">
        <f t="shared" si="295"/>
        <v/>
      </c>
      <c r="H801" s="225"/>
      <c r="I801" s="1013"/>
      <c r="J801" s="1013"/>
      <c r="K801" s="1028"/>
      <c r="L801" s="1035" t="str">
        <f t="shared" si="299"/>
        <v/>
      </c>
      <c r="S801" s="498"/>
      <c r="AJ801" s="498"/>
      <c r="AM801" s="498">
        <f t="shared" si="280"/>
        <v>0</v>
      </c>
      <c r="AN801" s="498">
        <f t="shared" si="281"/>
        <v>0</v>
      </c>
      <c r="AO801" s="498">
        <f t="shared" si="282"/>
        <v>0</v>
      </c>
      <c r="AP801" s="498">
        <f t="shared" si="301"/>
        <v>0</v>
      </c>
      <c r="AQ801" s="498">
        <f t="shared" si="296"/>
        <v>0</v>
      </c>
      <c r="AU801" s="498">
        <f t="shared" si="283"/>
        <v>0</v>
      </c>
      <c r="AV801" s="498">
        <f t="shared" si="284"/>
        <v>0</v>
      </c>
      <c r="AW801" s="498">
        <f t="shared" si="285"/>
        <v>0</v>
      </c>
      <c r="AX801" s="498">
        <f t="shared" si="286"/>
        <v>0</v>
      </c>
      <c r="AY801" s="498">
        <f t="shared" si="287"/>
        <v>0</v>
      </c>
      <c r="BB801" s="498" t="str">
        <f t="shared" si="288"/>
        <v/>
      </c>
      <c r="BC801" s="743" t="str">
        <f t="shared" si="289"/>
        <v/>
      </c>
      <c r="BD801" s="743" t="str">
        <f t="shared" si="290"/>
        <v/>
      </c>
      <c r="BE801" s="743" t="str">
        <f>IF(D801="","",VLOOKUP(D801,'General Basis'!$J$39:$K$46,2,0))</f>
        <v/>
      </c>
      <c r="BF801" s="744" t="str">
        <f>IF(D801="","",VLOOKUP(D801,'General Basis'!$J$39:$L$46,3,0))</f>
        <v/>
      </c>
      <c r="BG801" s="744" t="str">
        <f t="shared" si="297"/>
        <v/>
      </c>
      <c r="BH801" s="744" t="str">
        <f>IF(G801="","",IF(BF801="Abu Dhabi",IF(G801&lt;18,'General Basis'!$C$39,IF(G801&lt;41,'General Basis'!$C$40,IF(G801&lt;60,'General Basis'!$C$41,IF(G801&lt;65,'General Basis'!$C$42,'General Basis'!$C$43)))),IF(G801&lt;11,'General Basis'!$B$39,IF(G801&lt;18,'General Basis'!$B$40,IF(G801&lt;26,'General Basis'!$B$41,IF(G801&lt;31,'General Basis'!$B$42,IF(G801&lt;36,'General Basis'!$B$43,IF(G801&lt;41,'General Basis'!$B$44,IF(G801&lt;46,'General Basis'!$B$45,IF(G801&lt;51,'General Basis'!$B$46,IF(G801&lt;56,'General Basis'!$B$47,IF(G801&lt;60,'General Basis'!$B$48,IF(G801&lt;65,'General Basis'!$B$49,'General Basis'!$B$50)))))))))))))</f>
        <v/>
      </c>
      <c r="BI801" s="744" t="str">
        <f t="shared" si="291"/>
        <v/>
      </c>
      <c r="BJ801" s="747" t="str">
        <f t="shared" si="298"/>
        <v/>
      </c>
      <c r="BK801" s="498" t="str">
        <f t="shared" si="292"/>
        <v/>
      </c>
      <c r="BL801" s="498" t="str">
        <f t="shared" si="293"/>
        <v/>
      </c>
    </row>
    <row r="802" spans="1:64" x14ac:dyDescent="0.25">
      <c r="A802" s="762">
        <f t="shared" si="294"/>
        <v>797</v>
      </c>
      <c r="B802" s="229"/>
      <c r="C802" s="223"/>
      <c r="D802" s="224"/>
      <c r="E802" s="225"/>
      <c r="F802" s="1036" t="str">
        <f t="shared" si="300"/>
        <v/>
      </c>
      <c r="G802" s="1037" t="str">
        <f t="shared" si="295"/>
        <v/>
      </c>
      <c r="H802" s="225"/>
      <c r="I802" s="1013"/>
      <c r="J802" s="1013"/>
      <c r="K802" s="1028"/>
      <c r="L802" s="1035" t="str">
        <f t="shared" si="299"/>
        <v/>
      </c>
      <c r="S802" s="498"/>
      <c r="AJ802" s="498"/>
      <c r="AM802" s="498">
        <f t="shared" si="280"/>
        <v>0</v>
      </c>
      <c r="AN802" s="498">
        <f t="shared" si="281"/>
        <v>0</v>
      </c>
      <c r="AO802" s="498">
        <f t="shared" si="282"/>
        <v>0</v>
      </c>
      <c r="AP802" s="498">
        <f t="shared" si="301"/>
        <v>0</v>
      </c>
      <c r="AQ802" s="498">
        <f t="shared" si="296"/>
        <v>0</v>
      </c>
      <c r="AU802" s="498">
        <f t="shared" si="283"/>
        <v>0</v>
      </c>
      <c r="AV802" s="498">
        <f t="shared" si="284"/>
        <v>0</v>
      </c>
      <c r="AW802" s="498">
        <f t="shared" si="285"/>
        <v>0</v>
      </c>
      <c r="AX802" s="498">
        <f t="shared" si="286"/>
        <v>0</v>
      </c>
      <c r="AY802" s="498">
        <f t="shared" si="287"/>
        <v>0</v>
      </c>
      <c r="BB802" s="498" t="str">
        <f t="shared" si="288"/>
        <v/>
      </c>
      <c r="BC802" s="743" t="str">
        <f t="shared" si="289"/>
        <v/>
      </c>
      <c r="BD802" s="743" t="str">
        <f t="shared" si="290"/>
        <v/>
      </c>
      <c r="BE802" s="743" t="str">
        <f>IF(D802="","",VLOOKUP(D802,'General Basis'!$J$39:$K$46,2,0))</f>
        <v/>
      </c>
      <c r="BF802" s="744" t="str">
        <f>IF(D802="","",VLOOKUP(D802,'General Basis'!$J$39:$L$46,3,0))</f>
        <v/>
      </c>
      <c r="BG802" s="744" t="str">
        <f t="shared" si="297"/>
        <v/>
      </c>
      <c r="BH802" s="744" t="str">
        <f>IF(G802="","",IF(BF802="Abu Dhabi",IF(G802&lt;18,'General Basis'!$C$39,IF(G802&lt;41,'General Basis'!$C$40,IF(G802&lt;60,'General Basis'!$C$41,IF(G802&lt;65,'General Basis'!$C$42,'General Basis'!$C$43)))),IF(G802&lt;11,'General Basis'!$B$39,IF(G802&lt;18,'General Basis'!$B$40,IF(G802&lt;26,'General Basis'!$B$41,IF(G802&lt;31,'General Basis'!$B$42,IF(G802&lt;36,'General Basis'!$B$43,IF(G802&lt;41,'General Basis'!$B$44,IF(G802&lt;46,'General Basis'!$B$45,IF(G802&lt;51,'General Basis'!$B$46,IF(G802&lt;56,'General Basis'!$B$47,IF(G802&lt;60,'General Basis'!$B$48,IF(G802&lt;65,'General Basis'!$B$49,'General Basis'!$B$50)))))))))))))</f>
        <v/>
      </c>
      <c r="BI802" s="744" t="str">
        <f t="shared" si="291"/>
        <v/>
      </c>
      <c r="BJ802" s="747" t="str">
        <f t="shared" si="298"/>
        <v/>
      </c>
      <c r="BK802" s="498" t="str">
        <f t="shared" si="292"/>
        <v/>
      </c>
      <c r="BL802" s="498" t="str">
        <f t="shared" si="293"/>
        <v/>
      </c>
    </row>
    <row r="803" spans="1:64" x14ac:dyDescent="0.25">
      <c r="A803" s="762">
        <f t="shared" si="294"/>
        <v>798</v>
      </c>
      <c r="B803" s="229"/>
      <c r="C803" s="223"/>
      <c r="D803" s="224"/>
      <c r="E803" s="225"/>
      <c r="F803" s="1036" t="str">
        <f t="shared" si="300"/>
        <v/>
      </c>
      <c r="G803" s="1037" t="str">
        <f t="shared" si="295"/>
        <v/>
      </c>
      <c r="H803" s="225"/>
      <c r="I803" s="1013"/>
      <c r="J803" s="1013"/>
      <c r="K803" s="1028"/>
      <c r="L803" s="1035" t="str">
        <f t="shared" si="299"/>
        <v/>
      </c>
      <c r="S803" s="498"/>
      <c r="AJ803" s="498"/>
      <c r="AM803" s="498">
        <f t="shared" si="280"/>
        <v>0</v>
      </c>
      <c r="AN803" s="498">
        <f t="shared" si="281"/>
        <v>0</v>
      </c>
      <c r="AO803" s="498">
        <f t="shared" si="282"/>
        <v>0</v>
      </c>
      <c r="AP803" s="498">
        <f t="shared" si="301"/>
        <v>0</v>
      </c>
      <c r="AQ803" s="498">
        <f t="shared" si="296"/>
        <v>0</v>
      </c>
      <c r="AU803" s="498">
        <f t="shared" si="283"/>
        <v>0</v>
      </c>
      <c r="AV803" s="498">
        <f t="shared" si="284"/>
        <v>0</v>
      </c>
      <c r="AW803" s="498">
        <f t="shared" si="285"/>
        <v>0</v>
      </c>
      <c r="AX803" s="498">
        <f t="shared" si="286"/>
        <v>0</v>
      </c>
      <c r="AY803" s="498">
        <f t="shared" si="287"/>
        <v>0</v>
      </c>
      <c r="BB803" s="498" t="str">
        <f t="shared" si="288"/>
        <v/>
      </c>
      <c r="BC803" s="743" t="str">
        <f t="shared" si="289"/>
        <v/>
      </c>
      <c r="BD803" s="743" t="str">
        <f t="shared" si="290"/>
        <v/>
      </c>
      <c r="BE803" s="743" t="str">
        <f>IF(D803="","",VLOOKUP(D803,'General Basis'!$J$39:$K$46,2,0))</f>
        <v/>
      </c>
      <c r="BF803" s="744" t="str">
        <f>IF(D803="","",VLOOKUP(D803,'General Basis'!$J$39:$L$46,3,0))</f>
        <v/>
      </c>
      <c r="BG803" s="744" t="str">
        <f t="shared" si="297"/>
        <v/>
      </c>
      <c r="BH803" s="744" t="str">
        <f>IF(G803="","",IF(BF803="Abu Dhabi",IF(G803&lt;18,'General Basis'!$C$39,IF(G803&lt;41,'General Basis'!$C$40,IF(G803&lt;60,'General Basis'!$C$41,IF(G803&lt;65,'General Basis'!$C$42,'General Basis'!$C$43)))),IF(G803&lt;11,'General Basis'!$B$39,IF(G803&lt;18,'General Basis'!$B$40,IF(G803&lt;26,'General Basis'!$B$41,IF(G803&lt;31,'General Basis'!$B$42,IF(G803&lt;36,'General Basis'!$B$43,IF(G803&lt;41,'General Basis'!$B$44,IF(G803&lt;46,'General Basis'!$B$45,IF(G803&lt;51,'General Basis'!$B$46,IF(G803&lt;56,'General Basis'!$B$47,IF(G803&lt;60,'General Basis'!$B$48,IF(G803&lt;65,'General Basis'!$B$49,'General Basis'!$B$50)))))))))))))</f>
        <v/>
      </c>
      <c r="BI803" s="744" t="str">
        <f t="shared" si="291"/>
        <v/>
      </c>
      <c r="BJ803" s="747" t="str">
        <f t="shared" si="298"/>
        <v/>
      </c>
      <c r="BK803" s="498" t="str">
        <f t="shared" si="292"/>
        <v/>
      </c>
      <c r="BL803" s="498" t="str">
        <f t="shared" si="293"/>
        <v/>
      </c>
    </row>
    <row r="804" spans="1:64" x14ac:dyDescent="0.25">
      <c r="A804" s="762">
        <f t="shared" si="294"/>
        <v>799</v>
      </c>
      <c r="B804" s="229"/>
      <c r="C804" s="223"/>
      <c r="D804" s="224"/>
      <c r="E804" s="225"/>
      <c r="F804" s="1036" t="str">
        <f t="shared" si="300"/>
        <v/>
      </c>
      <c r="G804" s="1037" t="str">
        <f t="shared" si="295"/>
        <v/>
      </c>
      <c r="H804" s="225"/>
      <c r="I804" s="1013"/>
      <c r="J804" s="1013"/>
      <c r="K804" s="1028"/>
      <c r="L804" s="1035" t="str">
        <f t="shared" si="299"/>
        <v/>
      </c>
      <c r="S804" s="498"/>
      <c r="AJ804" s="498"/>
      <c r="AM804" s="498">
        <f t="shared" si="280"/>
        <v>0</v>
      </c>
      <c r="AN804" s="498">
        <f t="shared" si="281"/>
        <v>0</v>
      </c>
      <c r="AO804" s="498">
        <f t="shared" si="282"/>
        <v>0</v>
      </c>
      <c r="AP804" s="498">
        <f t="shared" si="301"/>
        <v>0</v>
      </c>
      <c r="AQ804" s="498">
        <f t="shared" si="296"/>
        <v>0</v>
      </c>
      <c r="AU804" s="498">
        <f t="shared" si="283"/>
        <v>0</v>
      </c>
      <c r="AV804" s="498">
        <f t="shared" si="284"/>
        <v>0</v>
      </c>
      <c r="AW804" s="498">
        <f t="shared" si="285"/>
        <v>0</v>
      </c>
      <c r="AX804" s="498">
        <f t="shared" si="286"/>
        <v>0</v>
      </c>
      <c r="AY804" s="498">
        <f t="shared" si="287"/>
        <v>0</v>
      </c>
      <c r="BB804" s="498" t="str">
        <f t="shared" si="288"/>
        <v/>
      </c>
      <c r="BC804" s="743" t="str">
        <f t="shared" si="289"/>
        <v/>
      </c>
      <c r="BD804" s="743" t="str">
        <f t="shared" si="290"/>
        <v/>
      </c>
      <c r="BE804" s="743" t="str">
        <f>IF(D804="","",VLOOKUP(D804,'General Basis'!$J$39:$K$46,2,0))</f>
        <v/>
      </c>
      <c r="BF804" s="744" t="str">
        <f>IF(D804="","",VLOOKUP(D804,'General Basis'!$J$39:$L$46,3,0))</f>
        <v/>
      </c>
      <c r="BG804" s="744" t="str">
        <f t="shared" si="297"/>
        <v/>
      </c>
      <c r="BH804" s="744" t="str">
        <f>IF(G804="","",IF(BF804="Abu Dhabi",IF(G804&lt;18,'General Basis'!$C$39,IF(G804&lt;41,'General Basis'!$C$40,IF(G804&lt;60,'General Basis'!$C$41,IF(G804&lt;65,'General Basis'!$C$42,'General Basis'!$C$43)))),IF(G804&lt;11,'General Basis'!$B$39,IF(G804&lt;18,'General Basis'!$B$40,IF(G804&lt;26,'General Basis'!$B$41,IF(G804&lt;31,'General Basis'!$B$42,IF(G804&lt;36,'General Basis'!$B$43,IF(G804&lt;41,'General Basis'!$B$44,IF(G804&lt;46,'General Basis'!$B$45,IF(G804&lt;51,'General Basis'!$B$46,IF(G804&lt;56,'General Basis'!$B$47,IF(G804&lt;60,'General Basis'!$B$48,IF(G804&lt;65,'General Basis'!$B$49,'General Basis'!$B$50)))))))))))))</f>
        <v/>
      </c>
      <c r="BI804" s="744" t="str">
        <f t="shared" si="291"/>
        <v/>
      </c>
      <c r="BJ804" s="747" t="str">
        <f t="shared" si="298"/>
        <v/>
      </c>
      <c r="BK804" s="498" t="str">
        <f t="shared" si="292"/>
        <v/>
      </c>
      <c r="BL804" s="498" t="str">
        <f t="shared" si="293"/>
        <v/>
      </c>
    </row>
    <row r="805" spans="1:64" x14ac:dyDescent="0.25">
      <c r="A805" s="762">
        <f t="shared" si="294"/>
        <v>800</v>
      </c>
      <c r="B805" s="229"/>
      <c r="C805" s="223"/>
      <c r="D805" s="224"/>
      <c r="E805" s="225"/>
      <c r="F805" s="1036" t="str">
        <f t="shared" si="300"/>
        <v/>
      </c>
      <c r="G805" s="1037" t="str">
        <f t="shared" si="295"/>
        <v/>
      </c>
      <c r="H805" s="225"/>
      <c r="I805" s="1013"/>
      <c r="J805" s="1013"/>
      <c r="K805" s="1028"/>
      <c r="L805" s="1035" t="str">
        <f t="shared" si="299"/>
        <v/>
      </c>
      <c r="S805" s="498"/>
      <c r="AJ805" s="498"/>
      <c r="AM805" s="498">
        <f t="shared" si="280"/>
        <v>0</v>
      </c>
      <c r="AN805" s="498">
        <f t="shared" si="281"/>
        <v>0</v>
      </c>
      <c r="AO805" s="498">
        <f t="shared" si="282"/>
        <v>0</v>
      </c>
      <c r="AP805" s="498">
        <f t="shared" si="301"/>
        <v>0</v>
      </c>
      <c r="AQ805" s="498">
        <f t="shared" si="296"/>
        <v>0</v>
      </c>
      <c r="AU805" s="498">
        <f t="shared" si="283"/>
        <v>0</v>
      </c>
      <c r="AV805" s="498">
        <f t="shared" si="284"/>
        <v>0</v>
      </c>
      <c r="AW805" s="498">
        <f t="shared" si="285"/>
        <v>0</v>
      </c>
      <c r="AX805" s="498">
        <f t="shared" si="286"/>
        <v>0</v>
      </c>
      <c r="AY805" s="498">
        <f t="shared" si="287"/>
        <v>0</v>
      </c>
      <c r="BB805" s="498" t="str">
        <f t="shared" si="288"/>
        <v/>
      </c>
      <c r="BC805" s="743" t="str">
        <f t="shared" si="289"/>
        <v/>
      </c>
      <c r="BD805" s="743" t="str">
        <f t="shared" si="290"/>
        <v/>
      </c>
      <c r="BE805" s="743" t="str">
        <f>IF(D805="","",VLOOKUP(D805,'General Basis'!$J$39:$K$46,2,0))</f>
        <v/>
      </c>
      <c r="BF805" s="744" t="str">
        <f>IF(D805="","",VLOOKUP(D805,'General Basis'!$J$39:$L$46,3,0))</f>
        <v/>
      </c>
      <c r="BG805" s="744" t="str">
        <f t="shared" si="297"/>
        <v/>
      </c>
      <c r="BH805" s="744" t="str">
        <f>IF(G805="","",IF(BF805="Abu Dhabi",IF(G805&lt;18,'General Basis'!$C$39,IF(G805&lt;41,'General Basis'!$C$40,IF(G805&lt;60,'General Basis'!$C$41,IF(G805&lt;65,'General Basis'!$C$42,'General Basis'!$C$43)))),IF(G805&lt;11,'General Basis'!$B$39,IF(G805&lt;18,'General Basis'!$B$40,IF(G805&lt;26,'General Basis'!$B$41,IF(G805&lt;31,'General Basis'!$B$42,IF(G805&lt;36,'General Basis'!$B$43,IF(G805&lt;41,'General Basis'!$B$44,IF(G805&lt;46,'General Basis'!$B$45,IF(G805&lt;51,'General Basis'!$B$46,IF(G805&lt;56,'General Basis'!$B$47,IF(G805&lt;60,'General Basis'!$B$48,IF(G805&lt;65,'General Basis'!$B$49,'General Basis'!$B$50)))))))))))))</f>
        <v/>
      </c>
      <c r="BI805" s="744" t="str">
        <f t="shared" si="291"/>
        <v/>
      </c>
      <c r="BJ805" s="747" t="str">
        <f t="shared" si="298"/>
        <v/>
      </c>
      <c r="BK805" s="498" t="str">
        <f t="shared" si="292"/>
        <v/>
      </c>
      <c r="BL805" s="498" t="str">
        <f t="shared" si="293"/>
        <v/>
      </c>
    </row>
    <row r="806" spans="1:64" x14ac:dyDescent="0.25">
      <c r="A806" s="762">
        <f t="shared" si="294"/>
        <v>801</v>
      </c>
      <c r="B806" s="229"/>
      <c r="C806" s="223"/>
      <c r="D806" s="224"/>
      <c r="E806" s="225"/>
      <c r="F806" s="1036" t="str">
        <f t="shared" si="300"/>
        <v/>
      </c>
      <c r="G806" s="1037" t="str">
        <f t="shared" si="295"/>
        <v/>
      </c>
      <c r="H806" s="225"/>
      <c r="I806" s="1013"/>
      <c r="J806" s="1013"/>
      <c r="K806" s="1028"/>
      <c r="L806" s="1035" t="str">
        <f t="shared" si="299"/>
        <v/>
      </c>
      <c r="S806" s="498"/>
      <c r="AJ806" s="498"/>
      <c r="AM806" s="498">
        <f t="shared" si="280"/>
        <v>0</v>
      </c>
      <c r="AN806" s="498">
        <f t="shared" si="281"/>
        <v>0</v>
      </c>
      <c r="AO806" s="498">
        <f t="shared" si="282"/>
        <v>0</v>
      </c>
      <c r="AP806" s="498">
        <f t="shared" si="301"/>
        <v>0</v>
      </c>
      <c r="AQ806" s="498">
        <f t="shared" si="296"/>
        <v>0</v>
      </c>
      <c r="AU806" s="498">
        <f t="shared" si="283"/>
        <v>0</v>
      </c>
      <c r="AV806" s="498">
        <f t="shared" si="284"/>
        <v>0</v>
      </c>
      <c r="AW806" s="498">
        <f t="shared" si="285"/>
        <v>0</v>
      </c>
      <c r="AX806" s="498">
        <f t="shared" si="286"/>
        <v>0</v>
      </c>
      <c r="AY806" s="498">
        <f t="shared" si="287"/>
        <v>0</v>
      </c>
      <c r="BB806" s="498" t="str">
        <f t="shared" si="288"/>
        <v/>
      </c>
      <c r="BC806" s="743" t="str">
        <f t="shared" si="289"/>
        <v/>
      </c>
      <c r="BD806" s="743" t="str">
        <f t="shared" si="290"/>
        <v/>
      </c>
      <c r="BE806" s="743" t="str">
        <f>IF(D806="","",VLOOKUP(D806,'General Basis'!$J$39:$K$46,2,0))</f>
        <v/>
      </c>
      <c r="BF806" s="744" t="str">
        <f>IF(D806="","",VLOOKUP(D806,'General Basis'!$J$39:$L$46,3,0))</f>
        <v/>
      </c>
      <c r="BG806" s="744" t="str">
        <f t="shared" si="297"/>
        <v/>
      </c>
      <c r="BH806" s="744" t="str">
        <f>IF(G806="","",IF(BF806="Abu Dhabi",IF(G806&lt;18,'General Basis'!$C$39,IF(G806&lt;41,'General Basis'!$C$40,IF(G806&lt;60,'General Basis'!$C$41,IF(G806&lt;65,'General Basis'!$C$42,'General Basis'!$C$43)))),IF(G806&lt;11,'General Basis'!$B$39,IF(G806&lt;18,'General Basis'!$B$40,IF(G806&lt;26,'General Basis'!$B$41,IF(G806&lt;31,'General Basis'!$B$42,IF(G806&lt;36,'General Basis'!$B$43,IF(G806&lt;41,'General Basis'!$B$44,IF(G806&lt;46,'General Basis'!$B$45,IF(G806&lt;51,'General Basis'!$B$46,IF(G806&lt;56,'General Basis'!$B$47,IF(G806&lt;60,'General Basis'!$B$48,IF(G806&lt;65,'General Basis'!$B$49,'General Basis'!$B$50)))))))))))))</f>
        <v/>
      </c>
      <c r="BI806" s="744" t="str">
        <f t="shared" si="291"/>
        <v/>
      </c>
      <c r="BJ806" s="747" t="str">
        <f t="shared" si="298"/>
        <v/>
      </c>
      <c r="BK806" s="498" t="str">
        <f t="shared" si="292"/>
        <v/>
      </c>
      <c r="BL806" s="498" t="str">
        <f t="shared" si="293"/>
        <v/>
      </c>
    </row>
    <row r="807" spans="1:64" x14ac:dyDescent="0.25">
      <c r="A807" s="762">
        <f t="shared" si="294"/>
        <v>802</v>
      </c>
      <c r="B807" s="229"/>
      <c r="C807" s="223"/>
      <c r="D807" s="224"/>
      <c r="E807" s="225"/>
      <c r="F807" s="1036" t="str">
        <f t="shared" si="300"/>
        <v/>
      </c>
      <c r="G807" s="1037" t="str">
        <f t="shared" si="295"/>
        <v/>
      </c>
      <c r="H807" s="225"/>
      <c r="I807" s="1013"/>
      <c r="J807" s="1013"/>
      <c r="K807" s="1028"/>
      <c r="L807" s="1035" t="str">
        <f t="shared" si="299"/>
        <v/>
      </c>
      <c r="S807" s="498"/>
      <c r="AJ807" s="498"/>
      <c r="AM807" s="498">
        <f t="shared" si="280"/>
        <v>0</v>
      </c>
      <c r="AN807" s="498">
        <f t="shared" si="281"/>
        <v>0</v>
      </c>
      <c r="AO807" s="498">
        <f t="shared" si="282"/>
        <v>0</v>
      </c>
      <c r="AP807" s="498">
        <f t="shared" si="301"/>
        <v>0</v>
      </c>
      <c r="AQ807" s="498">
        <f t="shared" si="296"/>
        <v>0</v>
      </c>
      <c r="AU807" s="498">
        <f t="shared" si="283"/>
        <v>0</v>
      </c>
      <c r="AV807" s="498">
        <f t="shared" si="284"/>
        <v>0</v>
      </c>
      <c r="AW807" s="498">
        <f t="shared" si="285"/>
        <v>0</v>
      </c>
      <c r="AX807" s="498">
        <f t="shared" si="286"/>
        <v>0</v>
      </c>
      <c r="AY807" s="498">
        <f t="shared" si="287"/>
        <v>0</v>
      </c>
      <c r="BB807" s="498" t="str">
        <f t="shared" si="288"/>
        <v/>
      </c>
      <c r="BC807" s="743" t="str">
        <f t="shared" si="289"/>
        <v/>
      </c>
      <c r="BD807" s="743" t="str">
        <f t="shared" si="290"/>
        <v/>
      </c>
      <c r="BE807" s="743" t="str">
        <f>IF(D807="","",VLOOKUP(D807,'General Basis'!$J$39:$K$46,2,0))</f>
        <v/>
      </c>
      <c r="BF807" s="744" t="str">
        <f>IF(D807="","",VLOOKUP(D807,'General Basis'!$J$39:$L$46,3,0))</f>
        <v/>
      </c>
      <c r="BG807" s="744" t="str">
        <f t="shared" si="297"/>
        <v/>
      </c>
      <c r="BH807" s="744" t="str">
        <f>IF(G807="","",IF(BF807="Abu Dhabi",IF(G807&lt;18,'General Basis'!$C$39,IF(G807&lt;41,'General Basis'!$C$40,IF(G807&lt;60,'General Basis'!$C$41,IF(G807&lt;65,'General Basis'!$C$42,'General Basis'!$C$43)))),IF(G807&lt;11,'General Basis'!$B$39,IF(G807&lt;18,'General Basis'!$B$40,IF(G807&lt;26,'General Basis'!$B$41,IF(G807&lt;31,'General Basis'!$B$42,IF(G807&lt;36,'General Basis'!$B$43,IF(G807&lt;41,'General Basis'!$B$44,IF(G807&lt;46,'General Basis'!$B$45,IF(G807&lt;51,'General Basis'!$B$46,IF(G807&lt;56,'General Basis'!$B$47,IF(G807&lt;60,'General Basis'!$B$48,IF(G807&lt;65,'General Basis'!$B$49,'General Basis'!$B$50)))))))))))))</f>
        <v/>
      </c>
      <c r="BI807" s="744" t="str">
        <f t="shared" si="291"/>
        <v/>
      </c>
      <c r="BJ807" s="747" t="str">
        <f t="shared" si="298"/>
        <v/>
      </c>
      <c r="BK807" s="498" t="str">
        <f t="shared" si="292"/>
        <v/>
      </c>
      <c r="BL807" s="498" t="str">
        <f t="shared" si="293"/>
        <v/>
      </c>
    </row>
    <row r="808" spans="1:64" x14ac:dyDescent="0.25">
      <c r="A808" s="762">
        <f t="shared" si="294"/>
        <v>803</v>
      </c>
      <c r="B808" s="229"/>
      <c r="C808" s="223"/>
      <c r="D808" s="224"/>
      <c r="E808" s="225"/>
      <c r="F808" s="1036" t="str">
        <f t="shared" si="300"/>
        <v/>
      </c>
      <c r="G808" s="1037" t="str">
        <f t="shared" si="295"/>
        <v/>
      </c>
      <c r="H808" s="225"/>
      <c r="I808" s="1013"/>
      <c r="J808" s="1013"/>
      <c r="K808" s="1028"/>
      <c r="L808" s="1035" t="str">
        <f t="shared" si="299"/>
        <v/>
      </c>
      <c r="S808" s="498"/>
      <c r="AJ808" s="498"/>
      <c r="AM808" s="498">
        <f t="shared" si="280"/>
        <v>0</v>
      </c>
      <c r="AN808" s="498">
        <f t="shared" si="281"/>
        <v>0</v>
      </c>
      <c r="AO808" s="498">
        <f t="shared" si="282"/>
        <v>0</v>
      </c>
      <c r="AP808" s="498">
        <f t="shared" si="301"/>
        <v>0</v>
      </c>
      <c r="AQ808" s="498">
        <f t="shared" si="296"/>
        <v>0</v>
      </c>
      <c r="AU808" s="498">
        <f t="shared" si="283"/>
        <v>0</v>
      </c>
      <c r="AV808" s="498">
        <f t="shared" si="284"/>
        <v>0</v>
      </c>
      <c r="AW808" s="498">
        <f t="shared" si="285"/>
        <v>0</v>
      </c>
      <c r="AX808" s="498">
        <f t="shared" si="286"/>
        <v>0</v>
      </c>
      <c r="AY808" s="498">
        <f t="shared" si="287"/>
        <v>0</v>
      </c>
      <c r="BB808" s="498" t="str">
        <f t="shared" si="288"/>
        <v/>
      </c>
      <c r="BC808" s="743" t="str">
        <f t="shared" si="289"/>
        <v/>
      </c>
      <c r="BD808" s="743" t="str">
        <f t="shared" si="290"/>
        <v/>
      </c>
      <c r="BE808" s="743" t="str">
        <f>IF(D808="","",VLOOKUP(D808,'General Basis'!$J$39:$K$46,2,0))</f>
        <v/>
      </c>
      <c r="BF808" s="744" t="str">
        <f>IF(D808="","",VLOOKUP(D808,'General Basis'!$J$39:$L$46,3,0))</f>
        <v/>
      </c>
      <c r="BG808" s="744" t="str">
        <f t="shared" si="297"/>
        <v/>
      </c>
      <c r="BH808" s="744" t="str">
        <f>IF(G808="","",IF(BF808="Abu Dhabi",IF(G808&lt;18,'General Basis'!$C$39,IF(G808&lt;41,'General Basis'!$C$40,IF(G808&lt;60,'General Basis'!$C$41,IF(G808&lt;65,'General Basis'!$C$42,'General Basis'!$C$43)))),IF(G808&lt;11,'General Basis'!$B$39,IF(G808&lt;18,'General Basis'!$B$40,IF(G808&lt;26,'General Basis'!$B$41,IF(G808&lt;31,'General Basis'!$B$42,IF(G808&lt;36,'General Basis'!$B$43,IF(G808&lt;41,'General Basis'!$B$44,IF(G808&lt;46,'General Basis'!$B$45,IF(G808&lt;51,'General Basis'!$B$46,IF(G808&lt;56,'General Basis'!$B$47,IF(G808&lt;60,'General Basis'!$B$48,IF(G808&lt;65,'General Basis'!$B$49,'General Basis'!$B$50)))))))))))))</f>
        <v/>
      </c>
      <c r="BI808" s="744" t="str">
        <f t="shared" si="291"/>
        <v/>
      </c>
      <c r="BJ808" s="747" t="str">
        <f t="shared" si="298"/>
        <v/>
      </c>
      <c r="BK808" s="498" t="str">
        <f t="shared" si="292"/>
        <v/>
      </c>
      <c r="BL808" s="498" t="str">
        <f t="shared" si="293"/>
        <v/>
      </c>
    </row>
    <row r="809" spans="1:64" x14ac:dyDescent="0.25">
      <c r="A809" s="762">
        <f t="shared" si="294"/>
        <v>804</v>
      </c>
      <c r="B809" s="229"/>
      <c r="C809" s="223"/>
      <c r="D809" s="224"/>
      <c r="E809" s="225"/>
      <c r="F809" s="1036" t="str">
        <f t="shared" si="300"/>
        <v/>
      </c>
      <c r="G809" s="1037" t="str">
        <f t="shared" si="295"/>
        <v/>
      </c>
      <c r="H809" s="225"/>
      <c r="I809" s="1013"/>
      <c r="J809" s="1013"/>
      <c r="K809" s="1028"/>
      <c r="L809" s="1035" t="str">
        <f t="shared" si="299"/>
        <v/>
      </c>
      <c r="S809" s="498"/>
      <c r="AJ809" s="498"/>
      <c r="AM809" s="498">
        <f t="shared" si="280"/>
        <v>0</v>
      </c>
      <c r="AN809" s="498">
        <f t="shared" si="281"/>
        <v>0</v>
      </c>
      <c r="AO809" s="498">
        <f t="shared" si="282"/>
        <v>0</v>
      </c>
      <c r="AP809" s="498">
        <f t="shared" si="301"/>
        <v>0</v>
      </c>
      <c r="AQ809" s="498">
        <f t="shared" si="296"/>
        <v>0</v>
      </c>
      <c r="AU809" s="498">
        <f t="shared" si="283"/>
        <v>0</v>
      </c>
      <c r="AV809" s="498">
        <f t="shared" si="284"/>
        <v>0</v>
      </c>
      <c r="AW809" s="498">
        <f t="shared" si="285"/>
        <v>0</v>
      </c>
      <c r="AX809" s="498">
        <f t="shared" si="286"/>
        <v>0</v>
      </c>
      <c r="AY809" s="498">
        <f t="shared" si="287"/>
        <v>0</v>
      </c>
      <c r="BB809" s="498" t="str">
        <f t="shared" si="288"/>
        <v/>
      </c>
      <c r="BC809" s="743" t="str">
        <f t="shared" si="289"/>
        <v/>
      </c>
      <c r="BD809" s="743" t="str">
        <f t="shared" si="290"/>
        <v/>
      </c>
      <c r="BE809" s="743" t="str">
        <f>IF(D809="","",VLOOKUP(D809,'General Basis'!$J$39:$K$46,2,0))</f>
        <v/>
      </c>
      <c r="BF809" s="744" t="str">
        <f>IF(D809="","",VLOOKUP(D809,'General Basis'!$J$39:$L$46,3,0))</f>
        <v/>
      </c>
      <c r="BG809" s="744" t="str">
        <f t="shared" si="297"/>
        <v/>
      </c>
      <c r="BH809" s="744" t="str">
        <f>IF(G809="","",IF(BF809="Abu Dhabi",IF(G809&lt;18,'General Basis'!$C$39,IF(G809&lt;41,'General Basis'!$C$40,IF(G809&lt;60,'General Basis'!$C$41,IF(G809&lt;65,'General Basis'!$C$42,'General Basis'!$C$43)))),IF(G809&lt;11,'General Basis'!$B$39,IF(G809&lt;18,'General Basis'!$B$40,IF(G809&lt;26,'General Basis'!$B$41,IF(G809&lt;31,'General Basis'!$B$42,IF(G809&lt;36,'General Basis'!$B$43,IF(G809&lt;41,'General Basis'!$B$44,IF(G809&lt;46,'General Basis'!$B$45,IF(G809&lt;51,'General Basis'!$B$46,IF(G809&lt;56,'General Basis'!$B$47,IF(G809&lt;60,'General Basis'!$B$48,IF(G809&lt;65,'General Basis'!$B$49,'General Basis'!$B$50)))))))))))))</f>
        <v/>
      </c>
      <c r="BI809" s="744" t="str">
        <f t="shared" si="291"/>
        <v/>
      </c>
      <c r="BJ809" s="747" t="str">
        <f t="shared" si="298"/>
        <v/>
      </c>
      <c r="BK809" s="498" t="str">
        <f t="shared" si="292"/>
        <v/>
      </c>
      <c r="BL809" s="498" t="str">
        <f t="shared" si="293"/>
        <v/>
      </c>
    </row>
    <row r="810" spans="1:64" x14ac:dyDescent="0.25">
      <c r="A810" s="762">
        <f t="shared" si="294"/>
        <v>805</v>
      </c>
      <c r="B810" s="229"/>
      <c r="C810" s="223"/>
      <c r="D810" s="224"/>
      <c r="E810" s="225"/>
      <c r="F810" s="1036" t="str">
        <f t="shared" si="300"/>
        <v/>
      </c>
      <c r="G810" s="1037" t="str">
        <f t="shared" si="295"/>
        <v/>
      </c>
      <c r="H810" s="225"/>
      <c r="I810" s="1013"/>
      <c r="J810" s="1013"/>
      <c r="K810" s="1028"/>
      <c r="L810" s="1035" t="str">
        <f t="shared" si="299"/>
        <v/>
      </c>
      <c r="S810" s="498"/>
      <c r="AJ810" s="498"/>
      <c r="AM810" s="498">
        <f t="shared" si="280"/>
        <v>0</v>
      </c>
      <c r="AN810" s="498">
        <f t="shared" si="281"/>
        <v>0</v>
      </c>
      <c r="AO810" s="498">
        <f t="shared" si="282"/>
        <v>0</v>
      </c>
      <c r="AP810" s="498">
        <f t="shared" si="301"/>
        <v>0</v>
      </c>
      <c r="AQ810" s="498">
        <f t="shared" si="296"/>
        <v>0</v>
      </c>
      <c r="AU810" s="498">
        <f t="shared" si="283"/>
        <v>0</v>
      </c>
      <c r="AV810" s="498">
        <f t="shared" si="284"/>
        <v>0</v>
      </c>
      <c r="AW810" s="498">
        <f t="shared" si="285"/>
        <v>0</v>
      </c>
      <c r="AX810" s="498">
        <f t="shared" si="286"/>
        <v>0</v>
      </c>
      <c r="AY810" s="498">
        <f t="shared" si="287"/>
        <v>0</v>
      </c>
      <c r="BB810" s="498" t="str">
        <f t="shared" si="288"/>
        <v/>
      </c>
      <c r="BC810" s="743" t="str">
        <f t="shared" si="289"/>
        <v/>
      </c>
      <c r="BD810" s="743" t="str">
        <f t="shared" si="290"/>
        <v/>
      </c>
      <c r="BE810" s="743" t="str">
        <f>IF(D810="","",VLOOKUP(D810,'General Basis'!$J$39:$K$46,2,0))</f>
        <v/>
      </c>
      <c r="BF810" s="744" t="str">
        <f>IF(D810="","",VLOOKUP(D810,'General Basis'!$J$39:$L$46,3,0))</f>
        <v/>
      </c>
      <c r="BG810" s="744" t="str">
        <f t="shared" si="297"/>
        <v/>
      </c>
      <c r="BH810" s="744" t="str">
        <f>IF(G810="","",IF(BF810="Abu Dhabi",IF(G810&lt;18,'General Basis'!$C$39,IF(G810&lt;41,'General Basis'!$C$40,IF(G810&lt;60,'General Basis'!$C$41,IF(G810&lt;65,'General Basis'!$C$42,'General Basis'!$C$43)))),IF(G810&lt;11,'General Basis'!$B$39,IF(G810&lt;18,'General Basis'!$B$40,IF(G810&lt;26,'General Basis'!$B$41,IF(G810&lt;31,'General Basis'!$B$42,IF(G810&lt;36,'General Basis'!$B$43,IF(G810&lt;41,'General Basis'!$B$44,IF(G810&lt;46,'General Basis'!$B$45,IF(G810&lt;51,'General Basis'!$B$46,IF(G810&lt;56,'General Basis'!$B$47,IF(G810&lt;60,'General Basis'!$B$48,IF(G810&lt;65,'General Basis'!$B$49,'General Basis'!$B$50)))))))))))))</f>
        <v/>
      </c>
      <c r="BI810" s="744" t="str">
        <f t="shared" si="291"/>
        <v/>
      </c>
      <c r="BJ810" s="747" t="str">
        <f t="shared" si="298"/>
        <v/>
      </c>
      <c r="BK810" s="498" t="str">
        <f t="shared" si="292"/>
        <v/>
      </c>
      <c r="BL810" s="498" t="str">
        <f t="shared" si="293"/>
        <v/>
      </c>
    </row>
    <row r="811" spans="1:64" x14ac:dyDescent="0.25">
      <c r="A811" s="762">
        <f t="shared" si="294"/>
        <v>806</v>
      </c>
      <c r="B811" s="229"/>
      <c r="C811" s="223"/>
      <c r="D811" s="224"/>
      <c r="E811" s="225"/>
      <c r="F811" s="1036" t="str">
        <f t="shared" si="300"/>
        <v/>
      </c>
      <c r="G811" s="1037" t="str">
        <f t="shared" si="295"/>
        <v/>
      </c>
      <c r="H811" s="225"/>
      <c r="I811" s="1013"/>
      <c r="J811" s="1013"/>
      <c r="K811" s="1028"/>
      <c r="L811" s="1035" t="str">
        <f t="shared" si="299"/>
        <v/>
      </c>
      <c r="S811" s="498"/>
      <c r="AJ811" s="498"/>
      <c r="AM811" s="498">
        <f t="shared" si="280"/>
        <v>0</v>
      </c>
      <c r="AN811" s="498">
        <f t="shared" si="281"/>
        <v>0</v>
      </c>
      <c r="AO811" s="498">
        <f t="shared" si="282"/>
        <v>0</v>
      </c>
      <c r="AP811" s="498">
        <f t="shared" si="301"/>
        <v>0</v>
      </c>
      <c r="AQ811" s="498">
        <f t="shared" si="296"/>
        <v>0</v>
      </c>
      <c r="AU811" s="498">
        <f t="shared" si="283"/>
        <v>0</v>
      </c>
      <c r="AV811" s="498">
        <f t="shared" si="284"/>
        <v>0</v>
      </c>
      <c r="AW811" s="498">
        <f t="shared" si="285"/>
        <v>0</v>
      </c>
      <c r="AX811" s="498">
        <f t="shared" si="286"/>
        <v>0</v>
      </c>
      <c r="AY811" s="498">
        <f t="shared" si="287"/>
        <v>0</v>
      </c>
      <c r="BB811" s="498" t="str">
        <f t="shared" si="288"/>
        <v/>
      </c>
      <c r="BC811" s="743" t="str">
        <f t="shared" si="289"/>
        <v/>
      </c>
      <c r="BD811" s="743" t="str">
        <f t="shared" si="290"/>
        <v/>
      </c>
      <c r="BE811" s="743" t="str">
        <f>IF(D811="","",VLOOKUP(D811,'General Basis'!$J$39:$K$46,2,0))</f>
        <v/>
      </c>
      <c r="BF811" s="744" t="str">
        <f>IF(D811="","",VLOOKUP(D811,'General Basis'!$J$39:$L$46,3,0))</f>
        <v/>
      </c>
      <c r="BG811" s="744" t="str">
        <f t="shared" si="297"/>
        <v/>
      </c>
      <c r="BH811" s="744" t="str">
        <f>IF(G811="","",IF(BF811="Abu Dhabi",IF(G811&lt;18,'General Basis'!$C$39,IF(G811&lt;41,'General Basis'!$C$40,IF(G811&lt;60,'General Basis'!$C$41,IF(G811&lt;65,'General Basis'!$C$42,'General Basis'!$C$43)))),IF(G811&lt;11,'General Basis'!$B$39,IF(G811&lt;18,'General Basis'!$B$40,IF(G811&lt;26,'General Basis'!$B$41,IF(G811&lt;31,'General Basis'!$B$42,IF(G811&lt;36,'General Basis'!$B$43,IF(G811&lt;41,'General Basis'!$B$44,IF(G811&lt;46,'General Basis'!$B$45,IF(G811&lt;51,'General Basis'!$B$46,IF(G811&lt;56,'General Basis'!$B$47,IF(G811&lt;60,'General Basis'!$B$48,IF(G811&lt;65,'General Basis'!$B$49,'General Basis'!$B$50)))))))))))))</f>
        <v/>
      </c>
      <c r="BI811" s="744" t="str">
        <f t="shared" si="291"/>
        <v/>
      </c>
      <c r="BJ811" s="747" t="str">
        <f t="shared" si="298"/>
        <v/>
      </c>
      <c r="BK811" s="498" t="str">
        <f t="shared" si="292"/>
        <v/>
      </c>
      <c r="BL811" s="498" t="str">
        <f t="shared" si="293"/>
        <v/>
      </c>
    </row>
    <row r="812" spans="1:64" x14ac:dyDescent="0.25">
      <c r="A812" s="762">
        <f t="shared" si="294"/>
        <v>807</v>
      </c>
      <c r="B812" s="229"/>
      <c r="C812" s="223"/>
      <c r="D812" s="224"/>
      <c r="E812" s="225"/>
      <c r="F812" s="1036" t="str">
        <f t="shared" si="300"/>
        <v/>
      </c>
      <c r="G812" s="1037" t="str">
        <f t="shared" si="295"/>
        <v/>
      </c>
      <c r="H812" s="225"/>
      <c r="I812" s="1013"/>
      <c r="J812" s="1013"/>
      <c r="K812" s="1028"/>
      <c r="L812" s="1035" t="str">
        <f t="shared" si="299"/>
        <v/>
      </c>
      <c r="S812" s="498"/>
      <c r="AJ812" s="498"/>
      <c r="AM812" s="498">
        <f t="shared" si="280"/>
        <v>0</v>
      </c>
      <c r="AN812" s="498">
        <f t="shared" si="281"/>
        <v>0</v>
      </c>
      <c r="AO812" s="498">
        <f t="shared" si="282"/>
        <v>0</v>
      </c>
      <c r="AP812" s="498">
        <f t="shared" si="301"/>
        <v>0</v>
      </c>
      <c r="AQ812" s="498">
        <f t="shared" si="296"/>
        <v>0</v>
      </c>
      <c r="AU812" s="498">
        <f t="shared" si="283"/>
        <v>0</v>
      </c>
      <c r="AV812" s="498">
        <f t="shared" si="284"/>
        <v>0</v>
      </c>
      <c r="AW812" s="498">
        <f t="shared" si="285"/>
        <v>0</v>
      </c>
      <c r="AX812" s="498">
        <f t="shared" si="286"/>
        <v>0</v>
      </c>
      <c r="AY812" s="498">
        <f t="shared" si="287"/>
        <v>0</v>
      </c>
      <c r="BB812" s="498" t="str">
        <f t="shared" si="288"/>
        <v/>
      </c>
      <c r="BC812" s="743" t="str">
        <f t="shared" si="289"/>
        <v/>
      </c>
      <c r="BD812" s="743" t="str">
        <f t="shared" si="290"/>
        <v/>
      </c>
      <c r="BE812" s="743" t="str">
        <f>IF(D812="","",VLOOKUP(D812,'General Basis'!$J$39:$K$46,2,0))</f>
        <v/>
      </c>
      <c r="BF812" s="744" t="str">
        <f>IF(D812="","",VLOOKUP(D812,'General Basis'!$J$39:$L$46,3,0))</f>
        <v/>
      </c>
      <c r="BG812" s="744" t="str">
        <f t="shared" si="297"/>
        <v/>
      </c>
      <c r="BH812" s="744" t="str">
        <f>IF(G812="","",IF(BF812="Abu Dhabi",IF(G812&lt;18,'General Basis'!$C$39,IF(G812&lt;41,'General Basis'!$C$40,IF(G812&lt;60,'General Basis'!$C$41,IF(G812&lt;65,'General Basis'!$C$42,'General Basis'!$C$43)))),IF(G812&lt;11,'General Basis'!$B$39,IF(G812&lt;18,'General Basis'!$B$40,IF(G812&lt;26,'General Basis'!$B$41,IF(G812&lt;31,'General Basis'!$B$42,IF(G812&lt;36,'General Basis'!$B$43,IF(G812&lt;41,'General Basis'!$B$44,IF(G812&lt;46,'General Basis'!$B$45,IF(G812&lt;51,'General Basis'!$B$46,IF(G812&lt;56,'General Basis'!$B$47,IF(G812&lt;60,'General Basis'!$B$48,IF(G812&lt;65,'General Basis'!$B$49,'General Basis'!$B$50)))))))))))))</f>
        <v/>
      </c>
      <c r="BI812" s="744" t="str">
        <f t="shared" si="291"/>
        <v/>
      </c>
      <c r="BJ812" s="747" t="str">
        <f t="shared" si="298"/>
        <v/>
      </c>
      <c r="BK812" s="498" t="str">
        <f t="shared" si="292"/>
        <v/>
      </c>
      <c r="BL812" s="498" t="str">
        <f t="shared" si="293"/>
        <v/>
      </c>
    </row>
    <row r="813" spans="1:64" x14ac:dyDescent="0.25">
      <c r="A813" s="762">
        <f t="shared" si="294"/>
        <v>808</v>
      </c>
      <c r="B813" s="229"/>
      <c r="C813" s="223"/>
      <c r="D813" s="224"/>
      <c r="E813" s="225"/>
      <c r="F813" s="1036" t="str">
        <f t="shared" si="300"/>
        <v/>
      </c>
      <c r="G813" s="1037" t="str">
        <f t="shared" si="295"/>
        <v/>
      </c>
      <c r="H813" s="225"/>
      <c r="I813" s="1013"/>
      <c r="J813" s="1013"/>
      <c r="K813" s="1028"/>
      <c r="L813" s="1035" t="str">
        <f t="shared" si="299"/>
        <v/>
      </c>
      <c r="S813" s="498"/>
      <c r="AJ813" s="498"/>
      <c r="AM813" s="498">
        <f t="shared" si="280"/>
        <v>0</v>
      </c>
      <c r="AN813" s="498">
        <f t="shared" si="281"/>
        <v>0</v>
      </c>
      <c r="AO813" s="498">
        <f t="shared" si="282"/>
        <v>0</v>
      </c>
      <c r="AP813" s="498">
        <f t="shared" si="301"/>
        <v>0</v>
      </c>
      <c r="AQ813" s="498">
        <f t="shared" si="296"/>
        <v>0</v>
      </c>
      <c r="AU813" s="498">
        <f t="shared" si="283"/>
        <v>0</v>
      </c>
      <c r="AV813" s="498">
        <f t="shared" si="284"/>
        <v>0</v>
      </c>
      <c r="AW813" s="498">
        <f t="shared" si="285"/>
        <v>0</v>
      </c>
      <c r="AX813" s="498">
        <f t="shared" si="286"/>
        <v>0</v>
      </c>
      <c r="AY813" s="498">
        <f t="shared" si="287"/>
        <v>0</v>
      </c>
      <c r="BB813" s="498" t="str">
        <f t="shared" si="288"/>
        <v/>
      </c>
      <c r="BC813" s="743" t="str">
        <f t="shared" si="289"/>
        <v/>
      </c>
      <c r="BD813" s="743" t="str">
        <f t="shared" si="290"/>
        <v/>
      </c>
      <c r="BE813" s="743" t="str">
        <f>IF(D813="","",VLOOKUP(D813,'General Basis'!$J$39:$K$46,2,0))</f>
        <v/>
      </c>
      <c r="BF813" s="744" t="str">
        <f>IF(D813="","",VLOOKUP(D813,'General Basis'!$J$39:$L$46,3,0))</f>
        <v/>
      </c>
      <c r="BG813" s="744" t="str">
        <f t="shared" si="297"/>
        <v/>
      </c>
      <c r="BH813" s="744" t="str">
        <f>IF(G813="","",IF(BF813="Abu Dhabi",IF(G813&lt;18,'General Basis'!$C$39,IF(G813&lt;41,'General Basis'!$C$40,IF(G813&lt;60,'General Basis'!$C$41,IF(G813&lt;65,'General Basis'!$C$42,'General Basis'!$C$43)))),IF(G813&lt;11,'General Basis'!$B$39,IF(G813&lt;18,'General Basis'!$B$40,IF(G813&lt;26,'General Basis'!$B$41,IF(G813&lt;31,'General Basis'!$B$42,IF(G813&lt;36,'General Basis'!$B$43,IF(G813&lt;41,'General Basis'!$B$44,IF(G813&lt;46,'General Basis'!$B$45,IF(G813&lt;51,'General Basis'!$B$46,IF(G813&lt;56,'General Basis'!$B$47,IF(G813&lt;60,'General Basis'!$B$48,IF(G813&lt;65,'General Basis'!$B$49,'General Basis'!$B$50)))))))))))))</f>
        <v/>
      </c>
      <c r="BI813" s="744" t="str">
        <f t="shared" si="291"/>
        <v/>
      </c>
      <c r="BJ813" s="747" t="str">
        <f t="shared" si="298"/>
        <v/>
      </c>
      <c r="BK813" s="498" t="str">
        <f t="shared" si="292"/>
        <v/>
      </c>
      <c r="BL813" s="498" t="str">
        <f t="shared" si="293"/>
        <v/>
      </c>
    </row>
    <row r="814" spans="1:64" x14ac:dyDescent="0.25">
      <c r="A814" s="762">
        <f t="shared" si="294"/>
        <v>809</v>
      </c>
      <c r="B814" s="229"/>
      <c r="C814" s="223"/>
      <c r="D814" s="224"/>
      <c r="E814" s="225"/>
      <c r="F814" s="1036" t="str">
        <f t="shared" si="300"/>
        <v/>
      </c>
      <c r="G814" s="1037" t="str">
        <f t="shared" si="295"/>
        <v/>
      </c>
      <c r="H814" s="225"/>
      <c r="I814" s="1013"/>
      <c r="J814" s="1013"/>
      <c r="K814" s="1028"/>
      <c r="L814" s="1035" t="str">
        <f t="shared" si="299"/>
        <v/>
      </c>
      <c r="S814" s="498"/>
      <c r="AJ814" s="498"/>
      <c r="AM814" s="498">
        <f t="shared" si="280"/>
        <v>0</v>
      </c>
      <c r="AN814" s="498">
        <f t="shared" si="281"/>
        <v>0</v>
      </c>
      <c r="AO814" s="498">
        <f t="shared" si="282"/>
        <v>0</v>
      </c>
      <c r="AP814" s="498">
        <f t="shared" si="301"/>
        <v>0</v>
      </c>
      <c r="AQ814" s="498">
        <f t="shared" si="296"/>
        <v>0</v>
      </c>
      <c r="AU814" s="498">
        <f t="shared" si="283"/>
        <v>0</v>
      </c>
      <c r="AV814" s="498">
        <f t="shared" si="284"/>
        <v>0</v>
      </c>
      <c r="AW814" s="498">
        <f t="shared" si="285"/>
        <v>0</v>
      </c>
      <c r="AX814" s="498">
        <f t="shared" si="286"/>
        <v>0</v>
      </c>
      <c r="AY814" s="498">
        <f t="shared" si="287"/>
        <v>0</v>
      </c>
      <c r="BB814" s="498" t="str">
        <f t="shared" si="288"/>
        <v/>
      </c>
      <c r="BC814" s="743" t="str">
        <f t="shared" si="289"/>
        <v/>
      </c>
      <c r="BD814" s="743" t="str">
        <f t="shared" si="290"/>
        <v/>
      </c>
      <c r="BE814" s="743" t="str">
        <f>IF(D814="","",VLOOKUP(D814,'General Basis'!$J$39:$K$46,2,0))</f>
        <v/>
      </c>
      <c r="BF814" s="744" t="str">
        <f>IF(D814="","",VLOOKUP(D814,'General Basis'!$J$39:$L$46,3,0))</f>
        <v/>
      </c>
      <c r="BG814" s="744" t="str">
        <f t="shared" si="297"/>
        <v/>
      </c>
      <c r="BH814" s="744" t="str">
        <f>IF(G814="","",IF(BF814="Abu Dhabi",IF(G814&lt;18,'General Basis'!$C$39,IF(G814&lt;41,'General Basis'!$C$40,IF(G814&lt;60,'General Basis'!$C$41,IF(G814&lt;65,'General Basis'!$C$42,'General Basis'!$C$43)))),IF(G814&lt;11,'General Basis'!$B$39,IF(G814&lt;18,'General Basis'!$B$40,IF(G814&lt;26,'General Basis'!$B$41,IF(G814&lt;31,'General Basis'!$B$42,IF(G814&lt;36,'General Basis'!$B$43,IF(G814&lt;41,'General Basis'!$B$44,IF(G814&lt;46,'General Basis'!$B$45,IF(G814&lt;51,'General Basis'!$B$46,IF(G814&lt;56,'General Basis'!$B$47,IF(G814&lt;60,'General Basis'!$B$48,IF(G814&lt;65,'General Basis'!$B$49,'General Basis'!$B$50)))))))))))))</f>
        <v/>
      </c>
      <c r="BI814" s="744" t="str">
        <f t="shared" si="291"/>
        <v/>
      </c>
      <c r="BJ814" s="747" t="str">
        <f t="shared" si="298"/>
        <v/>
      </c>
      <c r="BK814" s="498" t="str">
        <f t="shared" si="292"/>
        <v/>
      </c>
      <c r="BL814" s="498" t="str">
        <f t="shared" si="293"/>
        <v/>
      </c>
    </row>
    <row r="815" spans="1:64" x14ac:dyDescent="0.25">
      <c r="A815" s="762">
        <f t="shared" si="294"/>
        <v>810</v>
      </c>
      <c r="B815" s="229"/>
      <c r="C815" s="223"/>
      <c r="D815" s="224"/>
      <c r="E815" s="225"/>
      <c r="F815" s="1036" t="str">
        <f t="shared" si="300"/>
        <v/>
      </c>
      <c r="G815" s="1037" t="str">
        <f t="shared" si="295"/>
        <v/>
      </c>
      <c r="H815" s="225"/>
      <c r="I815" s="1013"/>
      <c r="J815" s="1013"/>
      <c r="K815" s="1028"/>
      <c r="L815" s="1035" t="str">
        <f t="shared" si="299"/>
        <v/>
      </c>
      <c r="S815" s="498"/>
      <c r="AJ815" s="498"/>
      <c r="AM815" s="498">
        <f t="shared" si="280"/>
        <v>0</v>
      </c>
      <c r="AN815" s="498">
        <f t="shared" si="281"/>
        <v>0</v>
      </c>
      <c r="AO815" s="498">
        <f t="shared" si="282"/>
        <v>0</v>
      </c>
      <c r="AP815" s="498">
        <f t="shared" si="301"/>
        <v>0</v>
      </c>
      <c r="AQ815" s="498">
        <f t="shared" si="296"/>
        <v>0</v>
      </c>
      <c r="AU815" s="498">
        <f t="shared" si="283"/>
        <v>0</v>
      </c>
      <c r="AV815" s="498">
        <f t="shared" si="284"/>
        <v>0</v>
      </c>
      <c r="AW815" s="498">
        <f t="shared" si="285"/>
        <v>0</v>
      </c>
      <c r="AX815" s="498">
        <f t="shared" si="286"/>
        <v>0</v>
      </c>
      <c r="AY815" s="498">
        <f t="shared" si="287"/>
        <v>0</v>
      </c>
      <c r="BB815" s="498" t="str">
        <f t="shared" si="288"/>
        <v/>
      </c>
      <c r="BC815" s="743" t="str">
        <f t="shared" si="289"/>
        <v/>
      </c>
      <c r="BD815" s="743" t="str">
        <f t="shared" si="290"/>
        <v/>
      </c>
      <c r="BE815" s="743" t="str">
        <f>IF(D815="","",VLOOKUP(D815,'General Basis'!$J$39:$K$46,2,0))</f>
        <v/>
      </c>
      <c r="BF815" s="744" t="str">
        <f>IF(D815="","",VLOOKUP(D815,'General Basis'!$J$39:$L$46,3,0))</f>
        <v/>
      </c>
      <c r="BG815" s="744" t="str">
        <f t="shared" si="297"/>
        <v/>
      </c>
      <c r="BH815" s="744" t="str">
        <f>IF(G815="","",IF(BF815="Abu Dhabi",IF(G815&lt;18,'General Basis'!$C$39,IF(G815&lt;41,'General Basis'!$C$40,IF(G815&lt;60,'General Basis'!$C$41,IF(G815&lt;65,'General Basis'!$C$42,'General Basis'!$C$43)))),IF(G815&lt;11,'General Basis'!$B$39,IF(G815&lt;18,'General Basis'!$B$40,IF(G815&lt;26,'General Basis'!$B$41,IF(G815&lt;31,'General Basis'!$B$42,IF(G815&lt;36,'General Basis'!$B$43,IF(G815&lt;41,'General Basis'!$B$44,IF(G815&lt;46,'General Basis'!$B$45,IF(G815&lt;51,'General Basis'!$B$46,IF(G815&lt;56,'General Basis'!$B$47,IF(G815&lt;60,'General Basis'!$B$48,IF(G815&lt;65,'General Basis'!$B$49,'General Basis'!$B$50)))))))))))))</f>
        <v/>
      </c>
      <c r="BI815" s="744" t="str">
        <f t="shared" si="291"/>
        <v/>
      </c>
      <c r="BJ815" s="747" t="str">
        <f t="shared" si="298"/>
        <v/>
      </c>
      <c r="BK815" s="498" t="str">
        <f t="shared" si="292"/>
        <v/>
      </c>
      <c r="BL815" s="498" t="str">
        <f t="shared" si="293"/>
        <v/>
      </c>
    </row>
    <row r="816" spans="1:64" x14ac:dyDescent="0.25">
      <c r="A816" s="762">
        <f t="shared" si="294"/>
        <v>811</v>
      </c>
      <c r="B816" s="229"/>
      <c r="C816" s="223"/>
      <c r="D816" s="224"/>
      <c r="E816" s="225"/>
      <c r="F816" s="1036" t="str">
        <f t="shared" si="300"/>
        <v/>
      </c>
      <c r="G816" s="1037" t="str">
        <f t="shared" si="295"/>
        <v/>
      </c>
      <c r="H816" s="225"/>
      <c r="I816" s="1013"/>
      <c r="J816" s="1013"/>
      <c r="K816" s="1028"/>
      <c r="L816" s="1035" t="str">
        <f t="shared" si="299"/>
        <v/>
      </c>
      <c r="S816" s="498"/>
      <c r="AJ816" s="498"/>
      <c r="AM816" s="498">
        <f t="shared" si="280"/>
        <v>0</v>
      </c>
      <c r="AN816" s="498">
        <f t="shared" si="281"/>
        <v>0</v>
      </c>
      <c r="AO816" s="498">
        <f t="shared" si="282"/>
        <v>0</v>
      </c>
      <c r="AP816" s="498">
        <f t="shared" si="301"/>
        <v>0</v>
      </c>
      <c r="AQ816" s="498">
        <f t="shared" si="296"/>
        <v>0</v>
      </c>
      <c r="AU816" s="498">
        <f t="shared" si="283"/>
        <v>0</v>
      </c>
      <c r="AV816" s="498">
        <f t="shared" si="284"/>
        <v>0</v>
      </c>
      <c r="AW816" s="498">
        <f t="shared" si="285"/>
        <v>0</v>
      </c>
      <c r="AX816" s="498">
        <f t="shared" si="286"/>
        <v>0</v>
      </c>
      <c r="AY816" s="498">
        <f t="shared" si="287"/>
        <v>0</v>
      </c>
      <c r="BB816" s="498" t="str">
        <f t="shared" si="288"/>
        <v/>
      </c>
      <c r="BC816" s="743" t="str">
        <f t="shared" si="289"/>
        <v/>
      </c>
      <c r="BD816" s="743" t="str">
        <f t="shared" si="290"/>
        <v/>
      </c>
      <c r="BE816" s="743" t="str">
        <f>IF(D816="","",VLOOKUP(D816,'General Basis'!$J$39:$K$46,2,0))</f>
        <v/>
      </c>
      <c r="BF816" s="744" t="str">
        <f>IF(D816="","",VLOOKUP(D816,'General Basis'!$J$39:$L$46,3,0))</f>
        <v/>
      </c>
      <c r="BG816" s="744" t="str">
        <f t="shared" si="297"/>
        <v/>
      </c>
      <c r="BH816" s="744" t="str">
        <f>IF(G816="","",IF(BF816="Abu Dhabi",IF(G816&lt;18,'General Basis'!$C$39,IF(G816&lt;41,'General Basis'!$C$40,IF(G816&lt;60,'General Basis'!$C$41,IF(G816&lt;65,'General Basis'!$C$42,'General Basis'!$C$43)))),IF(G816&lt;11,'General Basis'!$B$39,IF(G816&lt;18,'General Basis'!$B$40,IF(G816&lt;26,'General Basis'!$B$41,IF(G816&lt;31,'General Basis'!$B$42,IF(G816&lt;36,'General Basis'!$B$43,IF(G816&lt;41,'General Basis'!$B$44,IF(G816&lt;46,'General Basis'!$B$45,IF(G816&lt;51,'General Basis'!$B$46,IF(G816&lt;56,'General Basis'!$B$47,IF(G816&lt;60,'General Basis'!$B$48,IF(G816&lt;65,'General Basis'!$B$49,'General Basis'!$B$50)))))))))))))</f>
        <v/>
      </c>
      <c r="BI816" s="744" t="str">
        <f t="shared" si="291"/>
        <v/>
      </c>
      <c r="BJ816" s="747" t="str">
        <f t="shared" si="298"/>
        <v/>
      </c>
      <c r="BK816" s="498" t="str">
        <f t="shared" si="292"/>
        <v/>
      </c>
      <c r="BL816" s="498" t="str">
        <f t="shared" si="293"/>
        <v/>
      </c>
    </row>
    <row r="817" spans="1:64" x14ac:dyDescent="0.25">
      <c r="A817" s="762">
        <f t="shared" si="294"/>
        <v>812</v>
      </c>
      <c r="B817" s="229"/>
      <c r="C817" s="223"/>
      <c r="D817" s="224"/>
      <c r="E817" s="225"/>
      <c r="F817" s="1036" t="str">
        <f t="shared" si="300"/>
        <v/>
      </c>
      <c r="G817" s="1037" t="str">
        <f t="shared" si="295"/>
        <v/>
      </c>
      <c r="H817" s="225"/>
      <c r="I817" s="1013"/>
      <c r="J817" s="1013"/>
      <c r="K817" s="1028"/>
      <c r="L817" s="1035" t="str">
        <f t="shared" si="299"/>
        <v/>
      </c>
      <c r="S817" s="498"/>
      <c r="AJ817" s="498"/>
      <c r="AM817" s="498">
        <f t="shared" si="280"/>
        <v>0</v>
      </c>
      <c r="AN817" s="498">
        <f t="shared" si="281"/>
        <v>0</v>
      </c>
      <c r="AO817" s="498">
        <f t="shared" si="282"/>
        <v>0</v>
      </c>
      <c r="AP817" s="498">
        <f t="shared" si="301"/>
        <v>0</v>
      </c>
      <c r="AQ817" s="498">
        <f t="shared" si="296"/>
        <v>0</v>
      </c>
      <c r="AU817" s="498">
        <f t="shared" si="283"/>
        <v>0</v>
      </c>
      <c r="AV817" s="498">
        <f t="shared" si="284"/>
        <v>0</v>
      </c>
      <c r="AW817" s="498">
        <f t="shared" si="285"/>
        <v>0</v>
      </c>
      <c r="AX817" s="498">
        <f t="shared" si="286"/>
        <v>0</v>
      </c>
      <c r="AY817" s="498">
        <f t="shared" si="287"/>
        <v>0</v>
      </c>
      <c r="BB817" s="498" t="str">
        <f t="shared" si="288"/>
        <v/>
      </c>
      <c r="BC817" s="743" t="str">
        <f t="shared" si="289"/>
        <v/>
      </c>
      <c r="BD817" s="743" t="str">
        <f t="shared" si="290"/>
        <v/>
      </c>
      <c r="BE817" s="743" t="str">
        <f>IF(D817="","",VLOOKUP(D817,'General Basis'!$J$39:$K$46,2,0))</f>
        <v/>
      </c>
      <c r="BF817" s="744" t="str">
        <f>IF(D817="","",VLOOKUP(D817,'General Basis'!$J$39:$L$46,3,0))</f>
        <v/>
      </c>
      <c r="BG817" s="744" t="str">
        <f t="shared" si="297"/>
        <v/>
      </c>
      <c r="BH817" s="744" t="str">
        <f>IF(G817="","",IF(BF817="Abu Dhabi",IF(G817&lt;18,'General Basis'!$C$39,IF(G817&lt;41,'General Basis'!$C$40,IF(G817&lt;60,'General Basis'!$C$41,IF(G817&lt;65,'General Basis'!$C$42,'General Basis'!$C$43)))),IF(G817&lt;11,'General Basis'!$B$39,IF(G817&lt;18,'General Basis'!$B$40,IF(G817&lt;26,'General Basis'!$B$41,IF(G817&lt;31,'General Basis'!$B$42,IF(G817&lt;36,'General Basis'!$B$43,IF(G817&lt;41,'General Basis'!$B$44,IF(G817&lt;46,'General Basis'!$B$45,IF(G817&lt;51,'General Basis'!$B$46,IF(G817&lt;56,'General Basis'!$B$47,IF(G817&lt;60,'General Basis'!$B$48,IF(G817&lt;65,'General Basis'!$B$49,'General Basis'!$B$50)))))))))))))</f>
        <v/>
      </c>
      <c r="BI817" s="744" t="str">
        <f t="shared" si="291"/>
        <v/>
      </c>
      <c r="BJ817" s="747" t="str">
        <f t="shared" si="298"/>
        <v/>
      </c>
      <c r="BK817" s="498" t="str">
        <f t="shared" si="292"/>
        <v/>
      </c>
      <c r="BL817" s="498" t="str">
        <f t="shared" si="293"/>
        <v/>
      </c>
    </row>
    <row r="818" spans="1:64" x14ac:dyDescent="0.25">
      <c r="A818" s="762">
        <f t="shared" si="294"/>
        <v>813</v>
      </c>
      <c r="B818" s="229"/>
      <c r="C818" s="223"/>
      <c r="D818" s="224"/>
      <c r="E818" s="225"/>
      <c r="F818" s="1036" t="str">
        <f t="shared" si="300"/>
        <v/>
      </c>
      <c r="G818" s="1037" t="str">
        <f t="shared" si="295"/>
        <v/>
      </c>
      <c r="H818" s="225"/>
      <c r="I818" s="1013"/>
      <c r="J818" s="1013"/>
      <c r="K818" s="1028"/>
      <c r="L818" s="1035" t="str">
        <f t="shared" si="299"/>
        <v/>
      </c>
      <c r="S818" s="498"/>
      <c r="AJ818" s="498"/>
      <c r="AM818" s="498">
        <f t="shared" si="280"/>
        <v>0</v>
      </c>
      <c r="AN818" s="498">
        <f t="shared" si="281"/>
        <v>0</v>
      </c>
      <c r="AO818" s="498">
        <f t="shared" si="282"/>
        <v>0</v>
      </c>
      <c r="AP818" s="498">
        <f t="shared" si="301"/>
        <v>0</v>
      </c>
      <c r="AQ818" s="498">
        <f t="shared" si="296"/>
        <v>0</v>
      </c>
      <c r="AU818" s="498">
        <f t="shared" si="283"/>
        <v>0</v>
      </c>
      <c r="AV818" s="498">
        <f t="shared" si="284"/>
        <v>0</v>
      </c>
      <c r="AW818" s="498">
        <f t="shared" si="285"/>
        <v>0</v>
      </c>
      <c r="AX818" s="498">
        <f t="shared" si="286"/>
        <v>0</v>
      </c>
      <c r="AY818" s="498">
        <f t="shared" si="287"/>
        <v>0</v>
      </c>
      <c r="BB818" s="498" t="str">
        <f t="shared" si="288"/>
        <v/>
      </c>
      <c r="BC818" s="743" t="str">
        <f t="shared" si="289"/>
        <v/>
      </c>
      <c r="BD818" s="743" t="str">
        <f t="shared" si="290"/>
        <v/>
      </c>
      <c r="BE818" s="743" t="str">
        <f>IF(D818="","",VLOOKUP(D818,'General Basis'!$J$39:$K$46,2,0))</f>
        <v/>
      </c>
      <c r="BF818" s="744" t="str">
        <f>IF(D818="","",VLOOKUP(D818,'General Basis'!$J$39:$L$46,3,0))</f>
        <v/>
      </c>
      <c r="BG818" s="744" t="str">
        <f t="shared" si="297"/>
        <v/>
      </c>
      <c r="BH818" s="744" t="str">
        <f>IF(G818="","",IF(BF818="Abu Dhabi",IF(G818&lt;18,'General Basis'!$C$39,IF(G818&lt;41,'General Basis'!$C$40,IF(G818&lt;60,'General Basis'!$C$41,IF(G818&lt;65,'General Basis'!$C$42,'General Basis'!$C$43)))),IF(G818&lt;11,'General Basis'!$B$39,IF(G818&lt;18,'General Basis'!$B$40,IF(G818&lt;26,'General Basis'!$B$41,IF(G818&lt;31,'General Basis'!$B$42,IF(G818&lt;36,'General Basis'!$B$43,IF(G818&lt;41,'General Basis'!$B$44,IF(G818&lt;46,'General Basis'!$B$45,IF(G818&lt;51,'General Basis'!$B$46,IF(G818&lt;56,'General Basis'!$B$47,IF(G818&lt;60,'General Basis'!$B$48,IF(G818&lt;65,'General Basis'!$B$49,'General Basis'!$B$50)))))))))))))</f>
        <v/>
      </c>
      <c r="BI818" s="744" t="str">
        <f t="shared" si="291"/>
        <v/>
      </c>
      <c r="BJ818" s="747" t="str">
        <f t="shared" si="298"/>
        <v/>
      </c>
      <c r="BK818" s="498" t="str">
        <f t="shared" si="292"/>
        <v/>
      </c>
      <c r="BL818" s="498" t="str">
        <f t="shared" si="293"/>
        <v/>
      </c>
    </row>
    <row r="819" spans="1:64" x14ac:dyDescent="0.25">
      <c r="A819" s="762">
        <f t="shared" si="294"/>
        <v>814</v>
      </c>
      <c r="B819" s="229"/>
      <c r="C819" s="223"/>
      <c r="D819" s="224"/>
      <c r="E819" s="225"/>
      <c r="F819" s="1036" t="str">
        <f t="shared" si="300"/>
        <v/>
      </c>
      <c r="G819" s="1037" t="str">
        <f t="shared" si="295"/>
        <v/>
      </c>
      <c r="H819" s="225"/>
      <c r="I819" s="1013"/>
      <c r="J819" s="1013"/>
      <c r="K819" s="1028"/>
      <c r="L819" s="1035" t="str">
        <f t="shared" si="299"/>
        <v/>
      </c>
      <c r="S819" s="498"/>
      <c r="AJ819" s="498"/>
      <c r="AM819" s="498">
        <f t="shared" si="280"/>
        <v>0</v>
      </c>
      <c r="AN819" s="498">
        <f t="shared" si="281"/>
        <v>0</v>
      </c>
      <c r="AO819" s="498">
        <f t="shared" si="282"/>
        <v>0</v>
      </c>
      <c r="AP819" s="498">
        <f t="shared" si="301"/>
        <v>0</v>
      </c>
      <c r="AQ819" s="498">
        <f t="shared" si="296"/>
        <v>0</v>
      </c>
      <c r="AU819" s="498">
        <f t="shared" si="283"/>
        <v>0</v>
      </c>
      <c r="AV819" s="498">
        <f t="shared" si="284"/>
        <v>0</v>
      </c>
      <c r="AW819" s="498">
        <f t="shared" si="285"/>
        <v>0</v>
      </c>
      <c r="AX819" s="498">
        <f t="shared" si="286"/>
        <v>0</v>
      </c>
      <c r="AY819" s="498">
        <f t="shared" si="287"/>
        <v>0</v>
      </c>
      <c r="BB819" s="498" t="str">
        <f t="shared" si="288"/>
        <v/>
      </c>
      <c r="BC819" s="743" t="str">
        <f t="shared" si="289"/>
        <v/>
      </c>
      <c r="BD819" s="743" t="str">
        <f t="shared" si="290"/>
        <v/>
      </c>
      <c r="BE819" s="743" t="str">
        <f>IF(D819="","",VLOOKUP(D819,'General Basis'!$J$39:$K$46,2,0))</f>
        <v/>
      </c>
      <c r="BF819" s="744" t="str">
        <f>IF(D819="","",VLOOKUP(D819,'General Basis'!$J$39:$L$46,3,0))</f>
        <v/>
      </c>
      <c r="BG819" s="744" t="str">
        <f t="shared" si="297"/>
        <v/>
      </c>
      <c r="BH819" s="744" t="str">
        <f>IF(G819="","",IF(BF819="Abu Dhabi",IF(G819&lt;18,'General Basis'!$C$39,IF(G819&lt;41,'General Basis'!$C$40,IF(G819&lt;60,'General Basis'!$C$41,IF(G819&lt;65,'General Basis'!$C$42,'General Basis'!$C$43)))),IF(G819&lt;11,'General Basis'!$B$39,IF(G819&lt;18,'General Basis'!$B$40,IF(G819&lt;26,'General Basis'!$B$41,IF(G819&lt;31,'General Basis'!$B$42,IF(G819&lt;36,'General Basis'!$B$43,IF(G819&lt;41,'General Basis'!$B$44,IF(G819&lt;46,'General Basis'!$B$45,IF(G819&lt;51,'General Basis'!$B$46,IF(G819&lt;56,'General Basis'!$B$47,IF(G819&lt;60,'General Basis'!$B$48,IF(G819&lt;65,'General Basis'!$B$49,'General Basis'!$B$50)))))))))))))</f>
        <v/>
      </c>
      <c r="BI819" s="744" t="str">
        <f t="shared" si="291"/>
        <v/>
      </c>
      <c r="BJ819" s="747" t="str">
        <f t="shared" si="298"/>
        <v/>
      </c>
      <c r="BK819" s="498" t="str">
        <f t="shared" si="292"/>
        <v/>
      </c>
      <c r="BL819" s="498" t="str">
        <f t="shared" si="293"/>
        <v/>
      </c>
    </row>
    <row r="820" spans="1:64" x14ac:dyDescent="0.25">
      <c r="A820" s="762">
        <f t="shared" si="294"/>
        <v>815</v>
      </c>
      <c r="B820" s="229"/>
      <c r="C820" s="223"/>
      <c r="D820" s="224"/>
      <c r="E820" s="225"/>
      <c r="F820" s="1036" t="str">
        <f t="shared" si="300"/>
        <v/>
      </c>
      <c r="G820" s="1037" t="str">
        <f t="shared" si="295"/>
        <v/>
      </c>
      <c r="H820" s="225"/>
      <c r="I820" s="1013"/>
      <c r="J820" s="1013"/>
      <c r="K820" s="1028"/>
      <c r="L820" s="1035" t="str">
        <f t="shared" si="299"/>
        <v/>
      </c>
      <c r="S820" s="498"/>
      <c r="AJ820" s="498"/>
      <c r="AM820" s="498">
        <f t="shared" si="280"/>
        <v>0</v>
      </c>
      <c r="AN820" s="498">
        <f t="shared" si="281"/>
        <v>0</v>
      </c>
      <c r="AO820" s="498">
        <f t="shared" si="282"/>
        <v>0</v>
      </c>
      <c r="AP820" s="498">
        <f t="shared" si="301"/>
        <v>0</v>
      </c>
      <c r="AQ820" s="498">
        <f t="shared" si="296"/>
        <v>0</v>
      </c>
      <c r="AU820" s="498">
        <f t="shared" si="283"/>
        <v>0</v>
      </c>
      <c r="AV820" s="498">
        <f t="shared" si="284"/>
        <v>0</v>
      </c>
      <c r="AW820" s="498">
        <f t="shared" si="285"/>
        <v>0</v>
      </c>
      <c r="AX820" s="498">
        <f t="shared" si="286"/>
        <v>0</v>
      </c>
      <c r="AY820" s="498">
        <f t="shared" si="287"/>
        <v>0</v>
      </c>
      <c r="BB820" s="498" t="str">
        <f t="shared" si="288"/>
        <v/>
      </c>
      <c r="BC820" s="743" t="str">
        <f t="shared" si="289"/>
        <v/>
      </c>
      <c r="BD820" s="743" t="str">
        <f t="shared" si="290"/>
        <v/>
      </c>
      <c r="BE820" s="743" t="str">
        <f>IF(D820="","",VLOOKUP(D820,'General Basis'!$J$39:$K$46,2,0))</f>
        <v/>
      </c>
      <c r="BF820" s="744" t="str">
        <f>IF(D820="","",VLOOKUP(D820,'General Basis'!$J$39:$L$46,3,0))</f>
        <v/>
      </c>
      <c r="BG820" s="744" t="str">
        <f t="shared" si="297"/>
        <v/>
      </c>
      <c r="BH820" s="744" t="str">
        <f>IF(G820="","",IF(BF820="Abu Dhabi",IF(G820&lt;18,'General Basis'!$C$39,IF(G820&lt;41,'General Basis'!$C$40,IF(G820&lt;60,'General Basis'!$C$41,IF(G820&lt;65,'General Basis'!$C$42,'General Basis'!$C$43)))),IF(G820&lt;11,'General Basis'!$B$39,IF(G820&lt;18,'General Basis'!$B$40,IF(G820&lt;26,'General Basis'!$B$41,IF(G820&lt;31,'General Basis'!$B$42,IF(G820&lt;36,'General Basis'!$B$43,IF(G820&lt;41,'General Basis'!$B$44,IF(G820&lt;46,'General Basis'!$B$45,IF(G820&lt;51,'General Basis'!$B$46,IF(G820&lt;56,'General Basis'!$B$47,IF(G820&lt;60,'General Basis'!$B$48,IF(G820&lt;65,'General Basis'!$B$49,'General Basis'!$B$50)))))))))))))</f>
        <v/>
      </c>
      <c r="BI820" s="744" t="str">
        <f t="shared" si="291"/>
        <v/>
      </c>
      <c r="BJ820" s="747" t="str">
        <f t="shared" si="298"/>
        <v/>
      </c>
      <c r="BK820" s="498" t="str">
        <f t="shared" si="292"/>
        <v/>
      </c>
      <c r="BL820" s="498" t="str">
        <f t="shared" si="293"/>
        <v/>
      </c>
    </row>
    <row r="821" spans="1:64" x14ac:dyDescent="0.25">
      <c r="A821" s="762">
        <f t="shared" si="294"/>
        <v>816</v>
      </c>
      <c r="B821" s="229"/>
      <c r="C821" s="223"/>
      <c r="D821" s="224"/>
      <c r="E821" s="225"/>
      <c r="F821" s="1036" t="str">
        <f t="shared" si="300"/>
        <v/>
      </c>
      <c r="G821" s="1037" t="str">
        <f t="shared" si="295"/>
        <v/>
      </c>
      <c r="H821" s="225"/>
      <c r="I821" s="1013"/>
      <c r="J821" s="1013"/>
      <c r="K821" s="1028"/>
      <c r="L821" s="1035" t="str">
        <f t="shared" si="299"/>
        <v/>
      </c>
      <c r="S821" s="498"/>
      <c r="AJ821" s="498"/>
      <c r="AM821" s="498">
        <f t="shared" si="280"/>
        <v>0</v>
      </c>
      <c r="AN821" s="498">
        <f t="shared" si="281"/>
        <v>0</v>
      </c>
      <c r="AO821" s="498">
        <f t="shared" si="282"/>
        <v>0</v>
      </c>
      <c r="AP821" s="498">
        <f t="shared" si="301"/>
        <v>0</v>
      </c>
      <c r="AQ821" s="498">
        <f t="shared" si="296"/>
        <v>0</v>
      </c>
      <c r="AU821" s="498">
        <f t="shared" si="283"/>
        <v>0</v>
      </c>
      <c r="AV821" s="498">
        <f t="shared" si="284"/>
        <v>0</v>
      </c>
      <c r="AW821" s="498">
        <f t="shared" si="285"/>
        <v>0</v>
      </c>
      <c r="AX821" s="498">
        <f t="shared" si="286"/>
        <v>0</v>
      </c>
      <c r="AY821" s="498">
        <f t="shared" si="287"/>
        <v>0</v>
      </c>
      <c r="BB821" s="498" t="str">
        <f t="shared" si="288"/>
        <v/>
      </c>
      <c r="BC821" s="743" t="str">
        <f t="shared" si="289"/>
        <v/>
      </c>
      <c r="BD821" s="743" t="str">
        <f t="shared" si="290"/>
        <v/>
      </c>
      <c r="BE821" s="743" t="str">
        <f>IF(D821="","",VLOOKUP(D821,'General Basis'!$J$39:$K$46,2,0))</f>
        <v/>
      </c>
      <c r="BF821" s="744" t="str">
        <f>IF(D821="","",VLOOKUP(D821,'General Basis'!$J$39:$L$46,3,0))</f>
        <v/>
      </c>
      <c r="BG821" s="744" t="str">
        <f t="shared" si="297"/>
        <v/>
      </c>
      <c r="BH821" s="744" t="str">
        <f>IF(G821="","",IF(BF821="Abu Dhabi",IF(G821&lt;18,'General Basis'!$C$39,IF(G821&lt;41,'General Basis'!$C$40,IF(G821&lt;60,'General Basis'!$C$41,IF(G821&lt;65,'General Basis'!$C$42,'General Basis'!$C$43)))),IF(G821&lt;11,'General Basis'!$B$39,IF(G821&lt;18,'General Basis'!$B$40,IF(G821&lt;26,'General Basis'!$B$41,IF(G821&lt;31,'General Basis'!$B$42,IF(G821&lt;36,'General Basis'!$B$43,IF(G821&lt;41,'General Basis'!$B$44,IF(G821&lt;46,'General Basis'!$B$45,IF(G821&lt;51,'General Basis'!$B$46,IF(G821&lt;56,'General Basis'!$B$47,IF(G821&lt;60,'General Basis'!$B$48,IF(G821&lt;65,'General Basis'!$B$49,'General Basis'!$B$50)))))))))))))</f>
        <v/>
      </c>
      <c r="BI821" s="744" t="str">
        <f t="shared" si="291"/>
        <v/>
      </c>
      <c r="BJ821" s="747" t="str">
        <f t="shared" si="298"/>
        <v/>
      </c>
      <c r="BK821" s="498" t="str">
        <f t="shared" si="292"/>
        <v/>
      </c>
      <c r="BL821" s="498" t="str">
        <f t="shared" si="293"/>
        <v/>
      </c>
    </row>
    <row r="822" spans="1:64" x14ac:dyDescent="0.25">
      <c r="A822" s="762">
        <f t="shared" si="294"/>
        <v>817</v>
      </c>
      <c r="B822" s="229"/>
      <c r="C822" s="223"/>
      <c r="D822" s="224"/>
      <c r="E822" s="225"/>
      <c r="F822" s="1036" t="str">
        <f t="shared" si="300"/>
        <v/>
      </c>
      <c r="G822" s="1037" t="str">
        <f t="shared" si="295"/>
        <v/>
      </c>
      <c r="H822" s="225"/>
      <c r="I822" s="1013"/>
      <c r="J822" s="1013"/>
      <c r="K822" s="1028"/>
      <c r="L822" s="1035" t="str">
        <f t="shared" si="299"/>
        <v/>
      </c>
      <c r="S822" s="498"/>
      <c r="AJ822" s="498"/>
      <c r="AM822" s="498">
        <f t="shared" si="280"/>
        <v>0</v>
      </c>
      <c r="AN822" s="498">
        <f t="shared" si="281"/>
        <v>0</v>
      </c>
      <c r="AO822" s="498">
        <f t="shared" si="282"/>
        <v>0</v>
      </c>
      <c r="AP822" s="498">
        <f t="shared" si="301"/>
        <v>0</v>
      </c>
      <c r="AQ822" s="498">
        <f t="shared" si="296"/>
        <v>0</v>
      </c>
      <c r="AU822" s="498">
        <f t="shared" si="283"/>
        <v>0</v>
      </c>
      <c r="AV822" s="498">
        <f t="shared" si="284"/>
        <v>0</v>
      </c>
      <c r="AW822" s="498">
        <f t="shared" si="285"/>
        <v>0</v>
      </c>
      <c r="AX822" s="498">
        <f t="shared" si="286"/>
        <v>0</v>
      </c>
      <c r="AY822" s="498">
        <f t="shared" si="287"/>
        <v>0</v>
      </c>
      <c r="BB822" s="498" t="str">
        <f t="shared" si="288"/>
        <v/>
      </c>
      <c r="BC822" s="743" t="str">
        <f t="shared" si="289"/>
        <v/>
      </c>
      <c r="BD822" s="743" t="str">
        <f t="shared" si="290"/>
        <v/>
      </c>
      <c r="BE822" s="743" t="str">
        <f>IF(D822="","",VLOOKUP(D822,'General Basis'!$J$39:$K$46,2,0))</f>
        <v/>
      </c>
      <c r="BF822" s="744" t="str">
        <f>IF(D822="","",VLOOKUP(D822,'General Basis'!$J$39:$L$46,3,0))</f>
        <v/>
      </c>
      <c r="BG822" s="744" t="str">
        <f t="shared" si="297"/>
        <v/>
      </c>
      <c r="BH822" s="744" t="str">
        <f>IF(G822="","",IF(BF822="Abu Dhabi",IF(G822&lt;18,'General Basis'!$C$39,IF(G822&lt;41,'General Basis'!$C$40,IF(G822&lt;60,'General Basis'!$C$41,IF(G822&lt;65,'General Basis'!$C$42,'General Basis'!$C$43)))),IF(G822&lt;11,'General Basis'!$B$39,IF(G822&lt;18,'General Basis'!$B$40,IF(G822&lt;26,'General Basis'!$B$41,IF(G822&lt;31,'General Basis'!$B$42,IF(G822&lt;36,'General Basis'!$B$43,IF(G822&lt;41,'General Basis'!$B$44,IF(G822&lt;46,'General Basis'!$B$45,IF(G822&lt;51,'General Basis'!$B$46,IF(G822&lt;56,'General Basis'!$B$47,IF(G822&lt;60,'General Basis'!$B$48,IF(G822&lt;65,'General Basis'!$B$49,'General Basis'!$B$50)))))))))))))</f>
        <v/>
      </c>
      <c r="BI822" s="744" t="str">
        <f t="shared" si="291"/>
        <v/>
      </c>
      <c r="BJ822" s="747" t="str">
        <f t="shared" si="298"/>
        <v/>
      </c>
      <c r="BK822" s="498" t="str">
        <f t="shared" si="292"/>
        <v/>
      </c>
      <c r="BL822" s="498" t="str">
        <f t="shared" si="293"/>
        <v/>
      </c>
    </row>
    <row r="823" spans="1:64" x14ac:dyDescent="0.25">
      <c r="A823" s="762">
        <f t="shared" si="294"/>
        <v>818</v>
      </c>
      <c r="B823" s="229"/>
      <c r="C823" s="223"/>
      <c r="D823" s="224"/>
      <c r="E823" s="225"/>
      <c r="F823" s="1036" t="str">
        <f t="shared" si="300"/>
        <v/>
      </c>
      <c r="G823" s="1037" t="str">
        <f t="shared" si="295"/>
        <v/>
      </c>
      <c r="H823" s="225"/>
      <c r="I823" s="1013"/>
      <c r="J823" s="1013"/>
      <c r="K823" s="1028"/>
      <c r="L823" s="1035" t="str">
        <f t="shared" si="299"/>
        <v/>
      </c>
      <c r="S823" s="498"/>
      <c r="AJ823" s="498"/>
      <c r="AM823" s="498">
        <f t="shared" si="280"/>
        <v>0</v>
      </c>
      <c r="AN823" s="498">
        <f t="shared" si="281"/>
        <v>0</v>
      </c>
      <c r="AO823" s="498">
        <f t="shared" si="282"/>
        <v>0</v>
      </c>
      <c r="AP823" s="498">
        <f t="shared" si="301"/>
        <v>0</v>
      </c>
      <c r="AQ823" s="498">
        <f t="shared" si="296"/>
        <v>0</v>
      </c>
      <c r="AU823" s="498">
        <f t="shared" si="283"/>
        <v>0</v>
      </c>
      <c r="AV823" s="498">
        <f t="shared" si="284"/>
        <v>0</v>
      </c>
      <c r="AW823" s="498">
        <f t="shared" si="285"/>
        <v>0</v>
      </c>
      <c r="AX823" s="498">
        <f t="shared" si="286"/>
        <v>0</v>
      </c>
      <c r="AY823" s="498">
        <f t="shared" si="287"/>
        <v>0</v>
      </c>
      <c r="BB823" s="498" t="str">
        <f t="shared" si="288"/>
        <v/>
      </c>
      <c r="BC823" s="743" t="str">
        <f t="shared" si="289"/>
        <v/>
      </c>
      <c r="BD823" s="743" t="str">
        <f t="shared" si="290"/>
        <v/>
      </c>
      <c r="BE823" s="743" t="str">
        <f>IF(D823="","",VLOOKUP(D823,'General Basis'!$J$39:$K$46,2,0))</f>
        <v/>
      </c>
      <c r="BF823" s="744" t="str">
        <f>IF(D823="","",VLOOKUP(D823,'General Basis'!$J$39:$L$46,3,0))</f>
        <v/>
      </c>
      <c r="BG823" s="744" t="str">
        <f t="shared" si="297"/>
        <v/>
      </c>
      <c r="BH823" s="744" t="str">
        <f>IF(G823="","",IF(BF823="Abu Dhabi",IF(G823&lt;18,'General Basis'!$C$39,IF(G823&lt;41,'General Basis'!$C$40,IF(G823&lt;60,'General Basis'!$C$41,IF(G823&lt;65,'General Basis'!$C$42,'General Basis'!$C$43)))),IF(G823&lt;11,'General Basis'!$B$39,IF(G823&lt;18,'General Basis'!$B$40,IF(G823&lt;26,'General Basis'!$B$41,IF(G823&lt;31,'General Basis'!$B$42,IF(G823&lt;36,'General Basis'!$B$43,IF(G823&lt;41,'General Basis'!$B$44,IF(G823&lt;46,'General Basis'!$B$45,IF(G823&lt;51,'General Basis'!$B$46,IF(G823&lt;56,'General Basis'!$B$47,IF(G823&lt;60,'General Basis'!$B$48,IF(G823&lt;65,'General Basis'!$B$49,'General Basis'!$B$50)))))))))))))</f>
        <v/>
      </c>
      <c r="BI823" s="744" t="str">
        <f t="shared" si="291"/>
        <v/>
      </c>
      <c r="BJ823" s="747" t="str">
        <f t="shared" si="298"/>
        <v/>
      </c>
      <c r="BK823" s="498" t="str">
        <f t="shared" si="292"/>
        <v/>
      </c>
      <c r="BL823" s="498" t="str">
        <f t="shared" si="293"/>
        <v/>
      </c>
    </row>
    <row r="824" spans="1:64" x14ac:dyDescent="0.25">
      <c r="A824" s="762">
        <f t="shared" si="294"/>
        <v>819</v>
      </c>
      <c r="B824" s="229"/>
      <c r="C824" s="223"/>
      <c r="D824" s="224"/>
      <c r="E824" s="225"/>
      <c r="F824" s="1036" t="str">
        <f t="shared" si="300"/>
        <v/>
      </c>
      <c r="G824" s="1037" t="str">
        <f t="shared" si="295"/>
        <v/>
      </c>
      <c r="H824" s="225"/>
      <c r="I824" s="1013"/>
      <c r="J824" s="1013"/>
      <c r="K824" s="1028"/>
      <c r="L824" s="1035" t="str">
        <f t="shared" si="299"/>
        <v/>
      </c>
      <c r="S824" s="498"/>
      <c r="AJ824" s="498"/>
      <c r="AM824" s="498">
        <f t="shared" si="280"/>
        <v>0</v>
      </c>
      <c r="AN824" s="498">
        <f t="shared" si="281"/>
        <v>0</v>
      </c>
      <c r="AO824" s="498">
        <f t="shared" si="282"/>
        <v>0</v>
      </c>
      <c r="AP824" s="498">
        <f t="shared" si="301"/>
        <v>0</v>
      </c>
      <c r="AQ824" s="498">
        <f t="shared" si="296"/>
        <v>0</v>
      </c>
      <c r="AU824" s="498">
        <f t="shared" si="283"/>
        <v>0</v>
      </c>
      <c r="AV824" s="498">
        <f t="shared" si="284"/>
        <v>0</v>
      </c>
      <c r="AW824" s="498">
        <f t="shared" si="285"/>
        <v>0</v>
      </c>
      <c r="AX824" s="498">
        <f t="shared" si="286"/>
        <v>0</v>
      </c>
      <c r="AY824" s="498">
        <f t="shared" si="287"/>
        <v>0</v>
      </c>
      <c r="BB824" s="498" t="str">
        <f t="shared" si="288"/>
        <v/>
      </c>
      <c r="BC824" s="743" t="str">
        <f t="shared" si="289"/>
        <v/>
      </c>
      <c r="BD824" s="743" t="str">
        <f t="shared" si="290"/>
        <v/>
      </c>
      <c r="BE824" s="743" t="str">
        <f>IF(D824="","",VLOOKUP(D824,'General Basis'!$J$39:$K$46,2,0))</f>
        <v/>
      </c>
      <c r="BF824" s="744" t="str">
        <f>IF(D824="","",VLOOKUP(D824,'General Basis'!$J$39:$L$46,3,0))</f>
        <v/>
      </c>
      <c r="BG824" s="744" t="str">
        <f t="shared" si="297"/>
        <v/>
      </c>
      <c r="BH824" s="744" t="str">
        <f>IF(G824="","",IF(BF824="Abu Dhabi",IF(G824&lt;18,'General Basis'!$C$39,IF(G824&lt;41,'General Basis'!$C$40,IF(G824&lt;60,'General Basis'!$C$41,IF(G824&lt;65,'General Basis'!$C$42,'General Basis'!$C$43)))),IF(G824&lt;11,'General Basis'!$B$39,IF(G824&lt;18,'General Basis'!$B$40,IF(G824&lt;26,'General Basis'!$B$41,IF(G824&lt;31,'General Basis'!$B$42,IF(G824&lt;36,'General Basis'!$B$43,IF(G824&lt;41,'General Basis'!$B$44,IF(G824&lt;46,'General Basis'!$B$45,IF(G824&lt;51,'General Basis'!$B$46,IF(G824&lt;56,'General Basis'!$B$47,IF(G824&lt;60,'General Basis'!$B$48,IF(G824&lt;65,'General Basis'!$B$49,'General Basis'!$B$50)))))))))))))</f>
        <v/>
      </c>
      <c r="BI824" s="744" t="str">
        <f t="shared" si="291"/>
        <v/>
      </c>
      <c r="BJ824" s="747" t="str">
        <f t="shared" si="298"/>
        <v/>
      </c>
      <c r="BK824" s="498" t="str">
        <f t="shared" si="292"/>
        <v/>
      </c>
      <c r="BL824" s="498" t="str">
        <f t="shared" si="293"/>
        <v/>
      </c>
    </row>
    <row r="825" spans="1:64" x14ac:dyDescent="0.25">
      <c r="A825" s="762">
        <f t="shared" si="294"/>
        <v>820</v>
      </c>
      <c r="B825" s="229"/>
      <c r="C825" s="223"/>
      <c r="D825" s="224"/>
      <c r="E825" s="225"/>
      <c r="F825" s="1036" t="str">
        <f t="shared" si="300"/>
        <v/>
      </c>
      <c r="G825" s="1037" t="str">
        <f t="shared" si="295"/>
        <v/>
      </c>
      <c r="H825" s="225"/>
      <c r="I825" s="1013"/>
      <c r="J825" s="1013"/>
      <c r="K825" s="1028"/>
      <c r="L825" s="1035" t="str">
        <f t="shared" si="299"/>
        <v/>
      </c>
      <c r="S825" s="498"/>
      <c r="AJ825" s="498"/>
      <c r="AM825" s="498">
        <f t="shared" si="280"/>
        <v>0</v>
      </c>
      <c r="AN825" s="498">
        <f t="shared" si="281"/>
        <v>0</v>
      </c>
      <c r="AO825" s="498">
        <f t="shared" si="282"/>
        <v>0</v>
      </c>
      <c r="AP825" s="498">
        <f t="shared" si="301"/>
        <v>0</v>
      </c>
      <c r="AQ825" s="498">
        <f t="shared" si="296"/>
        <v>0</v>
      </c>
      <c r="AU825" s="498">
        <f t="shared" si="283"/>
        <v>0</v>
      </c>
      <c r="AV825" s="498">
        <f t="shared" si="284"/>
        <v>0</v>
      </c>
      <c r="AW825" s="498">
        <f t="shared" si="285"/>
        <v>0</v>
      </c>
      <c r="AX825" s="498">
        <f t="shared" si="286"/>
        <v>0</v>
      </c>
      <c r="AY825" s="498">
        <f t="shared" si="287"/>
        <v>0</v>
      </c>
      <c r="BB825" s="498" t="str">
        <f t="shared" si="288"/>
        <v/>
      </c>
      <c r="BC825" s="743" t="str">
        <f t="shared" si="289"/>
        <v/>
      </c>
      <c r="BD825" s="743" t="str">
        <f t="shared" si="290"/>
        <v/>
      </c>
      <c r="BE825" s="743" t="str">
        <f>IF(D825="","",VLOOKUP(D825,'General Basis'!$J$39:$K$46,2,0))</f>
        <v/>
      </c>
      <c r="BF825" s="744" t="str">
        <f>IF(D825="","",VLOOKUP(D825,'General Basis'!$J$39:$L$46,3,0))</f>
        <v/>
      </c>
      <c r="BG825" s="744" t="str">
        <f t="shared" si="297"/>
        <v/>
      </c>
      <c r="BH825" s="744" t="str">
        <f>IF(G825="","",IF(BF825="Abu Dhabi",IF(G825&lt;18,'General Basis'!$C$39,IF(G825&lt;41,'General Basis'!$C$40,IF(G825&lt;60,'General Basis'!$C$41,IF(G825&lt;65,'General Basis'!$C$42,'General Basis'!$C$43)))),IF(G825&lt;11,'General Basis'!$B$39,IF(G825&lt;18,'General Basis'!$B$40,IF(G825&lt;26,'General Basis'!$B$41,IF(G825&lt;31,'General Basis'!$B$42,IF(G825&lt;36,'General Basis'!$B$43,IF(G825&lt;41,'General Basis'!$B$44,IF(G825&lt;46,'General Basis'!$B$45,IF(G825&lt;51,'General Basis'!$B$46,IF(G825&lt;56,'General Basis'!$B$47,IF(G825&lt;60,'General Basis'!$B$48,IF(G825&lt;65,'General Basis'!$B$49,'General Basis'!$B$50)))))))))))))</f>
        <v/>
      </c>
      <c r="BI825" s="744" t="str">
        <f t="shared" si="291"/>
        <v/>
      </c>
      <c r="BJ825" s="747" t="str">
        <f t="shared" si="298"/>
        <v/>
      </c>
      <c r="BK825" s="498" t="str">
        <f t="shared" si="292"/>
        <v/>
      </c>
      <c r="BL825" s="498" t="str">
        <f t="shared" si="293"/>
        <v/>
      </c>
    </row>
    <row r="826" spans="1:64" x14ac:dyDescent="0.25">
      <c r="A826" s="762">
        <f t="shared" si="294"/>
        <v>821</v>
      </c>
      <c r="B826" s="229"/>
      <c r="C826" s="223"/>
      <c r="D826" s="224"/>
      <c r="E826" s="225"/>
      <c r="F826" s="1036" t="str">
        <f t="shared" si="300"/>
        <v/>
      </c>
      <c r="G826" s="1037" t="str">
        <f t="shared" si="295"/>
        <v/>
      </c>
      <c r="H826" s="225"/>
      <c r="I826" s="1013"/>
      <c r="J826" s="1013"/>
      <c r="K826" s="1028"/>
      <c r="L826" s="1035" t="str">
        <f t="shared" si="299"/>
        <v/>
      </c>
      <c r="S826" s="498"/>
      <c r="AJ826" s="498"/>
      <c r="AM826" s="498">
        <f t="shared" si="280"/>
        <v>0</v>
      </c>
      <c r="AN826" s="498">
        <f t="shared" si="281"/>
        <v>0</v>
      </c>
      <c r="AO826" s="498">
        <f t="shared" si="282"/>
        <v>0</v>
      </c>
      <c r="AP826" s="498">
        <f t="shared" si="301"/>
        <v>0</v>
      </c>
      <c r="AQ826" s="498">
        <f t="shared" si="296"/>
        <v>0</v>
      </c>
      <c r="AU826" s="498">
        <f t="shared" si="283"/>
        <v>0</v>
      </c>
      <c r="AV826" s="498">
        <f t="shared" si="284"/>
        <v>0</v>
      </c>
      <c r="AW826" s="498">
        <f t="shared" si="285"/>
        <v>0</v>
      </c>
      <c r="AX826" s="498">
        <f t="shared" si="286"/>
        <v>0</v>
      </c>
      <c r="AY826" s="498">
        <f t="shared" si="287"/>
        <v>0</v>
      </c>
      <c r="BB826" s="498" t="str">
        <f t="shared" si="288"/>
        <v/>
      </c>
      <c r="BC826" s="743" t="str">
        <f t="shared" si="289"/>
        <v/>
      </c>
      <c r="BD826" s="743" t="str">
        <f t="shared" si="290"/>
        <v/>
      </c>
      <c r="BE826" s="743" t="str">
        <f>IF(D826="","",VLOOKUP(D826,'General Basis'!$J$39:$K$46,2,0))</f>
        <v/>
      </c>
      <c r="BF826" s="744" t="str">
        <f>IF(D826="","",VLOOKUP(D826,'General Basis'!$J$39:$L$46,3,0))</f>
        <v/>
      </c>
      <c r="BG826" s="744" t="str">
        <f t="shared" si="297"/>
        <v/>
      </c>
      <c r="BH826" s="744" t="str">
        <f>IF(G826="","",IF(BF826="Abu Dhabi",IF(G826&lt;18,'General Basis'!$C$39,IF(G826&lt;41,'General Basis'!$C$40,IF(G826&lt;60,'General Basis'!$C$41,IF(G826&lt;65,'General Basis'!$C$42,'General Basis'!$C$43)))),IF(G826&lt;11,'General Basis'!$B$39,IF(G826&lt;18,'General Basis'!$B$40,IF(G826&lt;26,'General Basis'!$B$41,IF(G826&lt;31,'General Basis'!$B$42,IF(G826&lt;36,'General Basis'!$B$43,IF(G826&lt;41,'General Basis'!$B$44,IF(G826&lt;46,'General Basis'!$B$45,IF(G826&lt;51,'General Basis'!$B$46,IF(G826&lt;56,'General Basis'!$B$47,IF(G826&lt;60,'General Basis'!$B$48,IF(G826&lt;65,'General Basis'!$B$49,'General Basis'!$B$50)))))))))))))</f>
        <v/>
      </c>
      <c r="BI826" s="744" t="str">
        <f t="shared" si="291"/>
        <v/>
      </c>
      <c r="BJ826" s="747" t="str">
        <f t="shared" si="298"/>
        <v/>
      </c>
      <c r="BK826" s="498" t="str">
        <f t="shared" si="292"/>
        <v/>
      </c>
      <c r="BL826" s="498" t="str">
        <f t="shared" si="293"/>
        <v/>
      </c>
    </row>
    <row r="827" spans="1:64" x14ac:dyDescent="0.25">
      <c r="A827" s="762">
        <f t="shared" si="294"/>
        <v>822</v>
      </c>
      <c r="B827" s="229"/>
      <c r="C827" s="223"/>
      <c r="D827" s="224"/>
      <c r="E827" s="225"/>
      <c r="F827" s="1036" t="str">
        <f t="shared" si="300"/>
        <v/>
      </c>
      <c r="G827" s="1037" t="str">
        <f t="shared" si="295"/>
        <v/>
      </c>
      <c r="H827" s="225"/>
      <c r="I827" s="1013"/>
      <c r="J827" s="1013"/>
      <c r="K827" s="1028"/>
      <c r="L827" s="1035" t="str">
        <f t="shared" si="299"/>
        <v/>
      </c>
      <c r="S827" s="498"/>
      <c r="AJ827" s="498"/>
      <c r="AM827" s="498">
        <f t="shared" si="280"/>
        <v>0</v>
      </c>
      <c r="AN827" s="498">
        <f t="shared" si="281"/>
        <v>0</v>
      </c>
      <c r="AO827" s="498">
        <f t="shared" si="282"/>
        <v>0</v>
      </c>
      <c r="AP827" s="498">
        <f t="shared" si="301"/>
        <v>0</v>
      </c>
      <c r="AQ827" s="498">
        <f t="shared" si="296"/>
        <v>0</v>
      </c>
      <c r="AU827" s="498">
        <f t="shared" si="283"/>
        <v>0</v>
      </c>
      <c r="AV827" s="498">
        <f t="shared" si="284"/>
        <v>0</v>
      </c>
      <c r="AW827" s="498">
        <f t="shared" si="285"/>
        <v>0</v>
      </c>
      <c r="AX827" s="498">
        <f t="shared" si="286"/>
        <v>0</v>
      </c>
      <c r="AY827" s="498">
        <f t="shared" si="287"/>
        <v>0</v>
      </c>
      <c r="BB827" s="498" t="str">
        <f t="shared" si="288"/>
        <v/>
      </c>
      <c r="BC827" s="743" t="str">
        <f t="shared" si="289"/>
        <v/>
      </c>
      <c r="BD827" s="743" t="str">
        <f t="shared" si="290"/>
        <v/>
      </c>
      <c r="BE827" s="743" t="str">
        <f>IF(D827="","",VLOOKUP(D827,'General Basis'!$J$39:$K$46,2,0))</f>
        <v/>
      </c>
      <c r="BF827" s="744" t="str">
        <f>IF(D827="","",VLOOKUP(D827,'General Basis'!$J$39:$L$46,3,0))</f>
        <v/>
      </c>
      <c r="BG827" s="744" t="str">
        <f t="shared" si="297"/>
        <v/>
      </c>
      <c r="BH827" s="744" t="str">
        <f>IF(G827="","",IF(BF827="Abu Dhabi",IF(G827&lt;18,'General Basis'!$C$39,IF(G827&lt;41,'General Basis'!$C$40,IF(G827&lt;60,'General Basis'!$C$41,IF(G827&lt;65,'General Basis'!$C$42,'General Basis'!$C$43)))),IF(G827&lt;11,'General Basis'!$B$39,IF(G827&lt;18,'General Basis'!$B$40,IF(G827&lt;26,'General Basis'!$B$41,IF(G827&lt;31,'General Basis'!$B$42,IF(G827&lt;36,'General Basis'!$B$43,IF(G827&lt;41,'General Basis'!$B$44,IF(G827&lt;46,'General Basis'!$B$45,IF(G827&lt;51,'General Basis'!$B$46,IF(G827&lt;56,'General Basis'!$B$47,IF(G827&lt;60,'General Basis'!$B$48,IF(G827&lt;65,'General Basis'!$B$49,'General Basis'!$B$50)))))))))))))</f>
        <v/>
      </c>
      <c r="BI827" s="744" t="str">
        <f t="shared" si="291"/>
        <v/>
      </c>
      <c r="BJ827" s="747" t="str">
        <f t="shared" si="298"/>
        <v/>
      </c>
      <c r="BK827" s="498" t="str">
        <f t="shared" si="292"/>
        <v/>
      </c>
      <c r="BL827" s="498" t="str">
        <f t="shared" si="293"/>
        <v/>
      </c>
    </row>
    <row r="828" spans="1:64" x14ac:dyDescent="0.25">
      <c r="A828" s="762">
        <f t="shared" si="294"/>
        <v>823</v>
      </c>
      <c r="B828" s="229"/>
      <c r="C828" s="223"/>
      <c r="D828" s="224"/>
      <c r="E828" s="225"/>
      <c r="F828" s="1036" t="str">
        <f t="shared" si="300"/>
        <v/>
      </c>
      <c r="G828" s="1037" t="str">
        <f t="shared" si="295"/>
        <v/>
      </c>
      <c r="H828" s="225"/>
      <c r="I828" s="1013"/>
      <c r="J828" s="1013"/>
      <c r="K828" s="1028"/>
      <c r="L828" s="1035" t="str">
        <f t="shared" si="299"/>
        <v/>
      </c>
      <c r="S828" s="498"/>
      <c r="AJ828" s="498"/>
      <c r="AM828" s="498">
        <f t="shared" si="280"/>
        <v>0</v>
      </c>
      <c r="AN828" s="498">
        <f t="shared" si="281"/>
        <v>0</v>
      </c>
      <c r="AO828" s="498">
        <f t="shared" si="282"/>
        <v>0</v>
      </c>
      <c r="AP828" s="498">
        <f t="shared" si="301"/>
        <v>0</v>
      </c>
      <c r="AQ828" s="498">
        <f t="shared" si="296"/>
        <v>0</v>
      </c>
      <c r="AU828" s="498">
        <f t="shared" si="283"/>
        <v>0</v>
      </c>
      <c r="AV828" s="498">
        <f t="shared" si="284"/>
        <v>0</v>
      </c>
      <c r="AW828" s="498">
        <f t="shared" si="285"/>
        <v>0</v>
      </c>
      <c r="AX828" s="498">
        <f t="shared" si="286"/>
        <v>0</v>
      </c>
      <c r="AY828" s="498">
        <f t="shared" si="287"/>
        <v>0</v>
      </c>
      <c r="BB828" s="498" t="str">
        <f t="shared" si="288"/>
        <v/>
      </c>
      <c r="BC828" s="743" t="str">
        <f t="shared" si="289"/>
        <v/>
      </c>
      <c r="BD828" s="743" t="str">
        <f t="shared" si="290"/>
        <v/>
      </c>
      <c r="BE828" s="743" t="str">
        <f>IF(D828="","",VLOOKUP(D828,'General Basis'!$J$39:$K$46,2,0))</f>
        <v/>
      </c>
      <c r="BF828" s="744" t="str">
        <f>IF(D828="","",VLOOKUP(D828,'General Basis'!$J$39:$L$46,3,0))</f>
        <v/>
      </c>
      <c r="BG828" s="744" t="str">
        <f t="shared" si="297"/>
        <v/>
      </c>
      <c r="BH828" s="744" t="str">
        <f>IF(G828="","",IF(BF828="Abu Dhabi",IF(G828&lt;18,'General Basis'!$C$39,IF(G828&lt;41,'General Basis'!$C$40,IF(G828&lt;60,'General Basis'!$C$41,IF(G828&lt;65,'General Basis'!$C$42,'General Basis'!$C$43)))),IF(G828&lt;11,'General Basis'!$B$39,IF(G828&lt;18,'General Basis'!$B$40,IF(G828&lt;26,'General Basis'!$B$41,IF(G828&lt;31,'General Basis'!$B$42,IF(G828&lt;36,'General Basis'!$B$43,IF(G828&lt;41,'General Basis'!$B$44,IF(G828&lt;46,'General Basis'!$B$45,IF(G828&lt;51,'General Basis'!$B$46,IF(G828&lt;56,'General Basis'!$B$47,IF(G828&lt;60,'General Basis'!$B$48,IF(G828&lt;65,'General Basis'!$B$49,'General Basis'!$B$50)))))))))))))</f>
        <v/>
      </c>
      <c r="BI828" s="744" t="str">
        <f t="shared" si="291"/>
        <v/>
      </c>
      <c r="BJ828" s="747" t="str">
        <f t="shared" si="298"/>
        <v/>
      </c>
      <c r="BK828" s="498" t="str">
        <f t="shared" si="292"/>
        <v/>
      </c>
      <c r="BL828" s="498" t="str">
        <f t="shared" si="293"/>
        <v/>
      </c>
    </row>
    <row r="829" spans="1:64" x14ac:dyDescent="0.25">
      <c r="A829" s="762">
        <f t="shared" si="294"/>
        <v>824</v>
      </c>
      <c r="B829" s="229"/>
      <c r="C829" s="223"/>
      <c r="D829" s="224"/>
      <c r="E829" s="225"/>
      <c r="F829" s="1036" t="str">
        <f t="shared" si="300"/>
        <v/>
      </c>
      <c r="G829" s="1037" t="str">
        <f t="shared" si="295"/>
        <v/>
      </c>
      <c r="H829" s="225"/>
      <c r="I829" s="1013"/>
      <c r="J829" s="1013"/>
      <c r="K829" s="1028"/>
      <c r="L829" s="1035" t="str">
        <f t="shared" si="299"/>
        <v/>
      </c>
      <c r="S829" s="498"/>
      <c r="AJ829" s="498"/>
      <c r="AM829" s="498">
        <f t="shared" si="280"/>
        <v>0</v>
      </c>
      <c r="AN829" s="498">
        <f t="shared" si="281"/>
        <v>0</v>
      </c>
      <c r="AO829" s="498">
        <f t="shared" si="282"/>
        <v>0</v>
      </c>
      <c r="AP829" s="498">
        <f t="shared" si="301"/>
        <v>0</v>
      </c>
      <c r="AQ829" s="498">
        <f t="shared" si="296"/>
        <v>0</v>
      </c>
      <c r="AU829" s="498">
        <f t="shared" si="283"/>
        <v>0</v>
      </c>
      <c r="AV829" s="498">
        <f t="shared" si="284"/>
        <v>0</v>
      </c>
      <c r="AW829" s="498">
        <f t="shared" si="285"/>
        <v>0</v>
      </c>
      <c r="AX829" s="498">
        <f t="shared" si="286"/>
        <v>0</v>
      </c>
      <c r="AY829" s="498">
        <f t="shared" si="287"/>
        <v>0</v>
      </c>
      <c r="BB829" s="498" t="str">
        <f t="shared" si="288"/>
        <v/>
      </c>
      <c r="BC829" s="743" t="str">
        <f t="shared" si="289"/>
        <v/>
      </c>
      <c r="BD829" s="743" t="str">
        <f t="shared" si="290"/>
        <v/>
      </c>
      <c r="BE829" s="743" t="str">
        <f>IF(D829="","",VLOOKUP(D829,'General Basis'!$J$39:$K$46,2,0))</f>
        <v/>
      </c>
      <c r="BF829" s="744" t="str">
        <f>IF(D829="","",VLOOKUP(D829,'General Basis'!$J$39:$L$46,3,0))</f>
        <v/>
      </c>
      <c r="BG829" s="744" t="str">
        <f t="shared" si="297"/>
        <v/>
      </c>
      <c r="BH829" s="744" t="str">
        <f>IF(G829="","",IF(BF829="Abu Dhabi",IF(G829&lt;18,'General Basis'!$C$39,IF(G829&lt;41,'General Basis'!$C$40,IF(G829&lt;60,'General Basis'!$C$41,IF(G829&lt;65,'General Basis'!$C$42,'General Basis'!$C$43)))),IF(G829&lt;11,'General Basis'!$B$39,IF(G829&lt;18,'General Basis'!$B$40,IF(G829&lt;26,'General Basis'!$B$41,IF(G829&lt;31,'General Basis'!$B$42,IF(G829&lt;36,'General Basis'!$B$43,IF(G829&lt;41,'General Basis'!$B$44,IF(G829&lt;46,'General Basis'!$B$45,IF(G829&lt;51,'General Basis'!$B$46,IF(G829&lt;56,'General Basis'!$B$47,IF(G829&lt;60,'General Basis'!$B$48,IF(G829&lt;65,'General Basis'!$B$49,'General Basis'!$B$50)))))))))))))</f>
        <v/>
      </c>
      <c r="BI829" s="744" t="str">
        <f t="shared" si="291"/>
        <v/>
      </c>
      <c r="BJ829" s="747" t="str">
        <f t="shared" si="298"/>
        <v/>
      </c>
      <c r="BK829" s="498" t="str">
        <f t="shared" si="292"/>
        <v/>
      </c>
      <c r="BL829" s="498" t="str">
        <f t="shared" si="293"/>
        <v/>
      </c>
    </row>
    <row r="830" spans="1:64" x14ac:dyDescent="0.25">
      <c r="A830" s="762">
        <f t="shared" si="294"/>
        <v>825</v>
      </c>
      <c r="B830" s="229"/>
      <c r="C830" s="223"/>
      <c r="D830" s="224"/>
      <c r="E830" s="225"/>
      <c r="F830" s="1036" t="str">
        <f t="shared" si="300"/>
        <v/>
      </c>
      <c r="G830" s="1037" t="str">
        <f t="shared" si="295"/>
        <v/>
      </c>
      <c r="H830" s="225"/>
      <c r="I830" s="1013"/>
      <c r="J830" s="1013"/>
      <c r="K830" s="1028"/>
      <c r="L830" s="1035" t="str">
        <f t="shared" si="299"/>
        <v/>
      </c>
      <c r="S830" s="498"/>
      <c r="AJ830" s="498"/>
      <c r="AM830" s="498">
        <f t="shared" si="280"/>
        <v>0</v>
      </c>
      <c r="AN830" s="498">
        <f t="shared" si="281"/>
        <v>0</v>
      </c>
      <c r="AO830" s="498">
        <f t="shared" si="282"/>
        <v>0</v>
      </c>
      <c r="AP830" s="498">
        <f t="shared" si="301"/>
        <v>0</v>
      </c>
      <c r="AQ830" s="498">
        <f t="shared" si="296"/>
        <v>0</v>
      </c>
      <c r="AU830" s="498">
        <f t="shared" si="283"/>
        <v>0</v>
      </c>
      <c r="AV830" s="498">
        <f t="shared" si="284"/>
        <v>0</v>
      </c>
      <c r="AW830" s="498">
        <f t="shared" si="285"/>
        <v>0</v>
      </c>
      <c r="AX830" s="498">
        <f t="shared" si="286"/>
        <v>0</v>
      </c>
      <c r="AY830" s="498">
        <f t="shared" si="287"/>
        <v>0</v>
      </c>
      <c r="BB830" s="498" t="str">
        <f t="shared" si="288"/>
        <v/>
      </c>
      <c r="BC830" s="743" t="str">
        <f t="shared" si="289"/>
        <v/>
      </c>
      <c r="BD830" s="743" t="str">
        <f t="shared" si="290"/>
        <v/>
      </c>
      <c r="BE830" s="743" t="str">
        <f>IF(D830="","",VLOOKUP(D830,'General Basis'!$J$39:$K$46,2,0))</f>
        <v/>
      </c>
      <c r="BF830" s="744" t="str">
        <f>IF(D830="","",VLOOKUP(D830,'General Basis'!$J$39:$L$46,3,0))</f>
        <v/>
      </c>
      <c r="BG830" s="744" t="str">
        <f t="shared" si="297"/>
        <v/>
      </c>
      <c r="BH830" s="744" t="str">
        <f>IF(G830="","",IF(BF830="Abu Dhabi",IF(G830&lt;18,'General Basis'!$C$39,IF(G830&lt;41,'General Basis'!$C$40,IF(G830&lt;60,'General Basis'!$C$41,IF(G830&lt;65,'General Basis'!$C$42,'General Basis'!$C$43)))),IF(G830&lt;11,'General Basis'!$B$39,IF(G830&lt;18,'General Basis'!$B$40,IF(G830&lt;26,'General Basis'!$B$41,IF(G830&lt;31,'General Basis'!$B$42,IF(G830&lt;36,'General Basis'!$B$43,IF(G830&lt;41,'General Basis'!$B$44,IF(G830&lt;46,'General Basis'!$B$45,IF(G830&lt;51,'General Basis'!$B$46,IF(G830&lt;56,'General Basis'!$B$47,IF(G830&lt;60,'General Basis'!$B$48,IF(G830&lt;65,'General Basis'!$B$49,'General Basis'!$B$50)))))))))))))</f>
        <v/>
      </c>
      <c r="BI830" s="744" t="str">
        <f t="shared" si="291"/>
        <v/>
      </c>
      <c r="BJ830" s="747" t="str">
        <f t="shared" si="298"/>
        <v/>
      </c>
      <c r="BK830" s="498" t="str">
        <f t="shared" si="292"/>
        <v/>
      </c>
      <c r="BL830" s="498" t="str">
        <f t="shared" si="293"/>
        <v/>
      </c>
    </row>
    <row r="831" spans="1:64" x14ac:dyDescent="0.25">
      <c r="A831" s="762">
        <f t="shared" si="294"/>
        <v>826</v>
      </c>
      <c r="B831" s="229"/>
      <c r="C831" s="223"/>
      <c r="D831" s="224"/>
      <c r="E831" s="225"/>
      <c r="F831" s="1036" t="str">
        <f t="shared" si="300"/>
        <v/>
      </c>
      <c r="G831" s="1037" t="str">
        <f t="shared" si="295"/>
        <v/>
      </c>
      <c r="H831" s="225"/>
      <c r="I831" s="1013"/>
      <c r="J831" s="1013"/>
      <c r="K831" s="1028"/>
      <c r="L831" s="1035" t="str">
        <f t="shared" si="299"/>
        <v/>
      </c>
      <c r="S831" s="498"/>
      <c r="AJ831" s="498"/>
      <c r="AM831" s="498">
        <f t="shared" si="280"/>
        <v>0</v>
      </c>
      <c r="AN831" s="498">
        <f t="shared" si="281"/>
        <v>0</v>
      </c>
      <c r="AO831" s="498">
        <f t="shared" si="282"/>
        <v>0</v>
      </c>
      <c r="AP831" s="498">
        <f t="shared" si="301"/>
        <v>0</v>
      </c>
      <c r="AQ831" s="498">
        <f t="shared" si="296"/>
        <v>0</v>
      </c>
      <c r="AU831" s="498">
        <f t="shared" si="283"/>
        <v>0</v>
      </c>
      <c r="AV831" s="498">
        <f t="shared" si="284"/>
        <v>0</v>
      </c>
      <c r="AW831" s="498">
        <f t="shared" si="285"/>
        <v>0</v>
      </c>
      <c r="AX831" s="498">
        <f t="shared" si="286"/>
        <v>0</v>
      </c>
      <c r="AY831" s="498">
        <f t="shared" si="287"/>
        <v>0</v>
      </c>
      <c r="BB831" s="498" t="str">
        <f t="shared" si="288"/>
        <v/>
      </c>
      <c r="BC831" s="743" t="str">
        <f t="shared" si="289"/>
        <v/>
      </c>
      <c r="BD831" s="743" t="str">
        <f t="shared" si="290"/>
        <v/>
      </c>
      <c r="BE831" s="743" t="str">
        <f>IF(D831="","",VLOOKUP(D831,'General Basis'!$J$39:$K$46,2,0))</f>
        <v/>
      </c>
      <c r="BF831" s="744" t="str">
        <f>IF(D831="","",VLOOKUP(D831,'General Basis'!$J$39:$L$46,3,0))</f>
        <v/>
      </c>
      <c r="BG831" s="744" t="str">
        <f t="shared" si="297"/>
        <v/>
      </c>
      <c r="BH831" s="744" t="str">
        <f>IF(G831="","",IF(BF831="Abu Dhabi",IF(G831&lt;18,'General Basis'!$C$39,IF(G831&lt;41,'General Basis'!$C$40,IF(G831&lt;60,'General Basis'!$C$41,IF(G831&lt;65,'General Basis'!$C$42,'General Basis'!$C$43)))),IF(G831&lt;11,'General Basis'!$B$39,IF(G831&lt;18,'General Basis'!$B$40,IF(G831&lt;26,'General Basis'!$B$41,IF(G831&lt;31,'General Basis'!$B$42,IF(G831&lt;36,'General Basis'!$B$43,IF(G831&lt;41,'General Basis'!$B$44,IF(G831&lt;46,'General Basis'!$B$45,IF(G831&lt;51,'General Basis'!$B$46,IF(G831&lt;56,'General Basis'!$B$47,IF(G831&lt;60,'General Basis'!$B$48,IF(G831&lt;65,'General Basis'!$B$49,'General Basis'!$B$50)))))))))))))</f>
        <v/>
      </c>
      <c r="BI831" s="744" t="str">
        <f t="shared" si="291"/>
        <v/>
      </c>
      <c r="BJ831" s="747" t="str">
        <f t="shared" si="298"/>
        <v/>
      </c>
      <c r="BK831" s="498" t="str">
        <f t="shared" si="292"/>
        <v/>
      </c>
      <c r="BL831" s="498" t="str">
        <f t="shared" si="293"/>
        <v/>
      </c>
    </row>
    <row r="832" spans="1:64" x14ac:dyDescent="0.25">
      <c r="A832" s="762">
        <f t="shared" si="294"/>
        <v>827</v>
      </c>
      <c r="B832" s="229"/>
      <c r="C832" s="223"/>
      <c r="D832" s="224"/>
      <c r="E832" s="225"/>
      <c r="F832" s="1036" t="str">
        <f t="shared" si="300"/>
        <v/>
      </c>
      <c r="G832" s="1037" t="str">
        <f t="shared" si="295"/>
        <v/>
      </c>
      <c r="H832" s="225"/>
      <c r="I832" s="1013"/>
      <c r="J832" s="1013"/>
      <c r="K832" s="1028"/>
      <c r="L832" s="1035" t="str">
        <f t="shared" si="299"/>
        <v/>
      </c>
      <c r="S832" s="498"/>
      <c r="AJ832" s="498"/>
      <c r="AM832" s="498">
        <f t="shared" si="280"/>
        <v>0</v>
      </c>
      <c r="AN832" s="498">
        <f t="shared" si="281"/>
        <v>0</v>
      </c>
      <c r="AO832" s="498">
        <f t="shared" si="282"/>
        <v>0</v>
      </c>
      <c r="AP832" s="498">
        <f t="shared" si="301"/>
        <v>0</v>
      </c>
      <c r="AQ832" s="498">
        <f t="shared" si="296"/>
        <v>0</v>
      </c>
      <c r="AU832" s="498">
        <f t="shared" si="283"/>
        <v>0</v>
      </c>
      <c r="AV832" s="498">
        <f t="shared" si="284"/>
        <v>0</v>
      </c>
      <c r="AW832" s="498">
        <f t="shared" si="285"/>
        <v>0</v>
      </c>
      <c r="AX832" s="498">
        <f t="shared" si="286"/>
        <v>0</v>
      </c>
      <c r="AY832" s="498">
        <f t="shared" si="287"/>
        <v>0</v>
      </c>
      <c r="BB832" s="498" t="str">
        <f t="shared" si="288"/>
        <v/>
      </c>
      <c r="BC832" s="743" t="str">
        <f t="shared" si="289"/>
        <v/>
      </c>
      <c r="BD832" s="743" t="str">
        <f t="shared" si="290"/>
        <v/>
      </c>
      <c r="BE832" s="743" t="str">
        <f>IF(D832="","",VLOOKUP(D832,'General Basis'!$J$39:$K$46,2,0))</f>
        <v/>
      </c>
      <c r="BF832" s="744" t="str">
        <f>IF(D832="","",VLOOKUP(D832,'General Basis'!$J$39:$L$46,3,0))</f>
        <v/>
      </c>
      <c r="BG832" s="744" t="str">
        <f t="shared" si="297"/>
        <v/>
      </c>
      <c r="BH832" s="744" t="str">
        <f>IF(G832="","",IF(BF832="Abu Dhabi",IF(G832&lt;18,'General Basis'!$C$39,IF(G832&lt;41,'General Basis'!$C$40,IF(G832&lt;60,'General Basis'!$C$41,IF(G832&lt;65,'General Basis'!$C$42,'General Basis'!$C$43)))),IF(G832&lt;11,'General Basis'!$B$39,IF(G832&lt;18,'General Basis'!$B$40,IF(G832&lt;26,'General Basis'!$B$41,IF(G832&lt;31,'General Basis'!$B$42,IF(G832&lt;36,'General Basis'!$B$43,IF(G832&lt;41,'General Basis'!$B$44,IF(G832&lt;46,'General Basis'!$B$45,IF(G832&lt;51,'General Basis'!$B$46,IF(G832&lt;56,'General Basis'!$B$47,IF(G832&lt;60,'General Basis'!$B$48,IF(G832&lt;65,'General Basis'!$B$49,'General Basis'!$B$50)))))))))))))</f>
        <v/>
      </c>
      <c r="BI832" s="744" t="str">
        <f t="shared" si="291"/>
        <v/>
      </c>
      <c r="BJ832" s="747" t="str">
        <f t="shared" si="298"/>
        <v/>
      </c>
      <c r="BK832" s="498" t="str">
        <f t="shared" si="292"/>
        <v/>
      </c>
      <c r="BL832" s="498" t="str">
        <f t="shared" si="293"/>
        <v/>
      </c>
    </row>
    <row r="833" spans="1:64" x14ac:dyDescent="0.25">
      <c r="A833" s="762">
        <f t="shared" si="294"/>
        <v>828</v>
      </c>
      <c r="B833" s="229"/>
      <c r="C833" s="223"/>
      <c r="D833" s="224"/>
      <c r="E833" s="225"/>
      <c r="F833" s="1036" t="str">
        <f t="shared" si="300"/>
        <v/>
      </c>
      <c r="G833" s="1037" t="str">
        <f t="shared" si="295"/>
        <v/>
      </c>
      <c r="H833" s="225"/>
      <c r="I833" s="1013"/>
      <c r="J833" s="1013"/>
      <c r="K833" s="1028"/>
      <c r="L833" s="1035" t="str">
        <f t="shared" si="299"/>
        <v/>
      </c>
      <c r="S833" s="498"/>
      <c r="AJ833" s="498"/>
      <c r="AM833" s="498">
        <f t="shared" si="280"/>
        <v>0</v>
      </c>
      <c r="AN833" s="498">
        <f t="shared" si="281"/>
        <v>0</v>
      </c>
      <c r="AO833" s="498">
        <f t="shared" si="282"/>
        <v>0</v>
      </c>
      <c r="AP833" s="498">
        <f t="shared" si="301"/>
        <v>0</v>
      </c>
      <c r="AQ833" s="498">
        <f t="shared" si="296"/>
        <v>0</v>
      </c>
      <c r="AU833" s="498">
        <f t="shared" si="283"/>
        <v>0</v>
      </c>
      <c r="AV833" s="498">
        <f t="shared" si="284"/>
        <v>0</v>
      </c>
      <c r="AW833" s="498">
        <f t="shared" si="285"/>
        <v>0</v>
      </c>
      <c r="AX833" s="498">
        <f t="shared" si="286"/>
        <v>0</v>
      </c>
      <c r="AY833" s="498">
        <f t="shared" si="287"/>
        <v>0</v>
      </c>
      <c r="BB833" s="498" t="str">
        <f t="shared" si="288"/>
        <v/>
      </c>
      <c r="BC833" s="743" t="str">
        <f t="shared" si="289"/>
        <v/>
      </c>
      <c r="BD833" s="743" t="str">
        <f t="shared" si="290"/>
        <v/>
      </c>
      <c r="BE833" s="743" t="str">
        <f>IF(D833="","",VLOOKUP(D833,'General Basis'!$J$39:$K$46,2,0))</f>
        <v/>
      </c>
      <c r="BF833" s="744" t="str">
        <f>IF(D833="","",VLOOKUP(D833,'General Basis'!$J$39:$L$46,3,0))</f>
        <v/>
      </c>
      <c r="BG833" s="744" t="str">
        <f t="shared" si="297"/>
        <v/>
      </c>
      <c r="BH833" s="744" t="str">
        <f>IF(G833="","",IF(BF833="Abu Dhabi",IF(G833&lt;18,'General Basis'!$C$39,IF(G833&lt;41,'General Basis'!$C$40,IF(G833&lt;60,'General Basis'!$C$41,IF(G833&lt;65,'General Basis'!$C$42,'General Basis'!$C$43)))),IF(G833&lt;11,'General Basis'!$B$39,IF(G833&lt;18,'General Basis'!$B$40,IF(G833&lt;26,'General Basis'!$B$41,IF(G833&lt;31,'General Basis'!$B$42,IF(G833&lt;36,'General Basis'!$B$43,IF(G833&lt;41,'General Basis'!$B$44,IF(G833&lt;46,'General Basis'!$B$45,IF(G833&lt;51,'General Basis'!$B$46,IF(G833&lt;56,'General Basis'!$B$47,IF(G833&lt;60,'General Basis'!$B$48,IF(G833&lt;65,'General Basis'!$B$49,'General Basis'!$B$50)))))))))))))</f>
        <v/>
      </c>
      <c r="BI833" s="744" t="str">
        <f t="shared" si="291"/>
        <v/>
      </c>
      <c r="BJ833" s="747" t="str">
        <f t="shared" si="298"/>
        <v/>
      </c>
      <c r="BK833" s="498" t="str">
        <f t="shared" si="292"/>
        <v/>
      </c>
      <c r="BL833" s="498" t="str">
        <f t="shared" si="293"/>
        <v/>
      </c>
    </row>
    <row r="834" spans="1:64" x14ac:dyDescent="0.25">
      <c r="A834" s="762">
        <f t="shared" si="294"/>
        <v>829</v>
      </c>
      <c r="B834" s="229"/>
      <c r="C834" s="223"/>
      <c r="D834" s="224"/>
      <c r="E834" s="225"/>
      <c r="F834" s="1036" t="str">
        <f t="shared" si="300"/>
        <v/>
      </c>
      <c r="G834" s="1037" t="str">
        <f t="shared" si="295"/>
        <v/>
      </c>
      <c r="H834" s="225"/>
      <c r="I834" s="1013"/>
      <c r="J834" s="1013"/>
      <c r="K834" s="1028"/>
      <c r="L834" s="1035" t="str">
        <f t="shared" si="299"/>
        <v/>
      </c>
      <c r="S834" s="498"/>
      <c r="AJ834" s="498"/>
      <c r="AM834" s="498">
        <f t="shared" si="280"/>
        <v>0</v>
      </c>
      <c r="AN834" s="498">
        <f t="shared" si="281"/>
        <v>0</v>
      </c>
      <c r="AO834" s="498">
        <f t="shared" si="282"/>
        <v>0</v>
      </c>
      <c r="AP834" s="498">
        <f t="shared" si="301"/>
        <v>0</v>
      </c>
      <c r="AQ834" s="498">
        <f t="shared" si="296"/>
        <v>0</v>
      </c>
      <c r="AU834" s="498">
        <f t="shared" si="283"/>
        <v>0</v>
      </c>
      <c r="AV834" s="498">
        <f t="shared" si="284"/>
        <v>0</v>
      </c>
      <c r="AW834" s="498">
        <f t="shared" si="285"/>
        <v>0</v>
      </c>
      <c r="AX834" s="498">
        <f t="shared" si="286"/>
        <v>0</v>
      </c>
      <c r="AY834" s="498">
        <f t="shared" si="287"/>
        <v>0</v>
      </c>
      <c r="BB834" s="498" t="str">
        <f t="shared" si="288"/>
        <v/>
      </c>
      <c r="BC834" s="743" t="str">
        <f t="shared" si="289"/>
        <v/>
      </c>
      <c r="BD834" s="743" t="str">
        <f t="shared" si="290"/>
        <v/>
      </c>
      <c r="BE834" s="743" t="str">
        <f>IF(D834="","",VLOOKUP(D834,'General Basis'!$J$39:$K$46,2,0))</f>
        <v/>
      </c>
      <c r="BF834" s="744" t="str">
        <f>IF(D834="","",VLOOKUP(D834,'General Basis'!$J$39:$L$46,3,0))</f>
        <v/>
      </c>
      <c r="BG834" s="744" t="str">
        <f t="shared" si="297"/>
        <v/>
      </c>
      <c r="BH834" s="744" t="str">
        <f>IF(G834="","",IF(BF834="Abu Dhabi",IF(G834&lt;18,'General Basis'!$C$39,IF(G834&lt;41,'General Basis'!$C$40,IF(G834&lt;60,'General Basis'!$C$41,IF(G834&lt;65,'General Basis'!$C$42,'General Basis'!$C$43)))),IF(G834&lt;11,'General Basis'!$B$39,IF(G834&lt;18,'General Basis'!$B$40,IF(G834&lt;26,'General Basis'!$B$41,IF(G834&lt;31,'General Basis'!$B$42,IF(G834&lt;36,'General Basis'!$B$43,IF(G834&lt;41,'General Basis'!$B$44,IF(G834&lt;46,'General Basis'!$B$45,IF(G834&lt;51,'General Basis'!$B$46,IF(G834&lt;56,'General Basis'!$B$47,IF(G834&lt;60,'General Basis'!$B$48,IF(G834&lt;65,'General Basis'!$B$49,'General Basis'!$B$50)))))))))))))</f>
        <v/>
      </c>
      <c r="BI834" s="744" t="str">
        <f t="shared" si="291"/>
        <v/>
      </c>
      <c r="BJ834" s="747" t="str">
        <f t="shared" si="298"/>
        <v/>
      </c>
      <c r="BK834" s="498" t="str">
        <f t="shared" si="292"/>
        <v/>
      </c>
      <c r="BL834" s="498" t="str">
        <f t="shared" si="293"/>
        <v/>
      </c>
    </row>
    <row r="835" spans="1:64" x14ac:dyDescent="0.25">
      <c r="A835" s="762">
        <f t="shared" si="294"/>
        <v>830</v>
      </c>
      <c r="B835" s="229"/>
      <c r="C835" s="223"/>
      <c r="D835" s="224"/>
      <c r="E835" s="225"/>
      <c r="F835" s="1036" t="str">
        <f t="shared" si="300"/>
        <v/>
      </c>
      <c r="G835" s="1037" t="str">
        <f t="shared" si="295"/>
        <v/>
      </c>
      <c r="H835" s="225"/>
      <c r="I835" s="1013"/>
      <c r="J835" s="1013"/>
      <c r="K835" s="1028"/>
      <c r="L835" s="1035" t="str">
        <f t="shared" si="299"/>
        <v/>
      </c>
      <c r="S835" s="498"/>
      <c r="AJ835" s="498"/>
      <c r="AM835" s="498">
        <f t="shared" si="280"/>
        <v>0</v>
      </c>
      <c r="AN835" s="498">
        <f t="shared" si="281"/>
        <v>0</v>
      </c>
      <c r="AO835" s="498">
        <f t="shared" si="282"/>
        <v>0</v>
      </c>
      <c r="AP835" s="498">
        <f t="shared" si="301"/>
        <v>0</v>
      </c>
      <c r="AQ835" s="498">
        <f t="shared" si="296"/>
        <v>0</v>
      </c>
      <c r="AU835" s="498">
        <f t="shared" si="283"/>
        <v>0</v>
      </c>
      <c r="AV835" s="498">
        <f t="shared" si="284"/>
        <v>0</v>
      </c>
      <c r="AW835" s="498">
        <f t="shared" si="285"/>
        <v>0</v>
      </c>
      <c r="AX835" s="498">
        <f t="shared" si="286"/>
        <v>0</v>
      </c>
      <c r="AY835" s="498">
        <f t="shared" si="287"/>
        <v>0</v>
      </c>
      <c r="BB835" s="498" t="str">
        <f t="shared" si="288"/>
        <v/>
      </c>
      <c r="BC835" s="743" t="str">
        <f t="shared" si="289"/>
        <v/>
      </c>
      <c r="BD835" s="743" t="str">
        <f t="shared" si="290"/>
        <v/>
      </c>
      <c r="BE835" s="743" t="str">
        <f>IF(D835="","",VLOOKUP(D835,'General Basis'!$J$39:$K$46,2,0))</f>
        <v/>
      </c>
      <c r="BF835" s="744" t="str">
        <f>IF(D835="","",VLOOKUP(D835,'General Basis'!$J$39:$L$46,3,0))</f>
        <v/>
      </c>
      <c r="BG835" s="744" t="str">
        <f t="shared" si="297"/>
        <v/>
      </c>
      <c r="BH835" s="744" t="str">
        <f>IF(G835="","",IF(BF835="Abu Dhabi",IF(G835&lt;18,'General Basis'!$C$39,IF(G835&lt;41,'General Basis'!$C$40,IF(G835&lt;60,'General Basis'!$C$41,IF(G835&lt;65,'General Basis'!$C$42,'General Basis'!$C$43)))),IF(G835&lt;11,'General Basis'!$B$39,IF(G835&lt;18,'General Basis'!$B$40,IF(G835&lt;26,'General Basis'!$B$41,IF(G835&lt;31,'General Basis'!$B$42,IF(G835&lt;36,'General Basis'!$B$43,IF(G835&lt;41,'General Basis'!$B$44,IF(G835&lt;46,'General Basis'!$B$45,IF(G835&lt;51,'General Basis'!$B$46,IF(G835&lt;56,'General Basis'!$B$47,IF(G835&lt;60,'General Basis'!$B$48,IF(G835&lt;65,'General Basis'!$B$49,'General Basis'!$B$50)))))))))))))</f>
        <v/>
      </c>
      <c r="BI835" s="744" t="str">
        <f t="shared" si="291"/>
        <v/>
      </c>
      <c r="BJ835" s="747" t="str">
        <f t="shared" si="298"/>
        <v/>
      </c>
      <c r="BK835" s="498" t="str">
        <f t="shared" si="292"/>
        <v/>
      </c>
      <c r="BL835" s="498" t="str">
        <f t="shared" si="293"/>
        <v/>
      </c>
    </row>
    <row r="836" spans="1:64" x14ac:dyDescent="0.25">
      <c r="A836" s="762">
        <f t="shared" si="294"/>
        <v>831</v>
      </c>
      <c r="B836" s="229"/>
      <c r="C836" s="223"/>
      <c r="D836" s="224"/>
      <c r="E836" s="225"/>
      <c r="F836" s="1036" t="str">
        <f t="shared" si="300"/>
        <v/>
      </c>
      <c r="G836" s="1037" t="str">
        <f t="shared" si="295"/>
        <v/>
      </c>
      <c r="H836" s="225"/>
      <c r="I836" s="1013"/>
      <c r="J836" s="1013"/>
      <c r="K836" s="1028"/>
      <c r="L836" s="1035" t="str">
        <f t="shared" si="299"/>
        <v/>
      </c>
      <c r="S836" s="498"/>
      <c r="AJ836" s="498"/>
      <c r="AM836" s="498">
        <f t="shared" si="280"/>
        <v>0</v>
      </c>
      <c r="AN836" s="498">
        <f t="shared" si="281"/>
        <v>0</v>
      </c>
      <c r="AO836" s="498">
        <f t="shared" si="282"/>
        <v>0</v>
      </c>
      <c r="AP836" s="498">
        <f t="shared" si="301"/>
        <v>0</v>
      </c>
      <c r="AQ836" s="498">
        <f t="shared" si="296"/>
        <v>0</v>
      </c>
      <c r="AU836" s="498">
        <f t="shared" si="283"/>
        <v>0</v>
      </c>
      <c r="AV836" s="498">
        <f t="shared" si="284"/>
        <v>0</v>
      </c>
      <c r="AW836" s="498">
        <f t="shared" si="285"/>
        <v>0</v>
      </c>
      <c r="AX836" s="498">
        <f t="shared" si="286"/>
        <v>0</v>
      </c>
      <c r="AY836" s="498">
        <f t="shared" si="287"/>
        <v>0</v>
      </c>
      <c r="BB836" s="498" t="str">
        <f t="shared" si="288"/>
        <v/>
      </c>
      <c r="BC836" s="743" t="str">
        <f t="shared" si="289"/>
        <v/>
      </c>
      <c r="BD836" s="743" t="str">
        <f t="shared" si="290"/>
        <v/>
      </c>
      <c r="BE836" s="743" t="str">
        <f>IF(D836="","",VLOOKUP(D836,'General Basis'!$J$39:$K$46,2,0))</f>
        <v/>
      </c>
      <c r="BF836" s="744" t="str">
        <f>IF(D836="","",VLOOKUP(D836,'General Basis'!$J$39:$L$46,3,0))</f>
        <v/>
      </c>
      <c r="BG836" s="744" t="str">
        <f t="shared" si="297"/>
        <v/>
      </c>
      <c r="BH836" s="744" t="str">
        <f>IF(G836="","",IF(BF836="Abu Dhabi",IF(G836&lt;18,'General Basis'!$C$39,IF(G836&lt;41,'General Basis'!$C$40,IF(G836&lt;60,'General Basis'!$C$41,IF(G836&lt;65,'General Basis'!$C$42,'General Basis'!$C$43)))),IF(G836&lt;11,'General Basis'!$B$39,IF(G836&lt;18,'General Basis'!$B$40,IF(G836&lt;26,'General Basis'!$B$41,IF(G836&lt;31,'General Basis'!$B$42,IF(G836&lt;36,'General Basis'!$B$43,IF(G836&lt;41,'General Basis'!$B$44,IF(G836&lt;46,'General Basis'!$B$45,IF(G836&lt;51,'General Basis'!$B$46,IF(G836&lt;56,'General Basis'!$B$47,IF(G836&lt;60,'General Basis'!$B$48,IF(G836&lt;65,'General Basis'!$B$49,'General Basis'!$B$50)))))))))))))</f>
        <v/>
      </c>
      <c r="BI836" s="744" t="str">
        <f t="shared" si="291"/>
        <v/>
      </c>
      <c r="BJ836" s="747" t="str">
        <f t="shared" si="298"/>
        <v/>
      </c>
      <c r="BK836" s="498" t="str">
        <f t="shared" si="292"/>
        <v/>
      </c>
      <c r="BL836" s="498" t="str">
        <f t="shared" si="293"/>
        <v/>
      </c>
    </row>
    <row r="837" spans="1:64" x14ac:dyDescent="0.25">
      <c r="A837" s="762">
        <f t="shared" si="294"/>
        <v>832</v>
      </c>
      <c r="B837" s="229"/>
      <c r="C837" s="223"/>
      <c r="D837" s="224"/>
      <c r="E837" s="225"/>
      <c r="F837" s="1036" t="str">
        <f t="shared" si="300"/>
        <v/>
      </c>
      <c r="G837" s="1037" t="str">
        <f t="shared" si="295"/>
        <v/>
      </c>
      <c r="H837" s="225"/>
      <c r="I837" s="1013"/>
      <c r="J837" s="1013"/>
      <c r="K837" s="1028"/>
      <c r="L837" s="1035" t="str">
        <f t="shared" si="299"/>
        <v/>
      </c>
      <c r="S837" s="498"/>
      <c r="AJ837" s="498"/>
      <c r="AM837" s="498">
        <f t="shared" si="280"/>
        <v>0</v>
      </c>
      <c r="AN837" s="498">
        <f t="shared" si="281"/>
        <v>0</v>
      </c>
      <c r="AO837" s="498">
        <f t="shared" si="282"/>
        <v>0</v>
      </c>
      <c r="AP837" s="498">
        <f t="shared" si="301"/>
        <v>0</v>
      </c>
      <c r="AQ837" s="498">
        <f t="shared" si="296"/>
        <v>0</v>
      </c>
      <c r="AU837" s="498">
        <f t="shared" si="283"/>
        <v>0</v>
      </c>
      <c r="AV837" s="498">
        <f t="shared" si="284"/>
        <v>0</v>
      </c>
      <c r="AW837" s="498">
        <f t="shared" si="285"/>
        <v>0</v>
      </c>
      <c r="AX837" s="498">
        <f t="shared" si="286"/>
        <v>0</v>
      </c>
      <c r="AY837" s="498">
        <f t="shared" si="287"/>
        <v>0</v>
      </c>
      <c r="BB837" s="498" t="str">
        <f t="shared" si="288"/>
        <v/>
      </c>
      <c r="BC837" s="743" t="str">
        <f t="shared" si="289"/>
        <v/>
      </c>
      <c r="BD837" s="743" t="str">
        <f t="shared" si="290"/>
        <v/>
      </c>
      <c r="BE837" s="743" t="str">
        <f>IF(D837="","",VLOOKUP(D837,'General Basis'!$J$39:$K$46,2,0))</f>
        <v/>
      </c>
      <c r="BF837" s="744" t="str">
        <f>IF(D837="","",VLOOKUP(D837,'General Basis'!$J$39:$L$46,3,0))</f>
        <v/>
      </c>
      <c r="BG837" s="744" t="str">
        <f t="shared" si="297"/>
        <v/>
      </c>
      <c r="BH837" s="744" t="str">
        <f>IF(G837="","",IF(BF837="Abu Dhabi",IF(G837&lt;18,'General Basis'!$C$39,IF(G837&lt;41,'General Basis'!$C$40,IF(G837&lt;60,'General Basis'!$C$41,IF(G837&lt;65,'General Basis'!$C$42,'General Basis'!$C$43)))),IF(G837&lt;11,'General Basis'!$B$39,IF(G837&lt;18,'General Basis'!$B$40,IF(G837&lt;26,'General Basis'!$B$41,IF(G837&lt;31,'General Basis'!$B$42,IF(G837&lt;36,'General Basis'!$B$43,IF(G837&lt;41,'General Basis'!$B$44,IF(G837&lt;46,'General Basis'!$B$45,IF(G837&lt;51,'General Basis'!$B$46,IF(G837&lt;56,'General Basis'!$B$47,IF(G837&lt;60,'General Basis'!$B$48,IF(G837&lt;65,'General Basis'!$B$49,'General Basis'!$B$50)))))))))))))</f>
        <v/>
      </c>
      <c r="BI837" s="744" t="str">
        <f t="shared" si="291"/>
        <v/>
      </c>
      <c r="BJ837" s="747" t="str">
        <f t="shared" si="298"/>
        <v/>
      </c>
      <c r="BK837" s="498" t="str">
        <f t="shared" si="292"/>
        <v/>
      </c>
      <c r="BL837" s="498" t="str">
        <f t="shared" si="293"/>
        <v/>
      </c>
    </row>
    <row r="838" spans="1:64" x14ac:dyDescent="0.25">
      <c r="A838" s="762">
        <f t="shared" si="294"/>
        <v>833</v>
      </c>
      <c r="B838" s="229"/>
      <c r="C838" s="223"/>
      <c r="D838" s="224"/>
      <c r="E838" s="225"/>
      <c r="F838" s="1036" t="str">
        <f t="shared" si="300"/>
        <v/>
      </c>
      <c r="G838" s="1037" t="str">
        <f t="shared" si="295"/>
        <v/>
      </c>
      <c r="H838" s="225"/>
      <c r="I838" s="1013"/>
      <c r="J838" s="1013"/>
      <c r="K838" s="1028"/>
      <c r="L838" s="1035" t="str">
        <f t="shared" si="299"/>
        <v/>
      </c>
      <c r="S838" s="498"/>
      <c r="AJ838" s="498"/>
      <c r="AM838" s="498">
        <f t="shared" ref="AM838:AM901" si="302">IF(ISTEXT(B838),1,0)</f>
        <v>0</v>
      </c>
      <c r="AN838" s="498">
        <f t="shared" ref="AN838:AN901" si="303">IF(ISBLANK(B838),0,IF(B838&lt;$AK$6,1,0))</f>
        <v>0</v>
      </c>
      <c r="AO838" s="498">
        <f t="shared" ref="AO838:AO901" si="304">IF(ISBLANK(B838),0,IF(B838&gt;$AK$7,1,0))</f>
        <v>0</v>
      </c>
      <c r="AP838" s="498">
        <f t="shared" si="301"/>
        <v>0</v>
      </c>
      <c r="AQ838" s="498">
        <f t="shared" si="296"/>
        <v>0</v>
      </c>
      <c r="AU838" s="498">
        <f t="shared" ref="AU838:AU901" si="305">IF(ISBLANK(B838),0,1)</f>
        <v>0</v>
      </c>
      <c r="AV838" s="498">
        <f t="shared" ref="AV838:AV901" si="306">IF(ISBLANK(C838),0,1)</f>
        <v>0</v>
      </c>
      <c r="AW838" s="498">
        <f t="shared" ref="AW838:AW901" si="307">IF(ISBLANK(D838),0,1)</f>
        <v>0</v>
      </c>
      <c r="AX838" s="498">
        <f t="shared" ref="AX838:AX901" si="308">IF(ISBLANK(E838),0,1)</f>
        <v>0</v>
      </c>
      <c r="AY838" s="498">
        <f t="shared" ref="AY838:AY901" si="309">IF(ISBLANK(H838),0,1)</f>
        <v>0</v>
      </c>
      <c r="BB838" s="498" t="str">
        <f t="shared" ref="BB838:BB901" si="310">IF(E838="Principal","Principal",IF(E838="","","Other"))</f>
        <v/>
      </c>
      <c r="BC838" s="743" t="str">
        <f t="shared" ref="BC838:BC901" si="311">IF(D838="","",D838)</f>
        <v/>
      </c>
      <c r="BD838" s="743" t="str">
        <f t="shared" ref="BD838:BD901" si="312">IF(E838="Principal","Employee",IF(E838="","","Dependent"))</f>
        <v/>
      </c>
      <c r="BE838" s="743" t="str">
        <f>IF(D838="","",VLOOKUP(D838,'General Basis'!$J$39:$K$46,2,0))</f>
        <v/>
      </c>
      <c r="BF838" s="744" t="str">
        <f>IF(D838="","",VLOOKUP(D838,'General Basis'!$J$39:$L$46,3,0))</f>
        <v/>
      </c>
      <c r="BG838" s="744" t="str">
        <f t="shared" si="297"/>
        <v/>
      </c>
      <c r="BH838" s="744" t="str">
        <f>IF(G838="","",IF(BF838="Abu Dhabi",IF(G838&lt;18,'General Basis'!$C$39,IF(G838&lt;41,'General Basis'!$C$40,IF(G838&lt;60,'General Basis'!$C$41,IF(G838&lt;65,'General Basis'!$C$42,'General Basis'!$C$43)))),IF(G838&lt;11,'General Basis'!$B$39,IF(G838&lt;18,'General Basis'!$B$40,IF(G838&lt;26,'General Basis'!$B$41,IF(G838&lt;31,'General Basis'!$B$42,IF(G838&lt;36,'General Basis'!$B$43,IF(G838&lt;41,'General Basis'!$B$44,IF(G838&lt;46,'General Basis'!$B$45,IF(G838&lt;51,'General Basis'!$B$46,IF(G838&lt;56,'General Basis'!$B$47,IF(G838&lt;60,'General Basis'!$B$48,IF(G838&lt;65,'General Basis'!$B$49,'General Basis'!$B$50)))))))))))))</f>
        <v/>
      </c>
      <c r="BI838" s="744" t="str">
        <f t="shared" ref="BI838:BI901" si="313">IF(C838="","",IF(C838="M","Male","Female"))</f>
        <v/>
      </c>
      <c r="BJ838" s="747" t="str">
        <f t="shared" si="298"/>
        <v/>
      </c>
      <c r="BK838" s="498" t="str">
        <f t="shared" ref="BK838:BK901" si="314">IF(BD838="","",IF(AND(BD838="Employee",BI838="Male",BF838="Abu Dhabi",BE838=GN_Plus),VLOOKUP(BH838,AUH_MALE_EMP,2,0),IF(AND(BD838="Employee",BI838="Male",BF838="Abu Dhabi",BE838=GN),VLOOKUP(BH838,AUH_MALE_EMP,3,0),IF(AND(BD838="Employee",BI838="Male",BF838="Abu Dhabi",BE838=RN_Plus),VLOOKUP(BH838,AUH_MALE_EMP,4,0),IF(AND(BD838="Employee",BI838="Male",BF838="Abu Dhabi",BE838=RN),VLOOKUP(BH838,AUH_MALE_EMP,5,0),IF(AND(BD838="Employee",BI838="Male",BF838="Abu Dhabi",BE838=RN_2),VLOOKUP(BH838,AUH_MALE_EMP,6,0),IF(AND(BD838="Employee",BI838="Male",BF838="Abu Dhabi",BE838=RN2_minus),VLOOKUP(BH838,AUH_MALE_EMP,7,0),IF(AND(BD838="Employee",BI838="Male",BF838="Abu Dhabi",BE838=RN_3),VLOOKUP(BH838,AUH_MALE_EMP,8,0),IF(AND(BD838="Employee",BI838="Male",BF838="Abu Dhabi",BE838=VN),VLOOKUP(BH838,AUH_MALE_EMP,9,0),IF(BD838="","",IF(AND(BD838="Employee",BI838="Female",BF838="Abu Dhabi",BE838=GN_Plus),VLOOKUP(BH838,AUH_FEMALE_EMP,2,0),IF(AND(BD838="Employee",BI838="Female",BF838="Abu Dhabi",BE838=GN),VLOOKUP(BH838,AUH_FEMALE_EMP,3,0),IF(AND(BD838="Employee",BI838="Female",BF838="Abu Dhabi",BE838=RN_Plus),VLOOKUP(BH838,AUH_FEMALE_EMP,4,0),IF(AND(BD838="Employee",BI838="Female",BF838="Abu Dhabi",BE838=RN),VLOOKUP(BH838,AUH_FEMALE_EMP,5,0),IF(AND(BD838="Employee",BI838="Female",BF838="Abu Dhabi",BE838=RN_2),VLOOKUP(BH838,AUH_FEMALE_EMP,6,0),IF(AND(BD838="Employee",BI838="Female",BF838="Abu Dhabi",BE838=RN2_minus),VLOOKUP(BH838,AUH_FEMALE_EMP,7,0),IF(AND(BD838="Employee",BI838="Female",BF838="Abu Dhabi",BE838=RN_3),VLOOKUP(BH838,AUH_FEMALE_EMP,8,0),IF(AND(BD838="Employee",BI838="Female",BF838="Abu Dhabi",BE838=VN),VLOOKUP(BH838,AUH_FEMALE_EMP,9,0),IF(BD838="","",IF(AND(BD838="Dependent",BI838="Male",BF838="Abu Dhabi",BE838=GN_Plus),VLOOKUP(BH838,AUH_MALE_DEP,2,0),IF(AND(BD838="Dependent",BI838="Male",BF838="Abu Dhabi",BE838=GN),VLOOKUP(BH838,AUH_MALE_DEP,3,0),IF(AND(BD838="Dependent",BI838="Male",BF838="Abu Dhabi",BE838=RN_Plus),VLOOKUP(BH838,AUH_MALE_DEP,4,0),IF(AND(BD838="Dependent",BI838="Male",BF838="Abu Dhabi",BE838=RN),VLOOKUP(BH838,AUH_MALE_DEP,5,0),IF(AND(BD838="Dependent",BI838="Male",BF838="Abu Dhabi",BE838=RN_2),VLOOKUP(BH838,AUH_MALE_DEP,6,0),IF(AND(BD838="Dependent",BI838="Male",BF838="Abu Dhabi",BE838=RN2_minus),VLOOKUP(BH838,AUH_MALE_DEP,7,0),IF(AND(BD838="Dependent",BI838="Male",BF838="Abu Dhabi",BE838=RN_3),VLOOKUP(BH838,AUH_MALE_DEP,8,0),IF(AND(BD838="Dependent",BI838="Male",BF838="Abu Dhabi",BE838=VN),VLOOKUP(BH838,AUH_MALE_DEP,9,0),IF(BD838="","",IF(AND(BD838="Dependent",BI838="Female",BF838="Abu Dhabi",BE838=GN_Plus),VLOOKUP(BH838,AUH_FEMALE_DEP,2,0),IF(AND(BD838="Dependent",BI838="Female",BF838="Abu Dhabi",BE838=GN),VLOOKUP(BH838,AUH_FEMALE_DEP,3,0),IF(AND(BD838="Dependent",BI838="Female",BF838="Abu Dhabi",BE838=RN_Plus),VLOOKUP(BH838,AUH_FEMALE_DEP,4,0),IF(AND(BD838="Dependent",BI838="Female",BF838="Abu Dhabi",BE838=RN),VLOOKUP(BH838,AUH_FEMALE_DEP,5,0),IF(AND(BD838="Dependent",BI838="Female",BF838="Abu Dhabi",BE838=RN_2),VLOOKUP(BH838,AUH_FEMALE_DEP,6,0),IF(AND(BD838="Dependent",BI838="Female",BF838="Abu Dhabi",BE838=RN2_minus),VLOOKUP(BH838,AUH_FEMALE_DEP,7,0),IF(AND(BD838="Dependent",BI838="Female",BF838="Abu Dhabi",BE838=RN_3),VLOOKUP(BH838,AUH_FEMALE_DEP,8,0),IF(AND(BD838="Dependent",BI838="Female",BF838="Abu Dhabi",BE838=VN),VLOOKUP(BH838,AUH_FEMALE_DEP,9,0),"ABC"))))))))))))))))))))))))))))))))))))</f>
        <v/>
      </c>
      <c r="BL838" s="498" t="str">
        <f t="shared" ref="BL838:BL901" si="315">IF(BD838="","",IF(AND(BD838="Employee",BI838="Male",BF838="Dubai",BE838=GN_Plus),VLOOKUP(BH838,DXB_MALE_EMP,2,0),IF(AND(BD838="Employee",BI838="Male",BF838="Dubai",BE838=GN),VLOOKUP(BH838,DXB_MALE_EMP,3,0),IF(AND(BD838="Employee",BI838="Male",BF838="Dubai",BE838=RN_Plus),VLOOKUP(BH838,DXB_MALE_EMP,4,0),IF(AND(BD838="Employee",BI838="Male",BF838="Dubai",BE838=RN),VLOOKUP(BH838,DXB_MALE_EMP,5,0),IF(AND(BD838="Employee",BI838="Male",BF838="Dubai",BE838=RN_2),VLOOKUP(BH838,DXB_MALE_EMP,6,0),IF(AND(BD838="Employee",BI838="Male",BF838="Dubai",BE838=RN2_minus),VLOOKUP(BH838,DXB_MALE_EMP,7,0),IF(AND(BD838="Employee",BI838="Male",BF838="Dubai",BE838=RN_3),VLOOKUP(BH838,DXB_MALE_EMP,8,0),IF(AND(BD838="Employee",BI838="Male",BF838="Dubai",BE838=VN),VLOOKUP(BH838,DXB_MALE_EMP,9,0),IF(BD838="","",IF(AND(BD838="Employee",BI838="Female",BF838="Dubai",BE838=GN_Plus),VLOOKUP(BH838,DXB_FEMALE_EMP,2,0),IF(AND(BD838="Employee",BI838="Female",BF838="Dubai",BE838=GN),VLOOKUP(BH838,DXB_FEMALE_EMP,3,0),IF(AND(BD838="Employee",BI838="Female",BF838="Dubai",BE838=RN_Plus),VLOOKUP(BH838,DXB_FEMALE_EMP,4,0),IF(AND(BD838="Employee",BI838="Female",BF838="Dubai",BE838=RN),VLOOKUP(BH838,DXB_FEMALE_EMP,5,0),IF(AND(BD838="Employee",BI838="Female",BF838="Dubai",BE838=RN_2),VLOOKUP(BH838,DXB_FEMALE_EMP,6,0),IF(AND(BD838="Employee",BI838="Female",BF838="Dubai",BE838=RN2_minus),VLOOKUP(BH838,DXB_FEMALE_EMP,7,0),IF(AND(BD838="Employee",BI838="Female",BF838="Dubai",BE838=RN_3),VLOOKUP(BH838,DXB_FEMALE_EMP,8,0),IF(AND(BD838="Employee",BI838="Female",BF838="Dubai",BE838=VN),VLOOKUP(BH838,DXB_FEMALE_EMP,9,0),IF(BD838="","",IF(AND(BD838="Dependent",BI838="Male",BF838="Dubai",BE838=GN_Plus),VLOOKUP(BH838,DXB_MALE_DEP,2,0),IF(AND(BD838="Dependent",BI838="Male",BF838="Dubai",BE838=GN),VLOOKUP(BH838,DXB_MALE_DEP,3,0),IF(AND(BD838="Dependent",BI838="Male",BF838="Dubai",BE838=RN_Plus),VLOOKUP(BH838,DXB_MALE_DEP,4,0),IF(AND(BD838="Dependent",BI838="Male",BF838="Dubai",BE838=RN),VLOOKUP(BH838,DXB_MALE_DEP,5,0),IF(AND(BD838="Dependent",BI838="Male",BF838="Dubai",BE838=RN_2),VLOOKUP(BH838,DXB_MALE_DEP,6,0),IF(AND(BD838="Dependent",BI838="Male",BF838="Dubai",BE838=RN2_minus),VLOOKUP(BH838,DXB_MALE_DEP,7,0),IF(AND(BD838="Dependent",BI838="Male",BF838="Dubai",BE838=RN_3),VLOOKUP(BH838,DXB_MALE_DEP,8,0),IF(AND(BD838="Dependent",BI838="Male",BF838="Dubai",BE838=VN),VLOOKUP(BH838,DXB_MALE_DEP,9,0),IF(BD838="","",IF(AND(BD838="Dependent",BI838="Female",BF838="Dubai",BE838=GN_Plus),VLOOKUP(BH838,DXB_FEMALE_DEP,2,0),IF(AND(BD838="Dependent",BI838="Female",BF838="Dubai",BE838=GN),VLOOKUP(BH838,DXB_FEMALE_DEP,3,0),IF(AND(BD838="Dependent",BI838="Female",BF838="Dubai",BE838=RN_Plus),VLOOKUP(BH838,DXB_FEMALE_DEP,4,0),IF(AND(BD838="Dependent",BI838="Female",BF838="Dubai",BE838=RN),VLOOKUP(BH838,DXB_FEMALE_DEP,5,0),IF(AND(BD838="Dependent",BI838="Female",BF838="Dubai",BE838=RN_2),VLOOKUP(BH838,DXB_FEMALE_DEP,6,0),IF(AND(BD838="Dependent",BI838="Female",BF838="Dubai",BE838=RN2_minus),VLOOKUP(BH838,DXB_FEMALE_DEP,7,0),IF(AND(BD838="Dependent",BI838="Female",BF838="Dubai",BE838=RN_3),VLOOKUP(BH838,DXB_FEMALE_DEP,8,0),IF(AND(BD838="Dependent",BI838="Female",BF838="Dubai",BE838=VN),VLOOKUP(BH838,DXB_FEMALE_DEP,9,0),"ABC"))))))))))))))))))))))))))))))))))))</f>
        <v/>
      </c>
    </row>
    <row r="839" spans="1:64" x14ac:dyDescent="0.25">
      <c r="A839" s="762">
        <f t="shared" ref="A839:A902" si="316">+A838+1</f>
        <v>834</v>
      </c>
      <c r="B839" s="229"/>
      <c r="C839" s="223"/>
      <c r="D839" s="224"/>
      <c r="E839" s="225"/>
      <c r="F839" s="1036" t="str">
        <f t="shared" si="300"/>
        <v/>
      </c>
      <c r="G839" s="1037" t="str">
        <f t="shared" ref="G839:G902" si="317">IF(D839="","",MAX(0,ROUNDUP(F839,0)))</f>
        <v/>
      </c>
      <c r="H839" s="225"/>
      <c r="I839" s="1013"/>
      <c r="J839" s="1013"/>
      <c r="K839" s="1028"/>
      <c r="L839" s="1035" t="str">
        <f t="shared" si="299"/>
        <v/>
      </c>
      <c r="S839" s="498"/>
      <c r="AJ839" s="498"/>
      <c r="AM839" s="498">
        <f t="shared" si="302"/>
        <v>0</v>
      </c>
      <c r="AN839" s="498">
        <f t="shared" si="303"/>
        <v>0</v>
      </c>
      <c r="AO839" s="498">
        <f t="shared" si="304"/>
        <v>0</v>
      </c>
      <c r="AP839" s="498">
        <f t="shared" si="301"/>
        <v>0</v>
      </c>
      <c r="AQ839" s="498">
        <f t="shared" ref="AQ839:AQ902" si="318">IF(ISBLANK($B839),0,IF(OR($H839="Single",$H839="Married"),0,1))</f>
        <v>0</v>
      </c>
      <c r="AU839" s="498">
        <f t="shared" si="305"/>
        <v>0</v>
      </c>
      <c r="AV839" s="498">
        <f t="shared" si="306"/>
        <v>0</v>
      </c>
      <c r="AW839" s="498">
        <f t="shared" si="307"/>
        <v>0</v>
      </c>
      <c r="AX839" s="498">
        <f t="shared" si="308"/>
        <v>0</v>
      </c>
      <c r="AY839" s="498">
        <f t="shared" si="309"/>
        <v>0</v>
      </c>
      <c r="BB839" s="498" t="str">
        <f t="shared" si="310"/>
        <v/>
      </c>
      <c r="BC839" s="743" t="str">
        <f t="shared" si="311"/>
        <v/>
      </c>
      <c r="BD839" s="743" t="str">
        <f t="shared" si="312"/>
        <v/>
      </c>
      <c r="BE839" s="743" t="str">
        <f>IF(D839="","",VLOOKUP(D839,'General Basis'!$J$39:$K$46,2,0))</f>
        <v/>
      </c>
      <c r="BF839" s="744" t="str">
        <f>IF(D839="","",VLOOKUP(D839,'General Basis'!$J$39:$L$46,3,0))</f>
        <v/>
      </c>
      <c r="BG839" s="744" t="str">
        <f t="shared" ref="BG839:BG902" si="319">BC839&amp;BI839</f>
        <v/>
      </c>
      <c r="BH839" s="744" t="str">
        <f>IF(G839="","",IF(BF839="Abu Dhabi",IF(G839&lt;18,'General Basis'!$C$39,IF(G839&lt;41,'General Basis'!$C$40,IF(G839&lt;60,'General Basis'!$C$41,IF(G839&lt;65,'General Basis'!$C$42,'General Basis'!$C$43)))),IF(G839&lt;11,'General Basis'!$B$39,IF(G839&lt;18,'General Basis'!$B$40,IF(G839&lt;26,'General Basis'!$B$41,IF(G839&lt;31,'General Basis'!$B$42,IF(G839&lt;36,'General Basis'!$B$43,IF(G839&lt;41,'General Basis'!$B$44,IF(G839&lt;46,'General Basis'!$B$45,IF(G839&lt;51,'General Basis'!$B$46,IF(G839&lt;56,'General Basis'!$B$47,IF(G839&lt;60,'General Basis'!$B$48,IF(G839&lt;65,'General Basis'!$B$49,'General Basis'!$B$50)))))))))))))</f>
        <v/>
      </c>
      <c r="BI839" s="744" t="str">
        <f t="shared" si="313"/>
        <v/>
      </c>
      <c r="BJ839" s="747" t="str">
        <f t="shared" ref="BJ839:BJ902" si="320">IF(BD839="","",IF(BF839="Abu Dhabi",BK839,BL839))</f>
        <v/>
      </c>
      <c r="BK839" s="498" t="str">
        <f t="shared" si="314"/>
        <v/>
      </c>
      <c r="BL839" s="498" t="str">
        <f t="shared" si="315"/>
        <v/>
      </c>
    </row>
    <row r="840" spans="1:64" x14ac:dyDescent="0.25">
      <c r="A840" s="762">
        <f t="shared" si="316"/>
        <v>835</v>
      </c>
      <c r="B840" s="229"/>
      <c r="C840" s="223"/>
      <c r="D840" s="224"/>
      <c r="E840" s="225"/>
      <c r="F840" s="1036" t="str">
        <f t="shared" si="300"/>
        <v/>
      </c>
      <c r="G840" s="1037" t="str">
        <f t="shared" si="317"/>
        <v/>
      </c>
      <c r="H840" s="225"/>
      <c r="I840" s="1013"/>
      <c r="J840" s="1013"/>
      <c r="K840" s="1028"/>
      <c r="L840" s="1035" t="str">
        <f t="shared" ref="L840:L903" si="321">IF(AND(E840="Child",H840="Married"),"Check the Marital Status of the Child. ",IF(AND(E840="Child",F840&gt;18),"Child Age exceed 18 years. ",IF(AND(E840="Spouse",H840="Single"),"Spouse is selected as Single. ","")))&amp;IF(K840&gt;0,"UW Loading has been Applied","")</f>
        <v/>
      </c>
      <c r="S840" s="498"/>
      <c r="AJ840" s="498"/>
      <c r="AM840" s="498">
        <f t="shared" si="302"/>
        <v>0</v>
      </c>
      <c r="AN840" s="498">
        <f t="shared" si="303"/>
        <v>0</v>
      </c>
      <c r="AO840" s="498">
        <f t="shared" si="304"/>
        <v>0</v>
      </c>
      <c r="AP840" s="498">
        <f t="shared" si="301"/>
        <v>0</v>
      </c>
      <c r="AQ840" s="498">
        <f t="shared" si="318"/>
        <v>0</v>
      </c>
      <c r="AU840" s="498">
        <f t="shared" si="305"/>
        <v>0</v>
      </c>
      <c r="AV840" s="498">
        <f t="shared" si="306"/>
        <v>0</v>
      </c>
      <c r="AW840" s="498">
        <f t="shared" si="307"/>
        <v>0</v>
      </c>
      <c r="AX840" s="498">
        <f t="shared" si="308"/>
        <v>0</v>
      </c>
      <c r="AY840" s="498">
        <f t="shared" si="309"/>
        <v>0</v>
      </c>
      <c r="BB840" s="498" t="str">
        <f t="shared" si="310"/>
        <v/>
      </c>
      <c r="BC840" s="743" t="str">
        <f t="shared" si="311"/>
        <v/>
      </c>
      <c r="BD840" s="743" t="str">
        <f t="shared" si="312"/>
        <v/>
      </c>
      <c r="BE840" s="743" t="str">
        <f>IF(D840="","",VLOOKUP(D840,'General Basis'!$J$39:$K$46,2,0))</f>
        <v/>
      </c>
      <c r="BF840" s="744" t="str">
        <f>IF(D840="","",VLOOKUP(D840,'General Basis'!$J$39:$L$46,3,0))</f>
        <v/>
      </c>
      <c r="BG840" s="744" t="str">
        <f t="shared" si="319"/>
        <v/>
      </c>
      <c r="BH840" s="744" t="str">
        <f>IF(G840="","",IF(BF840="Abu Dhabi",IF(G840&lt;18,'General Basis'!$C$39,IF(G840&lt;41,'General Basis'!$C$40,IF(G840&lt;60,'General Basis'!$C$41,IF(G840&lt;65,'General Basis'!$C$42,'General Basis'!$C$43)))),IF(G840&lt;11,'General Basis'!$B$39,IF(G840&lt;18,'General Basis'!$B$40,IF(G840&lt;26,'General Basis'!$B$41,IF(G840&lt;31,'General Basis'!$B$42,IF(G840&lt;36,'General Basis'!$B$43,IF(G840&lt;41,'General Basis'!$B$44,IF(G840&lt;46,'General Basis'!$B$45,IF(G840&lt;51,'General Basis'!$B$46,IF(G840&lt;56,'General Basis'!$B$47,IF(G840&lt;60,'General Basis'!$B$48,IF(G840&lt;65,'General Basis'!$B$49,'General Basis'!$B$50)))))))))))))</f>
        <v/>
      </c>
      <c r="BI840" s="744" t="str">
        <f t="shared" si="313"/>
        <v/>
      </c>
      <c r="BJ840" s="747" t="str">
        <f t="shared" si="320"/>
        <v/>
      </c>
      <c r="BK840" s="498" t="str">
        <f t="shared" si="314"/>
        <v/>
      </c>
      <c r="BL840" s="498" t="str">
        <f t="shared" si="315"/>
        <v/>
      </c>
    </row>
    <row r="841" spans="1:64" x14ac:dyDescent="0.25">
      <c r="A841" s="762">
        <f t="shared" si="316"/>
        <v>836</v>
      </c>
      <c r="B841" s="229"/>
      <c r="C841" s="223"/>
      <c r="D841" s="224"/>
      <c r="E841" s="225"/>
      <c r="F841" s="1036" t="str">
        <f t="shared" si="300"/>
        <v/>
      </c>
      <c r="G841" s="1037" t="str">
        <f t="shared" si="317"/>
        <v/>
      </c>
      <c r="H841" s="225"/>
      <c r="I841" s="1013"/>
      <c r="J841" s="1013"/>
      <c r="K841" s="1028"/>
      <c r="L841" s="1035" t="str">
        <f t="shared" si="321"/>
        <v/>
      </c>
      <c r="S841" s="498"/>
      <c r="AJ841" s="498"/>
      <c r="AM841" s="498">
        <f t="shared" si="302"/>
        <v>0</v>
      </c>
      <c r="AN841" s="498">
        <f t="shared" si="303"/>
        <v>0</v>
      </c>
      <c r="AO841" s="498">
        <f t="shared" si="304"/>
        <v>0</v>
      </c>
      <c r="AP841" s="498">
        <f t="shared" si="301"/>
        <v>0</v>
      </c>
      <c r="AQ841" s="498">
        <f t="shared" si="318"/>
        <v>0</v>
      </c>
      <c r="AU841" s="498">
        <f t="shared" si="305"/>
        <v>0</v>
      </c>
      <c r="AV841" s="498">
        <f t="shared" si="306"/>
        <v>0</v>
      </c>
      <c r="AW841" s="498">
        <f t="shared" si="307"/>
        <v>0</v>
      </c>
      <c r="AX841" s="498">
        <f t="shared" si="308"/>
        <v>0</v>
      </c>
      <c r="AY841" s="498">
        <f t="shared" si="309"/>
        <v>0</v>
      </c>
      <c r="BB841" s="498" t="str">
        <f t="shared" si="310"/>
        <v/>
      </c>
      <c r="BC841" s="743" t="str">
        <f t="shared" si="311"/>
        <v/>
      </c>
      <c r="BD841" s="743" t="str">
        <f t="shared" si="312"/>
        <v/>
      </c>
      <c r="BE841" s="743" t="str">
        <f>IF(D841="","",VLOOKUP(D841,'General Basis'!$J$39:$K$46,2,0))</f>
        <v/>
      </c>
      <c r="BF841" s="744" t="str">
        <f>IF(D841="","",VLOOKUP(D841,'General Basis'!$J$39:$L$46,3,0))</f>
        <v/>
      </c>
      <c r="BG841" s="744" t="str">
        <f t="shared" si="319"/>
        <v/>
      </c>
      <c r="BH841" s="744" t="str">
        <f>IF(G841="","",IF(BF841="Abu Dhabi",IF(G841&lt;18,'General Basis'!$C$39,IF(G841&lt;41,'General Basis'!$C$40,IF(G841&lt;60,'General Basis'!$C$41,IF(G841&lt;65,'General Basis'!$C$42,'General Basis'!$C$43)))),IF(G841&lt;11,'General Basis'!$B$39,IF(G841&lt;18,'General Basis'!$B$40,IF(G841&lt;26,'General Basis'!$B$41,IF(G841&lt;31,'General Basis'!$B$42,IF(G841&lt;36,'General Basis'!$B$43,IF(G841&lt;41,'General Basis'!$B$44,IF(G841&lt;46,'General Basis'!$B$45,IF(G841&lt;51,'General Basis'!$B$46,IF(G841&lt;56,'General Basis'!$B$47,IF(G841&lt;60,'General Basis'!$B$48,IF(G841&lt;65,'General Basis'!$B$49,'General Basis'!$B$50)))))))))))))</f>
        <v/>
      </c>
      <c r="BI841" s="744" t="str">
        <f t="shared" si="313"/>
        <v/>
      </c>
      <c r="BJ841" s="747" t="str">
        <f t="shared" si="320"/>
        <v/>
      </c>
      <c r="BK841" s="498" t="str">
        <f t="shared" si="314"/>
        <v/>
      </c>
      <c r="BL841" s="498" t="str">
        <f t="shared" si="315"/>
        <v/>
      </c>
    </row>
    <row r="842" spans="1:64" x14ac:dyDescent="0.25">
      <c r="A842" s="762">
        <f t="shared" si="316"/>
        <v>837</v>
      </c>
      <c r="B842" s="229"/>
      <c r="C842" s="223"/>
      <c r="D842" s="224"/>
      <c r="E842" s="225"/>
      <c r="F842" s="1036" t="str">
        <f t="shared" si="300"/>
        <v/>
      </c>
      <c r="G842" s="1037" t="str">
        <f t="shared" si="317"/>
        <v/>
      </c>
      <c r="H842" s="225"/>
      <c r="I842" s="1013"/>
      <c r="J842" s="1013"/>
      <c r="K842" s="1028"/>
      <c r="L842" s="1035" t="str">
        <f t="shared" si="321"/>
        <v/>
      </c>
      <c r="S842" s="498"/>
      <c r="AJ842" s="498"/>
      <c r="AM842" s="498">
        <f t="shared" si="302"/>
        <v>0</v>
      </c>
      <c r="AN842" s="498">
        <f t="shared" si="303"/>
        <v>0</v>
      </c>
      <c r="AO842" s="498">
        <f t="shared" si="304"/>
        <v>0</v>
      </c>
      <c r="AP842" s="498">
        <f t="shared" si="301"/>
        <v>0</v>
      </c>
      <c r="AQ842" s="498">
        <f t="shared" si="318"/>
        <v>0</v>
      </c>
      <c r="AU842" s="498">
        <f t="shared" si="305"/>
        <v>0</v>
      </c>
      <c r="AV842" s="498">
        <f t="shared" si="306"/>
        <v>0</v>
      </c>
      <c r="AW842" s="498">
        <f t="shared" si="307"/>
        <v>0</v>
      </c>
      <c r="AX842" s="498">
        <f t="shared" si="308"/>
        <v>0</v>
      </c>
      <c r="AY842" s="498">
        <f t="shared" si="309"/>
        <v>0</v>
      </c>
      <c r="BB842" s="498" t="str">
        <f t="shared" si="310"/>
        <v/>
      </c>
      <c r="BC842" s="743" t="str">
        <f t="shared" si="311"/>
        <v/>
      </c>
      <c r="BD842" s="743" t="str">
        <f t="shared" si="312"/>
        <v/>
      </c>
      <c r="BE842" s="743" t="str">
        <f>IF(D842="","",VLOOKUP(D842,'General Basis'!$J$39:$K$46,2,0))</f>
        <v/>
      </c>
      <c r="BF842" s="744" t="str">
        <f>IF(D842="","",VLOOKUP(D842,'General Basis'!$J$39:$L$46,3,0))</f>
        <v/>
      </c>
      <c r="BG842" s="744" t="str">
        <f t="shared" si="319"/>
        <v/>
      </c>
      <c r="BH842" s="744" t="str">
        <f>IF(G842="","",IF(BF842="Abu Dhabi",IF(G842&lt;18,'General Basis'!$C$39,IF(G842&lt;41,'General Basis'!$C$40,IF(G842&lt;60,'General Basis'!$C$41,IF(G842&lt;65,'General Basis'!$C$42,'General Basis'!$C$43)))),IF(G842&lt;11,'General Basis'!$B$39,IF(G842&lt;18,'General Basis'!$B$40,IF(G842&lt;26,'General Basis'!$B$41,IF(G842&lt;31,'General Basis'!$B$42,IF(G842&lt;36,'General Basis'!$B$43,IF(G842&lt;41,'General Basis'!$B$44,IF(G842&lt;46,'General Basis'!$B$45,IF(G842&lt;51,'General Basis'!$B$46,IF(G842&lt;56,'General Basis'!$B$47,IF(G842&lt;60,'General Basis'!$B$48,IF(G842&lt;65,'General Basis'!$B$49,'General Basis'!$B$50)))))))))))))</f>
        <v/>
      </c>
      <c r="BI842" s="744" t="str">
        <f t="shared" si="313"/>
        <v/>
      </c>
      <c r="BJ842" s="747" t="str">
        <f t="shared" si="320"/>
        <v/>
      </c>
      <c r="BK842" s="498" t="str">
        <f t="shared" si="314"/>
        <v/>
      </c>
      <c r="BL842" s="498" t="str">
        <f t="shared" si="315"/>
        <v/>
      </c>
    </row>
    <row r="843" spans="1:64" x14ac:dyDescent="0.25">
      <c r="A843" s="762">
        <f t="shared" si="316"/>
        <v>838</v>
      </c>
      <c r="B843" s="229"/>
      <c r="C843" s="223"/>
      <c r="D843" s="224"/>
      <c r="E843" s="225"/>
      <c r="F843" s="1036" t="str">
        <f t="shared" si="300"/>
        <v/>
      </c>
      <c r="G843" s="1037" t="str">
        <f t="shared" si="317"/>
        <v/>
      </c>
      <c r="H843" s="225"/>
      <c r="I843" s="1013"/>
      <c r="J843" s="1013"/>
      <c r="K843" s="1028"/>
      <c r="L843" s="1035" t="str">
        <f t="shared" si="321"/>
        <v/>
      </c>
      <c r="S843" s="498"/>
      <c r="AJ843" s="498"/>
      <c r="AM843" s="498">
        <f t="shared" si="302"/>
        <v>0</v>
      </c>
      <c r="AN843" s="498">
        <f t="shared" si="303"/>
        <v>0</v>
      </c>
      <c r="AO843" s="498">
        <f t="shared" si="304"/>
        <v>0</v>
      </c>
      <c r="AP843" s="498">
        <f t="shared" si="301"/>
        <v>0</v>
      </c>
      <c r="AQ843" s="498">
        <f t="shared" si="318"/>
        <v>0</v>
      </c>
      <c r="AU843" s="498">
        <f t="shared" si="305"/>
        <v>0</v>
      </c>
      <c r="AV843" s="498">
        <f t="shared" si="306"/>
        <v>0</v>
      </c>
      <c r="AW843" s="498">
        <f t="shared" si="307"/>
        <v>0</v>
      </c>
      <c r="AX843" s="498">
        <f t="shared" si="308"/>
        <v>0</v>
      </c>
      <c r="AY843" s="498">
        <f t="shared" si="309"/>
        <v>0</v>
      </c>
      <c r="BB843" s="498" t="str">
        <f t="shared" si="310"/>
        <v/>
      </c>
      <c r="BC843" s="743" t="str">
        <f t="shared" si="311"/>
        <v/>
      </c>
      <c r="BD843" s="743" t="str">
        <f t="shared" si="312"/>
        <v/>
      </c>
      <c r="BE843" s="743" t="str">
        <f>IF(D843="","",VLOOKUP(D843,'General Basis'!$J$39:$K$46,2,0))</f>
        <v/>
      </c>
      <c r="BF843" s="744" t="str">
        <f>IF(D843="","",VLOOKUP(D843,'General Basis'!$J$39:$L$46,3,0))</f>
        <v/>
      </c>
      <c r="BG843" s="744" t="str">
        <f t="shared" si="319"/>
        <v/>
      </c>
      <c r="BH843" s="744" t="str">
        <f>IF(G843="","",IF(BF843="Abu Dhabi",IF(G843&lt;18,'General Basis'!$C$39,IF(G843&lt;41,'General Basis'!$C$40,IF(G843&lt;60,'General Basis'!$C$41,IF(G843&lt;65,'General Basis'!$C$42,'General Basis'!$C$43)))),IF(G843&lt;11,'General Basis'!$B$39,IF(G843&lt;18,'General Basis'!$B$40,IF(G843&lt;26,'General Basis'!$B$41,IF(G843&lt;31,'General Basis'!$B$42,IF(G843&lt;36,'General Basis'!$B$43,IF(G843&lt;41,'General Basis'!$B$44,IF(G843&lt;46,'General Basis'!$B$45,IF(G843&lt;51,'General Basis'!$B$46,IF(G843&lt;56,'General Basis'!$B$47,IF(G843&lt;60,'General Basis'!$B$48,IF(G843&lt;65,'General Basis'!$B$49,'General Basis'!$B$50)))))))))))))</f>
        <v/>
      </c>
      <c r="BI843" s="744" t="str">
        <f t="shared" si="313"/>
        <v/>
      </c>
      <c r="BJ843" s="747" t="str">
        <f t="shared" si="320"/>
        <v/>
      </c>
      <c r="BK843" s="498" t="str">
        <f t="shared" si="314"/>
        <v/>
      </c>
      <c r="BL843" s="498" t="str">
        <f t="shared" si="315"/>
        <v/>
      </c>
    </row>
    <row r="844" spans="1:64" x14ac:dyDescent="0.25">
      <c r="A844" s="762">
        <f t="shared" si="316"/>
        <v>839</v>
      </c>
      <c r="B844" s="229"/>
      <c r="C844" s="223"/>
      <c r="D844" s="224"/>
      <c r="E844" s="225"/>
      <c r="F844" s="1036" t="str">
        <f t="shared" si="300"/>
        <v/>
      </c>
      <c r="G844" s="1037" t="str">
        <f t="shared" si="317"/>
        <v/>
      </c>
      <c r="H844" s="225"/>
      <c r="I844" s="1013"/>
      <c r="J844" s="1013"/>
      <c r="K844" s="1028"/>
      <c r="L844" s="1035" t="str">
        <f t="shared" si="321"/>
        <v/>
      </c>
      <c r="S844" s="498"/>
      <c r="AJ844" s="498"/>
      <c r="AM844" s="498">
        <f t="shared" si="302"/>
        <v>0</v>
      </c>
      <c r="AN844" s="498">
        <f t="shared" si="303"/>
        <v>0</v>
      </c>
      <c r="AO844" s="498">
        <f t="shared" si="304"/>
        <v>0</v>
      </c>
      <c r="AP844" s="498">
        <f t="shared" si="301"/>
        <v>0</v>
      </c>
      <c r="AQ844" s="498">
        <f t="shared" si="318"/>
        <v>0</v>
      </c>
      <c r="AU844" s="498">
        <f t="shared" si="305"/>
        <v>0</v>
      </c>
      <c r="AV844" s="498">
        <f t="shared" si="306"/>
        <v>0</v>
      </c>
      <c r="AW844" s="498">
        <f t="shared" si="307"/>
        <v>0</v>
      </c>
      <c r="AX844" s="498">
        <f t="shared" si="308"/>
        <v>0</v>
      </c>
      <c r="AY844" s="498">
        <f t="shared" si="309"/>
        <v>0</v>
      </c>
      <c r="BB844" s="498" t="str">
        <f t="shared" si="310"/>
        <v/>
      </c>
      <c r="BC844" s="743" t="str">
        <f t="shared" si="311"/>
        <v/>
      </c>
      <c r="BD844" s="743" t="str">
        <f t="shared" si="312"/>
        <v/>
      </c>
      <c r="BE844" s="743" t="str">
        <f>IF(D844="","",VLOOKUP(D844,'General Basis'!$J$39:$K$46,2,0))</f>
        <v/>
      </c>
      <c r="BF844" s="744" t="str">
        <f>IF(D844="","",VLOOKUP(D844,'General Basis'!$J$39:$L$46,3,0))</f>
        <v/>
      </c>
      <c r="BG844" s="744" t="str">
        <f t="shared" si="319"/>
        <v/>
      </c>
      <c r="BH844" s="744" t="str">
        <f>IF(G844="","",IF(BF844="Abu Dhabi",IF(G844&lt;18,'General Basis'!$C$39,IF(G844&lt;41,'General Basis'!$C$40,IF(G844&lt;60,'General Basis'!$C$41,IF(G844&lt;65,'General Basis'!$C$42,'General Basis'!$C$43)))),IF(G844&lt;11,'General Basis'!$B$39,IF(G844&lt;18,'General Basis'!$B$40,IF(G844&lt;26,'General Basis'!$B$41,IF(G844&lt;31,'General Basis'!$B$42,IF(G844&lt;36,'General Basis'!$B$43,IF(G844&lt;41,'General Basis'!$B$44,IF(G844&lt;46,'General Basis'!$B$45,IF(G844&lt;51,'General Basis'!$B$46,IF(G844&lt;56,'General Basis'!$B$47,IF(G844&lt;60,'General Basis'!$B$48,IF(G844&lt;65,'General Basis'!$B$49,'General Basis'!$B$50)))))))))))))</f>
        <v/>
      </c>
      <c r="BI844" s="744" t="str">
        <f t="shared" si="313"/>
        <v/>
      </c>
      <c r="BJ844" s="747" t="str">
        <f t="shared" si="320"/>
        <v/>
      </c>
      <c r="BK844" s="498" t="str">
        <f t="shared" si="314"/>
        <v/>
      </c>
      <c r="BL844" s="498" t="str">
        <f t="shared" si="315"/>
        <v/>
      </c>
    </row>
    <row r="845" spans="1:64" x14ac:dyDescent="0.25">
      <c r="A845" s="762">
        <f t="shared" si="316"/>
        <v>840</v>
      </c>
      <c r="B845" s="229"/>
      <c r="C845" s="223"/>
      <c r="D845" s="224"/>
      <c r="E845" s="225"/>
      <c r="F845" s="1036" t="str">
        <f t="shared" si="300"/>
        <v/>
      </c>
      <c r="G845" s="1037" t="str">
        <f t="shared" si="317"/>
        <v/>
      </c>
      <c r="H845" s="225"/>
      <c r="I845" s="1013"/>
      <c r="J845" s="1013"/>
      <c r="K845" s="1028"/>
      <c r="L845" s="1035" t="str">
        <f t="shared" si="321"/>
        <v/>
      </c>
      <c r="S845" s="498"/>
      <c r="AJ845" s="498"/>
      <c r="AM845" s="498">
        <f t="shared" si="302"/>
        <v>0</v>
      </c>
      <c r="AN845" s="498">
        <f t="shared" si="303"/>
        <v>0</v>
      </c>
      <c r="AO845" s="498">
        <f t="shared" si="304"/>
        <v>0</v>
      </c>
      <c r="AP845" s="498">
        <f t="shared" si="301"/>
        <v>0</v>
      </c>
      <c r="AQ845" s="498">
        <f t="shared" si="318"/>
        <v>0</v>
      </c>
      <c r="AU845" s="498">
        <f t="shared" si="305"/>
        <v>0</v>
      </c>
      <c r="AV845" s="498">
        <f t="shared" si="306"/>
        <v>0</v>
      </c>
      <c r="AW845" s="498">
        <f t="shared" si="307"/>
        <v>0</v>
      </c>
      <c r="AX845" s="498">
        <f t="shared" si="308"/>
        <v>0</v>
      </c>
      <c r="AY845" s="498">
        <f t="shared" si="309"/>
        <v>0</v>
      </c>
      <c r="BB845" s="498" t="str">
        <f t="shared" si="310"/>
        <v/>
      </c>
      <c r="BC845" s="743" t="str">
        <f t="shared" si="311"/>
        <v/>
      </c>
      <c r="BD845" s="743" t="str">
        <f t="shared" si="312"/>
        <v/>
      </c>
      <c r="BE845" s="743" t="str">
        <f>IF(D845="","",VLOOKUP(D845,'General Basis'!$J$39:$K$46,2,0))</f>
        <v/>
      </c>
      <c r="BF845" s="744" t="str">
        <f>IF(D845="","",VLOOKUP(D845,'General Basis'!$J$39:$L$46,3,0))</f>
        <v/>
      </c>
      <c r="BG845" s="744" t="str">
        <f t="shared" si="319"/>
        <v/>
      </c>
      <c r="BH845" s="744" t="str">
        <f>IF(G845="","",IF(BF845="Abu Dhabi",IF(G845&lt;18,'General Basis'!$C$39,IF(G845&lt;41,'General Basis'!$C$40,IF(G845&lt;60,'General Basis'!$C$41,IF(G845&lt;65,'General Basis'!$C$42,'General Basis'!$C$43)))),IF(G845&lt;11,'General Basis'!$B$39,IF(G845&lt;18,'General Basis'!$B$40,IF(G845&lt;26,'General Basis'!$B$41,IF(G845&lt;31,'General Basis'!$B$42,IF(G845&lt;36,'General Basis'!$B$43,IF(G845&lt;41,'General Basis'!$B$44,IF(G845&lt;46,'General Basis'!$B$45,IF(G845&lt;51,'General Basis'!$B$46,IF(G845&lt;56,'General Basis'!$B$47,IF(G845&lt;60,'General Basis'!$B$48,IF(G845&lt;65,'General Basis'!$B$49,'General Basis'!$B$50)))))))))))))</f>
        <v/>
      </c>
      <c r="BI845" s="744" t="str">
        <f t="shared" si="313"/>
        <v/>
      </c>
      <c r="BJ845" s="747" t="str">
        <f t="shared" si="320"/>
        <v/>
      </c>
      <c r="BK845" s="498" t="str">
        <f t="shared" si="314"/>
        <v/>
      </c>
      <c r="BL845" s="498" t="str">
        <f t="shared" si="315"/>
        <v/>
      </c>
    </row>
    <row r="846" spans="1:64" x14ac:dyDescent="0.25">
      <c r="A846" s="762">
        <f t="shared" si="316"/>
        <v>841</v>
      </c>
      <c r="B846" s="229"/>
      <c r="C846" s="223"/>
      <c r="D846" s="224"/>
      <c r="E846" s="225"/>
      <c r="F846" s="1036" t="str">
        <f t="shared" si="300"/>
        <v/>
      </c>
      <c r="G846" s="1037" t="str">
        <f t="shared" si="317"/>
        <v/>
      </c>
      <c r="H846" s="225"/>
      <c r="I846" s="1013"/>
      <c r="J846" s="1013"/>
      <c r="K846" s="1028"/>
      <c r="L846" s="1035" t="str">
        <f t="shared" si="321"/>
        <v/>
      </c>
      <c r="S846" s="498"/>
      <c r="AJ846" s="498"/>
      <c r="AM846" s="498">
        <f t="shared" si="302"/>
        <v>0</v>
      </c>
      <c r="AN846" s="498">
        <f t="shared" si="303"/>
        <v>0</v>
      </c>
      <c r="AO846" s="498">
        <f t="shared" si="304"/>
        <v>0</v>
      </c>
      <c r="AP846" s="498">
        <f t="shared" si="301"/>
        <v>0</v>
      </c>
      <c r="AQ846" s="498">
        <f t="shared" si="318"/>
        <v>0</v>
      </c>
      <c r="AU846" s="498">
        <f t="shared" si="305"/>
        <v>0</v>
      </c>
      <c r="AV846" s="498">
        <f t="shared" si="306"/>
        <v>0</v>
      </c>
      <c r="AW846" s="498">
        <f t="shared" si="307"/>
        <v>0</v>
      </c>
      <c r="AX846" s="498">
        <f t="shared" si="308"/>
        <v>0</v>
      </c>
      <c r="AY846" s="498">
        <f t="shared" si="309"/>
        <v>0</v>
      </c>
      <c r="BB846" s="498" t="str">
        <f t="shared" si="310"/>
        <v/>
      </c>
      <c r="BC846" s="743" t="str">
        <f t="shared" si="311"/>
        <v/>
      </c>
      <c r="BD846" s="743" t="str">
        <f t="shared" si="312"/>
        <v/>
      </c>
      <c r="BE846" s="743" t="str">
        <f>IF(D846="","",VLOOKUP(D846,'General Basis'!$J$39:$K$46,2,0))</f>
        <v/>
      </c>
      <c r="BF846" s="744" t="str">
        <f>IF(D846="","",VLOOKUP(D846,'General Basis'!$J$39:$L$46,3,0))</f>
        <v/>
      </c>
      <c r="BG846" s="744" t="str">
        <f t="shared" si="319"/>
        <v/>
      </c>
      <c r="BH846" s="744" t="str">
        <f>IF(G846="","",IF(BF846="Abu Dhabi",IF(G846&lt;18,'General Basis'!$C$39,IF(G846&lt;41,'General Basis'!$C$40,IF(G846&lt;60,'General Basis'!$C$41,IF(G846&lt;65,'General Basis'!$C$42,'General Basis'!$C$43)))),IF(G846&lt;11,'General Basis'!$B$39,IF(G846&lt;18,'General Basis'!$B$40,IF(G846&lt;26,'General Basis'!$B$41,IF(G846&lt;31,'General Basis'!$B$42,IF(G846&lt;36,'General Basis'!$B$43,IF(G846&lt;41,'General Basis'!$B$44,IF(G846&lt;46,'General Basis'!$B$45,IF(G846&lt;51,'General Basis'!$B$46,IF(G846&lt;56,'General Basis'!$B$47,IF(G846&lt;60,'General Basis'!$B$48,IF(G846&lt;65,'General Basis'!$B$49,'General Basis'!$B$50)))))))))))))</f>
        <v/>
      </c>
      <c r="BI846" s="744" t="str">
        <f t="shared" si="313"/>
        <v/>
      </c>
      <c r="BJ846" s="747" t="str">
        <f t="shared" si="320"/>
        <v/>
      </c>
      <c r="BK846" s="498" t="str">
        <f t="shared" si="314"/>
        <v/>
      </c>
      <c r="BL846" s="498" t="str">
        <f t="shared" si="315"/>
        <v/>
      </c>
    </row>
    <row r="847" spans="1:64" x14ac:dyDescent="0.25">
      <c r="A847" s="762">
        <f t="shared" si="316"/>
        <v>842</v>
      </c>
      <c r="B847" s="229"/>
      <c r="C847" s="223"/>
      <c r="D847" s="224"/>
      <c r="E847" s="225"/>
      <c r="F847" s="1036" t="str">
        <f t="shared" si="300"/>
        <v/>
      </c>
      <c r="G847" s="1037" t="str">
        <f t="shared" si="317"/>
        <v/>
      </c>
      <c r="H847" s="225"/>
      <c r="I847" s="1013"/>
      <c r="J847" s="1013"/>
      <c r="K847" s="1028"/>
      <c r="L847" s="1035" t="str">
        <f t="shared" si="321"/>
        <v/>
      </c>
      <c r="S847" s="498"/>
      <c r="AJ847" s="498"/>
      <c r="AM847" s="498">
        <f t="shared" si="302"/>
        <v>0</v>
      </c>
      <c r="AN847" s="498">
        <f t="shared" si="303"/>
        <v>0</v>
      </c>
      <c r="AO847" s="498">
        <f t="shared" si="304"/>
        <v>0</v>
      </c>
      <c r="AP847" s="498">
        <f t="shared" si="301"/>
        <v>0</v>
      </c>
      <c r="AQ847" s="498">
        <f t="shared" si="318"/>
        <v>0</v>
      </c>
      <c r="AU847" s="498">
        <f t="shared" si="305"/>
        <v>0</v>
      </c>
      <c r="AV847" s="498">
        <f t="shared" si="306"/>
        <v>0</v>
      </c>
      <c r="AW847" s="498">
        <f t="shared" si="307"/>
        <v>0</v>
      </c>
      <c r="AX847" s="498">
        <f t="shared" si="308"/>
        <v>0</v>
      </c>
      <c r="AY847" s="498">
        <f t="shared" si="309"/>
        <v>0</v>
      </c>
      <c r="BB847" s="498" t="str">
        <f t="shared" si="310"/>
        <v/>
      </c>
      <c r="BC847" s="743" t="str">
        <f t="shared" si="311"/>
        <v/>
      </c>
      <c r="BD847" s="743" t="str">
        <f t="shared" si="312"/>
        <v/>
      </c>
      <c r="BE847" s="743" t="str">
        <f>IF(D847="","",VLOOKUP(D847,'General Basis'!$J$39:$K$46,2,0))</f>
        <v/>
      </c>
      <c r="BF847" s="744" t="str">
        <f>IF(D847="","",VLOOKUP(D847,'General Basis'!$J$39:$L$46,3,0))</f>
        <v/>
      </c>
      <c r="BG847" s="744" t="str">
        <f t="shared" si="319"/>
        <v/>
      </c>
      <c r="BH847" s="744" t="str">
        <f>IF(G847="","",IF(BF847="Abu Dhabi",IF(G847&lt;18,'General Basis'!$C$39,IF(G847&lt;41,'General Basis'!$C$40,IF(G847&lt;60,'General Basis'!$C$41,IF(G847&lt;65,'General Basis'!$C$42,'General Basis'!$C$43)))),IF(G847&lt;11,'General Basis'!$B$39,IF(G847&lt;18,'General Basis'!$B$40,IF(G847&lt;26,'General Basis'!$B$41,IF(G847&lt;31,'General Basis'!$B$42,IF(G847&lt;36,'General Basis'!$B$43,IF(G847&lt;41,'General Basis'!$B$44,IF(G847&lt;46,'General Basis'!$B$45,IF(G847&lt;51,'General Basis'!$B$46,IF(G847&lt;56,'General Basis'!$B$47,IF(G847&lt;60,'General Basis'!$B$48,IF(G847&lt;65,'General Basis'!$B$49,'General Basis'!$B$50)))))))))))))</f>
        <v/>
      </c>
      <c r="BI847" s="744" t="str">
        <f t="shared" si="313"/>
        <v/>
      </c>
      <c r="BJ847" s="747" t="str">
        <f t="shared" si="320"/>
        <v/>
      </c>
      <c r="BK847" s="498" t="str">
        <f t="shared" si="314"/>
        <v/>
      </c>
      <c r="BL847" s="498" t="str">
        <f t="shared" si="315"/>
        <v/>
      </c>
    </row>
    <row r="848" spans="1:64" x14ac:dyDescent="0.25">
      <c r="A848" s="762">
        <f t="shared" si="316"/>
        <v>843</v>
      </c>
      <c r="B848" s="229"/>
      <c r="C848" s="223"/>
      <c r="D848" s="224"/>
      <c r="E848" s="225"/>
      <c r="F848" s="1036" t="str">
        <f t="shared" ref="F848:F911" si="322">IF(C848="","",IF($B848="","",((YEAR($F$3)-YEAR($B848))+(MONTH($F$3)-MONTH($B848))/12+(DAY($F$3)-DAY($B848))/(DATE(YEAR($F$3),12,31)-DATE(YEAR($F$3),1,1)+1))))</f>
        <v/>
      </c>
      <c r="G848" s="1037" t="str">
        <f t="shared" si="317"/>
        <v/>
      </c>
      <c r="H848" s="225"/>
      <c r="I848" s="1013"/>
      <c r="J848" s="1013"/>
      <c r="K848" s="1028"/>
      <c r="L848" s="1035" t="str">
        <f t="shared" si="321"/>
        <v/>
      </c>
      <c r="S848" s="498"/>
      <c r="AJ848" s="498"/>
      <c r="AM848" s="498">
        <f t="shared" si="302"/>
        <v>0</v>
      </c>
      <c r="AN848" s="498">
        <f t="shared" si="303"/>
        <v>0</v>
      </c>
      <c r="AO848" s="498">
        <f t="shared" si="304"/>
        <v>0</v>
      </c>
      <c r="AP848" s="498">
        <f t="shared" si="301"/>
        <v>0</v>
      </c>
      <c r="AQ848" s="498">
        <f t="shared" si="318"/>
        <v>0</v>
      </c>
      <c r="AU848" s="498">
        <f t="shared" si="305"/>
        <v>0</v>
      </c>
      <c r="AV848" s="498">
        <f t="shared" si="306"/>
        <v>0</v>
      </c>
      <c r="AW848" s="498">
        <f t="shared" si="307"/>
        <v>0</v>
      </c>
      <c r="AX848" s="498">
        <f t="shared" si="308"/>
        <v>0</v>
      </c>
      <c r="AY848" s="498">
        <f t="shared" si="309"/>
        <v>0</v>
      </c>
      <c r="BB848" s="498" t="str">
        <f t="shared" si="310"/>
        <v/>
      </c>
      <c r="BC848" s="743" t="str">
        <f t="shared" si="311"/>
        <v/>
      </c>
      <c r="BD848" s="743" t="str">
        <f t="shared" si="312"/>
        <v/>
      </c>
      <c r="BE848" s="743" t="str">
        <f>IF(D848="","",VLOOKUP(D848,'General Basis'!$J$39:$K$46,2,0))</f>
        <v/>
      </c>
      <c r="BF848" s="744" t="str">
        <f>IF(D848="","",VLOOKUP(D848,'General Basis'!$J$39:$L$46,3,0))</f>
        <v/>
      </c>
      <c r="BG848" s="744" t="str">
        <f t="shared" si="319"/>
        <v/>
      </c>
      <c r="BH848" s="744" t="str">
        <f>IF(G848="","",IF(BF848="Abu Dhabi",IF(G848&lt;18,'General Basis'!$C$39,IF(G848&lt;41,'General Basis'!$C$40,IF(G848&lt;60,'General Basis'!$C$41,IF(G848&lt;65,'General Basis'!$C$42,'General Basis'!$C$43)))),IF(G848&lt;11,'General Basis'!$B$39,IF(G848&lt;18,'General Basis'!$B$40,IF(G848&lt;26,'General Basis'!$B$41,IF(G848&lt;31,'General Basis'!$B$42,IF(G848&lt;36,'General Basis'!$B$43,IF(G848&lt;41,'General Basis'!$B$44,IF(G848&lt;46,'General Basis'!$B$45,IF(G848&lt;51,'General Basis'!$B$46,IF(G848&lt;56,'General Basis'!$B$47,IF(G848&lt;60,'General Basis'!$B$48,IF(G848&lt;65,'General Basis'!$B$49,'General Basis'!$B$50)))))))))))))</f>
        <v/>
      </c>
      <c r="BI848" s="744" t="str">
        <f t="shared" si="313"/>
        <v/>
      </c>
      <c r="BJ848" s="747" t="str">
        <f t="shared" si="320"/>
        <v/>
      </c>
      <c r="BK848" s="498" t="str">
        <f t="shared" si="314"/>
        <v/>
      </c>
      <c r="BL848" s="498" t="str">
        <f t="shared" si="315"/>
        <v/>
      </c>
    </row>
    <row r="849" spans="1:64" x14ac:dyDescent="0.25">
      <c r="A849" s="762">
        <f t="shared" si="316"/>
        <v>844</v>
      </c>
      <c r="B849" s="229"/>
      <c r="C849" s="223"/>
      <c r="D849" s="224"/>
      <c r="E849" s="225"/>
      <c r="F849" s="1036" t="str">
        <f t="shared" si="322"/>
        <v/>
      </c>
      <c r="G849" s="1037" t="str">
        <f t="shared" si="317"/>
        <v/>
      </c>
      <c r="H849" s="225"/>
      <c r="I849" s="1013"/>
      <c r="J849" s="1013"/>
      <c r="K849" s="1028"/>
      <c r="L849" s="1035" t="str">
        <f t="shared" si="321"/>
        <v/>
      </c>
      <c r="S849" s="498"/>
      <c r="AJ849" s="498"/>
      <c r="AM849" s="498">
        <f t="shared" si="302"/>
        <v>0</v>
      </c>
      <c r="AN849" s="498">
        <f t="shared" si="303"/>
        <v>0</v>
      </c>
      <c r="AO849" s="498">
        <f t="shared" si="304"/>
        <v>0</v>
      </c>
      <c r="AP849" s="498">
        <f t="shared" si="301"/>
        <v>0</v>
      </c>
      <c r="AQ849" s="498">
        <f t="shared" si="318"/>
        <v>0</v>
      </c>
      <c r="AU849" s="498">
        <f t="shared" si="305"/>
        <v>0</v>
      </c>
      <c r="AV849" s="498">
        <f t="shared" si="306"/>
        <v>0</v>
      </c>
      <c r="AW849" s="498">
        <f t="shared" si="307"/>
        <v>0</v>
      </c>
      <c r="AX849" s="498">
        <f t="shared" si="308"/>
        <v>0</v>
      </c>
      <c r="AY849" s="498">
        <f t="shared" si="309"/>
        <v>0</v>
      </c>
      <c r="BB849" s="498" t="str">
        <f t="shared" si="310"/>
        <v/>
      </c>
      <c r="BC849" s="743" t="str">
        <f t="shared" si="311"/>
        <v/>
      </c>
      <c r="BD849" s="743" t="str">
        <f t="shared" si="312"/>
        <v/>
      </c>
      <c r="BE849" s="743" t="str">
        <f>IF(D849="","",VLOOKUP(D849,'General Basis'!$J$39:$K$46,2,0))</f>
        <v/>
      </c>
      <c r="BF849" s="744" t="str">
        <f>IF(D849="","",VLOOKUP(D849,'General Basis'!$J$39:$L$46,3,0))</f>
        <v/>
      </c>
      <c r="BG849" s="744" t="str">
        <f t="shared" si="319"/>
        <v/>
      </c>
      <c r="BH849" s="744" t="str">
        <f>IF(G849="","",IF(BF849="Abu Dhabi",IF(G849&lt;18,'General Basis'!$C$39,IF(G849&lt;41,'General Basis'!$C$40,IF(G849&lt;60,'General Basis'!$C$41,IF(G849&lt;65,'General Basis'!$C$42,'General Basis'!$C$43)))),IF(G849&lt;11,'General Basis'!$B$39,IF(G849&lt;18,'General Basis'!$B$40,IF(G849&lt;26,'General Basis'!$B$41,IF(G849&lt;31,'General Basis'!$B$42,IF(G849&lt;36,'General Basis'!$B$43,IF(G849&lt;41,'General Basis'!$B$44,IF(G849&lt;46,'General Basis'!$B$45,IF(G849&lt;51,'General Basis'!$B$46,IF(G849&lt;56,'General Basis'!$B$47,IF(G849&lt;60,'General Basis'!$B$48,IF(G849&lt;65,'General Basis'!$B$49,'General Basis'!$B$50)))))))))))))</f>
        <v/>
      </c>
      <c r="BI849" s="744" t="str">
        <f t="shared" si="313"/>
        <v/>
      </c>
      <c r="BJ849" s="747" t="str">
        <f t="shared" si="320"/>
        <v/>
      </c>
      <c r="BK849" s="498" t="str">
        <f t="shared" si="314"/>
        <v/>
      </c>
      <c r="BL849" s="498" t="str">
        <f t="shared" si="315"/>
        <v/>
      </c>
    </row>
    <row r="850" spans="1:64" x14ac:dyDescent="0.25">
      <c r="A850" s="762">
        <f t="shared" si="316"/>
        <v>845</v>
      </c>
      <c r="B850" s="229"/>
      <c r="C850" s="223"/>
      <c r="D850" s="224"/>
      <c r="E850" s="225"/>
      <c r="F850" s="1036" t="str">
        <f t="shared" si="322"/>
        <v/>
      </c>
      <c r="G850" s="1037" t="str">
        <f t="shared" si="317"/>
        <v/>
      </c>
      <c r="H850" s="225"/>
      <c r="I850" s="1013"/>
      <c r="J850" s="1013"/>
      <c r="K850" s="1028"/>
      <c r="L850" s="1035" t="str">
        <f t="shared" si="321"/>
        <v/>
      </c>
      <c r="S850" s="498"/>
      <c r="AJ850" s="498"/>
      <c r="AM850" s="498">
        <f t="shared" si="302"/>
        <v>0</v>
      </c>
      <c r="AN850" s="498">
        <f t="shared" si="303"/>
        <v>0</v>
      </c>
      <c r="AO850" s="498">
        <f t="shared" si="304"/>
        <v>0</v>
      </c>
      <c r="AP850" s="498">
        <f t="shared" si="301"/>
        <v>0</v>
      </c>
      <c r="AQ850" s="498">
        <f t="shared" si="318"/>
        <v>0</v>
      </c>
      <c r="AU850" s="498">
        <f t="shared" si="305"/>
        <v>0</v>
      </c>
      <c r="AV850" s="498">
        <f t="shared" si="306"/>
        <v>0</v>
      </c>
      <c r="AW850" s="498">
        <f t="shared" si="307"/>
        <v>0</v>
      </c>
      <c r="AX850" s="498">
        <f t="shared" si="308"/>
        <v>0</v>
      </c>
      <c r="AY850" s="498">
        <f t="shared" si="309"/>
        <v>0</v>
      </c>
      <c r="BB850" s="498" t="str">
        <f t="shared" si="310"/>
        <v/>
      </c>
      <c r="BC850" s="743" t="str">
        <f t="shared" si="311"/>
        <v/>
      </c>
      <c r="BD850" s="743" t="str">
        <f t="shared" si="312"/>
        <v/>
      </c>
      <c r="BE850" s="743" t="str">
        <f>IF(D850="","",VLOOKUP(D850,'General Basis'!$J$39:$K$46,2,0))</f>
        <v/>
      </c>
      <c r="BF850" s="744" t="str">
        <f>IF(D850="","",VLOOKUP(D850,'General Basis'!$J$39:$L$46,3,0))</f>
        <v/>
      </c>
      <c r="BG850" s="744" t="str">
        <f t="shared" si="319"/>
        <v/>
      </c>
      <c r="BH850" s="744" t="str">
        <f>IF(G850="","",IF(BF850="Abu Dhabi",IF(G850&lt;18,'General Basis'!$C$39,IF(G850&lt;41,'General Basis'!$C$40,IF(G850&lt;60,'General Basis'!$C$41,IF(G850&lt;65,'General Basis'!$C$42,'General Basis'!$C$43)))),IF(G850&lt;11,'General Basis'!$B$39,IF(G850&lt;18,'General Basis'!$B$40,IF(G850&lt;26,'General Basis'!$B$41,IF(G850&lt;31,'General Basis'!$B$42,IF(G850&lt;36,'General Basis'!$B$43,IF(G850&lt;41,'General Basis'!$B$44,IF(G850&lt;46,'General Basis'!$B$45,IF(G850&lt;51,'General Basis'!$B$46,IF(G850&lt;56,'General Basis'!$B$47,IF(G850&lt;60,'General Basis'!$B$48,IF(G850&lt;65,'General Basis'!$B$49,'General Basis'!$B$50)))))))))))))</f>
        <v/>
      </c>
      <c r="BI850" s="744" t="str">
        <f t="shared" si="313"/>
        <v/>
      </c>
      <c r="BJ850" s="747" t="str">
        <f t="shared" si="320"/>
        <v/>
      </c>
      <c r="BK850" s="498" t="str">
        <f t="shared" si="314"/>
        <v/>
      </c>
      <c r="BL850" s="498" t="str">
        <f t="shared" si="315"/>
        <v/>
      </c>
    </row>
    <row r="851" spans="1:64" x14ac:dyDescent="0.25">
      <c r="A851" s="762">
        <f t="shared" si="316"/>
        <v>846</v>
      </c>
      <c r="B851" s="229"/>
      <c r="C851" s="223"/>
      <c r="D851" s="224"/>
      <c r="E851" s="225"/>
      <c r="F851" s="1036" t="str">
        <f t="shared" si="322"/>
        <v/>
      </c>
      <c r="G851" s="1037" t="str">
        <f t="shared" si="317"/>
        <v/>
      </c>
      <c r="H851" s="225"/>
      <c r="I851" s="1013"/>
      <c r="J851" s="1013"/>
      <c r="K851" s="1028"/>
      <c r="L851" s="1035" t="str">
        <f t="shared" si="321"/>
        <v/>
      </c>
      <c r="S851" s="498"/>
      <c r="AJ851" s="498"/>
      <c r="AM851" s="498">
        <f t="shared" si="302"/>
        <v>0</v>
      </c>
      <c r="AN851" s="498">
        <f t="shared" si="303"/>
        <v>0</v>
      </c>
      <c r="AO851" s="498">
        <f t="shared" si="304"/>
        <v>0</v>
      </c>
      <c r="AP851" s="498">
        <f t="shared" ref="AP851:AP914" si="323">IF(ISBLANK($B851),0,IF(OR($C851="M",$C851="F"),0,1))</f>
        <v>0</v>
      </c>
      <c r="AQ851" s="498">
        <f t="shared" si="318"/>
        <v>0</v>
      </c>
      <c r="AU851" s="498">
        <f t="shared" si="305"/>
        <v>0</v>
      </c>
      <c r="AV851" s="498">
        <f t="shared" si="306"/>
        <v>0</v>
      </c>
      <c r="AW851" s="498">
        <f t="shared" si="307"/>
        <v>0</v>
      </c>
      <c r="AX851" s="498">
        <f t="shared" si="308"/>
        <v>0</v>
      </c>
      <c r="AY851" s="498">
        <f t="shared" si="309"/>
        <v>0</v>
      </c>
      <c r="BB851" s="498" t="str">
        <f t="shared" si="310"/>
        <v/>
      </c>
      <c r="BC851" s="743" t="str">
        <f t="shared" si="311"/>
        <v/>
      </c>
      <c r="BD851" s="743" t="str">
        <f t="shared" si="312"/>
        <v/>
      </c>
      <c r="BE851" s="743" t="str">
        <f>IF(D851="","",VLOOKUP(D851,'General Basis'!$J$39:$K$46,2,0))</f>
        <v/>
      </c>
      <c r="BF851" s="744" t="str">
        <f>IF(D851="","",VLOOKUP(D851,'General Basis'!$J$39:$L$46,3,0))</f>
        <v/>
      </c>
      <c r="BG851" s="744" t="str">
        <f t="shared" si="319"/>
        <v/>
      </c>
      <c r="BH851" s="744" t="str">
        <f>IF(G851="","",IF(BF851="Abu Dhabi",IF(G851&lt;18,'General Basis'!$C$39,IF(G851&lt;41,'General Basis'!$C$40,IF(G851&lt;60,'General Basis'!$C$41,IF(G851&lt;65,'General Basis'!$C$42,'General Basis'!$C$43)))),IF(G851&lt;11,'General Basis'!$B$39,IF(G851&lt;18,'General Basis'!$B$40,IF(G851&lt;26,'General Basis'!$B$41,IF(G851&lt;31,'General Basis'!$B$42,IF(G851&lt;36,'General Basis'!$B$43,IF(G851&lt;41,'General Basis'!$B$44,IF(G851&lt;46,'General Basis'!$B$45,IF(G851&lt;51,'General Basis'!$B$46,IF(G851&lt;56,'General Basis'!$B$47,IF(G851&lt;60,'General Basis'!$B$48,IF(G851&lt;65,'General Basis'!$B$49,'General Basis'!$B$50)))))))))))))</f>
        <v/>
      </c>
      <c r="BI851" s="744" t="str">
        <f t="shared" si="313"/>
        <v/>
      </c>
      <c r="BJ851" s="747" t="str">
        <f t="shared" si="320"/>
        <v/>
      </c>
      <c r="BK851" s="498" t="str">
        <f t="shared" si="314"/>
        <v/>
      </c>
      <c r="BL851" s="498" t="str">
        <f t="shared" si="315"/>
        <v/>
      </c>
    </row>
    <row r="852" spans="1:64" x14ac:dyDescent="0.25">
      <c r="A852" s="762">
        <f t="shared" si="316"/>
        <v>847</v>
      </c>
      <c r="B852" s="229"/>
      <c r="C852" s="223"/>
      <c r="D852" s="224"/>
      <c r="E852" s="225"/>
      <c r="F852" s="1036" t="str">
        <f t="shared" si="322"/>
        <v/>
      </c>
      <c r="G852" s="1037" t="str">
        <f t="shared" si="317"/>
        <v/>
      </c>
      <c r="H852" s="225"/>
      <c r="I852" s="1013"/>
      <c r="J852" s="1013"/>
      <c r="K852" s="1028"/>
      <c r="L852" s="1035" t="str">
        <f t="shared" si="321"/>
        <v/>
      </c>
      <c r="S852" s="498"/>
      <c r="AJ852" s="498"/>
      <c r="AM852" s="498">
        <f t="shared" si="302"/>
        <v>0</v>
      </c>
      <c r="AN852" s="498">
        <f t="shared" si="303"/>
        <v>0</v>
      </c>
      <c r="AO852" s="498">
        <f t="shared" si="304"/>
        <v>0</v>
      </c>
      <c r="AP852" s="498">
        <f t="shared" si="323"/>
        <v>0</v>
      </c>
      <c r="AQ852" s="498">
        <f t="shared" si="318"/>
        <v>0</v>
      </c>
      <c r="AU852" s="498">
        <f t="shared" si="305"/>
        <v>0</v>
      </c>
      <c r="AV852" s="498">
        <f t="shared" si="306"/>
        <v>0</v>
      </c>
      <c r="AW852" s="498">
        <f t="shared" si="307"/>
        <v>0</v>
      </c>
      <c r="AX852" s="498">
        <f t="shared" si="308"/>
        <v>0</v>
      </c>
      <c r="AY852" s="498">
        <f t="shared" si="309"/>
        <v>0</v>
      </c>
      <c r="BB852" s="498" t="str">
        <f t="shared" si="310"/>
        <v/>
      </c>
      <c r="BC852" s="743" t="str">
        <f t="shared" si="311"/>
        <v/>
      </c>
      <c r="BD852" s="743" t="str">
        <f t="shared" si="312"/>
        <v/>
      </c>
      <c r="BE852" s="743" t="str">
        <f>IF(D852="","",VLOOKUP(D852,'General Basis'!$J$39:$K$46,2,0))</f>
        <v/>
      </c>
      <c r="BF852" s="744" t="str">
        <f>IF(D852="","",VLOOKUP(D852,'General Basis'!$J$39:$L$46,3,0))</f>
        <v/>
      </c>
      <c r="BG852" s="744" t="str">
        <f t="shared" si="319"/>
        <v/>
      </c>
      <c r="BH852" s="744" t="str">
        <f>IF(G852="","",IF(BF852="Abu Dhabi",IF(G852&lt;18,'General Basis'!$C$39,IF(G852&lt;41,'General Basis'!$C$40,IF(G852&lt;60,'General Basis'!$C$41,IF(G852&lt;65,'General Basis'!$C$42,'General Basis'!$C$43)))),IF(G852&lt;11,'General Basis'!$B$39,IF(G852&lt;18,'General Basis'!$B$40,IF(G852&lt;26,'General Basis'!$B$41,IF(G852&lt;31,'General Basis'!$B$42,IF(G852&lt;36,'General Basis'!$B$43,IF(G852&lt;41,'General Basis'!$B$44,IF(G852&lt;46,'General Basis'!$B$45,IF(G852&lt;51,'General Basis'!$B$46,IF(G852&lt;56,'General Basis'!$B$47,IF(G852&lt;60,'General Basis'!$B$48,IF(G852&lt;65,'General Basis'!$B$49,'General Basis'!$B$50)))))))))))))</f>
        <v/>
      </c>
      <c r="BI852" s="744" t="str">
        <f t="shared" si="313"/>
        <v/>
      </c>
      <c r="BJ852" s="747" t="str">
        <f t="shared" si="320"/>
        <v/>
      </c>
      <c r="BK852" s="498" t="str">
        <f t="shared" si="314"/>
        <v/>
      </c>
      <c r="BL852" s="498" t="str">
        <f t="shared" si="315"/>
        <v/>
      </c>
    </row>
    <row r="853" spans="1:64" x14ac:dyDescent="0.25">
      <c r="A853" s="762">
        <f t="shared" si="316"/>
        <v>848</v>
      </c>
      <c r="B853" s="229"/>
      <c r="C853" s="223"/>
      <c r="D853" s="224"/>
      <c r="E853" s="225"/>
      <c r="F853" s="1036" t="str">
        <f t="shared" si="322"/>
        <v/>
      </c>
      <c r="G853" s="1037" t="str">
        <f t="shared" si="317"/>
        <v/>
      </c>
      <c r="H853" s="225"/>
      <c r="I853" s="1013"/>
      <c r="J853" s="1013"/>
      <c r="K853" s="1028"/>
      <c r="L853" s="1035" t="str">
        <f t="shared" si="321"/>
        <v/>
      </c>
      <c r="S853" s="498"/>
      <c r="AJ853" s="498"/>
      <c r="AM853" s="498">
        <f t="shared" si="302"/>
        <v>0</v>
      </c>
      <c r="AN853" s="498">
        <f t="shared" si="303"/>
        <v>0</v>
      </c>
      <c r="AO853" s="498">
        <f t="shared" si="304"/>
        <v>0</v>
      </c>
      <c r="AP853" s="498">
        <f t="shared" si="323"/>
        <v>0</v>
      </c>
      <c r="AQ853" s="498">
        <f t="shared" si="318"/>
        <v>0</v>
      </c>
      <c r="AU853" s="498">
        <f t="shared" si="305"/>
        <v>0</v>
      </c>
      <c r="AV853" s="498">
        <f t="shared" si="306"/>
        <v>0</v>
      </c>
      <c r="AW853" s="498">
        <f t="shared" si="307"/>
        <v>0</v>
      </c>
      <c r="AX853" s="498">
        <f t="shared" si="308"/>
        <v>0</v>
      </c>
      <c r="AY853" s="498">
        <f t="shared" si="309"/>
        <v>0</v>
      </c>
      <c r="BB853" s="498" t="str">
        <f t="shared" si="310"/>
        <v/>
      </c>
      <c r="BC853" s="743" t="str">
        <f t="shared" si="311"/>
        <v/>
      </c>
      <c r="BD853" s="743" t="str">
        <f t="shared" si="312"/>
        <v/>
      </c>
      <c r="BE853" s="743" t="str">
        <f>IF(D853="","",VLOOKUP(D853,'General Basis'!$J$39:$K$46,2,0))</f>
        <v/>
      </c>
      <c r="BF853" s="744" t="str">
        <f>IF(D853="","",VLOOKUP(D853,'General Basis'!$J$39:$L$46,3,0))</f>
        <v/>
      </c>
      <c r="BG853" s="744" t="str">
        <f t="shared" si="319"/>
        <v/>
      </c>
      <c r="BH853" s="744" t="str">
        <f>IF(G853="","",IF(BF853="Abu Dhabi",IF(G853&lt;18,'General Basis'!$C$39,IF(G853&lt;41,'General Basis'!$C$40,IF(G853&lt;60,'General Basis'!$C$41,IF(G853&lt;65,'General Basis'!$C$42,'General Basis'!$C$43)))),IF(G853&lt;11,'General Basis'!$B$39,IF(G853&lt;18,'General Basis'!$B$40,IF(G853&lt;26,'General Basis'!$B$41,IF(G853&lt;31,'General Basis'!$B$42,IF(G853&lt;36,'General Basis'!$B$43,IF(G853&lt;41,'General Basis'!$B$44,IF(G853&lt;46,'General Basis'!$B$45,IF(G853&lt;51,'General Basis'!$B$46,IF(G853&lt;56,'General Basis'!$B$47,IF(G853&lt;60,'General Basis'!$B$48,IF(G853&lt;65,'General Basis'!$B$49,'General Basis'!$B$50)))))))))))))</f>
        <v/>
      </c>
      <c r="BI853" s="744" t="str">
        <f t="shared" si="313"/>
        <v/>
      </c>
      <c r="BJ853" s="747" t="str">
        <f t="shared" si="320"/>
        <v/>
      </c>
      <c r="BK853" s="498" t="str">
        <f t="shared" si="314"/>
        <v/>
      </c>
      <c r="BL853" s="498" t="str">
        <f t="shared" si="315"/>
        <v/>
      </c>
    </row>
    <row r="854" spans="1:64" x14ac:dyDescent="0.25">
      <c r="A854" s="762">
        <f t="shared" si="316"/>
        <v>849</v>
      </c>
      <c r="B854" s="229"/>
      <c r="C854" s="223"/>
      <c r="D854" s="224"/>
      <c r="E854" s="225"/>
      <c r="F854" s="1036" t="str">
        <f t="shared" si="322"/>
        <v/>
      </c>
      <c r="G854" s="1037" t="str">
        <f t="shared" si="317"/>
        <v/>
      </c>
      <c r="H854" s="225"/>
      <c r="I854" s="1013"/>
      <c r="J854" s="1013"/>
      <c r="K854" s="1028"/>
      <c r="L854" s="1035" t="str">
        <f t="shared" si="321"/>
        <v/>
      </c>
      <c r="S854" s="498"/>
      <c r="AJ854" s="498"/>
      <c r="AM854" s="498">
        <f t="shared" si="302"/>
        <v>0</v>
      </c>
      <c r="AN854" s="498">
        <f t="shared" si="303"/>
        <v>0</v>
      </c>
      <c r="AO854" s="498">
        <f t="shared" si="304"/>
        <v>0</v>
      </c>
      <c r="AP854" s="498">
        <f t="shared" si="323"/>
        <v>0</v>
      </c>
      <c r="AQ854" s="498">
        <f t="shared" si="318"/>
        <v>0</v>
      </c>
      <c r="AU854" s="498">
        <f t="shared" si="305"/>
        <v>0</v>
      </c>
      <c r="AV854" s="498">
        <f t="shared" si="306"/>
        <v>0</v>
      </c>
      <c r="AW854" s="498">
        <f t="shared" si="307"/>
        <v>0</v>
      </c>
      <c r="AX854" s="498">
        <f t="shared" si="308"/>
        <v>0</v>
      </c>
      <c r="AY854" s="498">
        <f t="shared" si="309"/>
        <v>0</v>
      </c>
      <c r="BB854" s="498" t="str">
        <f t="shared" si="310"/>
        <v/>
      </c>
      <c r="BC854" s="743" t="str">
        <f t="shared" si="311"/>
        <v/>
      </c>
      <c r="BD854" s="743" t="str">
        <f t="shared" si="312"/>
        <v/>
      </c>
      <c r="BE854" s="743" t="str">
        <f>IF(D854="","",VLOOKUP(D854,'General Basis'!$J$39:$K$46,2,0))</f>
        <v/>
      </c>
      <c r="BF854" s="744" t="str">
        <f>IF(D854="","",VLOOKUP(D854,'General Basis'!$J$39:$L$46,3,0))</f>
        <v/>
      </c>
      <c r="BG854" s="744" t="str">
        <f t="shared" si="319"/>
        <v/>
      </c>
      <c r="BH854" s="744" t="str">
        <f>IF(G854="","",IF(BF854="Abu Dhabi",IF(G854&lt;18,'General Basis'!$C$39,IF(G854&lt;41,'General Basis'!$C$40,IF(G854&lt;60,'General Basis'!$C$41,IF(G854&lt;65,'General Basis'!$C$42,'General Basis'!$C$43)))),IF(G854&lt;11,'General Basis'!$B$39,IF(G854&lt;18,'General Basis'!$B$40,IF(G854&lt;26,'General Basis'!$B$41,IF(G854&lt;31,'General Basis'!$B$42,IF(G854&lt;36,'General Basis'!$B$43,IF(G854&lt;41,'General Basis'!$B$44,IF(G854&lt;46,'General Basis'!$B$45,IF(G854&lt;51,'General Basis'!$B$46,IF(G854&lt;56,'General Basis'!$B$47,IF(G854&lt;60,'General Basis'!$B$48,IF(G854&lt;65,'General Basis'!$B$49,'General Basis'!$B$50)))))))))))))</f>
        <v/>
      </c>
      <c r="BI854" s="744" t="str">
        <f t="shared" si="313"/>
        <v/>
      </c>
      <c r="BJ854" s="747" t="str">
        <f t="shared" si="320"/>
        <v/>
      </c>
      <c r="BK854" s="498" t="str">
        <f t="shared" si="314"/>
        <v/>
      </c>
      <c r="BL854" s="498" t="str">
        <f t="shared" si="315"/>
        <v/>
      </c>
    </row>
    <row r="855" spans="1:64" x14ac:dyDescent="0.25">
      <c r="A855" s="762">
        <f t="shared" si="316"/>
        <v>850</v>
      </c>
      <c r="B855" s="229"/>
      <c r="C855" s="223"/>
      <c r="D855" s="224"/>
      <c r="E855" s="225"/>
      <c r="F855" s="1036" t="str">
        <f t="shared" si="322"/>
        <v/>
      </c>
      <c r="G855" s="1037" t="str">
        <f t="shared" si="317"/>
        <v/>
      </c>
      <c r="H855" s="225"/>
      <c r="I855" s="1013"/>
      <c r="J855" s="1013"/>
      <c r="K855" s="1028"/>
      <c r="L855" s="1035" t="str">
        <f t="shared" si="321"/>
        <v/>
      </c>
      <c r="S855" s="498"/>
      <c r="AJ855" s="498"/>
      <c r="AM855" s="498">
        <f t="shared" si="302"/>
        <v>0</v>
      </c>
      <c r="AN855" s="498">
        <f t="shared" si="303"/>
        <v>0</v>
      </c>
      <c r="AO855" s="498">
        <f t="shared" si="304"/>
        <v>0</v>
      </c>
      <c r="AP855" s="498">
        <f t="shared" si="323"/>
        <v>0</v>
      </c>
      <c r="AQ855" s="498">
        <f t="shared" si="318"/>
        <v>0</v>
      </c>
      <c r="AU855" s="498">
        <f t="shared" si="305"/>
        <v>0</v>
      </c>
      <c r="AV855" s="498">
        <f t="shared" si="306"/>
        <v>0</v>
      </c>
      <c r="AW855" s="498">
        <f t="shared" si="307"/>
        <v>0</v>
      </c>
      <c r="AX855" s="498">
        <f t="shared" si="308"/>
        <v>0</v>
      </c>
      <c r="AY855" s="498">
        <f t="shared" si="309"/>
        <v>0</v>
      </c>
      <c r="BB855" s="498" t="str">
        <f t="shared" si="310"/>
        <v/>
      </c>
      <c r="BC855" s="743" t="str">
        <f t="shared" si="311"/>
        <v/>
      </c>
      <c r="BD855" s="743" t="str">
        <f t="shared" si="312"/>
        <v/>
      </c>
      <c r="BE855" s="743" t="str">
        <f>IF(D855="","",VLOOKUP(D855,'General Basis'!$J$39:$K$46,2,0))</f>
        <v/>
      </c>
      <c r="BF855" s="744" t="str">
        <f>IF(D855="","",VLOOKUP(D855,'General Basis'!$J$39:$L$46,3,0))</f>
        <v/>
      </c>
      <c r="BG855" s="744" t="str">
        <f t="shared" si="319"/>
        <v/>
      </c>
      <c r="BH855" s="744" t="str">
        <f>IF(G855="","",IF(BF855="Abu Dhabi",IF(G855&lt;18,'General Basis'!$C$39,IF(G855&lt;41,'General Basis'!$C$40,IF(G855&lt;60,'General Basis'!$C$41,IF(G855&lt;65,'General Basis'!$C$42,'General Basis'!$C$43)))),IF(G855&lt;11,'General Basis'!$B$39,IF(G855&lt;18,'General Basis'!$B$40,IF(G855&lt;26,'General Basis'!$B$41,IF(G855&lt;31,'General Basis'!$B$42,IF(G855&lt;36,'General Basis'!$B$43,IF(G855&lt;41,'General Basis'!$B$44,IF(G855&lt;46,'General Basis'!$B$45,IF(G855&lt;51,'General Basis'!$B$46,IF(G855&lt;56,'General Basis'!$B$47,IF(G855&lt;60,'General Basis'!$B$48,IF(G855&lt;65,'General Basis'!$B$49,'General Basis'!$B$50)))))))))))))</f>
        <v/>
      </c>
      <c r="BI855" s="744" t="str">
        <f t="shared" si="313"/>
        <v/>
      </c>
      <c r="BJ855" s="747" t="str">
        <f t="shared" si="320"/>
        <v/>
      </c>
      <c r="BK855" s="498" t="str">
        <f t="shared" si="314"/>
        <v/>
      </c>
      <c r="BL855" s="498" t="str">
        <f t="shared" si="315"/>
        <v/>
      </c>
    </row>
    <row r="856" spans="1:64" x14ac:dyDescent="0.25">
      <c r="A856" s="762">
        <f t="shared" si="316"/>
        <v>851</v>
      </c>
      <c r="B856" s="229"/>
      <c r="C856" s="223"/>
      <c r="D856" s="224"/>
      <c r="E856" s="225"/>
      <c r="F856" s="1036" t="str">
        <f t="shared" si="322"/>
        <v/>
      </c>
      <c r="G856" s="1037" t="str">
        <f t="shared" si="317"/>
        <v/>
      </c>
      <c r="H856" s="225"/>
      <c r="I856" s="1013"/>
      <c r="J856" s="1013"/>
      <c r="K856" s="1028"/>
      <c r="L856" s="1035" t="str">
        <f t="shared" si="321"/>
        <v/>
      </c>
      <c r="S856" s="498"/>
      <c r="AJ856" s="498"/>
      <c r="AM856" s="498">
        <f t="shared" si="302"/>
        <v>0</v>
      </c>
      <c r="AN856" s="498">
        <f t="shared" si="303"/>
        <v>0</v>
      </c>
      <c r="AO856" s="498">
        <f t="shared" si="304"/>
        <v>0</v>
      </c>
      <c r="AP856" s="498">
        <f t="shared" si="323"/>
        <v>0</v>
      </c>
      <c r="AQ856" s="498">
        <f t="shared" si="318"/>
        <v>0</v>
      </c>
      <c r="AU856" s="498">
        <f t="shared" si="305"/>
        <v>0</v>
      </c>
      <c r="AV856" s="498">
        <f t="shared" si="306"/>
        <v>0</v>
      </c>
      <c r="AW856" s="498">
        <f t="shared" si="307"/>
        <v>0</v>
      </c>
      <c r="AX856" s="498">
        <f t="shared" si="308"/>
        <v>0</v>
      </c>
      <c r="AY856" s="498">
        <f t="shared" si="309"/>
        <v>0</v>
      </c>
      <c r="BB856" s="498" t="str">
        <f t="shared" si="310"/>
        <v/>
      </c>
      <c r="BC856" s="743" t="str">
        <f t="shared" si="311"/>
        <v/>
      </c>
      <c r="BD856" s="743" t="str">
        <f t="shared" si="312"/>
        <v/>
      </c>
      <c r="BE856" s="743" t="str">
        <f>IF(D856="","",VLOOKUP(D856,'General Basis'!$J$39:$K$46,2,0))</f>
        <v/>
      </c>
      <c r="BF856" s="744" t="str">
        <f>IF(D856="","",VLOOKUP(D856,'General Basis'!$J$39:$L$46,3,0))</f>
        <v/>
      </c>
      <c r="BG856" s="744" t="str">
        <f t="shared" si="319"/>
        <v/>
      </c>
      <c r="BH856" s="744" t="str">
        <f>IF(G856="","",IF(BF856="Abu Dhabi",IF(G856&lt;18,'General Basis'!$C$39,IF(G856&lt;41,'General Basis'!$C$40,IF(G856&lt;60,'General Basis'!$C$41,IF(G856&lt;65,'General Basis'!$C$42,'General Basis'!$C$43)))),IF(G856&lt;11,'General Basis'!$B$39,IF(G856&lt;18,'General Basis'!$B$40,IF(G856&lt;26,'General Basis'!$B$41,IF(G856&lt;31,'General Basis'!$B$42,IF(G856&lt;36,'General Basis'!$B$43,IF(G856&lt;41,'General Basis'!$B$44,IF(G856&lt;46,'General Basis'!$B$45,IF(G856&lt;51,'General Basis'!$B$46,IF(G856&lt;56,'General Basis'!$B$47,IF(G856&lt;60,'General Basis'!$B$48,IF(G856&lt;65,'General Basis'!$B$49,'General Basis'!$B$50)))))))))))))</f>
        <v/>
      </c>
      <c r="BI856" s="744" t="str">
        <f t="shared" si="313"/>
        <v/>
      </c>
      <c r="BJ856" s="747" t="str">
        <f t="shared" si="320"/>
        <v/>
      </c>
      <c r="BK856" s="498" t="str">
        <f t="shared" si="314"/>
        <v/>
      </c>
      <c r="BL856" s="498" t="str">
        <f t="shared" si="315"/>
        <v/>
      </c>
    </row>
    <row r="857" spans="1:64" x14ac:dyDescent="0.25">
      <c r="A857" s="762">
        <f t="shared" si="316"/>
        <v>852</v>
      </c>
      <c r="B857" s="229"/>
      <c r="C857" s="223"/>
      <c r="D857" s="224"/>
      <c r="E857" s="225"/>
      <c r="F857" s="1036" t="str">
        <f t="shared" si="322"/>
        <v/>
      </c>
      <c r="G857" s="1037" t="str">
        <f t="shared" si="317"/>
        <v/>
      </c>
      <c r="H857" s="225"/>
      <c r="I857" s="1013"/>
      <c r="J857" s="1013"/>
      <c r="K857" s="1028"/>
      <c r="L857" s="1035" t="str">
        <f t="shared" si="321"/>
        <v/>
      </c>
      <c r="S857" s="498"/>
      <c r="AJ857" s="498"/>
      <c r="AM857" s="498">
        <f t="shared" si="302"/>
        <v>0</v>
      </c>
      <c r="AN857" s="498">
        <f t="shared" si="303"/>
        <v>0</v>
      </c>
      <c r="AO857" s="498">
        <f t="shared" si="304"/>
        <v>0</v>
      </c>
      <c r="AP857" s="498">
        <f t="shared" si="323"/>
        <v>0</v>
      </c>
      <c r="AQ857" s="498">
        <f t="shared" si="318"/>
        <v>0</v>
      </c>
      <c r="AU857" s="498">
        <f t="shared" si="305"/>
        <v>0</v>
      </c>
      <c r="AV857" s="498">
        <f t="shared" si="306"/>
        <v>0</v>
      </c>
      <c r="AW857" s="498">
        <f t="shared" si="307"/>
        <v>0</v>
      </c>
      <c r="AX857" s="498">
        <f t="shared" si="308"/>
        <v>0</v>
      </c>
      <c r="AY857" s="498">
        <f t="shared" si="309"/>
        <v>0</v>
      </c>
      <c r="BB857" s="498" t="str">
        <f t="shared" si="310"/>
        <v/>
      </c>
      <c r="BC857" s="743" t="str">
        <f t="shared" si="311"/>
        <v/>
      </c>
      <c r="BD857" s="743" t="str">
        <f t="shared" si="312"/>
        <v/>
      </c>
      <c r="BE857" s="743" t="str">
        <f>IF(D857="","",VLOOKUP(D857,'General Basis'!$J$39:$K$46,2,0))</f>
        <v/>
      </c>
      <c r="BF857" s="744" t="str">
        <f>IF(D857="","",VLOOKUP(D857,'General Basis'!$J$39:$L$46,3,0))</f>
        <v/>
      </c>
      <c r="BG857" s="744" t="str">
        <f t="shared" si="319"/>
        <v/>
      </c>
      <c r="BH857" s="744" t="str">
        <f>IF(G857="","",IF(BF857="Abu Dhabi",IF(G857&lt;18,'General Basis'!$C$39,IF(G857&lt;41,'General Basis'!$C$40,IF(G857&lt;60,'General Basis'!$C$41,IF(G857&lt;65,'General Basis'!$C$42,'General Basis'!$C$43)))),IF(G857&lt;11,'General Basis'!$B$39,IF(G857&lt;18,'General Basis'!$B$40,IF(G857&lt;26,'General Basis'!$B$41,IF(G857&lt;31,'General Basis'!$B$42,IF(G857&lt;36,'General Basis'!$B$43,IF(G857&lt;41,'General Basis'!$B$44,IF(G857&lt;46,'General Basis'!$B$45,IF(G857&lt;51,'General Basis'!$B$46,IF(G857&lt;56,'General Basis'!$B$47,IF(G857&lt;60,'General Basis'!$B$48,IF(G857&lt;65,'General Basis'!$B$49,'General Basis'!$B$50)))))))))))))</f>
        <v/>
      </c>
      <c r="BI857" s="744" t="str">
        <f t="shared" si="313"/>
        <v/>
      </c>
      <c r="BJ857" s="747" t="str">
        <f t="shared" si="320"/>
        <v/>
      </c>
      <c r="BK857" s="498" t="str">
        <f t="shared" si="314"/>
        <v/>
      </c>
      <c r="BL857" s="498" t="str">
        <f t="shared" si="315"/>
        <v/>
      </c>
    </row>
    <row r="858" spans="1:64" x14ac:dyDescent="0.25">
      <c r="A858" s="762">
        <f t="shared" si="316"/>
        <v>853</v>
      </c>
      <c r="B858" s="229"/>
      <c r="C858" s="223"/>
      <c r="D858" s="224"/>
      <c r="E858" s="225"/>
      <c r="F858" s="1036" t="str">
        <f t="shared" si="322"/>
        <v/>
      </c>
      <c r="G858" s="1037" t="str">
        <f t="shared" si="317"/>
        <v/>
      </c>
      <c r="H858" s="225"/>
      <c r="I858" s="1013"/>
      <c r="J858" s="1013"/>
      <c r="K858" s="1028"/>
      <c r="L858" s="1035" t="str">
        <f t="shared" si="321"/>
        <v/>
      </c>
      <c r="S858" s="498"/>
      <c r="AJ858" s="498"/>
      <c r="AM858" s="498">
        <f t="shared" si="302"/>
        <v>0</v>
      </c>
      <c r="AN858" s="498">
        <f t="shared" si="303"/>
        <v>0</v>
      </c>
      <c r="AO858" s="498">
        <f t="shared" si="304"/>
        <v>0</v>
      </c>
      <c r="AP858" s="498">
        <f t="shared" si="323"/>
        <v>0</v>
      </c>
      <c r="AQ858" s="498">
        <f t="shared" si="318"/>
        <v>0</v>
      </c>
      <c r="AU858" s="498">
        <f t="shared" si="305"/>
        <v>0</v>
      </c>
      <c r="AV858" s="498">
        <f t="shared" si="306"/>
        <v>0</v>
      </c>
      <c r="AW858" s="498">
        <f t="shared" si="307"/>
        <v>0</v>
      </c>
      <c r="AX858" s="498">
        <f t="shared" si="308"/>
        <v>0</v>
      </c>
      <c r="AY858" s="498">
        <f t="shared" si="309"/>
        <v>0</v>
      </c>
      <c r="BB858" s="498" t="str">
        <f t="shared" si="310"/>
        <v/>
      </c>
      <c r="BC858" s="743" t="str">
        <f t="shared" si="311"/>
        <v/>
      </c>
      <c r="BD858" s="743" t="str">
        <f t="shared" si="312"/>
        <v/>
      </c>
      <c r="BE858" s="743" t="str">
        <f>IF(D858="","",VLOOKUP(D858,'General Basis'!$J$39:$K$46,2,0))</f>
        <v/>
      </c>
      <c r="BF858" s="744" t="str">
        <f>IF(D858="","",VLOOKUP(D858,'General Basis'!$J$39:$L$46,3,0))</f>
        <v/>
      </c>
      <c r="BG858" s="744" t="str">
        <f t="shared" si="319"/>
        <v/>
      </c>
      <c r="BH858" s="744" t="str">
        <f>IF(G858="","",IF(BF858="Abu Dhabi",IF(G858&lt;18,'General Basis'!$C$39,IF(G858&lt;41,'General Basis'!$C$40,IF(G858&lt;60,'General Basis'!$C$41,IF(G858&lt;65,'General Basis'!$C$42,'General Basis'!$C$43)))),IF(G858&lt;11,'General Basis'!$B$39,IF(G858&lt;18,'General Basis'!$B$40,IF(G858&lt;26,'General Basis'!$B$41,IF(G858&lt;31,'General Basis'!$B$42,IF(G858&lt;36,'General Basis'!$B$43,IF(G858&lt;41,'General Basis'!$B$44,IF(G858&lt;46,'General Basis'!$B$45,IF(G858&lt;51,'General Basis'!$B$46,IF(G858&lt;56,'General Basis'!$B$47,IF(G858&lt;60,'General Basis'!$B$48,IF(G858&lt;65,'General Basis'!$B$49,'General Basis'!$B$50)))))))))))))</f>
        <v/>
      </c>
      <c r="BI858" s="744" t="str">
        <f t="shared" si="313"/>
        <v/>
      </c>
      <c r="BJ858" s="747" t="str">
        <f t="shared" si="320"/>
        <v/>
      </c>
      <c r="BK858" s="498" t="str">
        <f t="shared" si="314"/>
        <v/>
      </c>
      <c r="BL858" s="498" t="str">
        <f t="shared" si="315"/>
        <v/>
      </c>
    </row>
    <row r="859" spans="1:64" x14ac:dyDescent="0.25">
      <c r="A859" s="762">
        <f t="shared" si="316"/>
        <v>854</v>
      </c>
      <c r="B859" s="229"/>
      <c r="C859" s="223"/>
      <c r="D859" s="224"/>
      <c r="E859" s="225"/>
      <c r="F859" s="1036" t="str">
        <f t="shared" si="322"/>
        <v/>
      </c>
      <c r="G859" s="1037" t="str">
        <f t="shared" si="317"/>
        <v/>
      </c>
      <c r="H859" s="225"/>
      <c r="I859" s="1013"/>
      <c r="J859" s="1013"/>
      <c r="K859" s="1028"/>
      <c r="L859" s="1035" t="str">
        <f t="shared" si="321"/>
        <v/>
      </c>
      <c r="S859" s="498"/>
      <c r="AJ859" s="498"/>
      <c r="AM859" s="498">
        <f t="shared" si="302"/>
        <v>0</v>
      </c>
      <c r="AN859" s="498">
        <f t="shared" si="303"/>
        <v>0</v>
      </c>
      <c r="AO859" s="498">
        <f t="shared" si="304"/>
        <v>0</v>
      </c>
      <c r="AP859" s="498">
        <f t="shared" si="323"/>
        <v>0</v>
      </c>
      <c r="AQ859" s="498">
        <f t="shared" si="318"/>
        <v>0</v>
      </c>
      <c r="AU859" s="498">
        <f t="shared" si="305"/>
        <v>0</v>
      </c>
      <c r="AV859" s="498">
        <f t="shared" si="306"/>
        <v>0</v>
      </c>
      <c r="AW859" s="498">
        <f t="shared" si="307"/>
        <v>0</v>
      </c>
      <c r="AX859" s="498">
        <f t="shared" si="308"/>
        <v>0</v>
      </c>
      <c r="AY859" s="498">
        <f t="shared" si="309"/>
        <v>0</v>
      </c>
      <c r="BB859" s="498" t="str">
        <f t="shared" si="310"/>
        <v/>
      </c>
      <c r="BC859" s="743" t="str">
        <f t="shared" si="311"/>
        <v/>
      </c>
      <c r="BD859" s="743" t="str">
        <f t="shared" si="312"/>
        <v/>
      </c>
      <c r="BE859" s="743" t="str">
        <f>IF(D859="","",VLOOKUP(D859,'General Basis'!$J$39:$K$46,2,0))</f>
        <v/>
      </c>
      <c r="BF859" s="744" t="str">
        <f>IF(D859="","",VLOOKUP(D859,'General Basis'!$J$39:$L$46,3,0))</f>
        <v/>
      </c>
      <c r="BG859" s="744" t="str">
        <f t="shared" si="319"/>
        <v/>
      </c>
      <c r="BH859" s="744" t="str">
        <f>IF(G859="","",IF(BF859="Abu Dhabi",IF(G859&lt;18,'General Basis'!$C$39,IF(G859&lt;41,'General Basis'!$C$40,IF(G859&lt;60,'General Basis'!$C$41,IF(G859&lt;65,'General Basis'!$C$42,'General Basis'!$C$43)))),IF(G859&lt;11,'General Basis'!$B$39,IF(G859&lt;18,'General Basis'!$B$40,IF(G859&lt;26,'General Basis'!$B$41,IF(G859&lt;31,'General Basis'!$B$42,IF(G859&lt;36,'General Basis'!$B$43,IF(G859&lt;41,'General Basis'!$B$44,IF(G859&lt;46,'General Basis'!$B$45,IF(G859&lt;51,'General Basis'!$B$46,IF(G859&lt;56,'General Basis'!$B$47,IF(G859&lt;60,'General Basis'!$B$48,IF(G859&lt;65,'General Basis'!$B$49,'General Basis'!$B$50)))))))))))))</f>
        <v/>
      </c>
      <c r="BI859" s="744" t="str">
        <f t="shared" si="313"/>
        <v/>
      </c>
      <c r="BJ859" s="747" t="str">
        <f t="shared" si="320"/>
        <v/>
      </c>
      <c r="BK859" s="498" t="str">
        <f t="shared" si="314"/>
        <v/>
      </c>
      <c r="BL859" s="498" t="str">
        <f t="shared" si="315"/>
        <v/>
      </c>
    </row>
    <row r="860" spans="1:64" x14ac:dyDescent="0.25">
      <c r="A860" s="762">
        <f t="shared" si="316"/>
        <v>855</v>
      </c>
      <c r="B860" s="229"/>
      <c r="C860" s="223"/>
      <c r="D860" s="224"/>
      <c r="E860" s="225"/>
      <c r="F860" s="1036" t="str">
        <f t="shared" si="322"/>
        <v/>
      </c>
      <c r="G860" s="1037" t="str">
        <f t="shared" si="317"/>
        <v/>
      </c>
      <c r="H860" s="225"/>
      <c r="I860" s="1013"/>
      <c r="J860" s="1013"/>
      <c r="K860" s="1028"/>
      <c r="L860" s="1035" t="str">
        <f t="shared" si="321"/>
        <v/>
      </c>
      <c r="S860" s="498"/>
      <c r="AJ860" s="498"/>
      <c r="AM860" s="498">
        <f t="shared" si="302"/>
        <v>0</v>
      </c>
      <c r="AN860" s="498">
        <f t="shared" si="303"/>
        <v>0</v>
      </c>
      <c r="AO860" s="498">
        <f t="shared" si="304"/>
        <v>0</v>
      </c>
      <c r="AP860" s="498">
        <f t="shared" si="323"/>
        <v>0</v>
      </c>
      <c r="AQ860" s="498">
        <f t="shared" si="318"/>
        <v>0</v>
      </c>
      <c r="AU860" s="498">
        <f t="shared" si="305"/>
        <v>0</v>
      </c>
      <c r="AV860" s="498">
        <f t="shared" si="306"/>
        <v>0</v>
      </c>
      <c r="AW860" s="498">
        <f t="shared" si="307"/>
        <v>0</v>
      </c>
      <c r="AX860" s="498">
        <f t="shared" si="308"/>
        <v>0</v>
      </c>
      <c r="AY860" s="498">
        <f t="shared" si="309"/>
        <v>0</v>
      </c>
      <c r="BB860" s="498" t="str">
        <f t="shared" si="310"/>
        <v/>
      </c>
      <c r="BC860" s="743" t="str">
        <f t="shared" si="311"/>
        <v/>
      </c>
      <c r="BD860" s="743" t="str">
        <f t="shared" si="312"/>
        <v/>
      </c>
      <c r="BE860" s="743" t="str">
        <f>IF(D860="","",VLOOKUP(D860,'General Basis'!$J$39:$K$46,2,0))</f>
        <v/>
      </c>
      <c r="BF860" s="744" t="str">
        <f>IF(D860="","",VLOOKUP(D860,'General Basis'!$J$39:$L$46,3,0))</f>
        <v/>
      </c>
      <c r="BG860" s="744" t="str">
        <f t="shared" si="319"/>
        <v/>
      </c>
      <c r="BH860" s="744" t="str">
        <f>IF(G860="","",IF(BF860="Abu Dhabi",IF(G860&lt;18,'General Basis'!$C$39,IF(G860&lt;41,'General Basis'!$C$40,IF(G860&lt;60,'General Basis'!$C$41,IF(G860&lt;65,'General Basis'!$C$42,'General Basis'!$C$43)))),IF(G860&lt;11,'General Basis'!$B$39,IF(G860&lt;18,'General Basis'!$B$40,IF(G860&lt;26,'General Basis'!$B$41,IF(G860&lt;31,'General Basis'!$B$42,IF(G860&lt;36,'General Basis'!$B$43,IF(G860&lt;41,'General Basis'!$B$44,IF(G860&lt;46,'General Basis'!$B$45,IF(G860&lt;51,'General Basis'!$B$46,IF(G860&lt;56,'General Basis'!$B$47,IF(G860&lt;60,'General Basis'!$B$48,IF(G860&lt;65,'General Basis'!$B$49,'General Basis'!$B$50)))))))))))))</f>
        <v/>
      </c>
      <c r="BI860" s="744" t="str">
        <f t="shared" si="313"/>
        <v/>
      </c>
      <c r="BJ860" s="747" t="str">
        <f t="shared" si="320"/>
        <v/>
      </c>
      <c r="BK860" s="498" t="str">
        <f t="shared" si="314"/>
        <v/>
      </c>
      <c r="BL860" s="498" t="str">
        <f t="shared" si="315"/>
        <v/>
      </c>
    </row>
    <row r="861" spans="1:64" x14ac:dyDescent="0.25">
      <c r="A861" s="762">
        <f t="shared" si="316"/>
        <v>856</v>
      </c>
      <c r="B861" s="229"/>
      <c r="C861" s="223"/>
      <c r="D861" s="224"/>
      <c r="E861" s="225"/>
      <c r="F861" s="1036" t="str">
        <f t="shared" si="322"/>
        <v/>
      </c>
      <c r="G861" s="1037" t="str">
        <f t="shared" si="317"/>
        <v/>
      </c>
      <c r="H861" s="225"/>
      <c r="I861" s="1013"/>
      <c r="J861" s="1013"/>
      <c r="K861" s="1028"/>
      <c r="L861" s="1035" t="str">
        <f t="shared" si="321"/>
        <v/>
      </c>
      <c r="S861" s="498"/>
      <c r="AJ861" s="498"/>
      <c r="AM861" s="498">
        <f t="shared" si="302"/>
        <v>0</v>
      </c>
      <c r="AN861" s="498">
        <f t="shared" si="303"/>
        <v>0</v>
      </c>
      <c r="AO861" s="498">
        <f t="shared" si="304"/>
        <v>0</v>
      </c>
      <c r="AP861" s="498">
        <f t="shared" si="323"/>
        <v>0</v>
      </c>
      <c r="AQ861" s="498">
        <f t="shared" si="318"/>
        <v>0</v>
      </c>
      <c r="AU861" s="498">
        <f t="shared" si="305"/>
        <v>0</v>
      </c>
      <c r="AV861" s="498">
        <f t="shared" si="306"/>
        <v>0</v>
      </c>
      <c r="AW861" s="498">
        <f t="shared" si="307"/>
        <v>0</v>
      </c>
      <c r="AX861" s="498">
        <f t="shared" si="308"/>
        <v>0</v>
      </c>
      <c r="AY861" s="498">
        <f t="shared" si="309"/>
        <v>0</v>
      </c>
      <c r="BB861" s="498" t="str">
        <f t="shared" si="310"/>
        <v/>
      </c>
      <c r="BC861" s="743" t="str">
        <f t="shared" si="311"/>
        <v/>
      </c>
      <c r="BD861" s="743" t="str">
        <f t="shared" si="312"/>
        <v/>
      </c>
      <c r="BE861" s="743" t="str">
        <f>IF(D861="","",VLOOKUP(D861,'General Basis'!$J$39:$K$46,2,0))</f>
        <v/>
      </c>
      <c r="BF861" s="744" t="str">
        <f>IF(D861="","",VLOOKUP(D861,'General Basis'!$J$39:$L$46,3,0))</f>
        <v/>
      </c>
      <c r="BG861" s="744" t="str">
        <f t="shared" si="319"/>
        <v/>
      </c>
      <c r="BH861" s="744" t="str">
        <f>IF(G861="","",IF(BF861="Abu Dhabi",IF(G861&lt;18,'General Basis'!$C$39,IF(G861&lt;41,'General Basis'!$C$40,IF(G861&lt;60,'General Basis'!$C$41,IF(G861&lt;65,'General Basis'!$C$42,'General Basis'!$C$43)))),IF(G861&lt;11,'General Basis'!$B$39,IF(G861&lt;18,'General Basis'!$B$40,IF(G861&lt;26,'General Basis'!$B$41,IF(G861&lt;31,'General Basis'!$B$42,IF(G861&lt;36,'General Basis'!$B$43,IF(G861&lt;41,'General Basis'!$B$44,IF(G861&lt;46,'General Basis'!$B$45,IF(G861&lt;51,'General Basis'!$B$46,IF(G861&lt;56,'General Basis'!$B$47,IF(G861&lt;60,'General Basis'!$B$48,IF(G861&lt;65,'General Basis'!$B$49,'General Basis'!$B$50)))))))))))))</f>
        <v/>
      </c>
      <c r="BI861" s="744" t="str">
        <f t="shared" si="313"/>
        <v/>
      </c>
      <c r="BJ861" s="747" t="str">
        <f t="shared" si="320"/>
        <v/>
      </c>
      <c r="BK861" s="498" t="str">
        <f t="shared" si="314"/>
        <v/>
      </c>
      <c r="BL861" s="498" t="str">
        <f t="shared" si="315"/>
        <v/>
      </c>
    </row>
    <row r="862" spans="1:64" x14ac:dyDescent="0.25">
      <c r="A862" s="762">
        <f t="shared" si="316"/>
        <v>857</v>
      </c>
      <c r="B862" s="229"/>
      <c r="C862" s="223"/>
      <c r="D862" s="224"/>
      <c r="E862" s="225"/>
      <c r="F862" s="1036" t="str">
        <f t="shared" si="322"/>
        <v/>
      </c>
      <c r="G862" s="1037" t="str">
        <f t="shared" si="317"/>
        <v/>
      </c>
      <c r="H862" s="225"/>
      <c r="I862" s="1013"/>
      <c r="J862" s="1013"/>
      <c r="K862" s="1028"/>
      <c r="L862" s="1035" t="str">
        <f t="shared" si="321"/>
        <v/>
      </c>
      <c r="S862" s="498"/>
      <c r="AJ862" s="498"/>
      <c r="AM862" s="498">
        <f t="shared" si="302"/>
        <v>0</v>
      </c>
      <c r="AN862" s="498">
        <f t="shared" si="303"/>
        <v>0</v>
      </c>
      <c r="AO862" s="498">
        <f t="shared" si="304"/>
        <v>0</v>
      </c>
      <c r="AP862" s="498">
        <f t="shared" si="323"/>
        <v>0</v>
      </c>
      <c r="AQ862" s="498">
        <f t="shared" si="318"/>
        <v>0</v>
      </c>
      <c r="AU862" s="498">
        <f t="shared" si="305"/>
        <v>0</v>
      </c>
      <c r="AV862" s="498">
        <f t="shared" si="306"/>
        <v>0</v>
      </c>
      <c r="AW862" s="498">
        <f t="shared" si="307"/>
        <v>0</v>
      </c>
      <c r="AX862" s="498">
        <f t="shared" si="308"/>
        <v>0</v>
      </c>
      <c r="AY862" s="498">
        <f t="shared" si="309"/>
        <v>0</v>
      </c>
      <c r="BB862" s="498" t="str">
        <f t="shared" si="310"/>
        <v/>
      </c>
      <c r="BC862" s="743" t="str">
        <f t="shared" si="311"/>
        <v/>
      </c>
      <c r="BD862" s="743" t="str">
        <f t="shared" si="312"/>
        <v/>
      </c>
      <c r="BE862" s="743" t="str">
        <f>IF(D862="","",VLOOKUP(D862,'General Basis'!$J$39:$K$46,2,0))</f>
        <v/>
      </c>
      <c r="BF862" s="744" t="str">
        <f>IF(D862="","",VLOOKUP(D862,'General Basis'!$J$39:$L$46,3,0))</f>
        <v/>
      </c>
      <c r="BG862" s="744" t="str">
        <f t="shared" si="319"/>
        <v/>
      </c>
      <c r="BH862" s="744" t="str">
        <f>IF(G862="","",IF(BF862="Abu Dhabi",IF(G862&lt;18,'General Basis'!$C$39,IF(G862&lt;41,'General Basis'!$C$40,IF(G862&lt;60,'General Basis'!$C$41,IF(G862&lt;65,'General Basis'!$C$42,'General Basis'!$C$43)))),IF(G862&lt;11,'General Basis'!$B$39,IF(G862&lt;18,'General Basis'!$B$40,IF(G862&lt;26,'General Basis'!$B$41,IF(G862&lt;31,'General Basis'!$B$42,IF(G862&lt;36,'General Basis'!$B$43,IF(G862&lt;41,'General Basis'!$B$44,IF(G862&lt;46,'General Basis'!$B$45,IF(G862&lt;51,'General Basis'!$B$46,IF(G862&lt;56,'General Basis'!$B$47,IF(G862&lt;60,'General Basis'!$B$48,IF(G862&lt;65,'General Basis'!$B$49,'General Basis'!$B$50)))))))))))))</f>
        <v/>
      </c>
      <c r="BI862" s="744" t="str">
        <f t="shared" si="313"/>
        <v/>
      </c>
      <c r="BJ862" s="747" t="str">
        <f t="shared" si="320"/>
        <v/>
      </c>
      <c r="BK862" s="498" t="str">
        <f t="shared" si="314"/>
        <v/>
      </c>
      <c r="BL862" s="498" t="str">
        <f t="shared" si="315"/>
        <v/>
      </c>
    </row>
    <row r="863" spans="1:64" x14ac:dyDescent="0.25">
      <c r="A863" s="762">
        <f t="shared" si="316"/>
        <v>858</v>
      </c>
      <c r="B863" s="229"/>
      <c r="C863" s="223"/>
      <c r="D863" s="224"/>
      <c r="E863" s="225"/>
      <c r="F863" s="1036" t="str">
        <f t="shared" si="322"/>
        <v/>
      </c>
      <c r="G863" s="1037" t="str">
        <f t="shared" si="317"/>
        <v/>
      </c>
      <c r="H863" s="225"/>
      <c r="I863" s="1013"/>
      <c r="J863" s="1013"/>
      <c r="K863" s="1028"/>
      <c r="L863" s="1035" t="str">
        <f t="shared" si="321"/>
        <v/>
      </c>
      <c r="S863" s="498"/>
      <c r="AJ863" s="498"/>
      <c r="AM863" s="498">
        <f t="shared" si="302"/>
        <v>0</v>
      </c>
      <c r="AN863" s="498">
        <f t="shared" si="303"/>
        <v>0</v>
      </c>
      <c r="AO863" s="498">
        <f t="shared" si="304"/>
        <v>0</v>
      </c>
      <c r="AP863" s="498">
        <f t="shared" si="323"/>
        <v>0</v>
      </c>
      <c r="AQ863" s="498">
        <f t="shared" si="318"/>
        <v>0</v>
      </c>
      <c r="AU863" s="498">
        <f t="shared" si="305"/>
        <v>0</v>
      </c>
      <c r="AV863" s="498">
        <f t="shared" si="306"/>
        <v>0</v>
      </c>
      <c r="AW863" s="498">
        <f t="shared" si="307"/>
        <v>0</v>
      </c>
      <c r="AX863" s="498">
        <f t="shared" si="308"/>
        <v>0</v>
      </c>
      <c r="AY863" s="498">
        <f t="shared" si="309"/>
        <v>0</v>
      </c>
      <c r="BB863" s="498" t="str">
        <f t="shared" si="310"/>
        <v/>
      </c>
      <c r="BC863" s="743" t="str">
        <f t="shared" si="311"/>
        <v/>
      </c>
      <c r="BD863" s="743" t="str">
        <f t="shared" si="312"/>
        <v/>
      </c>
      <c r="BE863" s="743" t="str">
        <f>IF(D863="","",VLOOKUP(D863,'General Basis'!$J$39:$K$46,2,0))</f>
        <v/>
      </c>
      <c r="BF863" s="744" t="str">
        <f>IF(D863="","",VLOOKUP(D863,'General Basis'!$J$39:$L$46,3,0))</f>
        <v/>
      </c>
      <c r="BG863" s="744" t="str">
        <f t="shared" si="319"/>
        <v/>
      </c>
      <c r="BH863" s="744" t="str">
        <f>IF(G863="","",IF(BF863="Abu Dhabi",IF(G863&lt;18,'General Basis'!$C$39,IF(G863&lt;41,'General Basis'!$C$40,IF(G863&lt;60,'General Basis'!$C$41,IF(G863&lt;65,'General Basis'!$C$42,'General Basis'!$C$43)))),IF(G863&lt;11,'General Basis'!$B$39,IF(G863&lt;18,'General Basis'!$B$40,IF(G863&lt;26,'General Basis'!$B$41,IF(G863&lt;31,'General Basis'!$B$42,IF(G863&lt;36,'General Basis'!$B$43,IF(G863&lt;41,'General Basis'!$B$44,IF(G863&lt;46,'General Basis'!$B$45,IF(G863&lt;51,'General Basis'!$B$46,IF(G863&lt;56,'General Basis'!$B$47,IF(G863&lt;60,'General Basis'!$B$48,IF(G863&lt;65,'General Basis'!$B$49,'General Basis'!$B$50)))))))))))))</f>
        <v/>
      </c>
      <c r="BI863" s="744" t="str">
        <f t="shared" si="313"/>
        <v/>
      </c>
      <c r="BJ863" s="747" t="str">
        <f t="shared" si="320"/>
        <v/>
      </c>
      <c r="BK863" s="498" t="str">
        <f t="shared" si="314"/>
        <v/>
      </c>
      <c r="BL863" s="498" t="str">
        <f t="shared" si="315"/>
        <v/>
      </c>
    </row>
    <row r="864" spans="1:64" x14ac:dyDescent="0.25">
      <c r="A864" s="762">
        <f t="shared" si="316"/>
        <v>859</v>
      </c>
      <c r="B864" s="229"/>
      <c r="C864" s="223"/>
      <c r="D864" s="224"/>
      <c r="E864" s="225"/>
      <c r="F864" s="1036" t="str">
        <f t="shared" si="322"/>
        <v/>
      </c>
      <c r="G864" s="1037" t="str">
        <f t="shared" si="317"/>
        <v/>
      </c>
      <c r="H864" s="225"/>
      <c r="I864" s="1013"/>
      <c r="J864" s="1013"/>
      <c r="K864" s="1028"/>
      <c r="L864" s="1035" t="str">
        <f t="shared" si="321"/>
        <v/>
      </c>
      <c r="S864" s="498"/>
      <c r="AJ864" s="498"/>
      <c r="AM864" s="498">
        <f t="shared" si="302"/>
        <v>0</v>
      </c>
      <c r="AN864" s="498">
        <f t="shared" si="303"/>
        <v>0</v>
      </c>
      <c r="AO864" s="498">
        <f t="shared" si="304"/>
        <v>0</v>
      </c>
      <c r="AP864" s="498">
        <f t="shared" si="323"/>
        <v>0</v>
      </c>
      <c r="AQ864" s="498">
        <f t="shared" si="318"/>
        <v>0</v>
      </c>
      <c r="AU864" s="498">
        <f t="shared" si="305"/>
        <v>0</v>
      </c>
      <c r="AV864" s="498">
        <f t="shared" si="306"/>
        <v>0</v>
      </c>
      <c r="AW864" s="498">
        <f t="shared" si="307"/>
        <v>0</v>
      </c>
      <c r="AX864" s="498">
        <f t="shared" si="308"/>
        <v>0</v>
      </c>
      <c r="AY864" s="498">
        <f t="shared" si="309"/>
        <v>0</v>
      </c>
      <c r="BB864" s="498" t="str">
        <f t="shared" si="310"/>
        <v/>
      </c>
      <c r="BC864" s="743" t="str">
        <f t="shared" si="311"/>
        <v/>
      </c>
      <c r="BD864" s="743" t="str">
        <f t="shared" si="312"/>
        <v/>
      </c>
      <c r="BE864" s="743" t="str">
        <f>IF(D864="","",VLOOKUP(D864,'General Basis'!$J$39:$K$46,2,0))</f>
        <v/>
      </c>
      <c r="BF864" s="744" t="str">
        <f>IF(D864="","",VLOOKUP(D864,'General Basis'!$J$39:$L$46,3,0))</f>
        <v/>
      </c>
      <c r="BG864" s="744" t="str">
        <f t="shared" si="319"/>
        <v/>
      </c>
      <c r="BH864" s="744" t="str">
        <f>IF(G864="","",IF(BF864="Abu Dhabi",IF(G864&lt;18,'General Basis'!$C$39,IF(G864&lt;41,'General Basis'!$C$40,IF(G864&lt;60,'General Basis'!$C$41,IF(G864&lt;65,'General Basis'!$C$42,'General Basis'!$C$43)))),IF(G864&lt;11,'General Basis'!$B$39,IF(G864&lt;18,'General Basis'!$B$40,IF(G864&lt;26,'General Basis'!$B$41,IF(G864&lt;31,'General Basis'!$B$42,IF(G864&lt;36,'General Basis'!$B$43,IF(G864&lt;41,'General Basis'!$B$44,IF(G864&lt;46,'General Basis'!$B$45,IF(G864&lt;51,'General Basis'!$B$46,IF(G864&lt;56,'General Basis'!$B$47,IF(G864&lt;60,'General Basis'!$B$48,IF(G864&lt;65,'General Basis'!$B$49,'General Basis'!$B$50)))))))))))))</f>
        <v/>
      </c>
      <c r="BI864" s="744" t="str">
        <f t="shared" si="313"/>
        <v/>
      </c>
      <c r="BJ864" s="747" t="str">
        <f t="shared" si="320"/>
        <v/>
      </c>
      <c r="BK864" s="498" t="str">
        <f t="shared" si="314"/>
        <v/>
      </c>
      <c r="BL864" s="498" t="str">
        <f t="shared" si="315"/>
        <v/>
      </c>
    </row>
    <row r="865" spans="1:64" x14ac:dyDescent="0.25">
      <c r="A865" s="762">
        <f t="shared" si="316"/>
        <v>860</v>
      </c>
      <c r="B865" s="229"/>
      <c r="C865" s="223"/>
      <c r="D865" s="224"/>
      <c r="E865" s="225"/>
      <c r="F865" s="1036" t="str">
        <f t="shared" si="322"/>
        <v/>
      </c>
      <c r="G865" s="1037" t="str">
        <f t="shared" si="317"/>
        <v/>
      </c>
      <c r="H865" s="225"/>
      <c r="I865" s="1013"/>
      <c r="J865" s="1013"/>
      <c r="K865" s="1028"/>
      <c r="L865" s="1035" t="str">
        <f t="shared" si="321"/>
        <v/>
      </c>
      <c r="S865" s="498"/>
      <c r="AJ865" s="498"/>
      <c r="AM865" s="498">
        <f t="shared" si="302"/>
        <v>0</v>
      </c>
      <c r="AN865" s="498">
        <f t="shared" si="303"/>
        <v>0</v>
      </c>
      <c r="AO865" s="498">
        <f t="shared" si="304"/>
        <v>0</v>
      </c>
      <c r="AP865" s="498">
        <f t="shared" si="323"/>
        <v>0</v>
      </c>
      <c r="AQ865" s="498">
        <f t="shared" si="318"/>
        <v>0</v>
      </c>
      <c r="AU865" s="498">
        <f t="shared" si="305"/>
        <v>0</v>
      </c>
      <c r="AV865" s="498">
        <f t="shared" si="306"/>
        <v>0</v>
      </c>
      <c r="AW865" s="498">
        <f t="shared" si="307"/>
        <v>0</v>
      </c>
      <c r="AX865" s="498">
        <f t="shared" si="308"/>
        <v>0</v>
      </c>
      <c r="AY865" s="498">
        <f t="shared" si="309"/>
        <v>0</v>
      </c>
      <c r="BB865" s="498" t="str">
        <f t="shared" si="310"/>
        <v/>
      </c>
      <c r="BC865" s="743" t="str">
        <f t="shared" si="311"/>
        <v/>
      </c>
      <c r="BD865" s="743" t="str">
        <f t="shared" si="312"/>
        <v/>
      </c>
      <c r="BE865" s="743" t="str">
        <f>IF(D865="","",VLOOKUP(D865,'General Basis'!$J$39:$K$46,2,0))</f>
        <v/>
      </c>
      <c r="BF865" s="744" t="str">
        <f>IF(D865="","",VLOOKUP(D865,'General Basis'!$J$39:$L$46,3,0))</f>
        <v/>
      </c>
      <c r="BG865" s="744" t="str">
        <f t="shared" si="319"/>
        <v/>
      </c>
      <c r="BH865" s="744" t="str">
        <f>IF(G865="","",IF(BF865="Abu Dhabi",IF(G865&lt;18,'General Basis'!$C$39,IF(G865&lt;41,'General Basis'!$C$40,IF(G865&lt;60,'General Basis'!$C$41,IF(G865&lt;65,'General Basis'!$C$42,'General Basis'!$C$43)))),IF(G865&lt;11,'General Basis'!$B$39,IF(G865&lt;18,'General Basis'!$B$40,IF(G865&lt;26,'General Basis'!$B$41,IF(G865&lt;31,'General Basis'!$B$42,IF(G865&lt;36,'General Basis'!$B$43,IF(G865&lt;41,'General Basis'!$B$44,IF(G865&lt;46,'General Basis'!$B$45,IF(G865&lt;51,'General Basis'!$B$46,IF(G865&lt;56,'General Basis'!$B$47,IF(G865&lt;60,'General Basis'!$B$48,IF(G865&lt;65,'General Basis'!$B$49,'General Basis'!$B$50)))))))))))))</f>
        <v/>
      </c>
      <c r="BI865" s="744" t="str">
        <f t="shared" si="313"/>
        <v/>
      </c>
      <c r="BJ865" s="747" t="str">
        <f t="shared" si="320"/>
        <v/>
      </c>
      <c r="BK865" s="498" t="str">
        <f t="shared" si="314"/>
        <v/>
      </c>
      <c r="BL865" s="498" t="str">
        <f t="shared" si="315"/>
        <v/>
      </c>
    </row>
    <row r="866" spans="1:64" x14ac:dyDescent="0.25">
      <c r="A866" s="762">
        <f t="shared" si="316"/>
        <v>861</v>
      </c>
      <c r="B866" s="229"/>
      <c r="C866" s="223"/>
      <c r="D866" s="224"/>
      <c r="E866" s="225"/>
      <c r="F866" s="1036" t="str">
        <f t="shared" si="322"/>
        <v/>
      </c>
      <c r="G866" s="1037" t="str">
        <f t="shared" si="317"/>
        <v/>
      </c>
      <c r="H866" s="225"/>
      <c r="I866" s="1013"/>
      <c r="J866" s="1013"/>
      <c r="K866" s="1028"/>
      <c r="L866" s="1035" t="str">
        <f t="shared" si="321"/>
        <v/>
      </c>
      <c r="S866" s="498"/>
      <c r="AJ866" s="498"/>
      <c r="AM866" s="498">
        <f t="shared" si="302"/>
        <v>0</v>
      </c>
      <c r="AN866" s="498">
        <f t="shared" si="303"/>
        <v>0</v>
      </c>
      <c r="AO866" s="498">
        <f t="shared" si="304"/>
        <v>0</v>
      </c>
      <c r="AP866" s="498">
        <f t="shared" si="323"/>
        <v>0</v>
      </c>
      <c r="AQ866" s="498">
        <f t="shared" si="318"/>
        <v>0</v>
      </c>
      <c r="AU866" s="498">
        <f t="shared" si="305"/>
        <v>0</v>
      </c>
      <c r="AV866" s="498">
        <f t="shared" si="306"/>
        <v>0</v>
      </c>
      <c r="AW866" s="498">
        <f t="shared" si="307"/>
        <v>0</v>
      </c>
      <c r="AX866" s="498">
        <f t="shared" si="308"/>
        <v>0</v>
      </c>
      <c r="AY866" s="498">
        <f t="shared" si="309"/>
        <v>0</v>
      </c>
      <c r="BB866" s="498" t="str">
        <f t="shared" si="310"/>
        <v/>
      </c>
      <c r="BC866" s="743" t="str">
        <f t="shared" si="311"/>
        <v/>
      </c>
      <c r="BD866" s="743" t="str">
        <f t="shared" si="312"/>
        <v/>
      </c>
      <c r="BE866" s="743" t="str">
        <f>IF(D866="","",VLOOKUP(D866,'General Basis'!$J$39:$K$46,2,0))</f>
        <v/>
      </c>
      <c r="BF866" s="744" t="str">
        <f>IF(D866="","",VLOOKUP(D866,'General Basis'!$J$39:$L$46,3,0))</f>
        <v/>
      </c>
      <c r="BG866" s="744" t="str">
        <f t="shared" si="319"/>
        <v/>
      </c>
      <c r="BH866" s="744" t="str">
        <f>IF(G866="","",IF(BF866="Abu Dhabi",IF(G866&lt;18,'General Basis'!$C$39,IF(G866&lt;41,'General Basis'!$C$40,IF(G866&lt;60,'General Basis'!$C$41,IF(G866&lt;65,'General Basis'!$C$42,'General Basis'!$C$43)))),IF(G866&lt;11,'General Basis'!$B$39,IF(G866&lt;18,'General Basis'!$B$40,IF(G866&lt;26,'General Basis'!$B$41,IF(G866&lt;31,'General Basis'!$B$42,IF(G866&lt;36,'General Basis'!$B$43,IF(G866&lt;41,'General Basis'!$B$44,IF(G866&lt;46,'General Basis'!$B$45,IF(G866&lt;51,'General Basis'!$B$46,IF(G866&lt;56,'General Basis'!$B$47,IF(G866&lt;60,'General Basis'!$B$48,IF(G866&lt;65,'General Basis'!$B$49,'General Basis'!$B$50)))))))))))))</f>
        <v/>
      </c>
      <c r="BI866" s="744" t="str">
        <f t="shared" si="313"/>
        <v/>
      </c>
      <c r="BJ866" s="747" t="str">
        <f t="shared" si="320"/>
        <v/>
      </c>
      <c r="BK866" s="498" t="str">
        <f t="shared" si="314"/>
        <v/>
      </c>
      <c r="BL866" s="498" t="str">
        <f t="shared" si="315"/>
        <v/>
      </c>
    </row>
    <row r="867" spans="1:64" x14ac:dyDescent="0.25">
      <c r="A867" s="762">
        <f t="shared" si="316"/>
        <v>862</v>
      </c>
      <c r="B867" s="229"/>
      <c r="C867" s="223"/>
      <c r="D867" s="224"/>
      <c r="E867" s="225"/>
      <c r="F867" s="1036" t="str">
        <f t="shared" si="322"/>
        <v/>
      </c>
      <c r="G867" s="1037" t="str">
        <f t="shared" si="317"/>
        <v/>
      </c>
      <c r="H867" s="225"/>
      <c r="I867" s="1013"/>
      <c r="J867" s="1013"/>
      <c r="K867" s="1028"/>
      <c r="L867" s="1035" t="str">
        <f t="shared" si="321"/>
        <v/>
      </c>
      <c r="S867" s="498"/>
      <c r="AJ867" s="498"/>
      <c r="AM867" s="498">
        <f t="shared" si="302"/>
        <v>0</v>
      </c>
      <c r="AN867" s="498">
        <f t="shared" si="303"/>
        <v>0</v>
      </c>
      <c r="AO867" s="498">
        <f t="shared" si="304"/>
        <v>0</v>
      </c>
      <c r="AP867" s="498">
        <f t="shared" si="323"/>
        <v>0</v>
      </c>
      <c r="AQ867" s="498">
        <f t="shared" si="318"/>
        <v>0</v>
      </c>
      <c r="AU867" s="498">
        <f t="shared" si="305"/>
        <v>0</v>
      </c>
      <c r="AV867" s="498">
        <f t="shared" si="306"/>
        <v>0</v>
      </c>
      <c r="AW867" s="498">
        <f t="shared" si="307"/>
        <v>0</v>
      </c>
      <c r="AX867" s="498">
        <f t="shared" si="308"/>
        <v>0</v>
      </c>
      <c r="AY867" s="498">
        <f t="shared" si="309"/>
        <v>0</v>
      </c>
      <c r="BB867" s="498" t="str">
        <f t="shared" si="310"/>
        <v/>
      </c>
      <c r="BC867" s="743" t="str">
        <f t="shared" si="311"/>
        <v/>
      </c>
      <c r="BD867" s="743" t="str">
        <f t="shared" si="312"/>
        <v/>
      </c>
      <c r="BE867" s="743" t="str">
        <f>IF(D867="","",VLOOKUP(D867,'General Basis'!$J$39:$K$46,2,0))</f>
        <v/>
      </c>
      <c r="BF867" s="744" t="str">
        <f>IF(D867="","",VLOOKUP(D867,'General Basis'!$J$39:$L$46,3,0))</f>
        <v/>
      </c>
      <c r="BG867" s="744" t="str">
        <f t="shared" si="319"/>
        <v/>
      </c>
      <c r="BH867" s="744" t="str">
        <f>IF(G867="","",IF(BF867="Abu Dhabi",IF(G867&lt;18,'General Basis'!$C$39,IF(G867&lt;41,'General Basis'!$C$40,IF(G867&lt;60,'General Basis'!$C$41,IF(G867&lt;65,'General Basis'!$C$42,'General Basis'!$C$43)))),IF(G867&lt;11,'General Basis'!$B$39,IF(G867&lt;18,'General Basis'!$B$40,IF(G867&lt;26,'General Basis'!$B$41,IF(G867&lt;31,'General Basis'!$B$42,IF(G867&lt;36,'General Basis'!$B$43,IF(G867&lt;41,'General Basis'!$B$44,IF(G867&lt;46,'General Basis'!$B$45,IF(G867&lt;51,'General Basis'!$B$46,IF(G867&lt;56,'General Basis'!$B$47,IF(G867&lt;60,'General Basis'!$B$48,IF(G867&lt;65,'General Basis'!$B$49,'General Basis'!$B$50)))))))))))))</f>
        <v/>
      </c>
      <c r="BI867" s="744" t="str">
        <f t="shared" si="313"/>
        <v/>
      </c>
      <c r="BJ867" s="747" t="str">
        <f t="shared" si="320"/>
        <v/>
      </c>
      <c r="BK867" s="498" t="str">
        <f t="shared" si="314"/>
        <v/>
      </c>
      <c r="BL867" s="498" t="str">
        <f t="shared" si="315"/>
        <v/>
      </c>
    </row>
    <row r="868" spans="1:64" x14ac:dyDescent="0.25">
      <c r="A868" s="762">
        <f t="shared" si="316"/>
        <v>863</v>
      </c>
      <c r="B868" s="229"/>
      <c r="C868" s="223"/>
      <c r="D868" s="224"/>
      <c r="E868" s="225"/>
      <c r="F868" s="1036" t="str">
        <f t="shared" si="322"/>
        <v/>
      </c>
      <c r="G868" s="1037" t="str">
        <f t="shared" si="317"/>
        <v/>
      </c>
      <c r="H868" s="225"/>
      <c r="I868" s="1013"/>
      <c r="J868" s="1013"/>
      <c r="K868" s="1028"/>
      <c r="L868" s="1035" t="str">
        <f t="shared" si="321"/>
        <v/>
      </c>
      <c r="S868" s="498"/>
      <c r="AJ868" s="498"/>
      <c r="AM868" s="498">
        <f t="shared" si="302"/>
        <v>0</v>
      </c>
      <c r="AN868" s="498">
        <f t="shared" si="303"/>
        <v>0</v>
      </c>
      <c r="AO868" s="498">
        <f t="shared" si="304"/>
        <v>0</v>
      </c>
      <c r="AP868" s="498">
        <f t="shared" si="323"/>
        <v>0</v>
      </c>
      <c r="AQ868" s="498">
        <f t="shared" si="318"/>
        <v>0</v>
      </c>
      <c r="AU868" s="498">
        <f t="shared" si="305"/>
        <v>0</v>
      </c>
      <c r="AV868" s="498">
        <f t="shared" si="306"/>
        <v>0</v>
      </c>
      <c r="AW868" s="498">
        <f t="shared" si="307"/>
        <v>0</v>
      </c>
      <c r="AX868" s="498">
        <f t="shared" si="308"/>
        <v>0</v>
      </c>
      <c r="AY868" s="498">
        <f t="shared" si="309"/>
        <v>0</v>
      </c>
      <c r="BB868" s="498" t="str">
        <f t="shared" si="310"/>
        <v/>
      </c>
      <c r="BC868" s="743" t="str">
        <f t="shared" si="311"/>
        <v/>
      </c>
      <c r="BD868" s="743" t="str">
        <f t="shared" si="312"/>
        <v/>
      </c>
      <c r="BE868" s="743" t="str">
        <f>IF(D868="","",VLOOKUP(D868,'General Basis'!$J$39:$K$46,2,0))</f>
        <v/>
      </c>
      <c r="BF868" s="744" t="str">
        <f>IF(D868="","",VLOOKUP(D868,'General Basis'!$J$39:$L$46,3,0))</f>
        <v/>
      </c>
      <c r="BG868" s="744" t="str">
        <f t="shared" si="319"/>
        <v/>
      </c>
      <c r="BH868" s="744" t="str">
        <f>IF(G868="","",IF(BF868="Abu Dhabi",IF(G868&lt;18,'General Basis'!$C$39,IF(G868&lt;41,'General Basis'!$C$40,IF(G868&lt;60,'General Basis'!$C$41,IF(G868&lt;65,'General Basis'!$C$42,'General Basis'!$C$43)))),IF(G868&lt;11,'General Basis'!$B$39,IF(G868&lt;18,'General Basis'!$B$40,IF(G868&lt;26,'General Basis'!$B$41,IF(G868&lt;31,'General Basis'!$B$42,IF(G868&lt;36,'General Basis'!$B$43,IF(G868&lt;41,'General Basis'!$B$44,IF(G868&lt;46,'General Basis'!$B$45,IF(G868&lt;51,'General Basis'!$B$46,IF(G868&lt;56,'General Basis'!$B$47,IF(G868&lt;60,'General Basis'!$B$48,IF(G868&lt;65,'General Basis'!$B$49,'General Basis'!$B$50)))))))))))))</f>
        <v/>
      </c>
      <c r="BI868" s="744" t="str">
        <f t="shared" si="313"/>
        <v/>
      </c>
      <c r="BJ868" s="747" t="str">
        <f t="shared" si="320"/>
        <v/>
      </c>
      <c r="BK868" s="498" t="str">
        <f t="shared" si="314"/>
        <v/>
      </c>
      <c r="BL868" s="498" t="str">
        <f t="shared" si="315"/>
        <v/>
      </c>
    </row>
    <row r="869" spans="1:64" x14ac:dyDescent="0.25">
      <c r="A869" s="762">
        <f t="shared" si="316"/>
        <v>864</v>
      </c>
      <c r="B869" s="229"/>
      <c r="C869" s="223"/>
      <c r="D869" s="224"/>
      <c r="E869" s="225"/>
      <c r="F869" s="1036" t="str">
        <f t="shared" si="322"/>
        <v/>
      </c>
      <c r="G869" s="1037" t="str">
        <f t="shared" si="317"/>
        <v/>
      </c>
      <c r="H869" s="225"/>
      <c r="I869" s="1013"/>
      <c r="J869" s="1013"/>
      <c r="K869" s="1028"/>
      <c r="L869" s="1035" t="str">
        <f t="shared" si="321"/>
        <v/>
      </c>
      <c r="S869" s="498"/>
      <c r="AJ869" s="498"/>
      <c r="AM869" s="498">
        <f t="shared" si="302"/>
        <v>0</v>
      </c>
      <c r="AN869" s="498">
        <f t="shared" si="303"/>
        <v>0</v>
      </c>
      <c r="AO869" s="498">
        <f t="shared" si="304"/>
        <v>0</v>
      </c>
      <c r="AP869" s="498">
        <f t="shared" si="323"/>
        <v>0</v>
      </c>
      <c r="AQ869" s="498">
        <f t="shared" si="318"/>
        <v>0</v>
      </c>
      <c r="AU869" s="498">
        <f t="shared" si="305"/>
        <v>0</v>
      </c>
      <c r="AV869" s="498">
        <f t="shared" si="306"/>
        <v>0</v>
      </c>
      <c r="AW869" s="498">
        <f t="shared" si="307"/>
        <v>0</v>
      </c>
      <c r="AX869" s="498">
        <f t="shared" si="308"/>
        <v>0</v>
      </c>
      <c r="AY869" s="498">
        <f t="shared" si="309"/>
        <v>0</v>
      </c>
      <c r="BB869" s="498" t="str">
        <f t="shared" si="310"/>
        <v/>
      </c>
      <c r="BC869" s="743" t="str">
        <f t="shared" si="311"/>
        <v/>
      </c>
      <c r="BD869" s="743" t="str">
        <f t="shared" si="312"/>
        <v/>
      </c>
      <c r="BE869" s="743" t="str">
        <f>IF(D869="","",VLOOKUP(D869,'General Basis'!$J$39:$K$46,2,0))</f>
        <v/>
      </c>
      <c r="BF869" s="744" t="str">
        <f>IF(D869="","",VLOOKUP(D869,'General Basis'!$J$39:$L$46,3,0))</f>
        <v/>
      </c>
      <c r="BG869" s="744" t="str">
        <f t="shared" si="319"/>
        <v/>
      </c>
      <c r="BH869" s="744" t="str">
        <f>IF(G869="","",IF(BF869="Abu Dhabi",IF(G869&lt;18,'General Basis'!$C$39,IF(G869&lt;41,'General Basis'!$C$40,IF(G869&lt;60,'General Basis'!$C$41,IF(G869&lt;65,'General Basis'!$C$42,'General Basis'!$C$43)))),IF(G869&lt;11,'General Basis'!$B$39,IF(G869&lt;18,'General Basis'!$B$40,IF(G869&lt;26,'General Basis'!$B$41,IF(G869&lt;31,'General Basis'!$B$42,IF(G869&lt;36,'General Basis'!$B$43,IF(G869&lt;41,'General Basis'!$B$44,IF(G869&lt;46,'General Basis'!$B$45,IF(G869&lt;51,'General Basis'!$B$46,IF(G869&lt;56,'General Basis'!$B$47,IF(G869&lt;60,'General Basis'!$B$48,IF(G869&lt;65,'General Basis'!$B$49,'General Basis'!$B$50)))))))))))))</f>
        <v/>
      </c>
      <c r="BI869" s="744" t="str">
        <f t="shared" si="313"/>
        <v/>
      </c>
      <c r="BJ869" s="747" t="str">
        <f t="shared" si="320"/>
        <v/>
      </c>
      <c r="BK869" s="498" t="str">
        <f t="shared" si="314"/>
        <v/>
      </c>
      <c r="BL869" s="498" t="str">
        <f t="shared" si="315"/>
        <v/>
      </c>
    </row>
    <row r="870" spans="1:64" x14ac:dyDescent="0.25">
      <c r="A870" s="762">
        <f t="shared" si="316"/>
        <v>865</v>
      </c>
      <c r="B870" s="229"/>
      <c r="C870" s="223"/>
      <c r="D870" s="224"/>
      <c r="E870" s="225"/>
      <c r="F870" s="1036" t="str">
        <f t="shared" si="322"/>
        <v/>
      </c>
      <c r="G870" s="1037" t="str">
        <f t="shared" si="317"/>
        <v/>
      </c>
      <c r="H870" s="225"/>
      <c r="I870" s="1013"/>
      <c r="J870" s="1013"/>
      <c r="K870" s="1028"/>
      <c r="L870" s="1035" t="str">
        <f t="shared" si="321"/>
        <v/>
      </c>
      <c r="S870" s="498"/>
      <c r="AJ870" s="498"/>
      <c r="AM870" s="498">
        <f t="shared" si="302"/>
        <v>0</v>
      </c>
      <c r="AN870" s="498">
        <f t="shared" si="303"/>
        <v>0</v>
      </c>
      <c r="AO870" s="498">
        <f t="shared" si="304"/>
        <v>0</v>
      </c>
      <c r="AP870" s="498">
        <f t="shared" si="323"/>
        <v>0</v>
      </c>
      <c r="AQ870" s="498">
        <f t="shared" si="318"/>
        <v>0</v>
      </c>
      <c r="AU870" s="498">
        <f t="shared" si="305"/>
        <v>0</v>
      </c>
      <c r="AV870" s="498">
        <f t="shared" si="306"/>
        <v>0</v>
      </c>
      <c r="AW870" s="498">
        <f t="shared" si="307"/>
        <v>0</v>
      </c>
      <c r="AX870" s="498">
        <f t="shared" si="308"/>
        <v>0</v>
      </c>
      <c r="AY870" s="498">
        <f t="shared" si="309"/>
        <v>0</v>
      </c>
      <c r="BB870" s="498" t="str">
        <f t="shared" si="310"/>
        <v/>
      </c>
      <c r="BC870" s="743" t="str">
        <f t="shared" si="311"/>
        <v/>
      </c>
      <c r="BD870" s="743" t="str">
        <f t="shared" si="312"/>
        <v/>
      </c>
      <c r="BE870" s="743" t="str">
        <f>IF(D870="","",VLOOKUP(D870,'General Basis'!$J$39:$K$46,2,0))</f>
        <v/>
      </c>
      <c r="BF870" s="744" t="str">
        <f>IF(D870="","",VLOOKUP(D870,'General Basis'!$J$39:$L$46,3,0))</f>
        <v/>
      </c>
      <c r="BG870" s="744" t="str">
        <f t="shared" si="319"/>
        <v/>
      </c>
      <c r="BH870" s="744" t="str">
        <f>IF(G870="","",IF(BF870="Abu Dhabi",IF(G870&lt;18,'General Basis'!$C$39,IF(G870&lt;41,'General Basis'!$C$40,IF(G870&lt;60,'General Basis'!$C$41,IF(G870&lt;65,'General Basis'!$C$42,'General Basis'!$C$43)))),IF(G870&lt;11,'General Basis'!$B$39,IF(G870&lt;18,'General Basis'!$B$40,IF(G870&lt;26,'General Basis'!$B$41,IF(G870&lt;31,'General Basis'!$B$42,IF(G870&lt;36,'General Basis'!$B$43,IF(G870&lt;41,'General Basis'!$B$44,IF(G870&lt;46,'General Basis'!$B$45,IF(G870&lt;51,'General Basis'!$B$46,IF(G870&lt;56,'General Basis'!$B$47,IF(G870&lt;60,'General Basis'!$B$48,IF(G870&lt;65,'General Basis'!$B$49,'General Basis'!$B$50)))))))))))))</f>
        <v/>
      </c>
      <c r="BI870" s="744" t="str">
        <f t="shared" si="313"/>
        <v/>
      </c>
      <c r="BJ870" s="747" t="str">
        <f t="shared" si="320"/>
        <v/>
      </c>
      <c r="BK870" s="498" t="str">
        <f t="shared" si="314"/>
        <v/>
      </c>
      <c r="BL870" s="498" t="str">
        <f t="shared" si="315"/>
        <v/>
      </c>
    </row>
    <row r="871" spans="1:64" x14ac:dyDescent="0.25">
      <c r="A871" s="762">
        <f t="shared" si="316"/>
        <v>866</v>
      </c>
      <c r="B871" s="229"/>
      <c r="C871" s="223"/>
      <c r="D871" s="224"/>
      <c r="E871" s="225"/>
      <c r="F871" s="1036" t="str">
        <f t="shared" si="322"/>
        <v/>
      </c>
      <c r="G871" s="1037" t="str">
        <f t="shared" si="317"/>
        <v/>
      </c>
      <c r="H871" s="225"/>
      <c r="I871" s="1013"/>
      <c r="J871" s="1013"/>
      <c r="K871" s="1028"/>
      <c r="L871" s="1035" t="str">
        <f t="shared" si="321"/>
        <v/>
      </c>
      <c r="S871" s="498"/>
      <c r="AJ871" s="498"/>
      <c r="AM871" s="498">
        <f t="shared" si="302"/>
        <v>0</v>
      </c>
      <c r="AN871" s="498">
        <f t="shared" si="303"/>
        <v>0</v>
      </c>
      <c r="AO871" s="498">
        <f t="shared" si="304"/>
        <v>0</v>
      </c>
      <c r="AP871" s="498">
        <f t="shared" si="323"/>
        <v>0</v>
      </c>
      <c r="AQ871" s="498">
        <f t="shared" si="318"/>
        <v>0</v>
      </c>
      <c r="AU871" s="498">
        <f t="shared" si="305"/>
        <v>0</v>
      </c>
      <c r="AV871" s="498">
        <f t="shared" si="306"/>
        <v>0</v>
      </c>
      <c r="AW871" s="498">
        <f t="shared" si="307"/>
        <v>0</v>
      </c>
      <c r="AX871" s="498">
        <f t="shared" si="308"/>
        <v>0</v>
      </c>
      <c r="AY871" s="498">
        <f t="shared" si="309"/>
        <v>0</v>
      </c>
      <c r="BB871" s="498" t="str">
        <f t="shared" si="310"/>
        <v/>
      </c>
      <c r="BC871" s="743" t="str">
        <f t="shared" si="311"/>
        <v/>
      </c>
      <c r="BD871" s="743" t="str">
        <f t="shared" si="312"/>
        <v/>
      </c>
      <c r="BE871" s="743" t="str">
        <f>IF(D871="","",VLOOKUP(D871,'General Basis'!$J$39:$K$46,2,0))</f>
        <v/>
      </c>
      <c r="BF871" s="744" t="str">
        <f>IF(D871="","",VLOOKUP(D871,'General Basis'!$J$39:$L$46,3,0))</f>
        <v/>
      </c>
      <c r="BG871" s="744" t="str">
        <f t="shared" si="319"/>
        <v/>
      </c>
      <c r="BH871" s="744" t="str">
        <f>IF(G871="","",IF(BF871="Abu Dhabi",IF(G871&lt;18,'General Basis'!$C$39,IF(G871&lt;41,'General Basis'!$C$40,IF(G871&lt;60,'General Basis'!$C$41,IF(G871&lt;65,'General Basis'!$C$42,'General Basis'!$C$43)))),IF(G871&lt;11,'General Basis'!$B$39,IF(G871&lt;18,'General Basis'!$B$40,IF(G871&lt;26,'General Basis'!$B$41,IF(G871&lt;31,'General Basis'!$B$42,IF(G871&lt;36,'General Basis'!$B$43,IF(G871&lt;41,'General Basis'!$B$44,IF(G871&lt;46,'General Basis'!$B$45,IF(G871&lt;51,'General Basis'!$B$46,IF(G871&lt;56,'General Basis'!$B$47,IF(G871&lt;60,'General Basis'!$B$48,IF(G871&lt;65,'General Basis'!$B$49,'General Basis'!$B$50)))))))))))))</f>
        <v/>
      </c>
      <c r="BI871" s="744" t="str">
        <f t="shared" si="313"/>
        <v/>
      </c>
      <c r="BJ871" s="747" t="str">
        <f t="shared" si="320"/>
        <v/>
      </c>
      <c r="BK871" s="498" t="str">
        <f t="shared" si="314"/>
        <v/>
      </c>
      <c r="BL871" s="498" t="str">
        <f t="shared" si="315"/>
        <v/>
      </c>
    </row>
    <row r="872" spans="1:64" x14ac:dyDescent="0.25">
      <c r="A872" s="762">
        <f t="shared" si="316"/>
        <v>867</v>
      </c>
      <c r="B872" s="229"/>
      <c r="C872" s="223"/>
      <c r="D872" s="224"/>
      <c r="E872" s="225"/>
      <c r="F872" s="1036" t="str">
        <f t="shared" si="322"/>
        <v/>
      </c>
      <c r="G872" s="1037" t="str">
        <f t="shared" si="317"/>
        <v/>
      </c>
      <c r="H872" s="225"/>
      <c r="I872" s="1013"/>
      <c r="J872" s="1013"/>
      <c r="K872" s="1028"/>
      <c r="L872" s="1035" t="str">
        <f t="shared" si="321"/>
        <v/>
      </c>
      <c r="S872" s="498"/>
      <c r="AJ872" s="498"/>
      <c r="AM872" s="498">
        <f t="shared" si="302"/>
        <v>0</v>
      </c>
      <c r="AN872" s="498">
        <f t="shared" si="303"/>
        <v>0</v>
      </c>
      <c r="AO872" s="498">
        <f t="shared" si="304"/>
        <v>0</v>
      </c>
      <c r="AP872" s="498">
        <f t="shared" si="323"/>
        <v>0</v>
      </c>
      <c r="AQ872" s="498">
        <f t="shared" si="318"/>
        <v>0</v>
      </c>
      <c r="AU872" s="498">
        <f t="shared" si="305"/>
        <v>0</v>
      </c>
      <c r="AV872" s="498">
        <f t="shared" si="306"/>
        <v>0</v>
      </c>
      <c r="AW872" s="498">
        <f t="shared" si="307"/>
        <v>0</v>
      </c>
      <c r="AX872" s="498">
        <f t="shared" si="308"/>
        <v>0</v>
      </c>
      <c r="AY872" s="498">
        <f t="shared" si="309"/>
        <v>0</v>
      </c>
      <c r="BB872" s="498" t="str">
        <f t="shared" si="310"/>
        <v/>
      </c>
      <c r="BC872" s="743" t="str">
        <f t="shared" si="311"/>
        <v/>
      </c>
      <c r="BD872" s="743" t="str">
        <f t="shared" si="312"/>
        <v/>
      </c>
      <c r="BE872" s="743" t="str">
        <f>IF(D872="","",VLOOKUP(D872,'General Basis'!$J$39:$K$46,2,0))</f>
        <v/>
      </c>
      <c r="BF872" s="744" t="str">
        <f>IF(D872="","",VLOOKUP(D872,'General Basis'!$J$39:$L$46,3,0))</f>
        <v/>
      </c>
      <c r="BG872" s="744" t="str">
        <f t="shared" si="319"/>
        <v/>
      </c>
      <c r="BH872" s="744" t="str">
        <f>IF(G872="","",IF(BF872="Abu Dhabi",IF(G872&lt;18,'General Basis'!$C$39,IF(G872&lt;41,'General Basis'!$C$40,IF(G872&lt;60,'General Basis'!$C$41,IF(G872&lt;65,'General Basis'!$C$42,'General Basis'!$C$43)))),IF(G872&lt;11,'General Basis'!$B$39,IF(G872&lt;18,'General Basis'!$B$40,IF(G872&lt;26,'General Basis'!$B$41,IF(G872&lt;31,'General Basis'!$B$42,IF(G872&lt;36,'General Basis'!$B$43,IF(G872&lt;41,'General Basis'!$B$44,IF(G872&lt;46,'General Basis'!$B$45,IF(G872&lt;51,'General Basis'!$B$46,IF(G872&lt;56,'General Basis'!$B$47,IF(G872&lt;60,'General Basis'!$B$48,IF(G872&lt;65,'General Basis'!$B$49,'General Basis'!$B$50)))))))))))))</f>
        <v/>
      </c>
      <c r="BI872" s="744" t="str">
        <f t="shared" si="313"/>
        <v/>
      </c>
      <c r="BJ872" s="747" t="str">
        <f t="shared" si="320"/>
        <v/>
      </c>
      <c r="BK872" s="498" t="str">
        <f t="shared" si="314"/>
        <v/>
      </c>
      <c r="BL872" s="498" t="str">
        <f t="shared" si="315"/>
        <v/>
      </c>
    </row>
    <row r="873" spans="1:64" x14ac:dyDescent="0.25">
      <c r="A873" s="762">
        <f t="shared" si="316"/>
        <v>868</v>
      </c>
      <c r="B873" s="229"/>
      <c r="C873" s="223"/>
      <c r="D873" s="224"/>
      <c r="E873" s="225"/>
      <c r="F873" s="1036" t="str">
        <f t="shared" si="322"/>
        <v/>
      </c>
      <c r="G873" s="1037" t="str">
        <f t="shared" si="317"/>
        <v/>
      </c>
      <c r="H873" s="225"/>
      <c r="I873" s="1013"/>
      <c r="J873" s="1013"/>
      <c r="K873" s="1028"/>
      <c r="L873" s="1035" t="str">
        <f t="shared" si="321"/>
        <v/>
      </c>
      <c r="S873" s="498"/>
      <c r="AJ873" s="498"/>
      <c r="AM873" s="498">
        <f t="shared" si="302"/>
        <v>0</v>
      </c>
      <c r="AN873" s="498">
        <f t="shared" si="303"/>
        <v>0</v>
      </c>
      <c r="AO873" s="498">
        <f t="shared" si="304"/>
        <v>0</v>
      </c>
      <c r="AP873" s="498">
        <f t="shared" si="323"/>
        <v>0</v>
      </c>
      <c r="AQ873" s="498">
        <f t="shared" si="318"/>
        <v>0</v>
      </c>
      <c r="AU873" s="498">
        <f t="shared" si="305"/>
        <v>0</v>
      </c>
      <c r="AV873" s="498">
        <f t="shared" si="306"/>
        <v>0</v>
      </c>
      <c r="AW873" s="498">
        <f t="shared" si="307"/>
        <v>0</v>
      </c>
      <c r="AX873" s="498">
        <f t="shared" si="308"/>
        <v>0</v>
      </c>
      <c r="AY873" s="498">
        <f t="shared" si="309"/>
        <v>0</v>
      </c>
      <c r="BB873" s="498" t="str">
        <f t="shared" si="310"/>
        <v/>
      </c>
      <c r="BC873" s="743" t="str">
        <f t="shared" si="311"/>
        <v/>
      </c>
      <c r="BD873" s="743" t="str">
        <f t="shared" si="312"/>
        <v/>
      </c>
      <c r="BE873" s="743" t="str">
        <f>IF(D873="","",VLOOKUP(D873,'General Basis'!$J$39:$K$46,2,0))</f>
        <v/>
      </c>
      <c r="BF873" s="744" t="str">
        <f>IF(D873="","",VLOOKUP(D873,'General Basis'!$J$39:$L$46,3,0))</f>
        <v/>
      </c>
      <c r="BG873" s="744" t="str">
        <f t="shared" si="319"/>
        <v/>
      </c>
      <c r="BH873" s="744" t="str">
        <f>IF(G873="","",IF(BF873="Abu Dhabi",IF(G873&lt;18,'General Basis'!$C$39,IF(G873&lt;41,'General Basis'!$C$40,IF(G873&lt;60,'General Basis'!$C$41,IF(G873&lt;65,'General Basis'!$C$42,'General Basis'!$C$43)))),IF(G873&lt;11,'General Basis'!$B$39,IF(G873&lt;18,'General Basis'!$B$40,IF(G873&lt;26,'General Basis'!$B$41,IF(G873&lt;31,'General Basis'!$B$42,IF(G873&lt;36,'General Basis'!$B$43,IF(G873&lt;41,'General Basis'!$B$44,IF(G873&lt;46,'General Basis'!$B$45,IF(G873&lt;51,'General Basis'!$B$46,IF(G873&lt;56,'General Basis'!$B$47,IF(G873&lt;60,'General Basis'!$B$48,IF(G873&lt;65,'General Basis'!$B$49,'General Basis'!$B$50)))))))))))))</f>
        <v/>
      </c>
      <c r="BI873" s="744" t="str">
        <f t="shared" si="313"/>
        <v/>
      </c>
      <c r="BJ873" s="747" t="str">
        <f t="shared" si="320"/>
        <v/>
      </c>
      <c r="BK873" s="498" t="str">
        <f t="shared" si="314"/>
        <v/>
      </c>
      <c r="BL873" s="498" t="str">
        <f t="shared" si="315"/>
        <v/>
      </c>
    </row>
    <row r="874" spans="1:64" x14ac:dyDescent="0.25">
      <c r="A874" s="762">
        <f t="shared" si="316"/>
        <v>869</v>
      </c>
      <c r="B874" s="229"/>
      <c r="C874" s="223"/>
      <c r="D874" s="224"/>
      <c r="E874" s="225"/>
      <c r="F874" s="1036" t="str">
        <f t="shared" si="322"/>
        <v/>
      </c>
      <c r="G874" s="1037" t="str">
        <f t="shared" si="317"/>
        <v/>
      </c>
      <c r="H874" s="225"/>
      <c r="I874" s="1013"/>
      <c r="J874" s="1013"/>
      <c r="K874" s="1028"/>
      <c r="L874" s="1035" t="str">
        <f t="shared" si="321"/>
        <v/>
      </c>
      <c r="S874" s="498"/>
      <c r="AJ874" s="498"/>
      <c r="AM874" s="498">
        <f t="shared" si="302"/>
        <v>0</v>
      </c>
      <c r="AN874" s="498">
        <f t="shared" si="303"/>
        <v>0</v>
      </c>
      <c r="AO874" s="498">
        <f t="shared" si="304"/>
        <v>0</v>
      </c>
      <c r="AP874" s="498">
        <f t="shared" si="323"/>
        <v>0</v>
      </c>
      <c r="AQ874" s="498">
        <f t="shared" si="318"/>
        <v>0</v>
      </c>
      <c r="AU874" s="498">
        <f t="shared" si="305"/>
        <v>0</v>
      </c>
      <c r="AV874" s="498">
        <f t="shared" si="306"/>
        <v>0</v>
      </c>
      <c r="AW874" s="498">
        <f t="shared" si="307"/>
        <v>0</v>
      </c>
      <c r="AX874" s="498">
        <f t="shared" si="308"/>
        <v>0</v>
      </c>
      <c r="AY874" s="498">
        <f t="shared" si="309"/>
        <v>0</v>
      </c>
      <c r="BB874" s="498" t="str">
        <f t="shared" si="310"/>
        <v/>
      </c>
      <c r="BC874" s="743" t="str">
        <f t="shared" si="311"/>
        <v/>
      </c>
      <c r="BD874" s="743" t="str">
        <f t="shared" si="312"/>
        <v/>
      </c>
      <c r="BE874" s="743" t="str">
        <f>IF(D874="","",VLOOKUP(D874,'General Basis'!$J$39:$K$46,2,0))</f>
        <v/>
      </c>
      <c r="BF874" s="744" t="str">
        <f>IF(D874="","",VLOOKUP(D874,'General Basis'!$J$39:$L$46,3,0))</f>
        <v/>
      </c>
      <c r="BG874" s="744" t="str">
        <f t="shared" si="319"/>
        <v/>
      </c>
      <c r="BH874" s="744" t="str">
        <f>IF(G874="","",IF(BF874="Abu Dhabi",IF(G874&lt;18,'General Basis'!$C$39,IF(G874&lt;41,'General Basis'!$C$40,IF(G874&lt;60,'General Basis'!$C$41,IF(G874&lt;65,'General Basis'!$C$42,'General Basis'!$C$43)))),IF(G874&lt;11,'General Basis'!$B$39,IF(G874&lt;18,'General Basis'!$B$40,IF(G874&lt;26,'General Basis'!$B$41,IF(G874&lt;31,'General Basis'!$B$42,IF(G874&lt;36,'General Basis'!$B$43,IF(G874&lt;41,'General Basis'!$B$44,IF(G874&lt;46,'General Basis'!$B$45,IF(G874&lt;51,'General Basis'!$B$46,IF(G874&lt;56,'General Basis'!$B$47,IF(G874&lt;60,'General Basis'!$B$48,IF(G874&lt;65,'General Basis'!$B$49,'General Basis'!$B$50)))))))))))))</f>
        <v/>
      </c>
      <c r="BI874" s="744" t="str">
        <f t="shared" si="313"/>
        <v/>
      </c>
      <c r="BJ874" s="747" t="str">
        <f t="shared" si="320"/>
        <v/>
      </c>
      <c r="BK874" s="498" t="str">
        <f t="shared" si="314"/>
        <v/>
      </c>
      <c r="BL874" s="498" t="str">
        <f t="shared" si="315"/>
        <v/>
      </c>
    </row>
    <row r="875" spans="1:64" x14ac:dyDescent="0.25">
      <c r="A875" s="762">
        <f t="shared" si="316"/>
        <v>870</v>
      </c>
      <c r="B875" s="229"/>
      <c r="C875" s="223"/>
      <c r="D875" s="224"/>
      <c r="E875" s="225"/>
      <c r="F875" s="1036" t="str">
        <f t="shared" si="322"/>
        <v/>
      </c>
      <c r="G875" s="1037" t="str">
        <f t="shared" si="317"/>
        <v/>
      </c>
      <c r="H875" s="225"/>
      <c r="I875" s="1013"/>
      <c r="J875" s="1013"/>
      <c r="K875" s="1028"/>
      <c r="L875" s="1035" t="str">
        <f t="shared" si="321"/>
        <v/>
      </c>
      <c r="S875" s="498"/>
      <c r="AJ875" s="498"/>
      <c r="AM875" s="498">
        <f t="shared" si="302"/>
        <v>0</v>
      </c>
      <c r="AN875" s="498">
        <f t="shared" si="303"/>
        <v>0</v>
      </c>
      <c r="AO875" s="498">
        <f t="shared" si="304"/>
        <v>0</v>
      </c>
      <c r="AP875" s="498">
        <f t="shared" si="323"/>
        <v>0</v>
      </c>
      <c r="AQ875" s="498">
        <f t="shared" si="318"/>
        <v>0</v>
      </c>
      <c r="AU875" s="498">
        <f t="shared" si="305"/>
        <v>0</v>
      </c>
      <c r="AV875" s="498">
        <f t="shared" si="306"/>
        <v>0</v>
      </c>
      <c r="AW875" s="498">
        <f t="shared" si="307"/>
        <v>0</v>
      </c>
      <c r="AX875" s="498">
        <f t="shared" si="308"/>
        <v>0</v>
      </c>
      <c r="AY875" s="498">
        <f t="shared" si="309"/>
        <v>0</v>
      </c>
      <c r="BB875" s="498" t="str">
        <f t="shared" si="310"/>
        <v/>
      </c>
      <c r="BC875" s="743" t="str">
        <f t="shared" si="311"/>
        <v/>
      </c>
      <c r="BD875" s="743" t="str">
        <f t="shared" si="312"/>
        <v/>
      </c>
      <c r="BE875" s="743" t="str">
        <f>IF(D875="","",VLOOKUP(D875,'General Basis'!$J$39:$K$46,2,0))</f>
        <v/>
      </c>
      <c r="BF875" s="744" t="str">
        <f>IF(D875="","",VLOOKUP(D875,'General Basis'!$J$39:$L$46,3,0))</f>
        <v/>
      </c>
      <c r="BG875" s="744" t="str">
        <f t="shared" si="319"/>
        <v/>
      </c>
      <c r="BH875" s="744" t="str">
        <f>IF(G875="","",IF(BF875="Abu Dhabi",IF(G875&lt;18,'General Basis'!$C$39,IF(G875&lt;41,'General Basis'!$C$40,IF(G875&lt;60,'General Basis'!$C$41,IF(G875&lt;65,'General Basis'!$C$42,'General Basis'!$C$43)))),IF(G875&lt;11,'General Basis'!$B$39,IF(G875&lt;18,'General Basis'!$B$40,IF(G875&lt;26,'General Basis'!$B$41,IF(G875&lt;31,'General Basis'!$B$42,IF(G875&lt;36,'General Basis'!$B$43,IF(G875&lt;41,'General Basis'!$B$44,IF(G875&lt;46,'General Basis'!$B$45,IF(G875&lt;51,'General Basis'!$B$46,IF(G875&lt;56,'General Basis'!$B$47,IF(G875&lt;60,'General Basis'!$B$48,IF(G875&lt;65,'General Basis'!$B$49,'General Basis'!$B$50)))))))))))))</f>
        <v/>
      </c>
      <c r="BI875" s="744" t="str">
        <f t="shared" si="313"/>
        <v/>
      </c>
      <c r="BJ875" s="747" t="str">
        <f t="shared" si="320"/>
        <v/>
      </c>
      <c r="BK875" s="498" t="str">
        <f t="shared" si="314"/>
        <v/>
      </c>
      <c r="BL875" s="498" t="str">
        <f t="shared" si="315"/>
        <v/>
      </c>
    </row>
    <row r="876" spans="1:64" x14ac:dyDescent="0.25">
      <c r="A876" s="762">
        <f t="shared" si="316"/>
        <v>871</v>
      </c>
      <c r="B876" s="229"/>
      <c r="C876" s="223"/>
      <c r="D876" s="224"/>
      <c r="E876" s="225"/>
      <c r="F876" s="1036" t="str">
        <f t="shared" si="322"/>
        <v/>
      </c>
      <c r="G876" s="1037" t="str">
        <f t="shared" si="317"/>
        <v/>
      </c>
      <c r="H876" s="225"/>
      <c r="I876" s="1013"/>
      <c r="J876" s="1013"/>
      <c r="K876" s="1028"/>
      <c r="L876" s="1035" t="str">
        <f t="shared" si="321"/>
        <v/>
      </c>
      <c r="S876" s="498"/>
      <c r="AJ876" s="498"/>
      <c r="AM876" s="498">
        <f t="shared" si="302"/>
        <v>0</v>
      </c>
      <c r="AN876" s="498">
        <f t="shared" si="303"/>
        <v>0</v>
      </c>
      <c r="AO876" s="498">
        <f t="shared" si="304"/>
        <v>0</v>
      </c>
      <c r="AP876" s="498">
        <f t="shared" si="323"/>
        <v>0</v>
      </c>
      <c r="AQ876" s="498">
        <f t="shared" si="318"/>
        <v>0</v>
      </c>
      <c r="AU876" s="498">
        <f t="shared" si="305"/>
        <v>0</v>
      </c>
      <c r="AV876" s="498">
        <f t="shared" si="306"/>
        <v>0</v>
      </c>
      <c r="AW876" s="498">
        <f t="shared" si="307"/>
        <v>0</v>
      </c>
      <c r="AX876" s="498">
        <f t="shared" si="308"/>
        <v>0</v>
      </c>
      <c r="AY876" s="498">
        <f t="shared" si="309"/>
        <v>0</v>
      </c>
      <c r="BB876" s="498" t="str">
        <f t="shared" si="310"/>
        <v/>
      </c>
      <c r="BC876" s="743" t="str">
        <f t="shared" si="311"/>
        <v/>
      </c>
      <c r="BD876" s="743" t="str">
        <f t="shared" si="312"/>
        <v/>
      </c>
      <c r="BE876" s="743" t="str">
        <f>IF(D876="","",VLOOKUP(D876,'General Basis'!$J$39:$K$46,2,0))</f>
        <v/>
      </c>
      <c r="BF876" s="744" t="str">
        <f>IF(D876="","",VLOOKUP(D876,'General Basis'!$J$39:$L$46,3,0))</f>
        <v/>
      </c>
      <c r="BG876" s="744" t="str">
        <f t="shared" si="319"/>
        <v/>
      </c>
      <c r="BH876" s="744" t="str">
        <f>IF(G876="","",IF(BF876="Abu Dhabi",IF(G876&lt;18,'General Basis'!$C$39,IF(G876&lt;41,'General Basis'!$C$40,IF(G876&lt;60,'General Basis'!$C$41,IF(G876&lt;65,'General Basis'!$C$42,'General Basis'!$C$43)))),IF(G876&lt;11,'General Basis'!$B$39,IF(G876&lt;18,'General Basis'!$B$40,IF(G876&lt;26,'General Basis'!$B$41,IF(G876&lt;31,'General Basis'!$B$42,IF(G876&lt;36,'General Basis'!$B$43,IF(G876&lt;41,'General Basis'!$B$44,IF(G876&lt;46,'General Basis'!$B$45,IF(G876&lt;51,'General Basis'!$B$46,IF(G876&lt;56,'General Basis'!$B$47,IF(G876&lt;60,'General Basis'!$B$48,IF(G876&lt;65,'General Basis'!$B$49,'General Basis'!$B$50)))))))))))))</f>
        <v/>
      </c>
      <c r="BI876" s="744" t="str">
        <f t="shared" si="313"/>
        <v/>
      </c>
      <c r="BJ876" s="747" t="str">
        <f t="shared" si="320"/>
        <v/>
      </c>
      <c r="BK876" s="498" t="str">
        <f t="shared" si="314"/>
        <v/>
      </c>
      <c r="BL876" s="498" t="str">
        <f t="shared" si="315"/>
        <v/>
      </c>
    </row>
    <row r="877" spans="1:64" x14ac:dyDescent="0.25">
      <c r="A877" s="762">
        <f t="shared" si="316"/>
        <v>872</v>
      </c>
      <c r="B877" s="229"/>
      <c r="C877" s="223"/>
      <c r="D877" s="224"/>
      <c r="E877" s="225"/>
      <c r="F877" s="1036" t="str">
        <f t="shared" si="322"/>
        <v/>
      </c>
      <c r="G877" s="1037" t="str">
        <f t="shared" si="317"/>
        <v/>
      </c>
      <c r="H877" s="225"/>
      <c r="I877" s="1013"/>
      <c r="J877" s="1013"/>
      <c r="K877" s="1028"/>
      <c r="L877" s="1035" t="str">
        <f t="shared" si="321"/>
        <v/>
      </c>
      <c r="S877" s="498"/>
      <c r="AJ877" s="498"/>
      <c r="AM877" s="498">
        <f t="shared" si="302"/>
        <v>0</v>
      </c>
      <c r="AN877" s="498">
        <f t="shared" si="303"/>
        <v>0</v>
      </c>
      <c r="AO877" s="498">
        <f t="shared" si="304"/>
        <v>0</v>
      </c>
      <c r="AP877" s="498">
        <f t="shared" si="323"/>
        <v>0</v>
      </c>
      <c r="AQ877" s="498">
        <f t="shared" si="318"/>
        <v>0</v>
      </c>
      <c r="AU877" s="498">
        <f t="shared" si="305"/>
        <v>0</v>
      </c>
      <c r="AV877" s="498">
        <f t="shared" si="306"/>
        <v>0</v>
      </c>
      <c r="AW877" s="498">
        <f t="shared" si="307"/>
        <v>0</v>
      </c>
      <c r="AX877" s="498">
        <f t="shared" si="308"/>
        <v>0</v>
      </c>
      <c r="AY877" s="498">
        <f t="shared" si="309"/>
        <v>0</v>
      </c>
      <c r="BB877" s="498" t="str">
        <f t="shared" si="310"/>
        <v/>
      </c>
      <c r="BC877" s="743" t="str">
        <f t="shared" si="311"/>
        <v/>
      </c>
      <c r="BD877" s="743" t="str">
        <f t="shared" si="312"/>
        <v/>
      </c>
      <c r="BE877" s="743" t="str">
        <f>IF(D877="","",VLOOKUP(D877,'General Basis'!$J$39:$K$46,2,0))</f>
        <v/>
      </c>
      <c r="BF877" s="744" t="str">
        <f>IF(D877="","",VLOOKUP(D877,'General Basis'!$J$39:$L$46,3,0))</f>
        <v/>
      </c>
      <c r="BG877" s="744" t="str">
        <f t="shared" si="319"/>
        <v/>
      </c>
      <c r="BH877" s="744" t="str">
        <f>IF(G877="","",IF(BF877="Abu Dhabi",IF(G877&lt;18,'General Basis'!$C$39,IF(G877&lt;41,'General Basis'!$C$40,IF(G877&lt;60,'General Basis'!$C$41,IF(G877&lt;65,'General Basis'!$C$42,'General Basis'!$C$43)))),IF(G877&lt;11,'General Basis'!$B$39,IF(G877&lt;18,'General Basis'!$B$40,IF(G877&lt;26,'General Basis'!$B$41,IF(G877&lt;31,'General Basis'!$B$42,IF(G877&lt;36,'General Basis'!$B$43,IF(G877&lt;41,'General Basis'!$B$44,IF(G877&lt;46,'General Basis'!$B$45,IF(G877&lt;51,'General Basis'!$B$46,IF(G877&lt;56,'General Basis'!$B$47,IF(G877&lt;60,'General Basis'!$B$48,IF(G877&lt;65,'General Basis'!$B$49,'General Basis'!$B$50)))))))))))))</f>
        <v/>
      </c>
      <c r="BI877" s="744" t="str">
        <f t="shared" si="313"/>
        <v/>
      </c>
      <c r="BJ877" s="747" t="str">
        <f t="shared" si="320"/>
        <v/>
      </c>
      <c r="BK877" s="498" t="str">
        <f t="shared" si="314"/>
        <v/>
      </c>
      <c r="BL877" s="498" t="str">
        <f t="shared" si="315"/>
        <v/>
      </c>
    </row>
    <row r="878" spans="1:64" x14ac:dyDescent="0.25">
      <c r="A878" s="762">
        <f t="shared" si="316"/>
        <v>873</v>
      </c>
      <c r="B878" s="229"/>
      <c r="C878" s="223"/>
      <c r="D878" s="224"/>
      <c r="E878" s="225"/>
      <c r="F878" s="1036" t="str">
        <f t="shared" si="322"/>
        <v/>
      </c>
      <c r="G878" s="1037" t="str">
        <f t="shared" si="317"/>
        <v/>
      </c>
      <c r="H878" s="225"/>
      <c r="I878" s="1013"/>
      <c r="J878" s="1013"/>
      <c r="K878" s="1028"/>
      <c r="L878" s="1035" t="str">
        <f t="shared" si="321"/>
        <v/>
      </c>
      <c r="S878" s="498"/>
      <c r="AJ878" s="498"/>
      <c r="AM878" s="498">
        <f t="shared" si="302"/>
        <v>0</v>
      </c>
      <c r="AN878" s="498">
        <f t="shared" si="303"/>
        <v>0</v>
      </c>
      <c r="AO878" s="498">
        <f t="shared" si="304"/>
        <v>0</v>
      </c>
      <c r="AP878" s="498">
        <f t="shared" si="323"/>
        <v>0</v>
      </c>
      <c r="AQ878" s="498">
        <f t="shared" si="318"/>
        <v>0</v>
      </c>
      <c r="AU878" s="498">
        <f t="shared" si="305"/>
        <v>0</v>
      </c>
      <c r="AV878" s="498">
        <f t="shared" si="306"/>
        <v>0</v>
      </c>
      <c r="AW878" s="498">
        <f t="shared" si="307"/>
        <v>0</v>
      </c>
      <c r="AX878" s="498">
        <f t="shared" si="308"/>
        <v>0</v>
      </c>
      <c r="AY878" s="498">
        <f t="shared" si="309"/>
        <v>0</v>
      </c>
      <c r="BB878" s="498" t="str">
        <f t="shared" si="310"/>
        <v/>
      </c>
      <c r="BC878" s="743" t="str">
        <f t="shared" si="311"/>
        <v/>
      </c>
      <c r="BD878" s="743" t="str">
        <f t="shared" si="312"/>
        <v/>
      </c>
      <c r="BE878" s="743" t="str">
        <f>IF(D878="","",VLOOKUP(D878,'General Basis'!$J$39:$K$46,2,0))</f>
        <v/>
      </c>
      <c r="BF878" s="744" t="str">
        <f>IF(D878="","",VLOOKUP(D878,'General Basis'!$J$39:$L$46,3,0))</f>
        <v/>
      </c>
      <c r="BG878" s="744" t="str">
        <f t="shared" si="319"/>
        <v/>
      </c>
      <c r="BH878" s="744" t="str">
        <f>IF(G878="","",IF(BF878="Abu Dhabi",IF(G878&lt;18,'General Basis'!$C$39,IF(G878&lt;41,'General Basis'!$C$40,IF(G878&lt;60,'General Basis'!$C$41,IF(G878&lt;65,'General Basis'!$C$42,'General Basis'!$C$43)))),IF(G878&lt;11,'General Basis'!$B$39,IF(G878&lt;18,'General Basis'!$B$40,IF(G878&lt;26,'General Basis'!$B$41,IF(G878&lt;31,'General Basis'!$B$42,IF(G878&lt;36,'General Basis'!$B$43,IF(G878&lt;41,'General Basis'!$B$44,IF(G878&lt;46,'General Basis'!$B$45,IF(G878&lt;51,'General Basis'!$B$46,IF(G878&lt;56,'General Basis'!$B$47,IF(G878&lt;60,'General Basis'!$B$48,IF(G878&lt;65,'General Basis'!$B$49,'General Basis'!$B$50)))))))))))))</f>
        <v/>
      </c>
      <c r="BI878" s="744" t="str">
        <f t="shared" si="313"/>
        <v/>
      </c>
      <c r="BJ878" s="747" t="str">
        <f t="shared" si="320"/>
        <v/>
      </c>
      <c r="BK878" s="498" t="str">
        <f t="shared" si="314"/>
        <v/>
      </c>
      <c r="BL878" s="498" t="str">
        <f t="shared" si="315"/>
        <v/>
      </c>
    </row>
    <row r="879" spans="1:64" x14ac:dyDescent="0.25">
      <c r="A879" s="762">
        <f t="shared" si="316"/>
        <v>874</v>
      </c>
      <c r="B879" s="229"/>
      <c r="C879" s="223"/>
      <c r="D879" s="224"/>
      <c r="E879" s="225"/>
      <c r="F879" s="1036" t="str">
        <f t="shared" si="322"/>
        <v/>
      </c>
      <c r="G879" s="1037" t="str">
        <f t="shared" si="317"/>
        <v/>
      </c>
      <c r="H879" s="225"/>
      <c r="I879" s="1013"/>
      <c r="J879" s="1013"/>
      <c r="K879" s="1028"/>
      <c r="L879" s="1035" t="str">
        <f t="shared" si="321"/>
        <v/>
      </c>
      <c r="S879" s="498"/>
      <c r="AJ879" s="498"/>
      <c r="AM879" s="498">
        <f t="shared" si="302"/>
        <v>0</v>
      </c>
      <c r="AN879" s="498">
        <f t="shared" si="303"/>
        <v>0</v>
      </c>
      <c r="AO879" s="498">
        <f t="shared" si="304"/>
        <v>0</v>
      </c>
      <c r="AP879" s="498">
        <f t="shared" si="323"/>
        <v>0</v>
      </c>
      <c r="AQ879" s="498">
        <f t="shared" si="318"/>
        <v>0</v>
      </c>
      <c r="AU879" s="498">
        <f t="shared" si="305"/>
        <v>0</v>
      </c>
      <c r="AV879" s="498">
        <f t="shared" si="306"/>
        <v>0</v>
      </c>
      <c r="AW879" s="498">
        <f t="shared" si="307"/>
        <v>0</v>
      </c>
      <c r="AX879" s="498">
        <f t="shared" si="308"/>
        <v>0</v>
      </c>
      <c r="AY879" s="498">
        <f t="shared" si="309"/>
        <v>0</v>
      </c>
      <c r="BB879" s="498" t="str">
        <f t="shared" si="310"/>
        <v/>
      </c>
      <c r="BC879" s="743" t="str">
        <f t="shared" si="311"/>
        <v/>
      </c>
      <c r="BD879" s="743" t="str">
        <f t="shared" si="312"/>
        <v/>
      </c>
      <c r="BE879" s="743" t="str">
        <f>IF(D879="","",VLOOKUP(D879,'General Basis'!$J$39:$K$46,2,0))</f>
        <v/>
      </c>
      <c r="BF879" s="744" t="str">
        <f>IF(D879="","",VLOOKUP(D879,'General Basis'!$J$39:$L$46,3,0))</f>
        <v/>
      </c>
      <c r="BG879" s="744" t="str">
        <f t="shared" si="319"/>
        <v/>
      </c>
      <c r="BH879" s="744" t="str">
        <f>IF(G879="","",IF(BF879="Abu Dhabi",IF(G879&lt;18,'General Basis'!$C$39,IF(G879&lt;41,'General Basis'!$C$40,IF(G879&lt;60,'General Basis'!$C$41,IF(G879&lt;65,'General Basis'!$C$42,'General Basis'!$C$43)))),IF(G879&lt;11,'General Basis'!$B$39,IF(G879&lt;18,'General Basis'!$B$40,IF(G879&lt;26,'General Basis'!$B$41,IF(G879&lt;31,'General Basis'!$B$42,IF(G879&lt;36,'General Basis'!$B$43,IF(G879&lt;41,'General Basis'!$B$44,IF(G879&lt;46,'General Basis'!$B$45,IF(G879&lt;51,'General Basis'!$B$46,IF(G879&lt;56,'General Basis'!$B$47,IF(G879&lt;60,'General Basis'!$B$48,IF(G879&lt;65,'General Basis'!$B$49,'General Basis'!$B$50)))))))))))))</f>
        <v/>
      </c>
      <c r="BI879" s="744" t="str">
        <f t="shared" si="313"/>
        <v/>
      </c>
      <c r="BJ879" s="747" t="str">
        <f t="shared" si="320"/>
        <v/>
      </c>
      <c r="BK879" s="498" t="str">
        <f t="shared" si="314"/>
        <v/>
      </c>
      <c r="BL879" s="498" t="str">
        <f t="shared" si="315"/>
        <v/>
      </c>
    </row>
    <row r="880" spans="1:64" x14ac:dyDescent="0.25">
      <c r="A880" s="762">
        <f t="shared" si="316"/>
        <v>875</v>
      </c>
      <c r="B880" s="229"/>
      <c r="C880" s="223"/>
      <c r="D880" s="224"/>
      <c r="E880" s="225"/>
      <c r="F880" s="1036" t="str">
        <f t="shared" si="322"/>
        <v/>
      </c>
      <c r="G880" s="1037" t="str">
        <f t="shared" si="317"/>
        <v/>
      </c>
      <c r="H880" s="225"/>
      <c r="I880" s="1013"/>
      <c r="J880" s="1013"/>
      <c r="K880" s="1028"/>
      <c r="L880" s="1035" t="str">
        <f t="shared" si="321"/>
        <v/>
      </c>
      <c r="S880" s="498"/>
      <c r="AJ880" s="498"/>
      <c r="AM880" s="498">
        <f t="shared" si="302"/>
        <v>0</v>
      </c>
      <c r="AN880" s="498">
        <f t="shared" si="303"/>
        <v>0</v>
      </c>
      <c r="AO880" s="498">
        <f t="shared" si="304"/>
        <v>0</v>
      </c>
      <c r="AP880" s="498">
        <f t="shared" si="323"/>
        <v>0</v>
      </c>
      <c r="AQ880" s="498">
        <f t="shared" si="318"/>
        <v>0</v>
      </c>
      <c r="AU880" s="498">
        <f t="shared" si="305"/>
        <v>0</v>
      </c>
      <c r="AV880" s="498">
        <f t="shared" si="306"/>
        <v>0</v>
      </c>
      <c r="AW880" s="498">
        <f t="shared" si="307"/>
        <v>0</v>
      </c>
      <c r="AX880" s="498">
        <f t="shared" si="308"/>
        <v>0</v>
      </c>
      <c r="AY880" s="498">
        <f t="shared" si="309"/>
        <v>0</v>
      </c>
      <c r="BB880" s="498" t="str">
        <f t="shared" si="310"/>
        <v/>
      </c>
      <c r="BC880" s="743" t="str">
        <f t="shared" si="311"/>
        <v/>
      </c>
      <c r="BD880" s="743" t="str">
        <f t="shared" si="312"/>
        <v/>
      </c>
      <c r="BE880" s="743" t="str">
        <f>IF(D880="","",VLOOKUP(D880,'General Basis'!$J$39:$K$46,2,0))</f>
        <v/>
      </c>
      <c r="BF880" s="744" t="str">
        <f>IF(D880="","",VLOOKUP(D880,'General Basis'!$J$39:$L$46,3,0))</f>
        <v/>
      </c>
      <c r="BG880" s="744" t="str">
        <f t="shared" si="319"/>
        <v/>
      </c>
      <c r="BH880" s="744" t="str">
        <f>IF(G880="","",IF(BF880="Abu Dhabi",IF(G880&lt;18,'General Basis'!$C$39,IF(G880&lt;41,'General Basis'!$C$40,IF(G880&lt;60,'General Basis'!$C$41,IF(G880&lt;65,'General Basis'!$C$42,'General Basis'!$C$43)))),IF(G880&lt;11,'General Basis'!$B$39,IF(G880&lt;18,'General Basis'!$B$40,IF(G880&lt;26,'General Basis'!$B$41,IF(G880&lt;31,'General Basis'!$B$42,IF(G880&lt;36,'General Basis'!$B$43,IF(G880&lt;41,'General Basis'!$B$44,IF(G880&lt;46,'General Basis'!$B$45,IF(G880&lt;51,'General Basis'!$B$46,IF(G880&lt;56,'General Basis'!$B$47,IF(G880&lt;60,'General Basis'!$B$48,IF(G880&lt;65,'General Basis'!$B$49,'General Basis'!$B$50)))))))))))))</f>
        <v/>
      </c>
      <c r="BI880" s="744" t="str">
        <f t="shared" si="313"/>
        <v/>
      </c>
      <c r="BJ880" s="747" t="str">
        <f t="shared" si="320"/>
        <v/>
      </c>
      <c r="BK880" s="498" t="str">
        <f t="shared" si="314"/>
        <v/>
      </c>
      <c r="BL880" s="498" t="str">
        <f t="shared" si="315"/>
        <v/>
      </c>
    </row>
    <row r="881" spans="1:64" x14ac:dyDescent="0.25">
      <c r="A881" s="762">
        <f t="shared" si="316"/>
        <v>876</v>
      </c>
      <c r="B881" s="229"/>
      <c r="C881" s="223"/>
      <c r="D881" s="224"/>
      <c r="E881" s="225"/>
      <c r="F881" s="1036" t="str">
        <f t="shared" si="322"/>
        <v/>
      </c>
      <c r="G881" s="1037" t="str">
        <f t="shared" si="317"/>
        <v/>
      </c>
      <c r="H881" s="225"/>
      <c r="I881" s="1013"/>
      <c r="J881" s="1013"/>
      <c r="K881" s="1028"/>
      <c r="L881" s="1035" t="str">
        <f t="shared" si="321"/>
        <v/>
      </c>
      <c r="S881" s="498"/>
      <c r="AJ881" s="498"/>
      <c r="AM881" s="498">
        <f t="shared" si="302"/>
        <v>0</v>
      </c>
      <c r="AN881" s="498">
        <f t="shared" si="303"/>
        <v>0</v>
      </c>
      <c r="AO881" s="498">
        <f t="shared" si="304"/>
        <v>0</v>
      </c>
      <c r="AP881" s="498">
        <f t="shared" si="323"/>
        <v>0</v>
      </c>
      <c r="AQ881" s="498">
        <f t="shared" si="318"/>
        <v>0</v>
      </c>
      <c r="AU881" s="498">
        <f t="shared" si="305"/>
        <v>0</v>
      </c>
      <c r="AV881" s="498">
        <f t="shared" si="306"/>
        <v>0</v>
      </c>
      <c r="AW881" s="498">
        <f t="shared" si="307"/>
        <v>0</v>
      </c>
      <c r="AX881" s="498">
        <f t="shared" si="308"/>
        <v>0</v>
      </c>
      <c r="AY881" s="498">
        <f t="shared" si="309"/>
        <v>0</v>
      </c>
      <c r="BB881" s="498" t="str">
        <f t="shared" si="310"/>
        <v/>
      </c>
      <c r="BC881" s="743" t="str">
        <f t="shared" si="311"/>
        <v/>
      </c>
      <c r="BD881" s="743" t="str">
        <f t="shared" si="312"/>
        <v/>
      </c>
      <c r="BE881" s="743" t="str">
        <f>IF(D881="","",VLOOKUP(D881,'General Basis'!$J$39:$K$46,2,0))</f>
        <v/>
      </c>
      <c r="BF881" s="744" t="str">
        <f>IF(D881="","",VLOOKUP(D881,'General Basis'!$J$39:$L$46,3,0))</f>
        <v/>
      </c>
      <c r="BG881" s="744" t="str">
        <f t="shared" si="319"/>
        <v/>
      </c>
      <c r="BH881" s="744" t="str">
        <f>IF(G881="","",IF(BF881="Abu Dhabi",IF(G881&lt;18,'General Basis'!$C$39,IF(G881&lt;41,'General Basis'!$C$40,IF(G881&lt;60,'General Basis'!$C$41,IF(G881&lt;65,'General Basis'!$C$42,'General Basis'!$C$43)))),IF(G881&lt;11,'General Basis'!$B$39,IF(G881&lt;18,'General Basis'!$B$40,IF(G881&lt;26,'General Basis'!$B$41,IF(G881&lt;31,'General Basis'!$B$42,IF(G881&lt;36,'General Basis'!$B$43,IF(G881&lt;41,'General Basis'!$B$44,IF(G881&lt;46,'General Basis'!$B$45,IF(G881&lt;51,'General Basis'!$B$46,IF(G881&lt;56,'General Basis'!$B$47,IF(G881&lt;60,'General Basis'!$B$48,IF(G881&lt;65,'General Basis'!$B$49,'General Basis'!$B$50)))))))))))))</f>
        <v/>
      </c>
      <c r="BI881" s="744" t="str">
        <f t="shared" si="313"/>
        <v/>
      </c>
      <c r="BJ881" s="747" t="str">
        <f t="shared" si="320"/>
        <v/>
      </c>
      <c r="BK881" s="498" t="str">
        <f t="shared" si="314"/>
        <v/>
      </c>
      <c r="BL881" s="498" t="str">
        <f t="shared" si="315"/>
        <v/>
      </c>
    </row>
    <row r="882" spans="1:64" x14ac:dyDescent="0.25">
      <c r="A882" s="762">
        <f t="shared" si="316"/>
        <v>877</v>
      </c>
      <c r="B882" s="229"/>
      <c r="C882" s="223"/>
      <c r="D882" s="224"/>
      <c r="E882" s="225"/>
      <c r="F882" s="1036" t="str">
        <f t="shared" si="322"/>
        <v/>
      </c>
      <c r="G882" s="1037" t="str">
        <f t="shared" si="317"/>
        <v/>
      </c>
      <c r="H882" s="225"/>
      <c r="I882" s="1013"/>
      <c r="J882" s="1013"/>
      <c r="K882" s="1028"/>
      <c r="L882" s="1035" t="str">
        <f t="shared" si="321"/>
        <v/>
      </c>
      <c r="S882" s="498"/>
      <c r="AJ882" s="498"/>
      <c r="AM882" s="498">
        <f t="shared" si="302"/>
        <v>0</v>
      </c>
      <c r="AN882" s="498">
        <f t="shared" si="303"/>
        <v>0</v>
      </c>
      <c r="AO882" s="498">
        <f t="shared" si="304"/>
        <v>0</v>
      </c>
      <c r="AP882" s="498">
        <f t="shared" si="323"/>
        <v>0</v>
      </c>
      <c r="AQ882" s="498">
        <f t="shared" si="318"/>
        <v>0</v>
      </c>
      <c r="AU882" s="498">
        <f t="shared" si="305"/>
        <v>0</v>
      </c>
      <c r="AV882" s="498">
        <f t="shared" si="306"/>
        <v>0</v>
      </c>
      <c r="AW882" s="498">
        <f t="shared" si="307"/>
        <v>0</v>
      </c>
      <c r="AX882" s="498">
        <f t="shared" si="308"/>
        <v>0</v>
      </c>
      <c r="AY882" s="498">
        <f t="shared" si="309"/>
        <v>0</v>
      </c>
      <c r="BB882" s="498" t="str">
        <f t="shared" si="310"/>
        <v/>
      </c>
      <c r="BC882" s="743" t="str">
        <f t="shared" si="311"/>
        <v/>
      </c>
      <c r="BD882" s="743" t="str">
        <f t="shared" si="312"/>
        <v/>
      </c>
      <c r="BE882" s="743" t="str">
        <f>IF(D882="","",VLOOKUP(D882,'General Basis'!$J$39:$K$46,2,0))</f>
        <v/>
      </c>
      <c r="BF882" s="744" t="str">
        <f>IF(D882="","",VLOOKUP(D882,'General Basis'!$J$39:$L$46,3,0))</f>
        <v/>
      </c>
      <c r="BG882" s="744" t="str">
        <f t="shared" si="319"/>
        <v/>
      </c>
      <c r="BH882" s="744" t="str">
        <f>IF(G882="","",IF(BF882="Abu Dhabi",IF(G882&lt;18,'General Basis'!$C$39,IF(G882&lt;41,'General Basis'!$C$40,IF(G882&lt;60,'General Basis'!$C$41,IF(G882&lt;65,'General Basis'!$C$42,'General Basis'!$C$43)))),IF(G882&lt;11,'General Basis'!$B$39,IF(G882&lt;18,'General Basis'!$B$40,IF(G882&lt;26,'General Basis'!$B$41,IF(G882&lt;31,'General Basis'!$B$42,IF(G882&lt;36,'General Basis'!$B$43,IF(G882&lt;41,'General Basis'!$B$44,IF(G882&lt;46,'General Basis'!$B$45,IF(G882&lt;51,'General Basis'!$B$46,IF(G882&lt;56,'General Basis'!$B$47,IF(G882&lt;60,'General Basis'!$B$48,IF(G882&lt;65,'General Basis'!$B$49,'General Basis'!$B$50)))))))))))))</f>
        <v/>
      </c>
      <c r="BI882" s="744" t="str">
        <f t="shared" si="313"/>
        <v/>
      </c>
      <c r="BJ882" s="747" t="str">
        <f t="shared" si="320"/>
        <v/>
      </c>
      <c r="BK882" s="498" t="str">
        <f t="shared" si="314"/>
        <v/>
      </c>
      <c r="BL882" s="498" t="str">
        <f t="shared" si="315"/>
        <v/>
      </c>
    </row>
    <row r="883" spans="1:64" x14ac:dyDescent="0.25">
      <c r="A883" s="762">
        <f t="shared" si="316"/>
        <v>878</v>
      </c>
      <c r="B883" s="229"/>
      <c r="C883" s="223"/>
      <c r="D883" s="224"/>
      <c r="E883" s="225"/>
      <c r="F883" s="1036" t="str">
        <f t="shared" si="322"/>
        <v/>
      </c>
      <c r="G883" s="1037" t="str">
        <f t="shared" si="317"/>
        <v/>
      </c>
      <c r="H883" s="225"/>
      <c r="I883" s="1013"/>
      <c r="J883" s="1013"/>
      <c r="K883" s="1028"/>
      <c r="L883" s="1035" t="str">
        <f t="shared" si="321"/>
        <v/>
      </c>
      <c r="S883" s="498"/>
      <c r="AJ883" s="498"/>
      <c r="AM883" s="498">
        <f t="shared" si="302"/>
        <v>0</v>
      </c>
      <c r="AN883" s="498">
        <f t="shared" si="303"/>
        <v>0</v>
      </c>
      <c r="AO883" s="498">
        <f t="shared" si="304"/>
        <v>0</v>
      </c>
      <c r="AP883" s="498">
        <f t="shared" si="323"/>
        <v>0</v>
      </c>
      <c r="AQ883" s="498">
        <f t="shared" si="318"/>
        <v>0</v>
      </c>
      <c r="AU883" s="498">
        <f t="shared" si="305"/>
        <v>0</v>
      </c>
      <c r="AV883" s="498">
        <f t="shared" si="306"/>
        <v>0</v>
      </c>
      <c r="AW883" s="498">
        <f t="shared" si="307"/>
        <v>0</v>
      </c>
      <c r="AX883" s="498">
        <f t="shared" si="308"/>
        <v>0</v>
      </c>
      <c r="AY883" s="498">
        <f t="shared" si="309"/>
        <v>0</v>
      </c>
      <c r="BB883" s="498" t="str">
        <f t="shared" si="310"/>
        <v/>
      </c>
      <c r="BC883" s="743" t="str">
        <f t="shared" si="311"/>
        <v/>
      </c>
      <c r="BD883" s="743" t="str">
        <f t="shared" si="312"/>
        <v/>
      </c>
      <c r="BE883" s="743" t="str">
        <f>IF(D883="","",VLOOKUP(D883,'General Basis'!$J$39:$K$46,2,0))</f>
        <v/>
      </c>
      <c r="BF883" s="744" t="str">
        <f>IF(D883="","",VLOOKUP(D883,'General Basis'!$J$39:$L$46,3,0))</f>
        <v/>
      </c>
      <c r="BG883" s="744" t="str">
        <f t="shared" si="319"/>
        <v/>
      </c>
      <c r="BH883" s="744" t="str">
        <f>IF(G883="","",IF(BF883="Abu Dhabi",IF(G883&lt;18,'General Basis'!$C$39,IF(G883&lt;41,'General Basis'!$C$40,IF(G883&lt;60,'General Basis'!$C$41,IF(G883&lt;65,'General Basis'!$C$42,'General Basis'!$C$43)))),IF(G883&lt;11,'General Basis'!$B$39,IF(G883&lt;18,'General Basis'!$B$40,IF(G883&lt;26,'General Basis'!$B$41,IF(G883&lt;31,'General Basis'!$B$42,IF(G883&lt;36,'General Basis'!$B$43,IF(G883&lt;41,'General Basis'!$B$44,IF(G883&lt;46,'General Basis'!$B$45,IF(G883&lt;51,'General Basis'!$B$46,IF(G883&lt;56,'General Basis'!$B$47,IF(G883&lt;60,'General Basis'!$B$48,IF(G883&lt;65,'General Basis'!$B$49,'General Basis'!$B$50)))))))))))))</f>
        <v/>
      </c>
      <c r="BI883" s="744" t="str">
        <f t="shared" si="313"/>
        <v/>
      </c>
      <c r="BJ883" s="747" t="str">
        <f t="shared" si="320"/>
        <v/>
      </c>
      <c r="BK883" s="498" t="str">
        <f t="shared" si="314"/>
        <v/>
      </c>
      <c r="BL883" s="498" t="str">
        <f t="shared" si="315"/>
        <v/>
      </c>
    </row>
    <row r="884" spans="1:64" x14ac:dyDescent="0.25">
      <c r="A884" s="762">
        <f t="shared" si="316"/>
        <v>879</v>
      </c>
      <c r="B884" s="229"/>
      <c r="C884" s="223"/>
      <c r="D884" s="224"/>
      <c r="E884" s="225"/>
      <c r="F884" s="1036" t="str">
        <f t="shared" si="322"/>
        <v/>
      </c>
      <c r="G884" s="1037" t="str">
        <f t="shared" si="317"/>
        <v/>
      </c>
      <c r="H884" s="225"/>
      <c r="I884" s="1013"/>
      <c r="J884" s="1013"/>
      <c r="K884" s="1028"/>
      <c r="L884" s="1035" t="str">
        <f t="shared" si="321"/>
        <v/>
      </c>
      <c r="S884" s="498"/>
      <c r="AJ884" s="498"/>
      <c r="AM884" s="498">
        <f t="shared" si="302"/>
        <v>0</v>
      </c>
      <c r="AN884" s="498">
        <f t="shared" si="303"/>
        <v>0</v>
      </c>
      <c r="AO884" s="498">
        <f t="shared" si="304"/>
        <v>0</v>
      </c>
      <c r="AP884" s="498">
        <f t="shared" si="323"/>
        <v>0</v>
      </c>
      <c r="AQ884" s="498">
        <f t="shared" si="318"/>
        <v>0</v>
      </c>
      <c r="AU884" s="498">
        <f t="shared" si="305"/>
        <v>0</v>
      </c>
      <c r="AV884" s="498">
        <f t="shared" si="306"/>
        <v>0</v>
      </c>
      <c r="AW884" s="498">
        <f t="shared" si="307"/>
        <v>0</v>
      </c>
      <c r="AX884" s="498">
        <f t="shared" si="308"/>
        <v>0</v>
      </c>
      <c r="AY884" s="498">
        <f t="shared" si="309"/>
        <v>0</v>
      </c>
      <c r="BB884" s="498" t="str">
        <f t="shared" si="310"/>
        <v/>
      </c>
      <c r="BC884" s="743" t="str">
        <f t="shared" si="311"/>
        <v/>
      </c>
      <c r="BD884" s="743" t="str">
        <f t="shared" si="312"/>
        <v/>
      </c>
      <c r="BE884" s="743" t="str">
        <f>IF(D884="","",VLOOKUP(D884,'General Basis'!$J$39:$K$46,2,0))</f>
        <v/>
      </c>
      <c r="BF884" s="744" t="str">
        <f>IF(D884="","",VLOOKUP(D884,'General Basis'!$J$39:$L$46,3,0))</f>
        <v/>
      </c>
      <c r="BG884" s="744" t="str">
        <f t="shared" si="319"/>
        <v/>
      </c>
      <c r="BH884" s="744" t="str">
        <f>IF(G884="","",IF(BF884="Abu Dhabi",IF(G884&lt;18,'General Basis'!$C$39,IF(G884&lt;41,'General Basis'!$C$40,IF(G884&lt;60,'General Basis'!$C$41,IF(G884&lt;65,'General Basis'!$C$42,'General Basis'!$C$43)))),IF(G884&lt;11,'General Basis'!$B$39,IF(G884&lt;18,'General Basis'!$B$40,IF(G884&lt;26,'General Basis'!$B$41,IF(G884&lt;31,'General Basis'!$B$42,IF(G884&lt;36,'General Basis'!$B$43,IF(G884&lt;41,'General Basis'!$B$44,IF(G884&lt;46,'General Basis'!$B$45,IF(G884&lt;51,'General Basis'!$B$46,IF(G884&lt;56,'General Basis'!$B$47,IF(G884&lt;60,'General Basis'!$B$48,IF(G884&lt;65,'General Basis'!$B$49,'General Basis'!$B$50)))))))))))))</f>
        <v/>
      </c>
      <c r="BI884" s="744" t="str">
        <f t="shared" si="313"/>
        <v/>
      </c>
      <c r="BJ884" s="747" t="str">
        <f t="shared" si="320"/>
        <v/>
      </c>
      <c r="BK884" s="498" t="str">
        <f t="shared" si="314"/>
        <v/>
      </c>
      <c r="BL884" s="498" t="str">
        <f t="shared" si="315"/>
        <v/>
      </c>
    </row>
    <row r="885" spans="1:64" x14ac:dyDescent="0.25">
      <c r="A885" s="762">
        <f t="shared" si="316"/>
        <v>880</v>
      </c>
      <c r="B885" s="229"/>
      <c r="C885" s="223"/>
      <c r="D885" s="224"/>
      <c r="E885" s="225"/>
      <c r="F885" s="1036" t="str">
        <f t="shared" si="322"/>
        <v/>
      </c>
      <c r="G885" s="1037" t="str">
        <f t="shared" si="317"/>
        <v/>
      </c>
      <c r="H885" s="225"/>
      <c r="I885" s="1013"/>
      <c r="J885" s="1013"/>
      <c r="K885" s="1028"/>
      <c r="L885" s="1035" t="str">
        <f t="shared" si="321"/>
        <v/>
      </c>
      <c r="S885" s="498"/>
      <c r="AJ885" s="498"/>
      <c r="AM885" s="498">
        <f t="shared" si="302"/>
        <v>0</v>
      </c>
      <c r="AN885" s="498">
        <f t="shared" si="303"/>
        <v>0</v>
      </c>
      <c r="AO885" s="498">
        <f t="shared" si="304"/>
        <v>0</v>
      </c>
      <c r="AP885" s="498">
        <f t="shared" si="323"/>
        <v>0</v>
      </c>
      <c r="AQ885" s="498">
        <f t="shared" si="318"/>
        <v>0</v>
      </c>
      <c r="AU885" s="498">
        <f t="shared" si="305"/>
        <v>0</v>
      </c>
      <c r="AV885" s="498">
        <f t="shared" si="306"/>
        <v>0</v>
      </c>
      <c r="AW885" s="498">
        <f t="shared" si="307"/>
        <v>0</v>
      </c>
      <c r="AX885" s="498">
        <f t="shared" si="308"/>
        <v>0</v>
      </c>
      <c r="AY885" s="498">
        <f t="shared" si="309"/>
        <v>0</v>
      </c>
      <c r="BB885" s="498" t="str">
        <f t="shared" si="310"/>
        <v/>
      </c>
      <c r="BC885" s="743" t="str">
        <f t="shared" si="311"/>
        <v/>
      </c>
      <c r="BD885" s="743" t="str">
        <f t="shared" si="312"/>
        <v/>
      </c>
      <c r="BE885" s="743" t="str">
        <f>IF(D885="","",VLOOKUP(D885,'General Basis'!$J$39:$K$46,2,0))</f>
        <v/>
      </c>
      <c r="BF885" s="744" t="str">
        <f>IF(D885="","",VLOOKUP(D885,'General Basis'!$J$39:$L$46,3,0))</f>
        <v/>
      </c>
      <c r="BG885" s="744" t="str">
        <f t="shared" si="319"/>
        <v/>
      </c>
      <c r="BH885" s="744" t="str">
        <f>IF(G885="","",IF(BF885="Abu Dhabi",IF(G885&lt;18,'General Basis'!$C$39,IF(G885&lt;41,'General Basis'!$C$40,IF(G885&lt;60,'General Basis'!$C$41,IF(G885&lt;65,'General Basis'!$C$42,'General Basis'!$C$43)))),IF(G885&lt;11,'General Basis'!$B$39,IF(G885&lt;18,'General Basis'!$B$40,IF(G885&lt;26,'General Basis'!$B$41,IF(G885&lt;31,'General Basis'!$B$42,IF(G885&lt;36,'General Basis'!$B$43,IF(G885&lt;41,'General Basis'!$B$44,IF(G885&lt;46,'General Basis'!$B$45,IF(G885&lt;51,'General Basis'!$B$46,IF(G885&lt;56,'General Basis'!$B$47,IF(G885&lt;60,'General Basis'!$B$48,IF(G885&lt;65,'General Basis'!$B$49,'General Basis'!$B$50)))))))))))))</f>
        <v/>
      </c>
      <c r="BI885" s="744" t="str">
        <f t="shared" si="313"/>
        <v/>
      </c>
      <c r="BJ885" s="747" t="str">
        <f t="shared" si="320"/>
        <v/>
      </c>
      <c r="BK885" s="498" t="str">
        <f t="shared" si="314"/>
        <v/>
      </c>
      <c r="BL885" s="498" t="str">
        <f t="shared" si="315"/>
        <v/>
      </c>
    </row>
    <row r="886" spans="1:64" x14ac:dyDescent="0.25">
      <c r="A886" s="762">
        <f t="shared" si="316"/>
        <v>881</v>
      </c>
      <c r="B886" s="229"/>
      <c r="C886" s="223"/>
      <c r="D886" s="224"/>
      <c r="E886" s="225"/>
      <c r="F886" s="1036" t="str">
        <f t="shared" si="322"/>
        <v/>
      </c>
      <c r="G886" s="1037" t="str">
        <f t="shared" si="317"/>
        <v/>
      </c>
      <c r="H886" s="225"/>
      <c r="I886" s="1013"/>
      <c r="J886" s="1013"/>
      <c r="K886" s="1028"/>
      <c r="L886" s="1035" t="str">
        <f t="shared" si="321"/>
        <v/>
      </c>
      <c r="S886" s="498"/>
      <c r="AJ886" s="498"/>
      <c r="AM886" s="498">
        <f t="shared" si="302"/>
        <v>0</v>
      </c>
      <c r="AN886" s="498">
        <f t="shared" si="303"/>
        <v>0</v>
      </c>
      <c r="AO886" s="498">
        <f t="shared" si="304"/>
        <v>0</v>
      </c>
      <c r="AP886" s="498">
        <f t="shared" si="323"/>
        <v>0</v>
      </c>
      <c r="AQ886" s="498">
        <f t="shared" si="318"/>
        <v>0</v>
      </c>
      <c r="AU886" s="498">
        <f t="shared" si="305"/>
        <v>0</v>
      </c>
      <c r="AV886" s="498">
        <f t="shared" si="306"/>
        <v>0</v>
      </c>
      <c r="AW886" s="498">
        <f t="shared" si="307"/>
        <v>0</v>
      </c>
      <c r="AX886" s="498">
        <f t="shared" si="308"/>
        <v>0</v>
      </c>
      <c r="AY886" s="498">
        <f t="shared" si="309"/>
        <v>0</v>
      </c>
      <c r="BB886" s="498" t="str">
        <f t="shared" si="310"/>
        <v/>
      </c>
      <c r="BC886" s="743" t="str">
        <f t="shared" si="311"/>
        <v/>
      </c>
      <c r="BD886" s="743" t="str">
        <f t="shared" si="312"/>
        <v/>
      </c>
      <c r="BE886" s="743" t="str">
        <f>IF(D886="","",VLOOKUP(D886,'General Basis'!$J$39:$K$46,2,0))</f>
        <v/>
      </c>
      <c r="BF886" s="744" t="str">
        <f>IF(D886="","",VLOOKUP(D886,'General Basis'!$J$39:$L$46,3,0))</f>
        <v/>
      </c>
      <c r="BG886" s="744" t="str">
        <f t="shared" si="319"/>
        <v/>
      </c>
      <c r="BH886" s="744" t="str">
        <f>IF(G886="","",IF(BF886="Abu Dhabi",IF(G886&lt;18,'General Basis'!$C$39,IF(G886&lt;41,'General Basis'!$C$40,IF(G886&lt;60,'General Basis'!$C$41,IF(G886&lt;65,'General Basis'!$C$42,'General Basis'!$C$43)))),IF(G886&lt;11,'General Basis'!$B$39,IF(G886&lt;18,'General Basis'!$B$40,IF(G886&lt;26,'General Basis'!$B$41,IF(G886&lt;31,'General Basis'!$B$42,IF(G886&lt;36,'General Basis'!$B$43,IF(G886&lt;41,'General Basis'!$B$44,IF(G886&lt;46,'General Basis'!$B$45,IF(G886&lt;51,'General Basis'!$B$46,IF(G886&lt;56,'General Basis'!$B$47,IF(G886&lt;60,'General Basis'!$B$48,IF(G886&lt;65,'General Basis'!$B$49,'General Basis'!$B$50)))))))))))))</f>
        <v/>
      </c>
      <c r="BI886" s="744" t="str">
        <f t="shared" si="313"/>
        <v/>
      </c>
      <c r="BJ886" s="747" t="str">
        <f t="shared" si="320"/>
        <v/>
      </c>
      <c r="BK886" s="498" t="str">
        <f t="shared" si="314"/>
        <v/>
      </c>
      <c r="BL886" s="498" t="str">
        <f t="shared" si="315"/>
        <v/>
      </c>
    </row>
    <row r="887" spans="1:64" x14ac:dyDescent="0.25">
      <c r="A887" s="762">
        <f t="shared" si="316"/>
        <v>882</v>
      </c>
      <c r="B887" s="229"/>
      <c r="C887" s="223"/>
      <c r="D887" s="224"/>
      <c r="E887" s="225"/>
      <c r="F887" s="1036" t="str">
        <f t="shared" si="322"/>
        <v/>
      </c>
      <c r="G887" s="1037" t="str">
        <f t="shared" si="317"/>
        <v/>
      </c>
      <c r="H887" s="225"/>
      <c r="I887" s="1013"/>
      <c r="J887" s="1013"/>
      <c r="K887" s="1028"/>
      <c r="L887" s="1035" t="str">
        <f t="shared" si="321"/>
        <v/>
      </c>
      <c r="S887" s="498"/>
      <c r="AJ887" s="498"/>
      <c r="AM887" s="498">
        <f t="shared" si="302"/>
        <v>0</v>
      </c>
      <c r="AN887" s="498">
        <f t="shared" si="303"/>
        <v>0</v>
      </c>
      <c r="AO887" s="498">
        <f t="shared" si="304"/>
        <v>0</v>
      </c>
      <c r="AP887" s="498">
        <f t="shared" si="323"/>
        <v>0</v>
      </c>
      <c r="AQ887" s="498">
        <f t="shared" si="318"/>
        <v>0</v>
      </c>
      <c r="AU887" s="498">
        <f t="shared" si="305"/>
        <v>0</v>
      </c>
      <c r="AV887" s="498">
        <f t="shared" si="306"/>
        <v>0</v>
      </c>
      <c r="AW887" s="498">
        <f t="shared" si="307"/>
        <v>0</v>
      </c>
      <c r="AX887" s="498">
        <f t="shared" si="308"/>
        <v>0</v>
      </c>
      <c r="AY887" s="498">
        <f t="shared" si="309"/>
        <v>0</v>
      </c>
      <c r="BB887" s="498" t="str">
        <f t="shared" si="310"/>
        <v/>
      </c>
      <c r="BC887" s="743" t="str">
        <f t="shared" si="311"/>
        <v/>
      </c>
      <c r="BD887" s="743" t="str">
        <f t="shared" si="312"/>
        <v/>
      </c>
      <c r="BE887" s="743" t="str">
        <f>IF(D887="","",VLOOKUP(D887,'General Basis'!$J$39:$K$46,2,0))</f>
        <v/>
      </c>
      <c r="BF887" s="744" t="str">
        <f>IF(D887="","",VLOOKUP(D887,'General Basis'!$J$39:$L$46,3,0))</f>
        <v/>
      </c>
      <c r="BG887" s="744" t="str">
        <f t="shared" si="319"/>
        <v/>
      </c>
      <c r="BH887" s="744" t="str">
        <f>IF(G887="","",IF(BF887="Abu Dhabi",IF(G887&lt;18,'General Basis'!$C$39,IF(G887&lt;41,'General Basis'!$C$40,IF(G887&lt;60,'General Basis'!$C$41,IF(G887&lt;65,'General Basis'!$C$42,'General Basis'!$C$43)))),IF(G887&lt;11,'General Basis'!$B$39,IF(G887&lt;18,'General Basis'!$B$40,IF(G887&lt;26,'General Basis'!$B$41,IF(G887&lt;31,'General Basis'!$B$42,IF(G887&lt;36,'General Basis'!$B$43,IF(G887&lt;41,'General Basis'!$B$44,IF(G887&lt;46,'General Basis'!$B$45,IF(G887&lt;51,'General Basis'!$B$46,IF(G887&lt;56,'General Basis'!$B$47,IF(G887&lt;60,'General Basis'!$B$48,IF(G887&lt;65,'General Basis'!$B$49,'General Basis'!$B$50)))))))))))))</f>
        <v/>
      </c>
      <c r="BI887" s="744" t="str">
        <f t="shared" si="313"/>
        <v/>
      </c>
      <c r="BJ887" s="747" t="str">
        <f t="shared" si="320"/>
        <v/>
      </c>
      <c r="BK887" s="498" t="str">
        <f t="shared" si="314"/>
        <v/>
      </c>
      <c r="BL887" s="498" t="str">
        <f t="shared" si="315"/>
        <v/>
      </c>
    </row>
    <row r="888" spans="1:64" x14ac:dyDescent="0.25">
      <c r="A888" s="762">
        <f t="shared" si="316"/>
        <v>883</v>
      </c>
      <c r="B888" s="229"/>
      <c r="C888" s="223"/>
      <c r="D888" s="224"/>
      <c r="E888" s="225"/>
      <c r="F888" s="1036" t="str">
        <f t="shared" si="322"/>
        <v/>
      </c>
      <c r="G888" s="1037" t="str">
        <f t="shared" si="317"/>
        <v/>
      </c>
      <c r="H888" s="225"/>
      <c r="I888" s="1013"/>
      <c r="J888" s="1013"/>
      <c r="K888" s="1028"/>
      <c r="L888" s="1035" t="str">
        <f t="shared" si="321"/>
        <v/>
      </c>
      <c r="S888" s="498"/>
      <c r="AJ888" s="498"/>
      <c r="AM888" s="498">
        <f t="shared" si="302"/>
        <v>0</v>
      </c>
      <c r="AN888" s="498">
        <f t="shared" si="303"/>
        <v>0</v>
      </c>
      <c r="AO888" s="498">
        <f t="shared" si="304"/>
        <v>0</v>
      </c>
      <c r="AP888" s="498">
        <f t="shared" si="323"/>
        <v>0</v>
      </c>
      <c r="AQ888" s="498">
        <f t="shared" si="318"/>
        <v>0</v>
      </c>
      <c r="AU888" s="498">
        <f t="shared" si="305"/>
        <v>0</v>
      </c>
      <c r="AV888" s="498">
        <f t="shared" si="306"/>
        <v>0</v>
      </c>
      <c r="AW888" s="498">
        <f t="shared" si="307"/>
        <v>0</v>
      </c>
      <c r="AX888" s="498">
        <f t="shared" si="308"/>
        <v>0</v>
      </c>
      <c r="AY888" s="498">
        <f t="shared" si="309"/>
        <v>0</v>
      </c>
      <c r="BB888" s="498" t="str">
        <f t="shared" si="310"/>
        <v/>
      </c>
      <c r="BC888" s="743" t="str">
        <f t="shared" si="311"/>
        <v/>
      </c>
      <c r="BD888" s="743" t="str">
        <f t="shared" si="312"/>
        <v/>
      </c>
      <c r="BE888" s="743" t="str">
        <f>IF(D888="","",VLOOKUP(D888,'General Basis'!$J$39:$K$46,2,0))</f>
        <v/>
      </c>
      <c r="BF888" s="744" t="str">
        <f>IF(D888="","",VLOOKUP(D888,'General Basis'!$J$39:$L$46,3,0))</f>
        <v/>
      </c>
      <c r="BG888" s="744" t="str">
        <f t="shared" si="319"/>
        <v/>
      </c>
      <c r="BH888" s="744" t="str">
        <f>IF(G888="","",IF(BF888="Abu Dhabi",IF(G888&lt;18,'General Basis'!$C$39,IF(G888&lt;41,'General Basis'!$C$40,IF(G888&lt;60,'General Basis'!$C$41,IF(G888&lt;65,'General Basis'!$C$42,'General Basis'!$C$43)))),IF(G888&lt;11,'General Basis'!$B$39,IF(G888&lt;18,'General Basis'!$B$40,IF(G888&lt;26,'General Basis'!$B$41,IF(G888&lt;31,'General Basis'!$B$42,IF(G888&lt;36,'General Basis'!$B$43,IF(G888&lt;41,'General Basis'!$B$44,IF(G888&lt;46,'General Basis'!$B$45,IF(G888&lt;51,'General Basis'!$B$46,IF(G888&lt;56,'General Basis'!$B$47,IF(G888&lt;60,'General Basis'!$B$48,IF(G888&lt;65,'General Basis'!$B$49,'General Basis'!$B$50)))))))))))))</f>
        <v/>
      </c>
      <c r="BI888" s="744" t="str">
        <f t="shared" si="313"/>
        <v/>
      </c>
      <c r="BJ888" s="747" t="str">
        <f t="shared" si="320"/>
        <v/>
      </c>
      <c r="BK888" s="498" t="str">
        <f t="shared" si="314"/>
        <v/>
      </c>
      <c r="BL888" s="498" t="str">
        <f t="shared" si="315"/>
        <v/>
      </c>
    </row>
    <row r="889" spans="1:64" x14ac:dyDescent="0.25">
      <c r="A889" s="762">
        <f t="shared" si="316"/>
        <v>884</v>
      </c>
      <c r="B889" s="229"/>
      <c r="C889" s="223"/>
      <c r="D889" s="224"/>
      <c r="E889" s="225"/>
      <c r="F889" s="1036" t="str">
        <f t="shared" si="322"/>
        <v/>
      </c>
      <c r="G889" s="1037" t="str">
        <f t="shared" si="317"/>
        <v/>
      </c>
      <c r="H889" s="225"/>
      <c r="I889" s="1013"/>
      <c r="J889" s="1013"/>
      <c r="K889" s="1028"/>
      <c r="L889" s="1035" t="str">
        <f t="shared" si="321"/>
        <v/>
      </c>
      <c r="S889" s="498"/>
      <c r="AJ889" s="498"/>
      <c r="AM889" s="498">
        <f t="shared" si="302"/>
        <v>0</v>
      </c>
      <c r="AN889" s="498">
        <f t="shared" si="303"/>
        <v>0</v>
      </c>
      <c r="AO889" s="498">
        <f t="shared" si="304"/>
        <v>0</v>
      </c>
      <c r="AP889" s="498">
        <f t="shared" si="323"/>
        <v>0</v>
      </c>
      <c r="AQ889" s="498">
        <f t="shared" si="318"/>
        <v>0</v>
      </c>
      <c r="AU889" s="498">
        <f t="shared" si="305"/>
        <v>0</v>
      </c>
      <c r="AV889" s="498">
        <f t="shared" si="306"/>
        <v>0</v>
      </c>
      <c r="AW889" s="498">
        <f t="shared" si="307"/>
        <v>0</v>
      </c>
      <c r="AX889" s="498">
        <f t="shared" si="308"/>
        <v>0</v>
      </c>
      <c r="AY889" s="498">
        <f t="shared" si="309"/>
        <v>0</v>
      </c>
      <c r="BB889" s="498" t="str">
        <f t="shared" si="310"/>
        <v/>
      </c>
      <c r="BC889" s="743" t="str">
        <f t="shared" si="311"/>
        <v/>
      </c>
      <c r="BD889" s="743" t="str">
        <f t="shared" si="312"/>
        <v/>
      </c>
      <c r="BE889" s="743" t="str">
        <f>IF(D889="","",VLOOKUP(D889,'General Basis'!$J$39:$K$46,2,0))</f>
        <v/>
      </c>
      <c r="BF889" s="744" t="str">
        <f>IF(D889="","",VLOOKUP(D889,'General Basis'!$J$39:$L$46,3,0))</f>
        <v/>
      </c>
      <c r="BG889" s="744" t="str">
        <f t="shared" si="319"/>
        <v/>
      </c>
      <c r="BH889" s="744" t="str">
        <f>IF(G889="","",IF(BF889="Abu Dhabi",IF(G889&lt;18,'General Basis'!$C$39,IF(G889&lt;41,'General Basis'!$C$40,IF(G889&lt;60,'General Basis'!$C$41,IF(G889&lt;65,'General Basis'!$C$42,'General Basis'!$C$43)))),IF(G889&lt;11,'General Basis'!$B$39,IF(G889&lt;18,'General Basis'!$B$40,IF(G889&lt;26,'General Basis'!$B$41,IF(G889&lt;31,'General Basis'!$B$42,IF(G889&lt;36,'General Basis'!$B$43,IF(G889&lt;41,'General Basis'!$B$44,IF(G889&lt;46,'General Basis'!$B$45,IF(G889&lt;51,'General Basis'!$B$46,IF(G889&lt;56,'General Basis'!$B$47,IF(G889&lt;60,'General Basis'!$B$48,IF(G889&lt;65,'General Basis'!$B$49,'General Basis'!$B$50)))))))))))))</f>
        <v/>
      </c>
      <c r="BI889" s="744" t="str">
        <f t="shared" si="313"/>
        <v/>
      </c>
      <c r="BJ889" s="747" t="str">
        <f t="shared" si="320"/>
        <v/>
      </c>
      <c r="BK889" s="498" t="str">
        <f t="shared" si="314"/>
        <v/>
      </c>
      <c r="BL889" s="498" t="str">
        <f t="shared" si="315"/>
        <v/>
      </c>
    </row>
    <row r="890" spans="1:64" x14ac:dyDescent="0.25">
      <c r="A890" s="762">
        <f t="shared" si="316"/>
        <v>885</v>
      </c>
      <c r="B890" s="229"/>
      <c r="C890" s="223"/>
      <c r="D890" s="224"/>
      <c r="E890" s="225"/>
      <c r="F890" s="1036" t="str">
        <f t="shared" si="322"/>
        <v/>
      </c>
      <c r="G890" s="1037" t="str">
        <f t="shared" si="317"/>
        <v/>
      </c>
      <c r="H890" s="225"/>
      <c r="I890" s="1013"/>
      <c r="J890" s="1013"/>
      <c r="K890" s="1028"/>
      <c r="L890" s="1035" t="str">
        <f t="shared" si="321"/>
        <v/>
      </c>
      <c r="S890" s="498"/>
      <c r="AJ890" s="498"/>
      <c r="AM890" s="498">
        <f t="shared" si="302"/>
        <v>0</v>
      </c>
      <c r="AN890" s="498">
        <f t="shared" si="303"/>
        <v>0</v>
      </c>
      <c r="AO890" s="498">
        <f t="shared" si="304"/>
        <v>0</v>
      </c>
      <c r="AP890" s="498">
        <f t="shared" si="323"/>
        <v>0</v>
      </c>
      <c r="AQ890" s="498">
        <f t="shared" si="318"/>
        <v>0</v>
      </c>
      <c r="AU890" s="498">
        <f t="shared" si="305"/>
        <v>0</v>
      </c>
      <c r="AV890" s="498">
        <f t="shared" si="306"/>
        <v>0</v>
      </c>
      <c r="AW890" s="498">
        <f t="shared" si="307"/>
        <v>0</v>
      </c>
      <c r="AX890" s="498">
        <f t="shared" si="308"/>
        <v>0</v>
      </c>
      <c r="AY890" s="498">
        <f t="shared" si="309"/>
        <v>0</v>
      </c>
      <c r="BB890" s="498" t="str">
        <f t="shared" si="310"/>
        <v/>
      </c>
      <c r="BC890" s="743" t="str">
        <f t="shared" si="311"/>
        <v/>
      </c>
      <c r="BD890" s="743" t="str">
        <f t="shared" si="312"/>
        <v/>
      </c>
      <c r="BE890" s="743" t="str">
        <f>IF(D890="","",VLOOKUP(D890,'General Basis'!$J$39:$K$46,2,0))</f>
        <v/>
      </c>
      <c r="BF890" s="744" t="str">
        <f>IF(D890="","",VLOOKUP(D890,'General Basis'!$J$39:$L$46,3,0))</f>
        <v/>
      </c>
      <c r="BG890" s="744" t="str">
        <f t="shared" si="319"/>
        <v/>
      </c>
      <c r="BH890" s="744" t="str">
        <f>IF(G890="","",IF(BF890="Abu Dhabi",IF(G890&lt;18,'General Basis'!$C$39,IF(G890&lt;41,'General Basis'!$C$40,IF(G890&lt;60,'General Basis'!$C$41,IF(G890&lt;65,'General Basis'!$C$42,'General Basis'!$C$43)))),IF(G890&lt;11,'General Basis'!$B$39,IF(G890&lt;18,'General Basis'!$B$40,IF(G890&lt;26,'General Basis'!$B$41,IF(G890&lt;31,'General Basis'!$B$42,IF(G890&lt;36,'General Basis'!$B$43,IF(G890&lt;41,'General Basis'!$B$44,IF(G890&lt;46,'General Basis'!$B$45,IF(G890&lt;51,'General Basis'!$B$46,IF(G890&lt;56,'General Basis'!$B$47,IF(G890&lt;60,'General Basis'!$B$48,IF(G890&lt;65,'General Basis'!$B$49,'General Basis'!$B$50)))))))))))))</f>
        <v/>
      </c>
      <c r="BI890" s="744" t="str">
        <f t="shared" si="313"/>
        <v/>
      </c>
      <c r="BJ890" s="747" t="str">
        <f t="shared" si="320"/>
        <v/>
      </c>
      <c r="BK890" s="498" t="str">
        <f t="shared" si="314"/>
        <v/>
      </c>
      <c r="BL890" s="498" t="str">
        <f t="shared" si="315"/>
        <v/>
      </c>
    </row>
    <row r="891" spans="1:64" x14ac:dyDescent="0.25">
      <c r="A891" s="762">
        <f t="shared" si="316"/>
        <v>886</v>
      </c>
      <c r="B891" s="229"/>
      <c r="C891" s="223"/>
      <c r="D891" s="224"/>
      <c r="E891" s="225"/>
      <c r="F891" s="1036" t="str">
        <f t="shared" si="322"/>
        <v/>
      </c>
      <c r="G891" s="1037" t="str">
        <f t="shared" si="317"/>
        <v/>
      </c>
      <c r="H891" s="225"/>
      <c r="I891" s="1013"/>
      <c r="J891" s="1013"/>
      <c r="K891" s="1028"/>
      <c r="L891" s="1035" t="str">
        <f t="shared" si="321"/>
        <v/>
      </c>
      <c r="S891" s="498"/>
      <c r="AJ891" s="498"/>
      <c r="AM891" s="498">
        <f t="shared" si="302"/>
        <v>0</v>
      </c>
      <c r="AN891" s="498">
        <f t="shared" si="303"/>
        <v>0</v>
      </c>
      <c r="AO891" s="498">
        <f t="shared" si="304"/>
        <v>0</v>
      </c>
      <c r="AP891" s="498">
        <f t="shared" si="323"/>
        <v>0</v>
      </c>
      <c r="AQ891" s="498">
        <f t="shared" si="318"/>
        <v>0</v>
      </c>
      <c r="AU891" s="498">
        <f t="shared" si="305"/>
        <v>0</v>
      </c>
      <c r="AV891" s="498">
        <f t="shared" si="306"/>
        <v>0</v>
      </c>
      <c r="AW891" s="498">
        <f t="shared" si="307"/>
        <v>0</v>
      </c>
      <c r="AX891" s="498">
        <f t="shared" si="308"/>
        <v>0</v>
      </c>
      <c r="AY891" s="498">
        <f t="shared" si="309"/>
        <v>0</v>
      </c>
      <c r="BB891" s="498" t="str">
        <f t="shared" si="310"/>
        <v/>
      </c>
      <c r="BC891" s="743" t="str">
        <f t="shared" si="311"/>
        <v/>
      </c>
      <c r="BD891" s="743" t="str">
        <f t="shared" si="312"/>
        <v/>
      </c>
      <c r="BE891" s="743" t="str">
        <f>IF(D891="","",VLOOKUP(D891,'General Basis'!$J$39:$K$46,2,0))</f>
        <v/>
      </c>
      <c r="BF891" s="744" t="str">
        <f>IF(D891="","",VLOOKUP(D891,'General Basis'!$J$39:$L$46,3,0))</f>
        <v/>
      </c>
      <c r="BG891" s="744" t="str">
        <f t="shared" si="319"/>
        <v/>
      </c>
      <c r="BH891" s="744" t="str">
        <f>IF(G891="","",IF(BF891="Abu Dhabi",IF(G891&lt;18,'General Basis'!$C$39,IF(G891&lt;41,'General Basis'!$C$40,IF(G891&lt;60,'General Basis'!$C$41,IF(G891&lt;65,'General Basis'!$C$42,'General Basis'!$C$43)))),IF(G891&lt;11,'General Basis'!$B$39,IF(G891&lt;18,'General Basis'!$B$40,IF(G891&lt;26,'General Basis'!$B$41,IF(G891&lt;31,'General Basis'!$B$42,IF(G891&lt;36,'General Basis'!$B$43,IF(G891&lt;41,'General Basis'!$B$44,IF(G891&lt;46,'General Basis'!$B$45,IF(G891&lt;51,'General Basis'!$B$46,IF(G891&lt;56,'General Basis'!$B$47,IF(G891&lt;60,'General Basis'!$B$48,IF(G891&lt;65,'General Basis'!$B$49,'General Basis'!$B$50)))))))))))))</f>
        <v/>
      </c>
      <c r="BI891" s="744" t="str">
        <f t="shared" si="313"/>
        <v/>
      </c>
      <c r="BJ891" s="747" t="str">
        <f t="shared" si="320"/>
        <v/>
      </c>
      <c r="BK891" s="498" t="str">
        <f t="shared" si="314"/>
        <v/>
      </c>
      <c r="BL891" s="498" t="str">
        <f t="shared" si="315"/>
        <v/>
      </c>
    </row>
    <row r="892" spans="1:64" x14ac:dyDescent="0.25">
      <c r="A892" s="762">
        <f t="shared" si="316"/>
        <v>887</v>
      </c>
      <c r="B892" s="229"/>
      <c r="C892" s="223"/>
      <c r="D892" s="224"/>
      <c r="E892" s="225"/>
      <c r="F892" s="1036" t="str">
        <f t="shared" si="322"/>
        <v/>
      </c>
      <c r="G892" s="1037" t="str">
        <f t="shared" si="317"/>
        <v/>
      </c>
      <c r="H892" s="225"/>
      <c r="I892" s="1013"/>
      <c r="J892" s="1013"/>
      <c r="K892" s="1028"/>
      <c r="L892" s="1035" t="str">
        <f t="shared" si="321"/>
        <v/>
      </c>
      <c r="S892" s="498"/>
      <c r="AJ892" s="498"/>
      <c r="AM892" s="498">
        <f t="shared" si="302"/>
        <v>0</v>
      </c>
      <c r="AN892" s="498">
        <f t="shared" si="303"/>
        <v>0</v>
      </c>
      <c r="AO892" s="498">
        <f t="shared" si="304"/>
        <v>0</v>
      </c>
      <c r="AP892" s="498">
        <f t="shared" si="323"/>
        <v>0</v>
      </c>
      <c r="AQ892" s="498">
        <f t="shared" si="318"/>
        <v>0</v>
      </c>
      <c r="AU892" s="498">
        <f t="shared" si="305"/>
        <v>0</v>
      </c>
      <c r="AV892" s="498">
        <f t="shared" si="306"/>
        <v>0</v>
      </c>
      <c r="AW892" s="498">
        <f t="shared" si="307"/>
        <v>0</v>
      </c>
      <c r="AX892" s="498">
        <f t="shared" si="308"/>
        <v>0</v>
      </c>
      <c r="AY892" s="498">
        <f t="shared" si="309"/>
        <v>0</v>
      </c>
      <c r="BB892" s="498" t="str">
        <f t="shared" si="310"/>
        <v/>
      </c>
      <c r="BC892" s="743" t="str">
        <f t="shared" si="311"/>
        <v/>
      </c>
      <c r="BD892" s="743" t="str">
        <f t="shared" si="312"/>
        <v/>
      </c>
      <c r="BE892" s="743" t="str">
        <f>IF(D892="","",VLOOKUP(D892,'General Basis'!$J$39:$K$46,2,0))</f>
        <v/>
      </c>
      <c r="BF892" s="744" t="str">
        <f>IF(D892="","",VLOOKUP(D892,'General Basis'!$J$39:$L$46,3,0))</f>
        <v/>
      </c>
      <c r="BG892" s="744" t="str">
        <f t="shared" si="319"/>
        <v/>
      </c>
      <c r="BH892" s="744" t="str">
        <f>IF(G892="","",IF(BF892="Abu Dhabi",IF(G892&lt;18,'General Basis'!$C$39,IF(G892&lt;41,'General Basis'!$C$40,IF(G892&lt;60,'General Basis'!$C$41,IF(G892&lt;65,'General Basis'!$C$42,'General Basis'!$C$43)))),IF(G892&lt;11,'General Basis'!$B$39,IF(G892&lt;18,'General Basis'!$B$40,IF(G892&lt;26,'General Basis'!$B$41,IF(G892&lt;31,'General Basis'!$B$42,IF(G892&lt;36,'General Basis'!$B$43,IF(G892&lt;41,'General Basis'!$B$44,IF(G892&lt;46,'General Basis'!$B$45,IF(G892&lt;51,'General Basis'!$B$46,IF(G892&lt;56,'General Basis'!$B$47,IF(G892&lt;60,'General Basis'!$B$48,IF(G892&lt;65,'General Basis'!$B$49,'General Basis'!$B$50)))))))))))))</f>
        <v/>
      </c>
      <c r="BI892" s="744" t="str">
        <f t="shared" si="313"/>
        <v/>
      </c>
      <c r="BJ892" s="747" t="str">
        <f t="shared" si="320"/>
        <v/>
      </c>
      <c r="BK892" s="498" t="str">
        <f t="shared" si="314"/>
        <v/>
      </c>
      <c r="BL892" s="498" t="str">
        <f t="shared" si="315"/>
        <v/>
      </c>
    </row>
    <row r="893" spans="1:64" x14ac:dyDescent="0.25">
      <c r="A893" s="762">
        <f t="shared" si="316"/>
        <v>888</v>
      </c>
      <c r="B893" s="229"/>
      <c r="C893" s="223"/>
      <c r="D893" s="224"/>
      <c r="E893" s="225"/>
      <c r="F893" s="1036" t="str">
        <f t="shared" si="322"/>
        <v/>
      </c>
      <c r="G893" s="1037" t="str">
        <f t="shared" si="317"/>
        <v/>
      </c>
      <c r="H893" s="225"/>
      <c r="I893" s="1013"/>
      <c r="J893" s="1013"/>
      <c r="K893" s="1028"/>
      <c r="L893" s="1035" t="str">
        <f t="shared" si="321"/>
        <v/>
      </c>
      <c r="S893" s="498"/>
      <c r="AJ893" s="498"/>
      <c r="AM893" s="498">
        <f t="shared" si="302"/>
        <v>0</v>
      </c>
      <c r="AN893" s="498">
        <f t="shared" si="303"/>
        <v>0</v>
      </c>
      <c r="AO893" s="498">
        <f t="shared" si="304"/>
        <v>0</v>
      </c>
      <c r="AP893" s="498">
        <f t="shared" si="323"/>
        <v>0</v>
      </c>
      <c r="AQ893" s="498">
        <f t="shared" si="318"/>
        <v>0</v>
      </c>
      <c r="AU893" s="498">
        <f t="shared" si="305"/>
        <v>0</v>
      </c>
      <c r="AV893" s="498">
        <f t="shared" si="306"/>
        <v>0</v>
      </c>
      <c r="AW893" s="498">
        <f t="shared" si="307"/>
        <v>0</v>
      </c>
      <c r="AX893" s="498">
        <f t="shared" si="308"/>
        <v>0</v>
      </c>
      <c r="AY893" s="498">
        <f t="shared" si="309"/>
        <v>0</v>
      </c>
      <c r="BB893" s="498" t="str">
        <f t="shared" si="310"/>
        <v/>
      </c>
      <c r="BC893" s="743" t="str">
        <f t="shared" si="311"/>
        <v/>
      </c>
      <c r="BD893" s="743" t="str">
        <f t="shared" si="312"/>
        <v/>
      </c>
      <c r="BE893" s="743" t="str">
        <f>IF(D893="","",VLOOKUP(D893,'General Basis'!$J$39:$K$46,2,0))</f>
        <v/>
      </c>
      <c r="BF893" s="744" t="str">
        <f>IF(D893="","",VLOOKUP(D893,'General Basis'!$J$39:$L$46,3,0))</f>
        <v/>
      </c>
      <c r="BG893" s="744" t="str">
        <f t="shared" si="319"/>
        <v/>
      </c>
      <c r="BH893" s="744" t="str">
        <f>IF(G893="","",IF(BF893="Abu Dhabi",IF(G893&lt;18,'General Basis'!$C$39,IF(G893&lt;41,'General Basis'!$C$40,IF(G893&lt;60,'General Basis'!$C$41,IF(G893&lt;65,'General Basis'!$C$42,'General Basis'!$C$43)))),IF(G893&lt;11,'General Basis'!$B$39,IF(G893&lt;18,'General Basis'!$B$40,IF(G893&lt;26,'General Basis'!$B$41,IF(G893&lt;31,'General Basis'!$B$42,IF(G893&lt;36,'General Basis'!$B$43,IF(G893&lt;41,'General Basis'!$B$44,IF(G893&lt;46,'General Basis'!$B$45,IF(G893&lt;51,'General Basis'!$B$46,IF(G893&lt;56,'General Basis'!$B$47,IF(G893&lt;60,'General Basis'!$B$48,IF(G893&lt;65,'General Basis'!$B$49,'General Basis'!$B$50)))))))))))))</f>
        <v/>
      </c>
      <c r="BI893" s="744" t="str">
        <f t="shared" si="313"/>
        <v/>
      </c>
      <c r="BJ893" s="747" t="str">
        <f t="shared" si="320"/>
        <v/>
      </c>
      <c r="BK893" s="498" t="str">
        <f t="shared" si="314"/>
        <v/>
      </c>
      <c r="BL893" s="498" t="str">
        <f t="shared" si="315"/>
        <v/>
      </c>
    </row>
    <row r="894" spans="1:64" x14ac:dyDescent="0.25">
      <c r="A894" s="762">
        <f t="shared" si="316"/>
        <v>889</v>
      </c>
      <c r="B894" s="229"/>
      <c r="C894" s="223"/>
      <c r="D894" s="224"/>
      <c r="E894" s="225"/>
      <c r="F894" s="1036" t="str">
        <f t="shared" si="322"/>
        <v/>
      </c>
      <c r="G894" s="1037" t="str">
        <f t="shared" si="317"/>
        <v/>
      </c>
      <c r="H894" s="225"/>
      <c r="I894" s="1013"/>
      <c r="J894" s="1013"/>
      <c r="K894" s="1028"/>
      <c r="L894" s="1035" t="str">
        <f t="shared" si="321"/>
        <v/>
      </c>
      <c r="S894" s="498"/>
      <c r="AJ894" s="498"/>
      <c r="AM894" s="498">
        <f t="shared" si="302"/>
        <v>0</v>
      </c>
      <c r="AN894" s="498">
        <f t="shared" si="303"/>
        <v>0</v>
      </c>
      <c r="AO894" s="498">
        <f t="shared" si="304"/>
        <v>0</v>
      </c>
      <c r="AP894" s="498">
        <f t="shared" si="323"/>
        <v>0</v>
      </c>
      <c r="AQ894" s="498">
        <f t="shared" si="318"/>
        <v>0</v>
      </c>
      <c r="AU894" s="498">
        <f t="shared" si="305"/>
        <v>0</v>
      </c>
      <c r="AV894" s="498">
        <f t="shared" si="306"/>
        <v>0</v>
      </c>
      <c r="AW894" s="498">
        <f t="shared" si="307"/>
        <v>0</v>
      </c>
      <c r="AX894" s="498">
        <f t="shared" si="308"/>
        <v>0</v>
      </c>
      <c r="AY894" s="498">
        <f t="shared" si="309"/>
        <v>0</v>
      </c>
      <c r="BB894" s="498" t="str">
        <f t="shared" si="310"/>
        <v/>
      </c>
      <c r="BC894" s="743" t="str">
        <f t="shared" si="311"/>
        <v/>
      </c>
      <c r="BD894" s="743" t="str">
        <f t="shared" si="312"/>
        <v/>
      </c>
      <c r="BE894" s="743" t="str">
        <f>IF(D894="","",VLOOKUP(D894,'General Basis'!$J$39:$K$46,2,0))</f>
        <v/>
      </c>
      <c r="BF894" s="744" t="str">
        <f>IF(D894="","",VLOOKUP(D894,'General Basis'!$J$39:$L$46,3,0))</f>
        <v/>
      </c>
      <c r="BG894" s="744" t="str">
        <f t="shared" si="319"/>
        <v/>
      </c>
      <c r="BH894" s="744" t="str">
        <f>IF(G894="","",IF(BF894="Abu Dhabi",IF(G894&lt;18,'General Basis'!$C$39,IF(G894&lt;41,'General Basis'!$C$40,IF(G894&lt;60,'General Basis'!$C$41,IF(G894&lt;65,'General Basis'!$C$42,'General Basis'!$C$43)))),IF(G894&lt;11,'General Basis'!$B$39,IF(G894&lt;18,'General Basis'!$B$40,IF(G894&lt;26,'General Basis'!$B$41,IF(G894&lt;31,'General Basis'!$B$42,IF(G894&lt;36,'General Basis'!$B$43,IF(G894&lt;41,'General Basis'!$B$44,IF(G894&lt;46,'General Basis'!$B$45,IF(G894&lt;51,'General Basis'!$B$46,IF(G894&lt;56,'General Basis'!$B$47,IF(G894&lt;60,'General Basis'!$B$48,IF(G894&lt;65,'General Basis'!$B$49,'General Basis'!$B$50)))))))))))))</f>
        <v/>
      </c>
      <c r="BI894" s="744" t="str">
        <f t="shared" si="313"/>
        <v/>
      </c>
      <c r="BJ894" s="747" t="str">
        <f t="shared" si="320"/>
        <v/>
      </c>
      <c r="BK894" s="498" t="str">
        <f t="shared" si="314"/>
        <v/>
      </c>
      <c r="BL894" s="498" t="str">
        <f t="shared" si="315"/>
        <v/>
      </c>
    </row>
    <row r="895" spans="1:64" x14ac:dyDescent="0.25">
      <c r="A895" s="762">
        <f t="shared" si="316"/>
        <v>890</v>
      </c>
      <c r="B895" s="229"/>
      <c r="C895" s="223"/>
      <c r="D895" s="224"/>
      <c r="E895" s="225"/>
      <c r="F895" s="1036" t="str">
        <f t="shared" si="322"/>
        <v/>
      </c>
      <c r="G895" s="1037" t="str">
        <f t="shared" si="317"/>
        <v/>
      </c>
      <c r="H895" s="225"/>
      <c r="I895" s="1013"/>
      <c r="J895" s="1013"/>
      <c r="K895" s="1028"/>
      <c r="L895" s="1035" t="str">
        <f t="shared" si="321"/>
        <v/>
      </c>
      <c r="S895" s="498"/>
      <c r="AJ895" s="498"/>
      <c r="AM895" s="498">
        <f t="shared" si="302"/>
        <v>0</v>
      </c>
      <c r="AN895" s="498">
        <f t="shared" si="303"/>
        <v>0</v>
      </c>
      <c r="AO895" s="498">
        <f t="shared" si="304"/>
        <v>0</v>
      </c>
      <c r="AP895" s="498">
        <f t="shared" si="323"/>
        <v>0</v>
      </c>
      <c r="AQ895" s="498">
        <f t="shared" si="318"/>
        <v>0</v>
      </c>
      <c r="AU895" s="498">
        <f t="shared" si="305"/>
        <v>0</v>
      </c>
      <c r="AV895" s="498">
        <f t="shared" si="306"/>
        <v>0</v>
      </c>
      <c r="AW895" s="498">
        <f t="shared" si="307"/>
        <v>0</v>
      </c>
      <c r="AX895" s="498">
        <f t="shared" si="308"/>
        <v>0</v>
      </c>
      <c r="AY895" s="498">
        <f t="shared" si="309"/>
        <v>0</v>
      </c>
      <c r="BB895" s="498" t="str">
        <f t="shared" si="310"/>
        <v/>
      </c>
      <c r="BC895" s="743" t="str">
        <f t="shared" si="311"/>
        <v/>
      </c>
      <c r="BD895" s="743" t="str">
        <f t="shared" si="312"/>
        <v/>
      </c>
      <c r="BE895" s="743" t="str">
        <f>IF(D895="","",VLOOKUP(D895,'General Basis'!$J$39:$K$46,2,0))</f>
        <v/>
      </c>
      <c r="BF895" s="744" t="str">
        <f>IF(D895="","",VLOOKUP(D895,'General Basis'!$J$39:$L$46,3,0))</f>
        <v/>
      </c>
      <c r="BG895" s="744" t="str">
        <f t="shared" si="319"/>
        <v/>
      </c>
      <c r="BH895" s="744" t="str">
        <f>IF(G895="","",IF(BF895="Abu Dhabi",IF(G895&lt;18,'General Basis'!$C$39,IF(G895&lt;41,'General Basis'!$C$40,IF(G895&lt;60,'General Basis'!$C$41,IF(G895&lt;65,'General Basis'!$C$42,'General Basis'!$C$43)))),IF(G895&lt;11,'General Basis'!$B$39,IF(G895&lt;18,'General Basis'!$B$40,IF(G895&lt;26,'General Basis'!$B$41,IF(G895&lt;31,'General Basis'!$B$42,IF(G895&lt;36,'General Basis'!$B$43,IF(G895&lt;41,'General Basis'!$B$44,IF(G895&lt;46,'General Basis'!$B$45,IF(G895&lt;51,'General Basis'!$B$46,IF(G895&lt;56,'General Basis'!$B$47,IF(G895&lt;60,'General Basis'!$B$48,IF(G895&lt;65,'General Basis'!$B$49,'General Basis'!$B$50)))))))))))))</f>
        <v/>
      </c>
      <c r="BI895" s="744" t="str">
        <f t="shared" si="313"/>
        <v/>
      </c>
      <c r="BJ895" s="747" t="str">
        <f t="shared" si="320"/>
        <v/>
      </c>
      <c r="BK895" s="498" t="str">
        <f t="shared" si="314"/>
        <v/>
      </c>
      <c r="BL895" s="498" t="str">
        <f t="shared" si="315"/>
        <v/>
      </c>
    </row>
    <row r="896" spans="1:64" x14ac:dyDescent="0.25">
      <c r="A896" s="762">
        <f t="shared" si="316"/>
        <v>891</v>
      </c>
      <c r="B896" s="229"/>
      <c r="C896" s="223"/>
      <c r="D896" s="224"/>
      <c r="E896" s="225"/>
      <c r="F896" s="1036" t="str">
        <f t="shared" si="322"/>
        <v/>
      </c>
      <c r="G896" s="1037" t="str">
        <f t="shared" si="317"/>
        <v/>
      </c>
      <c r="H896" s="225"/>
      <c r="I896" s="1013"/>
      <c r="J896" s="1013"/>
      <c r="K896" s="1028"/>
      <c r="L896" s="1035" t="str">
        <f t="shared" si="321"/>
        <v/>
      </c>
      <c r="S896" s="498"/>
      <c r="AJ896" s="498"/>
      <c r="AM896" s="498">
        <f t="shared" si="302"/>
        <v>0</v>
      </c>
      <c r="AN896" s="498">
        <f t="shared" si="303"/>
        <v>0</v>
      </c>
      <c r="AO896" s="498">
        <f t="shared" si="304"/>
        <v>0</v>
      </c>
      <c r="AP896" s="498">
        <f t="shared" si="323"/>
        <v>0</v>
      </c>
      <c r="AQ896" s="498">
        <f t="shared" si="318"/>
        <v>0</v>
      </c>
      <c r="AU896" s="498">
        <f t="shared" si="305"/>
        <v>0</v>
      </c>
      <c r="AV896" s="498">
        <f t="shared" si="306"/>
        <v>0</v>
      </c>
      <c r="AW896" s="498">
        <f t="shared" si="307"/>
        <v>0</v>
      </c>
      <c r="AX896" s="498">
        <f t="shared" si="308"/>
        <v>0</v>
      </c>
      <c r="AY896" s="498">
        <f t="shared" si="309"/>
        <v>0</v>
      </c>
      <c r="BB896" s="498" t="str">
        <f t="shared" si="310"/>
        <v/>
      </c>
      <c r="BC896" s="743" t="str">
        <f t="shared" si="311"/>
        <v/>
      </c>
      <c r="BD896" s="743" t="str">
        <f t="shared" si="312"/>
        <v/>
      </c>
      <c r="BE896" s="743" t="str">
        <f>IF(D896="","",VLOOKUP(D896,'General Basis'!$J$39:$K$46,2,0))</f>
        <v/>
      </c>
      <c r="BF896" s="744" t="str">
        <f>IF(D896="","",VLOOKUP(D896,'General Basis'!$J$39:$L$46,3,0))</f>
        <v/>
      </c>
      <c r="BG896" s="744" t="str">
        <f t="shared" si="319"/>
        <v/>
      </c>
      <c r="BH896" s="744" t="str">
        <f>IF(G896="","",IF(BF896="Abu Dhabi",IF(G896&lt;18,'General Basis'!$C$39,IF(G896&lt;41,'General Basis'!$C$40,IF(G896&lt;60,'General Basis'!$C$41,IF(G896&lt;65,'General Basis'!$C$42,'General Basis'!$C$43)))),IF(G896&lt;11,'General Basis'!$B$39,IF(G896&lt;18,'General Basis'!$B$40,IF(G896&lt;26,'General Basis'!$B$41,IF(G896&lt;31,'General Basis'!$B$42,IF(G896&lt;36,'General Basis'!$B$43,IF(G896&lt;41,'General Basis'!$B$44,IF(G896&lt;46,'General Basis'!$B$45,IF(G896&lt;51,'General Basis'!$B$46,IF(G896&lt;56,'General Basis'!$B$47,IF(G896&lt;60,'General Basis'!$B$48,IF(G896&lt;65,'General Basis'!$B$49,'General Basis'!$B$50)))))))))))))</f>
        <v/>
      </c>
      <c r="BI896" s="744" t="str">
        <f t="shared" si="313"/>
        <v/>
      </c>
      <c r="BJ896" s="747" t="str">
        <f t="shared" si="320"/>
        <v/>
      </c>
      <c r="BK896" s="498" t="str">
        <f t="shared" si="314"/>
        <v/>
      </c>
      <c r="BL896" s="498" t="str">
        <f t="shared" si="315"/>
        <v/>
      </c>
    </row>
    <row r="897" spans="1:64" x14ac:dyDescent="0.25">
      <c r="A897" s="762">
        <f t="shared" si="316"/>
        <v>892</v>
      </c>
      <c r="B897" s="229"/>
      <c r="C897" s="223"/>
      <c r="D897" s="224"/>
      <c r="E897" s="225"/>
      <c r="F897" s="1036" t="str">
        <f t="shared" si="322"/>
        <v/>
      </c>
      <c r="G897" s="1037" t="str">
        <f t="shared" si="317"/>
        <v/>
      </c>
      <c r="H897" s="225"/>
      <c r="I897" s="1013"/>
      <c r="J897" s="1013"/>
      <c r="K897" s="1028"/>
      <c r="L897" s="1035" t="str">
        <f t="shared" si="321"/>
        <v/>
      </c>
      <c r="S897" s="498"/>
      <c r="AJ897" s="498"/>
      <c r="AM897" s="498">
        <f t="shared" si="302"/>
        <v>0</v>
      </c>
      <c r="AN897" s="498">
        <f t="shared" si="303"/>
        <v>0</v>
      </c>
      <c r="AO897" s="498">
        <f t="shared" si="304"/>
        <v>0</v>
      </c>
      <c r="AP897" s="498">
        <f t="shared" si="323"/>
        <v>0</v>
      </c>
      <c r="AQ897" s="498">
        <f t="shared" si="318"/>
        <v>0</v>
      </c>
      <c r="AU897" s="498">
        <f t="shared" si="305"/>
        <v>0</v>
      </c>
      <c r="AV897" s="498">
        <f t="shared" si="306"/>
        <v>0</v>
      </c>
      <c r="AW897" s="498">
        <f t="shared" si="307"/>
        <v>0</v>
      </c>
      <c r="AX897" s="498">
        <f t="shared" si="308"/>
        <v>0</v>
      </c>
      <c r="AY897" s="498">
        <f t="shared" si="309"/>
        <v>0</v>
      </c>
      <c r="BB897" s="498" t="str">
        <f t="shared" si="310"/>
        <v/>
      </c>
      <c r="BC897" s="743" t="str">
        <f t="shared" si="311"/>
        <v/>
      </c>
      <c r="BD897" s="743" t="str">
        <f t="shared" si="312"/>
        <v/>
      </c>
      <c r="BE897" s="743" t="str">
        <f>IF(D897="","",VLOOKUP(D897,'General Basis'!$J$39:$K$46,2,0))</f>
        <v/>
      </c>
      <c r="BF897" s="744" t="str">
        <f>IF(D897="","",VLOOKUP(D897,'General Basis'!$J$39:$L$46,3,0))</f>
        <v/>
      </c>
      <c r="BG897" s="744" t="str">
        <f t="shared" si="319"/>
        <v/>
      </c>
      <c r="BH897" s="744" t="str">
        <f>IF(G897="","",IF(BF897="Abu Dhabi",IF(G897&lt;18,'General Basis'!$C$39,IF(G897&lt;41,'General Basis'!$C$40,IF(G897&lt;60,'General Basis'!$C$41,IF(G897&lt;65,'General Basis'!$C$42,'General Basis'!$C$43)))),IF(G897&lt;11,'General Basis'!$B$39,IF(G897&lt;18,'General Basis'!$B$40,IF(G897&lt;26,'General Basis'!$B$41,IF(G897&lt;31,'General Basis'!$B$42,IF(G897&lt;36,'General Basis'!$B$43,IF(G897&lt;41,'General Basis'!$B$44,IF(G897&lt;46,'General Basis'!$B$45,IF(G897&lt;51,'General Basis'!$B$46,IF(G897&lt;56,'General Basis'!$B$47,IF(G897&lt;60,'General Basis'!$B$48,IF(G897&lt;65,'General Basis'!$B$49,'General Basis'!$B$50)))))))))))))</f>
        <v/>
      </c>
      <c r="BI897" s="744" t="str">
        <f t="shared" si="313"/>
        <v/>
      </c>
      <c r="BJ897" s="747" t="str">
        <f t="shared" si="320"/>
        <v/>
      </c>
      <c r="BK897" s="498" t="str">
        <f t="shared" si="314"/>
        <v/>
      </c>
      <c r="BL897" s="498" t="str">
        <f t="shared" si="315"/>
        <v/>
      </c>
    </row>
    <row r="898" spans="1:64" x14ac:dyDescent="0.25">
      <c r="A898" s="762">
        <f t="shared" si="316"/>
        <v>893</v>
      </c>
      <c r="B898" s="229"/>
      <c r="C898" s="223"/>
      <c r="D898" s="224"/>
      <c r="E898" s="225"/>
      <c r="F898" s="1036" t="str">
        <f t="shared" si="322"/>
        <v/>
      </c>
      <c r="G898" s="1037" t="str">
        <f t="shared" si="317"/>
        <v/>
      </c>
      <c r="H898" s="225"/>
      <c r="I898" s="1013"/>
      <c r="J898" s="1013"/>
      <c r="K898" s="1028"/>
      <c r="L898" s="1035" t="str">
        <f t="shared" si="321"/>
        <v/>
      </c>
      <c r="S898" s="498"/>
      <c r="AJ898" s="498"/>
      <c r="AM898" s="498">
        <f t="shared" si="302"/>
        <v>0</v>
      </c>
      <c r="AN898" s="498">
        <f t="shared" si="303"/>
        <v>0</v>
      </c>
      <c r="AO898" s="498">
        <f t="shared" si="304"/>
        <v>0</v>
      </c>
      <c r="AP898" s="498">
        <f t="shared" si="323"/>
        <v>0</v>
      </c>
      <c r="AQ898" s="498">
        <f t="shared" si="318"/>
        <v>0</v>
      </c>
      <c r="AU898" s="498">
        <f t="shared" si="305"/>
        <v>0</v>
      </c>
      <c r="AV898" s="498">
        <f t="shared" si="306"/>
        <v>0</v>
      </c>
      <c r="AW898" s="498">
        <f t="shared" si="307"/>
        <v>0</v>
      </c>
      <c r="AX898" s="498">
        <f t="shared" si="308"/>
        <v>0</v>
      </c>
      <c r="AY898" s="498">
        <f t="shared" si="309"/>
        <v>0</v>
      </c>
      <c r="BB898" s="498" t="str">
        <f t="shared" si="310"/>
        <v/>
      </c>
      <c r="BC898" s="743" t="str">
        <f t="shared" si="311"/>
        <v/>
      </c>
      <c r="BD898" s="743" t="str">
        <f t="shared" si="312"/>
        <v/>
      </c>
      <c r="BE898" s="743" t="str">
        <f>IF(D898="","",VLOOKUP(D898,'General Basis'!$J$39:$K$46,2,0))</f>
        <v/>
      </c>
      <c r="BF898" s="744" t="str">
        <f>IF(D898="","",VLOOKUP(D898,'General Basis'!$J$39:$L$46,3,0))</f>
        <v/>
      </c>
      <c r="BG898" s="744" t="str">
        <f t="shared" si="319"/>
        <v/>
      </c>
      <c r="BH898" s="744" t="str">
        <f>IF(G898="","",IF(BF898="Abu Dhabi",IF(G898&lt;18,'General Basis'!$C$39,IF(G898&lt;41,'General Basis'!$C$40,IF(G898&lt;60,'General Basis'!$C$41,IF(G898&lt;65,'General Basis'!$C$42,'General Basis'!$C$43)))),IF(G898&lt;11,'General Basis'!$B$39,IF(G898&lt;18,'General Basis'!$B$40,IF(G898&lt;26,'General Basis'!$B$41,IF(G898&lt;31,'General Basis'!$B$42,IF(G898&lt;36,'General Basis'!$B$43,IF(G898&lt;41,'General Basis'!$B$44,IF(G898&lt;46,'General Basis'!$B$45,IF(G898&lt;51,'General Basis'!$B$46,IF(G898&lt;56,'General Basis'!$B$47,IF(G898&lt;60,'General Basis'!$B$48,IF(G898&lt;65,'General Basis'!$B$49,'General Basis'!$B$50)))))))))))))</f>
        <v/>
      </c>
      <c r="BI898" s="744" t="str">
        <f t="shared" si="313"/>
        <v/>
      </c>
      <c r="BJ898" s="747" t="str">
        <f t="shared" si="320"/>
        <v/>
      </c>
      <c r="BK898" s="498" t="str">
        <f t="shared" si="314"/>
        <v/>
      </c>
      <c r="BL898" s="498" t="str">
        <f t="shared" si="315"/>
        <v/>
      </c>
    </row>
    <row r="899" spans="1:64" x14ac:dyDescent="0.25">
      <c r="A899" s="762">
        <f t="shared" si="316"/>
        <v>894</v>
      </c>
      <c r="B899" s="229"/>
      <c r="C899" s="223"/>
      <c r="D899" s="224"/>
      <c r="E899" s="225"/>
      <c r="F899" s="1036" t="str">
        <f t="shared" si="322"/>
        <v/>
      </c>
      <c r="G899" s="1037" t="str">
        <f t="shared" si="317"/>
        <v/>
      </c>
      <c r="H899" s="225"/>
      <c r="I899" s="1013"/>
      <c r="J899" s="1013"/>
      <c r="K899" s="1028"/>
      <c r="L899" s="1035" t="str">
        <f t="shared" si="321"/>
        <v/>
      </c>
      <c r="S899" s="498"/>
      <c r="AJ899" s="498"/>
      <c r="AM899" s="498">
        <f t="shared" si="302"/>
        <v>0</v>
      </c>
      <c r="AN899" s="498">
        <f t="shared" si="303"/>
        <v>0</v>
      </c>
      <c r="AO899" s="498">
        <f t="shared" si="304"/>
        <v>0</v>
      </c>
      <c r="AP899" s="498">
        <f t="shared" si="323"/>
        <v>0</v>
      </c>
      <c r="AQ899" s="498">
        <f t="shared" si="318"/>
        <v>0</v>
      </c>
      <c r="AU899" s="498">
        <f t="shared" si="305"/>
        <v>0</v>
      </c>
      <c r="AV899" s="498">
        <f t="shared" si="306"/>
        <v>0</v>
      </c>
      <c r="AW899" s="498">
        <f t="shared" si="307"/>
        <v>0</v>
      </c>
      <c r="AX899" s="498">
        <f t="shared" si="308"/>
        <v>0</v>
      </c>
      <c r="AY899" s="498">
        <f t="shared" si="309"/>
        <v>0</v>
      </c>
      <c r="BB899" s="498" t="str">
        <f t="shared" si="310"/>
        <v/>
      </c>
      <c r="BC899" s="743" t="str">
        <f t="shared" si="311"/>
        <v/>
      </c>
      <c r="BD899" s="743" t="str">
        <f t="shared" si="312"/>
        <v/>
      </c>
      <c r="BE899" s="743" t="str">
        <f>IF(D899="","",VLOOKUP(D899,'General Basis'!$J$39:$K$46,2,0))</f>
        <v/>
      </c>
      <c r="BF899" s="744" t="str">
        <f>IF(D899="","",VLOOKUP(D899,'General Basis'!$J$39:$L$46,3,0))</f>
        <v/>
      </c>
      <c r="BG899" s="744" t="str">
        <f t="shared" si="319"/>
        <v/>
      </c>
      <c r="BH899" s="744" t="str">
        <f>IF(G899="","",IF(BF899="Abu Dhabi",IF(G899&lt;18,'General Basis'!$C$39,IF(G899&lt;41,'General Basis'!$C$40,IF(G899&lt;60,'General Basis'!$C$41,IF(G899&lt;65,'General Basis'!$C$42,'General Basis'!$C$43)))),IF(G899&lt;11,'General Basis'!$B$39,IF(G899&lt;18,'General Basis'!$B$40,IF(G899&lt;26,'General Basis'!$B$41,IF(G899&lt;31,'General Basis'!$B$42,IF(G899&lt;36,'General Basis'!$B$43,IF(G899&lt;41,'General Basis'!$B$44,IF(G899&lt;46,'General Basis'!$B$45,IF(G899&lt;51,'General Basis'!$B$46,IF(G899&lt;56,'General Basis'!$B$47,IF(G899&lt;60,'General Basis'!$B$48,IF(G899&lt;65,'General Basis'!$B$49,'General Basis'!$B$50)))))))))))))</f>
        <v/>
      </c>
      <c r="BI899" s="744" t="str">
        <f t="shared" si="313"/>
        <v/>
      </c>
      <c r="BJ899" s="747" t="str">
        <f t="shared" si="320"/>
        <v/>
      </c>
      <c r="BK899" s="498" t="str">
        <f t="shared" si="314"/>
        <v/>
      </c>
      <c r="BL899" s="498" t="str">
        <f t="shared" si="315"/>
        <v/>
      </c>
    </row>
    <row r="900" spans="1:64" x14ac:dyDescent="0.25">
      <c r="A900" s="762">
        <f t="shared" si="316"/>
        <v>895</v>
      </c>
      <c r="B900" s="229"/>
      <c r="C900" s="223"/>
      <c r="D900" s="224"/>
      <c r="E900" s="225"/>
      <c r="F900" s="1036" t="str">
        <f t="shared" si="322"/>
        <v/>
      </c>
      <c r="G900" s="1037" t="str">
        <f t="shared" si="317"/>
        <v/>
      </c>
      <c r="H900" s="225"/>
      <c r="I900" s="1013"/>
      <c r="J900" s="1013"/>
      <c r="K900" s="1028"/>
      <c r="L900" s="1035" t="str">
        <f t="shared" si="321"/>
        <v/>
      </c>
      <c r="S900" s="498"/>
      <c r="AJ900" s="498"/>
      <c r="AM900" s="498">
        <f t="shared" si="302"/>
        <v>0</v>
      </c>
      <c r="AN900" s="498">
        <f t="shared" si="303"/>
        <v>0</v>
      </c>
      <c r="AO900" s="498">
        <f t="shared" si="304"/>
        <v>0</v>
      </c>
      <c r="AP900" s="498">
        <f t="shared" si="323"/>
        <v>0</v>
      </c>
      <c r="AQ900" s="498">
        <f t="shared" si="318"/>
        <v>0</v>
      </c>
      <c r="AU900" s="498">
        <f t="shared" si="305"/>
        <v>0</v>
      </c>
      <c r="AV900" s="498">
        <f t="shared" si="306"/>
        <v>0</v>
      </c>
      <c r="AW900" s="498">
        <f t="shared" si="307"/>
        <v>0</v>
      </c>
      <c r="AX900" s="498">
        <f t="shared" si="308"/>
        <v>0</v>
      </c>
      <c r="AY900" s="498">
        <f t="shared" si="309"/>
        <v>0</v>
      </c>
      <c r="BB900" s="498" t="str">
        <f t="shared" si="310"/>
        <v/>
      </c>
      <c r="BC900" s="743" t="str">
        <f t="shared" si="311"/>
        <v/>
      </c>
      <c r="BD900" s="743" t="str">
        <f t="shared" si="312"/>
        <v/>
      </c>
      <c r="BE900" s="743" t="str">
        <f>IF(D900="","",VLOOKUP(D900,'General Basis'!$J$39:$K$46,2,0))</f>
        <v/>
      </c>
      <c r="BF900" s="744" t="str">
        <f>IF(D900="","",VLOOKUP(D900,'General Basis'!$J$39:$L$46,3,0))</f>
        <v/>
      </c>
      <c r="BG900" s="744" t="str">
        <f t="shared" si="319"/>
        <v/>
      </c>
      <c r="BH900" s="744" t="str">
        <f>IF(G900="","",IF(BF900="Abu Dhabi",IF(G900&lt;18,'General Basis'!$C$39,IF(G900&lt;41,'General Basis'!$C$40,IF(G900&lt;60,'General Basis'!$C$41,IF(G900&lt;65,'General Basis'!$C$42,'General Basis'!$C$43)))),IF(G900&lt;11,'General Basis'!$B$39,IF(G900&lt;18,'General Basis'!$B$40,IF(G900&lt;26,'General Basis'!$B$41,IF(G900&lt;31,'General Basis'!$B$42,IF(G900&lt;36,'General Basis'!$B$43,IF(G900&lt;41,'General Basis'!$B$44,IF(G900&lt;46,'General Basis'!$B$45,IF(G900&lt;51,'General Basis'!$B$46,IF(G900&lt;56,'General Basis'!$B$47,IF(G900&lt;60,'General Basis'!$B$48,IF(G900&lt;65,'General Basis'!$B$49,'General Basis'!$B$50)))))))))))))</f>
        <v/>
      </c>
      <c r="BI900" s="744" t="str">
        <f t="shared" si="313"/>
        <v/>
      </c>
      <c r="BJ900" s="747" t="str">
        <f t="shared" si="320"/>
        <v/>
      </c>
      <c r="BK900" s="498" t="str">
        <f t="shared" si="314"/>
        <v/>
      </c>
      <c r="BL900" s="498" t="str">
        <f t="shared" si="315"/>
        <v/>
      </c>
    </row>
    <row r="901" spans="1:64" x14ac:dyDescent="0.25">
      <c r="A901" s="762">
        <f t="shared" si="316"/>
        <v>896</v>
      </c>
      <c r="B901" s="229"/>
      <c r="C901" s="223"/>
      <c r="D901" s="224"/>
      <c r="E901" s="225"/>
      <c r="F901" s="1036" t="str">
        <f t="shared" si="322"/>
        <v/>
      </c>
      <c r="G901" s="1037" t="str">
        <f t="shared" si="317"/>
        <v/>
      </c>
      <c r="H901" s="225"/>
      <c r="I901" s="1013"/>
      <c r="J901" s="1013"/>
      <c r="K901" s="1028"/>
      <c r="L901" s="1035" t="str">
        <f t="shared" si="321"/>
        <v/>
      </c>
      <c r="S901" s="498"/>
      <c r="AJ901" s="498"/>
      <c r="AM901" s="498">
        <f t="shared" si="302"/>
        <v>0</v>
      </c>
      <c r="AN901" s="498">
        <f t="shared" si="303"/>
        <v>0</v>
      </c>
      <c r="AO901" s="498">
        <f t="shared" si="304"/>
        <v>0</v>
      </c>
      <c r="AP901" s="498">
        <f t="shared" si="323"/>
        <v>0</v>
      </c>
      <c r="AQ901" s="498">
        <f t="shared" si="318"/>
        <v>0</v>
      </c>
      <c r="AU901" s="498">
        <f t="shared" si="305"/>
        <v>0</v>
      </c>
      <c r="AV901" s="498">
        <f t="shared" si="306"/>
        <v>0</v>
      </c>
      <c r="AW901" s="498">
        <f t="shared" si="307"/>
        <v>0</v>
      </c>
      <c r="AX901" s="498">
        <f t="shared" si="308"/>
        <v>0</v>
      </c>
      <c r="AY901" s="498">
        <f t="shared" si="309"/>
        <v>0</v>
      </c>
      <c r="BB901" s="498" t="str">
        <f t="shared" si="310"/>
        <v/>
      </c>
      <c r="BC901" s="743" t="str">
        <f t="shared" si="311"/>
        <v/>
      </c>
      <c r="BD901" s="743" t="str">
        <f t="shared" si="312"/>
        <v/>
      </c>
      <c r="BE901" s="743" t="str">
        <f>IF(D901="","",VLOOKUP(D901,'General Basis'!$J$39:$K$46,2,0))</f>
        <v/>
      </c>
      <c r="BF901" s="744" t="str">
        <f>IF(D901="","",VLOOKUP(D901,'General Basis'!$J$39:$L$46,3,0))</f>
        <v/>
      </c>
      <c r="BG901" s="744" t="str">
        <f t="shared" si="319"/>
        <v/>
      </c>
      <c r="BH901" s="744" t="str">
        <f>IF(G901="","",IF(BF901="Abu Dhabi",IF(G901&lt;18,'General Basis'!$C$39,IF(G901&lt;41,'General Basis'!$C$40,IF(G901&lt;60,'General Basis'!$C$41,IF(G901&lt;65,'General Basis'!$C$42,'General Basis'!$C$43)))),IF(G901&lt;11,'General Basis'!$B$39,IF(G901&lt;18,'General Basis'!$B$40,IF(G901&lt;26,'General Basis'!$B$41,IF(G901&lt;31,'General Basis'!$B$42,IF(G901&lt;36,'General Basis'!$B$43,IF(G901&lt;41,'General Basis'!$B$44,IF(G901&lt;46,'General Basis'!$B$45,IF(G901&lt;51,'General Basis'!$B$46,IF(G901&lt;56,'General Basis'!$B$47,IF(G901&lt;60,'General Basis'!$B$48,IF(G901&lt;65,'General Basis'!$B$49,'General Basis'!$B$50)))))))))))))</f>
        <v/>
      </c>
      <c r="BI901" s="744" t="str">
        <f t="shared" si="313"/>
        <v/>
      </c>
      <c r="BJ901" s="747" t="str">
        <f t="shared" si="320"/>
        <v/>
      </c>
      <c r="BK901" s="498" t="str">
        <f t="shared" si="314"/>
        <v/>
      </c>
      <c r="BL901" s="498" t="str">
        <f t="shared" si="315"/>
        <v/>
      </c>
    </row>
    <row r="902" spans="1:64" x14ac:dyDescent="0.25">
      <c r="A902" s="762">
        <f t="shared" si="316"/>
        <v>897</v>
      </c>
      <c r="B902" s="229"/>
      <c r="C902" s="223"/>
      <c r="D902" s="224"/>
      <c r="E902" s="225"/>
      <c r="F902" s="1036" t="str">
        <f t="shared" si="322"/>
        <v/>
      </c>
      <c r="G902" s="1037" t="str">
        <f t="shared" si="317"/>
        <v/>
      </c>
      <c r="H902" s="225"/>
      <c r="I902" s="1013"/>
      <c r="J902" s="1013"/>
      <c r="K902" s="1028"/>
      <c r="L902" s="1035" t="str">
        <f t="shared" si="321"/>
        <v/>
      </c>
      <c r="S902" s="498"/>
      <c r="AJ902" s="498"/>
      <c r="AM902" s="498">
        <f t="shared" ref="AM902:AM965" si="324">IF(ISTEXT(B902),1,0)</f>
        <v>0</v>
      </c>
      <c r="AN902" s="498">
        <f t="shared" ref="AN902:AN965" si="325">IF(ISBLANK(B902),0,IF(B902&lt;$AK$6,1,0))</f>
        <v>0</v>
      </c>
      <c r="AO902" s="498">
        <f t="shared" ref="AO902:AO965" si="326">IF(ISBLANK(B902),0,IF(B902&gt;$AK$7,1,0))</f>
        <v>0</v>
      </c>
      <c r="AP902" s="498">
        <f t="shared" si="323"/>
        <v>0</v>
      </c>
      <c r="AQ902" s="498">
        <f t="shared" si="318"/>
        <v>0</v>
      </c>
      <c r="AU902" s="498">
        <f t="shared" ref="AU902:AU965" si="327">IF(ISBLANK(B902),0,1)</f>
        <v>0</v>
      </c>
      <c r="AV902" s="498">
        <f t="shared" ref="AV902:AV965" si="328">IF(ISBLANK(C902),0,1)</f>
        <v>0</v>
      </c>
      <c r="AW902" s="498">
        <f t="shared" ref="AW902:AW965" si="329">IF(ISBLANK(D902),0,1)</f>
        <v>0</v>
      </c>
      <c r="AX902" s="498">
        <f t="shared" ref="AX902:AX965" si="330">IF(ISBLANK(E902),0,1)</f>
        <v>0</v>
      </c>
      <c r="AY902" s="498">
        <f t="shared" ref="AY902:AY965" si="331">IF(ISBLANK(H902),0,1)</f>
        <v>0</v>
      </c>
      <c r="BB902" s="498" t="str">
        <f t="shared" ref="BB902:BB965" si="332">IF(E902="Principal","Principal",IF(E902="","","Other"))</f>
        <v/>
      </c>
      <c r="BC902" s="743" t="str">
        <f t="shared" ref="BC902:BC965" si="333">IF(D902="","",D902)</f>
        <v/>
      </c>
      <c r="BD902" s="743" t="str">
        <f t="shared" ref="BD902:BD965" si="334">IF(E902="Principal","Employee",IF(E902="","","Dependent"))</f>
        <v/>
      </c>
      <c r="BE902" s="743" t="str">
        <f>IF(D902="","",VLOOKUP(D902,'General Basis'!$J$39:$K$46,2,0))</f>
        <v/>
      </c>
      <c r="BF902" s="744" t="str">
        <f>IF(D902="","",VLOOKUP(D902,'General Basis'!$J$39:$L$46,3,0))</f>
        <v/>
      </c>
      <c r="BG902" s="744" t="str">
        <f t="shared" si="319"/>
        <v/>
      </c>
      <c r="BH902" s="744" t="str">
        <f>IF(G902="","",IF(BF902="Abu Dhabi",IF(G902&lt;18,'General Basis'!$C$39,IF(G902&lt;41,'General Basis'!$C$40,IF(G902&lt;60,'General Basis'!$C$41,IF(G902&lt;65,'General Basis'!$C$42,'General Basis'!$C$43)))),IF(G902&lt;11,'General Basis'!$B$39,IF(G902&lt;18,'General Basis'!$B$40,IF(G902&lt;26,'General Basis'!$B$41,IF(G902&lt;31,'General Basis'!$B$42,IF(G902&lt;36,'General Basis'!$B$43,IF(G902&lt;41,'General Basis'!$B$44,IF(G902&lt;46,'General Basis'!$B$45,IF(G902&lt;51,'General Basis'!$B$46,IF(G902&lt;56,'General Basis'!$B$47,IF(G902&lt;60,'General Basis'!$B$48,IF(G902&lt;65,'General Basis'!$B$49,'General Basis'!$B$50)))))))))))))</f>
        <v/>
      </c>
      <c r="BI902" s="744" t="str">
        <f t="shared" ref="BI902:BI965" si="335">IF(C902="","",IF(C902="M","Male","Female"))</f>
        <v/>
      </c>
      <c r="BJ902" s="747" t="str">
        <f t="shared" si="320"/>
        <v/>
      </c>
      <c r="BK902" s="498" t="str">
        <f t="shared" ref="BK902:BK965" si="336">IF(BD902="","",IF(AND(BD902="Employee",BI902="Male",BF902="Abu Dhabi",BE902=GN_Plus),VLOOKUP(BH902,AUH_MALE_EMP,2,0),IF(AND(BD902="Employee",BI902="Male",BF902="Abu Dhabi",BE902=GN),VLOOKUP(BH902,AUH_MALE_EMP,3,0),IF(AND(BD902="Employee",BI902="Male",BF902="Abu Dhabi",BE902=RN_Plus),VLOOKUP(BH902,AUH_MALE_EMP,4,0),IF(AND(BD902="Employee",BI902="Male",BF902="Abu Dhabi",BE902=RN),VLOOKUP(BH902,AUH_MALE_EMP,5,0),IF(AND(BD902="Employee",BI902="Male",BF902="Abu Dhabi",BE902=RN_2),VLOOKUP(BH902,AUH_MALE_EMP,6,0),IF(AND(BD902="Employee",BI902="Male",BF902="Abu Dhabi",BE902=RN2_minus),VLOOKUP(BH902,AUH_MALE_EMP,7,0),IF(AND(BD902="Employee",BI902="Male",BF902="Abu Dhabi",BE902=RN_3),VLOOKUP(BH902,AUH_MALE_EMP,8,0),IF(AND(BD902="Employee",BI902="Male",BF902="Abu Dhabi",BE902=VN),VLOOKUP(BH902,AUH_MALE_EMP,9,0),IF(BD902="","",IF(AND(BD902="Employee",BI902="Female",BF902="Abu Dhabi",BE902=GN_Plus),VLOOKUP(BH902,AUH_FEMALE_EMP,2,0),IF(AND(BD902="Employee",BI902="Female",BF902="Abu Dhabi",BE902=GN),VLOOKUP(BH902,AUH_FEMALE_EMP,3,0),IF(AND(BD902="Employee",BI902="Female",BF902="Abu Dhabi",BE902=RN_Plus),VLOOKUP(BH902,AUH_FEMALE_EMP,4,0),IF(AND(BD902="Employee",BI902="Female",BF902="Abu Dhabi",BE902=RN),VLOOKUP(BH902,AUH_FEMALE_EMP,5,0),IF(AND(BD902="Employee",BI902="Female",BF902="Abu Dhabi",BE902=RN_2),VLOOKUP(BH902,AUH_FEMALE_EMP,6,0),IF(AND(BD902="Employee",BI902="Female",BF902="Abu Dhabi",BE902=RN2_minus),VLOOKUP(BH902,AUH_FEMALE_EMP,7,0),IF(AND(BD902="Employee",BI902="Female",BF902="Abu Dhabi",BE902=RN_3),VLOOKUP(BH902,AUH_FEMALE_EMP,8,0),IF(AND(BD902="Employee",BI902="Female",BF902="Abu Dhabi",BE902=VN),VLOOKUP(BH902,AUH_FEMALE_EMP,9,0),IF(BD902="","",IF(AND(BD902="Dependent",BI902="Male",BF902="Abu Dhabi",BE902=GN_Plus),VLOOKUP(BH902,AUH_MALE_DEP,2,0),IF(AND(BD902="Dependent",BI902="Male",BF902="Abu Dhabi",BE902=GN),VLOOKUP(BH902,AUH_MALE_DEP,3,0),IF(AND(BD902="Dependent",BI902="Male",BF902="Abu Dhabi",BE902=RN_Plus),VLOOKUP(BH902,AUH_MALE_DEP,4,0),IF(AND(BD902="Dependent",BI902="Male",BF902="Abu Dhabi",BE902=RN),VLOOKUP(BH902,AUH_MALE_DEP,5,0),IF(AND(BD902="Dependent",BI902="Male",BF902="Abu Dhabi",BE902=RN_2),VLOOKUP(BH902,AUH_MALE_DEP,6,0),IF(AND(BD902="Dependent",BI902="Male",BF902="Abu Dhabi",BE902=RN2_minus),VLOOKUP(BH902,AUH_MALE_DEP,7,0),IF(AND(BD902="Dependent",BI902="Male",BF902="Abu Dhabi",BE902=RN_3),VLOOKUP(BH902,AUH_MALE_DEP,8,0),IF(AND(BD902="Dependent",BI902="Male",BF902="Abu Dhabi",BE902=VN),VLOOKUP(BH902,AUH_MALE_DEP,9,0),IF(BD902="","",IF(AND(BD902="Dependent",BI902="Female",BF902="Abu Dhabi",BE902=GN_Plus),VLOOKUP(BH902,AUH_FEMALE_DEP,2,0),IF(AND(BD902="Dependent",BI902="Female",BF902="Abu Dhabi",BE902=GN),VLOOKUP(BH902,AUH_FEMALE_DEP,3,0),IF(AND(BD902="Dependent",BI902="Female",BF902="Abu Dhabi",BE902=RN_Plus),VLOOKUP(BH902,AUH_FEMALE_DEP,4,0),IF(AND(BD902="Dependent",BI902="Female",BF902="Abu Dhabi",BE902=RN),VLOOKUP(BH902,AUH_FEMALE_DEP,5,0),IF(AND(BD902="Dependent",BI902="Female",BF902="Abu Dhabi",BE902=RN_2),VLOOKUP(BH902,AUH_FEMALE_DEP,6,0),IF(AND(BD902="Dependent",BI902="Female",BF902="Abu Dhabi",BE902=RN2_minus),VLOOKUP(BH902,AUH_FEMALE_DEP,7,0),IF(AND(BD902="Dependent",BI902="Female",BF902="Abu Dhabi",BE902=RN_3),VLOOKUP(BH902,AUH_FEMALE_DEP,8,0),IF(AND(BD902="Dependent",BI902="Female",BF902="Abu Dhabi",BE902=VN),VLOOKUP(BH902,AUH_FEMALE_DEP,9,0),"ABC"))))))))))))))))))))))))))))))))))))</f>
        <v/>
      </c>
      <c r="BL902" s="498" t="str">
        <f t="shared" ref="BL902:BL965" si="337">IF(BD902="","",IF(AND(BD902="Employee",BI902="Male",BF902="Dubai",BE902=GN_Plus),VLOOKUP(BH902,DXB_MALE_EMP,2,0),IF(AND(BD902="Employee",BI902="Male",BF902="Dubai",BE902=GN),VLOOKUP(BH902,DXB_MALE_EMP,3,0),IF(AND(BD902="Employee",BI902="Male",BF902="Dubai",BE902=RN_Plus),VLOOKUP(BH902,DXB_MALE_EMP,4,0),IF(AND(BD902="Employee",BI902="Male",BF902="Dubai",BE902=RN),VLOOKUP(BH902,DXB_MALE_EMP,5,0),IF(AND(BD902="Employee",BI902="Male",BF902="Dubai",BE902=RN_2),VLOOKUP(BH902,DXB_MALE_EMP,6,0),IF(AND(BD902="Employee",BI902="Male",BF902="Dubai",BE902=RN2_minus),VLOOKUP(BH902,DXB_MALE_EMP,7,0),IF(AND(BD902="Employee",BI902="Male",BF902="Dubai",BE902=RN_3),VLOOKUP(BH902,DXB_MALE_EMP,8,0),IF(AND(BD902="Employee",BI902="Male",BF902="Dubai",BE902=VN),VLOOKUP(BH902,DXB_MALE_EMP,9,0),IF(BD902="","",IF(AND(BD902="Employee",BI902="Female",BF902="Dubai",BE902=GN_Plus),VLOOKUP(BH902,DXB_FEMALE_EMP,2,0),IF(AND(BD902="Employee",BI902="Female",BF902="Dubai",BE902=GN),VLOOKUP(BH902,DXB_FEMALE_EMP,3,0),IF(AND(BD902="Employee",BI902="Female",BF902="Dubai",BE902=RN_Plus),VLOOKUP(BH902,DXB_FEMALE_EMP,4,0),IF(AND(BD902="Employee",BI902="Female",BF902="Dubai",BE902=RN),VLOOKUP(BH902,DXB_FEMALE_EMP,5,0),IF(AND(BD902="Employee",BI902="Female",BF902="Dubai",BE902=RN_2),VLOOKUP(BH902,DXB_FEMALE_EMP,6,0),IF(AND(BD902="Employee",BI902="Female",BF902="Dubai",BE902=RN2_minus),VLOOKUP(BH902,DXB_FEMALE_EMP,7,0),IF(AND(BD902="Employee",BI902="Female",BF902="Dubai",BE902=RN_3),VLOOKUP(BH902,DXB_FEMALE_EMP,8,0),IF(AND(BD902="Employee",BI902="Female",BF902="Dubai",BE902=VN),VLOOKUP(BH902,DXB_FEMALE_EMP,9,0),IF(BD902="","",IF(AND(BD902="Dependent",BI902="Male",BF902="Dubai",BE902=GN_Plus),VLOOKUP(BH902,DXB_MALE_DEP,2,0),IF(AND(BD902="Dependent",BI902="Male",BF902="Dubai",BE902=GN),VLOOKUP(BH902,DXB_MALE_DEP,3,0),IF(AND(BD902="Dependent",BI902="Male",BF902="Dubai",BE902=RN_Plus),VLOOKUP(BH902,DXB_MALE_DEP,4,0),IF(AND(BD902="Dependent",BI902="Male",BF902="Dubai",BE902=RN),VLOOKUP(BH902,DXB_MALE_DEP,5,0),IF(AND(BD902="Dependent",BI902="Male",BF902="Dubai",BE902=RN_2),VLOOKUP(BH902,DXB_MALE_DEP,6,0),IF(AND(BD902="Dependent",BI902="Male",BF902="Dubai",BE902=RN2_minus),VLOOKUP(BH902,DXB_MALE_DEP,7,0),IF(AND(BD902="Dependent",BI902="Male",BF902="Dubai",BE902=RN_3),VLOOKUP(BH902,DXB_MALE_DEP,8,0),IF(AND(BD902="Dependent",BI902="Male",BF902="Dubai",BE902=VN),VLOOKUP(BH902,DXB_MALE_DEP,9,0),IF(BD902="","",IF(AND(BD902="Dependent",BI902="Female",BF902="Dubai",BE902=GN_Plus),VLOOKUP(BH902,DXB_FEMALE_DEP,2,0),IF(AND(BD902="Dependent",BI902="Female",BF902="Dubai",BE902=GN),VLOOKUP(BH902,DXB_FEMALE_DEP,3,0),IF(AND(BD902="Dependent",BI902="Female",BF902="Dubai",BE902=RN_Plus),VLOOKUP(BH902,DXB_FEMALE_DEP,4,0),IF(AND(BD902="Dependent",BI902="Female",BF902="Dubai",BE902=RN),VLOOKUP(BH902,DXB_FEMALE_DEP,5,0),IF(AND(BD902="Dependent",BI902="Female",BF902="Dubai",BE902=RN_2),VLOOKUP(BH902,DXB_FEMALE_DEP,6,0),IF(AND(BD902="Dependent",BI902="Female",BF902="Dubai",BE902=RN2_minus),VLOOKUP(BH902,DXB_FEMALE_DEP,7,0),IF(AND(BD902="Dependent",BI902="Female",BF902="Dubai",BE902=RN_3),VLOOKUP(BH902,DXB_FEMALE_DEP,8,0),IF(AND(BD902="Dependent",BI902="Female",BF902="Dubai",BE902=VN),VLOOKUP(BH902,DXB_FEMALE_DEP,9,0),"ABC"))))))))))))))))))))))))))))))))))))</f>
        <v/>
      </c>
    </row>
    <row r="903" spans="1:64" x14ac:dyDescent="0.25">
      <c r="A903" s="762">
        <f t="shared" ref="A903:A966" si="338">+A902+1</f>
        <v>898</v>
      </c>
      <c r="B903" s="229"/>
      <c r="C903" s="223"/>
      <c r="D903" s="224"/>
      <c r="E903" s="225"/>
      <c r="F903" s="1036" t="str">
        <f t="shared" si="322"/>
        <v/>
      </c>
      <c r="G903" s="1037" t="str">
        <f t="shared" ref="G903:G966" si="339">IF(D903="","",MAX(0,ROUNDUP(F903,0)))</f>
        <v/>
      </c>
      <c r="H903" s="225"/>
      <c r="I903" s="1013"/>
      <c r="J903" s="1013"/>
      <c r="K903" s="1028"/>
      <c r="L903" s="1035" t="str">
        <f t="shared" si="321"/>
        <v/>
      </c>
      <c r="S903" s="498"/>
      <c r="AJ903" s="498"/>
      <c r="AM903" s="498">
        <f t="shared" si="324"/>
        <v>0</v>
      </c>
      <c r="AN903" s="498">
        <f t="shared" si="325"/>
        <v>0</v>
      </c>
      <c r="AO903" s="498">
        <f t="shared" si="326"/>
        <v>0</v>
      </c>
      <c r="AP903" s="498">
        <f t="shared" si="323"/>
        <v>0</v>
      </c>
      <c r="AQ903" s="498">
        <f t="shared" ref="AQ903:AQ966" si="340">IF(ISBLANK($B903),0,IF(OR($H903="Single",$H903="Married"),0,1))</f>
        <v>0</v>
      </c>
      <c r="AU903" s="498">
        <f t="shared" si="327"/>
        <v>0</v>
      </c>
      <c r="AV903" s="498">
        <f t="shared" si="328"/>
        <v>0</v>
      </c>
      <c r="AW903" s="498">
        <f t="shared" si="329"/>
        <v>0</v>
      </c>
      <c r="AX903" s="498">
        <f t="shared" si="330"/>
        <v>0</v>
      </c>
      <c r="AY903" s="498">
        <f t="shared" si="331"/>
        <v>0</v>
      </c>
      <c r="BB903" s="498" t="str">
        <f t="shared" si="332"/>
        <v/>
      </c>
      <c r="BC903" s="743" t="str">
        <f t="shared" si="333"/>
        <v/>
      </c>
      <c r="BD903" s="743" t="str">
        <f t="shared" si="334"/>
        <v/>
      </c>
      <c r="BE903" s="743" t="str">
        <f>IF(D903="","",VLOOKUP(D903,'General Basis'!$J$39:$K$46,2,0))</f>
        <v/>
      </c>
      <c r="BF903" s="744" t="str">
        <f>IF(D903="","",VLOOKUP(D903,'General Basis'!$J$39:$L$46,3,0))</f>
        <v/>
      </c>
      <c r="BG903" s="744" t="str">
        <f t="shared" ref="BG903:BG966" si="341">BC903&amp;BI903</f>
        <v/>
      </c>
      <c r="BH903" s="744" t="str">
        <f>IF(G903="","",IF(BF903="Abu Dhabi",IF(G903&lt;18,'General Basis'!$C$39,IF(G903&lt;41,'General Basis'!$C$40,IF(G903&lt;60,'General Basis'!$C$41,IF(G903&lt;65,'General Basis'!$C$42,'General Basis'!$C$43)))),IF(G903&lt;11,'General Basis'!$B$39,IF(G903&lt;18,'General Basis'!$B$40,IF(G903&lt;26,'General Basis'!$B$41,IF(G903&lt;31,'General Basis'!$B$42,IF(G903&lt;36,'General Basis'!$B$43,IF(G903&lt;41,'General Basis'!$B$44,IF(G903&lt;46,'General Basis'!$B$45,IF(G903&lt;51,'General Basis'!$B$46,IF(G903&lt;56,'General Basis'!$B$47,IF(G903&lt;60,'General Basis'!$B$48,IF(G903&lt;65,'General Basis'!$B$49,'General Basis'!$B$50)))))))))))))</f>
        <v/>
      </c>
      <c r="BI903" s="744" t="str">
        <f t="shared" si="335"/>
        <v/>
      </c>
      <c r="BJ903" s="747" t="str">
        <f t="shared" ref="BJ903:BJ966" si="342">IF(BD903="","",IF(BF903="Abu Dhabi",BK903,BL903))</f>
        <v/>
      </c>
      <c r="BK903" s="498" t="str">
        <f t="shared" si="336"/>
        <v/>
      </c>
      <c r="BL903" s="498" t="str">
        <f t="shared" si="337"/>
        <v/>
      </c>
    </row>
    <row r="904" spans="1:64" x14ac:dyDescent="0.25">
      <c r="A904" s="762">
        <f t="shared" si="338"/>
        <v>899</v>
      </c>
      <c r="B904" s="229"/>
      <c r="C904" s="223"/>
      <c r="D904" s="224"/>
      <c r="E904" s="225"/>
      <c r="F904" s="1036" t="str">
        <f t="shared" si="322"/>
        <v/>
      </c>
      <c r="G904" s="1037" t="str">
        <f t="shared" si="339"/>
        <v/>
      </c>
      <c r="H904" s="225"/>
      <c r="I904" s="1013"/>
      <c r="J904" s="1013"/>
      <c r="K904" s="1028"/>
      <c r="L904" s="1035" t="str">
        <f t="shared" ref="L904:L967" si="343">IF(AND(E904="Child",H904="Married"),"Check the Marital Status of the Child. ",IF(AND(E904="Child",F904&gt;18),"Child Age exceed 18 years. ",IF(AND(E904="Spouse",H904="Single"),"Spouse is selected as Single. ","")))&amp;IF(K904&gt;0,"UW Loading has been Applied","")</f>
        <v/>
      </c>
      <c r="S904" s="498"/>
      <c r="AJ904" s="498"/>
      <c r="AM904" s="498">
        <f t="shared" si="324"/>
        <v>0</v>
      </c>
      <c r="AN904" s="498">
        <f t="shared" si="325"/>
        <v>0</v>
      </c>
      <c r="AO904" s="498">
        <f t="shared" si="326"/>
        <v>0</v>
      </c>
      <c r="AP904" s="498">
        <f t="shared" si="323"/>
        <v>0</v>
      </c>
      <c r="AQ904" s="498">
        <f t="shared" si="340"/>
        <v>0</v>
      </c>
      <c r="AU904" s="498">
        <f t="shared" si="327"/>
        <v>0</v>
      </c>
      <c r="AV904" s="498">
        <f t="shared" si="328"/>
        <v>0</v>
      </c>
      <c r="AW904" s="498">
        <f t="shared" si="329"/>
        <v>0</v>
      </c>
      <c r="AX904" s="498">
        <f t="shared" si="330"/>
        <v>0</v>
      </c>
      <c r="AY904" s="498">
        <f t="shared" si="331"/>
        <v>0</v>
      </c>
      <c r="BB904" s="498" t="str">
        <f t="shared" si="332"/>
        <v/>
      </c>
      <c r="BC904" s="743" t="str">
        <f t="shared" si="333"/>
        <v/>
      </c>
      <c r="BD904" s="743" t="str">
        <f t="shared" si="334"/>
        <v/>
      </c>
      <c r="BE904" s="743" t="str">
        <f>IF(D904="","",VLOOKUP(D904,'General Basis'!$J$39:$K$46,2,0))</f>
        <v/>
      </c>
      <c r="BF904" s="744" t="str">
        <f>IF(D904="","",VLOOKUP(D904,'General Basis'!$J$39:$L$46,3,0))</f>
        <v/>
      </c>
      <c r="BG904" s="744" t="str">
        <f t="shared" si="341"/>
        <v/>
      </c>
      <c r="BH904" s="744" t="str">
        <f>IF(G904="","",IF(BF904="Abu Dhabi",IF(G904&lt;18,'General Basis'!$C$39,IF(G904&lt;41,'General Basis'!$C$40,IF(G904&lt;60,'General Basis'!$C$41,IF(G904&lt;65,'General Basis'!$C$42,'General Basis'!$C$43)))),IF(G904&lt;11,'General Basis'!$B$39,IF(G904&lt;18,'General Basis'!$B$40,IF(G904&lt;26,'General Basis'!$B$41,IF(G904&lt;31,'General Basis'!$B$42,IF(G904&lt;36,'General Basis'!$B$43,IF(G904&lt;41,'General Basis'!$B$44,IF(G904&lt;46,'General Basis'!$B$45,IF(G904&lt;51,'General Basis'!$B$46,IF(G904&lt;56,'General Basis'!$B$47,IF(G904&lt;60,'General Basis'!$B$48,IF(G904&lt;65,'General Basis'!$B$49,'General Basis'!$B$50)))))))))))))</f>
        <v/>
      </c>
      <c r="BI904" s="744" t="str">
        <f t="shared" si="335"/>
        <v/>
      </c>
      <c r="BJ904" s="747" t="str">
        <f t="shared" si="342"/>
        <v/>
      </c>
      <c r="BK904" s="498" t="str">
        <f t="shared" si="336"/>
        <v/>
      </c>
      <c r="BL904" s="498" t="str">
        <f t="shared" si="337"/>
        <v/>
      </c>
    </row>
    <row r="905" spans="1:64" x14ac:dyDescent="0.25">
      <c r="A905" s="762">
        <f t="shared" si="338"/>
        <v>900</v>
      </c>
      <c r="B905" s="229"/>
      <c r="C905" s="223"/>
      <c r="D905" s="224"/>
      <c r="E905" s="225"/>
      <c r="F905" s="1036" t="str">
        <f t="shared" si="322"/>
        <v/>
      </c>
      <c r="G905" s="1037" t="str">
        <f t="shared" si="339"/>
        <v/>
      </c>
      <c r="H905" s="225"/>
      <c r="I905" s="1013"/>
      <c r="J905" s="1013"/>
      <c r="K905" s="1028"/>
      <c r="L905" s="1035" t="str">
        <f t="shared" si="343"/>
        <v/>
      </c>
      <c r="S905" s="498"/>
      <c r="AJ905" s="498"/>
      <c r="AM905" s="498">
        <f t="shared" si="324"/>
        <v>0</v>
      </c>
      <c r="AN905" s="498">
        <f t="shared" si="325"/>
        <v>0</v>
      </c>
      <c r="AO905" s="498">
        <f t="shared" si="326"/>
        <v>0</v>
      </c>
      <c r="AP905" s="498">
        <f t="shared" si="323"/>
        <v>0</v>
      </c>
      <c r="AQ905" s="498">
        <f t="shared" si="340"/>
        <v>0</v>
      </c>
      <c r="AU905" s="498">
        <f t="shared" si="327"/>
        <v>0</v>
      </c>
      <c r="AV905" s="498">
        <f t="shared" si="328"/>
        <v>0</v>
      </c>
      <c r="AW905" s="498">
        <f t="shared" si="329"/>
        <v>0</v>
      </c>
      <c r="AX905" s="498">
        <f t="shared" si="330"/>
        <v>0</v>
      </c>
      <c r="AY905" s="498">
        <f t="shared" si="331"/>
        <v>0</v>
      </c>
      <c r="BB905" s="498" t="str">
        <f t="shared" si="332"/>
        <v/>
      </c>
      <c r="BC905" s="743" t="str">
        <f t="shared" si="333"/>
        <v/>
      </c>
      <c r="BD905" s="743" t="str">
        <f t="shared" si="334"/>
        <v/>
      </c>
      <c r="BE905" s="743" t="str">
        <f>IF(D905="","",VLOOKUP(D905,'General Basis'!$J$39:$K$46,2,0))</f>
        <v/>
      </c>
      <c r="BF905" s="744" t="str">
        <f>IF(D905="","",VLOOKUP(D905,'General Basis'!$J$39:$L$46,3,0))</f>
        <v/>
      </c>
      <c r="BG905" s="744" t="str">
        <f t="shared" si="341"/>
        <v/>
      </c>
      <c r="BH905" s="744" t="str">
        <f>IF(G905="","",IF(BF905="Abu Dhabi",IF(G905&lt;18,'General Basis'!$C$39,IF(G905&lt;41,'General Basis'!$C$40,IF(G905&lt;60,'General Basis'!$C$41,IF(G905&lt;65,'General Basis'!$C$42,'General Basis'!$C$43)))),IF(G905&lt;11,'General Basis'!$B$39,IF(G905&lt;18,'General Basis'!$B$40,IF(G905&lt;26,'General Basis'!$B$41,IF(G905&lt;31,'General Basis'!$B$42,IF(G905&lt;36,'General Basis'!$B$43,IF(G905&lt;41,'General Basis'!$B$44,IF(G905&lt;46,'General Basis'!$B$45,IF(G905&lt;51,'General Basis'!$B$46,IF(G905&lt;56,'General Basis'!$B$47,IF(G905&lt;60,'General Basis'!$B$48,IF(G905&lt;65,'General Basis'!$B$49,'General Basis'!$B$50)))))))))))))</f>
        <v/>
      </c>
      <c r="BI905" s="744" t="str">
        <f t="shared" si="335"/>
        <v/>
      </c>
      <c r="BJ905" s="747" t="str">
        <f t="shared" si="342"/>
        <v/>
      </c>
      <c r="BK905" s="498" t="str">
        <f t="shared" si="336"/>
        <v/>
      </c>
      <c r="BL905" s="498" t="str">
        <f t="shared" si="337"/>
        <v/>
      </c>
    </row>
    <row r="906" spans="1:64" x14ac:dyDescent="0.25">
      <c r="A906" s="762">
        <f t="shared" si="338"/>
        <v>901</v>
      </c>
      <c r="B906" s="229"/>
      <c r="C906" s="223"/>
      <c r="D906" s="224"/>
      <c r="E906" s="225"/>
      <c r="F906" s="1036" t="str">
        <f t="shared" si="322"/>
        <v/>
      </c>
      <c r="G906" s="1037" t="str">
        <f t="shared" si="339"/>
        <v/>
      </c>
      <c r="H906" s="225"/>
      <c r="I906" s="1013"/>
      <c r="J906" s="1013"/>
      <c r="K906" s="1028"/>
      <c r="L906" s="1035" t="str">
        <f t="shared" si="343"/>
        <v/>
      </c>
      <c r="S906" s="498"/>
      <c r="AJ906" s="498"/>
      <c r="AM906" s="498">
        <f t="shared" si="324"/>
        <v>0</v>
      </c>
      <c r="AN906" s="498">
        <f t="shared" si="325"/>
        <v>0</v>
      </c>
      <c r="AO906" s="498">
        <f t="shared" si="326"/>
        <v>0</v>
      </c>
      <c r="AP906" s="498">
        <f t="shared" si="323"/>
        <v>0</v>
      </c>
      <c r="AQ906" s="498">
        <f t="shared" si="340"/>
        <v>0</v>
      </c>
      <c r="AU906" s="498">
        <f t="shared" si="327"/>
        <v>0</v>
      </c>
      <c r="AV906" s="498">
        <f t="shared" si="328"/>
        <v>0</v>
      </c>
      <c r="AW906" s="498">
        <f t="shared" si="329"/>
        <v>0</v>
      </c>
      <c r="AX906" s="498">
        <f t="shared" si="330"/>
        <v>0</v>
      </c>
      <c r="AY906" s="498">
        <f t="shared" si="331"/>
        <v>0</v>
      </c>
      <c r="BB906" s="498" t="str">
        <f t="shared" si="332"/>
        <v/>
      </c>
      <c r="BC906" s="743" t="str">
        <f t="shared" si="333"/>
        <v/>
      </c>
      <c r="BD906" s="743" t="str">
        <f t="shared" si="334"/>
        <v/>
      </c>
      <c r="BE906" s="743" t="str">
        <f>IF(D906="","",VLOOKUP(D906,'General Basis'!$J$39:$K$46,2,0))</f>
        <v/>
      </c>
      <c r="BF906" s="744" t="str">
        <f>IF(D906="","",VLOOKUP(D906,'General Basis'!$J$39:$L$46,3,0))</f>
        <v/>
      </c>
      <c r="BG906" s="744" t="str">
        <f t="shared" si="341"/>
        <v/>
      </c>
      <c r="BH906" s="744" t="str">
        <f>IF(G906="","",IF(BF906="Abu Dhabi",IF(G906&lt;18,'General Basis'!$C$39,IF(G906&lt;41,'General Basis'!$C$40,IF(G906&lt;60,'General Basis'!$C$41,IF(G906&lt;65,'General Basis'!$C$42,'General Basis'!$C$43)))),IF(G906&lt;11,'General Basis'!$B$39,IF(G906&lt;18,'General Basis'!$B$40,IF(G906&lt;26,'General Basis'!$B$41,IF(G906&lt;31,'General Basis'!$B$42,IF(G906&lt;36,'General Basis'!$B$43,IF(G906&lt;41,'General Basis'!$B$44,IF(G906&lt;46,'General Basis'!$B$45,IF(G906&lt;51,'General Basis'!$B$46,IF(G906&lt;56,'General Basis'!$B$47,IF(G906&lt;60,'General Basis'!$B$48,IF(G906&lt;65,'General Basis'!$B$49,'General Basis'!$B$50)))))))))))))</f>
        <v/>
      </c>
      <c r="BI906" s="744" t="str">
        <f t="shared" si="335"/>
        <v/>
      </c>
      <c r="BJ906" s="747" t="str">
        <f t="shared" si="342"/>
        <v/>
      </c>
      <c r="BK906" s="498" t="str">
        <f t="shared" si="336"/>
        <v/>
      </c>
      <c r="BL906" s="498" t="str">
        <f t="shared" si="337"/>
        <v/>
      </c>
    </row>
    <row r="907" spans="1:64" x14ac:dyDescent="0.25">
      <c r="A907" s="762">
        <f t="shared" si="338"/>
        <v>902</v>
      </c>
      <c r="B907" s="229"/>
      <c r="C907" s="223"/>
      <c r="D907" s="224"/>
      <c r="E907" s="225"/>
      <c r="F907" s="1036" t="str">
        <f t="shared" si="322"/>
        <v/>
      </c>
      <c r="G907" s="1037" t="str">
        <f t="shared" si="339"/>
        <v/>
      </c>
      <c r="H907" s="225"/>
      <c r="I907" s="1013"/>
      <c r="J907" s="1013"/>
      <c r="K907" s="1028"/>
      <c r="L907" s="1035" t="str">
        <f t="shared" si="343"/>
        <v/>
      </c>
      <c r="S907" s="498"/>
      <c r="AJ907" s="498"/>
      <c r="AM907" s="498">
        <f t="shared" si="324"/>
        <v>0</v>
      </c>
      <c r="AN907" s="498">
        <f t="shared" si="325"/>
        <v>0</v>
      </c>
      <c r="AO907" s="498">
        <f t="shared" si="326"/>
        <v>0</v>
      </c>
      <c r="AP907" s="498">
        <f t="shared" si="323"/>
        <v>0</v>
      </c>
      <c r="AQ907" s="498">
        <f t="shared" si="340"/>
        <v>0</v>
      </c>
      <c r="AU907" s="498">
        <f t="shared" si="327"/>
        <v>0</v>
      </c>
      <c r="AV907" s="498">
        <f t="shared" si="328"/>
        <v>0</v>
      </c>
      <c r="AW907" s="498">
        <f t="shared" si="329"/>
        <v>0</v>
      </c>
      <c r="AX907" s="498">
        <f t="shared" si="330"/>
        <v>0</v>
      </c>
      <c r="AY907" s="498">
        <f t="shared" si="331"/>
        <v>0</v>
      </c>
      <c r="BB907" s="498" t="str">
        <f t="shared" si="332"/>
        <v/>
      </c>
      <c r="BC907" s="743" t="str">
        <f t="shared" si="333"/>
        <v/>
      </c>
      <c r="BD907" s="743" t="str">
        <f t="shared" si="334"/>
        <v/>
      </c>
      <c r="BE907" s="743" t="str">
        <f>IF(D907="","",VLOOKUP(D907,'General Basis'!$J$39:$K$46,2,0))</f>
        <v/>
      </c>
      <c r="BF907" s="744" t="str">
        <f>IF(D907="","",VLOOKUP(D907,'General Basis'!$J$39:$L$46,3,0))</f>
        <v/>
      </c>
      <c r="BG907" s="744" t="str">
        <f t="shared" si="341"/>
        <v/>
      </c>
      <c r="BH907" s="744" t="str">
        <f>IF(G907="","",IF(BF907="Abu Dhabi",IF(G907&lt;18,'General Basis'!$C$39,IF(G907&lt;41,'General Basis'!$C$40,IF(G907&lt;60,'General Basis'!$C$41,IF(G907&lt;65,'General Basis'!$C$42,'General Basis'!$C$43)))),IF(G907&lt;11,'General Basis'!$B$39,IF(G907&lt;18,'General Basis'!$B$40,IF(G907&lt;26,'General Basis'!$B$41,IF(G907&lt;31,'General Basis'!$B$42,IF(G907&lt;36,'General Basis'!$B$43,IF(G907&lt;41,'General Basis'!$B$44,IF(G907&lt;46,'General Basis'!$B$45,IF(G907&lt;51,'General Basis'!$B$46,IF(G907&lt;56,'General Basis'!$B$47,IF(G907&lt;60,'General Basis'!$B$48,IF(G907&lt;65,'General Basis'!$B$49,'General Basis'!$B$50)))))))))))))</f>
        <v/>
      </c>
      <c r="BI907" s="744" t="str">
        <f t="shared" si="335"/>
        <v/>
      </c>
      <c r="BJ907" s="747" t="str">
        <f t="shared" si="342"/>
        <v/>
      </c>
      <c r="BK907" s="498" t="str">
        <f t="shared" si="336"/>
        <v/>
      </c>
      <c r="BL907" s="498" t="str">
        <f t="shared" si="337"/>
        <v/>
      </c>
    </row>
    <row r="908" spans="1:64" x14ac:dyDescent="0.25">
      <c r="A908" s="762">
        <f t="shared" si="338"/>
        <v>903</v>
      </c>
      <c r="B908" s="229"/>
      <c r="C908" s="223"/>
      <c r="D908" s="224"/>
      <c r="E908" s="225"/>
      <c r="F908" s="1036" t="str">
        <f t="shared" si="322"/>
        <v/>
      </c>
      <c r="G908" s="1037" t="str">
        <f t="shared" si="339"/>
        <v/>
      </c>
      <c r="H908" s="225"/>
      <c r="I908" s="1013"/>
      <c r="J908" s="1013"/>
      <c r="K908" s="1028"/>
      <c r="L908" s="1035" t="str">
        <f t="shared" si="343"/>
        <v/>
      </c>
      <c r="S908" s="498"/>
      <c r="AJ908" s="498"/>
      <c r="AM908" s="498">
        <f t="shared" si="324"/>
        <v>0</v>
      </c>
      <c r="AN908" s="498">
        <f t="shared" si="325"/>
        <v>0</v>
      </c>
      <c r="AO908" s="498">
        <f t="shared" si="326"/>
        <v>0</v>
      </c>
      <c r="AP908" s="498">
        <f t="shared" si="323"/>
        <v>0</v>
      </c>
      <c r="AQ908" s="498">
        <f t="shared" si="340"/>
        <v>0</v>
      </c>
      <c r="AU908" s="498">
        <f t="shared" si="327"/>
        <v>0</v>
      </c>
      <c r="AV908" s="498">
        <f t="shared" si="328"/>
        <v>0</v>
      </c>
      <c r="AW908" s="498">
        <f t="shared" si="329"/>
        <v>0</v>
      </c>
      <c r="AX908" s="498">
        <f t="shared" si="330"/>
        <v>0</v>
      </c>
      <c r="AY908" s="498">
        <f t="shared" si="331"/>
        <v>0</v>
      </c>
      <c r="BB908" s="498" t="str">
        <f t="shared" si="332"/>
        <v/>
      </c>
      <c r="BC908" s="743" t="str">
        <f t="shared" si="333"/>
        <v/>
      </c>
      <c r="BD908" s="743" t="str">
        <f t="shared" si="334"/>
        <v/>
      </c>
      <c r="BE908" s="743" t="str">
        <f>IF(D908="","",VLOOKUP(D908,'General Basis'!$J$39:$K$46,2,0))</f>
        <v/>
      </c>
      <c r="BF908" s="744" t="str">
        <f>IF(D908="","",VLOOKUP(D908,'General Basis'!$J$39:$L$46,3,0))</f>
        <v/>
      </c>
      <c r="BG908" s="744" t="str">
        <f t="shared" si="341"/>
        <v/>
      </c>
      <c r="BH908" s="744" t="str">
        <f>IF(G908="","",IF(BF908="Abu Dhabi",IF(G908&lt;18,'General Basis'!$C$39,IF(G908&lt;41,'General Basis'!$C$40,IF(G908&lt;60,'General Basis'!$C$41,IF(G908&lt;65,'General Basis'!$C$42,'General Basis'!$C$43)))),IF(G908&lt;11,'General Basis'!$B$39,IF(G908&lt;18,'General Basis'!$B$40,IF(G908&lt;26,'General Basis'!$B$41,IF(G908&lt;31,'General Basis'!$B$42,IF(G908&lt;36,'General Basis'!$B$43,IF(G908&lt;41,'General Basis'!$B$44,IF(G908&lt;46,'General Basis'!$B$45,IF(G908&lt;51,'General Basis'!$B$46,IF(G908&lt;56,'General Basis'!$B$47,IF(G908&lt;60,'General Basis'!$B$48,IF(G908&lt;65,'General Basis'!$B$49,'General Basis'!$B$50)))))))))))))</f>
        <v/>
      </c>
      <c r="BI908" s="744" t="str">
        <f t="shared" si="335"/>
        <v/>
      </c>
      <c r="BJ908" s="747" t="str">
        <f t="shared" si="342"/>
        <v/>
      </c>
      <c r="BK908" s="498" t="str">
        <f t="shared" si="336"/>
        <v/>
      </c>
      <c r="BL908" s="498" t="str">
        <f t="shared" si="337"/>
        <v/>
      </c>
    </row>
    <row r="909" spans="1:64" x14ac:dyDescent="0.25">
      <c r="A909" s="762">
        <f t="shared" si="338"/>
        <v>904</v>
      </c>
      <c r="B909" s="229"/>
      <c r="C909" s="223"/>
      <c r="D909" s="224"/>
      <c r="E909" s="225"/>
      <c r="F909" s="1036" t="str">
        <f t="shared" si="322"/>
        <v/>
      </c>
      <c r="G909" s="1037" t="str">
        <f t="shared" si="339"/>
        <v/>
      </c>
      <c r="H909" s="225"/>
      <c r="I909" s="1013"/>
      <c r="J909" s="1013"/>
      <c r="K909" s="1028"/>
      <c r="L909" s="1035" t="str">
        <f t="shared" si="343"/>
        <v/>
      </c>
      <c r="S909" s="498"/>
      <c r="AJ909" s="498"/>
      <c r="AM909" s="498">
        <f t="shared" si="324"/>
        <v>0</v>
      </c>
      <c r="AN909" s="498">
        <f t="shared" si="325"/>
        <v>0</v>
      </c>
      <c r="AO909" s="498">
        <f t="shared" si="326"/>
        <v>0</v>
      </c>
      <c r="AP909" s="498">
        <f t="shared" si="323"/>
        <v>0</v>
      </c>
      <c r="AQ909" s="498">
        <f t="shared" si="340"/>
        <v>0</v>
      </c>
      <c r="AU909" s="498">
        <f t="shared" si="327"/>
        <v>0</v>
      </c>
      <c r="AV909" s="498">
        <f t="shared" si="328"/>
        <v>0</v>
      </c>
      <c r="AW909" s="498">
        <f t="shared" si="329"/>
        <v>0</v>
      </c>
      <c r="AX909" s="498">
        <f t="shared" si="330"/>
        <v>0</v>
      </c>
      <c r="AY909" s="498">
        <f t="shared" si="331"/>
        <v>0</v>
      </c>
      <c r="BB909" s="498" t="str">
        <f t="shared" si="332"/>
        <v/>
      </c>
      <c r="BC909" s="743" t="str">
        <f t="shared" si="333"/>
        <v/>
      </c>
      <c r="BD909" s="743" t="str">
        <f t="shared" si="334"/>
        <v/>
      </c>
      <c r="BE909" s="743" t="str">
        <f>IF(D909="","",VLOOKUP(D909,'General Basis'!$J$39:$K$46,2,0))</f>
        <v/>
      </c>
      <c r="BF909" s="744" t="str">
        <f>IF(D909="","",VLOOKUP(D909,'General Basis'!$J$39:$L$46,3,0))</f>
        <v/>
      </c>
      <c r="BG909" s="744" t="str">
        <f t="shared" si="341"/>
        <v/>
      </c>
      <c r="BH909" s="744" t="str">
        <f>IF(G909="","",IF(BF909="Abu Dhabi",IF(G909&lt;18,'General Basis'!$C$39,IF(G909&lt;41,'General Basis'!$C$40,IF(G909&lt;60,'General Basis'!$C$41,IF(G909&lt;65,'General Basis'!$C$42,'General Basis'!$C$43)))),IF(G909&lt;11,'General Basis'!$B$39,IF(G909&lt;18,'General Basis'!$B$40,IF(G909&lt;26,'General Basis'!$B$41,IF(G909&lt;31,'General Basis'!$B$42,IF(G909&lt;36,'General Basis'!$B$43,IF(G909&lt;41,'General Basis'!$B$44,IF(G909&lt;46,'General Basis'!$B$45,IF(G909&lt;51,'General Basis'!$B$46,IF(G909&lt;56,'General Basis'!$B$47,IF(G909&lt;60,'General Basis'!$B$48,IF(G909&lt;65,'General Basis'!$B$49,'General Basis'!$B$50)))))))))))))</f>
        <v/>
      </c>
      <c r="BI909" s="744" t="str">
        <f t="shared" si="335"/>
        <v/>
      </c>
      <c r="BJ909" s="747" t="str">
        <f t="shared" si="342"/>
        <v/>
      </c>
      <c r="BK909" s="498" t="str">
        <f t="shared" si="336"/>
        <v/>
      </c>
      <c r="BL909" s="498" t="str">
        <f t="shared" si="337"/>
        <v/>
      </c>
    </row>
    <row r="910" spans="1:64" x14ac:dyDescent="0.25">
      <c r="A910" s="762">
        <f t="shared" si="338"/>
        <v>905</v>
      </c>
      <c r="B910" s="229"/>
      <c r="C910" s="223"/>
      <c r="D910" s="224"/>
      <c r="E910" s="225"/>
      <c r="F910" s="1036" t="str">
        <f t="shared" si="322"/>
        <v/>
      </c>
      <c r="G910" s="1037" t="str">
        <f t="shared" si="339"/>
        <v/>
      </c>
      <c r="H910" s="225"/>
      <c r="I910" s="1013"/>
      <c r="J910" s="1013"/>
      <c r="K910" s="1028"/>
      <c r="L910" s="1035" t="str">
        <f t="shared" si="343"/>
        <v/>
      </c>
      <c r="S910" s="498"/>
      <c r="AJ910" s="498"/>
      <c r="AM910" s="498">
        <f t="shared" si="324"/>
        <v>0</v>
      </c>
      <c r="AN910" s="498">
        <f t="shared" si="325"/>
        <v>0</v>
      </c>
      <c r="AO910" s="498">
        <f t="shared" si="326"/>
        <v>0</v>
      </c>
      <c r="AP910" s="498">
        <f t="shared" si="323"/>
        <v>0</v>
      </c>
      <c r="AQ910" s="498">
        <f t="shared" si="340"/>
        <v>0</v>
      </c>
      <c r="AU910" s="498">
        <f t="shared" si="327"/>
        <v>0</v>
      </c>
      <c r="AV910" s="498">
        <f t="shared" si="328"/>
        <v>0</v>
      </c>
      <c r="AW910" s="498">
        <f t="shared" si="329"/>
        <v>0</v>
      </c>
      <c r="AX910" s="498">
        <f t="shared" si="330"/>
        <v>0</v>
      </c>
      <c r="AY910" s="498">
        <f t="shared" si="331"/>
        <v>0</v>
      </c>
      <c r="BB910" s="498" t="str">
        <f t="shared" si="332"/>
        <v/>
      </c>
      <c r="BC910" s="743" t="str">
        <f t="shared" si="333"/>
        <v/>
      </c>
      <c r="BD910" s="743" t="str">
        <f t="shared" si="334"/>
        <v/>
      </c>
      <c r="BE910" s="743" t="str">
        <f>IF(D910="","",VLOOKUP(D910,'General Basis'!$J$39:$K$46,2,0))</f>
        <v/>
      </c>
      <c r="BF910" s="744" t="str">
        <f>IF(D910="","",VLOOKUP(D910,'General Basis'!$J$39:$L$46,3,0))</f>
        <v/>
      </c>
      <c r="BG910" s="744" t="str">
        <f t="shared" si="341"/>
        <v/>
      </c>
      <c r="BH910" s="744" t="str">
        <f>IF(G910="","",IF(BF910="Abu Dhabi",IF(G910&lt;18,'General Basis'!$C$39,IF(G910&lt;41,'General Basis'!$C$40,IF(G910&lt;60,'General Basis'!$C$41,IF(G910&lt;65,'General Basis'!$C$42,'General Basis'!$C$43)))),IF(G910&lt;11,'General Basis'!$B$39,IF(G910&lt;18,'General Basis'!$B$40,IF(G910&lt;26,'General Basis'!$B$41,IF(G910&lt;31,'General Basis'!$B$42,IF(G910&lt;36,'General Basis'!$B$43,IF(G910&lt;41,'General Basis'!$B$44,IF(G910&lt;46,'General Basis'!$B$45,IF(G910&lt;51,'General Basis'!$B$46,IF(G910&lt;56,'General Basis'!$B$47,IF(G910&lt;60,'General Basis'!$B$48,IF(G910&lt;65,'General Basis'!$B$49,'General Basis'!$B$50)))))))))))))</f>
        <v/>
      </c>
      <c r="BI910" s="744" t="str">
        <f t="shared" si="335"/>
        <v/>
      </c>
      <c r="BJ910" s="747" t="str">
        <f t="shared" si="342"/>
        <v/>
      </c>
      <c r="BK910" s="498" t="str">
        <f t="shared" si="336"/>
        <v/>
      </c>
      <c r="BL910" s="498" t="str">
        <f t="shared" si="337"/>
        <v/>
      </c>
    </row>
    <row r="911" spans="1:64" x14ac:dyDescent="0.25">
      <c r="A911" s="762">
        <f t="shared" si="338"/>
        <v>906</v>
      </c>
      <c r="B911" s="229"/>
      <c r="C911" s="223"/>
      <c r="D911" s="224"/>
      <c r="E911" s="225"/>
      <c r="F911" s="1036" t="str">
        <f t="shared" si="322"/>
        <v/>
      </c>
      <c r="G911" s="1037" t="str">
        <f t="shared" si="339"/>
        <v/>
      </c>
      <c r="H911" s="225"/>
      <c r="I911" s="1013"/>
      <c r="J911" s="1013"/>
      <c r="K911" s="1028"/>
      <c r="L911" s="1035" t="str">
        <f t="shared" si="343"/>
        <v/>
      </c>
      <c r="S911" s="498"/>
      <c r="AJ911" s="498"/>
      <c r="AM911" s="498">
        <f t="shared" si="324"/>
        <v>0</v>
      </c>
      <c r="AN911" s="498">
        <f t="shared" si="325"/>
        <v>0</v>
      </c>
      <c r="AO911" s="498">
        <f t="shared" si="326"/>
        <v>0</v>
      </c>
      <c r="AP911" s="498">
        <f t="shared" si="323"/>
        <v>0</v>
      </c>
      <c r="AQ911" s="498">
        <f t="shared" si="340"/>
        <v>0</v>
      </c>
      <c r="AU911" s="498">
        <f t="shared" si="327"/>
        <v>0</v>
      </c>
      <c r="AV911" s="498">
        <f t="shared" si="328"/>
        <v>0</v>
      </c>
      <c r="AW911" s="498">
        <f t="shared" si="329"/>
        <v>0</v>
      </c>
      <c r="AX911" s="498">
        <f t="shared" si="330"/>
        <v>0</v>
      </c>
      <c r="AY911" s="498">
        <f t="shared" si="331"/>
        <v>0</v>
      </c>
      <c r="BB911" s="498" t="str">
        <f t="shared" si="332"/>
        <v/>
      </c>
      <c r="BC911" s="743" t="str">
        <f t="shared" si="333"/>
        <v/>
      </c>
      <c r="BD911" s="743" t="str">
        <f t="shared" si="334"/>
        <v/>
      </c>
      <c r="BE911" s="743" t="str">
        <f>IF(D911="","",VLOOKUP(D911,'General Basis'!$J$39:$K$46,2,0))</f>
        <v/>
      </c>
      <c r="BF911" s="744" t="str">
        <f>IF(D911="","",VLOOKUP(D911,'General Basis'!$J$39:$L$46,3,0))</f>
        <v/>
      </c>
      <c r="BG911" s="744" t="str">
        <f t="shared" si="341"/>
        <v/>
      </c>
      <c r="BH911" s="744" t="str">
        <f>IF(G911="","",IF(BF911="Abu Dhabi",IF(G911&lt;18,'General Basis'!$C$39,IF(G911&lt;41,'General Basis'!$C$40,IF(G911&lt;60,'General Basis'!$C$41,IF(G911&lt;65,'General Basis'!$C$42,'General Basis'!$C$43)))),IF(G911&lt;11,'General Basis'!$B$39,IF(G911&lt;18,'General Basis'!$B$40,IF(G911&lt;26,'General Basis'!$B$41,IF(G911&lt;31,'General Basis'!$B$42,IF(G911&lt;36,'General Basis'!$B$43,IF(G911&lt;41,'General Basis'!$B$44,IF(G911&lt;46,'General Basis'!$B$45,IF(G911&lt;51,'General Basis'!$B$46,IF(G911&lt;56,'General Basis'!$B$47,IF(G911&lt;60,'General Basis'!$B$48,IF(G911&lt;65,'General Basis'!$B$49,'General Basis'!$B$50)))))))))))))</f>
        <v/>
      </c>
      <c r="BI911" s="744" t="str">
        <f t="shared" si="335"/>
        <v/>
      </c>
      <c r="BJ911" s="747" t="str">
        <f t="shared" si="342"/>
        <v/>
      </c>
      <c r="BK911" s="498" t="str">
        <f t="shared" si="336"/>
        <v/>
      </c>
      <c r="BL911" s="498" t="str">
        <f t="shared" si="337"/>
        <v/>
      </c>
    </row>
    <row r="912" spans="1:64" x14ac:dyDescent="0.25">
      <c r="A912" s="762">
        <f t="shared" si="338"/>
        <v>907</v>
      </c>
      <c r="B912" s="229"/>
      <c r="C912" s="223"/>
      <c r="D912" s="224"/>
      <c r="E912" s="225"/>
      <c r="F912" s="1036" t="str">
        <f t="shared" ref="F912:F975" si="344">IF(C912="","",IF($B912="","",((YEAR($F$3)-YEAR($B912))+(MONTH($F$3)-MONTH($B912))/12+(DAY($F$3)-DAY($B912))/(DATE(YEAR($F$3),12,31)-DATE(YEAR($F$3),1,1)+1))))</f>
        <v/>
      </c>
      <c r="G912" s="1037" t="str">
        <f t="shared" si="339"/>
        <v/>
      </c>
      <c r="H912" s="225"/>
      <c r="I912" s="1013"/>
      <c r="J912" s="1013"/>
      <c r="K912" s="1028"/>
      <c r="L912" s="1035" t="str">
        <f t="shared" si="343"/>
        <v/>
      </c>
      <c r="S912" s="498"/>
      <c r="AJ912" s="498"/>
      <c r="AM912" s="498">
        <f t="shared" si="324"/>
        <v>0</v>
      </c>
      <c r="AN912" s="498">
        <f t="shared" si="325"/>
        <v>0</v>
      </c>
      <c r="AO912" s="498">
        <f t="shared" si="326"/>
        <v>0</v>
      </c>
      <c r="AP912" s="498">
        <f t="shared" si="323"/>
        <v>0</v>
      </c>
      <c r="AQ912" s="498">
        <f t="shared" si="340"/>
        <v>0</v>
      </c>
      <c r="AU912" s="498">
        <f t="shared" si="327"/>
        <v>0</v>
      </c>
      <c r="AV912" s="498">
        <f t="shared" si="328"/>
        <v>0</v>
      </c>
      <c r="AW912" s="498">
        <f t="shared" si="329"/>
        <v>0</v>
      </c>
      <c r="AX912" s="498">
        <f t="shared" si="330"/>
        <v>0</v>
      </c>
      <c r="AY912" s="498">
        <f t="shared" si="331"/>
        <v>0</v>
      </c>
      <c r="BB912" s="498" t="str">
        <f t="shared" si="332"/>
        <v/>
      </c>
      <c r="BC912" s="743" t="str">
        <f t="shared" si="333"/>
        <v/>
      </c>
      <c r="BD912" s="743" t="str">
        <f t="shared" si="334"/>
        <v/>
      </c>
      <c r="BE912" s="743" t="str">
        <f>IF(D912="","",VLOOKUP(D912,'General Basis'!$J$39:$K$46,2,0))</f>
        <v/>
      </c>
      <c r="BF912" s="744" t="str">
        <f>IF(D912="","",VLOOKUP(D912,'General Basis'!$J$39:$L$46,3,0))</f>
        <v/>
      </c>
      <c r="BG912" s="744" t="str">
        <f t="shared" si="341"/>
        <v/>
      </c>
      <c r="BH912" s="744" t="str">
        <f>IF(G912="","",IF(BF912="Abu Dhabi",IF(G912&lt;18,'General Basis'!$C$39,IF(G912&lt;41,'General Basis'!$C$40,IF(G912&lt;60,'General Basis'!$C$41,IF(G912&lt;65,'General Basis'!$C$42,'General Basis'!$C$43)))),IF(G912&lt;11,'General Basis'!$B$39,IF(G912&lt;18,'General Basis'!$B$40,IF(G912&lt;26,'General Basis'!$B$41,IF(G912&lt;31,'General Basis'!$B$42,IF(G912&lt;36,'General Basis'!$B$43,IF(G912&lt;41,'General Basis'!$B$44,IF(G912&lt;46,'General Basis'!$B$45,IF(G912&lt;51,'General Basis'!$B$46,IF(G912&lt;56,'General Basis'!$B$47,IF(G912&lt;60,'General Basis'!$B$48,IF(G912&lt;65,'General Basis'!$B$49,'General Basis'!$B$50)))))))))))))</f>
        <v/>
      </c>
      <c r="BI912" s="744" t="str">
        <f t="shared" si="335"/>
        <v/>
      </c>
      <c r="BJ912" s="747" t="str">
        <f t="shared" si="342"/>
        <v/>
      </c>
      <c r="BK912" s="498" t="str">
        <f t="shared" si="336"/>
        <v/>
      </c>
      <c r="BL912" s="498" t="str">
        <f t="shared" si="337"/>
        <v/>
      </c>
    </row>
    <row r="913" spans="1:64" x14ac:dyDescent="0.25">
      <c r="A913" s="762">
        <f t="shared" si="338"/>
        <v>908</v>
      </c>
      <c r="B913" s="229"/>
      <c r="C913" s="223"/>
      <c r="D913" s="224"/>
      <c r="E913" s="225"/>
      <c r="F913" s="1036" t="str">
        <f t="shared" si="344"/>
        <v/>
      </c>
      <c r="G913" s="1037" t="str">
        <f t="shared" si="339"/>
        <v/>
      </c>
      <c r="H913" s="225"/>
      <c r="I913" s="1013"/>
      <c r="J913" s="1013"/>
      <c r="K913" s="1028"/>
      <c r="L913" s="1035" t="str">
        <f t="shared" si="343"/>
        <v/>
      </c>
      <c r="S913" s="498"/>
      <c r="AJ913" s="498"/>
      <c r="AM913" s="498">
        <f t="shared" si="324"/>
        <v>0</v>
      </c>
      <c r="AN913" s="498">
        <f t="shared" si="325"/>
        <v>0</v>
      </c>
      <c r="AO913" s="498">
        <f t="shared" si="326"/>
        <v>0</v>
      </c>
      <c r="AP913" s="498">
        <f t="shared" si="323"/>
        <v>0</v>
      </c>
      <c r="AQ913" s="498">
        <f t="shared" si="340"/>
        <v>0</v>
      </c>
      <c r="AU913" s="498">
        <f t="shared" si="327"/>
        <v>0</v>
      </c>
      <c r="AV913" s="498">
        <f t="shared" si="328"/>
        <v>0</v>
      </c>
      <c r="AW913" s="498">
        <f t="shared" si="329"/>
        <v>0</v>
      </c>
      <c r="AX913" s="498">
        <f t="shared" si="330"/>
        <v>0</v>
      </c>
      <c r="AY913" s="498">
        <f t="shared" si="331"/>
        <v>0</v>
      </c>
      <c r="BB913" s="498" t="str">
        <f t="shared" si="332"/>
        <v/>
      </c>
      <c r="BC913" s="743" t="str">
        <f t="shared" si="333"/>
        <v/>
      </c>
      <c r="BD913" s="743" t="str">
        <f t="shared" si="334"/>
        <v/>
      </c>
      <c r="BE913" s="743" t="str">
        <f>IF(D913="","",VLOOKUP(D913,'General Basis'!$J$39:$K$46,2,0))</f>
        <v/>
      </c>
      <c r="BF913" s="744" t="str">
        <f>IF(D913="","",VLOOKUP(D913,'General Basis'!$J$39:$L$46,3,0))</f>
        <v/>
      </c>
      <c r="BG913" s="744" t="str">
        <f t="shared" si="341"/>
        <v/>
      </c>
      <c r="BH913" s="744" t="str">
        <f>IF(G913="","",IF(BF913="Abu Dhabi",IF(G913&lt;18,'General Basis'!$C$39,IF(G913&lt;41,'General Basis'!$C$40,IF(G913&lt;60,'General Basis'!$C$41,IF(G913&lt;65,'General Basis'!$C$42,'General Basis'!$C$43)))),IF(G913&lt;11,'General Basis'!$B$39,IF(G913&lt;18,'General Basis'!$B$40,IF(G913&lt;26,'General Basis'!$B$41,IF(G913&lt;31,'General Basis'!$B$42,IF(G913&lt;36,'General Basis'!$B$43,IF(G913&lt;41,'General Basis'!$B$44,IF(G913&lt;46,'General Basis'!$B$45,IF(G913&lt;51,'General Basis'!$B$46,IF(G913&lt;56,'General Basis'!$B$47,IF(G913&lt;60,'General Basis'!$B$48,IF(G913&lt;65,'General Basis'!$B$49,'General Basis'!$B$50)))))))))))))</f>
        <v/>
      </c>
      <c r="BI913" s="744" t="str">
        <f t="shared" si="335"/>
        <v/>
      </c>
      <c r="BJ913" s="747" t="str">
        <f t="shared" si="342"/>
        <v/>
      </c>
      <c r="BK913" s="498" t="str">
        <f t="shared" si="336"/>
        <v/>
      </c>
      <c r="BL913" s="498" t="str">
        <f t="shared" si="337"/>
        <v/>
      </c>
    </row>
    <row r="914" spans="1:64" x14ac:dyDescent="0.25">
      <c r="A914" s="762">
        <f t="shared" si="338"/>
        <v>909</v>
      </c>
      <c r="B914" s="229"/>
      <c r="C914" s="223"/>
      <c r="D914" s="224"/>
      <c r="E914" s="225"/>
      <c r="F914" s="1036" t="str">
        <f t="shared" si="344"/>
        <v/>
      </c>
      <c r="G914" s="1037" t="str">
        <f t="shared" si="339"/>
        <v/>
      </c>
      <c r="H914" s="225"/>
      <c r="I914" s="1013"/>
      <c r="J914" s="1013"/>
      <c r="K914" s="1028"/>
      <c r="L914" s="1035" t="str">
        <f t="shared" si="343"/>
        <v/>
      </c>
      <c r="S914" s="498"/>
      <c r="AJ914" s="498"/>
      <c r="AM914" s="498">
        <f t="shared" si="324"/>
        <v>0</v>
      </c>
      <c r="AN914" s="498">
        <f t="shared" si="325"/>
        <v>0</v>
      </c>
      <c r="AO914" s="498">
        <f t="shared" si="326"/>
        <v>0</v>
      </c>
      <c r="AP914" s="498">
        <f t="shared" si="323"/>
        <v>0</v>
      </c>
      <c r="AQ914" s="498">
        <f t="shared" si="340"/>
        <v>0</v>
      </c>
      <c r="AU914" s="498">
        <f t="shared" si="327"/>
        <v>0</v>
      </c>
      <c r="AV914" s="498">
        <f t="shared" si="328"/>
        <v>0</v>
      </c>
      <c r="AW914" s="498">
        <f t="shared" si="329"/>
        <v>0</v>
      </c>
      <c r="AX914" s="498">
        <f t="shared" si="330"/>
        <v>0</v>
      </c>
      <c r="AY914" s="498">
        <f t="shared" si="331"/>
        <v>0</v>
      </c>
      <c r="BB914" s="498" t="str">
        <f t="shared" si="332"/>
        <v/>
      </c>
      <c r="BC914" s="743" t="str">
        <f t="shared" si="333"/>
        <v/>
      </c>
      <c r="BD914" s="743" t="str">
        <f t="shared" si="334"/>
        <v/>
      </c>
      <c r="BE914" s="743" t="str">
        <f>IF(D914="","",VLOOKUP(D914,'General Basis'!$J$39:$K$46,2,0))</f>
        <v/>
      </c>
      <c r="BF914" s="744" t="str">
        <f>IF(D914="","",VLOOKUP(D914,'General Basis'!$J$39:$L$46,3,0))</f>
        <v/>
      </c>
      <c r="BG914" s="744" t="str">
        <f t="shared" si="341"/>
        <v/>
      </c>
      <c r="BH914" s="744" t="str">
        <f>IF(G914="","",IF(BF914="Abu Dhabi",IF(G914&lt;18,'General Basis'!$C$39,IF(G914&lt;41,'General Basis'!$C$40,IF(G914&lt;60,'General Basis'!$C$41,IF(G914&lt;65,'General Basis'!$C$42,'General Basis'!$C$43)))),IF(G914&lt;11,'General Basis'!$B$39,IF(G914&lt;18,'General Basis'!$B$40,IF(G914&lt;26,'General Basis'!$B$41,IF(G914&lt;31,'General Basis'!$B$42,IF(G914&lt;36,'General Basis'!$B$43,IF(G914&lt;41,'General Basis'!$B$44,IF(G914&lt;46,'General Basis'!$B$45,IF(G914&lt;51,'General Basis'!$B$46,IF(G914&lt;56,'General Basis'!$B$47,IF(G914&lt;60,'General Basis'!$B$48,IF(G914&lt;65,'General Basis'!$B$49,'General Basis'!$B$50)))))))))))))</f>
        <v/>
      </c>
      <c r="BI914" s="744" t="str">
        <f t="shared" si="335"/>
        <v/>
      </c>
      <c r="BJ914" s="747" t="str">
        <f t="shared" si="342"/>
        <v/>
      </c>
      <c r="BK914" s="498" t="str">
        <f t="shared" si="336"/>
        <v/>
      </c>
      <c r="BL914" s="498" t="str">
        <f t="shared" si="337"/>
        <v/>
      </c>
    </row>
    <row r="915" spans="1:64" x14ac:dyDescent="0.25">
      <c r="A915" s="762">
        <f t="shared" si="338"/>
        <v>910</v>
      </c>
      <c r="B915" s="229"/>
      <c r="C915" s="223"/>
      <c r="D915" s="224"/>
      <c r="E915" s="225"/>
      <c r="F915" s="1036" t="str">
        <f t="shared" si="344"/>
        <v/>
      </c>
      <c r="G915" s="1037" t="str">
        <f t="shared" si="339"/>
        <v/>
      </c>
      <c r="H915" s="225"/>
      <c r="I915" s="1013"/>
      <c r="J915" s="1013"/>
      <c r="K915" s="1028"/>
      <c r="L915" s="1035" t="str">
        <f t="shared" si="343"/>
        <v/>
      </c>
      <c r="S915" s="498"/>
      <c r="AJ915" s="498"/>
      <c r="AM915" s="498">
        <f t="shared" si="324"/>
        <v>0</v>
      </c>
      <c r="AN915" s="498">
        <f t="shared" si="325"/>
        <v>0</v>
      </c>
      <c r="AO915" s="498">
        <f t="shared" si="326"/>
        <v>0</v>
      </c>
      <c r="AP915" s="498">
        <f t="shared" ref="AP915:AP978" si="345">IF(ISBLANK($B915),0,IF(OR($C915="M",$C915="F"),0,1))</f>
        <v>0</v>
      </c>
      <c r="AQ915" s="498">
        <f t="shared" si="340"/>
        <v>0</v>
      </c>
      <c r="AU915" s="498">
        <f t="shared" si="327"/>
        <v>0</v>
      </c>
      <c r="AV915" s="498">
        <f t="shared" si="328"/>
        <v>0</v>
      </c>
      <c r="AW915" s="498">
        <f t="shared" si="329"/>
        <v>0</v>
      </c>
      <c r="AX915" s="498">
        <f t="shared" si="330"/>
        <v>0</v>
      </c>
      <c r="AY915" s="498">
        <f t="shared" si="331"/>
        <v>0</v>
      </c>
      <c r="BB915" s="498" t="str">
        <f t="shared" si="332"/>
        <v/>
      </c>
      <c r="BC915" s="743" t="str">
        <f t="shared" si="333"/>
        <v/>
      </c>
      <c r="BD915" s="743" t="str">
        <f t="shared" si="334"/>
        <v/>
      </c>
      <c r="BE915" s="743" t="str">
        <f>IF(D915="","",VLOOKUP(D915,'General Basis'!$J$39:$K$46,2,0))</f>
        <v/>
      </c>
      <c r="BF915" s="744" t="str">
        <f>IF(D915="","",VLOOKUP(D915,'General Basis'!$J$39:$L$46,3,0))</f>
        <v/>
      </c>
      <c r="BG915" s="744" t="str">
        <f t="shared" si="341"/>
        <v/>
      </c>
      <c r="BH915" s="744" t="str">
        <f>IF(G915="","",IF(BF915="Abu Dhabi",IF(G915&lt;18,'General Basis'!$C$39,IF(G915&lt;41,'General Basis'!$C$40,IF(G915&lt;60,'General Basis'!$C$41,IF(G915&lt;65,'General Basis'!$C$42,'General Basis'!$C$43)))),IF(G915&lt;11,'General Basis'!$B$39,IF(G915&lt;18,'General Basis'!$B$40,IF(G915&lt;26,'General Basis'!$B$41,IF(G915&lt;31,'General Basis'!$B$42,IF(G915&lt;36,'General Basis'!$B$43,IF(G915&lt;41,'General Basis'!$B$44,IF(G915&lt;46,'General Basis'!$B$45,IF(G915&lt;51,'General Basis'!$B$46,IF(G915&lt;56,'General Basis'!$B$47,IF(G915&lt;60,'General Basis'!$B$48,IF(G915&lt;65,'General Basis'!$B$49,'General Basis'!$B$50)))))))))))))</f>
        <v/>
      </c>
      <c r="BI915" s="744" t="str">
        <f t="shared" si="335"/>
        <v/>
      </c>
      <c r="BJ915" s="747" t="str">
        <f t="shared" si="342"/>
        <v/>
      </c>
      <c r="BK915" s="498" t="str">
        <f t="shared" si="336"/>
        <v/>
      </c>
      <c r="BL915" s="498" t="str">
        <f t="shared" si="337"/>
        <v/>
      </c>
    </row>
    <row r="916" spans="1:64" x14ac:dyDescent="0.25">
      <c r="A916" s="762">
        <f t="shared" si="338"/>
        <v>911</v>
      </c>
      <c r="B916" s="229"/>
      <c r="C916" s="223"/>
      <c r="D916" s="224"/>
      <c r="E916" s="225"/>
      <c r="F916" s="1036" t="str">
        <f t="shared" si="344"/>
        <v/>
      </c>
      <c r="G916" s="1037" t="str">
        <f t="shared" si="339"/>
        <v/>
      </c>
      <c r="H916" s="225"/>
      <c r="I916" s="1013"/>
      <c r="J916" s="1013"/>
      <c r="K916" s="1028"/>
      <c r="L916" s="1035" t="str">
        <f t="shared" si="343"/>
        <v/>
      </c>
      <c r="S916" s="498"/>
      <c r="AJ916" s="498"/>
      <c r="AM916" s="498">
        <f t="shared" si="324"/>
        <v>0</v>
      </c>
      <c r="AN916" s="498">
        <f t="shared" si="325"/>
        <v>0</v>
      </c>
      <c r="AO916" s="498">
        <f t="shared" si="326"/>
        <v>0</v>
      </c>
      <c r="AP916" s="498">
        <f t="shared" si="345"/>
        <v>0</v>
      </c>
      <c r="AQ916" s="498">
        <f t="shared" si="340"/>
        <v>0</v>
      </c>
      <c r="AU916" s="498">
        <f t="shared" si="327"/>
        <v>0</v>
      </c>
      <c r="AV916" s="498">
        <f t="shared" si="328"/>
        <v>0</v>
      </c>
      <c r="AW916" s="498">
        <f t="shared" si="329"/>
        <v>0</v>
      </c>
      <c r="AX916" s="498">
        <f t="shared" si="330"/>
        <v>0</v>
      </c>
      <c r="AY916" s="498">
        <f t="shared" si="331"/>
        <v>0</v>
      </c>
      <c r="BB916" s="498" t="str">
        <f t="shared" si="332"/>
        <v/>
      </c>
      <c r="BC916" s="743" t="str">
        <f t="shared" si="333"/>
        <v/>
      </c>
      <c r="BD916" s="743" t="str">
        <f t="shared" si="334"/>
        <v/>
      </c>
      <c r="BE916" s="743" t="str">
        <f>IF(D916="","",VLOOKUP(D916,'General Basis'!$J$39:$K$46,2,0))</f>
        <v/>
      </c>
      <c r="BF916" s="744" t="str">
        <f>IF(D916="","",VLOOKUP(D916,'General Basis'!$J$39:$L$46,3,0))</f>
        <v/>
      </c>
      <c r="BG916" s="744" t="str">
        <f t="shared" si="341"/>
        <v/>
      </c>
      <c r="BH916" s="744" t="str">
        <f>IF(G916="","",IF(BF916="Abu Dhabi",IF(G916&lt;18,'General Basis'!$C$39,IF(G916&lt;41,'General Basis'!$C$40,IF(G916&lt;60,'General Basis'!$C$41,IF(G916&lt;65,'General Basis'!$C$42,'General Basis'!$C$43)))),IF(G916&lt;11,'General Basis'!$B$39,IF(G916&lt;18,'General Basis'!$B$40,IF(G916&lt;26,'General Basis'!$B$41,IF(G916&lt;31,'General Basis'!$B$42,IF(G916&lt;36,'General Basis'!$B$43,IF(G916&lt;41,'General Basis'!$B$44,IF(G916&lt;46,'General Basis'!$B$45,IF(G916&lt;51,'General Basis'!$B$46,IF(G916&lt;56,'General Basis'!$B$47,IF(G916&lt;60,'General Basis'!$B$48,IF(G916&lt;65,'General Basis'!$B$49,'General Basis'!$B$50)))))))))))))</f>
        <v/>
      </c>
      <c r="BI916" s="744" t="str">
        <f t="shared" si="335"/>
        <v/>
      </c>
      <c r="BJ916" s="747" t="str">
        <f t="shared" si="342"/>
        <v/>
      </c>
      <c r="BK916" s="498" t="str">
        <f t="shared" si="336"/>
        <v/>
      </c>
      <c r="BL916" s="498" t="str">
        <f t="shared" si="337"/>
        <v/>
      </c>
    </row>
    <row r="917" spans="1:64" x14ac:dyDescent="0.25">
      <c r="A917" s="762">
        <f t="shared" si="338"/>
        <v>912</v>
      </c>
      <c r="B917" s="229"/>
      <c r="C917" s="223"/>
      <c r="D917" s="224"/>
      <c r="E917" s="225"/>
      <c r="F917" s="1036" t="str">
        <f t="shared" si="344"/>
        <v/>
      </c>
      <c r="G917" s="1037" t="str">
        <f t="shared" si="339"/>
        <v/>
      </c>
      <c r="H917" s="225"/>
      <c r="I917" s="1013"/>
      <c r="J917" s="1013"/>
      <c r="K917" s="1028"/>
      <c r="L917" s="1035" t="str">
        <f t="shared" si="343"/>
        <v/>
      </c>
      <c r="S917" s="498"/>
      <c r="AJ917" s="498"/>
      <c r="AM917" s="498">
        <f t="shared" si="324"/>
        <v>0</v>
      </c>
      <c r="AN917" s="498">
        <f t="shared" si="325"/>
        <v>0</v>
      </c>
      <c r="AO917" s="498">
        <f t="shared" si="326"/>
        <v>0</v>
      </c>
      <c r="AP917" s="498">
        <f t="shared" si="345"/>
        <v>0</v>
      </c>
      <c r="AQ917" s="498">
        <f t="shared" si="340"/>
        <v>0</v>
      </c>
      <c r="AU917" s="498">
        <f t="shared" si="327"/>
        <v>0</v>
      </c>
      <c r="AV917" s="498">
        <f t="shared" si="328"/>
        <v>0</v>
      </c>
      <c r="AW917" s="498">
        <f t="shared" si="329"/>
        <v>0</v>
      </c>
      <c r="AX917" s="498">
        <f t="shared" si="330"/>
        <v>0</v>
      </c>
      <c r="AY917" s="498">
        <f t="shared" si="331"/>
        <v>0</v>
      </c>
      <c r="BB917" s="498" t="str">
        <f t="shared" si="332"/>
        <v/>
      </c>
      <c r="BC917" s="743" t="str">
        <f t="shared" si="333"/>
        <v/>
      </c>
      <c r="BD917" s="743" t="str">
        <f t="shared" si="334"/>
        <v/>
      </c>
      <c r="BE917" s="743" t="str">
        <f>IF(D917="","",VLOOKUP(D917,'General Basis'!$J$39:$K$46,2,0))</f>
        <v/>
      </c>
      <c r="BF917" s="744" t="str">
        <f>IF(D917="","",VLOOKUP(D917,'General Basis'!$J$39:$L$46,3,0))</f>
        <v/>
      </c>
      <c r="BG917" s="744" t="str">
        <f t="shared" si="341"/>
        <v/>
      </c>
      <c r="BH917" s="744" t="str">
        <f>IF(G917="","",IF(BF917="Abu Dhabi",IF(G917&lt;18,'General Basis'!$C$39,IF(G917&lt;41,'General Basis'!$C$40,IF(G917&lt;60,'General Basis'!$C$41,IF(G917&lt;65,'General Basis'!$C$42,'General Basis'!$C$43)))),IF(G917&lt;11,'General Basis'!$B$39,IF(G917&lt;18,'General Basis'!$B$40,IF(G917&lt;26,'General Basis'!$B$41,IF(G917&lt;31,'General Basis'!$B$42,IF(G917&lt;36,'General Basis'!$B$43,IF(G917&lt;41,'General Basis'!$B$44,IF(G917&lt;46,'General Basis'!$B$45,IF(G917&lt;51,'General Basis'!$B$46,IF(G917&lt;56,'General Basis'!$B$47,IF(G917&lt;60,'General Basis'!$B$48,IF(G917&lt;65,'General Basis'!$B$49,'General Basis'!$B$50)))))))))))))</f>
        <v/>
      </c>
      <c r="BI917" s="744" t="str">
        <f t="shared" si="335"/>
        <v/>
      </c>
      <c r="BJ917" s="747" t="str">
        <f t="shared" si="342"/>
        <v/>
      </c>
      <c r="BK917" s="498" t="str">
        <f t="shared" si="336"/>
        <v/>
      </c>
      <c r="BL917" s="498" t="str">
        <f t="shared" si="337"/>
        <v/>
      </c>
    </row>
    <row r="918" spans="1:64" x14ac:dyDescent="0.25">
      <c r="A918" s="762">
        <f t="shared" si="338"/>
        <v>913</v>
      </c>
      <c r="B918" s="229"/>
      <c r="C918" s="223"/>
      <c r="D918" s="224"/>
      <c r="E918" s="225"/>
      <c r="F918" s="1036" t="str">
        <f t="shared" si="344"/>
        <v/>
      </c>
      <c r="G918" s="1037" t="str">
        <f t="shared" si="339"/>
        <v/>
      </c>
      <c r="H918" s="225"/>
      <c r="I918" s="1013"/>
      <c r="J918" s="1013"/>
      <c r="K918" s="1028"/>
      <c r="L918" s="1035" t="str">
        <f t="shared" si="343"/>
        <v/>
      </c>
      <c r="S918" s="498"/>
      <c r="AJ918" s="498"/>
      <c r="AM918" s="498">
        <f t="shared" si="324"/>
        <v>0</v>
      </c>
      <c r="AN918" s="498">
        <f t="shared" si="325"/>
        <v>0</v>
      </c>
      <c r="AO918" s="498">
        <f t="shared" si="326"/>
        <v>0</v>
      </c>
      <c r="AP918" s="498">
        <f t="shared" si="345"/>
        <v>0</v>
      </c>
      <c r="AQ918" s="498">
        <f t="shared" si="340"/>
        <v>0</v>
      </c>
      <c r="AU918" s="498">
        <f t="shared" si="327"/>
        <v>0</v>
      </c>
      <c r="AV918" s="498">
        <f t="shared" si="328"/>
        <v>0</v>
      </c>
      <c r="AW918" s="498">
        <f t="shared" si="329"/>
        <v>0</v>
      </c>
      <c r="AX918" s="498">
        <f t="shared" si="330"/>
        <v>0</v>
      </c>
      <c r="AY918" s="498">
        <f t="shared" si="331"/>
        <v>0</v>
      </c>
      <c r="BB918" s="498" t="str">
        <f t="shared" si="332"/>
        <v/>
      </c>
      <c r="BC918" s="743" t="str">
        <f t="shared" si="333"/>
        <v/>
      </c>
      <c r="BD918" s="743" t="str">
        <f t="shared" si="334"/>
        <v/>
      </c>
      <c r="BE918" s="743" t="str">
        <f>IF(D918="","",VLOOKUP(D918,'General Basis'!$J$39:$K$46,2,0))</f>
        <v/>
      </c>
      <c r="BF918" s="744" t="str">
        <f>IF(D918="","",VLOOKUP(D918,'General Basis'!$J$39:$L$46,3,0))</f>
        <v/>
      </c>
      <c r="BG918" s="744" t="str">
        <f t="shared" si="341"/>
        <v/>
      </c>
      <c r="BH918" s="744" t="str">
        <f>IF(G918="","",IF(BF918="Abu Dhabi",IF(G918&lt;18,'General Basis'!$C$39,IF(G918&lt;41,'General Basis'!$C$40,IF(G918&lt;60,'General Basis'!$C$41,IF(G918&lt;65,'General Basis'!$C$42,'General Basis'!$C$43)))),IF(G918&lt;11,'General Basis'!$B$39,IF(G918&lt;18,'General Basis'!$B$40,IF(G918&lt;26,'General Basis'!$B$41,IF(G918&lt;31,'General Basis'!$B$42,IF(G918&lt;36,'General Basis'!$B$43,IF(G918&lt;41,'General Basis'!$B$44,IF(G918&lt;46,'General Basis'!$B$45,IF(G918&lt;51,'General Basis'!$B$46,IF(G918&lt;56,'General Basis'!$B$47,IF(G918&lt;60,'General Basis'!$B$48,IF(G918&lt;65,'General Basis'!$B$49,'General Basis'!$B$50)))))))))))))</f>
        <v/>
      </c>
      <c r="BI918" s="744" t="str">
        <f t="shared" si="335"/>
        <v/>
      </c>
      <c r="BJ918" s="747" t="str">
        <f t="shared" si="342"/>
        <v/>
      </c>
      <c r="BK918" s="498" t="str">
        <f t="shared" si="336"/>
        <v/>
      </c>
      <c r="BL918" s="498" t="str">
        <f t="shared" si="337"/>
        <v/>
      </c>
    </row>
    <row r="919" spans="1:64" x14ac:dyDescent="0.25">
      <c r="A919" s="762">
        <f t="shared" si="338"/>
        <v>914</v>
      </c>
      <c r="B919" s="229"/>
      <c r="C919" s="223"/>
      <c r="D919" s="224"/>
      <c r="E919" s="225"/>
      <c r="F919" s="1036" t="str">
        <f t="shared" si="344"/>
        <v/>
      </c>
      <c r="G919" s="1037" t="str">
        <f t="shared" si="339"/>
        <v/>
      </c>
      <c r="H919" s="225"/>
      <c r="I919" s="1013"/>
      <c r="J919" s="1013"/>
      <c r="K919" s="1028"/>
      <c r="L919" s="1035" t="str">
        <f t="shared" si="343"/>
        <v/>
      </c>
      <c r="S919" s="498"/>
      <c r="AJ919" s="498"/>
      <c r="AM919" s="498">
        <f t="shared" si="324"/>
        <v>0</v>
      </c>
      <c r="AN919" s="498">
        <f t="shared" si="325"/>
        <v>0</v>
      </c>
      <c r="AO919" s="498">
        <f t="shared" si="326"/>
        <v>0</v>
      </c>
      <c r="AP919" s="498">
        <f t="shared" si="345"/>
        <v>0</v>
      </c>
      <c r="AQ919" s="498">
        <f t="shared" si="340"/>
        <v>0</v>
      </c>
      <c r="AU919" s="498">
        <f t="shared" si="327"/>
        <v>0</v>
      </c>
      <c r="AV919" s="498">
        <f t="shared" si="328"/>
        <v>0</v>
      </c>
      <c r="AW919" s="498">
        <f t="shared" si="329"/>
        <v>0</v>
      </c>
      <c r="AX919" s="498">
        <f t="shared" si="330"/>
        <v>0</v>
      </c>
      <c r="AY919" s="498">
        <f t="shared" si="331"/>
        <v>0</v>
      </c>
      <c r="BB919" s="498" t="str">
        <f t="shared" si="332"/>
        <v/>
      </c>
      <c r="BC919" s="743" t="str">
        <f t="shared" si="333"/>
        <v/>
      </c>
      <c r="BD919" s="743" t="str">
        <f t="shared" si="334"/>
        <v/>
      </c>
      <c r="BE919" s="743" t="str">
        <f>IF(D919="","",VLOOKUP(D919,'General Basis'!$J$39:$K$46,2,0))</f>
        <v/>
      </c>
      <c r="BF919" s="744" t="str">
        <f>IF(D919="","",VLOOKUP(D919,'General Basis'!$J$39:$L$46,3,0))</f>
        <v/>
      </c>
      <c r="BG919" s="744" t="str">
        <f t="shared" si="341"/>
        <v/>
      </c>
      <c r="BH919" s="744" t="str">
        <f>IF(G919="","",IF(BF919="Abu Dhabi",IF(G919&lt;18,'General Basis'!$C$39,IF(G919&lt;41,'General Basis'!$C$40,IF(G919&lt;60,'General Basis'!$C$41,IF(G919&lt;65,'General Basis'!$C$42,'General Basis'!$C$43)))),IF(G919&lt;11,'General Basis'!$B$39,IF(G919&lt;18,'General Basis'!$B$40,IF(G919&lt;26,'General Basis'!$B$41,IF(G919&lt;31,'General Basis'!$B$42,IF(G919&lt;36,'General Basis'!$B$43,IF(G919&lt;41,'General Basis'!$B$44,IF(G919&lt;46,'General Basis'!$B$45,IF(G919&lt;51,'General Basis'!$B$46,IF(G919&lt;56,'General Basis'!$B$47,IF(G919&lt;60,'General Basis'!$B$48,IF(G919&lt;65,'General Basis'!$B$49,'General Basis'!$B$50)))))))))))))</f>
        <v/>
      </c>
      <c r="BI919" s="744" t="str">
        <f t="shared" si="335"/>
        <v/>
      </c>
      <c r="BJ919" s="747" t="str">
        <f t="shared" si="342"/>
        <v/>
      </c>
      <c r="BK919" s="498" t="str">
        <f t="shared" si="336"/>
        <v/>
      </c>
      <c r="BL919" s="498" t="str">
        <f t="shared" si="337"/>
        <v/>
      </c>
    </row>
    <row r="920" spans="1:64" x14ac:dyDescent="0.25">
      <c r="A920" s="762">
        <f t="shared" si="338"/>
        <v>915</v>
      </c>
      <c r="B920" s="229"/>
      <c r="C920" s="223"/>
      <c r="D920" s="224"/>
      <c r="E920" s="225"/>
      <c r="F920" s="1036" t="str">
        <f t="shared" si="344"/>
        <v/>
      </c>
      <c r="G920" s="1037" t="str">
        <f t="shared" si="339"/>
        <v/>
      </c>
      <c r="H920" s="225"/>
      <c r="I920" s="1013"/>
      <c r="J920" s="1013"/>
      <c r="K920" s="1028"/>
      <c r="L920" s="1035" t="str">
        <f t="shared" si="343"/>
        <v/>
      </c>
      <c r="S920" s="498"/>
      <c r="AJ920" s="498"/>
      <c r="AM920" s="498">
        <f t="shared" si="324"/>
        <v>0</v>
      </c>
      <c r="AN920" s="498">
        <f t="shared" si="325"/>
        <v>0</v>
      </c>
      <c r="AO920" s="498">
        <f t="shared" si="326"/>
        <v>0</v>
      </c>
      <c r="AP920" s="498">
        <f t="shared" si="345"/>
        <v>0</v>
      </c>
      <c r="AQ920" s="498">
        <f t="shared" si="340"/>
        <v>0</v>
      </c>
      <c r="AU920" s="498">
        <f t="shared" si="327"/>
        <v>0</v>
      </c>
      <c r="AV920" s="498">
        <f t="shared" si="328"/>
        <v>0</v>
      </c>
      <c r="AW920" s="498">
        <f t="shared" si="329"/>
        <v>0</v>
      </c>
      <c r="AX920" s="498">
        <f t="shared" si="330"/>
        <v>0</v>
      </c>
      <c r="AY920" s="498">
        <f t="shared" si="331"/>
        <v>0</v>
      </c>
      <c r="BB920" s="498" t="str">
        <f t="shared" si="332"/>
        <v/>
      </c>
      <c r="BC920" s="743" t="str">
        <f t="shared" si="333"/>
        <v/>
      </c>
      <c r="BD920" s="743" t="str">
        <f t="shared" si="334"/>
        <v/>
      </c>
      <c r="BE920" s="743" t="str">
        <f>IF(D920="","",VLOOKUP(D920,'General Basis'!$J$39:$K$46,2,0))</f>
        <v/>
      </c>
      <c r="BF920" s="744" t="str">
        <f>IF(D920="","",VLOOKUP(D920,'General Basis'!$J$39:$L$46,3,0))</f>
        <v/>
      </c>
      <c r="BG920" s="744" t="str">
        <f t="shared" si="341"/>
        <v/>
      </c>
      <c r="BH920" s="744" t="str">
        <f>IF(G920="","",IF(BF920="Abu Dhabi",IF(G920&lt;18,'General Basis'!$C$39,IF(G920&lt;41,'General Basis'!$C$40,IF(G920&lt;60,'General Basis'!$C$41,IF(G920&lt;65,'General Basis'!$C$42,'General Basis'!$C$43)))),IF(G920&lt;11,'General Basis'!$B$39,IF(G920&lt;18,'General Basis'!$B$40,IF(G920&lt;26,'General Basis'!$B$41,IF(G920&lt;31,'General Basis'!$B$42,IF(G920&lt;36,'General Basis'!$B$43,IF(G920&lt;41,'General Basis'!$B$44,IF(G920&lt;46,'General Basis'!$B$45,IF(G920&lt;51,'General Basis'!$B$46,IF(G920&lt;56,'General Basis'!$B$47,IF(G920&lt;60,'General Basis'!$B$48,IF(G920&lt;65,'General Basis'!$B$49,'General Basis'!$B$50)))))))))))))</f>
        <v/>
      </c>
      <c r="BI920" s="744" t="str">
        <f t="shared" si="335"/>
        <v/>
      </c>
      <c r="BJ920" s="747" t="str">
        <f t="shared" si="342"/>
        <v/>
      </c>
      <c r="BK920" s="498" t="str">
        <f t="shared" si="336"/>
        <v/>
      </c>
      <c r="BL920" s="498" t="str">
        <f t="shared" si="337"/>
        <v/>
      </c>
    </row>
    <row r="921" spans="1:64" x14ac:dyDescent="0.25">
      <c r="A921" s="762">
        <f t="shared" si="338"/>
        <v>916</v>
      </c>
      <c r="B921" s="229"/>
      <c r="C921" s="223"/>
      <c r="D921" s="224"/>
      <c r="E921" s="225"/>
      <c r="F921" s="1036" t="str">
        <f t="shared" si="344"/>
        <v/>
      </c>
      <c r="G921" s="1037" t="str">
        <f t="shared" si="339"/>
        <v/>
      </c>
      <c r="H921" s="225"/>
      <c r="I921" s="1013"/>
      <c r="J921" s="1013"/>
      <c r="K921" s="1028"/>
      <c r="L921" s="1035" t="str">
        <f t="shared" si="343"/>
        <v/>
      </c>
      <c r="S921" s="498"/>
      <c r="AJ921" s="498"/>
      <c r="AM921" s="498">
        <f t="shared" si="324"/>
        <v>0</v>
      </c>
      <c r="AN921" s="498">
        <f t="shared" si="325"/>
        <v>0</v>
      </c>
      <c r="AO921" s="498">
        <f t="shared" si="326"/>
        <v>0</v>
      </c>
      <c r="AP921" s="498">
        <f t="shared" si="345"/>
        <v>0</v>
      </c>
      <c r="AQ921" s="498">
        <f t="shared" si="340"/>
        <v>0</v>
      </c>
      <c r="AU921" s="498">
        <f t="shared" si="327"/>
        <v>0</v>
      </c>
      <c r="AV921" s="498">
        <f t="shared" si="328"/>
        <v>0</v>
      </c>
      <c r="AW921" s="498">
        <f t="shared" si="329"/>
        <v>0</v>
      </c>
      <c r="AX921" s="498">
        <f t="shared" si="330"/>
        <v>0</v>
      </c>
      <c r="AY921" s="498">
        <f t="shared" si="331"/>
        <v>0</v>
      </c>
      <c r="BB921" s="498" t="str">
        <f t="shared" si="332"/>
        <v/>
      </c>
      <c r="BC921" s="743" t="str">
        <f t="shared" si="333"/>
        <v/>
      </c>
      <c r="BD921" s="743" t="str">
        <f t="shared" si="334"/>
        <v/>
      </c>
      <c r="BE921" s="743" t="str">
        <f>IF(D921="","",VLOOKUP(D921,'General Basis'!$J$39:$K$46,2,0))</f>
        <v/>
      </c>
      <c r="BF921" s="744" t="str">
        <f>IF(D921="","",VLOOKUP(D921,'General Basis'!$J$39:$L$46,3,0))</f>
        <v/>
      </c>
      <c r="BG921" s="744" t="str">
        <f t="shared" si="341"/>
        <v/>
      </c>
      <c r="BH921" s="744" t="str">
        <f>IF(G921="","",IF(BF921="Abu Dhabi",IF(G921&lt;18,'General Basis'!$C$39,IF(G921&lt;41,'General Basis'!$C$40,IF(G921&lt;60,'General Basis'!$C$41,IF(G921&lt;65,'General Basis'!$C$42,'General Basis'!$C$43)))),IF(G921&lt;11,'General Basis'!$B$39,IF(G921&lt;18,'General Basis'!$B$40,IF(G921&lt;26,'General Basis'!$B$41,IF(G921&lt;31,'General Basis'!$B$42,IF(G921&lt;36,'General Basis'!$B$43,IF(G921&lt;41,'General Basis'!$B$44,IF(G921&lt;46,'General Basis'!$B$45,IF(G921&lt;51,'General Basis'!$B$46,IF(G921&lt;56,'General Basis'!$B$47,IF(G921&lt;60,'General Basis'!$B$48,IF(G921&lt;65,'General Basis'!$B$49,'General Basis'!$B$50)))))))))))))</f>
        <v/>
      </c>
      <c r="BI921" s="744" t="str">
        <f t="shared" si="335"/>
        <v/>
      </c>
      <c r="BJ921" s="747" t="str">
        <f t="shared" si="342"/>
        <v/>
      </c>
      <c r="BK921" s="498" t="str">
        <f t="shared" si="336"/>
        <v/>
      </c>
      <c r="BL921" s="498" t="str">
        <f t="shared" si="337"/>
        <v/>
      </c>
    </row>
    <row r="922" spans="1:64" x14ac:dyDescent="0.25">
      <c r="A922" s="762">
        <f t="shared" si="338"/>
        <v>917</v>
      </c>
      <c r="B922" s="229"/>
      <c r="C922" s="223"/>
      <c r="D922" s="224"/>
      <c r="E922" s="225"/>
      <c r="F922" s="1036" t="str">
        <f t="shared" si="344"/>
        <v/>
      </c>
      <c r="G922" s="1037" t="str">
        <f t="shared" si="339"/>
        <v/>
      </c>
      <c r="H922" s="225"/>
      <c r="I922" s="1013"/>
      <c r="J922" s="1013"/>
      <c r="K922" s="1028"/>
      <c r="L922" s="1035" t="str">
        <f t="shared" si="343"/>
        <v/>
      </c>
      <c r="S922" s="498"/>
      <c r="AJ922" s="498"/>
      <c r="AM922" s="498">
        <f t="shared" si="324"/>
        <v>0</v>
      </c>
      <c r="AN922" s="498">
        <f t="shared" si="325"/>
        <v>0</v>
      </c>
      <c r="AO922" s="498">
        <f t="shared" si="326"/>
        <v>0</v>
      </c>
      <c r="AP922" s="498">
        <f t="shared" si="345"/>
        <v>0</v>
      </c>
      <c r="AQ922" s="498">
        <f t="shared" si="340"/>
        <v>0</v>
      </c>
      <c r="AU922" s="498">
        <f t="shared" si="327"/>
        <v>0</v>
      </c>
      <c r="AV922" s="498">
        <f t="shared" si="328"/>
        <v>0</v>
      </c>
      <c r="AW922" s="498">
        <f t="shared" si="329"/>
        <v>0</v>
      </c>
      <c r="AX922" s="498">
        <f t="shared" si="330"/>
        <v>0</v>
      </c>
      <c r="AY922" s="498">
        <f t="shared" si="331"/>
        <v>0</v>
      </c>
      <c r="BB922" s="498" t="str">
        <f t="shared" si="332"/>
        <v/>
      </c>
      <c r="BC922" s="743" t="str">
        <f t="shared" si="333"/>
        <v/>
      </c>
      <c r="BD922" s="743" t="str">
        <f t="shared" si="334"/>
        <v/>
      </c>
      <c r="BE922" s="743" t="str">
        <f>IF(D922="","",VLOOKUP(D922,'General Basis'!$J$39:$K$46,2,0))</f>
        <v/>
      </c>
      <c r="BF922" s="744" t="str">
        <f>IF(D922="","",VLOOKUP(D922,'General Basis'!$J$39:$L$46,3,0))</f>
        <v/>
      </c>
      <c r="BG922" s="744" t="str">
        <f t="shared" si="341"/>
        <v/>
      </c>
      <c r="BH922" s="744" t="str">
        <f>IF(G922="","",IF(BF922="Abu Dhabi",IF(G922&lt;18,'General Basis'!$C$39,IF(G922&lt;41,'General Basis'!$C$40,IF(G922&lt;60,'General Basis'!$C$41,IF(G922&lt;65,'General Basis'!$C$42,'General Basis'!$C$43)))),IF(G922&lt;11,'General Basis'!$B$39,IF(G922&lt;18,'General Basis'!$B$40,IF(G922&lt;26,'General Basis'!$B$41,IF(G922&lt;31,'General Basis'!$B$42,IF(G922&lt;36,'General Basis'!$B$43,IF(G922&lt;41,'General Basis'!$B$44,IF(G922&lt;46,'General Basis'!$B$45,IF(G922&lt;51,'General Basis'!$B$46,IF(G922&lt;56,'General Basis'!$B$47,IF(G922&lt;60,'General Basis'!$B$48,IF(G922&lt;65,'General Basis'!$B$49,'General Basis'!$B$50)))))))))))))</f>
        <v/>
      </c>
      <c r="BI922" s="744" t="str">
        <f t="shared" si="335"/>
        <v/>
      </c>
      <c r="BJ922" s="747" t="str">
        <f t="shared" si="342"/>
        <v/>
      </c>
      <c r="BK922" s="498" t="str">
        <f t="shared" si="336"/>
        <v/>
      </c>
      <c r="BL922" s="498" t="str">
        <f t="shared" si="337"/>
        <v/>
      </c>
    </row>
    <row r="923" spans="1:64" x14ac:dyDescent="0.25">
      <c r="A923" s="762">
        <f t="shared" si="338"/>
        <v>918</v>
      </c>
      <c r="B923" s="229"/>
      <c r="C923" s="223"/>
      <c r="D923" s="224"/>
      <c r="E923" s="225"/>
      <c r="F923" s="1036" t="str">
        <f t="shared" si="344"/>
        <v/>
      </c>
      <c r="G923" s="1037" t="str">
        <f t="shared" si="339"/>
        <v/>
      </c>
      <c r="H923" s="225"/>
      <c r="I923" s="1013"/>
      <c r="J923" s="1013"/>
      <c r="K923" s="1028"/>
      <c r="L923" s="1035" t="str">
        <f t="shared" si="343"/>
        <v/>
      </c>
      <c r="S923" s="498"/>
      <c r="AJ923" s="498"/>
      <c r="AM923" s="498">
        <f t="shared" si="324"/>
        <v>0</v>
      </c>
      <c r="AN923" s="498">
        <f t="shared" si="325"/>
        <v>0</v>
      </c>
      <c r="AO923" s="498">
        <f t="shared" si="326"/>
        <v>0</v>
      </c>
      <c r="AP923" s="498">
        <f t="shared" si="345"/>
        <v>0</v>
      </c>
      <c r="AQ923" s="498">
        <f t="shared" si="340"/>
        <v>0</v>
      </c>
      <c r="AU923" s="498">
        <f t="shared" si="327"/>
        <v>0</v>
      </c>
      <c r="AV923" s="498">
        <f t="shared" si="328"/>
        <v>0</v>
      </c>
      <c r="AW923" s="498">
        <f t="shared" si="329"/>
        <v>0</v>
      </c>
      <c r="AX923" s="498">
        <f t="shared" si="330"/>
        <v>0</v>
      </c>
      <c r="AY923" s="498">
        <f t="shared" si="331"/>
        <v>0</v>
      </c>
      <c r="BB923" s="498" t="str">
        <f t="shared" si="332"/>
        <v/>
      </c>
      <c r="BC923" s="743" t="str">
        <f t="shared" si="333"/>
        <v/>
      </c>
      <c r="BD923" s="743" t="str">
        <f t="shared" si="334"/>
        <v/>
      </c>
      <c r="BE923" s="743" t="str">
        <f>IF(D923="","",VLOOKUP(D923,'General Basis'!$J$39:$K$46,2,0))</f>
        <v/>
      </c>
      <c r="BF923" s="744" t="str">
        <f>IF(D923="","",VLOOKUP(D923,'General Basis'!$J$39:$L$46,3,0))</f>
        <v/>
      </c>
      <c r="BG923" s="744" t="str">
        <f t="shared" si="341"/>
        <v/>
      </c>
      <c r="BH923" s="744" t="str">
        <f>IF(G923="","",IF(BF923="Abu Dhabi",IF(G923&lt;18,'General Basis'!$C$39,IF(G923&lt;41,'General Basis'!$C$40,IF(G923&lt;60,'General Basis'!$C$41,IF(G923&lt;65,'General Basis'!$C$42,'General Basis'!$C$43)))),IF(G923&lt;11,'General Basis'!$B$39,IF(G923&lt;18,'General Basis'!$B$40,IF(G923&lt;26,'General Basis'!$B$41,IF(G923&lt;31,'General Basis'!$B$42,IF(G923&lt;36,'General Basis'!$B$43,IF(G923&lt;41,'General Basis'!$B$44,IF(G923&lt;46,'General Basis'!$B$45,IF(G923&lt;51,'General Basis'!$B$46,IF(G923&lt;56,'General Basis'!$B$47,IF(G923&lt;60,'General Basis'!$B$48,IF(G923&lt;65,'General Basis'!$B$49,'General Basis'!$B$50)))))))))))))</f>
        <v/>
      </c>
      <c r="BI923" s="744" t="str">
        <f t="shared" si="335"/>
        <v/>
      </c>
      <c r="BJ923" s="747" t="str">
        <f t="shared" si="342"/>
        <v/>
      </c>
      <c r="BK923" s="498" t="str">
        <f t="shared" si="336"/>
        <v/>
      </c>
      <c r="BL923" s="498" t="str">
        <f t="shared" si="337"/>
        <v/>
      </c>
    </row>
    <row r="924" spans="1:64" x14ac:dyDescent="0.25">
      <c r="A924" s="762">
        <f t="shared" si="338"/>
        <v>919</v>
      </c>
      <c r="B924" s="229"/>
      <c r="C924" s="223"/>
      <c r="D924" s="224"/>
      <c r="E924" s="225"/>
      <c r="F924" s="1036" t="str">
        <f t="shared" si="344"/>
        <v/>
      </c>
      <c r="G924" s="1037" t="str">
        <f t="shared" si="339"/>
        <v/>
      </c>
      <c r="H924" s="225"/>
      <c r="I924" s="1013"/>
      <c r="J924" s="1013"/>
      <c r="K924" s="1028"/>
      <c r="L924" s="1035" t="str">
        <f t="shared" si="343"/>
        <v/>
      </c>
      <c r="S924" s="498"/>
      <c r="AJ924" s="498"/>
      <c r="AM924" s="498">
        <f t="shared" si="324"/>
        <v>0</v>
      </c>
      <c r="AN924" s="498">
        <f t="shared" si="325"/>
        <v>0</v>
      </c>
      <c r="AO924" s="498">
        <f t="shared" si="326"/>
        <v>0</v>
      </c>
      <c r="AP924" s="498">
        <f t="shared" si="345"/>
        <v>0</v>
      </c>
      <c r="AQ924" s="498">
        <f t="shared" si="340"/>
        <v>0</v>
      </c>
      <c r="AU924" s="498">
        <f t="shared" si="327"/>
        <v>0</v>
      </c>
      <c r="AV924" s="498">
        <f t="shared" si="328"/>
        <v>0</v>
      </c>
      <c r="AW924" s="498">
        <f t="shared" si="329"/>
        <v>0</v>
      </c>
      <c r="AX924" s="498">
        <f t="shared" si="330"/>
        <v>0</v>
      </c>
      <c r="AY924" s="498">
        <f t="shared" si="331"/>
        <v>0</v>
      </c>
      <c r="BB924" s="498" t="str">
        <f t="shared" si="332"/>
        <v/>
      </c>
      <c r="BC924" s="743" t="str">
        <f t="shared" si="333"/>
        <v/>
      </c>
      <c r="BD924" s="743" t="str">
        <f t="shared" si="334"/>
        <v/>
      </c>
      <c r="BE924" s="743" t="str">
        <f>IF(D924="","",VLOOKUP(D924,'General Basis'!$J$39:$K$46,2,0))</f>
        <v/>
      </c>
      <c r="BF924" s="744" t="str">
        <f>IF(D924="","",VLOOKUP(D924,'General Basis'!$J$39:$L$46,3,0))</f>
        <v/>
      </c>
      <c r="BG924" s="744" t="str">
        <f t="shared" si="341"/>
        <v/>
      </c>
      <c r="BH924" s="744" t="str">
        <f>IF(G924="","",IF(BF924="Abu Dhabi",IF(G924&lt;18,'General Basis'!$C$39,IF(G924&lt;41,'General Basis'!$C$40,IF(G924&lt;60,'General Basis'!$C$41,IF(G924&lt;65,'General Basis'!$C$42,'General Basis'!$C$43)))),IF(G924&lt;11,'General Basis'!$B$39,IF(G924&lt;18,'General Basis'!$B$40,IF(G924&lt;26,'General Basis'!$B$41,IF(G924&lt;31,'General Basis'!$B$42,IF(G924&lt;36,'General Basis'!$B$43,IF(G924&lt;41,'General Basis'!$B$44,IF(G924&lt;46,'General Basis'!$B$45,IF(G924&lt;51,'General Basis'!$B$46,IF(G924&lt;56,'General Basis'!$B$47,IF(G924&lt;60,'General Basis'!$B$48,IF(G924&lt;65,'General Basis'!$B$49,'General Basis'!$B$50)))))))))))))</f>
        <v/>
      </c>
      <c r="BI924" s="744" t="str">
        <f t="shared" si="335"/>
        <v/>
      </c>
      <c r="BJ924" s="747" t="str">
        <f t="shared" si="342"/>
        <v/>
      </c>
      <c r="BK924" s="498" t="str">
        <f t="shared" si="336"/>
        <v/>
      </c>
      <c r="BL924" s="498" t="str">
        <f t="shared" si="337"/>
        <v/>
      </c>
    </row>
    <row r="925" spans="1:64" x14ac:dyDescent="0.25">
      <c r="A925" s="762">
        <f t="shared" si="338"/>
        <v>920</v>
      </c>
      <c r="B925" s="229"/>
      <c r="C925" s="223"/>
      <c r="D925" s="224"/>
      <c r="E925" s="225"/>
      <c r="F925" s="1036" t="str">
        <f t="shared" si="344"/>
        <v/>
      </c>
      <c r="G925" s="1037" t="str">
        <f t="shared" si="339"/>
        <v/>
      </c>
      <c r="H925" s="225"/>
      <c r="I925" s="1013"/>
      <c r="J925" s="1013"/>
      <c r="K925" s="1028"/>
      <c r="L925" s="1035" t="str">
        <f t="shared" si="343"/>
        <v/>
      </c>
      <c r="S925" s="498"/>
      <c r="AJ925" s="498"/>
      <c r="AM925" s="498">
        <f t="shared" si="324"/>
        <v>0</v>
      </c>
      <c r="AN925" s="498">
        <f t="shared" si="325"/>
        <v>0</v>
      </c>
      <c r="AO925" s="498">
        <f t="shared" si="326"/>
        <v>0</v>
      </c>
      <c r="AP925" s="498">
        <f t="shared" si="345"/>
        <v>0</v>
      </c>
      <c r="AQ925" s="498">
        <f t="shared" si="340"/>
        <v>0</v>
      </c>
      <c r="AU925" s="498">
        <f t="shared" si="327"/>
        <v>0</v>
      </c>
      <c r="AV925" s="498">
        <f t="shared" si="328"/>
        <v>0</v>
      </c>
      <c r="AW925" s="498">
        <f t="shared" si="329"/>
        <v>0</v>
      </c>
      <c r="AX925" s="498">
        <f t="shared" si="330"/>
        <v>0</v>
      </c>
      <c r="AY925" s="498">
        <f t="shared" si="331"/>
        <v>0</v>
      </c>
      <c r="BB925" s="498" t="str">
        <f t="shared" si="332"/>
        <v/>
      </c>
      <c r="BC925" s="743" t="str">
        <f t="shared" si="333"/>
        <v/>
      </c>
      <c r="BD925" s="743" t="str">
        <f t="shared" si="334"/>
        <v/>
      </c>
      <c r="BE925" s="743" t="str">
        <f>IF(D925="","",VLOOKUP(D925,'General Basis'!$J$39:$K$46,2,0))</f>
        <v/>
      </c>
      <c r="BF925" s="744" t="str">
        <f>IF(D925="","",VLOOKUP(D925,'General Basis'!$J$39:$L$46,3,0))</f>
        <v/>
      </c>
      <c r="BG925" s="744" t="str">
        <f t="shared" si="341"/>
        <v/>
      </c>
      <c r="BH925" s="744" t="str">
        <f>IF(G925="","",IF(BF925="Abu Dhabi",IF(G925&lt;18,'General Basis'!$C$39,IF(G925&lt;41,'General Basis'!$C$40,IF(G925&lt;60,'General Basis'!$C$41,IF(G925&lt;65,'General Basis'!$C$42,'General Basis'!$C$43)))),IF(G925&lt;11,'General Basis'!$B$39,IF(G925&lt;18,'General Basis'!$B$40,IF(G925&lt;26,'General Basis'!$B$41,IF(G925&lt;31,'General Basis'!$B$42,IF(G925&lt;36,'General Basis'!$B$43,IF(G925&lt;41,'General Basis'!$B$44,IF(G925&lt;46,'General Basis'!$B$45,IF(G925&lt;51,'General Basis'!$B$46,IF(G925&lt;56,'General Basis'!$B$47,IF(G925&lt;60,'General Basis'!$B$48,IF(G925&lt;65,'General Basis'!$B$49,'General Basis'!$B$50)))))))))))))</f>
        <v/>
      </c>
      <c r="BI925" s="744" t="str">
        <f t="shared" si="335"/>
        <v/>
      </c>
      <c r="BJ925" s="747" t="str">
        <f t="shared" si="342"/>
        <v/>
      </c>
      <c r="BK925" s="498" t="str">
        <f t="shared" si="336"/>
        <v/>
      </c>
      <c r="BL925" s="498" t="str">
        <f t="shared" si="337"/>
        <v/>
      </c>
    </row>
    <row r="926" spans="1:64" x14ac:dyDescent="0.25">
      <c r="A926" s="762">
        <f t="shared" si="338"/>
        <v>921</v>
      </c>
      <c r="B926" s="229"/>
      <c r="C926" s="223"/>
      <c r="D926" s="224"/>
      <c r="E926" s="225"/>
      <c r="F926" s="1036" t="str">
        <f t="shared" si="344"/>
        <v/>
      </c>
      <c r="G926" s="1037" t="str">
        <f t="shared" si="339"/>
        <v/>
      </c>
      <c r="H926" s="225"/>
      <c r="I926" s="1013"/>
      <c r="J926" s="1013"/>
      <c r="K926" s="1028"/>
      <c r="L926" s="1035" t="str">
        <f t="shared" si="343"/>
        <v/>
      </c>
      <c r="S926" s="498"/>
      <c r="AJ926" s="498"/>
      <c r="AM926" s="498">
        <f t="shared" si="324"/>
        <v>0</v>
      </c>
      <c r="AN926" s="498">
        <f t="shared" si="325"/>
        <v>0</v>
      </c>
      <c r="AO926" s="498">
        <f t="shared" si="326"/>
        <v>0</v>
      </c>
      <c r="AP926" s="498">
        <f t="shared" si="345"/>
        <v>0</v>
      </c>
      <c r="AQ926" s="498">
        <f t="shared" si="340"/>
        <v>0</v>
      </c>
      <c r="AU926" s="498">
        <f t="shared" si="327"/>
        <v>0</v>
      </c>
      <c r="AV926" s="498">
        <f t="shared" si="328"/>
        <v>0</v>
      </c>
      <c r="AW926" s="498">
        <f t="shared" si="329"/>
        <v>0</v>
      </c>
      <c r="AX926" s="498">
        <f t="shared" si="330"/>
        <v>0</v>
      </c>
      <c r="AY926" s="498">
        <f t="shared" si="331"/>
        <v>0</v>
      </c>
      <c r="BB926" s="498" t="str">
        <f t="shared" si="332"/>
        <v/>
      </c>
      <c r="BC926" s="743" t="str">
        <f t="shared" si="333"/>
        <v/>
      </c>
      <c r="BD926" s="743" t="str">
        <f t="shared" si="334"/>
        <v/>
      </c>
      <c r="BE926" s="743" t="str">
        <f>IF(D926="","",VLOOKUP(D926,'General Basis'!$J$39:$K$46,2,0))</f>
        <v/>
      </c>
      <c r="BF926" s="744" t="str">
        <f>IF(D926="","",VLOOKUP(D926,'General Basis'!$J$39:$L$46,3,0))</f>
        <v/>
      </c>
      <c r="BG926" s="744" t="str">
        <f t="shared" si="341"/>
        <v/>
      </c>
      <c r="BH926" s="744" t="str">
        <f>IF(G926="","",IF(BF926="Abu Dhabi",IF(G926&lt;18,'General Basis'!$C$39,IF(G926&lt;41,'General Basis'!$C$40,IF(G926&lt;60,'General Basis'!$C$41,IF(G926&lt;65,'General Basis'!$C$42,'General Basis'!$C$43)))),IF(G926&lt;11,'General Basis'!$B$39,IF(G926&lt;18,'General Basis'!$B$40,IF(G926&lt;26,'General Basis'!$B$41,IF(G926&lt;31,'General Basis'!$B$42,IF(G926&lt;36,'General Basis'!$B$43,IF(G926&lt;41,'General Basis'!$B$44,IF(G926&lt;46,'General Basis'!$B$45,IF(G926&lt;51,'General Basis'!$B$46,IF(G926&lt;56,'General Basis'!$B$47,IF(G926&lt;60,'General Basis'!$B$48,IF(G926&lt;65,'General Basis'!$B$49,'General Basis'!$B$50)))))))))))))</f>
        <v/>
      </c>
      <c r="BI926" s="744" t="str">
        <f t="shared" si="335"/>
        <v/>
      </c>
      <c r="BJ926" s="747" t="str">
        <f t="shared" si="342"/>
        <v/>
      </c>
      <c r="BK926" s="498" t="str">
        <f t="shared" si="336"/>
        <v/>
      </c>
      <c r="BL926" s="498" t="str">
        <f t="shared" si="337"/>
        <v/>
      </c>
    </row>
    <row r="927" spans="1:64" x14ac:dyDescent="0.25">
      <c r="A927" s="762">
        <f t="shared" si="338"/>
        <v>922</v>
      </c>
      <c r="B927" s="229"/>
      <c r="C927" s="223"/>
      <c r="D927" s="224"/>
      <c r="E927" s="225"/>
      <c r="F927" s="1036" t="str">
        <f t="shared" si="344"/>
        <v/>
      </c>
      <c r="G927" s="1037" t="str">
        <f t="shared" si="339"/>
        <v/>
      </c>
      <c r="H927" s="225"/>
      <c r="I927" s="1013"/>
      <c r="J927" s="1013"/>
      <c r="K927" s="1028"/>
      <c r="L927" s="1035" t="str">
        <f t="shared" si="343"/>
        <v/>
      </c>
      <c r="S927" s="498"/>
      <c r="AJ927" s="498"/>
      <c r="AM927" s="498">
        <f t="shared" si="324"/>
        <v>0</v>
      </c>
      <c r="AN927" s="498">
        <f t="shared" si="325"/>
        <v>0</v>
      </c>
      <c r="AO927" s="498">
        <f t="shared" si="326"/>
        <v>0</v>
      </c>
      <c r="AP927" s="498">
        <f t="shared" si="345"/>
        <v>0</v>
      </c>
      <c r="AQ927" s="498">
        <f t="shared" si="340"/>
        <v>0</v>
      </c>
      <c r="AU927" s="498">
        <f t="shared" si="327"/>
        <v>0</v>
      </c>
      <c r="AV927" s="498">
        <f t="shared" si="328"/>
        <v>0</v>
      </c>
      <c r="AW927" s="498">
        <f t="shared" si="329"/>
        <v>0</v>
      </c>
      <c r="AX927" s="498">
        <f t="shared" si="330"/>
        <v>0</v>
      </c>
      <c r="AY927" s="498">
        <f t="shared" si="331"/>
        <v>0</v>
      </c>
      <c r="BB927" s="498" t="str">
        <f t="shared" si="332"/>
        <v/>
      </c>
      <c r="BC927" s="743" t="str">
        <f t="shared" si="333"/>
        <v/>
      </c>
      <c r="BD927" s="743" t="str">
        <f t="shared" si="334"/>
        <v/>
      </c>
      <c r="BE927" s="743" t="str">
        <f>IF(D927="","",VLOOKUP(D927,'General Basis'!$J$39:$K$46,2,0))</f>
        <v/>
      </c>
      <c r="BF927" s="744" t="str">
        <f>IF(D927="","",VLOOKUP(D927,'General Basis'!$J$39:$L$46,3,0))</f>
        <v/>
      </c>
      <c r="BG927" s="744" t="str">
        <f t="shared" si="341"/>
        <v/>
      </c>
      <c r="BH927" s="744" t="str">
        <f>IF(G927="","",IF(BF927="Abu Dhabi",IF(G927&lt;18,'General Basis'!$C$39,IF(G927&lt;41,'General Basis'!$C$40,IF(G927&lt;60,'General Basis'!$C$41,IF(G927&lt;65,'General Basis'!$C$42,'General Basis'!$C$43)))),IF(G927&lt;11,'General Basis'!$B$39,IF(G927&lt;18,'General Basis'!$B$40,IF(G927&lt;26,'General Basis'!$B$41,IF(G927&lt;31,'General Basis'!$B$42,IF(G927&lt;36,'General Basis'!$B$43,IF(G927&lt;41,'General Basis'!$B$44,IF(G927&lt;46,'General Basis'!$B$45,IF(G927&lt;51,'General Basis'!$B$46,IF(G927&lt;56,'General Basis'!$B$47,IF(G927&lt;60,'General Basis'!$B$48,IF(G927&lt;65,'General Basis'!$B$49,'General Basis'!$B$50)))))))))))))</f>
        <v/>
      </c>
      <c r="BI927" s="744" t="str">
        <f t="shared" si="335"/>
        <v/>
      </c>
      <c r="BJ927" s="747" t="str">
        <f t="shared" si="342"/>
        <v/>
      </c>
      <c r="BK927" s="498" t="str">
        <f t="shared" si="336"/>
        <v/>
      </c>
      <c r="BL927" s="498" t="str">
        <f t="shared" si="337"/>
        <v/>
      </c>
    </row>
    <row r="928" spans="1:64" x14ac:dyDescent="0.25">
      <c r="A928" s="762">
        <f t="shared" si="338"/>
        <v>923</v>
      </c>
      <c r="B928" s="229"/>
      <c r="C928" s="223"/>
      <c r="D928" s="224"/>
      <c r="E928" s="225"/>
      <c r="F928" s="1036" t="str">
        <f t="shared" si="344"/>
        <v/>
      </c>
      <c r="G928" s="1037" t="str">
        <f t="shared" si="339"/>
        <v/>
      </c>
      <c r="H928" s="225"/>
      <c r="I928" s="1013"/>
      <c r="J928" s="1013"/>
      <c r="K928" s="1028"/>
      <c r="L928" s="1035" t="str">
        <f t="shared" si="343"/>
        <v/>
      </c>
      <c r="S928" s="498"/>
      <c r="AJ928" s="498"/>
      <c r="AM928" s="498">
        <f t="shared" si="324"/>
        <v>0</v>
      </c>
      <c r="AN928" s="498">
        <f t="shared" si="325"/>
        <v>0</v>
      </c>
      <c r="AO928" s="498">
        <f t="shared" si="326"/>
        <v>0</v>
      </c>
      <c r="AP928" s="498">
        <f t="shared" si="345"/>
        <v>0</v>
      </c>
      <c r="AQ928" s="498">
        <f t="shared" si="340"/>
        <v>0</v>
      </c>
      <c r="AU928" s="498">
        <f t="shared" si="327"/>
        <v>0</v>
      </c>
      <c r="AV928" s="498">
        <f t="shared" si="328"/>
        <v>0</v>
      </c>
      <c r="AW928" s="498">
        <f t="shared" si="329"/>
        <v>0</v>
      </c>
      <c r="AX928" s="498">
        <f t="shared" si="330"/>
        <v>0</v>
      </c>
      <c r="AY928" s="498">
        <f t="shared" si="331"/>
        <v>0</v>
      </c>
      <c r="BB928" s="498" t="str">
        <f t="shared" si="332"/>
        <v/>
      </c>
      <c r="BC928" s="743" t="str">
        <f t="shared" si="333"/>
        <v/>
      </c>
      <c r="BD928" s="743" t="str">
        <f t="shared" si="334"/>
        <v/>
      </c>
      <c r="BE928" s="743" t="str">
        <f>IF(D928="","",VLOOKUP(D928,'General Basis'!$J$39:$K$46,2,0))</f>
        <v/>
      </c>
      <c r="BF928" s="744" t="str">
        <f>IF(D928="","",VLOOKUP(D928,'General Basis'!$J$39:$L$46,3,0))</f>
        <v/>
      </c>
      <c r="BG928" s="744" t="str">
        <f t="shared" si="341"/>
        <v/>
      </c>
      <c r="BH928" s="744" t="str">
        <f>IF(G928="","",IF(BF928="Abu Dhabi",IF(G928&lt;18,'General Basis'!$C$39,IF(G928&lt;41,'General Basis'!$C$40,IF(G928&lt;60,'General Basis'!$C$41,IF(G928&lt;65,'General Basis'!$C$42,'General Basis'!$C$43)))),IF(G928&lt;11,'General Basis'!$B$39,IF(G928&lt;18,'General Basis'!$B$40,IF(G928&lt;26,'General Basis'!$B$41,IF(G928&lt;31,'General Basis'!$B$42,IF(G928&lt;36,'General Basis'!$B$43,IF(G928&lt;41,'General Basis'!$B$44,IF(G928&lt;46,'General Basis'!$B$45,IF(G928&lt;51,'General Basis'!$B$46,IF(G928&lt;56,'General Basis'!$B$47,IF(G928&lt;60,'General Basis'!$B$48,IF(G928&lt;65,'General Basis'!$B$49,'General Basis'!$B$50)))))))))))))</f>
        <v/>
      </c>
      <c r="BI928" s="744" t="str">
        <f t="shared" si="335"/>
        <v/>
      </c>
      <c r="BJ928" s="747" t="str">
        <f t="shared" si="342"/>
        <v/>
      </c>
      <c r="BK928" s="498" t="str">
        <f t="shared" si="336"/>
        <v/>
      </c>
      <c r="BL928" s="498" t="str">
        <f t="shared" si="337"/>
        <v/>
      </c>
    </row>
    <row r="929" spans="1:64" x14ac:dyDescent="0.25">
      <c r="A929" s="762">
        <f t="shared" si="338"/>
        <v>924</v>
      </c>
      <c r="B929" s="229"/>
      <c r="C929" s="223"/>
      <c r="D929" s="224"/>
      <c r="E929" s="225"/>
      <c r="F929" s="1036" t="str">
        <f t="shared" si="344"/>
        <v/>
      </c>
      <c r="G929" s="1037" t="str">
        <f t="shared" si="339"/>
        <v/>
      </c>
      <c r="H929" s="225"/>
      <c r="I929" s="1013"/>
      <c r="J929" s="1013"/>
      <c r="K929" s="1028"/>
      <c r="L929" s="1035" t="str">
        <f t="shared" si="343"/>
        <v/>
      </c>
      <c r="S929" s="498"/>
      <c r="AJ929" s="498"/>
      <c r="AM929" s="498">
        <f t="shared" si="324"/>
        <v>0</v>
      </c>
      <c r="AN929" s="498">
        <f t="shared" si="325"/>
        <v>0</v>
      </c>
      <c r="AO929" s="498">
        <f t="shared" si="326"/>
        <v>0</v>
      </c>
      <c r="AP929" s="498">
        <f t="shared" si="345"/>
        <v>0</v>
      </c>
      <c r="AQ929" s="498">
        <f t="shared" si="340"/>
        <v>0</v>
      </c>
      <c r="AU929" s="498">
        <f t="shared" si="327"/>
        <v>0</v>
      </c>
      <c r="AV929" s="498">
        <f t="shared" si="328"/>
        <v>0</v>
      </c>
      <c r="AW929" s="498">
        <f t="shared" si="329"/>
        <v>0</v>
      </c>
      <c r="AX929" s="498">
        <f t="shared" si="330"/>
        <v>0</v>
      </c>
      <c r="AY929" s="498">
        <f t="shared" si="331"/>
        <v>0</v>
      </c>
      <c r="BB929" s="498" t="str">
        <f t="shared" si="332"/>
        <v/>
      </c>
      <c r="BC929" s="743" t="str">
        <f t="shared" si="333"/>
        <v/>
      </c>
      <c r="BD929" s="743" t="str">
        <f t="shared" si="334"/>
        <v/>
      </c>
      <c r="BE929" s="743" t="str">
        <f>IF(D929="","",VLOOKUP(D929,'General Basis'!$J$39:$K$46,2,0))</f>
        <v/>
      </c>
      <c r="BF929" s="744" t="str">
        <f>IF(D929="","",VLOOKUP(D929,'General Basis'!$J$39:$L$46,3,0))</f>
        <v/>
      </c>
      <c r="BG929" s="744" t="str">
        <f t="shared" si="341"/>
        <v/>
      </c>
      <c r="BH929" s="744" t="str">
        <f>IF(G929="","",IF(BF929="Abu Dhabi",IF(G929&lt;18,'General Basis'!$C$39,IF(G929&lt;41,'General Basis'!$C$40,IF(G929&lt;60,'General Basis'!$C$41,IF(G929&lt;65,'General Basis'!$C$42,'General Basis'!$C$43)))),IF(G929&lt;11,'General Basis'!$B$39,IF(G929&lt;18,'General Basis'!$B$40,IF(G929&lt;26,'General Basis'!$B$41,IF(G929&lt;31,'General Basis'!$B$42,IF(G929&lt;36,'General Basis'!$B$43,IF(G929&lt;41,'General Basis'!$B$44,IF(G929&lt;46,'General Basis'!$B$45,IF(G929&lt;51,'General Basis'!$B$46,IF(G929&lt;56,'General Basis'!$B$47,IF(G929&lt;60,'General Basis'!$B$48,IF(G929&lt;65,'General Basis'!$B$49,'General Basis'!$B$50)))))))))))))</f>
        <v/>
      </c>
      <c r="BI929" s="744" t="str">
        <f t="shared" si="335"/>
        <v/>
      </c>
      <c r="BJ929" s="747" t="str">
        <f t="shared" si="342"/>
        <v/>
      </c>
      <c r="BK929" s="498" t="str">
        <f t="shared" si="336"/>
        <v/>
      </c>
      <c r="BL929" s="498" t="str">
        <f t="shared" si="337"/>
        <v/>
      </c>
    </row>
    <row r="930" spans="1:64" x14ac:dyDescent="0.25">
      <c r="A930" s="762">
        <f t="shared" si="338"/>
        <v>925</v>
      </c>
      <c r="B930" s="229"/>
      <c r="C930" s="223"/>
      <c r="D930" s="224"/>
      <c r="E930" s="225"/>
      <c r="F930" s="1036" t="str">
        <f t="shared" si="344"/>
        <v/>
      </c>
      <c r="G930" s="1037" t="str">
        <f t="shared" si="339"/>
        <v/>
      </c>
      <c r="H930" s="225"/>
      <c r="I930" s="1013"/>
      <c r="J930" s="1013"/>
      <c r="K930" s="1028"/>
      <c r="L930" s="1035" t="str">
        <f t="shared" si="343"/>
        <v/>
      </c>
      <c r="S930" s="498"/>
      <c r="AJ930" s="498"/>
      <c r="AM930" s="498">
        <f t="shared" si="324"/>
        <v>0</v>
      </c>
      <c r="AN930" s="498">
        <f t="shared" si="325"/>
        <v>0</v>
      </c>
      <c r="AO930" s="498">
        <f t="shared" si="326"/>
        <v>0</v>
      </c>
      <c r="AP930" s="498">
        <f t="shared" si="345"/>
        <v>0</v>
      </c>
      <c r="AQ930" s="498">
        <f t="shared" si="340"/>
        <v>0</v>
      </c>
      <c r="AU930" s="498">
        <f t="shared" si="327"/>
        <v>0</v>
      </c>
      <c r="AV930" s="498">
        <f t="shared" si="328"/>
        <v>0</v>
      </c>
      <c r="AW930" s="498">
        <f t="shared" si="329"/>
        <v>0</v>
      </c>
      <c r="AX930" s="498">
        <f t="shared" si="330"/>
        <v>0</v>
      </c>
      <c r="AY930" s="498">
        <f t="shared" si="331"/>
        <v>0</v>
      </c>
      <c r="BB930" s="498" t="str">
        <f t="shared" si="332"/>
        <v/>
      </c>
      <c r="BC930" s="743" t="str">
        <f t="shared" si="333"/>
        <v/>
      </c>
      <c r="BD930" s="743" t="str">
        <f t="shared" si="334"/>
        <v/>
      </c>
      <c r="BE930" s="743" t="str">
        <f>IF(D930="","",VLOOKUP(D930,'General Basis'!$J$39:$K$46,2,0))</f>
        <v/>
      </c>
      <c r="BF930" s="744" t="str">
        <f>IF(D930="","",VLOOKUP(D930,'General Basis'!$J$39:$L$46,3,0))</f>
        <v/>
      </c>
      <c r="BG930" s="744" t="str">
        <f t="shared" si="341"/>
        <v/>
      </c>
      <c r="BH930" s="744" t="str">
        <f>IF(G930="","",IF(BF930="Abu Dhabi",IF(G930&lt;18,'General Basis'!$C$39,IF(G930&lt;41,'General Basis'!$C$40,IF(G930&lt;60,'General Basis'!$C$41,IF(G930&lt;65,'General Basis'!$C$42,'General Basis'!$C$43)))),IF(G930&lt;11,'General Basis'!$B$39,IF(G930&lt;18,'General Basis'!$B$40,IF(G930&lt;26,'General Basis'!$B$41,IF(G930&lt;31,'General Basis'!$B$42,IF(G930&lt;36,'General Basis'!$B$43,IF(G930&lt;41,'General Basis'!$B$44,IF(G930&lt;46,'General Basis'!$B$45,IF(G930&lt;51,'General Basis'!$B$46,IF(G930&lt;56,'General Basis'!$B$47,IF(G930&lt;60,'General Basis'!$B$48,IF(G930&lt;65,'General Basis'!$B$49,'General Basis'!$B$50)))))))))))))</f>
        <v/>
      </c>
      <c r="BI930" s="744" t="str">
        <f t="shared" si="335"/>
        <v/>
      </c>
      <c r="BJ930" s="747" t="str">
        <f t="shared" si="342"/>
        <v/>
      </c>
      <c r="BK930" s="498" t="str">
        <f t="shared" si="336"/>
        <v/>
      </c>
      <c r="BL930" s="498" t="str">
        <f t="shared" si="337"/>
        <v/>
      </c>
    </row>
    <row r="931" spans="1:64" x14ac:dyDescent="0.25">
      <c r="A931" s="762">
        <f t="shared" si="338"/>
        <v>926</v>
      </c>
      <c r="B931" s="229"/>
      <c r="C931" s="223"/>
      <c r="D931" s="224"/>
      <c r="E931" s="225"/>
      <c r="F931" s="1036" t="str">
        <f t="shared" si="344"/>
        <v/>
      </c>
      <c r="G931" s="1037" t="str">
        <f t="shared" si="339"/>
        <v/>
      </c>
      <c r="H931" s="225"/>
      <c r="I931" s="1013"/>
      <c r="J931" s="1013"/>
      <c r="K931" s="1028"/>
      <c r="L931" s="1035" t="str">
        <f t="shared" si="343"/>
        <v/>
      </c>
      <c r="S931" s="498"/>
      <c r="AJ931" s="498"/>
      <c r="AM931" s="498">
        <f t="shared" si="324"/>
        <v>0</v>
      </c>
      <c r="AN931" s="498">
        <f t="shared" si="325"/>
        <v>0</v>
      </c>
      <c r="AO931" s="498">
        <f t="shared" si="326"/>
        <v>0</v>
      </c>
      <c r="AP931" s="498">
        <f t="shared" si="345"/>
        <v>0</v>
      </c>
      <c r="AQ931" s="498">
        <f t="shared" si="340"/>
        <v>0</v>
      </c>
      <c r="AU931" s="498">
        <f t="shared" si="327"/>
        <v>0</v>
      </c>
      <c r="AV931" s="498">
        <f t="shared" si="328"/>
        <v>0</v>
      </c>
      <c r="AW931" s="498">
        <f t="shared" si="329"/>
        <v>0</v>
      </c>
      <c r="AX931" s="498">
        <f t="shared" si="330"/>
        <v>0</v>
      </c>
      <c r="AY931" s="498">
        <f t="shared" si="331"/>
        <v>0</v>
      </c>
      <c r="BB931" s="498" t="str">
        <f t="shared" si="332"/>
        <v/>
      </c>
      <c r="BC931" s="743" t="str">
        <f t="shared" si="333"/>
        <v/>
      </c>
      <c r="BD931" s="743" t="str">
        <f t="shared" si="334"/>
        <v/>
      </c>
      <c r="BE931" s="743" t="str">
        <f>IF(D931="","",VLOOKUP(D931,'General Basis'!$J$39:$K$46,2,0))</f>
        <v/>
      </c>
      <c r="BF931" s="744" t="str">
        <f>IF(D931="","",VLOOKUP(D931,'General Basis'!$J$39:$L$46,3,0))</f>
        <v/>
      </c>
      <c r="BG931" s="744" t="str">
        <f t="shared" si="341"/>
        <v/>
      </c>
      <c r="BH931" s="744" t="str">
        <f>IF(G931="","",IF(BF931="Abu Dhabi",IF(G931&lt;18,'General Basis'!$C$39,IF(G931&lt;41,'General Basis'!$C$40,IF(G931&lt;60,'General Basis'!$C$41,IF(G931&lt;65,'General Basis'!$C$42,'General Basis'!$C$43)))),IF(G931&lt;11,'General Basis'!$B$39,IF(G931&lt;18,'General Basis'!$B$40,IF(G931&lt;26,'General Basis'!$B$41,IF(G931&lt;31,'General Basis'!$B$42,IF(G931&lt;36,'General Basis'!$B$43,IF(G931&lt;41,'General Basis'!$B$44,IF(G931&lt;46,'General Basis'!$B$45,IF(G931&lt;51,'General Basis'!$B$46,IF(G931&lt;56,'General Basis'!$B$47,IF(G931&lt;60,'General Basis'!$B$48,IF(G931&lt;65,'General Basis'!$B$49,'General Basis'!$B$50)))))))))))))</f>
        <v/>
      </c>
      <c r="BI931" s="744" t="str">
        <f t="shared" si="335"/>
        <v/>
      </c>
      <c r="BJ931" s="747" t="str">
        <f t="shared" si="342"/>
        <v/>
      </c>
      <c r="BK931" s="498" t="str">
        <f t="shared" si="336"/>
        <v/>
      </c>
      <c r="BL931" s="498" t="str">
        <f t="shared" si="337"/>
        <v/>
      </c>
    </row>
    <row r="932" spans="1:64" x14ac:dyDescent="0.25">
      <c r="A932" s="762">
        <f t="shared" si="338"/>
        <v>927</v>
      </c>
      <c r="B932" s="229"/>
      <c r="C932" s="223"/>
      <c r="D932" s="224"/>
      <c r="E932" s="225"/>
      <c r="F932" s="1036" t="str">
        <f t="shared" si="344"/>
        <v/>
      </c>
      <c r="G932" s="1037" t="str">
        <f t="shared" si="339"/>
        <v/>
      </c>
      <c r="H932" s="225"/>
      <c r="I932" s="1013"/>
      <c r="J932" s="1013"/>
      <c r="K932" s="1028"/>
      <c r="L932" s="1035" t="str">
        <f t="shared" si="343"/>
        <v/>
      </c>
      <c r="S932" s="498"/>
      <c r="AJ932" s="498"/>
      <c r="AM932" s="498">
        <f t="shared" si="324"/>
        <v>0</v>
      </c>
      <c r="AN932" s="498">
        <f t="shared" si="325"/>
        <v>0</v>
      </c>
      <c r="AO932" s="498">
        <f t="shared" si="326"/>
        <v>0</v>
      </c>
      <c r="AP932" s="498">
        <f t="shared" si="345"/>
        <v>0</v>
      </c>
      <c r="AQ932" s="498">
        <f t="shared" si="340"/>
        <v>0</v>
      </c>
      <c r="AU932" s="498">
        <f t="shared" si="327"/>
        <v>0</v>
      </c>
      <c r="AV932" s="498">
        <f t="shared" si="328"/>
        <v>0</v>
      </c>
      <c r="AW932" s="498">
        <f t="shared" si="329"/>
        <v>0</v>
      </c>
      <c r="AX932" s="498">
        <f t="shared" si="330"/>
        <v>0</v>
      </c>
      <c r="AY932" s="498">
        <f t="shared" si="331"/>
        <v>0</v>
      </c>
      <c r="BB932" s="498" t="str">
        <f t="shared" si="332"/>
        <v/>
      </c>
      <c r="BC932" s="743" t="str">
        <f t="shared" si="333"/>
        <v/>
      </c>
      <c r="BD932" s="743" t="str">
        <f t="shared" si="334"/>
        <v/>
      </c>
      <c r="BE932" s="743" t="str">
        <f>IF(D932="","",VLOOKUP(D932,'General Basis'!$J$39:$K$46,2,0))</f>
        <v/>
      </c>
      <c r="BF932" s="744" t="str">
        <f>IF(D932="","",VLOOKUP(D932,'General Basis'!$J$39:$L$46,3,0))</f>
        <v/>
      </c>
      <c r="BG932" s="744" t="str">
        <f t="shared" si="341"/>
        <v/>
      </c>
      <c r="BH932" s="744" t="str">
        <f>IF(G932="","",IF(BF932="Abu Dhabi",IF(G932&lt;18,'General Basis'!$C$39,IF(G932&lt;41,'General Basis'!$C$40,IF(G932&lt;60,'General Basis'!$C$41,IF(G932&lt;65,'General Basis'!$C$42,'General Basis'!$C$43)))),IF(G932&lt;11,'General Basis'!$B$39,IF(G932&lt;18,'General Basis'!$B$40,IF(G932&lt;26,'General Basis'!$B$41,IF(G932&lt;31,'General Basis'!$B$42,IF(G932&lt;36,'General Basis'!$B$43,IF(G932&lt;41,'General Basis'!$B$44,IF(G932&lt;46,'General Basis'!$B$45,IF(G932&lt;51,'General Basis'!$B$46,IF(G932&lt;56,'General Basis'!$B$47,IF(G932&lt;60,'General Basis'!$B$48,IF(G932&lt;65,'General Basis'!$B$49,'General Basis'!$B$50)))))))))))))</f>
        <v/>
      </c>
      <c r="BI932" s="744" t="str">
        <f t="shared" si="335"/>
        <v/>
      </c>
      <c r="BJ932" s="747" t="str">
        <f t="shared" si="342"/>
        <v/>
      </c>
      <c r="BK932" s="498" t="str">
        <f t="shared" si="336"/>
        <v/>
      </c>
      <c r="BL932" s="498" t="str">
        <f t="shared" si="337"/>
        <v/>
      </c>
    </row>
    <row r="933" spans="1:64" x14ac:dyDescent="0.25">
      <c r="A933" s="762">
        <f t="shared" si="338"/>
        <v>928</v>
      </c>
      <c r="B933" s="229"/>
      <c r="C933" s="223"/>
      <c r="D933" s="224"/>
      <c r="E933" s="225"/>
      <c r="F933" s="1036" t="str">
        <f t="shared" si="344"/>
        <v/>
      </c>
      <c r="G933" s="1037" t="str">
        <f t="shared" si="339"/>
        <v/>
      </c>
      <c r="H933" s="225"/>
      <c r="I933" s="1013"/>
      <c r="J933" s="1013"/>
      <c r="K933" s="1028"/>
      <c r="L933" s="1035" t="str">
        <f t="shared" si="343"/>
        <v/>
      </c>
      <c r="S933" s="498"/>
      <c r="AJ933" s="498"/>
      <c r="AM933" s="498">
        <f t="shared" si="324"/>
        <v>0</v>
      </c>
      <c r="AN933" s="498">
        <f t="shared" si="325"/>
        <v>0</v>
      </c>
      <c r="AO933" s="498">
        <f t="shared" si="326"/>
        <v>0</v>
      </c>
      <c r="AP933" s="498">
        <f t="shared" si="345"/>
        <v>0</v>
      </c>
      <c r="AQ933" s="498">
        <f t="shared" si="340"/>
        <v>0</v>
      </c>
      <c r="AU933" s="498">
        <f t="shared" si="327"/>
        <v>0</v>
      </c>
      <c r="AV933" s="498">
        <f t="shared" si="328"/>
        <v>0</v>
      </c>
      <c r="AW933" s="498">
        <f t="shared" si="329"/>
        <v>0</v>
      </c>
      <c r="AX933" s="498">
        <f t="shared" si="330"/>
        <v>0</v>
      </c>
      <c r="AY933" s="498">
        <f t="shared" si="331"/>
        <v>0</v>
      </c>
      <c r="BB933" s="498" t="str">
        <f t="shared" si="332"/>
        <v/>
      </c>
      <c r="BC933" s="743" t="str">
        <f t="shared" si="333"/>
        <v/>
      </c>
      <c r="BD933" s="743" t="str">
        <f t="shared" si="334"/>
        <v/>
      </c>
      <c r="BE933" s="743" t="str">
        <f>IF(D933="","",VLOOKUP(D933,'General Basis'!$J$39:$K$46,2,0))</f>
        <v/>
      </c>
      <c r="BF933" s="744" t="str">
        <f>IF(D933="","",VLOOKUP(D933,'General Basis'!$J$39:$L$46,3,0))</f>
        <v/>
      </c>
      <c r="BG933" s="744" t="str">
        <f t="shared" si="341"/>
        <v/>
      </c>
      <c r="BH933" s="744" t="str">
        <f>IF(G933="","",IF(BF933="Abu Dhabi",IF(G933&lt;18,'General Basis'!$C$39,IF(G933&lt;41,'General Basis'!$C$40,IF(G933&lt;60,'General Basis'!$C$41,IF(G933&lt;65,'General Basis'!$C$42,'General Basis'!$C$43)))),IF(G933&lt;11,'General Basis'!$B$39,IF(G933&lt;18,'General Basis'!$B$40,IF(G933&lt;26,'General Basis'!$B$41,IF(G933&lt;31,'General Basis'!$B$42,IF(G933&lt;36,'General Basis'!$B$43,IF(G933&lt;41,'General Basis'!$B$44,IF(G933&lt;46,'General Basis'!$B$45,IF(G933&lt;51,'General Basis'!$B$46,IF(G933&lt;56,'General Basis'!$B$47,IF(G933&lt;60,'General Basis'!$B$48,IF(G933&lt;65,'General Basis'!$B$49,'General Basis'!$B$50)))))))))))))</f>
        <v/>
      </c>
      <c r="BI933" s="744" t="str">
        <f t="shared" si="335"/>
        <v/>
      </c>
      <c r="BJ933" s="747" t="str">
        <f t="shared" si="342"/>
        <v/>
      </c>
      <c r="BK933" s="498" t="str">
        <f t="shared" si="336"/>
        <v/>
      </c>
      <c r="BL933" s="498" t="str">
        <f t="shared" si="337"/>
        <v/>
      </c>
    </row>
    <row r="934" spans="1:64" x14ac:dyDescent="0.25">
      <c r="A934" s="762">
        <f t="shared" si="338"/>
        <v>929</v>
      </c>
      <c r="B934" s="229"/>
      <c r="C934" s="223"/>
      <c r="D934" s="224"/>
      <c r="E934" s="225"/>
      <c r="F934" s="1036" t="str">
        <f t="shared" si="344"/>
        <v/>
      </c>
      <c r="G934" s="1037" t="str">
        <f t="shared" si="339"/>
        <v/>
      </c>
      <c r="H934" s="225"/>
      <c r="I934" s="1013"/>
      <c r="J934" s="1013"/>
      <c r="K934" s="1028"/>
      <c r="L934" s="1035" t="str">
        <f t="shared" si="343"/>
        <v/>
      </c>
      <c r="S934" s="498"/>
      <c r="AJ934" s="498"/>
      <c r="AM934" s="498">
        <f t="shared" si="324"/>
        <v>0</v>
      </c>
      <c r="AN934" s="498">
        <f t="shared" si="325"/>
        <v>0</v>
      </c>
      <c r="AO934" s="498">
        <f t="shared" si="326"/>
        <v>0</v>
      </c>
      <c r="AP934" s="498">
        <f t="shared" si="345"/>
        <v>0</v>
      </c>
      <c r="AQ934" s="498">
        <f t="shared" si="340"/>
        <v>0</v>
      </c>
      <c r="AU934" s="498">
        <f t="shared" si="327"/>
        <v>0</v>
      </c>
      <c r="AV934" s="498">
        <f t="shared" si="328"/>
        <v>0</v>
      </c>
      <c r="AW934" s="498">
        <f t="shared" si="329"/>
        <v>0</v>
      </c>
      <c r="AX934" s="498">
        <f t="shared" si="330"/>
        <v>0</v>
      </c>
      <c r="AY934" s="498">
        <f t="shared" si="331"/>
        <v>0</v>
      </c>
      <c r="BB934" s="498" t="str">
        <f t="shared" si="332"/>
        <v/>
      </c>
      <c r="BC934" s="743" t="str">
        <f t="shared" si="333"/>
        <v/>
      </c>
      <c r="BD934" s="743" t="str">
        <f t="shared" si="334"/>
        <v/>
      </c>
      <c r="BE934" s="743" t="str">
        <f>IF(D934="","",VLOOKUP(D934,'General Basis'!$J$39:$K$46,2,0))</f>
        <v/>
      </c>
      <c r="BF934" s="744" t="str">
        <f>IF(D934="","",VLOOKUP(D934,'General Basis'!$J$39:$L$46,3,0))</f>
        <v/>
      </c>
      <c r="BG934" s="744" t="str">
        <f t="shared" si="341"/>
        <v/>
      </c>
      <c r="BH934" s="744" t="str">
        <f>IF(G934="","",IF(BF934="Abu Dhabi",IF(G934&lt;18,'General Basis'!$C$39,IF(G934&lt;41,'General Basis'!$C$40,IF(G934&lt;60,'General Basis'!$C$41,IF(G934&lt;65,'General Basis'!$C$42,'General Basis'!$C$43)))),IF(G934&lt;11,'General Basis'!$B$39,IF(G934&lt;18,'General Basis'!$B$40,IF(G934&lt;26,'General Basis'!$B$41,IF(G934&lt;31,'General Basis'!$B$42,IF(G934&lt;36,'General Basis'!$B$43,IF(G934&lt;41,'General Basis'!$B$44,IF(G934&lt;46,'General Basis'!$B$45,IF(G934&lt;51,'General Basis'!$B$46,IF(G934&lt;56,'General Basis'!$B$47,IF(G934&lt;60,'General Basis'!$B$48,IF(G934&lt;65,'General Basis'!$B$49,'General Basis'!$B$50)))))))))))))</f>
        <v/>
      </c>
      <c r="BI934" s="744" t="str">
        <f t="shared" si="335"/>
        <v/>
      </c>
      <c r="BJ934" s="747" t="str">
        <f t="shared" si="342"/>
        <v/>
      </c>
      <c r="BK934" s="498" t="str">
        <f t="shared" si="336"/>
        <v/>
      </c>
      <c r="BL934" s="498" t="str">
        <f t="shared" si="337"/>
        <v/>
      </c>
    </row>
    <row r="935" spans="1:64" x14ac:dyDescent="0.25">
      <c r="A935" s="762">
        <f t="shared" si="338"/>
        <v>930</v>
      </c>
      <c r="B935" s="229"/>
      <c r="C935" s="223"/>
      <c r="D935" s="224"/>
      <c r="E935" s="225"/>
      <c r="F935" s="1036" t="str">
        <f t="shared" si="344"/>
        <v/>
      </c>
      <c r="G935" s="1037" t="str">
        <f t="shared" si="339"/>
        <v/>
      </c>
      <c r="H935" s="225"/>
      <c r="I935" s="1013"/>
      <c r="J935" s="1013"/>
      <c r="K935" s="1028"/>
      <c r="L935" s="1035" t="str">
        <f t="shared" si="343"/>
        <v/>
      </c>
      <c r="S935" s="498"/>
      <c r="AJ935" s="498"/>
      <c r="AM935" s="498">
        <f t="shared" si="324"/>
        <v>0</v>
      </c>
      <c r="AN935" s="498">
        <f t="shared" si="325"/>
        <v>0</v>
      </c>
      <c r="AO935" s="498">
        <f t="shared" si="326"/>
        <v>0</v>
      </c>
      <c r="AP935" s="498">
        <f t="shared" si="345"/>
        <v>0</v>
      </c>
      <c r="AQ935" s="498">
        <f t="shared" si="340"/>
        <v>0</v>
      </c>
      <c r="AU935" s="498">
        <f t="shared" si="327"/>
        <v>0</v>
      </c>
      <c r="AV935" s="498">
        <f t="shared" si="328"/>
        <v>0</v>
      </c>
      <c r="AW935" s="498">
        <f t="shared" si="329"/>
        <v>0</v>
      </c>
      <c r="AX935" s="498">
        <f t="shared" si="330"/>
        <v>0</v>
      </c>
      <c r="AY935" s="498">
        <f t="shared" si="331"/>
        <v>0</v>
      </c>
      <c r="BB935" s="498" t="str">
        <f t="shared" si="332"/>
        <v/>
      </c>
      <c r="BC935" s="743" t="str">
        <f t="shared" si="333"/>
        <v/>
      </c>
      <c r="BD935" s="743" t="str">
        <f t="shared" si="334"/>
        <v/>
      </c>
      <c r="BE935" s="743" t="str">
        <f>IF(D935="","",VLOOKUP(D935,'General Basis'!$J$39:$K$46,2,0))</f>
        <v/>
      </c>
      <c r="BF935" s="744" t="str">
        <f>IF(D935="","",VLOOKUP(D935,'General Basis'!$J$39:$L$46,3,0))</f>
        <v/>
      </c>
      <c r="BG935" s="744" t="str">
        <f t="shared" si="341"/>
        <v/>
      </c>
      <c r="BH935" s="744" t="str">
        <f>IF(G935="","",IF(BF935="Abu Dhabi",IF(G935&lt;18,'General Basis'!$C$39,IF(G935&lt;41,'General Basis'!$C$40,IF(G935&lt;60,'General Basis'!$C$41,IF(G935&lt;65,'General Basis'!$C$42,'General Basis'!$C$43)))),IF(G935&lt;11,'General Basis'!$B$39,IF(G935&lt;18,'General Basis'!$B$40,IF(G935&lt;26,'General Basis'!$B$41,IF(G935&lt;31,'General Basis'!$B$42,IF(G935&lt;36,'General Basis'!$B$43,IF(G935&lt;41,'General Basis'!$B$44,IF(G935&lt;46,'General Basis'!$B$45,IF(G935&lt;51,'General Basis'!$B$46,IF(G935&lt;56,'General Basis'!$B$47,IF(G935&lt;60,'General Basis'!$B$48,IF(G935&lt;65,'General Basis'!$B$49,'General Basis'!$B$50)))))))))))))</f>
        <v/>
      </c>
      <c r="BI935" s="744" t="str">
        <f t="shared" si="335"/>
        <v/>
      </c>
      <c r="BJ935" s="747" t="str">
        <f t="shared" si="342"/>
        <v/>
      </c>
      <c r="BK935" s="498" t="str">
        <f t="shared" si="336"/>
        <v/>
      </c>
      <c r="BL935" s="498" t="str">
        <f t="shared" si="337"/>
        <v/>
      </c>
    </row>
    <row r="936" spans="1:64" x14ac:dyDescent="0.25">
      <c r="A936" s="762">
        <f t="shared" si="338"/>
        <v>931</v>
      </c>
      <c r="B936" s="229"/>
      <c r="C936" s="223"/>
      <c r="D936" s="224"/>
      <c r="E936" s="225"/>
      <c r="F936" s="1036" t="str">
        <f t="shared" si="344"/>
        <v/>
      </c>
      <c r="G936" s="1037" t="str">
        <f t="shared" si="339"/>
        <v/>
      </c>
      <c r="H936" s="225"/>
      <c r="I936" s="1013"/>
      <c r="J936" s="1013"/>
      <c r="K936" s="1028"/>
      <c r="L936" s="1035" t="str">
        <f t="shared" si="343"/>
        <v/>
      </c>
      <c r="S936" s="498"/>
      <c r="AJ936" s="498"/>
      <c r="AM936" s="498">
        <f t="shared" si="324"/>
        <v>0</v>
      </c>
      <c r="AN936" s="498">
        <f t="shared" si="325"/>
        <v>0</v>
      </c>
      <c r="AO936" s="498">
        <f t="shared" si="326"/>
        <v>0</v>
      </c>
      <c r="AP936" s="498">
        <f t="shared" si="345"/>
        <v>0</v>
      </c>
      <c r="AQ936" s="498">
        <f t="shared" si="340"/>
        <v>0</v>
      </c>
      <c r="AU936" s="498">
        <f t="shared" si="327"/>
        <v>0</v>
      </c>
      <c r="AV936" s="498">
        <f t="shared" si="328"/>
        <v>0</v>
      </c>
      <c r="AW936" s="498">
        <f t="shared" si="329"/>
        <v>0</v>
      </c>
      <c r="AX936" s="498">
        <f t="shared" si="330"/>
        <v>0</v>
      </c>
      <c r="AY936" s="498">
        <f t="shared" si="331"/>
        <v>0</v>
      </c>
      <c r="BB936" s="498" t="str">
        <f t="shared" si="332"/>
        <v/>
      </c>
      <c r="BC936" s="743" t="str">
        <f t="shared" si="333"/>
        <v/>
      </c>
      <c r="BD936" s="743" t="str">
        <f t="shared" si="334"/>
        <v/>
      </c>
      <c r="BE936" s="743" t="str">
        <f>IF(D936="","",VLOOKUP(D936,'General Basis'!$J$39:$K$46,2,0))</f>
        <v/>
      </c>
      <c r="BF936" s="744" t="str">
        <f>IF(D936="","",VLOOKUP(D936,'General Basis'!$J$39:$L$46,3,0))</f>
        <v/>
      </c>
      <c r="BG936" s="744" t="str">
        <f t="shared" si="341"/>
        <v/>
      </c>
      <c r="BH936" s="744" t="str">
        <f>IF(G936="","",IF(BF936="Abu Dhabi",IF(G936&lt;18,'General Basis'!$C$39,IF(G936&lt;41,'General Basis'!$C$40,IF(G936&lt;60,'General Basis'!$C$41,IF(G936&lt;65,'General Basis'!$C$42,'General Basis'!$C$43)))),IF(G936&lt;11,'General Basis'!$B$39,IF(G936&lt;18,'General Basis'!$B$40,IF(G936&lt;26,'General Basis'!$B$41,IF(G936&lt;31,'General Basis'!$B$42,IF(G936&lt;36,'General Basis'!$B$43,IF(G936&lt;41,'General Basis'!$B$44,IF(G936&lt;46,'General Basis'!$B$45,IF(G936&lt;51,'General Basis'!$B$46,IF(G936&lt;56,'General Basis'!$B$47,IF(G936&lt;60,'General Basis'!$B$48,IF(G936&lt;65,'General Basis'!$B$49,'General Basis'!$B$50)))))))))))))</f>
        <v/>
      </c>
      <c r="BI936" s="744" t="str">
        <f t="shared" si="335"/>
        <v/>
      </c>
      <c r="BJ936" s="747" t="str">
        <f t="shared" si="342"/>
        <v/>
      </c>
      <c r="BK936" s="498" t="str">
        <f t="shared" si="336"/>
        <v/>
      </c>
      <c r="BL936" s="498" t="str">
        <f t="shared" si="337"/>
        <v/>
      </c>
    </row>
    <row r="937" spans="1:64" x14ac:dyDescent="0.25">
      <c r="A937" s="762">
        <f t="shared" si="338"/>
        <v>932</v>
      </c>
      <c r="B937" s="229"/>
      <c r="C937" s="223"/>
      <c r="D937" s="224"/>
      <c r="E937" s="225"/>
      <c r="F937" s="1036" t="str">
        <f t="shared" si="344"/>
        <v/>
      </c>
      <c r="G937" s="1037" t="str">
        <f t="shared" si="339"/>
        <v/>
      </c>
      <c r="H937" s="225"/>
      <c r="I937" s="1013"/>
      <c r="J937" s="1013"/>
      <c r="K937" s="1028"/>
      <c r="L937" s="1035" t="str">
        <f t="shared" si="343"/>
        <v/>
      </c>
      <c r="S937" s="498"/>
      <c r="AJ937" s="498"/>
      <c r="AM937" s="498">
        <f t="shared" si="324"/>
        <v>0</v>
      </c>
      <c r="AN937" s="498">
        <f t="shared" si="325"/>
        <v>0</v>
      </c>
      <c r="AO937" s="498">
        <f t="shared" si="326"/>
        <v>0</v>
      </c>
      <c r="AP937" s="498">
        <f t="shared" si="345"/>
        <v>0</v>
      </c>
      <c r="AQ937" s="498">
        <f t="shared" si="340"/>
        <v>0</v>
      </c>
      <c r="AU937" s="498">
        <f t="shared" si="327"/>
        <v>0</v>
      </c>
      <c r="AV937" s="498">
        <f t="shared" si="328"/>
        <v>0</v>
      </c>
      <c r="AW937" s="498">
        <f t="shared" si="329"/>
        <v>0</v>
      </c>
      <c r="AX937" s="498">
        <f t="shared" si="330"/>
        <v>0</v>
      </c>
      <c r="AY937" s="498">
        <f t="shared" si="331"/>
        <v>0</v>
      </c>
      <c r="BB937" s="498" t="str">
        <f t="shared" si="332"/>
        <v/>
      </c>
      <c r="BC937" s="743" t="str">
        <f t="shared" si="333"/>
        <v/>
      </c>
      <c r="BD937" s="743" t="str">
        <f t="shared" si="334"/>
        <v/>
      </c>
      <c r="BE937" s="743" t="str">
        <f>IF(D937="","",VLOOKUP(D937,'General Basis'!$J$39:$K$46,2,0))</f>
        <v/>
      </c>
      <c r="BF937" s="744" t="str">
        <f>IF(D937="","",VLOOKUP(D937,'General Basis'!$J$39:$L$46,3,0))</f>
        <v/>
      </c>
      <c r="BG937" s="744" t="str">
        <f t="shared" si="341"/>
        <v/>
      </c>
      <c r="BH937" s="744" t="str">
        <f>IF(G937="","",IF(BF937="Abu Dhabi",IF(G937&lt;18,'General Basis'!$C$39,IF(G937&lt;41,'General Basis'!$C$40,IF(G937&lt;60,'General Basis'!$C$41,IF(G937&lt;65,'General Basis'!$C$42,'General Basis'!$C$43)))),IF(G937&lt;11,'General Basis'!$B$39,IF(G937&lt;18,'General Basis'!$B$40,IF(G937&lt;26,'General Basis'!$B$41,IF(G937&lt;31,'General Basis'!$B$42,IF(G937&lt;36,'General Basis'!$B$43,IF(G937&lt;41,'General Basis'!$B$44,IF(G937&lt;46,'General Basis'!$B$45,IF(G937&lt;51,'General Basis'!$B$46,IF(G937&lt;56,'General Basis'!$B$47,IF(G937&lt;60,'General Basis'!$B$48,IF(G937&lt;65,'General Basis'!$B$49,'General Basis'!$B$50)))))))))))))</f>
        <v/>
      </c>
      <c r="BI937" s="744" t="str">
        <f t="shared" si="335"/>
        <v/>
      </c>
      <c r="BJ937" s="747" t="str">
        <f t="shared" si="342"/>
        <v/>
      </c>
      <c r="BK937" s="498" t="str">
        <f t="shared" si="336"/>
        <v/>
      </c>
      <c r="BL937" s="498" t="str">
        <f t="shared" si="337"/>
        <v/>
      </c>
    </row>
    <row r="938" spans="1:64" x14ac:dyDescent="0.25">
      <c r="A938" s="762">
        <f t="shared" si="338"/>
        <v>933</v>
      </c>
      <c r="B938" s="229"/>
      <c r="C938" s="223"/>
      <c r="D938" s="224"/>
      <c r="E938" s="225"/>
      <c r="F938" s="1036" t="str">
        <f t="shared" si="344"/>
        <v/>
      </c>
      <c r="G938" s="1037" t="str">
        <f t="shared" si="339"/>
        <v/>
      </c>
      <c r="H938" s="225"/>
      <c r="I938" s="1013"/>
      <c r="J938" s="1013"/>
      <c r="K938" s="1028"/>
      <c r="L938" s="1035" t="str">
        <f t="shared" si="343"/>
        <v/>
      </c>
      <c r="S938" s="498"/>
      <c r="AJ938" s="498"/>
      <c r="AM938" s="498">
        <f t="shared" si="324"/>
        <v>0</v>
      </c>
      <c r="AN938" s="498">
        <f t="shared" si="325"/>
        <v>0</v>
      </c>
      <c r="AO938" s="498">
        <f t="shared" si="326"/>
        <v>0</v>
      </c>
      <c r="AP938" s="498">
        <f t="shared" si="345"/>
        <v>0</v>
      </c>
      <c r="AQ938" s="498">
        <f t="shared" si="340"/>
        <v>0</v>
      </c>
      <c r="AU938" s="498">
        <f t="shared" si="327"/>
        <v>0</v>
      </c>
      <c r="AV938" s="498">
        <f t="shared" si="328"/>
        <v>0</v>
      </c>
      <c r="AW938" s="498">
        <f t="shared" si="329"/>
        <v>0</v>
      </c>
      <c r="AX938" s="498">
        <f t="shared" si="330"/>
        <v>0</v>
      </c>
      <c r="AY938" s="498">
        <f t="shared" si="331"/>
        <v>0</v>
      </c>
      <c r="BB938" s="498" t="str">
        <f t="shared" si="332"/>
        <v/>
      </c>
      <c r="BC938" s="743" t="str">
        <f t="shared" si="333"/>
        <v/>
      </c>
      <c r="BD938" s="743" t="str">
        <f t="shared" si="334"/>
        <v/>
      </c>
      <c r="BE938" s="743" t="str">
        <f>IF(D938="","",VLOOKUP(D938,'General Basis'!$J$39:$K$46,2,0))</f>
        <v/>
      </c>
      <c r="BF938" s="744" t="str">
        <f>IF(D938="","",VLOOKUP(D938,'General Basis'!$J$39:$L$46,3,0))</f>
        <v/>
      </c>
      <c r="BG938" s="744" t="str">
        <f t="shared" si="341"/>
        <v/>
      </c>
      <c r="BH938" s="744" t="str">
        <f>IF(G938="","",IF(BF938="Abu Dhabi",IF(G938&lt;18,'General Basis'!$C$39,IF(G938&lt;41,'General Basis'!$C$40,IF(G938&lt;60,'General Basis'!$C$41,IF(G938&lt;65,'General Basis'!$C$42,'General Basis'!$C$43)))),IF(G938&lt;11,'General Basis'!$B$39,IF(G938&lt;18,'General Basis'!$B$40,IF(G938&lt;26,'General Basis'!$B$41,IF(G938&lt;31,'General Basis'!$B$42,IF(G938&lt;36,'General Basis'!$B$43,IF(G938&lt;41,'General Basis'!$B$44,IF(G938&lt;46,'General Basis'!$B$45,IF(G938&lt;51,'General Basis'!$B$46,IF(G938&lt;56,'General Basis'!$B$47,IF(G938&lt;60,'General Basis'!$B$48,IF(G938&lt;65,'General Basis'!$B$49,'General Basis'!$B$50)))))))))))))</f>
        <v/>
      </c>
      <c r="BI938" s="744" t="str">
        <f t="shared" si="335"/>
        <v/>
      </c>
      <c r="BJ938" s="747" t="str">
        <f t="shared" si="342"/>
        <v/>
      </c>
      <c r="BK938" s="498" t="str">
        <f t="shared" si="336"/>
        <v/>
      </c>
      <c r="BL938" s="498" t="str">
        <f t="shared" si="337"/>
        <v/>
      </c>
    </row>
    <row r="939" spans="1:64" x14ac:dyDescent="0.25">
      <c r="A939" s="762">
        <f t="shared" si="338"/>
        <v>934</v>
      </c>
      <c r="B939" s="229"/>
      <c r="C939" s="223"/>
      <c r="D939" s="224"/>
      <c r="E939" s="225"/>
      <c r="F939" s="1036" t="str">
        <f t="shared" si="344"/>
        <v/>
      </c>
      <c r="G939" s="1037" t="str">
        <f t="shared" si="339"/>
        <v/>
      </c>
      <c r="H939" s="225"/>
      <c r="I939" s="1013"/>
      <c r="J939" s="1013"/>
      <c r="K939" s="1028"/>
      <c r="L939" s="1035" t="str">
        <f t="shared" si="343"/>
        <v/>
      </c>
      <c r="S939" s="498"/>
      <c r="AJ939" s="498"/>
      <c r="AM939" s="498">
        <f t="shared" si="324"/>
        <v>0</v>
      </c>
      <c r="AN939" s="498">
        <f t="shared" si="325"/>
        <v>0</v>
      </c>
      <c r="AO939" s="498">
        <f t="shared" si="326"/>
        <v>0</v>
      </c>
      <c r="AP939" s="498">
        <f t="shared" si="345"/>
        <v>0</v>
      </c>
      <c r="AQ939" s="498">
        <f t="shared" si="340"/>
        <v>0</v>
      </c>
      <c r="AU939" s="498">
        <f t="shared" si="327"/>
        <v>0</v>
      </c>
      <c r="AV939" s="498">
        <f t="shared" si="328"/>
        <v>0</v>
      </c>
      <c r="AW939" s="498">
        <f t="shared" si="329"/>
        <v>0</v>
      </c>
      <c r="AX939" s="498">
        <f t="shared" si="330"/>
        <v>0</v>
      </c>
      <c r="AY939" s="498">
        <f t="shared" si="331"/>
        <v>0</v>
      </c>
      <c r="BB939" s="498" t="str">
        <f t="shared" si="332"/>
        <v/>
      </c>
      <c r="BC939" s="743" t="str">
        <f t="shared" si="333"/>
        <v/>
      </c>
      <c r="BD939" s="743" t="str">
        <f t="shared" si="334"/>
        <v/>
      </c>
      <c r="BE939" s="743" t="str">
        <f>IF(D939="","",VLOOKUP(D939,'General Basis'!$J$39:$K$46,2,0))</f>
        <v/>
      </c>
      <c r="BF939" s="744" t="str">
        <f>IF(D939="","",VLOOKUP(D939,'General Basis'!$J$39:$L$46,3,0))</f>
        <v/>
      </c>
      <c r="BG939" s="744" t="str">
        <f t="shared" si="341"/>
        <v/>
      </c>
      <c r="BH939" s="744" t="str">
        <f>IF(G939="","",IF(BF939="Abu Dhabi",IF(G939&lt;18,'General Basis'!$C$39,IF(G939&lt;41,'General Basis'!$C$40,IF(G939&lt;60,'General Basis'!$C$41,IF(G939&lt;65,'General Basis'!$C$42,'General Basis'!$C$43)))),IF(G939&lt;11,'General Basis'!$B$39,IF(G939&lt;18,'General Basis'!$B$40,IF(G939&lt;26,'General Basis'!$B$41,IF(G939&lt;31,'General Basis'!$B$42,IF(G939&lt;36,'General Basis'!$B$43,IF(G939&lt;41,'General Basis'!$B$44,IF(G939&lt;46,'General Basis'!$B$45,IF(G939&lt;51,'General Basis'!$B$46,IF(G939&lt;56,'General Basis'!$B$47,IF(G939&lt;60,'General Basis'!$B$48,IF(G939&lt;65,'General Basis'!$B$49,'General Basis'!$B$50)))))))))))))</f>
        <v/>
      </c>
      <c r="BI939" s="744" t="str">
        <f t="shared" si="335"/>
        <v/>
      </c>
      <c r="BJ939" s="747" t="str">
        <f t="shared" si="342"/>
        <v/>
      </c>
      <c r="BK939" s="498" t="str">
        <f t="shared" si="336"/>
        <v/>
      </c>
      <c r="BL939" s="498" t="str">
        <f t="shared" si="337"/>
        <v/>
      </c>
    </row>
    <row r="940" spans="1:64" x14ac:dyDescent="0.25">
      <c r="A940" s="762">
        <f t="shared" si="338"/>
        <v>935</v>
      </c>
      <c r="B940" s="229"/>
      <c r="C940" s="223"/>
      <c r="D940" s="224"/>
      <c r="E940" s="225"/>
      <c r="F940" s="1036" t="str">
        <f t="shared" si="344"/>
        <v/>
      </c>
      <c r="G940" s="1037" t="str">
        <f t="shared" si="339"/>
        <v/>
      </c>
      <c r="H940" s="225"/>
      <c r="I940" s="1013"/>
      <c r="J940" s="1013"/>
      <c r="K940" s="1028"/>
      <c r="L940" s="1035" t="str">
        <f t="shared" si="343"/>
        <v/>
      </c>
      <c r="S940" s="498"/>
      <c r="AJ940" s="498"/>
      <c r="AM940" s="498">
        <f t="shared" si="324"/>
        <v>0</v>
      </c>
      <c r="AN940" s="498">
        <f t="shared" si="325"/>
        <v>0</v>
      </c>
      <c r="AO940" s="498">
        <f t="shared" si="326"/>
        <v>0</v>
      </c>
      <c r="AP940" s="498">
        <f t="shared" si="345"/>
        <v>0</v>
      </c>
      <c r="AQ940" s="498">
        <f t="shared" si="340"/>
        <v>0</v>
      </c>
      <c r="AU940" s="498">
        <f t="shared" si="327"/>
        <v>0</v>
      </c>
      <c r="AV940" s="498">
        <f t="shared" si="328"/>
        <v>0</v>
      </c>
      <c r="AW940" s="498">
        <f t="shared" si="329"/>
        <v>0</v>
      </c>
      <c r="AX940" s="498">
        <f t="shared" si="330"/>
        <v>0</v>
      </c>
      <c r="AY940" s="498">
        <f t="shared" si="331"/>
        <v>0</v>
      </c>
      <c r="BB940" s="498" t="str">
        <f t="shared" si="332"/>
        <v/>
      </c>
      <c r="BC940" s="743" t="str">
        <f t="shared" si="333"/>
        <v/>
      </c>
      <c r="BD940" s="743" t="str">
        <f t="shared" si="334"/>
        <v/>
      </c>
      <c r="BE940" s="743" t="str">
        <f>IF(D940="","",VLOOKUP(D940,'General Basis'!$J$39:$K$46,2,0))</f>
        <v/>
      </c>
      <c r="BF940" s="744" t="str">
        <f>IF(D940="","",VLOOKUP(D940,'General Basis'!$J$39:$L$46,3,0))</f>
        <v/>
      </c>
      <c r="BG940" s="744" t="str">
        <f t="shared" si="341"/>
        <v/>
      </c>
      <c r="BH940" s="744" t="str">
        <f>IF(G940="","",IF(BF940="Abu Dhabi",IF(G940&lt;18,'General Basis'!$C$39,IF(G940&lt;41,'General Basis'!$C$40,IF(G940&lt;60,'General Basis'!$C$41,IF(G940&lt;65,'General Basis'!$C$42,'General Basis'!$C$43)))),IF(G940&lt;11,'General Basis'!$B$39,IF(G940&lt;18,'General Basis'!$B$40,IF(G940&lt;26,'General Basis'!$B$41,IF(G940&lt;31,'General Basis'!$B$42,IF(G940&lt;36,'General Basis'!$B$43,IF(G940&lt;41,'General Basis'!$B$44,IF(G940&lt;46,'General Basis'!$B$45,IF(G940&lt;51,'General Basis'!$B$46,IF(G940&lt;56,'General Basis'!$B$47,IF(G940&lt;60,'General Basis'!$B$48,IF(G940&lt;65,'General Basis'!$B$49,'General Basis'!$B$50)))))))))))))</f>
        <v/>
      </c>
      <c r="BI940" s="744" t="str">
        <f t="shared" si="335"/>
        <v/>
      </c>
      <c r="BJ940" s="747" t="str">
        <f t="shared" si="342"/>
        <v/>
      </c>
      <c r="BK940" s="498" t="str">
        <f t="shared" si="336"/>
        <v/>
      </c>
      <c r="BL940" s="498" t="str">
        <f t="shared" si="337"/>
        <v/>
      </c>
    </row>
    <row r="941" spans="1:64" x14ac:dyDescent="0.25">
      <c r="A941" s="762">
        <f t="shared" si="338"/>
        <v>936</v>
      </c>
      <c r="B941" s="229"/>
      <c r="C941" s="223"/>
      <c r="D941" s="224"/>
      <c r="E941" s="225"/>
      <c r="F941" s="1036" t="str">
        <f t="shared" si="344"/>
        <v/>
      </c>
      <c r="G941" s="1037" t="str">
        <f t="shared" si="339"/>
        <v/>
      </c>
      <c r="H941" s="225"/>
      <c r="I941" s="1013"/>
      <c r="J941" s="1013"/>
      <c r="K941" s="1028"/>
      <c r="L941" s="1035" t="str">
        <f t="shared" si="343"/>
        <v/>
      </c>
      <c r="S941" s="498"/>
      <c r="AJ941" s="498"/>
      <c r="AM941" s="498">
        <f t="shared" si="324"/>
        <v>0</v>
      </c>
      <c r="AN941" s="498">
        <f t="shared" si="325"/>
        <v>0</v>
      </c>
      <c r="AO941" s="498">
        <f t="shared" si="326"/>
        <v>0</v>
      </c>
      <c r="AP941" s="498">
        <f t="shared" si="345"/>
        <v>0</v>
      </c>
      <c r="AQ941" s="498">
        <f t="shared" si="340"/>
        <v>0</v>
      </c>
      <c r="AU941" s="498">
        <f t="shared" si="327"/>
        <v>0</v>
      </c>
      <c r="AV941" s="498">
        <f t="shared" si="328"/>
        <v>0</v>
      </c>
      <c r="AW941" s="498">
        <f t="shared" si="329"/>
        <v>0</v>
      </c>
      <c r="AX941" s="498">
        <f t="shared" si="330"/>
        <v>0</v>
      </c>
      <c r="AY941" s="498">
        <f t="shared" si="331"/>
        <v>0</v>
      </c>
      <c r="BB941" s="498" t="str">
        <f t="shared" si="332"/>
        <v/>
      </c>
      <c r="BC941" s="743" t="str">
        <f t="shared" si="333"/>
        <v/>
      </c>
      <c r="BD941" s="743" t="str">
        <f t="shared" si="334"/>
        <v/>
      </c>
      <c r="BE941" s="743" t="str">
        <f>IF(D941="","",VLOOKUP(D941,'General Basis'!$J$39:$K$46,2,0))</f>
        <v/>
      </c>
      <c r="BF941" s="744" t="str">
        <f>IF(D941="","",VLOOKUP(D941,'General Basis'!$J$39:$L$46,3,0))</f>
        <v/>
      </c>
      <c r="BG941" s="744" t="str">
        <f t="shared" si="341"/>
        <v/>
      </c>
      <c r="BH941" s="744" t="str">
        <f>IF(G941="","",IF(BF941="Abu Dhabi",IF(G941&lt;18,'General Basis'!$C$39,IF(G941&lt;41,'General Basis'!$C$40,IF(G941&lt;60,'General Basis'!$C$41,IF(G941&lt;65,'General Basis'!$C$42,'General Basis'!$C$43)))),IF(G941&lt;11,'General Basis'!$B$39,IF(G941&lt;18,'General Basis'!$B$40,IF(G941&lt;26,'General Basis'!$B$41,IF(G941&lt;31,'General Basis'!$B$42,IF(G941&lt;36,'General Basis'!$B$43,IF(G941&lt;41,'General Basis'!$B$44,IF(G941&lt;46,'General Basis'!$B$45,IF(G941&lt;51,'General Basis'!$B$46,IF(G941&lt;56,'General Basis'!$B$47,IF(G941&lt;60,'General Basis'!$B$48,IF(G941&lt;65,'General Basis'!$B$49,'General Basis'!$B$50)))))))))))))</f>
        <v/>
      </c>
      <c r="BI941" s="744" t="str">
        <f t="shared" si="335"/>
        <v/>
      </c>
      <c r="BJ941" s="747" t="str">
        <f t="shared" si="342"/>
        <v/>
      </c>
      <c r="BK941" s="498" t="str">
        <f t="shared" si="336"/>
        <v/>
      </c>
      <c r="BL941" s="498" t="str">
        <f t="shared" si="337"/>
        <v/>
      </c>
    </row>
    <row r="942" spans="1:64" x14ac:dyDescent="0.25">
      <c r="A942" s="762">
        <f t="shared" si="338"/>
        <v>937</v>
      </c>
      <c r="B942" s="229"/>
      <c r="C942" s="223"/>
      <c r="D942" s="224"/>
      <c r="E942" s="225"/>
      <c r="F942" s="1036" t="str">
        <f t="shared" si="344"/>
        <v/>
      </c>
      <c r="G942" s="1037" t="str">
        <f t="shared" si="339"/>
        <v/>
      </c>
      <c r="H942" s="225"/>
      <c r="I942" s="1013"/>
      <c r="J942" s="1013"/>
      <c r="K942" s="1028"/>
      <c r="L942" s="1035" t="str">
        <f t="shared" si="343"/>
        <v/>
      </c>
      <c r="S942" s="498"/>
      <c r="AJ942" s="498"/>
      <c r="AM942" s="498">
        <f t="shared" si="324"/>
        <v>0</v>
      </c>
      <c r="AN942" s="498">
        <f t="shared" si="325"/>
        <v>0</v>
      </c>
      <c r="AO942" s="498">
        <f t="shared" si="326"/>
        <v>0</v>
      </c>
      <c r="AP942" s="498">
        <f t="shared" si="345"/>
        <v>0</v>
      </c>
      <c r="AQ942" s="498">
        <f t="shared" si="340"/>
        <v>0</v>
      </c>
      <c r="AU942" s="498">
        <f t="shared" si="327"/>
        <v>0</v>
      </c>
      <c r="AV942" s="498">
        <f t="shared" si="328"/>
        <v>0</v>
      </c>
      <c r="AW942" s="498">
        <f t="shared" si="329"/>
        <v>0</v>
      </c>
      <c r="AX942" s="498">
        <f t="shared" si="330"/>
        <v>0</v>
      </c>
      <c r="AY942" s="498">
        <f t="shared" si="331"/>
        <v>0</v>
      </c>
      <c r="BB942" s="498" t="str">
        <f t="shared" si="332"/>
        <v/>
      </c>
      <c r="BC942" s="743" t="str">
        <f t="shared" si="333"/>
        <v/>
      </c>
      <c r="BD942" s="743" t="str">
        <f t="shared" si="334"/>
        <v/>
      </c>
      <c r="BE942" s="743" t="str">
        <f>IF(D942="","",VLOOKUP(D942,'General Basis'!$J$39:$K$46,2,0))</f>
        <v/>
      </c>
      <c r="BF942" s="744" t="str">
        <f>IF(D942="","",VLOOKUP(D942,'General Basis'!$J$39:$L$46,3,0))</f>
        <v/>
      </c>
      <c r="BG942" s="744" t="str">
        <f t="shared" si="341"/>
        <v/>
      </c>
      <c r="BH942" s="744" t="str">
        <f>IF(G942="","",IF(BF942="Abu Dhabi",IF(G942&lt;18,'General Basis'!$C$39,IF(G942&lt;41,'General Basis'!$C$40,IF(G942&lt;60,'General Basis'!$C$41,IF(G942&lt;65,'General Basis'!$C$42,'General Basis'!$C$43)))),IF(G942&lt;11,'General Basis'!$B$39,IF(G942&lt;18,'General Basis'!$B$40,IF(G942&lt;26,'General Basis'!$B$41,IF(G942&lt;31,'General Basis'!$B$42,IF(G942&lt;36,'General Basis'!$B$43,IF(G942&lt;41,'General Basis'!$B$44,IF(G942&lt;46,'General Basis'!$B$45,IF(G942&lt;51,'General Basis'!$B$46,IF(G942&lt;56,'General Basis'!$B$47,IF(G942&lt;60,'General Basis'!$B$48,IF(G942&lt;65,'General Basis'!$B$49,'General Basis'!$B$50)))))))))))))</f>
        <v/>
      </c>
      <c r="BI942" s="744" t="str">
        <f t="shared" si="335"/>
        <v/>
      </c>
      <c r="BJ942" s="747" t="str">
        <f t="shared" si="342"/>
        <v/>
      </c>
      <c r="BK942" s="498" t="str">
        <f t="shared" si="336"/>
        <v/>
      </c>
      <c r="BL942" s="498" t="str">
        <f t="shared" si="337"/>
        <v/>
      </c>
    </row>
    <row r="943" spans="1:64" x14ac:dyDescent="0.25">
      <c r="A943" s="762">
        <f t="shared" si="338"/>
        <v>938</v>
      </c>
      <c r="B943" s="229"/>
      <c r="C943" s="223"/>
      <c r="D943" s="224"/>
      <c r="E943" s="225"/>
      <c r="F943" s="1036" t="str">
        <f t="shared" si="344"/>
        <v/>
      </c>
      <c r="G943" s="1037" t="str">
        <f t="shared" si="339"/>
        <v/>
      </c>
      <c r="H943" s="225"/>
      <c r="I943" s="1013"/>
      <c r="J943" s="1013"/>
      <c r="K943" s="1028"/>
      <c r="L943" s="1035" t="str">
        <f t="shared" si="343"/>
        <v/>
      </c>
      <c r="S943" s="498"/>
      <c r="AJ943" s="498"/>
      <c r="AM943" s="498">
        <f t="shared" si="324"/>
        <v>0</v>
      </c>
      <c r="AN943" s="498">
        <f t="shared" si="325"/>
        <v>0</v>
      </c>
      <c r="AO943" s="498">
        <f t="shared" si="326"/>
        <v>0</v>
      </c>
      <c r="AP943" s="498">
        <f t="shared" si="345"/>
        <v>0</v>
      </c>
      <c r="AQ943" s="498">
        <f t="shared" si="340"/>
        <v>0</v>
      </c>
      <c r="AU943" s="498">
        <f t="shared" si="327"/>
        <v>0</v>
      </c>
      <c r="AV943" s="498">
        <f t="shared" si="328"/>
        <v>0</v>
      </c>
      <c r="AW943" s="498">
        <f t="shared" si="329"/>
        <v>0</v>
      </c>
      <c r="AX943" s="498">
        <f t="shared" si="330"/>
        <v>0</v>
      </c>
      <c r="AY943" s="498">
        <f t="shared" si="331"/>
        <v>0</v>
      </c>
      <c r="BB943" s="498" t="str">
        <f t="shared" si="332"/>
        <v/>
      </c>
      <c r="BC943" s="743" t="str">
        <f t="shared" si="333"/>
        <v/>
      </c>
      <c r="BD943" s="743" t="str">
        <f t="shared" si="334"/>
        <v/>
      </c>
      <c r="BE943" s="743" t="str">
        <f>IF(D943="","",VLOOKUP(D943,'General Basis'!$J$39:$K$46,2,0))</f>
        <v/>
      </c>
      <c r="BF943" s="744" t="str">
        <f>IF(D943="","",VLOOKUP(D943,'General Basis'!$J$39:$L$46,3,0))</f>
        <v/>
      </c>
      <c r="BG943" s="744" t="str">
        <f t="shared" si="341"/>
        <v/>
      </c>
      <c r="BH943" s="744" t="str">
        <f>IF(G943="","",IF(BF943="Abu Dhabi",IF(G943&lt;18,'General Basis'!$C$39,IF(G943&lt;41,'General Basis'!$C$40,IF(G943&lt;60,'General Basis'!$C$41,IF(G943&lt;65,'General Basis'!$C$42,'General Basis'!$C$43)))),IF(G943&lt;11,'General Basis'!$B$39,IF(G943&lt;18,'General Basis'!$B$40,IF(G943&lt;26,'General Basis'!$B$41,IF(G943&lt;31,'General Basis'!$B$42,IF(G943&lt;36,'General Basis'!$B$43,IF(G943&lt;41,'General Basis'!$B$44,IF(G943&lt;46,'General Basis'!$B$45,IF(G943&lt;51,'General Basis'!$B$46,IF(G943&lt;56,'General Basis'!$B$47,IF(G943&lt;60,'General Basis'!$B$48,IF(G943&lt;65,'General Basis'!$B$49,'General Basis'!$B$50)))))))))))))</f>
        <v/>
      </c>
      <c r="BI943" s="744" t="str">
        <f t="shared" si="335"/>
        <v/>
      </c>
      <c r="BJ943" s="747" t="str">
        <f t="shared" si="342"/>
        <v/>
      </c>
      <c r="BK943" s="498" t="str">
        <f t="shared" si="336"/>
        <v/>
      </c>
      <c r="BL943" s="498" t="str">
        <f t="shared" si="337"/>
        <v/>
      </c>
    </row>
    <row r="944" spans="1:64" x14ac:dyDescent="0.25">
      <c r="A944" s="762">
        <f t="shared" si="338"/>
        <v>939</v>
      </c>
      <c r="B944" s="229"/>
      <c r="C944" s="223"/>
      <c r="D944" s="224"/>
      <c r="E944" s="225"/>
      <c r="F944" s="1036" t="str">
        <f t="shared" si="344"/>
        <v/>
      </c>
      <c r="G944" s="1037" t="str">
        <f t="shared" si="339"/>
        <v/>
      </c>
      <c r="H944" s="225"/>
      <c r="I944" s="1013"/>
      <c r="J944" s="1013"/>
      <c r="K944" s="1028"/>
      <c r="L944" s="1035" t="str">
        <f t="shared" si="343"/>
        <v/>
      </c>
      <c r="S944" s="498"/>
      <c r="AJ944" s="498"/>
      <c r="AM944" s="498">
        <f t="shared" si="324"/>
        <v>0</v>
      </c>
      <c r="AN944" s="498">
        <f t="shared" si="325"/>
        <v>0</v>
      </c>
      <c r="AO944" s="498">
        <f t="shared" si="326"/>
        <v>0</v>
      </c>
      <c r="AP944" s="498">
        <f t="shared" si="345"/>
        <v>0</v>
      </c>
      <c r="AQ944" s="498">
        <f t="shared" si="340"/>
        <v>0</v>
      </c>
      <c r="AU944" s="498">
        <f t="shared" si="327"/>
        <v>0</v>
      </c>
      <c r="AV944" s="498">
        <f t="shared" si="328"/>
        <v>0</v>
      </c>
      <c r="AW944" s="498">
        <f t="shared" si="329"/>
        <v>0</v>
      </c>
      <c r="AX944" s="498">
        <f t="shared" si="330"/>
        <v>0</v>
      </c>
      <c r="AY944" s="498">
        <f t="shared" si="331"/>
        <v>0</v>
      </c>
      <c r="BB944" s="498" t="str">
        <f t="shared" si="332"/>
        <v/>
      </c>
      <c r="BC944" s="743" t="str">
        <f t="shared" si="333"/>
        <v/>
      </c>
      <c r="BD944" s="743" t="str">
        <f t="shared" si="334"/>
        <v/>
      </c>
      <c r="BE944" s="743" t="str">
        <f>IF(D944="","",VLOOKUP(D944,'General Basis'!$J$39:$K$46,2,0))</f>
        <v/>
      </c>
      <c r="BF944" s="744" t="str">
        <f>IF(D944="","",VLOOKUP(D944,'General Basis'!$J$39:$L$46,3,0))</f>
        <v/>
      </c>
      <c r="BG944" s="744" t="str">
        <f t="shared" si="341"/>
        <v/>
      </c>
      <c r="BH944" s="744" t="str">
        <f>IF(G944="","",IF(BF944="Abu Dhabi",IF(G944&lt;18,'General Basis'!$C$39,IF(G944&lt;41,'General Basis'!$C$40,IF(G944&lt;60,'General Basis'!$C$41,IF(G944&lt;65,'General Basis'!$C$42,'General Basis'!$C$43)))),IF(G944&lt;11,'General Basis'!$B$39,IF(G944&lt;18,'General Basis'!$B$40,IF(G944&lt;26,'General Basis'!$B$41,IF(G944&lt;31,'General Basis'!$B$42,IF(G944&lt;36,'General Basis'!$B$43,IF(G944&lt;41,'General Basis'!$B$44,IF(G944&lt;46,'General Basis'!$B$45,IF(G944&lt;51,'General Basis'!$B$46,IF(G944&lt;56,'General Basis'!$B$47,IF(G944&lt;60,'General Basis'!$B$48,IF(G944&lt;65,'General Basis'!$B$49,'General Basis'!$B$50)))))))))))))</f>
        <v/>
      </c>
      <c r="BI944" s="744" t="str">
        <f t="shared" si="335"/>
        <v/>
      </c>
      <c r="BJ944" s="747" t="str">
        <f t="shared" si="342"/>
        <v/>
      </c>
      <c r="BK944" s="498" t="str">
        <f t="shared" si="336"/>
        <v/>
      </c>
      <c r="BL944" s="498" t="str">
        <f t="shared" si="337"/>
        <v/>
      </c>
    </row>
    <row r="945" spans="1:64" x14ac:dyDescent="0.25">
      <c r="A945" s="762">
        <f t="shared" si="338"/>
        <v>940</v>
      </c>
      <c r="B945" s="229"/>
      <c r="C945" s="223"/>
      <c r="D945" s="224"/>
      <c r="E945" s="225"/>
      <c r="F945" s="1036" t="str">
        <f t="shared" si="344"/>
        <v/>
      </c>
      <c r="G945" s="1037" t="str">
        <f t="shared" si="339"/>
        <v/>
      </c>
      <c r="H945" s="225"/>
      <c r="I945" s="1013"/>
      <c r="J945" s="1013"/>
      <c r="K945" s="1028"/>
      <c r="L945" s="1035" t="str">
        <f t="shared" si="343"/>
        <v/>
      </c>
      <c r="S945" s="498"/>
      <c r="AJ945" s="498"/>
      <c r="AM945" s="498">
        <f t="shared" si="324"/>
        <v>0</v>
      </c>
      <c r="AN945" s="498">
        <f t="shared" si="325"/>
        <v>0</v>
      </c>
      <c r="AO945" s="498">
        <f t="shared" si="326"/>
        <v>0</v>
      </c>
      <c r="AP945" s="498">
        <f t="shared" si="345"/>
        <v>0</v>
      </c>
      <c r="AQ945" s="498">
        <f t="shared" si="340"/>
        <v>0</v>
      </c>
      <c r="AU945" s="498">
        <f t="shared" si="327"/>
        <v>0</v>
      </c>
      <c r="AV945" s="498">
        <f t="shared" si="328"/>
        <v>0</v>
      </c>
      <c r="AW945" s="498">
        <f t="shared" si="329"/>
        <v>0</v>
      </c>
      <c r="AX945" s="498">
        <f t="shared" si="330"/>
        <v>0</v>
      </c>
      <c r="AY945" s="498">
        <f t="shared" si="331"/>
        <v>0</v>
      </c>
      <c r="BB945" s="498" t="str">
        <f t="shared" si="332"/>
        <v/>
      </c>
      <c r="BC945" s="743" t="str">
        <f t="shared" si="333"/>
        <v/>
      </c>
      <c r="BD945" s="743" t="str">
        <f t="shared" si="334"/>
        <v/>
      </c>
      <c r="BE945" s="743" t="str">
        <f>IF(D945="","",VLOOKUP(D945,'General Basis'!$J$39:$K$46,2,0))</f>
        <v/>
      </c>
      <c r="BF945" s="744" t="str">
        <f>IF(D945="","",VLOOKUP(D945,'General Basis'!$J$39:$L$46,3,0))</f>
        <v/>
      </c>
      <c r="BG945" s="744" t="str">
        <f t="shared" si="341"/>
        <v/>
      </c>
      <c r="BH945" s="744" t="str">
        <f>IF(G945="","",IF(BF945="Abu Dhabi",IF(G945&lt;18,'General Basis'!$C$39,IF(G945&lt;41,'General Basis'!$C$40,IF(G945&lt;60,'General Basis'!$C$41,IF(G945&lt;65,'General Basis'!$C$42,'General Basis'!$C$43)))),IF(G945&lt;11,'General Basis'!$B$39,IF(G945&lt;18,'General Basis'!$B$40,IF(G945&lt;26,'General Basis'!$B$41,IF(G945&lt;31,'General Basis'!$B$42,IF(G945&lt;36,'General Basis'!$B$43,IF(G945&lt;41,'General Basis'!$B$44,IF(G945&lt;46,'General Basis'!$B$45,IF(G945&lt;51,'General Basis'!$B$46,IF(G945&lt;56,'General Basis'!$B$47,IF(G945&lt;60,'General Basis'!$B$48,IF(G945&lt;65,'General Basis'!$B$49,'General Basis'!$B$50)))))))))))))</f>
        <v/>
      </c>
      <c r="BI945" s="744" t="str">
        <f t="shared" si="335"/>
        <v/>
      </c>
      <c r="BJ945" s="747" t="str">
        <f t="shared" si="342"/>
        <v/>
      </c>
      <c r="BK945" s="498" t="str">
        <f t="shared" si="336"/>
        <v/>
      </c>
      <c r="BL945" s="498" t="str">
        <f t="shared" si="337"/>
        <v/>
      </c>
    </row>
    <row r="946" spans="1:64" x14ac:dyDescent="0.25">
      <c r="A946" s="762">
        <f t="shared" si="338"/>
        <v>941</v>
      </c>
      <c r="B946" s="229"/>
      <c r="C946" s="223"/>
      <c r="D946" s="224"/>
      <c r="E946" s="225"/>
      <c r="F946" s="1036" t="str">
        <f t="shared" si="344"/>
        <v/>
      </c>
      <c r="G946" s="1037" t="str">
        <f t="shared" si="339"/>
        <v/>
      </c>
      <c r="H946" s="225"/>
      <c r="I946" s="1013"/>
      <c r="J946" s="1013"/>
      <c r="K946" s="1028"/>
      <c r="L946" s="1035" t="str">
        <f t="shared" si="343"/>
        <v/>
      </c>
      <c r="S946" s="498"/>
      <c r="AJ946" s="498"/>
      <c r="AM946" s="498">
        <f t="shared" si="324"/>
        <v>0</v>
      </c>
      <c r="AN946" s="498">
        <f t="shared" si="325"/>
        <v>0</v>
      </c>
      <c r="AO946" s="498">
        <f t="shared" si="326"/>
        <v>0</v>
      </c>
      <c r="AP946" s="498">
        <f t="shared" si="345"/>
        <v>0</v>
      </c>
      <c r="AQ946" s="498">
        <f t="shared" si="340"/>
        <v>0</v>
      </c>
      <c r="AU946" s="498">
        <f t="shared" si="327"/>
        <v>0</v>
      </c>
      <c r="AV946" s="498">
        <f t="shared" si="328"/>
        <v>0</v>
      </c>
      <c r="AW946" s="498">
        <f t="shared" si="329"/>
        <v>0</v>
      </c>
      <c r="AX946" s="498">
        <f t="shared" si="330"/>
        <v>0</v>
      </c>
      <c r="AY946" s="498">
        <f t="shared" si="331"/>
        <v>0</v>
      </c>
      <c r="BB946" s="498" t="str">
        <f t="shared" si="332"/>
        <v/>
      </c>
      <c r="BC946" s="743" t="str">
        <f t="shared" si="333"/>
        <v/>
      </c>
      <c r="BD946" s="743" t="str">
        <f t="shared" si="334"/>
        <v/>
      </c>
      <c r="BE946" s="743" t="str">
        <f>IF(D946="","",VLOOKUP(D946,'General Basis'!$J$39:$K$46,2,0))</f>
        <v/>
      </c>
      <c r="BF946" s="744" t="str">
        <f>IF(D946="","",VLOOKUP(D946,'General Basis'!$J$39:$L$46,3,0))</f>
        <v/>
      </c>
      <c r="BG946" s="744" t="str">
        <f t="shared" si="341"/>
        <v/>
      </c>
      <c r="BH946" s="744" t="str">
        <f>IF(G946="","",IF(BF946="Abu Dhabi",IF(G946&lt;18,'General Basis'!$C$39,IF(G946&lt;41,'General Basis'!$C$40,IF(G946&lt;60,'General Basis'!$C$41,IF(G946&lt;65,'General Basis'!$C$42,'General Basis'!$C$43)))),IF(G946&lt;11,'General Basis'!$B$39,IF(G946&lt;18,'General Basis'!$B$40,IF(G946&lt;26,'General Basis'!$B$41,IF(G946&lt;31,'General Basis'!$B$42,IF(G946&lt;36,'General Basis'!$B$43,IF(G946&lt;41,'General Basis'!$B$44,IF(G946&lt;46,'General Basis'!$B$45,IF(G946&lt;51,'General Basis'!$B$46,IF(G946&lt;56,'General Basis'!$B$47,IF(G946&lt;60,'General Basis'!$B$48,IF(G946&lt;65,'General Basis'!$B$49,'General Basis'!$B$50)))))))))))))</f>
        <v/>
      </c>
      <c r="BI946" s="744" t="str">
        <f t="shared" si="335"/>
        <v/>
      </c>
      <c r="BJ946" s="747" t="str">
        <f t="shared" si="342"/>
        <v/>
      </c>
      <c r="BK946" s="498" t="str">
        <f t="shared" si="336"/>
        <v/>
      </c>
      <c r="BL946" s="498" t="str">
        <f t="shared" si="337"/>
        <v/>
      </c>
    </row>
    <row r="947" spans="1:64" x14ac:dyDescent="0.25">
      <c r="A947" s="762">
        <f t="shared" si="338"/>
        <v>942</v>
      </c>
      <c r="B947" s="229"/>
      <c r="C947" s="223"/>
      <c r="D947" s="224"/>
      <c r="E947" s="225"/>
      <c r="F947" s="1036" t="str">
        <f t="shared" si="344"/>
        <v/>
      </c>
      <c r="G947" s="1037" t="str">
        <f t="shared" si="339"/>
        <v/>
      </c>
      <c r="H947" s="225"/>
      <c r="I947" s="1013"/>
      <c r="J947" s="1013"/>
      <c r="K947" s="1028"/>
      <c r="L947" s="1035" t="str">
        <f t="shared" si="343"/>
        <v/>
      </c>
      <c r="S947" s="498"/>
      <c r="AJ947" s="498"/>
      <c r="AM947" s="498">
        <f t="shared" si="324"/>
        <v>0</v>
      </c>
      <c r="AN947" s="498">
        <f t="shared" si="325"/>
        <v>0</v>
      </c>
      <c r="AO947" s="498">
        <f t="shared" si="326"/>
        <v>0</v>
      </c>
      <c r="AP947" s="498">
        <f t="shared" si="345"/>
        <v>0</v>
      </c>
      <c r="AQ947" s="498">
        <f t="shared" si="340"/>
        <v>0</v>
      </c>
      <c r="AU947" s="498">
        <f t="shared" si="327"/>
        <v>0</v>
      </c>
      <c r="AV947" s="498">
        <f t="shared" si="328"/>
        <v>0</v>
      </c>
      <c r="AW947" s="498">
        <f t="shared" si="329"/>
        <v>0</v>
      </c>
      <c r="AX947" s="498">
        <f t="shared" si="330"/>
        <v>0</v>
      </c>
      <c r="AY947" s="498">
        <f t="shared" si="331"/>
        <v>0</v>
      </c>
      <c r="BB947" s="498" t="str">
        <f t="shared" si="332"/>
        <v/>
      </c>
      <c r="BC947" s="743" t="str">
        <f t="shared" si="333"/>
        <v/>
      </c>
      <c r="BD947" s="743" t="str">
        <f t="shared" si="334"/>
        <v/>
      </c>
      <c r="BE947" s="743" t="str">
        <f>IF(D947="","",VLOOKUP(D947,'General Basis'!$J$39:$K$46,2,0))</f>
        <v/>
      </c>
      <c r="BF947" s="744" t="str">
        <f>IF(D947="","",VLOOKUP(D947,'General Basis'!$J$39:$L$46,3,0))</f>
        <v/>
      </c>
      <c r="BG947" s="744" t="str">
        <f t="shared" si="341"/>
        <v/>
      </c>
      <c r="BH947" s="744" t="str">
        <f>IF(G947="","",IF(BF947="Abu Dhabi",IF(G947&lt;18,'General Basis'!$C$39,IF(G947&lt;41,'General Basis'!$C$40,IF(G947&lt;60,'General Basis'!$C$41,IF(G947&lt;65,'General Basis'!$C$42,'General Basis'!$C$43)))),IF(G947&lt;11,'General Basis'!$B$39,IF(G947&lt;18,'General Basis'!$B$40,IF(G947&lt;26,'General Basis'!$B$41,IF(G947&lt;31,'General Basis'!$B$42,IF(G947&lt;36,'General Basis'!$B$43,IF(G947&lt;41,'General Basis'!$B$44,IF(G947&lt;46,'General Basis'!$B$45,IF(G947&lt;51,'General Basis'!$B$46,IF(G947&lt;56,'General Basis'!$B$47,IF(G947&lt;60,'General Basis'!$B$48,IF(G947&lt;65,'General Basis'!$B$49,'General Basis'!$B$50)))))))))))))</f>
        <v/>
      </c>
      <c r="BI947" s="744" t="str">
        <f t="shared" si="335"/>
        <v/>
      </c>
      <c r="BJ947" s="747" t="str">
        <f t="shared" si="342"/>
        <v/>
      </c>
      <c r="BK947" s="498" t="str">
        <f t="shared" si="336"/>
        <v/>
      </c>
      <c r="BL947" s="498" t="str">
        <f t="shared" si="337"/>
        <v/>
      </c>
    </row>
    <row r="948" spans="1:64" x14ac:dyDescent="0.25">
      <c r="A948" s="762">
        <f t="shared" si="338"/>
        <v>943</v>
      </c>
      <c r="B948" s="229"/>
      <c r="C948" s="223"/>
      <c r="D948" s="224"/>
      <c r="E948" s="225"/>
      <c r="F948" s="1036" t="str">
        <f t="shared" si="344"/>
        <v/>
      </c>
      <c r="G948" s="1037" t="str">
        <f t="shared" si="339"/>
        <v/>
      </c>
      <c r="H948" s="225"/>
      <c r="I948" s="1013"/>
      <c r="J948" s="1013"/>
      <c r="K948" s="1028"/>
      <c r="L948" s="1035" t="str">
        <f t="shared" si="343"/>
        <v/>
      </c>
      <c r="S948" s="498"/>
      <c r="AJ948" s="498"/>
      <c r="AM948" s="498">
        <f t="shared" si="324"/>
        <v>0</v>
      </c>
      <c r="AN948" s="498">
        <f t="shared" si="325"/>
        <v>0</v>
      </c>
      <c r="AO948" s="498">
        <f t="shared" si="326"/>
        <v>0</v>
      </c>
      <c r="AP948" s="498">
        <f t="shared" si="345"/>
        <v>0</v>
      </c>
      <c r="AQ948" s="498">
        <f t="shared" si="340"/>
        <v>0</v>
      </c>
      <c r="AU948" s="498">
        <f t="shared" si="327"/>
        <v>0</v>
      </c>
      <c r="AV948" s="498">
        <f t="shared" si="328"/>
        <v>0</v>
      </c>
      <c r="AW948" s="498">
        <f t="shared" si="329"/>
        <v>0</v>
      </c>
      <c r="AX948" s="498">
        <f t="shared" si="330"/>
        <v>0</v>
      </c>
      <c r="AY948" s="498">
        <f t="shared" si="331"/>
        <v>0</v>
      </c>
      <c r="BB948" s="498" t="str">
        <f t="shared" si="332"/>
        <v/>
      </c>
      <c r="BC948" s="743" t="str">
        <f t="shared" si="333"/>
        <v/>
      </c>
      <c r="BD948" s="743" t="str">
        <f t="shared" si="334"/>
        <v/>
      </c>
      <c r="BE948" s="743" t="str">
        <f>IF(D948="","",VLOOKUP(D948,'General Basis'!$J$39:$K$46,2,0))</f>
        <v/>
      </c>
      <c r="BF948" s="744" t="str">
        <f>IF(D948="","",VLOOKUP(D948,'General Basis'!$J$39:$L$46,3,0))</f>
        <v/>
      </c>
      <c r="BG948" s="744" t="str">
        <f t="shared" si="341"/>
        <v/>
      </c>
      <c r="BH948" s="744" t="str">
        <f>IF(G948="","",IF(BF948="Abu Dhabi",IF(G948&lt;18,'General Basis'!$C$39,IF(G948&lt;41,'General Basis'!$C$40,IF(G948&lt;60,'General Basis'!$C$41,IF(G948&lt;65,'General Basis'!$C$42,'General Basis'!$C$43)))),IF(G948&lt;11,'General Basis'!$B$39,IF(G948&lt;18,'General Basis'!$B$40,IF(G948&lt;26,'General Basis'!$B$41,IF(G948&lt;31,'General Basis'!$B$42,IF(G948&lt;36,'General Basis'!$B$43,IF(G948&lt;41,'General Basis'!$B$44,IF(G948&lt;46,'General Basis'!$B$45,IF(G948&lt;51,'General Basis'!$B$46,IF(G948&lt;56,'General Basis'!$B$47,IF(G948&lt;60,'General Basis'!$B$48,IF(G948&lt;65,'General Basis'!$B$49,'General Basis'!$B$50)))))))))))))</f>
        <v/>
      </c>
      <c r="BI948" s="744" t="str">
        <f t="shared" si="335"/>
        <v/>
      </c>
      <c r="BJ948" s="747" t="str">
        <f t="shared" si="342"/>
        <v/>
      </c>
      <c r="BK948" s="498" t="str">
        <f t="shared" si="336"/>
        <v/>
      </c>
      <c r="BL948" s="498" t="str">
        <f t="shared" si="337"/>
        <v/>
      </c>
    </row>
    <row r="949" spans="1:64" x14ac:dyDescent="0.25">
      <c r="A949" s="762">
        <f t="shared" si="338"/>
        <v>944</v>
      </c>
      <c r="B949" s="229"/>
      <c r="C949" s="223"/>
      <c r="D949" s="224"/>
      <c r="E949" s="225"/>
      <c r="F949" s="1036" t="str">
        <f t="shared" si="344"/>
        <v/>
      </c>
      <c r="G949" s="1037" t="str">
        <f t="shared" si="339"/>
        <v/>
      </c>
      <c r="H949" s="225"/>
      <c r="I949" s="1013"/>
      <c r="J949" s="1013"/>
      <c r="K949" s="1028"/>
      <c r="L949" s="1035" t="str">
        <f t="shared" si="343"/>
        <v/>
      </c>
      <c r="S949" s="498"/>
      <c r="AJ949" s="498"/>
      <c r="AM949" s="498">
        <f t="shared" si="324"/>
        <v>0</v>
      </c>
      <c r="AN949" s="498">
        <f t="shared" si="325"/>
        <v>0</v>
      </c>
      <c r="AO949" s="498">
        <f t="shared" si="326"/>
        <v>0</v>
      </c>
      <c r="AP949" s="498">
        <f t="shared" si="345"/>
        <v>0</v>
      </c>
      <c r="AQ949" s="498">
        <f t="shared" si="340"/>
        <v>0</v>
      </c>
      <c r="AU949" s="498">
        <f t="shared" si="327"/>
        <v>0</v>
      </c>
      <c r="AV949" s="498">
        <f t="shared" si="328"/>
        <v>0</v>
      </c>
      <c r="AW949" s="498">
        <f t="shared" si="329"/>
        <v>0</v>
      </c>
      <c r="AX949" s="498">
        <f t="shared" si="330"/>
        <v>0</v>
      </c>
      <c r="AY949" s="498">
        <f t="shared" si="331"/>
        <v>0</v>
      </c>
      <c r="BB949" s="498" t="str">
        <f t="shared" si="332"/>
        <v/>
      </c>
      <c r="BC949" s="743" t="str">
        <f t="shared" si="333"/>
        <v/>
      </c>
      <c r="BD949" s="743" t="str">
        <f t="shared" si="334"/>
        <v/>
      </c>
      <c r="BE949" s="743" t="str">
        <f>IF(D949="","",VLOOKUP(D949,'General Basis'!$J$39:$K$46,2,0))</f>
        <v/>
      </c>
      <c r="BF949" s="744" t="str">
        <f>IF(D949="","",VLOOKUP(D949,'General Basis'!$J$39:$L$46,3,0))</f>
        <v/>
      </c>
      <c r="BG949" s="744" t="str">
        <f t="shared" si="341"/>
        <v/>
      </c>
      <c r="BH949" s="744" t="str">
        <f>IF(G949="","",IF(BF949="Abu Dhabi",IF(G949&lt;18,'General Basis'!$C$39,IF(G949&lt;41,'General Basis'!$C$40,IF(G949&lt;60,'General Basis'!$C$41,IF(G949&lt;65,'General Basis'!$C$42,'General Basis'!$C$43)))),IF(G949&lt;11,'General Basis'!$B$39,IF(G949&lt;18,'General Basis'!$B$40,IF(G949&lt;26,'General Basis'!$B$41,IF(G949&lt;31,'General Basis'!$B$42,IF(G949&lt;36,'General Basis'!$B$43,IF(G949&lt;41,'General Basis'!$B$44,IF(G949&lt;46,'General Basis'!$B$45,IF(G949&lt;51,'General Basis'!$B$46,IF(G949&lt;56,'General Basis'!$B$47,IF(G949&lt;60,'General Basis'!$B$48,IF(G949&lt;65,'General Basis'!$B$49,'General Basis'!$B$50)))))))))))))</f>
        <v/>
      </c>
      <c r="BI949" s="744" t="str">
        <f t="shared" si="335"/>
        <v/>
      </c>
      <c r="BJ949" s="747" t="str">
        <f t="shared" si="342"/>
        <v/>
      </c>
      <c r="BK949" s="498" t="str">
        <f t="shared" si="336"/>
        <v/>
      </c>
      <c r="BL949" s="498" t="str">
        <f t="shared" si="337"/>
        <v/>
      </c>
    </row>
    <row r="950" spans="1:64" x14ac:dyDescent="0.25">
      <c r="A950" s="762">
        <f t="shared" si="338"/>
        <v>945</v>
      </c>
      <c r="B950" s="229"/>
      <c r="C950" s="223"/>
      <c r="D950" s="224"/>
      <c r="E950" s="225"/>
      <c r="F950" s="1036" t="str">
        <f t="shared" si="344"/>
        <v/>
      </c>
      <c r="G950" s="1037" t="str">
        <f t="shared" si="339"/>
        <v/>
      </c>
      <c r="H950" s="225"/>
      <c r="I950" s="1013"/>
      <c r="J950" s="1013"/>
      <c r="K950" s="1028"/>
      <c r="L950" s="1035" t="str">
        <f t="shared" si="343"/>
        <v/>
      </c>
      <c r="S950" s="498"/>
      <c r="AJ950" s="498"/>
      <c r="AM950" s="498">
        <f t="shared" si="324"/>
        <v>0</v>
      </c>
      <c r="AN950" s="498">
        <f t="shared" si="325"/>
        <v>0</v>
      </c>
      <c r="AO950" s="498">
        <f t="shared" si="326"/>
        <v>0</v>
      </c>
      <c r="AP950" s="498">
        <f t="shared" si="345"/>
        <v>0</v>
      </c>
      <c r="AQ950" s="498">
        <f t="shared" si="340"/>
        <v>0</v>
      </c>
      <c r="AU950" s="498">
        <f t="shared" si="327"/>
        <v>0</v>
      </c>
      <c r="AV950" s="498">
        <f t="shared" si="328"/>
        <v>0</v>
      </c>
      <c r="AW950" s="498">
        <f t="shared" si="329"/>
        <v>0</v>
      </c>
      <c r="AX950" s="498">
        <f t="shared" si="330"/>
        <v>0</v>
      </c>
      <c r="AY950" s="498">
        <f t="shared" si="331"/>
        <v>0</v>
      </c>
      <c r="BB950" s="498" t="str">
        <f t="shared" si="332"/>
        <v/>
      </c>
      <c r="BC950" s="743" t="str">
        <f t="shared" si="333"/>
        <v/>
      </c>
      <c r="BD950" s="743" t="str">
        <f t="shared" si="334"/>
        <v/>
      </c>
      <c r="BE950" s="743" t="str">
        <f>IF(D950="","",VLOOKUP(D950,'General Basis'!$J$39:$K$46,2,0))</f>
        <v/>
      </c>
      <c r="BF950" s="744" t="str">
        <f>IF(D950="","",VLOOKUP(D950,'General Basis'!$J$39:$L$46,3,0))</f>
        <v/>
      </c>
      <c r="BG950" s="744" t="str">
        <f t="shared" si="341"/>
        <v/>
      </c>
      <c r="BH950" s="744" t="str">
        <f>IF(G950="","",IF(BF950="Abu Dhabi",IF(G950&lt;18,'General Basis'!$C$39,IF(G950&lt;41,'General Basis'!$C$40,IF(G950&lt;60,'General Basis'!$C$41,IF(G950&lt;65,'General Basis'!$C$42,'General Basis'!$C$43)))),IF(G950&lt;11,'General Basis'!$B$39,IF(G950&lt;18,'General Basis'!$B$40,IF(G950&lt;26,'General Basis'!$B$41,IF(G950&lt;31,'General Basis'!$B$42,IF(G950&lt;36,'General Basis'!$B$43,IF(G950&lt;41,'General Basis'!$B$44,IF(G950&lt;46,'General Basis'!$B$45,IF(G950&lt;51,'General Basis'!$B$46,IF(G950&lt;56,'General Basis'!$B$47,IF(G950&lt;60,'General Basis'!$B$48,IF(G950&lt;65,'General Basis'!$B$49,'General Basis'!$B$50)))))))))))))</f>
        <v/>
      </c>
      <c r="BI950" s="744" t="str">
        <f t="shared" si="335"/>
        <v/>
      </c>
      <c r="BJ950" s="747" t="str">
        <f t="shared" si="342"/>
        <v/>
      </c>
      <c r="BK950" s="498" t="str">
        <f t="shared" si="336"/>
        <v/>
      </c>
      <c r="BL950" s="498" t="str">
        <f t="shared" si="337"/>
        <v/>
      </c>
    </row>
    <row r="951" spans="1:64" x14ac:dyDescent="0.25">
      <c r="A951" s="762">
        <f t="shared" si="338"/>
        <v>946</v>
      </c>
      <c r="B951" s="229"/>
      <c r="C951" s="223"/>
      <c r="D951" s="224"/>
      <c r="E951" s="225"/>
      <c r="F951" s="1036" t="str">
        <f t="shared" si="344"/>
        <v/>
      </c>
      <c r="G951" s="1037" t="str">
        <f t="shared" si="339"/>
        <v/>
      </c>
      <c r="H951" s="225"/>
      <c r="I951" s="1013"/>
      <c r="J951" s="1013"/>
      <c r="K951" s="1028"/>
      <c r="L951" s="1035" t="str">
        <f t="shared" si="343"/>
        <v/>
      </c>
      <c r="S951" s="498"/>
      <c r="AJ951" s="498"/>
      <c r="AM951" s="498">
        <f t="shared" si="324"/>
        <v>0</v>
      </c>
      <c r="AN951" s="498">
        <f t="shared" si="325"/>
        <v>0</v>
      </c>
      <c r="AO951" s="498">
        <f t="shared" si="326"/>
        <v>0</v>
      </c>
      <c r="AP951" s="498">
        <f t="shared" si="345"/>
        <v>0</v>
      </c>
      <c r="AQ951" s="498">
        <f t="shared" si="340"/>
        <v>0</v>
      </c>
      <c r="AU951" s="498">
        <f t="shared" si="327"/>
        <v>0</v>
      </c>
      <c r="AV951" s="498">
        <f t="shared" si="328"/>
        <v>0</v>
      </c>
      <c r="AW951" s="498">
        <f t="shared" si="329"/>
        <v>0</v>
      </c>
      <c r="AX951" s="498">
        <f t="shared" si="330"/>
        <v>0</v>
      </c>
      <c r="AY951" s="498">
        <f t="shared" si="331"/>
        <v>0</v>
      </c>
      <c r="BB951" s="498" t="str">
        <f t="shared" si="332"/>
        <v/>
      </c>
      <c r="BC951" s="743" t="str">
        <f t="shared" si="333"/>
        <v/>
      </c>
      <c r="BD951" s="743" t="str">
        <f t="shared" si="334"/>
        <v/>
      </c>
      <c r="BE951" s="743" t="str">
        <f>IF(D951="","",VLOOKUP(D951,'General Basis'!$J$39:$K$46,2,0))</f>
        <v/>
      </c>
      <c r="BF951" s="744" t="str">
        <f>IF(D951="","",VLOOKUP(D951,'General Basis'!$J$39:$L$46,3,0))</f>
        <v/>
      </c>
      <c r="BG951" s="744" t="str">
        <f t="shared" si="341"/>
        <v/>
      </c>
      <c r="BH951" s="744" t="str">
        <f>IF(G951="","",IF(BF951="Abu Dhabi",IF(G951&lt;18,'General Basis'!$C$39,IF(G951&lt;41,'General Basis'!$C$40,IF(G951&lt;60,'General Basis'!$C$41,IF(G951&lt;65,'General Basis'!$C$42,'General Basis'!$C$43)))),IF(G951&lt;11,'General Basis'!$B$39,IF(G951&lt;18,'General Basis'!$B$40,IF(G951&lt;26,'General Basis'!$B$41,IF(G951&lt;31,'General Basis'!$B$42,IF(G951&lt;36,'General Basis'!$B$43,IF(G951&lt;41,'General Basis'!$B$44,IF(G951&lt;46,'General Basis'!$B$45,IF(G951&lt;51,'General Basis'!$B$46,IF(G951&lt;56,'General Basis'!$B$47,IF(G951&lt;60,'General Basis'!$B$48,IF(G951&lt;65,'General Basis'!$B$49,'General Basis'!$B$50)))))))))))))</f>
        <v/>
      </c>
      <c r="BI951" s="744" t="str">
        <f t="shared" si="335"/>
        <v/>
      </c>
      <c r="BJ951" s="747" t="str">
        <f t="shared" si="342"/>
        <v/>
      </c>
      <c r="BK951" s="498" t="str">
        <f t="shared" si="336"/>
        <v/>
      </c>
      <c r="BL951" s="498" t="str">
        <f t="shared" si="337"/>
        <v/>
      </c>
    </row>
    <row r="952" spans="1:64" x14ac:dyDescent="0.25">
      <c r="A952" s="762">
        <f t="shared" si="338"/>
        <v>947</v>
      </c>
      <c r="B952" s="229"/>
      <c r="C952" s="223"/>
      <c r="D952" s="224"/>
      <c r="E952" s="225"/>
      <c r="F952" s="1036" t="str">
        <f t="shared" si="344"/>
        <v/>
      </c>
      <c r="G952" s="1037" t="str">
        <f t="shared" si="339"/>
        <v/>
      </c>
      <c r="H952" s="225"/>
      <c r="I952" s="1013"/>
      <c r="J952" s="1013"/>
      <c r="K952" s="1028"/>
      <c r="L952" s="1035" t="str">
        <f t="shared" si="343"/>
        <v/>
      </c>
      <c r="S952" s="498"/>
      <c r="AJ952" s="498"/>
      <c r="AM952" s="498">
        <f t="shared" si="324"/>
        <v>0</v>
      </c>
      <c r="AN952" s="498">
        <f t="shared" si="325"/>
        <v>0</v>
      </c>
      <c r="AO952" s="498">
        <f t="shared" si="326"/>
        <v>0</v>
      </c>
      <c r="AP952" s="498">
        <f t="shared" si="345"/>
        <v>0</v>
      </c>
      <c r="AQ952" s="498">
        <f t="shared" si="340"/>
        <v>0</v>
      </c>
      <c r="AU952" s="498">
        <f t="shared" si="327"/>
        <v>0</v>
      </c>
      <c r="AV952" s="498">
        <f t="shared" si="328"/>
        <v>0</v>
      </c>
      <c r="AW952" s="498">
        <f t="shared" si="329"/>
        <v>0</v>
      </c>
      <c r="AX952" s="498">
        <f t="shared" si="330"/>
        <v>0</v>
      </c>
      <c r="AY952" s="498">
        <f t="shared" si="331"/>
        <v>0</v>
      </c>
      <c r="BB952" s="498" t="str">
        <f t="shared" si="332"/>
        <v/>
      </c>
      <c r="BC952" s="743" t="str">
        <f t="shared" si="333"/>
        <v/>
      </c>
      <c r="BD952" s="743" t="str">
        <f t="shared" si="334"/>
        <v/>
      </c>
      <c r="BE952" s="743" t="str">
        <f>IF(D952="","",VLOOKUP(D952,'General Basis'!$J$39:$K$46,2,0))</f>
        <v/>
      </c>
      <c r="BF952" s="744" t="str">
        <f>IF(D952="","",VLOOKUP(D952,'General Basis'!$J$39:$L$46,3,0))</f>
        <v/>
      </c>
      <c r="BG952" s="744" t="str">
        <f t="shared" si="341"/>
        <v/>
      </c>
      <c r="BH952" s="744" t="str">
        <f>IF(G952="","",IF(BF952="Abu Dhabi",IF(G952&lt;18,'General Basis'!$C$39,IF(G952&lt;41,'General Basis'!$C$40,IF(G952&lt;60,'General Basis'!$C$41,IF(G952&lt;65,'General Basis'!$C$42,'General Basis'!$C$43)))),IF(G952&lt;11,'General Basis'!$B$39,IF(G952&lt;18,'General Basis'!$B$40,IF(G952&lt;26,'General Basis'!$B$41,IF(G952&lt;31,'General Basis'!$B$42,IF(G952&lt;36,'General Basis'!$B$43,IF(G952&lt;41,'General Basis'!$B$44,IF(G952&lt;46,'General Basis'!$B$45,IF(G952&lt;51,'General Basis'!$B$46,IF(G952&lt;56,'General Basis'!$B$47,IF(G952&lt;60,'General Basis'!$B$48,IF(G952&lt;65,'General Basis'!$B$49,'General Basis'!$B$50)))))))))))))</f>
        <v/>
      </c>
      <c r="BI952" s="744" t="str">
        <f t="shared" si="335"/>
        <v/>
      </c>
      <c r="BJ952" s="747" t="str">
        <f t="shared" si="342"/>
        <v/>
      </c>
      <c r="BK952" s="498" t="str">
        <f t="shared" si="336"/>
        <v/>
      </c>
      <c r="BL952" s="498" t="str">
        <f t="shared" si="337"/>
        <v/>
      </c>
    </row>
    <row r="953" spans="1:64" x14ac:dyDescent="0.25">
      <c r="A953" s="762">
        <f t="shared" si="338"/>
        <v>948</v>
      </c>
      <c r="B953" s="229"/>
      <c r="C953" s="223"/>
      <c r="D953" s="224"/>
      <c r="E953" s="225"/>
      <c r="F953" s="1036" t="str">
        <f t="shared" si="344"/>
        <v/>
      </c>
      <c r="G953" s="1037" t="str">
        <f t="shared" si="339"/>
        <v/>
      </c>
      <c r="H953" s="225"/>
      <c r="I953" s="1013"/>
      <c r="J953" s="1013"/>
      <c r="K953" s="1028"/>
      <c r="L953" s="1035" t="str">
        <f t="shared" si="343"/>
        <v/>
      </c>
      <c r="S953" s="498"/>
      <c r="AJ953" s="498"/>
      <c r="AM953" s="498">
        <f t="shared" si="324"/>
        <v>0</v>
      </c>
      <c r="AN953" s="498">
        <f t="shared" si="325"/>
        <v>0</v>
      </c>
      <c r="AO953" s="498">
        <f t="shared" si="326"/>
        <v>0</v>
      </c>
      <c r="AP953" s="498">
        <f t="shared" si="345"/>
        <v>0</v>
      </c>
      <c r="AQ953" s="498">
        <f t="shared" si="340"/>
        <v>0</v>
      </c>
      <c r="AU953" s="498">
        <f t="shared" si="327"/>
        <v>0</v>
      </c>
      <c r="AV953" s="498">
        <f t="shared" si="328"/>
        <v>0</v>
      </c>
      <c r="AW953" s="498">
        <f t="shared" si="329"/>
        <v>0</v>
      </c>
      <c r="AX953" s="498">
        <f t="shared" si="330"/>
        <v>0</v>
      </c>
      <c r="AY953" s="498">
        <f t="shared" si="331"/>
        <v>0</v>
      </c>
      <c r="BB953" s="498" t="str">
        <f t="shared" si="332"/>
        <v/>
      </c>
      <c r="BC953" s="743" t="str">
        <f t="shared" si="333"/>
        <v/>
      </c>
      <c r="BD953" s="743" t="str">
        <f t="shared" si="334"/>
        <v/>
      </c>
      <c r="BE953" s="743" t="str">
        <f>IF(D953="","",VLOOKUP(D953,'General Basis'!$J$39:$K$46,2,0))</f>
        <v/>
      </c>
      <c r="BF953" s="744" t="str">
        <f>IF(D953="","",VLOOKUP(D953,'General Basis'!$J$39:$L$46,3,0))</f>
        <v/>
      </c>
      <c r="BG953" s="744" t="str">
        <f t="shared" si="341"/>
        <v/>
      </c>
      <c r="BH953" s="744" t="str">
        <f>IF(G953="","",IF(BF953="Abu Dhabi",IF(G953&lt;18,'General Basis'!$C$39,IF(G953&lt;41,'General Basis'!$C$40,IF(G953&lt;60,'General Basis'!$C$41,IF(G953&lt;65,'General Basis'!$C$42,'General Basis'!$C$43)))),IF(G953&lt;11,'General Basis'!$B$39,IF(G953&lt;18,'General Basis'!$B$40,IF(G953&lt;26,'General Basis'!$B$41,IF(G953&lt;31,'General Basis'!$B$42,IF(G953&lt;36,'General Basis'!$B$43,IF(G953&lt;41,'General Basis'!$B$44,IF(G953&lt;46,'General Basis'!$B$45,IF(G953&lt;51,'General Basis'!$B$46,IF(G953&lt;56,'General Basis'!$B$47,IF(G953&lt;60,'General Basis'!$B$48,IF(G953&lt;65,'General Basis'!$B$49,'General Basis'!$B$50)))))))))))))</f>
        <v/>
      </c>
      <c r="BI953" s="744" t="str">
        <f t="shared" si="335"/>
        <v/>
      </c>
      <c r="BJ953" s="747" t="str">
        <f t="shared" si="342"/>
        <v/>
      </c>
      <c r="BK953" s="498" t="str">
        <f t="shared" si="336"/>
        <v/>
      </c>
      <c r="BL953" s="498" t="str">
        <f t="shared" si="337"/>
        <v/>
      </c>
    </row>
    <row r="954" spans="1:64" x14ac:dyDescent="0.25">
      <c r="A954" s="762">
        <f t="shared" si="338"/>
        <v>949</v>
      </c>
      <c r="B954" s="229"/>
      <c r="C954" s="223"/>
      <c r="D954" s="224"/>
      <c r="E954" s="225"/>
      <c r="F954" s="1036" t="str">
        <f t="shared" si="344"/>
        <v/>
      </c>
      <c r="G954" s="1037" t="str">
        <f t="shared" si="339"/>
        <v/>
      </c>
      <c r="H954" s="225"/>
      <c r="I954" s="1013"/>
      <c r="J954" s="1013"/>
      <c r="K954" s="1028"/>
      <c r="L954" s="1035" t="str">
        <f t="shared" si="343"/>
        <v/>
      </c>
      <c r="S954" s="498"/>
      <c r="AJ954" s="498"/>
      <c r="AM954" s="498">
        <f t="shared" si="324"/>
        <v>0</v>
      </c>
      <c r="AN954" s="498">
        <f t="shared" si="325"/>
        <v>0</v>
      </c>
      <c r="AO954" s="498">
        <f t="shared" si="326"/>
        <v>0</v>
      </c>
      <c r="AP954" s="498">
        <f t="shared" si="345"/>
        <v>0</v>
      </c>
      <c r="AQ954" s="498">
        <f t="shared" si="340"/>
        <v>0</v>
      </c>
      <c r="AU954" s="498">
        <f t="shared" si="327"/>
        <v>0</v>
      </c>
      <c r="AV954" s="498">
        <f t="shared" si="328"/>
        <v>0</v>
      </c>
      <c r="AW954" s="498">
        <f t="shared" si="329"/>
        <v>0</v>
      </c>
      <c r="AX954" s="498">
        <f t="shared" si="330"/>
        <v>0</v>
      </c>
      <c r="AY954" s="498">
        <f t="shared" si="331"/>
        <v>0</v>
      </c>
      <c r="BB954" s="498" t="str">
        <f t="shared" si="332"/>
        <v/>
      </c>
      <c r="BC954" s="743" t="str">
        <f t="shared" si="333"/>
        <v/>
      </c>
      <c r="BD954" s="743" t="str">
        <f t="shared" si="334"/>
        <v/>
      </c>
      <c r="BE954" s="743" t="str">
        <f>IF(D954="","",VLOOKUP(D954,'General Basis'!$J$39:$K$46,2,0))</f>
        <v/>
      </c>
      <c r="BF954" s="744" t="str">
        <f>IF(D954="","",VLOOKUP(D954,'General Basis'!$J$39:$L$46,3,0))</f>
        <v/>
      </c>
      <c r="BG954" s="744" t="str">
        <f t="shared" si="341"/>
        <v/>
      </c>
      <c r="BH954" s="744" t="str">
        <f>IF(G954="","",IF(BF954="Abu Dhabi",IF(G954&lt;18,'General Basis'!$C$39,IF(G954&lt;41,'General Basis'!$C$40,IF(G954&lt;60,'General Basis'!$C$41,IF(G954&lt;65,'General Basis'!$C$42,'General Basis'!$C$43)))),IF(G954&lt;11,'General Basis'!$B$39,IF(G954&lt;18,'General Basis'!$B$40,IF(G954&lt;26,'General Basis'!$B$41,IF(G954&lt;31,'General Basis'!$B$42,IF(G954&lt;36,'General Basis'!$B$43,IF(G954&lt;41,'General Basis'!$B$44,IF(G954&lt;46,'General Basis'!$B$45,IF(G954&lt;51,'General Basis'!$B$46,IF(G954&lt;56,'General Basis'!$B$47,IF(G954&lt;60,'General Basis'!$B$48,IF(G954&lt;65,'General Basis'!$B$49,'General Basis'!$B$50)))))))))))))</f>
        <v/>
      </c>
      <c r="BI954" s="744" t="str">
        <f t="shared" si="335"/>
        <v/>
      </c>
      <c r="BJ954" s="747" t="str">
        <f t="shared" si="342"/>
        <v/>
      </c>
      <c r="BK954" s="498" t="str">
        <f t="shared" si="336"/>
        <v/>
      </c>
      <c r="BL954" s="498" t="str">
        <f t="shared" si="337"/>
        <v/>
      </c>
    </row>
    <row r="955" spans="1:64" x14ac:dyDescent="0.25">
      <c r="A955" s="762">
        <f t="shared" si="338"/>
        <v>950</v>
      </c>
      <c r="B955" s="229"/>
      <c r="C955" s="223"/>
      <c r="D955" s="224"/>
      <c r="E955" s="225"/>
      <c r="F955" s="1036" t="str">
        <f t="shared" si="344"/>
        <v/>
      </c>
      <c r="G955" s="1037" t="str">
        <f t="shared" si="339"/>
        <v/>
      </c>
      <c r="H955" s="225"/>
      <c r="I955" s="1013"/>
      <c r="J955" s="1013"/>
      <c r="K955" s="1028"/>
      <c r="L955" s="1035" t="str">
        <f t="shared" si="343"/>
        <v/>
      </c>
      <c r="S955" s="498"/>
      <c r="AJ955" s="498"/>
      <c r="AM955" s="498">
        <f t="shared" si="324"/>
        <v>0</v>
      </c>
      <c r="AN955" s="498">
        <f t="shared" si="325"/>
        <v>0</v>
      </c>
      <c r="AO955" s="498">
        <f t="shared" si="326"/>
        <v>0</v>
      </c>
      <c r="AP955" s="498">
        <f t="shared" si="345"/>
        <v>0</v>
      </c>
      <c r="AQ955" s="498">
        <f t="shared" si="340"/>
        <v>0</v>
      </c>
      <c r="AU955" s="498">
        <f t="shared" si="327"/>
        <v>0</v>
      </c>
      <c r="AV955" s="498">
        <f t="shared" si="328"/>
        <v>0</v>
      </c>
      <c r="AW955" s="498">
        <f t="shared" si="329"/>
        <v>0</v>
      </c>
      <c r="AX955" s="498">
        <f t="shared" si="330"/>
        <v>0</v>
      </c>
      <c r="AY955" s="498">
        <f t="shared" si="331"/>
        <v>0</v>
      </c>
      <c r="BB955" s="498" t="str">
        <f t="shared" si="332"/>
        <v/>
      </c>
      <c r="BC955" s="743" t="str">
        <f t="shared" si="333"/>
        <v/>
      </c>
      <c r="BD955" s="743" t="str">
        <f t="shared" si="334"/>
        <v/>
      </c>
      <c r="BE955" s="743" t="str">
        <f>IF(D955="","",VLOOKUP(D955,'General Basis'!$J$39:$K$46,2,0))</f>
        <v/>
      </c>
      <c r="BF955" s="744" t="str">
        <f>IF(D955="","",VLOOKUP(D955,'General Basis'!$J$39:$L$46,3,0))</f>
        <v/>
      </c>
      <c r="BG955" s="744" t="str">
        <f t="shared" si="341"/>
        <v/>
      </c>
      <c r="BH955" s="744" t="str">
        <f>IF(G955="","",IF(BF955="Abu Dhabi",IF(G955&lt;18,'General Basis'!$C$39,IF(G955&lt;41,'General Basis'!$C$40,IF(G955&lt;60,'General Basis'!$C$41,IF(G955&lt;65,'General Basis'!$C$42,'General Basis'!$C$43)))),IF(G955&lt;11,'General Basis'!$B$39,IF(G955&lt;18,'General Basis'!$B$40,IF(G955&lt;26,'General Basis'!$B$41,IF(G955&lt;31,'General Basis'!$B$42,IF(G955&lt;36,'General Basis'!$B$43,IF(G955&lt;41,'General Basis'!$B$44,IF(G955&lt;46,'General Basis'!$B$45,IF(G955&lt;51,'General Basis'!$B$46,IF(G955&lt;56,'General Basis'!$B$47,IF(G955&lt;60,'General Basis'!$B$48,IF(G955&lt;65,'General Basis'!$B$49,'General Basis'!$B$50)))))))))))))</f>
        <v/>
      </c>
      <c r="BI955" s="744" t="str">
        <f t="shared" si="335"/>
        <v/>
      </c>
      <c r="BJ955" s="747" t="str">
        <f t="shared" si="342"/>
        <v/>
      </c>
      <c r="BK955" s="498" t="str">
        <f t="shared" si="336"/>
        <v/>
      </c>
      <c r="BL955" s="498" t="str">
        <f t="shared" si="337"/>
        <v/>
      </c>
    </row>
    <row r="956" spans="1:64" x14ac:dyDescent="0.25">
      <c r="A956" s="762">
        <f t="shared" si="338"/>
        <v>951</v>
      </c>
      <c r="B956" s="229"/>
      <c r="C956" s="223"/>
      <c r="D956" s="224"/>
      <c r="E956" s="225"/>
      <c r="F956" s="1036" t="str">
        <f t="shared" si="344"/>
        <v/>
      </c>
      <c r="G956" s="1037" t="str">
        <f t="shared" si="339"/>
        <v/>
      </c>
      <c r="H956" s="225"/>
      <c r="I956" s="1013"/>
      <c r="J956" s="1013"/>
      <c r="K956" s="1028"/>
      <c r="L956" s="1035" t="str">
        <f t="shared" si="343"/>
        <v/>
      </c>
      <c r="S956" s="498"/>
      <c r="AJ956" s="498"/>
      <c r="AM956" s="498">
        <f t="shared" si="324"/>
        <v>0</v>
      </c>
      <c r="AN956" s="498">
        <f t="shared" si="325"/>
        <v>0</v>
      </c>
      <c r="AO956" s="498">
        <f t="shared" si="326"/>
        <v>0</v>
      </c>
      <c r="AP956" s="498">
        <f t="shared" si="345"/>
        <v>0</v>
      </c>
      <c r="AQ956" s="498">
        <f t="shared" si="340"/>
        <v>0</v>
      </c>
      <c r="AU956" s="498">
        <f t="shared" si="327"/>
        <v>0</v>
      </c>
      <c r="AV956" s="498">
        <f t="shared" si="328"/>
        <v>0</v>
      </c>
      <c r="AW956" s="498">
        <f t="shared" si="329"/>
        <v>0</v>
      </c>
      <c r="AX956" s="498">
        <f t="shared" si="330"/>
        <v>0</v>
      </c>
      <c r="AY956" s="498">
        <f t="shared" si="331"/>
        <v>0</v>
      </c>
      <c r="BB956" s="498" t="str">
        <f t="shared" si="332"/>
        <v/>
      </c>
      <c r="BC956" s="743" t="str">
        <f t="shared" si="333"/>
        <v/>
      </c>
      <c r="BD956" s="743" t="str">
        <f t="shared" si="334"/>
        <v/>
      </c>
      <c r="BE956" s="743" t="str">
        <f>IF(D956="","",VLOOKUP(D956,'General Basis'!$J$39:$K$46,2,0))</f>
        <v/>
      </c>
      <c r="BF956" s="744" t="str">
        <f>IF(D956="","",VLOOKUP(D956,'General Basis'!$J$39:$L$46,3,0))</f>
        <v/>
      </c>
      <c r="BG956" s="744" t="str">
        <f t="shared" si="341"/>
        <v/>
      </c>
      <c r="BH956" s="744" t="str">
        <f>IF(G956="","",IF(BF956="Abu Dhabi",IF(G956&lt;18,'General Basis'!$C$39,IF(G956&lt;41,'General Basis'!$C$40,IF(G956&lt;60,'General Basis'!$C$41,IF(G956&lt;65,'General Basis'!$C$42,'General Basis'!$C$43)))),IF(G956&lt;11,'General Basis'!$B$39,IF(G956&lt;18,'General Basis'!$B$40,IF(G956&lt;26,'General Basis'!$B$41,IF(G956&lt;31,'General Basis'!$B$42,IF(G956&lt;36,'General Basis'!$B$43,IF(G956&lt;41,'General Basis'!$B$44,IF(G956&lt;46,'General Basis'!$B$45,IF(G956&lt;51,'General Basis'!$B$46,IF(G956&lt;56,'General Basis'!$B$47,IF(G956&lt;60,'General Basis'!$B$48,IF(G956&lt;65,'General Basis'!$B$49,'General Basis'!$B$50)))))))))))))</f>
        <v/>
      </c>
      <c r="BI956" s="744" t="str">
        <f t="shared" si="335"/>
        <v/>
      </c>
      <c r="BJ956" s="747" t="str">
        <f t="shared" si="342"/>
        <v/>
      </c>
      <c r="BK956" s="498" t="str">
        <f t="shared" si="336"/>
        <v/>
      </c>
      <c r="BL956" s="498" t="str">
        <f t="shared" si="337"/>
        <v/>
      </c>
    </row>
    <row r="957" spans="1:64" x14ac:dyDescent="0.25">
      <c r="A957" s="762">
        <f t="shared" si="338"/>
        <v>952</v>
      </c>
      <c r="B957" s="229"/>
      <c r="C957" s="223"/>
      <c r="D957" s="224"/>
      <c r="E957" s="225"/>
      <c r="F957" s="1036" t="str">
        <f t="shared" si="344"/>
        <v/>
      </c>
      <c r="G957" s="1037" t="str">
        <f t="shared" si="339"/>
        <v/>
      </c>
      <c r="H957" s="225"/>
      <c r="I957" s="1013"/>
      <c r="J957" s="1013"/>
      <c r="K957" s="1028"/>
      <c r="L957" s="1035" t="str">
        <f t="shared" si="343"/>
        <v/>
      </c>
      <c r="S957" s="498"/>
      <c r="AJ957" s="498"/>
      <c r="AM957" s="498">
        <f t="shared" si="324"/>
        <v>0</v>
      </c>
      <c r="AN957" s="498">
        <f t="shared" si="325"/>
        <v>0</v>
      </c>
      <c r="AO957" s="498">
        <f t="shared" si="326"/>
        <v>0</v>
      </c>
      <c r="AP957" s="498">
        <f t="shared" si="345"/>
        <v>0</v>
      </c>
      <c r="AQ957" s="498">
        <f t="shared" si="340"/>
        <v>0</v>
      </c>
      <c r="AU957" s="498">
        <f t="shared" si="327"/>
        <v>0</v>
      </c>
      <c r="AV957" s="498">
        <f t="shared" si="328"/>
        <v>0</v>
      </c>
      <c r="AW957" s="498">
        <f t="shared" si="329"/>
        <v>0</v>
      </c>
      <c r="AX957" s="498">
        <f t="shared" si="330"/>
        <v>0</v>
      </c>
      <c r="AY957" s="498">
        <f t="shared" si="331"/>
        <v>0</v>
      </c>
      <c r="BB957" s="498" t="str">
        <f t="shared" si="332"/>
        <v/>
      </c>
      <c r="BC957" s="743" t="str">
        <f t="shared" si="333"/>
        <v/>
      </c>
      <c r="BD957" s="743" t="str">
        <f t="shared" si="334"/>
        <v/>
      </c>
      <c r="BE957" s="743" t="str">
        <f>IF(D957="","",VLOOKUP(D957,'General Basis'!$J$39:$K$46,2,0))</f>
        <v/>
      </c>
      <c r="BF957" s="744" t="str">
        <f>IF(D957="","",VLOOKUP(D957,'General Basis'!$J$39:$L$46,3,0))</f>
        <v/>
      </c>
      <c r="BG957" s="744" t="str">
        <f t="shared" si="341"/>
        <v/>
      </c>
      <c r="BH957" s="744" t="str">
        <f>IF(G957="","",IF(BF957="Abu Dhabi",IF(G957&lt;18,'General Basis'!$C$39,IF(G957&lt;41,'General Basis'!$C$40,IF(G957&lt;60,'General Basis'!$C$41,IF(G957&lt;65,'General Basis'!$C$42,'General Basis'!$C$43)))),IF(G957&lt;11,'General Basis'!$B$39,IF(G957&lt;18,'General Basis'!$B$40,IF(G957&lt;26,'General Basis'!$B$41,IF(G957&lt;31,'General Basis'!$B$42,IF(G957&lt;36,'General Basis'!$B$43,IF(G957&lt;41,'General Basis'!$B$44,IF(G957&lt;46,'General Basis'!$B$45,IF(G957&lt;51,'General Basis'!$B$46,IF(G957&lt;56,'General Basis'!$B$47,IF(G957&lt;60,'General Basis'!$B$48,IF(G957&lt;65,'General Basis'!$B$49,'General Basis'!$B$50)))))))))))))</f>
        <v/>
      </c>
      <c r="BI957" s="744" t="str">
        <f t="shared" si="335"/>
        <v/>
      </c>
      <c r="BJ957" s="747" t="str">
        <f t="shared" si="342"/>
        <v/>
      </c>
      <c r="BK957" s="498" t="str">
        <f t="shared" si="336"/>
        <v/>
      </c>
      <c r="BL957" s="498" t="str">
        <f t="shared" si="337"/>
        <v/>
      </c>
    </row>
    <row r="958" spans="1:64" x14ac:dyDescent="0.25">
      <c r="A958" s="762">
        <f t="shared" si="338"/>
        <v>953</v>
      </c>
      <c r="B958" s="229"/>
      <c r="C958" s="223"/>
      <c r="D958" s="224"/>
      <c r="E958" s="225"/>
      <c r="F958" s="1036" t="str">
        <f t="shared" si="344"/>
        <v/>
      </c>
      <c r="G958" s="1037" t="str">
        <f t="shared" si="339"/>
        <v/>
      </c>
      <c r="H958" s="225"/>
      <c r="I958" s="1013"/>
      <c r="J958" s="1013"/>
      <c r="K958" s="1028"/>
      <c r="L958" s="1035" t="str">
        <f t="shared" si="343"/>
        <v/>
      </c>
      <c r="S958" s="498"/>
      <c r="AJ958" s="498"/>
      <c r="AM958" s="498">
        <f t="shared" si="324"/>
        <v>0</v>
      </c>
      <c r="AN958" s="498">
        <f t="shared" si="325"/>
        <v>0</v>
      </c>
      <c r="AO958" s="498">
        <f t="shared" si="326"/>
        <v>0</v>
      </c>
      <c r="AP958" s="498">
        <f t="shared" si="345"/>
        <v>0</v>
      </c>
      <c r="AQ958" s="498">
        <f t="shared" si="340"/>
        <v>0</v>
      </c>
      <c r="AU958" s="498">
        <f t="shared" si="327"/>
        <v>0</v>
      </c>
      <c r="AV958" s="498">
        <f t="shared" si="328"/>
        <v>0</v>
      </c>
      <c r="AW958" s="498">
        <f t="shared" si="329"/>
        <v>0</v>
      </c>
      <c r="AX958" s="498">
        <f t="shared" si="330"/>
        <v>0</v>
      </c>
      <c r="AY958" s="498">
        <f t="shared" si="331"/>
        <v>0</v>
      </c>
      <c r="BB958" s="498" t="str">
        <f t="shared" si="332"/>
        <v/>
      </c>
      <c r="BC958" s="743" t="str">
        <f t="shared" si="333"/>
        <v/>
      </c>
      <c r="BD958" s="743" t="str">
        <f t="shared" si="334"/>
        <v/>
      </c>
      <c r="BE958" s="743" t="str">
        <f>IF(D958="","",VLOOKUP(D958,'General Basis'!$J$39:$K$46,2,0))</f>
        <v/>
      </c>
      <c r="BF958" s="744" t="str">
        <f>IF(D958="","",VLOOKUP(D958,'General Basis'!$J$39:$L$46,3,0))</f>
        <v/>
      </c>
      <c r="BG958" s="744" t="str">
        <f t="shared" si="341"/>
        <v/>
      </c>
      <c r="BH958" s="744" t="str">
        <f>IF(G958="","",IF(BF958="Abu Dhabi",IF(G958&lt;18,'General Basis'!$C$39,IF(G958&lt;41,'General Basis'!$C$40,IF(G958&lt;60,'General Basis'!$C$41,IF(G958&lt;65,'General Basis'!$C$42,'General Basis'!$C$43)))),IF(G958&lt;11,'General Basis'!$B$39,IF(G958&lt;18,'General Basis'!$B$40,IF(G958&lt;26,'General Basis'!$B$41,IF(G958&lt;31,'General Basis'!$B$42,IF(G958&lt;36,'General Basis'!$B$43,IF(G958&lt;41,'General Basis'!$B$44,IF(G958&lt;46,'General Basis'!$B$45,IF(G958&lt;51,'General Basis'!$B$46,IF(G958&lt;56,'General Basis'!$B$47,IF(G958&lt;60,'General Basis'!$B$48,IF(G958&lt;65,'General Basis'!$B$49,'General Basis'!$B$50)))))))))))))</f>
        <v/>
      </c>
      <c r="BI958" s="744" t="str">
        <f t="shared" si="335"/>
        <v/>
      </c>
      <c r="BJ958" s="747" t="str">
        <f t="shared" si="342"/>
        <v/>
      </c>
      <c r="BK958" s="498" t="str">
        <f t="shared" si="336"/>
        <v/>
      </c>
      <c r="BL958" s="498" t="str">
        <f t="shared" si="337"/>
        <v/>
      </c>
    </row>
    <row r="959" spans="1:64" x14ac:dyDescent="0.25">
      <c r="A959" s="762">
        <f t="shared" si="338"/>
        <v>954</v>
      </c>
      <c r="B959" s="229"/>
      <c r="C959" s="223"/>
      <c r="D959" s="224"/>
      <c r="E959" s="225"/>
      <c r="F959" s="1036" t="str">
        <f t="shared" si="344"/>
        <v/>
      </c>
      <c r="G959" s="1037" t="str">
        <f t="shared" si="339"/>
        <v/>
      </c>
      <c r="H959" s="225"/>
      <c r="I959" s="1013"/>
      <c r="J959" s="1013"/>
      <c r="K959" s="1028"/>
      <c r="L959" s="1035" t="str">
        <f t="shared" si="343"/>
        <v/>
      </c>
      <c r="S959" s="498"/>
      <c r="AJ959" s="498"/>
      <c r="AM959" s="498">
        <f t="shared" si="324"/>
        <v>0</v>
      </c>
      <c r="AN959" s="498">
        <f t="shared" si="325"/>
        <v>0</v>
      </c>
      <c r="AO959" s="498">
        <f t="shared" si="326"/>
        <v>0</v>
      </c>
      <c r="AP959" s="498">
        <f t="shared" si="345"/>
        <v>0</v>
      </c>
      <c r="AQ959" s="498">
        <f t="shared" si="340"/>
        <v>0</v>
      </c>
      <c r="AU959" s="498">
        <f t="shared" si="327"/>
        <v>0</v>
      </c>
      <c r="AV959" s="498">
        <f t="shared" si="328"/>
        <v>0</v>
      </c>
      <c r="AW959" s="498">
        <f t="shared" si="329"/>
        <v>0</v>
      </c>
      <c r="AX959" s="498">
        <f t="shared" si="330"/>
        <v>0</v>
      </c>
      <c r="AY959" s="498">
        <f t="shared" si="331"/>
        <v>0</v>
      </c>
      <c r="BB959" s="498" t="str">
        <f t="shared" si="332"/>
        <v/>
      </c>
      <c r="BC959" s="743" t="str">
        <f t="shared" si="333"/>
        <v/>
      </c>
      <c r="BD959" s="743" t="str">
        <f t="shared" si="334"/>
        <v/>
      </c>
      <c r="BE959" s="743" t="str">
        <f>IF(D959="","",VLOOKUP(D959,'General Basis'!$J$39:$K$46,2,0))</f>
        <v/>
      </c>
      <c r="BF959" s="744" t="str">
        <f>IF(D959="","",VLOOKUP(D959,'General Basis'!$J$39:$L$46,3,0))</f>
        <v/>
      </c>
      <c r="BG959" s="744" t="str">
        <f t="shared" si="341"/>
        <v/>
      </c>
      <c r="BH959" s="744" t="str">
        <f>IF(G959="","",IF(BF959="Abu Dhabi",IF(G959&lt;18,'General Basis'!$C$39,IF(G959&lt;41,'General Basis'!$C$40,IF(G959&lt;60,'General Basis'!$C$41,IF(G959&lt;65,'General Basis'!$C$42,'General Basis'!$C$43)))),IF(G959&lt;11,'General Basis'!$B$39,IF(G959&lt;18,'General Basis'!$B$40,IF(G959&lt;26,'General Basis'!$B$41,IF(G959&lt;31,'General Basis'!$B$42,IF(G959&lt;36,'General Basis'!$B$43,IF(G959&lt;41,'General Basis'!$B$44,IF(G959&lt;46,'General Basis'!$B$45,IF(G959&lt;51,'General Basis'!$B$46,IF(G959&lt;56,'General Basis'!$B$47,IF(G959&lt;60,'General Basis'!$B$48,IF(G959&lt;65,'General Basis'!$B$49,'General Basis'!$B$50)))))))))))))</f>
        <v/>
      </c>
      <c r="BI959" s="744" t="str">
        <f t="shared" si="335"/>
        <v/>
      </c>
      <c r="BJ959" s="747" t="str">
        <f t="shared" si="342"/>
        <v/>
      </c>
      <c r="BK959" s="498" t="str">
        <f t="shared" si="336"/>
        <v/>
      </c>
      <c r="BL959" s="498" t="str">
        <f t="shared" si="337"/>
        <v/>
      </c>
    </row>
    <row r="960" spans="1:64" x14ac:dyDescent="0.25">
      <c r="A960" s="762">
        <f t="shared" si="338"/>
        <v>955</v>
      </c>
      <c r="B960" s="229"/>
      <c r="C960" s="223"/>
      <c r="D960" s="224"/>
      <c r="E960" s="225"/>
      <c r="F960" s="1036" t="str">
        <f t="shared" si="344"/>
        <v/>
      </c>
      <c r="G960" s="1037" t="str">
        <f t="shared" si="339"/>
        <v/>
      </c>
      <c r="H960" s="225"/>
      <c r="I960" s="1013"/>
      <c r="J960" s="1013"/>
      <c r="K960" s="1028"/>
      <c r="L960" s="1035" t="str">
        <f t="shared" si="343"/>
        <v/>
      </c>
      <c r="S960" s="498"/>
      <c r="AJ960" s="498"/>
      <c r="AM960" s="498">
        <f t="shared" si="324"/>
        <v>0</v>
      </c>
      <c r="AN960" s="498">
        <f t="shared" si="325"/>
        <v>0</v>
      </c>
      <c r="AO960" s="498">
        <f t="shared" si="326"/>
        <v>0</v>
      </c>
      <c r="AP960" s="498">
        <f t="shared" si="345"/>
        <v>0</v>
      </c>
      <c r="AQ960" s="498">
        <f t="shared" si="340"/>
        <v>0</v>
      </c>
      <c r="AU960" s="498">
        <f t="shared" si="327"/>
        <v>0</v>
      </c>
      <c r="AV960" s="498">
        <f t="shared" si="328"/>
        <v>0</v>
      </c>
      <c r="AW960" s="498">
        <f t="shared" si="329"/>
        <v>0</v>
      </c>
      <c r="AX960" s="498">
        <f t="shared" si="330"/>
        <v>0</v>
      </c>
      <c r="AY960" s="498">
        <f t="shared" si="331"/>
        <v>0</v>
      </c>
      <c r="BB960" s="498" t="str">
        <f t="shared" si="332"/>
        <v/>
      </c>
      <c r="BC960" s="743" t="str">
        <f t="shared" si="333"/>
        <v/>
      </c>
      <c r="BD960" s="743" t="str">
        <f t="shared" si="334"/>
        <v/>
      </c>
      <c r="BE960" s="743" t="str">
        <f>IF(D960="","",VLOOKUP(D960,'General Basis'!$J$39:$K$46,2,0))</f>
        <v/>
      </c>
      <c r="BF960" s="744" t="str">
        <f>IF(D960="","",VLOOKUP(D960,'General Basis'!$J$39:$L$46,3,0))</f>
        <v/>
      </c>
      <c r="BG960" s="744" t="str">
        <f t="shared" si="341"/>
        <v/>
      </c>
      <c r="BH960" s="744" t="str">
        <f>IF(G960="","",IF(BF960="Abu Dhabi",IF(G960&lt;18,'General Basis'!$C$39,IF(G960&lt;41,'General Basis'!$C$40,IF(G960&lt;60,'General Basis'!$C$41,IF(G960&lt;65,'General Basis'!$C$42,'General Basis'!$C$43)))),IF(G960&lt;11,'General Basis'!$B$39,IF(G960&lt;18,'General Basis'!$B$40,IF(G960&lt;26,'General Basis'!$B$41,IF(G960&lt;31,'General Basis'!$B$42,IF(G960&lt;36,'General Basis'!$B$43,IF(G960&lt;41,'General Basis'!$B$44,IF(G960&lt;46,'General Basis'!$B$45,IF(G960&lt;51,'General Basis'!$B$46,IF(G960&lt;56,'General Basis'!$B$47,IF(G960&lt;60,'General Basis'!$B$48,IF(G960&lt;65,'General Basis'!$B$49,'General Basis'!$B$50)))))))))))))</f>
        <v/>
      </c>
      <c r="BI960" s="744" t="str">
        <f t="shared" si="335"/>
        <v/>
      </c>
      <c r="BJ960" s="747" t="str">
        <f t="shared" si="342"/>
        <v/>
      </c>
      <c r="BK960" s="498" t="str">
        <f t="shared" si="336"/>
        <v/>
      </c>
      <c r="BL960" s="498" t="str">
        <f t="shared" si="337"/>
        <v/>
      </c>
    </row>
    <row r="961" spans="1:64" x14ac:dyDescent="0.25">
      <c r="A961" s="762">
        <f t="shared" si="338"/>
        <v>956</v>
      </c>
      <c r="B961" s="229"/>
      <c r="C961" s="223"/>
      <c r="D961" s="224"/>
      <c r="E961" s="225"/>
      <c r="F961" s="1036" t="str">
        <f t="shared" si="344"/>
        <v/>
      </c>
      <c r="G961" s="1037" t="str">
        <f t="shared" si="339"/>
        <v/>
      </c>
      <c r="H961" s="225"/>
      <c r="I961" s="1013"/>
      <c r="J961" s="1013"/>
      <c r="K961" s="1028"/>
      <c r="L961" s="1035" t="str">
        <f t="shared" si="343"/>
        <v/>
      </c>
      <c r="S961" s="498"/>
      <c r="AJ961" s="498"/>
      <c r="AM961" s="498">
        <f t="shared" si="324"/>
        <v>0</v>
      </c>
      <c r="AN961" s="498">
        <f t="shared" si="325"/>
        <v>0</v>
      </c>
      <c r="AO961" s="498">
        <f t="shared" si="326"/>
        <v>0</v>
      </c>
      <c r="AP961" s="498">
        <f t="shared" si="345"/>
        <v>0</v>
      </c>
      <c r="AQ961" s="498">
        <f t="shared" si="340"/>
        <v>0</v>
      </c>
      <c r="AU961" s="498">
        <f t="shared" si="327"/>
        <v>0</v>
      </c>
      <c r="AV961" s="498">
        <f t="shared" si="328"/>
        <v>0</v>
      </c>
      <c r="AW961" s="498">
        <f t="shared" si="329"/>
        <v>0</v>
      </c>
      <c r="AX961" s="498">
        <f t="shared" si="330"/>
        <v>0</v>
      </c>
      <c r="AY961" s="498">
        <f t="shared" si="331"/>
        <v>0</v>
      </c>
      <c r="BB961" s="498" t="str">
        <f t="shared" si="332"/>
        <v/>
      </c>
      <c r="BC961" s="743" t="str">
        <f t="shared" si="333"/>
        <v/>
      </c>
      <c r="BD961" s="743" t="str">
        <f t="shared" si="334"/>
        <v/>
      </c>
      <c r="BE961" s="743" t="str">
        <f>IF(D961="","",VLOOKUP(D961,'General Basis'!$J$39:$K$46,2,0))</f>
        <v/>
      </c>
      <c r="BF961" s="744" t="str">
        <f>IF(D961="","",VLOOKUP(D961,'General Basis'!$J$39:$L$46,3,0))</f>
        <v/>
      </c>
      <c r="BG961" s="744" t="str">
        <f t="shared" si="341"/>
        <v/>
      </c>
      <c r="BH961" s="744" t="str">
        <f>IF(G961="","",IF(BF961="Abu Dhabi",IF(G961&lt;18,'General Basis'!$C$39,IF(G961&lt;41,'General Basis'!$C$40,IF(G961&lt;60,'General Basis'!$C$41,IF(G961&lt;65,'General Basis'!$C$42,'General Basis'!$C$43)))),IF(G961&lt;11,'General Basis'!$B$39,IF(G961&lt;18,'General Basis'!$B$40,IF(G961&lt;26,'General Basis'!$B$41,IF(G961&lt;31,'General Basis'!$B$42,IF(G961&lt;36,'General Basis'!$B$43,IF(G961&lt;41,'General Basis'!$B$44,IF(G961&lt;46,'General Basis'!$B$45,IF(G961&lt;51,'General Basis'!$B$46,IF(G961&lt;56,'General Basis'!$B$47,IF(G961&lt;60,'General Basis'!$B$48,IF(G961&lt;65,'General Basis'!$B$49,'General Basis'!$B$50)))))))))))))</f>
        <v/>
      </c>
      <c r="BI961" s="744" t="str">
        <f t="shared" si="335"/>
        <v/>
      </c>
      <c r="BJ961" s="747" t="str">
        <f t="shared" si="342"/>
        <v/>
      </c>
      <c r="BK961" s="498" t="str">
        <f t="shared" si="336"/>
        <v/>
      </c>
      <c r="BL961" s="498" t="str">
        <f t="shared" si="337"/>
        <v/>
      </c>
    </row>
    <row r="962" spans="1:64" x14ac:dyDescent="0.25">
      <c r="A962" s="762">
        <f t="shared" si="338"/>
        <v>957</v>
      </c>
      <c r="B962" s="229"/>
      <c r="C962" s="223"/>
      <c r="D962" s="224"/>
      <c r="E962" s="225"/>
      <c r="F962" s="1036" t="str">
        <f t="shared" si="344"/>
        <v/>
      </c>
      <c r="G962" s="1037" t="str">
        <f t="shared" si="339"/>
        <v/>
      </c>
      <c r="H962" s="225"/>
      <c r="I962" s="1013"/>
      <c r="J962" s="1013"/>
      <c r="K962" s="1028"/>
      <c r="L962" s="1035" t="str">
        <f t="shared" si="343"/>
        <v/>
      </c>
      <c r="S962" s="498"/>
      <c r="AJ962" s="498"/>
      <c r="AM962" s="498">
        <f t="shared" si="324"/>
        <v>0</v>
      </c>
      <c r="AN962" s="498">
        <f t="shared" si="325"/>
        <v>0</v>
      </c>
      <c r="AO962" s="498">
        <f t="shared" si="326"/>
        <v>0</v>
      </c>
      <c r="AP962" s="498">
        <f t="shared" si="345"/>
        <v>0</v>
      </c>
      <c r="AQ962" s="498">
        <f t="shared" si="340"/>
        <v>0</v>
      </c>
      <c r="AU962" s="498">
        <f t="shared" si="327"/>
        <v>0</v>
      </c>
      <c r="AV962" s="498">
        <f t="shared" si="328"/>
        <v>0</v>
      </c>
      <c r="AW962" s="498">
        <f t="shared" si="329"/>
        <v>0</v>
      </c>
      <c r="AX962" s="498">
        <f t="shared" si="330"/>
        <v>0</v>
      </c>
      <c r="AY962" s="498">
        <f t="shared" si="331"/>
        <v>0</v>
      </c>
      <c r="BB962" s="498" t="str">
        <f t="shared" si="332"/>
        <v/>
      </c>
      <c r="BC962" s="743" t="str">
        <f t="shared" si="333"/>
        <v/>
      </c>
      <c r="BD962" s="743" t="str">
        <f t="shared" si="334"/>
        <v/>
      </c>
      <c r="BE962" s="743" t="str">
        <f>IF(D962="","",VLOOKUP(D962,'General Basis'!$J$39:$K$46,2,0))</f>
        <v/>
      </c>
      <c r="BF962" s="744" t="str">
        <f>IF(D962="","",VLOOKUP(D962,'General Basis'!$J$39:$L$46,3,0))</f>
        <v/>
      </c>
      <c r="BG962" s="744" t="str">
        <f t="shared" si="341"/>
        <v/>
      </c>
      <c r="BH962" s="744" t="str">
        <f>IF(G962="","",IF(BF962="Abu Dhabi",IF(G962&lt;18,'General Basis'!$C$39,IF(G962&lt;41,'General Basis'!$C$40,IF(G962&lt;60,'General Basis'!$C$41,IF(G962&lt;65,'General Basis'!$C$42,'General Basis'!$C$43)))),IF(G962&lt;11,'General Basis'!$B$39,IF(G962&lt;18,'General Basis'!$B$40,IF(G962&lt;26,'General Basis'!$B$41,IF(G962&lt;31,'General Basis'!$B$42,IF(G962&lt;36,'General Basis'!$B$43,IF(G962&lt;41,'General Basis'!$B$44,IF(G962&lt;46,'General Basis'!$B$45,IF(G962&lt;51,'General Basis'!$B$46,IF(G962&lt;56,'General Basis'!$B$47,IF(G962&lt;60,'General Basis'!$B$48,IF(G962&lt;65,'General Basis'!$B$49,'General Basis'!$B$50)))))))))))))</f>
        <v/>
      </c>
      <c r="BI962" s="744" t="str">
        <f t="shared" si="335"/>
        <v/>
      </c>
      <c r="BJ962" s="747" t="str">
        <f t="shared" si="342"/>
        <v/>
      </c>
      <c r="BK962" s="498" t="str">
        <f t="shared" si="336"/>
        <v/>
      </c>
      <c r="BL962" s="498" t="str">
        <f t="shared" si="337"/>
        <v/>
      </c>
    </row>
    <row r="963" spans="1:64" x14ac:dyDescent="0.25">
      <c r="A963" s="762">
        <f t="shared" si="338"/>
        <v>958</v>
      </c>
      <c r="B963" s="229"/>
      <c r="C963" s="223"/>
      <c r="D963" s="224"/>
      <c r="E963" s="225"/>
      <c r="F963" s="1036" t="str">
        <f t="shared" si="344"/>
        <v/>
      </c>
      <c r="G963" s="1037" t="str">
        <f t="shared" si="339"/>
        <v/>
      </c>
      <c r="H963" s="225"/>
      <c r="I963" s="1013"/>
      <c r="J963" s="1013"/>
      <c r="K963" s="1028"/>
      <c r="L963" s="1035" t="str">
        <f t="shared" si="343"/>
        <v/>
      </c>
      <c r="S963" s="498"/>
      <c r="AJ963" s="498"/>
      <c r="AM963" s="498">
        <f t="shared" si="324"/>
        <v>0</v>
      </c>
      <c r="AN963" s="498">
        <f t="shared" si="325"/>
        <v>0</v>
      </c>
      <c r="AO963" s="498">
        <f t="shared" si="326"/>
        <v>0</v>
      </c>
      <c r="AP963" s="498">
        <f t="shared" si="345"/>
        <v>0</v>
      </c>
      <c r="AQ963" s="498">
        <f t="shared" si="340"/>
        <v>0</v>
      </c>
      <c r="AU963" s="498">
        <f t="shared" si="327"/>
        <v>0</v>
      </c>
      <c r="AV963" s="498">
        <f t="shared" si="328"/>
        <v>0</v>
      </c>
      <c r="AW963" s="498">
        <f t="shared" si="329"/>
        <v>0</v>
      </c>
      <c r="AX963" s="498">
        <f t="shared" si="330"/>
        <v>0</v>
      </c>
      <c r="AY963" s="498">
        <f t="shared" si="331"/>
        <v>0</v>
      </c>
      <c r="BB963" s="498" t="str">
        <f t="shared" si="332"/>
        <v/>
      </c>
      <c r="BC963" s="743" t="str">
        <f t="shared" si="333"/>
        <v/>
      </c>
      <c r="BD963" s="743" t="str">
        <f t="shared" si="334"/>
        <v/>
      </c>
      <c r="BE963" s="743" t="str">
        <f>IF(D963="","",VLOOKUP(D963,'General Basis'!$J$39:$K$46,2,0))</f>
        <v/>
      </c>
      <c r="BF963" s="744" t="str">
        <f>IF(D963="","",VLOOKUP(D963,'General Basis'!$J$39:$L$46,3,0))</f>
        <v/>
      </c>
      <c r="BG963" s="744" t="str">
        <f t="shared" si="341"/>
        <v/>
      </c>
      <c r="BH963" s="744" t="str">
        <f>IF(G963="","",IF(BF963="Abu Dhabi",IF(G963&lt;18,'General Basis'!$C$39,IF(G963&lt;41,'General Basis'!$C$40,IF(G963&lt;60,'General Basis'!$C$41,IF(G963&lt;65,'General Basis'!$C$42,'General Basis'!$C$43)))),IF(G963&lt;11,'General Basis'!$B$39,IF(G963&lt;18,'General Basis'!$B$40,IF(G963&lt;26,'General Basis'!$B$41,IF(G963&lt;31,'General Basis'!$B$42,IF(G963&lt;36,'General Basis'!$B$43,IF(G963&lt;41,'General Basis'!$B$44,IF(G963&lt;46,'General Basis'!$B$45,IF(G963&lt;51,'General Basis'!$B$46,IF(G963&lt;56,'General Basis'!$B$47,IF(G963&lt;60,'General Basis'!$B$48,IF(G963&lt;65,'General Basis'!$B$49,'General Basis'!$B$50)))))))))))))</f>
        <v/>
      </c>
      <c r="BI963" s="744" t="str">
        <f t="shared" si="335"/>
        <v/>
      </c>
      <c r="BJ963" s="747" t="str">
        <f t="shared" si="342"/>
        <v/>
      </c>
      <c r="BK963" s="498" t="str">
        <f t="shared" si="336"/>
        <v/>
      </c>
      <c r="BL963" s="498" t="str">
        <f t="shared" si="337"/>
        <v/>
      </c>
    </row>
    <row r="964" spans="1:64" x14ac:dyDescent="0.25">
      <c r="A964" s="762">
        <f t="shared" si="338"/>
        <v>959</v>
      </c>
      <c r="B964" s="229"/>
      <c r="C964" s="223"/>
      <c r="D964" s="224"/>
      <c r="E964" s="225"/>
      <c r="F964" s="1036" t="str">
        <f t="shared" si="344"/>
        <v/>
      </c>
      <c r="G964" s="1037" t="str">
        <f t="shared" si="339"/>
        <v/>
      </c>
      <c r="H964" s="225"/>
      <c r="I964" s="1013"/>
      <c r="J964" s="1013"/>
      <c r="K964" s="1028"/>
      <c r="L964" s="1035" t="str">
        <f t="shared" si="343"/>
        <v/>
      </c>
      <c r="S964" s="498"/>
      <c r="AJ964" s="498"/>
      <c r="AM964" s="498">
        <f t="shared" si="324"/>
        <v>0</v>
      </c>
      <c r="AN964" s="498">
        <f t="shared" si="325"/>
        <v>0</v>
      </c>
      <c r="AO964" s="498">
        <f t="shared" si="326"/>
        <v>0</v>
      </c>
      <c r="AP964" s="498">
        <f t="shared" si="345"/>
        <v>0</v>
      </c>
      <c r="AQ964" s="498">
        <f t="shared" si="340"/>
        <v>0</v>
      </c>
      <c r="AU964" s="498">
        <f t="shared" si="327"/>
        <v>0</v>
      </c>
      <c r="AV964" s="498">
        <f t="shared" si="328"/>
        <v>0</v>
      </c>
      <c r="AW964" s="498">
        <f t="shared" si="329"/>
        <v>0</v>
      </c>
      <c r="AX964" s="498">
        <f t="shared" si="330"/>
        <v>0</v>
      </c>
      <c r="AY964" s="498">
        <f t="shared" si="331"/>
        <v>0</v>
      </c>
      <c r="BB964" s="498" t="str">
        <f t="shared" si="332"/>
        <v/>
      </c>
      <c r="BC964" s="743" t="str">
        <f t="shared" si="333"/>
        <v/>
      </c>
      <c r="BD964" s="743" t="str">
        <f t="shared" si="334"/>
        <v/>
      </c>
      <c r="BE964" s="743" t="str">
        <f>IF(D964="","",VLOOKUP(D964,'General Basis'!$J$39:$K$46,2,0))</f>
        <v/>
      </c>
      <c r="BF964" s="744" t="str">
        <f>IF(D964="","",VLOOKUP(D964,'General Basis'!$J$39:$L$46,3,0))</f>
        <v/>
      </c>
      <c r="BG964" s="744" t="str">
        <f t="shared" si="341"/>
        <v/>
      </c>
      <c r="BH964" s="744" t="str">
        <f>IF(G964="","",IF(BF964="Abu Dhabi",IF(G964&lt;18,'General Basis'!$C$39,IF(G964&lt;41,'General Basis'!$C$40,IF(G964&lt;60,'General Basis'!$C$41,IF(G964&lt;65,'General Basis'!$C$42,'General Basis'!$C$43)))),IF(G964&lt;11,'General Basis'!$B$39,IF(G964&lt;18,'General Basis'!$B$40,IF(G964&lt;26,'General Basis'!$B$41,IF(G964&lt;31,'General Basis'!$B$42,IF(G964&lt;36,'General Basis'!$B$43,IF(G964&lt;41,'General Basis'!$B$44,IF(G964&lt;46,'General Basis'!$B$45,IF(G964&lt;51,'General Basis'!$B$46,IF(G964&lt;56,'General Basis'!$B$47,IF(G964&lt;60,'General Basis'!$B$48,IF(G964&lt;65,'General Basis'!$B$49,'General Basis'!$B$50)))))))))))))</f>
        <v/>
      </c>
      <c r="BI964" s="744" t="str">
        <f t="shared" si="335"/>
        <v/>
      </c>
      <c r="BJ964" s="747" t="str">
        <f t="shared" si="342"/>
        <v/>
      </c>
      <c r="BK964" s="498" t="str">
        <f t="shared" si="336"/>
        <v/>
      </c>
      <c r="BL964" s="498" t="str">
        <f t="shared" si="337"/>
        <v/>
      </c>
    </row>
    <row r="965" spans="1:64" x14ac:dyDescent="0.25">
      <c r="A965" s="762">
        <f t="shared" si="338"/>
        <v>960</v>
      </c>
      <c r="B965" s="229"/>
      <c r="C965" s="223"/>
      <c r="D965" s="224"/>
      <c r="E965" s="225"/>
      <c r="F965" s="1036" t="str">
        <f t="shared" si="344"/>
        <v/>
      </c>
      <c r="G965" s="1037" t="str">
        <f t="shared" si="339"/>
        <v/>
      </c>
      <c r="H965" s="225"/>
      <c r="I965" s="1013"/>
      <c r="J965" s="1013"/>
      <c r="K965" s="1028"/>
      <c r="L965" s="1035" t="str">
        <f t="shared" si="343"/>
        <v/>
      </c>
      <c r="S965" s="498"/>
      <c r="AJ965" s="498"/>
      <c r="AM965" s="498">
        <f t="shared" si="324"/>
        <v>0</v>
      </c>
      <c r="AN965" s="498">
        <f t="shared" si="325"/>
        <v>0</v>
      </c>
      <c r="AO965" s="498">
        <f t="shared" si="326"/>
        <v>0</v>
      </c>
      <c r="AP965" s="498">
        <f t="shared" si="345"/>
        <v>0</v>
      </c>
      <c r="AQ965" s="498">
        <f t="shared" si="340"/>
        <v>0</v>
      </c>
      <c r="AU965" s="498">
        <f t="shared" si="327"/>
        <v>0</v>
      </c>
      <c r="AV965" s="498">
        <f t="shared" si="328"/>
        <v>0</v>
      </c>
      <c r="AW965" s="498">
        <f t="shared" si="329"/>
        <v>0</v>
      </c>
      <c r="AX965" s="498">
        <f t="shared" si="330"/>
        <v>0</v>
      </c>
      <c r="AY965" s="498">
        <f t="shared" si="331"/>
        <v>0</v>
      </c>
      <c r="BB965" s="498" t="str">
        <f t="shared" si="332"/>
        <v/>
      </c>
      <c r="BC965" s="743" t="str">
        <f t="shared" si="333"/>
        <v/>
      </c>
      <c r="BD965" s="743" t="str">
        <f t="shared" si="334"/>
        <v/>
      </c>
      <c r="BE965" s="743" t="str">
        <f>IF(D965="","",VLOOKUP(D965,'General Basis'!$J$39:$K$46,2,0))</f>
        <v/>
      </c>
      <c r="BF965" s="744" t="str">
        <f>IF(D965="","",VLOOKUP(D965,'General Basis'!$J$39:$L$46,3,0))</f>
        <v/>
      </c>
      <c r="BG965" s="744" t="str">
        <f t="shared" si="341"/>
        <v/>
      </c>
      <c r="BH965" s="744" t="str">
        <f>IF(G965="","",IF(BF965="Abu Dhabi",IF(G965&lt;18,'General Basis'!$C$39,IF(G965&lt;41,'General Basis'!$C$40,IF(G965&lt;60,'General Basis'!$C$41,IF(G965&lt;65,'General Basis'!$C$42,'General Basis'!$C$43)))),IF(G965&lt;11,'General Basis'!$B$39,IF(G965&lt;18,'General Basis'!$B$40,IF(G965&lt;26,'General Basis'!$B$41,IF(G965&lt;31,'General Basis'!$B$42,IF(G965&lt;36,'General Basis'!$B$43,IF(G965&lt;41,'General Basis'!$B$44,IF(G965&lt;46,'General Basis'!$B$45,IF(G965&lt;51,'General Basis'!$B$46,IF(G965&lt;56,'General Basis'!$B$47,IF(G965&lt;60,'General Basis'!$B$48,IF(G965&lt;65,'General Basis'!$B$49,'General Basis'!$B$50)))))))))))))</f>
        <v/>
      </c>
      <c r="BI965" s="744" t="str">
        <f t="shared" si="335"/>
        <v/>
      </c>
      <c r="BJ965" s="747" t="str">
        <f t="shared" si="342"/>
        <v/>
      </c>
      <c r="BK965" s="498" t="str">
        <f t="shared" si="336"/>
        <v/>
      </c>
      <c r="BL965" s="498" t="str">
        <f t="shared" si="337"/>
        <v/>
      </c>
    </row>
    <row r="966" spans="1:64" x14ac:dyDescent="0.25">
      <c r="A966" s="762">
        <f t="shared" si="338"/>
        <v>961</v>
      </c>
      <c r="B966" s="229"/>
      <c r="C966" s="223"/>
      <c r="D966" s="224"/>
      <c r="E966" s="225"/>
      <c r="F966" s="1036" t="str">
        <f t="shared" si="344"/>
        <v/>
      </c>
      <c r="G966" s="1037" t="str">
        <f t="shared" si="339"/>
        <v/>
      </c>
      <c r="H966" s="225"/>
      <c r="I966" s="1013"/>
      <c r="J966" s="1013"/>
      <c r="K966" s="1028"/>
      <c r="L966" s="1035" t="str">
        <f t="shared" si="343"/>
        <v/>
      </c>
      <c r="S966" s="498"/>
      <c r="AJ966" s="498"/>
      <c r="AM966" s="498">
        <f t="shared" ref="AM966:AM1029" si="346">IF(ISTEXT(B966),1,0)</f>
        <v>0</v>
      </c>
      <c r="AN966" s="498">
        <f t="shared" ref="AN966:AN1029" si="347">IF(ISBLANK(B966),0,IF(B966&lt;$AK$6,1,0))</f>
        <v>0</v>
      </c>
      <c r="AO966" s="498">
        <f t="shared" ref="AO966:AO1029" si="348">IF(ISBLANK(B966),0,IF(B966&gt;$AK$7,1,0))</f>
        <v>0</v>
      </c>
      <c r="AP966" s="498">
        <f t="shared" si="345"/>
        <v>0</v>
      </c>
      <c r="AQ966" s="498">
        <f t="shared" si="340"/>
        <v>0</v>
      </c>
      <c r="AU966" s="498">
        <f t="shared" ref="AU966:AU1029" si="349">IF(ISBLANK(B966),0,1)</f>
        <v>0</v>
      </c>
      <c r="AV966" s="498">
        <f t="shared" ref="AV966:AV1029" si="350">IF(ISBLANK(C966),0,1)</f>
        <v>0</v>
      </c>
      <c r="AW966" s="498">
        <f t="shared" ref="AW966:AW1029" si="351">IF(ISBLANK(D966),0,1)</f>
        <v>0</v>
      </c>
      <c r="AX966" s="498">
        <f t="shared" ref="AX966:AX1029" si="352">IF(ISBLANK(E966),0,1)</f>
        <v>0</v>
      </c>
      <c r="AY966" s="498">
        <f t="shared" ref="AY966:AY1029" si="353">IF(ISBLANK(H966),0,1)</f>
        <v>0</v>
      </c>
      <c r="BB966" s="498" t="str">
        <f t="shared" ref="BB966:BB1029" si="354">IF(E966="Principal","Principal",IF(E966="","","Other"))</f>
        <v/>
      </c>
      <c r="BC966" s="743" t="str">
        <f t="shared" ref="BC966:BC1029" si="355">IF(D966="","",D966)</f>
        <v/>
      </c>
      <c r="BD966" s="743" t="str">
        <f t="shared" ref="BD966:BD1029" si="356">IF(E966="Principal","Employee",IF(E966="","","Dependent"))</f>
        <v/>
      </c>
      <c r="BE966" s="743" t="str">
        <f>IF(D966="","",VLOOKUP(D966,'General Basis'!$J$39:$K$46,2,0))</f>
        <v/>
      </c>
      <c r="BF966" s="744" t="str">
        <f>IF(D966="","",VLOOKUP(D966,'General Basis'!$J$39:$L$46,3,0))</f>
        <v/>
      </c>
      <c r="BG966" s="744" t="str">
        <f t="shared" si="341"/>
        <v/>
      </c>
      <c r="BH966" s="744" t="str">
        <f>IF(G966="","",IF(BF966="Abu Dhabi",IF(G966&lt;18,'General Basis'!$C$39,IF(G966&lt;41,'General Basis'!$C$40,IF(G966&lt;60,'General Basis'!$C$41,IF(G966&lt;65,'General Basis'!$C$42,'General Basis'!$C$43)))),IF(G966&lt;11,'General Basis'!$B$39,IF(G966&lt;18,'General Basis'!$B$40,IF(G966&lt;26,'General Basis'!$B$41,IF(G966&lt;31,'General Basis'!$B$42,IF(G966&lt;36,'General Basis'!$B$43,IF(G966&lt;41,'General Basis'!$B$44,IF(G966&lt;46,'General Basis'!$B$45,IF(G966&lt;51,'General Basis'!$B$46,IF(G966&lt;56,'General Basis'!$B$47,IF(G966&lt;60,'General Basis'!$B$48,IF(G966&lt;65,'General Basis'!$B$49,'General Basis'!$B$50)))))))))))))</f>
        <v/>
      </c>
      <c r="BI966" s="744" t="str">
        <f t="shared" ref="BI966:BI1029" si="357">IF(C966="","",IF(C966="M","Male","Female"))</f>
        <v/>
      </c>
      <c r="BJ966" s="747" t="str">
        <f t="shared" si="342"/>
        <v/>
      </c>
      <c r="BK966" s="498" t="str">
        <f t="shared" ref="BK966:BK1029" si="358">IF(BD966="","",IF(AND(BD966="Employee",BI966="Male",BF966="Abu Dhabi",BE966=GN_Plus),VLOOKUP(BH966,AUH_MALE_EMP,2,0),IF(AND(BD966="Employee",BI966="Male",BF966="Abu Dhabi",BE966=GN),VLOOKUP(BH966,AUH_MALE_EMP,3,0),IF(AND(BD966="Employee",BI966="Male",BF966="Abu Dhabi",BE966=RN_Plus),VLOOKUP(BH966,AUH_MALE_EMP,4,0),IF(AND(BD966="Employee",BI966="Male",BF966="Abu Dhabi",BE966=RN),VLOOKUP(BH966,AUH_MALE_EMP,5,0),IF(AND(BD966="Employee",BI966="Male",BF966="Abu Dhabi",BE966=RN_2),VLOOKUP(BH966,AUH_MALE_EMP,6,0),IF(AND(BD966="Employee",BI966="Male",BF966="Abu Dhabi",BE966=RN2_minus),VLOOKUP(BH966,AUH_MALE_EMP,7,0),IF(AND(BD966="Employee",BI966="Male",BF966="Abu Dhabi",BE966=RN_3),VLOOKUP(BH966,AUH_MALE_EMP,8,0),IF(AND(BD966="Employee",BI966="Male",BF966="Abu Dhabi",BE966=VN),VLOOKUP(BH966,AUH_MALE_EMP,9,0),IF(BD966="","",IF(AND(BD966="Employee",BI966="Female",BF966="Abu Dhabi",BE966=GN_Plus),VLOOKUP(BH966,AUH_FEMALE_EMP,2,0),IF(AND(BD966="Employee",BI966="Female",BF966="Abu Dhabi",BE966=GN),VLOOKUP(BH966,AUH_FEMALE_EMP,3,0),IF(AND(BD966="Employee",BI966="Female",BF966="Abu Dhabi",BE966=RN_Plus),VLOOKUP(BH966,AUH_FEMALE_EMP,4,0),IF(AND(BD966="Employee",BI966="Female",BF966="Abu Dhabi",BE966=RN),VLOOKUP(BH966,AUH_FEMALE_EMP,5,0),IF(AND(BD966="Employee",BI966="Female",BF966="Abu Dhabi",BE966=RN_2),VLOOKUP(BH966,AUH_FEMALE_EMP,6,0),IF(AND(BD966="Employee",BI966="Female",BF966="Abu Dhabi",BE966=RN2_minus),VLOOKUP(BH966,AUH_FEMALE_EMP,7,0),IF(AND(BD966="Employee",BI966="Female",BF966="Abu Dhabi",BE966=RN_3),VLOOKUP(BH966,AUH_FEMALE_EMP,8,0),IF(AND(BD966="Employee",BI966="Female",BF966="Abu Dhabi",BE966=VN),VLOOKUP(BH966,AUH_FEMALE_EMP,9,0),IF(BD966="","",IF(AND(BD966="Dependent",BI966="Male",BF966="Abu Dhabi",BE966=GN_Plus),VLOOKUP(BH966,AUH_MALE_DEP,2,0),IF(AND(BD966="Dependent",BI966="Male",BF966="Abu Dhabi",BE966=GN),VLOOKUP(BH966,AUH_MALE_DEP,3,0),IF(AND(BD966="Dependent",BI966="Male",BF966="Abu Dhabi",BE966=RN_Plus),VLOOKUP(BH966,AUH_MALE_DEP,4,0),IF(AND(BD966="Dependent",BI966="Male",BF966="Abu Dhabi",BE966=RN),VLOOKUP(BH966,AUH_MALE_DEP,5,0),IF(AND(BD966="Dependent",BI966="Male",BF966="Abu Dhabi",BE966=RN_2),VLOOKUP(BH966,AUH_MALE_DEP,6,0),IF(AND(BD966="Dependent",BI966="Male",BF966="Abu Dhabi",BE966=RN2_minus),VLOOKUP(BH966,AUH_MALE_DEP,7,0),IF(AND(BD966="Dependent",BI966="Male",BF966="Abu Dhabi",BE966=RN_3),VLOOKUP(BH966,AUH_MALE_DEP,8,0),IF(AND(BD966="Dependent",BI966="Male",BF966="Abu Dhabi",BE966=VN),VLOOKUP(BH966,AUH_MALE_DEP,9,0),IF(BD966="","",IF(AND(BD966="Dependent",BI966="Female",BF966="Abu Dhabi",BE966=GN_Plus),VLOOKUP(BH966,AUH_FEMALE_DEP,2,0),IF(AND(BD966="Dependent",BI966="Female",BF966="Abu Dhabi",BE966=GN),VLOOKUP(BH966,AUH_FEMALE_DEP,3,0),IF(AND(BD966="Dependent",BI966="Female",BF966="Abu Dhabi",BE966=RN_Plus),VLOOKUP(BH966,AUH_FEMALE_DEP,4,0),IF(AND(BD966="Dependent",BI966="Female",BF966="Abu Dhabi",BE966=RN),VLOOKUP(BH966,AUH_FEMALE_DEP,5,0),IF(AND(BD966="Dependent",BI966="Female",BF966="Abu Dhabi",BE966=RN_2),VLOOKUP(BH966,AUH_FEMALE_DEP,6,0),IF(AND(BD966="Dependent",BI966="Female",BF966="Abu Dhabi",BE966=RN2_minus),VLOOKUP(BH966,AUH_FEMALE_DEP,7,0),IF(AND(BD966="Dependent",BI966="Female",BF966="Abu Dhabi",BE966=RN_3),VLOOKUP(BH966,AUH_FEMALE_DEP,8,0),IF(AND(BD966="Dependent",BI966="Female",BF966="Abu Dhabi",BE966=VN),VLOOKUP(BH966,AUH_FEMALE_DEP,9,0),"ABC"))))))))))))))))))))))))))))))))))))</f>
        <v/>
      </c>
      <c r="BL966" s="498" t="str">
        <f t="shared" ref="BL966:BL1029" si="359">IF(BD966="","",IF(AND(BD966="Employee",BI966="Male",BF966="Dubai",BE966=GN_Plus),VLOOKUP(BH966,DXB_MALE_EMP,2,0),IF(AND(BD966="Employee",BI966="Male",BF966="Dubai",BE966=GN),VLOOKUP(BH966,DXB_MALE_EMP,3,0),IF(AND(BD966="Employee",BI966="Male",BF966="Dubai",BE966=RN_Plus),VLOOKUP(BH966,DXB_MALE_EMP,4,0),IF(AND(BD966="Employee",BI966="Male",BF966="Dubai",BE966=RN),VLOOKUP(BH966,DXB_MALE_EMP,5,0),IF(AND(BD966="Employee",BI966="Male",BF966="Dubai",BE966=RN_2),VLOOKUP(BH966,DXB_MALE_EMP,6,0),IF(AND(BD966="Employee",BI966="Male",BF966="Dubai",BE966=RN2_minus),VLOOKUP(BH966,DXB_MALE_EMP,7,0),IF(AND(BD966="Employee",BI966="Male",BF966="Dubai",BE966=RN_3),VLOOKUP(BH966,DXB_MALE_EMP,8,0),IF(AND(BD966="Employee",BI966="Male",BF966="Dubai",BE966=VN),VLOOKUP(BH966,DXB_MALE_EMP,9,0),IF(BD966="","",IF(AND(BD966="Employee",BI966="Female",BF966="Dubai",BE966=GN_Plus),VLOOKUP(BH966,DXB_FEMALE_EMP,2,0),IF(AND(BD966="Employee",BI966="Female",BF966="Dubai",BE966=GN),VLOOKUP(BH966,DXB_FEMALE_EMP,3,0),IF(AND(BD966="Employee",BI966="Female",BF966="Dubai",BE966=RN_Plus),VLOOKUP(BH966,DXB_FEMALE_EMP,4,0),IF(AND(BD966="Employee",BI966="Female",BF966="Dubai",BE966=RN),VLOOKUP(BH966,DXB_FEMALE_EMP,5,0),IF(AND(BD966="Employee",BI966="Female",BF966="Dubai",BE966=RN_2),VLOOKUP(BH966,DXB_FEMALE_EMP,6,0),IF(AND(BD966="Employee",BI966="Female",BF966="Dubai",BE966=RN2_minus),VLOOKUP(BH966,DXB_FEMALE_EMP,7,0),IF(AND(BD966="Employee",BI966="Female",BF966="Dubai",BE966=RN_3),VLOOKUP(BH966,DXB_FEMALE_EMP,8,0),IF(AND(BD966="Employee",BI966="Female",BF966="Dubai",BE966=VN),VLOOKUP(BH966,DXB_FEMALE_EMP,9,0),IF(BD966="","",IF(AND(BD966="Dependent",BI966="Male",BF966="Dubai",BE966=GN_Plus),VLOOKUP(BH966,DXB_MALE_DEP,2,0),IF(AND(BD966="Dependent",BI966="Male",BF966="Dubai",BE966=GN),VLOOKUP(BH966,DXB_MALE_DEP,3,0),IF(AND(BD966="Dependent",BI966="Male",BF966="Dubai",BE966=RN_Plus),VLOOKUP(BH966,DXB_MALE_DEP,4,0),IF(AND(BD966="Dependent",BI966="Male",BF966="Dubai",BE966=RN),VLOOKUP(BH966,DXB_MALE_DEP,5,0),IF(AND(BD966="Dependent",BI966="Male",BF966="Dubai",BE966=RN_2),VLOOKUP(BH966,DXB_MALE_DEP,6,0),IF(AND(BD966="Dependent",BI966="Male",BF966="Dubai",BE966=RN2_minus),VLOOKUP(BH966,DXB_MALE_DEP,7,0),IF(AND(BD966="Dependent",BI966="Male",BF966="Dubai",BE966=RN_3),VLOOKUP(BH966,DXB_MALE_DEP,8,0),IF(AND(BD966="Dependent",BI966="Male",BF966="Dubai",BE966=VN),VLOOKUP(BH966,DXB_MALE_DEP,9,0),IF(BD966="","",IF(AND(BD966="Dependent",BI966="Female",BF966="Dubai",BE966=GN_Plus),VLOOKUP(BH966,DXB_FEMALE_DEP,2,0),IF(AND(BD966="Dependent",BI966="Female",BF966="Dubai",BE966=GN),VLOOKUP(BH966,DXB_FEMALE_DEP,3,0),IF(AND(BD966="Dependent",BI966="Female",BF966="Dubai",BE966=RN_Plus),VLOOKUP(BH966,DXB_FEMALE_DEP,4,0),IF(AND(BD966="Dependent",BI966="Female",BF966="Dubai",BE966=RN),VLOOKUP(BH966,DXB_FEMALE_DEP,5,0),IF(AND(BD966="Dependent",BI966="Female",BF966="Dubai",BE966=RN_2),VLOOKUP(BH966,DXB_FEMALE_DEP,6,0),IF(AND(BD966="Dependent",BI966="Female",BF966="Dubai",BE966=RN2_minus),VLOOKUP(BH966,DXB_FEMALE_DEP,7,0),IF(AND(BD966="Dependent",BI966="Female",BF966="Dubai",BE966=RN_3),VLOOKUP(BH966,DXB_FEMALE_DEP,8,0),IF(AND(BD966="Dependent",BI966="Female",BF966="Dubai",BE966=VN),VLOOKUP(BH966,DXB_FEMALE_DEP,9,0),"ABC"))))))))))))))))))))))))))))))))))))</f>
        <v/>
      </c>
    </row>
    <row r="967" spans="1:64" x14ac:dyDescent="0.25">
      <c r="A967" s="762">
        <f t="shared" ref="A967:A1030" si="360">+A966+1</f>
        <v>962</v>
      </c>
      <c r="B967" s="229"/>
      <c r="C967" s="223"/>
      <c r="D967" s="224"/>
      <c r="E967" s="225"/>
      <c r="F967" s="1036" t="str">
        <f t="shared" si="344"/>
        <v/>
      </c>
      <c r="G967" s="1037" t="str">
        <f t="shared" ref="G967:G1030" si="361">IF(D967="","",MAX(0,ROUNDUP(F967,0)))</f>
        <v/>
      </c>
      <c r="H967" s="225"/>
      <c r="I967" s="1013"/>
      <c r="J967" s="1013"/>
      <c r="K967" s="1028"/>
      <c r="L967" s="1035" t="str">
        <f t="shared" si="343"/>
        <v/>
      </c>
      <c r="S967" s="498"/>
      <c r="AJ967" s="498"/>
      <c r="AM967" s="498">
        <f t="shared" si="346"/>
        <v>0</v>
      </c>
      <c r="AN967" s="498">
        <f t="shared" si="347"/>
        <v>0</v>
      </c>
      <c r="AO967" s="498">
        <f t="shared" si="348"/>
        <v>0</v>
      </c>
      <c r="AP967" s="498">
        <f t="shared" si="345"/>
        <v>0</v>
      </c>
      <c r="AQ967" s="498">
        <f t="shared" ref="AQ967:AQ1030" si="362">IF(ISBLANK($B967),0,IF(OR($H967="Single",$H967="Married"),0,1))</f>
        <v>0</v>
      </c>
      <c r="AU967" s="498">
        <f t="shared" si="349"/>
        <v>0</v>
      </c>
      <c r="AV967" s="498">
        <f t="shared" si="350"/>
        <v>0</v>
      </c>
      <c r="AW967" s="498">
        <f t="shared" si="351"/>
        <v>0</v>
      </c>
      <c r="AX967" s="498">
        <f t="shared" si="352"/>
        <v>0</v>
      </c>
      <c r="AY967" s="498">
        <f t="shared" si="353"/>
        <v>0</v>
      </c>
      <c r="BB967" s="498" t="str">
        <f t="shared" si="354"/>
        <v/>
      </c>
      <c r="BC967" s="743" t="str">
        <f t="shared" si="355"/>
        <v/>
      </c>
      <c r="BD967" s="743" t="str">
        <f t="shared" si="356"/>
        <v/>
      </c>
      <c r="BE967" s="743" t="str">
        <f>IF(D967="","",VLOOKUP(D967,'General Basis'!$J$39:$K$46,2,0))</f>
        <v/>
      </c>
      <c r="BF967" s="744" t="str">
        <f>IF(D967="","",VLOOKUP(D967,'General Basis'!$J$39:$L$46,3,0))</f>
        <v/>
      </c>
      <c r="BG967" s="744" t="str">
        <f t="shared" ref="BG967:BG1030" si="363">BC967&amp;BI967</f>
        <v/>
      </c>
      <c r="BH967" s="744" t="str">
        <f>IF(G967="","",IF(BF967="Abu Dhabi",IF(G967&lt;18,'General Basis'!$C$39,IF(G967&lt;41,'General Basis'!$C$40,IF(G967&lt;60,'General Basis'!$C$41,IF(G967&lt;65,'General Basis'!$C$42,'General Basis'!$C$43)))),IF(G967&lt;11,'General Basis'!$B$39,IF(G967&lt;18,'General Basis'!$B$40,IF(G967&lt;26,'General Basis'!$B$41,IF(G967&lt;31,'General Basis'!$B$42,IF(G967&lt;36,'General Basis'!$B$43,IF(G967&lt;41,'General Basis'!$B$44,IF(G967&lt;46,'General Basis'!$B$45,IF(G967&lt;51,'General Basis'!$B$46,IF(G967&lt;56,'General Basis'!$B$47,IF(G967&lt;60,'General Basis'!$B$48,IF(G967&lt;65,'General Basis'!$B$49,'General Basis'!$B$50)))))))))))))</f>
        <v/>
      </c>
      <c r="BI967" s="744" t="str">
        <f t="shared" si="357"/>
        <v/>
      </c>
      <c r="BJ967" s="747" t="str">
        <f t="shared" ref="BJ967:BJ1030" si="364">IF(BD967="","",IF(BF967="Abu Dhabi",BK967,BL967))</f>
        <v/>
      </c>
      <c r="BK967" s="498" t="str">
        <f t="shared" si="358"/>
        <v/>
      </c>
      <c r="BL967" s="498" t="str">
        <f t="shared" si="359"/>
        <v/>
      </c>
    </row>
    <row r="968" spans="1:64" x14ac:dyDescent="0.25">
      <c r="A968" s="762">
        <f t="shared" si="360"/>
        <v>963</v>
      </c>
      <c r="B968" s="229"/>
      <c r="C968" s="223"/>
      <c r="D968" s="224"/>
      <c r="E968" s="225"/>
      <c r="F968" s="1036" t="str">
        <f t="shared" si="344"/>
        <v/>
      </c>
      <c r="G968" s="1037" t="str">
        <f t="shared" si="361"/>
        <v/>
      </c>
      <c r="H968" s="225"/>
      <c r="I968" s="1013"/>
      <c r="J968" s="1013"/>
      <c r="K968" s="1028"/>
      <c r="L968" s="1035" t="str">
        <f t="shared" ref="L968:L1031" si="365">IF(AND(E968="Child",H968="Married"),"Check the Marital Status of the Child. ",IF(AND(E968="Child",F968&gt;18),"Child Age exceed 18 years. ",IF(AND(E968="Spouse",H968="Single"),"Spouse is selected as Single. ","")))&amp;IF(K968&gt;0,"UW Loading has been Applied","")</f>
        <v/>
      </c>
      <c r="S968" s="498"/>
      <c r="AJ968" s="498"/>
      <c r="AM968" s="498">
        <f t="shared" si="346"/>
        <v>0</v>
      </c>
      <c r="AN968" s="498">
        <f t="shared" si="347"/>
        <v>0</v>
      </c>
      <c r="AO968" s="498">
        <f t="shared" si="348"/>
        <v>0</v>
      </c>
      <c r="AP968" s="498">
        <f t="shared" si="345"/>
        <v>0</v>
      </c>
      <c r="AQ968" s="498">
        <f t="shared" si="362"/>
        <v>0</v>
      </c>
      <c r="AU968" s="498">
        <f t="shared" si="349"/>
        <v>0</v>
      </c>
      <c r="AV968" s="498">
        <f t="shared" si="350"/>
        <v>0</v>
      </c>
      <c r="AW968" s="498">
        <f t="shared" si="351"/>
        <v>0</v>
      </c>
      <c r="AX968" s="498">
        <f t="shared" si="352"/>
        <v>0</v>
      </c>
      <c r="AY968" s="498">
        <f t="shared" si="353"/>
        <v>0</v>
      </c>
      <c r="BB968" s="498" t="str">
        <f t="shared" si="354"/>
        <v/>
      </c>
      <c r="BC968" s="743" t="str">
        <f t="shared" si="355"/>
        <v/>
      </c>
      <c r="BD968" s="743" t="str">
        <f t="shared" si="356"/>
        <v/>
      </c>
      <c r="BE968" s="743" t="str">
        <f>IF(D968="","",VLOOKUP(D968,'General Basis'!$J$39:$K$46,2,0))</f>
        <v/>
      </c>
      <c r="BF968" s="744" t="str">
        <f>IF(D968="","",VLOOKUP(D968,'General Basis'!$J$39:$L$46,3,0))</f>
        <v/>
      </c>
      <c r="BG968" s="744" t="str">
        <f t="shared" si="363"/>
        <v/>
      </c>
      <c r="BH968" s="744" t="str">
        <f>IF(G968="","",IF(BF968="Abu Dhabi",IF(G968&lt;18,'General Basis'!$C$39,IF(G968&lt;41,'General Basis'!$C$40,IF(G968&lt;60,'General Basis'!$C$41,IF(G968&lt;65,'General Basis'!$C$42,'General Basis'!$C$43)))),IF(G968&lt;11,'General Basis'!$B$39,IF(G968&lt;18,'General Basis'!$B$40,IF(G968&lt;26,'General Basis'!$B$41,IF(G968&lt;31,'General Basis'!$B$42,IF(G968&lt;36,'General Basis'!$B$43,IF(G968&lt;41,'General Basis'!$B$44,IF(G968&lt;46,'General Basis'!$B$45,IF(G968&lt;51,'General Basis'!$B$46,IF(G968&lt;56,'General Basis'!$B$47,IF(G968&lt;60,'General Basis'!$B$48,IF(G968&lt;65,'General Basis'!$B$49,'General Basis'!$B$50)))))))))))))</f>
        <v/>
      </c>
      <c r="BI968" s="744" t="str">
        <f t="shared" si="357"/>
        <v/>
      </c>
      <c r="BJ968" s="747" t="str">
        <f t="shared" si="364"/>
        <v/>
      </c>
      <c r="BK968" s="498" t="str">
        <f t="shared" si="358"/>
        <v/>
      </c>
      <c r="BL968" s="498" t="str">
        <f t="shared" si="359"/>
        <v/>
      </c>
    </row>
    <row r="969" spans="1:64" x14ac:dyDescent="0.25">
      <c r="A969" s="762">
        <f t="shared" si="360"/>
        <v>964</v>
      </c>
      <c r="B969" s="229"/>
      <c r="C969" s="223"/>
      <c r="D969" s="224"/>
      <c r="E969" s="225"/>
      <c r="F969" s="1036" t="str">
        <f t="shared" si="344"/>
        <v/>
      </c>
      <c r="G969" s="1037" t="str">
        <f t="shared" si="361"/>
        <v/>
      </c>
      <c r="H969" s="225"/>
      <c r="I969" s="1013"/>
      <c r="J969" s="1013"/>
      <c r="K969" s="1028"/>
      <c r="L969" s="1035" t="str">
        <f t="shared" si="365"/>
        <v/>
      </c>
      <c r="S969" s="498"/>
      <c r="AJ969" s="498"/>
      <c r="AM969" s="498">
        <f t="shared" si="346"/>
        <v>0</v>
      </c>
      <c r="AN969" s="498">
        <f t="shared" si="347"/>
        <v>0</v>
      </c>
      <c r="AO969" s="498">
        <f t="shared" si="348"/>
        <v>0</v>
      </c>
      <c r="AP969" s="498">
        <f t="shared" si="345"/>
        <v>0</v>
      </c>
      <c r="AQ969" s="498">
        <f t="shared" si="362"/>
        <v>0</v>
      </c>
      <c r="AU969" s="498">
        <f t="shared" si="349"/>
        <v>0</v>
      </c>
      <c r="AV969" s="498">
        <f t="shared" si="350"/>
        <v>0</v>
      </c>
      <c r="AW969" s="498">
        <f t="shared" si="351"/>
        <v>0</v>
      </c>
      <c r="AX969" s="498">
        <f t="shared" si="352"/>
        <v>0</v>
      </c>
      <c r="AY969" s="498">
        <f t="shared" si="353"/>
        <v>0</v>
      </c>
      <c r="BB969" s="498" t="str">
        <f t="shared" si="354"/>
        <v/>
      </c>
      <c r="BC969" s="743" t="str">
        <f t="shared" si="355"/>
        <v/>
      </c>
      <c r="BD969" s="743" t="str">
        <f t="shared" si="356"/>
        <v/>
      </c>
      <c r="BE969" s="743" t="str">
        <f>IF(D969="","",VLOOKUP(D969,'General Basis'!$J$39:$K$46,2,0))</f>
        <v/>
      </c>
      <c r="BF969" s="744" t="str">
        <f>IF(D969="","",VLOOKUP(D969,'General Basis'!$J$39:$L$46,3,0))</f>
        <v/>
      </c>
      <c r="BG969" s="744" t="str">
        <f t="shared" si="363"/>
        <v/>
      </c>
      <c r="BH969" s="744" t="str">
        <f>IF(G969="","",IF(BF969="Abu Dhabi",IF(G969&lt;18,'General Basis'!$C$39,IF(G969&lt;41,'General Basis'!$C$40,IF(G969&lt;60,'General Basis'!$C$41,IF(G969&lt;65,'General Basis'!$C$42,'General Basis'!$C$43)))),IF(G969&lt;11,'General Basis'!$B$39,IF(G969&lt;18,'General Basis'!$B$40,IF(G969&lt;26,'General Basis'!$B$41,IF(G969&lt;31,'General Basis'!$B$42,IF(G969&lt;36,'General Basis'!$B$43,IF(G969&lt;41,'General Basis'!$B$44,IF(G969&lt;46,'General Basis'!$B$45,IF(G969&lt;51,'General Basis'!$B$46,IF(G969&lt;56,'General Basis'!$B$47,IF(G969&lt;60,'General Basis'!$B$48,IF(G969&lt;65,'General Basis'!$B$49,'General Basis'!$B$50)))))))))))))</f>
        <v/>
      </c>
      <c r="BI969" s="744" t="str">
        <f t="shared" si="357"/>
        <v/>
      </c>
      <c r="BJ969" s="747" t="str">
        <f t="shared" si="364"/>
        <v/>
      </c>
      <c r="BK969" s="498" t="str">
        <f t="shared" si="358"/>
        <v/>
      </c>
      <c r="BL969" s="498" t="str">
        <f t="shared" si="359"/>
        <v/>
      </c>
    </row>
    <row r="970" spans="1:64" x14ac:dyDescent="0.25">
      <c r="A970" s="762">
        <f t="shared" si="360"/>
        <v>965</v>
      </c>
      <c r="B970" s="229"/>
      <c r="C970" s="223"/>
      <c r="D970" s="224"/>
      <c r="E970" s="225"/>
      <c r="F970" s="1036" t="str">
        <f t="shared" si="344"/>
        <v/>
      </c>
      <c r="G970" s="1037" t="str">
        <f t="shared" si="361"/>
        <v/>
      </c>
      <c r="H970" s="225"/>
      <c r="I970" s="1013"/>
      <c r="J970" s="1013"/>
      <c r="K970" s="1028"/>
      <c r="L970" s="1035" t="str">
        <f t="shared" si="365"/>
        <v/>
      </c>
      <c r="S970" s="498"/>
      <c r="AJ970" s="498"/>
      <c r="AM970" s="498">
        <f t="shared" si="346"/>
        <v>0</v>
      </c>
      <c r="AN970" s="498">
        <f t="shared" si="347"/>
        <v>0</v>
      </c>
      <c r="AO970" s="498">
        <f t="shared" si="348"/>
        <v>0</v>
      </c>
      <c r="AP970" s="498">
        <f t="shared" si="345"/>
        <v>0</v>
      </c>
      <c r="AQ970" s="498">
        <f t="shared" si="362"/>
        <v>0</v>
      </c>
      <c r="AU970" s="498">
        <f t="shared" si="349"/>
        <v>0</v>
      </c>
      <c r="AV970" s="498">
        <f t="shared" si="350"/>
        <v>0</v>
      </c>
      <c r="AW970" s="498">
        <f t="shared" si="351"/>
        <v>0</v>
      </c>
      <c r="AX970" s="498">
        <f t="shared" si="352"/>
        <v>0</v>
      </c>
      <c r="AY970" s="498">
        <f t="shared" si="353"/>
        <v>0</v>
      </c>
      <c r="BB970" s="498" t="str">
        <f t="shared" si="354"/>
        <v/>
      </c>
      <c r="BC970" s="743" t="str">
        <f t="shared" si="355"/>
        <v/>
      </c>
      <c r="BD970" s="743" t="str">
        <f t="shared" si="356"/>
        <v/>
      </c>
      <c r="BE970" s="743" t="str">
        <f>IF(D970="","",VLOOKUP(D970,'General Basis'!$J$39:$K$46,2,0))</f>
        <v/>
      </c>
      <c r="BF970" s="744" t="str">
        <f>IF(D970="","",VLOOKUP(D970,'General Basis'!$J$39:$L$46,3,0))</f>
        <v/>
      </c>
      <c r="BG970" s="744" t="str">
        <f t="shared" si="363"/>
        <v/>
      </c>
      <c r="BH970" s="744" t="str">
        <f>IF(G970="","",IF(BF970="Abu Dhabi",IF(G970&lt;18,'General Basis'!$C$39,IF(G970&lt;41,'General Basis'!$C$40,IF(G970&lt;60,'General Basis'!$C$41,IF(G970&lt;65,'General Basis'!$C$42,'General Basis'!$C$43)))),IF(G970&lt;11,'General Basis'!$B$39,IF(G970&lt;18,'General Basis'!$B$40,IF(G970&lt;26,'General Basis'!$B$41,IF(G970&lt;31,'General Basis'!$B$42,IF(G970&lt;36,'General Basis'!$B$43,IF(G970&lt;41,'General Basis'!$B$44,IF(G970&lt;46,'General Basis'!$B$45,IF(G970&lt;51,'General Basis'!$B$46,IF(G970&lt;56,'General Basis'!$B$47,IF(G970&lt;60,'General Basis'!$B$48,IF(G970&lt;65,'General Basis'!$B$49,'General Basis'!$B$50)))))))))))))</f>
        <v/>
      </c>
      <c r="BI970" s="744" t="str">
        <f t="shared" si="357"/>
        <v/>
      </c>
      <c r="BJ970" s="747" t="str">
        <f t="shared" si="364"/>
        <v/>
      </c>
      <c r="BK970" s="498" t="str">
        <f t="shared" si="358"/>
        <v/>
      </c>
      <c r="BL970" s="498" t="str">
        <f t="shared" si="359"/>
        <v/>
      </c>
    </row>
    <row r="971" spans="1:64" x14ac:dyDescent="0.25">
      <c r="A971" s="762">
        <f t="shared" si="360"/>
        <v>966</v>
      </c>
      <c r="B971" s="229"/>
      <c r="C971" s="223"/>
      <c r="D971" s="224"/>
      <c r="E971" s="225"/>
      <c r="F971" s="1036" t="str">
        <f t="shared" si="344"/>
        <v/>
      </c>
      <c r="G971" s="1037" t="str">
        <f t="shared" si="361"/>
        <v/>
      </c>
      <c r="H971" s="225"/>
      <c r="I971" s="1013"/>
      <c r="J971" s="1013"/>
      <c r="K971" s="1028"/>
      <c r="L971" s="1035" t="str">
        <f t="shared" si="365"/>
        <v/>
      </c>
      <c r="S971" s="498"/>
      <c r="AJ971" s="498"/>
      <c r="AM971" s="498">
        <f t="shared" si="346"/>
        <v>0</v>
      </c>
      <c r="AN971" s="498">
        <f t="shared" si="347"/>
        <v>0</v>
      </c>
      <c r="AO971" s="498">
        <f t="shared" si="348"/>
        <v>0</v>
      </c>
      <c r="AP971" s="498">
        <f t="shared" si="345"/>
        <v>0</v>
      </c>
      <c r="AQ971" s="498">
        <f t="shared" si="362"/>
        <v>0</v>
      </c>
      <c r="AU971" s="498">
        <f t="shared" si="349"/>
        <v>0</v>
      </c>
      <c r="AV971" s="498">
        <f t="shared" si="350"/>
        <v>0</v>
      </c>
      <c r="AW971" s="498">
        <f t="shared" si="351"/>
        <v>0</v>
      </c>
      <c r="AX971" s="498">
        <f t="shared" si="352"/>
        <v>0</v>
      </c>
      <c r="AY971" s="498">
        <f t="shared" si="353"/>
        <v>0</v>
      </c>
      <c r="BB971" s="498" t="str">
        <f t="shared" si="354"/>
        <v/>
      </c>
      <c r="BC971" s="743" t="str">
        <f t="shared" si="355"/>
        <v/>
      </c>
      <c r="BD971" s="743" t="str">
        <f t="shared" si="356"/>
        <v/>
      </c>
      <c r="BE971" s="743" t="str">
        <f>IF(D971="","",VLOOKUP(D971,'General Basis'!$J$39:$K$46,2,0))</f>
        <v/>
      </c>
      <c r="BF971" s="744" t="str">
        <f>IF(D971="","",VLOOKUP(D971,'General Basis'!$J$39:$L$46,3,0))</f>
        <v/>
      </c>
      <c r="BG971" s="744" t="str">
        <f t="shared" si="363"/>
        <v/>
      </c>
      <c r="BH971" s="744" t="str">
        <f>IF(G971="","",IF(BF971="Abu Dhabi",IF(G971&lt;18,'General Basis'!$C$39,IF(G971&lt;41,'General Basis'!$C$40,IF(G971&lt;60,'General Basis'!$C$41,IF(G971&lt;65,'General Basis'!$C$42,'General Basis'!$C$43)))),IF(G971&lt;11,'General Basis'!$B$39,IF(G971&lt;18,'General Basis'!$B$40,IF(G971&lt;26,'General Basis'!$B$41,IF(G971&lt;31,'General Basis'!$B$42,IF(G971&lt;36,'General Basis'!$B$43,IF(G971&lt;41,'General Basis'!$B$44,IF(G971&lt;46,'General Basis'!$B$45,IF(G971&lt;51,'General Basis'!$B$46,IF(G971&lt;56,'General Basis'!$B$47,IF(G971&lt;60,'General Basis'!$B$48,IF(G971&lt;65,'General Basis'!$B$49,'General Basis'!$B$50)))))))))))))</f>
        <v/>
      </c>
      <c r="BI971" s="744" t="str">
        <f t="shared" si="357"/>
        <v/>
      </c>
      <c r="BJ971" s="747" t="str">
        <f t="shared" si="364"/>
        <v/>
      </c>
      <c r="BK971" s="498" t="str">
        <f t="shared" si="358"/>
        <v/>
      </c>
      <c r="BL971" s="498" t="str">
        <f t="shared" si="359"/>
        <v/>
      </c>
    </row>
    <row r="972" spans="1:64" x14ac:dyDescent="0.25">
      <c r="A972" s="762">
        <f t="shared" si="360"/>
        <v>967</v>
      </c>
      <c r="B972" s="229"/>
      <c r="C972" s="223"/>
      <c r="D972" s="224"/>
      <c r="E972" s="225"/>
      <c r="F972" s="1036" t="str">
        <f t="shared" si="344"/>
        <v/>
      </c>
      <c r="G972" s="1037" t="str">
        <f t="shared" si="361"/>
        <v/>
      </c>
      <c r="H972" s="225"/>
      <c r="I972" s="1013"/>
      <c r="J972" s="1013"/>
      <c r="K972" s="1028"/>
      <c r="L972" s="1035" t="str">
        <f t="shared" si="365"/>
        <v/>
      </c>
      <c r="S972" s="498"/>
      <c r="AJ972" s="498"/>
      <c r="AM972" s="498">
        <f t="shared" si="346"/>
        <v>0</v>
      </c>
      <c r="AN972" s="498">
        <f t="shared" si="347"/>
        <v>0</v>
      </c>
      <c r="AO972" s="498">
        <f t="shared" si="348"/>
        <v>0</v>
      </c>
      <c r="AP972" s="498">
        <f t="shared" si="345"/>
        <v>0</v>
      </c>
      <c r="AQ972" s="498">
        <f t="shared" si="362"/>
        <v>0</v>
      </c>
      <c r="AU972" s="498">
        <f t="shared" si="349"/>
        <v>0</v>
      </c>
      <c r="AV972" s="498">
        <f t="shared" si="350"/>
        <v>0</v>
      </c>
      <c r="AW972" s="498">
        <f t="shared" si="351"/>
        <v>0</v>
      </c>
      <c r="AX972" s="498">
        <f t="shared" si="352"/>
        <v>0</v>
      </c>
      <c r="AY972" s="498">
        <f t="shared" si="353"/>
        <v>0</v>
      </c>
      <c r="BB972" s="498" t="str">
        <f t="shared" si="354"/>
        <v/>
      </c>
      <c r="BC972" s="743" t="str">
        <f t="shared" si="355"/>
        <v/>
      </c>
      <c r="BD972" s="743" t="str">
        <f t="shared" si="356"/>
        <v/>
      </c>
      <c r="BE972" s="743" t="str">
        <f>IF(D972="","",VLOOKUP(D972,'General Basis'!$J$39:$K$46,2,0))</f>
        <v/>
      </c>
      <c r="BF972" s="744" t="str">
        <f>IF(D972="","",VLOOKUP(D972,'General Basis'!$J$39:$L$46,3,0))</f>
        <v/>
      </c>
      <c r="BG972" s="744" t="str">
        <f t="shared" si="363"/>
        <v/>
      </c>
      <c r="BH972" s="744" t="str">
        <f>IF(G972="","",IF(BF972="Abu Dhabi",IF(G972&lt;18,'General Basis'!$C$39,IF(G972&lt;41,'General Basis'!$C$40,IF(G972&lt;60,'General Basis'!$C$41,IF(G972&lt;65,'General Basis'!$C$42,'General Basis'!$C$43)))),IF(G972&lt;11,'General Basis'!$B$39,IF(G972&lt;18,'General Basis'!$B$40,IF(G972&lt;26,'General Basis'!$B$41,IF(G972&lt;31,'General Basis'!$B$42,IF(G972&lt;36,'General Basis'!$B$43,IF(G972&lt;41,'General Basis'!$B$44,IF(G972&lt;46,'General Basis'!$B$45,IF(G972&lt;51,'General Basis'!$B$46,IF(G972&lt;56,'General Basis'!$B$47,IF(G972&lt;60,'General Basis'!$B$48,IF(G972&lt;65,'General Basis'!$B$49,'General Basis'!$B$50)))))))))))))</f>
        <v/>
      </c>
      <c r="BI972" s="744" t="str">
        <f t="shared" si="357"/>
        <v/>
      </c>
      <c r="BJ972" s="747" t="str">
        <f t="shared" si="364"/>
        <v/>
      </c>
      <c r="BK972" s="498" t="str">
        <f t="shared" si="358"/>
        <v/>
      </c>
      <c r="BL972" s="498" t="str">
        <f t="shared" si="359"/>
        <v/>
      </c>
    </row>
    <row r="973" spans="1:64" x14ac:dyDescent="0.25">
      <c r="A973" s="762">
        <f t="shared" si="360"/>
        <v>968</v>
      </c>
      <c r="B973" s="229"/>
      <c r="C973" s="223"/>
      <c r="D973" s="224"/>
      <c r="E973" s="225"/>
      <c r="F973" s="1036" t="str">
        <f t="shared" si="344"/>
        <v/>
      </c>
      <c r="G973" s="1037" t="str">
        <f t="shared" si="361"/>
        <v/>
      </c>
      <c r="H973" s="225"/>
      <c r="I973" s="1013"/>
      <c r="J973" s="1013"/>
      <c r="K973" s="1028"/>
      <c r="L973" s="1035" t="str">
        <f t="shared" si="365"/>
        <v/>
      </c>
      <c r="S973" s="498"/>
      <c r="AJ973" s="498"/>
      <c r="AM973" s="498">
        <f t="shared" si="346"/>
        <v>0</v>
      </c>
      <c r="AN973" s="498">
        <f t="shared" si="347"/>
        <v>0</v>
      </c>
      <c r="AO973" s="498">
        <f t="shared" si="348"/>
        <v>0</v>
      </c>
      <c r="AP973" s="498">
        <f t="shared" si="345"/>
        <v>0</v>
      </c>
      <c r="AQ973" s="498">
        <f t="shared" si="362"/>
        <v>0</v>
      </c>
      <c r="AU973" s="498">
        <f t="shared" si="349"/>
        <v>0</v>
      </c>
      <c r="AV973" s="498">
        <f t="shared" si="350"/>
        <v>0</v>
      </c>
      <c r="AW973" s="498">
        <f t="shared" si="351"/>
        <v>0</v>
      </c>
      <c r="AX973" s="498">
        <f t="shared" si="352"/>
        <v>0</v>
      </c>
      <c r="AY973" s="498">
        <f t="shared" si="353"/>
        <v>0</v>
      </c>
      <c r="BB973" s="498" t="str">
        <f t="shared" si="354"/>
        <v/>
      </c>
      <c r="BC973" s="743" t="str">
        <f t="shared" si="355"/>
        <v/>
      </c>
      <c r="BD973" s="743" t="str">
        <f t="shared" si="356"/>
        <v/>
      </c>
      <c r="BE973" s="743" t="str">
        <f>IF(D973="","",VLOOKUP(D973,'General Basis'!$J$39:$K$46,2,0))</f>
        <v/>
      </c>
      <c r="BF973" s="744" t="str">
        <f>IF(D973="","",VLOOKUP(D973,'General Basis'!$J$39:$L$46,3,0))</f>
        <v/>
      </c>
      <c r="BG973" s="744" t="str">
        <f t="shared" si="363"/>
        <v/>
      </c>
      <c r="BH973" s="744" t="str">
        <f>IF(G973="","",IF(BF973="Abu Dhabi",IF(G973&lt;18,'General Basis'!$C$39,IF(G973&lt;41,'General Basis'!$C$40,IF(G973&lt;60,'General Basis'!$C$41,IF(G973&lt;65,'General Basis'!$C$42,'General Basis'!$C$43)))),IF(G973&lt;11,'General Basis'!$B$39,IF(G973&lt;18,'General Basis'!$B$40,IF(G973&lt;26,'General Basis'!$B$41,IF(G973&lt;31,'General Basis'!$B$42,IF(G973&lt;36,'General Basis'!$B$43,IF(G973&lt;41,'General Basis'!$B$44,IF(G973&lt;46,'General Basis'!$B$45,IF(G973&lt;51,'General Basis'!$B$46,IF(G973&lt;56,'General Basis'!$B$47,IF(G973&lt;60,'General Basis'!$B$48,IF(G973&lt;65,'General Basis'!$B$49,'General Basis'!$B$50)))))))))))))</f>
        <v/>
      </c>
      <c r="BI973" s="744" t="str">
        <f t="shared" si="357"/>
        <v/>
      </c>
      <c r="BJ973" s="747" t="str">
        <f t="shared" si="364"/>
        <v/>
      </c>
      <c r="BK973" s="498" t="str">
        <f t="shared" si="358"/>
        <v/>
      </c>
      <c r="BL973" s="498" t="str">
        <f t="shared" si="359"/>
        <v/>
      </c>
    </row>
    <row r="974" spans="1:64" x14ac:dyDescent="0.25">
      <c r="A974" s="762">
        <f t="shared" si="360"/>
        <v>969</v>
      </c>
      <c r="B974" s="229"/>
      <c r="C974" s="223"/>
      <c r="D974" s="224"/>
      <c r="E974" s="225"/>
      <c r="F974" s="1036" t="str">
        <f t="shared" si="344"/>
        <v/>
      </c>
      <c r="G974" s="1037" t="str">
        <f t="shared" si="361"/>
        <v/>
      </c>
      <c r="H974" s="225"/>
      <c r="I974" s="1013"/>
      <c r="J974" s="1013"/>
      <c r="K974" s="1028"/>
      <c r="L974" s="1035" t="str">
        <f t="shared" si="365"/>
        <v/>
      </c>
      <c r="S974" s="498"/>
      <c r="AJ974" s="498"/>
      <c r="AM974" s="498">
        <f t="shared" si="346"/>
        <v>0</v>
      </c>
      <c r="AN974" s="498">
        <f t="shared" si="347"/>
        <v>0</v>
      </c>
      <c r="AO974" s="498">
        <f t="shared" si="348"/>
        <v>0</v>
      </c>
      <c r="AP974" s="498">
        <f t="shared" si="345"/>
        <v>0</v>
      </c>
      <c r="AQ974" s="498">
        <f t="shared" si="362"/>
        <v>0</v>
      </c>
      <c r="AU974" s="498">
        <f t="shared" si="349"/>
        <v>0</v>
      </c>
      <c r="AV974" s="498">
        <f t="shared" si="350"/>
        <v>0</v>
      </c>
      <c r="AW974" s="498">
        <f t="shared" si="351"/>
        <v>0</v>
      </c>
      <c r="AX974" s="498">
        <f t="shared" si="352"/>
        <v>0</v>
      </c>
      <c r="AY974" s="498">
        <f t="shared" si="353"/>
        <v>0</v>
      </c>
      <c r="BB974" s="498" t="str">
        <f t="shared" si="354"/>
        <v/>
      </c>
      <c r="BC974" s="743" t="str">
        <f t="shared" si="355"/>
        <v/>
      </c>
      <c r="BD974" s="743" t="str">
        <f t="shared" si="356"/>
        <v/>
      </c>
      <c r="BE974" s="743" t="str">
        <f>IF(D974="","",VLOOKUP(D974,'General Basis'!$J$39:$K$46,2,0))</f>
        <v/>
      </c>
      <c r="BF974" s="744" t="str">
        <f>IF(D974="","",VLOOKUP(D974,'General Basis'!$J$39:$L$46,3,0))</f>
        <v/>
      </c>
      <c r="BG974" s="744" t="str">
        <f t="shared" si="363"/>
        <v/>
      </c>
      <c r="BH974" s="744" t="str">
        <f>IF(G974="","",IF(BF974="Abu Dhabi",IF(G974&lt;18,'General Basis'!$C$39,IF(G974&lt;41,'General Basis'!$C$40,IF(G974&lt;60,'General Basis'!$C$41,IF(G974&lt;65,'General Basis'!$C$42,'General Basis'!$C$43)))),IF(G974&lt;11,'General Basis'!$B$39,IF(G974&lt;18,'General Basis'!$B$40,IF(G974&lt;26,'General Basis'!$B$41,IF(G974&lt;31,'General Basis'!$B$42,IF(G974&lt;36,'General Basis'!$B$43,IF(G974&lt;41,'General Basis'!$B$44,IF(G974&lt;46,'General Basis'!$B$45,IF(G974&lt;51,'General Basis'!$B$46,IF(G974&lt;56,'General Basis'!$B$47,IF(G974&lt;60,'General Basis'!$B$48,IF(G974&lt;65,'General Basis'!$B$49,'General Basis'!$B$50)))))))))))))</f>
        <v/>
      </c>
      <c r="BI974" s="744" t="str">
        <f t="shared" si="357"/>
        <v/>
      </c>
      <c r="BJ974" s="747" t="str">
        <f t="shared" si="364"/>
        <v/>
      </c>
      <c r="BK974" s="498" t="str">
        <f t="shared" si="358"/>
        <v/>
      </c>
      <c r="BL974" s="498" t="str">
        <f t="shared" si="359"/>
        <v/>
      </c>
    </row>
    <row r="975" spans="1:64" x14ac:dyDescent="0.25">
      <c r="A975" s="762">
        <f t="shared" si="360"/>
        <v>970</v>
      </c>
      <c r="B975" s="229"/>
      <c r="C975" s="223"/>
      <c r="D975" s="224"/>
      <c r="E975" s="225"/>
      <c r="F975" s="1036" t="str">
        <f t="shared" si="344"/>
        <v/>
      </c>
      <c r="G975" s="1037" t="str">
        <f t="shared" si="361"/>
        <v/>
      </c>
      <c r="H975" s="225"/>
      <c r="I975" s="1013"/>
      <c r="J975" s="1013"/>
      <c r="K975" s="1028"/>
      <c r="L975" s="1035" t="str">
        <f t="shared" si="365"/>
        <v/>
      </c>
      <c r="S975" s="498"/>
      <c r="AJ975" s="498"/>
      <c r="AM975" s="498">
        <f t="shared" si="346"/>
        <v>0</v>
      </c>
      <c r="AN975" s="498">
        <f t="shared" si="347"/>
        <v>0</v>
      </c>
      <c r="AO975" s="498">
        <f t="shared" si="348"/>
        <v>0</v>
      </c>
      <c r="AP975" s="498">
        <f t="shared" si="345"/>
        <v>0</v>
      </c>
      <c r="AQ975" s="498">
        <f t="shared" si="362"/>
        <v>0</v>
      </c>
      <c r="AU975" s="498">
        <f t="shared" si="349"/>
        <v>0</v>
      </c>
      <c r="AV975" s="498">
        <f t="shared" si="350"/>
        <v>0</v>
      </c>
      <c r="AW975" s="498">
        <f t="shared" si="351"/>
        <v>0</v>
      </c>
      <c r="AX975" s="498">
        <f t="shared" si="352"/>
        <v>0</v>
      </c>
      <c r="AY975" s="498">
        <f t="shared" si="353"/>
        <v>0</v>
      </c>
      <c r="BB975" s="498" t="str">
        <f t="shared" si="354"/>
        <v/>
      </c>
      <c r="BC975" s="743" t="str">
        <f t="shared" si="355"/>
        <v/>
      </c>
      <c r="BD975" s="743" t="str">
        <f t="shared" si="356"/>
        <v/>
      </c>
      <c r="BE975" s="743" t="str">
        <f>IF(D975="","",VLOOKUP(D975,'General Basis'!$J$39:$K$46,2,0))</f>
        <v/>
      </c>
      <c r="BF975" s="744" t="str">
        <f>IF(D975="","",VLOOKUP(D975,'General Basis'!$J$39:$L$46,3,0))</f>
        <v/>
      </c>
      <c r="BG975" s="744" t="str">
        <f t="shared" si="363"/>
        <v/>
      </c>
      <c r="BH975" s="744" t="str">
        <f>IF(G975="","",IF(BF975="Abu Dhabi",IF(G975&lt;18,'General Basis'!$C$39,IF(G975&lt;41,'General Basis'!$C$40,IF(G975&lt;60,'General Basis'!$C$41,IF(G975&lt;65,'General Basis'!$C$42,'General Basis'!$C$43)))),IF(G975&lt;11,'General Basis'!$B$39,IF(G975&lt;18,'General Basis'!$B$40,IF(G975&lt;26,'General Basis'!$B$41,IF(G975&lt;31,'General Basis'!$B$42,IF(G975&lt;36,'General Basis'!$B$43,IF(G975&lt;41,'General Basis'!$B$44,IF(G975&lt;46,'General Basis'!$B$45,IF(G975&lt;51,'General Basis'!$B$46,IF(G975&lt;56,'General Basis'!$B$47,IF(G975&lt;60,'General Basis'!$B$48,IF(G975&lt;65,'General Basis'!$B$49,'General Basis'!$B$50)))))))))))))</f>
        <v/>
      </c>
      <c r="BI975" s="744" t="str">
        <f t="shared" si="357"/>
        <v/>
      </c>
      <c r="BJ975" s="747" t="str">
        <f t="shared" si="364"/>
        <v/>
      </c>
      <c r="BK975" s="498" t="str">
        <f t="shared" si="358"/>
        <v/>
      </c>
      <c r="BL975" s="498" t="str">
        <f t="shared" si="359"/>
        <v/>
      </c>
    </row>
    <row r="976" spans="1:64" x14ac:dyDescent="0.25">
      <c r="A976" s="762">
        <f t="shared" si="360"/>
        <v>971</v>
      </c>
      <c r="B976" s="229"/>
      <c r="C976" s="223"/>
      <c r="D976" s="224"/>
      <c r="E976" s="225"/>
      <c r="F976" s="1036" t="str">
        <f t="shared" ref="F976:F1039" si="366">IF(C976="","",IF($B976="","",((YEAR($F$3)-YEAR($B976))+(MONTH($F$3)-MONTH($B976))/12+(DAY($F$3)-DAY($B976))/(DATE(YEAR($F$3),12,31)-DATE(YEAR($F$3),1,1)+1))))</f>
        <v/>
      </c>
      <c r="G976" s="1037" t="str">
        <f t="shared" si="361"/>
        <v/>
      </c>
      <c r="H976" s="225"/>
      <c r="I976" s="1013"/>
      <c r="J976" s="1013"/>
      <c r="K976" s="1028"/>
      <c r="L976" s="1035" t="str">
        <f t="shared" si="365"/>
        <v/>
      </c>
      <c r="S976" s="498"/>
      <c r="AJ976" s="498"/>
      <c r="AM976" s="498">
        <f t="shared" si="346"/>
        <v>0</v>
      </c>
      <c r="AN976" s="498">
        <f t="shared" si="347"/>
        <v>0</v>
      </c>
      <c r="AO976" s="498">
        <f t="shared" si="348"/>
        <v>0</v>
      </c>
      <c r="AP976" s="498">
        <f t="shared" si="345"/>
        <v>0</v>
      </c>
      <c r="AQ976" s="498">
        <f t="shared" si="362"/>
        <v>0</v>
      </c>
      <c r="AU976" s="498">
        <f t="shared" si="349"/>
        <v>0</v>
      </c>
      <c r="AV976" s="498">
        <f t="shared" si="350"/>
        <v>0</v>
      </c>
      <c r="AW976" s="498">
        <f t="shared" si="351"/>
        <v>0</v>
      </c>
      <c r="AX976" s="498">
        <f t="shared" si="352"/>
        <v>0</v>
      </c>
      <c r="AY976" s="498">
        <f t="shared" si="353"/>
        <v>0</v>
      </c>
      <c r="BB976" s="498" t="str">
        <f t="shared" si="354"/>
        <v/>
      </c>
      <c r="BC976" s="743" t="str">
        <f t="shared" si="355"/>
        <v/>
      </c>
      <c r="BD976" s="743" t="str">
        <f t="shared" si="356"/>
        <v/>
      </c>
      <c r="BE976" s="743" t="str">
        <f>IF(D976="","",VLOOKUP(D976,'General Basis'!$J$39:$K$46,2,0))</f>
        <v/>
      </c>
      <c r="BF976" s="744" t="str">
        <f>IF(D976="","",VLOOKUP(D976,'General Basis'!$J$39:$L$46,3,0))</f>
        <v/>
      </c>
      <c r="BG976" s="744" t="str">
        <f t="shared" si="363"/>
        <v/>
      </c>
      <c r="BH976" s="744" t="str">
        <f>IF(G976="","",IF(BF976="Abu Dhabi",IF(G976&lt;18,'General Basis'!$C$39,IF(G976&lt;41,'General Basis'!$C$40,IF(G976&lt;60,'General Basis'!$C$41,IF(G976&lt;65,'General Basis'!$C$42,'General Basis'!$C$43)))),IF(G976&lt;11,'General Basis'!$B$39,IF(G976&lt;18,'General Basis'!$B$40,IF(G976&lt;26,'General Basis'!$B$41,IF(G976&lt;31,'General Basis'!$B$42,IF(G976&lt;36,'General Basis'!$B$43,IF(G976&lt;41,'General Basis'!$B$44,IF(G976&lt;46,'General Basis'!$B$45,IF(G976&lt;51,'General Basis'!$B$46,IF(G976&lt;56,'General Basis'!$B$47,IF(G976&lt;60,'General Basis'!$B$48,IF(G976&lt;65,'General Basis'!$B$49,'General Basis'!$B$50)))))))))))))</f>
        <v/>
      </c>
      <c r="BI976" s="744" t="str">
        <f t="shared" si="357"/>
        <v/>
      </c>
      <c r="BJ976" s="747" t="str">
        <f t="shared" si="364"/>
        <v/>
      </c>
      <c r="BK976" s="498" t="str">
        <f t="shared" si="358"/>
        <v/>
      </c>
      <c r="BL976" s="498" t="str">
        <f t="shared" si="359"/>
        <v/>
      </c>
    </row>
    <row r="977" spans="1:64" x14ac:dyDescent="0.25">
      <c r="A977" s="762">
        <f t="shared" si="360"/>
        <v>972</v>
      </c>
      <c r="B977" s="229"/>
      <c r="C977" s="223"/>
      <c r="D977" s="224"/>
      <c r="E977" s="225"/>
      <c r="F977" s="1036" t="str">
        <f t="shared" si="366"/>
        <v/>
      </c>
      <c r="G977" s="1037" t="str">
        <f t="shared" si="361"/>
        <v/>
      </c>
      <c r="H977" s="225"/>
      <c r="I977" s="1013"/>
      <c r="J977" s="1013"/>
      <c r="K977" s="1028"/>
      <c r="L977" s="1035" t="str">
        <f t="shared" si="365"/>
        <v/>
      </c>
      <c r="S977" s="498"/>
      <c r="AJ977" s="498"/>
      <c r="AM977" s="498">
        <f t="shared" si="346"/>
        <v>0</v>
      </c>
      <c r="AN977" s="498">
        <f t="shared" si="347"/>
        <v>0</v>
      </c>
      <c r="AO977" s="498">
        <f t="shared" si="348"/>
        <v>0</v>
      </c>
      <c r="AP977" s="498">
        <f t="shared" si="345"/>
        <v>0</v>
      </c>
      <c r="AQ977" s="498">
        <f t="shared" si="362"/>
        <v>0</v>
      </c>
      <c r="AU977" s="498">
        <f t="shared" si="349"/>
        <v>0</v>
      </c>
      <c r="AV977" s="498">
        <f t="shared" si="350"/>
        <v>0</v>
      </c>
      <c r="AW977" s="498">
        <f t="shared" si="351"/>
        <v>0</v>
      </c>
      <c r="AX977" s="498">
        <f t="shared" si="352"/>
        <v>0</v>
      </c>
      <c r="AY977" s="498">
        <f t="shared" si="353"/>
        <v>0</v>
      </c>
      <c r="BB977" s="498" t="str">
        <f t="shared" si="354"/>
        <v/>
      </c>
      <c r="BC977" s="743" t="str">
        <f t="shared" si="355"/>
        <v/>
      </c>
      <c r="BD977" s="743" t="str">
        <f t="shared" si="356"/>
        <v/>
      </c>
      <c r="BE977" s="743" t="str">
        <f>IF(D977="","",VLOOKUP(D977,'General Basis'!$J$39:$K$46,2,0))</f>
        <v/>
      </c>
      <c r="BF977" s="744" t="str">
        <f>IF(D977="","",VLOOKUP(D977,'General Basis'!$J$39:$L$46,3,0))</f>
        <v/>
      </c>
      <c r="BG977" s="744" t="str">
        <f t="shared" si="363"/>
        <v/>
      </c>
      <c r="BH977" s="744" t="str">
        <f>IF(G977="","",IF(BF977="Abu Dhabi",IF(G977&lt;18,'General Basis'!$C$39,IF(G977&lt;41,'General Basis'!$C$40,IF(G977&lt;60,'General Basis'!$C$41,IF(G977&lt;65,'General Basis'!$C$42,'General Basis'!$C$43)))),IF(G977&lt;11,'General Basis'!$B$39,IF(G977&lt;18,'General Basis'!$B$40,IF(G977&lt;26,'General Basis'!$B$41,IF(G977&lt;31,'General Basis'!$B$42,IF(G977&lt;36,'General Basis'!$B$43,IF(G977&lt;41,'General Basis'!$B$44,IF(G977&lt;46,'General Basis'!$B$45,IF(G977&lt;51,'General Basis'!$B$46,IF(G977&lt;56,'General Basis'!$B$47,IF(G977&lt;60,'General Basis'!$B$48,IF(G977&lt;65,'General Basis'!$B$49,'General Basis'!$B$50)))))))))))))</f>
        <v/>
      </c>
      <c r="BI977" s="744" t="str">
        <f t="shared" si="357"/>
        <v/>
      </c>
      <c r="BJ977" s="747" t="str">
        <f t="shared" si="364"/>
        <v/>
      </c>
      <c r="BK977" s="498" t="str">
        <f t="shared" si="358"/>
        <v/>
      </c>
      <c r="BL977" s="498" t="str">
        <f t="shared" si="359"/>
        <v/>
      </c>
    </row>
    <row r="978" spans="1:64" x14ac:dyDescent="0.25">
      <c r="A978" s="762">
        <f t="shared" si="360"/>
        <v>973</v>
      </c>
      <c r="B978" s="229"/>
      <c r="C978" s="223"/>
      <c r="D978" s="224"/>
      <c r="E978" s="225"/>
      <c r="F978" s="1036" t="str">
        <f t="shared" si="366"/>
        <v/>
      </c>
      <c r="G978" s="1037" t="str">
        <f t="shared" si="361"/>
        <v/>
      </c>
      <c r="H978" s="225"/>
      <c r="I978" s="1013"/>
      <c r="J978" s="1013"/>
      <c r="K978" s="1028"/>
      <c r="L978" s="1035" t="str">
        <f t="shared" si="365"/>
        <v/>
      </c>
      <c r="S978" s="498"/>
      <c r="AJ978" s="498"/>
      <c r="AM978" s="498">
        <f t="shared" si="346"/>
        <v>0</v>
      </c>
      <c r="AN978" s="498">
        <f t="shared" si="347"/>
        <v>0</v>
      </c>
      <c r="AO978" s="498">
        <f t="shared" si="348"/>
        <v>0</v>
      </c>
      <c r="AP978" s="498">
        <f t="shared" si="345"/>
        <v>0</v>
      </c>
      <c r="AQ978" s="498">
        <f t="shared" si="362"/>
        <v>0</v>
      </c>
      <c r="AU978" s="498">
        <f t="shared" si="349"/>
        <v>0</v>
      </c>
      <c r="AV978" s="498">
        <f t="shared" si="350"/>
        <v>0</v>
      </c>
      <c r="AW978" s="498">
        <f t="shared" si="351"/>
        <v>0</v>
      </c>
      <c r="AX978" s="498">
        <f t="shared" si="352"/>
        <v>0</v>
      </c>
      <c r="AY978" s="498">
        <f t="shared" si="353"/>
        <v>0</v>
      </c>
      <c r="BB978" s="498" t="str">
        <f t="shared" si="354"/>
        <v/>
      </c>
      <c r="BC978" s="743" t="str">
        <f t="shared" si="355"/>
        <v/>
      </c>
      <c r="BD978" s="743" t="str">
        <f t="shared" si="356"/>
        <v/>
      </c>
      <c r="BE978" s="743" t="str">
        <f>IF(D978="","",VLOOKUP(D978,'General Basis'!$J$39:$K$46,2,0))</f>
        <v/>
      </c>
      <c r="BF978" s="744" t="str">
        <f>IF(D978="","",VLOOKUP(D978,'General Basis'!$J$39:$L$46,3,0))</f>
        <v/>
      </c>
      <c r="BG978" s="744" t="str">
        <f t="shared" si="363"/>
        <v/>
      </c>
      <c r="BH978" s="744" t="str">
        <f>IF(G978="","",IF(BF978="Abu Dhabi",IF(G978&lt;18,'General Basis'!$C$39,IF(G978&lt;41,'General Basis'!$C$40,IF(G978&lt;60,'General Basis'!$C$41,IF(G978&lt;65,'General Basis'!$C$42,'General Basis'!$C$43)))),IF(G978&lt;11,'General Basis'!$B$39,IF(G978&lt;18,'General Basis'!$B$40,IF(G978&lt;26,'General Basis'!$B$41,IF(G978&lt;31,'General Basis'!$B$42,IF(G978&lt;36,'General Basis'!$B$43,IF(G978&lt;41,'General Basis'!$B$44,IF(G978&lt;46,'General Basis'!$B$45,IF(G978&lt;51,'General Basis'!$B$46,IF(G978&lt;56,'General Basis'!$B$47,IF(G978&lt;60,'General Basis'!$B$48,IF(G978&lt;65,'General Basis'!$B$49,'General Basis'!$B$50)))))))))))))</f>
        <v/>
      </c>
      <c r="BI978" s="744" t="str">
        <f t="shared" si="357"/>
        <v/>
      </c>
      <c r="BJ978" s="747" t="str">
        <f t="shared" si="364"/>
        <v/>
      </c>
      <c r="BK978" s="498" t="str">
        <f t="shared" si="358"/>
        <v/>
      </c>
      <c r="BL978" s="498" t="str">
        <f t="shared" si="359"/>
        <v/>
      </c>
    </row>
    <row r="979" spans="1:64" x14ac:dyDescent="0.25">
      <c r="A979" s="762">
        <f t="shared" si="360"/>
        <v>974</v>
      </c>
      <c r="B979" s="229"/>
      <c r="C979" s="223"/>
      <c r="D979" s="224"/>
      <c r="E979" s="225"/>
      <c r="F979" s="1036" t="str">
        <f t="shared" si="366"/>
        <v/>
      </c>
      <c r="G979" s="1037" t="str">
        <f t="shared" si="361"/>
        <v/>
      </c>
      <c r="H979" s="225"/>
      <c r="I979" s="1013"/>
      <c r="J979" s="1013"/>
      <c r="K979" s="1028"/>
      <c r="L979" s="1035" t="str">
        <f t="shared" si="365"/>
        <v/>
      </c>
      <c r="S979" s="498"/>
      <c r="AJ979" s="498"/>
      <c r="AM979" s="498">
        <f t="shared" si="346"/>
        <v>0</v>
      </c>
      <c r="AN979" s="498">
        <f t="shared" si="347"/>
        <v>0</v>
      </c>
      <c r="AO979" s="498">
        <f t="shared" si="348"/>
        <v>0</v>
      </c>
      <c r="AP979" s="498">
        <f t="shared" ref="AP979:AP1042" si="367">IF(ISBLANK($B979),0,IF(OR($C979="M",$C979="F"),0,1))</f>
        <v>0</v>
      </c>
      <c r="AQ979" s="498">
        <f t="shared" si="362"/>
        <v>0</v>
      </c>
      <c r="AU979" s="498">
        <f t="shared" si="349"/>
        <v>0</v>
      </c>
      <c r="AV979" s="498">
        <f t="shared" si="350"/>
        <v>0</v>
      </c>
      <c r="AW979" s="498">
        <f t="shared" si="351"/>
        <v>0</v>
      </c>
      <c r="AX979" s="498">
        <f t="shared" si="352"/>
        <v>0</v>
      </c>
      <c r="AY979" s="498">
        <f t="shared" si="353"/>
        <v>0</v>
      </c>
      <c r="BB979" s="498" t="str">
        <f t="shared" si="354"/>
        <v/>
      </c>
      <c r="BC979" s="743" t="str">
        <f t="shared" si="355"/>
        <v/>
      </c>
      <c r="BD979" s="743" t="str">
        <f t="shared" si="356"/>
        <v/>
      </c>
      <c r="BE979" s="743" t="str">
        <f>IF(D979="","",VLOOKUP(D979,'General Basis'!$J$39:$K$46,2,0))</f>
        <v/>
      </c>
      <c r="BF979" s="744" t="str">
        <f>IF(D979="","",VLOOKUP(D979,'General Basis'!$J$39:$L$46,3,0))</f>
        <v/>
      </c>
      <c r="BG979" s="744" t="str">
        <f t="shared" si="363"/>
        <v/>
      </c>
      <c r="BH979" s="744" t="str">
        <f>IF(G979="","",IF(BF979="Abu Dhabi",IF(G979&lt;18,'General Basis'!$C$39,IF(G979&lt;41,'General Basis'!$C$40,IF(G979&lt;60,'General Basis'!$C$41,IF(G979&lt;65,'General Basis'!$C$42,'General Basis'!$C$43)))),IF(G979&lt;11,'General Basis'!$B$39,IF(G979&lt;18,'General Basis'!$B$40,IF(G979&lt;26,'General Basis'!$B$41,IF(G979&lt;31,'General Basis'!$B$42,IF(G979&lt;36,'General Basis'!$B$43,IF(G979&lt;41,'General Basis'!$B$44,IF(G979&lt;46,'General Basis'!$B$45,IF(G979&lt;51,'General Basis'!$B$46,IF(G979&lt;56,'General Basis'!$B$47,IF(G979&lt;60,'General Basis'!$B$48,IF(G979&lt;65,'General Basis'!$B$49,'General Basis'!$B$50)))))))))))))</f>
        <v/>
      </c>
      <c r="BI979" s="744" t="str">
        <f t="shared" si="357"/>
        <v/>
      </c>
      <c r="BJ979" s="747" t="str">
        <f t="shared" si="364"/>
        <v/>
      </c>
      <c r="BK979" s="498" t="str">
        <f t="shared" si="358"/>
        <v/>
      </c>
      <c r="BL979" s="498" t="str">
        <f t="shared" si="359"/>
        <v/>
      </c>
    </row>
    <row r="980" spans="1:64" x14ac:dyDescent="0.25">
      <c r="A980" s="762">
        <f t="shared" si="360"/>
        <v>975</v>
      </c>
      <c r="B980" s="229"/>
      <c r="C980" s="223"/>
      <c r="D980" s="224"/>
      <c r="E980" s="225"/>
      <c r="F980" s="1036" t="str">
        <f t="shared" si="366"/>
        <v/>
      </c>
      <c r="G980" s="1037" t="str">
        <f t="shared" si="361"/>
        <v/>
      </c>
      <c r="H980" s="225"/>
      <c r="I980" s="1013"/>
      <c r="J980" s="1013"/>
      <c r="K980" s="1028"/>
      <c r="L980" s="1035" t="str">
        <f t="shared" si="365"/>
        <v/>
      </c>
      <c r="S980" s="498"/>
      <c r="AJ980" s="498"/>
      <c r="AM980" s="498">
        <f t="shared" si="346"/>
        <v>0</v>
      </c>
      <c r="AN980" s="498">
        <f t="shared" si="347"/>
        <v>0</v>
      </c>
      <c r="AO980" s="498">
        <f t="shared" si="348"/>
        <v>0</v>
      </c>
      <c r="AP980" s="498">
        <f t="shared" si="367"/>
        <v>0</v>
      </c>
      <c r="AQ980" s="498">
        <f t="shared" si="362"/>
        <v>0</v>
      </c>
      <c r="AU980" s="498">
        <f t="shared" si="349"/>
        <v>0</v>
      </c>
      <c r="AV980" s="498">
        <f t="shared" si="350"/>
        <v>0</v>
      </c>
      <c r="AW980" s="498">
        <f t="shared" si="351"/>
        <v>0</v>
      </c>
      <c r="AX980" s="498">
        <f t="shared" si="352"/>
        <v>0</v>
      </c>
      <c r="AY980" s="498">
        <f t="shared" si="353"/>
        <v>0</v>
      </c>
      <c r="BB980" s="498" t="str">
        <f t="shared" si="354"/>
        <v/>
      </c>
      <c r="BC980" s="743" t="str">
        <f t="shared" si="355"/>
        <v/>
      </c>
      <c r="BD980" s="743" t="str">
        <f t="shared" si="356"/>
        <v/>
      </c>
      <c r="BE980" s="743" t="str">
        <f>IF(D980="","",VLOOKUP(D980,'General Basis'!$J$39:$K$46,2,0))</f>
        <v/>
      </c>
      <c r="BF980" s="744" t="str">
        <f>IF(D980="","",VLOOKUP(D980,'General Basis'!$J$39:$L$46,3,0))</f>
        <v/>
      </c>
      <c r="BG980" s="744" t="str">
        <f t="shared" si="363"/>
        <v/>
      </c>
      <c r="BH980" s="744" t="str">
        <f>IF(G980="","",IF(BF980="Abu Dhabi",IF(G980&lt;18,'General Basis'!$C$39,IF(G980&lt;41,'General Basis'!$C$40,IF(G980&lt;60,'General Basis'!$C$41,IF(G980&lt;65,'General Basis'!$C$42,'General Basis'!$C$43)))),IF(G980&lt;11,'General Basis'!$B$39,IF(G980&lt;18,'General Basis'!$B$40,IF(G980&lt;26,'General Basis'!$B$41,IF(G980&lt;31,'General Basis'!$B$42,IF(G980&lt;36,'General Basis'!$B$43,IF(G980&lt;41,'General Basis'!$B$44,IF(G980&lt;46,'General Basis'!$B$45,IF(G980&lt;51,'General Basis'!$B$46,IF(G980&lt;56,'General Basis'!$B$47,IF(G980&lt;60,'General Basis'!$B$48,IF(G980&lt;65,'General Basis'!$B$49,'General Basis'!$B$50)))))))))))))</f>
        <v/>
      </c>
      <c r="BI980" s="744" t="str">
        <f t="shared" si="357"/>
        <v/>
      </c>
      <c r="BJ980" s="747" t="str">
        <f t="shared" si="364"/>
        <v/>
      </c>
      <c r="BK980" s="498" t="str">
        <f t="shared" si="358"/>
        <v/>
      </c>
      <c r="BL980" s="498" t="str">
        <f t="shared" si="359"/>
        <v/>
      </c>
    </row>
    <row r="981" spans="1:64" x14ac:dyDescent="0.25">
      <c r="A981" s="762">
        <f t="shared" si="360"/>
        <v>976</v>
      </c>
      <c r="B981" s="229"/>
      <c r="C981" s="223"/>
      <c r="D981" s="224"/>
      <c r="E981" s="225"/>
      <c r="F981" s="1036" t="str">
        <f t="shared" si="366"/>
        <v/>
      </c>
      <c r="G981" s="1037" t="str">
        <f t="shared" si="361"/>
        <v/>
      </c>
      <c r="H981" s="225"/>
      <c r="I981" s="1013"/>
      <c r="J981" s="1013"/>
      <c r="K981" s="1028"/>
      <c r="L981" s="1035" t="str">
        <f t="shared" si="365"/>
        <v/>
      </c>
      <c r="S981" s="498"/>
      <c r="AJ981" s="498"/>
      <c r="AM981" s="498">
        <f t="shared" si="346"/>
        <v>0</v>
      </c>
      <c r="AN981" s="498">
        <f t="shared" si="347"/>
        <v>0</v>
      </c>
      <c r="AO981" s="498">
        <f t="shared" si="348"/>
        <v>0</v>
      </c>
      <c r="AP981" s="498">
        <f t="shared" si="367"/>
        <v>0</v>
      </c>
      <c r="AQ981" s="498">
        <f t="shared" si="362"/>
        <v>0</v>
      </c>
      <c r="AU981" s="498">
        <f t="shared" si="349"/>
        <v>0</v>
      </c>
      <c r="AV981" s="498">
        <f t="shared" si="350"/>
        <v>0</v>
      </c>
      <c r="AW981" s="498">
        <f t="shared" si="351"/>
        <v>0</v>
      </c>
      <c r="AX981" s="498">
        <f t="shared" si="352"/>
        <v>0</v>
      </c>
      <c r="AY981" s="498">
        <f t="shared" si="353"/>
        <v>0</v>
      </c>
      <c r="BB981" s="498" t="str">
        <f t="shared" si="354"/>
        <v/>
      </c>
      <c r="BC981" s="743" t="str">
        <f t="shared" si="355"/>
        <v/>
      </c>
      <c r="BD981" s="743" t="str">
        <f t="shared" si="356"/>
        <v/>
      </c>
      <c r="BE981" s="743" t="str">
        <f>IF(D981="","",VLOOKUP(D981,'General Basis'!$J$39:$K$46,2,0))</f>
        <v/>
      </c>
      <c r="BF981" s="744" t="str">
        <f>IF(D981="","",VLOOKUP(D981,'General Basis'!$J$39:$L$46,3,0))</f>
        <v/>
      </c>
      <c r="BG981" s="744" t="str">
        <f t="shared" si="363"/>
        <v/>
      </c>
      <c r="BH981" s="744" t="str">
        <f>IF(G981="","",IF(BF981="Abu Dhabi",IF(G981&lt;18,'General Basis'!$C$39,IF(G981&lt;41,'General Basis'!$C$40,IF(G981&lt;60,'General Basis'!$C$41,IF(G981&lt;65,'General Basis'!$C$42,'General Basis'!$C$43)))),IF(G981&lt;11,'General Basis'!$B$39,IF(G981&lt;18,'General Basis'!$B$40,IF(G981&lt;26,'General Basis'!$B$41,IF(G981&lt;31,'General Basis'!$B$42,IF(G981&lt;36,'General Basis'!$B$43,IF(G981&lt;41,'General Basis'!$B$44,IF(G981&lt;46,'General Basis'!$B$45,IF(G981&lt;51,'General Basis'!$B$46,IF(G981&lt;56,'General Basis'!$B$47,IF(G981&lt;60,'General Basis'!$B$48,IF(G981&lt;65,'General Basis'!$B$49,'General Basis'!$B$50)))))))))))))</f>
        <v/>
      </c>
      <c r="BI981" s="744" t="str">
        <f t="shared" si="357"/>
        <v/>
      </c>
      <c r="BJ981" s="747" t="str">
        <f t="shared" si="364"/>
        <v/>
      </c>
      <c r="BK981" s="498" t="str">
        <f t="shared" si="358"/>
        <v/>
      </c>
      <c r="BL981" s="498" t="str">
        <f t="shared" si="359"/>
        <v/>
      </c>
    </row>
    <row r="982" spans="1:64" x14ac:dyDescent="0.25">
      <c r="A982" s="762">
        <f t="shared" si="360"/>
        <v>977</v>
      </c>
      <c r="B982" s="229"/>
      <c r="C982" s="223"/>
      <c r="D982" s="224"/>
      <c r="E982" s="225"/>
      <c r="F982" s="1036" t="str">
        <f t="shared" si="366"/>
        <v/>
      </c>
      <c r="G982" s="1037" t="str">
        <f t="shared" si="361"/>
        <v/>
      </c>
      <c r="H982" s="225"/>
      <c r="I982" s="1013"/>
      <c r="J982" s="1013"/>
      <c r="K982" s="1028"/>
      <c r="L982" s="1035" t="str">
        <f t="shared" si="365"/>
        <v/>
      </c>
      <c r="S982" s="498"/>
      <c r="AJ982" s="498"/>
      <c r="AM982" s="498">
        <f t="shared" si="346"/>
        <v>0</v>
      </c>
      <c r="AN982" s="498">
        <f t="shared" si="347"/>
        <v>0</v>
      </c>
      <c r="AO982" s="498">
        <f t="shared" si="348"/>
        <v>0</v>
      </c>
      <c r="AP982" s="498">
        <f t="shared" si="367"/>
        <v>0</v>
      </c>
      <c r="AQ982" s="498">
        <f t="shared" si="362"/>
        <v>0</v>
      </c>
      <c r="AU982" s="498">
        <f t="shared" si="349"/>
        <v>0</v>
      </c>
      <c r="AV982" s="498">
        <f t="shared" si="350"/>
        <v>0</v>
      </c>
      <c r="AW982" s="498">
        <f t="shared" si="351"/>
        <v>0</v>
      </c>
      <c r="AX982" s="498">
        <f t="shared" si="352"/>
        <v>0</v>
      </c>
      <c r="AY982" s="498">
        <f t="shared" si="353"/>
        <v>0</v>
      </c>
      <c r="BB982" s="498" t="str">
        <f t="shared" si="354"/>
        <v/>
      </c>
      <c r="BC982" s="743" t="str">
        <f t="shared" si="355"/>
        <v/>
      </c>
      <c r="BD982" s="743" t="str">
        <f t="shared" si="356"/>
        <v/>
      </c>
      <c r="BE982" s="743" t="str">
        <f>IF(D982="","",VLOOKUP(D982,'General Basis'!$J$39:$K$46,2,0))</f>
        <v/>
      </c>
      <c r="BF982" s="744" t="str">
        <f>IF(D982="","",VLOOKUP(D982,'General Basis'!$J$39:$L$46,3,0))</f>
        <v/>
      </c>
      <c r="BG982" s="744" t="str">
        <f t="shared" si="363"/>
        <v/>
      </c>
      <c r="BH982" s="744" t="str">
        <f>IF(G982="","",IF(BF982="Abu Dhabi",IF(G982&lt;18,'General Basis'!$C$39,IF(G982&lt;41,'General Basis'!$C$40,IF(G982&lt;60,'General Basis'!$C$41,IF(G982&lt;65,'General Basis'!$C$42,'General Basis'!$C$43)))),IF(G982&lt;11,'General Basis'!$B$39,IF(G982&lt;18,'General Basis'!$B$40,IF(G982&lt;26,'General Basis'!$B$41,IF(G982&lt;31,'General Basis'!$B$42,IF(G982&lt;36,'General Basis'!$B$43,IF(G982&lt;41,'General Basis'!$B$44,IF(G982&lt;46,'General Basis'!$B$45,IF(G982&lt;51,'General Basis'!$B$46,IF(G982&lt;56,'General Basis'!$B$47,IF(G982&lt;60,'General Basis'!$B$48,IF(G982&lt;65,'General Basis'!$B$49,'General Basis'!$B$50)))))))))))))</f>
        <v/>
      </c>
      <c r="BI982" s="744" t="str">
        <f t="shared" si="357"/>
        <v/>
      </c>
      <c r="BJ982" s="747" t="str">
        <f t="shared" si="364"/>
        <v/>
      </c>
      <c r="BK982" s="498" t="str">
        <f t="shared" si="358"/>
        <v/>
      </c>
      <c r="BL982" s="498" t="str">
        <f t="shared" si="359"/>
        <v/>
      </c>
    </row>
    <row r="983" spans="1:64" x14ac:dyDescent="0.25">
      <c r="A983" s="762">
        <f t="shared" si="360"/>
        <v>978</v>
      </c>
      <c r="B983" s="229"/>
      <c r="C983" s="223"/>
      <c r="D983" s="224"/>
      <c r="E983" s="225"/>
      <c r="F983" s="1036" t="str">
        <f t="shared" si="366"/>
        <v/>
      </c>
      <c r="G983" s="1037" t="str">
        <f t="shared" si="361"/>
        <v/>
      </c>
      <c r="H983" s="225"/>
      <c r="I983" s="1013"/>
      <c r="J983" s="1013"/>
      <c r="K983" s="1028"/>
      <c r="L983" s="1035" t="str">
        <f t="shared" si="365"/>
        <v/>
      </c>
      <c r="S983" s="498"/>
      <c r="AJ983" s="498"/>
      <c r="AM983" s="498">
        <f t="shared" si="346"/>
        <v>0</v>
      </c>
      <c r="AN983" s="498">
        <f t="shared" si="347"/>
        <v>0</v>
      </c>
      <c r="AO983" s="498">
        <f t="shared" si="348"/>
        <v>0</v>
      </c>
      <c r="AP983" s="498">
        <f t="shared" si="367"/>
        <v>0</v>
      </c>
      <c r="AQ983" s="498">
        <f t="shared" si="362"/>
        <v>0</v>
      </c>
      <c r="AU983" s="498">
        <f t="shared" si="349"/>
        <v>0</v>
      </c>
      <c r="AV983" s="498">
        <f t="shared" si="350"/>
        <v>0</v>
      </c>
      <c r="AW983" s="498">
        <f t="shared" si="351"/>
        <v>0</v>
      </c>
      <c r="AX983" s="498">
        <f t="shared" si="352"/>
        <v>0</v>
      </c>
      <c r="AY983" s="498">
        <f t="shared" si="353"/>
        <v>0</v>
      </c>
      <c r="BB983" s="498" t="str">
        <f t="shared" si="354"/>
        <v/>
      </c>
      <c r="BC983" s="743" t="str">
        <f t="shared" si="355"/>
        <v/>
      </c>
      <c r="BD983" s="743" t="str">
        <f t="shared" si="356"/>
        <v/>
      </c>
      <c r="BE983" s="743" t="str">
        <f>IF(D983="","",VLOOKUP(D983,'General Basis'!$J$39:$K$46,2,0))</f>
        <v/>
      </c>
      <c r="BF983" s="744" t="str">
        <f>IF(D983="","",VLOOKUP(D983,'General Basis'!$J$39:$L$46,3,0))</f>
        <v/>
      </c>
      <c r="BG983" s="744" t="str">
        <f t="shared" si="363"/>
        <v/>
      </c>
      <c r="BH983" s="744" t="str">
        <f>IF(G983="","",IF(BF983="Abu Dhabi",IF(G983&lt;18,'General Basis'!$C$39,IF(G983&lt;41,'General Basis'!$C$40,IF(G983&lt;60,'General Basis'!$C$41,IF(G983&lt;65,'General Basis'!$C$42,'General Basis'!$C$43)))),IF(G983&lt;11,'General Basis'!$B$39,IF(G983&lt;18,'General Basis'!$B$40,IF(G983&lt;26,'General Basis'!$B$41,IF(G983&lt;31,'General Basis'!$B$42,IF(G983&lt;36,'General Basis'!$B$43,IF(G983&lt;41,'General Basis'!$B$44,IF(G983&lt;46,'General Basis'!$B$45,IF(G983&lt;51,'General Basis'!$B$46,IF(G983&lt;56,'General Basis'!$B$47,IF(G983&lt;60,'General Basis'!$B$48,IF(G983&lt;65,'General Basis'!$B$49,'General Basis'!$B$50)))))))))))))</f>
        <v/>
      </c>
      <c r="BI983" s="744" t="str">
        <f t="shared" si="357"/>
        <v/>
      </c>
      <c r="BJ983" s="747" t="str">
        <f t="shared" si="364"/>
        <v/>
      </c>
      <c r="BK983" s="498" t="str">
        <f t="shared" si="358"/>
        <v/>
      </c>
      <c r="BL983" s="498" t="str">
        <f t="shared" si="359"/>
        <v/>
      </c>
    </row>
    <row r="984" spans="1:64" x14ac:dyDescent="0.25">
      <c r="A984" s="762">
        <f t="shared" si="360"/>
        <v>979</v>
      </c>
      <c r="B984" s="229"/>
      <c r="C984" s="223"/>
      <c r="D984" s="224"/>
      <c r="E984" s="225"/>
      <c r="F984" s="1036" t="str">
        <f t="shared" si="366"/>
        <v/>
      </c>
      <c r="G984" s="1037" t="str">
        <f t="shared" si="361"/>
        <v/>
      </c>
      <c r="H984" s="225"/>
      <c r="I984" s="1013"/>
      <c r="J984" s="1013"/>
      <c r="K984" s="1028"/>
      <c r="L984" s="1035" t="str">
        <f t="shared" si="365"/>
        <v/>
      </c>
      <c r="S984" s="498"/>
      <c r="AJ984" s="498"/>
      <c r="AM984" s="498">
        <f t="shared" si="346"/>
        <v>0</v>
      </c>
      <c r="AN984" s="498">
        <f t="shared" si="347"/>
        <v>0</v>
      </c>
      <c r="AO984" s="498">
        <f t="shared" si="348"/>
        <v>0</v>
      </c>
      <c r="AP984" s="498">
        <f t="shared" si="367"/>
        <v>0</v>
      </c>
      <c r="AQ984" s="498">
        <f t="shared" si="362"/>
        <v>0</v>
      </c>
      <c r="AU984" s="498">
        <f t="shared" si="349"/>
        <v>0</v>
      </c>
      <c r="AV984" s="498">
        <f t="shared" si="350"/>
        <v>0</v>
      </c>
      <c r="AW984" s="498">
        <f t="shared" si="351"/>
        <v>0</v>
      </c>
      <c r="AX984" s="498">
        <f t="shared" si="352"/>
        <v>0</v>
      </c>
      <c r="AY984" s="498">
        <f t="shared" si="353"/>
        <v>0</v>
      </c>
      <c r="BB984" s="498" t="str">
        <f t="shared" si="354"/>
        <v/>
      </c>
      <c r="BC984" s="743" t="str">
        <f t="shared" si="355"/>
        <v/>
      </c>
      <c r="BD984" s="743" t="str">
        <f t="shared" si="356"/>
        <v/>
      </c>
      <c r="BE984" s="743" t="str">
        <f>IF(D984="","",VLOOKUP(D984,'General Basis'!$J$39:$K$46,2,0))</f>
        <v/>
      </c>
      <c r="BF984" s="744" t="str">
        <f>IF(D984="","",VLOOKUP(D984,'General Basis'!$J$39:$L$46,3,0))</f>
        <v/>
      </c>
      <c r="BG984" s="744" t="str">
        <f t="shared" si="363"/>
        <v/>
      </c>
      <c r="BH984" s="744" t="str">
        <f>IF(G984="","",IF(BF984="Abu Dhabi",IF(G984&lt;18,'General Basis'!$C$39,IF(G984&lt;41,'General Basis'!$C$40,IF(G984&lt;60,'General Basis'!$C$41,IF(G984&lt;65,'General Basis'!$C$42,'General Basis'!$C$43)))),IF(G984&lt;11,'General Basis'!$B$39,IF(G984&lt;18,'General Basis'!$B$40,IF(G984&lt;26,'General Basis'!$B$41,IF(G984&lt;31,'General Basis'!$B$42,IF(G984&lt;36,'General Basis'!$B$43,IF(G984&lt;41,'General Basis'!$B$44,IF(G984&lt;46,'General Basis'!$B$45,IF(G984&lt;51,'General Basis'!$B$46,IF(G984&lt;56,'General Basis'!$B$47,IF(G984&lt;60,'General Basis'!$B$48,IF(G984&lt;65,'General Basis'!$B$49,'General Basis'!$B$50)))))))))))))</f>
        <v/>
      </c>
      <c r="BI984" s="744" t="str">
        <f t="shared" si="357"/>
        <v/>
      </c>
      <c r="BJ984" s="747" t="str">
        <f t="shared" si="364"/>
        <v/>
      </c>
      <c r="BK984" s="498" t="str">
        <f t="shared" si="358"/>
        <v/>
      </c>
      <c r="BL984" s="498" t="str">
        <f t="shared" si="359"/>
        <v/>
      </c>
    </row>
    <row r="985" spans="1:64" x14ac:dyDescent="0.25">
      <c r="A985" s="762">
        <f t="shared" si="360"/>
        <v>980</v>
      </c>
      <c r="B985" s="229"/>
      <c r="C985" s="223"/>
      <c r="D985" s="224"/>
      <c r="E985" s="225"/>
      <c r="F985" s="1036" t="str">
        <f t="shared" si="366"/>
        <v/>
      </c>
      <c r="G985" s="1037" t="str">
        <f t="shared" si="361"/>
        <v/>
      </c>
      <c r="H985" s="225"/>
      <c r="I985" s="1013"/>
      <c r="J985" s="1013"/>
      <c r="K985" s="1028"/>
      <c r="L985" s="1035" t="str">
        <f t="shared" si="365"/>
        <v/>
      </c>
      <c r="S985" s="498"/>
      <c r="AJ985" s="498"/>
      <c r="AM985" s="498">
        <f t="shared" si="346"/>
        <v>0</v>
      </c>
      <c r="AN985" s="498">
        <f t="shared" si="347"/>
        <v>0</v>
      </c>
      <c r="AO985" s="498">
        <f t="shared" si="348"/>
        <v>0</v>
      </c>
      <c r="AP985" s="498">
        <f t="shared" si="367"/>
        <v>0</v>
      </c>
      <c r="AQ985" s="498">
        <f t="shared" si="362"/>
        <v>0</v>
      </c>
      <c r="AU985" s="498">
        <f t="shared" si="349"/>
        <v>0</v>
      </c>
      <c r="AV985" s="498">
        <f t="shared" si="350"/>
        <v>0</v>
      </c>
      <c r="AW985" s="498">
        <f t="shared" si="351"/>
        <v>0</v>
      </c>
      <c r="AX985" s="498">
        <f t="shared" si="352"/>
        <v>0</v>
      </c>
      <c r="AY985" s="498">
        <f t="shared" si="353"/>
        <v>0</v>
      </c>
      <c r="BB985" s="498" t="str">
        <f t="shared" si="354"/>
        <v/>
      </c>
      <c r="BC985" s="743" t="str">
        <f t="shared" si="355"/>
        <v/>
      </c>
      <c r="BD985" s="743" t="str">
        <f t="shared" si="356"/>
        <v/>
      </c>
      <c r="BE985" s="743" t="str">
        <f>IF(D985="","",VLOOKUP(D985,'General Basis'!$J$39:$K$46,2,0))</f>
        <v/>
      </c>
      <c r="BF985" s="744" t="str">
        <f>IF(D985="","",VLOOKUP(D985,'General Basis'!$J$39:$L$46,3,0))</f>
        <v/>
      </c>
      <c r="BG985" s="744" t="str">
        <f t="shared" si="363"/>
        <v/>
      </c>
      <c r="BH985" s="744" t="str">
        <f>IF(G985="","",IF(BF985="Abu Dhabi",IF(G985&lt;18,'General Basis'!$C$39,IF(G985&lt;41,'General Basis'!$C$40,IF(G985&lt;60,'General Basis'!$C$41,IF(G985&lt;65,'General Basis'!$C$42,'General Basis'!$C$43)))),IF(G985&lt;11,'General Basis'!$B$39,IF(G985&lt;18,'General Basis'!$B$40,IF(G985&lt;26,'General Basis'!$B$41,IF(G985&lt;31,'General Basis'!$B$42,IF(G985&lt;36,'General Basis'!$B$43,IF(G985&lt;41,'General Basis'!$B$44,IF(G985&lt;46,'General Basis'!$B$45,IF(G985&lt;51,'General Basis'!$B$46,IF(G985&lt;56,'General Basis'!$B$47,IF(G985&lt;60,'General Basis'!$B$48,IF(G985&lt;65,'General Basis'!$B$49,'General Basis'!$B$50)))))))))))))</f>
        <v/>
      </c>
      <c r="BI985" s="744" t="str">
        <f t="shared" si="357"/>
        <v/>
      </c>
      <c r="BJ985" s="747" t="str">
        <f t="shared" si="364"/>
        <v/>
      </c>
      <c r="BK985" s="498" t="str">
        <f t="shared" si="358"/>
        <v/>
      </c>
      <c r="BL985" s="498" t="str">
        <f t="shared" si="359"/>
        <v/>
      </c>
    </row>
    <row r="986" spans="1:64" x14ac:dyDescent="0.25">
      <c r="A986" s="762">
        <f t="shared" si="360"/>
        <v>981</v>
      </c>
      <c r="B986" s="229"/>
      <c r="C986" s="223"/>
      <c r="D986" s="224"/>
      <c r="E986" s="225"/>
      <c r="F986" s="1036" t="str">
        <f t="shared" si="366"/>
        <v/>
      </c>
      <c r="G986" s="1037" t="str">
        <f t="shared" si="361"/>
        <v/>
      </c>
      <c r="H986" s="225"/>
      <c r="I986" s="1013"/>
      <c r="J986" s="1013"/>
      <c r="K986" s="1028"/>
      <c r="L986" s="1035" t="str">
        <f t="shared" si="365"/>
        <v/>
      </c>
      <c r="S986" s="498"/>
      <c r="AJ986" s="498"/>
      <c r="AM986" s="498">
        <f t="shared" si="346"/>
        <v>0</v>
      </c>
      <c r="AN986" s="498">
        <f t="shared" si="347"/>
        <v>0</v>
      </c>
      <c r="AO986" s="498">
        <f t="shared" si="348"/>
        <v>0</v>
      </c>
      <c r="AP986" s="498">
        <f t="shared" si="367"/>
        <v>0</v>
      </c>
      <c r="AQ986" s="498">
        <f t="shared" si="362"/>
        <v>0</v>
      </c>
      <c r="AU986" s="498">
        <f t="shared" si="349"/>
        <v>0</v>
      </c>
      <c r="AV986" s="498">
        <f t="shared" si="350"/>
        <v>0</v>
      </c>
      <c r="AW986" s="498">
        <f t="shared" si="351"/>
        <v>0</v>
      </c>
      <c r="AX986" s="498">
        <f t="shared" si="352"/>
        <v>0</v>
      </c>
      <c r="AY986" s="498">
        <f t="shared" si="353"/>
        <v>0</v>
      </c>
      <c r="BB986" s="498" t="str">
        <f t="shared" si="354"/>
        <v/>
      </c>
      <c r="BC986" s="743" t="str">
        <f t="shared" si="355"/>
        <v/>
      </c>
      <c r="BD986" s="743" t="str">
        <f t="shared" si="356"/>
        <v/>
      </c>
      <c r="BE986" s="743" t="str">
        <f>IF(D986="","",VLOOKUP(D986,'General Basis'!$J$39:$K$46,2,0))</f>
        <v/>
      </c>
      <c r="BF986" s="744" t="str">
        <f>IF(D986="","",VLOOKUP(D986,'General Basis'!$J$39:$L$46,3,0))</f>
        <v/>
      </c>
      <c r="BG986" s="744" t="str">
        <f t="shared" si="363"/>
        <v/>
      </c>
      <c r="BH986" s="744" t="str">
        <f>IF(G986="","",IF(BF986="Abu Dhabi",IF(G986&lt;18,'General Basis'!$C$39,IF(G986&lt;41,'General Basis'!$C$40,IF(G986&lt;60,'General Basis'!$C$41,IF(G986&lt;65,'General Basis'!$C$42,'General Basis'!$C$43)))),IF(G986&lt;11,'General Basis'!$B$39,IF(G986&lt;18,'General Basis'!$B$40,IF(G986&lt;26,'General Basis'!$B$41,IF(G986&lt;31,'General Basis'!$B$42,IF(G986&lt;36,'General Basis'!$B$43,IF(G986&lt;41,'General Basis'!$B$44,IF(G986&lt;46,'General Basis'!$B$45,IF(G986&lt;51,'General Basis'!$B$46,IF(G986&lt;56,'General Basis'!$B$47,IF(G986&lt;60,'General Basis'!$B$48,IF(G986&lt;65,'General Basis'!$B$49,'General Basis'!$B$50)))))))))))))</f>
        <v/>
      </c>
      <c r="BI986" s="744" t="str">
        <f t="shared" si="357"/>
        <v/>
      </c>
      <c r="BJ986" s="747" t="str">
        <f t="shared" si="364"/>
        <v/>
      </c>
      <c r="BK986" s="498" t="str">
        <f t="shared" si="358"/>
        <v/>
      </c>
      <c r="BL986" s="498" t="str">
        <f t="shared" si="359"/>
        <v/>
      </c>
    </row>
    <row r="987" spans="1:64" x14ac:dyDescent="0.25">
      <c r="A987" s="762">
        <f t="shared" si="360"/>
        <v>982</v>
      </c>
      <c r="B987" s="229"/>
      <c r="C987" s="223"/>
      <c r="D987" s="224"/>
      <c r="E987" s="225"/>
      <c r="F987" s="1036" t="str">
        <f t="shared" si="366"/>
        <v/>
      </c>
      <c r="G987" s="1037" t="str">
        <f t="shared" si="361"/>
        <v/>
      </c>
      <c r="H987" s="225"/>
      <c r="I987" s="1013"/>
      <c r="J987" s="1013"/>
      <c r="K987" s="1028"/>
      <c r="L987" s="1035" t="str">
        <f t="shared" si="365"/>
        <v/>
      </c>
      <c r="S987" s="498"/>
      <c r="AJ987" s="498"/>
      <c r="AM987" s="498">
        <f t="shared" si="346"/>
        <v>0</v>
      </c>
      <c r="AN987" s="498">
        <f t="shared" si="347"/>
        <v>0</v>
      </c>
      <c r="AO987" s="498">
        <f t="shared" si="348"/>
        <v>0</v>
      </c>
      <c r="AP987" s="498">
        <f t="shared" si="367"/>
        <v>0</v>
      </c>
      <c r="AQ987" s="498">
        <f t="shared" si="362"/>
        <v>0</v>
      </c>
      <c r="AU987" s="498">
        <f t="shared" si="349"/>
        <v>0</v>
      </c>
      <c r="AV987" s="498">
        <f t="shared" si="350"/>
        <v>0</v>
      </c>
      <c r="AW987" s="498">
        <f t="shared" si="351"/>
        <v>0</v>
      </c>
      <c r="AX987" s="498">
        <f t="shared" si="352"/>
        <v>0</v>
      </c>
      <c r="AY987" s="498">
        <f t="shared" si="353"/>
        <v>0</v>
      </c>
      <c r="BB987" s="498" t="str">
        <f t="shared" si="354"/>
        <v/>
      </c>
      <c r="BC987" s="743" t="str">
        <f t="shared" si="355"/>
        <v/>
      </c>
      <c r="BD987" s="743" t="str">
        <f t="shared" si="356"/>
        <v/>
      </c>
      <c r="BE987" s="743" t="str">
        <f>IF(D987="","",VLOOKUP(D987,'General Basis'!$J$39:$K$46,2,0))</f>
        <v/>
      </c>
      <c r="BF987" s="744" t="str">
        <f>IF(D987="","",VLOOKUP(D987,'General Basis'!$J$39:$L$46,3,0))</f>
        <v/>
      </c>
      <c r="BG987" s="744" t="str">
        <f t="shared" si="363"/>
        <v/>
      </c>
      <c r="BH987" s="744" t="str">
        <f>IF(G987="","",IF(BF987="Abu Dhabi",IF(G987&lt;18,'General Basis'!$C$39,IF(G987&lt;41,'General Basis'!$C$40,IF(G987&lt;60,'General Basis'!$C$41,IF(G987&lt;65,'General Basis'!$C$42,'General Basis'!$C$43)))),IF(G987&lt;11,'General Basis'!$B$39,IF(G987&lt;18,'General Basis'!$B$40,IF(G987&lt;26,'General Basis'!$B$41,IF(G987&lt;31,'General Basis'!$B$42,IF(G987&lt;36,'General Basis'!$B$43,IF(G987&lt;41,'General Basis'!$B$44,IF(G987&lt;46,'General Basis'!$B$45,IF(G987&lt;51,'General Basis'!$B$46,IF(G987&lt;56,'General Basis'!$B$47,IF(G987&lt;60,'General Basis'!$B$48,IF(G987&lt;65,'General Basis'!$B$49,'General Basis'!$B$50)))))))))))))</f>
        <v/>
      </c>
      <c r="BI987" s="744" t="str">
        <f t="shared" si="357"/>
        <v/>
      </c>
      <c r="BJ987" s="747" t="str">
        <f t="shared" si="364"/>
        <v/>
      </c>
      <c r="BK987" s="498" t="str">
        <f t="shared" si="358"/>
        <v/>
      </c>
      <c r="BL987" s="498" t="str">
        <f t="shared" si="359"/>
        <v/>
      </c>
    </row>
    <row r="988" spans="1:64" x14ac:dyDescent="0.25">
      <c r="A988" s="762">
        <f t="shared" si="360"/>
        <v>983</v>
      </c>
      <c r="B988" s="229"/>
      <c r="C988" s="223"/>
      <c r="D988" s="224"/>
      <c r="E988" s="225"/>
      <c r="F988" s="1036" t="str">
        <f t="shared" si="366"/>
        <v/>
      </c>
      <c r="G988" s="1037" t="str">
        <f t="shared" si="361"/>
        <v/>
      </c>
      <c r="H988" s="225"/>
      <c r="I988" s="1013"/>
      <c r="J988" s="1013"/>
      <c r="K988" s="1028"/>
      <c r="L988" s="1035" t="str">
        <f t="shared" si="365"/>
        <v/>
      </c>
      <c r="S988" s="498"/>
      <c r="AJ988" s="498"/>
      <c r="AM988" s="498">
        <f t="shared" si="346"/>
        <v>0</v>
      </c>
      <c r="AN988" s="498">
        <f t="shared" si="347"/>
        <v>0</v>
      </c>
      <c r="AO988" s="498">
        <f t="shared" si="348"/>
        <v>0</v>
      </c>
      <c r="AP988" s="498">
        <f t="shared" si="367"/>
        <v>0</v>
      </c>
      <c r="AQ988" s="498">
        <f t="shared" si="362"/>
        <v>0</v>
      </c>
      <c r="AU988" s="498">
        <f t="shared" si="349"/>
        <v>0</v>
      </c>
      <c r="AV988" s="498">
        <f t="shared" si="350"/>
        <v>0</v>
      </c>
      <c r="AW988" s="498">
        <f t="shared" si="351"/>
        <v>0</v>
      </c>
      <c r="AX988" s="498">
        <f t="shared" si="352"/>
        <v>0</v>
      </c>
      <c r="AY988" s="498">
        <f t="shared" si="353"/>
        <v>0</v>
      </c>
      <c r="BB988" s="498" t="str">
        <f t="shared" si="354"/>
        <v/>
      </c>
      <c r="BC988" s="743" t="str">
        <f t="shared" si="355"/>
        <v/>
      </c>
      <c r="BD988" s="743" t="str">
        <f t="shared" si="356"/>
        <v/>
      </c>
      <c r="BE988" s="743" t="str">
        <f>IF(D988="","",VLOOKUP(D988,'General Basis'!$J$39:$K$46,2,0))</f>
        <v/>
      </c>
      <c r="BF988" s="744" t="str">
        <f>IF(D988="","",VLOOKUP(D988,'General Basis'!$J$39:$L$46,3,0))</f>
        <v/>
      </c>
      <c r="BG988" s="744" t="str">
        <f t="shared" si="363"/>
        <v/>
      </c>
      <c r="BH988" s="744" t="str">
        <f>IF(G988="","",IF(BF988="Abu Dhabi",IF(G988&lt;18,'General Basis'!$C$39,IF(G988&lt;41,'General Basis'!$C$40,IF(G988&lt;60,'General Basis'!$C$41,IF(G988&lt;65,'General Basis'!$C$42,'General Basis'!$C$43)))),IF(G988&lt;11,'General Basis'!$B$39,IF(G988&lt;18,'General Basis'!$B$40,IF(G988&lt;26,'General Basis'!$B$41,IF(G988&lt;31,'General Basis'!$B$42,IF(G988&lt;36,'General Basis'!$B$43,IF(G988&lt;41,'General Basis'!$B$44,IF(G988&lt;46,'General Basis'!$B$45,IF(G988&lt;51,'General Basis'!$B$46,IF(G988&lt;56,'General Basis'!$B$47,IF(G988&lt;60,'General Basis'!$B$48,IF(G988&lt;65,'General Basis'!$B$49,'General Basis'!$B$50)))))))))))))</f>
        <v/>
      </c>
      <c r="BI988" s="744" t="str">
        <f t="shared" si="357"/>
        <v/>
      </c>
      <c r="BJ988" s="747" t="str">
        <f t="shared" si="364"/>
        <v/>
      </c>
      <c r="BK988" s="498" t="str">
        <f t="shared" si="358"/>
        <v/>
      </c>
      <c r="BL988" s="498" t="str">
        <f t="shared" si="359"/>
        <v/>
      </c>
    </row>
    <row r="989" spans="1:64" x14ac:dyDescent="0.25">
      <c r="A989" s="762">
        <f t="shared" si="360"/>
        <v>984</v>
      </c>
      <c r="B989" s="229"/>
      <c r="C989" s="223"/>
      <c r="D989" s="224"/>
      <c r="E989" s="225"/>
      <c r="F989" s="1036" t="str">
        <f t="shared" si="366"/>
        <v/>
      </c>
      <c r="G989" s="1037" t="str">
        <f t="shared" si="361"/>
        <v/>
      </c>
      <c r="H989" s="225"/>
      <c r="I989" s="1013"/>
      <c r="J989" s="1013"/>
      <c r="K989" s="1028"/>
      <c r="L989" s="1035" t="str">
        <f t="shared" si="365"/>
        <v/>
      </c>
      <c r="S989" s="498"/>
      <c r="AJ989" s="498"/>
      <c r="AM989" s="498">
        <f t="shared" si="346"/>
        <v>0</v>
      </c>
      <c r="AN989" s="498">
        <f t="shared" si="347"/>
        <v>0</v>
      </c>
      <c r="AO989" s="498">
        <f t="shared" si="348"/>
        <v>0</v>
      </c>
      <c r="AP989" s="498">
        <f t="shared" si="367"/>
        <v>0</v>
      </c>
      <c r="AQ989" s="498">
        <f t="shared" si="362"/>
        <v>0</v>
      </c>
      <c r="AU989" s="498">
        <f t="shared" si="349"/>
        <v>0</v>
      </c>
      <c r="AV989" s="498">
        <f t="shared" si="350"/>
        <v>0</v>
      </c>
      <c r="AW989" s="498">
        <f t="shared" si="351"/>
        <v>0</v>
      </c>
      <c r="AX989" s="498">
        <f t="shared" si="352"/>
        <v>0</v>
      </c>
      <c r="AY989" s="498">
        <f t="shared" si="353"/>
        <v>0</v>
      </c>
      <c r="BB989" s="498" t="str">
        <f t="shared" si="354"/>
        <v/>
      </c>
      <c r="BC989" s="743" t="str">
        <f t="shared" si="355"/>
        <v/>
      </c>
      <c r="BD989" s="743" t="str">
        <f t="shared" si="356"/>
        <v/>
      </c>
      <c r="BE989" s="743" t="str">
        <f>IF(D989="","",VLOOKUP(D989,'General Basis'!$J$39:$K$46,2,0))</f>
        <v/>
      </c>
      <c r="BF989" s="744" t="str">
        <f>IF(D989="","",VLOOKUP(D989,'General Basis'!$J$39:$L$46,3,0))</f>
        <v/>
      </c>
      <c r="BG989" s="744" t="str">
        <f t="shared" si="363"/>
        <v/>
      </c>
      <c r="BH989" s="744" t="str">
        <f>IF(G989="","",IF(BF989="Abu Dhabi",IF(G989&lt;18,'General Basis'!$C$39,IF(G989&lt;41,'General Basis'!$C$40,IF(G989&lt;60,'General Basis'!$C$41,IF(G989&lt;65,'General Basis'!$C$42,'General Basis'!$C$43)))),IF(G989&lt;11,'General Basis'!$B$39,IF(G989&lt;18,'General Basis'!$B$40,IF(G989&lt;26,'General Basis'!$B$41,IF(G989&lt;31,'General Basis'!$B$42,IF(G989&lt;36,'General Basis'!$B$43,IF(G989&lt;41,'General Basis'!$B$44,IF(G989&lt;46,'General Basis'!$B$45,IF(G989&lt;51,'General Basis'!$B$46,IF(G989&lt;56,'General Basis'!$B$47,IF(G989&lt;60,'General Basis'!$B$48,IF(G989&lt;65,'General Basis'!$B$49,'General Basis'!$B$50)))))))))))))</f>
        <v/>
      </c>
      <c r="BI989" s="744" t="str">
        <f t="shared" si="357"/>
        <v/>
      </c>
      <c r="BJ989" s="747" t="str">
        <f t="shared" si="364"/>
        <v/>
      </c>
      <c r="BK989" s="498" t="str">
        <f t="shared" si="358"/>
        <v/>
      </c>
      <c r="BL989" s="498" t="str">
        <f t="shared" si="359"/>
        <v/>
      </c>
    </row>
    <row r="990" spans="1:64" x14ac:dyDescent="0.25">
      <c r="A990" s="762">
        <f t="shared" si="360"/>
        <v>985</v>
      </c>
      <c r="B990" s="229"/>
      <c r="C990" s="223"/>
      <c r="D990" s="224"/>
      <c r="E990" s="225"/>
      <c r="F990" s="1036" t="str">
        <f t="shared" si="366"/>
        <v/>
      </c>
      <c r="G990" s="1037" t="str">
        <f t="shared" si="361"/>
        <v/>
      </c>
      <c r="H990" s="225"/>
      <c r="I990" s="1013"/>
      <c r="J990" s="1013"/>
      <c r="K990" s="1028"/>
      <c r="L990" s="1035" t="str">
        <f t="shared" si="365"/>
        <v/>
      </c>
      <c r="S990" s="498"/>
      <c r="AJ990" s="498"/>
      <c r="AM990" s="498">
        <f t="shared" si="346"/>
        <v>0</v>
      </c>
      <c r="AN990" s="498">
        <f t="shared" si="347"/>
        <v>0</v>
      </c>
      <c r="AO990" s="498">
        <f t="shared" si="348"/>
        <v>0</v>
      </c>
      <c r="AP990" s="498">
        <f t="shared" si="367"/>
        <v>0</v>
      </c>
      <c r="AQ990" s="498">
        <f t="shared" si="362"/>
        <v>0</v>
      </c>
      <c r="AU990" s="498">
        <f t="shared" si="349"/>
        <v>0</v>
      </c>
      <c r="AV990" s="498">
        <f t="shared" si="350"/>
        <v>0</v>
      </c>
      <c r="AW990" s="498">
        <f t="shared" si="351"/>
        <v>0</v>
      </c>
      <c r="AX990" s="498">
        <f t="shared" si="352"/>
        <v>0</v>
      </c>
      <c r="AY990" s="498">
        <f t="shared" si="353"/>
        <v>0</v>
      </c>
      <c r="BB990" s="498" t="str">
        <f t="shared" si="354"/>
        <v/>
      </c>
      <c r="BC990" s="743" t="str">
        <f t="shared" si="355"/>
        <v/>
      </c>
      <c r="BD990" s="743" t="str">
        <f t="shared" si="356"/>
        <v/>
      </c>
      <c r="BE990" s="743" t="str">
        <f>IF(D990="","",VLOOKUP(D990,'General Basis'!$J$39:$K$46,2,0))</f>
        <v/>
      </c>
      <c r="BF990" s="744" t="str">
        <f>IF(D990="","",VLOOKUP(D990,'General Basis'!$J$39:$L$46,3,0))</f>
        <v/>
      </c>
      <c r="BG990" s="744" t="str">
        <f t="shared" si="363"/>
        <v/>
      </c>
      <c r="BH990" s="744" t="str">
        <f>IF(G990="","",IF(BF990="Abu Dhabi",IF(G990&lt;18,'General Basis'!$C$39,IF(G990&lt;41,'General Basis'!$C$40,IF(G990&lt;60,'General Basis'!$C$41,IF(G990&lt;65,'General Basis'!$C$42,'General Basis'!$C$43)))),IF(G990&lt;11,'General Basis'!$B$39,IF(G990&lt;18,'General Basis'!$B$40,IF(G990&lt;26,'General Basis'!$B$41,IF(G990&lt;31,'General Basis'!$B$42,IF(G990&lt;36,'General Basis'!$B$43,IF(G990&lt;41,'General Basis'!$B$44,IF(G990&lt;46,'General Basis'!$B$45,IF(G990&lt;51,'General Basis'!$B$46,IF(G990&lt;56,'General Basis'!$B$47,IF(G990&lt;60,'General Basis'!$B$48,IF(G990&lt;65,'General Basis'!$B$49,'General Basis'!$B$50)))))))))))))</f>
        <v/>
      </c>
      <c r="BI990" s="744" t="str">
        <f t="shared" si="357"/>
        <v/>
      </c>
      <c r="BJ990" s="747" t="str">
        <f t="shared" si="364"/>
        <v/>
      </c>
      <c r="BK990" s="498" t="str">
        <f t="shared" si="358"/>
        <v/>
      </c>
      <c r="BL990" s="498" t="str">
        <f t="shared" si="359"/>
        <v/>
      </c>
    </row>
    <row r="991" spans="1:64" x14ac:dyDescent="0.25">
      <c r="A991" s="762">
        <f t="shared" si="360"/>
        <v>986</v>
      </c>
      <c r="B991" s="229"/>
      <c r="C991" s="223"/>
      <c r="D991" s="224"/>
      <c r="E991" s="225"/>
      <c r="F991" s="1036" t="str">
        <f t="shared" si="366"/>
        <v/>
      </c>
      <c r="G991" s="1037" t="str">
        <f t="shared" si="361"/>
        <v/>
      </c>
      <c r="H991" s="225"/>
      <c r="I991" s="1013"/>
      <c r="J991" s="1013"/>
      <c r="K991" s="1028"/>
      <c r="L991" s="1035" t="str">
        <f t="shared" si="365"/>
        <v/>
      </c>
      <c r="S991" s="498"/>
      <c r="AJ991" s="498"/>
      <c r="AM991" s="498">
        <f t="shared" si="346"/>
        <v>0</v>
      </c>
      <c r="AN991" s="498">
        <f t="shared" si="347"/>
        <v>0</v>
      </c>
      <c r="AO991" s="498">
        <f t="shared" si="348"/>
        <v>0</v>
      </c>
      <c r="AP991" s="498">
        <f t="shared" si="367"/>
        <v>0</v>
      </c>
      <c r="AQ991" s="498">
        <f t="shared" si="362"/>
        <v>0</v>
      </c>
      <c r="AU991" s="498">
        <f t="shared" si="349"/>
        <v>0</v>
      </c>
      <c r="AV991" s="498">
        <f t="shared" si="350"/>
        <v>0</v>
      </c>
      <c r="AW991" s="498">
        <f t="shared" si="351"/>
        <v>0</v>
      </c>
      <c r="AX991" s="498">
        <f t="shared" si="352"/>
        <v>0</v>
      </c>
      <c r="AY991" s="498">
        <f t="shared" si="353"/>
        <v>0</v>
      </c>
      <c r="BB991" s="498" t="str">
        <f t="shared" si="354"/>
        <v/>
      </c>
      <c r="BC991" s="743" t="str">
        <f t="shared" si="355"/>
        <v/>
      </c>
      <c r="BD991" s="743" t="str">
        <f t="shared" si="356"/>
        <v/>
      </c>
      <c r="BE991" s="743" t="str">
        <f>IF(D991="","",VLOOKUP(D991,'General Basis'!$J$39:$K$46,2,0))</f>
        <v/>
      </c>
      <c r="BF991" s="744" t="str">
        <f>IF(D991="","",VLOOKUP(D991,'General Basis'!$J$39:$L$46,3,0))</f>
        <v/>
      </c>
      <c r="BG991" s="744" t="str">
        <f t="shared" si="363"/>
        <v/>
      </c>
      <c r="BH991" s="744" t="str">
        <f>IF(G991="","",IF(BF991="Abu Dhabi",IF(G991&lt;18,'General Basis'!$C$39,IF(G991&lt;41,'General Basis'!$C$40,IF(G991&lt;60,'General Basis'!$C$41,IF(G991&lt;65,'General Basis'!$C$42,'General Basis'!$C$43)))),IF(G991&lt;11,'General Basis'!$B$39,IF(G991&lt;18,'General Basis'!$B$40,IF(G991&lt;26,'General Basis'!$B$41,IF(G991&lt;31,'General Basis'!$B$42,IF(G991&lt;36,'General Basis'!$B$43,IF(G991&lt;41,'General Basis'!$B$44,IF(G991&lt;46,'General Basis'!$B$45,IF(G991&lt;51,'General Basis'!$B$46,IF(G991&lt;56,'General Basis'!$B$47,IF(G991&lt;60,'General Basis'!$B$48,IF(G991&lt;65,'General Basis'!$B$49,'General Basis'!$B$50)))))))))))))</f>
        <v/>
      </c>
      <c r="BI991" s="744" t="str">
        <f t="shared" si="357"/>
        <v/>
      </c>
      <c r="BJ991" s="747" t="str">
        <f t="shared" si="364"/>
        <v/>
      </c>
      <c r="BK991" s="498" t="str">
        <f t="shared" si="358"/>
        <v/>
      </c>
      <c r="BL991" s="498" t="str">
        <f t="shared" si="359"/>
        <v/>
      </c>
    </row>
    <row r="992" spans="1:64" x14ac:dyDescent="0.25">
      <c r="A992" s="762">
        <f t="shared" si="360"/>
        <v>987</v>
      </c>
      <c r="B992" s="229"/>
      <c r="C992" s="223"/>
      <c r="D992" s="224"/>
      <c r="E992" s="225"/>
      <c r="F992" s="1036" t="str">
        <f t="shared" si="366"/>
        <v/>
      </c>
      <c r="G992" s="1037" t="str">
        <f t="shared" si="361"/>
        <v/>
      </c>
      <c r="H992" s="225"/>
      <c r="I992" s="1013"/>
      <c r="J992" s="1013"/>
      <c r="K992" s="1028"/>
      <c r="L992" s="1035" t="str">
        <f t="shared" si="365"/>
        <v/>
      </c>
      <c r="S992" s="498"/>
      <c r="AJ992" s="498"/>
      <c r="AM992" s="498">
        <f t="shared" si="346"/>
        <v>0</v>
      </c>
      <c r="AN992" s="498">
        <f t="shared" si="347"/>
        <v>0</v>
      </c>
      <c r="AO992" s="498">
        <f t="shared" si="348"/>
        <v>0</v>
      </c>
      <c r="AP992" s="498">
        <f t="shared" si="367"/>
        <v>0</v>
      </c>
      <c r="AQ992" s="498">
        <f t="shared" si="362"/>
        <v>0</v>
      </c>
      <c r="AU992" s="498">
        <f t="shared" si="349"/>
        <v>0</v>
      </c>
      <c r="AV992" s="498">
        <f t="shared" si="350"/>
        <v>0</v>
      </c>
      <c r="AW992" s="498">
        <f t="shared" si="351"/>
        <v>0</v>
      </c>
      <c r="AX992" s="498">
        <f t="shared" si="352"/>
        <v>0</v>
      </c>
      <c r="AY992" s="498">
        <f t="shared" si="353"/>
        <v>0</v>
      </c>
      <c r="BB992" s="498" t="str">
        <f t="shared" si="354"/>
        <v/>
      </c>
      <c r="BC992" s="743" t="str">
        <f t="shared" si="355"/>
        <v/>
      </c>
      <c r="BD992" s="743" t="str">
        <f t="shared" si="356"/>
        <v/>
      </c>
      <c r="BE992" s="743" t="str">
        <f>IF(D992="","",VLOOKUP(D992,'General Basis'!$J$39:$K$46,2,0))</f>
        <v/>
      </c>
      <c r="BF992" s="744" t="str">
        <f>IF(D992="","",VLOOKUP(D992,'General Basis'!$J$39:$L$46,3,0))</f>
        <v/>
      </c>
      <c r="BG992" s="744" t="str">
        <f t="shared" si="363"/>
        <v/>
      </c>
      <c r="BH992" s="744" t="str">
        <f>IF(G992="","",IF(BF992="Abu Dhabi",IF(G992&lt;18,'General Basis'!$C$39,IF(G992&lt;41,'General Basis'!$C$40,IF(G992&lt;60,'General Basis'!$C$41,IF(G992&lt;65,'General Basis'!$C$42,'General Basis'!$C$43)))),IF(G992&lt;11,'General Basis'!$B$39,IF(G992&lt;18,'General Basis'!$B$40,IF(G992&lt;26,'General Basis'!$B$41,IF(G992&lt;31,'General Basis'!$B$42,IF(G992&lt;36,'General Basis'!$B$43,IF(G992&lt;41,'General Basis'!$B$44,IF(G992&lt;46,'General Basis'!$B$45,IF(G992&lt;51,'General Basis'!$B$46,IF(G992&lt;56,'General Basis'!$B$47,IF(G992&lt;60,'General Basis'!$B$48,IF(G992&lt;65,'General Basis'!$B$49,'General Basis'!$B$50)))))))))))))</f>
        <v/>
      </c>
      <c r="BI992" s="744" t="str">
        <f t="shared" si="357"/>
        <v/>
      </c>
      <c r="BJ992" s="747" t="str">
        <f t="shared" si="364"/>
        <v/>
      </c>
      <c r="BK992" s="498" t="str">
        <f t="shared" si="358"/>
        <v/>
      </c>
      <c r="BL992" s="498" t="str">
        <f t="shared" si="359"/>
        <v/>
      </c>
    </row>
    <row r="993" spans="1:64" x14ac:dyDescent="0.25">
      <c r="A993" s="762">
        <f t="shared" si="360"/>
        <v>988</v>
      </c>
      <c r="B993" s="229"/>
      <c r="C993" s="223"/>
      <c r="D993" s="224"/>
      <c r="E993" s="225"/>
      <c r="F993" s="1036" t="str">
        <f t="shared" si="366"/>
        <v/>
      </c>
      <c r="G993" s="1037" t="str">
        <f t="shared" si="361"/>
        <v/>
      </c>
      <c r="H993" s="225"/>
      <c r="I993" s="1013"/>
      <c r="J993" s="1013"/>
      <c r="K993" s="1028"/>
      <c r="L993" s="1035" t="str">
        <f t="shared" si="365"/>
        <v/>
      </c>
      <c r="S993" s="498"/>
      <c r="AJ993" s="498"/>
      <c r="AM993" s="498">
        <f t="shared" si="346"/>
        <v>0</v>
      </c>
      <c r="AN993" s="498">
        <f t="shared" si="347"/>
        <v>0</v>
      </c>
      <c r="AO993" s="498">
        <f t="shared" si="348"/>
        <v>0</v>
      </c>
      <c r="AP993" s="498">
        <f t="shared" si="367"/>
        <v>0</v>
      </c>
      <c r="AQ993" s="498">
        <f t="shared" si="362"/>
        <v>0</v>
      </c>
      <c r="AU993" s="498">
        <f t="shared" si="349"/>
        <v>0</v>
      </c>
      <c r="AV993" s="498">
        <f t="shared" si="350"/>
        <v>0</v>
      </c>
      <c r="AW993" s="498">
        <f t="shared" si="351"/>
        <v>0</v>
      </c>
      <c r="AX993" s="498">
        <f t="shared" si="352"/>
        <v>0</v>
      </c>
      <c r="AY993" s="498">
        <f t="shared" si="353"/>
        <v>0</v>
      </c>
      <c r="BB993" s="498" t="str">
        <f t="shared" si="354"/>
        <v/>
      </c>
      <c r="BC993" s="743" t="str">
        <f t="shared" si="355"/>
        <v/>
      </c>
      <c r="BD993" s="743" t="str">
        <f t="shared" si="356"/>
        <v/>
      </c>
      <c r="BE993" s="743" t="str">
        <f>IF(D993="","",VLOOKUP(D993,'General Basis'!$J$39:$K$46,2,0))</f>
        <v/>
      </c>
      <c r="BF993" s="744" t="str">
        <f>IF(D993="","",VLOOKUP(D993,'General Basis'!$J$39:$L$46,3,0))</f>
        <v/>
      </c>
      <c r="BG993" s="744" t="str">
        <f t="shared" si="363"/>
        <v/>
      </c>
      <c r="BH993" s="744" t="str">
        <f>IF(G993="","",IF(BF993="Abu Dhabi",IF(G993&lt;18,'General Basis'!$C$39,IF(G993&lt;41,'General Basis'!$C$40,IF(G993&lt;60,'General Basis'!$C$41,IF(G993&lt;65,'General Basis'!$C$42,'General Basis'!$C$43)))),IF(G993&lt;11,'General Basis'!$B$39,IF(G993&lt;18,'General Basis'!$B$40,IF(G993&lt;26,'General Basis'!$B$41,IF(G993&lt;31,'General Basis'!$B$42,IF(G993&lt;36,'General Basis'!$B$43,IF(G993&lt;41,'General Basis'!$B$44,IF(G993&lt;46,'General Basis'!$B$45,IF(G993&lt;51,'General Basis'!$B$46,IF(G993&lt;56,'General Basis'!$B$47,IF(G993&lt;60,'General Basis'!$B$48,IF(G993&lt;65,'General Basis'!$B$49,'General Basis'!$B$50)))))))))))))</f>
        <v/>
      </c>
      <c r="BI993" s="744" t="str">
        <f t="shared" si="357"/>
        <v/>
      </c>
      <c r="BJ993" s="747" t="str">
        <f t="shared" si="364"/>
        <v/>
      </c>
      <c r="BK993" s="498" t="str">
        <f t="shared" si="358"/>
        <v/>
      </c>
      <c r="BL993" s="498" t="str">
        <f t="shared" si="359"/>
        <v/>
      </c>
    </row>
    <row r="994" spans="1:64" x14ac:dyDescent="0.25">
      <c r="A994" s="762">
        <f t="shared" si="360"/>
        <v>989</v>
      </c>
      <c r="B994" s="229"/>
      <c r="C994" s="223"/>
      <c r="D994" s="224"/>
      <c r="E994" s="225"/>
      <c r="F994" s="1036" t="str">
        <f t="shared" si="366"/>
        <v/>
      </c>
      <c r="G994" s="1037" t="str">
        <f t="shared" si="361"/>
        <v/>
      </c>
      <c r="H994" s="225"/>
      <c r="I994" s="1013"/>
      <c r="J994" s="1013"/>
      <c r="K994" s="1028"/>
      <c r="L994" s="1035" t="str">
        <f t="shared" si="365"/>
        <v/>
      </c>
      <c r="S994" s="498"/>
      <c r="AJ994" s="498"/>
      <c r="AM994" s="498">
        <f t="shared" si="346"/>
        <v>0</v>
      </c>
      <c r="AN994" s="498">
        <f t="shared" si="347"/>
        <v>0</v>
      </c>
      <c r="AO994" s="498">
        <f t="shared" si="348"/>
        <v>0</v>
      </c>
      <c r="AP994" s="498">
        <f t="shared" si="367"/>
        <v>0</v>
      </c>
      <c r="AQ994" s="498">
        <f t="shared" si="362"/>
        <v>0</v>
      </c>
      <c r="AU994" s="498">
        <f t="shared" si="349"/>
        <v>0</v>
      </c>
      <c r="AV994" s="498">
        <f t="shared" si="350"/>
        <v>0</v>
      </c>
      <c r="AW994" s="498">
        <f t="shared" si="351"/>
        <v>0</v>
      </c>
      <c r="AX994" s="498">
        <f t="shared" si="352"/>
        <v>0</v>
      </c>
      <c r="AY994" s="498">
        <f t="shared" si="353"/>
        <v>0</v>
      </c>
      <c r="BB994" s="498" t="str">
        <f t="shared" si="354"/>
        <v/>
      </c>
      <c r="BC994" s="743" t="str">
        <f t="shared" si="355"/>
        <v/>
      </c>
      <c r="BD994" s="743" t="str">
        <f t="shared" si="356"/>
        <v/>
      </c>
      <c r="BE994" s="743" t="str">
        <f>IF(D994="","",VLOOKUP(D994,'General Basis'!$J$39:$K$46,2,0))</f>
        <v/>
      </c>
      <c r="BF994" s="744" t="str">
        <f>IF(D994="","",VLOOKUP(D994,'General Basis'!$J$39:$L$46,3,0))</f>
        <v/>
      </c>
      <c r="BG994" s="744" t="str">
        <f t="shared" si="363"/>
        <v/>
      </c>
      <c r="BH994" s="744" t="str">
        <f>IF(G994="","",IF(BF994="Abu Dhabi",IF(G994&lt;18,'General Basis'!$C$39,IF(G994&lt;41,'General Basis'!$C$40,IF(G994&lt;60,'General Basis'!$C$41,IF(G994&lt;65,'General Basis'!$C$42,'General Basis'!$C$43)))),IF(G994&lt;11,'General Basis'!$B$39,IF(G994&lt;18,'General Basis'!$B$40,IF(G994&lt;26,'General Basis'!$B$41,IF(G994&lt;31,'General Basis'!$B$42,IF(G994&lt;36,'General Basis'!$B$43,IF(G994&lt;41,'General Basis'!$B$44,IF(G994&lt;46,'General Basis'!$B$45,IF(G994&lt;51,'General Basis'!$B$46,IF(G994&lt;56,'General Basis'!$B$47,IF(G994&lt;60,'General Basis'!$B$48,IF(G994&lt;65,'General Basis'!$B$49,'General Basis'!$B$50)))))))))))))</f>
        <v/>
      </c>
      <c r="BI994" s="744" t="str">
        <f t="shared" si="357"/>
        <v/>
      </c>
      <c r="BJ994" s="747" t="str">
        <f t="shared" si="364"/>
        <v/>
      </c>
      <c r="BK994" s="498" t="str">
        <f t="shared" si="358"/>
        <v/>
      </c>
      <c r="BL994" s="498" t="str">
        <f t="shared" si="359"/>
        <v/>
      </c>
    </row>
    <row r="995" spans="1:64" x14ac:dyDescent="0.25">
      <c r="A995" s="762">
        <f t="shared" si="360"/>
        <v>990</v>
      </c>
      <c r="B995" s="229"/>
      <c r="C995" s="223"/>
      <c r="D995" s="224"/>
      <c r="E995" s="225"/>
      <c r="F995" s="1036" t="str">
        <f t="shared" si="366"/>
        <v/>
      </c>
      <c r="G995" s="1037" t="str">
        <f t="shared" si="361"/>
        <v/>
      </c>
      <c r="H995" s="225"/>
      <c r="I995" s="1013"/>
      <c r="J995" s="1013"/>
      <c r="K995" s="1028"/>
      <c r="L995" s="1035" t="str">
        <f t="shared" si="365"/>
        <v/>
      </c>
      <c r="S995" s="498"/>
      <c r="AJ995" s="498"/>
      <c r="AM995" s="498">
        <f t="shared" si="346"/>
        <v>0</v>
      </c>
      <c r="AN995" s="498">
        <f t="shared" si="347"/>
        <v>0</v>
      </c>
      <c r="AO995" s="498">
        <f t="shared" si="348"/>
        <v>0</v>
      </c>
      <c r="AP995" s="498">
        <f t="shared" si="367"/>
        <v>0</v>
      </c>
      <c r="AQ995" s="498">
        <f t="shared" si="362"/>
        <v>0</v>
      </c>
      <c r="AU995" s="498">
        <f t="shared" si="349"/>
        <v>0</v>
      </c>
      <c r="AV995" s="498">
        <f t="shared" si="350"/>
        <v>0</v>
      </c>
      <c r="AW995" s="498">
        <f t="shared" si="351"/>
        <v>0</v>
      </c>
      <c r="AX995" s="498">
        <f t="shared" si="352"/>
        <v>0</v>
      </c>
      <c r="AY995" s="498">
        <f t="shared" si="353"/>
        <v>0</v>
      </c>
      <c r="BB995" s="498" t="str">
        <f t="shared" si="354"/>
        <v/>
      </c>
      <c r="BC995" s="743" t="str">
        <f t="shared" si="355"/>
        <v/>
      </c>
      <c r="BD995" s="743" t="str">
        <f t="shared" si="356"/>
        <v/>
      </c>
      <c r="BE995" s="743" t="str">
        <f>IF(D995="","",VLOOKUP(D995,'General Basis'!$J$39:$K$46,2,0))</f>
        <v/>
      </c>
      <c r="BF995" s="744" t="str">
        <f>IF(D995="","",VLOOKUP(D995,'General Basis'!$J$39:$L$46,3,0))</f>
        <v/>
      </c>
      <c r="BG995" s="744" t="str">
        <f t="shared" si="363"/>
        <v/>
      </c>
      <c r="BH995" s="744" t="str">
        <f>IF(G995="","",IF(BF995="Abu Dhabi",IF(G995&lt;18,'General Basis'!$C$39,IF(G995&lt;41,'General Basis'!$C$40,IF(G995&lt;60,'General Basis'!$C$41,IF(G995&lt;65,'General Basis'!$C$42,'General Basis'!$C$43)))),IF(G995&lt;11,'General Basis'!$B$39,IF(G995&lt;18,'General Basis'!$B$40,IF(G995&lt;26,'General Basis'!$B$41,IF(G995&lt;31,'General Basis'!$B$42,IF(G995&lt;36,'General Basis'!$B$43,IF(G995&lt;41,'General Basis'!$B$44,IF(G995&lt;46,'General Basis'!$B$45,IF(G995&lt;51,'General Basis'!$B$46,IF(G995&lt;56,'General Basis'!$B$47,IF(G995&lt;60,'General Basis'!$B$48,IF(G995&lt;65,'General Basis'!$B$49,'General Basis'!$B$50)))))))))))))</f>
        <v/>
      </c>
      <c r="BI995" s="744" t="str">
        <f t="shared" si="357"/>
        <v/>
      </c>
      <c r="BJ995" s="747" t="str">
        <f t="shared" si="364"/>
        <v/>
      </c>
      <c r="BK995" s="498" t="str">
        <f t="shared" si="358"/>
        <v/>
      </c>
      <c r="BL995" s="498" t="str">
        <f t="shared" si="359"/>
        <v/>
      </c>
    </row>
    <row r="996" spans="1:64" x14ac:dyDescent="0.25">
      <c r="A996" s="762">
        <f t="shared" si="360"/>
        <v>991</v>
      </c>
      <c r="B996" s="229"/>
      <c r="C996" s="223"/>
      <c r="D996" s="224"/>
      <c r="E996" s="225"/>
      <c r="F996" s="1036" t="str">
        <f t="shared" si="366"/>
        <v/>
      </c>
      <c r="G996" s="1037" t="str">
        <f t="shared" si="361"/>
        <v/>
      </c>
      <c r="H996" s="225"/>
      <c r="I996" s="1013"/>
      <c r="J996" s="1013"/>
      <c r="K996" s="1028"/>
      <c r="L996" s="1035" t="str">
        <f t="shared" si="365"/>
        <v/>
      </c>
      <c r="S996" s="498"/>
      <c r="AJ996" s="498"/>
      <c r="AM996" s="498">
        <f t="shared" si="346"/>
        <v>0</v>
      </c>
      <c r="AN996" s="498">
        <f t="shared" si="347"/>
        <v>0</v>
      </c>
      <c r="AO996" s="498">
        <f t="shared" si="348"/>
        <v>0</v>
      </c>
      <c r="AP996" s="498">
        <f t="shared" si="367"/>
        <v>0</v>
      </c>
      <c r="AQ996" s="498">
        <f t="shared" si="362"/>
        <v>0</v>
      </c>
      <c r="AU996" s="498">
        <f t="shared" si="349"/>
        <v>0</v>
      </c>
      <c r="AV996" s="498">
        <f t="shared" si="350"/>
        <v>0</v>
      </c>
      <c r="AW996" s="498">
        <f t="shared" si="351"/>
        <v>0</v>
      </c>
      <c r="AX996" s="498">
        <f t="shared" si="352"/>
        <v>0</v>
      </c>
      <c r="AY996" s="498">
        <f t="shared" si="353"/>
        <v>0</v>
      </c>
      <c r="BB996" s="498" t="str">
        <f t="shared" si="354"/>
        <v/>
      </c>
      <c r="BC996" s="743" t="str">
        <f t="shared" si="355"/>
        <v/>
      </c>
      <c r="BD996" s="743" t="str">
        <f t="shared" si="356"/>
        <v/>
      </c>
      <c r="BE996" s="743" t="str">
        <f>IF(D996="","",VLOOKUP(D996,'General Basis'!$J$39:$K$46,2,0))</f>
        <v/>
      </c>
      <c r="BF996" s="744" t="str">
        <f>IF(D996="","",VLOOKUP(D996,'General Basis'!$J$39:$L$46,3,0))</f>
        <v/>
      </c>
      <c r="BG996" s="744" t="str">
        <f t="shared" si="363"/>
        <v/>
      </c>
      <c r="BH996" s="744" t="str">
        <f>IF(G996="","",IF(BF996="Abu Dhabi",IF(G996&lt;18,'General Basis'!$C$39,IF(G996&lt;41,'General Basis'!$C$40,IF(G996&lt;60,'General Basis'!$C$41,IF(G996&lt;65,'General Basis'!$C$42,'General Basis'!$C$43)))),IF(G996&lt;11,'General Basis'!$B$39,IF(G996&lt;18,'General Basis'!$B$40,IF(G996&lt;26,'General Basis'!$B$41,IF(G996&lt;31,'General Basis'!$B$42,IF(G996&lt;36,'General Basis'!$B$43,IF(G996&lt;41,'General Basis'!$B$44,IF(G996&lt;46,'General Basis'!$B$45,IF(G996&lt;51,'General Basis'!$B$46,IF(G996&lt;56,'General Basis'!$B$47,IF(G996&lt;60,'General Basis'!$B$48,IF(G996&lt;65,'General Basis'!$B$49,'General Basis'!$B$50)))))))))))))</f>
        <v/>
      </c>
      <c r="BI996" s="744" t="str">
        <f t="shared" si="357"/>
        <v/>
      </c>
      <c r="BJ996" s="747" t="str">
        <f t="shared" si="364"/>
        <v/>
      </c>
      <c r="BK996" s="498" t="str">
        <f t="shared" si="358"/>
        <v/>
      </c>
      <c r="BL996" s="498" t="str">
        <f t="shared" si="359"/>
        <v/>
      </c>
    </row>
    <row r="997" spans="1:64" x14ac:dyDescent="0.25">
      <c r="A997" s="762">
        <f t="shared" si="360"/>
        <v>992</v>
      </c>
      <c r="B997" s="229"/>
      <c r="C997" s="223"/>
      <c r="D997" s="224"/>
      <c r="E997" s="225"/>
      <c r="F997" s="1036" t="str">
        <f t="shared" si="366"/>
        <v/>
      </c>
      <c r="G997" s="1037" t="str">
        <f t="shared" si="361"/>
        <v/>
      </c>
      <c r="H997" s="225"/>
      <c r="I997" s="1013"/>
      <c r="J997" s="1013"/>
      <c r="K997" s="1028"/>
      <c r="L997" s="1035" t="str">
        <f t="shared" si="365"/>
        <v/>
      </c>
      <c r="S997" s="498"/>
      <c r="AJ997" s="498"/>
      <c r="AM997" s="498">
        <f t="shared" si="346"/>
        <v>0</v>
      </c>
      <c r="AN997" s="498">
        <f t="shared" si="347"/>
        <v>0</v>
      </c>
      <c r="AO997" s="498">
        <f t="shared" si="348"/>
        <v>0</v>
      </c>
      <c r="AP997" s="498">
        <f t="shared" si="367"/>
        <v>0</v>
      </c>
      <c r="AQ997" s="498">
        <f t="shared" si="362"/>
        <v>0</v>
      </c>
      <c r="AU997" s="498">
        <f t="shared" si="349"/>
        <v>0</v>
      </c>
      <c r="AV997" s="498">
        <f t="shared" si="350"/>
        <v>0</v>
      </c>
      <c r="AW997" s="498">
        <f t="shared" si="351"/>
        <v>0</v>
      </c>
      <c r="AX997" s="498">
        <f t="shared" si="352"/>
        <v>0</v>
      </c>
      <c r="AY997" s="498">
        <f t="shared" si="353"/>
        <v>0</v>
      </c>
      <c r="BB997" s="498" t="str">
        <f t="shared" si="354"/>
        <v/>
      </c>
      <c r="BC997" s="743" t="str">
        <f t="shared" si="355"/>
        <v/>
      </c>
      <c r="BD997" s="743" t="str">
        <f t="shared" si="356"/>
        <v/>
      </c>
      <c r="BE997" s="743" t="str">
        <f>IF(D997="","",VLOOKUP(D997,'General Basis'!$J$39:$K$46,2,0))</f>
        <v/>
      </c>
      <c r="BF997" s="744" t="str">
        <f>IF(D997="","",VLOOKUP(D997,'General Basis'!$J$39:$L$46,3,0))</f>
        <v/>
      </c>
      <c r="BG997" s="744" t="str">
        <f t="shared" si="363"/>
        <v/>
      </c>
      <c r="BH997" s="744" t="str">
        <f>IF(G997="","",IF(BF997="Abu Dhabi",IF(G997&lt;18,'General Basis'!$C$39,IF(G997&lt;41,'General Basis'!$C$40,IF(G997&lt;60,'General Basis'!$C$41,IF(G997&lt;65,'General Basis'!$C$42,'General Basis'!$C$43)))),IF(G997&lt;11,'General Basis'!$B$39,IF(G997&lt;18,'General Basis'!$B$40,IF(G997&lt;26,'General Basis'!$B$41,IF(G997&lt;31,'General Basis'!$B$42,IF(G997&lt;36,'General Basis'!$B$43,IF(G997&lt;41,'General Basis'!$B$44,IF(G997&lt;46,'General Basis'!$B$45,IF(G997&lt;51,'General Basis'!$B$46,IF(G997&lt;56,'General Basis'!$B$47,IF(G997&lt;60,'General Basis'!$B$48,IF(G997&lt;65,'General Basis'!$B$49,'General Basis'!$B$50)))))))))))))</f>
        <v/>
      </c>
      <c r="BI997" s="744" t="str">
        <f t="shared" si="357"/>
        <v/>
      </c>
      <c r="BJ997" s="747" t="str">
        <f t="shared" si="364"/>
        <v/>
      </c>
      <c r="BK997" s="498" t="str">
        <f t="shared" si="358"/>
        <v/>
      </c>
      <c r="BL997" s="498" t="str">
        <f t="shared" si="359"/>
        <v/>
      </c>
    </row>
    <row r="998" spans="1:64" x14ac:dyDescent="0.25">
      <c r="A998" s="762">
        <f t="shared" si="360"/>
        <v>993</v>
      </c>
      <c r="B998" s="229"/>
      <c r="C998" s="223"/>
      <c r="D998" s="224"/>
      <c r="E998" s="225"/>
      <c r="F998" s="1036" t="str">
        <f t="shared" si="366"/>
        <v/>
      </c>
      <c r="G998" s="1037" t="str">
        <f t="shared" si="361"/>
        <v/>
      </c>
      <c r="H998" s="225"/>
      <c r="I998" s="1013"/>
      <c r="J998" s="1013"/>
      <c r="K998" s="1028"/>
      <c r="L998" s="1035" t="str">
        <f t="shared" si="365"/>
        <v/>
      </c>
      <c r="S998" s="498"/>
      <c r="AJ998" s="498"/>
      <c r="AM998" s="498">
        <f t="shared" si="346"/>
        <v>0</v>
      </c>
      <c r="AN998" s="498">
        <f t="shared" si="347"/>
        <v>0</v>
      </c>
      <c r="AO998" s="498">
        <f t="shared" si="348"/>
        <v>0</v>
      </c>
      <c r="AP998" s="498">
        <f t="shared" si="367"/>
        <v>0</v>
      </c>
      <c r="AQ998" s="498">
        <f t="shared" si="362"/>
        <v>0</v>
      </c>
      <c r="AU998" s="498">
        <f t="shared" si="349"/>
        <v>0</v>
      </c>
      <c r="AV998" s="498">
        <f t="shared" si="350"/>
        <v>0</v>
      </c>
      <c r="AW998" s="498">
        <f t="shared" si="351"/>
        <v>0</v>
      </c>
      <c r="AX998" s="498">
        <f t="shared" si="352"/>
        <v>0</v>
      </c>
      <c r="AY998" s="498">
        <f t="shared" si="353"/>
        <v>0</v>
      </c>
      <c r="BB998" s="498" t="str">
        <f t="shared" si="354"/>
        <v/>
      </c>
      <c r="BC998" s="743" t="str">
        <f t="shared" si="355"/>
        <v/>
      </c>
      <c r="BD998" s="743" t="str">
        <f t="shared" si="356"/>
        <v/>
      </c>
      <c r="BE998" s="743" t="str">
        <f>IF(D998="","",VLOOKUP(D998,'General Basis'!$J$39:$K$46,2,0))</f>
        <v/>
      </c>
      <c r="BF998" s="744" t="str">
        <f>IF(D998="","",VLOOKUP(D998,'General Basis'!$J$39:$L$46,3,0))</f>
        <v/>
      </c>
      <c r="BG998" s="744" t="str">
        <f t="shared" si="363"/>
        <v/>
      </c>
      <c r="BH998" s="744" t="str">
        <f>IF(G998="","",IF(BF998="Abu Dhabi",IF(G998&lt;18,'General Basis'!$C$39,IF(G998&lt;41,'General Basis'!$C$40,IF(G998&lt;60,'General Basis'!$C$41,IF(G998&lt;65,'General Basis'!$C$42,'General Basis'!$C$43)))),IF(G998&lt;11,'General Basis'!$B$39,IF(G998&lt;18,'General Basis'!$B$40,IF(G998&lt;26,'General Basis'!$B$41,IF(G998&lt;31,'General Basis'!$B$42,IF(G998&lt;36,'General Basis'!$B$43,IF(G998&lt;41,'General Basis'!$B$44,IF(G998&lt;46,'General Basis'!$B$45,IF(G998&lt;51,'General Basis'!$B$46,IF(G998&lt;56,'General Basis'!$B$47,IF(G998&lt;60,'General Basis'!$B$48,IF(G998&lt;65,'General Basis'!$B$49,'General Basis'!$B$50)))))))))))))</f>
        <v/>
      </c>
      <c r="BI998" s="744" t="str">
        <f t="shared" si="357"/>
        <v/>
      </c>
      <c r="BJ998" s="747" t="str">
        <f t="shared" si="364"/>
        <v/>
      </c>
      <c r="BK998" s="498" t="str">
        <f t="shared" si="358"/>
        <v/>
      </c>
      <c r="BL998" s="498" t="str">
        <f t="shared" si="359"/>
        <v/>
      </c>
    </row>
    <row r="999" spans="1:64" x14ac:dyDescent="0.25">
      <c r="A999" s="762">
        <f t="shared" si="360"/>
        <v>994</v>
      </c>
      <c r="B999" s="229"/>
      <c r="C999" s="223"/>
      <c r="D999" s="224"/>
      <c r="E999" s="225"/>
      <c r="F999" s="1036" t="str">
        <f t="shared" si="366"/>
        <v/>
      </c>
      <c r="G999" s="1037" t="str">
        <f t="shared" si="361"/>
        <v/>
      </c>
      <c r="H999" s="225"/>
      <c r="I999" s="1013"/>
      <c r="J999" s="1013"/>
      <c r="K999" s="1028"/>
      <c r="L999" s="1035" t="str">
        <f t="shared" si="365"/>
        <v/>
      </c>
      <c r="S999" s="498"/>
      <c r="AJ999" s="498"/>
      <c r="AM999" s="498">
        <f t="shared" si="346"/>
        <v>0</v>
      </c>
      <c r="AN999" s="498">
        <f t="shared" si="347"/>
        <v>0</v>
      </c>
      <c r="AO999" s="498">
        <f t="shared" si="348"/>
        <v>0</v>
      </c>
      <c r="AP999" s="498">
        <f t="shared" si="367"/>
        <v>0</v>
      </c>
      <c r="AQ999" s="498">
        <f t="shared" si="362"/>
        <v>0</v>
      </c>
      <c r="AU999" s="498">
        <f t="shared" si="349"/>
        <v>0</v>
      </c>
      <c r="AV999" s="498">
        <f t="shared" si="350"/>
        <v>0</v>
      </c>
      <c r="AW999" s="498">
        <f t="shared" si="351"/>
        <v>0</v>
      </c>
      <c r="AX999" s="498">
        <f t="shared" si="352"/>
        <v>0</v>
      </c>
      <c r="AY999" s="498">
        <f t="shared" si="353"/>
        <v>0</v>
      </c>
      <c r="BB999" s="498" t="str">
        <f t="shared" si="354"/>
        <v/>
      </c>
      <c r="BC999" s="743" t="str">
        <f t="shared" si="355"/>
        <v/>
      </c>
      <c r="BD999" s="743" t="str">
        <f t="shared" si="356"/>
        <v/>
      </c>
      <c r="BE999" s="743" t="str">
        <f>IF(D999="","",VLOOKUP(D999,'General Basis'!$J$39:$K$46,2,0))</f>
        <v/>
      </c>
      <c r="BF999" s="744" t="str">
        <f>IF(D999="","",VLOOKUP(D999,'General Basis'!$J$39:$L$46,3,0))</f>
        <v/>
      </c>
      <c r="BG999" s="744" t="str">
        <f t="shared" si="363"/>
        <v/>
      </c>
      <c r="BH999" s="744" t="str">
        <f>IF(G999="","",IF(BF999="Abu Dhabi",IF(G999&lt;18,'General Basis'!$C$39,IF(G999&lt;41,'General Basis'!$C$40,IF(G999&lt;60,'General Basis'!$C$41,IF(G999&lt;65,'General Basis'!$C$42,'General Basis'!$C$43)))),IF(G999&lt;11,'General Basis'!$B$39,IF(G999&lt;18,'General Basis'!$B$40,IF(G999&lt;26,'General Basis'!$B$41,IF(G999&lt;31,'General Basis'!$B$42,IF(G999&lt;36,'General Basis'!$B$43,IF(G999&lt;41,'General Basis'!$B$44,IF(G999&lt;46,'General Basis'!$B$45,IF(G999&lt;51,'General Basis'!$B$46,IF(G999&lt;56,'General Basis'!$B$47,IF(G999&lt;60,'General Basis'!$B$48,IF(G999&lt;65,'General Basis'!$B$49,'General Basis'!$B$50)))))))))))))</f>
        <v/>
      </c>
      <c r="BI999" s="744" t="str">
        <f t="shared" si="357"/>
        <v/>
      </c>
      <c r="BJ999" s="747" t="str">
        <f t="shared" si="364"/>
        <v/>
      </c>
      <c r="BK999" s="498" t="str">
        <f t="shared" si="358"/>
        <v/>
      </c>
      <c r="BL999" s="498" t="str">
        <f t="shared" si="359"/>
        <v/>
      </c>
    </row>
    <row r="1000" spans="1:64" x14ac:dyDescent="0.25">
      <c r="A1000" s="762">
        <f t="shared" si="360"/>
        <v>995</v>
      </c>
      <c r="B1000" s="229"/>
      <c r="C1000" s="223"/>
      <c r="D1000" s="224"/>
      <c r="E1000" s="225"/>
      <c r="F1000" s="1036" t="str">
        <f t="shared" si="366"/>
        <v/>
      </c>
      <c r="G1000" s="1037" t="str">
        <f t="shared" si="361"/>
        <v/>
      </c>
      <c r="H1000" s="225"/>
      <c r="I1000" s="1013"/>
      <c r="J1000" s="1013"/>
      <c r="K1000" s="1028"/>
      <c r="L1000" s="1035" t="str">
        <f t="shared" si="365"/>
        <v/>
      </c>
      <c r="S1000" s="498"/>
      <c r="AJ1000" s="498"/>
      <c r="AM1000" s="498">
        <f t="shared" si="346"/>
        <v>0</v>
      </c>
      <c r="AN1000" s="498">
        <f t="shared" si="347"/>
        <v>0</v>
      </c>
      <c r="AO1000" s="498">
        <f t="shared" si="348"/>
        <v>0</v>
      </c>
      <c r="AP1000" s="498">
        <f t="shared" si="367"/>
        <v>0</v>
      </c>
      <c r="AQ1000" s="498">
        <f t="shared" si="362"/>
        <v>0</v>
      </c>
      <c r="AU1000" s="498">
        <f t="shared" si="349"/>
        <v>0</v>
      </c>
      <c r="AV1000" s="498">
        <f t="shared" si="350"/>
        <v>0</v>
      </c>
      <c r="AW1000" s="498">
        <f t="shared" si="351"/>
        <v>0</v>
      </c>
      <c r="AX1000" s="498">
        <f t="shared" si="352"/>
        <v>0</v>
      </c>
      <c r="AY1000" s="498">
        <f t="shared" si="353"/>
        <v>0</v>
      </c>
      <c r="BB1000" s="498" t="str">
        <f t="shared" si="354"/>
        <v/>
      </c>
      <c r="BC1000" s="743" t="str">
        <f t="shared" si="355"/>
        <v/>
      </c>
      <c r="BD1000" s="743" t="str">
        <f t="shared" si="356"/>
        <v/>
      </c>
      <c r="BE1000" s="743" t="str">
        <f>IF(D1000="","",VLOOKUP(D1000,'General Basis'!$J$39:$K$46,2,0))</f>
        <v/>
      </c>
      <c r="BF1000" s="744" t="str">
        <f>IF(D1000="","",VLOOKUP(D1000,'General Basis'!$J$39:$L$46,3,0))</f>
        <v/>
      </c>
      <c r="BG1000" s="744" t="str">
        <f t="shared" si="363"/>
        <v/>
      </c>
      <c r="BH1000" s="744" t="str">
        <f>IF(G1000="","",IF(BF1000="Abu Dhabi",IF(G1000&lt;18,'General Basis'!$C$39,IF(G1000&lt;41,'General Basis'!$C$40,IF(G1000&lt;60,'General Basis'!$C$41,IF(G1000&lt;65,'General Basis'!$C$42,'General Basis'!$C$43)))),IF(G1000&lt;11,'General Basis'!$B$39,IF(G1000&lt;18,'General Basis'!$B$40,IF(G1000&lt;26,'General Basis'!$B$41,IF(G1000&lt;31,'General Basis'!$B$42,IF(G1000&lt;36,'General Basis'!$B$43,IF(G1000&lt;41,'General Basis'!$B$44,IF(G1000&lt;46,'General Basis'!$B$45,IF(G1000&lt;51,'General Basis'!$B$46,IF(G1000&lt;56,'General Basis'!$B$47,IF(G1000&lt;60,'General Basis'!$B$48,IF(G1000&lt;65,'General Basis'!$B$49,'General Basis'!$B$50)))))))))))))</f>
        <v/>
      </c>
      <c r="BI1000" s="744" t="str">
        <f t="shared" si="357"/>
        <v/>
      </c>
      <c r="BJ1000" s="747" t="str">
        <f t="shared" si="364"/>
        <v/>
      </c>
      <c r="BK1000" s="498" t="str">
        <f t="shared" si="358"/>
        <v/>
      </c>
      <c r="BL1000" s="498" t="str">
        <f t="shared" si="359"/>
        <v/>
      </c>
    </row>
    <row r="1001" spans="1:64" x14ac:dyDescent="0.25">
      <c r="A1001" s="762">
        <f t="shared" si="360"/>
        <v>996</v>
      </c>
      <c r="B1001" s="229"/>
      <c r="C1001" s="223"/>
      <c r="D1001" s="224"/>
      <c r="E1001" s="225"/>
      <c r="F1001" s="1036" t="str">
        <f t="shared" si="366"/>
        <v/>
      </c>
      <c r="G1001" s="1037" t="str">
        <f t="shared" si="361"/>
        <v/>
      </c>
      <c r="H1001" s="225"/>
      <c r="I1001" s="1013"/>
      <c r="J1001" s="1013"/>
      <c r="K1001" s="1028"/>
      <c r="L1001" s="1035" t="str">
        <f t="shared" si="365"/>
        <v/>
      </c>
      <c r="S1001" s="498"/>
      <c r="AJ1001" s="498"/>
      <c r="AM1001" s="498">
        <f t="shared" si="346"/>
        <v>0</v>
      </c>
      <c r="AN1001" s="498">
        <f t="shared" si="347"/>
        <v>0</v>
      </c>
      <c r="AO1001" s="498">
        <f t="shared" si="348"/>
        <v>0</v>
      </c>
      <c r="AP1001" s="498">
        <f t="shared" si="367"/>
        <v>0</v>
      </c>
      <c r="AQ1001" s="498">
        <f t="shared" si="362"/>
        <v>0</v>
      </c>
      <c r="AU1001" s="498">
        <f t="shared" si="349"/>
        <v>0</v>
      </c>
      <c r="AV1001" s="498">
        <f t="shared" si="350"/>
        <v>0</v>
      </c>
      <c r="AW1001" s="498">
        <f t="shared" si="351"/>
        <v>0</v>
      </c>
      <c r="AX1001" s="498">
        <f t="shared" si="352"/>
        <v>0</v>
      </c>
      <c r="AY1001" s="498">
        <f t="shared" si="353"/>
        <v>0</v>
      </c>
      <c r="BB1001" s="498" t="str">
        <f t="shared" si="354"/>
        <v/>
      </c>
      <c r="BC1001" s="743" t="str">
        <f t="shared" si="355"/>
        <v/>
      </c>
      <c r="BD1001" s="743" t="str">
        <f t="shared" si="356"/>
        <v/>
      </c>
      <c r="BE1001" s="743" t="str">
        <f>IF(D1001="","",VLOOKUP(D1001,'General Basis'!$J$39:$K$46,2,0))</f>
        <v/>
      </c>
      <c r="BF1001" s="744" t="str">
        <f>IF(D1001="","",VLOOKUP(D1001,'General Basis'!$J$39:$L$46,3,0))</f>
        <v/>
      </c>
      <c r="BG1001" s="744" t="str">
        <f t="shared" si="363"/>
        <v/>
      </c>
      <c r="BH1001" s="744" t="str">
        <f>IF(G1001="","",IF(BF1001="Abu Dhabi",IF(G1001&lt;18,'General Basis'!$C$39,IF(G1001&lt;41,'General Basis'!$C$40,IF(G1001&lt;60,'General Basis'!$C$41,IF(G1001&lt;65,'General Basis'!$C$42,'General Basis'!$C$43)))),IF(G1001&lt;11,'General Basis'!$B$39,IF(G1001&lt;18,'General Basis'!$B$40,IF(G1001&lt;26,'General Basis'!$B$41,IF(G1001&lt;31,'General Basis'!$B$42,IF(G1001&lt;36,'General Basis'!$B$43,IF(G1001&lt;41,'General Basis'!$B$44,IF(G1001&lt;46,'General Basis'!$B$45,IF(G1001&lt;51,'General Basis'!$B$46,IF(G1001&lt;56,'General Basis'!$B$47,IF(G1001&lt;60,'General Basis'!$B$48,IF(G1001&lt;65,'General Basis'!$B$49,'General Basis'!$B$50)))))))))))))</f>
        <v/>
      </c>
      <c r="BI1001" s="744" t="str">
        <f t="shared" si="357"/>
        <v/>
      </c>
      <c r="BJ1001" s="747" t="str">
        <f t="shared" si="364"/>
        <v/>
      </c>
      <c r="BK1001" s="498" t="str">
        <f t="shared" si="358"/>
        <v/>
      </c>
      <c r="BL1001" s="498" t="str">
        <f t="shared" si="359"/>
        <v/>
      </c>
    </row>
    <row r="1002" spans="1:64" x14ac:dyDescent="0.25">
      <c r="A1002" s="762">
        <f t="shared" si="360"/>
        <v>997</v>
      </c>
      <c r="B1002" s="229"/>
      <c r="C1002" s="223"/>
      <c r="D1002" s="224"/>
      <c r="E1002" s="225"/>
      <c r="F1002" s="1036" t="str">
        <f t="shared" si="366"/>
        <v/>
      </c>
      <c r="G1002" s="1037" t="str">
        <f t="shared" si="361"/>
        <v/>
      </c>
      <c r="H1002" s="225"/>
      <c r="I1002" s="1013"/>
      <c r="J1002" s="1013"/>
      <c r="K1002" s="1028"/>
      <c r="L1002" s="1035" t="str">
        <f t="shared" si="365"/>
        <v/>
      </c>
      <c r="S1002" s="498"/>
      <c r="AJ1002" s="498"/>
      <c r="AM1002" s="498">
        <f t="shared" si="346"/>
        <v>0</v>
      </c>
      <c r="AN1002" s="498">
        <f t="shared" si="347"/>
        <v>0</v>
      </c>
      <c r="AO1002" s="498">
        <f t="shared" si="348"/>
        <v>0</v>
      </c>
      <c r="AP1002" s="498">
        <f t="shared" si="367"/>
        <v>0</v>
      </c>
      <c r="AQ1002" s="498">
        <f t="shared" si="362"/>
        <v>0</v>
      </c>
      <c r="AU1002" s="498">
        <f t="shared" si="349"/>
        <v>0</v>
      </c>
      <c r="AV1002" s="498">
        <f t="shared" si="350"/>
        <v>0</v>
      </c>
      <c r="AW1002" s="498">
        <f t="shared" si="351"/>
        <v>0</v>
      </c>
      <c r="AX1002" s="498">
        <f t="shared" si="352"/>
        <v>0</v>
      </c>
      <c r="AY1002" s="498">
        <f t="shared" si="353"/>
        <v>0</v>
      </c>
      <c r="BB1002" s="498" t="str">
        <f t="shared" si="354"/>
        <v/>
      </c>
      <c r="BC1002" s="743" t="str">
        <f t="shared" si="355"/>
        <v/>
      </c>
      <c r="BD1002" s="743" t="str">
        <f t="shared" si="356"/>
        <v/>
      </c>
      <c r="BE1002" s="743" t="str">
        <f>IF(D1002="","",VLOOKUP(D1002,'General Basis'!$J$39:$K$46,2,0))</f>
        <v/>
      </c>
      <c r="BF1002" s="744" t="str">
        <f>IF(D1002="","",VLOOKUP(D1002,'General Basis'!$J$39:$L$46,3,0))</f>
        <v/>
      </c>
      <c r="BG1002" s="744" t="str">
        <f t="shared" si="363"/>
        <v/>
      </c>
      <c r="BH1002" s="744" t="str">
        <f>IF(G1002="","",IF(BF1002="Abu Dhabi",IF(G1002&lt;18,'General Basis'!$C$39,IF(G1002&lt;41,'General Basis'!$C$40,IF(G1002&lt;60,'General Basis'!$C$41,IF(G1002&lt;65,'General Basis'!$C$42,'General Basis'!$C$43)))),IF(G1002&lt;11,'General Basis'!$B$39,IF(G1002&lt;18,'General Basis'!$B$40,IF(G1002&lt;26,'General Basis'!$B$41,IF(G1002&lt;31,'General Basis'!$B$42,IF(G1002&lt;36,'General Basis'!$B$43,IF(G1002&lt;41,'General Basis'!$B$44,IF(G1002&lt;46,'General Basis'!$B$45,IF(G1002&lt;51,'General Basis'!$B$46,IF(G1002&lt;56,'General Basis'!$B$47,IF(G1002&lt;60,'General Basis'!$B$48,IF(G1002&lt;65,'General Basis'!$B$49,'General Basis'!$B$50)))))))))))))</f>
        <v/>
      </c>
      <c r="BI1002" s="744" t="str">
        <f t="shared" si="357"/>
        <v/>
      </c>
      <c r="BJ1002" s="747" t="str">
        <f t="shared" si="364"/>
        <v/>
      </c>
      <c r="BK1002" s="498" t="str">
        <f t="shared" si="358"/>
        <v/>
      </c>
      <c r="BL1002" s="498" t="str">
        <f t="shared" si="359"/>
        <v/>
      </c>
    </row>
    <row r="1003" spans="1:64" x14ac:dyDescent="0.25">
      <c r="A1003" s="762">
        <f t="shared" si="360"/>
        <v>998</v>
      </c>
      <c r="B1003" s="229"/>
      <c r="C1003" s="223"/>
      <c r="D1003" s="224"/>
      <c r="E1003" s="225"/>
      <c r="F1003" s="1036" t="str">
        <f t="shared" si="366"/>
        <v/>
      </c>
      <c r="G1003" s="1037" t="str">
        <f t="shared" si="361"/>
        <v/>
      </c>
      <c r="H1003" s="225"/>
      <c r="I1003" s="1013"/>
      <c r="J1003" s="1013"/>
      <c r="K1003" s="1028"/>
      <c r="L1003" s="1035" t="str">
        <f t="shared" si="365"/>
        <v/>
      </c>
      <c r="S1003" s="498"/>
      <c r="AJ1003" s="498"/>
      <c r="AM1003" s="498">
        <f t="shared" si="346"/>
        <v>0</v>
      </c>
      <c r="AN1003" s="498">
        <f t="shared" si="347"/>
        <v>0</v>
      </c>
      <c r="AO1003" s="498">
        <f t="shared" si="348"/>
        <v>0</v>
      </c>
      <c r="AP1003" s="498">
        <f t="shared" si="367"/>
        <v>0</v>
      </c>
      <c r="AQ1003" s="498">
        <f t="shared" si="362"/>
        <v>0</v>
      </c>
      <c r="AU1003" s="498">
        <f t="shared" si="349"/>
        <v>0</v>
      </c>
      <c r="AV1003" s="498">
        <f t="shared" si="350"/>
        <v>0</v>
      </c>
      <c r="AW1003" s="498">
        <f t="shared" si="351"/>
        <v>0</v>
      </c>
      <c r="AX1003" s="498">
        <f t="shared" si="352"/>
        <v>0</v>
      </c>
      <c r="AY1003" s="498">
        <f t="shared" si="353"/>
        <v>0</v>
      </c>
      <c r="BB1003" s="498" t="str">
        <f t="shared" si="354"/>
        <v/>
      </c>
      <c r="BC1003" s="743" t="str">
        <f t="shared" si="355"/>
        <v/>
      </c>
      <c r="BD1003" s="743" t="str">
        <f t="shared" si="356"/>
        <v/>
      </c>
      <c r="BE1003" s="743" t="str">
        <f>IF(D1003="","",VLOOKUP(D1003,'General Basis'!$J$39:$K$46,2,0))</f>
        <v/>
      </c>
      <c r="BF1003" s="744" t="str">
        <f>IF(D1003="","",VLOOKUP(D1003,'General Basis'!$J$39:$L$46,3,0))</f>
        <v/>
      </c>
      <c r="BG1003" s="744" t="str">
        <f t="shared" si="363"/>
        <v/>
      </c>
      <c r="BH1003" s="744" t="str">
        <f>IF(G1003="","",IF(BF1003="Abu Dhabi",IF(G1003&lt;18,'General Basis'!$C$39,IF(G1003&lt;41,'General Basis'!$C$40,IF(G1003&lt;60,'General Basis'!$C$41,IF(G1003&lt;65,'General Basis'!$C$42,'General Basis'!$C$43)))),IF(G1003&lt;11,'General Basis'!$B$39,IF(G1003&lt;18,'General Basis'!$B$40,IF(G1003&lt;26,'General Basis'!$B$41,IF(G1003&lt;31,'General Basis'!$B$42,IF(G1003&lt;36,'General Basis'!$B$43,IF(G1003&lt;41,'General Basis'!$B$44,IF(G1003&lt;46,'General Basis'!$B$45,IF(G1003&lt;51,'General Basis'!$B$46,IF(G1003&lt;56,'General Basis'!$B$47,IF(G1003&lt;60,'General Basis'!$B$48,IF(G1003&lt;65,'General Basis'!$B$49,'General Basis'!$B$50)))))))))))))</f>
        <v/>
      </c>
      <c r="BI1003" s="744" t="str">
        <f t="shared" si="357"/>
        <v/>
      </c>
      <c r="BJ1003" s="747" t="str">
        <f t="shared" si="364"/>
        <v/>
      </c>
      <c r="BK1003" s="498" t="str">
        <f t="shared" si="358"/>
        <v/>
      </c>
      <c r="BL1003" s="498" t="str">
        <f t="shared" si="359"/>
        <v/>
      </c>
    </row>
    <row r="1004" spans="1:64" x14ac:dyDescent="0.25">
      <c r="A1004" s="762">
        <f t="shared" si="360"/>
        <v>999</v>
      </c>
      <c r="B1004" s="229"/>
      <c r="C1004" s="223"/>
      <c r="D1004" s="224"/>
      <c r="E1004" s="225"/>
      <c r="F1004" s="1036" t="str">
        <f t="shared" si="366"/>
        <v/>
      </c>
      <c r="G1004" s="1037" t="str">
        <f t="shared" si="361"/>
        <v/>
      </c>
      <c r="H1004" s="225"/>
      <c r="I1004" s="1013"/>
      <c r="J1004" s="1013"/>
      <c r="K1004" s="1028"/>
      <c r="L1004" s="1035" t="str">
        <f t="shared" si="365"/>
        <v/>
      </c>
      <c r="S1004" s="498"/>
      <c r="AJ1004" s="498"/>
      <c r="AM1004" s="498">
        <f t="shared" si="346"/>
        <v>0</v>
      </c>
      <c r="AN1004" s="498">
        <f t="shared" si="347"/>
        <v>0</v>
      </c>
      <c r="AO1004" s="498">
        <f t="shared" si="348"/>
        <v>0</v>
      </c>
      <c r="AP1004" s="498">
        <f t="shared" si="367"/>
        <v>0</v>
      </c>
      <c r="AQ1004" s="498">
        <f t="shared" si="362"/>
        <v>0</v>
      </c>
      <c r="AU1004" s="498">
        <f t="shared" si="349"/>
        <v>0</v>
      </c>
      <c r="AV1004" s="498">
        <f t="shared" si="350"/>
        <v>0</v>
      </c>
      <c r="AW1004" s="498">
        <f t="shared" si="351"/>
        <v>0</v>
      </c>
      <c r="AX1004" s="498">
        <f t="shared" si="352"/>
        <v>0</v>
      </c>
      <c r="AY1004" s="498">
        <f t="shared" si="353"/>
        <v>0</v>
      </c>
      <c r="BB1004" s="498" t="str">
        <f t="shared" si="354"/>
        <v/>
      </c>
      <c r="BC1004" s="743" t="str">
        <f t="shared" si="355"/>
        <v/>
      </c>
      <c r="BD1004" s="743" t="str">
        <f t="shared" si="356"/>
        <v/>
      </c>
      <c r="BE1004" s="743" t="str">
        <f>IF(D1004="","",VLOOKUP(D1004,'General Basis'!$J$39:$K$46,2,0))</f>
        <v/>
      </c>
      <c r="BF1004" s="744" t="str">
        <f>IF(D1004="","",VLOOKUP(D1004,'General Basis'!$J$39:$L$46,3,0))</f>
        <v/>
      </c>
      <c r="BG1004" s="744" t="str">
        <f t="shared" si="363"/>
        <v/>
      </c>
      <c r="BH1004" s="744" t="str">
        <f>IF(G1004="","",IF(BF1004="Abu Dhabi",IF(G1004&lt;18,'General Basis'!$C$39,IF(G1004&lt;41,'General Basis'!$C$40,IF(G1004&lt;60,'General Basis'!$C$41,IF(G1004&lt;65,'General Basis'!$C$42,'General Basis'!$C$43)))),IF(G1004&lt;11,'General Basis'!$B$39,IF(G1004&lt;18,'General Basis'!$B$40,IF(G1004&lt;26,'General Basis'!$B$41,IF(G1004&lt;31,'General Basis'!$B$42,IF(G1004&lt;36,'General Basis'!$B$43,IF(G1004&lt;41,'General Basis'!$B$44,IF(G1004&lt;46,'General Basis'!$B$45,IF(G1004&lt;51,'General Basis'!$B$46,IF(G1004&lt;56,'General Basis'!$B$47,IF(G1004&lt;60,'General Basis'!$B$48,IF(G1004&lt;65,'General Basis'!$B$49,'General Basis'!$B$50)))))))))))))</f>
        <v/>
      </c>
      <c r="BI1004" s="744" t="str">
        <f t="shared" si="357"/>
        <v/>
      </c>
      <c r="BJ1004" s="747" t="str">
        <f t="shared" si="364"/>
        <v/>
      </c>
      <c r="BK1004" s="498" t="str">
        <f t="shared" si="358"/>
        <v/>
      </c>
      <c r="BL1004" s="498" t="str">
        <f t="shared" si="359"/>
        <v/>
      </c>
    </row>
    <row r="1005" spans="1:64" x14ac:dyDescent="0.25">
      <c r="A1005" s="762">
        <f t="shared" si="360"/>
        <v>1000</v>
      </c>
      <c r="B1005" s="229"/>
      <c r="C1005" s="223"/>
      <c r="D1005" s="224"/>
      <c r="E1005" s="225"/>
      <c r="F1005" s="1036" t="str">
        <f t="shared" si="366"/>
        <v/>
      </c>
      <c r="G1005" s="1037" t="str">
        <f t="shared" si="361"/>
        <v/>
      </c>
      <c r="H1005" s="225"/>
      <c r="I1005" s="1013"/>
      <c r="J1005" s="1013"/>
      <c r="K1005" s="1028"/>
      <c r="L1005" s="1035" t="str">
        <f t="shared" si="365"/>
        <v/>
      </c>
      <c r="S1005" s="498"/>
      <c r="AJ1005" s="498"/>
      <c r="AM1005" s="498">
        <f t="shared" si="346"/>
        <v>0</v>
      </c>
      <c r="AN1005" s="498">
        <f t="shared" si="347"/>
        <v>0</v>
      </c>
      <c r="AO1005" s="498">
        <f t="shared" si="348"/>
        <v>0</v>
      </c>
      <c r="AP1005" s="498">
        <f t="shared" si="367"/>
        <v>0</v>
      </c>
      <c r="AQ1005" s="498">
        <f t="shared" si="362"/>
        <v>0</v>
      </c>
      <c r="AU1005" s="498">
        <f t="shared" si="349"/>
        <v>0</v>
      </c>
      <c r="AV1005" s="498">
        <f t="shared" si="350"/>
        <v>0</v>
      </c>
      <c r="AW1005" s="498">
        <f t="shared" si="351"/>
        <v>0</v>
      </c>
      <c r="AX1005" s="498">
        <f t="shared" si="352"/>
        <v>0</v>
      </c>
      <c r="AY1005" s="498">
        <f t="shared" si="353"/>
        <v>0</v>
      </c>
      <c r="BB1005" s="498" t="str">
        <f t="shared" si="354"/>
        <v/>
      </c>
      <c r="BC1005" s="743" t="str">
        <f t="shared" si="355"/>
        <v/>
      </c>
      <c r="BD1005" s="743" t="str">
        <f t="shared" si="356"/>
        <v/>
      </c>
      <c r="BE1005" s="743" t="str">
        <f>IF(D1005="","",VLOOKUP(D1005,'General Basis'!$J$39:$K$46,2,0))</f>
        <v/>
      </c>
      <c r="BF1005" s="744" t="str">
        <f>IF(D1005="","",VLOOKUP(D1005,'General Basis'!$J$39:$L$46,3,0))</f>
        <v/>
      </c>
      <c r="BG1005" s="744" t="str">
        <f t="shared" si="363"/>
        <v/>
      </c>
      <c r="BH1005" s="744" t="str">
        <f>IF(G1005="","",IF(BF1005="Abu Dhabi",IF(G1005&lt;18,'General Basis'!$C$39,IF(G1005&lt;41,'General Basis'!$C$40,IF(G1005&lt;60,'General Basis'!$C$41,IF(G1005&lt;65,'General Basis'!$C$42,'General Basis'!$C$43)))),IF(G1005&lt;11,'General Basis'!$B$39,IF(G1005&lt;18,'General Basis'!$B$40,IF(G1005&lt;26,'General Basis'!$B$41,IF(G1005&lt;31,'General Basis'!$B$42,IF(G1005&lt;36,'General Basis'!$B$43,IF(G1005&lt;41,'General Basis'!$B$44,IF(G1005&lt;46,'General Basis'!$B$45,IF(G1005&lt;51,'General Basis'!$B$46,IF(G1005&lt;56,'General Basis'!$B$47,IF(G1005&lt;60,'General Basis'!$B$48,IF(G1005&lt;65,'General Basis'!$B$49,'General Basis'!$B$50)))))))))))))</f>
        <v/>
      </c>
      <c r="BI1005" s="744" t="str">
        <f t="shared" si="357"/>
        <v/>
      </c>
      <c r="BJ1005" s="747" t="str">
        <f t="shared" si="364"/>
        <v/>
      </c>
      <c r="BK1005" s="498" t="str">
        <f t="shared" si="358"/>
        <v/>
      </c>
      <c r="BL1005" s="498" t="str">
        <f t="shared" si="359"/>
        <v/>
      </c>
    </row>
    <row r="1006" spans="1:64" x14ac:dyDescent="0.25">
      <c r="A1006" s="762">
        <f t="shared" si="360"/>
        <v>1001</v>
      </c>
      <c r="B1006" s="229"/>
      <c r="C1006" s="223"/>
      <c r="D1006" s="224"/>
      <c r="E1006" s="225"/>
      <c r="F1006" s="1036" t="str">
        <f t="shared" si="366"/>
        <v/>
      </c>
      <c r="G1006" s="1037" t="str">
        <f t="shared" si="361"/>
        <v/>
      </c>
      <c r="H1006" s="225"/>
      <c r="I1006" s="1013"/>
      <c r="J1006" s="1013"/>
      <c r="K1006" s="1028"/>
      <c r="L1006" s="1035" t="str">
        <f t="shared" si="365"/>
        <v/>
      </c>
      <c r="S1006" s="498"/>
      <c r="AJ1006" s="498"/>
      <c r="AM1006" s="498">
        <f t="shared" si="346"/>
        <v>0</v>
      </c>
      <c r="AN1006" s="498">
        <f t="shared" si="347"/>
        <v>0</v>
      </c>
      <c r="AO1006" s="498">
        <f t="shared" si="348"/>
        <v>0</v>
      </c>
      <c r="AP1006" s="498">
        <f t="shared" si="367"/>
        <v>0</v>
      </c>
      <c r="AQ1006" s="498">
        <f t="shared" si="362"/>
        <v>0</v>
      </c>
      <c r="AU1006" s="498">
        <f t="shared" si="349"/>
        <v>0</v>
      </c>
      <c r="AV1006" s="498">
        <f t="shared" si="350"/>
        <v>0</v>
      </c>
      <c r="AW1006" s="498">
        <f t="shared" si="351"/>
        <v>0</v>
      </c>
      <c r="AX1006" s="498">
        <f t="shared" si="352"/>
        <v>0</v>
      </c>
      <c r="AY1006" s="498">
        <f t="shared" si="353"/>
        <v>0</v>
      </c>
      <c r="BB1006" s="498" t="str">
        <f t="shared" si="354"/>
        <v/>
      </c>
      <c r="BC1006" s="743" t="str">
        <f t="shared" si="355"/>
        <v/>
      </c>
      <c r="BD1006" s="743" t="str">
        <f t="shared" si="356"/>
        <v/>
      </c>
      <c r="BE1006" s="743" t="str">
        <f>IF(D1006="","",VLOOKUP(D1006,'General Basis'!$J$39:$K$46,2,0))</f>
        <v/>
      </c>
      <c r="BF1006" s="744" t="str">
        <f>IF(D1006="","",VLOOKUP(D1006,'General Basis'!$J$39:$L$46,3,0))</f>
        <v/>
      </c>
      <c r="BG1006" s="744" t="str">
        <f t="shared" si="363"/>
        <v/>
      </c>
      <c r="BH1006" s="744" t="str">
        <f>IF(G1006="","",IF(BF1006="Abu Dhabi",IF(G1006&lt;18,'General Basis'!$C$39,IF(G1006&lt;41,'General Basis'!$C$40,IF(G1006&lt;60,'General Basis'!$C$41,IF(G1006&lt;65,'General Basis'!$C$42,'General Basis'!$C$43)))),IF(G1006&lt;11,'General Basis'!$B$39,IF(G1006&lt;18,'General Basis'!$B$40,IF(G1006&lt;26,'General Basis'!$B$41,IF(G1006&lt;31,'General Basis'!$B$42,IF(G1006&lt;36,'General Basis'!$B$43,IF(G1006&lt;41,'General Basis'!$B$44,IF(G1006&lt;46,'General Basis'!$B$45,IF(G1006&lt;51,'General Basis'!$B$46,IF(G1006&lt;56,'General Basis'!$B$47,IF(G1006&lt;60,'General Basis'!$B$48,IF(G1006&lt;65,'General Basis'!$B$49,'General Basis'!$B$50)))))))))))))</f>
        <v/>
      </c>
      <c r="BI1006" s="744" t="str">
        <f t="shared" si="357"/>
        <v/>
      </c>
      <c r="BJ1006" s="747" t="str">
        <f t="shared" si="364"/>
        <v/>
      </c>
      <c r="BK1006" s="498" t="str">
        <f t="shared" si="358"/>
        <v/>
      </c>
      <c r="BL1006" s="498" t="str">
        <f t="shared" si="359"/>
        <v/>
      </c>
    </row>
    <row r="1007" spans="1:64" x14ac:dyDescent="0.25">
      <c r="A1007" s="762">
        <f t="shared" si="360"/>
        <v>1002</v>
      </c>
      <c r="B1007" s="229"/>
      <c r="C1007" s="223"/>
      <c r="D1007" s="224"/>
      <c r="E1007" s="225"/>
      <c r="F1007" s="1036" t="str">
        <f t="shared" si="366"/>
        <v/>
      </c>
      <c r="G1007" s="1037" t="str">
        <f t="shared" si="361"/>
        <v/>
      </c>
      <c r="H1007" s="225"/>
      <c r="I1007" s="1013"/>
      <c r="J1007" s="1013"/>
      <c r="K1007" s="1028"/>
      <c r="L1007" s="1035" t="str">
        <f t="shared" si="365"/>
        <v/>
      </c>
      <c r="S1007" s="498"/>
      <c r="AJ1007" s="498"/>
      <c r="AM1007" s="498">
        <f t="shared" si="346"/>
        <v>0</v>
      </c>
      <c r="AN1007" s="498">
        <f t="shared" si="347"/>
        <v>0</v>
      </c>
      <c r="AO1007" s="498">
        <f t="shared" si="348"/>
        <v>0</v>
      </c>
      <c r="AP1007" s="498">
        <f t="shared" si="367"/>
        <v>0</v>
      </c>
      <c r="AQ1007" s="498">
        <f t="shared" si="362"/>
        <v>0</v>
      </c>
      <c r="AU1007" s="498">
        <f t="shared" si="349"/>
        <v>0</v>
      </c>
      <c r="AV1007" s="498">
        <f t="shared" si="350"/>
        <v>0</v>
      </c>
      <c r="AW1007" s="498">
        <f t="shared" si="351"/>
        <v>0</v>
      </c>
      <c r="AX1007" s="498">
        <f t="shared" si="352"/>
        <v>0</v>
      </c>
      <c r="AY1007" s="498">
        <f t="shared" si="353"/>
        <v>0</v>
      </c>
      <c r="BB1007" s="498" t="str">
        <f t="shared" si="354"/>
        <v/>
      </c>
      <c r="BC1007" s="743" t="str">
        <f t="shared" si="355"/>
        <v/>
      </c>
      <c r="BD1007" s="743" t="str">
        <f t="shared" si="356"/>
        <v/>
      </c>
      <c r="BE1007" s="743" t="str">
        <f>IF(D1007="","",VLOOKUP(D1007,'General Basis'!$J$39:$K$46,2,0))</f>
        <v/>
      </c>
      <c r="BF1007" s="744" t="str">
        <f>IF(D1007="","",VLOOKUP(D1007,'General Basis'!$J$39:$L$46,3,0))</f>
        <v/>
      </c>
      <c r="BG1007" s="744" t="str">
        <f t="shared" si="363"/>
        <v/>
      </c>
      <c r="BH1007" s="744" t="str">
        <f>IF(G1007="","",IF(BF1007="Abu Dhabi",IF(G1007&lt;18,'General Basis'!$C$39,IF(G1007&lt;41,'General Basis'!$C$40,IF(G1007&lt;60,'General Basis'!$C$41,IF(G1007&lt;65,'General Basis'!$C$42,'General Basis'!$C$43)))),IF(G1007&lt;11,'General Basis'!$B$39,IF(G1007&lt;18,'General Basis'!$B$40,IF(G1007&lt;26,'General Basis'!$B$41,IF(G1007&lt;31,'General Basis'!$B$42,IF(G1007&lt;36,'General Basis'!$B$43,IF(G1007&lt;41,'General Basis'!$B$44,IF(G1007&lt;46,'General Basis'!$B$45,IF(G1007&lt;51,'General Basis'!$B$46,IF(G1007&lt;56,'General Basis'!$B$47,IF(G1007&lt;60,'General Basis'!$B$48,IF(G1007&lt;65,'General Basis'!$B$49,'General Basis'!$B$50)))))))))))))</f>
        <v/>
      </c>
      <c r="BI1007" s="744" t="str">
        <f t="shared" si="357"/>
        <v/>
      </c>
      <c r="BJ1007" s="747" t="str">
        <f t="shared" si="364"/>
        <v/>
      </c>
      <c r="BK1007" s="498" t="str">
        <f t="shared" si="358"/>
        <v/>
      </c>
      <c r="BL1007" s="498" t="str">
        <f t="shared" si="359"/>
        <v/>
      </c>
    </row>
    <row r="1008" spans="1:64" x14ac:dyDescent="0.25">
      <c r="A1008" s="762">
        <f t="shared" si="360"/>
        <v>1003</v>
      </c>
      <c r="B1008" s="229"/>
      <c r="C1008" s="223"/>
      <c r="D1008" s="224"/>
      <c r="E1008" s="225"/>
      <c r="F1008" s="1036" t="str">
        <f t="shared" si="366"/>
        <v/>
      </c>
      <c r="G1008" s="1037" t="str">
        <f t="shared" si="361"/>
        <v/>
      </c>
      <c r="H1008" s="225"/>
      <c r="I1008" s="1013"/>
      <c r="J1008" s="1013"/>
      <c r="K1008" s="1028"/>
      <c r="L1008" s="1035" t="str">
        <f t="shared" si="365"/>
        <v/>
      </c>
      <c r="S1008" s="498"/>
      <c r="AJ1008" s="498"/>
      <c r="AM1008" s="498">
        <f t="shared" si="346"/>
        <v>0</v>
      </c>
      <c r="AN1008" s="498">
        <f t="shared" si="347"/>
        <v>0</v>
      </c>
      <c r="AO1008" s="498">
        <f t="shared" si="348"/>
        <v>0</v>
      </c>
      <c r="AP1008" s="498">
        <f t="shared" si="367"/>
        <v>0</v>
      </c>
      <c r="AQ1008" s="498">
        <f t="shared" si="362"/>
        <v>0</v>
      </c>
      <c r="AU1008" s="498">
        <f t="shared" si="349"/>
        <v>0</v>
      </c>
      <c r="AV1008" s="498">
        <f t="shared" si="350"/>
        <v>0</v>
      </c>
      <c r="AW1008" s="498">
        <f t="shared" si="351"/>
        <v>0</v>
      </c>
      <c r="AX1008" s="498">
        <f t="shared" si="352"/>
        <v>0</v>
      </c>
      <c r="AY1008" s="498">
        <f t="shared" si="353"/>
        <v>0</v>
      </c>
      <c r="BB1008" s="498" t="str">
        <f t="shared" si="354"/>
        <v/>
      </c>
      <c r="BC1008" s="743" t="str">
        <f t="shared" si="355"/>
        <v/>
      </c>
      <c r="BD1008" s="743" t="str">
        <f t="shared" si="356"/>
        <v/>
      </c>
      <c r="BE1008" s="743" t="str">
        <f>IF(D1008="","",VLOOKUP(D1008,'General Basis'!$J$39:$K$46,2,0))</f>
        <v/>
      </c>
      <c r="BF1008" s="744" t="str">
        <f>IF(D1008="","",VLOOKUP(D1008,'General Basis'!$J$39:$L$46,3,0))</f>
        <v/>
      </c>
      <c r="BG1008" s="744" t="str">
        <f t="shared" si="363"/>
        <v/>
      </c>
      <c r="BH1008" s="744" t="str">
        <f>IF(G1008="","",IF(BF1008="Abu Dhabi",IF(G1008&lt;18,'General Basis'!$C$39,IF(G1008&lt;41,'General Basis'!$C$40,IF(G1008&lt;60,'General Basis'!$C$41,IF(G1008&lt;65,'General Basis'!$C$42,'General Basis'!$C$43)))),IF(G1008&lt;11,'General Basis'!$B$39,IF(G1008&lt;18,'General Basis'!$B$40,IF(G1008&lt;26,'General Basis'!$B$41,IF(G1008&lt;31,'General Basis'!$B$42,IF(G1008&lt;36,'General Basis'!$B$43,IF(G1008&lt;41,'General Basis'!$B$44,IF(G1008&lt;46,'General Basis'!$B$45,IF(G1008&lt;51,'General Basis'!$B$46,IF(G1008&lt;56,'General Basis'!$B$47,IF(G1008&lt;60,'General Basis'!$B$48,IF(G1008&lt;65,'General Basis'!$B$49,'General Basis'!$B$50)))))))))))))</f>
        <v/>
      </c>
      <c r="BI1008" s="744" t="str">
        <f t="shared" si="357"/>
        <v/>
      </c>
      <c r="BJ1008" s="747" t="str">
        <f t="shared" si="364"/>
        <v/>
      </c>
      <c r="BK1008" s="498" t="str">
        <f t="shared" si="358"/>
        <v/>
      </c>
      <c r="BL1008" s="498" t="str">
        <f t="shared" si="359"/>
        <v/>
      </c>
    </row>
    <row r="1009" spans="1:64" x14ac:dyDescent="0.25">
      <c r="A1009" s="762">
        <f t="shared" si="360"/>
        <v>1004</v>
      </c>
      <c r="B1009" s="229"/>
      <c r="C1009" s="223"/>
      <c r="D1009" s="224"/>
      <c r="E1009" s="225"/>
      <c r="F1009" s="1036" t="str">
        <f t="shared" si="366"/>
        <v/>
      </c>
      <c r="G1009" s="1037" t="str">
        <f t="shared" si="361"/>
        <v/>
      </c>
      <c r="H1009" s="225"/>
      <c r="I1009" s="1013"/>
      <c r="J1009" s="1013"/>
      <c r="K1009" s="1028"/>
      <c r="L1009" s="1035" t="str">
        <f t="shared" si="365"/>
        <v/>
      </c>
      <c r="S1009" s="498"/>
      <c r="AJ1009" s="498"/>
      <c r="AM1009" s="498">
        <f t="shared" si="346"/>
        <v>0</v>
      </c>
      <c r="AN1009" s="498">
        <f t="shared" si="347"/>
        <v>0</v>
      </c>
      <c r="AO1009" s="498">
        <f t="shared" si="348"/>
        <v>0</v>
      </c>
      <c r="AP1009" s="498">
        <f t="shared" si="367"/>
        <v>0</v>
      </c>
      <c r="AQ1009" s="498">
        <f t="shared" si="362"/>
        <v>0</v>
      </c>
      <c r="AU1009" s="498">
        <f t="shared" si="349"/>
        <v>0</v>
      </c>
      <c r="AV1009" s="498">
        <f t="shared" si="350"/>
        <v>0</v>
      </c>
      <c r="AW1009" s="498">
        <f t="shared" si="351"/>
        <v>0</v>
      </c>
      <c r="AX1009" s="498">
        <f t="shared" si="352"/>
        <v>0</v>
      </c>
      <c r="AY1009" s="498">
        <f t="shared" si="353"/>
        <v>0</v>
      </c>
      <c r="BB1009" s="498" t="str">
        <f t="shared" si="354"/>
        <v/>
      </c>
      <c r="BC1009" s="743" t="str">
        <f t="shared" si="355"/>
        <v/>
      </c>
      <c r="BD1009" s="743" t="str">
        <f t="shared" si="356"/>
        <v/>
      </c>
      <c r="BE1009" s="743" t="str">
        <f>IF(D1009="","",VLOOKUP(D1009,'General Basis'!$J$39:$K$46,2,0))</f>
        <v/>
      </c>
      <c r="BF1009" s="744" t="str">
        <f>IF(D1009="","",VLOOKUP(D1009,'General Basis'!$J$39:$L$46,3,0))</f>
        <v/>
      </c>
      <c r="BG1009" s="744" t="str">
        <f t="shared" si="363"/>
        <v/>
      </c>
      <c r="BH1009" s="744" t="str">
        <f>IF(G1009="","",IF(BF1009="Abu Dhabi",IF(G1009&lt;18,'General Basis'!$C$39,IF(G1009&lt;41,'General Basis'!$C$40,IF(G1009&lt;60,'General Basis'!$C$41,IF(G1009&lt;65,'General Basis'!$C$42,'General Basis'!$C$43)))),IF(G1009&lt;11,'General Basis'!$B$39,IF(G1009&lt;18,'General Basis'!$B$40,IF(G1009&lt;26,'General Basis'!$B$41,IF(G1009&lt;31,'General Basis'!$B$42,IF(G1009&lt;36,'General Basis'!$B$43,IF(G1009&lt;41,'General Basis'!$B$44,IF(G1009&lt;46,'General Basis'!$B$45,IF(G1009&lt;51,'General Basis'!$B$46,IF(G1009&lt;56,'General Basis'!$B$47,IF(G1009&lt;60,'General Basis'!$B$48,IF(G1009&lt;65,'General Basis'!$B$49,'General Basis'!$B$50)))))))))))))</f>
        <v/>
      </c>
      <c r="BI1009" s="744" t="str">
        <f t="shared" si="357"/>
        <v/>
      </c>
      <c r="BJ1009" s="747" t="str">
        <f t="shared" si="364"/>
        <v/>
      </c>
      <c r="BK1009" s="498" t="str">
        <f t="shared" si="358"/>
        <v/>
      </c>
      <c r="BL1009" s="498" t="str">
        <f t="shared" si="359"/>
        <v/>
      </c>
    </row>
    <row r="1010" spans="1:64" x14ac:dyDescent="0.25">
      <c r="A1010" s="762">
        <f t="shared" si="360"/>
        <v>1005</v>
      </c>
      <c r="B1010" s="229"/>
      <c r="C1010" s="223"/>
      <c r="D1010" s="224"/>
      <c r="E1010" s="225"/>
      <c r="F1010" s="1036" t="str">
        <f t="shared" si="366"/>
        <v/>
      </c>
      <c r="G1010" s="1037" t="str">
        <f t="shared" si="361"/>
        <v/>
      </c>
      <c r="H1010" s="225"/>
      <c r="I1010" s="1013"/>
      <c r="J1010" s="1013"/>
      <c r="K1010" s="1028"/>
      <c r="L1010" s="1035" t="str">
        <f t="shared" si="365"/>
        <v/>
      </c>
      <c r="S1010" s="498"/>
      <c r="AJ1010" s="498"/>
      <c r="AM1010" s="498">
        <f t="shared" si="346"/>
        <v>0</v>
      </c>
      <c r="AN1010" s="498">
        <f t="shared" si="347"/>
        <v>0</v>
      </c>
      <c r="AO1010" s="498">
        <f t="shared" si="348"/>
        <v>0</v>
      </c>
      <c r="AP1010" s="498">
        <f t="shared" si="367"/>
        <v>0</v>
      </c>
      <c r="AQ1010" s="498">
        <f t="shared" si="362"/>
        <v>0</v>
      </c>
      <c r="AU1010" s="498">
        <f t="shared" si="349"/>
        <v>0</v>
      </c>
      <c r="AV1010" s="498">
        <f t="shared" si="350"/>
        <v>0</v>
      </c>
      <c r="AW1010" s="498">
        <f t="shared" si="351"/>
        <v>0</v>
      </c>
      <c r="AX1010" s="498">
        <f t="shared" si="352"/>
        <v>0</v>
      </c>
      <c r="AY1010" s="498">
        <f t="shared" si="353"/>
        <v>0</v>
      </c>
      <c r="BB1010" s="498" t="str">
        <f t="shared" si="354"/>
        <v/>
      </c>
      <c r="BC1010" s="743" t="str">
        <f t="shared" si="355"/>
        <v/>
      </c>
      <c r="BD1010" s="743" t="str">
        <f t="shared" si="356"/>
        <v/>
      </c>
      <c r="BE1010" s="743" t="str">
        <f>IF(D1010="","",VLOOKUP(D1010,'General Basis'!$J$39:$K$46,2,0))</f>
        <v/>
      </c>
      <c r="BF1010" s="744" t="str">
        <f>IF(D1010="","",VLOOKUP(D1010,'General Basis'!$J$39:$L$46,3,0))</f>
        <v/>
      </c>
      <c r="BG1010" s="744" t="str">
        <f t="shared" si="363"/>
        <v/>
      </c>
      <c r="BH1010" s="744" t="str">
        <f>IF(G1010="","",IF(BF1010="Abu Dhabi",IF(G1010&lt;18,'General Basis'!$C$39,IF(G1010&lt;41,'General Basis'!$C$40,IF(G1010&lt;60,'General Basis'!$C$41,IF(G1010&lt;65,'General Basis'!$C$42,'General Basis'!$C$43)))),IF(G1010&lt;11,'General Basis'!$B$39,IF(G1010&lt;18,'General Basis'!$B$40,IF(G1010&lt;26,'General Basis'!$B$41,IF(G1010&lt;31,'General Basis'!$B$42,IF(G1010&lt;36,'General Basis'!$B$43,IF(G1010&lt;41,'General Basis'!$B$44,IF(G1010&lt;46,'General Basis'!$B$45,IF(G1010&lt;51,'General Basis'!$B$46,IF(G1010&lt;56,'General Basis'!$B$47,IF(G1010&lt;60,'General Basis'!$B$48,IF(G1010&lt;65,'General Basis'!$B$49,'General Basis'!$B$50)))))))))))))</f>
        <v/>
      </c>
      <c r="BI1010" s="744" t="str">
        <f t="shared" si="357"/>
        <v/>
      </c>
      <c r="BJ1010" s="747" t="str">
        <f t="shared" si="364"/>
        <v/>
      </c>
      <c r="BK1010" s="498" t="str">
        <f t="shared" si="358"/>
        <v/>
      </c>
      <c r="BL1010" s="498" t="str">
        <f t="shared" si="359"/>
        <v/>
      </c>
    </row>
    <row r="1011" spans="1:64" x14ac:dyDescent="0.25">
      <c r="A1011" s="762">
        <f t="shared" si="360"/>
        <v>1006</v>
      </c>
      <c r="B1011" s="229"/>
      <c r="C1011" s="223"/>
      <c r="D1011" s="224"/>
      <c r="E1011" s="225"/>
      <c r="F1011" s="1036" t="str">
        <f t="shared" si="366"/>
        <v/>
      </c>
      <c r="G1011" s="1037" t="str">
        <f t="shared" si="361"/>
        <v/>
      </c>
      <c r="H1011" s="225"/>
      <c r="I1011" s="1013"/>
      <c r="J1011" s="1013"/>
      <c r="K1011" s="1028"/>
      <c r="L1011" s="1035" t="str">
        <f t="shared" si="365"/>
        <v/>
      </c>
      <c r="S1011" s="498"/>
      <c r="AJ1011" s="498"/>
      <c r="AM1011" s="498">
        <f t="shared" si="346"/>
        <v>0</v>
      </c>
      <c r="AN1011" s="498">
        <f t="shared" si="347"/>
        <v>0</v>
      </c>
      <c r="AO1011" s="498">
        <f t="shared" si="348"/>
        <v>0</v>
      </c>
      <c r="AP1011" s="498">
        <f t="shared" si="367"/>
        <v>0</v>
      </c>
      <c r="AQ1011" s="498">
        <f t="shared" si="362"/>
        <v>0</v>
      </c>
      <c r="AU1011" s="498">
        <f t="shared" si="349"/>
        <v>0</v>
      </c>
      <c r="AV1011" s="498">
        <f t="shared" si="350"/>
        <v>0</v>
      </c>
      <c r="AW1011" s="498">
        <f t="shared" si="351"/>
        <v>0</v>
      </c>
      <c r="AX1011" s="498">
        <f t="shared" si="352"/>
        <v>0</v>
      </c>
      <c r="AY1011" s="498">
        <f t="shared" si="353"/>
        <v>0</v>
      </c>
      <c r="BB1011" s="498" t="str">
        <f t="shared" si="354"/>
        <v/>
      </c>
      <c r="BC1011" s="743" t="str">
        <f t="shared" si="355"/>
        <v/>
      </c>
      <c r="BD1011" s="743" t="str">
        <f t="shared" si="356"/>
        <v/>
      </c>
      <c r="BE1011" s="743" t="str">
        <f>IF(D1011="","",VLOOKUP(D1011,'General Basis'!$J$39:$K$46,2,0))</f>
        <v/>
      </c>
      <c r="BF1011" s="744" t="str">
        <f>IF(D1011="","",VLOOKUP(D1011,'General Basis'!$J$39:$L$46,3,0))</f>
        <v/>
      </c>
      <c r="BG1011" s="744" t="str">
        <f t="shared" si="363"/>
        <v/>
      </c>
      <c r="BH1011" s="744" t="str">
        <f>IF(G1011="","",IF(BF1011="Abu Dhabi",IF(G1011&lt;18,'General Basis'!$C$39,IF(G1011&lt;41,'General Basis'!$C$40,IF(G1011&lt;60,'General Basis'!$C$41,IF(G1011&lt;65,'General Basis'!$C$42,'General Basis'!$C$43)))),IF(G1011&lt;11,'General Basis'!$B$39,IF(G1011&lt;18,'General Basis'!$B$40,IF(G1011&lt;26,'General Basis'!$B$41,IF(G1011&lt;31,'General Basis'!$B$42,IF(G1011&lt;36,'General Basis'!$B$43,IF(G1011&lt;41,'General Basis'!$B$44,IF(G1011&lt;46,'General Basis'!$B$45,IF(G1011&lt;51,'General Basis'!$B$46,IF(G1011&lt;56,'General Basis'!$B$47,IF(G1011&lt;60,'General Basis'!$B$48,IF(G1011&lt;65,'General Basis'!$B$49,'General Basis'!$B$50)))))))))))))</f>
        <v/>
      </c>
      <c r="BI1011" s="744" t="str">
        <f t="shared" si="357"/>
        <v/>
      </c>
      <c r="BJ1011" s="747" t="str">
        <f t="shared" si="364"/>
        <v/>
      </c>
      <c r="BK1011" s="498" t="str">
        <f t="shared" si="358"/>
        <v/>
      </c>
      <c r="BL1011" s="498" t="str">
        <f t="shared" si="359"/>
        <v/>
      </c>
    </row>
    <row r="1012" spans="1:64" x14ac:dyDescent="0.25">
      <c r="A1012" s="762">
        <f t="shared" si="360"/>
        <v>1007</v>
      </c>
      <c r="B1012" s="229"/>
      <c r="C1012" s="223"/>
      <c r="D1012" s="224"/>
      <c r="E1012" s="225"/>
      <c r="F1012" s="1036" t="str">
        <f t="shared" si="366"/>
        <v/>
      </c>
      <c r="G1012" s="1037" t="str">
        <f t="shared" si="361"/>
        <v/>
      </c>
      <c r="H1012" s="225"/>
      <c r="I1012" s="1013"/>
      <c r="J1012" s="1013"/>
      <c r="K1012" s="1028"/>
      <c r="L1012" s="1035" t="str">
        <f t="shared" si="365"/>
        <v/>
      </c>
      <c r="S1012" s="498"/>
      <c r="AJ1012" s="498"/>
      <c r="AM1012" s="498">
        <f t="shared" si="346"/>
        <v>0</v>
      </c>
      <c r="AN1012" s="498">
        <f t="shared" si="347"/>
        <v>0</v>
      </c>
      <c r="AO1012" s="498">
        <f t="shared" si="348"/>
        <v>0</v>
      </c>
      <c r="AP1012" s="498">
        <f t="shared" si="367"/>
        <v>0</v>
      </c>
      <c r="AQ1012" s="498">
        <f t="shared" si="362"/>
        <v>0</v>
      </c>
      <c r="AU1012" s="498">
        <f t="shared" si="349"/>
        <v>0</v>
      </c>
      <c r="AV1012" s="498">
        <f t="shared" si="350"/>
        <v>0</v>
      </c>
      <c r="AW1012" s="498">
        <f t="shared" si="351"/>
        <v>0</v>
      </c>
      <c r="AX1012" s="498">
        <f t="shared" si="352"/>
        <v>0</v>
      </c>
      <c r="AY1012" s="498">
        <f t="shared" si="353"/>
        <v>0</v>
      </c>
      <c r="BB1012" s="498" t="str">
        <f t="shared" si="354"/>
        <v/>
      </c>
      <c r="BC1012" s="743" t="str">
        <f t="shared" si="355"/>
        <v/>
      </c>
      <c r="BD1012" s="743" t="str">
        <f t="shared" si="356"/>
        <v/>
      </c>
      <c r="BE1012" s="743" t="str">
        <f>IF(D1012="","",VLOOKUP(D1012,'General Basis'!$J$39:$K$46,2,0))</f>
        <v/>
      </c>
      <c r="BF1012" s="744" t="str">
        <f>IF(D1012="","",VLOOKUP(D1012,'General Basis'!$J$39:$L$46,3,0))</f>
        <v/>
      </c>
      <c r="BG1012" s="744" t="str">
        <f t="shared" si="363"/>
        <v/>
      </c>
      <c r="BH1012" s="744" t="str">
        <f>IF(G1012="","",IF(BF1012="Abu Dhabi",IF(G1012&lt;18,'General Basis'!$C$39,IF(G1012&lt;41,'General Basis'!$C$40,IF(G1012&lt;60,'General Basis'!$C$41,IF(G1012&lt;65,'General Basis'!$C$42,'General Basis'!$C$43)))),IF(G1012&lt;11,'General Basis'!$B$39,IF(G1012&lt;18,'General Basis'!$B$40,IF(G1012&lt;26,'General Basis'!$B$41,IF(G1012&lt;31,'General Basis'!$B$42,IF(G1012&lt;36,'General Basis'!$B$43,IF(G1012&lt;41,'General Basis'!$B$44,IF(G1012&lt;46,'General Basis'!$B$45,IF(G1012&lt;51,'General Basis'!$B$46,IF(G1012&lt;56,'General Basis'!$B$47,IF(G1012&lt;60,'General Basis'!$B$48,IF(G1012&lt;65,'General Basis'!$B$49,'General Basis'!$B$50)))))))))))))</f>
        <v/>
      </c>
      <c r="BI1012" s="744" t="str">
        <f t="shared" si="357"/>
        <v/>
      </c>
      <c r="BJ1012" s="747" t="str">
        <f t="shared" si="364"/>
        <v/>
      </c>
      <c r="BK1012" s="498" t="str">
        <f t="shared" si="358"/>
        <v/>
      </c>
      <c r="BL1012" s="498" t="str">
        <f t="shared" si="359"/>
        <v/>
      </c>
    </row>
    <row r="1013" spans="1:64" x14ac:dyDescent="0.25">
      <c r="A1013" s="762">
        <f t="shared" si="360"/>
        <v>1008</v>
      </c>
      <c r="B1013" s="229"/>
      <c r="C1013" s="223"/>
      <c r="D1013" s="224"/>
      <c r="E1013" s="225"/>
      <c r="F1013" s="1036" t="str">
        <f t="shared" si="366"/>
        <v/>
      </c>
      <c r="G1013" s="1037" t="str">
        <f t="shared" si="361"/>
        <v/>
      </c>
      <c r="H1013" s="225"/>
      <c r="I1013" s="1013"/>
      <c r="J1013" s="1013"/>
      <c r="K1013" s="1028"/>
      <c r="L1013" s="1035" t="str">
        <f t="shared" si="365"/>
        <v/>
      </c>
      <c r="S1013" s="498"/>
      <c r="AJ1013" s="498"/>
      <c r="AM1013" s="498">
        <f t="shared" si="346"/>
        <v>0</v>
      </c>
      <c r="AN1013" s="498">
        <f t="shared" si="347"/>
        <v>0</v>
      </c>
      <c r="AO1013" s="498">
        <f t="shared" si="348"/>
        <v>0</v>
      </c>
      <c r="AP1013" s="498">
        <f t="shared" si="367"/>
        <v>0</v>
      </c>
      <c r="AQ1013" s="498">
        <f t="shared" si="362"/>
        <v>0</v>
      </c>
      <c r="AU1013" s="498">
        <f t="shared" si="349"/>
        <v>0</v>
      </c>
      <c r="AV1013" s="498">
        <f t="shared" si="350"/>
        <v>0</v>
      </c>
      <c r="AW1013" s="498">
        <f t="shared" si="351"/>
        <v>0</v>
      </c>
      <c r="AX1013" s="498">
        <f t="shared" si="352"/>
        <v>0</v>
      </c>
      <c r="AY1013" s="498">
        <f t="shared" si="353"/>
        <v>0</v>
      </c>
      <c r="BB1013" s="498" t="str">
        <f t="shared" si="354"/>
        <v/>
      </c>
      <c r="BC1013" s="743" t="str">
        <f t="shared" si="355"/>
        <v/>
      </c>
      <c r="BD1013" s="743" t="str">
        <f t="shared" si="356"/>
        <v/>
      </c>
      <c r="BE1013" s="743" t="str">
        <f>IF(D1013="","",VLOOKUP(D1013,'General Basis'!$J$39:$K$46,2,0))</f>
        <v/>
      </c>
      <c r="BF1013" s="744" t="str">
        <f>IF(D1013="","",VLOOKUP(D1013,'General Basis'!$J$39:$L$46,3,0))</f>
        <v/>
      </c>
      <c r="BG1013" s="744" t="str">
        <f t="shared" si="363"/>
        <v/>
      </c>
      <c r="BH1013" s="744" t="str">
        <f>IF(G1013="","",IF(BF1013="Abu Dhabi",IF(G1013&lt;18,'General Basis'!$C$39,IF(G1013&lt;41,'General Basis'!$C$40,IF(G1013&lt;60,'General Basis'!$C$41,IF(G1013&lt;65,'General Basis'!$C$42,'General Basis'!$C$43)))),IF(G1013&lt;11,'General Basis'!$B$39,IF(G1013&lt;18,'General Basis'!$B$40,IF(G1013&lt;26,'General Basis'!$B$41,IF(G1013&lt;31,'General Basis'!$B$42,IF(G1013&lt;36,'General Basis'!$B$43,IF(G1013&lt;41,'General Basis'!$B$44,IF(G1013&lt;46,'General Basis'!$B$45,IF(G1013&lt;51,'General Basis'!$B$46,IF(G1013&lt;56,'General Basis'!$B$47,IF(G1013&lt;60,'General Basis'!$B$48,IF(G1013&lt;65,'General Basis'!$B$49,'General Basis'!$B$50)))))))))))))</f>
        <v/>
      </c>
      <c r="BI1013" s="744" t="str">
        <f t="shared" si="357"/>
        <v/>
      </c>
      <c r="BJ1013" s="747" t="str">
        <f t="shared" si="364"/>
        <v/>
      </c>
      <c r="BK1013" s="498" t="str">
        <f t="shared" si="358"/>
        <v/>
      </c>
      <c r="BL1013" s="498" t="str">
        <f t="shared" si="359"/>
        <v/>
      </c>
    </row>
    <row r="1014" spans="1:64" x14ac:dyDescent="0.25">
      <c r="A1014" s="762">
        <f t="shared" si="360"/>
        <v>1009</v>
      </c>
      <c r="B1014" s="229"/>
      <c r="C1014" s="223"/>
      <c r="D1014" s="224"/>
      <c r="E1014" s="225"/>
      <c r="F1014" s="1036" t="str">
        <f t="shared" si="366"/>
        <v/>
      </c>
      <c r="G1014" s="1037" t="str">
        <f t="shared" si="361"/>
        <v/>
      </c>
      <c r="H1014" s="225"/>
      <c r="I1014" s="1013"/>
      <c r="J1014" s="1013"/>
      <c r="K1014" s="1028"/>
      <c r="L1014" s="1035" t="str">
        <f t="shared" si="365"/>
        <v/>
      </c>
      <c r="S1014" s="498"/>
      <c r="AJ1014" s="498"/>
      <c r="AM1014" s="498">
        <f t="shared" si="346"/>
        <v>0</v>
      </c>
      <c r="AN1014" s="498">
        <f t="shared" si="347"/>
        <v>0</v>
      </c>
      <c r="AO1014" s="498">
        <f t="shared" si="348"/>
        <v>0</v>
      </c>
      <c r="AP1014" s="498">
        <f t="shared" si="367"/>
        <v>0</v>
      </c>
      <c r="AQ1014" s="498">
        <f t="shared" si="362"/>
        <v>0</v>
      </c>
      <c r="AU1014" s="498">
        <f t="shared" si="349"/>
        <v>0</v>
      </c>
      <c r="AV1014" s="498">
        <f t="shared" si="350"/>
        <v>0</v>
      </c>
      <c r="AW1014" s="498">
        <f t="shared" si="351"/>
        <v>0</v>
      </c>
      <c r="AX1014" s="498">
        <f t="shared" si="352"/>
        <v>0</v>
      </c>
      <c r="AY1014" s="498">
        <f t="shared" si="353"/>
        <v>0</v>
      </c>
      <c r="BB1014" s="498" t="str">
        <f t="shared" si="354"/>
        <v/>
      </c>
      <c r="BC1014" s="743" t="str">
        <f t="shared" si="355"/>
        <v/>
      </c>
      <c r="BD1014" s="743" t="str">
        <f t="shared" si="356"/>
        <v/>
      </c>
      <c r="BE1014" s="743" t="str">
        <f>IF(D1014="","",VLOOKUP(D1014,'General Basis'!$J$39:$K$46,2,0))</f>
        <v/>
      </c>
      <c r="BF1014" s="744" t="str">
        <f>IF(D1014="","",VLOOKUP(D1014,'General Basis'!$J$39:$L$46,3,0))</f>
        <v/>
      </c>
      <c r="BG1014" s="744" t="str">
        <f t="shared" si="363"/>
        <v/>
      </c>
      <c r="BH1014" s="744" t="str">
        <f>IF(G1014="","",IF(BF1014="Abu Dhabi",IF(G1014&lt;18,'General Basis'!$C$39,IF(G1014&lt;41,'General Basis'!$C$40,IF(G1014&lt;60,'General Basis'!$C$41,IF(G1014&lt;65,'General Basis'!$C$42,'General Basis'!$C$43)))),IF(G1014&lt;11,'General Basis'!$B$39,IF(G1014&lt;18,'General Basis'!$B$40,IF(G1014&lt;26,'General Basis'!$B$41,IF(G1014&lt;31,'General Basis'!$B$42,IF(G1014&lt;36,'General Basis'!$B$43,IF(G1014&lt;41,'General Basis'!$B$44,IF(G1014&lt;46,'General Basis'!$B$45,IF(G1014&lt;51,'General Basis'!$B$46,IF(G1014&lt;56,'General Basis'!$B$47,IF(G1014&lt;60,'General Basis'!$B$48,IF(G1014&lt;65,'General Basis'!$B$49,'General Basis'!$B$50)))))))))))))</f>
        <v/>
      </c>
      <c r="BI1014" s="744" t="str">
        <f t="shared" si="357"/>
        <v/>
      </c>
      <c r="BJ1014" s="747" t="str">
        <f t="shared" si="364"/>
        <v/>
      </c>
      <c r="BK1014" s="498" t="str">
        <f t="shared" si="358"/>
        <v/>
      </c>
      <c r="BL1014" s="498" t="str">
        <f t="shared" si="359"/>
        <v/>
      </c>
    </row>
    <row r="1015" spans="1:64" x14ac:dyDescent="0.25">
      <c r="A1015" s="762">
        <f t="shared" si="360"/>
        <v>1010</v>
      </c>
      <c r="B1015" s="229"/>
      <c r="C1015" s="223"/>
      <c r="D1015" s="224"/>
      <c r="E1015" s="225"/>
      <c r="F1015" s="1036" t="str">
        <f t="shared" si="366"/>
        <v/>
      </c>
      <c r="G1015" s="1037" t="str">
        <f t="shared" si="361"/>
        <v/>
      </c>
      <c r="H1015" s="225"/>
      <c r="I1015" s="1013"/>
      <c r="J1015" s="1013"/>
      <c r="K1015" s="1028"/>
      <c r="L1015" s="1035" t="str">
        <f t="shared" si="365"/>
        <v/>
      </c>
      <c r="S1015" s="498"/>
      <c r="AJ1015" s="498"/>
      <c r="AM1015" s="498">
        <f t="shared" si="346"/>
        <v>0</v>
      </c>
      <c r="AN1015" s="498">
        <f t="shared" si="347"/>
        <v>0</v>
      </c>
      <c r="AO1015" s="498">
        <f t="shared" si="348"/>
        <v>0</v>
      </c>
      <c r="AP1015" s="498">
        <f t="shared" si="367"/>
        <v>0</v>
      </c>
      <c r="AQ1015" s="498">
        <f t="shared" si="362"/>
        <v>0</v>
      </c>
      <c r="AU1015" s="498">
        <f t="shared" si="349"/>
        <v>0</v>
      </c>
      <c r="AV1015" s="498">
        <f t="shared" si="350"/>
        <v>0</v>
      </c>
      <c r="AW1015" s="498">
        <f t="shared" si="351"/>
        <v>0</v>
      </c>
      <c r="AX1015" s="498">
        <f t="shared" si="352"/>
        <v>0</v>
      </c>
      <c r="AY1015" s="498">
        <f t="shared" si="353"/>
        <v>0</v>
      </c>
      <c r="BB1015" s="498" t="str">
        <f t="shared" si="354"/>
        <v/>
      </c>
      <c r="BC1015" s="743" t="str">
        <f t="shared" si="355"/>
        <v/>
      </c>
      <c r="BD1015" s="743" t="str">
        <f t="shared" si="356"/>
        <v/>
      </c>
      <c r="BE1015" s="743" t="str">
        <f>IF(D1015="","",VLOOKUP(D1015,'General Basis'!$J$39:$K$46,2,0))</f>
        <v/>
      </c>
      <c r="BF1015" s="744" t="str">
        <f>IF(D1015="","",VLOOKUP(D1015,'General Basis'!$J$39:$L$46,3,0))</f>
        <v/>
      </c>
      <c r="BG1015" s="744" t="str">
        <f t="shared" si="363"/>
        <v/>
      </c>
      <c r="BH1015" s="744" t="str">
        <f>IF(G1015="","",IF(BF1015="Abu Dhabi",IF(G1015&lt;18,'General Basis'!$C$39,IF(G1015&lt;41,'General Basis'!$C$40,IF(G1015&lt;60,'General Basis'!$C$41,IF(G1015&lt;65,'General Basis'!$C$42,'General Basis'!$C$43)))),IF(G1015&lt;11,'General Basis'!$B$39,IF(G1015&lt;18,'General Basis'!$B$40,IF(G1015&lt;26,'General Basis'!$B$41,IF(G1015&lt;31,'General Basis'!$B$42,IF(G1015&lt;36,'General Basis'!$B$43,IF(G1015&lt;41,'General Basis'!$B$44,IF(G1015&lt;46,'General Basis'!$B$45,IF(G1015&lt;51,'General Basis'!$B$46,IF(G1015&lt;56,'General Basis'!$B$47,IF(G1015&lt;60,'General Basis'!$B$48,IF(G1015&lt;65,'General Basis'!$B$49,'General Basis'!$B$50)))))))))))))</f>
        <v/>
      </c>
      <c r="BI1015" s="744" t="str">
        <f t="shared" si="357"/>
        <v/>
      </c>
      <c r="BJ1015" s="747" t="str">
        <f t="shared" si="364"/>
        <v/>
      </c>
      <c r="BK1015" s="498" t="str">
        <f t="shared" si="358"/>
        <v/>
      </c>
      <c r="BL1015" s="498" t="str">
        <f t="shared" si="359"/>
        <v/>
      </c>
    </row>
    <row r="1016" spans="1:64" x14ac:dyDescent="0.25">
      <c r="A1016" s="762">
        <f t="shared" si="360"/>
        <v>1011</v>
      </c>
      <c r="B1016" s="229"/>
      <c r="C1016" s="223"/>
      <c r="D1016" s="224"/>
      <c r="E1016" s="225"/>
      <c r="F1016" s="1036" t="str">
        <f t="shared" si="366"/>
        <v/>
      </c>
      <c r="G1016" s="1037" t="str">
        <f t="shared" si="361"/>
        <v/>
      </c>
      <c r="H1016" s="225"/>
      <c r="I1016" s="1013"/>
      <c r="J1016" s="1013"/>
      <c r="K1016" s="1028"/>
      <c r="L1016" s="1035" t="str">
        <f t="shared" si="365"/>
        <v/>
      </c>
      <c r="S1016" s="498"/>
      <c r="AJ1016" s="498"/>
      <c r="AM1016" s="498">
        <f t="shared" si="346"/>
        <v>0</v>
      </c>
      <c r="AN1016" s="498">
        <f t="shared" si="347"/>
        <v>0</v>
      </c>
      <c r="AO1016" s="498">
        <f t="shared" si="348"/>
        <v>0</v>
      </c>
      <c r="AP1016" s="498">
        <f t="shared" si="367"/>
        <v>0</v>
      </c>
      <c r="AQ1016" s="498">
        <f t="shared" si="362"/>
        <v>0</v>
      </c>
      <c r="AU1016" s="498">
        <f t="shared" si="349"/>
        <v>0</v>
      </c>
      <c r="AV1016" s="498">
        <f t="shared" si="350"/>
        <v>0</v>
      </c>
      <c r="AW1016" s="498">
        <f t="shared" si="351"/>
        <v>0</v>
      </c>
      <c r="AX1016" s="498">
        <f t="shared" si="352"/>
        <v>0</v>
      </c>
      <c r="AY1016" s="498">
        <f t="shared" si="353"/>
        <v>0</v>
      </c>
      <c r="BB1016" s="498" t="str">
        <f t="shared" si="354"/>
        <v/>
      </c>
      <c r="BC1016" s="743" t="str">
        <f t="shared" si="355"/>
        <v/>
      </c>
      <c r="BD1016" s="743" t="str">
        <f t="shared" si="356"/>
        <v/>
      </c>
      <c r="BE1016" s="743" t="str">
        <f>IF(D1016="","",VLOOKUP(D1016,'General Basis'!$J$39:$K$46,2,0))</f>
        <v/>
      </c>
      <c r="BF1016" s="744" t="str">
        <f>IF(D1016="","",VLOOKUP(D1016,'General Basis'!$J$39:$L$46,3,0))</f>
        <v/>
      </c>
      <c r="BG1016" s="744" t="str">
        <f t="shared" si="363"/>
        <v/>
      </c>
      <c r="BH1016" s="744" t="str">
        <f>IF(G1016="","",IF(BF1016="Abu Dhabi",IF(G1016&lt;18,'General Basis'!$C$39,IF(G1016&lt;41,'General Basis'!$C$40,IF(G1016&lt;60,'General Basis'!$C$41,IF(G1016&lt;65,'General Basis'!$C$42,'General Basis'!$C$43)))),IF(G1016&lt;11,'General Basis'!$B$39,IF(G1016&lt;18,'General Basis'!$B$40,IF(G1016&lt;26,'General Basis'!$B$41,IF(G1016&lt;31,'General Basis'!$B$42,IF(G1016&lt;36,'General Basis'!$B$43,IF(G1016&lt;41,'General Basis'!$B$44,IF(G1016&lt;46,'General Basis'!$B$45,IF(G1016&lt;51,'General Basis'!$B$46,IF(G1016&lt;56,'General Basis'!$B$47,IF(G1016&lt;60,'General Basis'!$B$48,IF(G1016&lt;65,'General Basis'!$B$49,'General Basis'!$B$50)))))))))))))</f>
        <v/>
      </c>
      <c r="BI1016" s="744" t="str">
        <f t="shared" si="357"/>
        <v/>
      </c>
      <c r="BJ1016" s="747" t="str">
        <f t="shared" si="364"/>
        <v/>
      </c>
      <c r="BK1016" s="498" t="str">
        <f t="shared" si="358"/>
        <v/>
      </c>
      <c r="BL1016" s="498" t="str">
        <f t="shared" si="359"/>
        <v/>
      </c>
    </row>
    <row r="1017" spans="1:64" x14ac:dyDescent="0.25">
      <c r="A1017" s="762">
        <f t="shared" si="360"/>
        <v>1012</v>
      </c>
      <c r="B1017" s="229"/>
      <c r="C1017" s="223"/>
      <c r="D1017" s="224"/>
      <c r="E1017" s="225"/>
      <c r="F1017" s="1036" t="str">
        <f t="shared" si="366"/>
        <v/>
      </c>
      <c r="G1017" s="1037" t="str">
        <f t="shared" si="361"/>
        <v/>
      </c>
      <c r="H1017" s="225"/>
      <c r="I1017" s="1013"/>
      <c r="J1017" s="1013"/>
      <c r="K1017" s="1028"/>
      <c r="L1017" s="1035" t="str">
        <f t="shared" si="365"/>
        <v/>
      </c>
      <c r="S1017" s="498"/>
      <c r="AJ1017" s="498"/>
      <c r="AM1017" s="498">
        <f t="shared" si="346"/>
        <v>0</v>
      </c>
      <c r="AN1017" s="498">
        <f t="shared" si="347"/>
        <v>0</v>
      </c>
      <c r="AO1017" s="498">
        <f t="shared" si="348"/>
        <v>0</v>
      </c>
      <c r="AP1017" s="498">
        <f t="shared" si="367"/>
        <v>0</v>
      </c>
      <c r="AQ1017" s="498">
        <f t="shared" si="362"/>
        <v>0</v>
      </c>
      <c r="AU1017" s="498">
        <f t="shared" si="349"/>
        <v>0</v>
      </c>
      <c r="AV1017" s="498">
        <f t="shared" si="350"/>
        <v>0</v>
      </c>
      <c r="AW1017" s="498">
        <f t="shared" si="351"/>
        <v>0</v>
      </c>
      <c r="AX1017" s="498">
        <f t="shared" si="352"/>
        <v>0</v>
      </c>
      <c r="AY1017" s="498">
        <f t="shared" si="353"/>
        <v>0</v>
      </c>
      <c r="BB1017" s="498" t="str">
        <f t="shared" si="354"/>
        <v/>
      </c>
      <c r="BC1017" s="743" t="str">
        <f t="shared" si="355"/>
        <v/>
      </c>
      <c r="BD1017" s="743" t="str">
        <f t="shared" si="356"/>
        <v/>
      </c>
      <c r="BE1017" s="743" t="str">
        <f>IF(D1017="","",VLOOKUP(D1017,'General Basis'!$J$39:$K$46,2,0))</f>
        <v/>
      </c>
      <c r="BF1017" s="744" t="str">
        <f>IF(D1017="","",VLOOKUP(D1017,'General Basis'!$J$39:$L$46,3,0))</f>
        <v/>
      </c>
      <c r="BG1017" s="744" t="str">
        <f t="shared" si="363"/>
        <v/>
      </c>
      <c r="BH1017" s="744" t="str">
        <f>IF(G1017="","",IF(BF1017="Abu Dhabi",IF(G1017&lt;18,'General Basis'!$C$39,IF(G1017&lt;41,'General Basis'!$C$40,IF(G1017&lt;60,'General Basis'!$C$41,IF(G1017&lt;65,'General Basis'!$C$42,'General Basis'!$C$43)))),IF(G1017&lt;11,'General Basis'!$B$39,IF(G1017&lt;18,'General Basis'!$B$40,IF(G1017&lt;26,'General Basis'!$B$41,IF(G1017&lt;31,'General Basis'!$B$42,IF(G1017&lt;36,'General Basis'!$B$43,IF(G1017&lt;41,'General Basis'!$B$44,IF(G1017&lt;46,'General Basis'!$B$45,IF(G1017&lt;51,'General Basis'!$B$46,IF(G1017&lt;56,'General Basis'!$B$47,IF(G1017&lt;60,'General Basis'!$B$48,IF(G1017&lt;65,'General Basis'!$B$49,'General Basis'!$B$50)))))))))))))</f>
        <v/>
      </c>
      <c r="BI1017" s="744" t="str">
        <f t="shared" si="357"/>
        <v/>
      </c>
      <c r="BJ1017" s="747" t="str">
        <f t="shared" si="364"/>
        <v/>
      </c>
      <c r="BK1017" s="498" t="str">
        <f t="shared" si="358"/>
        <v/>
      </c>
      <c r="BL1017" s="498" t="str">
        <f t="shared" si="359"/>
        <v/>
      </c>
    </row>
    <row r="1018" spans="1:64" x14ac:dyDescent="0.25">
      <c r="A1018" s="762">
        <f t="shared" si="360"/>
        <v>1013</v>
      </c>
      <c r="B1018" s="229"/>
      <c r="C1018" s="223"/>
      <c r="D1018" s="224"/>
      <c r="E1018" s="225"/>
      <c r="F1018" s="1036" t="str">
        <f t="shared" si="366"/>
        <v/>
      </c>
      <c r="G1018" s="1037" t="str">
        <f t="shared" si="361"/>
        <v/>
      </c>
      <c r="H1018" s="225"/>
      <c r="I1018" s="1013"/>
      <c r="J1018" s="1013"/>
      <c r="K1018" s="1028"/>
      <c r="L1018" s="1035" t="str">
        <f t="shared" si="365"/>
        <v/>
      </c>
      <c r="S1018" s="498"/>
      <c r="AJ1018" s="498"/>
      <c r="AM1018" s="498">
        <f t="shared" si="346"/>
        <v>0</v>
      </c>
      <c r="AN1018" s="498">
        <f t="shared" si="347"/>
        <v>0</v>
      </c>
      <c r="AO1018" s="498">
        <f t="shared" si="348"/>
        <v>0</v>
      </c>
      <c r="AP1018" s="498">
        <f t="shared" si="367"/>
        <v>0</v>
      </c>
      <c r="AQ1018" s="498">
        <f t="shared" si="362"/>
        <v>0</v>
      </c>
      <c r="AU1018" s="498">
        <f t="shared" si="349"/>
        <v>0</v>
      </c>
      <c r="AV1018" s="498">
        <f t="shared" si="350"/>
        <v>0</v>
      </c>
      <c r="AW1018" s="498">
        <f t="shared" si="351"/>
        <v>0</v>
      </c>
      <c r="AX1018" s="498">
        <f t="shared" si="352"/>
        <v>0</v>
      </c>
      <c r="AY1018" s="498">
        <f t="shared" si="353"/>
        <v>0</v>
      </c>
      <c r="BB1018" s="498" t="str">
        <f t="shared" si="354"/>
        <v/>
      </c>
      <c r="BC1018" s="743" t="str">
        <f t="shared" si="355"/>
        <v/>
      </c>
      <c r="BD1018" s="743" t="str">
        <f t="shared" si="356"/>
        <v/>
      </c>
      <c r="BE1018" s="743" t="str">
        <f>IF(D1018="","",VLOOKUP(D1018,'General Basis'!$J$39:$K$46,2,0))</f>
        <v/>
      </c>
      <c r="BF1018" s="744" t="str">
        <f>IF(D1018="","",VLOOKUP(D1018,'General Basis'!$J$39:$L$46,3,0))</f>
        <v/>
      </c>
      <c r="BG1018" s="744" t="str">
        <f t="shared" si="363"/>
        <v/>
      </c>
      <c r="BH1018" s="744" t="str">
        <f>IF(G1018="","",IF(BF1018="Abu Dhabi",IF(G1018&lt;18,'General Basis'!$C$39,IF(G1018&lt;41,'General Basis'!$C$40,IF(G1018&lt;60,'General Basis'!$C$41,IF(G1018&lt;65,'General Basis'!$C$42,'General Basis'!$C$43)))),IF(G1018&lt;11,'General Basis'!$B$39,IF(G1018&lt;18,'General Basis'!$B$40,IF(G1018&lt;26,'General Basis'!$B$41,IF(G1018&lt;31,'General Basis'!$B$42,IF(G1018&lt;36,'General Basis'!$B$43,IF(G1018&lt;41,'General Basis'!$B$44,IF(G1018&lt;46,'General Basis'!$B$45,IF(G1018&lt;51,'General Basis'!$B$46,IF(G1018&lt;56,'General Basis'!$B$47,IF(G1018&lt;60,'General Basis'!$B$48,IF(G1018&lt;65,'General Basis'!$B$49,'General Basis'!$B$50)))))))))))))</f>
        <v/>
      </c>
      <c r="BI1018" s="744" t="str">
        <f t="shared" si="357"/>
        <v/>
      </c>
      <c r="BJ1018" s="747" t="str">
        <f t="shared" si="364"/>
        <v/>
      </c>
      <c r="BK1018" s="498" t="str">
        <f t="shared" si="358"/>
        <v/>
      </c>
      <c r="BL1018" s="498" t="str">
        <f t="shared" si="359"/>
        <v/>
      </c>
    </row>
    <row r="1019" spans="1:64" x14ac:dyDescent="0.25">
      <c r="A1019" s="762">
        <f t="shared" si="360"/>
        <v>1014</v>
      </c>
      <c r="B1019" s="229"/>
      <c r="C1019" s="223"/>
      <c r="D1019" s="224"/>
      <c r="E1019" s="225"/>
      <c r="F1019" s="1036" t="str">
        <f t="shared" si="366"/>
        <v/>
      </c>
      <c r="G1019" s="1037" t="str">
        <f t="shared" si="361"/>
        <v/>
      </c>
      <c r="H1019" s="225"/>
      <c r="I1019" s="1013"/>
      <c r="J1019" s="1013"/>
      <c r="K1019" s="1028"/>
      <c r="L1019" s="1035" t="str">
        <f t="shared" si="365"/>
        <v/>
      </c>
      <c r="S1019" s="498"/>
      <c r="AJ1019" s="498"/>
      <c r="AM1019" s="498">
        <f t="shared" si="346"/>
        <v>0</v>
      </c>
      <c r="AN1019" s="498">
        <f t="shared" si="347"/>
        <v>0</v>
      </c>
      <c r="AO1019" s="498">
        <f t="shared" si="348"/>
        <v>0</v>
      </c>
      <c r="AP1019" s="498">
        <f t="shared" si="367"/>
        <v>0</v>
      </c>
      <c r="AQ1019" s="498">
        <f t="shared" si="362"/>
        <v>0</v>
      </c>
      <c r="AU1019" s="498">
        <f t="shared" si="349"/>
        <v>0</v>
      </c>
      <c r="AV1019" s="498">
        <f t="shared" si="350"/>
        <v>0</v>
      </c>
      <c r="AW1019" s="498">
        <f t="shared" si="351"/>
        <v>0</v>
      </c>
      <c r="AX1019" s="498">
        <f t="shared" si="352"/>
        <v>0</v>
      </c>
      <c r="AY1019" s="498">
        <f t="shared" si="353"/>
        <v>0</v>
      </c>
      <c r="BB1019" s="498" t="str">
        <f t="shared" si="354"/>
        <v/>
      </c>
      <c r="BC1019" s="743" t="str">
        <f t="shared" si="355"/>
        <v/>
      </c>
      <c r="BD1019" s="743" t="str">
        <f t="shared" si="356"/>
        <v/>
      </c>
      <c r="BE1019" s="743" t="str">
        <f>IF(D1019="","",VLOOKUP(D1019,'General Basis'!$J$39:$K$46,2,0))</f>
        <v/>
      </c>
      <c r="BF1019" s="744" t="str">
        <f>IF(D1019="","",VLOOKUP(D1019,'General Basis'!$J$39:$L$46,3,0))</f>
        <v/>
      </c>
      <c r="BG1019" s="744" t="str">
        <f t="shared" si="363"/>
        <v/>
      </c>
      <c r="BH1019" s="744" t="str">
        <f>IF(G1019="","",IF(BF1019="Abu Dhabi",IF(G1019&lt;18,'General Basis'!$C$39,IF(G1019&lt;41,'General Basis'!$C$40,IF(G1019&lt;60,'General Basis'!$C$41,IF(G1019&lt;65,'General Basis'!$C$42,'General Basis'!$C$43)))),IF(G1019&lt;11,'General Basis'!$B$39,IF(G1019&lt;18,'General Basis'!$B$40,IF(G1019&lt;26,'General Basis'!$B$41,IF(G1019&lt;31,'General Basis'!$B$42,IF(G1019&lt;36,'General Basis'!$B$43,IF(G1019&lt;41,'General Basis'!$B$44,IF(G1019&lt;46,'General Basis'!$B$45,IF(G1019&lt;51,'General Basis'!$B$46,IF(G1019&lt;56,'General Basis'!$B$47,IF(G1019&lt;60,'General Basis'!$B$48,IF(G1019&lt;65,'General Basis'!$B$49,'General Basis'!$B$50)))))))))))))</f>
        <v/>
      </c>
      <c r="BI1019" s="744" t="str">
        <f t="shared" si="357"/>
        <v/>
      </c>
      <c r="BJ1019" s="747" t="str">
        <f t="shared" si="364"/>
        <v/>
      </c>
      <c r="BK1019" s="498" t="str">
        <f t="shared" si="358"/>
        <v/>
      </c>
      <c r="BL1019" s="498" t="str">
        <f t="shared" si="359"/>
        <v/>
      </c>
    </row>
    <row r="1020" spans="1:64" x14ac:dyDescent="0.25">
      <c r="A1020" s="762">
        <f t="shared" si="360"/>
        <v>1015</v>
      </c>
      <c r="B1020" s="229"/>
      <c r="C1020" s="223"/>
      <c r="D1020" s="224"/>
      <c r="E1020" s="225"/>
      <c r="F1020" s="1036" t="str">
        <f t="shared" si="366"/>
        <v/>
      </c>
      <c r="G1020" s="1037" t="str">
        <f t="shared" si="361"/>
        <v/>
      </c>
      <c r="H1020" s="225"/>
      <c r="I1020" s="1013"/>
      <c r="J1020" s="1013"/>
      <c r="K1020" s="1028"/>
      <c r="L1020" s="1035" t="str">
        <f t="shared" si="365"/>
        <v/>
      </c>
      <c r="S1020" s="498"/>
      <c r="AJ1020" s="498"/>
      <c r="AM1020" s="498">
        <f t="shared" si="346"/>
        <v>0</v>
      </c>
      <c r="AN1020" s="498">
        <f t="shared" si="347"/>
        <v>0</v>
      </c>
      <c r="AO1020" s="498">
        <f t="shared" si="348"/>
        <v>0</v>
      </c>
      <c r="AP1020" s="498">
        <f t="shared" si="367"/>
        <v>0</v>
      </c>
      <c r="AQ1020" s="498">
        <f t="shared" si="362"/>
        <v>0</v>
      </c>
      <c r="AU1020" s="498">
        <f t="shared" si="349"/>
        <v>0</v>
      </c>
      <c r="AV1020" s="498">
        <f t="shared" si="350"/>
        <v>0</v>
      </c>
      <c r="AW1020" s="498">
        <f t="shared" si="351"/>
        <v>0</v>
      </c>
      <c r="AX1020" s="498">
        <f t="shared" si="352"/>
        <v>0</v>
      </c>
      <c r="AY1020" s="498">
        <f t="shared" si="353"/>
        <v>0</v>
      </c>
      <c r="BB1020" s="498" t="str">
        <f t="shared" si="354"/>
        <v/>
      </c>
      <c r="BC1020" s="743" t="str">
        <f t="shared" si="355"/>
        <v/>
      </c>
      <c r="BD1020" s="743" t="str">
        <f t="shared" si="356"/>
        <v/>
      </c>
      <c r="BE1020" s="743" t="str">
        <f>IF(D1020="","",VLOOKUP(D1020,'General Basis'!$J$39:$K$46,2,0))</f>
        <v/>
      </c>
      <c r="BF1020" s="744" t="str">
        <f>IF(D1020="","",VLOOKUP(D1020,'General Basis'!$J$39:$L$46,3,0))</f>
        <v/>
      </c>
      <c r="BG1020" s="744" t="str">
        <f t="shared" si="363"/>
        <v/>
      </c>
      <c r="BH1020" s="744" t="str">
        <f>IF(G1020="","",IF(BF1020="Abu Dhabi",IF(G1020&lt;18,'General Basis'!$C$39,IF(G1020&lt;41,'General Basis'!$C$40,IF(G1020&lt;60,'General Basis'!$C$41,IF(G1020&lt;65,'General Basis'!$C$42,'General Basis'!$C$43)))),IF(G1020&lt;11,'General Basis'!$B$39,IF(G1020&lt;18,'General Basis'!$B$40,IF(G1020&lt;26,'General Basis'!$B$41,IF(G1020&lt;31,'General Basis'!$B$42,IF(G1020&lt;36,'General Basis'!$B$43,IF(G1020&lt;41,'General Basis'!$B$44,IF(G1020&lt;46,'General Basis'!$B$45,IF(G1020&lt;51,'General Basis'!$B$46,IF(G1020&lt;56,'General Basis'!$B$47,IF(G1020&lt;60,'General Basis'!$B$48,IF(G1020&lt;65,'General Basis'!$B$49,'General Basis'!$B$50)))))))))))))</f>
        <v/>
      </c>
      <c r="BI1020" s="744" t="str">
        <f t="shared" si="357"/>
        <v/>
      </c>
      <c r="BJ1020" s="747" t="str">
        <f t="shared" si="364"/>
        <v/>
      </c>
      <c r="BK1020" s="498" t="str">
        <f t="shared" si="358"/>
        <v/>
      </c>
      <c r="BL1020" s="498" t="str">
        <f t="shared" si="359"/>
        <v/>
      </c>
    </row>
    <row r="1021" spans="1:64" x14ac:dyDescent="0.25">
      <c r="A1021" s="762">
        <f t="shared" si="360"/>
        <v>1016</v>
      </c>
      <c r="B1021" s="229"/>
      <c r="C1021" s="223"/>
      <c r="D1021" s="224"/>
      <c r="E1021" s="225"/>
      <c r="F1021" s="1036" t="str">
        <f t="shared" si="366"/>
        <v/>
      </c>
      <c r="G1021" s="1037" t="str">
        <f t="shared" si="361"/>
        <v/>
      </c>
      <c r="H1021" s="225"/>
      <c r="I1021" s="1013"/>
      <c r="J1021" s="1013"/>
      <c r="K1021" s="1028"/>
      <c r="L1021" s="1035" t="str">
        <f t="shared" si="365"/>
        <v/>
      </c>
      <c r="S1021" s="498"/>
      <c r="AJ1021" s="498"/>
      <c r="AM1021" s="498">
        <f t="shared" si="346"/>
        <v>0</v>
      </c>
      <c r="AN1021" s="498">
        <f t="shared" si="347"/>
        <v>0</v>
      </c>
      <c r="AO1021" s="498">
        <f t="shared" si="348"/>
        <v>0</v>
      </c>
      <c r="AP1021" s="498">
        <f t="shared" si="367"/>
        <v>0</v>
      </c>
      <c r="AQ1021" s="498">
        <f t="shared" si="362"/>
        <v>0</v>
      </c>
      <c r="AU1021" s="498">
        <f t="shared" si="349"/>
        <v>0</v>
      </c>
      <c r="AV1021" s="498">
        <f t="shared" si="350"/>
        <v>0</v>
      </c>
      <c r="AW1021" s="498">
        <f t="shared" si="351"/>
        <v>0</v>
      </c>
      <c r="AX1021" s="498">
        <f t="shared" si="352"/>
        <v>0</v>
      </c>
      <c r="AY1021" s="498">
        <f t="shared" si="353"/>
        <v>0</v>
      </c>
      <c r="BB1021" s="498" t="str">
        <f t="shared" si="354"/>
        <v/>
      </c>
      <c r="BC1021" s="743" t="str">
        <f t="shared" si="355"/>
        <v/>
      </c>
      <c r="BD1021" s="743" t="str">
        <f t="shared" si="356"/>
        <v/>
      </c>
      <c r="BE1021" s="743" t="str">
        <f>IF(D1021="","",VLOOKUP(D1021,'General Basis'!$J$39:$K$46,2,0))</f>
        <v/>
      </c>
      <c r="BF1021" s="744" t="str">
        <f>IF(D1021="","",VLOOKUP(D1021,'General Basis'!$J$39:$L$46,3,0))</f>
        <v/>
      </c>
      <c r="BG1021" s="744" t="str">
        <f t="shared" si="363"/>
        <v/>
      </c>
      <c r="BH1021" s="744" t="str">
        <f>IF(G1021="","",IF(BF1021="Abu Dhabi",IF(G1021&lt;18,'General Basis'!$C$39,IF(G1021&lt;41,'General Basis'!$C$40,IF(G1021&lt;60,'General Basis'!$C$41,IF(G1021&lt;65,'General Basis'!$C$42,'General Basis'!$C$43)))),IF(G1021&lt;11,'General Basis'!$B$39,IF(G1021&lt;18,'General Basis'!$B$40,IF(G1021&lt;26,'General Basis'!$B$41,IF(G1021&lt;31,'General Basis'!$B$42,IF(G1021&lt;36,'General Basis'!$B$43,IF(G1021&lt;41,'General Basis'!$B$44,IF(G1021&lt;46,'General Basis'!$B$45,IF(G1021&lt;51,'General Basis'!$B$46,IF(G1021&lt;56,'General Basis'!$B$47,IF(G1021&lt;60,'General Basis'!$B$48,IF(G1021&lt;65,'General Basis'!$B$49,'General Basis'!$B$50)))))))))))))</f>
        <v/>
      </c>
      <c r="BI1021" s="744" t="str">
        <f t="shared" si="357"/>
        <v/>
      </c>
      <c r="BJ1021" s="747" t="str">
        <f t="shared" si="364"/>
        <v/>
      </c>
      <c r="BK1021" s="498" t="str">
        <f t="shared" si="358"/>
        <v/>
      </c>
      <c r="BL1021" s="498" t="str">
        <f t="shared" si="359"/>
        <v/>
      </c>
    </row>
    <row r="1022" spans="1:64" x14ac:dyDescent="0.25">
      <c r="A1022" s="762">
        <f t="shared" si="360"/>
        <v>1017</v>
      </c>
      <c r="B1022" s="229"/>
      <c r="C1022" s="223"/>
      <c r="D1022" s="224"/>
      <c r="E1022" s="225"/>
      <c r="F1022" s="1036" t="str">
        <f t="shared" si="366"/>
        <v/>
      </c>
      <c r="G1022" s="1037" t="str">
        <f t="shared" si="361"/>
        <v/>
      </c>
      <c r="H1022" s="225"/>
      <c r="I1022" s="1013"/>
      <c r="J1022" s="1013"/>
      <c r="K1022" s="1028"/>
      <c r="L1022" s="1035" t="str">
        <f t="shared" si="365"/>
        <v/>
      </c>
      <c r="S1022" s="498"/>
      <c r="AJ1022" s="498"/>
      <c r="AM1022" s="498">
        <f t="shared" si="346"/>
        <v>0</v>
      </c>
      <c r="AN1022" s="498">
        <f t="shared" si="347"/>
        <v>0</v>
      </c>
      <c r="AO1022" s="498">
        <f t="shared" si="348"/>
        <v>0</v>
      </c>
      <c r="AP1022" s="498">
        <f t="shared" si="367"/>
        <v>0</v>
      </c>
      <c r="AQ1022" s="498">
        <f t="shared" si="362"/>
        <v>0</v>
      </c>
      <c r="AU1022" s="498">
        <f t="shared" si="349"/>
        <v>0</v>
      </c>
      <c r="AV1022" s="498">
        <f t="shared" si="350"/>
        <v>0</v>
      </c>
      <c r="AW1022" s="498">
        <f t="shared" si="351"/>
        <v>0</v>
      </c>
      <c r="AX1022" s="498">
        <f t="shared" si="352"/>
        <v>0</v>
      </c>
      <c r="AY1022" s="498">
        <f t="shared" si="353"/>
        <v>0</v>
      </c>
      <c r="BB1022" s="498" t="str">
        <f t="shared" si="354"/>
        <v/>
      </c>
      <c r="BC1022" s="743" t="str">
        <f t="shared" si="355"/>
        <v/>
      </c>
      <c r="BD1022" s="743" t="str">
        <f t="shared" si="356"/>
        <v/>
      </c>
      <c r="BE1022" s="743" t="str">
        <f>IF(D1022="","",VLOOKUP(D1022,'General Basis'!$J$39:$K$46,2,0))</f>
        <v/>
      </c>
      <c r="BF1022" s="744" t="str">
        <f>IF(D1022="","",VLOOKUP(D1022,'General Basis'!$J$39:$L$46,3,0))</f>
        <v/>
      </c>
      <c r="BG1022" s="744" t="str">
        <f t="shared" si="363"/>
        <v/>
      </c>
      <c r="BH1022" s="744" t="str">
        <f>IF(G1022="","",IF(BF1022="Abu Dhabi",IF(G1022&lt;18,'General Basis'!$C$39,IF(G1022&lt;41,'General Basis'!$C$40,IF(G1022&lt;60,'General Basis'!$C$41,IF(G1022&lt;65,'General Basis'!$C$42,'General Basis'!$C$43)))),IF(G1022&lt;11,'General Basis'!$B$39,IF(G1022&lt;18,'General Basis'!$B$40,IF(G1022&lt;26,'General Basis'!$B$41,IF(G1022&lt;31,'General Basis'!$B$42,IF(G1022&lt;36,'General Basis'!$B$43,IF(G1022&lt;41,'General Basis'!$B$44,IF(G1022&lt;46,'General Basis'!$B$45,IF(G1022&lt;51,'General Basis'!$B$46,IF(G1022&lt;56,'General Basis'!$B$47,IF(G1022&lt;60,'General Basis'!$B$48,IF(G1022&lt;65,'General Basis'!$B$49,'General Basis'!$B$50)))))))))))))</f>
        <v/>
      </c>
      <c r="BI1022" s="744" t="str">
        <f t="shared" si="357"/>
        <v/>
      </c>
      <c r="BJ1022" s="747" t="str">
        <f t="shared" si="364"/>
        <v/>
      </c>
      <c r="BK1022" s="498" t="str">
        <f t="shared" si="358"/>
        <v/>
      </c>
      <c r="BL1022" s="498" t="str">
        <f t="shared" si="359"/>
        <v/>
      </c>
    </row>
    <row r="1023" spans="1:64" x14ac:dyDescent="0.25">
      <c r="A1023" s="762">
        <f t="shared" si="360"/>
        <v>1018</v>
      </c>
      <c r="B1023" s="229"/>
      <c r="C1023" s="223"/>
      <c r="D1023" s="224"/>
      <c r="E1023" s="225"/>
      <c r="F1023" s="1036" t="str">
        <f t="shared" si="366"/>
        <v/>
      </c>
      <c r="G1023" s="1037" t="str">
        <f t="shared" si="361"/>
        <v/>
      </c>
      <c r="H1023" s="225"/>
      <c r="I1023" s="1013"/>
      <c r="J1023" s="1013"/>
      <c r="K1023" s="1028"/>
      <c r="L1023" s="1035" t="str">
        <f t="shared" si="365"/>
        <v/>
      </c>
      <c r="S1023" s="498"/>
      <c r="AJ1023" s="498"/>
      <c r="AM1023" s="498">
        <f t="shared" si="346"/>
        <v>0</v>
      </c>
      <c r="AN1023" s="498">
        <f t="shared" si="347"/>
        <v>0</v>
      </c>
      <c r="AO1023" s="498">
        <f t="shared" si="348"/>
        <v>0</v>
      </c>
      <c r="AP1023" s="498">
        <f t="shared" si="367"/>
        <v>0</v>
      </c>
      <c r="AQ1023" s="498">
        <f t="shared" si="362"/>
        <v>0</v>
      </c>
      <c r="AU1023" s="498">
        <f t="shared" si="349"/>
        <v>0</v>
      </c>
      <c r="AV1023" s="498">
        <f t="shared" si="350"/>
        <v>0</v>
      </c>
      <c r="AW1023" s="498">
        <f t="shared" si="351"/>
        <v>0</v>
      </c>
      <c r="AX1023" s="498">
        <f t="shared" si="352"/>
        <v>0</v>
      </c>
      <c r="AY1023" s="498">
        <f t="shared" si="353"/>
        <v>0</v>
      </c>
      <c r="BB1023" s="498" t="str">
        <f t="shared" si="354"/>
        <v/>
      </c>
      <c r="BC1023" s="743" t="str">
        <f t="shared" si="355"/>
        <v/>
      </c>
      <c r="BD1023" s="743" t="str">
        <f t="shared" si="356"/>
        <v/>
      </c>
      <c r="BE1023" s="743" t="str">
        <f>IF(D1023="","",VLOOKUP(D1023,'General Basis'!$J$39:$K$46,2,0))</f>
        <v/>
      </c>
      <c r="BF1023" s="744" t="str">
        <f>IF(D1023="","",VLOOKUP(D1023,'General Basis'!$J$39:$L$46,3,0))</f>
        <v/>
      </c>
      <c r="BG1023" s="744" t="str">
        <f t="shared" si="363"/>
        <v/>
      </c>
      <c r="BH1023" s="744" t="str">
        <f>IF(G1023="","",IF(BF1023="Abu Dhabi",IF(G1023&lt;18,'General Basis'!$C$39,IF(G1023&lt;41,'General Basis'!$C$40,IF(G1023&lt;60,'General Basis'!$C$41,IF(G1023&lt;65,'General Basis'!$C$42,'General Basis'!$C$43)))),IF(G1023&lt;11,'General Basis'!$B$39,IF(G1023&lt;18,'General Basis'!$B$40,IF(G1023&lt;26,'General Basis'!$B$41,IF(G1023&lt;31,'General Basis'!$B$42,IF(G1023&lt;36,'General Basis'!$B$43,IF(G1023&lt;41,'General Basis'!$B$44,IF(G1023&lt;46,'General Basis'!$B$45,IF(G1023&lt;51,'General Basis'!$B$46,IF(G1023&lt;56,'General Basis'!$B$47,IF(G1023&lt;60,'General Basis'!$B$48,IF(G1023&lt;65,'General Basis'!$B$49,'General Basis'!$B$50)))))))))))))</f>
        <v/>
      </c>
      <c r="BI1023" s="744" t="str">
        <f t="shared" si="357"/>
        <v/>
      </c>
      <c r="BJ1023" s="747" t="str">
        <f t="shared" si="364"/>
        <v/>
      </c>
      <c r="BK1023" s="498" t="str">
        <f t="shared" si="358"/>
        <v/>
      </c>
      <c r="BL1023" s="498" t="str">
        <f t="shared" si="359"/>
        <v/>
      </c>
    </row>
    <row r="1024" spans="1:64" x14ac:dyDescent="0.25">
      <c r="A1024" s="762">
        <f t="shared" si="360"/>
        <v>1019</v>
      </c>
      <c r="B1024" s="229"/>
      <c r="C1024" s="223"/>
      <c r="D1024" s="224"/>
      <c r="E1024" s="225"/>
      <c r="F1024" s="1036" t="str">
        <f t="shared" si="366"/>
        <v/>
      </c>
      <c r="G1024" s="1037" t="str">
        <f t="shared" si="361"/>
        <v/>
      </c>
      <c r="H1024" s="225"/>
      <c r="I1024" s="1013"/>
      <c r="J1024" s="1013"/>
      <c r="K1024" s="1028"/>
      <c r="L1024" s="1035" t="str">
        <f t="shared" si="365"/>
        <v/>
      </c>
      <c r="S1024" s="498"/>
      <c r="AJ1024" s="498"/>
      <c r="AM1024" s="498">
        <f t="shared" si="346"/>
        <v>0</v>
      </c>
      <c r="AN1024" s="498">
        <f t="shared" si="347"/>
        <v>0</v>
      </c>
      <c r="AO1024" s="498">
        <f t="shared" si="348"/>
        <v>0</v>
      </c>
      <c r="AP1024" s="498">
        <f t="shared" si="367"/>
        <v>0</v>
      </c>
      <c r="AQ1024" s="498">
        <f t="shared" si="362"/>
        <v>0</v>
      </c>
      <c r="AU1024" s="498">
        <f t="shared" si="349"/>
        <v>0</v>
      </c>
      <c r="AV1024" s="498">
        <f t="shared" si="350"/>
        <v>0</v>
      </c>
      <c r="AW1024" s="498">
        <f t="shared" si="351"/>
        <v>0</v>
      </c>
      <c r="AX1024" s="498">
        <f t="shared" si="352"/>
        <v>0</v>
      </c>
      <c r="AY1024" s="498">
        <f t="shared" si="353"/>
        <v>0</v>
      </c>
      <c r="BB1024" s="498" t="str">
        <f t="shared" si="354"/>
        <v/>
      </c>
      <c r="BC1024" s="743" t="str">
        <f t="shared" si="355"/>
        <v/>
      </c>
      <c r="BD1024" s="743" t="str">
        <f t="shared" si="356"/>
        <v/>
      </c>
      <c r="BE1024" s="743" t="str">
        <f>IF(D1024="","",VLOOKUP(D1024,'General Basis'!$J$39:$K$46,2,0))</f>
        <v/>
      </c>
      <c r="BF1024" s="744" t="str">
        <f>IF(D1024="","",VLOOKUP(D1024,'General Basis'!$J$39:$L$46,3,0))</f>
        <v/>
      </c>
      <c r="BG1024" s="744" t="str">
        <f t="shared" si="363"/>
        <v/>
      </c>
      <c r="BH1024" s="744" t="str">
        <f>IF(G1024="","",IF(BF1024="Abu Dhabi",IF(G1024&lt;18,'General Basis'!$C$39,IF(G1024&lt;41,'General Basis'!$C$40,IF(G1024&lt;60,'General Basis'!$C$41,IF(G1024&lt;65,'General Basis'!$C$42,'General Basis'!$C$43)))),IF(G1024&lt;11,'General Basis'!$B$39,IF(G1024&lt;18,'General Basis'!$B$40,IF(G1024&lt;26,'General Basis'!$B$41,IF(G1024&lt;31,'General Basis'!$B$42,IF(G1024&lt;36,'General Basis'!$B$43,IF(G1024&lt;41,'General Basis'!$B$44,IF(G1024&lt;46,'General Basis'!$B$45,IF(G1024&lt;51,'General Basis'!$B$46,IF(G1024&lt;56,'General Basis'!$B$47,IF(G1024&lt;60,'General Basis'!$B$48,IF(G1024&lt;65,'General Basis'!$B$49,'General Basis'!$B$50)))))))))))))</f>
        <v/>
      </c>
      <c r="BI1024" s="744" t="str">
        <f t="shared" si="357"/>
        <v/>
      </c>
      <c r="BJ1024" s="747" t="str">
        <f t="shared" si="364"/>
        <v/>
      </c>
      <c r="BK1024" s="498" t="str">
        <f t="shared" si="358"/>
        <v/>
      </c>
      <c r="BL1024" s="498" t="str">
        <f t="shared" si="359"/>
        <v/>
      </c>
    </row>
    <row r="1025" spans="1:64" x14ac:dyDescent="0.25">
      <c r="A1025" s="762">
        <f t="shared" si="360"/>
        <v>1020</v>
      </c>
      <c r="B1025" s="229"/>
      <c r="C1025" s="223"/>
      <c r="D1025" s="224"/>
      <c r="E1025" s="225"/>
      <c r="F1025" s="1036" t="str">
        <f t="shared" si="366"/>
        <v/>
      </c>
      <c r="G1025" s="1037" t="str">
        <f t="shared" si="361"/>
        <v/>
      </c>
      <c r="H1025" s="225"/>
      <c r="I1025" s="1013"/>
      <c r="J1025" s="1013"/>
      <c r="K1025" s="1028"/>
      <c r="L1025" s="1035" t="str">
        <f t="shared" si="365"/>
        <v/>
      </c>
      <c r="S1025" s="498"/>
      <c r="AJ1025" s="498"/>
      <c r="AM1025" s="498">
        <f t="shared" si="346"/>
        <v>0</v>
      </c>
      <c r="AN1025" s="498">
        <f t="shared" si="347"/>
        <v>0</v>
      </c>
      <c r="AO1025" s="498">
        <f t="shared" si="348"/>
        <v>0</v>
      </c>
      <c r="AP1025" s="498">
        <f t="shared" si="367"/>
        <v>0</v>
      </c>
      <c r="AQ1025" s="498">
        <f t="shared" si="362"/>
        <v>0</v>
      </c>
      <c r="AU1025" s="498">
        <f t="shared" si="349"/>
        <v>0</v>
      </c>
      <c r="AV1025" s="498">
        <f t="shared" si="350"/>
        <v>0</v>
      </c>
      <c r="AW1025" s="498">
        <f t="shared" si="351"/>
        <v>0</v>
      </c>
      <c r="AX1025" s="498">
        <f t="shared" si="352"/>
        <v>0</v>
      </c>
      <c r="AY1025" s="498">
        <f t="shared" si="353"/>
        <v>0</v>
      </c>
      <c r="BB1025" s="498" t="str">
        <f t="shared" si="354"/>
        <v/>
      </c>
      <c r="BC1025" s="743" t="str">
        <f t="shared" si="355"/>
        <v/>
      </c>
      <c r="BD1025" s="743" t="str">
        <f t="shared" si="356"/>
        <v/>
      </c>
      <c r="BE1025" s="743" t="str">
        <f>IF(D1025="","",VLOOKUP(D1025,'General Basis'!$J$39:$K$46,2,0))</f>
        <v/>
      </c>
      <c r="BF1025" s="744" t="str">
        <f>IF(D1025="","",VLOOKUP(D1025,'General Basis'!$J$39:$L$46,3,0))</f>
        <v/>
      </c>
      <c r="BG1025" s="744" t="str">
        <f t="shared" si="363"/>
        <v/>
      </c>
      <c r="BH1025" s="744" t="str">
        <f>IF(G1025="","",IF(BF1025="Abu Dhabi",IF(G1025&lt;18,'General Basis'!$C$39,IF(G1025&lt;41,'General Basis'!$C$40,IF(G1025&lt;60,'General Basis'!$C$41,IF(G1025&lt;65,'General Basis'!$C$42,'General Basis'!$C$43)))),IF(G1025&lt;11,'General Basis'!$B$39,IF(G1025&lt;18,'General Basis'!$B$40,IF(G1025&lt;26,'General Basis'!$B$41,IF(G1025&lt;31,'General Basis'!$B$42,IF(G1025&lt;36,'General Basis'!$B$43,IF(G1025&lt;41,'General Basis'!$B$44,IF(G1025&lt;46,'General Basis'!$B$45,IF(G1025&lt;51,'General Basis'!$B$46,IF(G1025&lt;56,'General Basis'!$B$47,IF(G1025&lt;60,'General Basis'!$B$48,IF(G1025&lt;65,'General Basis'!$B$49,'General Basis'!$B$50)))))))))))))</f>
        <v/>
      </c>
      <c r="BI1025" s="744" t="str">
        <f t="shared" si="357"/>
        <v/>
      </c>
      <c r="BJ1025" s="747" t="str">
        <f t="shared" si="364"/>
        <v/>
      </c>
      <c r="BK1025" s="498" t="str">
        <f t="shared" si="358"/>
        <v/>
      </c>
      <c r="BL1025" s="498" t="str">
        <f t="shared" si="359"/>
        <v/>
      </c>
    </row>
    <row r="1026" spans="1:64" x14ac:dyDescent="0.25">
      <c r="A1026" s="762">
        <f t="shared" si="360"/>
        <v>1021</v>
      </c>
      <c r="B1026" s="229"/>
      <c r="C1026" s="223"/>
      <c r="D1026" s="224"/>
      <c r="E1026" s="225"/>
      <c r="F1026" s="1036" t="str">
        <f t="shared" si="366"/>
        <v/>
      </c>
      <c r="G1026" s="1037" t="str">
        <f t="shared" si="361"/>
        <v/>
      </c>
      <c r="H1026" s="225"/>
      <c r="I1026" s="1013"/>
      <c r="J1026" s="1013"/>
      <c r="K1026" s="1028"/>
      <c r="L1026" s="1035" t="str">
        <f t="shared" si="365"/>
        <v/>
      </c>
      <c r="S1026" s="498"/>
      <c r="AJ1026" s="498"/>
      <c r="AM1026" s="498">
        <f t="shared" si="346"/>
        <v>0</v>
      </c>
      <c r="AN1026" s="498">
        <f t="shared" si="347"/>
        <v>0</v>
      </c>
      <c r="AO1026" s="498">
        <f t="shared" si="348"/>
        <v>0</v>
      </c>
      <c r="AP1026" s="498">
        <f t="shared" si="367"/>
        <v>0</v>
      </c>
      <c r="AQ1026" s="498">
        <f t="shared" si="362"/>
        <v>0</v>
      </c>
      <c r="AU1026" s="498">
        <f t="shared" si="349"/>
        <v>0</v>
      </c>
      <c r="AV1026" s="498">
        <f t="shared" si="350"/>
        <v>0</v>
      </c>
      <c r="AW1026" s="498">
        <f t="shared" si="351"/>
        <v>0</v>
      </c>
      <c r="AX1026" s="498">
        <f t="shared" si="352"/>
        <v>0</v>
      </c>
      <c r="AY1026" s="498">
        <f t="shared" si="353"/>
        <v>0</v>
      </c>
      <c r="BB1026" s="498" t="str">
        <f t="shared" si="354"/>
        <v/>
      </c>
      <c r="BC1026" s="743" t="str">
        <f t="shared" si="355"/>
        <v/>
      </c>
      <c r="BD1026" s="743" t="str">
        <f t="shared" si="356"/>
        <v/>
      </c>
      <c r="BE1026" s="743" t="str">
        <f>IF(D1026="","",VLOOKUP(D1026,'General Basis'!$J$39:$K$46,2,0))</f>
        <v/>
      </c>
      <c r="BF1026" s="744" t="str">
        <f>IF(D1026="","",VLOOKUP(D1026,'General Basis'!$J$39:$L$46,3,0))</f>
        <v/>
      </c>
      <c r="BG1026" s="744" t="str">
        <f t="shared" si="363"/>
        <v/>
      </c>
      <c r="BH1026" s="744" t="str">
        <f>IF(G1026="","",IF(BF1026="Abu Dhabi",IF(G1026&lt;18,'General Basis'!$C$39,IF(G1026&lt;41,'General Basis'!$C$40,IF(G1026&lt;60,'General Basis'!$C$41,IF(G1026&lt;65,'General Basis'!$C$42,'General Basis'!$C$43)))),IF(G1026&lt;11,'General Basis'!$B$39,IF(G1026&lt;18,'General Basis'!$B$40,IF(G1026&lt;26,'General Basis'!$B$41,IF(G1026&lt;31,'General Basis'!$B$42,IF(G1026&lt;36,'General Basis'!$B$43,IF(G1026&lt;41,'General Basis'!$B$44,IF(G1026&lt;46,'General Basis'!$B$45,IF(G1026&lt;51,'General Basis'!$B$46,IF(G1026&lt;56,'General Basis'!$B$47,IF(G1026&lt;60,'General Basis'!$B$48,IF(G1026&lt;65,'General Basis'!$B$49,'General Basis'!$B$50)))))))))))))</f>
        <v/>
      </c>
      <c r="BI1026" s="744" t="str">
        <f t="shared" si="357"/>
        <v/>
      </c>
      <c r="BJ1026" s="747" t="str">
        <f t="shared" si="364"/>
        <v/>
      </c>
      <c r="BK1026" s="498" t="str">
        <f t="shared" si="358"/>
        <v/>
      </c>
      <c r="BL1026" s="498" t="str">
        <f t="shared" si="359"/>
        <v/>
      </c>
    </row>
    <row r="1027" spans="1:64" x14ac:dyDescent="0.25">
      <c r="A1027" s="762">
        <f t="shared" si="360"/>
        <v>1022</v>
      </c>
      <c r="B1027" s="229"/>
      <c r="C1027" s="223"/>
      <c r="D1027" s="224"/>
      <c r="E1027" s="225"/>
      <c r="F1027" s="1036" t="str">
        <f t="shared" si="366"/>
        <v/>
      </c>
      <c r="G1027" s="1037" t="str">
        <f t="shared" si="361"/>
        <v/>
      </c>
      <c r="H1027" s="225"/>
      <c r="I1027" s="1013"/>
      <c r="J1027" s="1013"/>
      <c r="K1027" s="1028"/>
      <c r="L1027" s="1035" t="str">
        <f t="shared" si="365"/>
        <v/>
      </c>
      <c r="S1027" s="498"/>
      <c r="AJ1027" s="498"/>
      <c r="AM1027" s="498">
        <f t="shared" si="346"/>
        <v>0</v>
      </c>
      <c r="AN1027" s="498">
        <f t="shared" si="347"/>
        <v>0</v>
      </c>
      <c r="AO1027" s="498">
        <f t="shared" si="348"/>
        <v>0</v>
      </c>
      <c r="AP1027" s="498">
        <f t="shared" si="367"/>
        <v>0</v>
      </c>
      <c r="AQ1027" s="498">
        <f t="shared" si="362"/>
        <v>0</v>
      </c>
      <c r="AU1027" s="498">
        <f t="shared" si="349"/>
        <v>0</v>
      </c>
      <c r="AV1027" s="498">
        <f t="shared" si="350"/>
        <v>0</v>
      </c>
      <c r="AW1027" s="498">
        <f t="shared" si="351"/>
        <v>0</v>
      </c>
      <c r="AX1027" s="498">
        <f t="shared" si="352"/>
        <v>0</v>
      </c>
      <c r="AY1027" s="498">
        <f t="shared" si="353"/>
        <v>0</v>
      </c>
      <c r="BB1027" s="498" t="str">
        <f t="shared" si="354"/>
        <v/>
      </c>
      <c r="BC1027" s="743" t="str">
        <f t="shared" si="355"/>
        <v/>
      </c>
      <c r="BD1027" s="743" t="str">
        <f t="shared" si="356"/>
        <v/>
      </c>
      <c r="BE1027" s="743" t="str">
        <f>IF(D1027="","",VLOOKUP(D1027,'General Basis'!$J$39:$K$46,2,0))</f>
        <v/>
      </c>
      <c r="BF1027" s="744" t="str">
        <f>IF(D1027="","",VLOOKUP(D1027,'General Basis'!$J$39:$L$46,3,0))</f>
        <v/>
      </c>
      <c r="BG1027" s="744" t="str">
        <f t="shared" si="363"/>
        <v/>
      </c>
      <c r="BH1027" s="744" t="str">
        <f>IF(G1027="","",IF(BF1027="Abu Dhabi",IF(G1027&lt;18,'General Basis'!$C$39,IF(G1027&lt;41,'General Basis'!$C$40,IF(G1027&lt;60,'General Basis'!$C$41,IF(G1027&lt;65,'General Basis'!$C$42,'General Basis'!$C$43)))),IF(G1027&lt;11,'General Basis'!$B$39,IF(G1027&lt;18,'General Basis'!$B$40,IF(G1027&lt;26,'General Basis'!$B$41,IF(G1027&lt;31,'General Basis'!$B$42,IF(G1027&lt;36,'General Basis'!$B$43,IF(G1027&lt;41,'General Basis'!$B$44,IF(G1027&lt;46,'General Basis'!$B$45,IF(G1027&lt;51,'General Basis'!$B$46,IF(G1027&lt;56,'General Basis'!$B$47,IF(G1027&lt;60,'General Basis'!$B$48,IF(G1027&lt;65,'General Basis'!$B$49,'General Basis'!$B$50)))))))))))))</f>
        <v/>
      </c>
      <c r="BI1027" s="744" t="str">
        <f t="shared" si="357"/>
        <v/>
      </c>
      <c r="BJ1027" s="747" t="str">
        <f t="shared" si="364"/>
        <v/>
      </c>
      <c r="BK1027" s="498" t="str">
        <f t="shared" si="358"/>
        <v/>
      </c>
      <c r="BL1027" s="498" t="str">
        <f t="shared" si="359"/>
        <v/>
      </c>
    </row>
    <row r="1028" spans="1:64" x14ac:dyDescent="0.25">
      <c r="A1028" s="762">
        <f t="shared" si="360"/>
        <v>1023</v>
      </c>
      <c r="B1028" s="229"/>
      <c r="C1028" s="223"/>
      <c r="D1028" s="224"/>
      <c r="E1028" s="225"/>
      <c r="F1028" s="1036" t="str">
        <f t="shared" si="366"/>
        <v/>
      </c>
      <c r="G1028" s="1037" t="str">
        <f t="shared" si="361"/>
        <v/>
      </c>
      <c r="H1028" s="225"/>
      <c r="I1028" s="1013"/>
      <c r="J1028" s="1013"/>
      <c r="K1028" s="1028"/>
      <c r="L1028" s="1035" t="str">
        <f t="shared" si="365"/>
        <v/>
      </c>
      <c r="S1028" s="498"/>
      <c r="AJ1028" s="498"/>
      <c r="AM1028" s="498">
        <f t="shared" si="346"/>
        <v>0</v>
      </c>
      <c r="AN1028" s="498">
        <f t="shared" si="347"/>
        <v>0</v>
      </c>
      <c r="AO1028" s="498">
        <f t="shared" si="348"/>
        <v>0</v>
      </c>
      <c r="AP1028" s="498">
        <f t="shared" si="367"/>
        <v>0</v>
      </c>
      <c r="AQ1028" s="498">
        <f t="shared" si="362"/>
        <v>0</v>
      </c>
      <c r="AU1028" s="498">
        <f t="shared" si="349"/>
        <v>0</v>
      </c>
      <c r="AV1028" s="498">
        <f t="shared" si="350"/>
        <v>0</v>
      </c>
      <c r="AW1028" s="498">
        <f t="shared" si="351"/>
        <v>0</v>
      </c>
      <c r="AX1028" s="498">
        <f t="shared" si="352"/>
        <v>0</v>
      </c>
      <c r="AY1028" s="498">
        <f t="shared" si="353"/>
        <v>0</v>
      </c>
      <c r="BB1028" s="498" t="str">
        <f t="shared" si="354"/>
        <v/>
      </c>
      <c r="BC1028" s="743" t="str">
        <f t="shared" si="355"/>
        <v/>
      </c>
      <c r="BD1028" s="743" t="str">
        <f t="shared" si="356"/>
        <v/>
      </c>
      <c r="BE1028" s="743" t="str">
        <f>IF(D1028="","",VLOOKUP(D1028,'General Basis'!$J$39:$K$46,2,0))</f>
        <v/>
      </c>
      <c r="BF1028" s="744" t="str">
        <f>IF(D1028="","",VLOOKUP(D1028,'General Basis'!$J$39:$L$46,3,0))</f>
        <v/>
      </c>
      <c r="BG1028" s="744" t="str">
        <f t="shared" si="363"/>
        <v/>
      </c>
      <c r="BH1028" s="744" t="str">
        <f>IF(G1028="","",IF(BF1028="Abu Dhabi",IF(G1028&lt;18,'General Basis'!$C$39,IF(G1028&lt;41,'General Basis'!$C$40,IF(G1028&lt;60,'General Basis'!$C$41,IF(G1028&lt;65,'General Basis'!$C$42,'General Basis'!$C$43)))),IF(G1028&lt;11,'General Basis'!$B$39,IF(G1028&lt;18,'General Basis'!$B$40,IF(G1028&lt;26,'General Basis'!$B$41,IF(G1028&lt;31,'General Basis'!$B$42,IF(G1028&lt;36,'General Basis'!$B$43,IF(G1028&lt;41,'General Basis'!$B$44,IF(G1028&lt;46,'General Basis'!$B$45,IF(G1028&lt;51,'General Basis'!$B$46,IF(G1028&lt;56,'General Basis'!$B$47,IF(G1028&lt;60,'General Basis'!$B$48,IF(G1028&lt;65,'General Basis'!$B$49,'General Basis'!$B$50)))))))))))))</f>
        <v/>
      </c>
      <c r="BI1028" s="744" t="str">
        <f t="shared" si="357"/>
        <v/>
      </c>
      <c r="BJ1028" s="747" t="str">
        <f t="shared" si="364"/>
        <v/>
      </c>
      <c r="BK1028" s="498" t="str">
        <f t="shared" si="358"/>
        <v/>
      </c>
      <c r="BL1028" s="498" t="str">
        <f t="shared" si="359"/>
        <v/>
      </c>
    </row>
    <row r="1029" spans="1:64" x14ac:dyDescent="0.25">
      <c r="A1029" s="762">
        <f t="shared" si="360"/>
        <v>1024</v>
      </c>
      <c r="B1029" s="229"/>
      <c r="C1029" s="223"/>
      <c r="D1029" s="224"/>
      <c r="E1029" s="225"/>
      <c r="F1029" s="1036" t="str">
        <f t="shared" si="366"/>
        <v/>
      </c>
      <c r="G1029" s="1037" t="str">
        <f t="shared" si="361"/>
        <v/>
      </c>
      <c r="H1029" s="225"/>
      <c r="I1029" s="1013"/>
      <c r="J1029" s="1013"/>
      <c r="K1029" s="1028"/>
      <c r="L1029" s="1035" t="str">
        <f t="shared" si="365"/>
        <v/>
      </c>
      <c r="S1029" s="498"/>
      <c r="AJ1029" s="498"/>
      <c r="AM1029" s="498">
        <f t="shared" si="346"/>
        <v>0</v>
      </c>
      <c r="AN1029" s="498">
        <f t="shared" si="347"/>
        <v>0</v>
      </c>
      <c r="AO1029" s="498">
        <f t="shared" si="348"/>
        <v>0</v>
      </c>
      <c r="AP1029" s="498">
        <f t="shared" si="367"/>
        <v>0</v>
      </c>
      <c r="AQ1029" s="498">
        <f t="shared" si="362"/>
        <v>0</v>
      </c>
      <c r="AU1029" s="498">
        <f t="shared" si="349"/>
        <v>0</v>
      </c>
      <c r="AV1029" s="498">
        <f t="shared" si="350"/>
        <v>0</v>
      </c>
      <c r="AW1029" s="498">
        <f t="shared" si="351"/>
        <v>0</v>
      </c>
      <c r="AX1029" s="498">
        <f t="shared" si="352"/>
        <v>0</v>
      </c>
      <c r="AY1029" s="498">
        <f t="shared" si="353"/>
        <v>0</v>
      </c>
      <c r="BB1029" s="498" t="str">
        <f t="shared" si="354"/>
        <v/>
      </c>
      <c r="BC1029" s="743" t="str">
        <f t="shared" si="355"/>
        <v/>
      </c>
      <c r="BD1029" s="743" t="str">
        <f t="shared" si="356"/>
        <v/>
      </c>
      <c r="BE1029" s="743" t="str">
        <f>IF(D1029="","",VLOOKUP(D1029,'General Basis'!$J$39:$K$46,2,0))</f>
        <v/>
      </c>
      <c r="BF1029" s="744" t="str">
        <f>IF(D1029="","",VLOOKUP(D1029,'General Basis'!$J$39:$L$46,3,0))</f>
        <v/>
      </c>
      <c r="BG1029" s="744" t="str">
        <f t="shared" si="363"/>
        <v/>
      </c>
      <c r="BH1029" s="744" t="str">
        <f>IF(G1029="","",IF(BF1029="Abu Dhabi",IF(G1029&lt;18,'General Basis'!$C$39,IF(G1029&lt;41,'General Basis'!$C$40,IF(G1029&lt;60,'General Basis'!$C$41,IF(G1029&lt;65,'General Basis'!$C$42,'General Basis'!$C$43)))),IF(G1029&lt;11,'General Basis'!$B$39,IF(G1029&lt;18,'General Basis'!$B$40,IF(G1029&lt;26,'General Basis'!$B$41,IF(G1029&lt;31,'General Basis'!$B$42,IF(G1029&lt;36,'General Basis'!$B$43,IF(G1029&lt;41,'General Basis'!$B$44,IF(G1029&lt;46,'General Basis'!$B$45,IF(G1029&lt;51,'General Basis'!$B$46,IF(G1029&lt;56,'General Basis'!$B$47,IF(G1029&lt;60,'General Basis'!$B$48,IF(G1029&lt;65,'General Basis'!$B$49,'General Basis'!$B$50)))))))))))))</f>
        <v/>
      </c>
      <c r="BI1029" s="744" t="str">
        <f t="shared" si="357"/>
        <v/>
      </c>
      <c r="BJ1029" s="747" t="str">
        <f t="shared" si="364"/>
        <v/>
      </c>
      <c r="BK1029" s="498" t="str">
        <f t="shared" si="358"/>
        <v/>
      </c>
      <c r="BL1029" s="498" t="str">
        <f t="shared" si="359"/>
        <v/>
      </c>
    </row>
    <row r="1030" spans="1:64" x14ac:dyDescent="0.25">
      <c r="A1030" s="762">
        <f t="shared" si="360"/>
        <v>1025</v>
      </c>
      <c r="B1030" s="229"/>
      <c r="C1030" s="223"/>
      <c r="D1030" s="224"/>
      <c r="E1030" s="225"/>
      <c r="F1030" s="1036" t="str">
        <f t="shared" si="366"/>
        <v/>
      </c>
      <c r="G1030" s="1037" t="str">
        <f t="shared" si="361"/>
        <v/>
      </c>
      <c r="H1030" s="225"/>
      <c r="I1030" s="1013"/>
      <c r="J1030" s="1013"/>
      <c r="K1030" s="1028"/>
      <c r="L1030" s="1035" t="str">
        <f t="shared" si="365"/>
        <v/>
      </c>
      <c r="S1030" s="498"/>
      <c r="AJ1030" s="498"/>
      <c r="AM1030" s="498">
        <f t="shared" ref="AM1030:AM1093" si="368">IF(ISTEXT(B1030),1,0)</f>
        <v>0</v>
      </c>
      <c r="AN1030" s="498">
        <f t="shared" ref="AN1030:AN1093" si="369">IF(ISBLANK(B1030),0,IF(B1030&lt;$AK$6,1,0))</f>
        <v>0</v>
      </c>
      <c r="AO1030" s="498">
        <f t="shared" ref="AO1030:AO1093" si="370">IF(ISBLANK(B1030),0,IF(B1030&gt;$AK$7,1,0))</f>
        <v>0</v>
      </c>
      <c r="AP1030" s="498">
        <f t="shared" si="367"/>
        <v>0</v>
      </c>
      <c r="AQ1030" s="498">
        <f t="shared" si="362"/>
        <v>0</v>
      </c>
      <c r="AU1030" s="498">
        <f t="shared" ref="AU1030:AU1093" si="371">IF(ISBLANK(B1030),0,1)</f>
        <v>0</v>
      </c>
      <c r="AV1030" s="498">
        <f t="shared" ref="AV1030:AV1093" si="372">IF(ISBLANK(C1030),0,1)</f>
        <v>0</v>
      </c>
      <c r="AW1030" s="498">
        <f t="shared" ref="AW1030:AW1093" si="373">IF(ISBLANK(D1030),0,1)</f>
        <v>0</v>
      </c>
      <c r="AX1030" s="498">
        <f t="shared" ref="AX1030:AX1093" si="374">IF(ISBLANK(E1030),0,1)</f>
        <v>0</v>
      </c>
      <c r="AY1030" s="498">
        <f t="shared" ref="AY1030:AY1093" si="375">IF(ISBLANK(H1030),0,1)</f>
        <v>0</v>
      </c>
      <c r="BB1030" s="498" t="str">
        <f t="shared" ref="BB1030:BB1093" si="376">IF(E1030="Principal","Principal",IF(E1030="","","Other"))</f>
        <v/>
      </c>
      <c r="BC1030" s="743" t="str">
        <f t="shared" ref="BC1030:BC1093" si="377">IF(D1030="","",D1030)</f>
        <v/>
      </c>
      <c r="BD1030" s="743" t="str">
        <f t="shared" ref="BD1030:BD1093" si="378">IF(E1030="Principal","Employee",IF(E1030="","","Dependent"))</f>
        <v/>
      </c>
      <c r="BE1030" s="743" t="str">
        <f>IF(D1030="","",VLOOKUP(D1030,'General Basis'!$J$39:$K$46,2,0))</f>
        <v/>
      </c>
      <c r="BF1030" s="744" t="str">
        <f>IF(D1030="","",VLOOKUP(D1030,'General Basis'!$J$39:$L$46,3,0))</f>
        <v/>
      </c>
      <c r="BG1030" s="744" t="str">
        <f t="shared" si="363"/>
        <v/>
      </c>
      <c r="BH1030" s="744" t="str">
        <f>IF(G1030="","",IF(BF1030="Abu Dhabi",IF(G1030&lt;18,'General Basis'!$C$39,IF(G1030&lt;41,'General Basis'!$C$40,IF(G1030&lt;60,'General Basis'!$C$41,IF(G1030&lt;65,'General Basis'!$C$42,'General Basis'!$C$43)))),IF(G1030&lt;11,'General Basis'!$B$39,IF(G1030&lt;18,'General Basis'!$B$40,IF(G1030&lt;26,'General Basis'!$B$41,IF(G1030&lt;31,'General Basis'!$B$42,IF(G1030&lt;36,'General Basis'!$B$43,IF(G1030&lt;41,'General Basis'!$B$44,IF(G1030&lt;46,'General Basis'!$B$45,IF(G1030&lt;51,'General Basis'!$B$46,IF(G1030&lt;56,'General Basis'!$B$47,IF(G1030&lt;60,'General Basis'!$B$48,IF(G1030&lt;65,'General Basis'!$B$49,'General Basis'!$B$50)))))))))))))</f>
        <v/>
      </c>
      <c r="BI1030" s="744" t="str">
        <f t="shared" ref="BI1030:BI1093" si="379">IF(C1030="","",IF(C1030="M","Male","Female"))</f>
        <v/>
      </c>
      <c r="BJ1030" s="747" t="str">
        <f t="shared" si="364"/>
        <v/>
      </c>
      <c r="BK1030" s="498" t="str">
        <f t="shared" ref="BK1030:BK1093" si="380">IF(BD1030="","",IF(AND(BD1030="Employee",BI1030="Male",BF1030="Abu Dhabi",BE1030=GN_Plus),VLOOKUP(BH1030,AUH_MALE_EMP,2,0),IF(AND(BD1030="Employee",BI1030="Male",BF1030="Abu Dhabi",BE1030=GN),VLOOKUP(BH1030,AUH_MALE_EMP,3,0),IF(AND(BD1030="Employee",BI1030="Male",BF1030="Abu Dhabi",BE1030=RN_Plus),VLOOKUP(BH1030,AUH_MALE_EMP,4,0),IF(AND(BD1030="Employee",BI1030="Male",BF1030="Abu Dhabi",BE1030=RN),VLOOKUP(BH1030,AUH_MALE_EMP,5,0),IF(AND(BD1030="Employee",BI1030="Male",BF1030="Abu Dhabi",BE1030=RN_2),VLOOKUP(BH1030,AUH_MALE_EMP,6,0),IF(AND(BD1030="Employee",BI1030="Male",BF1030="Abu Dhabi",BE1030=RN2_minus),VLOOKUP(BH1030,AUH_MALE_EMP,7,0),IF(AND(BD1030="Employee",BI1030="Male",BF1030="Abu Dhabi",BE1030=RN_3),VLOOKUP(BH1030,AUH_MALE_EMP,8,0),IF(AND(BD1030="Employee",BI1030="Male",BF1030="Abu Dhabi",BE1030=VN),VLOOKUP(BH1030,AUH_MALE_EMP,9,0),IF(BD1030="","",IF(AND(BD1030="Employee",BI1030="Female",BF1030="Abu Dhabi",BE1030=GN_Plus),VLOOKUP(BH1030,AUH_FEMALE_EMP,2,0),IF(AND(BD1030="Employee",BI1030="Female",BF1030="Abu Dhabi",BE1030=GN),VLOOKUP(BH1030,AUH_FEMALE_EMP,3,0),IF(AND(BD1030="Employee",BI1030="Female",BF1030="Abu Dhabi",BE1030=RN_Plus),VLOOKUP(BH1030,AUH_FEMALE_EMP,4,0),IF(AND(BD1030="Employee",BI1030="Female",BF1030="Abu Dhabi",BE1030=RN),VLOOKUP(BH1030,AUH_FEMALE_EMP,5,0),IF(AND(BD1030="Employee",BI1030="Female",BF1030="Abu Dhabi",BE1030=RN_2),VLOOKUP(BH1030,AUH_FEMALE_EMP,6,0),IF(AND(BD1030="Employee",BI1030="Female",BF1030="Abu Dhabi",BE1030=RN2_minus),VLOOKUP(BH1030,AUH_FEMALE_EMP,7,0),IF(AND(BD1030="Employee",BI1030="Female",BF1030="Abu Dhabi",BE1030=RN_3),VLOOKUP(BH1030,AUH_FEMALE_EMP,8,0),IF(AND(BD1030="Employee",BI1030="Female",BF1030="Abu Dhabi",BE1030=VN),VLOOKUP(BH1030,AUH_FEMALE_EMP,9,0),IF(BD1030="","",IF(AND(BD1030="Dependent",BI1030="Male",BF1030="Abu Dhabi",BE1030=GN_Plus),VLOOKUP(BH1030,AUH_MALE_DEP,2,0),IF(AND(BD1030="Dependent",BI1030="Male",BF1030="Abu Dhabi",BE1030=GN),VLOOKUP(BH1030,AUH_MALE_DEP,3,0),IF(AND(BD1030="Dependent",BI1030="Male",BF1030="Abu Dhabi",BE1030=RN_Plus),VLOOKUP(BH1030,AUH_MALE_DEP,4,0),IF(AND(BD1030="Dependent",BI1030="Male",BF1030="Abu Dhabi",BE1030=RN),VLOOKUP(BH1030,AUH_MALE_DEP,5,0),IF(AND(BD1030="Dependent",BI1030="Male",BF1030="Abu Dhabi",BE1030=RN_2),VLOOKUP(BH1030,AUH_MALE_DEP,6,0),IF(AND(BD1030="Dependent",BI1030="Male",BF1030="Abu Dhabi",BE1030=RN2_minus),VLOOKUP(BH1030,AUH_MALE_DEP,7,0),IF(AND(BD1030="Dependent",BI1030="Male",BF1030="Abu Dhabi",BE1030=RN_3),VLOOKUP(BH1030,AUH_MALE_DEP,8,0),IF(AND(BD1030="Dependent",BI1030="Male",BF1030="Abu Dhabi",BE1030=VN),VLOOKUP(BH1030,AUH_MALE_DEP,9,0),IF(BD1030="","",IF(AND(BD1030="Dependent",BI1030="Female",BF1030="Abu Dhabi",BE1030=GN_Plus),VLOOKUP(BH1030,AUH_FEMALE_DEP,2,0),IF(AND(BD1030="Dependent",BI1030="Female",BF1030="Abu Dhabi",BE1030=GN),VLOOKUP(BH1030,AUH_FEMALE_DEP,3,0),IF(AND(BD1030="Dependent",BI1030="Female",BF1030="Abu Dhabi",BE1030=RN_Plus),VLOOKUP(BH1030,AUH_FEMALE_DEP,4,0),IF(AND(BD1030="Dependent",BI1030="Female",BF1030="Abu Dhabi",BE1030=RN),VLOOKUP(BH1030,AUH_FEMALE_DEP,5,0),IF(AND(BD1030="Dependent",BI1030="Female",BF1030="Abu Dhabi",BE1030=RN_2),VLOOKUP(BH1030,AUH_FEMALE_DEP,6,0),IF(AND(BD1030="Dependent",BI1030="Female",BF1030="Abu Dhabi",BE1030=RN2_minus),VLOOKUP(BH1030,AUH_FEMALE_DEP,7,0),IF(AND(BD1030="Dependent",BI1030="Female",BF1030="Abu Dhabi",BE1030=RN_3),VLOOKUP(BH1030,AUH_FEMALE_DEP,8,0),IF(AND(BD1030="Dependent",BI1030="Female",BF1030="Abu Dhabi",BE1030=VN),VLOOKUP(BH1030,AUH_FEMALE_DEP,9,0),"ABC"))))))))))))))))))))))))))))))))))))</f>
        <v/>
      </c>
      <c r="BL1030" s="498" t="str">
        <f t="shared" ref="BL1030:BL1093" si="381">IF(BD1030="","",IF(AND(BD1030="Employee",BI1030="Male",BF1030="Dubai",BE1030=GN_Plus),VLOOKUP(BH1030,DXB_MALE_EMP,2,0),IF(AND(BD1030="Employee",BI1030="Male",BF1030="Dubai",BE1030=GN),VLOOKUP(BH1030,DXB_MALE_EMP,3,0),IF(AND(BD1030="Employee",BI1030="Male",BF1030="Dubai",BE1030=RN_Plus),VLOOKUP(BH1030,DXB_MALE_EMP,4,0),IF(AND(BD1030="Employee",BI1030="Male",BF1030="Dubai",BE1030=RN),VLOOKUP(BH1030,DXB_MALE_EMP,5,0),IF(AND(BD1030="Employee",BI1030="Male",BF1030="Dubai",BE1030=RN_2),VLOOKUP(BH1030,DXB_MALE_EMP,6,0),IF(AND(BD1030="Employee",BI1030="Male",BF1030="Dubai",BE1030=RN2_minus),VLOOKUP(BH1030,DXB_MALE_EMP,7,0),IF(AND(BD1030="Employee",BI1030="Male",BF1030="Dubai",BE1030=RN_3),VLOOKUP(BH1030,DXB_MALE_EMP,8,0),IF(AND(BD1030="Employee",BI1030="Male",BF1030="Dubai",BE1030=VN),VLOOKUP(BH1030,DXB_MALE_EMP,9,0),IF(BD1030="","",IF(AND(BD1030="Employee",BI1030="Female",BF1030="Dubai",BE1030=GN_Plus),VLOOKUP(BH1030,DXB_FEMALE_EMP,2,0),IF(AND(BD1030="Employee",BI1030="Female",BF1030="Dubai",BE1030=GN),VLOOKUP(BH1030,DXB_FEMALE_EMP,3,0),IF(AND(BD1030="Employee",BI1030="Female",BF1030="Dubai",BE1030=RN_Plus),VLOOKUP(BH1030,DXB_FEMALE_EMP,4,0),IF(AND(BD1030="Employee",BI1030="Female",BF1030="Dubai",BE1030=RN),VLOOKUP(BH1030,DXB_FEMALE_EMP,5,0),IF(AND(BD1030="Employee",BI1030="Female",BF1030="Dubai",BE1030=RN_2),VLOOKUP(BH1030,DXB_FEMALE_EMP,6,0),IF(AND(BD1030="Employee",BI1030="Female",BF1030="Dubai",BE1030=RN2_minus),VLOOKUP(BH1030,DXB_FEMALE_EMP,7,0),IF(AND(BD1030="Employee",BI1030="Female",BF1030="Dubai",BE1030=RN_3),VLOOKUP(BH1030,DXB_FEMALE_EMP,8,0),IF(AND(BD1030="Employee",BI1030="Female",BF1030="Dubai",BE1030=VN),VLOOKUP(BH1030,DXB_FEMALE_EMP,9,0),IF(BD1030="","",IF(AND(BD1030="Dependent",BI1030="Male",BF1030="Dubai",BE1030=GN_Plus),VLOOKUP(BH1030,DXB_MALE_DEP,2,0),IF(AND(BD1030="Dependent",BI1030="Male",BF1030="Dubai",BE1030=GN),VLOOKUP(BH1030,DXB_MALE_DEP,3,0),IF(AND(BD1030="Dependent",BI1030="Male",BF1030="Dubai",BE1030=RN_Plus),VLOOKUP(BH1030,DXB_MALE_DEP,4,0),IF(AND(BD1030="Dependent",BI1030="Male",BF1030="Dubai",BE1030=RN),VLOOKUP(BH1030,DXB_MALE_DEP,5,0),IF(AND(BD1030="Dependent",BI1030="Male",BF1030="Dubai",BE1030=RN_2),VLOOKUP(BH1030,DXB_MALE_DEP,6,0),IF(AND(BD1030="Dependent",BI1030="Male",BF1030="Dubai",BE1030=RN2_minus),VLOOKUP(BH1030,DXB_MALE_DEP,7,0),IF(AND(BD1030="Dependent",BI1030="Male",BF1030="Dubai",BE1030=RN_3),VLOOKUP(BH1030,DXB_MALE_DEP,8,0),IF(AND(BD1030="Dependent",BI1030="Male",BF1030="Dubai",BE1030=VN),VLOOKUP(BH1030,DXB_MALE_DEP,9,0),IF(BD1030="","",IF(AND(BD1030="Dependent",BI1030="Female",BF1030="Dubai",BE1030=GN_Plus),VLOOKUP(BH1030,DXB_FEMALE_DEP,2,0),IF(AND(BD1030="Dependent",BI1030="Female",BF1030="Dubai",BE1030=GN),VLOOKUP(BH1030,DXB_FEMALE_DEP,3,0),IF(AND(BD1030="Dependent",BI1030="Female",BF1030="Dubai",BE1030=RN_Plus),VLOOKUP(BH1030,DXB_FEMALE_DEP,4,0),IF(AND(BD1030="Dependent",BI1030="Female",BF1030="Dubai",BE1030=RN),VLOOKUP(BH1030,DXB_FEMALE_DEP,5,0),IF(AND(BD1030="Dependent",BI1030="Female",BF1030="Dubai",BE1030=RN_2),VLOOKUP(BH1030,DXB_FEMALE_DEP,6,0),IF(AND(BD1030="Dependent",BI1030="Female",BF1030="Dubai",BE1030=RN2_minus),VLOOKUP(BH1030,DXB_FEMALE_DEP,7,0),IF(AND(BD1030="Dependent",BI1030="Female",BF1030="Dubai",BE1030=RN_3),VLOOKUP(BH1030,DXB_FEMALE_DEP,8,0),IF(AND(BD1030="Dependent",BI1030="Female",BF1030="Dubai",BE1030=VN),VLOOKUP(BH1030,DXB_FEMALE_DEP,9,0),"ABC"))))))))))))))))))))))))))))))))))))</f>
        <v/>
      </c>
    </row>
    <row r="1031" spans="1:64" x14ac:dyDescent="0.25">
      <c r="A1031" s="762">
        <f t="shared" ref="A1031:A1094" si="382">+A1030+1</f>
        <v>1026</v>
      </c>
      <c r="B1031" s="229"/>
      <c r="C1031" s="223"/>
      <c r="D1031" s="224"/>
      <c r="E1031" s="225"/>
      <c r="F1031" s="1036" t="str">
        <f t="shared" si="366"/>
        <v/>
      </c>
      <c r="G1031" s="1037" t="str">
        <f t="shared" ref="G1031:G1094" si="383">IF(D1031="","",MAX(0,ROUNDUP(F1031,0)))</f>
        <v/>
      </c>
      <c r="H1031" s="225"/>
      <c r="I1031" s="1013"/>
      <c r="J1031" s="1013"/>
      <c r="K1031" s="1028"/>
      <c r="L1031" s="1035" t="str">
        <f t="shared" si="365"/>
        <v/>
      </c>
      <c r="S1031" s="498"/>
      <c r="AJ1031" s="498"/>
      <c r="AM1031" s="498">
        <f t="shared" si="368"/>
        <v>0</v>
      </c>
      <c r="AN1031" s="498">
        <f t="shared" si="369"/>
        <v>0</v>
      </c>
      <c r="AO1031" s="498">
        <f t="shared" si="370"/>
        <v>0</v>
      </c>
      <c r="AP1031" s="498">
        <f t="shared" si="367"/>
        <v>0</v>
      </c>
      <c r="AQ1031" s="498">
        <f t="shared" ref="AQ1031:AQ1094" si="384">IF(ISBLANK($B1031),0,IF(OR($H1031="Single",$H1031="Married"),0,1))</f>
        <v>0</v>
      </c>
      <c r="AU1031" s="498">
        <f t="shared" si="371"/>
        <v>0</v>
      </c>
      <c r="AV1031" s="498">
        <f t="shared" si="372"/>
        <v>0</v>
      </c>
      <c r="AW1031" s="498">
        <f t="shared" si="373"/>
        <v>0</v>
      </c>
      <c r="AX1031" s="498">
        <f t="shared" si="374"/>
        <v>0</v>
      </c>
      <c r="AY1031" s="498">
        <f t="shared" si="375"/>
        <v>0</v>
      </c>
      <c r="BB1031" s="498" t="str">
        <f t="shared" si="376"/>
        <v/>
      </c>
      <c r="BC1031" s="743" t="str">
        <f t="shared" si="377"/>
        <v/>
      </c>
      <c r="BD1031" s="743" t="str">
        <f t="shared" si="378"/>
        <v/>
      </c>
      <c r="BE1031" s="743" t="str">
        <f>IF(D1031="","",VLOOKUP(D1031,'General Basis'!$J$39:$K$46,2,0))</f>
        <v/>
      </c>
      <c r="BF1031" s="744" t="str">
        <f>IF(D1031="","",VLOOKUP(D1031,'General Basis'!$J$39:$L$46,3,0))</f>
        <v/>
      </c>
      <c r="BG1031" s="744" t="str">
        <f t="shared" ref="BG1031:BG1094" si="385">BC1031&amp;BI1031</f>
        <v/>
      </c>
      <c r="BH1031" s="744" t="str">
        <f>IF(G1031="","",IF(BF1031="Abu Dhabi",IF(G1031&lt;18,'General Basis'!$C$39,IF(G1031&lt;41,'General Basis'!$C$40,IF(G1031&lt;60,'General Basis'!$C$41,IF(G1031&lt;65,'General Basis'!$C$42,'General Basis'!$C$43)))),IF(G1031&lt;11,'General Basis'!$B$39,IF(G1031&lt;18,'General Basis'!$B$40,IF(G1031&lt;26,'General Basis'!$B$41,IF(G1031&lt;31,'General Basis'!$B$42,IF(G1031&lt;36,'General Basis'!$B$43,IF(G1031&lt;41,'General Basis'!$B$44,IF(G1031&lt;46,'General Basis'!$B$45,IF(G1031&lt;51,'General Basis'!$B$46,IF(G1031&lt;56,'General Basis'!$B$47,IF(G1031&lt;60,'General Basis'!$B$48,IF(G1031&lt;65,'General Basis'!$B$49,'General Basis'!$B$50)))))))))))))</f>
        <v/>
      </c>
      <c r="BI1031" s="744" t="str">
        <f t="shared" si="379"/>
        <v/>
      </c>
      <c r="BJ1031" s="747" t="str">
        <f t="shared" ref="BJ1031:BJ1094" si="386">IF(BD1031="","",IF(BF1031="Abu Dhabi",BK1031,BL1031))</f>
        <v/>
      </c>
      <c r="BK1031" s="498" t="str">
        <f t="shared" si="380"/>
        <v/>
      </c>
      <c r="BL1031" s="498" t="str">
        <f t="shared" si="381"/>
        <v/>
      </c>
    </row>
    <row r="1032" spans="1:64" x14ac:dyDescent="0.25">
      <c r="A1032" s="762">
        <f t="shared" si="382"/>
        <v>1027</v>
      </c>
      <c r="B1032" s="229"/>
      <c r="C1032" s="223"/>
      <c r="D1032" s="224"/>
      <c r="E1032" s="225"/>
      <c r="F1032" s="1036" t="str">
        <f t="shared" si="366"/>
        <v/>
      </c>
      <c r="G1032" s="1037" t="str">
        <f t="shared" si="383"/>
        <v/>
      </c>
      <c r="H1032" s="225"/>
      <c r="I1032" s="1013"/>
      <c r="J1032" s="1013"/>
      <c r="K1032" s="1028"/>
      <c r="L1032" s="1035" t="str">
        <f t="shared" ref="L1032:L1095" si="387">IF(AND(E1032="Child",H1032="Married"),"Check the Marital Status of the Child. ",IF(AND(E1032="Child",F1032&gt;18),"Child Age exceed 18 years. ",IF(AND(E1032="Spouse",H1032="Single"),"Spouse is selected as Single. ","")))&amp;IF(K1032&gt;0,"UW Loading has been Applied","")</f>
        <v/>
      </c>
      <c r="S1032" s="498"/>
      <c r="AJ1032" s="498"/>
      <c r="AM1032" s="498">
        <f t="shared" si="368"/>
        <v>0</v>
      </c>
      <c r="AN1032" s="498">
        <f t="shared" si="369"/>
        <v>0</v>
      </c>
      <c r="AO1032" s="498">
        <f t="shared" si="370"/>
        <v>0</v>
      </c>
      <c r="AP1032" s="498">
        <f t="shared" si="367"/>
        <v>0</v>
      </c>
      <c r="AQ1032" s="498">
        <f t="shared" si="384"/>
        <v>0</v>
      </c>
      <c r="AU1032" s="498">
        <f t="shared" si="371"/>
        <v>0</v>
      </c>
      <c r="AV1032" s="498">
        <f t="shared" si="372"/>
        <v>0</v>
      </c>
      <c r="AW1032" s="498">
        <f t="shared" si="373"/>
        <v>0</v>
      </c>
      <c r="AX1032" s="498">
        <f t="shared" si="374"/>
        <v>0</v>
      </c>
      <c r="AY1032" s="498">
        <f t="shared" si="375"/>
        <v>0</v>
      </c>
      <c r="BB1032" s="498" t="str">
        <f t="shared" si="376"/>
        <v/>
      </c>
      <c r="BC1032" s="743" t="str">
        <f t="shared" si="377"/>
        <v/>
      </c>
      <c r="BD1032" s="743" t="str">
        <f t="shared" si="378"/>
        <v/>
      </c>
      <c r="BE1032" s="743" t="str">
        <f>IF(D1032="","",VLOOKUP(D1032,'General Basis'!$J$39:$K$46,2,0))</f>
        <v/>
      </c>
      <c r="BF1032" s="744" t="str">
        <f>IF(D1032="","",VLOOKUP(D1032,'General Basis'!$J$39:$L$46,3,0))</f>
        <v/>
      </c>
      <c r="BG1032" s="744" t="str">
        <f t="shared" si="385"/>
        <v/>
      </c>
      <c r="BH1032" s="744" t="str">
        <f>IF(G1032="","",IF(BF1032="Abu Dhabi",IF(G1032&lt;18,'General Basis'!$C$39,IF(G1032&lt;41,'General Basis'!$C$40,IF(G1032&lt;60,'General Basis'!$C$41,IF(G1032&lt;65,'General Basis'!$C$42,'General Basis'!$C$43)))),IF(G1032&lt;11,'General Basis'!$B$39,IF(G1032&lt;18,'General Basis'!$B$40,IF(G1032&lt;26,'General Basis'!$B$41,IF(G1032&lt;31,'General Basis'!$B$42,IF(G1032&lt;36,'General Basis'!$B$43,IF(G1032&lt;41,'General Basis'!$B$44,IF(G1032&lt;46,'General Basis'!$B$45,IF(G1032&lt;51,'General Basis'!$B$46,IF(G1032&lt;56,'General Basis'!$B$47,IF(G1032&lt;60,'General Basis'!$B$48,IF(G1032&lt;65,'General Basis'!$B$49,'General Basis'!$B$50)))))))))))))</f>
        <v/>
      </c>
      <c r="BI1032" s="744" t="str">
        <f t="shared" si="379"/>
        <v/>
      </c>
      <c r="BJ1032" s="747" t="str">
        <f t="shared" si="386"/>
        <v/>
      </c>
      <c r="BK1032" s="498" t="str">
        <f t="shared" si="380"/>
        <v/>
      </c>
      <c r="BL1032" s="498" t="str">
        <f t="shared" si="381"/>
        <v/>
      </c>
    </row>
    <row r="1033" spans="1:64" x14ac:dyDescent="0.25">
      <c r="A1033" s="762">
        <f t="shared" si="382"/>
        <v>1028</v>
      </c>
      <c r="B1033" s="229"/>
      <c r="C1033" s="223"/>
      <c r="D1033" s="224"/>
      <c r="E1033" s="225"/>
      <c r="F1033" s="1036" t="str">
        <f t="shared" si="366"/>
        <v/>
      </c>
      <c r="G1033" s="1037" t="str">
        <f t="shared" si="383"/>
        <v/>
      </c>
      <c r="H1033" s="225"/>
      <c r="I1033" s="1013"/>
      <c r="J1033" s="1013"/>
      <c r="K1033" s="1028"/>
      <c r="L1033" s="1035" t="str">
        <f t="shared" si="387"/>
        <v/>
      </c>
      <c r="S1033" s="498"/>
      <c r="AJ1033" s="498"/>
      <c r="AM1033" s="498">
        <f t="shared" si="368"/>
        <v>0</v>
      </c>
      <c r="AN1033" s="498">
        <f t="shared" si="369"/>
        <v>0</v>
      </c>
      <c r="AO1033" s="498">
        <f t="shared" si="370"/>
        <v>0</v>
      </c>
      <c r="AP1033" s="498">
        <f t="shared" si="367"/>
        <v>0</v>
      </c>
      <c r="AQ1033" s="498">
        <f t="shared" si="384"/>
        <v>0</v>
      </c>
      <c r="AU1033" s="498">
        <f t="shared" si="371"/>
        <v>0</v>
      </c>
      <c r="AV1033" s="498">
        <f t="shared" si="372"/>
        <v>0</v>
      </c>
      <c r="AW1033" s="498">
        <f t="shared" si="373"/>
        <v>0</v>
      </c>
      <c r="AX1033" s="498">
        <f t="shared" si="374"/>
        <v>0</v>
      </c>
      <c r="AY1033" s="498">
        <f t="shared" si="375"/>
        <v>0</v>
      </c>
      <c r="BB1033" s="498" t="str">
        <f t="shared" si="376"/>
        <v/>
      </c>
      <c r="BC1033" s="743" t="str">
        <f t="shared" si="377"/>
        <v/>
      </c>
      <c r="BD1033" s="743" t="str">
        <f t="shared" si="378"/>
        <v/>
      </c>
      <c r="BE1033" s="743" t="str">
        <f>IF(D1033="","",VLOOKUP(D1033,'General Basis'!$J$39:$K$46,2,0))</f>
        <v/>
      </c>
      <c r="BF1033" s="744" t="str">
        <f>IF(D1033="","",VLOOKUP(D1033,'General Basis'!$J$39:$L$46,3,0))</f>
        <v/>
      </c>
      <c r="BG1033" s="744" t="str">
        <f t="shared" si="385"/>
        <v/>
      </c>
      <c r="BH1033" s="744" t="str">
        <f>IF(G1033="","",IF(BF1033="Abu Dhabi",IF(G1033&lt;18,'General Basis'!$C$39,IF(G1033&lt;41,'General Basis'!$C$40,IF(G1033&lt;60,'General Basis'!$C$41,IF(G1033&lt;65,'General Basis'!$C$42,'General Basis'!$C$43)))),IF(G1033&lt;11,'General Basis'!$B$39,IF(G1033&lt;18,'General Basis'!$B$40,IF(G1033&lt;26,'General Basis'!$B$41,IF(G1033&lt;31,'General Basis'!$B$42,IF(G1033&lt;36,'General Basis'!$B$43,IF(G1033&lt;41,'General Basis'!$B$44,IF(G1033&lt;46,'General Basis'!$B$45,IF(G1033&lt;51,'General Basis'!$B$46,IF(G1033&lt;56,'General Basis'!$B$47,IF(G1033&lt;60,'General Basis'!$B$48,IF(G1033&lt;65,'General Basis'!$B$49,'General Basis'!$B$50)))))))))))))</f>
        <v/>
      </c>
      <c r="BI1033" s="744" t="str">
        <f t="shared" si="379"/>
        <v/>
      </c>
      <c r="BJ1033" s="747" t="str">
        <f t="shared" si="386"/>
        <v/>
      </c>
      <c r="BK1033" s="498" t="str">
        <f t="shared" si="380"/>
        <v/>
      </c>
      <c r="BL1033" s="498" t="str">
        <f t="shared" si="381"/>
        <v/>
      </c>
    </row>
    <row r="1034" spans="1:64" x14ac:dyDescent="0.25">
      <c r="A1034" s="762">
        <f t="shared" si="382"/>
        <v>1029</v>
      </c>
      <c r="B1034" s="229"/>
      <c r="C1034" s="223"/>
      <c r="D1034" s="224"/>
      <c r="E1034" s="225"/>
      <c r="F1034" s="1036" t="str">
        <f t="shared" si="366"/>
        <v/>
      </c>
      <c r="G1034" s="1037" t="str">
        <f t="shared" si="383"/>
        <v/>
      </c>
      <c r="H1034" s="225"/>
      <c r="I1034" s="1013"/>
      <c r="J1034" s="1013"/>
      <c r="K1034" s="1028"/>
      <c r="L1034" s="1035" t="str">
        <f t="shared" si="387"/>
        <v/>
      </c>
      <c r="S1034" s="498"/>
      <c r="AJ1034" s="498"/>
      <c r="AM1034" s="498">
        <f t="shared" si="368"/>
        <v>0</v>
      </c>
      <c r="AN1034" s="498">
        <f t="shared" si="369"/>
        <v>0</v>
      </c>
      <c r="AO1034" s="498">
        <f t="shared" si="370"/>
        <v>0</v>
      </c>
      <c r="AP1034" s="498">
        <f t="shared" si="367"/>
        <v>0</v>
      </c>
      <c r="AQ1034" s="498">
        <f t="shared" si="384"/>
        <v>0</v>
      </c>
      <c r="AU1034" s="498">
        <f t="shared" si="371"/>
        <v>0</v>
      </c>
      <c r="AV1034" s="498">
        <f t="shared" si="372"/>
        <v>0</v>
      </c>
      <c r="AW1034" s="498">
        <f t="shared" si="373"/>
        <v>0</v>
      </c>
      <c r="AX1034" s="498">
        <f t="shared" si="374"/>
        <v>0</v>
      </c>
      <c r="AY1034" s="498">
        <f t="shared" si="375"/>
        <v>0</v>
      </c>
      <c r="BB1034" s="498" t="str">
        <f t="shared" si="376"/>
        <v/>
      </c>
      <c r="BC1034" s="743" t="str">
        <f t="shared" si="377"/>
        <v/>
      </c>
      <c r="BD1034" s="743" t="str">
        <f t="shared" si="378"/>
        <v/>
      </c>
      <c r="BE1034" s="743" t="str">
        <f>IF(D1034="","",VLOOKUP(D1034,'General Basis'!$J$39:$K$46,2,0))</f>
        <v/>
      </c>
      <c r="BF1034" s="744" t="str">
        <f>IF(D1034="","",VLOOKUP(D1034,'General Basis'!$J$39:$L$46,3,0))</f>
        <v/>
      </c>
      <c r="BG1034" s="744" t="str">
        <f t="shared" si="385"/>
        <v/>
      </c>
      <c r="BH1034" s="744" t="str">
        <f>IF(G1034="","",IF(BF1034="Abu Dhabi",IF(G1034&lt;18,'General Basis'!$C$39,IF(G1034&lt;41,'General Basis'!$C$40,IF(G1034&lt;60,'General Basis'!$C$41,IF(G1034&lt;65,'General Basis'!$C$42,'General Basis'!$C$43)))),IF(G1034&lt;11,'General Basis'!$B$39,IF(G1034&lt;18,'General Basis'!$B$40,IF(G1034&lt;26,'General Basis'!$B$41,IF(G1034&lt;31,'General Basis'!$B$42,IF(G1034&lt;36,'General Basis'!$B$43,IF(G1034&lt;41,'General Basis'!$B$44,IF(G1034&lt;46,'General Basis'!$B$45,IF(G1034&lt;51,'General Basis'!$B$46,IF(G1034&lt;56,'General Basis'!$B$47,IF(G1034&lt;60,'General Basis'!$B$48,IF(G1034&lt;65,'General Basis'!$B$49,'General Basis'!$B$50)))))))))))))</f>
        <v/>
      </c>
      <c r="BI1034" s="744" t="str">
        <f t="shared" si="379"/>
        <v/>
      </c>
      <c r="BJ1034" s="747" t="str">
        <f t="shared" si="386"/>
        <v/>
      </c>
      <c r="BK1034" s="498" t="str">
        <f t="shared" si="380"/>
        <v/>
      </c>
      <c r="BL1034" s="498" t="str">
        <f t="shared" si="381"/>
        <v/>
      </c>
    </row>
    <row r="1035" spans="1:64" x14ac:dyDescent="0.25">
      <c r="A1035" s="762">
        <f t="shared" si="382"/>
        <v>1030</v>
      </c>
      <c r="B1035" s="229"/>
      <c r="C1035" s="223"/>
      <c r="D1035" s="224"/>
      <c r="E1035" s="225"/>
      <c r="F1035" s="1036" t="str">
        <f t="shared" si="366"/>
        <v/>
      </c>
      <c r="G1035" s="1037" t="str">
        <f t="shared" si="383"/>
        <v/>
      </c>
      <c r="H1035" s="225"/>
      <c r="I1035" s="1013"/>
      <c r="J1035" s="1013"/>
      <c r="K1035" s="1028"/>
      <c r="L1035" s="1035" t="str">
        <f t="shared" si="387"/>
        <v/>
      </c>
      <c r="S1035" s="498"/>
      <c r="AJ1035" s="498"/>
      <c r="AM1035" s="498">
        <f t="shared" si="368"/>
        <v>0</v>
      </c>
      <c r="AN1035" s="498">
        <f t="shared" si="369"/>
        <v>0</v>
      </c>
      <c r="AO1035" s="498">
        <f t="shared" si="370"/>
        <v>0</v>
      </c>
      <c r="AP1035" s="498">
        <f t="shared" si="367"/>
        <v>0</v>
      </c>
      <c r="AQ1035" s="498">
        <f t="shared" si="384"/>
        <v>0</v>
      </c>
      <c r="AU1035" s="498">
        <f t="shared" si="371"/>
        <v>0</v>
      </c>
      <c r="AV1035" s="498">
        <f t="shared" si="372"/>
        <v>0</v>
      </c>
      <c r="AW1035" s="498">
        <f t="shared" si="373"/>
        <v>0</v>
      </c>
      <c r="AX1035" s="498">
        <f t="shared" si="374"/>
        <v>0</v>
      </c>
      <c r="AY1035" s="498">
        <f t="shared" si="375"/>
        <v>0</v>
      </c>
      <c r="BB1035" s="498" t="str">
        <f t="shared" si="376"/>
        <v/>
      </c>
      <c r="BC1035" s="743" t="str">
        <f t="shared" si="377"/>
        <v/>
      </c>
      <c r="BD1035" s="743" t="str">
        <f t="shared" si="378"/>
        <v/>
      </c>
      <c r="BE1035" s="743" t="str">
        <f>IF(D1035="","",VLOOKUP(D1035,'General Basis'!$J$39:$K$46,2,0))</f>
        <v/>
      </c>
      <c r="BF1035" s="744" t="str">
        <f>IF(D1035="","",VLOOKUP(D1035,'General Basis'!$J$39:$L$46,3,0))</f>
        <v/>
      </c>
      <c r="BG1035" s="744" t="str">
        <f t="shared" si="385"/>
        <v/>
      </c>
      <c r="BH1035" s="744" t="str">
        <f>IF(G1035="","",IF(BF1035="Abu Dhabi",IF(G1035&lt;18,'General Basis'!$C$39,IF(G1035&lt;41,'General Basis'!$C$40,IF(G1035&lt;60,'General Basis'!$C$41,IF(G1035&lt;65,'General Basis'!$C$42,'General Basis'!$C$43)))),IF(G1035&lt;11,'General Basis'!$B$39,IF(G1035&lt;18,'General Basis'!$B$40,IF(G1035&lt;26,'General Basis'!$B$41,IF(G1035&lt;31,'General Basis'!$B$42,IF(G1035&lt;36,'General Basis'!$B$43,IF(G1035&lt;41,'General Basis'!$B$44,IF(G1035&lt;46,'General Basis'!$B$45,IF(G1035&lt;51,'General Basis'!$B$46,IF(G1035&lt;56,'General Basis'!$B$47,IF(G1035&lt;60,'General Basis'!$B$48,IF(G1035&lt;65,'General Basis'!$B$49,'General Basis'!$B$50)))))))))))))</f>
        <v/>
      </c>
      <c r="BI1035" s="744" t="str">
        <f t="shared" si="379"/>
        <v/>
      </c>
      <c r="BJ1035" s="747" t="str">
        <f t="shared" si="386"/>
        <v/>
      </c>
      <c r="BK1035" s="498" t="str">
        <f t="shared" si="380"/>
        <v/>
      </c>
      <c r="BL1035" s="498" t="str">
        <f t="shared" si="381"/>
        <v/>
      </c>
    </row>
    <row r="1036" spans="1:64" x14ac:dyDescent="0.25">
      <c r="A1036" s="762">
        <f t="shared" si="382"/>
        <v>1031</v>
      </c>
      <c r="B1036" s="229"/>
      <c r="C1036" s="223"/>
      <c r="D1036" s="224"/>
      <c r="E1036" s="225"/>
      <c r="F1036" s="1036" t="str">
        <f t="shared" si="366"/>
        <v/>
      </c>
      <c r="G1036" s="1037" t="str">
        <f t="shared" si="383"/>
        <v/>
      </c>
      <c r="H1036" s="225"/>
      <c r="I1036" s="1013"/>
      <c r="J1036" s="1013"/>
      <c r="K1036" s="1028"/>
      <c r="L1036" s="1035" t="str">
        <f t="shared" si="387"/>
        <v/>
      </c>
      <c r="S1036" s="498"/>
      <c r="AJ1036" s="498"/>
      <c r="AM1036" s="498">
        <f t="shared" si="368"/>
        <v>0</v>
      </c>
      <c r="AN1036" s="498">
        <f t="shared" si="369"/>
        <v>0</v>
      </c>
      <c r="AO1036" s="498">
        <f t="shared" si="370"/>
        <v>0</v>
      </c>
      <c r="AP1036" s="498">
        <f t="shared" si="367"/>
        <v>0</v>
      </c>
      <c r="AQ1036" s="498">
        <f t="shared" si="384"/>
        <v>0</v>
      </c>
      <c r="AU1036" s="498">
        <f t="shared" si="371"/>
        <v>0</v>
      </c>
      <c r="AV1036" s="498">
        <f t="shared" si="372"/>
        <v>0</v>
      </c>
      <c r="AW1036" s="498">
        <f t="shared" si="373"/>
        <v>0</v>
      </c>
      <c r="AX1036" s="498">
        <f t="shared" si="374"/>
        <v>0</v>
      </c>
      <c r="AY1036" s="498">
        <f t="shared" si="375"/>
        <v>0</v>
      </c>
      <c r="BB1036" s="498" t="str">
        <f t="shared" si="376"/>
        <v/>
      </c>
      <c r="BC1036" s="743" t="str">
        <f t="shared" si="377"/>
        <v/>
      </c>
      <c r="BD1036" s="743" t="str">
        <f t="shared" si="378"/>
        <v/>
      </c>
      <c r="BE1036" s="743" t="str">
        <f>IF(D1036="","",VLOOKUP(D1036,'General Basis'!$J$39:$K$46,2,0))</f>
        <v/>
      </c>
      <c r="BF1036" s="744" t="str">
        <f>IF(D1036="","",VLOOKUP(D1036,'General Basis'!$J$39:$L$46,3,0))</f>
        <v/>
      </c>
      <c r="BG1036" s="744" t="str">
        <f t="shared" si="385"/>
        <v/>
      </c>
      <c r="BH1036" s="744" t="str">
        <f>IF(G1036="","",IF(BF1036="Abu Dhabi",IF(G1036&lt;18,'General Basis'!$C$39,IF(G1036&lt;41,'General Basis'!$C$40,IF(G1036&lt;60,'General Basis'!$C$41,IF(G1036&lt;65,'General Basis'!$C$42,'General Basis'!$C$43)))),IF(G1036&lt;11,'General Basis'!$B$39,IF(G1036&lt;18,'General Basis'!$B$40,IF(G1036&lt;26,'General Basis'!$B$41,IF(G1036&lt;31,'General Basis'!$B$42,IF(G1036&lt;36,'General Basis'!$B$43,IF(G1036&lt;41,'General Basis'!$B$44,IF(G1036&lt;46,'General Basis'!$B$45,IF(G1036&lt;51,'General Basis'!$B$46,IF(G1036&lt;56,'General Basis'!$B$47,IF(G1036&lt;60,'General Basis'!$B$48,IF(G1036&lt;65,'General Basis'!$B$49,'General Basis'!$B$50)))))))))))))</f>
        <v/>
      </c>
      <c r="BI1036" s="744" t="str">
        <f t="shared" si="379"/>
        <v/>
      </c>
      <c r="BJ1036" s="747" t="str">
        <f t="shared" si="386"/>
        <v/>
      </c>
      <c r="BK1036" s="498" t="str">
        <f t="shared" si="380"/>
        <v/>
      </c>
      <c r="BL1036" s="498" t="str">
        <f t="shared" si="381"/>
        <v/>
      </c>
    </row>
    <row r="1037" spans="1:64" x14ac:dyDescent="0.25">
      <c r="A1037" s="762">
        <f t="shared" si="382"/>
        <v>1032</v>
      </c>
      <c r="B1037" s="229"/>
      <c r="C1037" s="223"/>
      <c r="D1037" s="224"/>
      <c r="E1037" s="225"/>
      <c r="F1037" s="1036" t="str">
        <f t="shared" si="366"/>
        <v/>
      </c>
      <c r="G1037" s="1037" t="str">
        <f t="shared" si="383"/>
        <v/>
      </c>
      <c r="H1037" s="225"/>
      <c r="I1037" s="1013"/>
      <c r="J1037" s="1013"/>
      <c r="K1037" s="1028"/>
      <c r="L1037" s="1035" t="str">
        <f t="shared" si="387"/>
        <v/>
      </c>
      <c r="S1037" s="498"/>
      <c r="AJ1037" s="498"/>
      <c r="AM1037" s="498">
        <f t="shared" si="368"/>
        <v>0</v>
      </c>
      <c r="AN1037" s="498">
        <f t="shared" si="369"/>
        <v>0</v>
      </c>
      <c r="AO1037" s="498">
        <f t="shared" si="370"/>
        <v>0</v>
      </c>
      <c r="AP1037" s="498">
        <f t="shared" si="367"/>
        <v>0</v>
      </c>
      <c r="AQ1037" s="498">
        <f t="shared" si="384"/>
        <v>0</v>
      </c>
      <c r="AU1037" s="498">
        <f t="shared" si="371"/>
        <v>0</v>
      </c>
      <c r="AV1037" s="498">
        <f t="shared" si="372"/>
        <v>0</v>
      </c>
      <c r="AW1037" s="498">
        <f t="shared" si="373"/>
        <v>0</v>
      </c>
      <c r="AX1037" s="498">
        <f t="shared" si="374"/>
        <v>0</v>
      </c>
      <c r="AY1037" s="498">
        <f t="shared" si="375"/>
        <v>0</v>
      </c>
      <c r="BB1037" s="498" t="str">
        <f t="shared" si="376"/>
        <v/>
      </c>
      <c r="BC1037" s="743" t="str">
        <f t="shared" si="377"/>
        <v/>
      </c>
      <c r="BD1037" s="743" t="str">
        <f t="shared" si="378"/>
        <v/>
      </c>
      <c r="BE1037" s="743" t="str">
        <f>IF(D1037="","",VLOOKUP(D1037,'General Basis'!$J$39:$K$46,2,0))</f>
        <v/>
      </c>
      <c r="BF1037" s="744" t="str">
        <f>IF(D1037="","",VLOOKUP(D1037,'General Basis'!$J$39:$L$46,3,0))</f>
        <v/>
      </c>
      <c r="BG1037" s="744" t="str">
        <f t="shared" si="385"/>
        <v/>
      </c>
      <c r="BH1037" s="744" t="str">
        <f>IF(G1037="","",IF(BF1037="Abu Dhabi",IF(G1037&lt;18,'General Basis'!$C$39,IF(G1037&lt;41,'General Basis'!$C$40,IF(G1037&lt;60,'General Basis'!$C$41,IF(G1037&lt;65,'General Basis'!$C$42,'General Basis'!$C$43)))),IF(G1037&lt;11,'General Basis'!$B$39,IF(G1037&lt;18,'General Basis'!$B$40,IF(G1037&lt;26,'General Basis'!$B$41,IF(G1037&lt;31,'General Basis'!$B$42,IF(G1037&lt;36,'General Basis'!$B$43,IF(G1037&lt;41,'General Basis'!$B$44,IF(G1037&lt;46,'General Basis'!$B$45,IF(G1037&lt;51,'General Basis'!$B$46,IF(G1037&lt;56,'General Basis'!$B$47,IF(G1037&lt;60,'General Basis'!$B$48,IF(G1037&lt;65,'General Basis'!$B$49,'General Basis'!$B$50)))))))))))))</f>
        <v/>
      </c>
      <c r="BI1037" s="744" t="str">
        <f t="shared" si="379"/>
        <v/>
      </c>
      <c r="BJ1037" s="747" t="str">
        <f t="shared" si="386"/>
        <v/>
      </c>
      <c r="BK1037" s="498" t="str">
        <f t="shared" si="380"/>
        <v/>
      </c>
      <c r="BL1037" s="498" t="str">
        <f t="shared" si="381"/>
        <v/>
      </c>
    </row>
    <row r="1038" spans="1:64" x14ac:dyDescent="0.25">
      <c r="A1038" s="762">
        <f t="shared" si="382"/>
        <v>1033</v>
      </c>
      <c r="B1038" s="229"/>
      <c r="C1038" s="223"/>
      <c r="D1038" s="224"/>
      <c r="E1038" s="225"/>
      <c r="F1038" s="1036" t="str">
        <f t="shared" si="366"/>
        <v/>
      </c>
      <c r="G1038" s="1037" t="str">
        <f t="shared" si="383"/>
        <v/>
      </c>
      <c r="H1038" s="225"/>
      <c r="I1038" s="1013"/>
      <c r="J1038" s="1013"/>
      <c r="K1038" s="1028"/>
      <c r="L1038" s="1035" t="str">
        <f t="shared" si="387"/>
        <v/>
      </c>
      <c r="S1038" s="498"/>
      <c r="AJ1038" s="498"/>
      <c r="AM1038" s="498">
        <f t="shared" si="368"/>
        <v>0</v>
      </c>
      <c r="AN1038" s="498">
        <f t="shared" si="369"/>
        <v>0</v>
      </c>
      <c r="AO1038" s="498">
        <f t="shared" si="370"/>
        <v>0</v>
      </c>
      <c r="AP1038" s="498">
        <f t="shared" si="367"/>
        <v>0</v>
      </c>
      <c r="AQ1038" s="498">
        <f t="shared" si="384"/>
        <v>0</v>
      </c>
      <c r="AU1038" s="498">
        <f t="shared" si="371"/>
        <v>0</v>
      </c>
      <c r="AV1038" s="498">
        <f t="shared" si="372"/>
        <v>0</v>
      </c>
      <c r="AW1038" s="498">
        <f t="shared" si="373"/>
        <v>0</v>
      </c>
      <c r="AX1038" s="498">
        <f t="shared" si="374"/>
        <v>0</v>
      </c>
      <c r="AY1038" s="498">
        <f t="shared" si="375"/>
        <v>0</v>
      </c>
      <c r="BB1038" s="498" t="str">
        <f t="shared" si="376"/>
        <v/>
      </c>
      <c r="BC1038" s="743" t="str">
        <f t="shared" si="377"/>
        <v/>
      </c>
      <c r="BD1038" s="743" t="str">
        <f t="shared" si="378"/>
        <v/>
      </c>
      <c r="BE1038" s="743" t="str">
        <f>IF(D1038="","",VLOOKUP(D1038,'General Basis'!$J$39:$K$46,2,0))</f>
        <v/>
      </c>
      <c r="BF1038" s="744" t="str">
        <f>IF(D1038="","",VLOOKUP(D1038,'General Basis'!$J$39:$L$46,3,0))</f>
        <v/>
      </c>
      <c r="BG1038" s="744" t="str">
        <f t="shared" si="385"/>
        <v/>
      </c>
      <c r="BH1038" s="744" t="str">
        <f>IF(G1038="","",IF(BF1038="Abu Dhabi",IF(G1038&lt;18,'General Basis'!$C$39,IF(G1038&lt;41,'General Basis'!$C$40,IF(G1038&lt;60,'General Basis'!$C$41,IF(G1038&lt;65,'General Basis'!$C$42,'General Basis'!$C$43)))),IF(G1038&lt;11,'General Basis'!$B$39,IF(G1038&lt;18,'General Basis'!$B$40,IF(G1038&lt;26,'General Basis'!$B$41,IF(G1038&lt;31,'General Basis'!$B$42,IF(G1038&lt;36,'General Basis'!$B$43,IF(G1038&lt;41,'General Basis'!$B$44,IF(G1038&lt;46,'General Basis'!$B$45,IF(G1038&lt;51,'General Basis'!$B$46,IF(G1038&lt;56,'General Basis'!$B$47,IF(G1038&lt;60,'General Basis'!$B$48,IF(G1038&lt;65,'General Basis'!$B$49,'General Basis'!$B$50)))))))))))))</f>
        <v/>
      </c>
      <c r="BI1038" s="744" t="str">
        <f t="shared" si="379"/>
        <v/>
      </c>
      <c r="BJ1038" s="747" t="str">
        <f t="shared" si="386"/>
        <v/>
      </c>
      <c r="BK1038" s="498" t="str">
        <f t="shared" si="380"/>
        <v/>
      </c>
      <c r="BL1038" s="498" t="str">
        <f t="shared" si="381"/>
        <v/>
      </c>
    </row>
    <row r="1039" spans="1:64" x14ac:dyDescent="0.25">
      <c r="A1039" s="762">
        <f t="shared" si="382"/>
        <v>1034</v>
      </c>
      <c r="B1039" s="229"/>
      <c r="C1039" s="223"/>
      <c r="D1039" s="224"/>
      <c r="E1039" s="225"/>
      <c r="F1039" s="1036" t="str">
        <f t="shared" si="366"/>
        <v/>
      </c>
      <c r="G1039" s="1037" t="str">
        <f t="shared" si="383"/>
        <v/>
      </c>
      <c r="H1039" s="225"/>
      <c r="I1039" s="1013"/>
      <c r="J1039" s="1013"/>
      <c r="K1039" s="1028"/>
      <c r="L1039" s="1035" t="str">
        <f t="shared" si="387"/>
        <v/>
      </c>
      <c r="S1039" s="498"/>
      <c r="AJ1039" s="498"/>
      <c r="AM1039" s="498">
        <f t="shared" si="368"/>
        <v>0</v>
      </c>
      <c r="AN1039" s="498">
        <f t="shared" si="369"/>
        <v>0</v>
      </c>
      <c r="AO1039" s="498">
        <f t="shared" si="370"/>
        <v>0</v>
      </c>
      <c r="AP1039" s="498">
        <f t="shared" si="367"/>
        <v>0</v>
      </c>
      <c r="AQ1039" s="498">
        <f t="shared" si="384"/>
        <v>0</v>
      </c>
      <c r="AU1039" s="498">
        <f t="shared" si="371"/>
        <v>0</v>
      </c>
      <c r="AV1039" s="498">
        <f t="shared" si="372"/>
        <v>0</v>
      </c>
      <c r="AW1039" s="498">
        <f t="shared" si="373"/>
        <v>0</v>
      </c>
      <c r="AX1039" s="498">
        <f t="shared" si="374"/>
        <v>0</v>
      </c>
      <c r="AY1039" s="498">
        <f t="shared" si="375"/>
        <v>0</v>
      </c>
      <c r="BB1039" s="498" t="str">
        <f t="shared" si="376"/>
        <v/>
      </c>
      <c r="BC1039" s="743" t="str">
        <f t="shared" si="377"/>
        <v/>
      </c>
      <c r="BD1039" s="743" t="str">
        <f t="shared" si="378"/>
        <v/>
      </c>
      <c r="BE1039" s="743" t="str">
        <f>IF(D1039="","",VLOOKUP(D1039,'General Basis'!$J$39:$K$46,2,0))</f>
        <v/>
      </c>
      <c r="BF1039" s="744" t="str">
        <f>IF(D1039="","",VLOOKUP(D1039,'General Basis'!$J$39:$L$46,3,0))</f>
        <v/>
      </c>
      <c r="BG1039" s="744" t="str">
        <f t="shared" si="385"/>
        <v/>
      </c>
      <c r="BH1039" s="744" t="str">
        <f>IF(G1039="","",IF(BF1039="Abu Dhabi",IF(G1039&lt;18,'General Basis'!$C$39,IF(G1039&lt;41,'General Basis'!$C$40,IF(G1039&lt;60,'General Basis'!$C$41,IF(G1039&lt;65,'General Basis'!$C$42,'General Basis'!$C$43)))),IF(G1039&lt;11,'General Basis'!$B$39,IF(G1039&lt;18,'General Basis'!$B$40,IF(G1039&lt;26,'General Basis'!$B$41,IF(G1039&lt;31,'General Basis'!$B$42,IF(G1039&lt;36,'General Basis'!$B$43,IF(G1039&lt;41,'General Basis'!$B$44,IF(G1039&lt;46,'General Basis'!$B$45,IF(G1039&lt;51,'General Basis'!$B$46,IF(G1039&lt;56,'General Basis'!$B$47,IF(G1039&lt;60,'General Basis'!$B$48,IF(G1039&lt;65,'General Basis'!$B$49,'General Basis'!$B$50)))))))))))))</f>
        <v/>
      </c>
      <c r="BI1039" s="744" t="str">
        <f t="shared" si="379"/>
        <v/>
      </c>
      <c r="BJ1039" s="747" t="str">
        <f t="shared" si="386"/>
        <v/>
      </c>
      <c r="BK1039" s="498" t="str">
        <f t="shared" si="380"/>
        <v/>
      </c>
      <c r="BL1039" s="498" t="str">
        <f t="shared" si="381"/>
        <v/>
      </c>
    </row>
    <row r="1040" spans="1:64" x14ac:dyDescent="0.25">
      <c r="A1040" s="762">
        <f t="shared" si="382"/>
        <v>1035</v>
      </c>
      <c r="B1040" s="229"/>
      <c r="C1040" s="223"/>
      <c r="D1040" s="224"/>
      <c r="E1040" s="225"/>
      <c r="F1040" s="1036" t="str">
        <f t="shared" ref="F1040:F1103" si="388">IF(C1040="","",IF($B1040="","",((YEAR($F$3)-YEAR($B1040))+(MONTH($F$3)-MONTH($B1040))/12+(DAY($F$3)-DAY($B1040))/(DATE(YEAR($F$3),12,31)-DATE(YEAR($F$3),1,1)+1))))</f>
        <v/>
      </c>
      <c r="G1040" s="1037" t="str">
        <f t="shared" si="383"/>
        <v/>
      </c>
      <c r="H1040" s="225"/>
      <c r="I1040" s="1013"/>
      <c r="J1040" s="1013"/>
      <c r="K1040" s="1028"/>
      <c r="L1040" s="1035" t="str">
        <f t="shared" si="387"/>
        <v/>
      </c>
      <c r="S1040" s="498"/>
      <c r="AJ1040" s="498"/>
      <c r="AM1040" s="498">
        <f t="shared" si="368"/>
        <v>0</v>
      </c>
      <c r="AN1040" s="498">
        <f t="shared" si="369"/>
        <v>0</v>
      </c>
      <c r="AO1040" s="498">
        <f t="shared" si="370"/>
        <v>0</v>
      </c>
      <c r="AP1040" s="498">
        <f t="shared" si="367"/>
        <v>0</v>
      </c>
      <c r="AQ1040" s="498">
        <f t="shared" si="384"/>
        <v>0</v>
      </c>
      <c r="AU1040" s="498">
        <f t="shared" si="371"/>
        <v>0</v>
      </c>
      <c r="AV1040" s="498">
        <f t="shared" si="372"/>
        <v>0</v>
      </c>
      <c r="AW1040" s="498">
        <f t="shared" si="373"/>
        <v>0</v>
      </c>
      <c r="AX1040" s="498">
        <f t="shared" si="374"/>
        <v>0</v>
      </c>
      <c r="AY1040" s="498">
        <f t="shared" si="375"/>
        <v>0</v>
      </c>
      <c r="BB1040" s="498" t="str">
        <f t="shared" si="376"/>
        <v/>
      </c>
      <c r="BC1040" s="743" t="str">
        <f t="shared" si="377"/>
        <v/>
      </c>
      <c r="BD1040" s="743" t="str">
        <f t="shared" si="378"/>
        <v/>
      </c>
      <c r="BE1040" s="743" t="str">
        <f>IF(D1040="","",VLOOKUP(D1040,'General Basis'!$J$39:$K$46,2,0))</f>
        <v/>
      </c>
      <c r="BF1040" s="744" t="str">
        <f>IF(D1040="","",VLOOKUP(D1040,'General Basis'!$J$39:$L$46,3,0))</f>
        <v/>
      </c>
      <c r="BG1040" s="744" t="str">
        <f t="shared" si="385"/>
        <v/>
      </c>
      <c r="BH1040" s="744" t="str">
        <f>IF(G1040="","",IF(BF1040="Abu Dhabi",IF(G1040&lt;18,'General Basis'!$C$39,IF(G1040&lt;41,'General Basis'!$C$40,IF(G1040&lt;60,'General Basis'!$C$41,IF(G1040&lt;65,'General Basis'!$C$42,'General Basis'!$C$43)))),IF(G1040&lt;11,'General Basis'!$B$39,IF(G1040&lt;18,'General Basis'!$B$40,IF(G1040&lt;26,'General Basis'!$B$41,IF(G1040&lt;31,'General Basis'!$B$42,IF(G1040&lt;36,'General Basis'!$B$43,IF(G1040&lt;41,'General Basis'!$B$44,IF(G1040&lt;46,'General Basis'!$B$45,IF(G1040&lt;51,'General Basis'!$B$46,IF(G1040&lt;56,'General Basis'!$B$47,IF(G1040&lt;60,'General Basis'!$B$48,IF(G1040&lt;65,'General Basis'!$B$49,'General Basis'!$B$50)))))))))))))</f>
        <v/>
      </c>
      <c r="BI1040" s="744" t="str">
        <f t="shared" si="379"/>
        <v/>
      </c>
      <c r="BJ1040" s="747" t="str">
        <f t="shared" si="386"/>
        <v/>
      </c>
      <c r="BK1040" s="498" t="str">
        <f t="shared" si="380"/>
        <v/>
      </c>
      <c r="BL1040" s="498" t="str">
        <f t="shared" si="381"/>
        <v/>
      </c>
    </row>
    <row r="1041" spans="1:64" x14ac:dyDescent="0.25">
      <c r="A1041" s="762">
        <f t="shared" si="382"/>
        <v>1036</v>
      </c>
      <c r="B1041" s="229"/>
      <c r="C1041" s="223"/>
      <c r="D1041" s="224"/>
      <c r="E1041" s="225"/>
      <c r="F1041" s="1036" t="str">
        <f t="shared" si="388"/>
        <v/>
      </c>
      <c r="G1041" s="1037" t="str">
        <f t="shared" si="383"/>
        <v/>
      </c>
      <c r="H1041" s="225"/>
      <c r="I1041" s="1013"/>
      <c r="J1041" s="1013"/>
      <c r="K1041" s="1028"/>
      <c r="L1041" s="1035" t="str">
        <f t="shared" si="387"/>
        <v/>
      </c>
      <c r="S1041" s="498"/>
      <c r="AJ1041" s="498"/>
      <c r="AM1041" s="498">
        <f t="shared" si="368"/>
        <v>0</v>
      </c>
      <c r="AN1041" s="498">
        <f t="shared" si="369"/>
        <v>0</v>
      </c>
      <c r="AO1041" s="498">
        <f t="shared" si="370"/>
        <v>0</v>
      </c>
      <c r="AP1041" s="498">
        <f t="shared" si="367"/>
        <v>0</v>
      </c>
      <c r="AQ1041" s="498">
        <f t="shared" si="384"/>
        <v>0</v>
      </c>
      <c r="AU1041" s="498">
        <f t="shared" si="371"/>
        <v>0</v>
      </c>
      <c r="AV1041" s="498">
        <f t="shared" si="372"/>
        <v>0</v>
      </c>
      <c r="AW1041" s="498">
        <f t="shared" si="373"/>
        <v>0</v>
      </c>
      <c r="AX1041" s="498">
        <f t="shared" si="374"/>
        <v>0</v>
      </c>
      <c r="AY1041" s="498">
        <f t="shared" si="375"/>
        <v>0</v>
      </c>
      <c r="BB1041" s="498" t="str">
        <f t="shared" si="376"/>
        <v/>
      </c>
      <c r="BC1041" s="743" t="str">
        <f t="shared" si="377"/>
        <v/>
      </c>
      <c r="BD1041" s="743" t="str">
        <f t="shared" si="378"/>
        <v/>
      </c>
      <c r="BE1041" s="743" t="str">
        <f>IF(D1041="","",VLOOKUP(D1041,'General Basis'!$J$39:$K$46,2,0))</f>
        <v/>
      </c>
      <c r="BF1041" s="744" t="str">
        <f>IF(D1041="","",VLOOKUP(D1041,'General Basis'!$J$39:$L$46,3,0))</f>
        <v/>
      </c>
      <c r="BG1041" s="744" t="str">
        <f t="shared" si="385"/>
        <v/>
      </c>
      <c r="BH1041" s="744" t="str">
        <f>IF(G1041="","",IF(BF1041="Abu Dhabi",IF(G1041&lt;18,'General Basis'!$C$39,IF(G1041&lt;41,'General Basis'!$C$40,IF(G1041&lt;60,'General Basis'!$C$41,IF(G1041&lt;65,'General Basis'!$C$42,'General Basis'!$C$43)))),IF(G1041&lt;11,'General Basis'!$B$39,IF(G1041&lt;18,'General Basis'!$B$40,IF(G1041&lt;26,'General Basis'!$B$41,IF(G1041&lt;31,'General Basis'!$B$42,IF(G1041&lt;36,'General Basis'!$B$43,IF(G1041&lt;41,'General Basis'!$B$44,IF(G1041&lt;46,'General Basis'!$B$45,IF(G1041&lt;51,'General Basis'!$B$46,IF(G1041&lt;56,'General Basis'!$B$47,IF(G1041&lt;60,'General Basis'!$B$48,IF(G1041&lt;65,'General Basis'!$B$49,'General Basis'!$B$50)))))))))))))</f>
        <v/>
      </c>
      <c r="BI1041" s="744" t="str">
        <f t="shared" si="379"/>
        <v/>
      </c>
      <c r="BJ1041" s="747" t="str">
        <f t="shared" si="386"/>
        <v/>
      </c>
      <c r="BK1041" s="498" t="str">
        <f t="shared" si="380"/>
        <v/>
      </c>
      <c r="BL1041" s="498" t="str">
        <f t="shared" si="381"/>
        <v/>
      </c>
    </row>
    <row r="1042" spans="1:64" x14ac:dyDescent="0.25">
      <c r="A1042" s="762">
        <f t="shared" si="382"/>
        <v>1037</v>
      </c>
      <c r="B1042" s="229"/>
      <c r="C1042" s="223"/>
      <c r="D1042" s="224"/>
      <c r="E1042" s="225"/>
      <c r="F1042" s="1036" t="str">
        <f t="shared" si="388"/>
        <v/>
      </c>
      <c r="G1042" s="1037" t="str">
        <f t="shared" si="383"/>
        <v/>
      </c>
      <c r="H1042" s="225"/>
      <c r="I1042" s="1013"/>
      <c r="J1042" s="1013"/>
      <c r="K1042" s="1028"/>
      <c r="L1042" s="1035" t="str">
        <f t="shared" si="387"/>
        <v/>
      </c>
      <c r="S1042" s="498"/>
      <c r="AJ1042" s="498"/>
      <c r="AM1042" s="498">
        <f t="shared" si="368"/>
        <v>0</v>
      </c>
      <c r="AN1042" s="498">
        <f t="shared" si="369"/>
        <v>0</v>
      </c>
      <c r="AO1042" s="498">
        <f t="shared" si="370"/>
        <v>0</v>
      </c>
      <c r="AP1042" s="498">
        <f t="shared" si="367"/>
        <v>0</v>
      </c>
      <c r="AQ1042" s="498">
        <f t="shared" si="384"/>
        <v>0</v>
      </c>
      <c r="AU1042" s="498">
        <f t="shared" si="371"/>
        <v>0</v>
      </c>
      <c r="AV1042" s="498">
        <f t="shared" si="372"/>
        <v>0</v>
      </c>
      <c r="AW1042" s="498">
        <f t="shared" si="373"/>
        <v>0</v>
      </c>
      <c r="AX1042" s="498">
        <f t="shared" si="374"/>
        <v>0</v>
      </c>
      <c r="AY1042" s="498">
        <f t="shared" si="375"/>
        <v>0</v>
      </c>
      <c r="BB1042" s="498" t="str">
        <f t="shared" si="376"/>
        <v/>
      </c>
      <c r="BC1042" s="743" t="str">
        <f t="shared" si="377"/>
        <v/>
      </c>
      <c r="BD1042" s="743" t="str">
        <f t="shared" si="378"/>
        <v/>
      </c>
      <c r="BE1042" s="743" t="str">
        <f>IF(D1042="","",VLOOKUP(D1042,'General Basis'!$J$39:$K$46,2,0))</f>
        <v/>
      </c>
      <c r="BF1042" s="744" t="str">
        <f>IF(D1042="","",VLOOKUP(D1042,'General Basis'!$J$39:$L$46,3,0))</f>
        <v/>
      </c>
      <c r="BG1042" s="744" t="str">
        <f t="shared" si="385"/>
        <v/>
      </c>
      <c r="BH1042" s="744" t="str">
        <f>IF(G1042="","",IF(BF1042="Abu Dhabi",IF(G1042&lt;18,'General Basis'!$C$39,IF(G1042&lt;41,'General Basis'!$C$40,IF(G1042&lt;60,'General Basis'!$C$41,IF(G1042&lt;65,'General Basis'!$C$42,'General Basis'!$C$43)))),IF(G1042&lt;11,'General Basis'!$B$39,IF(G1042&lt;18,'General Basis'!$B$40,IF(G1042&lt;26,'General Basis'!$B$41,IF(G1042&lt;31,'General Basis'!$B$42,IF(G1042&lt;36,'General Basis'!$B$43,IF(G1042&lt;41,'General Basis'!$B$44,IF(G1042&lt;46,'General Basis'!$B$45,IF(G1042&lt;51,'General Basis'!$B$46,IF(G1042&lt;56,'General Basis'!$B$47,IF(G1042&lt;60,'General Basis'!$B$48,IF(G1042&lt;65,'General Basis'!$B$49,'General Basis'!$B$50)))))))))))))</f>
        <v/>
      </c>
      <c r="BI1042" s="744" t="str">
        <f t="shared" si="379"/>
        <v/>
      </c>
      <c r="BJ1042" s="747" t="str">
        <f t="shared" si="386"/>
        <v/>
      </c>
      <c r="BK1042" s="498" t="str">
        <f t="shared" si="380"/>
        <v/>
      </c>
      <c r="BL1042" s="498" t="str">
        <f t="shared" si="381"/>
        <v/>
      </c>
    </row>
    <row r="1043" spans="1:64" x14ac:dyDescent="0.25">
      <c r="A1043" s="762">
        <f t="shared" si="382"/>
        <v>1038</v>
      </c>
      <c r="B1043" s="229"/>
      <c r="C1043" s="223"/>
      <c r="D1043" s="224"/>
      <c r="E1043" s="225"/>
      <c r="F1043" s="1036" t="str">
        <f t="shared" si="388"/>
        <v/>
      </c>
      <c r="G1043" s="1037" t="str">
        <f t="shared" si="383"/>
        <v/>
      </c>
      <c r="H1043" s="225"/>
      <c r="I1043" s="1013"/>
      <c r="J1043" s="1013"/>
      <c r="K1043" s="1028"/>
      <c r="L1043" s="1035" t="str">
        <f t="shared" si="387"/>
        <v/>
      </c>
      <c r="S1043" s="498"/>
      <c r="AJ1043" s="498"/>
      <c r="AM1043" s="498">
        <f t="shared" si="368"/>
        <v>0</v>
      </c>
      <c r="AN1043" s="498">
        <f t="shared" si="369"/>
        <v>0</v>
      </c>
      <c r="AO1043" s="498">
        <f t="shared" si="370"/>
        <v>0</v>
      </c>
      <c r="AP1043" s="498">
        <f t="shared" ref="AP1043:AP1106" si="389">IF(ISBLANK($B1043),0,IF(OR($C1043="M",$C1043="F"),0,1))</f>
        <v>0</v>
      </c>
      <c r="AQ1043" s="498">
        <f t="shared" si="384"/>
        <v>0</v>
      </c>
      <c r="AU1043" s="498">
        <f t="shared" si="371"/>
        <v>0</v>
      </c>
      <c r="AV1043" s="498">
        <f t="shared" si="372"/>
        <v>0</v>
      </c>
      <c r="AW1043" s="498">
        <f t="shared" si="373"/>
        <v>0</v>
      </c>
      <c r="AX1043" s="498">
        <f t="shared" si="374"/>
        <v>0</v>
      </c>
      <c r="AY1043" s="498">
        <f t="shared" si="375"/>
        <v>0</v>
      </c>
      <c r="BB1043" s="498" t="str">
        <f t="shared" si="376"/>
        <v/>
      </c>
      <c r="BC1043" s="743" t="str">
        <f t="shared" si="377"/>
        <v/>
      </c>
      <c r="BD1043" s="743" t="str">
        <f t="shared" si="378"/>
        <v/>
      </c>
      <c r="BE1043" s="743" t="str">
        <f>IF(D1043="","",VLOOKUP(D1043,'General Basis'!$J$39:$K$46,2,0))</f>
        <v/>
      </c>
      <c r="BF1043" s="744" t="str">
        <f>IF(D1043="","",VLOOKUP(D1043,'General Basis'!$J$39:$L$46,3,0))</f>
        <v/>
      </c>
      <c r="BG1043" s="744" t="str">
        <f t="shared" si="385"/>
        <v/>
      </c>
      <c r="BH1043" s="744" t="str">
        <f>IF(G1043="","",IF(BF1043="Abu Dhabi",IF(G1043&lt;18,'General Basis'!$C$39,IF(G1043&lt;41,'General Basis'!$C$40,IF(G1043&lt;60,'General Basis'!$C$41,IF(G1043&lt;65,'General Basis'!$C$42,'General Basis'!$C$43)))),IF(G1043&lt;11,'General Basis'!$B$39,IF(G1043&lt;18,'General Basis'!$B$40,IF(G1043&lt;26,'General Basis'!$B$41,IF(G1043&lt;31,'General Basis'!$B$42,IF(G1043&lt;36,'General Basis'!$B$43,IF(G1043&lt;41,'General Basis'!$B$44,IF(G1043&lt;46,'General Basis'!$B$45,IF(G1043&lt;51,'General Basis'!$B$46,IF(G1043&lt;56,'General Basis'!$B$47,IF(G1043&lt;60,'General Basis'!$B$48,IF(G1043&lt;65,'General Basis'!$B$49,'General Basis'!$B$50)))))))))))))</f>
        <v/>
      </c>
      <c r="BI1043" s="744" t="str">
        <f t="shared" si="379"/>
        <v/>
      </c>
      <c r="BJ1043" s="747" t="str">
        <f t="shared" si="386"/>
        <v/>
      </c>
      <c r="BK1043" s="498" t="str">
        <f t="shared" si="380"/>
        <v/>
      </c>
      <c r="BL1043" s="498" t="str">
        <f t="shared" si="381"/>
        <v/>
      </c>
    </row>
    <row r="1044" spans="1:64" x14ac:dyDescent="0.25">
      <c r="A1044" s="762">
        <f t="shared" si="382"/>
        <v>1039</v>
      </c>
      <c r="B1044" s="229"/>
      <c r="C1044" s="223"/>
      <c r="D1044" s="224"/>
      <c r="E1044" s="225"/>
      <c r="F1044" s="1036" t="str">
        <f t="shared" si="388"/>
        <v/>
      </c>
      <c r="G1044" s="1037" t="str">
        <f t="shared" si="383"/>
        <v/>
      </c>
      <c r="H1044" s="225"/>
      <c r="I1044" s="1013"/>
      <c r="J1044" s="1013"/>
      <c r="K1044" s="1028"/>
      <c r="L1044" s="1035" t="str">
        <f t="shared" si="387"/>
        <v/>
      </c>
      <c r="S1044" s="498"/>
      <c r="AJ1044" s="498"/>
      <c r="AM1044" s="498">
        <f t="shared" si="368"/>
        <v>0</v>
      </c>
      <c r="AN1044" s="498">
        <f t="shared" si="369"/>
        <v>0</v>
      </c>
      <c r="AO1044" s="498">
        <f t="shared" si="370"/>
        <v>0</v>
      </c>
      <c r="AP1044" s="498">
        <f t="shared" si="389"/>
        <v>0</v>
      </c>
      <c r="AQ1044" s="498">
        <f t="shared" si="384"/>
        <v>0</v>
      </c>
      <c r="AU1044" s="498">
        <f t="shared" si="371"/>
        <v>0</v>
      </c>
      <c r="AV1044" s="498">
        <f t="shared" si="372"/>
        <v>0</v>
      </c>
      <c r="AW1044" s="498">
        <f t="shared" si="373"/>
        <v>0</v>
      </c>
      <c r="AX1044" s="498">
        <f t="shared" si="374"/>
        <v>0</v>
      </c>
      <c r="AY1044" s="498">
        <f t="shared" si="375"/>
        <v>0</v>
      </c>
      <c r="BB1044" s="498" t="str">
        <f t="shared" si="376"/>
        <v/>
      </c>
      <c r="BC1044" s="743" t="str">
        <f t="shared" si="377"/>
        <v/>
      </c>
      <c r="BD1044" s="743" t="str">
        <f t="shared" si="378"/>
        <v/>
      </c>
      <c r="BE1044" s="743" t="str">
        <f>IF(D1044="","",VLOOKUP(D1044,'General Basis'!$J$39:$K$46,2,0))</f>
        <v/>
      </c>
      <c r="BF1044" s="744" t="str">
        <f>IF(D1044="","",VLOOKUP(D1044,'General Basis'!$J$39:$L$46,3,0))</f>
        <v/>
      </c>
      <c r="BG1044" s="744" t="str">
        <f t="shared" si="385"/>
        <v/>
      </c>
      <c r="BH1044" s="744" t="str">
        <f>IF(G1044="","",IF(BF1044="Abu Dhabi",IF(G1044&lt;18,'General Basis'!$C$39,IF(G1044&lt;41,'General Basis'!$C$40,IF(G1044&lt;60,'General Basis'!$C$41,IF(G1044&lt;65,'General Basis'!$C$42,'General Basis'!$C$43)))),IF(G1044&lt;11,'General Basis'!$B$39,IF(G1044&lt;18,'General Basis'!$B$40,IF(G1044&lt;26,'General Basis'!$B$41,IF(G1044&lt;31,'General Basis'!$B$42,IF(G1044&lt;36,'General Basis'!$B$43,IF(G1044&lt;41,'General Basis'!$B$44,IF(G1044&lt;46,'General Basis'!$B$45,IF(G1044&lt;51,'General Basis'!$B$46,IF(G1044&lt;56,'General Basis'!$B$47,IF(G1044&lt;60,'General Basis'!$B$48,IF(G1044&lt;65,'General Basis'!$B$49,'General Basis'!$B$50)))))))))))))</f>
        <v/>
      </c>
      <c r="BI1044" s="744" t="str">
        <f t="shared" si="379"/>
        <v/>
      </c>
      <c r="BJ1044" s="747" t="str">
        <f t="shared" si="386"/>
        <v/>
      </c>
      <c r="BK1044" s="498" t="str">
        <f t="shared" si="380"/>
        <v/>
      </c>
      <c r="BL1044" s="498" t="str">
        <f t="shared" si="381"/>
        <v/>
      </c>
    </row>
    <row r="1045" spans="1:64" x14ac:dyDescent="0.25">
      <c r="A1045" s="762">
        <f t="shared" si="382"/>
        <v>1040</v>
      </c>
      <c r="B1045" s="229"/>
      <c r="C1045" s="223"/>
      <c r="D1045" s="224"/>
      <c r="E1045" s="225"/>
      <c r="F1045" s="1036" t="str">
        <f t="shared" si="388"/>
        <v/>
      </c>
      <c r="G1045" s="1037" t="str">
        <f t="shared" si="383"/>
        <v/>
      </c>
      <c r="H1045" s="225"/>
      <c r="I1045" s="1013"/>
      <c r="J1045" s="1013"/>
      <c r="K1045" s="1028"/>
      <c r="L1045" s="1035" t="str">
        <f t="shared" si="387"/>
        <v/>
      </c>
      <c r="S1045" s="498"/>
      <c r="AJ1045" s="498"/>
      <c r="AM1045" s="498">
        <f t="shared" si="368"/>
        <v>0</v>
      </c>
      <c r="AN1045" s="498">
        <f t="shared" si="369"/>
        <v>0</v>
      </c>
      <c r="AO1045" s="498">
        <f t="shared" si="370"/>
        <v>0</v>
      </c>
      <c r="AP1045" s="498">
        <f t="shared" si="389"/>
        <v>0</v>
      </c>
      <c r="AQ1045" s="498">
        <f t="shared" si="384"/>
        <v>0</v>
      </c>
      <c r="AU1045" s="498">
        <f t="shared" si="371"/>
        <v>0</v>
      </c>
      <c r="AV1045" s="498">
        <f t="shared" si="372"/>
        <v>0</v>
      </c>
      <c r="AW1045" s="498">
        <f t="shared" si="373"/>
        <v>0</v>
      </c>
      <c r="AX1045" s="498">
        <f t="shared" si="374"/>
        <v>0</v>
      </c>
      <c r="AY1045" s="498">
        <f t="shared" si="375"/>
        <v>0</v>
      </c>
      <c r="BB1045" s="498" t="str">
        <f t="shared" si="376"/>
        <v/>
      </c>
      <c r="BC1045" s="743" t="str">
        <f t="shared" si="377"/>
        <v/>
      </c>
      <c r="BD1045" s="743" t="str">
        <f t="shared" si="378"/>
        <v/>
      </c>
      <c r="BE1045" s="743" t="str">
        <f>IF(D1045="","",VLOOKUP(D1045,'General Basis'!$J$39:$K$46,2,0))</f>
        <v/>
      </c>
      <c r="BF1045" s="744" t="str">
        <f>IF(D1045="","",VLOOKUP(D1045,'General Basis'!$J$39:$L$46,3,0))</f>
        <v/>
      </c>
      <c r="BG1045" s="744" t="str">
        <f t="shared" si="385"/>
        <v/>
      </c>
      <c r="BH1045" s="744" t="str">
        <f>IF(G1045="","",IF(BF1045="Abu Dhabi",IF(G1045&lt;18,'General Basis'!$C$39,IF(G1045&lt;41,'General Basis'!$C$40,IF(G1045&lt;60,'General Basis'!$C$41,IF(G1045&lt;65,'General Basis'!$C$42,'General Basis'!$C$43)))),IF(G1045&lt;11,'General Basis'!$B$39,IF(G1045&lt;18,'General Basis'!$B$40,IF(G1045&lt;26,'General Basis'!$B$41,IF(G1045&lt;31,'General Basis'!$B$42,IF(G1045&lt;36,'General Basis'!$B$43,IF(G1045&lt;41,'General Basis'!$B$44,IF(G1045&lt;46,'General Basis'!$B$45,IF(G1045&lt;51,'General Basis'!$B$46,IF(G1045&lt;56,'General Basis'!$B$47,IF(G1045&lt;60,'General Basis'!$B$48,IF(G1045&lt;65,'General Basis'!$B$49,'General Basis'!$B$50)))))))))))))</f>
        <v/>
      </c>
      <c r="BI1045" s="744" t="str">
        <f t="shared" si="379"/>
        <v/>
      </c>
      <c r="BJ1045" s="747" t="str">
        <f t="shared" si="386"/>
        <v/>
      </c>
      <c r="BK1045" s="498" t="str">
        <f t="shared" si="380"/>
        <v/>
      </c>
      <c r="BL1045" s="498" t="str">
        <f t="shared" si="381"/>
        <v/>
      </c>
    </row>
    <row r="1046" spans="1:64" x14ac:dyDescent="0.25">
      <c r="A1046" s="762">
        <f t="shared" si="382"/>
        <v>1041</v>
      </c>
      <c r="B1046" s="229"/>
      <c r="C1046" s="223"/>
      <c r="D1046" s="224"/>
      <c r="E1046" s="225"/>
      <c r="F1046" s="1036" t="str">
        <f t="shared" si="388"/>
        <v/>
      </c>
      <c r="G1046" s="1037" t="str">
        <f t="shared" si="383"/>
        <v/>
      </c>
      <c r="H1046" s="225"/>
      <c r="I1046" s="1013"/>
      <c r="J1046" s="1013"/>
      <c r="K1046" s="1028"/>
      <c r="L1046" s="1035" t="str">
        <f t="shared" si="387"/>
        <v/>
      </c>
      <c r="S1046" s="498"/>
      <c r="AJ1046" s="498"/>
      <c r="AM1046" s="498">
        <f t="shared" si="368"/>
        <v>0</v>
      </c>
      <c r="AN1046" s="498">
        <f t="shared" si="369"/>
        <v>0</v>
      </c>
      <c r="AO1046" s="498">
        <f t="shared" si="370"/>
        <v>0</v>
      </c>
      <c r="AP1046" s="498">
        <f t="shared" si="389"/>
        <v>0</v>
      </c>
      <c r="AQ1046" s="498">
        <f t="shared" si="384"/>
        <v>0</v>
      </c>
      <c r="AU1046" s="498">
        <f t="shared" si="371"/>
        <v>0</v>
      </c>
      <c r="AV1046" s="498">
        <f t="shared" si="372"/>
        <v>0</v>
      </c>
      <c r="AW1046" s="498">
        <f t="shared" si="373"/>
        <v>0</v>
      </c>
      <c r="AX1046" s="498">
        <f t="shared" si="374"/>
        <v>0</v>
      </c>
      <c r="AY1046" s="498">
        <f t="shared" si="375"/>
        <v>0</v>
      </c>
      <c r="BB1046" s="498" t="str">
        <f t="shared" si="376"/>
        <v/>
      </c>
      <c r="BC1046" s="743" t="str">
        <f t="shared" si="377"/>
        <v/>
      </c>
      <c r="BD1046" s="743" t="str">
        <f t="shared" si="378"/>
        <v/>
      </c>
      <c r="BE1046" s="743" t="str">
        <f>IF(D1046="","",VLOOKUP(D1046,'General Basis'!$J$39:$K$46,2,0))</f>
        <v/>
      </c>
      <c r="BF1046" s="744" t="str">
        <f>IF(D1046="","",VLOOKUP(D1046,'General Basis'!$J$39:$L$46,3,0))</f>
        <v/>
      </c>
      <c r="BG1046" s="744" t="str">
        <f t="shared" si="385"/>
        <v/>
      </c>
      <c r="BH1046" s="744" t="str">
        <f>IF(G1046="","",IF(BF1046="Abu Dhabi",IF(G1046&lt;18,'General Basis'!$C$39,IF(G1046&lt;41,'General Basis'!$C$40,IF(G1046&lt;60,'General Basis'!$C$41,IF(G1046&lt;65,'General Basis'!$C$42,'General Basis'!$C$43)))),IF(G1046&lt;11,'General Basis'!$B$39,IF(G1046&lt;18,'General Basis'!$B$40,IF(G1046&lt;26,'General Basis'!$B$41,IF(G1046&lt;31,'General Basis'!$B$42,IF(G1046&lt;36,'General Basis'!$B$43,IF(G1046&lt;41,'General Basis'!$B$44,IF(G1046&lt;46,'General Basis'!$B$45,IF(G1046&lt;51,'General Basis'!$B$46,IF(G1046&lt;56,'General Basis'!$B$47,IF(G1046&lt;60,'General Basis'!$B$48,IF(G1046&lt;65,'General Basis'!$B$49,'General Basis'!$B$50)))))))))))))</f>
        <v/>
      </c>
      <c r="BI1046" s="744" t="str">
        <f t="shared" si="379"/>
        <v/>
      </c>
      <c r="BJ1046" s="747" t="str">
        <f t="shared" si="386"/>
        <v/>
      </c>
      <c r="BK1046" s="498" t="str">
        <f t="shared" si="380"/>
        <v/>
      </c>
      <c r="BL1046" s="498" t="str">
        <f t="shared" si="381"/>
        <v/>
      </c>
    </row>
    <row r="1047" spans="1:64" x14ac:dyDescent="0.25">
      <c r="A1047" s="762">
        <f t="shared" si="382"/>
        <v>1042</v>
      </c>
      <c r="B1047" s="229"/>
      <c r="C1047" s="223"/>
      <c r="D1047" s="224"/>
      <c r="E1047" s="225"/>
      <c r="F1047" s="1036" t="str">
        <f t="shared" si="388"/>
        <v/>
      </c>
      <c r="G1047" s="1037" t="str">
        <f t="shared" si="383"/>
        <v/>
      </c>
      <c r="H1047" s="225"/>
      <c r="I1047" s="1013"/>
      <c r="J1047" s="1013"/>
      <c r="K1047" s="1028"/>
      <c r="L1047" s="1035" t="str">
        <f t="shared" si="387"/>
        <v/>
      </c>
      <c r="S1047" s="498"/>
      <c r="AJ1047" s="498"/>
      <c r="AM1047" s="498">
        <f t="shared" si="368"/>
        <v>0</v>
      </c>
      <c r="AN1047" s="498">
        <f t="shared" si="369"/>
        <v>0</v>
      </c>
      <c r="AO1047" s="498">
        <f t="shared" si="370"/>
        <v>0</v>
      </c>
      <c r="AP1047" s="498">
        <f t="shared" si="389"/>
        <v>0</v>
      </c>
      <c r="AQ1047" s="498">
        <f t="shared" si="384"/>
        <v>0</v>
      </c>
      <c r="AU1047" s="498">
        <f t="shared" si="371"/>
        <v>0</v>
      </c>
      <c r="AV1047" s="498">
        <f t="shared" si="372"/>
        <v>0</v>
      </c>
      <c r="AW1047" s="498">
        <f t="shared" si="373"/>
        <v>0</v>
      </c>
      <c r="AX1047" s="498">
        <f t="shared" si="374"/>
        <v>0</v>
      </c>
      <c r="AY1047" s="498">
        <f t="shared" si="375"/>
        <v>0</v>
      </c>
      <c r="BB1047" s="498" t="str">
        <f t="shared" si="376"/>
        <v/>
      </c>
      <c r="BC1047" s="743" t="str">
        <f t="shared" si="377"/>
        <v/>
      </c>
      <c r="BD1047" s="743" t="str">
        <f t="shared" si="378"/>
        <v/>
      </c>
      <c r="BE1047" s="743" t="str">
        <f>IF(D1047="","",VLOOKUP(D1047,'General Basis'!$J$39:$K$46,2,0))</f>
        <v/>
      </c>
      <c r="BF1047" s="744" t="str">
        <f>IF(D1047="","",VLOOKUP(D1047,'General Basis'!$J$39:$L$46,3,0))</f>
        <v/>
      </c>
      <c r="BG1047" s="744" t="str">
        <f t="shared" si="385"/>
        <v/>
      </c>
      <c r="BH1047" s="744" t="str">
        <f>IF(G1047="","",IF(BF1047="Abu Dhabi",IF(G1047&lt;18,'General Basis'!$C$39,IF(G1047&lt;41,'General Basis'!$C$40,IF(G1047&lt;60,'General Basis'!$C$41,IF(G1047&lt;65,'General Basis'!$C$42,'General Basis'!$C$43)))),IF(G1047&lt;11,'General Basis'!$B$39,IF(G1047&lt;18,'General Basis'!$B$40,IF(G1047&lt;26,'General Basis'!$B$41,IF(G1047&lt;31,'General Basis'!$B$42,IF(G1047&lt;36,'General Basis'!$B$43,IF(G1047&lt;41,'General Basis'!$B$44,IF(G1047&lt;46,'General Basis'!$B$45,IF(G1047&lt;51,'General Basis'!$B$46,IF(G1047&lt;56,'General Basis'!$B$47,IF(G1047&lt;60,'General Basis'!$B$48,IF(G1047&lt;65,'General Basis'!$B$49,'General Basis'!$B$50)))))))))))))</f>
        <v/>
      </c>
      <c r="BI1047" s="744" t="str">
        <f t="shared" si="379"/>
        <v/>
      </c>
      <c r="BJ1047" s="747" t="str">
        <f t="shared" si="386"/>
        <v/>
      </c>
      <c r="BK1047" s="498" t="str">
        <f t="shared" si="380"/>
        <v/>
      </c>
      <c r="BL1047" s="498" t="str">
        <f t="shared" si="381"/>
        <v/>
      </c>
    </row>
    <row r="1048" spans="1:64" x14ac:dyDescent="0.25">
      <c r="A1048" s="762">
        <f t="shared" si="382"/>
        <v>1043</v>
      </c>
      <c r="B1048" s="229"/>
      <c r="C1048" s="223"/>
      <c r="D1048" s="224"/>
      <c r="E1048" s="225"/>
      <c r="F1048" s="1036" t="str">
        <f t="shared" si="388"/>
        <v/>
      </c>
      <c r="G1048" s="1037" t="str">
        <f t="shared" si="383"/>
        <v/>
      </c>
      <c r="H1048" s="225"/>
      <c r="I1048" s="1013"/>
      <c r="J1048" s="1013"/>
      <c r="K1048" s="1028"/>
      <c r="L1048" s="1035" t="str">
        <f t="shared" si="387"/>
        <v/>
      </c>
      <c r="S1048" s="498"/>
      <c r="AJ1048" s="498"/>
      <c r="AM1048" s="498">
        <f t="shared" si="368"/>
        <v>0</v>
      </c>
      <c r="AN1048" s="498">
        <f t="shared" si="369"/>
        <v>0</v>
      </c>
      <c r="AO1048" s="498">
        <f t="shared" si="370"/>
        <v>0</v>
      </c>
      <c r="AP1048" s="498">
        <f t="shared" si="389"/>
        <v>0</v>
      </c>
      <c r="AQ1048" s="498">
        <f t="shared" si="384"/>
        <v>0</v>
      </c>
      <c r="AU1048" s="498">
        <f t="shared" si="371"/>
        <v>0</v>
      </c>
      <c r="AV1048" s="498">
        <f t="shared" si="372"/>
        <v>0</v>
      </c>
      <c r="AW1048" s="498">
        <f t="shared" si="373"/>
        <v>0</v>
      </c>
      <c r="AX1048" s="498">
        <f t="shared" si="374"/>
        <v>0</v>
      </c>
      <c r="AY1048" s="498">
        <f t="shared" si="375"/>
        <v>0</v>
      </c>
      <c r="BB1048" s="498" t="str">
        <f t="shared" si="376"/>
        <v/>
      </c>
      <c r="BC1048" s="743" t="str">
        <f t="shared" si="377"/>
        <v/>
      </c>
      <c r="BD1048" s="743" t="str">
        <f t="shared" si="378"/>
        <v/>
      </c>
      <c r="BE1048" s="743" t="str">
        <f>IF(D1048="","",VLOOKUP(D1048,'General Basis'!$J$39:$K$46,2,0))</f>
        <v/>
      </c>
      <c r="BF1048" s="744" t="str">
        <f>IF(D1048="","",VLOOKUP(D1048,'General Basis'!$J$39:$L$46,3,0))</f>
        <v/>
      </c>
      <c r="BG1048" s="744" t="str">
        <f t="shared" si="385"/>
        <v/>
      </c>
      <c r="BH1048" s="744" t="str">
        <f>IF(G1048="","",IF(BF1048="Abu Dhabi",IF(G1048&lt;18,'General Basis'!$C$39,IF(G1048&lt;41,'General Basis'!$C$40,IF(G1048&lt;60,'General Basis'!$C$41,IF(G1048&lt;65,'General Basis'!$C$42,'General Basis'!$C$43)))),IF(G1048&lt;11,'General Basis'!$B$39,IF(G1048&lt;18,'General Basis'!$B$40,IF(G1048&lt;26,'General Basis'!$B$41,IF(G1048&lt;31,'General Basis'!$B$42,IF(G1048&lt;36,'General Basis'!$B$43,IF(G1048&lt;41,'General Basis'!$B$44,IF(G1048&lt;46,'General Basis'!$B$45,IF(G1048&lt;51,'General Basis'!$B$46,IF(G1048&lt;56,'General Basis'!$B$47,IF(G1048&lt;60,'General Basis'!$B$48,IF(G1048&lt;65,'General Basis'!$B$49,'General Basis'!$B$50)))))))))))))</f>
        <v/>
      </c>
      <c r="BI1048" s="744" t="str">
        <f t="shared" si="379"/>
        <v/>
      </c>
      <c r="BJ1048" s="747" t="str">
        <f t="shared" si="386"/>
        <v/>
      </c>
      <c r="BK1048" s="498" t="str">
        <f t="shared" si="380"/>
        <v/>
      </c>
      <c r="BL1048" s="498" t="str">
        <f t="shared" si="381"/>
        <v/>
      </c>
    </row>
    <row r="1049" spans="1:64" x14ac:dyDescent="0.25">
      <c r="A1049" s="762">
        <f t="shared" si="382"/>
        <v>1044</v>
      </c>
      <c r="B1049" s="229"/>
      <c r="C1049" s="223"/>
      <c r="D1049" s="224"/>
      <c r="E1049" s="225"/>
      <c r="F1049" s="1036" t="str">
        <f t="shared" si="388"/>
        <v/>
      </c>
      <c r="G1049" s="1037" t="str">
        <f t="shared" si="383"/>
        <v/>
      </c>
      <c r="H1049" s="225"/>
      <c r="I1049" s="1013"/>
      <c r="J1049" s="1013"/>
      <c r="K1049" s="1028"/>
      <c r="L1049" s="1035" t="str">
        <f t="shared" si="387"/>
        <v/>
      </c>
      <c r="S1049" s="498"/>
      <c r="AJ1049" s="498"/>
      <c r="AM1049" s="498">
        <f t="shared" si="368"/>
        <v>0</v>
      </c>
      <c r="AN1049" s="498">
        <f t="shared" si="369"/>
        <v>0</v>
      </c>
      <c r="AO1049" s="498">
        <f t="shared" si="370"/>
        <v>0</v>
      </c>
      <c r="AP1049" s="498">
        <f t="shared" si="389"/>
        <v>0</v>
      </c>
      <c r="AQ1049" s="498">
        <f t="shared" si="384"/>
        <v>0</v>
      </c>
      <c r="AU1049" s="498">
        <f t="shared" si="371"/>
        <v>0</v>
      </c>
      <c r="AV1049" s="498">
        <f t="shared" si="372"/>
        <v>0</v>
      </c>
      <c r="AW1049" s="498">
        <f t="shared" si="373"/>
        <v>0</v>
      </c>
      <c r="AX1049" s="498">
        <f t="shared" si="374"/>
        <v>0</v>
      </c>
      <c r="AY1049" s="498">
        <f t="shared" si="375"/>
        <v>0</v>
      </c>
      <c r="BB1049" s="498" t="str">
        <f t="shared" si="376"/>
        <v/>
      </c>
      <c r="BC1049" s="743" t="str">
        <f t="shared" si="377"/>
        <v/>
      </c>
      <c r="BD1049" s="743" t="str">
        <f t="shared" si="378"/>
        <v/>
      </c>
      <c r="BE1049" s="743" t="str">
        <f>IF(D1049="","",VLOOKUP(D1049,'General Basis'!$J$39:$K$46,2,0))</f>
        <v/>
      </c>
      <c r="BF1049" s="744" t="str">
        <f>IF(D1049="","",VLOOKUP(D1049,'General Basis'!$J$39:$L$46,3,0))</f>
        <v/>
      </c>
      <c r="BG1049" s="744" t="str">
        <f t="shared" si="385"/>
        <v/>
      </c>
      <c r="BH1049" s="744" t="str">
        <f>IF(G1049="","",IF(BF1049="Abu Dhabi",IF(G1049&lt;18,'General Basis'!$C$39,IF(G1049&lt;41,'General Basis'!$C$40,IF(G1049&lt;60,'General Basis'!$C$41,IF(G1049&lt;65,'General Basis'!$C$42,'General Basis'!$C$43)))),IF(G1049&lt;11,'General Basis'!$B$39,IF(G1049&lt;18,'General Basis'!$B$40,IF(G1049&lt;26,'General Basis'!$B$41,IF(G1049&lt;31,'General Basis'!$B$42,IF(G1049&lt;36,'General Basis'!$B$43,IF(G1049&lt;41,'General Basis'!$B$44,IF(G1049&lt;46,'General Basis'!$B$45,IF(G1049&lt;51,'General Basis'!$B$46,IF(G1049&lt;56,'General Basis'!$B$47,IF(G1049&lt;60,'General Basis'!$B$48,IF(G1049&lt;65,'General Basis'!$B$49,'General Basis'!$B$50)))))))))))))</f>
        <v/>
      </c>
      <c r="BI1049" s="744" t="str">
        <f t="shared" si="379"/>
        <v/>
      </c>
      <c r="BJ1049" s="747" t="str">
        <f t="shared" si="386"/>
        <v/>
      </c>
      <c r="BK1049" s="498" t="str">
        <f t="shared" si="380"/>
        <v/>
      </c>
      <c r="BL1049" s="498" t="str">
        <f t="shared" si="381"/>
        <v/>
      </c>
    </row>
    <row r="1050" spans="1:64" x14ac:dyDescent="0.25">
      <c r="A1050" s="762">
        <f t="shared" si="382"/>
        <v>1045</v>
      </c>
      <c r="B1050" s="229"/>
      <c r="C1050" s="223"/>
      <c r="D1050" s="224"/>
      <c r="E1050" s="225"/>
      <c r="F1050" s="1036" t="str">
        <f t="shared" si="388"/>
        <v/>
      </c>
      <c r="G1050" s="1037" t="str">
        <f t="shared" si="383"/>
        <v/>
      </c>
      <c r="H1050" s="225"/>
      <c r="I1050" s="1013"/>
      <c r="J1050" s="1013"/>
      <c r="K1050" s="1028"/>
      <c r="L1050" s="1035" t="str">
        <f t="shared" si="387"/>
        <v/>
      </c>
      <c r="S1050" s="498"/>
      <c r="AJ1050" s="498"/>
      <c r="AM1050" s="498">
        <f t="shared" si="368"/>
        <v>0</v>
      </c>
      <c r="AN1050" s="498">
        <f t="shared" si="369"/>
        <v>0</v>
      </c>
      <c r="AO1050" s="498">
        <f t="shared" si="370"/>
        <v>0</v>
      </c>
      <c r="AP1050" s="498">
        <f t="shared" si="389"/>
        <v>0</v>
      </c>
      <c r="AQ1050" s="498">
        <f t="shared" si="384"/>
        <v>0</v>
      </c>
      <c r="AU1050" s="498">
        <f t="shared" si="371"/>
        <v>0</v>
      </c>
      <c r="AV1050" s="498">
        <f t="shared" si="372"/>
        <v>0</v>
      </c>
      <c r="AW1050" s="498">
        <f t="shared" si="373"/>
        <v>0</v>
      </c>
      <c r="AX1050" s="498">
        <f t="shared" si="374"/>
        <v>0</v>
      </c>
      <c r="AY1050" s="498">
        <f t="shared" si="375"/>
        <v>0</v>
      </c>
      <c r="BB1050" s="498" t="str">
        <f t="shared" si="376"/>
        <v/>
      </c>
      <c r="BC1050" s="743" t="str">
        <f t="shared" si="377"/>
        <v/>
      </c>
      <c r="BD1050" s="743" t="str">
        <f t="shared" si="378"/>
        <v/>
      </c>
      <c r="BE1050" s="743" t="str">
        <f>IF(D1050="","",VLOOKUP(D1050,'General Basis'!$J$39:$K$46,2,0))</f>
        <v/>
      </c>
      <c r="BF1050" s="744" t="str">
        <f>IF(D1050="","",VLOOKUP(D1050,'General Basis'!$J$39:$L$46,3,0))</f>
        <v/>
      </c>
      <c r="BG1050" s="744" t="str">
        <f t="shared" si="385"/>
        <v/>
      </c>
      <c r="BH1050" s="744" t="str">
        <f>IF(G1050="","",IF(BF1050="Abu Dhabi",IF(G1050&lt;18,'General Basis'!$C$39,IF(G1050&lt;41,'General Basis'!$C$40,IF(G1050&lt;60,'General Basis'!$C$41,IF(G1050&lt;65,'General Basis'!$C$42,'General Basis'!$C$43)))),IF(G1050&lt;11,'General Basis'!$B$39,IF(G1050&lt;18,'General Basis'!$B$40,IF(G1050&lt;26,'General Basis'!$B$41,IF(G1050&lt;31,'General Basis'!$B$42,IF(G1050&lt;36,'General Basis'!$B$43,IF(G1050&lt;41,'General Basis'!$B$44,IF(G1050&lt;46,'General Basis'!$B$45,IF(G1050&lt;51,'General Basis'!$B$46,IF(G1050&lt;56,'General Basis'!$B$47,IF(G1050&lt;60,'General Basis'!$B$48,IF(G1050&lt;65,'General Basis'!$B$49,'General Basis'!$B$50)))))))))))))</f>
        <v/>
      </c>
      <c r="BI1050" s="744" t="str">
        <f t="shared" si="379"/>
        <v/>
      </c>
      <c r="BJ1050" s="747" t="str">
        <f t="shared" si="386"/>
        <v/>
      </c>
      <c r="BK1050" s="498" t="str">
        <f t="shared" si="380"/>
        <v/>
      </c>
      <c r="BL1050" s="498" t="str">
        <f t="shared" si="381"/>
        <v/>
      </c>
    </row>
    <row r="1051" spans="1:64" x14ac:dyDescent="0.25">
      <c r="A1051" s="762">
        <f t="shared" si="382"/>
        <v>1046</v>
      </c>
      <c r="B1051" s="229"/>
      <c r="C1051" s="223"/>
      <c r="D1051" s="224"/>
      <c r="E1051" s="225"/>
      <c r="F1051" s="1036" t="str">
        <f t="shared" si="388"/>
        <v/>
      </c>
      <c r="G1051" s="1037" t="str">
        <f t="shared" si="383"/>
        <v/>
      </c>
      <c r="H1051" s="225"/>
      <c r="I1051" s="1013"/>
      <c r="J1051" s="1013"/>
      <c r="K1051" s="1028"/>
      <c r="L1051" s="1035" t="str">
        <f t="shared" si="387"/>
        <v/>
      </c>
      <c r="S1051" s="498"/>
      <c r="AJ1051" s="498"/>
      <c r="AM1051" s="498">
        <f t="shared" si="368"/>
        <v>0</v>
      </c>
      <c r="AN1051" s="498">
        <f t="shared" si="369"/>
        <v>0</v>
      </c>
      <c r="AO1051" s="498">
        <f t="shared" si="370"/>
        <v>0</v>
      </c>
      <c r="AP1051" s="498">
        <f t="shared" si="389"/>
        <v>0</v>
      </c>
      <c r="AQ1051" s="498">
        <f t="shared" si="384"/>
        <v>0</v>
      </c>
      <c r="AU1051" s="498">
        <f t="shared" si="371"/>
        <v>0</v>
      </c>
      <c r="AV1051" s="498">
        <f t="shared" si="372"/>
        <v>0</v>
      </c>
      <c r="AW1051" s="498">
        <f t="shared" si="373"/>
        <v>0</v>
      </c>
      <c r="AX1051" s="498">
        <f t="shared" si="374"/>
        <v>0</v>
      </c>
      <c r="AY1051" s="498">
        <f t="shared" si="375"/>
        <v>0</v>
      </c>
      <c r="BB1051" s="498" t="str">
        <f t="shared" si="376"/>
        <v/>
      </c>
      <c r="BC1051" s="743" t="str">
        <f t="shared" si="377"/>
        <v/>
      </c>
      <c r="BD1051" s="743" t="str">
        <f t="shared" si="378"/>
        <v/>
      </c>
      <c r="BE1051" s="743" t="str">
        <f>IF(D1051="","",VLOOKUP(D1051,'General Basis'!$J$39:$K$46,2,0))</f>
        <v/>
      </c>
      <c r="BF1051" s="744" t="str">
        <f>IF(D1051="","",VLOOKUP(D1051,'General Basis'!$J$39:$L$46,3,0))</f>
        <v/>
      </c>
      <c r="BG1051" s="744" t="str">
        <f t="shared" si="385"/>
        <v/>
      </c>
      <c r="BH1051" s="744" t="str">
        <f>IF(G1051="","",IF(BF1051="Abu Dhabi",IF(G1051&lt;18,'General Basis'!$C$39,IF(G1051&lt;41,'General Basis'!$C$40,IF(G1051&lt;60,'General Basis'!$C$41,IF(G1051&lt;65,'General Basis'!$C$42,'General Basis'!$C$43)))),IF(G1051&lt;11,'General Basis'!$B$39,IF(G1051&lt;18,'General Basis'!$B$40,IF(G1051&lt;26,'General Basis'!$B$41,IF(G1051&lt;31,'General Basis'!$B$42,IF(G1051&lt;36,'General Basis'!$B$43,IF(G1051&lt;41,'General Basis'!$B$44,IF(G1051&lt;46,'General Basis'!$B$45,IF(G1051&lt;51,'General Basis'!$B$46,IF(G1051&lt;56,'General Basis'!$B$47,IF(G1051&lt;60,'General Basis'!$B$48,IF(G1051&lt;65,'General Basis'!$B$49,'General Basis'!$B$50)))))))))))))</f>
        <v/>
      </c>
      <c r="BI1051" s="744" t="str">
        <f t="shared" si="379"/>
        <v/>
      </c>
      <c r="BJ1051" s="747" t="str">
        <f t="shared" si="386"/>
        <v/>
      </c>
      <c r="BK1051" s="498" t="str">
        <f t="shared" si="380"/>
        <v/>
      </c>
      <c r="BL1051" s="498" t="str">
        <f t="shared" si="381"/>
        <v/>
      </c>
    </row>
    <row r="1052" spans="1:64" x14ac:dyDescent="0.25">
      <c r="A1052" s="762">
        <f t="shared" si="382"/>
        <v>1047</v>
      </c>
      <c r="B1052" s="229"/>
      <c r="C1052" s="223"/>
      <c r="D1052" s="224"/>
      <c r="E1052" s="225"/>
      <c r="F1052" s="1036" t="str">
        <f t="shared" si="388"/>
        <v/>
      </c>
      <c r="G1052" s="1037" t="str">
        <f t="shared" si="383"/>
        <v/>
      </c>
      <c r="H1052" s="225"/>
      <c r="I1052" s="1013"/>
      <c r="J1052" s="1013"/>
      <c r="K1052" s="1028"/>
      <c r="L1052" s="1035" t="str">
        <f t="shared" si="387"/>
        <v/>
      </c>
      <c r="S1052" s="498"/>
      <c r="AJ1052" s="498"/>
      <c r="AM1052" s="498">
        <f t="shared" si="368"/>
        <v>0</v>
      </c>
      <c r="AN1052" s="498">
        <f t="shared" si="369"/>
        <v>0</v>
      </c>
      <c r="AO1052" s="498">
        <f t="shared" si="370"/>
        <v>0</v>
      </c>
      <c r="AP1052" s="498">
        <f t="shared" si="389"/>
        <v>0</v>
      </c>
      <c r="AQ1052" s="498">
        <f t="shared" si="384"/>
        <v>0</v>
      </c>
      <c r="AU1052" s="498">
        <f t="shared" si="371"/>
        <v>0</v>
      </c>
      <c r="AV1052" s="498">
        <f t="shared" si="372"/>
        <v>0</v>
      </c>
      <c r="AW1052" s="498">
        <f t="shared" si="373"/>
        <v>0</v>
      </c>
      <c r="AX1052" s="498">
        <f t="shared" si="374"/>
        <v>0</v>
      </c>
      <c r="AY1052" s="498">
        <f t="shared" si="375"/>
        <v>0</v>
      </c>
      <c r="BB1052" s="498" t="str">
        <f t="shared" si="376"/>
        <v/>
      </c>
      <c r="BC1052" s="743" t="str">
        <f t="shared" si="377"/>
        <v/>
      </c>
      <c r="BD1052" s="743" t="str">
        <f t="shared" si="378"/>
        <v/>
      </c>
      <c r="BE1052" s="743" t="str">
        <f>IF(D1052="","",VLOOKUP(D1052,'General Basis'!$J$39:$K$46,2,0))</f>
        <v/>
      </c>
      <c r="BF1052" s="744" t="str">
        <f>IF(D1052="","",VLOOKUP(D1052,'General Basis'!$J$39:$L$46,3,0))</f>
        <v/>
      </c>
      <c r="BG1052" s="744" t="str">
        <f t="shared" si="385"/>
        <v/>
      </c>
      <c r="BH1052" s="744" t="str">
        <f>IF(G1052="","",IF(BF1052="Abu Dhabi",IF(G1052&lt;18,'General Basis'!$C$39,IF(G1052&lt;41,'General Basis'!$C$40,IF(G1052&lt;60,'General Basis'!$C$41,IF(G1052&lt;65,'General Basis'!$C$42,'General Basis'!$C$43)))),IF(G1052&lt;11,'General Basis'!$B$39,IF(G1052&lt;18,'General Basis'!$B$40,IF(G1052&lt;26,'General Basis'!$B$41,IF(G1052&lt;31,'General Basis'!$B$42,IF(G1052&lt;36,'General Basis'!$B$43,IF(G1052&lt;41,'General Basis'!$B$44,IF(G1052&lt;46,'General Basis'!$B$45,IF(G1052&lt;51,'General Basis'!$B$46,IF(G1052&lt;56,'General Basis'!$B$47,IF(G1052&lt;60,'General Basis'!$B$48,IF(G1052&lt;65,'General Basis'!$B$49,'General Basis'!$B$50)))))))))))))</f>
        <v/>
      </c>
      <c r="BI1052" s="744" t="str">
        <f t="shared" si="379"/>
        <v/>
      </c>
      <c r="BJ1052" s="747" t="str">
        <f t="shared" si="386"/>
        <v/>
      </c>
      <c r="BK1052" s="498" t="str">
        <f t="shared" si="380"/>
        <v/>
      </c>
      <c r="BL1052" s="498" t="str">
        <f t="shared" si="381"/>
        <v/>
      </c>
    </row>
    <row r="1053" spans="1:64" x14ac:dyDescent="0.25">
      <c r="A1053" s="762">
        <f t="shared" si="382"/>
        <v>1048</v>
      </c>
      <c r="B1053" s="229"/>
      <c r="C1053" s="223"/>
      <c r="D1053" s="224"/>
      <c r="E1053" s="225"/>
      <c r="F1053" s="1036" t="str">
        <f t="shared" si="388"/>
        <v/>
      </c>
      <c r="G1053" s="1037" t="str">
        <f t="shared" si="383"/>
        <v/>
      </c>
      <c r="H1053" s="225"/>
      <c r="I1053" s="1013"/>
      <c r="J1053" s="1013"/>
      <c r="K1053" s="1028"/>
      <c r="L1053" s="1035" t="str">
        <f t="shared" si="387"/>
        <v/>
      </c>
      <c r="S1053" s="498"/>
      <c r="AJ1053" s="498"/>
      <c r="AM1053" s="498">
        <f t="shared" si="368"/>
        <v>0</v>
      </c>
      <c r="AN1053" s="498">
        <f t="shared" si="369"/>
        <v>0</v>
      </c>
      <c r="AO1053" s="498">
        <f t="shared" si="370"/>
        <v>0</v>
      </c>
      <c r="AP1053" s="498">
        <f t="shared" si="389"/>
        <v>0</v>
      </c>
      <c r="AQ1053" s="498">
        <f t="shared" si="384"/>
        <v>0</v>
      </c>
      <c r="AU1053" s="498">
        <f t="shared" si="371"/>
        <v>0</v>
      </c>
      <c r="AV1053" s="498">
        <f t="shared" si="372"/>
        <v>0</v>
      </c>
      <c r="AW1053" s="498">
        <f t="shared" si="373"/>
        <v>0</v>
      </c>
      <c r="AX1053" s="498">
        <f t="shared" si="374"/>
        <v>0</v>
      </c>
      <c r="AY1053" s="498">
        <f t="shared" si="375"/>
        <v>0</v>
      </c>
      <c r="BB1053" s="498" t="str">
        <f t="shared" si="376"/>
        <v/>
      </c>
      <c r="BC1053" s="743" t="str">
        <f t="shared" si="377"/>
        <v/>
      </c>
      <c r="BD1053" s="743" t="str">
        <f t="shared" si="378"/>
        <v/>
      </c>
      <c r="BE1053" s="743" t="str">
        <f>IF(D1053="","",VLOOKUP(D1053,'General Basis'!$J$39:$K$46,2,0))</f>
        <v/>
      </c>
      <c r="BF1053" s="744" t="str">
        <f>IF(D1053="","",VLOOKUP(D1053,'General Basis'!$J$39:$L$46,3,0))</f>
        <v/>
      </c>
      <c r="BG1053" s="744" t="str">
        <f t="shared" si="385"/>
        <v/>
      </c>
      <c r="BH1053" s="744" t="str">
        <f>IF(G1053="","",IF(BF1053="Abu Dhabi",IF(G1053&lt;18,'General Basis'!$C$39,IF(G1053&lt;41,'General Basis'!$C$40,IF(G1053&lt;60,'General Basis'!$C$41,IF(G1053&lt;65,'General Basis'!$C$42,'General Basis'!$C$43)))),IF(G1053&lt;11,'General Basis'!$B$39,IF(G1053&lt;18,'General Basis'!$B$40,IF(G1053&lt;26,'General Basis'!$B$41,IF(G1053&lt;31,'General Basis'!$B$42,IF(G1053&lt;36,'General Basis'!$B$43,IF(G1053&lt;41,'General Basis'!$B$44,IF(G1053&lt;46,'General Basis'!$B$45,IF(G1053&lt;51,'General Basis'!$B$46,IF(G1053&lt;56,'General Basis'!$B$47,IF(G1053&lt;60,'General Basis'!$B$48,IF(G1053&lt;65,'General Basis'!$B$49,'General Basis'!$B$50)))))))))))))</f>
        <v/>
      </c>
      <c r="BI1053" s="744" t="str">
        <f t="shared" si="379"/>
        <v/>
      </c>
      <c r="BJ1053" s="747" t="str">
        <f t="shared" si="386"/>
        <v/>
      </c>
      <c r="BK1053" s="498" t="str">
        <f t="shared" si="380"/>
        <v/>
      </c>
      <c r="BL1053" s="498" t="str">
        <f t="shared" si="381"/>
        <v/>
      </c>
    </row>
    <row r="1054" spans="1:64" x14ac:dyDescent="0.25">
      <c r="A1054" s="762">
        <f t="shared" si="382"/>
        <v>1049</v>
      </c>
      <c r="B1054" s="229"/>
      <c r="C1054" s="223"/>
      <c r="D1054" s="224"/>
      <c r="E1054" s="225"/>
      <c r="F1054" s="1036" t="str">
        <f t="shared" si="388"/>
        <v/>
      </c>
      <c r="G1054" s="1037" t="str">
        <f t="shared" si="383"/>
        <v/>
      </c>
      <c r="H1054" s="225"/>
      <c r="I1054" s="1013"/>
      <c r="J1054" s="1013"/>
      <c r="K1054" s="1028"/>
      <c r="L1054" s="1035" t="str">
        <f t="shared" si="387"/>
        <v/>
      </c>
      <c r="S1054" s="498"/>
      <c r="AJ1054" s="498"/>
      <c r="AM1054" s="498">
        <f t="shared" si="368"/>
        <v>0</v>
      </c>
      <c r="AN1054" s="498">
        <f t="shared" si="369"/>
        <v>0</v>
      </c>
      <c r="AO1054" s="498">
        <f t="shared" si="370"/>
        <v>0</v>
      </c>
      <c r="AP1054" s="498">
        <f t="shared" si="389"/>
        <v>0</v>
      </c>
      <c r="AQ1054" s="498">
        <f t="shared" si="384"/>
        <v>0</v>
      </c>
      <c r="AU1054" s="498">
        <f t="shared" si="371"/>
        <v>0</v>
      </c>
      <c r="AV1054" s="498">
        <f t="shared" si="372"/>
        <v>0</v>
      </c>
      <c r="AW1054" s="498">
        <f t="shared" si="373"/>
        <v>0</v>
      </c>
      <c r="AX1054" s="498">
        <f t="shared" si="374"/>
        <v>0</v>
      </c>
      <c r="AY1054" s="498">
        <f t="shared" si="375"/>
        <v>0</v>
      </c>
      <c r="BB1054" s="498" t="str">
        <f t="shared" si="376"/>
        <v/>
      </c>
      <c r="BC1054" s="743" t="str">
        <f t="shared" si="377"/>
        <v/>
      </c>
      <c r="BD1054" s="743" t="str">
        <f t="shared" si="378"/>
        <v/>
      </c>
      <c r="BE1054" s="743" t="str">
        <f>IF(D1054="","",VLOOKUP(D1054,'General Basis'!$J$39:$K$46,2,0))</f>
        <v/>
      </c>
      <c r="BF1054" s="744" t="str">
        <f>IF(D1054="","",VLOOKUP(D1054,'General Basis'!$J$39:$L$46,3,0))</f>
        <v/>
      </c>
      <c r="BG1054" s="744" t="str">
        <f t="shared" si="385"/>
        <v/>
      </c>
      <c r="BH1054" s="744" t="str">
        <f>IF(G1054="","",IF(BF1054="Abu Dhabi",IF(G1054&lt;18,'General Basis'!$C$39,IF(G1054&lt;41,'General Basis'!$C$40,IF(G1054&lt;60,'General Basis'!$C$41,IF(G1054&lt;65,'General Basis'!$C$42,'General Basis'!$C$43)))),IF(G1054&lt;11,'General Basis'!$B$39,IF(G1054&lt;18,'General Basis'!$B$40,IF(G1054&lt;26,'General Basis'!$B$41,IF(G1054&lt;31,'General Basis'!$B$42,IF(G1054&lt;36,'General Basis'!$B$43,IF(G1054&lt;41,'General Basis'!$B$44,IF(G1054&lt;46,'General Basis'!$B$45,IF(G1054&lt;51,'General Basis'!$B$46,IF(G1054&lt;56,'General Basis'!$B$47,IF(G1054&lt;60,'General Basis'!$B$48,IF(G1054&lt;65,'General Basis'!$B$49,'General Basis'!$B$50)))))))))))))</f>
        <v/>
      </c>
      <c r="BI1054" s="744" t="str">
        <f t="shared" si="379"/>
        <v/>
      </c>
      <c r="BJ1054" s="747" t="str">
        <f t="shared" si="386"/>
        <v/>
      </c>
      <c r="BK1054" s="498" t="str">
        <f t="shared" si="380"/>
        <v/>
      </c>
      <c r="BL1054" s="498" t="str">
        <f t="shared" si="381"/>
        <v/>
      </c>
    </row>
    <row r="1055" spans="1:64" x14ac:dyDescent="0.25">
      <c r="A1055" s="762">
        <f t="shared" si="382"/>
        <v>1050</v>
      </c>
      <c r="B1055" s="229"/>
      <c r="C1055" s="223"/>
      <c r="D1055" s="224"/>
      <c r="E1055" s="225"/>
      <c r="F1055" s="1036" t="str">
        <f t="shared" si="388"/>
        <v/>
      </c>
      <c r="G1055" s="1037" t="str">
        <f t="shared" si="383"/>
        <v/>
      </c>
      <c r="H1055" s="225"/>
      <c r="I1055" s="1013"/>
      <c r="J1055" s="1013"/>
      <c r="K1055" s="1028"/>
      <c r="L1055" s="1035" t="str">
        <f t="shared" si="387"/>
        <v/>
      </c>
      <c r="S1055" s="498"/>
      <c r="AJ1055" s="498"/>
      <c r="AM1055" s="498">
        <f t="shared" si="368"/>
        <v>0</v>
      </c>
      <c r="AN1055" s="498">
        <f t="shared" si="369"/>
        <v>0</v>
      </c>
      <c r="AO1055" s="498">
        <f t="shared" si="370"/>
        <v>0</v>
      </c>
      <c r="AP1055" s="498">
        <f t="shared" si="389"/>
        <v>0</v>
      </c>
      <c r="AQ1055" s="498">
        <f t="shared" si="384"/>
        <v>0</v>
      </c>
      <c r="AU1055" s="498">
        <f t="shared" si="371"/>
        <v>0</v>
      </c>
      <c r="AV1055" s="498">
        <f t="shared" si="372"/>
        <v>0</v>
      </c>
      <c r="AW1055" s="498">
        <f t="shared" si="373"/>
        <v>0</v>
      </c>
      <c r="AX1055" s="498">
        <f t="shared" si="374"/>
        <v>0</v>
      </c>
      <c r="AY1055" s="498">
        <f t="shared" si="375"/>
        <v>0</v>
      </c>
      <c r="BB1055" s="498" t="str">
        <f t="shared" si="376"/>
        <v/>
      </c>
      <c r="BC1055" s="743" t="str">
        <f t="shared" si="377"/>
        <v/>
      </c>
      <c r="BD1055" s="743" t="str">
        <f t="shared" si="378"/>
        <v/>
      </c>
      <c r="BE1055" s="743" t="str">
        <f>IF(D1055="","",VLOOKUP(D1055,'General Basis'!$J$39:$K$46,2,0))</f>
        <v/>
      </c>
      <c r="BF1055" s="744" t="str">
        <f>IF(D1055="","",VLOOKUP(D1055,'General Basis'!$J$39:$L$46,3,0))</f>
        <v/>
      </c>
      <c r="BG1055" s="744" t="str">
        <f t="shared" si="385"/>
        <v/>
      </c>
      <c r="BH1055" s="744" t="str">
        <f>IF(G1055="","",IF(BF1055="Abu Dhabi",IF(G1055&lt;18,'General Basis'!$C$39,IF(G1055&lt;41,'General Basis'!$C$40,IF(G1055&lt;60,'General Basis'!$C$41,IF(G1055&lt;65,'General Basis'!$C$42,'General Basis'!$C$43)))),IF(G1055&lt;11,'General Basis'!$B$39,IF(G1055&lt;18,'General Basis'!$B$40,IF(G1055&lt;26,'General Basis'!$B$41,IF(G1055&lt;31,'General Basis'!$B$42,IF(G1055&lt;36,'General Basis'!$B$43,IF(G1055&lt;41,'General Basis'!$B$44,IF(G1055&lt;46,'General Basis'!$B$45,IF(G1055&lt;51,'General Basis'!$B$46,IF(G1055&lt;56,'General Basis'!$B$47,IF(G1055&lt;60,'General Basis'!$B$48,IF(G1055&lt;65,'General Basis'!$B$49,'General Basis'!$B$50)))))))))))))</f>
        <v/>
      </c>
      <c r="BI1055" s="744" t="str">
        <f t="shared" si="379"/>
        <v/>
      </c>
      <c r="BJ1055" s="747" t="str">
        <f t="shared" si="386"/>
        <v/>
      </c>
      <c r="BK1055" s="498" t="str">
        <f t="shared" si="380"/>
        <v/>
      </c>
      <c r="BL1055" s="498" t="str">
        <f t="shared" si="381"/>
        <v/>
      </c>
    </row>
    <row r="1056" spans="1:64" x14ac:dyDescent="0.25">
      <c r="A1056" s="762">
        <f t="shared" si="382"/>
        <v>1051</v>
      </c>
      <c r="B1056" s="229"/>
      <c r="C1056" s="223"/>
      <c r="D1056" s="224"/>
      <c r="E1056" s="225"/>
      <c r="F1056" s="1036" t="str">
        <f t="shared" si="388"/>
        <v/>
      </c>
      <c r="G1056" s="1037" t="str">
        <f t="shared" si="383"/>
        <v/>
      </c>
      <c r="H1056" s="225"/>
      <c r="I1056" s="1013"/>
      <c r="J1056" s="1013"/>
      <c r="K1056" s="1028"/>
      <c r="L1056" s="1035" t="str">
        <f t="shared" si="387"/>
        <v/>
      </c>
      <c r="S1056" s="498"/>
      <c r="AJ1056" s="498"/>
      <c r="AM1056" s="498">
        <f t="shared" si="368"/>
        <v>0</v>
      </c>
      <c r="AN1056" s="498">
        <f t="shared" si="369"/>
        <v>0</v>
      </c>
      <c r="AO1056" s="498">
        <f t="shared" si="370"/>
        <v>0</v>
      </c>
      <c r="AP1056" s="498">
        <f t="shared" si="389"/>
        <v>0</v>
      </c>
      <c r="AQ1056" s="498">
        <f t="shared" si="384"/>
        <v>0</v>
      </c>
      <c r="AU1056" s="498">
        <f t="shared" si="371"/>
        <v>0</v>
      </c>
      <c r="AV1056" s="498">
        <f t="shared" si="372"/>
        <v>0</v>
      </c>
      <c r="AW1056" s="498">
        <f t="shared" si="373"/>
        <v>0</v>
      </c>
      <c r="AX1056" s="498">
        <f t="shared" si="374"/>
        <v>0</v>
      </c>
      <c r="AY1056" s="498">
        <f t="shared" si="375"/>
        <v>0</v>
      </c>
      <c r="BB1056" s="498" t="str">
        <f t="shared" si="376"/>
        <v/>
      </c>
      <c r="BC1056" s="743" t="str">
        <f t="shared" si="377"/>
        <v/>
      </c>
      <c r="BD1056" s="743" t="str">
        <f t="shared" si="378"/>
        <v/>
      </c>
      <c r="BE1056" s="743" t="str">
        <f>IF(D1056="","",VLOOKUP(D1056,'General Basis'!$J$39:$K$46,2,0))</f>
        <v/>
      </c>
      <c r="BF1056" s="744" t="str">
        <f>IF(D1056="","",VLOOKUP(D1056,'General Basis'!$J$39:$L$46,3,0))</f>
        <v/>
      </c>
      <c r="BG1056" s="744" t="str">
        <f t="shared" si="385"/>
        <v/>
      </c>
      <c r="BH1056" s="744" t="str">
        <f>IF(G1056="","",IF(BF1056="Abu Dhabi",IF(G1056&lt;18,'General Basis'!$C$39,IF(G1056&lt;41,'General Basis'!$C$40,IF(G1056&lt;60,'General Basis'!$C$41,IF(G1056&lt;65,'General Basis'!$C$42,'General Basis'!$C$43)))),IF(G1056&lt;11,'General Basis'!$B$39,IF(G1056&lt;18,'General Basis'!$B$40,IF(G1056&lt;26,'General Basis'!$B$41,IF(G1056&lt;31,'General Basis'!$B$42,IF(G1056&lt;36,'General Basis'!$B$43,IF(G1056&lt;41,'General Basis'!$B$44,IF(G1056&lt;46,'General Basis'!$B$45,IF(G1056&lt;51,'General Basis'!$B$46,IF(G1056&lt;56,'General Basis'!$B$47,IF(G1056&lt;60,'General Basis'!$B$48,IF(G1056&lt;65,'General Basis'!$B$49,'General Basis'!$B$50)))))))))))))</f>
        <v/>
      </c>
      <c r="BI1056" s="744" t="str">
        <f t="shared" si="379"/>
        <v/>
      </c>
      <c r="BJ1056" s="747" t="str">
        <f t="shared" si="386"/>
        <v/>
      </c>
      <c r="BK1056" s="498" t="str">
        <f t="shared" si="380"/>
        <v/>
      </c>
      <c r="BL1056" s="498" t="str">
        <f t="shared" si="381"/>
        <v/>
      </c>
    </row>
    <row r="1057" spans="1:64" x14ac:dyDescent="0.25">
      <c r="A1057" s="762">
        <f t="shared" si="382"/>
        <v>1052</v>
      </c>
      <c r="B1057" s="229"/>
      <c r="C1057" s="223"/>
      <c r="D1057" s="224"/>
      <c r="E1057" s="225"/>
      <c r="F1057" s="1036" t="str">
        <f t="shared" si="388"/>
        <v/>
      </c>
      <c r="G1057" s="1037" t="str">
        <f t="shared" si="383"/>
        <v/>
      </c>
      <c r="H1057" s="225"/>
      <c r="I1057" s="1013"/>
      <c r="J1057" s="1013"/>
      <c r="K1057" s="1028"/>
      <c r="L1057" s="1035" t="str">
        <f t="shared" si="387"/>
        <v/>
      </c>
      <c r="S1057" s="498"/>
      <c r="AJ1057" s="498"/>
      <c r="AM1057" s="498">
        <f t="shared" si="368"/>
        <v>0</v>
      </c>
      <c r="AN1057" s="498">
        <f t="shared" si="369"/>
        <v>0</v>
      </c>
      <c r="AO1057" s="498">
        <f t="shared" si="370"/>
        <v>0</v>
      </c>
      <c r="AP1057" s="498">
        <f t="shared" si="389"/>
        <v>0</v>
      </c>
      <c r="AQ1057" s="498">
        <f t="shared" si="384"/>
        <v>0</v>
      </c>
      <c r="AU1057" s="498">
        <f t="shared" si="371"/>
        <v>0</v>
      </c>
      <c r="AV1057" s="498">
        <f t="shared" si="372"/>
        <v>0</v>
      </c>
      <c r="AW1057" s="498">
        <f t="shared" si="373"/>
        <v>0</v>
      </c>
      <c r="AX1057" s="498">
        <f t="shared" si="374"/>
        <v>0</v>
      </c>
      <c r="AY1057" s="498">
        <f t="shared" si="375"/>
        <v>0</v>
      </c>
      <c r="BB1057" s="498" t="str">
        <f t="shared" si="376"/>
        <v/>
      </c>
      <c r="BC1057" s="743" t="str">
        <f t="shared" si="377"/>
        <v/>
      </c>
      <c r="BD1057" s="743" t="str">
        <f t="shared" si="378"/>
        <v/>
      </c>
      <c r="BE1057" s="743" t="str">
        <f>IF(D1057="","",VLOOKUP(D1057,'General Basis'!$J$39:$K$46,2,0))</f>
        <v/>
      </c>
      <c r="BF1057" s="744" t="str">
        <f>IF(D1057="","",VLOOKUP(D1057,'General Basis'!$J$39:$L$46,3,0))</f>
        <v/>
      </c>
      <c r="BG1057" s="744" t="str">
        <f t="shared" si="385"/>
        <v/>
      </c>
      <c r="BH1057" s="744" t="str">
        <f>IF(G1057="","",IF(BF1057="Abu Dhabi",IF(G1057&lt;18,'General Basis'!$C$39,IF(G1057&lt;41,'General Basis'!$C$40,IF(G1057&lt;60,'General Basis'!$C$41,IF(G1057&lt;65,'General Basis'!$C$42,'General Basis'!$C$43)))),IF(G1057&lt;11,'General Basis'!$B$39,IF(G1057&lt;18,'General Basis'!$B$40,IF(G1057&lt;26,'General Basis'!$B$41,IF(G1057&lt;31,'General Basis'!$B$42,IF(G1057&lt;36,'General Basis'!$B$43,IF(G1057&lt;41,'General Basis'!$B$44,IF(G1057&lt;46,'General Basis'!$B$45,IF(G1057&lt;51,'General Basis'!$B$46,IF(G1057&lt;56,'General Basis'!$B$47,IF(G1057&lt;60,'General Basis'!$B$48,IF(G1057&lt;65,'General Basis'!$B$49,'General Basis'!$B$50)))))))))))))</f>
        <v/>
      </c>
      <c r="BI1057" s="744" t="str">
        <f t="shared" si="379"/>
        <v/>
      </c>
      <c r="BJ1057" s="747" t="str">
        <f t="shared" si="386"/>
        <v/>
      </c>
      <c r="BK1057" s="498" t="str">
        <f t="shared" si="380"/>
        <v/>
      </c>
      <c r="BL1057" s="498" t="str">
        <f t="shared" si="381"/>
        <v/>
      </c>
    </row>
    <row r="1058" spans="1:64" x14ac:dyDescent="0.25">
      <c r="A1058" s="762">
        <f t="shared" si="382"/>
        <v>1053</v>
      </c>
      <c r="B1058" s="229"/>
      <c r="C1058" s="223"/>
      <c r="D1058" s="224"/>
      <c r="E1058" s="225"/>
      <c r="F1058" s="1036" t="str">
        <f t="shared" si="388"/>
        <v/>
      </c>
      <c r="G1058" s="1037" t="str">
        <f t="shared" si="383"/>
        <v/>
      </c>
      <c r="H1058" s="225"/>
      <c r="I1058" s="1013"/>
      <c r="J1058" s="1013"/>
      <c r="K1058" s="1028"/>
      <c r="L1058" s="1035" t="str">
        <f t="shared" si="387"/>
        <v/>
      </c>
      <c r="S1058" s="498"/>
      <c r="AJ1058" s="498"/>
      <c r="AM1058" s="498">
        <f t="shared" si="368"/>
        <v>0</v>
      </c>
      <c r="AN1058" s="498">
        <f t="shared" si="369"/>
        <v>0</v>
      </c>
      <c r="AO1058" s="498">
        <f t="shared" si="370"/>
        <v>0</v>
      </c>
      <c r="AP1058" s="498">
        <f t="shared" si="389"/>
        <v>0</v>
      </c>
      <c r="AQ1058" s="498">
        <f t="shared" si="384"/>
        <v>0</v>
      </c>
      <c r="AU1058" s="498">
        <f t="shared" si="371"/>
        <v>0</v>
      </c>
      <c r="AV1058" s="498">
        <f t="shared" si="372"/>
        <v>0</v>
      </c>
      <c r="AW1058" s="498">
        <f t="shared" si="373"/>
        <v>0</v>
      </c>
      <c r="AX1058" s="498">
        <f t="shared" si="374"/>
        <v>0</v>
      </c>
      <c r="AY1058" s="498">
        <f t="shared" si="375"/>
        <v>0</v>
      </c>
      <c r="BB1058" s="498" t="str">
        <f t="shared" si="376"/>
        <v/>
      </c>
      <c r="BC1058" s="743" t="str">
        <f t="shared" si="377"/>
        <v/>
      </c>
      <c r="BD1058" s="743" t="str">
        <f t="shared" si="378"/>
        <v/>
      </c>
      <c r="BE1058" s="743" t="str">
        <f>IF(D1058="","",VLOOKUP(D1058,'General Basis'!$J$39:$K$46,2,0))</f>
        <v/>
      </c>
      <c r="BF1058" s="744" t="str">
        <f>IF(D1058="","",VLOOKUP(D1058,'General Basis'!$J$39:$L$46,3,0))</f>
        <v/>
      </c>
      <c r="BG1058" s="744" t="str">
        <f t="shared" si="385"/>
        <v/>
      </c>
      <c r="BH1058" s="744" t="str">
        <f>IF(G1058="","",IF(BF1058="Abu Dhabi",IF(G1058&lt;18,'General Basis'!$C$39,IF(G1058&lt;41,'General Basis'!$C$40,IF(G1058&lt;60,'General Basis'!$C$41,IF(G1058&lt;65,'General Basis'!$C$42,'General Basis'!$C$43)))),IF(G1058&lt;11,'General Basis'!$B$39,IF(G1058&lt;18,'General Basis'!$B$40,IF(G1058&lt;26,'General Basis'!$B$41,IF(G1058&lt;31,'General Basis'!$B$42,IF(G1058&lt;36,'General Basis'!$B$43,IF(G1058&lt;41,'General Basis'!$B$44,IF(G1058&lt;46,'General Basis'!$B$45,IF(G1058&lt;51,'General Basis'!$B$46,IF(G1058&lt;56,'General Basis'!$B$47,IF(G1058&lt;60,'General Basis'!$B$48,IF(G1058&lt;65,'General Basis'!$B$49,'General Basis'!$B$50)))))))))))))</f>
        <v/>
      </c>
      <c r="BI1058" s="744" t="str">
        <f t="shared" si="379"/>
        <v/>
      </c>
      <c r="BJ1058" s="747" t="str">
        <f t="shared" si="386"/>
        <v/>
      </c>
      <c r="BK1058" s="498" t="str">
        <f t="shared" si="380"/>
        <v/>
      </c>
      <c r="BL1058" s="498" t="str">
        <f t="shared" si="381"/>
        <v/>
      </c>
    </row>
    <row r="1059" spans="1:64" x14ac:dyDescent="0.25">
      <c r="A1059" s="762">
        <f t="shared" si="382"/>
        <v>1054</v>
      </c>
      <c r="B1059" s="229"/>
      <c r="C1059" s="223"/>
      <c r="D1059" s="224"/>
      <c r="E1059" s="225"/>
      <c r="F1059" s="1036" t="str">
        <f t="shared" si="388"/>
        <v/>
      </c>
      <c r="G1059" s="1037" t="str">
        <f t="shared" si="383"/>
        <v/>
      </c>
      <c r="H1059" s="225"/>
      <c r="I1059" s="1013"/>
      <c r="J1059" s="1013"/>
      <c r="K1059" s="1028"/>
      <c r="L1059" s="1035" t="str">
        <f t="shared" si="387"/>
        <v/>
      </c>
      <c r="S1059" s="498"/>
      <c r="AJ1059" s="498"/>
      <c r="AM1059" s="498">
        <f t="shared" si="368"/>
        <v>0</v>
      </c>
      <c r="AN1059" s="498">
        <f t="shared" si="369"/>
        <v>0</v>
      </c>
      <c r="AO1059" s="498">
        <f t="shared" si="370"/>
        <v>0</v>
      </c>
      <c r="AP1059" s="498">
        <f t="shared" si="389"/>
        <v>0</v>
      </c>
      <c r="AQ1059" s="498">
        <f t="shared" si="384"/>
        <v>0</v>
      </c>
      <c r="AU1059" s="498">
        <f t="shared" si="371"/>
        <v>0</v>
      </c>
      <c r="AV1059" s="498">
        <f t="shared" si="372"/>
        <v>0</v>
      </c>
      <c r="AW1059" s="498">
        <f t="shared" si="373"/>
        <v>0</v>
      </c>
      <c r="AX1059" s="498">
        <f t="shared" si="374"/>
        <v>0</v>
      </c>
      <c r="AY1059" s="498">
        <f t="shared" si="375"/>
        <v>0</v>
      </c>
      <c r="BB1059" s="498" t="str">
        <f t="shared" si="376"/>
        <v/>
      </c>
      <c r="BC1059" s="743" t="str">
        <f t="shared" si="377"/>
        <v/>
      </c>
      <c r="BD1059" s="743" t="str">
        <f t="shared" si="378"/>
        <v/>
      </c>
      <c r="BE1059" s="743" t="str">
        <f>IF(D1059="","",VLOOKUP(D1059,'General Basis'!$J$39:$K$46,2,0))</f>
        <v/>
      </c>
      <c r="BF1059" s="744" t="str">
        <f>IF(D1059="","",VLOOKUP(D1059,'General Basis'!$J$39:$L$46,3,0))</f>
        <v/>
      </c>
      <c r="BG1059" s="744" t="str">
        <f t="shared" si="385"/>
        <v/>
      </c>
      <c r="BH1059" s="744" t="str">
        <f>IF(G1059="","",IF(BF1059="Abu Dhabi",IF(G1059&lt;18,'General Basis'!$C$39,IF(G1059&lt;41,'General Basis'!$C$40,IF(G1059&lt;60,'General Basis'!$C$41,IF(G1059&lt;65,'General Basis'!$C$42,'General Basis'!$C$43)))),IF(G1059&lt;11,'General Basis'!$B$39,IF(G1059&lt;18,'General Basis'!$B$40,IF(G1059&lt;26,'General Basis'!$B$41,IF(G1059&lt;31,'General Basis'!$B$42,IF(G1059&lt;36,'General Basis'!$B$43,IF(G1059&lt;41,'General Basis'!$B$44,IF(G1059&lt;46,'General Basis'!$B$45,IF(G1059&lt;51,'General Basis'!$B$46,IF(G1059&lt;56,'General Basis'!$B$47,IF(G1059&lt;60,'General Basis'!$B$48,IF(G1059&lt;65,'General Basis'!$B$49,'General Basis'!$B$50)))))))))))))</f>
        <v/>
      </c>
      <c r="BI1059" s="744" t="str">
        <f t="shared" si="379"/>
        <v/>
      </c>
      <c r="BJ1059" s="747" t="str">
        <f t="shared" si="386"/>
        <v/>
      </c>
      <c r="BK1059" s="498" t="str">
        <f t="shared" si="380"/>
        <v/>
      </c>
      <c r="BL1059" s="498" t="str">
        <f t="shared" si="381"/>
        <v/>
      </c>
    </row>
    <row r="1060" spans="1:64" x14ac:dyDescent="0.25">
      <c r="A1060" s="762">
        <f t="shared" si="382"/>
        <v>1055</v>
      </c>
      <c r="B1060" s="229"/>
      <c r="C1060" s="223"/>
      <c r="D1060" s="224"/>
      <c r="E1060" s="225"/>
      <c r="F1060" s="1036" t="str">
        <f t="shared" si="388"/>
        <v/>
      </c>
      <c r="G1060" s="1037" t="str">
        <f t="shared" si="383"/>
        <v/>
      </c>
      <c r="H1060" s="225"/>
      <c r="I1060" s="1013"/>
      <c r="J1060" s="1013"/>
      <c r="K1060" s="1028"/>
      <c r="L1060" s="1035" t="str">
        <f t="shared" si="387"/>
        <v/>
      </c>
      <c r="S1060" s="498"/>
      <c r="AJ1060" s="498"/>
      <c r="AM1060" s="498">
        <f t="shared" si="368"/>
        <v>0</v>
      </c>
      <c r="AN1060" s="498">
        <f t="shared" si="369"/>
        <v>0</v>
      </c>
      <c r="AO1060" s="498">
        <f t="shared" si="370"/>
        <v>0</v>
      </c>
      <c r="AP1060" s="498">
        <f t="shared" si="389"/>
        <v>0</v>
      </c>
      <c r="AQ1060" s="498">
        <f t="shared" si="384"/>
        <v>0</v>
      </c>
      <c r="AU1060" s="498">
        <f t="shared" si="371"/>
        <v>0</v>
      </c>
      <c r="AV1060" s="498">
        <f t="shared" si="372"/>
        <v>0</v>
      </c>
      <c r="AW1060" s="498">
        <f t="shared" si="373"/>
        <v>0</v>
      </c>
      <c r="AX1060" s="498">
        <f t="shared" si="374"/>
        <v>0</v>
      </c>
      <c r="AY1060" s="498">
        <f t="shared" si="375"/>
        <v>0</v>
      </c>
      <c r="BB1060" s="498" t="str">
        <f t="shared" si="376"/>
        <v/>
      </c>
      <c r="BC1060" s="743" t="str">
        <f t="shared" si="377"/>
        <v/>
      </c>
      <c r="BD1060" s="743" t="str">
        <f t="shared" si="378"/>
        <v/>
      </c>
      <c r="BE1060" s="743" t="str">
        <f>IF(D1060="","",VLOOKUP(D1060,'General Basis'!$J$39:$K$46,2,0))</f>
        <v/>
      </c>
      <c r="BF1060" s="744" t="str">
        <f>IF(D1060="","",VLOOKUP(D1060,'General Basis'!$J$39:$L$46,3,0))</f>
        <v/>
      </c>
      <c r="BG1060" s="744" t="str">
        <f t="shared" si="385"/>
        <v/>
      </c>
      <c r="BH1060" s="744" t="str">
        <f>IF(G1060="","",IF(BF1060="Abu Dhabi",IF(G1060&lt;18,'General Basis'!$C$39,IF(G1060&lt;41,'General Basis'!$C$40,IF(G1060&lt;60,'General Basis'!$C$41,IF(G1060&lt;65,'General Basis'!$C$42,'General Basis'!$C$43)))),IF(G1060&lt;11,'General Basis'!$B$39,IF(G1060&lt;18,'General Basis'!$B$40,IF(G1060&lt;26,'General Basis'!$B$41,IF(G1060&lt;31,'General Basis'!$B$42,IF(G1060&lt;36,'General Basis'!$B$43,IF(G1060&lt;41,'General Basis'!$B$44,IF(G1060&lt;46,'General Basis'!$B$45,IF(G1060&lt;51,'General Basis'!$B$46,IF(G1060&lt;56,'General Basis'!$B$47,IF(G1060&lt;60,'General Basis'!$B$48,IF(G1060&lt;65,'General Basis'!$B$49,'General Basis'!$B$50)))))))))))))</f>
        <v/>
      </c>
      <c r="BI1060" s="744" t="str">
        <f t="shared" si="379"/>
        <v/>
      </c>
      <c r="BJ1060" s="747" t="str">
        <f t="shared" si="386"/>
        <v/>
      </c>
      <c r="BK1060" s="498" t="str">
        <f t="shared" si="380"/>
        <v/>
      </c>
      <c r="BL1060" s="498" t="str">
        <f t="shared" si="381"/>
        <v/>
      </c>
    </row>
    <row r="1061" spans="1:64" x14ac:dyDescent="0.25">
      <c r="A1061" s="762">
        <f t="shared" si="382"/>
        <v>1056</v>
      </c>
      <c r="B1061" s="229"/>
      <c r="C1061" s="223"/>
      <c r="D1061" s="224"/>
      <c r="E1061" s="225"/>
      <c r="F1061" s="1036" t="str">
        <f t="shared" si="388"/>
        <v/>
      </c>
      <c r="G1061" s="1037" t="str">
        <f t="shared" si="383"/>
        <v/>
      </c>
      <c r="H1061" s="225"/>
      <c r="I1061" s="1013"/>
      <c r="J1061" s="1013"/>
      <c r="K1061" s="1028"/>
      <c r="L1061" s="1035" t="str">
        <f t="shared" si="387"/>
        <v/>
      </c>
      <c r="S1061" s="498"/>
      <c r="AJ1061" s="498"/>
      <c r="AM1061" s="498">
        <f t="shared" si="368"/>
        <v>0</v>
      </c>
      <c r="AN1061" s="498">
        <f t="shared" si="369"/>
        <v>0</v>
      </c>
      <c r="AO1061" s="498">
        <f t="shared" si="370"/>
        <v>0</v>
      </c>
      <c r="AP1061" s="498">
        <f t="shared" si="389"/>
        <v>0</v>
      </c>
      <c r="AQ1061" s="498">
        <f t="shared" si="384"/>
        <v>0</v>
      </c>
      <c r="AU1061" s="498">
        <f t="shared" si="371"/>
        <v>0</v>
      </c>
      <c r="AV1061" s="498">
        <f t="shared" si="372"/>
        <v>0</v>
      </c>
      <c r="AW1061" s="498">
        <f t="shared" si="373"/>
        <v>0</v>
      </c>
      <c r="AX1061" s="498">
        <f t="shared" si="374"/>
        <v>0</v>
      </c>
      <c r="AY1061" s="498">
        <f t="shared" si="375"/>
        <v>0</v>
      </c>
      <c r="BB1061" s="498" t="str">
        <f t="shared" si="376"/>
        <v/>
      </c>
      <c r="BC1061" s="743" t="str">
        <f t="shared" si="377"/>
        <v/>
      </c>
      <c r="BD1061" s="743" t="str">
        <f t="shared" si="378"/>
        <v/>
      </c>
      <c r="BE1061" s="743" t="str">
        <f>IF(D1061="","",VLOOKUP(D1061,'General Basis'!$J$39:$K$46,2,0))</f>
        <v/>
      </c>
      <c r="BF1061" s="744" t="str">
        <f>IF(D1061="","",VLOOKUP(D1061,'General Basis'!$J$39:$L$46,3,0))</f>
        <v/>
      </c>
      <c r="BG1061" s="744" t="str">
        <f t="shared" si="385"/>
        <v/>
      </c>
      <c r="BH1061" s="744" t="str">
        <f>IF(G1061="","",IF(BF1061="Abu Dhabi",IF(G1061&lt;18,'General Basis'!$C$39,IF(G1061&lt;41,'General Basis'!$C$40,IF(G1061&lt;60,'General Basis'!$C$41,IF(G1061&lt;65,'General Basis'!$C$42,'General Basis'!$C$43)))),IF(G1061&lt;11,'General Basis'!$B$39,IF(G1061&lt;18,'General Basis'!$B$40,IF(G1061&lt;26,'General Basis'!$B$41,IF(G1061&lt;31,'General Basis'!$B$42,IF(G1061&lt;36,'General Basis'!$B$43,IF(G1061&lt;41,'General Basis'!$B$44,IF(G1061&lt;46,'General Basis'!$B$45,IF(G1061&lt;51,'General Basis'!$B$46,IF(G1061&lt;56,'General Basis'!$B$47,IF(G1061&lt;60,'General Basis'!$B$48,IF(G1061&lt;65,'General Basis'!$B$49,'General Basis'!$B$50)))))))))))))</f>
        <v/>
      </c>
      <c r="BI1061" s="744" t="str">
        <f t="shared" si="379"/>
        <v/>
      </c>
      <c r="BJ1061" s="747" t="str">
        <f t="shared" si="386"/>
        <v/>
      </c>
      <c r="BK1061" s="498" t="str">
        <f t="shared" si="380"/>
        <v/>
      </c>
      <c r="BL1061" s="498" t="str">
        <f t="shared" si="381"/>
        <v/>
      </c>
    </row>
    <row r="1062" spans="1:64" x14ac:dyDescent="0.25">
      <c r="A1062" s="762">
        <f t="shared" si="382"/>
        <v>1057</v>
      </c>
      <c r="B1062" s="229"/>
      <c r="C1062" s="223"/>
      <c r="D1062" s="224"/>
      <c r="E1062" s="225"/>
      <c r="F1062" s="1036" t="str">
        <f t="shared" si="388"/>
        <v/>
      </c>
      <c r="G1062" s="1037" t="str">
        <f t="shared" si="383"/>
        <v/>
      </c>
      <c r="H1062" s="225"/>
      <c r="I1062" s="1013"/>
      <c r="J1062" s="1013"/>
      <c r="K1062" s="1028"/>
      <c r="L1062" s="1035" t="str">
        <f t="shared" si="387"/>
        <v/>
      </c>
      <c r="S1062" s="498"/>
      <c r="AJ1062" s="498"/>
      <c r="AM1062" s="498">
        <f t="shared" si="368"/>
        <v>0</v>
      </c>
      <c r="AN1062" s="498">
        <f t="shared" si="369"/>
        <v>0</v>
      </c>
      <c r="AO1062" s="498">
        <f t="shared" si="370"/>
        <v>0</v>
      </c>
      <c r="AP1062" s="498">
        <f t="shared" si="389"/>
        <v>0</v>
      </c>
      <c r="AQ1062" s="498">
        <f t="shared" si="384"/>
        <v>0</v>
      </c>
      <c r="AU1062" s="498">
        <f t="shared" si="371"/>
        <v>0</v>
      </c>
      <c r="AV1062" s="498">
        <f t="shared" si="372"/>
        <v>0</v>
      </c>
      <c r="AW1062" s="498">
        <f t="shared" si="373"/>
        <v>0</v>
      </c>
      <c r="AX1062" s="498">
        <f t="shared" si="374"/>
        <v>0</v>
      </c>
      <c r="AY1062" s="498">
        <f t="shared" si="375"/>
        <v>0</v>
      </c>
      <c r="BB1062" s="498" t="str">
        <f t="shared" si="376"/>
        <v/>
      </c>
      <c r="BC1062" s="743" t="str">
        <f t="shared" si="377"/>
        <v/>
      </c>
      <c r="BD1062" s="743" t="str">
        <f t="shared" si="378"/>
        <v/>
      </c>
      <c r="BE1062" s="743" t="str">
        <f>IF(D1062="","",VLOOKUP(D1062,'General Basis'!$J$39:$K$46,2,0))</f>
        <v/>
      </c>
      <c r="BF1062" s="744" t="str">
        <f>IF(D1062="","",VLOOKUP(D1062,'General Basis'!$J$39:$L$46,3,0))</f>
        <v/>
      </c>
      <c r="BG1062" s="744" t="str">
        <f t="shared" si="385"/>
        <v/>
      </c>
      <c r="BH1062" s="744" t="str">
        <f>IF(G1062="","",IF(BF1062="Abu Dhabi",IF(G1062&lt;18,'General Basis'!$C$39,IF(G1062&lt;41,'General Basis'!$C$40,IF(G1062&lt;60,'General Basis'!$C$41,IF(G1062&lt;65,'General Basis'!$C$42,'General Basis'!$C$43)))),IF(G1062&lt;11,'General Basis'!$B$39,IF(G1062&lt;18,'General Basis'!$B$40,IF(G1062&lt;26,'General Basis'!$B$41,IF(G1062&lt;31,'General Basis'!$B$42,IF(G1062&lt;36,'General Basis'!$B$43,IF(G1062&lt;41,'General Basis'!$B$44,IF(G1062&lt;46,'General Basis'!$B$45,IF(G1062&lt;51,'General Basis'!$B$46,IF(G1062&lt;56,'General Basis'!$B$47,IF(G1062&lt;60,'General Basis'!$B$48,IF(G1062&lt;65,'General Basis'!$B$49,'General Basis'!$B$50)))))))))))))</f>
        <v/>
      </c>
      <c r="BI1062" s="744" t="str">
        <f t="shared" si="379"/>
        <v/>
      </c>
      <c r="BJ1062" s="747" t="str">
        <f t="shared" si="386"/>
        <v/>
      </c>
      <c r="BK1062" s="498" t="str">
        <f t="shared" si="380"/>
        <v/>
      </c>
      <c r="BL1062" s="498" t="str">
        <f t="shared" si="381"/>
        <v/>
      </c>
    </row>
    <row r="1063" spans="1:64" x14ac:dyDescent="0.25">
      <c r="A1063" s="762">
        <f t="shared" si="382"/>
        <v>1058</v>
      </c>
      <c r="B1063" s="229"/>
      <c r="C1063" s="223"/>
      <c r="D1063" s="224"/>
      <c r="E1063" s="225"/>
      <c r="F1063" s="1036" t="str">
        <f t="shared" si="388"/>
        <v/>
      </c>
      <c r="G1063" s="1037" t="str">
        <f t="shared" si="383"/>
        <v/>
      </c>
      <c r="H1063" s="225"/>
      <c r="I1063" s="1013"/>
      <c r="J1063" s="1013"/>
      <c r="K1063" s="1028"/>
      <c r="L1063" s="1035" t="str">
        <f t="shared" si="387"/>
        <v/>
      </c>
      <c r="S1063" s="498"/>
      <c r="AJ1063" s="498"/>
      <c r="AM1063" s="498">
        <f t="shared" si="368"/>
        <v>0</v>
      </c>
      <c r="AN1063" s="498">
        <f t="shared" si="369"/>
        <v>0</v>
      </c>
      <c r="AO1063" s="498">
        <f t="shared" si="370"/>
        <v>0</v>
      </c>
      <c r="AP1063" s="498">
        <f t="shared" si="389"/>
        <v>0</v>
      </c>
      <c r="AQ1063" s="498">
        <f t="shared" si="384"/>
        <v>0</v>
      </c>
      <c r="AU1063" s="498">
        <f t="shared" si="371"/>
        <v>0</v>
      </c>
      <c r="AV1063" s="498">
        <f t="shared" si="372"/>
        <v>0</v>
      </c>
      <c r="AW1063" s="498">
        <f t="shared" si="373"/>
        <v>0</v>
      </c>
      <c r="AX1063" s="498">
        <f t="shared" si="374"/>
        <v>0</v>
      </c>
      <c r="AY1063" s="498">
        <f t="shared" si="375"/>
        <v>0</v>
      </c>
      <c r="BB1063" s="498" t="str">
        <f t="shared" si="376"/>
        <v/>
      </c>
      <c r="BC1063" s="743" t="str">
        <f t="shared" si="377"/>
        <v/>
      </c>
      <c r="BD1063" s="743" t="str">
        <f t="shared" si="378"/>
        <v/>
      </c>
      <c r="BE1063" s="743" t="str">
        <f>IF(D1063="","",VLOOKUP(D1063,'General Basis'!$J$39:$K$46,2,0))</f>
        <v/>
      </c>
      <c r="BF1063" s="744" t="str">
        <f>IF(D1063="","",VLOOKUP(D1063,'General Basis'!$J$39:$L$46,3,0))</f>
        <v/>
      </c>
      <c r="BG1063" s="744" t="str">
        <f t="shared" si="385"/>
        <v/>
      </c>
      <c r="BH1063" s="744" t="str">
        <f>IF(G1063="","",IF(BF1063="Abu Dhabi",IF(G1063&lt;18,'General Basis'!$C$39,IF(G1063&lt;41,'General Basis'!$C$40,IF(G1063&lt;60,'General Basis'!$C$41,IF(G1063&lt;65,'General Basis'!$C$42,'General Basis'!$C$43)))),IF(G1063&lt;11,'General Basis'!$B$39,IF(G1063&lt;18,'General Basis'!$B$40,IF(G1063&lt;26,'General Basis'!$B$41,IF(G1063&lt;31,'General Basis'!$B$42,IF(G1063&lt;36,'General Basis'!$B$43,IF(G1063&lt;41,'General Basis'!$B$44,IF(G1063&lt;46,'General Basis'!$B$45,IF(G1063&lt;51,'General Basis'!$B$46,IF(G1063&lt;56,'General Basis'!$B$47,IF(G1063&lt;60,'General Basis'!$B$48,IF(G1063&lt;65,'General Basis'!$B$49,'General Basis'!$B$50)))))))))))))</f>
        <v/>
      </c>
      <c r="BI1063" s="744" t="str">
        <f t="shared" si="379"/>
        <v/>
      </c>
      <c r="BJ1063" s="747" t="str">
        <f t="shared" si="386"/>
        <v/>
      </c>
      <c r="BK1063" s="498" t="str">
        <f t="shared" si="380"/>
        <v/>
      </c>
      <c r="BL1063" s="498" t="str">
        <f t="shared" si="381"/>
        <v/>
      </c>
    </row>
    <row r="1064" spans="1:64" x14ac:dyDescent="0.25">
      <c r="A1064" s="762">
        <f t="shared" si="382"/>
        <v>1059</v>
      </c>
      <c r="B1064" s="229"/>
      <c r="C1064" s="223"/>
      <c r="D1064" s="224"/>
      <c r="E1064" s="225"/>
      <c r="F1064" s="1036" t="str">
        <f t="shared" si="388"/>
        <v/>
      </c>
      <c r="G1064" s="1037" t="str">
        <f t="shared" si="383"/>
        <v/>
      </c>
      <c r="H1064" s="225"/>
      <c r="I1064" s="1013"/>
      <c r="J1064" s="1013"/>
      <c r="K1064" s="1028"/>
      <c r="L1064" s="1035" t="str">
        <f t="shared" si="387"/>
        <v/>
      </c>
      <c r="S1064" s="498"/>
      <c r="AJ1064" s="498"/>
      <c r="AM1064" s="498">
        <f t="shared" si="368"/>
        <v>0</v>
      </c>
      <c r="AN1064" s="498">
        <f t="shared" si="369"/>
        <v>0</v>
      </c>
      <c r="AO1064" s="498">
        <f t="shared" si="370"/>
        <v>0</v>
      </c>
      <c r="AP1064" s="498">
        <f t="shared" si="389"/>
        <v>0</v>
      </c>
      <c r="AQ1064" s="498">
        <f t="shared" si="384"/>
        <v>0</v>
      </c>
      <c r="AU1064" s="498">
        <f t="shared" si="371"/>
        <v>0</v>
      </c>
      <c r="AV1064" s="498">
        <f t="shared" si="372"/>
        <v>0</v>
      </c>
      <c r="AW1064" s="498">
        <f t="shared" si="373"/>
        <v>0</v>
      </c>
      <c r="AX1064" s="498">
        <f t="shared" si="374"/>
        <v>0</v>
      </c>
      <c r="AY1064" s="498">
        <f t="shared" si="375"/>
        <v>0</v>
      </c>
      <c r="BB1064" s="498" t="str">
        <f t="shared" si="376"/>
        <v/>
      </c>
      <c r="BC1064" s="743" t="str">
        <f t="shared" si="377"/>
        <v/>
      </c>
      <c r="BD1064" s="743" t="str">
        <f t="shared" si="378"/>
        <v/>
      </c>
      <c r="BE1064" s="743" t="str">
        <f>IF(D1064="","",VLOOKUP(D1064,'General Basis'!$J$39:$K$46,2,0))</f>
        <v/>
      </c>
      <c r="BF1064" s="744" t="str">
        <f>IF(D1064="","",VLOOKUP(D1064,'General Basis'!$J$39:$L$46,3,0))</f>
        <v/>
      </c>
      <c r="BG1064" s="744" t="str">
        <f t="shared" si="385"/>
        <v/>
      </c>
      <c r="BH1064" s="744" t="str">
        <f>IF(G1064="","",IF(BF1064="Abu Dhabi",IF(G1064&lt;18,'General Basis'!$C$39,IF(G1064&lt;41,'General Basis'!$C$40,IF(G1064&lt;60,'General Basis'!$C$41,IF(G1064&lt;65,'General Basis'!$C$42,'General Basis'!$C$43)))),IF(G1064&lt;11,'General Basis'!$B$39,IF(G1064&lt;18,'General Basis'!$B$40,IF(G1064&lt;26,'General Basis'!$B$41,IF(G1064&lt;31,'General Basis'!$B$42,IF(G1064&lt;36,'General Basis'!$B$43,IF(G1064&lt;41,'General Basis'!$B$44,IF(G1064&lt;46,'General Basis'!$B$45,IF(G1064&lt;51,'General Basis'!$B$46,IF(G1064&lt;56,'General Basis'!$B$47,IF(G1064&lt;60,'General Basis'!$B$48,IF(G1064&lt;65,'General Basis'!$B$49,'General Basis'!$B$50)))))))))))))</f>
        <v/>
      </c>
      <c r="BI1064" s="744" t="str">
        <f t="shared" si="379"/>
        <v/>
      </c>
      <c r="BJ1064" s="747" t="str">
        <f t="shared" si="386"/>
        <v/>
      </c>
      <c r="BK1064" s="498" t="str">
        <f t="shared" si="380"/>
        <v/>
      </c>
      <c r="BL1064" s="498" t="str">
        <f t="shared" si="381"/>
        <v/>
      </c>
    </row>
    <row r="1065" spans="1:64" x14ac:dyDescent="0.25">
      <c r="A1065" s="762">
        <f t="shared" si="382"/>
        <v>1060</v>
      </c>
      <c r="B1065" s="229"/>
      <c r="C1065" s="223"/>
      <c r="D1065" s="224"/>
      <c r="E1065" s="225"/>
      <c r="F1065" s="1036" t="str">
        <f t="shared" si="388"/>
        <v/>
      </c>
      <c r="G1065" s="1037" t="str">
        <f t="shared" si="383"/>
        <v/>
      </c>
      <c r="H1065" s="225"/>
      <c r="I1065" s="1013"/>
      <c r="J1065" s="1013"/>
      <c r="K1065" s="1028"/>
      <c r="L1065" s="1035" t="str">
        <f t="shared" si="387"/>
        <v/>
      </c>
      <c r="S1065" s="498"/>
      <c r="AJ1065" s="498"/>
      <c r="AM1065" s="498">
        <f t="shared" si="368"/>
        <v>0</v>
      </c>
      <c r="AN1065" s="498">
        <f t="shared" si="369"/>
        <v>0</v>
      </c>
      <c r="AO1065" s="498">
        <f t="shared" si="370"/>
        <v>0</v>
      </c>
      <c r="AP1065" s="498">
        <f t="shared" si="389"/>
        <v>0</v>
      </c>
      <c r="AQ1065" s="498">
        <f t="shared" si="384"/>
        <v>0</v>
      </c>
      <c r="AU1065" s="498">
        <f t="shared" si="371"/>
        <v>0</v>
      </c>
      <c r="AV1065" s="498">
        <f t="shared" si="372"/>
        <v>0</v>
      </c>
      <c r="AW1065" s="498">
        <f t="shared" si="373"/>
        <v>0</v>
      </c>
      <c r="AX1065" s="498">
        <f t="shared" si="374"/>
        <v>0</v>
      </c>
      <c r="AY1065" s="498">
        <f t="shared" si="375"/>
        <v>0</v>
      </c>
      <c r="BB1065" s="498" t="str">
        <f t="shared" si="376"/>
        <v/>
      </c>
      <c r="BC1065" s="743" t="str">
        <f t="shared" si="377"/>
        <v/>
      </c>
      <c r="BD1065" s="743" t="str">
        <f t="shared" si="378"/>
        <v/>
      </c>
      <c r="BE1065" s="743" t="str">
        <f>IF(D1065="","",VLOOKUP(D1065,'General Basis'!$J$39:$K$46,2,0))</f>
        <v/>
      </c>
      <c r="BF1065" s="744" t="str">
        <f>IF(D1065="","",VLOOKUP(D1065,'General Basis'!$J$39:$L$46,3,0))</f>
        <v/>
      </c>
      <c r="BG1065" s="744" t="str">
        <f t="shared" si="385"/>
        <v/>
      </c>
      <c r="BH1065" s="744" t="str">
        <f>IF(G1065="","",IF(BF1065="Abu Dhabi",IF(G1065&lt;18,'General Basis'!$C$39,IF(G1065&lt;41,'General Basis'!$C$40,IF(G1065&lt;60,'General Basis'!$C$41,IF(G1065&lt;65,'General Basis'!$C$42,'General Basis'!$C$43)))),IF(G1065&lt;11,'General Basis'!$B$39,IF(G1065&lt;18,'General Basis'!$B$40,IF(G1065&lt;26,'General Basis'!$B$41,IF(G1065&lt;31,'General Basis'!$B$42,IF(G1065&lt;36,'General Basis'!$B$43,IF(G1065&lt;41,'General Basis'!$B$44,IF(G1065&lt;46,'General Basis'!$B$45,IF(G1065&lt;51,'General Basis'!$B$46,IF(G1065&lt;56,'General Basis'!$B$47,IF(G1065&lt;60,'General Basis'!$B$48,IF(G1065&lt;65,'General Basis'!$B$49,'General Basis'!$B$50)))))))))))))</f>
        <v/>
      </c>
      <c r="BI1065" s="744" t="str">
        <f t="shared" si="379"/>
        <v/>
      </c>
      <c r="BJ1065" s="747" t="str">
        <f t="shared" si="386"/>
        <v/>
      </c>
      <c r="BK1065" s="498" t="str">
        <f t="shared" si="380"/>
        <v/>
      </c>
      <c r="BL1065" s="498" t="str">
        <f t="shared" si="381"/>
        <v/>
      </c>
    </row>
    <row r="1066" spans="1:64" x14ac:dyDescent="0.25">
      <c r="A1066" s="762">
        <f t="shared" si="382"/>
        <v>1061</v>
      </c>
      <c r="B1066" s="229"/>
      <c r="C1066" s="223"/>
      <c r="D1066" s="224"/>
      <c r="E1066" s="225"/>
      <c r="F1066" s="1036" t="str">
        <f t="shared" si="388"/>
        <v/>
      </c>
      <c r="G1066" s="1037" t="str">
        <f t="shared" si="383"/>
        <v/>
      </c>
      <c r="H1066" s="225"/>
      <c r="I1066" s="1013"/>
      <c r="J1066" s="1013"/>
      <c r="K1066" s="1028"/>
      <c r="L1066" s="1035" t="str">
        <f t="shared" si="387"/>
        <v/>
      </c>
      <c r="S1066" s="498"/>
      <c r="AJ1066" s="498"/>
      <c r="AM1066" s="498">
        <f t="shared" si="368"/>
        <v>0</v>
      </c>
      <c r="AN1066" s="498">
        <f t="shared" si="369"/>
        <v>0</v>
      </c>
      <c r="AO1066" s="498">
        <f t="shared" si="370"/>
        <v>0</v>
      </c>
      <c r="AP1066" s="498">
        <f t="shared" si="389"/>
        <v>0</v>
      </c>
      <c r="AQ1066" s="498">
        <f t="shared" si="384"/>
        <v>0</v>
      </c>
      <c r="AU1066" s="498">
        <f t="shared" si="371"/>
        <v>0</v>
      </c>
      <c r="AV1066" s="498">
        <f t="shared" si="372"/>
        <v>0</v>
      </c>
      <c r="AW1066" s="498">
        <f t="shared" si="373"/>
        <v>0</v>
      </c>
      <c r="AX1066" s="498">
        <f t="shared" si="374"/>
        <v>0</v>
      </c>
      <c r="AY1066" s="498">
        <f t="shared" si="375"/>
        <v>0</v>
      </c>
      <c r="BB1066" s="498" t="str">
        <f t="shared" si="376"/>
        <v/>
      </c>
      <c r="BC1066" s="743" t="str">
        <f t="shared" si="377"/>
        <v/>
      </c>
      <c r="BD1066" s="743" t="str">
        <f t="shared" si="378"/>
        <v/>
      </c>
      <c r="BE1066" s="743" t="str">
        <f>IF(D1066="","",VLOOKUP(D1066,'General Basis'!$J$39:$K$46,2,0))</f>
        <v/>
      </c>
      <c r="BF1066" s="744" t="str">
        <f>IF(D1066="","",VLOOKUP(D1066,'General Basis'!$J$39:$L$46,3,0))</f>
        <v/>
      </c>
      <c r="BG1066" s="744" t="str">
        <f t="shared" si="385"/>
        <v/>
      </c>
      <c r="BH1066" s="744" t="str">
        <f>IF(G1066="","",IF(BF1066="Abu Dhabi",IF(G1066&lt;18,'General Basis'!$C$39,IF(G1066&lt;41,'General Basis'!$C$40,IF(G1066&lt;60,'General Basis'!$C$41,IF(G1066&lt;65,'General Basis'!$C$42,'General Basis'!$C$43)))),IF(G1066&lt;11,'General Basis'!$B$39,IF(G1066&lt;18,'General Basis'!$B$40,IF(G1066&lt;26,'General Basis'!$B$41,IF(G1066&lt;31,'General Basis'!$B$42,IF(G1066&lt;36,'General Basis'!$B$43,IF(G1066&lt;41,'General Basis'!$B$44,IF(G1066&lt;46,'General Basis'!$B$45,IF(G1066&lt;51,'General Basis'!$B$46,IF(G1066&lt;56,'General Basis'!$B$47,IF(G1066&lt;60,'General Basis'!$B$48,IF(G1066&lt;65,'General Basis'!$B$49,'General Basis'!$B$50)))))))))))))</f>
        <v/>
      </c>
      <c r="BI1066" s="744" t="str">
        <f t="shared" si="379"/>
        <v/>
      </c>
      <c r="BJ1066" s="747" t="str">
        <f t="shared" si="386"/>
        <v/>
      </c>
      <c r="BK1066" s="498" t="str">
        <f t="shared" si="380"/>
        <v/>
      </c>
      <c r="BL1066" s="498" t="str">
        <f t="shared" si="381"/>
        <v/>
      </c>
    </row>
    <row r="1067" spans="1:64" x14ac:dyDescent="0.25">
      <c r="A1067" s="762">
        <f t="shared" si="382"/>
        <v>1062</v>
      </c>
      <c r="B1067" s="229"/>
      <c r="C1067" s="223"/>
      <c r="D1067" s="224"/>
      <c r="E1067" s="225"/>
      <c r="F1067" s="1036" t="str">
        <f t="shared" si="388"/>
        <v/>
      </c>
      <c r="G1067" s="1037" t="str">
        <f t="shared" si="383"/>
        <v/>
      </c>
      <c r="H1067" s="225"/>
      <c r="I1067" s="1013"/>
      <c r="J1067" s="1013"/>
      <c r="K1067" s="1028"/>
      <c r="L1067" s="1035" t="str">
        <f t="shared" si="387"/>
        <v/>
      </c>
      <c r="S1067" s="498"/>
      <c r="AJ1067" s="498"/>
      <c r="AM1067" s="498">
        <f t="shared" si="368"/>
        <v>0</v>
      </c>
      <c r="AN1067" s="498">
        <f t="shared" si="369"/>
        <v>0</v>
      </c>
      <c r="AO1067" s="498">
        <f t="shared" si="370"/>
        <v>0</v>
      </c>
      <c r="AP1067" s="498">
        <f t="shared" si="389"/>
        <v>0</v>
      </c>
      <c r="AQ1067" s="498">
        <f t="shared" si="384"/>
        <v>0</v>
      </c>
      <c r="AU1067" s="498">
        <f t="shared" si="371"/>
        <v>0</v>
      </c>
      <c r="AV1067" s="498">
        <f t="shared" si="372"/>
        <v>0</v>
      </c>
      <c r="AW1067" s="498">
        <f t="shared" si="373"/>
        <v>0</v>
      </c>
      <c r="AX1067" s="498">
        <f t="shared" si="374"/>
        <v>0</v>
      </c>
      <c r="AY1067" s="498">
        <f t="shared" si="375"/>
        <v>0</v>
      </c>
      <c r="BB1067" s="498" t="str">
        <f t="shared" si="376"/>
        <v/>
      </c>
      <c r="BC1067" s="743" t="str">
        <f t="shared" si="377"/>
        <v/>
      </c>
      <c r="BD1067" s="743" t="str">
        <f t="shared" si="378"/>
        <v/>
      </c>
      <c r="BE1067" s="743" t="str">
        <f>IF(D1067="","",VLOOKUP(D1067,'General Basis'!$J$39:$K$46,2,0))</f>
        <v/>
      </c>
      <c r="BF1067" s="744" t="str">
        <f>IF(D1067="","",VLOOKUP(D1067,'General Basis'!$J$39:$L$46,3,0))</f>
        <v/>
      </c>
      <c r="BG1067" s="744" t="str">
        <f t="shared" si="385"/>
        <v/>
      </c>
      <c r="BH1067" s="744" t="str">
        <f>IF(G1067="","",IF(BF1067="Abu Dhabi",IF(G1067&lt;18,'General Basis'!$C$39,IF(G1067&lt;41,'General Basis'!$C$40,IF(G1067&lt;60,'General Basis'!$C$41,IF(G1067&lt;65,'General Basis'!$C$42,'General Basis'!$C$43)))),IF(G1067&lt;11,'General Basis'!$B$39,IF(G1067&lt;18,'General Basis'!$B$40,IF(G1067&lt;26,'General Basis'!$B$41,IF(G1067&lt;31,'General Basis'!$B$42,IF(G1067&lt;36,'General Basis'!$B$43,IF(G1067&lt;41,'General Basis'!$B$44,IF(G1067&lt;46,'General Basis'!$B$45,IF(G1067&lt;51,'General Basis'!$B$46,IF(G1067&lt;56,'General Basis'!$B$47,IF(G1067&lt;60,'General Basis'!$B$48,IF(G1067&lt;65,'General Basis'!$B$49,'General Basis'!$B$50)))))))))))))</f>
        <v/>
      </c>
      <c r="BI1067" s="744" t="str">
        <f t="shared" si="379"/>
        <v/>
      </c>
      <c r="BJ1067" s="747" t="str">
        <f t="shared" si="386"/>
        <v/>
      </c>
      <c r="BK1067" s="498" t="str">
        <f t="shared" si="380"/>
        <v/>
      </c>
      <c r="BL1067" s="498" t="str">
        <f t="shared" si="381"/>
        <v/>
      </c>
    </row>
    <row r="1068" spans="1:64" x14ac:dyDescent="0.25">
      <c r="A1068" s="762">
        <f t="shared" si="382"/>
        <v>1063</v>
      </c>
      <c r="B1068" s="229"/>
      <c r="C1068" s="223"/>
      <c r="D1068" s="224"/>
      <c r="E1068" s="225"/>
      <c r="F1068" s="1036" t="str">
        <f t="shared" si="388"/>
        <v/>
      </c>
      <c r="G1068" s="1037" t="str">
        <f t="shared" si="383"/>
        <v/>
      </c>
      <c r="H1068" s="225"/>
      <c r="I1068" s="1013"/>
      <c r="J1068" s="1013"/>
      <c r="K1068" s="1028"/>
      <c r="L1068" s="1035" t="str">
        <f t="shared" si="387"/>
        <v/>
      </c>
      <c r="S1068" s="498"/>
      <c r="AJ1068" s="498"/>
      <c r="AM1068" s="498">
        <f t="shared" si="368"/>
        <v>0</v>
      </c>
      <c r="AN1068" s="498">
        <f t="shared" si="369"/>
        <v>0</v>
      </c>
      <c r="AO1068" s="498">
        <f t="shared" si="370"/>
        <v>0</v>
      </c>
      <c r="AP1068" s="498">
        <f t="shared" si="389"/>
        <v>0</v>
      </c>
      <c r="AQ1068" s="498">
        <f t="shared" si="384"/>
        <v>0</v>
      </c>
      <c r="AU1068" s="498">
        <f t="shared" si="371"/>
        <v>0</v>
      </c>
      <c r="AV1068" s="498">
        <f t="shared" si="372"/>
        <v>0</v>
      </c>
      <c r="AW1068" s="498">
        <f t="shared" si="373"/>
        <v>0</v>
      </c>
      <c r="AX1068" s="498">
        <f t="shared" si="374"/>
        <v>0</v>
      </c>
      <c r="AY1068" s="498">
        <f t="shared" si="375"/>
        <v>0</v>
      </c>
      <c r="BB1068" s="498" t="str">
        <f t="shared" si="376"/>
        <v/>
      </c>
      <c r="BC1068" s="743" t="str">
        <f t="shared" si="377"/>
        <v/>
      </c>
      <c r="BD1068" s="743" t="str">
        <f t="shared" si="378"/>
        <v/>
      </c>
      <c r="BE1068" s="743" t="str">
        <f>IF(D1068="","",VLOOKUP(D1068,'General Basis'!$J$39:$K$46,2,0))</f>
        <v/>
      </c>
      <c r="BF1068" s="744" t="str">
        <f>IF(D1068="","",VLOOKUP(D1068,'General Basis'!$J$39:$L$46,3,0))</f>
        <v/>
      </c>
      <c r="BG1068" s="744" t="str">
        <f t="shared" si="385"/>
        <v/>
      </c>
      <c r="BH1068" s="744" t="str">
        <f>IF(G1068="","",IF(BF1068="Abu Dhabi",IF(G1068&lt;18,'General Basis'!$C$39,IF(G1068&lt;41,'General Basis'!$C$40,IF(G1068&lt;60,'General Basis'!$C$41,IF(G1068&lt;65,'General Basis'!$C$42,'General Basis'!$C$43)))),IF(G1068&lt;11,'General Basis'!$B$39,IF(G1068&lt;18,'General Basis'!$B$40,IF(G1068&lt;26,'General Basis'!$B$41,IF(G1068&lt;31,'General Basis'!$B$42,IF(G1068&lt;36,'General Basis'!$B$43,IF(G1068&lt;41,'General Basis'!$B$44,IF(G1068&lt;46,'General Basis'!$B$45,IF(G1068&lt;51,'General Basis'!$B$46,IF(G1068&lt;56,'General Basis'!$B$47,IF(G1068&lt;60,'General Basis'!$B$48,IF(G1068&lt;65,'General Basis'!$B$49,'General Basis'!$B$50)))))))))))))</f>
        <v/>
      </c>
      <c r="BI1068" s="744" t="str">
        <f t="shared" si="379"/>
        <v/>
      </c>
      <c r="BJ1068" s="747" t="str">
        <f t="shared" si="386"/>
        <v/>
      </c>
      <c r="BK1068" s="498" t="str">
        <f t="shared" si="380"/>
        <v/>
      </c>
      <c r="BL1068" s="498" t="str">
        <f t="shared" si="381"/>
        <v/>
      </c>
    </row>
    <row r="1069" spans="1:64" x14ac:dyDescent="0.25">
      <c r="A1069" s="762">
        <f t="shared" si="382"/>
        <v>1064</v>
      </c>
      <c r="B1069" s="229"/>
      <c r="C1069" s="223"/>
      <c r="D1069" s="224"/>
      <c r="E1069" s="225"/>
      <c r="F1069" s="1036" t="str">
        <f t="shared" si="388"/>
        <v/>
      </c>
      <c r="G1069" s="1037" t="str">
        <f t="shared" si="383"/>
        <v/>
      </c>
      <c r="H1069" s="225"/>
      <c r="I1069" s="1013"/>
      <c r="J1069" s="1013"/>
      <c r="K1069" s="1028"/>
      <c r="L1069" s="1035" t="str">
        <f t="shared" si="387"/>
        <v/>
      </c>
      <c r="S1069" s="498"/>
      <c r="AJ1069" s="498"/>
      <c r="AM1069" s="498">
        <f t="shared" si="368"/>
        <v>0</v>
      </c>
      <c r="AN1069" s="498">
        <f t="shared" si="369"/>
        <v>0</v>
      </c>
      <c r="AO1069" s="498">
        <f t="shared" si="370"/>
        <v>0</v>
      </c>
      <c r="AP1069" s="498">
        <f t="shared" si="389"/>
        <v>0</v>
      </c>
      <c r="AQ1069" s="498">
        <f t="shared" si="384"/>
        <v>0</v>
      </c>
      <c r="AU1069" s="498">
        <f t="shared" si="371"/>
        <v>0</v>
      </c>
      <c r="AV1069" s="498">
        <f t="shared" si="372"/>
        <v>0</v>
      </c>
      <c r="AW1069" s="498">
        <f t="shared" si="373"/>
        <v>0</v>
      </c>
      <c r="AX1069" s="498">
        <f t="shared" si="374"/>
        <v>0</v>
      </c>
      <c r="AY1069" s="498">
        <f t="shared" si="375"/>
        <v>0</v>
      </c>
      <c r="BB1069" s="498" t="str">
        <f t="shared" si="376"/>
        <v/>
      </c>
      <c r="BC1069" s="743" t="str">
        <f t="shared" si="377"/>
        <v/>
      </c>
      <c r="BD1069" s="743" t="str">
        <f t="shared" si="378"/>
        <v/>
      </c>
      <c r="BE1069" s="743" t="str">
        <f>IF(D1069="","",VLOOKUP(D1069,'General Basis'!$J$39:$K$46,2,0))</f>
        <v/>
      </c>
      <c r="BF1069" s="744" t="str">
        <f>IF(D1069="","",VLOOKUP(D1069,'General Basis'!$J$39:$L$46,3,0))</f>
        <v/>
      </c>
      <c r="BG1069" s="744" t="str">
        <f t="shared" si="385"/>
        <v/>
      </c>
      <c r="BH1069" s="744" t="str">
        <f>IF(G1069="","",IF(BF1069="Abu Dhabi",IF(G1069&lt;18,'General Basis'!$C$39,IF(G1069&lt;41,'General Basis'!$C$40,IF(G1069&lt;60,'General Basis'!$C$41,IF(G1069&lt;65,'General Basis'!$C$42,'General Basis'!$C$43)))),IF(G1069&lt;11,'General Basis'!$B$39,IF(G1069&lt;18,'General Basis'!$B$40,IF(G1069&lt;26,'General Basis'!$B$41,IF(G1069&lt;31,'General Basis'!$B$42,IF(G1069&lt;36,'General Basis'!$B$43,IF(G1069&lt;41,'General Basis'!$B$44,IF(G1069&lt;46,'General Basis'!$B$45,IF(G1069&lt;51,'General Basis'!$B$46,IF(G1069&lt;56,'General Basis'!$B$47,IF(G1069&lt;60,'General Basis'!$B$48,IF(G1069&lt;65,'General Basis'!$B$49,'General Basis'!$B$50)))))))))))))</f>
        <v/>
      </c>
      <c r="BI1069" s="744" t="str">
        <f t="shared" si="379"/>
        <v/>
      </c>
      <c r="BJ1069" s="747" t="str">
        <f t="shared" si="386"/>
        <v/>
      </c>
      <c r="BK1069" s="498" t="str">
        <f t="shared" si="380"/>
        <v/>
      </c>
      <c r="BL1069" s="498" t="str">
        <f t="shared" si="381"/>
        <v/>
      </c>
    </row>
    <row r="1070" spans="1:64" x14ac:dyDescent="0.25">
      <c r="A1070" s="762">
        <f t="shared" si="382"/>
        <v>1065</v>
      </c>
      <c r="B1070" s="229"/>
      <c r="C1070" s="223"/>
      <c r="D1070" s="224"/>
      <c r="E1070" s="225"/>
      <c r="F1070" s="1036" t="str">
        <f t="shared" si="388"/>
        <v/>
      </c>
      <c r="G1070" s="1037" t="str">
        <f t="shared" si="383"/>
        <v/>
      </c>
      <c r="H1070" s="225"/>
      <c r="I1070" s="1013"/>
      <c r="J1070" s="1013"/>
      <c r="K1070" s="1028"/>
      <c r="L1070" s="1035" t="str">
        <f t="shared" si="387"/>
        <v/>
      </c>
      <c r="S1070" s="498"/>
      <c r="AJ1070" s="498"/>
      <c r="AM1070" s="498">
        <f t="shared" si="368"/>
        <v>0</v>
      </c>
      <c r="AN1070" s="498">
        <f t="shared" si="369"/>
        <v>0</v>
      </c>
      <c r="AO1070" s="498">
        <f t="shared" si="370"/>
        <v>0</v>
      </c>
      <c r="AP1070" s="498">
        <f t="shared" si="389"/>
        <v>0</v>
      </c>
      <c r="AQ1070" s="498">
        <f t="shared" si="384"/>
        <v>0</v>
      </c>
      <c r="AU1070" s="498">
        <f t="shared" si="371"/>
        <v>0</v>
      </c>
      <c r="AV1070" s="498">
        <f t="shared" si="372"/>
        <v>0</v>
      </c>
      <c r="AW1070" s="498">
        <f t="shared" si="373"/>
        <v>0</v>
      </c>
      <c r="AX1070" s="498">
        <f t="shared" si="374"/>
        <v>0</v>
      </c>
      <c r="AY1070" s="498">
        <f t="shared" si="375"/>
        <v>0</v>
      </c>
      <c r="BB1070" s="498" t="str">
        <f t="shared" si="376"/>
        <v/>
      </c>
      <c r="BC1070" s="743" t="str">
        <f t="shared" si="377"/>
        <v/>
      </c>
      <c r="BD1070" s="743" t="str">
        <f t="shared" si="378"/>
        <v/>
      </c>
      <c r="BE1070" s="743" t="str">
        <f>IF(D1070="","",VLOOKUP(D1070,'General Basis'!$J$39:$K$46,2,0))</f>
        <v/>
      </c>
      <c r="BF1070" s="744" t="str">
        <f>IF(D1070="","",VLOOKUP(D1070,'General Basis'!$J$39:$L$46,3,0))</f>
        <v/>
      </c>
      <c r="BG1070" s="744" t="str">
        <f t="shared" si="385"/>
        <v/>
      </c>
      <c r="BH1070" s="744" t="str">
        <f>IF(G1070="","",IF(BF1070="Abu Dhabi",IF(G1070&lt;18,'General Basis'!$C$39,IF(G1070&lt;41,'General Basis'!$C$40,IF(G1070&lt;60,'General Basis'!$C$41,IF(G1070&lt;65,'General Basis'!$C$42,'General Basis'!$C$43)))),IF(G1070&lt;11,'General Basis'!$B$39,IF(G1070&lt;18,'General Basis'!$B$40,IF(G1070&lt;26,'General Basis'!$B$41,IF(G1070&lt;31,'General Basis'!$B$42,IF(G1070&lt;36,'General Basis'!$B$43,IF(G1070&lt;41,'General Basis'!$B$44,IF(G1070&lt;46,'General Basis'!$B$45,IF(G1070&lt;51,'General Basis'!$B$46,IF(G1070&lt;56,'General Basis'!$B$47,IF(G1070&lt;60,'General Basis'!$B$48,IF(G1070&lt;65,'General Basis'!$B$49,'General Basis'!$B$50)))))))))))))</f>
        <v/>
      </c>
      <c r="BI1070" s="744" t="str">
        <f t="shared" si="379"/>
        <v/>
      </c>
      <c r="BJ1070" s="747" t="str">
        <f t="shared" si="386"/>
        <v/>
      </c>
      <c r="BK1070" s="498" t="str">
        <f t="shared" si="380"/>
        <v/>
      </c>
      <c r="BL1070" s="498" t="str">
        <f t="shared" si="381"/>
        <v/>
      </c>
    </row>
    <row r="1071" spans="1:64" x14ac:dyDescent="0.25">
      <c r="A1071" s="762">
        <f t="shared" si="382"/>
        <v>1066</v>
      </c>
      <c r="B1071" s="229"/>
      <c r="C1071" s="223"/>
      <c r="D1071" s="224"/>
      <c r="E1071" s="225"/>
      <c r="F1071" s="1036" t="str">
        <f t="shared" si="388"/>
        <v/>
      </c>
      <c r="G1071" s="1037" t="str">
        <f t="shared" si="383"/>
        <v/>
      </c>
      <c r="H1071" s="225"/>
      <c r="I1071" s="1013"/>
      <c r="J1071" s="1013"/>
      <c r="K1071" s="1028"/>
      <c r="L1071" s="1035" t="str">
        <f t="shared" si="387"/>
        <v/>
      </c>
      <c r="S1071" s="498"/>
      <c r="AJ1071" s="498"/>
      <c r="AM1071" s="498">
        <f t="shared" si="368"/>
        <v>0</v>
      </c>
      <c r="AN1071" s="498">
        <f t="shared" si="369"/>
        <v>0</v>
      </c>
      <c r="AO1071" s="498">
        <f t="shared" si="370"/>
        <v>0</v>
      </c>
      <c r="AP1071" s="498">
        <f t="shared" si="389"/>
        <v>0</v>
      </c>
      <c r="AQ1071" s="498">
        <f t="shared" si="384"/>
        <v>0</v>
      </c>
      <c r="AU1071" s="498">
        <f t="shared" si="371"/>
        <v>0</v>
      </c>
      <c r="AV1071" s="498">
        <f t="shared" si="372"/>
        <v>0</v>
      </c>
      <c r="AW1071" s="498">
        <f t="shared" si="373"/>
        <v>0</v>
      </c>
      <c r="AX1071" s="498">
        <f t="shared" si="374"/>
        <v>0</v>
      </c>
      <c r="AY1071" s="498">
        <f t="shared" si="375"/>
        <v>0</v>
      </c>
      <c r="BB1071" s="498" t="str">
        <f t="shared" si="376"/>
        <v/>
      </c>
      <c r="BC1071" s="743" t="str">
        <f t="shared" si="377"/>
        <v/>
      </c>
      <c r="BD1071" s="743" t="str">
        <f t="shared" si="378"/>
        <v/>
      </c>
      <c r="BE1071" s="743" t="str">
        <f>IF(D1071="","",VLOOKUP(D1071,'General Basis'!$J$39:$K$46,2,0))</f>
        <v/>
      </c>
      <c r="BF1071" s="744" t="str">
        <f>IF(D1071="","",VLOOKUP(D1071,'General Basis'!$J$39:$L$46,3,0))</f>
        <v/>
      </c>
      <c r="BG1071" s="744" t="str">
        <f t="shared" si="385"/>
        <v/>
      </c>
      <c r="BH1071" s="744" t="str">
        <f>IF(G1071="","",IF(BF1071="Abu Dhabi",IF(G1071&lt;18,'General Basis'!$C$39,IF(G1071&lt;41,'General Basis'!$C$40,IF(G1071&lt;60,'General Basis'!$C$41,IF(G1071&lt;65,'General Basis'!$C$42,'General Basis'!$C$43)))),IF(G1071&lt;11,'General Basis'!$B$39,IF(G1071&lt;18,'General Basis'!$B$40,IF(G1071&lt;26,'General Basis'!$B$41,IF(G1071&lt;31,'General Basis'!$B$42,IF(G1071&lt;36,'General Basis'!$B$43,IF(G1071&lt;41,'General Basis'!$B$44,IF(G1071&lt;46,'General Basis'!$B$45,IF(G1071&lt;51,'General Basis'!$B$46,IF(G1071&lt;56,'General Basis'!$B$47,IF(G1071&lt;60,'General Basis'!$B$48,IF(G1071&lt;65,'General Basis'!$B$49,'General Basis'!$B$50)))))))))))))</f>
        <v/>
      </c>
      <c r="BI1071" s="744" t="str">
        <f t="shared" si="379"/>
        <v/>
      </c>
      <c r="BJ1071" s="747" t="str">
        <f t="shared" si="386"/>
        <v/>
      </c>
      <c r="BK1071" s="498" t="str">
        <f t="shared" si="380"/>
        <v/>
      </c>
      <c r="BL1071" s="498" t="str">
        <f t="shared" si="381"/>
        <v/>
      </c>
    </row>
    <row r="1072" spans="1:64" x14ac:dyDescent="0.25">
      <c r="A1072" s="762">
        <f t="shared" si="382"/>
        <v>1067</v>
      </c>
      <c r="B1072" s="229"/>
      <c r="C1072" s="223"/>
      <c r="D1072" s="224"/>
      <c r="E1072" s="225"/>
      <c r="F1072" s="1036" t="str">
        <f t="shared" si="388"/>
        <v/>
      </c>
      <c r="G1072" s="1037" t="str">
        <f t="shared" si="383"/>
        <v/>
      </c>
      <c r="H1072" s="225"/>
      <c r="I1072" s="1013"/>
      <c r="J1072" s="1013"/>
      <c r="K1072" s="1028"/>
      <c r="L1072" s="1035" t="str">
        <f t="shared" si="387"/>
        <v/>
      </c>
      <c r="S1072" s="498"/>
      <c r="AJ1072" s="498"/>
      <c r="AM1072" s="498">
        <f t="shared" si="368"/>
        <v>0</v>
      </c>
      <c r="AN1072" s="498">
        <f t="shared" si="369"/>
        <v>0</v>
      </c>
      <c r="AO1072" s="498">
        <f t="shared" si="370"/>
        <v>0</v>
      </c>
      <c r="AP1072" s="498">
        <f t="shared" si="389"/>
        <v>0</v>
      </c>
      <c r="AQ1072" s="498">
        <f t="shared" si="384"/>
        <v>0</v>
      </c>
      <c r="AU1072" s="498">
        <f t="shared" si="371"/>
        <v>0</v>
      </c>
      <c r="AV1072" s="498">
        <f t="shared" si="372"/>
        <v>0</v>
      </c>
      <c r="AW1072" s="498">
        <f t="shared" si="373"/>
        <v>0</v>
      </c>
      <c r="AX1072" s="498">
        <f t="shared" si="374"/>
        <v>0</v>
      </c>
      <c r="AY1072" s="498">
        <f t="shared" si="375"/>
        <v>0</v>
      </c>
      <c r="BB1072" s="498" t="str">
        <f t="shared" si="376"/>
        <v/>
      </c>
      <c r="BC1072" s="743" t="str">
        <f t="shared" si="377"/>
        <v/>
      </c>
      <c r="BD1072" s="743" t="str">
        <f t="shared" si="378"/>
        <v/>
      </c>
      <c r="BE1072" s="743" t="str">
        <f>IF(D1072="","",VLOOKUP(D1072,'General Basis'!$J$39:$K$46,2,0))</f>
        <v/>
      </c>
      <c r="BF1072" s="744" t="str">
        <f>IF(D1072="","",VLOOKUP(D1072,'General Basis'!$J$39:$L$46,3,0))</f>
        <v/>
      </c>
      <c r="BG1072" s="744" t="str">
        <f t="shared" si="385"/>
        <v/>
      </c>
      <c r="BH1072" s="744" t="str">
        <f>IF(G1072="","",IF(BF1072="Abu Dhabi",IF(G1072&lt;18,'General Basis'!$C$39,IF(G1072&lt;41,'General Basis'!$C$40,IF(G1072&lt;60,'General Basis'!$C$41,IF(G1072&lt;65,'General Basis'!$C$42,'General Basis'!$C$43)))),IF(G1072&lt;11,'General Basis'!$B$39,IF(G1072&lt;18,'General Basis'!$B$40,IF(G1072&lt;26,'General Basis'!$B$41,IF(G1072&lt;31,'General Basis'!$B$42,IF(G1072&lt;36,'General Basis'!$B$43,IF(G1072&lt;41,'General Basis'!$B$44,IF(G1072&lt;46,'General Basis'!$B$45,IF(G1072&lt;51,'General Basis'!$B$46,IF(G1072&lt;56,'General Basis'!$B$47,IF(G1072&lt;60,'General Basis'!$B$48,IF(G1072&lt;65,'General Basis'!$B$49,'General Basis'!$B$50)))))))))))))</f>
        <v/>
      </c>
      <c r="BI1072" s="744" t="str">
        <f t="shared" si="379"/>
        <v/>
      </c>
      <c r="BJ1072" s="747" t="str">
        <f t="shared" si="386"/>
        <v/>
      </c>
      <c r="BK1072" s="498" t="str">
        <f t="shared" si="380"/>
        <v/>
      </c>
      <c r="BL1072" s="498" t="str">
        <f t="shared" si="381"/>
        <v/>
      </c>
    </row>
    <row r="1073" spans="1:64" x14ac:dyDescent="0.25">
      <c r="A1073" s="762">
        <f t="shared" si="382"/>
        <v>1068</v>
      </c>
      <c r="B1073" s="229"/>
      <c r="C1073" s="223"/>
      <c r="D1073" s="224"/>
      <c r="E1073" s="225"/>
      <c r="F1073" s="1036" t="str">
        <f t="shared" si="388"/>
        <v/>
      </c>
      <c r="G1073" s="1037" t="str">
        <f t="shared" si="383"/>
        <v/>
      </c>
      <c r="H1073" s="225"/>
      <c r="I1073" s="1013"/>
      <c r="J1073" s="1013"/>
      <c r="K1073" s="1028"/>
      <c r="L1073" s="1035" t="str">
        <f t="shared" si="387"/>
        <v/>
      </c>
      <c r="S1073" s="498"/>
      <c r="AJ1073" s="498"/>
      <c r="AM1073" s="498">
        <f t="shared" si="368"/>
        <v>0</v>
      </c>
      <c r="AN1073" s="498">
        <f t="shared" si="369"/>
        <v>0</v>
      </c>
      <c r="AO1073" s="498">
        <f t="shared" si="370"/>
        <v>0</v>
      </c>
      <c r="AP1073" s="498">
        <f t="shared" si="389"/>
        <v>0</v>
      </c>
      <c r="AQ1073" s="498">
        <f t="shared" si="384"/>
        <v>0</v>
      </c>
      <c r="AU1073" s="498">
        <f t="shared" si="371"/>
        <v>0</v>
      </c>
      <c r="AV1073" s="498">
        <f t="shared" si="372"/>
        <v>0</v>
      </c>
      <c r="AW1073" s="498">
        <f t="shared" si="373"/>
        <v>0</v>
      </c>
      <c r="AX1073" s="498">
        <f t="shared" si="374"/>
        <v>0</v>
      </c>
      <c r="AY1073" s="498">
        <f t="shared" si="375"/>
        <v>0</v>
      </c>
      <c r="BB1073" s="498" t="str">
        <f t="shared" si="376"/>
        <v/>
      </c>
      <c r="BC1073" s="743" t="str">
        <f t="shared" si="377"/>
        <v/>
      </c>
      <c r="BD1073" s="743" t="str">
        <f t="shared" si="378"/>
        <v/>
      </c>
      <c r="BE1073" s="743" t="str">
        <f>IF(D1073="","",VLOOKUP(D1073,'General Basis'!$J$39:$K$46,2,0))</f>
        <v/>
      </c>
      <c r="BF1073" s="744" t="str">
        <f>IF(D1073="","",VLOOKUP(D1073,'General Basis'!$J$39:$L$46,3,0))</f>
        <v/>
      </c>
      <c r="BG1073" s="744" t="str">
        <f t="shared" si="385"/>
        <v/>
      </c>
      <c r="BH1073" s="744" t="str">
        <f>IF(G1073="","",IF(BF1073="Abu Dhabi",IF(G1073&lt;18,'General Basis'!$C$39,IF(G1073&lt;41,'General Basis'!$C$40,IF(G1073&lt;60,'General Basis'!$C$41,IF(G1073&lt;65,'General Basis'!$C$42,'General Basis'!$C$43)))),IF(G1073&lt;11,'General Basis'!$B$39,IF(G1073&lt;18,'General Basis'!$B$40,IF(G1073&lt;26,'General Basis'!$B$41,IF(G1073&lt;31,'General Basis'!$B$42,IF(G1073&lt;36,'General Basis'!$B$43,IF(G1073&lt;41,'General Basis'!$B$44,IF(G1073&lt;46,'General Basis'!$B$45,IF(G1073&lt;51,'General Basis'!$B$46,IF(G1073&lt;56,'General Basis'!$B$47,IF(G1073&lt;60,'General Basis'!$B$48,IF(G1073&lt;65,'General Basis'!$B$49,'General Basis'!$B$50)))))))))))))</f>
        <v/>
      </c>
      <c r="BI1073" s="744" t="str">
        <f t="shared" si="379"/>
        <v/>
      </c>
      <c r="BJ1073" s="747" t="str">
        <f t="shared" si="386"/>
        <v/>
      </c>
      <c r="BK1073" s="498" t="str">
        <f t="shared" si="380"/>
        <v/>
      </c>
      <c r="BL1073" s="498" t="str">
        <f t="shared" si="381"/>
        <v/>
      </c>
    </row>
    <row r="1074" spans="1:64" x14ac:dyDescent="0.25">
      <c r="A1074" s="762">
        <f t="shared" si="382"/>
        <v>1069</v>
      </c>
      <c r="B1074" s="229"/>
      <c r="C1074" s="223"/>
      <c r="D1074" s="224"/>
      <c r="E1074" s="225"/>
      <c r="F1074" s="1036" t="str">
        <f t="shared" si="388"/>
        <v/>
      </c>
      <c r="G1074" s="1037" t="str">
        <f t="shared" si="383"/>
        <v/>
      </c>
      <c r="H1074" s="225"/>
      <c r="I1074" s="1013"/>
      <c r="J1074" s="1013"/>
      <c r="K1074" s="1028"/>
      <c r="L1074" s="1035" t="str">
        <f t="shared" si="387"/>
        <v/>
      </c>
      <c r="S1074" s="498"/>
      <c r="AJ1074" s="498"/>
      <c r="AM1074" s="498">
        <f t="shared" si="368"/>
        <v>0</v>
      </c>
      <c r="AN1074" s="498">
        <f t="shared" si="369"/>
        <v>0</v>
      </c>
      <c r="AO1074" s="498">
        <f t="shared" si="370"/>
        <v>0</v>
      </c>
      <c r="AP1074" s="498">
        <f t="shared" si="389"/>
        <v>0</v>
      </c>
      <c r="AQ1074" s="498">
        <f t="shared" si="384"/>
        <v>0</v>
      </c>
      <c r="AU1074" s="498">
        <f t="shared" si="371"/>
        <v>0</v>
      </c>
      <c r="AV1074" s="498">
        <f t="shared" si="372"/>
        <v>0</v>
      </c>
      <c r="AW1074" s="498">
        <f t="shared" si="373"/>
        <v>0</v>
      </c>
      <c r="AX1074" s="498">
        <f t="shared" si="374"/>
        <v>0</v>
      </c>
      <c r="AY1074" s="498">
        <f t="shared" si="375"/>
        <v>0</v>
      </c>
      <c r="BB1074" s="498" t="str">
        <f t="shared" si="376"/>
        <v/>
      </c>
      <c r="BC1074" s="743" t="str">
        <f t="shared" si="377"/>
        <v/>
      </c>
      <c r="BD1074" s="743" t="str">
        <f t="shared" si="378"/>
        <v/>
      </c>
      <c r="BE1074" s="743" t="str">
        <f>IF(D1074="","",VLOOKUP(D1074,'General Basis'!$J$39:$K$46,2,0))</f>
        <v/>
      </c>
      <c r="BF1074" s="744" t="str">
        <f>IF(D1074="","",VLOOKUP(D1074,'General Basis'!$J$39:$L$46,3,0))</f>
        <v/>
      </c>
      <c r="BG1074" s="744" t="str">
        <f t="shared" si="385"/>
        <v/>
      </c>
      <c r="BH1074" s="744" t="str">
        <f>IF(G1074="","",IF(BF1074="Abu Dhabi",IF(G1074&lt;18,'General Basis'!$C$39,IF(G1074&lt;41,'General Basis'!$C$40,IF(G1074&lt;60,'General Basis'!$C$41,IF(G1074&lt;65,'General Basis'!$C$42,'General Basis'!$C$43)))),IF(G1074&lt;11,'General Basis'!$B$39,IF(G1074&lt;18,'General Basis'!$B$40,IF(G1074&lt;26,'General Basis'!$B$41,IF(G1074&lt;31,'General Basis'!$B$42,IF(G1074&lt;36,'General Basis'!$B$43,IF(G1074&lt;41,'General Basis'!$B$44,IF(G1074&lt;46,'General Basis'!$B$45,IF(G1074&lt;51,'General Basis'!$B$46,IF(G1074&lt;56,'General Basis'!$B$47,IF(G1074&lt;60,'General Basis'!$B$48,IF(G1074&lt;65,'General Basis'!$B$49,'General Basis'!$B$50)))))))))))))</f>
        <v/>
      </c>
      <c r="BI1074" s="744" t="str">
        <f t="shared" si="379"/>
        <v/>
      </c>
      <c r="BJ1074" s="747" t="str">
        <f t="shared" si="386"/>
        <v/>
      </c>
      <c r="BK1074" s="498" t="str">
        <f t="shared" si="380"/>
        <v/>
      </c>
      <c r="BL1074" s="498" t="str">
        <f t="shared" si="381"/>
        <v/>
      </c>
    </row>
    <row r="1075" spans="1:64" x14ac:dyDescent="0.25">
      <c r="A1075" s="762">
        <f t="shared" si="382"/>
        <v>1070</v>
      </c>
      <c r="B1075" s="229"/>
      <c r="C1075" s="223"/>
      <c r="D1075" s="224"/>
      <c r="E1075" s="225"/>
      <c r="F1075" s="1036" t="str">
        <f t="shared" si="388"/>
        <v/>
      </c>
      <c r="G1075" s="1037" t="str">
        <f t="shared" si="383"/>
        <v/>
      </c>
      <c r="H1075" s="225"/>
      <c r="I1075" s="1013"/>
      <c r="J1075" s="1013"/>
      <c r="K1075" s="1028"/>
      <c r="L1075" s="1035" t="str">
        <f t="shared" si="387"/>
        <v/>
      </c>
      <c r="S1075" s="498"/>
      <c r="AJ1075" s="498"/>
      <c r="AM1075" s="498">
        <f t="shared" si="368"/>
        <v>0</v>
      </c>
      <c r="AN1075" s="498">
        <f t="shared" si="369"/>
        <v>0</v>
      </c>
      <c r="AO1075" s="498">
        <f t="shared" si="370"/>
        <v>0</v>
      </c>
      <c r="AP1075" s="498">
        <f t="shared" si="389"/>
        <v>0</v>
      </c>
      <c r="AQ1075" s="498">
        <f t="shared" si="384"/>
        <v>0</v>
      </c>
      <c r="AU1075" s="498">
        <f t="shared" si="371"/>
        <v>0</v>
      </c>
      <c r="AV1075" s="498">
        <f t="shared" si="372"/>
        <v>0</v>
      </c>
      <c r="AW1075" s="498">
        <f t="shared" si="373"/>
        <v>0</v>
      </c>
      <c r="AX1075" s="498">
        <f t="shared" si="374"/>
        <v>0</v>
      </c>
      <c r="AY1075" s="498">
        <f t="shared" si="375"/>
        <v>0</v>
      </c>
      <c r="BB1075" s="498" t="str">
        <f t="shared" si="376"/>
        <v/>
      </c>
      <c r="BC1075" s="743" t="str">
        <f t="shared" si="377"/>
        <v/>
      </c>
      <c r="BD1075" s="743" t="str">
        <f t="shared" si="378"/>
        <v/>
      </c>
      <c r="BE1075" s="743" t="str">
        <f>IF(D1075="","",VLOOKUP(D1075,'General Basis'!$J$39:$K$46,2,0))</f>
        <v/>
      </c>
      <c r="BF1075" s="744" t="str">
        <f>IF(D1075="","",VLOOKUP(D1075,'General Basis'!$J$39:$L$46,3,0))</f>
        <v/>
      </c>
      <c r="BG1075" s="744" t="str">
        <f t="shared" si="385"/>
        <v/>
      </c>
      <c r="BH1075" s="744" t="str">
        <f>IF(G1075="","",IF(BF1075="Abu Dhabi",IF(G1075&lt;18,'General Basis'!$C$39,IF(G1075&lt;41,'General Basis'!$C$40,IF(G1075&lt;60,'General Basis'!$C$41,IF(G1075&lt;65,'General Basis'!$C$42,'General Basis'!$C$43)))),IF(G1075&lt;11,'General Basis'!$B$39,IF(G1075&lt;18,'General Basis'!$B$40,IF(G1075&lt;26,'General Basis'!$B$41,IF(G1075&lt;31,'General Basis'!$B$42,IF(G1075&lt;36,'General Basis'!$B$43,IF(G1075&lt;41,'General Basis'!$B$44,IF(G1075&lt;46,'General Basis'!$B$45,IF(G1075&lt;51,'General Basis'!$B$46,IF(G1075&lt;56,'General Basis'!$B$47,IF(G1075&lt;60,'General Basis'!$B$48,IF(G1075&lt;65,'General Basis'!$B$49,'General Basis'!$B$50)))))))))))))</f>
        <v/>
      </c>
      <c r="BI1075" s="744" t="str">
        <f t="shared" si="379"/>
        <v/>
      </c>
      <c r="BJ1075" s="747" t="str">
        <f t="shared" si="386"/>
        <v/>
      </c>
      <c r="BK1075" s="498" t="str">
        <f t="shared" si="380"/>
        <v/>
      </c>
      <c r="BL1075" s="498" t="str">
        <f t="shared" si="381"/>
        <v/>
      </c>
    </row>
    <row r="1076" spans="1:64" x14ac:dyDescent="0.25">
      <c r="A1076" s="762">
        <f t="shared" si="382"/>
        <v>1071</v>
      </c>
      <c r="B1076" s="229"/>
      <c r="C1076" s="223"/>
      <c r="D1076" s="224"/>
      <c r="E1076" s="225"/>
      <c r="F1076" s="1036" t="str">
        <f t="shared" si="388"/>
        <v/>
      </c>
      <c r="G1076" s="1037" t="str">
        <f t="shared" si="383"/>
        <v/>
      </c>
      <c r="H1076" s="225"/>
      <c r="I1076" s="1013"/>
      <c r="J1076" s="1013"/>
      <c r="K1076" s="1028"/>
      <c r="L1076" s="1035" t="str">
        <f t="shared" si="387"/>
        <v/>
      </c>
      <c r="S1076" s="498"/>
      <c r="AJ1076" s="498"/>
      <c r="AM1076" s="498">
        <f t="shared" si="368"/>
        <v>0</v>
      </c>
      <c r="AN1076" s="498">
        <f t="shared" si="369"/>
        <v>0</v>
      </c>
      <c r="AO1076" s="498">
        <f t="shared" si="370"/>
        <v>0</v>
      </c>
      <c r="AP1076" s="498">
        <f t="shared" si="389"/>
        <v>0</v>
      </c>
      <c r="AQ1076" s="498">
        <f t="shared" si="384"/>
        <v>0</v>
      </c>
      <c r="AU1076" s="498">
        <f t="shared" si="371"/>
        <v>0</v>
      </c>
      <c r="AV1076" s="498">
        <f t="shared" si="372"/>
        <v>0</v>
      </c>
      <c r="AW1076" s="498">
        <f t="shared" si="373"/>
        <v>0</v>
      </c>
      <c r="AX1076" s="498">
        <f t="shared" si="374"/>
        <v>0</v>
      </c>
      <c r="AY1076" s="498">
        <f t="shared" si="375"/>
        <v>0</v>
      </c>
      <c r="BB1076" s="498" t="str">
        <f t="shared" si="376"/>
        <v/>
      </c>
      <c r="BC1076" s="743" t="str">
        <f t="shared" si="377"/>
        <v/>
      </c>
      <c r="BD1076" s="743" t="str">
        <f t="shared" si="378"/>
        <v/>
      </c>
      <c r="BE1076" s="743" t="str">
        <f>IF(D1076="","",VLOOKUP(D1076,'General Basis'!$J$39:$K$46,2,0))</f>
        <v/>
      </c>
      <c r="BF1076" s="744" t="str">
        <f>IF(D1076="","",VLOOKUP(D1076,'General Basis'!$J$39:$L$46,3,0))</f>
        <v/>
      </c>
      <c r="BG1076" s="744" t="str">
        <f t="shared" si="385"/>
        <v/>
      </c>
      <c r="BH1076" s="744" t="str">
        <f>IF(G1076="","",IF(BF1076="Abu Dhabi",IF(G1076&lt;18,'General Basis'!$C$39,IF(G1076&lt;41,'General Basis'!$C$40,IF(G1076&lt;60,'General Basis'!$C$41,IF(G1076&lt;65,'General Basis'!$C$42,'General Basis'!$C$43)))),IF(G1076&lt;11,'General Basis'!$B$39,IF(G1076&lt;18,'General Basis'!$B$40,IF(G1076&lt;26,'General Basis'!$B$41,IF(G1076&lt;31,'General Basis'!$B$42,IF(G1076&lt;36,'General Basis'!$B$43,IF(G1076&lt;41,'General Basis'!$B$44,IF(G1076&lt;46,'General Basis'!$B$45,IF(G1076&lt;51,'General Basis'!$B$46,IF(G1076&lt;56,'General Basis'!$B$47,IF(G1076&lt;60,'General Basis'!$B$48,IF(G1076&lt;65,'General Basis'!$B$49,'General Basis'!$B$50)))))))))))))</f>
        <v/>
      </c>
      <c r="BI1076" s="744" t="str">
        <f t="shared" si="379"/>
        <v/>
      </c>
      <c r="BJ1076" s="747" t="str">
        <f t="shared" si="386"/>
        <v/>
      </c>
      <c r="BK1076" s="498" t="str">
        <f t="shared" si="380"/>
        <v/>
      </c>
      <c r="BL1076" s="498" t="str">
        <f t="shared" si="381"/>
        <v/>
      </c>
    </row>
    <row r="1077" spans="1:64" x14ac:dyDescent="0.25">
      <c r="A1077" s="762">
        <f t="shared" si="382"/>
        <v>1072</v>
      </c>
      <c r="B1077" s="229"/>
      <c r="C1077" s="223"/>
      <c r="D1077" s="224"/>
      <c r="E1077" s="225"/>
      <c r="F1077" s="1036" t="str">
        <f t="shared" si="388"/>
        <v/>
      </c>
      <c r="G1077" s="1037" t="str">
        <f t="shared" si="383"/>
        <v/>
      </c>
      <c r="H1077" s="225"/>
      <c r="I1077" s="1013"/>
      <c r="J1077" s="1013"/>
      <c r="K1077" s="1028"/>
      <c r="L1077" s="1035" t="str">
        <f t="shared" si="387"/>
        <v/>
      </c>
      <c r="S1077" s="498"/>
      <c r="AJ1077" s="498"/>
      <c r="AM1077" s="498">
        <f t="shared" si="368"/>
        <v>0</v>
      </c>
      <c r="AN1077" s="498">
        <f t="shared" si="369"/>
        <v>0</v>
      </c>
      <c r="AO1077" s="498">
        <f t="shared" si="370"/>
        <v>0</v>
      </c>
      <c r="AP1077" s="498">
        <f t="shared" si="389"/>
        <v>0</v>
      </c>
      <c r="AQ1077" s="498">
        <f t="shared" si="384"/>
        <v>0</v>
      </c>
      <c r="AU1077" s="498">
        <f t="shared" si="371"/>
        <v>0</v>
      </c>
      <c r="AV1077" s="498">
        <f t="shared" si="372"/>
        <v>0</v>
      </c>
      <c r="AW1077" s="498">
        <f t="shared" si="373"/>
        <v>0</v>
      </c>
      <c r="AX1077" s="498">
        <f t="shared" si="374"/>
        <v>0</v>
      </c>
      <c r="AY1077" s="498">
        <f t="shared" si="375"/>
        <v>0</v>
      </c>
      <c r="BB1077" s="498" t="str">
        <f t="shared" si="376"/>
        <v/>
      </c>
      <c r="BC1077" s="743" t="str">
        <f t="shared" si="377"/>
        <v/>
      </c>
      <c r="BD1077" s="743" t="str">
        <f t="shared" si="378"/>
        <v/>
      </c>
      <c r="BE1077" s="743" t="str">
        <f>IF(D1077="","",VLOOKUP(D1077,'General Basis'!$J$39:$K$46,2,0))</f>
        <v/>
      </c>
      <c r="BF1077" s="744" t="str">
        <f>IF(D1077="","",VLOOKUP(D1077,'General Basis'!$J$39:$L$46,3,0))</f>
        <v/>
      </c>
      <c r="BG1077" s="744" t="str">
        <f t="shared" si="385"/>
        <v/>
      </c>
      <c r="BH1077" s="744" t="str">
        <f>IF(G1077="","",IF(BF1077="Abu Dhabi",IF(G1077&lt;18,'General Basis'!$C$39,IF(G1077&lt;41,'General Basis'!$C$40,IF(G1077&lt;60,'General Basis'!$C$41,IF(G1077&lt;65,'General Basis'!$C$42,'General Basis'!$C$43)))),IF(G1077&lt;11,'General Basis'!$B$39,IF(G1077&lt;18,'General Basis'!$B$40,IF(G1077&lt;26,'General Basis'!$B$41,IF(G1077&lt;31,'General Basis'!$B$42,IF(G1077&lt;36,'General Basis'!$B$43,IF(G1077&lt;41,'General Basis'!$B$44,IF(G1077&lt;46,'General Basis'!$B$45,IF(G1077&lt;51,'General Basis'!$B$46,IF(G1077&lt;56,'General Basis'!$B$47,IF(G1077&lt;60,'General Basis'!$B$48,IF(G1077&lt;65,'General Basis'!$B$49,'General Basis'!$B$50)))))))))))))</f>
        <v/>
      </c>
      <c r="BI1077" s="744" t="str">
        <f t="shared" si="379"/>
        <v/>
      </c>
      <c r="BJ1077" s="747" t="str">
        <f t="shared" si="386"/>
        <v/>
      </c>
      <c r="BK1077" s="498" t="str">
        <f t="shared" si="380"/>
        <v/>
      </c>
      <c r="BL1077" s="498" t="str">
        <f t="shared" si="381"/>
        <v/>
      </c>
    </row>
    <row r="1078" spans="1:64" x14ac:dyDescent="0.25">
      <c r="A1078" s="762">
        <f t="shared" si="382"/>
        <v>1073</v>
      </c>
      <c r="B1078" s="229"/>
      <c r="C1078" s="223"/>
      <c r="D1078" s="224"/>
      <c r="E1078" s="225"/>
      <c r="F1078" s="1036" t="str">
        <f t="shared" si="388"/>
        <v/>
      </c>
      <c r="G1078" s="1037" t="str">
        <f t="shared" si="383"/>
        <v/>
      </c>
      <c r="H1078" s="225"/>
      <c r="I1078" s="1013"/>
      <c r="J1078" s="1013"/>
      <c r="K1078" s="1028"/>
      <c r="L1078" s="1035" t="str">
        <f t="shared" si="387"/>
        <v/>
      </c>
      <c r="S1078" s="498"/>
      <c r="AJ1078" s="498"/>
      <c r="AM1078" s="498">
        <f t="shared" si="368"/>
        <v>0</v>
      </c>
      <c r="AN1078" s="498">
        <f t="shared" si="369"/>
        <v>0</v>
      </c>
      <c r="AO1078" s="498">
        <f t="shared" si="370"/>
        <v>0</v>
      </c>
      <c r="AP1078" s="498">
        <f t="shared" si="389"/>
        <v>0</v>
      </c>
      <c r="AQ1078" s="498">
        <f t="shared" si="384"/>
        <v>0</v>
      </c>
      <c r="AU1078" s="498">
        <f t="shared" si="371"/>
        <v>0</v>
      </c>
      <c r="AV1078" s="498">
        <f t="shared" si="372"/>
        <v>0</v>
      </c>
      <c r="AW1078" s="498">
        <f t="shared" si="373"/>
        <v>0</v>
      </c>
      <c r="AX1078" s="498">
        <f t="shared" si="374"/>
        <v>0</v>
      </c>
      <c r="AY1078" s="498">
        <f t="shared" si="375"/>
        <v>0</v>
      </c>
      <c r="BB1078" s="498" t="str">
        <f t="shared" si="376"/>
        <v/>
      </c>
      <c r="BC1078" s="743" t="str">
        <f t="shared" si="377"/>
        <v/>
      </c>
      <c r="BD1078" s="743" t="str">
        <f t="shared" si="378"/>
        <v/>
      </c>
      <c r="BE1078" s="743" t="str">
        <f>IF(D1078="","",VLOOKUP(D1078,'General Basis'!$J$39:$K$46,2,0))</f>
        <v/>
      </c>
      <c r="BF1078" s="744" t="str">
        <f>IF(D1078="","",VLOOKUP(D1078,'General Basis'!$J$39:$L$46,3,0))</f>
        <v/>
      </c>
      <c r="BG1078" s="744" t="str">
        <f t="shared" si="385"/>
        <v/>
      </c>
      <c r="BH1078" s="744" t="str">
        <f>IF(G1078="","",IF(BF1078="Abu Dhabi",IF(G1078&lt;18,'General Basis'!$C$39,IF(G1078&lt;41,'General Basis'!$C$40,IF(G1078&lt;60,'General Basis'!$C$41,IF(G1078&lt;65,'General Basis'!$C$42,'General Basis'!$C$43)))),IF(G1078&lt;11,'General Basis'!$B$39,IF(G1078&lt;18,'General Basis'!$B$40,IF(G1078&lt;26,'General Basis'!$B$41,IF(G1078&lt;31,'General Basis'!$B$42,IF(G1078&lt;36,'General Basis'!$B$43,IF(G1078&lt;41,'General Basis'!$B$44,IF(G1078&lt;46,'General Basis'!$B$45,IF(G1078&lt;51,'General Basis'!$B$46,IF(G1078&lt;56,'General Basis'!$B$47,IF(G1078&lt;60,'General Basis'!$B$48,IF(G1078&lt;65,'General Basis'!$B$49,'General Basis'!$B$50)))))))))))))</f>
        <v/>
      </c>
      <c r="BI1078" s="744" t="str">
        <f t="shared" si="379"/>
        <v/>
      </c>
      <c r="BJ1078" s="747" t="str">
        <f t="shared" si="386"/>
        <v/>
      </c>
      <c r="BK1078" s="498" t="str">
        <f t="shared" si="380"/>
        <v/>
      </c>
      <c r="BL1078" s="498" t="str">
        <f t="shared" si="381"/>
        <v/>
      </c>
    </row>
    <row r="1079" spans="1:64" x14ac:dyDescent="0.25">
      <c r="A1079" s="762">
        <f t="shared" si="382"/>
        <v>1074</v>
      </c>
      <c r="B1079" s="229"/>
      <c r="C1079" s="223"/>
      <c r="D1079" s="224"/>
      <c r="E1079" s="225"/>
      <c r="F1079" s="1036" t="str">
        <f t="shared" si="388"/>
        <v/>
      </c>
      <c r="G1079" s="1037" t="str">
        <f t="shared" si="383"/>
        <v/>
      </c>
      <c r="H1079" s="225"/>
      <c r="I1079" s="1013"/>
      <c r="J1079" s="1013"/>
      <c r="K1079" s="1028"/>
      <c r="L1079" s="1035" t="str">
        <f t="shared" si="387"/>
        <v/>
      </c>
      <c r="S1079" s="498"/>
      <c r="AJ1079" s="498"/>
      <c r="AM1079" s="498">
        <f t="shared" si="368"/>
        <v>0</v>
      </c>
      <c r="AN1079" s="498">
        <f t="shared" si="369"/>
        <v>0</v>
      </c>
      <c r="AO1079" s="498">
        <f t="shared" si="370"/>
        <v>0</v>
      </c>
      <c r="AP1079" s="498">
        <f t="shared" si="389"/>
        <v>0</v>
      </c>
      <c r="AQ1079" s="498">
        <f t="shared" si="384"/>
        <v>0</v>
      </c>
      <c r="AU1079" s="498">
        <f t="shared" si="371"/>
        <v>0</v>
      </c>
      <c r="AV1079" s="498">
        <f t="shared" si="372"/>
        <v>0</v>
      </c>
      <c r="AW1079" s="498">
        <f t="shared" si="373"/>
        <v>0</v>
      </c>
      <c r="AX1079" s="498">
        <f t="shared" si="374"/>
        <v>0</v>
      </c>
      <c r="AY1079" s="498">
        <f t="shared" si="375"/>
        <v>0</v>
      </c>
      <c r="BB1079" s="498" t="str">
        <f t="shared" si="376"/>
        <v/>
      </c>
      <c r="BC1079" s="743" t="str">
        <f t="shared" si="377"/>
        <v/>
      </c>
      <c r="BD1079" s="743" t="str">
        <f t="shared" si="378"/>
        <v/>
      </c>
      <c r="BE1079" s="743" t="str">
        <f>IF(D1079="","",VLOOKUP(D1079,'General Basis'!$J$39:$K$46,2,0))</f>
        <v/>
      </c>
      <c r="BF1079" s="744" t="str">
        <f>IF(D1079="","",VLOOKUP(D1079,'General Basis'!$J$39:$L$46,3,0))</f>
        <v/>
      </c>
      <c r="BG1079" s="744" t="str">
        <f t="shared" si="385"/>
        <v/>
      </c>
      <c r="BH1079" s="744" t="str">
        <f>IF(G1079="","",IF(BF1079="Abu Dhabi",IF(G1079&lt;18,'General Basis'!$C$39,IF(G1079&lt;41,'General Basis'!$C$40,IF(G1079&lt;60,'General Basis'!$C$41,IF(G1079&lt;65,'General Basis'!$C$42,'General Basis'!$C$43)))),IF(G1079&lt;11,'General Basis'!$B$39,IF(G1079&lt;18,'General Basis'!$B$40,IF(G1079&lt;26,'General Basis'!$B$41,IF(G1079&lt;31,'General Basis'!$B$42,IF(G1079&lt;36,'General Basis'!$B$43,IF(G1079&lt;41,'General Basis'!$B$44,IF(G1079&lt;46,'General Basis'!$B$45,IF(G1079&lt;51,'General Basis'!$B$46,IF(G1079&lt;56,'General Basis'!$B$47,IF(G1079&lt;60,'General Basis'!$B$48,IF(G1079&lt;65,'General Basis'!$B$49,'General Basis'!$B$50)))))))))))))</f>
        <v/>
      </c>
      <c r="BI1079" s="744" t="str">
        <f t="shared" si="379"/>
        <v/>
      </c>
      <c r="BJ1079" s="747" t="str">
        <f t="shared" si="386"/>
        <v/>
      </c>
      <c r="BK1079" s="498" t="str">
        <f t="shared" si="380"/>
        <v/>
      </c>
      <c r="BL1079" s="498" t="str">
        <f t="shared" si="381"/>
        <v/>
      </c>
    </row>
    <row r="1080" spans="1:64" x14ac:dyDescent="0.25">
      <c r="A1080" s="762">
        <f t="shared" si="382"/>
        <v>1075</v>
      </c>
      <c r="B1080" s="229"/>
      <c r="C1080" s="223"/>
      <c r="D1080" s="224"/>
      <c r="E1080" s="225"/>
      <c r="F1080" s="1036" t="str">
        <f t="shared" si="388"/>
        <v/>
      </c>
      <c r="G1080" s="1037" t="str">
        <f t="shared" si="383"/>
        <v/>
      </c>
      <c r="H1080" s="225"/>
      <c r="I1080" s="1013"/>
      <c r="J1080" s="1013"/>
      <c r="K1080" s="1028"/>
      <c r="L1080" s="1035" t="str">
        <f t="shared" si="387"/>
        <v/>
      </c>
      <c r="S1080" s="498"/>
      <c r="AJ1080" s="498"/>
      <c r="AM1080" s="498">
        <f t="shared" si="368"/>
        <v>0</v>
      </c>
      <c r="AN1080" s="498">
        <f t="shared" si="369"/>
        <v>0</v>
      </c>
      <c r="AO1080" s="498">
        <f t="shared" si="370"/>
        <v>0</v>
      </c>
      <c r="AP1080" s="498">
        <f t="shared" si="389"/>
        <v>0</v>
      </c>
      <c r="AQ1080" s="498">
        <f t="shared" si="384"/>
        <v>0</v>
      </c>
      <c r="AU1080" s="498">
        <f t="shared" si="371"/>
        <v>0</v>
      </c>
      <c r="AV1080" s="498">
        <f t="shared" si="372"/>
        <v>0</v>
      </c>
      <c r="AW1080" s="498">
        <f t="shared" si="373"/>
        <v>0</v>
      </c>
      <c r="AX1080" s="498">
        <f t="shared" si="374"/>
        <v>0</v>
      </c>
      <c r="AY1080" s="498">
        <f t="shared" si="375"/>
        <v>0</v>
      </c>
      <c r="BB1080" s="498" t="str">
        <f t="shared" si="376"/>
        <v/>
      </c>
      <c r="BC1080" s="743" t="str">
        <f t="shared" si="377"/>
        <v/>
      </c>
      <c r="BD1080" s="743" t="str">
        <f t="shared" si="378"/>
        <v/>
      </c>
      <c r="BE1080" s="743" t="str">
        <f>IF(D1080="","",VLOOKUP(D1080,'General Basis'!$J$39:$K$46,2,0))</f>
        <v/>
      </c>
      <c r="BF1080" s="744" t="str">
        <f>IF(D1080="","",VLOOKUP(D1080,'General Basis'!$J$39:$L$46,3,0))</f>
        <v/>
      </c>
      <c r="BG1080" s="744" t="str">
        <f t="shared" si="385"/>
        <v/>
      </c>
      <c r="BH1080" s="744" t="str">
        <f>IF(G1080="","",IF(BF1080="Abu Dhabi",IF(G1080&lt;18,'General Basis'!$C$39,IF(G1080&lt;41,'General Basis'!$C$40,IF(G1080&lt;60,'General Basis'!$C$41,IF(G1080&lt;65,'General Basis'!$C$42,'General Basis'!$C$43)))),IF(G1080&lt;11,'General Basis'!$B$39,IF(G1080&lt;18,'General Basis'!$B$40,IF(G1080&lt;26,'General Basis'!$B$41,IF(G1080&lt;31,'General Basis'!$B$42,IF(G1080&lt;36,'General Basis'!$B$43,IF(G1080&lt;41,'General Basis'!$B$44,IF(G1080&lt;46,'General Basis'!$B$45,IF(G1080&lt;51,'General Basis'!$B$46,IF(G1080&lt;56,'General Basis'!$B$47,IF(G1080&lt;60,'General Basis'!$B$48,IF(G1080&lt;65,'General Basis'!$B$49,'General Basis'!$B$50)))))))))))))</f>
        <v/>
      </c>
      <c r="BI1080" s="744" t="str">
        <f t="shared" si="379"/>
        <v/>
      </c>
      <c r="BJ1080" s="747" t="str">
        <f t="shared" si="386"/>
        <v/>
      </c>
      <c r="BK1080" s="498" t="str">
        <f t="shared" si="380"/>
        <v/>
      </c>
      <c r="BL1080" s="498" t="str">
        <f t="shared" si="381"/>
        <v/>
      </c>
    </row>
    <row r="1081" spans="1:64" x14ac:dyDescent="0.25">
      <c r="A1081" s="762">
        <f t="shared" si="382"/>
        <v>1076</v>
      </c>
      <c r="B1081" s="229"/>
      <c r="C1081" s="223"/>
      <c r="D1081" s="224"/>
      <c r="E1081" s="225"/>
      <c r="F1081" s="1036" t="str">
        <f t="shared" si="388"/>
        <v/>
      </c>
      <c r="G1081" s="1037" t="str">
        <f t="shared" si="383"/>
        <v/>
      </c>
      <c r="H1081" s="225"/>
      <c r="I1081" s="1013"/>
      <c r="J1081" s="1013"/>
      <c r="K1081" s="1028"/>
      <c r="L1081" s="1035" t="str">
        <f t="shared" si="387"/>
        <v/>
      </c>
      <c r="S1081" s="498"/>
      <c r="AJ1081" s="498"/>
      <c r="AM1081" s="498">
        <f t="shared" si="368"/>
        <v>0</v>
      </c>
      <c r="AN1081" s="498">
        <f t="shared" si="369"/>
        <v>0</v>
      </c>
      <c r="AO1081" s="498">
        <f t="shared" si="370"/>
        <v>0</v>
      </c>
      <c r="AP1081" s="498">
        <f t="shared" si="389"/>
        <v>0</v>
      </c>
      <c r="AQ1081" s="498">
        <f t="shared" si="384"/>
        <v>0</v>
      </c>
      <c r="AU1081" s="498">
        <f t="shared" si="371"/>
        <v>0</v>
      </c>
      <c r="AV1081" s="498">
        <f t="shared" si="372"/>
        <v>0</v>
      </c>
      <c r="AW1081" s="498">
        <f t="shared" si="373"/>
        <v>0</v>
      </c>
      <c r="AX1081" s="498">
        <f t="shared" si="374"/>
        <v>0</v>
      </c>
      <c r="AY1081" s="498">
        <f t="shared" si="375"/>
        <v>0</v>
      </c>
      <c r="BB1081" s="498" t="str">
        <f t="shared" si="376"/>
        <v/>
      </c>
      <c r="BC1081" s="743" t="str">
        <f t="shared" si="377"/>
        <v/>
      </c>
      <c r="BD1081" s="743" t="str">
        <f t="shared" si="378"/>
        <v/>
      </c>
      <c r="BE1081" s="743" t="str">
        <f>IF(D1081="","",VLOOKUP(D1081,'General Basis'!$J$39:$K$46,2,0))</f>
        <v/>
      </c>
      <c r="BF1081" s="744" t="str">
        <f>IF(D1081="","",VLOOKUP(D1081,'General Basis'!$J$39:$L$46,3,0))</f>
        <v/>
      </c>
      <c r="BG1081" s="744" t="str">
        <f t="shared" si="385"/>
        <v/>
      </c>
      <c r="BH1081" s="744" t="str">
        <f>IF(G1081="","",IF(BF1081="Abu Dhabi",IF(G1081&lt;18,'General Basis'!$C$39,IF(G1081&lt;41,'General Basis'!$C$40,IF(G1081&lt;60,'General Basis'!$C$41,IF(G1081&lt;65,'General Basis'!$C$42,'General Basis'!$C$43)))),IF(G1081&lt;11,'General Basis'!$B$39,IF(G1081&lt;18,'General Basis'!$B$40,IF(G1081&lt;26,'General Basis'!$B$41,IF(G1081&lt;31,'General Basis'!$B$42,IF(G1081&lt;36,'General Basis'!$B$43,IF(G1081&lt;41,'General Basis'!$B$44,IF(G1081&lt;46,'General Basis'!$B$45,IF(G1081&lt;51,'General Basis'!$B$46,IF(G1081&lt;56,'General Basis'!$B$47,IF(G1081&lt;60,'General Basis'!$B$48,IF(G1081&lt;65,'General Basis'!$B$49,'General Basis'!$B$50)))))))))))))</f>
        <v/>
      </c>
      <c r="BI1081" s="744" t="str">
        <f t="shared" si="379"/>
        <v/>
      </c>
      <c r="BJ1081" s="747" t="str">
        <f t="shared" si="386"/>
        <v/>
      </c>
      <c r="BK1081" s="498" t="str">
        <f t="shared" si="380"/>
        <v/>
      </c>
      <c r="BL1081" s="498" t="str">
        <f t="shared" si="381"/>
        <v/>
      </c>
    </row>
    <row r="1082" spans="1:64" x14ac:dyDescent="0.25">
      <c r="A1082" s="762">
        <f t="shared" si="382"/>
        <v>1077</v>
      </c>
      <c r="B1082" s="229"/>
      <c r="C1082" s="223"/>
      <c r="D1082" s="224"/>
      <c r="E1082" s="225"/>
      <c r="F1082" s="1036" t="str">
        <f t="shared" si="388"/>
        <v/>
      </c>
      <c r="G1082" s="1037" t="str">
        <f t="shared" si="383"/>
        <v/>
      </c>
      <c r="H1082" s="225"/>
      <c r="I1082" s="1013"/>
      <c r="J1082" s="1013"/>
      <c r="K1082" s="1028"/>
      <c r="L1082" s="1035" t="str">
        <f t="shared" si="387"/>
        <v/>
      </c>
      <c r="S1082" s="498"/>
      <c r="AJ1082" s="498"/>
      <c r="AM1082" s="498">
        <f t="shared" si="368"/>
        <v>0</v>
      </c>
      <c r="AN1082" s="498">
        <f t="shared" si="369"/>
        <v>0</v>
      </c>
      <c r="AO1082" s="498">
        <f t="shared" si="370"/>
        <v>0</v>
      </c>
      <c r="AP1082" s="498">
        <f t="shared" si="389"/>
        <v>0</v>
      </c>
      <c r="AQ1082" s="498">
        <f t="shared" si="384"/>
        <v>0</v>
      </c>
      <c r="AU1082" s="498">
        <f t="shared" si="371"/>
        <v>0</v>
      </c>
      <c r="AV1082" s="498">
        <f t="shared" si="372"/>
        <v>0</v>
      </c>
      <c r="AW1082" s="498">
        <f t="shared" si="373"/>
        <v>0</v>
      </c>
      <c r="AX1082" s="498">
        <f t="shared" si="374"/>
        <v>0</v>
      </c>
      <c r="AY1082" s="498">
        <f t="shared" si="375"/>
        <v>0</v>
      </c>
      <c r="BB1082" s="498" t="str">
        <f t="shared" si="376"/>
        <v/>
      </c>
      <c r="BC1082" s="743" t="str">
        <f t="shared" si="377"/>
        <v/>
      </c>
      <c r="BD1082" s="743" t="str">
        <f t="shared" si="378"/>
        <v/>
      </c>
      <c r="BE1082" s="743" t="str">
        <f>IF(D1082="","",VLOOKUP(D1082,'General Basis'!$J$39:$K$46,2,0))</f>
        <v/>
      </c>
      <c r="BF1082" s="744" t="str">
        <f>IF(D1082="","",VLOOKUP(D1082,'General Basis'!$J$39:$L$46,3,0))</f>
        <v/>
      </c>
      <c r="BG1082" s="744" t="str">
        <f t="shared" si="385"/>
        <v/>
      </c>
      <c r="BH1082" s="744" t="str">
        <f>IF(G1082="","",IF(BF1082="Abu Dhabi",IF(G1082&lt;18,'General Basis'!$C$39,IF(G1082&lt;41,'General Basis'!$C$40,IF(G1082&lt;60,'General Basis'!$C$41,IF(G1082&lt;65,'General Basis'!$C$42,'General Basis'!$C$43)))),IF(G1082&lt;11,'General Basis'!$B$39,IF(G1082&lt;18,'General Basis'!$B$40,IF(G1082&lt;26,'General Basis'!$B$41,IF(G1082&lt;31,'General Basis'!$B$42,IF(G1082&lt;36,'General Basis'!$B$43,IF(G1082&lt;41,'General Basis'!$B$44,IF(G1082&lt;46,'General Basis'!$B$45,IF(G1082&lt;51,'General Basis'!$B$46,IF(G1082&lt;56,'General Basis'!$B$47,IF(G1082&lt;60,'General Basis'!$B$48,IF(G1082&lt;65,'General Basis'!$B$49,'General Basis'!$B$50)))))))))))))</f>
        <v/>
      </c>
      <c r="BI1082" s="744" t="str">
        <f t="shared" si="379"/>
        <v/>
      </c>
      <c r="BJ1082" s="747" t="str">
        <f t="shared" si="386"/>
        <v/>
      </c>
      <c r="BK1082" s="498" t="str">
        <f t="shared" si="380"/>
        <v/>
      </c>
      <c r="BL1082" s="498" t="str">
        <f t="shared" si="381"/>
        <v/>
      </c>
    </row>
    <row r="1083" spans="1:64" x14ac:dyDescent="0.25">
      <c r="A1083" s="762">
        <f t="shared" si="382"/>
        <v>1078</v>
      </c>
      <c r="B1083" s="229"/>
      <c r="C1083" s="223"/>
      <c r="D1083" s="224"/>
      <c r="E1083" s="225"/>
      <c r="F1083" s="1036" t="str">
        <f t="shared" si="388"/>
        <v/>
      </c>
      <c r="G1083" s="1037" t="str">
        <f t="shared" si="383"/>
        <v/>
      </c>
      <c r="H1083" s="225"/>
      <c r="I1083" s="1013"/>
      <c r="J1083" s="1013"/>
      <c r="K1083" s="1028"/>
      <c r="L1083" s="1035" t="str">
        <f t="shared" si="387"/>
        <v/>
      </c>
      <c r="S1083" s="498"/>
      <c r="AJ1083" s="498"/>
      <c r="AM1083" s="498">
        <f t="shared" si="368"/>
        <v>0</v>
      </c>
      <c r="AN1083" s="498">
        <f t="shared" si="369"/>
        <v>0</v>
      </c>
      <c r="AO1083" s="498">
        <f t="shared" si="370"/>
        <v>0</v>
      </c>
      <c r="AP1083" s="498">
        <f t="shared" si="389"/>
        <v>0</v>
      </c>
      <c r="AQ1083" s="498">
        <f t="shared" si="384"/>
        <v>0</v>
      </c>
      <c r="AU1083" s="498">
        <f t="shared" si="371"/>
        <v>0</v>
      </c>
      <c r="AV1083" s="498">
        <f t="shared" si="372"/>
        <v>0</v>
      </c>
      <c r="AW1083" s="498">
        <f t="shared" si="373"/>
        <v>0</v>
      </c>
      <c r="AX1083" s="498">
        <f t="shared" si="374"/>
        <v>0</v>
      </c>
      <c r="AY1083" s="498">
        <f t="shared" si="375"/>
        <v>0</v>
      </c>
      <c r="BB1083" s="498" t="str">
        <f t="shared" si="376"/>
        <v/>
      </c>
      <c r="BC1083" s="743" t="str">
        <f t="shared" si="377"/>
        <v/>
      </c>
      <c r="BD1083" s="743" t="str">
        <f t="shared" si="378"/>
        <v/>
      </c>
      <c r="BE1083" s="743" t="str">
        <f>IF(D1083="","",VLOOKUP(D1083,'General Basis'!$J$39:$K$46,2,0))</f>
        <v/>
      </c>
      <c r="BF1083" s="744" t="str">
        <f>IF(D1083="","",VLOOKUP(D1083,'General Basis'!$J$39:$L$46,3,0))</f>
        <v/>
      </c>
      <c r="BG1083" s="744" t="str">
        <f t="shared" si="385"/>
        <v/>
      </c>
      <c r="BH1083" s="744" t="str">
        <f>IF(G1083="","",IF(BF1083="Abu Dhabi",IF(G1083&lt;18,'General Basis'!$C$39,IF(G1083&lt;41,'General Basis'!$C$40,IF(G1083&lt;60,'General Basis'!$C$41,IF(G1083&lt;65,'General Basis'!$C$42,'General Basis'!$C$43)))),IF(G1083&lt;11,'General Basis'!$B$39,IF(G1083&lt;18,'General Basis'!$B$40,IF(G1083&lt;26,'General Basis'!$B$41,IF(G1083&lt;31,'General Basis'!$B$42,IF(G1083&lt;36,'General Basis'!$B$43,IF(G1083&lt;41,'General Basis'!$B$44,IF(G1083&lt;46,'General Basis'!$B$45,IF(G1083&lt;51,'General Basis'!$B$46,IF(G1083&lt;56,'General Basis'!$B$47,IF(G1083&lt;60,'General Basis'!$B$48,IF(G1083&lt;65,'General Basis'!$B$49,'General Basis'!$B$50)))))))))))))</f>
        <v/>
      </c>
      <c r="BI1083" s="744" t="str">
        <f t="shared" si="379"/>
        <v/>
      </c>
      <c r="BJ1083" s="747" t="str">
        <f t="shared" si="386"/>
        <v/>
      </c>
      <c r="BK1083" s="498" t="str">
        <f t="shared" si="380"/>
        <v/>
      </c>
      <c r="BL1083" s="498" t="str">
        <f t="shared" si="381"/>
        <v/>
      </c>
    </row>
    <row r="1084" spans="1:64" x14ac:dyDescent="0.25">
      <c r="A1084" s="762">
        <f t="shared" si="382"/>
        <v>1079</v>
      </c>
      <c r="B1084" s="229"/>
      <c r="C1084" s="223"/>
      <c r="D1084" s="224"/>
      <c r="E1084" s="225"/>
      <c r="F1084" s="1036" t="str">
        <f t="shared" si="388"/>
        <v/>
      </c>
      <c r="G1084" s="1037" t="str">
        <f t="shared" si="383"/>
        <v/>
      </c>
      <c r="H1084" s="225"/>
      <c r="I1084" s="1013"/>
      <c r="J1084" s="1013"/>
      <c r="K1084" s="1028"/>
      <c r="L1084" s="1035" t="str">
        <f t="shared" si="387"/>
        <v/>
      </c>
      <c r="S1084" s="498"/>
      <c r="AJ1084" s="498"/>
      <c r="AM1084" s="498">
        <f t="shared" si="368"/>
        <v>0</v>
      </c>
      <c r="AN1084" s="498">
        <f t="shared" si="369"/>
        <v>0</v>
      </c>
      <c r="AO1084" s="498">
        <f t="shared" si="370"/>
        <v>0</v>
      </c>
      <c r="AP1084" s="498">
        <f t="shared" si="389"/>
        <v>0</v>
      </c>
      <c r="AQ1084" s="498">
        <f t="shared" si="384"/>
        <v>0</v>
      </c>
      <c r="AU1084" s="498">
        <f t="shared" si="371"/>
        <v>0</v>
      </c>
      <c r="AV1084" s="498">
        <f t="shared" si="372"/>
        <v>0</v>
      </c>
      <c r="AW1084" s="498">
        <f t="shared" si="373"/>
        <v>0</v>
      </c>
      <c r="AX1084" s="498">
        <f t="shared" si="374"/>
        <v>0</v>
      </c>
      <c r="AY1084" s="498">
        <f t="shared" si="375"/>
        <v>0</v>
      </c>
      <c r="BB1084" s="498" t="str">
        <f t="shared" si="376"/>
        <v/>
      </c>
      <c r="BC1084" s="743" t="str">
        <f t="shared" si="377"/>
        <v/>
      </c>
      <c r="BD1084" s="743" t="str">
        <f t="shared" si="378"/>
        <v/>
      </c>
      <c r="BE1084" s="743" t="str">
        <f>IF(D1084="","",VLOOKUP(D1084,'General Basis'!$J$39:$K$46,2,0))</f>
        <v/>
      </c>
      <c r="BF1084" s="744" t="str">
        <f>IF(D1084="","",VLOOKUP(D1084,'General Basis'!$J$39:$L$46,3,0))</f>
        <v/>
      </c>
      <c r="BG1084" s="744" t="str">
        <f t="shared" si="385"/>
        <v/>
      </c>
      <c r="BH1084" s="744" t="str">
        <f>IF(G1084="","",IF(BF1084="Abu Dhabi",IF(G1084&lt;18,'General Basis'!$C$39,IF(G1084&lt;41,'General Basis'!$C$40,IF(G1084&lt;60,'General Basis'!$C$41,IF(G1084&lt;65,'General Basis'!$C$42,'General Basis'!$C$43)))),IF(G1084&lt;11,'General Basis'!$B$39,IF(G1084&lt;18,'General Basis'!$B$40,IF(G1084&lt;26,'General Basis'!$B$41,IF(G1084&lt;31,'General Basis'!$B$42,IF(G1084&lt;36,'General Basis'!$B$43,IF(G1084&lt;41,'General Basis'!$B$44,IF(G1084&lt;46,'General Basis'!$B$45,IF(G1084&lt;51,'General Basis'!$B$46,IF(G1084&lt;56,'General Basis'!$B$47,IF(G1084&lt;60,'General Basis'!$B$48,IF(G1084&lt;65,'General Basis'!$B$49,'General Basis'!$B$50)))))))))))))</f>
        <v/>
      </c>
      <c r="BI1084" s="744" t="str">
        <f t="shared" si="379"/>
        <v/>
      </c>
      <c r="BJ1084" s="747" t="str">
        <f t="shared" si="386"/>
        <v/>
      </c>
      <c r="BK1084" s="498" t="str">
        <f t="shared" si="380"/>
        <v/>
      </c>
      <c r="BL1084" s="498" t="str">
        <f t="shared" si="381"/>
        <v/>
      </c>
    </row>
    <row r="1085" spans="1:64" x14ac:dyDescent="0.25">
      <c r="A1085" s="762">
        <f t="shared" si="382"/>
        <v>1080</v>
      </c>
      <c r="B1085" s="229"/>
      <c r="C1085" s="223"/>
      <c r="D1085" s="224"/>
      <c r="E1085" s="225"/>
      <c r="F1085" s="1036" t="str">
        <f t="shared" si="388"/>
        <v/>
      </c>
      <c r="G1085" s="1037" t="str">
        <f t="shared" si="383"/>
        <v/>
      </c>
      <c r="H1085" s="225"/>
      <c r="I1085" s="1013"/>
      <c r="J1085" s="1013"/>
      <c r="K1085" s="1028"/>
      <c r="L1085" s="1035" t="str">
        <f t="shared" si="387"/>
        <v/>
      </c>
      <c r="S1085" s="498"/>
      <c r="AJ1085" s="498"/>
      <c r="AM1085" s="498">
        <f t="shared" si="368"/>
        <v>0</v>
      </c>
      <c r="AN1085" s="498">
        <f t="shared" si="369"/>
        <v>0</v>
      </c>
      <c r="AO1085" s="498">
        <f t="shared" si="370"/>
        <v>0</v>
      </c>
      <c r="AP1085" s="498">
        <f t="shared" si="389"/>
        <v>0</v>
      </c>
      <c r="AQ1085" s="498">
        <f t="shared" si="384"/>
        <v>0</v>
      </c>
      <c r="AU1085" s="498">
        <f t="shared" si="371"/>
        <v>0</v>
      </c>
      <c r="AV1085" s="498">
        <f t="shared" si="372"/>
        <v>0</v>
      </c>
      <c r="AW1085" s="498">
        <f t="shared" si="373"/>
        <v>0</v>
      </c>
      <c r="AX1085" s="498">
        <f t="shared" si="374"/>
        <v>0</v>
      </c>
      <c r="AY1085" s="498">
        <f t="shared" si="375"/>
        <v>0</v>
      </c>
      <c r="BB1085" s="498" t="str">
        <f t="shared" si="376"/>
        <v/>
      </c>
      <c r="BC1085" s="743" t="str">
        <f t="shared" si="377"/>
        <v/>
      </c>
      <c r="BD1085" s="743" t="str">
        <f t="shared" si="378"/>
        <v/>
      </c>
      <c r="BE1085" s="743" t="str">
        <f>IF(D1085="","",VLOOKUP(D1085,'General Basis'!$J$39:$K$46,2,0))</f>
        <v/>
      </c>
      <c r="BF1085" s="744" t="str">
        <f>IF(D1085="","",VLOOKUP(D1085,'General Basis'!$J$39:$L$46,3,0))</f>
        <v/>
      </c>
      <c r="BG1085" s="744" t="str">
        <f t="shared" si="385"/>
        <v/>
      </c>
      <c r="BH1085" s="744" t="str">
        <f>IF(G1085="","",IF(BF1085="Abu Dhabi",IF(G1085&lt;18,'General Basis'!$C$39,IF(G1085&lt;41,'General Basis'!$C$40,IF(G1085&lt;60,'General Basis'!$C$41,IF(G1085&lt;65,'General Basis'!$C$42,'General Basis'!$C$43)))),IF(G1085&lt;11,'General Basis'!$B$39,IF(G1085&lt;18,'General Basis'!$B$40,IF(G1085&lt;26,'General Basis'!$B$41,IF(G1085&lt;31,'General Basis'!$B$42,IF(G1085&lt;36,'General Basis'!$B$43,IF(G1085&lt;41,'General Basis'!$B$44,IF(G1085&lt;46,'General Basis'!$B$45,IF(G1085&lt;51,'General Basis'!$B$46,IF(G1085&lt;56,'General Basis'!$B$47,IF(G1085&lt;60,'General Basis'!$B$48,IF(G1085&lt;65,'General Basis'!$B$49,'General Basis'!$B$50)))))))))))))</f>
        <v/>
      </c>
      <c r="BI1085" s="744" t="str">
        <f t="shared" si="379"/>
        <v/>
      </c>
      <c r="BJ1085" s="747" t="str">
        <f t="shared" si="386"/>
        <v/>
      </c>
      <c r="BK1085" s="498" t="str">
        <f t="shared" si="380"/>
        <v/>
      </c>
      <c r="BL1085" s="498" t="str">
        <f t="shared" si="381"/>
        <v/>
      </c>
    </row>
    <row r="1086" spans="1:64" x14ac:dyDescent="0.25">
      <c r="A1086" s="762">
        <f t="shared" si="382"/>
        <v>1081</v>
      </c>
      <c r="B1086" s="229"/>
      <c r="C1086" s="223"/>
      <c r="D1086" s="224"/>
      <c r="E1086" s="225"/>
      <c r="F1086" s="1036" t="str">
        <f t="shared" si="388"/>
        <v/>
      </c>
      <c r="G1086" s="1037" t="str">
        <f t="shared" si="383"/>
        <v/>
      </c>
      <c r="H1086" s="225"/>
      <c r="I1086" s="1013"/>
      <c r="J1086" s="1013"/>
      <c r="K1086" s="1028"/>
      <c r="L1086" s="1035" t="str">
        <f t="shared" si="387"/>
        <v/>
      </c>
      <c r="S1086" s="498"/>
      <c r="AJ1086" s="498"/>
      <c r="AM1086" s="498">
        <f t="shared" si="368"/>
        <v>0</v>
      </c>
      <c r="AN1086" s="498">
        <f t="shared" si="369"/>
        <v>0</v>
      </c>
      <c r="AO1086" s="498">
        <f t="shared" si="370"/>
        <v>0</v>
      </c>
      <c r="AP1086" s="498">
        <f t="shared" si="389"/>
        <v>0</v>
      </c>
      <c r="AQ1086" s="498">
        <f t="shared" si="384"/>
        <v>0</v>
      </c>
      <c r="AU1086" s="498">
        <f t="shared" si="371"/>
        <v>0</v>
      </c>
      <c r="AV1086" s="498">
        <f t="shared" si="372"/>
        <v>0</v>
      </c>
      <c r="AW1086" s="498">
        <f t="shared" si="373"/>
        <v>0</v>
      </c>
      <c r="AX1086" s="498">
        <f t="shared" si="374"/>
        <v>0</v>
      </c>
      <c r="AY1086" s="498">
        <f t="shared" si="375"/>
        <v>0</v>
      </c>
      <c r="BB1086" s="498" t="str">
        <f t="shared" si="376"/>
        <v/>
      </c>
      <c r="BC1086" s="743" t="str">
        <f t="shared" si="377"/>
        <v/>
      </c>
      <c r="BD1086" s="743" t="str">
        <f t="shared" si="378"/>
        <v/>
      </c>
      <c r="BE1086" s="743" t="str">
        <f>IF(D1086="","",VLOOKUP(D1086,'General Basis'!$J$39:$K$46,2,0))</f>
        <v/>
      </c>
      <c r="BF1086" s="744" t="str">
        <f>IF(D1086="","",VLOOKUP(D1086,'General Basis'!$J$39:$L$46,3,0))</f>
        <v/>
      </c>
      <c r="BG1086" s="744" t="str">
        <f t="shared" si="385"/>
        <v/>
      </c>
      <c r="BH1086" s="744" t="str">
        <f>IF(G1086="","",IF(BF1086="Abu Dhabi",IF(G1086&lt;18,'General Basis'!$C$39,IF(G1086&lt;41,'General Basis'!$C$40,IF(G1086&lt;60,'General Basis'!$C$41,IF(G1086&lt;65,'General Basis'!$C$42,'General Basis'!$C$43)))),IF(G1086&lt;11,'General Basis'!$B$39,IF(G1086&lt;18,'General Basis'!$B$40,IF(G1086&lt;26,'General Basis'!$B$41,IF(G1086&lt;31,'General Basis'!$B$42,IF(G1086&lt;36,'General Basis'!$B$43,IF(G1086&lt;41,'General Basis'!$B$44,IF(G1086&lt;46,'General Basis'!$B$45,IF(G1086&lt;51,'General Basis'!$B$46,IF(G1086&lt;56,'General Basis'!$B$47,IF(G1086&lt;60,'General Basis'!$B$48,IF(G1086&lt;65,'General Basis'!$B$49,'General Basis'!$B$50)))))))))))))</f>
        <v/>
      </c>
      <c r="BI1086" s="744" t="str">
        <f t="shared" si="379"/>
        <v/>
      </c>
      <c r="BJ1086" s="747" t="str">
        <f t="shared" si="386"/>
        <v/>
      </c>
      <c r="BK1086" s="498" t="str">
        <f t="shared" si="380"/>
        <v/>
      </c>
      <c r="BL1086" s="498" t="str">
        <f t="shared" si="381"/>
        <v/>
      </c>
    </row>
    <row r="1087" spans="1:64" x14ac:dyDescent="0.25">
      <c r="A1087" s="762">
        <f t="shared" si="382"/>
        <v>1082</v>
      </c>
      <c r="B1087" s="229"/>
      <c r="C1087" s="223"/>
      <c r="D1087" s="224"/>
      <c r="E1087" s="225"/>
      <c r="F1087" s="1036" t="str">
        <f t="shared" si="388"/>
        <v/>
      </c>
      <c r="G1087" s="1037" t="str">
        <f t="shared" si="383"/>
        <v/>
      </c>
      <c r="H1087" s="225"/>
      <c r="I1087" s="1013"/>
      <c r="J1087" s="1013"/>
      <c r="K1087" s="1028"/>
      <c r="L1087" s="1035" t="str">
        <f t="shared" si="387"/>
        <v/>
      </c>
      <c r="S1087" s="498"/>
      <c r="AJ1087" s="498"/>
      <c r="AM1087" s="498">
        <f t="shared" si="368"/>
        <v>0</v>
      </c>
      <c r="AN1087" s="498">
        <f t="shared" si="369"/>
        <v>0</v>
      </c>
      <c r="AO1087" s="498">
        <f t="shared" si="370"/>
        <v>0</v>
      </c>
      <c r="AP1087" s="498">
        <f t="shared" si="389"/>
        <v>0</v>
      </c>
      <c r="AQ1087" s="498">
        <f t="shared" si="384"/>
        <v>0</v>
      </c>
      <c r="AU1087" s="498">
        <f t="shared" si="371"/>
        <v>0</v>
      </c>
      <c r="AV1087" s="498">
        <f t="shared" si="372"/>
        <v>0</v>
      </c>
      <c r="AW1087" s="498">
        <f t="shared" si="373"/>
        <v>0</v>
      </c>
      <c r="AX1087" s="498">
        <f t="shared" si="374"/>
        <v>0</v>
      </c>
      <c r="AY1087" s="498">
        <f t="shared" si="375"/>
        <v>0</v>
      </c>
      <c r="BB1087" s="498" t="str">
        <f t="shared" si="376"/>
        <v/>
      </c>
      <c r="BC1087" s="743" t="str">
        <f t="shared" si="377"/>
        <v/>
      </c>
      <c r="BD1087" s="743" t="str">
        <f t="shared" si="378"/>
        <v/>
      </c>
      <c r="BE1087" s="743" t="str">
        <f>IF(D1087="","",VLOOKUP(D1087,'General Basis'!$J$39:$K$46,2,0))</f>
        <v/>
      </c>
      <c r="BF1087" s="744" t="str">
        <f>IF(D1087="","",VLOOKUP(D1087,'General Basis'!$J$39:$L$46,3,0))</f>
        <v/>
      </c>
      <c r="BG1087" s="744" t="str">
        <f t="shared" si="385"/>
        <v/>
      </c>
      <c r="BH1087" s="744" t="str">
        <f>IF(G1087="","",IF(BF1087="Abu Dhabi",IF(G1087&lt;18,'General Basis'!$C$39,IF(G1087&lt;41,'General Basis'!$C$40,IF(G1087&lt;60,'General Basis'!$C$41,IF(G1087&lt;65,'General Basis'!$C$42,'General Basis'!$C$43)))),IF(G1087&lt;11,'General Basis'!$B$39,IF(G1087&lt;18,'General Basis'!$B$40,IF(G1087&lt;26,'General Basis'!$B$41,IF(G1087&lt;31,'General Basis'!$B$42,IF(G1087&lt;36,'General Basis'!$B$43,IF(G1087&lt;41,'General Basis'!$B$44,IF(G1087&lt;46,'General Basis'!$B$45,IF(G1087&lt;51,'General Basis'!$B$46,IF(G1087&lt;56,'General Basis'!$B$47,IF(G1087&lt;60,'General Basis'!$B$48,IF(G1087&lt;65,'General Basis'!$B$49,'General Basis'!$B$50)))))))))))))</f>
        <v/>
      </c>
      <c r="BI1087" s="744" t="str">
        <f t="shared" si="379"/>
        <v/>
      </c>
      <c r="BJ1087" s="747" t="str">
        <f t="shared" si="386"/>
        <v/>
      </c>
      <c r="BK1087" s="498" t="str">
        <f t="shared" si="380"/>
        <v/>
      </c>
      <c r="BL1087" s="498" t="str">
        <f t="shared" si="381"/>
        <v/>
      </c>
    </row>
    <row r="1088" spans="1:64" x14ac:dyDescent="0.25">
      <c r="A1088" s="762">
        <f t="shared" si="382"/>
        <v>1083</v>
      </c>
      <c r="B1088" s="229"/>
      <c r="C1088" s="223"/>
      <c r="D1088" s="224"/>
      <c r="E1088" s="225"/>
      <c r="F1088" s="1036" t="str">
        <f t="shared" si="388"/>
        <v/>
      </c>
      <c r="G1088" s="1037" t="str">
        <f t="shared" si="383"/>
        <v/>
      </c>
      <c r="H1088" s="225"/>
      <c r="I1088" s="1013"/>
      <c r="J1088" s="1013"/>
      <c r="K1088" s="1028"/>
      <c r="L1088" s="1035" t="str">
        <f t="shared" si="387"/>
        <v/>
      </c>
      <c r="S1088" s="498"/>
      <c r="AJ1088" s="498"/>
      <c r="AM1088" s="498">
        <f t="shared" si="368"/>
        <v>0</v>
      </c>
      <c r="AN1088" s="498">
        <f t="shared" si="369"/>
        <v>0</v>
      </c>
      <c r="AO1088" s="498">
        <f t="shared" si="370"/>
        <v>0</v>
      </c>
      <c r="AP1088" s="498">
        <f t="shared" si="389"/>
        <v>0</v>
      </c>
      <c r="AQ1088" s="498">
        <f t="shared" si="384"/>
        <v>0</v>
      </c>
      <c r="AU1088" s="498">
        <f t="shared" si="371"/>
        <v>0</v>
      </c>
      <c r="AV1088" s="498">
        <f t="shared" si="372"/>
        <v>0</v>
      </c>
      <c r="AW1088" s="498">
        <f t="shared" si="373"/>
        <v>0</v>
      </c>
      <c r="AX1088" s="498">
        <f t="shared" si="374"/>
        <v>0</v>
      </c>
      <c r="AY1088" s="498">
        <f t="shared" si="375"/>
        <v>0</v>
      </c>
      <c r="BB1088" s="498" t="str">
        <f t="shared" si="376"/>
        <v/>
      </c>
      <c r="BC1088" s="743" t="str">
        <f t="shared" si="377"/>
        <v/>
      </c>
      <c r="BD1088" s="743" t="str">
        <f t="shared" si="378"/>
        <v/>
      </c>
      <c r="BE1088" s="743" t="str">
        <f>IF(D1088="","",VLOOKUP(D1088,'General Basis'!$J$39:$K$46,2,0))</f>
        <v/>
      </c>
      <c r="BF1088" s="744" t="str">
        <f>IF(D1088="","",VLOOKUP(D1088,'General Basis'!$J$39:$L$46,3,0))</f>
        <v/>
      </c>
      <c r="BG1088" s="744" t="str">
        <f t="shared" si="385"/>
        <v/>
      </c>
      <c r="BH1088" s="744" t="str">
        <f>IF(G1088="","",IF(BF1088="Abu Dhabi",IF(G1088&lt;18,'General Basis'!$C$39,IF(G1088&lt;41,'General Basis'!$C$40,IF(G1088&lt;60,'General Basis'!$C$41,IF(G1088&lt;65,'General Basis'!$C$42,'General Basis'!$C$43)))),IF(G1088&lt;11,'General Basis'!$B$39,IF(G1088&lt;18,'General Basis'!$B$40,IF(G1088&lt;26,'General Basis'!$B$41,IF(G1088&lt;31,'General Basis'!$B$42,IF(G1088&lt;36,'General Basis'!$B$43,IF(G1088&lt;41,'General Basis'!$B$44,IF(G1088&lt;46,'General Basis'!$B$45,IF(G1088&lt;51,'General Basis'!$B$46,IF(G1088&lt;56,'General Basis'!$B$47,IF(G1088&lt;60,'General Basis'!$B$48,IF(G1088&lt;65,'General Basis'!$B$49,'General Basis'!$B$50)))))))))))))</f>
        <v/>
      </c>
      <c r="BI1088" s="744" t="str">
        <f t="shared" si="379"/>
        <v/>
      </c>
      <c r="BJ1088" s="747" t="str">
        <f t="shared" si="386"/>
        <v/>
      </c>
      <c r="BK1088" s="498" t="str">
        <f t="shared" si="380"/>
        <v/>
      </c>
      <c r="BL1088" s="498" t="str">
        <f t="shared" si="381"/>
        <v/>
      </c>
    </row>
    <row r="1089" spans="1:64" x14ac:dyDescent="0.25">
      <c r="A1089" s="762">
        <f t="shared" si="382"/>
        <v>1084</v>
      </c>
      <c r="B1089" s="229"/>
      <c r="C1089" s="223"/>
      <c r="D1089" s="224"/>
      <c r="E1089" s="225"/>
      <c r="F1089" s="1036" t="str">
        <f t="shared" si="388"/>
        <v/>
      </c>
      <c r="G1089" s="1037" t="str">
        <f t="shared" si="383"/>
        <v/>
      </c>
      <c r="H1089" s="225"/>
      <c r="I1089" s="1013"/>
      <c r="J1089" s="1013"/>
      <c r="K1089" s="1028"/>
      <c r="L1089" s="1035" t="str">
        <f t="shared" si="387"/>
        <v/>
      </c>
      <c r="S1089" s="498"/>
      <c r="AJ1089" s="498"/>
      <c r="AM1089" s="498">
        <f t="shared" si="368"/>
        <v>0</v>
      </c>
      <c r="AN1089" s="498">
        <f t="shared" si="369"/>
        <v>0</v>
      </c>
      <c r="AO1089" s="498">
        <f t="shared" si="370"/>
        <v>0</v>
      </c>
      <c r="AP1089" s="498">
        <f t="shared" si="389"/>
        <v>0</v>
      </c>
      <c r="AQ1089" s="498">
        <f t="shared" si="384"/>
        <v>0</v>
      </c>
      <c r="AU1089" s="498">
        <f t="shared" si="371"/>
        <v>0</v>
      </c>
      <c r="AV1089" s="498">
        <f t="shared" si="372"/>
        <v>0</v>
      </c>
      <c r="AW1089" s="498">
        <f t="shared" si="373"/>
        <v>0</v>
      </c>
      <c r="AX1089" s="498">
        <f t="shared" si="374"/>
        <v>0</v>
      </c>
      <c r="AY1089" s="498">
        <f t="shared" si="375"/>
        <v>0</v>
      </c>
      <c r="BB1089" s="498" t="str">
        <f t="shared" si="376"/>
        <v/>
      </c>
      <c r="BC1089" s="743" t="str">
        <f t="shared" si="377"/>
        <v/>
      </c>
      <c r="BD1089" s="743" t="str">
        <f t="shared" si="378"/>
        <v/>
      </c>
      <c r="BE1089" s="743" t="str">
        <f>IF(D1089="","",VLOOKUP(D1089,'General Basis'!$J$39:$K$46,2,0))</f>
        <v/>
      </c>
      <c r="BF1089" s="744" t="str">
        <f>IF(D1089="","",VLOOKUP(D1089,'General Basis'!$J$39:$L$46,3,0))</f>
        <v/>
      </c>
      <c r="BG1089" s="744" t="str">
        <f t="shared" si="385"/>
        <v/>
      </c>
      <c r="BH1089" s="744" t="str">
        <f>IF(G1089="","",IF(BF1089="Abu Dhabi",IF(G1089&lt;18,'General Basis'!$C$39,IF(G1089&lt;41,'General Basis'!$C$40,IF(G1089&lt;60,'General Basis'!$C$41,IF(G1089&lt;65,'General Basis'!$C$42,'General Basis'!$C$43)))),IF(G1089&lt;11,'General Basis'!$B$39,IF(G1089&lt;18,'General Basis'!$B$40,IF(G1089&lt;26,'General Basis'!$B$41,IF(G1089&lt;31,'General Basis'!$B$42,IF(G1089&lt;36,'General Basis'!$B$43,IF(G1089&lt;41,'General Basis'!$B$44,IF(G1089&lt;46,'General Basis'!$B$45,IF(G1089&lt;51,'General Basis'!$B$46,IF(G1089&lt;56,'General Basis'!$B$47,IF(G1089&lt;60,'General Basis'!$B$48,IF(G1089&lt;65,'General Basis'!$B$49,'General Basis'!$B$50)))))))))))))</f>
        <v/>
      </c>
      <c r="BI1089" s="744" t="str">
        <f t="shared" si="379"/>
        <v/>
      </c>
      <c r="BJ1089" s="747" t="str">
        <f t="shared" si="386"/>
        <v/>
      </c>
      <c r="BK1089" s="498" t="str">
        <f t="shared" si="380"/>
        <v/>
      </c>
      <c r="BL1089" s="498" t="str">
        <f t="shared" si="381"/>
        <v/>
      </c>
    </row>
    <row r="1090" spans="1:64" x14ac:dyDescent="0.25">
      <c r="A1090" s="762">
        <f t="shared" si="382"/>
        <v>1085</v>
      </c>
      <c r="B1090" s="229"/>
      <c r="C1090" s="223"/>
      <c r="D1090" s="224"/>
      <c r="E1090" s="225"/>
      <c r="F1090" s="1036" t="str">
        <f t="shared" si="388"/>
        <v/>
      </c>
      <c r="G1090" s="1037" t="str">
        <f t="shared" si="383"/>
        <v/>
      </c>
      <c r="H1090" s="225"/>
      <c r="I1090" s="1013"/>
      <c r="J1090" s="1013"/>
      <c r="K1090" s="1028"/>
      <c r="L1090" s="1035" t="str">
        <f t="shared" si="387"/>
        <v/>
      </c>
      <c r="S1090" s="498"/>
      <c r="AJ1090" s="498"/>
      <c r="AM1090" s="498">
        <f t="shared" si="368"/>
        <v>0</v>
      </c>
      <c r="AN1090" s="498">
        <f t="shared" si="369"/>
        <v>0</v>
      </c>
      <c r="AO1090" s="498">
        <f t="shared" si="370"/>
        <v>0</v>
      </c>
      <c r="AP1090" s="498">
        <f t="shared" si="389"/>
        <v>0</v>
      </c>
      <c r="AQ1090" s="498">
        <f t="shared" si="384"/>
        <v>0</v>
      </c>
      <c r="AU1090" s="498">
        <f t="shared" si="371"/>
        <v>0</v>
      </c>
      <c r="AV1090" s="498">
        <f t="shared" si="372"/>
        <v>0</v>
      </c>
      <c r="AW1090" s="498">
        <f t="shared" si="373"/>
        <v>0</v>
      </c>
      <c r="AX1090" s="498">
        <f t="shared" si="374"/>
        <v>0</v>
      </c>
      <c r="AY1090" s="498">
        <f t="shared" si="375"/>
        <v>0</v>
      </c>
      <c r="BB1090" s="498" t="str">
        <f t="shared" si="376"/>
        <v/>
      </c>
      <c r="BC1090" s="743" t="str">
        <f t="shared" si="377"/>
        <v/>
      </c>
      <c r="BD1090" s="743" t="str">
        <f t="shared" si="378"/>
        <v/>
      </c>
      <c r="BE1090" s="743" t="str">
        <f>IF(D1090="","",VLOOKUP(D1090,'General Basis'!$J$39:$K$46,2,0))</f>
        <v/>
      </c>
      <c r="BF1090" s="744" t="str">
        <f>IF(D1090="","",VLOOKUP(D1090,'General Basis'!$J$39:$L$46,3,0))</f>
        <v/>
      </c>
      <c r="BG1090" s="744" t="str">
        <f t="shared" si="385"/>
        <v/>
      </c>
      <c r="BH1090" s="744" t="str">
        <f>IF(G1090="","",IF(BF1090="Abu Dhabi",IF(G1090&lt;18,'General Basis'!$C$39,IF(G1090&lt;41,'General Basis'!$C$40,IF(G1090&lt;60,'General Basis'!$C$41,IF(G1090&lt;65,'General Basis'!$C$42,'General Basis'!$C$43)))),IF(G1090&lt;11,'General Basis'!$B$39,IF(G1090&lt;18,'General Basis'!$B$40,IF(G1090&lt;26,'General Basis'!$B$41,IF(G1090&lt;31,'General Basis'!$B$42,IF(G1090&lt;36,'General Basis'!$B$43,IF(G1090&lt;41,'General Basis'!$B$44,IF(G1090&lt;46,'General Basis'!$B$45,IF(G1090&lt;51,'General Basis'!$B$46,IF(G1090&lt;56,'General Basis'!$B$47,IF(G1090&lt;60,'General Basis'!$B$48,IF(G1090&lt;65,'General Basis'!$B$49,'General Basis'!$B$50)))))))))))))</f>
        <v/>
      </c>
      <c r="BI1090" s="744" t="str">
        <f t="shared" si="379"/>
        <v/>
      </c>
      <c r="BJ1090" s="747" t="str">
        <f t="shared" si="386"/>
        <v/>
      </c>
      <c r="BK1090" s="498" t="str">
        <f t="shared" si="380"/>
        <v/>
      </c>
      <c r="BL1090" s="498" t="str">
        <f t="shared" si="381"/>
        <v/>
      </c>
    </row>
    <row r="1091" spans="1:64" x14ac:dyDescent="0.25">
      <c r="A1091" s="762">
        <f t="shared" si="382"/>
        <v>1086</v>
      </c>
      <c r="B1091" s="229"/>
      <c r="C1091" s="223"/>
      <c r="D1091" s="224"/>
      <c r="E1091" s="225"/>
      <c r="F1091" s="1036" t="str">
        <f t="shared" si="388"/>
        <v/>
      </c>
      <c r="G1091" s="1037" t="str">
        <f t="shared" si="383"/>
        <v/>
      </c>
      <c r="H1091" s="225"/>
      <c r="I1091" s="1013"/>
      <c r="J1091" s="1013"/>
      <c r="K1091" s="1028"/>
      <c r="L1091" s="1035" t="str">
        <f t="shared" si="387"/>
        <v/>
      </c>
      <c r="S1091" s="498"/>
      <c r="AJ1091" s="498"/>
      <c r="AM1091" s="498">
        <f t="shared" si="368"/>
        <v>0</v>
      </c>
      <c r="AN1091" s="498">
        <f t="shared" si="369"/>
        <v>0</v>
      </c>
      <c r="AO1091" s="498">
        <f t="shared" si="370"/>
        <v>0</v>
      </c>
      <c r="AP1091" s="498">
        <f t="shared" si="389"/>
        <v>0</v>
      </c>
      <c r="AQ1091" s="498">
        <f t="shared" si="384"/>
        <v>0</v>
      </c>
      <c r="AU1091" s="498">
        <f t="shared" si="371"/>
        <v>0</v>
      </c>
      <c r="AV1091" s="498">
        <f t="shared" si="372"/>
        <v>0</v>
      </c>
      <c r="AW1091" s="498">
        <f t="shared" si="373"/>
        <v>0</v>
      </c>
      <c r="AX1091" s="498">
        <f t="shared" si="374"/>
        <v>0</v>
      </c>
      <c r="AY1091" s="498">
        <f t="shared" si="375"/>
        <v>0</v>
      </c>
      <c r="BB1091" s="498" t="str">
        <f t="shared" si="376"/>
        <v/>
      </c>
      <c r="BC1091" s="743" t="str">
        <f t="shared" si="377"/>
        <v/>
      </c>
      <c r="BD1091" s="743" t="str">
        <f t="shared" si="378"/>
        <v/>
      </c>
      <c r="BE1091" s="743" t="str">
        <f>IF(D1091="","",VLOOKUP(D1091,'General Basis'!$J$39:$K$46,2,0))</f>
        <v/>
      </c>
      <c r="BF1091" s="744" t="str">
        <f>IF(D1091="","",VLOOKUP(D1091,'General Basis'!$J$39:$L$46,3,0))</f>
        <v/>
      </c>
      <c r="BG1091" s="744" t="str">
        <f t="shared" si="385"/>
        <v/>
      </c>
      <c r="BH1091" s="744" t="str">
        <f>IF(G1091="","",IF(BF1091="Abu Dhabi",IF(G1091&lt;18,'General Basis'!$C$39,IF(G1091&lt;41,'General Basis'!$C$40,IF(G1091&lt;60,'General Basis'!$C$41,IF(G1091&lt;65,'General Basis'!$C$42,'General Basis'!$C$43)))),IF(G1091&lt;11,'General Basis'!$B$39,IF(G1091&lt;18,'General Basis'!$B$40,IF(G1091&lt;26,'General Basis'!$B$41,IF(G1091&lt;31,'General Basis'!$B$42,IF(G1091&lt;36,'General Basis'!$B$43,IF(G1091&lt;41,'General Basis'!$B$44,IF(G1091&lt;46,'General Basis'!$B$45,IF(G1091&lt;51,'General Basis'!$B$46,IF(G1091&lt;56,'General Basis'!$B$47,IF(G1091&lt;60,'General Basis'!$B$48,IF(G1091&lt;65,'General Basis'!$B$49,'General Basis'!$B$50)))))))))))))</f>
        <v/>
      </c>
      <c r="BI1091" s="744" t="str">
        <f t="shared" si="379"/>
        <v/>
      </c>
      <c r="BJ1091" s="747" t="str">
        <f t="shared" si="386"/>
        <v/>
      </c>
      <c r="BK1091" s="498" t="str">
        <f t="shared" si="380"/>
        <v/>
      </c>
      <c r="BL1091" s="498" t="str">
        <f t="shared" si="381"/>
        <v/>
      </c>
    </row>
    <row r="1092" spans="1:64" x14ac:dyDescent="0.25">
      <c r="A1092" s="762">
        <f t="shared" si="382"/>
        <v>1087</v>
      </c>
      <c r="B1092" s="229"/>
      <c r="C1092" s="223"/>
      <c r="D1092" s="224"/>
      <c r="E1092" s="225"/>
      <c r="F1092" s="1036" t="str">
        <f t="shared" si="388"/>
        <v/>
      </c>
      <c r="G1092" s="1037" t="str">
        <f t="shared" si="383"/>
        <v/>
      </c>
      <c r="H1092" s="225"/>
      <c r="I1092" s="1013"/>
      <c r="J1092" s="1013"/>
      <c r="K1092" s="1028"/>
      <c r="L1092" s="1035" t="str">
        <f t="shared" si="387"/>
        <v/>
      </c>
      <c r="S1092" s="498"/>
      <c r="AJ1092" s="498"/>
      <c r="AM1092" s="498">
        <f t="shared" si="368"/>
        <v>0</v>
      </c>
      <c r="AN1092" s="498">
        <f t="shared" si="369"/>
        <v>0</v>
      </c>
      <c r="AO1092" s="498">
        <f t="shared" si="370"/>
        <v>0</v>
      </c>
      <c r="AP1092" s="498">
        <f t="shared" si="389"/>
        <v>0</v>
      </c>
      <c r="AQ1092" s="498">
        <f t="shared" si="384"/>
        <v>0</v>
      </c>
      <c r="AU1092" s="498">
        <f t="shared" si="371"/>
        <v>0</v>
      </c>
      <c r="AV1092" s="498">
        <f t="shared" si="372"/>
        <v>0</v>
      </c>
      <c r="AW1092" s="498">
        <f t="shared" si="373"/>
        <v>0</v>
      </c>
      <c r="AX1092" s="498">
        <f t="shared" si="374"/>
        <v>0</v>
      </c>
      <c r="AY1092" s="498">
        <f t="shared" si="375"/>
        <v>0</v>
      </c>
      <c r="BB1092" s="498" t="str">
        <f t="shared" si="376"/>
        <v/>
      </c>
      <c r="BC1092" s="743" t="str">
        <f t="shared" si="377"/>
        <v/>
      </c>
      <c r="BD1092" s="743" t="str">
        <f t="shared" si="378"/>
        <v/>
      </c>
      <c r="BE1092" s="743" t="str">
        <f>IF(D1092="","",VLOOKUP(D1092,'General Basis'!$J$39:$K$46,2,0))</f>
        <v/>
      </c>
      <c r="BF1092" s="744" t="str">
        <f>IF(D1092="","",VLOOKUP(D1092,'General Basis'!$J$39:$L$46,3,0))</f>
        <v/>
      </c>
      <c r="BG1092" s="744" t="str">
        <f t="shared" si="385"/>
        <v/>
      </c>
      <c r="BH1092" s="744" t="str">
        <f>IF(G1092="","",IF(BF1092="Abu Dhabi",IF(G1092&lt;18,'General Basis'!$C$39,IF(G1092&lt;41,'General Basis'!$C$40,IF(G1092&lt;60,'General Basis'!$C$41,IF(G1092&lt;65,'General Basis'!$C$42,'General Basis'!$C$43)))),IF(G1092&lt;11,'General Basis'!$B$39,IF(G1092&lt;18,'General Basis'!$B$40,IF(G1092&lt;26,'General Basis'!$B$41,IF(G1092&lt;31,'General Basis'!$B$42,IF(G1092&lt;36,'General Basis'!$B$43,IF(G1092&lt;41,'General Basis'!$B$44,IF(G1092&lt;46,'General Basis'!$B$45,IF(G1092&lt;51,'General Basis'!$B$46,IF(G1092&lt;56,'General Basis'!$B$47,IF(G1092&lt;60,'General Basis'!$B$48,IF(G1092&lt;65,'General Basis'!$B$49,'General Basis'!$B$50)))))))))))))</f>
        <v/>
      </c>
      <c r="BI1092" s="744" t="str">
        <f t="shared" si="379"/>
        <v/>
      </c>
      <c r="BJ1092" s="747" t="str">
        <f t="shared" si="386"/>
        <v/>
      </c>
      <c r="BK1092" s="498" t="str">
        <f t="shared" si="380"/>
        <v/>
      </c>
      <c r="BL1092" s="498" t="str">
        <f t="shared" si="381"/>
        <v/>
      </c>
    </row>
    <row r="1093" spans="1:64" x14ac:dyDescent="0.25">
      <c r="A1093" s="762">
        <f t="shared" si="382"/>
        <v>1088</v>
      </c>
      <c r="B1093" s="229"/>
      <c r="C1093" s="223"/>
      <c r="D1093" s="224"/>
      <c r="E1093" s="225"/>
      <c r="F1093" s="1036" t="str">
        <f t="shared" si="388"/>
        <v/>
      </c>
      <c r="G1093" s="1037" t="str">
        <f t="shared" si="383"/>
        <v/>
      </c>
      <c r="H1093" s="225"/>
      <c r="I1093" s="1013"/>
      <c r="J1093" s="1013"/>
      <c r="K1093" s="1028"/>
      <c r="L1093" s="1035" t="str">
        <f t="shared" si="387"/>
        <v/>
      </c>
      <c r="S1093" s="498"/>
      <c r="AJ1093" s="498"/>
      <c r="AM1093" s="498">
        <f t="shared" si="368"/>
        <v>0</v>
      </c>
      <c r="AN1093" s="498">
        <f t="shared" si="369"/>
        <v>0</v>
      </c>
      <c r="AO1093" s="498">
        <f t="shared" si="370"/>
        <v>0</v>
      </c>
      <c r="AP1093" s="498">
        <f t="shared" si="389"/>
        <v>0</v>
      </c>
      <c r="AQ1093" s="498">
        <f t="shared" si="384"/>
        <v>0</v>
      </c>
      <c r="AU1093" s="498">
        <f t="shared" si="371"/>
        <v>0</v>
      </c>
      <c r="AV1093" s="498">
        <f t="shared" si="372"/>
        <v>0</v>
      </c>
      <c r="AW1093" s="498">
        <f t="shared" si="373"/>
        <v>0</v>
      </c>
      <c r="AX1093" s="498">
        <f t="shared" si="374"/>
        <v>0</v>
      </c>
      <c r="AY1093" s="498">
        <f t="shared" si="375"/>
        <v>0</v>
      </c>
      <c r="BB1093" s="498" t="str">
        <f t="shared" si="376"/>
        <v/>
      </c>
      <c r="BC1093" s="743" t="str">
        <f t="shared" si="377"/>
        <v/>
      </c>
      <c r="BD1093" s="743" t="str">
        <f t="shared" si="378"/>
        <v/>
      </c>
      <c r="BE1093" s="743" t="str">
        <f>IF(D1093="","",VLOOKUP(D1093,'General Basis'!$J$39:$K$46,2,0))</f>
        <v/>
      </c>
      <c r="BF1093" s="744" t="str">
        <f>IF(D1093="","",VLOOKUP(D1093,'General Basis'!$J$39:$L$46,3,0))</f>
        <v/>
      </c>
      <c r="BG1093" s="744" t="str">
        <f t="shared" si="385"/>
        <v/>
      </c>
      <c r="BH1093" s="744" t="str">
        <f>IF(G1093="","",IF(BF1093="Abu Dhabi",IF(G1093&lt;18,'General Basis'!$C$39,IF(G1093&lt;41,'General Basis'!$C$40,IF(G1093&lt;60,'General Basis'!$C$41,IF(G1093&lt;65,'General Basis'!$C$42,'General Basis'!$C$43)))),IF(G1093&lt;11,'General Basis'!$B$39,IF(G1093&lt;18,'General Basis'!$B$40,IF(G1093&lt;26,'General Basis'!$B$41,IF(G1093&lt;31,'General Basis'!$B$42,IF(G1093&lt;36,'General Basis'!$B$43,IF(G1093&lt;41,'General Basis'!$B$44,IF(G1093&lt;46,'General Basis'!$B$45,IF(G1093&lt;51,'General Basis'!$B$46,IF(G1093&lt;56,'General Basis'!$B$47,IF(G1093&lt;60,'General Basis'!$B$48,IF(G1093&lt;65,'General Basis'!$B$49,'General Basis'!$B$50)))))))))))))</f>
        <v/>
      </c>
      <c r="BI1093" s="744" t="str">
        <f t="shared" si="379"/>
        <v/>
      </c>
      <c r="BJ1093" s="747" t="str">
        <f t="shared" si="386"/>
        <v/>
      </c>
      <c r="BK1093" s="498" t="str">
        <f t="shared" si="380"/>
        <v/>
      </c>
      <c r="BL1093" s="498" t="str">
        <f t="shared" si="381"/>
        <v/>
      </c>
    </row>
    <row r="1094" spans="1:64" x14ac:dyDescent="0.25">
      <c r="A1094" s="762">
        <f t="shared" si="382"/>
        <v>1089</v>
      </c>
      <c r="B1094" s="229"/>
      <c r="C1094" s="223"/>
      <c r="D1094" s="224"/>
      <c r="E1094" s="225"/>
      <c r="F1094" s="1036" t="str">
        <f t="shared" si="388"/>
        <v/>
      </c>
      <c r="G1094" s="1037" t="str">
        <f t="shared" si="383"/>
        <v/>
      </c>
      <c r="H1094" s="225"/>
      <c r="I1094" s="1013"/>
      <c r="J1094" s="1013"/>
      <c r="K1094" s="1028"/>
      <c r="L1094" s="1035" t="str">
        <f t="shared" si="387"/>
        <v/>
      </c>
      <c r="S1094" s="498"/>
      <c r="AJ1094" s="498"/>
      <c r="AM1094" s="498">
        <f t="shared" ref="AM1094:AM1157" si="390">IF(ISTEXT(B1094),1,0)</f>
        <v>0</v>
      </c>
      <c r="AN1094" s="498">
        <f t="shared" ref="AN1094:AN1157" si="391">IF(ISBLANK(B1094),0,IF(B1094&lt;$AK$6,1,0))</f>
        <v>0</v>
      </c>
      <c r="AO1094" s="498">
        <f t="shared" ref="AO1094:AO1157" si="392">IF(ISBLANK(B1094),0,IF(B1094&gt;$AK$7,1,0))</f>
        <v>0</v>
      </c>
      <c r="AP1094" s="498">
        <f t="shared" si="389"/>
        <v>0</v>
      </c>
      <c r="AQ1094" s="498">
        <f t="shared" si="384"/>
        <v>0</v>
      </c>
      <c r="AU1094" s="498">
        <f t="shared" ref="AU1094:AU1157" si="393">IF(ISBLANK(B1094),0,1)</f>
        <v>0</v>
      </c>
      <c r="AV1094" s="498">
        <f t="shared" ref="AV1094:AV1157" si="394">IF(ISBLANK(C1094),0,1)</f>
        <v>0</v>
      </c>
      <c r="AW1094" s="498">
        <f t="shared" ref="AW1094:AW1157" si="395">IF(ISBLANK(D1094),0,1)</f>
        <v>0</v>
      </c>
      <c r="AX1094" s="498">
        <f t="shared" ref="AX1094:AX1157" si="396">IF(ISBLANK(E1094),0,1)</f>
        <v>0</v>
      </c>
      <c r="AY1094" s="498">
        <f t="shared" ref="AY1094:AY1157" si="397">IF(ISBLANK(H1094),0,1)</f>
        <v>0</v>
      </c>
      <c r="BB1094" s="498" t="str">
        <f t="shared" ref="BB1094:BB1157" si="398">IF(E1094="Principal","Principal",IF(E1094="","","Other"))</f>
        <v/>
      </c>
      <c r="BC1094" s="743" t="str">
        <f t="shared" ref="BC1094:BC1157" si="399">IF(D1094="","",D1094)</f>
        <v/>
      </c>
      <c r="BD1094" s="743" t="str">
        <f t="shared" ref="BD1094:BD1157" si="400">IF(E1094="Principal","Employee",IF(E1094="","","Dependent"))</f>
        <v/>
      </c>
      <c r="BE1094" s="743" t="str">
        <f>IF(D1094="","",VLOOKUP(D1094,'General Basis'!$J$39:$K$46,2,0))</f>
        <v/>
      </c>
      <c r="BF1094" s="744" t="str">
        <f>IF(D1094="","",VLOOKUP(D1094,'General Basis'!$J$39:$L$46,3,0))</f>
        <v/>
      </c>
      <c r="BG1094" s="744" t="str">
        <f t="shared" si="385"/>
        <v/>
      </c>
      <c r="BH1094" s="744" t="str">
        <f>IF(G1094="","",IF(BF1094="Abu Dhabi",IF(G1094&lt;18,'General Basis'!$C$39,IF(G1094&lt;41,'General Basis'!$C$40,IF(G1094&lt;60,'General Basis'!$C$41,IF(G1094&lt;65,'General Basis'!$C$42,'General Basis'!$C$43)))),IF(G1094&lt;11,'General Basis'!$B$39,IF(G1094&lt;18,'General Basis'!$B$40,IF(G1094&lt;26,'General Basis'!$B$41,IF(G1094&lt;31,'General Basis'!$B$42,IF(G1094&lt;36,'General Basis'!$B$43,IF(G1094&lt;41,'General Basis'!$B$44,IF(G1094&lt;46,'General Basis'!$B$45,IF(G1094&lt;51,'General Basis'!$B$46,IF(G1094&lt;56,'General Basis'!$B$47,IF(G1094&lt;60,'General Basis'!$B$48,IF(G1094&lt;65,'General Basis'!$B$49,'General Basis'!$B$50)))))))))))))</f>
        <v/>
      </c>
      <c r="BI1094" s="744" t="str">
        <f t="shared" ref="BI1094:BI1157" si="401">IF(C1094="","",IF(C1094="M","Male","Female"))</f>
        <v/>
      </c>
      <c r="BJ1094" s="747" t="str">
        <f t="shared" si="386"/>
        <v/>
      </c>
      <c r="BK1094" s="498" t="str">
        <f t="shared" ref="BK1094:BK1157" si="402">IF(BD1094="","",IF(AND(BD1094="Employee",BI1094="Male",BF1094="Abu Dhabi",BE1094=GN_Plus),VLOOKUP(BH1094,AUH_MALE_EMP,2,0),IF(AND(BD1094="Employee",BI1094="Male",BF1094="Abu Dhabi",BE1094=GN),VLOOKUP(BH1094,AUH_MALE_EMP,3,0),IF(AND(BD1094="Employee",BI1094="Male",BF1094="Abu Dhabi",BE1094=RN_Plus),VLOOKUP(BH1094,AUH_MALE_EMP,4,0),IF(AND(BD1094="Employee",BI1094="Male",BF1094="Abu Dhabi",BE1094=RN),VLOOKUP(BH1094,AUH_MALE_EMP,5,0),IF(AND(BD1094="Employee",BI1094="Male",BF1094="Abu Dhabi",BE1094=RN_2),VLOOKUP(BH1094,AUH_MALE_EMP,6,0),IF(AND(BD1094="Employee",BI1094="Male",BF1094="Abu Dhabi",BE1094=RN2_minus),VLOOKUP(BH1094,AUH_MALE_EMP,7,0),IF(AND(BD1094="Employee",BI1094="Male",BF1094="Abu Dhabi",BE1094=RN_3),VLOOKUP(BH1094,AUH_MALE_EMP,8,0),IF(AND(BD1094="Employee",BI1094="Male",BF1094="Abu Dhabi",BE1094=VN),VLOOKUP(BH1094,AUH_MALE_EMP,9,0),IF(BD1094="","",IF(AND(BD1094="Employee",BI1094="Female",BF1094="Abu Dhabi",BE1094=GN_Plus),VLOOKUP(BH1094,AUH_FEMALE_EMP,2,0),IF(AND(BD1094="Employee",BI1094="Female",BF1094="Abu Dhabi",BE1094=GN),VLOOKUP(BH1094,AUH_FEMALE_EMP,3,0),IF(AND(BD1094="Employee",BI1094="Female",BF1094="Abu Dhabi",BE1094=RN_Plus),VLOOKUP(BH1094,AUH_FEMALE_EMP,4,0),IF(AND(BD1094="Employee",BI1094="Female",BF1094="Abu Dhabi",BE1094=RN),VLOOKUP(BH1094,AUH_FEMALE_EMP,5,0),IF(AND(BD1094="Employee",BI1094="Female",BF1094="Abu Dhabi",BE1094=RN_2),VLOOKUP(BH1094,AUH_FEMALE_EMP,6,0),IF(AND(BD1094="Employee",BI1094="Female",BF1094="Abu Dhabi",BE1094=RN2_minus),VLOOKUP(BH1094,AUH_FEMALE_EMP,7,0),IF(AND(BD1094="Employee",BI1094="Female",BF1094="Abu Dhabi",BE1094=RN_3),VLOOKUP(BH1094,AUH_FEMALE_EMP,8,0),IF(AND(BD1094="Employee",BI1094="Female",BF1094="Abu Dhabi",BE1094=VN),VLOOKUP(BH1094,AUH_FEMALE_EMP,9,0),IF(BD1094="","",IF(AND(BD1094="Dependent",BI1094="Male",BF1094="Abu Dhabi",BE1094=GN_Plus),VLOOKUP(BH1094,AUH_MALE_DEP,2,0),IF(AND(BD1094="Dependent",BI1094="Male",BF1094="Abu Dhabi",BE1094=GN),VLOOKUP(BH1094,AUH_MALE_DEP,3,0),IF(AND(BD1094="Dependent",BI1094="Male",BF1094="Abu Dhabi",BE1094=RN_Plus),VLOOKUP(BH1094,AUH_MALE_DEP,4,0),IF(AND(BD1094="Dependent",BI1094="Male",BF1094="Abu Dhabi",BE1094=RN),VLOOKUP(BH1094,AUH_MALE_DEP,5,0),IF(AND(BD1094="Dependent",BI1094="Male",BF1094="Abu Dhabi",BE1094=RN_2),VLOOKUP(BH1094,AUH_MALE_DEP,6,0),IF(AND(BD1094="Dependent",BI1094="Male",BF1094="Abu Dhabi",BE1094=RN2_minus),VLOOKUP(BH1094,AUH_MALE_DEP,7,0),IF(AND(BD1094="Dependent",BI1094="Male",BF1094="Abu Dhabi",BE1094=RN_3),VLOOKUP(BH1094,AUH_MALE_DEP,8,0),IF(AND(BD1094="Dependent",BI1094="Male",BF1094="Abu Dhabi",BE1094=VN),VLOOKUP(BH1094,AUH_MALE_DEP,9,0),IF(BD1094="","",IF(AND(BD1094="Dependent",BI1094="Female",BF1094="Abu Dhabi",BE1094=GN_Plus),VLOOKUP(BH1094,AUH_FEMALE_DEP,2,0),IF(AND(BD1094="Dependent",BI1094="Female",BF1094="Abu Dhabi",BE1094=GN),VLOOKUP(BH1094,AUH_FEMALE_DEP,3,0),IF(AND(BD1094="Dependent",BI1094="Female",BF1094="Abu Dhabi",BE1094=RN_Plus),VLOOKUP(BH1094,AUH_FEMALE_DEP,4,0),IF(AND(BD1094="Dependent",BI1094="Female",BF1094="Abu Dhabi",BE1094=RN),VLOOKUP(BH1094,AUH_FEMALE_DEP,5,0),IF(AND(BD1094="Dependent",BI1094="Female",BF1094="Abu Dhabi",BE1094=RN_2),VLOOKUP(BH1094,AUH_FEMALE_DEP,6,0),IF(AND(BD1094="Dependent",BI1094="Female",BF1094="Abu Dhabi",BE1094=RN2_minus),VLOOKUP(BH1094,AUH_FEMALE_DEP,7,0),IF(AND(BD1094="Dependent",BI1094="Female",BF1094="Abu Dhabi",BE1094=RN_3),VLOOKUP(BH1094,AUH_FEMALE_DEP,8,0),IF(AND(BD1094="Dependent",BI1094="Female",BF1094="Abu Dhabi",BE1094=VN),VLOOKUP(BH1094,AUH_FEMALE_DEP,9,0),"ABC"))))))))))))))))))))))))))))))))))))</f>
        <v/>
      </c>
      <c r="BL1094" s="498" t="str">
        <f t="shared" ref="BL1094:BL1157" si="403">IF(BD1094="","",IF(AND(BD1094="Employee",BI1094="Male",BF1094="Dubai",BE1094=GN_Plus),VLOOKUP(BH1094,DXB_MALE_EMP,2,0),IF(AND(BD1094="Employee",BI1094="Male",BF1094="Dubai",BE1094=GN),VLOOKUP(BH1094,DXB_MALE_EMP,3,0),IF(AND(BD1094="Employee",BI1094="Male",BF1094="Dubai",BE1094=RN_Plus),VLOOKUP(BH1094,DXB_MALE_EMP,4,0),IF(AND(BD1094="Employee",BI1094="Male",BF1094="Dubai",BE1094=RN),VLOOKUP(BH1094,DXB_MALE_EMP,5,0),IF(AND(BD1094="Employee",BI1094="Male",BF1094="Dubai",BE1094=RN_2),VLOOKUP(BH1094,DXB_MALE_EMP,6,0),IF(AND(BD1094="Employee",BI1094="Male",BF1094="Dubai",BE1094=RN2_minus),VLOOKUP(BH1094,DXB_MALE_EMP,7,0),IF(AND(BD1094="Employee",BI1094="Male",BF1094="Dubai",BE1094=RN_3),VLOOKUP(BH1094,DXB_MALE_EMP,8,0),IF(AND(BD1094="Employee",BI1094="Male",BF1094="Dubai",BE1094=VN),VLOOKUP(BH1094,DXB_MALE_EMP,9,0),IF(BD1094="","",IF(AND(BD1094="Employee",BI1094="Female",BF1094="Dubai",BE1094=GN_Plus),VLOOKUP(BH1094,DXB_FEMALE_EMP,2,0),IF(AND(BD1094="Employee",BI1094="Female",BF1094="Dubai",BE1094=GN),VLOOKUP(BH1094,DXB_FEMALE_EMP,3,0),IF(AND(BD1094="Employee",BI1094="Female",BF1094="Dubai",BE1094=RN_Plus),VLOOKUP(BH1094,DXB_FEMALE_EMP,4,0),IF(AND(BD1094="Employee",BI1094="Female",BF1094="Dubai",BE1094=RN),VLOOKUP(BH1094,DXB_FEMALE_EMP,5,0),IF(AND(BD1094="Employee",BI1094="Female",BF1094="Dubai",BE1094=RN_2),VLOOKUP(BH1094,DXB_FEMALE_EMP,6,0),IF(AND(BD1094="Employee",BI1094="Female",BF1094="Dubai",BE1094=RN2_minus),VLOOKUP(BH1094,DXB_FEMALE_EMP,7,0),IF(AND(BD1094="Employee",BI1094="Female",BF1094="Dubai",BE1094=RN_3),VLOOKUP(BH1094,DXB_FEMALE_EMP,8,0),IF(AND(BD1094="Employee",BI1094="Female",BF1094="Dubai",BE1094=VN),VLOOKUP(BH1094,DXB_FEMALE_EMP,9,0),IF(BD1094="","",IF(AND(BD1094="Dependent",BI1094="Male",BF1094="Dubai",BE1094=GN_Plus),VLOOKUP(BH1094,DXB_MALE_DEP,2,0),IF(AND(BD1094="Dependent",BI1094="Male",BF1094="Dubai",BE1094=GN),VLOOKUP(BH1094,DXB_MALE_DEP,3,0),IF(AND(BD1094="Dependent",BI1094="Male",BF1094="Dubai",BE1094=RN_Plus),VLOOKUP(BH1094,DXB_MALE_DEP,4,0),IF(AND(BD1094="Dependent",BI1094="Male",BF1094="Dubai",BE1094=RN),VLOOKUP(BH1094,DXB_MALE_DEP,5,0),IF(AND(BD1094="Dependent",BI1094="Male",BF1094="Dubai",BE1094=RN_2),VLOOKUP(BH1094,DXB_MALE_DEP,6,0),IF(AND(BD1094="Dependent",BI1094="Male",BF1094="Dubai",BE1094=RN2_minus),VLOOKUP(BH1094,DXB_MALE_DEP,7,0),IF(AND(BD1094="Dependent",BI1094="Male",BF1094="Dubai",BE1094=RN_3),VLOOKUP(BH1094,DXB_MALE_DEP,8,0),IF(AND(BD1094="Dependent",BI1094="Male",BF1094="Dubai",BE1094=VN),VLOOKUP(BH1094,DXB_MALE_DEP,9,0),IF(BD1094="","",IF(AND(BD1094="Dependent",BI1094="Female",BF1094="Dubai",BE1094=GN_Plus),VLOOKUP(BH1094,DXB_FEMALE_DEP,2,0),IF(AND(BD1094="Dependent",BI1094="Female",BF1094="Dubai",BE1094=GN),VLOOKUP(BH1094,DXB_FEMALE_DEP,3,0),IF(AND(BD1094="Dependent",BI1094="Female",BF1094="Dubai",BE1094=RN_Plus),VLOOKUP(BH1094,DXB_FEMALE_DEP,4,0),IF(AND(BD1094="Dependent",BI1094="Female",BF1094="Dubai",BE1094=RN),VLOOKUP(BH1094,DXB_FEMALE_DEP,5,0),IF(AND(BD1094="Dependent",BI1094="Female",BF1094="Dubai",BE1094=RN_2),VLOOKUP(BH1094,DXB_FEMALE_DEP,6,0),IF(AND(BD1094="Dependent",BI1094="Female",BF1094="Dubai",BE1094=RN2_minus),VLOOKUP(BH1094,DXB_FEMALE_DEP,7,0),IF(AND(BD1094="Dependent",BI1094="Female",BF1094="Dubai",BE1094=RN_3),VLOOKUP(BH1094,DXB_FEMALE_DEP,8,0),IF(AND(BD1094="Dependent",BI1094="Female",BF1094="Dubai",BE1094=VN),VLOOKUP(BH1094,DXB_FEMALE_DEP,9,0),"ABC"))))))))))))))))))))))))))))))))))))</f>
        <v/>
      </c>
    </row>
    <row r="1095" spans="1:64" x14ac:dyDescent="0.25">
      <c r="A1095" s="762">
        <f t="shared" ref="A1095:A1158" si="404">+A1094+1</f>
        <v>1090</v>
      </c>
      <c r="B1095" s="229"/>
      <c r="C1095" s="223"/>
      <c r="D1095" s="224"/>
      <c r="E1095" s="225"/>
      <c r="F1095" s="1036" t="str">
        <f t="shared" si="388"/>
        <v/>
      </c>
      <c r="G1095" s="1037" t="str">
        <f t="shared" ref="G1095:G1158" si="405">IF(D1095="","",MAX(0,ROUNDUP(F1095,0)))</f>
        <v/>
      </c>
      <c r="H1095" s="225"/>
      <c r="I1095" s="1013"/>
      <c r="J1095" s="1013"/>
      <c r="K1095" s="1028"/>
      <c r="L1095" s="1035" t="str">
        <f t="shared" si="387"/>
        <v/>
      </c>
      <c r="S1095" s="498"/>
      <c r="AJ1095" s="498"/>
      <c r="AM1095" s="498">
        <f t="shared" si="390"/>
        <v>0</v>
      </c>
      <c r="AN1095" s="498">
        <f t="shared" si="391"/>
        <v>0</v>
      </c>
      <c r="AO1095" s="498">
        <f t="shared" si="392"/>
        <v>0</v>
      </c>
      <c r="AP1095" s="498">
        <f t="shared" si="389"/>
        <v>0</v>
      </c>
      <c r="AQ1095" s="498">
        <f t="shared" ref="AQ1095:AQ1158" si="406">IF(ISBLANK($B1095),0,IF(OR($H1095="Single",$H1095="Married"),0,1))</f>
        <v>0</v>
      </c>
      <c r="AU1095" s="498">
        <f t="shared" si="393"/>
        <v>0</v>
      </c>
      <c r="AV1095" s="498">
        <f t="shared" si="394"/>
        <v>0</v>
      </c>
      <c r="AW1095" s="498">
        <f t="shared" si="395"/>
        <v>0</v>
      </c>
      <c r="AX1095" s="498">
        <f t="shared" si="396"/>
        <v>0</v>
      </c>
      <c r="AY1095" s="498">
        <f t="shared" si="397"/>
        <v>0</v>
      </c>
      <c r="BB1095" s="498" t="str">
        <f t="shared" si="398"/>
        <v/>
      </c>
      <c r="BC1095" s="743" t="str">
        <f t="shared" si="399"/>
        <v/>
      </c>
      <c r="BD1095" s="743" t="str">
        <f t="shared" si="400"/>
        <v/>
      </c>
      <c r="BE1095" s="743" t="str">
        <f>IF(D1095="","",VLOOKUP(D1095,'General Basis'!$J$39:$K$46,2,0))</f>
        <v/>
      </c>
      <c r="BF1095" s="744" t="str">
        <f>IF(D1095="","",VLOOKUP(D1095,'General Basis'!$J$39:$L$46,3,0))</f>
        <v/>
      </c>
      <c r="BG1095" s="744" t="str">
        <f t="shared" ref="BG1095:BG1158" si="407">BC1095&amp;BI1095</f>
        <v/>
      </c>
      <c r="BH1095" s="744" t="str">
        <f>IF(G1095="","",IF(BF1095="Abu Dhabi",IF(G1095&lt;18,'General Basis'!$C$39,IF(G1095&lt;41,'General Basis'!$C$40,IF(G1095&lt;60,'General Basis'!$C$41,IF(G1095&lt;65,'General Basis'!$C$42,'General Basis'!$C$43)))),IF(G1095&lt;11,'General Basis'!$B$39,IF(G1095&lt;18,'General Basis'!$B$40,IF(G1095&lt;26,'General Basis'!$B$41,IF(G1095&lt;31,'General Basis'!$B$42,IF(G1095&lt;36,'General Basis'!$B$43,IF(G1095&lt;41,'General Basis'!$B$44,IF(G1095&lt;46,'General Basis'!$B$45,IF(G1095&lt;51,'General Basis'!$B$46,IF(G1095&lt;56,'General Basis'!$B$47,IF(G1095&lt;60,'General Basis'!$B$48,IF(G1095&lt;65,'General Basis'!$B$49,'General Basis'!$B$50)))))))))))))</f>
        <v/>
      </c>
      <c r="BI1095" s="744" t="str">
        <f t="shared" si="401"/>
        <v/>
      </c>
      <c r="BJ1095" s="747" t="str">
        <f t="shared" ref="BJ1095:BJ1158" si="408">IF(BD1095="","",IF(BF1095="Abu Dhabi",BK1095,BL1095))</f>
        <v/>
      </c>
      <c r="BK1095" s="498" t="str">
        <f t="shared" si="402"/>
        <v/>
      </c>
      <c r="BL1095" s="498" t="str">
        <f t="shared" si="403"/>
        <v/>
      </c>
    </row>
    <row r="1096" spans="1:64" x14ac:dyDescent="0.25">
      <c r="A1096" s="762">
        <f t="shared" si="404"/>
        <v>1091</v>
      </c>
      <c r="B1096" s="229"/>
      <c r="C1096" s="223"/>
      <c r="D1096" s="224"/>
      <c r="E1096" s="225"/>
      <c r="F1096" s="1036" t="str">
        <f t="shared" si="388"/>
        <v/>
      </c>
      <c r="G1096" s="1037" t="str">
        <f t="shared" si="405"/>
        <v/>
      </c>
      <c r="H1096" s="225"/>
      <c r="I1096" s="1013"/>
      <c r="J1096" s="1013"/>
      <c r="K1096" s="1028"/>
      <c r="L1096" s="1035" t="str">
        <f t="shared" ref="L1096:L1159" si="409">IF(AND(E1096="Child",H1096="Married"),"Check the Marital Status of the Child. ",IF(AND(E1096="Child",F1096&gt;18),"Child Age exceed 18 years. ",IF(AND(E1096="Spouse",H1096="Single"),"Spouse is selected as Single. ","")))&amp;IF(K1096&gt;0,"UW Loading has been Applied","")</f>
        <v/>
      </c>
      <c r="S1096" s="498"/>
      <c r="AJ1096" s="498"/>
      <c r="AM1096" s="498">
        <f t="shared" si="390"/>
        <v>0</v>
      </c>
      <c r="AN1096" s="498">
        <f t="shared" si="391"/>
        <v>0</v>
      </c>
      <c r="AO1096" s="498">
        <f t="shared" si="392"/>
        <v>0</v>
      </c>
      <c r="AP1096" s="498">
        <f t="shared" si="389"/>
        <v>0</v>
      </c>
      <c r="AQ1096" s="498">
        <f t="shared" si="406"/>
        <v>0</v>
      </c>
      <c r="AU1096" s="498">
        <f t="shared" si="393"/>
        <v>0</v>
      </c>
      <c r="AV1096" s="498">
        <f t="shared" si="394"/>
        <v>0</v>
      </c>
      <c r="AW1096" s="498">
        <f t="shared" si="395"/>
        <v>0</v>
      </c>
      <c r="AX1096" s="498">
        <f t="shared" si="396"/>
        <v>0</v>
      </c>
      <c r="AY1096" s="498">
        <f t="shared" si="397"/>
        <v>0</v>
      </c>
      <c r="BB1096" s="498" t="str">
        <f t="shared" si="398"/>
        <v/>
      </c>
      <c r="BC1096" s="743" t="str">
        <f t="shared" si="399"/>
        <v/>
      </c>
      <c r="BD1096" s="743" t="str">
        <f t="shared" si="400"/>
        <v/>
      </c>
      <c r="BE1096" s="743" t="str">
        <f>IF(D1096="","",VLOOKUP(D1096,'General Basis'!$J$39:$K$46,2,0))</f>
        <v/>
      </c>
      <c r="BF1096" s="744" t="str">
        <f>IF(D1096="","",VLOOKUP(D1096,'General Basis'!$J$39:$L$46,3,0))</f>
        <v/>
      </c>
      <c r="BG1096" s="744" t="str">
        <f t="shared" si="407"/>
        <v/>
      </c>
      <c r="BH1096" s="744" t="str">
        <f>IF(G1096="","",IF(BF1096="Abu Dhabi",IF(G1096&lt;18,'General Basis'!$C$39,IF(G1096&lt;41,'General Basis'!$C$40,IF(G1096&lt;60,'General Basis'!$C$41,IF(G1096&lt;65,'General Basis'!$C$42,'General Basis'!$C$43)))),IF(G1096&lt;11,'General Basis'!$B$39,IF(G1096&lt;18,'General Basis'!$B$40,IF(G1096&lt;26,'General Basis'!$B$41,IF(G1096&lt;31,'General Basis'!$B$42,IF(G1096&lt;36,'General Basis'!$B$43,IF(G1096&lt;41,'General Basis'!$B$44,IF(G1096&lt;46,'General Basis'!$B$45,IF(G1096&lt;51,'General Basis'!$B$46,IF(G1096&lt;56,'General Basis'!$B$47,IF(G1096&lt;60,'General Basis'!$B$48,IF(G1096&lt;65,'General Basis'!$B$49,'General Basis'!$B$50)))))))))))))</f>
        <v/>
      </c>
      <c r="BI1096" s="744" t="str">
        <f t="shared" si="401"/>
        <v/>
      </c>
      <c r="BJ1096" s="747" t="str">
        <f t="shared" si="408"/>
        <v/>
      </c>
      <c r="BK1096" s="498" t="str">
        <f t="shared" si="402"/>
        <v/>
      </c>
      <c r="BL1096" s="498" t="str">
        <f t="shared" si="403"/>
        <v/>
      </c>
    </row>
    <row r="1097" spans="1:64" x14ac:dyDescent="0.25">
      <c r="A1097" s="762">
        <f t="shared" si="404"/>
        <v>1092</v>
      </c>
      <c r="B1097" s="229"/>
      <c r="C1097" s="223"/>
      <c r="D1097" s="224"/>
      <c r="E1097" s="225"/>
      <c r="F1097" s="1036" t="str">
        <f t="shared" si="388"/>
        <v/>
      </c>
      <c r="G1097" s="1037" t="str">
        <f t="shared" si="405"/>
        <v/>
      </c>
      <c r="H1097" s="225"/>
      <c r="I1097" s="1013"/>
      <c r="J1097" s="1013"/>
      <c r="K1097" s="1028"/>
      <c r="L1097" s="1035" t="str">
        <f t="shared" si="409"/>
        <v/>
      </c>
      <c r="S1097" s="498"/>
      <c r="AJ1097" s="498"/>
      <c r="AM1097" s="498">
        <f t="shared" si="390"/>
        <v>0</v>
      </c>
      <c r="AN1097" s="498">
        <f t="shared" si="391"/>
        <v>0</v>
      </c>
      <c r="AO1097" s="498">
        <f t="shared" si="392"/>
        <v>0</v>
      </c>
      <c r="AP1097" s="498">
        <f t="shared" si="389"/>
        <v>0</v>
      </c>
      <c r="AQ1097" s="498">
        <f t="shared" si="406"/>
        <v>0</v>
      </c>
      <c r="AU1097" s="498">
        <f t="shared" si="393"/>
        <v>0</v>
      </c>
      <c r="AV1097" s="498">
        <f t="shared" si="394"/>
        <v>0</v>
      </c>
      <c r="AW1097" s="498">
        <f t="shared" si="395"/>
        <v>0</v>
      </c>
      <c r="AX1097" s="498">
        <f t="shared" si="396"/>
        <v>0</v>
      </c>
      <c r="AY1097" s="498">
        <f t="shared" si="397"/>
        <v>0</v>
      </c>
      <c r="BB1097" s="498" t="str">
        <f t="shared" si="398"/>
        <v/>
      </c>
      <c r="BC1097" s="743" t="str">
        <f t="shared" si="399"/>
        <v/>
      </c>
      <c r="BD1097" s="743" t="str">
        <f t="shared" si="400"/>
        <v/>
      </c>
      <c r="BE1097" s="743" t="str">
        <f>IF(D1097="","",VLOOKUP(D1097,'General Basis'!$J$39:$K$46,2,0))</f>
        <v/>
      </c>
      <c r="BF1097" s="744" t="str">
        <f>IF(D1097="","",VLOOKUP(D1097,'General Basis'!$J$39:$L$46,3,0))</f>
        <v/>
      </c>
      <c r="BG1097" s="744" t="str">
        <f t="shared" si="407"/>
        <v/>
      </c>
      <c r="BH1097" s="744" t="str">
        <f>IF(G1097="","",IF(BF1097="Abu Dhabi",IF(G1097&lt;18,'General Basis'!$C$39,IF(G1097&lt;41,'General Basis'!$C$40,IF(G1097&lt;60,'General Basis'!$C$41,IF(G1097&lt;65,'General Basis'!$C$42,'General Basis'!$C$43)))),IF(G1097&lt;11,'General Basis'!$B$39,IF(G1097&lt;18,'General Basis'!$B$40,IF(G1097&lt;26,'General Basis'!$B$41,IF(G1097&lt;31,'General Basis'!$B$42,IF(G1097&lt;36,'General Basis'!$B$43,IF(G1097&lt;41,'General Basis'!$B$44,IF(G1097&lt;46,'General Basis'!$B$45,IF(G1097&lt;51,'General Basis'!$B$46,IF(G1097&lt;56,'General Basis'!$B$47,IF(G1097&lt;60,'General Basis'!$B$48,IF(G1097&lt;65,'General Basis'!$B$49,'General Basis'!$B$50)))))))))))))</f>
        <v/>
      </c>
      <c r="BI1097" s="744" t="str">
        <f t="shared" si="401"/>
        <v/>
      </c>
      <c r="BJ1097" s="747" t="str">
        <f t="shared" si="408"/>
        <v/>
      </c>
      <c r="BK1097" s="498" t="str">
        <f t="shared" si="402"/>
        <v/>
      </c>
      <c r="BL1097" s="498" t="str">
        <f t="shared" si="403"/>
        <v/>
      </c>
    </row>
    <row r="1098" spans="1:64" x14ac:dyDescent="0.25">
      <c r="A1098" s="762">
        <f t="shared" si="404"/>
        <v>1093</v>
      </c>
      <c r="B1098" s="229"/>
      <c r="C1098" s="223"/>
      <c r="D1098" s="224"/>
      <c r="E1098" s="225"/>
      <c r="F1098" s="1036" t="str">
        <f t="shared" si="388"/>
        <v/>
      </c>
      <c r="G1098" s="1037" t="str">
        <f t="shared" si="405"/>
        <v/>
      </c>
      <c r="H1098" s="225"/>
      <c r="I1098" s="1013"/>
      <c r="J1098" s="1013"/>
      <c r="K1098" s="1028"/>
      <c r="L1098" s="1035" t="str">
        <f t="shared" si="409"/>
        <v/>
      </c>
      <c r="S1098" s="498"/>
      <c r="AJ1098" s="498"/>
      <c r="AM1098" s="498">
        <f t="shared" si="390"/>
        <v>0</v>
      </c>
      <c r="AN1098" s="498">
        <f t="shared" si="391"/>
        <v>0</v>
      </c>
      <c r="AO1098" s="498">
        <f t="shared" si="392"/>
        <v>0</v>
      </c>
      <c r="AP1098" s="498">
        <f t="shared" si="389"/>
        <v>0</v>
      </c>
      <c r="AQ1098" s="498">
        <f t="shared" si="406"/>
        <v>0</v>
      </c>
      <c r="AU1098" s="498">
        <f t="shared" si="393"/>
        <v>0</v>
      </c>
      <c r="AV1098" s="498">
        <f t="shared" si="394"/>
        <v>0</v>
      </c>
      <c r="AW1098" s="498">
        <f t="shared" si="395"/>
        <v>0</v>
      </c>
      <c r="AX1098" s="498">
        <f t="shared" si="396"/>
        <v>0</v>
      </c>
      <c r="AY1098" s="498">
        <f t="shared" si="397"/>
        <v>0</v>
      </c>
      <c r="BB1098" s="498" t="str">
        <f t="shared" si="398"/>
        <v/>
      </c>
      <c r="BC1098" s="743" t="str">
        <f t="shared" si="399"/>
        <v/>
      </c>
      <c r="BD1098" s="743" t="str">
        <f t="shared" si="400"/>
        <v/>
      </c>
      <c r="BE1098" s="743" t="str">
        <f>IF(D1098="","",VLOOKUP(D1098,'General Basis'!$J$39:$K$46,2,0))</f>
        <v/>
      </c>
      <c r="BF1098" s="744" t="str">
        <f>IF(D1098="","",VLOOKUP(D1098,'General Basis'!$J$39:$L$46,3,0))</f>
        <v/>
      </c>
      <c r="BG1098" s="744" t="str">
        <f t="shared" si="407"/>
        <v/>
      </c>
      <c r="BH1098" s="744" t="str">
        <f>IF(G1098="","",IF(BF1098="Abu Dhabi",IF(G1098&lt;18,'General Basis'!$C$39,IF(G1098&lt;41,'General Basis'!$C$40,IF(G1098&lt;60,'General Basis'!$C$41,IF(G1098&lt;65,'General Basis'!$C$42,'General Basis'!$C$43)))),IF(G1098&lt;11,'General Basis'!$B$39,IF(G1098&lt;18,'General Basis'!$B$40,IF(G1098&lt;26,'General Basis'!$B$41,IF(G1098&lt;31,'General Basis'!$B$42,IF(G1098&lt;36,'General Basis'!$B$43,IF(G1098&lt;41,'General Basis'!$B$44,IF(G1098&lt;46,'General Basis'!$B$45,IF(G1098&lt;51,'General Basis'!$B$46,IF(G1098&lt;56,'General Basis'!$B$47,IF(G1098&lt;60,'General Basis'!$B$48,IF(G1098&lt;65,'General Basis'!$B$49,'General Basis'!$B$50)))))))))))))</f>
        <v/>
      </c>
      <c r="BI1098" s="744" t="str">
        <f t="shared" si="401"/>
        <v/>
      </c>
      <c r="BJ1098" s="747" t="str">
        <f t="shared" si="408"/>
        <v/>
      </c>
      <c r="BK1098" s="498" t="str">
        <f t="shared" si="402"/>
        <v/>
      </c>
      <c r="BL1098" s="498" t="str">
        <f t="shared" si="403"/>
        <v/>
      </c>
    </row>
    <row r="1099" spans="1:64" x14ac:dyDescent="0.25">
      <c r="A1099" s="762">
        <f t="shared" si="404"/>
        <v>1094</v>
      </c>
      <c r="B1099" s="229"/>
      <c r="C1099" s="223"/>
      <c r="D1099" s="224"/>
      <c r="E1099" s="225"/>
      <c r="F1099" s="1036" t="str">
        <f t="shared" si="388"/>
        <v/>
      </c>
      <c r="G1099" s="1037" t="str">
        <f t="shared" si="405"/>
        <v/>
      </c>
      <c r="H1099" s="225"/>
      <c r="I1099" s="1013"/>
      <c r="J1099" s="1013"/>
      <c r="K1099" s="1028"/>
      <c r="L1099" s="1035" t="str">
        <f t="shared" si="409"/>
        <v/>
      </c>
      <c r="S1099" s="498"/>
      <c r="AJ1099" s="498"/>
      <c r="AM1099" s="498">
        <f t="shared" si="390"/>
        <v>0</v>
      </c>
      <c r="AN1099" s="498">
        <f t="shared" si="391"/>
        <v>0</v>
      </c>
      <c r="AO1099" s="498">
        <f t="shared" si="392"/>
        <v>0</v>
      </c>
      <c r="AP1099" s="498">
        <f t="shared" si="389"/>
        <v>0</v>
      </c>
      <c r="AQ1099" s="498">
        <f t="shared" si="406"/>
        <v>0</v>
      </c>
      <c r="AU1099" s="498">
        <f t="shared" si="393"/>
        <v>0</v>
      </c>
      <c r="AV1099" s="498">
        <f t="shared" si="394"/>
        <v>0</v>
      </c>
      <c r="AW1099" s="498">
        <f t="shared" si="395"/>
        <v>0</v>
      </c>
      <c r="AX1099" s="498">
        <f t="shared" si="396"/>
        <v>0</v>
      </c>
      <c r="AY1099" s="498">
        <f t="shared" si="397"/>
        <v>0</v>
      </c>
      <c r="BB1099" s="498" t="str">
        <f t="shared" si="398"/>
        <v/>
      </c>
      <c r="BC1099" s="743" t="str">
        <f t="shared" si="399"/>
        <v/>
      </c>
      <c r="BD1099" s="743" t="str">
        <f t="shared" si="400"/>
        <v/>
      </c>
      <c r="BE1099" s="743" t="str">
        <f>IF(D1099="","",VLOOKUP(D1099,'General Basis'!$J$39:$K$46,2,0))</f>
        <v/>
      </c>
      <c r="BF1099" s="744" t="str">
        <f>IF(D1099="","",VLOOKUP(D1099,'General Basis'!$J$39:$L$46,3,0))</f>
        <v/>
      </c>
      <c r="BG1099" s="744" t="str">
        <f t="shared" si="407"/>
        <v/>
      </c>
      <c r="BH1099" s="744" t="str">
        <f>IF(G1099="","",IF(BF1099="Abu Dhabi",IF(G1099&lt;18,'General Basis'!$C$39,IF(G1099&lt;41,'General Basis'!$C$40,IF(G1099&lt;60,'General Basis'!$C$41,IF(G1099&lt;65,'General Basis'!$C$42,'General Basis'!$C$43)))),IF(G1099&lt;11,'General Basis'!$B$39,IF(G1099&lt;18,'General Basis'!$B$40,IF(G1099&lt;26,'General Basis'!$B$41,IF(G1099&lt;31,'General Basis'!$B$42,IF(G1099&lt;36,'General Basis'!$B$43,IF(G1099&lt;41,'General Basis'!$B$44,IF(G1099&lt;46,'General Basis'!$B$45,IF(G1099&lt;51,'General Basis'!$B$46,IF(G1099&lt;56,'General Basis'!$B$47,IF(G1099&lt;60,'General Basis'!$B$48,IF(G1099&lt;65,'General Basis'!$B$49,'General Basis'!$B$50)))))))))))))</f>
        <v/>
      </c>
      <c r="BI1099" s="744" t="str">
        <f t="shared" si="401"/>
        <v/>
      </c>
      <c r="BJ1099" s="747" t="str">
        <f t="shared" si="408"/>
        <v/>
      </c>
      <c r="BK1099" s="498" t="str">
        <f t="shared" si="402"/>
        <v/>
      </c>
      <c r="BL1099" s="498" t="str">
        <f t="shared" si="403"/>
        <v/>
      </c>
    </row>
    <row r="1100" spans="1:64" x14ac:dyDescent="0.25">
      <c r="A1100" s="762">
        <f t="shared" si="404"/>
        <v>1095</v>
      </c>
      <c r="B1100" s="229"/>
      <c r="C1100" s="223"/>
      <c r="D1100" s="224"/>
      <c r="E1100" s="225"/>
      <c r="F1100" s="1036" t="str">
        <f t="shared" si="388"/>
        <v/>
      </c>
      <c r="G1100" s="1037" t="str">
        <f t="shared" si="405"/>
        <v/>
      </c>
      <c r="H1100" s="225"/>
      <c r="I1100" s="1013"/>
      <c r="J1100" s="1013"/>
      <c r="K1100" s="1028"/>
      <c r="L1100" s="1035" t="str">
        <f t="shared" si="409"/>
        <v/>
      </c>
      <c r="S1100" s="498"/>
      <c r="AJ1100" s="498"/>
      <c r="AM1100" s="498">
        <f t="shared" si="390"/>
        <v>0</v>
      </c>
      <c r="AN1100" s="498">
        <f t="shared" si="391"/>
        <v>0</v>
      </c>
      <c r="AO1100" s="498">
        <f t="shared" si="392"/>
        <v>0</v>
      </c>
      <c r="AP1100" s="498">
        <f t="shared" si="389"/>
        <v>0</v>
      </c>
      <c r="AQ1100" s="498">
        <f t="shared" si="406"/>
        <v>0</v>
      </c>
      <c r="AU1100" s="498">
        <f t="shared" si="393"/>
        <v>0</v>
      </c>
      <c r="AV1100" s="498">
        <f t="shared" si="394"/>
        <v>0</v>
      </c>
      <c r="AW1100" s="498">
        <f t="shared" si="395"/>
        <v>0</v>
      </c>
      <c r="AX1100" s="498">
        <f t="shared" si="396"/>
        <v>0</v>
      </c>
      <c r="AY1100" s="498">
        <f t="shared" si="397"/>
        <v>0</v>
      </c>
      <c r="BB1100" s="498" t="str">
        <f t="shared" si="398"/>
        <v/>
      </c>
      <c r="BC1100" s="743" t="str">
        <f t="shared" si="399"/>
        <v/>
      </c>
      <c r="BD1100" s="743" t="str">
        <f t="shared" si="400"/>
        <v/>
      </c>
      <c r="BE1100" s="743" t="str">
        <f>IF(D1100="","",VLOOKUP(D1100,'General Basis'!$J$39:$K$46,2,0))</f>
        <v/>
      </c>
      <c r="BF1100" s="744" t="str">
        <f>IF(D1100="","",VLOOKUP(D1100,'General Basis'!$J$39:$L$46,3,0))</f>
        <v/>
      </c>
      <c r="BG1100" s="744" t="str">
        <f t="shared" si="407"/>
        <v/>
      </c>
      <c r="BH1100" s="744" t="str">
        <f>IF(G1100="","",IF(BF1100="Abu Dhabi",IF(G1100&lt;18,'General Basis'!$C$39,IF(G1100&lt;41,'General Basis'!$C$40,IF(G1100&lt;60,'General Basis'!$C$41,IF(G1100&lt;65,'General Basis'!$C$42,'General Basis'!$C$43)))),IF(G1100&lt;11,'General Basis'!$B$39,IF(G1100&lt;18,'General Basis'!$B$40,IF(G1100&lt;26,'General Basis'!$B$41,IF(G1100&lt;31,'General Basis'!$B$42,IF(G1100&lt;36,'General Basis'!$B$43,IF(G1100&lt;41,'General Basis'!$B$44,IF(G1100&lt;46,'General Basis'!$B$45,IF(G1100&lt;51,'General Basis'!$B$46,IF(G1100&lt;56,'General Basis'!$B$47,IF(G1100&lt;60,'General Basis'!$B$48,IF(G1100&lt;65,'General Basis'!$B$49,'General Basis'!$B$50)))))))))))))</f>
        <v/>
      </c>
      <c r="BI1100" s="744" t="str">
        <f t="shared" si="401"/>
        <v/>
      </c>
      <c r="BJ1100" s="747" t="str">
        <f t="shared" si="408"/>
        <v/>
      </c>
      <c r="BK1100" s="498" t="str">
        <f t="shared" si="402"/>
        <v/>
      </c>
      <c r="BL1100" s="498" t="str">
        <f t="shared" si="403"/>
        <v/>
      </c>
    </row>
    <row r="1101" spans="1:64" x14ac:dyDescent="0.25">
      <c r="A1101" s="762">
        <f t="shared" si="404"/>
        <v>1096</v>
      </c>
      <c r="B1101" s="229"/>
      <c r="C1101" s="223"/>
      <c r="D1101" s="224"/>
      <c r="E1101" s="225"/>
      <c r="F1101" s="1036" t="str">
        <f t="shared" si="388"/>
        <v/>
      </c>
      <c r="G1101" s="1037" t="str">
        <f t="shared" si="405"/>
        <v/>
      </c>
      <c r="H1101" s="225"/>
      <c r="I1101" s="1013"/>
      <c r="J1101" s="1013"/>
      <c r="K1101" s="1028"/>
      <c r="L1101" s="1035" t="str">
        <f t="shared" si="409"/>
        <v/>
      </c>
      <c r="S1101" s="498"/>
      <c r="AJ1101" s="498"/>
      <c r="AM1101" s="498">
        <f t="shared" si="390"/>
        <v>0</v>
      </c>
      <c r="AN1101" s="498">
        <f t="shared" si="391"/>
        <v>0</v>
      </c>
      <c r="AO1101" s="498">
        <f t="shared" si="392"/>
        <v>0</v>
      </c>
      <c r="AP1101" s="498">
        <f t="shared" si="389"/>
        <v>0</v>
      </c>
      <c r="AQ1101" s="498">
        <f t="shared" si="406"/>
        <v>0</v>
      </c>
      <c r="AU1101" s="498">
        <f t="shared" si="393"/>
        <v>0</v>
      </c>
      <c r="AV1101" s="498">
        <f t="shared" si="394"/>
        <v>0</v>
      </c>
      <c r="AW1101" s="498">
        <f t="shared" si="395"/>
        <v>0</v>
      </c>
      <c r="AX1101" s="498">
        <f t="shared" si="396"/>
        <v>0</v>
      </c>
      <c r="AY1101" s="498">
        <f t="shared" si="397"/>
        <v>0</v>
      </c>
      <c r="BB1101" s="498" t="str">
        <f t="shared" si="398"/>
        <v/>
      </c>
      <c r="BC1101" s="743" t="str">
        <f t="shared" si="399"/>
        <v/>
      </c>
      <c r="BD1101" s="743" t="str">
        <f t="shared" si="400"/>
        <v/>
      </c>
      <c r="BE1101" s="743" t="str">
        <f>IF(D1101="","",VLOOKUP(D1101,'General Basis'!$J$39:$K$46,2,0))</f>
        <v/>
      </c>
      <c r="BF1101" s="744" t="str">
        <f>IF(D1101="","",VLOOKUP(D1101,'General Basis'!$J$39:$L$46,3,0))</f>
        <v/>
      </c>
      <c r="BG1101" s="744" t="str">
        <f t="shared" si="407"/>
        <v/>
      </c>
      <c r="BH1101" s="744" t="str">
        <f>IF(G1101="","",IF(BF1101="Abu Dhabi",IF(G1101&lt;18,'General Basis'!$C$39,IF(G1101&lt;41,'General Basis'!$C$40,IF(G1101&lt;60,'General Basis'!$C$41,IF(G1101&lt;65,'General Basis'!$C$42,'General Basis'!$C$43)))),IF(G1101&lt;11,'General Basis'!$B$39,IF(G1101&lt;18,'General Basis'!$B$40,IF(G1101&lt;26,'General Basis'!$B$41,IF(G1101&lt;31,'General Basis'!$B$42,IF(G1101&lt;36,'General Basis'!$B$43,IF(G1101&lt;41,'General Basis'!$B$44,IF(G1101&lt;46,'General Basis'!$B$45,IF(G1101&lt;51,'General Basis'!$B$46,IF(G1101&lt;56,'General Basis'!$B$47,IF(G1101&lt;60,'General Basis'!$B$48,IF(G1101&lt;65,'General Basis'!$B$49,'General Basis'!$B$50)))))))))))))</f>
        <v/>
      </c>
      <c r="BI1101" s="744" t="str">
        <f t="shared" si="401"/>
        <v/>
      </c>
      <c r="BJ1101" s="747" t="str">
        <f t="shared" si="408"/>
        <v/>
      </c>
      <c r="BK1101" s="498" t="str">
        <f t="shared" si="402"/>
        <v/>
      </c>
      <c r="BL1101" s="498" t="str">
        <f t="shared" si="403"/>
        <v/>
      </c>
    </row>
    <row r="1102" spans="1:64" x14ac:dyDescent="0.25">
      <c r="A1102" s="762">
        <f t="shared" si="404"/>
        <v>1097</v>
      </c>
      <c r="B1102" s="229"/>
      <c r="C1102" s="223"/>
      <c r="D1102" s="224"/>
      <c r="E1102" s="225"/>
      <c r="F1102" s="1036" t="str">
        <f t="shared" si="388"/>
        <v/>
      </c>
      <c r="G1102" s="1037" t="str">
        <f t="shared" si="405"/>
        <v/>
      </c>
      <c r="H1102" s="225"/>
      <c r="I1102" s="1013"/>
      <c r="J1102" s="1013"/>
      <c r="K1102" s="1028"/>
      <c r="L1102" s="1035" t="str">
        <f t="shared" si="409"/>
        <v/>
      </c>
      <c r="S1102" s="498"/>
      <c r="AJ1102" s="498"/>
      <c r="AM1102" s="498">
        <f t="shared" si="390"/>
        <v>0</v>
      </c>
      <c r="AN1102" s="498">
        <f t="shared" si="391"/>
        <v>0</v>
      </c>
      <c r="AO1102" s="498">
        <f t="shared" si="392"/>
        <v>0</v>
      </c>
      <c r="AP1102" s="498">
        <f t="shared" si="389"/>
        <v>0</v>
      </c>
      <c r="AQ1102" s="498">
        <f t="shared" si="406"/>
        <v>0</v>
      </c>
      <c r="AU1102" s="498">
        <f t="shared" si="393"/>
        <v>0</v>
      </c>
      <c r="AV1102" s="498">
        <f t="shared" si="394"/>
        <v>0</v>
      </c>
      <c r="AW1102" s="498">
        <f t="shared" si="395"/>
        <v>0</v>
      </c>
      <c r="AX1102" s="498">
        <f t="shared" si="396"/>
        <v>0</v>
      </c>
      <c r="AY1102" s="498">
        <f t="shared" si="397"/>
        <v>0</v>
      </c>
      <c r="BB1102" s="498" t="str">
        <f t="shared" si="398"/>
        <v/>
      </c>
      <c r="BC1102" s="743" t="str">
        <f t="shared" si="399"/>
        <v/>
      </c>
      <c r="BD1102" s="743" t="str">
        <f t="shared" si="400"/>
        <v/>
      </c>
      <c r="BE1102" s="743" t="str">
        <f>IF(D1102="","",VLOOKUP(D1102,'General Basis'!$J$39:$K$46,2,0))</f>
        <v/>
      </c>
      <c r="BF1102" s="744" t="str">
        <f>IF(D1102="","",VLOOKUP(D1102,'General Basis'!$J$39:$L$46,3,0))</f>
        <v/>
      </c>
      <c r="BG1102" s="744" t="str">
        <f t="shared" si="407"/>
        <v/>
      </c>
      <c r="BH1102" s="744" t="str">
        <f>IF(G1102="","",IF(BF1102="Abu Dhabi",IF(G1102&lt;18,'General Basis'!$C$39,IF(G1102&lt;41,'General Basis'!$C$40,IF(G1102&lt;60,'General Basis'!$C$41,IF(G1102&lt;65,'General Basis'!$C$42,'General Basis'!$C$43)))),IF(G1102&lt;11,'General Basis'!$B$39,IF(G1102&lt;18,'General Basis'!$B$40,IF(G1102&lt;26,'General Basis'!$B$41,IF(G1102&lt;31,'General Basis'!$B$42,IF(G1102&lt;36,'General Basis'!$B$43,IF(G1102&lt;41,'General Basis'!$B$44,IF(G1102&lt;46,'General Basis'!$B$45,IF(G1102&lt;51,'General Basis'!$B$46,IF(G1102&lt;56,'General Basis'!$B$47,IF(G1102&lt;60,'General Basis'!$B$48,IF(G1102&lt;65,'General Basis'!$B$49,'General Basis'!$B$50)))))))))))))</f>
        <v/>
      </c>
      <c r="BI1102" s="744" t="str">
        <f t="shared" si="401"/>
        <v/>
      </c>
      <c r="BJ1102" s="747" t="str">
        <f t="shared" si="408"/>
        <v/>
      </c>
      <c r="BK1102" s="498" t="str">
        <f t="shared" si="402"/>
        <v/>
      </c>
      <c r="BL1102" s="498" t="str">
        <f t="shared" si="403"/>
        <v/>
      </c>
    </row>
    <row r="1103" spans="1:64" x14ac:dyDescent="0.25">
      <c r="A1103" s="762">
        <f t="shared" si="404"/>
        <v>1098</v>
      </c>
      <c r="B1103" s="229"/>
      <c r="C1103" s="223"/>
      <c r="D1103" s="224"/>
      <c r="E1103" s="225"/>
      <c r="F1103" s="1036" t="str">
        <f t="shared" si="388"/>
        <v/>
      </c>
      <c r="G1103" s="1037" t="str">
        <f t="shared" si="405"/>
        <v/>
      </c>
      <c r="H1103" s="225"/>
      <c r="I1103" s="1013"/>
      <c r="J1103" s="1013"/>
      <c r="K1103" s="1028"/>
      <c r="L1103" s="1035" t="str">
        <f t="shared" si="409"/>
        <v/>
      </c>
      <c r="S1103" s="498"/>
      <c r="AJ1103" s="498"/>
      <c r="AM1103" s="498">
        <f t="shared" si="390"/>
        <v>0</v>
      </c>
      <c r="AN1103" s="498">
        <f t="shared" si="391"/>
        <v>0</v>
      </c>
      <c r="AO1103" s="498">
        <f t="shared" si="392"/>
        <v>0</v>
      </c>
      <c r="AP1103" s="498">
        <f t="shared" si="389"/>
        <v>0</v>
      </c>
      <c r="AQ1103" s="498">
        <f t="shared" si="406"/>
        <v>0</v>
      </c>
      <c r="AU1103" s="498">
        <f t="shared" si="393"/>
        <v>0</v>
      </c>
      <c r="AV1103" s="498">
        <f t="shared" si="394"/>
        <v>0</v>
      </c>
      <c r="AW1103" s="498">
        <f t="shared" si="395"/>
        <v>0</v>
      </c>
      <c r="AX1103" s="498">
        <f t="shared" si="396"/>
        <v>0</v>
      </c>
      <c r="AY1103" s="498">
        <f t="shared" si="397"/>
        <v>0</v>
      </c>
      <c r="BB1103" s="498" t="str">
        <f t="shared" si="398"/>
        <v/>
      </c>
      <c r="BC1103" s="743" t="str">
        <f t="shared" si="399"/>
        <v/>
      </c>
      <c r="BD1103" s="743" t="str">
        <f t="shared" si="400"/>
        <v/>
      </c>
      <c r="BE1103" s="743" t="str">
        <f>IF(D1103="","",VLOOKUP(D1103,'General Basis'!$J$39:$K$46,2,0))</f>
        <v/>
      </c>
      <c r="BF1103" s="744" t="str">
        <f>IF(D1103="","",VLOOKUP(D1103,'General Basis'!$J$39:$L$46,3,0))</f>
        <v/>
      </c>
      <c r="BG1103" s="744" t="str">
        <f t="shared" si="407"/>
        <v/>
      </c>
      <c r="BH1103" s="744" t="str">
        <f>IF(G1103="","",IF(BF1103="Abu Dhabi",IF(G1103&lt;18,'General Basis'!$C$39,IF(G1103&lt;41,'General Basis'!$C$40,IF(G1103&lt;60,'General Basis'!$C$41,IF(G1103&lt;65,'General Basis'!$C$42,'General Basis'!$C$43)))),IF(G1103&lt;11,'General Basis'!$B$39,IF(G1103&lt;18,'General Basis'!$B$40,IF(G1103&lt;26,'General Basis'!$B$41,IF(G1103&lt;31,'General Basis'!$B$42,IF(G1103&lt;36,'General Basis'!$B$43,IF(G1103&lt;41,'General Basis'!$B$44,IF(G1103&lt;46,'General Basis'!$B$45,IF(G1103&lt;51,'General Basis'!$B$46,IF(G1103&lt;56,'General Basis'!$B$47,IF(G1103&lt;60,'General Basis'!$B$48,IF(G1103&lt;65,'General Basis'!$B$49,'General Basis'!$B$50)))))))))))))</f>
        <v/>
      </c>
      <c r="BI1103" s="744" t="str">
        <f t="shared" si="401"/>
        <v/>
      </c>
      <c r="BJ1103" s="747" t="str">
        <f t="shared" si="408"/>
        <v/>
      </c>
      <c r="BK1103" s="498" t="str">
        <f t="shared" si="402"/>
        <v/>
      </c>
      <c r="BL1103" s="498" t="str">
        <f t="shared" si="403"/>
        <v/>
      </c>
    </row>
    <row r="1104" spans="1:64" x14ac:dyDescent="0.25">
      <c r="A1104" s="762">
        <f t="shared" si="404"/>
        <v>1099</v>
      </c>
      <c r="B1104" s="229"/>
      <c r="C1104" s="223"/>
      <c r="D1104" s="224"/>
      <c r="E1104" s="225"/>
      <c r="F1104" s="1036" t="str">
        <f t="shared" ref="F1104:F1167" si="410">IF(C1104="","",IF($B1104="","",((YEAR($F$3)-YEAR($B1104))+(MONTH($F$3)-MONTH($B1104))/12+(DAY($F$3)-DAY($B1104))/(DATE(YEAR($F$3),12,31)-DATE(YEAR($F$3),1,1)+1))))</f>
        <v/>
      </c>
      <c r="G1104" s="1037" t="str">
        <f t="shared" si="405"/>
        <v/>
      </c>
      <c r="H1104" s="225"/>
      <c r="I1104" s="1013"/>
      <c r="J1104" s="1013"/>
      <c r="K1104" s="1028"/>
      <c r="L1104" s="1035" t="str">
        <f t="shared" si="409"/>
        <v/>
      </c>
      <c r="S1104" s="498"/>
      <c r="AJ1104" s="498"/>
      <c r="AM1104" s="498">
        <f t="shared" si="390"/>
        <v>0</v>
      </c>
      <c r="AN1104" s="498">
        <f t="shared" si="391"/>
        <v>0</v>
      </c>
      <c r="AO1104" s="498">
        <f t="shared" si="392"/>
        <v>0</v>
      </c>
      <c r="AP1104" s="498">
        <f t="shared" si="389"/>
        <v>0</v>
      </c>
      <c r="AQ1104" s="498">
        <f t="shared" si="406"/>
        <v>0</v>
      </c>
      <c r="AU1104" s="498">
        <f t="shared" si="393"/>
        <v>0</v>
      </c>
      <c r="AV1104" s="498">
        <f t="shared" si="394"/>
        <v>0</v>
      </c>
      <c r="AW1104" s="498">
        <f t="shared" si="395"/>
        <v>0</v>
      </c>
      <c r="AX1104" s="498">
        <f t="shared" si="396"/>
        <v>0</v>
      </c>
      <c r="AY1104" s="498">
        <f t="shared" si="397"/>
        <v>0</v>
      </c>
      <c r="BB1104" s="498" t="str">
        <f t="shared" si="398"/>
        <v/>
      </c>
      <c r="BC1104" s="743" t="str">
        <f t="shared" si="399"/>
        <v/>
      </c>
      <c r="BD1104" s="743" t="str">
        <f t="shared" si="400"/>
        <v/>
      </c>
      <c r="BE1104" s="743" t="str">
        <f>IF(D1104="","",VLOOKUP(D1104,'General Basis'!$J$39:$K$46,2,0))</f>
        <v/>
      </c>
      <c r="BF1104" s="744" t="str">
        <f>IF(D1104="","",VLOOKUP(D1104,'General Basis'!$J$39:$L$46,3,0))</f>
        <v/>
      </c>
      <c r="BG1104" s="744" t="str">
        <f t="shared" si="407"/>
        <v/>
      </c>
      <c r="BH1104" s="744" t="str">
        <f>IF(G1104="","",IF(BF1104="Abu Dhabi",IF(G1104&lt;18,'General Basis'!$C$39,IF(G1104&lt;41,'General Basis'!$C$40,IF(G1104&lt;60,'General Basis'!$C$41,IF(G1104&lt;65,'General Basis'!$C$42,'General Basis'!$C$43)))),IF(G1104&lt;11,'General Basis'!$B$39,IF(G1104&lt;18,'General Basis'!$B$40,IF(G1104&lt;26,'General Basis'!$B$41,IF(G1104&lt;31,'General Basis'!$B$42,IF(G1104&lt;36,'General Basis'!$B$43,IF(G1104&lt;41,'General Basis'!$B$44,IF(G1104&lt;46,'General Basis'!$B$45,IF(G1104&lt;51,'General Basis'!$B$46,IF(G1104&lt;56,'General Basis'!$B$47,IF(G1104&lt;60,'General Basis'!$B$48,IF(G1104&lt;65,'General Basis'!$B$49,'General Basis'!$B$50)))))))))))))</f>
        <v/>
      </c>
      <c r="BI1104" s="744" t="str">
        <f t="shared" si="401"/>
        <v/>
      </c>
      <c r="BJ1104" s="747" t="str">
        <f t="shared" si="408"/>
        <v/>
      </c>
      <c r="BK1104" s="498" t="str">
        <f t="shared" si="402"/>
        <v/>
      </c>
      <c r="BL1104" s="498" t="str">
        <f t="shared" si="403"/>
        <v/>
      </c>
    </row>
    <row r="1105" spans="1:64" x14ac:dyDescent="0.25">
      <c r="A1105" s="762">
        <f t="shared" si="404"/>
        <v>1100</v>
      </c>
      <c r="B1105" s="229"/>
      <c r="C1105" s="223"/>
      <c r="D1105" s="224"/>
      <c r="E1105" s="225"/>
      <c r="F1105" s="1036" t="str">
        <f t="shared" si="410"/>
        <v/>
      </c>
      <c r="G1105" s="1037" t="str">
        <f t="shared" si="405"/>
        <v/>
      </c>
      <c r="H1105" s="225"/>
      <c r="I1105" s="1013"/>
      <c r="J1105" s="1013"/>
      <c r="K1105" s="1028"/>
      <c r="L1105" s="1035" t="str">
        <f t="shared" si="409"/>
        <v/>
      </c>
      <c r="S1105" s="498"/>
      <c r="AJ1105" s="498"/>
      <c r="AM1105" s="498">
        <f t="shared" si="390"/>
        <v>0</v>
      </c>
      <c r="AN1105" s="498">
        <f t="shared" si="391"/>
        <v>0</v>
      </c>
      <c r="AO1105" s="498">
        <f t="shared" si="392"/>
        <v>0</v>
      </c>
      <c r="AP1105" s="498">
        <f t="shared" si="389"/>
        <v>0</v>
      </c>
      <c r="AQ1105" s="498">
        <f t="shared" si="406"/>
        <v>0</v>
      </c>
      <c r="AU1105" s="498">
        <f t="shared" si="393"/>
        <v>0</v>
      </c>
      <c r="AV1105" s="498">
        <f t="shared" si="394"/>
        <v>0</v>
      </c>
      <c r="AW1105" s="498">
        <f t="shared" si="395"/>
        <v>0</v>
      </c>
      <c r="AX1105" s="498">
        <f t="shared" si="396"/>
        <v>0</v>
      </c>
      <c r="AY1105" s="498">
        <f t="shared" si="397"/>
        <v>0</v>
      </c>
      <c r="BB1105" s="498" t="str">
        <f t="shared" si="398"/>
        <v/>
      </c>
      <c r="BC1105" s="743" t="str">
        <f t="shared" si="399"/>
        <v/>
      </c>
      <c r="BD1105" s="743" t="str">
        <f t="shared" si="400"/>
        <v/>
      </c>
      <c r="BE1105" s="743" t="str">
        <f>IF(D1105="","",VLOOKUP(D1105,'General Basis'!$J$39:$K$46,2,0))</f>
        <v/>
      </c>
      <c r="BF1105" s="744" t="str">
        <f>IF(D1105="","",VLOOKUP(D1105,'General Basis'!$J$39:$L$46,3,0))</f>
        <v/>
      </c>
      <c r="BG1105" s="744" t="str">
        <f t="shared" si="407"/>
        <v/>
      </c>
      <c r="BH1105" s="744" t="str">
        <f>IF(G1105="","",IF(BF1105="Abu Dhabi",IF(G1105&lt;18,'General Basis'!$C$39,IF(G1105&lt;41,'General Basis'!$C$40,IF(G1105&lt;60,'General Basis'!$C$41,IF(G1105&lt;65,'General Basis'!$C$42,'General Basis'!$C$43)))),IF(G1105&lt;11,'General Basis'!$B$39,IF(G1105&lt;18,'General Basis'!$B$40,IF(G1105&lt;26,'General Basis'!$B$41,IF(G1105&lt;31,'General Basis'!$B$42,IF(G1105&lt;36,'General Basis'!$B$43,IF(G1105&lt;41,'General Basis'!$B$44,IF(G1105&lt;46,'General Basis'!$B$45,IF(G1105&lt;51,'General Basis'!$B$46,IF(G1105&lt;56,'General Basis'!$B$47,IF(G1105&lt;60,'General Basis'!$B$48,IF(G1105&lt;65,'General Basis'!$B$49,'General Basis'!$B$50)))))))))))))</f>
        <v/>
      </c>
      <c r="BI1105" s="744" t="str">
        <f t="shared" si="401"/>
        <v/>
      </c>
      <c r="BJ1105" s="747" t="str">
        <f t="shared" si="408"/>
        <v/>
      </c>
      <c r="BK1105" s="498" t="str">
        <f t="shared" si="402"/>
        <v/>
      </c>
      <c r="BL1105" s="498" t="str">
        <f t="shared" si="403"/>
        <v/>
      </c>
    </row>
    <row r="1106" spans="1:64" x14ac:dyDescent="0.25">
      <c r="A1106" s="762">
        <f t="shared" si="404"/>
        <v>1101</v>
      </c>
      <c r="B1106" s="229"/>
      <c r="C1106" s="223"/>
      <c r="D1106" s="224"/>
      <c r="E1106" s="225"/>
      <c r="F1106" s="1036" t="str">
        <f t="shared" si="410"/>
        <v/>
      </c>
      <c r="G1106" s="1037" t="str">
        <f t="shared" si="405"/>
        <v/>
      </c>
      <c r="H1106" s="225"/>
      <c r="I1106" s="1013"/>
      <c r="J1106" s="1013"/>
      <c r="K1106" s="1028"/>
      <c r="L1106" s="1035" t="str">
        <f t="shared" si="409"/>
        <v/>
      </c>
      <c r="S1106" s="498"/>
      <c r="AJ1106" s="498"/>
      <c r="AM1106" s="498">
        <f t="shared" si="390"/>
        <v>0</v>
      </c>
      <c r="AN1106" s="498">
        <f t="shared" si="391"/>
        <v>0</v>
      </c>
      <c r="AO1106" s="498">
        <f t="shared" si="392"/>
        <v>0</v>
      </c>
      <c r="AP1106" s="498">
        <f t="shared" si="389"/>
        <v>0</v>
      </c>
      <c r="AQ1106" s="498">
        <f t="shared" si="406"/>
        <v>0</v>
      </c>
      <c r="AU1106" s="498">
        <f t="shared" si="393"/>
        <v>0</v>
      </c>
      <c r="AV1106" s="498">
        <f t="shared" si="394"/>
        <v>0</v>
      </c>
      <c r="AW1106" s="498">
        <f t="shared" si="395"/>
        <v>0</v>
      </c>
      <c r="AX1106" s="498">
        <f t="shared" si="396"/>
        <v>0</v>
      </c>
      <c r="AY1106" s="498">
        <f t="shared" si="397"/>
        <v>0</v>
      </c>
      <c r="BB1106" s="498" t="str">
        <f t="shared" si="398"/>
        <v/>
      </c>
      <c r="BC1106" s="743" t="str">
        <f t="shared" si="399"/>
        <v/>
      </c>
      <c r="BD1106" s="743" t="str">
        <f t="shared" si="400"/>
        <v/>
      </c>
      <c r="BE1106" s="743" t="str">
        <f>IF(D1106="","",VLOOKUP(D1106,'General Basis'!$J$39:$K$46,2,0))</f>
        <v/>
      </c>
      <c r="BF1106" s="744" t="str">
        <f>IF(D1106="","",VLOOKUP(D1106,'General Basis'!$J$39:$L$46,3,0))</f>
        <v/>
      </c>
      <c r="BG1106" s="744" t="str">
        <f t="shared" si="407"/>
        <v/>
      </c>
      <c r="BH1106" s="744" t="str">
        <f>IF(G1106="","",IF(BF1106="Abu Dhabi",IF(G1106&lt;18,'General Basis'!$C$39,IF(G1106&lt;41,'General Basis'!$C$40,IF(G1106&lt;60,'General Basis'!$C$41,IF(G1106&lt;65,'General Basis'!$C$42,'General Basis'!$C$43)))),IF(G1106&lt;11,'General Basis'!$B$39,IF(G1106&lt;18,'General Basis'!$B$40,IF(G1106&lt;26,'General Basis'!$B$41,IF(G1106&lt;31,'General Basis'!$B$42,IF(G1106&lt;36,'General Basis'!$B$43,IF(G1106&lt;41,'General Basis'!$B$44,IF(G1106&lt;46,'General Basis'!$B$45,IF(G1106&lt;51,'General Basis'!$B$46,IF(G1106&lt;56,'General Basis'!$B$47,IF(G1106&lt;60,'General Basis'!$B$48,IF(G1106&lt;65,'General Basis'!$B$49,'General Basis'!$B$50)))))))))))))</f>
        <v/>
      </c>
      <c r="BI1106" s="744" t="str">
        <f t="shared" si="401"/>
        <v/>
      </c>
      <c r="BJ1106" s="747" t="str">
        <f t="shared" si="408"/>
        <v/>
      </c>
      <c r="BK1106" s="498" t="str">
        <f t="shared" si="402"/>
        <v/>
      </c>
      <c r="BL1106" s="498" t="str">
        <f t="shared" si="403"/>
        <v/>
      </c>
    </row>
    <row r="1107" spans="1:64" x14ac:dyDescent="0.25">
      <c r="A1107" s="762">
        <f t="shared" si="404"/>
        <v>1102</v>
      </c>
      <c r="B1107" s="229"/>
      <c r="C1107" s="223"/>
      <c r="D1107" s="224"/>
      <c r="E1107" s="225"/>
      <c r="F1107" s="1036" t="str">
        <f t="shared" si="410"/>
        <v/>
      </c>
      <c r="G1107" s="1037" t="str">
        <f t="shared" si="405"/>
        <v/>
      </c>
      <c r="H1107" s="225"/>
      <c r="I1107" s="1013"/>
      <c r="J1107" s="1013"/>
      <c r="K1107" s="1028"/>
      <c r="L1107" s="1035" t="str">
        <f t="shared" si="409"/>
        <v/>
      </c>
      <c r="S1107" s="498"/>
      <c r="AJ1107" s="498"/>
      <c r="AM1107" s="498">
        <f t="shared" si="390"/>
        <v>0</v>
      </c>
      <c r="AN1107" s="498">
        <f t="shared" si="391"/>
        <v>0</v>
      </c>
      <c r="AO1107" s="498">
        <f t="shared" si="392"/>
        <v>0</v>
      </c>
      <c r="AP1107" s="498">
        <f t="shared" ref="AP1107:AP1170" si="411">IF(ISBLANK($B1107),0,IF(OR($C1107="M",$C1107="F"),0,1))</f>
        <v>0</v>
      </c>
      <c r="AQ1107" s="498">
        <f t="shared" si="406"/>
        <v>0</v>
      </c>
      <c r="AU1107" s="498">
        <f t="shared" si="393"/>
        <v>0</v>
      </c>
      <c r="AV1107" s="498">
        <f t="shared" si="394"/>
        <v>0</v>
      </c>
      <c r="AW1107" s="498">
        <f t="shared" si="395"/>
        <v>0</v>
      </c>
      <c r="AX1107" s="498">
        <f t="shared" si="396"/>
        <v>0</v>
      </c>
      <c r="AY1107" s="498">
        <f t="shared" si="397"/>
        <v>0</v>
      </c>
      <c r="BB1107" s="498" t="str">
        <f t="shared" si="398"/>
        <v/>
      </c>
      <c r="BC1107" s="743" t="str">
        <f t="shared" si="399"/>
        <v/>
      </c>
      <c r="BD1107" s="743" t="str">
        <f t="shared" si="400"/>
        <v/>
      </c>
      <c r="BE1107" s="743" t="str">
        <f>IF(D1107="","",VLOOKUP(D1107,'General Basis'!$J$39:$K$46,2,0))</f>
        <v/>
      </c>
      <c r="BF1107" s="744" t="str">
        <f>IF(D1107="","",VLOOKUP(D1107,'General Basis'!$J$39:$L$46,3,0))</f>
        <v/>
      </c>
      <c r="BG1107" s="744" t="str">
        <f t="shared" si="407"/>
        <v/>
      </c>
      <c r="BH1107" s="744" t="str">
        <f>IF(G1107="","",IF(BF1107="Abu Dhabi",IF(G1107&lt;18,'General Basis'!$C$39,IF(G1107&lt;41,'General Basis'!$C$40,IF(G1107&lt;60,'General Basis'!$C$41,IF(G1107&lt;65,'General Basis'!$C$42,'General Basis'!$C$43)))),IF(G1107&lt;11,'General Basis'!$B$39,IF(G1107&lt;18,'General Basis'!$B$40,IF(G1107&lt;26,'General Basis'!$B$41,IF(G1107&lt;31,'General Basis'!$B$42,IF(G1107&lt;36,'General Basis'!$B$43,IF(G1107&lt;41,'General Basis'!$B$44,IF(G1107&lt;46,'General Basis'!$B$45,IF(G1107&lt;51,'General Basis'!$B$46,IF(G1107&lt;56,'General Basis'!$B$47,IF(G1107&lt;60,'General Basis'!$B$48,IF(G1107&lt;65,'General Basis'!$B$49,'General Basis'!$B$50)))))))))))))</f>
        <v/>
      </c>
      <c r="BI1107" s="744" t="str">
        <f t="shared" si="401"/>
        <v/>
      </c>
      <c r="BJ1107" s="747" t="str">
        <f t="shared" si="408"/>
        <v/>
      </c>
      <c r="BK1107" s="498" t="str">
        <f t="shared" si="402"/>
        <v/>
      </c>
      <c r="BL1107" s="498" t="str">
        <f t="shared" si="403"/>
        <v/>
      </c>
    </row>
    <row r="1108" spans="1:64" x14ac:dyDescent="0.25">
      <c r="A1108" s="762">
        <f t="shared" si="404"/>
        <v>1103</v>
      </c>
      <c r="B1108" s="229"/>
      <c r="C1108" s="223"/>
      <c r="D1108" s="224"/>
      <c r="E1108" s="225"/>
      <c r="F1108" s="1036" t="str">
        <f t="shared" si="410"/>
        <v/>
      </c>
      <c r="G1108" s="1037" t="str">
        <f t="shared" si="405"/>
        <v/>
      </c>
      <c r="H1108" s="225"/>
      <c r="I1108" s="1013"/>
      <c r="J1108" s="1013"/>
      <c r="K1108" s="1028"/>
      <c r="L1108" s="1035" t="str">
        <f t="shared" si="409"/>
        <v/>
      </c>
      <c r="S1108" s="498"/>
      <c r="AJ1108" s="498"/>
      <c r="AM1108" s="498">
        <f t="shared" si="390"/>
        <v>0</v>
      </c>
      <c r="AN1108" s="498">
        <f t="shared" si="391"/>
        <v>0</v>
      </c>
      <c r="AO1108" s="498">
        <f t="shared" si="392"/>
        <v>0</v>
      </c>
      <c r="AP1108" s="498">
        <f t="shared" si="411"/>
        <v>0</v>
      </c>
      <c r="AQ1108" s="498">
        <f t="shared" si="406"/>
        <v>0</v>
      </c>
      <c r="AU1108" s="498">
        <f t="shared" si="393"/>
        <v>0</v>
      </c>
      <c r="AV1108" s="498">
        <f t="shared" si="394"/>
        <v>0</v>
      </c>
      <c r="AW1108" s="498">
        <f t="shared" si="395"/>
        <v>0</v>
      </c>
      <c r="AX1108" s="498">
        <f t="shared" si="396"/>
        <v>0</v>
      </c>
      <c r="AY1108" s="498">
        <f t="shared" si="397"/>
        <v>0</v>
      </c>
      <c r="BB1108" s="498" t="str">
        <f t="shared" si="398"/>
        <v/>
      </c>
      <c r="BC1108" s="743" t="str">
        <f t="shared" si="399"/>
        <v/>
      </c>
      <c r="BD1108" s="743" t="str">
        <f t="shared" si="400"/>
        <v/>
      </c>
      <c r="BE1108" s="743" t="str">
        <f>IF(D1108="","",VLOOKUP(D1108,'General Basis'!$J$39:$K$46,2,0))</f>
        <v/>
      </c>
      <c r="BF1108" s="744" t="str">
        <f>IF(D1108="","",VLOOKUP(D1108,'General Basis'!$J$39:$L$46,3,0))</f>
        <v/>
      </c>
      <c r="BG1108" s="744" t="str">
        <f t="shared" si="407"/>
        <v/>
      </c>
      <c r="BH1108" s="744" t="str">
        <f>IF(G1108="","",IF(BF1108="Abu Dhabi",IF(G1108&lt;18,'General Basis'!$C$39,IF(G1108&lt;41,'General Basis'!$C$40,IF(G1108&lt;60,'General Basis'!$C$41,IF(G1108&lt;65,'General Basis'!$C$42,'General Basis'!$C$43)))),IF(G1108&lt;11,'General Basis'!$B$39,IF(G1108&lt;18,'General Basis'!$B$40,IF(G1108&lt;26,'General Basis'!$B$41,IF(G1108&lt;31,'General Basis'!$B$42,IF(G1108&lt;36,'General Basis'!$B$43,IF(G1108&lt;41,'General Basis'!$B$44,IF(G1108&lt;46,'General Basis'!$B$45,IF(G1108&lt;51,'General Basis'!$B$46,IF(G1108&lt;56,'General Basis'!$B$47,IF(G1108&lt;60,'General Basis'!$B$48,IF(G1108&lt;65,'General Basis'!$B$49,'General Basis'!$B$50)))))))))))))</f>
        <v/>
      </c>
      <c r="BI1108" s="744" t="str">
        <f t="shared" si="401"/>
        <v/>
      </c>
      <c r="BJ1108" s="747" t="str">
        <f t="shared" si="408"/>
        <v/>
      </c>
      <c r="BK1108" s="498" t="str">
        <f t="shared" si="402"/>
        <v/>
      </c>
      <c r="BL1108" s="498" t="str">
        <f t="shared" si="403"/>
        <v/>
      </c>
    </row>
    <row r="1109" spans="1:64" x14ac:dyDescent="0.25">
      <c r="A1109" s="762">
        <f t="shared" si="404"/>
        <v>1104</v>
      </c>
      <c r="B1109" s="229"/>
      <c r="C1109" s="223"/>
      <c r="D1109" s="224"/>
      <c r="E1109" s="225"/>
      <c r="F1109" s="1036" t="str">
        <f t="shared" si="410"/>
        <v/>
      </c>
      <c r="G1109" s="1037" t="str">
        <f t="shared" si="405"/>
        <v/>
      </c>
      <c r="H1109" s="225"/>
      <c r="I1109" s="1013"/>
      <c r="J1109" s="1013"/>
      <c r="K1109" s="1028"/>
      <c r="L1109" s="1035" t="str">
        <f t="shared" si="409"/>
        <v/>
      </c>
      <c r="S1109" s="498"/>
      <c r="AJ1109" s="498"/>
      <c r="AM1109" s="498">
        <f t="shared" si="390"/>
        <v>0</v>
      </c>
      <c r="AN1109" s="498">
        <f t="shared" si="391"/>
        <v>0</v>
      </c>
      <c r="AO1109" s="498">
        <f t="shared" si="392"/>
        <v>0</v>
      </c>
      <c r="AP1109" s="498">
        <f t="shared" si="411"/>
        <v>0</v>
      </c>
      <c r="AQ1109" s="498">
        <f t="shared" si="406"/>
        <v>0</v>
      </c>
      <c r="AU1109" s="498">
        <f t="shared" si="393"/>
        <v>0</v>
      </c>
      <c r="AV1109" s="498">
        <f t="shared" si="394"/>
        <v>0</v>
      </c>
      <c r="AW1109" s="498">
        <f t="shared" si="395"/>
        <v>0</v>
      </c>
      <c r="AX1109" s="498">
        <f t="shared" si="396"/>
        <v>0</v>
      </c>
      <c r="AY1109" s="498">
        <f t="shared" si="397"/>
        <v>0</v>
      </c>
      <c r="BB1109" s="498" t="str">
        <f t="shared" si="398"/>
        <v/>
      </c>
      <c r="BC1109" s="743" t="str">
        <f t="shared" si="399"/>
        <v/>
      </c>
      <c r="BD1109" s="743" t="str">
        <f t="shared" si="400"/>
        <v/>
      </c>
      <c r="BE1109" s="743" t="str">
        <f>IF(D1109="","",VLOOKUP(D1109,'General Basis'!$J$39:$K$46,2,0))</f>
        <v/>
      </c>
      <c r="BF1109" s="744" t="str">
        <f>IF(D1109="","",VLOOKUP(D1109,'General Basis'!$J$39:$L$46,3,0))</f>
        <v/>
      </c>
      <c r="BG1109" s="744" t="str">
        <f t="shared" si="407"/>
        <v/>
      </c>
      <c r="BH1109" s="744" t="str">
        <f>IF(G1109="","",IF(BF1109="Abu Dhabi",IF(G1109&lt;18,'General Basis'!$C$39,IF(G1109&lt;41,'General Basis'!$C$40,IF(G1109&lt;60,'General Basis'!$C$41,IF(G1109&lt;65,'General Basis'!$C$42,'General Basis'!$C$43)))),IF(G1109&lt;11,'General Basis'!$B$39,IF(G1109&lt;18,'General Basis'!$B$40,IF(G1109&lt;26,'General Basis'!$B$41,IF(G1109&lt;31,'General Basis'!$B$42,IF(G1109&lt;36,'General Basis'!$B$43,IF(G1109&lt;41,'General Basis'!$B$44,IF(G1109&lt;46,'General Basis'!$B$45,IF(G1109&lt;51,'General Basis'!$B$46,IF(G1109&lt;56,'General Basis'!$B$47,IF(G1109&lt;60,'General Basis'!$B$48,IF(G1109&lt;65,'General Basis'!$B$49,'General Basis'!$B$50)))))))))))))</f>
        <v/>
      </c>
      <c r="BI1109" s="744" t="str">
        <f t="shared" si="401"/>
        <v/>
      </c>
      <c r="BJ1109" s="747" t="str">
        <f t="shared" si="408"/>
        <v/>
      </c>
      <c r="BK1109" s="498" t="str">
        <f t="shared" si="402"/>
        <v/>
      </c>
      <c r="BL1109" s="498" t="str">
        <f t="shared" si="403"/>
        <v/>
      </c>
    </row>
    <row r="1110" spans="1:64" x14ac:dyDescent="0.25">
      <c r="A1110" s="762">
        <f t="shared" si="404"/>
        <v>1105</v>
      </c>
      <c r="B1110" s="229"/>
      <c r="C1110" s="223"/>
      <c r="D1110" s="224"/>
      <c r="E1110" s="225"/>
      <c r="F1110" s="1036" t="str">
        <f t="shared" si="410"/>
        <v/>
      </c>
      <c r="G1110" s="1037" t="str">
        <f t="shared" si="405"/>
        <v/>
      </c>
      <c r="H1110" s="225"/>
      <c r="I1110" s="1013"/>
      <c r="J1110" s="1013"/>
      <c r="K1110" s="1028"/>
      <c r="L1110" s="1035" t="str">
        <f t="shared" si="409"/>
        <v/>
      </c>
      <c r="S1110" s="498"/>
      <c r="AJ1110" s="498"/>
      <c r="AM1110" s="498">
        <f t="shared" si="390"/>
        <v>0</v>
      </c>
      <c r="AN1110" s="498">
        <f t="shared" si="391"/>
        <v>0</v>
      </c>
      <c r="AO1110" s="498">
        <f t="shared" si="392"/>
        <v>0</v>
      </c>
      <c r="AP1110" s="498">
        <f t="shared" si="411"/>
        <v>0</v>
      </c>
      <c r="AQ1110" s="498">
        <f t="shared" si="406"/>
        <v>0</v>
      </c>
      <c r="AU1110" s="498">
        <f t="shared" si="393"/>
        <v>0</v>
      </c>
      <c r="AV1110" s="498">
        <f t="shared" si="394"/>
        <v>0</v>
      </c>
      <c r="AW1110" s="498">
        <f t="shared" si="395"/>
        <v>0</v>
      </c>
      <c r="AX1110" s="498">
        <f t="shared" si="396"/>
        <v>0</v>
      </c>
      <c r="AY1110" s="498">
        <f t="shared" si="397"/>
        <v>0</v>
      </c>
      <c r="BB1110" s="498" t="str">
        <f t="shared" si="398"/>
        <v/>
      </c>
      <c r="BC1110" s="743" t="str">
        <f t="shared" si="399"/>
        <v/>
      </c>
      <c r="BD1110" s="743" t="str">
        <f t="shared" si="400"/>
        <v/>
      </c>
      <c r="BE1110" s="743" t="str">
        <f>IF(D1110="","",VLOOKUP(D1110,'General Basis'!$J$39:$K$46,2,0))</f>
        <v/>
      </c>
      <c r="BF1110" s="744" t="str">
        <f>IF(D1110="","",VLOOKUP(D1110,'General Basis'!$J$39:$L$46,3,0))</f>
        <v/>
      </c>
      <c r="BG1110" s="744" t="str">
        <f t="shared" si="407"/>
        <v/>
      </c>
      <c r="BH1110" s="744" t="str">
        <f>IF(G1110="","",IF(BF1110="Abu Dhabi",IF(G1110&lt;18,'General Basis'!$C$39,IF(G1110&lt;41,'General Basis'!$C$40,IF(G1110&lt;60,'General Basis'!$C$41,IF(G1110&lt;65,'General Basis'!$C$42,'General Basis'!$C$43)))),IF(G1110&lt;11,'General Basis'!$B$39,IF(G1110&lt;18,'General Basis'!$B$40,IF(G1110&lt;26,'General Basis'!$B$41,IF(G1110&lt;31,'General Basis'!$B$42,IF(G1110&lt;36,'General Basis'!$B$43,IF(G1110&lt;41,'General Basis'!$B$44,IF(G1110&lt;46,'General Basis'!$B$45,IF(G1110&lt;51,'General Basis'!$B$46,IF(G1110&lt;56,'General Basis'!$B$47,IF(G1110&lt;60,'General Basis'!$B$48,IF(G1110&lt;65,'General Basis'!$B$49,'General Basis'!$B$50)))))))))))))</f>
        <v/>
      </c>
      <c r="BI1110" s="744" t="str">
        <f t="shared" si="401"/>
        <v/>
      </c>
      <c r="BJ1110" s="747" t="str">
        <f t="shared" si="408"/>
        <v/>
      </c>
      <c r="BK1110" s="498" t="str">
        <f t="shared" si="402"/>
        <v/>
      </c>
      <c r="BL1110" s="498" t="str">
        <f t="shared" si="403"/>
        <v/>
      </c>
    </row>
    <row r="1111" spans="1:64" x14ac:dyDescent="0.25">
      <c r="A1111" s="762">
        <f t="shared" si="404"/>
        <v>1106</v>
      </c>
      <c r="B1111" s="229"/>
      <c r="C1111" s="223"/>
      <c r="D1111" s="224"/>
      <c r="E1111" s="225"/>
      <c r="F1111" s="1036" t="str">
        <f t="shared" si="410"/>
        <v/>
      </c>
      <c r="G1111" s="1037" t="str">
        <f t="shared" si="405"/>
        <v/>
      </c>
      <c r="H1111" s="225"/>
      <c r="I1111" s="1013"/>
      <c r="J1111" s="1013"/>
      <c r="K1111" s="1028"/>
      <c r="L1111" s="1035" t="str">
        <f t="shared" si="409"/>
        <v/>
      </c>
      <c r="S1111" s="498"/>
      <c r="AJ1111" s="498"/>
      <c r="AM1111" s="498">
        <f t="shared" si="390"/>
        <v>0</v>
      </c>
      <c r="AN1111" s="498">
        <f t="shared" si="391"/>
        <v>0</v>
      </c>
      <c r="AO1111" s="498">
        <f t="shared" si="392"/>
        <v>0</v>
      </c>
      <c r="AP1111" s="498">
        <f t="shared" si="411"/>
        <v>0</v>
      </c>
      <c r="AQ1111" s="498">
        <f t="shared" si="406"/>
        <v>0</v>
      </c>
      <c r="AU1111" s="498">
        <f t="shared" si="393"/>
        <v>0</v>
      </c>
      <c r="AV1111" s="498">
        <f t="shared" si="394"/>
        <v>0</v>
      </c>
      <c r="AW1111" s="498">
        <f t="shared" si="395"/>
        <v>0</v>
      </c>
      <c r="AX1111" s="498">
        <f t="shared" si="396"/>
        <v>0</v>
      </c>
      <c r="AY1111" s="498">
        <f t="shared" si="397"/>
        <v>0</v>
      </c>
      <c r="BB1111" s="498" t="str">
        <f t="shared" si="398"/>
        <v/>
      </c>
      <c r="BC1111" s="743" t="str">
        <f t="shared" si="399"/>
        <v/>
      </c>
      <c r="BD1111" s="743" t="str">
        <f t="shared" si="400"/>
        <v/>
      </c>
      <c r="BE1111" s="743" t="str">
        <f>IF(D1111="","",VLOOKUP(D1111,'General Basis'!$J$39:$K$46,2,0))</f>
        <v/>
      </c>
      <c r="BF1111" s="744" t="str">
        <f>IF(D1111="","",VLOOKUP(D1111,'General Basis'!$J$39:$L$46,3,0))</f>
        <v/>
      </c>
      <c r="BG1111" s="744" t="str">
        <f t="shared" si="407"/>
        <v/>
      </c>
      <c r="BH1111" s="744" t="str">
        <f>IF(G1111="","",IF(BF1111="Abu Dhabi",IF(G1111&lt;18,'General Basis'!$C$39,IF(G1111&lt;41,'General Basis'!$C$40,IF(G1111&lt;60,'General Basis'!$C$41,IF(G1111&lt;65,'General Basis'!$C$42,'General Basis'!$C$43)))),IF(G1111&lt;11,'General Basis'!$B$39,IF(G1111&lt;18,'General Basis'!$B$40,IF(G1111&lt;26,'General Basis'!$B$41,IF(G1111&lt;31,'General Basis'!$B$42,IF(G1111&lt;36,'General Basis'!$B$43,IF(G1111&lt;41,'General Basis'!$B$44,IF(G1111&lt;46,'General Basis'!$B$45,IF(G1111&lt;51,'General Basis'!$B$46,IF(G1111&lt;56,'General Basis'!$B$47,IF(G1111&lt;60,'General Basis'!$B$48,IF(G1111&lt;65,'General Basis'!$B$49,'General Basis'!$B$50)))))))))))))</f>
        <v/>
      </c>
      <c r="BI1111" s="744" t="str">
        <f t="shared" si="401"/>
        <v/>
      </c>
      <c r="BJ1111" s="747" t="str">
        <f t="shared" si="408"/>
        <v/>
      </c>
      <c r="BK1111" s="498" t="str">
        <f t="shared" si="402"/>
        <v/>
      </c>
      <c r="BL1111" s="498" t="str">
        <f t="shared" si="403"/>
        <v/>
      </c>
    </row>
    <row r="1112" spans="1:64" x14ac:dyDescent="0.25">
      <c r="A1112" s="762">
        <f t="shared" si="404"/>
        <v>1107</v>
      </c>
      <c r="B1112" s="229"/>
      <c r="C1112" s="223"/>
      <c r="D1112" s="224"/>
      <c r="E1112" s="225"/>
      <c r="F1112" s="1036" t="str">
        <f t="shared" si="410"/>
        <v/>
      </c>
      <c r="G1112" s="1037" t="str">
        <f t="shared" si="405"/>
        <v/>
      </c>
      <c r="H1112" s="225"/>
      <c r="I1112" s="1013"/>
      <c r="J1112" s="1013"/>
      <c r="K1112" s="1028"/>
      <c r="L1112" s="1035" t="str">
        <f t="shared" si="409"/>
        <v/>
      </c>
      <c r="S1112" s="498"/>
      <c r="AJ1112" s="498"/>
      <c r="AM1112" s="498">
        <f t="shared" si="390"/>
        <v>0</v>
      </c>
      <c r="AN1112" s="498">
        <f t="shared" si="391"/>
        <v>0</v>
      </c>
      <c r="AO1112" s="498">
        <f t="shared" si="392"/>
        <v>0</v>
      </c>
      <c r="AP1112" s="498">
        <f t="shared" si="411"/>
        <v>0</v>
      </c>
      <c r="AQ1112" s="498">
        <f t="shared" si="406"/>
        <v>0</v>
      </c>
      <c r="AU1112" s="498">
        <f t="shared" si="393"/>
        <v>0</v>
      </c>
      <c r="AV1112" s="498">
        <f t="shared" si="394"/>
        <v>0</v>
      </c>
      <c r="AW1112" s="498">
        <f t="shared" si="395"/>
        <v>0</v>
      </c>
      <c r="AX1112" s="498">
        <f t="shared" si="396"/>
        <v>0</v>
      </c>
      <c r="AY1112" s="498">
        <f t="shared" si="397"/>
        <v>0</v>
      </c>
      <c r="BB1112" s="498" t="str">
        <f t="shared" si="398"/>
        <v/>
      </c>
      <c r="BC1112" s="743" t="str">
        <f t="shared" si="399"/>
        <v/>
      </c>
      <c r="BD1112" s="743" t="str">
        <f t="shared" si="400"/>
        <v/>
      </c>
      <c r="BE1112" s="743" t="str">
        <f>IF(D1112="","",VLOOKUP(D1112,'General Basis'!$J$39:$K$46,2,0))</f>
        <v/>
      </c>
      <c r="BF1112" s="744" t="str">
        <f>IF(D1112="","",VLOOKUP(D1112,'General Basis'!$J$39:$L$46,3,0))</f>
        <v/>
      </c>
      <c r="BG1112" s="744" t="str">
        <f t="shared" si="407"/>
        <v/>
      </c>
      <c r="BH1112" s="744" t="str">
        <f>IF(G1112="","",IF(BF1112="Abu Dhabi",IF(G1112&lt;18,'General Basis'!$C$39,IF(G1112&lt;41,'General Basis'!$C$40,IF(G1112&lt;60,'General Basis'!$C$41,IF(G1112&lt;65,'General Basis'!$C$42,'General Basis'!$C$43)))),IF(G1112&lt;11,'General Basis'!$B$39,IF(G1112&lt;18,'General Basis'!$B$40,IF(G1112&lt;26,'General Basis'!$B$41,IF(G1112&lt;31,'General Basis'!$B$42,IF(G1112&lt;36,'General Basis'!$B$43,IF(G1112&lt;41,'General Basis'!$B$44,IF(G1112&lt;46,'General Basis'!$B$45,IF(G1112&lt;51,'General Basis'!$B$46,IF(G1112&lt;56,'General Basis'!$B$47,IF(G1112&lt;60,'General Basis'!$B$48,IF(G1112&lt;65,'General Basis'!$B$49,'General Basis'!$B$50)))))))))))))</f>
        <v/>
      </c>
      <c r="BI1112" s="744" t="str">
        <f t="shared" si="401"/>
        <v/>
      </c>
      <c r="BJ1112" s="747" t="str">
        <f t="shared" si="408"/>
        <v/>
      </c>
      <c r="BK1112" s="498" t="str">
        <f t="shared" si="402"/>
        <v/>
      </c>
      <c r="BL1112" s="498" t="str">
        <f t="shared" si="403"/>
        <v/>
      </c>
    </row>
    <row r="1113" spans="1:64" x14ac:dyDescent="0.25">
      <c r="A1113" s="762">
        <f t="shared" si="404"/>
        <v>1108</v>
      </c>
      <c r="B1113" s="229"/>
      <c r="C1113" s="223"/>
      <c r="D1113" s="224"/>
      <c r="E1113" s="225"/>
      <c r="F1113" s="1036" t="str">
        <f t="shared" si="410"/>
        <v/>
      </c>
      <c r="G1113" s="1037" t="str">
        <f t="shared" si="405"/>
        <v/>
      </c>
      <c r="H1113" s="225"/>
      <c r="I1113" s="1013"/>
      <c r="J1113" s="1013"/>
      <c r="K1113" s="1028"/>
      <c r="L1113" s="1035" t="str">
        <f t="shared" si="409"/>
        <v/>
      </c>
      <c r="S1113" s="498"/>
      <c r="AJ1113" s="498"/>
      <c r="AM1113" s="498">
        <f t="shared" si="390"/>
        <v>0</v>
      </c>
      <c r="AN1113" s="498">
        <f t="shared" si="391"/>
        <v>0</v>
      </c>
      <c r="AO1113" s="498">
        <f t="shared" si="392"/>
        <v>0</v>
      </c>
      <c r="AP1113" s="498">
        <f t="shared" si="411"/>
        <v>0</v>
      </c>
      <c r="AQ1113" s="498">
        <f t="shared" si="406"/>
        <v>0</v>
      </c>
      <c r="AU1113" s="498">
        <f t="shared" si="393"/>
        <v>0</v>
      </c>
      <c r="AV1113" s="498">
        <f t="shared" si="394"/>
        <v>0</v>
      </c>
      <c r="AW1113" s="498">
        <f t="shared" si="395"/>
        <v>0</v>
      </c>
      <c r="AX1113" s="498">
        <f t="shared" si="396"/>
        <v>0</v>
      </c>
      <c r="AY1113" s="498">
        <f t="shared" si="397"/>
        <v>0</v>
      </c>
      <c r="BB1113" s="498" t="str">
        <f t="shared" si="398"/>
        <v/>
      </c>
      <c r="BC1113" s="743" t="str">
        <f t="shared" si="399"/>
        <v/>
      </c>
      <c r="BD1113" s="743" t="str">
        <f t="shared" si="400"/>
        <v/>
      </c>
      <c r="BE1113" s="743" t="str">
        <f>IF(D1113="","",VLOOKUP(D1113,'General Basis'!$J$39:$K$46,2,0))</f>
        <v/>
      </c>
      <c r="BF1113" s="744" t="str">
        <f>IF(D1113="","",VLOOKUP(D1113,'General Basis'!$J$39:$L$46,3,0))</f>
        <v/>
      </c>
      <c r="BG1113" s="744" t="str">
        <f t="shared" si="407"/>
        <v/>
      </c>
      <c r="BH1113" s="744" t="str">
        <f>IF(G1113="","",IF(BF1113="Abu Dhabi",IF(G1113&lt;18,'General Basis'!$C$39,IF(G1113&lt;41,'General Basis'!$C$40,IF(G1113&lt;60,'General Basis'!$C$41,IF(G1113&lt;65,'General Basis'!$C$42,'General Basis'!$C$43)))),IF(G1113&lt;11,'General Basis'!$B$39,IF(G1113&lt;18,'General Basis'!$B$40,IF(G1113&lt;26,'General Basis'!$B$41,IF(G1113&lt;31,'General Basis'!$B$42,IF(G1113&lt;36,'General Basis'!$B$43,IF(G1113&lt;41,'General Basis'!$B$44,IF(G1113&lt;46,'General Basis'!$B$45,IF(G1113&lt;51,'General Basis'!$B$46,IF(G1113&lt;56,'General Basis'!$B$47,IF(G1113&lt;60,'General Basis'!$B$48,IF(G1113&lt;65,'General Basis'!$B$49,'General Basis'!$B$50)))))))))))))</f>
        <v/>
      </c>
      <c r="BI1113" s="744" t="str">
        <f t="shared" si="401"/>
        <v/>
      </c>
      <c r="BJ1113" s="747" t="str">
        <f t="shared" si="408"/>
        <v/>
      </c>
      <c r="BK1113" s="498" t="str">
        <f t="shared" si="402"/>
        <v/>
      </c>
      <c r="BL1113" s="498" t="str">
        <f t="shared" si="403"/>
        <v/>
      </c>
    </row>
    <row r="1114" spans="1:64" x14ac:dyDescent="0.25">
      <c r="A1114" s="762">
        <f t="shared" si="404"/>
        <v>1109</v>
      </c>
      <c r="B1114" s="229"/>
      <c r="C1114" s="223"/>
      <c r="D1114" s="224"/>
      <c r="E1114" s="225"/>
      <c r="F1114" s="1036" t="str">
        <f t="shared" si="410"/>
        <v/>
      </c>
      <c r="G1114" s="1037" t="str">
        <f t="shared" si="405"/>
        <v/>
      </c>
      <c r="H1114" s="225"/>
      <c r="I1114" s="1013"/>
      <c r="J1114" s="1013"/>
      <c r="K1114" s="1028"/>
      <c r="L1114" s="1035" t="str">
        <f t="shared" si="409"/>
        <v/>
      </c>
      <c r="S1114" s="498"/>
      <c r="AJ1114" s="498"/>
      <c r="AM1114" s="498">
        <f t="shared" si="390"/>
        <v>0</v>
      </c>
      <c r="AN1114" s="498">
        <f t="shared" si="391"/>
        <v>0</v>
      </c>
      <c r="AO1114" s="498">
        <f t="shared" si="392"/>
        <v>0</v>
      </c>
      <c r="AP1114" s="498">
        <f t="shared" si="411"/>
        <v>0</v>
      </c>
      <c r="AQ1114" s="498">
        <f t="shared" si="406"/>
        <v>0</v>
      </c>
      <c r="AU1114" s="498">
        <f t="shared" si="393"/>
        <v>0</v>
      </c>
      <c r="AV1114" s="498">
        <f t="shared" si="394"/>
        <v>0</v>
      </c>
      <c r="AW1114" s="498">
        <f t="shared" si="395"/>
        <v>0</v>
      </c>
      <c r="AX1114" s="498">
        <f t="shared" si="396"/>
        <v>0</v>
      </c>
      <c r="AY1114" s="498">
        <f t="shared" si="397"/>
        <v>0</v>
      </c>
      <c r="BB1114" s="498" t="str">
        <f t="shared" si="398"/>
        <v/>
      </c>
      <c r="BC1114" s="743" t="str">
        <f t="shared" si="399"/>
        <v/>
      </c>
      <c r="BD1114" s="743" t="str">
        <f t="shared" si="400"/>
        <v/>
      </c>
      <c r="BE1114" s="743" t="str">
        <f>IF(D1114="","",VLOOKUP(D1114,'General Basis'!$J$39:$K$46,2,0))</f>
        <v/>
      </c>
      <c r="BF1114" s="744" t="str">
        <f>IF(D1114="","",VLOOKUP(D1114,'General Basis'!$J$39:$L$46,3,0))</f>
        <v/>
      </c>
      <c r="BG1114" s="744" t="str">
        <f t="shared" si="407"/>
        <v/>
      </c>
      <c r="BH1114" s="744" t="str">
        <f>IF(G1114="","",IF(BF1114="Abu Dhabi",IF(G1114&lt;18,'General Basis'!$C$39,IF(G1114&lt;41,'General Basis'!$C$40,IF(G1114&lt;60,'General Basis'!$C$41,IF(G1114&lt;65,'General Basis'!$C$42,'General Basis'!$C$43)))),IF(G1114&lt;11,'General Basis'!$B$39,IF(G1114&lt;18,'General Basis'!$B$40,IF(G1114&lt;26,'General Basis'!$B$41,IF(G1114&lt;31,'General Basis'!$B$42,IF(G1114&lt;36,'General Basis'!$B$43,IF(G1114&lt;41,'General Basis'!$B$44,IF(G1114&lt;46,'General Basis'!$B$45,IF(G1114&lt;51,'General Basis'!$B$46,IF(G1114&lt;56,'General Basis'!$B$47,IF(G1114&lt;60,'General Basis'!$B$48,IF(G1114&lt;65,'General Basis'!$B$49,'General Basis'!$B$50)))))))))))))</f>
        <v/>
      </c>
      <c r="BI1114" s="744" t="str">
        <f t="shared" si="401"/>
        <v/>
      </c>
      <c r="BJ1114" s="747" t="str">
        <f t="shared" si="408"/>
        <v/>
      </c>
      <c r="BK1114" s="498" t="str">
        <f t="shared" si="402"/>
        <v/>
      </c>
      <c r="BL1114" s="498" t="str">
        <f t="shared" si="403"/>
        <v/>
      </c>
    </row>
    <row r="1115" spans="1:64" x14ac:dyDescent="0.25">
      <c r="A1115" s="762">
        <f t="shared" si="404"/>
        <v>1110</v>
      </c>
      <c r="B1115" s="229"/>
      <c r="C1115" s="223"/>
      <c r="D1115" s="224"/>
      <c r="E1115" s="225"/>
      <c r="F1115" s="1036" t="str">
        <f t="shared" si="410"/>
        <v/>
      </c>
      <c r="G1115" s="1037" t="str">
        <f t="shared" si="405"/>
        <v/>
      </c>
      <c r="H1115" s="225"/>
      <c r="I1115" s="1013"/>
      <c r="J1115" s="1013"/>
      <c r="K1115" s="1028"/>
      <c r="L1115" s="1035" t="str">
        <f t="shared" si="409"/>
        <v/>
      </c>
      <c r="S1115" s="498"/>
      <c r="AJ1115" s="498"/>
      <c r="AM1115" s="498">
        <f t="shared" si="390"/>
        <v>0</v>
      </c>
      <c r="AN1115" s="498">
        <f t="shared" si="391"/>
        <v>0</v>
      </c>
      <c r="AO1115" s="498">
        <f t="shared" si="392"/>
        <v>0</v>
      </c>
      <c r="AP1115" s="498">
        <f t="shared" si="411"/>
        <v>0</v>
      </c>
      <c r="AQ1115" s="498">
        <f t="shared" si="406"/>
        <v>0</v>
      </c>
      <c r="AU1115" s="498">
        <f t="shared" si="393"/>
        <v>0</v>
      </c>
      <c r="AV1115" s="498">
        <f t="shared" si="394"/>
        <v>0</v>
      </c>
      <c r="AW1115" s="498">
        <f t="shared" si="395"/>
        <v>0</v>
      </c>
      <c r="AX1115" s="498">
        <f t="shared" si="396"/>
        <v>0</v>
      </c>
      <c r="AY1115" s="498">
        <f t="shared" si="397"/>
        <v>0</v>
      </c>
      <c r="BB1115" s="498" t="str">
        <f t="shared" si="398"/>
        <v/>
      </c>
      <c r="BC1115" s="743" t="str">
        <f t="shared" si="399"/>
        <v/>
      </c>
      <c r="BD1115" s="743" t="str">
        <f t="shared" si="400"/>
        <v/>
      </c>
      <c r="BE1115" s="743" t="str">
        <f>IF(D1115="","",VLOOKUP(D1115,'General Basis'!$J$39:$K$46,2,0))</f>
        <v/>
      </c>
      <c r="BF1115" s="744" t="str">
        <f>IF(D1115="","",VLOOKUP(D1115,'General Basis'!$J$39:$L$46,3,0))</f>
        <v/>
      </c>
      <c r="BG1115" s="744" t="str">
        <f t="shared" si="407"/>
        <v/>
      </c>
      <c r="BH1115" s="744" t="str">
        <f>IF(G1115="","",IF(BF1115="Abu Dhabi",IF(G1115&lt;18,'General Basis'!$C$39,IF(G1115&lt;41,'General Basis'!$C$40,IF(G1115&lt;60,'General Basis'!$C$41,IF(G1115&lt;65,'General Basis'!$C$42,'General Basis'!$C$43)))),IF(G1115&lt;11,'General Basis'!$B$39,IF(G1115&lt;18,'General Basis'!$B$40,IF(G1115&lt;26,'General Basis'!$B$41,IF(G1115&lt;31,'General Basis'!$B$42,IF(G1115&lt;36,'General Basis'!$B$43,IF(G1115&lt;41,'General Basis'!$B$44,IF(G1115&lt;46,'General Basis'!$B$45,IF(G1115&lt;51,'General Basis'!$B$46,IF(G1115&lt;56,'General Basis'!$B$47,IF(G1115&lt;60,'General Basis'!$B$48,IF(G1115&lt;65,'General Basis'!$B$49,'General Basis'!$B$50)))))))))))))</f>
        <v/>
      </c>
      <c r="BI1115" s="744" t="str">
        <f t="shared" si="401"/>
        <v/>
      </c>
      <c r="BJ1115" s="747" t="str">
        <f t="shared" si="408"/>
        <v/>
      </c>
      <c r="BK1115" s="498" t="str">
        <f t="shared" si="402"/>
        <v/>
      </c>
      <c r="BL1115" s="498" t="str">
        <f t="shared" si="403"/>
        <v/>
      </c>
    </row>
    <row r="1116" spans="1:64" x14ac:dyDescent="0.25">
      <c r="A1116" s="762">
        <f t="shared" si="404"/>
        <v>1111</v>
      </c>
      <c r="B1116" s="229"/>
      <c r="C1116" s="223"/>
      <c r="D1116" s="224"/>
      <c r="E1116" s="225"/>
      <c r="F1116" s="1036" t="str">
        <f t="shared" si="410"/>
        <v/>
      </c>
      <c r="G1116" s="1037" t="str">
        <f t="shared" si="405"/>
        <v/>
      </c>
      <c r="H1116" s="225"/>
      <c r="I1116" s="1013"/>
      <c r="J1116" s="1013"/>
      <c r="K1116" s="1028"/>
      <c r="L1116" s="1035" t="str">
        <f t="shared" si="409"/>
        <v/>
      </c>
      <c r="S1116" s="498"/>
      <c r="AJ1116" s="498"/>
      <c r="AM1116" s="498">
        <f t="shared" si="390"/>
        <v>0</v>
      </c>
      <c r="AN1116" s="498">
        <f t="shared" si="391"/>
        <v>0</v>
      </c>
      <c r="AO1116" s="498">
        <f t="shared" si="392"/>
        <v>0</v>
      </c>
      <c r="AP1116" s="498">
        <f t="shared" si="411"/>
        <v>0</v>
      </c>
      <c r="AQ1116" s="498">
        <f t="shared" si="406"/>
        <v>0</v>
      </c>
      <c r="AU1116" s="498">
        <f t="shared" si="393"/>
        <v>0</v>
      </c>
      <c r="AV1116" s="498">
        <f t="shared" si="394"/>
        <v>0</v>
      </c>
      <c r="AW1116" s="498">
        <f t="shared" si="395"/>
        <v>0</v>
      </c>
      <c r="AX1116" s="498">
        <f t="shared" si="396"/>
        <v>0</v>
      </c>
      <c r="AY1116" s="498">
        <f t="shared" si="397"/>
        <v>0</v>
      </c>
      <c r="BB1116" s="498" t="str">
        <f t="shared" si="398"/>
        <v/>
      </c>
      <c r="BC1116" s="743" t="str">
        <f t="shared" si="399"/>
        <v/>
      </c>
      <c r="BD1116" s="743" t="str">
        <f t="shared" si="400"/>
        <v/>
      </c>
      <c r="BE1116" s="743" t="str">
        <f>IF(D1116="","",VLOOKUP(D1116,'General Basis'!$J$39:$K$46,2,0))</f>
        <v/>
      </c>
      <c r="BF1116" s="744" t="str">
        <f>IF(D1116="","",VLOOKUP(D1116,'General Basis'!$J$39:$L$46,3,0))</f>
        <v/>
      </c>
      <c r="BG1116" s="744" t="str">
        <f t="shared" si="407"/>
        <v/>
      </c>
      <c r="BH1116" s="744" t="str">
        <f>IF(G1116="","",IF(BF1116="Abu Dhabi",IF(G1116&lt;18,'General Basis'!$C$39,IF(G1116&lt;41,'General Basis'!$C$40,IF(G1116&lt;60,'General Basis'!$C$41,IF(G1116&lt;65,'General Basis'!$C$42,'General Basis'!$C$43)))),IF(G1116&lt;11,'General Basis'!$B$39,IF(G1116&lt;18,'General Basis'!$B$40,IF(G1116&lt;26,'General Basis'!$B$41,IF(G1116&lt;31,'General Basis'!$B$42,IF(G1116&lt;36,'General Basis'!$B$43,IF(G1116&lt;41,'General Basis'!$B$44,IF(G1116&lt;46,'General Basis'!$B$45,IF(G1116&lt;51,'General Basis'!$B$46,IF(G1116&lt;56,'General Basis'!$B$47,IF(G1116&lt;60,'General Basis'!$B$48,IF(G1116&lt;65,'General Basis'!$B$49,'General Basis'!$B$50)))))))))))))</f>
        <v/>
      </c>
      <c r="BI1116" s="744" t="str">
        <f t="shared" si="401"/>
        <v/>
      </c>
      <c r="BJ1116" s="747" t="str">
        <f t="shared" si="408"/>
        <v/>
      </c>
      <c r="BK1116" s="498" t="str">
        <f t="shared" si="402"/>
        <v/>
      </c>
      <c r="BL1116" s="498" t="str">
        <f t="shared" si="403"/>
        <v/>
      </c>
    </row>
    <row r="1117" spans="1:64" x14ac:dyDescent="0.25">
      <c r="A1117" s="762">
        <f t="shared" si="404"/>
        <v>1112</v>
      </c>
      <c r="B1117" s="229"/>
      <c r="C1117" s="223"/>
      <c r="D1117" s="224"/>
      <c r="E1117" s="225"/>
      <c r="F1117" s="1036" t="str">
        <f t="shared" si="410"/>
        <v/>
      </c>
      <c r="G1117" s="1037" t="str">
        <f t="shared" si="405"/>
        <v/>
      </c>
      <c r="H1117" s="225"/>
      <c r="I1117" s="1013"/>
      <c r="J1117" s="1013"/>
      <c r="K1117" s="1028"/>
      <c r="L1117" s="1035" t="str">
        <f t="shared" si="409"/>
        <v/>
      </c>
      <c r="S1117" s="498"/>
      <c r="AJ1117" s="498"/>
      <c r="AM1117" s="498">
        <f t="shared" si="390"/>
        <v>0</v>
      </c>
      <c r="AN1117" s="498">
        <f t="shared" si="391"/>
        <v>0</v>
      </c>
      <c r="AO1117" s="498">
        <f t="shared" si="392"/>
        <v>0</v>
      </c>
      <c r="AP1117" s="498">
        <f t="shared" si="411"/>
        <v>0</v>
      </c>
      <c r="AQ1117" s="498">
        <f t="shared" si="406"/>
        <v>0</v>
      </c>
      <c r="AU1117" s="498">
        <f t="shared" si="393"/>
        <v>0</v>
      </c>
      <c r="AV1117" s="498">
        <f t="shared" si="394"/>
        <v>0</v>
      </c>
      <c r="AW1117" s="498">
        <f t="shared" si="395"/>
        <v>0</v>
      </c>
      <c r="AX1117" s="498">
        <f t="shared" si="396"/>
        <v>0</v>
      </c>
      <c r="AY1117" s="498">
        <f t="shared" si="397"/>
        <v>0</v>
      </c>
      <c r="BB1117" s="498" t="str">
        <f t="shared" si="398"/>
        <v/>
      </c>
      <c r="BC1117" s="743" t="str">
        <f t="shared" si="399"/>
        <v/>
      </c>
      <c r="BD1117" s="743" t="str">
        <f t="shared" si="400"/>
        <v/>
      </c>
      <c r="BE1117" s="743" t="str">
        <f>IF(D1117="","",VLOOKUP(D1117,'General Basis'!$J$39:$K$46,2,0))</f>
        <v/>
      </c>
      <c r="BF1117" s="744" t="str">
        <f>IF(D1117="","",VLOOKUP(D1117,'General Basis'!$J$39:$L$46,3,0))</f>
        <v/>
      </c>
      <c r="BG1117" s="744" t="str">
        <f t="shared" si="407"/>
        <v/>
      </c>
      <c r="BH1117" s="744" t="str">
        <f>IF(G1117="","",IF(BF1117="Abu Dhabi",IF(G1117&lt;18,'General Basis'!$C$39,IF(G1117&lt;41,'General Basis'!$C$40,IF(G1117&lt;60,'General Basis'!$C$41,IF(G1117&lt;65,'General Basis'!$C$42,'General Basis'!$C$43)))),IF(G1117&lt;11,'General Basis'!$B$39,IF(G1117&lt;18,'General Basis'!$B$40,IF(G1117&lt;26,'General Basis'!$B$41,IF(G1117&lt;31,'General Basis'!$B$42,IF(G1117&lt;36,'General Basis'!$B$43,IF(G1117&lt;41,'General Basis'!$B$44,IF(G1117&lt;46,'General Basis'!$B$45,IF(G1117&lt;51,'General Basis'!$B$46,IF(G1117&lt;56,'General Basis'!$B$47,IF(G1117&lt;60,'General Basis'!$B$48,IF(G1117&lt;65,'General Basis'!$B$49,'General Basis'!$B$50)))))))))))))</f>
        <v/>
      </c>
      <c r="BI1117" s="744" t="str">
        <f t="shared" si="401"/>
        <v/>
      </c>
      <c r="BJ1117" s="747" t="str">
        <f t="shared" si="408"/>
        <v/>
      </c>
      <c r="BK1117" s="498" t="str">
        <f t="shared" si="402"/>
        <v/>
      </c>
      <c r="BL1117" s="498" t="str">
        <f t="shared" si="403"/>
        <v/>
      </c>
    </row>
    <row r="1118" spans="1:64" x14ac:dyDescent="0.25">
      <c r="A1118" s="762">
        <f t="shared" si="404"/>
        <v>1113</v>
      </c>
      <c r="B1118" s="229"/>
      <c r="C1118" s="223"/>
      <c r="D1118" s="224"/>
      <c r="E1118" s="225"/>
      <c r="F1118" s="1036" t="str">
        <f t="shared" si="410"/>
        <v/>
      </c>
      <c r="G1118" s="1037" t="str">
        <f t="shared" si="405"/>
        <v/>
      </c>
      <c r="H1118" s="225"/>
      <c r="I1118" s="1013"/>
      <c r="J1118" s="1013"/>
      <c r="K1118" s="1028"/>
      <c r="L1118" s="1035" t="str">
        <f t="shared" si="409"/>
        <v/>
      </c>
      <c r="S1118" s="498"/>
      <c r="AJ1118" s="498"/>
      <c r="AM1118" s="498">
        <f t="shared" si="390"/>
        <v>0</v>
      </c>
      <c r="AN1118" s="498">
        <f t="shared" si="391"/>
        <v>0</v>
      </c>
      <c r="AO1118" s="498">
        <f t="shared" si="392"/>
        <v>0</v>
      </c>
      <c r="AP1118" s="498">
        <f t="shared" si="411"/>
        <v>0</v>
      </c>
      <c r="AQ1118" s="498">
        <f t="shared" si="406"/>
        <v>0</v>
      </c>
      <c r="AU1118" s="498">
        <f t="shared" si="393"/>
        <v>0</v>
      </c>
      <c r="AV1118" s="498">
        <f t="shared" si="394"/>
        <v>0</v>
      </c>
      <c r="AW1118" s="498">
        <f t="shared" si="395"/>
        <v>0</v>
      </c>
      <c r="AX1118" s="498">
        <f t="shared" si="396"/>
        <v>0</v>
      </c>
      <c r="AY1118" s="498">
        <f t="shared" si="397"/>
        <v>0</v>
      </c>
      <c r="BB1118" s="498" t="str">
        <f t="shared" si="398"/>
        <v/>
      </c>
      <c r="BC1118" s="743" t="str">
        <f t="shared" si="399"/>
        <v/>
      </c>
      <c r="BD1118" s="743" t="str">
        <f t="shared" si="400"/>
        <v/>
      </c>
      <c r="BE1118" s="743" t="str">
        <f>IF(D1118="","",VLOOKUP(D1118,'General Basis'!$J$39:$K$46,2,0))</f>
        <v/>
      </c>
      <c r="BF1118" s="744" t="str">
        <f>IF(D1118="","",VLOOKUP(D1118,'General Basis'!$J$39:$L$46,3,0))</f>
        <v/>
      </c>
      <c r="BG1118" s="744" t="str">
        <f t="shared" si="407"/>
        <v/>
      </c>
      <c r="BH1118" s="744" t="str">
        <f>IF(G1118="","",IF(BF1118="Abu Dhabi",IF(G1118&lt;18,'General Basis'!$C$39,IF(G1118&lt;41,'General Basis'!$C$40,IF(G1118&lt;60,'General Basis'!$C$41,IF(G1118&lt;65,'General Basis'!$C$42,'General Basis'!$C$43)))),IF(G1118&lt;11,'General Basis'!$B$39,IF(G1118&lt;18,'General Basis'!$B$40,IF(G1118&lt;26,'General Basis'!$B$41,IF(G1118&lt;31,'General Basis'!$B$42,IF(G1118&lt;36,'General Basis'!$B$43,IF(G1118&lt;41,'General Basis'!$B$44,IF(G1118&lt;46,'General Basis'!$B$45,IF(G1118&lt;51,'General Basis'!$B$46,IF(G1118&lt;56,'General Basis'!$B$47,IF(G1118&lt;60,'General Basis'!$B$48,IF(G1118&lt;65,'General Basis'!$B$49,'General Basis'!$B$50)))))))))))))</f>
        <v/>
      </c>
      <c r="BI1118" s="744" t="str">
        <f t="shared" si="401"/>
        <v/>
      </c>
      <c r="BJ1118" s="747" t="str">
        <f t="shared" si="408"/>
        <v/>
      </c>
      <c r="BK1118" s="498" t="str">
        <f t="shared" si="402"/>
        <v/>
      </c>
      <c r="BL1118" s="498" t="str">
        <f t="shared" si="403"/>
        <v/>
      </c>
    </row>
    <row r="1119" spans="1:64" x14ac:dyDescent="0.25">
      <c r="A1119" s="762">
        <f t="shared" si="404"/>
        <v>1114</v>
      </c>
      <c r="B1119" s="229"/>
      <c r="C1119" s="223"/>
      <c r="D1119" s="224"/>
      <c r="E1119" s="225"/>
      <c r="F1119" s="1036" t="str">
        <f t="shared" si="410"/>
        <v/>
      </c>
      <c r="G1119" s="1037" t="str">
        <f t="shared" si="405"/>
        <v/>
      </c>
      <c r="H1119" s="225"/>
      <c r="I1119" s="1013"/>
      <c r="J1119" s="1013"/>
      <c r="K1119" s="1028"/>
      <c r="L1119" s="1035" t="str">
        <f t="shared" si="409"/>
        <v/>
      </c>
      <c r="S1119" s="498"/>
      <c r="AJ1119" s="498"/>
      <c r="AM1119" s="498">
        <f t="shared" si="390"/>
        <v>0</v>
      </c>
      <c r="AN1119" s="498">
        <f t="shared" si="391"/>
        <v>0</v>
      </c>
      <c r="AO1119" s="498">
        <f t="shared" si="392"/>
        <v>0</v>
      </c>
      <c r="AP1119" s="498">
        <f t="shared" si="411"/>
        <v>0</v>
      </c>
      <c r="AQ1119" s="498">
        <f t="shared" si="406"/>
        <v>0</v>
      </c>
      <c r="AU1119" s="498">
        <f t="shared" si="393"/>
        <v>0</v>
      </c>
      <c r="AV1119" s="498">
        <f t="shared" si="394"/>
        <v>0</v>
      </c>
      <c r="AW1119" s="498">
        <f t="shared" si="395"/>
        <v>0</v>
      </c>
      <c r="AX1119" s="498">
        <f t="shared" si="396"/>
        <v>0</v>
      </c>
      <c r="AY1119" s="498">
        <f t="shared" si="397"/>
        <v>0</v>
      </c>
      <c r="BB1119" s="498" t="str">
        <f t="shared" si="398"/>
        <v/>
      </c>
      <c r="BC1119" s="743" t="str">
        <f t="shared" si="399"/>
        <v/>
      </c>
      <c r="BD1119" s="743" t="str">
        <f t="shared" si="400"/>
        <v/>
      </c>
      <c r="BE1119" s="743" t="str">
        <f>IF(D1119="","",VLOOKUP(D1119,'General Basis'!$J$39:$K$46,2,0))</f>
        <v/>
      </c>
      <c r="BF1119" s="744" t="str">
        <f>IF(D1119="","",VLOOKUP(D1119,'General Basis'!$J$39:$L$46,3,0))</f>
        <v/>
      </c>
      <c r="BG1119" s="744" t="str">
        <f t="shared" si="407"/>
        <v/>
      </c>
      <c r="BH1119" s="744" t="str">
        <f>IF(G1119="","",IF(BF1119="Abu Dhabi",IF(G1119&lt;18,'General Basis'!$C$39,IF(G1119&lt;41,'General Basis'!$C$40,IF(G1119&lt;60,'General Basis'!$C$41,IF(G1119&lt;65,'General Basis'!$C$42,'General Basis'!$C$43)))),IF(G1119&lt;11,'General Basis'!$B$39,IF(G1119&lt;18,'General Basis'!$B$40,IF(G1119&lt;26,'General Basis'!$B$41,IF(G1119&lt;31,'General Basis'!$B$42,IF(G1119&lt;36,'General Basis'!$B$43,IF(G1119&lt;41,'General Basis'!$B$44,IF(G1119&lt;46,'General Basis'!$B$45,IF(G1119&lt;51,'General Basis'!$B$46,IF(G1119&lt;56,'General Basis'!$B$47,IF(G1119&lt;60,'General Basis'!$B$48,IF(G1119&lt;65,'General Basis'!$B$49,'General Basis'!$B$50)))))))))))))</f>
        <v/>
      </c>
      <c r="BI1119" s="744" t="str">
        <f t="shared" si="401"/>
        <v/>
      </c>
      <c r="BJ1119" s="747" t="str">
        <f t="shared" si="408"/>
        <v/>
      </c>
      <c r="BK1119" s="498" t="str">
        <f t="shared" si="402"/>
        <v/>
      </c>
      <c r="BL1119" s="498" t="str">
        <f t="shared" si="403"/>
        <v/>
      </c>
    </row>
    <row r="1120" spans="1:64" x14ac:dyDescent="0.25">
      <c r="A1120" s="762">
        <f t="shared" si="404"/>
        <v>1115</v>
      </c>
      <c r="B1120" s="229"/>
      <c r="C1120" s="223"/>
      <c r="D1120" s="224"/>
      <c r="E1120" s="225"/>
      <c r="F1120" s="1036" t="str">
        <f t="shared" si="410"/>
        <v/>
      </c>
      <c r="G1120" s="1037" t="str">
        <f t="shared" si="405"/>
        <v/>
      </c>
      <c r="H1120" s="225"/>
      <c r="I1120" s="1013"/>
      <c r="J1120" s="1013"/>
      <c r="K1120" s="1028"/>
      <c r="L1120" s="1035" t="str">
        <f t="shared" si="409"/>
        <v/>
      </c>
      <c r="S1120" s="498"/>
      <c r="AJ1120" s="498"/>
      <c r="AM1120" s="498">
        <f t="shared" si="390"/>
        <v>0</v>
      </c>
      <c r="AN1120" s="498">
        <f t="shared" si="391"/>
        <v>0</v>
      </c>
      <c r="AO1120" s="498">
        <f t="shared" si="392"/>
        <v>0</v>
      </c>
      <c r="AP1120" s="498">
        <f t="shared" si="411"/>
        <v>0</v>
      </c>
      <c r="AQ1120" s="498">
        <f t="shared" si="406"/>
        <v>0</v>
      </c>
      <c r="AU1120" s="498">
        <f t="shared" si="393"/>
        <v>0</v>
      </c>
      <c r="AV1120" s="498">
        <f t="shared" si="394"/>
        <v>0</v>
      </c>
      <c r="AW1120" s="498">
        <f t="shared" si="395"/>
        <v>0</v>
      </c>
      <c r="AX1120" s="498">
        <f t="shared" si="396"/>
        <v>0</v>
      </c>
      <c r="AY1120" s="498">
        <f t="shared" si="397"/>
        <v>0</v>
      </c>
      <c r="BB1120" s="498" t="str">
        <f t="shared" si="398"/>
        <v/>
      </c>
      <c r="BC1120" s="743" t="str">
        <f t="shared" si="399"/>
        <v/>
      </c>
      <c r="BD1120" s="743" t="str">
        <f t="shared" si="400"/>
        <v/>
      </c>
      <c r="BE1120" s="743" t="str">
        <f>IF(D1120="","",VLOOKUP(D1120,'General Basis'!$J$39:$K$46,2,0))</f>
        <v/>
      </c>
      <c r="BF1120" s="744" t="str">
        <f>IF(D1120="","",VLOOKUP(D1120,'General Basis'!$J$39:$L$46,3,0))</f>
        <v/>
      </c>
      <c r="BG1120" s="744" t="str">
        <f t="shared" si="407"/>
        <v/>
      </c>
      <c r="BH1120" s="744" t="str">
        <f>IF(G1120="","",IF(BF1120="Abu Dhabi",IF(G1120&lt;18,'General Basis'!$C$39,IF(G1120&lt;41,'General Basis'!$C$40,IF(G1120&lt;60,'General Basis'!$C$41,IF(G1120&lt;65,'General Basis'!$C$42,'General Basis'!$C$43)))),IF(G1120&lt;11,'General Basis'!$B$39,IF(G1120&lt;18,'General Basis'!$B$40,IF(G1120&lt;26,'General Basis'!$B$41,IF(G1120&lt;31,'General Basis'!$B$42,IF(G1120&lt;36,'General Basis'!$B$43,IF(G1120&lt;41,'General Basis'!$B$44,IF(G1120&lt;46,'General Basis'!$B$45,IF(G1120&lt;51,'General Basis'!$B$46,IF(G1120&lt;56,'General Basis'!$B$47,IF(G1120&lt;60,'General Basis'!$B$48,IF(G1120&lt;65,'General Basis'!$B$49,'General Basis'!$B$50)))))))))))))</f>
        <v/>
      </c>
      <c r="BI1120" s="744" t="str">
        <f t="shared" si="401"/>
        <v/>
      </c>
      <c r="BJ1120" s="747" t="str">
        <f t="shared" si="408"/>
        <v/>
      </c>
      <c r="BK1120" s="498" t="str">
        <f t="shared" si="402"/>
        <v/>
      </c>
      <c r="BL1120" s="498" t="str">
        <f t="shared" si="403"/>
        <v/>
      </c>
    </row>
    <row r="1121" spans="1:64" x14ac:dyDescent="0.25">
      <c r="A1121" s="762">
        <f t="shared" si="404"/>
        <v>1116</v>
      </c>
      <c r="B1121" s="229"/>
      <c r="C1121" s="223"/>
      <c r="D1121" s="224"/>
      <c r="E1121" s="225"/>
      <c r="F1121" s="1036" t="str">
        <f t="shared" si="410"/>
        <v/>
      </c>
      <c r="G1121" s="1037" t="str">
        <f t="shared" si="405"/>
        <v/>
      </c>
      <c r="H1121" s="225"/>
      <c r="I1121" s="1013"/>
      <c r="J1121" s="1013"/>
      <c r="K1121" s="1028"/>
      <c r="L1121" s="1035" t="str">
        <f t="shared" si="409"/>
        <v/>
      </c>
      <c r="S1121" s="498"/>
      <c r="AJ1121" s="498"/>
      <c r="AM1121" s="498">
        <f t="shared" si="390"/>
        <v>0</v>
      </c>
      <c r="AN1121" s="498">
        <f t="shared" si="391"/>
        <v>0</v>
      </c>
      <c r="AO1121" s="498">
        <f t="shared" si="392"/>
        <v>0</v>
      </c>
      <c r="AP1121" s="498">
        <f t="shared" si="411"/>
        <v>0</v>
      </c>
      <c r="AQ1121" s="498">
        <f t="shared" si="406"/>
        <v>0</v>
      </c>
      <c r="AU1121" s="498">
        <f t="shared" si="393"/>
        <v>0</v>
      </c>
      <c r="AV1121" s="498">
        <f t="shared" si="394"/>
        <v>0</v>
      </c>
      <c r="AW1121" s="498">
        <f t="shared" si="395"/>
        <v>0</v>
      </c>
      <c r="AX1121" s="498">
        <f t="shared" si="396"/>
        <v>0</v>
      </c>
      <c r="AY1121" s="498">
        <f t="shared" si="397"/>
        <v>0</v>
      </c>
      <c r="BB1121" s="498" t="str">
        <f t="shared" si="398"/>
        <v/>
      </c>
      <c r="BC1121" s="743" t="str">
        <f t="shared" si="399"/>
        <v/>
      </c>
      <c r="BD1121" s="743" t="str">
        <f t="shared" si="400"/>
        <v/>
      </c>
      <c r="BE1121" s="743" t="str">
        <f>IF(D1121="","",VLOOKUP(D1121,'General Basis'!$J$39:$K$46,2,0))</f>
        <v/>
      </c>
      <c r="BF1121" s="744" t="str">
        <f>IF(D1121="","",VLOOKUP(D1121,'General Basis'!$J$39:$L$46,3,0))</f>
        <v/>
      </c>
      <c r="BG1121" s="744" t="str">
        <f t="shared" si="407"/>
        <v/>
      </c>
      <c r="BH1121" s="744" t="str">
        <f>IF(G1121="","",IF(BF1121="Abu Dhabi",IF(G1121&lt;18,'General Basis'!$C$39,IF(G1121&lt;41,'General Basis'!$C$40,IF(G1121&lt;60,'General Basis'!$C$41,IF(G1121&lt;65,'General Basis'!$C$42,'General Basis'!$C$43)))),IF(G1121&lt;11,'General Basis'!$B$39,IF(G1121&lt;18,'General Basis'!$B$40,IF(G1121&lt;26,'General Basis'!$B$41,IF(G1121&lt;31,'General Basis'!$B$42,IF(G1121&lt;36,'General Basis'!$B$43,IF(G1121&lt;41,'General Basis'!$B$44,IF(G1121&lt;46,'General Basis'!$B$45,IF(G1121&lt;51,'General Basis'!$B$46,IF(G1121&lt;56,'General Basis'!$B$47,IF(G1121&lt;60,'General Basis'!$B$48,IF(G1121&lt;65,'General Basis'!$B$49,'General Basis'!$B$50)))))))))))))</f>
        <v/>
      </c>
      <c r="BI1121" s="744" t="str">
        <f t="shared" si="401"/>
        <v/>
      </c>
      <c r="BJ1121" s="747" t="str">
        <f t="shared" si="408"/>
        <v/>
      </c>
      <c r="BK1121" s="498" t="str">
        <f t="shared" si="402"/>
        <v/>
      </c>
      <c r="BL1121" s="498" t="str">
        <f t="shared" si="403"/>
        <v/>
      </c>
    </row>
    <row r="1122" spans="1:64" x14ac:dyDescent="0.25">
      <c r="A1122" s="762">
        <f t="shared" si="404"/>
        <v>1117</v>
      </c>
      <c r="B1122" s="229"/>
      <c r="C1122" s="223"/>
      <c r="D1122" s="224"/>
      <c r="E1122" s="225"/>
      <c r="F1122" s="1036" t="str">
        <f t="shared" si="410"/>
        <v/>
      </c>
      <c r="G1122" s="1037" t="str">
        <f t="shared" si="405"/>
        <v/>
      </c>
      <c r="H1122" s="225"/>
      <c r="I1122" s="1013"/>
      <c r="J1122" s="1013"/>
      <c r="K1122" s="1028"/>
      <c r="L1122" s="1035" t="str">
        <f t="shared" si="409"/>
        <v/>
      </c>
      <c r="S1122" s="498"/>
      <c r="AJ1122" s="498"/>
      <c r="AM1122" s="498">
        <f t="shared" si="390"/>
        <v>0</v>
      </c>
      <c r="AN1122" s="498">
        <f t="shared" si="391"/>
        <v>0</v>
      </c>
      <c r="AO1122" s="498">
        <f t="shared" si="392"/>
        <v>0</v>
      </c>
      <c r="AP1122" s="498">
        <f t="shared" si="411"/>
        <v>0</v>
      </c>
      <c r="AQ1122" s="498">
        <f t="shared" si="406"/>
        <v>0</v>
      </c>
      <c r="AU1122" s="498">
        <f t="shared" si="393"/>
        <v>0</v>
      </c>
      <c r="AV1122" s="498">
        <f t="shared" si="394"/>
        <v>0</v>
      </c>
      <c r="AW1122" s="498">
        <f t="shared" si="395"/>
        <v>0</v>
      </c>
      <c r="AX1122" s="498">
        <f t="shared" si="396"/>
        <v>0</v>
      </c>
      <c r="AY1122" s="498">
        <f t="shared" si="397"/>
        <v>0</v>
      </c>
      <c r="BB1122" s="498" t="str">
        <f t="shared" si="398"/>
        <v/>
      </c>
      <c r="BC1122" s="743" t="str">
        <f t="shared" si="399"/>
        <v/>
      </c>
      <c r="BD1122" s="743" t="str">
        <f t="shared" si="400"/>
        <v/>
      </c>
      <c r="BE1122" s="743" t="str">
        <f>IF(D1122="","",VLOOKUP(D1122,'General Basis'!$J$39:$K$46,2,0))</f>
        <v/>
      </c>
      <c r="BF1122" s="744" t="str">
        <f>IF(D1122="","",VLOOKUP(D1122,'General Basis'!$J$39:$L$46,3,0))</f>
        <v/>
      </c>
      <c r="BG1122" s="744" t="str">
        <f t="shared" si="407"/>
        <v/>
      </c>
      <c r="BH1122" s="744" t="str">
        <f>IF(G1122="","",IF(BF1122="Abu Dhabi",IF(G1122&lt;18,'General Basis'!$C$39,IF(G1122&lt;41,'General Basis'!$C$40,IF(G1122&lt;60,'General Basis'!$C$41,IF(G1122&lt;65,'General Basis'!$C$42,'General Basis'!$C$43)))),IF(G1122&lt;11,'General Basis'!$B$39,IF(G1122&lt;18,'General Basis'!$B$40,IF(G1122&lt;26,'General Basis'!$B$41,IF(G1122&lt;31,'General Basis'!$B$42,IF(G1122&lt;36,'General Basis'!$B$43,IF(G1122&lt;41,'General Basis'!$B$44,IF(G1122&lt;46,'General Basis'!$B$45,IF(G1122&lt;51,'General Basis'!$B$46,IF(G1122&lt;56,'General Basis'!$B$47,IF(G1122&lt;60,'General Basis'!$B$48,IF(G1122&lt;65,'General Basis'!$B$49,'General Basis'!$B$50)))))))))))))</f>
        <v/>
      </c>
      <c r="BI1122" s="744" t="str">
        <f t="shared" si="401"/>
        <v/>
      </c>
      <c r="BJ1122" s="747" t="str">
        <f t="shared" si="408"/>
        <v/>
      </c>
      <c r="BK1122" s="498" t="str">
        <f t="shared" si="402"/>
        <v/>
      </c>
      <c r="BL1122" s="498" t="str">
        <f t="shared" si="403"/>
        <v/>
      </c>
    </row>
    <row r="1123" spans="1:64" x14ac:dyDescent="0.25">
      <c r="A1123" s="762">
        <f t="shared" si="404"/>
        <v>1118</v>
      </c>
      <c r="B1123" s="229"/>
      <c r="C1123" s="223"/>
      <c r="D1123" s="224"/>
      <c r="E1123" s="225"/>
      <c r="F1123" s="1036" t="str">
        <f t="shared" si="410"/>
        <v/>
      </c>
      <c r="G1123" s="1037" t="str">
        <f t="shared" si="405"/>
        <v/>
      </c>
      <c r="H1123" s="225"/>
      <c r="I1123" s="1013"/>
      <c r="J1123" s="1013"/>
      <c r="K1123" s="1028"/>
      <c r="L1123" s="1035" t="str">
        <f t="shared" si="409"/>
        <v/>
      </c>
      <c r="S1123" s="498"/>
      <c r="AJ1123" s="498"/>
      <c r="AM1123" s="498">
        <f t="shared" si="390"/>
        <v>0</v>
      </c>
      <c r="AN1123" s="498">
        <f t="shared" si="391"/>
        <v>0</v>
      </c>
      <c r="AO1123" s="498">
        <f t="shared" si="392"/>
        <v>0</v>
      </c>
      <c r="AP1123" s="498">
        <f t="shared" si="411"/>
        <v>0</v>
      </c>
      <c r="AQ1123" s="498">
        <f t="shared" si="406"/>
        <v>0</v>
      </c>
      <c r="AU1123" s="498">
        <f t="shared" si="393"/>
        <v>0</v>
      </c>
      <c r="AV1123" s="498">
        <f t="shared" si="394"/>
        <v>0</v>
      </c>
      <c r="AW1123" s="498">
        <f t="shared" si="395"/>
        <v>0</v>
      </c>
      <c r="AX1123" s="498">
        <f t="shared" si="396"/>
        <v>0</v>
      </c>
      <c r="AY1123" s="498">
        <f t="shared" si="397"/>
        <v>0</v>
      </c>
      <c r="BB1123" s="498" t="str">
        <f t="shared" si="398"/>
        <v/>
      </c>
      <c r="BC1123" s="743" t="str">
        <f t="shared" si="399"/>
        <v/>
      </c>
      <c r="BD1123" s="743" t="str">
        <f t="shared" si="400"/>
        <v/>
      </c>
      <c r="BE1123" s="743" t="str">
        <f>IF(D1123="","",VLOOKUP(D1123,'General Basis'!$J$39:$K$46,2,0))</f>
        <v/>
      </c>
      <c r="BF1123" s="744" t="str">
        <f>IF(D1123="","",VLOOKUP(D1123,'General Basis'!$J$39:$L$46,3,0))</f>
        <v/>
      </c>
      <c r="BG1123" s="744" t="str">
        <f t="shared" si="407"/>
        <v/>
      </c>
      <c r="BH1123" s="744" t="str">
        <f>IF(G1123="","",IF(BF1123="Abu Dhabi",IF(G1123&lt;18,'General Basis'!$C$39,IF(G1123&lt;41,'General Basis'!$C$40,IF(G1123&lt;60,'General Basis'!$C$41,IF(G1123&lt;65,'General Basis'!$C$42,'General Basis'!$C$43)))),IF(G1123&lt;11,'General Basis'!$B$39,IF(G1123&lt;18,'General Basis'!$B$40,IF(G1123&lt;26,'General Basis'!$B$41,IF(G1123&lt;31,'General Basis'!$B$42,IF(G1123&lt;36,'General Basis'!$B$43,IF(G1123&lt;41,'General Basis'!$B$44,IF(G1123&lt;46,'General Basis'!$B$45,IF(G1123&lt;51,'General Basis'!$B$46,IF(G1123&lt;56,'General Basis'!$B$47,IF(G1123&lt;60,'General Basis'!$B$48,IF(G1123&lt;65,'General Basis'!$B$49,'General Basis'!$B$50)))))))))))))</f>
        <v/>
      </c>
      <c r="BI1123" s="744" t="str">
        <f t="shared" si="401"/>
        <v/>
      </c>
      <c r="BJ1123" s="747" t="str">
        <f t="shared" si="408"/>
        <v/>
      </c>
      <c r="BK1123" s="498" t="str">
        <f t="shared" si="402"/>
        <v/>
      </c>
      <c r="BL1123" s="498" t="str">
        <f t="shared" si="403"/>
        <v/>
      </c>
    </row>
    <row r="1124" spans="1:64" x14ac:dyDescent="0.25">
      <c r="A1124" s="762">
        <f t="shared" si="404"/>
        <v>1119</v>
      </c>
      <c r="B1124" s="229"/>
      <c r="C1124" s="223"/>
      <c r="D1124" s="224"/>
      <c r="E1124" s="225"/>
      <c r="F1124" s="1036" t="str">
        <f t="shared" si="410"/>
        <v/>
      </c>
      <c r="G1124" s="1037" t="str">
        <f t="shared" si="405"/>
        <v/>
      </c>
      <c r="H1124" s="225"/>
      <c r="I1124" s="1013"/>
      <c r="J1124" s="1013"/>
      <c r="K1124" s="1028"/>
      <c r="L1124" s="1035" t="str">
        <f t="shared" si="409"/>
        <v/>
      </c>
      <c r="S1124" s="498"/>
      <c r="AJ1124" s="498"/>
      <c r="AM1124" s="498">
        <f t="shared" si="390"/>
        <v>0</v>
      </c>
      <c r="AN1124" s="498">
        <f t="shared" si="391"/>
        <v>0</v>
      </c>
      <c r="AO1124" s="498">
        <f t="shared" si="392"/>
        <v>0</v>
      </c>
      <c r="AP1124" s="498">
        <f t="shared" si="411"/>
        <v>0</v>
      </c>
      <c r="AQ1124" s="498">
        <f t="shared" si="406"/>
        <v>0</v>
      </c>
      <c r="AU1124" s="498">
        <f t="shared" si="393"/>
        <v>0</v>
      </c>
      <c r="AV1124" s="498">
        <f t="shared" si="394"/>
        <v>0</v>
      </c>
      <c r="AW1124" s="498">
        <f t="shared" si="395"/>
        <v>0</v>
      </c>
      <c r="AX1124" s="498">
        <f t="shared" si="396"/>
        <v>0</v>
      </c>
      <c r="AY1124" s="498">
        <f t="shared" si="397"/>
        <v>0</v>
      </c>
      <c r="BB1124" s="498" t="str">
        <f t="shared" si="398"/>
        <v/>
      </c>
      <c r="BC1124" s="743" t="str">
        <f t="shared" si="399"/>
        <v/>
      </c>
      <c r="BD1124" s="743" t="str">
        <f t="shared" si="400"/>
        <v/>
      </c>
      <c r="BE1124" s="743" t="str">
        <f>IF(D1124="","",VLOOKUP(D1124,'General Basis'!$J$39:$K$46,2,0))</f>
        <v/>
      </c>
      <c r="BF1124" s="744" t="str">
        <f>IF(D1124="","",VLOOKUP(D1124,'General Basis'!$J$39:$L$46,3,0))</f>
        <v/>
      </c>
      <c r="BG1124" s="744" t="str">
        <f t="shared" si="407"/>
        <v/>
      </c>
      <c r="BH1124" s="744" t="str">
        <f>IF(G1124="","",IF(BF1124="Abu Dhabi",IF(G1124&lt;18,'General Basis'!$C$39,IF(G1124&lt;41,'General Basis'!$C$40,IF(G1124&lt;60,'General Basis'!$C$41,IF(G1124&lt;65,'General Basis'!$C$42,'General Basis'!$C$43)))),IF(G1124&lt;11,'General Basis'!$B$39,IF(G1124&lt;18,'General Basis'!$B$40,IF(G1124&lt;26,'General Basis'!$B$41,IF(G1124&lt;31,'General Basis'!$B$42,IF(G1124&lt;36,'General Basis'!$B$43,IF(G1124&lt;41,'General Basis'!$B$44,IF(G1124&lt;46,'General Basis'!$B$45,IF(G1124&lt;51,'General Basis'!$B$46,IF(G1124&lt;56,'General Basis'!$B$47,IF(G1124&lt;60,'General Basis'!$B$48,IF(G1124&lt;65,'General Basis'!$B$49,'General Basis'!$B$50)))))))))))))</f>
        <v/>
      </c>
      <c r="BI1124" s="744" t="str">
        <f t="shared" si="401"/>
        <v/>
      </c>
      <c r="BJ1124" s="747" t="str">
        <f t="shared" si="408"/>
        <v/>
      </c>
      <c r="BK1124" s="498" t="str">
        <f t="shared" si="402"/>
        <v/>
      </c>
      <c r="BL1124" s="498" t="str">
        <f t="shared" si="403"/>
        <v/>
      </c>
    </row>
    <row r="1125" spans="1:64" x14ac:dyDescent="0.25">
      <c r="A1125" s="762">
        <f t="shared" si="404"/>
        <v>1120</v>
      </c>
      <c r="B1125" s="229"/>
      <c r="C1125" s="223"/>
      <c r="D1125" s="224"/>
      <c r="E1125" s="225"/>
      <c r="F1125" s="1036" t="str">
        <f t="shared" si="410"/>
        <v/>
      </c>
      <c r="G1125" s="1037" t="str">
        <f t="shared" si="405"/>
        <v/>
      </c>
      <c r="H1125" s="225"/>
      <c r="I1125" s="1013"/>
      <c r="J1125" s="1013"/>
      <c r="K1125" s="1028"/>
      <c r="L1125" s="1035" t="str">
        <f t="shared" si="409"/>
        <v/>
      </c>
      <c r="S1125" s="498"/>
      <c r="AJ1125" s="498"/>
      <c r="AM1125" s="498">
        <f t="shared" si="390"/>
        <v>0</v>
      </c>
      <c r="AN1125" s="498">
        <f t="shared" si="391"/>
        <v>0</v>
      </c>
      <c r="AO1125" s="498">
        <f t="shared" si="392"/>
        <v>0</v>
      </c>
      <c r="AP1125" s="498">
        <f t="shared" si="411"/>
        <v>0</v>
      </c>
      <c r="AQ1125" s="498">
        <f t="shared" si="406"/>
        <v>0</v>
      </c>
      <c r="AU1125" s="498">
        <f t="shared" si="393"/>
        <v>0</v>
      </c>
      <c r="AV1125" s="498">
        <f t="shared" si="394"/>
        <v>0</v>
      </c>
      <c r="AW1125" s="498">
        <f t="shared" si="395"/>
        <v>0</v>
      </c>
      <c r="AX1125" s="498">
        <f t="shared" si="396"/>
        <v>0</v>
      </c>
      <c r="AY1125" s="498">
        <f t="shared" si="397"/>
        <v>0</v>
      </c>
      <c r="BB1125" s="498" t="str">
        <f t="shared" si="398"/>
        <v/>
      </c>
      <c r="BC1125" s="743" t="str">
        <f t="shared" si="399"/>
        <v/>
      </c>
      <c r="BD1125" s="743" t="str">
        <f t="shared" si="400"/>
        <v/>
      </c>
      <c r="BE1125" s="743" t="str">
        <f>IF(D1125="","",VLOOKUP(D1125,'General Basis'!$J$39:$K$46,2,0))</f>
        <v/>
      </c>
      <c r="BF1125" s="744" t="str">
        <f>IF(D1125="","",VLOOKUP(D1125,'General Basis'!$J$39:$L$46,3,0))</f>
        <v/>
      </c>
      <c r="BG1125" s="744" t="str">
        <f t="shared" si="407"/>
        <v/>
      </c>
      <c r="BH1125" s="744" t="str">
        <f>IF(G1125="","",IF(BF1125="Abu Dhabi",IF(G1125&lt;18,'General Basis'!$C$39,IF(G1125&lt;41,'General Basis'!$C$40,IF(G1125&lt;60,'General Basis'!$C$41,IF(G1125&lt;65,'General Basis'!$C$42,'General Basis'!$C$43)))),IF(G1125&lt;11,'General Basis'!$B$39,IF(G1125&lt;18,'General Basis'!$B$40,IF(G1125&lt;26,'General Basis'!$B$41,IF(G1125&lt;31,'General Basis'!$B$42,IF(G1125&lt;36,'General Basis'!$B$43,IF(G1125&lt;41,'General Basis'!$B$44,IF(G1125&lt;46,'General Basis'!$B$45,IF(G1125&lt;51,'General Basis'!$B$46,IF(G1125&lt;56,'General Basis'!$B$47,IF(G1125&lt;60,'General Basis'!$B$48,IF(G1125&lt;65,'General Basis'!$B$49,'General Basis'!$B$50)))))))))))))</f>
        <v/>
      </c>
      <c r="BI1125" s="744" t="str">
        <f t="shared" si="401"/>
        <v/>
      </c>
      <c r="BJ1125" s="747" t="str">
        <f t="shared" si="408"/>
        <v/>
      </c>
      <c r="BK1125" s="498" t="str">
        <f t="shared" si="402"/>
        <v/>
      </c>
      <c r="BL1125" s="498" t="str">
        <f t="shared" si="403"/>
        <v/>
      </c>
    </row>
    <row r="1126" spans="1:64" x14ac:dyDescent="0.25">
      <c r="A1126" s="762">
        <f t="shared" si="404"/>
        <v>1121</v>
      </c>
      <c r="B1126" s="229"/>
      <c r="C1126" s="223"/>
      <c r="D1126" s="224"/>
      <c r="E1126" s="225"/>
      <c r="F1126" s="1036" t="str">
        <f t="shared" si="410"/>
        <v/>
      </c>
      <c r="G1126" s="1037" t="str">
        <f t="shared" si="405"/>
        <v/>
      </c>
      <c r="H1126" s="225"/>
      <c r="I1126" s="1013"/>
      <c r="J1126" s="1013"/>
      <c r="K1126" s="1028"/>
      <c r="L1126" s="1035" t="str">
        <f t="shared" si="409"/>
        <v/>
      </c>
      <c r="S1126" s="498"/>
      <c r="AJ1126" s="498"/>
      <c r="AM1126" s="498">
        <f t="shared" si="390"/>
        <v>0</v>
      </c>
      <c r="AN1126" s="498">
        <f t="shared" si="391"/>
        <v>0</v>
      </c>
      <c r="AO1126" s="498">
        <f t="shared" si="392"/>
        <v>0</v>
      </c>
      <c r="AP1126" s="498">
        <f t="shared" si="411"/>
        <v>0</v>
      </c>
      <c r="AQ1126" s="498">
        <f t="shared" si="406"/>
        <v>0</v>
      </c>
      <c r="AU1126" s="498">
        <f t="shared" si="393"/>
        <v>0</v>
      </c>
      <c r="AV1126" s="498">
        <f t="shared" si="394"/>
        <v>0</v>
      </c>
      <c r="AW1126" s="498">
        <f t="shared" si="395"/>
        <v>0</v>
      </c>
      <c r="AX1126" s="498">
        <f t="shared" si="396"/>
        <v>0</v>
      </c>
      <c r="AY1126" s="498">
        <f t="shared" si="397"/>
        <v>0</v>
      </c>
      <c r="BB1126" s="498" t="str">
        <f t="shared" si="398"/>
        <v/>
      </c>
      <c r="BC1126" s="743" t="str">
        <f t="shared" si="399"/>
        <v/>
      </c>
      <c r="BD1126" s="743" t="str">
        <f t="shared" si="400"/>
        <v/>
      </c>
      <c r="BE1126" s="743" t="str">
        <f>IF(D1126="","",VLOOKUP(D1126,'General Basis'!$J$39:$K$46,2,0))</f>
        <v/>
      </c>
      <c r="BF1126" s="744" t="str">
        <f>IF(D1126="","",VLOOKUP(D1126,'General Basis'!$J$39:$L$46,3,0))</f>
        <v/>
      </c>
      <c r="BG1126" s="744" t="str">
        <f t="shared" si="407"/>
        <v/>
      </c>
      <c r="BH1126" s="744" t="str">
        <f>IF(G1126="","",IF(BF1126="Abu Dhabi",IF(G1126&lt;18,'General Basis'!$C$39,IF(G1126&lt;41,'General Basis'!$C$40,IF(G1126&lt;60,'General Basis'!$C$41,IF(G1126&lt;65,'General Basis'!$C$42,'General Basis'!$C$43)))),IF(G1126&lt;11,'General Basis'!$B$39,IF(G1126&lt;18,'General Basis'!$B$40,IF(G1126&lt;26,'General Basis'!$B$41,IF(G1126&lt;31,'General Basis'!$B$42,IF(G1126&lt;36,'General Basis'!$B$43,IF(G1126&lt;41,'General Basis'!$B$44,IF(G1126&lt;46,'General Basis'!$B$45,IF(G1126&lt;51,'General Basis'!$B$46,IF(G1126&lt;56,'General Basis'!$B$47,IF(G1126&lt;60,'General Basis'!$B$48,IF(G1126&lt;65,'General Basis'!$B$49,'General Basis'!$B$50)))))))))))))</f>
        <v/>
      </c>
      <c r="BI1126" s="744" t="str">
        <f t="shared" si="401"/>
        <v/>
      </c>
      <c r="BJ1126" s="747" t="str">
        <f t="shared" si="408"/>
        <v/>
      </c>
      <c r="BK1126" s="498" t="str">
        <f t="shared" si="402"/>
        <v/>
      </c>
      <c r="BL1126" s="498" t="str">
        <f t="shared" si="403"/>
        <v/>
      </c>
    </row>
    <row r="1127" spans="1:64" x14ac:dyDescent="0.25">
      <c r="A1127" s="762">
        <f t="shared" si="404"/>
        <v>1122</v>
      </c>
      <c r="B1127" s="229"/>
      <c r="C1127" s="223"/>
      <c r="D1127" s="224"/>
      <c r="E1127" s="225"/>
      <c r="F1127" s="1036" t="str">
        <f t="shared" si="410"/>
        <v/>
      </c>
      <c r="G1127" s="1037" t="str">
        <f t="shared" si="405"/>
        <v/>
      </c>
      <c r="H1127" s="225"/>
      <c r="I1127" s="1013"/>
      <c r="J1127" s="1013"/>
      <c r="K1127" s="1028"/>
      <c r="L1127" s="1035" t="str">
        <f t="shared" si="409"/>
        <v/>
      </c>
      <c r="S1127" s="498"/>
      <c r="AJ1127" s="498"/>
      <c r="AM1127" s="498">
        <f t="shared" si="390"/>
        <v>0</v>
      </c>
      <c r="AN1127" s="498">
        <f t="shared" si="391"/>
        <v>0</v>
      </c>
      <c r="AO1127" s="498">
        <f t="shared" si="392"/>
        <v>0</v>
      </c>
      <c r="AP1127" s="498">
        <f t="shared" si="411"/>
        <v>0</v>
      </c>
      <c r="AQ1127" s="498">
        <f t="shared" si="406"/>
        <v>0</v>
      </c>
      <c r="AU1127" s="498">
        <f t="shared" si="393"/>
        <v>0</v>
      </c>
      <c r="AV1127" s="498">
        <f t="shared" si="394"/>
        <v>0</v>
      </c>
      <c r="AW1127" s="498">
        <f t="shared" si="395"/>
        <v>0</v>
      </c>
      <c r="AX1127" s="498">
        <f t="shared" si="396"/>
        <v>0</v>
      </c>
      <c r="AY1127" s="498">
        <f t="shared" si="397"/>
        <v>0</v>
      </c>
      <c r="BB1127" s="498" t="str">
        <f t="shared" si="398"/>
        <v/>
      </c>
      <c r="BC1127" s="743" t="str">
        <f t="shared" si="399"/>
        <v/>
      </c>
      <c r="BD1127" s="743" t="str">
        <f t="shared" si="400"/>
        <v/>
      </c>
      <c r="BE1127" s="743" t="str">
        <f>IF(D1127="","",VLOOKUP(D1127,'General Basis'!$J$39:$K$46,2,0))</f>
        <v/>
      </c>
      <c r="BF1127" s="744" t="str">
        <f>IF(D1127="","",VLOOKUP(D1127,'General Basis'!$J$39:$L$46,3,0))</f>
        <v/>
      </c>
      <c r="BG1127" s="744" t="str">
        <f t="shared" si="407"/>
        <v/>
      </c>
      <c r="BH1127" s="744" t="str">
        <f>IF(G1127="","",IF(BF1127="Abu Dhabi",IF(G1127&lt;18,'General Basis'!$C$39,IF(G1127&lt;41,'General Basis'!$C$40,IF(G1127&lt;60,'General Basis'!$C$41,IF(G1127&lt;65,'General Basis'!$C$42,'General Basis'!$C$43)))),IF(G1127&lt;11,'General Basis'!$B$39,IF(G1127&lt;18,'General Basis'!$B$40,IF(G1127&lt;26,'General Basis'!$B$41,IF(G1127&lt;31,'General Basis'!$B$42,IF(G1127&lt;36,'General Basis'!$B$43,IF(G1127&lt;41,'General Basis'!$B$44,IF(G1127&lt;46,'General Basis'!$B$45,IF(G1127&lt;51,'General Basis'!$B$46,IF(G1127&lt;56,'General Basis'!$B$47,IF(G1127&lt;60,'General Basis'!$B$48,IF(G1127&lt;65,'General Basis'!$B$49,'General Basis'!$B$50)))))))))))))</f>
        <v/>
      </c>
      <c r="BI1127" s="744" t="str">
        <f t="shared" si="401"/>
        <v/>
      </c>
      <c r="BJ1127" s="747" t="str">
        <f t="shared" si="408"/>
        <v/>
      </c>
      <c r="BK1127" s="498" t="str">
        <f t="shared" si="402"/>
        <v/>
      </c>
      <c r="BL1127" s="498" t="str">
        <f t="shared" si="403"/>
        <v/>
      </c>
    </row>
    <row r="1128" spans="1:64" x14ac:dyDescent="0.25">
      <c r="A1128" s="762">
        <f t="shared" si="404"/>
        <v>1123</v>
      </c>
      <c r="B1128" s="229"/>
      <c r="C1128" s="223"/>
      <c r="D1128" s="224"/>
      <c r="E1128" s="225"/>
      <c r="F1128" s="1036" t="str">
        <f t="shared" si="410"/>
        <v/>
      </c>
      <c r="G1128" s="1037" t="str">
        <f t="shared" si="405"/>
        <v/>
      </c>
      <c r="H1128" s="225"/>
      <c r="I1128" s="1013"/>
      <c r="J1128" s="1013"/>
      <c r="K1128" s="1028"/>
      <c r="L1128" s="1035" t="str">
        <f t="shared" si="409"/>
        <v/>
      </c>
      <c r="S1128" s="498"/>
      <c r="AJ1128" s="498"/>
      <c r="AM1128" s="498">
        <f t="shared" si="390"/>
        <v>0</v>
      </c>
      <c r="AN1128" s="498">
        <f t="shared" si="391"/>
        <v>0</v>
      </c>
      <c r="AO1128" s="498">
        <f t="shared" si="392"/>
        <v>0</v>
      </c>
      <c r="AP1128" s="498">
        <f t="shared" si="411"/>
        <v>0</v>
      </c>
      <c r="AQ1128" s="498">
        <f t="shared" si="406"/>
        <v>0</v>
      </c>
      <c r="AU1128" s="498">
        <f t="shared" si="393"/>
        <v>0</v>
      </c>
      <c r="AV1128" s="498">
        <f t="shared" si="394"/>
        <v>0</v>
      </c>
      <c r="AW1128" s="498">
        <f t="shared" si="395"/>
        <v>0</v>
      </c>
      <c r="AX1128" s="498">
        <f t="shared" si="396"/>
        <v>0</v>
      </c>
      <c r="AY1128" s="498">
        <f t="shared" si="397"/>
        <v>0</v>
      </c>
      <c r="BB1128" s="498" t="str">
        <f t="shared" si="398"/>
        <v/>
      </c>
      <c r="BC1128" s="743" t="str">
        <f t="shared" si="399"/>
        <v/>
      </c>
      <c r="BD1128" s="743" t="str">
        <f t="shared" si="400"/>
        <v/>
      </c>
      <c r="BE1128" s="743" t="str">
        <f>IF(D1128="","",VLOOKUP(D1128,'General Basis'!$J$39:$K$46,2,0))</f>
        <v/>
      </c>
      <c r="BF1128" s="744" t="str">
        <f>IF(D1128="","",VLOOKUP(D1128,'General Basis'!$J$39:$L$46,3,0))</f>
        <v/>
      </c>
      <c r="BG1128" s="744" t="str">
        <f t="shared" si="407"/>
        <v/>
      </c>
      <c r="BH1128" s="744" t="str">
        <f>IF(G1128="","",IF(BF1128="Abu Dhabi",IF(G1128&lt;18,'General Basis'!$C$39,IF(G1128&lt;41,'General Basis'!$C$40,IF(G1128&lt;60,'General Basis'!$C$41,IF(G1128&lt;65,'General Basis'!$C$42,'General Basis'!$C$43)))),IF(G1128&lt;11,'General Basis'!$B$39,IF(G1128&lt;18,'General Basis'!$B$40,IF(G1128&lt;26,'General Basis'!$B$41,IF(G1128&lt;31,'General Basis'!$B$42,IF(G1128&lt;36,'General Basis'!$B$43,IF(G1128&lt;41,'General Basis'!$B$44,IF(G1128&lt;46,'General Basis'!$B$45,IF(G1128&lt;51,'General Basis'!$B$46,IF(G1128&lt;56,'General Basis'!$B$47,IF(G1128&lt;60,'General Basis'!$B$48,IF(G1128&lt;65,'General Basis'!$B$49,'General Basis'!$B$50)))))))))))))</f>
        <v/>
      </c>
      <c r="BI1128" s="744" t="str">
        <f t="shared" si="401"/>
        <v/>
      </c>
      <c r="BJ1128" s="747" t="str">
        <f t="shared" si="408"/>
        <v/>
      </c>
      <c r="BK1128" s="498" t="str">
        <f t="shared" si="402"/>
        <v/>
      </c>
      <c r="BL1128" s="498" t="str">
        <f t="shared" si="403"/>
        <v/>
      </c>
    </row>
    <row r="1129" spans="1:64" x14ac:dyDescent="0.25">
      <c r="A1129" s="762">
        <f t="shared" si="404"/>
        <v>1124</v>
      </c>
      <c r="B1129" s="229"/>
      <c r="C1129" s="223"/>
      <c r="D1129" s="224"/>
      <c r="E1129" s="225"/>
      <c r="F1129" s="1036" t="str">
        <f t="shared" si="410"/>
        <v/>
      </c>
      <c r="G1129" s="1037" t="str">
        <f t="shared" si="405"/>
        <v/>
      </c>
      <c r="H1129" s="225"/>
      <c r="I1129" s="1013"/>
      <c r="J1129" s="1013"/>
      <c r="K1129" s="1028"/>
      <c r="L1129" s="1035" t="str">
        <f t="shared" si="409"/>
        <v/>
      </c>
      <c r="S1129" s="498"/>
      <c r="AJ1129" s="498"/>
      <c r="AM1129" s="498">
        <f t="shared" si="390"/>
        <v>0</v>
      </c>
      <c r="AN1129" s="498">
        <f t="shared" si="391"/>
        <v>0</v>
      </c>
      <c r="AO1129" s="498">
        <f t="shared" si="392"/>
        <v>0</v>
      </c>
      <c r="AP1129" s="498">
        <f t="shared" si="411"/>
        <v>0</v>
      </c>
      <c r="AQ1129" s="498">
        <f t="shared" si="406"/>
        <v>0</v>
      </c>
      <c r="AU1129" s="498">
        <f t="shared" si="393"/>
        <v>0</v>
      </c>
      <c r="AV1129" s="498">
        <f t="shared" si="394"/>
        <v>0</v>
      </c>
      <c r="AW1129" s="498">
        <f t="shared" si="395"/>
        <v>0</v>
      </c>
      <c r="AX1129" s="498">
        <f t="shared" si="396"/>
        <v>0</v>
      </c>
      <c r="AY1129" s="498">
        <f t="shared" si="397"/>
        <v>0</v>
      </c>
      <c r="BB1129" s="498" t="str">
        <f t="shared" si="398"/>
        <v/>
      </c>
      <c r="BC1129" s="743" t="str">
        <f t="shared" si="399"/>
        <v/>
      </c>
      <c r="BD1129" s="743" t="str">
        <f t="shared" si="400"/>
        <v/>
      </c>
      <c r="BE1129" s="743" t="str">
        <f>IF(D1129="","",VLOOKUP(D1129,'General Basis'!$J$39:$K$46,2,0))</f>
        <v/>
      </c>
      <c r="BF1129" s="744" t="str">
        <f>IF(D1129="","",VLOOKUP(D1129,'General Basis'!$J$39:$L$46,3,0))</f>
        <v/>
      </c>
      <c r="BG1129" s="744" t="str">
        <f t="shared" si="407"/>
        <v/>
      </c>
      <c r="BH1129" s="744" t="str">
        <f>IF(G1129="","",IF(BF1129="Abu Dhabi",IF(G1129&lt;18,'General Basis'!$C$39,IF(G1129&lt;41,'General Basis'!$C$40,IF(G1129&lt;60,'General Basis'!$C$41,IF(G1129&lt;65,'General Basis'!$C$42,'General Basis'!$C$43)))),IF(G1129&lt;11,'General Basis'!$B$39,IF(G1129&lt;18,'General Basis'!$B$40,IF(G1129&lt;26,'General Basis'!$B$41,IF(G1129&lt;31,'General Basis'!$B$42,IF(G1129&lt;36,'General Basis'!$B$43,IF(G1129&lt;41,'General Basis'!$B$44,IF(G1129&lt;46,'General Basis'!$B$45,IF(G1129&lt;51,'General Basis'!$B$46,IF(G1129&lt;56,'General Basis'!$B$47,IF(G1129&lt;60,'General Basis'!$B$48,IF(G1129&lt;65,'General Basis'!$B$49,'General Basis'!$B$50)))))))))))))</f>
        <v/>
      </c>
      <c r="BI1129" s="744" t="str">
        <f t="shared" si="401"/>
        <v/>
      </c>
      <c r="BJ1129" s="747" t="str">
        <f t="shared" si="408"/>
        <v/>
      </c>
      <c r="BK1129" s="498" t="str">
        <f t="shared" si="402"/>
        <v/>
      </c>
      <c r="BL1129" s="498" t="str">
        <f t="shared" si="403"/>
        <v/>
      </c>
    </row>
    <row r="1130" spans="1:64" x14ac:dyDescent="0.25">
      <c r="A1130" s="762">
        <f t="shared" si="404"/>
        <v>1125</v>
      </c>
      <c r="B1130" s="229"/>
      <c r="C1130" s="223"/>
      <c r="D1130" s="224"/>
      <c r="E1130" s="225"/>
      <c r="F1130" s="1036" t="str">
        <f t="shared" si="410"/>
        <v/>
      </c>
      <c r="G1130" s="1037" t="str">
        <f t="shared" si="405"/>
        <v/>
      </c>
      <c r="H1130" s="225"/>
      <c r="I1130" s="1013"/>
      <c r="J1130" s="1013"/>
      <c r="K1130" s="1028"/>
      <c r="L1130" s="1035" t="str">
        <f t="shared" si="409"/>
        <v/>
      </c>
      <c r="S1130" s="498"/>
      <c r="AJ1130" s="498"/>
      <c r="AM1130" s="498">
        <f t="shared" si="390"/>
        <v>0</v>
      </c>
      <c r="AN1130" s="498">
        <f t="shared" si="391"/>
        <v>0</v>
      </c>
      <c r="AO1130" s="498">
        <f t="shared" si="392"/>
        <v>0</v>
      </c>
      <c r="AP1130" s="498">
        <f t="shared" si="411"/>
        <v>0</v>
      </c>
      <c r="AQ1130" s="498">
        <f t="shared" si="406"/>
        <v>0</v>
      </c>
      <c r="AU1130" s="498">
        <f t="shared" si="393"/>
        <v>0</v>
      </c>
      <c r="AV1130" s="498">
        <f t="shared" si="394"/>
        <v>0</v>
      </c>
      <c r="AW1130" s="498">
        <f t="shared" si="395"/>
        <v>0</v>
      </c>
      <c r="AX1130" s="498">
        <f t="shared" si="396"/>
        <v>0</v>
      </c>
      <c r="AY1130" s="498">
        <f t="shared" si="397"/>
        <v>0</v>
      </c>
      <c r="BB1130" s="498" t="str">
        <f t="shared" si="398"/>
        <v/>
      </c>
      <c r="BC1130" s="743" t="str">
        <f t="shared" si="399"/>
        <v/>
      </c>
      <c r="BD1130" s="743" t="str">
        <f t="shared" si="400"/>
        <v/>
      </c>
      <c r="BE1130" s="743" t="str">
        <f>IF(D1130="","",VLOOKUP(D1130,'General Basis'!$J$39:$K$46,2,0))</f>
        <v/>
      </c>
      <c r="BF1130" s="744" t="str">
        <f>IF(D1130="","",VLOOKUP(D1130,'General Basis'!$J$39:$L$46,3,0))</f>
        <v/>
      </c>
      <c r="BG1130" s="744" t="str">
        <f t="shared" si="407"/>
        <v/>
      </c>
      <c r="BH1130" s="744" t="str">
        <f>IF(G1130="","",IF(BF1130="Abu Dhabi",IF(G1130&lt;18,'General Basis'!$C$39,IF(G1130&lt;41,'General Basis'!$C$40,IF(G1130&lt;60,'General Basis'!$C$41,IF(G1130&lt;65,'General Basis'!$C$42,'General Basis'!$C$43)))),IF(G1130&lt;11,'General Basis'!$B$39,IF(G1130&lt;18,'General Basis'!$B$40,IF(G1130&lt;26,'General Basis'!$B$41,IF(G1130&lt;31,'General Basis'!$B$42,IF(G1130&lt;36,'General Basis'!$B$43,IF(G1130&lt;41,'General Basis'!$B$44,IF(G1130&lt;46,'General Basis'!$B$45,IF(G1130&lt;51,'General Basis'!$B$46,IF(G1130&lt;56,'General Basis'!$B$47,IF(G1130&lt;60,'General Basis'!$B$48,IF(G1130&lt;65,'General Basis'!$B$49,'General Basis'!$B$50)))))))))))))</f>
        <v/>
      </c>
      <c r="BI1130" s="744" t="str">
        <f t="shared" si="401"/>
        <v/>
      </c>
      <c r="BJ1130" s="747" t="str">
        <f t="shared" si="408"/>
        <v/>
      </c>
      <c r="BK1130" s="498" t="str">
        <f t="shared" si="402"/>
        <v/>
      </c>
      <c r="BL1130" s="498" t="str">
        <f t="shared" si="403"/>
        <v/>
      </c>
    </row>
    <row r="1131" spans="1:64" x14ac:dyDescent="0.25">
      <c r="A1131" s="762">
        <f t="shared" si="404"/>
        <v>1126</v>
      </c>
      <c r="B1131" s="229"/>
      <c r="C1131" s="223"/>
      <c r="D1131" s="224"/>
      <c r="E1131" s="225"/>
      <c r="F1131" s="1036" t="str">
        <f t="shared" si="410"/>
        <v/>
      </c>
      <c r="G1131" s="1037" t="str">
        <f t="shared" si="405"/>
        <v/>
      </c>
      <c r="H1131" s="225"/>
      <c r="I1131" s="1013"/>
      <c r="J1131" s="1013"/>
      <c r="K1131" s="1028"/>
      <c r="L1131" s="1035" t="str">
        <f t="shared" si="409"/>
        <v/>
      </c>
      <c r="S1131" s="498"/>
      <c r="AJ1131" s="498"/>
      <c r="AM1131" s="498">
        <f t="shared" si="390"/>
        <v>0</v>
      </c>
      <c r="AN1131" s="498">
        <f t="shared" si="391"/>
        <v>0</v>
      </c>
      <c r="AO1131" s="498">
        <f t="shared" si="392"/>
        <v>0</v>
      </c>
      <c r="AP1131" s="498">
        <f t="shared" si="411"/>
        <v>0</v>
      </c>
      <c r="AQ1131" s="498">
        <f t="shared" si="406"/>
        <v>0</v>
      </c>
      <c r="AU1131" s="498">
        <f t="shared" si="393"/>
        <v>0</v>
      </c>
      <c r="AV1131" s="498">
        <f t="shared" si="394"/>
        <v>0</v>
      </c>
      <c r="AW1131" s="498">
        <f t="shared" si="395"/>
        <v>0</v>
      </c>
      <c r="AX1131" s="498">
        <f t="shared" si="396"/>
        <v>0</v>
      </c>
      <c r="AY1131" s="498">
        <f t="shared" si="397"/>
        <v>0</v>
      </c>
      <c r="BB1131" s="498" t="str">
        <f t="shared" si="398"/>
        <v/>
      </c>
      <c r="BC1131" s="743" t="str">
        <f t="shared" si="399"/>
        <v/>
      </c>
      <c r="BD1131" s="743" t="str">
        <f t="shared" si="400"/>
        <v/>
      </c>
      <c r="BE1131" s="743" t="str">
        <f>IF(D1131="","",VLOOKUP(D1131,'General Basis'!$J$39:$K$46,2,0))</f>
        <v/>
      </c>
      <c r="BF1131" s="744" t="str">
        <f>IF(D1131="","",VLOOKUP(D1131,'General Basis'!$J$39:$L$46,3,0))</f>
        <v/>
      </c>
      <c r="BG1131" s="744" t="str">
        <f t="shared" si="407"/>
        <v/>
      </c>
      <c r="BH1131" s="744" t="str">
        <f>IF(G1131="","",IF(BF1131="Abu Dhabi",IF(G1131&lt;18,'General Basis'!$C$39,IF(G1131&lt;41,'General Basis'!$C$40,IF(G1131&lt;60,'General Basis'!$C$41,IF(G1131&lt;65,'General Basis'!$C$42,'General Basis'!$C$43)))),IF(G1131&lt;11,'General Basis'!$B$39,IF(G1131&lt;18,'General Basis'!$B$40,IF(G1131&lt;26,'General Basis'!$B$41,IF(G1131&lt;31,'General Basis'!$B$42,IF(G1131&lt;36,'General Basis'!$B$43,IF(G1131&lt;41,'General Basis'!$B$44,IF(G1131&lt;46,'General Basis'!$B$45,IF(G1131&lt;51,'General Basis'!$B$46,IF(G1131&lt;56,'General Basis'!$B$47,IF(G1131&lt;60,'General Basis'!$B$48,IF(G1131&lt;65,'General Basis'!$B$49,'General Basis'!$B$50)))))))))))))</f>
        <v/>
      </c>
      <c r="BI1131" s="744" t="str">
        <f t="shared" si="401"/>
        <v/>
      </c>
      <c r="BJ1131" s="747" t="str">
        <f t="shared" si="408"/>
        <v/>
      </c>
      <c r="BK1131" s="498" t="str">
        <f t="shared" si="402"/>
        <v/>
      </c>
      <c r="BL1131" s="498" t="str">
        <f t="shared" si="403"/>
        <v/>
      </c>
    </row>
    <row r="1132" spans="1:64" x14ac:dyDescent="0.25">
      <c r="A1132" s="762">
        <f t="shared" si="404"/>
        <v>1127</v>
      </c>
      <c r="B1132" s="229"/>
      <c r="C1132" s="223"/>
      <c r="D1132" s="224"/>
      <c r="E1132" s="225"/>
      <c r="F1132" s="1036" t="str">
        <f t="shared" si="410"/>
        <v/>
      </c>
      <c r="G1132" s="1037" t="str">
        <f t="shared" si="405"/>
        <v/>
      </c>
      <c r="H1132" s="225"/>
      <c r="I1132" s="1013"/>
      <c r="J1132" s="1013"/>
      <c r="K1132" s="1028"/>
      <c r="L1132" s="1035" t="str">
        <f t="shared" si="409"/>
        <v/>
      </c>
      <c r="S1132" s="498"/>
      <c r="AJ1132" s="498"/>
      <c r="AM1132" s="498">
        <f t="shared" si="390"/>
        <v>0</v>
      </c>
      <c r="AN1132" s="498">
        <f t="shared" si="391"/>
        <v>0</v>
      </c>
      <c r="AO1132" s="498">
        <f t="shared" si="392"/>
        <v>0</v>
      </c>
      <c r="AP1132" s="498">
        <f t="shared" si="411"/>
        <v>0</v>
      </c>
      <c r="AQ1132" s="498">
        <f t="shared" si="406"/>
        <v>0</v>
      </c>
      <c r="AU1132" s="498">
        <f t="shared" si="393"/>
        <v>0</v>
      </c>
      <c r="AV1132" s="498">
        <f t="shared" si="394"/>
        <v>0</v>
      </c>
      <c r="AW1132" s="498">
        <f t="shared" si="395"/>
        <v>0</v>
      </c>
      <c r="AX1132" s="498">
        <f t="shared" si="396"/>
        <v>0</v>
      </c>
      <c r="AY1132" s="498">
        <f t="shared" si="397"/>
        <v>0</v>
      </c>
      <c r="BB1132" s="498" t="str">
        <f t="shared" si="398"/>
        <v/>
      </c>
      <c r="BC1132" s="743" t="str">
        <f t="shared" si="399"/>
        <v/>
      </c>
      <c r="BD1132" s="743" t="str">
        <f t="shared" si="400"/>
        <v/>
      </c>
      <c r="BE1132" s="743" t="str">
        <f>IF(D1132="","",VLOOKUP(D1132,'General Basis'!$J$39:$K$46,2,0))</f>
        <v/>
      </c>
      <c r="BF1132" s="744" t="str">
        <f>IF(D1132="","",VLOOKUP(D1132,'General Basis'!$J$39:$L$46,3,0))</f>
        <v/>
      </c>
      <c r="BG1132" s="744" t="str">
        <f t="shared" si="407"/>
        <v/>
      </c>
      <c r="BH1132" s="744" t="str">
        <f>IF(G1132="","",IF(BF1132="Abu Dhabi",IF(G1132&lt;18,'General Basis'!$C$39,IF(G1132&lt;41,'General Basis'!$C$40,IF(G1132&lt;60,'General Basis'!$C$41,IF(G1132&lt;65,'General Basis'!$C$42,'General Basis'!$C$43)))),IF(G1132&lt;11,'General Basis'!$B$39,IF(G1132&lt;18,'General Basis'!$B$40,IF(G1132&lt;26,'General Basis'!$B$41,IF(G1132&lt;31,'General Basis'!$B$42,IF(G1132&lt;36,'General Basis'!$B$43,IF(G1132&lt;41,'General Basis'!$B$44,IF(G1132&lt;46,'General Basis'!$B$45,IF(G1132&lt;51,'General Basis'!$B$46,IF(G1132&lt;56,'General Basis'!$B$47,IF(G1132&lt;60,'General Basis'!$B$48,IF(G1132&lt;65,'General Basis'!$B$49,'General Basis'!$B$50)))))))))))))</f>
        <v/>
      </c>
      <c r="BI1132" s="744" t="str">
        <f t="shared" si="401"/>
        <v/>
      </c>
      <c r="BJ1132" s="747" t="str">
        <f t="shared" si="408"/>
        <v/>
      </c>
      <c r="BK1132" s="498" t="str">
        <f t="shared" si="402"/>
        <v/>
      </c>
      <c r="BL1132" s="498" t="str">
        <f t="shared" si="403"/>
        <v/>
      </c>
    </row>
    <row r="1133" spans="1:64" x14ac:dyDescent="0.25">
      <c r="A1133" s="762">
        <f t="shared" si="404"/>
        <v>1128</v>
      </c>
      <c r="B1133" s="229"/>
      <c r="C1133" s="223"/>
      <c r="D1133" s="224"/>
      <c r="E1133" s="225"/>
      <c r="F1133" s="1036" t="str">
        <f t="shared" si="410"/>
        <v/>
      </c>
      <c r="G1133" s="1037" t="str">
        <f t="shared" si="405"/>
        <v/>
      </c>
      <c r="H1133" s="225"/>
      <c r="I1133" s="1013"/>
      <c r="J1133" s="1013"/>
      <c r="K1133" s="1028"/>
      <c r="L1133" s="1035" t="str">
        <f t="shared" si="409"/>
        <v/>
      </c>
      <c r="S1133" s="498"/>
      <c r="AJ1133" s="498"/>
      <c r="AM1133" s="498">
        <f t="shared" si="390"/>
        <v>0</v>
      </c>
      <c r="AN1133" s="498">
        <f t="shared" si="391"/>
        <v>0</v>
      </c>
      <c r="AO1133" s="498">
        <f t="shared" si="392"/>
        <v>0</v>
      </c>
      <c r="AP1133" s="498">
        <f t="shared" si="411"/>
        <v>0</v>
      </c>
      <c r="AQ1133" s="498">
        <f t="shared" si="406"/>
        <v>0</v>
      </c>
      <c r="AU1133" s="498">
        <f t="shared" si="393"/>
        <v>0</v>
      </c>
      <c r="AV1133" s="498">
        <f t="shared" si="394"/>
        <v>0</v>
      </c>
      <c r="AW1133" s="498">
        <f t="shared" si="395"/>
        <v>0</v>
      </c>
      <c r="AX1133" s="498">
        <f t="shared" si="396"/>
        <v>0</v>
      </c>
      <c r="AY1133" s="498">
        <f t="shared" si="397"/>
        <v>0</v>
      </c>
      <c r="BB1133" s="498" t="str">
        <f t="shared" si="398"/>
        <v/>
      </c>
      <c r="BC1133" s="743" t="str">
        <f t="shared" si="399"/>
        <v/>
      </c>
      <c r="BD1133" s="743" t="str">
        <f t="shared" si="400"/>
        <v/>
      </c>
      <c r="BE1133" s="743" t="str">
        <f>IF(D1133="","",VLOOKUP(D1133,'General Basis'!$J$39:$K$46,2,0))</f>
        <v/>
      </c>
      <c r="BF1133" s="744" t="str">
        <f>IF(D1133="","",VLOOKUP(D1133,'General Basis'!$J$39:$L$46,3,0))</f>
        <v/>
      </c>
      <c r="BG1133" s="744" t="str">
        <f t="shared" si="407"/>
        <v/>
      </c>
      <c r="BH1133" s="744" t="str">
        <f>IF(G1133="","",IF(BF1133="Abu Dhabi",IF(G1133&lt;18,'General Basis'!$C$39,IF(G1133&lt;41,'General Basis'!$C$40,IF(G1133&lt;60,'General Basis'!$C$41,IF(G1133&lt;65,'General Basis'!$C$42,'General Basis'!$C$43)))),IF(G1133&lt;11,'General Basis'!$B$39,IF(G1133&lt;18,'General Basis'!$B$40,IF(G1133&lt;26,'General Basis'!$B$41,IF(G1133&lt;31,'General Basis'!$B$42,IF(G1133&lt;36,'General Basis'!$B$43,IF(G1133&lt;41,'General Basis'!$B$44,IF(G1133&lt;46,'General Basis'!$B$45,IF(G1133&lt;51,'General Basis'!$B$46,IF(G1133&lt;56,'General Basis'!$B$47,IF(G1133&lt;60,'General Basis'!$B$48,IF(G1133&lt;65,'General Basis'!$B$49,'General Basis'!$B$50)))))))))))))</f>
        <v/>
      </c>
      <c r="BI1133" s="744" t="str">
        <f t="shared" si="401"/>
        <v/>
      </c>
      <c r="BJ1133" s="747" t="str">
        <f t="shared" si="408"/>
        <v/>
      </c>
      <c r="BK1133" s="498" t="str">
        <f t="shared" si="402"/>
        <v/>
      </c>
      <c r="BL1133" s="498" t="str">
        <f t="shared" si="403"/>
        <v/>
      </c>
    </row>
    <row r="1134" spans="1:64" x14ac:dyDescent="0.25">
      <c r="A1134" s="762">
        <f t="shared" si="404"/>
        <v>1129</v>
      </c>
      <c r="B1134" s="229"/>
      <c r="C1134" s="223"/>
      <c r="D1134" s="224"/>
      <c r="E1134" s="225"/>
      <c r="F1134" s="1036" t="str">
        <f t="shared" si="410"/>
        <v/>
      </c>
      <c r="G1134" s="1037" t="str">
        <f t="shared" si="405"/>
        <v/>
      </c>
      <c r="H1134" s="225"/>
      <c r="I1134" s="1013"/>
      <c r="J1134" s="1013"/>
      <c r="K1134" s="1028"/>
      <c r="L1134" s="1035" t="str">
        <f t="shared" si="409"/>
        <v/>
      </c>
      <c r="S1134" s="498"/>
      <c r="AJ1134" s="498"/>
      <c r="AM1134" s="498">
        <f t="shared" si="390"/>
        <v>0</v>
      </c>
      <c r="AN1134" s="498">
        <f t="shared" si="391"/>
        <v>0</v>
      </c>
      <c r="AO1134" s="498">
        <f t="shared" si="392"/>
        <v>0</v>
      </c>
      <c r="AP1134" s="498">
        <f t="shared" si="411"/>
        <v>0</v>
      </c>
      <c r="AQ1134" s="498">
        <f t="shared" si="406"/>
        <v>0</v>
      </c>
      <c r="AU1134" s="498">
        <f t="shared" si="393"/>
        <v>0</v>
      </c>
      <c r="AV1134" s="498">
        <f t="shared" si="394"/>
        <v>0</v>
      </c>
      <c r="AW1134" s="498">
        <f t="shared" si="395"/>
        <v>0</v>
      </c>
      <c r="AX1134" s="498">
        <f t="shared" si="396"/>
        <v>0</v>
      </c>
      <c r="AY1134" s="498">
        <f t="shared" si="397"/>
        <v>0</v>
      </c>
      <c r="BB1134" s="498" t="str">
        <f t="shared" si="398"/>
        <v/>
      </c>
      <c r="BC1134" s="743" t="str">
        <f t="shared" si="399"/>
        <v/>
      </c>
      <c r="BD1134" s="743" t="str">
        <f t="shared" si="400"/>
        <v/>
      </c>
      <c r="BE1134" s="743" t="str">
        <f>IF(D1134="","",VLOOKUP(D1134,'General Basis'!$J$39:$K$46,2,0))</f>
        <v/>
      </c>
      <c r="BF1134" s="744" t="str">
        <f>IF(D1134="","",VLOOKUP(D1134,'General Basis'!$J$39:$L$46,3,0))</f>
        <v/>
      </c>
      <c r="BG1134" s="744" t="str">
        <f t="shared" si="407"/>
        <v/>
      </c>
      <c r="BH1134" s="744" t="str">
        <f>IF(G1134="","",IF(BF1134="Abu Dhabi",IF(G1134&lt;18,'General Basis'!$C$39,IF(G1134&lt;41,'General Basis'!$C$40,IF(G1134&lt;60,'General Basis'!$C$41,IF(G1134&lt;65,'General Basis'!$C$42,'General Basis'!$C$43)))),IF(G1134&lt;11,'General Basis'!$B$39,IF(G1134&lt;18,'General Basis'!$B$40,IF(G1134&lt;26,'General Basis'!$B$41,IF(G1134&lt;31,'General Basis'!$B$42,IF(G1134&lt;36,'General Basis'!$B$43,IF(G1134&lt;41,'General Basis'!$B$44,IF(G1134&lt;46,'General Basis'!$B$45,IF(G1134&lt;51,'General Basis'!$B$46,IF(G1134&lt;56,'General Basis'!$B$47,IF(G1134&lt;60,'General Basis'!$B$48,IF(G1134&lt;65,'General Basis'!$B$49,'General Basis'!$B$50)))))))))))))</f>
        <v/>
      </c>
      <c r="BI1134" s="744" t="str">
        <f t="shared" si="401"/>
        <v/>
      </c>
      <c r="BJ1134" s="747" t="str">
        <f t="shared" si="408"/>
        <v/>
      </c>
      <c r="BK1134" s="498" t="str">
        <f t="shared" si="402"/>
        <v/>
      </c>
      <c r="BL1134" s="498" t="str">
        <f t="shared" si="403"/>
        <v/>
      </c>
    </row>
    <row r="1135" spans="1:64" x14ac:dyDescent="0.25">
      <c r="A1135" s="762">
        <f t="shared" si="404"/>
        <v>1130</v>
      </c>
      <c r="B1135" s="229"/>
      <c r="C1135" s="223"/>
      <c r="D1135" s="224"/>
      <c r="E1135" s="225"/>
      <c r="F1135" s="1036" t="str">
        <f t="shared" si="410"/>
        <v/>
      </c>
      <c r="G1135" s="1037" t="str">
        <f t="shared" si="405"/>
        <v/>
      </c>
      <c r="H1135" s="225"/>
      <c r="I1135" s="1013"/>
      <c r="J1135" s="1013"/>
      <c r="K1135" s="1028"/>
      <c r="L1135" s="1035" t="str">
        <f t="shared" si="409"/>
        <v/>
      </c>
      <c r="S1135" s="498"/>
      <c r="AJ1135" s="498"/>
      <c r="AM1135" s="498">
        <f t="shared" si="390"/>
        <v>0</v>
      </c>
      <c r="AN1135" s="498">
        <f t="shared" si="391"/>
        <v>0</v>
      </c>
      <c r="AO1135" s="498">
        <f t="shared" si="392"/>
        <v>0</v>
      </c>
      <c r="AP1135" s="498">
        <f t="shared" si="411"/>
        <v>0</v>
      </c>
      <c r="AQ1135" s="498">
        <f t="shared" si="406"/>
        <v>0</v>
      </c>
      <c r="AU1135" s="498">
        <f t="shared" si="393"/>
        <v>0</v>
      </c>
      <c r="AV1135" s="498">
        <f t="shared" si="394"/>
        <v>0</v>
      </c>
      <c r="AW1135" s="498">
        <f t="shared" si="395"/>
        <v>0</v>
      </c>
      <c r="AX1135" s="498">
        <f t="shared" si="396"/>
        <v>0</v>
      </c>
      <c r="AY1135" s="498">
        <f t="shared" si="397"/>
        <v>0</v>
      </c>
      <c r="BB1135" s="498" t="str">
        <f t="shared" si="398"/>
        <v/>
      </c>
      <c r="BC1135" s="743" t="str">
        <f t="shared" si="399"/>
        <v/>
      </c>
      <c r="BD1135" s="743" t="str">
        <f t="shared" si="400"/>
        <v/>
      </c>
      <c r="BE1135" s="743" t="str">
        <f>IF(D1135="","",VLOOKUP(D1135,'General Basis'!$J$39:$K$46,2,0))</f>
        <v/>
      </c>
      <c r="BF1135" s="744" t="str">
        <f>IF(D1135="","",VLOOKUP(D1135,'General Basis'!$J$39:$L$46,3,0))</f>
        <v/>
      </c>
      <c r="BG1135" s="744" t="str">
        <f t="shared" si="407"/>
        <v/>
      </c>
      <c r="BH1135" s="744" t="str">
        <f>IF(G1135="","",IF(BF1135="Abu Dhabi",IF(G1135&lt;18,'General Basis'!$C$39,IF(G1135&lt;41,'General Basis'!$C$40,IF(G1135&lt;60,'General Basis'!$C$41,IF(G1135&lt;65,'General Basis'!$C$42,'General Basis'!$C$43)))),IF(G1135&lt;11,'General Basis'!$B$39,IF(G1135&lt;18,'General Basis'!$B$40,IF(G1135&lt;26,'General Basis'!$B$41,IF(G1135&lt;31,'General Basis'!$B$42,IF(G1135&lt;36,'General Basis'!$B$43,IF(G1135&lt;41,'General Basis'!$B$44,IF(G1135&lt;46,'General Basis'!$B$45,IF(G1135&lt;51,'General Basis'!$B$46,IF(G1135&lt;56,'General Basis'!$B$47,IF(G1135&lt;60,'General Basis'!$B$48,IF(G1135&lt;65,'General Basis'!$B$49,'General Basis'!$B$50)))))))))))))</f>
        <v/>
      </c>
      <c r="BI1135" s="744" t="str">
        <f t="shared" si="401"/>
        <v/>
      </c>
      <c r="BJ1135" s="747" t="str">
        <f t="shared" si="408"/>
        <v/>
      </c>
      <c r="BK1135" s="498" t="str">
        <f t="shared" si="402"/>
        <v/>
      </c>
      <c r="BL1135" s="498" t="str">
        <f t="shared" si="403"/>
        <v/>
      </c>
    </row>
    <row r="1136" spans="1:64" x14ac:dyDescent="0.25">
      <c r="A1136" s="762">
        <f t="shared" si="404"/>
        <v>1131</v>
      </c>
      <c r="B1136" s="229"/>
      <c r="C1136" s="223"/>
      <c r="D1136" s="224"/>
      <c r="E1136" s="225"/>
      <c r="F1136" s="1036" t="str">
        <f t="shared" si="410"/>
        <v/>
      </c>
      <c r="G1136" s="1037" t="str">
        <f t="shared" si="405"/>
        <v/>
      </c>
      <c r="H1136" s="225"/>
      <c r="I1136" s="1013"/>
      <c r="J1136" s="1013"/>
      <c r="K1136" s="1028"/>
      <c r="L1136" s="1035" t="str">
        <f t="shared" si="409"/>
        <v/>
      </c>
      <c r="S1136" s="498"/>
      <c r="AJ1136" s="498"/>
      <c r="AM1136" s="498">
        <f t="shared" si="390"/>
        <v>0</v>
      </c>
      <c r="AN1136" s="498">
        <f t="shared" si="391"/>
        <v>0</v>
      </c>
      <c r="AO1136" s="498">
        <f t="shared" si="392"/>
        <v>0</v>
      </c>
      <c r="AP1136" s="498">
        <f t="shared" si="411"/>
        <v>0</v>
      </c>
      <c r="AQ1136" s="498">
        <f t="shared" si="406"/>
        <v>0</v>
      </c>
      <c r="AU1136" s="498">
        <f t="shared" si="393"/>
        <v>0</v>
      </c>
      <c r="AV1136" s="498">
        <f t="shared" si="394"/>
        <v>0</v>
      </c>
      <c r="AW1136" s="498">
        <f t="shared" si="395"/>
        <v>0</v>
      </c>
      <c r="AX1136" s="498">
        <f t="shared" si="396"/>
        <v>0</v>
      </c>
      <c r="AY1136" s="498">
        <f t="shared" si="397"/>
        <v>0</v>
      </c>
      <c r="BB1136" s="498" t="str">
        <f t="shared" si="398"/>
        <v/>
      </c>
      <c r="BC1136" s="743" t="str">
        <f t="shared" si="399"/>
        <v/>
      </c>
      <c r="BD1136" s="743" t="str">
        <f t="shared" si="400"/>
        <v/>
      </c>
      <c r="BE1136" s="743" t="str">
        <f>IF(D1136="","",VLOOKUP(D1136,'General Basis'!$J$39:$K$46,2,0))</f>
        <v/>
      </c>
      <c r="BF1136" s="744" t="str">
        <f>IF(D1136="","",VLOOKUP(D1136,'General Basis'!$J$39:$L$46,3,0))</f>
        <v/>
      </c>
      <c r="BG1136" s="744" t="str">
        <f t="shared" si="407"/>
        <v/>
      </c>
      <c r="BH1136" s="744" t="str">
        <f>IF(G1136="","",IF(BF1136="Abu Dhabi",IF(G1136&lt;18,'General Basis'!$C$39,IF(G1136&lt;41,'General Basis'!$C$40,IF(G1136&lt;60,'General Basis'!$C$41,IF(G1136&lt;65,'General Basis'!$C$42,'General Basis'!$C$43)))),IF(G1136&lt;11,'General Basis'!$B$39,IF(G1136&lt;18,'General Basis'!$B$40,IF(G1136&lt;26,'General Basis'!$B$41,IF(G1136&lt;31,'General Basis'!$B$42,IF(G1136&lt;36,'General Basis'!$B$43,IF(G1136&lt;41,'General Basis'!$B$44,IF(G1136&lt;46,'General Basis'!$B$45,IF(G1136&lt;51,'General Basis'!$B$46,IF(G1136&lt;56,'General Basis'!$B$47,IF(G1136&lt;60,'General Basis'!$B$48,IF(G1136&lt;65,'General Basis'!$B$49,'General Basis'!$B$50)))))))))))))</f>
        <v/>
      </c>
      <c r="BI1136" s="744" t="str">
        <f t="shared" si="401"/>
        <v/>
      </c>
      <c r="BJ1136" s="747" t="str">
        <f t="shared" si="408"/>
        <v/>
      </c>
      <c r="BK1136" s="498" t="str">
        <f t="shared" si="402"/>
        <v/>
      </c>
      <c r="BL1136" s="498" t="str">
        <f t="shared" si="403"/>
        <v/>
      </c>
    </row>
    <row r="1137" spans="1:64" x14ac:dyDescent="0.25">
      <c r="A1137" s="762">
        <f t="shared" si="404"/>
        <v>1132</v>
      </c>
      <c r="B1137" s="229"/>
      <c r="C1137" s="223"/>
      <c r="D1137" s="224"/>
      <c r="E1137" s="225"/>
      <c r="F1137" s="1036" t="str">
        <f t="shared" si="410"/>
        <v/>
      </c>
      <c r="G1137" s="1037" t="str">
        <f t="shared" si="405"/>
        <v/>
      </c>
      <c r="H1137" s="225"/>
      <c r="I1137" s="1013"/>
      <c r="J1137" s="1013"/>
      <c r="K1137" s="1028"/>
      <c r="L1137" s="1035" t="str">
        <f t="shared" si="409"/>
        <v/>
      </c>
      <c r="S1137" s="498"/>
      <c r="AJ1137" s="498"/>
      <c r="AM1137" s="498">
        <f t="shared" si="390"/>
        <v>0</v>
      </c>
      <c r="AN1137" s="498">
        <f t="shared" si="391"/>
        <v>0</v>
      </c>
      <c r="AO1137" s="498">
        <f t="shared" si="392"/>
        <v>0</v>
      </c>
      <c r="AP1137" s="498">
        <f t="shared" si="411"/>
        <v>0</v>
      </c>
      <c r="AQ1137" s="498">
        <f t="shared" si="406"/>
        <v>0</v>
      </c>
      <c r="AU1137" s="498">
        <f t="shared" si="393"/>
        <v>0</v>
      </c>
      <c r="AV1137" s="498">
        <f t="shared" si="394"/>
        <v>0</v>
      </c>
      <c r="AW1137" s="498">
        <f t="shared" si="395"/>
        <v>0</v>
      </c>
      <c r="AX1137" s="498">
        <f t="shared" si="396"/>
        <v>0</v>
      </c>
      <c r="AY1137" s="498">
        <f t="shared" si="397"/>
        <v>0</v>
      </c>
      <c r="BB1137" s="498" t="str">
        <f t="shared" si="398"/>
        <v/>
      </c>
      <c r="BC1137" s="743" t="str">
        <f t="shared" si="399"/>
        <v/>
      </c>
      <c r="BD1137" s="743" t="str">
        <f t="shared" si="400"/>
        <v/>
      </c>
      <c r="BE1137" s="743" t="str">
        <f>IF(D1137="","",VLOOKUP(D1137,'General Basis'!$J$39:$K$46,2,0))</f>
        <v/>
      </c>
      <c r="BF1137" s="744" t="str">
        <f>IF(D1137="","",VLOOKUP(D1137,'General Basis'!$J$39:$L$46,3,0))</f>
        <v/>
      </c>
      <c r="BG1137" s="744" t="str">
        <f t="shared" si="407"/>
        <v/>
      </c>
      <c r="BH1137" s="744" t="str">
        <f>IF(G1137="","",IF(BF1137="Abu Dhabi",IF(G1137&lt;18,'General Basis'!$C$39,IF(G1137&lt;41,'General Basis'!$C$40,IF(G1137&lt;60,'General Basis'!$C$41,IF(G1137&lt;65,'General Basis'!$C$42,'General Basis'!$C$43)))),IF(G1137&lt;11,'General Basis'!$B$39,IF(G1137&lt;18,'General Basis'!$B$40,IF(G1137&lt;26,'General Basis'!$B$41,IF(G1137&lt;31,'General Basis'!$B$42,IF(G1137&lt;36,'General Basis'!$B$43,IF(G1137&lt;41,'General Basis'!$B$44,IF(G1137&lt;46,'General Basis'!$B$45,IF(G1137&lt;51,'General Basis'!$B$46,IF(G1137&lt;56,'General Basis'!$B$47,IF(G1137&lt;60,'General Basis'!$B$48,IF(G1137&lt;65,'General Basis'!$B$49,'General Basis'!$B$50)))))))))))))</f>
        <v/>
      </c>
      <c r="BI1137" s="744" t="str">
        <f t="shared" si="401"/>
        <v/>
      </c>
      <c r="BJ1137" s="747" t="str">
        <f t="shared" si="408"/>
        <v/>
      </c>
      <c r="BK1137" s="498" t="str">
        <f t="shared" si="402"/>
        <v/>
      </c>
      <c r="BL1137" s="498" t="str">
        <f t="shared" si="403"/>
        <v/>
      </c>
    </row>
    <row r="1138" spans="1:64" x14ac:dyDescent="0.25">
      <c r="A1138" s="762">
        <f t="shared" si="404"/>
        <v>1133</v>
      </c>
      <c r="B1138" s="229"/>
      <c r="C1138" s="223"/>
      <c r="D1138" s="224"/>
      <c r="E1138" s="225"/>
      <c r="F1138" s="1036" t="str">
        <f t="shared" si="410"/>
        <v/>
      </c>
      <c r="G1138" s="1037" t="str">
        <f t="shared" si="405"/>
        <v/>
      </c>
      <c r="H1138" s="225"/>
      <c r="I1138" s="1013"/>
      <c r="J1138" s="1013"/>
      <c r="K1138" s="1028"/>
      <c r="L1138" s="1035" t="str">
        <f t="shared" si="409"/>
        <v/>
      </c>
      <c r="S1138" s="498"/>
      <c r="AJ1138" s="498"/>
      <c r="AM1138" s="498">
        <f t="shared" si="390"/>
        <v>0</v>
      </c>
      <c r="AN1138" s="498">
        <f t="shared" si="391"/>
        <v>0</v>
      </c>
      <c r="AO1138" s="498">
        <f t="shared" si="392"/>
        <v>0</v>
      </c>
      <c r="AP1138" s="498">
        <f t="shared" si="411"/>
        <v>0</v>
      </c>
      <c r="AQ1138" s="498">
        <f t="shared" si="406"/>
        <v>0</v>
      </c>
      <c r="AU1138" s="498">
        <f t="shared" si="393"/>
        <v>0</v>
      </c>
      <c r="AV1138" s="498">
        <f t="shared" si="394"/>
        <v>0</v>
      </c>
      <c r="AW1138" s="498">
        <f t="shared" si="395"/>
        <v>0</v>
      </c>
      <c r="AX1138" s="498">
        <f t="shared" si="396"/>
        <v>0</v>
      </c>
      <c r="AY1138" s="498">
        <f t="shared" si="397"/>
        <v>0</v>
      </c>
      <c r="BB1138" s="498" t="str">
        <f t="shared" si="398"/>
        <v/>
      </c>
      <c r="BC1138" s="743" t="str">
        <f t="shared" si="399"/>
        <v/>
      </c>
      <c r="BD1138" s="743" t="str">
        <f t="shared" si="400"/>
        <v/>
      </c>
      <c r="BE1138" s="743" t="str">
        <f>IF(D1138="","",VLOOKUP(D1138,'General Basis'!$J$39:$K$46,2,0))</f>
        <v/>
      </c>
      <c r="BF1138" s="744" t="str">
        <f>IF(D1138="","",VLOOKUP(D1138,'General Basis'!$J$39:$L$46,3,0))</f>
        <v/>
      </c>
      <c r="BG1138" s="744" t="str">
        <f t="shared" si="407"/>
        <v/>
      </c>
      <c r="BH1138" s="744" t="str">
        <f>IF(G1138="","",IF(BF1138="Abu Dhabi",IF(G1138&lt;18,'General Basis'!$C$39,IF(G1138&lt;41,'General Basis'!$C$40,IF(G1138&lt;60,'General Basis'!$C$41,IF(G1138&lt;65,'General Basis'!$C$42,'General Basis'!$C$43)))),IF(G1138&lt;11,'General Basis'!$B$39,IF(G1138&lt;18,'General Basis'!$B$40,IF(G1138&lt;26,'General Basis'!$B$41,IF(G1138&lt;31,'General Basis'!$B$42,IF(G1138&lt;36,'General Basis'!$B$43,IF(G1138&lt;41,'General Basis'!$B$44,IF(G1138&lt;46,'General Basis'!$B$45,IF(G1138&lt;51,'General Basis'!$B$46,IF(G1138&lt;56,'General Basis'!$B$47,IF(G1138&lt;60,'General Basis'!$B$48,IF(G1138&lt;65,'General Basis'!$B$49,'General Basis'!$B$50)))))))))))))</f>
        <v/>
      </c>
      <c r="BI1138" s="744" t="str">
        <f t="shared" si="401"/>
        <v/>
      </c>
      <c r="BJ1138" s="747" t="str">
        <f t="shared" si="408"/>
        <v/>
      </c>
      <c r="BK1138" s="498" t="str">
        <f t="shared" si="402"/>
        <v/>
      </c>
      <c r="BL1138" s="498" t="str">
        <f t="shared" si="403"/>
        <v/>
      </c>
    </row>
    <row r="1139" spans="1:64" x14ac:dyDescent="0.25">
      <c r="A1139" s="762">
        <f t="shared" si="404"/>
        <v>1134</v>
      </c>
      <c r="B1139" s="229"/>
      <c r="C1139" s="223"/>
      <c r="D1139" s="224"/>
      <c r="E1139" s="225"/>
      <c r="F1139" s="1036" t="str">
        <f t="shared" si="410"/>
        <v/>
      </c>
      <c r="G1139" s="1037" t="str">
        <f t="shared" si="405"/>
        <v/>
      </c>
      <c r="H1139" s="225"/>
      <c r="I1139" s="1013"/>
      <c r="J1139" s="1013"/>
      <c r="K1139" s="1028"/>
      <c r="L1139" s="1035" t="str">
        <f t="shared" si="409"/>
        <v/>
      </c>
      <c r="S1139" s="498"/>
      <c r="AJ1139" s="498"/>
      <c r="AM1139" s="498">
        <f t="shared" si="390"/>
        <v>0</v>
      </c>
      <c r="AN1139" s="498">
        <f t="shared" si="391"/>
        <v>0</v>
      </c>
      <c r="AO1139" s="498">
        <f t="shared" si="392"/>
        <v>0</v>
      </c>
      <c r="AP1139" s="498">
        <f t="shared" si="411"/>
        <v>0</v>
      </c>
      <c r="AQ1139" s="498">
        <f t="shared" si="406"/>
        <v>0</v>
      </c>
      <c r="AU1139" s="498">
        <f t="shared" si="393"/>
        <v>0</v>
      </c>
      <c r="AV1139" s="498">
        <f t="shared" si="394"/>
        <v>0</v>
      </c>
      <c r="AW1139" s="498">
        <f t="shared" si="395"/>
        <v>0</v>
      </c>
      <c r="AX1139" s="498">
        <f t="shared" si="396"/>
        <v>0</v>
      </c>
      <c r="AY1139" s="498">
        <f t="shared" si="397"/>
        <v>0</v>
      </c>
      <c r="BB1139" s="498" t="str">
        <f t="shared" si="398"/>
        <v/>
      </c>
      <c r="BC1139" s="743" t="str">
        <f t="shared" si="399"/>
        <v/>
      </c>
      <c r="BD1139" s="743" t="str">
        <f t="shared" si="400"/>
        <v/>
      </c>
      <c r="BE1139" s="743" t="str">
        <f>IF(D1139="","",VLOOKUP(D1139,'General Basis'!$J$39:$K$46,2,0))</f>
        <v/>
      </c>
      <c r="BF1139" s="744" t="str">
        <f>IF(D1139="","",VLOOKUP(D1139,'General Basis'!$J$39:$L$46,3,0))</f>
        <v/>
      </c>
      <c r="BG1139" s="744" t="str">
        <f t="shared" si="407"/>
        <v/>
      </c>
      <c r="BH1139" s="744" t="str">
        <f>IF(G1139="","",IF(BF1139="Abu Dhabi",IF(G1139&lt;18,'General Basis'!$C$39,IF(G1139&lt;41,'General Basis'!$C$40,IF(G1139&lt;60,'General Basis'!$C$41,IF(G1139&lt;65,'General Basis'!$C$42,'General Basis'!$C$43)))),IF(G1139&lt;11,'General Basis'!$B$39,IF(G1139&lt;18,'General Basis'!$B$40,IF(G1139&lt;26,'General Basis'!$B$41,IF(G1139&lt;31,'General Basis'!$B$42,IF(G1139&lt;36,'General Basis'!$B$43,IF(G1139&lt;41,'General Basis'!$B$44,IF(G1139&lt;46,'General Basis'!$B$45,IF(G1139&lt;51,'General Basis'!$B$46,IF(G1139&lt;56,'General Basis'!$B$47,IF(G1139&lt;60,'General Basis'!$B$48,IF(G1139&lt;65,'General Basis'!$B$49,'General Basis'!$B$50)))))))))))))</f>
        <v/>
      </c>
      <c r="BI1139" s="744" t="str">
        <f t="shared" si="401"/>
        <v/>
      </c>
      <c r="BJ1139" s="747" t="str">
        <f t="shared" si="408"/>
        <v/>
      </c>
      <c r="BK1139" s="498" t="str">
        <f t="shared" si="402"/>
        <v/>
      </c>
      <c r="BL1139" s="498" t="str">
        <f t="shared" si="403"/>
        <v/>
      </c>
    </row>
    <row r="1140" spans="1:64" x14ac:dyDescent="0.25">
      <c r="A1140" s="762">
        <f t="shared" si="404"/>
        <v>1135</v>
      </c>
      <c r="B1140" s="229"/>
      <c r="C1140" s="223"/>
      <c r="D1140" s="224"/>
      <c r="E1140" s="225"/>
      <c r="F1140" s="1036" t="str">
        <f t="shared" si="410"/>
        <v/>
      </c>
      <c r="G1140" s="1037" t="str">
        <f t="shared" si="405"/>
        <v/>
      </c>
      <c r="H1140" s="225"/>
      <c r="I1140" s="1013"/>
      <c r="J1140" s="1013"/>
      <c r="K1140" s="1028"/>
      <c r="L1140" s="1035" t="str">
        <f t="shared" si="409"/>
        <v/>
      </c>
      <c r="S1140" s="498"/>
      <c r="AJ1140" s="498"/>
      <c r="AM1140" s="498">
        <f t="shared" si="390"/>
        <v>0</v>
      </c>
      <c r="AN1140" s="498">
        <f t="shared" si="391"/>
        <v>0</v>
      </c>
      <c r="AO1140" s="498">
        <f t="shared" si="392"/>
        <v>0</v>
      </c>
      <c r="AP1140" s="498">
        <f t="shared" si="411"/>
        <v>0</v>
      </c>
      <c r="AQ1140" s="498">
        <f t="shared" si="406"/>
        <v>0</v>
      </c>
      <c r="AU1140" s="498">
        <f t="shared" si="393"/>
        <v>0</v>
      </c>
      <c r="AV1140" s="498">
        <f t="shared" si="394"/>
        <v>0</v>
      </c>
      <c r="AW1140" s="498">
        <f t="shared" si="395"/>
        <v>0</v>
      </c>
      <c r="AX1140" s="498">
        <f t="shared" si="396"/>
        <v>0</v>
      </c>
      <c r="AY1140" s="498">
        <f t="shared" si="397"/>
        <v>0</v>
      </c>
      <c r="BB1140" s="498" t="str">
        <f t="shared" si="398"/>
        <v/>
      </c>
      <c r="BC1140" s="743" t="str">
        <f t="shared" si="399"/>
        <v/>
      </c>
      <c r="BD1140" s="743" t="str">
        <f t="shared" si="400"/>
        <v/>
      </c>
      <c r="BE1140" s="743" t="str">
        <f>IF(D1140="","",VLOOKUP(D1140,'General Basis'!$J$39:$K$46,2,0))</f>
        <v/>
      </c>
      <c r="BF1140" s="744" t="str">
        <f>IF(D1140="","",VLOOKUP(D1140,'General Basis'!$J$39:$L$46,3,0))</f>
        <v/>
      </c>
      <c r="BG1140" s="744" t="str">
        <f t="shared" si="407"/>
        <v/>
      </c>
      <c r="BH1140" s="744" t="str">
        <f>IF(G1140="","",IF(BF1140="Abu Dhabi",IF(G1140&lt;18,'General Basis'!$C$39,IF(G1140&lt;41,'General Basis'!$C$40,IF(G1140&lt;60,'General Basis'!$C$41,IF(G1140&lt;65,'General Basis'!$C$42,'General Basis'!$C$43)))),IF(G1140&lt;11,'General Basis'!$B$39,IF(G1140&lt;18,'General Basis'!$B$40,IF(G1140&lt;26,'General Basis'!$B$41,IF(G1140&lt;31,'General Basis'!$B$42,IF(G1140&lt;36,'General Basis'!$B$43,IF(G1140&lt;41,'General Basis'!$B$44,IF(G1140&lt;46,'General Basis'!$B$45,IF(G1140&lt;51,'General Basis'!$B$46,IF(G1140&lt;56,'General Basis'!$B$47,IF(G1140&lt;60,'General Basis'!$B$48,IF(G1140&lt;65,'General Basis'!$B$49,'General Basis'!$B$50)))))))))))))</f>
        <v/>
      </c>
      <c r="BI1140" s="744" t="str">
        <f t="shared" si="401"/>
        <v/>
      </c>
      <c r="BJ1140" s="747" t="str">
        <f t="shared" si="408"/>
        <v/>
      </c>
      <c r="BK1140" s="498" t="str">
        <f t="shared" si="402"/>
        <v/>
      </c>
      <c r="BL1140" s="498" t="str">
        <f t="shared" si="403"/>
        <v/>
      </c>
    </row>
    <row r="1141" spans="1:64" x14ac:dyDescent="0.25">
      <c r="A1141" s="762">
        <f t="shared" si="404"/>
        <v>1136</v>
      </c>
      <c r="B1141" s="229"/>
      <c r="C1141" s="223"/>
      <c r="D1141" s="224"/>
      <c r="E1141" s="225"/>
      <c r="F1141" s="1036" t="str">
        <f t="shared" si="410"/>
        <v/>
      </c>
      <c r="G1141" s="1037" t="str">
        <f t="shared" si="405"/>
        <v/>
      </c>
      <c r="H1141" s="225"/>
      <c r="I1141" s="1013"/>
      <c r="J1141" s="1013"/>
      <c r="K1141" s="1028"/>
      <c r="L1141" s="1035" t="str">
        <f t="shared" si="409"/>
        <v/>
      </c>
      <c r="S1141" s="498"/>
      <c r="AJ1141" s="498"/>
      <c r="AM1141" s="498">
        <f t="shared" si="390"/>
        <v>0</v>
      </c>
      <c r="AN1141" s="498">
        <f t="shared" si="391"/>
        <v>0</v>
      </c>
      <c r="AO1141" s="498">
        <f t="shared" si="392"/>
        <v>0</v>
      </c>
      <c r="AP1141" s="498">
        <f t="shared" si="411"/>
        <v>0</v>
      </c>
      <c r="AQ1141" s="498">
        <f t="shared" si="406"/>
        <v>0</v>
      </c>
      <c r="AU1141" s="498">
        <f t="shared" si="393"/>
        <v>0</v>
      </c>
      <c r="AV1141" s="498">
        <f t="shared" si="394"/>
        <v>0</v>
      </c>
      <c r="AW1141" s="498">
        <f t="shared" si="395"/>
        <v>0</v>
      </c>
      <c r="AX1141" s="498">
        <f t="shared" si="396"/>
        <v>0</v>
      </c>
      <c r="AY1141" s="498">
        <f t="shared" si="397"/>
        <v>0</v>
      </c>
      <c r="BB1141" s="498" t="str">
        <f t="shared" si="398"/>
        <v/>
      </c>
      <c r="BC1141" s="743" t="str">
        <f t="shared" si="399"/>
        <v/>
      </c>
      <c r="BD1141" s="743" t="str">
        <f t="shared" si="400"/>
        <v/>
      </c>
      <c r="BE1141" s="743" t="str">
        <f>IF(D1141="","",VLOOKUP(D1141,'General Basis'!$J$39:$K$46,2,0))</f>
        <v/>
      </c>
      <c r="BF1141" s="744" t="str">
        <f>IF(D1141="","",VLOOKUP(D1141,'General Basis'!$J$39:$L$46,3,0))</f>
        <v/>
      </c>
      <c r="BG1141" s="744" t="str">
        <f t="shared" si="407"/>
        <v/>
      </c>
      <c r="BH1141" s="744" t="str">
        <f>IF(G1141="","",IF(BF1141="Abu Dhabi",IF(G1141&lt;18,'General Basis'!$C$39,IF(G1141&lt;41,'General Basis'!$C$40,IF(G1141&lt;60,'General Basis'!$C$41,IF(G1141&lt;65,'General Basis'!$C$42,'General Basis'!$C$43)))),IF(G1141&lt;11,'General Basis'!$B$39,IF(G1141&lt;18,'General Basis'!$B$40,IF(G1141&lt;26,'General Basis'!$B$41,IF(G1141&lt;31,'General Basis'!$B$42,IF(G1141&lt;36,'General Basis'!$B$43,IF(G1141&lt;41,'General Basis'!$B$44,IF(G1141&lt;46,'General Basis'!$B$45,IF(G1141&lt;51,'General Basis'!$B$46,IF(G1141&lt;56,'General Basis'!$B$47,IF(G1141&lt;60,'General Basis'!$B$48,IF(G1141&lt;65,'General Basis'!$B$49,'General Basis'!$B$50)))))))))))))</f>
        <v/>
      </c>
      <c r="BI1141" s="744" t="str">
        <f t="shared" si="401"/>
        <v/>
      </c>
      <c r="BJ1141" s="747" t="str">
        <f t="shared" si="408"/>
        <v/>
      </c>
      <c r="BK1141" s="498" t="str">
        <f t="shared" si="402"/>
        <v/>
      </c>
      <c r="BL1141" s="498" t="str">
        <f t="shared" si="403"/>
        <v/>
      </c>
    </row>
    <row r="1142" spans="1:64" x14ac:dyDescent="0.25">
      <c r="A1142" s="762">
        <f t="shared" si="404"/>
        <v>1137</v>
      </c>
      <c r="B1142" s="229"/>
      <c r="C1142" s="223"/>
      <c r="D1142" s="224"/>
      <c r="E1142" s="225"/>
      <c r="F1142" s="1036" t="str">
        <f t="shared" si="410"/>
        <v/>
      </c>
      <c r="G1142" s="1037" t="str">
        <f t="shared" si="405"/>
        <v/>
      </c>
      <c r="H1142" s="225"/>
      <c r="I1142" s="1013"/>
      <c r="J1142" s="1013"/>
      <c r="K1142" s="1028"/>
      <c r="L1142" s="1035" t="str">
        <f t="shared" si="409"/>
        <v/>
      </c>
      <c r="S1142" s="498"/>
      <c r="AJ1142" s="498"/>
      <c r="AM1142" s="498">
        <f t="shared" si="390"/>
        <v>0</v>
      </c>
      <c r="AN1142" s="498">
        <f t="shared" si="391"/>
        <v>0</v>
      </c>
      <c r="AO1142" s="498">
        <f t="shared" si="392"/>
        <v>0</v>
      </c>
      <c r="AP1142" s="498">
        <f t="shared" si="411"/>
        <v>0</v>
      </c>
      <c r="AQ1142" s="498">
        <f t="shared" si="406"/>
        <v>0</v>
      </c>
      <c r="AU1142" s="498">
        <f t="shared" si="393"/>
        <v>0</v>
      </c>
      <c r="AV1142" s="498">
        <f t="shared" si="394"/>
        <v>0</v>
      </c>
      <c r="AW1142" s="498">
        <f t="shared" si="395"/>
        <v>0</v>
      </c>
      <c r="AX1142" s="498">
        <f t="shared" si="396"/>
        <v>0</v>
      </c>
      <c r="AY1142" s="498">
        <f t="shared" si="397"/>
        <v>0</v>
      </c>
      <c r="BB1142" s="498" t="str">
        <f t="shared" si="398"/>
        <v/>
      </c>
      <c r="BC1142" s="743" t="str">
        <f t="shared" si="399"/>
        <v/>
      </c>
      <c r="BD1142" s="743" t="str">
        <f t="shared" si="400"/>
        <v/>
      </c>
      <c r="BE1142" s="743" t="str">
        <f>IF(D1142="","",VLOOKUP(D1142,'General Basis'!$J$39:$K$46,2,0))</f>
        <v/>
      </c>
      <c r="BF1142" s="744" t="str">
        <f>IF(D1142="","",VLOOKUP(D1142,'General Basis'!$J$39:$L$46,3,0))</f>
        <v/>
      </c>
      <c r="BG1142" s="744" t="str">
        <f t="shared" si="407"/>
        <v/>
      </c>
      <c r="BH1142" s="744" t="str">
        <f>IF(G1142="","",IF(BF1142="Abu Dhabi",IF(G1142&lt;18,'General Basis'!$C$39,IF(G1142&lt;41,'General Basis'!$C$40,IF(G1142&lt;60,'General Basis'!$C$41,IF(G1142&lt;65,'General Basis'!$C$42,'General Basis'!$C$43)))),IF(G1142&lt;11,'General Basis'!$B$39,IF(G1142&lt;18,'General Basis'!$B$40,IF(G1142&lt;26,'General Basis'!$B$41,IF(G1142&lt;31,'General Basis'!$B$42,IF(G1142&lt;36,'General Basis'!$B$43,IF(G1142&lt;41,'General Basis'!$B$44,IF(G1142&lt;46,'General Basis'!$B$45,IF(G1142&lt;51,'General Basis'!$B$46,IF(G1142&lt;56,'General Basis'!$B$47,IF(G1142&lt;60,'General Basis'!$B$48,IF(G1142&lt;65,'General Basis'!$B$49,'General Basis'!$B$50)))))))))))))</f>
        <v/>
      </c>
      <c r="BI1142" s="744" t="str">
        <f t="shared" si="401"/>
        <v/>
      </c>
      <c r="BJ1142" s="747" t="str">
        <f t="shared" si="408"/>
        <v/>
      </c>
      <c r="BK1142" s="498" t="str">
        <f t="shared" si="402"/>
        <v/>
      </c>
      <c r="BL1142" s="498" t="str">
        <f t="shared" si="403"/>
        <v/>
      </c>
    </row>
    <row r="1143" spans="1:64" x14ac:dyDescent="0.25">
      <c r="A1143" s="762">
        <f t="shared" si="404"/>
        <v>1138</v>
      </c>
      <c r="B1143" s="229"/>
      <c r="C1143" s="223"/>
      <c r="D1143" s="224"/>
      <c r="E1143" s="225"/>
      <c r="F1143" s="1036" t="str">
        <f t="shared" si="410"/>
        <v/>
      </c>
      <c r="G1143" s="1037" t="str">
        <f t="shared" si="405"/>
        <v/>
      </c>
      <c r="H1143" s="225"/>
      <c r="I1143" s="1013"/>
      <c r="J1143" s="1013"/>
      <c r="K1143" s="1028"/>
      <c r="L1143" s="1035" t="str">
        <f t="shared" si="409"/>
        <v/>
      </c>
      <c r="S1143" s="498"/>
      <c r="AJ1143" s="498"/>
      <c r="AM1143" s="498">
        <f t="shared" si="390"/>
        <v>0</v>
      </c>
      <c r="AN1143" s="498">
        <f t="shared" si="391"/>
        <v>0</v>
      </c>
      <c r="AO1143" s="498">
        <f t="shared" si="392"/>
        <v>0</v>
      </c>
      <c r="AP1143" s="498">
        <f t="shared" si="411"/>
        <v>0</v>
      </c>
      <c r="AQ1143" s="498">
        <f t="shared" si="406"/>
        <v>0</v>
      </c>
      <c r="AU1143" s="498">
        <f t="shared" si="393"/>
        <v>0</v>
      </c>
      <c r="AV1143" s="498">
        <f t="shared" si="394"/>
        <v>0</v>
      </c>
      <c r="AW1143" s="498">
        <f t="shared" si="395"/>
        <v>0</v>
      </c>
      <c r="AX1143" s="498">
        <f t="shared" si="396"/>
        <v>0</v>
      </c>
      <c r="AY1143" s="498">
        <f t="shared" si="397"/>
        <v>0</v>
      </c>
      <c r="BB1143" s="498" t="str">
        <f t="shared" si="398"/>
        <v/>
      </c>
      <c r="BC1143" s="743" t="str">
        <f t="shared" si="399"/>
        <v/>
      </c>
      <c r="BD1143" s="743" t="str">
        <f t="shared" si="400"/>
        <v/>
      </c>
      <c r="BE1143" s="743" t="str">
        <f>IF(D1143="","",VLOOKUP(D1143,'General Basis'!$J$39:$K$46,2,0))</f>
        <v/>
      </c>
      <c r="BF1143" s="744" t="str">
        <f>IF(D1143="","",VLOOKUP(D1143,'General Basis'!$J$39:$L$46,3,0))</f>
        <v/>
      </c>
      <c r="BG1143" s="744" t="str">
        <f t="shared" si="407"/>
        <v/>
      </c>
      <c r="BH1143" s="744" t="str">
        <f>IF(G1143="","",IF(BF1143="Abu Dhabi",IF(G1143&lt;18,'General Basis'!$C$39,IF(G1143&lt;41,'General Basis'!$C$40,IF(G1143&lt;60,'General Basis'!$C$41,IF(G1143&lt;65,'General Basis'!$C$42,'General Basis'!$C$43)))),IF(G1143&lt;11,'General Basis'!$B$39,IF(G1143&lt;18,'General Basis'!$B$40,IF(G1143&lt;26,'General Basis'!$B$41,IF(G1143&lt;31,'General Basis'!$B$42,IF(G1143&lt;36,'General Basis'!$B$43,IF(G1143&lt;41,'General Basis'!$B$44,IF(G1143&lt;46,'General Basis'!$B$45,IF(G1143&lt;51,'General Basis'!$B$46,IF(G1143&lt;56,'General Basis'!$B$47,IF(G1143&lt;60,'General Basis'!$B$48,IF(G1143&lt;65,'General Basis'!$B$49,'General Basis'!$B$50)))))))))))))</f>
        <v/>
      </c>
      <c r="BI1143" s="744" t="str">
        <f t="shared" si="401"/>
        <v/>
      </c>
      <c r="BJ1143" s="747" t="str">
        <f t="shared" si="408"/>
        <v/>
      </c>
      <c r="BK1143" s="498" t="str">
        <f t="shared" si="402"/>
        <v/>
      </c>
      <c r="BL1143" s="498" t="str">
        <f t="shared" si="403"/>
        <v/>
      </c>
    </row>
    <row r="1144" spans="1:64" x14ac:dyDescent="0.25">
      <c r="A1144" s="762">
        <f t="shared" si="404"/>
        <v>1139</v>
      </c>
      <c r="B1144" s="229"/>
      <c r="C1144" s="223"/>
      <c r="D1144" s="224"/>
      <c r="E1144" s="225"/>
      <c r="F1144" s="1036" t="str">
        <f t="shared" si="410"/>
        <v/>
      </c>
      <c r="G1144" s="1037" t="str">
        <f t="shared" si="405"/>
        <v/>
      </c>
      <c r="H1144" s="225"/>
      <c r="I1144" s="1013"/>
      <c r="J1144" s="1013"/>
      <c r="K1144" s="1028"/>
      <c r="L1144" s="1035" t="str">
        <f t="shared" si="409"/>
        <v/>
      </c>
      <c r="S1144" s="498"/>
      <c r="AJ1144" s="498"/>
      <c r="AM1144" s="498">
        <f t="shared" si="390"/>
        <v>0</v>
      </c>
      <c r="AN1144" s="498">
        <f t="shared" si="391"/>
        <v>0</v>
      </c>
      <c r="AO1144" s="498">
        <f t="shared" si="392"/>
        <v>0</v>
      </c>
      <c r="AP1144" s="498">
        <f t="shared" si="411"/>
        <v>0</v>
      </c>
      <c r="AQ1144" s="498">
        <f t="shared" si="406"/>
        <v>0</v>
      </c>
      <c r="AU1144" s="498">
        <f t="shared" si="393"/>
        <v>0</v>
      </c>
      <c r="AV1144" s="498">
        <f t="shared" si="394"/>
        <v>0</v>
      </c>
      <c r="AW1144" s="498">
        <f t="shared" si="395"/>
        <v>0</v>
      </c>
      <c r="AX1144" s="498">
        <f t="shared" si="396"/>
        <v>0</v>
      </c>
      <c r="AY1144" s="498">
        <f t="shared" si="397"/>
        <v>0</v>
      </c>
      <c r="BB1144" s="498" t="str">
        <f t="shared" si="398"/>
        <v/>
      </c>
      <c r="BC1144" s="743" t="str">
        <f t="shared" si="399"/>
        <v/>
      </c>
      <c r="BD1144" s="743" t="str">
        <f t="shared" si="400"/>
        <v/>
      </c>
      <c r="BE1144" s="743" t="str">
        <f>IF(D1144="","",VLOOKUP(D1144,'General Basis'!$J$39:$K$46,2,0))</f>
        <v/>
      </c>
      <c r="BF1144" s="744" t="str">
        <f>IF(D1144="","",VLOOKUP(D1144,'General Basis'!$J$39:$L$46,3,0))</f>
        <v/>
      </c>
      <c r="BG1144" s="744" t="str">
        <f t="shared" si="407"/>
        <v/>
      </c>
      <c r="BH1144" s="744" t="str">
        <f>IF(G1144="","",IF(BF1144="Abu Dhabi",IF(G1144&lt;18,'General Basis'!$C$39,IF(G1144&lt;41,'General Basis'!$C$40,IF(G1144&lt;60,'General Basis'!$C$41,IF(G1144&lt;65,'General Basis'!$C$42,'General Basis'!$C$43)))),IF(G1144&lt;11,'General Basis'!$B$39,IF(G1144&lt;18,'General Basis'!$B$40,IF(G1144&lt;26,'General Basis'!$B$41,IF(G1144&lt;31,'General Basis'!$B$42,IF(G1144&lt;36,'General Basis'!$B$43,IF(G1144&lt;41,'General Basis'!$B$44,IF(G1144&lt;46,'General Basis'!$B$45,IF(G1144&lt;51,'General Basis'!$B$46,IF(G1144&lt;56,'General Basis'!$B$47,IF(G1144&lt;60,'General Basis'!$B$48,IF(G1144&lt;65,'General Basis'!$B$49,'General Basis'!$B$50)))))))))))))</f>
        <v/>
      </c>
      <c r="BI1144" s="744" t="str">
        <f t="shared" si="401"/>
        <v/>
      </c>
      <c r="BJ1144" s="747" t="str">
        <f t="shared" si="408"/>
        <v/>
      </c>
      <c r="BK1144" s="498" t="str">
        <f t="shared" si="402"/>
        <v/>
      </c>
      <c r="BL1144" s="498" t="str">
        <f t="shared" si="403"/>
        <v/>
      </c>
    </row>
    <row r="1145" spans="1:64" x14ac:dyDescent="0.25">
      <c r="A1145" s="762">
        <f t="shared" si="404"/>
        <v>1140</v>
      </c>
      <c r="B1145" s="229"/>
      <c r="C1145" s="223"/>
      <c r="D1145" s="224"/>
      <c r="E1145" s="225"/>
      <c r="F1145" s="1036" t="str">
        <f t="shared" si="410"/>
        <v/>
      </c>
      <c r="G1145" s="1037" t="str">
        <f t="shared" si="405"/>
        <v/>
      </c>
      <c r="H1145" s="225"/>
      <c r="I1145" s="1013"/>
      <c r="J1145" s="1013"/>
      <c r="K1145" s="1028"/>
      <c r="L1145" s="1035" t="str">
        <f t="shared" si="409"/>
        <v/>
      </c>
      <c r="S1145" s="498"/>
      <c r="AJ1145" s="498"/>
      <c r="AM1145" s="498">
        <f t="shared" si="390"/>
        <v>0</v>
      </c>
      <c r="AN1145" s="498">
        <f t="shared" si="391"/>
        <v>0</v>
      </c>
      <c r="AO1145" s="498">
        <f t="shared" si="392"/>
        <v>0</v>
      </c>
      <c r="AP1145" s="498">
        <f t="shared" si="411"/>
        <v>0</v>
      </c>
      <c r="AQ1145" s="498">
        <f t="shared" si="406"/>
        <v>0</v>
      </c>
      <c r="AU1145" s="498">
        <f t="shared" si="393"/>
        <v>0</v>
      </c>
      <c r="AV1145" s="498">
        <f t="shared" si="394"/>
        <v>0</v>
      </c>
      <c r="AW1145" s="498">
        <f t="shared" si="395"/>
        <v>0</v>
      </c>
      <c r="AX1145" s="498">
        <f t="shared" si="396"/>
        <v>0</v>
      </c>
      <c r="AY1145" s="498">
        <f t="shared" si="397"/>
        <v>0</v>
      </c>
      <c r="BB1145" s="498" t="str">
        <f t="shared" si="398"/>
        <v/>
      </c>
      <c r="BC1145" s="743" t="str">
        <f t="shared" si="399"/>
        <v/>
      </c>
      <c r="BD1145" s="743" t="str">
        <f t="shared" si="400"/>
        <v/>
      </c>
      <c r="BE1145" s="743" t="str">
        <f>IF(D1145="","",VLOOKUP(D1145,'General Basis'!$J$39:$K$46,2,0))</f>
        <v/>
      </c>
      <c r="BF1145" s="744" t="str">
        <f>IF(D1145="","",VLOOKUP(D1145,'General Basis'!$J$39:$L$46,3,0))</f>
        <v/>
      </c>
      <c r="BG1145" s="744" t="str">
        <f t="shared" si="407"/>
        <v/>
      </c>
      <c r="BH1145" s="744" t="str">
        <f>IF(G1145="","",IF(BF1145="Abu Dhabi",IF(G1145&lt;18,'General Basis'!$C$39,IF(G1145&lt;41,'General Basis'!$C$40,IF(G1145&lt;60,'General Basis'!$C$41,IF(G1145&lt;65,'General Basis'!$C$42,'General Basis'!$C$43)))),IF(G1145&lt;11,'General Basis'!$B$39,IF(G1145&lt;18,'General Basis'!$B$40,IF(G1145&lt;26,'General Basis'!$B$41,IF(G1145&lt;31,'General Basis'!$B$42,IF(G1145&lt;36,'General Basis'!$B$43,IF(G1145&lt;41,'General Basis'!$B$44,IF(G1145&lt;46,'General Basis'!$B$45,IF(G1145&lt;51,'General Basis'!$B$46,IF(G1145&lt;56,'General Basis'!$B$47,IF(G1145&lt;60,'General Basis'!$B$48,IF(G1145&lt;65,'General Basis'!$B$49,'General Basis'!$B$50)))))))))))))</f>
        <v/>
      </c>
      <c r="BI1145" s="744" t="str">
        <f t="shared" si="401"/>
        <v/>
      </c>
      <c r="BJ1145" s="747" t="str">
        <f t="shared" si="408"/>
        <v/>
      </c>
      <c r="BK1145" s="498" t="str">
        <f t="shared" si="402"/>
        <v/>
      </c>
      <c r="BL1145" s="498" t="str">
        <f t="shared" si="403"/>
        <v/>
      </c>
    </row>
    <row r="1146" spans="1:64" x14ac:dyDescent="0.25">
      <c r="A1146" s="762">
        <f t="shared" si="404"/>
        <v>1141</v>
      </c>
      <c r="B1146" s="229"/>
      <c r="C1146" s="223"/>
      <c r="D1146" s="224"/>
      <c r="E1146" s="225"/>
      <c r="F1146" s="1036" t="str">
        <f t="shared" si="410"/>
        <v/>
      </c>
      <c r="G1146" s="1037" t="str">
        <f t="shared" si="405"/>
        <v/>
      </c>
      <c r="H1146" s="225"/>
      <c r="I1146" s="1013"/>
      <c r="J1146" s="1013"/>
      <c r="K1146" s="1028"/>
      <c r="L1146" s="1035" t="str">
        <f t="shared" si="409"/>
        <v/>
      </c>
      <c r="S1146" s="498"/>
      <c r="AJ1146" s="498"/>
      <c r="AM1146" s="498">
        <f t="shared" si="390"/>
        <v>0</v>
      </c>
      <c r="AN1146" s="498">
        <f t="shared" si="391"/>
        <v>0</v>
      </c>
      <c r="AO1146" s="498">
        <f t="shared" si="392"/>
        <v>0</v>
      </c>
      <c r="AP1146" s="498">
        <f t="shared" si="411"/>
        <v>0</v>
      </c>
      <c r="AQ1146" s="498">
        <f t="shared" si="406"/>
        <v>0</v>
      </c>
      <c r="AU1146" s="498">
        <f t="shared" si="393"/>
        <v>0</v>
      </c>
      <c r="AV1146" s="498">
        <f t="shared" si="394"/>
        <v>0</v>
      </c>
      <c r="AW1146" s="498">
        <f t="shared" si="395"/>
        <v>0</v>
      </c>
      <c r="AX1146" s="498">
        <f t="shared" si="396"/>
        <v>0</v>
      </c>
      <c r="AY1146" s="498">
        <f t="shared" si="397"/>
        <v>0</v>
      </c>
      <c r="BB1146" s="498" t="str">
        <f t="shared" si="398"/>
        <v/>
      </c>
      <c r="BC1146" s="743" t="str">
        <f t="shared" si="399"/>
        <v/>
      </c>
      <c r="BD1146" s="743" t="str">
        <f t="shared" si="400"/>
        <v/>
      </c>
      <c r="BE1146" s="743" t="str">
        <f>IF(D1146="","",VLOOKUP(D1146,'General Basis'!$J$39:$K$46,2,0))</f>
        <v/>
      </c>
      <c r="BF1146" s="744" t="str">
        <f>IF(D1146="","",VLOOKUP(D1146,'General Basis'!$J$39:$L$46,3,0))</f>
        <v/>
      </c>
      <c r="BG1146" s="744" t="str">
        <f t="shared" si="407"/>
        <v/>
      </c>
      <c r="BH1146" s="744" t="str">
        <f>IF(G1146="","",IF(BF1146="Abu Dhabi",IF(G1146&lt;18,'General Basis'!$C$39,IF(G1146&lt;41,'General Basis'!$C$40,IF(G1146&lt;60,'General Basis'!$C$41,IF(G1146&lt;65,'General Basis'!$C$42,'General Basis'!$C$43)))),IF(G1146&lt;11,'General Basis'!$B$39,IF(G1146&lt;18,'General Basis'!$B$40,IF(G1146&lt;26,'General Basis'!$B$41,IF(G1146&lt;31,'General Basis'!$B$42,IF(G1146&lt;36,'General Basis'!$B$43,IF(G1146&lt;41,'General Basis'!$B$44,IF(G1146&lt;46,'General Basis'!$B$45,IF(G1146&lt;51,'General Basis'!$B$46,IF(G1146&lt;56,'General Basis'!$B$47,IF(G1146&lt;60,'General Basis'!$B$48,IF(G1146&lt;65,'General Basis'!$B$49,'General Basis'!$B$50)))))))))))))</f>
        <v/>
      </c>
      <c r="BI1146" s="744" t="str">
        <f t="shared" si="401"/>
        <v/>
      </c>
      <c r="BJ1146" s="747" t="str">
        <f t="shared" si="408"/>
        <v/>
      </c>
      <c r="BK1146" s="498" t="str">
        <f t="shared" si="402"/>
        <v/>
      </c>
      <c r="BL1146" s="498" t="str">
        <f t="shared" si="403"/>
        <v/>
      </c>
    </row>
    <row r="1147" spans="1:64" x14ac:dyDescent="0.25">
      <c r="A1147" s="762">
        <f t="shared" si="404"/>
        <v>1142</v>
      </c>
      <c r="B1147" s="229"/>
      <c r="C1147" s="223"/>
      <c r="D1147" s="224"/>
      <c r="E1147" s="225"/>
      <c r="F1147" s="1036" t="str">
        <f t="shared" si="410"/>
        <v/>
      </c>
      <c r="G1147" s="1037" t="str">
        <f t="shared" si="405"/>
        <v/>
      </c>
      <c r="H1147" s="225"/>
      <c r="I1147" s="1013"/>
      <c r="J1147" s="1013"/>
      <c r="K1147" s="1028"/>
      <c r="L1147" s="1035" t="str">
        <f t="shared" si="409"/>
        <v/>
      </c>
      <c r="S1147" s="498"/>
      <c r="AJ1147" s="498"/>
      <c r="AM1147" s="498">
        <f t="shared" si="390"/>
        <v>0</v>
      </c>
      <c r="AN1147" s="498">
        <f t="shared" si="391"/>
        <v>0</v>
      </c>
      <c r="AO1147" s="498">
        <f t="shared" si="392"/>
        <v>0</v>
      </c>
      <c r="AP1147" s="498">
        <f t="shared" si="411"/>
        <v>0</v>
      </c>
      <c r="AQ1147" s="498">
        <f t="shared" si="406"/>
        <v>0</v>
      </c>
      <c r="AU1147" s="498">
        <f t="shared" si="393"/>
        <v>0</v>
      </c>
      <c r="AV1147" s="498">
        <f t="shared" si="394"/>
        <v>0</v>
      </c>
      <c r="AW1147" s="498">
        <f t="shared" si="395"/>
        <v>0</v>
      </c>
      <c r="AX1147" s="498">
        <f t="shared" si="396"/>
        <v>0</v>
      </c>
      <c r="AY1147" s="498">
        <f t="shared" si="397"/>
        <v>0</v>
      </c>
      <c r="BB1147" s="498" t="str">
        <f t="shared" si="398"/>
        <v/>
      </c>
      <c r="BC1147" s="743" t="str">
        <f t="shared" si="399"/>
        <v/>
      </c>
      <c r="BD1147" s="743" t="str">
        <f t="shared" si="400"/>
        <v/>
      </c>
      <c r="BE1147" s="743" t="str">
        <f>IF(D1147="","",VLOOKUP(D1147,'General Basis'!$J$39:$K$46,2,0))</f>
        <v/>
      </c>
      <c r="BF1147" s="744" t="str">
        <f>IF(D1147="","",VLOOKUP(D1147,'General Basis'!$J$39:$L$46,3,0))</f>
        <v/>
      </c>
      <c r="BG1147" s="744" t="str">
        <f t="shared" si="407"/>
        <v/>
      </c>
      <c r="BH1147" s="744" t="str">
        <f>IF(G1147="","",IF(BF1147="Abu Dhabi",IF(G1147&lt;18,'General Basis'!$C$39,IF(G1147&lt;41,'General Basis'!$C$40,IF(G1147&lt;60,'General Basis'!$C$41,IF(G1147&lt;65,'General Basis'!$C$42,'General Basis'!$C$43)))),IF(G1147&lt;11,'General Basis'!$B$39,IF(G1147&lt;18,'General Basis'!$B$40,IF(G1147&lt;26,'General Basis'!$B$41,IF(G1147&lt;31,'General Basis'!$B$42,IF(G1147&lt;36,'General Basis'!$B$43,IF(G1147&lt;41,'General Basis'!$B$44,IF(G1147&lt;46,'General Basis'!$B$45,IF(G1147&lt;51,'General Basis'!$B$46,IF(G1147&lt;56,'General Basis'!$B$47,IF(G1147&lt;60,'General Basis'!$B$48,IF(G1147&lt;65,'General Basis'!$B$49,'General Basis'!$B$50)))))))))))))</f>
        <v/>
      </c>
      <c r="BI1147" s="744" t="str">
        <f t="shared" si="401"/>
        <v/>
      </c>
      <c r="BJ1147" s="747" t="str">
        <f t="shared" si="408"/>
        <v/>
      </c>
      <c r="BK1147" s="498" t="str">
        <f t="shared" si="402"/>
        <v/>
      </c>
      <c r="BL1147" s="498" t="str">
        <f t="shared" si="403"/>
        <v/>
      </c>
    </row>
    <row r="1148" spans="1:64" x14ac:dyDescent="0.25">
      <c r="A1148" s="762">
        <f t="shared" si="404"/>
        <v>1143</v>
      </c>
      <c r="B1148" s="229"/>
      <c r="C1148" s="223"/>
      <c r="D1148" s="224"/>
      <c r="E1148" s="225"/>
      <c r="F1148" s="1036" t="str">
        <f t="shared" si="410"/>
        <v/>
      </c>
      <c r="G1148" s="1037" t="str">
        <f t="shared" si="405"/>
        <v/>
      </c>
      <c r="H1148" s="225"/>
      <c r="I1148" s="1013"/>
      <c r="J1148" s="1013"/>
      <c r="K1148" s="1028"/>
      <c r="L1148" s="1035" t="str">
        <f t="shared" si="409"/>
        <v/>
      </c>
      <c r="S1148" s="498"/>
      <c r="AJ1148" s="498"/>
      <c r="AM1148" s="498">
        <f t="shared" si="390"/>
        <v>0</v>
      </c>
      <c r="AN1148" s="498">
        <f t="shared" si="391"/>
        <v>0</v>
      </c>
      <c r="AO1148" s="498">
        <f t="shared" si="392"/>
        <v>0</v>
      </c>
      <c r="AP1148" s="498">
        <f t="shared" si="411"/>
        <v>0</v>
      </c>
      <c r="AQ1148" s="498">
        <f t="shared" si="406"/>
        <v>0</v>
      </c>
      <c r="AU1148" s="498">
        <f t="shared" si="393"/>
        <v>0</v>
      </c>
      <c r="AV1148" s="498">
        <f t="shared" si="394"/>
        <v>0</v>
      </c>
      <c r="AW1148" s="498">
        <f t="shared" si="395"/>
        <v>0</v>
      </c>
      <c r="AX1148" s="498">
        <f t="shared" si="396"/>
        <v>0</v>
      </c>
      <c r="AY1148" s="498">
        <f t="shared" si="397"/>
        <v>0</v>
      </c>
      <c r="BB1148" s="498" t="str">
        <f t="shared" si="398"/>
        <v/>
      </c>
      <c r="BC1148" s="743" t="str">
        <f t="shared" si="399"/>
        <v/>
      </c>
      <c r="BD1148" s="743" t="str">
        <f t="shared" si="400"/>
        <v/>
      </c>
      <c r="BE1148" s="743" t="str">
        <f>IF(D1148="","",VLOOKUP(D1148,'General Basis'!$J$39:$K$46,2,0))</f>
        <v/>
      </c>
      <c r="BF1148" s="744" t="str">
        <f>IF(D1148="","",VLOOKUP(D1148,'General Basis'!$J$39:$L$46,3,0))</f>
        <v/>
      </c>
      <c r="BG1148" s="744" t="str">
        <f t="shared" si="407"/>
        <v/>
      </c>
      <c r="BH1148" s="744" t="str">
        <f>IF(G1148="","",IF(BF1148="Abu Dhabi",IF(G1148&lt;18,'General Basis'!$C$39,IF(G1148&lt;41,'General Basis'!$C$40,IF(G1148&lt;60,'General Basis'!$C$41,IF(G1148&lt;65,'General Basis'!$C$42,'General Basis'!$C$43)))),IF(G1148&lt;11,'General Basis'!$B$39,IF(G1148&lt;18,'General Basis'!$B$40,IF(G1148&lt;26,'General Basis'!$B$41,IF(G1148&lt;31,'General Basis'!$B$42,IF(G1148&lt;36,'General Basis'!$B$43,IF(G1148&lt;41,'General Basis'!$B$44,IF(G1148&lt;46,'General Basis'!$B$45,IF(G1148&lt;51,'General Basis'!$B$46,IF(G1148&lt;56,'General Basis'!$B$47,IF(G1148&lt;60,'General Basis'!$B$48,IF(G1148&lt;65,'General Basis'!$B$49,'General Basis'!$B$50)))))))))))))</f>
        <v/>
      </c>
      <c r="BI1148" s="744" t="str">
        <f t="shared" si="401"/>
        <v/>
      </c>
      <c r="BJ1148" s="747" t="str">
        <f t="shared" si="408"/>
        <v/>
      </c>
      <c r="BK1148" s="498" t="str">
        <f t="shared" si="402"/>
        <v/>
      </c>
      <c r="BL1148" s="498" t="str">
        <f t="shared" si="403"/>
        <v/>
      </c>
    </row>
    <row r="1149" spans="1:64" x14ac:dyDescent="0.25">
      <c r="A1149" s="762">
        <f t="shared" si="404"/>
        <v>1144</v>
      </c>
      <c r="B1149" s="229"/>
      <c r="C1149" s="223"/>
      <c r="D1149" s="224"/>
      <c r="E1149" s="225"/>
      <c r="F1149" s="1036" t="str">
        <f t="shared" si="410"/>
        <v/>
      </c>
      <c r="G1149" s="1037" t="str">
        <f t="shared" si="405"/>
        <v/>
      </c>
      <c r="H1149" s="225"/>
      <c r="I1149" s="1013"/>
      <c r="J1149" s="1013"/>
      <c r="K1149" s="1028"/>
      <c r="L1149" s="1035" t="str">
        <f t="shared" si="409"/>
        <v/>
      </c>
      <c r="S1149" s="498"/>
      <c r="AJ1149" s="498"/>
      <c r="AM1149" s="498">
        <f t="shared" si="390"/>
        <v>0</v>
      </c>
      <c r="AN1149" s="498">
        <f t="shared" si="391"/>
        <v>0</v>
      </c>
      <c r="AO1149" s="498">
        <f t="shared" si="392"/>
        <v>0</v>
      </c>
      <c r="AP1149" s="498">
        <f t="shared" si="411"/>
        <v>0</v>
      </c>
      <c r="AQ1149" s="498">
        <f t="shared" si="406"/>
        <v>0</v>
      </c>
      <c r="AU1149" s="498">
        <f t="shared" si="393"/>
        <v>0</v>
      </c>
      <c r="AV1149" s="498">
        <f t="shared" si="394"/>
        <v>0</v>
      </c>
      <c r="AW1149" s="498">
        <f t="shared" si="395"/>
        <v>0</v>
      </c>
      <c r="AX1149" s="498">
        <f t="shared" si="396"/>
        <v>0</v>
      </c>
      <c r="AY1149" s="498">
        <f t="shared" si="397"/>
        <v>0</v>
      </c>
      <c r="BB1149" s="498" t="str">
        <f t="shared" si="398"/>
        <v/>
      </c>
      <c r="BC1149" s="743" t="str">
        <f t="shared" si="399"/>
        <v/>
      </c>
      <c r="BD1149" s="743" t="str">
        <f t="shared" si="400"/>
        <v/>
      </c>
      <c r="BE1149" s="743" t="str">
        <f>IF(D1149="","",VLOOKUP(D1149,'General Basis'!$J$39:$K$46,2,0))</f>
        <v/>
      </c>
      <c r="BF1149" s="744" t="str">
        <f>IF(D1149="","",VLOOKUP(D1149,'General Basis'!$J$39:$L$46,3,0))</f>
        <v/>
      </c>
      <c r="BG1149" s="744" t="str">
        <f t="shared" si="407"/>
        <v/>
      </c>
      <c r="BH1149" s="744" t="str">
        <f>IF(G1149="","",IF(BF1149="Abu Dhabi",IF(G1149&lt;18,'General Basis'!$C$39,IF(G1149&lt;41,'General Basis'!$C$40,IF(G1149&lt;60,'General Basis'!$C$41,IF(G1149&lt;65,'General Basis'!$C$42,'General Basis'!$C$43)))),IF(G1149&lt;11,'General Basis'!$B$39,IF(G1149&lt;18,'General Basis'!$B$40,IF(G1149&lt;26,'General Basis'!$B$41,IF(G1149&lt;31,'General Basis'!$B$42,IF(G1149&lt;36,'General Basis'!$B$43,IF(G1149&lt;41,'General Basis'!$B$44,IF(G1149&lt;46,'General Basis'!$B$45,IF(G1149&lt;51,'General Basis'!$B$46,IF(G1149&lt;56,'General Basis'!$B$47,IF(G1149&lt;60,'General Basis'!$B$48,IF(G1149&lt;65,'General Basis'!$B$49,'General Basis'!$B$50)))))))))))))</f>
        <v/>
      </c>
      <c r="BI1149" s="744" t="str">
        <f t="shared" si="401"/>
        <v/>
      </c>
      <c r="BJ1149" s="747" t="str">
        <f t="shared" si="408"/>
        <v/>
      </c>
      <c r="BK1149" s="498" t="str">
        <f t="shared" si="402"/>
        <v/>
      </c>
      <c r="BL1149" s="498" t="str">
        <f t="shared" si="403"/>
        <v/>
      </c>
    </row>
    <row r="1150" spans="1:64" x14ac:dyDescent="0.25">
      <c r="A1150" s="762">
        <f t="shared" si="404"/>
        <v>1145</v>
      </c>
      <c r="B1150" s="229"/>
      <c r="C1150" s="223"/>
      <c r="D1150" s="224"/>
      <c r="E1150" s="225"/>
      <c r="F1150" s="1036" t="str">
        <f t="shared" si="410"/>
        <v/>
      </c>
      <c r="G1150" s="1037" t="str">
        <f t="shared" si="405"/>
        <v/>
      </c>
      <c r="H1150" s="225"/>
      <c r="I1150" s="1013"/>
      <c r="J1150" s="1013"/>
      <c r="K1150" s="1028"/>
      <c r="L1150" s="1035" t="str">
        <f t="shared" si="409"/>
        <v/>
      </c>
      <c r="S1150" s="498"/>
      <c r="AJ1150" s="498"/>
      <c r="AM1150" s="498">
        <f t="shared" si="390"/>
        <v>0</v>
      </c>
      <c r="AN1150" s="498">
        <f t="shared" si="391"/>
        <v>0</v>
      </c>
      <c r="AO1150" s="498">
        <f t="shared" si="392"/>
        <v>0</v>
      </c>
      <c r="AP1150" s="498">
        <f t="shared" si="411"/>
        <v>0</v>
      </c>
      <c r="AQ1150" s="498">
        <f t="shared" si="406"/>
        <v>0</v>
      </c>
      <c r="AU1150" s="498">
        <f t="shared" si="393"/>
        <v>0</v>
      </c>
      <c r="AV1150" s="498">
        <f t="shared" si="394"/>
        <v>0</v>
      </c>
      <c r="AW1150" s="498">
        <f t="shared" si="395"/>
        <v>0</v>
      </c>
      <c r="AX1150" s="498">
        <f t="shared" si="396"/>
        <v>0</v>
      </c>
      <c r="AY1150" s="498">
        <f t="shared" si="397"/>
        <v>0</v>
      </c>
      <c r="BB1150" s="498" t="str">
        <f t="shared" si="398"/>
        <v/>
      </c>
      <c r="BC1150" s="743" t="str">
        <f t="shared" si="399"/>
        <v/>
      </c>
      <c r="BD1150" s="743" t="str">
        <f t="shared" si="400"/>
        <v/>
      </c>
      <c r="BE1150" s="743" t="str">
        <f>IF(D1150="","",VLOOKUP(D1150,'General Basis'!$J$39:$K$46,2,0))</f>
        <v/>
      </c>
      <c r="BF1150" s="744" t="str">
        <f>IF(D1150="","",VLOOKUP(D1150,'General Basis'!$J$39:$L$46,3,0))</f>
        <v/>
      </c>
      <c r="BG1150" s="744" t="str">
        <f t="shared" si="407"/>
        <v/>
      </c>
      <c r="BH1150" s="744" t="str">
        <f>IF(G1150="","",IF(BF1150="Abu Dhabi",IF(G1150&lt;18,'General Basis'!$C$39,IF(G1150&lt;41,'General Basis'!$C$40,IF(G1150&lt;60,'General Basis'!$C$41,IF(G1150&lt;65,'General Basis'!$C$42,'General Basis'!$C$43)))),IF(G1150&lt;11,'General Basis'!$B$39,IF(G1150&lt;18,'General Basis'!$B$40,IF(G1150&lt;26,'General Basis'!$B$41,IF(G1150&lt;31,'General Basis'!$B$42,IF(G1150&lt;36,'General Basis'!$B$43,IF(G1150&lt;41,'General Basis'!$B$44,IF(G1150&lt;46,'General Basis'!$B$45,IF(G1150&lt;51,'General Basis'!$B$46,IF(G1150&lt;56,'General Basis'!$B$47,IF(G1150&lt;60,'General Basis'!$B$48,IF(G1150&lt;65,'General Basis'!$B$49,'General Basis'!$B$50)))))))))))))</f>
        <v/>
      </c>
      <c r="BI1150" s="744" t="str">
        <f t="shared" si="401"/>
        <v/>
      </c>
      <c r="BJ1150" s="747" t="str">
        <f t="shared" si="408"/>
        <v/>
      </c>
      <c r="BK1150" s="498" t="str">
        <f t="shared" si="402"/>
        <v/>
      </c>
      <c r="BL1150" s="498" t="str">
        <f t="shared" si="403"/>
        <v/>
      </c>
    </row>
    <row r="1151" spans="1:64" x14ac:dyDescent="0.25">
      <c r="A1151" s="762">
        <f t="shared" si="404"/>
        <v>1146</v>
      </c>
      <c r="B1151" s="229"/>
      <c r="C1151" s="223"/>
      <c r="D1151" s="224"/>
      <c r="E1151" s="225"/>
      <c r="F1151" s="1036" t="str">
        <f t="shared" si="410"/>
        <v/>
      </c>
      <c r="G1151" s="1037" t="str">
        <f t="shared" si="405"/>
        <v/>
      </c>
      <c r="H1151" s="225"/>
      <c r="I1151" s="1013"/>
      <c r="J1151" s="1013"/>
      <c r="K1151" s="1028"/>
      <c r="L1151" s="1035" t="str">
        <f t="shared" si="409"/>
        <v/>
      </c>
      <c r="S1151" s="498"/>
      <c r="AJ1151" s="498"/>
      <c r="AM1151" s="498">
        <f t="shared" si="390"/>
        <v>0</v>
      </c>
      <c r="AN1151" s="498">
        <f t="shared" si="391"/>
        <v>0</v>
      </c>
      <c r="AO1151" s="498">
        <f t="shared" si="392"/>
        <v>0</v>
      </c>
      <c r="AP1151" s="498">
        <f t="shared" si="411"/>
        <v>0</v>
      </c>
      <c r="AQ1151" s="498">
        <f t="shared" si="406"/>
        <v>0</v>
      </c>
      <c r="AU1151" s="498">
        <f t="shared" si="393"/>
        <v>0</v>
      </c>
      <c r="AV1151" s="498">
        <f t="shared" si="394"/>
        <v>0</v>
      </c>
      <c r="AW1151" s="498">
        <f t="shared" si="395"/>
        <v>0</v>
      </c>
      <c r="AX1151" s="498">
        <f t="shared" si="396"/>
        <v>0</v>
      </c>
      <c r="AY1151" s="498">
        <f t="shared" si="397"/>
        <v>0</v>
      </c>
      <c r="BB1151" s="498" t="str">
        <f t="shared" si="398"/>
        <v/>
      </c>
      <c r="BC1151" s="743" t="str">
        <f t="shared" si="399"/>
        <v/>
      </c>
      <c r="BD1151" s="743" t="str">
        <f t="shared" si="400"/>
        <v/>
      </c>
      <c r="BE1151" s="743" t="str">
        <f>IF(D1151="","",VLOOKUP(D1151,'General Basis'!$J$39:$K$46,2,0))</f>
        <v/>
      </c>
      <c r="BF1151" s="744" t="str">
        <f>IF(D1151="","",VLOOKUP(D1151,'General Basis'!$J$39:$L$46,3,0))</f>
        <v/>
      </c>
      <c r="BG1151" s="744" t="str">
        <f t="shared" si="407"/>
        <v/>
      </c>
      <c r="BH1151" s="744" t="str">
        <f>IF(G1151="","",IF(BF1151="Abu Dhabi",IF(G1151&lt;18,'General Basis'!$C$39,IF(G1151&lt;41,'General Basis'!$C$40,IF(G1151&lt;60,'General Basis'!$C$41,IF(G1151&lt;65,'General Basis'!$C$42,'General Basis'!$C$43)))),IF(G1151&lt;11,'General Basis'!$B$39,IF(G1151&lt;18,'General Basis'!$B$40,IF(G1151&lt;26,'General Basis'!$B$41,IF(G1151&lt;31,'General Basis'!$B$42,IF(G1151&lt;36,'General Basis'!$B$43,IF(G1151&lt;41,'General Basis'!$B$44,IF(G1151&lt;46,'General Basis'!$B$45,IF(G1151&lt;51,'General Basis'!$B$46,IF(G1151&lt;56,'General Basis'!$B$47,IF(G1151&lt;60,'General Basis'!$B$48,IF(G1151&lt;65,'General Basis'!$B$49,'General Basis'!$B$50)))))))))))))</f>
        <v/>
      </c>
      <c r="BI1151" s="744" t="str">
        <f t="shared" si="401"/>
        <v/>
      </c>
      <c r="BJ1151" s="747" t="str">
        <f t="shared" si="408"/>
        <v/>
      </c>
      <c r="BK1151" s="498" t="str">
        <f t="shared" si="402"/>
        <v/>
      </c>
      <c r="BL1151" s="498" t="str">
        <f t="shared" si="403"/>
        <v/>
      </c>
    </row>
    <row r="1152" spans="1:64" x14ac:dyDescent="0.25">
      <c r="A1152" s="762">
        <f t="shared" si="404"/>
        <v>1147</v>
      </c>
      <c r="B1152" s="229"/>
      <c r="C1152" s="223"/>
      <c r="D1152" s="224"/>
      <c r="E1152" s="225"/>
      <c r="F1152" s="1036" t="str">
        <f t="shared" si="410"/>
        <v/>
      </c>
      <c r="G1152" s="1037" t="str">
        <f t="shared" si="405"/>
        <v/>
      </c>
      <c r="H1152" s="225"/>
      <c r="I1152" s="1013"/>
      <c r="J1152" s="1013"/>
      <c r="K1152" s="1028"/>
      <c r="L1152" s="1035" t="str">
        <f t="shared" si="409"/>
        <v/>
      </c>
      <c r="S1152" s="498"/>
      <c r="AJ1152" s="498"/>
      <c r="AM1152" s="498">
        <f t="shared" si="390"/>
        <v>0</v>
      </c>
      <c r="AN1152" s="498">
        <f t="shared" si="391"/>
        <v>0</v>
      </c>
      <c r="AO1152" s="498">
        <f t="shared" si="392"/>
        <v>0</v>
      </c>
      <c r="AP1152" s="498">
        <f t="shared" si="411"/>
        <v>0</v>
      </c>
      <c r="AQ1152" s="498">
        <f t="shared" si="406"/>
        <v>0</v>
      </c>
      <c r="AU1152" s="498">
        <f t="shared" si="393"/>
        <v>0</v>
      </c>
      <c r="AV1152" s="498">
        <f t="shared" si="394"/>
        <v>0</v>
      </c>
      <c r="AW1152" s="498">
        <f t="shared" si="395"/>
        <v>0</v>
      </c>
      <c r="AX1152" s="498">
        <f t="shared" si="396"/>
        <v>0</v>
      </c>
      <c r="AY1152" s="498">
        <f t="shared" si="397"/>
        <v>0</v>
      </c>
      <c r="BB1152" s="498" t="str">
        <f t="shared" si="398"/>
        <v/>
      </c>
      <c r="BC1152" s="743" t="str">
        <f t="shared" si="399"/>
        <v/>
      </c>
      <c r="BD1152" s="743" t="str">
        <f t="shared" si="400"/>
        <v/>
      </c>
      <c r="BE1152" s="743" t="str">
        <f>IF(D1152="","",VLOOKUP(D1152,'General Basis'!$J$39:$K$46,2,0))</f>
        <v/>
      </c>
      <c r="BF1152" s="744" t="str">
        <f>IF(D1152="","",VLOOKUP(D1152,'General Basis'!$J$39:$L$46,3,0))</f>
        <v/>
      </c>
      <c r="BG1152" s="744" t="str">
        <f t="shared" si="407"/>
        <v/>
      </c>
      <c r="BH1152" s="744" t="str">
        <f>IF(G1152="","",IF(BF1152="Abu Dhabi",IF(G1152&lt;18,'General Basis'!$C$39,IF(G1152&lt;41,'General Basis'!$C$40,IF(G1152&lt;60,'General Basis'!$C$41,IF(G1152&lt;65,'General Basis'!$C$42,'General Basis'!$C$43)))),IF(G1152&lt;11,'General Basis'!$B$39,IF(G1152&lt;18,'General Basis'!$B$40,IF(G1152&lt;26,'General Basis'!$B$41,IF(G1152&lt;31,'General Basis'!$B$42,IF(G1152&lt;36,'General Basis'!$B$43,IF(G1152&lt;41,'General Basis'!$B$44,IF(G1152&lt;46,'General Basis'!$B$45,IF(G1152&lt;51,'General Basis'!$B$46,IF(G1152&lt;56,'General Basis'!$B$47,IF(G1152&lt;60,'General Basis'!$B$48,IF(G1152&lt;65,'General Basis'!$B$49,'General Basis'!$B$50)))))))))))))</f>
        <v/>
      </c>
      <c r="BI1152" s="744" t="str">
        <f t="shared" si="401"/>
        <v/>
      </c>
      <c r="BJ1152" s="747" t="str">
        <f t="shared" si="408"/>
        <v/>
      </c>
      <c r="BK1152" s="498" t="str">
        <f t="shared" si="402"/>
        <v/>
      </c>
      <c r="BL1152" s="498" t="str">
        <f t="shared" si="403"/>
        <v/>
      </c>
    </row>
    <row r="1153" spans="1:64" x14ac:dyDescent="0.25">
      <c r="A1153" s="762">
        <f t="shared" si="404"/>
        <v>1148</v>
      </c>
      <c r="B1153" s="229"/>
      <c r="C1153" s="223"/>
      <c r="D1153" s="224"/>
      <c r="E1153" s="225"/>
      <c r="F1153" s="1036" t="str">
        <f t="shared" si="410"/>
        <v/>
      </c>
      <c r="G1153" s="1037" t="str">
        <f t="shared" si="405"/>
        <v/>
      </c>
      <c r="H1153" s="225"/>
      <c r="I1153" s="1013"/>
      <c r="J1153" s="1013"/>
      <c r="K1153" s="1028"/>
      <c r="L1153" s="1035" t="str">
        <f t="shared" si="409"/>
        <v/>
      </c>
      <c r="S1153" s="498"/>
      <c r="AJ1153" s="498"/>
      <c r="AM1153" s="498">
        <f t="shared" si="390"/>
        <v>0</v>
      </c>
      <c r="AN1153" s="498">
        <f t="shared" si="391"/>
        <v>0</v>
      </c>
      <c r="AO1153" s="498">
        <f t="shared" si="392"/>
        <v>0</v>
      </c>
      <c r="AP1153" s="498">
        <f t="shared" si="411"/>
        <v>0</v>
      </c>
      <c r="AQ1153" s="498">
        <f t="shared" si="406"/>
        <v>0</v>
      </c>
      <c r="AU1153" s="498">
        <f t="shared" si="393"/>
        <v>0</v>
      </c>
      <c r="AV1153" s="498">
        <f t="shared" si="394"/>
        <v>0</v>
      </c>
      <c r="AW1153" s="498">
        <f t="shared" si="395"/>
        <v>0</v>
      </c>
      <c r="AX1153" s="498">
        <f t="shared" si="396"/>
        <v>0</v>
      </c>
      <c r="AY1153" s="498">
        <f t="shared" si="397"/>
        <v>0</v>
      </c>
      <c r="BB1153" s="498" t="str">
        <f t="shared" si="398"/>
        <v/>
      </c>
      <c r="BC1153" s="743" t="str">
        <f t="shared" si="399"/>
        <v/>
      </c>
      <c r="BD1153" s="743" t="str">
        <f t="shared" si="400"/>
        <v/>
      </c>
      <c r="BE1153" s="743" t="str">
        <f>IF(D1153="","",VLOOKUP(D1153,'General Basis'!$J$39:$K$46,2,0))</f>
        <v/>
      </c>
      <c r="BF1153" s="744" t="str">
        <f>IF(D1153="","",VLOOKUP(D1153,'General Basis'!$J$39:$L$46,3,0))</f>
        <v/>
      </c>
      <c r="BG1153" s="744" t="str">
        <f t="shared" si="407"/>
        <v/>
      </c>
      <c r="BH1153" s="744" t="str">
        <f>IF(G1153="","",IF(BF1153="Abu Dhabi",IF(G1153&lt;18,'General Basis'!$C$39,IF(G1153&lt;41,'General Basis'!$C$40,IF(G1153&lt;60,'General Basis'!$C$41,IF(G1153&lt;65,'General Basis'!$C$42,'General Basis'!$C$43)))),IF(G1153&lt;11,'General Basis'!$B$39,IF(G1153&lt;18,'General Basis'!$B$40,IF(G1153&lt;26,'General Basis'!$B$41,IF(G1153&lt;31,'General Basis'!$B$42,IF(G1153&lt;36,'General Basis'!$B$43,IF(G1153&lt;41,'General Basis'!$B$44,IF(G1153&lt;46,'General Basis'!$B$45,IF(G1153&lt;51,'General Basis'!$B$46,IF(G1153&lt;56,'General Basis'!$B$47,IF(G1153&lt;60,'General Basis'!$B$48,IF(G1153&lt;65,'General Basis'!$B$49,'General Basis'!$B$50)))))))))))))</f>
        <v/>
      </c>
      <c r="BI1153" s="744" t="str">
        <f t="shared" si="401"/>
        <v/>
      </c>
      <c r="BJ1153" s="747" t="str">
        <f t="shared" si="408"/>
        <v/>
      </c>
      <c r="BK1153" s="498" t="str">
        <f t="shared" si="402"/>
        <v/>
      </c>
      <c r="BL1153" s="498" t="str">
        <f t="shared" si="403"/>
        <v/>
      </c>
    </row>
    <row r="1154" spans="1:64" x14ac:dyDescent="0.25">
      <c r="A1154" s="762">
        <f t="shared" si="404"/>
        <v>1149</v>
      </c>
      <c r="B1154" s="229"/>
      <c r="C1154" s="223"/>
      <c r="D1154" s="224"/>
      <c r="E1154" s="225"/>
      <c r="F1154" s="1036" t="str">
        <f t="shared" si="410"/>
        <v/>
      </c>
      <c r="G1154" s="1037" t="str">
        <f t="shared" si="405"/>
        <v/>
      </c>
      <c r="H1154" s="225"/>
      <c r="I1154" s="1013"/>
      <c r="J1154" s="1013"/>
      <c r="K1154" s="1028"/>
      <c r="L1154" s="1035" t="str">
        <f t="shared" si="409"/>
        <v/>
      </c>
      <c r="S1154" s="498"/>
      <c r="AJ1154" s="498"/>
      <c r="AM1154" s="498">
        <f t="shared" si="390"/>
        <v>0</v>
      </c>
      <c r="AN1154" s="498">
        <f t="shared" si="391"/>
        <v>0</v>
      </c>
      <c r="AO1154" s="498">
        <f t="shared" si="392"/>
        <v>0</v>
      </c>
      <c r="AP1154" s="498">
        <f t="shared" si="411"/>
        <v>0</v>
      </c>
      <c r="AQ1154" s="498">
        <f t="shared" si="406"/>
        <v>0</v>
      </c>
      <c r="AU1154" s="498">
        <f t="shared" si="393"/>
        <v>0</v>
      </c>
      <c r="AV1154" s="498">
        <f t="shared" si="394"/>
        <v>0</v>
      </c>
      <c r="AW1154" s="498">
        <f t="shared" si="395"/>
        <v>0</v>
      </c>
      <c r="AX1154" s="498">
        <f t="shared" si="396"/>
        <v>0</v>
      </c>
      <c r="AY1154" s="498">
        <f t="shared" si="397"/>
        <v>0</v>
      </c>
      <c r="BB1154" s="498" t="str">
        <f t="shared" si="398"/>
        <v/>
      </c>
      <c r="BC1154" s="743" t="str">
        <f t="shared" si="399"/>
        <v/>
      </c>
      <c r="BD1154" s="743" t="str">
        <f t="shared" si="400"/>
        <v/>
      </c>
      <c r="BE1154" s="743" t="str">
        <f>IF(D1154="","",VLOOKUP(D1154,'General Basis'!$J$39:$K$46,2,0))</f>
        <v/>
      </c>
      <c r="BF1154" s="744" t="str">
        <f>IF(D1154="","",VLOOKUP(D1154,'General Basis'!$J$39:$L$46,3,0))</f>
        <v/>
      </c>
      <c r="BG1154" s="744" t="str">
        <f t="shared" si="407"/>
        <v/>
      </c>
      <c r="BH1154" s="744" t="str">
        <f>IF(G1154="","",IF(BF1154="Abu Dhabi",IF(G1154&lt;18,'General Basis'!$C$39,IF(G1154&lt;41,'General Basis'!$C$40,IF(G1154&lt;60,'General Basis'!$C$41,IF(G1154&lt;65,'General Basis'!$C$42,'General Basis'!$C$43)))),IF(G1154&lt;11,'General Basis'!$B$39,IF(G1154&lt;18,'General Basis'!$B$40,IF(G1154&lt;26,'General Basis'!$B$41,IF(G1154&lt;31,'General Basis'!$B$42,IF(G1154&lt;36,'General Basis'!$B$43,IF(G1154&lt;41,'General Basis'!$B$44,IF(G1154&lt;46,'General Basis'!$B$45,IF(G1154&lt;51,'General Basis'!$B$46,IF(G1154&lt;56,'General Basis'!$B$47,IF(G1154&lt;60,'General Basis'!$B$48,IF(G1154&lt;65,'General Basis'!$B$49,'General Basis'!$B$50)))))))))))))</f>
        <v/>
      </c>
      <c r="BI1154" s="744" t="str">
        <f t="shared" si="401"/>
        <v/>
      </c>
      <c r="BJ1154" s="747" t="str">
        <f t="shared" si="408"/>
        <v/>
      </c>
      <c r="BK1154" s="498" t="str">
        <f t="shared" si="402"/>
        <v/>
      </c>
      <c r="BL1154" s="498" t="str">
        <f t="shared" si="403"/>
        <v/>
      </c>
    </row>
    <row r="1155" spans="1:64" x14ac:dyDescent="0.25">
      <c r="A1155" s="762">
        <f t="shared" si="404"/>
        <v>1150</v>
      </c>
      <c r="B1155" s="229"/>
      <c r="C1155" s="223"/>
      <c r="D1155" s="224"/>
      <c r="E1155" s="225"/>
      <c r="F1155" s="1036" t="str">
        <f t="shared" si="410"/>
        <v/>
      </c>
      <c r="G1155" s="1037" t="str">
        <f t="shared" si="405"/>
        <v/>
      </c>
      <c r="H1155" s="225"/>
      <c r="I1155" s="1013"/>
      <c r="J1155" s="1013"/>
      <c r="K1155" s="1028"/>
      <c r="L1155" s="1035" t="str">
        <f t="shared" si="409"/>
        <v/>
      </c>
      <c r="S1155" s="498"/>
      <c r="AJ1155" s="498"/>
      <c r="AM1155" s="498">
        <f t="shared" si="390"/>
        <v>0</v>
      </c>
      <c r="AN1155" s="498">
        <f t="shared" si="391"/>
        <v>0</v>
      </c>
      <c r="AO1155" s="498">
        <f t="shared" si="392"/>
        <v>0</v>
      </c>
      <c r="AP1155" s="498">
        <f t="shared" si="411"/>
        <v>0</v>
      </c>
      <c r="AQ1155" s="498">
        <f t="shared" si="406"/>
        <v>0</v>
      </c>
      <c r="AU1155" s="498">
        <f t="shared" si="393"/>
        <v>0</v>
      </c>
      <c r="AV1155" s="498">
        <f t="shared" si="394"/>
        <v>0</v>
      </c>
      <c r="AW1155" s="498">
        <f t="shared" si="395"/>
        <v>0</v>
      </c>
      <c r="AX1155" s="498">
        <f t="shared" si="396"/>
        <v>0</v>
      </c>
      <c r="AY1155" s="498">
        <f t="shared" si="397"/>
        <v>0</v>
      </c>
      <c r="BB1155" s="498" t="str">
        <f t="shared" si="398"/>
        <v/>
      </c>
      <c r="BC1155" s="743" t="str">
        <f t="shared" si="399"/>
        <v/>
      </c>
      <c r="BD1155" s="743" t="str">
        <f t="shared" si="400"/>
        <v/>
      </c>
      <c r="BE1155" s="743" t="str">
        <f>IF(D1155="","",VLOOKUP(D1155,'General Basis'!$J$39:$K$46,2,0))</f>
        <v/>
      </c>
      <c r="BF1155" s="744" t="str">
        <f>IF(D1155="","",VLOOKUP(D1155,'General Basis'!$J$39:$L$46,3,0))</f>
        <v/>
      </c>
      <c r="BG1155" s="744" t="str">
        <f t="shared" si="407"/>
        <v/>
      </c>
      <c r="BH1155" s="744" t="str">
        <f>IF(G1155="","",IF(BF1155="Abu Dhabi",IF(G1155&lt;18,'General Basis'!$C$39,IF(G1155&lt;41,'General Basis'!$C$40,IF(G1155&lt;60,'General Basis'!$C$41,IF(G1155&lt;65,'General Basis'!$C$42,'General Basis'!$C$43)))),IF(G1155&lt;11,'General Basis'!$B$39,IF(G1155&lt;18,'General Basis'!$B$40,IF(G1155&lt;26,'General Basis'!$B$41,IF(G1155&lt;31,'General Basis'!$B$42,IF(G1155&lt;36,'General Basis'!$B$43,IF(G1155&lt;41,'General Basis'!$B$44,IF(G1155&lt;46,'General Basis'!$B$45,IF(G1155&lt;51,'General Basis'!$B$46,IF(G1155&lt;56,'General Basis'!$B$47,IF(G1155&lt;60,'General Basis'!$B$48,IF(G1155&lt;65,'General Basis'!$B$49,'General Basis'!$B$50)))))))))))))</f>
        <v/>
      </c>
      <c r="BI1155" s="744" t="str">
        <f t="shared" si="401"/>
        <v/>
      </c>
      <c r="BJ1155" s="747" t="str">
        <f t="shared" si="408"/>
        <v/>
      </c>
      <c r="BK1155" s="498" t="str">
        <f t="shared" si="402"/>
        <v/>
      </c>
      <c r="BL1155" s="498" t="str">
        <f t="shared" si="403"/>
        <v/>
      </c>
    </row>
    <row r="1156" spans="1:64" x14ac:dyDescent="0.25">
      <c r="A1156" s="762">
        <f t="shared" si="404"/>
        <v>1151</v>
      </c>
      <c r="B1156" s="229"/>
      <c r="C1156" s="223"/>
      <c r="D1156" s="224"/>
      <c r="E1156" s="225"/>
      <c r="F1156" s="1036" t="str">
        <f t="shared" si="410"/>
        <v/>
      </c>
      <c r="G1156" s="1037" t="str">
        <f t="shared" si="405"/>
        <v/>
      </c>
      <c r="H1156" s="225"/>
      <c r="I1156" s="1013"/>
      <c r="J1156" s="1013"/>
      <c r="K1156" s="1028"/>
      <c r="L1156" s="1035" t="str">
        <f t="shared" si="409"/>
        <v/>
      </c>
      <c r="S1156" s="498"/>
      <c r="AJ1156" s="498"/>
      <c r="AM1156" s="498">
        <f t="shared" si="390"/>
        <v>0</v>
      </c>
      <c r="AN1156" s="498">
        <f t="shared" si="391"/>
        <v>0</v>
      </c>
      <c r="AO1156" s="498">
        <f t="shared" si="392"/>
        <v>0</v>
      </c>
      <c r="AP1156" s="498">
        <f t="shared" si="411"/>
        <v>0</v>
      </c>
      <c r="AQ1156" s="498">
        <f t="shared" si="406"/>
        <v>0</v>
      </c>
      <c r="AU1156" s="498">
        <f t="shared" si="393"/>
        <v>0</v>
      </c>
      <c r="AV1156" s="498">
        <f t="shared" si="394"/>
        <v>0</v>
      </c>
      <c r="AW1156" s="498">
        <f t="shared" si="395"/>
        <v>0</v>
      </c>
      <c r="AX1156" s="498">
        <f t="shared" si="396"/>
        <v>0</v>
      </c>
      <c r="AY1156" s="498">
        <f t="shared" si="397"/>
        <v>0</v>
      </c>
      <c r="BB1156" s="498" t="str">
        <f t="shared" si="398"/>
        <v/>
      </c>
      <c r="BC1156" s="743" t="str">
        <f t="shared" si="399"/>
        <v/>
      </c>
      <c r="BD1156" s="743" t="str">
        <f t="shared" si="400"/>
        <v/>
      </c>
      <c r="BE1156" s="743" t="str">
        <f>IF(D1156="","",VLOOKUP(D1156,'General Basis'!$J$39:$K$46,2,0))</f>
        <v/>
      </c>
      <c r="BF1156" s="744" t="str">
        <f>IF(D1156="","",VLOOKUP(D1156,'General Basis'!$J$39:$L$46,3,0))</f>
        <v/>
      </c>
      <c r="BG1156" s="744" t="str">
        <f t="shared" si="407"/>
        <v/>
      </c>
      <c r="BH1156" s="744" t="str">
        <f>IF(G1156="","",IF(BF1156="Abu Dhabi",IF(G1156&lt;18,'General Basis'!$C$39,IF(G1156&lt;41,'General Basis'!$C$40,IF(G1156&lt;60,'General Basis'!$C$41,IF(G1156&lt;65,'General Basis'!$C$42,'General Basis'!$C$43)))),IF(G1156&lt;11,'General Basis'!$B$39,IF(G1156&lt;18,'General Basis'!$B$40,IF(G1156&lt;26,'General Basis'!$B$41,IF(G1156&lt;31,'General Basis'!$B$42,IF(G1156&lt;36,'General Basis'!$B$43,IF(G1156&lt;41,'General Basis'!$B$44,IF(G1156&lt;46,'General Basis'!$B$45,IF(G1156&lt;51,'General Basis'!$B$46,IF(G1156&lt;56,'General Basis'!$B$47,IF(G1156&lt;60,'General Basis'!$B$48,IF(G1156&lt;65,'General Basis'!$B$49,'General Basis'!$B$50)))))))))))))</f>
        <v/>
      </c>
      <c r="BI1156" s="744" t="str">
        <f t="shared" si="401"/>
        <v/>
      </c>
      <c r="BJ1156" s="747" t="str">
        <f t="shared" si="408"/>
        <v/>
      </c>
      <c r="BK1156" s="498" t="str">
        <f t="shared" si="402"/>
        <v/>
      </c>
      <c r="BL1156" s="498" t="str">
        <f t="shared" si="403"/>
        <v/>
      </c>
    </row>
    <row r="1157" spans="1:64" x14ac:dyDescent="0.25">
      <c r="A1157" s="762">
        <f t="shared" si="404"/>
        <v>1152</v>
      </c>
      <c r="B1157" s="229"/>
      <c r="C1157" s="223"/>
      <c r="D1157" s="224"/>
      <c r="E1157" s="225"/>
      <c r="F1157" s="1036" t="str">
        <f t="shared" si="410"/>
        <v/>
      </c>
      <c r="G1157" s="1037" t="str">
        <f t="shared" si="405"/>
        <v/>
      </c>
      <c r="H1157" s="225"/>
      <c r="I1157" s="1013"/>
      <c r="J1157" s="1013"/>
      <c r="K1157" s="1028"/>
      <c r="L1157" s="1035" t="str">
        <f t="shared" si="409"/>
        <v/>
      </c>
      <c r="S1157" s="498"/>
      <c r="AJ1157" s="498"/>
      <c r="AM1157" s="498">
        <f t="shared" si="390"/>
        <v>0</v>
      </c>
      <c r="AN1157" s="498">
        <f t="shared" si="391"/>
        <v>0</v>
      </c>
      <c r="AO1157" s="498">
        <f t="shared" si="392"/>
        <v>0</v>
      </c>
      <c r="AP1157" s="498">
        <f t="shared" si="411"/>
        <v>0</v>
      </c>
      <c r="AQ1157" s="498">
        <f t="shared" si="406"/>
        <v>0</v>
      </c>
      <c r="AU1157" s="498">
        <f t="shared" si="393"/>
        <v>0</v>
      </c>
      <c r="AV1157" s="498">
        <f t="shared" si="394"/>
        <v>0</v>
      </c>
      <c r="AW1157" s="498">
        <f t="shared" si="395"/>
        <v>0</v>
      </c>
      <c r="AX1157" s="498">
        <f t="shared" si="396"/>
        <v>0</v>
      </c>
      <c r="AY1157" s="498">
        <f t="shared" si="397"/>
        <v>0</v>
      </c>
      <c r="BB1157" s="498" t="str">
        <f t="shared" si="398"/>
        <v/>
      </c>
      <c r="BC1157" s="743" t="str">
        <f t="shared" si="399"/>
        <v/>
      </c>
      <c r="BD1157" s="743" t="str">
        <f t="shared" si="400"/>
        <v/>
      </c>
      <c r="BE1157" s="743" t="str">
        <f>IF(D1157="","",VLOOKUP(D1157,'General Basis'!$J$39:$K$46,2,0))</f>
        <v/>
      </c>
      <c r="BF1157" s="744" t="str">
        <f>IF(D1157="","",VLOOKUP(D1157,'General Basis'!$J$39:$L$46,3,0))</f>
        <v/>
      </c>
      <c r="BG1157" s="744" t="str">
        <f t="shared" si="407"/>
        <v/>
      </c>
      <c r="BH1157" s="744" t="str">
        <f>IF(G1157="","",IF(BF1157="Abu Dhabi",IF(G1157&lt;18,'General Basis'!$C$39,IF(G1157&lt;41,'General Basis'!$C$40,IF(G1157&lt;60,'General Basis'!$C$41,IF(G1157&lt;65,'General Basis'!$C$42,'General Basis'!$C$43)))),IF(G1157&lt;11,'General Basis'!$B$39,IF(G1157&lt;18,'General Basis'!$B$40,IF(G1157&lt;26,'General Basis'!$B$41,IF(G1157&lt;31,'General Basis'!$B$42,IF(G1157&lt;36,'General Basis'!$B$43,IF(G1157&lt;41,'General Basis'!$B$44,IF(G1157&lt;46,'General Basis'!$B$45,IF(G1157&lt;51,'General Basis'!$B$46,IF(G1157&lt;56,'General Basis'!$B$47,IF(G1157&lt;60,'General Basis'!$B$48,IF(G1157&lt;65,'General Basis'!$B$49,'General Basis'!$B$50)))))))))))))</f>
        <v/>
      </c>
      <c r="BI1157" s="744" t="str">
        <f t="shared" si="401"/>
        <v/>
      </c>
      <c r="BJ1157" s="747" t="str">
        <f t="shared" si="408"/>
        <v/>
      </c>
      <c r="BK1157" s="498" t="str">
        <f t="shared" si="402"/>
        <v/>
      </c>
      <c r="BL1157" s="498" t="str">
        <f t="shared" si="403"/>
        <v/>
      </c>
    </row>
    <row r="1158" spans="1:64" x14ac:dyDescent="0.25">
      <c r="A1158" s="762">
        <f t="shared" si="404"/>
        <v>1153</v>
      </c>
      <c r="B1158" s="229"/>
      <c r="C1158" s="223"/>
      <c r="D1158" s="224"/>
      <c r="E1158" s="225"/>
      <c r="F1158" s="1036" t="str">
        <f t="shared" si="410"/>
        <v/>
      </c>
      <c r="G1158" s="1037" t="str">
        <f t="shared" si="405"/>
        <v/>
      </c>
      <c r="H1158" s="225"/>
      <c r="I1158" s="1013"/>
      <c r="J1158" s="1013"/>
      <c r="K1158" s="1028"/>
      <c r="L1158" s="1035" t="str">
        <f t="shared" si="409"/>
        <v/>
      </c>
      <c r="S1158" s="498"/>
      <c r="AJ1158" s="498"/>
      <c r="AM1158" s="498">
        <f t="shared" ref="AM1158:AM1221" si="412">IF(ISTEXT(B1158),1,0)</f>
        <v>0</v>
      </c>
      <c r="AN1158" s="498">
        <f t="shared" ref="AN1158:AN1221" si="413">IF(ISBLANK(B1158),0,IF(B1158&lt;$AK$6,1,0))</f>
        <v>0</v>
      </c>
      <c r="AO1158" s="498">
        <f t="shared" ref="AO1158:AO1221" si="414">IF(ISBLANK(B1158),0,IF(B1158&gt;$AK$7,1,0))</f>
        <v>0</v>
      </c>
      <c r="AP1158" s="498">
        <f t="shared" si="411"/>
        <v>0</v>
      </c>
      <c r="AQ1158" s="498">
        <f t="shared" si="406"/>
        <v>0</v>
      </c>
      <c r="AU1158" s="498">
        <f t="shared" ref="AU1158:AU1221" si="415">IF(ISBLANK(B1158),0,1)</f>
        <v>0</v>
      </c>
      <c r="AV1158" s="498">
        <f t="shared" ref="AV1158:AV1221" si="416">IF(ISBLANK(C1158),0,1)</f>
        <v>0</v>
      </c>
      <c r="AW1158" s="498">
        <f t="shared" ref="AW1158:AW1221" si="417">IF(ISBLANK(D1158),0,1)</f>
        <v>0</v>
      </c>
      <c r="AX1158" s="498">
        <f t="shared" ref="AX1158:AX1221" si="418">IF(ISBLANK(E1158),0,1)</f>
        <v>0</v>
      </c>
      <c r="AY1158" s="498">
        <f t="shared" ref="AY1158:AY1221" si="419">IF(ISBLANK(H1158),0,1)</f>
        <v>0</v>
      </c>
      <c r="BB1158" s="498" t="str">
        <f t="shared" ref="BB1158:BB1221" si="420">IF(E1158="Principal","Principal",IF(E1158="","","Other"))</f>
        <v/>
      </c>
      <c r="BC1158" s="743" t="str">
        <f t="shared" ref="BC1158:BC1221" si="421">IF(D1158="","",D1158)</f>
        <v/>
      </c>
      <c r="BD1158" s="743" t="str">
        <f t="shared" ref="BD1158:BD1221" si="422">IF(E1158="Principal","Employee",IF(E1158="","","Dependent"))</f>
        <v/>
      </c>
      <c r="BE1158" s="743" t="str">
        <f>IF(D1158="","",VLOOKUP(D1158,'General Basis'!$J$39:$K$46,2,0))</f>
        <v/>
      </c>
      <c r="BF1158" s="744" t="str">
        <f>IF(D1158="","",VLOOKUP(D1158,'General Basis'!$J$39:$L$46,3,0))</f>
        <v/>
      </c>
      <c r="BG1158" s="744" t="str">
        <f t="shared" si="407"/>
        <v/>
      </c>
      <c r="BH1158" s="744" t="str">
        <f>IF(G1158="","",IF(BF1158="Abu Dhabi",IF(G1158&lt;18,'General Basis'!$C$39,IF(G1158&lt;41,'General Basis'!$C$40,IF(G1158&lt;60,'General Basis'!$C$41,IF(G1158&lt;65,'General Basis'!$C$42,'General Basis'!$C$43)))),IF(G1158&lt;11,'General Basis'!$B$39,IF(G1158&lt;18,'General Basis'!$B$40,IF(G1158&lt;26,'General Basis'!$B$41,IF(G1158&lt;31,'General Basis'!$B$42,IF(G1158&lt;36,'General Basis'!$B$43,IF(G1158&lt;41,'General Basis'!$B$44,IF(G1158&lt;46,'General Basis'!$B$45,IF(G1158&lt;51,'General Basis'!$B$46,IF(G1158&lt;56,'General Basis'!$B$47,IF(G1158&lt;60,'General Basis'!$B$48,IF(G1158&lt;65,'General Basis'!$B$49,'General Basis'!$B$50)))))))))))))</f>
        <v/>
      </c>
      <c r="BI1158" s="744" t="str">
        <f t="shared" ref="BI1158:BI1221" si="423">IF(C1158="","",IF(C1158="M","Male","Female"))</f>
        <v/>
      </c>
      <c r="BJ1158" s="747" t="str">
        <f t="shared" si="408"/>
        <v/>
      </c>
      <c r="BK1158" s="498" t="str">
        <f t="shared" ref="BK1158:BK1221" si="424">IF(BD1158="","",IF(AND(BD1158="Employee",BI1158="Male",BF1158="Abu Dhabi",BE1158=GN_Plus),VLOOKUP(BH1158,AUH_MALE_EMP,2,0),IF(AND(BD1158="Employee",BI1158="Male",BF1158="Abu Dhabi",BE1158=GN),VLOOKUP(BH1158,AUH_MALE_EMP,3,0),IF(AND(BD1158="Employee",BI1158="Male",BF1158="Abu Dhabi",BE1158=RN_Plus),VLOOKUP(BH1158,AUH_MALE_EMP,4,0),IF(AND(BD1158="Employee",BI1158="Male",BF1158="Abu Dhabi",BE1158=RN),VLOOKUP(BH1158,AUH_MALE_EMP,5,0),IF(AND(BD1158="Employee",BI1158="Male",BF1158="Abu Dhabi",BE1158=RN_2),VLOOKUP(BH1158,AUH_MALE_EMP,6,0),IF(AND(BD1158="Employee",BI1158="Male",BF1158="Abu Dhabi",BE1158=RN2_minus),VLOOKUP(BH1158,AUH_MALE_EMP,7,0),IF(AND(BD1158="Employee",BI1158="Male",BF1158="Abu Dhabi",BE1158=RN_3),VLOOKUP(BH1158,AUH_MALE_EMP,8,0),IF(AND(BD1158="Employee",BI1158="Male",BF1158="Abu Dhabi",BE1158=VN),VLOOKUP(BH1158,AUH_MALE_EMP,9,0),IF(BD1158="","",IF(AND(BD1158="Employee",BI1158="Female",BF1158="Abu Dhabi",BE1158=GN_Plus),VLOOKUP(BH1158,AUH_FEMALE_EMP,2,0),IF(AND(BD1158="Employee",BI1158="Female",BF1158="Abu Dhabi",BE1158=GN),VLOOKUP(BH1158,AUH_FEMALE_EMP,3,0),IF(AND(BD1158="Employee",BI1158="Female",BF1158="Abu Dhabi",BE1158=RN_Plus),VLOOKUP(BH1158,AUH_FEMALE_EMP,4,0),IF(AND(BD1158="Employee",BI1158="Female",BF1158="Abu Dhabi",BE1158=RN),VLOOKUP(BH1158,AUH_FEMALE_EMP,5,0),IF(AND(BD1158="Employee",BI1158="Female",BF1158="Abu Dhabi",BE1158=RN_2),VLOOKUP(BH1158,AUH_FEMALE_EMP,6,0),IF(AND(BD1158="Employee",BI1158="Female",BF1158="Abu Dhabi",BE1158=RN2_minus),VLOOKUP(BH1158,AUH_FEMALE_EMP,7,0),IF(AND(BD1158="Employee",BI1158="Female",BF1158="Abu Dhabi",BE1158=RN_3),VLOOKUP(BH1158,AUH_FEMALE_EMP,8,0),IF(AND(BD1158="Employee",BI1158="Female",BF1158="Abu Dhabi",BE1158=VN),VLOOKUP(BH1158,AUH_FEMALE_EMP,9,0),IF(BD1158="","",IF(AND(BD1158="Dependent",BI1158="Male",BF1158="Abu Dhabi",BE1158=GN_Plus),VLOOKUP(BH1158,AUH_MALE_DEP,2,0),IF(AND(BD1158="Dependent",BI1158="Male",BF1158="Abu Dhabi",BE1158=GN),VLOOKUP(BH1158,AUH_MALE_DEP,3,0),IF(AND(BD1158="Dependent",BI1158="Male",BF1158="Abu Dhabi",BE1158=RN_Plus),VLOOKUP(BH1158,AUH_MALE_DEP,4,0),IF(AND(BD1158="Dependent",BI1158="Male",BF1158="Abu Dhabi",BE1158=RN),VLOOKUP(BH1158,AUH_MALE_DEP,5,0),IF(AND(BD1158="Dependent",BI1158="Male",BF1158="Abu Dhabi",BE1158=RN_2),VLOOKUP(BH1158,AUH_MALE_DEP,6,0),IF(AND(BD1158="Dependent",BI1158="Male",BF1158="Abu Dhabi",BE1158=RN2_minus),VLOOKUP(BH1158,AUH_MALE_DEP,7,0),IF(AND(BD1158="Dependent",BI1158="Male",BF1158="Abu Dhabi",BE1158=RN_3),VLOOKUP(BH1158,AUH_MALE_DEP,8,0),IF(AND(BD1158="Dependent",BI1158="Male",BF1158="Abu Dhabi",BE1158=VN),VLOOKUP(BH1158,AUH_MALE_DEP,9,0),IF(BD1158="","",IF(AND(BD1158="Dependent",BI1158="Female",BF1158="Abu Dhabi",BE1158=GN_Plus),VLOOKUP(BH1158,AUH_FEMALE_DEP,2,0),IF(AND(BD1158="Dependent",BI1158="Female",BF1158="Abu Dhabi",BE1158=GN),VLOOKUP(BH1158,AUH_FEMALE_DEP,3,0),IF(AND(BD1158="Dependent",BI1158="Female",BF1158="Abu Dhabi",BE1158=RN_Plus),VLOOKUP(BH1158,AUH_FEMALE_DEP,4,0),IF(AND(BD1158="Dependent",BI1158="Female",BF1158="Abu Dhabi",BE1158=RN),VLOOKUP(BH1158,AUH_FEMALE_DEP,5,0),IF(AND(BD1158="Dependent",BI1158="Female",BF1158="Abu Dhabi",BE1158=RN_2),VLOOKUP(BH1158,AUH_FEMALE_DEP,6,0),IF(AND(BD1158="Dependent",BI1158="Female",BF1158="Abu Dhabi",BE1158=RN2_minus),VLOOKUP(BH1158,AUH_FEMALE_DEP,7,0),IF(AND(BD1158="Dependent",BI1158="Female",BF1158="Abu Dhabi",BE1158=RN_3),VLOOKUP(BH1158,AUH_FEMALE_DEP,8,0),IF(AND(BD1158="Dependent",BI1158="Female",BF1158="Abu Dhabi",BE1158=VN),VLOOKUP(BH1158,AUH_FEMALE_DEP,9,0),"ABC"))))))))))))))))))))))))))))))))))))</f>
        <v/>
      </c>
      <c r="BL1158" s="498" t="str">
        <f t="shared" ref="BL1158:BL1221" si="425">IF(BD1158="","",IF(AND(BD1158="Employee",BI1158="Male",BF1158="Dubai",BE1158=GN_Plus),VLOOKUP(BH1158,DXB_MALE_EMP,2,0),IF(AND(BD1158="Employee",BI1158="Male",BF1158="Dubai",BE1158=GN),VLOOKUP(BH1158,DXB_MALE_EMP,3,0),IF(AND(BD1158="Employee",BI1158="Male",BF1158="Dubai",BE1158=RN_Plus),VLOOKUP(BH1158,DXB_MALE_EMP,4,0),IF(AND(BD1158="Employee",BI1158="Male",BF1158="Dubai",BE1158=RN),VLOOKUP(BH1158,DXB_MALE_EMP,5,0),IF(AND(BD1158="Employee",BI1158="Male",BF1158="Dubai",BE1158=RN_2),VLOOKUP(BH1158,DXB_MALE_EMP,6,0),IF(AND(BD1158="Employee",BI1158="Male",BF1158="Dubai",BE1158=RN2_minus),VLOOKUP(BH1158,DXB_MALE_EMP,7,0),IF(AND(BD1158="Employee",BI1158="Male",BF1158="Dubai",BE1158=RN_3),VLOOKUP(BH1158,DXB_MALE_EMP,8,0),IF(AND(BD1158="Employee",BI1158="Male",BF1158="Dubai",BE1158=VN),VLOOKUP(BH1158,DXB_MALE_EMP,9,0),IF(BD1158="","",IF(AND(BD1158="Employee",BI1158="Female",BF1158="Dubai",BE1158=GN_Plus),VLOOKUP(BH1158,DXB_FEMALE_EMP,2,0),IF(AND(BD1158="Employee",BI1158="Female",BF1158="Dubai",BE1158=GN),VLOOKUP(BH1158,DXB_FEMALE_EMP,3,0),IF(AND(BD1158="Employee",BI1158="Female",BF1158="Dubai",BE1158=RN_Plus),VLOOKUP(BH1158,DXB_FEMALE_EMP,4,0),IF(AND(BD1158="Employee",BI1158="Female",BF1158="Dubai",BE1158=RN),VLOOKUP(BH1158,DXB_FEMALE_EMP,5,0),IF(AND(BD1158="Employee",BI1158="Female",BF1158="Dubai",BE1158=RN_2),VLOOKUP(BH1158,DXB_FEMALE_EMP,6,0),IF(AND(BD1158="Employee",BI1158="Female",BF1158="Dubai",BE1158=RN2_minus),VLOOKUP(BH1158,DXB_FEMALE_EMP,7,0),IF(AND(BD1158="Employee",BI1158="Female",BF1158="Dubai",BE1158=RN_3),VLOOKUP(BH1158,DXB_FEMALE_EMP,8,0),IF(AND(BD1158="Employee",BI1158="Female",BF1158="Dubai",BE1158=VN),VLOOKUP(BH1158,DXB_FEMALE_EMP,9,0),IF(BD1158="","",IF(AND(BD1158="Dependent",BI1158="Male",BF1158="Dubai",BE1158=GN_Plus),VLOOKUP(BH1158,DXB_MALE_DEP,2,0),IF(AND(BD1158="Dependent",BI1158="Male",BF1158="Dubai",BE1158=GN),VLOOKUP(BH1158,DXB_MALE_DEP,3,0),IF(AND(BD1158="Dependent",BI1158="Male",BF1158="Dubai",BE1158=RN_Plus),VLOOKUP(BH1158,DXB_MALE_DEP,4,0),IF(AND(BD1158="Dependent",BI1158="Male",BF1158="Dubai",BE1158=RN),VLOOKUP(BH1158,DXB_MALE_DEP,5,0),IF(AND(BD1158="Dependent",BI1158="Male",BF1158="Dubai",BE1158=RN_2),VLOOKUP(BH1158,DXB_MALE_DEP,6,0),IF(AND(BD1158="Dependent",BI1158="Male",BF1158="Dubai",BE1158=RN2_minus),VLOOKUP(BH1158,DXB_MALE_DEP,7,0),IF(AND(BD1158="Dependent",BI1158="Male",BF1158="Dubai",BE1158=RN_3),VLOOKUP(BH1158,DXB_MALE_DEP,8,0),IF(AND(BD1158="Dependent",BI1158="Male",BF1158="Dubai",BE1158=VN),VLOOKUP(BH1158,DXB_MALE_DEP,9,0),IF(BD1158="","",IF(AND(BD1158="Dependent",BI1158="Female",BF1158="Dubai",BE1158=GN_Plus),VLOOKUP(BH1158,DXB_FEMALE_DEP,2,0),IF(AND(BD1158="Dependent",BI1158="Female",BF1158="Dubai",BE1158=GN),VLOOKUP(BH1158,DXB_FEMALE_DEP,3,0),IF(AND(BD1158="Dependent",BI1158="Female",BF1158="Dubai",BE1158=RN_Plus),VLOOKUP(BH1158,DXB_FEMALE_DEP,4,0),IF(AND(BD1158="Dependent",BI1158="Female",BF1158="Dubai",BE1158=RN),VLOOKUP(BH1158,DXB_FEMALE_DEP,5,0),IF(AND(BD1158="Dependent",BI1158="Female",BF1158="Dubai",BE1158=RN_2),VLOOKUP(BH1158,DXB_FEMALE_DEP,6,0),IF(AND(BD1158="Dependent",BI1158="Female",BF1158="Dubai",BE1158=RN2_minus),VLOOKUP(BH1158,DXB_FEMALE_DEP,7,0),IF(AND(BD1158="Dependent",BI1158="Female",BF1158="Dubai",BE1158=RN_3),VLOOKUP(BH1158,DXB_FEMALE_DEP,8,0),IF(AND(BD1158="Dependent",BI1158="Female",BF1158="Dubai",BE1158=VN),VLOOKUP(BH1158,DXB_FEMALE_DEP,9,0),"ABC"))))))))))))))))))))))))))))))))))))</f>
        <v/>
      </c>
    </row>
    <row r="1159" spans="1:64" x14ac:dyDescent="0.25">
      <c r="A1159" s="762">
        <f t="shared" ref="A1159:A1222" si="426">+A1158+1</f>
        <v>1154</v>
      </c>
      <c r="B1159" s="229"/>
      <c r="C1159" s="223"/>
      <c r="D1159" s="224"/>
      <c r="E1159" s="225"/>
      <c r="F1159" s="1036" t="str">
        <f t="shared" si="410"/>
        <v/>
      </c>
      <c r="G1159" s="1037" t="str">
        <f t="shared" ref="G1159:G1222" si="427">IF(D1159="","",MAX(0,ROUNDUP(F1159,0)))</f>
        <v/>
      </c>
      <c r="H1159" s="225"/>
      <c r="I1159" s="1013"/>
      <c r="J1159" s="1013"/>
      <c r="K1159" s="1028"/>
      <c r="L1159" s="1035" t="str">
        <f t="shared" si="409"/>
        <v/>
      </c>
      <c r="S1159" s="498"/>
      <c r="AJ1159" s="498"/>
      <c r="AM1159" s="498">
        <f t="shared" si="412"/>
        <v>0</v>
      </c>
      <c r="AN1159" s="498">
        <f t="shared" si="413"/>
        <v>0</v>
      </c>
      <c r="AO1159" s="498">
        <f t="shared" si="414"/>
        <v>0</v>
      </c>
      <c r="AP1159" s="498">
        <f t="shared" si="411"/>
        <v>0</v>
      </c>
      <c r="AQ1159" s="498">
        <f t="shared" ref="AQ1159:AQ1222" si="428">IF(ISBLANK($B1159),0,IF(OR($H1159="Single",$H1159="Married"),0,1))</f>
        <v>0</v>
      </c>
      <c r="AU1159" s="498">
        <f t="shared" si="415"/>
        <v>0</v>
      </c>
      <c r="AV1159" s="498">
        <f t="shared" si="416"/>
        <v>0</v>
      </c>
      <c r="AW1159" s="498">
        <f t="shared" si="417"/>
        <v>0</v>
      </c>
      <c r="AX1159" s="498">
        <f t="shared" si="418"/>
        <v>0</v>
      </c>
      <c r="AY1159" s="498">
        <f t="shared" si="419"/>
        <v>0</v>
      </c>
      <c r="BB1159" s="498" t="str">
        <f t="shared" si="420"/>
        <v/>
      </c>
      <c r="BC1159" s="743" t="str">
        <f t="shared" si="421"/>
        <v/>
      </c>
      <c r="BD1159" s="743" t="str">
        <f t="shared" si="422"/>
        <v/>
      </c>
      <c r="BE1159" s="743" t="str">
        <f>IF(D1159="","",VLOOKUP(D1159,'General Basis'!$J$39:$K$46,2,0))</f>
        <v/>
      </c>
      <c r="BF1159" s="744" t="str">
        <f>IF(D1159="","",VLOOKUP(D1159,'General Basis'!$J$39:$L$46,3,0))</f>
        <v/>
      </c>
      <c r="BG1159" s="744" t="str">
        <f t="shared" ref="BG1159:BG1222" si="429">BC1159&amp;BI1159</f>
        <v/>
      </c>
      <c r="BH1159" s="744" t="str">
        <f>IF(G1159="","",IF(BF1159="Abu Dhabi",IF(G1159&lt;18,'General Basis'!$C$39,IF(G1159&lt;41,'General Basis'!$C$40,IF(G1159&lt;60,'General Basis'!$C$41,IF(G1159&lt;65,'General Basis'!$C$42,'General Basis'!$C$43)))),IF(G1159&lt;11,'General Basis'!$B$39,IF(G1159&lt;18,'General Basis'!$B$40,IF(G1159&lt;26,'General Basis'!$B$41,IF(G1159&lt;31,'General Basis'!$B$42,IF(G1159&lt;36,'General Basis'!$B$43,IF(G1159&lt;41,'General Basis'!$B$44,IF(G1159&lt;46,'General Basis'!$B$45,IF(G1159&lt;51,'General Basis'!$B$46,IF(G1159&lt;56,'General Basis'!$B$47,IF(G1159&lt;60,'General Basis'!$B$48,IF(G1159&lt;65,'General Basis'!$B$49,'General Basis'!$B$50)))))))))))))</f>
        <v/>
      </c>
      <c r="BI1159" s="744" t="str">
        <f t="shared" si="423"/>
        <v/>
      </c>
      <c r="BJ1159" s="747" t="str">
        <f t="shared" ref="BJ1159:BJ1222" si="430">IF(BD1159="","",IF(BF1159="Abu Dhabi",BK1159,BL1159))</f>
        <v/>
      </c>
      <c r="BK1159" s="498" t="str">
        <f t="shared" si="424"/>
        <v/>
      </c>
      <c r="BL1159" s="498" t="str">
        <f t="shared" si="425"/>
        <v/>
      </c>
    </row>
    <row r="1160" spans="1:64" x14ac:dyDescent="0.25">
      <c r="A1160" s="762">
        <f t="shared" si="426"/>
        <v>1155</v>
      </c>
      <c r="B1160" s="229"/>
      <c r="C1160" s="223"/>
      <c r="D1160" s="224"/>
      <c r="E1160" s="225"/>
      <c r="F1160" s="1036" t="str">
        <f t="shared" si="410"/>
        <v/>
      </c>
      <c r="G1160" s="1037" t="str">
        <f t="shared" si="427"/>
        <v/>
      </c>
      <c r="H1160" s="225"/>
      <c r="I1160" s="1013"/>
      <c r="J1160" s="1013"/>
      <c r="K1160" s="1028"/>
      <c r="L1160" s="1035" t="str">
        <f t="shared" ref="L1160:L1223" si="431">IF(AND(E1160="Child",H1160="Married"),"Check the Marital Status of the Child. ",IF(AND(E1160="Child",F1160&gt;18),"Child Age exceed 18 years. ",IF(AND(E1160="Spouse",H1160="Single"),"Spouse is selected as Single. ","")))&amp;IF(K1160&gt;0,"UW Loading has been Applied","")</f>
        <v/>
      </c>
      <c r="S1160" s="498"/>
      <c r="AJ1160" s="498"/>
      <c r="AM1160" s="498">
        <f t="shared" si="412"/>
        <v>0</v>
      </c>
      <c r="AN1160" s="498">
        <f t="shared" si="413"/>
        <v>0</v>
      </c>
      <c r="AO1160" s="498">
        <f t="shared" si="414"/>
        <v>0</v>
      </c>
      <c r="AP1160" s="498">
        <f t="shared" si="411"/>
        <v>0</v>
      </c>
      <c r="AQ1160" s="498">
        <f t="shared" si="428"/>
        <v>0</v>
      </c>
      <c r="AU1160" s="498">
        <f t="shared" si="415"/>
        <v>0</v>
      </c>
      <c r="AV1160" s="498">
        <f t="shared" si="416"/>
        <v>0</v>
      </c>
      <c r="AW1160" s="498">
        <f t="shared" si="417"/>
        <v>0</v>
      </c>
      <c r="AX1160" s="498">
        <f t="shared" si="418"/>
        <v>0</v>
      </c>
      <c r="AY1160" s="498">
        <f t="shared" si="419"/>
        <v>0</v>
      </c>
      <c r="BB1160" s="498" t="str">
        <f t="shared" si="420"/>
        <v/>
      </c>
      <c r="BC1160" s="743" t="str">
        <f t="shared" si="421"/>
        <v/>
      </c>
      <c r="BD1160" s="743" t="str">
        <f t="shared" si="422"/>
        <v/>
      </c>
      <c r="BE1160" s="743" t="str">
        <f>IF(D1160="","",VLOOKUP(D1160,'General Basis'!$J$39:$K$46,2,0))</f>
        <v/>
      </c>
      <c r="BF1160" s="744" t="str">
        <f>IF(D1160="","",VLOOKUP(D1160,'General Basis'!$J$39:$L$46,3,0))</f>
        <v/>
      </c>
      <c r="BG1160" s="744" t="str">
        <f t="shared" si="429"/>
        <v/>
      </c>
      <c r="BH1160" s="744" t="str">
        <f>IF(G1160="","",IF(BF1160="Abu Dhabi",IF(G1160&lt;18,'General Basis'!$C$39,IF(G1160&lt;41,'General Basis'!$C$40,IF(G1160&lt;60,'General Basis'!$C$41,IF(G1160&lt;65,'General Basis'!$C$42,'General Basis'!$C$43)))),IF(G1160&lt;11,'General Basis'!$B$39,IF(G1160&lt;18,'General Basis'!$B$40,IF(G1160&lt;26,'General Basis'!$B$41,IF(G1160&lt;31,'General Basis'!$B$42,IF(G1160&lt;36,'General Basis'!$B$43,IF(G1160&lt;41,'General Basis'!$B$44,IF(G1160&lt;46,'General Basis'!$B$45,IF(G1160&lt;51,'General Basis'!$B$46,IF(G1160&lt;56,'General Basis'!$B$47,IF(G1160&lt;60,'General Basis'!$B$48,IF(G1160&lt;65,'General Basis'!$B$49,'General Basis'!$B$50)))))))))))))</f>
        <v/>
      </c>
      <c r="BI1160" s="744" t="str">
        <f t="shared" si="423"/>
        <v/>
      </c>
      <c r="BJ1160" s="747" t="str">
        <f t="shared" si="430"/>
        <v/>
      </c>
      <c r="BK1160" s="498" t="str">
        <f t="shared" si="424"/>
        <v/>
      </c>
      <c r="BL1160" s="498" t="str">
        <f t="shared" si="425"/>
        <v/>
      </c>
    </row>
    <row r="1161" spans="1:64" x14ac:dyDescent="0.25">
      <c r="A1161" s="762">
        <f t="shared" si="426"/>
        <v>1156</v>
      </c>
      <c r="B1161" s="229"/>
      <c r="C1161" s="223"/>
      <c r="D1161" s="224"/>
      <c r="E1161" s="225"/>
      <c r="F1161" s="1036" t="str">
        <f t="shared" si="410"/>
        <v/>
      </c>
      <c r="G1161" s="1037" t="str">
        <f t="shared" si="427"/>
        <v/>
      </c>
      <c r="H1161" s="225"/>
      <c r="I1161" s="1013"/>
      <c r="J1161" s="1013"/>
      <c r="K1161" s="1028"/>
      <c r="L1161" s="1035" t="str">
        <f t="shared" si="431"/>
        <v/>
      </c>
      <c r="S1161" s="498"/>
      <c r="AJ1161" s="498"/>
      <c r="AM1161" s="498">
        <f t="shared" si="412"/>
        <v>0</v>
      </c>
      <c r="AN1161" s="498">
        <f t="shared" si="413"/>
        <v>0</v>
      </c>
      <c r="AO1161" s="498">
        <f t="shared" si="414"/>
        <v>0</v>
      </c>
      <c r="AP1161" s="498">
        <f t="shared" si="411"/>
        <v>0</v>
      </c>
      <c r="AQ1161" s="498">
        <f t="shared" si="428"/>
        <v>0</v>
      </c>
      <c r="AU1161" s="498">
        <f t="shared" si="415"/>
        <v>0</v>
      </c>
      <c r="AV1161" s="498">
        <f t="shared" si="416"/>
        <v>0</v>
      </c>
      <c r="AW1161" s="498">
        <f t="shared" si="417"/>
        <v>0</v>
      </c>
      <c r="AX1161" s="498">
        <f t="shared" si="418"/>
        <v>0</v>
      </c>
      <c r="AY1161" s="498">
        <f t="shared" si="419"/>
        <v>0</v>
      </c>
      <c r="BB1161" s="498" t="str">
        <f t="shared" si="420"/>
        <v/>
      </c>
      <c r="BC1161" s="743" t="str">
        <f t="shared" si="421"/>
        <v/>
      </c>
      <c r="BD1161" s="743" t="str">
        <f t="shared" si="422"/>
        <v/>
      </c>
      <c r="BE1161" s="743" t="str">
        <f>IF(D1161="","",VLOOKUP(D1161,'General Basis'!$J$39:$K$46,2,0))</f>
        <v/>
      </c>
      <c r="BF1161" s="744" t="str">
        <f>IF(D1161="","",VLOOKUP(D1161,'General Basis'!$J$39:$L$46,3,0))</f>
        <v/>
      </c>
      <c r="BG1161" s="744" t="str">
        <f t="shared" si="429"/>
        <v/>
      </c>
      <c r="BH1161" s="744" t="str">
        <f>IF(G1161="","",IF(BF1161="Abu Dhabi",IF(G1161&lt;18,'General Basis'!$C$39,IF(G1161&lt;41,'General Basis'!$C$40,IF(G1161&lt;60,'General Basis'!$C$41,IF(G1161&lt;65,'General Basis'!$C$42,'General Basis'!$C$43)))),IF(G1161&lt;11,'General Basis'!$B$39,IF(G1161&lt;18,'General Basis'!$B$40,IF(G1161&lt;26,'General Basis'!$B$41,IF(G1161&lt;31,'General Basis'!$B$42,IF(G1161&lt;36,'General Basis'!$B$43,IF(G1161&lt;41,'General Basis'!$B$44,IF(G1161&lt;46,'General Basis'!$B$45,IF(G1161&lt;51,'General Basis'!$B$46,IF(G1161&lt;56,'General Basis'!$B$47,IF(G1161&lt;60,'General Basis'!$B$48,IF(G1161&lt;65,'General Basis'!$B$49,'General Basis'!$B$50)))))))))))))</f>
        <v/>
      </c>
      <c r="BI1161" s="744" t="str">
        <f t="shared" si="423"/>
        <v/>
      </c>
      <c r="BJ1161" s="747" t="str">
        <f t="shared" si="430"/>
        <v/>
      </c>
      <c r="BK1161" s="498" t="str">
        <f t="shared" si="424"/>
        <v/>
      </c>
      <c r="BL1161" s="498" t="str">
        <f t="shared" si="425"/>
        <v/>
      </c>
    </row>
    <row r="1162" spans="1:64" x14ac:dyDescent="0.25">
      <c r="A1162" s="762">
        <f t="shared" si="426"/>
        <v>1157</v>
      </c>
      <c r="B1162" s="229"/>
      <c r="C1162" s="223"/>
      <c r="D1162" s="224"/>
      <c r="E1162" s="225"/>
      <c r="F1162" s="1036" t="str">
        <f t="shared" si="410"/>
        <v/>
      </c>
      <c r="G1162" s="1037" t="str">
        <f t="shared" si="427"/>
        <v/>
      </c>
      <c r="H1162" s="225"/>
      <c r="I1162" s="1013"/>
      <c r="J1162" s="1013"/>
      <c r="K1162" s="1028"/>
      <c r="L1162" s="1035" t="str">
        <f t="shared" si="431"/>
        <v/>
      </c>
      <c r="S1162" s="498"/>
      <c r="AJ1162" s="498"/>
      <c r="AM1162" s="498">
        <f t="shared" si="412"/>
        <v>0</v>
      </c>
      <c r="AN1162" s="498">
        <f t="shared" si="413"/>
        <v>0</v>
      </c>
      <c r="AO1162" s="498">
        <f t="shared" si="414"/>
        <v>0</v>
      </c>
      <c r="AP1162" s="498">
        <f t="shared" si="411"/>
        <v>0</v>
      </c>
      <c r="AQ1162" s="498">
        <f t="shared" si="428"/>
        <v>0</v>
      </c>
      <c r="AU1162" s="498">
        <f t="shared" si="415"/>
        <v>0</v>
      </c>
      <c r="AV1162" s="498">
        <f t="shared" si="416"/>
        <v>0</v>
      </c>
      <c r="AW1162" s="498">
        <f t="shared" si="417"/>
        <v>0</v>
      </c>
      <c r="AX1162" s="498">
        <f t="shared" si="418"/>
        <v>0</v>
      </c>
      <c r="AY1162" s="498">
        <f t="shared" si="419"/>
        <v>0</v>
      </c>
      <c r="BB1162" s="498" t="str">
        <f t="shared" si="420"/>
        <v/>
      </c>
      <c r="BC1162" s="743" t="str">
        <f t="shared" si="421"/>
        <v/>
      </c>
      <c r="BD1162" s="743" t="str">
        <f t="shared" si="422"/>
        <v/>
      </c>
      <c r="BE1162" s="743" t="str">
        <f>IF(D1162="","",VLOOKUP(D1162,'General Basis'!$J$39:$K$46,2,0))</f>
        <v/>
      </c>
      <c r="BF1162" s="744" t="str">
        <f>IF(D1162="","",VLOOKUP(D1162,'General Basis'!$J$39:$L$46,3,0))</f>
        <v/>
      </c>
      <c r="BG1162" s="744" t="str">
        <f t="shared" si="429"/>
        <v/>
      </c>
      <c r="BH1162" s="744" t="str">
        <f>IF(G1162="","",IF(BF1162="Abu Dhabi",IF(G1162&lt;18,'General Basis'!$C$39,IF(G1162&lt;41,'General Basis'!$C$40,IF(G1162&lt;60,'General Basis'!$C$41,IF(G1162&lt;65,'General Basis'!$C$42,'General Basis'!$C$43)))),IF(G1162&lt;11,'General Basis'!$B$39,IF(G1162&lt;18,'General Basis'!$B$40,IF(G1162&lt;26,'General Basis'!$B$41,IF(G1162&lt;31,'General Basis'!$B$42,IF(G1162&lt;36,'General Basis'!$B$43,IF(G1162&lt;41,'General Basis'!$B$44,IF(G1162&lt;46,'General Basis'!$B$45,IF(G1162&lt;51,'General Basis'!$B$46,IF(G1162&lt;56,'General Basis'!$B$47,IF(G1162&lt;60,'General Basis'!$B$48,IF(G1162&lt;65,'General Basis'!$B$49,'General Basis'!$B$50)))))))))))))</f>
        <v/>
      </c>
      <c r="BI1162" s="744" t="str">
        <f t="shared" si="423"/>
        <v/>
      </c>
      <c r="BJ1162" s="747" t="str">
        <f t="shared" si="430"/>
        <v/>
      </c>
      <c r="BK1162" s="498" t="str">
        <f t="shared" si="424"/>
        <v/>
      </c>
      <c r="BL1162" s="498" t="str">
        <f t="shared" si="425"/>
        <v/>
      </c>
    </row>
    <row r="1163" spans="1:64" x14ac:dyDescent="0.25">
      <c r="A1163" s="762">
        <f t="shared" si="426"/>
        <v>1158</v>
      </c>
      <c r="B1163" s="229"/>
      <c r="C1163" s="223"/>
      <c r="D1163" s="224"/>
      <c r="E1163" s="225"/>
      <c r="F1163" s="1036" t="str">
        <f t="shared" si="410"/>
        <v/>
      </c>
      <c r="G1163" s="1037" t="str">
        <f t="shared" si="427"/>
        <v/>
      </c>
      <c r="H1163" s="225"/>
      <c r="I1163" s="1013"/>
      <c r="J1163" s="1013"/>
      <c r="K1163" s="1028"/>
      <c r="L1163" s="1035" t="str">
        <f t="shared" si="431"/>
        <v/>
      </c>
      <c r="S1163" s="498"/>
      <c r="AJ1163" s="498"/>
      <c r="AM1163" s="498">
        <f t="shared" si="412"/>
        <v>0</v>
      </c>
      <c r="AN1163" s="498">
        <f t="shared" si="413"/>
        <v>0</v>
      </c>
      <c r="AO1163" s="498">
        <f t="shared" si="414"/>
        <v>0</v>
      </c>
      <c r="AP1163" s="498">
        <f t="shared" si="411"/>
        <v>0</v>
      </c>
      <c r="AQ1163" s="498">
        <f t="shared" si="428"/>
        <v>0</v>
      </c>
      <c r="AU1163" s="498">
        <f t="shared" si="415"/>
        <v>0</v>
      </c>
      <c r="AV1163" s="498">
        <f t="shared" si="416"/>
        <v>0</v>
      </c>
      <c r="AW1163" s="498">
        <f t="shared" si="417"/>
        <v>0</v>
      </c>
      <c r="AX1163" s="498">
        <f t="shared" si="418"/>
        <v>0</v>
      </c>
      <c r="AY1163" s="498">
        <f t="shared" si="419"/>
        <v>0</v>
      </c>
      <c r="BB1163" s="498" t="str">
        <f t="shared" si="420"/>
        <v/>
      </c>
      <c r="BC1163" s="743" t="str">
        <f t="shared" si="421"/>
        <v/>
      </c>
      <c r="BD1163" s="743" t="str">
        <f t="shared" si="422"/>
        <v/>
      </c>
      <c r="BE1163" s="743" t="str">
        <f>IF(D1163="","",VLOOKUP(D1163,'General Basis'!$J$39:$K$46,2,0))</f>
        <v/>
      </c>
      <c r="BF1163" s="744" t="str">
        <f>IF(D1163="","",VLOOKUP(D1163,'General Basis'!$J$39:$L$46,3,0))</f>
        <v/>
      </c>
      <c r="BG1163" s="744" t="str">
        <f t="shared" si="429"/>
        <v/>
      </c>
      <c r="BH1163" s="744" t="str">
        <f>IF(G1163="","",IF(BF1163="Abu Dhabi",IF(G1163&lt;18,'General Basis'!$C$39,IF(G1163&lt;41,'General Basis'!$C$40,IF(G1163&lt;60,'General Basis'!$C$41,IF(G1163&lt;65,'General Basis'!$C$42,'General Basis'!$C$43)))),IF(G1163&lt;11,'General Basis'!$B$39,IF(G1163&lt;18,'General Basis'!$B$40,IF(G1163&lt;26,'General Basis'!$B$41,IF(G1163&lt;31,'General Basis'!$B$42,IF(G1163&lt;36,'General Basis'!$B$43,IF(G1163&lt;41,'General Basis'!$B$44,IF(G1163&lt;46,'General Basis'!$B$45,IF(G1163&lt;51,'General Basis'!$B$46,IF(G1163&lt;56,'General Basis'!$B$47,IF(G1163&lt;60,'General Basis'!$B$48,IF(G1163&lt;65,'General Basis'!$B$49,'General Basis'!$B$50)))))))))))))</f>
        <v/>
      </c>
      <c r="BI1163" s="744" t="str">
        <f t="shared" si="423"/>
        <v/>
      </c>
      <c r="BJ1163" s="747" t="str">
        <f t="shared" si="430"/>
        <v/>
      </c>
      <c r="BK1163" s="498" t="str">
        <f t="shared" si="424"/>
        <v/>
      </c>
      <c r="BL1163" s="498" t="str">
        <f t="shared" si="425"/>
        <v/>
      </c>
    </row>
    <row r="1164" spans="1:64" x14ac:dyDescent="0.25">
      <c r="A1164" s="762">
        <f t="shared" si="426"/>
        <v>1159</v>
      </c>
      <c r="B1164" s="229"/>
      <c r="C1164" s="223"/>
      <c r="D1164" s="224"/>
      <c r="E1164" s="225"/>
      <c r="F1164" s="1036" t="str">
        <f t="shared" si="410"/>
        <v/>
      </c>
      <c r="G1164" s="1037" t="str">
        <f t="shared" si="427"/>
        <v/>
      </c>
      <c r="H1164" s="225"/>
      <c r="I1164" s="1013"/>
      <c r="J1164" s="1013"/>
      <c r="K1164" s="1028"/>
      <c r="L1164" s="1035" t="str">
        <f t="shared" si="431"/>
        <v/>
      </c>
      <c r="S1164" s="498"/>
      <c r="AJ1164" s="498"/>
      <c r="AM1164" s="498">
        <f t="shared" si="412"/>
        <v>0</v>
      </c>
      <c r="AN1164" s="498">
        <f t="shared" si="413"/>
        <v>0</v>
      </c>
      <c r="AO1164" s="498">
        <f t="shared" si="414"/>
        <v>0</v>
      </c>
      <c r="AP1164" s="498">
        <f t="shared" si="411"/>
        <v>0</v>
      </c>
      <c r="AQ1164" s="498">
        <f t="shared" si="428"/>
        <v>0</v>
      </c>
      <c r="AU1164" s="498">
        <f t="shared" si="415"/>
        <v>0</v>
      </c>
      <c r="AV1164" s="498">
        <f t="shared" si="416"/>
        <v>0</v>
      </c>
      <c r="AW1164" s="498">
        <f t="shared" si="417"/>
        <v>0</v>
      </c>
      <c r="AX1164" s="498">
        <f t="shared" si="418"/>
        <v>0</v>
      </c>
      <c r="AY1164" s="498">
        <f t="shared" si="419"/>
        <v>0</v>
      </c>
      <c r="BB1164" s="498" t="str">
        <f t="shared" si="420"/>
        <v/>
      </c>
      <c r="BC1164" s="743" t="str">
        <f t="shared" si="421"/>
        <v/>
      </c>
      <c r="BD1164" s="743" t="str">
        <f t="shared" si="422"/>
        <v/>
      </c>
      <c r="BE1164" s="743" t="str">
        <f>IF(D1164="","",VLOOKUP(D1164,'General Basis'!$J$39:$K$46,2,0))</f>
        <v/>
      </c>
      <c r="BF1164" s="744" t="str">
        <f>IF(D1164="","",VLOOKUP(D1164,'General Basis'!$J$39:$L$46,3,0))</f>
        <v/>
      </c>
      <c r="BG1164" s="744" t="str">
        <f t="shared" si="429"/>
        <v/>
      </c>
      <c r="BH1164" s="744" t="str">
        <f>IF(G1164="","",IF(BF1164="Abu Dhabi",IF(G1164&lt;18,'General Basis'!$C$39,IF(G1164&lt;41,'General Basis'!$C$40,IF(G1164&lt;60,'General Basis'!$C$41,IF(G1164&lt;65,'General Basis'!$C$42,'General Basis'!$C$43)))),IF(G1164&lt;11,'General Basis'!$B$39,IF(G1164&lt;18,'General Basis'!$B$40,IF(G1164&lt;26,'General Basis'!$B$41,IF(G1164&lt;31,'General Basis'!$B$42,IF(G1164&lt;36,'General Basis'!$B$43,IF(G1164&lt;41,'General Basis'!$B$44,IF(G1164&lt;46,'General Basis'!$B$45,IF(G1164&lt;51,'General Basis'!$B$46,IF(G1164&lt;56,'General Basis'!$B$47,IF(G1164&lt;60,'General Basis'!$B$48,IF(G1164&lt;65,'General Basis'!$B$49,'General Basis'!$B$50)))))))))))))</f>
        <v/>
      </c>
      <c r="BI1164" s="744" t="str">
        <f t="shared" si="423"/>
        <v/>
      </c>
      <c r="BJ1164" s="747" t="str">
        <f t="shared" si="430"/>
        <v/>
      </c>
      <c r="BK1164" s="498" t="str">
        <f t="shared" si="424"/>
        <v/>
      </c>
      <c r="BL1164" s="498" t="str">
        <f t="shared" si="425"/>
        <v/>
      </c>
    </row>
    <row r="1165" spans="1:64" x14ac:dyDescent="0.25">
      <c r="A1165" s="762">
        <f t="shared" si="426"/>
        <v>1160</v>
      </c>
      <c r="B1165" s="229"/>
      <c r="C1165" s="223"/>
      <c r="D1165" s="224"/>
      <c r="E1165" s="225"/>
      <c r="F1165" s="1036" t="str">
        <f t="shared" si="410"/>
        <v/>
      </c>
      <c r="G1165" s="1037" t="str">
        <f t="shared" si="427"/>
        <v/>
      </c>
      <c r="H1165" s="225"/>
      <c r="I1165" s="1013"/>
      <c r="J1165" s="1013"/>
      <c r="K1165" s="1028"/>
      <c r="L1165" s="1035" t="str">
        <f t="shared" si="431"/>
        <v/>
      </c>
      <c r="S1165" s="498"/>
      <c r="AJ1165" s="498"/>
      <c r="AM1165" s="498">
        <f t="shared" si="412"/>
        <v>0</v>
      </c>
      <c r="AN1165" s="498">
        <f t="shared" si="413"/>
        <v>0</v>
      </c>
      <c r="AO1165" s="498">
        <f t="shared" si="414"/>
        <v>0</v>
      </c>
      <c r="AP1165" s="498">
        <f t="shared" si="411"/>
        <v>0</v>
      </c>
      <c r="AQ1165" s="498">
        <f t="shared" si="428"/>
        <v>0</v>
      </c>
      <c r="AU1165" s="498">
        <f t="shared" si="415"/>
        <v>0</v>
      </c>
      <c r="AV1165" s="498">
        <f t="shared" si="416"/>
        <v>0</v>
      </c>
      <c r="AW1165" s="498">
        <f t="shared" si="417"/>
        <v>0</v>
      </c>
      <c r="AX1165" s="498">
        <f t="shared" si="418"/>
        <v>0</v>
      </c>
      <c r="AY1165" s="498">
        <f t="shared" si="419"/>
        <v>0</v>
      </c>
      <c r="BB1165" s="498" t="str">
        <f t="shared" si="420"/>
        <v/>
      </c>
      <c r="BC1165" s="743" t="str">
        <f t="shared" si="421"/>
        <v/>
      </c>
      <c r="BD1165" s="743" t="str">
        <f t="shared" si="422"/>
        <v/>
      </c>
      <c r="BE1165" s="743" t="str">
        <f>IF(D1165="","",VLOOKUP(D1165,'General Basis'!$J$39:$K$46,2,0))</f>
        <v/>
      </c>
      <c r="BF1165" s="744" t="str">
        <f>IF(D1165="","",VLOOKUP(D1165,'General Basis'!$J$39:$L$46,3,0))</f>
        <v/>
      </c>
      <c r="BG1165" s="744" t="str">
        <f t="shared" si="429"/>
        <v/>
      </c>
      <c r="BH1165" s="744" t="str">
        <f>IF(G1165="","",IF(BF1165="Abu Dhabi",IF(G1165&lt;18,'General Basis'!$C$39,IF(G1165&lt;41,'General Basis'!$C$40,IF(G1165&lt;60,'General Basis'!$C$41,IF(G1165&lt;65,'General Basis'!$C$42,'General Basis'!$C$43)))),IF(G1165&lt;11,'General Basis'!$B$39,IF(G1165&lt;18,'General Basis'!$B$40,IF(G1165&lt;26,'General Basis'!$B$41,IF(G1165&lt;31,'General Basis'!$B$42,IF(G1165&lt;36,'General Basis'!$B$43,IF(G1165&lt;41,'General Basis'!$B$44,IF(G1165&lt;46,'General Basis'!$B$45,IF(G1165&lt;51,'General Basis'!$B$46,IF(G1165&lt;56,'General Basis'!$B$47,IF(G1165&lt;60,'General Basis'!$B$48,IF(G1165&lt;65,'General Basis'!$B$49,'General Basis'!$B$50)))))))))))))</f>
        <v/>
      </c>
      <c r="BI1165" s="744" t="str">
        <f t="shared" si="423"/>
        <v/>
      </c>
      <c r="BJ1165" s="747" t="str">
        <f t="shared" si="430"/>
        <v/>
      </c>
      <c r="BK1165" s="498" t="str">
        <f t="shared" si="424"/>
        <v/>
      </c>
      <c r="BL1165" s="498" t="str">
        <f t="shared" si="425"/>
        <v/>
      </c>
    </row>
    <row r="1166" spans="1:64" x14ac:dyDescent="0.25">
      <c r="A1166" s="762">
        <f t="shared" si="426"/>
        <v>1161</v>
      </c>
      <c r="B1166" s="229"/>
      <c r="C1166" s="223"/>
      <c r="D1166" s="224"/>
      <c r="E1166" s="225"/>
      <c r="F1166" s="1036" t="str">
        <f t="shared" si="410"/>
        <v/>
      </c>
      <c r="G1166" s="1037" t="str">
        <f t="shared" si="427"/>
        <v/>
      </c>
      <c r="H1166" s="225"/>
      <c r="I1166" s="1013"/>
      <c r="J1166" s="1013"/>
      <c r="K1166" s="1028"/>
      <c r="L1166" s="1035" t="str">
        <f t="shared" si="431"/>
        <v/>
      </c>
      <c r="S1166" s="498"/>
      <c r="AJ1166" s="498"/>
      <c r="AM1166" s="498">
        <f t="shared" si="412"/>
        <v>0</v>
      </c>
      <c r="AN1166" s="498">
        <f t="shared" si="413"/>
        <v>0</v>
      </c>
      <c r="AO1166" s="498">
        <f t="shared" si="414"/>
        <v>0</v>
      </c>
      <c r="AP1166" s="498">
        <f t="shared" si="411"/>
        <v>0</v>
      </c>
      <c r="AQ1166" s="498">
        <f t="shared" si="428"/>
        <v>0</v>
      </c>
      <c r="AU1166" s="498">
        <f t="shared" si="415"/>
        <v>0</v>
      </c>
      <c r="AV1166" s="498">
        <f t="shared" si="416"/>
        <v>0</v>
      </c>
      <c r="AW1166" s="498">
        <f t="shared" si="417"/>
        <v>0</v>
      </c>
      <c r="AX1166" s="498">
        <f t="shared" si="418"/>
        <v>0</v>
      </c>
      <c r="AY1166" s="498">
        <f t="shared" si="419"/>
        <v>0</v>
      </c>
      <c r="BB1166" s="498" t="str">
        <f t="shared" si="420"/>
        <v/>
      </c>
      <c r="BC1166" s="743" t="str">
        <f t="shared" si="421"/>
        <v/>
      </c>
      <c r="BD1166" s="743" t="str">
        <f t="shared" si="422"/>
        <v/>
      </c>
      <c r="BE1166" s="743" t="str">
        <f>IF(D1166="","",VLOOKUP(D1166,'General Basis'!$J$39:$K$46,2,0))</f>
        <v/>
      </c>
      <c r="BF1166" s="744" t="str">
        <f>IF(D1166="","",VLOOKUP(D1166,'General Basis'!$J$39:$L$46,3,0))</f>
        <v/>
      </c>
      <c r="BG1166" s="744" t="str">
        <f t="shared" si="429"/>
        <v/>
      </c>
      <c r="BH1166" s="744" t="str">
        <f>IF(G1166="","",IF(BF1166="Abu Dhabi",IF(G1166&lt;18,'General Basis'!$C$39,IF(G1166&lt;41,'General Basis'!$C$40,IF(G1166&lt;60,'General Basis'!$C$41,IF(G1166&lt;65,'General Basis'!$C$42,'General Basis'!$C$43)))),IF(G1166&lt;11,'General Basis'!$B$39,IF(G1166&lt;18,'General Basis'!$B$40,IF(G1166&lt;26,'General Basis'!$B$41,IF(G1166&lt;31,'General Basis'!$B$42,IF(G1166&lt;36,'General Basis'!$B$43,IF(G1166&lt;41,'General Basis'!$B$44,IF(G1166&lt;46,'General Basis'!$B$45,IF(G1166&lt;51,'General Basis'!$B$46,IF(G1166&lt;56,'General Basis'!$B$47,IF(G1166&lt;60,'General Basis'!$B$48,IF(G1166&lt;65,'General Basis'!$B$49,'General Basis'!$B$50)))))))))))))</f>
        <v/>
      </c>
      <c r="BI1166" s="744" t="str">
        <f t="shared" si="423"/>
        <v/>
      </c>
      <c r="BJ1166" s="747" t="str">
        <f t="shared" si="430"/>
        <v/>
      </c>
      <c r="BK1166" s="498" t="str">
        <f t="shared" si="424"/>
        <v/>
      </c>
      <c r="BL1166" s="498" t="str">
        <f t="shared" si="425"/>
        <v/>
      </c>
    </row>
    <row r="1167" spans="1:64" x14ac:dyDescent="0.25">
      <c r="A1167" s="762">
        <f t="shared" si="426"/>
        <v>1162</v>
      </c>
      <c r="B1167" s="229"/>
      <c r="C1167" s="223"/>
      <c r="D1167" s="224"/>
      <c r="E1167" s="225"/>
      <c r="F1167" s="1036" t="str">
        <f t="shared" si="410"/>
        <v/>
      </c>
      <c r="G1167" s="1037" t="str">
        <f t="shared" si="427"/>
        <v/>
      </c>
      <c r="H1167" s="225"/>
      <c r="I1167" s="1013"/>
      <c r="J1167" s="1013"/>
      <c r="K1167" s="1028"/>
      <c r="L1167" s="1035" t="str">
        <f t="shared" si="431"/>
        <v/>
      </c>
      <c r="S1167" s="498"/>
      <c r="AJ1167" s="498"/>
      <c r="AM1167" s="498">
        <f t="shared" si="412"/>
        <v>0</v>
      </c>
      <c r="AN1167" s="498">
        <f t="shared" si="413"/>
        <v>0</v>
      </c>
      <c r="AO1167" s="498">
        <f t="shared" si="414"/>
        <v>0</v>
      </c>
      <c r="AP1167" s="498">
        <f t="shared" si="411"/>
        <v>0</v>
      </c>
      <c r="AQ1167" s="498">
        <f t="shared" si="428"/>
        <v>0</v>
      </c>
      <c r="AU1167" s="498">
        <f t="shared" si="415"/>
        <v>0</v>
      </c>
      <c r="AV1167" s="498">
        <f t="shared" si="416"/>
        <v>0</v>
      </c>
      <c r="AW1167" s="498">
        <f t="shared" si="417"/>
        <v>0</v>
      </c>
      <c r="AX1167" s="498">
        <f t="shared" si="418"/>
        <v>0</v>
      </c>
      <c r="AY1167" s="498">
        <f t="shared" si="419"/>
        <v>0</v>
      </c>
      <c r="BB1167" s="498" t="str">
        <f t="shared" si="420"/>
        <v/>
      </c>
      <c r="BC1167" s="743" t="str">
        <f t="shared" si="421"/>
        <v/>
      </c>
      <c r="BD1167" s="743" t="str">
        <f t="shared" si="422"/>
        <v/>
      </c>
      <c r="BE1167" s="743" t="str">
        <f>IF(D1167="","",VLOOKUP(D1167,'General Basis'!$J$39:$K$46,2,0))</f>
        <v/>
      </c>
      <c r="BF1167" s="744" t="str">
        <f>IF(D1167="","",VLOOKUP(D1167,'General Basis'!$J$39:$L$46,3,0))</f>
        <v/>
      </c>
      <c r="BG1167" s="744" t="str">
        <f t="shared" si="429"/>
        <v/>
      </c>
      <c r="BH1167" s="744" t="str">
        <f>IF(G1167="","",IF(BF1167="Abu Dhabi",IF(G1167&lt;18,'General Basis'!$C$39,IF(G1167&lt;41,'General Basis'!$C$40,IF(G1167&lt;60,'General Basis'!$C$41,IF(G1167&lt;65,'General Basis'!$C$42,'General Basis'!$C$43)))),IF(G1167&lt;11,'General Basis'!$B$39,IF(G1167&lt;18,'General Basis'!$B$40,IF(G1167&lt;26,'General Basis'!$B$41,IF(G1167&lt;31,'General Basis'!$B$42,IF(G1167&lt;36,'General Basis'!$B$43,IF(G1167&lt;41,'General Basis'!$B$44,IF(G1167&lt;46,'General Basis'!$B$45,IF(G1167&lt;51,'General Basis'!$B$46,IF(G1167&lt;56,'General Basis'!$B$47,IF(G1167&lt;60,'General Basis'!$B$48,IF(G1167&lt;65,'General Basis'!$B$49,'General Basis'!$B$50)))))))))))))</f>
        <v/>
      </c>
      <c r="BI1167" s="744" t="str">
        <f t="shared" si="423"/>
        <v/>
      </c>
      <c r="BJ1167" s="747" t="str">
        <f t="shared" si="430"/>
        <v/>
      </c>
      <c r="BK1167" s="498" t="str">
        <f t="shared" si="424"/>
        <v/>
      </c>
      <c r="BL1167" s="498" t="str">
        <f t="shared" si="425"/>
        <v/>
      </c>
    </row>
    <row r="1168" spans="1:64" x14ac:dyDescent="0.25">
      <c r="A1168" s="762">
        <f t="shared" si="426"/>
        <v>1163</v>
      </c>
      <c r="B1168" s="229"/>
      <c r="C1168" s="223"/>
      <c r="D1168" s="224"/>
      <c r="E1168" s="225"/>
      <c r="F1168" s="1036" t="str">
        <f t="shared" ref="F1168:F1231" si="432">IF(C1168="","",IF($B1168="","",((YEAR($F$3)-YEAR($B1168))+(MONTH($F$3)-MONTH($B1168))/12+(DAY($F$3)-DAY($B1168))/(DATE(YEAR($F$3),12,31)-DATE(YEAR($F$3),1,1)+1))))</f>
        <v/>
      </c>
      <c r="G1168" s="1037" t="str">
        <f t="shared" si="427"/>
        <v/>
      </c>
      <c r="H1168" s="225"/>
      <c r="I1168" s="1013"/>
      <c r="J1168" s="1013"/>
      <c r="K1168" s="1028"/>
      <c r="L1168" s="1035" t="str">
        <f t="shared" si="431"/>
        <v/>
      </c>
      <c r="S1168" s="498"/>
      <c r="AJ1168" s="498"/>
      <c r="AM1168" s="498">
        <f t="shared" si="412"/>
        <v>0</v>
      </c>
      <c r="AN1168" s="498">
        <f t="shared" si="413"/>
        <v>0</v>
      </c>
      <c r="AO1168" s="498">
        <f t="shared" si="414"/>
        <v>0</v>
      </c>
      <c r="AP1168" s="498">
        <f t="shared" si="411"/>
        <v>0</v>
      </c>
      <c r="AQ1168" s="498">
        <f t="shared" si="428"/>
        <v>0</v>
      </c>
      <c r="AU1168" s="498">
        <f t="shared" si="415"/>
        <v>0</v>
      </c>
      <c r="AV1168" s="498">
        <f t="shared" si="416"/>
        <v>0</v>
      </c>
      <c r="AW1168" s="498">
        <f t="shared" si="417"/>
        <v>0</v>
      </c>
      <c r="AX1168" s="498">
        <f t="shared" si="418"/>
        <v>0</v>
      </c>
      <c r="AY1168" s="498">
        <f t="shared" si="419"/>
        <v>0</v>
      </c>
      <c r="BB1168" s="498" t="str">
        <f t="shared" si="420"/>
        <v/>
      </c>
      <c r="BC1168" s="743" t="str">
        <f t="shared" si="421"/>
        <v/>
      </c>
      <c r="BD1168" s="743" t="str">
        <f t="shared" si="422"/>
        <v/>
      </c>
      <c r="BE1168" s="743" t="str">
        <f>IF(D1168="","",VLOOKUP(D1168,'General Basis'!$J$39:$K$46,2,0))</f>
        <v/>
      </c>
      <c r="BF1168" s="744" t="str">
        <f>IF(D1168="","",VLOOKUP(D1168,'General Basis'!$J$39:$L$46,3,0))</f>
        <v/>
      </c>
      <c r="BG1168" s="744" t="str">
        <f t="shared" si="429"/>
        <v/>
      </c>
      <c r="BH1168" s="744" t="str">
        <f>IF(G1168="","",IF(BF1168="Abu Dhabi",IF(G1168&lt;18,'General Basis'!$C$39,IF(G1168&lt;41,'General Basis'!$C$40,IF(G1168&lt;60,'General Basis'!$C$41,IF(G1168&lt;65,'General Basis'!$C$42,'General Basis'!$C$43)))),IF(G1168&lt;11,'General Basis'!$B$39,IF(G1168&lt;18,'General Basis'!$B$40,IF(G1168&lt;26,'General Basis'!$B$41,IF(G1168&lt;31,'General Basis'!$B$42,IF(G1168&lt;36,'General Basis'!$B$43,IF(G1168&lt;41,'General Basis'!$B$44,IF(G1168&lt;46,'General Basis'!$B$45,IF(G1168&lt;51,'General Basis'!$B$46,IF(G1168&lt;56,'General Basis'!$B$47,IF(G1168&lt;60,'General Basis'!$B$48,IF(G1168&lt;65,'General Basis'!$B$49,'General Basis'!$B$50)))))))))))))</f>
        <v/>
      </c>
      <c r="BI1168" s="744" t="str">
        <f t="shared" si="423"/>
        <v/>
      </c>
      <c r="BJ1168" s="747" t="str">
        <f t="shared" si="430"/>
        <v/>
      </c>
      <c r="BK1168" s="498" t="str">
        <f t="shared" si="424"/>
        <v/>
      </c>
      <c r="BL1168" s="498" t="str">
        <f t="shared" si="425"/>
        <v/>
      </c>
    </row>
    <row r="1169" spans="1:64" x14ac:dyDescent="0.25">
      <c r="A1169" s="762">
        <f t="shared" si="426"/>
        <v>1164</v>
      </c>
      <c r="B1169" s="229"/>
      <c r="C1169" s="223"/>
      <c r="D1169" s="224"/>
      <c r="E1169" s="225"/>
      <c r="F1169" s="1036" t="str">
        <f t="shared" si="432"/>
        <v/>
      </c>
      <c r="G1169" s="1037" t="str">
        <f t="shared" si="427"/>
        <v/>
      </c>
      <c r="H1169" s="225"/>
      <c r="I1169" s="1013"/>
      <c r="J1169" s="1013"/>
      <c r="K1169" s="1028"/>
      <c r="L1169" s="1035" t="str">
        <f t="shared" si="431"/>
        <v/>
      </c>
      <c r="S1169" s="498"/>
      <c r="AJ1169" s="498"/>
      <c r="AM1169" s="498">
        <f t="shared" si="412"/>
        <v>0</v>
      </c>
      <c r="AN1169" s="498">
        <f t="shared" si="413"/>
        <v>0</v>
      </c>
      <c r="AO1169" s="498">
        <f t="shared" si="414"/>
        <v>0</v>
      </c>
      <c r="AP1169" s="498">
        <f t="shared" si="411"/>
        <v>0</v>
      </c>
      <c r="AQ1169" s="498">
        <f t="shared" si="428"/>
        <v>0</v>
      </c>
      <c r="AU1169" s="498">
        <f t="shared" si="415"/>
        <v>0</v>
      </c>
      <c r="AV1169" s="498">
        <f t="shared" si="416"/>
        <v>0</v>
      </c>
      <c r="AW1169" s="498">
        <f t="shared" si="417"/>
        <v>0</v>
      </c>
      <c r="AX1169" s="498">
        <f t="shared" si="418"/>
        <v>0</v>
      </c>
      <c r="AY1169" s="498">
        <f t="shared" si="419"/>
        <v>0</v>
      </c>
      <c r="BB1169" s="498" t="str">
        <f t="shared" si="420"/>
        <v/>
      </c>
      <c r="BC1169" s="743" t="str">
        <f t="shared" si="421"/>
        <v/>
      </c>
      <c r="BD1169" s="743" t="str">
        <f t="shared" si="422"/>
        <v/>
      </c>
      <c r="BE1169" s="743" t="str">
        <f>IF(D1169="","",VLOOKUP(D1169,'General Basis'!$J$39:$K$46,2,0))</f>
        <v/>
      </c>
      <c r="BF1169" s="744" t="str">
        <f>IF(D1169="","",VLOOKUP(D1169,'General Basis'!$J$39:$L$46,3,0))</f>
        <v/>
      </c>
      <c r="BG1169" s="744" t="str">
        <f t="shared" si="429"/>
        <v/>
      </c>
      <c r="BH1169" s="744" t="str">
        <f>IF(G1169="","",IF(BF1169="Abu Dhabi",IF(G1169&lt;18,'General Basis'!$C$39,IF(G1169&lt;41,'General Basis'!$C$40,IF(G1169&lt;60,'General Basis'!$C$41,IF(G1169&lt;65,'General Basis'!$C$42,'General Basis'!$C$43)))),IF(G1169&lt;11,'General Basis'!$B$39,IF(G1169&lt;18,'General Basis'!$B$40,IF(G1169&lt;26,'General Basis'!$B$41,IF(G1169&lt;31,'General Basis'!$B$42,IF(G1169&lt;36,'General Basis'!$B$43,IF(G1169&lt;41,'General Basis'!$B$44,IF(G1169&lt;46,'General Basis'!$B$45,IF(G1169&lt;51,'General Basis'!$B$46,IF(G1169&lt;56,'General Basis'!$B$47,IF(G1169&lt;60,'General Basis'!$B$48,IF(G1169&lt;65,'General Basis'!$B$49,'General Basis'!$B$50)))))))))))))</f>
        <v/>
      </c>
      <c r="BI1169" s="744" t="str">
        <f t="shared" si="423"/>
        <v/>
      </c>
      <c r="BJ1169" s="747" t="str">
        <f t="shared" si="430"/>
        <v/>
      </c>
      <c r="BK1169" s="498" t="str">
        <f t="shared" si="424"/>
        <v/>
      </c>
      <c r="BL1169" s="498" t="str">
        <f t="shared" si="425"/>
        <v/>
      </c>
    </row>
    <row r="1170" spans="1:64" x14ac:dyDescent="0.25">
      <c r="A1170" s="762">
        <f t="shared" si="426"/>
        <v>1165</v>
      </c>
      <c r="B1170" s="229"/>
      <c r="C1170" s="223"/>
      <c r="D1170" s="224"/>
      <c r="E1170" s="225"/>
      <c r="F1170" s="1036" t="str">
        <f t="shared" si="432"/>
        <v/>
      </c>
      <c r="G1170" s="1037" t="str">
        <f t="shared" si="427"/>
        <v/>
      </c>
      <c r="H1170" s="225"/>
      <c r="I1170" s="1013"/>
      <c r="J1170" s="1013"/>
      <c r="K1170" s="1028"/>
      <c r="L1170" s="1035" t="str">
        <f t="shared" si="431"/>
        <v/>
      </c>
      <c r="S1170" s="498"/>
      <c r="AJ1170" s="498"/>
      <c r="AM1170" s="498">
        <f t="shared" si="412"/>
        <v>0</v>
      </c>
      <c r="AN1170" s="498">
        <f t="shared" si="413"/>
        <v>0</v>
      </c>
      <c r="AO1170" s="498">
        <f t="shared" si="414"/>
        <v>0</v>
      </c>
      <c r="AP1170" s="498">
        <f t="shared" si="411"/>
        <v>0</v>
      </c>
      <c r="AQ1170" s="498">
        <f t="shared" si="428"/>
        <v>0</v>
      </c>
      <c r="AU1170" s="498">
        <f t="shared" si="415"/>
        <v>0</v>
      </c>
      <c r="AV1170" s="498">
        <f t="shared" si="416"/>
        <v>0</v>
      </c>
      <c r="AW1170" s="498">
        <f t="shared" si="417"/>
        <v>0</v>
      </c>
      <c r="AX1170" s="498">
        <f t="shared" si="418"/>
        <v>0</v>
      </c>
      <c r="AY1170" s="498">
        <f t="shared" si="419"/>
        <v>0</v>
      </c>
      <c r="BB1170" s="498" t="str">
        <f t="shared" si="420"/>
        <v/>
      </c>
      <c r="BC1170" s="743" t="str">
        <f t="shared" si="421"/>
        <v/>
      </c>
      <c r="BD1170" s="743" t="str">
        <f t="shared" si="422"/>
        <v/>
      </c>
      <c r="BE1170" s="743" t="str">
        <f>IF(D1170="","",VLOOKUP(D1170,'General Basis'!$J$39:$K$46,2,0))</f>
        <v/>
      </c>
      <c r="BF1170" s="744" t="str">
        <f>IF(D1170="","",VLOOKUP(D1170,'General Basis'!$J$39:$L$46,3,0))</f>
        <v/>
      </c>
      <c r="BG1170" s="744" t="str">
        <f t="shared" si="429"/>
        <v/>
      </c>
      <c r="BH1170" s="744" t="str">
        <f>IF(G1170="","",IF(BF1170="Abu Dhabi",IF(G1170&lt;18,'General Basis'!$C$39,IF(G1170&lt;41,'General Basis'!$C$40,IF(G1170&lt;60,'General Basis'!$C$41,IF(G1170&lt;65,'General Basis'!$C$42,'General Basis'!$C$43)))),IF(G1170&lt;11,'General Basis'!$B$39,IF(G1170&lt;18,'General Basis'!$B$40,IF(G1170&lt;26,'General Basis'!$B$41,IF(G1170&lt;31,'General Basis'!$B$42,IF(G1170&lt;36,'General Basis'!$B$43,IF(G1170&lt;41,'General Basis'!$B$44,IF(G1170&lt;46,'General Basis'!$B$45,IF(G1170&lt;51,'General Basis'!$B$46,IF(G1170&lt;56,'General Basis'!$B$47,IF(G1170&lt;60,'General Basis'!$B$48,IF(G1170&lt;65,'General Basis'!$B$49,'General Basis'!$B$50)))))))))))))</f>
        <v/>
      </c>
      <c r="BI1170" s="744" t="str">
        <f t="shared" si="423"/>
        <v/>
      </c>
      <c r="BJ1170" s="747" t="str">
        <f t="shared" si="430"/>
        <v/>
      </c>
      <c r="BK1170" s="498" t="str">
        <f t="shared" si="424"/>
        <v/>
      </c>
      <c r="BL1170" s="498" t="str">
        <f t="shared" si="425"/>
        <v/>
      </c>
    </row>
    <row r="1171" spans="1:64" x14ac:dyDescent="0.25">
      <c r="A1171" s="762">
        <f t="shared" si="426"/>
        <v>1166</v>
      </c>
      <c r="B1171" s="229"/>
      <c r="C1171" s="223"/>
      <c r="D1171" s="224"/>
      <c r="E1171" s="225"/>
      <c r="F1171" s="1036" t="str">
        <f t="shared" si="432"/>
        <v/>
      </c>
      <c r="G1171" s="1037" t="str">
        <f t="shared" si="427"/>
        <v/>
      </c>
      <c r="H1171" s="225"/>
      <c r="I1171" s="1013"/>
      <c r="J1171" s="1013"/>
      <c r="K1171" s="1028"/>
      <c r="L1171" s="1035" t="str">
        <f t="shared" si="431"/>
        <v/>
      </c>
      <c r="S1171" s="498"/>
      <c r="AJ1171" s="498"/>
      <c r="AM1171" s="498">
        <f t="shared" si="412"/>
        <v>0</v>
      </c>
      <c r="AN1171" s="498">
        <f t="shared" si="413"/>
        <v>0</v>
      </c>
      <c r="AO1171" s="498">
        <f t="shared" si="414"/>
        <v>0</v>
      </c>
      <c r="AP1171" s="498">
        <f t="shared" ref="AP1171:AP1234" si="433">IF(ISBLANK($B1171),0,IF(OR($C1171="M",$C1171="F"),0,1))</f>
        <v>0</v>
      </c>
      <c r="AQ1171" s="498">
        <f t="shared" si="428"/>
        <v>0</v>
      </c>
      <c r="AU1171" s="498">
        <f t="shared" si="415"/>
        <v>0</v>
      </c>
      <c r="AV1171" s="498">
        <f t="shared" si="416"/>
        <v>0</v>
      </c>
      <c r="AW1171" s="498">
        <f t="shared" si="417"/>
        <v>0</v>
      </c>
      <c r="AX1171" s="498">
        <f t="shared" si="418"/>
        <v>0</v>
      </c>
      <c r="AY1171" s="498">
        <f t="shared" si="419"/>
        <v>0</v>
      </c>
      <c r="BB1171" s="498" t="str">
        <f t="shared" si="420"/>
        <v/>
      </c>
      <c r="BC1171" s="743" t="str">
        <f t="shared" si="421"/>
        <v/>
      </c>
      <c r="BD1171" s="743" t="str">
        <f t="shared" si="422"/>
        <v/>
      </c>
      <c r="BE1171" s="743" t="str">
        <f>IF(D1171="","",VLOOKUP(D1171,'General Basis'!$J$39:$K$46,2,0))</f>
        <v/>
      </c>
      <c r="BF1171" s="744" t="str">
        <f>IF(D1171="","",VLOOKUP(D1171,'General Basis'!$J$39:$L$46,3,0))</f>
        <v/>
      </c>
      <c r="BG1171" s="744" t="str">
        <f t="shared" si="429"/>
        <v/>
      </c>
      <c r="BH1171" s="744" t="str">
        <f>IF(G1171="","",IF(BF1171="Abu Dhabi",IF(G1171&lt;18,'General Basis'!$C$39,IF(G1171&lt;41,'General Basis'!$C$40,IF(G1171&lt;60,'General Basis'!$C$41,IF(G1171&lt;65,'General Basis'!$C$42,'General Basis'!$C$43)))),IF(G1171&lt;11,'General Basis'!$B$39,IF(G1171&lt;18,'General Basis'!$B$40,IF(G1171&lt;26,'General Basis'!$B$41,IF(G1171&lt;31,'General Basis'!$B$42,IF(G1171&lt;36,'General Basis'!$B$43,IF(G1171&lt;41,'General Basis'!$B$44,IF(G1171&lt;46,'General Basis'!$B$45,IF(G1171&lt;51,'General Basis'!$B$46,IF(G1171&lt;56,'General Basis'!$B$47,IF(G1171&lt;60,'General Basis'!$B$48,IF(G1171&lt;65,'General Basis'!$B$49,'General Basis'!$B$50)))))))))))))</f>
        <v/>
      </c>
      <c r="BI1171" s="744" t="str">
        <f t="shared" si="423"/>
        <v/>
      </c>
      <c r="BJ1171" s="747" t="str">
        <f t="shared" si="430"/>
        <v/>
      </c>
      <c r="BK1171" s="498" t="str">
        <f t="shared" si="424"/>
        <v/>
      </c>
      <c r="BL1171" s="498" t="str">
        <f t="shared" si="425"/>
        <v/>
      </c>
    </row>
    <row r="1172" spans="1:64" x14ac:dyDescent="0.25">
      <c r="A1172" s="762">
        <f t="shared" si="426"/>
        <v>1167</v>
      </c>
      <c r="B1172" s="229"/>
      <c r="C1172" s="223"/>
      <c r="D1172" s="224"/>
      <c r="E1172" s="225"/>
      <c r="F1172" s="1036" t="str">
        <f t="shared" si="432"/>
        <v/>
      </c>
      <c r="G1172" s="1037" t="str">
        <f t="shared" si="427"/>
        <v/>
      </c>
      <c r="H1172" s="225"/>
      <c r="I1172" s="1013"/>
      <c r="J1172" s="1013"/>
      <c r="K1172" s="1028"/>
      <c r="L1172" s="1035" t="str">
        <f t="shared" si="431"/>
        <v/>
      </c>
      <c r="S1172" s="498"/>
      <c r="AJ1172" s="498"/>
      <c r="AM1172" s="498">
        <f t="shared" si="412"/>
        <v>0</v>
      </c>
      <c r="AN1172" s="498">
        <f t="shared" si="413"/>
        <v>0</v>
      </c>
      <c r="AO1172" s="498">
        <f t="shared" si="414"/>
        <v>0</v>
      </c>
      <c r="AP1172" s="498">
        <f t="shared" si="433"/>
        <v>0</v>
      </c>
      <c r="AQ1172" s="498">
        <f t="shared" si="428"/>
        <v>0</v>
      </c>
      <c r="AU1172" s="498">
        <f t="shared" si="415"/>
        <v>0</v>
      </c>
      <c r="AV1172" s="498">
        <f t="shared" si="416"/>
        <v>0</v>
      </c>
      <c r="AW1172" s="498">
        <f t="shared" si="417"/>
        <v>0</v>
      </c>
      <c r="AX1172" s="498">
        <f t="shared" si="418"/>
        <v>0</v>
      </c>
      <c r="AY1172" s="498">
        <f t="shared" si="419"/>
        <v>0</v>
      </c>
      <c r="BB1172" s="498" t="str">
        <f t="shared" si="420"/>
        <v/>
      </c>
      <c r="BC1172" s="743" t="str">
        <f t="shared" si="421"/>
        <v/>
      </c>
      <c r="BD1172" s="743" t="str">
        <f t="shared" si="422"/>
        <v/>
      </c>
      <c r="BE1172" s="743" t="str">
        <f>IF(D1172="","",VLOOKUP(D1172,'General Basis'!$J$39:$K$46,2,0))</f>
        <v/>
      </c>
      <c r="BF1172" s="744" t="str">
        <f>IF(D1172="","",VLOOKUP(D1172,'General Basis'!$J$39:$L$46,3,0))</f>
        <v/>
      </c>
      <c r="BG1172" s="744" t="str">
        <f t="shared" si="429"/>
        <v/>
      </c>
      <c r="BH1172" s="744" t="str">
        <f>IF(G1172="","",IF(BF1172="Abu Dhabi",IF(G1172&lt;18,'General Basis'!$C$39,IF(G1172&lt;41,'General Basis'!$C$40,IF(G1172&lt;60,'General Basis'!$C$41,IF(G1172&lt;65,'General Basis'!$C$42,'General Basis'!$C$43)))),IF(G1172&lt;11,'General Basis'!$B$39,IF(G1172&lt;18,'General Basis'!$B$40,IF(G1172&lt;26,'General Basis'!$B$41,IF(G1172&lt;31,'General Basis'!$B$42,IF(G1172&lt;36,'General Basis'!$B$43,IF(G1172&lt;41,'General Basis'!$B$44,IF(G1172&lt;46,'General Basis'!$B$45,IF(G1172&lt;51,'General Basis'!$B$46,IF(G1172&lt;56,'General Basis'!$B$47,IF(G1172&lt;60,'General Basis'!$B$48,IF(G1172&lt;65,'General Basis'!$B$49,'General Basis'!$B$50)))))))))))))</f>
        <v/>
      </c>
      <c r="BI1172" s="744" t="str">
        <f t="shared" si="423"/>
        <v/>
      </c>
      <c r="BJ1172" s="747" t="str">
        <f t="shared" si="430"/>
        <v/>
      </c>
      <c r="BK1172" s="498" t="str">
        <f t="shared" si="424"/>
        <v/>
      </c>
      <c r="BL1172" s="498" t="str">
        <f t="shared" si="425"/>
        <v/>
      </c>
    </row>
    <row r="1173" spans="1:64" x14ac:dyDescent="0.25">
      <c r="A1173" s="762">
        <f t="shared" si="426"/>
        <v>1168</v>
      </c>
      <c r="B1173" s="229"/>
      <c r="C1173" s="223"/>
      <c r="D1173" s="224"/>
      <c r="E1173" s="225"/>
      <c r="F1173" s="1036" t="str">
        <f t="shared" si="432"/>
        <v/>
      </c>
      <c r="G1173" s="1037" t="str">
        <f t="shared" si="427"/>
        <v/>
      </c>
      <c r="H1173" s="225"/>
      <c r="I1173" s="1013"/>
      <c r="J1173" s="1013"/>
      <c r="K1173" s="1028"/>
      <c r="L1173" s="1035" t="str">
        <f t="shared" si="431"/>
        <v/>
      </c>
      <c r="S1173" s="498"/>
      <c r="AJ1173" s="498"/>
      <c r="AM1173" s="498">
        <f t="shared" si="412"/>
        <v>0</v>
      </c>
      <c r="AN1173" s="498">
        <f t="shared" si="413"/>
        <v>0</v>
      </c>
      <c r="AO1173" s="498">
        <f t="shared" si="414"/>
        <v>0</v>
      </c>
      <c r="AP1173" s="498">
        <f t="shared" si="433"/>
        <v>0</v>
      </c>
      <c r="AQ1173" s="498">
        <f t="shared" si="428"/>
        <v>0</v>
      </c>
      <c r="AU1173" s="498">
        <f t="shared" si="415"/>
        <v>0</v>
      </c>
      <c r="AV1173" s="498">
        <f t="shared" si="416"/>
        <v>0</v>
      </c>
      <c r="AW1173" s="498">
        <f t="shared" si="417"/>
        <v>0</v>
      </c>
      <c r="AX1173" s="498">
        <f t="shared" si="418"/>
        <v>0</v>
      </c>
      <c r="AY1173" s="498">
        <f t="shared" si="419"/>
        <v>0</v>
      </c>
      <c r="BB1173" s="498" t="str">
        <f t="shared" si="420"/>
        <v/>
      </c>
      <c r="BC1173" s="743" t="str">
        <f t="shared" si="421"/>
        <v/>
      </c>
      <c r="BD1173" s="743" t="str">
        <f t="shared" si="422"/>
        <v/>
      </c>
      <c r="BE1173" s="743" t="str">
        <f>IF(D1173="","",VLOOKUP(D1173,'General Basis'!$J$39:$K$46,2,0))</f>
        <v/>
      </c>
      <c r="BF1173" s="744" t="str">
        <f>IF(D1173="","",VLOOKUP(D1173,'General Basis'!$J$39:$L$46,3,0))</f>
        <v/>
      </c>
      <c r="BG1173" s="744" t="str">
        <f t="shared" si="429"/>
        <v/>
      </c>
      <c r="BH1173" s="744" t="str">
        <f>IF(G1173="","",IF(BF1173="Abu Dhabi",IF(G1173&lt;18,'General Basis'!$C$39,IF(G1173&lt;41,'General Basis'!$C$40,IF(G1173&lt;60,'General Basis'!$C$41,IF(G1173&lt;65,'General Basis'!$C$42,'General Basis'!$C$43)))),IF(G1173&lt;11,'General Basis'!$B$39,IF(G1173&lt;18,'General Basis'!$B$40,IF(G1173&lt;26,'General Basis'!$B$41,IF(G1173&lt;31,'General Basis'!$B$42,IF(G1173&lt;36,'General Basis'!$B$43,IF(G1173&lt;41,'General Basis'!$B$44,IF(G1173&lt;46,'General Basis'!$B$45,IF(G1173&lt;51,'General Basis'!$B$46,IF(G1173&lt;56,'General Basis'!$B$47,IF(G1173&lt;60,'General Basis'!$B$48,IF(G1173&lt;65,'General Basis'!$B$49,'General Basis'!$B$50)))))))))))))</f>
        <v/>
      </c>
      <c r="BI1173" s="744" t="str">
        <f t="shared" si="423"/>
        <v/>
      </c>
      <c r="BJ1173" s="747" t="str">
        <f t="shared" si="430"/>
        <v/>
      </c>
      <c r="BK1173" s="498" t="str">
        <f t="shared" si="424"/>
        <v/>
      </c>
      <c r="BL1173" s="498" t="str">
        <f t="shared" si="425"/>
        <v/>
      </c>
    </row>
    <row r="1174" spans="1:64" x14ac:dyDescent="0.25">
      <c r="A1174" s="762">
        <f t="shared" si="426"/>
        <v>1169</v>
      </c>
      <c r="B1174" s="229"/>
      <c r="C1174" s="223"/>
      <c r="D1174" s="224"/>
      <c r="E1174" s="225"/>
      <c r="F1174" s="1036" t="str">
        <f t="shared" si="432"/>
        <v/>
      </c>
      <c r="G1174" s="1037" t="str">
        <f t="shared" si="427"/>
        <v/>
      </c>
      <c r="H1174" s="225"/>
      <c r="I1174" s="1013"/>
      <c r="J1174" s="1013"/>
      <c r="K1174" s="1028"/>
      <c r="L1174" s="1035" t="str">
        <f t="shared" si="431"/>
        <v/>
      </c>
      <c r="S1174" s="498"/>
      <c r="AJ1174" s="498"/>
      <c r="AM1174" s="498">
        <f t="shared" si="412"/>
        <v>0</v>
      </c>
      <c r="AN1174" s="498">
        <f t="shared" si="413"/>
        <v>0</v>
      </c>
      <c r="AO1174" s="498">
        <f t="shared" si="414"/>
        <v>0</v>
      </c>
      <c r="AP1174" s="498">
        <f t="shared" si="433"/>
        <v>0</v>
      </c>
      <c r="AQ1174" s="498">
        <f t="shared" si="428"/>
        <v>0</v>
      </c>
      <c r="AU1174" s="498">
        <f t="shared" si="415"/>
        <v>0</v>
      </c>
      <c r="AV1174" s="498">
        <f t="shared" si="416"/>
        <v>0</v>
      </c>
      <c r="AW1174" s="498">
        <f t="shared" si="417"/>
        <v>0</v>
      </c>
      <c r="AX1174" s="498">
        <f t="shared" si="418"/>
        <v>0</v>
      </c>
      <c r="AY1174" s="498">
        <f t="shared" si="419"/>
        <v>0</v>
      </c>
      <c r="BB1174" s="498" t="str">
        <f t="shared" si="420"/>
        <v/>
      </c>
      <c r="BC1174" s="743" t="str">
        <f t="shared" si="421"/>
        <v/>
      </c>
      <c r="BD1174" s="743" t="str">
        <f t="shared" si="422"/>
        <v/>
      </c>
      <c r="BE1174" s="743" t="str">
        <f>IF(D1174="","",VLOOKUP(D1174,'General Basis'!$J$39:$K$46,2,0))</f>
        <v/>
      </c>
      <c r="BF1174" s="744" t="str">
        <f>IF(D1174="","",VLOOKUP(D1174,'General Basis'!$J$39:$L$46,3,0))</f>
        <v/>
      </c>
      <c r="BG1174" s="744" t="str">
        <f t="shared" si="429"/>
        <v/>
      </c>
      <c r="BH1174" s="744" t="str">
        <f>IF(G1174="","",IF(BF1174="Abu Dhabi",IF(G1174&lt;18,'General Basis'!$C$39,IF(G1174&lt;41,'General Basis'!$C$40,IF(G1174&lt;60,'General Basis'!$C$41,IF(G1174&lt;65,'General Basis'!$C$42,'General Basis'!$C$43)))),IF(G1174&lt;11,'General Basis'!$B$39,IF(G1174&lt;18,'General Basis'!$B$40,IF(G1174&lt;26,'General Basis'!$B$41,IF(G1174&lt;31,'General Basis'!$B$42,IF(G1174&lt;36,'General Basis'!$B$43,IF(G1174&lt;41,'General Basis'!$B$44,IF(G1174&lt;46,'General Basis'!$B$45,IF(G1174&lt;51,'General Basis'!$B$46,IF(G1174&lt;56,'General Basis'!$B$47,IF(G1174&lt;60,'General Basis'!$B$48,IF(G1174&lt;65,'General Basis'!$B$49,'General Basis'!$B$50)))))))))))))</f>
        <v/>
      </c>
      <c r="BI1174" s="744" t="str">
        <f t="shared" si="423"/>
        <v/>
      </c>
      <c r="BJ1174" s="747" t="str">
        <f t="shared" si="430"/>
        <v/>
      </c>
      <c r="BK1174" s="498" t="str">
        <f t="shared" si="424"/>
        <v/>
      </c>
      <c r="BL1174" s="498" t="str">
        <f t="shared" si="425"/>
        <v/>
      </c>
    </row>
    <row r="1175" spans="1:64" x14ac:dyDescent="0.25">
      <c r="A1175" s="762">
        <f t="shared" si="426"/>
        <v>1170</v>
      </c>
      <c r="B1175" s="229"/>
      <c r="C1175" s="223"/>
      <c r="D1175" s="224"/>
      <c r="E1175" s="225"/>
      <c r="F1175" s="1036" t="str">
        <f t="shared" si="432"/>
        <v/>
      </c>
      <c r="G1175" s="1037" t="str">
        <f t="shared" si="427"/>
        <v/>
      </c>
      <c r="H1175" s="225"/>
      <c r="I1175" s="1013"/>
      <c r="J1175" s="1013"/>
      <c r="K1175" s="1028"/>
      <c r="L1175" s="1035" t="str">
        <f t="shared" si="431"/>
        <v/>
      </c>
      <c r="S1175" s="498"/>
      <c r="AJ1175" s="498"/>
      <c r="AM1175" s="498">
        <f t="shared" si="412"/>
        <v>0</v>
      </c>
      <c r="AN1175" s="498">
        <f t="shared" si="413"/>
        <v>0</v>
      </c>
      <c r="AO1175" s="498">
        <f t="shared" si="414"/>
        <v>0</v>
      </c>
      <c r="AP1175" s="498">
        <f t="shared" si="433"/>
        <v>0</v>
      </c>
      <c r="AQ1175" s="498">
        <f t="shared" si="428"/>
        <v>0</v>
      </c>
      <c r="AU1175" s="498">
        <f t="shared" si="415"/>
        <v>0</v>
      </c>
      <c r="AV1175" s="498">
        <f t="shared" si="416"/>
        <v>0</v>
      </c>
      <c r="AW1175" s="498">
        <f t="shared" si="417"/>
        <v>0</v>
      </c>
      <c r="AX1175" s="498">
        <f t="shared" si="418"/>
        <v>0</v>
      </c>
      <c r="AY1175" s="498">
        <f t="shared" si="419"/>
        <v>0</v>
      </c>
      <c r="BB1175" s="498" t="str">
        <f t="shared" si="420"/>
        <v/>
      </c>
      <c r="BC1175" s="743" t="str">
        <f t="shared" si="421"/>
        <v/>
      </c>
      <c r="BD1175" s="743" t="str">
        <f t="shared" si="422"/>
        <v/>
      </c>
      <c r="BE1175" s="743" t="str">
        <f>IF(D1175="","",VLOOKUP(D1175,'General Basis'!$J$39:$K$46,2,0))</f>
        <v/>
      </c>
      <c r="BF1175" s="744" t="str">
        <f>IF(D1175="","",VLOOKUP(D1175,'General Basis'!$J$39:$L$46,3,0))</f>
        <v/>
      </c>
      <c r="BG1175" s="744" t="str">
        <f t="shared" si="429"/>
        <v/>
      </c>
      <c r="BH1175" s="744" t="str">
        <f>IF(G1175="","",IF(BF1175="Abu Dhabi",IF(G1175&lt;18,'General Basis'!$C$39,IF(G1175&lt;41,'General Basis'!$C$40,IF(G1175&lt;60,'General Basis'!$C$41,IF(G1175&lt;65,'General Basis'!$C$42,'General Basis'!$C$43)))),IF(G1175&lt;11,'General Basis'!$B$39,IF(G1175&lt;18,'General Basis'!$B$40,IF(G1175&lt;26,'General Basis'!$B$41,IF(G1175&lt;31,'General Basis'!$B$42,IF(G1175&lt;36,'General Basis'!$B$43,IF(G1175&lt;41,'General Basis'!$B$44,IF(G1175&lt;46,'General Basis'!$B$45,IF(G1175&lt;51,'General Basis'!$B$46,IF(G1175&lt;56,'General Basis'!$B$47,IF(G1175&lt;60,'General Basis'!$B$48,IF(G1175&lt;65,'General Basis'!$B$49,'General Basis'!$B$50)))))))))))))</f>
        <v/>
      </c>
      <c r="BI1175" s="744" t="str">
        <f t="shared" si="423"/>
        <v/>
      </c>
      <c r="BJ1175" s="747" t="str">
        <f t="shared" si="430"/>
        <v/>
      </c>
      <c r="BK1175" s="498" t="str">
        <f t="shared" si="424"/>
        <v/>
      </c>
      <c r="BL1175" s="498" t="str">
        <f t="shared" si="425"/>
        <v/>
      </c>
    </row>
    <row r="1176" spans="1:64" x14ac:dyDescent="0.25">
      <c r="A1176" s="762">
        <f t="shared" si="426"/>
        <v>1171</v>
      </c>
      <c r="B1176" s="229"/>
      <c r="C1176" s="223"/>
      <c r="D1176" s="224"/>
      <c r="E1176" s="225"/>
      <c r="F1176" s="1036" t="str">
        <f t="shared" si="432"/>
        <v/>
      </c>
      <c r="G1176" s="1037" t="str">
        <f t="shared" si="427"/>
        <v/>
      </c>
      <c r="H1176" s="225"/>
      <c r="I1176" s="1013"/>
      <c r="J1176" s="1013"/>
      <c r="K1176" s="1028"/>
      <c r="L1176" s="1035" t="str">
        <f t="shared" si="431"/>
        <v/>
      </c>
      <c r="S1176" s="498"/>
      <c r="AJ1176" s="498"/>
      <c r="AM1176" s="498">
        <f t="shared" si="412"/>
        <v>0</v>
      </c>
      <c r="AN1176" s="498">
        <f t="shared" si="413"/>
        <v>0</v>
      </c>
      <c r="AO1176" s="498">
        <f t="shared" si="414"/>
        <v>0</v>
      </c>
      <c r="AP1176" s="498">
        <f t="shared" si="433"/>
        <v>0</v>
      </c>
      <c r="AQ1176" s="498">
        <f t="shared" si="428"/>
        <v>0</v>
      </c>
      <c r="AU1176" s="498">
        <f t="shared" si="415"/>
        <v>0</v>
      </c>
      <c r="AV1176" s="498">
        <f t="shared" si="416"/>
        <v>0</v>
      </c>
      <c r="AW1176" s="498">
        <f t="shared" si="417"/>
        <v>0</v>
      </c>
      <c r="AX1176" s="498">
        <f t="shared" si="418"/>
        <v>0</v>
      </c>
      <c r="AY1176" s="498">
        <f t="shared" si="419"/>
        <v>0</v>
      </c>
      <c r="BB1176" s="498" t="str">
        <f t="shared" si="420"/>
        <v/>
      </c>
      <c r="BC1176" s="743" t="str">
        <f t="shared" si="421"/>
        <v/>
      </c>
      <c r="BD1176" s="743" t="str">
        <f t="shared" si="422"/>
        <v/>
      </c>
      <c r="BE1176" s="743" t="str">
        <f>IF(D1176="","",VLOOKUP(D1176,'General Basis'!$J$39:$K$46,2,0))</f>
        <v/>
      </c>
      <c r="BF1176" s="744" t="str">
        <f>IF(D1176="","",VLOOKUP(D1176,'General Basis'!$J$39:$L$46,3,0))</f>
        <v/>
      </c>
      <c r="BG1176" s="744" t="str">
        <f t="shared" si="429"/>
        <v/>
      </c>
      <c r="BH1176" s="744" t="str">
        <f>IF(G1176="","",IF(BF1176="Abu Dhabi",IF(G1176&lt;18,'General Basis'!$C$39,IF(G1176&lt;41,'General Basis'!$C$40,IF(G1176&lt;60,'General Basis'!$C$41,IF(G1176&lt;65,'General Basis'!$C$42,'General Basis'!$C$43)))),IF(G1176&lt;11,'General Basis'!$B$39,IF(G1176&lt;18,'General Basis'!$B$40,IF(G1176&lt;26,'General Basis'!$B$41,IF(G1176&lt;31,'General Basis'!$B$42,IF(G1176&lt;36,'General Basis'!$B$43,IF(G1176&lt;41,'General Basis'!$B$44,IF(G1176&lt;46,'General Basis'!$B$45,IF(G1176&lt;51,'General Basis'!$B$46,IF(G1176&lt;56,'General Basis'!$B$47,IF(G1176&lt;60,'General Basis'!$B$48,IF(G1176&lt;65,'General Basis'!$B$49,'General Basis'!$B$50)))))))))))))</f>
        <v/>
      </c>
      <c r="BI1176" s="744" t="str">
        <f t="shared" si="423"/>
        <v/>
      </c>
      <c r="BJ1176" s="747" t="str">
        <f t="shared" si="430"/>
        <v/>
      </c>
      <c r="BK1176" s="498" t="str">
        <f t="shared" si="424"/>
        <v/>
      </c>
      <c r="BL1176" s="498" t="str">
        <f t="shared" si="425"/>
        <v/>
      </c>
    </row>
    <row r="1177" spans="1:64" x14ac:dyDescent="0.25">
      <c r="A1177" s="762">
        <f t="shared" si="426"/>
        <v>1172</v>
      </c>
      <c r="B1177" s="229"/>
      <c r="C1177" s="223"/>
      <c r="D1177" s="224"/>
      <c r="E1177" s="225"/>
      <c r="F1177" s="1036" t="str">
        <f t="shared" si="432"/>
        <v/>
      </c>
      <c r="G1177" s="1037" t="str">
        <f t="shared" si="427"/>
        <v/>
      </c>
      <c r="H1177" s="225"/>
      <c r="I1177" s="1013"/>
      <c r="J1177" s="1013"/>
      <c r="K1177" s="1028"/>
      <c r="L1177" s="1035" t="str">
        <f t="shared" si="431"/>
        <v/>
      </c>
      <c r="S1177" s="498"/>
      <c r="AJ1177" s="498"/>
      <c r="AM1177" s="498">
        <f t="shared" si="412"/>
        <v>0</v>
      </c>
      <c r="AN1177" s="498">
        <f t="shared" si="413"/>
        <v>0</v>
      </c>
      <c r="AO1177" s="498">
        <f t="shared" si="414"/>
        <v>0</v>
      </c>
      <c r="AP1177" s="498">
        <f t="shared" si="433"/>
        <v>0</v>
      </c>
      <c r="AQ1177" s="498">
        <f t="shared" si="428"/>
        <v>0</v>
      </c>
      <c r="AU1177" s="498">
        <f t="shared" si="415"/>
        <v>0</v>
      </c>
      <c r="AV1177" s="498">
        <f t="shared" si="416"/>
        <v>0</v>
      </c>
      <c r="AW1177" s="498">
        <f t="shared" si="417"/>
        <v>0</v>
      </c>
      <c r="AX1177" s="498">
        <f t="shared" si="418"/>
        <v>0</v>
      </c>
      <c r="AY1177" s="498">
        <f t="shared" si="419"/>
        <v>0</v>
      </c>
      <c r="BB1177" s="498" t="str">
        <f t="shared" si="420"/>
        <v/>
      </c>
      <c r="BC1177" s="743" t="str">
        <f t="shared" si="421"/>
        <v/>
      </c>
      <c r="BD1177" s="743" t="str">
        <f t="shared" si="422"/>
        <v/>
      </c>
      <c r="BE1177" s="743" t="str">
        <f>IF(D1177="","",VLOOKUP(D1177,'General Basis'!$J$39:$K$46,2,0))</f>
        <v/>
      </c>
      <c r="BF1177" s="744" t="str">
        <f>IF(D1177="","",VLOOKUP(D1177,'General Basis'!$J$39:$L$46,3,0))</f>
        <v/>
      </c>
      <c r="BG1177" s="744" t="str">
        <f t="shared" si="429"/>
        <v/>
      </c>
      <c r="BH1177" s="744" t="str">
        <f>IF(G1177="","",IF(BF1177="Abu Dhabi",IF(G1177&lt;18,'General Basis'!$C$39,IF(G1177&lt;41,'General Basis'!$C$40,IF(G1177&lt;60,'General Basis'!$C$41,IF(G1177&lt;65,'General Basis'!$C$42,'General Basis'!$C$43)))),IF(G1177&lt;11,'General Basis'!$B$39,IF(G1177&lt;18,'General Basis'!$B$40,IF(G1177&lt;26,'General Basis'!$B$41,IF(G1177&lt;31,'General Basis'!$B$42,IF(G1177&lt;36,'General Basis'!$B$43,IF(G1177&lt;41,'General Basis'!$B$44,IF(G1177&lt;46,'General Basis'!$B$45,IF(G1177&lt;51,'General Basis'!$B$46,IF(G1177&lt;56,'General Basis'!$B$47,IF(G1177&lt;60,'General Basis'!$B$48,IF(G1177&lt;65,'General Basis'!$B$49,'General Basis'!$B$50)))))))))))))</f>
        <v/>
      </c>
      <c r="BI1177" s="744" t="str">
        <f t="shared" si="423"/>
        <v/>
      </c>
      <c r="BJ1177" s="747" t="str">
        <f t="shared" si="430"/>
        <v/>
      </c>
      <c r="BK1177" s="498" t="str">
        <f t="shared" si="424"/>
        <v/>
      </c>
      <c r="BL1177" s="498" t="str">
        <f t="shared" si="425"/>
        <v/>
      </c>
    </row>
    <row r="1178" spans="1:64" x14ac:dyDescent="0.25">
      <c r="A1178" s="762">
        <f t="shared" si="426"/>
        <v>1173</v>
      </c>
      <c r="B1178" s="229"/>
      <c r="C1178" s="223"/>
      <c r="D1178" s="224"/>
      <c r="E1178" s="225"/>
      <c r="F1178" s="1036" t="str">
        <f t="shared" si="432"/>
        <v/>
      </c>
      <c r="G1178" s="1037" t="str">
        <f t="shared" si="427"/>
        <v/>
      </c>
      <c r="H1178" s="225"/>
      <c r="I1178" s="1013"/>
      <c r="J1178" s="1013"/>
      <c r="K1178" s="1028"/>
      <c r="L1178" s="1035" t="str">
        <f t="shared" si="431"/>
        <v/>
      </c>
      <c r="S1178" s="498"/>
      <c r="AJ1178" s="498"/>
      <c r="AM1178" s="498">
        <f t="shared" si="412"/>
        <v>0</v>
      </c>
      <c r="AN1178" s="498">
        <f t="shared" si="413"/>
        <v>0</v>
      </c>
      <c r="AO1178" s="498">
        <f t="shared" si="414"/>
        <v>0</v>
      </c>
      <c r="AP1178" s="498">
        <f t="shared" si="433"/>
        <v>0</v>
      </c>
      <c r="AQ1178" s="498">
        <f t="shared" si="428"/>
        <v>0</v>
      </c>
      <c r="AU1178" s="498">
        <f t="shared" si="415"/>
        <v>0</v>
      </c>
      <c r="AV1178" s="498">
        <f t="shared" si="416"/>
        <v>0</v>
      </c>
      <c r="AW1178" s="498">
        <f t="shared" si="417"/>
        <v>0</v>
      </c>
      <c r="AX1178" s="498">
        <f t="shared" si="418"/>
        <v>0</v>
      </c>
      <c r="AY1178" s="498">
        <f t="shared" si="419"/>
        <v>0</v>
      </c>
      <c r="BB1178" s="498" t="str">
        <f t="shared" si="420"/>
        <v/>
      </c>
      <c r="BC1178" s="743" t="str">
        <f t="shared" si="421"/>
        <v/>
      </c>
      <c r="BD1178" s="743" t="str">
        <f t="shared" si="422"/>
        <v/>
      </c>
      <c r="BE1178" s="743" t="str">
        <f>IF(D1178="","",VLOOKUP(D1178,'General Basis'!$J$39:$K$46,2,0))</f>
        <v/>
      </c>
      <c r="BF1178" s="744" t="str">
        <f>IF(D1178="","",VLOOKUP(D1178,'General Basis'!$J$39:$L$46,3,0))</f>
        <v/>
      </c>
      <c r="BG1178" s="744" t="str">
        <f t="shared" si="429"/>
        <v/>
      </c>
      <c r="BH1178" s="744" t="str">
        <f>IF(G1178="","",IF(BF1178="Abu Dhabi",IF(G1178&lt;18,'General Basis'!$C$39,IF(G1178&lt;41,'General Basis'!$C$40,IF(G1178&lt;60,'General Basis'!$C$41,IF(G1178&lt;65,'General Basis'!$C$42,'General Basis'!$C$43)))),IF(G1178&lt;11,'General Basis'!$B$39,IF(G1178&lt;18,'General Basis'!$B$40,IF(G1178&lt;26,'General Basis'!$B$41,IF(G1178&lt;31,'General Basis'!$B$42,IF(G1178&lt;36,'General Basis'!$B$43,IF(G1178&lt;41,'General Basis'!$B$44,IF(G1178&lt;46,'General Basis'!$B$45,IF(G1178&lt;51,'General Basis'!$B$46,IF(G1178&lt;56,'General Basis'!$B$47,IF(G1178&lt;60,'General Basis'!$B$48,IF(G1178&lt;65,'General Basis'!$B$49,'General Basis'!$B$50)))))))))))))</f>
        <v/>
      </c>
      <c r="BI1178" s="744" t="str">
        <f t="shared" si="423"/>
        <v/>
      </c>
      <c r="BJ1178" s="747" t="str">
        <f t="shared" si="430"/>
        <v/>
      </c>
      <c r="BK1178" s="498" t="str">
        <f t="shared" si="424"/>
        <v/>
      </c>
      <c r="BL1178" s="498" t="str">
        <f t="shared" si="425"/>
        <v/>
      </c>
    </row>
    <row r="1179" spans="1:64" x14ac:dyDescent="0.25">
      <c r="A1179" s="762">
        <f t="shared" si="426"/>
        <v>1174</v>
      </c>
      <c r="B1179" s="229"/>
      <c r="C1179" s="223"/>
      <c r="D1179" s="224"/>
      <c r="E1179" s="225"/>
      <c r="F1179" s="1036" t="str">
        <f t="shared" si="432"/>
        <v/>
      </c>
      <c r="G1179" s="1037" t="str">
        <f t="shared" si="427"/>
        <v/>
      </c>
      <c r="H1179" s="225"/>
      <c r="I1179" s="1013"/>
      <c r="J1179" s="1013"/>
      <c r="K1179" s="1028"/>
      <c r="L1179" s="1035" t="str">
        <f t="shared" si="431"/>
        <v/>
      </c>
      <c r="S1179" s="498"/>
      <c r="AJ1179" s="498"/>
      <c r="AM1179" s="498">
        <f t="shared" si="412"/>
        <v>0</v>
      </c>
      <c r="AN1179" s="498">
        <f t="shared" si="413"/>
        <v>0</v>
      </c>
      <c r="AO1179" s="498">
        <f t="shared" si="414"/>
        <v>0</v>
      </c>
      <c r="AP1179" s="498">
        <f t="shared" si="433"/>
        <v>0</v>
      </c>
      <c r="AQ1179" s="498">
        <f t="shared" si="428"/>
        <v>0</v>
      </c>
      <c r="AU1179" s="498">
        <f t="shared" si="415"/>
        <v>0</v>
      </c>
      <c r="AV1179" s="498">
        <f t="shared" si="416"/>
        <v>0</v>
      </c>
      <c r="AW1179" s="498">
        <f t="shared" si="417"/>
        <v>0</v>
      </c>
      <c r="AX1179" s="498">
        <f t="shared" si="418"/>
        <v>0</v>
      </c>
      <c r="AY1179" s="498">
        <f t="shared" si="419"/>
        <v>0</v>
      </c>
      <c r="BB1179" s="498" t="str">
        <f t="shared" si="420"/>
        <v/>
      </c>
      <c r="BC1179" s="743" t="str">
        <f t="shared" si="421"/>
        <v/>
      </c>
      <c r="BD1179" s="743" t="str">
        <f t="shared" si="422"/>
        <v/>
      </c>
      <c r="BE1179" s="743" t="str">
        <f>IF(D1179="","",VLOOKUP(D1179,'General Basis'!$J$39:$K$46,2,0))</f>
        <v/>
      </c>
      <c r="BF1179" s="744" t="str">
        <f>IF(D1179="","",VLOOKUP(D1179,'General Basis'!$J$39:$L$46,3,0))</f>
        <v/>
      </c>
      <c r="BG1179" s="744" t="str">
        <f t="shared" si="429"/>
        <v/>
      </c>
      <c r="BH1179" s="744" t="str">
        <f>IF(G1179="","",IF(BF1179="Abu Dhabi",IF(G1179&lt;18,'General Basis'!$C$39,IF(G1179&lt;41,'General Basis'!$C$40,IF(G1179&lt;60,'General Basis'!$C$41,IF(G1179&lt;65,'General Basis'!$C$42,'General Basis'!$C$43)))),IF(G1179&lt;11,'General Basis'!$B$39,IF(G1179&lt;18,'General Basis'!$B$40,IF(G1179&lt;26,'General Basis'!$B$41,IF(G1179&lt;31,'General Basis'!$B$42,IF(G1179&lt;36,'General Basis'!$B$43,IF(G1179&lt;41,'General Basis'!$B$44,IF(G1179&lt;46,'General Basis'!$B$45,IF(G1179&lt;51,'General Basis'!$B$46,IF(G1179&lt;56,'General Basis'!$B$47,IF(G1179&lt;60,'General Basis'!$B$48,IF(G1179&lt;65,'General Basis'!$B$49,'General Basis'!$B$50)))))))))))))</f>
        <v/>
      </c>
      <c r="BI1179" s="744" t="str">
        <f t="shared" si="423"/>
        <v/>
      </c>
      <c r="BJ1179" s="747" t="str">
        <f t="shared" si="430"/>
        <v/>
      </c>
      <c r="BK1179" s="498" t="str">
        <f t="shared" si="424"/>
        <v/>
      </c>
      <c r="BL1179" s="498" t="str">
        <f t="shared" si="425"/>
        <v/>
      </c>
    </row>
    <row r="1180" spans="1:64" x14ac:dyDescent="0.25">
      <c r="A1180" s="762">
        <f t="shared" si="426"/>
        <v>1175</v>
      </c>
      <c r="B1180" s="229"/>
      <c r="C1180" s="223"/>
      <c r="D1180" s="224"/>
      <c r="E1180" s="225"/>
      <c r="F1180" s="1036" t="str">
        <f t="shared" si="432"/>
        <v/>
      </c>
      <c r="G1180" s="1037" t="str">
        <f t="shared" si="427"/>
        <v/>
      </c>
      <c r="H1180" s="225"/>
      <c r="I1180" s="1013"/>
      <c r="J1180" s="1013"/>
      <c r="K1180" s="1028"/>
      <c r="L1180" s="1035" t="str">
        <f t="shared" si="431"/>
        <v/>
      </c>
      <c r="S1180" s="498"/>
      <c r="AJ1180" s="498"/>
      <c r="AM1180" s="498">
        <f t="shared" si="412"/>
        <v>0</v>
      </c>
      <c r="AN1180" s="498">
        <f t="shared" si="413"/>
        <v>0</v>
      </c>
      <c r="AO1180" s="498">
        <f t="shared" si="414"/>
        <v>0</v>
      </c>
      <c r="AP1180" s="498">
        <f t="shared" si="433"/>
        <v>0</v>
      </c>
      <c r="AQ1180" s="498">
        <f t="shared" si="428"/>
        <v>0</v>
      </c>
      <c r="AU1180" s="498">
        <f t="shared" si="415"/>
        <v>0</v>
      </c>
      <c r="AV1180" s="498">
        <f t="shared" si="416"/>
        <v>0</v>
      </c>
      <c r="AW1180" s="498">
        <f t="shared" si="417"/>
        <v>0</v>
      </c>
      <c r="AX1180" s="498">
        <f t="shared" si="418"/>
        <v>0</v>
      </c>
      <c r="AY1180" s="498">
        <f t="shared" si="419"/>
        <v>0</v>
      </c>
      <c r="BB1180" s="498" t="str">
        <f t="shared" si="420"/>
        <v/>
      </c>
      <c r="BC1180" s="743" t="str">
        <f t="shared" si="421"/>
        <v/>
      </c>
      <c r="BD1180" s="743" t="str">
        <f t="shared" si="422"/>
        <v/>
      </c>
      <c r="BE1180" s="743" t="str">
        <f>IF(D1180="","",VLOOKUP(D1180,'General Basis'!$J$39:$K$46,2,0))</f>
        <v/>
      </c>
      <c r="BF1180" s="744" t="str">
        <f>IF(D1180="","",VLOOKUP(D1180,'General Basis'!$J$39:$L$46,3,0))</f>
        <v/>
      </c>
      <c r="BG1180" s="744" t="str">
        <f t="shared" si="429"/>
        <v/>
      </c>
      <c r="BH1180" s="744" t="str">
        <f>IF(G1180="","",IF(BF1180="Abu Dhabi",IF(G1180&lt;18,'General Basis'!$C$39,IF(G1180&lt;41,'General Basis'!$C$40,IF(G1180&lt;60,'General Basis'!$C$41,IF(G1180&lt;65,'General Basis'!$C$42,'General Basis'!$C$43)))),IF(G1180&lt;11,'General Basis'!$B$39,IF(G1180&lt;18,'General Basis'!$B$40,IF(G1180&lt;26,'General Basis'!$B$41,IF(G1180&lt;31,'General Basis'!$B$42,IF(G1180&lt;36,'General Basis'!$B$43,IF(G1180&lt;41,'General Basis'!$B$44,IF(G1180&lt;46,'General Basis'!$B$45,IF(G1180&lt;51,'General Basis'!$B$46,IF(G1180&lt;56,'General Basis'!$B$47,IF(G1180&lt;60,'General Basis'!$B$48,IF(G1180&lt;65,'General Basis'!$B$49,'General Basis'!$B$50)))))))))))))</f>
        <v/>
      </c>
      <c r="BI1180" s="744" t="str">
        <f t="shared" si="423"/>
        <v/>
      </c>
      <c r="BJ1180" s="747" t="str">
        <f t="shared" si="430"/>
        <v/>
      </c>
      <c r="BK1180" s="498" t="str">
        <f t="shared" si="424"/>
        <v/>
      </c>
      <c r="BL1180" s="498" t="str">
        <f t="shared" si="425"/>
        <v/>
      </c>
    </row>
    <row r="1181" spans="1:64" x14ac:dyDescent="0.25">
      <c r="A1181" s="762">
        <f t="shared" si="426"/>
        <v>1176</v>
      </c>
      <c r="B1181" s="229"/>
      <c r="C1181" s="223"/>
      <c r="D1181" s="224"/>
      <c r="E1181" s="225"/>
      <c r="F1181" s="1036" t="str">
        <f t="shared" si="432"/>
        <v/>
      </c>
      <c r="G1181" s="1037" t="str">
        <f t="shared" si="427"/>
        <v/>
      </c>
      <c r="H1181" s="225"/>
      <c r="I1181" s="1013"/>
      <c r="J1181" s="1013"/>
      <c r="K1181" s="1028"/>
      <c r="L1181" s="1035" t="str">
        <f t="shared" si="431"/>
        <v/>
      </c>
      <c r="S1181" s="498"/>
      <c r="AJ1181" s="498"/>
      <c r="AM1181" s="498">
        <f t="shared" si="412"/>
        <v>0</v>
      </c>
      <c r="AN1181" s="498">
        <f t="shared" si="413"/>
        <v>0</v>
      </c>
      <c r="AO1181" s="498">
        <f t="shared" si="414"/>
        <v>0</v>
      </c>
      <c r="AP1181" s="498">
        <f t="shared" si="433"/>
        <v>0</v>
      </c>
      <c r="AQ1181" s="498">
        <f t="shared" si="428"/>
        <v>0</v>
      </c>
      <c r="AU1181" s="498">
        <f t="shared" si="415"/>
        <v>0</v>
      </c>
      <c r="AV1181" s="498">
        <f t="shared" si="416"/>
        <v>0</v>
      </c>
      <c r="AW1181" s="498">
        <f t="shared" si="417"/>
        <v>0</v>
      </c>
      <c r="AX1181" s="498">
        <f t="shared" si="418"/>
        <v>0</v>
      </c>
      <c r="AY1181" s="498">
        <f t="shared" si="419"/>
        <v>0</v>
      </c>
      <c r="BB1181" s="498" t="str">
        <f t="shared" si="420"/>
        <v/>
      </c>
      <c r="BC1181" s="743" t="str">
        <f t="shared" si="421"/>
        <v/>
      </c>
      <c r="BD1181" s="743" t="str">
        <f t="shared" si="422"/>
        <v/>
      </c>
      <c r="BE1181" s="743" t="str">
        <f>IF(D1181="","",VLOOKUP(D1181,'General Basis'!$J$39:$K$46,2,0))</f>
        <v/>
      </c>
      <c r="BF1181" s="744" t="str">
        <f>IF(D1181="","",VLOOKUP(D1181,'General Basis'!$J$39:$L$46,3,0))</f>
        <v/>
      </c>
      <c r="BG1181" s="744" t="str">
        <f t="shared" si="429"/>
        <v/>
      </c>
      <c r="BH1181" s="744" t="str">
        <f>IF(G1181="","",IF(BF1181="Abu Dhabi",IF(G1181&lt;18,'General Basis'!$C$39,IF(G1181&lt;41,'General Basis'!$C$40,IF(G1181&lt;60,'General Basis'!$C$41,IF(G1181&lt;65,'General Basis'!$C$42,'General Basis'!$C$43)))),IF(G1181&lt;11,'General Basis'!$B$39,IF(G1181&lt;18,'General Basis'!$B$40,IF(G1181&lt;26,'General Basis'!$B$41,IF(G1181&lt;31,'General Basis'!$B$42,IF(G1181&lt;36,'General Basis'!$B$43,IF(G1181&lt;41,'General Basis'!$B$44,IF(G1181&lt;46,'General Basis'!$B$45,IF(G1181&lt;51,'General Basis'!$B$46,IF(G1181&lt;56,'General Basis'!$B$47,IF(G1181&lt;60,'General Basis'!$B$48,IF(G1181&lt;65,'General Basis'!$B$49,'General Basis'!$B$50)))))))))))))</f>
        <v/>
      </c>
      <c r="BI1181" s="744" t="str">
        <f t="shared" si="423"/>
        <v/>
      </c>
      <c r="BJ1181" s="747" t="str">
        <f t="shared" si="430"/>
        <v/>
      </c>
      <c r="BK1181" s="498" t="str">
        <f t="shared" si="424"/>
        <v/>
      </c>
      <c r="BL1181" s="498" t="str">
        <f t="shared" si="425"/>
        <v/>
      </c>
    </row>
    <row r="1182" spans="1:64" x14ac:dyDescent="0.25">
      <c r="A1182" s="762">
        <f t="shared" si="426"/>
        <v>1177</v>
      </c>
      <c r="B1182" s="229"/>
      <c r="C1182" s="223"/>
      <c r="D1182" s="224"/>
      <c r="E1182" s="225"/>
      <c r="F1182" s="1036" t="str">
        <f t="shared" si="432"/>
        <v/>
      </c>
      <c r="G1182" s="1037" t="str">
        <f t="shared" si="427"/>
        <v/>
      </c>
      <c r="H1182" s="225"/>
      <c r="I1182" s="1013"/>
      <c r="J1182" s="1013"/>
      <c r="K1182" s="1028"/>
      <c r="L1182" s="1035" t="str">
        <f t="shared" si="431"/>
        <v/>
      </c>
      <c r="S1182" s="498"/>
      <c r="AJ1182" s="498"/>
      <c r="AM1182" s="498">
        <f t="shared" si="412"/>
        <v>0</v>
      </c>
      <c r="AN1182" s="498">
        <f t="shared" si="413"/>
        <v>0</v>
      </c>
      <c r="AO1182" s="498">
        <f t="shared" si="414"/>
        <v>0</v>
      </c>
      <c r="AP1182" s="498">
        <f t="shared" si="433"/>
        <v>0</v>
      </c>
      <c r="AQ1182" s="498">
        <f t="shared" si="428"/>
        <v>0</v>
      </c>
      <c r="AU1182" s="498">
        <f t="shared" si="415"/>
        <v>0</v>
      </c>
      <c r="AV1182" s="498">
        <f t="shared" si="416"/>
        <v>0</v>
      </c>
      <c r="AW1182" s="498">
        <f t="shared" si="417"/>
        <v>0</v>
      </c>
      <c r="AX1182" s="498">
        <f t="shared" si="418"/>
        <v>0</v>
      </c>
      <c r="AY1182" s="498">
        <f t="shared" si="419"/>
        <v>0</v>
      </c>
      <c r="BB1182" s="498" t="str">
        <f t="shared" si="420"/>
        <v/>
      </c>
      <c r="BC1182" s="743" t="str">
        <f t="shared" si="421"/>
        <v/>
      </c>
      <c r="BD1182" s="743" t="str">
        <f t="shared" si="422"/>
        <v/>
      </c>
      <c r="BE1182" s="743" t="str">
        <f>IF(D1182="","",VLOOKUP(D1182,'General Basis'!$J$39:$K$46,2,0))</f>
        <v/>
      </c>
      <c r="BF1182" s="744" t="str">
        <f>IF(D1182="","",VLOOKUP(D1182,'General Basis'!$J$39:$L$46,3,0))</f>
        <v/>
      </c>
      <c r="BG1182" s="744" t="str">
        <f t="shared" si="429"/>
        <v/>
      </c>
      <c r="BH1182" s="744" t="str">
        <f>IF(G1182="","",IF(BF1182="Abu Dhabi",IF(G1182&lt;18,'General Basis'!$C$39,IF(G1182&lt;41,'General Basis'!$C$40,IF(G1182&lt;60,'General Basis'!$C$41,IF(G1182&lt;65,'General Basis'!$C$42,'General Basis'!$C$43)))),IF(G1182&lt;11,'General Basis'!$B$39,IF(G1182&lt;18,'General Basis'!$B$40,IF(G1182&lt;26,'General Basis'!$B$41,IF(G1182&lt;31,'General Basis'!$B$42,IF(G1182&lt;36,'General Basis'!$B$43,IF(G1182&lt;41,'General Basis'!$B$44,IF(G1182&lt;46,'General Basis'!$B$45,IF(G1182&lt;51,'General Basis'!$B$46,IF(G1182&lt;56,'General Basis'!$B$47,IF(G1182&lt;60,'General Basis'!$B$48,IF(G1182&lt;65,'General Basis'!$B$49,'General Basis'!$B$50)))))))))))))</f>
        <v/>
      </c>
      <c r="BI1182" s="744" t="str">
        <f t="shared" si="423"/>
        <v/>
      </c>
      <c r="BJ1182" s="747" t="str">
        <f t="shared" si="430"/>
        <v/>
      </c>
      <c r="BK1182" s="498" t="str">
        <f t="shared" si="424"/>
        <v/>
      </c>
      <c r="BL1182" s="498" t="str">
        <f t="shared" si="425"/>
        <v/>
      </c>
    </row>
    <row r="1183" spans="1:64" x14ac:dyDescent="0.25">
      <c r="A1183" s="762">
        <f t="shared" si="426"/>
        <v>1178</v>
      </c>
      <c r="B1183" s="229"/>
      <c r="C1183" s="223"/>
      <c r="D1183" s="224"/>
      <c r="E1183" s="225"/>
      <c r="F1183" s="1036" t="str">
        <f t="shared" si="432"/>
        <v/>
      </c>
      <c r="G1183" s="1037" t="str">
        <f t="shared" si="427"/>
        <v/>
      </c>
      <c r="H1183" s="225"/>
      <c r="I1183" s="1013"/>
      <c r="J1183" s="1013"/>
      <c r="K1183" s="1028"/>
      <c r="L1183" s="1035" t="str">
        <f t="shared" si="431"/>
        <v/>
      </c>
      <c r="S1183" s="498"/>
      <c r="AJ1183" s="498"/>
      <c r="AM1183" s="498">
        <f t="shared" si="412"/>
        <v>0</v>
      </c>
      <c r="AN1183" s="498">
        <f t="shared" si="413"/>
        <v>0</v>
      </c>
      <c r="AO1183" s="498">
        <f t="shared" si="414"/>
        <v>0</v>
      </c>
      <c r="AP1183" s="498">
        <f t="shared" si="433"/>
        <v>0</v>
      </c>
      <c r="AQ1183" s="498">
        <f t="shared" si="428"/>
        <v>0</v>
      </c>
      <c r="AU1183" s="498">
        <f t="shared" si="415"/>
        <v>0</v>
      </c>
      <c r="AV1183" s="498">
        <f t="shared" si="416"/>
        <v>0</v>
      </c>
      <c r="AW1183" s="498">
        <f t="shared" si="417"/>
        <v>0</v>
      </c>
      <c r="AX1183" s="498">
        <f t="shared" si="418"/>
        <v>0</v>
      </c>
      <c r="AY1183" s="498">
        <f t="shared" si="419"/>
        <v>0</v>
      </c>
      <c r="BB1183" s="498" t="str">
        <f t="shared" si="420"/>
        <v/>
      </c>
      <c r="BC1183" s="743" t="str">
        <f t="shared" si="421"/>
        <v/>
      </c>
      <c r="BD1183" s="743" t="str">
        <f t="shared" si="422"/>
        <v/>
      </c>
      <c r="BE1183" s="743" t="str">
        <f>IF(D1183="","",VLOOKUP(D1183,'General Basis'!$J$39:$K$46,2,0))</f>
        <v/>
      </c>
      <c r="BF1183" s="744" t="str">
        <f>IF(D1183="","",VLOOKUP(D1183,'General Basis'!$J$39:$L$46,3,0))</f>
        <v/>
      </c>
      <c r="BG1183" s="744" t="str">
        <f t="shared" si="429"/>
        <v/>
      </c>
      <c r="BH1183" s="744" t="str">
        <f>IF(G1183="","",IF(BF1183="Abu Dhabi",IF(G1183&lt;18,'General Basis'!$C$39,IF(G1183&lt;41,'General Basis'!$C$40,IF(G1183&lt;60,'General Basis'!$C$41,IF(G1183&lt;65,'General Basis'!$C$42,'General Basis'!$C$43)))),IF(G1183&lt;11,'General Basis'!$B$39,IF(G1183&lt;18,'General Basis'!$B$40,IF(G1183&lt;26,'General Basis'!$B$41,IF(G1183&lt;31,'General Basis'!$B$42,IF(G1183&lt;36,'General Basis'!$B$43,IF(G1183&lt;41,'General Basis'!$B$44,IF(G1183&lt;46,'General Basis'!$B$45,IF(G1183&lt;51,'General Basis'!$B$46,IF(G1183&lt;56,'General Basis'!$B$47,IF(G1183&lt;60,'General Basis'!$B$48,IF(G1183&lt;65,'General Basis'!$B$49,'General Basis'!$B$50)))))))))))))</f>
        <v/>
      </c>
      <c r="BI1183" s="744" t="str">
        <f t="shared" si="423"/>
        <v/>
      </c>
      <c r="BJ1183" s="747" t="str">
        <f t="shared" si="430"/>
        <v/>
      </c>
      <c r="BK1183" s="498" t="str">
        <f t="shared" si="424"/>
        <v/>
      </c>
      <c r="BL1183" s="498" t="str">
        <f t="shared" si="425"/>
        <v/>
      </c>
    </row>
    <row r="1184" spans="1:64" x14ac:dyDescent="0.25">
      <c r="A1184" s="762">
        <f t="shared" si="426"/>
        <v>1179</v>
      </c>
      <c r="B1184" s="229"/>
      <c r="C1184" s="223"/>
      <c r="D1184" s="224"/>
      <c r="E1184" s="225"/>
      <c r="F1184" s="1036" t="str">
        <f t="shared" si="432"/>
        <v/>
      </c>
      <c r="G1184" s="1037" t="str">
        <f t="shared" si="427"/>
        <v/>
      </c>
      <c r="H1184" s="225"/>
      <c r="I1184" s="1013"/>
      <c r="J1184" s="1013"/>
      <c r="K1184" s="1028"/>
      <c r="L1184" s="1035" t="str">
        <f t="shared" si="431"/>
        <v/>
      </c>
      <c r="S1184" s="498"/>
      <c r="AJ1184" s="498"/>
      <c r="AM1184" s="498">
        <f t="shared" si="412"/>
        <v>0</v>
      </c>
      <c r="AN1184" s="498">
        <f t="shared" si="413"/>
        <v>0</v>
      </c>
      <c r="AO1184" s="498">
        <f t="shared" si="414"/>
        <v>0</v>
      </c>
      <c r="AP1184" s="498">
        <f t="shared" si="433"/>
        <v>0</v>
      </c>
      <c r="AQ1184" s="498">
        <f t="shared" si="428"/>
        <v>0</v>
      </c>
      <c r="AU1184" s="498">
        <f t="shared" si="415"/>
        <v>0</v>
      </c>
      <c r="AV1184" s="498">
        <f t="shared" si="416"/>
        <v>0</v>
      </c>
      <c r="AW1184" s="498">
        <f t="shared" si="417"/>
        <v>0</v>
      </c>
      <c r="AX1184" s="498">
        <f t="shared" si="418"/>
        <v>0</v>
      </c>
      <c r="AY1184" s="498">
        <f t="shared" si="419"/>
        <v>0</v>
      </c>
      <c r="BB1184" s="498" t="str">
        <f t="shared" si="420"/>
        <v/>
      </c>
      <c r="BC1184" s="743" t="str">
        <f t="shared" si="421"/>
        <v/>
      </c>
      <c r="BD1184" s="743" t="str">
        <f t="shared" si="422"/>
        <v/>
      </c>
      <c r="BE1184" s="743" t="str">
        <f>IF(D1184="","",VLOOKUP(D1184,'General Basis'!$J$39:$K$46,2,0))</f>
        <v/>
      </c>
      <c r="BF1184" s="744" t="str">
        <f>IF(D1184="","",VLOOKUP(D1184,'General Basis'!$J$39:$L$46,3,0))</f>
        <v/>
      </c>
      <c r="BG1184" s="744" t="str">
        <f t="shared" si="429"/>
        <v/>
      </c>
      <c r="BH1184" s="744" t="str">
        <f>IF(G1184="","",IF(BF1184="Abu Dhabi",IF(G1184&lt;18,'General Basis'!$C$39,IF(G1184&lt;41,'General Basis'!$C$40,IF(G1184&lt;60,'General Basis'!$C$41,IF(G1184&lt;65,'General Basis'!$C$42,'General Basis'!$C$43)))),IF(G1184&lt;11,'General Basis'!$B$39,IF(G1184&lt;18,'General Basis'!$B$40,IF(G1184&lt;26,'General Basis'!$B$41,IF(G1184&lt;31,'General Basis'!$B$42,IF(G1184&lt;36,'General Basis'!$B$43,IF(G1184&lt;41,'General Basis'!$B$44,IF(G1184&lt;46,'General Basis'!$B$45,IF(G1184&lt;51,'General Basis'!$B$46,IF(G1184&lt;56,'General Basis'!$B$47,IF(G1184&lt;60,'General Basis'!$B$48,IF(G1184&lt;65,'General Basis'!$B$49,'General Basis'!$B$50)))))))))))))</f>
        <v/>
      </c>
      <c r="BI1184" s="744" t="str">
        <f t="shared" si="423"/>
        <v/>
      </c>
      <c r="BJ1184" s="747" t="str">
        <f t="shared" si="430"/>
        <v/>
      </c>
      <c r="BK1184" s="498" t="str">
        <f t="shared" si="424"/>
        <v/>
      </c>
      <c r="BL1184" s="498" t="str">
        <f t="shared" si="425"/>
        <v/>
      </c>
    </row>
    <row r="1185" spans="1:64" x14ac:dyDescent="0.25">
      <c r="A1185" s="762">
        <f t="shared" si="426"/>
        <v>1180</v>
      </c>
      <c r="B1185" s="229"/>
      <c r="C1185" s="223"/>
      <c r="D1185" s="224"/>
      <c r="E1185" s="225"/>
      <c r="F1185" s="1036" t="str">
        <f t="shared" si="432"/>
        <v/>
      </c>
      <c r="G1185" s="1037" t="str">
        <f t="shared" si="427"/>
        <v/>
      </c>
      <c r="H1185" s="225"/>
      <c r="I1185" s="1013"/>
      <c r="J1185" s="1013"/>
      <c r="K1185" s="1028"/>
      <c r="L1185" s="1035" t="str">
        <f t="shared" si="431"/>
        <v/>
      </c>
      <c r="S1185" s="498"/>
      <c r="AJ1185" s="498"/>
      <c r="AM1185" s="498">
        <f t="shared" si="412"/>
        <v>0</v>
      </c>
      <c r="AN1185" s="498">
        <f t="shared" si="413"/>
        <v>0</v>
      </c>
      <c r="AO1185" s="498">
        <f t="shared" si="414"/>
        <v>0</v>
      </c>
      <c r="AP1185" s="498">
        <f t="shared" si="433"/>
        <v>0</v>
      </c>
      <c r="AQ1185" s="498">
        <f t="shared" si="428"/>
        <v>0</v>
      </c>
      <c r="AU1185" s="498">
        <f t="shared" si="415"/>
        <v>0</v>
      </c>
      <c r="AV1185" s="498">
        <f t="shared" si="416"/>
        <v>0</v>
      </c>
      <c r="AW1185" s="498">
        <f t="shared" si="417"/>
        <v>0</v>
      </c>
      <c r="AX1185" s="498">
        <f t="shared" si="418"/>
        <v>0</v>
      </c>
      <c r="AY1185" s="498">
        <f t="shared" si="419"/>
        <v>0</v>
      </c>
      <c r="BB1185" s="498" t="str">
        <f t="shared" si="420"/>
        <v/>
      </c>
      <c r="BC1185" s="743" t="str">
        <f t="shared" si="421"/>
        <v/>
      </c>
      <c r="BD1185" s="743" t="str">
        <f t="shared" si="422"/>
        <v/>
      </c>
      <c r="BE1185" s="743" t="str">
        <f>IF(D1185="","",VLOOKUP(D1185,'General Basis'!$J$39:$K$46,2,0))</f>
        <v/>
      </c>
      <c r="BF1185" s="744" t="str">
        <f>IF(D1185="","",VLOOKUP(D1185,'General Basis'!$J$39:$L$46,3,0))</f>
        <v/>
      </c>
      <c r="BG1185" s="744" t="str">
        <f t="shared" si="429"/>
        <v/>
      </c>
      <c r="BH1185" s="744" t="str">
        <f>IF(G1185="","",IF(BF1185="Abu Dhabi",IF(G1185&lt;18,'General Basis'!$C$39,IF(G1185&lt;41,'General Basis'!$C$40,IF(G1185&lt;60,'General Basis'!$C$41,IF(G1185&lt;65,'General Basis'!$C$42,'General Basis'!$C$43)))),IF(G1185&lt;11,'General Basis'!$B$39,IF(G1185&lt;18,'General Basis'!$B$40,IF(G1185&lt;26,'General Basis'!$B$41,IF(G1185&lt;31,'General Basis'!$B$42,IF(G1185&lt;36,'General Basis'!$B$43,IF(G1185&lt;41,'General Basis'!$B$44,IF(G1185&lt;46,'General Basis'!$B$45,IF(G1185&lt;51,'General Basis'!$B$46,IF(G1185&lt;56,'General Basis'!$B$47,IF(G1185&lt;60,'General Basis'!$B$48,IF(G1185&lt;65,'General Basis'!$B$49,'General Basis'!$B$50)))))))))))))</f>
        <v/>
      </c>
      <c r="BI1185" s="744" t="str">
        <f t="shared" si="423"/>
        <v/>
      </c>
      <c r="BJ1185" s="747" t="str">
        <f t="shared" si="430"/>
        <v/>
      </c>
      <c r="BK1185" s="498" t="str">
        <f t="shared" si="424"/>
        <v/>
      </c>
      <c r="BL1185" s="498" t="str">
        <f t="shared" si="425"/>
        <v/>
      </c>
    </row>
    <row r="1186" spans="1:64" x14ac:dyDescent="0.25">
      <c r="A1186" s="762">
        <f t="shared" si="426"/>
        <v>1181</v>
      </c>
      <c r="B1186" s="229"/>
      <c r="C1186" s="223"/>
      <c r="D1186" s="224"/>
      <c r="E1186" s="225"/>
      <c r="F1186" s="1036" t="str">
        <f t="shared" si="432"/>
        <v/>
      </c>
      <c r="G1186" s="1037" t="str">
        <f t="shared" si="427"/>
        <v/>
      </c>
      <c r="H1186" s="225"/>
      <c r="I1186" s="1013"/>
      <c r="J1186" s="1013"/>
      <c r="K1186" s="1028"/>
      <c r="L1186" s="1035" t="str">
        <f t="shared" si="431"/>
        <v/>
      </c>
      <c r="S1186" s="498"/>
      <c r="AJ1186" s="498"/>
      <c r="AM1186" s="498">
        <f t="shared" si="412"/>
        <v>0</v>
      </c>
      <c r="AN1186" s="498">
        <f t="shared" si="413"/>
        <v>0</v>
      </c>
      <c r="AO1186" s="498">
        <f t="shared" si="414"/>
        <v>0</v>
      </c>
      <c r="AP1186" s="498">
        <f t="shared" si="433"/>
        <v>0</v>
      </c>
      <c r="AQ1186" s="498">
        <f t="shared" si="428"/>
        <v>0</v>
      </c>
      <c r="AU1186" s="498">
        <f t="shared" si="415"/>
        <v>0</v>
      </c>
      <c r="AV1186" s="498">
        <f t="shared" si="416"/>
        <v>0</v>
      </c>
      <c r="AW1186" s="498">
        <f t="shared" si="417"/>
        <v>0</v>
      </c>
      <c r="AX1186" s="498">
        <f t="shared" si="418"/>
        <v>0</v>
      </c>
      <c r="AY1186" s="498">
        <f t="shared" si="419"/>
        <v>0</v>
      </c>
      <c r="BB1186" s="498" t="str">
        <f t="shared" si="420"/>
        <v/>
      </c>
      <c r="BC1186" s="743" t="str">
        <f t="shared" si="421"/>
        <v/>
      </c>
      <c r="BD1186" s="743" t="str">
        <f t="shared" si="422"/>
        <v/>
      </c>
      <c r="BE1186" s="743" t="str">
        <f>IF(D1186="","",VLOOKUP(D1186,'General Basis'!$J$39:$K$46,2,0))</f>
        <v/>
      </c>
      <c r="BF1186" s="744" t="str">
        <f>IF(D1186="","",VLOOKUP(D1186,'General Basis'!$J$39:$L$46,3,0))</f>
        <v/>
      </c>
      <c r="BG1186" s="744" t="str">
        <f t="shared" si="429"/>
        <v/>
      </c>
      <c r="BH1186" s="744" t="str">
        <f>IF(G1186="","",IF(BF1186="Abu Dhabi",IF(G1186&lt;18,'General Basis'!$C$39,IF(G1186&lt;41,'General Basis'!$C$40,IF(G1186&lt;60,'General Basis'!$C$41,IF(G1186&lt;65,'General Basis'!$C$42,'General Basis'!$C$43)))),IF(G1186&lt;11,'General Basis'!$B$39,IF(G1186&lt;18,'General Basis'!$B$40,IF(G1186&lt;26,'General Basis'!$B$41,IF(G1186&lt;31,'General Basis'!$B$42,IF(G1186&lt;36,'General Basis'!$B$43,IF(G1186&lt;41,'General Basis'!$B$44,IF(G1186&lt;46,'General Basis'!$B$45,IF(G1186&lt;51,'General Basis'!$B$46,IF(G1186&lt;56,'General Basis'!$B$47,IF(G1186&lt;60,'General Basis'!$B$48,IF(G1186&lt;65,'General Basis'!$B$49,'General Basis'!$B$50)))))))))))))</f>
        <v/>
      </c>
      <c r="BI1186" s="744" t="str">
        <f t="shared" si="423"/>
        <v/>
      </c>
      <c r="BJ1186" s="747" t="str">
        <f t="shared" si="430"/>
        <v/>
      </c>
      <c r="BK1186" s="498" t="str">
        <f t="shared" si="424"/>
        <v/>
      </c>
      <c r="BL1186" s="498" t="str">
        <f t="shared" si="425"/>
        <v/>
      </c>
    </row>
    <row r="1187" spans="1:64" x14ac:dyDescent="0.25">
      <c r="A1187" s="762">
        <f t="shared" si="426"/>
        <v>1182</v>
      </c>
      <c r="B1187" s="229"/>
      <c r="C1187" s="223"/>
      <c r="D1187" s="224"/>
      <c r="E1187" s="225"/>
      <c r="F1187" s="1036" t="str">
        <f t="shared" si="432"/>
        <v/>
      </c>
      <c r="G1187" s="1037" t="str">
        <f t="shared" si="427"/>
        <v/>
      </c>
      <c r="H1187" s="225"/>
      <c r="I1187" s="1013"/>
      <c r="J1187" s="1013"/>
      <c r="K1187" s="1028"/>
      <c r="L1187" s="1035" t="str">
        <f t="shared" si="431"/>
        <v/>
      </c>
      <c r="S1187" s="498"/>
      <c r="AJ1187" s="498"/>
      <c r="AM1187" s="498">
        <f t="shared" si="412"/>
        <v>0</v>
      </c>
      <c r="AN1187" s="498">
        <f t="shared" si="413"/>
        <v>0</v>
      </c>
      <c r="AO1187" s="498">
        <f t="shared" si="414"/>
        <v>0</v>
      </c>
      <c r="AP1187" s="498">
        <f t="shared" si="433"/>
        <v>0</v>
      </c>
      <c r="AQ1187" s="498">
        <f t="shared" si="428"/>
        <v>0</v>
      </c>
      <c r="AU1187" s="498">
        <f t="shared" si="415"/>
        <v>0</v>
      </c>
      <c r="AV1187" s="498">
        <f t="shared" si="416"/>
        <v>0</v>
      </c>
      <c r="AW1187" s="498">
        <f t="shared" si="417"/>
        <v>0</v>
      </c>
      <c r="AX1187" s="498">
        <f t="shared" si="418"/>
        <v>0</v>
      </c>
      <c r="AY1187" s="498">
        <f t="shared" si="419"/>
        <v>0</v>
      </c>
      <c r="BB1187" s="498" t="str">
        <f t="shared" si="420"/>
        <v/>
      </c>
      <c r="BC1187" s="743" t="str">
        <f t="shared" si="421"/>
        <v/>
      </c>
      <c r="BD1187" s="743" t="str">
        <f t="shared" si="422"/>
        <v/>
      </c>
      <c r="BE1187" s="743" t="str">
        <f>IF(D1187="","",VLOOKUP(D1187,'General Basis'!$J$39:$K$46,2,0))</f>
        <v/>
      </c>
      <c r="BF1187" s="744" t="str">
        <f>IF(D1187="","",VLOOKUP(D1187,'General Basis'!$J$39:$L$46,3,0))</f>
        <v/>
      </c>
      <c r="BG1187" s="744" t="str">
        <f t="shared" si="429"/>
        <v/>
      </c>
      <c r="BH1187" s="744" t="str">
        <f>IF(G1187="","",IF(BF1187="Abu Dhabi",IF(G1187&lt;18,'General Basis'!$C$39,IF(G1187&lt;41,'General Basis'!$C$40,IF(G1187&lt;60,'General Basis'!$C$41,IF(G1187&lt;65,'General Basis'!$C$42,'General Basis'!$C$43)))),IF(G1187&lt;11,'General Basis'!$B$39,IF(G1187&lt;18,'General Basis'!$B$40,IF(G1187&lt;26,'General Basis'!$B$41,IF(G1187&lt;31,'General Basis'!$B$42,IF(G1187&lt;36,'General Basis'!$B$43,IF(G1187&lt;41,'General Basis'!$B$44,IF(G1187&lt;46,'General Basis'!$B$45,IF(G1187&lt;51,'General Basis'!$B$46,IF(G1187&lt;56,'General Basis'!$B$47,IF(G1187&lt;60,'General Basis'!$B$48,IF(G1187&lt;65,'General Basis'!$B$49,'General Basis'!$B$50)))))))))))))</f>
        <v/>
      </c>
      <c r="BI1187" s="744" t="str">
        <f t="shared" si="423"/>
        <v/>
      </c>
      <c r="BJ1187" s="747" t="str">
        <f t="shared" si="430"/>
        <v/>
      </c>
      <c r="BK1187" s="498" t="str">
        <f t="shared" si="424"/>
        <v/>
      </c>
      <c r="BL1187" s="498" t="str">
        <f t="shared" si="425"/>
        <v/>
      </c>
    </row>
    <row r="1188" spans="1:64" x14ac:dyDescent="0.25">
      <c r="A1188" s="762">
        <f t="shared" si="426"/>
        <v>1183</v>
      </c>
      <c r="B1188" s="229"/>
      <c r="C1188" s="223"/>
      <c r="D1188" s="224"/>
      <c r="E1188" s="225"/>
      <c r="F1188" s="1036" t="str">
        <f t="shared" si="432"/>
        <v/>
      </c>
      <c r="G1188" s="1037" t="str">
        <f t="shared" si="427"/>
        <v/>
      </c>
      <c r="H1188" s="225"/>
      <c r="I1188" s="1013"/>
      <c r="J1188" s="1013"/>
      <c r="K1188" s="1028"/>
      <c r="L1188" s="1035" t="str">
        <f t="shared" si="431"/>
        <v/>
      </c>
      <c r="S1188" s="498"/>
      <c r="AJ1188" s="498"/>
      <c r="AM1188" s="498">
        <f t="shared" si="412"/>
        <v>0</v>
      </c>
      <c r="AN1188" s="498">
        <f t="shared" si="413"/>
        <v>0</v>
      </c>
      <c r="AO1188" s="498">
        <f t="shared" si="414"/>
        <v>0</v>
      </c>
      <c r="AP1188" s="498">
        <f t="shared" si="433"/>
        <v>0</v>
      </c>
      <c r="AQ1188" s="498">
        <f t="shared" si="428"/>
        <v>0</v>
      </c>
      <c r="AU1188" s="498">
        <f t="shared" si="415"/>
        <v>0</v>
      </c>
      <c r="AV1188" s="498">
        <f t="shared" si="416"/>
        <v>0</v>
      </c>
      <c r="AW1188" s="498">
        <f t="shared" si="417"/>
        <v>0</v>
      </c>
      <c r="AX1188" s="498">
        <f t="shared" si="418"/>
        <v>0</v>
      </c>
      <c r="AY1188" s="498">
        <f t="shared" si="419"/>
        <v>0</v>
      </c>
      <c r="BB1188" s="498" t="str">
        <f t="shared" si="420"/>
        <v/>
      </c>
      <c r="BC1188" s="743" t="str">
        <f t="shared" si="421"/>
        <v/>
      </c>
      <c r="BD1188" s="743" t="str">
        <f t="shared" si="422"/>
        <v/>
      </c>
      <c r="BE1188" s="743" t="str">
        <f>IF(D1188="","",VLOOKUP(D1188,'General Basis'!$J$39:$K$46,2,0))</f>
        <v/>
      </c>
      <c r="BF1188" s="744" t="str">
        <f>IF(D1188="","",VLOOKUP(D1188,'General Basis'!$J$39:$L$46,3,0))</f>
        <v/>
      </c>
      <c r="BG1188" s="744" t="str">
        <f t="shared" si="429"/>
        <v/>
      </c>
      <c r="BH1188" s="744" t="str">
        <f>IF(G1188="","",IF(BF1188="Abu Dhabi",IF(G1188&lt;18,'General Basis'!$C$39,IF(G1188&lt;41,'General Basis'!$C$40,IF(G1188&lt;60,'General Basis'!$C$41,IF(G1188&lt;65,'General Basis'!$C$42,'General Basis'!$C$43)))),IF(G1188&lt;11,'General Basis'!$B$39,IF(G1188&lt;18,'General Basis'!$B$40,IF(G1188&lt;26,'General Basis'!$B$41,IF(G1188&lt;31,'General Basis'!$B$42,IF(G1188&lt;36,'General Basis'!$B$43,IF(G1188&lt;41,'General Basis'!$B$44,IF(G1188&lt;46,'General Basis'!$B$45,IF(G1188&lt;51,'General Basis'!$B$46,IF(G1188&lt;56,'General Basis'!$B$47,IF(G1188&lt;60,'General Basis'!$B$48,IF(G1188&lt;65,'General Basis'!$B$49,'General Basis'!$B$50)))))))))))))</f>
        <v/>
      </c>
      <c r="BI1188" s="744" t="str">
        <f t="shared" si="423"/>
        <v/>
      </c>
      <c r="BJ1188" s="747" t="str">
        <f t="shared" si="430"/>
        <v/>
      </c>
      <c r="BK1188" s="498" t="str">
        <f t="shared" si="424"/>
        <v/>
      </c>
      <c r="BL1188" s="498" t="str">
        <f t="shared" si="425"/>
        <v/>
      </c>
    </row>
    <row r="1189" spans="1:64" x14ac:dyDescent="0.25">
      <c r="A1189" s="762">
        <f t="shared" si="426"/>
        <v>1184</v>
      </c>
      <c r="B1189" s="229"/>
      <c r="C1189" s="223"/>
      <c r="D1189" s="224"/>
      <c r="E1189" s="225"/>
      <c r="F1189" s="1036" t="str">
        <f t="shared" si="432"/>
        <v/>
      </c>
      <c r="G1189" s="1037" t="str">
        <f t="shared" si="427"/>
        <v/>
      </c>
      <c r="H1189" s="225"/>
      <c r="I1189" s="1013"/>
      <c r="J1189" s="1013"/>
      <c r="K1189" s="1028"/>
      <c r="L1189" s="1035" t="str">
        <f t="shared" si="431"/>
        <v/>
      </c>
      <c r="S1189" s="498"/>
      <c r="AJ1189" s="498"/>
      <c r="AM1189" s="498">
        <f t="shared" si="412"/>
        <v>0</v>
      </c>
      <c r="AN1189" s="498">
        <f t="shared" si="413"/>
        <v>0</v>
      </c>
      <c r="AO1189" s="498">
        <f t="shared" si="414"/>
        <v>0</v>
      </c>
      <c r="AP1189" s="498">
        <f t="shared" si="433"/>
        <v>0</v>
      </c>
      <c r="AQ1189" s="498">
        <f t="shared" si="428"/>
        <v>0</v>
      </c>
      <c r="AU1189" s="498">
        <f t="shared" si="415"/>
        <v>0</v>
      </c>
      <c r="AV1189" s="498">
        <f t="shared" si="416"/>
        <v>0</v>
      </c>
      <c r="AW1189" s="498">
        <f t="shared" si="417"/>
        <v>0</v>
      </c>
      <c r="AX1189" s="498">
        <f t="shared" si="418"/>
        <v>0</v>
      </c>
      <c r="AY1189" s="498">
        <f t="shared" si="419"/>
        <v>0</v>
      </c>
      <c r="BB1189" s="498" t="str">
        <f t="shared" si="420"/>
        <v/>
      </c>
      <c r="BC1189" s="743" t="str">
        <f t="shared" si="421"/>
        <v/>
      </c>
      <c r="BD1189" s="743" t="str">
        <f t="shared" si="422"/>
        <v/>
      </c>
      <c r="BE1189" s="743" t="str">
        <f>IF(D1189="","",VLOOKUP(D1189,'General Basis'!$J$39:$K$46,2,0))</f>
        <v/>
      </c>
      <c r="BF1189" s="744" t="str">
        <f>IF(D1189="","",VLOOKUP(D1189,'General Basis'!$J$39:$L$46,3,0))</f>
        <v/>
      </c>
      <c r="BG1189" s="744" t="str">
        <f t="shared" si="429"/>
        <v/>
      </c>
      <c r="BH1189" s="744" t="str">
        <f>IF(G1189="","",IF(BF1189="Abu Dhabi",IF(G1189&lt;18,'General Basis'!$C$39,IF(G1189&lt;41,'General Basis'!$C$40,IF(G1189&lt;60,'General Basis'!$C$41,IF(G1189&lt;65,'General Basis'!$C$42,'General Basis'!$C$43)))),IF(G1189&lt;11,'General Basis'!$B$39,IF(G1189&lt;18,'General Basis'!$B$40,IF(G1189&lt;26,'General Basis'!$B$41,IF(G1189&lt;31,'General Basis'!$B$42,IF(G1189&lt;36,'General Basis'!$B$43,IF(G1189&lt;41,'General Basis'!$B$44,IF(G1189&lt;46,'General Basis'!$B$45,IF(G1189&lt;51,'General Basis'!$B$46,IF(G1189&lt;56,'General Basis'!$B$47,IF(G1189&lt;60,'General Basis'!$B$48,IF(G1189&lt;65,'General Basis'!$B$49,'General Basis'!$B$50)))))))))))))</f>
        <v/>
      </c>
      <c r="BI1189" s="744" t="str">
        <f t="shared" si="423"/>
        <v/>
      </c>
      <c r="BJ1189" s="747" t="str">
        <f t="shared" si="430"/>
        <v/>
      </c>
      <c r="BK1189" s="498" t="str">
        <f t="shared" si="424"/>
        <v/>
      </c>
      <c r="BL1189" s="498" t="str">
        <f t="shared" si="425"/>
        <v/>
      </c>
    </row>
    <row r="1190" spans="1:64" x14ac:dyDescent="0.25">
      <c r="A1190" s="762">
        <f t="shared" si="426"/>
        <v>1185</v>
      </c>
      <c r="B1190" s="229"/>
      <c r="C1190" s="223"/>
      <c r="D1190" s="224"/>
      <c r="E1190" s="225"/>
      <c r="F1190" s="1036" t="str">
        <f t="shared" si="432"/>
        <v/>
      </c>
      <c r="G1190" s="1037" t="str">
        <f t="shared" si="427"/>
        <v/>
      </c>
      <c r="H1190" s="225"/>
      <c r="I1190" s="1013"/>
      <c r="J1190" s="1013"/>
      <c r="K1190" s="1028"/>
      <c r="L1190" s="1035" t="str">
        <f t="shared" si="431"/>
        <v/>
      </c>
      <c r="S1190" s="498"/>
      <c r="AJ1190" s="498"/>
      <c r="AM1190" s="498">
        <f t="shared" si="412"/>
        <v>0</v>
      </c>
      <c r="AN1190" s="498">
        <f t="shared" si="413"/>
        <v>0</v>
      </c>
      <c r="AO1190" s="498">
        <f t="shared" si="414"/>
        <v>0</v>
      </c>
      <c r="AP1190" s="498">
        <f t="shared" si="433"/>
        <v>0</v>
      </c>
      <c r="AQ1190" s="498">
        <f t="shared" si="428"/>
        <v>0</v>
      </c>
      <c r="AU1190" s="498">
        <f t="shared" si="415"/>
        <v>0</v>
      </c>
      <c r="AV1190" s="498">
        <f t="shared" si="416"/>
        <v>0</v>
      </c>
      <c r="AW1190" s="498">
        <f t="shared" si="417"/>
        <v>0</v>
      </c>
      <c r="AX1190" s="498">
        <f t="shared" si="418"/>
        <v>0</v>
      </c>
      <c r="AY1190" s="498">
        <f t="shared" si="419"/>
        <v>0</v>
      </c>
      <c r="BB1190" s="498" t="str">
        <f t="shared" si="420"/>
        <v/>
      </c>
      <c r="BC1190" s="743" t="str">
        <f t="shared" si="421"/>
        <v/>
      </c>
      <c r="BD1190" s="743" t="str">
        <f t="shared" si="422"/>
        <v/>
      </c>
      <c r="BE1190" s="743" t="str">
        <f>IF(D1190="","",VLOOKUP(D1190,'General Basis'!$J$39:$K$46,2,0))</f>
        <v/>
      </c>
      <c r="BF1190" s="744" t="str">
        <f>IF(D1190="","",VLOOKUP(D1190,'General Basis'!$J$39:$L$46,3,0))</f>
        <v/>
      </c>
      <c r="BG1190" s="744" t="str">
        <f t="shared" si="429"/>
        <v/>
      </c>
      <c r="BH1190" s="744" t="str">
        <f>IF(G1190="","",IF(BF1190="Abu Dhabi",IF(G1190&lt;18,'General Basis'!$C$39,IF(G1190&lt;41,'General Basis'!$C$40,IF(G1190&lt;60,'General Basis'!$C$41,IF(G1190&lt;65,'General Basis'!$C$42,'General Basis'!$C$43)))),IF(G1190&lt;11,'General Basis'!$B$39,IF(G1190&lt;18,'General Basis'!$B$40,IF(G1190&lt;26,'General Basis'!$B$41,IF(G1190&lt;31,'General Basis'!$B$42,IF(G1190&lt;36,'General Basis'!$B$43,IF(G1190&lt;41,'General Basis'!$B$44,IF(G1190&lt;46,'General Basis'!$B$45,IF(G1190&lt;51,'General Basis'!$B$46,IF(G1190&lt;56,'General Basis'!$B$47,IF(G1190&lt;60,'General Basis'!$B$48,IF(G1190&lt;65,'General Basis'!$B$49,'General Basis'!$B$50)))))))))))))</f>
        <v/>
      </c>
      <c r="BI1190" s="744" t="str">
        <f t="shared" si="423"/>
        <v/>
      </c>
      <c r="BJ1190" s="747" t="str">
        <f t="shared" si="430"/>
        <v/>
      </c>
      <c r="BK1190" s="498" t="str">
        <f t="shared" si="424"/>
        <v/>
      </c>
      <c r="BL1190" s="498" t="str">
        <f t="shared" si="425"/>
        <v/>
      </c>
    </row>
    <row r="1191" spans="1:64" x14ac:dyDescent="0.25">
      <c r="A1191" s="762">
        <f t="shared" si="426"/>
        <v>1186</v>
      </c>
      <c r="B1191" s="229"/>
      <c r="C1191" s="223"/>
      <c r="D1191" s="224"/>
      <c r="E1191" s="225"/>
      <c r="F1191" s="1036" t="str">
        <f t="shared" si="432"/>
        <v/>
      </c>
      <c r="G1191" s="1037" t="str">
        <f t="shared" si="427"/>
        <v/>
      </c>
      <c r="H1191" s="225"/>
      <c r="I1191" s="1013"/>
      <c r="J1191" s="1013"/>
      <c r="K1191" s="1028"/>
      <c r="L1191" s="1035" t="str">
        <f t="shared" si="431"/>
        <v/>
      </c>
      <c r="S1191" s="498"/>
      <c r="AJ1191" s="498"/>
      <c r="AM1191" s="498">
        <f t="shared" si="412"/>
        <v>0</v>
      </c>
      <c r="AN1191" s="498">
        <f t="shared" si="413"/>
        <v>0</v>
      </c>
      <c r="AO1191" s="498">
        <f t="shared" si="414"/>
        <v>0</v>
      </c>
      <c r="AP1191" s="498">
        <f t="shared" si="433"/>
        <v>0</v>
      </c>
      <c r="AQ1191" s="498">
        <f t="shared" si="428"/>
        <v>0</v>
      </c>
      <c r="AU1191" s="498">
        <f t="shared" si="415"/>
        <v>0</v>
      </c>
      <c r="AV1191" s="498">
        <f t="shared" si="416"/>
        <v>0</v>
      </c>
      <c r="AW1191" s="498">
        <f t="shared" si="417"/>
        <v>0</v>
      </c>
      <c r="AX1191" s="498">
        <f t="shared" si="418"/>
        <v>0</v>
      </c>
      <c r="AY1191" s="498">
        <f t="shared" si="419"/>
        <v>0</v>
      </c>
      <c r="BB1191" s="498" t="str">
        <f t="shared" si="420"/>
        <v/>
      </c>
      <c r="BC1191" s="743" t="str">
        <f t="shared" si="421"/>
        <v/>
      </c>
      <c r="BD1191" s="743" t="str">
        <f t="shared" si="422"/>
        <v/>
      </c>
      <c r="BE1191" s="743" t="str">
        <f>IF(D1191="","",VLOOKUP(D1191,'General Basis'!$J$39:$K$46,2,0))</f>
        <v/>
      </c>
      <c r="BF1191" s="744" t="str">
        <f>IF(D1191="","",VLOOKUP(D1191,'General Basis'!$J$39:$L$46,3,0))</f>
        <v/>
      </c>
      <c r="BG1191" s="744" t="str">
        <f t="shared" si="429"/>
        <v/>
      </c>
      <c r="BH1191" s="744" t="str">
        <f>IF(G1191="","",IF(BF1191="Abu Dhabi",IF(G1191&lt;18,'General Basis'!$C$39,IF(G1191&lt;41,'General Basis'!$C$40,IF(G1191&lt;60,'General Basis'!$C$41,IF(G1191&lt;65,'General Basis'!$C$42,'General Basis'!$C$43)))),IF(G1191&lt;11,'General Basis'!$B$39,IF(G1191&lt;18,'General Basis'!$B$40,IF(G1191&lt;26,'General Basis'!$B$41,IF(G1191&lt;31,'General Basis'!$B$42,IF(G1191&lt;36,'General Basis'!$B$43,IF(G1191&lt;41,'General Basis'!$B$44,IF(G1191&lt;46,'General Basis'!$B$45,IF(G1191&lt;51,'General Basis'!$B$46,IF(G1191&lt;56,'General Basis'!$B$47,IF(G1191&lt;60,'General Basis'!$B$48,IF(G1191&lt;65,'General Basis'!$B$49,'General Basis'!$B$50)))))))))))))</f>
        <v/>
      </c>
      <c r="BI1191" s="744" t="str">
        <f t="shared" si="423"/>
        <v/>
      </c>
      <c r="BJ1191" s="747" t="str">
        <f t="shared" si="430"/>
        <v/>
      </c>
      <c r="BK1191" s="498" t="str">
        <f t="shared" si="424"/>
        <v/>
      </c>
      <c r="BL1191" s="498" t="str">
        <f t="shared" si="425"/>
        <v/>
      </c>
    </row>
    <row r="1192" spans="1:64" x14ac:dyDescent="0.25">
      <c r="A1192" s="762">
        <f t="shared" si="426"/>
        <v>1187</v>
      </c>
      <c r="B1192" s="229"/>
      <c r="C1192" s="223"/>
      <c r="D1192" s="224"/>
      <c r="E1192" s="225"/>
      <c r="F1192" s="1036" t="str">
        <f t="shared" si="432"/>
        <v/>
      </c>
      <c r="G1192" s="1037" t="str">
        <f t="shared" si="427"/>
        <v/>
      </c>
      <c r="H1192" s="225"/>
      <c r="I1192" s="1013"/>
      <c r="J1192" s="1013"/>
      <c r="K1192" s="1028"/>
      <c r="L1192" s="1035" t="str">
        <f t="shared" si="431"/>
        <v/>
      </c>
      <c r="S1192" s="498"/>
      <c r="AJ1192" s="498"/>
      <c r="AM1192" s="498">
        <f t="shared" si="412"/>
        <v>0</v>
      </c>
      <c r="AN1192" s="498">
        <f t="shared" si="413"/>
        <v>0</v>
      </c>
      <c r="AO1192" s="498">
        <f t="shared" si="414"/>
        <v>0</v>
      </c>
      <c r="AP1192" s="498">
        <f t="shared" si="433"/>
        <v>0</v>
      </c>
      <c r="AQ1192" s="498">
        <f t="shared" si="428"/>
        <v>0</v>
      </c>
      <c r="AU1192" s="498">
        <f t="shared" si="415"/>
        <v>0</v>
      </c>
      <c r="AV1192" s="498">
        <f t="shared" si="416"/>
        <v>0</v>
      </c>
      <c r="AW1192" s="498">
        <f t="shared" si="417"/>
        <v>0</v>
      </c>
      <c r="AX1192" s="498">
        <f t="shared" si="418"/>
        <v>0</v>
      </c>
      <c r="AY1192" s="498">
        <f t="shared" si="419"/>
        <v>0</v>
      </c>
      <c r="BB1192" s="498" t="str">
        <f t="shared" si="420"/>
        <v/>
      </c>
      <c r="BC1192" s="743" t="str">
        <f t="shared" si="421"/>
        <v/>
      </c>
      <c r="BD1192" s="743" t="str">
        <f t="shared" si="422"/>
        <v/>
      </c>
      <c r="BE1192" s="743" t="str">
        <f>IF(D1192="","",VLOOKUP(D1192,'General Basis'!$J$39:$K$46,2,0))</f>
        <v/>
      </c>
      <c r="BF1192" s="744" t="str">
        <f>IF(D1192="","",VLOOKUP(D1192,'General Basis'!$J$39:$L$46,3,0))</f>
        <v/>
      </c>
      <c r="BG1192" s="744" t="str">
        <f t="shared" si="429"/>
        <v/>
      </c>
      <c r="BH1192" s="744" t="str">
        <f>IF(G1192="","",IF(BF1192="Abu Dhabi",IF(G1192&lt;18,'General Basis'!$C$39,IF(G1192&lt;41,'General Basis'!$C$40,IF(G1192&lt;60,'General Basis'!$C$41,IF(G1192&lt;65,'General Basis'!$C$42,'General Basis'!$C$43)))),IF(G1192&lt;11,'General Basis'!$B$39,IF(G1192&lt;18,'General Basis'!$B$40,IF(G1192&lt;26,'General Basis'!$B$41,IF(G1192&lt;31,'General Basis'!$B$42,IF(G1192&lt;36,'General Basis'!$B$43,IF(G1192&lt;41,'General Basis'!$B$44,IF(G1192&lt;46,'General Basis'!$B$45,IF(G1192&lt;51,'General Basis'!$B$46,IF(G1192&lt;56,'General Basis'!$B$47,IF(G1192&lt;60,'General Basis'!$B$48,IF(G1192&lt;65,'General Basis'!$B$49,'General Basis'!$B$50)))))))))))))</f>
        <v/>
      </c>
      <c r="BI1192" s="744" t="str">
        <f t="shared" si="423"/>
        <v/>
      </c>
      <c r="BJ1192" s="747" t="str">
        <f t="shared" si="430"/>
        <v/>
      </c>
      <c r="BK1192" s="498" t="str">
        <f t="shared" si="424"/>
        <v/>
      </c>
      <c r="BL1192" s="498" t="str">
        <f t="shared" si="425"/>
        <v/>
      </c>
    </row>
    <row r="1193" spans="1:64" x14ac:dyDescent="0.25">
      <c r="A1193" s="762">
        <f t="shared" si="426"/>
        <v>1188</v>
      </c>
      <c r="B1193" s="229"/>
      <c r="C1193" s="223"/>
      <c r="D1193" s="224"/>
      <c r="E1193" s="225"/>
      <c r="F1193" s="1036" t="str">
        <f t="shared" si="432"/>
        <v/>
      </c>
      <c r="G1193" s="1037" t="str">
        <f t="shared" si="427"/>
        <v/>
      </c>
      <c r="H1193" s="225"/>
      <c r="I1193" s="1013"/>
      <c r="J1193" s="1013"/>
      <c r="K1193" s="1028"/>
      <c r="L1193" s="1035" t="str">
        <f t="shared" si="431"/>
        <v/>
      </c>
      <c r="S1193" s="498"/>
      <c r="AJ1193" s="498"/>
      <c r="AM1193" s="498">
        <f t="shared" si="412"/>
        <v>0</v>
      </c>
      <c r="AN1193" s="498">
        <f t="shared" si="413"/>
        <v>0</v>
      </c>
      <c r="AO1193" s="498">
        <f t="shared" si="414"/>
        <v>0</v>
      </c>
      <c r="AP1193" s="498">
        <f t="shared" si="433"/>
        <v>0</v>
      </c>
      <c r="AQ1193" s="498">
        <f t="shared" si="428"/>
        <v>0</v>
      </c>
      <c r="AU1193" s="498">
        <f t="shared" si="415"/>
        <v>0</v>
      </c>
      <c r="AV1193" s="498">
        <f t="shared" si="416"/>
        <v>0</v>
      </c>
      <c r="AW1193" s="498">
        <f t="shared" si="417"/>
        <v>0</v>
      </c>
      <c r="AX1193" s="498">
        <f t="shared" si="418"/>
        <v>0</v>
      </c>
      <c r="AY1193" s="498">
        <f t="shared" si="419"/>
        <v>0</v>
      </c>
      <c r="BB1193" s="498" t="str">
        <f t="shared" si="420"/>
        <v/>
      </c>
      <c r="BC1193" s="743" t="str">
        <f t="shared" si="421"/>
        <v/>
      </c>
      <c r="BD1193" s="743" t="str">
        <f t="shared" si="422"/>
        <v/>
      </c>
      <c r="BE1193" s="743" t="str">
        <f>IF(D1193="","",VLOOKUP(D1193,'General Basis'!$J$39:$K$46,2,0))</f>
        <v/>
      </c>
      <c r="BF1193" s="744" t="str">
        <f>IF(D1193="","",VLOOKUP(D1193,'General Basis'!$J$39:$L$46,3,0))</f>
        <v/>
      </c>
      <c r="BG1193" s="744" t="str">
        <f t="shared" si="429"/>
        <v/>
      </c>
      <c r="BH1193" s="744" t="str">
        <f>IF(G1193="","",IF(BF1193="Abu Dhabi",IF(G1193&lt;18,'General Basis'!$C$39,IF(G1193&lt;41,'General Basis'!$C$40,IF(G1193&lt;60,'General Basis'!$C$41,IF(G1193&lt;65,'General Basis'!$C$42,'General Basis'!$C$43)))),IF(G1193&lt;11,'General Basis'!$B$39,IF(G1193&lt;18,'General Basis'!$B$40,IF(G1193&lt;26,'General Basis'!$B$41,IF(G1193&lt;31,'General Basis'!$B$42,IF(G1193&lt;36,'General Basis'!$B$43,IF(G1193&lt;41,'General Basis'!$B$44,IF(G1193&lt;46,'General Basis'!$B$45,IF(G1193&lt;51,'General Basis'!$B$46,IF(G1193&lt;56,'General Basis'!$B$47,IF(G1193&lt;60,'General Basis'!$B$48,IF(G1193&lt;65,'General Basis'!$B$49,'General Basis'!$B$50)))))))))))))</f>
        <v/>
      </c>
      <c r="BI1193" s="744" t="str">
        <f t="shared" si="423"/>
        <v/>
      </c>
      <c r="BJ1193" s="747" t="str">
        <f t="shared" si="430"/>
        <v/>
      </c>
      <c r="BK1193" s="498" t="str">
        <f t="shared" si="424"/>
        <v/>
      </c>
      <c r="BL1193" s="498" t="str">
        <f t="shared" si="425"/>
        <v/>
      </c>
    </row>
    <row r="1194" spans="1:64" x14ac:dyDescent="0.25">
      <c r="A1194" s="762">
        <f t="shared" si="426"/>
        <v>1189</v>
      </c>
      <c r="B1194" s="229"/>
      <c r="C1194" s="223"/>
      <c r="D1194" s="224"/>
      <c r="E1194" s="225"/>
      <c r="F1194" s="1036" t="str">
        <f t="shared" si="432"/>
        <v/>
      </c>
      <c r="G1194" s="1037" t="str">
        <f t="shared" si="427"/>
        <v/>
      </c>
      <c r="H1194" s="225"/>
      <c r="I1194" s="1013"/>
      <c r="J1194" s="1013"/>
      <c r="K1194" s="1028"/>
      <c r="L1194" s="1035" t="str">
        <f t="shared" si="431"/>
        <v/>
      </c>
      <c r="S1194" s="498"/>
      <c r="AJ1194" s="498"/>
      <c r="AM1194" s="498">
        <f t="shared" si="412"/>
        <v>0</v>
      </c>
      <c r="AN1194" s="498">
        <f t="shared" si="413"/>
        <v>0</v>
      </c>
      <c r="AO1194" s="498">
        <f t="shared" si="414"/>
        <v>0</v>
      </c>
      <c r="AP1194" s="498">
        <f t="shared" si="433"/>
        <v>0</v>
      </c>
      <c r="AQ1194" s="498">
        <f t="shared" si="428"/>
        <v>0</v>
      </c>
      <c r="AU1194" s="498">
        <f t="shared" si="415"/>
        <v>0</v>
      </c>
      <c r="AV1194" s="498">
        <f t="shared" si="416"/>
        <v>0</v>
      </c>
      <c r="AW1194" s="498">
        <f t="shared" si="417"/>
        <v>0</v>
      </c>
      <c r="AX1194" s="498">
        <f t="shared" si="418"/>
        <v>0</v>
      </c>
      <c r="AY1194" s="498">
        <f t="shared" si="419"/>
        <v>0</v>
      </c>
      <c r="BB1194" s="498" t="str">
        <f t="shared" si="420"/>
        <v/>
      </c>
      <c r="BC1194" s="743" t="str">
        <f t="shared" si="421"/>
        <v/>
      </c>
      <c r="BD1194" s="743" t="str">
        <f t="shared" si="422"/>
        <v/>
      </c>
      <c r="BE1194" s="743" t="str">
        <f>IF(D1194="","",VLOOKUP(D1194,'General Basis'!$J$39:$K$46,2,0))</f>
        <v/>
      </c>
      <c r="BF1194" s="744" t="str">
        <f>IF(D1194="","",VLOOKUP(D1194,'General Basis'!$J$39:$L$46,3,0))</f>
        <v/>
      </c>
      <c r="BG1194" s="744" t="str">
        <f t="shared" si="429"/>
        <v/>
      </c>
      <c r="BH1194" s="744" t="str">
        <f>IF(G1194="","",IF(BF1194="Abu Dhabi",IF(G1194&lt;18,'General Basis'!$C$39,IF(G1194&lt;41,'General Basis'!$C$40,IF(G1194&lt;60,'General Basis'!$C$41,IF(G1194&lt;65,'General Basis'!$C$42,'General Basis'!$C$43)))),IF(G1194&lt;11,'General Basis'!$B$39,IF(G1194&lt;18,'General Basis'!$B$40,IF(G1194&lt;26,'General Basis'!$B$41,IF(G1194&lt;31,'General Basis'!$B$42,IF(G1194&lt;36,'General Basis'!$B$43,IF(G1194&lt;41,'General Basis'!$B$44,IF(G1194&lt;46,'General Basis'!$B$45,IF(G1194&lt;51,'General Basis'!$B$46,IF(G1194&lt;56,'General Basis'!$B$47,IF(G1194&lt;60,'General Basis'!$B$48,IF(G1194&lt;65,'General Basis'!$B$49,'General Basis'!$B$50)))))))))))))</f>
        <v/>
      </c>
      <c r="BI1194" s="744" t="str">
        <f t="shared" si="423"/>
        <v/>
      </c>
      <c r="BJ1194" s="747" t="str">
        <f t="shared" si="430"/>
        <v/>
      </c>
      <c r="BK1194" s="498" t="str">
        <f t="shared" si="424"/>
        <v/>
      </c>
      <c r="BL1194" s="498" t="str">
        <f t="shared" si="425"/>
        <v/>
      </c>
    </row>
    <row r="1195" spans="1:64" x14ac:dyDescent="0.25">
      <c r="A1195" s="762">
        <f t="shared" si="426"/>
        <v>1190</v>
      </c>
      <c r="B1195" s="229"/>
      <c r="C1195" s="223"/>
      <c r="D1195" s="224"/>
      <c r="E1195" s="225"/>
      <c r="F1195" s="1036" t="str">
        <f t="shared" si="432"/>
        <v/>
      </c>
      <c r="G1195" s="1037" t="str">
        <f t="shared" si="427"/>
        <v/>
      </c>
      <c r="H1195" s="225"/>
      <c r="I1195" s="1013"/>
      <c r="J1195" s="1013"/>
      <c r="K1195" s="1028"/>
      <c r="L1195" s="1035" t="str">
        <f t="shared" si="431"/>
        <v/>
      </c>
      <c r="S1195" s="498"/>
      <c r="AJ1195" s="498"/>
      <c r="AM1195" s="498">
        <f t="shared" si="412"/>
        <v>0</v>
      </c>
      <c r="AN1195" s="498">
        <f t="shared" si="413"/>
        <v>0</v>
      </c>
      <c r="AO1195" s="498">
        <f t="shared" si="414"/>
        <v>0</v>
      </c>
      <c r="AP1195" s="498">
        <f t="shared" si="433"/>
        <v>0</v>
      </c>
      <c r="AQ1195" s="498">
        <f t="shared" si="428"/>
        <v>0</v>
      </c>
      <c r="AU1195" s="498">
        <f t="shared" si="415"/>
        <v>0</v>
      </c>
      <c r="AV1195" s="498">
        <f t="shared" si="416"/>
        <v>0</v>
      </c>
      <c r="AW1195" s="498">
        <f t="shared" si="417"/>
        <v>0</v>
      </c>
      <c r="AX1195" s="498">
        <f t="shared" si="418"/>
        <v>0</v>
      </c>
      <c r="AY1195" s="498">
        <f t="shared" si="419"/>
        <v>0</v>
      </c>
      <c r="BB1195" s="498" t="str">
        <f t="shared" si="420"/>
        <v/>
      </c>
      <c r="BC1195" s="743" t="str">
        <f t="shared" si="421"/>
        <v/>
      </c>
      <c r="BD1195" s="743" t="str">
        <f t="shared" si="422"/>
        <v/>
      </c>
      <c r="BE1195" s="743" t="str">
        <f>IF(D1195="","",VLOOKUP(D1195,'General Basis'!$J$39:$K$46,2,0))</f>
        <v/>
      </c>
      <c r="BF1195" s="744" t="str">
        <f>IF(D1195="","",VLOOKUP(D1195,'General Basis'!$J$39:$L$46,3,0))</f>
        <v/>
      </c>
      <c r="BG1195" s="744" t="str">
        <f t="shared" si="429"/>
        <v/>
      </c>
      <c r="BH1195" s="744" t="str">
        <f>IF(G1195="","",IF(BF1195="Abu Dhabi",IF(G1195&lt;18,'General Basis'!$C$39,IF(G1195&lt;41,'General Basis'!$C$40,IF(G1195&lt;60,'General Basis'!$C$41,IF(G1195&lt;65,'General Basis'!$C$42,'General Basis'!$C$43)))),IF(G1195&lt;11,'General Basis'!$B$39,IF(G1195&lt;18,'General Basis'!$B$40,IF(G1195&lt;26,'General Basis'!$B$41,IF(G1195&lt;31,'General Basis'!$B$42,IF(G1195&lt;36,'General Basis'!$B$43,IF(G1195&lt;41,'General Basis'!$B$44,IF(G1195&lt;46,'General Basis'!$B$45,IF(G1195&lt;51,'General Basis'!$B$46,IF(G1195&lt;56,'General Basis'!$B$47,IF(G1195&lt;60,'General Basis'!$B$48,IF(G1195&lt;65,'General Basis'!$B$49,'General Basis'!$B$50)))))))))))))</f>
        <v/>
      </c>
      <c r="BI1195" s="744" t="str">
        <f t="shared" si="423"/>
        <v/>
      </c>
      <c r="BJ1195" s="747" t="str">
        <f t="shared" si="430"/>
        <v/>
      </c>
      <c r="BK1195" s="498" t="str">
        <f t="shared" si="424"/>
        <v/>
      </c>
      <c r="BL1195" s="498" t="str">
        <f t="shared" si="425"/>
        <v/>
      </c>
    </row>
    <row r="1196" spans="1:64" x14ac:dyDescent="0.25">
      <c r="A1196" s="762">
        <f t="shared" si="426"/>
        <v>1191</v>
      </c>
      <c r="B1196" s="229"/>
      <c r="C1196" s="223"/>
      <c r="D1196" s="224"/>
      <c r="E1196" s="225"/>
      <c r="F1196" s="1036" t="str">
        <f t="shared" si="432"/>
        <v/>
      </c>
      <c r="G1196" s="1037" t="str">
        <f t="shared" si="427"/>
        <v/>
      </c>
      <c r="H1196" s="225"/>
      <c r="I1196" s="1013"/>
      <c r="J1196" s="1013"/>
      <c r="K1196" s="1028"/>
      <c r="L1196" s="1035" t="str">
        <f t="shared" si="431"/>
        <v/>
      </c>
      <c r="S1196" s="498"/>
      <c r="AJ1196" s="498"/>
      <c r="AM1196" s="498">
        <f t="shared" si="412"/>
        <v>0</v>
      </c>
      <c r="AN1196" s="498">
        <f t="shared" si="413"/>
        <v>0</v>
      </c>
      <c r="AO1196" s="498">
        <f t="shared" si="414"/>
        <v>0</v>
      </c>
      <c r="AP1196" s="498">
        <f t="shared" si="433"/>
        <v>0</v>
      </c>
      <c r="AQ1196" s="498">
        <f t="shared" si="428"/>
        <v>0</v>
      </c>
      <c r="AU1196" s="498">
        <f t="shared" si="415"/>
        <v>0</v>
      </c>
      <c r="AV1196" s="498">
        <f t="shared" si="416"/>
        <v>0</v>
      </c>
      <c r="AW1196" s="498">
        <f t="shared" si="417"/>
        <v>0</v>
      </c>
      <c r="AX1196" s="498">
        <f t="shared" si="418"/>
        <v>0</v>
      </c>
      <c r="AY1196" s="498">
        <f t="shared" si="419"/>
        <v>0</v>
      </c>
      <c r="BB1196" s="498" t="str">
        <f t="shared" si="420"/>
        <v/>
      </c>
      <c r="BC1196" s="743" t="str">
        <f t="shared" si="421"/>
        <v/>
      </c>
      <c r="BD1196" s="743" t="str">
        <f t="shared" si="422"/>
        <v/>
      </c>
      <c r="BE1196" s="743" t="str">
        <f>IF(D1196="","",VLOOKUP(D1196,'General Basis'!$J$39:$K$46,2,0))</f>
        <v/>
      </c>
      <c r="BF1196" s="744" t="str">
        <f>IF(D1196="","",VLOOKUP(D1196,'General Basis'!$J$39:$L$46,3,0))</f>
        <v/>
      </c>
      <c r="BG1196" s="744" t="str">
        <f t="shared" si="429"/>
        <v/>
      </c>
      <c r="BH1196" s="744" t="str">
        <f>IF(G1196="","",IF(BF1196="Abu Dhabi",IF(G1196&lt;18,'General Basis'!$C$39,IF(G1196&lt;41,'General Basis'!$C$40,IF(G1196&lt;60,'General Basis'!$C$41,IF(G1196&lt;65,'General Basis'!$C$42,'General Basis'!$C$43)))),IF(G1196&lt;11,'General Basis'!$B$39,IF(G1196&lt;18,'General Basis'!$B$40,IF(G1196&lt;26,'General Basis'!$B$41,IF(G1196&lt;31,'General Basis'!$B$42,IF(G1196&lt;36,'General Basis'!$B$43,IF(G1196&lt;41,'General Basis'!$B$44,IF(G1196&lt;46,'General Basis'!$B$45,IF(G1196&lt;51,'General Basis'!$B$46,IF(G1196&lt;56,'General Basis'!$B$47,IF(G1196&lt;60,'General Basis'!$B$48,IF(G1196&lt;65,'General Basis'!$B$49,'General Basis'!$B$50)))))))))))))</f>
        <v/>
      </c>
      <c r="BI1196" s="744" t="str">
        <f t="shared" si="423"/>
        <v/>
      </c>
      <c r="BJ1196" s="747" t="str">
        <f t="shared" si="430"/>
        <v/>
      </c>
      <c r="BK1196" s="498" t="str">
        <f t="shared" si="424"/>
        <v/>
      </c>
      <c r="BL1196" s="498" t="str">
        <f t="shared" si="425"/>
        <v/>
      </c>
    </row>
    <row r="1197" spans="1:64" x14ac:dyDescent="0.25">
      <c r="A1197" s="762">
        <f t="shared" si="426"/>
        <v>1192</v>
      </c>
      <c r="B1197" s="229"/>
      <c r="C1197" s="223"/>
      <c r="D1197" s="224"/>
      <c r="E1197" s="225"/>
      <c r="F1197" s="1036" t="str">
        <f t="shared" si="432"/>
        <v/>
      </c>
      <c r="G1197" s="1037" t="str">
        <f t="shared" si="427"/>
        <v/>
      </c>
      <c r="H1197" s="225"/>
      <c r="I1197" s="1013"/>
      <c r="J1197" s="1013"/>
      <c r="K1197" s="1028"/>
      <c r="L1197" s="1035" t="str">
        <f t="shared" si="431"/>
        <v/>
      </c>
      <c r="S1197" s="498"/>
      <c r="AJ1197" s="498"/>
      <c r="AM1197" s="498">
        <f t="shared" si="412"/>
        <v>0</v>
      </c>
      <c r="AN1197" s="498">
        <f t="shared" si="413"/>
        <v>0</v>
      </c>
      <c r="AO1197" s="498">
        <f t="shared" si="414"/>
        <v>0</v>
      </c>
      <c r="AP1197" s="498">
        <f t="shared" si="433"/>
        <v>0</v>
      </c>
      <c r="AQ1197" s="498">
        <f t="shared" si="428"/>
        <v>0</v>
      </c>
      <c r="AU1197" s="498">
        <f t="shared" si="415"/>
        <v>0</v>
      </c>
      <c r="AV1197" s="498">
        <f t="shared" si="416"/>
        <v>0</v>
      </c>
      <c r="AW1197" s="498">
        <f t="shared" si="417"/>
        <v>0</v>
      </c>
      <c r="AX1197" s="498">
        <f t="shared" si="418"/>
        <v>0</v>
      </c>
      <c r="AY1197" s="498">
        <f t="shared" si="419"/>
        <v>0</v>
      </c>
      <c r="BB1197" s="498" t="str">
        <f t="shared" si="420"/>
        <v/>
      </c>
      <c r="BC1197" s="743" t="str">
        <f t="shared" si="421"/>
        <v/>
      </c>
      <c r="BD1197" s="743" t="str">
        <f t="shared" si="422"/>
        <v/>
      </c>
      <c r="BE1197" s="743" t="str">
        <f>IF(D1197="","",VLOOKUP(D1197,'General Basis'!$J$39:$K$46,2,0))</f>
        <v/>
      </c>
      <c r="BF1197" s="744" t="str">
        <f>IF(D1197="","",VLOOKUP(D1197,'General Basis'!$J$39:$L$46,3,0))</f>
        <v/>
      </c>
      <c r="BG1197" s="744" t="str">
        <f t="shared" si="429"/>
        <v/>
      </c>
      <c r="BH1197" s="744" t="str">
        <f>IF(G1197="","",IF(BF1197="Abu Dhabi",IF(G1197&lt;18,'General Basis'!$C$39,IF(G1197&lt;41,'General Basis'!$C$40,IF(G1197&lt;60,'General Basis'!$C$41,IF(G1197&lt;65,'General Basis'!$C$42,'General Basis'!$C$43)))),IF(G1197&lt;11,'General Basis'!$B$39,IF(G1197&lt;18,'General Basis'!$B$40,IF(G1197&lt;26,'General Basis'!$B$41,IF(G1197&lt;31,'General Basis'!$B$42,IF(G1197&lt;36,'General Basis'!$B$43,IF(G1197&lt;41,'General Basis'!$B$44,IF(G1197&lt;46,'General Basis'!$B$45,IF(G1197&lt;51,'General Basis'!$B$46,IF(G1197&lt;56,'General Basis'!$B$47,IF(G1197&lt;60,'General Basis'!$B$48,IF(G1197&lt;65,'General Basis'!$B$49,'General Basis'!$B$50)))))))))))))</f>
        <v/>
      </c>
      <c r="BI1197" s="744" t="str">
        <f t="shared" si="423"/>
        <v/>
      </c>
      <c r="BJ1197" s="747" t="str">
        <f t="shared" si="430"/>
        <v/>
      </c>
      <c r="BK1197" s="498" t="str">
        <f t="shared" si="424"/>
        <v/>
      </c>
      <c r="BL1197" s="498" t="str">
        <f t="shared" si="425"/>
        <v/>
      </c>
    </row>
    <row r="1198" spans="1:64" x14ac:dyDescent="0.25">
      <c r="A1198" s="762">
        <f t="shared" si="426"/>
        <v>1193</v>
      </c>
      <c r="B1198" s="229"/>
      <c r="C1198" s="223"/>
      <c r="D1198" s="224"/>
      <c r="E1198" s="225"/>
      <c r="F1198" s="1036" t="str">
        <f t="shared" si="432"/>
        <v/>
      </c>
      <c r="G1198" s="1037" t="str">
        <f t="shared" si="427"/>
        <v/>
      </c>
      <c r="H1198" s="225"/>
      <c r="I1198" s="1013"/>
      <c r="J1198" s="1013"/>
      <c r="K1198" s="1028"/>
      <c r="L1198" s="1035" t="str">
        <f t="shared" si="431"/>
        <v/>
      </c>
      <c r="S1198" s="498"/>
      <c r="AJ1198" s="498"/>
      <c r="AM1198" s="498">
        <f t="shared" si="412"/>
        <v>0</v>
      </c>
      <c r="AN1198" s="498">
        <f t="shared" si="413"/>
        <v>0</v>
      </c>
      <c r="AO1198" s="498">
        <f t="shared" si="414"/>
        <v>0</v>
      </c>
      <c r="AP1198" s="498">
        <f t="shared" si="433"/>
        <v>0</v>
      </c>
      <c r="AQ1198" s="498">
        <f t="shared" si="428"/>
        <v>0</v>
      </c>
      <c r="AU1198" s="498">
        <f t="shared" si="415"/>
        <v>0</v>
      </c>
      <c r="AV1198" s="498">
        <f t="shared" si="416"/>
        <v>0</v>
      </c>
      <c r="AW1198" s="498">
        <f t="shared" si="417"/>
        <v>0</v>
      </c>
      <c r="AX1198" s="498">
        <f t="shared" si="418"/>
        <v>0</v>
      </c>
      <c r="AY1198" s="498">
        <f t="shared" si="419"/>
        <v>0</v>
      </c>
      <c r="BB1198" s="498" t="str">
        <f t="shared" si="420"/>
        <v/>
      </c>
      <c r="BC1198" s="743" t="str">
        <f t="shared" si="421"/>
        <v/>
      </c>
      <c r="BD1198" s="743" t="str">
        <f t="shared" si="422"/>
        <v/>
      </c>
      <c r="BE1198" s="743" t="str">
        <f>IF(D1198="","",VLOOKUP(D1198,'General Basis'!$J$39:$K$46,2,0))</f>
        <v/>
      </c>
      <c r="BF1198" s="744" t="str">
        <f>IF(D1198="","",VLOOKUP(D1198,'General Basis'!$J$39:$L$46,3,0))</f>
        <v/>
      </c>
      <c r="BG1198" s="744" t="str">
        <f t="shared" si="429"/>
        <v/>
      </c>
      <c r="BH1198" s="744" t="str">
        <f>IF(G1198="","",IF(BF1198="Abu Dhabi",IF(G1198&lt;18,'General Basis'!$C$39,IF(G1198&lt;41,'General Basis'!$C$40,IF(G1198&lt;60,'General Basis'!$C$41,IF(G1198&lt;65,'General Basis'!$C$42,'General Basis'!$C$43)))),IF(G1198&lt;11,'General Basis'!$B$39,IF(G1198&lt;18,'General Basis'!$B$40,IF(G1198&lt;26,'General Basis'!$B$41,IF(G1198&lt;31,'General Basis'!$B$42,IF(G1198&lt;36,'General Basis'!$B$43,IF(G1198&lt;41,'General Basis'!$B$44,IF(G1198&lt;46,'General Basis'!$B$45,IF(G1198&lt;51,'General Basis'!$B$46,IF(G1198&lt;56,'General Basis'!$B$47,IF(G1198&lt;60,'General Basis'!$B$48,IF(G1198&lt;65,'General Basis'!$B$49,'General Basis'!$B$50)))))))))))))</f>
        <v/>
      </c>
      <c r="BI1198" s="744" t="str">
        <f t="shared" si="423"/>
        <v/>
      </c>
      <c r="BJ1198" s="747" t="str">
        <f t="shared" si="430"/>
        <v/>
      </c>
      <c r="BK1198" s="498" t="str">
        <f t="shared" si="424"/>
        <v/>
      </c>
      <c r="BL1198" s="498" t="str">
        <f t="shared" si="425"/>
        <v/>
      </c>
    </row>
    <row r="1199" spans="1:64" x14ac:dyDescent="0.25">
      <c r="A1199" s="762">
        <f t="shared" si="426"/>
        <v>1194</v>
      </c>
      <c r="B1199" s="229"/>
      <c r="C1199" s="223"/>
      <c r="D1199" s="224"/>
      <c r="E1199" s="225"/>
      <c r="F1199" s="1036" t="str">
        <f t="shared" si="432"/>
        <v/>
      </c>
      <c r="G1199" s="1037" t="str">
        <f t="shared" si="427"/>
        <v/>
      </c>
      <c r="H1199" s="225"/>
      <c r="I1199" s="1013"/>
      <c r="J1199" s="1013"/>
      <c r="K1199" s="1028"/>
      <c r="L1199" s="1035" t="str">
        <f t="shared" si="431"/>
        <v/>
      </c>
      <c r="S1199" s="498"/>
      <c r="AJ1199" s="498"/>
      <c r="AM1199" s="498">
        <f t="shared" si="412"/>
        <v>0</v>
      </c>
      <c r="AN1199" s="498">
        <f t="shared" si="413"/>
        <v>0</v>
      </c>
      <c r="AO1199" s="498">
        <f t="shared" si="414"/>
        <v>0</v>
      </c>
      <c r="AP1199" s="498">
        <f t="shared" si="433"/>
        <v>0</v>
      </c>
      <c r="AQ1199" s="498">
        <f t="shared" si="428"/>
        <v>0</v>
      </c>
      <c r="AU1199" s="498">
        <f t="shared" si="415"/>
        <v>0</v>
      </c>
      <c r="AV1199" s="498">
        <f t="shared" si="416"/>
        <v>0</v>
      </c>
      <c r="AW1199" s="498">
        <f t="shared" si="417"/>
        <v>0</v>
      </c>
      <c r="AX1199" s="498">
        <f t="shared" si="418"/>
        <v>0</v>
      </c>
      <c r="AY1199" s="498">
        <f t="shared" si="419"/>
        <v>0</v>
      </c>
      <c r="BB1199" s="498" t="str">
        <f t="shared" si="420"/>
        <v/>
      </c>
      <c r="BC1199" s="743" t="str">
        <f t="shared" si="421"/>
        <v/>
      </c>
      <c r="BD1199" s="743" t="str">
        <f t="shared" si="422"/>
        <v/>
      </c>
      <c r="BE1199" s="743" t="str">
        <f>IF(D1199="","",VLOOKUP(D1199,'General Basis'!$J$39:$K$46,2,0))</f>
        <v/>
      </c>
      <c r="BF1199" s="744" t="str">
        <f>IF(D1199="","",VLOOKUP(D1199,'General Basis'!$J$39:$L$46,3,0))</f>
        <v/>
      </c>
      <c r="BG1199" s="744" t="str">
        <f t="shared" si="429"/>
        <v/>
      </c>
      <c r="BH1199" s="744" t="str">
        <f>IF(G1199="","",IF(BF1199="Abu Dhabi",IF(G1199&lt;18,'General Basis'!$C$39,IF(G1199&lt;41,'General Basis'!$C$40,IF(G1199&lt;60,'General Basis'!$C$41,IF(G1199&lt;65,'General Basis'!$C$42,'General Basis'!$C$43)))),IF(G1199&lt;11,'General Basis'!$B$39,IF(G1199&lt;18,'General Basis'!$B$40,IF(G1199&lt;26,'General Basis'!$B$41,IF(G1199&lt;31,'General Basis'!$B$42,IF(G1199&lt;36,'General Basis'!$B$43,IF(G1199&lt;41,'General Basis'!$B$44,IF(G1199&lt;46,'General Basis'!$B$45,IF(G1199&lt;51,'General Basis'!$B$46,IF(G1199&lt;56,'General Basis'!$B$47,IF(G1199&lt;60,'General Basis'!$B$48,IF(G1199&lt;65,'General Basis'!$B$49,'General Basis'!$B$50)))))))))))))</f>
        <v/>
      </c>
      <c r="BI1199" s="744" t="str">
        <f t="shared" si="423"/>
        <v/>
      </c>
      <c r="BJ1199" s="747" t="str">
        <f t="shared" si="430"/>
        <v/>
      </c>
      <c r="BK1199" s="498" t="str">
        <f t="shared" si="424"/>
        <v/>
      </c>
      <c r="BL1199" s="498" t="str">
        <f t="shared" si="425"/>
        <v/>
      </c>
    </row>
    <row r="1200" spans="1:64" x14ac:dyDescent="0.25">
      <c r="A1200" s="762">
        <f t="shared" si="426"/>
        <v>1195</v>
      </c>
      <c r="B1200" s="229"/>
      <c r="C1200" s="223"/>
      <c r="D1200" s="224"/>
      <c r="E1200" s="225"/>
      <c r="F1200" s="1036" t="str">
        <f t="shared" si="432"/>
        <v/>
      </c>
      <c r="G1200" s="1037" t="str">
        <f t="shared" si="427"/>
        <v/>
      </c>
      <c r="H1200" s="225"/>
      <c r="I1200" s="1013"/>
      <c r="J1200" s="1013"/>
      <c r="K1200" s="1028"/>
      <c r="L1200" s="1035" t="str">
        <f t="shared" si="431"/>
        <v/>
      </c>
      <c r="S1200" s="498"/>
      <c r="AJ1200" s="498"/>
      <c r="AM1200" s="498">
        <f t="shared" si="412"/>
        <v>0</v>
      </c>
      <c r="AN1200" s="498">
        <f t="shared" si="413"/>
        <v>0</v>
      </c>
      <c r="AO1200" s="498">
        <f t="shared" si="414"/>
        <v>0</v>
      </c>
      <c r="AP1200" s="498">
        <f t="shared" si="433"/>
        <v>0</v>
      </c>
      <c r="AQ1200" s="498">
        <f t="shared" si="428"/>
        <v>0</v>
      </c>
      <c r="AU1200" s="498">
        <f t="shared" si="415"/>
        <v>0</v>
      </c>
      <c r="AV1200" s="498">
        <f t="shared" si="416"/>
        <v>0</v>
      </c>
      <c r="AW1200" s="498">
        <f t="shared" si="417"/>
        <v>0</v>
      </c>
      <c r="AX1200" s="498">
        <f t="shared" si="418"/>
        <v>0</v>
      </c>
      <c r="AY1200" s="498">
        <f t="shared" si="419"/>
        <v>0</v>
      </c>
      <c r="BB1200" s="498" t="str">
        <f t="shared" si="420"/>
        <v/>
      </c>
      <c r="BC1200" s="743" t="str">
        <f t="shared" si="421"/>
        <v/>
      </c>
      <c r="BD1200" s="743" t="str">
        <f t="shared" si="422"/>
        <v/>
      </c>
      <c r="BE1200" s="743" t="str">
        <f>IF(D1200="","",VLOOKUP(D1200,'General Basis'!$J$39:$K$46,2,0))</f>
        <v/>
      </c>
      <c r="BF1200" s="744" t="str">
        <f>IF(D1200="","",VLOOKUP(D1200,'General Basis'!$J$39:$L$46,3,0))</f>
        <v/>
      </c>
      <c r="BG1200" s="744" t="str">
        <f t="shared" si="429"/>
        <v/>
      </c>
      <c r="BH1200" s="744" t="str">
        <f>IF(G1200="","",IF(BF1200="Abu Dhabi",IF(G1200&lt;18,'General Basis'!$C$39,IF(G1200&lt;41,'General Basis'!$C$40,IF(G1200&lt;60,'General Basis'!$C$41,IF(G1200&lt;65,'General Basis'!$C$42,'General Basis'!$C$43)))),IF(G1200&lt;11,'General Basis'!$B$39,IF(G1200&lt;18,'General Basis'!$B$40,IF(G1200&lt;26,'General Basis'!$B$41,IF(G1200&lt;31,'General Basis'!$B$42,IF(G1200&lt;36,'General Basis'!$B$43,IF(G1200&lt;41,'General Basis'!$B$44,IF(G1200&lt;46,'General Basis'!$B$45,IF(G1200&lt;51,'General Basis'!$B$46,IF(G1200&lt;56,'General Basis'!$B$47,IF(G1200&lt;60,'General Basis'!$B$48,IF(G1200&lt;65,'General Basis'!$B$49,'General Basis'!$B$50)))))))))))))</f>
        <v/>
      </c>
      <c r="BI1200" s="744" t="str">
        <f t="shared" si="423"/>
        <v/>
      </c>
      <c r="BJ1200" s="747" t="str">
        <f t="shared" si="430"/>
        <v/>
      </c>
      <c r="BK1200" s="498" t="str">
        <f t="shared" si="424"/>
        <v/>
      </c>
      <c r="BL1200" s="498" t="str">
        <f t="shared" si="425"/>
        <v/>
      </c>
    </row>
    <row r="1201" spans="1:64" x14ac:dyDescent="0.25">
      <c r="A1201" s="762">
        <f t="shared" si="426"/>
        <v>1196</v>
      </c>
      <c r="B1201" s="229"/>
      <c r="C1201" s="223"/>
      <c r="D1201" s="224"/>
      <c r="E1201" s="225"/>
      <c r="F1201" s="1036" t="str">
        <f t="shared" si="432"/>
        <v/>
      </c>
      <c r="G1201" s="1037" t="str">
        <f t="shared" si="427"/>
        <v/>
      </c>
      <c r="H1201" s="225"/>
      <c r="I1201" s="1013"/>
      <c r="J1201" s="1013"/>
      <c r="K1201" s="1028"/>
      <c r="L1201" s="1035" t="str">
        <f t="shared" si="431"/>
        <v/>
      </c>
      <c r="S1201" s="498"/>
      <c r="AJ1201" s="498"/>
      <c r="AM1201" s="498">
        <f t="shared" si="412"/>
        <v>0</v>
      </c>
      <c r="AN1201" s="498">
        <f t="shared" si="413"/>
        <v>0</v>
      </c>
      <c r="AO1201" s="498">
        <f t="shared" si="414"/>
        <v>0</v>
      </c>
      <c r="AP1201" s="498">
        <f t="shared" si="433"/>
        <v>0</v>
      </c>
      <c r="AQ1201" s="498">
        <f t="shared" si="428"/>
        <v>0</v>
      </c>
      <c r="AU1201" s="498">
        <f t="shared" si="415"/>
        <v>0</v>
      </c>
      <c r="AV1201" s="498">
        <f t="shared" si="416"/>
        <v>0</v>
      </c>
      <c r="AW1201" s="498">
        <f t="shared" si="417"/>
        <v>0</v>
      </c>
      <c r="AX1201" s="498">
        <f t="shared" si="418"/>
        <v>0</v>
      </c>
      <c r="AY1201" s="498">
        <f t="shared" si="419"/>
        <v>0</v>
      </c>
      <c r="BB1201" s="498" t="str">
        <f t="shared" si="420"/>
        <v/>
      </c>
      <c r="BC1201" s="743" t="str">
        <f t="shared" si="421"/>
        <v/>
      </c>
      <c r="BD1201" s="743" t="str">
        <f t="shared" si="422"/>
        <v/>
      </c>
      <c r="BE1201" s="743" t="str">
        <f>IF(D1201="","",VLOOKUP(D1201,'General Basis'!$J$39:$K$46,2,0))</f>
        <v/>
      </c>
      <c r="BF1201" s="744" t="str">
        <f>IF(D1201="","",VLOOKUP(D1201,'General Basis'!$J$39:$L$46,3,0))</f>
        <v/>
      </c>
      <c r="BG1201" s="744" t="str">
        <f t="shared" si="429"/>
        <v/>
      </c>
      <c r="BH1201" s="744" t="str">
        <f>IF(G1201="","",IF(BF1201="Abu Dhabi",IF(G1201&lt;18,'General Basis'!$C$39,IF(G1201&lt;41,'General Basis'!$C$40,IF(G1201&lt;60,'General Basis'!$C$41,IF(G1201&lt;65,'General Basis'!$C$42,'General Basis'!$C$43)))),IF(G1201&lt;11,'General Basis'!$B$39,IF(G1201&lt;18,'General Basis'!$B$40,IF(G1201&lt;26,'General Basis'!$B$41,IF(G1201&lt;31,'General Basis'!$B$42,IF(G1201&lt;36,'General Basis'!$B$43,IF(G1201&lt;41,'General Basis'!$B$44,IF(G1201&lt;46,'General Basis'!$B$45,IF(G1201&lt;51,'General Basis'!$B$46,IF(G1201&lt;56,'General Basis'!$B$47,IF(G1201&lt;60,'General Basis'!$B$48,IF(G1201&lt;65,'General Basis'!$B$49,'General Basis'!$B$50)))))))))))))</f>
        <v/>
      </c>
      <c r="BI1201" s="744" t="str">
        <f t="shared" si="423"/>
        <v/>
      </c>
      <c r="BJ1201" s="747" t="str">
        <f t="shared" si="430"/>
        <v/>
      </c>
      <c r="BK1201" s="498" t="str">
        <f t="shared" si="424"/>
        <v/>
      </c>
      <c r="BL1201" s="498" t="str">
        <f t="shared" si="425"/>
        <v/>
      </c>
    </row>
    <row r="1202" spans="1:64" x14ac:dyDescent="0.25">
      <c r="A1202" s="762">
        <f t="shared" si="426"/>
        <v>1197</v>
      </c>
      <c r="B1202" s="229"/>
      <c r="C1202" s="223"/>
      <c r="D1202" s="224"/>
      <c r="E1202" s="225"/>
      <c r="F1202" s="1036" t="str">
        <f t="shared" si="432"/>
        <v/>
      </c>
      <c r="G1202" s="1037" t="str">
        <f t="shared" si="427"/>
        <v/>
      </c>
      <c r="H1202" s="225"/>
      <c r="I1202" s="1013"/>
      <c r="J1202" s="1013"/>
      <c r="K1202" s="1028"/>
      <c r="L1202" s="1035" t="str">
        <f t="shared" si="431"/>
        <v/>
      </c>
      <c r="S1202" s="498"/>
      <c r="AJ1202" s="498"/>
      <c r="AM1202" s="498">
        <f t="shared" si="412"/>
        <v>0</v>
      </c>
      <c r="AN1202" s="498">
        <f t="shared" si="413"/>
        <v>0</v>
      </c>
      <c r="AO1202" s="498">
        <f t="shared" si="414"/>
        <v>0</v>
      </c>
      <c r="AP1202" s="498">
        <f t="shared" si="433"/>
        <v>0</v>
      </c>
      <c r="AQ1202" s="498">
        <f t="shared" si="428"/>
        <v>0</v>
      </c>
      <c r="AU1202" s="498">
        <f t="shared" si="415"/>
        <v>0</v>
      </c>
      <c r="AV1202" s="498">
        <f t="shared" si="416"/>
        <v>0</v>
      </c>
      <c r="AW1202" s="498">
        <f t="shared" si="417"/>
        <v>0</v>
      </c>
      <c r="AX1202" s="498">
        <f t="shared" si="418"/>
        <v>0</v>
      </c>
      <c r="AY1202" s="498">
        <f t="shared" si="419"/>
        <v>0</v>
      </c>
      <c r="BB1202" s="498" t="str">
        <f t="shared" si="420"/>
        <v/>
      </c>
      <c r="BC1202" s="743" t="str">
        <f t="shared" si="421"/>
        <v/>
      </c>
      <c r="BD1202" s="743" t="str">
        <f t="shared" si="422"/>
        <v/>
      </c>
      <c r="BE1202" s="743" t="str">
        <f>IF(D1202="","",VLOOKUP(D1202,'General Basis'!$J$39:$K$46,2,0))</f>
        <v/>
      </c>
      <c r="BF1202" s="744" t="str">
        <f>IF(D1202="","",VLOOKUP(D1202,'General Basis'!$J$39:$L$46,3,0))</f>
        <v/>
      </c>
      <c r="BG1202" s="744" t="str">
        <f t="shared" si="429"/>
        <v/>
      </c>
      <c r="BH1202" s="744" t="str">
        <f>IF(G1202="","",IF(BF1202="Abu Dhabi",IF(G1202&lt;18,'General Basis'!$C$39,IF(G1202&lt;41,'General Basis'!$C$40,IF(G1202&lt;60,'General Basis'!$C$41,IF(G1202&lt;65,'General Basis'!$C$42,'General Basis'!$C$43)))),IF(G1202&lt;11,'General Basis'!$B$39,IF(G1202&lt;18,'General Basis'!$B$40,IF(G1202&lt;26,'General Basis'!$B$41,IF(G1202&lt;31,'General Basis'!$B$42,IF(G1202&lt;36,'General Basis'!$B$43,IF(G1202&lt;41,'General Basis'!$B$44,IF(G1202&lt;46,'General Basis'!$B$45,IF(G1202&lt;51,'General Basis'!$B$46,IF(G1202&lt;56,'General Basis'!$B$47,IF(G1202&lt;60,'General Basis'!$B$48,IF(G1202&lt;65,'General Basis'!$B$49,'General Basis'!$B$50)))))))))))))</f>
        <v/>
      </c>
      <c r="BI1202" s="744" t="str">
        <f t="shared" si="423"/>
        <v/>
      </c>
      <c r="BJ1202" s="747" t="str">
        <f t="shared" si="430"/>
        <v/>
      </c>
      <c r="BK1202" s="498" t="str">
        <f t="shared" si="424"/>
        <v/>
      </c>
      <c r="BL1202" s="498" t="str">
        <f t="shared" si="425"/>
        <v/>
      </c>
    </row>
    <row r="1203" spans="1:64" x14ac:dyDescent="0.25">
      <c r="A1203" s="762">
        <f t="shared" si="426"/>
        <v>1198</v>
      </c>
      <c r="B1203" s="229"/>
      <c r="C1203" s="223"/>
      <c r="D1203" s="224"/>
      <c r="E1203" s="225"/>
      <c r="F1203" s="1036" t="str">
        <f t="shared" si="432"/>
        <v/>
      </c>
      <c r="G1203" s="1037" t="str">
        <f t="shared" si="427"/>
        <v/>
      </c>
      <c r="H1203" s="225"/>
      <c r="I1203" s="1013"/>
      <c r="J1203" s="1013"/>
      <c r="K1203" s="1028"/>
      <c r="L1203" s="1035" t="str">
        <f t="shared" si="431"/>
        <v/>
      </c>
      <c r="S1203" s="498"/>
      <c r="AJ1203" s="498"/>
      <c r="AM1203" s="498">
        <f t="shared" si="412"/>
        <v>0</v>
      </c>
      <c r="AN1203" s="498">
        <f t="shared" si="413"/>
        <v>0</v>
      </c>
      <c r="AO1203" s="498">
        <f t="shared" si="414"/>
        <v>0</v>
      </c>
      <c r="AP1203" s="498">
        <f t="shared" si="433"/>
        <v>0</v>
      </c>
      <c r="AQ1203" s="498">
        <f t="shared" si="428"/>
        <v>0</v>
      </c>
      <c r="AU1203" s="498">
        <f t="shared" si="415"/>
        <v>0</v>
      </c>
      <c r="AV1203" s="498">
        <f t="shared" si="416"/>
        <v>0</v>
      </c>
      <c r="AW1203" s="498">
        <f t="shared" si="417"/>
        <v>0</v>
      </c>
      <c r="AX1203" s="498">
        <f t="shared" si="418"/>
        <v>0</v>
      </c>
      <c r="AY1203" s="498">
        <f t="shared" si="419"/>
        <v>0</v>
      </c>
      <c r="BB1203" s="498" t="str">
        <f t="shared" si="420"/>
        <v/>
      </c>
      <c r="BC1203" s="743" t="str">
        <f t="shared" si="421"/>
        <v/>
      </c>
      <c r="BD1203" s="743" t="str">
        <f t="shared" si="422"/>
        <v/>
      </c>
      <c r="BE1203" s="743" t="str">
        <f>IF(D1203="","",VLOOKUP(D1203,'General Basis'!$J$39:$K$46,2,0))</f>
        <v/>
      </c>
      <c r="BF1203" s="744" t="str">
        <f>IF(D1203="","",VLOOKUP(D1203,'General Basis'!$J$39:$L$46,3,0))</f>
        <v/>
      </c>
      <c r="BG1203" s="744" t="str">
        <f t="shared" si="429"/>
        <v/>
      </c>
      <c r="BH1203" s="744" t="str">
        <f>IF(G1203="","",IF(BF1203="Abu Dhabi",IF(G1203&lt;18,'General Basis'!$C$39,IF(G1203&lt;41,'General Basis'!$C$40,IF(G1203&lt;60,'General Basis'!$C$41,IF(G1203&lt;65,'General Basis'!$C$42,'General Basis'!$C$43)))),IF(G1203&lt;11,'General Basis'!$B$39,IF(G1203&lt;18,'General Basis'!$B$40,IF(G1203&lt;26,'General Basis'!$B$41,IF(G1203&lt;31,'General Basis'!$B$42,IF(G1203&lt;36,'General Basis'!$B$43,IF(G1203&lt;41,'General Basis'!$B$44,IF(G1203&lt;46,'General Basis'!$B$45,IF(G1203&lt;51,'General Basis'!$B$46,IF(G1203&lt;56,'General Basis'!$B$47,IF(G1203&lt;60,'General Basis'!$B$48,IF(G1203&lt;65,'General Basis'!$B$49,'General Basis'!$B$50)))))))))))))</f>
        <v/>
      </c>
      <c r="BI1203" s="744" t="str">
        <f t="shared" si="423"/>
        <v/>
      </c>
      <c r="BJ1203" s="747" t="str">
        <f t="shared" si="430"/>
        <v/>
      </c>
      <c r="BK1203" s="498" t="str">
        <f t="shared" si="424"/>
        <v/>
      </c>
      <c r="BL1203" s="498" t="str">
        <f t="shared" si="425"/>
        <v/>
      </c>
    </row>
    <row r="1204" spans="1:64" x14ac:dyDescent="0.25">
      <c r="A1204" s="762">
        <f t="shared" si="426"/>
        <v>1199</v>
      </c>
      <c r="B1204" s="229"/>
      <c r="C1204" s="223"/>
      <c r="D1204" s="224"/>
      <c r="E1204" s="225"/>
      <c r="F1204" s="1036" t="str">
        <f t="shared" si="432"/>
        <v/>
      </c>
      <c r="G1204" s="1037" t="str">
        <f t="shared" si="427"/>
        <v/>
      </c>
      <c r="H1204" s="225"/>
      <c r="I1204" s="1013"/>
      <c r="J1204" s="1013"/>
      <c r="K1204" s="1028"/>
      <c r="L1204" s="1035" t="str">
        <f t="shared" si="431"/>
        <v/>
      </c>
      <c r="S1204" s="498"/>
      <c r="AJ1204" s="498"/>
      <c r="AM1204" s="498">
        <f t="shared" si="412"/>
        <v>0</v>
      </c>
      <c r="AN1204" s="498">
        <f t="shared" si="413"/>
        <v>0</v>
      </c>
      <c r="AO1204" s="498">
        <f t="shared" si="414"/>
        <v>0</v>
      </c>
      <c r="AP1204" s="498">
        <f t="shared" si="433"/>
        <v>0</v>
      </c>
      <c r="AQ1204" s="498">
        <f t="shared" si="428"/>
        <v>0</v>
      </c>
      <c r="AU1204" s="498">
        <f t="shared" si="415"/>
        <v>0</v>
      </c>
      <c r="AV1204" s="498">
        <f t="shared" si="416"/>
        <v>0</v>
      </c>
      <c r="AW1204" s="498">
        <f t="shared" si="417"/>
        <v>0</v>
      </c>
      <c r="AX1204" s="498">
        <f t="shared" si="418"/>
        <v>0</v>
      </c>
      <c r="AY1204" s="498">
        <f t="shared" si="419"/>
        <v>0</v>
      </c>
      <c r="BB1204" s="498" t="str">
        <f t="shared" si="420"/>
        <v/>
      </c>
      <c r="BC1204" s="743" t="str">
        <f t="shared" si="421"/>
        <v/>
      </c>
      <c r="BD1204" s="743" t="str">
        <f t="shared" si="422"/>
        <v/>
      </c>
      <c r="BE1204" s="743" t="str">
        <f>IF(D1204="","",VLOOKUP(D1204,'General Basis'!$J$39:$K$46,2,0))</f>
        <v/>
      </c>
      <c r="BF1204" s="744" t="str">
        <f>IF(D1204="","",VLOOKUP(D1204,'General Basis'!$J$39:$L$46,3,0))</f>
        <v/>
      </c>
      <c r="BG1204" s="744" t="str">
        <f t="shared" si="429"/>
        <v/>
      </c>
      <c r="BH1204" s="744" t="str">
        <f>IF(G1204="","",IF(BF1204="Abu Dhabi",IF(G1204&lt;18,'General Basis'!$C$39,IF(G1204&lt;41,'General Basis'!$C$40,IF(G1204&lt;60,'General Basis'!$C$41,IF(G1204&lt;65,'General Basis'!$C$42,'General Basis'!$C$43)))),IF(G1204&lt;11,'General Basis'!$B$39,IF(G1204&lt;18,'General Basis'!$B$40,IF(G1204&lt;26,'General Basis'!$B$41,IF(G1204&lt;31,'General Basis'!$B$42,IF(G1204&lt;36,'General Basis'!$B$43,IF(G1204&lt;41,'General Basis'!$B$44,IF(G1204&lt;46,'General Basis'!$B$45,IF(G1204&lt;51,'General Basis'!$B$46,IF(G1204&lt;56,'General Basis'!$B$47,IF(G1204&lt;60,'General Basis'!$B$48,IF(G1204&lt;65,'General Basis'!$B$49,'General Basis'!$B$50)))))))))))))</f>
        <v/>
      </c>
      <c r="BI1204" s="744" t="str">
        <f t="shared" si="423"/>
        <v/>
      </c>
      <c r="BJ1204" s="747" t="str">
        <f t="shared" si="430"/>
        <v/>
      </c>
      <c r="BK1204" s="498" t="str">
        <f t="shared" si="424"/>
        <v/>
      </c>
      <c r="BL1204" s="498" t="str">
        <f t="shared" si="425"/>
        <v/>
      </c>
    </row>
    <row r="1205" spans="1:64" x14ac:dyDescent="0.25">
      <c r="A1205" s="762">
        <f t="shared" si="426"/>
        <v>1200</v>
      </c>
      <c r="B1205" s="229"/>
      <c r="C1205" s="223"/>
      <c r="D1205" s="224"/>
      <c r="E1205" s="225"/>
      <c r="F1205" s="1036" t="str">
        <f t="shared" si="432"/>
        <v/>
      </c>
      <c r="G1205" s="1037" t="str">
        <f t="shared" si="427"/>
        <v/>
      </c>
      <c r="H1205" s="225"/>
      <c r="I1205" s="1013"/>
      <c r="J1205" s="1013"/>
      <c r="K1205" s="1028"/>
      <c r="L1205" s="1035" t="str">
        <f t="shared" si="431"/>
        <v/>
      </c>
      <c r="S1205" s="498"/>
      <c r="AJ1205" s="498"/>
      <c r="AM1205" s="498">
        <f t="shared" si="412"/>
        <v>0</v>
      </c>
      <c r="AN1205" s="498">
        <f t="shared" si="413"/>
        <v>0</v>
      </c>
      <c r="AO1205" s="498">
        <f t="shared" si="414"/>
        <v>0</v>
      </c>
      <c r="AP1205" s="498">
        <f t="shared" si="433"/>
        <v>0</v>
      </c>
      <c r="AQ1205" s="498">
        <f t="shared" si="428"/>
        <v>0</v>
      </c>
      <c r="AU1205" s="498">
        <f t="shared" si="415"/>
        <v>0</v>
      </c>
      <c r="AV1205" s="498">
        <f t="shared" si="416"/>
        <v>0</v>
      </c>
      <c r="AW1205" s="498">
        <f t="shared" si="417"/>
        <v>0</v>
      </c>
      <c r="AX1205" s="498">
        <f t="shared" si="418"/>
        <v>0</v>
      </c>
      <c r="AY1205" s="498">
        <f t="shared" si="419"/>
        <v>0</v>
      </c>
      <c r="BB1205" s="498" t="str">
        <f t="shared" si="420"/>
        <v/>
      </c>
      <c r="BC1205" s="743" t="str">
        <f t="shared" si="421"/>
        <v/>
      </c>
      <c r="BD1205" s="743" t="str">
        <f t="shared" si="422"/>
        <v/>
      </c>
      <c r="BE1205" s="743" t="str">
        <f>IF(D1205="","",VLOOKUP(D1205,'General Basis'!$J$39:$K$46,2,0))</f>
        <v/>
      </c>
      <c r="BF1205" s="744" t="str">
        <f>IF(D1205="","",VLOOKUP(D1205,'General Basis'!$J$39:$L$46,3,0))</f>
        <v/>
      </c>
      <c r="BG1205" s="744" t="str">
        <f t="shared" si="429"/>
        <v/>
      </c>
      <c r="BH1205" s="744" t="str">
        <f>IF(G1205="","",IF(BF1205="Abu Dhabi",IF(G1205&lt;18,'General Basis'!$C$39,IF(G1205&lt;41,'General Basis'!$C$40,IF(G1205&lt;60,'General Basis'!$C$41,IF(G1205&lt;65,'General Basis'!$C$42,'General Basis'!$C$43)))),IF(G1205&lt;11,'General Basis'!$B$39,IF(G1205&lt;18,'General Basis'!$B$40,IF(G1205&lt;26,'General Basis'!$B$41,IF(G1205&lt;31,'General Basis'!$B$42,IF(G1205&lt;36,'General Basis'!$B$43,IF(G1205&lt;41,'General Basis'!$B$44,IF(G1205&lt;46,'General Basis'!$B$45,IF(G1205&lt;51,'General Basis'!$B$46,IF(G1205&lt;56,'General Basis'!$B$47,IF(G1205&lt;60,'General Basis'!$B$48,IF(G1205&lt;65,'General Basis'!$B$49,'General Basis'!$B$50)))))))))))))</f>
        <v/>
      </c>
      <c r="BI1205" s="744" t="str">
        <f t="shared" si="423"/>
        <v/>
      </c>
      <c r="BJ1205" s="747" t="str">
        <f t="shared" si="430"/>
        <v/>
      </c>
      <c r="BK1205" s="498" t="str">
        <f t="shared" si="424"/>
        <v/>
      </c>
      <c r="BL1205" s="498" t="str">
        <f t="shared" si="425"/>
        <v/>
      </c>
    </row>
    <row r="1206" spans="1:64" x14ac:dyDescent="0.25">
      <c r="A1206" s="762">
        <f t="shared" si="426"/>
        <v>1201</v>
      </c>
      <c r="B1206" s="229"/>
      <c r="C1206" s="223"/>
      <c r="D1206" s="224"/>
      <c r="E1206" s="225"/>
      <c r="F1206" s="1036" t="str">
        <f t="shared" si="432"/>
        <v/>
      </c>
      <c r="G1206" s="1037" t="str">
        <f t="shared" si="427"/>
        <v/>
      </c>
      <c r="H1206" s="225"/>
      <c r="I1206" s="1013"/>
      <c r="J1206" s="1013"/>
      <c r="K1206" s="1028"/>
      <c r="L1206" s="1035" t="str">
        <f t="shared" si="431"/>
        <v/>
      </c>
      <c r="S1206" s="498"/>
      <c r="AJ1206" s="498"/>
      <c r="AM1206" s="498">
        <f t="shared" si="412"/>
        <v>0</v>
      </c>
      <c r="AN1206" s="498">
        <f t="shared" si="413"/>
        <v>0</v>
      </c>
      <c r="AO1206" s="498">
        <f t="shared" si="414"/>
        <v>0</v>
      </c>
      <c r="AP1206" s="498">
        <f t="shared" si="433"/>
        <v>0</v>
      </c>
      <c r="AQ1206" s="498">
        <f t="shared" si="428"/>
        <v>0</v>
      </c>
      <c r="AU1206" s="498">
        <f t="shared" si="415"/>
        <v>0</v>
      </c>
      <c r="AV1206" s="498">
        <f t="shared" si="416"/>
        <v>0</v>
      </c>
      <c r="AW1206" s="498">
        <f t="shared" si="417"/>
        <v>0</v>
      </c>
      <c r="AX1206" s="498">
        <f t="shared" si="418"/>
        <v>0</v>
      </c>
      <c r="AY1206" s="498">
        <f t="shared" si="419"/>
        <v>0</v>
      </c>
      <c r="BB1206" s="498" t="str">
        <f t="shared" si="420"/>
        <v/>
      </c>
      <c r="BC1206" s="743" t="str">
        <f t="shared" si="421"/>
        <v/>
      </c>
      <c r="BD1206" s="743" t="str">
        <f t="shared" si="422"/>
        <v/>
      </c>
      <c r="BE1206" s="743" t="str">
        <f>IF(D1206="","",VLOOKUP(D1206,'General Basis'!$J$39:$K$46,2,0))</f>
        <v/>
      </c>
      <c r="BF1206" s="744" t="str">
        <f>IF(D1206="","",VLOOKUP(D1206,'General Basis'!$J$39:$L$46,3,0))</f>
        <v/>
      </c>
      <c r="BG1206" s="744" t="str">
        <f t="shared" si="429"/>
        <v/>
      </c>
      <c r="BH1206" s="744" t="str">
        <f>IF(G1206="","",IF(BF1206="Abu Dhabi",IF(G1206&lt;18,'General Basis'!$C$39,IF(G1206&lt;41,'General Basis'!$C$40,IF(G1206&lt;60,'General Basis'!$C$41,IF(G1206&lt;65,'General Basis'!$C$42,'General Basis'!$C$43)))),IF(G1206&lt;11,'General Basis'!$B$39,IF(G1206&lt;18,'General Basis'!$B$40,IF(G1206&lt;26,'General Basis'!$B$41,IF(G1206&lt;31,'General Basis'!$B$42,IF(G1206&lt;36,'General Basis'!$B$43,IF(G1206&lt;41,'General Basis'!$B$44,IF(G1206&lt;46,'General Basis'!$B$45,IF(G1206&lt;51,'General Basis'!$B$46,IF(G1206&lt;56,'General Basis'!$B$47,IF(G1206&lt;60,'General Basis'!$B$48,IF(G1206&lt;65,'General Basis'!$B$49,'General Basis'!$B$50)))))))))))))</f>
        <v/>
      </c>
      <c r="BI1206" s="744" t="str">
        <f t="shared" si="423"/>
        <v/>
      </c>
      <c r="BJ1206" s="747" t="str">
        <f t="shared" si="430"/>
        <v/>
      </c>
      <c r="BK1206" s="498" t="str">
        <f t="shared" si="424"/>
        <v/>
      </c>
      <c r="BL1206" s="498" t="str">
        <f t="shared" si="425"/>
        <v/>
      </c>
    </row>
    <row r="1207" spans="1:64" x14ac:dyDescent="0.25">
      <c r="A1207" s="762">
        <f t="shared" si="426"/>
        <v>1202</v>
      </c>
      <c r="B1207" s="229"/>
      <c r="C1207" s="223"/>
      <c r="D1207" s="224"/>
      <c r="E1207" s="225"/>
      <c r="F1207" s="1036" t="str">
        <f t="shared" si="432"/>
        <v/>
      </c>
      <c r="G1207" s="1037" t="str">
        <f t="shared" si="427"/>
        <v/>
      </c>
      <c r="H1207" s="225"/>
      <c r="I1207" s="1013"/>
      <c r="J1207" s="1013"/>
      <c r="K1207" s="1028"/>
      <c r="L1207" s="1035" t="str">
        <f t="shared" si="431"/>
        <v/>
      </c>
      <c r="S1207" s="498"/>
      <c r="AJ1207" s="498"/>
      <c r="AM1207" s="498">
        <f t="shared" si="412"/>
        <v>0</v>
      </c>
      <c r="AN1207" s="498">
        <f t="shared" si="413"/>
        <v>0</v>
      </c>
      <c r="AO1207" s="498">
        <f t="shared" si="414"/>
        <v>0</v>
      </c>
      <c r="AP1207" s="498">
        <f t="shared" si="433"/>
        <v>0</v>
      </c>
      <c r="AQ1207" s="498">
        <f t="shared" si="428"/>
        <v>0</v>
      </c>
      <c r="AU1207" s="498">
        <f t="shared" si="415"/>
        <v>0</v>
      </c>
      <c r="AV1207" s="498">
        <f t="shared" si="416"/>
        <v>0</v>
      </c>
      <c r="AW1207" s="498">
        <f t="shared" si="417"/>
        <v>0</v>
      </c>
      <c r="AX1207" s="498">
        <f t="shared" si="418"/>
        <v>0</v>
      </c>
      <c r="AY1207" s="498">
        <f t="shared" si="419"/>
        <v>0</v>
      </c>
      <c r="BB1207" s="498" t="str">
        <f t="shared" si="420"/>
        <v/>
      </c>
      <c r="BC1207" s="743" t="str">
        <f t="shared" si="421"/>
        <v/>
      </c>
      <c r="BD1207" s="743" t="str">
        <f t="shared" si="422"/>
        <v/>
      </c>
      <c r="BE1207" s="743" t="str">
        <f>IF(D1207="","",VLOOKUP(D1207,'General Basis'!$J$39:$K$46,2,0))</f>
        <v/>
      </c>
      <c r="BF1207" s="744" t="str">
        <f>IF(D1207="","",VLOOKUP(D1207,'General Basis'!$J$39:$L$46,3,0))</f>
        <v/>
      </c>
      <c r="BG1207" s="744" t="str">
        <f t="shared" si="429"/>
        <v/>
      </c>
      <c r="BH1207" s="744" t="str">
        <f>IF(G1207="","",IF(BF1207="Abu Dhabi",IF(G1207&lt;18,'General Basis'!$C$39,IF(G1207&lt;41,'General Basis'!$C$40,IF(G1207&lt;60,'General Basis'!$C$41,IF(G1207&lt;65,'General Basis'!$C$42,'General Basis'!$C$43)))),IF(G1207&lt;11,'General Basis'!$B$39,IF(G1207&lt;18,'General Basis'!$B$40,IF(G1207&lt;26,'General Basis'!$B$41,IF(G1207&lt;31,'General Basis'!$B$42,IF(G1207&lt;36,'General Basis'!$B$43,IF(G1207&lt;41,'General Basis'!$B$44,IF(G1207&lt;46,'General Basis'!$B$45,IF(G1207&lt;51,'General Basis'!$B$46,IF(G1207&lt;56,'General Basis'!$B$47,IF(G1207&lt;60,'General Basis'!$B$48,IF(G1207&lt;65,'General Basis'!$B$49,'General Basis'!$B$50)))))))))))))</f>
        <v/>
      </c>
      <c r="BI1207" s="744" t="str">
        <f t="shared" si="423"/>
        <v/>
      </c>
      <c r="BJ1207" s="747" t="str">
        <f t="shared" si="430"/>
        <v/>
      </c>
      <c r="BK1207" s="498" t="str">
        <f t="shared" si="424"/>
        <v/>
      </c>
      <c r="BL1207" s="498" t="str">
        <f t="shared" si="425"/>
        <v/>
      </c>
    </row>
    <row r="1208" spans="1:64" x14ac:dyDescent="0.25">
      <c r="A1208" s="762">
        <f t="shared" si="426"/>
        <v>1203</v>
      </c>
      <c r="B1208" s="229"/>
      <c r="C1208" s="223"/>
      <c r="D1208" s="224"/>
      <c r="E1208" s="225"/>
      <c r="F1208" s="1036" t="str">
        <f t="shared" si="432"/>
        <v/>
      </c>
      <c r="G1208" s="1037" t="str">
        <f t="shared" si="427"/>
        <v/>
      </c>
      <c r="H1208" s="225"/>
      <c r="I1208" s="1013"/>
      <c r="J1208" s="1013"/>
      <c r="K1208" s="1028"/>
      <c r="L1208" s="1035" t="str">
        <f t="shared" si="431"/>
        <v/>
      </c>
      <c r="S1208" s="498"/>
      <c r="AJ1208" s="498"/>
      <c r="AM1208" s="498">
        <f t="shared" si="412"/>
        <v>0</v>
      </c>
      <c r="AN1208" s="498">
        <f t="shared" si="413"/>
        <v>0</v>
      </c>
      <c r="AO1208" s="498">
        <f t="shared" si="414"/>
        <v>0</v>
      </c>
      <c r="AP1208" s="498">
        <f t="shared" si="433"/>
        <v>0</v>
      </c>
      <c r="AQ1208" s="498">
        <f t="shared" si="428"/>
        <v>0</v>
      </c>
      <c r="AU1208" s="498">
        <f t="shared" si="415"/>
        <v>0</v>
      </c>
      <c r="AV1208" s="498">
        <f t="shared" si="416"/>
        <v>0</v>
      </c>
      <c r="AW1208" s="498">
        <f t="shared" si="417"/>
        <v>0</v>
      </c>
      <c r="AX1208" s="498">
        <f t="shared" si="418"/>
        <v>0</v>
      </c>
      <c r="AY1208" s="498">
        <f t="shared" si="419"/>
        <v>0</v>
      </c>
      <c r="BB1208" s="498" t="str">
        <f t="shared" si="420"/>
        <v/>
      </c>
      <c r="BC1208" s="743" t="str">
        <f t="shared" si="421"/>
        <v/>
      </c>
      <c r="BD1208" s="743" t="str">
        <f t="shared" si="422"/>
        <v/>
      </c>
      <c r="BE1208" s="743" t="str">
        <f>IF(D1208="","",VLOOKUP(D1208,'General Basis'!$J$39:$K$46,2,0))</f>
        <v/>
      </c>
      <c r="BF1208" s="744" t="str">
        <f>IF(D1208="","",VLOOKUP(D1208,'General Basis'!$J$39:$L$46,3,0))</f>
        <v/>
      </c>
      <c r="BG1208" s="744" t="str">
        <f t="shared" si="429"/>
        <v/>
      </c>
      <c r="BH1208" s="744" t="str">
        <f>IF(G1208="","",IF(BF1208="Abu Dhabi",IF(G1208&lt;18,'General Basis'!$C$39,IF(G1208&lt;41,'General Basis'!$C$40,IF(G1208&lt;60,'General Basis'!$C$41,IF(G1208&lt;65,'General Basis'!$C$42,'General Basis'!$C$43)))),IF(G1208&lt;11,'General Basis'!$B$39,IF(G1208&lt;18,'General Basis'!$B$40,IF(G1208&lt;26,'General Basis'!$B$41,IF(G1208&lt;31,'General Basis'!$B$42,IF(G1208&lt;36,'General Basis'!$B$43,IF(G1208&lt;41,'General Basis'!$B$44,IF(G1208&lt;46,'General Basis'!$B$45,IF(G1208&lt;51,'General Basis'!$B$46,IF(G1208&lt;56,'General Basis'!$B$47,IF(G1208&lt;60,'General Basis'!$B$48,IF(G1208&lt;65,'General Basis'!$B$49,'General Basis'!$B$50)))))))))))))</f>
        <v/>
      </c>
      <c r="BI1208" s="744" t="str">
        <f t="shared" si="423"/>
        <v/>
      </c>
      <c r="BJ1208" s="747" t="str">
        <f t="shared" si="430"/>
        <v/>
      </c>
      <c r="BK1208" s="498" t="str">
        <f t="shared" si="424"/>
        <v/>
      </c>
      <c r="BL1208" s="498" t="str">
        <f t="shared" si="425"/>
        <v/>
      </c>
    </row>
    <row r="1209" spans="1:64" x14ac:dyDescent="0.25">
      <c r="A1209" s="762">
        <f t="shared" si="426"/>
        <v>1204</v>
      </c>
      <c r="B1209" s="229"/>
      <c r="C1209" s="223"/>
      <c r="D1209" s="224"/>
      <c r="E1209" s="225"/>
      <c r="F1209" s="1036" t="str">
        <f t="shared" si="432"/>
        <v/>
      </c>
      <c r="G1209" s="1037" t="str">
        <f t="shared" si="427"/>
        <v/>
      </c>
      <c r="H1209" s="225"/>
      <c r="I1209" s="1013"/>
      <c r="J1209" s="1013"/>
      <c r="K1209" s="1028"/>
      <c r="L1209" s="1035" t="str">
        <f t="shared" si="431"/>
        <v/>
      </c>
      <c r="S1209" s="498"/>
      <c r="AJ1209" s="498"/>
      <c r="AM1209" s="498">
        <f t="shared" si="412"/>
        <v>0</v>
      </c>
      <c r="AN1209" s="498">
        <f t="shared" si="413"/>
        <v>0</v>
      </c>
      <c r="AO1209" s="498">
        <f t="shared" si="414"/>
        <v>0</v>
      </c>
      <c r="AP1209" s="498">
        <f t="shared" si="433"/>
        <v>0</v>
      </c>
      <c r="AQ1209" s="498">
        <f t="shared" si="428"/>
        <v>0</v>
      </c>
      <c r="AU1209" s="498">
        <f t="shared" si="415"/>
        <v>0</v>
      </c>
      <c r="AV1209" s="498">
        <f t="shared" si="416"/>
        <v>0</v>
      </c>
      <c r="AW1209" s="498">
        <f t="shared" si="417"/>
        <v>0</v>
      </c>
      <c r="AX1209" s="498">
        <f t="shared" si="418"/>
        <v>0</v>
      </c>
      <c r="AY1209" s="498">
        <f t="shared" si="419"/>
        <v>0</v>
      </c>
      <c r="BB1209" s="498" t="str">
        <f t="shared" si="420"/>
        <v/>
      </c>
      <c r="BC1209" s="743" t="str">
        <f t="shared" si="421"/>
        <v/>
      </c>
      <c r="BD1209" s="743" t="str">
        <f t="shared" si="422"/>
        <v/>
      </c>
      <c r="BE1209" s="743" t="str">
        <f>IF(D1209="","",VLOOKUP(D1209,'General Basis'!$J$39:$K$46,2,0))</f>
        <v/>
      </c>
      <c r="BF1209" s="744" t="str">
        <f>IF(D1209="","",VLOOKUP(D1209,'General Basis'!$J$39:$L$46,3,0))</f>
        <v/>
      </c>
      <c r="BG1209" s="744" t="str">
        <f t="shared" si="429"/>
        <v/>
      </c>
      <c r="BH1209" s="744" t="str">
        <f>IF(G1209="","",IF(BF1209="Abu Dhabi",IF(G1209&lt;18,'General Basis'!$C$39,IF(G1209&lt;41,'General Basis'!$C$40,IF(G1209&lt;60,'General Basis'!$C$41,IF(G1209&lt;65,'General Basis'!$C$42,'General Basis'!$C$43)))),IF(G1209&lt;11,'General Basis'!$B$39,IF(G1209&lt;18,'General Basis'!$B$40,IF(G1209&lt;26,'General Basis'!$B$41,IF(G1209&lt;31,'General Basis'!$B$42,IF(G1209&lt;36,'General Basis'!$B$43,IF(G1209&lt;41,'General Basis'!$B$44,IF(G1209&lt;46,'General Basis'!$B$45,IF(G1209&lt;51,'General Basis'!$B$46,IF(G1209&lt;56,'General Basis'!$B$47,IF(G1209&lt;60,'General Basis'!$B$48,IF(G1209&lt;65,'General Basis'!$B$49,'General Basis'!$B$50)))))))))))))</f>
        <v/>
      </c>
      <c r="BI1209" s="744" t="str">
        <f t="shared" si="423"/>
        <v/>
      </c>
      <c r="BJ1209" s="747" t="str">
        <f t="shared" si="430"/>
        <v/>
      </c>
      <c r="BK1209" s="498" t="str">
        <f t="shared" si="424"/>
        <v/>
      </c>
      <c r="BL1209" s="498" t="str">
        <f t="shared" si="425"/>
        <v/>
      </c>
    </row>
    <row r="1210" spans="1:64" x14ac:dyDescent="0.25">
      <c r="A1210" s="762">
        <f t="shared" si="426"/>
        <v>1205</v>
      </c>
      <c r="B1210" s="229"/>
      <c r="C1210" s="223"/>
      <c r="D1210" s="224"/>
      <c r="E1210" s="225"/>
      <c r="F1210" s="1036" t="str">
        <f t="shared" si="432"/>
        <v/>
      </c>
      <c r="G1210" s="1037" t="str">
        <f t="shared" si="427"/>
        <v/>
      </c>
      <c r="H1210" s="225"/>
      <c r="I1210" s="1013"/>
      <c r="J1210" s="1013"/>
      <c r="K1210" s="1028"/>
      <c r="L1210" s="1035" t="str">
        <f t="shared" si="431"/>
        <v/>
      </c>
      <c r="S1210" s="498"/>
      <c r="AJ1210" s="498"/>
      <c r="AM1210" s="498">
        <f t="shared" si="412"/>
        <v>0</v>
      </c>
      <c r="AN1210" s="498">
        <f t="shared" si="413"/>
        <v>0</v>
      </c>
      <c r="AO1210" s="498">
        <f t="shared" si="414"/>
        <v>0</v>
      </c>
      <c r="AP1210" s="498">
        <f t="shared" si="433"/>
        <v>0</v>
      </c>
      <c r="AQ1210" s="498">
        <f t="shared" si="428"/>
        <v>0</v>
      </c>
      <c r="AU1210" s="498">
        <f t="shared" si="415"/>
        <v>0</v>
      </c>
      <c r="AV1210" s="498">
        <f t="shared" si="416"/>
        <v>0</v>
      </c>
      <c r="AW1210" s="498">
        <f t="shared" si="417"/>
        <v>0</v>
      </c>
      <c r="AX1210" s="498">
        <f t="shared" si="418"/>
        <v>0</v>
      </c>
      <c r="AY1210" s="498">
        <f t="shared" si="419"/>
        <v>0</v>
      </c>
      <c r="BB1210" s="498" t="str">
        <f t="shared" si="420"/>
        <v/>
      </c>
      <c r="BC1210" s="743" t="str">
        <f t="shared" si="421"/>
        <v/>
      </c>
      <c r="BD1210" s="743" t="str">
        <f t="shared" si="422"/>
        <v/>
      </c>
      <c r="BE1210" s="743" t="str">
        <f>IF(D1210="","",VLOOKUP(D1210,'General Basis'!$J$39:$K$46,2,0))</f>
        <v/>
      </c>
      <c r="BF1210" s="744" t="str">
        <f>IF(D1210="","",VLOOKUP(D1210,'General Basis'!$J$39:$L$46,3,0))</f>
        <v/>
      </c>
      <c r="BG1210" s="744" t="str">
        <f t="shared" si="429"/>
        <v/>
      </c>
      <c r="BH1210" s="744" t="str">
        <f>IF(G1210="","",IF(BF1210="Abu Dhabi",IF(G1210&lt;18,'General Basis'!$C$39,IF(G1210&lt;41,'General Basis'!$C$40,IF(G1210&lt;60,'General Basis'!$C$41,IF(G1210&lt;65,'General Basis'!$C$42,'General Basis'!$C$43)))),IF(G1210&lt;11,'General Basis'!$B$39,IF(G1210&lt;18,'General Basis'!$B$40,IF(G1210&lt;26,'General Basis'!$B$41,IF(G1210&lt;31,'General Basis'!$B$42,IF(G1210&lt;36,'General Basis'!$B$43,IF(G1210&lt;41,'General Basis'!$B$44,IF(G1210&lt;46,'General Basis'!$B$45,IF(G1210&lt;51,'General Basis'!$B$46,IF(G1210&lt;56,'General Basis'!$B$47,IF(G1210&lt;60,'General Basis'!$B$48,IF(G1210&lt;65,'General Basis'!$B$49,'General Basis'!$B$50)))))))))))))</f>
        <v/>
      </c>
      <c r="BI1210" s="744" t="str">
        <f t="shared" si="423"/>
        <v/>
      </c>
      <c r="BJ1210" s="747" t="str">
        <f t="shared" si="430"/>
        <v/>
      </c>
      <c r="BK1210" s="498" t="str">
        <f t="shared" si="424"/>
        <v/>
      </c>
      <c r="BL1210" s="498" t="str">
        <f t="shared" si="425"/>
        <v/>
      </c>
    </row>
    <row r="1211" spans="1:64" x14ac:dyDescent="0.25">
      <c r="A1211" s="762">
        <f t="shared" si="426"/>
        <v>1206</v>
      </c>
      <c r="B1211" s="229"/>
      <c r="C1211" s="223"/>
      <c r="D1211" s="224"/>
      <c r="E1211" s="225"/>
      <c r="F1211" s="1036" t="str">
        <f t="shared" si="432"/>
        <v/>
      </c>
      <c r="G1211" s="1037" t="str">
        <f t="shared" si="427"/>
        <v/>
      </c>
      <c r="H1211" s="225"/>
      <c r="I1211" s="1013"/>
      <c r="J1211" s="1013"/>
      <c r="K1211" s="1028"/>
      <c r="L1211" s="1035" t="str">
        <f t="shared" si="431"/>
        <v/>
      </c>
      <c r="S1211" s="498"/>
      <c r="AJ1211" s="498"/>
      <c r="AM1211" s="498">
        <f t="shared" si="412"/>
        <v>0</v>
      </c>
      <c r="AN1211" s="498">
        <f t="shared" si="413"/>
        <v>0</v>
      </c>
      <c r="AO1211" s="498">
        <f t="shared" si="414"/>
        <v>0</v>
      </c>
      <c r="AP1211" s="498">
        <f t="shared" si="433"/>
        <v>0</v>
      </c>
      <c r="AQ1211" s="498">
        <f t="shared" si="428"/>
        <v>0</v>
      </c>
      <c r="AU1211" s="498">
        <f t="shared" si="415"/>
        <v>0</v>
      </c>
      <c r="AV1211" s="498">
        <f t="shared" si="416"/>
        <v>0</v>
      </c>
      <c r="AW1211" s="498">
        <f t="shared" si="417"/>
        <v>0</v>
      </c>
      <c r="AX1211" s="498">
        <f t="shared" si="418"/>
        <v>0</v>
      </c>
      <c r="AY1211" s="498">
        <f t="shared" si="419"/>
        <v>0</v>
      </c>
      <c r="BB1211" s="498" t="str">
        <f t="shared" si="420"/>
        <v/>
      </c>
      <c r="BC1211" s="743" t="str">
        <f t="shared" si="421"/>
        <v/>
      </c>
      <c r="BD1211" s="743" t="str">
        <f t="shared" si="422"/>
        <v/>
      </c>
      <c r="BE1211" s="743" t="str">
        <f>IF(D1211="","",VLOOKUP(D1211,'General Basis'!$J$39:$K$46,2,0))</f>
        <v/>
      </c>
      <c r="BF1211" s="744" t="str">
        <f>IF(D1211="","",VLOOKUP(D1211,'General Basis'!$J$39:$L$46,3,0))</f>
        <v/>
      </c>
      <c r="BG1211" s="744" t="str">
        <f t="shared" si="429"/>
        <v/>
      </c>
      <c r="BH1211" s="744" t="str">
        <f>IF(G1211="","",IF(BF1211="Abu Dhabi",IF(G1211&lt;18,'General Basis'!$C$39,IF(G1211&lt;41,'General Basis'!$C$40,IF(G1211&lt;60,'General Basis'!$C$41,IF(G1211&lt;65,'General Basis'!$C$42,'General Basis'!$C$43)))),IF(G1211&lt;11,'General Basis'!$B$39,IF(G1211&lt;18,'General Basis'!$B$40,IF(G1211&lt;26,'General Basis'!$B$41,IF(G1211&lt;31,'General Basis'!$B$42,IF(G1211&lt;36,'General Basis'!$B$43,IF(G1211&lt;41,'General Basis'!$B$44,IF(G1211&lt;46,'General Basis'!$B$45,IF(G1211&lt;51,'General Basis'!$B$46,IF(G1211&lt;56,'General Basis'!$B$47,IF(G1211&lt;60,'General Basis'!$B$48,IF(G1211&lt;65,'General Basis'!$B$49,'General Basis'!$B$50)))))))))))))</f>
        <v/>
      </c>
      <c r="BI1211" s="744" t="str">
        <f t="shared" si="423"/>
        <v/>
      </c>
      <c r="BJ1211" s="747" t="str">
        <f t="shared" si="430"/>
        <v/>
      </c>
      <c r="BK1211" s="498" t="str">
        <f t="shared" si="424"/>
        <v/>
      </c>
      <c r="BL1211" s="498" t="str">
        <f t="shared" si="425"/>
        <v/>
      </c>
    </row>
    <row r="1212" spans="1:64" x14ac:dyDescent="0.25">
      <c r="A1212" s="762">
        <f t="shared" si="426"/>
        <v>1207</v>
      </c>
      <c r="B1212" s="229"/>
      <c r="C1212" s="223"/>
      <c r="D1212" s="224"/>
      <c r="E1212" s="225"/>
      <c r="F1212" s="1036" t="str">
        <f t="shared" si="432"/>
        <v/>
      </c>
      <c r="G1212" s="1037" t="str">
        <f t="shared" si="427"/>
        <v/>
      </c>
      <c r="H1212" s="225"/>
      <c r="I1212" s="1013"/>
      <c r="J1212" s="1013"/>
      <c r="K1212" s="1028"/>
      <c r="L1212" s="1035" t="str">
        <f t="shared" si="431"/>
        <v/>
      </c>
      <c r="S1212" s="498"/>
      <c r="AJ1212" s="498"/>
      <c r="AM1212" s="498">
        <f t="shared" si="412"/>
        <v>0</v>
      </c>
      <c r="AN1212" s="498">
        <f t="shared" si="413"/>
        <v>0</v>
      </c>
      <c r="AO1212" s="498">
        <f t="shared" si="414"/>
        <v>0</v>
      </c>
      <c r="AP1212" s="498">
        <f t="shared" si="433"/>
        <v>0</v>
      </c>
      <c r="AQ1212" s="498">
        <f t="shared" si="428"/>
        <v>0</v>
      </c>
      <c r="AU1212" s="498">
        <f t="shared" si="415"/>
        <v>0</v>
      </c>
      <c r="AV1212" s="498">
        <f t="shared" si="416"/>
        <v>0</v>
      </c>
      <c r="AW1212" s="498">
        <f t="shared" si="417"/>
        <v>0</v>
      </c>
      <c r="AX1212" s="498">
        <f t="shared" si="418"/>
        <v>0</v>
      </c>
      <c r="AY1212" s="498">
        <f t="shared" si="419"/>
        <v>0</v>
      </c>
      <c r="BB1212" s="498" t="str">
        <f t="shared" si="420"/>
        <v/>
      </c>
      <c r="BC1212" s="743" t="str">
        <f t="shared" si="421"/>
        <v/>
      </c>
      <c r="BD1212" s="743" t="str">
        <f t="shared" si="422"/>
        <v/>
      </c>
      <c r="BE1212" s="743" t="str">
        <f>IF(D1212="","",VLOOKUP(D1212,'General Basis'!$J$39:$K$46,2,0))</f>
        <v/>
      </c>
      <c r="BF1212" s="744" t="str">
        <f>IF(D1212="","",VLOOKUP(D1212,'General Basis'!$J$39:$L$46,3,0))</f>
        <v/>
      </c>
      <c r="BG1212" s="744" t="str">
        <f t="shared" si="429"/>
        <v/>
      </c>
      <c r="BH1212" s="744" t="str">
        <f>IF(G1212="","",IF(BF1212="Abu Dhabi",IF(G1212&lt;18,'General Basis'!$C$39,IF(G1212&lt;41,'General Basis'!$C$40,IF(G1212&lt;60,'General Basis'!$C$41,IF(G1212&lt;65,'General Basis'!$C$42,'General Basis'!$C$43)))),IF(G1212&lt;11,'General Basis'!$B$39,IF(G1212&lt;18,'General Basis'!$B$40,IF(G1212&lt;26,'General Basis'!$B$41,IF(G1212&lt;31,'General Basis'!$B$42,IF(G1212&lt;36,'General Basis'!$B$43,IF(G1212&lt;41,'General Basis'!$B$44,IF(G1212&lt;46,'General Basis'!$B$45,IF(G1212&lt;51,'General Basis'!$B$46,IF(G1212&lt;56,'General Basis'!$B$47,IF(G1212&lt;60,'General Basis'!$B$48,IF(G1212&lt;65,'General Basis'!$B$49,'General Basis'!$B$50)))))))))))))</f>
        <v/>
      </c>
      <c r="BI1212" s="744" t="str">
        <f t="shared" si="423"/>
        <v/>
      </c>
      <c r="BJ1212" s="747" t="str">
        <f t="shared" si="430"/>
        <v/>
      </c>
      <c r="BK1212" s="498" t="str">
        <f t="shared" si="424"/>
        <v/>
      </c>
      <c r="BL1212" s="498" t="str">
        <f t="shared" si="425"/>
        <v/>
      </c>
    </row>
    <row r="1213" spans="1:64" x14ac:dyDescent="0.25">
      <c r="A1213" s="762">
        <f t="shared" si="426"/>
        <v>1208</v>
      </c>
      <c r="B1213" s="229"/>
      <c r="C1213" s="223"/>
      <c r="D1213" s="224"/>
      <c r="E1213" s="225"/>
      <c r="F1213" s="1036" t="str">
        <f t="shared" si="432"/>
        <v/>
      </c>
      <c r="G1213" s="1037" t="str">
        <f t="shared" si="427"/>
        <v/>
      </c>
      <c r="H1213" s="225"/>
      <c r="I1213" s="1013"/>
      <c r="J1213" s="1013"/>
      <c r="K1213" s="1028"/>
      <c r="L1213" s="1035" t="str">
        <f t="shared" si="431"/>
        <v/>
      </c>
      <c r="S1213" s="498"/>
      <c r="AJ1213" s="498"/>
      <c r="AM1213" s="498">
        <f t="shared" si="412"/>
        <v>0</v>
      </c>
      <c r="AN1213" s="498">
        <f t="shared" si="413"/>
        <v>0</v>
      </c>
      <c r="AO1213" s="498">
        <f t="shared" si="414"/>
        <v>0</v>
      </c>
      <c r="AP1213" s="498">
        <f t="shared" si="433"/>
        <v>0</v>
      </c>
      <c r="AQ1213" s="498">
        <f t="shared" si="428"/>
        <v>0</v>
      </c>
      <c r="AU1213" s="498">
        <f t="shared" si="415"/>
        <v>0</v>
      </c>
      <c r="AV1213" s="498">
        <f t="shared" si="416"/>
        <v>0</v>
      </c>
      <c r="AW1213" s="498">
        <f t="shared" si="417"/>
        <v>0</v>
      </c>
      <c r="AX1213" s="498">
        <f t="shared" si="418"/>
        <v>0</v>
      </c>
      <c r="AY1213" s="498">
        <f t="shared" si="419"/>
        <v>0</v>
      </c>
      <c r="BB1213" s="498" t="str">
        <f t="shared" si="420"/>
        <v/>
      </c>
      <c r="BC1213" s="743" t="str">
        <f t="shared" si="421"/>
        <v/>
      </c>
      <c r="BD1213" s="743" t="str">
        <f t="shared" si="422"/>
        <v/>
      </c>
      <c r="BE1213" s="743" t="str">
        <f>IF(D1213="","",VLOOKUP(D1213,'General Basis'!$J$39:$K$46,2,0))</f>
        <v/>
      </c>
      <c r="BF1213" s="744" t="str">
        <f>IF(D1213="","",VLOOKUP(D1213,'General Basis'!$J$39:$L$46,3,0))</f>
        <v/>
      </c>
      <c r="BG1213" s="744" t="str">
        <f t="shared" si="429"/>
        <v/>
      </c>
      <c r="BH1213" s="744" t="str">
        <f>IF(G1213="","",IF(BF1213="Abu Dhabi",IF(G1213&lt;18,'General Basis'!$C$39,IF(G1213&lt;41,'General Basis'!$C$40,IF(G1213&lt;60,'General Basis'!$C$41,IF(G1213&lt;65,'General Basis'!$C$42,'General Basis'!$C$43)))),IF(G1213&lt;11,'General Basis'!$B$39,IF(G1213&lt;18,'General Basis'!$B$40,IF(G1213&lt;26,'General Basis'!$B$41,IF(G1213&lt;31,'General Basis'!$B$42,IF(G1213&lt;36,'General Basis'!$B$43,IF(G1213&lt;41,'General Basis'!$B$44,IF(G1213&lt;46,'General Basis'!$B$45,IF(G1213&lt;51,'General Basis'!$B$46,IF(G1213&lt;56,'General Basis'!$B$47,IF(G1213&lt;60,'General Basis'!$B$48,IF(G1213&lt;65,'General Basis'!$B$49,'General Basis'!$B$50)))))))))))))</f>
        <v/>
      </c>
      <c r="BI1213" s="744" t="str">
        <f t="shared" si="423"/>
        <v/>
      </c>
      <c r="BJ1213" s="747" t="str">
        <f t="shared" si="430"/>
        <v/>
      </c>
      <c r="BK1213" s="498" t="str">
        <f t="shared" si="424"/>
        <v/>
      </c>
      <c r="BL1213" s="498" t="str">
        <f t="shared" si="425"/>
        <v/>
      </c>
    </row>
    <row r="1214" spans="1:64" x14ac:dyDescent="0.25">
      <c r="A1214" s="762">
        <f t="shared" si="426"/>
        <v>1209</v>
      </c>
      <c r="B1214" s="229"/>
      <c r="C1214" s="223"/>
      <c r="D1214" s="224"/>
      <c r="E1214" s="225"/>
      <c r="F1214" s="1036" t="str">
        <f t="shared" si="432"/>
        <v/>
      </c>
      <c r="G1214" s="1037" t="str">
        <f t="shared" si="427"/>
        <v/>
      </c>
      <c r="H1214" s="225"/>
      <c r="I1214" s="1013"/>
      <c r="J1214" s="1013"/>
      <c r="K1214" s="1028"/>
      <c r="L1214" s="1035" t="str">
        <f t="shared" si="431"/>
        <v/>
      </c>
      <c r="S1214" s="498"/>
      <c r="AJ1214" s="498"/>
      <c r="AM1214" s="498">
        <f t="shared" si="412"/>
        <v>0</v>
      </c>
      <c r="AN1214" s="498">
        <f t="shared" si="413"/>
        <v>0</v>
      </c>
      <c r="AO1214" s="498">
        <f t="shared" si="414"/>
        <v>0</v>
      </c>
      <c r="AP1214" s="498">
        <f t="shared" si="433"/>
        <v>0</v>
      </c>
      <c r="AQ1214" s="498">
        <f t="shared" si="428"/>
        <v>0</v>
      </c>
      <c r="AU1214" s="498">
        <f t="shared" si="415"/>
        <v>0</v>
      </c>
      <c r="AV1214" s="498">
        <f t="shared" si="416"/>
        <v>0</v>
      </c>
      <c r="AW1214" s="498">
        <f t="shared" si="417"/>
        <v>0</v>
      </c>
      <c r="AX1214" s="498">
        <f t="shared" si="418"/>
        <v>0</v>
      </c>
      <c r="AY1214" s="498">
        <f t="shared" si="419"/>
        <v>0</v>
      </c>
      <c r="BB1214" s="498" t="str">
        <f t="shared" si="420"/>
        <v/>
      </c>
      <c r="BC1214" s="743" t="str">
        <f t="shared" si="421"/>
        <v/>
      </c>
      <c r="BD1214" s="743" t="str">
        <f t="shared" si="422"/>
        <v/>
      </c>
      <c r="BE1214" s="743" t="str">
        <f>IF(D1214="","",VLOOKUP(D1214,'General Basis'!$J$39:$K$46,2,0))</f>
        <v/>
      </c>
      <c r="BF1214" s="744" t="str">
        <f>IF(D1214="","",VLOOKUP(D1214,'General Basis'!$J$39:$L$46,3,0))</f>
        <v/>
      </c>
      <c r="BG1214" s="744" t="str">
        <f t="shared" si="429"/>
        <v/>
      </c>
      <c r="BH1214" s="744" t="str">
        <f>IF(G1214="","",IF(BF1214="Abu Dhabi",IF(G1214&lt;18,'General Basis'!$C$39,IF(G1214&lt;41,'General Basis'!$C$40,IF(G1214&lt;60,'General Basis'!$C$41,IF(G1214&lt;65,'General Basis'!$C$42,'General Basis'!$C$43)))),IF(G1214&lt;11,'General Basis'!$B$39,IF(G1214&lt;18,'General Basis'!$B$40,IF(G1214&lt;26,'General Basis'!$B$41,IF(G1214&lt;31,'General Basis'!$B$42,IF(G1214&lt;36,'General Basis'!$B$43,IF(G1214&lt;41,'General Basis'!$B$44,IF(G1214&lt;46,'General Basis'!$B$45,IF(G1214&lt;51,'General Basis'!$B$46,IF(G1214&lt;56,'General Basis'!$B$47,IF(G1214&lt;60,'General Basis'!$B$48,IF(G1214&lt;65,'General Basis'!$B$49,'General Basis'!$B$50)))))))))))))</f>
        <v/>
      </c>
      <c r="BI1214" s="744" t="str">
        <f t="shared" si="423"/>
        <v/>
      </c>
      <c r="BJ1214" s="747" t="str">
        <f t="shared" si="430"/>
        <v/>
      </c>
      <c r="BK1214" s="498" t="str">
        <f t="shared" si="424"/>
        <v/>
      </c>
      <c r="BL1214" s="498" t="str">
        <f t="shared" si="425"/>
        <v/>
      </c>
    </row>
    <row r="1215" spans="1:64" x14ac:dyDescent="0.25">
      <c r="A1215" s="762">
        <f t="shared" si="426"/>
        <v>1210</v>
      </c>
      <c r="B1215" s="229"/>
      <c r="C1215" s="223"/>
      <c r="D1215" s="224"/>
      <c r="E1215" s="225"/>
      <c r="F1215" s="1036" t="str">
        <f t="shared" si="432"/>
        <v/>
      </c>
      <c r="G1215" s="1037" t="str">
        <f t="shared" si="427"/>
        <v/>
      </c>
      <c r="H1215" s="225"/>
      <c r="I1215" s="1013"/>
      <c r="J1215" s="1013"/>
      <c r="K1215" s="1028"/>
      <c r="L1215" s="1035" t="str">
        <f t="shared" si="431"/>
        <v/>
      </c>
      <c r="S1215" s="498"/>
      <c r="AJ1215" s="498"/>
      <c r="AM1215" s="498">
        <f t="shared" si="412"/>
        <v>0</v>
      </c>
      <c r="AN1215" s="498">
        <f t="shared" si="413"/>
        <v>0</v>
      </c>
      <c r="AO1215" s="498">
        <f t="shared" si="414"/>
        <v>0</v>
      </c>
      <c r="AP1215" s="498">
        <f t="shared" si="433"/>
        <v>0</v>
      </c>
      <c r="AQ1215" s="498">
        <f t="shared" si="428"/>
        <v>0</v>
      </c>
      <c r="AU1215" s="498">
        <f t="shared" si="415"/>
        <v>0</v>
      </c>
      <c r="AV1215" s="498">
        <f t="shared" si="416"/>
        <v>0</v>
      </c>
      <c r="AW1215" s="498">
        <f t="shared" si="417"/>
        <v>0</v>
      </c>
      <c r="AX1215" s="498">
        <f t="shared" si="418"/>
        <v>0</v>
      </c>
      <c r="AY1215" s="498">
        <f t="shared" si="419"/>
        <v>0</v>
      </c>
      <c r="BB1215" s="498" t="str">
        <f t="shared" si="420"/>
        <v/>
      </c>
      <c r="BC1215" s="743" t="str">
        <f t="shared" si="421"/>
        <v/>
      </c>
      <c r="BD1215" s="743" t="str">
        <f t="shared" si="422"/>
        <v/>
      </c>
      <c r="BE1215" s="743" t="str">
        <f>IF(D1215="","",VLOOKUP(D1215,'General Basis'!$J$39:$K$46,2,0))</f>
        <v/>
      </c>
      <c r="BF1215" s="744" t="str">
        <f>IF(D1215="","",VLOOKUP(D1215,'General Basis'!$J$39:$L$46,3,0))</f>
        <v/>
      </c>
      <c r="BG1215" s="744" t="str">
        <f t="shared" si="429"/>
        <v/>
      </c>
      <c r="BH1215" s="744" t="str">
        <f>IF(G1215="","",IF(BF1215="Abu Dhabi",IF(G1215&lt;18,'General Basis'!$C$39,IF(G1215&lt;41,'General Basis'!$C$40,IF(G1215&lt;60,'General Basis'!$C$41,IF(G1215&lt;65,'General Basis'!$C$42,'General Basis'!$C$43)))),IF(G1215&lt;11,'General Basis'!$B$39,IF(G1215&lt;18,'General Basis'!$B$40,IF(G1215&lt;26,'General Basis'!$B$41,IF(G1215&lt;31,'General Basis'!$B$42,IF(G1215&lt;36,'General Basis'!$B$43,IF(G1215&lt;41,'General Basis'!$B$44,IF(G1215&lt;46,'General Basis'!$B$45,IF(G1215&lt;51,'General Basis'!$B$46,IF(G1215&lt;56,'General Basis'!$B$47,IF(G1215&lt;60,'General Basis'!$B$48,IF(G1215&lt;65,'General Basis'!$B$49,'General Basis'!$B$50)))))))))))))</f>
        <v/>
      </c>
      <c r="BI1215" s="744" t="str">
        <f t="shared" si="423"/>
        <v/>
      </c>
      <c r="BJ1215" s="747" t="str">
        <f t="shared" si="430"/>
        <v/>
      </c>
      <c r="BK1215" s="498" t="str">
        <f t="shared" si="424"/>
        <v/>
      </c>
      <c r="BL1215" s="498" t="str">
        <f t="shared" si="425"/>
        <v/>
      </c>
    </row>
    <row r="1216" spans="1:64" x14ac:dyDescent="0.25">
      <c r="A1216" s="762">
        <f t="shared" si="426"/>
        <v>1211</v>
      </c>
      <c r="B1216" s="229"/>
      <c r="C1216" s="223"/>
      <c r="D1216" s="224"/>
      <c r="E1216" s="225"/>
      <c r="F1216" s="1036" t="str">
        <f t="shared" si="432"/>
        <v/>
      </c>
      <c r="G1216" s="1037" t="str">
        <f t="shared" si="427"/>
        <v/>
      </c>
      <c r="H1216" s="225"/>
      <c r="I1216" s="1013"/>
      <c r="J1216" s="1013"/>
      <c r="K1216" s="1028"/>
      <c r="L1216" s="1035" t="str">
        <f t="shared" si="431"/>
        <v/>
      </c>
      <c r="S1216" s="498"/>
      <c r="AJ1216" s="498"/>
      <c r="AM1216" s="498">
        <f t="shared" si="412"/>
        <v>0</v>
      </c>
      <c r="AN1216" s="498">
        <f t="shared" si="413"/>
        <v>0</v>
      </c>
      <c r="AO1216" s="498">
        <f t="shared" si="414"/>
        <v>0</v>
      </c>
      <c r="AP1216" s="498">
        <f t="shared" si="433"/>
        <v>0</v>
      </c>
      <c r="AQ1216" s="498">
        <f t="shared" si="428"/>
        <v>0</v>
      </c>
      <c r="AU1216" s="498">
        <f t="shared" si="415"/>
        <v>0</v>
      </c>
      <c r="AV1216" s="498">
        <f t="shared" si="416"/>
        <v>0</v>
      </c>
      <c r="AW1216" s="498">
        <f t="shared" si="417"/>
        <v>0</v>
      </c>
      <c r="AX1216" s="498">
        <f t="shared" si="418"/>
        <v>0</v>
      </c>
      <c r="AY1216" s="498">
        <f t="shared" si="419"/>
        <v>0</v>
      </c>
      <c r="BB1216" s="498" t="str">
        <f t="shared" si="420"/>
        <v/>
      </c>
      <c r="BC1216" s="743" t="str">
        <f t="shared" si="421"/>
        <v/>
      </c>
      <c r="BD1216" s="743" t="str">
        <f t="shared" si="422"/>
        <v/>
      </c>
      <c r="BE1216" s="743" t="str">
        <f>IF(D1216="","",VLOOKUP(D1216,'General Basis'!$J$39:$K$46,2,0))</f>
        <v/>
      </c>
      <c r="BF1216" s="744" t="str">
        <f>IF(D1216="","",VLOOKUP(D1216,'General Basis'!$J$39:$L$46,3,0))</f>
        <v/>
      </c>
      <c r="BG1216" s="744" t="str">
        <f t="shared" si="429"/>
        <v/>
      </c>
      <c r="BH1216" s="744" t="str">
        <f>IF(G1216="","",IF(BF1216="Abu Dhabi",IF(G1216&lt;18,'General Basis'!$C$39,IF(G1216&lt;41,'General Basis'!$C$40,IF(G1216&lt;60,'General Basis'!$C$41,IF(G1216&lt;65,'General Basis'!$C$42,'General Basis'!$C$43)))),IF(G1216&lt;11,'General Basis'!$B$39,IF(G1216&lt;18,'General Basis'!$B$40,IF(G1216&lt;26,'General Basis'!$B$41,IF(G1216&lt;31,'General Basis'!$B$42,IF(G1216&lt;36,'General Basis'!$B$43,IF(G1216&lt;41,'General Basis'!$B$44,IF(G1216&lt;46,'General Basis'!$B$45,IF(G1216&lt;51,'General Basis'!$B$46,IF(G1216&lt;56,'General Basis'!$B$47,IF(G1216&lt;60,'General Basis'!$B$48,IF(G1216&lt;65,'General Basis'!$B$49,'General Basis'!$B$50)))))))))))))</f>
        <v/>
      </c>
      <c r="BI1216" s="744" t="str">
        <f t="shared" si="423"/>
        <v/>
      </c>
      <c r="BJ1216" s="747" t="str">
        <f t="shared" si="430"/>
        <v/>
      </c>
      <c r="BK1216" s="498" t="str">
        <f t="shared" si="424"/>
        <v/>
      </c>
      <c r="BL1216" s="498" t="str">
        <f t="shared" si="425"/>
        <v/>
      </c>
    </row>
    <row r="1217" spans="1:64" x14ac:dyDescent="0.25">
      <c r="A1217" s="762">
        <f t="shared" si="426"/>
        <v>1212</v>
      </c>
      <c r="B1217" s="229"/>
      <c r="C1217" s="223"/>
      <c r="D1217" s="224"/>
      <c r="E1217" s="225"/>
      <c r="F1217" s="1036" t="str">
        <f t="shared" si="432"/>
        <v/>
      </c>
      <c r="G1217" s="1037" t="str">
        <f t="shared" si="427"/>
        <v/>
      </c>
      <c r="H1217" s="225"/>
      <c r="I1217" s="1013"/>
      <c r="J1217" s="1013"/>
      <c r="K1217" s="1028"/>
      <c r="L1217" s="1035" t="str">
        <f t="shared" si="431"/>
        <v/>
      </c>
      <c r="S1217" s="498"/>
      <c r="AJ1217" s="498"/>
      <c r="AM1217" s="498">
        <f t="shared" si="412"/>
        <v>0</v>
      </c>
      <c r="AN1217" s="498">
        <f t="shared" si="413"/>
        <v>0</v>
      </c>
      <c r="AO1217" s="498">
        <f t="shared" si="414"/>
        <v>0</v>
      </c>
      <c r="AP1217" s="498">
        <f t="shared" si="433"/>
        <v>0</v>
      </c>
      <c r="AQ1217" s="498">
        <f t="shared" si="428"/>
        <v>0</v>
      </c>
      <c r="AU1217" s="498">
        <f t="shared" si="415"/>
        <v>0</v>
      </c>
      <c r="AV1217" s="498">
        <f t="shared" si="416"/>
        <v>0</v>
      </c>
      <c r="AW1217" s="498">
        <f t="shared" si="417"/>
        <v>0</v>
      </c>
      <c r="AX1217" s="498">
        <f t="shared" si="418"/>
        <v>0</v>
      </c>
      <c r="AY1217" s="498">
        <f t="shared" si="419"/>
        <v>0</v>
      </c>
      <c r="BB1217" s="498" t="str">
        <f t="shared" si="420"/>
        <v/>
      </c>
      <c r="BC1217" s="743" t="str">
        <f t="shared" si="421"/>
        <v/>
      </c>
      <c r="BD1217" s="743" t="str">
        <f t="shared" si="422"/>
        <v/>
      </c>
      <c r="BE1217" s="743" t="str">
        <f>IF(D1217="","",VLOOKUP(D1217,'General Basis'!$J$39:$K$46,2,0))</f>
        <v/>
      </c>
      <c r="BF1217" s="744" t="str">
        <f>IF(D1217="","",VLOOKUP(D1217,'General Basis'!$J$39:$L$46,3,0))</f>
        <v/>
      </c>
      <c r="BG1217" s="744" t="str">
        <f t="shared" si="429"/>
        <v/>
      </c>
      <c r="BH1217" s="744" t="str">
        <f>IF(G1217="","",IF(BF1217="Abu Dhabi",IF(G1217&lt;18,'General Basis'!$C$39,IF(G1217&lt;41,'General Basis'!$C$40,IF(G1217&lt;60,'General Basis'!$C$41,IF(G1217&lt;65,'General Basis'!$C$42,'General Basis'!$C$43)))),IF(G1217&lt;11,'General Basis'!$B$39,IF(G1217&lt;18,'General Basis'!$B$40,IF(G1217&lt;26,'General Basis'!$B$41,IF(G1217&lt;31,'General Basis'!$B$42,IF(G1217&lt;36,'General Basis'!$B$43,IF(G1217&lt;41,'General Basis'!$B$44,IF(G1217&lt;46,'General Basis'!$B$45,IF(G1217&lt;51,'General Basis'!$B$46,IF(G1217&lt;56,'General Basis'!$B$47,IF(G1217&lt;60,'General Basis'!$B$48,IF(G1217&lt;65,'General Basis'!$B$49,'General Basis'!$B$50)))))))))))))</f>
        <v/>
      </c>
      <c r="BI1217" s="744" t="str">
        <f t="shared" si="423"/>
        <v/>
      </c>
      <c r="BJ1217" s="747" t="str">
        <f t="shared" si="430"/>
        <v/>
      </c>
      <c r="BK1217" s="498" t="str">
        <f t="shared" si="424"/>
        <v/>
      </c>
      <c r="BL1217" s="498" t="str">
        <f t="shared" si="425"/>
        <v/>
      </c>
    </row>
    <row r="1218" spans="1:64" x14ac:dyDescent="0.25">
      <c r="A1218" s="762">
        <f t="shared" si="426"/>
        <v>1213</v>
      </c>
      <c r="B1218" s="229"/>
      <c r="C1218" s="223"/>
      <c r="D1218" s="224"/>
      <c r="E1218" s="225"/>
      <c r="F1218" s="1036" t="str">
        <f t="shared" si="432"/>
        <v/>
      </c>
      <c r="G1218" s="1037" t="str">
        <f t="shared" si="427"/>
        <v/>
      </c>
      <c r="H1218" s="225"/>
      <c r="I1218" s="1013"/>
      <c r="J1218" s="1013"/>
      <c r="K1218" s="1028"/>
      <c r="L1218" s="1035" t="str">
        <f t="shared" si="431"/>
        <v/>
      </c>
      <c r="S1218" s="498"/>
      <c r="AJ1218" s="498"/>
      <c r="AM1218" s="498">
        <f t="shared" si="412"/>
        <v>0</v>
      </c>
      <c r="AN1218" s="498">
        <f t="shared" si="413"/>
        <v>0</v>
      </c>
      <c r="AO1218" s="498">
        <f t="shared" si="414"/>
        <v>0</v>
      </c>
      <c r="AP1218" s="498">
        <f t="shared" si="433"/>
        <v>0</v>
      </c>
      <c r="AQ1218" s="498">
        <f t="shared" si="428"/>
        <v>0</v>
      </c>
      <c r="AU1218" s="498">
        <f t="shared" si="415"/>
        <v>0</v>
      </c>
      <c r="AV1218" s="498">
        <f t="shared" si="416"/>
        <v>0</v>
      </c>
      <c r="AW1218" s="498">
        <f t="shared" si="417"/>
        <v>0</v>
      </c>
      <c r="AX1218" s="498">
        <f t="shared" si="418"/>
        <v>0</v>
      </c>
      <c r="AY1218" s="498">
        <f t="shared" si="419"/>
        <v>0</v>
      </c>
      <c r="BB1218" s="498" t="str">
        <f t="shared" si="420"/>
        <v/>
      </c>
      <c r="BC1218" s="743" t="str">
        <f t="shared" si="421"/>
        <v/>
      </c>
      <c r="BD1218" s="743" t="str">
        <f t="shared" si="422"/>
        <v/>
      </c>
      <c r="BE1218" s="743" t="str">
        <f>IF(D1218="","",VLOOKUP(D1218,'General Basis'!$J$39:$K$46,2,0))</f>
        <v/>
      </c>
      <c r="BF1218" s="744" t="str">
        <f>IF(D1218="","",VLOOKUP(D1218,'General Basis'!$J$39:$L$46,3,0))</f>
        <v/>
      </c>
      <c r="BG1218" s="744" t="str">
        <f t="shared" si="429"/>
        <v/>
      </c>
      <c r="BH1218" s="744" t="str">
        <f>IF(G1218="","",IF(BF1218="Abu Dhabi",IF(G1218&lt;18,'General Basis'!$C$39,IF(G1218&lt;41,'General Basis'!$C$40,IF(G1218&lt;60,'General Basis'!$C$41,IF(G1218&lt;65,'General Basis'!$C$42,'General Basis'!$C$43)))),IF(G1218&lt;11,'General Basis'!$B$39,IF(G1218&lt;18,'General Basis'!$B$40,IF(G1218&lt;26,'General Basis'!$B$41,IF(G1218&lt;31,'General Basis'!$B$42,IF(G1218&lt;36,'General Basis'!$B$43,IF(G1218&lt;41,'General Basis'!$B$44,IF(G1218&lt;46,'General Basis'!$B$45,IF(G1218&lt;51,'General Basis'!$B$46,IF(G1218&lt;56,'General Basis'!$B$47,IF(G1218&lt;60,'General Basis'!$B$48,IF(G1218&lt;65,'General Basis'!$B$49,'General Basis'!$B$50)))))))))))))</f>
        <v/>
      </c>
      <c r="BI1218" s="744" t="str">
        <f t="shared" si="423"/>
        <v/>
      </c>
      <c r="BJ1218" s="747" t="str">
        <f t="shared" si="430"/>
        <v/>
      </c>
      <c r="BK1218" s="498" t="str">
        <f t="shared" si="424"/>
        <v/>
      </c>
      <c r="BL1218" s="498" t="str">
        <f t="shared" si="425"/>
        <v/>
      </c>
    </row>
    <row r="1219" spans="1:64" x14ac:dyDescent="0.25">
      <c r="A1219" s="762">
        <f t="shared" si="426"/>
        <v>1214</v>
      </c>
      <c r="B1219" s="229"/>
      <c r="C1219" s="223"/>
      <c r="D1219" s="224"/>
      <c r="E1219" s="225"/>
      <c r="F1219" s="1036" t="str">
        <f t="shared" si="432"/>
        <v/>
      </c>
      <c r="G1219" s="1037" t="str">
        <f t="shared" si="427"/>
        <v/>
      </c>
      <c r="H1219" s="225"/>
      <c r="I1219" s="1013"/>
      <c r="J1219" s="1013"/>
      <c r="K1219" s="1028"/>
      <c r="L1219" s="1035" t="str">
        <f t="shared" si="431"/>
        <v/>
      </c>
      <c r="S1219" s="498"/>
      <c r="AJ1219" s="498"/>
      <c r="AM1219" s="498">
        <f t="shared" si="412"/>
        <v>0</v>
      </c>
      <c r="AN1219" s="498">
        <f t="shared" si="413"/>
        <v>0</v>
      </c>
      <c r="AO1219" s="498">
        <f t="shared" si="414"/>
        <v>0</v>
      </c>
      <c r="AP1219" s="498">
        <f t="shared" si="433"/>
        <v>0</v>
      </c>
      <c r="AQ1219" s="498">
        <f t="shared" si="428"/>
        <v>0</v>
      </c>
      <c r="AU1219" s="498">
        <f t="shared" si="415"/>
        <v>0</v>
      </c>
      <c r="AV1219" s="498">
        <f t="shared" si="416"/>
        <v>0</v>
      </c>
      <c r="AW1219" s="498">
        <f t="shared" si="417"/>
        <v>0</v>
      </c>
      <c r="AX1219" s="498">
        <f t="shared" si="418"/>
        <v>0</v>
      </c>
      <c r="AY1219" s="498">
        <f t="shared" si="419"/>
        <v>0</v>
      </c>
      <c r="BB1219" s="498" t="str">
        <f t="shared" si="420"/>
        <v/>
      </c>
      <c r="BC1219" s="743" t="str">
        <f t="shared" si="421"/>
        <v/>
      </c>
      <c r="BD1219" s="743" t="str">
        <f t="shared" si="422"/>
        <v/>
      </c>
      <c r="BE1219" s="743" t="str">
        <f>IF(D1219="","",VLOOKUP(D1219,'General Basis'!$J$39:$K$46,2,0))</f>
        <v/>
      </c>
      <c r="BF1219" s="744" t="str">
        <f>IF(D1219="","",VLOOKUP(D1219,'General Basis'!$J$39:$L$46,3,0))</f>
        <v/>
      </c>
      <c r="BG1219" s="744" t="str">
        <f t="shared" si="429"/>
        <v/>
      </c>
      <c r="BH1219" s="744" t="str">
        <f>IF(G1219="","",IF(BF1219="Abu Dhabi",IF(G1219&lt;18,'General Basis'!$C$39,IF(G1219&lt;41,'General Basis'!$C$40,IF(G1219&lt;60,'General Basis'!$C$41,IF(G1219&lt;65,'General Basis'!$C$42,'General Basis'!$C$43)))),IF(G1219&lt;11,'General Basis'!$B$39,IF(G1219&lt;18,'General Basis'!$B$40,IF(G1219&lt;26,'General Basis'!$B$41,IF(G1219&lt;31,'General Basis'!$B$42,IF(G1219&lt;36,'General Basis'!$B$43,IF(G1219&lt;41,'General Basis'!$B$44,IF(G1219&lt;46,'General Basis'!$B$45,IF(G1219&lt;51,'General Basis'!$B$46,IF(G1219&lt;56,'General Basis'!$B$47,IF(G1219&lt;60,'General Basis'!$B$48,IF(G1219&lt;65,'General Basis'!$B$49,'General Basis'!$B$50)))))))))))))</f>
        <v/>
      </c>
      <c r="BI1219" s="744" t="str">
        <f t="shared" si="423"/>
        <v/>
      </c>
      <c r="BJ1219" s="747" t="str">
        <f t="shared" si="430"/>
        <v/>
      </c>
      <c r="BK1219" s="498" t="str">
        <f t="shared" si="424"/>
        <v/>
      </c>
      <c r="BL1219" s="498" t="str">
        <f t="shared" si="425"/>
        <v/>
      </c>
    </row>
    <row r="1220" spans="1:64" x14ac:dyDescent="0.25">
      <c r="A1220" s="762">
        <f t="shared" si="426"/>
        <v>1215</v>
      </c>
      <c r="B1220" s="229"/>
      <c r="C1220" s="223"/>
      <c r="D1220" s="224"/>
      <c r="E1220" s="225"/>
      <c r="F1220" s="1036" t="str">
        <f t="shared" si="432"/>
        <v/>
      </c>
      <c r="G1220" s="1037" t="str">
        <f t="shared" si="427"/>
        <v/>
      </c>
      <c r="H1220" s="225"/>
      <c r="I1220" s="1013"/>
      <c r="J1220" s="1013"/>
      <c r="K1220" s="1028"/>
      <c r="L1220" s="1035" t="str">
        <f t="shared" si="431"/>
        <v/>
      </c>
      <c r="S1220" s="498"/>
      <c r="AJ1220" s="498"/>
      <c r="AM1220" s="498">
        <f t="shared" si="412"/>
        <v>0</v>
      </c>
      <c r="AN1220" s="498">
        <f t="shared" si="413"/>
        <v>0</v>
      </c>
      <c r="AO1220" s="498">
        <f t="shared" si="414"/>
        <v>0</v>
      </c>
      <c r="AP1220" s="498">
        <f t="shared" si="433"/>
        <v>0</v>
      </c>
      <c r="AQ1220" s="498">
        <f t="shared" si="428"/>
        <v>0</v>
      </c>
      <c r="AU1220" s="498">
        <f t="shared" si="415"/>
        <v>0</v>
      </c>
      <c r="AV1220" s="498">
        <f t="shared" si="416"/>
        <v>0</v>
      </c>
      <c r="AW1220" s="498">
        <f t="shared" si="417"/>
        <v>0</v>
      </c>
      <c r="AX1220" s="498">
        <f t="shared" si="418"/>
        <v>0</v>
      </c>
      <c r="AY1220" s="498">
        <f t="shared" si="419"/>
        <v>0</v>
      </c>
      <c r="BB1220" s="498" t="str">
        <f t="shared" si="420"/>
        <v/>
      </c>
      <c r="BC1220" s="743" t="str">
        <f t="shared" si="421"/>
        <v/>
      </c>
      <c r="BD1220" s="743" t="str">
        <f t="shared" si="422"/>
        <v/>
      </c>
      <c r="BE1220" s="743" t="str">
        <f>IF(D1220="","",VLOOKUP(D1220,'General Basis'!$J$39:$K$46,2,0))</f>
        <v/>
      </c>
      <c r="BF1220" s="744" t="str">
        <f>IF(D1220="","",VLOOKUP(D1220,'General Basis'!$J$39:$L$46,3,0))</f>
        <v/>
      </c>
      <c r="BG1220" s="744" t="str">
        <f t="shared" si="429"/>
        <v/>
      </c>
      <c r="BH1220" s="744" t="str">
        <f>IF(G1220="","",IF(BF1220="Abu Dhabi",IF(G1220&lt;18,'General Basis'!$C$39,IF(G1220&lt;41,'General Basis'!$C$40,IF(G1220&lt;60,'General Basis'!$C$41,IF(G1220&lt;65,'General Basis'!$C$42,'General Basis'!$C$43)))),IF(G1220&lt;11,'General Basis'!$B$39,IF(G1220&lt;18,'General Basis'!$B$40,IF(G1220&lt;26,'General Basis'!$B$41,IF(G1220&lt;31,'General Basis'!$B$42,IF(G1220&lt;36,'General Basis'!$B$43,IF(G1220&lt;41,'General Basis'!$B$44,IF(G1220&lt;46,'General Basis'!$B$45,IF(G1220&lt;51,'General Basis'!$B$46,IF(G1220&lt;56,'General Basis'!$B$47,IF(G1220&lt;60,'General Basis'!$B$48,IF(G1220&lt;65,'General Basis'!$B$49,'General Basis'!$B$50)))))))))))))</f>
        <v/>
      </c>
      <c r="BI1220" s="744" t="str">
        <f t="shared" si="423"/>
        <v/>
      </c>
      <c r="BJ1220" s="747" t="str">
        <f t="shared" si="430"/>
        <v/>
      </c>
      <c r="BK1220" s="498" t="str">
        <f t="shared" si="424"/>
        <v/>
      </c>
      <c r="BL1220" s="498" t="str">
        <f t="shared" si="425"/>
        <v/>
      </c>
    </row>
    <row r="1221" spans="1:64" x14ac:dyDescent="0.25">
      <c r="A1221" s="762">
        <f t="shared" si="426"/>
        <v>1216</v>
      </c>
      <c r="B1221" s="229"/>
      <c r="C1221" s="223"/>
      <c r="D1221" s="224"/>
      <c r="E1221" s="225"/>
      <c r="F1221" s="1036" t="str">
        <f t="shared" si="432"/>
        <v/>
      </c>
      <c r="G1221" s="1037" t="str">
        <f t="shared" si="427"/>
        <v/>
      </c>
      <c r="H1221" s="225"/>
      <c r="I1221" s="1013"/>
      <c r="J1221" s="1013"/>
      <c r="K1221" s="1028"/>
      <c r="L1221" s="1035" t="str">
        <f t="shared" si="431"/>
        <v/>
      </c>
      <c r="S1221" s="498"/>
      <c r="AJ1221" s="498"/>
      <c r="AM1221" s="498">
        <f t="shared" si="412"/>
        <v>0</v>
      </c>
      <c r="AN1221" s="498">
        <f t="shared" si="413"/>
        <v>0</v>
      </c>
      <c r="AO1221" s="498">
        <f t="shared" si="414"/>
        <v>0</v>
      </c>
      <c r="AP1221" s="498">
        <f t="shared" si="433"/>
        <v>0</v>
      </c>
      <c r="AQ1221" s="498">
        <f t="shared" si="428"/>
        <v>0</v>
      </c>
      <c r="AU1221" s="498">
        <f t="shared" si="415"/>
        <v>0</v>
      </c>
      <c r="AV1221" s="498">
        <f t="shared" si="416"/>
        <v>0</v>
      </c>
      <c r="AW1221" s="498">
        <f t="shared" si="417"/>
        <v>0</v>
      </c>
      <c r="AX1221" s="498">
        <f t="shared" si="418"/>
        <v>0</v>
      </c>
      <c r="AY1221" s="498">
        <f t="shared" si="419"/>
        <v>0</v>
      </c>
      <c r="BB1221" s="498" t="str">
        <f t="shared" si="420"/>
        <v/>
      </c>
      <c r="BC1221" s="743" t="str">
        <f t="shared" si="421"/>
        <v/>
      </c>
      <c r="BD1221" s="743" t="str">
        <f t="shared" si="422"/>
        <v/>
      </c>
      <c r="BE1221" s="743" t="str">
        <f>IF(D1221="","",VLOOKUP(D1221,'General Basis'!$J$39:$K$46,2,0))</f>
        <v/>
      </c>
      <c r="BF1221" s="744" t="str">
        <f>IF(D1221="","",VLOOKUP(D1221,'General Basis'!$J$39:$L$46,3,0))</f>
        <v/>
      </c>
      <c r="BG1221" s="744" t="str">
        <f t="shared" si="429"/>
        <v/>
      </c>
      <c r="BH1221" s="744" t="str">
        <f>IF(G1221="","",IF(BF1221="Abu Dhabi",IF(G1221&lt;18,'General Basis'!$C$39,IF(G1221&lt;41,'General Basis'!$C$40,IF(G1221&lt;60,'General Basis'!$C$41,IF(G1221&lt;65,'General Basis'!$C$42,'General Basis'!$C$43)))),IF(G1221&lt;11,'General Basis'!$B$39,IF(G1221&lt;18,'General Basis'!$B$40,IF(G1221&lt;26,'General Basis'!$B$41,IF(G1221&lt;31,'General Basis'!$B$42,IF(G1221&lt;36,'General Basis'!$B$43,IF(G1221&lt;41,'General Basis'!$B$44,IF(G1221&lt;46,'General Basis'!$B$45,IF(G1221&lt;51,'General Basis'!$B$46,IF(G1221&lt;56,'General Basis'!$B$47,IF(G1221&lt;60,'General Basis'!$B$48,IF(G1221&lt;65,'General Basis'!$B$49,'General Basis'!$B$50)))))))))))))</f>
        <v/>
      </c>
      <c r="BI1221" s="744" t="str">
        <f t="shared" si="423"/>
        <v/>
      </c>
      <c r="BJ1221" s="747" t="str">
        <f t="shared" si="430"/>
        <v/>
      </c>
      <c r="BK1221" s="498" t="str">
        <f t="shared" si="424"/>
        <v/>
      </c>
      <c r="BL1221" s="498" t="str">
        <f t="shared" si="425"/>
        <v/>
      </c>
    </row>
    <row r="1222" spans="1:64" x14ac:dyDescent="0.25">
      <c r="A1222" s="762">
        <f t="shared" si="426"/>
        <v>1217</v>
      </c>
      <c r="B1222" s="229"/>
      <c r="C1222" s="223"/>
      <c r="D1222" s="224"/>
      <c r="E1222" s="225"/>
      <c r="F1222" s="1036" t="str">
        <f t="shared" si="432"/>
        <v/>
      </c>
      <c r="G1222" s="1037" t="str">
        <f t="shared" si="427"/>
        <v/>
      </c>
      <c r="H1222" s="225"/>
      <c r="I1222" s="1013"/>
      <c r="J1222" s="1013"/>
      <c r="K1222" s="1028"/>
      <c r="L1222" s="1035" t="str">
        <f t="shared" si="431"/>
        <v/>
      </c>
      <c r="S1222" s="498"/>
      <c r="AJ1222" s="498"/>
      <c r="AM1222" s="498">
        <f t="shared" ref="AM1222:AM1285" si="434">IF(ISTEXT(B1222),1,0)</f>
        <v>0</v>
      </c>
      <c r="AN1222" s="498">
        <f t="shared" ref="AN1222:AN1285" si="435">IF(ISBLANK(B1222),0,IF(B1222&lt;$AK$6,1,0))</f>
        <v>0</v>
      </c>
      <c r="AO1222" s="498">
        <f t="shared" ref="AO1222:AO1285" si="436">IF(ISBLANK(B1222),0,IF(B1222&gt;$AK$7,1,0))</f>
        <v>0</v>
      </c>
      <c r="AP1222" s="498">
        <f t="shared" si="433"/>
        <v>0</v>
      </c>
      <c r="AQ1222" s="498">
        <f t="shared" si="428"/>
        <v>0</v>
      </c>
      <c r="AU1222" s="498">
        <f t="shared" ref="AU1222:AU1285" si="437">IF(ISBLANK(B1222),0,1)</f>
        <v>0</v>
      </c>
      <c r="AV1222" s="498">
        <f t="shared" ref="AV1222:AV1285" si="438">IF(ISBLANK(C1222),0,1)</f>
        <v>0</v>
      </c>
      <c r="AW1222" s="498">
        <f t="shared" ref="AW1222:AW1285" si="439">IF(ISBLANK(D1222),0,1)</f>
        <v>0</v>
      </c>
      <c r="AX1222" s="498">
        <f t="shared" ref="AX1222:AX1285" si="440">IF(ISBLANK(E1222),0,1)</f>
        <v>0</v>
      </c>
      <c r="AY1222" s="498">
        <f t="shared" ref="AY1222:AY1285" si="441">IF(ISBLANK(H1222),0,1)</f>
        <v>0</v>
      </c>
      <c r="BB1222" s="498" t="str">
        <f t="shared" ref="BB1222:BB1285" si="442">IF(E1222="Principal","Principal",IF(E1222="","","Other"))</f>
        <v/>
      </c>
      <c r="BC1222" s="743" t="str">
        <f t="shared" ref="BC1222:BC1285" si="443">IF(D1222="","",D1222)</f>
        <v/>
      </c>
      <c r="BD1222" s="743" t="str">
        <f t="shared" ref="BD1222:BD1285" si="444">IF(E1222="Principal","Employee",IF(E1222="","","Dependent"))</f>
        <v/>
      </c>
      <c r="BE1222" s="743" t="str">
        <f>IF(D1222="","",VLOOKUP(D1222,'General Basis'!$J$39:$K$46,2,0))</f>
        <v/>
      </c>
      <c r="BF1222" s="744" t="str">
        <f>IF(D1222="","",VLOOKUP(D1222,'General Basis'!$J$39:$L$46,3,0))</f>
        <v/>
      </c>
      <c r="BG1222" s="744" t="str">
        <f t="shared" si="429"/>
        <v/>
      </c>
      <c r="BH1222" s="744" t="str">
        <f>IF(G1222="","",IF(BF1222="Abu Dhabi",IF(G1222&lt;18,'General Basis'!$C$39,IF(G1222&lt;41,'General Basis'!$C$40,IF(G1222&lt;60,'General Basis'!$C$41,IF(G1222&lt;65,'General Basis'!$C$42,'General Basis'!$C$43)))),IF(G1222&lt;11,'General Basis'!$B$39,IF(G1222&lt;18,'General Basis'!$B$40,IF(G1222&lt;26,'General Basis'!$B$41,IF(G1222&lt;31,'General Basis'!$B$42,IF(G1222&lt;36,'General Basis'!$B$43,IF(G1222&lt;41,'General Basis'!$B$44,IF(G1222&lt;46,'General Basis'!$B$45,IF(G1222&lt;51,'General Basis'!$B$46,IF(G1222&lt;56,'General Basis'!$B$47,IF(G1222&lt;60,'General Basis'!$B$48,IF(G1222&lt;65,'General Basis'!$B$49,'General Basis'!$B$50)))))))))))))</f>
        <v/>
      </c>
      <c r="BI1222" s="744" t="str">
        <f t="shared" ref="BI1222:BI1285" si="445">IF(C1222="","",IF(C1222="M","Male","Female"))</f>
        <v/>
      </c>
      <c r="BJ1222" s="747" t="str">
        <f t="shared" si="430"/>
        <v/>
      </c>
      <c r="BK1222" s="498" t="str">
        <f t="shared" ref="BK1222:BK1285" si="446">IF(BD1222="","",IF(AND(BD1222="Employee",BI1222="Male",BF1222="Abu Dhabi",BE1222=GN_Plus),VLOOKUP(BH1222,AUH_MALE_EMP,2,0),IF(AND(BD1222="Employee",BI1222="Male",BF1222="Abu Dhabi",BE1222=GN),VLOOKUP(BH1222,AUH_MALE_EMP,3,0),IF(AND(BD1222="Employee",BI1222="Male",BF1222="Abu Dhabi",BE1222=RN_Plus),VLOOKUP(BH1222,AUH_MALE_EMP,4,0),IF(AND(BD1222="Employee",BI1222="Male",BF1222="Abu Dhabi",BE1222=RN),VLOOKUP(BH1222,AUH_MALE_EMP,5,0),IF(AND(BD1222="Employee",BI1222="Male",BF1222="Abu Dhabi",BE1222=RN_2),VLOOKUP(BH1222,AUH_MALE_EMP,6,0),IF(AND(BD1222="Employee",BI1222="Male",BF1222="Abu Dhabi",BE1222=RN2_minus),VLOOKUP(BH1222,AUH_MALE_EMP,7,0),IF(AND(BD1222="Employee",BI1222="Male",BF1222="Abu Dhabi",BE1222=RN_3),VLOOKUP(BH1222,AUH_MALE_EMP,8,0),IF(AND(BD1222="Employee",BI1222="Male",BF1222="Abu Dhabi",BE1222=VN),VLOOKUP(BH1222,AUH_MALE_EMP,9,0),IF(BD1222="","",IF(AND(BD1222="Employee",BI1222="Female",BF1222="Abu Dhabi",BE1222=GN_Plus),VLOOKUP(BH1222,AUH_FEMALE_EMP,2,0),IF(AND(BD1222="Employee",BI1222="Female",BF1222="Abu Dhabi",BE1222=GN),VLOOKUP(BH1222,AUH_FEMALE_EMP,3,0),IF(AND(BD1222="Employee",BI1222="Female",BF1222="Abu Dhabi",BE1222=RN_Plus),VLOOKUP(BH1222,AUH_FEMALE_EMP,4,0),IF(AND(BD1222="Employee",BI1222="Female",BF1222="Abu Dhabi",BE1222=RN),VLOOKUP(BH1222,AUH_FEMALE_EMP,5,0),IF(AND(BD1222="Employee",BI1222="Female",BF1222="Abu Dhabi",BE1222=RN_2),VLOOKUP(BH1222,AUH_FEMALE_EMP,6,0),IF(AND(BD1222="Employee",BI1222="Female",BF1222="Abu Dhabi",BE1222=RN2_minus),VLOOKUP(BH1222,AUH_FEMALE_EMP,7,0),IF(AND(BD1222="Employee",BI1222="Female",BF1222="Abu Dhabi",BE1222=RN_3),VLOOKUP(BH1222,AUH_FEMALE_EMP,8,0),IF(AND(BD1222="Employee",BI1222="Female",BF1222="Abu Dhabi",BE1222=VN),VLOOKUP(BH1222,AUH_FEMALE_EMP,9,0),IF(BD1222="","",IF(AND(BD1222="Dependent",BI1222="Male",BF1222="Abu Dhabi",BE1222=GN_Plus),VLOOKUP(BH1222,AUH_MALE_DEP,2,0),IF(AND(BD1222="Dependent",BI1222="Male",BF1222="Abu Dhabi",BE1222=GN),VLOOKUP(BH1222,AUH_MALE_DEP,3,0),IF(AND(BD1222="Dependent",BI1222="Male",BF1222="Abu Dhabi",BE1222=RN_Plus),VLOOKUP(BH1222,AUH_MALE_DEP,4,0),IF(AND(BD1222="Dependent",BI1222="Male",BF1222="Abu Dhabi",BE1222=RN),VLOOKUP(BH1222,AUH_MALE_DEP,5,0),IF(AND(BD1222="Dependent",BI1222="Male",BF1222="Abu Dhabi",BE1222=RN_2),VLOOKUP(BH1222,AUH_MALE_DEP,6,0),IF(AND(BD1222="Dependent",BI1222="Male",BF1222="Abu Dhabi",BE1222=RN2_minus),VLOOKUP(BH1222,AUH_MALE_DEP,7,0),IF(AND(BD1222="Dependent",BI1222="Male",BF1222="Abu Dhabi",BE1222=RN_3),VLOOKUP(BH1222,AUH_MALE_DEP,8,0),IF(AND(BD1222="Dependent",BI1222="Male",BF1222="Abu Dhabi",BE1222=VN),VLOOKUP(BH1222,AUH_MALE_DEP,9,0),IF(BD1222="","",IF(AND(BD1222="Dependent",BI1222="Female",BF1222="Abu Dhabi",BE1222=GN_Plus),VLOOKUP(BH1222,AUH_FEMALE_DEP,2,0),IF(AND(BD1222="Dependent",BI1222="Female",BF1222="Abu Dhabi",BE1222=GN),VLOOKUP(BH1222,AUH_FEMALE_DEP,3,0),IF(AND(BD1222="Dependent",BI1222="Female",BF1222="Abu Dhabi",BE1222=RN_Plus),VLOOKUP(BH1222,AUH_FEMALE_DEP,4,0),IF(AND(BD1222="Dependent",BI1222="Female",BF1222="Abu Dhabi",BE1222=RN),VLOOKUP(BH1222,AUH_FEMALE_DEP,5,0),IF(AND(BD1222="Dependent",BI1222="Female",BF1222="Abu Dhabi",BE1222=RN_2),VLOOKUP(BH1222,AUH_FEMALE_DEP,6,0),IF(AND(BD1222="Dependent",BI1222="Female",BF1222="Abu Dhabi",BE1222=RN2_minus),VLOOKUP(BH1222,AUH_FEMALE_DEP,7,0),IF(AND(BD1222="Dependent",BI1222="Female",BF1222="Abu Dhabi",BE1222=RN_3),VLOOKUP(BH1222,AUH_FEMALE_DEP,8,0),IF(AND(BD1222="Dependent",BI1222="Female",BF1222="Abu Dhabi",BE1222=VN),VLOOKUP(BH1222,AUH_FEMALE_DEP,9,0),"ABC"))))))))))))))))))))))))))))))))))))</f>
        <v/>
      </c>
      <c r="BL1222" s="498" t="str">
        <f t="shared" ref="BL1222:BL1285" si="447">IF(BD1222="","",IF(AND(BD1222="Employee",BI1222="Male",BF1222="Dubai",BE1222=GN_Plus),VLOOKUP(BH1222,DXB_MALE_EMP,2,0),IF(AND(BD1222="Employee",BI1222="Male",BF1222="Dubai",BE1222=GN),VLOOKUP(BH1222,DXB_MALE_EMP,3,0),IF(AND(BD1222="Employee",BI1222="Male",BF1222="Dubai",BE1222=RN_Plus),VLOOKUP(BH1222,DXB_MALE_EMP,4,0),IF(AND(BD1222="Employee",BI1222="Male",BF1222="Dubai",BE1222=RN),VLOOKUP(BH1222,DXB_MALE_EMP,5,0),IF(AND(BD1222="Employee",BI1222="Male",BF1222="Dubai",BE1222=RN_2),VLOOKUP(BH1222,DXB_MALE_EMP,6,0),IF(AND(BD1222="Employee",BI1222="Male",BF1222="Dubai",BE1222=RN2_minus),VLOOKUP(BH1222,DXB_MALE_EMP,7,0),IF(AND(BD1222="Employee",BI1222="Male",BF1222="Dubai",BE1222=RN_3),VLOOKUP(BH1222,DXB_MALE_EMP,8,0),IF(AND(BD1222="Employee",BI1222="Male",BF1222="Dubai",BE1222=VN),VLOOKUP(BH1222,DXB_MALE_EMP,9,0),IF(BD1222="","",IF(AND(BD1222="Employee",BI1222="Female",BF1222="Dubai",BE1222=GN_Plus),VLOOKUP(BH1222,DXB_FEMALE_EMP,2,0),IF(AND(BD1222="Employee",BI1222="Female",BF1222="Dubai",BE1222=GN),VLOOKUP(BH1222,DXB_FEMALE_EMP,3,0),IF(AND(BD1222="Employee",BI1222="Female",BF1222="Dubai",BE1222=RN_Plus),VLOOKUP(BH1222,DXB_FEMALE_EMP,4,0),IF(AND(BD1222="Employee",BI1222="Female",BF1222="Dubai",BE1222=RN),VLOOKUP(BH1222,DXB_FEMALE_EMP,5,0),IF(AND(BD1222="Employee",BI1222="Female",BF1222="Dubai",BE1222=RN_2),VLOOKUP(BH1222,DXB_FEMALE_EMP,6,0),IF(AND(BD1222="Employee",BI1222="Female",BF1222="Dubai",BE1222=RN2_minus),VLOOKUP(BH1222,DXB_FEMALE_EMP,7,0),IF(AND(BD1222="Employee",BI1222="Female",BF1222="Dubai",BE1222=RN_3),VLOOKUP(BH1222,DXB_FEMALE_EMP,8,0),IF(AND(BD1222="Employee",BI1222="Female",BF1222="Dubai",BE1222=VN),VLOOKUP(BH1222,DXB_FEMALE_EMP,9,0),IF(BD1222="","",IF(AND(BD1222="Dependent",BI1222="Male",BF1222="Dubai",BE1222=GN_Plus),VLOOKUP(BH1222,DXB_MALE_DEP,2,0),IF(AND(BD1222="Dependent",BI1222="Male",BF1222="Dubai",BE1222=GN),VLOOKUP(BH1222,DXB_MALE_DEP,3,0),IF(AND(BD1222="Dependent",BI1222="Male",BF1222="Dubai",BE1222=RN_Plus),VLOOKUP(BH1222,DXB_MALE_DEP,4,0),IF(AND(BD1222="Dependent",BI1222="Male",BF1222="Dubai",BE1222=RN),VLOOKUP(BH1222,DXB_MALE_DEP,5,0),IF(AND(BD1222="Dependent",BI1222="Male",BF1222="Dubai",BE1222=RN_2),VLOOKUP(BH1222,DXB_MALE_DEP,6,0),IF(AND(BD1222="Dependent",BI1222="Male",BF1222="Dubai",BE1222=RN2_minus),VLOOKUP(BH1222,DXB_MALE_DEP,7,0),IF(AND(BD1222="Dependent",BI1222="Male",BF1222="Dubai",BE1222=RN_3),VLOOKUP(BH1222,DXB_MALE_DEP,8,0),IF(AND(BD1222="Dependent",BI1222="Male",BF1222="Dubai",BE1222=VN),VLOOKUP(BH1222,DXB_MALE_DEP,9,0),IF(BD1222="","",IF(AND(BD1222="Dependent",BI1222="Female",BF1222="Dubai",BE1222=GN_Plus),VLOOKUP(BH1222,DXB_FEMALE_DEP,2,0),IF(AND(BD1222="Dependent",BI1222="Female",BF1222="Dubai",BE1222=GN),VLOOKUP(BH1222,DXB_FEMALE_DEP,3,0),IF(AND(BD1222="Dependent",BI1222="Female",BF1222="Dubai",BE1222=RN_Plus),VLOOKUP(BH1222,DXB_FEMALE_DEP,4,0),IF(AND(BD1222="Dependent",BI1222="Female",BF1222="Dubai",BE1222=RN),VLOOKUP(BH1222,DXB_FEMALE_DEP,5,0),IF(AND(BD1222="Dependent",BI1222="Female",BF1222="Dubai",BE1222=RN_2),VLOOKUP(BH1222,DXB_FEMALE_DEP,6,0),IF(AND(BD1222="Dependent",BI1222="Female",BF1222="Dubai",BE1222=RN2_minus),VLOOKUP(BH1222,DXB_FEMALE_DEP,7,0),IF(AND(BD1222="Dependent",BI1222="Female",BF1222="Dubai",BE1222=RN_3),VLOOKUP(BH1222,DXB_FEMALE_DEP,8,0),IF(AND(BD1222="Dependent",BI1222="Female",BF1222="Dubai",BE1222=VN),VLOOKUP(BH1222,DXB_FEMALE_DEP,9,0),"ABC"))))))))))))))))))))))))))))))))))))</f>
        <v/>
      </c>
    </row>
    <row r="1223" spans="1:64" x14ac:dyDescent="0.25">
      <c r="A1223" s="762">
        <f t="shared" ref="A1223:A1286" si="448">+A1222+1</f>
        <v>1218</v>
      </c>
      <c r="B1223" s="229"/>
      <c r="C1223" s="223"/>
      <c r="D1223" s="224"/>
      <c r="E1223" s="225"/>
      <c r="F1223" s="1036" t="str">
        <f t="shared" si="432"/>
        <v/>
      </c>
      <c r="G1223" s="1037" t="str">
        <f t="shared" ref="G1223:G1286" si="449">IF(D1223="","",MAX(0,ROUNDUP(F1223,0)))</f>
        <v/>
      </c>
      <c r="H1223" s="225"/>
      <c r="I1223" s="1013"/>
      <c r="J1223" s="1013"/>
      <c r="K1223" s="1028"/>
      <c r="L1223" s="1035" t="str">
        <f t="shared" si="431"/>
        <v/>
      </c>
      <c r="S1223" s="498"/>
      <c r="AJ1223" s="498"/>
      <c r="AM1223" s="498">
        <f t="shared" si="434"/>
        <v>0</v>
      </c>
      <c r="AN1223" s="498">
        <f t="shared" si="435"/>
        <v>0</v>
      </c>
      <c r="AO1223" s="498">
        <f t="shared" si="436"/>
        <v>0</v>
      </c>
      <c r="AP1223" s="498">
        <f t="shared" si="433"/>
        <v>0</v>
      </c>
      <c r="AQ1223" s="498">
        <f t="shared" ref="AQ1223:AQ1286" si="450">IF(ISBLANK($B1223),0,IF(OR($H1223="Single",$H1223="Married"),0,1))</f>
        <v>0</v>
      </c>
      <c r="AU1223" s="498">
        <f t="shared" si="437"/>
        <v>0</v>
      </c>
      <c r="AV1223" s="498">
        <f t="shared" si="438"/>
        <v>0</v>
      </c>
      <c r="AW1223" s="498">
        <f t="shared" si="439"/>
        <v>0</v>
      </c>
      <c r="AX1223" s="498">
        <f t="shared" si="440"/>
        <v>0</v>
      </c>
      <c r="AY1223" s="498">
        <f t="shared" si="441"/>
        <v>0</v>
      </c>
      <c r="BB1223" s="498" t="str">
        <f t="shared" si="442"/>
        <v/>
      </c>
      <c r="BC1223" s="743" t="str">
        <f t="shared" si="443"/>
        <v/>
      </c>
      <c r="BD1223" s="743" t="str">
        <f t="shared" si="444"/>
        <v/>
      </c>
      <c r="BE1223" s="743" t="str">
        <f>IF(D1223="","",VLOOKUP(D1223,'General Basis'!$J$39:$K$46,2,0))</f>
        <v/>
      </c>
      <c r="BF1223" s="744" t="str">
        <f>IF(D1223="","",VLOOKUP(D1223,'General Basis'!$J$39:$L$46,3,0))</f>
        <v/>
      </c>
      <c r="BG1223" s="744" t="str">
        <f t="shared" ref="BG1223:BG1286" si="451">BC1223&amp;BI1223</f>
        <v/>
      </c>
      <c r="BH1223" s="744" t="str">
        <f>IF(G1223="","",IF(BF1223="Abu Dhabi",IF(G1223&lt;18,'General Basis'!$C$39,IF(G1223&lt;41,'General Basis'!$C$40,IF(G1223&lt;60,'General Basis'!$C$41,IF(G1223&lt;65,'General Basis'!$C$42,'General Basis'!$C$43)))),IF(G1223&lt;11,'General Basis'!$B$39,IF(G1223&lt;18,'General Basis'!$B$40,IF(G1223&lt;26,'General Basis'!$B$41,IF(G1223&lt;31,'General Basis'!$B$42,IF(G1223&lt;36,'General Basis'!$B$43,IF(G1223&lt;41,'General Basis'!$B$44,IF(G1223&lt;46,'General Basis'!$B$45,IF(G1223&lt;51,'General Basis'!$B$46,IF(G1223&lt;56,'General Basis'!$B$47,IF(G1223&lt;60,'General Basis'!$B$48,IF(G1223&lt;65,'General Basis'!$B$49,'General Basis'!$B$50)))))))))))))</f>
        <v/>
      </c>
      <c r="BI1223" s="744" t="str">
        <f t="shared" si="445"/>
        <v/>
      </c>
      <c r="BJ1223" s="747" t="str">
        <f t="shared" ref="BJ1223:BJ1286" si="452">IF(BD1223="","",IF(BF1223="Abu Dhabi",BK1223,BL1223))</f>
        <v/>
      </c>
      <c r="BK1223" s="498" t="str">
        <f t="shared" si="446"/>
        <v/>
      </c>
      <c r="BL1223" s="498" t="str">
        <f t="shared" si="447"/>
        <v/>
      </c>
    </row>
    <row r="1224" spans="1:64" x14ac:dyDescent="0.25">
      <c r="A1224" s="762">
        <f t="shared" si="448"/>
        <v>1219</v>
      </c>
      <c r="B1224" s="229"/>
      <c r="C1224" s="223"/>
      <c r="D1224" s="224"/>
      <c r="E1224" s="225"/>
      <c r="F1224" s="1036" t="str">
        <f t="shared" si="432"/>
        <v/>
      </c>
      <c r="G1224" s="1037" t="str">
        <f t="shared" si="449"/>
        <v/>
      </c>
      <c r="H1224" s="225"/>
      <c r="I1224" s="1013"/>
      <c r="J1224" s="1013"/>
      <c r="K1224" s="1028"/>
      <c r="L1224" s="1035" t="str">
        <f t="shared" ref="L1224:L1287" si="453">IF(AND(E1224="Child",H1224="Married"),"Check the Marital Status of the Child. ",IF(AND(E1224="Child",F1224&gt;18),"Child Age exceed 18 years. ",IF(AND(E1224="Spouse",H1224="Single"),"Spouse is selected as Single. ","")))&amp;IF(K1224&gt;0,"UW Loading has been Applied","")</f>
        <v/>
      </c>
      <c r="S1224" s="498"/>
      <c r="AJ1224" s="498"/>
      <c r="AM1224" s="498">
        <f t="shared" si="434"/>
        <v>0</v>
      </c>
      <c r="AN1224" s="498">
        <f t="shared" si="435"/>
        <v>0</v>
      </c>
      <c r="AO1224" s="498">
        <f t="shared" si="436"/>
        <v>0</v>
      </c>
      <c r="AP1224" s="498">
        <f t="shared" si="433"/>
        <v>0</v>
      </c>
      <c r="AQ1224" s="498">
        <f t="shared" si="450"/>
        <v>0</v>
      </c>
      <c r="AU1224" s="498">
        <f t="shared" si="437"/>
        <v>0</v>
      </c>
      <c r="AV1224" s="498">
        <f t="shared" si="438"/>
        <v>0</v>
      </c>
      <c r="AW1224" s="498">
        <f t="shared" si="439"/>
        <v>0</v>
      </c>
      <c r="AX1224" s="498">
        <f t="shared" si="440"/>
        <v>0</v>
      </c>
      <c r="AY1224" s="498">
        <f t="shared" si="441"/>
        <v>0</v>
      </c>
      <c r="BB1224" s="498" t="str">
        <f t="shared" si="442"/>
        <v/>
      </c>
      <c r="BC1224" s="743" t="str">
        <f t="shared" si="443"/>
        <v/>
      </c>
      <c r="BD1224" s="743" t="str">
        <f t="shared" si="444"/>
        <v/>
      </c>
      <c r="BE1224" s="743" t="str">
        <f>IF(D1224="","",VLOOKUP(D1224,'General Basis'!$J$39:$K$46,2,0))</f>
        <v/>
      </c>
      <c r="BF1224" s="744" t="str">
        <f>IF(D1224="","",VLOOKUP(D1224,'General Basis'!$J$39:$L$46,3,0))</f>
        <v/>
      </c>
      <c r="BG1224" s="744" t="str">
        <f t="shared" si="451"/>
        <v/>
      </c>
      <c r="BH1224" s="744" t="str">
        <f>IF(G1224="","",IF(BF1224="Abu Dhabi",IF(G1224&lt;18,'General Basis'!$C$39,IF(G1224&lt;41,'General Basis'!$C$40,IF(G1224&lt;60,'General Basis'!$C$41,IF(G1224&lt;65,'General Basis'!$C$42,'General Basis'!$C$43)))),IF(G1224&lt;11,'General Basis'!$B$39,IF(G1224&lt;18,'General Basis'!$B$40,IF(G1224&lt;26,'General Basis'!$B$41,IF(G1224&lt;31,'General Basis'!$B$42,IF(G1224&lt;36,'General Basis'!$B$43,IF(G1224&lt;41,'General Basis'!$B$44,IF(G1224&lt;46,'General Basis'!$B$45,IF(G1224&lt;51,'General Basis'!$B$46,IF(G1224&lt;56,'General Basis'!$B$47,IF(G1224&lt;60,'General Basis'!$B$48,IF(G1224&lt;65,'General Basis'!$B$49,'General Basis'!$B$50)))))))))))))</f>
        <v/>
      </c>
      <c r="BI1224" s="744" t="str">
        <f t="shared" si="445"/>
        <v/>
      </c>
      <c r="BJ1224" s="747" t="str">
        <f t="shared" si="452"/>
        <v/>
      </c>
      <c r="BK1224" s="498" t="str">
        <f t="shared" si="446"/>
        <v/>
      </c>
      <c r="BL1224" s="498" t="str">
        <f t="shared" si="447"/>
        <v/>
      </c>
    </row>
    <row r="1225" spans="1:64" x14ac:dyDescent="0.25">
      <c r="A1225" s="762">
        <f t="shared" si="448"/>
        <v>1220</v>
      </c>
      <c r="B1225" s="229"/>
      <c r="C1225" s="223"/>
      <c r="D1225" s="224"/>
      <c r="E1225" s="225"/>
      <c r="F1225" s="1036" t="str">
        <f t="shared" si="432"/>
        <v/>
      </c>
      <c r="G1225" s="1037" t="str">
        <f t="shared" si="449"/>
        <v/>
      </c>
      <c r="H1225" s="225"/>
      <c r="I1225" s="1013"/>
      <c r="J1225" s="1013"/>
      <c r="K1225" s="1028"/>
      <c r="L1225" s="1035" t="str">
        <f t="shared" si="453"/>
        <v/>
      </c>
      <c r="S1225" s="498"/>
      <c r="AJ1225" s="498"/>
      <c r="AM1225" s="498">
        <f t="shared" si="434"/>
        <v>0</v>
      </c>
      <c r="AN1225" s="498">
        <f t="shared" si="435"/>
        <v>0</v>
      </c>
      <c r="AO1225" s="498">
        <f t="shared" si="436"/>
        <v>0</v>
      </c>
      <c r="AP1225" s="498">
        <f t="shared" si="433"/>
        <v>0</v>
      </c>
      <c r="AQ1225" s="498">
        <f t="shared" si="450"/>
        <v>0</v>
      </c>
      <c r="AU1225" s="498">
        <f t="shared" si="437"/>
        <v>0</v>
      </c>
      <c r="AV1225" s="498">
        <f t="shared" si="438"/>
        <v>0</v>
      </c>
      <c r="AW1225" s="498">
        <f t="shared" si="439"/>
        <v>0</v>
      </c>
      <c r="AX1225" s="498">
        <f t="shared" si="440"/>
        <v>0</v>
      </c>
      <c r="AY1225" s="498">
        <f t="shared" si="441"/>
        <v>0</v>
      </c>
      <c r="BB1225" s="498" t="str">
        <f t="shared" si="442"/>
        <v/>
      </c>
      <c r="BC1225" s="743" t="str">
        <f t="shared" si="443"/>
        <v/>
      </c>
      <c r="BD1225" s="743" t="str">
        <f t="shared" si="444"/>
        <v/>
      </c>
      <c r="BE1225" s="743" t="str">
        <f>IF(D1225="","",VLOOKUP(D1225,'General Basis'!$J$39:$K$46,2,0))</f>
        <v/>
      </c>
      <c r="BF1225" s="744" t="str">
        <f>IF(D1225="","",VLOOKUP(D1225,'General Basis'!$J$39:$L$46,3,0))</f>
        <v/>
      </c>
      <c r="BG1225" s="744" t="str">
        <f t="shared" si="451"/>
        <v/>
      </c>
      <c r="BH1225" s="744" t="str">
        <f>IF(G1225="","",IF(BF1225="Abu Dhabi",IF(G1225&lt;18,'General Basis'!$C$39,IF(G1225&lt;41,'General Basis'!$C$40,IF(G1225&lt;60,'General Basis'!$C$41,IF(G1225&lt;65,'General Basis'!$C$42,'General Basis'!$C$43)))),IF(G1225&lt;11,'General Basis'!$B$39,IF(G1225&lt;18,'General Basis'!$B$40,IF(G1225&lt;26,'General Basis'!$B$41,IF(G1225&lt;31,'General Basis'!$B$42,IF(G1225&lt;36,'General Basis'!$B$43,IF(G1225&lt;41,'General Basis'!$B$44,IF(G1225&lt;46,'General Basis'!$B$45,IF(G1225&lt;51,'General Basis'!$B$46,IF(G1225&lt;56,'General Basis'!$B$47,IF(G1225&lt;60,'General Basis'!$B$48,IF(G1225&lt;65,'General Basis'!$B$49,'General Basis'!$B$50)))))))))))))</f>
        <v/>
      </c>
      <c r="BI1225" s="744" t="str">
        <f t="shared" si="445"/>
        <v/>
      </c>
      <c r="BJ1225" s="747" t="str">
        <f t="shared" si="452"/>
        <v/>
      </c>
      <c r="BK1225" s="498" t="str">
        <f t="shared" si="446"/>
        <v/>
      </c>
      <c r="BL1225" s="498" t="str">
        <f t="shared" si="447"/>
        <v/>
      </c>
    </row>
    <row r="1226" spans="1:64" x14ac:dyDescent="0.25">
      <c r="A1226" s="762">
        <f t="shared" si="448"/>
        <v>1221</v>
      </c>
      <c r="B1226" s="229"/>
      <c r="C1226" s="223"/>
      <c r="D1226" s="224"/>
      <c r="E1226" s="225"/>
      <c r="F1226" s="1036" t="str">
        <f t="shared" si="432"/>
        <v/>
      </c>
      <c r="G1226" s="1037" t="str">
        <f t="shared" si="449"/>
        <v/>
      </c>
      <c r="H1226" s="225"/>
      <c r="I1226" s="1013"/>
      <c r="J1226" s="1013"/>
      <c r="K1226" s="1028"/>
      <c r="L1226" s="1035" t="str">
        <f t="shared" si="453"/>
        <v/>
      </c>
      <c r="S1226" s="498"/>
      <c r="AJ1226" s="498"/>
      <c r="AM1226" s="498">
        <f t="shared" si="434"/>
        <v>0</v>
      </c>
      <c r="AN1226" s="498">
        <f t="shared" si="435"/>
        <v>0</v>
      </c>
      <c r="AO1226" s="498">
        <f t="shared" si="436"/>
        <v>0</v>
      </c>
      <c r="AP1226" s="498">
        <f t="shared" si="433"/>
        <v>0</v>
      </c>
      <c r="AQ1226" s="498">
        <f t="shared" si="450"/>
        <v>0</v>
      </c>
      <c r="AU1226" s="498">
        <f t="shared" si="437"/>
        <v>0</v>
      </c>
      <c r="AV1226" s="498">
        <f t="shared" si="438"/>
        <v>0</v>
      </c>
      <c r="AW1226" s="498">
        <f t="shared" si="439"/>
        <v>0</v>
      </c>
      <c r="AX1226" s="498">
        <f t="shared" si="440"/>
        <v>0</v>
      </c>
      <c r="AY1226" s="498">
        <f t="shared" si="441"/>
        <v>0</v>
      </c>
      <c r="BB1226" s="498" t="str">
        <f t="shared" si="442"/>
        <v/>
      </c>
      <c r="BC1226" s="743" t="str">
        <f t="shared" si="443"/>
        <v/>
      </c>
      <c r="BD1226" s="743" t="str">
        <f t="shared" si="444"/>
        <v/>
      </c>
      <c r="BE1226" s="743" t="str">
        <f>IF(D1226="","",VLOOKUP(D1226,'General Basis'!$J$39:$K$46,2,0))</f>
        <v/>
      </c>
      <c r="BF1226" s="744" t="str">
        <f>IF(D1226="","",VLOOKUP(D1226,'General Basis'!$J$39:$L$46,3,0))</f>
        <v/>
      </c>
      <c r="BG1226" s="744" t="str">
        <f t="shared" si="451"/>
        <v/>
      </c>
      <c r="BH1226" s="744" t="str">
        <f>IF(G1226="","",IF(BF1226="Abu Dhabi",IF(G1226&lt;18,'General Basis'!$C$39,IF(G1226&lt;41,'General Basis'!$C$40,IF(G1226&lt;60,'General Basis'!$C$41,IF(G1226&lt;65,'General Basis'!$C$42,'General Basis'!$C$43)))),IF(G1226&lt;11,'General Basis'!$B$39,IF(G1226&lt;18,'General Basis'!$B$40,IF(G1226&lt;26,'General Basis'!$B$41,IF(G1226&lt;31,'General Basis'!$B$42,IF(G1226&lt;36,'General Basis'!$B$43,IF(G1226&lt;41,'General Basis'!$B$44,IF(G1226&lt;46,'General Basis'!$B$45,IF(G1226&lt;51,'General Basis'!$B$46,IF(G1226&lt;56,'General Basis'!$B$47,IF(G1226&lt;60,'General Basis'!$B$48,IF(G1226&lt;65,'General Basis'!$B$49,'General Basis'!$B$50)))))))))))))</f>
        <v/>
      </c>
      <c r="BI1226" s="744" t="str">
        <f t="shared" si="445"/>
        <v/>
      </c>
      <c r="BJ1226" s="747" t="str">
        <f t="shared" si="452"/>
        <v/>
      </c>
      <c r="BK1226" s="498" t="str">
        <f t="shared" si="446"/>
        <v/>
      </c>
      <c r="BL1226" s="498" t="str">
        <f t="shared" si="447"/>
        <v/>
      </c>
    </row>
    <row r="1227" spans="1:64" x14ac:dyDescent="0.25">
      <c r="A1227" s="762">
        <f t="shared" si="448"/>
        <v>1222</v>
      </c>
      <c r="B1227" s="229"/>
      <c r="C1227" s="223"/>
      <c r="D1227" s="224"/>
      <c r="E1227" s="225"/>
      <c r="F1227" s="1036" t="str">
        <f t="shared" si="432"/>
        <v/>
      </c>
      <c r="G1227" s="1037" t="str">
        <f t="shared" si="449"/>
        <v/>
      </c>
      <c r="H1227" s="225"/>
      <c r="I1227" s="1013"/>
      <c r="J1227" s="1013"/>
      <c r="K1227" s="1028"/>
      <c r="L1227" s="1035" t="str">
        <f t="shared" si="453"/>
        <v/>
      </c>
      <c r="S1227" s="498"/>
      <c r="AJ1227" s="498"/>
      <c r="AM1227" s="498">
        <f t="shared" si="434"/>
        <v>0</v>
      </c>
      <c r="AN1227" s="498">
        <f t="shared" si="435"/>
        <v>0</v>
      </c>
      <c r="AO1227" s="498">
        <f t="shared" si="436"/>
        <v>0</v>
      </c>
      <c r="AP1227" s="498">
        <f t="shared" si="433"/>
        <v>0</v>
      </c>
      <c r="AQ1227" s="498">
        <f t="shared" si="450"/>
        <v>0</v>
      </c>
      <c r="AU1227" s="498">
        <f t="shared" si="437"/>
        <v>0</v>
      </c>
      <c r="AV1227" s="498">
        <f t="shared" si="438"/>
        <v>0</v>
      </c>
      <c r="AW1227" s="498">
        <f t="shared" si="439"/>
        <v>0</v>
      </c>
      <c r="AX1227" s="498">
        <f t="shared" si="440"/>
        <v>0</v>
      </c>
      <c r="AY1227" s="498">
        <f t="shared" si="441"/>
        <v>0</v>
      </c>
      <c r="BB1227" s="498" t="str">
        <f t="shared" si="442"/>
        <v/>
      </c>
      <c r="BC1227" s="743" t="str">
        <f t="shared" si="443"/>
        <v/>
      </c>
      <c r="BD1227" s="743" t="str">
        <f t="shared" si="444"/>
        <v/>
      </c>
      <c r="BE1227" s="743" t="str">
        <f>IF(D1227="","",VLOOKUP(D1227,'General Basis'!$J$39:$K$46,2,0))</f>
        <v/>
      </c>
      <c r="BF1227" s="744" t="str">
        <f>IF(D1227="","",VLOOKUP(D1227,'General Basis'!$J$39:$L$46,3,0))</f>
        <v/>
      </c>
      <c r="BG1227" s="744" t="str">
        <f t="shared" si="451"/>
        <v/>
      </c>
      <c r="BH1227" s="744" t="str">
        <f>IF(G1227="","",IF(BF1227="Abu Dhabi",IF(G1227&lt;18,'General Basis'!$C$39,IF(G1227&lt;41,'General Basis'!$C$40,IF(G1227&lt;60,'General Basis'!$C$41,IF(G1227&lt;65,'General Basis'!$C$42,'General Basis'!$C$43)))),IF(G1227&lt;11,'General Basis'!$B$39,IF(G1227&lt;18,'General Basis'!$B$40,IF(G1227&lt;26,'General Basis'!$B$41,IF(G1227&lt;31,'General Basis'!$B$42,IF(G1227&lt;36,'General Basis'!$B$43,IF(G1227&lt;41,'General Basis'!$B$44,IF(G1227&lt;46,'General Basis'!$B$45,IF(G1227&lt;51,'General Basis'!$B$46,IF(G1227&lt;56,'General Basis'!$B$47,IF(G1227&lt;60,'General Basis'!$B$48,IF(G1227&lt;65,'General Basis'!$B$49,'General Basis'!$B$50)))))))))))))</f>
        <v/>
      </c>
      <c r="BI1227" s="744" t="str">
        <f t="shared" si="445"/>
        <v/>
      </c>
      <c r="BJ1227" s="747" t="str">
        <f t="shared" si="452"/>
        <v/>
      </c>
      <c r="BK1227" s="498" t="str">
        <f t="shared" si="446"/>
        <v/>
      </c>
      <c r="BL1227" s="498" t="str">
        <f t="shared" si="447"/>
        <v/>
      </c>
    </row>
    <row r="1228" spans="1:64" x14ac:dyDescent="0.25">
      <c r="A1228" s="762">
        <f t="shared" si="448"/>
        <v>1223</v>
      </c>
      <c r="B1228" s="229"/>
      <c r="C1228" s="223"/>
      <c r="D1228" s="224"/>
      <c r="E1228" s="225"/>
      <c r="F1228" s="1036" t="str">
        <f t="shared" si="432"/>
        <v/>
      </c>
      <c r="G1228" s="1037" t="str">
        <f t="shared" si="449"/>
        <v/>
      </c>
      <c r="H1228" s="225"/>
      <c r="I1228" s="1013"/>
      <c r="J1228" s="1013"/>
      <c r="K1228" s="1028"/>
      <c r="L1228" s="1035" t="str">
        <f t="shared" si="453"/>
        <v/>
      </c>
      <c r="S1228" s="498"/>
      <c r="AJ1228" s="498"/>
      <c r="AM1228" s="498">
        <f t="shared" si="434"/>
        <v>0</v>
      </c>
      <c r="AN1228" s="498">
        <f t="shared" si="435"/>
        <v>0</v>
      </c>
      <c r="AO1228" s="498">
        <f t="shared" si="436"/>
        <v>0</v>
      </c>
      <c r="AP1228" s="498">
        <f t="shared" si="433"/>
        <v>0</v>
      </c>
      <c r="AQ1228" s="498">
        <f t="shared" si="450"/>
        <v>0</v>
      </c>
      <c r="AU1228" s="498">
        <f t="shared" si="437"/>
        <v>0</v>
      </c>
      <c r="AV1228" s="498">
        <f t="shared" si="438"/>
        <v>0</v>
      </c>
      <c r="AW1228" s="498">
        <f t="shared" si="439"/>
        <v>0</v>
      </c>
      <c r="AX1228" s="498">
        <f t="shared" si="440"/>
        <v>0</v>
      </c>
      <c r="AY1228" s="498">
        <f t="shared" si="441"/>
        <v>0</v>
      </c>
      <c r="BB1228" s="498" t="str">
        <f t="shared" si="442"/>
        <v/>
      </c>
      <c r="BC1228" s="743" t="str">
        <f t="shared" si="443"/>
        <v/>
      </c>
      <c r="BD1228" s="743" t="str">
        <f t="shared" si="444"/>
        <v/>
      </c>
      <c r="BE1228" s="743" t="str">
        <f>IF(D1228="","",VLOOKUP(D1228,'General Basis'!$J$39:$K$46,2,0))</f>
        <v/>
      </c>
      <c r="BF1228" s="744" t="str">
        <f>IF(D1228="","",VLOOKUP(D1228,'General Basis'!$J$39:$L$46,3,0))</f>
        <v/>
      </c>
      <c r="BG1228" s="744" t="str">
        <f t="shared" si="451"/>
        <v/>
      </c>
      <c r="BH1228" s="744" t="str">
        <f>IF(G1228="","",IF(BF1228="Abu Dhabi",IF(G1228&lt;18,'General Basis'!$C$39,IF(G1228&lt;41,'General Basis'!$C$40,IF(G1228&lt;60,'General Basis'!$C$41,IF(G1228&lt;65,'General Basis'!$C$42,'General Basis'!$C$43)))),IF(G1228&lt;11,'General Basis'!$B$39,IF(G1228&lt;18,'General Basis'!$B$40,IF(G1228&lt;26,'General Basis'!$B$41,IF(G1228&lt;31,'General Basis'!$B$42,IF(G1228&lt;36,'General Basis'!$B$43,IF(G1228&lt;41,'General Basis'!$B$44,IF(G1228&lt;46,'General Basis'!$B$45,IF(G1228&lt;51,'General Basis'!$B$46,IF(G1228&lt;56,'General Basis'!$B$47,IF(G1228&lt;60,'General Basis'!$B$48,IF(G1228&lt;65,'General Basis'!$B$49,'General Basis'!$B$50)))))))))))))</f>
        <v/>
      </c>
      <c r="BI1228" s="744" t="str">
        <f t="shared" si="445"/>
        <v/>
      </c>
      <c r="BJ1228" s="747" t="str">
        <f t="shared" si="452"/>
        <v/>
      </c>
      <c r="BK1228" s="498" t="str">
        <f t="shared" si="446"/>
        <v/>
      </c>
      <c r="BL1228" s="498" t="str">
        <f t="shared" si="447"/>
        <v/>
      </c>
    </row>
    <row r="1229" spans="1:64" x14ac:dyDescent="0.25">
      <c r="A1229" s="762">
        <f t="shared" si="448"/>
        <v>1224</v>
      </c>
      <c r="B1229" s="229"/>
      <c r="C1229" s="223"/>
      <c r="D1229" s="224"/>
      <c r="E1229" s="225"/>
      <c r="F1229" s="1036" t="str">
        <f t="shared" si="432"/>
        <v/>
      </c>
      <c r="G1229" s="1037" t="str">
        <f t="shared" si="449"/>
        <v/>
      </c>
      <c r="H1229" s="225"/>
      <c r="I1229" s="1013"/>
      <c r="J1229" s="1013"/>
      <c r="K1229" s="1028"/>
      <c r="L1229" s="1035" t="str">
        <f t="shared" si="453"/>
        <v/>
      </c>
      <c r="S1229" s="498"/>
      <c r="AJ1229" s="498"/>
      <c r="AM1229" s="498">
        <f t="shared" si="434"/>
        <v>0</v>
      </c>
      <c r="AN1229" s="498">
        <f t="shared" si="435"/>
        <v>0</v>
      </c>
      <c r="AO1229" s="498">
        <f t="shared" si="436"/>
        <v>0</v>
      </c>
      <c r="AP1229" s="498">
        <f t="shared" si="433"/>
        <v>0</v>
      </c>
      <c r="AQ1229" s="498">
        <f t="shared" si="450"/>
        <v>0</v>
      </c>
      <c r="AU1229" s="498">
        <f t="shared" si="437"/>
        <v>0</v>
      </c>
      <c r="AV1229" s="498">
        <f t="shared" si="438"/>
        <v>0</v>
      </c>
      <c r="AW1229" s="498">
        <f t="shared" si="439"/>
        <v>0</v>
      </c>
      <c r="AX1229" s="498">
        <f t="shared" si="440"/>
        <v>0</v>
      </c>
      <c r="AY1229" s="498">
        <f t="shared" si="441"/>
        <v>0</v>
      </c>
      <c r="BB1229" s="498" t="str">
        <f t="shared" si="442"/>
        <v/>
      </c>
      <c r="BC1229" s="743" t="str">
        <f t="shared" si="443"/>
        <v/>
      </c>
      <c r="BD1229" s="743" t="str">
        <f t="shared" si="444"/>
        <v/>
      </c>
      <c r="BE1229" s="743" t="str">
        <f>IF(D1229="","",VLOOKUP(D1229,'General Basis'!$J$39:$K$46,2,0))</f>
        <v/>
      </c>
      <c r="BF1229" s="744" t="str">
        <f>IF(D1229="","",VLOOKUP(D1229,'General Basis'!$J$39:$L$46,3,0))</f>
        <v/>
      </c>
      <c r="BG1229" s="744" t="str">
        <f t="shared" si="451"/>
        <v/>
      </c>
      <c r="BH1229" s="744" t="str">
        <f>IF(G1229="","",IF(BF1229="Abu Dhabi",IF(G1229&lt;18,'General Basis'!$C$39,IF(G1229&lt;41,'General Basis'!$C$40,IF(G1229&lt;60,'General Basis'!$C$41,IF(G1229&lt;65,'General Basis'!$C$42,'General Basis'!$C$43)))),IF(G1229&lt;11,'General Basis'!$B$39,IF(G1229&lt;18,'General Basis'!$B$40,IF(G1229&lt;26,'General Basis'!$B$41,IF(G1229&lt;31,'General Basis'!$B$42,IF(G1229&lt;36,'General Basis'!$B$43,IF(G1229&lt;41,'General Basis'!$B$44,IF(G1229&lt;46,'General Basis'!$B$45,IF(G1229&lt;51,'General Basis'!$B$46,IF(G1229&lt;56,'General Basis'!$B$47,IF(G1229&lt;60,'General Basis'!$B$48,IF(G1229&lt;65,'General Basis'!$B$49,'General Basis'!$B$50)))))))))))))</f>
        <v/>
      </c>
      <c r="BI1229" s="744" t="str">
        <f t="shared" si="445"/>
        <v/>
      </c>
      <c r="BJ1229" s="747" t="str">
        <f t="shared" si="452"/>
        <v/>
      </c>
      <c r="BK1229" s="498" t="str">
        <f t="shared" si="446"/>
        <v/>
      </c>
      <c r="BL1229" s="498" t="str">
        <f t="shared" si="447"/>
        <v/>
      </c>
    </row>
    <row r="1230" spans="1:64" x14ac:dyDescent="0.25">
      <c r="A1230" s="762">
        <f t="shared" si="448"/>
        <v>1225</v>
      </c>
      <c r="B1230" s="229"/>
      <c r="C1230" s="223"/>
      <c r="D1230" s="224"/>
      <c r="E1230" s="225"/>
      <c r="F1230" s="1036" t="str">
        <f t="shared" si="432"/>
        <v/>
      </c>
      <c r="G1230" s="1037" t="str">
        <f t="shared" si="449"/>
        <v/>
      </c>
      <c r="H1230" s="225"/>
      <c r="I1230" s="1013"/>
      <c r="J1230" s="1013"/>
      <c r="K1230" s="1028"/>
      <c r="L1230" s="1035" t="str">
        <f t="shared" si="453"/>
        <v/>
      </c>
      <c r="S1230" s="498"/>
      <c r="AJ1230" s="498"/>
      <c r="AM1230" s="498">
        <f t="shared" si="434"/>
        <v>0</v>
      </c>
      <c r="AN1230" s="498">
        <f t="shared" si="435"/>
        <v>0</v>
      </c>
      <c r="AO1230" s="498">
        <f t="shared" si="436"/>
        <v>0</v>
      </c>
      <c r="AP1230" s="498">
        <f t="shared" si="433"/>
        <v>0</v>
      </c>
      <c r="AQ1230" s="498">
        <f t="shared" si="450"/>
        <v>0</v>
      </c>
      <c r="AU1230" s="498">
        <f t="shared" si="437"/>
        <v>0</v>
      </c>
      <c r="AV1230" s="498">
        <f t="shared" si="438"/>
        <v>0</v>
      </c>
      <c r="AW1230" s="498">
        <f t="shared" si="439"/>
        <v>0</v>
      </c>
      <c r="AX1230" s="498">
        <f t="shared" si="440"/>
        <v>0</v>
      </c>
      <c r="AY1230" s="498">
        <f t="shared" si="441"/>
        <v>0</v>
      </c>
      <c r="BB1230" s="498" t="str">
        <f t="shared" si="442"/>
        <v/>
      </c>
      <c r="BC1230" s="743" t="str">
        <f t="shared" si="443"/>
        <v/>
      </c>
      <c r="BD1230" s="743" t="str">
        <f t="shared" si="444"/>
        <v/>
      </c>
      <c r="BE1230" s="743" t="str">
        <f>IF(D1230="","",VLOOKUP(D1230,'General Basis'!$J$39:$K$46,2,0))</f>
        <v/>
      </c>
      <c r="BF1230" s="744" t="str">
        <f>IF(D1230="","",VLOOKUP(D1230,'General Basis'!$J$39:$L$46,3,0))</f>
        <v/>
      </c>
      <c r="BG1230" s="744" t="str">
        <f t="shared" si="451"/>
        <v/>
      </c>
      <c r="BH1230" s="744" t="str">
        <f>IF(G1230="","",IF(BF1230="Abu Dhabi",IF(G1230&lt;18,'General Basis'!$C$39,IF(G1230&lt;41,'General Basis'!$C$40,IF(G1230&lt;60,'General Basis'!$C$41,IF(G1230&lt;65,'General Basis'!$C$42,'General Basis'!$C$43)))),IF(G1230&lt;11,'General Basis'!$B$39,IF(G1230&lt;18,'General Basis'!$B$40,IF(G1230&lt;26,'General Basis'!$B$41,IF(G1230&lt;31,'General Basis'!$B$42,IF(G1230&lt;36,'General Basis'!$B$43,IF(G1230&lt;41,'General Basis'!$B$44,IF(G1230&lt;46,'General Basis'!$B$45,IF(G1230&lt;51,'General Basis'!$B$46,IF(G1230&lt;56,'General Basis'!$B$47,IF(G1230&lt;60,'General Basis'!$B$48,IF(G1230&lt;65,'General Basis'!$B$49,'General Basis'!$B$50)))))))))))))</f>
        <v/>
      </c>
      <c r="BI1230" s="744" t="str">
        <f t="shared" si="445"/>
        <v/>
      </c>
      <c r="BJ1230" s="747" t="str">
        <f t="shared" si="452"/>
        <v/>
      </c>
      <c r="BK1230" s="498" t="str">
        <f t="shared" si="446"/>
        <v/>
      </c>
      <c r="BL1230" s="498" t="str">
        <f t="shared" si="447"/>
        <v/>
      </c>
    </row>
    <row r="1231" spans="1:64" x14ac:dyDescent="0.25">
      <c r="A1231" s="762">
        <f t="shared" si="448"/>
        <v>1226</v>
      </c>
      <c r="B1231" s="229"/>
      <c r="C1231" s="223"/>
      <c r="D1231" s="224"/>
      <c r="E1231" s="225"/>
      <c r="F1231" s="1036" t="str">
        <f t="shared" si="432"/>
        <v/>
      </c>
      <c r="G1231" s="1037" t="str">
        <f t="shared" si="449"/>
        <v/>
      </c>
      <c r="H1231" s="225"/>
      <c r="I1231" s="1013"/>
      <c r="J1231" s="1013"/>
      <c r="K1231" s="1028"/>
      <c r="L1231" s="1035" t="str">
        <f t="shared" si="453"/>
        <v/>
      </c>
      <c r="S1231" s="498"/>
      <c r="AJ1231" s="498"/>
      <c r="AM1231" s="498">
        <f t="shared" si="434"/>
        <v>0</v>
      </c>
      <c r="AN1231" s="498">
        <f t="shared" si="435"/>
        <v>0</v>
      </c>
      <c r="AO1231" s="498">
        <f t="shared" si="436"/>
        <v>0</v>
      </c>
      <c r="AP1231" s="498">
        <f t="shared" si="433"/>
        <v>0</v>
      </c>
      <c r="AQ1231" s="498">
        <f t="shared" si="450"/>
        <v>0</v>
      </c>
      <c r="AU1231" s="498">
        <f t="shared" si="437"/>
        <v>0</v>
      </c>
      <c r="AV1231" s="498">
        <f t="shared" si="438"/>
        <v>0</v>
      </c>
      <c r="AW1231" s="498">
        <f t="shared" si="439"/>
        <v>0</v>
      </c>
      <c r="AX1231" s="498">
        <f t="shared" si="440"/>
        <v>0</v>
      </c>
      <c r="AY1231" s="498">
        <f t="shared" si="441"/>
        <v>0</v>
      </c>
      <c r="BB1231" s="498" t="str">
        <f t="shared" si="442"/>
        <v/>
      </c>
      <c r="BC1231" s="743" t="str">
        <f t="shared" si="443"/>
        <v/>
      </c>
      <c r="BD1231" s="743" t="str">
        <f t="shared" si="444"/>
        <v/>
      </c>
      <c r="BE1231" s="743" t="str">
        <f>IF(D1231="","",VLOOKUP(D1231,'General Basis'!$J$39:$K$46,2,0))</f>
        <v/>
      </c>
      <c r="BF1231" s="744" t="str">
        <f>IF(D1231="","",VLOOKUP(D1231,'General Basis'!$J$39:$L$46,3,0))</f>
        <v/>
      </c>
      <c r="BG1231" s="744" t="str">
        <f t="shared" si="451"/>
        <v/>
      </c>
      <c r="BH1231" s="744" t="str">
        <f>IF(G1231="","",IF(BF1231="Abu Dhabi",IF(G1231&lt;18,'General Basis'!$C$39,IF(G1231&lt;41,'General Basis'!$C$40,IF(G1231&lt;60,'General Basis'!$C$41,IF(G1231&lt;65,'General Basis'!$C$42,'General Basis'!$C$43)))),IF(G1231&lt;11,'General Basis'!$B$39,IF(G1231&lt;18,'General Basis'!$B$40,IF(G1231&lt;26,'General Basis'!$B$41,IF(G1231&lt;31,'General Basis'!$B$42,IF(G1231&lt;36,'General Basis'!$B$43,IF(G1231&lt;41,'General Basis'!$B$44,IF(G1231&lt;46,'General Basis'!$B$45,IF(G1231&lt;51,'General Basis'!$B$46,IF(G1231&lt;56,'General Basis'!$B$47,IF(G1231&lt;60,'General Basis'!$B$48,IF(G1231&lt;65,'General Basis'!$B$49,'General Basis'!$B$50)))))))))))))</f>
        <v/>
      </c>
      <c r="BI1231" s="744" t="str">
        <f t="shared" si="445"/>
        <v/>
      </c>
      <c r="BJ1231" s="747" t="str">
        <f t="shared" si="452"/>
        <v/>
      </c>
      <c r="BK1231" s="498" t="str">
        <f t="shared" si="446"/>
        <v/>
      </c>
      <c r="BL1231" s="498" t="str">
        <f t="shared" si="447"/>
        <v/>
      </c>
    </row>
    <row r="1232" spans="1:64" x14ac:dyDescent="0.25">
      <c r="A1232" s="762">
        <f t="shared" si="448"/>
        <v>1227</v>
      </c>
      <c r="B1232" s="229"/>
      <c r="C1232" s="223"/>
      <c r="D1232" s="224"/>
      <c r="E1232" s="225"/>
      <c r="F1232" s="1036" t="str">
        <f t="shared" ref="F1232:F1295" si="454">IF(C1232="","",IF($B1232="","",((YEAR($F$3)-YEAR($B1232))+(MONTH($F$3)-MONTH($B1232))/12+(DAY($F$3)-DAY($B1232))/(DATE(YEAR($F$3),12,31)-DATE(YEAR($F$3),1,1)+1))))</f>
        <v/>
      </c>
      <c r="G1232" s="1037" t="str">
        <f t="shared" si="449"/>
        <v/>
      </c>
      <c r="H1232" s="225"/>
      <c r="I1232" s="1013"/>
      <c r="J1232" s="1013"/>
      <c r="K1232" s="1028"/>
      <c r="L1232" s="1035" t="str">
        <f t="shared" si="453"/>
        <v/>
      </c>
      <c r="S1232" s="498"/>
      <c r="AJ1232" s="498"/>
      <c r="AM1232" s="498">
        <f t="shared" si="434"/>
        <v>0</v>
      </c>
      <c r="AN1232" s="498">
        <f t="shared" si="435"/>
        <v>0</v>
      </c>
      <c r="AO1232" s="498">
        <f t="shared" si="436"/>
        <v>0</v>
      </c>
      <c r="AP1232" s="498">
        <f t="shared" si="433"/>
        <v>0</v>
      </c>
      <c r="AQ1232" s="498">
        <f t="shared" si="450"/>
        <v>0</v>
      </c>
      <c r="AU1232" s="498">
        <f t="shared" si="437"/>
        <v>0</v>
      </c>
      <c r="AV1232" s="498">
        <f t="shared" si="438"/>
        <v>0</v>
      </c>
      <c r="AW1232" s="498">
        <f t="shared" si="439"/>
        <v>0</v>
      </c>
      <c r="AX1232" s="498">
        <f t="shared" si="440"/>
        <v>0</v>
      </c>
      <c r="AY1232" s="498">
        <f t="shared" si="441"/>
        <v>0</v>
      </c>
      <c r="BB1232" s="498" t="str">
        <f t="shared" si="442"/>
        <v/>
      </c>
      <c r="BC1232" s="743" t="str">
        <f t="shared" si="443"/>
        <v/>
      </c>
      <c r="BD1232" s="743" t="str">
        <f t="shared" si="444"/>
        <v/>
      </c>
      <c r="BE1232" s="743" t="str">
        <f>IF(D1232="","",VLOOKUP(D1232,'General Basis'!$J$39:$K$46,2,0))</f>
        <v/>
      </c>
      <c r="BF1232" s="744" t="str">
        <f>IF(D1232="","",VLOOKUP(D1232,'General Basis'!$J$39:$L$46,3,0))</f>
        <v/>
      </c>
      <c r="BG1232" s="744" t="str">
        <f t="shared" si="451"/>
        <v/>
      </c>
      <c r="BH1232" s="744" t="str">
        <f>IF(G1232="","",IF(BF1232="Abu Dhabi",IF(G1232&lt;18,'General Basis'!$C$39,IF(G1232&lt;41,'General Basis'!$C$40,IF(G1232&lt;60,'General Basis'!$C$41,IF(G1232&lt;65,'General Basis'!$C$42,'General Basis'!$C$43)))),IF(G1232&lt;11,'General Basis'!$B$39,IF(G1232&lt;18,'General Basis'!$B$40,IF(G1232&lt;26,'General Basis'!$B$41,IF(G1232&lt;31,'General Basis'!$B$42,IF(G1232&lt;36,'General Basis'!$B$43,IF(G1232&lt;41,'General Basis'!$B$44,IF(G1232&lt;46,'General Basis'!$B$45,IF(G1232&lt;51,'General Basis'!$B$46,IF(G1232&lt;56,'General Basis'!$B$47,IF(G1232&lt;60,'General Basis'!$B$48,IF(G1232&lt;65,'General Basis'!$B$49,'General Basis'!$B$50)))))))))))))</f>
        <v/>
      </c>
      <c r="BI1232" s="744" t="str">
        <f t="shared" si="445"/>
        <v/>
      </c>
      <c r="BJ1232" s="747" t="str">
        <f t="shared" si="452"/>
        <v/>
      </c>
      <c r="BK1232" s="498" t="str">
        <f t="shared" si="446"/>
        <v/>
      </c>
      <c r="BL1232" s="498" t="str">
        <f t="shared" si="447"/>
        <v/>
      </c>
    </row>
    <row r="1233" spans="1:64" x14ac:dyDescent="0.25">
      <c r="A1233" s="762">
        <f t="shared" si="448"/>
        <v>1228</v>
      </c>
      <c r="B1233" s="229"/>
      <c r="C1233" s="223"/>
      <c r="D1233" s="224"/>
      <c r="E1233" s="225"/>
      <c r="F1233" s="1036" t="str">
        <f t="shared" si="454"/>
        <v/>
      </c>
      <c r="G1233" s="1037" t="str">
        <f t="shared" si="449"/>
        <v/>
      </c>
      <c r="H1233" s="225"/>
      <c r="I1233" s="1013"/>
      <c r="J1233" s="1013"/>
      <c r="K1233" s="1028"/>
      <c r="L1233" s="1035" t="str">
        <f t="shared" si="453"/>
        <v/>
      </c>
      <c r="S1233" s="498"/>
      <c r="AJ1233" s="498"/>
      <c r="AM1233" s="498">
        <f t="shared" si="434"/>
        <v>0</v>
      </c>
      <c r="AN1233" s="498">
        <f t="shared" si="435"/>
        <v>0</v>
      </c>
      <c r="AO1233" s="498">
        <f t="shared" si="436"/>
        <v>0</v>
      </c>
      <c r="AP1233" s="498">
        <f t="shared" si="433"/>
        <v>0</v>
      </c>
      <c r="AQ1233" s="498">
        <f t="shared" si="450"/>
        <v>0</v>
      </c>
      <c r="AU1233" s="498">
        <f t="shared" si="437"/>
        <v>0</v>
      </c>
      <c r="AV1233" s="498">
        <f t="shared" si="438"/>
        <v>0</v>
      </c>
      <c r="AW1233" s="498">
        <f t="shared" si="439"/>
        <v>0</v>
      </c>
      <c r="AX1233" s="498">
        <f t="shared" si="440"/>
        <v>0</v>
      </c>
      <c r="AY1233" s="498">
        <f t="shared" si="441"/>
        <v>0</v>
      </c>
      <c r="BB1233" s="498" t="str">
        <f t="shared" si="442"/>
        <v/>
      </c>
      <c r="BC1233" s="743" t="str">
        <f t="shared" si="443"/>
        <v/>
      </c>
      <c r="BD1233" s="743" t="str">
        <f t="shared" si="444"/>
        <v/>
      </c>
      <c r="BE1233" s="743" t="str">
        <f>IF(D1233="","",VLOOKUP(D1233,'General Basis'!$J$39:$K$46,2,0))</f>
        <v/>
      </c>
      <c r="BF1233" s="744" t="str">
        <f>IF(D1233="","",VLOOKUP(D1233,'General Basis'!$J$39:$L$46,3,0))</f>
        <v/>
      </c>
      <c r="BG1233" s="744" t="str">
        <f t="shared" si="451"/>
        <v/>
      </c>
      <c r="BH1233" s="744" t="str">
        <f>IF(G1233="","",IF(BF1233="Abu Dhabi",IF(G1233&lt;18,'General Basis'!$C$39,IF(G1233&lt;41,'General Basis'!$C$40,IF(G1233&lt;60,'General Basis'!$C$41,IF(G1233&lt;65,'General Basis'!$C$42,'General Basis'!$C$43)))),IF(G1233&lt;11,'General Basis'!$B$39,IF(G1233&lt;18,'General Basis'!$B$40,IF(G1233&lt;26,'General Basis'!$B$41,IF(G1233&lt;31,'General Basis'!$B$42,IF(G1233&lt;36,'General Basis'!$B$43,IF(G1233&lt;41,'General Basis'!$B$44,IF(G1233&lt;46,'General Basis'!$B$45,IF(G1233&lt;51,'General Basis'!$B$46,IF(G1233&lt;56,'General Basis'!$B$47,IF(G1233&lt;60,'General Basis'!$B$48,IF(G1233&lt;65,'General Basis'!$B$49,'General Basis'!$B$50)))))))))))))</f>
        <v/>
      </c>
      <c r="BI1233" s="744" t="str">
        <f t="shared" si="445"/>
        <v/>
      </c>
      <c r="BJ1233" s="747" t="str">
        <f t="shared" si="452"/>
        <v/>
      </c>
      <c r="BK1233" s="498" t="str">
        <f t="shared" si="446"/>
        <v/>
      </c>
      <c r="BL1233" s="498" t="str">
        <f t="shared" si="447"/>
        <v/>
      </c>
    </row>
    <row r="1234" spans="1:64" x14ac:dyDescent="0.25">
      <c r="A1234" s="762">
        <f t="shared" si="448"/>
        <v>1229</v>
      </c>
      <c r="B1234" s="229"/>
      <c r="C1234" s="223"/>
      <c r="D1234" s="224"/>
      <c r="E1234" s="225"/>
      <c r="F1234" s="1036" t="str">
        <f t="shared" si="454"/>
        <v/>
      </c>
      <c r="G1234" s="1037" t="str">
        <f t="shared" si="449"/>
        <v/>
      </c>
      <c r="H1234" s="225"/>
      <c r="I1234" s="1013"/>
      <c r="J1234" s="1013"/>
      <c r="K1234" s="1028"/>
      <c r="L1234" s="1035" t="str">
        <f t="shared" si="453"/>
        <v/>
      </c>
      <c r="S1234" s="498"/>
      <c r="AJ1234" s="498"/>
      <c r="AM1234" s="498">
        <f t="shared" si="434"/>
        <v>0</v>
      </c>
      <c r="AN1234" s="498">
        <f t="shared" si="435"/>
        <v>0</v>
      </c>
      <c r="AO1234" s="498">
        <f t="shared" si="436"/>
        <v>0</v>
      </c>
      <c r="AP1234" s="498">
        <f t="shared" si="433"/>
        <v>0</v>
      </c>
      <c r="AQ1234" s="498">
        <f t="shared" si="450"/>
        <v>0</v>
      </c>
      <c r="AU1234" s="498">
        <f t="shared" si="437"/>
        <v>0</v>
      </c>
      <c r="AV1234" s="498">
        <f t="shared" si="438"/>
        <v>0</v>
      </c>
      <c r="AW1234" s="498">
        <f t="shared" si="439"/>
        <v>0</v>
      </c>
      <c r="AX1234" s="498">
        <f t="shared" si="440"/>
        <v>0</v>
      </c>
      <c r="AY1234" s="498">
        <f t="shared" si="441"/>
        <v>0</v>
      </c>
      <c r="BB1234" s="498" t="str">
        <f t="shared" si="442"/>
        <v/>
      </c>
      <c r="BC1234" s="743" t="str">
        <f t="shared" si="443"/>
        <v/>
      </c>
      <c r="BD1234" s="743" t="str">
        <f t="shared" si="444"/>
        <v/>
      </c>
      <c r="BE1234" s="743" t="str">
        <f>IF(D1234="","",VLOOKUP(D1234,'General Basis'!$J$39:$K$46,2,0))</f>
        <v/>
      </c>
      <c r="BF1234" s="744" t="str">
        <f>IF(D1234="","",VLOOKUP(D1234,'General Basis'!$J$39:$L$46,3,0))</f>
        <v/>
      </c>
      <c r="BG1234" s="744" t="str">
        <f t="shared" si="451"/>
        <v/>
      </c>
      <c r="BH1234" s="744" t="str">
        <f>IF(G1234="","",IF(BF1234="Abu Dhabi",IF(G1234&lt;18,'General Basis'!$C$39,IF(G1234&lt;41,'General Basis'!$C$40,IF(G1234&lt;60,'General Basis'!$C$41,IF(G1234&lt;65,'General Basis'!$C$42,'General Basis'!$C$43)))),IF(G1234&lt;11,'General Basis'!$B$39,IF(G1234&lt;18,'General Basis'!$B$40,IF(G1234&lt;26,'General Basis'!$B$41,IF(G1234&lt;31,'General Basis'!$B$42,IF(G1234&lt;36,'General Basis'!$B$43,IF(G1234&lt;41,'General Basis'!$B$44,IF(G1234&lt;46,'General Basis'!$B$45,IF(G1234&lt;51,'General Basis'!$B$46,IF(G1234&lt;56,'General Basis'!$B$47,IF(G1234&lt;60,'General Basis'!$B$48,IF(G1234&lt;65,'General Basis'!$B$49,'General Basis'!$B$50)))))))))))))</f>
        <v/>
      </c>
      <c r="BI1234" s="744" t="str">
        <f t="shared" si="445"/>
        <v/>
      </c>
      <c r="BJ1234" s="747" t="str">
        <f t="shared" si="452"/>
        <v/>
      </c>
      <c r="BK1234" s="498" t="str">
        <f t="shared" si="446"/>
        <v/>
      </c>
      <c r="BL1234" s="498" t="str">
        <f t="shared" si="447"/>
        <v/>
      </c>
    </row>
    <row r="1235" spans="1:64" x14ac:dyDescent="0.25">
      <c r="A1235" s="762">
        <f t="shared" si="448"/>
        <v>1230</v>
      </c>
      <c r="B1235" s="229"/>
      <c r="C1235" s="223"/>
      <c r="D1235" s="224"/>
      <c r="E1235" s="225"/>
      <c r="F1235" s="1036" t="str">
        <f t="shared" si="454"/>
        <v/>
      </c>
      <c r="G1235" s="1037" t="str">
        <f t="shared" si="449"/>
        <v/>
      </c>
      <c r="H1235" s="225"/>
      <c r="I1235" s="1013"/>
      <c r="J1235" s="1013"/>
      <c r="K1235" s="1028"/>
      <c r="L1235" s="1035" t="str">
        <f t="shared" si="453"/>
        <v/>
      </c>
      <c r="S1235" s="498"/>
      <c r="AJ1235" s="498"/>
      <c r="AM1235" s="498">
        <f t="shared" si="434"/>
        <v>0</v>
      </c>
      <c r="AN1235" s="498">
        <f t="shared" si="435"/>
        <v>0</v>
      </c>
      <c r="AO1235" s="498">
        <f t="shared" si="436"/>
        <v>0</v>
      </c>
      <c r="AP1235" s="498">
        <f t="shared" ref="AP1235:AP1298" si="455">IF(ISBLANK($B1235),0,IF(OR($C1235="M",$C1235="F"),0,1))</f>
        <v>0</v>
      </c>
      <c r="AQ1235" s="498">
        <f t="shared" si="450"/>
        <v>0</v>
      </c>
      <c r="AU1235" s="498">
        <f t="shared" si="437"/>
        <v>0</v>
      </c>
      <c r="AV1235" s="498">
        <f t="shared" si="438"/>
        <v>0</v>
      </c>
      <c r="AW1235" s="498">
        <f t="shared" si="439"/>
        <v>0</v>
      </c>
      <c r="AX1235" s="498">
        <f t="shared" si="440"/>
        <v>0</v>
      </c>
      <c r="AY1235" s="498">
        <f t="shared" si="441"/>
        <v>0</v>
      </c>
      <c r="BB1235" s="498" t="str">
        <f t="shared" si="442"/>
        <v/>
      </c>
      <c r="BC1235" s="743" t="str">
        <f t="shared" si="443"/>
        <v/>
      </c>
      <c r="BD1235" s="743" t="str">
        <f t="shared" si="444"/>
        <v/>
      </c>
      <c r="BE1235" s="743" t="str">
        <f>IF(D1235="","",VLOOKUP(D1235,'General Basis'!$J$39:$K$46,2,0))</f>
        <v/>
      </c>
      <c r="BF1235" s="744" t="str">
        <f>IF(D1235="","",VLOOKUP(D1235,'General Basis'!$J$39:$L$46,3,0))</f>
        <v/>
      </c>
      <c r="BG1235" s="744" t="str">
        <f t="shared" si="451"/>
        <v/>
      </c>
      <c r="BH1235" s="744" t="str">
        <f>IF(G1235="","",IF(BF1235="Abu Dhabi",IF(G1235&lt;18,'General Basis'!$C$39,IF(G1235&lt;41,'General Basis'!$C$40,IF(G1235&lt;60,'General Basis'!$C$41,IF(G1235&lt;65,'General Basis'!$C$42,'General Basis'!$C$43)))),IF(G1235&lt;11,'General Basis'!$B$39,IF(G1235&lt;18,'General Basis'!$B$40,IF(G1235&lt;26,'General Basis'!$B$41,IF(G1235&lt;31,'General Basis'!$B$42,IF(G1235&lt;36,'General Basis'!$B$43,IF(G1235&lt;41,'General Basis'!$B$44,IF(G1235&lt;46,'General Basis'!$B$45,IF(G1235&lt;51,'General Basis'!$B$46,IF(G1235&lt;56,'General Basis'!$B$47,IF(G1235&lt;60,'General Basis'!$B$48,IF(G1235&lt;65,'General Basis'!$B$49,'General Basis'!$B$50)))))))))))))</f>
        <v/>
      </c>
      <c r="BI1235" s="744" t="str">
        <f t="shared" si="445"/>
        <v/>
      </c>
      <c r="BJ1235" s="747" t="str">
        <f t="shared" si="452"/>
        <v/>
      </c>
      <c r="BK1235" s="498" t="str">
        <f t="shared" si="446"/>
        <v/>
      </c>
      <c r="BL1235" s="498" t="str">
        <f t="shared" si="447"/>
        <v/>
      </c>
    </row>
    <row r="1236" spans="1:64" x14ac:dyDescent="0.25">
      <c r="A1236" s="762">
        <f t="shared" si="448"/>
        <v>1231</v>
      </c>
      <c r="B1236" s="229"/>
      <c r="C1236" s="223"/>
      <c r="D1236" s="224"/>
      <c r="E1236" s="225"/>
      <c r="F1236" s="1036" t="str">
        <f t="shared" si="454"/>
        <v/>
      </c>
      <c r="G1236" s="1037" t="str">
        <f t="shared" si="449"/>
        <v/>
      </c>
      <c r="H1236" s="225"/>
      <c r="I1236" s="1013"/>
      <c r="J1236" s="1013"/>
      <c r="K1236" s="1028"/>
      <c r="L1236" s="1035" t="str">
        <f t="shared" si="453"/>
        <v/>
      </c>
      <c r="S1236" s="498"/>
      <c r="AJ1236" s="498"/>
      <c r="AM1236" s="498">
        <f t="shared" si="434"/>
        <v>0</v>
      </c>
      <c r="AN1236" s="498">
        <f t="shared" si="435"/>
        <v>0</v>
      </c>
      <c r="AO1236" s="498">
        <f t="shared" si="436"/>
        <v>0</v>
      </c>
      <c r="AP1236" s="498">
        <f t="shared" si="455"/>
        <v>0</v>
      </c>
      <c r="AQ1236" s="498">
        <f t="shared" si="450"/>
        <v>0</v>
      </c>
      <c r="AU1236" s="498">
        <f t="shared" si="437"/>
        <v>0</v>
      </c>
      <c r="AV1236" s="498">
        <f t="shared" si="438"/>
        <v>0</v>
      </c>
      <c r="AW1236" s="498">
        <f t="shared" si="439"/>
        <v>0</v>
      </c>
      <c r="AX1236" s="498">
        <f t="shared" si="440"/>
        <v>0</v>
      </c>
      <c r="AY1236" s="498">
        <f t="shared" si="441"/>
        <v>0</v>
      </c>
      <c r="BB1236" s="498" t="str">
        <f t="shared" si="442"/>
        <v/>
      </c>
      <c r="BC1236" s="743" t="str">
        <f t="shared" si="443"/>
        <v/>
      </c>
      <c r="BD1236" s="743" t="str">
        <f t="shared" si="444"/>
        <v/>
      </c>
      <c r="BE1236" s="743" t="str">
        <f>IF(D1236="","",VLOOKUP(D1236,'General Basis'!$J$39:$K$46,2,0))</f>
        <v/>
      </c>
      <c r="BF1236" s="744" t="str">
        <f>IF(D1236="","",VLOOKUP(D1236,'General Basis'!$J$39:$L$46,3,0))</f>
        <v/>
      </c>
      <c r="BG1236" s="744" t="str">
        <f t="shared" si="451"/>
        <v/>
      </c>
      <c r="BH1236" s="744" t="str">
        <f>IF(G1236="","",IF(BF1236="Abu Dhabi",IF(G1236&lt;18,'General Basis'!$C$39,IF(G1236&lt;41,'General Basis'!$C$40,IF(G1236&lt;60,'General Basis'!$C$41,IF(G1236&lt;65,'General Basis'!$C$42,'General Basis'!$C$43)))),IF(G1236&lt;11,'General Basis'!$B$39,IF(G1236&lt;18,'General Basis'!$B$40,IF(G1236&lt;26,'General Basis'!$B$41,IF(G1236&lt;31,'General Basis'!$B$42,IF(G1236&lt;36,'General Basis'!$B$43,IF(G1236&lt;41,'General Basis'!$B$44,IF(G1236&lt;46,'General Basis'!$B$45,IF(G1236&lt;51,'General Basis'!$B$46,IF(G1236&lt;56,'General Basis'!$B$47,IF(G1236&lt;60,'General Basis'!$B$48,IF(G1236&lt;65,'General Basis'!$B$49,'General Basis'!$B$50)))))))))))))</f>
        <v/>
      </c>
      <c r="BI1236" s="744" t="str">
        <f t="shared" si="445"/>
        <v/>
      </c>
      <c r="BJ1236" s="747" t="str">
        <f t="shared" si="452"/>
        <v/>
      </c>
      <c r="BK1236" s="498" t="str">
        <f t="shared" si="446"/>
        <v/>
      </c>
      <c r="BL1236" s="498" t="str">
        <f t="shared" si="447"/>
        <v/>
      </c>
    </row>
    <row r="1237" spans="1:64" x14ac:dyDescent="0.25">
      <c r="A1237" s="762">
        <f t="shared" si="448"/>
        <v>1232</v>
      </c>
      <c r="B1237" s="229"/>
      <c r="C1237" s="223"/>
      <c r="D1237" s="224"/>
      <c r="E1237" s="225"/>
      <c r="F1237" s="1036" t="str">
        <f t="shared" si="454"/>
        <v/>
      </c>
      <c r="G1237" s="1037" t="str">
        <f t="shared" si="449"/>
        <v/>
      </c>
      <c r="H1237" s="225"/>
      <c r="I1237" s="1013"/>
      <c r="J1237" s="1013"/>
      <c r="K1237" s="1028"/>
      <c r="L1237" s="1035" t="str">
        <f t="shared" si="453"/>
        <v/>
      </c>
      <c r="S1237" s="498"/>
      <c r="AJ1237" s="498"/>
      <c r="AM1237" s="498">
        <f t="shared" si="434"/>
        <v>0</v>
      </c>
      <c r="AN1237" s="498">
        <f t="shared" si="435"/>
        <v>0</v>
      </c>
      <c r="AO1237" s="498">
        <f t="shared" si="436"/>
        <v>0</v>
      </c>
      <c r="AP1237" s="498">
        <f t="shared" si="455"/>
        <v>0</v>
      </c>
      <c r="AQ1237" s="498">
        <f t="shared" si="450"/>
        <v>0</v>
      </c>
      <c r="AU1237" s="498">
        <f t="shared" si="437"/>
        <v>0</v>
      </c>
      <c r="AV1237" s="498">
        <f t="shared" si="438"/>
        <v>0</v>
      </c>
      <c r="AW1237" s="498">
        <f t="shared" si="439"/>
        <v>0</v>
      </c>
      <c r="AX1237" s="498">
        <f t="shared" si="440"/>
        <v>0</v>
      </c>
      <c r="AY1237" s="498">
        <f t="shared" si="441"/>
        <v>0</v>
      </c>
      <c r="BB1237" s="498" t="str">
        <f t="shared" si="442"/>
        <v/>
      </c>
      <c r="BC1237" s="743" t="str">
        <f t="shared" si="443"/>
        <v/>
      </c>
      <c r="BD1237" s="743" t="str">
        <f t="shared" si="444"/>
        <v/>
      </c>
      <c r="BE1237" s="743" t="str">
        <f>IF(D1237="","",VLOOKUP(D1237,'General Basis'!$J$39:$K$46,2,0))</f>
        <v/>
      </c>
      <c r="BF1237" s="744" t="str">
        <f>IF(D1237="","",VLOOKUP(D1237,'General Basis'!$J$39:$L$46,3,0))</f>
        <v/>
      </c>
      <c r="BG1237" s="744" t="str">
        <f t="shared" si="451"/>
        <v/>
      </c>
      <c r="BH1237" s="744" t="str">
        <f>IF(G1237="","",IF(BF1237="Abu Dhabi",IF(G1237&lt;18,'General Basis'!$C$39,IF(G1237&lt;41,'General Basis'!$C$40,IF(G1237&lt;60,'General Basis'!$C$41,IF(G1237&lt;65,'General Basis'!$C$42,'General Basis'!$C$43)))),IF(G1237&lt;11,'General Basis'!$B$39,IF(G1237&lt;18,'General Basis'!$B$40,IF(G1237&lt;26,'General Basis'!$B$41,IF(G1237&lt;31,'General Basis'!$B$42,IF(G1237&lt;36,'General Basis'!$B$43,IF(G1237&lt;41,'General Basis'!$B$44,IF(G1237&lt;46,'General Basis'!$B$45,IF(G1237&lt;51,'General Basis'!$B$46,IF(G1237&lt;56,'General Basis'!$B$47,IF(G1237&lt;60,'General Basis'!$B$48,IF(G1237&lt;65,'General Basis'!$B$49,'General Basis'!$B$50)))))))))))))</f>
        <v/>
      </c>
      <c r="BI1237" s="744" t="str">
        <f t="shared" si="445"/>
        <v/>
      </c>
      <c r="BJ1237" s="747" t="str">
        <f t="shared" si="452"/>
        <v/>
      </c>
      <c r="BK1237" s="498" t="str">
        <f t="shared" si="446"/>
        <v/>
      </c>
      <c r="BL1237" s="498" t="str">
        <f t="shared" si="447"/>
        <v/>
      </c>
    </row>
    <row r="1238" spans="1:64" x14ac:dyDescent="0.25">
      <c r="A1238" s="762">
        <f t="shared" si="448"/>
        <v>1233</v>
      </c>
      <c r="B1238" s="229"/>
      <c r="C1238" s="223"/>
      <c r="D1238" s="224"/>
      <c r="E1238" s="225"/>
      <c r="F1238" s="1036" t="str">
        <f t="shared" si="454"/>
        <v/>
      </c>
      <c r="G1238" s="1037" t="str">
        <f t="shared" si="449"/>
        <v/>
      </c>
      <c r="H1238" s="225"/>
      <c r="I1238" s="1013"/>
      <c r="J1238" s="1013"/>
      <c r="K1238" s="1028"/>
      <c r="L1238" s="1035" t="str">
        <f t="shared" si="453"/>
        <v/>
      </c>
      <c r="S1238" s="498"/>
      <c r="AJ1238" s="498"/>
      <c r="AM1238" s="498">
        <f t="shared" si="434"/>
        <v>0</v>
      </c>
      <c r="AN1238" s="498">
        <f t="shared" si="435"/>
        <v>0</v>
      </c>
      <c r="AO1238" s="498">
        <f t="shared" si="436"/>
        <v>0</v>
      </c>
      <c r="AP1238" s="498">
        <f t="shared" si="455"/>
        <v>0</v>
      </c>
      <c r="AQ1238" s="498">
        <f t="shared" si="450"/>
        <v>0</v>
      </c>
      <c r="AU1238" s="498">
        <f t="shared" si="437"/>
        <v>0</v>
      </c>
      <c r="AV1238" s="498">
        <f t="shared" si="438"/>
        <v>0</v>
      </c>
      <c r="AW1238" s="498">
        <f t="shared" si="439"/>
        <v>0</v>
      </c>
      <c r="AX1238" s="498">
        <f t="shared" si="440"/>
        <v>0</v>
      </c>
      <c r="AY1238" s="498">
        <f t="shared" si="441"/>
        <v>0</v>
      </c>
      <c r="BB1238" s="498" t="str">
        <f t="shared" si="442"/>
        <v/>
      </c>
      <c r="BC1238" s="743" t="str">
        <f t="shared" si="443"/>
        <v/>
      </c>
      <c r="BD1238" s="743" t="str">
        <f t="shared" si="444"/>
        <v/>
      </c>
      <c r="BE1238" s="743" t="str">
        <f>IF(D1238="","",VLOOKUP(D1238,'General Basis'!$J$39:$K$46,2,0))</f>
        <v/>
      </c>
      <c r="BF1238" s="744" t="str">
        <f>IF(D1238="","",VLOOKUP(D1238,'General Basis'!$J$39:$L$46,3,0))</f>
        <v/>
      </c>
      <c r="BG1238" s="744" t="str">
        <f t="shared" si="451"/>
        <v/>
      </c>
      <c r="BH1238" s="744" t="str">
        <f>IF(G1238="","",IF(BF1238="Abu Dhabi",IF(G1238&lt;18,'General Basis'!$C$39,IF(G1238&lt;41,'General Basis'!$C$40,IF(G1238&lt;60,'General Basis'!$C$41,IF(G1238&lt;65,'General Basis'!$C$42,'General Basis'!$C$43)))),IF(G1238&lt;11,'General Basis'!$B$39,IF(G1238&lt;18,'General Basis'!$B$40,IF(G1238&lt;26,'General Basis'!$B$41,IF(G1238&lt;31,'General Basis'!$B$42,IF(G1238&lt;36,'General Basis'!$B$43,IF(G1238&lt;41,'General Basis'!$B$44,IF(G1238&lt;46,'General Basis'!$B$45,IF(G1238&lt;51,'General Basis'!$B$46,IF(G1238&lt;56,'General Basis'!$B$47,IF(G1238&lt;60,'General Basis'!$B$48,IF(G1238&lt;65,'General Basis'!$B$49,'General Basis'!$B$50)))))))))))))</f>
        <v/>
      </c>
      <c r="BI1238" s="744" t="str">
        <f t="shared" si="445"/>
        <v/>
      </c>
      <c r="BJ1238" s="747" t="str">
        <f t="shared" si="452"/>
        <v/>
      </c>
      <c r="BK1238" s="498" t="str">
        <f t="shared" si="446"/>
        <v/>
      </c>
      <c r="BL1238" s="498" t="str">
        <f t="shared" si="447"/>
        <v/>
      </c>
    </row>
    <row r="1239" spans="1:64" x14ac:dyDescent="0.25">
      <c r="A1239" s="762">
        <f t="shared" si="448"/>
        <v>1234</v>
      </c>
      <c r="B1239" s="229"/>
      <c r="C1239" s="223"/>
      <c r="D1239" s="224"/>
      <c r="E1239" s="225"/>
      <c r="F1239" s="1036" t="str">
        <f t="shared" si="454"/>
        <v/>
      </c>
      <c r="G1239" s="1037" t="str">
        <f t="shared" si="449"/>
        <v/>
      </c>
      <c r="H1239" s="225"/>
      <c r="I1239" s="1013"/>
      <c r="J1239" s="1013"/>
      <c r="K1239" s="1028"/>
      <c r="L1239" s="1035" t="str">
        <f t="shared" si="453"/>
        <v/>
      </c>
      <c r="S1239" s="498"/>
      <c r="AJ1239" s="498"/>
      <c r="AM1239" s="498">
        <f t="shared" si="434"/>
        <v>0</v>
      </c>
      <c r="AN1239" s="498">
        <f t="shared" si="435"/>
        <v>0</v>
      </c>
      <c r="AO1239" s="498">
        <f t="shared" si="436"/>
        <v>0</v>
      </c>
      <c r="AP1239" s="498">
        <f t="shared" si="455"/>
        <v>0</v>
      </c>
      <c r="AQ1239" s="498">
        <f t="shared" si="450"/>
        <v>0</v>
      </c>
      <c r="AU1239" s="498">
        <f t="shared" si="437"/>
        <v>0</v>
      </c>
      <c r="AV1239" s="498">
        <f t="shared" si="438"/>
        <v>0</v>
      </c>
      <c r="AW1239" s="498">
        <f t="shared" si="439"/>
        <v>0</v>
      </c>
      <c r="AX1239" s="498">
        <f t="shared" si="440"/>
        <v>0</v>
      </c>
      <c r="AY1239" s="498">
        <f t="shared" si="441"/>
        <v>0</v>
      </c>
      <c r="BB1239" s="498" t="str">
        <f t="shared" si="442"/>
        <v/>
      </c>
      <c r="BC1239" s="743" t="str">
        <f t="shared" si="443"/>
        <v/>
      </c>
      <c r="BD1239" s="743" t="str">
        <f t="shared" si="444"/>
        <v/>
      </c>
      <c r="BE1239" s="743" t="str">
        <f>IF(D1239="","",VLOOKUP(D1239,'General Basis'!$J$39:$K$46,2,0))</f>
        <v/>
      </c>
      <c r="BF1239" s="744" t="str">
        <f>IF(D1239="","",VLOOKUP(D1239,'General Basis'!$J$39:$L$46,3,0))</f>
        <v/>
      </c>
      <c r="BG1239" s="744" t="str">
        <f t="shared" si="451"/>
        <v/>
      </c>
      <c r="BH1239" s="744" t="str">
        <f>IF(G1239="","",IF(BF1239="Abu Dhabi",IF(G1239&lt;18,'General Basis'!$C$39,IF(G1239&lt;41,'General Basis'!$C$40,IF(G1239&lt;60,'General Basis'!$C$41,IF(G1239&lt;65,'General Basis'!$C$42,'General Basis'!$C$43)))),IF(G1239&lt;11,'General Basis'!$B$39,IF(G1239&lt;18,'General Basis'!$B$40,IF(G1239&lt;26,'General Basis'!$B$41,IF(G1239&lt;31,'General Basis'!$B$42,IF(G1239&lt;36,'General Basis'!$B$43,IF(G1239&lt;41,'General Basis'!$B$44,IF(G1239&lt;46,'General Basis'!$B$45,IF(G1239&lt;51,'General Basis'!$B$46,IF(G1239&lt;56,'General Basis'!$B$47,IF(G1239&lt;60,'General Basis'!$B$48,IF(G1239&lt;65,'General Basis'!$B$49,'General Basis'!$B$50)))))))))))))</f>
        <v/>
      </c>
      <c r="BI1239" s="744" t="str">
        <f t="shared" si="445"/>
        <v/>
      </c>
      <c r="BJ1239" s="747" t="str">
        <f t="shared" si="452"/>
        <v/>
      </c>
      <c r="BK1239" s="498" t="str">
        <f t="shared" si="446"/>
        <v/>
      </c>
      <c r="BL1239" s="498" t="str">
        <f t="shared" si="447"/>
        <v/>
      </c>
    </row>
    <row r="1240" spans="1:64" x14ac:dyDescent="0.25">
      <c r="A1240" s="762">
        <f t="shared" si="448"/>
        <v>1235</v>
      </c>
      <c r="B1240" s="229"/>
      <c r="C1240" s="223"/>
      <c r="D1240" s="224"/>
      <c r="E1240" s="225"/>
      <c r="F1240" s="1036" t="str">
        <f t="shared" si="454"/>
        <v/>
      </c>
      <c r="G1240" s="1037" t="str">
        <f t="shared" si="449"/>
        <v/>
      </c>
      <c r="H1240" s="225"/>
      <c r="I1240" s="1013"/>
      <c r="J1240" s="1013"/>
      <c r="K1240" s="1028"/>
      <c r="L1240" s="1035" t="str">
        <f t="shared" si="453"/>
        <v/>
      </c>
      <c r="S1240" s="498"/>
      <c r="AJ1240" s="498"/>
      <c r="AM1240" s="498">
        <f t="shared" si="434"/>
        <v>0</v>
      </c>
      <c r="AN1240" s="498">
        <f t="shared" si="435"/>
        <v>0</v>
      </c>
      <c r="AO1240" s="498">
        <f t="shared" si="436"/>
        <v>0</v>
      </c>
      <c r="AP1240" s="498">
        <f t="shared" si="455"/>
        <v>0</v>
      </c>
      <c r="AQ1240" s="498">
        <f t="shared" si="450"/>
        <v>0</v>
      </c>
      <c r="AU1240" s="498">
        <f t="shared" si="437"/>
        <v>0</v>
      </c>
      <c r="AV1240" s="498">
        <f t="shared" si="438"/>
        <v>0</v>
      </c>
      <c r="AW1240" s="498">
        <f t="shared" si="439"/>
        <v>0</v>
      </c>
      <c r="AX1240" s="498">
        <f t="shared" si="440"/>
        <v>0</v>
      </c>
      <c r="AY1240" s="498">
        <f t="shared" si="441"/>
        <v>0</v>
      </c>
      <c r="BB1240" s="498" t="str">
        <f t="shared" si="442"/>
        <v/>
      </c>
      <c r="BC1240" s="743" t="str">
        <f t="shared" si="443"/>
        <v/>
      </c>
      <c r="BD1240" s="743" t="str">
        <f t="shared" si="444"/>
        <v/>
      </c>
      <c r="BE1240" s="743" t="str">
        <f>IF(D1240="","",VLOOKUP(D1240,'General Basis'!$J$39:$K$46,2,0))</f>
        <v/>
      </c>
      <c r="BF1240" s="744" t="str">
        <f>IF(D1240="","",VLOOKUP(D1240,'General Basis'!$J$39:$L$46,3,0))</f>
        <v/>
      </c>
      <c r="BG1240" s="744" t="str">
        <f t="shared" si="451"/>
        <v/>
      </c>
      <c r="BH1240" s="744" t="str">
        <f>IF(G1240="","",IF(BF1240="Abu Dhabi",IF(G1240&lt;18,'General Basis'!$C$39,IF(G1240&lt;41,'General Basis'!$C$40,IF(G1240&lt;60,'General Basis'!$C$41,IF(G1240&lt;65,'General Basis'!$C$42,'General Basis'!$C$43)))),IF(G1240&lt;11,'General Basis'!$B$39,IF(G1240&lt;18,'General Basis'!$B$40,IF(G1240&lt;26,'General Basis'!$B$41,IF(G1240&lt;31,'General Basis'!$B$42,IF(G1240&lt;36,'General Basis'!$B$43,IF(G1240&lt;41,'General Basis'!$B$44,IF(G1240&lt;46,'General Basis'!$B$45,IF(G1240&lt;51,'General Basis'!$B$46,IF(G1240&lt;56,'General Basis'!$B$47,IF(G1240&lt;60,'General Basis'!$B$48,IF(G1240&lt;65,'General Basis'!$B$49,'General Basis'!$B$50)))))))))))))</f>
        <v/>
      </c>
      <c r="BI1240" s="744" t="str">
        <f t="shared" si="445"/>
        <v/>
      </c>
      <c r="BJ1240" s="747" t="str">
        <f t="shared" si="452"/>
        <v/>
      </c>
      <c r="BK1240" s="498" t="str">
        <f t="shared" si="446"/>
        <v/>
      </c>
      <c r="BL1240" s="498" t="str">
        <f t="shared" si="447"/>
        <v/>
      </c>
    </row>
    <row r="1241" spans="1:64" x14ac:dyDescent="0.25">
      <c r="A1241" s="762">
        <f t="shared" si="448"/>
        <v>1236</v>
      </c>
      <c r="B1241" s="229"/>
      <c r="C1241" s="223"/>
      <c r="D1241" s="224"/>
      <c r="E1241" s="225"/>
      <c r="F1241" s="1036" t="str">
        <f t="shared" si="454"/>
        <v/>
      </c>
      <c r="G1241" s="1037" t="str">
        <f t="shared" si="449"/>
        <v/>
      </c>
      <c r="H1241" s="225"/>
      <c r="I1241" s="1013"/>
      <c r="J1241" s="1013"/>
      <c r="K1241" s="1028"/>
      <c r="L1241" s="1035" t="str">
        <f t="shared" si="453"/>
        <v/>
      </c>
      <c r="S1241" s="498"/>
      <c r="AJ1241" s="498"/>
      <c r="AM1241" s="498">
        <f t="shared" si="434"/>
        <v>0</v>
      </c>
      <c r="AN1241" s="498">
        <f t="shared" si="435"/>
        <v>0</v>
      </c>
      <c r="AO1241" s="498">
        <f t="shared" si="436"/>
        <v>0</v>
      </c>
      <c r="AP1241" s="498">
        <f t="shared" si="455"/>
        <v>0</v>
      </c>
      <c r="AQ1241" s="498">
        <f t="shared" si="450"/>
        <v>0</v>
      </c>
      <c r="AU1241" s="498">
        <f t="shared" si="437"/>
        <v>0</v>
      </c>
      <c r="AV1241" s="498">
        <f t="shared" si="438"/>
        <v>0</v>
      </c>
      <c r="AW1241" s="498">
        <f t="shared" si="439"/>
        <v>0</v>
      </c>
      <c r="AX1241" s="498">
        <f t="shared" si="440"/>
        <v>0</v>
      </c>
      <c r="AY1241" s="498">
        <f t="shared" si="441"/>
        <v>0</v>
      </c>
      <c r="BB1241" s="498" t="str">
        <f t="shared" si="442"/>
        <v/>
      </c>
      <c r="BC1241" s="743" t="str">
        <f t="shared" si="443"/>
        <v/>
      </c>
      <c r="BD1241" s="743" t="str">
        <f t="shared" si="444"/>
        <v/>
      </c>
      <c r="BE1241" s="743" t="str">
        <f>IF(D1241="","",VLOOKUP(D1241,'General Basis'!$J$39:$K$46,2,0))</f>
        <v/>
      </c>
      <c r="BF1241" s="744" t="str">
        <f>IF(D1241="","",VLOOKUP(D1241,'General Basis'!$J$39:$L$46,3,0))</f>
        <v/>
      </c>
      <c r="BG1241" s="744" t="str">
        <f t="shared" si="451"/>
        <v/>
      </c>
      <c r="BH1241" s="744" t="str">
        <f>IF(G1241="","",IF(BF1241="Abu Dhabi",IF(G1241&lt;18,'General Basis'!$C$39,IF(G1241&lt;41,'General Basis'!$C$40,IF(G1241&lt;60,'General Basis'!$C$41,IF(G1241&lt;65,'General Basis'!$C$42,'General Basis'!$C$43)))),IF(G1241&lt;11,'General Basis'!$B$39,IF(G1241&lt;18,'General Basis'!$B$40,IF(G1241&lt;26,'General Basis'!$B$41,IF(G1241&lt;31,'General Basis'!$B$42,IF(G1241&lt;36,'General Basis'!$B$43,IF(G1241&lt;41,'General Basis'!$B$44,IF(G1241&lt;46,'General Basis'!$B$45,IF(G1241&lt;51,'General Basis'!$B$46,IF(G1241&lt;56,'General Basis'!$B$47,IF(G1241&lt;60,'General Basis'!$B$48,IF(G1241&lt;65,'General Basis'!$B$49,'General Basis'!$B$50)))))))))))))</f>
        <v/>
      </c>
      <c r="BI1241" s="744" t="str">
        <f t="shared" si="445"/>
        <v/>
      </c>
      <c r="BJ1241" s="747" t="str">
        <f t="shared" si="452"/>
        <v/>
      </c>
      <c r="BK1241" s="498" t="str">
        <f t="shared" si="446"/>
        <v/>
      </c>
      <c r="BL1241" s="498" t="str">
        <f t="shared" si="447"/>
        <v/>
      </c>
    </row>
    <row r="1242" spans="1:64" x14ac:dyDescent="0.25">
      <c r="A1242" s="762">
        <f t="shared" si="448"/>
        <v>1237</v>
      </c>
      <c r="B1242" s="229"/>
      <c r="C1242" s="223"/>
      <c r="D1242" s="224"/>
      <c r="E1242" s="225"/>
      <c r="F1242" s="1036" t="str">
        <f t="shared" si="454"/>
        <v/>
      </c>
      <c r="G1242" s="1037" t="str">
        <f t="shared" si="449"/>
        <v/>
      </c>
      <c r="H1242" s="225"/>
      <c r="I1242" s="1013"/>
      <c r="J1242" s="1013"/>
      <c r="K1242" s="1028"/>
      <c r="L1242" s="1035" t="str">
        <f t="shared" si="453"/>
        <v/>
      </c>
      <c r="S1242" s="498"/>
      <c r="AJ1242" s="498"/>
      <c r="AM1242" s="498">
        <f t="shared" si="434"/>
        <v>0</v>
      </c>
      <c r="AN1242" s="498">
        <f t="shared" si="435"/>
        <v>0</v>
      </c>
      <c r="AO1242" s="498">
        <f t="shared" si="436"/>
        <v>0</v>
      </c>
      <c r="AP1242" s="498">
        <f t="shared" si="455"/>
        <v>0</v>
      </c>
      <c r="AQ1242" s="498">
        <f t="shared" si="450"/>
        <v>0</v>
      </c>
      <c r="AU1242" s="498">
        <f t="shared" si="437"/>
        <v>0</v>
      </c>
      <c r="AV1242" s="498">
        <f t="shared" si="438"/>
        <v>0</v>
      </c>
      <c r="AW1242" s="498">
        <f t="shared" si="439"/>
        <v>0</v>
      </c>
      <c r="AX1242" s="498">
        <f t="shared" si="440"/>
        <v>0</v>
      </c>
      <c r="AY1242" s="498">
        <f t="shared" si="441"/>
        <v>0</v>
      </c>
      <c r="BB1242" s="498" t="str">
        <f t="shared" si="442"/>
        <v/>
      </c>
      <c r="BC1242" s="743" t="str">
        <f t="shared" si="443"/>
        <v/>
      </c>
      <c r="BD1242" s="743" t="str">
        <f t="shared" si="444"/>
        <v/>
      </c>
      <c r="BE1242" s="743" t="str">
        <f>IF(D1242="","",VLOOKUP(D1242,'General Basis'!$J$39:$K$46,2,0))</f>
        <v/>
      </c>
      <c r="BF1242" s="744" t="str">
        <f>IF(D1242="","",VLOOKUP(D1242,'General Basis'!$J$39:$L$46,3,0))</f>
        <v/>
      </c>
      <c r="BG1242" s="744" t="str">
        <f t="shared" si="451"/>
        <v/>
      </c>
      <c r="BH1242" s="744" t="str">
        <f>IF(G1242="","",IF(BF1242="Abu Dhabi",IF(G1242&lt;18,'General Basis'!$C$39,IF(G1242&lt;41,'General Basis'!$C$40,IF(G1242&lt;60,'General Basis'!$C$41,IF(G1242&lt;65,'General Basis'!$C$42,'General Basis'!$C$43)))),IF(G1242&lt;11,'General Basis'!$B$39,IF(G1242&lt;18,'General Basis'!$B$40,IF(G1242&lt;26,'General Basis'!$B$41,IF(G1242&lt;31,'General Basis'!$B$42,IF(G1242&lt;36,'General Basis'!$B$43,IF(G1242&lt;41,'General Basis'!$B$44,IF(G1242&lt;46,'General Basis'!$B$45,IF(G1242&lt;51,'General Basis'!$B$46,IF(G1242&lt;56,'General Basis'!$B$47,IF(G1242&lt;60,'General Basis'!$B$48,IF(G1242&lt;65,'General Basis'!$B$49,'General Basis'!$B$50)))))))))))))</f>
        <v/>
      </c>
      <c r="BI1242" s="744" t="str">
        <f t="shared" si="445"/>
        <v/>
      </c>
      <c r="BJ1242" s="747" t="str">
        <f t="shared" si="452"/>
        <v/>
      </c>
      <c r="BK1242" s="498" t="str">
        <f t="shared" si="446"/>
        <v/>
      </c>
      <c r="BL1242" s="498" t="str">
        <f t="shared" si="447"/>
        <v/>
      </c>
    </row>
    <row r="1243" spans="1:64" x14ac:dyDescent="0.25">
      <c r="A1243" s="762">
        <f t="shared" si="448"/>
        <v>1238</v>
      </c>
      <c r="B1243" s="229"/>
      <c r="C1243" s="223"/>
      <c r="D1243" s="224"/>
      <c r="E1243" s="225"/>
      <c r="F1243" s="1036" t="str">
        <f t="shared" si="454"/>
        <v/>
      </c>
      <c r="G1243" s="1037" t="str">
        <f t="shared" si="449"/>
        <v/>
      </c>
      <c r="H1243" s="225"/>
      <c r="I1243" s="1013"/>
      <c r="J1243" s="1013"/>
      <c r="K1243" s="1028"/>
      <c r="L1243" s="1035" t="str">
        <f t="shared" si="453"/>
        <v/>
      </c>
      <c r="S1243" s="498"/>
      <c r="AJ1243" s="498"/>
      <c r="AM1243" s="498">
        <f t="shared" si="434"/>
        <v>0</v>
      </c>
      <c r="AN1243" s="498">
        <f t="shared" si="435"/>
        <v>0</v>
      </c>
      <c r="AO1243" s="498">
        <f t="shared" si="436"/>
        <v>0</v>
      </c>
      <c r="AP1243" s="498">
        <f t="shared" si="455"/>
        <v>0</v>
      </c>
      <c r="AQ1243" s="498">
        <f t="shared" si="450"/>
        <v>0</v>
      </c>
      <c r="AU1243" s="498">
        <f t="shared" si="437"/>
        <v>0</v>
      </c>
      <c r="AV1243" s="498">
        <f t="shared" si="438"/>
        <v>0</v>
      </c>
      <c r="AW1243" s="498">
        <f t="shared" si="439"/>
        <v>0</v>
      </c>
      <c r="AX1243" s="498">
        <f t="shared" si="440"/>
        <v>0</v>
      </c>
      <c r="AY1243" s="498">
        <f t="shared" si="441"/>
        <v>0</v>
      </c>
      <c r="BB1243" s="498" t="str">
        <f t="shared" si="442"/>
        <v/>
      </c>
      <c r="BC1243" s="743" t="str">
        <f t="shared" si="443"/>
        <v/>
      </c>
      <c r="BD1243" s="743" t="str">
        <f t="shared" si="444"/>
        <v/>
      </c>
      <c r="BE1243" s="743" t="str">
        <f>IF(D1243="","",VLOOKUP(D1243,'General Basis'!$J$39:$K$46,2,0))</f>
        <v/>
      </c>
      <c r="BF1243" s="744" t="str">
        <f>IF(D1243="","",VLOOKUP(D1243,'General Basis'!$J$39:$L$46,3,0))</f>
        <v/>
      </c>
      <c r="BG1243" s="744" t="str">
        <f t="shared" si="451"/>
        <v/>
      </c>
      <c r="BH1243" s="744" t="str">
        <f>IF(G1243="","",IF(BF1243="Abu Dhabi",IF(G1243&lt;18,'General Basis'!$C$39,IF(G1243&lt;41,'General Basis'!$C$40,IF(G1243&lt;60,'General Basis'!$C$41,IF(G1243&lt;65,'General Basis'!$C$42,'General Basis'!$C$43)))),IF(G1243&lt;11,'General Basis'!$B$39,IF(G1243&lt;18,'General Basis'!$B$40,IF(G1243&lt;26,'General Basis'!$B$41,IF(G1243&lt;31,'General Basis'!$B$42,IF(G1243&lt;36,'General Basis'!$B$43,IF(G1243&lt;41,'General Basis'!$B$44,IF(G1243&lt;46,'General Basis'!$B$45,IF(G1243&lt;51,'General Basis'!$B$46,IF(G1243&lt;56,'General Basis'!$B$47,IF(G1243&lt;60,'General Basis'!$B$48,IF(G1243&lt;65,'General Basis'!$B$49,'General Basis'!$B$50)))))))))))))</f>
        <v/>
      </c>
      <c r="BI1243" s="744" t="str">
        <f t="shared" si="445"/>
        <v/>
      </c>
      <c r="BJ1243" s="747" t="str">
        <f t="shared" si="452"/>
        <v/>
      </c>
      <c r="BK1243" s="498" t="str">
        <f t="shared" si="446"/>
        <v/>
      </c>
      <c r="BL1243" s="498" t="str">
        <f t="shared" si="447"/>
        <v/>
      </c>
    </row>
    <row r="1244" spans="1:64" x14ac:dyDescent="0.25">
      <c r="A1244" s="762">
        <f t="shared" si="448"/>
        <v>1239</v>
      </c>
      <c r="B1244" s="229"/>
      <c r="C1244" s="223"/>
      <c r="D1244" s="224"/>
      <c r="E1244" s="225"/>
      <c r="F1244" s="1036" t="str">
        <f t="shared" si="454"/>
        <v/>
      </c>
      <c r="G1244" s="1037" t="str">
        <f t="shared" si="449"/>
        <v/>
      </c>
      <c r="H1244" s="225"/>
      <c r="I1244" s="1013"/>
      <c r="J1244" s="1013"/>
      <c r="K1244" s="1028"/>
      <c r="L1244" s="1035" t="str">
        <f t="shared" si="453"/>
        <v/>
      </c>
      <c r="S1244" s="498"/>
      <c r="AJ1244" s="498"/>
      <c r="AM1244" s="498">
        <f t="shared" si="434"/>
        <v>0</v>
      </c>
      <c r="AN1244" s="498">
        <f t="shared" si="435"/>
        <v>0</v>
      </c>
      <c r="AO1244" s="498">
        <f t="shared" si="436"/>
        <v>0</v>
      </c>
      <c r="AP1244" s="498">
        <f t="shared" si="455"/>
        <v>0</v>
      </c>
      <c r="AQ1244" s="498">
        <f t="shared" si="450"/>
        <v>0</v>
      </c>
      <c r="AU1244" s="498">
        <f t="shared" si="437"/>
        <v>0</v>
      </c>
      <c r="AV1244" s="498">
        <f t="shared" si="438"/>
        <v>0</v>
      </c>
      <c r="AW1244" s="498">
        <f t="shared" si="439"/>
        <v>0</v>
      </c>
      <c r="AX1244" s="498">
        <f t="shared" si="440"/>
        <v>0</v>
      </c>
      <c r="AY1244" s="498">
        <f t="shared" si="441"/>
        <v>0</v>
      </c>
      <c r="BB1244" s="498" t="str">
        <f t="shared" si="442"/>
        <v/>
      </c>
      <c r="BC1244" s="743" t="str">
        <f t="shared" si="443"/>
        <v/>
      </c>
      <c r="BD1244" s="743" t="str">
        <f t="shared" si="444"/>
        <v/>
      </c>
      <c r="BE1244" s="743" t="str">
        <f>IF(D1244="","",VLOOKUP(D1244,'General Basis'!$J$39:$K$46,2,0))</f>
        <v/>
      </c>
      <c r="BF1244" s="744" t="str">
        <f>IF(D1244="","",VLOOKUP(D1244,'General Basis'!$J$39:$L$46,3,0))</f>
        <v/>
      </c>
      <c r="BG1244" s="744" t="str">
        <f t="shared" si="451"/>
        <v/>
      </c>
      <c r="BH1244" s="744" t="str">
        <f>IF(G1244="","",IF(BF1244="Abu Dhabi",IF(G1244&lt;18,'General Basis'!$C$39,IF(G1244&lt;41,'General Basis'!$C$40,IF(G1244&lt;60,'General Basis'!$C$41,IF(G1244&lt;65,'General Basis'!$C$42,'General Basis'!$C$43)))),IF(G1244&lt;11,'General Basis'!$B$39,IF(G1244&lt;18,'General Basis'!$B$40,IF(G1244&lt;26,'General Basis'!$B$41,IF(G1244&lt;31,'General Basis'!$B$42,IF(G1244&lt;36,'General Basis'!$B$43,IF(G1244&lt;41,'General Basis'!$B$44,IF(G1244&lt;46,'General Basis'!$B$45,IF(G1244&lt;51,'General Basis'!$B$46,IF(G1244&lt;56,'General Basis'!$B$47,IF(G1244&lt;60,'General Basis'!$B$48,IF(G1244&lt;65,'General Basis'!$B$49,'General Basis'!$B$50)))))))))))))</f>
        <v/>
      </c>
      <c r="BI1244" s="744" t="str">
        <f t="shared" si="445"/>
        <v/>
      </c>
      <c r="BJ1244" s="747" t="str">
        <f t="shared" si="452"/>
        <v/>
      </c>
      <c r="BK1244" s="498" t="str">
        <f t="shared" si="446"/>
        <v/>
      </c>
      <c r="BL1244" s="498" t="str">
        <f t="shared" si="447"/>
        <v/>
      </c>
    </row>
    <row r="1245" spans="1:64" x14ac:dyDescent="0.25">
      <c r="A1245" s="762">
        <f t="shared" si="448"/>
        <v>1240</v>
      </c>
      <c r="B1245" s="229"/>
      <c r="C1245" s="223"/>
      <c r="D1245" s="224"/>
      <c r="E1245" s="225"/>
      <c r="F1245" s="1036" t="str">
        <f t="shared" si="454"/>
        <v/>
      </c>
      <c r="G1245" s="1037" t="str">
        <f t="shared" si="449"/>
        <v/>
      </c>
      <c r="H1245" s="225"/>
      <c r="I1245" s="1013"/>
      <c r="J1245" s="1013"/>
      <c r="K1245" s="1028"/>
      <c r="L1245" s="1035" t="str">
        <f t="shared" si="453"/>
        <v/>
      </c>
      <c r="S1245" s="498"/>
      <c r="AJ1245" s="498"/>
      <c r="AM1245" s="498">
        <f t="shared" si="434"/>
        <v>0</v>
      </c>
      <c r="AN1245" s="498">
        <f t="shared" si="435"/>
        <v>0</v>
      </c>
      <c r="AO1245" s="498">
        <f t="shared" si="436"/>
        <v>0</v>
      </c>
      <c r="AP1245" s="498">
        <f t="shared" si="455"/>
        <v>0</v>
      </c>
      <c r="AQ1245" s="498">
        <f t="shared" si="450"/>
        <v>0</v>
      </c>
      <c r="AU1245" s="498">
        <f t="shared" si="437"/>
        <v>0</v>
      </c>
      <c r="AV1245" s="498">
        <f t="shared" si="438"/>
        <v>0</v>
      </c>
      <c r="AW1245" s="498">
        <f t="shared" si="439"/>
        <v>0</v>
      </c>
      <c r="AX1245" s="498">
        <f t="shared" si="440"/>
        <v>0</v>
      </c>
      <c r="AY1245" s="498">
        <f t="shared" si="441"/>
        <v>0</v>
      </c>
      <c r="BB1245" s="498" t="str">
        <f t="shared" si="442"/>
        <v/>
      </c>
      <c r="BC1245" s="743" t="str">
        <f t="shared" si="443"/>
        <v/>
      </c>
      <c r="BD1245" s="743" t="str">
        <f t="shared" si="444"/>
        <v/>
      </c>
      <c r="BE1245" s="743" t="str">
        <f>IF(D1245="","",VLOOKUP(D1245,'General Basis'!$J$39:$K$46,2,0))</f>
        <v/>
      </c>
      <c r="BF1245" s="744" t="str">
        <f>IF(D1245="","",VLOOKUP(D1245,'General Basis'!$J$39:$L$46,3,0))</f>
        <v/>
      </c>
      <c r="BG1245" s="744" t="str">
        <f t="shared" si="451"/>
        <v/>
      </c>
      <c r="BH1245" s="744" t="str">
        <f>IF(G1245="","",IF(BF1245="Abu Dhabi",IF(G1245&lt;18,'General Basis'!$C$39,IF(G1245&lt;41,'General Basis'!$C$40,IF(G1245&lt;60,'General Basis'!$C$41,IF(G1245&lt;65,'General Basis'!$C$42,'General Basis'!$C$43)))),IF(G1245&lt;11,'General Basis'!$B$39,IF(G1245&lt;18,'General Basis'!$B$40,IF(G1245&lt;26,'General Basis'!$B$41,IF(G1245&lt;31,'General Basis'!$B$42,IF(G1245&lt;36,'General Basis'!$B$43,IF(G1245&lt;41,'General Basis'!$B$44,IF(G1245&lt;46,'General Basis'!$B$45,IF(G1245&lt;51,'General Basis'!$B$46,IF(G1245&lt;56,'General Basis'!$B$47,IF(G1245&lt;60,'General Basis'!$B$48,IF(G1245&lt;65,'General Basis'!$B$49,'General Basis'!$B$50)))))))))))))</f>
        <v/>
      </c>
      <c r="BI1245" s="744" t="str">
        <f t="shared" si="445"/>
        <v/>
      </c>
      <c r="BJ1245" s="747" t="str">
        <f t="shared" si="452"/>
        <v/>
      </c>
      <c r="BK1245" s="498" t="str">
        <f t="shared" si="446"/>
        <v/>
      </c>
      <c r="BL1245" s="498" t="str">
        <f t="shared" si="447"/>
        <v/>
      </c>
    </row>
    <row r="1246" spans="1:64" x14ac:dyDescent="0.25">
      <c r="A1246" s="762">
        <f t="shared" si="448"/>
        <v>1241</v>
      </c>
      <c r="B1246" s="229"/>
      <c r="C1246" s="223"/>
      <c r="D1246" s="224"/>
      <c r="E1246" s="225"/>
      <c r="F1246" s="1036" t="str">
        <f t="shared" si="454"/>
        <v/>
      </c>
      <c r="G1246" s="1037" t="str">
        <f t="shared" si="449"/>
        <v/>
      </c>
      <c r="H1246" s="225"/>
      <c r="I1246" s="1013"/>
      <c r="J1246" s="1013"/>
      <c r="K1246" s="1028"/>
      <c r="L1246" s="1035" t="str">
        <f t="shared" si="453"/>
        <v/>
      </c>
      <c r="S1246" s="498"/>
      <c r="AJ1246" s="498"/>
      <c r="AM1246" s="498">
        <f t="shared" si="434"/>
        <v>0</v>
      </c>
      <c r="AN1246" s="498">
        <f t="shared" si="435"/>
        <v>0</v>
      </c>
      <c r="AO1246" s="498">
        <f t="shared" si="436"/>
        <v>0</v>
      </c>
      <c r="AP1246" s="498">
        <f t="shared" si="455"/>
        <v>0</v>
      </c>
      <c r="AQ1246" s="498">
        <f t="shared" si="450"/>
        <v>0</v>
      </c>
      <c r="AU1246" s="498">
        <f t="shared" si="437"/>
        <v>0</v>
      </c>
      <c r="AV1246" s="498">
        <f t="shared" si="438"/>
        <v>0</v>
      </c>
      <c r="AW1246" s="498">
        <f t="shared" si="439"/>
        <v>0</v>
      </c>
      <c r="AX1246" s="498">
        <f t="shared" si="440"/>
        <v>0</v>
      </c>
      <c r="AY1246" s="498">
        <f t="shared" si="441"/>
        <v>0</v>
      </c>
      <c r="BB1246" s="498" t="str">
        <f t="shared" si="442"/>
        <v/>
      </c>
      <c r="BC1246" s="743" t="str">
        <f t="shared" si="443"/>
        <v/>
      </c>
      <c r="BD1246" s="743" t="str">
        <f t="shared" si="444"/>
        <v/>
      </c>
      <c r="BE1246" s="743" t="str">
        <f>IF(D1246="","",VLOOKUP(D1246,'General Basis'!$J$39:$K$46,2,0))</f>
        <v/>
      </c>
      <c r="BF1246" s="744" t="str">
        <f>IF(D1246="","",VLOOKUP(D1246,'General Basis'!$J$39:$L$46,3,0))</f>
        <v/>
      </c>
      <c r="BG1246" s="744" t="str">
        <f t="shared" si="451"/>
        <v/>
      </c>
      <c r="BH1246" s="744" t="str">
        <f>IF(G1246="","",IF(BF1246="Abu Dhabi",IF(G1246&lt;18,'General Basis'!$C$39,IF(G1246&lt;41,'General Basis'!$C$40,IF(G1246&lt;60,'General Basis'!$C$41,IF(G1246&lt;65,'General Basis'!$C$42,'General Basis'!$C$43)))),IF(G1246&lt;11,'General Basis'!$B$39,IF(G1246&lt;18,'General Basis'!$B$40,IF(G1246&lt;26,'General Basis'!$B$41,IF(G1246&lt;31,'General Basis'!$B$42,IF(G1246&lt;36,'General Basis'!$B$43,IF(G1246&lt;41,'General Basis'!$B$44,IF(G1246&lt;46,'General Basis'!$B$45,IF(G1246&lt;51,'General Basis'!$B$46,IF(G1246&lt;56,'General Basis'!$B$47,IF(G1246&lt;60,'General Basis'!$B$48,IF(G1246&lt;65,'General Basis'!$B$49,'General Basis'!$B$50)))))))))))))</f>
        <v/>
      </c>
      <c r="BI1246" s="744" t="str">
        <f t="shared" si="445"/>
        <v/>
      </c>
      <c r="BJ1246" s="747" t="str">
        <f t="shared" si="452"/>
        <v/>
      </c>
      <c r="BK1246" s="498" t="str">
        <f t="shared" si="446"/>
        <v/>
      </c>
      <c r="BL1246" s="498" t="str">
        <f t="shared" si="447"/>
        <v/>
      </c>
    </row>
    <row r="1247" spans="1:64" x14ac:dyDescent="0.25">
      <c r="A1247" s="762">
        <f t="shared" si="448"/>
        <v>1242</v>
      </c>
      <c r="B1247" s="229"/>
      <c r="C1247" s="223"/>
      <c r="D1247" s="224"/>
      <c r="E1247" s="225"/>
      <c r="F1247" s="1036" t="str">
        <f t="shared" si="454"/>
        <v/>
      </c>
      <c r="G1247" s="1037" t="str">
        <f t="shared" si="449"/>
        <v/>
      </c>
      <c r="H1247" s="225"/>
      <c r="I1247" s="1013"/>
      <c r="J1247" s="1013"/>
      <c r="K1247" s="1028"/>
      <c r="L1247" s="1035" t="str">
        <f t="shared" si="453"/>
        <v/>
      </c>
      <c r="S1247" s="498"/>
      <c r="AJ1247" s="498"/>
      <c r="AM1247" s="498">
        <f t="shared" si="434"/>
        <v>0</v>
      </c>
      <c r="AN1247" s="498">
        <f t="shared" si="435"/>
        <v>0</v>
      </c>
      <c r="AO1247" s="498">
        <f t="shared" si="436"/>
        <v>0</v>
      </c>
      <c r="AP1247" s="498">
        <f t="shared" si="455"/>
        <v>0</v>
      </c>
      <c r="AQ1247" s="498">
        <f t="shared" si="450"/>
        <v>0</v>
      </c>
      <c r="AU1247" s="498">
        <f t="shared" si="437"/>
        <v>0</v>
      </c>
      <c r="AV1247" s="498">
        <f t="shared" si="438"/>
        <v>0</v>
      </c>
      <c r="AW1247" s="498">
        <f t="shared" si="439"/>
        <v>0</v>
      </c>
      <c r="AX1247" s="498">
        <f t="shared" si="440"/>
        <v>0</v>
      </c>
      <c r="AY1247" s="498">
        <f t="shared" si="441"/>
        <v>0</v>
      </c>
      <c r="BB1247" s="498" t="str">
        <f t="shared" si="442"/>
        <v/>
      </c>
      <c r="BC1247" s="743" t="str">
        <f t="shared" si="443"/>
        <v/>
      </c>
      <c r="BD1247" s="743" t="str">
        <f t="shared" si="444"/>
        <v/>
      </c>
      <c r="BE1247" s="743" t="str">
        <f>IF(D1247="","",VLOOKUP(D1247,'General Basis'!$J$39:$K$46,2,0))</f>
        <v/>
      </c>
      <c r="BF1247" s="744" t="str">
        <f>IF(D1247="","",VLOOKUP(D1247,'General Basis'!$J$39:$L$46,3,0))</f>
        <v/>
      </c>
      <c r="BG1247" s="744" t="str">
        <f t="shared" si="451"/>
        <v/>
      </c>
      <c r="BH1247" s="744" t="str">
        <f>IF(G1247="","",IF(BF1247="Abu Dhabi",IF(G1247&lt;18,'General Basis'!$C$39,IF(G1247&lt;41,'General Basis'!$C$40,IF(G1247&lt;60,'General Basis'!$C$41,IF(G1247&lt;65,'General Basis'!$C$42,'General Basis'!$C$43)))),IF(G1247&lt;11,'General Basis'!$B$39,IF(G1247&lt;18,'General Basis'!$B$40,IF(G1247&lt;26,'General Basis'!$B$41,IF(G1247&lt;31,'General Basis'!$B$42,IF(G1247&lt;36,'General Basis'!$B$43,IF(G1247&lt;41,'General Basis'!$B$44,IF(G1247&lt;46,'General Basis'!$B$45,IF(G1247&lt;51,'General Basis'!$B$46,IF(G1247&lt;56,'General Basis'!$B$47,IF(G1247&lt;60,'General Basis'!$B$48,IF(G1247&lt;65,'General Basis'!$B$49,'General Basis'!$B$50)))))))))))))</f>
        <v/>
      </c>
      <c r="BI1247" s="744" t="str">
        <f t="shared" si="445"/>
        <v/>
      </c>
      <c r="BJ1247" s="747" t="str">
        <f t="shared" si="452"/>
        <v/>
      </c>
      <c r="BK1247" s="498" t="str">
        <f t="shared" si="446"/>
        <v/>
      </c>
      <c r="BL1247" s="498" t="str">
        <f t="shared" si="447"/>
        <v/>
      </c>
    </row>
    <row r="1248" spans="1:64" x14ac:dyDescent="0.25">
      <c r="A1248" s="762">
        <f t="shared" si="448"/>
        <v>1243</v>
      </c>
      <c r="B1248" s="229"/>
      <c r="C1248" s="223"/>
      <c r="D1248" s="224"/>
      <c r="E1248" s="225"/>
      <c r="F1248" s="1036" t="str">
        <f t="shared" si="454"/>
        <v/>
      </c>
      <c r="G1248" s="1037" t="str">
        <f t="shared" si="449"/>
        <v/>
      </c>
      <c r="H1248" s="225"/>
      <c r="I1248" s="1013"/>
      <c r="J1248" s="1013"/>
      <c r="K1248" s="1028"/>
      <c r="L1248" s="1035" t="str">
        <f t="shared" si="453"/>
        <v/>
      </c>
      <c r="S1248" s="498"/>
      <c r="AJ1248" s="498"/>
      <c r="AM1248" s="498">
        <f t="shared" si="434"/>
        <v>0</v>
      </c>
      <c r="AN1248" s="498">
        <f t="shared" si="435"/>
        <v>0</v>
      </c>
      <c r="AO1248" s="498">
        <f t="shared" si="436"/>
        <v>0</v>
      </c>
      <c r="AP1248" s="498">
        <f t="shared" si="455"/>
        <v>0</v>
      </c>
      <c r="AQ1248" s="498">
        <f t="shared" si="450"/>
        <v>0</v>
      </c>
      <c r="AU1248" s="498">
        <f t="shared" si="437"/>
        <v>0</v>
      </c>
      <c r="AV1248" s="498">
        <f t="shared" si="438"/>
        <v>0</v>
      </c>
      <c r="AW1248" s="498">
        <f t="shared" si="439"/>
        <v>0</v>
      </c>
      <c r="AX1248" s="498">
        <f t="shared" si="440"/>
        <v>0</v>
      </c>
      <c r="AY1248" s="498">
        <f t="shared" si="441"/>
        <v>0</v>
      </c>
      <c r="BB1248" s="498" t="str">
        <f t="shared" si="442"/>
        <v/>
      </c>
      <c r="BC1248" s="743" t="str">
        <f t="shared" si="443"/>
        <v/>
      </c>
      <c r="BD1248" s="743" t="str">
        <f t="shared" si="444"/>
        <v/>
      </c>
      <c r="BE1248" s="743" t="str">
        <f>IF(D1248="","",VLOOKUP(D1248,'General Basis'!$J$39:$K$46,2,0))</f>
        <v/>
      </c>
      <c r="BF1248" s="744" t="str">
        <f>IF(D1248="","",VLOOKUP(D1248,'General Basis'!$J$39:$L$46,3,0))</f>
        <v/>
      </c>
      <c r="BG1248" s="744" t="str">
        <f t="shared" si="451"/>
        <v/>
      </c>
      <c r="BH1248" s="744" t="str">
        <f>IF(G1248="","",IF(BF1248="Abu Dhabi",IF(G1248&lt;18,'General Basis'!$C$39,IF(G1248&lt;41,'General Basis'!$C$40,IF(G1248&lt;60,'General Basis'!$C$41,IF(G1248&lt;65,'General Basis'!$C$42,'General Basis'!$C$43)))),IF(G1248&lt;11,'General Basis'!$B$39,IF(G1248&lt;18,'General Basis'!$B$40,IF(G1248&lt;26,'General Basis'!$B$41,IF(G1248&lt;31,'General Basis'!$B$42,IF(G1248&lt;36,'General Basis'!$B$43,IF(G1248&lt;41,'General Basis'!$B$44,IF(G1248&lt;46,'General Basis'!$B$45,IF(G1248&lt;51,'General Basis'!$B$46,IF(G1248&lt;56,'General Basis'!$B$47,IF(G1248&lt;60,'General Basis'!$B$48,IF(G1248&lt;65,'General Basis'!$B$49,'General Basis'!$B$50)))))))))))))</f>
        <v/>
      </c>
      <c r="BI1248" s="744" t="str">
        <f t="shared" si="445"/>
        <v/>
      </c>
      <c r="BJ1248" s="747" t="str">
        <f t="shared" si="452"/>
        <v/>
      </c>
      <c r="BK1248" s="498" t="str">
        <f t="shared" si="446"/>
        <v/>
      </c>
      <c r="BL1248" s="498" t="str">
        <f t="shared" si="447"/>
        <v/>
      </c>
    </row>
    <row r="1249" spans="1:64" x14ac:dyDescent="0.25">
      <c r="A1249" s="762">
        <f t="shared" si="448"/>
        <v>1244</v>
      </c>
      <c r="B1249" s="229"/>
      <c r="C1249" s="223"/>
      <c r="D1249" s="224"/>
      <c r="E1249" s="225"/>
      <c r="F1249" s="1036" t="str">
        <f t="shared" si="454"/>
        <v/>
      </c>
      <c r="G1249" s="1037" t="str">
        <f t="shared" si="449"/>
        <v/>
      </c>
      <c r="H1249" s="225"/>
      <c r="I1249" s="1013"/>
      <c r="J1249" s="1013"/>
      <c r="K1249" s="1028"/>
      <c r="L1249" s="1035" t="str">
        <f t="shared" si="453"/>
        <v/>
      </c>
      <c r="S1249" s="498"/>
      <c r="AJ1249" s="498"/>
      <c r="AM1249" s="498">
        <f t="shared" si="434"/>
        <v>0</v>
      </c>
      <c r="AN1249" s="498">
        <f t="shared" si="435"/>
        <v>0</v>
      </c>
      <c r="AO1249" s="498">
        <f t="shared" si="436"/>
        <v>0</v>
      </c>
      <c r="AP1249" s="498">
        <f t="shared" si="455"/>
        <v>0</v>
      </c>
      <c r="AQ1249" s="498">
        <f t="shared" si="450"/>
        <v>0</v>
      </c>
      <c r="AU1249" s="498">
        <f t="shared" si="437"/>
        <v>0</v>
      </c>
      <c r="AV1249" s="498">
        <f t="shared" si="438"/>
        <v>0</v>
      </c>
      <c r="AW1249" s="498">
        <f t="shared" si="439"/>
        <v>0</v>
      </c>
      <c r="AX1249" s="498">
        <f t="shared" si="440"/>
        <v>0</v>
      </c>
      <c r="AY1249" s="498">
        <f t="shared" si="441"/>
        <v>0</v>
      </c>
      <c r="BB1249" s="498" t="str">
        <f t="shared" si="442"/>
        <v/>
      </c>
      <c r="BC1249" s="743" t="str">
        <f t="shared" si="443"/>
        <v/>
      </c>
      <c r="BD1249" s="743" t="str">
        <f t="shared" si="444"/>
        <v/>
      </c>
      <c r="BE1249" s="743" t="str">
        <f>IF(D1249="","",VLOOKUP(D1249,'General Basis'!$J$39:$K$46,2,0))</f>
        <v/>
      </c>
      <c r="BF1249" s="744" t="str">
        <f>IF(D1249="","",VLOOKUP(D1249,'General Basis'!$J$39:$L$46,3,0))</f>
        <v/>
      </c>
      <c r="BG1249" s="744" t="str">
        <f t="shared" si="451"/>
        <v/>
      </c>
      <c r="BH1249" s="744" t="str">
        <f>IF(G1249="","",IF(BF1249="Abu Dhabi",IF(G1249&lt;18,'General Basis'!$C$39,IF(G1249&lt;41,'General Basis'!$C$40,IF(G1249&lt;60,'General Basis'!$C$41,IF(G1249&lt;65,'General Basis'!$C$42,'General Basis'!$C$43)))),IF(G1249&lt;11,'General Basis'!$B$39,IF(G1249&lt;18,'General Basis'!$B$40,IF(G1249&lt;26,'General Basis'!$B$41,IF(G1249&lt;31,'General Basis'!$B$42,IF(G1249&lt;36,'General Basis'!$B$43,IF(G1249&lt;41,'General Basis'!$B$44,IF(G1249&lt;46,'General Basis'!$B$45,IF(G1249&lt;51,'General Basis'!$B$46,IF(G1249&lt;56,'General Basis'!$B$47,IF(G1249&lt;60,'General Basis'!$B$48,IF(G1249&lt;65,'General Basis'!$B$49,'General Basis'!$B$50)))))))))))))</f>
        <v/>
      </c>
      <c r="BI1249" s="744" t="str">
        <f t="shared" si="445"/>
        <v/>
      </c>
      <c r="BJ1249" s="747" t="str">
        <f t="shared" si="452"/>
        <v/>
      </c>
      <c r="BK1249" s="498" t="str">
        <f t="shared" si="446"/>
        <v/>
      </c>
      <c r="BL1249" s="498" t="str">
        <f t="shared" si="447"/>
        <v/>
      </c>
    </row>
    <row r="1250" spans="1:64" x14ac:dyDescent="0.25">
      <c r="A1250" s="762">
        <f t="shared" si="448"/>
        <v>1245</v>
      </c>
      <c r="B1250" s="229"/>
      <c r="C1250" s="223"/>
      <c r="D1250" s="224"/>
      <c r="E1250" s="225"/>
      <c r="F1250" s="1036" t="str">
        <f t="shared" si="454"/>
        <v/>
      </c>
      <c r="G1250" s="1037" t="str">
        <f t="shared" si="449"/>
        <v/>
      </c>
      <c r="H1250" s="225"/>
      <c r="I1250" s="1013"/>
      <c r="J1250" s="1013"/>
      <c r="K1250" s="1028"/>
      <c r="L1250" s="1035" t="str">
        <f t="shared" si="453"/>
        <v/>
      </c>
      <c r="S1250" s="498"/>
      <c r="AJ1250" s="498"/>
      <c r="AM1250" s="498">
        <f t="shared" si="434"/>
        <v>0</v>
      </c>
      <c r="AN1250" s="498">
        <f t="shared" si="435"/>
        <v>0</v>
      </c>
      <c r="AO1250" s="498">
        <f t="shared" si="436"/>
        <v>0</v>
      </c>
      <c r="AP1250" s="498">
        <f t="shared" si="455"/>
        <v>0</v>
      </c>
      <c r="AQ1250" s="498">
        <f t="shared" si="450"/>
        <v>0</v>
      </c>
      <c r="AU1250" s="498">
        <f t="shared" si="437"/>
        <v>0</v>
      </c>
      <c r="AV1250" s="498">
        <f t="shared" si="438"/>
        <v>0</v>
      </c>
      <c r="AW1250" s="498">
        <f t="shared" si="439"/>
        <v>0</v>
      </c>
      <c r="AX1250" s="498">
        <f t="shared" si="440"/>
        <v>0</v>
      </c>
      <c r="AY1250" s="498">
        <f t="shared" si="441"/>
        <v>0</v>
      </c>
      <c r="BB1250" s="498" t="str">
        <f t="shared" si="442"/>
        <v/>
      </c>
      <c r="BC1250" s="743" t="str">
        <f t="shared" si="443"/>
        <v/>
      </c>
      <c r="BD1250" s="743" t="str">
        <f t="shared" si="444"/>
        <v/>
      </c>
      <c r="BE1250" s="743" t="str">
        <f>IF(D1250="","",VLOOKUP(D1250,'General Basis'!$J$39:$K$46,2,0))</f>
        <v/>
      </c>
      <c r="BF1250" s="744" t="str">
        <f>IF(D1250="","",VLOOKUP(D1250,'General Basis'!$J$39:$L$46,3,0))</f>
        <v/>
      </c>
      <c r="BG1250" s="744" t="str">
        <f t="shared" si="451"/>
        <v/>
      </c>
      <c r="BH1250" s="744" t="str">
        <f>IF(G1250="","",IF(BF1250="Abu Dhabi",IF(G1250&lt;18,'General Basis'!$C$39,IF(G1250&lt;41,'General Basis'!$C$40,IF(G1250&lt;60,'General Basis'!$C$41,IF(G1250&lt;65,'General Basis'!$C$42,'General Basis'!$C$43)))),IF(G1250&lt;11,'General Basis'!$B$39,IF(G1250&lt;18,'General Basis'!$B$40,IF(G1250&lt;26,'General Basis'!$B$41,IF(G1250&lt;31,'General Basis'!$B$42,IF(G1250&lt;36,'General Basis'!$B$43,IF(G1250&lt;41,'General Basis'!$B$44,IF(G1250&lt;46,'General Basis'!$B$45,IF(G1250&lt;51,'General Basis'!$B$46,IF(G1250&lt;56,'General Basis'!$B$47,IF(G1250&lt;60,'General Basis'!$B$48,IF(G1250&lt;65,'General Basis'!$B$49,'General Basis'!$B$50)))))))))))))</f>
        <v/>
      </c>
      <c r="BI1250" s="744" t="str">
        <f t="shared" si="445"/>
        <v/>
      </c>
      <c r="BJ1250" s="747" t="str">
        <f t="shared" si="452"/>
        <v/>
      </c>
      <c r="BK1250" s="498" t="str">
        <f t="shared" si="446"/>
        <v/>
      </c>
      <c r="BL1250" s="498" t="str">
        <f t="shared" si="447"/>
        <v/>
      </c>
    </row>
    <row r="1251" spans="1:64" x14ac:dyDescent="0.25">
      <c r="A1251" s="762">
        <f t="shared" si="448"/>
        <v>1246</v>
      </c>
      <c r="B1251" s="229"/>
      <c r="C1251" s="223"/>
      <c r="D1251" s="224"/>
      <c r="E1251" s="225"/>
      <c r="F1251" s="1036" t="str">
        <f t="shared" si="454"/>
        <v/>
      </c>
      <c r="G1251" s="1037" t="str">
        <f t="shared" si="449"/>
        <v/>
      </c>
      <c r="H1251" s="225"/>
      <c r="I1251" s="1013"/>
      <c r="J1251" s="1013"/>
      <c r="K1251" s="1028"/>
      <c r="L1251" s="1035" t="str">
        <f t="shared" si="453"/>
        <v/>
      </c>
      <c r="S1251" s="498"/>
      <c r="AJ1251" s="498"/>
      <c r="AM1251" s="498">
        <f t="shared" si="434"/>
        <v>0</v>
      </c>
      <c r="AN1251" s="498">
        <f t="shared" si="435"/>
        <v>0</v>
      </c>
      <c r="AO1251" s="498">
        <f t="shared" si="436"/>
        <v>0</v>
      </c>
      <c r="AP1251" s="498">
        <f t="shared" si="455"/>
        <v>0</v>
      </c>
      <c r="AQ1251" s="498">
        <f t="shared" si="450"/>
        <v>0</v>
      </c>
      <c r="AU1251" s="498">
        <f t="shared" si="437"/>
        <v>0</v>
      </c>
      <c r="AV1251" s="498">
        <f t="shared" si="438"/>
        <v>0</v>
      </c>
      <c r="AW1251" s="498">
        <f t="shared" si="439"/>
        <v>0</v>
      </c>
      <c r="AX1251" s="498">
        <f t="shared" si="440"/>
        <v>0</v>
      </c>
      <c r="AY1251" s="498">
        <f t="shared" si="441"/>
        <v>0</v>
      </c>
      <c r="BB1251" s="498" t="str">
        <f t="shared" si="442"/>
        <v/>
      </c>
      <c r="BC1251" s="743" t="str">
        <f t="shared" si="443"/>
        <v/>
      </c>
      <c r="BD1251" s="743" t="str">
        <f t="shared" si="444"/>
        <v/>
      </c>
      <c r="BE1251" s="743" t="str">
        <f>IF(D1251="","",VLOOKUP(D1251,'General Basis'!$J$39:$K$46,2,0))</f>
        <v/>
      </c>
      <c r="BF1251" s="744" t="str">
        <f>IF(D1251="","",VLOOKUP(D1251,'General Basis'!$J$39:$L$46,3,0))</f>
        <v/>
      </c>
      <c r="BG1251" s="744" t="str">
        <f t="shared" si="451"/>
        <v/>
      </c>
      <c r="BH1251" s="744" t="str">
        <f>IF(G1251="","",IF(BF1251="Abu Dhabi",IF(G1251&lt;18,'General Basis'!$C$39,IF(G1251&lt;41,'General Basis'!$C$40,IF(G1251&lt;60,'General Basis'!$C$41,IF(G1251&lt;65,'General Basis'!$C$42,'General Basis'!$C$43)))),IF(G1251&lt;11,'General Basis'!$B$39,IF(G1251&lt;18,'General Basis'!$B$40,IF(G1251&lt;26,'General Basis'!$B$41,IF(G1251&lt;31,'General Basis'!$B$42,IF(G1251&lt;36,'General Basis'!$B$43,IF(G1251&lt;41,'General Basis'!$B$44,IF(G1251&lt;46,'General Basis'!$B$45,IF(G1251&lt;51,'General Basis'!$B$46,IF(G1251&lt;56,'General Basis'!$B$47,IF(G1251&lt;60,'General Basis'!$B$48,IF(G1251&lt;65,'General Basis'!$B$49,'General Basis'!$B$50)))))))))))))</f>
        <v/>
      </c>
      <c r="BI1251" s="744" t="str">
        <f t="shared" si="445"/>
        <v/>
      </c>
      <c r="BJ1251" s="747" t="str">
        <f t="shared" si="452"/>
        <v/>
      </c>
      <c r="BK1251" s="498" t="str">
        <f t="shared" si="446"/>
        <v/>
      </c>
      <c r="BL1251" s="498" t="str">
        <f t="shared" si="447"/>
        <v/>
      </c>
    </row>
    <row r="1252" spans="1:64" x14ac:dyDescent="0.25">
      <c r="A1252" s="762">
        <f t="shared" si="448"/>
        <v>1247</v>
      </c>
      <c r="B1252" s="229"/>
      <c r="C1252" s="223"/>
      <c r="D1252" s="224"/>
      <c r="E1252" s="225"/>
      <c r="F1252" s="1036" t="str">
        <f t="shared" si="454"/>
        <v/>
      </c>
      <c r="G1252" s="1037" t="str">
        <f t="shared" si="449"/>
        <v/>
      </c>
      <c r="H1252" s="225"/>
      <c r="I1252" s="1013"/>
      <c r="J1252" s="1013"/>
      <c r="K1252" s="1028"/>
      <c r="L1252" s="1035" t="str">
        <f t="shared" si="453"/>
        <v/>
      </c>
      <c r="S1252" s="498"/>
      <c r="AJ1252" s="498"/>
      <c r="AM1252" s="498">
        <f t="shared" si="434"/>
        <v>0</v>
      </c>
      <c r="AN1252" s="498">
        <f t="shared" si="435"/>
        <v>0</v>
      </c>
      <c r="AO1252" s="498">
        <f t="shared" si="436"/>
        <v>0</v>
      </c>
      <c r="AP1252" s="498">
        <f t="shared" si="455"/>
        <v>0</v>
      </c>
      <c r="AQ1252" s="498">
        <f t="shared" si="450"/>
        <v>0</v>
      </c>
      <c r="AU1252" s="498">
        <f t="shared" si="437"/>
        <v>0</v>
      </c>
      <c r="AV1252" s="498">
        <f t="shared" si="438"/>
        <v>0</v>
      </c>
      <c r="AW1252" s="498">
        <f t="shared" si="439"/>
        <v>0</v>
      </c>
      <c r="AX1252" s="498">
        <f t="shared" si="440"/>
        <v>0</v>
      </c>
      <c r="AY1252" s="498">
        <f t="shared" si="441"/>
        <v>0</v>
      </c>
      <c r="BB1252" s="498" t="str">
        <f t="shared" si="442"/>
        <v/>
      </c>
      <c r="BC1252" s="743" t="str">
        <f t="shared" si="443"/>
        <v/>
      </c>
      <c r="BD1252" s="743" t="str">
        <f t="shared" si="444"/>
        <v/>
      </c>
      <c r="BE1252" s="743" t="str">
        <f>IF(D1252="","",VLOOKUP(D1252,'General Basis'!$J$39:$K$46,2,0))</f>
        <v/>
      </c>
      <c r="BF1252" s="744" t="str">
        <f>IF(D1252="","",VLOOKUP(D1252,'General Basis'!$J$39:$L$46,3,0))</f>
        <v/>
      </c>
      <c r="BG1252" s="744" t="str">
        <f t="shared" si="451"/>
        <v/>
      </c>
      <c r="BH1252" s="744" t="str">
        <f>IF(G1252="","",IF(BF1252="Abu Dhabi",IF(G1252&lt;18,'General Basis'!$C$39,IF(G1252&lt;41,'General Basis'!$C$40,IF(G1252&lt;60,'General Basis'!$C$41,IF(G1252&lt;65,'General Basis'!$C$42,'General Basis'!$C$43)))),IF(G1252&lt;11,'General Basis'!$B$39,IF(G1252&lt;18,'General Basis'!$B$40,IF(G1252&lt;26,'General Basis'!$B$41,IF(G1252&lt;31,'General Basis'!$B$42,IF(G1252&lt;36,'General Basis'!$B$43,IF(G1252&lt;41,'General Basis'!$B$44,IF(G1252&lt;46,'General Basis'!$B$45,IF(G1252&lt;51,'General Basis'!$B$46,IF(G1252&lt;56,'General Basis'!$B$47,IF(G1252&lt;60,'General Basis'!$B$48,IF(G1252&lt;65,'General Basis'!$B$49,'General Basis'!$B$50)))))))))))))</f>
        <v/>
      </c>
      <c r="BI1252" s="744" t="str">
        <f t="shared" si="445"/>
        <v/>
      </c>
      <c r="BJ1252" s="747" t="str">
        <f t="shared" si="452"/>
        <v/>
      </c>
      <c r="BK1252" s="498" t="str">
        <f t="shared" si="446"/>
        <v/>
      </c>
      <c r="BL1252" s="498" t="str">
        <f t="shared" si="447"/>
        <v/>
      </c>
    </row>
    <row r="1253" spans="1:64" x14ac:dyDescent="0.25">
      <c r="A1253" s="762">
        <f t="shared" si="448"/>
        <v>1248</v>
      </c>
      <c r="B1253" s="229"/>
      <c r="C1253" s="223"/>
      <c r="D1253" s="224"/>
      <c r="E1253" s="225"/>
      <c r="F1253" s="1036" t="str">
        <f t="shared" si="454"/>
        <v/>
      </c>
      <c r="G1253" s="1037" t="str">
        <f t="shared" si="449"/>
        <v/>
      </c>
      <c r="H1253" s="225"/>
      <c r="I1253" s="1013"/>
      <c r="J1253" s="1013"/>
      <c r="K1253" s="1028"/>
      <c r="L1253" s="1035" t="str">
        <f t="shared" si="453"/>
        <v/>
      </c>
      <c r="S1253" s="498"/>
      <c r="AJ1253" s="498"/>
      <c r="AM1253" s="498">
        <f t="shared" si="434"/>
        <v>0</v>
      </c>
      <c r="AN1253" s="498">
        <f t="shared" si="435"/>
        <v>0</v>
      </c>
      <c r="AO1253" s="498">
        <f t="shared" si="436"/>
        <v>0</v>
      </c>
      <c r="AP1253" s="498">
        <f t="shared" si="455"/>
        <v>0</v>
      </c>
      <c r="AQ1253" s="498">
        <f t="shared" si="450"/>
        <v>0</v>
      </c>
      <c r="AU1253" s="498">
        <f t="shared" si="437"/>
        <v>0</v>
      </c>
      <c r="AV1253" s="498">
        <f t="shared" si="438"/>
        <v>0</v>
      </c>
      <c r="AW1253" s="498">
        <f t="shared" si="439"/>
        <v>0</v>
      </c>
      <c r="AX1253" s="498">
        <f t="shared" si="440"/>
        <v>0</v>
      </c>
      <c r="AY1253" s="498">
        <f t="shared" si="441"/>
        <v>0</v>
      </c>
      <c r="BB1253" s="498" t="str">
        <f t="shared" si="442"/>
        <v/>
      </c>
      <c r="BC1253" s="743" t="str">
        <f t="shared" si="443"/>
        <v/>
      </c>
      <c r="BD1253" s="743" t="str">
        <f t="shared" si="444"/>
        <v/>
      </c>
      <c r="BE1253" s="743" t="str">
        <f>IF(D1253="","",VLOOKUP(D1253,'General Basis'!$J$39:$K$46,2,0))</f>
        <v/>
      </c>
      <c r="BF1253" s="744" t="str">
        <f>IF(D1253="","",VLOOKUP(D1253,'General Basis'!$J$39:$L$46,3,0))</f>
        <v/>
      </c>
      <c r="BG1253" s="744" t="str">
        <f t="shared" si="451"/>
        <v/>
      </c>
      <c r="BH1253" s="744" t="str">
        <f>IF(G1253="","",IF(BF1253="Abu Dhabi",IF(G1253&lt;18,'General Basis'!$C$39,IF(G1253&lt;41,'General Basis'!$C$40,IF(G1253&lt;60,'General Basis'!$C$41,IF(G1253&lt;65,'General Basis'!$C$42,'General Basis'!$C$43)))),IF(G1253&lt;11,'General Basis'!$B$39,IF(G1253&lt;18,'General Basis'!$B$40,IF(G1253&lt;26,'General Basis'!$B$41,IF(G1253&lt;31,'General Basis'!$B$42,IF(G1253&lt;36,'General Basis'!$B$43,IF(G1253&lt;41,'General Basis'!$B$44,IF(G1253&lt;46,'General Basis'!$B$45,IF(G1253&lt;51,'General Basis'!$B$46,IF(G1253&lt;56,'General Basis'!$B$47,IF(G1253&lt;60,'General Basis'!$B$48,IF(G1253&lt;65,'General Basis'!$B$49,'General Basis'!$B$50)))))))))))))</f>
        <v/>
      </c>
      <c r="BI1253" s="744" t="str">
        <f t="shared" si="445"/>
        <v/>
      </c>
      <c r="BJ1253" s="747" t="str">
        <f t="shared" si="452"/>
        <v/>
      </c>
      <c r="BK1253" s="498" t="str">
        <f t="shared" si="446"/>
        <v/>
      </c>
      <c r="BL1253" s="498" t="str">
        <f t="shared" si="447"/>
        <v/>
      </c>
    </row>
    <row r="1254" spans="1:64" x14ac:dyDescent="0.25">
      <c r="A1254" s="762">
        <f t="shared" si="448"/>
        <v>1249</v>
      </c>
      <c r="B1254" s="229"/>
      <c r="C1254" s="223"/>
      <c r="D1254" s="224"/>
      <c r="E1254" s="225"/>
      <c r="F1254" s="1036" t="str">
        <f t="shared" si="454"/>
        <v/>
      </c>
      <c r="G1254" s="1037" t="str">
        <f t="shared" si="449"/>
        <v/>
      </c>
      <c r="H1254" s="225"/>
      <c r="I1254" s="1013"/>
      <c r="J1254" s="1013"/>
      <c r="K1254" s="1028"/>
      <c r="L1254" s="1035" t="str">
        <f t="shared" si="453"/>
        <v/>
      </c>
      <c r="S1254" s="498"/>
      <c r="AJ1254" s="498"/>
      <c r="AM1254" s="498">
        <f t="shared" si="434"/>
        <v>0</v>
      </c>
      <c r="AN1254" s="498">
        <f t="shared" si="435"/>
        <v>0</v>
      </c>
      <c r="AO1254" s="498">
        <f t="shared" si="436"/>
        <v>0</v>
      </c>
      <c r="AP1254" s="498">
        <f t="shared" si="455"/>
        <v>0</v>
      </c>
      <c r="AQ1254" s="498">
        <f t="shared" si="450"/>
        <v>0</v>
      </c>
      <c r="AU1254" s="498">
        <f t="shared" si="437"/>
        <v>0</v>
      </c>
      <c r="AV1254" s="498">
        <f t="shared" si="438"/>
        <v>0</v>
      </c>
      <c r="AW1254" s="498">
        <f t="shared" si="439"/>
        <v>0</v>
      </c>
      <c r="AX1254" s="498">
        <f t="shared" si="440"/>
        <v>0</v>
      </c>
      <c r="AY1254" s="498">
        <f t="shared" si="441"/>
        <v>0</v>
      </c>
      <c r="BB1254" s="498" t="str">
        <f t="shared" si="442"/>
        <v/>
      </c>
      <c r="BC1254" s="743" t="str">
        <f t="shared" si="443"/>
        <v/>
      </c>
      <c r="BD1254" s="743" t="str">
        <f t="shared" si="444"/>
        <v/>
      </c>
      <c r="BE1254" s="743" t="str">
        <f>IF(D1254="","",VLOOKUP(D1254,'General Basis'!$J$39:$K$46,2,0))</f>
        <v/>
      </c>
      <c r="BF1254" s="744" t="str">
        <f>IF(D1254="","",VLOOKUP(D1254,'General Basis'!$J$39:$L$46,3,0))</f>
        <v/>
      </c>
      <c r="BG1254" s="744" t="str">
        <f t="shared" si="451"/>
        <v/>
      </c>
      <c r="BH1254" s="744" t="str">
        <f>IF(G1254="","",IF(BF1254="Abu Dhabi",IF(G1254&lt;18,'General Basis'!$C$39,IF(G1254&lt;41,'General Basis'!$C$40,IF(G1254&lt;60,'General Basis'!$C$41,IF(G1254&lt;65,'General Basis'!$C$42,'General Basis'!$C$43)))),IF(G1254&lt;11,'General Basis'!$B$39,IF(G1254&lt;18,'General Basis'!$B$40,IF(G1254&lt;26,'General Basis'!$B$41,IF(G1254&lt;31,'General Basis'!$B$42,IF(G1254&lt;36,'General Basis'!$B$43,IF(G1254&lt;41,'General Basis'!$B$44,IF(G1254&lt;46,'General Basis'!$B$45,IF(G1254&lt;51,'General Basis'!$B$46,IF(G1254&lt;56,'General Basis'!$B$47,IF(G1254&lt;60,'General Basis'!$B$48,IF(G1254&lt;65,'General Basis'!$B$49,'General Basis'!$B$50)))))))))))))</f>
        <v/>
      </c>
      <c r="BI1254" s="744" t="str">
        <f t="shared" si="445"/>
        <v/>
      </c>
      <c r="BJ1254" s="747" t="str">
        <f t="shared" si="452"/>
        <v/>
      </c>
      <c r="BK1254" s="498" t="str">
        <f t="shared" si="446"/>
        <v/>
      </c>
      <c r="BL1254" s="498" t="str">
        <f t="shared" si="447"/>
        <v/>
      </c>
    </row>
    <row r="1255" spans="1:64" x14ac:dyDescent="0.25">
      <c r="A1255" s="762">
        <f t="shared" si="448"/>
        <v>1250</v>
      </c>
      <c r="B1255" s="229"/>
      <c r="C1255" s="223"/>
      <c r="D1255" s="224"/>
      <c r="E1255" s="225"/>
      <c r="F1255" s="1036" t="str">
        <f t="shared" si="454"/>
        <v/>
      </c>
      <c r="G1255" s="1037" t="str">
        <f t="shared" si="449"/>
        <v/>
      </c>
      <c r="H1255" s="225"/>
      <c r="I1255" s="1013"/>
      <c r="J1255" s="1013"/>
      <c r="K1255" s="1028"/>
      <c r="L1255" s="1035" t="str">
        <f t="shared" si="453"/>
        <v/>
      </c>
      <c r="S1255" s="498"/>
      <c r="AJ1255" s="498"/>
      <c r="AM1255" s="498">
        <f t="shared" si="434"/>
        <v>0</v>
      </c>
      <c r="AN1255" s="498">
        <f t="shared" si="435"/>
        <v>0</v>
      </c>
      <c r="AO1255" s="498">
        <f t="shared" si="436"/>
        <v>0</v>
      </c>
      <c r="AP1255" s="498">
        <f t="shared" si="455"/>
        <v>0</v>
      </c>
      <c r="AQ1255" s="498">
        <f t="shared" si="450"/>
        <v>0</v>
      </c>
      <c r="AU1255" s="498">
        <f t="shared" si="437"/>
        <v>0</v>
      </c>
      <c r="AV1255" s="498">
        <f t="shared" si="438"/>
        <v>0</v>
      </c>
      <c r="AW1255" s="498">
        <f t="shared" si="439"/>
        <v>0</v>
      </c>
      <c r="AX1255" s="498">
        <f t="shared" si="440"/>
        <v>0</v>
      </c>
      <c r="AY1255" s="498">
        <f t="shared" si="441"/>
        <v>0</v>
      </c>
      <c r="BB1255" s="498" t="str">
        <f t="shared" si="442"/>
        <v/>
      </c>
      <c r="BC1255" s="743" t="str">
        <f t="shared" si="443"/>
        <v/>
      </c>
      <c r="BD1255" s="743" t="str">
        <f t="shared" si="444"/>
        <v/>
      </c>
      <c r="BE1255" s="743" t="str">
        <f>IF(D1255="","",VLOOKUP(D1255,'General Basis'!$J$39:$K$46,2,0))</f>
        <v/>
      </c>
      <c r="BF1255" s="744" t="str">
        <f>IF(D1255="","",VLOOKUP(D1255,'General Basis'!$J$39:$L$46,3,0))</f>
        <v/>
      </c>
      <c r="BG1255" s="744" t="str">
        <f t="shared" si="451"/>
        <v/>
      </c>
      <c r="BH1255" s="744" t="str">
        <f>IF(G1255="","",IF(BF1255="Abu Dhabi",IF(G1255&lt;18,'General Basis'!$C$39,IF(G1255&lt;41,'General Basis'!$C$40,IF(G1255&lt;60,'General Basis'!$C$41,IF(G1255&lt;65,'General Basis'!$C$42,'General Basis'!$C$43)))),IF(G1255&lt;11,'General Basis'!$B$39,IF(G1255&lt;18,'General Basis'!$B$40,IF(G1255&lt;26,'General Basis'!$B$41,IF(G1255&lt;31,'General Basis'!$B$42,IF(G1255&lt;36,'General Basis'!$B$43,IF(G1255&lt;41,'General Basis'!$B$44,IF(G1255&lt;46,'General Basis'!$B$45,IF(G1255&lt;51,'General Basis'!$B$46,IF(G1255&lt;56,'General Basis'!$B$47,IF(G1255&lt;60,'General Basis'!$B$48,IF(G1255&lt;65,'General Basis'!$B$49,'General Basis'!$B$50)))))))))))))</f>
        <v/>
      </c>
      <c r="BI1255" s="744" t="str">
        <f t="shared" si="445"/>
        <v/>
      </c>
      <c r="BJ1255" s="747" t="str">
        <f t="shared" si="452"/>
        <v/>
      </c>
      <c r="BK1255" s="498" t="str">
        <f t="shared" si="446"/>
        <v/>
      </c>
      <c r="BL1255" s="498" t="str">
        <f t="shared" si="447"/>
        <v/>
      </c>
    </row>
    <row r="1256" spans="1:64" x14ac:dyDescent="0.25">
      <c r="A1256" s="762">
        <f t="shared" si="448"/>
        <v>1251</v>
      </c>
      <c r="B1256" s="229"/>
      <c r="C1256" s="223"/>
      <c r="D1256" s="224"/>
      <c r="E1256" s="225"/>
      <c r="F1256" s="1036" t="str">
        <f t="shared" si="454"/>
        <v/>
      </c>
      <c r="G1256" s="1037" t="str">
        <f t="shared" si="449"/>
        <v/>
      </c>
      <c r="H1256" s="225"/>
      <c r="I1256" s="1013"/>
      <c r="J1256" s="1013"/>
      <c r="K1256" s="1028"/>
      <c r="L1256" s="1035" t="str">
        <f t="shared" si="453"/>
        <v/>
      </c>
      <c r="S1256" s="498"/>
      <c r="AJ1256" s="498"/>
      <c r="AM1256" s="498">
        <f t="shared" si="434"/>
        <v>0</v>
      </c>
      <c r="AN1256" s="498">
        <f t="shared" si="435"/>
        <v>0</v>
      </c>
      <c r="AO1256" s="498">
        <f t="shared" si="436"/>
        <v>0</v>
      </c>
      <c r="AP1256" s="498">
        <f t="shared" si="455"/>
        <v>0</v>
      </c>
      <c r="AQ1256" s="498">
        <f t="shared" si="450"/>
        <v>0</v>
      </c>
      <c r="AU1256" s="498">
        <f t="shared" si="437"/>
        <v>0</v>
      </c>
      <c r="AV1256" s="498">
        <f t="shared" si="438"/>
        <v>0</v>
      </c>
      <c r="AW1256" s="498">
        <f t="shared" si="439"/>
        <v>0</v>
      </c>
      <c r="AX1256" s="498">
        <f t="shared" si="440"/>
        <v>0</v>
      </c>
      <c r="AY1256" s="498">
        <f t="shared" si="441"/>
        <v>0</v>
      </c>
      <c r="BB1256" s="498" t="str">
        <f t="shared" si="442"/>
        <v/>
      </c>
      <c r="BC1256" s="743" t="str">
        <f t="shared" si="443"/>
        <v/>
      </c>
      <c r="BD1256" s="743" t="str">
        <f t="shared" si="444"/>
        <v/>
      </c>
      <c r="BE1256" s="743" t="str">
        <f>IF(D1256="","",VLOOKUP(D1256,'General Basis'!$J$39:$K$46,2,0))</f>
        <v/>
      </c>
      <c r="BF1256" s="744" t="str">
        <f>IF(D1256="","",VLOOKUP(D1256,'General Basis'!$J$39:$L$46,3,0))</f>
        <v/>
      </c>
      <c r="BG1256" s="744" t="str">
        <f t="shared" si="451"/>
        <v/>
      </c>
      <c r="BH1256" s="744" t="str">
        <f>IF(G1256="","",IF(BF1256="Abu Dhabi",IF(G1256&lt;18,'General Basis'!$C$39,IF(G1256&lt;41,'General Basis'!$C$40,IF(G1256&lt;60,'General Basis'!$C$41,IF(G1256&lt;65,'General Basis'!$C$42,'General Basis'!$C$43)))),IF(G1256&lt;11,'General Basis'!$B$39,IF(G1256&lt;18,'General Basis'!$B$40,IF(G1256&lt;26,'General Basis'!$B$41,IF(G1256&lt;31,'General Basis'!$B$42,IF(G1256&lt;36,'General Basis'!$B$43,IF(G1256&lt;41,'General Basis'!$B$44,IF(G1256&lt;46,'General Basis'!$B$45,IF(G1256&lt;51,'General Basis'!$B$46,IF(G1256&lt;56,'General Basis'!$B$47,IF(G1256&lt;60,'General Basis'!$B$48,IF(G1256&lt;65,'General Basis'!$B$49,'General Basis'!$B$50)))))))))))))</f>
        <v/>
      </c>
      <c r="BI1256" s="744" t="str">
        <f t="shared" si="445"/>
        <v/>
      </c>
      <c r="BJ1256" s="747" t="str">
        <f t="shared" si="452"/>
        <v/>
      </c>
      <c r="BK1256" s="498" t="str">
        <f t="shared" si="446"/>
        <v/>
      </c>
      <c r="BL1256" s="498" t="str">
        <f t="shared" si="447"/>
        <v/>
      </c>
    </row>
    <row r="1257" spans="1:64" x14ac:dyDescent="0.25">
      <c r="A1257" s="762">
        <f t="shared" si="448"/>
        <v>1252</v>
      </c>
      <c r="B1257" s="229"/>
      <c r="C1257" s="223"/>
      <c r="D1257" s="224"/>
      <c r="E1257" s="225"/>
      <c r="F1257" s="1036" t="str">
        <f t="shared" si="454"/>
        <v/>
      </c>
      <c r="G1257" s="1037" t="str">
        <f t="shared" si="449"/>
        <v/>
      </c>
      <c r="H1257" s="225"/>
      <c r="I1257" s="1013"/>
      <c r="J1257" s="1013"/>
      <c r="K1257" s="1028"/>
      <c r="L1257" s="1035" t="str">
        <f t="shared" si="453"/>
        <v/>
      </c>
      <c r="S1257" s="498"/>
      <c r="AJ1257" s="498"/>
      <c r="AM1257" s="498">
        <f t="shared" si="434"/>
        <v>0</v>
      </c>
      <c r="AN1257" s="498">
        <f t="shared" si="435"/>
        <v>0</v>
      </c>
      <c r="AO1257" s="498">
        <f t="shared" si="436"/>
        <v>0</v>
      </c>
      <c r="AP1257" s="498">
        <f t="shared" si="455"/>
        <v>0</v>
      </c>
      <c r="AQ1257" s="498">
        <f t="shared" si="450"/>
        <v>0</v>
      </c>
      <c r="AU1257" s="498">
        <f t="shared" si="437"/>
        <v>0</v>
      </c>
      <c r="AV1257" s="498">
        <f t="shared" si="438"/>
        <v>0</v>
      </c>
      <c r="AW1257" s="498">
        <f t="shared" si="439"/>
        <v>0</v>
      </c>
      <c r="AX1257" s="498">
        <f t="shared" si="440"/>
        <v>0</v>
      </c>
      <c r="AY1257" s="498">
        <f t="shared" si="441"/>
        <v>0</v>
      </c>
      <c r="BB1257" s="498" t="str">
        <f t="shared" si="442"/>
        <v/>
      </c>
      <c r="BC1257" s="743" t="str">
        <f t="shared" si="443"/>
        <v/>
      </c>
      <c r="BD1257" s="743" t="str">
        <f t="shared" si="444"/>
        <v/>
      </c>
      <c r="BE1257" s="743" t="str">
        <f>IF(D1257="","",VLOOKUP(D1257,'General Basis'!$J$39:$K$46,2,0))</f>
        <v/>
      </c>
      <c r="BF1257" s="744" t="str">
        <f>IF(D1257="","",VLOOKUP(D1257,'General Basis'!$J$39:$L$46,3,0))</f>
        <v/>
      </c>
      <c r="BG1257" s="744" t="str">
        <f t="shared" si="451"/>
        <v/>
      </c>
      <c r="BH1257" s="744" t="str">
        <f>IF(G1257="","",IF(BF1257="Abu Dhabi",IF(G1257&lt;18,'General Basis'!$C$39,IF(G1257&lt;41,'General Basis'!$C$40,IF(G1257&lt;60,'General Basis'!$C$41,IF(G1257&lt;65,'General Basis'!$C$42,'General Basis'!$C$43)))),IF(G1257&lt;11,'General Basis'!$B$39,IF(G1257&lt;18,'General Basis'!$B$40,IF(G1257&lt;26,'General Basis'!$B$41,IF(G1257&lt;31,'General Basis'!$B$42,IF(G1257&lt;36,'General Basis'!$B$43,IF(G1257&lt;41,'General Basis'!$B$44,IF(G1257&lt;46,'General Basis'!$B$45,IF(G1257&lt;51,'General Basis'!$B$46,IF(G1257&lt;56,'General Basis'!$B$47,IF(G1257&lt;60,'General Basis'!$B$48,IF(G1257&lt;65,'General Basis'!$B$49,'General Basis'!$B$50)))))))))))))</f>
        <v/>
      </c>
      <c r="BI1257" s="744" t="str">
        <f t="shared" si="445"/>
        <v/>
      </c>
      <c r="BJ1257" s="747" t="str">
        <f t="shared" si="452"/>
        <v/>
      </c>
      <c r="BK1257" s="498" t="str">
        <f t="shared" si="446"/>
        <v/>
      </c>
      <c r="BL1257" s="498" t="str">
        <f t="shared" si="447"/>
        <v/>
      </c>
    </row>
    <row r="1258" spans="1:64" x14ac:dyDescent="0.25">
      <c r="A1258" s="762">
        <f t="shared" si="448"/>
        <v>1253</v>
      </c>
      <c r="B1258" s="229"/>
      <c r="C1258" s="223"/>
      <c r="D1258" s="224"/>
      <c r="E1258" s="225"/>
      <c r="F1258" s="1036" t="str">
        <f t="shared" si="454"/>
        <v/>
      </c>
      <c r="G1258" s="1037" t="str">
        <f t="shared" si="449"/>
        <v/>
      </c>
      <c r="H1258" s="225"/>
      <c r="I1258" s="1013"/>
      <c r="J1258" s="1013"/>
      <c r="K1258" s="1028"/>
      <c r="L1258" s="1035" t="str">
        <f t="shared" si="453"/>
        <v/>
      </c>
      <c r="S1258" s="498"/>
      <c r="AJ1258" s="498"/>
      <c r="AM1258" s="498">
        <f t="shared" si="434"/>
        <v>0</v>
      </c>
      <c r="AN1258" s="498">
        <f t="shared" si="435"/>
        <v>0</v>
      </c>
      <c r="AO1258" s="498">
        <f t="shared" si="436"/>
        <v>0</v>
      </c>
      <c r="AP1258" s="498">
        <f t="shared" si="455"/>
        <v>0</v>
      </c>
      <c r="AQ1258" s="498">
        <f t="shared" si="450"/>
        <v>0</v>
      </c>
      <c r="AU1258" s="498">
        <f t="shared" si="437"/>
        <v>0</v>
      </c>
      <c r="AV1258" s="498">
        <f t="shared" si="438"/>
        <v>0</v>
      </c>
      <c r="AW1258" s="498">
        <f t="shared" si="439"/>
        <v>0</v>
      </c>
      <c r="AX1258" s="498">
        <f t="shared" si="440"/>
        <v>0</v>
      </c>
      <c r="AY1258" s="498">
        <f t="shared" si="441"/>
        <v>0</v>
      </c>
      <c r="BB1258" s="498" t="str">
        <f t="shared" si="442"/>
        <v/>
      </c>
      <c r="BC1258" s="743" t="str">
        <f t="shared" si="443"/>
        <v/>
      </c>
      <c r="BD1258" s="743" t="str">
        <f t="shared" si="444"/>
        <v/>
      </c>
      <c r="BE1258" s="743" t="str">
        <f>IF(D1258="","",VLOOKUP(D1258,'General Basis'!$J$39:$K$46,2,0))</f>
        <v/>
      </c>
      <c r="BF1258" s="744" t="str">
        <f>IF(D1258="","",VLOOKUP(D1258,'General Basis'!$J$39:$L$46,3,0))</f>
        <v/>
      </c>
      <c r="BG1258" s="744" t="str">
        <f t="shared" si="451"/>
        <v/>
      </c>
      <c r="BH1258" s="744" t="str">
        <f>IF(G1258="","",IF(BF1258="Abu Dhabi",IF(G1258&lt;18,'General Basis'!$C$39,IF(G1258&lt;41,'General Basis'!$C$40,IF(G1258&lt;60,'General Basis'!$C$41,IF(G1258&lt;65,'General Basis'!$C$42,'General Basis'!$C$43)))),IF(G1258&lt;11,'General Basis'!$B$39,IF(G1258&lt;18,'General Basis'!$B$40,IF(G1258&lt;26,'General Basis'!$B$41,IF(G1258&lt;31,'General Basis'!$B$42,IF(G1258&lt;36,'General Basis'!$B$43,IF(G1258&lt;41,'General Basis'!$B$44,IF(G1258&lt;46,'General Basis'!$B$45,IF(G1258&lt;51,'General Basis'!$B$46,IF(G1258&lt;56,'General Basis'!$B$47,IF(G1258&lt;60,'General Basis'!$B$48,IF(G1258&lt;65,'General Basis'!$B$49,'General Basis'!$B$50)))))))))))))</f>
        <v/>
      </c>
      <c r="BI1258" s="744" t="str">
        <f t="shared" si="445"/>
        <v/>
      </c>
      <c r="BJ1258" s="747" t="str">
        <f t="shared" si="452"/>
        <v/>
      </c>
      <c r="BK1258" s="498" t="str">
        <f t="shared" si="446"/>
        <v/>
      </c>
      <c r="BL1258" s="498" t="str">
        <f t="shared" si="447"/>
        <v/>
      </c>
    </row>
    <row r="1259" spans="1:64" x14ac:dyDescent="0.25">
      <c r="A1259" s="762">
        <f t="shared" si="448"/>
        <v>1254</v>
      </c>
      <c r="B1259" s="229"/>
      <c r="C1259" s="223"/>
      <c r="D1259" s="224"/>
      <c r="E1259" s="225"/>
      <c r="F1259" s="1036" t="str">
        <f t="shared" si="454"/>
        <v/>
      </c>
      <c r="G1259" s="1037" t="str">
        <f t="shared" si="449"/>
        <v/>
      </c>
      <c r="H1259" s="225"/>
      <c r="I1259" s="1013"/>
      <c r="J1259" s="1013"/>
      <c r="K1259" s="1028"/>
      <c r="L1259" s="1035" t="str">
        <f t="shared" si="453"/>
        <v/>
      </c>
      <c r="S1259" s="498"/>
      <c r="AJ1259" s="498"/>
      <c r="AM1259" s="498">
        <f t="shared" si="434"/>
        <v>0</v>
      </c>
      <c r="AN1259" s="498">
        <f t="shared" si="435"/>
        <v>0</v>
      </c>
      <c r="AO1259" s="498">
        <f t="shared" si="436"/>
        <v>0</v>
      </c>
      <c r="AP1259" s="498">
        <f t="shared" si="455"/>
        <v>0</v>
      </c>
      <c r="AQ1259" s="498">
        <f t="shared" si="450"/>
        <v>0</v>
      </c>
      <c r="AU1259" s="498">
        <f t="shared" si="437"/>
        <v>0</v>
      </c>
      <c r="AV1259" s="498">
        <f t="shared" si="438"/>
        <v>0</v>
      </c>
      <c r="AW1259" s="498">
        <f t="shared" si="439"/>
        <v>0</v>
      </c>
      <c r="AX1259" s="498">
        <f t="shared" si="440"/>
        <v>0</v>
      </c>
      <c r="AY1259" s="498">
        <f t="shared" si="441"/>
        <v>0</v>
      </c>
      <c r="BB1259" s="498" t="str">
        <f t="shared" si="442"/>
        <v/>
      </c>
      <c r="BC1259" s="743" t="str">
        <f t="shared" si="443"/>
        <v/>
      </c>
      <c r="BD1259" s="743" t="str">
        <f t="shared" si="444"/>
        <v/>
      </c>
      <c r="BE1259" s="743" t="str">
        <f>IF(D1259="","",VLOOKUP(D1259,'General Basis'!$J$39:$K$46,2,0))</f>
        <v/>
      </c>
      <c r="BF1259" s="744" t="str">
        <f>IF(D1259="","",VLOOKUP(D1259,'General Basis'!$J$39:$L$46,3,0))</f>
        <v/>
      </c>
      <c r="BG1259" s="744" t="str">
        <f t="shared" si="451"/>
        <v/>
      </c>
      <c r="BH1259" s="744" t="str">
        <f>IF(G1259="","",IF(BF1259="Abu Dhabi",IF(G1259&lt;18,'General Basis'!$C$39,IF(G1259&lt;41,'General Basis'!$C$40,IF(G1259&lt;60,'General Basis'!$C$41,IF(G1259&lt;65,'General Basis'!$C$42,'General Basis'!$C$43)))),IF(G1259&lt;11,'General Basis'!$B$39,IF(G1259&lt;18,'General Basis'!$B$40,IF(G1259&lt;26,'General Basis'!$B$41,IF(G1259&lt;31,'General Basis'!$B$42,IF(G1259&lt;36,'General Basis'!$B$43,IF(G1259&lt;41,'General Basis'!$B$44,IF(G1259&lt;46,'General Basis'!$B$45,IF(G1259&lt;51,'General Basis'!$B$46,IF(G1259&lt;56,'General Basis'!$B$47,IF(G1259&lt;60,'General Basis'!$B$48,IF(G1259&lt;65,'General Basis'!$B$49,'General Basis'!$B$50)))))))))))))</f>
        <v/>
      </c>
      <c r="BI1259" s="744" t="str">
        <f t="shared" si="445"/>
        <v/>
      </c>
      <c r="BJ1259" s="747" t="str">
        <f t="shared" si="452"/>
        <v/>
      </c>
      <c r="BK1259" s="498" t="str">
        <f t="shared" si="446"/>
        <v/>
      </c>
      <c r="BL1259" s="498" t="str">
        <f t="shared" si="447"/>
        <v/>
      </c>
    </row>
    <row r="1260" spans="1:64" x14ac:dyDescent="0.25">
      <c r="A1260" s="762">
        <f t="shared" si="448"/>
        <v>1255</v>
      </c>
      <c r="B1260" s="229"/>
      <c r="C1260" s="223"/>
      <c r="D1260" s="224"/>
      <c r="E1260" s="225"/>
      <c r="F1260" s="1036" t="str">
        <f t="shared" si="454"/>
        <v/>
      </c>
      <c r="G1260" s="1037" t="str">
        <f t="shared" si="449"/>
        <v/>
      </c>
      <c r="H1260" s="225"/>
      <c r="I1260" s="1013"/>
      <c r="J1260" s="1013"/>
      <c r="K1260" s="1028"/>
      <c r="L1260" s="1035" t="str">
        <f t="shared" si="453"/>
        <v/>
      </c>
      <c r="S1260" s="498"/>
      <c r="AJ1260" s="498"/>
      <c r="AM1260" s="498">
        <f t="shared" si="434"/>
        <v>0</v>
      </c>
      <c r="AN1260" s="498">
        <f t="shared" si="435"/>
        <v>0</v>
      </c>
      <c r="AO1260" s="498">
        <f t="shared" si="436"/>
        <v>0</v>
      </c>
      <c r="AP1260" s="498">
        <f t="shared" si="455"/>
        <v>0</v>
      </c>
      <c r="AQ1260" s="498">
        <f t="shared" si="450"/>
        <v>0</v>
      </c>
      <c r="AU1260" s="498">
        <f t="shared" si="437"/>
        <v>0</v>
      </c>
      <c r="AV1260" s="498">
        <f t="shared" si="438"/>
        <v>0</v>
      </c>
      <c r="AW1260" s="498">
        <f t="shared" si="439"/>
        <v>0</v>
      </c>
      <c r="AX1260" s="498">
        <f t="shared" si="440"/>
        <v>0</v>
      </c>
      <c r="AY1260" s="498">
        <f t="shared" si="441"/>
        <v>0</v>
      </c>
      <c r="BB1260" s="498" t="str">
        <f t="shared" si="442"/>
        <v/>
      </c>
      <c r="BC1260" s="743" t="str">
        <f t="shared" si="443"/>
        <v/>
      </c>
      <c r="BD1260" s="743" t="str">
        <f t="shared" si="444"/>
        <v/>
      </c>
      <c r="BE1260" s="743" t="str">
        <f>IF(D1260="","",VLOOKUP(D1260,'General Basis'!$J$39:$K$46,2,0))</f>
        <v/>
      </c>
      <c r="BF1260" s="744" t="str">
        <f>IF(D1260="","",VLOOKUP(D1260,'General Basis'!$J$39:$L$46,3,0))</f>
        <v/>
      </c>
      <c r="BG1260" s="744" t="str">
        <f t="shared" si="451"/>
        <v/>
      </c>
      <c r="BH1260" s="744" t="str">
        <f>IF(G1260="","",IF(BF1260="Abu Dhabi",IF(G1260&lt;18,'General Basis'!$C$39,IF(G1260&lt;41,'General Basis'!$C$40,IF(G1260&lt;60,'General Basis'!$C$41,IF(G1260&lt;65,'General Basis'!$C$42,'General Basis'!$C$43)))),IF(G1260&lt;11,'General Basis'!$B$39,IF(G1260&lt;18,'General Basis'!$B$40,IF(G1260&lt;26,'General Basis'!$B$41,IF(G1260&lt;31,'General Basis'!$B$42,IF(G1260&lt;36,'General Basis'!$B$43,IF(G1260&lt;41,'General Basis'!$B$44,IF(G1260&lt;46,'General Basis'!$B$45,IF(G1260&lt;51,'General Basis'!$B$46,IF(G1260&lt;56,'General Basis'!$B$47,IF(G1260&lt;60,'General Basis'!$B$48,IF(G1260&lt;65,'General Basis'!$B$49,'General Basis'!$B$50)))))))))))))</f>
        <v/>
      </c>
      <c r="BI1260" s="744" t="str">
        <f t="shared" si="445"/>
        <v/>
      </c>
      <c r="BJ1260" s="747" t="str">
        <f t="shared" si="452"/>
        <v/>
      </c>
      <c r="BK1260" s="498" t="str">
        <f t="shared" si="446"/>
        <v/>
      </c>
      <c r="BL1260" s="498" t="str">
        <f t="shared" si="447"/>
        <v/>
      </c>
    </row>
    <row r="1261" spans="1:64" x14ac:dyDescent="0.25">
      <c r="A1261" s="762">
        <f t="shared" si="448"/>
        <v>1256</v>
      </c>
      <c r="B1261" s="229"/>
      <c r="C1261" s="223"/>
      <c r="D1261" s="224"/>
      <c r="E1261" s="225"/>
      <c r="F1261" s="1036" t="str">
        <f t="shared" si="454"/>
        <v/>
      </c>
      <c r="G1261" s="1037" t="str">
        <f t="shared" si="449"/>
        <v/>
      </c>
      <c r="H1261" s="225"/>
      <c r="I1261" s="1013"/>
      <c r="J1261" s="1013"/>
      <c r="K1261" s="1028"/>
      <c r="L1261" s="1035" t="str">
        <f t="shared" si="453"/>
        <v/>
      </c>
      <c r="S1261" s="498"/>
      <c r="AJ1261" s="498"/>
      <c r="AM1261" s="498">
        <f t="shared" si="434"/>
        <v>0</v>
      </c>
      <c r="AN1261" s="498">
        <f t="shared" si="435"/>
        <v>0</v>
      </c>
      <c r="AO1261" s="498">
        <f t="shared" si="436"/>
        <v>0</v>
      </c>
      <c r="AP1261" s="498">
        <f t="shared" si="455"/>
        <v>0</v>
      </c>
      <c r="AQ1261" s="498">
        <f t="shared" si="450"/>
        <v>0</v>
      </c>
      <c r="AU1261" s="498">
        <f t="shared" si="437"/>
        <v>0</v>
      </c>
      <c r="AV1261" s="498">
        <f t="shared" si="438"/>
        <v>0</v>
      </c>
      <c r="AW1261" s="498">
        <f t="shared" si="439"/>
        <v>0</v>
      </c>
      <c r="AX1261" s="498">
        <f t="shared" si="440"/>
        <v>0</v>
      </c>
      <c r="AY1261" s="498">
        <f t="shared" si="441"/>
        <v>0</v>
      </c>
      <c r="BB1261" s="498" t="str">
        <f t="shared" si="442"/>
        <v/>
      </c>
      <c r="BC1261" s="743" t="str">
        <f t="shared" si="443"/>
        <v/>
      </c>
      <c r="BD1261" s="743" t="str">
        <f t="shared" si="444"/>
        <v/>
      </c>
      <c r="BE1261" s="743" t="str">
        <f>IF(D1261="","",VLOOKUP(D1261,'General Basis'!$J$39:$K$46,2,0))</f>
        <v/>
      </c>
      <c r="BF1261" s="744" t="str">
        <f>IF(D1261="","",VLOOKUP(D1261,'General Basis'!$J$39:$L$46,3,0))</f>
        <v/>
      </c>
      <c r="BG1261" s="744" t="str">
        <f t="shared" si="451"/>
        <v/>
      </c>
      <c r="BH1261" s="744" t="str">
        <f>IF(G1261="","",IF(BF1261="Abu Dhabi",IF(G1261&lt;18,'General Basis'!$C$39,IF(G1261&lt;41,'General Basis'!$C$40,IF(G1261&lt;60,'General Basis'!$C$41,IF(G1261&lt;65,'General Basis'!$C$42,'General Basis'!$C$43)))),IF(G1261&lt;11,'General Basis'!$B$39,IF(G1261&lt;18,'General Basis'!$B$40,IF(G1261&lt;26,'General Basis'!$B$41,IF(G1261&lt;31,'General Basis'!$B$42,IF(G1261&lt;36,'General Basis'!$B$43,IF(G1261&lt;41,'General Basis'!$B$44,IF(G1261&lt;46,'General Basis'!$B$45,IF(G1261&lt;51,'General Basis'!$B$46,IF(G1261&lt;56,'General Basis'!$B$47,IF(G1261&lt;60,'General Basis'!$B$48,IF(G1261&lt;65,'General Basis'!$B$49,'General Basis'!$B$50)))))))))))))</f>
        <v/>
      </c>
      <c r="BI1261" s="744" t="str">
        <f t="shared" si="445"/>
        <v/>
      </c>
      <c r="BJ1261" s="747" t="str">
        <f t="shared" si="452"/>
        <v/>
      </c>
      <c r="BK1261" s="498" t="str">
        <f t="shared" si="446"/>
        <v/>
      </c>
      <c r="BL1261" s="498" t="str">
        <f t="shared" si="447"/>
        <v/>
      </c>
    </row>
    <row r="1262" spans="1:64" x14ac:dyDescent="0.25">
      <c r="A1262" s="762">
        <f t="shared" si="448"/>
        <v>1257</v>
      </c>
      <c r="B1262" s="229"/>
      <c r="C1262" s="223"/>
      <c r="D1262" s="224"/>
      <c r="E1262" s="225"/>
      <c r="F1262" s="1036" t="str">
        <f t="shared" si="454"/>
        <v/>
      </c>
      <c r="G1262" s="1037" t="str">
        <f t="shared" si="449"/>
        <v/>
      </c>
      <c r="H1262" s="225"/>
      <c r="I1262" s="1013"/>
      <c r="J1262" s="1013"/>
      <c r="K1262" s="1028"/>
      <c r="L1262" s="1035" t="str">
        <f t="shared" si="453"/>
        <v/>
      </c>
      <c r="S1262" s="498"/>
      <c r="AJ1262" s="498"/>
      <c r="AM1262" s="498">
        <f t="shared" si="434"/>
        <v>0</v>
      </c>
      <c r="AN1262" s="498">
        <f t="shared" si="435"/>
        <v>0</v>
      </c>
      <c r="AO1262" s="498">
        <f t="shared" si="436"/>
        <v>0</v>
      </c>
      <c r="AP1262" s="498">
        <f t="shared" si="455"/>
        <v>0</v>
      </c>
      <c r="AQ1262" s="498">
        <f t="shared" si="450"/>
        <v>0</v>
      </c>
      <c r="AU1262" s="498">
        <f t="shared" si="437"/>
        <v>0</v>
      </c>
      <c r="AV1262" s="498">
        <f t="shared" si="438"/>
        <v>0</v>
      </c>
      <c r="AW1262" s="498">
        <f t="shared" si="439"/>
        <v>0</v>
      </c>
      <c r="AX1262" s="498">
        <f t="shared" si="440"/>
        <v>0</v>
      </c>
      <c r="AY1262" s="498">
        <f t="shared" si="441"/>
        <v>0</v>
      </c>
      <c r="BB1262" s="498" t="str">
        <f t="shared" si="442"/>
        <v/>
      </c>
      <c r="BC1262" s="743" t="str">
        <f t="shared" si="443"/>
        <v/>
      </c>
      <c r="BD1262" s="743" t="str">
        <f t="shared" si="444"/>
        <v/>
      </c>
      <c r="BE1262" s="743" t="str">
        <f>IF(D1262="","",VLOOKUP(D1262,'General Basis'!$J$39:$K$46,2,0))</f>
        <v/>
      </c>
      <c r="BF1262" s="744" t="str">
        <f>IF(D1262="","",VLOOKUP(D1262,'General Basis'!$J$39:$L$46,3,0))</f>
        <v/>
      </c>
      <c r="BG1262" s="744" t="str">
        <f t="shared" si="451"/>
        <v/>
      </c>
      <c r="BH1262" s="744" t="str">
        <f>IF(G1262="","",IF(BF1262="Abu Dhabi",IF(G1262&lt;18,'General Basis'!$C$39,IF(G1262&lt;41,'General Basis'!$C$40,IF(G1262&lt;60,'General Basis'!$C$41,IF(G1262&lt;65,'General Basis'!$C$42,'General Basis'!$C$43)))),IF(G1262&lt;11,'General Basis'!$B$39,IF(G1262&lt;18,'General Basis'!$B$40,IF(G1262&lt;26,'General Basis'!$B$41,IF(G1262&lt;31,'General Basis'!$B$42,IF(G1262&lt;36,'General Basis'!$B$43,IF(G1262&lt;41,'General Basis'!$B$44,IF(G1262&lt;46,'General Basis'!$B$45,IF(G1262&lt;51,'General Basis'!$B$46,IF(G1262&lt;56,'General Basis'!$B$47,IF(G1262&lt;60,'General Basis'!$B$48,IF(G1262&lt;65,'General Basis'!$B$49,'General Basis'!$B$50)))))))))))))</f>
        <v/>
      </c>
      <c r="BI1262" s="744" t="str">
        <f t="shared" si="445"/>
        <v/>
      </c>
      <c r="BJ1262" s="747" t="str">
        <f t="shared" si="452"/>
        <v/>
      </c>
      <c r="BK1262" s="498" t="str">
        <f t="shared" si="446"/>
        <v/>
      </c>
      <c r="BL1262" s="498" t="str">
        <f t="shared" si="447"/>
        <v/>
      </c>
    </row>
    <row r="1263" spans="1:64" x14ac:dyDescent="0.25">
      <c r="A1263" s="762">
        <f t="shared" si="448"/>
        <v>1258</v>
      </c>
      <c r="B1263" s="229"/>
      <c r="C1263" s="223"/>
      <c r="D1263" s="224"/>
      <c r="E1263" s="225"/>
      <c r="F1263" s="1036" t="str">
        <f t="shared" si="454"/>
        <v/>
      </c>
      <c r="G1263" s="1037" t="str">
        <f t="shared" si="449"/>
        <v/>
      </c>
      <c r="H1263" s="225"/>
      <c r="I1263" s="1013"/>
      <c r="J1263" s="1013"/>
      <c r="K1263" s="1028"/>
      <c r="L1263" s="1035" t="str">
        <f t="shared" si="453"/>
        <v/>
      </c>
      <c r="S1263" s="498"/>
      <c r="AJ1263" s="498"/>
      <c r="AM1263" s="498">
        <f t="shared" si="434"/>
        <v>0</v>
      </c>
      <c r="AN1263" s="498">
        <f t="shared" si="435"/>
        <v>0</v>
      </c>
      <c r="AO1263" s="498">
        <f t="shared" si="436"/>
        <v>0</v>
      </c>
      <c r="AP1263" s="498">
        <f t="shared" si="455"/>
        <v>0</v>
      </c>
      <c r="AQ1263" s="498">
        <f t="shared" si="450"/>
        <v>0</v>
      </c>
      <c r="AU1263" s="498">
        <f t="shared" si="437"/>
        <v>0</v>
      </c>
      <c r="AV1263" s="498">
        <f t="shared" si="438"/>
        <v>0</v>
      </c>
      <c r="AW1263" s="498">
        <f t="shared" si="439"/>
        <v>0</v>
      </c>
      <c r="AX1263" s="498">
        <f t="shared" si="440"/>
        <v>0</v>
      </c>
      <c r="AY1263" s="498">
        <f t="shared" si="441"/>
        <v>0</v>
      </c>
      <c r="BB1263" s="498" t="str">
        <f t="shared" si="442"/>
        <v/>
      </c>
      <c r="BC1263" s="743" t="str">
        <f t="shared" si="443"/>
        <v/>
      </c>
      <c r="BD1263" s="743" t="str">
        <f t="shared" si="444"/>
        <v/>
      </c>
      <c r="BE1263" s="743" t="str">
        <f>IF(D1263="","",VLOOKUP(D1263,'General Basis'!$J$39:$K$46,2,0))</f>
        <v/>
      </c>
      <c r="BF1263" s="744" t="str">
        <f>IF(D1263="","",VLOOKUP(D1263,'General Basis'!$J$39:$L$46,3,0))</f>
        <v/>
      </c>
      <c r="BG1263" s="744" t="str">
        <f t="shared" si="451"/>
        <v/>
      </c>
      <c r="BH1263" s="744" t="str">
        <f>IF(G1263="","",IF(BF1263="Abu Dhabi",IF(G1263&lt;18,'General Basis'!$C$39,IF(G1263&lt;41,'General Basis'!$C$40,IF(G1263&lt;60,'General Basis'!$C$41,IF(G1263&lt;65,'General Basis'!$C$42,'General Basis'!$C$43)))),IF(G1263&lt;11,'General Basis'!$B$39,IF(G1263&lt;18,'General Basis'!$B$40,IF(G1263&lt;26,'General Basis'!$B$41,IF(G1263&lt;31,'General Basis'!$B$42,IF(G1263&lt;36,'General Basis'!$B$43,IF(G1263&lt;41,'General Basis'!$B$44,IF(G1263&lt;46,'General Basis'!$B$45,IF(G1263&lt;51,'General Basis'!$B$46,IF(G1263&lt;56,'General Basis'!$B$47,IF(G1263&lt;60,'General Basis'!$B$48,IF(G1263&lt;65,'General Basis'!$B$49,'General Basis'!$B$50)))))))))))))</f>
        <v/>
      </c>
      <c r="BI1263" s="744" t="str">
        <f t="shared" si="445"/>
        <v/>
      </c>
      <c r="BJ1263" s="747" t="str">
        <f t="shared" si="452"/>
        <v/>
      </c>
      <c r="BK1263" s="498" t="str">
        <f t="shared" si="446"/>
        <v/>
      </c>
      <c r="BL1263" s="498" t="str">
        <f t="shared" si="447"/>
        <v/>
      </c>
    </row>
    <row r="1264" spans="1:64" x14ac:dyDescent="0.25">
      <c r="A1264" s="762">
        <f t="shared" si="448"/>
        <v>1259</v>
      </c>
      <c r="B1264" s="229"/>
      <c r="C1264" s="223"/>
      <c r="D1264" s="224"/>
      <c r="E1264" s="225"/>
      <c r="F1264" s="1036" t="str">
        <f t="shared" si="454"/>
        <v/>
      </c>
      <c r="G1264" s="1037" t="str">
        <f t="shared" si="449"/>
        <v/>
      </c>
      <c r="H1264" s="225"/>
      <c r="I1264" s="1013"/>
      <c r="J1264" s="1013"/>
      <c r="K1264" s="1028"/>
      <c r="L1264" s="1035" t="str">
        <f t="shared" si="453"/>
        <v/>
      </c>
      <c r="S1264" s="498"/>
      <c r="AJ1264" s="498"/>
      <c r="AM1264" s="498">
        <f t="shared" si="434"/>
        <v>0</v>
      </c>
      <c r="AN1264" s="498">
        <f t="shared" si="435"/>
        <v>0</v>
      </c>
      <c r="AO1264" s="498">
        <f t="shared" si="436"/>
        <v>0</v>
      </c>
      <c r="AP1264" s="498">
        <f t="shared" si="455"/>
        <v>0</v>
      </c>
      <c r="AQ1264" s="498">
        <f t="shared" si="450"/>
        <v>0</v>
      </c>
      <c r="AU1264" s="498">
        <f t="shared" si="437"/>
        <v>0</v>
      </c>
      <c r="AV1264" s="498">
        <f t="shared" si="438"/>
        <v>0</v>
      </c>
      <c r="AW1264" s="498">
        <f t="shared" si="439"/>
        <v>0</v>
      </c>
      <c r="AX1264" s="498">
        <f t="shared" si="440"/>
        <v>0</v>
      </c>
      <c r="AY1264" s="498">
        <f t="shared" si="441"/>
        <v>0</v>
      </c>
      <c r="BB1264" s="498" t="str">
        <f t="shared" si="442"/>
        <v/>
      </c>
      <c r="BC1264" s="743" t="str">
        <f t="shared" si="443"/>
        <v/>
      </c>
      <c r="BD1264" s="743" t="str">
        <f t="shared" si="444"/>
        <v/>
      </c>
      <c r="BE1264" s="743" t="str">
        <f>IF(D1264="","",VLOOKUP(D1264,'General Basis'!$J$39:$K$46,2,0))</f>
        <v/>
      </c>
      <c r="BF1264" s="744" t="str">
        <f>IF(D1264="","",VLOOKUP(D1264,'General Basis'!$J$39:$L$46,3,0))</f>
        <v/>
      </c>
      <c r="BG1264" s="744" t="str">
        <f t="shared" si="451"/>
        <v/>
      </c>
      <c r="BH1264" s="744" t="str">
        <f>IF(G1264="","",IF(BF1264="Abu Dhabi",IF(G1264&lt;18,'General Basis'!$C$39,IF(G1264&lt;41,'General Basis'!$C$40,IF(G1264&lt;60,'General Basis'!$C$41,IF(G1264&lt;65,'General Basis'!$C$42,'General Basis'!$C$43)))),IF(G1264&lt;11,'General Basis'!$B$39,IF(G1264&lt;18,'General Basis'!$B$40,IF(G1264&lt;26,'General Basis'!$B$41,IF(G1264&lt;31,'General Basis'!$B$42,IF(G1264&lt;36,'General Basis'!$B$43,IF(G1264&lt;41,'General Basis'!$B$44,IF(G1264&lt;46,'General Basis'!$B$45,IF(G1264&lt;51,'General Basis'!$B$46,IF(G1264&lt;56,'General Basis'!$B$47,IF(G1264&lt;60,'General Basis'!$B$48,IF(G1264&lt;65,'General Basis'!$B$49,'General Basis'!$B$50)))))))))))))</f>
        <v/>
      </c>
      <c r="BI1264" s="744" t="str">
        <f t="shared" si="445"/>
        <v/>
      </c>
      <c r="BJ1264" s="747" t="str">
        <f t="shared" si="452"/>
        <v/>
      </c>
      <c r="BK1264" s="498" t="str">
        <f t="shared" si="446"/>
        <v/>
      </c>
      <c r="BL1264" s="498" t="str">
        <f t="shared" si="447"/>
        <v/>
      </c>
    </row>
    <row r="1265" spans="1:64" x14ac:dyDescent="0.25">
      <c r="A1265" s="762">
        <f t="shared" si="448"/>
        <v>1260</v>
      </c>
      <c r="B1265" s="229"/>
      <c r="C1265" s="223"/>
      <c r="D1265" s="224"/>
      <c r="E1265" s="225"/>
      <c r="F1265" s="1036" t="str">
        <f t="shared" si="454"/>
        <v/>
      </c>
      <c r="G1265" s="1037" t="str">
        <f t="shared" si="449"/>
        <v/>
      </c>
      <c r="H1265" s="225"/>
      <c r="I1265" s="1013"/>
      <c r="J1265" s="1013"/>
      <c r="K1265" s="1028"/>
      <c r="L1265" s="1035" t="str">
        <f t="shared" si="453"/>
        <v/>
      </c>
      <c r="S1265" s="498"/>
      <c r="AJ1265" s="498"/>
      <c r="AM1265" s="498">
        <f t="shared" si="434"/>
        <v>0</v>
      </c>
      <c r="AN1265" s="498">
        <f t="shared" si="435"/>
        <v>0</v>
      </c>
      <c r="AO1265" s="498">
        <f t="shared" si="436"/>
        <v>0</v>
      </c>
      <c r="AP1265" s="498">
        <f t="shared" si="455"/>
        <v>0</v>
      </c>
      <c r="AQ1265" s="498">
        <f t="shared" si="450"/>
        <v>0</v>
      </c>
      <c r="AU1265" s="498">
        <f t="shared" si="437"/>
        <v>0</v>
      </c>
      <c r="AV1265" s="498">
        <f t="shared" si="438"/>
        <v>0</v>
      </c>
      <c r="AW1265" s="498">
        <f t="shared" si="439"/>
        <v>0</v>
      </c>
      <c r="AX1265" s="498">
        <f t="shared" si="440"/>
        <v>0</v>
      </c>
      <c r="AY1265" s="498">
        <f t="shared" si="441"/>
        <v>0</v>
      </c>
      <c r="BB1265" s="498" t="str">
        <f t="shared" si="442"/>
        <v/>
      </c>
      <c r="BC1265" s="743" t="str">
        <f t="shared" si="443"/>
        <v/>
      </c>
      <c r="BD1265" s="743" t="str">
        <f t="shared" si="444"/>
        <v/>
      </c>
      <c r="BE1265" s="743" t="str">
        <f>IF(D1265="","",VLOOKUP(D1265,'General Basis'!$J$39:$K$46,2,0))</f>
        <v/>
      </c>
      <c r="BF1265" s="744" t="str">
        <f>IF(D1265="","",VLOOKUP(D1265,'General Basis'!$J$39:$L$46,3,0))</f>
        <v/>
      </c>
      <c r="BG1265" s="744" t="str">
        <f t="shared" si="451"/>
        <v/>
      </c>
      <c r="BH1265" s="744" t="str">
        <f>IF(G1265="","",IF(BF1265="Abu Dhabi",IF(G1265&lt;18,'General Basis'!$C$39,IF(G1265&lt;41,'General Basis'!$C$40,IF(G1265&lt;60,'General Basis'!$C$41,IF(G1265&lt;65,'General Basis'!$C$42,'General Basis'!$C$43)))),IF(G1265&lt;11,'General Basis'!$B$39,IF(G1265&lt;18,'General Basis'!$B$40,IF(G1265&lt;26,'General Basis'!$B$41,IF(G1265&lt;31,'General Basis'!$B$42,IF(G1265&lt;36,'General Basis'!$B$43,IF(G1265&lt;41,'General Basis'!$B$44,IF(G1265&lt;46,'General Basis'!$B$45,IF(G1265&lt;51,'General Basis'!$B$46,IF(G1265&lt;56,'General Basis'!$B$47,IF(G1265&lt;60,'General Basis'!$B$48,IF(G1265&lt;65,'General Basis'!$B$49,'General Basis'!$B$50)))))))))))))</f>
        <v/>
      </c>
      <c r="BI1265" s="744" t="str">
        <f t="shared" si="445"/>
        <v/>
      </c>
      <c r="BJ1265" s="747" t="str">
        <f t="shared" si="452"/>
        <v/>
      </c>
      <c r="BK1265" s="498" t="str">
        <f t="shared" si="446"/>
        <v/>
      </c>
      <c r="BL1265" s="498" t="str">
        <f t="shared" si="447"/>
        <v/>
      </c>
    </row>
    <row r="1266" spans="1:64" x14ac:dyDescent="0.25">
      <c r="A1266" s="762">
        <f t="shared" si="448"/>
        <v>1261</v>
      </c>
      <c r="B1266" s="229"/>
      <c r="C1266" s="223"/>
      <c r="D1266" s="224"/>
      <c r="E1266" s="225"/>
      <c r="F1266" s="1036" t="str">
        <f t="shared" si="454"/>
        <v/>
      </c>
      <c r="G1266" s="1037" t="str">
        <f t="shared" si="449"/>
        <v/>
      </c>
      <c r="H1266" s="225"/>
      <c r="I1266" s="1013"/>
      <c r="J1266" s="1013"/>
      <c r="K1266" s="1028"/>
      <c r="L1266" s="1035" t="str">
        <f t="shared" si="453"/>
        <v/>
      </c>
      <c r="S1266" s="498"/>
      <c r="AJ1266" s="498"/>
      <c r="AM1266" s="498">
        <f t="shared" si="434"/>
        <v>0</v>
      </c>
      <c r="AN1266" s="498">
        <f t="shared" si="435"/>
        <v>0</v>
      </c>
      <c r="AO1266" s="498">
        <f t="shared" si="436"/>
        <v>0</v>
      </c>
      <c r="AP1266" s="498">
        <f t="shared" si="455"/>
        <v>0</v>
      </c>
      <c r="AQ1266" s="498">
        <f t="shared" si="450"/>
        <v>0</v>
      </c>
      <c r="AU1266" s="498">
        <f t="shared" si="437"/>
        <v>0</v>
      </c>
      <c r="AV1266" s="498">
        <f t="shared" si="438"/>
        <v>0</v>
      </c>
      <c r="AW1266" s="498">
        <f t="shared" si="439"/>
        <v>0</v>
      </c>
      <c r="AX1266" s="498">
        <f t="shared" si="440"/>
        <v>0</v>
      </c>
      <c r="AY1266" s="498">
        <f t="shared" si="441"/>
        <v>0</v>
      </c>
      <c r="BB1266" s="498" t="str">
        <f t="shared" si="442"/>
        <v/>
      </c>
      <c r="BC1266" s="743" t="str">
        <f t="shared" si="443"/>
        <v/>
      </c>
      <c r="BD1266" s="743" t="str">
        <f t="shared" si="444"/>
        <v/>
      </c>
      <c r="BE1266" s="743" t="str">
        <f>IF(D1266="","",VLOOKUP(D1266,'General Basis'!$J$39:$K$46,2,0))</f>
        <v/>
      </c>
      <c r="BF1266" s="744" t="str">
        <f>IF(D1266="","",VLOOKUP(D1266,'General Basis'!$J$39:$L$46,3,0))</f>
        <v/>
      </c>
      <c r="BG1266" s="744" t="str">
        <f t="shared" si="451"/>
        <v/>
      </c>
      <c r="BH1266" s="744" t="str">
        <f>IF(G1266="","",IF(BF1266="Abu Dhabi",IF(G1266&lt;18,'General Basis'!$C$39,IF(G1266&lt;41,'General Basis'!$C$40,IF(G1266&lt;60,'General Basis'!$C$41,IF(G1266&lt;65,'General Basis'!$C$42,'General Basis'!$C$43)))),IF(G1266&lt;11,'General Basis'!$B$39,IF(G1266&lt;18,'General Basis'!$B$40,IF(G1266&lt;26,'General Basis'!$B$41,IF(G1266&lt;31,'General Basis'!$B$42,IF(G1266&lt;36,'General Basis'!$B$43,IF(G1266&lt;41,'General Basis'!$B$44,IF(G1266&lt;46,'General Basis'!$B$45,IF(G1266&lt;51,'General Basis'!$B$46,IF(G1266&lt;56,'General Basis'!$B$47,IF(G1266&lt;60,'General Basis'!$B$48,IF(G1266&lt;65,'General Basis'!$B$49,'General Basis'!$B$50)))))))))))))</f>
        <v/>
      </c>
      <c r="BI1266" s="744" t="str">
        <f t="shared" si="445"/>
        <v/>
      </c>
      <c r="BJ1266" s="747" t="str">
        <f t="shared" si="452"/>
        <v/>
      </c>
      <c r="BK1266" s="498" t="str">
        <f t="shared" si="446"/>
        <v/>
      </c>
      <c r="BL1266" s="498" t="str">
        <f t="shared" si="447"/>
        <v/>
      </c>
    </row>
    <row r="1267" spans="1:64" x14ac:dyDescent="0.25">
      <c r="A1267" s="762">
        <f t="shared" si="448"/>
        <v>1262</v>
      </c>
      <c r="B1267" s="229"/>
      <c r="C1267" s="223"/>
      <c r="D1267" s="224"/>
      <c r="E1267" s="225"/>
      <c r="F1267" s="1036" t="str">
        <f t="shared" si="454"/>
        <v/>
      </c>
      <c r="G1267" s="1037" t="str">
        <f t="shared" si="449"/>
        <v/>
      </c>
      <c r="H1267" s="225"/>
      <c r="I1267" s="1013"/>
      <c r="J1267" s="1013"/>
      <c r="K1267" s="1028"/>
      <c r="L1267" s="1035" t="str">
        <f t="shared" si="453"/>
        <v/>
      </c>
      <c r="S1267" s="498"/>
      <c r="AJ1267" s="498"/>
      <c r="AM1267" s="498">
        <f t="shared" si="434"/>
        <v>0</v>
      </c>
      <c r="AN1267" s="498">
        <f t="shared" si="435"/>
        <v>0</v>
      </c>
      <c r="AO1267" s="498">
        <f t="shared" si="436"/>
        <v>0</v>
      </c>
      <c r="AP1267" s="498">
        <f t="shared" si="455"/>
        <v>0</v>
      </c>
      <c r="AQ1267" s="498">
        <f t="shared" si="450"/>
        <v>0</v>
      </c>
      <c r="AU1267" s="498">
        <f t="shared" si="437"/>
        <v>0</v>
      </c>
      <c r="AV1267" s="498">
        <f t="shared" si="438"/>
        <v>0</v>
      </c>
      <c r="AW1267" s="498">
        <f t="shared" si="439"/>
        <v>0</v>
      </c>
      <c r="AX1267" s="498">
        <f t="shared" si="440"/>
        <v>0</v>
      </c>
      <c r="AY1267" s="498">
        <f t="shared" si="441"/>
        <v>0</v>
      </c>
      <c r="BB1267" s="498" t="str">
        <f t="shared" si="442"/>
        <v/>
      </c>
      <c r="BC1267" s="743" t="str">
        <f t="shared" si="443"/>
        <v/>
      </c>
      <c r="BD1267" s="743" t="str">
        <f t="shared" si="444"/>
        <v/>
      </c>
      <c r="BE1267" s="743" t="str">
        <f>IF(D1267="","",VLOOKUP(D1267,'General Basis'!$J$39:$K$46,2,0))</f>
        <v/>
      </c>
      <c r="BF1267" s="744" t="str">
        <f>IF(D1267="","",VLOOKUP(D1267,'General Basis'!$J$39:$L$46,3,0))</f>
        <v/>
      </c>
      <c r="BG1267" s="744" t="str">
        <f t="shared" si="451"/>
        <v/>
      </c>
      <c r="BH1267" s="744" t="str">
        <f>IF(G1267="","",IF(BF1267="Abu Dhabi",IF(G1267&lt;18,'General Basis'!$C$39,IF(G1267&lt;41,'General Basis'!$C$40,IF(G1267&lt;60,'General Basis'!$C$41,IF(G1267&lt;65,'General Basis'!$C$42,'General Basis'!$C$43)))),IF(G1267&lt;11,'General Basis'!$B$39,IF(G1267&lt;18,'General Basis'!$B$40,IF(G1267&lt;26,'General Basis'!$B$41,IF(G1267&lt;31,'General Basis'!$B$42,IF(G1267&lt;36,'General Basis'!$B$43,IF(G1267&lt;41,'General Basis'!$B$44,IF(G1267&lt;46,'General Basis'!$B$45,IF(G1267&lt;51,'General Basis'!$B$46,IF(G1267&lt;56,'General Basis'!$B$47,IF(G1267&lt;60,'General Basis'!$B$48,IF(G1267&lt;65,'General Basis'!$B$49,'General Basis'!$B$50)))))))))))))</f>
        <v/>
      </c>
      <c r="BI1267" s="744" t="str">
        <f t="shared" si="445"/>
        <v/>
      </c>
      <c r="BJ1267" s="747" t="str">
        <f t="shared" si="452"/>
        <v/>
      </c>
      <c r="BK1267" s="498" t="str">
        <f t="shared" si="446"/>
        <v/>
      </c>
      <c r="BL1267" s="498" t="str">
        <f t="shared" si="447"/>
        <v/>
      </c>
    </row>
    <row r="1268" spans="1:64" x14ac:dyDescent="0.25">
      <c r="A1268" s="762">
        <f t="shared" si="448"/>
        <v>1263</v>
      </c>
      <c r="B1268" s="229"/>
      <c r="C1268" s="223"/>
      <c r="D1268" s="224"/>
      <c r="E1268" s="225"/>
      <c r="F1268" s="1036" t="str">
        <f t="shared" si="454"/>
        <v/>
      </c>
      <c r="G1268" s="1037" t="str">
        <f t="shared" si="449"/>
        <v/>
      </c>
      <c r="H1268" s="225"/>
      <c r="I1268" s="1013"/>
      <c r="J1268" s="1013"/>
      <c r="K1268" s="1028"/>
      <c r="L1268" s="1035" t="str">
        <f t="shared" si="453"/>
        <v/>
      </c>
      <c r="S1268" s="498"/>
      <c r="AJ1268" s="498"/>
      <c r="AM1268" s="498">
        <f t="shared" si="434"/>
        <v>0</v>
      </c>
      <c r="AN1268" s="498">
        <f t="shared" si="435"/>
        <v>0</v>
      </c>
      <c r="AO1268" s="498">
        <f t="shared" si="436"/>
        <v>0</v>
      </c>
      <c r="AP1268" s="498">
        <f t="shared" si="455"/>
        <v>0</v>
      </c>
      <c r="AQ1268" s="498">
        <f t="shared" si="450"/>
        <v>0</v>
      </c>
      <c r="AU1268" s="498">
        <f t="shared" si="437"/>
        <v>0</v>
      </c>
      <c r="AV1268" s="498">
        <f t="shared" si="438"/>
        <v>0</v>
      </c>
      <c r="AW1268" s="498">
        <f t="shared" si="439"/>
        <v>0</v>
      </c>
      <c r="AX1268" s="498">
        <f t="shared" si="440"/>
        <v>0</v>
      </c>
      <c r="AY1268" s="498">
        <f t="shared" si="441"/>
        <v>0</v>
      </c>
      <c r="BB1268" s="498" t="str">
        <f t="shared" si="442"/>
        <v/>
      </c>
      <c r="BC1268" s="743" t="str">
        <f t="shared" si="443"/>
        <v/>
      </c>
      <c r="BD1268" s="743" t="str">
        <f t="shared" si="444"/>
        <v/>
      </c>
      <c r="BE1268" s="743" t="str">
        <f>IF(D1268="","",VLOOKUP(D1268,'General Basis'!$J$39:$K$46,2,0))</f>
        <v/>
      </c>
      <c r="BF1268" s="744" t="str">
        <f>IF(D1268="","",VLOOKUP(D1268,'General Basis'!$J$39:$L$46,3,0))</f>
        <v/>
      </c>
      <c r="BG1268" s="744" t="str">
        <f t="shared" si="451"/>
        <v/>
      </c>
      <c r="BH1268" s="744" t="str">
        <f>IF(G1268="","",IF(BF1268="Abu Dhabi",IF(G1268&lt;18,'General Basis'!$C$39,IF(G1268&lt;41,'General Basis'!$C$40,IF(G1268&lt;60,'General Basis'!$C$41,IF(G1268&lt;65,'General Basis'!$C$42,'General Basis'!$C$43)))),IF(G1268&lt;11,'General Basis'!$B$39,IF(G1268&lt;18,'General Basis'!$B$40,IF(G1268&lt;26,'General Basis'!$B$41,IF(G1268&lt;31,'General Basis'!$B$42,IF(G1268&lt;36,'General Basis'!$B$43,IF(G1268&lt;41,'General Basis'!$B$44,IF(G1268&lt;46,'General Basis'!$B$45,IF(G1268&lt;51,'General Basis'!$B$46,IF(G1268&lt;56,'General Basis'!$B$47,IF(G1268&lt;60,'General Basis'!$B$48,IF(G1268&lt;65,'General Basis'!$B$49,'General Basis'!$B$50)))))))))))))</f>
        <v/>
      </c>
      <c r="BI1268" s="744" t="str">
        <f t="shared" si="445"/>
        <v/>
      </c>
      <c r="BJ1268" s="747" t="str">
        <f t="shared" si="452"/>
        <v/>
      </c>
      <c r="BK1268" s="498" t="str">
        <f t="shared" si="446"/>
        <v/>
      </c>
      <c r="BL1268" s="498" t="str">
        <f t="shared" si="447"/>
        <v/>
      </c>
    </row>
    <row r="1269" spans="1:64" x14ac:dyDescent="0.25">
      <c r="A1269" s="762">
        <f t="shared" si="448"/>
        <v>1264</v>
      </c>
      <c r="B1269" s="229"/>
      <c r="C1269" s="223"/>
      <c r="D1269" s="224"/>
      <c r="E1269" s="225"/>
      <c r="F1269" s="1036" t="str">
        <f t="shared" si="454"/>
        <v/>
      </c>
      <c r="G1269" s="1037" t="str">
        <f t="shared" si="449"/>
        <v/>
      </c>
      <c r="H1269" s="225"/>
      <c r="I1269" s="1013"/>
      <c r="J1269" s="1013"/>
      <c r="K1269" s="1028"/>
      <c r="L1269" s="1035" t="str">
        <f t="shared" si="453"/>
        <v/>
      </c>
      <c r="S1269" s="498"/>
      <c r="AJ1269" s="498"/>
      <c r="AM1269" s="498">
        <f t="shared" si="434"/>
        <v>0</v>
      </c>
      <c r="AN1269" s="498">
        <f t="shared" si="435"/>
        <v>0</v>
      </c>
      <c r="AO1269" s="498">
        <f t="shared" si="436"/>
        <v>0</v>
      </c>
      <c r="AP1269" s="498">
        <f t="shared" si="455"/>
        <v>0</v>
      </c>
      <c r="AQ1269" s="498">
        <f t="shared" si="450"/>
        <v>0</v>
      </c>
      <c r="AU1269" s="498">
        <f t="shared" si="437"/>
        <v>0</v>
      </c>
      <c r="AV1269" s="498">
        <f t="shared" si="438"/>
        <v>0</v>
      </c>
      <c r="AW1269" s="498">
        <f t="shared" si="439"/>
        <v>0</v>
      </c>
      <c r="AX1269" s="498">
        <f t="shared" si="440"/>
        <v>0</v>
      </c>
      <c r="AY1269" s="498">
        <f t="shared" si="441"/>
        <v>0</v>
      </c>
      <c r="BB1269" s="498" t="str">
        <f t="shared" si="442"/>
        <v/>
      </c>
      <c r="BC1269" s="743" t="str">
        <f t="shared" si="443"/>
        <v/>
      </c>
      <c r="BD1269" s="743" t="str">
        <f t="shared" si="444"/>
        <v/>
      </c>
      <c r="BE1269" s="743" t="str">
        <f>IF(D1269="","",VLOOKUP(D1269,'General Basis'!$J$39:$K$46,2,0))</f>
        <v/>
      </c>
      <c r="BF1269" s="744" t="str">
        <f>IF(D1269="","",VLOOKUP(D1269,'General Basis'!$J$39:$L$46,3,0))</f>
        <v/>
      </c>
      <c r="BG1269" s="744" t="str">
        <f t="shared" si="451"/>
        <v/>
      </c>
      <c r="BH1269" s="744" t="str">
        <f>IF(G1269="","",IF(BF1269="Abu Dhabi",IF(G1269&lt;18,'General Basis'!$C$39,IF(G1269&lt;41,'General Basis'!$C$40,IF(G1269&lt;60,'General Basis'!$C$41,IF(G1269&lt;65,'General Basis'!$C$42,'General Basis'!$C$43)))),IF(G1269&lt;11,'General Basis'!$B$39,IF(G1269&lt;18,'General Basis'!$B$40,IF(G1269&lt;26,'General Basis'!$B$41,IF(G1269&lt;31,'General Basis'!$B$42,IF(G1269&lt;36,'General Basis'!$B$43,IF(G1269&lt;41,'General Basis'!$B$44,IF(G1269&lt;46,'General Basis'!$B$45,IF(G1269&lt;51,'General Basis'!$B$46,IF(G1269&lt;56,'General Basis'!$B$47,IF(G1269&lt;60,'General Basis'!$B$48,IF(G1269&lt;65,'General Basis'!$B$49,'General Basis'!$B$50)))))))))))))</f>
        <v/>
      </c>
      <c r="BI1269" s="744" t="str">
        <f t="shared" si="445"/>
        <v/>
      </c>
      <c r="BJ1269" s="747" t="str">
        <f t="shared" si="452"/>
        <v/>
      </c>
      <c r="BK1269" s="498" t="str">
        <f t="shared" si="446"/>
        <v/>
      </c>
      <c r="BL1269" s="498" t="str">
        <f t="shared" si="447"/>
        <v/>
      </c>
    </row>
    <row r="1270" spans="1:64" x14ac:dyDescent="0.25">
      <c r="A1270" s="762">
        <f t="shared" si="448"/>
        <v>1265</v>
      </c>
      <c r="B1270" s="229"/>
      <c r="C1270" s="223"/>
      <c r="D1270" s="224"/>
      <c r="E1270" s="225"/>
      <c r="F1270" s="1036" t="str">
        <f t="shared" si="454"/>
        <v/>
      </c>
      <c r="G1270" s="1037" t="str">
        <f t="shared" si="449"/>
        <v/>
      </c>
      <c r="H1270" s="225"/>
      <c r="I1270" s="1013"/>
      <c r="J1270" s="1013"/>
      <c r="K1270" s="1028"/>
      <c r="L1270" s="1035" t="str">
        <f t="shared" si="453"/>
        <v/>
      </c>
      <c r="S1270" s="498"/>
      <c r="AJ1270" s="498"/>
      <c r="AM1270" s="498">
        <f t="shared" si="434"/>
        <v>0</v>
      </c>
      <c r="AN1270" s="498">
        <f t="shared" si="435"/>
        <v>0</v>
      </c>
      <c r="AO1270" s="498">
        <f t="shared" si="436"/>
        <v>0</v>
      </c>
      <c r="AP1270" s="498">
        <f t="shared" si="455"/>
        <v>0</v>
      </c>
      <c r="AQ1270" s="498">
        <f t="shared" si="450"/>
        <v>0</v>
      </c>
      <c r="AU1270" s="498">
        <f t="shared" si="437"/>
        <v>0</v>
      </c>
      <c r="AV1270" s="498">
        <f t="shared" si="438"/>
        <v>0</v>
      </c>
      <c r="AW1270" s="498">
        <f t="shared" si="439"/>
        <v>0</v>
      </c>
      <c r="AX1270" s="498">
        <f t="shared" si="440"/>
        <v>0</v>
      </c>
      <c r="AY1270" s="498">
        <f t="shared" si="441"/>
        <v>0</v>
      </c>
      <c r="BB1270" s="498" t="str">
        <f t="shared" si="442"/>
        <v/>
      </c>
      <c r="BC1270" s="743" t="str">
        <f t="shared" si="443"/>
        <v/>
      </c>
      <c r="BD1270" s="743" t="str">
        <f t="shared" si="444"/>
        <v/>
      </c>
      <c r="BE1270" s="743" t="str">
        <f>IF(D1270="","",VLOOKUP(D1270,'General Basis'!$J$39:$K$46,2,0))</f>
        <v/>
      </c>
      <c r="BF1270" s="744" t="str">
        <f>IF(D1270="","",VLOOKUP(D1270,'General Basis'!$J$39:$L$46,3,0))</f>
        <v/>
      </c>
      <c r="BG1270" s="744" t="str">
        <f t="shared" si="451"/>
        <v/>
      </c>
      <c r="BH1270" s="744" t="str">
        <f>IF(G1270="","",IF(BF1270="Abu Dhabi",IF(G1270&lt;18,'General Basis'!$C$39,IF(G1270&lt;41,'General Basis'!$C$40,IF(G1270&lt;60,'General Basis'!$C$41,IF(G1270&lt;65,'General Basis'!$C$42,'General Basis'!$C$43)))),IF(G1270&lt;11,'General Basis'!$B$39,IF(G1270&lt;18,'General Basis'!$B$40,IF(G1270&lt;26,'General Basis'!$B$41,IF(G1270&lt;31,'General Basis'!$B$42,IF(G1270&lt;36,'General Basis'!$B$43,IF(G1270&lt;41,'General Basis'!$B$44,IF(G1270&lt;46,'General Basis'!$B$45,IF(G1270&lt;51,'General Basis'!$B$46,IF(G1270&lt;56,'General Basis'!$B$47,IF(G1270&lt;60,'General Basis'!$B$48,IF(G1270&lt;65,'General Basis'!$B$49,'General Basis'!$B$50)))))))))))))</f>
        <v/>
      </c>
      <c r="BI1270" s="744" t="str">
        <f t="shared" si="445"/>
        <v/>
      </c>
      <c r="BJ1270" s="747" t="str">
        <f t="shared" si="452"/>
        <v/>
      </c>
      <c r="BK1270" s="498" t="str">
        <f t="shared" si="446"/>
        <v/>
      </c>
      <c r="BL1270" s="498" t="str">
        <f t="shared" si="447"/>
        <v/>
      </c>
    </row>
    <row r="1271" spans="1:64" x14ac:dyDescent="0.25">
      <c r="A1271" s="762">
        <f t="shared" si="448"/>
        <v>1266</v>
      </c>
      <c r="B1271" s="229"/>
      <c r="C1271" s="223"/>
      <c r="D1271" s="224"/>
      <c r="E1271" s="225"/>
      <c r="F1271" s="1036" t="str">
        <f t="shared" si="454"/>
        <v/>
      </c>
      <c r="G1271" s="1037" t="str">
        <f t="shared" si="449"/>
        <v/>
      </c>
      <c r="H1271" s="225"/>
      <c r="I1271" s="1013"/>
      <c r="J1271" s="1013"/>
      <c r="K1271" s="1028"/>
      <c r="L1271" s="1035" t="str">
        <f t="shared" si="453"/>
        <v/>
      </c>
      <c r="S1271" s="498"/>
      <c r="AJ1271" s="498"/>
      <c r="AM1271" s="498">
        <f t="shared" si="434"/>
        <v>0</v>
      </c>
      <c r="AN1271" s="498">
        <f t="shared" si="435"/>
        <v>0</v>
      </c>
      <c r="AO1271" s="498">
        <f t="shared" si="436"/>
        <v>0</v>
      </c>
      <c r="AP1271" s="498">
        <f t="shared" si="455"/>
        <v>0</v>
      </c>
      <c r="AQ1271" s="498">
        <f t="shared" si="450"/>
        <v>0</v>
      </c>
      <c r="AU1271" s="498">
        <f t="shared" si="437"/>
        <v>0</v>
      </c>
      <c r="AV1271" s="498">
        <f t="shared" si="438"/>
        <v>0</v>
      </c>
      <c r="AW1271" s="498">
        <f t="shared" si="439"/>
        <v>0</v>
      </c>
      <c r="AX1271" s="498">
        <f t="shared" si="440"/>
        <v>0</v>
      </c>
      <c r="AY1271" s="498">
        <f t="shared" si="441"/>
        <v>0</v>
      </c>
      <c r="BB1271" s="498" t="str">
        <f t="shared" si="442"/>
        <v/>
      </c>
      <c r="BC1271" s="743" t="str">
        <f t="shared" si="443"/>
        <v/>
      </c>
      <c r="BD1271" s="743" t="str">
        <f t="shared" si="444"/>
        <v/>
      </c>
      <c r="BE1271" s="743" t="str">
        <f>IF(D1271="","",VLOOKUP(D1271,'General Basis'!$J$39:$K$46,2,0))</f>
        <v/>
      </c>
      <c r="BF1271" s="744" t="str">
        <f>IF(D1271="","",VLOOKUP(D1271,'General Basis'!$J$39:$L$46,3,0))</f>
        <v/>
      </c>
      <c r="BG1271" s="744" t="str">
        <f t="shared" si="451"/>
        <v/>
      </c>
      <c r="BH1271" s="744" t="str">
        <f>IF(G1271="","",IF(BF1271="Abu Dhabi",IF(G1271&lt;18,'General Basis'!$C$39,IF(G1271&lt;41,'General Basis'!$C$40,IF(G1271&lt;60,'General Basis'!$C$41,IF(G1271&lt;65,'General Basis'!$C$42,'General Basis'!$C$43)))),IF(G1271&lt;11,'General Basis'!$B$39,IF(G1271&lt;18,'General Basis'!$B$40,IF(G1271&lt;26,'General Basis'!$B$41,IF(G1271&lt;31,'General Basis'!$B$42,IF(G1271&lt;36,'General Basis'!$B$43,IF(G1271&lt;41,'General Basis'!$B$44,IF(G1271&lt;46,'General Basis'!$B$45,IF(G1271&lt;51,'General Basis'!$B$46,IF(G1271&lt;56,'General Basis'!$B$47,IF(G1271&lt;60,'General Basis'!$B$48,IF(G1271&lt;65,'General Basis'!$B$49,'General Basis'!$B$50)))))))))))))</f>
        <v/>
      </c>
      <c r="BI1271" s="744" t="str">
        <f t="shared" si="445"/>
        <v/>
      </c>
      <c r="BJ1271" s="747" t="str">
        <f t="shared" si="452"/>
        <v/>
      </c>
      <c r="BK1271" s="498" t="str">
        <f t="shared" si="446"/>
        <v/>
      </c>
      <c r="BL1271" s="498" t="str">
        <f t="shared" si="447"/>
        <v/>
      </c>
    </row>
    <row r="1272" spans="1:64" x14ac:dyDescent="0.25">
      <c r="A1272" s="762">
        <f t="shared" si="448"/>
        <v>1267</v>
      </c>
      <c r="B1272" s="229"/>
      <c r="C1272" s="223"/>
      <c r="D1272" s="224"/>
      <c r="E1272" s="225"/>
      <c r="F1272" s="1036" t="str">
        <f t="shared" si="454"/>
        <v/>
      </c>
      <c r="G1272" s="1037" t="str">
        <f t="shared" si="449"/>
        <v/>
      </c>
      <c r="H1272" s="225"/>
      <c r="I1272" s="1013"/>
      <c r="J1272" s="1013"/>
      <c r="K1272" s="1028"/>
      <c r="L1272" s="1035" t="str">
        <f t="shared" si="453"/>
        <v/>
      </c>
      <c r="S1272" s="498"/>
      <c r="AJ1272" s="498"/>
      <c r="AM1272" s="498">
        <f t="shared" si="434"/>
        <v>0</v>
      </c>
      <c r="AN1272" s="498">
        <f t="shared" si="435"/>
        <v>0</v>
      </c>
      <c r="AO1272" s="498">
        <f t="shared" si="436"/>
        <v>0</v>
      </c>
      <c r="AP1272" s="498">
        <f t="shared" si="455"/>
        <v>0</v>
      </c>
      <c r="AQ1272" s="498">
        <f t="shared" si="450"/>
        <v>0</v>
      </c>
      <c r="AU1272" s="498">
        <f t="shared" si="437"/>
        <v>0</v>
      </c>
      <c r="AV1272" s="498">
        <f t="shared" si="438"/>
        <v>0</v>
      </c>
      <c r="AW1272" s="498">
        <f t="shared" si="439"/>
        <v>0</v>
      </c>
      <c r="AX1272" s="498">
        <f t="shared" si="440"/>
        <v>0</v>
      </c>
      <c r="AY1272" s="498">
        <f t="shared" si="441"/>
        <v>0</v>
      </c>
      <c r="BB1272" s="498" t="str">
        <f t="shared" si="442"/>
        <v/>
      </c>
      <c r="BC1272" s="743" t="str">
        <f t="shared" si="443"/>
        <v/>
      </c>
      <c r="BD1272" s="743" t="str">
        <f t="shared" si="444"/>
        <v/>
      </c>
      <c r="BE1272" s="743" t="str">
        <f>IF(D1272="","",VLOOKUP(D1272,'General Basis'!$J$39:$K$46,2,0))</f>
        <v/>
      </c>
      <c r="BF1272" s="744" t="str">
        <f>IF(D1272="","",VLOOKUP(D1272,'General Basis'!$J$39:$L$46,3,0))</f>
        <v/>
      </c>
      <c r="BG1272" s="744" t="str">
        <f t="shared" si="451"/>
        <v/>
      </c>
      <c r="BH1272" s="744" t="str">
        <f>IF(G1272="","",IF(BF1272="Abu Dhabi",IF(G1272&lt;18,'General Basis'!$C$39,IF(G1272&lt;41,'General Basis'!$C$40,IF(G1272&lt;60,'General Basis'!$C$41,IF(G1272&lt;65,'General Basis'!$C$42,'General Basis'!$C$43)))),IF(G1272&lt;11,'General Basis'!$B$39,IF(G1272&lt;18,'General Basis'!$B$40,IF(G1272&lt;26,'General Basis'!$B$41,IF(G1272&lt;31,'General Basis'!$B$42,IF(G1272&lt;36,'General Basis'!$B$43,IF(G1272&lt;41,'General Basis'!$B$44,IF(G1272&lt;46,'General Basis'!$B$45,IF(G1272&lt;51,'General Basis'!$B$46,IF(G1272&lt;56,'General Basis'!$B$47,IF(G1272&lt;60,'General Basis'!$B$48,IF(G1272&lt;65,'General Basis'!$B$49,'General Basis'!$B$50)))))))))))))</f>
        <v/>
      </c>
      <c r="BI1272" s="744" t="str">
        <f t="shared" si="445"/>
        <v/>
      </c>
      <c r="BJ1272" s="747" t="str">
        <f t="shared" si="452"/>
        <v/>
      </c>
      <c r="BK1272" s="498" t="str">
        <f t="shared" si="446"/>
        <v/>
      </c>
      <c r="BL1272" s="498" t="str">
        <f t="shared" si="447"/>
        <v/>
      </c>
    </row>
    <row r="1273" spans="1:64" x14ac:dyDescent="0.25">
      <c r="A1273" s="762">
        <f t="shared" si="448"/>
        <v>1268</v>
      </c>
      <c r="B1273" s="229"/>
      <c r="C1273" s="223"/>
      <c r="D1273" s="224"/>
      <c r="E1273" s="225"/>
      <c r="F1273" s="1036" t="str">
        <f t="shared" si="454"/>
        <v/>
      </c>
      <c r="G1273" s="1037" t="str">
        <f t="shared" si="449"/>
        <v/>
      </c>
      <c r="H1273" s="225"/>
      <c r="I1273" s="1013"/>
      <c r="J1273" s="1013"/>
      <c r="K1273" s="1028"/>
      <c r="L1273" s="1035" t="str">
        <f t="shared" si="453"/>
        <v/>
      </c>
      <c r="S1273" s="498"/>
      <c r="AJ1273" s="498"/>
      <c r="AM1273" s="498">
        <f t="shared" si="434"/>
        <v>0</v>
      </c>
      <c r="AN1273" s="498">
        <f t="shared" si="435"/>
        <v>0</v>
      </c>
      <c r="AO1273" s="498">
        <f t="shared" si="436"/>
        <v>0</v>
      </c>
      <c r="AP1273" s="498">
        <f t="shared" si="455"/>
        <v>0</v>
      </c>
      <c r="AQ1273" s="498">
        <f t="shared" si="450"/>
        <v>0</v>
      </c>
      <c r="AU1273" s="498">
        <f t="shared" si="437"/>
        <v>0</v>
      </c>
      <c r="AV1273" s="498">
        <f t="shared" si="438"/>
        <v>0</v>
      </c>
      <c r="AW1273" s="498">
        <f t="shared" si="439"/>
        <v>0</v>
      </c>
      <c r="AX1273" s="498">
        <f t="shared" si="440"/>
        <v>0</v>
      </c>
      <c r="AY1273" s="498">
        <f t="shared" si="441"/>
        <v>0</v>
      </c>
      <c r="BB1273" s="498" t="str">
        <f t="shared" si="442"/>
        <v/>
      </c>
      <c r="BC1273" s="743" t="str">
        <f t="shared" si="443"/>
        <v/>
      </c>
      <c r="BD1273" s="743" t="str">
        <f t="shared" si="444"/>
        <v/>
      </c>
      <c r="BE1273" s="743" t="str">
        <f>IF(D1273="","",VLOOKUP(D1273,'General Basis'!$J$39:$K$46,2,0))</f>
        <v/>
      </c>
      <c r="BF1273" s="744" t="str">
        <f>IF(D1273="","",VLOOKUP(D1273,'General Basis'!$J$39:$L$46,3,0))</f>
        <v/>
      </c>
      <c r="BG1273" s="744" t="str">
        <f t="shared" si="451"/>
        <v/>
      </c>
      <c r="BH1273" s="744" t="str">
        <f>IF(G1273="","",IF(BF1273="Abu Dhabi",IF(G1273&lt;18,'General Basis'!$C$39,IF(G1273&lt;41,'General Basis'!$C$40,IF(G1273&lt;60,'General Basis'!$C$41,IF(G1273&lt;65,'General Basis'!$C$42,'General Basis'!$C$43)))),IF(G1273&lt;11,'General Basis'!$B$39,IF(G1273&lt;18,'General Basis'!$B$40,IF(G1273&lt;26,'General Basis'!$B$41,IF(G1273&lt;31,'General Basis'!$B$42,IF(G1273&lt;36,'General Basis'!$B$43,IF(G1273&lt;41,'General Basis'!$B$44,IF(G1273&lt;46,'General Basis'!$B$45,IF(G1273&lt;51,'General Basis'!$B$46,IF(G1273&lt;56,'General Basis'!$B$47,IF(G1273&lt;60,'General Basis'!$B$48,IF(G1273&lt;65,'General Basis'!$B$49,'General Basis'!$B$50)))))))))))))</f>
        <v/>
      </c>
      <c r="BI1273" s="744" t="str">
        <f t="shared" si="445"/>
        <v/>
      </c>
      <c r="BJ1273" s="747" t="str">
        <f t="shared" si="452"/>
        <v/>
      </c>
      <c r="BK1273" s="498" t="str">
        <f t="shared" si="446"/>
        <v/>
      </c>
      <c r="BL1273" s="498" t="str">
        <f t="shared" si="447"/>
        <v/>
      </c>
    </row>
    <row r="1274" spans="1:64" x14ac:dyDescent="0.25">
      <c r="A1274" s="762">
        <f t="shared" si="448"/>
        <v>1269</v>
      </c>
      <c r="B1274" s="229"/>
      <c r="C1274" s="223"/>
      <c r="D1274" s="224"/>
      <c r="E1274" s="225"/>
      <c r="F1274" s="1036" t="str">
        <f t="shared" si="454"/>
        <v/>
      </c>
      <c r="G1274" s="1037" t="str">
        <f t="shared" si="449"/>
        <v/>
      </c>
      <c r="H1274" s="225"/>
      <c r="I1274" s="1013"/>
      <c r="J1274" s="1013"/>
      <c r="K1274" s="1028"/>
      <c r="L1274" s="1035" t="str">
        <f t="shared" si="453"/>
        <v/>
      </c>
      <c r="S1274" s="498"/>
      <c r="AJ1274" s="498"/>
      <c r="AM1274" s="498">
        <f t="shared" si="434"/>
        <v>0</v>
      </c>
      <c r="AN1274" s="498">
        <f t="shared" si="435"/>
        <v>0</v>
      </c>
      <c r="AO1274" s="498">
        <f t="shared" si="436"/>
        <v>0</v>
      </c>
      <c r="AP1274" s="498">
        <f t="shared" si="455"/>
        <v>0</v>
      </c>
      <c r="AQ1274" s="498">
        <f t="shared" si="450"/>
        <v>0</v>
      </c>
      <c r="AU1274" s="498">
        <f t="shared" si="437"/>
        <v>0</v>
      </c>
      <c r="AV1274" s="498">
        <f t="shared" si="438"/>
        <v>0</v>
      </c>
      <c r="AW1274" s="498">
        <f t="shared" si="439"/>
        <v>0</v>
      </c>
      <c r="AX1274" s="498">
        <f t="shared" si="440"/>
        <v>0</v>
      </c>
      <c r="AY1274" s="498">
        <f t="shared" si="441"/>
        <v>0</v>
      </c>
      <c r="BB1274" s="498" t="str">
        <f t="shared" si="442"/>
        <v/>
      </c>
      <c r="BC1274" s="743" t="str">
        <f t="shared" si="443"/>
        <v/>
      </c>
      <c r="BD1274" s="743" t="str">
        <f t="shared" si="444"/>
        <v/>
      </c>
      <c r="BE1274" s="743" t="str">
        <f>IF(D1274="","",VLOOKUP(D1274,'General Basis'!$J$39:$K$46,2,0))</f>
        <v/>
      </c>
      <c r="BF1274" s="744" t="str">
        <f>IF(D1274="","",VLOOKUP(D1274,'General Basis'!$J$39:$L$46,3,0))</f>
        <v/>
      </c>
      <c r="BG1274" s="744" t="str">
        <f t="shared" si="451"/>
        <v/>
      </c>
      <c r="BH1274" s="744" t="str">
        <f>IF(G1274="","",IF(BF1274="Abu Dhabi",IF(G1274&lt;18,'General Basis'!$C$39,IF(G1274&lt;41,'General Basis'!$C$40,IF(G1274&lt;60,'General Basis'!$C$41,IF(G1274&lt;65,'General Basis'!$C$42,'General Basis'!$C$43)))),IF(G1274&lt;11,'General Basis'!$B$39,IF(G1274&lt;18,'General Basis'!$B$40,IF(G1274&lt;26,'General Basis'!$B$41,IF(G1274&lt;31,'General Basis'!$B$42,IF(G1274&lt;36,'General Basis'!$B$43,IF(G1274&lt;41,'General Basis'!$B$44,IF(G1274&lt;46,'General Basis'!$B$45,IF(G1274&lt;51,'General Basis'!$B$46,IF(G1274&lt;56,'General Basis'!$B$47,IF(G1274&lt;60,'General Basis'!$B$48,IF(G1274&lt;65,'General Basis'!$B$49,'General Basis'!$B$50)))))))))))))</f>
        <v/>
      </c>
      <c r="BI1274" s="744" t="str">
        <f t="shared" si="445"/>
        <v/>
      </c>
      <c r="BJ1274" s="747" t="str">
        <f t="shared" si="452"/>
        <v/>
      </c>
      <c r="BK1274" s="498" t="str">
        <f t="shared" si="446"/>
        <v/>
      </c>
      <c r="BL1274" s="498" t="str">
        <f t="shared" si="447"/>
        <v/>
      </c>
    </row>
    <row r="1275" spans="1:64" x14ac:dyDescent="0.25">
      <c r="A1275" s="762">
        <f t="shared" si="448"/>
        <v>1270</v>
      </c>
      <c r="B1275" s="229"/>
      <c r="C1275" s="223"/>
      <c r="D1275" s="224"/>
      <c r="E1275" s="225"/>
      <c r="F1275" s="1036" t="str">
        <f t="shared" si="454"/>
        <v/>
      </c>
      <c r="G1275" s="1037" t="str">
        <f t="shared" si="449"/>
        <v/>
      </c>
      <c r="H1275" s="225"/>
      <c r="I1275" s="1013"/>
      <c r="J1275" s="1013"/>
      <c r="K1275" s="1028"/>
      <c r="L1275" s="1035" t="str">
        <f t="shared" si="453"/>
        <v/>
      </c>
      <c r="S1275" s="498"/>
      <c r="AJ1275" s="498"/>
      <c r="AM1275" s="498">
        <f t="shared" si="434"/>
        <v>0</v>
      </c>
      <c r="AN1275" s="498">
        <f t="shared" si="435"/>
        <v>0</v>
      </c>
      <c r="AO1275" s="498">
        <f t="shared" si="436"/>
        <v>0</v>
      </c>
      <c r="AP1275" s="498">
        <f t="shared" si="455"/>
        <v>0</v>
      </c>
      <c r="AQ1275" s="498">
        <f t="shared" si="450"/>
        <v>0</v>
      </c>
      <c r="AU1275" s="498">
        <f t="shared" si="437"/>
        <v>0</v>
      </c>
      <c r="AV1275" s="498">
        <f t="shared" si="438"/>
        <v>0</v>
      </c>
      <c r="AW1275" s="498">
        <f t="shared" si="439"/>
        <v>0</v>
      </c>
      <c r="AX1275" s="498">
        <f t="shared" si="440"/>
        <v>0</v>
      </c>
      <c r="AY1275" s="498">
        <f t="shared" si="441"/>
        <v>0</v>
      </c>
      <c r="BB1275" s="498" t="str">
        <f t="shared" si="442"/>
        <v/>
      </c>
      <c r="BC1275" s="743" t="str">
        <f t="shared" si="443"/>
        <v/>
      </c>
      <c r="BD1275" s="743" t="str">
        <f t="shared" si="444"/>
        <v/>
      </c>
      <c r="BE1275" s="743" t="str">
        <f>IF(D1275="","",VLOOKUP(D1275,'General Basis'!$J$39:$K$46,2,0))</f>
        <v/>
      </c>
      <c r="BF1275" s="744" t="str">
        <f>IF(D1275="","",VLOOKUP(D1275,'General Basis'!$J$39:$L$46,3,0))</f>
        <v/>
      </c>
      <c r="BG1275" s="744" t="str">
        <f t="shared" si="451"/>
        <v/>
      </c>
      <c r="BH1275" s="744" t="str">
        <f>IF(G1275="","",IF(BF1275="Abu Dhabi",IF(G1275&lt;18,'General Basis'!$C$39,IF(G1275&lt;41,'General Basis'!$C$40,IF(G1275&lt;60,'General Basis'!$C$41,IF(G1275&lt;65,'General Basis'!$C$42,'General Basis'!$C$43)))),IF(G1275&lt;11,'General Basis'!$B$39,IF(G1275&lt;18,'General Basis'!$B$40,IF(G1275&lt;26,'General Basis'!$B$41,IF(G1275&lt;31,'General Basis'!$B$42,IF(G1275&lt;36,'General Basis'!$B$43,IF(G1275&lt;41,'General Basis'!$B$44,IF(G1275&lt;46,'General Basis'!$B$45,IF(G1275&lt;51,'General Basis'!$B$46,IF(G1275&lt;56,'General Basis'!$B$47,IF(G1275&lt;60,'General Basis'!$B$48,IF(G1275&lt;65,'General Basis'!$B$49,'General Basis'!$B$50)))))))))))))</f>
        <v/>
      </c>
      <c r="BI1275" s="744" t="str">
        <f t="shared" si="445"/>
        <v/>
      </c>
      <c r="BJ1275" s="747" t="str">
        <f t="shared" si="452"/>
        <v/>
      </c>
      <c r="BK1275" s="498" t="str">
        <f t="shared" si="446"/>
        <v/>
      </c>
      <c r="BL1275" s="498" t="str">
        <f t="shared" si="447"/>
        <v/>
      </c>
    </row>
    <row r="1276" spans="1:64" x14ac:dyDescent="0.25">
      <c r="A1276" s="762">
        <f t="shared" si="448"/>
        <v>1271</v>
      </c>
      <c r="B1276" s="229"/>
      <c r="C1276" s="223"/>
      <c r="D1276" s="224"/>
      <c r="E1276" s="225"/>
      <c r="F1276" s="1036" t="str">
        <f t="shared" si="454"/>
        <v/>
      </c>
      <c r="G1276" s="1037" t="str">
        <f t="shared" si="449"/>
        <v/>
      </c>
      <c r="H1276" s="225"/>
      <c r="I1276" s="1013"/>
      <c r="J1276" s="1013"/>
      <c r="K1276" s="1028"/>
      <c r="L1276" s="1035" t="str">
        <f t="shared" si="453"/>
        <v/>
      </c>
      <c r="S1276" s="498"/>
      <c r="AJ1276" s="498"/>
      <c r="AM1276" s="498">
        <f t="shared" si="434"/>
        <v>0</v>
      </c>
      <c r="AN1276" s="498">
        <f t="shared" si="435"/>
        <v>0</v>
      </c>
      <c r="AO1276" s="498">
        <f t="shared" si="436"/>
        <v>0</v>
      </c>
      <c r="AP1276" s="498">
        <f t="shared" si="455"/>
        <v>0</v>
      </c>
      <c r="AQ1276" s="498">
        <f t="shared" si="450"/>
        <v>0</v>
      </c>
      <c r="AU1276" s="498">
        <f t="shared" si="437"/>
        <v>0</v>
      </c>
      <c r="AV1276" s="498">
        <f t="shared" si="438"/>
        <v>0</v>
      </c>
      <c r="AW1276" s="498">
        <f t="shared" si="439"/>
        <v>0</v>
      </c>
      <c r="AX1276" s="498">
        <f t="shared" si="440"/>
        <v>0</v>
      </c>
      <c r="AY1276" s="498">
        <f t="shared" si="441"/>
        <v>0</v>
      </c>
      <c r="BB1276" s="498" t="str">
        <f t="shared" si="442"/>
        <v/>
      </c>
      <c r="BC1276" s="743" t="str">
        <f t="shared" si="443"/>
        <v/>
      </c>
      <c r="BD1276" s="743" t="str">
        <f t="shared" si="444"/>
        <v/>
      </c>
      <c r="BE1276" s="743" t="str">
        <f>IF(D1276="","",VLOOKUP(D1276,'General Basis'!$J$39:$K$46,2,0))</f>
        <v/>
      </c>
      <c r="BF1276" s="744" t="str">
        <f>IF(D1276="","",VLOOKUP(D1276,'General Basis'!$J$39:$L$46,3,0))</f>
        <v/>
      </c>
      <c r="BG1276" s="744" t="str">
        <f t="shared" si="451"/>
        <v/>
      </c>
      <c r="BH1276" s="744" t="str">
        <f>IF(G1276="","",IF(BF1276="Abu Dhabi",IF(G1276&lt;18,'General Basis'!$C$39,IF(G1276&lt;41,'General Basis'!$C$40,IF(G1276&lt;60,'General Basis'!$C$41,IF(G1276&lt;65,'General Basis'!$C$42,'General Basis'!$C$43)))),IF(G1276&lt;11,'General Basis'!$B$39,IF(G1276&lt;18,'General Basis'!$B$40,IF(G1276&lt;26,'General Basis'!$B$41,IF(G1276&lt;31,'General Basis'!$B$42,IF(G1276&lt;36,'General Basis'!$B$43,IF(G1276&lt;41,'General Basis'!$B$44,IF(G1276&lt;46,'General Basis'!$B$45,IF(G1276&lt;51,'General Basis'!$B$46,IF(G1276&lt;56,'General Basis'!$B$47,IF(G1276&lt;60,'General Basis'!$B$48,IF(G1276&lt;65,'General Basis'!$B$49,'General Basis'!$B$50)))))))))))))</f>
        <v/>
      </c>
      <c r="BI1276" s="744" t="str">
        <f t="shared" si="445"/>
        <v/>
      </c>
      <c r="BJ1276" s="747" t="str">
        <f t="shared" si="452"/>
        <v/>
      </c>
      <c r="BK1276" s="498" t="str">
        <f t="shared" si="446"/>
        <v/>
      </c>
      <c r="BL1276" s="498" t="str">
        <f t="shared" si="447"/>
        <v/>
      </c>
    </row>
    <row r="1277" spans="1:64" x14ac:dyDescent="0.25">
      <c r="A1277" s="762">
        <f t="shared" si="448"/>
        <v>1272</v>
      </c>
      <c r="B1277" s="229"/>
      <c r="C1277" s="223"/>
      <c r="D1277" s="224"/>
      <c r="E1277" s="225"/>
      <c r="F1277" s="1036" t="str">
        <f t="shared" si="454"/>
        <v/>
      </c>
      <c r="G1277" s="1037" t="str">
        <f t="shared" si="449"/>
        <v/>
      </c>
      <c r="H1277" s="225"/>
      <c r="I1277" s="1013"/>
      <c r="J1277" s="1013"/>
      <c r="K1277" s="1028"/>
      <c r="L1277" s="1035" t="str">
        <f t="shared" si="453"/>
        <v/>
      </c>
      <c r="S1277" s="498"/>
      <c r="AJ1277" s="498"/>
      <c r="AM1277" s="498">
        <f t="shared" si="434"/>
        <v>0</v>
      </c>
      <c r="AN1277" s="498">
        <f t="shared" si="435"/>
        <v>0</v>
      </c>
      <c r="AO1277" s="498">
        <f t="shared" si="436"/>
        <v>0</v>
      </c>
      <c r="AP1277" s="498">
        <f t="shared" si="455"/>
        <v>0</v>
      </c>
      <c r="AQ1277" s="498">
        <f t="shared" si="450"/>
        <v>0</v>
      </c>
      <c r="AU1277" s="498">
        <f t="shared" si="437"/>
        <v>0</v>
      </c>
      <c r="AV1277" s="498">
        <f t="shared" si="438"/>
        <v>0</v>
      </c>
      <c r="AW1277" s="498">
        <f t="shared" si="439"/>
        <v>0</v>
      </c>
      <c r="AX1277" s="498">
        <f t="shared" si="440"/>
        <v>0</v>
      </c>
      <c r="AY1277" s="498">
        <f t="shared" si="441"/>
        <v>0</v>
      </c>
      <c r="BB1277" s="498" t="str">
        <f t="shared" si="442"/>
        <v/>
      </c>
      <c r="BC1277" s="743" t="str">
        <f t="shared" si="443"/>
        <v/>
      </c>
      <c r="BD1277" s="743" t="str">
        <f t="shared" si="444"/>
        <v/>
      </c>
      <c r="BE1277" s="743" t="str">
        <f>IF(D1277="","",VLOOKUP(D1277,'General Basis'!$J$39:$K$46,2,0))</f>
        <v/>
      </c>
      <c r="BF1277" s="744" t="str">
        <f>IF(D1277="","",VLOOKUP(D1277,'General Basis'!$J$39:$L$46,3,0))</f>
        <v/>
      </c>
      <c r="BG1277" s="744" t="str">
        <f t="shared" si="451"/>
        <v/>
      </c>
      <c r="BH1277" s="744" t="str">
        <f>IF(G1277="","",IF(BF1277="Abu Dhabi",IF(G1277&lt;18,'General Basis'!$C$39,IF(G1277&lt;41,'General Basis'!$C$40,IF(G1277&lt;60,'General Basis'!$C$41,IF(G1277&lt;65,'General Basis'!$C$42,'General Basis'!$C$43)))),IF(G1277&lt;11,'General Basis'!$B$39,IF(G1277&lt;18,'General Basis'!$B$40,IF(G1277&lt;26,'General Basis'!$B$41,IF(G1277&lt;31,'General Basis'!$B$42,IF(G1277&lt;36,'General Basis'!$B$43,IF(G1277&lt;41,'General Basis'!$B$44,IF(G1277&lt;46,'General Basis'!$B$45,IF(G1277&lt;51,'General Basis'!$B$46,IF(G1277&lt;56,'General Basis'!$B$47,IF(G1277&lt;60,'General Basis'!$B$48,IF(G1277&lt;65,'General Basis'!$B$49,'General Basis'!$B$50)))))))))))))</f>
        <v/>
      </c>
      <c r="BI1277" s="744" t="str">
        <f t="shared" si="445"/>
        <v/>
      </c>
      <c r="BJ1277" s="747" t="str">
        <f t="shared" si="452"/>
        <v/>
      </c>
      <c r="BK1277" s="498" t="str">
        <f t="shared" si="446"/>
        <v/>
      </c>
      <c r="BL1277" s="498" t="str">
        <f t="shared" si="447"/>
        <v/>
      </c>
    </row>
    <row r="1278" spans="1:64" x14ac:dyDescent="0.25">
      <c r="A1278" s="762">
        <f t="shared" si="448"/>
        <v>1273</v>
      </c>
      <c r="B1278" s="229"/>
      <c r="C1278" s="223"/>
      <c r="D1278" s="224"/>
      <c r="E1278" s="225"/>
      <c r="F1278" s="1036" t="str">
        <f t="shared" si="454"/>
        <v/>
      </c>
      <c r="G1278" s="1037" t="str">
        <f t="shared" si="449"/>
        <v/>
      </c>
      <c r="H1278" s="225"/>
      <c r="I1278" s="1013"/>
      <c r="J1278" s="1013"/>
      <c r="K1278" s="1028"/>
      <c r="L1278" s="1035" t="str">
        <f t="shared" si="453"/>
        <v/>
      </c>
      <c r="S1278" s="498"/>
      <c r="AJ1278" s="498"/>
      <c r="AM1278" s="498">
        <f t="shared" si="434"/>
        <v>0</v>
      </c>
      <c r="AN1278" s="498">
        <f t="shared" si="435"/>
        <v>0</v>
      </c>
      <c r="AO1278" s="498">
        <f t="shared" si="436"/>
        <v>0</v>
      </c>
      <c r="AP1278" s="498">
        <f t="shared" si="455"/>
        <v>0</v>
      </c>
      <c r="AQ1278" s="498">
        <f t="shared" si="450"/>
        <v>0</v>
      </c>
      <c r="AU1278" s="498">
        <f t="shared" si="437"/>
        <v>0</v>
      </c>
      <c r="AV1278" s="498">
        <f t="shared" si="438"/>
        <v>0</v>
      </c>
      <c r="AW1278" s="498">
        <f t="shared" si="439"/>
        <v>0</v>
      </c>
      <c r="AX1278" s="498">
        <f t="shared" si="440"/>
        <v>0</v>
      </c>
      <c r="AY1278" s="498">
        <f t="shared" si="441"/>
        <v>0</v>
      </c>
      <c r="BB1278" s="498" t="str">
        <f t="shared" si="442"/>
        <v/>
      </c>
      <c r="BC1278" s="743" t="str">
        <f t="shared" si="443"/>
        <v/>
      </c>
      <c r="BD1278" s="743" t="str">
        <f t="shared" si="444"/>
        <v/>
      </c>
      <c r="BE1278" s="743" t="str">
        <f>IF(D1278="","",VLOOKUP(D1278,'General Basis'!$J$39:$K$46,2,0))</f>
        <v/>
      </c>
      <c r="BF1278" s="744" t="str">
        <f>IF(D1278="","",VLOOKUP(D1278,'General Basis'!$J$39:$L$46,3,0))</f>
        <v/>
      </c>
      <c r="BG1278" s="744" t="str">
        <f t="shared" si="451"/>
        <v/>
      </c>
      <c r="BH1278" s="744" t="str">
        <f>IF(G1278="","",IF(BF1278="Abu Dhabi",IF(G1278&lt;18,'General Basis'!$C$39,IF(G1278&lt;41,'General Basis'!$C$40,IF(G1278&lt;60,'General Basis'!$C$41,IF(G1278&lt;65,'General Basis'!$C$42,'General Basis'!$C$43)))),IF(G1278&lt;11,'General Basis'!$B$39,IF(G1278&lt;18,'General Basis'!$B$40,IF(G1278&lt;26,'General Basis'!$B$41,IF(G1278&lt;31,'General Basis'!$B$42,IF(G1278&lt;36,'General Basis'!$B$43,IF(G1278&lt;41,'General Basis'!$B$44,IF(G1278&lt;46,'General Basis'!$B$45,IF(G1278&lt;51,'General Basis'!$B$46,IF(G1278&lt;56,'General Basis'!$B$47,IF(G1278&lt;60,'General Basis'!$B$48,IF(G1278&lt;65,'General Basis'!$B$49,'General Basis'!$B$50)))))))))))))</f>
        <v/>
      </c>
      <c r="BI1278" s="744" t="str">
        <f t="shared" si="445"/>
        <v/>
      </c>
      <c r="BJ1278" s="747" t="str">
        <f t="shared" si="452"/>
        <v/>
      </c>
      <c r="BK1278" s="498" t="str">
        <f t="shared" si="446"/>
        <v/>
      </c>
      <c r="BL1278" s="498" t="str">
        <f t="shared" si="447"/>
        <v/>
      </c>
    </row>
    <row r="1279" spans="1:64" x14ac:dyDescent="0.25">
      <c r="A1279" s="762">
        <f t="shared" si="448"/>
        <v>1274</v>
      </c>
      <c r="B1279" s="229"/>
      <c r="C1279" s="223"/>
      <c r="D1279" s="224"/>
      <c r="E1279" s="225"/>
      <c r="F1279" s="1036" t="str">
        <f t="shared" si="454"/>
        <v/>
      </c>
      <c r="G1279" s="1037" t="str">
        <f t="shared" si="449"/>
        <v/>
      </c>
      <c r="H1279" s="225"/>
      <c r="I1279" s="1013"/>
      <c r="J1279" s="1013"/>
      <c r="K1279" s="1028"/>
      <c r="L1279" s="1035" t="str">
        <f t="shared" si="453"/>
        <v/>
      </c>
      <c r="S1279" s="498"/>
      <c r="AJ1279" s="498"/>
      <c r="AM1279" s="498">
        <f t="shared" si="434"/>
        <v>0</v>
      </c>
      <c r="AN1279" s="498">
        <f t="shared" si="435"/>
        <v>0</v>
      </c>
      <c r="AO1279" s="498">
        <f t="shared" si="436"/>
        <v>0</v>
      </c>
      <c r="AP1279" s="498">
        <f t="shared" si="455"/>
        <v>0</v>
      </c>
      <c r="AQ1279" s="498">
        <f t="shared" si="450"/>
        <v>0</v>
      </c>
      <c r="AU1279" s="498">
        <f t="shared" si="437"/>
        <v>0</v>
      </c>
      <c r="AV1279" s="498">
        <f t="shared" si="438"/>
        <v>0</v>
      </c>
      <c r="AW1279" s="498">
        <f t="shared" si="439"/>
        <v>0</v>
      </c>
      <c r="AX1279" s="498">
        <f t="shared" si="440"/>
        <v>0</v>
      </c>
      <c r="AY1279" s="498">
        <f t="shared" si="441"/>
        <v>0</v>
      </c>
      <c r="BB1279" s="498" t="str">
        <f t="shared" si="442"/>
        <v/>
      </c>
      <c r="BC1279" s="743" t="str">
        <f t="shared" si="443"/>
        <v/>
      </c>
      <c r="BD1279" s="743" t="str">
        <f t="shared" si="444"/>
        <v/>
      </c>
      <c r="BE1279" s="743" t="str">
        <f>IF(D1279="","",VLOOKUP(D1279,'General Basis'!$J$39:$K$46,2,0))</f>
        <v/>
      </c>
      <c r="BF1279" s="744" t="str">
        <f>IF(D1279="","",VLOOKUP(D1279,'General Basis'!$J$39:$L$46,3,0))</f>
        <v/>
      </c>
      <c r="BG1279" s="744" t="str">
        <f t="shared" si="451"/>
        <v/>
      </c>
      <c r="BH1279" s="744" t="str">
        <f>IF(G1279="","",IF(BF1279="Abu Dhabi",IF(G1279&lt;18,'General Basis'!$C$39,IF(G1279&lt;41,'General Basis'!$C$40,IF(G1279&lt;60,'General Basis'!$C$41,IF(G1279&lt;65,'General Basis'!$C$42,'General Basis'!$C$43)))),IF(G1279&lt;11,'General Basis'!$B$39,IF(G1279&lt;18,'General Basis'!$B$40,IF(G1279&lt;26,'General Basis'!$B$41,IF(G1279&lt;31,'General Basis'!$B$42,IF(G1279&lt;36,'General Basis'!$B$43,IF(G1279&lt;41,'General Basis'!$B$44,IF(G1279&lt;46,'General Basis'!$B$45,IF(G1279&lt;51,'General Basis'!$B$46,IF(G1279&lt;56,'General Basis'!$B$47,IF(G1279&lt;60,'General Basis'!$B$48,IF(G1279&lt;65,'General Basis'!$B$49,'General Basis'!$B$50)))))))))))))</f>
        <v/>
      </c>
      <c r="BI1279" s="744" t="str">
        <f t="shared" si="445"/>
        <v/>
      </c>
      <c r="BJ1279" s="747" t="str">
        <f t="shared" si="452"/>
        <v/>
      </c>
      <c r="BK1279" s="498" t="str">
        <f t="shared" si="446"/>
        <v/>
      </c>
      <c r="BL1279" s="498" t="str">
        <f t="shared" si="447"/>
        <v/>
      </c>
    </row>
    <row r="1280" spans="1:64" x14ac:dyDescent="0.25">
      <c r="A1280" s="762">
        <f t="shared" si="448"/>
        <v>1275</v>
      </c>
      <c r="B1280" s="229"/>
      <c r="C1280" s="223"/>
      <c r="D1280" s="224"/>
      <c r="E1280" s="225"/>
      <c r="F1280" s="1036" t="str">
        <f t="shared" si="454"/>
        <v/>
      </c>
      <c r="G1280" s="1037" t="str">
        <f t="shared" si="449"/>
        <v/>
      </c>
      <c r="H1280" s="225"/>
      <c r="I1280" s="1013"/>
      <c r="J1280" s="1013"/>
      <c r="K1280" s="1028"/>
      <c r="L1280" s="1035" t="str">
        <f t="shared" si="453"/>
        <v/>
      </c>
      <c r="S1280" s="498"/>
      <c r="AJ1280" s="498"/>
      <c r="AM1280" s="498">
        <f t="shared" si="434"/>
        <v>0</v>
      </c>
      <c r="AN1280" s="498">
        <f t="shared" si="435"/>
        <v>0</v>
      </c>
      <c r="AO1280" s="498">
        <f t="shared" si="436"/>
        <v>0</v>
      </c>
      <c r="AP1280" s="498">
        <f t="shared" si="455"/>
        <v>0</v>
      </c>
      <c r="AQ1280" s="498">
        <f t="shared" si="450"/>
        <v>0</v>
      </c>
      <c r="AU1280" s="498">
        <f t="shared" si="437"/>
        <v>0</v>
      </c>
      <c r="AV1280" s="498">
        <f t="shared" si="438"/>
        <v>0</v>
      </c>
      <c r="AW1280" s="498">
        <f t="shared" si="439"/>
        <v>0</v>
      </c>
      <c r="AX1280" s="498">
        <f t="shared" si="440"/>
        <v>0</v>
      </c>
      <c r="AY1280" s="498">
        <f t="shared" si="441"/>
        <v>0</v>
      </c>
      <c r="BB1280" s="498" t="str">
        <f t="shared" si="442"/>
        <v/>
      </c>
      <c r="BC1280" s="743" t="str">
        <f t="shared" si="443"/>
        <v/>
      </c>
      <c r="BD1280" s="743" t="str">
        <f t="shared" si="444"/>
        <v/>
      </c>
      <c r="BE1280" s="743" t="str">
        <f>IF(D1280="","",VLOOKUP(D1280,'General Basis'!$J$39:$K$46,2,0))</f>
        <v/>
      </c>
      <c r="BF1280" s="744" t="str">
        <f>IF(D1280="","",VLOOKUP(D1280,'General Basis'!$J$39:$L$46,3,0))</f>
        <v/>
      </c>
      <c r="BG1280" s="744" t="str">
        <f t="shared" si="451"/>
        <v/>
      </c>
      <c r="BH1280" s="744" t="str">
        <f>IF(G1280="","",IF(BF1280="Abu Dhabi",IF(G1280&lt;18,'General Basis'!$C$39,IF(G1280&lt;41,'General Basis'!$C$40,IF(G1280&lt;60,'General Basis'!$C$41,IF(G1280&lt;65,'General Basis'!$C$42,'General Basis'!$C$43)))),IF(G1280&lt;11,'General Basis'!$B$39,IF(G1280&lt;18,'General Basis'!$B$40,IF(G1280&lt;26,'General Basis'!$B$41,IF(G1280&lt;31,'General Basis'!$B$42,IF(G1280&lt;36,'General Basis'!$B$43,IF(G1280&lt;41,'General Basis'!$B$44,IF(G1280&lt;46,'General Basis'!$B$45,IF(G1280&lt;51,'General Basis'!$B$46,IF(G1280&lt;56,'General Basis'!$B$47,IF(G1280&lt;60,'General Basis'!$B$48,IF(G1280&lt;65,'General Basis'!$B$49,'General Basis'!$B$50)))))))))))))</f>
        <v/>
      </c>
      <c r="BI1280" s="744" t="str">
        <f t="shared" si="445"/>
        <v/>
      </c>
      <c r="BJ1280" s="747" t="str">
        <f t="shared" si="452"/>
        <v/>
      </c>
      <c r="BK1280" s="498" t="str">
        <f t="shared" si="446"/>
        <v/>
      </c>
      <c r="BL1280" s="498" t="str">
        <f t="shared" si="447"/>
        <v/>
      </c>
    </row>
    <row r="1281" spans="1:64" x14ac:dyDescent="0.25">
      <c r="A1281" s="762">
        <f t="shared" si="448"/>
        <v>1276</v>
      </c>
      <c r="B1281" s="229"/>
      <c r="C1281" s="223"/>
      <c r="D1281" s="224"/>
      <c r="E1281" s="225"/>
      <c r="F1281" s="1036" t="str">
        <f t="shared" si="454"/>
        <v/>
      </c>
      <c r="G1281" s="1037" t="str">
        <f t="shared" si="449"/>
        <v/>
      </c>
      <c r="H1281" s="225"/>
      <c r="I1281" s="1013"/>
      <c r="J1281" s="1013"/>
      <c r="K1281" s="1028"/>
      <c r="L1281" s="1035" t="str">
        <f t="shared" si="453"/>
        <v/>
      </c>
      <c r="S1281" s="498"/>
      <c r="AJ1281" s="498"/>
      <c r="AM1281" s="498">
        <f t="shared" si="434"/>
        <v>0</v>
      </c>
      <c r="AN1281" s="498">
        <f t="shared" si="435"/>
        <v>0</v>
      </c>
      <c r="AO1281" s="498">
        <f t="shared" si="436"/>
        <v>0</v>
      </c>
      <c r="AP1281" s="498">
        <f t="shared" si="455"/>
        <v>0</v>
      </c>
      <c r="AQ1281" s="498">
        <f t="shared" si="450"/>
        <v>0</v>
      </c>
      <c r="AU1281" s="498">
        <f t="shared" si="437"/>
        <v>0</v>
      </c>
      <c r="AV1281" s="498">
        <f t="shared" si="438"/>
        <v>0</v>
      </c>
      <c r="AW1281" s="498">
        <f t="shared" si="439"/>
        <v>0</v>
      </c>
      <c r="AX1281" s="498">
        <f t="shared" si="440"/>
        <v>0</v>
      </c>
      <c r="AY1281" s="498">
        <f t="shared" si="441"/>
        <v>0</v>
      </c>
      <c r="BB1281" s="498" t="str">
        <f t="shared" si="442"/>
        <v/>
      </c>
      <c r="BC1281" s="743" t="str">
        <f t="shared" si="443"/>
        <v/>
      </c>
      <c r="BD1281" s="743" t="str">
        <f t="shared" si="444"/>
        <v/>
      </c>
      <c r="BE1281" s="743" t="str">
        <f>IF(D1281="","",VLOOKUP(D1281,'General Basis'!$J$39:$K$46,2,0))</f>
        <v/>
      </c>
      <c r="BF1281" s="744" t="str">
        <f>IF(D1281="","",VLOOKUP(D1281,'General Basis'!$J$39:$L$46,3,0))</f>
        <v/>
      </c>
      <c r="BG1281" s="744" t="str">
        <f t="shared" si="451"/>
        <v/>
      </c>
      <c r="BH1281" s="744" t="str">
        <f>IF(G1281="","",IF(BF1281="Abu Dhabi",IF(G1281&lt;18,'General Basis'!$C$39,IF(G1281&lt;41,'General Basis'!$C$40,IF(G1281&lt;60,'General Basis'!$C$41,IF(G1281&lt;65,'General Basis'!$C$42,'General Basis'!$C$43)))),IF(G1281&lt;11,'General Basis'!$B$39,IF(G1281&lt;18,'General Basis'!$B$40,IF(G1281&lt;26,'General Basis'!$B$41,IF(G1281&lt;31,'General Basis'!$B$42,IF(G1281&lt;36,'General Basis'!$B$43,IF(G1281&lt;41,'General Basis'!$B$44,IF(G1281&lt;46,'General Basis'!$B$45,IF(G1281&lt;51,'General Basis'!$B$46,IF(G1281&lt;56,'General Basis'!$B$47,IF(G1281&lt;60,'General Basis'!$B$48,IF(G1281&lt;65,'General Basis'!$B$49,'General Basis'!$B$50)))))))))))))</f>
        <v/>
      </c>
      <c r="BI1281" s="744" t="str">
        <f t="shared" si="445"/>
        <v/>
      </c>
      <c r="BJ1281" s="747" t="str">
        <f t="shared" si="452"/>
        <v/>
      </c>
      <c r="BK1281" s="498" t="str">
        <f t="shared" si="446"/>
        <v/>
      </c>
      <c r="BL1281" s="498" t="str">
        <f t="shared" si="447"/>
        <v/>
      </c>
    </row>
    <row r="1282" spans="1:64" x14ac:dyDescent="0.25">
      <c r="A1282" s="762">
        <f t="shared" si="448"/>
        <v>1277</v>
      </c>
      <c r="B1282" s="229"/>
      <c r="C1282" s="223"/>
      <c r="D1282" s="224"/>
      <c r="E1282" s="225"/>
      <c r="F1282" s="1036" t="str">
        <f t="shared" si="454"/>
        <v/>
      </c>
      <c r="G1282" s="1037" t="str">
        <f t="shared" si="449"/>
        <v/>
      </c>
      <c r="H1282" s="225"/>
      <c r="I1282" s="1013"/>
      <c r="J1282" s="1013"/>
      <c r="K1282" s="1028"/>
      <c r="L1282" s="1035" t="str">
        <f t="shared" si="453"/>
        <v/>
      </c>
      <c r="S1282" s="498"/>
      <c r="AJ1282" s="498"/>
      <c r="AM1282" s="498">
        <f t="shared" si="434"/>
        <v>0</v>
      </c>
      <c r="AN1282" s="498">
        <f t="shared" si="435"/>
        <v>0</v>
      </c>
      <c r="AO1282" s="498">
        <f t="shared" si="436"/>
        <v>0</v>
      </c>
      <c r="AP1282" s="498">
        <f t="shared" si="455"/>
        <v>0</v>
      </c>
      <c r="AQ1282" s="498">
        <f t="shared" si="450"/>
        <v>0</v>
      </c>
      <c r="AU1282" s="498">
        <f t="shared" si="437"/>
        <v>0</v>
      </c>
      <c r="AV1282" s="498">
        <f t="shared" si="438"/>
        <v>0</v>
      </c>
      <c r="AW1282" s="498">
        <f t="shared" si="439"/>
        <v>0</v>
      </c>
      <c r="AX1282" s="498">
        <f t="shared" si="440"/>
        <v>0</v>
      </c>
      <c r="AY1282" s="498">
        <f t="shared" si="441"/>
        <v>0</v>
      </c>
      <c r="BB1282" s="498" t="str">
        <f t="shared" si="442"/>
        <v/>
      </c>
      <c r="BC1282" s="743" t="str">
        <f t="shared" si="443"/>
        <v/>
      </c>
      <c r="BD1282" s="743" t="str">
        <f t="shared" si="444"/>
        <v/>
      </c>
      <c r="BE1282" s="743" t="str">
        <f>IF(D1282="","",VLOOKUP(D1282,'General Basis'!$J$39:$K$46,2,0))</f>
        <v/>
      </c>
      <c r="BF1282" s="744" t="str">
        <f>IF(D1282="","",VLOOKUP(D1282,'General Basis'!$J$39:$L$46,3,0))</f>
        <v/>
      </c>
      <c r="BG1282" s="744" t="str">
        <f t="shared" si="451"/>
        <v/>
      </c>
      <c r="BH1282" s="744" t="str">
        <f>IF(G1282="","",IF(BF1282="Abu Dhabi",IF(G1282&lt;18,'General Basis'!$C$39,IF(G1282&lt;41,'General Basis'!$C$40,IF(G1282&lt;60,'General Basis'!$C$41,IF(G1282&lt;65,'General Basis'!$C$42,'General Basis'!$C$43)))),IF(G1282&lt;11,'General Basis'!$B$39,IF(G1282&lt;18,'General Basis'!$B$40,IF(G1282&lt;26,'General Basis'!$B$41,IF(G1282&lt;31,'General Basis'!$B$42,IF(G1282&lt;36,'General Basis'!$B$43,IF(G1282&lt;41,'General Basis'!$B$44,IF(G1282&lt;46,'General Basis'!$B$45,IF(G1282&lt;51,'General Basis'!$B$46,IF(G1282&lt;56,'General Basis'!$B$47,IF(G1282&lt;60,'General Basis'!$B$48,IF(G1282&lt;65,'General Basis'!$B$49,'General Basis'!$B$50)))))))))))))</f>
        <v/>
      </c>
      <c r="BI1282" s="744" t="str">
        <f t="shared" si="445"/>
        <v/>
      </c>
      <c r="BJ1282" s="747" t="str">
        <f t="shared" si="452"/>
        <v/>
      </c>
      <c r="BK1282" s="498" t="str">
        <f t="shared" si="446"/>
        <v/>
      </c>
      <c r="BL1282" s="498" t="str">
        <f t="shared" si="447"/>
        <v/>
      </c>
    </row>
    <row r="1283" spans="1:64" x14ac:dyDescent="0.25">
      <c r="A1283" s="762">
        <f t="shared" si="448"/>
        <v>1278</v>
      </c>
      <c r="B1283" s="229"/>
      <c r="C1283" s="223"/>
      <c r="D1283" s="224"/>
      <c r="E1283" s="225"/>
      <c r="F1283" s="1036" t="str">
        <f t="shared" si="454"/>
        <v/>
      </c>
      <c r="G1283" s="1037" t="str">
        <f t="shared" si="449"/>
        <v/>
      </c>
      <c r="H1283" s="225"/>
      <c r="I1283" s="1013"/>
      <c r="J1283" s="1013"/>
      <c r="K1283" s="1028"/>
      <c r="L1283" s="1035" t="str">
        <f t="shared" si="453"/>
        <v/>
      </c>
      <c r="S1283" s="498"/>
      <c r="AJ1283" s="498"/>
      <c r="AM1283" s="498">
        <f t="shared" si="434"/>
        <v>0</v>
      </c>
      <c r="AN1283" s="498">
        <f t="shared" si="435"/>
        <v>0</v>
      </c>
      <c r="AO1283" s="498">
        <f t="shared" si="436"/>
        <v>0</v>
      </c>
      <c r="AP1283" s="498">
        <f t="shared" si="455"/>
        <v>0</v>
      </c>
      <c r="AQ1283" s="498">
        <f t="shared" si="450"/>
        <v>0</v>
      </c>
      <c r="AU1283" s="498">
        <f t="shared" si="437"/>
        <v>0</v>
      </c>
      <c r="AV1283" s="498">
        <f t="shared" si="438"/>
        <v>0</v>
      </c>
      <c r="AW1283" s="498">
        <f t="shared" si="439"/>
        <v>0</v>
      </c>
      <c r="AX1283" s="498">
        <f t="shared" si="440"/>
        <v>0</v>
      </c>
      <c r="AY1283" s="498">
        <f t="shared" si="441"/>
        <v>0</v>
      </c>
      <c r="BB1283" s="498" t="str">
        <f t="shared" si="442"/>
        <v/>
      </c>
      <c r="BC1283" s="743" t="str">
        <f t="shared" si="443"/>
        <v/>
      </c>
      <c r="BD1283" s="743" t="str">
        <f t="shared" si="444"/>
        <v/>
      </c>
      <c r="BE1283" s="743" t="str">
        <f>IF(D1283="","",VLOOKUP(D1283,'General Basis'!$J$39:$K$46,2,0))</f>
        <v/>
      </c>
      <c r="BF1283" s="744" t="str">
        <f>IF(D1283="","",VLOOKUP(D1283,'General Basis'!$J$39:$L$46,3,0))</f>
        <v/>
      </c>
      <c r="BG1283" s="744" t="str">
        <f t="shared" si="451"/>
        <v/>
      </c>
      <c r="BH1283" s="744" t="str">
        <f>IF(G1283="","",IF(BF1283="Abu Dhabi",IF(G1283&lt;18,'General Basis'!$C$39,IF(G1283&lt;41,'General Basis'!$C$40,IF(G1283&lt;60,'General Basis'!$C$41,IF(G1283&lt;65,'General Basis'!$C$42,'General Basis'!$C$43)))),IF(G1283&lt;11,'General Basis'!$B$39,IF(G1283&lt;18,'General Basis'!$B$40,IF(G1283&lt;26,'General Basis'!$B$41,IF(G1283&lt;31,'General Basis'!$B$42,IF(G1283&lt;36,'General Basis'!$B$43,IF(G1283&lt;41,'General Basis'!$B$44,IF(G1283&lt;46,'General Basis'!$B$45,IF(G1283&lt;51,'General Basis'!$B$46,IF(G1283&lt;56,'General Basis'!$B$47,IF(G1283&lt;60,'General Basis'!$B$48,IF(G1283&lt;65,'General Basis'!$B$49,'General Basis'!$B$50)))))))))))))</f>
        <v/>
      </c>
      <c r="BI1283" s="744" t="str">
        <f t="shared" si="445"/>
        <v/>
      </c>
      <c r="BJ1283" s="747" t="str">
        <f t="shared" si="452"/>
        <v/>
      </c>
      <c r="BK1283" s="498" t="str">
        <f t="shared" si="446"/>
        <v/>
      </c>
      <c r="BL1283" s="498" t="str">
        <f t="shared" si="447"/>
        <v/>
      </c>
    </row>
    <row r="1284" spans="1:64" x14ac:dyDescent="0.25">
      <c r="A1284" s="762">
        <f t="shared" si="448"/>
        <v>1279</v>
      </c>
      <c r="B1284" s="229"/>
      <c r="C1284" s="223"/>
      <c r="D1284" s="224"/>
      <c r="E1284" s="225"/>
      <c r="F1284" s="1036" t="str">
        <f t="shared" si="454"/>
        <v/>
      </c>
      <c r="G1284" s="1037" t="str">
        <f t="shared" si="449"/>
        <v/>
      </c>
      <c r="H1284" s="225"/>
      <c r="I1284" s="1013"/>
      <c r="J1284" s="1013"/>
      <c r="K1284" s="1028"/>
      <c r="L1284" s="1035" t="str">
        <f t="shared" si="453"/>
        <v/>
      </c>
      <c r="S1284" s="498"/>
      <c r="AJ1284" s="498"/>
      <c r="AM1284" s="498">
        <f t="shared" si="434"/>
        <v>0</v>
      </c>
      <c r="AN1284" s="498">
        <f t="shared" si="435"/>
        <v>0</v>
      </c>
      <c r="AO1284" s="498">
        <f t="shared" si="436"/>
        <v>0</v>
      </c>
      <c r="AP1284" s="498">
        <f t="shared" si="455"/>
        <v>0</v>
      </c>
      <c r="AQ1284" s="498">
        <f t="shared" si="450"/>
        <v>0</v>
      </c>
      <c r="AU1284" s="498">
        <f t="shared" si="437"/>
        <v>0</v>
      </c>
      <c r="AV1284" s="498">
        <f t="shared" si="438"/>
        <v>0</v>
      </c>
      <c r="AW1284" s="498">
        <f t="shared" si="439"/>
        <v>0</v>
      </c>
      <c r="AX1284" s="498">
        <f t="shared" si="440"/>
        <v>0</v>
      </c>
      <c r="AY1284" s="498">
        <f t="shared" si="441"/>
        <v>0</v>
      </c>
      <c r="BB1284" s="498" t="str">
        <f t="shared" si="442"/>
        <v/>
      </c>
      <c r="BC1284" s="743" t="str">
        <f t="shared" si="443"/>
        <v/>
      </c>
      <c r="BD1284" s="743" t="str">
        <f t="shared" si="444"/>
        <v/>
      </c>
      <c r="BE1284" s="743" t="str">
        <f>IF(D1284="","",VLOOKUP(D1284,'General Basis'!$J$39:$K$46,2,0))</f>
        <v/>
      </c>
      <c r="BF1284" s="744" t="str">
        <f>IF(D1284="","",VLOOKUP(D1284,'General Basis'!$J$39:$L$46,3,0))</f>
        <v/>
      </c>
      <c r="BG1284" s="744" t="str">
        <f t="shared" si="451"/>
        <v/>
      </c>
      <c r="BH1284" s="744" t="str">
        <f>IF(G1284="","",IF(BF1284="Abu Dhabi",IF(G1284&lt;18,'General Basis'!$C$39,IF(G1284&lt;41,'General Basis'!$C$40,IF(G1284&lt;60,'General Basis'!$C$41,IF(G1284&lt;65,'General Basis'!$C$42,'General Basis'!$C$43)))),IF(G1284&lt;11,'General Basis'!$B$39,IF(G1284&lt;18,'General Basis'!$B$40,IF(G1284&lt;26,'General Basis'!$B$41,IF(G1284&lt;31,'General Basis'!$B$42,IF(G1284&lt;36,'General Basis'!$B$43,IF(G1284&lt;41,'General Basis'!$B$44,IF(G1284&lt;46,'General Basis'!$B$45,IF(G1284&lt;51,'General Basis'!$B$46,IF(G1284&lt;56,'General Basis'!$B$47,IF(G1284&lt;60,'General Basis'!$B$48,IF(G1284&lt;65,'General Basis'!$B$49,'General Basis'!$B$50)))))))))))))</f>
        <v/>
      </c>
      <c r="BI1284" s="744" t="str">
        <f t="shared" si="445"/>
        <v/>
      </c>
      <c r="BJ1284" s="747" t="str">
        <f t="shared" si="452"/>
        <v/>
      </c>
      <c r="BK1284" s="498" t="str">
        <f t="shared" si="446"/>
        <v/>
      </c>
      <c r="BL1284" s="498" t="str">
        <f t="shared" si="447"/>
        <v/>
      </c>
    </row>
    <row r="1285" spans="1:64" x14ac:dyDescent="0.25">
      <c r="A1285" s="762">
        <f t="shared" si="448"/>
        <v>1280</v>
      </c>
      <c r="B1285" s="229"/>
      <c r="C1285" s="223"/>
      <c r="D1285" s="224"/>
      <c r="E1285" s="225"/>
      <c r="F1285" s="1036" t="str">
        <f t="shared" si="454"/>
        <v/>
      </c>
      <c r="G1285" s="1037" t="str">
        <f t="shared" si="449"/>
        <v/>
      </c>
      <c r="H1285" s="225"/>
      <c r="I1285" s="1013"/>
      <c r="J1285" s="1013"/>
      <c r="K1285" s="1028"/>
      <c r="L1285" s="1035" t="str">
        <f t="shared" si="453"/>
        <v/>
      </c>
      <c r="S1285" s="498"/>
      <c r="AJ1285" s="498"/>
      <c r="AM1285" s="498">
        <f t="shared" si="434"/>
        <v>0</v>
      </c>
      <c r="AN1285" s="498">
        <f t="shared" si="435"/>
        <v>0</v>
      </c>
      <c r="AO1285" s="498">
        <f t="shared" si="436"/>
        <v>0</v>
      </c>
      <c r="AP1285" s="498">
        <f t="shared" si="455"/>
        <v>0</v>
      </c>
      <c r="AQ1285" s="498">
        <f t="shared" si="450"/>
        <v>0</v>
      </c>
      <c r="AU1285" s="498">
        <f t="shared" si="437"/>
        <v>0</v>
      </c>
      <c r="AV1285" s="498">
        <f t="shared" si="438"/>
        <v>0</v>
      </c>
      <c r="AW1285" s="498">
        <f t="shared" si="439"/>
        <v>0</v>
      </c>
      <c r="AX1285" s="498">
        <f t="shared" si="440"/>
        <v>0</v>
      </c>
      <c r="AY1285" s="498">
        <f t="shared" si="441"/>
        <v>0</v>
      </c>
      <c r="BB1285" s="498" t="str">
        <f t="shared" si="442"/>
        <v/>
      </c>
      <c r="BC1285" s="743" t="str">
        <f t="shared" si="443"/>
        <v/>
      </c>
      <c r="BD1285" s="743" t="str">
        <f t="shared" si="444"/>
        <v/>
      </c>
      <c r="BE1285" s="743" t="str">
        <f>IF(D1285="","",VLOOKUP(D1285,'General Basis'!$J$39:$K$46,2,0))</f>
        <v/>
      </c>
      <c r="BF1285" s="744" t="str">
        <f>IF(D1285="","",VLOOKUP(D1285,'General Basis'!$J$39:$L$46,3,0))</f>
        <v/>
      </c>
      <c r="BG1285" s="744" t="str">
        <f t="shared" si="451"/>
        <v/>
      </c>
      <c r="BH1285" s="744" t="str">
        <f>IF(G1285="","",IF(BF1285="Abu Dhabi",IF(G1285&lt;18,'General Basis'!$C$39,IF(G1285&lt;41,'General Basis'!$C$40,IF(G1285&lt;60,'General Basis'!$C$41,IF(G1285&lt;65,'General Basis'!$C$42,'General Basis'!$C$43)))),IF(G1285&lt;11,'General Basis'!$B$39,IF(G1285&lt;18,'General Basis'!$B$40,IF(G1285&lt;26,'General Basis'!$B$41,IF(G1285&lt;31,'General Basis'!$B$42,IF(G1285&lt;36,'General Basis'!$B$43,IF(G1285&lt;41,'General Basis'!$B$44,IF(G1285&lt;46,'General Basis'!$B$45,IF(G1285&lt;51,'General Basis'!$B$46,IF(G1285&lt;56,'General Basis'!$B$47,IF(G1285&lt;60,'General Basis'!$B$48,IF(G1285&lt;65,'General Basis'!$B$49,'General Basis'!$B$50)))))))))))))</f>
        <v/>
      </c>
      <c r="BI1285" s="744" t="str">
        <f t="shared" si="445"/>
        <v/>
      </c>
      <c r="BJ1285" s="747" t="str">
        <f t="shared" si="452"/>
        <v/>
      </c>
      <c r="BK1285" s="498" t="str">
        <f t="shared" si="446"/>
        <v/>
      </c>
      <c r="BL1285" s="498" t="str">
        <f t="shared" si="447"/>
        <v/>
      </c>
    </row>
    <row r="1286" spans="1:64" x14ac:dyDescent="0.25">
      <c r="A1286" s="762">
        <f t="shared" si="448"/>
        <v>1281</v>
      </c>
      <c r="B1286" s="229"/>
      <c r="C1286" s="223"/>
      <c r="D1286" s="224"/>
      <c r="E1286" s="225"/>
      <c r="F1286" s="1036" t="str">
        <f t="shared" si="454"/>
        <v/>
      </c>
      <c r="G1286" s="1037" t="str">
        <f t="shared" si="449"/>
        <v/>
      </c>
      <c r="H1286" s="225"/>
      <c r="I1286" s="1013"/>
      <c r="J1286" s="1013"/>
      <c r="K1286" s="1028"/>
      <c r="L1286" s="1035" t="str">
        <f t="shared" si="453"/>
        <v/>
      </c>
      <c r="S1286" s="498"/>
      <c r="AJ1286" s="498"/>
      <c r="AM1286" s="498">
        <f t="shared" ref="AM1286:AM1349" si="456">IF(ISTEXT(B1286),1,0)</f>
        <v>0</v>
      </c>
      <c r="AN1286" s="498">
        <f t="shared" ref="AN1286:AN1349" si="457">IF(ISBLANK(B1286),0,IF(B1286&lt;$AK$6,1,0))</f>
        <v>0</v>
      </c>
      <c r="AO1286" s="498">
        <f t="shared" ref="AO1286:AO1349" si="458">IF(ISBLANK(B1286),0,IF(B1286&gt;$AK$7,1,0))</f>
        <v>0</v>
      </c>
      <c r="AP1286" s="498">
        <f t="shared" si="455"/>
        <v>0</v>
      </c>
      <c r="AQ1286" s="498">
        <f t="shared" si="450"/>
        <v>0</v>
      </c>
      <c r="AU1286" s="498">
        <f t="shared" ref="AU1286:AU1349" si="459">IF(ISBLANK(B1286),0,1)</f>
        <v>0</v>
      </c>
      <c r="AV1286" s="498">
        <f t="shared" ref="AV1286:AV1349" si="460">IF(ISBLANK(C1286),0,1)</f>
        <v>0</v>
      </c>
      <c r="AW1286" s="498">
        <f t="shared" ref="AW1286:AW1349" si="461">IF(ISBLANK(D1286),0,1)</f>
        <v>0</v>
      </c>
      <c r="AX1286" s="498">
        <f t="shared" ref="AX1286:AX1349" si="462">IF(ISBLANK(E1286),0,1)</f>
        <v>0</v>
      </c>
      <c r="AY1286" s="498">
        <f t="shared" ref="AY1286:AY1349" si="463">IF(ISBLANK(H1286),0,1)</f>
        <v>0</v>
      </c>
      <c r="BB1286" s="498" t="str">
        <f t="shared" ref="BB1286:BB1349" si="464">IF(E1286="Principal","Principal",IF(E1286="","","Other"))</f>
        <v/>
      </c>
      <c r="BC1286" s="743" t="str">
        <f t="shared" ref="BC1286:BC1349" si="465">IF(D1286="","",D1286)</f>
        <v/>
      </c>
      <c r="BD1286" s="743" t="str">
        <f t="shared" ref="BD1286:BD1349" si="466">IF(E1286="Principal","Employee",IF(E1286="","","Dependent"))</f>
        <v/>
      </c>
      <c r="BE1286" s="743" t="str">
        <f>IF(D1286="","",VLOOKUP(D1286,'General Basis'!$J$39:$K$46,2,0))</f>
        <v/>
      </c>
      <c r="BF1286" s="744" t="str">
        <f>IF(D1286="","",VLOOKUP(D1286,'General Basis'!$J$39:$L$46,3,0))</f>
        <v/>
      </c>
      <c r="BG1286" s="744" t="str">
        <f t="shared" si="451"/>
        <v/>
      </c>
      <c r="BH1286" s="744" t="str">
        <f>IF(G1286="","",IF(BF1286="Abu Dhabi",IF(G1286&lt;18,'General Basis'!$C$39,IF(G1286&lt;41,'General Basis'!$C$40,IF(G1286&lt;60,'General Basis'!$C$41,IF(G1286&lt;65,'General Basis'!$C$42,'General Basis'!$C$43)))),IF(G1286&lt;11,'General Basis'!$B$39,IF(G1286&lt;18,'General Basis'!$B$40,IF(G1286&lt;26,'General Basis'!$B$41,IF(G1286&lt;31,'General Basis'!$B$42,IF(G1286&lt;36,'General Basis'!$B$43,IF(G1286&lt;41,'General Basis'!$B$44,IF(G1286&lt;46,'General Basis'!$B$45,IF(G1286&lt;51,'General Basis'!$B$46,IF(G1286&lt;56,'General Basis'!$B$47,IF(G1286&lt;60,'General Basis'!$B$48,IF(G1286&lt;65,'General Basis'!$B$49,'General Basis'!$B$50)))))))))))))</f>
        <v/>
      </c>
      <c r="BI1286" s="744" t="str">
        <f t="shared" ref="BI1286:BI1349" si="467">IF(C1286="","",IF(C1286="M","Male","Female"))</f>
        <v/>
      </c>
      <c r="BJ1286" s="747" t="str">
        <f t="shared" si="452"/>
        <v/>
      </c>
      <c r="BK1286" s="498" t="str">
        <f t="shared" ref="BK1286:BK1349" si="468">IF(BD1286="","",IF(AND(BD1286="Employee",BI1286="Male",BF1286="Abu Dhabi",BE1286=GN_Plus),VLOOKUP(BH1286,AUH_MALE_EMP,2,0),IF(AND(BD1286="Employee",BI1286="Male",BF1286="Abu Dhabi",BE1286=GN),VLOOKUP(BH1286,AUH_MALE_EMP,3,0),IF(AND(BD1286="Employee",BI1286="Male",BF1286="Abu Dhabi",BE1286=RN_Plus),VLOOKUP(BH1286,AUH_MALE_EMP,4,0),IF(AND(BD1286="Employee",BI1286="Male",BF1286="Abu Dhabi",BE1286=RN),VLOOKUP(BH1286,AUH_MALE_EMP,5,0),IF(AND(BD1286="Employee",BI1286="Male",BF1286="Abu Dhabi",BE1286=RN_2),VLOOKUP(BH1286,AUH_MALE_EMP,6,0),IF(AND(BD1286="Employee",BI1286="Male",BF1286="Abu Dhabi",BE1286=RN2_minus),VLOOKUP(BH1286,AUH_MALE_EMP,7,0),IF(AND(BD1286="Employee",BI1286="Male",BF1286="Abu Dhabi",BE1286=RN_3),VLOOKUP(BH1286,AUH_MALE_EMP,8,0),IF(AND(BD1286="Employee",BI1286="Male",BF1286="Abu Dhabi",BE1286=VN),VLOOKUP(BH1286,AUH_MALE_EMP,9,0),IF(BD1286="","",IF(AND(BD1286="Employee",BI1286="Female",BF1286="Abu Dhabi",BE1286=GN_Plus),VLOOKUP(BH1286,AUH_FEMALE_EMP,2,0),IF(AND(BD1286="Employee",BI1286="Female",BF1286="Abu Dhabi",BE1286=GN),VLOOKUP(BH1286,AUH_FEMALE_EMP,3,0),IF(AND(BD1286="Employee",BI1286="Female",BF1286="Abu Dhabi",BE1286=RN_Plus),VLOOKUP(BH1286,AUH_FEMALE_EMP,4,0),IF(AND(BD1286="Employee",BI1286="Female",BF1286="Abu Dhabi",BE1286=RN),VLOOKUP(BH1286,AUH_FEMALE_EMP,5,0),IF(AND(BD1286="Employee",BI1286="Female",BF1286="Abu Dhabi",BE1286=RN_2),VLOOKUP(BH1286,AUH_FEMALE_EMP,6,0),IF(AND(BD1286="Employee",BI1286="Female",BF1286="Abu Dhabi",BE1286=RN2_minus),VLOOKUP(BH1286,AUH_FEMALE_EMP,7,0),IF(AND(BD1286="Employee",BI1286="Female",BF1286="Abu Dhabi",BE1286=RN_3),VLOOKUP(BH1286,AUH_FEMALE_EMP,8,0),IF(AND(BD1286="Employee",BI1286="Female",BF1286="Abu Dhabi",BE1286=VN),VLOOKUP(BH1286,AUH_FEMALE_EMP,9,0),IF(BD1286="","",IF(AND(BD1286="Dependent",BI1286="Male",BF1286="Abu Dhabi",BE1286=GN_Plus),VLOOKUP(BH1286,AUH_MALE_DEP,2,0),IF(AND(BD1286="Dependent",BI1286="Male",BF1286="Abu Dhabi",BE1286=GN),VLOOKUP(BH1286,AUH_MALE_DEP,3,0),IF(AND(BD1286="Dependent",BI1286="Male",BF1286="Abu Dhabi",BE1286=RN_Plus),VLOOKUP(BH1286,AUH_MALE_DEP,4,0),IF(AND(BD1286="Dependent",BI1286="Male",BF1286="Abu Dhabi",BE1286=RN),VLOOKUP(BH1286,AUH_MALE_DEP,5,0),IF(AND(BD1286="Dependent",BI1286="Male",BF1286="Abu Dhabi",BE1286=RN_2),VLOOKUP(BH1286,AUH_MALE_DEP,6,0),IF(AND(BD1286="Dependent",BI1286="Male",BF1286="Abu Dhabi",BE1286=RN2_minus),VLOOKUP(BH1286,AUH_MALE_DEP,7,0),IF(AND(BD1286="Dependent",BI1286="Male",BF1286="Abu Dhabi",BE1286=RN_3),VLOOKUP(BH1286,AUH_MALE_DEP,8,0),IF(AND(BD1286="Dependent",BI1286="Male",BF1286="Abu Dhabi",BE1286=VN),VLOOKUP(BH1286,AUH_MALE_DEP,9,0),IF(BD1286="","",IF(AND(BD1286="Dependent",BI1286="Female",BF1286="Abu Dhabi",BE1286=GN_Plus),VLOOKUP(BH1286,AUH_FEMALE_DEP,2,0),IF(AND(BD1286="Dependent",BI1286="Female",BF1286="Abu Dhabi",BE1286=GN),VLOOKUP(BH1286,AUH_FEMALE_DEP,3,0),IF(AND(BD1286="Dependent",BI1286="Female",BF1286="Abu Dhabi",BE1286=RN_Plus),VLOOKUP(BH1286,AUH_FEMALE_DEP,4,0),IF(AND(BD1286="Dependent",BI1286="Female",BF1286="Abu Dhabi",BE1286=RN),VLOOKUP(BH1286,AUH_FEMALE_DEP,5,0),IF(AND(BD1286="Dependent",BI1286="Female",BF1286="Abu Dhabi",BE1286=RN_2),VLOOKUP(BH1286,AUH_FEMALE_DEP,6,0),IF(AND(BD1286="Dependent",BI1286="Female",BF1286="Abu Dhabi",BE1286=RN2_minus),VLOOKUP(BH1286,AUH_FEMALE_DEP,7,0),IF(AND(BD1286="Dependent",BI1286="Female",BF1286="Abu Dhabi",BE1286=RN_3),VLOOKUP(BH1286,AUH_FEMALE_DEP,8,0),IF(AND(BD1286="Dependent",BI1286="Female",BF1286="Abu Dhabi",BE1286=VN),VLOOKUP(BH1286,AUH_FEMALE_DEP,9,0),"ABC"))))))))))))))))))))))))))))))))))))</f>
        <v/>
      </c>
      <c r="BL1286" s="498" t="str">
        <f t="shared" ref="BL1286:BL1349" si="469">IF(BD1286="","",IF(AND(BD1286="Employee",BI1286="Male",BF1286="Dubai",BE1286=GN_Plus),VLOOKUP(BH1286,DXB_MALE_EMP,2,0),IF(AND(BD1286="Employee",BI1286="Male",BF1286="Dubai",BE1286=GN),VLOOKUP(BH1286,DXB_MALE_EMP,3,0),IF(AND(BD1286="Employee",BI1286="Male",BF1286="Dubai",BE1286=RN_Plus),VLOOKUP(BH1286,DXB_MALE_EMP,4,0),IF(AND(BD1286="Employee",BI1286="Male",BF1286="Dubai",BE1286=RN),VLOOKUP(BH1286,DXB_MALE_EMP,5,0),IF(AND(BD1286="Employee",BI1286="Male",BF1286="Dubai",BE1286=RN_2),VLOOKUP(BH1286,DXB_MALE_EMP,6,0),IF(AND(BD1286="Employee",BI1286="Male",BF1286="Dubai",BE1286=RN2_minus),VLOOKUP(BH1286,DXB_MALE_EMP,7,0),IF(AND(BD1286="Employee",BI1286="Male",BF1286="Dubai",BE1286=RN_3),VLOOKUP(BH1286,DXB_MALE_EMP,8,0),IF(AND(BD1286="Employee",BI1286="Male",BF1286="Dubai",BE1286=VN),VLOOKUP(BH1286,DXB_MALE_EMP,9,0),IF(BD1286="","",IF(AND(BD1286="Employee",BI1286="Female",BF1286="Dubai",BE1286=GN_Plus),VLOOKUP(BH1286,DXB_FEMALE_EMP,2,0),IF(AND(BD1286="Employee",BI1286="Female",BF1286="Dubai",BE1286=GN),VLOOKUP(BH1286,DXB_FEMALE_EMP,3,0),IF(AND(BD1286="Employee",BI1286="Female",BF1286="Dubai",BE1286=RN_Plus),VLOOKUP(BH1286,DXB_FEMALE_EMP,4,0),IF(AND(BD1286="Employee",BI1286="Female",BF1286="Dubai",BE1286=RN),VLOOKUP(BH1286,DXB_FEMALE_EMP,5,0),IF(AND(BD1286="Employee",BI1286="Female",BF1286="Dubai",BE1286=RN_2),VLOOKUP(BH1286,DXB_FEMALE_EMP,6,0),IF(AND(BD1286="Employee",BI1286="Female",BF1286="Dubai",BE1286=RN2_minus),VLOOKUP(BH1286,DXB_FEMALE_EMP,7,0),IF(AND(BD1286="Employee",BI1286="Female",BF1286="Dubai",BE1286=RN_3),VLOOKUP(BH1286,DXB_FEMALE_EMP,8,0),IF(AND(BD1286="Employee",BI1286="Female",BF1286="Dubai",BE1286=VN),VLOOKUP(BH1286,DXB_FEMALE_EMP,9,0),IF(BD1286="","",IF(AND(BD1286="Dependent",BI1286="Male",BF1286="Dubai",BE1286=GN_Plus),VLOOKUP(BH1286,DXB_MALE_DEP,2,0),IF(AND(BD1286="Dependent",BI1286="Male",BF1286="Dubai",BE1286=GN),VLOOKUP(BH1286,DXB_MALE_DEP,3,0),IF(AND(BD1286="Dependent",BI1286="Male",BF1286="Dubai",BE1286=RN_Plus),VLOOKUP(BH1286,DXB_MALE_DEP,4,0),IF(AND(BD1286="Dependent",BI1286="Male",BF1286="Dubai",BE1286=RN),VLOOKUP(BH1286,DXB_MALE_DEP,5,0),IF(AND(BD1286="Dependent",BI1286="Male",BF1286="Dubai",BE1286=RN_2),VLOOKUP(BH1286,DXB_MALE_DEP,6,0),IF(AND(BD1286="Dependent",BI1286="Male",BF1286="Dubai",BE1286=RN2_minus),VLOOKUP(BH1286,DXB_MALE_DEP,7,0),IF(AND(BD1286="Dependent",BI1286="Male",BF1286="Dubai",BE1286=RN_3),VLOOKUP(BH1286,DXB_MALE_DEP,8,0),IF(AND(BD1286="Dependent",BI1286="Male",BF1286="Dubai",BE1286=VN),VLOOKUP(BH1286,DXB_MALE_DEP,9,0),IF(BD1286="","",IF(AND(BD1286="Dependent",BI1286="Female",BF1286="Dubai",BE1286=GN_Plus),VLOOKUP(BH1286,DXB_FEMALE_DEP,2,0),IF(AND(BD1286="Dependent",BI1286="Female",BF1286="Dubai",BE1286=GN),VLOOKUP(BH1286,DXB_FEMALE_DEP,3,0),IF(AND(BD1286="Dependent",BI1286="Female",BF1286="Dubai",BE1286=RN_Plus),VLOOKUP(BH1286,DXB_FEMALE_DEP,4,0),IF(AND(BD1286="Dependent",BI1286="Female",BF1286="Dubai",BE1286=RN),VLOOKUP(BH1286,DXB_FEMALE_DEP,5,0),IF(AND(BD1286="Dependent",BI1286="Female",BF1286="Dubai",BE1286=RN_2),VLOOKUP(BH1286,DXB_FEMALE_DEP,6,0),IF(AND(BD1286="Dependent",BI1286="Female",BF1286="Dubai",BE1286=RN2_minus),VLOOKUP(BH1286,DXB_FEMALE_DEP,7,0),IF(AND(BD1286="Dependent",BI1286="Female",BF1286="Dubai",BE1286=RN_3),VLOOKUP(BH1286,DXB_FEMALE_DEP,8,0),IF(AND(BD1286="Dependent",BI1286="Female",BF1286="Dubai",BE1286=VN),VLOOKUP(BH1286,DXB_FEMALE_DEP,9,0),"ABC"))))))))))))))))))))))))))))))))))))</f>
        <v/>
      </c>
    </row>
    <row r="1287" spans="1:64" x14ac:dyDescent="0.25">
      <c r="A1287" s="762">
        <f t="shared" ref="A1287:A1350" si="470">+A1286+1</f>
        <v>1282</v>
      </c>
      <c r="B1287" s="229"/>
      <c r="C1287" s="223"/>
      <c r="D1287" s="224"/>
      <c r="E1287" s="225"/>
      <c r="F1287" s="1036" t="str">
        <f t="shared" si="454"/>
        <v/>
      </c>
      <c r="G1287" s="1037" t="str">
        <f t="shared" ref="G1287:G1350" si="471">IF(D1287="","",MAX(0,ROUNDUP(F1287,0)))</f>
        <v/>
      </c>
      <c r="H1287" s="225"/>
      <c r="I1287" s="1013"/>
      <c r="J1287" s="1013"/>
      <c r="K1287" s="1028"/>
      <c r="L1287" s="1035" t="str">
        <f t="shared" si="453"/>
        <v/>
      </c>
      <c r="S1287" s="498"/>
      <c r="AJ1287" s="498"/>
      <c r="AM1287" s="498">
        <f t="shared" si="456"/>
        <v>0</v>
      </c>
      <c r="AN1287" s="498">
        <f t="shared" si="457"/>
        <v>0</v>
      </c>
      <c r="AO1287" s="498">
        <f t="shared" si="458"/>
        <v>0</v>
      </c>
      <c r="AP1287" s="498">
        <f t="shared" si="455"/>
        <v>0</v>
      </c>
      <c r="AQ1287" s="498">
        <f t="shared" ref="AQ1287:AQ1350" si="472">IF(ISBLANK($B1287),0,IF(OR($H1287="Single",$H1287="Married"),0,1))</f>
        <v>0</v>
      </c>
      <c r="AU1287" s="498">
        <f t="shared" si="459"/>
        <v>0</v>
      </c>
      <c r="AV1287" s="498">
        <f t="shared" si="460"/>
        <v>0</v>
      </c>
      <c r="AW1287" s="498">
        <f t="shared" si="461"/>
        <v>0</v>
      </c>
      <c r="AX1287" s="498">
        <f t="shared" si="462"/>
        <v>0</v>
      </c>
      <c r="AY1287" s="498">
        <f t="shared" si="463"/>
        <v>0</v>
      </c>
      <c r="BB1287" s="498" t="str">
        <f t="shared" si="464"/>
        <v/>
      </c>
      <c r="BC1287" s="743" t="str">
        <f t="shared" si="465"/>
        <v/>
      </c>
      <c r="BD1287" s="743" t="str">
        <f t="shared" si="466"/>
        <v/>
      </c>
      <c r="BE1287" s="743" t="str">
        <f>IF(D1287="","",VLOOKUP(D1287,'General Basis'!$J$39:$K$46,2,0))</f>
        <v/>
      </c>
      <c r="BF1287" s="744" t="str">
        <f>IF(D1287="","",VLOOKUP(D1287,'General Basis'!$J$39:$L$46,3,0))</f>
        <v/>
      </c>
      <c r="BG1287" s="744" t="str">
        <f t="shared" ref="BG1287:BG1350" si="473">BC1287&amp;BI1287</f>
        <v/>
      </c>
      <c r="BH1287" s="744" t="str">
        <f>IF(G1287="","",IF(BF1287="Abu Dhabi",IF(G1287&lt;18,'General Basis'!$C$39,IF(G1287&lt;41,'General Basis'!$C$40,IF(G1287&lt;60,'General Basis'!$C$41,IF(G1287&lt;65,'General Basis'!$C$42,'General Basis'!$C$43)))),IF(G1287&lt;11,'General Basis'!$B$39,IF(G1287&lt;18,'General Basis'!$B$40,IF(G1287&lt;26,'General Basis'!$B$41,IF(G1287&lt;31,'General Basis'!$B$42,IF(G1287&lt;36,'General Basis'!$B$43,IF(G1287&lt;41,'General Basis'!$B$44,IF(G1287&lt;46,'General Basis'!$B$45,IF(G1287&lt;51,'General Basis'!$B$46,IF(G1287&lt;56,'General Basis'!$B$47,IF(G1287&lt;60,'General Basis'!$B$48,IF(G1287&lt;65,'General Basis'!$B$49,'General Basis'!$B$50)))))))))))))</f>
        <v/>
      </c>
      <c r="BI1287" s="744" t="str">
        <f t="shared" si="467"/>
        <v/>
      </c>
      <c r="BJ1287" s="747" t="str">
        <f t="shared" ref="BJ1287:BJ1350" si="474">IF(BD1287="","",IF(BF1287="Abu Dhabi",BK1287,BL1287))</f>
        <v/>
      </c>
      <c r="BK1287" s="498" t="str">
        <f t="shared" si="468"/>
        <v/>
      </c>
      <c r="BL1287" s="498" t="str">
        <f t="shared" si="469"/>
        <v/>
      </c>
    </row>
    <row r="1288" spans="1:64" x14ac:dyDescent="0.25">
      <c r="A1288" s="762">
        <f t="shared" si="470"/>
        <v>1283</v>
      </c>
      <c r="B1288" s="229"/>
      <c r="C1288" s="223"/>
      <c r="D1288" s="224"/>
      <c r="E1288" s="225"/>
      <c r="F1288" s="1036" t="str">
        <f t="shared" si="454"/>
        <v/>
      </c>
      <c r="G1288" s="1037" t="str">
        <f t="shared" si="471"/>
        <v/>
      </c>
      <c r="H1288" s="225"/>
      <c r="I1288" s="1013"/>
      <c r="J1288" s="1013"/>
      <c r="K1288" s="1028"/>
      <c r="L1288" s="1035" t="str">
        <f t="shared" ref="L1288:L1351" si="475">IF(AND(E1288="Child",H1288="Married"),"Check the Marital Status of the Child. ",IF(AND(E1288="Child",F1288&gt;18),"Child Age exceed 18 years. ",IF(AND(E1288="Spouse",H1288="Single"),"Spouse is selected as Single. ","")))&amp;IF(K1288&gt;0,"UW Loading has been Applied","")</f>
        <v/>
      </c>
      <c r="S1288" s="498"/>
      <c r="AJ1288" s="498"/>
      <c r="AM1288" s="498">
        <f t="shared" si="456"/>
        <v>0</v>
      </c>
      <c r="AN1288" s="498">
        <f t="shared" si="457"/>
        <v>0</v>
      </c>
      <c r="AO1288" s="498">
        <f t="shared" si="458"/>
        <v>0</v>
      </c>
      <c r="AP1288" s="498">
        <f t="shared" si="455"/>
        <v>0</v>
      </c>
      <c r="AQ1288" s="498">
        <f t="shared" si="472"/>
        <v>0</v>
      </c>
      <c r="AU1288" s="498">
        <f t="shared" si="459"/>
        <v>0</v>
      </c>
      <c r="AV1288" s="498">
        <f t="shared" si="460"/>
        <v>0</v>
      </c>
      <c r="AW1288" s="498">
        <f t="shared" si="461"/>
        <v>0</v>
      </c>
      <c r="AX1288" s="498">
        <f t="shared" si="462"/>
        <v>0</v>
      </c>
      <c r="AY1288" s="498">
        <f t="shared" si="463"/>
        <v>0</v>
      </c>
      <c r="BB1288" s="498" t="str">
        <f t="shared" si="464"/>
        <v/>
      </c>
      <c r="BC1288" s="743" t="str">
        <f t="shared" si="465"/>
        <v/>
      </c>
      <c r="BD1288" s="743" t="str">
        <f t="shared" si="466"/>
        <v/>
      </c>
      <c r="BE1288" s="743" t="str">
        <f>IF(D1288="","",VLOOKUP(D1288,'General Basis'!$J$39:$K$46,2,0))</f>
        <v/>
      </c>
      <c r="BF1288" s="744" t="str">
        <f>IF(D1288="","",VLOOKUP(D1288,'General Basis'!$J$39:$L$46,3,0))</f>
        <v/>
      </c>
      <c r="BG1288" s="744" t="str">
        <f t="shared" si="473"/>
        <v/>
      </c>
      <c r="BH1288" s="744" t="str">
        <f>IF(G1288="","",IF(BF1288="Abu Dhabi",IF(G1288&lt;18,'General Basis'!$C$39,IF(G1288&lt;41,'General Basis'!$C$40,IF(G1288&lt;60,'General Basis'!$C$41,IF(G1288&lt;65,'General Basis'!$C$42,'General Basis'!$C$43)))),IF(G1288&lt;11,'General Basis'!$B$39,IF(G1288&lt;18,'General Basis'!$B$40,IF(G1288&lt;26,'General Basis'!$B$41,IF(G1288&lt;31,'General Basis'!$B$42,IF(G1288&lt;36,'General Basis'!$B$43,IF(G1288&lt;41,'General Basis'!$B$44,IF(G1288&lt;46,'General Basis'!$B$45,IF(G1288&lt;51,'General Basis'!$B$46,IF(G1288&lt;56,'General Basis'!$B$47,IF(G1288&lt;60,'General Basis'!$B$48,IF(G1288&lt;65,'General Basis'!$B$49,'General Basis'!$B$50)))))))))))))</f>
        <v/>
      </c>
      <c r="BI1288" s="744" t="str">
        <f t="shared" si="467"/>
        <v/>
      </c>
      <c r="BJ1288" s="747" t="str">
        <f t="shared" si="474"/>
        <v/>
      </c>
      <c r="BK1288" s="498" t="str">
        <f t="shared" si="468"/>
        <v/>
      </c>
      <c r="BL1288" s="498" t="str">
        <f t="shared" si="469"/>
        <v/>
      </c>
    </row>
    <row r="1289" spans="1:64" x14ac:dyDescent="0.25">
      <c r="A1289" s="762">
        <f t="shared" si="470"/>
        <v>1284</v>
      </c>
      <c r="B1289" s="229"/>
      <c r="C1289" s="223"/>
      <c r="D1289" s="224"/>
      <c r="E1289" s="225"/>
      <c r="F1289" s="1036" t="str">
        <f t="shared" si="454"/>
        <v/>
      </c>
      <c r="G1289" s="1037" t="str">
        <f t="shared" si="471"/>
        <v/>
      </c>
      <c r="H1289" s="225"/>
      <c r="I1289" s="1013"/>
      <c r="J1289" s="1013"/>
      <c r="K1289" s="1028"/>
      <c r="L1289" s="1035" t="str">
        <f t="shared" si="475"/>
        <v/>
      </c>
      <c r="S1289" s="498"/>
      <c r="AJ1289" s="498"/>
      <c r="AM1289" s="498">
        <f t="shared" si="456"/>
        <v>0</v>
      </c>
      <c r="AN1289" s="498">
        <f t="shared" si="457"/>
        <v>0</v>
      </c>
      <c r="AO1289" s="498">
        <f t="shared" si="458"/>
        <v>0</v>
      </c>
      <c r="AP1289" s="498">
        <f t="shared" si="455"/>
        <v>0</v>
      </c>
      <c r="AQ1289" s="498">
        <f t="shared" si="472"/>
        <v>0</v>
      </c>
      <c r="AU1289" s="498">
        <f t="shared" si="459"/>
        <v>0</v>
      </c>
      <c r="AV1289" s="498">
        <f t="shared" si="460"/>
        <v>0</v>
      </c>
      <c r="AW1289" s="498">
        <f t="shared" si="461"/>
        <v>0</v>
      </c>
      <c r="AX1289" s="498">
        <f t="shared" si="462"/>
        <v>0</v>
      </c>
      <c r="AY1289" s="498">
        <f t="shared" si="463"/>
        <v>0</v>
      </c>
      <c r="BB1289" s="498" t="str">
        <f t="shared" si="464"/>
        <v/>
      </c>
      <c r="BC1289" s="743" t="str">
        <f t="shared" si="465"/>
        <v/>
      </c>
      <c r="BD1289" s="743" t="str">
        <f t="shared" si="466"/>
        <v/>
      </c>
      <c r="BE1289" s="743" t="str">
        <f>IF(D1289="","",VLOOKUP(D1289,'General Basis'!$J$39:$K$46,2,0))</f>
        <v/>
      </c>
      <c r="BF1289" s="744" t="str">
        <f>IF(D1289="","",VLOOKUP(D1289,'General Basis'!$J$39:$L$46,3,0))</f>
        <v/>
      </c>
      <c r="BG1289" s="744" t="str">
        <f t="shared" si="473"/>
        <v/>
      </c>
      <c r="BH1289" s="744" t="str">
        <f>IF(G1289="","",IF(BF1289="Abu Dhabi",IF(G1289&lt;18,'General Basis'!$C$39,IF(G1289&lt;41,'General Basis'!$C$40,IF(G1289&lt;60,'General Basis'!$C$41,IF(G1289&lt;65,'General Basis'!$C$42,'General Basis'!$C$43)))),IF(G1289&lt;11,'General Basis'!$B$39,IF(G1289&lt;18,'General Basis'!$B$40,IF(G1289&lt;26,'General Basis'!$B$41,IF(G1289&lt;31,'General Basis'!$B$42,IF(G1289&lt;36,'General Basis'!$B$43,IF(G1289&lt;41,'General Basis'!$B$44,IF(G1289&lt;46,'General Basis'!$B$45,IF(G1289&lt;51,'General Basis'!$B$46,IF(G1289&lt;56,'General Basis'!$B$47,IF(G1289&lt;60,'General Basis'!$B$48,IF(G1289&lt;65,'General Basis'!$B$49,'General Basis'!$B$50)))))))))))))</f>
        <v/>
      </c>
      <c r="BI1289" s="744" t="str">
        <f t="shared" si="467"/>
        <v/>
      </c>
      <c r="BJ1289" s="747" t="str">
        <f t="shared" si="474"/>
        <v/>
      </c>
      <c r="BK1289" s="498" t="str">
        <f t="shared" si="468"/>
        <v/>
      </c>
      <c r="BL1289" s="498" t="str">
        <f t="shared" si="469"/>
        <v/>
      </c>
    </row>
    <row r="1290" spans="1:64" x14ac:dyDescent="0.25">
      <c r="A1290" s="762">
        <f t="shared" si="470"/>
        <v>1285</v>
      </c>
      <c r="B1290" s="229"/>
      <c r="C1290" s="223"/>
      <c r="D1290" s="224"/>
      <c r="E1290" s="225"/>
      <c r="F1290" s="1036" t="str">
        <f t="shared" si="454"/>
        <v/>
      </c>
      <c r="G1290" s="1037" t="str">
        <f t="shared" si="471"/>
        <v/>
      </c>
      <c r="H1290" s="225"/>
      <c r="I1290" s="1013"/>
      <c r="J1290" s="1013"/>
      <c r="K1290" s="1028"/>
      <c r="L1290" s="1035" t="str">
        <f t="shared" si="475"/>
        <v/>
      </c>
      <c r="S1290" s="498"/>
      <c r="AJ1290" s="498"/>
      <c r="AM1290" s="498">
        <f t="shared" si="456"/>
        <v>0</v>
      </c>
      <c r="AN1290" s="498">
        <f t="shared" si="457"/>
        <v>0</v>
      </c>
      <c r="AO1290" s="498">
        <f t="shared" si="458"/>
        <v>0</v>
      </c>
      <c r="AP1290" s="498">
        <f t="shared" si="455"/>
        <v>0</v>
      </c>
      <c r="AQ1290" s="498">
        <f t="shared" si="472"/>
        <v>0</v>
      </c>
      <c r="AU1290" s="498">
        <f t="shared" si="459"/>
        <v>0</v>
      </c>
      <c r="AV1290" s="498">
        <f t="shared" si="460"/>
        <v>0</v>
      </c>
      <c r="AW1290" s="498">
        <f t="shared" si="461"/>
        <v>0</v>
      </c>
      <c r="AX1290" s="498">
        <f t="shared" si="462"/>
        <v>0</v>
      </c>
      <c r="AY1290" s="498">
        <f t="shared" si="463"/>
        <v>0</v>
      </c>
      <c r="BB1290" s="498" t="str">
        <f t="shared" si="464"/>
        <v/>
      </c>
      <c r="BC1290" s="743" t="str">
        <f t="shared" si="465"/>
        <v/>
      </c>
      <c r="BD1290" s="743" t="str">
        <f t="shared" si="466"/>
        <v/>
      </c>
      <c r="BE1290" s="743" t="str">
        <f>IF(D1290="","",VLOOKUP(D1290,'General Basis'!$J$39:$K$46,2,0))</f>
        <v/>
      </c>
      <c r="BF1290" s="744" t="str">
        <f>IF(D1290="","",VLOOKUP(D1290,'General Basis'!$J$39:$L$46,3,0))</f>
        <v/>
      </c>
      <c r="BG1290" s="744" t="str">
        <f t="shared" si="473"/>
        <v/>
      </c>
      <c r="BH1290" s="744" t="str">
        <f>IF(G1290="","",IF(BF1290="Abu Dhabi",IF(G1290&lt;18,'General Basis'!$C$39,IF(G1290&lt;41,'General Basis'!$C$40,IF(G1290&lt;60,'General Basis'!$C$41,IF(G1290&lt;65,'General Basis'!$C$42,'General Basis'!$C$43)))),IF(G1290&lt;11,'General Basis'!$B$39,IF(G1290&lt;18,'General Basis'!$B$40,IF(G1290&lt;26,'General Basis'!$B$41,IF(G1290&lt;31,'General Basis'!$B$42,IF(G1290&lt;36,'General Basis'!$B$43,IF(G1290&lt;41,'General Basis'!$B$44,IF(G1290&lt;46,'General Basis'!$B$45,IF(G1290&lt;51,'General Basis'!$B$46,IF(G1290&lt;56,'General Basis'!$B$47,IF(G1290&lt;60,'General Basis'!$B$48,IF(G1290&lt;65,'General Basis'!$B$49,'General Basis'!$B$50)))))))))))))</f>
        <v/>
      </c>
      <c r="BI1290" s="744" t="str">
        <f t="shared" si="467"/>
        <v/>
      </c>
      <c r="BJ1290" s="747" t="str">
        <f t="shared" si="474"/>
        <v/>
      </c>
      <c r="BK1290" s="498" t="str">
        <f t="shared" si="468"/>
        <v/>
      </c>
      <c r="BL1290" s="498" t="str">
        <f t="shared" si="469"/>
        <v/>
      </c>
    </row>
    <row r="1291" spans="1:64" x14ac:dyDescent="0.25">
      <c r="A1291" s="762">
        <f t="shared" si="470"/>
        <v>1286</v>
      </c>
      <c r="B1291" s="229"/>
      <c r="C1291" s="223"/>
      <c r="D1291" s="224"/>
      <c r="E1291" s="225"/>
      <c r="F1291" s="1036" t="str">
        <f t="shared" si="454"/>
        <v/>
      </c>
      <c r="G1291" s="1037" t="str">
        <f t="shared" si="471"/>
        <v/>
      </c>
      <c r="H1291" s="225"/>
      <c r="I1291" s="1013"/>
      <c r="J1291" s="1013"/>
      <c r="K1291" s="1028"/>
      <c r="L1291" s="1035" t="str">
        <f t="shared" si="475"/>
        <v/>
      </c>
      <c r="S1291" s="498"/>
      <c r="AJ1291" s="498"/>
      <c r="AM1291" s="498">
        <f t="shared" si="456"/>
        <v>0</v>
      </c>
      <c r="AN1291" s="498">
        <f t="shared" si="457"/>
        <v>0</v>
      </c>
      <c r="AO1291" s="498">
        <f t="shared" si="458"/>
        <v>0</v>
      </c>
      <c r="AP1291" s="498">
        <f t="shared" si="455"/>
        <v>0</v>
      </c>
      <c r="AQ1291" s="498">
        <f t="shared" si="472"/>
        <v>0</v>
      </c>
      <c r="AU1291" s="498">
        <f t="shared" si="459"/>
        <v>0</v>
      </c>
      <c r="AV1291" s="498">
        <f t="shared" si="460"/>
        <v>0</v>
      </c>
      <c r="AW1291" s="498">
        <f t="shared" si="461"/>
        <v>0</v>
      </c>
      <c r="AX1291" s="498">
        <f t="shared" si="462"/>
        <v>0</v>
      </c>
      <c r="AY1291" s="498">
        <f t="shared" si="463"/>
        <v>0</v>
      </c>
      <c r="BB1291" s="498" t="str">
        <f t="shared" si="464"/>
        <v/>
      </c>
      <c r="BC1291" s="743" t="str">
        <f t="shared" si="465"/>
        <v/>
      </c>
      <c r="BD1291" s="743" t="str">
        <f t="shared" si="466"/>
        <v/>
      </c>
      <c r="BE1291" s="743" t="str">
        <f>IF(D1291="","",VLOOKUP(D1291,'General Basis'!$J$39:$K$46,2,0))</f>
        <v/>
      </c>
      <c r="BF1291" s="744" t="str">
        <f>IF(D1291="","",VLOOKUP(D1291,'General Basis'!$J$39:$L$46,3,0))</f>
        <v/>
      </c>
      <c r="BG1291" s="744" t="str">
        <f t="shared" si="473"/>
        <v/>
      </c>
      <c r="BH1291" s="744" t="str">
        <f>IF(G1291="","",IF(BF1291="Abu Dhabi",IF(G1291&lt;18,'General Basis'!$C$39,IF(G1291&lt;41,'General Basis'!$C$40,IF(G1291&lt;60,'General Basis'!$C$41,IF(G1291&lt;65,'General Basis'!$C$42,'General Basis'!$C$43)))),IF(G1291&lt;11,'General Basis'!$B$39,IF(G1291&lt;18,'General Basis'!$B$40,IF(G1291&lt;26,'General Basis'!$B$41,IF(G1291&lt;31,'General Basis'!$B$42,IF(G1291&lt;36,'General Basis'!$B$43,IF(G1291&lt;41,'General Basis'!$B$44,IF(G1291&lt;46,'General Basis'!$B$45,IF(G1291&lt;51,'General Basis'!$B$46,IF(G1291&lt;56,'General Basis'!$B$47,IF(G1291&lt;60,'General Basis'!$B$48,IF(G1291&lt;65,'General Basis'!$B$49,'General Basis'!$B$50)))))))))))))</f>
        <v/>
      </c>
      <c r="BI1291" s="744" t="str">
        <f t="shared" si="467"/>
        <v/>
      </c>
      <c r="BJ1291" s="747" t="str">
        <f t="shared" si="474"/>
        <v/>
      </c>
      <c r="BK1291" s="498" t="str">
        <f t="shared" si="468"/>
        <v/>
      </c>
      <c r="BL1291" s="498" t="str">
        <f t="shared" si="469"/>
        <v/>
      </c>
    </row>
    <row r="1292" spans="1:64" x14ac:dyDescent="0.25">
      <c r="A1292" s="762">
        <f t="shared" si="470"/>
        <v>1287</v>
      </c>
      <c r="B1292" s="229"/>
      <c r="C1292" s="223"/>
      <c r="D1292" s="224"/>
      <c r="E1292" s="225"/>
      <c r="F1292" s="1036" t="str">
        <f t="shared" si="454"/>
        <v/>
      </c>
      <c r="G1292" s="1037" t="str">
        <f t="shared" si="471"/>
        <v/>
      </c>
      <c r="H1292" s="225"/>
      <c r="I1292" s="1013"/>
      <c r="J1292" s="1013"/>
      <c r="K1292" s="1028"/>
      <c r="L1292" s="1035" t="str">
        <f t="shared" si="475"/>
        <v/>
      </c>
      <c r="S1292" s="498"/>
      <c r="AJ1292" s="498"/>
      <c r="AM1292" s="498">
        <f t="shared" si="456"/>
        <v>0</v>
      </c>
      <c r="AN1292" s="498">
        <f t="shared" si="457"/>
        <v>0</v>
      </c>
      <c r="AO1292" s="498">
        <f t="shared" si="458"/>
        <v>0</v>
      </c>
      <c r="AP1292" s="498">
        <f t="shared" si="455"/>
        <v>0</v>
      </c>
      <c r="AQ1292" s="498">
        <f t="shared" si="472"/>
        <v>0</v>
      </c>
      <c r="AU1292" s="498">
        <f t="shared" si="459"/>
        <v>0</v>
      </c>
      <c r="AV1292" s="498">
        <f t="shared" si="460"/>
        <v>0</v>
      </c>
      <c r="AW1292" s="498">
        <f t="shared" si="461"/>
        <v>0</v>
      </c>
      <c r="AX1292" s="498">
        <f t="shared" si="462"/>
        <v>0</v>
      </c>
      <c r="AY1292" s="498">
        <f t="shared" si="463"/>
        <v>0</v>
      </c>
      <c r="BB1292" s="498" t="str">
        <f t="shared" si="464"/>
        <v/>
      </c>
      <c r="BC1292" s="743" t="str">
        <f t="shared" si="465"/>
        <v/>
      </c>
      <c r="BD1292" s="743" t="str">
        <f t="shared" si="466"/>
        <v/>
      </c>
      <c r="BE1292" s="743" t="str">
        <f>IF(D1292="","",VLOOKUP(D1292,'General Basis'!$J$39:$K$46,2,0))</f>
        <v/>
      </c>
      <c r="BF1292" s="744" t="str">
        <f>IF(D1292="","",VLOOKUP(D1292,'General Basis'!$J$39:$L$46,3,0))</f>
        <v/>
      </c>
      <c r="BG1292" s="744" t="str">
        <f t="shared" si="473"/>
        <v/>
      </c>
      <c r="BH1292" s="744" t="str">
        <f>IF(G1292="","",IF(BF1292="Abu Dhabi",IF(G1292&lt;18,'General Basis'!$C$39,IF(G1292&lt;41,'General Basis'!$C$40,IF(G1292&lt;60,'General Basis'!$C$41,IF(G1292&lt;65,'General Basis'!$C$42,'General Basis'!$C$43)))),IF(G1292&lt;11,'General Basis'!$B$39,IF(G1292&lt;18,'General Basis'!$B$40,IF(G1292&lt;26,'General Basis'!$B$41,IF(G1292&lt;31,'General Basis'!$B$42,IF(G1292&lt;36,'General Basis'!$B$43,IF(G1292&lt;41,'General Basis'!$B$44,IF(G1292&lt;46,'General Basis'!$B$45,IF(G1292&lt;51,'General Basis'!$B$46,IF(G1292&lt;56,'General Basis'!$B$47,IF(G1292&lt;60,'General Basis'!$B$48,IF(G1292&lt;65,'General Basis'!$B$49,'General Basis'!$B$50)))))))))))))</f>
        <v/>
      </c>
      <c r="BI1292" s="744" t="str">
        <f t="shared" si="467"/>
        <v/>
      </c>
      <c r="BJ1292" s="747" t="str">
        <f t="shared" si="474"/>
        <v/>
      </c>
      <c r="BK1292" s="498" t="str">
        <f t="shared" si="468"/>
        <v/>
      </c>
      <c r="BL1292" s="498" t="str">
        <f t="shared" si="469"/>
        <v/>
      </c>
    </row>
    <row r="1293" spans="1:64" x14ac:dyDescent="0.25">
      <c r="A1293" s="762">
        <f t="shared" si="470"/>
        <v>1288</v>
      </c>
      <c r="B1293" s="229"/>
      <c r="C1293" s="223"/>
      <c r="D1293" s="224"/>
      <c r="E1293" s="225"/>
      <c r="F1293" s="1036" t="str">
        <f t="shared" si="454"/>
        <v/>
      </c>
      <c r="G1293" s="1037" t="str">
        <f t="shared" si="471"/>
        <v/>
      </c>
      <c r="H1293" s="225"/>
      <c r="I1293" s="1013"/>
      <c r="J1293" s="1013"/>
      <c r="K1293" s="1028"/>
      <c r="L1293" s="1035" t="str">
        <f t="shared" si="475"/>
        <v/>
      </c>
      <c r="S1293" s="498"/>
      <c r="AJ1293" s="498"/>
      <c r="AM1293" s="498">
        <f t="shared" si="456"/>
        <v>0</v>
      </c>
      <c r="AN1293" s="498">
        <f t="shared" si="457"/>
        <v>0</v>
      </c>
      <c r="AO1293" s="498">
        <f t="shared" si="458"/>
        <v>0</v>
      </c>
      <c r="AP1293" s="498">
        <f t="shared" si="455"/>
        <v>0</v>
      </c>
      <c r="AQ1293" s="498">
        <f t="shared" si="472"/>
        <v>0</v>
      </c>
      <c r="AU1293" s="498">
        <f t="shared" si="459"/>
        <v>0</v>
      </c>
      <c r="AV1293" s="498">
        <f t="shared" si="460"/>
        <v>0</v>
      </c>
      <c r="AW1293" s="498">
        <f t="shared" si="461"/>
        <v>0</v>
      </c>
      <c r="AX1293" s="498">
        <f t="shared" si="462"/>
        <v>0</v>
      </c>
      <c r="AY1293" s="498">
        <f t="shared" si="463"/>
        <v>0</v>
      </c>
      <c r="BB1293" s="498" t="str">
        <f t="shared" si="464"/>
        <v/>
      </c>
      <c r="BC1293" s="743" t="str">
        <f t="shared" si="465"/>
        <v/>
      </c>
      <c r="BD1293" s="743" t="str">
        <f t="shared" si="466"/>
        <v/>
      </c>
      <c r="BE1293" s="743" t="str">
        <f>IF(D1293="","",VLOOKUP(D1293,'General Basis'!$J$39:$K$46,2,0))</f>
        <v/>
      </c>
      <c r="BF1293" s="744" t="str">
        <f>IF(D1293="","",VLOOKUP(D1293,'General Basis'!$J$39:$L$46,3,0))</f>
        <v/>
      </c>
      <c r="BG1293" s="744" t="str">
        <f t="shared" si="473"/>
        <v/>
      </c>
      <c r="BH1293" s="744" t="str">
        <f>IF(G1293="","",IF(BF1293="Abu Dhabi",IF(G1293&lt;18,'General Basis'!$C$39,IF(G1293&lt;41,'General Basis'!$C$40,IF(G1293&lt;60,'General Basis'!$C$41,IF(G1293&lt;65,'General Basis'!$C$42,'General Basis'!$C$43)))),IF(G1293&lt;11,'General Basis'!$B$39,IF(G1293&lt;18,'General Basis'!$B$40,IF(G1293&lt;26,'General Basis'!$B$41,IF(G1293&lt;31,'General Basis'!$B$42,IF(G1293&lt;36,'General Basis'!$B$43,IF(G1293&lt;41,'General Basis'!$B$44,IF(G1293&lt;46,'General Basis'!$B$45,IF(G1293&lt;51,'General Basis'!$B$46,IF(G1293&lt;56,'General Basis'!$B$47,IF(G1293&lt;60,'General Basis'!$B$48,IF(G1293&lt;65,'General Basis'!$B$49,'General Basis'!$B$50)))))))))))))</f>
        <v/>
      </c>
      <c r="BI1293" s="744" t="str">
        <f t="shared" si="467"/>
        <v/>
      </c>
      <c r="BJ1293" s="747" t="str">
        <f t="shared" si="474"/>
        <v/>
      </c>
      <c r="BK1293" s="498" t="str">
        <f t="shared" si="468"/>
        <v/>
      </c>
      <c r="BL1293" s="498" t="str">
        <f t="shared" si="469"/>
        <v/>
      </c>
    </row>
    <row r="1294" spans="1:64" x14ac:dyDescent="0.25">
      <c r="A1294" s="762">
        <f t="shared" si="470"/>
        <v>1289</v>
      </c>
      <c r="B1294" s="229"/>
      <c r="C1294" s="223"/>
      <c r="D1294" s="224"/>
      <c r="E1294" s="225"/>
      <c r="F1294" s="1036" t="str">
        <f t="shared" si="454"/>
        <v/>
      </c>
      <c r="G1294" s="1037" t="str">
        <f t="shared" si="471"/>
        <v/>
      </c>
      <c r="H1294" s="225"/>
      <c r="I1294" s="1013"/>
      <c r="J1294" s="1013"/>
      <c r="K1294" s="1028"/>
      <c r="L1294" s="1035" t="str">
        <f t="shared" si="475"/>
        <v/>
      </c>
      <c r="S1294" s="498"/>
      <c r="AJ1294" s="498"/>
      <c r="AM1294" s="498">
        <f t="shared" si="456"/>
        <v>0</v>
      </c>
      <c r="AN1294" s="498">
        <f t="shared" si="457"/>
        <v>0</v>
      </c>
      <c r="AO1294" s="498">
        <f t="shared" si="458"/>
        <v>0</v>
      </c>
      <c r="AP1294" s="498">
        <f t="shared" si="455"/>
        <v>0</v>
      </c>
      <c r="AQ1294" s="498">
        <f t="shared" si="472"/>
        <v>0</v>
      </c>
      <c r="AU1294" s="498">
        <f t="shared" si="459"/>
        <v>0</v>
      </c>
      <c r="AV1294" s="498">
        <f t="shared" si="460"/>
        <v>0</v>
      </c>
      <c r="AW1294" s="498">
        <f t="shared" si="461"/>
        <v>0</v>
      </c>
      <c r="AX1294" s="498">
        <f t="shared" si="462"/>
        <v>0</v>
      </c>
      <c r="AY1294" s="498">
        <f t="shared" si="463"/>
        <v>0</v>
      </c>
      <c r="BB1294" s="498" t="str">
        <f t="shared" si="464"/>
        <v/>
      </c>
      <c r="BC1294" s="743" t="str">
        <f t="shared" si="465"/>
        <v/>
      </c>
      <c r="BD1294" s="743" t="str">
        <f t="shared" si="466"/>
        <v/>
      </c>
      <c r="BE1294" s="743" t="str">
        <f>IF(D1294="","",VLOOKUP(D1294,'General Basis'!$J$39:$K$46,2,0))</f>
        <v/>
      </c>
      <c r="BF1294" s="744" t="str">
        <f>IF(D1294="","",VLOOKUP(D1294,'General Basis'!$J$39:$L$46,3,0))</f>
        <v/>
      </c>
      <c r="BG1294" s="744" t="str">
        <f t="shared" si="473"/>
        <v/>
      </c>
      <c r="BH1294" s="744" t="str">
        <f>IF(G1294="","",IF(BF1294="Abu Dhabi",IF(G1294&lt;18,'General Basis'!$C$39,IF(G1294&lt;41,'General Basis'!$C$40,IF(G1294&lt;60,'General Basis'!$C$41,IF(G1294&lt;65,'General Basis'!$C$42,'General Basis'!$C$43)))),IF(G1294&lt;11,'General Basis'!$B$39,IF(G1294&lt;18,'General Basis'!$B$40,IF(G1294&lt;26,'General Basis'!$B$41,IF(G1294&lt;31,'General Basis'!$B$42,IF(G1294&lt;36,'General Basis'!$B$43,IF(G1294&lt;41,'General Basis'!$B$44,IF(G1294&lt;46,'General Basis'!$B$45,IF(G1294&lt;51,'General Basis'!$B$46,IF(G1294&lt;56,'General Basis'!$B$47,IF(G1294&lt;60,'General Basis'!$B$48,IF(G1294&lt;65,'General Basis'!$B$49,'General Basis'!$B$50)))))))))))))</f>
        <v/>
      </c>
      <c r="BI1294" s="744" t="str">
        <f t="shared" si="467"/>
        <v/>
      </c>
      <c r="BJ1294" s="747" t="str">
        <f t="shared" si="474"/>
        <v/>
      </c>
      <c r="BK1294" s="498" t="str">
        <f t="shared" si="468"/>
        <v/>
      </c>
      <c r="BL1294" s="498" t="str">
        <f t="shared" si="469"/>
        <v/>
      </c>
    </row>
    <row r="1295" spans="1:64" x14ac:dyDescent="0.25">
      <c r="A1295" s="762">
        <f t="shared" si="470"/>
        <v>1290</v>
      </c>
      <c r="B1295" s="229"/>
      <c r="C1295" s="223"/>
      <c r="D1295" s="224"/>
      <c r="E1295" s="225"/>
      <c r="F1295" s="1036" t="str">
        <f t="shared" si="454"/>
        <v/>
      </c>
      <c r="G1295" s="1037" t="str">
        <f t="shared" si="471"/>
        <v/>
      </c>
      <c r="H1295" s="225"/>
      <c r="I1295" s="1013"/>
      <c r="J1295" s="1013"/>
      <c r="K1295" s="1028"/>
      <c r="L1295" s="1035" t="str">
        <f t="shared" si="475"/>
        <v/>
      </c>
      <c r="S1295" s="498"/>
      <c r="AJ1295" s="498"/>
      <c r="AM1295" s="498">
        <f t="shared" si="456"/>
        <v>0</v>
      </c>
      <c r="AN1295" s="498">
        <f t="shared" si="457"/>
        <v>0</v>
      </c>
      <c r="AO1295" s="498">
        <f t="shared" si="458"/>
        <v>0</v>
      </c>
      <c r="AP1295" s="498">
        <f t="shared" si="455"/>
        <v>0</v>
      </c>
      <c r="AQ1295" s="498">
        <f t="shared" si="472"/>
        <v>0</v>
      </c>
      <c r="AU1295" s="498">
        <f t="shared" si="459"/>
        <v>0</v>
      </c>
      <c r="AV1295" s="498">
        <f t="shared" si="460"/>
        <v>0</v>
      </c>
      <c r="AW1295" s="498">
        <f t="shared" si="461"/>
        <v>0</v>
      </c>
      <c r="AX1295" s="498">
        <f t="shared" si="462"/>
        <v>0</v>
      </c>
      <c r="AY1295" s="498">
        <f t="shared" si="463"/>
        <v>0</v>
      </c>
      <c r="BB1295" s="498" t="str">
        <f t="shared" si="464"/>
        <v/>
      </c>
      <c r="BC1295" s="743" t="str">
        <f t="shared" si="465"/>
        <v/>
      </c>
      <c r="BD1295" s="743" t="str">
        <f t="shared" si="466"/>
        <v/>
      </c>
      <c r="BE1295" s="743" t="str">
        <f>IF(D1295="","",VLOOKUP(D1295,'General Basis'!$J$39:$K$46,2,0))</f>
        <v/>
      </c>
      <c r="BF1295" s="744" t="str">
        <f>IF(D1295="","",VLOOKUP(D1295,'General Basis'!$J$39:$L$46,3,0))</f>
        <v/>
      </c>
      <c r="BG1295" s="744" t="str">
        <f t="shared" si="473"/>
        <v/>
      </c>
      <c r="BH1295" s="744" t="str">
        <f>IF(G1295="","",IF(BF1295="Abu Dhabi",IF(G1295&lt;18,'General Basis'!$C$39,IF(G1295&lt;41,'General Basis'!$C$40,IF(G1295&lt;60,'General Basis'!$C$41,IF(G1295&lt;65,'General Basis'!$C$42,'General Basis'!$C$43)))),IF(G1295&lt;11,'General Basis'!$B$39,IF(G1295&lt;18,'General Basis'!$B$40,IF(G1295&lt;26,'General Basis'!$B$41,IF(G1295&lt;31,'General Basis'!$B$42,IF(G1295&lt;36,'General Basis'!$B$43,IF(G1295&lt;41,'General Basis'!$B$44,IF(G1295&lt;46,'General Basis'!$B$45,IF(G1295&lt;51,'General Basis'!$B$46,IF(G1295&lt;56,'General Basis'!$B$47,IF(G1295&lt;60,'General Basis'!$B$48,IF(G1295&lt;65,'General Basis'!$B$49,'General Basis'!$B$50)))))))))))))</f>
        <v/>
      </c>
      <c r="BI1295" s="744" t="str">
        <f t="shared" si="467"/>
        <v/>
      </c>
      <c r="BJ1295" s="747" t="str">
        <f t="shared" si="474"/>
        <v/>
      </c>
      <c r="BK1295" s="498" t="str">
        <f t="shared" si="468"/>
        <v/>
      </c>
      <c r="BL1295" s="498" t="str">
        <f t="shared" si="469"/>
        <v/>
      </c>
    </row>
    <row r="1296" spans="1:64" x14ac:dyDescent="0.25">
      <c r="A1296" s="762">
        <f t="shared" si="470"/>
        <v>1291</v>
      </c>
      <c r="B1296" s="229"/>
      <c r="C1296" s="223"/>
      <c r="D1296" s="224"/>
      <c r="E1296" s="225"/>
      <c r="F1296" s="1036" t="str">
        <f t="shared" ref="F1296:F1359" si="476">IF(C1296="","",IF($B1296="","",((YEAR($F$3)-YEAR($B1296))+(MONTH($F$3)-MONTH($B1296))/12+(DAY($F$3)-DAY($B1296))/(DATE(YEAR($F$3),12,31)-DATE(YEAR($F$3),1,1)+1))))</f>
        <v/>
      </c>
      <c r="G1296" s="1037" t="str">
        <f t="shared" si="471"/>
        <v/>
      </c>
      <c r="H1296" s="225"/>
      <c r="I1296" s="1013"/>
      <c r="J1296" s="1013"/>
      <c r="K1296" s="1028"/>
      <c r="L1296" s="1035" t="str">
        <f t="shared" si="475"/>
        <v/>
      </c>
      <c r="S1296" s="498"/>
      <c r="AJ1296" s="498"/>
      <c r="AM1296" s="498">
        <f t="shared" si="456"/>
        <v>0</v>
      </c>
      <c r="AN1296" s="498">
        <f t="shared" si="457"/>
        <v>0</v>
      </c>
      <c r="AO1296" s="498">
        <f t="shared" si="458"/>
        <v>0</v>
      </c>
      <c r="AP1296" s="498">
        <f t="shared" si="455"/>
        <v>0</v>
      </c>
      <c r="AQ1296" s="498">
        <f t="shared" si="472"/>
        <v>0</v>
      </c>
      <c r="AU1296" s="498">
        <f t="shared" si="459"/>
        <v>0</v>
      </c>
      <c r="AV1296" s="498">
        <f t="shared" si="460"/>
        <v>0</v>
      </c>
      <c r="AW1296" s="498">
        <f t="shared" si="461"/>
        <v>0</v>
      </c>
      <c r="AX1296" s="498">
        <f t="shared" si="462"/>
        <v>0</v>
      </c>
      <c r="AY1296" s="498">
        <f t="shared" si="463"/>
        <v>0</v>
      </c>
      <c r="BB1296" s="498" t="str">
        <f t="shared" si="464"/>
        <v/>
      </c>
      <c r="BC1296" s="743" t="str">
        <f t="shared" si="465"/>
        <v/>
      </c>
      <c r="BD1296" s="743" t="str">
        <f t="shared" si="466"/>
        <v/>
      </c>
      <c r="BE1296" s="743" t="str">
        <f>IF(D1296="","",VLOOKUP(D1296,'General Basis'!$J$39:$K$46,2,0))</f>
        <v/>
      </c>
      <c r="BF1296" s="744" t="str">
        <f>IF(D1296="","",VLOOKUP(D1296,'General Basis'!$J$39:$L$46,3,0))</f>
        <v/>
      </c>
      <c r="BG1296" s="744" t="str">
        <f t="shared" si="473"/>
        <v/>
      </c>
      <c r="BH1296" s="744" t="str">
        <f>IF(G1296="","",IF(BF1296="Abu Dhabi",IF(G1296&lt;18,'General Basis'!$C$39,IF(G1296&lt;41,'General Basis'!$C$40,IF(G1296&lt;60,'General Basis'!$C$41,IF(G1296&lt;65,'General Basis'!$C$42,'General Basis'!$C$43)))),IF(G1296&lt;11,'General Basis'!$B$39,IF(G1296&lt;18,'General Basis'!$B$40,IF(G1296&lt;26,'General Basis'!$B$41,IF(G1296&lt;31,'General Basis'!$B$42,IF(G1296&lt;36,'General Basis'!$B$43,IF(G1296&lt;41,'General Basis'!$B$44,IF(G1296&lt;46,'General Basis'!$B$45,IF(G1296&lt;51,'General Basis'!$B$46,IF(G1296&lt;56,'General Basis'!$B$47,IF(G1296&lt;60,'General Basis'!$B$48,IF(G1296&lt;65,'General Basis'!$B$49,'General Basis'!$B$50)))))))))))))</f>
        <v/>
      </c>
      <c r="BI1296" s="744" t="str">
        <f t="shared" si="467"/>
        <v/>
      </c>
      <c r="BJ1296" s="747" t="str">
        <f t="shared" si="474"/>
        <v/>
      </c>
      <c r="BK1296" s="498" t="str">
        <f t="shared" si="468"/>
        <v/>
      </c>
      <c r="BL1296" s="498" t="str">
        <f t="shared" si="469"/>
        <v/>
      </c>
    </row>
    <row r="1297" spans="1:64" x14ac:dyDescent="0.25">
      <c r="A1297" s="762">
        <f t="shared" si="470"/>
        <v>1292</v>
      </c>
      <c r="B1297" s="229"/>
      <c r="C1297" s="223"/>
      <c r="D1297" s="224"/>
      <c r="E1297" s="225"/>
      <c r="F1297" s="1036" t="str">
        <f t="shared" si="476"/>
        <v/>
      </c>
      <c r="G1297" s="1037" t="str">
        <f t="shared" si="471"/>
        <v/>
      </c>
      <c r="H1297" s="225"/>
      <c r="I1297" s="1013"/>
      <c r="J1297" s="1013"/>
      <c r="K1297" s="1028"/>
      <c r="L1297" s="1035" t="str">
        <f t="shared" si="475"/>
        <v/>
      </c>
      <c r="S1297" s="498"/>
      <c r="AJ1297" s="498"/>
      <c r="AM1297" s="498">
        <f t="shared" si="456"/>
        <v>0</v>
      </c>
      <c r="AN1297" s="498">
        <f t="shared" si="457"/>
        <v>0</v>
      </c>
      <c r="AO1297" s="498">
        <f t="shared" si="458"/>
        <v>0</v>
      </c>
      <c r="AP1297" s="498">
        <f t="shared" si="455"/>
        <v>0</v>
      </c>
      <c r="AQ1297" s="498">
        <f t="shared" si="472"/>
        <v>0</v>
      </c>
      <c r="AU1297" s="498">
        <f t="shared" si="459"/>
        <v>0</v>
      </c>
      <c r="AV1297" s="498">
        <f t="shared" si="460"/>
        <v>0</v>
      </c>
      <c r="AW1297" s="498">
        <f t="shared" si="461"/>
        <v>0</v>
      </c>
      <c r="AX1297" s="498">
        <f t="shared" si="462"/>
        <v>0</v>
      </c>
      <c r="AY1297" s="498">
        <f t="shared" si="463"/>
        <v>0</v>
      </c>
      <c r="BB1297" s="498" t="str">
        <f t="shared" si="464"/>
        <v/>
      </c>
      <c r="BC1297" s="743" t="str">
        <f t="shared" si="465"/>
        <v/>
      </c>
      <c r="BD1297" s="743" t="str">
        <f t="shared" si="466"/>
        <v/>
      </c>
      <c r="BE1297" s="743" t="str">
        <f>IF(D1297="","",VLOOKUP(D1297,'General Basis'!$J$39:$K$46,2,0))</f>
        <v/>
      </c>
      <c r="BF1297" s="744" t="str">
        <f>IF(D1297="","",VLOOKUP(D1297,'General Basis'!$J$39:$L$46,3,0))</f>
        <v/>
      </c>
      <c r="BG1297" s="744" t="str">
        <f t="shared" si="473"/>
        <v/>
      </c>
      <c r="BH1297" s="744" t="str">
        <f>IF(G1297="","",IF(BF1297="Abu Dhabi",IF(G1297&lt;18,'General Basis'!$C$39,IF(G1297&lt;41,'General Basis'!$C$40,IF(G1297&lt;60,'General Basis'!$C$41,IF(G1297&lt;65,'General Basis'!$C$42,'General Basis'!$C$43)))),IF(G1297&lt;11,'General Basis'!$B$39,IF(G1297&lt;18,'General Basis'!$B$40,IF(G1297&lt;26,'General Basis'!$B$41,IF(G1297&lt;31,'General Basis'!$B$42,IF(G1297&lt;36,'General Basis'!$B$43,IF(G1297&lt;41,'General Basis'!$B$44,IF(G1297&lt;46,'General Basis'!$B$45,IF(G1297&lt;51,'General Basis'!$B$46,IF(G1297&lt;56,'General Basis'!$B$47,IF(G1297&lt;60,'General Basis'!$B$48,IF(G1297&lt;65,'General Basis'!$B$49,'General Basis'!$B$50)))))))))))))</f>
        <v/>
      </c>
      <c r="BI1297" s="744" t="str">
        <f t="shared" si="467"/>
        <v/>
      </c>
      <c r="BJ1297" s="747" t="str">
        <f t="shared" si="474"/>
        <v/>
      </c>
      <c r="BK1297" s="498" t="str">
        <f t="shared" si="468"/>
        <v/>
      </c>
      <c r="BL1297" s="498" t="str">
        <f t="shared" si="469"/>
        <v/>
      </c>
    </row>
    <row r="1298" spans="1:64" x14ac:dyDescent="0.25">
      <c r="A1298" s="762">
        <f t="shared" si="470"/>
        <v>1293</v>
      </c>
      <c r="B1298" s="229"/>
      <c r="C1298" s="223"/>
      <c r="D1298" s="224"/>
      <c r="E1298" s="225"/>
      <c r="F1298" s="1036" t="str">
        <f t="shared" si="476"/>
        <v/>
      </c>
      <c r="G1298" s="1037" t="str">
        <f t="shared" si="471"/>
        <v/>
      </c>
      <c r="H1298" s="225"/>
      <c r="I1298" s="1013"/>
      <c r="J1298" s="1013"/>
      <c r="K1298" s="1028"/>
      <c r="L1298" s="1035" t="str">
        <f t="shared" si="475"/>
        <v/>
      </c>
      <c r="S1298" s="498"/>
      <c r="AJ1298" s="498"/>
      <c r="AM1298" s="498">
        <f t="shared" si="456"/>
        <v>0</v>
      </c>
      <c r="AN1298" s="498">
        <f t="shared" si="457"/>
        <v>0</v>
      </c>
      <c r="AO1298" s="498">
        <f t="shared" si="458"/>
        <v>0</v>
      </c>
      <c r="AP1298" s="498">
        <f t="shared" si="455"/>
        <v>0</v>
      </c>
      <c r="AQ1298" s="498">
        <f t="shared" si="472"/>
        <v>0</v>
      </c>
      <c r="AU1298" s="498">
        <f t="shared" si="459"/>
        <v>0</v>
      </c>
      <c r="AV1298" s="498">
        <f t="shared" si="460"/>
        <v>0</v>
      </c>
      <c r="AW1298" s="498">
        <f t="shared" si="461"/>
        <v>0</v>
      </c>
      <c r="AX1298" s="498">
        <f t="shared" si="462"/>
        <v>0</v>
      </c>
      <c r="AY1298" s="498">
        <f t="shared" si="463"/>
        <v>0</v>
      </c>
      <c r="BB1298" s="498" t="str">
        <f t="shared" si="464"/>
        <v/>
      </c>
      <c r="BC1298" s="743" t="str">
        <f t="shared" si="465"/>
        <v/>
      </c>
      <c r="BD1298" s="743" t="str">
        <f t="shared" si="466"/>
        <v/>
      </c>
      <c r="BE1298" s="743" t="str">
        <f>IF(D1298="","",VLOOKUP(D1298,'General Basis'!$J$39:$K$46,2,0))</f>
        <v/>
      </c>
      <c r="BF1298" s="744" t="str">
        <f>IF(D1298="","",VLOOKUP(D1298,'General Basis'!$J$39:$L$46,3,0))</f>
        <v/>
      </c>
      <c r="BG1298" s="744" t="str">
        <f t="shared" si="473"/>
        <v/>
      </c>
      <c r="BH1298" s="744" t="str">
        <f>IF(G1298="","",IF(BF1298="Abu Dhabi",IF(G1298&lt;18,'General Basis'!$C$39,IF(G1298&lt;41,'General Basis'!$C$40,IF(G1298&lt;60,'General Basis'!$C$41,IF(G1298&lt;65,'General Basis'!$C$42,'General Basis'!$C$43)))),IF(G1298&lt;11,'General Basis'!$B$39,IF(G1298&lt;18,'General Basis'!$B$40,IF(G1298&lt;26,'General Basis'!$B$41,IF(G1298&lt;31,'General Basis'!$B$42,IF(G1298&lt;36,'General Basis'!$B$43,IF(G1298&lt;41,'General Basis'!$B$44,IF(G1298&lt;46,'General Basis'!$B$45,IF(G1298&lt;51,'General Basis'!$B$46,IF(G1298&lt;56,'General Basis'!$B$47,IF(G1298&lt;60,'General Basis'!$B$48,IF(G1298&lt;65,'General Basis'!$B$49,'General Basis'!$B$50)))))))))))))</f>
        <v/>
      </c>
      <c r="BI1298" s="744" t="str">
        <f t="shared" si="467"/>
        <v/>
      </c>
      <c r="BJ1298" s="747" t="str">
        <f t="shared" si="474"/>
        <v/>
      </c>
      <c r="BK1298" s="498" t="str">
        <f t="shared" si="468"/>
        <v/>
      </c>
      <c r="BL1298" s="498" t="str">
        <f t="shared" si="469"/>
        <v/>
      </c>
    </row>
    <row r="1299" spans="1:64" x14ac:dyDescent="0.25">
      <c r="A1299" s="762">
        <f t="shared" si="470"/>
        <v>1294</v>
      </c>
      <c r="B1299" s="229"/>
      <c r="C1299" s="223"/>
      <c r="D1299" s="224"/>
      <c r="E1299" s="225"/>
      <c r="F1299" s="1036" t="str">
        <f t="shared" si="476"/>
        <v/>
      </c>
      <c r="G1299" s="1037" t="str">
        <f t="shared" si="471"/>
        <v/>
      </c>
      <c r="H1299" s="225"/>
      <c r="I1299" s="1013"/>
      <c r="J1299" s="1013"/>
      <c r="K1299" s="1028"/>
      <c r="L1299" s="1035" t="str">
        <f t="shared" si="475"/>
        <v/>
      </c>
      <c r="S1299" s="498"/>
      <c r="AJ1299" s="498"/>
      <c r="AM1299" s="498">
        <f t="shared" si="456"/>
        <v>0</v>
      </c>
      <c r="AN1299" s="498">
        <f t="shared" si="457"/>
        <v>0</v>
      </c>
      <c r="AO1299" s="498">
        <f t="shared" si="458"/>
        <v>0</v>
      </c>
      <c r="AP1299" s="498">
        <f t="shared" ref="AP1299:AP1362" si="477">IF(ISBLANK($B1299),0,IF(OR($C1299="M",$C1299="F"),0,1))</f>
        <v>0</v>
      </c>
      <c r="AQ1299" s="498">
        <f t="shared" si="472"/>
        <v>0</v>
      </c>
      <c r="AU1299" s="498">
        <f t="shared" si="459"/>
        <v>0</v>
      </c>
      <c r="AV1299" s="498">
        <f t="shared" si="460"/>
        <v>0</v>
      </c>
      <c r="AW1299" s="498">
        <f t="shared" si="461"/>
        <v>0</v>
      </c>
      <c r="AX1299" s="498">
        <f t="shared" si="462"/>
        <v>0</v>
      </c>
      <c r="AY1299" s="498">
        <f t="shared" si="463"/>
        <v>0</v>
      </c>
      <c r="BB1299" s="498" t="str">
        <f t="shared" si="464"/>
        <v/>
      </c>
      <c r="BC1299" s="743" t="str">
        <f t="shared" si="465"/>
        <v/>
      </c>
      <c r="BD1299" s="743" t="str">
        <f t="shared" si="466"/>
        <v/>
      </c>
      <c r="BE1299" s="743" t="str">
        <f>IF(D1299="","",VLOOKUP(D1299,'General Basis'!$J$39:$K$46,2,0))</f>
        <v/>
      </c>
      <c r="BF1299" s="744" t="str">
        <f>IF(D1299="","",VLOOKUP(D1299,'General Basis'!$J$39:$L$46,3,0))</f>
        <v/>
      </c>
      <c r="BG1299" s="744" t="str">
        <f t="shared" si="473"/>
        <v/>
      </c>
      <c r="BH1299" s="744" t="str">
        <f>IF(G1299="","",IF(BF1299="Abu Dhabi",IF(G1299&lt;18,'General Basis'!$C$39,IF(G1299&lt;41,'General Basis'!$C$40,IF(G1299&lt;60,'General Basis'!$C$41,IF(G1299&lt;65,'General Basis'!$C$42,'General Basis'!$C$43)))),IF(G1299&lt;11,'General Basis'!$B$39,IF(G1299&lt;18,'General Basis'!$B$40,IF(G1299&lt;26,'General Basis'!$B$41,IF(G1299&lt;31,'General Basis'!$B$42,IF(G1299&lt;36,'General Basis'!$B$43,IF(G1299&lt;41,'General Basis'!$B$44,IF(G1299&lt;46,'General Basis'!$B$45,IF(G1299&lt;51,'General Basis'!$B$46,IF(G1299&lt;56,'General Basis'!$B$47,IF(G1299&lt;60,'General Basis'!$B$48,IF(G1299&lt;65,'General Basis'!$B$49,'General Basis'!$B$50)))))))))))))</f>
        <v/>
      </c>
      <c r="BI1299" s="744" t="str">
        <f t="shared" si="467"/>
        <v/>
      </c>
      <c r="BJ1299" s="747" t="str">
        <f t="shared" si="474"/>
        <v/>
      </c>
      <c r="BK1299" s="498" t="str">
        <f t="shared" si="468"/>
        <v/>
      </c>
      <c r="BL1299" s="498" t="str">
        <f t="shared" si="469"/>
        <v/>
      </c>
    </row>
    <row r="1300" spans="1:64" x14ac:dyDescent="0.25">
      <c r="A1300" s="762">
        <f t="shared" si="470"/>
        <v>1295</v>
      </c>
      <c r="B1300" s="229"/>
      <c r="C1300" s="223"/>
      <c r="D1300" s="224"/>
      <c r="E1300" s="225"/>
      <c r="F1300" s="1036" t="str">
        <f t="shared" si="476"/>
        <v/>
      </c>
      <c r="G1300" s="1037" t="str">
        <f t="shared" si="471"/>
        <v/>
      </c>
      <c r="H1300" s="225"/>
      <c r="I1300" s="1013"/>
      <c r="J1300" s="1013"/>
      <c r="K1300" s="1028"/>
      <c r="L1300" s="1035" t="str">
        <f t="shared" si="475"/>
        <v/>
      </c>
      <c r="S1300" s="498"/>
      <c r="AJ1300" s="498"/>
      <c r="AM1300" s="498">
        <f t="shared" si="456"/>
        <v>0</v>
      </c>
      <c r="AN1300" s="498">
        <f t="shared" si="457"/>
        <v>0</v>
      </c>
      <c r="AO1300" s="498">
        <f t="shared" si="458"/>
        <v>0</v>
      </c>
      <c r="AP1300" s="498">
        <f t="shared" si="477"/>
        <v>0</v>
      </c>
      <c r="AQ1300" s="498">
        <f t="shared" si="472"/>
        <v>0</v>
      </c>
      <c r="AU1300" s="498">
        <f t="shared" si="459"/>
        <v>0</v>
      </c>
      <c r="AV1300" s="498">
        <f t="shared" si="460"/>
        <v>0</v>
      </c>
      <c r="AW1300" s="498">
        <f t="shared" si="461"/>
        <v>0</v>
      </c>
      <c r="AX1300" s="498">
        <f t="shared" si="462"/>
        <v>0</v>
      </c>
      <c r="AY1300" s="498">
        <f t="shared" si="463"/>
        <v>0</v>
      </c>
      <c r="BB1300" s="498" t="str">
        <f t="shared" si="464"/>
        <v/>
      </c>
      <c r="BC1300" s="743" t="str">
        <f t="shared" si="465"/>
        <v/>
      </c>
      <c r="BD1300" s="743" t="str">
        <f t="shared" si="466"/>
        <v/>
      </c>
      <c r="BE1300" s="743" t="str">
        <f>IF(D1300="","",VLOOKUP(D1300,'General Basis'!$J$39:$K$46,2,0))</f>
        <v/>
      </c>
      <c r="BF1300" s="744" t="str">
        <f>IF(D1300="","",VLOOKUP(D1300,'General Basis'!$J$39:$L$46,3,0))</f>
        <v/>
      </c>
      <c r="BG1300" s="744" t="str">
        <f t="shared" si="473"/>
        <v/>
      </c>
      <c r="BH1300" s="744" t="str">
        <f>IF(G1300="","",IF(BF1300="Abu Dhabi",IF(G1300&lt;18,'General Basis'!$C$39,IF(G1300&lt;41,'General Basis'!$C$40,IF(G1300&lt;60,'General Basis'!$C$41,IF(G1300&lt;65,'General Basis'!$C$42,'General Basis'!$C$43)))),IF(G1300&lt;11,'General Basis'!$B$39,IF(G1300&lt;18,'General Basis'!$B$40,IF(G1300&lt;26,'General Basis'!$B$41,IF(G1300&lt;31,'General Basis'!$B$42,IF(G1300&lt;36,'General Basis'!$B$43,IF(G1300&lt;41,'General Basis'!$B$44,IF(G1300&lt;46,'General Basis'!$B$45,IF(G1300&lt;51,'General Basis'!$B$46,IF(G1300&lt;56,'General Basis'!$B$47,IF(G1300&lt;60,'General Basis'!$B$48,IF(G1300&lt;65,'General Basis'!$B$49,'General Basis'!$B$50)))))))))))))</f>
        <v/>
      </c>
      <c r="BI1300" s="744" t="str">
        <f t="shared" si="467"/>
        <v/>
      </c>
      <c r="BJ1300" s="747" t="str">
        <f t="shared" si="474"/>
        <v/>
      </c>
      <c r="BK1300" s="498" t="str">
        <f t="shared" si="468"/>
        <v/>
      </c>
      <c r="BL1300" s="498" t="str">
        <f t="shared" si="469"/>
        <v/>
      </c>
    </row>
    <row r="1301" spans="1:64" x14ac:dyDescent="0.25">
      <c r="A1301" s="762">
        <f t="shared" si="470"/>
        <v>1296</v>
      </c>
      <c r="B1301" s="229"/>
      <c r="C1301" s="223"/>
      <c r="D1301" s="224"/>
      <c r="E1301" s="225"/>
      <c r="F1301" s="1036" t="str">
        <f t="shared" si="476"/>
        <v/>
      </c>
      <c r="G1301" s="1037" t="str">
        <f t="shared" si="471"/>
        <v/>
      </c>
      <c r="H1301" s="225"/>
      <c r="I1301" s="1013"/>
      <c r="J1301" s="1013"/>
      <c r="K1301" s="1028"/>
      <c r="L1301" s="1035" t="str">
        <f t="shared" si="475"/>
        <v/>
      </c>
      <c r="S1301" s="498"/>
      <c r="AJ1301" s="498"/>
      <c r="AM1301" s="498">
        <f t="shared" si="456"/>
        <v>0</v>
      </c>
      <c r="AN1301" s="498">
        <f t="shared" si="457"/>
        <v>0</v>
      </c>
      <c r="AO1301" s="498">
        <f t="shared" si="458"/>
        <v>0</v>
      </c>
      <c r="AP1301" s="498">
        <f t="shared" si="477"/>
        <v>0</v>
      </c>
      <c r="AQ1301" s="498">
        <f t="shared" si="472"/>
        <v>0</v>
      </c>
      <c r="AU1301" s="498">
        <f t="shared" si="459"/>
        <v>0</v>
      </c>
      <c r="AV1301" s="498">
        <f t="shared" si="460"/>
        <v>0</v>
      </c>
      <c r="AW1301" s="498">
        <f t="shared" si="461"/>
        <v>0</v>
      </c>
      <c r="AX1301" s="498">
        <f t="shared" si="462"/>
        <v>0</v>
      </c>
      <c r="AY1301" s="498">
        <f t="shared" si="463"/>
        <v>0</v>
      </c>
      <c r="BB1301" s="498" t="str">
        <f t="shared" si="464"/>
        <v/>
      </c>
      <c r="BC1301" s="743" t="str">
        <f t="shared" si="465"/>
        <v/>
      </c>
      <c r="BD1301" s="743" t="str">
        <f t="shared" si="466"/>
        <v/>
      </c>
      <c r="BE1301" s="743" t="str">
        <f>IF(D1301="","",VLOOKUP(D1301,'General Basis'!$J$39:$K$46,2,0))</f>
        <v/>
      </c>
      <c r="BF1301" s="744" t="str">
        <f>IF(D1301="","",VLOOKUP(D1301,'General Basis'!$J$39:$L$46,3,0))</f>
        <v/>
      </c>
      <c r="BG1301" s="744" t="str">
        <f t="shared" si="473"/>
        <v/>
      </c>
      <c r="BH1301" s="744" t="str">
        <f>IF(G1301="","",IF(BF1301="Abu Dhabi",IF(G1301&lt;18,'General Basis'!$C$39,IF(G1301&lt;41,'General Basis'!$C$40,IF(G1301&lt;60,'General Basis'!$C$41,IF(G1301&lt;65,'General Basis'!$C$42,'General Basis'!$C$43)))),IF(G1301&lt;11,'General Basis'!$B$39,IF(G1301&lt;18,'General Basis'!$B$40,IF(G1301&lt;26,'General Basis'!$B$41,IF(G1301&lt;31,'General Basis'!$B$42,IF(G1301&lt;36,'General Basis'!$B$43,IF(G1301&lt;41,'General Basis'!$B$44,IF(G1301&lt;46,'General Basis'!$B$45,IF(G1301&lt;51,'General Basis'!$B$46,IF(G1301&lt;56,'General Basis'!$B$47,IF(G1301&lt;60,'General Basis'!$B$48,IF(G1301&lt;65,'General Basis'!$B$49,'General Basis'!$B$50)))))))))))))</f>
        <v/>
      </c>
      <c r="BI1301" s="744" t="str">
        <f t="shared" si="467"/>
        <v/>
      </c>
      <c r="BJ1301" s="747" t="str">
        <f t="shared" si="474"/>
        <v/>
      </c>
      <c r="BK1301" s="498" t="str">
        <f t="shared" si="468"/>
        <v/>
      </c>
      <c r="BL1301" s="498" t="str">
        <f t="shared" si="469"/>
        <v/>
      </c>
    </row>
    <row r="1302" spans="1:64" x14ac:dyDescent="0.25">
      <c r="A1302" s="762">
        <f t="shared" si="470"/>
        <v>1297</v>
      </c>
      <c r="B1302" s="229"/>
      <c r="C1302" s="223"/>
      <c r="D1302" s="224"/>
      <c r="E1302" s="225"/>
      <c r="F1302" s="1036" t="str">
        <f t="shared" si="476"/>
        <v/>
      </c>
      <c r="G1302" s="1037" t="str">
        <f t="shared" si="471"/>
        <v/>
      </c>
      <c r="H1302" s="225"/>
      <c r="I1302" s="1013"/>
      <c r="J1302" s="1013"/>
      <c r="K1302" s="1028"/>
      <c r="L1302" s="1035" t="str">
        <f t="shared" si="475"/>
        <v/>
      </c>
      <c r="S1302" s="498"/>
      <c r="AJ1302" s="498"/>
      <c r="AM1302" s="498">
        <f t="shared" si="456"/>
        <v>0</v>
      </c>
      <c r="AN1302" s="498">
        <f t="shared" si="457"/>
        <v>0</v>
      </c>
      <c r="AO1302" s="498">
        <f t="shared" si="458"/>
        <v>0</v>
      </c>
      <c r="AP1302" s="498">
        <f t="shared" si="477"/>
        <v>0</v>
      </c>
      <c r="AQ1302" s="498">
        <f t="shared" si="472"/>
        <v>0</v>
      </c>
      <c r="AU1302" s="498">
        <f t="shared" si="459"/>
        <v>0</v>
      </c>
      <c r="AV1302" s="498">
        <f t="shared" si="460"/>
        <v>0</v>
      </c>
      <c r="AW1302" s="498">
        <f t="shared" si="461"/>
        <v>0</v>
      </c>
      <c r="AX1302" s="498">
        <f t="shared" si="462"/>
        <v>0</v>
      </c>
      <c r="AY1302" s="498">
        <f t="shared" si="463"/>
        <v>0</v>
      </c>
      <c r="BB1302" s="498" t="str">
        <f t="shared" si="464"/>
        <v/>
      </c>
      <c r="BC1302" s="743" t="str">
        <f t="shared" si="465"/>
        <v/>
      </c>
      <c r="BD1302" s="743" t="str">
        <f t="shared" si="466"/>
        <v/>
      </c>
      <c r="BE1302" s="743" t="str">
        <f>IF(D1302="","",VLOOKUP(D1302,'General Basis'!$J$39:$K$46,2,0))</f>
        <v/>
      </c>
      <c r="BF1302" s="744" t="str">
        <f>IF(D1302="","",VLOOKUP(D1302,'General Basis'!$J$39:$L$46,3,0))</f>
        <v/>
      </c>
      <c r="BG1302" s="744" t="str">
        <f t="shared" si="473"/>
        <v/>
      </c>
      <c r="BH1302" s="744" t="str">
        <f>IF(G1302="","",IF(BF1302="Abu Dhabi",IF(G1302&lt;18,'General Basis'!$C$39,IF(G1302&lt;41,'General Basis'!$C$40,IF(G1302&lt;60,'General Basis'!$C$41,IF(G1302&lt;65,'General Basis'!$C$42,'General Basis'!$C$43)))),IF(G1302&lt;11,'General Basis'!$B$39,IF(G1302&lt;18,'General Basis'!$B$40,IF(G1302&lt;26,'General Basis'!$B$41,IF(G1302&lt;31,'General Basis'!$B$42,IF(G1302&lt;36,'General Basis'!$B$43,IF(G1302&lt;41,'General Basis'!$B$44,IF(G1302&lt;46,'General Basis'!$B$45,IF(G1302&lt;51,'General Basis'!$B$46,IF(G1302&lt;56,'General Basis'!$B$47,IF(G1302&lt;60,'General Basis'!$B$48,IF(G1302&lt;65,'General Basis'!$B$49,'General Basis'!$B$50)))))))))))))</f>
        <v/>
      </c>
      <c r="BI1302" s="744" t="str">
        <f t="shared" si="467"/>
        <v/>
      </c>
      <c r="BJ1302" s="747" t="str">
        <f t="shared" si="474"/>
        <v/>
      </c>
      <c r="BK1302" s="498" t="str">
        <f t="shared" si="468"/>
        <v/>
      </c>
      <c r="BL1302" s="498" t="str">
        <f t="shared" si="469"/>
        <v/>
      </c>
    </row>
    <row r="1303" spans="1:64" x14ac:dyDescent="0.25">
      <c r="A1303" s="762">
        <f t="shared" si="470"/>
        <v>1298</v>
      </c>
      <c r="B1303" s="229"/>
      <c r="C1303" s="223"/>
      <c r="D1303" s="224"/>
      <c r="E1303" s="225"/>
      <c r="F1303" s="1036" t="str">
        <f t="shared" si="476"/>
        <v/>
      </c>
      <c r="G1303" s="1037" t="str">
        <f t="shared" si="471"/>
        <v/>
      </c>
      <c r="H1303" s="225"/>
      <c r="I1303" s="1013"/>
      <c r="J1303" s="1013"/>
      <c r="K1303" s="1028"/>
      <c r="L1303" s="1035" t="str">
        <f t="shared" si="475"/>
        <v/>
      </c>
      <c r="S1303" s="498"/>
      <c r="AJ1303" s="498"/>
      <c r="AM1303" s="498">
        <f t="shared" si="456"/>
        <v>0</v>
      </c>
      <c r="AN1303" s="498">
        <f t="shared" si="457"/>
        <v>0</v>
      </c>
      <c r="AO1303" s="498">
        <f t="shared" si="458"/>
        <v>0</v>
      </c>
      <c r="AP1303" s="498">
        <f t="shared" si="477"/>
        <v>0</v>
      </c>
      <c r="AQ1303" s="498">
        <f t="shared" si="472"/>
        <v>0</v>
      </c>
      <c r="AU1303" s="498">
        <f t="shared" si="459"/>
        <v>0</v>
      </c>
      <c r="AV1303" s="498">
        <f t="shared" si="460"/>
        <v>0</v>
      </c>
      <c r="AW1303" s="498">
        <f t="shared" si="461"/>
        <v>0</v>
      </c>
      <c r="AX1303" s="498">
        <f t="shared" si="462"/>
        <v>0</v>
      </c>
      <c r="AY1303" s="498">
        <f t="shared" si="463"/>
        <v>0</v>
      </c>
      <c r="BB1303" s="498" t="str">
        <f t="shared" si="464"/>
        <v/>
      </c>
      <c r="BC1303" s="743" t="str">
        <f t="shared" si="465"/>
        <v/>
      </c>
      <c r="BD1303" s="743" t="str">
        <f t="shared" si="466"/>
        <v/>
      </c>
      <c r="BE1303" s="743" t="str">
        <f>IF(D1303="","",VLOOKUP(D1303,'General Basis'!$J$39:$K$46,2,0))</f>
        <v/>
      </c>
      <c r="BF1303" s="744" t="str">
        <f>IF(D1303="","",VLOOKUP(D1303,'General Basis'!$J$39:$L$46,3,0))</f>
        <v/>
      </c>
      <c r="BG1303" s="744" t="str">
        <f t="shared" si="473"/>
        <v/>
      </c>
      <c r="BH1303" s="744" t="str">
        <f>IF(G1303="","",IF(BF1303="Abu Dhabi",IF(G1303&lt;18,'General Basis'!$C$39,IF(G1303&lt;41,'General Basis'!$C$40,IF(G1303&lt;60,'General Basis'!$C$41,IF(G1303&lt;65,'General Basis'!$C$42,'General Basis'!$C$43)))),IF(G1303&lt;11,'General Basis'!$B$39,IF(G1303&lt;18,'General Basis'!$B$40,IF(G1303&lt;26,'General Basis'!$B$41,IF(G1303&lt;31,'General Basis'!$B$42,IF(G1303&lt;36,'General Basis'!$B$43,IF(G1303&lt;41,'General Basis'!$B$44,IF(G1303&lt;46,'General Basis'!$B$45,IF(G1303&lt;51,'General Basis'!$B$46,IF(G1303&lt;56,'General Basis'!$B$47,IF(G1303&lt;60,'General Basis'!$B$48,IF(G1303&lt;65,'General Basis'!$B$49,'General Basis'!$B$50)))))))))))))</f>
        <v/>
      </c>
      <c r="BI1303" s="744" t="str">
        <f t="shared" si="467"/>
        <v/>
      </c>
      <c r="BJ1303" s="747" t="str">
        <f t="shared" si="474"/>
        <v/>
      </c>
      <c r="BK1303" s="498" t="str">
        <f t="shared" si="468"/>
        <v/>
      </c>
      <c r="BL1303" s="498" t="str">
        <f t="shared" si="469"/>
        <v/>
      </c>
    </row>
    <row r="1304" spans="1:64" x14ac:dyDescent="0.25">
      <c r="A1304" s="762">
        <f t="shared" si="470"/>
        <v>1299</v>
      </c>
      <c r="B1304" s="229"/>
      <c r="C1304" s="223"/>
      <c r="D1304" s="224"/>
      <c r="E1304" s="225"/>
      <c r="F1304" s="1036" t="str">
        <f t="shared" si="476"/>
        <v/>
      </c>
      <c r="G1304" s="1037" t="str">
        <f t="shared" si="471"/>
        <v/>
      </c>
      <c r="H1304" s="225"/>
      <c r="I1304" s="1013"/>
      <c r="J1304" s="1013"/>
      <c r="K1304" s="1028"/>
      <c r="L1304" s="1035" t="str">
        <f t="shared" si="475"/>
        <v/>
      </c>
      <c r="S1304" s="498"/>
      <c r="AJ1304" s="498"/>
      <c r="AM1304" s="498">
        <f t="shared" si="456"/>
        <v>0</v>
      </c>
      <c r="AN1304" s="498">
        <f t="shared" si="457"/>
        <v>0</v>
      </c>
      <c r="AO1304" s="498">
        <f t="shared" si="458"/>
        <v>0</v>
      </c>
      <c r="AP1304" s="498">
        <f t="shared" si="477"/>
        <v>0</v>
      </c>
      <c r="AQ1304" s="498">
        <f t="shared" si="472"/>
        <v>0</v>
      </c>
      <c r="AU1304" s="498">
        <f t="shared" si="459"/>
        <v>0</v>
      </c>
      <c r="AV1304" s="498">
        <f t="shared" si="460"/>
        <v>0</v>
      </c>
      <c r="AW1304" s="498">
        <f t="shared" si="461"/>
        <v>0</v>
      </c>
      <c r="AX1304" s="498">
        <f t="shared" si="462"/>
        <v>0</v>
      </c>
      <c r="AY1304" s="498">
        <f t="shared" si="463"/>
        <v>0</v>
      </c>
      <c r="BB1304" s="498" t="str">
        <f t="shared" si="464"/>
        <v/>
      </c>
      <c r="BC1304" s="743" t="str">
        <f t="shared" si="465"/>
        <v/>
      </c>
      <c r="BD1304" s="743" t="str">
        <f t="shared" si="466"/>
        <v/>
      </c>
      <c r="BE1304" s="743" t="str">
        <f>IF(D1304="","",VLOOKUP(D1304,'General Basis'!$J$39:$K$46,2,0))</f>
        <v/>
      </c>
      <c r="BF1304" s="744" t="str">
        <f>IF(D1304="","",VLOOKUP(D1304,'General Basis'!$J$39:$L$46,3,0))</f>
        <v/>
      </c>
      <c r="BG1304" s="744" t="str">
        <f t="shared" si="473"/>
        <v/>
      </c>
      <c r="BH1304" s="744" t="str">
        <f>IF(G1304="","",IF(BF1304="Abu Dhabi",IF(G1304&lt;18,'General Basis'!$C$39,IF(G1304&lt;41,'General Basis'!$C$40,IF(G1304&lt;60,'General Basis'!$C$41,IF(G1304&lt;65,'General Basis'!$C$42,'General Basis'!$C$43)))),IF(G1304&lt;11,'General Basis'!$B$39,IF(G1304&lt;18,'General Basis'!$B$40,IF(G1304&lt;26,'General Basis'!$B$41,IF(G1304&lt;31,'General Basis'!$B$42,IF(G1304&lt;36,'General Basis'!$B$43,IF(G1304&lt;41,'General Basis'!$B$44,IF(G1304&lt;46,'General Basis'!$B$45,IF(G1304&lt;51,'General Basis'!$B$46,IF(G1304&lt;56,'General Basis'!$B$47,IF(G1304&lt;60,'General Basis'!$B$48,IF(G1304&lt;65,'General Basis'!$B$49,'General Basis'!$B$50)))))))))))))</f>
        <v/>
      </c>
      <c r="BI1304" s="744" t="str">
        <f t="shared" si="467"/>
        <v/>
      </c>
      <c r="BJ1304" s="747" t="str">
        <f t="shared" si="474"/>
        <v/>
      </c>
      <c r="BK1304" s="498" t="str">
        <f t="shared" si="468"/>
        <v/>
      </c>
      <c r="BL1304" s="498" t="str">
        <f t="shared" si="469"/>
        <v/>
      </c>
    </row>
    <row r="1305" spans="1:64" x14ac:dyDescent="0.25">
      <c r="A1305" s="762">
        <f t="shared" si="470"/>
        <v>1300</v>
      </c>
      <c r="B1305" s="229"/>
      <c r="C1305" s="223"/>
      <c r="D1305" s="224"/>
      <c r="E1305" s="225"/>
      <c r="F1305" s="1036" t="str">
        <f t="shared" si="476"/>
        <v/>
      </c>
      <c r="G1305" s="1037" t="str">
        <f t="shared" si="471"/>
        <v/>
      </c>
      <c r="H1305" s="225"/>
      <c r="I1305" s="1013"/>
      <c r="J1305" s="1013"/>
      <c r="K1305" s="1028"/>
      <c r="L1305" s="1035" t="str">
        <f t="shared" si="475"/>
        <v/>
      </c>
      <c r="S1305" s="498"/>
      <c r="AJ1305" s="498"/>
      <c r="AM1305" s="498">
        <f t="shared" si="456"/>
        <v>0</v>
      </c>
      <c r="AN1305" s="498">
        <f t="shared" si="457"/>
        <v>0</v>
      </c>
      <c r="AO1305" s="498">
        <f t="shared" si="458"/>
        <v>0</v>
      </c>
      <c r="AP1305" s="498">
        <f t="shared" si="477"/>
        <v>0</v>
      </c>
      <c r="AQ1305" s="498">
        <f t="shared" si="472"/>
        <v>0</v>
      </c>
      <c r="AU1305" s="498">
        <f t="shared" si="459"/>
        <v>0</v>
      </c>
      <c r="AV1305" s="498">
        <f t="shared" si="460"/>
        <v>0</v>
      </c>
      <c r="AW1305" s="498">
        <f t="shared" si="461"/>
        <v>0</v>
      </c>
      <c r="AX1305" s="498">
        <f t="shared" si="462"/>
        <v>0</v>
      </c>
      <c r="AY1305" s="498">
        <f t="shared" si="463"/>
        <v>0</v>
      </c>
      <c r="BB1305" s="498" t="str">
        <f t="shared" si="464"/>
        <v/>
      </c>
      <c r="BC1305" s="743" t="str">
        <f t="shared" si="465"/>
        <v/>
      </c>
      <c r="BD1305" s="743" t="str">
        <f t="shared" si="466"/>
        <v/>
      </c>
      <c r="BE1305" s="743" t="str">
        <f>IF(D1305="","",VLOOKUP(D1305,'General Basis'!$J$39:$K$46,2,0))</f>
        <v/>
      </c>
      <c r="BF1305" s="744" t="str">
        <f>IF(D1305="","",VLOOKUP(D1305,'General Basis'!$J$39:$L$46,3,0))</f>
        <v/>
      </c>
      <c r="BG1305" s="744" t="str">
        <f t="shared" si="473"/>
        <v/>
      </c>
      <c r="BH1305" s="744" t="str">
        <f>IF(G1305="","",IF(BF1305="Abu Dhabi",IF(G1305&lt;18,'General Basis'!$C$39,IF(G1305&lt;41,'General Basis'!$C$40,IF(G1305&lt;60,'General Basis'!$C$41,IF(G1305&lt;65,'General Basis'!$C$42,'General Basis'!$C$43)))),IF(G1305&lt;11,'General Basis'!$B$39,IF(G1305&lt;18,'General Basis'!$B$40,IF(G1305&lt;26,'General Basis'!$B$41,IF(G1305&lt;31,'General Basis'!$B$42,IF(G1305&lt;36,'General Basis'!$B$43,IF(G1305&lt;41,'General Basis'!$B$44,IF(G1305&lt;46,'General Basis'!$B$45,IF(G1305&lt;51,'General Basis'!$B$46,IF(G1305&lt;56,'General Basis'!$B$47,IF(G1305&lt;60,'General Basis'!$B$48,IF(G1305&lt;65,'General Basis'!$B$49,'General Basis'!$B$50)))))))))))))</f>
        <v/>
      </c>
      <c r="BI1305" s="744" t="str">
        <f t="shared" si="467"/>
        <v/>
      </c>
      <c r="BJ1305" s="747" t="str">
        <f t="shared" si="474"/>
        <v/>
      </c>
      <c r="BK1305" s="498" t="str">
        <f t="shared" si="468"/>
        <v/>
      </c>
      <c r="BL1305" s="498" t="str">
        <f t="shared" si="469"/>
        <v/>
      </c>
    </row>
    <row r="1306" spans="1:64" x14ac:dyDescent="0.25">
      <c r="A1306" s="762">
        <f t="shared" si="470"/>
        <v>1301</v>
      </c>
      <c r="B1306" s="229"/>
      <c r="C1306" s="223"/>
      <c r="D1306" s="224"/>
      <c r="E1306" s="225"/>
      <c r="F1306" s="1036" t="str">
        <f t="shared" si="476"/>
        <v/>
      </c>
      <c r="G1306" s="1037" t="str">
        <f t="shared" si="471"/>
        <v/>
      </c>
      <c r="H1306" s="225"/>
      <c r="I1306" s="1013"/>
      <c r="J1306" s="1013"/>
      <c r="K1306" s="1028"/>
      <c r="L1306" s="1035" t="str">
        <f t="shared" si="475"/>
        <v/>
      </c>
      <c r="S1306" s="498"/>
      <c r="AJ1306" s="498"/>
      <c r="AM1306" s="498">
        <f t="shared" si="456"/>
        <v>0</v>
      </c>
      <c r="AN1306" s="498">
        <f t="shared" si="457"/>
        <v>0</v>
      </c>
      <c r="AO1306" s="498">
        <f t="shared" si="458"/>
        <v>0</v>
      </c>
      <c r="AP1306" s="498">
        <f t="shared" si="477"/>
        <v>0</v>
      </c>
      <c r="AQ1306" s="498">
        <f t="shared" si="472"/>
        <v>0</v>
      </c>
      <c r="AU1306" s="498">
        <f t="shared" si="459"/>
        <v>0</v>
      </c>
      <c r="AV1306" s="498">
        <f t="shared" si="460"/>
        <v>0</v>
      </c>
      <c r="AW1306" s="498">
        <f t="shared" si="461"/>
        <v>0</v>
      </c>
      <c r="AX1306" s="498">
        <f t="shared" si="462"/>
        <v>0</v>
      </c>
      <c r="AY1306" s="498">
        <f t="shared" si="463"/>
        <v>0</v>
      </c>
      <c r="BB1306" s="498" t="str">
        <f t="shared" si="464"/>
        <v/>
      </c>
      <c r="BC1306" s="743" t="str">
        <f t="shared" si="465"/>
        <v/>
      </c>
      <c r="BD1306" s="743" t="str">
        <f t="shared" si="466"/>
        <v/>
      </c>
      <c r="BE1306" s="743" t="str">
        <f>IF(D1306="","",VLOOKUP(D1306,'General Basis'!$J$39:$K$46,2,0))</f>
        <v/>
      </c>
      <c r="BF1306" s="744" t="str">
        <f>IF(D1306="","",VLOOKUP(D1306,'General Basis'!$J$39:$L$46,3,0))</f>
        <v/>
      </c>
      <c r="BG1306" s="744" t="str">
        <f t="shared" si="473"/>
        <v/>
      </c>
      <c r="BH1306" s="744" t="str">
        <f>IF(G1306="","",IF(BF1306="Abu Dhabi",IF(G1306&lt;18,'General Basis'!$C$39,IF(G1306&lt;41,'General Basis'!$C$40,IF(G1306&lt;60,'General Basis'!$C$41,IF(G1306&lt;65,'General Basis'!$C$42,'General Basis'!$C$43)))),IF(G1306&lt;11,'General Basis'!$B$39,IF(G1306&lt;18,'General Basis'!$B$40,IF(G1306&lt;26,'General Basis'!$B$41,IF(G1306&lt;31,'General Basis'!$B$42,IF(G1306&lt;36,'General Basis'!$B$43,IF(G1306&lt;41,'General Basis'!$B$44,IF(G1306&lt;46,'General Basis'!$B$45,IF(G1306&lt;51,'General Basis'!$B$46,IF(G1306&lt;56,'General Basis'!$B$47,IF(G1306&lt;60,'General Basis'!$B$48,IF(G1306&lt;65,'General Basis'!$B$49,'General Basis'!$B$50)))))))))))))</f>
        <v/>
      </c>
      <c r="BI1306" s="744" t="str">
        <f t="shared" si="467"/>
        <v/>
      </c>
      <c r="BJ1306" s="747" t="str">
        <f t="shared" si="474"/>
        <v/>
      </c>
      <c r="BK1306" s="498" t="str">
        <f t="shared" si="468"/>
        <v/>
      </c>
      <c r="BL1306" s="498" t="str">
        <f t="shared" si="469"/>
        <v/>
      </c>
    </row>
    <row r="1307" spans="1:64" x14ac:dyDescent="0.25">
      <c r="A1307" s="762">
        <f t="shared" si="470"/>
        <v>1302</v>
      </c>
      <c r="B1307" s="229"/>
      <c r="C1307" s="223"/>
      <c r="D1307" s="224"/>
      <c r="E1307" s="225"/>
      <c r="F1307" s="1036" t="str">
        <f t="shared" si="476"/>
        <v/>
      </c>
      <c r="G1307" s="1037" t="str">
        <f t="shared" si="471"/>
        <v/>
      </c>
      <c r="H1307" s="225"/>
      <c r="I1307" s="1013"/>
      <c r="J1307" s="1013"/>
      <c r="K1307" s="1028"/>
      <c r="L1307" s="1035" t="str">
        <f t="shared" si="475"/>
        <v/>
      </c>
      <c r="S1307" s="498"/>
      <c r="AJ1307" s="498"/>
      <c r="AM1307" s="498">
        <f t="shared" si="456"/>
        <v>0</v>
      </c>
      <c r="AN1307" s="498">
        <f t="shared" si="457"/>
        <v>0</v>
      </c>
      <c r="AO1307" s="498">
        <f t="shared" si="458"/>
        <v>0</v>
      </c>
      <c r="AP1307" s="498">
        <f t="shared" si="477"/>
        <v>0</v>
      </c>
      <c r="AQ1307" s="498">
        <f t="shared" si="472"/>
        <v>0</v>
      </c>
      <c r="AU1307" s="498">
        <f t="shared" si="459"/>
        <v>0</v>
      </c>
      <c r="AV1307" s="498">
        <f t="shared" si="460"/>
        <v>0</v>
      </c>
      <c r="AW1307" s="498">
        <f t="shared" si="461"/>
        <v>0</v>
      </c>
      <c r="AX1307" s="498">
        <f t="shared" si="462"/>
        <v>0</v>
      </c>
      <c r="AY1307" s="498">
        <f t="shared" si="463"/>
        <v>0</v>
      </c>
      <c r="BB1307" s="498" t="str">
        <f t="shared" si="464"/>
        <v/>
      </c>
      <c r="BC1307" s="743" t="str">
        <f t="shared" si="465"/>
        <v/>
      </c>
      <c r="BD1307" s="743" t="str">
        <f t="shared" si="466"/>
        <v/>
      </c>
      <c r="BE1307" s="743" t="str">
        <f>IF(D1307="","",VLOOKUP(D1307,'General Basis'!$J$39:$K$46,2,0))</f>
        <v/>
      </c>
      <c r="BF1307" s="744" t="str">
        <f>IF(D1307="","",VLOOKUP(D1307,'General Basis'!$J$39:$L$46,3,0))</f>
        <v/>
      </c>
      <c r="BG1307" s="744" t="str">
        <f t="shared" si="473"/>
        <v/>
      </c>
      <c r="BH1307" s="744" t="str">
        <f>IF(G1307="","",IF(BF1307="Abu Dhabi",IF(G1307&lt;18,'General Basis'!$C$39,IF(G1307&lt;41,'General Basis'!$C$40,IF(G1307&lt;60,'General Basis'!$C$41,IF(G1307&lt;65,'General Basis'!$C$42,'General Basis'!$C$43)))),IF(G1307&lt;11,'General Basis'!$B$39,IF(G1307&lt;18,'General Basis'!$B$40,IF(G1307&lt;26,'General Basis'!$B$41,IF(G1307&lt;31,'General Basis'!$B$42,IF(G1307&lt;36,'General Basis'!$B$43,IF(G1307&lt;41,'General Basis'!$B$44,IF(G1307&lt;46,'General Basis'!$B$45,IF(G1307&lt;51,'General Basis'!$B$46,IF(G1307&lt;56,'General Basis'!$B$47,IF(G1307&lt;60,'General Basis'!$B$48,IF(G1307&lt;65,'General Basis'!$B$49,'General Basis'!$B$50)))))))))))))</f>
        <v/>
      </c>
      <c r="BI1307" s="744" t="str">
        <f t="shared" si="467"/>
        <v/>
      </c>
      <c r="BJ1307" s="747" t="str">
        <f t="shared" si="474"/>
        <v/>
      </c>
      <c r="BK1307" s="498" t="str">
        <f t="shared" si="468"/>
        <v/>
      </c>
      <c r="BL1307" s="498" t="str">
        <f t="shared" si="469"/>
        <v/>
      </c>
    </row>
    <row r="1308" spans="1:64" x14ac:dyDescent="0.25">
      <c r="A1308" s="762">
        <f t="shared" si="470"/>
        <v>1303</v>
      </c>
      <c r="B1308" s="229"/>
      <c r="C1308" s="223"/>
      <c r="D1308" s="224"/>
      <c r="E1308" s="225"/>
      <c r="F1308" s="1036" t="str">
        <f t="shared" si="476"/>
        <v/>
      </c>
      <c r="G1308" s="1037" t="str">
        <f t="shared" si="471"/>
        <v/>
      </c>
      <c r="H1308" s="225"/>
      <c r="I1308" s="1013"/>
      <c r="J1308" s="1013"/>
      <c r="K1308" s="1028"/>
      <c r="L1308" s="1035" t="str">
        <f t="shared" si="475"/>
        <v/>
      </c>
      <c r="S1308" s="498"/>
      <c r="AJ1308" s="498"/>
      <c r="AM1308" s="498">
        <f t="shared" si="456"/>
        <v>0</v>
      </c>
      <c r="AN1308" s="498">
        <f t="shared" si="457"/>
        <v>0</v>
      </c>
      <c r="AO1308" s="498">
        <f t="shared" si="458"/>
        <v>0</v>
      </c>
      <c r="AP1308" s="498">
        <f t="shared" si="477"/>
        <v>0</v>
      </c>
      <c r="AQ1308" s="498">
        <f t="shared" si="472"/>
        <v>0</v>
      </c>
      <c r="AU1308" s="498">
        <f t="shared" si="459"/>
        <v>0</v>
      </c>
      <c r="AV1308" s="498">
        <f t="shared" si="460"/>
        <v>0</v>
      </c>
      <c r="AW1308" s="498">
        <f t="shared" si="461"/>
        <v>0</v>
      </c>
      <c r="AX1308" s="498">
        <f t="shared" si="462"/>
        <v>0</v>
      </c>
      <c r="AY1308" s="498">
        <f t="shared" si="463"/>
        <v>0</v>
      </c>
      <c r="BB1308" s="498" t="str">
        <f t="shared" si="464"/>
        <v/>
      </c>
      <c r="BC1308" s="743" t="str">
        <f t="shared" si="465"/>
        <v/>
      </c>
      <c r="BD1308" s="743" t="str">
        <f t="shared" si="466"/>
        <v/>
      </c>
      <c r="BE1308" s="743" t="str">
        <f>IF(D1308="","",VLOOKUP(D1308,'General Basis'!$J$39:$K$46,2,0))</f>
        <v/>
      </c>
      <c r="BF1308" s="744" t="str">
        <f>IF(D1308="","",VLOOKUP(D1308,'General Basis'!$J$39:$L$46,3,0))</f>
        <v/>
      </c>
      <c r="BG1308" s="744" t="str">
        <f t="shared" si="473"/>
        <v/>
      </c>
      <c r="BH1308" s="744" t="str">
        <f>IF(G1308="","",IF(BF1308="Abu Dhabi",IF(G1308&lt;18,'General Basis'!$C$39,IF(G1308&lt;41,'General Basis'!$C$40,IF(G1308&lt;60,'General Basis'!$C$41,IF(G1308&lt;65,'General Basis'!$C$42,'General Basis'!$C$43)))),IF(G1308&lt;11,'General Basis'!$B$39,IF(G1308&lt;18,'General Basis'!$B$40,IF(G1308&lt;26,'General Basis'!$B$41,IF(G1308&lt;31,'General Basis'!$B$42,IF(G1308&lt;36,'General Basis'!$B$43,IF(G1308&lt;41,'General Basis'!$B$44,IF(G1308&lt;46,'General Basis'!$B$45,IF(G1308&lt;51,'General Basis'!$B$46,IF(G1308&lt;56,'General Basis'!$B$47,IF(G1308&lt;60,'General Basis'!$B$48,IF(G1308&lt;65,'General Basis'!$B$49,'General Basis'!$B$50)))))))))))))</f>
        <v/>
      </c>
      <c r="BI1308" s="744" t="str">
        <f t="shared" si="467"/>
        <v/>
      </c>
      <c r="BJ1308" s="747" t="str">
        <f t="shared" si="474"/>
        <v/>
      </c>
      <c r="BK1308" s="498" t="str">
        <f t="shared" si="468"/>
        <v/>
      </c>
      <c r="BL1308" s="498" t="str">
        <f t="shared" si="469"/>
        <v/>
      </c>
    </row>
    <row r="1309" spans="1:64" x14ac:dyDescent="0.25">
      <c r="A1309" s="762">
        <f t="shared" si="470"/>
        <v>1304</v>
      </c>
      <c r="B1309" s="229"/>
      <c r="C1309" s="223"/>
      <c r="D1309" s="224"/>
      <c r="E1309" s="225"/>
      <c r="F1309" s="1036" t="str">
        <f t="shared" si="476"/>
        <v/>
      </c>
      <c r="G1309" s="1037" t="str">
        <f t="shared" si="471"/>
        <v/>
      </c>
      <c r="H1309" s="225"/>
      <c r="I1309" s="1013"/>
      <c r="J1309" s="1013"/>
      <c r="K1309" s="1028"/>
      <c r="L1309" s="1035" t="str">
        <f t="shared" si="475"/>
        <v/>
      </c>
      <c r="S1309" s="498"/>
      <c r="AJ1309" s="498"/>
      <c r="AM1309" s="498">
        <f t="shared" si="456"/>
        <v>0</v>
      </c>
      <c r="AN1309" s="498">
        <f t="shared" si="457"/>
        <v>0</v>
      </c>
      <c r="AO1309" s="498">
        <f t="shared" si="458"/>
        <v>0</v>
      </c>
      <c r="AP1309" s="498">
        <f t="shared" si="477"/>
        <v>0</v>
      </c>
      <c r="AQ1309" s="498">
        <f t="shared" si="472"/>
        <v>0</v>
      </c>
      <c r="AU1309" s="498">
        <f t="shared" si="459"/>
        <v>0</v>
      </c>
      <c r="AV1309" s="498">
        <f t="shared" si="460"/>
        <v>0</v>
      </c>
      <c r="AW1309" s="498">
        <f t="shared" si="461"/>
        <v>0</v>
      </c>
      <c r="AX1309" s="498">
        <f t="shared" si="462"/>
        <v>0</v>
      </c>
      <c r="AY1309" s="498">
        <f t="shared" si="463"/>
        <v>0</v>
      </c>
      <c r="BB1309" s="498" t="str">
        <f t="shared" si="464"/>
        <v/>
      </c>
      <c r="BC1309" s="743" t="str">
        <f t="shared" si="465"/>
        <v/>
      </c>
      <c r="BD1309" s="743" t="str">
        <f t="shared" si="466"/>
        <v/>
      </c>
      <c r="BE1309" s="743" t="str">
        <f>IF(D1309="","",VLOOKUP(D1309,'General Basis'!$J$39:$K$46,2,0))</f>
        <v/>
      </c>
      <c r="BF1309" s="744" t="str">
        <f>IF(D1309="","",VLOOKUP(D1309,'General Basis'!$J$39:$L$46,3,0))</f>
        <v/>
      </c>
      <c r="BG1309" s="744" t="str">
        <f t="shared" si="473"/>
        <v/>
      </c>
      <c r="BH1309" s="744" t="str">
        <f>IF(G1309="","",IF(BF1309="Abu Dhabi",IF(G1309&lt;18,'General Basis'!$C$39,IF(G1309&lt;41,'General Basis'!$C$40,IF(G1309&lt;60,'General Basis'!$C$41,IF(G1309&lt;65,'General Basis'!$C$42,'General Basis'!$C$43)))),IF(G1309&lt;11,'General Basis'!$B$39,IF(G1309&lt;18,'General Basis'!$B$40,IF(G1309&lt;26,'General Basis'!$B$41,IF(G1309&lt;31,'General Basis'!$B$42,IF(G1309&lt;36,'General Basis'!$B$43,IF(G1309&lt;41,'General Basis'!$B$44,IF(G1309&lt;46,'General Basis'!$B$45,IF(G1309&lt;51,'General Basis'!$B$46,IF(G1309&lt;56,'General Basis'!$B$47,IF(G1309&lt;60,'General Basis'!$B$48,IF(G1309&lt;65,'General Basis'!$B$49,'General Basis'!$B$50)))))))))))))</f>
        <v/>
      </c>
      <c r="BI1309" s="744" t="str">
        <f t="shared" si="467"/>
        <v/>
      </c>
      <c r="BJ1309" s="747" t="str">
        <f t="shared" si="474"/>
        <v/>
      </c>
      <c r="BK1309" s="498" t="str">
        <f t="shared" si="468"/>
        <v/>
      </c>
      <c r="BL1309" s="498" t="str">
        <f t="shared" si="469"/>
        <v/>
      </c>
    </row>
    <row r="1310" spans="1:64" x14ac:dyDescent="0.25">
      <c r="A1310" s="762">
        <f t="shared" si="470"/>
        <v>1305</v>
      </c>
      <c r="B1310" s="229"/>
      <c r="C1310" s="223"/>
      <c r="D1310" s="224"/>
      <c r="E1310" s="225"/>
      <c r="F1310" s="1036" t="str">
        <f t="shared" si="476"/>
        <v/>
      </c>
      <c r="G1310" s="1037" t="str">
        <f t="shared" si="471"/>
        <v/>
      </c>
      <c r="H1310" s="225"/>
      <c r="I1310" s="1013"/>
      <c r="J1310" s="1013"/>
      <c r="K1310" s="1028"/>
      <c r="L1310" s="1035" t="str">
        <f t="shared" si="475"/>
        <v/>
      </c>
      <c r="S1310" s="498"/>
      <c r="AJ1310" s="498"/>
      <c r="AM1310" s="498">
        <f t="shared" si="456"/>
        <v>0</v>
      </c>
      <c r="AN1310" s="498">
        <f t="shared" si="457"/>
        <v>0</v>
      </c>
      <c r="AO1310" s="498">
        <f t="shared" si="458"/>
        <v>0</v>
      </c>
      <c r="AP1310" s="498">
        <f t="shared" si="477"/>
        <v>0</v>
      </c>
      <c r="AQ1310" s="498">
        <f t="shared" si="472"/>
        <v>0</v>
      </c>
      <c r="AU1310" s="498">
        <f t="shared" si="459"/>
        <v>0</v>
      </c>
      <c r="AV1310" s="498">
        <f t="shared" si="460"/>
        <v>0</v>
      </c>
      <c r="AW1310" s="498">
        <f t="shared" si="461"/>
        <v>0</v>
      </c>
      <c r="AX1310" s="498">
        <f t="shared" si="462"/>
        <v>0</v>
      </c>
      <c r="AY1310" s="498">
        <f t="shared" si="463"/>
        <v>0</v>
      </c>
      <c r="BB1310" s="498" t="str">
        <f t="shared" si="464"/>
        <v/>
      </c>
      <c r="BC1310" s="743" t="str">
        <f t="shared" si="465"/>
        <v/>
      </c>
      <c r="BD1310" s="743" t="str">
        <f t="shared" si="466"/>
        <v/>
      </c>
      <c r="BE1310" s="743" t="str">
        <f>IF(D1310="","",VLOOKUP(D1310,'General Basis'!$J$39:$K$46,2,0))</f>
        <v/>
      </c>
      <c r="BF1310" s="744" t="str">
        <f>IF(D1310="","",VLOOKUP(D1310,'General Basis'!$J$39:$L$46,3,0))</f>
        <v/>
      </c>
      <c r="BG1310" s="744" t="str">
        <f t="shared" si="473"/>
        <v/>
      </c>
      <c r="BH1310" s="744" t="str">
        <f>IF(G1310="","",IF(BF1310="Abu Dhabi",IF(G1310&lt;18,'General Basis'!$C$39,IF(G1310&lt;41,'General Basis'!$C$40,IF(G1310&lt;60,'General Basis'!$C$41,IF(G1310&lt;65,'General Basis'!$C$42,'General Basis'!$C$43)))),IF(G1310&lt;11,'General Basis'!$B$39,IF(G1310&lt;18,'General Basis'!$B$40,IF(G1310&lt;26,'General Basis'!$B$41,IF(G1310&lt;31,'General Basis'!$B$42,IF(G1310&lt;36,'General Basis'!$B$43,IF(G1310&lt;41,'General Basis'!$B$44,IF(G1310&lt;46,'General Basis'!$B$45,IF(G1310&lt;51,'General Basis'!$B$46,IF(G1310&lt;56,'General Basis'!$B$47,IF(G1310&lt;60,'General Basis'!$B$48,IF(G1310&lt;65,'General Basis'!$B$49,'General Basis'!$B$50)))))))))))))</f>
        <v/>
      </c>
      <c r="BI1310" s="744" t="str">
        <f t="shared" si="467"/>
        <v/>
      </c>
      <c r="BJ1310" s="747" t="str">
        <f t="shared" si="474"/>
        <v/>
      </c>
      <c r="BK1310" s="498" t="str">
        <f t="shared" si="468"/>
        <v/>
      </c>
      <c r="BL1310" s="498" t="str">
        <f t="shared" si="469"/>
        <v/>
      </c>
    </row>
    <row r="1311" spans="1:64" x14ac:dyDescent="0.25">
      <c r="A1311" s="762">
        <f t="shared" si="470"/>
        <v>1306</v>
      </c>
      <c r="B1311" s="229"/>
      <c r="C1311" s="223"/>
      <c r="D1311" s="224"/>
      <c r="E1311" s="225"/>
      <c r="F1311" s="1036" t="str">
        <f t="shared" si="476"/>
        <v/>
      </c>
      <c r="G1311" s="1037" t="str">
        <f t="shared" si="471"/>
        <v/>
      </c>
      <c r="H1311" s="225"/>
      <c r="I1311" s="1013"/>
      <c r="J1311" s="1013"/>
      <c r="K1311" s="1028"/>
      <c r="L1311" s="1035" t="str">
        <f t="shared" si="475"/>
        <v/>
      </c>
      <c r="S1311" s="498"/>
      <c r="AJ1311" s="498"/>
      <c r="AM1311" s="498">
        <f t="shared" si="456"/>
        <v>0</v>
      </c>
      <c r="AN1311" s="498">
        <f t="shared" si="457"/>
        <v>0</v>
      </c>
      <c r="AO1311" s="498">
        <f t="shared" si="458"/>
        <v>0</v>
      </c>
      <c r="AP1311" s="498">
        <f t="shared" si="477"/>
        <v>0</v>
      </c>
      <c r="AQ1311" s="498">
        <f t="shared" si="472"/>
        <v>0</v>
      </c>
      <c r="AU1311" s="498">
        <f t="shared" si="459"/>
        <v>0</v>
      </c>
      <c r="AV1311" s="498">
        <f t="shared" si="460"/>
        <v>0</v>
      </c>
      <c r="AW1311" s="498">
        <f t="shared" si="461"/>
        <v>0</v>
      </c>
      <c r="AX1311" s="498">
        <f t="shared" si="462"/>
        <v>0</v>
      </c>
      <c r="AY1311" s="498">
        <f t="shared" si="463"/>
        <v>0</v>
      </c>
      <c r="BB1311" s="498" t="str">
        <f t="shared" si="464"/>
        <v/>
      </c>
      <c r="BC1311" s="743" t="str">
        <f t="shared" si="465"/>
        <v/>
      </c>
      <c r="BD1311" s="743" t="str">
        <f t="shared" si="466"/>
        <v/>
      </c>
      <c r="BE1311" s="743" t="str">
        <f>IF(D1311="","",VLOOKUP(D1311,'General Basis'!$J$39:$K$46,2,0))</f>
        <v/>
      </c>
      <c r="BF1311" s="744" t="str">
        <f>IF(D1311="","",VLOOKUP(D1311,'General Basis'!$J$39:$L$46,3,0))</f>
        <v/>
      </c>
      <c r="BG1311" s="744" t="str">
        <f t="shared" si="473"/>
        <v/>
      </c>
      <c r="BH1311" s="744" t="str">
        <f>IF(G1311="","",IF(BF1311="Abu Dhabi",IF(G1311&lt;18,'General Basis'!$C$39,IF(G1311&lt;41,'General Basis'!$C$40,IF(G1311&lt;60,'General Basis'!$C$41,IF(G1311&lt;65,'General Basis'!$C$42,'General Basis'!$C$43)))),IF(G1311&lt;11,'General Basis'!$B$39,IF(G1311&lt;18,'General Basis'!$B$40,IF(G1311&lt;26,'General Basis'!$B$41,IF(G1311&lt;31,'General Basis'!$B$42,IF(G1311&lt;36,'General Basis'!$B$43,IF(G1311&lt;41,'General Basis'!$B$44,IF(G1311&lt;46,'General Basis'!$B$45,IF(G1311&lt;51,'General Basis'!$B$46,IF(G1311&lt;56,'General Basis'!$B$47,IF(G1311&lt;60,'General Basis'!$B$48,IF(G1311&lt;65,'General Basis'!$B$49,'General Basis'!$B$50)))))))))))))</f>
        <v/>
      </c>
      <c r="BI1311" s="744" t="str">
        <f t="shared" si="467"/>
        <v/>
      </c>
      <c r="BJ1311" s="747" t="str">
        <f t="shared" si="474"/>
        <v/>
      </c>
      <c r="BK1311" s="498" t="str">
        <f t="shared" si="468"/>
        <v/>
      </c>
      <c r="BL1311" s="498" t="str">
        <f t="shared" si="469"/>
        <v/>
      </c>
    </row>
    <row r="1312" spans="1:64" x14ac:dyDescent="0.25">
      <c r="A1312" s="762">
        <f t="shared" si="470"/>
        <v>1307</v>
      </c>
      <c r="B1312" s="229"/>
      <c r="C1312" s="223"/>
      <c r="D1312" s="224"/>
      <c r="E1312" s="225"/>
      <c r="F1312" s="1036" t="str">
        <f t="shared" si="476"/>
        <v/>
      </c>
      <c r="G1312" s="1037" t="str">
        <f t="shared" si="471"/>
        <v/>
      </c>
      <c r="H1312" s="225"/>
      <c r="I1312" s="1013"/>
      <c r="J1312" s="1013"/>
      <c r="K1312" s="1028"/>
      <c r="L1312" s="1035" t="str">
        <f t="shared" si="475"/>
        <v/>
      </c>
      <c r="S1312" s="498"/>
      <c r="AJ1312" s="498"/>
      <c r="AM1312" s="498">
        <f t="shared" si="456"/>
        <v>0</v>
      </c>
      <c r="AN1312" s="498">
        <f t="shared" si="457"/>
        <v>0</v>
      </c>
      <c r="AO1312" s="498">
        <f t="shared" si="458"/>
        <v>0</v>
      </c>
      <c r="AP1312" s="498">
        <f t="shared" si="477"/>
        <v>0</v>
      </c>
      <c r="AQ1312" s="498">
        <f t="shared" si="472"/>
        <v>0</v>
      </c>
      <c r="AU1312" s="498">
        <f t="shared" si="459"/>
        <v>0</v>
      </c>
      <c r="AV1312" s="498">
        <f t="shared" si="460"/>
        <v>0</v>
      </c>
      <c r="AW1312" s="498">
        <f t="shared" si="461"/>
        <v>0</v>
      </c>
      <c r="AX1312" s="498">
        <f t="shared" si="462"/>
        <v>0</v>
      </c>
      <c r="AY1312" s="498">
        <f t="shared" si="463"/>
        <v>0</v>
      </c>
      <c r="BB1312" s="498" t="str">
        <f t="shared" si="464"/>
        <v/>
      </c>
      <c r="BC1312" s="743" t="str">
        <f t="shared" si="465"/>
        <v/>
      </c>
      <c r="BD1312" s="743" t="str">
        <f t="shared" si="466"/>
        <v/>
      </c>
      <c r="BE1312" s="743" t="str">
        <f>IF(D1312="","",VLOOKUP(D1312,'General Basis'!$J$39:$K$46,2,0))</f>
        <v/>
      </c>
      <c r="BF1312" s="744" t="str">
        <f>IF(D1312="","",VLOOKUP(D1312,'General Basis'!$J$39:$L$46,3,0))</f>
        <v/>
      </c>
      <c r="BG1312" s="744" t="str">
        <f t="shared" si="473"/>
        <v/>
      </c>
      <c r="BH1312" s="744" t="str">
        <f>IF(G1312="","",IF(BF1312="Abu Dhabi",IF(G1312&lt;18,'General Basis'!$C$39,IF(G1312&lt;41,'General Basis'!$C$40,IF(G1312&lt;60,'General Basis'!$C$41,IF(G1312&lt;65,'General Basis'!$C$42,'General Basis'!$C$43)))),IF(G1312&lt;11,'General Basis'!$B$39,IF(G1312&lt;18,'General Basis'!$B$40,IF(G1312&lt;26,'General Basis'!$B$41,IF(G1312&lt;31,'General Basis'!$B$42,IF(G1312&lt;36,'General Basis'!$B$43,IF(G1312&lt;41,'General Basis'!$B$44,IF(G1312&lt;46,'General Basis'!$B$45,IF(G1312&lt;51,'General Basis'!$B$46,IF(G1312&lt;56,'General Basis'!$B$47,IF(G1312&lt;60,'General Basis'!$B$48,IF(G1312&lt;65,'General Basis'!$B$49,'General Basis'!$B$50)))))))))))))</f>
        <v/>
      </c>
      <c r="BI1312" s="744" t="str">
        <f t="shared" si="467"/>
        <v/>
      </c>
      <c r="BJ1312" s="747" t="str">
        <f t="shared" si="474"/>
        <v/>
      </c>
      <c r="BK1312" s="498" t="str">
        <f t="shared" si="468"/>
        <v/>
      </c>
      <c r="BL1312" s="498" t="str">
        <f t="shared" si="469"/>
        <v/>
      </c>
    </row>
    <row r="1313" spans="1:64" x14ac:dyDescent="0.25">
      <c r="A1313" s="762">
        <f t="shared" si="470"/>
        <v>1308</v>
      </c>
      <c r="B1313" s="229"/>
      <c r="C1313" s="223"/>
      <c r="D1313" s="224"/>
      <c r="E1313" s="225"/>
      <c r="F1313" s="1036" t="str">
        <f t="shared" si="476"/>
        <v/>
      </c>
      <c r="G1313" s="1037" t="str">
        <f t="shared" si="471"/>
        <v/>
      </c>
      <c r="H1313" s="225"/>
      <c r="I1313" s="1013"/>
      <c r="J1313" s="1013"/>
      <c r="K1313" s="1028"/>
      <c r="L1313" s="1035" t="str">
        <f t="shared" si="475"/>
        <v/>
      </c>
      <c r="S1313" s="498"/>
      <c r="AJ1313" s="498"/>
      <c r="AM1313" s="498">
        <f t="shared" si="456"/>
        <v>0</v>
      </c>
      <c r="AN1313" s="498">
        <f t="shared" si="457"/>
        <v>0</v>
      </c>
      <c r="AO1313" s="498">
        <f t="shared" si="458"/>
        <v>0</v>
      </c>
      <c r="AP1313" s="498">
        <f t="shared" si="477"/>
        <v>0</v>
      </c>
      <c r="AQ1313" s="498">
        <f t="shared" si="472"/>
        <v>0</v>
      </c>
      <c r="AU1313" s="498">
        <f t="shared" si="459"/>
        <v>0</v>
      </c>
      <c r="AV1313" s="498">
        <f t="shared" si="460"/>
        <v>0</v>
      </c>
      <c r="AW1313" s="498">
        <f t="shared" si="461"/>
        <v>0</v>
      </c>
      <c r="AX1313" s="498">
        <f t="shared" si="462"/>
        <v>0</v>
      </c>
      <c r="AY1313" s="498">
        <f t="shared" si="463"/>
        <v>0</v>
      </c>
      <c r="BB1313" s="498" t="str">
        <f t="shared" si="464"/>
        <v/>
      </c>
      <c r="BC1313" s="743" t="str">
        <f t="shared" si="465"/>
        <v/>
      </c>
      <c r="BD1313" s="743" t="str">
        <f t="shared" si="466"/>
        <v/>
      </c>
      <c r="BE1313" s="743" t="str">
        <f>IF(D1313="","",VLOOKUP(D1313,'General Basis'!$J$39:$K$46,2,0))</f>
        <v/>
      </c>
      <c r="BF1313" s="744" t="str">
        <f>IF(D1313="","",VLOOKUP(D1313,'General Basis'!$J$39:$L$46,3,0))</f>
        <v/>
      </c>
      <c r="BG1313" s="744" t="str">
        <f t="shared" si="473"/>
        <v/>
      </c>
      <c r="BH1313" s="744" t="str">
        <f>IF(G1313="","",IF(BF1313="Abu Dhabi",IF(G1313&lt;18,'General Basis'!$C$39,IF(G1313&lt;41,'General Basis'!$C$40,IF(G1313&lt;60,'General Basis'!$C$41,IF(G1313&lt;65,'General Basis'!$C$42,'General Basis'!$C$43)))),IF(G1313&lt;11,'General Basis'!$B$39,IF(G1313&lt;18,'General Basis'!$B$40,IF(G1313&lt;26,'General Basis'!$B$41,IF(G1313&lt;31,'General Basis'!$B$42,IF(G1313&lt;36,'General Basis'!$B$43,IF(G1313&lt;41,'General Basis'!$B$44,IF(G1313&lt;46,'General Basis'!$B$45,IF(G1313&lt;51,'General Basis'!$B$46,IF(G1313&lt;56,'General Basis'!$B$47,IF(G1313&lt;60,'General Basis'!$B$48,IF(G1313&lt;65,'General Basis'!$B$49,'General Basis'!$B$50)))))))))))))</f>
        <v/>
      </c>
      <c r="BI1313" s="744" t="str">
        <f t="shared" si="467"/>
        <v/>
      </c>
      <c r="BJ1313" s="747" t="str">
        <f t="shared" si="474"/>
        <v/>
      </c>
      <c r="BK1313" s="498" t="str">
        <f t="shared" si="468"/>
        <v/>
      </c>
      <c r="BL1313" s="498" t="str">
        <f t="shared" si="469"/>
        <v/>
      </c>
    </row>
    <row r="1314" spans="1:64" x14ac:dyDescent="0.25">
      <c r="A1314" s="762">
        <f t="shared" si="470"/>
        <v>1309</v>
      </c>
      <c r="B1314" s="229"/>
      <c r="C1314" s="223"/>
      <c r="D1314" s="224"/>
      <c r="E1314" s="225"/>
      <c r="F1314" s="1036" t="str">
        <f t="shared" si="476"/>
        <v/>
      </c>
      <c r="G1314" s="1037" t="str">
        <f t="shared" si="471"/>
        <v/>
      </c>
      <c r="H1314" s="225"/>
      <c r="I1314" s="1013"/>
      <c r="J1314" s="1013"/>
      <c r="K1314" s="1028"/>
      <c r="L1314" s="1035" t="str">
        <f t="shared" si="475"/>
        <v/>
      </c>
      <c r="S1314" s="498"/>
      <c r="AJ1314" s="498"/>
      <c r="AM1314" s="498">
        <f t="shared" si="456"/>
        <v>0</v>
      </c>
      <c r="AN1314" s="498">
        <f t="shared" si="457"/>
        <v>0</v>
      </c>
      <c r="AO1314" s="498">
        <f t="shared" si="458"/>
        <v>0</v>
      </c>
      <c r="AP1314" s="498">
        <f t="shared" si="477"/>
        <v>0</v>
      </c>
      <c r="AQ1314" s="498">
        <f t="shared" si="472"/>
        <v>0</v>
      </c>
      <c r="AU1314" s="498">
        <f t="shared" si="459"/>
        <v>0</v>
      </c>
      <c r="AV1314" s="498">
        <f t="shared" si="460"/>
        <v>0</v>
      </c>
      <c r="AW1314" s="498">
        <f t="shared" si="461"/>
        <v>0</v>
      </c>
      <c r="AX1314" s="498">
        <f t="shared" si="462"/>
        <v>0</v>
      </c>
      <c r="AY1314" s="498">
        <f t="shared" si="463"/>
        <v>0</v>
      </c>
      <c r="BB1314" s="498" t="str">
        <f t="shared" si="464"/>
        <v/>
      </c>
      <c r="BC1314" s="743" t="str">
        <f t="shared" si="465"/>
        <v/>
      </c>
      <c r="BD1314" s="743" t="str">
        <f t="shared" si="466"/>
        <v/>
      </c>
      <c r="BE1314" s="743" t="str">
        <f>IF(D1314="","",VLOOKUP(D1314,'General Basis'!$J$39:$K$46,2,0))</f>
        <v/>
      </c>
      <c r="BF1314" s="744" t="str">
        <f>IF(D1314="","",VLOOKUP(D1314,'General Basis'!$J$39:$L$46,3,0))</f>
        <v/>
      </c>
      <c r="BG1314" s="744" t="str">
        <f t="shared" si="473"/>
        <v/>
      </c>
      <c r="BH1314" s="744" t="str">
        <f>IF(G1314="","",IF(BF1314="Abu Dhabi",IF(G1314&lt;18,'General Basis'!$C$39,IF(G1314&lt;41,'General Basis'!$C$40,IF(G1314&lt;60,'General Basis'!$C$41,IF(G1314&lt;65,'General Basis'!$C$42,'General Basis'!$C$43)))),IF(G1314&lt;11,'General Basis'!$B$39,IF(G1314&lt;18,'General Basis'!$B$40,IF(G1314&lt;26,'General Basis'!$B$41,IF(G1314&lt;31,'General Basis'!$B$42,IF(G1314&lt;36,'General Basis'!$B$43,IF(G1314&lt;41,'General Basis'!$B$44,IF(G1314&lt;46,'General Basis'!$B$45,IF(G1314&lt;51,'General Basis'!$B$46,IF(G1314&lt;56,'General Basis'!$B$47,IF(G1314&lt;60,'General Basis'!$B$48,IF(G1314&lt;65,'General Basis'!$B$49,'General Basis'!$B$50)))))))))))))</f>
        <v/>
      </c>
      <c r="BI1314" s="744" t="str">
        <f t="shared" si="467"/>
        <v/>
      </c>
      <c r="BJ1314" s="747" t="str">
        <f t="shared" si="474"/>
        <v/>
      </c>
      <c r="BK1314" s="498" t="str">
        <f t="shared" si="468"/>
        <v/>
      </c>
      <c r="BL1314" s="498" t="str">
        <f t="shared" si="469"/>
        <v/>
      </c>
    </row>
    <row r="1315" spans="1:64" x14ac:dyDescent="0.25">
      <c r="A1315" s="762">
        <f t="shared" si="470"/>
        <v>1310</v>
      </c>
      <c r="B1315" s="229"/>
      <c r="C1315" s="223"/>
      <c r="D1315" s="224"/>
      <c r="E1315" s="225"/>
      <c r="F1315" s="1036" t="str">
        <f t="shared" si="476"/>
        <v/>
      </c>
      <c r="G1315" s="1037" t="str">
        <f t="shared" si="471"/>
        <v/>
      </c>
      <c r="H1315" s="225"/>
      <c r="I1315" s="1013"/>
      <c r="J1315" s="1013"/>
      <c r="K1315" s="1028"/>
      <c r="L1315" s="1035" t="str">
        <f t="shared" si="475"/>
        <v/>
      </c>
      <c r="S1315" s="498"/>
      <c r="AJ1315" s="498"/>
      <c r="AM1315" s="498">
        <f t="shared" si="456"/>
        <v>0</v>
      </c>
      <c r="AN1315" s="498">
        <f t="shared" si="457"/>
        <v>0</v>
      </c>
      <c r="AO1315" s="498">
        <f t="shared" si="458"/>
        <v>0</v>
      </c>
      <c r="AP1315" s="498">
        <f t="shared" si="477"/>
        <v>0</v>
      </c>
      <c r="AQ1315" s="498">
        <f t="shared" si="472"/>
        <v>0</v>
      </c>
      <c r="AU1315" s="498">
        <f t="shared" si="459"/>
        <v>0</v>
      </c>
      <c r="AV1315" s="498">
        <f t="shared" si="460"/>
        <v>0</v>
      </c>
      <c r="AW1315" s="498">
        <f t="shared" si="461"/>
        <v>0</v>
      </c>
      <c r="AX1315" s="498">
        <f t="shared" si="462"/>
        <v>0</v>
      </c>
      <c r="AY1315" s="498">
        <f t="shared" si="463"/>
        <v>0</v>
      </c>
      <c r="BB1315" s="498" t="str">
        <f t="shared" si="464"/>
        <v/>
      </c>
      <c r="BC1315" s="743" t="str">
        <f t="shared" si="465"/>
        <v/>
      </c>
      <c r="BD1315" s="743" t="str">
        <f t="shared" si="466"/>
        <v/>
      </c>
      <c r="BE1315" s="743" t="str">
        <f>IF(D1315="","",VLOOKUP(D1315,'General Basis'!$J$39:$K$46,2,0))</f>
        <v/>
      </c>
      <c r="BF1315" s="744" t="str">
        <f>IF(D1315="","",VLOOKUP(D1315,'General Basis'!$J$39:$L$46,3,0))</f>
        <v/>
      </c>
      <c r="BG1315" s="744" t="str">
        <f t="shared" si="473"/>
        <v/>
      </c>
      <c r="BH1315" s="744" t="str">
        <f>IF(G1315="","",IF(BF1315="Abu Dhabi",IF(G1315&lt;18,'General Basis'!$C$39,IF(G1315&lt;41,'General Basis'!$C$40,IF(G1315&lt;60,'General Basis'!$C$41,IF(G1315&lt;65,'General Basis'!$C$42,'General Basis'!$C$43)))),IF(G1315&lt;11,'General Basis'!$B$39,IF(G1315&lt;18,'General Basis'!$B$40,IF(G1315&lt;26,'General Basis'!$B$41,IF(G1315&lt;31,'General Basis'!$B$42,IF(G1315&lt;36,'General Basis'!$B$43,IF(G1315&lt;41,'General Basis'!$B$44,IF(G1315&lt;46,'General Basis'!$B$45,IF(G1315&lt;51,'General Basis'!$B$46,IF(G1315&lt;56,'General Basis'!$B$47,IF(G1315&lt;60,'General Basis'!$B$48,IF(G1315&lt;65,'General Basis'!$B$49,'General Basis'!$B$50)))))))))))))</f>
        <v/>
      </c>
      <c r="BI1315" s="744" t="str">
        <f t="shared" si="467"/>
        <v/>
      </c>
      <c r="BJ1315" s="747" t="str">
        <f t="shared" si="474"/>
        <v/>
      </c>
      <c r="BK1315" s="498" t="str">
        <f t="shared" si="468"/>
        <v/>
      </c>
      <c r="BL1315" s="498" t="str">
        <f t="shared" si="469"/>
        <v/>
      </c>
    </row>
    <row r="1316" spans="1:64" x14ac:dyDescent="0.25">
      <c r="A1316" s="762">
        <f t="shared" si="470"/>
        <v>1311</v>
      </c>
      <c r="B1316" s="229"/>
      <c r="C1316" s="223"/>
      <c r="D1316" s="224"/>
      <c r="E1316" s="225"/>
      <c r="F1316" s="1036" t="str">
        <f t="shared" si="476"/>
        <v/>
      </c>
      <c r="G1316" s="1037" t="str">
        <f t="shared" si="471"/>
        <v/>
      </c>
      <c r="H1316" s="225"/>
      <c r="I1316" s="1013"/>
      <c r="J1316" s="1013"/>
      <c r="K1316" s="1028"/>
      <c r="L1316" s="1035" t="str">
        <f t="shared" si="475"/>
        <v/>
      </c>
      <c r="S1316" s="498"/>
      <c r="AJ1316" s="498"/>
      <c r="AM1316" s="498">
        <f t="shared" si="456"/>
        <v>0</v>
      </c>
      <c r="AN1316" s="498">
        <f t="shared" si="457"/>
        <v>0</v>
      </c>
      <c r="AO1316" s="498">
        <f t="shared" si="458"/>
        <v>0</v>
      </c>
      <c r="AP1316" s="498">
        <f t="shared" si="477"/>
        <v>0</v>
      </c>
      <c r="AQ1316" s="498">
        <f t="shared" si="472"/>
        <v>0</v>
      </c>
      <c r="AU1316" s="498">
        <f t="shared" si="459"/>
        <v>0</v>
      </c>
      <c r="AV1316" s="498">
        <f t="shared" si="460"/>
        <v>0</v>
      </c>
      <c r="AW1316" s="498">
        <f t="shared" si="461"/>
        <v>0</v>
      </c>
      <c r="AX1316" s="498">
        <f t="shared" si="462"/>
        <v>0</v>
      </c>
      <c r="AY1316" s="498">
        <f t="shared" si="463"/>
        <v>0</v>
      </c>
      <c r="BB1316" s="498" t="str">
        <f t="shared" si="464"/>
        <v/>
      </c>
      <c r="BC1316" s="743" t="str">
        <f t="shared" si="465"/>
        <v/>
      </c>
      <c r="BD1316" s="743" t="str">
        <f t="shared" si="466"/>
        <v/>
      </c>
      <c r="BE1316" s="743" t="str">
        <f>IF(D1316="","",VLOOKUP(D1316,'General Basis'!$J$39:$K$46,2,0))</f>
        <v/>
      </c>
      <c r="BF1316" s="744" t="str">
        <f>IF(D1316="","",VLOOKUP(D1316,'General Basis'!$J$39:$L$46,3,0))</f>
        <v/>
      </c>
      <c r="BG1316" s="744" t="str">
        <f t="shared" si="473"/>
        <v/>
      </c>
      <c r="BH1316" s="744" t="str">
        <f>IF(G1316="","",IF(BF1316="Abu Dhabi",IF(G1316&lt;18,'General Basis'!$C$39,IF(G1316&lt;41,'General Basis'!$C$40,IF(G1316&lt;60,'General Basis'!$C$41,IF(G1316&lt;65,'General Basis'!$C$42,'General Basis'!$C$43)))),IF(G1316&lt;11,'General Basis'!$B$39,IF(G1316&lt;18,'General Basis'!$B$40,IF(G1316&lt;26,'General Basis'!$B$41,IF(G1316&lt;31,'General Basis'!$B$42,IF(G1316&lt;36,'General Basis'!$B$43,IF(G1316&lt;41,'General Basis'!$B$44,IF(G1316&lt;46,'General Basis'!$B$45,IF(G1316&lt;51,'General Basis'!$B$46,IF(G1316&lt;56,'General Basis'!$B$47,IF(G1316&lt;60,'General Basis'!$B$48,IF(G1316&lt;65,'General Basis'!$B$49,'General Basis'!$B$50)))))))))))))</f>
        <v/>
      </c>
      <c r="BI1316" s="744" t="str">
        <f t="shared" si="467"/>
        <v/>
      </c>
      <c r="BJ1316" s="747" t="str">
        <f t="shared" si="474"/>
        <v/>
      </c>
      <c r="BK1316" s="498" t="str">
        <f t="shared" si="468"/>
        <v/>
      </c>
      <c r="BL1316" s="498" t="str">
        <f t="shared" si="469"/>
        <v/>
      </c>
    </row>
    <row r="1317" spans="1:64" x14ac:dyDescent="0.25">
      <c r="A1317" s="762">
        <f t="shared" si="470"/>
        <v>1312</v>
      </c>
      <c r="B1317" s="229"/>
      <c r="C1317" s="223"/>
      <c r="D1317" s="224"/>
      <c r="E1317" s="225"/>
      <c r="F1317" s="1036" t="str">
        <f t="shared" si="476"/>
        <v/>
      </c>
      <c r="G1317" s="1037" t="str">
        <f t="shared" si="471"/>
        <v/>
      </c>
      <c r="H1317" s="225"/>
      <c r="I1317" s="1013"/>
      <c r="J1317" s="1013"/>
      <c r="K1317" s="1028"/>
      <c r="L1317" s="1035" t="str">
        <f t="shared" si="475"/>
        <v/>
      </c>
      <c r="S1317" s="498"/>
      <c r="AJ1317" s="498"/>
      <c r="AM1317" s="498">
        <f t="shared" si="456"/>
        <v>0</v>
      </c>
      <c r="AN1317" s="498">
        <f t="shared" si="457"/>
        <v>0</v>
      </c>
      <c r="AO1317" s="498">
        <f t="shared" si="458"/>
        <v>0</v>
      </c>
      <c r="AP1317" s="498">
        <f t="shared" si="477"/>
        <v>0</v>
      </c>
      <c r="AQ1317" s="498">
        <f t="shared" si="472"/>
        <v>0</v>
      </c>
      <c r="AU1317" s="498">
        <f t="shared" si="459"/>
        <v>0</v>
      </c>
      <c r="AV1317" s="498">
        <f t="shared" si="460"/>
        <v>0</v>
      </c>
      <c r="AW1317" s="498">
        <f t="shared" si="461"/>
        <v>0</v>
      </c>
      <c r="AX1317" s="498">
        <f t="shared" si="462"/>
        <v>0</v>
      </c>
      <c r="AY1317" s="498">
        <f t="shared" si="463"/>
        <v>0</v>
      </c>
      <c r="BB1317" s="498" t="str">
        <f t="shared" si="464"/>
        <v/>
      </c>
      <c r="BC1317" s="743" t="str">
        <f t="shared" si="465"/>
        <v/>
      </c>
      <c r="BD1317" s="743" t="str">
        <f t="shared" si="466"/>
        <v/>
      </c>
      <c r="BE1317" s="743" t="str">
        <f>IF(D1317="","",VLOOKUP(D1317,'General Basis'!$J$39:$K$46,2,0))</f>
        <v/>
      </c>
      <c r="BF1317" s="744" t="str">
        <f>IF(D1317="","",VLOOKUP(D1317,'General Basis'!$J$39:$L$46,3,0))</f>
        <v/>
      </c>
      <c r="BG1317" s="744" t="str">
        <f t="shared" si="473"/>
        <v/>
      </c>
      <c r="BH1317" s="744" t="str">
        <f>IF(G1317="","",IF(BF1317="Abu Dhabi",IF(G1317&lt;18,'General Basis'!$C$39,IF(G1317&lt;41,'General Basis'!$C$40,IF(G1317&lt;60,'General Basis'!$C$41,IF(G1317&lt;65,'General Basis'!$C$42,'General Basis'!$C$43)))),IF(G1317&lt;11,'General Basis'!$B$39,IF(G1317&lt;18,'General Basis'!$B$40,IF(G1317&lt;26,'General Basis'!$B$41,IF(G1317&lt;31,'General Basis'!$B$42,IF(G1317&lt;36,'General Basis'!$B$43,IF(G1317&lt;41,'General Basis'!$B$44,IF(G1317&lt;46,'General Basis'!$B$45,IF(G1317&lt;51,'General Basis'!$B$46,IF(G1317&lt;56,'General Basis'!$B$47,IF(G1317&lt;60,'General Basis'!$B$48,IF(G1317&lt;65,'General Basis'!$B$49,'General Basis'!$B$50)))))))))))))</f>
        <v/>
      </c>
      <c r="BI1317" s="744" t="str">
        <f t="shared" si="467"/>
        <v/>
      </c>
      <c r="BJ1317" s="747" t="str">
        <f t="shared" si="474"/>
        <v/>
      </c>
      <c r="BK1317" s="498" t="str">
        <f t="shared" si="468"/>
        <v/>
      </c>
      <c r="BL1317" s="498" t="str">
        <f t="shared" si="469"/>
        <v/>
      </c>
    </row>
    <row r="1318" spans="1:64" x14ac:dyDescent="0.25">
      <c r="A1318" s="762">
        <f t="shared" si="470"/>
        <v>1313</v>
      </c>
      <c r="B1318" s="229"/>
      <c r="C1318" s="223"/>
      <c r="D1318" s="224"/>
      <c r="E1318" s="225"/>
      <c r="F1318" s="1036" t="str">
        <f t="shared" si="476"/>
        <v/>
      </c>
      <c r="G1318" s="1037" t="str">
        <f t="shared" si="471"/>
        <v/>
      </c>
      <c r="H1318" s="225"/>
      <c r="I1318" s="1013"/>
      <c r="J1318" s="1013"/>
      <c r="K1318" s="1028"/>
      <c r="L1318" s="1035" t="str">
        <f t="shared" si="475"/>
        <v/>
      </c>
      <c r="S1318" s="498"/>
      <c r="AJ1318" s="498"/>
      <c r="AM1318" s="498">
        <f t="shared" si="456"/>
        <v>0</v>
      </c>
      <c r="AN1318" s="498">
        <f t="shared" si="457"/>
        <v>0</v>
      </c>
      <c r="AO1318" s="498">
        <f t="shared" si="458"/>
        <v>0</v>
      </c>
      <c r="AP1318" s="498">
        <f t="shared" si="477"/>
        <v>0</v>
      </c>
      <c r="AQ1318" s="498">
        <f t="shared" si="472"/>
        <v>0</v>
      </c>
      <c r="AU1318" s="498">
        <f t="shared" si="459"/>
        <v>0</v>
      </c>
      <c r="AV1318" s="498">
        <f t="shared" si="460"/>
        <v>0</v>
      </c>
      <c r="AW1318" s="498">
        <f t="shared" si="461"/>
        <v>0</v>
      </c>
      <c r="AX1318" s="498">
        <f t="shared" si="462"/>
        <v>0</v>
      </c>
      <c r="AY1318" s="498">
        <f t="shared" si="463"/>
        <v>0</v>
      </c>
      <c r="BB1318" s="498" t="str">
        <f t="shared" si="464"/>
        <v/>
      </c>
      <c r="BC1318" s="743" t="str">
        <f t="shared" si="465"/>
        <v/>
      </c>
      <c r="BD1318" s="743" t="str">
        <f t="shared" si="466"/>
        <v/>
      </c>
      <c r="BE1318" s="743" t="str">
        <f>IF(D1318="","",VLOOKUP(D1318,'General Basis'!$J$39:$K$46,2,0))</f>
        <v/>
      </c>
      <c r="BF1318" s="744" t="str">
        <f>IF(D1318="","",VLOOKUP(D1318,'General Basis'!$J$39:$L$46,3,0))</f>
        <v/>
      </c>
      <c r="BG1318" s="744" t="str">
        <f t="shared" si="473"/>
        <v/>
      </c>
      <c r="BH1318" s="744" t="str">
        <f>IF(G1318="","",IF(BF1318="Abu Dhabi",IF(G1318&lt;18,'General Basis'!$C$39,IF(G1318&lt;41,'General Basis'!$C$40,IF(G1318&lt;60,'General Basis'!$C$41,IF(G1318&lt;65,'General Basis'!$C$42,'General Basis'!$C$43)))),IF(G1318&lt;11,'General Basis'!$B$39,IF(G1318&lt;18,'General Basis'!$B$40,IF(G1318&lt;26,'General Basis'!$B$41,IF(G1318&lt;31,'General Basis'!$B$42,IF(G1318&lt;36,'General Basis'!$B$43,IF(G1318&lt;41,'General Basis'!$B$44,IF(G1318&lt;46,'General Basis'!$B$45,IF(G1318&lt;51,'General Basis'!$B$46,IF(G1318&lt;56,'General Basis'!$B$47,IF(G1318&lt;60,'General Basis'!$B$48,IF(G1318&lt;65,'General Basis'!$B$49,'General Basis'!$B$50)))))))))))))</f>
        <v/>
      </c>
      <c r="BI1318" s="744" t="str">
        <f t="shared" si="467"/>
        <v/>
      </c>
      <c r="BJ1318" s="747" t="str">
        <f t="shared" si="474"/>
        <v/>
      </c>
      <c r="BK1318" s="498" t="str">
        <f t="shared" si="468"/>
        <v/>
      </c>
      <c r="BL1318" s="498" t="str">
        <f t="shared" si="469"/>
        <v/>
      </c>
    </row>
    <row r="1319" spans="1:64" x14ac:dyDescent="0.25">
      <c r="A1319" s="762">
        <f t="shared" si="470"/>
        <v>1314</v>
      </c>
      <c r="B1319" s="229"/>
      <c r="C1319" s="223"/>
      <c r="D1319" s="224"/>
      <c r="E1319" s="225"/>
      <c r="F1319" s="1036" t="str">
        <f t="shared" si="476"/>
        <v/>
      </c>
      <c r="G1319" s="1037" t="str">
        <f t="shared" si="471"/>
        <v/>
      </c>
      <c r="H1319" s="225"/>
      <c r="I1319" s="1013"/>
      <c r="J1319" s="1013"/>
      <c r="K1319" s="1028"/>
      <c r="L1319" s="1035" t="str">
        <f t="shared" si="475"/>
        <v/>
      </c>
      <c r="S1319" s="498"/>
      <c r="AJ1319" s="498"/>
      <c r="AM1319" s="498">
        <f t="shared" si="456"/>
        <v>0</v>
      </c>
      <c r="AN1319" s="498">
        <f t="shared" si="457"/>
        <v>0</v>
      </c>
      <c r="AO1319" s="498">
        <f t="shared" si="458"/>
        <v>0</v>
      </c>
      <c r="AP1319" s="498">
        <f t="shared" si="477"/>
        <v>0</v>
      </c>
      <c r="AQ1319" s="498">
        <f t="shared" si="472"/>
        <v>0</v>
      </c>
      <c r="AU1319" s="498">
        <f t="shared" si="459"/>
        <v>0</v>
      </c>
      <c r="AV1319" s="498">
        <f t="shared" si="460"/>
        <v>0</v>
      </c>
      <c r="AW1319" s="498">
        <f t="shared" si="461"/>
        <v>0</v>
      </c>
      <c r="AX1319" s="498">
        <f t="shared" si="462"/>
        <v>0</v>
      </c>
      <c r="AY1319" s="498">
        <f t="shared" si="463"/>
        <v>0</v>
      </c>
      <c r="BB1319" s="498" t="str">
        <f t="shared" si="464"/>
        <v/>
      </c>
      <c r="BC1319" s="743" t="str">
        <f t="shared" si="465"/>
        <v/>
      </c>
      <c r="BD1319" s="743" t="str">
        <f t="shared" si="466"/>
        <v/>
      </c>
      <c r="BE1319" s="743" t="str">
        <f>IF(D1319="","",VLOOKUP(D1319,'General Basis'!$J$39:$K$46,2,0))</f>
        <v/>
      </c>
      <c r="BF1319" s="744" t="str">
        <f>IF(D1319="","",VLOOKUP(D1319,'General Basis'!$J$39:$L$46,3,0))</f>
        <v/>
      </c>
      <c r="BG1319" s="744" t="str">
        <f t="shared" si="473"/>
        <v/>
      </c>
      <c r="BH1319" s="744" t="str">
        <f>IF(G1319="","",IF(BF1319="Abu Dhabi",IF(G1319&lt;18,'General Basis'!$C$39,IF(G1319&lt;41,'General Basis'!$C$40,IF(G1319&lt;60,'General Basis'!$C$41,IF(G1319&lt;65,'General Basis'!$C$42,'General Basis'!$C$43)))),IF(G1319&lt;11,'General Basis'!$B$39,IF(G1319&lt;18,'General Basis'!$B$40,IF(G1319&lt;26,'General Basis'!$B$41,IF(G1319&lt;31,'General Basis'!$B$42,IF(G1319&lt;36,'General Basis'!$B$43,IF(G1319&lt;41,'General Basis'!$B$44,IF(G1319&lt;46,'General Basis'!$B$45,IF(G1319&lt;51,'General Basis'!$B$46,IF(G1319&lt;56,'General Basis'!$B$47,IF(G1319&lt;60,'General Basis'!$B$48,IF(G1319&lt;65,'General Basis'!$B$49,'General Basis'!$B$50)))))))))))))</f>
        <v/>
      </c>
      <c r="BI1319" s="744" t="str">
        <f t="shared" si="467"/>
        <v/>
      </c>
      <c r="BJ1319" s="747" t="str">
        <f t="shared" si="474"/>
        <v/>
      </c>
      <c r="BK1319" s="498" t="str">
        <f t="shared" si="468"/>
        <v/>
      </c>
      <c r="BL1319" s="498" t="str">
        <f t="shared" si="469"/>
        <v/>
      </c>
    </row>
    <row r="1320" spans="1:64" x14ac:dyDescent="0.25">
      <c r="A1320" s="762">
        <f t="shared" si="470"/>
        <v>1315</v>
      </c>
      <c r="B1320" s="229"/>
      <c r="C1320" s="223"/>
      <c r="D1320" s="224"/>
      <c r="E1320" s="225"/>
      <c r="F1320" s="1036" t="str">
        <f t="shared" si="476"/>
        <v/>
      </c>
      <c r="G1320" s="1037" t="str">
        <f t="shared" si="471"/>
        <v/>
      </c>
      <c r="H1320" s="225"/>
      <c r="I1320" s="1013"/>
      <c r="J1320" s="1013"/>
      <c r="K1320" s="1028"/>
      <c r="L1320" s="1035" t="str">
        <f t="shared" si="475"/>
        <v/>
      </c>
      <c r="S1320" s="498"/>
      <c r="AJ1320" s="498"/>
      <c r="AM1320" s="498">
        <f t="shared" si="456"/>
        <v>0</v>
      </c>
      <c r="AN1320" s="498">
        <f t="shared" si="457"/>
        <v>0</v>
      </c>
      <c r="AO1320" s="498">
        <f t="shared" si="458"/>
        <v>0</v>
      </c>
      <c r="AP1320" s="498">
        <f t="shared" si="477"/>
        <v>0</v>
      </c>
      <c r="AQ1320" s="498">
        <f t="shared" si="472"/>
        <v>0</v>
      </c>
      <c r="AU1320" s="498">
        <f t="shared" si="459"/>
        <v>0</v>
      </c>
      <c r="AV1320" s="498">
        <f t="shared" si="460"/>
        <v>0</v>
      </c>
      <c r="AW1320" s="498">
        <f t="shared" si="461"/>
        <v>0</v>
      </c>
      <c r="AX1320" s="498">
        <f t="shared" si="462"/>
        <v>0</v>
      </c>
      <c r="AY1320" s="498">
        <f t="shared" si="463"/>
        <v>0</v>
      </c>
      <c r="BB1320" s="498" t="str">
        <f t="shared" si="464"/>
        <v/>
      </c>
      <c r="BC1320" s="743" t="str">
        <f t="shared" si="465"/>
        <v/>
      </c>
      <c r="BD1320" s="743" t="str">
        <f t="shared" si="466"/>
        <v/>
      </c>
      <c r="BE1320" s="743" t="str">
        <f>IF(D1320="","",VLOOKUP(D1320,'General Basis'!$J$39:$K$46,2,0))</f>
        <v/>
      </c>
      <c r="BF1320" s="744" t="str">
        <f>IF(D1320="","",VLOOKUP(D1320,'General Basis'!$J$39:$L$46,3,0))</f>
        <v/>
      </c>
      <c r="BG1320" s="744" t="str">
        <f t="shared" si="473"/>
        <v/>
      </c>
      <c r="BH1320" s="744" t="str">
        <f>IF(G1320="","",IF(BF1320="Abu Dhabi",IF(G1320&lt;18,'General Basis'!$C$39,IF(G1320&lt;41,'General Basis'!$C$40,IF(G1320&lt;60,'General Basis'!$C$41,IF(G1320&lt;65,'General Basis'!$C$42,'General Basis'!$C$43)))),IF(G1320&lt;11,'General Basis'!$B$39,IF(G1320&lt;18,'General Basis'!$B$40,IF(G1320&lt;26,'General Basis'!$B$41,IF(G1320&lt;31,'General Basis'!$B$42,IF(G1320&lt;36,'General Basis'!$B$43,IF(G1320&lt;41,'General Basis'!$B$44,IF(G1320&lt;46,'General Basis'!$B$45,IF(G1320&lt;51,'General Basis'!$B$46,IF(G1320&lt;56,'General Basis'!$B$47,IF(G1320&lt;60,'General Basis'!$B$48,IF(G1320&lt;65,'General Basis'!$B$49,'General Basis'!$B$50)))))))))))))</f>
        <v/>
      </c>
      <c r="BI1320" s="744" t="str">
        <f t="shared" si="467"/>
        <v/>
      </c>
      <c r="BJ1320" s="747" t="str">
        <f t="shared" si="474"/>
        <v/>
      </c>
      <c r="BK1320" s="498" t="str">
        <f t="shared" si="468"/>
        <v/>
      </c>
      <c r="BL1320" s="498" t="str">
        <f t="shared" si="469"/>
        <v/>
      </c>
    </row>
    <row r="1321" spans="1:64" x14ac:dyDescent="0.25">
      <c r="A1321" s="762">
        <f t="shared" si="470"/>
        <v>1316</v>
      </c>
      <c r="B1321" s="229"/>
      <c r="C1321" s="223"/>
      <c r="D1321" s="224"/>
      <c r="E1321" s="225"/>
      <c r="F1321" s="1036" t="str">
        <f t="shared" si="476"/>
        <v/>
      </c>
      <c r="G1321" s="1037" t="str">
        <f t="shared" si="471"/>
        <v/>
      </c>
      <c r="H1321" s="225"/>
      <c r="I1321" s="1013"/>
      <c r="J1321" s="1013"/>
      <c r="K1321" s="1028"/>
      <c r="L1321" s="1035" t="str">
        <f t="shared" si="475"/>
        <v/>
      </c>
      <c r="S1321" s="498"/>
      <c r="AJ1321" s="498"/>
      <c r="AM1321" s="498">
        <f t="shared" si="456"/>
        <v>0</v>
      </c>
      <c r="AN1321" s="498">
        <f t="shared" si="457"/>
        <v>0</v>
      </c>
      <c r="AO1321" s="498">
        <f t="shared" si="458"/>
        <v>0</v>
      </c>
      <c r="AP1321" s="498">
        <f t="shared" si="477"/>
        <v>0</v>
      </c>
      <c r="AQ1321" s="498">
        <f t="shared" si="472"/>
        <v>0</v>
      </c>
      <c r="AU1321" s="498">
        <f t="shared" si="459"/>
        <v>0</v>
      </c>
      <c r="AV1321" s="498">
        <f t="shared" si="460"/>
        <v>0</v>
      </c>
      <c r="AW1321" s="498">
        <f t="shared" si="461"/>
        <v>0</v>
      </c>
      <c r="AX1321" s="498">
        <f t="shared" si="462"/>
        <v>0</v>
      </c>
      <c r="AY1321" s="498">
        <f t="shared" si="463"/>
        <v>0</v>
      </c>
      <c r="BB1321" s="498" t="str">
        <f t="shared" si="464"/>
        <v/>
      </c>
      <c r="BC1321" s="743" t="str">
        <f t="shared" si="465"/>
        <v/>
      </c>
      <c r="BD1321" s="743" t="str">
        <f t="shared" si="466"/>
        <v/>
      </c>
      <c r="BE1321" s="743" t="str">
        <f>IF(D1321="","",VLOOKUP(D1321,'General Basis'!$J$39:$K$46,2,0))</f>
        <v/>
      </c>
      <c r="BF1321" s="744" t="str">
        <f>IF(D1321="","",VLOOKUP(D1321,'General Basis'!$J$39:$L$46,3,0))</f>
        <v/>
      </c>
      <c r="BG1321" s="744" t="str">
        <f t="shared" si="473"/>
        <v/>
      </c>
      <c r="BH1321" s="744" t="str">
        <f>IF(G1321="","",IF(BF1321="Abu Dhabi",IF(G1321&lt;18,'General Basis'!$C$39,IF(G1321&lt;41,'General Basis'!$C$40,IF(G1321&lt;60,'General Basis'!$C$41,IF(G1321&lt;65,'General Basis'!$C$42,'General Basis'!$C$43)))),IF(G1321&lt;11,'General Basis'!$B$39,IF(G1321&lt;18,'General Basis'!$B$40,IF(G1321&lt;26,'General Basis'!$B$41,IF(G1321&lt;31,'General Basis'!$B$42,IF(G1321&lt;36,'General Basis'!$B$43,IF(G1321&lt;41,'General Basis'!$B$44,IF(G1321&lt;46,'General Basis'!$B$45,IF(G1321&lt;51,'General Basis'!$B$46,IF(G1321&lt;56,'General Basis'!$B$47,IF(G1321&lt;60,'General Basis'!$B$48,IF(G1321&lt;65,'General Basis'!$B$49,'General Basis'!$B$50)))))))))))))</f>
        <v/>
      </c>
      <c r="BI1321" s="744" t="str">
        <f t="shared" si="467"/>
        <v/>
      </c>
      <c r="BJ1321" s="747" t="str">
        <f t="shared" si="474"/>
        <v/>
      </c>
      <c r="BK1321" s="498" t="str">
        <f t="shared" si="468"/>
        <v/>
      </c>
      <c r="BL1321" s="498" t="str">
        <f t="shared" si="469"/>
        <v/>
      </c>
    </row>
    <row r="1322" spans="1:64" x14ac:dyDescent="0.25">
      <c r="A1322" s="762">
        <f t="shared" si="470"/>
        <v>1317</v>
      </c>
      <c r="B1322" s="229"/>
      <c r="C1322" s="223"/>
      <c r="D1322" s="224"/>
      <c r="E1322" s="225"/>
      <c r="F1322" s="1036" t="str">
        <f t="shared" si="476"/>
        <v/>
      </c>
      <c r="G1322" s="1037" t="str">
        <f t="shared" si="471"/>
        <v/>
      </c>
      <c r="H1322" s="225"/>
      <c r="I1322" s="1013"/>
      <c r="J1322" s="1013"/>
      <c r="K1322" s="1028"/>
      <c r="L1322" s="1035" t="str">
        <f t="shared" si="475"/>
        <v/>
      </c>
      <c r="S1322" s="498"/>
      <c r="AJ1322" s="498"/>
      <c r="AM1322" s="498">
        <f t="shared" si="456"/>
        <v>0</v>
      </c>
      <c r="AN1322" s="498">
        <f t="shared" si="457"/>
        <v>0</v>
      </c>
      <c r="AO1322" s="498">
        <f t="shared" si="458"/>
        <v>0</v>
      </c>
      <c r="AP1322" s="498">
        <f t="shared" si="477"/>
        <v>0</v>
      </c>
      <c r="AQ1322" s="498">
        <f t="shared" si="472"/>
        <v>0</v>
      </c>
      <c r="AU1322" s="498">
        <f t="shared" si="459"/>
        <v>0</v>
      </c>
      <c r="AV1322" s="498">
        <f t="shared" si="460"/>
        <v>0</v>
      </c>
      <c r="AW1322" s="498">
        <f t="shared" si="461"/>
        <v>0</v>
      </c>
      <c r="AX1322" s="498">
        <f t="shared" si="462"/>
        <v>0</v>
      </c>
      <c r="AY1322" s="498">
        <f t="shared" si="463"/>
        <v>0</v>
      </c>
      <c r="BB1322" s="498" t="str">
        <f t="shared" si="464"/>
        <v/>
      </c>
      <c r="BC1322" s="743" t="str">
        <f t="shared" si="465"/>
        <v/>
      </c>
      <c r="BD1322" s="743" t="str">
        <f t="shared" si="466"/>
        <v/>
      </c>
      <c r="BE1322" s="743" t="str">
        <f>IF(D1322="","",VLOOKUP(D1322,'General Basis'!$J$39:$K$46,2,0))</f>
        <v/>
      </c>
      <c r="BF1322" s="744" t="str">
        <f>IF(D1322="","",VLOOKUP(D1322,'General Basis'!$J$39:$L$46,3,0))</f>
        <v/>
      </c>
      <c r="BG1322" s="744" t="str">
        <f t="shared" si="473"/>
        <v/>
      </c>
      <c r="BH1322" s="744" t="str">
        <f>IF(G1322="","",IF(BF1322="Abu Dhabi",IF(G1322&lt;18,'General Basis'!$C$39,IF(G1322&lt;41,'General Basis'!$C$40,IF(G1322&lt;60,'General Basis'!$C$41,IF(G1322&lt;65,'General Basis'!$C$42,'General Basis'!$C$43)))),IF(G1322&lt;11,'General Basis'!$B$39,IF(G1322&lt;18,'General Basis'!$B$40,IF(G1322&lt;26,'General Basis'!$B$41,IF(G1322&lt;31,'General Basis'!$B$42,IF(G1322&lt;36,'General Basis'!$B$43,IF(G1322&lt;41,'General Basis'!$B$44,IF(G1322&lt;46,'General Basis'!$B$45,IF(G1322&lt;51,'General Basis'!$B$46,IF(G1322&lt;56,'General Basis'!$B$47,IF(G1322&lt;60,'General Basis'!$B$48,IF(G1322&lt;65,'General Basis'!$B$49,'General Basis'!$B$50)))))))))))))</f>
        <v/>
      </c>
      <c r="BI1322" s="744" t="str">
        <f t="shared" si="467"/>
        <v/>
      </c>
      <c r="BJ1322" s="747" t="str">
        <f t="shared" si="474"/>
        <v/>
      </c>
      <c r="BK1322" s="498" t="str">
        <f t="shared" si="468"/>
        <v/>
      </c>
      <c r="BL1322" s="498" t="str">
        <f t="shared" si="469"/>
        <v/>
      </c>
    </row>
    <row r="1323" spans="1:64" x14ac:dyDescent="0.25">
      <c r="A1323" s="762">
        <f t="shared" si="470"/>
        <v>1318</v>
      </c>
      <c r="B1323" s="229"/>
      <c r="C1323" s="223"/>
      <c r="D1323" s="224"/>
      <c r="E1323" s="225"/>
      <c r="F1323" s="1036" t="str">
        <f t="shared" si="476"/>
        <v/>
      </c>
      <c r="G1323" s="1037" t="str">
        <f t="shared" si="471"/>
        <v/>
      </c>
      <c r="H1323" s="225"/>
      <c r="I1323" s="1013"/>
      <c r="J1323" s="1013"/>
      <c r="K1323" s="1028"/>
      <c r="L1323" s="1035" t="str">
        <f t="shared" si="475"/>
        <v/>
      </c>
      <c r="S1323" s="498"/>
      <c r="AJ1323" s="498"/>
      <c r="AM1323" s="498">
        <f t="shared" si="456"/>
        <v>0</v>
      </c>
      <c r="AN1323" s="498">
        <f t="shared" si="457"/>
        <v>0</v>
      </c>
      <c r="AO1323" s="498">
        <f t="shared" si="458"/>
        <v>0</v>
      </c>
      <c r="AP1323" s="498">
        <f t="shared" si="477"/>
        <v>0</v>
      </c>
      <c r="AQ1323" s="498">
        <f t="shared" si="472"/>
        <v>0</v>
      </c>
      <c r="AU1323" s="498">
        <f t="shared" si="459"/>
        <v>0</v>
      </c>
      <c r="AV1323" s="498">
        <f t="shared" si="460"/>
        <v>0</v>
      </c>
      <c r="AW1323" s="498">
        <f t="shared" si="461"/>
        <v>0</v>
      </c>
      <c r="AX1323" s="498">
        <f t="shared" si="462"/>
        <v>0</v>
      </c>
      <c r="AY1323" s="498">
        <f t="shared" si="463"/>
        <v>0</v>
      </c>
      <c r="BB1323" s="498" t="str">
        <f t="shared" si="464"/>
        <v/>
      </c>
      <c r="BC1323" s="743" t="str">
        <f t="shared" si="465"/>
        <v/>
      </c>
      <c r="BD1323" s="743" t="str">
        <f t="shared" si="466"/>
        <v/>
      </c>
      <c r="BE1323" s="743" t="str">
        <f>IF(D1323="","",VLOOKUP(D1323,'General Basis'!$J$39:$K$46,2,0))</f>
        <v/>
      </c>
      <c r="BF1323" s="744" t="str">
        <f>IF(D1323="","",VLOOKUP(D1323,'General Basis'!$J$39:$L$46,3,0))</f>
        <v/>
      </c>
      <c r="BG1323" s="744" t="str">
        <f t="shared" si="473"/>
        <v/>
      </c>
      <c r="BH1323" s="744" t="str">
        <f>IF(G1323="","",IF(BF1323="Abu Dhabi",IF(G1323&lt;18,'General Basis'!$C$39,IF(G1323&lt;41,'General Basis'!$C$40,IF(G1323&lt;60,'General Basis'!$C$41,IF(G1323&lt;65,'General Basis'!$C$42,'General Basis'!$C$43)))),IF(G1323&lt;11,'General Basis'!$B$39,IF(G1323&lt;18,'General Basis'!$B$40,IF(G1323&lt;26,'General Basis'!$B$41,IF(G1323&lt;31,'General Basis'!$B$42,IF(G1323&lt;36,'General Basis'!$B$43,IF(G1323&lt;41,'General Basis'!$B$44,IF(G1323&lt;46,'General Basis'!$B$45,IF(G1323&lt;51,'General Basis'!$B$46,IF(G1323&lt;56,'General Basis'!$B$47,IF(G1323&lt;60,'General Basis'!$B$48,IF(G1323&lt;65,'General Basis'!$B$49,'General Basis'!$B$50)))))))))))))</f>
        <v/>
      </c>
      <c r="BI1323" s="744" t="str">
        <f t="shared" si="467"/>
        <v/>
      </c>
      <c r="BJ1323" s="747" t="str">
        <f t="shared" si="474"/>
        <v/>
      </c>
      <c r="BK1323" s="498" t="str">
        <f t="shared" si="468"/>
        <v/>
      </c>
      <c r="BL1323" s="498" t="str">
        <f t="shared" si="469"/>
        <v/>
      </c>
    </row>
    <row r="1324" spans="1:64" x14ac:dyDescent="0.25">
      <c r="A1324" s="762">
        <f t="shared" si="470"/>
        <v>1319</v>
      </c>
      <c r="B1324" s="229"/>
      <c r="C1324" s="223"/>
      <c r="D1324" s="224"/>
      <c r="E1324" s="225"/>
      <c r="F1324" s="1036" t="str">
        <f t="shared" si="476"/>
        <v/>
      </c>
      <c r="G1324" s="1037" t="str">
        <f t="shared" si="471"/>
        <v/>
      </c>
      <c r="H1324" s="225"/>
      <c r="I1324" s="1013"/>
      <c r="J1324" s="1013"/>
      <c r="K1324" s="1028"/>
      <c r="L1324" s="1035" t="str">
        <f t="shared" si="475"/>
        <v/>
      </c>
      <c r="S1324" s="498"/>
      <c r="AJ1324" s="498"/>
      <c r="AM1324" s="498">
        <f t="shared" si="456"/>
        <v>0</v>
      </c>
      <c r="AN1324" s="498">
        <f t="shared" si="457"/>
        <v>0</v>
      </c>
      <c r="AO1324" s="498">
        <f t="shared" si="458"/>
        <v>0</v>
      </c>
      <c r="AP1324" s="498">
        <f t="shared" si="477"/>
        <v>0</v>
      </c>
      <c r="AQ1324" s="498">
        <f t="shared" si="472"/>
        <v>0</v>
      </c>
      <c r="AU1324" s="498">
        <f t="shared" si="459"/>
        <v>0</v>
      </c>
      <c r="AV1324" s="498">
        <f t="shared" si="460"/>
        <v>0</v>
      </c>
      <c r="AW1324" s="498">
        <f t="shared" si="461"/>
        <v>0</v>
      </c>
      <c r="AX1324" s="498">
        <f t="shared" si="462"/>
        <v>0</v>
      </c>
      <c r="AY1324" s="498">
        <f t="shared" si="463"/>
        <v>0</v>
      </c>
      <c r="BB1324" s="498" t="str">
        <f t="shared" si="464"/>
        <v/>
      </c>
      <c r="BC1324" s="743" t="str">
        <f t="shared" si="465"/>
        <v/>
      </c>
      <c r="BD1324" s="743" t="str">
        <f t="shared" si="466"/>
        <v/>
      </c>
      <c r="BE1324" s="743" t="str">
        <f>IF(D1324="","",VLOOKUP(D1324,'General Basis'!$J$39:$K$46,2,0))</f>
        <v/>
      </c>
      <c r="BF1324" s="744" t="str">
        <f>IF(D1324="","",VLOOKUP(D1324,'General Basis'!$J$39:$L$46,3,0))</f>
        <v/>
      </c>
      <c r="BG1324" s="744" t="str">
        <f t="shared" si="473"/>
        <v/>
      </c>
      <c r="BH1324" s="744" t="str">
        <f>IF(G1324="","",IF(BF1324="Abu Dhabi",IF(G1324&lt;18,'General Basis'!$C$39,IF(G1324&lt;41,'General Basis'!$C$40,IF(G1324&lt;60,'General Basis'!$C$41,IF(G1324&lt;65,'General Basis'!$C$42,'General Basis'!$C$43)))),IF(G1324&lt;11,'General Basis'!$B$39,IF(G1324&lt;18,'General Basis'!$B$40,IF(G1324&lt;26,'General Basis'!$B$41,IF(G1324&lt;31,'General Basis'!$B$42,IF(G1324&lt;36,'General Basis'!$B$43,IF(G1324&lt;41,'General Basis'!$B$44,IF(G1324&lt;46,'General Basis'!$B$45,IF(G1324&lt;51,'General Basis'!$B$46,IF(G1324&lt;56,'General Basis'!$B$47,IF(G1324&lt;60,'General Basis'!$B$48,IF(G1324&lt;65,'General Basis'!$B$49,'General Basis'!$B$50)))))))))))))</f>
        <v/>
      </c>
      <c r="BI1324" s="744" t="str">
        <f t="shared" si="467"/>
        <v/>
      </c>
      <c r="BJ1324" s="747" t="str">
        <f t="shared" si="474"/>
        <v/>
      </c>
      <c r="BK1324" s="498" t="str">
        <f t="shared" si="468"/>
        <v/>
      </c>
      <c r="BL1324" s="498" t="str">
        <f t="shared" si="469"/>
        <v/>
      </c>
    </row>
    <row r="1325" spans="1:64" x14ac:dyDescent="0.25">
      <c r="A1325" s="762">
        <f t="shared" si="470"/>
        <v>1320</v>
      </c>
      <c r="B1325" s="229"/>
      <c r="C1325" s="223"/>
      <c r="D1325" s="224"/>
      <c r="E1325" s="225"/>
      <c r="F1325" s="1036" t="str">
        <f t="shared" si="476"/>
        <v/>
      </c>
      <c r="G1325" s="1037" t="str">
        <f t="shared" si="471"/>
        <v/>
      </c>
      <c r="H1325" s="225"/>
      <c r="I1325" s="1013"/>
      <c r="J1325" s="1013"/>
      <c r="K1325" s="1028"/>
      <c r="L1325" s="1035" t="str">
        <f t="shared" si="475"/>
        <v/>
      </c>
      <c r="S1325" s="498"/>
      <c r="AJ1325" s="498"/>
      <c r="AM1325" s="498">
        <f t="shared" si="456"/>
        <v>0</v>
      </c>
      <c r="AN1325" s="498">
        <f t="shared" si="457"/>
        <v>0</v>
      </c>
      <c r="AO1325" s="498">
        <f t="shared" si="458"/>
        <v>0</v>
      </c>
      <c r="AP1325" s="498">
        <f t="shared" si="477"/>
        <v>0</v>
      </c>
      <c r="AQ1325" s="498">
        <f t="shared" si="472"/>
        <v>0</v>
      </c>
      <c r="AU1325" s="498">
        <f t="shared" si="459"/>
        <v>0</v>
      </c>
      <c r="AV1325" s="498">
        <f t="shared" si="460"/>
        <v>0</v>
      </c>
      <c r="AW1325" s="498">
        <f t="shared" si="461"/>
        <v>0</v>
      </c>
      <c r="AX1325" s="498">
        <f t="shared" si="462"/>
        <v>0</v>
      </c>
      <c r="AY1325" s="498">
        <f t="shared" si="463"/>
        <v>0</v>
      </c>
      <c r="BB1325" s="498" t="str">
        <f t="shared" si="464"/>
        <v/>
      </c>
      <c r="BC1325" s="743" t="str">
        <f t="shared" si="465"/>
        <v/>
      </c>
      <c r="BD1325" s="743" t="str">
        <f t="shared" si="466"/>
        <v/>
      </c>
      <c r="BE1325" s="743" t="str">
        <f>IF(D1325="","",VLOOKUP(D1325,'General Basis'!$J$39:$K$46,2,0))</f>
        <v/>
      </c>
      <c r="BF1325" s="744" t="str">
        <f>IF(D1325="","",VLOOKUP(D1325,'General Basis'!$J$39:$L$46,3,0))</f>
        <v/>
      </c>
      <c r="BG1325" s="744" t="str">
        <f t="shared" si="473"/>
        <v/>
      </c>
      <c r="BH1325" s="744" t="str">
        <f>IF(G1325="","",IF(BF1325="Abu Dhabi",IF(G1325&lt;18,'General Basis'!$C$39,IF(G1325&lt;41,'General Basis'!$C$40,IF(G1325&lt;60,'General Basis'!$C$41,IF(G1325&lt;65,'General Basis'!$C$42,'General Basis'!$C$43)))),IF(G1325&lt;11,'General Basis'!$B$39,IF(G1325&lt;18,'General Basis'!$B$40,IF(G1325&lt;26,'General Basis'!$B$41,IF(G1325&lt;31,'General Basis'!$B$42,IF(G1325&lt;36,'General Basis'!$B$43,IF(G1325&lt;41,'General Basis'!$B$44,IF(G1325&lt;46,'General Basis'!$B$45,IF(G1325&lt;51,'General Basis'!$B$46,IF(G1325&lt;56,'General Basis'!$B$47,IF(G1325&lt;60,'General Basis'!$B$48,IF(G1325&lt;65,'General Basis'!$B$49,'General Basis'!$B$50)))))))))))))</f>
        <v/>
      </c>
      <c r="BI1325" s="744" t="str">
        <f t="shared" si="467"/>
        <v/>
      </c>
      <c r="BJ1325" s="747" t="str">
        <f t="shared" si="474"/>
        <v/>
      </c>
      <c r="BK1325" s="498" t="str">
        <f t="shared" si="468"/>
        <v/>
      </c>
      <c r="BL1325" s="498" t="str">
        <f t="shared" si="469"/>
        <v/>
      </c>
    </row>
    <row r="1326" spans="1:64" x14ac:dyDescent="0.25">
      <c r="A1326" s="762">
        <f t="shared" si="470"/>
        <v>1321</v>
      </c>
      <c r="B1326" s="229"/>
      <c r="C1326" s="223"/>
      <c r="D1326" s="224"/>
      <c r="E1326" s="225"/>
      <c r="F1326" s="1036" t="str">
        <f t="shared" si="476"/>
        <v/>
      </c>
      <c r="G1326" s="1037" t="str">
        <f t="shared" si="471"/>
        <v/>
      </c>
      <c r="H1326" s="225"/>
      <c r="I1326" s="1013"/>
      <c r="J1326" s="1013"/>
      <c r="K1326" s="1028"/>
      <c r="L1326" s="1035" t="str">
        <f t="shared" si="475"/>
        <v/>
      </c>
      <c r="S1326" s="498"/>
      <c r="AJ1326" s="498"/>
      <c r="AM1326" s="498">
        <f t="shared" si="456"/>
        <v>0</v>
      </c>
      <c r="AN1326" s="498">
        <f t="shared" si="457"/>
        <v>0</v>
      </c>
      <c r="AO1326" s="498">
        <f t="shared" si="458"/>
        <v>0</v>
      </c>
      <c r="AP1326" s="498">
        <f t="shared" si="477"/>
        <v>0</v>
      </c>
      <c r="AQ1326" s="498">
        <f t="shared" si="472"/>
        <v>0</v>
      </c>
      <c r="AU1326" s="498">
        <f t="shared" si="459"/>
        <v>0</v>
      </c>
      <c r="AV1326" s="498">
        <f t="shared" si="460"/>
        <v>0</v>
      </c>
      <c r="AW1326" s="498">
        <f t="shared" si="461"/>
        <v>0</v>
      </c>
      <c r="AX1326" s="498">
        <f t="shared" si="462"/>
        <v>0</v>
      </c>
      <c r="AY1326" s="498">
        <f t="shared" si="463"/>
        <v>0</v>
      </c>
      <c r="BB1326" s="498" t="str">
        <f t="shared" si="464"/>
        <v/>
      </c>
      <c r="BC1326" s="743" t="str">
        <f t="shared" si="465"/>
        <v/>
      </c>
      <c r="BD1326" s="743" t="str">
        <f t="shared" si="466"/>
        <v/>
      </c>
      <c r="BE1326" s="743" t="str">
        <f>IF(D1326="","",VLOOKUP(D1326,'General Basis'!$J$39:$K$46,2,0))</f>
        <v/>
      </c>
      <c r="BF1326" s="744" t="str">
        <f>IF(D1326="","",VLOOKUP(D1326,'General Basis'!$J$39:$L$46,3,0))</f>
        <v/>
      </c>
      <c r="BG1326" s="744" t="str">
        <f t="shared" si="473"/>
        <v/>
      </c>
      <c r="BH1326" s="744" t="str">
        <f>IF(G1326="","",IF(BF1326="Abu Dhabi",IF(G1326&lt;18,'General Basis'!$C$39,IF(G1326&lt;41,'General Basis'!$C$40,IF(G1326&lt;60,'General Basis'!$C$41,IF(G1326&lt;65,'General Basis'!$C$42,'General Basis'!$C$43)))),IF(G1326&lt;11,'General Basis'!$B$39,IF(G1326&lt;18,'General Basis'!$B$40,IF(G1326&lt;26,'General Basis'!$B$41,IF(G1326&lt;31,'General Basis'!$B$42,IF(G1326&lt;36,'General Basis'!$B$43,IF(G1326&lt;41,'General Basis'!$B$44,IF(G1326&lt;46,'General Basis'!$B$45,IF(G1326&lt;51,'General Basis'!$B$46,IF(G1326&lt;56,'General Basis'!$B$47,IF(G1326&lt;60,'General Basis'!$B$48,IF(G1326&lt;65,'General Basis'!$B$49,'General Basis'!$B$50)))))))))))))</f>
        <v/>
      </c>
      <c r="BI1326" s="744" t="str">
        <f t="shared" si="467"/>
        <v/>
      </c>
      <c r="BJ1326" s="747" t="str">
        <f t="shared" si="474"/>
        <v/>
      </c>
      <c r="BK1326" s="498" t="str">
        <f t="shared" si="468"/>
        <v/>
      </c>
      <c r="BL1326" s="498" t="str">
        <f t="shared" si="469"/>
        <v/>
      </c>
    </row>
    <row r="1327" spans="1:64" x14ac:dyDescent="0.25">
      <c r="A1327" s="762">
        <f t="shared" si="470"/>
        <v>1322</v>
      </c>
      <c r="B1327" s="229"/>
      <c r="C1327" s="223"/>
      <c r="D1327" s="224"/>
      <c r="E1327" s="225"/>
      <c r="F1327" s="1036" t="str">
        <f t="shared" si="476"/>
        <v/>
      </c>
      <c r="G1327" s="1037" t="str">
        <f t="shared" si="471"/>
        <v/>
      </c>
      <c r="H1327" s="225"/>
      <c r="I1327" s="1013"/>
      <c r="J1327" s="1013"/>
      <c r="K1327" s="1028"/>
      <c r="L1327" s="1035" t="str">
        <f t="shared" si="475"/>
        <v/>
      </c>
      <c r="S1327" s="498"/>
      <c r="AJ1327" s="498"/>
      <c r="AM1327" s="498">
        <f t="shared" si="456"/>
        <v>0</v>
      </c>
      <c r="AN1327" s="498">
        <f t="shared" si="457"/>
        <v>0</v>
      </c>
      <c r="AO1327" s="498">
        <f t="shared" si="458"/>
        <v>0</v>
      </c>
      <c r="AP1327" s="498">
        <f t="shared" si="477"/>
        <v>0</v>
      </c>
      <c r="AQ1327" s="498">
        <f t="shared" si="472"/>
        <v>0</v>
      </c>
      <c r="AU1327" s="498">
        <f t="shared" si="459"/>
        <v>0</v>
      </c>
      <c r="AV1327" s="498">
        <f t="shared" si="460"/>
        <v>0</v>
      </c>
      <c r="AW1327" s="498">
        <f t="shared" si="461"/>
        <v>0</v>
      </c>
      <c r="AX1327" s="498">
        <f t="shared" si="462"/>
        <v>0</v>
      </c>
      <c r="AY1327" s="498">
        <f t="shared" si="463"/>
        <v>0</v>
      </c>
      <c r="BB1327" s="498" t="str">
        <f t="shared" si="464"/>
        <v/>
      </c>
      <c r="BC1327" s="743" t="str">
        <f t="shared" si="465"/>
        <v/>
      </c>
      <c r="BD1327" s="743" t="str">
        <f t="shared" si="466"/>
        <v/>
      </c>
      <c r="BE1327" s="743" t="str">
        <f>IF(D1327="","",VLOOKUP(D1327,'General Basis'!$J$39:$K$46,2,0))</f>
        <v/>
      </c>
      <c r="BF1327" s="744" t="str">
        <f>IF(D1327="","",VLOOKUP(D1327,'General Basis'!$J$39:$L$46,3,0))</f>
        <v/>
      </c>
      <c r="BG1327" s="744" t="str">
        <f t="shared" si="473"/>
        <v/>
      </c>
      <c r="BH1327" s="744" t="str">
        <f>IF(G1327="","",IF(BF1327="Abu Dhabi",IF(G1327&lt;18,'General Basis'!$C$39,IF(G1327&lt;41,'General Basis'!$C$40,IF(G1327&lt;60,'General Basis'!$C$41,IF(G1327&lt;65,'General Basis'!$C$42,'General Basis'!$C$43)))),IF(G1327&lt;11,'General Basis'!$B$39,IF(G1327&lt;18,'General Basis'!$B$40,IF(G1327&lt;26,'General Basis'!$B$41,IF(G1327&lt;31,'General Basis'!$B$42,IF(G1327&lt;36,'General Basis'!$B$43,IF(G1327&lt;41,'General Basis'!$B$44,IF(G1327&lt;46,'General Basis'!$B$45,IF(G1327&lt;51,'General Basis'!$B$46,IF(G1327&lt;56,'General Basis'!$B$47,IF(G1327&lt;60,'General Basis'!$B$48,IF(G1327&lt;65,'General Basis'!$B$49,'General Basis'!$B$50)))))))))))))</f>
        <v/>
      </c>
      <c r="BI1327" s="744" t="str">
        <f t="shared" si="467"/>
        <v/>
      </c>
      <c r="BJ1327" s="747" t="str">
        <f t="shared" si="474"/>
        <v/>
      </c>
      <c r="BK1327" s="498" t="str">
        <f t="shared" si="468"/>
        <v/>
      </c>
      <c r="BL1327" s="498" t="str">
        <f t="shared" si="469"/>
        <v/>
      </c>
    </row>
    <row r="1328" spans="1:64" x14ac:dyDescent="0.25">
      <c r="A1328" s="762">
        <f t="shared" si="470"/>
        <v>1323</v>
      </c>
      <c r="B1328" s="229"/>
      <c r="C1328" s="223"/>
      <c r="D1328" s="224"/>
      <c r="E1328" s="225"/>
      <c r="F1328" s="1036" t="str">
        <f t="shared" si="476"/>
        <v/>
      </c>
      <c r="G1328" s="1037" t="str">
        <f t="shared" si="471"/>
        <v/>
      </c>
      <c r="H1328" s="225"/>
      <c r="I1328" s="1013"/>
      <c r="J1328" s="1013"/>
      <c r="K1328" s="1028"/>
      <c r="L1328" s="1035" t="str">
        <f t="shared" si="475"/>
        <v/>
      </c>
      <c r="S1328" s="498"/>
      <c r="AJ1328" s="498"/>
      <c r="AM1328" s="498">
        <f t="shared" si="456"/>
        <v>0</v>
      </c>
      <c r="AN1328" s="498">
        <f t="shared" si="457"/>
        <v>0</v>
      </c>
      <c r="AO1328" s="498">
        <f t="shared" si="458"/>
        <v>0</v>
      </c>
      <c r="AP1328" s="498">
        <f t="shared" si="477"/>
        <v>0</v>
      </c>
      <c r="AQ1328" s="498">
        <f t="shared" si="472"/>
        <v>0</v>
      </c>
      <c r="AU1328" s="498">
        <f t="shared" si="459"/>
        <v>0</v>
      </c>
      <c r="AV1328" s="498">
        <f t="shared" si="460"/>
        <v>0</v>
      </c>
      <c r="AW1328" s="498">
        <f t="shared" si="461"/>
        <v>0</v>
      </c>
      <c r="AX1328" s="498">
        <f t="shared" si="462"/>
        <v>0</v>
      </c>
      <c r="AY1328" s="498">
        <f t="shared" si="463"/>
        <v>0</v>
      </c>
      <c r="BB1328" s="498" t="str">
        <f t="shared" si="464"/>
        <v/>
      </c>
      <c r="BC1328" s="743" t="str">
        <f t="shared" si="465"/>
        <v/>
      </c>
      <c r="BD1328" s="743" t="str">
        <f t="shared" si="466"/>
        <v/>
      </c>
      <c r="BE1328" s="743" t="str">
        <f>IF(D1328="","",VLOOKUP(D1328,'General Basis'!$J$39:$K$46,2,0))</f>
        <v/>
      </c>
      <c r="BF1328" s="744" t="str">
        <f>IF(D1328="","",VLOOKUP(D1328,'General Basis'!$J$39:$L$46,3,0))</f>
        <v/>
      </c>
      <c r="BG1328" s="744" t="str">
        <f t="shared" si="473"/>
        <v/>
      </c>
      <c r="BH1328" s="744" t="str">
        <f>IF(G1328="","",IF(BF1328="Abu Dhabi",IF(G1328&lt;18,'General Basis'!$C$39,IF(G1328&lt;41,'General Basis'!$C$40,IF(G1328&lt;60,'General Basis'!$C$41,IF(G1328&lt;65,'General Basis'!$C$42,'General Basis'!$C$43)))),IF(G1328&lt;11,'General Basis'!$B$39,IF(G1328&lt;18,'General Basis'!$B$40,IF(G1328&lt;26,'General Basis'!$B$41,IF(G1328&lt;31,'General Basis'!$B$42,IF(G1328&lt;36,'General Basis'!$B$43,IF(G1328&lt;41,'General Basis'!$B$44,IF(G1328&lt;46,'General Basis'!$B$45,IF(G1328&lt;51,'General Basis'!$B$46,IF(G1328&lt;56,'General Basis'!$B$47,IF(G1328&lt;60,'General Basis'!$B$48,IF(G1328&lt;65,'General Basis'!$B$49,'General Basis'!$B$50)))))))))))))</f>
        <v/>
      </c>
      <c r="BI1328" s="744" t="str">
        <f t="shared" si="467"/>
        <v/>
      </c>
      <c r="BJ1328" s="747" t="str">
        <f t="shared" si="474"/>
        <v/>
      </c>
      <c r="BK1328" s="498" t="str">
        <f t="shared" si="468"/>
        <v/>
      </c>
      <c r="BL1328" s="498" t="str">
        <f t="shared" si="469"/>
        <v/>
      </c>
    </row>
    <row r="1329" spans="1:64" x14ac:dyDescent="0.25">
      <c r="A1329" s="762">
        <f t="shared" si="470"/>
        <v>1324</v>
      </c>
      <c r="B1329" s="229"/>
      <c r="C1329" s="223"/>
      <c r="D1329" s="224"/>
      <c r="E1329" s="225"/>
      <c r="F1329" s="1036" t="str">
        <f t="shared" si="476"/>
        <v/>
      </c>
      <c r="G1329" s="1037" t="str">
        <f t="shared" si="471"/>
        <v/>
      </c>
      <c r="H1329" s="225"/>
      <c r="I1329" s="1013"/>
      <c r="J1329" s="1013"/>
      <c r="K1329" s="1028"/>
      <c r="L1329" s="1035" t="str">
        <f t="shared" si="475"/>
        <v/>
      </c>
      <c r="S1329" s="498"/>
      <c r="AJ1329" s="498"/>
      <c r="AM1329" s="498">
        <f t="shared" si="456"/>
        <v>0</v>
      </c>
      <c r="AN1329" s="498">
        <f t="shared" si="457"/>
        <v>0</v>
      </c>
      <c r="AO1329" s="498">
        <f t="shared" si="458"/>
        <v>0</v>
      </c>
      <c r="AP1329" s="498">
        <f t="shared" si="477"/>
        <v>0</v>
      </c>
      <c r="AQ1329" s="498">
        <f t="shared" si="472"/>
        <v>0</v>
      </c>
      <c r="AU1329" s="498">
        <f t="shared" si="459"/>
        <v>0</v>
      </c>
      <c r="AV1329" s="498">
        <f t="shared" si="460"/>
        <v>0</v>
      </c>
      <c r="AW1329" s="498">
        <f t="shared" si="461"/>
        <v>0</v>
      </c>
      <c r="AX1329" s="498">
        <f t="shared" si="462"/>
        <v>0</v>
      </c>
      <c r="AY1329" s="498">
        <f t="shared" si="463"/>
        <v>0</v>
      </c>
      <c r="BB1329" s="498" t="str">
        <f t="shared" si="464"/>
        <v/>
      </c>
      <c r="BC1329" s="743" t="str">
        <f t="shared" si="465"/>
        <v/>
      </c>
      <c r="BD1329" s="743" t="str">
        <f t="shared" si="466"/>
        <v/>
      </c>
      <c r="BE1329" s="743" t="str">
        <f>IF(D1329="","",VLOOKUP(D1329,'General Basis'!$J$39:$K$46,2,0))</f>
        <v/>
      </c>
      <c r="BF1329" s="744" t="str">
        <f>IF(D1329="","",VLOOKUP(D1329,'General Basis'!$J$39:$L$46,3,0))</f>
        <v/>
      </c>
      <c r="BG1329" s="744" t="str">
        <f t="shared" si="473"/>
        <v/>
      </c>
      <c r="BH1329" s="744" t="str">
        <f>IF(G1329="","",IF(BF1329="Abu Dhabi",IF(G1329&lt;18,'General Basis'!$C$39,IF(G1329&lt;41,'General Basis'!$C$40,IF(G1329&lt;60,'General Basis'!$C$41,IF(G1329&lt;65,'General Basis'!$C$42,'General Basis'!$C$43)))),IF(G1329&lt;11,'General Basis'!$B$39,IF(G1329&lt;18,'General Basis'!$B$40,IF(G1329&lt;26,'General Basis'!$B$41,IF(G1329&lt;31,'General Basis'!$B$42,IF(G1329&lt;36,'General Basis'!$B$43,IF(G1329&lt;41,'General Basis'!$B$44,IF(G1329&lt;46,'General Basis'!$B$45,IF(G1329&lt;51,'General Basis'!$B$46,IF(G1329&lt;56,'General Basis'!$B$47,IF(G1329&lt;60,'General Basis'!$B$48,IF(G1329&lt;65,'General Basis'!$B$49,'General Basis'!$B$50)))))))))))))</f>
        <v/>
      </c>
      <c r="BI1329" s="744" t="str">
        <f t="shared" si="467"/>
        <v/>
      </c>
      <c r="BJ1329" s="747" t="str">
        <f t="shared" si="474"/>
        <v/>
      </c>
      <c r="BK1329" s="498" t="str">
        <f t="shared" si="468"/>
        <v/>
      </c>
      <c r="BL1329" s="498" t="str">
        <f t="shared" si="469"/>
        <v/>
      </c>
    </row>
    <row r="1330" spans="1:64" x14ac:dyDescent="0.25">
      <c r="A1330" s="762">
        <f t="shared" si="470"/>
        <v>1325</v>
      </c>
      <c r="B1330" s="229"/>
      <c r="C1330" s="223"/>
      <c r="D1330" s="224"/>
      <c r="E1330" s="225"/>
      <c r="F1330" s="1036" t="str">
        <f t="shared" si="476"/>
        <v/>
      </c>
      <c r="G1330" s="1037" t="str">
        <f t="shared" si="471"/>
        <v/>
      </c>
      <c r="H1330" s="225"/>
      <c r="I1330" s="1013"/>
      <c r="J1330" s="1013"/>
      <c r="K1330" s="1028"/>
      <c r="L1330" s="1035" t="str">
        <f t="shared" si="475"/>
        <v/>
      </c>
      <c r="S1330" s="498"/>
      <c r="AJ1330" s="498"/>
      <c r="AM1330" s="498">
        <f t="shared" si="456"/>
        <v>0</v>
      </c>
      <c r="AN1330" s="498">
        <f t="shared" si="457"/>
        <v>0</v>
      </c>
      <c r="AO1330" s="498">
        <f t="shared" si="458"/>
        <v>0</v>
      </c>
      <c r="AP1330" s="498">
        <f t="shared" si="477"/>
        <v>0</v>
      </c>
      <c r="AQ1330" s="498">
        <f t="shared" si="472"/>
        <v>0</v>
      </c>
      <c r="AU1330" s="498">
        <f t="shared" si="459"/>
        <v>0</v>
      </c>
      <c r="AV1330" s="498">
        <f t="shared" si="460"/>
        <v>0</v>
      </c>
      <c r="AW1330" s="498">
        <f t="shared" si="461"/>
        <v>0</v>
      </c>
      <c r="AX1330" s="498">
        <f t="shared" si="462"/>
        <v>0</v>
      </c>
      <c r="AY1330" s="498">
        <f t="shared" si="463"/>
        <v>0</v>
      </c>
      <c r="BB1330" s="498" t="str">
        <f t="shared" si="464"/>
        <v/>
      </c>
      <c r="BC1330" s="743" t="str">
        <f t="shared" si="465"/>
        <v/>
      </c>
      <c r="BD1330" s="743" t="str">
        <f t="shared" si="466"/>
        <v/>
      </c>
      <c r="BE1330" s="743" t="str">
        <f>IF(D1330="","",VLOOKUP(D1330,'General Basis'!$J$39:$K$46,2,0))</f>
        <v/>
      </c>
      <c r="BF1330" s="744" t="str">
        <f>IF(D1330="","",VLOOKUP(D1330,'General Basis'!$J$39:$L$46,3,0))</f>
        <v/>
      </c>
      <c r="BG1330" s="744" t="str">
        <f t="shared" si="473"/>
        <v/>
      </c>
      <c r="BH1330" s="744" t="str">
        <f>IF(G1330="","",IF(BF1330="Abu Dhabi",IF(G1330&lt;18,'General Basis'!$C$39,IF(G1330&lt;41,'General Basis'!$C$40,IF(G1330&lt;60,'General Basis'!$C$41,IF(G1330&lt;65,'General Basis'!$C$42,'General Basis'!$C$43)))),IF(G1330&lt;11,'General Basis'!$B$39,IF(G1330&lt;18,'General Basis'!$B$40,IF(G1330&lt;26,'General Basis'!$B$41,IF(G1330&lt;31,'General Basis'!$B$42,IF(G1330&lt;36,'General Basis'!$B$43,IF(G1330&lt;41,'General Basis'!$B$44,IF(G1330&lt;46,'General Basis'!$B$45,IF(G1330&lt;51,'General Basis'!$B$46,IF(G1330&lt;56,'General Basis'!$B$47,IF(G1330&lt;60,'General Basis'!$B$48,IF(G1330&lt;65,'General Basis'!$B$49,'General Basis'!$B$50)))))))))))))</f>
        <v/>
      </c>
      <c r="BI1330" s="744" t="str">
        <f t="shared" si="467"/>
        <v/>
      </c>
      <c r="BJ1330" s="747" t="str">
        <f t="shared" si="474"/>
        <v/>
      </c>
      <c r="BK1330" s="498" t="str">
        <f t="shared" si="468"/>
        <v/>
      </c>
      <c r="BL1330" s="498" t="str">
        <f t="shared" si="469"/>
        <v/>
      </c>
    </row>
    <row r="1331" spans="1:64" x14ac:dyDescent="0.25">
      <c r="A1331" s="762">
        <f t="shared" si="470"/>
        <v>1326</v>
      </c>
      <c r="B1331" s="229"/>
      <c r="C1331" s="223"/>
      <c r="D1331" s="224"/>
      <c r="E1331" s="225"/>
      <c r="F1331" s="1036" t="str">
        <f t="shared" si="476"/>
        <v/>
      </c>
      <c r="G1331" s="1037" t="str">
        <f t="shared" si="471"/>
        <v/>
      </c>
      <c r="H1331" s="225"/>
      <c r="I1331" s="1013"/>
      <c r="J1331" s="1013"/>
      <c r="K1331" s="1028"/>
      <c r="L1331" s="1035" t="str">
        <f t="shared" si="475"/>
        <v/>
      </c>
      <c r="S1331" s="498"/>
      <c r="AJ1331" s="498"/>
      <c r="AM1331" s="498">
        <f t="shared" si="456"/>
        <v>0</v>
      </c>
      <c r="AN1331" s="498">
        <f t="shared" si="457"/>
        <v>0</v>
      </c>
      <c r="AO1331" s="498">
        <f t="shared" si="458"/>
        <v>0</v>
      </c>
      <c r="AP1331" s="498">
        <f t="shared" si="477"/>
        <v>0</v>
      </c>
      <c r="AQ1331" s="498">
        <f t="shared" si="472"/>
        <v>0</v>
      </c>
      <c r="AU1331" s="498">
        <f t="shared" si="459"/>
        <v>0</v>
      </c>
      <c r="AV1331" s="498">
        <f t="shared" si="460"/>
        <v>0</v>
      </c>
      <c r="AW1331" s="498">
        <f t="shared" si="461"/>
        <v>0</v>
      </c>
      <c r="AX1331" s="498">
        <f t="shared" si="462"/>
        <v>0</v>
      </c>
      <c r="AY1331" s="498">
        <f t="shared" si="463"/>
        <v>0</v>
      </c>
      <c r="BB1331" s="498" t="str">
        <f t="shared" si="464"/>
        <v/>
      </c>
      <c r="BC1331" s="743" t="str">
        <f t="shared" si="465"/>
        <v/>
      </c>
      <c r="BD1331" s="743" t="str">
        <f t="shared" si="466"/>
        <v/>
      </c>
      <c r="BE1331" s="743" t="str">
        <f>IF(D1331="","",VLOOKUP(D1331,'General Basis'!$J$39:$K$46,2,0))</f>
        <v/>
      </c>
      <c r="BF1331" s="744" t="str">
        <f>IF(D1331="","",VLOOKUP(D1331,'General Basis'!$J$39:$L$46,3,0))</f>
        <v/>
      </c>
      <c r="BG1331" s="744" t="str">
        <f t="shared" si="473"/>
        <v/>
      </c>
      <c r="BH1331" s="744" t="str">
        <f>IF(G1331="","",IF(BF1331="Abu Dhabi",IF(G1331&lt;18,'General Basis'!$C$39,IF(G1331&lt;41,'General Basis'!$C$40,IF(G1331&lt;60,'General Basis'!$C$41,IF(G1331&lt;65,'General Basis'!$C$42,'General Basis'!$C$43)))),IF(G1331&lt;11,'General Basis'!$B$39,IF(G1331&lt;18,'General Basis'!$B$40,IF(G1331&lt;26,'General Basis'!$B$41,IF(G1331&lt;31,'General Basis'!$B$42,IF(G1331&lt;36,'General Basis'!$B$43,IF(G1331&lt;41,'General Basis'!$B$44,IF(G1331&lt;46,'General Basis'!$B$45,IF(G1331&lt;51,'General Basis'!$B$46,IF(G1331&lt;56,'General Basis'!$B$47,IF(G1331&lt;60,'General Basis'!$B$48,IF(G1331&lt;65,'General Basis'!$B$49,'General Basis'!$B$50)))))))))))))</f>
        <v/>
      </c>
      <c r="BI1331" s="744" t="str">
        <f t="shared" si="467"/>
        <v/>
      </c>
      <c r="BJ1331" s="747" t="str">
        <f t="shared" si="474"/>
        <v/>
      </c>
      <c r="BK1331" s="498" t="str">
        <f t="shared" si="468"/>
        <v/>
      </c>
      <c r="BL1331" s="498" t="str">
        <f t="shared" si="469"/>
        <v/>
      </c>
    </row>
    <row r="1332" spans="1:64" x14ac:dyDescent="0.25">
      <c r="A1332" s="762">
        <f t="shared" si="470"/>
        <v>1327</v>
      </c>
      <c r="B1332" s="229"/>
      <c r="C1332" s="223"/>
      <c r="D1332" s="224"/>
      <c r="E1332" s="225"/>
      <c r="F1332" s="1036" t="str">
        <f t="shared" si="476"/>
        <v/>
      </c>
      <c r="G1332" s="1037" t="str">
        <f t="shared" si="471"/>
        <v/>
      </c>
      <c r="H1332" s="225"/>
      <c r="I1332" s="1013"/>
      <c r="J1332" s="1013"/>
      <c r="K1332" s="1028"/>
      <c r="L1332" s="1035" t="str">
        <f t="shared" si="475"/>
        <v/>
      </c>
      <c r="S1332" s="498"/>
      <c r="AJ1332" s="498"/>
      <c r="AM1332" s="498">
        <f t="shared" si="456"/>
        <v>0</v>
      </c>
      <c r="AN1332" s="498">
        <f t="shared" si="457"/>
        <v>0</v>
      </c>
      <c r="AO1332" s="498">
        <f t="shared" si="458"/>
        <v>0</v>
      </c>
      <c r="AP1332" s="498">
        <f t="shared" si="477"/>
        <v>0</v>
      </c>
      <c r="AQ1332" s="498">
        <f t="shared" si="472"/>
        <v>0</v>
      </c>
      <c r="AU1332" s="498">
        <f t="shared" si="459"/>
        <v>0</v>
      </c>
      <c r="AV1332" s="498">
        <f t="shared" si="460"/>
        <v>0</v>
      </c>
      <c r="AW1332" s="498">
        <f t="shared" si="461"/>
        <v>0</v>
      </c>
      <c r="AX1332" s="498">
        <f t="shared" si="462"/>
        <v>0</v>
      </c>
      <c r="AY1332" s="498">
        <f t="shared" si="463"/>
        <v>0</v>
      </c>
      <c r="BB1332" s="498" t="str">
        <f t="shared" si="464"/>
        <v/>
      </c>
      <c r="BC1332" s="743" t="str">
        <f t="shared" si="465"/>
        <v/>
      </c>
      <c r="BD1332" s="743" t="str">
        <f t="shared" si="466"/>
        <v/>
      </c>
      <c r="BE1332" s="743" t="str">
        <f>IF(D1332="","",VLOOKUP(D1332,'General Basis'!$J$39:$K$46,2,0))</f>
        <v/>
      </c>
      <c r="BF1332" s="744" t="str">
        <f>IF(D1332="","",VLOOKUP(D1332,'General Basis'!$J$39:$L$46,3,0))</f>
        <v/>
      </c>
      <c r="BG1332" s="744" t="str">
        <f t="shared" si="473"/>
        <v/>
      </c>
      <c r="BH1332" s="744" t="str">
        <f>IF(G1332="","",IF(BF1332="Abu Dhabi",IF(G1332&lt;18,'General Basis'!$C$39,IF(G1332&lt;41,'General Basis'!$C$40,IF(G1332&lt;60,'General Basis'!$C$41,IF(G1332&lt;65,'General Basis'!$C$42,'General Basis'!$C$43)))),IF(G1332&lt;11,'General Basis'!$B$39,IF(G1332&lt;18,'General Basis'!$B$40,IF(G1332&lt;26,'General Basis'!$B$41,IF(G1332&lt;31,'General Basis'!$B$42,IF(G1332&lt;36,'General Basis'!$B$43,IF(G1332&lt;41,'General Basis'!$B$44,IF(G1332&lt;46,'General Basis'!$B$45,IF(G1332&lt;51,'General Basis'!$B$46,IF(G1332&lt;56,'General Basis'!$B$47,IF(G1332&lt;60,'General Basis'!$B$48,IF(G1332&lt;65,'General Basis'!$B$49,'General Basis'!$B$50)))))))))))))</f>
        <v/>
      </c>
      <c r="BI1332" s="744" t="str">
        <f t="shared" si="467"/>
        <v/>
      </c>
      <c r="BJ1332" s="747" t="str">
        <f t="shared" si="474"/>
        <v/>
      </c>
      <c r="BK1332" s="498" t="str">
        <f t="shared" si="468"/>
        <v/>
      </c>
      <c r="BL1332" s="498" t="str">
        <f t="shared" si="469"/>
        <v/>
      </c>
    </row>
    <row r="1333" spans="1:64" x14ac:dyDescent="0.25">
      <c r="A1333" s="762">
        <f t="shared" si="470"/>
        <v>1328</v>
      </c>
      <c r="B1333" s="229"/>
      <c r="C1333" s="223"/>
      <c r="D1333" s="224"/>
      <c r="E1333" s="225"/>
      <c r="F1333" s="1036" t="str">
        <f t="shared" si="476"/>
        <v/>
      </c>
      <c r="G1333" s="1037" t="str">
        <f t="shared" si="471"/>
        <v/>
      </c>
      <c r="H1333" s="225"/>
      <c r="I1333" s="1013"/>
      <c r="J1333" s="1013"/>
      <c r="K1333" s="1028"/>
      <c r="L1333" s="1035" t="str">
        <f t="shared" si="475"/>
        <v/>
      </c>
      <c r="S1333" s="498"/>
      <c r="AJ1333" s="498"/>
      <c r="AM1333" s="498">
        <f t="shared" si="456"/>
        <v>0</v>
      </c>
      <c r="AN1333" s="498">
        <f t="shared" si="457"/>
        <v>0</v>
      </c>
      <c r="AO1333" s="498">
        <f t="shared" si="458"/>
        <v>0</v>
      </c>
      <c r="AP1333" s="498">
        <f t="shared" si="477"/>
        <v>0</v>
      </c>
      <c r="AQ1333" s="498">
        <f t="shared" si="472"/>
        <v>0</v>
      </c>
      <c r="AU1333" s="498">
        <f t="shared" si="459"/>
        <v>0</v>
      </c>
      <c r="AV1333" s="498">
        <f t="shared" si="460"/>
        <v>0</v>
      </c>
      <c r="AW1333" s="498">
        <f t="shared" si="461"/>
        <v>0</v>
      </c>
      <c r="AX1333" s="498">
        <f t="shared" si="462"/>
        <v>0</v>
      </c>
      <c r="AY1333" s="498">
        <f t="shared" si="463"/>
        <v>0</v>
      </c>
      <c r="BB1333" s="498" t="str">
        <f t="shared" si="464"/>
        <v/>
      </c>
      <c r="BC1333" s="743" t="str">
        <f t="shared" si="465"/>
        <v/>
      </c>
      <c r="BD1333" s="743" t="str">
        <f t="shared" si="466"/>
        <v/>
      </c>
      <c r="BE1333" s="743" t="str">
        <f>IF(D1333="","",VLOOKUP(D1333,'General Basis'!$J$39:$K$46,2,0))</f>
        <v/>
      </c>
      <c r="BF1333" s="744" t="str">
        <f>IF(D1333="","",VLOOKUP(D1333,'General Basis'!$J$39:$L$46,3,0))</f>
        <v/>
      </c>
      <c r="BG1333" s="744" t="str">
        <f t="shared" si="473"/>
        <v/>
      </c>
      <c r="BH1333" s="744" t="str">
        <f>IF(G1333="","",IF(BF1333="Abu Dhabi",IF(G1333&lt;18,'General Basis'!$C$39,IF(G1333&lt;41,'General Basis'!$C$40,IF(G1333&lt;60,'General Basis'!$C$41,IF(G1333&lt;65,'General Basis'!$C$42,'General Basis'!$C$43)))),IF(G1333&lt;11,'General Basis'!$B$39,IF(G1333&lt;18,'General Basis'!$B$40,IF(G1333&lt;26,'General Basis'!$B$41,IF(G1333&lt;31,'General Basis'!$B$42,IF(G1333&lt;36,'General Basis'!$B$43,IF(G1333&lt;41,'General Basis'!$B$44,IF(G1333&lt;46,'General Basis'!$B$45,IF(G1333&lt;51,'General Basis'!$B$46,IF(G1333&lt;56,'General Basis'!$B$47,IF(G1333&lt;60,'General Basis'!$B$48,IF(G1333&lt;65,'General Basis'!$B$49,'General Basis'!$B$50)))))))))))))</f>
        <v/>
      </c>
      <c r="BI1333" s="744" t="str">
        <f t="shared" si="467"/>
        <v/>
      </c>
      <c r="BJ1333" s="747" t="str">
        <f t="shared" si="474"/>
        <v/>
      </c>
      <c r="BK1333" s="498" t="str">
        <f t="shared" si="468"/>
        <v/>
      </c>
      <c r="BL1333" s="498" t="str">
        <f t="shared" si="469"/>
        <v/>
      </c>
    </row>
    <row r="1334" spans="1:64" x14ac:dyDescent="0.25">
      <c r="A1334" s="762">
        <f t="shared" si="470"/>
        <v>1329</v>
      </c>
      <c r="B1334" s="229"/>
      <c r="C1334" s="223"/>
      <c r="D1334" s="224"/>
      <c r="E1334" s="225"/>
      <c r="F1334" s="1036" t="str">
        <f t="shared" si="476"/>
        <v/>
      </c>
      <c r="G1334" s="1037" t="str">
        <f t="shared" si="471"/>
        <v/>
      </c>
      <c r="H1334" s="225"/>
      <c r="I1334" s="1013"/>
      <c r="J1334" s="1013"/>
      <c r="K1334" s="1028"/>
      <c r="L1334" s="1035" t="str">
        <f t="shared" si="475"/>
        <v/>
      </c>
      <c r="S1334" s="498"/>
      <c r="AJ1334" s="498"/>
      <c r="AM1334" s="498">
        <f t="shared" si="456"/>
        <v>0</v>
      </c>
      <c r="AN1334" s="498">
        <f t="shared" si="457"/>
        <v>0</v>
      </c>
      <c r="AO1334" s="498">
        <f t="shared" si="458"/>
        <v>0</v>
      </c>
      <c r="AP1334" s="498">
        <f t="shared" si="477"/>
        <v>0</v>
      </c>
      <c r="AQ1334" s="498">
        <f t="shared" si="472"/>
        <v>0</v>
      </c>
      <c r="AU1334" s="498">
        <f t="shared" si="459"/>
        <v>0</v>
      </c>
      <c r="AV1334" s="498">
        <f t="shared" si="460"/>
        <v>0</v>
      </c>
      <c r="AW1334" s="498">
        <f t="shared" si="461"/>
        <v>0</v>
      </c>
      <c r="AX1334" s="498">
        <f t="shared" si="462"/>
        <v>0</v>
      </c>
      <c r="AY1334" s="498">
        <f t="shared" si="463"/>
        <v>0</v>
      </c>
      <c r="BB1334" s="498" t="str">
        <f t="shared" si="464"/>
        <v/>
      </c>
      <c r="BC1334" s="743" t="str">
        <f t="shared" si="465"/>
        <v/>
      </c>
      <c r="BD1334" s="743" t="str">
        <f t="shared" si="466"/>
        <v/>
      </c>
      <c r="BE1334" s="743" t="str">
        <f>IF(D1334="","",VLOOKUP(D1334,'General Basis'!$J$39:$K$46,2,0))</f>
        <v/>
      </c>
      <c r="BF1334" s="744" t="str">
        <f>IF(D1334="","",VLOOKUP(D1334,'General Basis'!$J$39:$L$46,3,0))</f>
        <v/>
      </c>
      <c r="BG1334" s="744" t="str">
        <f t="shared" si="473"/>
        <v/>
      </c>
      <c r="BH1334" s="744" t="str">
        <f>IF(G1334="","",IF(BF1334="Abu Dhabi",IF(G1334&lt;18,'General Basis'!$C$39,IF(G1334&lt;41,'General Basis'!$C$40,IF(G1334&lt;60,'General Basis'!$C$41,IF(G1334&lt;65,'General Basis'!$C$42,'General Basis'!$C$43)))),IF(G1334&lt;11,'General Basis'!$B$39,IF(G1334&lt;18,'General Basis'!$B$40,IF(G1334&lt;26,'General Basis'!$B$41,IF(G1334&lt;31,'General Basis'!$B$42,IF(G1334&lt;36,'General Basis'!$B$43,IF(G1334&lt;41,'General Basis'!$B$44,IF(G1334&lt;46,'General Basis'!$B$45,IF(G1334&lt;51,'General Basis'!$B$46,IF(G1334&lt;56,'General Basis'!$B$47,IF(G1334&lt;60,'General Basis'!$B$48,IF(G1334&lt;65,'General Basis'!$B$49,'General Basis'!$B$50)))))))))))))</f>
        <v/>
      </c>
      <c r="BI1334" s="744" t="str">
        <f t="shared" si="467"/>
        <v/>
      </c>
      <c r="BJ1334" s="747" t="str">
        <f t="shared" si="474"/>
        <v/>
      </c>
      <c r="BK1334" s="498" t="str">
        <f t="shared" si="468"/>
        <v/>
      </c>
      <c r="BL1334" s="498" t="str">
        <f t="shared" si="469"/>
        <v/>
      </c>
    </row>
    <row r="1335" spans="1:64" x14ac:dyDescent="0.25">
      <c r="A1335" s="762">
        <f t="shared" si="470"/>
        <v>1330</v>
      </c>
      <c r="B1335" s="229"/>
      <c r="C1335" s="223"/>
      <c r="D1335" s="224"/>
      <c r="E1335" s="225"/>
      <c r="F1335" s="1036" t="str">
        <f t="shared" si="476"/>
        <v/>
      </c>
      <c r="G1335" s="1037" t="str">
        <f t="shared" si="471"/>
        <v/>
      </c>
      <c r="H1335" s="225"/>
      <c r="I1335" s="1013"/>
      <c r="J1335" s="1013"/>
      <c r="K1335" s="1028"/>
      <c r="L1335" s="1035" t="str">
        <f t="shared" si="475"/>
        <v/>
      </c>
      <c r="S1335" s="498"/>
      <c r="AJ1335" s="498"/>
      <c r="AM1335" s="498">
        <f t="shared" si="456"/>
        <v>0</v>
      </c>
      <c r="AN1335" s="498">
        <f t="shared" si="457"/>
        <v>0</v>
      </c>
      <c r="AO1335" s="498">
        <f t="shared" si="458"/>
        <v>0</v>
      </c>
      <c r="AP1335" s="498">
        <f t="shared" si="477"/>
        <v>0</v>
      </c>
      <c r="AQ1335" s="498">
        <f t="shared" si="472"/>
        <v>0</v>
      </c>
      <c r="AU1335" s="498">
        <f t="shared" si="459"/>
        <v>0</v>
      </c>
      <c r="AV1335" s="498">
        <f t="shared" si="460"/>
        <v>0</v>
      </c>
      <c r="AW1335" s="498">
        <f t="shared" si="461"/>
        <v>0</v>
      </c>
      <c r="AX1335" s="498">
        <f t="shared" si="462"/>
        <v>0</v>
      </c>
      <c r="AY1335" s="498">
        <f t="shared" si="463"/>
        <v>0</v>
      </c>
      <c r="BB1335" s="498" t="str">
        <f t="shared" si="464"/>
        <v/>
      </c>
      <c r="BC1335" s="743" t="str">
        <f t="shared" si="465"/>
        <v/>
      </c>
      <c r="BD1335" s="743" t="str">
        <f t="shared" si="466"/>
        <v/>
      </c>
      <c r="BE1335" s="743" t="str">
        <f>IF(D1335="","",VLOOKUP(D1335,'General Basis'!$J$39:$K$46,2,0))</f>
        <v/>
      </c>
      <c r="BF1335" s="744" t="str">
        <f>IF(D1335="","",VLOOKUP(D1335,'General Basis'!$J$39:$L$46,3,0))</f>
        <v/>
      </c>
      <c r="BG1335" s="744" t="str">
        <f t="shared" si="473"/>
        <v/>
      </c>
      <c r="BH1335" s="744" t="str">
        <f>IF(G1335="","",IF(BF1335="Abu Dhabi",IF(G1335&lt;18,'General Basis'!$C$39,IF(G1335&lt;41,'General Basis'!$C$40,IF(G1335&lt;60,'General Basis'!$C$41,IF(G1335&lt;65,'General Basis'!$C$42,'General Basis'!$C$43)))),IF(G1335&lt;11,'General Basis'!$B$39,IF(G1335&lt;18,'General Basis'!$B$40,IF(G1335&lt;26,'General Basis'!$B$41,IF(G1335&lt;31,'General Basis'!$B$42,IF(G1335&lt;36,'General Basis'!$B$43,IF(G1335&lt;41,'General Basis'!$B$44,IF(G1335&lt;46,'General Basis'!$B$45,IF(G1335&lt;51,'General Basis'!$B$46,IF(G1335&lt;56,'General Basis'!$B$47,IF(G1335&lt;60,'General Basis'!$B$48,IF(G1335&lt;65,'General Basis'!$B$49,'General Basis'!$B$50)))))))))))))</f>
        <v/>
      </c>
      <c r="BI1335" s="744" t="str">
        <f t="shared" si="467"/>
        <v/>
      </c>
      <c r="BJ1335" s="747" t="str">
        <f t="shared" si="474"/>
        <v/>
      </c>
      <c r="BK1335" s="498" t="str">
        <f t="shared" si="468"/>
        <v/>
      </c>
      <c r="BL1335" s="498" t="str">
        <f t="shared" si="469"/>
        <v/>
      </c>
    </row>
    <row r="1336" spans="1:64" x14ac:dyDescent="0.25">
      <c r="A1336" s="762">
        <f t="shared" si="470"/>
        <v>1331</v>
      </c>
      <c r="B1336" s="229"/>
      <c r="C1336" s="223"/>
      <c r="D1336" s="224"/>
      <c r="E1336" s="225"/>
      <c r="F1336" s="1036" t="str">
        <f t="shared" si="476"/>
        <v/>
      </c>
      <c r="G1336" s="1037" t="str">
        <f t="shared" si="471"/>
        <v/>
      </c>
      <c r="H1336" s="225"/>
      <c r="I1336" s="1013"/>
      <c r="J1336" s="1013"/>
      <c r="K1336" s="1028"/>
      <c r="L1336" s="1035" t="str">
        <f t="shared" si="475"/>
        <v/>
      </c>
      <c r="S1336" s="498"/>
      <c r="AJ1336" s="498"/>
      <c r="AM1336" s="498">
        <f t="shared" si="456"/>
        <v>0</v>
      </c>
      <c r="AN1336" s="498">
        <f t="shared" si="457"/>
        <v>0</v>
      </c>
      <c r="AO1336" s="498">
        <f t="shared" si="458"/>
        <v>0</v>
      </c>
      <c r="AP1336" s="498">
        <f t="shared" si="477"/>
        <v>0</v>
      </c>
      <c r="AQ1336" s="498">
        <f t="shared" si="472"/>
        <v>0</v>
      </c>
      <c r="AU1336" s="498">
        <f t="shared" si="459"/>
        <v>0</v>
      </c>
      <c r="AV1336" s="498">
        <f t="shared" si="460"/>
        <v>0</v>
      </c>
      <c r="AW1336" s="498">
        <f t="shared" si="461"/>
        <v>0</v>
      </c>
      <c r="AX1336" s="498">
        <f t="shared" si="462"/>
        <v>0</v>
      </c>
      <c r="AY1336" s="498">
        <f t="shared" si="463"/>
        <v>0</v>
      </c>
      <c r="BB1336" s="498" t="str">
        <f t="shared" si="464"/>
        <v/>
      </c>
      <c r="BC1336" s="743" t="str">
        <f t="shared" si="465"/>
        <v/>
      </c>
      <c r="BD1336" s="743" t="str">
        <f t="shared" si="466"/>
        <v/>
      </c>
      <c r="BE1336" s="743" t="str">
        <f>IF(D1336="","",VLOOKUP(D1336,'General Basis'!$J$39:$K$46,2,0))</f>
        <v/>
      </c>
      <c r="BF1336" s="744" t="str">
        <f>IF(D1336="","",VLOOKUP(D1336,'General Basis'!$J$39:$L$46,3,0))</f>
        <v/>
      </c>
      <c r="BG1336" s="744" t="str">
        <f t="shared" si="473"/>
        <v/>
      </c>
      <c r="BH1336" s="744" t="str">
        <f>IF(G1336="","",IF(BF1336="Abu Dhabi",IF(G1336&lt;18,'General Basis'!$C$39,IF(G1336&lt;41,'General Basis'!$C$40,IF(G1336&lt;60,'General Basis'!$C$41,IF(G1336&lt;65,'General Basis'!$C$42,'General Basis'!$C$43)))),IF(G1336&lt;11,'General Basis'!$B$39,IF(G1336&lt;18,'General Basis'!$B$40,IF(G1336&lt;26,'General Basis'!$B$41,IF(G1336&lt;31,'General Basis'!$B$42,IF(G1336&lt;36,'General Basis'!$B$43,IF(G1336&lt;41,'General Basis'!$B$44,IF(G1336&lt;46,'General Basis'!$B$45,IF(G1336&lt;51,'General Basis'!$B$46,IF(G1336&lt;56,'General Basis'!$B$47,IF(G1336&lt;60,'General Basis'!$B$48,IF(G1336&lt;65,'General Basis'!$B$49,'General Basis'!$B$50)))))))))))))</f>
        <v/>
      </c>
      <c r="BI1336" s="744" t="str">
        <f t="shared" si="467"/>
        <v/>
      </c>
      <c r="BJ1336" s="747" t="str">
        <f t="shared" si="474"/>
        <v/>
      </c>
      <c r="BK1336" s="498" t="str">
        <f t="shared" si="468"/>
        <v/>
      </c>
      <c r="BL1336" s="498" t="str">
        <f t="shared" si="469"/>
        <v/>
      </c>
    </row>
    <row r="1337" spans="1:64" x14ac:dyDescent="0.25">
      <c r="A1337" s="762">
        <f t="shared" si="470"/>
        <v>1332</v>
      </c>
      <c r="B1337" s="229"/>
      <c r="C1337" s="223"/>
      <c r="D1337" s="224"/>
      <c r="E1337" s="225"/>
      <c r="F1337" s="1036" t="str">
        <f t="shared" si="476"/>
        <v/>
      </c>
      <c r="G1337" s="1037" t="str">
        <f t="shared" si="471"/>
        <v/>
      </c>
      <c r="H1337" s="225"/>
      <c r="I1337" s="1013"/>
      <c r="J1337" s="1013"/>
      <c r="K1337" s="1028"/>
      <c r="L1337" s="1035" t="str">
        <f t="shared" si="475"/>
        <v/>
      </c>
      <c r="S1337" s="498"/>
      <c r="AJ1337" s="498"/>
      <c r="AM1337" s="498">
        <f t="shared" si="456"/>
        <v>0</v>
      </c>
      <c r="AN1337" s="498">
        <f t="shared" si="457"/>
        <v>0</v>
      </c>
      <c r="AO1337" s="498">
        <f t="shared" si="458"/>
        <v>0</v>
      </c>
      <c r="AP1337" s="498">
        <f t="shared" si="477"/>
        <v>0</v>
      </c>
      <c r="AQ1337" s="498">
        <f t="shared" si="472"/>
        <v>0</v>
      </c>
      <c r="AU1337" s="498">
        <f t="shared" si="459"/>
        <v>0</v>
      </c>
      <c r="AV1337" s="498">
        <f t="shared" si="460"/>
        <v>0</v>
      </c>
      <c r="AW1337" s="498">
        <f t="shared" si="461"/>
        <v>0</v>
      </c>
      <c r="AX1337" s="498">
        <f t="shared" si="462"/>
        <v>0</v>
      </c>
      <c r="AY1337" s="498">
        <f t="shared" si="463"/>
        <v>0</v>
      </c>
      <c r="BB1337" s="498" t="str">
        <f t="shared" si="464"/>
        <v/>
      </c>
      <c r="BC1337" s="743" t="str">
        <f t="shared" si="465"/>
        <v/>
      </c>
      <c r="BD1337" s="743" t="str">
        <f t="shared" si="466"/>
        <v/>
      </c>
      <c r="BE1337" s="743" t="str">
        <f>IF(D1337="","",VLOOKUP(D1337,'General Basis'!$J$39:$K$46,2,0))</f>
        <v/>
      </c>
      <c r="BF1337" s="744" t="str">
        <f>IF(D1337="","",VLOOKUP(D1337,'General Basis'!$J$39:$L$46,3,0))</f>
        <v/>
      </c>
      <c r="BG1337" s="744" t="str">
        <f t="shared" si="473"/>
        <v/>
      </c>
      <c r="BH1337" s="744" t="str">
        <f>IF(G1337="","",IF(BF1337="Abu Dhabi",IF(G1337&lt;18,'General Basis'!$C$39,IF(G1337&lt;41,'General Basis'!$C$40,IF(G1337&lt;60,'General Basis'!$C$41,IF(G1337&lt;65,'General Basis'!$C$42,'General Basis'!$C$43)))),IF(G1337&lt;11,'General Basis'!$B$39,IF(G1337&lt;18,'General Basis'!$B$40,IF(G1337&lt;26,'General Basis'!$B$41,IF(G1337&lt;31,'General Basis'!$B$42,IF(G1337&lt;36,'General Basis'!$B$43,IF(G1337&lt;41,'General Basis'!$B$44,IF(G1337&lt;46,'General Basis'!$B$45,IF(G1337&lt;51,'General Basis'!$B$46,IF(G1337&lt;56,'General Basis'!$B$47,IF(G1337&lt;60,'General Basis'!$B$48,IF(G1337&lt;65,'General Basis'!$B$49,'General Basis'!$B$50)))))))))))))</f>
        <v/>
      </c>
      <c r="BI1337" s="744" t="str">
        <f t="shared" si="467"/>
        <v/>
      </c>
      <c r="BJ1337" s="747" t="str">
        <f t="shared" si="474"/>
        <v/>
      </c>
      <c r="BK1337" s="498" t="str">
        <f t="shared" si="468"/>
        <v/>
      </c>
      <c r="BL1337" s="498" t="str">
        <f t="shared" si="469"/>
        <v/>
      </c>
    </row>
    <row r="1338" spans="1:64" x14ac:dyDescent="0.25">
      <c r="A1338" s="762">
        <f t="shared" si="470"/>
        <v>1333</v>
      </c>
      <c r="B1338" s="229"/>
      <c r="C1338" s="223"/>
      <c r="D1338" s="224"/>
      <c r="E1338" s="225"/>
      <c r="F1338" s="1036" t="str">
        <f t="shared" si="476"/>
        <v/>
      </c>
      <c r="G1338" s="1037" t="str">
        <f t="shared" si="471"/>
        <v/>
      </c>
      <c r="H1338" s="225"/>
      <c r="I1338" s="1013"/>
      <c r="J1338" s="1013"/>
      <c r="K1338" s="1028"/>
      <c r="L1338" s="1035" t="str">
        <f t="shared" si="475"/>
        <v/>
      </c>
      <c r="S1338" s="498"/>
      <c r="AJ1338" s="498"/>
      <c r="AM1338" s="498">
        <f t="shared" si="456"/>
        <v>0</v>
      </c>
      <c r="AN1338" s="498">
        <f t="shared" si="457"/>
        <v>0</v>
      </c>
      <c r="AO1338" s="498">
        <f t="shared" si="458"/>
        <v>0</v>
      </c>
      <c r="AP1338" s="498">
        <f t="shared" si="477"/>
        <v>0</v>
      </c>
      <c r="AQ1338" s="498">
        <f t="shared" si="472"/>
        <v>0</v>
      </c>
      <c r="AU1338" s="498">
        <f t="shared" si="459"/>
        <v>0</v>
      </c>
      <c r="AV1338" s="498">
        <f t="shared" si="460"/>
        <v>0</v>
      </c>
      <c r="AW1338" s="498">
        <f t="shared" si="461"/>
        <v>0</v>
      </c>
      <c r="AX1338" s="498">
        <f t="shared" si="462"/>
        <v>0</v>
      </c>
      <c r="AY1338" s="498">
        <f t="shared" si="463"/>
        <v>0</v>
      </c>
      <c r="BB1338" s="498" t="str">
        <f t="shared" si="464"/>
        <v/>
      </c>
      <c r="BC1338" s="743" t="str">
        <f t="shared" si="465"/>
        <v/>
      </c>
      <c r="BD1338" s="743" t="str">
        <f t="shared" si="466"/>
        <v/>
      </c>
      <c r="BE1338" s="743" t="str">
        <f>IF(D1338="","",VLOOKUP(D1338,'General Basis'!$J$39:$K$46,2,0))</f>
        <v/>
      </c>
      <c r="BF1338" s="744" t="str">
        <f>IF(D1338="","",VLOOKUP(D1338,'General Basis'!$J$39:$L$46,3,0))</f>
        <v/>
      </c>
      <c r="BG1338" s="744" t="str">
        <f t="shared" si="473"/>
        <v/>
      </c>
      <c r="BH1338" s="744" t="str">
        <f>IF(G1338="","",IF(BF1338="Abu Dhabi",IF(G1338&lt;18,'General Basis'!$C$39,IF(G1338&lt;41,'General Basis'!$C$40,IF(G1338&lt;60,'General Basis'!$C$41,IF(G1338&lt;65,'General Basis'!$C$42,'General Basis'!$C$43)))),IF(G1338&lt;11,'General Basis'!$B$39,IF(G1338&lt;18,'General Basis'!$B$40,IF(G1338&lt;26,'General Basis'!$B$41,IF(G1338&lt;31,'General Basis'!$B$42,IF(G1338&lt;36,'General Basis'!$B$43,IF(G1338&lt;41,'General Basis'!$B$44,IF(G1338&lt;46,'General Basis'!$B$45,IF(G1338&lt;51,'General Basis'!$B$46,IF(G1338&lt;56,'General Basis'!$B$47,IF(G1338&lt;60,'General Basis'!$B$48,IF(G1338&lt;65,'General Basis'!$B$49,'General Basis'!$B$50)))))))))))))</f>
        <v/>
      </c>
      <c r="BI1338" s="744" t="str">
        <f t="shared" si="467"/>
        <v/>
      </c>
      <c r="BJ1338" s="747" t="str">
        <f t="shared" si="474"/>
        <v/>
      </c>
      <c r="BK1338" s="498" t="str">
        <f t="shared" si="468"/>
        <v/>
      </c>
      <c r="BL1338" s="498" t="str">
        <f t="shared" si="469"/>
        <v/>
      </c>
    </row>
    <row r="1339" spans="1:64" x14ac:dyDescent="0.25">
      <c r="A1339" s="762">
        <f t="shared" si="470"/>
        <v>1334</v>
      </c>
      <c r="B1339" s="229"/>
      <c r="C1339" s="223"/>
      <c r="D1339" s="224"/>
      <c r="E1339" s="225"/>
      <c r="F1339" s="1036" t="str">
        <f t="shared" si="476"/>
        <v/>
      </c>
      <c r="G1339" s="1037" t="str">
        <f t="shared" si="471"/>
        <v/>
      </c>
      <c r="H1339" s="225"/>
      <c r="I1339" s="1013"/>
      <c r="J1339" s="1013"/>
      <c r="K1339" s="1028"/>
      <c r="L1339" s="1035" t="str">
        <f t="shared" si="475"/>
        <v/>
      </c>
      <c r="S1339" s="498"/>
      <c r="AJ1339" s="498"/>
      <c r="AM1339" s="498">
        <f t="shared" si="456"/>
        <v>0</v>
      </c>
      <c r="AN1339" s="498">
        <f t="shared" si="457"/>
        <v>0</v>
      </c>
      <c r="AO1339" s="498">
        <f t="shared" si="458"/>
        <v>0</v>
      </c>
      <c r="AP1339" s="498">
        <f t="shared" si="477"/>
        <v>0</v>
      </c>
      <c r="AQ1339" s="498">
        <f t="shared" si="472"/>
        <v>0</v>
      </c>
      <c r="AU1339" s="498">
        <f t="shared" si="459"/>
        <v>0</v>
      </c>
      <c r="AV1339" s="498">
        <f t="shared" si="460"/>
        <v>0</v>
      </c>
      <c r="AW1339" s="498">
        <f t="shared" si="461"/>
        <v>0</v>
      </c>
      <c r="AX1339" s="498">
        <f t="shared" si="462"/>
        <v>0</v>
      </c>
      <c r="AY1339" s="498">
        <f t="shared" si="463"/>
        <v>0</v>
      </c>
      <c r="BB1339" s="498" t="str">
        <f t="shared" si="464"/>
        <v/>
      </c>
      <c r="BC1339" s="743" t="str">
        <f t="shared" si="465"/>
        <v/>
      </c>
      <c r="BD1339" s="743" t="str">
        <f t="shared" si="466"/>
        <v/>
      </c>
      <c r="BE1339" s="743" t="str">
        <f>IF(D1339="","",VLOOKUP(D1339,'General Basis'!$J$39:$K$46,2,0))</f>
        <v/>
      </c>
      <c r="BF1339" s="744" t="str">
        <f>IF(D1339="","",VLOOKUP(D1339,'General Basis'!$J$39:$L$46,3,0))</f>
        <v/>
      </c>
      <c r="BG1339" s="744" t="str">
        <f t="shared" si="473"/>
        <v/>
      </c>
      <c r="BH1339" s="744" t="str">
        <f>IF(G1339="","",IF(BF1339="Abu Dhabi",IF(G1339&lt;18,'General Basis'!$C$39,IF(G1339&lt;41,'General Basis'!$C$40,IF(G1339&lt;60,'General Basis'!$C$41,IF(G1339&lt;65,'General Basis'!$C$42,'General Basis'!$C$43)))),IF(G1339&lt;11,'General Basis'!$B$39,IF(G1339&lt;18,'General Basis'!$B$40,IF(G1339&lt;26,'General Basis'!$B$41,IF(G1339&lt;31,'General Basis'!$B$42,IF(G1339&lt;36,'General Basis'!$B$43,IF(G1339&lt;41,'General Basis'!$B$44,IF(G1339&lt;46,'General Basis'!$B$45,IF(G1339&lt;51,'General Basis'!$B$46,IF(G1339&lt;56,'General Basis'!$B$47,IF(G1339&lt;60,'General Basis'!$B$48,IF(G1339&lt;65,'General Basis'!$B$49,'General Basis'!$B$50)))))))))))))</f>
        <v/>
      </c>
      <c r="BI1339" s="744" t="str">
        <f t="shared" si="467"/>
        <v/>
      </c>
      <c r="BJ1339" s="747" t="str">
        <f t="shared" si="474"/>
        <v/>
      </c>
      <c r="BK1339" s="498" t="str">
        <f t="shared" si="468"/>
        <v/>
      </c>
      <c r="BL1339" s="498" t="str">
        <f t="shared" si="469"/>
        <v/>
      </c>
    </row>
    <row r="1340" spans="1:64" x14ac:dyDescent="0.25">
      <c r="A1340" s="762">
        <f t="shared" si="470"/>
        <v>1335</v>
      </c>
      <c r="B1340" s="229"/>
      <c r="C1340" s="223"/>
      <c r="D1340" s="224"/>
      <c r="E1340" s="225"/>
      <c r="F1340" s="1036" t="str">
        <f t="shared" si="476"/>
        <v/>
      </c>
      <c r="G1340" s="1037" t="str">
        <f t="shared" si="471"/>
        <v/>
      </c>
      <c r="H1340" s="225"/>
      <c r="I1340" s="1013"/>
      <c r="J1340" s="1013"/>
      <c r="K1340" s="1028"/>
      <c r="L1340" s="1035" t="str">
        <f t="shared" si="475"/>
        <v/>
      </c>
      <c r="S1340" s="498"/>
      <c r="AJ1340" s="498"/>
      <c r="AM1340" s="498">
        <f t="shared" si="456"/>
        <v>0</v>
      </c>
      <c r="AN1340" s="498">
        <f t="shared" si="457"/>
        <v>0</v>
      </c>
      <c r="AO1340" s="498">
        <f t="shared" si="458"/>
        <v>0</v>
      </c>
      <c r="AP1340" s="498">
        <f t="shared" si="477"/>
        <v>0</v>
      </c>
      <c r="AQ1340" s="498">
        <f t="shared" si="472"/>
        <v>0</v>
      </c>
      <c r="AU1340" s="498">
        <f t="shared" si="459"/>
        <v>0</v>
      </c>
      <c r="AV1340" s="498">
        <f t="shared" si="460"/>
        <v>0</v>
      </c>
      <c r="AW1340" s="498">
        <f t="shared" si="461"/>
        <v>0</v>
      </c>
      <c r="AX1340" s="498">
        <f t="shared" si="462"/>
        <v>0</v>
      </c>
      <c r="AY1340" s="498">
        <f t="shared" si="463"/>
        <v>0</v>
      </c>
      <c r="BB1340" s="498" t="str">
        <f t="shared" si="464"/>
        <v/>
      </c>
      <c r="BC1340" s="743" t="str">
        <f t="shared" si="465"/>
        <v/>
      </c>
      <c r="BD1340" s="743" t="str">
        <f t="shared" si="466"/>
        <v/>
      </c>
      <c r="BE1340" s="743" t="str">
        <f>IF(D1340="","",VLOOKUP(D1340,'General Basis'!$J$39:$K$46,2,0))</f>
        <v/>
      </c>
      <c r="BF1340" s="744" t="str">
        <f>IF(D1340="","",VLOOKUP(D1340,'General Basis'!$J$39:$L$46,3,0))</f>
        <v/>
      </c>
      <c r="BG1340" s="744" t="str">
        <f t="shared" si="473"/>
        <v/>
      </c>
      <c r="BH1340" s="744" t="str">
        <f>IF(G1340="","",IF(BF1340="Abu Dhabi",IF(G1340&lt;18,'General Basis'!$C$39,IF(G1340&lt;41,'General Basis'!$C$40,IF(G1340&lt;60,'General Basis'!$C$41,IF(G1340&lt;65,'General Basis'!$C$42,'General Basis'!$C$43)))),IF(G1340&lt;11,'General Basis'!$B$39,IF(G1340&lt;18,'General Basis'!$B$40,IF(G1340&lt;26,'General Basis'!$B$41,IF(G1340&lt;31,'General Basis'!$B$42,IF(G1340&lt;36,'General Basis'!$B$43,IF(G1340&lt;41,'General Basis'!$B$44,IF(G1340&lt;46,'General Basis'!$B$45,IF(G1340&lt;51,'General Basis'!$B$46,IF(G1340&lt;56,'General Basis'!$B$47,IF(G1340&lt;60,'General Basis'!$B$48,IF(G1340&lt;65,'General Basis'!$B$49,'General Basis'!$B$50)))))))))))))</f>
        <v/>
      </c>
      <c r="BI1340" s="744" t="str">
        <f t="shared" si="467"/>
        <v/>
      </c>
      <c r="BJ1340" s="747" t="str">
        <f t="shared" si="474"/>
        <v/>
      </c>
      <c r="BK1340" s="498" t="str">
        <f t="shared" si="468"/>
        <v/>
      </c>
      <c r="BL1340" s="498" t="str">
        <f t="shared" si="469"/>
        <v/>
      </c>
    </row>
    <row r="1341" spans="1:64" x14ac:dyDescent="0.25">
      <c r="A1341" s="762">
        <f t="shared" si="470"/>
        <v>1336</v>
      </c>
      <c r="B1341" s="229"/>
      <c r="C1341" s="223"/>
      <c r="D1341" s="224"/>
      <c r="E1341" s="225"/>
      <c r="F1341" s="1036" t="str">
        <f t="shared" si="476"/>
        <v/>
      </c>
      <c r="G1341" s="1037" t="str">
        <f t="shared" si="471"/>
        <v/>
      </c>
      <c r="H1341" s="225"/>
      <c r="I1341" s="1013"/>
      <c r="J1341" s="1013"/>
      <c r="K1341" s="1028"/>
      <c r="L1341" s="1035" t="str">
        <f t="shared" si="475"/>
        <v/>
      </c>
      <c r="S1341" s="498"/>
      <c r="AJ1341" s="498"/>
      <c r="AM1341" s="498">
        <f t="shared" si="456"/>
        <v>0</v>
      </c>
      <c r="AN1341" s="498">
        <f t="shared" si="457"/>
        <v>0</v>
      </c>
      <c r="AO1341" s="498">
        <f t="shared" si="458"/>
        <v>0</v>
      </c>
      <c r="AP1341" s="498">
        <f t="shared" si="477"/>
        <v>0</v>
      </c>
      <c r="AQ1341" s="498">
        <f t="shared" si="472"/>
        <v>0</v>
      </c>
      <c r="AU1341" s="498">
        <f t="shared" si="459"/>
        <v>0</v>
      </c>
      <c r="AV1341" s="498">
        <f t="shared" si="460"/>
        <v>0</v>
      </c>
      <c r="AW1341" s="498">
        <f t="shared" si="461"/>
        <v>0</v>
      </c>
      <c r="AX1341" s="498">
        <f t="shared" si="462"/>
        <v>0</v>
      </c>
      <c r="AY1341" s="498">
        <f t="shared" si="463"/>
        <v>0</v>
      </c>
      <c r="BB1341" s="498" t="str">
        <f t="shared" si="464"/>
        <v/>
      </c>
      <c r="BC1341" s="743" t="str">
        <f t="shared" si="465"/>
        <v/>
      </c>
      <c r="BD1341" s="743" t="str">
        <f t="shared" si="466"/>
        <v/>
      </c>
      <c r="BE1341" s="743" t="str">
        <f>IF(D1341="","",VLOOKUP(D1341,'General Basis'!$J$39:$K$46,2,0))</f>
        <v/>
      </c>
      <c r="BF1341" s="744" t="str">
        <f>IF(D1341="","",VLOOKUP(D1341,'General Basis'!$J$39:$L$46,3,0))</f>
        <v/>
      </c>
      <c r="BG1341" s="744" t="str">
        <f t="shared" si="473"/>
        <v/>
      </c>
      <c r="BH1341" s="744" t="str">
        <f>IF(G1341="","",IF(BF1341="Abu Dhabi",IF(G1341&lt;18,'General Basis'!$C$39,IF(G1341&lt;41,'General Basis'!$C$40,IF(G1341&lt;60,'General Basis'!$C$41,IF(G1341&lt;65,'General Basis'!$C$42,'General Basis'!$C$43)))),IF(G1341&lt;11,'General Basis'!$B$39,IF(G1341&lt;18,'General Basis'!$B$40,IF(G1341&lt;26,'General Basis'!$B$41,IF(G1341&lt;31,'General Basis'!$B$42,IF(G1341&lt;36,'General Basis'!$B$43,IF(G1341&lt;41,'General Basis'!$B$44,IF(G1341&lt;46,'General Basis'!$B$45,IF(G1341&lt;51,'General Basis'!$B$46,IF(G1341&lt;56,'General Basis'!$B$47,IF(G1341&lt;60,'General Basis'!$B$48,IF(G1341&lt;65,'General Basis'!$B$49,'General Basis'!$B$50)))))))))))))</f>
        <v/>
      </c>
      <c r="BI1341" s="744" t="str">
        <f t="shared" si="467"/>
        <v/>
      </c>
      <c r="BJ1341" s="747" t="str">
        <f t="shared" si="474"/>
        <v/>
      </c>
      <c r="BK1341" s="498" t="str">
        <f t="shared" si="468"/>
        <v/>
      </c>
      <c r="BL1341" s="498" t="str">
        <f t="shared" si="469"/>
        <v/>
      </c>
    </row>
    <row r="1342" spans="1:64" x14ac:dyDescent="0.25">
      <c r="A1342" s="762">
        <f t="shared" si="470"/>
        <v>1337</v>
      </c>
      <c r="B1342" s="229"/>
      <c r="C1342" s="223"/>
      <c r="D1342" s="224"/>
      <c r="E1342" s="225"/>
      <c r="F1342" s="1036" t="str">
        <f t="shared" si="476"/>
        <v/>
      </c>
      <c r="G1342" s="1037" t="str">
        <f t="shared" si="471"/>
        <v/>
      </c>
      <c r="H1342" s="225"/>
      <c r="I1342" s="1013"/>
      <c r="J1342" s="1013"/>
      <c r="K1342" s="1028"/>
      <c r="L1342" s="1035" t="str">
        <f t="shared" si="475"/>
        <v/>
      </c>
      <c r="S1342" s="498"/>
      <c r="AJ1342" s="498"/>
      <c r="AM1342" s="498">
        <f t="shared" si="456"/>
        <v>0</v>
      </c>
      <c r="AN1342" s="498">
        <f t="shared" si="457"/>
        <v>0</v>
      </c>
      <c r="AO1342" s="498">
        <f t="shared" si="458"/>
        <v>0</v>
      </c>
      <c r="AP1342" s="498">
        <f t="shared" si="477"/>
        <v>0</v>
      </c>
      <c r="AQ1342" s="498">
        <f t="shared" si="472"/>
        <v>0</v>
      </c>
      <c r="AU1342" s="498">
        <f t="shared" si="459"/>
        <v>0</v>
      </c>
      <c r="AV1342" s="498">
        <f t="shared" si="460"/>
        <v>0</v>
      </c>
      <c r="AW1342" s="498">
        <f t="shared" si="461"/>
        <v>0</v>
      </c>
      <c r="AX1342" s="498">
        <f t="shared" si="462"/>
        <v>0</v>
      </c>
      <c r="AY1342" s="498">
        <f t="shared" si="463"/>
        <v>0</v>
      </c>
      <c r="BB1342" s="498" t="str">
        <f t="shared" si="464"/>
        <v/>
      </c>
      <c r="BC1342" s="743" t="str">
        <f t="shared" si="465"/>
        <v/>
      </c>
      <c r="BD1342" s="743" t="str">
        <f t="shared" si="466"/>
        <v/>
      </c>
      <c r="BE1342" s="743" t="str">
        <f>IF(D1342="","",VLOOKUP(D1342,'General Basis'!$J$39:$K$46,2,0))</f>
        <v/>
      </c>
      <c r="BF1342" s="744" t="str">
        <f>IF(D1342="","",VLOOKUP(D1342,'General Basis'!$J$39:$L$46,3,0))</f>
        <v/>
      </c>
      <c r="BG1342" s="744" t="str">
        <f t="shared" si="473"/>
        <v/>
      </c>
      <c r="BH1342" s="744" t="str">
        <f>IF(G1342="","",IF(BF1342="Abu Dhabi",IF(G1342&lt;18,'General Basis'!$C$39,IF(G1342&lt;41,'General Basis'!$C$40,IF(G1342&lt;60,'General Basis'!$C$41,IF(G1342&lt;65,'General Basis'!$C$42,'General Basis'!$C$43)))),IF(G1342&lt;11,'General Basis'!$B$39,IF(G1342&lt;18,'General Basis'!$B$40,IF(G1342&lt;26,'General Basis'!$B$41,IF(G1342&lt;31,'General Basis'!$B$42,IF(G1342&lt;36,'General Basis'!$B$43,IF(G1342&lt;41,'General Basis'!$B$44,IF(G1342&lt;46,'General Basis'!$B$45,IF(G1342&lt;51,'General Basis'!$B$46,IF(G1342&lt;56,'General Basis'!$B$47,IF(G1342&lt;60,'General Basis'!$B$48,IF(G1342&lt;65,'General Basis'!$B$49,'General Basis'!$B$50)))))))))))))</f>
        <v/>
      </c>
      <c r="BI1342" s="744" t="str">
        <f t="shared" si="467"/>
        <v/>
      </c>
      <c r="BJ1342" s="747" t="str">
        <f t="shared" si="474"/>
        <v/>
      </c>
      <c r="BK1342" s="498" t="str">
        <f t="shared" si="468"/>
        <v/>
      </c>
      <c r="BL1342" s="498" t="str">
        <f t="shared" si="469"/>
        <v/>
      </c>
    </row>
    <row r="1343" spans="1:64" x14ac:dyDescent="0.25">
      <c r="A1343" s="762">
        <f t="shared" si="470"/>
        <v>1338</v>
      </c>
      <c r="B1343" s="229"/>
      <c r="C1343" s="223"/>
      <c r="D1343" s="224"/>
      <c r="E1343" s="225"/>
      <c r="F1343" s="1036" t="str">
        <f t="shared" si="476"/>
        <v/>
      </c>
      <c r="G1343" s="1037" t="str">
        <f t="shared" si="471"/>
        <v/>
      </c>
      <c r="H1343" s="225"/>
      <c r="I1343" s="1013"/>
      <c r="J1343" s="1013"/>
      <c r="K1343" s="1028"/>
      <c r="L1343" s="1035" t="str">
        <f t="shared" si="475"/>
        <v/>
      </c>
      <c r="S1343" s="498"/>
      <c r="AJ1343" s="498"/>
      <c r="AM1343" s="498">
        <f t="shared" si="456"/>
        <v>0</v>
      </c>
      <c r="AN1343" s="498">
        <f t="shared" si="457"/>
        <v>0</v>
      </c>
      <c r="AO1343" s="498">
        <f t="shared" si="458"/>
        <v>0</v>
      </c>
      <c r="AP1343" s="498">
        <f t="shared" si="477"/>
        <v>0</v>
      </c>
      <c r="AQ1343" s="498">
        <f t="shared" si="472"/>
        <v>0</v>
      </c>
      <c r="AU1343" s="498">
        <f t="shared" si="459"/>
        <v>0</v>
      </c>
      <c r="AV1343" s="498">
        <f t="shared" si="460"/>
        <v>0</v>
      </c>
      <c r="AW1343" s="498">
        <f t="shared" si="461"/>
        <v>0</v>
      </c>
      <c r="AX1343" s="498">
        <f t="shared" si="462"/>
        <v>0</v>
      </c>
      <c r="AY1343" s="498">
        <f t="shared" si="463"/>
        <v>0</v>
      </c>
      <c r="BB1343" s="498" t="str">
        <f t="shared" si="464"/>
        <v/>
      </c>
      <c r="BC1343" s="743" t="str">
        <f t="shared" si="465"/>
        <v/>
      </c>
      <c r="BD1343" s="743" t="str">
        <f t="shared" si="466"/>
        <v/>
      </c>
      <c r="BE1343" s="743" t="str">
        <f>IF(D1343="","",VLOOKUP(D1343,'General Basis'!$J$39:$K$46,2,0))</f>
        <v/>
      </c>
      <c r="BF1343" s="744" t="str">
        <f>IF(D1343="","",VLOOKUP(D1343,'General Basis'!$J$39:$L$46,3,0))</f>
        <v/>
      </c>
      <c r="BG1343" s="744" t="str">
        <f t="shared" si="473"/>
        <v/>
      </c>
      <c r="BH1343" s="744" t="str">
        <f>IF(G1343="","",IF(BF1343="Abu Dhabi",IF(G1343&lt;18,'General Basis'!$C$39,IF(G1343&lt;41,'General Basis'!$C$40,IF(G1343&lt;60,'General Basis'!$C$41,IF(G1343&lt;65,'General Basis'!$C$42,'General Basis'!$C$43)))),IF(G1343&lt;11,'General Basis'!$B$39,IF(G1343&lt;18,'General Basis'!$B$40,IF(G1343&lt;26,'General Basis'!$B$41,IF(G1343&lt;31,'General Basis'!$B$42,IF(G1343&lt;36,'General Basis'!$B$43,IF(G1343&lt;41,'General Basis'!$B$44,IF(G1343&lt;46,'General Basis'!$B$45,IF(G1343&lt;51,'General Basis'!$B$46,IF(G1343&lt;56,'General Basis'!$B$47,IF(G1343&lt;60,'General Basis'!$B$48,IF(G1343&lt;65,'General Basis'!$B$49,'General Basis'!$B$50)))))))))))))</f>
        <v/>
      </c>
      <c r="BI1343" s="744" t="str">
        <f t="shared" si="467"/>
        <v/>
      </c>
      <c r="BJ1343" s="747" t="str">
        <f t="shared" si="474"/>
        <v/>
      </c>
      <c r="BK1343" s="498" t="str">
        <f t="shared" si="468"/>
        <v/>
      </c>
      <c r="BL1343" s="498" t="str">
        <f t="shared" si="469"/>
        <v/>
      </c>
    </row>
    <row r="1344" spans="1:64" x14ac:dyDescent="0.25">
      <c r="A1344" s="762">
        <f t="shared" si="470"/>
        <v>1339</v>
      </c>
      <c r="B1344" s="229"/>
      <c r="C1344" s="223"/>
      <c r="D1344" s="224"/>
      <c r="E1344" s="225"/>
      <c r="F1344" s="1036" t="str">
        <f t="shared" si="476"/>
        <v/>
      </c>
      <c r="G1344" s="1037" t="str">
        <f t="shared" si="471"/>
        <v/>
      </c>
      <c r="H1344" s="225"/>
      <c r="I1344" s="1013"/>
      <c r="J1344" s="1013"/>
      <c r="K1344" s="1028"/>
      <c r="L1344" s="1035" t="str">
        <f t="shared" si="475"/>
        <v/>
      </c>
      <c r="S1344" s="498"/>
      <c r="AJ1344" s="498"/>
      <c r="AM1344" s="498">
        <f t="shared" si="456"/>
        <v>0</v>
      </c>
      <c r="AN1344" s="498">
        <f t="shared" si="457"/>
        <v>0</v>
      </c>
      <c r="AO1344" s="498">
        <f t="shared" si="458"/>
        <v>0</v>
      </c>
      <c r="AP1344" s="498">
        <f t="shared" si="477"/>
        <v>0</v>
      </c>
      <c r="AQ1344" s="498">
        <f t="shared" si="472"/>
        <v>0</v>
      </c>
      <c r="AU1344" s="498">
        <f t="shared" si="459"/>
        <v>0</v>
      </c>
      <c r="AV1344" s="498">
        <f t="shared" si="460"/>
        <v>0</v>
      </c>
      <c r="AW1344" s="498">
        <f t="shared" si="461"/>
        <v>0</v>
      </c>
      <c r="AX1344" s="498">
        <f t="shared" si="462"/>
        <v>0</v>
      </c>
      <c r="AY1344" s="498">
        <f t="shared" si="463"/>
        <v>0</v>
      </c>
      <c r="BB1344" s="498" t="str">
        <f t="shared" si="464"/>
        <v/>
      </c>
      <c r="BC1344" s="743" t="str">
        <f t="shared" si="465"/>
        <v/>
      </c>
      <c r="BD1344" s="743" t="str">
        <f t="shared" si="466"/>
        <v/>
      </c>
      <c r="BE1344" s="743" t="str">
        <f>IF(D1344="","",VLOOKUP(D1344,'General Basis'!$J$39:$K$46,2,0))</f>
        <v/>
      </c>
      <c r="BF1344" s="744" t="str">
        <f>IF(D1344="","",VLOOKUP(D1344,'General Basis'!$J$39:$L$46,3,0))</f>
        <v/>
      </c>
      <c r="BG1344" s="744" t="str">
        <f t="shared" si="473"/>
        <v/>
      </c>
      <c r="BH1344" s="744" t="str">
        <f>IF(G1344="","",IF(BF1344="Abu Dhabi",IF(G1344&lt;18,'General Basis'!$C$39,IF(G1344&lt;41,'General Basis'!$C$40,IF(G1344&lt;60,'General Basis'!$C$41,IF(G1344&lt;65,'General Basis'!$C$42,'General Basis'!$C$43)))),IF(G1344&lt;11,'General Basis'!$B$39,IF(G1344&lt;18,'General Basis'!$B$40,IF(G1344&lt;26,'General Basis'!$B$41,IF(G1344&lt;31,'General Basis'!$B$42,IF(G1344&lt;36,'General Basis'!$B$43,IF(G1344&lt;41,'General Basis'!$B$44,IF(G1344&lt;46,'General Basis'!$B$45,IF(G1344&lt;51,'General Basis'!$B$46,IF(G1344&lt;56,'General Basis'!$B$47,IF(G1344&lt;60,'General Basis'!$B$48,IF(G1344&lt;65,'General Basis'!$B$49,'General Basis'!$B$50)))))))))))))</f>
        <v/>
      </c>
      <c r="BI1344" s="744" t="str">
        <f t="shared" si="467"/>
        <v/>
      </c>
      <c r="BJ1344" s="747" t="str">
        <f t="shared" si="474"/>
        <v/>
      </c>
      <c r="BK1344" s="498" t="str">
        <f t="shared" si="468"/>
        <v/>
      </c>
      <c r="BL1344" s="498" t="str">
        <f t="shared" si="469"/>
        <v/>
      </c>
    </row>
    <row r="1345" spans="1:64" x14ac:dyDescent="0.25">
      <c r="A1345" s="762">
        <f t="shared" si="470"/>
        <v>1340</v>
      </c>
      <c r="B1345" s="229"/>
      <c r="C1345" s="223"/>
      <c r="D1345" s="224"/>
      <c r="E1345" s="225"/>
      <c r="F1345" s="1036" t="str">
        <f t="shared" si="476"/>
        <v/>
      </c>
      <c r="G1345" s="1037" t="str">
        <f t="shared" si="471"/>
        <v/>
      </c>
      <c r="H1345" s="225"/>
      <c r="I1345" s="1013"/>
      <c r="J1345" s="1013"/>
      <c r="K1345" s="1028"/>
      <c r="L1345" s="1035" t="str">
        <f t="shared" si="475"/>
        <v/>
      </c>
      <c r="S1345" s="498"/>
      <c r="AJ1345" s="498"/>
      <c r="AM1345" s="498">
        <f t="shared" si="456"/>
        <v>0</v>
      </c>
      <c r="AN1345" s="498">
        <f t="shared" si="457"/>
        <v>0</v>
      </c>
      <c r="AO1345" s="498">
        <f t="shared" si="458"/>
        <v>0</v>
      </c>
      <c r="AP1345" s="498">
        <f t="shared" si="477"/>
        <v>0</v>
      </c>
      <c r="AQ1345" s="498">
        <f t="shared" si="472"/>
        <v>0</v>
      </c>
      <c r="AU1345" s="498">
        <f t="shared" si="459"/>
        <v>0</v>
      </c>
      <c r="AV1345" s="498">
        <f t="shared" si="460"/>
        <v>0</v>
      </c>
      <c r="AW1345" s="498">
        <f t="shared" si="461"/>
        <v>0</v>
      </c>
      <c r="AX1345" s="498">
        <f t="shared" si="462"/>
        <v>0</v>
      </c>
      <c r="AY1345" s="498">
        <f t="shared" si="463"/>
        <v>0</v>
      </c>
      <c r="BB1345" s="498" t="str">
        <f t="shared" si="464"/>
        <v/>
      </c>
      <c r="BC1345" s="743" t="str">
        <f t="shared" si="465"/>
        <v/>
      </c>
      <c r="BD1345" s="743" t="str">
        <f t="shared" si="466"/>
        <v/>
      </c>
      <c r="BE1345" s="743" t="str">
        <f>IF(D1345="","",VLOOKUP(D1345,'General Basis'!$J$39:$K$46,2,0))</f>
        <v/>
      </c>
      <c r="BF1345" s="744" t="str">
        <f>IF(D1345="","",VLOOKUP(D1345,'General Basis'!$J$39:$L$46,3,0))</f>
        <v/>
      </c>
      <c r="BG1345" s="744" t="str">
        <f t="shared" si="473"/>
        <v/>
      </c>
      <c r="BH1345" s="744" t="str">
        <f>IF(G1345="","",IF(BF1345="Abu Dhabi",IF(G1345&lt;18,'General Basis'!$C$39,IF(G1345&lt;41,'General Basis'!$C$40,IF(G1345&lt;60,'General Basis'!$C$41,IF(G1345&lt;65,'General Basis'!$C$42,'General Basis'!$C$43)))),IF(G1345&lt;11,'General Basis'!$B$39,IF(G1345&lt;18,'General Basis'!$B$40,IF(G1345&lt;26,'General Basis'!$B$41,IF(G1345&lt;31,'General Basis'!$B$42,IF(G1345&lt;36,'General Basis'!$B$43,IF(G1345&lt;41,'General Basis'!$B$44,IF(G1345&lt;46,'General Basis'!$B$45,IF(G1345&lt;51,'General Basis'!$B$46,IF(G1345&lt;56,'General Basis'!$B$47,IF(G1345&lt;60,'General Basis'!$B$48,IF(G1345&lt;65,'General Basis'!$B$49,'General Basis'!$B$50)))))))))))))</f>
        <v/>
      </c>
      <c r="BI1345" s="744" t="str">
        <f t="shared" si="467"/>
        <v/>
      </c>
      <c r="BJ1345" s="747" t="str">
        <f t="shared" si="474"/>
        <v/>
      </c>
      <c r="BK1345" s="498" t="str">
        <f t="shared" si="468"/>
        <v/>
      </c>
      <c r="BL1345" s="498" t="str">
        <f t="shared" si="469"/>
        <v/>
      </c>
    </row>
    <row r="1346" spans="1:64" x14ac:dyDescent="0.25">
      <c r="A1346" s="762">
        <f t="shared" si="470"/>
        <v>1341</v>
      </c>
      <c r="B1346" s="229"/>
      <c r="C1346" s="223"/>
      <c r="D1346" s="224"/>
      <c r="E1346" s="225"/>
      <c r="F1346" s="1036" t="str">
        <f t="shared" si="476"/>
        <v/>
      </c>
      <c r="G1346" s="1037" t="str">
        <f t="shared" si="471"/>
        <v/>
      </c>
      <c r="H1346" s="225"/>
      <c r="I1346" s="1013"/>
      <c r="J1346" s="1013"/>
      <c r="K1346" s="1028"/>
      <c r="L1346" s="1035" t="str">
        <f t="shared" si="475"/>
        <v/>
      </c>
      <c r="S1346" s="498"/>
      <c r="AJ1346" s="498"/>
      <c r="AM1346" s="498">
        <f t="shared" si="456"/>
        <v>0</v>
      </c>
      <c r="AN1346" s="498">
        <f t="shared" si="457"/>
        <v>0</v>
      </c>
      <c r="AO1346" s="498">
        <f t="shared" si="458"/>
        <v>0</v>
      </c>
      <c r="AP1346" s="498">
        <f t="shared" si="477"/>
        <v>0</v>
      </c>
      <c r="AQ1346" s="498">
        <f t="shared" si="472"/>
        <v>0</v>
      </c>
      <c r="AU1346" s="498">
        <f t="shared" si="459"/>
        <v>0</v>
      </c>
      <c r="AV1346" s="498">
        <f t="shared" si="460"/>
        <v>0</v>
      </c>
      <c r="AW1346" s="498">
        <f t="shared" si="461"/>
        <v>0</v>
      </c>
      <c r="AX1346" s="498">
        <f t="shared" si="462"/>
        <v>0</v>
      </c>
      <c r="AY1346" s="498">
        <f t="shared" si="463"/>
        <v>0</v>
      </c>
      <c r="BB1346" s="498" t="str">
        <f t="shared" si="464"/>
        <v/>
      </c>
      <c r="BC1346" s="743" t="str">
        <f t="shared" si="465"/>
        <v/>
      </c>
      <c r="BD1346" s="743" t="str">
        <f t="shared" si="466"/>
        <v/>
      </c>
      <c r="BE1346" s="743" t="str">
        <f>IF(D1346="","",VLOOKUP(D1346,'General Basis'!$J$39:$K$46,2,0))</f>
        <v/>
      </c>
      <c r="BF1346" s="744" t="str">
        <f>IF(D1346="","",VLOOKUP(D1346,'General Basis'!$J$39:$L$46,3,0))</f>
        <v/>
      </c>
      <c r="BG1346" s="744" t="str">
        <f t="shared" si="473"/>
        <v/>
      </c>
      <c r="BH1346" s="744" t="str">
        <f>IF(G1346="","",IF(BF1346="Abu Dhabi",IF(G1346&lt;18,'General Basis'!$C$39,IF(G1346&lt;41,'General Basis'!$C$40,IF(G1346&lt;60,'General Basis'!$C$41,IF(G1346&lt;65,'General Basis'!$C$42,'General Basis'!$C$43)))),IF(G1346&lt;11,'General Basis'!$B$39,IF(G1346&lt;18,'General Basis'!$B$40,IF(G1346&lt;26,'General Basis'!$B$41,IF(G1346&lt;31,'General Basis'!$B$42,IF(G1346&lt;36,'General Basis'!$B$43,IF(G1346&lt;41,'General Basis'!$B$44,IF(G1346&lt;46,'General Basis'!$B$45,IF(G1346&lt;51,'General Basis'!$B$46,IF(G1346&lt;56,'General Basis'!$B$47,IF(G1346&lt;60,'General Basis'!$B$48,IF(G1346&lt;65,'General Basis'!$B$49,'General Basis'!$B$50)))))))))))))</f>
        <v/>
      </c>
      <c r="BI1346" s="744" t="str">
        <f t="shared" si="467"/>
        <v/>
      </c>
      <c r="BJ1346" s="747" t="str">
        <f t="shared" si="474"/>
        <v/>
      </c>
      <c r="BK1346" s="498" t="str">
        <f t="shared" si="468"/>
        <v/>
      </c>
      <c r="BL1346" s="498" t="str">
        <f t="shared" si="469"/>
        <v/>
      </c>
    </row>
    <row r="1347" spans="1:64" x14ac:dyDescent="0.25">
      <c r="A1347" s="762">
        <f t="shared" si="470"/>
        <v>1342</v>
      </c>
      <c r="B1347" s="229"/>
      <c r="C1347" s="223"/>
      <c r="D1347" s="224"/>
      <c r="E1347" s="225"/>
      <c r="F1347" s="1036" t="str">
        <f t="shared" si="476"/>
        <v/>
      </c>
      <c r="G1347" s="1037" t="str">
        <f t="shared" si="471"/>
        <v/>
      </c>
      <c r="H1347" s="225"/>
      <c r="I1347" s="1013"/>
      <c r="J1347" s="1013"/>
      <c r="K1347" s="1028"/>
      <c r="L1347" s="1035" t="str">
        <f t="shared" si="475"/>
        <v/>
      </c>
      <c r="S1347" s="498"/>
      <c r="AJ1347" s="498"/>
      <c r="AM1347" s="498">
        <f t="shared" si="456"/>
        <v>0</v>
      </c>
      <c r="AN1347" s="498">
        <f t="shared" si="457"/>
        <v>0</v>
      </c>
      <c r="AO1347" s="498">
        <f t="shared" si="458"/>
        <v>0</v>
      </c>
      <c r="AP1347" s="498">
        <f t="shared" si="477"/>
        <v>0</v>
      </c>
      <c r="AQ1347" s="498">
        <f t="shared" si="472"/>
        <v>0</v>
      </c>
      <c r="AU1347" s="498">
        <f t="shared" si="459"/>
        <v>0</v>
      </c>
      <c r="AV1347" s="498">
        <f t="shared" si="460"/>
        <v>0</v>
      </c>
      <c r="AW1347" s="498">
        <f t="shared" si="461"/>
        <v>0</v>
      </c>
      <c r="AX1347" s="498">
        <f t="shared" si="462"/>
        <v>0</v>
      </c>
      <c r="AY1347" s="498">
        <f t="shared" si="463"/>
        <v>0</v>
      </c>
      <c r="BB1347" s="498" t="str">
        <f t="shared" si="464"/>
        <v/>
      </c>
      <c r="BC1347" s="743" t="str">
        <f t="shared" si="465"/>
        <v/>
      </c>
      <c r="BD1347" s="743" t="str">
        <f t="shared" si="466"/>
        <v/>
      </c>
      <c r="BE1347" s="743" t="str">
        <f>IF(D1347="","",VLOOKUP(D1347,'General Basis'!$J$39:$K$46,2,0))</f>
        <v/>
      </c>
      <c r="BF1347" s="744" t="str">
        <f>IF(D1347="","",VLOOKUP(D1347,'General Basis'!$J$39:$L$46,3,0))</f>
        <v/>
      </c>
      <c r="BG1347" s="744" t="str">
        <f t="shared" si="473"/>
        <v/>
      </c>
      <c r="BH1347" s="744" t="str">
        <f>IF(G1347="","",IF(BF1347="Abu Dhabi",IF(G1347&lt;18,'General Basis'!$C$39,IF(G1347&lt;41,'General Basis'!$C$40,IF(G1347&lt;60,'General Basis'!$C$41,IF(G1347&lt;65,'General Basis'!$C$42,'General Basis'!$C$43)))),IF(G1347&lt;11,'General Basis'!$B$39,IF(G1347&lt;18,'General Basis'!$B$40,IF(G1347&lt;26,'General Basis'!$B$41,IF(G1347&lt;31,'General Basis'!$B$42,IF(G1347&lt;36,'General Basis'!$B$43,IF(G1347&lt;41,'General Basis'!$B$44,IF(G1347&lt;46,'General Basis'!$B$45,IF(G1347&lt;51,'General Basis'!$B$46,IF(G1347&lt;56,'General Basis'!$B$47,IF(G1347&lt;60,'General Basis'!$B$48,IF(G1347&lt;65,'General Basis'!$B$49,'General Basis'!$B$50)))))))))))))</f>
        <v/>
      </c>
      <c r="BI1347" s="744" t="str">
        <f t="shared" si="467"/>
        <v/>
      </c>
      <c r="BJ1347" s="747" t="str">
        <f t="shared" si="474"/>
        <v/>
      </c>
      <c r="BK1347" s="498" t="str">
        <f t="shared" si="468"/>
        <v/>
      </c>
      <c r="BL1347" s="498" t="str">
        <f t="shared" si="469"/>
        <v/>
      </c>
    </row>
    <row r="1348" spans="1:64" x14ac:dyDescent="0.25">
      <c r="A1348" s="762">
        <f t="shared" si="470"/>
        <v>1343</v>
      </c>
      <c r="B1348" s="229"/>
      <c r="C1348" s="223"/>
      <c r="D1348" s="224"/>
      <c r="E1348" s="225"/>
      <c r="F1348" s="1036" t="str">
        <f t="shared" si="476"/>
        <v/>
      </c>
      <c r="G1348" s="1037" t="str">
        <f t="shared" si="471"/>
        <v/>
      </c>
      <c r="H1348" s="225"/>
      <c r="I1348" s="1013"/>
      <c r="J1348" s="1013"/>
      <c r="K1348" s="1028"/>
      <c r="L1348" s="1035" t="str">
        <f t="shared" si="475"/>
        <v/>
      </c>
      <c r="S1348" s="498"/>
      <c r="AJ1348" s="498"/>
      <c r="AM1348" s="498">
        <f t="shared" si="456"/>
        <v>0</v>
      </c>
      <c r="AN1348" s="498">
        <f t="shared" si="457"/>
        <v>0</v>
      </c>
      <c r="AO1348" s="498">
        <f t="shared" si="458"/>
        <v>0</v>
      </c>
      <c r="AP1348" s="498">
        <f t="shared" si="477"/>
        <v>0</v>
      </c>
      <c r="AQ1348" s="498">
        <f t="shared" si="472"/>
        <v>0</v>
      </c>
      <c r="AU1348" s="498">
        <f t="shared" si="459"/>
        <v>0</v>
      </c>
      <c r="AV1348" s="498">
        <f t="shared" si="460"/>
        <v>0</v>
      </c>
      <c r="AW1348" s="498">
        <f t="shared" si="461"/>
        <v>0</v>
      </c>
      <c r="AX1348" s="498">
        <f t="shared" si="462"/>
        <v>0</v>
      </c>
      <c r="AY1348" s="498">
        <f t="shared" si="463"/>
        <v>0</v>
      </c>
      <c r="BB1348" s="498" t="str">
        <f t="shared" si="464"/>
        <v/>
      </c>
      <c r="BC1348" s="743" t="str">
        <f t="shared" si="465"/>
        <v/>
      </c>
      <c r="BD1348" s="743" t="str">
        <f t="shared" si="466"/>
        <v/>
      </c>
      <c r="BE1348" s="743" t="str">
        <f>IF(D1348="","",VLOOKUP(D1348,'General Basis'!$J$39:$K$46,2,0))</f>
        <v/>
      </c>
      <c r="BF1348" s="744" t="str">
        <f>IF(D1348="","",VLOOKUP(D1348,'General Basis'!$J$39:$L$46,3,0))</f>
        <v/>
      </c>
      <c r="BG1348" s="744" t="str">
        <f t="shared" si="473"/>
        <v/>
      </c>
      <c r="BH1348" s="744" t="str">
        <f>IF(G1348="","",IF(BF1348="Abu Dhabi",IF(G1348&lt;18,'General Basis'!$C$39,IF(G1348&lt;41,'General Basis'!$C$40,IF(G1348&lt;60,'General Basis'!$C$41,IF(G1348&lt;65,'General Basis'!$C$42,'General Basis'!$C$43)))),IF(G1348&lt;11,'General Basis'!$B$39,IF(G1348&lt;18,'General Basis'!$B$40,IF(G1348&lt;26,'General Basis'!$B$41,IF(G1348&lt;31,'General Basis'!$B$42,IF(G1348&lt;36,'General Basis'!$B$43,IF(G1348&lt;41,'General Basis'!$B$44,IF(G1348&lt;46,'General Basis'!$B$45,IF(G1348&lt;51,'General Basis'!$B$46,IF(G1348&lt;56,'General Basis'!$B$47,IF(G1348&lt;60,'General Basis'!$B$48,IF(G1348&lt;65,'General Basis'!$B$49,'General Basis'!$B$50)))))))))))))</f>
        <v/>
      </c>
      <c r="BI1348" s="744" t="str">
        <f t="shared" si="467"/>
        <v/>
      </c>
      <c r="BJ1348" s="747" t="str">
        <f t="shared" si="474"/>
        <v/>
      </c>
      <c r="BK1348" s="498" t="str">
        <f t="shared" si="468"/>
        <v/>
      </c>
      <c r="BL1348" s="498" t="str">
        <f t="shared" si="469"/>
        <v/>
      </c>
    </row>
    <row r="1349" spans="1:64" x14ac:dyDescent="0.25">
      <c r="A1349" s="762">
        <f t="shared" si="470"/>
        <v>1344</v>
      </c>
      <c r="B1349" s="229"/>
      <c r="C1349" s="223"/>
      <c r="D1349" s="224"/>
      <c r="E1349" s="225"/>
      <c r="F1349" s="1036" t="str">
        <f t="shared" si="476"/>
        <v/>
      </c>
      <c r="G1349" s="1037" t="str">
        <f t="shared" si="471"/>
        <v/>
      </c>
      <c r="H1349" s="225"/>
      <c r="I1349" s="1013"/>
      <c r="J1349" s="1013"/>
      <c r="K1349" s="1028"/>
      <c r="L1349" s="1035" t="str">
        <f t="shared" si="475"/>
        <v/>
      </c>
      <c r="S1349" s="498"/>
      <c r="AJ1349" s="498"/>
      <c r="AM1349" s="498">
        <f t="shared" si="456"/>
        <v>0</v>
      </c>
      <c r="AN1349" s="498">
        <f t="shared" si="457"/>
        <v>0</v>
      </c>
      <c r="AO1349" s="498">
        <f t="shared" si="458"/>
        <v>0</v>
      </c>
      <c r="AP1349" s="498">
        <f t="shared" si="477"/>
        <v>0</v>
      </c>
      <c r="AQ1349" s="498">
        <f t="shared" si="472"/>
        <v>0</v>
      </c>
      <c r="AU1349" s="498">
        <f t="shared" si="459"/>
        <v>0</v>
      </c>
      <c r="AV1349" s="498">
        <f t="shared" si="460"/>
        <v>0</v>
      </c>
      <c r="AW1349" s="498">
        <f t="shared" si="461"/>
        <v>0</v>
      </c>
      <c r="AX1349" s="498">
        <f t="shared" si="462"/>
        <v>0</v>
      </c>
      <c r="AY1349" s="498">
        <f t="shared" si="463"/>
        <v>0</v>
      </c>
      <c r="BB1349" s="498" t="str">
        <f t="shared" si="464"/>
        <v/>
      </c>
      <c r="BC1349" s="743" t="str">
        <f t="shared" si="465"/>
        <v/>
      </c>
      <c r="BD1349" s="743" t="str">
        <f t="shared" si="466"/>
        <v/>
      </c>
      <c r="BE1349" s="743" t="str">
        <f>IF(D1349="","",VLOOKUP(D1349,'General Basis'!$J$39:$K$46,2,0))</f>
        <v/>
      </c>
      <c r="BF1349" s="744" t="str">
        <f>IF(D1349="","",VLOOKUP(D1349,'General Basis'!$J$39:$L$46,3,0))</f>
        <v/>
      </c>
      <c r="BG1349" s="744" t="str">
        <f t="shared" si="473"/>
        <v/>
      </c>
      <c r="BH1349" s="744" t="str">
        <f>IF(G1349="","",IF(BF1349="Abu Dhabi",IF(G1349&lt;18,'General Basis'!$C$39,IF(G1349&lt;41,'General Basis'!$C$40,IF(G1349&lt;60,'General Basis'!$C$41,IF(G1349&lt;65,'General Basis'!$C$42,'General Basis'!$C$43)))),IF(G1349&lt;11,'General Basis'!$B$39,IF(G1349&lt;18,'General Basis'!$B$40,IF(G1349&lt;26,'General Basis'!$B$41,IF(G1349&lt;31,'General Basis'!$B$42,IF(G1349&lt;36,'General Basis'!$B$43,IF(G1349&lt;41,'General Basis'!$B$44,IF(G1349&lt;46,'General Basis'!$B$45,IF(G1349&lt;51,'General Basis'!$B$46,IF(G1349&lt;56,'General Basis'!$B$47,IF(G1349&lt;60,'General Basis'!$B$48,IF(G1349&lt;65,'General Basis'!$B$49,'General Basis'!$B$50)))))))))))))</f>
        <v/>
      </c>
      <c r="BI1349" s="744" t="str">
        <f t="shared" si="467"/>
        <v/>
      </c>
      <c r="BJ1349" s="747" t="str">
        <f t="shared" si="474"/>
        <v/>
      </c>
      <c r="BK1349" s="498" t="str">
        <f t="shared" si="468"/>
        <v/>
      </c>
      <c r="BL1349" s="498" t="str">
        <f t="shared" si="469"/>
        <v/>
      </c>
    </row>
    <row r="1350" spans="1:64" x14ac:dyDescent="0.25">
      <c r="A1350" s="762">
        <f t="shared" si="470"/>
        <v>1345</v>
      </c>
      <c r="B1350" s="229"/>
      <c r="C1350" s="223"/>
      <c r="D1350" s="224"/>
      <c r="E1350" s="225"/>
      <c r="F1350" s="1036" t="str">
        <f t="shared" si="476"/>
        <v/>
      </c>
      <c r="G1350" s="1037" t="str">
        <f t="shared" si="471"/>
        <v/>
      </c>
      <c r="H1350" s="225"/>
      <c r="I1350" s="1013"/>
      <c r="J1350" s="1013"/>
      <c r="K1350" s="1028"/>
      <c r="L1350" s="1035" t="str">
        <f t="shared" si="475"/>
        <v/>
      </c>
      <c r="S1350" s="498"/>
      <c r="AJ1350" s="498"/>
      <c r="AM1350" s="498">
        <f t="shared" ref="AM1350:AM1413" si="478">IF(ISTEXT(B1350),1,0)</f>
        <v>0</v>
      </c>
      <c r="AN1350" s="498">
        <f t="shared" ref="AN1350:AN1413" si="479">IF(ISBLANK(B1350),0,IF(B1350&lt;$AK$6,1,0))</f>
        <v>0</v>
      </c>
      <c r="AO1350" s="498">
        <f t="shared" ref="AO1350:AO1413" si="480">IF(ISBLANK(B1350),0,IF(B1350&gt;$AK$7,1,0))</f>
        <v>0</v>
      </c>
      <c r="AP1350" s="498">
        <f t="shared" si="477"/>
        <v>0</v>
      </c>
      <c r="AQ1350" s="498">
        <f t="shared" si="472"/>
        <v>0</v>
      </c>
      <c r="AU1350" s="498">
        <f t="shared" ref="AU1350:AU1413" si="481">IF(ISBLANK(B1350),0,1)</f>
        <v>0</v>
      </c>
      <c r="AV1350" s="498">
        <f t="shared" ref="AV1350:AV1413" si="482">IF(ISBLANK(C1350),0,1)</f>
        <v>0</v>
      </c>
      <c r="AW1350" s="498">
        <f t="shared" ref="AW1350:AW1413" si="483">IF(ISBLANK(D1350),0,1)</f>
        <v>0</v>
      </c>
      <c r="AX1350" s="498">
        <f t="shared" ref="AX1350:AX1413" si="484">IF(ISBLANK(E1350),0,1)</f>
        <v>0</v>
      </c>
      <c r="AY1350" s="498">
        <f t="shared" ref="AY1350:AY1413" si="485">IF(ISBLANK(H1350),0,1)</f>
        <v>0</v>
      </c>
      <c r="BB1350" s="498" t="str">
        <f t="shared" ref="BB1350:BB1413" si="486">IF(E1350="Principal","Principal",IF(E1350="","","Other"))</f>
        <v/>
      </c>
      <c r="BC1350" s="743" t="str">
        <f t="shared" ref="BC1350:BC1413" si="487">IF(D1350="","",D1350)</f>
        <v/>
      </c>
      <c r="BD1350" s="743" t="str">
        <f t="shared" ref="BD1350:BD1413" si="488">IF(E1350="Principal","Employee",IF(E1350="","","Dependent"))</f>
        <v/>
      </c>
      <c r="BE1350" s="743" t="str">
        <f>IF(D1350="","",VLOOKUP(D1350,'General Basis'!$J$39:$K$46,2,0))</f>
        <v/>
      </c>
      <c r="BF1350" s="744" t="str">
        <f>IF(D1350="","",VLOOKUP(D1350,'General Basis'!$J$39:$L$46,3,0))</f>
        <v/>
      </c>
      <c r="BG1350" s="744" t="str">
        <f t="shared" si="473"/>
        <v/>
      </c>
      <c r="BH1350" s="744" t="str">
        <f>IF(G1350="","",IF(BF1350="Abu Dhabi",IF(G1350&lt;18,'General Basis'!$C$39,IF(G1350&lt;41,'General Basis'!$C$40,IF(G1350&lt;60,'General Basis'!$C$41,IF(G1350&lt;65,'General Basis'!$C$42,'General Basis'!$C$43)))),IF(G1350&lt;11,'General Basis'!$B$39,IF(G1350&lt;18,'General Basis'!$B$40,IF(G1350&lt;26,'General Basis'!$B$41,IF(G1350&lt;31,'General Basis'!$B$42,IF(G1350&lt;36,'General Basis'!$B$43,IF(G1350&lt;41,'General Basis'!$B$44,IF(G1350&lt;46,'General Basis'!$B$45,IF(G1350&lt;51,'General Basis'!$B$46,IF(G1350&lt;56,'General Basis'!$B$47,IF(G1350&lt;60,'General Basis'!$B$48,IF(G1350&lt;65,'General Basis'!$B$49,'General Basis'!$B$50)))))))))))))</f>
        <v/>
      </c>
      <c r="BI1350" s="744" t="str">
        <f t="shared" ref="BI1350:BI1413" si="489">IF(C1350="","",IF(C1350="M","Male","Female"))</f>
        <v/>
      </c>
      <c r="BJ1350" s="747" t="str">
        <f t="shared" si="474"/>
        <v/>
      </c>
      <c r="BK1350" s="498" t="str">
        <f t="shared" ref="BK1350:BK1413" si="490">IF(BD1350="","",IF(AND(BD1350="Employee",BI1350="Male",BF1350="Abu Dhabi",BE1350=GN_Plus),VLOOKUP(BH1350,AUH_MALE_EMP,2,0),IF(AND(BD1350="Employee",BI1350="Male",BF1350="Abu Dhabi",BE1350=GN),VLOOKUP(BH1350,AUH_MALE_EMP,3,0),IF(AND(BD1350="Employee",BI1350="Male",BF1350="Abu Dhabi",BE1350=RN_Plus),VLOOKUP(BH1350,AUH_MALE_EMP,4,0),IF(AND(BD1350="Employee",BI1350="Male",BF1350="Abu Dhabi",BE1350=RN),VLOOKUP(BH1350,AUH_MALE_EMP,5,0),IF(AND(BD1350="Employee",BI1350="Male",BF1350="Abu Dhabi",BE1350=RN_2),VLOOKUP(BH1350,AUH_MALE_EMP,6,0),IF(AND(BD1350="Employee",BI1350="Male",BF1350="Abu Dhabi",BE1350=RN2_minus),VLOOKUP(BH1350,AUH_MALE_EMP,7,0),IF(AND(BD1350="Employee",BI1350="Male",BF1350="Abu Dhabi",BE1350=RN_3),VLOOKUP(BH1350,AUH_MALE_EMP,8,0),IF(AND(BD1350="Employee",BI1350="Male",BF1350="Abu Dhabi",BE1350=VN),VLOOKUP(BH1350,AUH_MALE_EMP,9,0),IF(BD1350="","",IF(AND(BD1350="Employee",BI1350="Female",BF1350="Abu Dhabi",BE1350=GN_Plus),VLOOKUP(BH1350,AUH_FEMALE_EMP,2,0),IF(AND(BD1350="Employee",BI1350="Female",BF1350="Abu Dhabi",BE1350=GN),VLOOKUP(BH1350,AUH_FEMALE_EMP,3,0),IF(AND(BD1350="Employee",BI1350="Female",BF1350="Abu Dhabi",BE1350=RN_Plus),VLOOKUP(BH1350,AUH_FEMALE_EMP,4,0),IF(AND(BD1350="Employee",BI1350="Female",BF1350="Abu Dhabi",BE1350=RN),VLOOKUP(BH1350,AUH_FEMALE_EMP,5,0),IF(AND(BD1350="Employee",BI1350="Female",BF1350="Abu Dhabi",BE1350=RN_2),VLOOKUP(BH1350,AUH_FEMALE_EMP,6,0),IF(AND(BD1350="Employee",BI1350="Female",BF1350="Abu Dhabi",BE1350=RN2_minus),VLOOKUP(BH1350,AUH_FEMALE_EMP,7,0),IF(AND(BD1350="Employee",BI1350="Female",BF1350="Abu Dhabi",BE1350=RN_3),VLOOKUP(BH1350,AUH_FEMALE_EMP,8,0),IF(AND(BD1350="Employee",BI1350="Female",BF1350="Abu Dhabi",BE1350=VN),VLOOKUP(BH1350,AUH_FEMALE_EMP,9,0),IF(BD1350="","",IF(AND(BD1350="Dependent",BI1350="Male",BF1350="Abu Dhabi",BE1350=GN_Plus),VLOOKUP(BH1350,AUH_MALE_DEP,2,0),IF(AND(BD1350="Dependent",BI1350="Male",BF1350="Abu Dhabi",BE1350=GN),VLOOKUP(BH1350,AUH_MALE_DEP,3,0),IF(AND(BD1350="Dependent",BI1350="Male",BF1350="Abu Dhabi",BE1350=RN_Plus),VLOOKUP(BH1350,AUH_MALE_DEP,4,0),IF(AND(BD1350="Dependent",BI1350="Male",BF1350="Abu Dhabi",BE1350=RN),VLOOKUP(BH1350,AUH_MALE_DEP,5,0),IF(AND(BD1350="Dependent",BI1350="Male",BF1350="Abu Dhabi",BE1350=RN_2),VLOOKUP(BH1350,AUH_MALE_DEP,6,0),IF(AND(BD1350="Dependent",BI1350="Male",BF1350="Abu Dhabi",BE1350=RN2_minus),VLOOKUP(BH1350,AUH_MALE_DEP,7,0),IF(AND(BD1350="Dependent",BI1350="Male",BF1350="Abu Dhabi",BE1350=RN_3),VLOOKUP(BH1350,AUH_MALE_DEP,8,0),IF(AND(BD1350="Dependent",BI1350="Male",BF1350="Abu Dhabi",BE1350=VN),VLOOKUP(BH1350,AUH_MALE_DEP,9,0),IF(BD1350="","",IF(AND(BD1350="Dependent",BI1350="Female",BF1350="Abu Dhabi",BE1350=GN_Plus),VLOOKUP(BH1350,AUH_FEMALE_DEP,2,0),IF(AND(BD1350="Dependent",BI1350="Female",BF1350="Abu Dhabi",BE1350=GN),VLOOKUP(BH1350,AUH_FEMALE_DEP,3,0),IF(AND(BD1350="Dependent",BI1350="Female",BF1350="Abu Dhabi",BE1350=RN_Plus),VLOOKUP(BH1350,AUH_FEMALE_DEP,4,0),IF(AND(BD1350="Dependent",BI1350="Female",BF1350="Abu Dhabi",BE1350=RN),VLOOKUP(BH1350,AUH_FEMALE_DEP,5,0),IF(AND(BD1350="Dependent",BI1350="Female",BF1350="Abu Dhabi",BE1350=RN_2),VLOOKUP(BH1350,AUH_FEMALE_DEP,6,0),IF(AND(BD1350="Dependent",BI1350="Female",BF1350="Abu Dhabi",BE1350=RN2_minus),VLOOKUP(BH1350,AUH_FEMALE_DEP,7,0),IF(AND(BD1350="Dependent",BI1350="Female",BF1350="Abu Dhabi",BE1350=RN_3),VLOOKUP(BH1350,AUH_FEMALE_DEP,8,0),IF(AND(BD1350="Dependent",BI1350="Female",BF1350="Abu Dhabi",BE1350=VN),VLOOKUP(BH1350,AUH_FEMALE_DEP,9,0),"ABC"))))))))))))))))))))))))))))))))))))</f>
        <v/>
      </c>
      <c r="BL1350" s="498" t="str">
        <f t="shared" ref="BL1350:BL1413" si="491">IF(BD1350="","",IF(AND(BD1350="Employee",BI1350="Male",BF1350="Dubai",BE1350=GN_Plus),VLOOKUP(BH1350,DXB_MALE_EMP,2,0),IF(AND(BD1350="Employee",BI1350="Male",BF1350="Dubai",BE1350=GN),VLOOKUP(BH1350,DXB_MALE_EMP,3,0),IF(AND(BD1350="Employee",BI1350="Male",BF1350="Dubai",BE1350=RN_Plus),VLOOKUP(BH1350,DXB_MALE_EMP,4,0),IF(AND(BD1350="Employee",BI1350="Male",BF1350="Dubai",BE1350=RN),VLOOKUP(BH1350,DXB_MALE_EMP,5,0),IF(AND(BD1350="Employee",BI1350="Male",BF1350="Dubai",BE1350=RN_2),VLOOKUP(BH1350,DXB_MALE_EMP,6,0),IF(AND(BD1350="Employee",BI1350="Male",BF1350="Dubai",BE1350=RN2_minus),VLOOKUP(BH1350,DXB_MALE_EMP,7,0),IF(AND(BD1350="Employee",BI1350="Male",BF1350="Dubai",BE1350=RN_3),VLOOKUP(BH1350,DXB_MALE_EMP,8,0),IF(AND(BD1350="Employee",BI1350="Male",BF1350="Dubai",BE1350=VN),VLOOKUP(BH1350,DXB_MALE_EMP,9,0),IF(BD1350="","",IF(AND(BD1350="Employee",BI1350="Female",BF1350="Dubai",BE1350=GN_Plus),VLOOKUP(BH1350,DXB_FEMALE_EMP,2,0),IF(AND(BD1350="Employee",BI1350="Female",BF1350="Dubai",BE1350=GN),VLOOKUP(BH1350,DXB_FEMALE_EMP,3,0),IF(AND(BD1350="Employee",BI1350="Female",BF1350="Dubai",BE1350=RN_Plus),VLOOKUP(BH1350,DXB_FEMALE_EMP,4,0),IF(AND(BD1350="Employee",BI1350="Female",BF1350="Dubai",BE1350=RN),VLOOKUP(BH1350,DXB_FEMALE_EMP,5,0),IF(AND(BD1350="Employee",BI1350="Female",BF1350="Dubai",BE1350=RN_2),VLOOKUP(BH1350,DXB_FEMALE_EMP,6,0),IF(AND(BD1350="Employee",BI1350="Female",BF1350="Dubai",BE1350=RN2_minus),VLOOKUP(BH1350,DXB_FEMALE_EMP,7,0),IF(AND(BD1350="Employee",BI1350="Female",BF1350="Dubai",BE1350=RN_3),VLOOKUP(BH1350,DXB_FEMALE_EMP,8,0),IF(AND(BD1350="Employee",BI1350="Female",BF1350="Dubai",BE1350=VN),VLOOKUP(BH1350,DXB_FEMALE_EMP,9,0),IF(BD1350="","",IF(AND(BD1350="Dependent",BI1350="Male",BF1350="Dubai",BE1350=GN_Plus),VLOOKUP(BH1350,DXB_MALE_DEP,2,0),IF(AND(BD1350="Dependent",BI1350="Male",BF1350="Dubai",BE1350=GN),VLOOKUP(BH1350,DXB_MALE_DEP,3,0),IF(AND(BD1350="Dependent",BI1350="Male",BF1350="Dubai",BE1350=RN_Plus),VLOOKUP(BH1350,DXB_MALE_DEP,4,0),IF(AND(BD1350="Dependent",BI1350="Male",BF1350="Dubai",BE1350=RN),VLOOKUP(BH1350,DXB_MALE_DEP,5,0),IF(AND(BD1350="Dependent",BI1350="Male",BF1350="Dubai",BE1350=RN_2),VLOOKUP(BH1350,DXB_MALE_DEP,6,0),IF(AND(BD1350="Dependent",BI1350="Male",BF1350="Dubai",BE1350=RN2_minus),VLOOKUP(BH1350,DXB_MALE_DEP,7,0),IF(AND(BD1350="Dependent",BI1350="Male",BF1350="Dubai",BE1350=RN_3),VLOOKUP(BH1350,DXB_MALE_DEP,8,0),IF(AND(BD1350="Dependent",BI1350="Male",BF1350="Dubai",BE1350=VN),VLOOKUP(BH1350,DXB_MALE_DEP,9,0),IF(BD1350="","",IF(AND(BD1350="Dependent",BI1350="Female",BF1350="Dubai",BE1350=GN_Plus),VLOOKUP(BH1350,DXB_FEMALE_DEP,2,0),IF(AND(BD1350="Dependent",BI1350="Female",BF1350="Dubai",BE1350=GN),VLOOKUP(BH1350,DXB_FEMALE_DEP,3,0),IF(AND(BD1350="Dependent",BI1350="Female",BF1350="Dubai",BE1350=RN_Plus),VLOOKUP(BH1350,DXB_FEMALE_DEP,4,0),IF(AND(BD1350="Dependent",BI1350="Female",BF1350="Dubai",BE1350=RN),VLOOKUP(BH1350,DXB_FEMALE_DEP,5,0),IF(AND(BD1350="Dependent",BI1350="Female",BF1350="Dubai",BE1350=RN_2),VLOOKUP(BH1350,DXB_FEMALE_DEP,6,0),IF(AND(BD1350="Dependent",BI1350="Female",BF1350="Dubai",BE1350=RN2_minus),VLOOKUP(BH1350,DXB_FEMALE_DEP,7,0),IF(AND(BD1350="Dependent",BI1350="Female",BF1350="Dubai",BE1350=RN_3),VLOOKUP(BH1350,DXB_FEMALE_DEP,8,0),IF(AND(BD1350="Dependent",BI1350="Female",BF1350="Dubai",BE1350=VN),VLOOKUP(BH1350,DXB_FEMALE_DEP,9,0),"ABC"))))))))))))))))))))))))))))))))))))</f>
        <v/>
      </c>
    </row>
    <row r="1351" spans="1:64" x14ac:dyDescent="0.25">
      <c r="A1351" s="762">
        <f t="shared" ref="A1351:A1414" si="492">+A1350+1</f>
        <v>1346</v>
      </c>
      <c r="B1351" s="229"/>
      <c r="C1351" s="223"/>
      <c r="D1351" s="224"/>
      <c r="E1351" s="225"/>
      <c r="F1351" s="1036" t="str">
        <f t="shared" si="476"/>
        <v/>
      </c>
      <c r="G1351" s="1037" t="str">
        <f t="shared" ref="G1351:G1414" si="493">IF(D1351="","",MAX(0,ROUNDUP(F1351,0)))</f>
        <v/>
      </c>
      <c r="H1351" s="225"/>
      <c r="I1351" s="1013"/>
      <c r="J1351" s="1013"/>
      <c r="K1351" s="1028"/>
      <c r="L1351" s="1035" t="str">
        <f t="shared" si="475"/>
        <v/>
      </c>
      <c r="S1351" s="498"/>
      <c r="AJ1351" s="498"/>
      <c r="AM1351" s="498">
        <f t="shared" si="478"/>
        <v>0</v>
      </c>
      <c r="AN1351" s="498">
        <f t="shared" si="479"/>
        <v>0</v>
      </c>
      <c r="AO1351" s="498">
        <f t="shared" si="480"/>
        <v>0</v>
      </c>
      <c r="AP1351" s="498">
        <f t="shared" si="477"/>
        <v>0</v>
      </c>
      <c r="AQ1351" s="498">
        <f t="shared" ref="AQ1351:AQ1414" si="494">IF(ISBLANK($B1351),0,IF(OR($H1351="Single",$H1351="Married"),0,1))</f>
        <v>0</v>
      </c>
      <c r="AU1351" s="498">
        <f t="shared" si="481"/>
        <v>0</v>
      </c>
      <c r="AV1351" s="498">
        <f t="shared" si="482"/>
        <v>0</v>
      </c>
      <c r="AW1351" s="498">
        <f t="shared" si="483"/>
        <v>0</v>
      </c>
      <c r="AX1351" s="498">
        <f t="shared" si="484"/>
        <v>0</v>
      </c>
      <c r="AY1351" s="498">
        <f t="shared" si="485"/>
        <v>0</v>
      </c>
      <c r="BB1351" s="498" t="str">
        <f t="shared" si="486"/>
        <v/>
      </c>
      <c r="BC1351" s="743" t="str">
        <f t="shared" si="487"/>
        <v/>
      </c>
      <c r="BD1351" s="743" t="str">
        <f t="shared" si="488"/>
        <v/>
      </c>
      <c r="BE1351" s="743" t="str">
        <f>IF(D1351="","",VLOOKUP(D1351,'General Basis'!$J$39:$K$46,2,0))</f>
        <v/>
      </c>
      <c r="BF1351" s="744" t="str">
        <f>IF(D1351="","",VLOOKUP(D1351,'General Basis'!$J$39:$L$46,3,0))</f>
        <v/>
      </c>
      <c r="BG1351" s="744" t="str">
        <f t="shared" ref="BG1351:BG1414" si="495">BC1351&amp;BI1351</f>
        <v/>
      </c>
      <c r="BH1351" s="744" t="str">
        <f>IF(G1351="","",IF(BF1351="Abu Dhabi",IF(G1351&lt;18,'General Basis'!$C$39,IF(G1351&lt;41,'General Basis'!$C$40,IF(G1351&lt;60,'General Basis'!$C$41,IF(G1351&lt;65,'General Basis'!$C$42,'General Basis'!$C$43)))),IF(G1351&lt;11,'General Basis'!$B$39,IF(G1351&lt;18,'General Basis'!$B$40,IF(G1351&lt;26,'General Basis'!$B$41,IF(G1351&lt;31,'General Basis'!$B$42,IF(G1351&lt;36,'General Basis'!$B$43,IF(G1351&lt;41,'General Basis'!$B$44,IF(G1351&lt;46,'General Basis'!$B$45,IF(G1351&lt;51,'General Basis'!$B$46,IF(G1351&lt;56,'General Basis'!$B$47,IF(G1351&lt;60,'General Basis'!$B$48,IF(G1351&lt;65,'General Basis'!$B$49,'General Basis'!$B$50)))))))))))))</f>
        <v/>
      </c>
      <c r="BI1351" s="744" t="str">
        <f t="shared" si="489"/>
        <v/>
      </c>
      <c r="BJ1351" s="747" t="str">
        <f t="shared" ref="BJ1351:BJ1414" si="496">IF(BD1351="","",IF(BF1351="Abu Dhabi",BK1351,BL1351))</f>
        <v/>
      </c>
      <c r="BK1351" s="498" t="str">
        <f t="shared" si="490"/>
        <v/>
      </c>
      <c r="BL1351" s="498" t="str">
        <f t="shared" si="491"/>
        <v/>
      </c>
    </row>
    <row r="1352" spans="1:64" x14ac:dyDescent="0.25">
      <c r="A1352" s="762">
        <f t="shared" si="492"/>
        <v>1347</v>
      </c>
      <c r="B1352" s="229"/>
      <c r="C1352" s="223"/>
      <c r="D1352" s="224"/>
      <c r="E1352" s="225"/>
      <c r="F1352" s="1036" t="str">
        <f t="shared" si="476"/>
        <v/>
      </c>
      <c r="G1352" s="1037" t="str">
        <f t="shared" si="493"/>
        <v/>
      </c>
      <c r="H1352" s="225"/>
      <c r="I1352" s="1013"/>
      <c r="J1352" s="1013"/>
      <c r="K1352" s="1028"/>
      <c r="L1352" s="1035" t="str">
        <f t="shared" ref="L1352:L1415" si="497">IF(AND(E1352="Child",H1352="Married"),"Check the Marital Status of the Child. ",IF(AND(E1352="Child",F1352&gt;18),"Child Age exceed 18 years. ",IF(AND(E1352="Spouse",H1352="Single"),"Spouse is selected as Single. ","")))&amp;IF(K1352&gt;0,"UW Loading has been Applied","")</f>
        <v/>
      </c>
      <c r="S1352" s="498"/>
      <c r="AJ1352" s="498"/>
      <c r="AM1352" s="498">
        <f t="shared" si="478"/>
        <v>0</v>
      </c>
      <c r="AN1352" s="498">
        <f t="shared" si="479"/>
        <v>0</v>
      </c>
      <c r="AO1352" s="498">
        <f t="shared" si="480"/>
        <v>0</v>
      </c>
      <c r="AP1352" s="498">
        <f t="shared" si="477"/>
        <v>0</v>
      </c>
      <c r="AQ1352" s="498">
        <f t="shared" si="494"/>
        <v>0</v>
      </c>
      <c r="AU1352" s="498">
        <f t="shared" si="481"/>
        <v>0</v>
      </c>
      <c r="AV1352" s="498">
        <f t="shared" si="482"/>
        <v>0</v>
      </c>
      <c r="AW1352" s="498">
        <f t="shared" si="483"/>
        <v>0</v>
      </c>
      <c r="AX1352" s="498">
        <f t="shared" si="484"/>
        <v>0</v>
      </c>
      <c r="AY1352" s="498">
        <f t="shared" si="485"/>
        <v>0</v>
      </c>
      <c r="BB1352" s="498" t="str">
        <f t="shared" si="486"/>
        <v/>
      </c>
      <c r="BC1352" s="743" t="str">
        <f t="shared" si="487"/>
        <v/>
      </c>
      <c r="BD1352" s="743" t="str">
        <f t="shared" si="488"/>
        <v/>
      </c>
      <c r="BE1352" s="743" t="str">
        <f>IF(D1352="","",VLOOKUP(D1352,'General Basis'!$J$39:$K$46,2,0))</f>
        <v/>
      </c>
      <c r="BF1352" s="744" t="str">
        <f>IF(D1352="","",VLOOKUP(D1352,'General Basis'!$J$39:$L$46,3,0))</f>
        <v/>
      </c>
      <c r="BG1352" s="744" t="str">
        <f t="shared" si="495"/>
        <v/>
      </c>
      <c r="BH1352" s="744" t="str">
        <f>IF(G1352="","",IF(BF1352="Abu Dhabi",IF(G1352&lt;18,'General Basis'!$C$39,IF(G1352&lt;41,'General Basis'!$C$40,IF(G1352&lt;60,'General Basis'!$C$41,IF(G1352&lt;65,'General Basis'!$C$42,'General Basis'!$C$43)))),IF(G1352&lt;11,'General Basis'!$B$39,IF(G1352&lt;18,'General Basis'!$B$40,IF(G1352&lt;26,'General Basis'!$B$41,IF(G1352&lt;31,'General Basis'!$B$42,IF(G1352&lt;36,'General Basis'!$B$43,IF(G1352&lt;41,'General Basis'!$B$44,IF(G1352&lt;46,'General Basis'!$B$45,IF(G1352&lt;51,'General Basis'!$B$46,IF(G1352&lt;56,'General Basis'!$B$47,IF(G1352&lt;60,'General Basis'!$B$48,IF(G1352&lt;65,'General Basis'!$B$49,'General Basis'!$B$50)))))))))))))</f>
        <v/>
      </c>
      <c r="BI1352" s="744" t="str">
        <f t="shared" si="489"/>
        <v/>
      </c>
      <c r="BJ1352" s="747" t="str">
        <f t="shared" si="496"/>
        <v/>
      </c>
      <c r="BK1352" s="498" t="str">
        <f t="shared" si="490"/>
        <v/>
      </c>
      <c r="BL1352" s="498" t="str">
        <f t="shared" si="491"/>
        <v/>
      </c>
    </row>
    <row r="1353" spans="1:64" x14ac:dyDescent="0.25">
      <c r="A1353" s="762">
        <f t="shared" si="492"/>
        <v>1348</v>
      </c>
      <c r="B1353" s="229"/>
      <c r="C1353" s="223"/>
      <c r="D1353" s="224"/>
      <c r="E1353" s="225"/>
      <c r="F1353" s="1036" t="str">
        <f t="shared" si="476"/>
        <v/>
      </c>
      <c r="G1353" s="1037" t="str">
        <f t="shared" si="493"/>
        <v/>
      </c>
      <c r="H1353" s="225"/>
      <c r="I1353" s="1013"/>
      <c r="J1353" s="1013"/>
      <c r="K1353" s="1028"/>
      <c r="L1353" s="1035" t="str">
        <f t="shared" si="497"/>
        <v/>
      </c>
      <c r="S1353" s="498"/>
      <c r="AJ1353" s="498"/>
      <c r="AM1353" s="498">
        <f t="shared" si="478"/>
        <v>0</v>
      </c>
      <c r="AN1353" s="498">
        <f t="shared" si="479"/>
        <v>0</v>
      </c>
      <c r="AO1353" s="498">
        <f t="shared" si="480"/>
        <v>0</v>
      </c>
      <c r="AP1353" s="498">
        <f t="shared" si="477"/>
        <v>0</v>
      </c>
      <c r="AQ1353" s="498">
        <f t="shared" si="494"/>
        <v>0</v>
      </c>
      <c r="AU1353" s="498">
        <f t="shared" si="481"/>
        <v>0</v>
      </c>
      <c r="AV1353" s="498">
        <f t="shared" si="482"/>
        <v>0</v>
      </c>
      <c r="AW1353" s="498">
        <f t="shared" si="483"/>
        <v>0</v>
      </c>
      <c r="AX1353" s="498">
        <f t="shared" si="484"/>
        <v>0</v>
      </c>
      <c r="AY1353" s="498">
        <f t="shared" si="485"/>
        <v>0</v>
      </c>
      <c r="BB1353" s="498" t="str">
        <f t="shared" si="486"/>
        <v/>
      </c>
      <c r="BC1353" s="743" t="str">
        <f t="shared" si="487"/>
        <v/>
      </c>
      <c r="BD1353" s="743" t="str">
        <f t="shared" si="488"/>
        <v/>
      </c>
      <c r="BE1353" s="743" t="str">
        <f>IF(D1353="","",VLOOKUP(D1353,'General Basis'!$J$39:$K$46,2,0))</f>
        <v/>
      </c>
      <c r="BF1353" s="744" t="str">
        <f>IF(D1353="","",VLOOKUP(D1353,'General Basis'!$J$39:$L$46,3,0))</f>
        <v/>
      </c>
      <c r="BG1353" s="744" t="str">
        <f t="shared" si="495"/>
        <v/>
      </c>
      <c r="BH1353" s="744" t="str">
        <f>IF(G1353="","",IF(BF1353="Abu Dhabi",IF(G1353&lt;18,'General Basis'!$C$39,IF(G1353&lt;41,'General Basis'!$C$40,IF(G1353&lt;60,'General Basis'!$C$41,IF(G1353&lt;65,'General Basis'!$C$42,'General Basis'!$C$43)))),IF(G1353&lt;11,'General Basis'!$B$39,IF(G1353&lt;18,'General Basis'!$B$40,IF(G1353&lt;26,'General Basis'!$B$41,IF(G1353&lt;31,'General Basis'!$B$42,IF(G1353&lt;36,'General Basis'!$B$43,IF(G1353&lt;41,'General Basis'!$B$44,IF(G1353&lt;46,'General Basis'!$B$45,IF(G1353&lt;51,'General Basis'!$B$46,IF(G1353&lt;56,'General Basis'!$B$47,IF(G1353&lt;60,'General Basis'!$B$48,IF(G1353&lt;65,'General Basis'!$B$49,'General Basis'!$B$50)))))))))))))</f>
        <v/>
      </c>
      <c r="BI1353" s="744" t="str">
        <f t="shared" si="489"/>
        <v/>
      </c>
      <c r="BJ1353" s="747" t="str">
        <f t="shared" si="496"/>
        <v/>
      </c>
      <c r="BK1353" s="498" t="str">
        <f t="shared" si="490"/>
        <v/>
      </c>
      <c r="BL1353" s="498" t="str">
        <f t="shared" si="491"/>
        <v/>
      </c>
    </row>
    <row r="1354" spans="1:64" x14ac:dyDescent="0.25">
      <c r="A1354" s="762">
        <f t="shared" si="492"/>
        <v>1349</v>
      </c>
      <c r="B1354" s="229"/>
      <c r="C1354" s="223"/>
      <c r="D1354" s="224"/>
      <c r="E1354" s="225"/>
      <c r="F1354" s="1036" t="str">
        <f t="shared" si="476"/>
        <v/>
      </c>
      <c r="G1354" s="1037" t="str">
        <f t="shared" si="493"/>
        <v/>
      </c>
      <c r="H1354" s="225"/>
      <c r="I1354" s="1013"/>
      <c r="J1354" s="1013"/>
      <c r="K1354" s="1028"/>
      <c r="L1354" s="1035" t="str">
        <f t="shared" si="497"/>
        <v/>
      </c>
      <c r="S1354" s="498"/>
      <c r="AJ1354" s="498"/>
      <c r="AM1354" s="498">
        <f t="shared" si="478"/>
        <v>0</v>
      </c>
      <c r="AN1354" s="498">
        <f t="shared" si="479"/>
        <v>0</v>
      </c>
      <c r="AO1354" s="498">
        <f t="shared" si="480"/>
        <v>0</v>
      </c>
      <c r="AP1354" s="498">
        <f t="shared" si="477"/>
        <v>0</v>
      </c>
      <c r="AQ1354" s="498">
        <f t="shared" si="494"/>
        <v>0</v>
      </c>
      <c r="AU1354" s="498">
        <f t="shared" si="481"/>
        <v>0</v>
      </c>
      <c r="AV1354" s="498">
        <f t="shared" si="482"/>
        <v>0</v>
      </c>
      <c r="AW1354" s="498">
        <f t="shared" si="483"/>
        <v>0</v>
      </c>
      <c r="AX1354" s="498">
        <f t="shared" si="484"/>
        <v>0</v>
      </c>
      <c r="AY1354" s="498">
        <f t="shared" si="485"/>
        <v>0</v>
      </c>
      <c r="BB1354" s="498" t="str">
        <f t="shared" si="486"/>
        <v/>
      </c>
      <c r="BC1354" s="743" t="str">
        <f t="shared" si="487"/>
        <v/>
      </c>
      <c r="BD1354" s="743" t="str">
        <f t="shared" si="488"/>
        <v/>
      </c>
      <c r="BE1354" s="743" t="str">
        <f>IF(D1354="","",VLOOKUP(D1354,'General Basis'!$J$39:$K$46,2,0))</f>
        <v/>
      </c>
      <c r="BF1354" s="744" t="str">
        <f>IF(D1354="","",VLOOKUP(D1354,'General Basis'!$J$39:$L$46,3,0))</f>
        <v/>
      </c>
      <c r="BG1354" s="744" t="str">
        <f t="shared" si="495"/>
        <v/>
      </c>
      <c r="BH1354" s="744" t="str">
        <f>IF(G1354="","",IF(BF1354="Abu Dhabi",IF(G1354&lt;18,'General Basis'!$C$39,IF(G1354&lt;41,'General Basis'!$C$40,IF(G1354&lt;60,'General Basis'!$C$41,IF(G1354&lt;65,'General Basis'!$C$42,'General Basis'!$C$43)))),IF(G1354&lt;11,'General Basis'!$B$39,IF(G1354&lt;18,'General Basis'!$B$40,IF(G1354&lt;26,'General Basis'!$B$41,IF(G1354&lt;31,'General Basis'!$B$42,IF(G1354&lt;36,'General Basis'!$B$43,IF(G1354&lt;41,'General Basis'!$B$44,IF(G1354&lt;46,'General Basis'!$B$45,IF(G1354&lt;51,'General Basis'!$B$46,IF(G1354&lt;56,'General Basis'!$B$47,IF(G1354&lt;60,'General Basis'!$B$48,IF(G1354&lt;65,'General Basis'!$B$49,'General Basis'!$B$50)))))))))))))</f>
        <v/>
      </c>
      <c r="BI1354" s="744" t="str">
        <f t="shared" si="489"/>
        <v/>
      </c>
      <c r="BJ1354" s="747" t="str">
        <f t="shared" si="496"/>
        <v/>
      </c>
      <c r="BK1354" s="498" t="str">
        <f t="shared" si="490"/>
        <v/>
      </c>
      <c r="BL1354" s="498" t="str">
        <f t="shared" si="491"/>
        <v/>
      </c>
    </row>
    <row r="1355" spans="1:64" x14ac:dyDescent="0.25">
      <c r="A1355" s="762">
        <f t="shared" si="492"/>
        <v>1350</v>
      </c>
      <c r="B1355" s="229"/>
      <c r="C1355" s="223"/>
      <c r="D1355" s="224"/>
      <c r="E1355" s="225"/>
      <c r="F1355" s="1036" t="str">
        <f t="shared" si="476"/>
        <v/>
      </c>
      <c r="G1355" s="1037" t="str">
        <f t="shared" si="493"/>
        <v/>
      </c>
      <c r="H1355" s="225"/>
      <c r="I1355" s="1013"/>
      <c r="J1355" s="1013"/>
      <c r="K1355" s="1028"/>
      <c r="L1355" s="1035" t="str">
        <f t="shared" si="497"/>
        <v/>
      </c>
      <c r="S1355" s="498"/>
      <c r="AJ1355" s="498"/>
      <c r="AM1355" s="498">
        <f t="shared" si="478"/>
        <v>0</v>
      </c>
      <c r="AN1355" s="498">
        <f t="shared" si="479"/>
        <v>0</v>
      </c>
      <c r="AO1355" s="498">
        <f t="shared" si="480"/>
        <v>0</v>
      </c>
      <c r="AP1355" s="498">
        <f t="shared" si="477"/>
        <v>0</v>
      </c>
      <c r="AQ1355" s="498">
        <f t="shared" si="494"/>
        <v>0</v>
      </c>
      <c r="AU1355" s="498">
        <f t="shared" si="481"/>
        <v>0</v>
      </c>
      <c r="AV1355" s="498">
        <f t="shared" si="482"/>
        <v>0</v>
      </c>
      <c r="AW1355" s="498">
        <f t="shared" si="483"/>
        <v>0</v>
      </c>
      <c r="AX1355" s="498">
        <f t="shared" si="484"/>
        <v>0</v>
      </c>
      <c r="AY1355" s="498">
        <f t="shared" si="485"/>
        <v>0</v>
      </c>
      <c r="BB1355" s="498" t="str">
        <f t="shared" si="486"/>
        <v/>
      </c>
      <c r="BC1355" s="743" t="str">
        <f t="shared" si="487"/>
        <v/>
      </c>
      <c r="BD1355" s="743" t="str">
        <f t="shared" si="488"/>
        <v/>
      </c>
      <c r="BE1355" s="743" t="str">
        <f>IF(D1355="","",VLOOKUP(D1355,'General Basis'!$J$39:$K$46,2,0))</f>
        <v/>
      </c>
      <c r="BF1355" s="744" t="str">
        <f>IF(D1355="","",VLOOKUP(D1355,'General Basis'!$J$39:$L$46,3,0))</f>
        <v/>
      </c>
      <c r="BG1355" s="744" t="str">
        <f t="shared" si="495"/>
        <v/>
      </c>
      <c r="BH1355" s="744" t="str">
        <f>IF(G1355="","",IF(BF1355="Abu Dhabi",IF(G1355&lt;18,'General Basis'!$C$39,IF(G1355&lt;41,'General Basis'!$C$40,IF(G1355&lt;60,'General Basis'!$C$41,IF(G1355&lt;65,'General Basis'!$C$42,'General Basis'!$C$43)))),IF(G1355&lt;11,'General Basis'!$B$39,IF(G1355&lt;18,'General Basis'!$B$40,IF(G1355&lt;26,'General Basis'!$B$41,IF(G1355&lt;31,'General Basis'!$B$42,IF(G1355&lt;36,'General Basis'!$B$43,IF(G1355&lt;41,'General Basis'!$B$44,IF(G1355&lt;46,'General Basis'!$B$45,IF(G1355&lt;51,'General Basis'!$B$46,IF(G1355&lt;56,'General Basis'!$B$47,IF(G1355&lt;60,'General Basis'!$B$48,IF(G1355&lt;65,'General Basis'!$B$49,'General Basis'!$B$50)))))))))))))</f>
        <v/>
      </c>
      <c r="BI1355" s="744" t="str">
        <f t="shared" si="489"/>
        <v/>
      </c>
      <c r="BJ1355" s="747" t="str">
        <f t="shared" si="496"/>
        <v/>
      </c>
      <c r="BK1355" s="498" t="str">
        <f t="shared" si="490"/>
        <v/>
      </c>
      <c r="BL1355" s="498" t="str">
        <f t="shared" si="491"/>
        <v/>
      </c>
    </row>
    <row r="1356" spans="1:64" x14ac:dyDescent="0.25">
      <c r="A1356" s="762">
        <f t="shared" si="492"/>
        <v>1351</v>
      </c>
      <c r="B1356" s="229"/>
      <c r="C1356" s="223"/>
      <c r="D1356" s="224"/>
      <c r="E1356" s="225"/>
      <c r="F1356" s="1036" t="str">
        <f t="shared" si="476"/>
        <v/>
      </c>
      <c r="G1356" s="1037" t="str">
        <f t="shared" si="493"/>
        <v/>
      </c>
      <c r="H1356" s="225"/>
      <c r="I1356" s="1013"/>
      <c r="J1356" s="1013"/>
      <c r="K1356" s="1028"/>
      <c r="L1356" s="1035" t="str">
        <f t="shared" si="497"/>
        <v/>
      </c>
      <c r="S1356" s="498"/>
      <c r="AJ1356" s="498"/>
      <c r="AM1356" s="498">
        <f t="shared" si="478"/>
        <v>0</v>
      </c>
      <c r="AN1356" s="498">
        <f t="shared" si="479"/>
        <v>0</v>
      </c>
      <c r="AO1356" s="498">
        <f t="shared" si="480"/>
        <v>0</v>
      </c>
      <c r="AP1356" s="498">
        <f t="shared" si="477"/>
        <v>0</v>
      </c>
      <c r="AQ1356" s="498">
        <f t="shared" si="494"/>
        <v>0</v>
      </c>
      <c r="AU1356" s="498">
        <f t="shared" si="481"/>
        <v>0</v>
      </c>
      <c r="AV1356" s="498">
        <f t="shared" si="482"/>
        <v>0</v>
      </c>
      <c r="AW1356" s="498">
        <f t="shared" si="483"/>
        <v>0</v>
      </c>
      <c r="AX1356" s="498">
        <f t="shared" si="484"/>
        <v>0</v>
      </c>
      <c r="AY1356" s="498">
        <f t="shared" si="485"/>
        <v>0</v>
      </c>
      <c r="BB1356" s="498" t="str">
        <f t="shared" si="486"/>
        <v/>
      </c>
      <c r="BC1356" s="743" t="str">
        <f t="shared" si="487"/>
        <v/>
      </c>
      <c r="BD1356" s="743" t="str">
        <f t="shared" si="488"/>
        <v/>
      </c>
      <c r="BE1356" s="743" t="str">
        <f>IF(D1356="","",VLOOKUP(D1356,'General Basis'!$J$39:$K$46,2,0))</f>
        <v/>
      </c>
      <c r="BF1356" s="744" t="str">
        <f>IF(D1356="","",VLOOKUP(D1356,'General Basis'!$J$39:$L$46,3,0))</f>
        <v/>
      </c>
      <c r="BG1356" s="744" t="str">
        <f t="shared" si="495"/>
        <v/>
      </c>
      <c r="BH1356" s="744" t="str">
        <f>IF(G1356="","",IF(BF1356="Abu Dhabi",IF(G1356&lt;18,'General Basis'!$C$39,IF(G1356&lt;41,'General Basis'!$C$40,IF(G1356&lt;60,'General Basis'!$C$41,IF(G1356&lt;65,'General Basis'!$C$42,'General Basis'!$C$43)))),IF(G1356&lt;11,'General Basis'!$B$39,IF(G1356&lt;18,'General Basis'!$B$40,IF(G1356&lt;26,'General Basis'!$B$41,IF(G1356&lt;31,'General Basis'!$B$42,IF(G1356&lt;36,'General Basis'!$B$43,IF(G1356&lt;41,'General Basis'!$B$44,IF(G1356&lt;46,'General Basis'!$B$45,IF(G1356&lt;51,'General Basis'!$B$46,IF(G1356&lt;56,'General Basis'!$B$47,IF(G1356&lt;60,'General Basis'!$B$48,IF(G1356&lt;65,'General Basis'!$B$49,'General Basis'!$B$50)))))))))))))</f>
        <v/>
      </c>
      <c r="BI1356" s="744" t="str">
        <f t="shared" si="489"/>
        <v/>
      </c>
      <c r="BJ1356" s="747" t="str">
        <f t="shared" si="496"/>
        <v/>
      </c>
      <c r="BK1356" s="498" t="str">
        <f t="shared" si="490"/>
        <v/>
      </c>
      <c r="BL1356" s="498" t="str">
        <f t="shared" si="491"/>
        <v/>
      </c>
    </row>
    <row r="1357" spans="1:64" x14ac:dyDescent="0.25">
      <c r="A1357" s="762">
        <f t="shared" si="492"/>
        <v>1352</v>
      </c>
      <c r="B1357" s="229"/>
      <c r="C1357" s="223"/>
      <c r="D1357" s="224"/>
      <c r="E1357" s="225"/>
      <c r="F1357" s="1036" t="str">
        <f t="shared" si="476"/>
        <v/>
      </c>
      <c r="G1357" s="1037" t="str">
        <f t="shared" si="493"/>
        <v/>
      </c>
      <c r="H1357" s="225"/>
      <c r="I1357" s="1013"/>
      <c r="J1357" s="1013"/>
      <c r="K1357" s="1028"/>
      <c r="L1357" s="1035" t="str">
        <f t="shared" si="497"/>
        <v/>
      </c>
      <c r="S1357" s="498"/>
      <c r="AJ1357" s="498"/>
      <c r="AM1357" s="498">
        <f t="shared" si="478"/>
        <v>0</v>
      </c>
      <c r="AN1357" s="498">
        <f t="shared" si="479"/>
        <v>0</v>
      </c>
      <c r="AO1357" s="498">
        <f t="shared" si="480"/>
        <v>0</v>
      </c>
      <c r="AP1357" s="498">
        <f t="shared" si="477"/>
        <v>0</v>
      </c>
      <c r="AQ1357" s="498">
        <f t="shared" si="494"/>
        <v>0</v>
      </c>
      <c r="AU1357" s="498">
        <f t="shared" si="481"/>
        <v>0</v>
      </c>
      <c r="AV1357" s="498">
        <f t="shared" si="482"/>
        <v>0</v>
      </c>
      <c r="AW1357" s="498">
        <f t="shared" si="483"/>
        <v>0</v>
      </c>
      <c r="AX1357" s="498">
        <f t="shared" si="484"/>
        <v>0</v>
      </c>
      <c r="AY1357" s="498">
        <f t="shared" si="485"/>
        <v>0</v>
      </c>
      <c r="BB1357" s="498" t="str">
        <f t="shared" si="486"/>
        <v/>
      </c>
      <c r="BC1357" s="743" t="str">
        <f t="shared" si="487"/>
        <v/>
      </c>
      <c r="BD1357" s="743" t="str">
        <f t="shared" si="488"/>
        <v/>
      </c>
      <c r="BE1357" s="743" t="str">
        <f>IF(D1357="","",VLOOKUP(D1357,'General Basis'!$J$39:$K$46,2,0))</f>
        <v/>
      </c>
      <c r="BF1357" s="744" t="str">
        <f>IF(D1357="","",VLOOKUP(D1357,'General Basis'!$J$39:$L$46,3,0))</f>
        <v/>
      </c>
      <c r="BG1357" s="744" t="str">
        <f t="shared" si="495"/>
        <v/>
      </c>
      <c r="BH1357" s="744" t="str">
        <f>IF(G1357="","",IF(BF1357="Abu Dhabi",IF(G1357&lt;18,'General Basis'!$C$39,IF(G1357&lt;41,'General Basis'!$C$40,IF(G1357&lt;60,'General Basis'!$C$41,IF(G1357&lt;65,'General Basis'!$C$42,'General Basis'!$C$43)))),IF(G1357&lt;11,'General Basis'!$B$39,IF(G1357&lt;18,'General Basis'!$B$40,IF(G1357&lt;26,'General Basis'!$B$41,IF(G1357&lt;31,'General Basis'!$B$42,IF(G1357&lt;36,'General Basis'!$B$43,IF(G1357&lt;41,'General Basis'!$B$44,IF(G1357&lt;46,'General Basis'!$B$45,IF(G1357&lt;51,'General Basis'!$B$46,IF(G1357&lt;56,'General Basis'!$B$47,IF(G1357&lt;60,'General Basis'!$B$48,IF(G1357&lt;65,'General Basis'!$B$49,'General Basis'!$B$50)))))))))))))</f>
        <v/>
      </c>
      <c r="BI1357" s="744" t="str">
        <f t="shared" si="489"/>
        <v/>
      </c>
      <c r="BJ1357" s="747" t="str">
        <f t="shared" si="496"/>
        <v/>
      </c>
      <c r="BK1357" s="498" t="str">
        <f t="shared" si="490"/>
        <v/>
      </c>
      <c r="BL1357" s="498" t="str">
        <f t="shared" si="491"/>
        <v/>
      </c>
    </row>
    <row r="1358" spans="1:64" x14ac:dyDescent="0.25">
      <c r="A1358" s="762">
        <f t="shared" si="492"/>
        <v>1353</v>
      </c>
      <c r="B1358" s="229"/>
      <c r="C1358" s="223"/>
      <c r="D1358" s="224"/>
      <c r="E1358" s="225"/>
      <c r="F1358" s="1036" t="str">
        <f t="shared" si="476"/>
        <v/>
      </c>
      <c r="G1358" s="1037" t="str">
        <f t="shared" si="493"/>
        <v/>
      </c>
      <c r="H1358" s="225"/>
      <c r="I1358" s="1013"/>
      <c r="J1358" s="1013"/>
      <c r="K1358" s="1028"/>
      <c r="L1358" s="1035" t="str">
        <f t="shared" si="497"/>
        <v/>
      </c>
      <c r="S1358" s="498"/>
      <c r="AJ1358" s="498"/>
      <c r="AM1358" s="498">
        <f t="shared" si="478"/>
        <v>0</v>
      </c>
      <c r="AN1358" s="498">
        <f t="shared" si="479"/>
        <v>0</v>
      </c>
      <c r="AO1358" s="498">
        <f t="shared" si="480"/>
        <v>0</v>
      </c>
      <c r="AP1358" s="498">
        <f t="shared" si="477"/>
        <v>0</v>
      </c>
      <c r="AQ1358" s="498">
        <f t="shared" si="494"/>
        <v>0</v>
      </c>
      <c r="AU1358" s="498">
        <f t="shared" si="481"/>
        <v>0</v>
      </c>
      <c r="AV1358" s="498">
        <f t="shared" si="482"/>
        <v>0</v>
      </c>
      <c r="AW1358" s="498">
        <f t="shared" si="483"/>
        <v>0</v>
      </c>
      <c r="AX1358" s="498">
        <f t="shared" si="484"/>
        <v>0</v>
      </c>
      <c r="AY1358" s="498">
        <f t="shared" si="485"/>
        <v>0</v>
      </c>
      <c r="BB1358" s="498" t="str">
        <f t="shared" si="486"/>
        <v/>
      </c>
      <c r="BC1358" s="743" t="str">
        <f t="shared" si="487"/>
        <v/>
      </c>
      <c r="BD1358" s="743" t="str">
        <f t="shared" si="488"/>
        <v/>
      </c>
      <c r="BE1358" s="743" t="str">
        <f>IF(D1358="","",VLOOKUP(D1358,'General Basis'!$J$39:$K$46,2,0))</f>
        <v/>
      </c>
      <c r="BF1358" s="744" t="str">
        <f>IF(D1358="","",VLOOKUP(D1358,'General Basis'!$J$39:$L$46,3,0))</f>
        <v/>
      </c>
      <c r="BG1358" s="744" t="str">
        <f t="shared" si="495"/>
        <v/>
      </c>
      <c r="BH1358" s="744" t="str">
        <f>IF(G1358="","",IF(BF1358="Abu Dhabi",IF(G1358&lt;18,'General Basis'!$C$39,IF(G1358&lt;41,'General Basis'!$C$40,IF(G1358&lt;60,'General Basis'!$C$41,IF(G1358&lt;65,'General Basis'!$C$42,'General Basis'!$C$43)))),IF(G1358&lt;11,'General Basis'!$B$39,IF(G1358&lt;18,'General Basis'!$B$40,IF(G1358&lt;26,'General Basis'!$B$41,IF(G1358&lt;31,'General Basis'!$B$42,IF(G1358&lt;36,'General Basis'!$B$43,IF(G1358&lt;41,'General Basis'!$B$44,IF(G1358&lt;46,'General Basis'!$B$45,IF(G1358&lt;51,'General Basis'!$B$46,IF(G1358&lt;56,'General Basis'!$B$47,IF(G1358&lt;60,'General Basis'!$B$48,IF(G1358&lt;65,'General Basis'!$B$49,'General Basis'!$B$50)))))))))))))</f>
        <v/>
      </c>
      <c r="BI1358" s="744" t="str">
        <f t="shared" si="489"/>
        <v/>
      </c>
      <c r="BJ1358" s="747" t="str">
        <f t="shared" si="496"/>
        <v/>
      </c>
      <c r="BK1358" s="498" t="str">
        <f t="shared" si="490"/>
        <v/>
      </c>
      <c r="BL1358" s="498" t="str">
        <f t="shared" si="491"/>
        <v/>
      </c>
    </row>
    <row r="1359" spans="1:64" x14ac:dyDescent="0.25">
      <c r="A1359" s="762">
        <f t="shared" si="492"/>
        <v>1354</v>
      </c>
      <c r="B1359" s="229"/>
      <c r="C1359" s="223"/>
      <c r="D1359" s="224"/>
      <c r="E1359" s="225"/>
      <c r="F1359" s="1036" t="str">
        <f t="shared" si="476"/>
        <v/>
      </c>
      <c r="G1359" s="1037" t="str">
        <f t="shared" si="493"/>
        <v/>
      </c>
      <c r="H1359" s="225"/>
      <c r="I1359" s="1013"/>
      <c r="J1359" s="1013"/>
      <c r="K1359" s="1028"/>
      <c r="L1359" s="1035" t="str">
        <f t="shared" si="497"/>
        <v/>
      </c>
      <c r="S1359" s="498"/>
      <c r="AJ1359" s="498"/>
      <c r="AM1359" s="498">
        <f t="shared" si="478"/>
        <v>0</v>
      </c>
      <c r="AN1359" s="498">
        <f t="shared" si="479"/>
        <v>0</v>
      </c>
      <c r="AO1359" s="498">
        <f t="shared" si="480"/>
        <v>0</v>
      </c>
      <c r="AP1359" s="498">
        <f t="shared" si="477"/>
        <v>0</v>
      </c>
      <c r="AQ1359" s="498">
        <f t="shared" si="494"/>
        <v>0</v>
      </c>
      <c r="AU1359" s="498">
        <f t="shared" si="481"/>
        <v>0</v>
      </c>
      <c r="AV1359" s="498">
        <f t="shared" si="482"/>
        <v>0</v>
      </c>
      <c r="AW1359" s="498">
        <f t="shared" si="483"/>
        <v>0</v>
      </c>
      <c r="AX1359" s="498">
        <f t="shared" si="484"/>
        <v>0</v>
      </c>
      <c r="AY1359" s="498">
        <f t="shared" si="485"/>
        <v>0</v>
      </c>
      <c r="BB1359" s="498" t="str">
        <f t="shared" si="486"/>
        <v/>
      </c>
      <c r="BC1359" s="743" t="str">
        <f t="shared" si="487"/>
        <v/>
      </c>
      <c r="BD1359" s="743" t="str">
        <f t="shared" si="488"/>
        <v/>
      </c>
      <c r="BE1359" s="743" t="str">
        <f>IF(D1359="","",VLOOKUP(D1359,'General Basis'!$J$39:$K$46,2,0))</f>
        <v/>
      </c>
      <c r="BF1359" s="744" t="str">
        <f>IF(D1359="","",VLOOKUP(D1359,'General Basis'!$J$39:$L$46,3,0))</f>
        <v/>
      </c>
      <c r="BG1359" s="744" t="str">
        <f t="shared" si="495"/>
        <v/>
      </c>
      <c r="BH1359" s="744" t="str">
        <f>IF(G1359="","",IF(BF1359="Abu Dhabi",IF(G1359&lt;18,'General Basis'!$C$39,IF(G1359&lt;41,'General Basis'!$C$40,IF(G1359&lt;60,'General Basis'!$C$41,IF(G1359&lt;65,'General Basis'!$C$42,'General Basis'!$C$43)))),IF(G1359&lt;11,'General Basis'!$B$39,IF(G1359&lt;18,'General Basis'!$B$40,IF(G1359&lt;26,'General Basis'!$B$41,IF(G1359&lt;31,'General Basis'!$B$42,IF(G1359&lt;36,'General Basis'!$B$43,IF(G1359&lt;41,'General Basis'!$B$44,IF(G1359&lt;46,'General Basis'!$B$45,IF(G1359&lt;51,'General Basis'!$B$46,IF(G1359&lt;56,'General Basis'!$B$47,IF(G1359&lt;60,'General Basis'!$B$48,IF(G1359&lt;65,'General Basis'!$B$49,'General Basis'!$B$50)))))))))))))</f>
        <v/>
      </c>
      <c r="BI1359" s="744" t="str">
        <f t="shared" si="489"/>
        <v/>
      </c>
      <c r="BJ1359" s="747" t="str">
        <f t="shared" si="496"/>
        <v/>
      </c>
      <c r="BK1359" s="498" t="str">
        <f t="shared" si="490"/>
        <v/>
      </c>
      <c r="BL1359" s="498" t="str">
        <f t="shared" si="491"/>
        <v/>
      </c>
    </row>
    <row r="1360" spans="1:64" x14ac:dyDescent="0.25">
      <c r="A1360" s="762">
        <f t="shared" si="492"/>
        <v>1355</v>
      </c>
      <c r="B1360" s="229"/>
      <c r="C1360" s="223"/>
      <c r="D1360" s="224"/>
      <c r="E1360" s="225"/>
      <c r="F1360" s="1036" t="str">
        <f t="shared" ref="F1360:F1423" si="498">IF(C1360="","",IF($B1360="","",((YEAR($F$3)-YEAR($B1360))+(MONTH($F$3)-MONTH($B1360))/12+(DAY($F$3)-DAY($B1360))/(DATE(YEAR($F$3),12,31)-DATE(YEAR($F$3),1,1)+1))))</f>
        <v/>
      </c>
      <c r="G1360" s="1037" t="str">
        <f t="shared" si="493"/>
        <v/>
      </c>
      <c r="H1360" s="225"/>
      <c r="I1360" s="1013"/>
      <c r="J1360" s="1013"/>
      <c r="K1360" s="1028"/>
      <c r="L1360" s="1035" t="str">
        <f t="shared" si="497"/>
        <v/>
      </c>
      <c r="S1360" s="498"/>
      <c r="AJ1360" s="498"/>
      <c r="AM1360" s="498">
        <f t="shared" si="478"/>
        <v>0</v>
      </c>
      <c r="AN1360" s="498">
        <f t="shared" si="479"/>
        <v>0</v>
      </c>
      <c r="AO1360" s="498">
        <f t="shared" si="480"/>
        <v>0</v>
      </c>
      <c r="AP1360" s="498">
        <f t="shared" si="477"/>
        <v>0</v>
      </c>
      <c r="AQ1360" s="498">
        <f t="shared" si="494"/>
        <v>0</v>
      </c>
      <c r="AU1360" s="498">
        <f t="shared" si="481"/>
        <v>0</v>
      </c>
      <c r="AV1360" s="498">
        <f t="shared" si="482"/>
        <v>0</v>
      </c>
      <c r="AW1360" s="498">
        <f t="shared" si="483"/>
        <v>0</v>
      </c>
      <c r="AX1360" s="498">
        <f t="shared" si="484"/>
        <v>0</v>
      </c>
      <c r="AY1360" s="498">
        <f t="shared" si="485"/>
        <v>0</v>
      </c>
      <c r="BB1360" s="498" t="str">
        <f t="shared" si="486"/>
        <v/>
      </c>
      <c r="BC1360" s="743" t="str">
        <f t="shared" si="487"/>
        <v/>
      </c>
      <c r="BD1360" s="743" t="str">
        <f t="shared" si="488"/>
        <v/>
      </c>
      <c r="BE1360" s="743" t="str">
        <f>IF(D1360="","",VLOOKUP(D1360,'General Basis'!$J$39:$K$46,2,0))</f>
        <v/>
      </c>
      <c r="BF1360" s="744" t="str">
        <f>IF(D1360="","",VLOOKUP(D1360,'General Basis'!$J$39:$L$46,3,0))</f>
        <v/>
      </c>
      <c r="BG1360" s="744" t="str">
        <f t="shared" si="495"/>
        <v/>
      </c>
      <c r="BH1360" s="744" t="str">
        <f>IF(G1360="","",IF(BF1360="Abu Dhabi",IF(G1360&lt;18,'General Basis'!$C$39,IF(G1360&lt;41,'General Basis'!$C$40,IF(G1360&lt;60,'General Basis'!$C$41,IF(G1360&lt;65,'General Basis'!$C$42,'General Basis'!$C$43)))),IF(G1360&lt;11,'General Basis'!$B$39,IF(G1360&lt;18,'General Basis'!$B$40,IF(G1360&lt;26,'General Basis'!$B$41,IF(G1360&lt;31,'General Basis'!$B$42,IF(G1360&lt;36,'General Basis'!$B$43,IF(G1360&lt;41,'General Basis'!$B$44,IF(G1360&lt;46,'General Basis'!$B$45,IF(G1360&lt;51,'General Basis'!$B$46,IF(G1360&lt;56,'General Basis'!$B$47,IF(G1360&lt;60,'General Basis'!$B$48,IF(G1360&lt;65,'General Basis'!$B$49,'General Basis'!$B$50)))))))))))))</f>
        <v/>
      </c>
      <c r="BI1360" s="744" t="str">
        <f t="shared" si="489"/>
        <v/>
      </c>
      <c r="BJ1360" s="747" t="str">
        <f t="shared" si="496"/>
        <v/>
      </c>
      <c r="BK1360" s="498" t="str">
        <f t="shared" si="490"/>
        <v/>
      </c>
      <c r="BL1360" s="498" t="str">
        <f t="shared" si="491"/>
        <v/>
      </c>
    </row>
    <row r="1361" spans="1:64" x14ac:dyDescent="0.25">
      <c r="A1361" s="762">
        <f t="shared" si="492"/>
        <v>1356</v>
      </c>
      <c r="B1361" s="229"/>
      <c r="C1361" s="223"/>
      <c r="D1361" s="224"/>
      <c r="E1361" s="225"/>
      <c r="F1361" s="1036" t="str">
        <f t="shared" si="498"/>
        <v/>
      </c>
      <c r="G1361" s="1037" t="str">
        <f t="shared" si="493"/>
        <v/>
      </c>
      <c r="H1361" s="225"/>
      <c r="I1361" s="1013"/>
      <c r="J1361" s="1013"/>
      <c r="K1361" s="1028"/>
      <c r="L1361" s="1035" t="str">
        <f t="shared" si="497"/>
        <v/>
      </c>
      <c r="S1361" s="498"/>
      <c r="AJ1361" s="498"/>
      <c r="AM1361" s="498">
        <f t="shared" si="478"/>
        <v>0</v>
      </c>
      <c r="AN1361" s="498">
        <f t="shared" si="479"/>
        <v>0</v>
      </c>
      <c r="AO1361" s="498">
        <f t="shared" si="480"/>
        <v>0</v>
      </c>
      <c r="AP1361" s="498">
        <f t="shared" si="477"/>
        <v>0</v>
      </c>
      <c r="AQ1361" s="498">
        <f t="shared" si="494"/>
        <v>0</v>
      </c>
      <c r="AU1361" s="498">
        <f t="shared" si="481"/>
        <v>0</v>
      </c>
      <c r="AV1361" s="498">
        <f t="shared" si="482"/>
        <v>0</v>
      </c>
      <c r="AW1361" s="498">
        <f t="shared" si="483"/>
        <v>0</v>
      </c>
      <c r="AX1361" s="498">
        <f t="shared" si="484"/>
        <v>0</v>
      </c>
      <c r="AY1361" s="498">
        <f t="shared" si="485"/>
        <v>0</v>
      </c>
      <c r="BB1361" s="498" t="str">
        <f t="shared" si="486"/>
        <v/>
      </c>
      <c r="BC1361" s="743" t="str">
        <f t="shared" si="487"/>
        <v/>
      </c>
      <c r="BD1361" s="743" t="str">
        <f t="shared" si="488"/>
        <v/>
      </c>
      <c r="BE1361" s="743" t="str">
        <f>IF(D1361="","",VLOOKUP(D1361,'General Basis'!$J$39:$K$46,2,0))</f>
        <v/>
      </c>
      <c r="BF1361" s="744" t="str">
        <f>IF(D1361="","",VLOOKUP(D1361,'General Basis'!$J$39:$L$46,3,0))</f>
        <v/>
      </c>
      <c r="BG1361" s="744" t="str">
        <f t="shared" si="495"/>
        <v/>
      </c>
      <c r="BH1361" s="744" t="str">
        <f>IF(G1361="","",IF(BF1361="Abu Dhabi",IF(G1361&lt;18,'General Basis'!$C$39,IF(G1361&lt;41,'General Basis'!$C$40,IF(G1361&lt;60,'General Basis'!$C$41,IF(G1361&lt;65,'General Basis'!$C$42,'General Basis'!$C$43)))),IF(G1361&lt;11,'General Basis'!$B$39,IF(G1361&lt;18,'General Basis'!$B$40,IF(G1361&lt;26,'General Basis'!$B$41,IF(G1361&lt;31,'General Basis'!$B$42,IF(G1361&lt;36,'General Basis'!$B$43,IF(G1361&lt;41,'General Basis'!$B$44,IF(G1361&lt;46,'General Basis'!$B$45,IF(G1361&lt;51,'General Basis'!$B$46,IF(G1361&lt;56,'General Basis'!$B$47,IF(G1361&lt;60,'General Basis'!$B$48,IF(G1361&lt;65,'General Basis'!$B$49,'General Basis'!$B$50)))))))))))))</f>
        <v/>
      </c>
      <c r="BI1361" s="744" t="str">
        <f t="shared" si="489"/>
        <v/>
      </c>
      <c r="BJ1361" s="747" t="str">
        <f t="shared" si="496"/>
        <v/>
      </c>
      <c r="BK1361" s="498" t="str">
        <f t="shared" si="490"/>
        <v/>
      </c>
      <c r="BL1361" s="498" t="str">
        <f t="shared" si="491"/>
        <v/>
      </c>
    </row>
    <row r="1362" spans="1:64" x14ac:dyDescent="0.25">
      <c r="A1362" s="762">
        <f t="shared" si="492"/>
        <v>1357</v>
      </c>
      <c r="B1362" s="229"/>
      <c r="C1362" s="223"/>
      <c r="D1362" s="224"/>
      <c r="E1362" s="225"/>
      <c r="F1362" s="1036" t="str">
        <f t="shared" si="498"/>
        <v/>
      </c>
      <c r="G1362" s="1037" t="str">
        <f t="shared" si="493"/>
        <v/>
      </c>
      <c r="H1362" s="225"/>
      <c r="I1362" s="1013"/>
      <c r="J1362" s="1013"/>
      <c r="K1362" s="1028"/>
      <c r="L1362" s="1035" t="str">
        <f t="shared" si="497"/>
        <v/>
      </c>
      <c r="S1362" s="498"/>
      <c r="AJ1362" s="498"/>
      <c r="AM1362" s="498">
        <f t="shared" si="478"/>
        <v>0</v>
      </c>
      <c r="AN1362" s="498">
        <f t="shared" si="479"/>
        <v>0</v>
      </c>
      <c r="AO1362" s="498">
        <f t="shared" si="480"/>
        <v>0</v>
      </c>
      <c r="AP1362" s="498">
        <f t="shared" si="477"/>
        <v>0</v>
      </c>
      <c r="AQ1362" s="498">
        <f t="shared" si="494"/>
        <v>0</v>
      </c>
      <c r="AU1362" s="498">
        <f t="shared" si="481"/>
        <v>0</v>
      </c>
      <c r="AV1362" s="498">
        <f t="shared" si="482"/>
        <v>0</v>
      </c>
      <c r="AW1362" s="498">
        <f t="shared" si="483"/>
        <v>0</v>
      </c>
      <c r="AX1362" s="498">
        <f t="shared" si="484"/>
        <v>0</v>
      </c>
      <c r="AY1362" s="498">
        <f t="shared" si="485"/>
        <v>0</v>
      </c>
      <c r="BB1362" s="498" t="str">
        <f t="shared" si="486"/>
        <v/>
      </c>
      <c r="BC1362" s="743" t="str">
        <f t="shared" si="487"/>
        <v/>
      </c>
      <c r="BD1362" s="743" t="str">
        <f t="shared" si="488"/>
        <v/>
      </c>
      <c r="BE1362" s="743" t="str">
        <f>IF(D1362="","",VLOOKUP(D1362,'General Basis'!$J$39:$K$46,2,0))</f>
        <v/>
      </c>
      <c r="BF1362" s="744" t="str">
        <f>IF(D1362="","",VLOOKUP(D1362,'General Basis'!$J$39:$L$46,3,0))</f>
        <v/>
      </c>
      <c r="BG1362" s="744" t="str">
        <f t="shared" si="495"/>
        <v/>
      </c>
      <c r="BH1362" s="744" t="str">
        <f>IF(G1362="","",IF(BF1362="Abu Dhabi",IF(G1362&lt;18,'General Basis'!$C$39,IF(G1362&lt;41,'General Basis'!$C$40,IF(G1362&lt;60,'General Basis'!$C$41,IF(G1362&lt;65,'General Basis'!$C$42,'General Basis'!$C$43)))),IF(G1362&lt;11,'General Basis'!$B$39,IF(G1362&lt;18,'General Basis'!$B$40,IF(G1362&lt;26,'General Basis'!$B$41,IF(G1362&lt;31,'General Basis'!$B$42,IF(G1362&lt;36,'General Basis'!$B$43,IF(G1362&lt;41,'General Basis'!$B$44,IF(G1362&lt;46,'General Basis'!$B$45,IF(G1362&lt;51,'General Basis'!$B$46,IF(G1362&lt;56,'General Basis'!$B$47,IF(G1362&lt;60,'General Basis'!$B$48,IF(G1362&lt;65,'General Basis'!$B$49,'General Basis'!$B$50)))))))))))))</f>
        <v/>
      </c>
      <c r="BI1362" s="744" t="str">
        <f t="shared" si="489"/>
        <v/>
      </c>
      <c r="BJ1362" s="747" t="str">
        <f t="shared" si="496"/>
        <v/>
      </c>
      <c r="BK1362" s="498" t="str">
        <f t="shared" si="490"/>
        <v/>
      </c>
      <c r="BL1362" s="498" t="str">
        <f t="shared" si="491"/>
        <v/>
      </c>
    </row>
    <row r="1363" spans="1:64" x14ac:dyDescent="0.25">
      <c r="A1363" s="762">
        <f t="shared" si="492"/>
        <v>1358</v>
      </c>
      <c r="B1363" s="229"/>
      <c r="C1363" s="223"/>
      <c r="D1363" s="224"/>
      <c r="E1363" s="225"/>
      <c r="F1363" s="1036" t="str">
        <f t="shared" si="498"/>
        <v/>
      </c>
      <c r="G1363" s="1037" t="str">
        <f t="shared" si="493"/>
        <v/>
      </c>
      <c r="H1363" s="225"/>
      <c r="I1363" s="1013"/>
      <c r="J1363" s="1013"/>
      <c r="K1363" s="1028"/>
      <c r="L1363" s="1035" t="str">
        <f t="shared" si="497"/>
        <v/>
      </c>
      <c r="S1363" s="498"/>
      <c r="AJ1363" s="498"/>
      <c r="AM1363" s="498">
        <f t="shared" si="478"/>
        <v>0</v>
      </c>
      <c r="AN1363" s="498">
        <f t="shared" si="479"/>
        <v>0</v>
      </c>
      <c r="AO1363" s="498">
        <f t="shared" si="480"/>
        <v>0</v>
      </c>
      <c r="AP1363" s="498">
        <f t="shared" ref="AP1363:AP1426" si="499">IF(ISBLANK($B1363),0,IF(OR($C1363="M",$C1363="F"),0,1))</f>
        <v>0</v>
      </c>
      <c r="AQ1363" s="498">
        <f t="shared" si="494"/>
        <v>0</v>
      </c>
      <c r="AU1363" s="498">
        <f t="shared" si="481"/>
        <v>0</v>
      </c>
      <c r="AV1363" s="498">
        <f t="shared" si="482"/>
        <v>0</v>
      </c>
      <c r="AW1363" s="498">
        <f t="shared" si="483"/>
        <v>0</v>
      </c>
      <c r="AX1363" s="498">
        <f t="shared" si="484"/>
        <v>0</v>
      </c>
      <c r="AY1363" s="498">
        <f t="shared" si="485"/>
        <v>0</v>
      </c>
      <c r="BB1363" s="498" t="str">
        <f t="shared" si="486"/>
        <v/>
      </c>
      <c r="BC1363" s="743" t="str">
        <f t="shared" si="487"/>
        <v/>
      </c>
      <c r="BD1363" s="743" t="str">
        <f t="shared" si="488"/>
        <v/>
      </c>
      <c r="BE1363" s="743" t="str">
        <f>IF(D1363="","",VLOOKUP(D1363,'General Basis'!$J$39:$K$46,2,0))</f>
        <v/>
      </c>
      <c r="BF1363" s="744" t="str">
        <f>IF(D1363="","",VLOOKUP(D1363,'General Basis'!$J$39:$L$46,3,0))</f>
        <v/>
      </c>
      <c r="BG1363" s="744" t="str">
        <f t="shared" si="495"/>
        <v/>
      </c>
      <c r="BH1363" s="744" t="str">
        <f>IF(G1363="","",IF(BF1363="Abu Dhabi",IF(G1363&lt;18,'General Basis'!$C$39,IF(G1363&lt;41,'General Basis'!$C$40,IF(G1363&lt;60,'General Basis'!$C$41,IF(G1363&lt;65,'General Basis'!$C$42,'General Basis'!$C$43)))),IF(G1363&lt;11,'General Basis'!$B$39,IF(G1363&lt;18,'General Basis'!$B$40,IF(G1363&lt;26,'General Basis'!$B$41,IF(G1363&lt;31,'General Basis'!$B$42,IF(G1363&lt;36,'General Basis'!$B$43,IF(G1363&lt;41,'General Basis'!$B$44,IF(G1363&lt;46,'General Basis'!$B$45,IF(G1363&lt;51,'General Basis'!$B$46,IF(G1363&lt;56,'General Basis'!$B$47,IF(G1363&lt;60,'General Basis'!$B$48,IF(G1363&lt;65,'General Basis'!$B$49,'General Basis'!$B$50)))))))))))))</f>
        <v/>
      </c>
      <c r="BI1363" s="744" t="str">
        <f t="shared" si="489"/>
        <v/>
      </c>
      <c r="BJ1363" s="747" t="str">
        <f t="shared" si="496"/>
        <v/>
      </c>
      <c r="BK1363" s="498" t="str">
        <f t="shared" si="490"/>
        <v/>
      </c>
      <c r="BL1363" s="498" t="str">
        <f t="shared" si="491"/>
        <v/>
      </c>
    </row>
    <row r="1364" spans="1:64" x14ac:dyDescent="0.25">
      <c r="A1364" s="762">
        <f t="shared" si="492"/>
        <v>1359</v>
      </c>
      <c r="B1364" s="229"/>
      <c r="C1364" s="223"/>
      <c r="D1364" s="224"/>
      <c r="E1364" s="225"/>
      <c r="F1364" s="1036" t="str">
        <f t="shared" si="498"/>
        <v/>
      </c>
      <c r="G1364" s="1037" t="str">
        <f t="shared" si="493"/>
        <v/>
      </c>
      <c r="H1364" s="225"/>
      <c r="I1364" s="1013"/>
      <c r="J1364" s="1013"/>
      <c r="K1364" s="1028"/>
      <c r="L1364" s="1035" t="str">
        <f t="shared" si="497"/>
        <v/>
      </c>
      <c r="S1364" s="498"/>
      <c r="AJ1364" s="498"/>
      <c r="AM1364" s="498">
        <f t="shared" si="478"/>
        <v>0</v>
      </c>
      <c r="AN1364" s="498">
        <f t="shared" si="479"/>
        <v>0</v>
      </c>
      <c r="AO1364" s="498">
        <f t="shared" si="480"/>
        <v>0</v>
      </c>
      <c r="AP1364" s="498">
        <f t="shared" si="499"/>
        <v>0</v>
      </c>
      <c r="AQ1364" s="498">
        <f t="shared" si="494"/>
        <v>0</v>
      </c>
      <c r="AU1364" s="498">
        <f t="shared" si="481"/>
        <v>0</v>
      </c>
      <c r="AV1364" s="498">
        <f t="shared" si="482"/>
        <v>0</v>
      </c>
      <c r="AW1364" s="498">
        <f t="shared" si="483"/>
        <v>0</v>
      </c>
      <c r="AX1364" s="498">
        <f t="shared" si="484"/>
        <v>0</v>
      </c>
      <c r="AY1364" s="498">
        <f t="shared" si="485"/>
        <v>0</v>
      </c>
      <c r="BB1364" s="498" t="str">
        <f t="shared" si="486"/>
        <v/>
      </c>
      <c r="BC1364" s="743" t="str">
        <f t="shared" si="487"/>
        <v/>
      </c>
      <c r="BD1364" s="743" t="str">
        <f t="shared" si="488"/>
        <v/>
      </c>
      <c r="BE1364" s="743" t="str">
        <f>IF(D1364="","",VLOOKUP(D1364,'General Basis'!$J$39:$K$46,2,0))</f>
        <v/>
      </c>
      <c r="BF1364" s="744" t="str">
        <f>IF(D1364="","",VLOOKUP(D1364,'General Basis'!$J$39:$L$46,3,0))</f>
        <v/>
      </c>
      <c r="BG1364" s="744" t="str">
        <f t="shared" si="495"/>
        <v/>
      </c>
      <c r="BH1364" s="744" t="str">
        <f>IF(G1364="","",IF(BF1364="Abu Dhabi",IF(G1364&lt;18,'General Basis'!$C$39,IF(G1364&lt;41,'General Basis'!$C$40,IF(G1364&lt;60,'General Basis'!$C$41,IF(G1364&lt;65,'General Basis'!$C$42,'General Basis'!$C$43)))),IF(G1364&lt;11,'General Basis'!$B$39,IF(G1364&lt;18,'General Basis'!$B$40,IF(G1364&lt;26,'General Basis'!$B$41,IF(G1364&lt;31,'General Basis'!$B$42,IF(G1364&lt;36,'General Basis'!$B$43,IF(G1364&lt;41,'General Basis'!$B$44,IF(G1364&lt;46,'General Basis'!$B$45,IF(G1364&lt;51,'General Basis'!$B$46,IF(G1364&lt;56,'General Basis'!$B$47,IF(G1364&lt;60,'General Basis'!$B$48,IF(G1364&lt;65,'General Basis'!$B$49,'General Basis'!$B$50)))))))))))))</f>
        <v/>
      </c>
      <c r="BI1364" s="744" t="str">
        <f t="shared" si="489"/>
        <v/>
      </c>
      <c r="BJ1364" s="747" t="str">
        <f t="shared" si="496"/>
        <v/>
      </c>
      <c r="BK1364" s="498" t="str">
        <f t="shared" si="490"/>
        <v/>
      </c>
      <c r="BL1364" s="498" t="str">
        <f t="shared" si="491"/>
        <v/>
      </c>
    </row>
    <row r="1365" spans="1:64" x14ac:dyDescent="0.25">
      <c r="A1365" s="762">
        <f t="shared" si="492"/>
        <v>1360</v>
      </c>
      <c r="B1365" s="229"/>
      <c r="C1365" s="223"/>
      <c r="D1365" s="224"/>
      <c r="E1365" s="225"/>
      <c r="F1365" s="1036" t="str">
        <f t="shared" si="498"/>
        <v/>
      </c>
      <c r="G1365" s="1037" t="str">
        <f t="shared" si="493"/>
        <v/>
      </c>
      <c r="H1365" s="225"/>
      <c r="I1365" s="1013"/>
      <c r="J1365" s="1013"/>
      <c r="K1365" s="1028"/>
      <c r="L1365" s="1035" t="str">
        <f t="shared" si="497"/>
        <v/>
      </c>
      <c r="S1365" s="498"/>
      <c r="AJ1365" s="498"/>
      <c r="AM1365" s="498">
        <f t="shared" si="478"/>
        <v>0</v>
      </c>
      <c r="AN1365" s="498">
        <f t="shared" si="479"/>
        <v>0</v>
      </c>
      <c r="AO1365" s="498">
        <f t="shared" si="480"/>
        <v>0</v>
      </c>
      <c r="AP1365" s="498">
        <f t="shared" si="499"/>
        <v>0</v>
      </c>
      <c r="AQ1365" s="498">
        <f t="shared" si="494"/>
        <v>0</v>
      </c>
      <c r="AU1365" s="498">
        <f t="shared" si="481"/>
        <v>0</v>
      </c>
      <c r="AV1365" s="498">
        <f t="shared" si="482"/>
        <v>0</v>
      </c>
      <c r="AW1365" s="498">
        <f t="shared" si="483"/>
        <v>0</v>
      </c>
      <c r="AX1365" s="498">
        <f t="shared" si="484"/>
        <v>0</v>
      </c>
      <c r="AY1365" s="498">
        <f t="shared" si="485"/>
        <v>0</v>
      </c>
      <c r="BB1365" s="498" t="str">
        <f t="shared" si="486"/>
        <v/>
      </c>
      <c r="BC1365" s="743" t="str">
        <f t="shared" si="487"/>
        <v/>
      </c>
      <c r="BD1365" s="743" t="str">
        <f t="shared" si="488"/>
        <v/>
      </c>
      <c r="BE1365" s="743" t="str">
        <f>IF(D1365="","",VLOOKUP(D1365,'General Basis'!$J$39:$K$46,2,0))</f>
        <v/>
      </c>
      <c r="BF1365" s="744" t="str">
        <f>IF(D1365="","",VLOOKUP(D1365,'General Basis'!$J$39:$L$46,3,0))</f>
        <v/>
      </c>
      <c r="BG1365" s="744" t="str">
        <f t="shared" si="495"/>
        <v/>
      </c>
      <c r="BH1365" s="744" t="str">
        <f>IF(G1365="","",IF(BF1365="Abu Dhabi",IF(G1365&lt;18,'General Basis'!$C$39,IF(G1365&lt;41,'General Basis'!$C$40,IF(G1365&lt;60,'General Basis'!$C$41,IF(G1365&lt;65,'General Basis'!$C$42,'General Basis'!$C$43)))),IF(G1365&lt;11,'General Basis'!$B$39,IF(G1365&lt;18,'General Basis'!$B$40,IF(G1365&lt;26,'General Basis'!$B$41,IF(G1365&lt;31,'General Basis'!$B$42,IF(G1365&lt;36,'General Basis'!$B$43,IF(G1365&lt;41,'General Basis'!$B$44,IF(G1365&lt;46,'General Basis'!$B$45,IF(G1365&lt;51,'General Basis'!$B$46,IF(G1365&lt;56,'General Basis'!$B$47,IF(G1365&lt;60,'General Basis'!$B$48,IF(G1365&lt;65,'General Basis'!$B$49,'General Basis'!$B$50)))))))))))))</f>
        <v/>
      </c>
      <c r="BI1365" s="744" t="str">
        <f t="shared" si="489"/>
        <v/>
      </c>
      <c r="BJ1365" s="747" t="str">
        <f t="shared" si="496"/>
        <v/>
      </c>
      <c r="BK1365" s="498" t="str">
        <f t="shared" si="490"/>
        <v/>
      </c>
      <c r="BL1365" s="498" t="str">
        <f t="shared" si="491"/>
        <v/>
      </c>
    </row>
    <row r="1366" spans="1:64" x14ac:dyDescent="0.25">
      <c r="A1366" s="762">
        <f t="shared" si="492"/>
        <v>1361</v>
      </c>
      <c r="B1366" s="229"/>
      <c r="C1366" s="223"/>
      <c r="D1366" s="224"/>
      <c r="E1366" s="225"/>
      <c r="F1366" s="1036" t="str">
        <f t="shared" si="498"/>
        <v/>
      </c>
      <c r="G1366" s="1037" t="str">
        <f t="shared" si="493"/>
        <v/>
      </c>
      <c r="H1366" s="225"/>
      <c r="I1366" s="1013"/>
      <c r="J1366" s="1013"/>
      <c r="K1366" s="1028"/>
      <c r="L1366" s="1035" t="str">
        <f t="shared" si="497"/>
        <v/>
      </c>
      <c r="S1366" s="498"/>
      <c r="AJ1366" s="498"/>
      <c r="AM1366" s="498">
        <f t="shared" si="478"/>
        <v>0</v>
      </c>
      <c r="AN1366" s="498">
        <f t="shared" si="479"/>
        <v>0</v>
      </c>
      <c r="AO1366" s="498">
        <f t="shared" si="480"/>
        <v>0</v>
      </c>
      <c r="AP1366" s="498">
        <f t="shared" si="499"/>
        <v>0</v>
      </c>
      <c r="AQ1366" s="498">
        <f t="shared" si="494"/>
        <v>0</v>
      </c>
      <c r="AU1366" s="498">
        <f t="shared" si="481"/>
        <v>0</v>
      </c>
      <c r="AV1366" s="498">
        <f t="shared" si="482"/>
        <v>0</v>
      </c>
      <c r="AW1366" s="498">
        <f t="shared" si="483"/>
        <v>0</v>
      </c>
      <c r="AX1366" s="498">
        <f t="shared" si="484"/>
        <v>0</v>
      </c>
      <c r="AY1366" s="498">
        <f t="shared" si="485"/>
        <v>0</v>
      </c>
      <c r="BB1366" s="498" t="str">
        <f t="shared" si="486"/>
        <v/>
      </c>
      <c r="BC1366" s="743" t="str">
        <f t="shared" si="487"/>
        <v/>
      </c>
      <c r="BD1366" s="743" t="str">
        <f t="shared" si="488"/>
        <v/>
      </c>
      <c r="BE1366" s="743" t="str">
        <f>IF(D1366="","",VLOOKUP(D1366,'General Basis'!$J$39:$K$46,2,0))</f>
        <v/>
      </c>
      <c r="BF1366" s="744" t="str">
        <f>IF(D1366="","",VLOOKUP(D1366,'General Basis'!$J$39:$L$46,3,0))</f>
        <v/>
      </c>
      <c r="BG1366" s="744" t="str">
        <f t="shared" si="495"/>
        <v/>
      </c>
      <c r="BH1366" s="744" t="str">
        <f>IF(G1366="","",IF(BF1366="Abu Dhabi",IF(G1366&lt;18,'General Basis'!$C$39,IF(G1366&lt;41,'General Basis'!$C$40,IF(G1366&lt;60,'General Basis'!$C$41,IF(G1366&lt;65,'General Basis'!$C$42,'General Basis'!$C$43)))),IF(G1366&lt;11,'General Basis'!$B$39,IF(G1366&lt;18,'General Basis'!$B$40,IF(G1366&lt;26,'General Basis'!$B$41,IF(G1366&lt;31,'General Basis'!$B$42,IF(G1366&lt;36,'General Basis'!$B$43,IF(G1366&lt;41,'General Basis'!$B$44,IF(G1366&lt;46,'General Basis'!$B$45,IF(G1366&lt;51,'General Basis'!$B$46,IF(G1366&lt;56,'General Basis'!$B$47,IF(G1366&lt;60,'General Basis'!$B$48,IF(G1366&lt;65,'General Basis'!$B$49,'General Basis'!$B$50)))))))))))))</f>
        <v/>
      </c>
      <c r="BI1366" s="744" t="str">
        <f t="shared" si="489"/>
        <v/>
      </c>
      <c r="BJ1366" s="747" t="str">
        <f t="shared" si="496"/>
        <v/>
      </c>
      <c r="BK1366" s="498" t="str">
        <f t="shared" si="490"/>
        <v/>
      </c>
      <c r="BL1366" s="498" t="str">
        <f t="shared" si="491"/>
        <v/>
      </c>
    </row>
    <row r="1367" spans="1:64" x14ac:dyDescent="0.25">
      <c r="A1367" s="762">
        <f t="shared" si="492"/>
        <v>1362</v>
      </c>
      <c r="B1367" s="229"/>
      <c r="C1367" s="223"/>
      <c r="D1367" s="224"/>
      <c r="E1367" s="225"/>
      <c r="F1367" s="1036" t="str">
        <f t="shared" si="498"/>
        <v/>
      </c>
      <c r="G1367" s="1037" t="str">
        <f t="shared" si="493"/>
        <v/>
      </c>
      <c r="H1367" s="225"/>
      <c r="I1367" s="1013"/>
      <c r="J1367" s="1013"/>
      <c r="K1367" s="1028"/>
      <c r="L1367" s="1035" t="str">
        <f t="shared" si="497"/>
        <v/>
      </c>
      <c r="S1367" s="498"/>
      <c r="AJ1367" s="498"/>
      <c r="AM1367" s="498">
        <f t="shared" si="478"/>
        <v>0</v>
      </c>
      <c r="AN1367" s="498">
        <f t="shared" si="479"/>
        <v>0</v>
      </c>
      <c r="AO1367" s="498">
        <f t="shared" si="480"/>
        <v>0</v>
      </c>
      <c r="AP1367" s="498">
        <f t="shared" si="499"/>
        <v>0</v>
      </c>
      <c r="AQ1367" s="498">
        <f t="shared" si="494"/>
        <v>0</v>
      </c>
      <c r="AU1367" s="498">
        <f t="shared" si="481"/>
        <v>0</v>
      </c>
      <c r="AV1367" s="498">
        <f t="shared" si="482"/>
        <v>0</v>
      </c>
      <c r="AW1367" s="498">
        <f t="shared" si="483"/>
        <v>0</v>
      </c>
      <c r="AX1367" s="498">
        <f t="shared" si="484"/>
        <v>0</v>
      </c>
      <c r="AY1367" s="498">
        <f t="shared" si="485"/>
        <v>0</v>
      </c>
      <c r="BB1367" s="498" t="str">
        <f t="shared" si="486"/>
        <v/>
      </c>
      <c r="BC1367" s="743" t="str">
        <f t="shared" si="487"/>
        <v/>
      </c>
      <c r="BD1367" s="743" t="str">
        <f t="shared" si="488"/>
        <v/>
      </c>
      <c r="BE1367" s="743" t="str">
        <f>IF(D1367="","",VLOOKUP(D1367,'General Basis'!$J$39:$K$46,2,0))</f>
        <v/>
      </c>
      <c r="BF1367" s="744" t="str">
        <f>IF(D1367="","",VLOOKUP(D1367,'General Basis'!$J$39:$L$46,3,0))</f>
        <v/>
      </c>
      <c r="BG1367" s="744" t="str">
        <f t="shared" si="495"/>
        <v/>
      </c>
      <c r="BH1367" s="744" t="str">
        <f>IF(G1367="","",IF(BF1367="Abu Dhabi",IF(G1367&lt;18,'General Basis'!$C$39,IF(G1367&lt;41,'General Basis'!$C$40,IF(G1367&lt;60,'General Basis'!$C$41,IF(G1367&lt;65,'General Basis'!$C$42,'General Basis'!$C$43)))),IF(G1367&lt;11,'General Basis'!$B$39,IF(G1367&lt;18,'General Basis'!$B$40,IF(G1367&lt;26,'General Basis'!$B$41,IF(G1367&lt;31,'General Basis'!$B$42,IF(G1367&lt;36,'General Basis'!$B$43,IF(G1367&lt;41,'General Basis'!$B$44,IF(G1367&lt;46,'General Basis'!$B$45,IF(G1367&lt;51,'General Basis'!$B$46,IF(G1367&lt;56,'General Basis'!$B$47,IF(G1367&lt;60,'General Basis'!$B$48,IF(G1367&lt;65,'General Basis'!$B$49,'General Basis'!$B$50)))))))))))))</f>
        <v/>
      </c>
      <c r="BI1367" s="744" t="str">
        <f t="shared" si="489"/>
        <v/>
      </c>
      <c r="BJ1367" s="747" t="str">
        <f t="shared" si="496"/>
        <v/>
      </c>
      <c r="BK1367" s="498" t="str">
        <f t="shared" si="490"/>
        <v/>
      </c>
      <c r="BL1367" s="498" t="str">
        <f t="shared" si="491"/>
        <v/>
      </c>
    </row>
    <row r="1368" spans="1:64" x14ac:dyDescent="0.25">
      <c r="A1368" s="762">
        <f t="shared" si="492"/>
        <v>1363</v>
      </c>
      <c r="B1368" s="229"/>
      <c r="C1368" s="223"/>
      <c r="D1368" s="224"/>
      <c r="E1368" s="225"/>
      <c r="F1368" s="1036" t="str">
        <f t="shared" si="498"/>
        <v/>
      </c>
      <c r="G1368" s="1037" t="str">
        <f t="shared" si="493"/>
        <v/>
      </c>
      <c r="H1368" s="225"/>
      <c r="I1368" s="1013"/>
      <c r="J1368" s="1013"/>
      <c r="K1368" s="1028"/>
      <c r="L1368" s="1035" t="str">
        <f t="shared" si="497"/>
        <v/>
      </c>
      <c r="S1368" s="498"/>
      <c r="AJ1368" s="498"/>
      <c r="AM1368" s="498">
        <f t="shared" si="478"/>
        <v>0</v>
      </c>
      <c r="AN1368" s="498">
        <f t="shared" si="479"/>
        <v>0</v>
      </c>
      <c r="AO1368" s="498">
        <f t="shared" si="480"/>
        <v>0</v>
      </c>
      <c r="AP1368" s="498">
        <f t="shared" si="499"/>
        <v>0</v>
      </c>
      <c r="AQ1368" s="498">
        <f t="shared" si="494"/>
        <v>0</v>
      </c>
      <c r="AU1368" s="498">
        <f t="shared" si="481"/>
        <v>0</v>
      </c>
      <c r="AV1368" s="498">
        <f t="shared" si="482"/>
        <v>0</v>
      </c>
      <c r="AW1368" s="498">
        <f t="shared" si="483"/>
        <v>0</v>
      </c>
      <c r="AX1368" s="498">
        <f t="shared" si="484"/>
        <v>0</v>
      </c>
      <c r="AY1368" s="498">
        <f t="shared" si="485"/>
        <v>0</v>
      </c>
      <c r="BB1368" s="498" t="str">
        <f t="shared" si="486"/>
        <v/>
      </c>
      <c r="BC1368" s="743" t="str">
        <f t="shared" si="487"/>
        <v/>
      </c>
      <c r="BD1368" s="743" t="str">
        <f t="shared" si="488"/>
        <v/>
      </c>
      <c r="BE1368" s="743" t="str">
        <f>IF(D1368="","",VLOOKUP(D1368,'General Basis'!$J$39:$K$46,2,0))</f>
        <v/>
      </c>
      <c r="BF1368" s="744" t="str">
        <f>IF(D1368="","",VLOOKUP(D1368,'General Basis'!$J$39:$L$46,3,0))</f>
        <v/>
      </c>
      <c r="BG1368" s="744" t="str">
        <f t="shared" si="495"/>
        <v/>
      </c>
      <c r="BH1368" s="744" t="str">
        <f>IF(G1368="","",IF(BF1368="Abu Dhabi",IF(G1368&lt;18,'General Basis'!$C$39,IF(G1368&lt;41,'General Basis'!$C$40,IF(G1368&lt;60,'General Basis'!$C$41,IF(G1368&lt;65,'General Basis'!$C$42,'General Basis'!$C$43)))),IF(G1368&lt;11,'General Basis'!$B$39,IF(G1368&lt;18,'General Basis'!$B$40,IF(G1368&lt;26,'General Basis'!$B$41,IF(G1368&lt;31,'General Basis'!$B$42,IF(G1368&lt;36,'General Basis'!$B$43,IF(G1368&lt;41,'General Basis'!$B$44,IF(G1368&lt;46,'General Basis'!$B$45,IF(G1368&lt;51,'General Basis'!$B$46,IF(G1368&lt;56,'General Basis'!$B$47,IF(G1368&lt;60,'General Basis'!$B$48,IF(G1368&lt;65,'General Basis'!$B$49,'General Basis'!$B$50)))))))))))))</f>
        <v/>
      </c>
      <c r="BI1368" s="744" t="str">
        <f t="shared" si="489"/>
        <v/>
      </c>
      <c r="BJ1368" s="747" t="str">
        <f t="shared" si="496"/>
        <v/>
      </c>
      <c r="BK1368" s="498" t="str">
        <f t="shared" si="490"/>
        <v/>
      </c>
      <c r="BL1368" s="498" t="str">
        <f t="shared" si="491"/>
        <v/>
      </c>
    </row>
    <row r="1369" spans="1:64" x14ac:dyDescent="0.25">
      <c r="A1369" s="762">
        <f t="shared" si="492"/>
        <v>1364</v>
      </c>
      <c r="B1369" s="229"/>
      <c r="C1369" s="223"/>
      <c r="D1369" s="224"/>
      <c r="E1369" s="225"/>
      <c r="F1369" s="1036" t="str">
        <f t="shared" si="498"/>
        <v/>
      </c>
      <c r="G1369" s="1037" t="str">
        <f t="shared" si="493"/>
        <v/>
      </c>
      <c r="H1369" s="225"/>
      <c r="I1369" s="1013"/>
      <c r="J1369" s="1013"/>
      <c r="K1369" s="1028"/>
      <c r="L1369" s="1035" t="str">
        <f t="shared" si="497"/>
        <v/>
      </c>
      <c r="S1369" s="498"/>
      <c r="AJ1369" s="498"/>
      <c r="AM1369" s="498">
        <f t="shared" si="478"/>
        <v>0</v>
      </c>
      <c r="AN1369" s="498">
        <f t="shared" si="479"/>
        <v>0</v>
      </c>
      <c r="AO1369" s="498">
        <f t="shared" si="480"/>
        <v>0</v>
      </c>
      <c r="AP1369" s="498">
        <f t="shared" si="499"/>
        <v>0</v>
      </c>
      <c r="AQ1369" s="498">
        <f t="shared" si="494"/>
        <v>0</v>
      </c>
      <c r="AU1369" s="498">
        <f t="shared" si="481"/>
        <v>0</v>
      </c>
      <c r="AV1369" s="498">
        <f t="shared" si="482"/>
        <v>0</v>
      </c>
      <c r="AW1369" s="498">
        <f t="shared" si="483"/>
        <v>0</v>
      </c>
      <c r="AX1369" s="498">
        <f t="shared" si="484"/>
        <v>0</v>
      </c>
      <c r="AY1369" s="498">
        <f t="shared" si="485"/>
        <v>0</v>
      </c>
      <c r="BB1369" s="498" t="str">
        <f t="shared" si="486"/>
        <v/>
      </c>
      <c r="BC1369" s="743" t="str">
        <f t="shared" si="487"/>
        <v/>
      </c>
      <c r="BD1369" s="743" t="str">
        <f t="shared" si="488"/>
        <v/>
      </c>
      <c r="BE1369" s="743" t="str">
        <f>IF(D1369="","",VLOOKUP(D1369,'General Basis'!$J$39:$K$46,2,0))</f>
        <v/>
      </c>
      <c r="BF1369" s="744" t="str">
        <f>IF(D1369="","",VLOOKUP(D1369,'General Basis'!$J$39:$L$46,3,0))</f>
        <v/>
      </c>
      <c r="BG1369" s="744" t="str">
        <f t="shared" si="495"/>
        <v/>
      </c>
      <c r="BH1369" s="744" t="str">
        <f>IF(G1369="","",IF(BF1369="Abu Dhabi",IF(G1369&lt;18,'General Basis'!$C$39,IF(G1369&lt;41,'General Basis'!$C$40,IF(G1369&lt;60,'General Basis'!$C$41,IF(G1369&lt;65,'General Basis'!$C$42,'General Basis'!$C$43)))),IF(G1369&lt;11,'General Basis'!$B$39,IF(G1369&lt;18,'General Basis'!$B$40,IF(G1369&lt;26,'General Basis'!$B$41,IF(G1369&lt;31,'General Basis'!$B$42,IF(G1369&lt;36,'General Basis'!$B$43,IF(G1369&lt;41,'General Basis'!$B$44,IF(G1369&lt;46,'General Basis'!$B$45,IF(G1369&lt;51,'General Basis'!$B$46,IF(G1369&lt;56,'General Basis'!$B$47,IF(G1369&lt;60,'General Basis'!$B$48,IF(G1369&lt;65,'General Basis'!$B$49,'General Basis'!$B$50)))))))))))))</f>
        <v/>
      </c>
      <c r="BI1369" s="744" t="str">
        <f t="shared" si="489"/>
        <v/>
      </c>
      <c r="BJ1369" s="747" t="str">
        <f t="shared" si="496"/>
        <v/>
      </c>
      <c r="BK1369" s="498" t="str">
        <f t="shared" si="490"/>
        <v/>
      </c>
      <c r="BL1369" s="498" t="str">
        <f t="shared" si="491"/>
        <v/>
      </c>
    </row>
    <row r="1370" spans="1:64" x14ac:dyDescent="0.25">
      <c r="A1370" s="762">
        <f t="shared" si="492"/>
        <v>1365</v>
      </c>
      <c r="B1370" s="229"/>
      <c r="C1370" s="223"/>
      <c r="D1370" s="224"/>
      <c r="E1370" s="225"/>
      <c r="F1370" s="1036" t="str">
        <f t="shared" si="498"/>
        <v/>
      </c>
      <c r="G1370" s="1037" t="str">
        <f t="shared" si="493"/>
        <v/>
      </c>
      <c r="H1370" s="225"/>
      <c r="I1370" s="1013"/>
      <c r="J1370" s="1013"/>
      <c r="K1370" s="1028"/>
      <c r="L1370" s="1035" t="str">
        <f t="shared" si="497"/>
        <v/>
      </c>
      <c r="S1370" s="498"/>
      <c r="AJ1370" s="498"/>
      <c r="AM1370" s="498">
        <f t="shared" si="478"/>
        <v>0</v>
      </c>
      <c r="AN1370" s="498">
        <f t="shared" si="479"/>
        <v>0</v>
      </c>
      <c r="AO1370" s="498">
        <f t="shared" si="480"/>
        <v>0</v>
      </c>
      <c r="AP1370" s="498">
        <f t="shared" si="499"/>
        <v>0</v>
      </c>
      <c r="AQ1370" s="498">
        <f t="shared" si="494"/>
        <v>0</v>
      </c>
      <c r="AU1370" s="498">
        <f t="shared" si="481"/>
        <v>0</v>
      </c>
      <c r="AV1370" s="498">
        <f t="shared" si="482"/>
        <v>0</v>
      </c>
      <c r="AW1370" s="498">
        <f t="shared" si="483"/>
        <v>0</v>
      </c>
      <c r="AX1370" s="498">
        <f t="shared" si="484"/>
        <v>0</v>
      </c>
      <c r="AY1370" s="498">
        <f t="shared" si="485"/>
        <v>0</v>
      </c>
      <c r="BB1370" s="498" t="str">
        <f t="shared" si="486"/>
        <v/>
      </c>
      <c r="BC1370" s="743" t="str">
        <f t="shared" si="487"/>
        <v/>
      </c>
      <c r="BD1370" s="743" t="str">
        <f t="shared" si="488"/>
        <v/>
      </c>
      <c r="BE1370" s="743" t="str">
        <f>IF(D1370="","",VLOOKUP(D1370,'General Basis'!$J$39:$K$46,2,0))</f>
        <v/>
      </c>
      <c r="BF1370" s="744" t="str">
        <f>IF(D1370="","",VLOOKUP(D1370,'General Basis'!$J$39:$L$46,3,0))</f>
        <v/>
      </c>
      <c r="BG1370" s="744" t="str">
        <f t="shared" si="495"/>
        <v/>
      </c>
      <c r="BH1370" s="744" t="str">
        <f>IF(G1370="","",IF(BF1370="Abu Dhabi",IF(G1370&lt;18,'General Basis'!$C$39,IF(G1370&lt;41,'General Basis'!$C$40,IF(G1370&lt;60,'General Basis'!$C$41,IF(G1370&lt;65,'General Basis'!$C$42,'General Basis'!$C$43)))),IF(G1370&lt;11,'General Basis'!$B$39,IF(G1370&lt;18,'General Basis'!$B$40,IF(G1370&lt;26,'General Basis'!$B$41,IF(G1370&lt;31,'General Basis'!$B$42,IF(G1370&lt;36,'General Basis'!$B$43,IF(G1370&lt;41,'General Basis'!$B$44,IF(G1370&lt;46,'General Basis'!$B$45,IF(G1370&lt;51,'General Basis'!$B$46,IF(G1370&lt;56,'General Basis'!$B$47,IF(G1370&lt;60,'General Basis'!$B$48,IF(G1370&lt;65,'General Basis'!$B$49,'General Basis'!$B$50)))))))))))))</f>
        <v/>
      </c>
      <c r="BI1370" s="744" t="str">
        <f t="shared" si="489"/>
        <v/>
      </c>
      <c r="BJ1370" s="747" t="str">
        <f t="shared" si="496"/>
        <v/>
      </c>
      <c r="BK1370" s="498" t="str">
        <f t="shared" si="490"/>
        <v/>
      </c>
      <c r="BL1370" s="498" t="str">
        <f t="shared" si="491"/>
        <v/>
      </c>
    </row>
    <row r="1371" spans="1:64" x14ac:dyDescent="0.25">
      <c r="A1371" s="762">
        <f t="shared" si="492"/>
        <v>1366</v>
      </c>
      <c r="B1371" s="229"/>
      <c r="C1371" s="223"/>
      <c r="D1371" s="224"/>
      <c r="E1371" s="225"/>
      <c r="F1371" s="1036" t="str">
        <f t="shared" si="498"/>
        <v/>
      </c>
      <c r="G1371" s="1037" t="str">
        <f t="shared" si="493"/>
        <v/>
      </c>
      <c r="H1371" s="225"/>
      <c r="I1371" s="1013"/>
      <c r="J1371" s="1013"/>
      <c r="K1371" s="1028"/>
      <c r="L1371" s="1035" t="str">
        <f t="shared" si="497"/>
        <v/>
      </c>
      <c r="S1371" s="498"/>
      <c r="AJ1371" s="498"/>
      <c r="AM1371" s="498">
        <f t="shared" si="478"/>
        <v>0</v>
      </c>
      <c r="AN1371" s="498">
        <f t="shared" si="479"/>
        <v>0</v>
      </c>
      <c r="AO1371" s="498">
        <f t="shared" si="480"/>
        <v>0</v>
      </c>
      <c r="AP1371" s="498">
        <f t="shared" si="499"/>
        <v>0</v>
      </c>
      <c r="AQ1371" s="498">
        <f t="shared" si="494"/>
        <v>0</v>
      </c>
      <c r="AU1371" s="498">
        <f t="shared" si="481"/>
        <v>0</v>
      </c>
      <c r="AV1371" s="498">
        <f t="shared" si="482"/>
        <v>0</v>
      </c>
      <c r="AW1371" s="498">
        <f t="shared" si="483"/>
        <v>0</v>
      </c>
      <c r="AX1371" s="498">
        <f t="shared" si="484"/>
        <v>0</v>
      </c>
      <c r="AY1371" s="498">
        <f t="shared" si="485"/>
        <v>0</v>
      </c>
      <c r="BB1371" s="498" t="str">
        <f t="shared" si="486"/>
        <v/>
      </c>
      <c r="BC1371" s="743" t="str">
        <f t="shared" si="487"/>
        <v/>
      </c>
      <c r="BD1371" s="743" t="str">
        <f t="shared" si="488"/>
        <v/>
      </c>
      <c r="BE1371" s="743" t="str">
        <f>IF(D1371="","",VLOOKUP(D1371,'General Basis'!$J$39:$K$46,2,0))</f>
        <v/>
      </c>
      <c r="BF1371" s="744" t="str">
        <f>IF(D1371="","",VLOOKUP(D1371,'General Basis'!$J$39:$L$46,3,0))</f>
        <v/>
      </c>
      <c r="BG1371" s="744" t="str">
        <f t="shared" si="495"/>
        <v/>
      </c>
      <c r="BH1371" s="744" t="str">
        <f>IF(G1371="","",IF(BF1371="Abu Dhabi",IF(G1371&lt;18,'General Basis'!$C$39,IF(G1371&lt;41,'General Basis'!$C$40,IF(G1371&lt;60,'General Basis'!$C$41,IF(G1371&lt;65,'General Basis'!$C$42,'General Basis'!$C$43)))),IF(G1371&lt;11,'General Basis'!$B$39,IF(G1371&lt;18,'General Basis'!$B$40,IF(G1371&lt;26,'General Basis'!$B$41,IF(G1371&lt;31,'General Basis'!$B$42,IF(G1371&lt;36,'General Basis'!$B$43,IF(G1371&lt;41,'General Basis'!$B$44,IF(G1371&lt;46,'General Basis'!$B$45,IF(G1371&lt;51,'General Basis'!$B$46,IF(G1371&lt;56,'General Basis'!$B$47,IF(G1371&lt;60,'General Basis'!$B$48,IF(G1371&lt;65,'General Basis'!$B$49,'General Basis'!$B$50)))))))))))))</f>
        <v/>
      </c>
      <c r="BI1371" s="744" t="str">
        <f t="shared" si="489"/>
        <v/>
      </c>
      <c r="BJ1371" s="747" t="str">
        <f t="shared" si="496"/>
        <v/>
      </c>
      <c r="BK1371" s="498" t="str">
        <f t="shared" si="490"/>
        <v/>
      </c>
      <c r="BL1371" s="498" t="str">
        <f t="shared" si="491"/>
        <v/>
      </c>
    </row>
    <row r="1372" spans="1:64" x14ac:dyDescent="0.25">
      <c r="A1372" s="762">
        <f t="shared" si="492"/>
        <v>1367</v>
      </c>
      <c r="B1372" s="229"/>
      <c r="C1372" s="223"/>
      <c r="D1372" s="224"/>
      <c r="E1372" s="225"/>
      <c r="F1372" s="1036" t="str">
        <f t="shared" si="498"/>
        <v/>
      </c>
      <c r="G1372" s="1037" t="str">
        <f t="shared" si="493"/>
        <v/>
      </c>
      <c r="H1372" s="225"/>
      <c r="I1372" s="1013"/>
      <c r="J1372" s="1013"/>
      <c r="K1372" s="1028"/>
      <c r="L1372" s="1035" t="str">
        <f t="shared" si="497"/>
        <v/>
      </c>
      <c r="S1372" s="498"/>
      <c r="AJ1372" s="498"/>
      <c r="AM1372" s="498">
        <f t="shared" si="478"/>
        <v>0</v>
      </c>
      <c r="AN1372" s="498">
        <f t="shared" si="479"/>
        <v>0</v>
      </c>
      <c r="AO1372" s="498">
        <f t="shared" si="480"/>
        <v>0</v>
      </c>
      <c r="AP1372" s="498">
        <f t="shared" si="499"/>
        <v>0</v>
      </c>
      <c r="AQ1372" s="498">
        <f t="shared" si="494"/>
        <v>0</v>
      </c>
      <c r="AU1372" s="498">
        <f t="shared" si="481"/>
        <v>0</v>
      </c>
      <c r="AV1372" s="498">
        <f t="shared" si="482"/>
        <v>0</v>
      </c>
      <c r="AW1372" s="498">
        <f t="shared" si="483"/>
        <v>0</v>
      </c>
      <c r="AX1372" s="498">
        <f t="shared" si="484"/>
        <v>0</v>
      </c>
      <c r="AY1372" s="498">
        <f t="shared" si="485"/>
        <v>0</v>
      </c>
      <c r="BB1372" s="498" t="str">
        <f t="shared" si="486"/>
        <v/>
      </c>
      <c r="BC1372" s="743" t="str">
        <f t="shared" si="487"/>
        <v/>
      </c>
      <c r="BD1372" s="743" t="str">
        <f t="shared" si="488"/>
        <v/>
      </c>
      <c r="BE1372" s="743" t="str">
        <f>IF(D1372="","",VLOOKUP(D1372,'General Basis'!$J$39:$K$46,2,0))</f>
        <v/>
      </c>
      <c r="BF1372" s="744" t="str">
        <f>IF(D1372="","",VLOOKUP(D1372,'General Basis'!$J$39:$L$46,3,0))</f>
        <v/>
      </c>
      <c r="BG1372" s="744" t="str">
        <f t="shared" si="495"/>
        <v/>
      </c>
      <c r="BH1372" s="744" t="str">
        <f>IF(G1372="","",IF(BF1372="Abu Dhabi",IF(G1372&lt;18,'General Basis'!$C$39,IF(G1372&lt;41,'General Basis'!$C$40,IF(G1372&lt;60,'General Basis'!$C$41,IF(G1372&lt;65,'General Basis'!$C$42,'General Basis'!$C$43)))),IF(G1372&lt;11,'General Basis'!$B$39,IF(G1372&lt;18,'General Basis'!$B$40,IF(G1372&lt;26,'General Basis'!$B$41,IF(G1372&lt;31,'General Basis'!$B$42,IF(G1372&lt;36,'General Basis'!$B$43,IF(G1372&lt;41,'General Basis'!$B$44,IF(G1372&lt;46,'General Basis'!$B$45,IF(G1372&lt;51,'General Basis'!$B$46,IF(G1372&lt;56,'General Basis'!$B$47,IF(G1372&lt;60,'General Basis'!$B$48,IF(G1372&lt;65,'General Basis'!$B$49,'General Basis'!$B$50)))))))))))))</f>
        <v/>
      </c>
      <c r="BI1372" s="744" t="str">
        <f t="shared" si="489"/>
        <v/>
      </c>
      <c r="BJ1372" s="747" t="str">
        <f t="shared" si="496"/>
        <v/>
      </c>
      <c r="BK1372" s="498" t="str">
        <f t="shared" si="490"/>
        <v/>
      </c>
      <c r="BL1372" s="498" t="str">
        <f t="shared" si="491"/>
        <v/>
      </c>
    </row>
    <row r="1373" spans="1:64" x14ac:dyDescent="0.25">
      <c r="A1373" s="762">
        <f t="shared" si="492"/>
        <v>1368</v>
      </c>
      <c r="B1373" s="229"/>
      <c r="C1373" s="223"/>
      <c r="D1373" s="224"/>
      <c r="E1373" s="225"/>
      <c r="F1373" s="1036" t="str">
        <f t="shared" si="498"/>
        <v/>
      </c>
      <c r="G1373" s="1037" t="str">
        <f t="shared" si="493"/>
        <v/>
      </c>
      <c r="H1373" s="225"/>
      <c r="I1373" s="1013"/>
      <c r="J1373" s="1013"/>
      <c r="K1373" s="1028"/>
      <c r="L1373" s="1035" t="str">
        <f t="shared" si="497"/>
        <v/>
      </c>
      <c r="S1373" s="498"/>
      <c r="AJ1373" s="498"/>
      <c r="AM1373" s="498">
        <f t="shared" si="478"/>
        <v>0</v>
      </c>
      <c r="AN1373" s="498">
        <f t="shared" si="479"/>
        <v>0</v>
      </c>
      <c r="AO1373" s="498">
        <f t="shared" si="480"/>
        <v>0</v>
      </c>
      <c r="AP1373" s="498">
        <f t="shared" si="499"/>
        <v>0</v>
      </c>
      <c r="AQ1373" s="498">
        <f t="shared" si="494"/>
        <v>0</v>
      </c>
      <c r="AU1373" s="498">
        <f t="shared" si="481"/>
        <v>0</v>
      </c>
      <c r="AV1373" s="498">
        <f t="shared" si="482"/>
        <v>0</v>
      </c>
      <c r="AW1373" s="498">
        <f t="shared" si="483"/>
        <v>0</v>
      </c>
      <c r="AX1373" s="498">
        <f t="shared" si="484"/>
        <v>0</v>
      </c>
      <c r="AY1373" s="498">
        <f t="shared" si="485"/>
        <v>0</v>
      </c>
      <c r="BB1373" s="498" t="str">
        <f t="shared" si="486"/>
        <v/>
      </c>
      <c r="BC1373" s="743" t="str">
        <f t="shared" si="487"/>
        <v/>
      </c>
      <c r="BD1373" s="743" t="str">
        <f t="shared" si="488"/>
        <v/>
      </c>
      <c r="BE1373" s="743" t="str">
        <f>IF(D1373="","",VLOOKUP(D1373,'General Basis'!$J$39:$K$46,2,0))</f>
        <v/>
      </c>
      <c r="BF1373" s="744" t="str">
        <f>IF(D1373="","",VLOOKUP(D1373,'General Basis'!$J$39:$L$46,3,0))</f>
        <v/>
      </c>
      <c r="BG1373" s="744" t="str">
        <f t="shared" si="495"/>
        <v/>
      </c>
      <c r="BH1373" s="744" t="str">
        <f>IF(G1373="","",IF(BF1373="Abu Dhabi",IF(G1373&lt;18,'General Basis'!$C$39,IF(G1373&lt;41,'General Basis'!$C$40,IF(G1373&lt;60,'General Basis'!$C$41,IF(G1373&lt;65,'General Basis'!$C$42,'General Basis'!$C$43)))),IF(G1373&lt;11,'General Basis'!$B$39,IF(G1373&lt;18,'General Basis'!$B$40,IF(G1373&lt;26,'General Basis'!$B$41,IF(G1373&lt;31,'General Basis'!$B$42,IF(G1373&lt;36,'General Basis'!$B$43,IF(G1373&lt;41,'General Basis'!$B$44,IF(G1373&lt;46,'General Basis'!$B$45,IF(G1373&lt;51,'General Basis'!$B$46,IF(G1373&lt;56,'General Basis'!$B$47,IF(G1373&lt;60,'General Basis'!$B$48,IF(G1373&lt;65,'General Basis'!$B$49,'General Basis'!$B$50)))))))))))))</f>
        <v/>
      </c>
      <c r="BI1373" s="744" t="str">
        <f t="shared" si="489"/>
        <v/>
      </c>
      <c r="BJ1373" s="747" t="str">
        <f t="shared" si="496"/>
        <v/>
      </c>
      <c r="BK1373" s="498" t="str">
        <f t="shared" si="490"/>
        <v/>
      </c>
      <c r="BL1373" s="498" t="str">
        <f t="shared" si="491"/>
        <v/>
      </c>
    </row>
    <row r="1374" spans="1:64" x14ac:dyDescent="0.25">
      <c r="A1374" s="762">
        <f t="shared" si="492"/>
        <v>1369</v>
      </c>
      <c r="B1374" s="229"/>
      <c r="C1374" s="223"/>
      <c r="D1374" s="224"/>
      <c r="E1374" s="225"/>
      <c r="F1374" s="1036" t="str">
        <f t="shared" si="498"/>
        <v/>
      </c>
      <c r="G1374" s="1037" t="str">
        <f t="shared" si="493"/>
        <v/>
      </c>
      <c r="H1374" s="225"/>
      <c r="I1374" s="1013"/>
      <c r="J1374" s="1013"/>
      <c r="K1374" s="1028"/>
      <c r="L1374" s="1035" t="str">
        <f t="shared" si="497"/>
        <v/>
      </c>
      <c r="S1374" s="498"/>
      <c r="AJ1374" s="498"/>
      <c r="AM1374" s="498">
        <f t="shared" si="478"/>
        <v>0</v>
      </c>
      <c r="AN1374" s="498">
        <f t="shared" si="479"/>
        <v>0</v>
      </c>
      <c r="AO1374" s="498">
        <f t="shared" si="480"/>
        <v>0</v>
      </c>
      <c r="AP1374" s="498">
        <f t="shared" si="499"/>
        <v>0</v>
      </c>
      <c r="AQ1374" s="498">
        <f t="shared" si="494"/>
        <v>0</v>
      </c>
      <c r="AU1374" s="498">
        <f t="shared" si="481"/>
        <v>0</v>
      </c>
      <c r="AV1374" s="498">
        <f t="shared" si="482"/>
        <v>0</v>
      </c>
      <c r="AW1374" s="498">
        <f t="shared" si="483"/>
        <v>0</v>
      </c>
      <c r="AX1374" s="498">
        <f t="shared" si="484"/>
        <v>0</v>
      </c>
      <c r="AY1374" s="498">
        <f t="shared" si="485"/>
        <v>0</v>
      </c>
      <c r="BB1374" s="498" t="str">
        <f t="shared" si="486"/>
        <v/>
      </c>
      <c r="BC1374" s="743" t="str">
        <f t="shared" si="487"/>
        <v/>
      </c>
      <c r="BD1374" s="743" t="str">
        <f t="shared" si="488"/>
        <v/>
      </c>
      <c r="BE1374" s="743" t="str">
        <f>IF(D1374="","",VLOOKUP(D1374,'General Basis'!$J$39:$K$46,2,0))</f>
        <v/>
      </c>
      <c r="BF1374" s="744" t="str">
        <f>IF(D1374="","",VLOOKUP(D1374,'General Basis'!$J$39:$L$46,3,0))</f>
        <v/>
      </c>
      <c r="BG1374" s="744" t="str">
        <f t="shared" si="495"/>
        <v/>
      </c>
      <c r="BH1374" s="744" t="str">
        <f>IF(G1374="","",IF(BF1374="Abu Dhabi",IF(G1374&lt;18,'General Basis'!$C$39,IF(G1374&lt;41,'General Basis'!$C$40,IF(G1374&lt;60,'General Basis'!$C$41,IF(G1374&lt;65,'General Basis'!$C$42,'General Basis'!$C$43)))),IF(G1374&lt;11,'General Basis'!$B$39,IF(G1374&lt;18,'General Basis'!$B$40,IF(G1374&lt;26,'General Basis'!$B$41,IF(G1374&lt;31,'General Basis'!$B$42,IF(G1374&lt;36,'General Basis'!$B$43,IF(G1374&lt;41,'General Basis'!$B$44,IF(G1374&lt;46,'General Basis'!$B$45,IF(G1374&lt;51,'General Basis'!$B$46,IF(G1374&lt;56,'General Basis'!$B$47,IF(G1374&lt;60,'General Basis'!$B$48,IF(G1374&lt;65,'General Basis'!$B$49,'General Basis'!$B$50)))))))))))))</f>
        <v/>
      </c>
      <c r="BI1374" s="744" t="str">
        <f t="shared" si="489"/>
        <v/>
      </c>
      <c r="BJ1374" s="747" t="str">
        <f t="shared" si="496"/>
        <v/>
      </c>
      <c r="BK1374" s="498" t="str">
        <f t="shared" si="490"/>
        <v/>
      </c>
      <c r="BL1374" s="498" t="str">
        <f t="shared" si="491"/>
        <v/>
      </c>
    </row>
    <row r="1375" spans="1:64" x14ac:dyDescent="0.25">
      <c r="A1375" s="762">
        <f t="shared" si="492"/>
        <v>1370</v>
      </c>
      <c r="B1375" s="229"/>
      <c r="C1375" s="223"/>
      <c r="D1375" s="224"/>
      <c r="E1375" s="225"/>
      <c r="F1375" s="1036" t="str">
        <f t="shared" si="498"/>
        <v/>
      </c>
      <c r="G1375" s="1037" t="str">
        <f t="shared" si="493"/>
        <v/>
      </c>
      <c r="H1375" s="225"/>
      <c r="I1375" s="1013"/>
      <c r="J1375" s="1013"/>
      <c r="K1375" s="1028"/>
      <c r="L1375" s="1035" t="str">
        <f t="shared" si="497"/>
        <v/>
      </c>
      <c r="S1375" s="498"/>
      <c r="AJ1375" s="498"/>
      <c r="AM1375" s="498">
        <f t="shared" si="478"/>
        <v>0</v>
      </c>
      <c r="AN1375" s="498">
        <f t="shared" si="479"/>
        <v>0</v>
      </c>
      <c r="AO1375" s="498">
        <f t="shared" si="480"/>
        <v>0</v>
      </c>
      <c r="AP1375" s="498">
        <f t="shared" si="499"/>
        <v>0</v>
      </c>
      <c r="AQ1375" s="498">
        <f t="shared" si="494"/>
        <v>0</v>
      </c>
      <c r="AU1375" s="498">
        <f t="shared" si="481"/>
        <v>0</v>
      </c>
      <c r="AV1375" s="498">
        <f t="shared" si="482"/>
        <v>0</v>
      </c>
      <c r="AW1375" s="498">
        <f t="shared" si="483"/>
        <v>0</v>
      </c>
      <c r="AX1375" s="498">
        <f t="shared" si="484"/>
        <v>0</v>
      </c>
      <c r="AY1375" s="498">
        <f t="shared" si="485"/>
        <v>0</v>
      </c>
      <c r="BB1375" s="498" t="str">
        <f t="shared" si="486"/>
        <v/>
      </c>
      <c r="BC1375" s="743" t="str">
        <f t="shared" si="487"/>
        <v/>
      </c>
      <c r="BD1375" s="743" t="str">
        <f t="shared" si="488"/>
        <v/>
      </c>
      <c r="BE1375" s="743" t="str">
        <f>IF(D1375="","",VLOOKUP(D1375,'General Basis'!$J$39:$K$46,2,0))</f>
        <v/>
      </c>
      <c r="BF1375" s="744" t="str">
        <f>IF(D1375="","",VLOOKUP(D1375,'General Basis'!$J$39:$L$46,3,0))</f>
        <v/>
      </c>
      <c r="BG1375" s="744" t="str">
        <f t="shared" si="495"/>
        <v/>
      </c>
      <c r="BH1375" s="744" t="str">
        <f>IF(G1375="","",IF(BF1375="Abu Dhabi",IF(G1375&lt;18,'General Basis'!$C$39,IF(G1375&lt;41,'General Basis'!$C$40,IF(G1375&lt;60,'General Basis'!$C$41,IF(G1375&lt;65,'General Basis'!$C$42,'General Basis'!$C$43)))),IF(G1375&lt;11,'General Basis'!$B$39,IF(G1375&lt;18,'General Basis'!$B$40,IF(G1375&lt;26,'General Basis'!$B$41,IF(G1375&lt;31,'General Basis'!$B$42,IF(G1375&lt;36,'General Basis'!$B$43,IF(G1375&lt;41,'General Basis'!$B$44,IF(G1375&lt;46,'General Basis'!$B$45,IF(G1375&lt;51,'General Basis'!$B$46,IF(G1375&lt;56,'General Basis'!$B$47,IF(G1375&lt;60,'General Basis'!$B$48,IF(G1375&lt;65,'General Basis'!$B$49,'General Basis'!$B$50)))))))))))))</f>
        <v/>
      </c>
      <c r="BI1375" s="744" t="str">
        <f t="shared" si="489"/>
        <v/>
      </c>
      <c r="BJ1375" s="747" t="str">
        <f t="shared" si="496"/>
        <v/>
      </c>
      <c r="BK1375" s="498" t="str">
        <f t="shared" si="490"/>
        <v/>
      </c>
      <c r="BL1375" s="498" t="str">
        <f t="shared" si="491"/>
        <v/>
      </c>
    </row>
    <row r="1376" spans="1:64" x14ac:dyDescent="0.25">
      <c r="A1376" s="762">
        <f t="shared" si="492"/>
        <v>1371</v>
      </c>
      <c r="B1376" s="229"/>
      <c r="C1376" s="223"/>
      <c r="D1376" s="224"/>
      <c r="E1376" s="225"/>
      <c r="F1376" s="1036" t="str">
        <f t="shared" si="498"/>
        <v/>
      </c>
      <c r="G1376" s="1037" t="str">
        <f t="shared" si="493"/>
        <v/>
      </c>
      <c r="H1376" s="225"/>
      <c r="I1376" s="1013"/>
      <c r="J1376" s="1013"/>
      <c r="K1376" s="1028"/>
      <c r="L1376" s="1035" t="str">
        <f t="shared" si="497"/>
        <v/>
      </c>
      <c r="S1376" s="498"/>
      <c r="AJ1376" s="498"/>
      <c r="AM1376" s="498">
        <f t="shared" si="478"/>
        <v>0</v>
      </c>
      <c r="AN1376" s="498">
        <f t="shared" si="479"/>
        <v>0</v>
      </c>
      <c r="AO1376" s="498">
        <f t="shared" si="480"/>
        <v>0</v>
      </c>
      <c r="AP1376" s="498">
        <f t="shared" si="499"/>
        <v>0</v>
      </c>
      <c r="AQ1376" s="498">
        <f t="shared" si="494"/>
        <v>0</v>
      </c>
      <c r="AU1376" s="498">
        <f t="shared" si="481"/>
        <v>0</v>
      </c>
      <c r="AV1376" s="498">
        <f t="shared" si="482"/>
        <v>0</v>
      </c>
      <c r="AW1376" s="498">
        <f t="shared" si="483"/>
        <v>0</v>
      </c>
      <c r="AX1376" s="498">
        <f t="shared" si="484"/>
        <v>0</v>
      </c>
      <c r="AY1376" s="498">
        <f t="shared" si="485"/>
        <v>0</v>
      </c>
      <c r="BB1376" s="498" t="str">
        <f t="shared" si="486"/>
        <v/>
      </c>
      <c r="BC1376" s="743" t="str">
        <f t="shared" si="487"/>
        <v/>
      </c>
      <c r="BD1376" s="743" t="str">
        <f t="shared" si="488"/>
        <v/>
      </c>
      <c r="BE1376" s="743" t="str">
        <f>IF(D1376="","",VLOOKUP(D1376,'General Basis'!$J$39:$K$46,2,0))</f>
        <v/>
      </c>
      <c r="BF1376" s="744" t="str">
        <f>IF(D1376="","",VLOOKUP(D1376,'General Basis'!$J$39:$L$46,3,0))</f>
        <v/>
      </c>
      <c r="BG1376" s="744" t="str">
        <f t="shared" si="495"/>
        <v/>
      </c>
      <c r="BH1376" s="744" t="str">
        <f>IF(G1376="","",IF(BF1376="Abu Dhabi",IF(G1376&lt;18,'General Basis'!$C$39,IF(G1376&lt;41,'General Basis'!$C$40,IF(G1376&lt;60,'General Basis'!$C$41,IF(G1376&lt;65,'General Basis'!$C$42,'General Basis'!$C$43)))),IF(G1376&lt;11,'General Basis'!$B$39,IF(G1376&lt;18,'General Basis'!$B$40,IF(G1376&lt;26,'General Basis'!$B$41,IF(G1376&lt;31,'General Basis'!$B$42,IF(G1376&lt;36,'General Basis'!$B$43,IF(G1376&lt;41,'General Basis'!$B$44,IF(G1376&lt;46,'General Basis'!$B$45,IF(G1376&lt;51,'General Basis'!$B$46,IF(G1376&lt;56,'General Basis'!$B$47,IF(G1376&lt;60,'General Basis'!$B$48,IF(G1376&lt;65,'General Basis'!$B$49,'General Basis'!$B$50)))))))))))))</f>
        <v/>
      </c>
      <c r="BI1376" s="744" t="str">
        <f t="shared" si="489"/>
        <v/>
      </c>
      <c r="BJ1376" s="747" t="str">
        <f t="shared" si="496"/>
        <v/>
      </c>
      <c r="BK1376" s="498" t="str">
        <f t="shared" si="490"/>
        <v/>
      </c>
      <c r="BL1376" s="498" t="str">
        <f t="shared" si="491"/>
        <v/>
      </c>
    </row>
    <row r="1377" spans="1:64" x14ac:dyDescent="0.25">
      <c r="A1377" s="762">
        <f t="shared" si="492"/>
        <v>1372</v>
      </c>
      <c r="B1377" s="229"/>
      <c r="C1377" s="223"/>
      <c r="D1377" s="224"/>
      <c r="E1377" s="225"/>
      <c r="F1377" s="1036" t="str">
        <f t="shared" si="498"/>
        <v/>
      </c>
      <c r="G1377" s="1037" t="str">
        <f t="shared" si="493"/>
        <v/>
      </c>
      <c r="H1377" s="225"/>
      <c r="I1377" s="1013"/>
      <c r="J1377" s="1013"/>
      <c r="K1377" s="1028"/>
      <c r="L1377" s="1035" t="str">
        <f t="shared" si="497"/>
        <v/>
      </c>
      <c r="S1377" s="498"/>
      <c r="AJ1377" s="498"/>
      <c r="AM1377" s="498">
        <f t="shared" si="478"/>
        <v>0</v>
      </c>
      <c r="AN1377" s="498">
        <f t="shared" si="479"/>
        <v>0</v>
      </c>
      <c r="AO1377" s="498">
        <f t="shared" si="480"/>
        <v>0</v>
      </c>
      <c r="AP1377" s="498">
        <f t="shared" si="499"/>
        <v>0</v>
      </c>
      <c r="AQ1377" s="498">
        <f t="shared" si="494"/>
        <v>0</v>
      </c>
      <c r="AU1377" s="498">
        <f t="shared" si="481"/>
        <v>0</v>
      </c>
      <c r="AV1377" s="498">
        <f t="shared" si="482"/>
        <v>0</v>
      </c>
      <c r="AW1377" s="498">
        <f t="shared" si="483"/>
        <v>0</v>
      </c>
      <c r="AX1377" s="498">
        <f t="shared" si="484"/>
        <v>0</v>
      </c>
      <c r="AY1377" s="498">
        <f t="shared" si="485"/>
        <v>0</v>
      </c>
      <c r="BB1377" s="498" t="str">
        <f t="shared" si="486"/>
        <v/>
      </c>
      <c r="BC1377" s="743" t="str">
        <f t="shared" si="487"/>
        <v/>
      </c>
      <c r="BD1377" s="743" t="str">
        <f t="shared" si="488"/>
        <v/>
      </c>
      <c r="BE1377" s="743" t="str">
        <f>IF(D1377="","",VLOOKUP(D1377,'General Basis'!$J$39:$K$46,2,0))</f>
        <v/>
      </c>
      <c r="BF1377" s="744" t="str">
        <f>IF(D1377="","",VLOOKUP(D1377,'General Basis'!$J$39:$L$46,3,0))</f>
        <v/>
      </c>
      <c r="BG1377" s="744" t="str">
        <f t="shared" si="495"/>
        <v/>
      </c>
      <c r="BH1377" s="744" t="str">
        <f>IF(G1377="","",IF(BF1377="Abu Dhabi",IF(G1377&lt;18,'General Basis'!$C$39,IF(G1377&lt;41,'General Basis'!$C$40,IF(G1377&lt;60,'General Basis'!$C$41,IF(G1377&lt;65,'General Basis'!$C$42,'General Basis'!$C$43)))),IF(G1377&lt;11,'General Basis'!$B$39,IF(G1377&lt;18,'General Basis'!$B$40,IF(G1377&lt;26,'General Basis'!$B$41,IF(G1377&lt;31,'General Basis'!$B$42,IF(G1377&lt;36,'General Basis'!$B$43,IF(G1377&lt;41,'General Basis'!$B$44,IF(G1377&lt;46,'General Basis'!$B$45,IF(G1377&lt;51,'General Basis'!$B$46,IF(G1377&lt;56,'General Basis'!$B$47,IF(G1377&lt;60,'General Basis'!$B$48,IF(G1377&lt;65,'General Basis'!$B$49,'General Basis'!$B$50)))))))))))))</f>
        <v/>
      </c>
      <c r="BI1377" s="744" t="str">
        <f t="shared" si="489"/>
        <v/>
      </c>
      <c r="BJ1377" s="747" t="str">
        <f t="shared" si="496"/>
        <v/>
      </c>
      <c r="BK1377" s="498" t="str">
        <f t="shared" si="490"/>
        <v/>
      </c>
      <c r="BL1377" s="498" t="str">
        <f t="shared" si="491"/>
        <v/>
      </c>
    </row>
    <row r="1378" spans="1:64" x14ac:dyDescent="0.25">
      <c r="A1378" s="762">
        <f t="shared" si="492"/>
        <v>1373</v>
      </c>
      <c r="B1378" s="229"/>
      <c r="C1378" s="223"/>
      <c r="D1378" s="224"/>
      <c r="E1378" s="225"/>
      <c r="F1378" s="1036" t="str">
        <f t="shared" si="498"/>
        <v/>
      </c>
      <c r="G1378" s="1037" t="str">
        <f t="shared" si="493"/>
        <v/>
      </c>
      <c r="H1378" s="225"/>
      <c r="I1378" s="1013"/>
      <c r="J1378" s="1013"/>
      <c r="K1378" s="1028"/>
      <c r="L1378" s="1035" t="str">
        <f t="shared" si="497"/>
        <v/>
      </c>
      <c r="S1378" s="498"/>
      <c r="AJ1378" s="498"/>
      <c r="AM1378" s="498">
        <f t="shared" si="478"/>
        <v>0</v>
      </c>
      <c r="AN1378" s="498">
        <f t="shared" si="479"/>
        <v>0</v>
      </c>
      <c r="AO1378" s="498">
        <f t="shared" si="480"/>
        <v>0</v>
      </c>
      <c r="AP1378" s="498">
        <f t="shared" si="499"/>
        <v>0</v>
      </c>
      <c r="AQ1378" s="498">
        <f t="shared" si="494"/>
        <v>0</v>
      </c>
      <c r="AU1378" s="498">
        <f t="shared" si="481"/>
        <v>0</v>
      </c>
      <c r="AV1378" s="498">
        <f t="shared" si="482"/>
        <v>0</v>
      </c>
      <c r="AW1378" s="498">
        <f t="shared" si="483"/>
        <v>0</v>
      </c>
      <c r="AX1378" s="498">
        <f t="shared" si="484"/>
        <v>0</v>
      </c>
      <c r="AY1378" s="498">
        <f t="shared" si="485"/>
        <v>0</v>
      </c>
      <c r="BB1378" s="498" t="str">
        <f t="shared" si="486"/>
        <v/>
      </c>
      <c r="BC1378" s="743" t="str">
        <f t="shared" si="487"/>
        <v/>
      </c>
      <c r="BD1378" s="743" t="str">
        <f t="shared" si="488"/>
        <v/>
      </c>
      <c r="BE1378" s="743" t="str">
        <f>IF(D1378="","",VLOOKUP(D1378,'General Basis'!$J$39:$K$46,2,0))</f>
        <v/>
      </c>
      <c r="BF1378" s="744" t="str">
        <f>IF(D1378="","",VLOOKUP(D1378,'General Basis'!$J$39:$L$46,3,0))</f>
        <v/>
      </c>
      <c r="BG1378" s="744" t="str">
        <f t="shared" si="495"/>
        <v/>
      </c>
      <c r="BH1378" s="744" t="str">
        <f>IF(G1378="","",IF(BF1378="Abu Dhabi",IF(G1378&lt;18,'General Basis'!$C$39,IF(G1378&lt;41,'General Basis'!$C$40,IF(G1378&lt;60,'General Basis'!$C$41,IF(G1378&lt;65,'General Basis'!$C$42,'General Basis'!$C$43)))),IF(G1378&lt;11,'General Basis'!$B$39,IF(G1378&lt;18,'General Basis'!$B$40,IF(G1378&lt;26,'General Basis'!$B$41,IF(G1378&lt;31,'General Basis'!$B$42,IF(G1378&lt;36,'General Basis'!$B$43,IF(G1378&lt;41,'General Basis'!$B$44,IF(G1378&lt;46,'General Basis'!$B$45,IF(G1378&lt;51,'General Basis'!$B$46,IF(G1378&lt;56,'General Basis'!$B$47,IF(G1378&lt;60,'General Basis'!$B$48,IF(G1378&lt;65,'General Basis'!$B$49,'General Basis'!$B$50)))))))))))))</f>
        <v/>
      </c>
      <c r="BI1378" s="744" t="str">
        <f t="shared" si="489"/>
        <v/>
      </c>
      <c r="BJ1378" s="747" t="str">
        <f t="shared" si="496"/>
        <v/>
      </c>
      <c r="BK1378" s="498" t="str">
        <f t="shared" si="490"/>
        <v/>
      </c>
      <c r="BL1378" s="498" t="str">
        <f t="shared" si="491"/>
        <v/>
      </c>
    </row>
    <row r="1379" spans="1:64" x14ac:dyDescent="0.25">
      <c r="A1379" s="762">
        <f t="shared" si="492"/>
        <v>1374</v>
      </c>
      <c r="B1379" s="229"/>
      <c r="C1379" s="223"/>
      <c r="D1379" s="224"/>
      <c r="E1379" s="225"/>
      <c r="F1379" s="1036" t="str">
        <f t="shared" si="498"/>
        <v/>
      </c>
      <c r="G1379" s="1037" t="str">
        <f t="shared" si="493"/>
        <v/>
      </c>
      <c r="H1379" s="225"/>
      <c r="I1379" s="1013"/>
      <c r="J1379" s="1013"/>
      <c r="K1379" s="1028"/>
      <c r="L1379" s="1035" t="str">
        <f t="shared" si="497"/>
        <v/>
      </c>
      <c r="S1379" s="498"/>
      <c r="AJ1379" s="498"/>
      <c r="AM1379" s="498">
        <f t="shared" si="478"/>
        <v>0</v>
      </c>
      <c r="AN1379" s="498">
        <f t="shared" si="479"/>
        <v>0</v>
      </c>
      <c r="AO1379" s="498">
        <f t="shared" si="480"/>
        <v>0</v>
      </c>
      <c r="AP1379" s="498">
        <f t="shared" si="499"/>
        <v>0</v>
      </c>
      <c r="AQ1379" s="498">
        <f t="shared" si="494"/>
        <v>0</v>
      </c>
      <c r="AU1379" s="498">
        <f t="shared" si="481"/>
        <v>0</v>
      </c>
      <c r="AV1379" s="498">
        <f t="shared" si="482"/>
        <v>0</v>
      </c>
      <c r="AW1379" s="498">
        <f t="shared" si="483"/>
        <v>0</v>
      </c>
      <c r="AX1379" s="498">
        <f t="shared" si="484"/>
        <v>0</v>
      </c>
      <c r="AY1379" s="498">
        <f t="shared" si="485"/>
        <v>0</v>
      </c>
      <c r="BB1379" s="498" t="str">
        <f t="shared" si="486"/>
        <v/>
      </c>
      <c r="BC1379" s="743" t="str">
        <f t="shared" si="487"/>
        <v/>
      </c>
      <c r="BD1379" s="743" t="str">
        <f t="shared" si="488"/>
        <v/>
      </c>
      <c r="BE1379" s="743" t="str">
        <f>IF(D1379="","",VLOOKUP(D1379,'General Basis'!$J$39:$K$46,2,0))</f>
        <v/>
      </c>
      <c r="BF1379" s="744" t="str">
        <f>IF(D1379="","",VLOOKUP(D1379,'General Basis'!$J$39:$L$46,3,0))</f>
        <v/>
      </c>
      <c r="BG1379" s="744" t="str">
        <f t="shared" si="495"/>
        <v/>
      </c>
      <c r="BH1379" s="744" t="str">
        <f>IF(G1379="","",IF(BF1379="Abu Dhabi",IF(G1379&lt;18,'General Basis'!$C$39,IF(G1379&lt;41,'General Basis'!$C$40,IF(G1379&lt;60,'General Basis'!$C$41,IF(G1379&lt;65,'General Basis'!$C$42,'General Basis'!$C$43)))),IF(G1379&lt;11,'General Basis'!$B$39,IF(G1379&lt;18,'General Basis'!$B$40,IF(G1379&lt;26,'General Basis'!$B$41,IF(G1379&lt;31,'General Basis'!$B$42,IF(G1379&lt;36,'General Basis'!$B$43,IF(G1379&lt;41,'General Basis'!$B$44,IF(G1379&lt;46,'General Basis'!$B$45,IF(G1379&lt;51,'General Basis'!$B$46,IF(G1379&lt;56,'General Basis'!$B$47,IF(G1379&lt;60,'General Basis'!$B$48,IF(G1379&lt;65,'General Basis'!$B$49,'General Basis'!$B$50)))))))))))))</f>
        <v/>
      </c>
      <c r="BI1379" s="744" t="str">
        <f t="shared" si="489"/>
        <v/>
      </c>
      <c r="BJ1379" s="747" t="str">
        <f t="shared" si="496"/>
        <v/>
      </c>
      <c r="BK1379" s="498" t="str">
        <f t="shared" si="490"/>
        <v/>
      </c>
      <c r="BL1379" s="498" t="str">
        <f t="shared" si="491"/>
        <v/>
      </c>
    </row>
    <row r="1380" spans="1:64" x14ac:dyDescent="0.25">
      <c r="A1380" s="762">
        <f t="shared" si="492"/>
        <v>1375</v>
      </c>
      <c r="B1380" s="229"/>
      <c r="C1380" s="223"/>
      <c r="D1380" s="224"/>
      <c r="E1380" s="225"/>
      <c r="F1380" s="1036" t="str">
        <f t="shared" si="498"/>
        <v/>
      </c>
      <c r="G1380" s="1037" t="str">
        <f t="shared" si="493"/>
        <v/>
      </c>
      <c r="H1380" s="225"/>
      <c r="I1380" s="1013"/>
      <c r="J1380" s="1013"/>
      <c r="K1380" s="1028"/>
      <c r="L1380" s="1035" t="str">
        <f t="shared" si="497"/>
        <v/>
      </c>
      <c r="S1380" s="498"/>
      <c r="AJ1380" s="498"/>
      <c r="AM1380" s="498">
        <f t="shared" si="478"/>
        <v>0</v>
      </c>
      <c r="AN1380" s="498">
        <f t="shared" si="479"/>
        <v>0</v>
      </c>
      <c r="AO1380" s="498">
        <f t="shared" si="480"/>
        <v>0</v>
      </c>
      <c r="AP1380" s="498">
        <f t="shared" si="499"/>
        <v>0</v>
      </c>
      <c r="AQ1380" s="498">
        <f t="shared" si="494"/>
        <v>0</v>
      </c>
      <c r="AU1380" s="498">
        <f t="shared" si="481"/>
        <v>0</v>
      </c>
      <c r="AV1380" s="498">
        <f t="shared" si="482"/>
        <v>0</v>
      </c>
      <c r="AW1380" s="498">
        <f t="shared" si="483"/>
        <v>0</v>
      </c>
      <c r="AX1380" s="498">
        <f t="shared" si="484"/>
        <v>0</v>
      </c>
      <c r="AY1380" s="498">
        <f t="shared" si="485"/>
        <v>0</v>
      </c>
      <c r="BB1380" s="498" t="str">
        <f t="shared" si="486"/>
        <v/>
      </c>
      <c r="BC1380" s="743" t="str">
        <f t="shared" si="487"/>
        <v/>
      </c>
      <c r="BD1380" s="743" t="str">
        <f t="shared" si="488"/>
        <v/>
      </c>
      <c r="BE1380" s="743" t="str">
        <f>IF(D1380="","",VLOOKUP(D1380,'General Basis'!$J$39:$K$46,2,0))</f>
        <v/>
      </c>
      <c r="BF1380" s="744" t="str">
        <f>IF(D1380="","",VLOOKUP(D1380,'General Basis'!$J$39:$L$46,3,0))</f>
        <v/>
      </c>
      <c r="BG1380" s="744" t="str">
        <f t="shared" si="495"/>
        <v/>
      </c>
      <c r="BH1380" s="744" t="str">
        <f>IF(G1380="","",IF(BF1380="Abu Dhabi",IF(G1380&lt;18,'General Basis'!$C$39,IF(G1380&lt;41,'General Basis'!$C$40,IF(G1380&lt;60,'General Basis'!$C$41,IF(G1380&lt;65,'General Basis'!$C$42,'General Basis'!$C$43)))),IF(G1380&lt;11,'General Basis'!$B$39,IF(G1380&lt;18,'General Basis'!$B$40,IF(G1380&lt;26,'General Basis'!$B$41,IF(G1380&lt;31,'General Basis'!$B$42,IF(G1380&lt;36,'General Basis'!$B$43,IF(G1380&lt;41,'General Basis'!$B$44,IF(G1380&lt;46,'General Basis'!$B$45,IF(G1380&lt;51,'General Basis'!$B$46,IF(G1380&lt;56,'General Basis'!$B$47,IF(G1380&lt;60,'General Basis'!$B$48,IF(G1380&lt;65,'General Basis'!$B$49,'General Basis'!$B$50)))))))))))))</f>
        <v/>
      </c>
      <c r="BI1380" s="744" t="str">
        <f t="shared" si="489"/>
        <v/>
      </c>
      <c r="BJ1380" s="747" t="str">
        <f t="shared" si="496"/>
        <v/>
      </c>
      <c r="BK1380" s="498" t="str">
        <f t="shared" si="490"/>
        <v/>
      </c>
      <c r="BL1380" s="498" t="str">
        <f t="shared" si="491"/>
        <v/>
      </c>
    </row>
    <row r="1381" spans="1:64" x14ac:dyDescent="0.25">
      <c r="A1381" s="762">
        <f t="shared" si="492"/>
        <v>1376</v>
      </c>
      <c r="B1381" s="229"/>
      <c r="C1381" s="223"/>
      <c r="D1381" s="224"/>
      <c r="E1381" s="225"/>
      <c r="F1381" s="1036" t="str">
        <f t="shared" si="498"/>
        <v/>
      </c>
      <c r="G1381" s="1037" t="str">
        <f t="shared" si="493"/>
        <v/>
      </c>
      <c r="H1381" s="225"/>
      <c r="I1381" s="1013"/>
      <c r="J1381" s="1013"/>
      <c r="K1381" s="1028"/>
      <c r="L1381" s="1035" t="str">
        <f t="shared" si="497"/>
        <v/>
      </c>
      <c r="S1381" s="498"/>
      <c r="AJ1381" s="498"/>
      <c r="AM1381" s="498">
        <f t="shared" si="478"/>
        <v>0</v>
      </c>
      <c r="AN1381" s="498">
        <f t="shared" si="479"/>
        <v>0</v>
      </c>
      <c r="AO1381" s="498">
        <f t="shared" si="480"/>
        <v>0</v>
      </c>
      <c r="AP1381" s="498">
        <f t="shared" si="499"/>
        <v>0</v>
      </c>
      <c r="AQ1381" s="498">
        <f t="shared" si="494"/>
        <v>0</v>
      </c>
      <c r="AU1381" s="498">
        <f t="shared" si="481"/>
        <v>0</v>
      </c>
      <c r="AV1381" s="498">
        <f t="shared" si="482"/>
        <v>0</v>
      </c>
      <c r="AW1381" s="498">
        <f t="shared" si="483"/>
        <v>0</v>
      </c>
      <c r="AX1381" s="498">
        <f t="shared" si="484"/>
        <v>0</v>
      </c>
      <c r="AY1381" s="498">
        <f t="shared" si="485"/>
        <v>0</v>
      </c>
      <c r="BB1381" s="498" t="str">
        <f t="shared" si="486"/>
        <v/>
      </c>
      <c r="BC1381" s="743" t="str">
        <f t="shared" si="487"/>
        <v/>
      </c>
      <c r="BD1381" s="743" t="str">
        <f t="shared" si="488"/>
        <v/>
      </c>
      <c r="BE1381" s="743" t="str">
        <f>IF(D1381="","",VLOOKUP(D1381,'General Basis'!$J$39:$K$46,2,0))</f>
        <v/>
      </c>
      <c r="BF1381" s="744" t="str">
        <f>IF(D1381="","",VLOOKUP(D1381,'General Basis'!$J$39:$L$46,3,0))</f>
        <v/>
      </c>
      <c r="BG1381" s="744" t="str">
        <f t="shared" si="495"/>
        <v/>
      </c>
      <c r="BH1381" s="744" t="str">
        <f>IF(G1381="","",IF(BF1381="Abu Dhabi",IF(G1381&lt;18,'General Basis'!$C$39,IF(G1381&lt;41,'General Basis'!$C$40,IF(G1381&lt;60,'General Basis'!$C$41,IF(G1381&lt;65,'General Basis'!$C$42,'General Basis'!$C$43)))),IF(G1381&lt;11,'General Basis'!$B$39,IF(G1381&lt;18,'General Basis'!$B$40,IF(G1381&lt;26,'General Basis'!$B$41,IF(G1381&lt;31,'General Basis'!$B$42,IF(G1381&lt;36,'General Basis'!$B$43,IF(G1381&lt;41,'General Basis'!$B$44,IF(G1381&lt;46,'General Basis'!$B$45,IF(G1381&lt;51,'General Basis'!$B$46,IF(G1381&lt;56,'General Basis'!$B$47,IF(G1381&lt;60,'General Basis'!$B$48,IF(G1381&lt;65,'General Basis'!$B$49,'General Basis'!$B$50)))))))))))))</f>
        <v/>
      </c>
      <c r="BI1381" s="744" t="str">
        <f t="shared" si="489"/>
        <v/>
      </c>
      <c r="BJ1381" s="747" t="str">
        <f t="shared" si="496"/>
        <v/>
      </c>
      <c r="BK1381" s="498" t="str">
        <f t="shared" si="490"/>
        <v/>
      </c>
      <c r="BL1381" s="498" t="str">
        <f t="shared" si="491"/>
        <v/>
      </c>
    </row>
    <row r="1382" spans="1:64" x14ac:dyDescent="0.25">
      <c r="A1382" s="762">
        <f t="shared" si="492"/>
        <v>1377</v>
      </c>
      <c r="B1382" s="229"/>
      <c r="C1382" s="223"/>
      <c r="D1382" s="224"/>
      <c r="E1382" s="225"/>
      <c r="F1382" s="1036" t="str">
        <f t="shared" si="498"/>
        <v/>
      </c>
      <c r="G1382" s="1037" t="str">
        <f t="shared" si="493"/>
        <v/>
      </c>
      <c r="H1382" s="225"/>
      <c r="I1382" s="1013"/>
      <c r="J1382" s="1013"/>
      <c r="K1382" s="1028"/>
      <c r="L1382" s="1035" t="str">
        <f t="shared" si="497"/>
        <v/>
      </c>
      <c r="S1382" s="498"/>
      <c r="AJ1382" s="498"/>
      <c r="AM1382" s="498">
        <f t="shared" si="478"/>
        <v>0</v>
      </c>
      <c r="AN1382" s="498">
        <f t="shared" si="479"/>
        <v>0</v>
      </c>
      <c r="AO1382" s="498">
        <f t="shared" si="480"/>
        <v>0</v>
      </c>
      <c r="AP1382" s="498">
        <f t="shared" si="499"/>
        <v>0</v>
      </c>
      <c r="AQ1382" s="498">
        <f t="shared" si="494"/>
        <v>0</v>
      </c>
      <c r="AU1382" s="498">
        <f t="shared" si="481"/>
        <v>0</v>
      </c>
      <c r="AV1382" s="498">
        <f t="shared" si="482"/>
        <v>0</v>
      </c>
      <c r="AW1382" s="498">
        <f t="shared" si="483"/>
        <v>0</v>
      </c>
      <c r="AX1382" s="498">
        <f t="shared" si="484"/>
        <v>0</v>
      </c>
      <c r="AY1382" s="498">
        <f t="shared" si="485"/>
        <v>0</v>
      </c>
      <c r="BB1382" s="498" t="str">
        <f t="shared" si="486"/>
        <v/>
      </c>
      <c r="BC1382" s="743" t="str">
        <f t="shared" si="487"/>
        <v/>
      </c>
      <c r="BD1382" s="743" t="str">
        <f t="shared" si="488"/>
        <v/>
      </c>
      <c r="BE1382" s="743" t="str">
        <f>IF(D1382="","",VLOOKUP(D1382,'General Basis'!$J$39:$K$46,2,0))</f>
        <v/>
      </c>
      <c r="BF1382" s="744" t="str">
        <f>IF(D1382="","",VLOOKUP(D1382,'General Basis'!$J$39:$L$46,3,0))</f>
        <v/>
      </c>
      <c r="BG1382" s="744" t="str">
        <f t="shared" si="495"/>
        <v/>
      </c>
      <c r="BH1382" s="744" t="str">
        <f>IF(G1382="","",IF(BF1382="Abu Dhabi",IF(G1382&lt;18,'General Basis'!$C$39,IF(G1382&lt;41,'General Basis'!$C$40,IF(G1382&lt;60,'General Basis'!$C$41,IF(G1382&lt;65,'General Basis'!$C$42,'General Basis'!$C$43)))),IF(G1382&lt;11,'General Basis'!$B$39,IF(G1382&lt;18,'General Basis'!$B$40,IF(G1382&lt;26,'General Basis'!$B$41,IF(G1382&lt;31,'General Basis'!$B$42,IF(G1382&lt;36,'General Basis'!$B$43,IF(G1382&lt;41,'General Basis'!$B$44,IF(G1382&lt;46,'General Basis'!$B$45,IF(G1382&lt;51,'General Basis'!$B$46,IF(G1382&lt;56,'General Basis'!$B$47,IF(G1382&lt;60,'General Basis'!$B$48,IF(G1382&lt;65,'General Basis'!$B$49,'General Basis'!$B$50)))))))))))))</f>
        <v/>
      </c>
      <c r="BI1382" s="744" t="str">
        <f t="shared" si="489"/>
        <v/>
      </c>
      <c r="BJ1382" s="747" t="str">
        <f t="shared" si="496"/>
        <v/>
      </c>
      <c r="BK1382" s="498" t="str">
        <f t="shared" si="490"/>
        <v/>
      </c>
      <c r="BL1382" s="498" t="str">
        <f t="shared" si="491"/>
        <v/>
      </c>
    </row>
    <row r="1383" spans="1:64" x14ac:dyDescent="0.25">
      <c r="A1383" s="762">
        <f t="shared" si="492"/>
        <v>1378</v>
      </c>
      <c r="B1383" s="229"/>
      <c r="C1383" s="223"/>
      <c r="D1383" s="224"/>
      <c r="E1383" s="225"/>
      <c r="F1383" s="1036" t="str">
        <f t="shared" si="498"/>
        <v/>
      </c>
      <c r="G1383" s="1037" t="str">
        <f t="shared" si="493"/>
        <v/>
      </c>
      <c r="H1383" s="225"/>
      <c r="I1383" s="1013"/>
      <c r="J1383" s="1013"/>
      <c r="K1383" s="1028"/>
      <c r="L1383" s="1035" t="str">
        <f t="shared" si="497"/>
        <v/>
      </c>
      <c r="S1383" s="498"/>
      <c r="AJ1383" s="498"/>
      <c r="AM1383" s="498">
        <f t="shared" si="478"/>
        <v>0</v>
      </c>
      <c r="AN1383" s="498">
        <f t="shared" si="479"/>
        <v>0</v>
      </c>
      <c r="AO1383" s="498">
        <f t="shared" si="480"/>
        <v>0</v>
      </c>
      <c r="AP1383" s="498">
        <f t="shared" si="499"/>
        <v>0</v>
      </c>
      <c r="AQ1383" s="498">
        <f t="shared" si="494"/>
        <v>0</v>
      </c>
      <c r="AU1383" s="498">
        <f t="shared" si="481"/>
        <v>0</v>
      </c>
      <c r="AV1383" s="498">
        <f t="shared" si="482"/>
        <v>0</v>
      </c>
      <c r="AW1383" s="498">
        <f t="shared" si="483"/>
        <v>0</v>
      </c>
      <c r="AX1383" s="498">
        <f t="shared" si="484"/>
        <v>0</v>
      </c>
      <c r="AY1383" s="498">
        <f t="shared" si="485"/>
        <v>0</v>
      </c>
      <c r="BB1383" s="498" t="str">
        <f t="shared" si="486"/>
        <v/>
      </c>
      <c r="BC1383" s="743" t="str">
        <f t="shared" si="487"/>
        <v/>
      </c>
      <c r="BD1383" s="743" t="str">
        <f t="shared" si="488"/>
        <v/>
      </c>
      <c r="BE1383" s="743" t="str">
        <f>IF(D1383="","",VLOOKUP(D1383,'General Basis'!$J$39:$K$46,2,0))</f>
        <v/>
      </c>
      <c r="BF1383" s="744" t="str">
        <f>IF(D1383="","",VLOOKUP(D1383,'General Basis'!$J$39:$L$46,3,0))</f>
        <v/>
      </c>
      <c r="BG1383" s="744" t="str">
        <f t="shared" si="495"/>
        <v/>
      </c>
      <c r="BH1383" s="744" t="str">
        <f>IF(G1383="","",IF(BF1383="Abu Dhabi",IF(G1383&lt;18,'General Basis'!$C$39,IF(G1383&lt;41,'General Basis'!$C$40,IF(G1383&lt;60,'General Basis'!$C$41,IF(G1383&lt;65,'General Basis'!$C$42,'General Basis'!$C$43)))),IF(G1383&lt;11,'General Basis'!$B$39,IF(G1383&lt;18,'General Basis'!$B$40,IF(G1383&lt;26,'General Basis'!$B$41,IF(G1383&lt;31,'General Basis'!$B$42,IF(G1383&lt;36,'General Basis'!$B$43,IF(G1383&lt;41,'General Basis'!$B$44,IF(G1383&lt;46,'General Basis'!$B$45,IF(G1383&lt;51,'General Basis'!$B$46,IF(G1383&lt;56,'General Basis'!$B$47,IF(G1383&lt;60,'General Basis'!$B$48,IF(G1383&lt;65,'General Basis'!$B$49,'General Basis'!$B$50)))))))))))))</f>
        <v/>
      </c>
      <c r="BI1383" s="744" t="str">
        <f t="shared" si="489"/>
        <v/>
      </c>
      <c r="BJ1383" s="747" t="str">
        <f t="shared" si="496"/>
        <v/>
      </c>
      <c r="BK1383" s="498" t="str">
        <f t="shared" si="490"/>
        <v/>
      </c>
      <c r="BL1383" s="498" t="str">
        <f t="shared" si="491"/>
        <v/>
      </c>
    </row>
    <row r="1384" spans="1:64" x14ac:dyDescent="0.25">
      <c r="A1384" s="762">
        <f t="shared" si="492"/>
        <v>1379</v>
      </c>
      <c r="B1384" s="229"/>
      <c r="C1384" s="223"/>
      <c r="D1384" s="224"/>
      <c r="E1384" s="225"/>
      <c r="F1384" s="1036" t="str">
        <f t="shared" si="498"/>
        <v/>
      </c>
      <c r="G1384" s="1037" t="str">
        <f t="shared" si="493"/>
        <v/>
      </c>
      <c r="H1384" s="225"/>
      <c r="I1384" s="1013"/>
      <c r="J1384" s="1013"/>
      <c r="K1384" s="1028"/>
      <c r="L1384" s="1035" t="str">
        <f t="shared" si="497"/>
        <v/>
      </c>
      <c r="S1384" s="498"/>
      <c r="AJ1384" s="498"/>
      <c r="AM1384" s="498">
        <f t="shared" si="478"/>
        <v>0</v>
      </c>
      <c r="AN1384" s="498">
        <f t="shared" si="479"/>
        <v>0</v>
      </c>
      <c r="AO1384" s="498">
        <f t="shared" si="480"/>
        <v>0</v>
      </c>
      <c r="AP1384" s="498">
        <f t="shared" si="499"/>
        <v>0</v>
      </c>
      <c r="AQ1384" s="498">
        <f t="shared" si="494"/>
        <v>0</v>
      </c>
      <c r="AU1384" s="498">
        <f t="shared" si="481"/>
        <v>0</v>
      </c>
      <c r="AV1384" s="498">
        <f t="shared" si="482"/>
        <v>0</v>
      </c>
      <c r="AW1384" s="498">
        <f t="shared" si="483"/>
        <v>0</v>
      </c>
      <c r="AX1384" s="498">
        <f t="shared" si="484"/>
        <v>0</v>
      </c>
      <c r="AY1384" s="498">
        <f t="shared" si="485"/>
        <v>0</v>
      </c>
      <c r="BB1384" s="498" t="str">
        <f t="shared" si="486"/>
        <v/>
      </c>
      <c r="BC1384" s="743" t="str">
        <f t="shared" si="487"/>
        <v/>
      </c>
      <c r="BD1384" s="743" t="str">
        <f t="shared" si="488"/>
        <v/>
      </c>
      <c r="BE1384" s="743" t="str">
        <f>IF(D1384="","",VLOOKUP(D1384,'General Basis'!$J$39:$K$46,2,0))</f>
        <v/>
      </c>
      <c r="BF1384" s="744" t="str">
        <f>IF(D1384="","",VLOOKUP(D1384,'General Basis'!$J$39:$L$46,3,0))</f>
        <v/>
      </c>
      <c r="BG1384" s="744" t="str">
        <f t="shared" si="495"/>
        <v/>
      </c>
      <c r="BH1384" s="744" t="str">
        <f>IF(G1384="","",IF(BF1384="Abu Dhabi",IF(G1384&lt;18,'General Basis'!$C$39,IF(G1384&lt;41,'General Basis'!$C$40,IF(G1384&lt;60,'General Basis'!$C$41,IF(G1384&lt;65,'General Basis'!$C$42,'General Basis'!$C$43)))),IF(G1384&lt;11,'General Basis'!$B$39,IF(G1384&lt;18,'General Basis'!$B$40,IF(G1384&lt;26,'General Basis'!$B$41,IF(G1384&lt;31,'General Basis'!$B$42,IF(G1384&lt;36,'General Basis'!$B$43,IF(G1384&lt;41,'General Basis'!$B$44,IF(G1384&lt;46,'General Basis'!$B$45,IF(G1384&lt;51,'General Basis'!$B$46,IF(G1384&lt;56,'General Basis'!$B$47,IF(G1384&lt;60,'General Basis'!$B$48,IF(G1384&lt;65,'General Basis'!$B$49,'General Basis'!$B$50)))))))))))))</f>
        <v/>
      </c>
      <c r="BI1384" s="744" t="str">
        <f t="shared" si="489"/>
        <v/>
      </c>
      <c r="BJ1384" s="747" t="str">
        <f t="shared" si="496"/>
        <v/>
      </c>
      <c r="BK1384" s="498" t="str">
        <f t="shared" si="490"/>
        <v/>
      </c>
      <c r="BL1384" s="498" t="str">
        <f t="shared" si="491"/>
        <v/>
      </c>
    </row>
    <row r="1385" spans="1:64" x14ac:dyDescent="0.25">
      <c r="A1385" s="762">
        <f t="shared" si="492"/>
        <v>1380</v>
      </c>
      <c r="B1385" s="229"/>
      <c r="C1385" s="223"/>
      <c r="D1385" s="224"/>
      <c r="E1385" s="225"/>
      <c r="F1385" s="1036" t="str">
        <f t="shared" si="498"/>
        <v/>
      </c>
      <c r="G1385" s="1037" t="str">
        <f t="shared" si="493"/>
        <v/>
      </c>
      <c r="H1385" s="225"/>
      <c r="I1385" s="1013"/>
      <c r="J1385" s="1013"/>
      <c r="K1385" s="1028"/>
      <c r="L1385" s="1035" t="str">
        <f t="shared" si="497"/>
        <v/>
      </c>
      <c r="S1385" s="498"/>
      <c r="AJ1385" s="498"/>
      <c r="AM1385" s="498">
        <f t="shared" si="478"/>
        <v>0</v>
      </c>
      <c r="AN1385" s="498">
        <f t="shared" si="479"/>
        <v>0</v>
      </c>
      <c r="AO1385" s="498">
        <f t="shared" si="480"/>
        <v>0</v>
      </c>
      <c r="AP1385" s="498">
        <f t="shared" si="499"/>
        <v>0</v>
      </c>
      <c r="AQ1385" s="498">
        <f t="shared" si="494"/>
        <v>0</v>
      </c>
      <c r="AU1385" s="498">
        <f t="shared" si="481"/>
        <v>0</v>
      </c>
      <c r="AV1385" s="498">
        <f t="shared" si="482"/>
        <v>0</v>
      </c>
      <c r="AW1385" s="498">
        <f t="shared" si="483"/>
        <v>0</v>
      </c>
      <c r="AX1385" s="498">
        <f t="shared" si="484"/>
        <v>0</v>
      </c>
      <c r="AY1385" s="498">
        <f t="shared" si="485"/>
        <v>0</v>
      </c>
      <c r="BB1385" s="498" t="str">
        <f t="shared" si="486"/>
        <v/>
      </c>
      <c r="BC1385" s="743" t="str">
        <f t="shared" si="487"/>
        <v/>
      </c>
      <c r="BD1385" s="743" t="str">
        <f t="shared" si="488"/>
        <v/>
      </c>
      <c r="BE1385" s="743" t="str">
        <f>IF(D1385="","",VLOOKUP(D1385,'General Basis'!$J$39:$K$46,2,0))</f>
        <v/>
      </c>
      <c r="BF1385" s="744" t="str">
        <f>IF(D1385="","",VLOOKUP(D1385,'General Basis'!$J$39:$L$46,3,0))</f>
        <v/>
      </c>
      <c r="BG1385" s="744" t="str">
        <f t="shared" si="495"/>
        <v/>
      </c>
      <c r="BH1385" s="744" t="str">
        <f>IF(G1385="","",IF(BF1385="Abu Dhabi",IF(G1385&lt;18,'General Basis'!$C$39,IF(G1385&lt;41,'General Basis'!$C$40,IF(G1385&lt;60,'General Basis'!$C$41,IF(G1385&lt;65,'General Basis'!$C$42,'General Basis'!$C$43)))),IF(G1385&lt;11,'General Basis'!$B$39,IF(G1385&lt;18,'General Basis'!$B$40,IF(G1385&lt;26,'General Basis'!$B$41,IF(G1385&lt;31,'General Basis'!$B$42,IF(G1385&lt;36,'General Basis'!$B$43,IF(G1385&lt;41,'General Basis'!$B$44,IF(G1385&lt;46,'General Basis'!$B$45,IF(G1385&lt;51,'General Basis'!$B$46,IF(G1385&lt;56,'General Basis'!$B$47,IF(G1385&lt;60,'General Basis'!$B$48,IF(G1385&lt;65,'General Basis'!$B$49,'General Basis'!$B$50)))))))))))))</f>
        <v/>
      </c>
      <c r="BI1385" s="744" t="str">
        <f t="shared" si="489"/>
        <v/>
      </c>
      <c r="BJ1385" s="747" t="str">
        <f t="shared" si="496"/>
        <v/>
      </c>
      <c r="BK1385" s="498" t="str">
        <f t="shared" si="490"/>
        <v/>
      </c>
      <c r="BL1385" s="498" t="str">
        <f t="shared" si="491"/>
        <v/>
      </c>
    </row>
    <row r="1386" spans="1:64" x14ac:dyDescent="0.25">
      <c r="A1386" s="762">
        <f t="shared" si="492"/>
        <v>1381</v>
      </c>
      <c r="B1386" s="229"/>
      <c r="C1386" s="223"/>
      <c r="D1386" s="224"/>
      <c r="E1386" s="225"/>
      <c r="F1386" s="1036" t="str">
        <f t="shared" si="498"/>
        <v/>
      </c>
      <c r="G1386" s="1037" t="str">
        <f t="shared" si="493"/>
        <v/>
      </c>
      <c r="H1386" s="225"/>
      <c r="I1386" s="1013"/>
      <c r="J1386" s="1013"/>
      <c r="K1386" s="1028"/>
      <c r="L1386" s="1035" t="str">
        <f t="shared" si="497"/>
        <v/>
      </c>
      <c r="S1386" s="498"/>
      <c r="AJ1386" s="498"/>
      <c r="AM1386" s="498">
        <f t="shared" si="478"/>
        <v>0</v>
      </c>
      <c r="AN1386" s="498">
        <f t="shared" si="479"/>
        <v>0</v>
      </c>
      <c r="AO1386" s="498">
        <f t="shared" si="480"/>
        <v>0</v>
      </c>
      <c r="AP1386" s="498">
        <f t="shared" si="499"/>
        <v>0</v>
      </c>
      <c r="AQ1386" s="498">
        <f t="shared" si="494"/>
        <v>0</v>
      </c>
      <c r="AU1386" s="498">
        <f t="shared" si="481"/>
        <v>0</v>
      </c>
      <c r="AV1386" s="498">
        <f t="shared" si="482"/>
        <v>0</v>
      </c>
      <c r="AW1386" s="498">
        <f t="shared" si="483"/>
        <v>0</v>
      </c>
      <c r="AX1386" s="498">
        <f t="shared" si="484"/>
        <v>0</v>
      </c>
      <c r="AY1386" s="498">
        <f t="shared" si="485"/>
        <v>0</v>
      </c>
      <c r="BB1386" s="498" t="str">
        <f t="shared" si="486"/>
        <v/>
      </c>
      <c r="BC1386" s="743" t="str">
        <f t="shared" si="487"/>
        <v/>
      </c>
      <c r="BD1386" s="743" t="str">
        <f t="shared" si="488"/>
        <v/>
      </c>
      <c r="BE1386" s="743" t="str">
        <f>IF(D1386="","",VLOOKUP(D1386,'General Basis'!$J$39:$K$46,2,0))</f>
        <v/>
      </c>
      <c r="BF1386" s="744" t="str">
        <f>IF(D1386="","",VLOOKUP(D1386,'General Basis'!$J$39:$L$46,3,0))</f>
        <v/>
      </c>
      <c r="BG1386" s="744" t="str">
        <f t="shared" si="495"/>
        <v/>
      </c>
      <c r="BH1386" s="744" t="str">
        <f>IF(G1386="","",IF(BF1386="Abu Dhabi",IF(G1386&lt;18,'General Basis'!$C$39,IF(G1386&lt;41,'General Basis'!$C$40,IF(G1386&lt;60,'General Basis'!$C$41,IF(G1386&lt;65,'General Basis'!$C$42,'General Basis'!$C$43)))),IF(G1386&lt;11,'General Basis'!$B$39,IF(G1386&lt;18,'General Basis'!$B$40,IF(G1386&lt;26,'General Basis'!$B$41,IF(G1386&lt;31,'General Basis'!$B$42,IF(G1386&lt;36,'General Basis'!$B$43,IF(G1386&lt;41,'General Basis'!$B$44,IF(G1386&lt;46,'General Basis'!$B$45,IF(G1386&lt;51,'General Basis'!$B$46,IF(G1386&lt;56,'General Basis'!$B$47,IF(G1386&lt;60,'General Basis'!$B$48,IF(G1386&lt;65,'General Basis'!$B$49,'General Basis'!$B$50)))))))))))))</f>
        <v/>
      </c>
      <c r="BI1386" s="744" t="str">
        <f t="shared" si="489"/>
        <v/>
      </c>
      <c r="BJ1386" s="747" t="str">
        <f t="shared" si="496"/>
        <v/>
      </c>
      <c r="BK1386" s="498" t="str">
        <f t="shared" si="490"/>
        <v/>
      </c>
      <c r="BL1386" s="498" t="str">
        <f t="shared" si="491"/>
        <v/>
      </c>
    </row>
    <row r="1387" spans="1:64" x14ac:dyDescent="0.25">
      <c r="A1387" s="762">
        <f t="shared" si="492"/>
        <v>1382</v>
      </c>
      <c r="B1387" s="229"/>
      <c r="C1387" s="223"/>
      <c r="D1387" s="224"/>
      <c r="E1387" s="225"/>
      <c r="F1387" s="1036" t="str">
        <f t="shared" si="498"/>
        <v/>
      </c>
      <c r="G1387" s="1037" t="str">
        <f t="shared" si="493"/>
        <v/>
      </c>
      <c r="H1387" s="225"/>
      <c r="I1387" s="1013"/>
      <c r="J1387" s="1013"/>
      <c r="K1387" s="1028"/>
      <c r="L1387" s="1035" t="str">
        <f t="shared" si="497"/>
        <v/>
      </c>
      <c r="S1387" s="498"/>
      <c r="AJ1387" s="498"/>
      <c r="AM1387" s="498">
        <f t="shared" si="478"/>
        <v>0</v>
      </c>
      <c r="AN1387" s="498">
        <f t="shared" si="479"/>
        <v>0</v>
      </c>
      <c r="AO1387" s="498">
        <f t="shared" si="480"/>
        <v>0</v>
      </c>
      <c r="AP1387" s="498">
        <f t="shared" si="499"/>
        <v>0</v>
      </c>
      <c r="AQ1387" s="498">
        <f t="shared" si="494"/>
        <v>0</v>
      </c>
      <c r="AU1387" s="498">
        <f t="shared" si="481"/>
        <v>0</v>
      </c>
      <c r="AV1387" s="498">
        <f t="shared" si="482"/>
        <v>0</v>
      </c>
      <c r="AW1387" s="498">
        <f t="shared" si="483"/>
        <v>0</v>
      </c>
      <c r="AX1387" s="498">
        <f t="shared" si="484"/>
        <v>0</v>
      </c>
      <c r="AY1387" s="498">
        <f t="shared" si="485"/>
        <v>0</v>
      </c>
      <c r="BB1387" s="498" t="str">
        <f t="shared" si="486"/>
        <v/>
      </c>
      <c r="BC1387" s="743" t="str">
        <f t="shared" si="487"/>
        <v/>
      </c>
      <c r="BD1387" s="743" t="str">
        <f t="shared" si="488"/>
        <v/>
      </c>
      <c r="BE1387" s="743" t="str">
        <f>IF(D1387="","",VLOOKUP(D1387,'General Basis'!$J$39:$K$46,2,0))</f>
        <v/>
      </c>
      <c r="BF1387" s="744" t="str">
        <f>IF(D1387="","",VLOOKUP(D1387,'General Basis'!$J$39:$L$46,3,0))</f>
        <v/>
      </c>
      <c r="BG1387" s="744" t="str">
        <f t="shared" si="495"/>
        <v/>
      </c>
      <c r="BH1387" s="744" t="str">
        <f>IF(G1387="","",IF(BF1387="Abu Dhabi",IF(G1387&lt;18,'General Basis'!$C$39,IF(G1387&lt;41,'General Basis'!$C$40,IF(G1387&lt;60,'General Basis'!$C$41,IF(G1387&lt;65,'General Basis'!$C$42,'General Basis'!$C$43)))),IF(G1387&lt;11,'General Basis'!$B$39,IF(G1387&lt;18,'General Basis'!$B$40,IF(G1387&lt;26,'General Basis'!$B$41,IF(G1387&lt;31,'General Basis'!$B$42,IF(G1387&lt;36,'General Basis'!$B$43,IF(G1387&lt;41,'General Basis'!$B$44,IF(G1387&lt;46,'General Basis'!$B$45,IF(G1387&lt;51,'General Basis'!$B$46,IF(G1387&lt;56,'General Basis'!$B$47,IF(G1387&lt;60,'General Basis'!$B$48,IF(G1387&lt;65,'General Basis'!$B$49,'General Basis'!$B$50)))))))))))))</f>
        <v/>
      </c>
      <c r="BI1387" s="744" t="str">
        <f t="shared" si="489"/>
        <v/>
      </c>
      <c r="BJ1387" s="747" t="str">
        <f t="shared" si="496"/>
        <v/>
      </c>
      <c r="BK1387" s="498" t="str">
        <f t="shared" si="490"/>
        <v/>
      </c>
      <c r="BL1387" s="498" t="str">
        <f t="shared" si="491"/>
        <v/>
      </c>
    </row>
    <row r="1388" spans="1:64" x14ac:dyDescent="0.25">
      <c r="A1388" s="762">
        <f t="shared" si="492"/>
        <v>1383</v>
      </c>
      <c r="B1388" s="229"/>
      <c r="C1388" s="223"/>
      <c r="D1388" s="224"/>
      <c r="E1388" s="225"/>
      <c r="F1388" s="1036" t="str">
        <f t="shared" si="498"/>
        <v/>
      </c>
      <c r="G1388" s="1037" t="str">
        <f t="shared" si="493"/>
        <v/>
      </c>
      <c r="H1388" s="225"/>
      <c r="I1388" s="1013"/>
      <c r="J1388" s="1013"/>
      <c r="K1388" s="1028"/>
      <c r="L1388" s="1035" t="str">
        <f t="shared" si="497"/>
        <v/>
      </c>
      <c r="S1388" s="498"/>
      <c r="AJ1388" s="498"/>
      <c r="AM1388" s="498">
        <f t="shared" si="478"/>
        <v>0</v>
      </c>
      <c r="AN1388" s="498">
        <f t="shared" si="479"/>
        <v>0</v>
      </c>
      <c r="AO1388" s="498">
        <f t="shared" si="480"/>
        <v>0</v>
      </c>
      <c r="AP1388" s="498">
        <f t="shared" si="499"/>
        <v>0</v>
      </c>
      <c r="AQ1388" s="498">
        <f t="shared" si="494"/>
        <v>0</v>
      </c>
      <c r="AU1388" s="498">
        <f t="shared" si="481"/>
        <v>0</v>
      </c>
      <c r="AV1388" s="498">
        <f t="shared" si="482"/>
        <v>0</v>
      </c>
      <c r="AW1388" s="498">
        <f t="shared" si="483"/>
        <v>0</v>
      </c>
      <c r="AX1388" s="498">
        <f t="shared" si="484"/>
        <v>0</v>
      </c>
      <c r="AY1388" s="498">
        <f t="shared" si="485"/>
        <v>0</v>
      </c>
      <c r="BB1388" s="498" t="str">
        <f t="shared" si="486"/>
        <v/>
      </c>
      <c r="BC1388" s="743" t="str">
        <f t="shared" si="487"/>
        <v/>
      </c>
      <c r="BD1388" s="743" t="str">
        <f t="shared" si="488"/>
        <v/>
      </c>
      <c r="BE1388" s="743" t="str">
        <f>IF(D1388="","",VLOOKUP(D1388,'General Basis'!$J$39:$K$46,2,0))</f>
        <v/>
      </c>
      <c r="BF1388" s="744" t="str">
        <f>IF(D1388="","",VLOOKUP(D1388,'General Basis'!$J$39:$L$46,3,0))</f>
        <v/>
      </c>
      <c r="BG1388" s="744" t="str">
        <f t="shared" si="495"/>
        <v/>
      </c>
      <c r="BH1388" s="744" t="str">
        <f>IF(G1388="","",IF(BF1388="Abu Dhabi",IF(G1388&lt;18,'General Basis'!$C$39,IF(G1388&lt;41,'General Basis'!$C$40,IF(G1388&lt;60,'General Basis'!$C$41,IF(G1388&lt;65,'General Basis'!$C$42,'General Basis'!$C$43)))),IF(G1388&lt;11,'General Basis'!$B$39,IF(G1388&lt;18,'General Basis'!$B$40,IF(G1388&lt;26,'General Basis'!$B$41,IF(G1388&lt;31,'General Basis'!$B$42,IF(G1388&lt;36,'General Basis'!$B$43,IF(G1388&lt;41,'General Basis'!$B$44,IF(G1388&lt;46,'General Basis'!$B$45,IF(G1388&lt;51,'General Basis'!$B$46,IF(G1388&lt;56,'General Basis'!$B$47,IF(G1388&lt;60,'General Basis'!$B$48,IF(G1388&lt;65,'General Basis'!$B$49,'General Basis'!$B$50)))))))))))))</f>
        <v/>
      </c>
      <c r="BI1388" s="744" t="str">
        <f t="shared" si="489"/>
        <v/>
      </c>
      <c r="BJ1388" s="747" t="str">
        <f t="shared" si="496"/>
        <v/>
      </c>
      <c r="BK1388" s="498" t="str">
        <f t="shared" si="490"/>
        <v/>
      </c>
      <c r="BL1388" s="498" t="str">
        <f t="shared" si="491"/>
        <v/>
      </c>
    </row>
    <row r="1389" spans="1:64" x14ac:dyDescent="0.25">
      <c r="A1389" s="762">
        <f t="shared" si="492"/>
        <v>1384</v>
      </c>
      <c r="B1389" s="229"/>
      <c r="C1389" s="223"/>
      <c r="D1389" s="224"/>
      <c r="E1389" s="225"/>
      <c r="F1389" s="1036" t="str">
        <f t="shared" si="498"/>
        <v/>
      </c>
      <c r="G1389" s="1037" t="str">
        <f t="shared" si="493"/>
        <v/>
      </c>
      <c r="H1389" s="225"/>
      <c r="I1389" s="1013"/>
      <c r="J1389" s="1013"/>
      <c r="K1389" s="1028"/>
      <c r="L1389" s="1035" t="str">
        <f t="shared" si="497"/>
        <v/>
      </c>
      <c r="S1389" s="498"/>
      <c r="AJ1389" s="498"/>
      <c r="AM1389" s="498">
        <f t="shared" si="478"/>
        <v>0</v>
      </c>
      <c r="AN1389" s="498">
        <f t="shared" si="479"/>
        <v>0</v>
      </c>
      <c r="AO1389" s="498">
        <f t="shared" si="480"/>
        <v>0</v>
      </c>
      <c r="AP1389" s="498">
        <f t="shared" si="499"/>
        <v>0</v>
      </c>
      <c r="AQ1389" s="498">
        <f t="shared" si="494"/>
        <v>0</v>
      </c>
      <c r="AU1389" s="498">
        <f t="shared" si="481"/>
        <v>0</v>
      </c>
      <c r="AV1389" s="498">
        <f t="shared" si="482"/>
        <v>0</v>
      </c>
      <c r="AW1389" s="498">
        <f t="shared" si="483"/>
        <v>0</v>
      </c>
      <c r="AX1389" s="498">
        <f t="shared" si="484"/>
        <v>0</v>
      </c>
      <c r="AY1389" s="498">
        <f t="shared" si="485"/>
        <v>0</v>
      </c>
      <c r="BB1389" s="498" t="str">
        <f t="shared" si="486"/>
        <v/>
      </c>
      <c r="BC1389" s="743" t="str">
        <f t="shared" si="487"/>
        <v/>
      </c>
      <c r="BD1389" s="743" t="str">
        <f t="shared" si="488"/>
        <v/>
      </c>
      <c r="BE1389" s="743" t="str">
        <f>IF(D1389="","",VLOOKUP(D1389,'General Basis'!$J$39:$K$46,2,0))</f>
        <v/>
      </c>
      <c r="BF1389" s="744" t="str">
        <f>IF(D1389="","",VLOOKUP(D1389,'General Basis'!$J$39:$L$46,3,0))</f>
        <v/>
      </c>
      <c r="BG1389" s="744" t="str">
        <f t="shared" si="495"/>
        <v/>
      </c>
      <c r="BH1389" s="744" t="str">
        <f>IF(G1389="","",IF(BF1389="Abu Dhabi",IF(G1389&lt;18,'General Basis'!$C$39,IF(G1389&lt;41,'General Basis'!$C$40,IF(G1389&lt;60,'General Basis'!$C$41,IF(G1389&lt;65,'General Basis'!$C$42,'General Basis'!$C$43)))),IF(G1389&lt;11,'General Basis'!$B$39,IF(G1389&lt;18,'General Basis'!$B$40,IF(G1389&lt;26,'General Basis'!$B$41,IF(G1389&lt;31,'General Basis'!$B$42,IF(G1389&lt;36,'General Basis'!$B$43,IF(G1389&lt;41,'General Basis'!$B$44,IF(G1389&lt;46,'General Basis'!$B$45,IF(G1389&lt;51,'General Basis'!$B$46,IF(G1389&lt;56,'General Basis'!$B$47,IF(G1389&lt;60,'General Basis'!$B$48,IF(G1389&lt;65,'General Basis'!$B$49,'General Basis'!$B$50)))))))))))))</f>
        <v/>
      </c>
      <c r="BI1389" s="744" t="str">
        <f t="shared" si="489"/>
        <v/>
      </c>
      <c r="BJ1389" s="747" t="str">
        <f t="shared" si="496"/>
        <v/>
      </c>
      <c r="BK1389" s="498" t="str">
        <f t="shared" si="490"/>
        <v/>
      </c>
      <c r="BL1389" s="498" t="str">
        <f t="shared" si="491"/>
        <v/>
      </c>
    </row>
    <row r="1390" spans="1:64" x14ac:dyDescent="0.25">
      <c r="A1390" s="762">
        <f t="shared" si="492"/>
        <v>1385</v>
      </c>
      <c r="B1390" s="229"/>
      <c r="C1390" s="223"/>
      <c r="D1390" s="224"/>
      <c r="E1390" s="225"/>
      <c r="F1390" s="1036" t="str">
        <f t="shared" si="498"/>
        <v/>
      </c>
      <c r="G1390" s="1037" t="str">
        <f t="shared" si="493"/>
        <v/>
      </c>
      <c r="H1390" s="225"/>
      <c r="I1390" s="1013"/>
      <c r="J1390" s="1013"/>
      <c r="K1390" s="1028"/>
      <c r="L1390" s="1035" t="str">
        <f t="shared" si="497"/>
        <v/>
      </c>
      <c r="S1390" s="498"/>
      <c r="AJ1390" s="498"/>
      <c r="AM1390" s="498">
        <f t="shared" si="478"/>
        <v>0</v>
      </c>
      <c r="AN1390" s="498">
        <f t="shared" si="479"/>
        <v>0</v>
      </c>
      <c r="AO1390" s="498">
        <f t="shared" si="480"/>
        <v>0</v>
      </c>
      <c r="AP1390" s="498">
        <f t="shared" si="499"/>
        <v>0</v>
      </c>
      <c r="AQ1390" s="498">
        <f t="shared" si="494"/>
        <v>0</v>
      </c>
      <c r="AU1390" s="498">
        <f t="shared" si="481"/>
        <v>0</v>
      </c>
      <c r="AV1390" s="498">
        <f t="shared" si="482"/>
        <v>0</v>
      </c>
      <c r="AW1390" s="498">
        <f t="shared" si="483"/>
        <v>0</v>
      </c>
      <c r="AX1390" s="498">
        <f t="shared" si="484"/>
        <v>0</v>
      </c>
      <c r="AY1390" s="498">
        <f t="shared" si="485"/>
        <v>0</v>
      </c>
      <c r="BB1390" s="498" t="str">
        <f t="shared" si="486"/>
        <v/>
      </c>
      <c r="BC1390" s="743" t="str">
        <f t="shared" si="487"/>
        <v/>
      </c>
      <c r="BD1390" s="743" t="str">
        <f t="shared" si="488"/>
        <v/>
      </c>
      <c r="BE1390" s="743" t="str">
        <f>IF(D1390="","",VLOOKUP(D1390,'General Basis'!$J$39:$K$46,2,0))</f>
        <v/>
      </c>
      <c r="BF1390" s="744" t="str">
        <f>IF(D1390="","",VLOOKUP(D1390,'General Basis'!$J$39:$L$46,3,0))</f>
        <v/>
      </c>
      <c r="BG1390" s="744" t="str">
        <f t="shared" si="495"/>
        <v/>
      </c>
      <c r="BH1390" s="744" t="str">
        <f>IF(G1390="","",IF(BF1390="Abu Dhabi",IF(G1390&lt;18,'General Basis'!$C$39,IF(G1390&lt;41,'General Basis'!$C$40,IF(G1390&lt;60,'General Basis'!$C$41,IF(G1390&lt;65,'General Basis'!$C$42,'General Basis'!$C$43)))),IF(G1390&lt;11,'General Basis'!$B$39,IF(G1390&lt;18,'General Basis'!$B$40,IF(G1390&lt;26,'General Basis'!$B$41,IF(G1390&lt;31,'General Basis'!$B$42,IF(G1390&lt;36,'General Basis'!$B$43,IF(G1390&lt;41,'General Basis'!$B$44,IF(G1390&lt;46,'General Basis'!$B$45,IF(G1390&lt;51,'General Basis'!$B$46,IF(G1390&lt;56,'General Basis'!$B$47,IF(G1390&lt;60,'General Basis'!$B$48,IF(G1390&lt;65,'General Basis'!$B$49,'General Basis'!$B$50)))))))))))))</f>
        <v/>
      </c>
      <c r="BI1390" s="744" t="str">
        <f t="shared" si="489"/>
        <v/>
      </c>
      <c r="BJ1390" s="747" t="str">
        <f t="shared" si="496"/>
        <v/>
      </c>
      <c r="BK1390" s="498" t="str">
        <f t="shared" si="490"/>
        <v/>
      </c>
      <c r="BL1390" s="498" t="str">
        <f t="shared" si="491"/>
        <v/>
      </c>
    </row>
    <row r="1391" spans="1:64" x14ac:dyDescent="0.25">
      <c r="A1391" s="762">
        <f t="shared" si="492"/>
        <v>1386</v>
      </c>
      <c r="B1391" s="229"/>
      <c r="C1391" s="223"/>
      <c r="D1391" s="224"/>
      <c r="E1391" s="225"/>
      <c r="F1391" s="1036" t="str">
        <f t="shared" si="498"/>
        <v/>
      </c>
      <c r="G1391" s="1037" t="str">
        <f t="shared" si="493"/>
        <v/>
      </c>
      <c r="H1391" s="225"/>
      <c r="I1391" s="1013"/>
      <c r="J1391" s="1013"/>
      <c r="K1391" s="1028"/>
      <c r="L1391" s="1035" t="str">
        <f t="shared" si="497"/>
        <v/>
      </c>
      <c r="S1391" s="498"/>
      <c r="AJ1391" s="498"/>
      <c r="AM1391" s="498">
        <f t="shared" si="478"/>
        <v>0</v>
      </c>
      <c r="AN1391" s="498">
        <f t="shared" si="479"/>
        <v>0</v>
      </c>
      <c r="AO1391" s="498">
        <f t="shared" si="480"/>
        <v>0</v>
      </c>
      <c r="AP1391" s="498">
        <f t="shared" si="499"/>
        <v>0</v>
      </c>
      <c r="AQ1391" s="498">
        <f t="shared" si="494"/>
        <v>0</v>
      </c>
      <c r="AU1391" s="498">
        <f t="shared" si="481"/>
        <v>0</v>
      </c>
      <c r="AV1391" s="498">
        <f t="shared" si="482"/>
        <v>0</v>
      </c>
      <c r="AW1391" s="498">
        <f t="shared" si="483"/>
        <v>0</v>
      </c>
      <c r="AX1391" s="498">
        <f t="shared" si="484"/>
        <v>0</v>
      </c>
      <c r="AY1391" s="498">
        <f t="shared" si="485"/>
        <v>0</v>
      </c>
      <c r="BB1391" s="498" t="str">
        <f t="shared" si="486"/>
        <v/>
      </c>
      <c r="BC1391" s="743" t="str">
        <f t="shared" si="487"/>
        <v/>
      </c>
      <c r="BD1391" s="743" t="str">
        <f t="shared" si="488"/>
        <v/>
      </c>
      <c r="BE1391" s="743" t="str">
        <f>IF(D1391="","",VLOOKUP(D1391,'General Basis'!$J$39:$K$46,2,0))</f>
        <v/>
      </c>
      <c r="BF1391" s="744" t="str">
        <f>IF(D1391="","",VLOOKUP(D1391,'General Basis'!$J$39:$L$46,3,0))</f>
        <v/>
      </c>
      <c r="BG1391" s="744" t="str">
        <f t="shared" si="495"/>
        <v/>
      </c>
      <c r="BH1391" s="744" t="str">
        <f>IF(G1391="","",IF(BF1391="Abu Dhabi",IF(G1391&lt;18,'General Basis'!$C$39,IF(G1391&lt;41,'General Basis'!$C$40,IF(G1391&lt;60,'General Basis'!$C$41,IF(G1391&lt;65,'General Basis'!$C$42,'General Basis'!$C$43)))),IF(G1391&lt;11,'General Basis'!$B$39,IF(G1391&lt;18,'General Basis'!$B$40,IF(G1391&lt;26,'General Basis'!$B$41,IF(G1391&lt;31,'General Basis'!$B$42,IF(G1391&lt;36,'General Basis'!$B$43,IF(G1391&lt;41,'General Basis'!$B$44,IF(G1391&lt;46,'General Basis'!$B$45,IF(G1391&lt;51,'General Basis'!$B$46,IF(G1391&lt;56,'General Basis'!$B$47,IF(G1391&lt;60,'General Basis'!$B$48,IF(G1391&lt;65,'General Basis'!$B$49,'General Basis'!$B$50)))))))))))))</f>
        <v/>
      </c>
      <c r="BI1391" s="744" t="str">
        <f t="shared" si="489"/>
        <v/>
      </c>
      <c r="BJ1391" s="747" t="str">
        <f t="shared" si="496"/>
        <v/>
      </c>
      <c r="BK1391" s="498" t="str">
        <f t="shared" si="490"/>
        <v/>
      </c>
      <c r="BL1391" s="498" t="str">
        <f t="shared" si="491"/>
        <v/>
      </c>
    </row>
    <row r="1392" spans="1:64" x14ac:dyDescent="0.25">
      <c r="A1392" s="762">
        <f t="shared" si="492"/>
        <v>1387</v>
      </c>
      <c r="B1392" s="229"/>
      <c r="C1392" s="223"/>
      <c r="D1392" s="224"/>
      <c r="E1392" s="225"/>
      <c r="F1392" s="1036" t="str">
        <f t="shared" si="498"/>
        <v/>
      </c>
      <c r="G1392" s="1037" t="str">
        <f t="shared" si="493"/>
        <v/>
      </c>
      <c r="H1392" s="225"/>
      <c r="I1392" s="1013"/>
      <c r="J1392" s="1013"/>
      <c r="K1392" s="1028"/>
      <c r="L1392" s="1035" t="str">
        <f t="shared" si="497"/>
        <v/>
      </c>
      <c r="S1392" s="498"/>
      <c r="AJ1392" s="498"/>
      <c r="AM1392" s="498">
        <f t="shared" si="478"/>
        <v>0</v>
      </c>
      <c r="AN1392" s="498">
        <f t="shared" si="479"/>
        <v>0</v>
      </c>
      <c r="AO1392" s="498">
        <f t="shared" si="480"/>
        <v>0</v>
      </c>
      <c r="AP1392" s="498">
        <f t="shared" si="499"/>
        <v>0</v>
      </c>
      <c r="AQ1392" s="498">
        <f t="shared" si="494"/>
        <v>0</v>
      </c>
      <c r="AU1392" s="498">
        <f t="shared" si="481"/>
        <v>0</v>
      </c>
      <c r="AV1392" s="498">
        <f t="shared" si="482"/>
        <v>0</v>
      </c>
      <c r="AW1392" s="498">
        <f t="shared" si="483"/>
        <v>0</v>
      </c>
      <c r="AX1392" s="498">
        <f t="shared" si="484"/>
        <v>0</v>
      </c>
      <c r="AY1392" s="498">
        <f t="shared" si="485"/>
        <v>0</v>
      </c>
      <c r="BB1392" s="498" t="str">
        <f t="shared" si="486"/>
        <v/>
      </c>
      <c r="BC1392" s="743" t="str">
        <f t="shared" si="487"/>
        <v/>
      </c>
      <c r="BD1392" s="743" t="str">
        <f t="shared" si="488"/>
        <v/>
      </c>
      <c r="BE1392" s="743" t="str">
        <f>IF(D1392="","",VLOOKUP(D1392,'General Basis'!$J$39:$K$46,2,0))</f>
        <v/>
      </c>
      <c r="BF1392" s="744" t="str">
        <f>IF(D1392="","",VLOOKUP(D1392,'General Basis'!$J$39:$L$46,3,0))</f>
        <v/>
      </c>
      <c r="BG1392" s="744" t="str">
        <f t="shared" si="495"/>
        <v/>
      </c>
      <c r="BH1392" s="744" t="str">
        <f>IF(G1392="","",IF(BF1392="Abu Dhabi",IF(G1392&lt;18,'General Basis'!$C$39,IF(G1392&lt;41,'General Basis'!$C$40,IF(G1392&lt;60,'General Basis'!$C$41,IF(G1392&lt;65,'General Basis'!$C$42,'General Basis'!$C$43)))),IF(G1392&lt;11,'General Basis'!$B$39,IF(G1392&lt;18,'General Basis'!$B$40,IF(G1392&lt;26,'General Basis'!$B$41,IF(G1392&lt;31,'General Basis'!$B$42,IF(G1392&lt;36,'General Basis'!$B$43,IF(G1392&lt;41,'General Basis'!$B$44,IF(G1392&lt;46,'General Basis'!$B$45,IF(G1392&lt;51,'General Basis'!$B$46,IF(G1392&lt;56,'General Basis'!$B$47,IF(G1392&lt;60,'General Basis'!$B$48,IF(G1392&lt;65,'General Basis'!$B$49,'General Basis'!$B$50)))))))))))))</f>
        <v/>
      </c>
      <c r="BI1392" s="744" t="str">
        <f t="shared" si="489"/>
        <v/>
      </c>
      <c r="BJ1392" s="747" t="str">
        <f t="shared" si="496"/>
        <v/>
      </c>
      <c r="BK1392" s="498" t="str">
        <f t="shared" si="490"/>
        <v/>
      </c>
      <c r="BL1392" s="498" t="str">
        <f t="shared" si="491"/>
        <v/>
      </c>
    </row>
    <row r="1393" spans="1:64" x14ac:dyDescent="0.25">
      <c r="A1393" s="762">
        <f t="shared" si="492"/>
        <v>1388</v>
      </c>
      <c r="B1393" s="229"/>
      <c r="C1393" s="223"/>
      <c r="D1393" s="224"/>
      <c r="E1393" s="225"/>
      <c r="F1393" s="1036" t="str">
        <f t="shared" si="498"/>
        <v/>
      </c>
      <c r="G1393" s="1037" t="str">
        <f t="shared" si="493"/>
        <v/>
      </c>
      <c r="H1393" s="225"/>
      <c r="I1393" s="1013"/>
      <c r="J1393" s="1013"/>
      <c r="K1393" s="1028"/>
      <c r="L1393" s="1035" t="str">
        <f t="shared" si="497"/>
        <v/>
      </c>
      <c r="S1393" s="498"/>
      <c r="AJ1393" s="498"/>
      <c r="AM1393" s="498">
        <f t="shared" si="478"/>
        <v>0</v>
      </c>
      <c r="AN1393" s="498">
        <f t="shared" si="479"/>
        <v>0</v>
      </c>
      <c r="AO1393" s="498">
        <f t="shared" si="480"/>
        <v>0</v>
      </c>
      <c r="AP1393" s="498">
        <f t="shared" si="499"/>
        <v>0</v>
      </c>
      <c r="AQ1393" s="498">
        <f t="shared" si="494"/>
        <v>0</v>
      </c>
      <c r="AU1393" s="498">
        <f t="shared" si="481"/>
        <v>0</v>
      </c>
      <c r="AV1393" s="498">
        <f t="shared" si="482"/>
        <v>0</v>
      </c>
      <c r="AW1393" s="498">
        <f t="shared" si="483"/>
        <v>0</v>
      </c>
      <c r="AX1393" s="498">
        <f t="shared" si="484"/>
        <v>0</v>
      </c>
      <c r="AY1393" s="498">
        <f t="shared" si="485"/>
        <v>0</v>
      </c>
      <c r="BB1393" s="498" t="str">
        <f t="shared" si="486"/>
        <v/>
      </c>
      <c r="BC1393" s="743" t="str">
        <f t="shared" si="487"/>
        <v/>
      </c>
      <c r="BD1393" s="743" t="str">
        <f t="shared" si="488"/>
        <v/>
      </c>
      <c r="BE1393" s="743" t="str">
        <f>IF(D1393="","",VLOOKUP(D1393,'General Basis'!$J$39:$K$46,2,0))</f>
        <v/>
      </c>
      <c r="BF1393" s="744" t="str">
        <f>IF(D1393="","",VLOOKUP(D1393,'General Basis'!$J$39:$L$46,3,0))</f>
        <v/>
      </c>
      <c r="BG1393" s="744" t="str">
        <f t="shared" si="495"/>
        <v/>
      </c>
      <c r="BH1393" s="744" t="str">
        <f>IF(G1393="","",IF(BF1393="Abu Dhabi",IF(G1393&lt;18,'General Basis'!$C$39,IF(G1393&lt;41,'General Basis'!$C$40,IF(G1393&lt;60,'General Basis'!$C$41,IF(G1393&lt;65,'General Basis'!$C$42,'General Basis'!$C$43)))),IF(G1393&lt;11,'General Basis'!$B$39,IF(G1393&lt;18,'General Basis'!$B$40,IF(G1393&lt;26,'General Basis'!$B$41,IF(G1393&lt;31,'General Basis'!$B$42,IF(G1393&lt;36,'General Basis'!$B$43,IF(G1393&lt;41,'General Basis'!$B$44,IF(G1393&lt;46,'General Basis'!$B$45,IF(G1393&lt;51,'General Basis'!$B$46,IF(G1393&lt;56,'General Basis'!$B$47,IF(G1393&lt;60,'General Basis'!$B$48,IF(G1393&lt;65,'General Basis'!$B$49,'General Basis'!$B$50)))))))))))))</f>
        <v/>
      </c>
      <c r="BI1393" s="744" t="str">
        <f t="shared" si="489"/>
        <v/>
      </c>
      <c r="BJ1393" s="747" t="str">
        <f t="shared" si="496"/>
        <v/>
      </c>
      <c r="BK1393" s="498" t="str">
        <f t="shared" si="490"/>
        <v/>
      </c>
      <c r="BL1393" s="498" t="str">
        <f t="shared" si="491"/>
        <v/>
      </c>
    </row>
    <row r="1394" spans="1:64" x14ac:dyDescent="0.25">
      <c r="A1394" s="762">
        <f t="shared" si="492"/>
        <v>1389</v>
      </c>
      <c r="B1394" s="229"/>
      <c r="C1394" s="223"/>
      <c r="D1394" s="224"/>
      <c r="E1394" s="225"/>
      <c r="F1394" s="1036" t="str">
        <f t="shared" si="498"/>
        <v/>
      </c>
      <c r="G1394" s="1037" t="str">
        <f t="shared" si="493"/>
        <v/>
      </c>
      <c r="H1394" s="225"/>
      <c r="I1394" s="1013"/>
      <c r="J1394" s="1013"/>
      <c r="K1394" s="1028"/>
      <c r="L1394" s="1035" t="str">
        <f t="shared" si="497"/>
        <v/>
      </c>
      <c r="S1394" s="498"/>
      <c r="AJ1394" s="498"/>
      <c r="AM1394" s="498">
        <f t="shared" si="478"/>
        <v>0</v>
      </c>
      <c r="AN1394" s="498">
        <f t="shared" si="479"/>
        <v>0</v>
      </c>
      <c r="AO1394" s="498">
        <f t="shared" si="480"/>
        <v>0</v>
      </c>
      <c r="AP1394" s="498">
        <f t="shared" si="499"/>
        <v>0</v>
      </c>
      <c r="AQ1394" s="498">
        <f t="shared" si="494"/>
        <v>0</v>
      </c>
      <c r="AU1394" s="498">
        <f t="shared" si="481"/>
        <v>0</v>
      </c>
      <c r="AV1394" s="498">
        <f t="shared" si="482"/>
        <v>0</v>
      </c>
      <c r="AW1394" s="498">
        <f t="shared" si="483"/>
        <v>0</v>
      </c>
      <c r="AX1394" s="498">
        <f t="shared" si="484"/>
        <v>0</v>
      </c>
      <c r="AY1394" s="498">
        <f t="shared" si="485"/>
        <v>0</v>
      </c>
      <c r="BB1394" s="498" t="str">
        <f t="shared" si="486"/>
        <v/>
      </c>
      <c r="BC1394" s="743" t="str">
        <f t="shared" si="487"/>
        <v/>
      </c>
      <c r="BD1394" s="743" t="str">
        <f t="shared" si="488"/>
        <v/>
      </c>
      <c r="BE1394" s="743" t="str">
        <f>IF(D1394="","",VLOOKUP(D1394,'General Basis'!$J$39:$K$46,2,0))</f>
        <v/>
      </c>
      <c r="BF1394" s="744" t="str">
        <f>IF(D1394="","",VLOOKUP(D1394,'General Basis'!$J$39:$L$46,3,0))</f>
        <v/>
      </c>
      <c r="BG1394" s="744" t="str">
        <f t="shared" si="495"/>
        <v/>
      </c>
      <c r="BH1394" s="744" t="str">
        <f>IF(G1394="","",IF(BF1394="Abu Dhabi",IF(G1394&lt;18,'General Basis'!$C$39,IF(G1394&lt;41,'General Basis'!$C$40,IF(G1394&lt;60,'General Basis'!$C$41,IF(G1394&lt;65,'General Basis'!$C$42,'General Basis'!$C$43)))),IF(G1394&lt;11,'General Basis'!$B$39,IF(G1394&lt;18,'General Basis'!$B$40,IF(G1394&lt;26,'General Basis'!$B$41,IF(G1394&lt;31,'General Basis'!$B$42,IF(G1394&lt;36,'General Basis'!$B$43,IF(G1394&lt;41,'General Basis'!$B$44,IF(G1394&lt;46,'General Basis'!$B$45,IF(G1394&lt;51,'General Basis'!$B$46,IF(G1394&lt;56,'General Basis'!$B$47,IF(G1394&lt;60,'General Basis'!$B$48,IF(G1394&lt;65,'General Basis'!$B$49,'General Basis'!$B$50)))))))))))))</f>
        <v/>
      </c>
      <c r="BI1394" s="744" t="str">
        <f t="shared" si="489"/>
        <v/>
      </c>
      <c r="BJ1394" s="747" t="str">
        <f t="shared" si="496"/>
        <v/>
      </c>
      <c r="BK1394" s="498" t="str">
        <f t="shared" si="490"/>
        <v/>
      </c>
      <c r="BL1394" s="498" t="str">
        <f t="shared" si="491"/>
        <v/>
      </c>
    </row>
    <row r="1395" spans="1:64" x14ac:dyDescent="0.25">
      <c r="A1395" s="762">
        <f t="shared" si="492"/>
        <v>1390</v>
      </c>
      <c r="B1395" s="229"/>
      <c r="C1395" s="223"/>
      <c r="D1395" s="224"/>
      <c r="E1395" s="225"/>
      <c r="F1395" s="1036" t="str">
        <f t="shared" si="498"/>
        <v/>
      </c>
      <c r="G1395" s="1037" t="str">
        <f t="shared" si="493"/>
        <v/>
      </c>
      <c r="H1395" s="225"/>
      <c r="I1395" s="1013"/>
      <c r="J1395" s="1013"/>
      <c r="K1395" s="1028"/>
      <c r="L1395" s="1035" t="str">
        <f t="shared" si="497"/>
        <v/>
      </c>
      <c r="S1395" s="498"/>
      <c r="AJ1395" s="498"/>
      <c r="AM1395" s="498">
        <f t="shared" si="478"/>
        <v>0</v>
      </c>
      <c r="AN1395" s="498">
        <f t="shared" si="479"/>
        <v>0</v>
      </c>
      <c r="AO1395" s="498">
        <f t="shared" si="480"/>
        <v>0</v>
      </c>
      <c r="AP1395" s="498">
        <f t="shared" si="499"/>
        <v>0</v>
      </c>
      <c r="AQ1395" s="498">
        <f t="shared" si="494"/>
        <v>0</v>
      </c>
      <c r="AU1395" s="498">
        <f t="shared" si="481"/>
        <v>0</v>
      </c>
      <c r="AV1395" s="498">
        <f t="shared" si="482"/>
        <v>0</v>
      </c>
      <c r="AW1395" s="498">
        <f t="shared" si="483"/>
        <v>0</v>
      </c>
      <c r="AX1395" s="498">
        <f t="shared" si="484"/>
        <v>0</v>
      </c>
      <c r="AY1395" s="498">
        <f t="shared" si="485"/>
        <v>0</v>
      </c>
      <c r="BB1395" s="498" t="str">
        <f t="shared" si="486"/>
        <v/>
      </c>
      <c r="BC1395" s="743" t="str">
        <f t="shared" si="487"/>
        <v/>
      </c>
      <c r="BD1395" s="743" t="str">
        <f t="shared" si="488"/>
        <v/>
      </c>
      <c r="BE1395" s="743" t="str">
        <f>IF(D1395="","",VLOOKUP(D1395,'General Basis'!$J$39:$K$46,2,0))</f>
        <v/>
      </c>
      <c r="BF1395" s="744" t="str">
        <f>IF(D1395="","",VLOOKUP(D1395,'General Basis'!$J$39:$L$46,3,0))</f>
        <v/>
      </c>
      <c r="BG1395" s="744" t="str">
        <f t="shared" si="495"/>
        <v/>
      </c>
      <c r="BH1395" s="744" t="str">
        <f>IF(G1395="","",IF(BF1395="Abu Dhabi",IF(G1395&lt;18,'General Basis'!$C$39,IF(G1395&lt;41,'General Basis'!$C$40,IF(G1395&lt;60,'General Basis'!$C$41,IF(G1395&lt;65,'General Basis'!$C$42,'General Basis'!$C$43)))),IF(G1395&lt;11,'General Basis'!$B$39,IF(G1395&lt;18,'General Basis'!$B$40,IF(G1395&lt;26,'General Basis'!$B$41,IF(G1395&lt;31,'General Basis'!$B$42,IF(G1395&lt;36,'General Basis'!$B$43,IF(G1395&lt;41,'General Basis'!$B$44,IF(G1395&lt;46,'General Basis'!$B$45,IF(G1395&lt;51,'General Basis'!$B$46,IF(G1395&lt;56,'General Basis'!$B$47,IF(G1395&lt;60,'General Basis'!$B$48,IF(G1395&lt;65,'General Basis'!$B$49,'General Basis'!$B$50)))))))))))))</f>
        <v/>
      </c>
      <c r="BI1395" s="744" t="str">
        <f t="shared" si="489"/>
        <v/>
      </c>
      <c r="BJ1395" s="747" t="str">
        <f t="shared" si="496"/>
        <v/>
      </c>
      <c r="BK1395" s="498" t="str">
        <f t="shared" si="490"/>
        <v/>
      </c>
      <c r="BL1395" s="498" t="str">
        <f t="shared" si="491"/>
        <v/>
      </c>
    </row>
    <row r="1396" spans="1:64" x14ac:dyDescent="0.25">
      <c r="A1396" s="762">
        <f t="shared" si="492"/>
        <v>1391</v>
      </c>
      <c r="B1396" s="229"/>
      <c r="C1396" s="223"/>
      <c r="D1396" s="224"/>
      <c r="E1396" s="225"/>
      <c r="F1396" s="1036" t="str">
        <f t="shared" si="498"/>
        <v/>
      </c>
      <c r="G1396" s="1037" t="str">
        <f t="shared" si="493"/>
        <v/>
      </c>
      <c r="H1396" s="225"/>
      <c r="I1396" s="1013"/>
      <c r="J1396" s="1013"/>
      <c r="K1396" s="1028"/>
      <c r="L1396" s="1035" t="str">
        <f t="shared" si="497"/>
        <v/>
      </c>
      <c r="S1396" s="498"/>
      <c r="AJ1396" s="498"/>
      <c r="AM1396" s="498">
        <f t="shared" si="478"/>
        <v>0</v>
      </c>
      <c r="AN1396" s="498">
        <f t="shared" si="479"/>
        <v>0</v>
      </c>
      <c r="AO1396" s="498">
        <f t="shared" si="480"/>
        <v>0</v>
      </c>
      <c r="AP1396" s="498">
        <f t="shared" si="499"/>
        <v>0</v>
      </c>
      <c r="AQ1396" s="498">
        <f t="shared" si="494"/>
        <v>0</v>
      </c>
      <c r="AU1396" s="498">
        <f t="shared" si="481"/>
        <v>0</v>
      </c>
      <c r="AV1396" s="498">
        <f t="shared" si="482"/>
        <v>0</v>
      </c>
      <c r="AW1396" s="498">
        <f t="shared" si="483"/>
        <v>0</v>
      </c>
      <c r="AX1396" s="498">
        <f t="shared" si="484"/>
        <v>0</v>
      </c>
      <c r="AY1396" s="498">
        <f t="shared" si="485"/>
        <v>0</v>
      </c>
      <c r="BB1396" s="498" t="str">
        <f t="shared" si="486"/>
        <v/>
      </c>
      <c r="BC1396" s="743" t="str">
        <f t="shared" si="487"/>
        <v/>
      </c>
      <c r="BD1396" s="743" t="str">
        <f t="shared" si="488"/>
        <v/>
      </c>
      <c r="BE1396" s="743" t="str">
        <f>IF(D1396="","",VLOOKUP(D1396,'General Basis'!$J$39:$K$46,2,0))</f>
        <v/>
      </c>
      <c r="BF1396" s="744" t="str">
        <f>IF(D1396="","",VLOOKUP(D1396,'General Basis'!$J$39:$L$46,3,0))</f>
        <v/>
      </c>
      <c r="BG1396" s="744" t="str">
        <f t="shared" si="495"/>
        <v/>
      </c>
      <c r="BH1396" s="744" t="str">
        <f>IF(G1396="","",IF(BF1396="Abu Dhabi",IF(G1396&lt;18,'General Basis'!$C$39,IF(G1396&lt;41,'General Basis'!$C$40,IF(G1396&lt;60,'General Basis'!$C$41,IF(G1396&lt;65,'General Basis'!$C$42,'General Basis'!$C$43)))),IF(G1396&lt;11,'General Basis'!$B$39,IF(G1396&lt;18,'General Basis'!$B$40,IF(G1396&lt;26,'General Basis'!$B$41,IF(G1396&lt;31,'General Basis'!$B$42,IF(G1396&lt;36,'General Basis'!$B$43,IF(G1396&lt;41,'General Basis'!$B$44,IF(G1396&lt;46,'General Basis'!$B$45,IF(G1396&lt;51,'General Basis'!$B$46,IF(G1396&lt;56,'General Basis'!$B$47,IF(G1396&lt;60,'General Basis'!$B$48,IF(G1396&lt;65,'General Basis'!$B$49,'General Basis'!$B$50)))))))))))))</f>
        <v/>
      </c>
      <c r="BI1396" s="744" t="str">
        <f t="shared" si="489"/>
        <v/>
      </c>
      <c r="BJ1396" s="747" t="str">
        <f t="shared" si="496"/>
        <v/>
      </c>
      <c r="BK1396" s="498" t="str">
        <f t="shared" si="490"/>
        <v/>
      </c>
      <c r="BL1396" s="498" t="str">
        <f t="shared" si="491"/>
        <v/>
      </c>
    </row>
    <row r="1397" spans="1:64" x14ac:dyDescent="0.25">
      <c r="A1397" s="762">
        <f t="shared" si="492"/>
        <v>1392</v>
      </c>
      <c r="B1397" s="229"/>
      <c r="C1397" s="223"/>
      <c r="D1397" s="224"/>
      <c r="E1397" s="225"/>
      <c r="F1397" s="1036" t="str">
        <f t="shared" si="498"/>
        <v/>
      </c>
      <c r="G1397" s="1037" t="str">
        <f t="shared" si="493"/>
        <v/>
      </c>
      <c r="H1397" s="225"/>
      <c r="I1397" s="1013"/>
      <c r="J1397" s="1013"/>
      <c r="K1397" s="1028"/>
      <c r="L1397" s="1035" t="str">
        <f t="shared" si="497"/>
        <v/>
      </c>
      <c r="S1397" s="498"/>
      <c r="AJ1397" s="498"/>
      <c r="AM1397" s="498">
        <f t="shared" si="478"/>
        <v>0</v>
      </c>
      <c r="AN1397" s="498">
        <f t="shared" si="479"/>
        <v>0</v>
      </c>
      <c r="AO1397" s="498">
        <f t="shared" si="480"/>
        <v>0</v>
      </c>
      <c r="AP1397" s="498">
        <f t="shared" si="499"/>
        <v>0</v>
      </c>
      <c r="AQ1397" s="498">
        <f t="shared" si="494"/>
        <v>0</v>
      </c>
      <c r="AU1397" s="498">
        <f t="shared" si="481"/>
        <v>0</v>
      </c>
      <c r="AV1397" s="498">
        <f t="shared" si="482"/>
        <v>0</v>
      </c>
      <c r="AW1397" s="498">
        <f t="shared" si="483"/>
        <v>0</v>
      </c>
      <c r="AX1397" s="498">
        <f t="shared" si="484"/>
        <v>0</v>
      </c>
      <c r="AY1397" s="498">
        <f t="shared" si="485"/>
        <v>0</v>
      </c>
      <c r="BB1397" s="498" t="str">
        <f t="shared" si="486"/>
        <v/>
      </c>
      <c r="BC1397" s="743" t="str">
        <f t="shared" si="487"/>
        <v/>
      </c>
      <c r="BD1397" s="743" t="str">
        <f t="shared" si="488"/>
        <v/>
      </c>
      <c r="BE1397" s="743" t="str">
        <f>IF(D1397="","",VLOOKUP(D1397,'General Basis'!$J$39:$K$46,2,0))</f>
        <v/>
      </c>
      <c r="BF1397" s="744" t="str">
        <f>IF(D1397="","",VLOOKUP(D1397,'General Basis'!$J$39:$L$46,3,0))</f>
        <v/>
      </c>
      <c r="BG1397" s="744" t="str">
        <f t="shared" si="495"/>
        <v/>
      </c>
      <c r="BH1397" s="744" t="str">
        <f>IF(G1397="","",IF(BF1397="Abu Dhabi",IF(G1397&lt;18,'General Basis'!$C$39,IF(G1397&lt;41,'General Basis'!$C$40,IF(G1397&lt;60,'General Basis'!$C$41,IF(G1397&lt;65,'General Basis'!$C$42,'General Basis'!$C$43)))),IF(G1397&lt;11,'General Basis'!$B$39,IF(G1397&lt;18,'General Basis'!$B$40,IF(G1397&lt;26,'General Basis'!$B$41,IF(G1397&lt;31,'General Basis'!$B$42,IF(G1397&lt;36,'General Basis'!$B$43,IF(G1397&lt;41,'General Basis'!$B$44,IF(G1397&lt;46,'General Basis'!$B$45,IF(G1397&lt;51,'General Basis'!$B$46,IF(G1397&lt;56,'General Basis'!$B$47,IF(G1397&lt;60,'General Basis'!$B$48,IF(G1397&lt;65,'General Basis'!$B$49,'General Basis'!$B$50)))))))))))))</f>
        <v/>
      </c>
      <c r="BI1397" s="744" t="str">
        <f t="shared" si="489"/>
        <v/>
      </c>
      <c r="BJ1397" s="747" t="str">
        <f t="shared" si="496"/>
        <v/>
      </c>
      <c r="BK1397" s="498" t="str">
        <f t="shared" si="490"/>
        <v/>
      </c>
      <c r="BL1397" s="498" t="str">
        <f t="shared" si="491"/>
        <v/>
      </c>
    </row>
    <row r="1398" spans="1:64" x14ac:dyDescent="0.25">
      <c r="A1398" s="762">
        <f t="shared" si="492"/>
        <v>1393</v>
      </c>
      <c r="B1398" s="229"/>
      <c r="C1398" s="223"/>
      <c r="D1398" s="224"/>
      <c r="E1398" s="225"/>
      <c r="F1398" s="1036" t="str">
        <f t="shared" si="498"/>
        <v/>
      </c>
      <c r="G1398" s="1037" t="str">
        <f t="shared" si="493"/>
        <v/>
      </c>
      <c r="H1398" s="225"/>
      <c r="I1398" s="1013"/>
      <c r="J1398" s="1013"/>
      <c r="K1398" s="1028"/>
      <c r="L1398" s="1035" t="str">
        <f t="shared" si="497"/>
        <v/>
      </c>
      <c r="S1398" s="498"/>
      <c r="AJ1398" s="498"/>
      <c r="AM1398" s="498">
        <f t="shared" si="478"/>
        <v>0</v>
      </c>
      <c r="AN1398" s="498">
        <f t="shared" si="479"/>
        <v>0</v>
      </c>
      <c r="AO1398" s="498">
        <f t="shared" si="480"/>
        <v>0</v>
      </c>
      <c r="AP1398" s="498">
        <f t="shared" si="499"/>
        <v>0</v>
      </c>
      <c r="AQ1398" s="498">
        <f t="shared" si="494"/>
        <v>0</v>
      </c>
      <c r="AU1398" s="498">
        <f t="shared" si="481"/>
        <v>0</v>
      </c>
      <c r="AV1398" s="498">
        <f t="shared" si="482"/>
        <v>0</v>
      </c>
      <c r="AW1398" s="498">
        <f t="shared" si="483"/>
        <v>0</v>
      </c>
      <c r="AX1398" s="498">
        <f t="shared" si="484"/>
        <v>0</v>
      </c>
      <c r="AY1398" s="498">
        <f t="shared" si="485"/>
        <v>0</v>
      </c>
      <c r="BB1398" s="498" t="str">
        <f t="shared" si="486"/>
        <v/>
      </c>
      <c r="BC1398" s="743" t="str">
        <f t="shared" si="487"/>
        <v/>
      </c>
      <c r="BD1398" s="743" t="str">
        <f t="shared" si="488"/>
        <v/>
      </c>
      <c r="BE1398" s="743" t="str">
        <f>IF(D1398="","",VLOOKUP(D1398,'General Basis'!$J$39:$K$46,2,0))</f>
        <v/>
      </c>
      <c r="BF1398" s="744" t="str">
        <f>IF(D1398="","",VLOOKUP(D1398,'General Basis'!$J$39:$L$46,3,0))</f>
        <v/>
      </c>
      <c r="BG1398" s="744" t="str">
        <f t="shared" si="495"/>
        <v/>
      </c>
      <c r="BH1398" s="744" t="str">
        <f>IF(G1398="","",IF(BF1398="Abu Dhabi",IF(G1398&lt;18,'General Basis'!$C$39,IF(G1398&lt;41,'General Basis'!$C$40,IF(G1398&lt;60,'General Basis'!$C$41,IF(G1398&lt;65,'General Basis'!$C$42,'General Basis'!$C$43)))),IF(G1398&lt;11,'General Basis'!$B$39,IF(G1398&lt;18,'General Basis'!$B$40,IF(G1398&lt;26,'General Basis'!$B$41,IF(G1398&lt;31,'General Basis'!$B$42,IF(G1398&lt;36,'General Basis'!$B$43,IF(G1398&lt;41,'General Basis'!$B$44,IF(G1398&lt;46,'General Basis'!$B$45,IF(G1398&lt;51,'General Basis'!$B$46,IF(G1398&lt;56,'General Basis'!$B$47,IF(G1398&lt;60,'General Basis'!$B$48,IF(G1398&lt;65,'General Basis'!$B$49,'General Basis'!$B$50)))))))))))))</f>
        <v/>
      </c>
      <c r="BI1398" s="744" t="str">
        <f t="shared" si="489"/>
        <v/>
      </c>
      <c r="BJ1398" s="747" t="str">
        <f t="shared" si="496"/>
        <v/>
      </c>
      <c r="BK1398" s="498" t="str">
        <f t="shared" si="490"/>
        <v/>
      </c>
      <c r="BL1398" s="498" t="str">
        <f t="shared" si="491"/>
        <v/>
      </c>
    </row>
    <row r="1399" spans="1:64" x14ac:dyDescent="0.25">
      <c r="A1399" s="762">
        <f t="shared" si="492"/>
        <v>1394</v>
      </c>
      <c r="B1399" s="229"/>
      <c r="C1399" s="223"/>
      <c r="D1399" s="224"/>
      <c r="E1399" s="225"/>
      <c r="F1399" s="1036" t="str">
        <f t="shared" si="498"/>
        <v/>
      </c>
      <c r="G1399" s="1037" t="str">
        <f t="shared" si="493"/>
        <v/>
      </c>
      <c r="H1399" s="225"/>
      <c r="I1399" s="1013"/>
      <c r="J1399" s="1013"/>
      <c r="K1399" s="1028"/>
      <c r="L1399" s="1035" t="str">
        <f t="shared" si="497"/>
        <v/>
      </c>
      <c r="S1399" s="498"/>
      <c r="AJ1399" s="498"/>
      <c r="AM1399" s="498">
        <f t="shared" si="478"/>
        <v>0</v>
      </c>
      <c r="AN1399" s="498">
        <f t="shared" si="479"/>
        <v>0</v>
      </c>
      <c r="AO1399" s="498">
        <f t="shared" si="480"/>
        <v>0</v>
      </c>
      <c r="AP1399" s="498">
        <f t="shared" si="499"/>
        <v>0</v>
      </c>
      <c r="AQ1399" s="498">
        <f t="shared" si="494"/>
        <v>0</v>
      </c>
      <c r="AU1399" s="498">
        <f t="shared" si="481"/>
        <v>0</v>
      </c>
      <c r="AV1399" s="498">
        <f t="shared" si="482"/>
        <v>0</v>
      </c>
      <c r="AW1399" s="498">
        <f t="shared" si="483"/>
        <v>0</v>
      </c>
      <c r="AX1399" s="498">
        <f t="shared" si="484"/>
        <v>0</v>
      </c>
      <c r="AY1399" s="498">
        <f t="shared" si="485"/>
        <v>0</v>
      </c>
      <c r="BB1399" s="498" t="str">
        <f t="shared" si="486"/>
        <v/>
      </c>
      <c r="BC1399" s="743" t="str">
        <f t="shared" si="487"/>
        <v/>
      </c>
      <c r="BD1399" s="743" t="str">
        <f t="shared" si="488"/>
        <v/>
      </c>
      <c r="BE1399" s="743" t="str">
        <f>IF(D1399="","",VLOOKUP(D1399,'General Basis'!$J$39:$K$46,2,0))</f>
        <v/>
      </c>
      <c r="BF1399" s="744" t="str">
        <f>IF(D1399="","",VLOOKUP(D1399,'General Basis'!$J$39:$L$46,3,0))</f>
        <v/>
      </c>
      <c r="BG1399" s="744" t="str">
        <f t="shared" si="495"/>
        <v/>
      </c>
      <c r="BH1399" s="744" t="str">
        <f>IF(G1399="","",IF(BF1399="Abu Dhabi",IF(G1399&lt;18,'General Basis'!$C$39,IF(G1399&lt;41,'General Basis'!$C$40,IF(G1399&lt;60,'General Basis'!$C$41,IF(G1399&lt;65,'General Basis'!$C$42,'General Basis'!$C$43)))),IF(G1399&lt;11,'General Basis'!$B$39,IF(G1399&lt;18,'General Basis'!$B$40,IF(G1399&lt;26,'General Basis'!$B$41,IF(G1399&lt;31,'General Basis'!$B$42,IF(G1399&lt;36,'General Basis'!$B$43,IF(G1399&lt;41,'General Basis'!$B$44,IF(G1399&lt;46,'General Basis'!$B$45,IF(G1399&lt;51,'General Basis'!$B$46,IF(G1399&lt;56,'General Basis'!$B$47,IF(G1399&lt;60,'General Basis'!$B$48,IF(G1399&lt;65,'General Basis'!$B$49,'General Basis'!$B$50)))))))))))))</f>
        <v/>
      </c>
      <c r="BI1399" s="744" t="str">
        <f t="shared" si="489"/>
        <v/>
      </c>
      <c r="BJ1399" s="747" t="str">
        <f t="shared" si="496"/>
        <v/>
      </c>
      <c r="BK1399" s="498" t="str">
        <f t="shared" si="490"/>
        <v/>
      </c>
      <c r="BL1399" s="498" t="str">
        <f t="shared" si="491"/>
        <v/>
      </c>
    </row>
    <row r="1400" spans="1:64" x14ac:dyDescent="0.25">
      <c r="A1400" s="762">
        <f t="shared" si="492"/>
        <v>1395</v>
      </c>
      <c r="B1400" s="229"/>
      <c r="C1400" s="223"/>
      <c r="D1400" s="224"/>
      <c r="E1400" s="225"/>
      <c r="F1400" s="1036" t="str">
        <f t="shared" si="498"/>
        <v/>
      </c>
      <c r="G1400" s="1037" t="str">
        <f t="shared" si="493"/>
        <v/>
      </c>
      <c r="H1400" s="225"/>
      <c r="I1400" s="1013"/>
      <c r="J1400" s="1013"/>
      <c r="K1400" s="1028"/>
      <c r="L1400" s="1035" t="str">
        <f t="shared" si="497"/>
        <v/>
      </c>
      <c r="S1400" s="498"/>
      <c r="AJ1400" s="498"/>
      <c r="AM1400" s="498">
        <f t="shared" si="478"/>
        <v>0</v>
      </c>
      <c r="AN1400" s="498">
        <f t="shared" si="479"/>
        <v>0</v>
      </c>
      <c r="AO1400" s="498">
        <f t="shared" si="480"/>
        <v>0</v>
      </c>
      <c r="AP1400" s="498">
        <f t="shared" si="499"/>
        <v>0</v>
      </c>
      <c r="AQ1400" s="498">
        <f t="shared" si="494"/>
        <v>0</v>
      </c>
      <c r="AU1400" s="498">
        <f t="shared" si="481"/>
        <v>0</v>
      </c>
      <c r="AV1400" s="498">
        <f t="shared" si="482"/>
        <v>0</v>
      </c>
      <c r="AW1400" s="498">
        <f t="shared" si="483"/>
        <v>0</v>
      </c>
      <c r="AX1400" s="498">
        <f t="shared" si="484"/>
        <v>0</v>
      </c>
      <c r="AY1400" s="498">
        <f t="shared" si="485"/>
        <v>0</v>
      </c>
      <c r="BB1400" s="498" t="str">
        <f t="shared" si="486"/>
        <v/>
      </c>
      <c r="BC1400" s="743" t="str">
        <f t="shared" si="487"/>
        <v/>
      </c>
      <c r="BD1400" s="743" t="str">
        <f t="shared" si="488"/>
        <v/>
      </c>
      <c r="BE1400" s="743" t="str">
        <f>IF(D1400="","",VLOOKUP(D1400,'General Basis'!$J$39:$K$46,2,0))</f>
        <v/>
      </c>
      <c r="BF1400" s="744" t="str">
        <f>IF(D1400="","",VLOOKUP(D1400,'General Basis'!$J$39:$L$46,3,0))</f>
        <v/>
      </c>
      <c r="BG1400" s="744" t="str">
        <f t="shared" si="495"/>
        <v/>
      </c>
      <c r="BH1400" s="744" t="str">
        <f>IF(G1400="","",IF(BF1400="Abu Dhabi",IF(G1400&lt;18,'General Basis'!$C$39,IF(G1400&lt;41,'General Basis'!$C$40,IF(G1400&lt;60,'General Basis'!$C$41,IF(G1400&lt;65,'General Basis'!$C$42,'General Basis'!$C$43)))),IF(G1400&lt;11,'General Basis'!$B$39,IF(G1400&lt;18,'General Basis'!$B$40,IF(G1400&lt;26,'General Basis'!$B$41,IF(G1400&lt;31,'General Basis'!$B$42,IF(G1400&lt;36,'General Basis'!$B$43,IF(G1400&lt;41,'General Basis'!$B$44,IF(G1400&lt;46,'General Basis'!$B$45,IF(G1400&lt;51,'General Basis'!$B$46,IF(G1400&lt;56,'General Basis'!$B$47,IF(G1400&lt;60,'General Basis'!$B$48,IF(G1400&lt;65,'General Basis'!$B$49,'General Basis'!$B$50)))))))))))))</f>
        <v/>
      </c>
      <c r="BI1400" s="744" t="str">
        <f t="shared" si="489"/>
        <v/>
      </c>
      <c r="BJ1400" s="747" t="str">
        <f t="shared" si="496"/>
        <v/>
      </c>
      <c r="BK1400" s="498" t="str">
        <f t="shared" si="490"/>
        <v/>
      </c>
      <c r="BL1400" s="498" t="str">
        <f t="shared" si="491"/>
        <v/>
      </c>
    </row>
    <row r="1401" spans="1:64" x14ac:dyDescent="0.25">
      <c r="A1401" s="762">
        <f t="shared" si="492"/>
        <v>1396</v>
      </c>
      <c r="B1401" s="229"/>
      <c r="C1401" s="223"/>
      <c r="D1401" s="224"/>
      <c r="E1401" s="225"/>
      <c r="F1401" s="1036" t="str">
        <f t="shared" si="498"/>
        <v/>
      </c>
      <c r="G1401" s="1037" t="str">
        <f t="shared" si="493"/>
        <v/>
      </c>
      <c r="H1401" s="225"/>
      <c r="I1401" s="1013"/>
      <c r="J1401" s="1013"/>
      <c r="K1401" s="1028"/>
      <c r="L1401" s="1035" t="str">
        <f t="shared" si="497"/>
        <v/>
      </c>
      <c r="S1401" s="498"/>
      <c r="AJ1401" s="498"/>
      <c r="AM1401" s="498">
        <f t="shared" si="478"/>
        <v>0</v>
      </c>
      <c r="AN1401" s="498">
        <f t="shared" si="479"/>
        <v>0</v>
      </c>
      <c r="AO1401" s="498">
        <f t="shared" si="480"/>
        <v>0</v>
      </c>
      <c r="AP1401" s="498">
        <f t="shared" si="499"/>
        <v>0</v>
      </c>
      <c r="AQ1401" s="498">
        <f t="shared" si="494"/>
        <v>0</v>
      </c>
      <c r="AU1401" s="498">
        <f t="shared" si="481"/>
        <v>0</v>
      </c>
      <c r="AV1401" s="498">
        <f t="shared" si="482"/>
        <v>0</v>
      </c>
      <c r="AW1401" s="498">
        <f t="shared" si="483"/>
        <v>0</v>
      </c>
      <c r="AX1401" s="498">
        <f t="shared" si="484"/>
        <v>0</v>
      </c>
      <c r="AY1401" s="498">
        <f t="shared" si="485"/>
        <v>0</v>
      </c>
      <c r="BB1401" s="498" t="str">
        <f t="shared" si="486"/>
        <v/>
      </c>
      <c r="BC1401" s="743" t="str">
        <f t="shared" si="487"/>
        <v/>
      </c>
      <c r="BD1401" s="743" t="str">
        <f t="shared" si="488"/>
        <v/>
      </c>
      <c r="BE1401" s="743" t="str">
        <f>IF(D1401="","",VLOOKUP(D1401,'General Basis'!$J$39:$K$46,2,0))</f>
        <v/>
      </c>
      <c r="BF1401" s="744" t="str">
        <f>IF(D1401="","",VLOOKUP(D1401,'General Basis'!$J$39:$L$46,3,0))</f>
        <v/>
      </c>
      <c r="BG1401" s="744" t="str">
        <f t="shared" si="495"/>
        <v/>
      </c>
      <c r="BH1401" s="744" t="str">
        <f>IF(G1401="","",IF(BF1401="Abu Dhabi",IF(G1401&lt;18,'General Basis'!$C$39,IF(G1401&lt;41,'General Basis'!$C$40,IF(G1401&lt;60,'General Basis'!$C$41,IF(G1401&lt;65,'General Basis'!$C$42,'General Basis'!$C$43)))),IF(G1401&lt;11,'General Basis'!$B$39,IF(G1401&lt;18,'General Basis'!$B$40,IF(G1401&lt;26,'General Basis'!$B$41,IF(G1401&lt;31,'General Basis'!$B$42,IF(G1401&lt;36,'General Basis'!$B$43,IF(G1401&lt;41,'General Basis'!$B$44,IF(G1401&lt;46,'General Basis'!$B$45,IF(G1401&lt;51,'General Basis'!$B$46,IF(G1401&lt;56,'General Basis'!$B$47,IF(G1401&lt;60,'General Basis'!$B$48,IF(G1401&lt;65,'General Basis'!$B$49,'General Basis'!$B$50)))))))))))))</f>
        <v/>
      </c>
      <c r="BI1401" s="744" t="str">
        <f t="shared" si="489"/>
        <v/>
      </c>
      <c r="BJ1401" s="747" t="str">
        <f t="shared" si="496"/>
        <v/>
      </c>
      <c r="BK1401" s="498" t="str">
        <f t="shared" si="490"/>
        <v/>
      </c>
      <c r="BL1401" s="498" t="str">
        <f t="shared" si="491"/>
        <v/>
      </c>
    </row>
    <row r="1402" spans="1:64" x14ac:dyDescent="0.25">
      <c r="A1402" s="762">
        <f t="shared" si="492"/>
        <v>1397</v>
      </c>
      <c r="B1402" s="229"/>
      <c r="C1402" s="223"/>
      <c r="D1402" s="224"/>
      <c r="E1402" s="225"/>
      <c r="F1402" s="1036" t="str">
        <f t="shared" si="498"/>
        <v/>
      </c>
      <c r="G1402" s="1037" t="str">
        <f t="shared" si="493"/>
        <v/>
      </c>
      <c r="H1402" s="225"/>
      <c r="I1402" s="1013"/>
      <c r="J1402" s="1013"/>
      <c r="K1402" s="1028"/>
      <c r="L1402" s="1035" t="str">
        <f t="shared" si="497"/>
        <v/>
      </c>
      <c r="S1402" s="498"/>
      <c r="AJ1402" s="498"/>
      <c r="AM1402" s="498">
        <f t="shared" si="478"/>
        <v>0</v>
      </c>
      <c r="AN1402" s="498">
        <f t="shared" si="479"/>
        <v>0</v>
      </c>
      <c r="AO1402" s="498">
        <f t="shared" si="480"/>
        <v>0</v>
      </c>
      <c r="AP1402" s="498">
        <f t="shared" si="499"/>
        <v>0</v>
      </c>
      <c r="AQ1402" s="498">
        <f t="shared" si="494"/>
        <v>0</v>
      </c>
      <c r="AU1402" s="498">
        <f t="shared" si="481"/>
        <v>0</v>
      </c>
      <c r="AV1402" s="498">
        <f t="shared" si="482"/>
        <v>0</v>
      </c>
      <c r="AW1402" s="498">
        <f t="shared" si="483"/>
        <v>0</v>
      </c>
      <c r="AX1402" s="498">
        <f t="shared" si="484"/>
        <v>0</v>
      </c>
      <c r="AY1402" s="498">
        <f t="shared" si="485"/>
        <v>0</v>
      </c>
      <c r="BB1402" s="498" t="str">
        <f t="shared" si="486"/>
        <v/>
      </c>
      <c r="BC1402" s="743" t="str">
        <f t="shared" si="487"/>
        <v/>
      </c>
      <c r="BD1402" s="743" t="str">
        <f t="shared" si="488"/>
        <v/>
      </c>
      <c r="BE1402" s="743" t="str">
        <f>IF(D1402="","",VLOOKUP(D1402,'General Basis'!$J$39:$K$46,2,0))</f>
        <v/>
      </c>
      <c r="BF1402" s="744" t="str">
        <f>IF(D1402="","",VLOOKUP(D1402,'General Basis'!$J$39:$L$46,3,0))</f>
        <v/>
      </c>
      <c r="BG1402" s="744" t="str">
        <f t="shared" si="495"/>
        <v/>
      </c>
      <c r="BH1402" s="744" t="str">
        <f>IF(G1402="","",IF(BF1402="Abu Dhabi",IF(G1402&lt;18,'General Basis'!$C$39,IF(G1402&lt;41,'General Basis'!$C$40,IF(G1402&lt;60,'General Basis'!$C$41,IF(G1402&lt;65,'General Basis'!$C$42,'General Basis'!$C$43)))),IF(G1402&lt;11,'General Basis'!$B$39,IF(G1402&lt;18,'General Basis'!$B$40,IF(G1402&lt;26,'General Basis'!$B$41,IF(G1402&lt;31,'General Basis'!$B$42,IF(G1402&lt;36,'General Basis'!$B$43,IF(G1402&lt;41,'General Basis'!$B$44,IF(G1402&lt;46,'General Basis'!$B$45,IF(G1402&lt;51,'General Basis'!$B$46,IF(G1402&lt;56,'General Basis'!$B$47,IF(G1402&lt;60,'General Basis'!$B$48,IF(G1402&lt;65,'General Basis'!$B$49,'General Basis'!$B$50)))))))))))))</f>
        <v/>
      </c>
      <c r="BI1402" s="744" t="str">
        <f t="shared" si="489"/>
        <v/>
      </c>
      <c r="BJ1402" s="747" t="str">
        <f t="shared" si="496"/>
        <v/>
      </c>
      <c r="BK1402" s="498" t="str">
        <f t="shared" si="490"/>
        <v/>
      </c>
      <c r="BL1402" s="498" t="str">
        <f t="shared" si="491"/>
        <v/>
      </c>
    </row>
    <row r="1403" spans="1:64" x14ac:dyDescent="0.25">
      <c r="A1403" s="762">
        <f t="shared" si="492"/>
        <v>1398</v>
      </c>
      <c r="B1403" s="229"/>
      <c r="C1403" s="223"/>
      <c r="D1403" s="224"/>
      <c r="E1403" s="225"/>
      <c r="F1403" s="1036" t="str">
        <f t="shared" si="498"/>
        <v/>
      </c>
      <c r="G1403" s="1037" t="str">
        <f t="shared" si="493"/>
        <v/>
      </c>
      <c r="H1403" s="225"/>
      <c r="I1403" s="1013"/>
      <c r="J1403" s="1013"/>
      <c r="K1403" s="1028"/>
      <c r="L1403" s="1035" t="str">
        <f t="shared" si="497"/>
        <v/>
      </c>
      <c r="S1403" s="498"/>
      <c r="AJ1403" s="498"/>
      <c r="AM1403" s="498">
        <f t="shared" si="478"/>
        <v>0</v>
      </c>
      <c r="AN1403" s="498">
        <f t="shared" si="479"/>
        <v>0</v>
      </c>
      <c r="AO1403" s="498">
        <f t="shared" si="480"/>
        <v>0</v>
      </c>
      <c r="AP1403" s="498">
        <f t="shared" si="499"/>
        <v>0</v>
      </c>
      <c r="AQ1403" s="498">
        <f t="shared" si="494"/>
        <v>0</v>
      </c>
      <c r="AU1403" s="498">
        <f t="shared" si="481"/>
        <v>0</v>
      </c>
      <c r="AV1403" s="498">
        <f t="shared" si="482"/>
        <v>0</v>
      </c>
      <c r="AW1403" s="498">
        <f t="shared" si="483"/>
        <v>0</v>
      </c>
      <c r="AX1403" s="498">
        <f t="shared" si="484"/>
        <v>0</v>
      </c>
      <c r="AY1403" s="498">
        <f t="shared" si="485"/>
        <v>0</v>
      </c>
      <c r="BB1403" s="498" t="str">
        <f t="shared" si="486"/>
        <v/>
      </c>
      <c r="BC1403" s="743" t="str">
        <f t="shared" si="487"/>
        <v/>
      </c>
      <c r="BD1403" s="743" t="str">
        <f t="shared" si="488"/>
        <v/>
      </c>
      <c r="BE1403" s="743" t="str">
        <f>IF(D1403="","",VLOOKUP(D1403,'General Basis'!$J$39:$K$46,2,0))</f>
        <v/>
      </c>
      <c r="BF1403" s="744" t="str">
        <f>IF(D1403="","",VLOOKUP(D1403,'General Basis'!$J$39:$L$46,3,0))</f>
        <v/>
      </c>
      <c r="BG1403" s="744" t="str">
        <f t="shared" si="495"/>
        <v/>
      </c>
      <c r="BH1403" s="744" t="str">
        <f>IF(G1403="","",IF(BF1403="Abu Dhabi",IF(G1403&lt;18,'General Basis'!$C$39,IF(G1403&lt;41,'General Basis'!$C$40,IF(G1403&lt;60,'General Basis'!$C$41,IF(G1403&lt;65,'General Basis'!$C$42,'General Basis'!$C$43)))),IF(G1403&lt;11,'General Basis'!$B$39,IF(G1403&lt;18,'General Basis'!$B$40,IF(G1403&lt;26,'General Basis'!$B$41,IF(G1403&lt;31,'General Basis'!$B$42,IF(G1403&lt;36,'General Basis'!$B$43,IF(G1403&lt;41,'General Basis'!$B$44,IF(G1403&lt;46,'General Basis'!$B$45,IF(G1403&lt;51,'General Basis'!$B$46,IF(G1403&lt;56,'General Basis'!$B$47,IF(G1403&lt;60,'General Basis'!$B$48,IF(G1403&lt;65,'General Basis'!$B$49,'General Basis'!$B$50)))))))))))))</f>
        <v/>
      </c>
      <c r="BI1403" s="744" t="str">
        <f t="shared" si="489"/>
        <v/>
      </c>
      <c r="BJ1403" s="747" t="str">
        <f t="shared" si="496"/>
        <v/>
      </c>
      <c r="BK1403" s="498" t="str">
        <f t="shared" si="490"/>
        <v/>
      </c>
      <c r="BL1403" s="498" t="str">
        <f t="shared" si="491"/>
        <v/>
      </c>
    </row>
    <row r="1404" spans="1:64" x14ac:dyDescent="0.25">
      <c r="A1404" s="762">
        <f t="shared" si="492"/>
        <v>1399</v>
      </c>
      <c r="B1404" s="229"/>
      <c r="C1404" s="223"/>
      <c r="D1404" s="224"/>
      <c r="E1404" s="225"/>
      <c r="F1404" s="1036" t="str">
        <f t="shared" si="498"/>
        <v/>
      </c>
      <c r="G1404" s="1037" t="str">
        <f t="shared" si="493"/>
        <v/>
      </c>
      <c r="H1404" s="225"/>
      <c r="I1404" s="1013"/>
      <c r="J1404" s="1013"/>
      <c r="K1404" s="1028"/>
      <c r="L1404" s="1035" t="str">
        <f t="shared" si="497"/>
        <v/>
      </c>
      <c r="S1404" s="498"/>
      <c r="AJ1404" s="498"/>
      <c r="AM1404" s="498">
        <f t="shared" si="478"/>
        <v>0</v>
      </c>
      <c r="AN1404" s="498">
        <f t="shared" si="479"/>
        <v>0</v>
      </c>
      <c r="AO1404" s="498">
        <f t="shared" si="480"/>
        <v>0</v>
      </c>
      <c r="AP1404" s="498">
        <f t="shared" si="499"/>
        <v>0</v>
      </c>
      <c r="AQ1404" s="498">
        <f t="shared" si="494"/>
        <v>0</v>
      </c>
      <c r="AU1404" s="498">
        <f t="shared" si="481"/>
        <v>0</v>
      </c>
      <c r="AV1404" s="498">
        <f t="shared" si="482"/>
        <v>0</v>
      </c>
      <c r="AW1404" s="498">
        <f t="shared" si="483"/>
        <v>0</v>
      </c>
      <c r="AX1404" s="498">
        <f t="shared" si="484"/>
        <v>0</v>
      </c>
      <c r="AY1404" s="498">
        <f t="shared" si="485"/>
        <v>0</v>
      </c>
      <c r="BB1404" s="498" t="str">
        <f t="shared" si="486"/>
        <v/>
      </c>
      <c r="BC1404" s="743" t="str">
        <f t="shared" si="487"/>
        <v/>
      </c>
      <c r="BD1404" s="743" t="str">
        <f t="shared" si="488"/>
        <v/>
      </c>
      <c r="BE1404" s="743" t="str">
        <f>IF(D1404="","",VLOOKUP(D1404,'General Basis'!$J$39:$K$46,2,0))</f>
        <v/>
      </c>
      <c r="BF1404" s="744" t="str">
        <f>IF(D1404="","",VLOOKUP(D1404,'General Basis'!$J$39:$L$46,3,0))</f>
        <v/>
      </c>
      <c r="BG1404" s="744" t="str">
        <f t="shared" si="495"/>
        <v/>
      </c>
      <c r="BH1404" s="744" t="str">
        <f>IF(G1404="","",IF(BF1404="Abu Dhabi",IF(G1404&lt;18,'General Basis'!$C$39,IF(G1404&lt;41,'General Basis'!$C$40,IF(G1404&lt;60,'General Basis'!$C$41,IF(G1404&lt;65,'General Basis'!$C$42,'General Basis'!$C$43)))),IF(G1404&lt;11,'General Basis'!$B$39,IF(G1404&lt;18,'General Basis'!$B$40,IF(G1404&lt;26,'General Basis'!$B$41,IF(G1404&lt;31,'General Basis'!$B$42,IF(G1404&lt;36,'General Basis'!$B$43,IF(G1404&lt;41,'General Basis'!$B$44,IF(G1404&lt;46,'General Basis'!$B$45,IF(G1404&lt;51,'General Basis'!$B$46,IF(G1404&lt;56,'General Basis'!$B$47,IF(G1404&lt;60,'General Basis'!$B$48,IF(G1404&lt;65,'General Basis'!$B$49,'General Basis'!$B$50)))))))))))))</f>
        <v/>
      </c>
      <c r="BI1404" s="744" t="str">
        <f t="shared" si="489"/>
        <v/>
      </c>
      <c r="BJ1404" s="747" t="str">
        <f t="shared" si="496"/>
        <v/>
      </c>
      <c r="BK1404" s="498" t="str">
        <f t="shared" si="490"/>
        <v/>
      </c>
      <c r="BL1404" s="498" t="str">
        <f t="shared" si="491"/>
        <v/>
      </c>
    </row>
    <row r="1405" spans="1:64" x14ac:dyDescent="0.25">
      <c r="A1405" s="762">
        <f t="shared" si="492"/>
        <v>1400</v>
      </c>
      <c r="B1405" s="229"/>
      <c r="C1405" s="223"/>
      <c r="D1405" s="224"/>
      <c r="E1405" s="225"/>
      <c r="F1405" s="1036" t="str">
        <f t="shared" si="498"/>
        <v/>
      </c>
      <c r="G1405" s="1037" t="str">
        <f t="shared" si="493"/>
        <v/>
      </c>
      <c r="H1405" s="225"/>
      <c r="I1405" s="1013"/>
      <c r="J1405" s="1013"/>
      <c r="K1405" s="1028"/>
      <c r="L1405" s="1035" t="str">
        <f t="shared" si="497"/>
        <v/>
      </c>
      <c r="S1405" s="498"/>
      <c r="AJ1405" s="498"/>
      <c r="AM1405" s="498">
        <f t="shared" si="478"/>
        <v>0</v>
      </c>
      <c r="AN1405" s="498">
        <f t="shared" si="479"/>
        <v>0</v>
      </c>
      <c r="AO1405" s="498">
        <f t="shared" si="480"/>
        <v>0</v>
      </c>
      <c r="AP1405" s="498">
        <f t="shared" si="499"/>
        <v>0</v>
      </c>
      <c r="AQ1405" s="498">
        <f t="shared" si="494"/>
        <v>0</v>
      </c>
      <c r="AU1405" s="498">
        <f t="shared" si="481"/>
        <v>0</v>
      </c>
      <c r="AV1405" s="498">
        <f t="shared" si="482"/>
        <v>0</v>
      </c>
      <c r="AW1405" s="498">
        <f t="shared" si="483"/>
        <v>0</v>
      </c>
      <c r="AX1405" s="498">
        <f t="shared" si="484"/>
        <v>0</v>
      </c>
      <c r="AY1405" s="498">
        <f t="shared" si="485"/>
        <v>0</v>
      </c>
      <c r="BB1405" s="498" t="str">
        <f t="shared" si="486"/>
        <v/>
      </c>
      <c r="BC1405" s="743" t="str">
        <f t="shared" si="487"/>
        <v/>
      </c>
      <c r="BD1405" s="743" t="str">
        <f t="shared" si="488"/>
        <v/>
      </c>
      <c r="BE1405" s="743" t="str">
        <f>IF(D1405="","",VLOOKUP(D1405,'General Basis'!$J$39:$K$46,2,0))</f>
        <v/>
      </c>
      <c r="BF1405" s="744" t="str">
        <f>IF(D1405="","",VLOOKUP(D1405,'General Basis'!$J$39:$L$46,3,0))</f>
        <v/>
      </c>
      <c r="BG1405" s="744" t="str">
        <f t="shared" si="495"/>
        <v/>
      </c>
      <c r="BH1405" s="744" t="str">
        <f>IF(G1405="","",IF(BF1405="Abu Dhabi",IF(G1405&lt;18,'General Basis'!$C$39,IF(G1405&lt;41,'General Basis'!$C$40,IF(G1405&lt;60,'General Basis'!$C$41,IF(G1405&lt;65,'General Basis'!$C$42,'General Basis'!$C$43)))),IF(G1405&lt;11,'General Basis'!$B$39,IF(G1405&lt;18,'General Basis'!$B$40,IF(G1405&lt;26,'General Basis'!$B$41,IF(G1405&lt;31,'General Basis'!$B$42,IF(G1405&lt;36,'General Basis'!$B$43,IF(G1405&lt;41,'General Basis'!$B$44,IF(G1405&lt;46,'General Basis'!$B$45,IF(G1405&lt;51,'General Basis'!$B$46,IF(G1405&lt;56,'General Basis'!$B$47,IF(G1405&lt;60,'General Basis'!$B$48,IF(G1405&lt;65,'General Basis'!$B$49,'General Basis'!$B$50)))))))))))))</f>
        <v/>
      </c>
      <c r="BI1405" s="744" t="str">
        <f t="shared" si="489"/>
        <v/>
      </c>
      <c r="BJ1405" s="747" t="str">
        <f t="shared" si="496"/>
        <v/>
      </c>
      <c r="BK1405" s="498" t="str">
        <f t="shared" si="490"/>
        <v/>
      </c>
      <c r="BL1405" s="498" t="str">
        <f t="shared" si="491"/>
        <v/>
      </c>
    </row>
    <row r="1406" spans="1:64" x14ac:dyDescent="0.25">
      <c r="A1406" s="762">
        <f t="shared" si="492"/>
        <v>1401</v>
      </c>
      <c r="B1406" s="229"/>
      <c r="C1406" s="223"/>
      <c r="D1406" s="224"/>
      <c r="E1406" s="225"/>
      <c r="F1406" s="1036" t="str">
        <f t="shared" si="498"/>
        <v/>
      </c>
      <c r="G1406" s="1037" t="str">
        <f t="shared" si="493"/>
        <v/>
      </c>
      <c r="H1406" s="225"/>
      <c r="I1406" s="1013"/>
      <c r="J1406" s="1013"/>
      <c r="K1406" s="1028"/>
      <c r="L1406" s="1035" t="str">
        <f t="shared" si="497"/>
        <v/>
      </c>
      <c r="S1406" s="498"/>
      <c r="AJ1406" s="498"/>
      <c r="AM1406" s="498">
        <f t="shared" si="478"/>
        <v>0</v>
      </c>
      <c r="AN1406" s="498">
        <f t="shared" si="479"/>
        <v>0</v>
      </c>
      <c r="AO1406" s="498">
        <f t="shared" si="480"/>
        <v>0</v>
      </c>
      <c r="AP1406" s="498">
        <f t="shared" si="499"/>
        <v>0</v>
      </c>
      <c r="AQ1406" s="498">
        <f t="shared" si="494"/>
        <v>0</v>
      </c>
      <c r="AU1406" s="498">
        <f t="shared" si="481"/>
        <v>0</v>
      </c>
      <c r="AV1406" s="498">
        <f t="shared" si="482"/>
        <v>0</v>
      </c>
      <c r="AW1406" s="498">
        <f t="shared" si="483"/>
        <v>0</v>
      </c>
      <c r="AX1406" s="498">
        <f t="shared" si="484"/>
        <v>0</v>
      </c>
      <c r="AY1406" s="498">
        <f t="shared" si="485"/>
        <v>0</v>
      </c>
      <c r="BB1406" s="498" t="str">
        <f t="shared" si="486"/>
        <v/>
      </c>
      <c r="BC1406" s="743" t="str">
        <f t="shared" si="487"/>
        <v/>
      </c>
      <c r="BD1406" s="743" t="str">
        <f t="shared" si="488"/>
        <v/>
      </c>
      <c r="BE1406" s="743" t="str">
        <f>IF(D1406="","",VLOOKUP(D1406,'General Basis'!$J$39:$K$46,2,0))</f>
        <v/>
      </c>
      <c r="BF1406" s="744" t="str">
        <f>IF(D1406="","",VLOOKUP(D1406,'General Basis'!$J$39:$L$46,3,0))</f>
        <v/>
      </c>
      <c r="BG1406" s="744" t="str">
        <f t="shared" si="495"/>
        <v/>
      </c>
      <c r="BH1406" s="744" t="str">
        <f>IF(G1406="","",IF(BF1406="Abu Dhabi",IF(G1406&lt;18,'General Basis'!$C$39,IF(G1406&lt;41,'General Basis'!$C$40,IF(G1406&lt;60,'General Basis'!$C$41,IF(G1406&lt;65,'General Basis'!$C$42,'General Basis'!$C$43)))),IF(G1406&lt;11,'General Basis'!$B$39,IF(G1406&lt;18,'General Basis'!$B$40,IF(G1406&lt;26,'General Basis'!$B$41,IF(G1406&lt;31,'General Basis'!$B$42,IF(G1406&lt;36,'General Basis'!$B$43,IF(G1406&lt;41,'General Basis'!$B$44,IF(G1406&lt;46,'General Basis'!$B$45,IF(G1406&lt;51,'General Basis'!$B$46,IF(G1406&lt;56,'General Basis'!$B$47,IF(G1406&lt;60,'General Basis'!$B$48,IF(G1406&lt;65,'General Basis'!$B$49,'General Basis'!$B$50)))))))))))))</f>
        <v/>
      </c>
      <c r="BI1406" s="744" t="str">
        <f t="shared" si="489"/>
        <v/>
      </c>
      <c r="BJ1406" s="747" t="str">
        <f t="shared" si="496"/>
        <v/>
      </c>
      <c r="BK1406" s="498" t="str">
        <f t="shared" si="490"/>
        <v/>
      </c>
      <c r="BL1406" s="498" t="str">
        <f t="shared" si="491"/>
        <v/>
      </c>
    </row>
    <row r="1407" spans="1:64" x14ac:dyDescent="0.25">
      <c r="A1407" s="762">
        <f t="shared" si="492"/>
        <v>1402</v>
      </c>
      <c r="B1407" s="229"/>
      <c r="C1407" s="223"/>
      <c r="D1407" s="224"/>
      <c r="E1407" s="225"/>
      <c r="F1407" s="1036" t="str">
        <f t="shared" si="498"/>
        <v/>
      </c>
      <c r="G1407" s="1037" t="str">
        <f t="shared" si="493"/>
        <v/>
      </c>
      <c r="H1407" s="225"/>
      <c r="I1407" s="1013"/>
      <c r="J1407" s="1013"/>
      <c r="K1407" s="1028"/>
      <c r="L1407" s="1035" t="str">
        <f t="shared" si="497"/>
        <v/>
      </c>
      <c r="S1407" s="498"/>
      <c r="AJ1407" s="498"/>
      <c r="AM1407" s="498">
        <f t="shared" si="478"/>
        <v>0</v>
      </c>
      <c r="AN1407" s="498">
        <f t="shared" si="479"/>
        <v>0</v>
      </c>
      <c r="AO1407" s="498">
        <f t="shared" si="480"/>
        <v>0</v>
      </c>
      <c r="AP1407" s="498">
        <f t="shared" si="499"/>
        <v>0</v>
      </c>
      <c r="AQ1407" s="498">
        <f t="shared" si="494"/>
        <v>0</v>
      </c>
      <c r="AU1407" s="498">
        <f t="shared" si="481"/>
        <v>0</v>
      </c>
      <c r="AV1407" s="498">
        <f t="shared" si="482"/>
        <v>0</v>
      </c>
      <c r="AW1407" s="498">
        <f t="shared" si="483"/>
        <v>0</v>
      </c>
      <c r="AX1407" s="498">
        <f t="shared" si="484"/>
        <v>0</v>
      </c>
      <c r="AY1407" s="498">
        <f t="shared" si="485"/>
        <v>0</v>
      </c>
      <c r="BB1407" s="498" t="str">
        <f t="shared" si="486"/>
        <v/>
      </c>
      <c r="BC1407" s="743" t="str">
        <f t="shared" si="487"/>
        <v/>
      </c>
      <c r="BD1407" s="743" t="str">
        <f t="shared" si="488"/>
        <v/>
      </c>
      <c r="BE1407" s="743" t="str">
        <f>IF(D1407="","",VLOOKUP(D1407,'General Basis'!$J$39:$K$46,2,0))</f>
        <v/>
      </c>
      <c r="BF1407" s="744" t="str">
        <f>IF(D1407="","",VLOOKUP(D1407,'General Basis'!$J$39:$L$46,3,0))</f>
        <v/>
      </c>
      <c r="BG1407" s="744" t="str">
        <f t="shared" si="495"/>
        <v/>
      </c>
      <c r="BH1407" s="744" t="str">
        <f>IF(G1407="","",IF(BF1407="Abu Dhabi",IF(G1407&lt;18,'General Basis'!$C$39,IF(G1407&lt;41,'General Basis'!$C$40,IF(G1407&lt;60,'General Basis'!$C$41,IF(G1407&lt;65,'General Basis'!$C$42,'General Basis'!$C$43)))),IF(G1407&lt;11,'General Basis'!$B$39,IF(G1407&lt;18,'General Basis'!$B$40,IF(G1407&lt;26,'General Basis'!$B$41,IF(G1407&lt;31,'General Basis'!$B$42,IF(G1407&lt;36,'General Basis'!$B$43,IF(G1407&lt;41,'General Basis'!$B$44,IF(G1407&lt;46,'General Basis'!$B$45,IF(G1407&lt;51,'General Basis'!$B$46,IF(G1407&lt;56,'General Basis'!$B$47,IF(G1407&lt;60,'General Basis'!$B$48,IF(G1407&lt;65,'General Basis'!$B$49,'General Basis'!$B$50)))))))))))))</f>
        <v/>
      </c>
      <c r="BI1407" s="744" t="str">
        <f t="shared" si="489"/>
        <v/>
      </c>
      <c r="BJ1407" s="747" t="str">
        <f t="shared" si="496"/>
        <v/>
      </c>
      <c r="BK1407" s="498" t="str">
        <f t="shared" si="490"/>
        <v/>
      </c>
      <c r="BL1407" s="498" t="str">
        <f t="shared" si="491"/>
        <v/>
      </c>
    </row>
    <row r="1408" spans="1:64" x14ac:dyDescent="0.25">
      <c r="A1408" s="762">
        <f t="shared" si="492"/>
        <v>1403</v>
      </c>
      <c r="B1408" s="229"/>
      <c r="C1408" s="223"/>
      <c r="D1408" s="224"/>
      <c r="E1408" s="225"/>
      <c r="F1408" s="1036" t="str">
        <f t="shared" si="498"/>
        <v/>
      </c>
      <c r="G1408" s="1037" t="str">
        <f t="shared" si="493"/>
        <v/>
      </c>
      <c r="H1408" s="225"/>
      <c r="I1408" s="1013"/>
      <c r="J1408" s="1013"/>
      <c r="K1408" s="1028"/>
      <c r="L1408" s="1035" t="str">
        <f t="shared" si="497"/>
        <v/>
      </c>
      <c r="S1408" s="498"/>
      <c r="AJ1408" s="498"/>
      <c r="AM1408" s="498">
        <f t="shared" si="478"/>
        <v>0</v>
      </c>
      <c r="AN1408" s="498">
        <f t="shared" si="479"/>
        <v>0</v>
      </c>
      <c r="AO1408" s="498">
        <f t="shared" si="480"/>
        <v>0</v>
      </c>
      <c r="AP1408" s="498">
        <f t="shared" si="499"/>
        <v>0</v>
      </c>
      <c r="AQ1408" s="498">
        <f t="shared" si="494"/>
        <v>0</v>
      </c>
      <c r="AU1408" s="498">
        <f t="shared" si="481"/>
        <v>0</v>
      </c>
      <c r="AV1408" s="498">
        <f t="shared" si="482"/>
        <v>0</v>
      </c>
      <c r="AW1408" s="498">
        <f t="shared" si="483"/>
        <v>0</v>
      </c>
      <c r="AX1408" s="498">
        <f t="shared" si="484"/>
        <v>0</v>
      </c>
      <c r="AY1408" s="498">
        <f t="shared" si="485"/>
        <v>0</v>
      </c>
      <c r="BB1408" s="498" t="str">
        <f t="shared" si="486"/>
        <v/>
      </c>
      <c r="BC1408" s="743" t="str">
        <f t="shared" si="487"/>
        <v/>
      </c>
      <c r="BD1408" s="743" t="str">
        <f t="shared" si="488"/>
        <v/>
      </c>
      <c r="BE1408" s="743" t="str">
        <f>IF(D1408="","",VLOOKUP(D1408,'General Basis'!$J$39:$K$46,2,0))</f>
        <v/>
      </c>
      <c r="BF1408" s="744" t="str">
        <f>IF(D1408="","",VLOOKUP(D1408,'General Basis'!$J$39:$L$46,3,0))</f>
        <v/>
      </c>
      <c r="BG1408" s="744" t="str">
        <f t="shared" si="495"/>
        <v/>
      </c>
      <c r="BH1408" s="744" t="str">
        <f>IF(G1408="","",IF(BF1408="Abu Dhabi",IF(G1408&lt;18,'General Basis'!$C$39,IF(G1408&lt;41,'General Basis'!$C$40,IF(G1408&lt;60,'General Basis'!$C$41,IF(G1408&lt;65,'General Basis'!$C$42,'General Basis'!$C$43)))),IF(G1408&lt;11,'General Basis'!$B$39,IF(G1408&lt;18,'General Basis'!$B$40,IF(G1408&lt;26,'General Basis'!$B$41,IF(G1408&lt;31,'General Basis'!$B$42,IF(G1408&lt;36,'General Basis'!$B$43,IF(G1408&lt;41,'General Basis'!$B$44,IF(G1408&lt;46,'General Basis'!$B$45,IF(G1408&lt;51,'General Basis'!$B$46,IF(G1408&lt;56,'General Basis'!$B$47,IF(G1408&lt;60,'General Basis'!$B$48,IF(G1408&lt;65,'General Basis'!$B$49,'General Basis'!$B$50)))))))))))))</f>
        <v/>
      </c>
      <c r="BI1408" s="744" t="str">
        <f t="shared" si="489"/>
        <v/>
      </c>
      <c r="BJ1408" s="747" t="str">
        <f t="shared" si="496"/>
        <v/>
      </c>
      <c r="BK1408" s="498" t="str">
        <f t="shared" si="490"/>
        <v/>
      </c>
      <c r="BL1408" s="498" t="str">
        <f t="shared" si="491"/>
        <v/>
      </c>
    </row>
    <row r="1409" spans="1:64" x14ac:dyDescent="0.25">
      <c r="A1409" s="762">
        <f t="shared" si="492"/>
        <v>1404</v>
      </c>
      <c r="B1409" s="229"/>
      <c r="C1409" s="223"/>
      <c r="D1409" s="224"/>
      <c r="E1409" s="225"/>
      <c r="F1409" s="1036" t="str">
        <f t="shared" si="498"/>
        <v/>
      </c>
      <c r="G1409" s="1037" t="str">
        <f t="shared" si="493"/>
        <v/>
      </c>
      <c r="H1409" s="225"/>
      <c r="I1409" s="1013"/>
      <c r="J1409" s="1013"/>
      <c r="K1409" s="1028"/>
      <c r="L1409" s="1035" t="str">
        <f t="shared" si="497"/>
        <v/>
      </c>
      <c r="S1409" s="498"/>
      <c r="AJ1409" s="498"/>
      <c r="AM1409" s="498">
        <f t="shared" si="478"/>
        <v>0</v>
      </c>
      <c r="AN1409" s="498">
        <f t="shared" si="479"/>
        <v>0</v>
      </c>
      <c r="AO1409" s="498">
        <f t="shared" si="480"/>
        <v>0</v>
      </c>
      <c r="AP1409" s="498">
        <f t="shared" si="499"/>
        <v>0</v>
      </c>
      <c r="AQ1409" s="498">
        <f t="shared" si="494"/>
        <v>0</v>
      </c>
      <c r="AU1409" s="498">
        <f t="shared" si="481"/>
        <v>0</v>
      </c>
      <c r="AV1409" s="498">
        <f t="shared" si="482"/>
        <v>0</v>
      </c>
      <c r="AW1409" s="498">
        <f t="shared" si="483"/>
        <v>0</v>
      </c>
      <c r="AX1409" s="498">
        <f t="shared" si="484"/>
        <v>0</v>
      </c>
      <c r="AY1409" s="498">
        <f t="shared" si="485"/>
        <v>0</v>
      </c>
      <c r="BB1409" s="498" t="str">
        <f t="shared" si="486"/>
        <v/>
      </c>
      <c r="BC1409" s="743" t="str">
        <f t="shared" si="487"/>
        <v/>
      </c>
      <c r="BD1409" s="743" t="str">
        <f t="shared" si="488"/>
        <v/>
      </c>
      <c r="BE1409" s="743" t="str">
        <f>IF(D1409="","",VLOOKUP(D1409,'General Basis'!$J$39:$K$46,2,0))</f>
        <v/>
      </c>
      <c r="BF1409" s="744" t="str">
        <f>IF(D1409="","",VLOOKUP(D1409,'General Basis'!$J$39:$L$46,3,0))</f>
        <v/>
      </c>
      <c r="BG1409" s="744" t="str">
        <f t="shared" si="495"/>
        <v/>
      </c>
      <c r="BH1409" s="744" t="str">
        <f>IF(G1409="","",IF(BF1409="Abu Dhabi",IF(G1409&lt;18,'General Basis'!$C$39,IF(G1409&lt;41,'General Basis'!$C$40,IF(G1409&lt;60,'General Basis'!$C$41,IF(G1409&lt;65,'General Basis'!$C$42,'General Basis'!$C$43)))),IF(G1409&lt;11,'General Basis'!$B$39,IF(G1409&lt;18,'General Basis'!$B$40,IF(G1409&lt;26,'General Basis'!$B$41,IF(G1409&lt;31,'General Basis'!$B$42,IF(G1409&lt;36,'General Basis'!$B$43,IF(G1409&lt;41,'General Basis'!$B$44,IF(G1409&lt;46,'General Basis'!$B$45,IF(G1409&lt;51,'General Basis'!$B$46,IF(G1409&lt;56,'General Basis'!$B$47,IF(G1409&lt;60,'General Basis'!$B$48,IF(G1409&lt;65,'General Basis'!$B$49,'General Basis'!$B$50)))))))))))))</f>
        <v/>
      </c>
      <c r="BI1409" s="744" t="str">
        <f t="shared" si="489"/>
        <v/>
      </c>
      <c r="BJ1409" s="747" t="str">
        <f t="shared" si="496"/>
        <v/>
      </c>
      <c r="BK1409" s="498" t="str">
        <f t="shared" si="490"/>
        <v/>
      </c>
      <c r="BL1409" s="498" t="str">
        <f t="shared" si="491"/>
        <v/>
      </c>
    </row>
    <row r="1410" spans="1:64" x14ac:dyDescent="0.25">
      <c r="A1410" s="762">
        <f t="shared" si="492"/>
        <v>1405</v>
      </c>
      <c r="B1410" s="229"/>
      <c r="C1410" s="223"/>
      <c r="D1410" s="224"/>
      <c r="E1410" s="225"/>
      <c r="F1410" s="1036" t="str">
        <f t="shared" si="498"/>
        <v/>
      </c>
      <c r="G1410" s="1037" t="str">
        <f t="shared" si="493"/>
        <v/>
      </c>
      <c r="H1410" s="225"/>
      <c r="I1410" s="1013"/>
      <c r="J1410" s="1013"/>
      <c r="K1410" s="1028"/>
      <c r="L1410" s="1035" t="str">
        <f t="shared" si="497"/>
        <v/>
      </c>
      <c r="S1410" s="498"/>
      <c r="AJ1410" s="498"/>
      <c r="AM1410" s="498">
        <f t="shared" si="478"/>
        <v>0</v>
      </c>
      <c r="AN1410" s="498">
        <f t="shared" si="479"/>
        <v>0</v>
      </c>
      <c r="AO1410" s="498">
        <f t="shared" si="480"/>
        <v>0</v>
      </c>
      <c r="AP1410" s="498">
        <f t="shared" si="499"/>
        <v>0</v>
      </c>
      <c r="AQ1410" s="498">
        <f t="shared" si="494"/>
        <v>0</v>
      </c>
      <c r="AU1410" s="498">
        <f t="shared" si="481"/>
        <v>0</v>
      </c>
      <c r="AV1410" s="498">
        <f t="shared" si="482"/>
        <v>0</v>
      </c>
      <c r="AW1410" s="498">
        <f t="shared" si="483"/>
        <v>0</v>
      </c>
      <c r="AX1410" s="498">
        <f t="shared" si="484"/>
        <v>0</v>
      </c>
      <c r="AY1410" s="498">
        <f t="shared" si="485"/>
        <v>0</v>
      </c>
      <c r="BB1410" s="498" t="str">
        <f t="shared" si="486"/>
        <v/>
      </c>
      <c r="BC1410" s="743" t="str">
        <f t="shared" si="487"/>
        <v/>
      </c>
      <c r="BD1410" s="743" t="str">
        <f t="shared" si="488"/>
        <v/>
      </c>
      <c r="BE1410" s="743" t="str">
        <f>IF(D1410="","",VLOOKUP(D1410,'General Basis'!$J$39:$K$46,2,0))</f>
        <v/>
      </c>
      <c r="BF1410" s="744" t="str">
        <f>IF(D1410="","",VLOOKUP(D1410,'General Basis'!$J$39:$L$46,3,0))</f>
        <v/>
      </c>
      <c r="BG1410" s="744" t="str">
        <f t="shared" si="495"/>
        <v/>
      </c>
      <c r="BH1410" s="744" t="str">
        <f>IF(G1410="","",IF(BF1410="Abu Dhabi",IF(G1410&lt;18,'General Basis'!$C$39,IF(G1410&lt;41,'General Basis'!$C$40,IF(G1410&lt;60,'General Basis'!$C$41,IF(G1410&lt;65,'General Basis'!$C$42,'General Basis'!$C$43)))),IF(G1410&lt;11,'General Basis'!$B$39,IF(G1410&lt;18,'General Basis'!$B$40,IF(G1410&lt;26,'General Basis'!$B$41,IF(G1410&lt;31,'General Basis'!$B$42,IF(G1410&lt;36,'General Basis'!$B$43,IF(G1410&lt;41,'General Basis'!$B$44,IF(G1410&lt;46,'General Basis'!$B$45,IF(G1410&lt;51,'General Basis'!$B$46,IF(G1410&lt;56,'General Basis'!$B$47,IF(G1410&lt;60,'General Basis'!$B$48,IF(G1410&lt;65,'General Basis'!$B$49,'General Basis'!$B$50)))))))))))))</f>
        <v/>
      </c>
      <c r="BI1410" s="744" t="str">
        <f t="shared" si="489"/>
        <v/>
      </c>
      <c r="BJ1410" s="747" t="str">
        <f t="shared" si="496"/>
        <v/>
      </c>
      <c r="BK1410" s="498" t="str">
        <f t="shared" si="490"/>
        <v/>
      </c>
      <c r="BL1410" s="498" t="str">
        <f t="shared" si="491"/>
        <v/>
      </c>
    </row>
    <row r="1411" spans="1:64" x14ac:dyDescent="0.25">
      <c r="A1411" s="762">
        <f t="shared" si="492"/>
        <v>1406</v>
      </c>
      <c r="B1411" s="229"/>
      <c r="C1411" s="223"/>
      <c r="D1411" s="224"/>
      <c r="E1411" s="225"/>
      <c r="F1411" s="1036" t="str">
        <f t="shared" si="498"/>
        <v/>
      </c>
      <c r="G1411" s="1037" t="str">
        <f t="shared" si="493"/>
        <v/>
      </c>
      <c r="H1411" s="225"/>
      <c r="I1411" s="1013"/>
      <c r="J1411" s="1013"/>
      <c r="K1411" s="1028"/>
      <c r="L1411" s="1035" t="str">
        <f t="shared" si="497"/>
        <v/>
      </c>
      <c r="S1411" s="498"/>
      <c r="AJ1411" s="498"/>
      <c r="AM1411" s="498">
        <f t="shared" si="478"/>
        <v>0</v>
      </c>
      <c r="AN1411" s="498">
        <f t="shared" si="479"/>
        <v>0</v>
      </c>
      <c r="AO1411" s="498">
        <f t="shared" si="480"/>
        <v>0</v>
      </c>
      <c r="AP1411" s="498">
        <f t="shared" si="499"/>
        <v>0</v>
      </c>
      <c r="AQ1411" s="498">
        <f t="shared" si="494"/>
        <v>0</v>
      </c>
      <c r="AU1411" s="498">
        <f t="shared" si="481"/>
        <v>0</v>
      </c>
      <c r="AV1411" s="498">
        <f t="shared" si="482"/>
        <v>0</v>
      </c>
      <c r="AW1411" s="498">
        <f t="shared" si="483"/>
        <v>0</v>
      </c>
      <c r="AX1411" s="498">
        <f t="shared" si="484"/>
        <v>0</v>
      </c>
      <c r="AY1411" s="498">
        <f t="shared" si="485"/>
        <v>0</v>
      </c>
      <c r="BB1411" s="498" t="str">
        <f t="shared" si="486"/>
        <v/>
      </c>
      <c r="BC1411" s="743" t="str">
        <f t="shared" si="487"/>
        <v/>
      </c>
      <c r="BD1411" s="743" t="str">
        <f t="shared" si="488"/>
        <v/>
      </c>
      <c r="BE1411" s="743" t="str">
        <f>IF(D1411="","",VLOOKUP(D1411,'General Basis'!$J$39:$K$46,2,0))</f>
        <v/>
      </c>
      <c r="BF1411" s="744" t="str">
        <f>IF(D1411="","",VLOOKUP(D1411,'General Basis'!$J$39:$L$46,3,0))</f>
        <v/>
      </c>
      <c r="BG1411" s="744" t="str">
        <f t="shared" si="495"/>
        <v/>
      </c>
      <c r="BH1411" s="744" t="str">
        <f>IF(G1411="","",IF(BF1411="Abu Dhabi",IF(G1411&lt;18,'General Basis'!$C$39,IF(G1411&lt;41,'General Basis'!$C$40,IF(G1411&lt;60,'General Basis'!$C$41,IF(G1411&lt;65,'General Basis'!$C$42,'General Basis'!$C$43)))),IF(G1411&lt;11,'General Basis'!$B$39,IF(G1411&lt;18,'General Basis'!$B$40,IF(G1411&lt;26,'General Basis'!$B$41,IF(G1411&lt;31,'General Basis'!$B$42,IF(G1411&lt;36,'General Basis'!$B$43,IF(G1411&lt;41,'General Basis'!$B$44,IF(G1411&lt;46,'General Basis'!$B$45,IF(G1411&lt;51,'General Basis'!$B$46,IF(G1411&lt;56,'General Basis'!$B$47,IF(G1411&lt;60,'General Basis'!$B$48,IF(G1411&lt;65,'General Basis'!$B$49,'General Basis'!$B$50)))))))))))))</f>
        <v/>
      </c>
      <c r="BI1411" s="744" t="str">
        <f t="shared" si="489"/>
        <v/>
      </c>
      <c r="BJ1411" s="747" t="str">
        <f t="shared" si="496"/>
        <v/>
      </c>
      <c r="BK1411" s="498" t="str">
        <f t="shared" si="490"/>
        <v/>
      </c>
      <c r="BL1411" s="498" t="str">
        <f t="shared" si="491"/>
        <v/>
      </c>
    </row>
    <row r="1412" spans="1:64" x14ac:dyDescent="0.25">
      <c r="A1412" s="762">
        <f t="shared" si="492"/>
        <v>1407</v>
      </c>
      <c r="B1412" s="229"/>
      <c r="C1412" s="223"/>
      <c r="D1412" s="224"/>
      <c r="E1412" s="225"/>
      <c r="F1412" s="1036" t="str">
        <f t="shared" si="498"/>
        <v/>
      </c>
      <c r="G1412" s="1037" t="str">
        <f t="shared" si="493"/>
        <v/>
      </c>
      <c r="H1412" s="225"/>
      <c r="I1412" s="1013"/>
      <c r="J1412" s="1013"/>
      <c r="K1412" s="1028"/>
      <c r="L1412" s="1035" t="str">
        <f t="shared" si="497"/>
        <v/>
      </c>
      <c r="S1412" s="498"/>
      <c r="AJ1412" s="498"/>
      <c r="AM1412" s="498">
        <f t="shared" si="478"/>
        <v>0</v>
      </c>
      <c r="AN1412" s="498">
        <f t="shared" si="479"/>
        <v>0</v>
      </c>
      <c r="AO1412" s="498">
        <f t="shared" si="480"/>
        <v>0</v>
      </c>
      <c r="AP1412" s="498">
        <f t="shared" si="499"/>
        <v>0</v>
      </c>
      <c r="AQ1412" s="498">
        <f t="shared" si="494"/>
        <v>0</v>
      </c>
      <c r="AU1412" s="498">
        <f t="shared" si="481"/>
        <v>0</v>
      </c>
      <c r="AV1412" s="498">
        <f t="shared" si="482"/>
        <v>0</v>
      </c>
      <c r="AW1412" s="498">
        <f t="shared" si="483"/>
        <v>0</v>
      </c>
      <c r="AX1412" s="498">
        <f t="shared" si="484"/>
        <v>0</v>
      </c>
      <c r="AY1412" s="498">
        <f t="shared" si="485"/>
        <v>0</v>
      </c>
      <c r="BB1412" s="498" t="str">
        <f t="shared" si="486"/>
        <v/>
      </c>
      <c r="BC1412" s="743" t="str">
        <f t="shared" si="487"/>
        <v/>
      </c>
      <c r="BD1412" s="743" t="str">
        <f t="shared" si="488"/>
        <v/>
      </c>
      <c r="BE1412" s="743" t="str">
        <f>IF(D1412="","",VLOOKUP(D1412,'General Basis'!$J$39:$K$46,2,0))</f>
        <v/>
      </c>
      <c r="BF1412" s="744" t="str">
        <f>IF(D1412="","",VLOOKUP(D1412,'General Basis'!$J$39:$L$46,3,0))</f>
        <v/>
      </c>
      <c r="BG1412" s="744" t="str">
        <f t="shared" si="495"/>
        <v/>
      </c>
      <c r="BH1412" s="744" t="str">
        <f>IF(G1412="","",IF(BF1412="Abu Dhabi",IF(G1412&lt;18,'General Basis'!$C$39,IF(G1412&lt;41,'General Basis'!$C$40,IF(G1412&lt;60,'General Basis'!$C$41,IF(G1412&lt;65,'General Basis'!$C$42,'General Basis'!$C$43)))),IF(G1412&lt;11,'General Basis'!$B$39,IF(G1412&lt;18,'General Basis'!$B$40,IF(G1412&lt;26,'General Basis'!$B$41,IF(G1412&lt;31,'General Basis'!$B$42,IF(G1412&lt;36,'General Basis'!$B$43,IF(G1412&lt;41,'General Basis'!$B$44,IF(G1412&lt;46,'General Basis'!$B$45,IF(G1412&lt;51,'General Basis'!$B$46,IF(G1412&lt;56,'General Basis'!$B$47,IF(G1412&lt;60,'General Basis'!$B$48,IF(G1412&lt;65,'General Basis'!$B$49,'General Basis'!$B$50)))))))))))))</f>
        <v/>
      </c>
      <c r="BI1412" s="744" t="str">
        <f t="shared" si="489"/>
        <v/>
      </c>
      <c r="BJ1412" s="747" t="str">
        <f t="shared" si="496"/>
        <v/>
      </c>
      <c r="BK1412" s="498" t="str">
        <f t="shared" si="490"/>
        <v/>
      </c>
      <c r="BL1412" s="498" t="str">
        <f t="shared" si="491"/>
        <v/>
      </c>
    </row>
    <row r="1413" spans="1:64" x14ac:dyDescent="0.25">
      <c r="A1413" s="762">
        <f t="shared" si="492"/>
        <v>1408</v>
      </c>
      <c r="B1413" s="229"/>
      <c r="C1413" s="223"/>
      <c r="D1413" s="224"/>
      <c r="E1413" s="225"/>
      <c r="F1413" s="1036" t="str">
        <f t="shared" si="498"/>
        <v/>
      </c>
      <c r="G1413" s="1037" t="str">
        <f t="shared" si="493"/>
        <v/>
      </c>
      <c r="H1413" s="225"/>
      <c r="I1413" s="1013"/>
      <c r="J1413" s="1013"/>
      <c r="K1413" s="1028"/>
      <c r="L1413" s="1035" t="str">
        <f t="shared" si="497"/>
        <v/>
      </c>
      <c r="S1413" s="498"/>
      <c r="AJ1413" s="498"/>
      <c r="AM1413" s="498">
        <f t="shared" si="478"/>
        <v>0</v>
      </c>
      <c r="AN1413" s="498">
        <f t="shared" si="479"/>
        <v>0</v>
      </c>
      <c r="AO1413" s="498">
        <f t="shared" si="480"/>
        <v>0</v>
      </c>
      <c r="AP1413" s="498">
        <f t="shared" si="499"/>
        <v>0</v>
      </c>
      <c r="AQ1413" s="498">
        <f t="shared" si="494"/>
        <v>0</v>
      </c>
      <c r="AU1413" s="498">
        <f t="shared" si="481"/>
        <v>0</v>
      </c>
      <c r="AV1413" s="498">
        <f t="shared" si="482"/>
        <v>0</v>
      </c>
      <c r="AW1413" s="498">
        <f t="shared" si="483"/>
        <v>0</v>
      </c>
      <c r="AX1413" s="498">
        <f t="shared" si="484"/>
        <v>0</v>
      </c>
      <c r="AY1413" s="498">
        <f t="shared" si="485"/>
        <v>0</v>
      </c>
      <c r="BB1413" s="498" t="str">
        <f t="shared" si="486"/>
        <v/>
      </c>
      <c r="BC1413" s="743" t="str">
        <f t="shared" si="487"/>
        <v/>
      </c>
      <c r="BD1413" s="743" t="str">
        <f t="shared" si="488"/>
        <v/>
      </c>
      <c r="BE1413" s="743" t="str">
        <f>IF(D1413="","",VLOOKUP(D1413,'General Basis'!$J$39:$K$46,2,0))</f>
        <v/>
      </c>
      <c r="BF1413" s="744" t="str">
        <f>IF(D1413="","",VLOOKUP(D1413,'General Basis'!$J$39:$L$46,3,0))</f>
        <v/>
      </c>
      <c r="BG1413" s="744" t="str">
        <f t="shared" si="495"/>
        <v/>
      </c>
      <c r="BH1413" s="744" t="str">
        <f>IF(G1413="","",IF(BF1413="Abu Dhabi",IF(G1413&lt;18,'General Basis'!$C$39,IF(G1413&lt;41,'General Basis'!$C$40,IF(G1413&lt;60,'General Basis'!$C$41,IF(G1413&lt;65,'General Basis'!$C$42,'General Basis'!$C$43)))),IF(G1413&lt;11,'General Basis'!$B$39,IF(G1413&lt;18,'General Basis'!$B$40,IF(G1413&lt;26,'General Basis'!$B$41,IF(G1413&lt;31,'General Basis'!$B$42,IF(G1413&lt;36,'General Basis'!$B$43,IF(G1413&lt;41,'General Basis'!$B$44,IF(G1413&lt;46,'General Basis'!$B$45,IF(G1413&lt;51,'General Basis'!$B$46,IF(G1413&lt;56,'General Basis'!$B$47,IF(G1413&lt;60,'General Basis'!$B$48,IF(G1413&lt;65,'General Basis'!$B$49,'General Basis'!$B$50)))))))))))))</f>
        <v/>
      </c>
      <c r="BI1413" s="744" t="str">
        <f t="shared" si="489"/>
        <v/>
      </c>
      <c r="BJ1413" s="747" t="str">
        <f t="shared" si="496"/>
        <v/>
      </c>
      <c r="BK1413" s="498" t="str">
        <f t="shared" si="490"/>
        <v/>
      </c>
      <c r="BL1413" s="498" t="str">
        <f t="shared" si="491"/>
        <v/>
      </c>
    </row>
    <row r="1414" spans="1:64" x14ac:dyDescent="0.25">
      <c r="A1414" s="762">
        <f t="shared" si="492"/>
        <v>1409</v>
      </c>
      <c r="B1414" s="229"/>
      <c r="C1414" s="223"/>
      <c r="D1414" s="224"/>
      <c r="E1414" s="225"/>
      <c r="F1414" s="1036" t="str">
        <f t="shared" si="498"/>
        <v/>
      </c>
      <c r="G1414" s="1037" t="str">
        <f t="shared" si="493"/>
        <v/>
      </c>
      <c r="H1414" s="225"/>
      <c r="I1414" s="1013"/>
      <c r="J1414" s="1013"/>
      <c r="K1414" s="1028"/>
      <c r="L1414" s="1035" t="str">
        <f t="shared" si="497"/>
        <v/>
      </c>
      <c r="S1414" s="498"/>
      <c r="AJ1414" s="498"/>
      <c r="AM1414" s="498">
        <f t="shared" ref="AM1414:AM1477" si="500">IF(ISTEXT(B1414),1,0)</f>
        <v>0</v>
      </c>
      <c r="AN1414" s="498">
        <f t="shared" ref="AN1414:AN1477" si="501">IF(ISBLANK(B1414),0,IF(B1414&lt;$AK$6,1,0))</f>
        <v>0</v>
      </c>
      <c r="AO1414" s="498">
        <f t="shared" ref="AO1414:AO1477" si="502">IF(ISBLANK(B1414),0,IF(B1414&gt;$AK$7,1,0))</f>
        <v>0</v>
      </c>
      <c r="AP1414" s="498">
        <f t="shared" si="499"/>
        <v>0</v>
      </c>
      <c r="AQ1414" s="498">
        <f t="shared" si="494"/>
        <v>0</v>
      </c>
      <c r="AU1414" s="498">
        <f t="shared" ref="AU1414:AU1477" si="503">IF(ISBLANK(B1414),0,1)</f>
        <v>0</v>
      </c>
      <c r="AV1414" s="498">
        <f t="shared" ref="AV1414:AV1477" si="504">IF(ISBLANK(C1414),0,1)</f>
        <v>0</v>
      </c>
      <c r="AW1414" s="498">
        <f t="shared" ref="AW1414:AW1477" si="505">IF(ISBLANK(D1414),0,1)</f>
        <v>0</v>
      </c>
      <c r="AX1414" s="498">
        <f t="shared" ref="AX1414:AX1477" si="506">IF(ISBLANK(E1414),0,1)</f>
        <v>0</v>
      </c>
      <c r="AY1414" s="498">
        <f t="shared" ref="AY1414:AY1477" si="507">IF(ISBLANK(H1414),0,1)</f>
        <v>0</v>
      </c>
      <c r="BB1414" s="498" t="str">
        <f t="shared" ref="BB1414:BB1477" si="508">IF(E1414="Principal","Principal",IF(E1414="","","Other"))</f>
        <v/>
      </c>
      <c r="BC1414" s="743" t="str">
        <f t="shared" ref="BC1414:BC1477" si="509">IF(D1414="","",D1414)</f>
        <v/>
      </c>
      <c r="BD1414" s="743" t="str">
        <f t="shared" ref="BD1414:BD1477" si="510">IF(E1414="Principal","Employee",IF(E1414="","","Dependent"))</f>
        <v/>
      </c>
      <c r="BE1414" s="743" t="str">
        <f>IF(D1414="","",VLOOKUP(D1414,'General Basis'!$J$39:$K$46,2,0))</f>
        <v/>
      </c>
      <c r="BF1414" s="744" t="str">
        <f>IF(D1414="","",VLOOKUP(D1414,'General Basis'!$J$39:$L$46,3,0))</f>
        <v/>
      </c>
      <c r="BG1414" s="744" t="str">
        <f t="shared" si="495"/>
        <v/>
      </c>
      <c r="BH1414" s="744" t="str">
        <f>IF(G1414="","",IF(BF1414="Abu Dhabi",IF(G1414&lt;18,'General Basis'!$C$39,IF(G1414&lt;41,'General Basis'!$C$40,IF(G1414&lt;60,'General Basis'!$C$41,IF(G1414&lt;65,'General Basis'!$C$42,'General Basis'!$C$43)))),IF(G1414&lt;11,'General Basis'!$B$39,IF(G1414&lt;18,'General Basis'!$B$40,IF(G1414&lt;26,'General Basis'!$B$41,IF(G1414&lt;31,'General Basis'!$B$42,IF(G1414&lt;36,'General Basis'!$B$43,IF(G1414&lt;41,'General Basis'!$B$44,IF(G1414&lt;46,'General Basis'!$B$45,IF(G1414&lt;51,'General Basis'!$B$46,IF(G1414&lt;56,'General Basis'!$B$47,IF(G1414&lt;60,'General Basis'!$B$48,IF(G1414&lt;65,'General Basis'!$B$49,'General Basis'!$B$50)))))))))))))</f>
        <v/>
      </c>
      <c r="BI1414" s="744" t="str">
        <f t="shared" ref="BI1414:BI1477" si="511">IF(C1414="","",IF(C1414="M","Male","Female"))</f>
        <v/>
      </c>
      <c r="BJ1414" s="747" t="str">
        <f t="shared" si="496"/>
        <v/>
      </c>
      <c r="BK1414" s="498" t="str">
        <f t="shared" ref="BK1414:BK1477" si="512">IF(BD1414="","",IF(AND(BD1414="Employee",BI1414="Male",BF1414="Abu Dhabi",BE1414=GN_Plus),VLOOKUP(BH1414,AUH_MALE_EMP,2,0),IF(AND(BD1414="Employee",BI1414="Male",BF1414="Abu Dhabi",BE1414=GN),VLOOKUP(BH1414,AUH_MALE_EMP,3,0),IF(AND(BD1414="Employee",BI1414="Male",BF1414="Abu Dhabi",BE1414=RN_Plus),VLOOKUP(BH1414,AUH_MALE_EMP,4,0),IF(AND(BD1414="Employee",BI1414="Male",BF1414="Abu Dhabi",BE1414=RN),VLOOKUP(BH1414,AUH_MALE_EMP,5,0),IF(AND(BD1414="Employee",BI1414="Male",BF1414="Abu Dhabi",BE1414=RN_2),VLOOKUP(BH1414,AUH_MALE_EMP,6,0),IF(AND(BD1414="Employee",BI1414="Male",BF1414="Abu Dhabi",BE1414=RN2_minus),VLOOKUP(BH1414,AUH_MALE_EMP,7,0),IF(AND(BD1414="Employee",BI1414="Male",BF1414="Abu Dhabi",BE1414=RN_3),VLOOKUP(BH1414,AUH_MALE_EMP,8,0),IF(AND(BD1414="Employee",BI1414="Male",BF1414="Abu Dhabi",BE1414=VN),VLOOKUP(BH1414,AUH_MALE_EMP,9,0),IF(BD1414="","",IF(AND(BD1414="Employee",BI1414="Female",BF1414="Abu Dhabi",BE1414=GN_Plus),VLOOKUP(BH1414,AUH_FEMALE_EMP,2,0),IF(AND(BD1414="Employee",BI1414="Female",BF1414="Abu Dhabi",BE1414=GN),VLOOKUP(BH1414,AUH_FEMALE_EMP,3,0),IF(AND(BD1414="Employee",BI1414="Female",BF1414="Abu Dhabi",BE1414=RN_Plus),VLOOKUP(BH1414,AUH_FEMALE_EMP,4,0),IF(AND(BD1414="Employee",BI1414="Female",BF1414="Abu Dhabi",BE1414=RN),VLOOKUP(BH1414,AUH_FEMALE_EMP,5,0),IF(AND(BD1414="Employee",BI1414="Female",BF1414="Abu Dhabi",BE1414=RN_2),VLOOKUP(BH1414,AUH_FEMALE_EMP,6,0),IF(AND(BD1414="Employee",BI1414="Female",BF1414="Abu Dhabi",BE1414=RN2_minus),VLOOKUP(BH1414,AUH_FEMALE_EMP,7,0),IF(AND(BD1414="Employee",BI1414="Female",BF1414="Abu Dhabi",BE1414=RN_3),VLOOKUP(BH1414,AUH_FEMALE_EMP,8,0),IF(AND(BD1414="Employee",BI1414="Female",BF1414="Abu Dhabi",BE1414=VN),VLOOKUP(BH1414,AUH_FEMALE_EMP,9,0),IF(BD1414="","",IF(AND(BD1414="Dependent",BI1414="Male",BF1414="Abu Dhabi",BE1414=GN_Plus),VLOOKUP(BH1414,AUH_MALE_DEP,2,0),IF(AND(BD1414="Dependent",BI1414="Male",BF1414="Abu Dhabi",BE1414=GN),VLOOKUP(BH1414,AUH_MALE_DEP,3,0),IF(AND(BD1414="Dependent",BI1414="Male",BF1414="Abu Dhabi",BE1414=RN_Plus),VLOOKUP(BH1414,AUH_MALE_DEP,4,0),IF(AND(BD1414="Dependent",BI1414="Male",BF1414="Abu Dhabi",BE1414=RN),VLOOKUP(BH1414,AUH_MALE_DEP,5,0),IF(AND(BD1414="Dependent",BI1414="Male",BF1414="Abu Dhabi",BE1414=RN_2),VLOOKUP(BH1414,AUH_MALE_DEP,6,0),IF(AND(BD1414="Dependent",BI1414="Male",BF1414="Abu Dhabi",BE1414=RN2_minus),VLOOKUP(BH1414,AUH_MALE_DEP,7,0),IF(AND(BD1414="Dependent",BI1414="Male",BF1414="Abu Dhabi",BE1414=RN_3),VLOOKUP(BH1414,AUH_MALE_DEP,8,0),IF(AND(BD1414="Dependent",BI1414="Male",BF1414="Abu Dhabi",BE1414=VN),VLOOKUP(BH1414,AUH_MALE_DEP,9,0),IF(BD1414="","",IF(AND(BD1414="Dependent",BI1414="Female",BF1414="Abu Dhabi",BE1414=GN_Plus),VLOOKUP(BH1414,AUH_FEMALE_DEP,2,0),IF(AND(BD1414="Dependent",BI1414="Female",BF1414="Abu Dhabi",BE1414=GN),VLOOKUP(BH1414,AUH_FEMALE_DEP,3,0),IF(AND(BD1414="Dependent",BI1414="Female",BF1414="Abu Dhabi",BE1414=RN_Plus),VLOOKUP(BH1414,AUH_FEMALE_DEP,4,0),IF(AND(BD1414="Dependent",BI1414="Female",BF1414="Abu Dhabi",BE1414=RN),VLOOKUP(BH1414,AUH_FEMALE_DEP,5,0),IF(AND(BD1414="Dependent",BI1414="Female",BF1414="Abu Dhabi",BE1414=RN_2),VLOOKUP(BH1414,AUH_FEMALE_DEP,6,0),IF(AND(BD1414="Dependent",BI1414="Female",BF1414="Abu Dhabi",BE1414=RN2_minus),VLOOKUP(BH1414,AUH_FEMALE_DEP,7,0),IF(AND(BD1414="Dependent",BI1414="Female",BF1414="Abu Dhabi",BE1414=RN_3),VLOOKUP(BH1414,AUH_FEMALE_DEP,8,0),IF(AND(BD1414="Dependent",BI1414="Female",BF1414="Abu Dhabi",BE1414=VN),VLOOKUP(BH1414,AUH_FEMALE_DEP,9,0),"ABC"))))))))))))))))))))))))))))))))))))</f>
        <v/>
      </c>
      <c r="BL1414" s="498" t="str">
        <f t="shared" ref="BL1414:BL1477" si="513">IF(BD1414="","",IF(AND(BD1414="Employee",BI1414="Male",BF1414="Dubai",BE1414=GN_Plus),VLOOKUP(BH1414,DXB_MALE_EMP,2,0),IF(AND(BD1414="Employee",BI1414="Male",BF1414="Dubai",BE1414=GN),VLOOKUP(BH1414,DXB_MALE_EMP,3,0),IF(AND(BD1414="Employee",BI1414="Male",BF1414="Dubai",BE1414=RN_Plus),VLOOKUP(BH1414,DXB_MALE_EMP,4,0),IF(AND(BD1414="Employee",BI1414="Male",BF1414="Dubai",BE1414=RN),VLOOKUP(BH1414,DXB_MALE_EMP,5,0),IF(AND(BD1414="Employee",BI1414="Male",BF1414="Dubai",BE1414=RN_2),VLOOKUP(BH1414,DXB_MALE_EMP,6,0),IF(AND(BD1414="Employee",BI1414="Male",BF1414="Dubai",BE1414=RN2_minus),VLOOKUP(BH1414,DXB_MALE_EMP,7,0),IF(AND(BD1414="Employee",BI1414="Male",BF1414="Dubai",BE1414=RN_3),VLOOKUP(BH1414,DXB_MALE_EMP,8,0),IF(AND(BD1414="Employee",BI1414="Male",BF1414="Dubai",BE1414=VN),VLOOKUP(BH1414,DXB_MALE_EMP,9,0),IF(BD1414="","",IF(AND(BD1414="Employee",BI1414="Female",BF1414="Dubai",BE1414=GN_Plus),VLOOKUP(BH1414,DXB_FEMALE_EMP,2,0),IF(AND(BD1414="Employee",BI1414="Female",BF1414="Dubai",BE1414=GN),VLOOKUP(BH1414,DXB_FEMALE_EMP,3,0),IF(AND(BD1414="Employee",BI1414="Female",BF1414="Dubai",BE1414=RN_Plus),VLOOKUP(BH1414,DXB_FEMALE_EMP,4,0),IF(AND(BD1414="Employee",BI1414="Female",BF1414="Dubai",BE1414=RN),VLOOKUP(BH1414,DXB_FEMALE_EMP,5,0),IF(AND(BD1414="Employee",BI1414="Female",BF1414="Dubai",BE1414=RN_2),VLOOKUP(BH1414,DXB_FEMALE_EMP,6,0),IF(AND(BD1414="Employee",BI1414="Female",BF1414="Dubai",BE1414=RN2_minus),VLOOKUP(BH1414,DXB_FEMALE_EMP,7,0),IF(AND(BD1414="Employee",BI1414="Female",BF1414="Dubai",BE1414=RN_3),VLOOKUP(BH1414,DXB_FEMALE_EMP,8,0),IF(AND(BD1414="Employee",BI1414="Female",BF1414="Dubai",BE1414=VN),VLOOKUP(BH1414,DXB_FEMALE_EMP,9,0),IF(BD1414="","",IF(AND(BD1414="Dependent",BI1414="Male",BF1414="Dubai",BE1414=GN_Plus),VLOOKUP(BH1414,DXB_MALE_DEP,2,0),IF(AND(BD1414="Dependent",BI1414="Male",BF1414="Dubai",BE1414=GN),VLOOKUP(BH1414,DXB_MALE_DEP,3,0),IF(AND(BD1414="Dependent",BI1414="Male",BF1414="Dubai",BE1414=RN_Plus),VLOOKUP(BH1414,DXB_MALE_DEP,4,0),IF(AND(BD1414="Dependent",BI1414="Male",BF1414="Dubai",BE1414=RN),VLOOKUP(BH1414,DXB_MALE_DEP,5,0),IF(AND(BD1414="Dependent",BI1414="Male",BF1414="Dubai",BE1414=RN_2),VLOOKUP(BH1414,DXB_MALE_DEP,6,0),IF(AND(BD1414="Dependent",BI1414="Male",BF1414="Dubai",BE1414=RN2_minus),VLOOKUP(BH1414,DXB_MALE_DEP,7,0),IF(AND(BD1414="Dependent",BI1414="Male",BF1414="Dubai",BE1414=RN_3),VLOOKUP(BH1414,DXB_MALE_DEP,8,0),IF(AND(BD1414="Dependent",BI1414="Male",BF1414="Dubai",BE1414=VN),VLOOKUP(BH1414,DXB_MALE_DEP,9,0),IF(BD1414="","",IF(AND(BD1414="Dependent",BI1414="Female",BF1414="Dubai",BE1414=GN_Plus),VLOOKUP(BH1414,DXB_FEMALE_DEP,2,0),IF(AND(BD1414="Dependent",BI1414="Female",BF1414="Dubai",BE1414=GN),VLOOKUP(BH1414,DXB_FEMALE_DEP,3,0),IF(AND(BD1414="Dependent",BI1414="Female",BF1414="Dubai",BE1414=RN_Plus),VLOOKUP(BH1414,DXB_FEMALE_DEP,4,0),IF(AND(BD1414="Dependent",BI1414="Female",BF1414="Dubai",BE1414=RN),VLOOKUP(BH1414,DXB_FEMALE_DEP,5,0),IF(AND(BD1414="Dependent",BI1414="Female",BF1414="Dubai",BE1414=RN_2),VLOOKUP(BH1414,DXB_FEMALE_DEP,6,0),IF(AND(BD1414="Dependent",BI1414="Female",BF1414="Dubai",BE1414=RN2_minus),VLOOKUP(BH1414,DXB_FEMALE_DEP,7,0),IF(AND(BD1414="Dependent",BI1414="Female",BF1414="Dubai",BE1414=RN_3),VLOOKUP(BH1414,DXB_FEMALE_DEP,8,0),IF(AND(BD1414="Dependent",BI1414="Female",BF1414="Dubai",BE1414=VN),VLOOKUP(BH1414,DXB_FEMALE_DEP,9,0),"ABC"))))))))))))))))))))))))))))))))))))</f>
        <v/>
      </c>
    </row>
    <row r="1415" spans="1:64" x14ac:dyDescent="0.25">
      <c r="A1415" s="762">
        <f t="shared" ref="A1415:A1478" si="514">+A1414+1</f>
        <v>1410</v>
      </c>
      <c r="B1415" s="229"/>
      <c r="C1415" s="223"/>
      <c r="D1415" s="224"/>
      <c r="E1415" s="225"/>
      <c r="F1415" s="1036" t="str">
        <f t="shared" si="498"/>
        <v/>
      </c>
      <c r="G1415" s="1037" t="str">
        <f t="shared" ref="G1415:G1478" si="515">IF(D1415="","",MAX(0,ROUNDUP(F1415,0)))</f>
        <v/>
      </c>
      <c r="H1415" s="225"/>
      <c r="I1415" s="1013"/>
      <c r="J1415" s="1013"/>
      <c r="K1415" s="1028"/>
      <c r="L1415" s="1035" t="str">
        <f t="shared" si="497"/>
        <v/>
      </c>
      <c r="S1415" s="498"/>
      <c r="AJ1415" s="498"/>
      <c r="AM1415" s="498">
        <f t="shared" si="500"/>
        <v>0</v>
      </c>
      <c r="AN1415" s="498">
        <f t="shared" si="501"/>
        <v>0</v>
      </c>
      <c r="AO1415" s="498">
        <f t="shared" si="502"/>
        <v>0</v>
      </c>
      <c r="AP1415" s="498">
        <f t="shared" si="499"/>
        <v>0</v>
      </c>
      <c r="AQ1415" s="498">
        <f t="shared" ref="AQ1415:AQ1478" si="516">IF(ISBLANK($B1415),0,IF(OR($H1415="Single",$H1415="Married"),0,1))</f>
        <v>0</v>
      </c>
      <c r="AU1415" s="498">
        <f t="shared" si="503"/>
        <v>0</v>
      </c>
      <c r="AV1415" s="498">
        <f t="shared" si="504"/>
        <v>0</v>
      </c>
      <c r="AW1415" s="498">
        <f t="shared" si="505"/>
        <v>0</v>
      </c>
      <c r="AX1415" s="498">
        <f t="shared" si="506"/>
        <v>0</v>
      </c>
      <c r="AY1415" s="498">
        <f t="shared" si="507"/>
        <v>0</v>
      </c>
      <c r="BB1415" s="498" t="str">
        <f t="shared" si="508"/>
        <v/>
      </c>
      <c r="BC1415" s="743" t="str">
        <f t="shared" si="509"/>
        <v/>
      </c>
      <c r="BD1415" s="743" t="str">
        <f t="shared" si="510"/>
        <v/>
      </c>
      <c r="BE1415" s="743" t="str">
        <f>IF(D1415="","",VLOOKUP(D1415,'General Basis'!$J$39:$K$46,2,0))</f>
        <v/>
      </c>
      <c r="BF1415" s="744" t="str">
        <f>IF(D1415="","",VLOOKUP(D1415,'General Basis'!$J$39:$L$46,3,0))</f>
        <v/>
      </c>
      <c r="BG1415" s="744" t="str">
        <f t="shared" ref="BG1415:BG1478" si="517">BC1415&amp;BI1415</f>
        <v/>
      </c>
      <c r="BH1415" s="744" t="str">
        <f>IF(G1415="","",IF(BF1415="Abu Dhabi",IF(G1415&lt;18,'General Basis'!$C$39,IF(G1415&lt;41,'General Basis'!$C$40,IF(G1415&lt;60,'General Basis'!$C$41,IF(G1415&lt;65,'General Basis'!$C$42,'General Basis'!$C$43)))),IF(G1415&lt;11,'General Basis'!$B$39,IF(G1415&lt;18,'General Basis'!$B$40,IF(G1415&lt;26,'General Basis'!$B$41,IF(G1415&lt;31,'General Basis'!$B$42,IF(G1415&lt;36,'General Basis'!$B$43,IF(G1415&lt;41,'General Basis'!$B$44,IF(G1415&lt;46,'General Basis'!$B$45,IF(G1415&lt;51,'General Basis'!$B$46,IF(G1415&lt;56,'General Basis'!$B$47,IF(G1415&lt;60,'General Basis'!$B$48,IF(G1415&lt;65,'General Basis'!$B$49,'General Basis'!$B$50)))))))))))))</f>
        <v/>
      </c>
      <c r="BI1415" s="744" t="str">
        <f t="shared" si="511"/>
        <v/>
      </c>
      <c r="BJ1415" s="747" t="str">
        <f t="shared" ref="BJ1415:BJ1478" si="518">IF(BD1415="","",IF(BF1415="Abu Dhabi",BK1415,BL1415))</f>
        <v/>
      </c>
      <c r="BK1415" s="498" t="str">
        <f t="shared" si="512"/>
        <v/>
      </c>
      <c r="BL1415" s="498" t="str">
        <f t="shared" si="513"/>
        <v/>
      </c>
    </row>
    <row r="1416" spans="1:64" x14ac:dyDescent="0.25">
      <c r="A1416" s="762">
        <f t="shared" si="514"/>
        <v>1411</v>
      </c>
      <c r="B1416" s="229"/>
      <c r="C1416" s="223"/>
      <c r="D1416" s="224"/>
      <c r="E1416" s="225"/>
      <c r="F1416" s="1036" t="str">
        <f t="shared" si="498"/>
        <v/>
      </c>
      <c r="G1416" s="1037" t="str">
        <f t="shared" si="515"/>
        <v/>
      </c>
      <c r="H1416" s="225"/>
      <c r="I1416" s="1013"/>
      <c r="J1416" s="1013"/>
      <c r="K1416" s="1028"/>
      <c r="L1416" s="1035" t="str">
        <f t="shared" ref="L1416:L1479" si="519">IF(AND(E1416="Child",H1416="Married"),"Check the Marital Status of the Child. ",IF(AND(E1416="Child",F1416&gt;18),"Child Age exceed 18 years. ",IF(AND(E1416="Spouse",H1416="Single"),"Spouse is selected as Single. ","")))&amp;IF(K1416&gt;0,"UW Loading has been Applied","")</f>
        <v/>
      </c>
      <c r="S1416" s="498"/>
      <c r="AJ1416" s="498"/>
      <c r="AM1416" s="498">
        <f t="shared" si="500"/>
        <v>0</v>
      </c>
      <c r="AN1416" s="498">
        <f t="shared" si="501"/>
        <v>0</v>
      </c>
      <c r="AO1416" s="498">
        <f t="shared" si="502"/>
        <v>0</v>
      </c>
      <c r="AP1416" s="498">
        <f t="shared" si="499"/>
        <v>0</v>
      </c>
      <c r="AQ1416" s="498">
        <f t="shared" si="516"/>
        <v>0</v>
      </c>
      <c r="AU1416" s="498">
        <f t="shared" si="503"/>
        <v>0</v>
      </c>
      <c r="AV1416" s="498">
        <f t="shared" si="504"/>
        <v>0</v>
      </c>
      <c r="AW1416" s="498">
        <f t="shared" si="505"/>
        <v>0</v>
      </c>
      <c r="AX1416" s="498">
        <f t="shared" si="506"/>
        <v>0</v>
      </c>
      <c r="AY1416" s="498">
        <f t="shared" si="507"/>
        <v>0</v>
      </c>
      <c r="BB1416" s="498" t="str">
        <f t="shared" si="508"/>
        <v/>
      </c>
      <c r="BC1416" s="743" t="str">
        <f t="shared" si="509"/>
        <v/>
      </c>
      <c r="BD1416" s="743" t="str">
        <f t="shared" si="510"/>
        <v/>
      </c>
      <c r="BE1416" s="743" t="str">
        <f>IF(D1416="","",VLOOKUP(D1416,'General Basis'!$J$39:$K$46,2,0))</f>
        <v/>
      </c>
      <c r="BF1416" s="744" t="str">
        <f>IF(D1416="","",VLOOKUP(D1416,'General Basis'!$J$39:$L$46,3,0))</f>
        <v/>
      </c>
      <c r="BG1416" s="744" t="str">
        <f t="shared" si="517"/>
        <v/>
      </c>
      <c r="BH1416" s="744" t="str">
        <f>IF(G1416="","",IF(BF1416="Abu Dhabi",IF(G1416&lt;18,'General Basis'!$C$39,IF(G1416&lt;41,'General Basis'!$C$40,IF(G1416&lt;60,'General Basis'!$C$41,IF(G1416&lt;65,'General Basis'!$C$42,'General Basis'!$C$43)))),IF(G1416&lt;11,'General Basis'!$B$39,IF(G1416&lt;18,'General Basis'!$B$40,IF(G1416&lt;26,'General Basis'!$B$41,IF(G1416&lt;31,'General Basis'!$B$42,IF(G1416&lt;36,'General Basis'!$B$43,IF(G1416&lt;41,'General Basis'!$B$44,IF(G1416&lt;46,'General Basis'!$B$45,IF(G1416&lt;51,'General Basis'!$B$46,IF(G1416&lt;56,'General Basis'!$B$47,IF(G1416&lt;60,'General Basis'!$B$48,IF(G1416&lt;65,'General Basis'!$B$49,'General Basis'!$B$50)))))))))))))</f>
        <v/>
      </c>
      <c r="BI1416" s="744" t="str">
        <f t="shared" si="511"/>
        <v/>
      </c>
      <c r="BJ1416" s="747" t="str">
        <f t="shared" si="518"/>
        <v/>
      </c>
      <c r="BK1416" s="498" t="str">
        <f t="shared" si="512"/>
        <v/>
      </c>
      <c r="BL1416" s="498" t="str">
        <f t="shared" si="513"/>
        <v/>
      </c>
    </row>
    <row r="1417" spans="1:64" x14ac:dyDescent="0.25">
      <c r="A1417" s="762">
        <f t="shared" si="514"/>
        <v>1412</v>
      </c>
      <c r="B1417" s="229"/>
      <c r="C1417" s="223"/>
      <c r="D1417" s="224"/>
      <c r="E1417" s="225"/>
      <c r="F1417" s="1036" t="str">
        <f t="shared" si="498"/>
        <v/>
      </c>
      <c r="G1417" s="1037" t="str">
        <f t="shared" si="515"/>
        <v/>
      </c>
      <c r="H1417" s="225"/>
      <c r="I1417" s="1013"/>
      <c r="J1417" s="1013"/>
      <c r="K1417" s="1028"/>
      <c r="L1417" s="1035" t="str">
        <f t="shared" si="519"/>
        <v/>
      </c>
      <c r="S1417" s="498"/>
      <c r="AJ1417" s="498"/>
      <c r="AM1417" s="498">
        <f t="shared" si="500"/>
        <v>0</v>
      </c>
      <c r="AN1417" s="498">
        <f t="shared" si="501"/>
        <v>0</v>
      </c>
      <c r="AO1417" s="498">
        <f t="shared" si="502"/>
        <v>0</v>
      </c>
      <c r="AP1417" s="498">
        <f t="shared" si="499"/>
        <v>0</v>
      </c>
      <c r="AQ1417" s="498">
        <f t="shared" si="516"/>
        <v>0</v>
      </c>
      <c r="AU1417" s="498">
        <f t="shared" si="503"/>
        <v>0</v>
      </c>
      <c r="AV1417" s="498">
        <f t="shared" si="504"/>
        <v>0</v>
      </c>
      <c r="AW1417" s="498">
        <f t="shared" si="505"/>
        <v>0</v>
      </c>
      <c r="AX1417" s="498">
        <f t="shared" si="506"/>
        <v>0</v>
      </c>
      <c r="AY1417" s="498">
        <f t="shared" si="507"/>
        <v>0</v>
      </c>
      <c r="BB1417" s="498" t="str">
        <f t="shared" si="508"/>
        <v/>
      </c>
      <c r="BC1417" s="743" t="str">
        <f t="shared" si="509"/>
        <v/>
      </c>
      <c r="BD1417" s="743" t="str">
        <f t="shared" si="510"/>
        <v/>
      </c>
      <c r="BE1417" s="743" t="str">
        <f>IF(D1417="","",VLOOKUP(D1417,'General Basis'!$J$39:$K$46,2,0))</f>
        <v/>
      </c>
      <c r="BF1417" s="744" t="str">
        <f>IF(D1417="","",VLOOKUP(D1417,'General Basis'!$J$39:$L$46,3,0))</f>
        <v/>
      </c>
      <c r="BG1417" s="744" t="str">
        <f t="shared" si="517"/>
        <v/>
      </c>
      <c r="BH1417" s="744" t="str">
        <f>IF(G1417="","",IF(BF1417="Abu Dhabi",IF(G1417&lt;18,'General Basis'!$C$39,IF(G1417&lt;41,'General Basis'!$C$40,IF(G1417&lt;60,'General Basis'!$C$41,IF(G1417&lt;65,'General Basis'!$C$42,'General Basis'!$C$43)))),IF(G1417&lt;11,'General Basis'!$B$39,IF(G1417&lt;18,'General Basis'!$B$40,IF(G1417&lt;26,'General Basis'!$B$41,IF(G1417&lt;31,'General Basis'!$B$42,IF(G1417&lt;36,'General Basis'!$B$43,IF(G1417&lt;41,'General Basis'!$B$44,IF(G1417&lt;46,'General Basis'!$B$45,IF(G1417&lt;51,'General Basis'!$B$46,IF(G1417&lt;56,'General Basis'!$B$47,IF(G1417&lt;60,'General Basis'!$B$48,IF(G1417&lt;65,'General Basis'!$B$49,'General Basis'!$B$50)))))))))))))</f>
        <v/>
      </c>
      <c r="BI1417" s="744" t="str">
        <f t="shared" si="511"/>
        <v/>
      </c>
      <c r="BJ1417" s="747" t="str">
        <f t="shared" si="518"/>
        <v/>
      </c>
      <c r="BK1417" s="498" t="str">
        <f t="shared" si="512"/>
        <v/>
      </c>
      <c r="BL1417" s="498" t="str">
        <f t="shared" si="513"/>
        <v/>
      </c>
    </row>
    <row r="1418" spans="1:64" x14ac:dyDescent="0.25">
      <c r="A1418" s="762">
        <f t="shared" si="514"/>
        <v>1413</v>
      </c>
      <c r="B1418" s="229"/>
      <c r="C1418" s="223"/>
      <c r="D1418" s="224"/>
      <c r="E1418" s="225"/>
      <c r="F1418" s="1036" t="str">
        <f t="shared" si="498"/>
        <v/>
      </c>
      <c r="G1418" s="1037" t="str">
        <f t="shared" si="515"/>
        <v/>
      </c>
      <c r="H1418" s="225"/>
      <c r="I1418" s="1013"/>
      <c r="J1418" s="1013"/>
      <c r="K1418" s="1028"/>
      <c r="L1418" s="1035" t="str">
        <f t="shared" si="519"/>
        <v/>
      </c>
      <c r="S1418" s="498"/>
      <c r="AJ1418" s="498"/>
      <c r="AM1418" s="498">
        <f t="shared" si="500"/>
        <v>0</v>
      </c>
      <c r="AN1418" s="498">
        <f t="shared" si="501"/>
        <v>0</v>
      </c>
      <c r="AO1418" s="498">
        <f t="shared" si="502"/>
        <v>0</v>
      </c>
      <c r="AP1418" s="498">
        <f t="shared" si="499"/>
        <v>0</v>
      </c>
      <c r="AQ1418" s="498">
        <f t="shared" si="516"/>
        <v>0</v>
      </c>
      <c r="AU1418" s="498">
        <f t="shared" si="503"/>
        <v>0</v>
      </c>
      <c r="AV1418" s="498">
        <f t="shared" si="504"/>
        <v>0</v>
      </c>
      <c r="AW1418" s="498">
        <f t="shared" si="505"/>
        <v>0</v>
      </c>
      <c r="AX1418" s="498">
        <f t="shared" si="506"/>
        <v>0</v>
      </c>
      <c r="AY1418" s="498">
        <f t="shared" si="507"/>
        <v>0</v>
      </c>
      <c r="BB1418" s="498" t="str">
        <f t="shared" si="508"/>
        <v/>
      </c>
      <c r="BC1418" s="743" t="str">
        <f t="shared" si="509"/>
        <v/>
      </c>
      <c r="BD1418" s="743" t="str">
        <f t="shared" si="510"/>
        <v/>
      </c>
      <c r="BE1418" s="743" t="str">
        <f>IF(D1418="","",VLOOKUP(D1418,'General Basis'!$J$39:$K$46,2,0))</f>
        <v/>
      </c>
      <c r="BF1418" s="744" t="str">
        <f>IF(D1418="","",VLOOKUP(D1418,'General Basis'!$J$39:$L$46,3,0))</f>
        <v/>
      </c>
      <c r="BG1418" s="744" t="str">
        <f t="shared" si="517"/>
        <v/>
      </c>
      <c r="BH1418" s="744" t="str">
        <f>IF(G1418="","",IF(BF1418="Abu Dhabi",IF(G1418&lt;18,'General Basis'!$C$39,IF(G1418&lt;41,'General Basis'!$C$40,IF(G1418&lt;60,'General Basis'!$C$41,IF(G1418&lt;65,'General Basis'!$C$42,'General Basis'!$C$43)))),IF(G1418&lt;11,'General Basis'!$B$39,IF(G1418&lt;18,'General Basis'!$B$40,IF(G1418&lt;26,'General Basis'!$B$41,IF(G1418&lt;31,'General Basis'!$B$42,IF(G1418&lt;36,'General Basis'!$B$43,IF(G1418&lt;41,'General Basis'!$B$44,IF(G1418&lt;46,'General Basis'!$B$45,IF(G1418&lt;51,'General Basis'!$B$46,IF(G1418&lt;56,'General Basis'!$B$47,IF(G1418&lt;60,'General Basis'!$B$48,IF(G1418&lt;65,'General Basis'!$B$49,'General Basis'!$B$50)))))))))))))</f>
        <v/>
      </c>
      <c r="BI1418" s="744" t="str">
        <f t="shared" si="511"/>
        <v/>
      </c>
      <c r="BJ1418" s="747" t="str">
        <f t="shared" si="518"/>
        <v/>
      </c>
      <c r="BK1418" s="498" t="str">
        <f t="shared" si="512"/>
        <v/>
      </c>
      <c r="BL1418" s="498" t="str">
        <f t="shared" si="513"/>
        <v/>
      </c>
    </row>
    <row r="1419" spans="1:64" x14ac:dyDescent="0.25">
      <c r="A1419" s="762">
        <f t="shared" si="514"/>
        <v>1414</v>
      </c>
      <c r="B1419" s="229"/>
      <c r="C1419" s="223"/>
      <c r="D1419" s="224"/>
      <c r="E1419" s="225"/>
      <c r="F1419" s="1036" t="str">
        <f t="shared" si="498"/>
        <v/>
      </c>
      <c r="G1419" s="1037" t="str">
        <f t="shared" si="515"/>
        <v/>
      </c>
      <c r="H1419" s="225"/>
      <c r="I1419" s="1013"/>
      <c r="J1419" s="1013"/>
      <c r="K1419" s="1028"/>
      <c r="L1419" s="1035" t="str">
        <f t="shared" si="519"/>
        <v/>
      </c>
      <c r="S1419" s="498"/>
      <c r="AJ1419" s="498"/>
      <c r="AM1419" s="498">
        <f t="shared" si="500"/>
        <v>0</v>
      </c>
      <c r="AN1419" s="498">
        <f t="shared" si="501"/>
        <v>0</v>
      </c>
      <c r="AO1419" s="498">
        <f t="shared" si="502"/>
        <v>0</v>
      </c>
      <c r="AP1419" s="498">
        <f t="shared" si="499"/>
        <v>0</v>
      </c>
      <c r="AQ1419" s="498">
        <f t="shared" si="516"/>
        <v>0</v>
      </c>
      <c r="AU1419" s="498">
        <f t="shared" si="503"/>
        <v>0</v>
      </c>
      <c r="AV1419" s="498">
        <f t="shared" si="504"/>
        <v>0</v>
      </c>
      <c r="AW1419" s="498">
        <f t="shared" si="505"/>
        <v>0</v>
      </c>
      <c r="AX1419" s="498">
        <f t="shared" si="506"/>
        <v>0</v>
      </c>
      <c r="AY1419" s="498">
        <f t="shared" si="507"/>
        <v>0</v>
      </c>
      <c r="BB1419" s="498" t="str">
        <f t="shared" si="508"/>
        <v/>
      </c>
      <c r="BC1419" s="743" t="str">
        <f t="shared" si="509"/>
        <v/>
      </c>
      <c r="BD1419" s="743" t="str">
        <f t="shared" si="510"/>
        <v/>
      </c>
      <c r="BE1419" s="743" t="str">
        <f>IF(D1419="","",VLOOKUP(D1419,'General Basis'!$J$39:$K$46,2,0))</f>
        <v/>
      </c>
      <c r="BF1419" s="744" t="str">
        <f>IF(D1419="","",VLOOKUP(D1419,'General Basis'!$J$39:$L$46,3,0))</f>
        <v/>
      </c>
      <c r="BG1419" s="744" t="str">
        <f t="shared" si="517"/>
        <v/>
      </c>
      <c r="BH1419" s="744" t="str">
        <f>IF(G1419="","",IF(BF1419="Abu Dhabi",IF(G1419&lt;18,'General Basis'!$C$39,IF(G1419&lt;41,'General Basis'!$C$40,IF(G1419&lt;60,'General Basis'!$C$41,IF(G1419&lt;65,'General Basis'!$C$42,'General Basis'!$C$43)))),IF(G1419&lt;11,'General Basis'!$B$39,IF(G1419&lt;18,'General Basis'!$B$40,IF(G1419&lt;26,'General Basis'!$B$41,IF(G1419&lt;31,'General Basis'!$B$42,IF(G1419&lt;36,'General Basis'!$B$43,IF(G1419&lt;41,'General Basis'!$B$44,IF(G1419&lt;46,'General Basis'!$B$45,IF(G1419&lt;51,'General Basis'!$B$46,IF(G1419&lt;56,'General Basis'!$B$47,IF(G1419&lt;60,'General Basis'!$B$48,IF(G1419&lt;65,'General Basis'!$B$49,'General Basis'!$B$50)))))))))))))</f>
        <v/>
      </c>
      <c r="BI1419" s="744" t="str">
        <f t="shared" si="511"/>
        <v/>
      </c>
      <c r="BJ1419" s="747" t="str">
        <f t="shared" si="518"/>
        <v/>
      </c>
      <c r="BK1419" s="498" t="str">
        <f t="shared" si="512"/>
        <v/>
      </c>
      <c r="BL1419" s="498" t="str">
        <f t="shared" si="513"/>
        <v/>
      </c>
    </row>
    <row r="1420" spans="1:64" x14ac:dyDescent="0.25">
      <c r="A1420" s="762">
        <f t="shared" si="514"/>
        <v>1415</v>
      </c>
      <c r="B1420" s="229"/>
      <c r="C1420" s="223"/>
      <c r="D1420" s="224"/>
      <c r="E1420" s="225"/>
      <c r="F1420" s="1036" t="str">
        <f t="shared" si="498"/>
        <v/>
      </c>
      <c r="G1420" s="1037" t="str">
        <f t="shared" si="515"/>
        <v/>
      </c>
      <c r="H1420" s="225"/>
      <c r="I1420" s="1013"/>
      <c r="J1420" s="1013"/>
      <c r="K1420" s="1028"/>
      <c r="L1420" s="1035" t="str">
        <f t="shared" si="519"/>
        <v/>
      </c>
      <c r="S1420" s="498"/>
      <c r="AJ1420" s="498"/>
      <c r="AM1420" s="498">
        <f t="shared" si="500"/>
        <v>0</v>
      </c>
      <c r="AN1420" s="498">
        <f t="shared" si="501"/>
        <v>0</v>
      </c>
      <c r="AO1420" s="498">
        <f t="shared" si="502"/>
        <v>0</v>
      </c>
      <c r="AP1420" s="498">
        <f t="shared" si="499"/>
        <v>0</v>
      </c>
      <c r="AQ1420" s="498">
        <f t="shared" si="516"/>
        <v>0</v>
      </c>
      <c r="AU1420" s="498">
        <f t="shared" si="503"/>
        <v>0</v>
      </c>
      <c r="AV1420" s="498">
        <f t="shared" si="504"/>
        <v>0</v>
      </c>
      <c r="AW1420" s="498">
        <f t="shared" si="505"/>
        <v>0</v>
      </c>
      <c r="AX1420" s="498">
        <f t="shared" si="506"/>
        <v>0</v>
      </c>
      <c r="AY1420" s="498">
        <f t="shared" si="507"/>
        <v>0</v>
      </c>
      <c r="BB1420" s="498" t="str">
        <f t="shared" si="508"/>
        <v/>
      </c>
      <c r="BC1420" s="743" t="str">
        <f t="shared" si="509"/>
        <v/>
      </c>
      <c r="BD1420" s="743" t="str">
        <f t="shared" si="510"/>
        <v/>
      </c>
      <c r="BE1420" s="743" t="str">
        <f>IF(D1420="","",VLOOKUP(D1420,'General Basis'!$J$39:$K$46,2,0))</f>
        <v/>
      </c>
      <c r="BF1420" s="744" t="str">
        <f>IF(D1420="","",VLOOKUP(D1420,'General Basis'!$J$39:$L$46,3,0))</f>
        <v/>
      </c>
      <c r="BG1420" s="744" t="str">
        <f t="shared" si="517"/>
        <v/>
      </c>
      <c r="BH1420" s="744" t="str">
        <f>IF(G1420="","",IF(BF1420="Abu Dhabi",IF(G1420&lt;18,'General Basis'!$C$39,IF(G1420&lt;41,'General Basis'!$C$40,IF(G1420&lt;60,'General Basis'!$C$41,IF(G1420&lt;65,'General Basis'!$C$42,'General Basis'!$C$43)))),IF(G1420&lt;11,'General Basis'!$B$39,IF(G1420&lt;18,'General Basis'!$B$40,IF(G1420&lt;26,'General Basis'!$B$41,IF(G1420&lt;31,'General Basis'!$B$42,IF(G1420&lt;36,'General Basis'!$B$43,IF(G1420&lt;41,'General Basis'!$B$44,IF(G1420&lt;46,'General Basis'!$B$45,IF(G1420&lt;51,'General Basis'!$B$46,IF(G1420&lt;56,'General Basis'!$B$47,IF(G1420&lt;60,'General Basis'!$B$48,IF(G1420&lt;65,'General Basis'!$B$49,'General Basis'!$B$50)))))))))))))</f>
        <v/>
      </c>
      <c r="BI1420" s="744" t="str">
        <f t="shared" si="511"/>
        <v/>
      </c>
      <c r="BJ1420" s="747" t="str">
        <f t="shared" si="518"/>
        <v/>
      </c>
      <c r="BK1420" s="498" t="str">
        <f t="shared" si="512"/>
        <v/>
      </c>
      <c r="BL1420" s="498" t="str">
        <f t="shared" si="513"/>
        <v/>
      </c>
    </row>
    <row r="1421" spans="1:64" x14ac:dyDescent="0.25">
      <c r="A1421" s="762">
        <f t="shared" si="514"/>
        <v>1416</v>
      </c>
      <c r="B1421" s="229"/>
      <c r="C1421" s="223"/>
      <c r="D1421" s="224"/>
      <c r="E1421" s="225"/>
      <c r="F1421" s="1036" t="str">
        <f t="shared" si="498"/>
        <v/>
      </c>
      <c r="G1421" s="1037" t="str">
        <f t="shared" si="515"/>
        <v/>
      </c>
      <c r="H1421" s="225"/>
      <c r="I1421" s="1013"/>
      <c r="J1421" s="1013"/>
      <c r="K1421" s="1028"/>
      <c r="L1421" s="1035" t="str">
        <f t="shared" si="519"/>
        <v/>
      </c>
      <c r="S1421" s="498"/>
      <c r="AJ1421" s="498"/>
      <c r="AM1421" s="498">
        <f t="shared" si="500"/>
        <v>0</v>
      </c>
      <c r="AN1421" s="498">
        <f t="shared" si="501"/>
        <v>0</v>
      </c>
      <c r="AO1421" s="498">
        <f t="shared" si="502"/>
        <v>0</v>
      </c>
      <c r="AP1421" s="498">
        <f t="shared" si="499"/>
        <v>0</v>
      </c>
      <c r="AQ1421" s="498">
        <f t="shared" si="516"/>
        <v>0</v>
      </c>
      <c r="AU1421" s="498">
        <f t="shared" si="503"/>
        <v>0</v>
      </c>
      <c r="AV1421" s="498">
        <f t="shared" si="504"/>
        <v>0</v>
      </c>
      <c r="AW1421" s="498">
        <f t="shared" si="505"/>
        <v>0</v>
      </c>
      <c r="AX1421" s="498">
        <f t="shared" si="506"/>
        <v>0</v>
      </c>
      <c r="AY1421" s="498">
        <f t="shared" si="507"/>
        <v>0</v>
      </c>
      <c r="BB1421" s="498" t="str">
        <f t="shared" si="508"/>
        <v/>
      </c>
      <c r="BC1421" s="743" t="str">
        <f t="shared" si="509"/>
        <v/>
      </c>
      <c r="BD1421" s="743" t="str">
        <f t="shared" si="510"/>
        <v/>
      </c>
      <c r="BE1421" s="743" t="str">
        <f>IF(D1421="","",VLOOKUP(D1421,'General Basis'!$J$39:$K$46,2,0))</f>
        <v/>
      </c>
      <c r="BF1421" s="744" t="str">
        <f>IF(D1421="","",VLOOKUP(D1421,'General Basis'!$J$39:$L$46,3,0))</f>
        <v/>
      </c>
      <c r="BG1421" s="744" t="str">
        <f t="shared" si="517"/>
        <v/>
      </c>
      <c r="BH1421" s="744" t="str">
        <f>IF(G1421="","",IF(BF1421="Abu Dhabi",IF(G1421&lt;18,'General Basis'!$C$39,IF(G1421&lt;41,'General Basis'!$C$40,IF(G1421&lt;60,'General Basis'!$C$41,IF(G1421&lt;65,'General Basis'!$C$42,'General Basis'!$C$43)))),IF(G1421&lt;11,'General Basis'!$B$39,IF(G1421&lt;18,'General Basis'!$B$40,IF(G1421&lt;26,'General Basis'!$B$41,IF(G1421&lt;31,'General Basis'!$B$42,IF(G1421&lt;36,'General Basis'!$B$43,IF(G1421&lt;41,'General Basis'!$B$44,IF(G1421&lt;46,'General Basis'!$B$45,IF(G1421&lt;51,'General Basis'!$B$46,IF(G1421&lt;56,'General Basis'!$B$47,IF(G1421&lt;60,'General Basis'!$B$48,IF(G1421&lt;65,'General Basis'!$B$49,'General Basis'!$B$50)))))))))))))</f>
        <v/>
      </c>
      <c r="BI1421" s="744" t="str">
        <f t="shared" si="511"/>
        <v/>
      </c>
      <c r="BJ1421" s="747" t="str">
        <f t="shared" si="518"/>
        <v/>
      </c>
      <c r="BK1421" s="498" t="str">
        <f t="shared" si="512"/>
        <v/>
      </c>
      <c r="BL1421" s="498" t="str">
        <f t="shared" si="513"/>
        <v/>
      </c>
    </row>
    <row r="1422" spans="1:64" x14ac:dyDescent="0.25">
      <c r="A1422" s="762">
        <f t="shared" si="514"/>
        <v>1417</v>
      </c>
      <c r="B1422" s="229"/>
      <c r="C1422" s="223"/>
      <c r="D1422" s="224"/>
      <c r="E1422" s="225"/>
      <c r="F1422" s="1036" t="str">
        <f t="shared" si="498"/>
        <v/>
      </c>
      <c r="G1422" s="1037" t="str">
        <f t="shared" si="515"/>
        <v/>
      </c>
      <c r="H1422" s="225"/>
      <c r="I1422" s="1013"/>
      <c r="J1422" s="1013"/>
      <c r="K1422" s="1028"/>
      <c r="L1422" s="1035" t="str">
        <f t="shared" si="519"/>
        <v/>
      </c>
      <c r="S1422" s="498"/>
      <c r="AJ1422" s="498"/>
      <c r="AM1422" s="498">
        <f t="shared" si="500"/>
        <v>0</v>
      </c>
      <c r="AN1422" s="498">
        <f t="shared" si="501"/>
        <v>0</v>
      </c>
      <c r="AO1422" s="498">
        <f t="shared" si="502"/>
        <v>0</v>
      </c>
      <c r="AP1422" s="498">
        <f t="shared" si="499"/>
        <v>0</v>
      </c>
      <c r="AQ1422" s="498">
        <f t="shared" si="516"/>
        <v>0</v>
      </c>
      <c r="AU1422" s="498">
        <f t="shared" si="503"/>
        <v>0</v>
      </c>
      <c r="AV1422" s="498">
        <f t="shared" si="504"/>
        <v>0</v>
      </c>
      <c r="AW1422" s="498">
        <f t="shared" si="505"/>
        <v>0</v>
      </c>
      <c r="AX1422" s="498">
        <f t="shared" si="506"/>
        <v>0</v>
      </c>
      <c r="AY1422" s="498">
        <f t="shared" si="507"/>
        <v>0</v>
      </c>
      <c r="BB1422" s="498" t="str">
        <f t="shared" si="508"/>
        <v/>
      </c>
      <c r="BC1422" s="743" t="str">
        <f t="shared" si="509"/>
        <v/>
      </c>
      <c r="BD1422" s="743" t="str">
        <f t="shared" si="510"/>
        <v/>
      </c>
      <c r="BE1422" s="743" t="str">
        <f>IF(D1422="","",VLOOKUP(D1422,'General Basis'!$J$39:$K$46,2,0))</f>
        <v/>
      </c>
      <c r="BF1422" s="744" t="str">
        <f>IF(D1422="","",VLOOKUP(D1422,'General Basis'!$J$39:$L$46,3,0))</f>
        <v/>
      </c>
      <c r="BG1422" s="744" t="str">
        <f t="shared" si="517"/>
        <v/>
      </c>
      <c r="BH1422" s="744" t="str">
        <f>IF(G1422="","",IF(BF1422="Abu Dhabi",IF(G1422&lt;18,'General Basis'!$C$39,IF(G1422&lt;41,'General Basis'!$C$40,IF(G1422&lt;60,'General Basis'!$C$41,IF(G1422&lt;65,'General Basis'!$C$42,'General Basis'!$C$43)))),IF(G1422&lt;11,'General Basis'!$B$39,IF(G1422&lt;18,'General Basis'!$B$40,IF(G1422&lt;26,'General Basis'!$B$41,IF(G1422&lt;31,'General Basis'!$B$42,IF(G1422&lt;36,'General Basis'!$B$43,IF(G1422&lt;41,'General Basis'!$B$44,IF(G1422&lt;46,'General Basis'!$B$45,IF(G1422&lt;51,'General Basis'!$B$46,IF(G1422&lt;56,'General Basis'!$B$47,IF(G1422&lt;60,'General Basis'!$B$48,IF(G1422&lt;65,'General Basis'!$B$49,'General Basis'!$B$50)))))))))))))</f>
        <v/>
      </c>
      <c r="BI1422" s="744" t="str">
        <f t="shared" si="511"/>
        <v/>
      </c>
      <c r="BJ1422" s="747" t="str">
        <f t="shared" si="518"/>
        <v/>
      </c>
      <c r="BK1422" s="498" t="str">
        <f t="shared" si="512"/>
        <v/>
      </c>
      <c r="BL1422" s="498" t="str">
        <f t="shared" si="513"/>
        <v/>
      </c>
    </row>
    <row r="1423" spans="1:64" x14ac:dyDescent="0.25">
      <c r="A1423" s="762">
        <f t="shared" si="514"/>
        <v>1418</v>
      </c>
      <c r="B1423" s="229"/>
      <c r="C1423" s="223"/>
      <c r="D1423" s="224"/>
      <c r="E1423" s="225"/>
      <c r="F1423" s="1036" t="str">
        <f t="shared" si="498"/>
        <v/>
      </c>
      <c r="G1423" s="1037" t="str">
        <f t="shared" si="515"/>
        <v/>
      </c>
      <c r="H1423" s="225"/>
      <c r="I1423" s="1013"/>
      <c r="J1423" s="1013"/>
      <c r="K1423" s="1028"/>
      <c r="L1423" s="1035" t="str">
        <f t="shared" si="519"/>
        <v/>
      </c>
      <c r="S1423" s="498"/>
      <c r="AJ1423" s="498"/>
      <c r="AM1423" s="498">
        <f t="shared" si="500"/>
        <v>0</v>
      </c>
      <c r="AN1423" s="498">
        <f t="shared" si="501"/>
        <v>0</v>
      </c>
      <c r="AO1423" s="498">
        <f t="shared" si="502"/>
        <v>0</v>
      </c>
      <c r="AP1423" s="498">
        <f t="shared" si="499"/>
        <v>0</v>
      </c>
      <c r="AQ1423" s="498">
        <f t="shared" si="516"/>
        <v>0</v>
      </c>
      <c r="AU1423" s="498">
        <f t="shared" si="503"/>
        <v>0</v>
      </c>
      <c r="AV1423" s="498">
        <f t="shared" si="504"/>
        <v>0</v>
      </c>
      <c r="AW1423" s="498">
        <f t="shared" si="505"/>
        <v>0</v>
      </c>
      <c r="AX1423" s="498">
        <f t="shared" si="506"/>
        <v>0</v>
      </c>
      <c r="AY1423" s="498">
        <f t="shared" si="507"/>
        <v>0</v>
      </c>
      <c r="BB1423" s="498" t="str">
        <f t="shared" si="508"/>
        <v/>
      </c>
      <c r="BC1423" s="743" t="str">
        <f t="shared" si="509"/>
        <v/>
      </c>
      <c r="BD1423" s="743" t="str">
        <f t="shared" si="510"/>
        <v/>
      </c>
      <c r="BE1423" s="743" t="str">
        <f>IF(D1423="","",VLOOKUP(D1423,'General Basis'!$J$39:$K$46,2,0))</f>
        <v/>
      </c>
      <c r="BF1423" s="744" t="str">
        <f>IF(D1423="","",VLOOKUP(D1423,'General Basis'!$J$39:$L$46,3,0))</f>
        <v/>
      </c>
      <c r="BG1423" s="744" t="str">
        <f t="shared" si="517"/>
        <v/>
      </c>
      <c r="BH1423" s="744" t="str">
        <f>IF(G1423="","",IF(BF1423="Abu Dhabi",IF(G1423&lt;18,'General Basis'!$C$39,IF(G1423&lt;41,'General Basis'!$C$40,IF(G1423&lt;60,'General Basis'!$C$41,IF(G1423&lt;65,'General Basis'!$C$42,'General Basis'!$C$43)))),IF(G1423&lt;11,'General Basis'!$B$39,IF(G1423&lt;18,'General Basis'!$B$40,IF(G1423&lt;26,'General Basis'!$B$41,IF(G1423&lt;31,'General Basis'!$B$42,IF(G1423&lt;36,'General Basis'!$B$43,IF(G1423&lt;41,'General Basis'!$B$44,IF(G1423&lt;46,'General Basis'!$B$45,IF(G1423&lt;51,'General Basis'!$B$46,IF(G1423&lt;56,'General Basis'!$B$47,IF(G1423&lt;60,'General Basis'!$B$48,IF(G1423&lt;65,'General Basis'!$B$49,'General Basis'!$B$50)))))))))))))</f>
        <v/>
      </c>
      <c r="BI1423" s="744" t="str">
        <f t="shared" si="511"/>
        <v/>
      </c>
      <c r="BJ1423" s="747" t="str">
        <f t="shared" si="518"/>
        <v/>
      </c>
      <c r="BK1423" s="498" t="str">
        <f t="shared" si="512"/>
        <v/>
      </c>
      <c r="BL1423" s="498" t="str">
        <f t="shared" si="513"/>
        <v/>
      </c>
    </row>
    <row r="1424" spans="1:64" x14ac:dyDescent="0.25">
      <c r="A1424" s="762">
        <f t="shared" si="514"/>
        <v>1419</v>
      </c>
      <c r="B1424" s="229"/>
      <c r="C1424" s="223"/>
      <c r="D1424" s="224"/>
      <c r="E1424" s="225"/>
      <c r="F1424" s="1036" t="str">
        <f t="shared" ref="F1424:F1487" si="520">IF(C1424="","",IF($B1424="","",((YEAR($F$3)-YEAR($B1424))+(MONTH($F$3)-MONTH($B1424))/12+(DAY($F$3)-DAY($B1424))/(DATE(YEAR($F$3),12,31)-DATE(YEAR($F$3),1,1)+1))))</f>
        <v/>
      </c>
      <c r="G1424" s="1037" t="str">
        <f t="shared" si="515"/>
        <v/>
      </c>
      <c r="H1424" s="225"/>
      <c r="I1424" s="1013"/>
      <c r="J1424" s="1013"/>
      <c r="K1424" s="1028"/>
      <c r="L1424" s="1035" t="str">
        <f t="shared" si="519"/>
        <v/>
      </c>
      <c r="S1424" s="498"/>
      <c r="AJ1424" s="498"/>
      <c r="AM1424" s="498">
        <f t="shared" si="500"/>
        <v>0</v>
      </c>
      <c r="AN1424" s="498">
        <f t="shared" si="501"/>
        <v>0</v>
      </c>
      <c r="AO1424" s="498">
        <f t="shared" si="502"/>
        <v>0</v>
      </c>
      <c r="AP1424" s="498">
        <f t="shared" si="499"/>
        <v>0</v>
      </c>
      <c r="AQ1424" s="498">
        <f t="shared" si="516"/>
        <v>0</v>
      </c>
      <c r="AU1424" s="498">
        <f t="shared" si="503"/>
        <v>0</v>
      </c>
      <c r="AV1424" s="498">
        <f t="shared" si="504"/>
        <v>0</v>
      </c>
      <c r="AW1424" s="498">
        <f t="shared" si="505"/>
        <v>0</v>
      </c>
      <c r="AX1424" s="498">
        <f t="shared" si="506"/>
        <v>0</v>
      </c>
      <c r="AY1424" s="498">
        <f t="shared" si="507"/>
        <v>0</v>
      </c>
      <c r="BB1424" s="498" t="str">
        <f t="shared" si="508"/>
        <v/>
      </c>
      <c r="BC1424" s="743" t="str">
        <f t="shared" si="509"/>
        <v/>
      </c>
      <c r="BD1424" s="743" t="str">
        <f t="shared" si="510"/>
        <v/>
      </c>
      <c r="BE1424" s="743" t="str">
        <f>IF(D1424="","",VLOOKUP(D1424,'General Basis'!$J$39:$K$46,2,0))</f>
        <v/>
      </c>
      <c r="BF1424" s="744" t="str">
        <f>IF(D1424="","",VLOOKUP(D1424,'General Basis'!$J$39:$L$46,3,0))</f>
        <v/>
      </c>
      <c r="BG1424" s="744" t="str">
        <f t="shared" si="517"/>
        <v/>
      </c>
      <c r="BH1424" s="744" t="str">
        <f>IF(G1424="","",IF(BF1424="Abu Dhabi",IF(G1424&lt;18,'General Basis'!$C$39,IF(G1424&lt;41,'General Basis'!$C$40,IF(G1424&lt;60,'General Basis'!$C$41,IF(G1424&lt;65,'General Basis'!$C$42,'General Basis'!$C$43)))),IF(G1424&lt;11,'General Basis'!$B$39,IF(G1424&lt;18,'General Basis'!$B$40,IF(G1424&lt;26,'General Basis'!$B$41,IF(G1424&lt;31,'General Basis'!$B$42,IF(G1424&lt;36,'General Basis'!$B$43,IF(G1424&lt;41,'General Basis'!$B$44,IF(G1424&lt;46,'General Basis'!$B$45,IF(G1424&lt;51,'General Basis'!$B$46,IF(G1424&lt;56,'General Basis'!$B$47,IF(G1424&lt;60,'General Basis'!$B$48,IF(G1424&lt;65,'General Basis'!$B$49,'General Basis'!$B$50)))))))))))))</f>
        <v/>
      </c>
      <c r="BI1424" s="744" t="str">
        <f t="shared" si="511"/>
        <v/>
      </c>
      <c r="BJ1424" s="747" t="str">
        <f t="shared" si="518"/>
        <v/>
      </c>
      <c r="BK1424" s="498" t="str">
        <f t="shared" si="512"/>
        <v/>
      </c>
      <c r="BL1424" s="498" t="str">
        <f t="shared" si="513"/>
        <v/>
      </c>
    </row>
    <row r="1425" spans="1:64" x14ac:dyDescent="0.25">
      <c r="A1425" s="762">
        <f t="shared" si="514"/>
        <v>1420</v>
      </c>
      <c r="B1425" s="229"/>
      <c r="C1425" s="223"/>
      <c r="D1425" s="224"/>
      <c r="E1425" s="225"/>
      <c r="F1425" s="1036" t="str">
        <f t="shared" si="520"/>
        <v/>
      </c>
      <c r="G1425" s="1037" t="str">
        <f t="shared" si="515"/>
        <v/>
      </c>
      <c r="H1425" s="225"/>
      <c r="I1425" s="1013"/>
      <c r="J1425" s="1013"/>
      <c r="K1425" s="1028"/>
      <c r="L1425" s="1035" t="str">
        <f t="shared" si="519"/>
        <v/>
      </c>
      <c r="S1425" s="498"/>
      <c r="AJ1425" s="498"/>
      <c r="AM1425" s="498">
        <f t="shared" si="500"/>
        <v>0</v>
      </c>
      <c r="AN1425" s="498">
        <f t="shared" si="501"/>
        <v>0</v>
      </c>
      <c r="AO1425" s="498">
        <f t="shared" si="502"/>
        <v>0</v>
      </c>
      <c r="AP1425" s="498">
        <f t="shared" si="499"/>
        <v>0</v>
      </c>
      <c r="AQ1425" s="498">
        <f t="shared" si="516"/>
        <v>0</v>
      </c>
      <c r="AU1425" s="498">
        <f t="shared" si="503"/>
        <v>0</v>
      </c>
      <c r="AV1425" s="498">
        <f t="shared" si="504"/>
        <v>0</v>
      </c>
      <c r="AW1425" s="498">
        <f t="shared" si="505"/>
        <v>0</v>
      </c>
      <c r="AX1425" s="498">
        <f t="shared" si="506"/>
        <v>0</v>
      </c>
      <c r="AY1425" s="498">
        <f t="shared" si="507"/>
        <v>0</v>
      </c>
      <c r="BB1425" s="498" t="str">
        <f t="shared" si="508"/>
        <v/>
      </c>
      <c r="BC1425" s="743" t="str">
        <f t="shared" si="509"/>
        <v/>
      </c>
      <c r="BD1425" s="743" t="str">
        <f t="shared" si="510"/>
        <v/>
      </c>
      <c r="BE1425" s="743" t="str">
        <f>IF(D1425="","",VLOOKUP(D1425,'General Basis'!$J$39:$K$46,2,0))</f>
        <v/>
      </c>
      <c r="BF1425" s="744" t="str">
        <f>IF(D1425="","",VLOOKUP(D1425,'General Basis'!$J$39:$L$46,3,0))</f>
        <v/>
      </c>
      <c r="BG1425" s="744" t="str">
        <f t="shared" si="517"/>
        <v/>
      </c>
      <c r="BH1425" s="744" t="str">
        <f>IF(G1425="","",IF(BF1425="Abu Dhabi",IF(G1425&lt;18,'General Basis'!$C$39,IF(G1425&lt;41,'General Basis'!$C$40,IF(G1425&lt;60,'General Basis'!$C$41,IF(G1425&lt;65,'General Basis'!$C$42,'General Basis'!$C$43)))),IF(G1425&lt;11,'General Basis'!$B$39,IF(G1425&lt;18,'General Basis'!$B$40,IF(G1425&lt;26,'General Basis'!$B$41,IF(G1425&lt;31,'General Basis'!$B$42,IF(G1425&lt;36,'General Basis'!$B$43,IF(G1425&lt;41,'General Basis'!$B$44,IF(G1425&lt;46,'General Basis'!$B$45,IF(G1425&lt;51,'General Basis'!$B$46,IF(G1425&lt;56,'General Basis'!$B$47,IF(G1425&lt;60,'General Basis'!$B$48,IF(G1425&lt;65,'General Basis'!$B$49,'General Basis'!$B$50)))))))))))))</f>
        <v/>
      </c>
      <c r="BI1425" s="744" t="str">
        <f t="shared" si="511"/>
        <v/>
      </c>
      <c r="BJ1425" s="747" t="str">
        <f t="shared" si="518"/>
        <v/>
      </c>
      <c r="BK1425" s="498" t="str">
        <f t="shared" si="512"/>
        <v/>
      </c>
      <c r="BL1425" s="498" t="str">
        <f t="shared" si="513"/>
        <v/>
      </c>
    </row>
    <row r="1426" spans="1:64" x14ac:dyDescent="0.25">
      <c r="A1426" s="762">
        <f t="shared" si="514"/>
        <v>1421</v>
      </c>
      <c r="B1426" s="229"/>
      <c r="C1426" s="223"/>
      <c r="D1426" s="224"/>
      <c r="E1426" s="225"/>
      <c r="F1426" s="1036" t="str">
        <f t="shared" si="520"/>
        <v/>
      </c>
      <c r="G1426" s="1037" t="str">
        <f t="shared" si="515"/>
        <v/>
      </c>
      <c r="H1426" s="225"/>
      <c r="I1426" s="1013"/>
      <c r="J1426" s="1013"/>
      <c r="K1426" s="1028"/>
      <c r="L1426" s="1035" t="str">
        <f t="shared" si="519"/>
        <v/>
      </c>
      <c r="S1426" s="498"/>
      <c r="AJ1426" s="498"/>
      <c r="AM1426" s="498">
        <f t="shared" si="500"/>
        <v>0</v>
      </c>
      <c r="AN1426" s="498">
        <f t="shared" si="501"/>
        <v>0</v>
      </c>
      <c r="AO1426" s="498">
        <f t="shared" si="502"/>
        <v>0</v>
      </c>
      <c r="AP1426" s="498">
        <f t="shared" si="499"/>
        <v>0</v>
      </c>
      <c r="AQ1426" s="498">
        <f t="shared" si="516"/>
        <v>0</v>
      </c>
      <c r="AU1426" s="498">
        <f t="shared" si="503"/>
        <v>0</v>
      </c>
      <c r="AV1426" s="498">
        <f t="shared" si="504"/>
        <v>0</v>
      </c>
      <c r="AW1426" s="498">
        <f t="shared" si="505"/>
        <v>0</v>
      </c>
      <c r="AX1426" s="498">
        <f t="shared" si="506"/>
        <v>0</v>
      </c>
      <c r="AY1426" s="498">
        <f t="shared" si="507"/>
        <v>0</v>
      </c>
      <c r="BB1426" s="498" t="str">
        <f t="shared" si="508"/>
        <v/>
      </c>
      <c r="BC1426" s="743" t="str">
        <f t="shared" si="509"/>
        <v/>
      </c>
      <c r="BD1426" s="743" t="str">
        <f t="shared" si="510"/>
        <v/>
      </c>
      <c r="BE1426" s="743" t="str">
        <f>IF(D1426="","",VLOOKUP(D1426,'General Basis'!$J$39:$K$46,2,0))</f>
        <v/>
      </c>
      <c r="BF1426" s="744" t="str">
        <f>IF(D1426="","",VLOOKUP(D1426,'General Basis'!$J$39:$L$46,3,0))</f>
        <v/>
      </c>
      <c r="BG1426" s="744" t="str">
        <f t="shared" si="517"/>
        <v/>
      </c>
      <c r="BH1426" s="744" t="str">
        <f>IF(G1426="","",IF(BF1426="Abu Dhabi",IF(G1426&lt;18,'General Basis'!$C$39,IF(G1426&lt;41,'General Basis'!$C$40,IF(G1426&lt;60,'General Basis'!$C$41,IF(G1426&lt;65,'General Basis'!$C$42,'General Basis'!$C$43)))),IF(G1426&lt;11,'General Basis'!$B$39,IF(G1426&lt;18,'General Basis'!$B$40,IF(G1426&lt;26,'General Basis'!$B$41,IF(G1426&lt;31,'General Basis'!$B$42,IF(G1426&lt;36,'General Basis'!$B$43,IF(G1426&lt;41,'General Basis'!$B$44,IF(G1426&lt;46,'General Basis'!$B$45,IF(G1426&lt;51,'General Basis'!$B$46,IF(G1426&lt;56,'General Basis'!$B$47,IF(G1426&lt;60,'General Basis'!$B$48,IF(G1426&lt;65,'General Basis'!$B$49,'General Basis'!$B$50)))))))))))))</f>
        <v/>
      </c>
      <c r="BI1426" s="744" t="str">
        <f t="shared" si="511"/>
        <v/>
      </c>
      <c r="BJ1426" s="747" t="str">
        <f t="shared" si="518"/>
        <v/>
      </c>
      <c r="BK1426" s="498" t="str">
        <f t="shared" si="512"/>
        <v/>
      </c>
      <c r="BL1426" s="498" t="str">
        <f t="shared" si="513"/>
        <v/>
      </c>
    </row>
    <row r="1427" spans="1:64" x14ac:dyDescent="0.25">
      <c r="A1427" s="762">
        <f t="shared" si="514"/>
        <v>1422</v>
      </c>
      <c r="B1427" s="229"/>
      <c r="C1427" s="223"/>
      <c r="D1427" s="224"/>
      <c r="E1427" s="225"/>
      <c r="F1427" s="1036" t="str">
        <f t="shared" si="520"/>
        <v/>
      </c>
      <c r="G1427" s="1037" t="str">
        <f t="shared" si="515"/>
        <v/>
      </c>
      <c r="H1427" s="225"/>
      <c r="I1427" s="1013"/>
      <c r="J1427" s="1013"/>
      <c r="K1427" s="1028"/>
      <c r="L1427" s="1035" t="str">
        <f t="shared" si="519"/>
        <v/>
      </c>
      <c r="S1427" s="498"/>
      <c r="AJ1427" s="498"/>
      <c r="AM1427" s="498">
        <f t="shared" si="500"/>
        <v>0</v>
      </c>
      <c r="AN1427" s="498">
        <f t="shared" si="501"/>
        <v>0</v>
      </c>
      <c r="AO1427" s="498">
        <f t="shared" si="502"/>
        <v>0</v>
      </c>
      <c r="AP1427" s="498">
        <f t="shared" ref="AP1427:AP1490" si="521">IF(ISBLANK($B1427),0,IF(OR($C1427="M",$C1427="F"),0,1))</f>
        <v>0</v>
      </c>
      <c r="AQ1427" s="498">
        <f t="shared" si="516"/>
        <v>0</v>
      </c>
      <c r="AU1427" s="498">
        <f t="shared" si="503"/>
        <v>0</v>
      </c>
      <c r="AV1427" s="498">
        <f t="shared" si="504"/>
        <v>0</v>
      </c>
      <c r="AW1427" s="498">
        <f t="shared" si="505"/>
        <v>0</v>
      </c>
      <c r="AX1427" s="498">
        <f t="shared" si="506"/>
        <v>0</v>
      </c>
      <c r="AY1427" s="498">
        <f t="shared" si="507"/>
        <v>0</v>
      </c>
      <c r="BB1427" s="498" t="str">
        <f t="shared" si="508"/>
        <v/>
      </c>
      <c r="BC1427" s="743" t="str">
        <f t="shared" si="509"/>
        <v/>
      </c>
      <c r="BD1427" s="743" t="str">
        <f t="shared" si="510"/>
        <v/>
      </c>
      <c r="BE1427" s="743" t="str">
        <f>IF(D1427="","",VLOOKUP(D1427,'General Basis'!$J$39:$K$46,2,0))</f>
        <v/>
      </c>
      <c r="BF1427" s="744" t="str">
        <f>IF(D1427="","",VLOOKUP(D1427,'General Basis'!$J$39:$L$46,3,0))</f>
        <v/>
      </c>
      <c r="BG1427" s="744" t="str">
        <f t="shared" si="517"/>
        <v/>
      </c>
      <c r="BH1427" s="744" t="str">
        <f>IF(G1427="","",IF(BF1427="Abu Dhabi",IF(G1427&lt;18,'General Basis'!$C$39,IF(G1427&lt;41,'General Basis'!$C$40,IF(G1427&lt;60,'General Basis'!$C$41,IF(G1427&lt;65,'General Basis'!$C$42,'General Basis'!$C$43)))),IF(G1427&lt;11,'General Basis'!$B$39,IF(G1427&lt;18,'General Basis'!$B$40,IF(G1427&lt;26,'General Basis'!$B$41,IF(G1427&lt;31,'General Basis'!$B$42,IF(G1427&lt;36,'General Basis'!$B$43,IF(G1427&lt;41,'General Basis'!$B$44,IF(G1427&lt;46,'General Basis'!$B$45,IF(G1427&lt;51,'General Basis'!$B$46,IF(G1427&lt;56,'General Basis'!$B$47,IF(G1427&lt;60,'General Basis'!$B$48,IF(G1427&lt;65,'General Basis'!$B$49,'General Basis'!$B$50)))))))))))))</f>
        <v/>
      </c>
      <c r="BI1427" s="744" t="str">
        <f t="shared" si="511"/>
        <v/>
      </c>
      <c r="BJ1427" s="747" t="str">
        <f t="shared" si="518"/>
        <v/>
      </c>
      <c r="BK1427" s="498" t="str">
        <f t="shared" si="512"/>
        <v/>
      </c>
      <c r="BL1427" s="498" t="str">
        <f t="shared" si="513"/>
        <v/>
      </c>
    </row>
    <row r="1428" spans="1:64" x14ac:dyDescent="0.25">
      <c r="A1428" s="762">
        <f t="shared" si="514"/>
        <v>1423</v>
      </c>
      <c r="B1428" s="229"/>
      <c r="C1428" s="223"/>
      <c r="D1428" s="224"/>
      <c r="E1428" s="225"/>
      <c r="F1428" s="1036" t="str">
        <f t="shared" si="520"/>
        <v/>
      </c>
      <c r="G1428" s="1037" t="str">
        <f t="shared" si="515"/>
        <v/>
      </c>
      <c r="H1428" s="225"/>
      <c r="I1428" s="1013"/>
      <c r="J1428" s="1013"/>
      <c r="K1428" s="1028"/>
      <c r="L1428" s="1035" t="str">
        <f t="shared" si="519"/>
        <v/>
      </c>
      <c r="S1428" s="498"/>
      <c r="AJ1428" s="498"/>
      <c r="AM1428" s="498">
        <f t="shared" si="500"/>
        <v>0</v>
      </c>
      <c r="AN1428" s="498">
        <f t="shared" si="501"/>
        <v>0</v>
      </c>
      <c r="AO1428" s="498">
        <f t="shared" si="502"/>
        <v>0</v>
      </c>
      <c r="AP1428" s="498">
        <f t="shared" si="521"/>
        <v>0</v>
      </c>
      <c r="AQ1428" s="498">
        <f t="shared" si="516"/>
        <v>0</v>
      </c>
      <c r="AU1428" s="498">
        <f t="shared" si="503"/>
        <v>0</v>
      </c>
      <c r="AV1428" s="498">
        <f t="shared" si="504"/>
        <v>0</v>
      </c>
      <c r="AW1428" s="498">
        <f t="shared" si="505"/>
        <v>0</v>
      </c>
      <c r="AX1428" s="498">
        <f t="shared" si="506"/>
        <v>0</v>
      </c>
      <c r="AY1428" s="498">
        <f t="shared" si="507"/>
        <v>0</v>
      </c>
      <c r="BB1428" s="498" t="str">
        <f t="shared" si="508"/>
        <v/>
      </c>
      <c r="BC1428" s="743" t="str">
        <f t="shared" si="509"/>
        <v/>
      </c>
      <c r="BD1428" s="743" t="str">
        <f t="shared" si="510"/>
        <v/>
      </c>
      <c r="BE1428" s="743" t="str">
        <f>IF(D1428="","",VLOOKUP(D1428,'General Basis'!$J$39:$K$46,2,0))</f>
        <v/>
      </c>
      <c r="BF1428" s="744" t="str">
        <f>IF(D1428="","",VLOOKUP(D1428,'General Basis'!$J$39:$L$46,3,0))</f>
        <v/>
      </c>
      <c r="BG1428" s="744" t="str">
        <f t="shared" si="517"/>
        <v/>
      </c>
      <c r="BH1428" s="744" t="str">
        <f>IF(G1428="","",IF(BF1428="Abu Dhabi",IF(G1428&lt;18,'General Basis'!$C$39,IF(G1428&lt;41,'General Basis'!$C$40,IF(G1428&lt;60,'General Basis'!$C$41,IF(G1428&lt;65,'General Basis'!$C$42,'General Basis'!$C$43)))),IF(G1428&lt;11,'General Basis'!$B$39,IF(G1428&lt;18,'General Basis'!$B$40,IF(G1428&lt;26,'General Basis'!$B$41,IF(G1428&lt;31,'General Basis'!$B$42,IF(G1428&lt;36,'General Basis'!$B$43,IF(G1428&lt;41,'General Basis'!$B$44,IF(G1428&lt;46,'General Basis'!$B$45,IF(G1428&lt;51,'General Basis'!$B$46,IF(G1428&lt;56,'General Basis'!$B$47,IF(G1428&lt;60,'General Basis'!$B$48,IF(G1428&lt;65,'General Basis'!$B$49,'General Basis'!$B$50)))))))))))))</f>
        <v/>
      </c>
      <c r="BI1428" s="744" t="str">
        <f t="shared" si="511"/>
        <v/>
      </c>
      <c r="BJ1428" s="747" t="str">
        <f t="shared" si="518"/>
        <v/>
      </c>
      <c r="BK1428" s="498" t="str">
        <f t="shared" si="512"/>
        <v/>
      </c>
      <c r="BL1428" s="498" t="str">
        <f t="shared" si="513"/>
        <v/>
      </c>
    </row>
    <row r="1429" spans="1:64" x14ac:dyDescent="0.25">
      <c r="A1429" s="762">
        <f t="shared" si="514"/>
        <v>1424</v>
      </c>
      <c r="B1429" s="229"/>
      <c r="C1429" s="223"/>
      <c r="D1429" s="224"/>
      <c r="E1429" s="225"/>
      <c r="F1429" s="1036" t="str">
        <f t="shared" si="520"/>
        <v/>
      </c>
      <c r="G1429" s="1037" t="str">
        <f t="shared" si="515"/>
        <v/>
      </c>
      <c r="H1429" s="225"/>
      <c r="I1429" s="1013"/>
      <c r="J1429" s="1013"/>
      <c r="K1429" s="1028"/>
      <c r="L1429" s="1035" t="str">
        <f t="shared" si="519"/>
        <v/>
      </c>
      <c r="S1429" s="498"/>
      <c r="AJ1429" s="498"/>
      <c r="AM1429" s="498">
        <f t="shared" si="500"/>
        <v>0</v>
      </c>
      <c r="AN1429" s="498">
        <f t="shared" si="501"/>
        <v>0</v>
      </c>
      <c r="AO1429" s="498">
        <f t="shared" si="502"/>
        <v>0</v>
      </c>
      <c r="AP1429" s="498">
        <f t="shared" si="521"/>
        <v>0</v>
      </c>
      <c r="AQ1429" s="498">
        <f t="shared" si="516"/>
        <v>0</v>
      </c>
      <c r="AU1429" s="498">
        <f t="shared" si="503"/>
        <v>0</v>
      </c>
      <c r="AV1429" s="498">
        <f t="shared" si="504"/>
        <v>0</v>
      </c>
      <c r="AW1429" s="498">
        <f t="shared" si="505"/>
        <v>0</v>
      </c>
      <c r="AX1429" s="498">
        <f t="shared" si="506"/>
        <v>0</v>
      </c>
      <c r="AY1429" s="498">
        <f t="shared" si="507"/>
        <v>0</v>
      </c>
      <c r="BB1429" s="498" t="str">
        <f t="shared" si="508"/>
        <v/>
      </c>
      <c r="BC1429" s="743" t="str">
        <f t="shared" si="509"/>
        <v/>
      </c>
      <c r="BD1429" s="743" t="str">
        <f t="shared" si="510"/>
        <v/>
      </c>
      <c r="BE1429" s="743" t="str">
        <f>IF(D1429="","",VLOOKUP(D1429,'General Basis'!$J$39:$K$46,2,0))</f>
        <v/>
      </c>
      <c r="BF1429" s="744" t="str">
        <f>IF(D1429="","",VLOOKUP(D1429,'General Basis'!$J$39:$L$46,3,0))</f>
        <v/>
      </c>
      <c r="BG1429" s="744" t="str">
        <f t="shared" si="517"/>
        <v/>
      </c>
      <c r="BH1429" s="744" t="str">
        <f>IF(G1429="","",IF(BF1429="Abu Dhabi",IF(G1429&lt;18,'General Basis'!$C$39,IF(G1429&lt;41,'General Basis'!$C$40,IF(G1429&lt;60,'General Basis'!$C$41,IF(G1429&lt;65,'General Basis'!$C$42,'General Basis'!$C$43)))),IF(G1429&lt;11,'General Basis'!$B$39,IF(G1429&lt;18,'General Basis'!$B$40,IF(G1429&lt;26,'General Basis'!$B$41,IF(G1429&lt;31,'General Basis'!$B$42,IF(G1429&lt;36,'General Basis'!$B$43,IF(G1429&lt;41,'General Basis'!$B$44,IF(G1429&lt;46,'General Basis'!$B$45,IF(G1429&lt;51,'General Basis'!$B$46,IF(G1429&lt;56,'General Basis'!$B$47,IF(G1429&lt;60,'General Basis'!$B$48,IF(G1429&lt;65,'General Basis'!$B$49,'General Basis'!$B$50)))))))))))))</f>
        <v/>
      </c>
      <c r="BI1429" s="744" t="str">
        <f t="shared" si="511"/>
        <v/>
      </c>
      <c r="BJ1429" s="747" t="str">
        <f t="shared" si="518"/>
        <v/>
      </c>
      <c r="BK1429" s="498" t="str">
        <f t="shared" si="512"/>
        <v/>
      </c>
      <c r="BL1429" s="498" t="str">
        <f t="shared" si="513"/>
        <v/>
      </c>
    </row>
    <row r="1430" spans="1:64" x14ac:dyDescent="0.25">
      <c r="A1430" s="762">
        <f t="shared" si="514"/>
        <v>1425</v>
      </c>
      <c r="B1430" s="229"/>
      <c r="C1430" s="223"/>
      <c r="D1430" s="224"/>
      <c r="E1430" s="225"/>
      <c r="F1430" s="1036" t="str">
        <f t="shared" si="520"/>
        <v/>
      </c>
      <c r="G1430" s="1037" t="str">
        <f t="shared" si="515"/>
        <v/>
      </c>
      <c r="H1430" s="225"/>
      <c r="I1430" s="1013"/>
      <c r="J1430" s="1013"/>
      <c r="K1430" s="1028"/>
      <c r="L1430" s="1035" t="str">
        <f t="shared" si="519"/>
        <v/>
      </c>
      <c r="S1430" s="498"/>
      <c r="AJ1430" s="498"/>
      <c r="AM1430" s="498">
        <f t="shared" si="500"/>
        <v>0</v>
      </c>
      <c r="AN1430" s="498">
        <f t="shared" si="501"/>
        <v>0</v>
      </c>
      <c r="AO1430" s="498">
        <f t="shared" si="502"/>
        <v>0</v>
      </c>
      <c r="AP1430" s="498">
        <f t="shared" si="521"/>
        <v>0</v>
      </c>
      <c r="AQ1430" s="498">
        <f t="shared" si="516"/>
        <v>0</v>
      </c>
      <c r="AU1430" s="498">
        <f t="shared" si="503"/>
        <v>0</v>
      </c>
      <c r="AV1430" s="498">
        <f t="shared" si="504"/>
        <v>0</v>
      </c>
      <c r="AW1430" s="498">
        <f t="shared" si="505"/>
        <v>0</v>
      </c>
      <c r="AX1430" s="498">
        <f t="shared" si="506"/>
        <v>0</v>
      </c>
      <c r="AY1430" s="498">
        <f t="shared" si="507"/>
        <v>0</v>
      </c>
      <c r="BB1430" s="498" t="str">
        <f t="shared" si="508"/>
        <v/>
      </c>
      <c r="BC1430" s="743" t="str">
        <f t="shared" si="509"/>
        <v/>
      </c>
      <c r="BD1430" s="743" t="str">
        <f t="shared" si="510"/>
        <v/>
      </c>
      <c r="BE1430" s="743" t="str">
        <f>IF(D1430="","",VLOOKUP(D1430,'General Basis'!$J$39:$K$46,2,0))</f>
        <v/>
      </c>
      <c r="BF1430" s="744" t="str">
        <f>IF(D1430="","",VLOOKUP(D1430,'General Basis'!$J$39:$L$46,3,0))</f>
        <v/>
      </c>
      <c r="BG1430" s="744" t="str">
        <f t="shared" si="517"/>
        <v/>
      </c>
      <c r="BH1430" s="744" t="str">
        <f>IF(G1430="","",IF(BF1430="Abu Dhabi",IF(G1430&lt;18,'General Basis'!$C$39,IF(G1430&lt;41,'General Basis'!$C$40,IF(G1430&lt;60,'General Basis'!$C$41,IF(G1430&lt;65,'General Basis'!$C$42,'General Basis'!$C$43)))),IF(G1430&lt;11,'General Basis'!$B$39,IF(G1430&lt;18,'General Basis'!$B$40,IF(G1430&lt;26,'General Basis'!$B$41,IF(G1430&lt;31,'General Basis'!$B$42,IF(G1430&lt;36,'General Basis'!$B$43,IF(G1430&lt;41,'General Basis'!$B$44,IF(G1430&lt;46,'General Basis'!$B$45,IF(G1430&lt;51,'General Basis'!$B$46,IF(G1430&lt;56,'General Basis'!$B$47,IF(G1430&lt;60,'General Basis'!$B$48,IF(G1430&lt;65,'General Basis'!$B$49,'General Basis'!$B$50)))))))))))))</f>
        <v/>
      </c>
      <c r="BI1430" s="744" t="str">
        <f t="shared" si="511"/>
        <v/>
      </c>
      <c r="BJ1430" s="747" t="str">
        <f t="shared" si="518"/>
        <v/>
      </c>
      <c r="BK1430" s="498" t="str">
        <f t="shared" si="512"/>
        <v/>
      </c>
      <c r="BL1430" s="498" t="str">
        <f t="shared" si="513"/>
        <v/>
      </c>
    </row>
    <row r="1431" spans="1:64" x14ac:dyDescent="0.25">
      <c r="A1431" s="762">
        <f t="shared" si="514"/>
        <v>1426</v>
      </c>
      <c r="B1431" s="229"/>
      <c r="C1431" s="223"/>
      <c r="D1431" s="224"/>
      <c r="E1431" s="225"/>
      <c r="F1431" s="1036" t="str">
        <f t="shared" si="520"/>
        <v/>
      </c>
      <c r="G1431" s="1037" t="str">
        <f t="shared" si="515"/>
        <v/>
      </c>
      <c r="H1431" s="225"/>
      <c r="I1431" s="1013"/>
      <c r="J1431" s="1013"/>
      <c r="K1431" s="1028"/>
      <c r="L1431" s="1035" t="str">
        <f t="shared" si="519"/>
        <v/>
      </c>
      <c r="S1431" s="498"/>
      <c r="AJ1431" s="498"/>
      <c r="AM1431" s="498">
        <f t="shared" si="500"/>
        <v>0</v>
      </c>
      <c r="AN1431" s="498">
        <f t="shared" si="501"/>
        <v>0</v>
      </c>
      <c r="AO1431" s="498">
        <f t="shared" si="502"/>
        <v>0</v>
      </c>
      <c r="AP1431" s="498">
        <f t="shared" si="521"/>
        <v>0</v>
      </c>
      <c r="AQ1431" s="498">
        <f t="shared" si="516"/>
        <v>0</v>
      </c>
      <c r="AU1431" s="498">
        <f t="shared" si="503"/>
        <v>0</v>
      </c>
      <c r="AV1431" s="498">
        <f t="shared" si="504"/>
        <v>0</v>
      </c>
      <c r="AW1431" s="498">
        <f t="shared" si="505"/>
        <v>0</v>
      </c>
      <c r="AX1431" s="498">
        <f t="shared" si="506"/>
        <v>0</v>
      </c>
      <c r="AY1431" s="498">
        <f t="shared" si="507"/>
        <v>0</v>
      </c>
      <c r="BB1431" s="498" t="str">
        <f t="shared" si="508"/>
        <v/>
      </c>
      <c r="BC1431" s="743" t="str">
        <f t="shared" si="509"/>
        <v/>
      </c>
      <c r="BD1431" s="743" t="str">
        <f t="shared" si="510"/>
        <v/>
      </c>
      <c r="BE1431" s="743" t="str">
        <f>IF(D1431="","",VLOOKUP(D1431,'General Basis'!$J$39:$K$46,2,0))</f>
        <v/>
      </c>
      <c r="BF1431" s="744" t="str">
        <f>IF(D1431="","",VLOOKUP(D1431,'General Basis'!$J$39:$L$46,3,0))</f>
        <v/>
      </c>
      <c r="BG1431" s="744" t="str">
        <f t="shared" si="517"/>
        <v/>
      </c>
      <c r="BH1431" s="744" t="str">
        <f>IF(G1431="","",IF(BF1431="Abu Dhabi",IF(G1431&lt;18,'General Basis'!$C$39,IF(G1431&lt;41,'General Basis'!$C$40,IF(G1431&lt;60,'General Basis'!$C$41,IF(G1431&lt;65,'General Basis'!$C$42,'General Basis'!$C$43)))),IF(G1431&lt;11,'General Basis'!$B$39,IF(G1431&lt;18,'General Basis'!$B$40,IF(G1431&lt;26,'General Basis'!$B$41,IF(G1431&lt;31,'General Basis'!$B$42,IF(G1431&lt;36,'General Basis'!$B$43,IF(G1431&lt;41,'General Basis'!$B$44,IF(G1431&lt;46,'General Basis'!$B$45,IF(G1431&lt;51,'General Basis'!$B$46,IF(G1431&lt;56,'General Basis'!$B$47,IF(G1431&lt;60,'General Basis'!$B$48,IF(G1431&lt;65,'General Basis'!$B$49,'General Basis'!$B$50)))))))))))))</f>
        <v/>
      </c>
      <c r="BI1431" s="744" t="str">
        <f t="shared" si="511"/>
        <v/>
      </c>
      <c r="BJ1431" s="747" t="str">
        <f t="shared" si="518"/>
        <v/>
      </c>
      <c r="BK1431" s="498" t="str">
        <f t="shared" si="512"/>
        <v/>
      </c>
      <c r="BL1431" s="498" t="str">
        <f t="shared" si="513"/>
        <v/>
      </c>
    </row>
    <row r="1432" spans="1:64" x14ac:dyDescent="0.25">
      <c r="A1432" s="762">
        <f t="shared" si="514"/>
        <v>1427</v>
      </c>
      <c r="B1432" s="229"/>
      <c r="C1432" s="223"/>
      <c r="D1432" s="224"/>
      <c r="E1432" s="225"/>
      <c r="F1432" s="1036" t="str">
        <f t="shared" si="520"/>
        <v/>
      </c>
      <c r="G1432" s="1037" t="str">
        <f t="shared" si="515"/>
        <v/>
      </c>
      <c r="H1432" s="225"/>
      <c r="I1432" s="1013"/>
      <c r="J1432" s="1013"/>
      <c r="K1432" s="1028"/>
      <c r="L1432" s="1035" t="str">
        <f t="shared" si="519"/>
        <v/>
      </c>
      <c r="S1432" s="498"/>
      <c r="AJ1432" s="498"/>
      <c r="AM1432" s="498">
        <f t="shared" si="500"/>
        <v>0</v>
      </c>
      <c r="AN1432" s="498">
        <f t="shared" si="501"/>
        <v>0</v>
      </c>
      <c r="AO1432" s="498">
        <f t="shared" si="502"/>
        <v>0</v>
      </c>
      <c r="AP1432" s="498">
        <f t="shared" si="521"/>
        <v>0</v>
      </c>
      <c r="AQ1432" s="498">
        <f t="shared" si="516"/>
        <v>0</v>
      </c>
      <c r="AU1432" s="498">
        <f t="shared" si="503"/>
        <v>0</v>
      </c>
      <c r="AV1432" s="498">
        <f t="shared" si="504"/>
        <v>0</v>
      </c>
      <c r="AW1432" s="498">
        <f t="shared" si="505"/>
        <v>0</v>
      </c>
      <c r="AX1432" s="498">
        <f t="shared" si="506"/>
        <v>0</v>
      </c>
      <c r="AY1432" s="498">
        <f t="shared" si="507"/>
        <v>0</v>
      </c>
      <c r="BB1432" s="498" t="str">
        <f t="shared" si="508"/>
        <v/>
      </c>
      <c r="BC1432" s="743" t="str">
        <f t="shared" si="509"/>
        <v/>
      </c>
      <c r="BD1432" s="743" t="str">
        <f t="shared" si="510"/>
        <v/>
      </c>
      <c r="BE1432" s="743" t="str">
        <f>IF(D1432="","",VLOOKUP(D1432,'General Basis'!$J$39:$K$46,2,0))</f>
        <v/>
      </c>
      <c r="BF1432" s="744" t="str">
        <f>IF(D1432="","",VLOOKUP(D1432,'General Basis'!$J$39:$L$46,3,0))</f>
        <v/>
      </c>
      <c r="BG1432" s="744" t="str">
        <f t="shared" si="517"/>
        <v/>
      </c>
      <c r="BH1432" s="744" t="str">
        <f>IF(G1432="","",IF(BF1432="Abu Dhabi",IF(G1432&lt;18,'General Basis'!$C$39,IF(G1432&lt;41,'General Basis'!$C$40,IF(G1432&lt;60,'General Basis'!$C$41,IF(G1432&lt;65,'General Basis'!$C$42,'General Basis'!$C$43)))),IF(G1432&lt;11,'General Basis'!$B$39,IF(G1432&lt;18,'General Basis'!$B$40,IF(G1432&lt;26,'General Basis'!$B$41,IF(G1432&lt;31,'General Basis'!$B$42,IF(G1432&lt;36,'General Basis'!$B$43,IF(G1432&lt;41,'General Basis'!$B$44,IF(G1432&lt;46,'General Basis'!$B$45,IF(G1432&lt;51,'General Basis'!$B$46,IF(G1432&lt;56,'General Basis'!$B$47,IF(G1432&lt;60,'General Basis'!$B$48,IF(G1432&lt;65,'General Basis'!$B$49,'General Basis'!$B$50)))))))))))))</f>
        <v/>
      </c>
      <c r="BI1432" s="744" t="str">
        <f t="shared" si="511"/>
        <v/>
      </c>
      <c r="BJ1432" s="747" t="str">
        <f t="shared" si="518"/>
        <v/>
      </c>
      <c r="BK1432" s="498" t="str">
        <f t="shared" si="512"/>
        <v/>
      </c>
      <c r="BL1432" s="498" t="str">
        <f t="shared" si="513"/>
        <v/>
      </c>
    </row>
    <row r="1433" spans="1:64" x14ac:dyDescent="0.25">
      <c r="A1433" s="762">
        <f t="shared" si="514"/>
        <v>1428</v>
      </c>
      <c r="B1433" s="229"/>
      <c r="C1433" s="223"/>
      <c r="D1433" s="224"/>
      <c r="E1433" s="225"/>
      <c r="F1433" s="1036" t="str">
        <f t="shared" si="520"/>
        <v/>
      </c>
      <c r="G1433" s="1037" t="str">
        <f t="shared" si="515"/>
        <v/>
      </c>
      <c r="H1433" s="225"/>
      <c r="I1433" s="1013"/>
      <c r="J1433" s="1013"/>
      <c r="K1433" s="1028"/>
      <c r="L1433" s="1035" t="str">
        <f t="shared" si="519"/>
        <v/>
      </c>
      <c r="S1433" s="498"/>
      <c r="AJ1433" s="498"/>
      <c r="AM1433" s="498">
        <f t="shared" si="500"/>
        <v>0</v>
      </c>
      <c r="AN1433" s="498">
        <f t="shared" si="501"/>
        <v>0</v>
      </c>
      <c r="AO1433" s="498">
        <f t="shared" si="502"/>
        <v>0</v>
      </c>
      <c r="AP1433" s="498">
        <f t="shared" si="521"/>
        <v>0</v>
      </c>
      <c r="AQ1433" s="498">
        <f t="shared" si="516"/>
        <v>0</v>
      </c>
      <c r="AU1433" s="498">
        <f t="shared" si="503"/>
        <v>0</v>
      </c>
      <c r="AV1433" s="498">
        <f t="shared" si="504"/>
        <v>0</v>
      </c>
      <c r="AW1433" s="498">
        <f t="shared" si="505"/>
        <v>0</v>
      </c>
      <c r="AX1433" s="498">
        <f t="shared" si="506"/>
        <v>0</v>
      </c>
      <c r="AY1433" s="498">
        <f t="shared" si="507"/>
        <v>0</v>
      </c>
      <c r="BB1433" s="498" t="str">
        <f t="shared" si="508"/>
        <v/>
      </c>
      <c r="BC1433" s="743" t="str">
        <f t="shared" si="509"/>
        <v/>
      </c>
      <c r="BD1433" s="743" t="str">
        <f t="shared" si="510"/>
        <v/>
      </c>
      <c r="BE1433" s="743" t="str">
        <f>IF(D1433="","",VLOOKUP(D1433,'General Basis'!$J$39:$K$46,2,0))</f>
        <v/>
      </c>
      <c r="BF1433" s="744" t="str">
        <f>IF(D1433="","",VLOOKUP(D1433,'General Basis'!$J$39:$L$46,3,0))</f>
        <v/>
      </c>
      <c r="BG1433" s="744" t="str">
        <f t="shared" si="517"/>
        <v/>
      </c>
      <c r="BH1433" s="744" t="str">
        <f>IF(G1433="","",IF(BF1433="Abu Dhabi",IF(G1433&lt;18,'General Basis'!$C$39,IF(G1433&lt;41,'General Basis'!$C$40,IF(G1433&lt;60,'General Basis'!$C$41,IF(G1433&lt;65,'General Basis'!$C$42,'General Basis'!$C$43)))),IF(G1433&lt;11,'General Basis'!$B$39,IF(G1433&lt;18,'General Basis'!$B$40,IF(G1433&lt;26,'General Basis'!$B$41,IF(G1433&lt;31,'General Basis'!$B$42,IF(G1433&lt;36,'General Basis'!$B$43,IF(G1433&lt;41,'General Basis'!$B$44,IF(G1433&lt;46,'General Basis'!$B$45,IF(G1433&lt;51,'General Basis'!$B$46,IF(G1433&lt;56,'General Basis'!$B$47,IF(G1433&lt;60,'General Basis'!$B$48,IF(G1433&lt;65,'General Basis'!$B$49,'General Basis'!$B$50)))))))))))))</f>
        <v/>
      </c>
      <c r="BI1433" s="744" t="str">
        <f t="shared" si="511"/>
        <v/>
      </c>
      <c r="BJ1433" s="747" t="str">
        <f t="shared" si="518"/>
        <v/>
      </c>
      <c r="BK1433" s="498" t="str">
        <f t="shared" si="512"/>
        <v/>
      </c>
      <c r="BL1433" s="498" t="str">
        <f t="shared" si="513"/>
        <v/>
      </c>
    </row>
    <row r="1434" spans="1:64" x14ac:dyDescent="0.25">
      <c r="A1434" s="762">
        <f t="shared" si="514"/>
        <v>1429</v>
      </c>
      <c r="B1434" s="229"/>
      <c r="C1434" s="223"/>
      <c r="D1434" s="224"/>
      <c r="E1434" s="225"/>
      <c r="F1434" s="1036" t="str">
        <f t="shared" si="520"/>
        <v/>
      </c>
      <c r="G1434" s="1037" t="str">
        <f t="shared" si="515"/>
        <v/>
      </c>
      <c r="H1434" s="225"/>
      <c r="I1434" s="1013"/>
      <c r="J1434" s="1013"/>
      <c r="K1434" s="1028"/>
      <c r="L1434" s="1035" t="str">
        <f t="shared" si="519"/>
        <v/>
      </c>
      <c r="S1434" s="498"/>
      <c r="AJ1434" s="498"/>
      <c r="AM1434" s="498">
        <f t="shared" si="500"/>
        <v>0</v>
      </c>
      <c r="AN1434" s="498">
        <f t="shared" si="501"/>
        <v>0</v>
      </c>
      <c r="AO1434" s="498">
        <f t="shared" si="502"/>
        <v>0</v>
      </c>
      <c r="AP1434" s="498">
        <f t="shared" si="521"/>
        <v>0</v>
      </c>
      <c r="AQ1434" s="498">
        <f t="shared" si="516"/>
        <v>0</v>
      </c>
      <c r="AU1434" s="498">
        <f t="shared" si="503"/>
        <v>0</v>
      </c>
      <c r="AV1434" s="498">
        <f t="shared" si="504"/>
        <v>0</v>
      </c>
      <c r="AW1434" s="498">
        <f t="shared" si="505"/>
        <v>0</v>
      </c>
      <c r="AX1434" s="498">
        <f t="shared" si="506"/>
        <v>0</v>
      </c>
      <c r="AY1434" s="498">
        <f t="shared" si="507"/>
        <v>0</v>
      </c>
      <c r="BB1434" s="498" t="str">
        <f t="shared" si="508"/>
        <v/>
      </c>
      <c r="BC1434" s="743" t="str">
        <f t="shared" si="509"/>
        <v/>
      </c>
      <c r="BD1434" s="743" t="str">
        <f t="shared" si="510"/>
        <v/>
      </c>
      <c r="BE1434" s="743" t="str">
        <f>IF(D1434="","",VLOOKUP(D1434,'General Basis'!$J$39:$K$46,2,0))</f>
        <v/>
      </c>
      <c r="BF1434" s="744" t="str">
        <f>IF(D1434="","",VLOOKUP(D1434,'General Basis'!$J$39:$L$46,3,0))</f>
        <v/>
      </c>
      <c r="BG1434" s="744" t="str">
        <f t="shared" si="517"/>
        <v/>
      </c>
      <c r="BH1434" s="744" t="str">
        <f>IF(G1434="","",IF(BF1434="Abu Dhabi",IF(G1434&lt;18,'General Basis'!$C$39,IF(G1434&lt;41,'General Basis'!$C$40,IF(G1434&lt;60,'General Basis'!$C$41,IF(G1434&lt;65,'General Basis'!$C$42,'General Basis'!$C$43)))),IF(G1434&lt;11,'General Basis'!$B$39,IF(G1434&lt;18,'General Basis'!$B$40,IF(G1434&lt;26,'General Basis'!$B$41,IF(G1434&lt;31,'General Basis'!$B$42,IF(G1434&lt;36,'General Basis'!$B$43,IF(G1434&lt;41,'General Basis'!$B$44,IF(G1434&lt;46,'General Basis'!$B$45,IF(G1434&lt;51,'General Basis'!$B$46,IF(G1434&lt;56,'General Basis'!$B$47,IF(G1434&lt;60,'General Basis'!$B$48,IF(G1434&lt;65,'General Basis'!$B$49,'General Basis'!$B$50)))))))))))))</f>
        <v/>
      </c>
      <c r="BI1434" s="744" t="str">
        <f t="shared" si="511"/>
        <v/>
      </c>
      <c r="BJ1434" s="747" t="str">
        <f t="shared" si="518"/>
        <v/>
      </c>
      <c r="BK1434" s="498" t="str">
        <f t="shared" si="512"/>
        <v/>
      </c>
      <c r="BL1434" s="498" t="str">
        <f t="shared" si="513"/>
        <v/>
      </c>
    </row>
    <row r="1435" spans="1:64" x14ac:dyDescent="0.25">
      <c r="A1435" s="762">
        <f t="shared" si="514"/>
        <v>1430</v>
      </c>
      <c r="B1435" s="229"/>
      <c r="C1435" s="223"/>
      <c r="D1435" s="224"/>
      <c r="E1435" s="225"/>
      <c r="F1435" s="1036" t="str">
        <f t="shared" si="520"/>
        <v/>
      </c>
      <c r="G1435" s="1037" t="str">
        <f t="shared" si="515"/>
        <v/>
      </c>
      <c r="H1435" s="225"/>
      <c r="I1435" s="1013"/>
      <c r="J1435" s="1013"/>
      <c r="K1435" s="1028"/>
      <c r="L1435" s="1035" t="str">
        <f t="shared" si="519"/>
        <v/>
      </c>
      <c r="S1435" s="498"/>
      <c r="AJ1435" s="498"/>
      <c r="AM1435" s="498">
        <f t="shared" si="500"/>
        <v>0</v>
      </c>
      <c r="AN1435" s="498">
        <f t="shared" si="501"/>
        <v>0</v>
      </c>
      <c r="AO1435" s="498">
        <f t="shared" si="502"/>
        <v>0</v>
      </c>
      <c r="AP1435" s="498">
        <f t="shared" si="521"/>
        <v>0</v>
      </c>
      <c r="AQ1435" s="498">
        <f t="shared" si="516"/>
        <v>0</v>
      </c>
      <c r="AU1435" s="498">
        <f t="shared" si="503"/>
        <v>0</v>
      </c>
      <c r="AV1435" s="498">
        <f t="shared" si="504"/>
        <v>0</v>
      </c>
      <c r="AW1435" s="498">
        <f t="shared" si="505"/>
        <v>0</v>
      </c>
      <c r="AX1435" s="498">
        <f t="shared" si="506"/>
        <v>0</v>
      </c>
      <c r="AY1435" s="498">
        <f t="shared" si="507"/>
        <v>0</v>
      </c>
      <c r="BB1435" s="498" t="str">
        <f t="shared" si="508"/>
        <v/>
      </c>
      <c r="BC1435" s="743" t="str">
        <f t="shared" si="509"/>
        <v/>
      </c>
      <c r="BD1435" s="743" t="str">
        <f t="shared" si="510"/>
        <v/>
      </c>
      <c r="BE1435" s="743" t="str">
        <f>IF(D1435="","",VLOOKUP(D1435,'General Basis'!$J$39:$K$46,2,0))</f>
        <v/>
      </c>
      <c r="BF1435" s="744" t="str">
        <f>IF(D1435="","",VLOOKUP(D1435,'General Basis'!$J$39:$L$46,3,0))</f>
        <v/>
      </c>
      <c r="BG1435" s="744" t="str">
        <f t="shared" si="517"/>
        <v/>
      </c>
      <c r="BH1435" s="744" t="str">
        <f>IF(G1435="","",IF(BF1435="Abu Dhabi",IF(G1435&lt;18,'General Basis'!$C$39,IF(G1435&lt;41,'General Basis'!$C$40,IF(G1435&lt;60,'General Basis'!$C$41,IF(G1435&lt;65,'General Basis'!$C$42,'General Basis'!$C$43)))),IF(G1435&lt;11,'General Basis'!$B$39,IF(G1435&lt;18,'General Basis'!$B$40,IF(G1435&lt;26,'General Basis'!$B$41,IF(G1435&lt;31,'General Basis'!$B$42,IF(G1435&lt;36,'General Basis'!$B$43,IF(G1435&lt;41,'General Basis'!$B$44,IF(G1435&lt;46,'General Basis'!$B$45,IF(G1435&lt;51,'General Basis'!$B$46,IF(G1435&lt;56,'General Basis'!$B$47,IF(G1435&lt;60,'General Basis'!$B$48,IF(G1435&lt;65,'General Basis'!$B$49,'General Basis'!$B$50)))))))))))))</f>
        <v/>
      </c>
      <c r="BI1435" s="744" t="str">
        <f t="shared" si="511"/>
        <v/>
      </c>
      <c r="BJ1435" s="747" t="str">
        <f t="shared" si="518"/>
        <v/>
      </c>
      <c r="BK1435" s="498" t="str">
        <f t="shared" si="512"/>
        <v/>
      </c>
      <c r="BL1435" s="498" t="str">
        <f t="shared" si="513"/>
        <v/>
      </c>
    </row>
    <row r="1436" spans="1:64" x14ac:dyDescent="0.25">
      <c r="A1436" s="762">
        <f t="shared" si="514"/>
        <v>1431</v>
      </c>
      <c r="B1436" s="229"/>
      <c r="C1436" s="223"/>
      <c r="D1436" s="224"/>
      <c r="E1436" s="225"/>
      <c r="F1436" s="1036" t="str">
        <f t="shared" si="520"/>
        <v/>
      </c>
      <c r="G1436" s="1037" t="str">
        <f t="shared" si="515"/>
        <v/>
      </c>
      <c r="H1436" s="225"/>
      <c r="I1436" s="1013"/>
      <c r="J1436" s="1013"/>
      <c r="K1436" s="1028"/>
      <c r="L1436" s="1035" t="str">
        <f t="shared" si="519"/>
        <v/>
      </c>
      <c r="S1436" s="498"/>
      <c r="AJ1436" s="498"/>
      <c r="AM1436" s="498">
        <f t="shared" si="500"/>
        <v>0</v>
      </c>
      <c r="AN1436" s="498">
        <f t="shared" si="501"/>
        <v>0</v>
      </c>
      <c r="AO1436" s="498">
        <f t="shared" si="502"/>
        <v>0</v>
      </c>
      <c r="AP1436" s="498">
        <f t="shared" si="521"/>
        <v>0</v>
      </c>
      <c r="AQ1436" s="498">
        <f t="shared" si="516"/>
        <v>0</v>
      </c>
      <c r="AU1436" s="498">
        <f t="shared" si="503"/>
        <v>0</v>
      </c>
      <c r="AV1436" s="498">
        <f t="shared" si="504"/>
        <v>0</v>
      </c>
      <c r="AW1436" s="498">
        <f t="shared" si="505"/>
        <v>0</v>
      </c>
      <c r="AX1436" s="498">
        <f t="shared" si="506"/>
        <v>0</v>
      </c>
      <c r="AY1436" s="498">
        <f t="shared" si="507"/>
        <v>0</v>
      </c>
      <c r="BB1436" s="498" t="str">
        <f t="shared" si="508"/>
        <v/>
      </c>
      <c r="BC1436" s="743" t="str">
        <f t="shared" si="509"/>
        <v/>
      </c>
      <c r="BD1436" s="743" t="str">
        <f t="shared" si="510"/>
        <v/>
      </c>
      <c r="BE1436" s="743" t="str">
        <f>IF(D1436="","",VLOOKUP(D1436,'General Basis'!$J$39:$K$46,2,0))</f>
        <v/>
      </c>
      <c r="BF1436" s="744" t="str">
        <f>IF(D1436="","",VLOOKUP(D1436,'General Basis'!$J$39:$L$46,3,0))</f>
        <v/>
      </c>
      <c r="BG1436" s="744" t="str">
        <f t="shared" si="517"/>
        <v/>
      </c>
      <c r="BH1436" s="744" t="str">
        <f>IF(G1436="","",IF(BF1436="Abu Dhabi",IF(G1436&lt;18,'General Basis'!$C$39,IF(G1436&lt;41,'General Basis'!$C$40,IF(G1436&lt;60,'General Basis'!$C$41,IF(G1436&lt;65,'General Basis'!$C$42,'General Basis'!$C$43)))),IF(G1436&lt;11,'General Basis'!$B$39,IF(G1436&lt;18,'General Basis'!$B$40,IF(G1436&lt;26,'General Basis'!$B$41,IF(G1436&lt;31,'General Basis'!$B$42,IF(G1436&lt;36,'General Basis'!$B$43,IF(G1436&lt;41,'General Basis'!$B$44,IF(G1436&lt;46,'General Basis'!$B$45,IF(G1436&lt;51,'General Basis'!$B$46,IF(G1436&lt;56,'General Basis'!$B$47,IF(G1436&lt;60,'General Basis'!$B$48,IF(G1436&lt;65,'General Basis'!$B$49,'General Basis'!$B$50)))))))))))))</f>
        <v/>
      </c>
      <c r="BI1436" s="744" t="str">
        <f t="shared" si="511"/>
        <v/>
      </c>
      <c r="BJ1436" s="747" t="str">
        <f t="shared" si="518"/>
        <v/>
      </c>
      <c r="BK1436" s="498" t="str">
        <f t="shared" si="512"/>
        <v/>
      </c>
      <c r="BL1436" s="498" t="str">
        <f t="shared" si="513"/>
        <v/>
      </c>
    </row>
    <row r="1437" spans="1:64" x14ac:dyDescent="0.25">
      <c r="A1437" s="762">
        <f t="shared" si="514"/>
        <v>1432</v>
      </c>
      <c r="B1437" s="229"/>
      <c r="C1437" s="223"/>
      <c r="D1437" s="224"/>
      <c r="E1437" s="225"/>
      <c r="F1437" s="1036" t="str">
        <f t="shared" si="520"/>
        <v/>
      </c>
      <c r="G1437" s="1037" t="str">
        <f t="shared" si="515"/>
        <v/>
      </c>
      <c r="H1437" s="225"/>
      <c r="I1437" s="1013"/>
      <c r="J1437" s="1013"/>
      <c r="K1437" s="1028"/>
      <c r="L1437" s="1035" t="str">
        <f t="shared" si="519"/>
        <v/>
      </c>
      <c r="S1437" s="498"/>
      <c r="AJ1437" s="498"/>
      <c r="AM1437" s="498">
        <f t="shared" si="500"/>
        <v>0</v>
      </c>
      <c r="AN1437" s="498">
        <f t="shared" si="501"/>
        <v>0</v>
      </c>
      <c r="AO1437" s="498">
        <f t="shared" si="502"/>
        <v>0</v>
      </c>
      <c r="AP1437" s="498">
        <f t="shared" si="521"/>
        <v>0</v>
      </c>
      <c r="AQ1437" s="498">
        <f t="shared" si="516"/>
        <v>0</v>
      </c>
      <c r="AU1437" s="498">
        <f t="shared" si="503"/>
        <v>0</v>
      </c>
      <c r="AV1437" s="498">
        <f t="shared" si="504"/>
        <v>0</v>
      </c>
      <c r="AW1437" s="498">
        <f t="shared" si="505"/>
        <v>0</v>
      </c>
      <c r="AX1437" s="498">
        <f t="shared" si="506"/>
        <v>0</v>
      </c>
      <c r="AY1437" s="498">
        <f t="shared" si="507"/>
        <v>0</v>
      </c>
      <c r="BB1437" s="498" t="str">
        <f t="shared" si="508"/>
        <v/>
      </c>
      <c r="BC1437" s="743" t="str">
        <f t="shared" si="509"/>
        <v/>
      </c>
      <c r="BD1437" s="743" t="str">
        <f t="shared" si="510"/>
        <v/>
      </c>
      <c r="BE1437" s="743" t="str">
        <f>IF(D1437="","",VLOOKUP(D1437,'General Basis'!$J$39:$K$46,2,0))</f>
        <v/>
      </c>
      <c r="BF1437" s="744" t="str">
        <f>IF(D1437="","",VLOOKUP(D1437,'General Basis'!$J$39:$L$46,3,0))</f>
        <v/>
      </c>
      <c r="BG1437" s="744" t="str">
        <f t="shared" si="517"/>
        <v/>
      </c>
      <c r="BH1437" s="744" t="str">
        <f>IF(G1437="","",IF(BF1437="Abu Dhabi",IF(G1437&lt;18,'General Basis'!$C$39,IF(G1437&lt;41,'General Basis'!$C$40,IF(G1437&lt;60,'General Basis'!$C$41,IF(G1437&lt;65,'General Basis'!$C$42,'General Basis'!$C$43)))),IF(G1437&lt;11,'General Basis'!$B$39,IF(G1437&lt;18,'General Basis'!$B$40,IF(G1437&lt;26,'General Basis'!$B$41,IF(G1437&lt;31,'General Basis'!$B$42,IF(G1437&lt;36,'General Basis'!$B$43,IF(G1437&lt;41,'General Basis'!$B$44,IF(G1437&lt;46,'General Basis'!$B$45,IF(G1437&lt;51,'General Basis'!$B$46,IF(G1437&lt;56,'General Basis'!$B$47,IF(G1437&lt;60,'General Basis'!$B$48,IF(G1437&lt;65,'General Basis'!$B$49,'General Basis'!$B$50)))))))))))))</f>
        <v/>
      </c>
      <c r="BI1437" s="744" t="str">
        <f t="shared" si="511"/>
        <v/>
      </c>
      <c r="BJ1437" s="747" t="str">
        <f t="shared" si="518"/>
        <v/>
      </c>
      <c r="BK1437" s="498" t="str">
        <f t="shared" si="512"/>
        <v/>
      </c>
      <c r="BL1437" s="498" t="str">
        <f t="shared" si="513"/>
        <v/>
      </c>
    </row>
    <row r="1438" spans="1:64" x14ac:dyDescent="0.25">
      <c r="A1438" s="762">
        <f t="shared" si="514"/>
        <v>1433</v>
      </c>
      <c r="B1438" s="229"/>
      <c r="C1438" s="223"/>
      <c r="D1438" s="224"/>
      <c r="E1438" s="225"/>
      <c r="F1438" s="1036" t="str">
        <f t="shared" si="520"/>
        <v/>
      </c>
      <c r="G1438" s="1037" t="str">
        <f t="shared" si="515"/>
        <v/>
      </c>
      <c r="H1438" s="225"/>
      <c r="I1438" s="1013"/>
      <c r="J1438" s="1013"/>
      <c r="K1438" s="1028"/>
      <c r="L1438" s="1035" t="str">
        <f t="shared" si="519"/>
        <v/>
      </c>
      <c r="S1438" s="498"/>
      <c r="AJ1438" s="498"/>
      <c r="AM1438" s="498">
        <f t="shared" si="500"/>
        <v>0</v>
      </c>
      <c r="AN1438" s="498">
        <f t="shared" si="501"/>
        <v>0</v>
      </c>
      <c r="AO1438" s="498">
        <f t="shared" si="502"/>
        <v>0</v>
      </c>
      <c r="AP1438" s="498">
        <f t="shared" si="521"/>
        <v>0</v>
      </c>
      <c r="AQ1438" s="498">
        <f t="shared" si="516"/>
        <v>0</v>
      </c>
      <c r="AU1438" s="498">
        <f t="shared" si="503"/>
        <v>0</v>
      </c>
      <c r="AV1438" s="498">
        <f t="shared" si="504"/>
        <v>0</v>
      </c>
      <c r="AW1438" s="498">
        <f t="shared" si="505"/>
        <v>0</v>
      </c>
      <c r="AX1438" s="498">
        <f t="shared" si="506"/>
        <v>0</v>
      </c>
      <c r="AY1438" s="498">
        <f t="shared" si="507"/>
        <v>0</v>
      </c>
      <c r="BB1438" s="498" t="str">
        <f t="shared" si="508"/>
        <v/>
      </c>
      <c r="BC1438" s="743" t="str">
        <f t="shared" si="509"/>
        <v/>
      </c>
      <c r="BD1438" s="743" t="str">
        <f t="shared" si="510"/>
        <v/>
      </c>
      <c r="BE1438" s="743" t="str">
        <f>IF(D1438="","",VLOOKUP(D1438,'General Basis'!$J$39:$K$46,2,0))</f>
        <v/>
      </c>
      <c r="BF1438" s="744" t="str">
        <f>IF(D1438="","",VLOOKUP(D1438,'General Basis'!$J$39:$L$46,3,0))</f>
        <v/>
      </c>
      <c r="BG1438" s="744" t="str">
        <f t="shared" si="517"/>
        <v/>
      </c>
      <c r="BH1438" s="744" t="str">
        <f>IF(G1438="","",IF(BF1438="Abu Dhabi",IF(G1438&lt;18,'General Basis'!$C$39,IF(G1438&lt;41,'General Basis'!$C$40,IF(G1438&lt;60,'General Basis'!$C$41,IF(G1438&lt;65,'General Basis'!$C$42,'General Basis'!$C$43)))),IF(G1438&lt;11,'General Basis'!$B$39,IF(G1438&lt;18,'General Basis'!$B$40,IF(G1438&lt;26,'General Basis'!$B$41,IF(G1438&lt;31,'General Basis'!$B$42,IF(G1438&lt;36,'General Basis'!$B$43,IF(G1438&lt;41,'General Basis'!$B$44,IF(G1438&lt;46,'General Basis'!$B$45,IF(G1438&lt;51,'General Basis'!$B$46,IF(G1438&lt;56,'General Basis'!$B$47,IF(G1438&lt;60,'General Basis'!$B$48,IF(G1438&lt;65,'General Basis'!$B$49,'General Basis'!$B$50)))))))))))))</f>
        <v/>
      </c>
      <c r="BI1438" s="744" t="str">
        <f t="shared" si="511"/>
        <v/>
      </c>
      <c r="BJ1438" s="747" t="str">
        <f t="shared" si="518"/>
        <v/>
      </c>
      <c r="BK1438" s="498" t="str">
        <f t="shared" si="512"/>
        <v/>
      </c>
      <c r="BL1438" s="498" t="str">
        <f t="shared" si="513"/>
        <v/>
      </c>
    </row>
    <row r="1439" spans="1:64" x14ac:dyDescent="0.25">
      <c r="A1439" s="762">
        <f t="shared" si="514"/>
        <v>1434</v>
      </c>
      <c r="B1439" s="229"/>
      <c r="C1439" s="223"/>
      <c r="D1439" s="224"/>
      <c r="E1439" s="225"/>
      <c r="F1439" s="1036" t="str">
        <f t="shared" si="520"/>
        <v/>
      </c>
      <c r="G1439" s="1037" t="str">
        <f t="shared" si="515"/>
        <v/>
      </c>
      <c r="H1439" s="225"/>
      <c r="I1439" s="1013"/>
      <c r="J1439" s="1013"/>
      <c r="K1439" s="1028"/>
      <c r="L1439" s="1035" t="str">
        <f t="shared" si="519"/>
        <v/>
      </c>
      <c r="S1439" s="498"/>
      <c r="AJ1439" s="498"/>
      <c r="AM1439" s="498">
        <f t="shared" si="500"/>
        <v>0</v>
      </c>
      <c r="AN1439" s="498">
        <f t="shared" si="501"/>
        <v>0</v>
      </c>
      <c r="AO1439" s="498">
        <f t="shared" si="502"/>
        <v>0</v>
      </c>
      <c r="AP1439" s="498">
        <f t="shared" si="521"/>
        <v>0</v>
      </c>
      <c r="AQ1439" s="498">
        <f t="shared" si="516"/>
        <v>0</v>
      </c>
      <c r="AU1439" s="498">
        <f t="shared" si="503"/>
        <v>0</v>
      </c>
      <c r="AV1439" s="498">
        <f t="shared" si="504"/>
        <v>0</v>
      </c>
      <c r="AW1439" s="498">
        <f t="shared" si="505"/>
        <v>0</v>
      </c>
      <c r="AX1439" s="498">
        <f t="shared" si="506"/>
        <v>0</v>
      </c>
      <c r="AY1439" s="498">
        <f t="shared" si="507"/>
        <v>0</v>
      </c>
      <c r="BB1439" s="498" t="str">
        <f t="shared" si="508"/>
        <v/>
      </c>
      <c r="BC1439" s="743" t="str">
        <f t="shared" si="509"/>
        <v/>
      </c>
      <c r="BD1439" s="743" t="str">
        <f t="shared" si="510"/>
        <v/>
      </c>
      <c r="BE1439" s="743" t="str">
        <f>IF(D1439="","",VLOOKUP(D1439,'General Basis'!$J$39:$K$46,2,0))</f>
        <v/>
      </c>
      <c r="BF1439" s="744" t="str">
        <f>IF(D1439="","",VLOOKUP(D1439,'General Basis'!$J$39:$L$46,3,0))</f>
        <v/>
      </c>
      <c r="BG1439" s="744" t="str">
        <f t="shared" si="517"/>
        <v/>
      </c>
      <c r="BH1439" s="744" t="str">
        <f>IF(G1439="","",IF(BF1439="Abu Dhabi",IF(G1439&lt;18,'General Basis'!$C$39,IF(G1439&lt;41,'General Basis'!$C$40,IF(G1439&lt;60,'General Basis'!$C$41,IF(G1439&lt;65,'General Basis'!$C$42,'General Basis'!$C$43)))),IF(G1439&lt;11,'General Basis'!$B$39,IF(G1439&lt;18,'General Basis'!$B$40,IF(G1439&lt;26,'General Basis'!$B$41,IF(G1439&lt;31,'General Basis'!$B$42,IF(G1439&lt;36,'General Basis'!$B$43,IF(G1439&lt;41,'General Basis'!$B$44,IF(G1439&lt;46,'General Basis'!$B$45,IF(G1439&lt;51,'General Basis'!$B$46,IF(G1439&lt;56,'General Basis'!$B$47,IF(G1439&lt;60,'General Basis'!$B$48,IF(G1439&lt;65,'General Basis'!$B$49,'General Basis'!$B$50)))))))))))))</f>
        <v/>
      </c>
      <c r="BI1439" s="744" t="str">
        <f t="shared" si="511"/>
        <v/>
      </c>
      <c r="BJ1439" s="747" t="str">
        <f t="shared" si="518"/>
        <v/>
      </c>
      <c r="BK1439" s="498" t="str">
        <f t="shared" si="512"/>
        <v/>
      </c>
      <c r="BL1439" s="498" t="str">
        <f t="shared" si="513"/>
        <v/>
      </c>
    </row>
    <row r="1440" spans="1:64" x14ac:dyDescent="0.25">
      <c r="A1440" s="762">
        <f t="shared" si="514"/>
        <v>1435</v>
      </c>
      <c r="B1440" s="229"/>
      <c r="C1440" s="223"/>
      <c r="D1440" s="224"/>
      <c r="E1440" s="225"/>
      <c r="F1440" s="1036" t="str">
        <f t="shared" si="520"/>
        <v/>
      </c>
      <c r="G1440" s="1037" t="str">
        <f t="shared" si="515"/>
        <v/>
      </c>
      <c r="H1440" s="225"/>
      <c r="I1440" s="1013"/>
      <c r="J1440" s="1013"/>
      <c r="K1440" s="1028"/>
      <c r="L1440" s="1035" t="str">
        <f t="shared" si="519"/>
        <v/>
      </c>
      <c r="S1440" s="498"/>
      <c r="AJ1440" s="498"/>
      <c r="AM1440" s="498">
        <f t="shared" si="500"/>
        <v>0</v>
      </c>
      <c r="AN1440" s="498">
        <f t="shared" si="501"/>
        <v>0</v>
      </c>
      <c r="AO1440" s="498">
        <f t="shared" si="502"/>
        <v>0</v>
      </c>
      <c r="AP1440" s="498">
        <f t="shared" si="521"/>
        <v>0</v>
      </c>
      <c r="AQ1440" s="498">
        <f t="shared" si="516"/>
        <v>0</v>
      </c>
      <c r="AU1440" s="498">
        <f t="shared" si="503"/>
        <v>0</v>
      </c>
      <c r="AV1440" s="498">
        <f t="shared" si="504"/>
        <v>0</v>
      </c>
      <c r="AW1440" s="498">
        <f t="shared" si="505"/>
        <v>0</v>
      </c>
      <c r="AX1440" s="498">
        <f t="shared" si="506"/>
        <v>0</v>
      </c>
      <c r="AY1440" s="498">
        <f t="shared" si="507"/>
        <v>0</v>
      </c>
      <c r="BB1440" s="498" t="str">
        <f t="shared" si="508"/>
        <v/>
      </c>
      <c r="BC1440" s="743" t="str">
        <f t="shared" si="509"/>
        <v/>
      </c>
      <c r="BD1440" s="743" t="str">
        <f t="shared" si="510"/>
        <v/>
      </c>
      <c r="BE1440" s="743" t="str">
        <f>IF(D1440="","",VLOOKUP(D1440,'General Basis'!$J$39:$K$46,2,0))</f>
        <v/>
      </c>
      <c r="BF1440" s="744" t="str">
        <f>IF(D1440="","",VLOOKUP(D1440,'General Basis'!$J$39:$L$46,3,0))</f>
        <v/>
      </c>
      <c r="BG1440" s="744" t="str">
        <f t="shared" si="517"/>
        <v/>
      </c>
      <c r="BH1440" s="744" t="str">
        <f>IF(G1440="","",IF(BF1440="Abu Dhabi",IF(G1440&lt;18,'General Basis'!$C$39,IF(G1440&lt;41,'General Basis'!$C$40,IF(G1440&lt;60,'General Basis'!$C$41,IF(G1440&lt;65,'General Basis'!$C$42,'General Basis'!$C$43)))),IF(G1440&lt;11,'General Basis'!$B$39,IF(G1440&lt;18,'General Basis'!$B$40,IF(G1440&lt;26,'General Basis'!$B$41,IF(G1440&lt;31,'General Basis'!$B$42,IF(G1440&lt;36,'General Basis'!$B$43,IF(G1440&lt;41,'General Basis'!$B$44,IF(G1440&lt;46,'General Basis'!$B$45,IF(G1440&lt;51,'General Basis'!$B$46,IF(G1440&lt;56,'General Basis'!$B$47,IF(G1440&lt;60,'General Basis'!$B$48,IF(G1440&lt;65,'General Basis'!$B$49,'General Basis'!$B$50)))))))))))))</f>
        <v/>
      </c>
      <c r="BI1440" s="744" t="str">
        <f t="shared" si="511"/>
        <v/>
      </c>
      <c r="BJ1440" s="747" t="str">
        <f t="shared" si="518"/>
        <v/>
      </c>
      <c r="BK1440" s="498" t="str">
        <f t="shared" si="512"/>
        <v/>
      </c>
      <c r="BL1440" s="498" t="str">
        <f t="shared" si="513"/>
        <v/>
      </c>
    </row>
    <row r="1441" spans="1:64" x14ac:dyDescent="0.25">
      <c r="A1441" s="762">
        <f t="shared" si="514"/>
        <v>1436</v>
      </c>
      <c r="B1441" s="229"/>
      <c r="C1441" s="223"/>
      <c r="D1441" s="224"/>
      <c r="E1441" s="225"/>
      <c r="F1441" s="1036" t="str">
        <f t="shared" si="520"/>
        <v/>
      </c>
      <c r="G1441" s="1037" t="str">
        <f t="shared" si="515"/>
        <v/>
      </c>
      <c r="H1441" s="225"/>
      <c r="I1441" s="1013"/>
      <c r="J1441" s="1013"/>
      <c r="K1441" s="1028"/>
      <c r="L1441" s="1035" t="str">
        <f t="shared" si="519"/>
        <v/>
      </c>
      <c r="S1441" s="498"/>
      <c r="AJ1441" s="498"/>
      <c r="AM1441" s="498">
        <f t="shared" si="500"/>
        <v>0</v>
      </c>
      <c r="AN1441" s="498">
        <f t="shared" si="501"/>
        <v>0</v>
      </c>
      <c r="AO1441" s="498">
        <f t="shared" si="502"/>
        <v>0</v>
      </c>
      <c r="AP1441" s="498">
        <f t="shared" si="521"/>
        <v>0</v>
      </c>
      <c r="AQ1441" s="498">
        <f t="shared" si="516"/>
        <v>0</v>
      </c>
      <c r="AU1441" s="498">
        <f t="shared" si="503"/>
        <v>0</v>
      </c>
      <c r="AV1441" s="498">
        <f t="shared" si="504"/>
        <v>0</v>
      </c>
      <c r="AW1441" s="498">
        <f t="shared" si="505"/>
        <v>0</v>
      </c>
      <c r="AX1441" s="498">
        <f t="shared" si="506"/>
        <v>0</v>
      </c>
      <c r="AY1441" s="498">
        <f t="shared" si="507"/>
        <v>0</v>
      </c>
      <c r="BB1441" s="498" t="str">
        <f t="shared" si="508"/>
        <v/>
      </c>
      <c r="BC1441" s="743" t="str">
        <f t="shared" si="509"/>
        <v/>
      </c>
      <c r="BD1441" s="743" t="str">
        <f t="shared" si="510"/>
        <v/>
      </c>
      <c r="BE1441" s="743" t="str">
        <f>IF(D1441="","",VLOOKUP(D1441,'General Basis'!$J$39:$K$46,2,0))</f>
        <v/>
      </c>
      <c r="BF1441" s="744" t="str">
        <f>IF(D1441="","",VLOOKUP(D1441,'General Basis'!$J$39:$L$46,3,0))</f>
        <v/>
      </c>
      <c r="BG1441" s="744" t="str">
        <f t="shared" si="517"/>
        <v/>
      </c>
      <c r="BH1441" s="744" t="str">
        <f>IF(G1441="","",IF(BF1441="Abu Dhabi",IF(G1441&lt;18,'General Basis'!$C$39,IF(G1441&lt;41,'General Basis'!$C$40,IF(G1441&lt;60,'General Basis'!$C$41,IF(G1441&lt;65,'General Basis'!$C$42,'General Basis'!$C$43)))),IF(G1441&lt;11,'General Basis'!$B$39,IF(G1441&lt;18,'General Basis'!$B$40,IF(G1441&lt;26,'General Basis'!$B$41,IF(G1441&lt;31,'General Basis'!$B$42,IF(G1441&lt;36,'General Basis'!$B$43,IF(G1441&lt;41,'General Basis'!$B$44,IF(G1441&lt;46,'General Basis'!$B$45,IF(G1441&lt;51,'General Basis'!$B$46,IF(G1441&lt;56,'General Basis'!$B$47,IF(G1441&lt;60,'General Basis'!$B$48,IF(G1441&lt;65,'General Basis'!$B$49,'General Basis'!$B$50)))))))))))))</f>
        <v/>
      </c>
      <c r="BI1441" s="744" t="str">
        <f t="shared" si="511"/>
        <v/>
      </c>
      <c r="BJ1441" s="747" t="str">
        <f t="shared" si="518"/>
        <v/>
      </c>
      <c r="BK1441" s="498" t="str">
        <f t="shared" si="512"/>
        <v/>
      </c>
      <c r="BL1441" s="498" t="str">
        <f t="shared" si="513"/>
        <v/>
      </c>
    </row>
    <row r="1442" spans="1:64" x14ac:dyDescent="0.25">
      <c r="A1442" s="762">
        <f t="shared" si="514"/>
        <v>1437</v>
      </c>
      <c r="B1442" s="229"/>
      <c r="C1442" s="223"/>
      <c r="D1442" s="224"/>
      <c r="E1442" s="225"/>
      <c r="F1442" s="1036" t="str">
        <f t="shared" si="520"/>
        <v/>
      </c>
      <c r="G1442" s="1037" t="str">
        <f t="shared" si="515"/>
        <v/>
      </c>
      <c r="H1442" s="225"/>
      <c r="I1442" s="1013"/>
      <c r="J1442" s="1013"/>
      <c r="K1442" s="1028"/>
      <c r="L1442" s="1035" t="str">
        <f t="shared" si="519"/>
        <v/>
      </c>
      <c r="S1442" s="498"/>
      <c r="AJ1442" s="498"/>
      <c r="AM1442" s="498">
        <f t="shared" si="500"/>
        <v>0</v>
      </c>
      <c r="AN1442" s="498">
        <f t="shared" si="501"/>
        <v>0</v>
      </c>
      <c r="AO1442" s="498">
        <f t="shared" si="502"/>
        <v>0</v>
      </c>
      <c r="AP1442" s="498">
        <f t="shared" si="521"/>
        <v>0</v>
      </c>
      <c r="AQ1442" s="498">
        <f t="shared" si="516"/>
        <v>0</v>
      </c>
      <c r="AU1442" s="498">
        <f t="shared" si="503"/>
        <v>0</v>
      </c>
      <c r="AV1442" s="498">
        <f t="shared" si="504"/>
        <v>0</v>
      </c>
      <c r="AW1442" s="498">
        <f t="shared" si="505"/>
        <v>0</v>
      </c>
      <c r="AX1442" s="498">
        <f t="shared" si="506"/>
        <v>0</v>
      </c>
      <c r="AY1442" s="498">
        <f t="shared" si="507"/>
        <v>0</v>
      </c>
      <c r="BB1442" s="498" t="str">
        <f t="shared" si="508"/>
        <v/>
      </c>
      <c r="BC1442" s="743" t="str">
        <f t="shared" si="509"/>
        <v/>
      </c>
      <c r="BD1442" s="743" t="str">
        <f t="shared" si="510"/>
        <v/>
      </c>
      <c r="BE1442" s="743" t="str">
        <f>IF(D1442="","",VLOOKUP(D1442,'General Basis'!$J$39:$K$46,2,0))</f>
        <v/>
      </c>
      <c r="BF1442" s="744" t="str">
        <f>IF(D1442="","",VLOOKUP(D1442,'General Basis'!$J$39:$L$46,3,0))</f>
        <v/>
      </c>
      <c r="BG1442" s="744" t="str">
        <f t="shared" si="517"/>
        <v/>
      </c>
      <c r="BH1442" s="744" t="str">
        <f>IF(G1442="","",IF(BF1442="Abu Dhabi",IF(G1442&lt;18,'General Basis'!$C$39,IF(G1442&lt;41,'General Basis'!$C$40,IF(G1442&lt;60,'General Basis'!$C$41,IF(G1442&lt;65,'General Basis'!$C$42,'General Basis'!$C$43)))),IF(G1442&lt;11,'General Basis'!$B$39,IF(G1442&lt;18,'General Basis'!$B$40,IF(G1442&lt;26,'General Basis'!$B$41,IF(G1442&lt;31,'General Basis'!$B$42,IF(G1442&lt;36,'General Basis'!$B$43,IF(G1442&lt;41,'General Basis'!$B$44,IF(G1442&lt;46,'General Basis'!$B$45,IF(G1442&lt;51,'General Basis'!$B$46,IF(G1442&lt;56,'General Basis'!$B$47,IF(G1442&lt;60,'General Basis'!$B$48,IF(G1442&lt;65,'General Basis'!$B$49,'General Basis'!$B$50)))))))))))))</f>
        <v/>
      </c>
      <c r="BI1442" s="744" t="str">
        <f t="shared" si="511"/>
        <v/>
      </c>
      <c r="BJ1442" s="747" t="str">
        <f t="shared" si="518"/>
        <v/>
      </c>
      <c r="BK1442" s="498" t="str">
        <f t="shared" si="512"/>
        <v/>
      </c>
      <c r="BL1442" s="498" t="str">
        <f t="shared" si="513"/>
        <v/>
      </c>
    </row>
    <row r="1443" spans="1:64" x14ac:dyDescent="0.25">
      <c r="A1443" s="762">
        <f t="shared" si="514"/>
        <v>1438</v>
      </c>
      <c r="B1443" s="229"/>
      <c r="C1443" s="223"/>
      <c r="D1443" s="224"/>
      <c r="E1443" s="225"/>
      <c r="F1443" s="1036" t="str">
        <f t="shared" si="520"/>
        <v/>
      </c>
      <c r="G1443" s="1037" t="str">
        <f t="shared" si="515"/>
        <v/>
      </c>
      <c r="H1443" s="225"/>
      <c r="I1443" s="1013"/>
      <c r="J1443" s="1013"/>
      <c r="K1443" s="1028"/>
      <c r="L1443" s="1035" t="str">
        <f t="shared" si="519"/>
        <v/>
      </c>
      <c r="S1443" s="498"/>
      <c r="AJ1443" s="498"/>
      <c r="AM1443" s="498">
        <f t="shared" si="500"/>
        <v>0</v>
      </c>
      <c r="AN1443" s="498">
        <f t="shared" si="501"/>
        <v>0</v>
      </c>
      <c r="AO1443" s="498">
        <f t="shared" si="502"/>
        <v>0</v>
      </c>
      <c r="AP1443" s="498">
        <f t="shared" si="521"/>
        <v>0</v>
      </c>
      <c r="AQ1443" s="498">
        <f t="shared" si="516"/>
        <v>0</v>
      </c>
      <c r="AU1443" s="498">
        <f t="shared" si="503"/>
        <v>0</v>
      </c>
      <c r="AV1443" s="498">
        <f t="shared" si="504"/>
        <v>0</v>
      </c>
      <c r="AW1443" s="498">
        <f t="shared" si="505"/>
        <v>0</v>
      </c>
      <c r="AX1443" s="498">
        <f t="shared" si="506"/>
        <v>0</v>
      </c>
      <c r="AY1443" s="498">
        <f t="shared" si="507"/>
        <v>0</v>
      </c>
      <c r="BB1443" s="498" t="str">
        <f t="shared" si="508"/>
        <v/>
      </c>
      <c r="BC1443" s="743" t="str">
        <f t="shared" si="509"/>
        <v/>
      </c>
      <c r="BD1443" s="743" t="str">
        <f t="shared" si="510"/>
        <v/>
      </c>
      <c r="BE1443" s="743" t="str">
        <f>IF(D1443="","",VLOOKUP(D1443,'General Basis'!$J$39:$K$46,2,0))</f>
        <v/>
      </c>
      <c r="BF1443" s="744" t="str">
        <f>IF(D1443="","",VLOOKUP(D1443,'General Basis'!$J$39:$L$46,3,0))</f>
        <v/>
      </c>
      <c r="BG1443" s="744" t="str">
        <f t="shared" si="517"/>
        <v/>
      </c>
      <c r="BH1443" s="744" t="str">
        <f>IF(G1443="","",IF(BF1443="Abu Dhabi",IF(G1443&lt;18,'General Basis'!$C$39,IF(G1443&lt;41,'General Basis'!$C$40,IF(G1443&lt;60,'General Basis'!$C$41,IF(G1443&lt;65,'General Basis'!$C$42,'General Basis'!$C$43)))),IF(G1443&lt;11,'General Basis'!$B$39,IF(G1443&lt;18,'General Basis'!$B$40,IF(G1443&lt;26,'General Basis'!$B$41,IF(G1443&lt;31,'General Basis'!$B$42,IF(G1443&lt;36,'General Basis'!$B$43,IF(G1443&lt;41,'General Basis'!$B$44,IF(G1443&lt;46,'General Basis'!$B$45,IF(G1443&lt;51,'General Basis'!$B$46,IF(G1443&lt;56,'General Basis'!$B$47,IF(G1443&lt;60,'General Basis'!$B$48,IF(G1443&lt;65,'General Basis'!$B$49,'General Basis'!$B$50)))))))))))))</f>
        <v/>
      </c>
      <c r="BI1443" s="744" t="str">
        <f t="shared" si="511"/>
        <v/>
      </c>
      <c r="BJ1443" s="747" t="str">
        <f t="shared" si="518"/>
        <v/>
      </c>
      <c r="BK1443" s="498" t="str">
        <f t="shared" si="512"/>
        <v/>
      </c>
      <c r="BL1443" s="498" t="str">
        <f t="shared" si="513"/>
        <v/>
      </c>
    </row>
    <row r="1444" spans="1:64" x14ac:dyDescent="0.25">
      <c r="A1444" s="762">
        <f t="shared" si="514"/>
        <v>1439</v>
      </c>
      <c r="B1444" s="229"/>
      <c r="C1444" s="223"/>
      <c r="D1444" s="224"/>
      <c r="E1444" s="225"/>
      <c r="F1444" s="1036" t="str">
        <f t="shared" si="520"/>
        <v/>
      </c>
      <c r="G1444" s="1037" t="str">
        <f t="shared" si="515"/>
        <v/>
      </c>
      <c r="H1444" s="225"/>
      <c r="I1444" s="1013"/>
      <c r="J1444" s="1013"/>
      <c r="K1444" s="1028"/>
      <c r="L1444" s="1035" t="str">
        <f t="shared" si="519"/>
        <v/>
      </c>
      <c r="S1444" s="498"/>
      <c r="AJ1444" s="498"/>
      <c r="AM1444" s="498">
        <f t="shared" si="500"/>
        <v>0</v>
      </c>
      <c r="AN1444" s="498">
        <f t="shared" si="501"/>
        <v>0</v>
      </c>
      <c r="AO1444" s="498">
        <f t="shared" si="502"/>
        <v>0</v>
      </c>
      <c r="AP1444" s="498">
        <f t="shared" si="521"/>
        <v>0</v>
      </c>
      <c r="AQ1444" s="498">
        <f t="shared" si="516"/>
        <v>0</v>
      </c>
      <c r="AU1444" s="498">
        <f t="shared" si="503"/>
        <v>0</v>
      </c>
      <c r="AV1444" s="498">
        <f t="shared" si="504"/>
        <v>0</v>
      </c>
      <c r="AW1444" s="498">
        <f t="shared" si="505"/>
        <v>0</v>
      </c>
      <c r="AX1444" s="498">
        <f t="shared" si="506"/>
        <v>0</v>
      </c>
      <c r="AY1444" s="498">
        <f t="shared" si="507"/>
        <v>0</v>
      </c>
      <c r="BB1444" s="498" t="str">
        <f t="shared" si="508"/>
        <v/>
      </c>
      <c r="BC1444" s="743" t="str">
        <f t="shared" si="509"/>
        <v/>
      </c>
      <c r="BD1444" s="743" t="str">
        <f t="shared" si="510"/>
        <v/>
      </c>
      <c r="BE1444" s="743" t="str">
        <f>IF(D1444="","",VLOOKUP(D1444,'General Basis'!$J$39:$K$46,2,0))</f>
        <v/>
      </c>
      <c r="BF1444" s="744" t="str">
        <f>IF(D1444="","",VLOOKUP(D1444,'General Basis'!$J$39:$L$46,3,0))</f>
        <v/>
      </c>
      <c r="BG1444" s="744" t="str">
        <f t="shared" si="517"/>
        <v/>
      </c>
      <c r="BH1444" s="744" t="str">
        <f>IF(G1444="","",IF(BF1444="Abu Dhabi",IF(G1444&lt;18,'General Basis'!$C$39,IF(G1444&lt;41,'General Basis'!$C$40,IF(G1444&lt;60,'General Basis'!$C$41,IF(G1444&lt;65,'General Basis'!$C$42,'General Basis'!$C$43)))),IF(G1444&lt;11,'General Basis'!$B$39,IF(G1444&lt;18,'General Basis'!$B$40,IF(G1444&lt;26,'General Basis'!$B$41,IF(G1444&lt;31,'General Basis'!$B$42,IF(G1444&lt;36,'General Basis'!$B$43,IF(G1444&lt;41,'General Basis'!$B$44,IF(G1444&lt;46,'General Basis'!$B$45,IF(G1444&lt;51,'General Basis'!$B$46,IF(G1444&lt;56,'General Basis'!$B$47,IF(G1444&lt;60,'General Basis'!$B$48,IF(G1444&lt;65,'General Basis'!$B$49,'General Basis'!$B$50)))))))))))))</f>
        <v/>
      </c>
      <c r="BI1444" s="744" t="str">
        <f t="shared" si="511"/>
        <v/>
      </c>
      <c r="BJ1444" s="747" t="str">
        <f t="shared" si="518"/>
        <v/>
      </c>
      <c r="BK1444" s="498" t="str">
        <f t="shared" si="512"/>
        <v/>
      </c>
      <c r="BL1444" s="498" t="str">
        <f t="shared" si="513"/>
        <v/>
      </c>
    </row>
    <row r="1445" spans="1:64" x14ac:dyDescent="0.25">
      <c r="A1445" s="762">
        <f t="shared" si="514"/>
        <v>1440</v>
      </c>
      <c r="B1445" s="229"/>
      <c r="C1445" s="223"/>
      <c r="D1445" s="224"/>
      <c r="E1445" s="225"/>
      <c r="F1445" s="1036" t="str">
        <f t="shared" si="520"/>
        <v/>
      </c>
      <c r="G1445" s="1037" t="str">
        <f t="shared" si="515"/>
        <v/>
      </c>
      <c r="H1445" s="225"/>
      <c r="I1445" s="1013"/>
      <c r="J1445" s="1013"/>
      <c r="K1445" s="1028"/>
      <c r="L1445" s="1035" t="str">
        <f t="shared" si="519"/>
        <v/>
      </c>
      <c r="S1445" s="498"/>
      <c r="AJ1445" s="498"/>
      <c r="AM1445" s="498">
        <f t="shared" si="500"/>
        <v>0</v>
      </c>
      <c r="AN1445" s="498">
        <f t="shared" si="501"/>
        <v>0</v>
      </c>
      <c r="AO1445" s="498">
        <f t="shared" si="502"/>
        <v>0</v>
      </c>
      <c r="AP1445" s="498">
        <f t="shared" si="521"/>
        <v>0</v>
      </c>
      <c r="AQ1445" s="498">
        <f t="shared" si="516"/>
        <v>0</v>
      </c>
      <c r="AU1445" s="498">
        <f t="shared" si="503"/>
        <v>0</v>
      </c>
      <c r="AV1445" s="498">
        <f t="shared" si="504"/>
        <v>0</v>
      </c>
      <c r="AW1445" s="498">
        <f t="shared" si="505"/>
        <v>0</v>
      </c>
      <c r="AX1445" s="498">
        <f t="shared" si="506"/>
        <v>0</v>
      </c>
      <c r="AY1445" s="498">
        <f t="shared" si="507"/>
        <v>0</v>
      </c>
      <c r="BB1445" s="498" t="str">
        <f t="shared" si="508"/>
        <v/>
      </c>
      <c r="BC1445" s="743" t="str">
        <f t="shared" si="509"/>
        <v/>
      </c>
      <c r="BD1445" s="743" t="str">
        <f t="shared" si="510"/>
        <v/>
      </c>
      <c r="BE1445" s="743" t="str">
        <f>IF(D1445="","",VLOOKUP(D1445,'General Basis'!$J$39:$K$46,2,0))</f>
        <v/>
      </c>
      <c r="BF1445" s="744" t="str">
        <f>IF(D1445="","",VLOOKUP(D1445,'General Basis'!$J$39:$L$46,3,0))</f>
        <v/>
      </c>
      <c r="BG1445" s="744" t="str">
        <f t="shared" si="517"/>
        <v/>
      </c>
      <c r="BH1445" s="744" t="str">
        <f>IF(G1445="","",IF(BF1445="Abu Dhabi",IF(G1445&lt;18,'General Basis'!$C$39,IF(G1445&lt;41,'General Basis'!$C$40,IF(G1445&lt;60,'General Basis'!$C$41,IF(G1445&lt;65,'General Basis'!$C$42,'General Basis'!$C$43)))),IF(G1445&lt;11,'General Basis'!$B$39,IF(G1445&lt;18,'General Basis'!$B$40,IF(G1445&lt;26,'General Basis'!$B$41,IF(G1445&lt;31,'General Basis'!$B$42,IF(G1445&lt;36,'General Basis'!$B$43,IF(G1445&lt;41,'General Basis'!$B$44,IF(G1445&lt;46,'General Basis'!$B$45,IF(G1445&lt;51,'General Basis'!$B$46,IF(G1445&lt;56,'General Basis'!$B$47,IF(G1445&lt;60,'General Basis'!$B$48,IF(G1445&lt;65,'General Basis'!$B$49,'General Basis'!$B$50)))))))))))))</f>
        <v/>
      </c>
      <c r="BI1445" s="744" t="str">
        <f t="shared" si="511"/>
        <v/>
      </c>
      <c r="BJ1445" s="747" t="str">
        <f t="shared" si="518"/>
        <v/>
      </c>
      <c r="BK1445" s="498" t="str">
        <f t="shared" si="512"/>
        <v/>
      </c>
      <c r="BL1445" s="498" t="str">
        <f t="shared" si="513"/>
        <v/>
      </c>
    </row>
    <row r="1446" spans="1:64" x14ac:dyDescent="0.25">
      <c r="A1446" s="762">
        <f t="shared" si="514"/>
        <v>1441</v>
      </c>
      <c r="B1446" s="229"/>
      <c r="C1446" s="223"/>
      <c r="D1446" s="224"/>
      <c r="E1446" s="225"/>
      <c r="F1446" s="1036" t="str">
        <f t="shared" si="520"/>
        <v/>
      </c>
      <c r="G1446" s="1037" t="str">
        <f t="shared" si="515"/>
        <v/>
      </c>
      <c r="H1446" s="225"/>
      <c r="I1446" s="1013"/>
      <c r="J1446" s="1013"/>
      <c r="K1446" s="1028"/>
      <c r="L1446" s="1035" t="str">
        <f t="shared" si="519"/>
        <v/>
      </c>
      <c r="S1446" s="498"/>
      <c r="AJ1446" s="498"/>
      <c r="AM1446" s="498">
        <f t="shared" si="500"/>
        <v>0</v>
      </c>
      <c r="AN1446" s="498">
        <f t="shared" si="501"/>
        <v>0</v>
      </c>
      <c r="AO1446" s="498">
        <f t="shared" si="502"/>
        <v>0</v>
      </c>
      <c r="AP1446" s="498">
        <f t="shared" si="521"/>
        <v>0</v>
      </c>
      <c r="AQ1446" s="498">
        <f t="shared" si="516"/>
        <v>0</v>
      </c>
      <c r="AU1446" s="498">
        <f t="shared" si="503"/>
        <v>0</v>
      </c>
      <c r="AV1446" s="498">
        <f t="shared" si="504"/>
        <v>0</v>
      </c>
      <c r="AW1446" s="498">
        <f t="shared" si="505"/>
        <v>0</v>
      </c>
      <c r="AX1446" s="498">
        <f t="shared" si="506"/>
        <v>0</v>
      </c>
      <c r="AY1446" s="498">
        <f t="shared" si="507"/>
        <v>0</v>
      </c>
      <c r="BB1446" s="498" t="str">
        <f t="shared" si="508"/>
        <v/>
      </c>
      <c r="BC1446" s="743" t="str">
        <f t="shared" si="509"/>
        <v/>
      </c>
      <c r="BD1446" s="743" t="str">
        <f t="shared" si="510"/>
        <v/>
      </c>
      <c r="BE1446" s="743" t="str">
        <f>IF(D1446="","",VLOOKUP(D1446,'General Basis'!$J$39:$K$46,2,0))</f>
        <v/>
      </c>
      <c r="BF1446" s="744" t="str">
        <f>IF(D1446="","",VLOOKUP(D1446,'General Basis'!$J$39:$L$46,3,0))</f>
        <v/>
      </c>
      <c r="BG1446" s="744" t="str">
        <f t="shared" si="517"/>
        <v/>
      </c>
      <c r="BH1446" s="744" t="str">
        <f>IF(G1446="","",IF(BF1446="Abu Dhabi",IF(G1446&lt;18,'General Basis'!$C$39,IF(G1446&lt;41,'General Basis'!$C$40,IF(G1446&lt;60,'General Basis'!$C$41,IF(G1446&lt;65,'General Basis'!$C$42,'General Basis'!$C$43)))),IF(G1446&lt;11,'General Basis'!$B$39,IF(G1446&lt;18,'General Basis'!$B$40,IF(G1446&lt;26,'General Basis'!$B$41,IF(G1446&lt;31,'General Basis'!$B$42,IF(G1446&lt;36,'General Basis'!$B$43,IF(G1446&lt;41,'General Basis'!$B$44,IF(G1446&lt;46,'General Basis'!$B$45,IF(G1446&lt;51,'General Basis'!$B$46,IF(G1446&lt;56,'General Basis'!$B$47,IF(G1446&lt;60,'General Basis'!$B$48,IF(G1446&lt;65,'General Basis'!$B$49,'General Basis'!$B$50)))))))))))))</f>
        <v/>
      </c>
      <c r="BI1446" s="744" t="str">
        <f t="shared" si="511"/>
        <v/>
      </c>
      <c r="BJ1446" s="747" t="str">
        <f t="shared" si="518"/>
        <v/>
      </c>
      <c r="BK1446" s="498" t="str">
        <f t="shared" si="512"/>
        <v/>
      </c>
      <c r="BL1446" s="498" t="str">
        <f t="shared" si="513"/>
        <v/>
      </c>
    </row>
    <row r="1447" spans="1:64" x14ac:dyDescent="0.25">
      <c r="A1447" s="762">
        <f t="shared" si="514"/>
        <v>1442</v>
      </c>
      <c r="B1447" s="229"/>
      <c r="C1447" s="223"/>
      <c r="D1447" s="224"/>
      <c r="E1447" s="225"/>
      <c r="F1447" s="1036" t="str">
        <f t="shared" si="520"/>
        <v/>
      </c>
      <c r="G1447" s="1037" t="str">
        <f t="shared" si="515"/>
        <v/>
      </c>
      <c r="H1447" s="225"/>
      <c r="I1447" s="1013"/>
      <c r="J1447" s="1013"/>
      <c r="K1447" s="1028"/>
      <c r="L1447" s="1035" t="str">
        <f t="shared" si="519"/>
        <v/>
      </c>
      <c r="S1447" s="498"/>
      <c r="AJ1447" s="498"/>
      <c r="AM1447" s="498">
        <f t="shared" si="500"/>
        <v>0</v>
      </c>
      <c r="AN1447" s="498">
        <f t="shared" si="501"/>
        <v>0</v>
      </c>
      <c r="AO1447" s="498">
        <f t="shared" si="502"/>
        <v>0</v>
      </c>
      <c r="AP1447" s="498">
        <f t="shared" si="521"/>
        <v>0</v>
      </c>
      <c r="AQ1447" s="498">
        <f t="shared" si="516"/>
        <v>0</v>
      </c>
      <c r="AU1447" s="498">
        <f t="shared" si="503"/>
        <v>0</v>
      </c>
      <c r="AV1447" s="498">
        <f t="shared" si="504"/>
        <v>0</v>
      </c>
      <c r="AW1447" s="498">
        <f t="shared" si="505"/>
        <v>0</v>
      </c>
      <c r="AX1447" s="498">
        <f t="shared" si="506"/>
        <v>0</v>
      </c>
      <c r="AY1447" s="498">
        <f t="shared" si="507"/>
        <v>0</v>
      </c>
      <c r="BB1447" s="498" t="str">
        <f t="shared" si="508"/>
        <v/>
      </c>
      <c r="BC1447" s="743" t="str">
        <f t="shared" si="509"/>
        <v/>
      </c>
      <c r="BD1447" s="743" t="str">
        <f t="shared" si="510"/>
        <v/>
      </c>
      <c r="BE1447" s="743" t="str">
        <f>IF(D1447="","",VLOOKUP(D1447,'General Basis'!$J$39:$K$46,2,0))</f>
        <v/>
      </c>
      <c r="BF1447" s="744" t="str">
        <f>IF(D1447="","",VLOOKUP(D1447,'General Basis'!$J$39:$L$46,3,0))</f>
        <v/>
      </c>
      <c r="BG1447" s="744" t="str">
        <f t="shared" si="517"/>
        <v/>
      </c>
      <c r="BH1447" s="744" t="str">
        <f>IF(G1447="","",IF(BF1447="Abu Dhabi",IF(G1447&lt;18,'General Basis'!$C$39,IF(G1447&lt;41,'General Basis'!$C$40,IF(G1447&lt;60,'General Basis'!$C$41,IF(G1447&lt;65,'General Basis'!$C$42,'General Basis'!$C$43)))),IF(G1447&lt;11,'General Basis'!$B$39,IF(G1447&lt;18,'General Basis'!$B$40,IF(G1447&lt;26,'General Basis'!$B$41,IF(G1447&lt;31,'General Basis'!$B$42,IF(G1447&lt;36,'General Basis'!$B$43,IF(G1447&lt;41,'General Basis'!$B$44,IF(G1447&lt;46,'General Basis'!$B$45,IF(G1447&lt;51,'General Basis'!$B$46,IF(G1447&lt;56,'General Basis'!$B$47,IF(G1447&lt;60,'General Basis'!$B$48,IF(G1447&lt;65,'General Basis'!$B$49,'General Basis'!$B$50)))))))))))))</f>
        <v/>
      </c>
      <c r="BI1447" s="744" t="str">
        <f t="shared" si="511"/>
        <v/>
      </c>
      <c r="BJ1447" s="747" t="str">
        <f t="shared" si="518"/>
        <v/>
      </c>
      <c r="BK1447" s="498" t="str">
        <f t="shared" si="512"/>
        <v/>
      </c>
      <c r="BL1447" s="498" t="str">
        <f t="shared" si="513"/>
        <v/>
      </c>
    </row>
    <row r="1448" spans="1:64" x14ac:dyDescent="0.25">
      <c r="A1448" s="762">
        <f t="shared" si="514"/>
        <v>1443</v>
      </c>
      <c r="B1448" s="229"/>
      <c r="C1448" s="223"/>
      <c r="D1448" s="224"/>
      <c r="E1448" s="225"/>
      <c r="F1448" s="1036" t="str">
        <f t="shared" si="520"/>
        <v/>
      </c>
      <c r="G1448" s="1037" t="str">
        <f t="shared" si="515"/>
        <v/>
      </c>
      <c r="H1448" s="225"/>
      <c r="I1448" s="1013"/>
      <c r="J1448" s="1013"/>
      <c r="K1448" s="1028"/>
      <c r="L1448" s="1035" t="str">
        <f t="shared" si="519"/>
        <v/>
      </c>
      <c r="S1448" s="498"/>
      <c r="AJ1448" s="498"/>
      <c r="AM1448" s="498">
        <f t="shared" si="500"/>
        <v>0</v>
      </c>
      <c r="AN1448" s="498">
        <f t="shared" si="501"/>
        <v>0</v>
      </c>
      <c r="AO1448" s="498">
        <f t="shared" si="502"/>
        <v>0</v>
      </c>
      <c r="AP1448" s="498">
        <f t="shared" si="521"/>
        <v>0</v>
      </c>
      <c r="AQ1448" s="498">
        <f t="shared" si="516"/>
        <v>0</v>
      </c>
      <c r="AU1448" s="498">
        <f t="shared" si="503"/>
        <v>0</v>
      </c>
      <c r="AV1448" s="498">
        <f t="shared" si="504"/>
        <v>0</v>
      </c>
      <c r="AW1448" s="498">
        <f t="shared" si="505"/>
        <v>0</v>
      </c>
      <c r="AX1448" s="498">
        <f t="shared" si="506"/>
        <v>0</v>
      </c>
      <c r="AY1448" s="498">
        <f t="shared" si="507"/>
        <v>0</v>
      </c>
      <c r="BB1448" s="498" t="str">
        <f t="shared" si="508"/>
        <v/>
      </c>
      <c r="BC1448" s="743" t="str">
        <f t="shared" si="509"/>
        <v/>
      </c>
      <c r="BD1448" s="743" t="str">
        <f t="shared" si="510"/>
        <v/>
      </c>
      <c r="BE1448" s="743" t="str">
        <f>IF(D1448="","",VLOOKUP(D1448,'General Basis'!$J$39:$K$46,2,0))</f>
        <v/>
      </c>
      <c r="BF1448" s="744" t="str">
        <f>IF(D1448="","",VLOOKUP(D1448,'General Basis'!$J$39:$L$46,3,0))</f>
        <v/>
      </c>
      <c r="BG1448" s="744" t="str">
        <f t="shared" si="517"/>
        <v/>
      </c>
      <c r="BH1448" s="744" t="str">
        <f>IF(G1448="","",IF(BF1448="Abu Dhabi",IF(G1448&lt;18,'General Basis'!$C$39,IF(G1448&lt;41,'General Basis'!$C$40,IF(G1448&lt;60,'General Basis'!$C$41,IF(G1448&lt;65,'General Basis'!$C$42,'General Basis'!$C$43)))),IF(G1448&lt;11,'General Basis'!$B$39,IF(G1448&lt;18,'General Basis'!$B$40,IF(G1448&lt;26,'General Basis'!$B$41,IF(G1448&lt;31,'General Basis'!$B$42,IF(G1448&lt;36,'General Basis'!$B$43,IF(G1448&lt;41,'General Basis'!$B$44,IF(G1448&lt;46,'General Basis'!$B$45,IF(G1448&lt;51,'General Basis'!$B$46,IF(G1448&lt;56,'General Basis'!$B$47,IF(G1448&lt;60,'General Basis'!$B$48,IF(G1448&lt;65,'General Basis'!$B$49,'General Basis'!$B$50)))))))))))))</f>
        <v/>
      </c>
      <c r="BI1448" s="744" t="str">
        <f t="shared" si="511"/>
        <v/>
      </c>
      <c r="BJ1448" s="747" t="str">
        <f t="shared" si="518"/>
        <v/>
      </c>
      <c r="BK1448" s="498" t="str">
        <f t="shared" si="512"/>
        <v/>
      </c>
      <c r="BL1448" s="498" t="str">
        <f t="shared" si="513"/>
        <v/>
      </c>
    </row>
    <row r="1449" spans="1:64" x14ac:dyDescent="0.25">
      <c r="A1449" s="762">
        <f t="shared" si="514"/>
        <v>1444</v>
      </c>
      <c r="B1449" s="229"/>
      <c r="C1449" s="223"/>
      <c r="D1449" s="224"/>
      <c r="E1449" s="225"/>
      <c r="F1449" s="1036" t="str">
        <f t="shared" si="520"/>
        <v/>
      </c>
      <c r="G1449" s="1037" t="str">
        <f t="shared" si="515"/>
        <v/>
      </c>
      <c r="H1449" s="225"/>
      <c r="I1449" s="1013"/>
      <c r="J1449" s="1013"/>
      <c r="K1449" s="1028"/>
      <c r="L1449" s="1035" t="str">
        <f t="shared" si="519"/>
        <v/>
      </c>
      <c r="S1449" s="498"/>
      <c r="AJ1449" s="498"/>
      <c r="AM1449" s="498">
        <f t="shared" si="500"/>
        <v>0</v>
      </c>
      <c r="AN1449" s="498">
        <f t="shared" si="501"/>
        <v>0</v>
      </c>
      <c r="AO1449" s="498">
        <f t="shared" si="502"/>
        <v>0</v>
      </c>
      <c r="AP1449" s="498">
        <f t="shared" si="521"/>
        <v>0</v>
      </c>
      <c r="AQ1449" s="498">
        <f t="shared" si="516"/>
        <v>0</v>
      </c>
      <c r="AU1449" s="498">
        <f t="shared" si="503"/>
        <v>0</v>
      </c>
      <c r="AV1449" s="498">
        <f t="shared" si="504"/>
        <v>0</v>
      </c>
      <c r="AW1449" s="498">
        <f t="shared" si="505"/>
        <v>0</v>
      </c>
      <c r="AX1449" s="498">
        <f t="shared" si="506"/>
        <v>0</v>
      </c>
      <c r="AY1449" s="498">
        <f t="shared" si="507"/>
        <v>0</v>
      </c>
      <c r="BB1449" s="498" t="str">
        <f t="shared" si="508"/>
        <v/>
      </c>
      <c r="BC1449" s="743" t="str">
        <f t="shared" si="509"/>
        <v/>
      </c>
      <c r="BD1449" s="743" t="str">
        <f t="shared" si="510"/>
        <v/>
      </c>
      <c r="BE1449" s="743" t="str">
        <f>IF(D1449="","",VLOOKUP(D1449,'General Basis'!$J$39:$K$46,2,0))</f>
        <v/>
      </c>
      <c r="BF1449" s="744" t="str">
        <f>IF(D1449="","",VLOOKUP(D1449,'General Basis'!$J$39:$L$46,3,0))</f>
        <v/>
      </c>
      <c r="BG1449" s="744" t="str">
        <f t="shared" si="517"/>
        <v/>
      </c>
      <c r="BH1449" s="744" t="str">
        <f>IF(G1449="","",IF(BF1449="Abu Dhabi",IF(G1449&lt;18,'General Basis'!$C$39,IF(G1449&lt;41,'General Basis'!$C$40,IF(G1449&lt;60,'General Basis'!$C$41,IF(G1449&lt;65,'General Basis'!$C$42,'General Basis'!$C$43)))),IF(G1449&lt;11,'General Basis'!$B$39,IF(G1449&lt;18,'General Basis'!$B$40,IF(G1449&lt;26,'General Basis'!$B$41,IF(G1449&lt;31,'General Basis'!$B$42,IF(G1449&lt;36,'General Basis'!$B$43,IF(G1449&lt;41,'General Basis'!$B$44,IF(G1449&lt;46,'General Basis'!$B$45,IF(G1449&lt;51,'General Basis'!$B$46,IF(G1449&lt;56,'General Basis'!$B$47,IF(G1449&lt;60,'General Basis'!$B$48,IF(G1449&lt;65,'General Basis'!$B$49,'General Basis'!$B$50)))))))))))))</f>
        <v/>
      </c>
      <c r="BI1449" s="744" t="str">
        <f t="shared" si="511"/>
        <v/>
      </c>
      <c r="BJ1449" s="747" t="str">
        <f t="shared" si="518"/>
        <v/>
      </c>
      <c r="BK1449" s="498" t="str">
        <f t="shared" si="512"/>
        <v/>
      </c>
      <c r="BL1449" s="498" t="str">
        <f t="shared" si="513"/>
        <v/>
      </c>
    </row>
    <row r="1450" spans="1:64" x14ac:dyDescent="0.25">
      <c r="A1450" s="762">
        <f t="shared" si="514"/>
        <v>1445</v>
      </c>
      <c r="B1450" s="229"/>
      <c r="C1450" s="223"/>
      <c r="D1450" s="224"/>
      <c r="E1450" s="225"/>
      <c r="F1450" s="1036" t="str">
        <f t="shared" si="520"/>
        <v/>
      </c>
      <c r="G1450" s="1037" t="str">
        <f t="shared" si="515"/>
        <v/>
      </c>
      <c r="H1450" s="225"/>
      <c r="I1450" s="1013"/>
      <c r="J1450" s="1013"/>
      <c r="K1450" s="1028"/>
      <c r="L1450" s="1035" t="str">
        <f t="shared" si="519"/>
        <v/>
      </c>
      <c r="S1450" s="498"/>
      <c r="AJ1450" s="498"/>
      <c r="AM1450" s="498">
        <f t="shared" si="500"/>
        <v>0</v>
      </c>
      <c r="AN1450" s="498">
        <f t="shared" si="501"/>
        <v>0</v>
      </c>
      <c r="AO1450" s="498">
        <f t="shared" si="502"/>
        <v>0</v>
      </c>
      <c r="AP1450" s="498">
        <f t="shared" si="521"/>
        <v>0</v>
      </c>
      <c r="AQ1450" s="498">
        <f t="shared" si="516"/>
        <v>0</v>
      </c>
      <c r="AU1450" s="498">
        <f t="shared" si="503"/>
        <v>0</v>
      </c>
      <c r="AV1450" s="498">
        <f t="shared" si="504"/>
        <v>0</v>
      </c>
      <c r="AW1450" s="498">
        <f t="shared" si="505"/>
        <v>0</v>
      </c>
      <c r="AX1450" s="498">
        <f t="shared" si="506"/>
        <v>0</v>
      </c>
      <c r="AY1450" s="498">
        <f t="shared" si="507"/>
        <v>0</v>
      </c>
      <c r="BB1450" s="498" t="str">
        <f t="shared" si="508"/>
        <v/>
      </c>
      <c r="BC1450" s="743" t="str">
        <f t="shared" si="509"/>
        <v/>
      </c>
      <c r="BD1450" s="743" t="str">
        <f t="shared" si="510"/>
        <v/>
      </c>
      <c r="BE1450" s="743" t="str">
        <f>IF(D1450="","",VLOOKUP(D1450,'General Basis'!$J$39:$K$46,2,0))</f>
        <v/>
      </c>
      <c r="BF1450" s="744" t="str">
        <f>IF(D1450="","",VLOOKUP(D1450,'General Basis'!$J$39:$L$46,3,0))</f>
        <v/>
      </c>
      <c r="BG1450" s="744" t="str">
        <f t="shared" si="517"/>
        <v/>
      </c>
      <c r="BH1450" s="744" t="str">
        <f>IF(G1450="","",IF(BF1450="Abu Dhabi",IF(G1450&lt;18,'General Basis'!$C$39,IF(G1450&lt;41,'General Basis'!$C$40,IF(G1450&lt;60,'General Basis'!$C$41,IF(G1450&lt;65,'General Basis'!$C$42,'General Basis'!$C$43)))),IF(G1450&lt;11,'General Basis'!$B$39,IF(G1450&lt;18,'General Basis'!$B$40,IF(G1450&lt;26,'General Basis'!$B$41,IF(G1450&lt;31,'General Basis'!$B$42,IF(G1450&lt;36,'General Basis'!$B$43,IF(G1450&lt;41,'General Basis'!$B$44,IF(G1450&lt;46,'General Basis'!$B$45,IF(G1450&lt;51,'General Basis'!$B$46,IF(G1450&lt;56,'General Basis'!$B$47,IF(G1450&lt;60,'General Basis'!$B$48,IF(G1450&lt;65,'General Basis'!$B$49,'General Basis'!$B$50)))))))))))))</f>
        <v/>
      </c>
      <c r="BI1450" s="744" t="str">
        <f t="shared" si="511"/>
        <v/>
      </c>
      <c r="BJ1450" s="747" t="str">
        <f t="shared" si="518"/>
        <v/>
      </c>
      <c r="BK1450" s="498" t="str">
        <f t="shared" si="512"/>
        <v/>
      </c>
      <c r="BL1450" s="498" t="str">
        <f t="shared" si="513"/>
        <v/>
      </c>
    </row>
    <row r="1451" spans="1:64" x14ac:dyDescent="0.25">
      <c r="A1451" s="762">
        <f t="shared" si="514"/>
        <v>1446</v>
      </c>
      <c r="B1451" s="229"/>
      <c r="C1451" s="223"/>
      <c r="D1451" s="224"/>
      <c r="E1451" s="225"/>
      <c r="F1451" s="1036" t="str">
        <f t="shared" si="520"/>
        <v/>
      </c>
      <c r="G1451" s="1037" t="str">
        <f t="shared" si="515"/>
        <v/>
      </c>
      <c r="H1451" s="225"/>
      <c r="I1451" s="1013"/>
      <c r="J1451" s="1013"/>
      <c r="K1451" s="1028"/>
      <c r="L1451" s="1035" t="str">
        <f t="shared" si="519"/>
        <v/>
      </c>
      <c r="S1451" s="498"/>
      <c r="AJ1451" s="498"/>
      <c r="AM1451" s="498">
        <f t="shared" si="500"/>
        <v>0</v>
      </c>
      <c r="AN1451" s="498">
        <f t="shared" si="501"/>
        <v>0</v>
      </c>
      <c r="AO1451" s="498">
        <f t="shared" si="502"/>
        <v>0</v>
      </c>
      <c r="AP1451" s="498">
        <f t="shared" si="521"/>
        <v>0</v>
      </c>
      <c r="AQ1451" s="498">
        <f t="shared" si="516"/>
        <v>0</v>
      </c>
      <c r="AU1451" s="498">
        <f t="shared" si="503"/>
        <v>0</v>
      </c>
      <c r="AV1451" s="498">
        <f t="shared" si="504"/>
        <v>0</v>
      </c>
      <c r="AW1451" s="498">
        <f t="shared" si="505"/>
        <v>0</v>
      </c>
      <c r="AX1451" s="498">
        <f t="shared" si="506"/>
        <v>0</v>
      </c>
      <c r="AY1451" s="498">
        <f t="shared" si="507"/>
        <v>0</v>
      </c>
      <c r="BB1451" s="498" t="str">
        <f t="shared" si="508"/>
        <v/>
      </c>
      <c r="BC1451" s="743" t="str">
        <f t="shared" si="509"/>
        <v/>
      </c>
      <c r="BD1451" s="743" t="str">
        <f t="shared" si="510"/>
        <v/>
      </c>
      <c r="BE1451" s="743" t="str">
        <f>IF(D1451="","",VLOOKUP(D1451,'General Basis'!$J$39:$K$46,2,0))</f>
        <v/>
      </c>
      <c r="BF1451" s="744" t="str">
        <f>IF(D1451="","",VLOOKUP(D1451,'General Basis'!$J$39:$L$46,3,0))</f>
        <v/>
      </c>
      <c r="BG1451" s="744" t="str">
        <f t="shared" si="517"/>
        <v/>
      </c>
      <c r="BH1451" s="744" t="str">
        <f>IF(G1451="","",IF(BF1451="Abu Dhabi",IF(G1451&lt;18,'General Basis'!$C$39,IF(G1451&lt;41,'General Basis'!$C$40,IF(G1451&lt;60,'General Basis'!$C$41,IF(G1451&lt;65,'General Basis'!$C$42,'General Basis'!$C$43)))),IF(G1451&lt;11,'General Basis'!$B$39,IF(G1451&lt;18,'General Basis'!$B$40,IF(G1451&lt;26,'General Basis'!$B$41,IF(G1451&lt;31,'General Basis'!$B$42,IF(G1451&lt;36,'General Basis'!$B$43,IF(G1451&lt;41,'General Basis'!$B$44,IF(G1451&lt;46,'General Basis'!$B$45,IF(G1451&lt;51,'General Basis'!$B$46,IF(G1451&lt;56,'General Basis'!$B$47,IF(G1451&lt;60,'General Basis'!$B$48,IF(G1451&lt;65,'General Basis'!$B$49,'General Basis'!$B$50)))))))))))))</f>
        <v/>
      </c>
      <c r="BI1451" s="744" t="str">
        <f t="shared" si="511"/>
        <v/>
      </c>
      <c r="BJ1451" s="747" t="str">
        <f t="shared" si="518"/>
        <v/>
      </c>
      <c r="BK1451" s="498" t="str">
        <f t="shared" si="512"/>
        <v/>
      </c>
      <c r="BL1451" s="498" t="str">
        <f t="shared" si="513"/>
        <v/>
      </c>
    </row>
    <row r="1452" spans="1:64" x14ac:dyDescent="0.25">
      <c r="A1452" s="762">
        <f t="shared" si="514"/>
        <v>1447</v>
      </c>
      <c r="B1452" s="229"/>
      <c r="C1452" s="223"/>
      <c r="D1452" s="224"/>
      <c r="E1452" s="225"/>
      <c r="F1452" s="1036" t="str">
        <f t="shared" si="520"/>
        <v/>
      </c>
      <c r="G1452" s="1037" t="str">
        <f t="shared" si="515"/>
        <v/>
      </c>
      <c r="H1452" s="225"/>
      <c r="I1452" s="1013"/>
      <c r="J1452" s="1013"/>
      <c r="K1452" s="1028"/>
      <c r="L1452" s="1035" t="str">
        <f t="shared" si="519"/>
        <v/>
      </c>
      <c r="S1452" s="498"/>
      <c r="AJ1452" s="498"/>
      <c r="AM1452" s="498">
        <f t="shared" si="500"/>
        <v>0</v>
      </c>
      <c r="AN1452" s="498">
        <f t="shared" si="501"/>
        <v>0</v>
      </c>
      <c r="AO1452" s="498">
        <f t="shared" si="502"/>
        <v>0</v>
      </c>
      <c r="AP1452" s="498">
        <f t="shared" si="521"/>
        <v>0</v>
      </c>
      <c r="AQ1452" s="498">
        <f t="shared" si="516"/>
        <v>0</v>
      </c>
      <c r="AU1452" s="498">
        <f t="shared" si="503"/>
        <v>0</v>
      </c>
      <c r="AV1452" s="498">
        <f t="shared" si="504"/>
        <v>0</v>
      </c>
      <c r="AW1452" s="498">
        <f t="shared" si="505"/>
        <v>0</v>
      </c>
      <c r="AX1452" s="498">
        <f t="shared" si="506"/>
        <v>0</v>
      </c>
      <c r="AY1452" s="498">
        <f t="shared" si="507"/>
        <v>0</v>
      </c>
      <c r="BB1452" s="498" t="str">
        <f t="shared" si="508"/>
        <v/>
      </c>
      <c r="BC1452" s="743" t="str">
        <f t="shared" si="509"/>
        <v/>
      </c>
      <c r="BD1452" s="743" t="str">
        <f t="shared" si="510"/>
        <v/>
      </c>
      <c r="BE1452" s="743" t="str">
        <f>IF(D1452="","",VLOOKUP(D1452,'General Basis'!$J$39:$K$46,2,0))</f>
        <v/>
      </c>
      <c r="BF1452" s="744" t="str">
        <f>IF(D1452="","",VLOOKUP(D1452,'General Basis'!$J$39:$L$46,3,0))</f>
        <v/>
      </c>
      <c r="BG1452" s="744" t="str">
        <f t="shared" si="517"/>
        <v/>
      </c>
      <c r="BH1452" s="744" t="str">
        <f>IF(G1452="","",IF(BF1452="Abu Dhabi",IF(G1452&lt;18,'General Basis'!$C$39,IF(G1452&lt;41,'General Basis'!$C$40,IF(G1452&lt;60,'General Basis'!$C$41,IF(G1452&lt;65,'General Basis'!$C$42,'General Basis'!$C$43)))),IF(G1452&lt;11,'General Basis'!$B$39,IF(G1452&lt;18,'General Basis'!$B$40,IF(G1452&lt;26,'General Basis'!$B$41,IF(G1452&lt;31,'General Basis'!$B$42,IF(G1452&lt;36,'General Basis'!$B$43,IF(G1452&lt;41,'General Basis'!$B$44,IF(G1452&lt;46,'General Basis'!$B$45,IF(G1452&lt;51,'General Basis'!$B$46,IF(G1452&lt;56,'General Basis'!$B$47,IF(G1452&lt;60,'General Basis'!$B$48,IF(G1452&lt;65,'General Basis'!$B$49,'General Basis'!$B$50)))))))))))))</f>
        <v/>
      </c>
      <c r="BI1452" s="744" t="str">
        <f t="shared" si="511"/>
        <v/>
      </c>
      <c r="BJ1452" s="747" t="str">
        <f t="shared" si="518"/>
        <v/>
      </c>
      <c r="BK1452" s="498" t="str">
        <f t="shared" si="512"/>
        <v/>
      </c>
      <c r="BL1452" s="498" t="str">
        <f t="shared" si="513"/>
        <v/>
      </c>
    </row>
    <row r="1453" spans="1:64" x14ac:dyDescent="0.25">
      <c r="A1453" s="762">
        <f t="shared" si="514"/>
        <v>1448</v>
      </c>
      <c r="B1453" s="229"/>
      <c r="C1453" s="223"/>
      <c r="D1453" s="224"/>
      <c r="E1453" s="225"/>
      <c r="F1453" s="1036" t="str">
        <f t="shared" si="520"/>
        <v/>
      </c>
      <c r="G1453" s="1037" t="str">
        <f t="shared" si="515"/>
        <v/>
      </c>
      <c r="H1453" s="225"/>
      <c r="I1453" s="1013"/>
      <c r="J1453" s="1013"/>
      <c r="K1453" s="1028"/>
      <c r="L1453" s="1035" t="str">
        <f t="shared" si="519"/>
        <v/>
      </c>
      <c r="S1453" s="498"/>
      <c r="AJ1453" s="498"/>
      <c r="AM1453" s="498">
        <f t="shared" si="500"/>
        <v>0</v>
      </c>
      <c r="AN1453" s="498">
        <f t="shared" si="501"/>
        <v>0</v>
      </c>
      <c r="AO1453" s="498">
        <f t="shared" si="502"/>
        <v>0</v>
      </c>
      <c r="AP1453" s="498">
        <f t="shared" si="521"/>
        <v>0</v>
      </c>
      <c r="AQ1453" s="498">
        <f t="shared" si="516"/>
        <v>0</v>
      </c>
      <c r="AU1453" s="498">
        <f t="shared" si="503"/>
        <v>0</v>
      </c>
      <c r="AV1453" s="498">
        <f t="shared" si="504"/>
        <v>0</v>
      </c>
      <c r="AW1453" s="498">
        <f t="shared" si="505"/>
        <v>0</v>
      </c>
      <c r="AX1453" s="498">
        <f t="shared" si="506"/>
        <v>0</v>
      </c>
      <c r="AY1453" s="498">
        <f t="shared" si="507"/>
        <v>0</v>
      </c>
      <c r="BB1453" s="498" t="str">
        <f t="shared" si="508"/>
        <v/>
      </c>
      <c r="BC1453" s="743" t="str">
        <f t="shared" si="509"/>
        <v/>
      </c>
      <c r="BD1453" s="743" t="str">
        <f t="shared" si="510"/>
        <v/>
      </c>
      <c r="BE1453" s="743" t="str">
        <f>IF(D1453="","",VLOOKUP(D1453,'General Basis'!$J$39:$K$46,2,0))</f>
        <v/>
      </c>
      <c r="BF1453" s="744" t="str">
        <f>IF(D1453="","",VLOOKUP(D1453,'General Basis'!$J$39:$L$46,3,0))</f>
        <v/>
      </c>
      <c r="BG1453" s="744" t="str">
        <f t="shared" si="517"/>
        <v/>
      </c>
      <c r="BH1453" s="744" t="str">
        <f>IF(G1453="","",IF(BF1453="Abu Dhabi",IF(G1453&lt;18,'General Basis'!$C$39,IF(G1453&lt;41,'General Basis'!$C$40,IF(G1453&lt;60,'General Basis'!$C$41,IF(G1453&lt;65,'General Basis'!$C$42,'General Basis'!$C$43)))),IF(G1453&lt;11,'General Basis'!$B$39,IF(G1453&lt;18,'General Basis'!$B$40,IF(G1453&lt;26,'General Basis'!$B$41,IF(G1453&lt;31,'General Basis'!$B$42,IF(G1453&lt;36,'General Basis'!$B$43,IF(G1453&lt;41,'General Basis'!$B$44,IF(G1453&lt;46,'General Basis'!$B$45,IF(G1453&lt;51,'General Basis'!$B$46,IF(G1453&lt;56,'General Basis'!$B$47,IF(G1453&lt;60,'General Basis'!$B$48,IF(G1453&lt;65,'General Basis'!$B$49,'General Basis'!$B$50)))))))))))))</f>
        <v/>
      </c>
      <c r="BI1453" s="744" t="str">
        <f t="shared" si="511"/>
        <v/>
      </c>
      <c r="BJ1453" s="747" t="str">
        <f t="shared" si="518"/>
        <v/>
      </c>
      <c r="BK1453" s="498" t="str">
        <f t="shared" si="512"/>
        <v/>
      </c>
      <c r="BL1453" s="498" t="str">
        <f t="shared" si="513"/>
        <v/>
      </c>
    </row>
    <row r="1454" spans="1:64" x14ac:dyDescent="0.25">
      <c r="A1454" s="762">
        <f t="shared" si="514"/>
        <v>1449</v>
      </c>
      <c r="B1454" s="229"/>
      <c r="C1454" s="223"/>
      <c r="D1454" s="224"/>
      <c r="E1454" s="225"/>
      <c r="F1454" s="1036" t="str">
        <f t="shared" si="520"/>
        <v/>
      </c>
      <c r="G1454" s="1037" t="str">
        <f t="shared" si="515"/>
        <v/>
      </c>
      <c r="H1454" s="225"/>
      <c r="I1454" s="1013"/>
      <c r="J1454" s="1013"/>
      <c r="K1454" s="1028"/>
      <c r="L1454" s="1035" t="str">
        <f t="shared" si="519"/>
        <v/>
      </c>
      <c r="S1454" s="498"/>
      <c r="AJ1454" s="498"/>
      <c r="AM1454" s="498">
        <f t="shared" si="500"/>
        <v>0</v>
      </c>
      <c r="AN1454" s="498">
        <f t="shared" si="501"/>
        <v>0</v>
      </c>
      <c r="AO1454" s="498">
        <f t="shared" si="502"/>
        <v>0</v>
      </c>
      <c r="AP1454" s="498">
        <f t="shared" si="521"/>
        <v>0</v>
      </c>
      <c r="AQ1454" s="498">
        <f t="shared" si="516"/>
        <v>0</v>
      </c>
      <c r="AU1454" s="498">
        <f t="shared" si="503"/>
        <v>0</v>
      </c>
      <c r="AV1454" s="498">
        <f t="shared" si="504"/>
        <v>0</v>
      </c>
      <c r="AW1454" s="498">
        <f t="shared" si="505"/>
        <v>0</v>
      </c>
      <c r="AX1454" s="498">
        <f t="shared" si="506"/>
        <v>0</v>
      </c>
      <c r="AY1454" s="498">
        <f t="shared" si="507"/>
        <v>0</v>
      </c>
      <c r="BB1454" s="498" t="str">
        <f t="shared" si="508"/>
        <v/>
      </c>
      <c r="BC1454" s="743" t="str">
        <f t="shared" si="509"/>
        <v/>
      </c>
      <c r="BD1454" s="743" t="str">
        <f t="shared" si="510"/>
        <v/>
      </c>
      <c r="BE1454" s="743" t="str">
        <f>IF(D1454="","",VLOOKUP(D1454,'General Basis'!$J$39:$K$46,2,0))</f>
        <v/>
      </c>
      <c r="BF1454" s="744" t="str">
        <f>IF(D1454="","",VLOOKUP(D1454,'General Basis'!$J$39:$L$46,3,0))</f>
        <v/>
      </c>
      <c r="BG1454" s="744" t="str">
        <f t="shared" si="517"/>
        <v/>
      </c>
      <c r="BH1454" s="744" t="str">
        <f>IF(G1454="","",IF(BF1454="Abu Dhabi",IF(G1454&lt;18,'General Basis'!$C$39,IF(G1454&lt;41,'General Basis'!$C$40,IF(G1454&lt;60,'General Basis'!$C$41,IF(G1454&lt;65,'General Basis'!$C$42,'General Basis'!$C$43)))),IF(G1454&lt;11,'General Basis'!$B$39,IF(G1454&lt;18,'General Basis'!$B$40,IF(G1454&lt;26,'General Basis'!$B$41,IF(G1454&lt;31,'General Basis'!$B$42,IF(G1454&lt;36,'General Basis'!$B$43,IF(G1454&lt;41,'General Basis'!$B$44,IF(G1454&lt;46,'General Basis'!$B$45,IF(G1454&lt;51,'General Basis'!$B$46,IF(G1454&lt;56,'General Basis'!$B$47,IF(G1454&lt;60,'General Basis'!$B$48,IF(G1454&lt;65,'General Basis'!$B$49,'General Basis'!$B$50)))))))))))))</f>
        <v/>
      </c>
      <c r="BI1454" s="744" t="str">
        <f t="shared" si="511"/>
        <v/>
      </c>
      <c r="BJ1454" s="747" t="str">
        <f t="shared" si="518"/>
        <v/>
      </c>
      <c r="BK1454" s="498" t="str">
        <f t="shared" si="512"/>
        <v/>
      </c>
      <c r="BL1454" s="498" t="str">
        <f t="shared" si="513"/>
        <v/>
      </c>
    </row>
    <row r="1455" spans="1:64" x14ac:dyDescent="0.25">
      <c r="A1455" s="762">
        <f t="shared" si="514"/>
        <v>1450</v>
      </c>
      <c r="B1455" s="229"/>
      <c r="C1455" s="223"/>
      <c r="D1455" s="224"/>
      <c r="E1455" s="225"/>
      <c r="F1455" s="1036" t="str">
        <f t="shared" si="520"/>
        <v/>
      </c>
      <c r="G1455" s="1037" t="str">
        <f t="shared" si="515"/>
        <v/>
      </c>
      <c r="H1455" s="225"/>
      <c r="I1455" s="1013"/>
      <c r="J1455" s="1013"/>
      <c r="K1455" s="1028"/>
      <c r="L1455" s="1035" t="str">
        <f t="shared" si="519"/>
        <v/>
      </c>
      <c r="S1455" s="498"/>
      <c r="AJ1455" s="498"/>
      <c r="AM1455" s="498">
        <f t="shared" si="500"/>
        <v>0</v>
      </c>
      <c r="AN1455" s="498">
        <f t="shared" si="501"/>
        <v>0</v>
      </c>
      <c r="AO1455" s="498">
        <f t="shared" si="502"/>
        <v>0</v>
      </c>
      <c r="AP1455" s="498">
        <f t="shared" si="521"/>
        <v>0</v>
      </c>
      <c r="AQ1455" s="498">
        <f t="shared" si="516"/>
        <v>0</v>
      </c>
      <c r="AU1455" s="498">
        <f t="shared" si="503"/>
        <v>0</v>
      </c>
      <c r="AV1455" s="498">
        <f t="shared" si="504"/>
        <v>0</v>
      </c>
      <c r="AW1455" s="498">
        <f t="shared" si="505"/>
        <v>0</v>
      </c>
      <c r="AX1455" s="498">
        <f t="shared" si="506"/>
        <v>0</v>
      </c>
      <c r="AY1455" s="498">
        <f t="shared" si="507"/>
        <v>0</v>
      </c>
      <c r="BB1455" s="498" t="str">
        <f t="shared" si="508"/>
        <v/>
      </c>
      <c r="BC1455" s="743" t="str">
        <f t="shared" si="509"/>
        <v/>
      </c>
      <c r="BD1455" s="743" t="str">
        <f t="shared" si="510"/>
        <v/>
      </c>
      <c r="BE1455" s="743" t="str">
        <f>IF(D1455="","",VLOOKUP(D1455,'General Basis'!$J$39:$K$46,2,0))</f>
        <v/>
      </c>
      <c r="BF1455" s="744" t="str">
        <f>IF(D1455="","",VLOOKUP(D1455,'General Basis'!$J$39:$L$46,3,0))</f>
        <v/>
      </c>
      <c r="BG1455" s="744" t="str">
        <f t="shared" si="517"/>
        <v/>
      </c>
      <c r="BH1455" s="744" t="str">
        <f>IF(G1455="","",IF(BF1455="Abu Dhabi",IF(G1455&lt;18,'General Basis'!$C$39,IF(G1455&lt;41,'General Basis'!$C$40,IF(G1455&lt;60,'General Basis'!$C$41,IF(G1455&lt;65,'General Basis'!$C$42,'General Basis'!$C$43)))),IF(G1455&lt;11,'General Basis'!$B$39,IF(G1455&lt;18,'General Basis'!$B$40,IF(G1455&lt;26,'General Basis'!$B$41,IF(G1455&lt;31,'General Basis'!$B$42,IF(G1455&lt;36,'General Basis'!$B$43,IF(G1455&lt;41,'General Basis'!$B$44,IF(G1455&lt;46,'General Basis'!$B$45,IF(G1455&lt;51,'General Basis'!$B$46,IF(G1455&lt;56,'General Basis'!$B$47,IF(G1455&lt;60,'General Basis'!$B$48,IF(G1455&lt;65,'General Basis'!$B$49,'General Basis'!$B$50)))))))))))))</f>
        <v/>
      </c>
      <c r="BI1455" s="744" t="str">
        <f t="shared" si="511"/>
        <v/>
      </c>
      <c r="BJ1455" s="747" t="str">
        <f t="shared" si="518"/>
        <v/>
      </c>
      <c r="BK1455" s="498" t="str">
        <f t="shared" si="512"/>
        <v/>
      </c>
      <c r="BL1455" s="498" t="str">
        <f t="shared" si="513"/>
        <v/>
      </c>
    </row>
    <row r="1456" spans="1:64" x14ac:dyDescent="0.25">
      <c r="A1456" s="762">
        <f t="shared" si="514"/>
        <v>1451</v>
      </c>
      <c r="B1456" s="229"/>
      <c r="C1456" s="223"/>
      <c r="D1456" s="224"/>
      <c r="E1456" s="225"/>
      <c r="F1456" s="1036" t="str">
        <f t="shared" si="520"/>
        <v/>
      </c>
      <c r="G1456" s="1037" t="str">
        <f t="shared" si="515"/>
        <v/>
      </c>
      <c r="H1456" s="225"/>
      <c r="I1456" s="1013"/>
      <c r="J1456" s="1013"/>
      <c r="K1456" s="1028"/>
      <c r="L1456" s="1035" t="str">
        <f t="shared" si="519"/>
        <v/>
      </c>
      <c r="S1456" s="498"/>
      <c r="AJ1456" s="498"/>
      <c r="AM1456" s="498">
        <f t="shared" si="500"/>
        <v>0</v>
      </c>
      <c r="AN1456" s="498">
        <f t="shared" si="501"/>
        <v>0</v>
      </c>
      <c r="AO1456" s="498">
        <f t="shared" si="502"/>
        <v>0</v>
      </c>
      <c r="AP1456" s="498">
        <f t="shared" si="521"/>
        <v>0</v>
      </c>
      <c r="AQ1456" s="498">
        <f t="shared" si="516"/>
        <v>0</v>
      </c>
      <c r="AU1456" s="498">
        <f t="shared" si="503"/>
        <v>0</v>
      </c>
      <c r="AV1456" s="498">
        <f t="shared" si="504"/>
        <v>0</v>
      </c>
      <c r="AW1456" s="498">
        <f t="shared" si="505"/>
        <v>0</v>
      </c>
      <c r="AX1456" s="498">
        <f t="shared" si="506"/>
        <v>0</v>
      </c>
      <c r="AY1456" s="498">
        <f t="shared" si="507"/>
        <v>0</v>
      </c>
      <c r="BB1456" s="498" t="str">
        <f t="shared" si="508"/>
        <v/>
      </c>
      <c r="BC1456" s="743" t="str">
        <f t="shared" si="509"/>
        <v/>
      </c>
      <c r="BD1456" s="743" t="str">
        <f t="shared" si="510"/>
        <v/>
      </c>
      <c r="BE1456" s="743" t="str">
        <f>IF(D1456="","",VLOOKUP(D1456,'General Basis'!$J$39:$K$46,2,0))</f>
        <v/>
      </c>
      <c r="BF1456" s="744" t="str">
        <f>IF(D1456="","",VLOOKUP(D1456,'General Basis'!$J$39:$L$46,3,0))</f>
        <v/>
      </c>
      <c r="BG1456" s="744" t="str">
        <f t="shared" si="517"/>
        <v/>
      </c>
      <c r="BH1456" s="744" t="str">
        <f>IF(G1456="","",IF(BF1456="Abu Dhabi",IF(G1456&lt;18,'General Basis'!$C$39,IF(G1456&lt;41,'General Basis'!$C$40,IF(G1456&lt;60,'General Basis'!$C$41,IF(G1456&lt;65,'General Basis'!$C$42,'General Basis'!$C$43)))),IF(G1456&lt;11,'General Basis'!$B$39,IF(G1456&lt;18,'General Basis'!$B$40,IF(G1456&lt;26,'General Basis'!$B$41,IF(G1456&lt;31,'General Basis'!$B$42,IF(G1456&lt;36,'General Basis'!$B$43,IF(G1456&lt;41,'General Basis'!$B$44,IF(G1456&lt;46,'General Basis'!$B$45,IF(G1456&lt;51,'General Basis'!$B$46,IF(G1456&lt;56,'General Basis'!$B$47,IF(G1456&lt;60,'General Basis'!$B$48,IF(G1456&lt;65,'General Basis'!$B$49,'General Basis'!$B$50)))))))))))))</f>
        <v/>
      </c>
      <c r="BI1456" s="744" t="str">
        <f t="shared" si="511"/>
        <v/>
      </c>
      <c r="BJ1456" s="747" t="str">
        <f t="shared" si="518"/>
        <v/>
      </c>
      <c r="BK1456" s="498" t="str">
        <f t="shared" si="512"/>
        <v/>
      </c>
      <c r="BL1456" s="498" t="str">
        <f t="shared" si="513"/>
        <v/>
      </c>
    </row>
    <row r="1457" spans="1:64" x14ac:dyDescent="0.25">
      <c r="A1457" s="762">
        <f t="shared" si="514"/>
        <v>1452</v>
      </c>
      <c r="B1457" s="229"/>
      <c r="C1457" s="223"/>
      <c r="D1457" s="224"/>
      <c r="E1457" s="225"/>
      <c r="F1457" s="1036" t="str">
        <f t="shared" si="520"/>
        <v/>
      </c>
      <c r="G1457" s="1037" t="str">
        <f t="shared" si="515"/>
        <v/>
      </c>
      <c r="H1457" s="225"/>
      <c r="I1457" s="1013"/>
      <c r="J1457" s="1013"/>
      <c r="K1457" s="1028"/>
      <c r="L1457" s="1035" t="str">
        <f t="shared" si="519"/>
        <v/>
      </c>
      <c r="S1457" s="498"/>
      <c r="AJ1457" s="498"/>
      <c r="AM1457" s="498">
        <f t="shared" si="500"/>
        <v>0</v>
      </c>
      <c r="AN1457" s="498">
        <f t="shared" si="501"/>
        <v>0</v>
      </c>
      <c r="AO1457" s="498">
        <f t="shared" si="502"/>
        <v>0</v>
      </c>
      <c r="AP1457" s="498">
        <f t="shared" si="521"/>
        <v>0</v>
      </c>
      <c r="AQ1457" s="498">
        <f t="shared" si="516"/>
        <v>0</v>
      </c>
      <c r="AU1457" s="498">
        <f t="shared" si="503"/>
        <v>0</v>
      </c>
      <c r="AV1457" s="498">
        <f t="shared" si="504"/>
        <v>0</v>
      </c>
      <c r="AW1457" s="498">
        <f t="shared" si="505"/>
        <v>0</v>
      </c>
      <c r="AX1457" s="498">
        <f t="shared" si="506"/>
        <v>0</v>
      </c>
      <c r="AY1457" s="498">
        <f t="shared" si="507"/>
        <v>0</v>
      </c>
      <c r="BB1457" s="498" t="str">
        <f t="shared" si="508"/>
        <v/>
      </c>
      <c r="BC1457" s="743" t="str">
        <f t="shared" si="509"/>
        <v/>
      </c>
      <c r="BD1457" s="743" t="str">
        <f t="shared" si="510"/>
        <v/>
      </c>
      <c r="BE1457" s="743" t="str">
        <f>IF(D1457="","",VLOOKUP(D1457,'General Basis'!$J$39:$K$46,2,0))</f>
        <v/>
      </c>
      <c r="BF1457" s="744" t="str">
        <f>IF(D1457="","",VLOOKUP(D1457,'General Basis'!$J$39:$L$46,3,0))</f>
        <v/>
      </c>
      <c r="BG1457" s="744" t="str">
        <f t="shared" si="517"/>
        <v/>
      </c>
      <c r="BH1457" s="744" t="str">
        <f>IF(G1457="","",IF(BF1457="Abu Dhabi",IF(G1457&lt;18,'General Basis'!$C$39,IF(G1457&lt;41,'General Basis'!$C$40,IF(G1457&lt;60,'General Basis'!$C$41,IF(G1457&lt;65,'General Basis'!$C$42,'General Basis'!$C$43)))),IF(G1457&lt;11,'General Basis'!$B$39,IF(G1457&lt;18,'General Basis'!$B$40,IF(G1457&lt;26,'General Basis'!$B$41,IF(G1457&lt;31,'General Basis'!$B$42,IF(G1457&lt;36,'General Basis'!$B$43,IF(G1457&lt;41,'General Basis'!$B$44,IF(G1457&lt;46,'General Basis'!$B$45,IF(G1457&lt;51,'General Basis'!$B$46,IF(G1457&lt;56,'General Basis'!$B$47,IF(G1457&lt;60,'General Basis'!$B$48,IF(G1457&lt;65,'General Basis'!$B$49,'General Basis'!$B$50)))))))))))))</f>
        <v/>
      </c>
      <c r="BI1457" s="744" t="str">
        <f t="shared" si="511"/>
        <v/>
      </c>
      <c r="BJ1457" s="747" t="str">
        <f t="shared" si="518"/>
        <v/>
      </c>
      <c r="BK1457" s="498" t="str">
        <f t="shared" si="512"/>
        <v/>
      </c>
      <c r="BL1457" s="498" t="str">
        <f t="shared" si="513"/>
        <v/>
      </c>
    </row>
    <row r="1458" spans="1:64" x14ac:dyDescent="0.25">
      <c r="A1458" s="762">
        <f t="shared" si="514"/>
        <v>1453</v>
      </c>
      <c r="B1458" s="229"/>
      <c r="C1458" s="223"/>
      <c r="D1458" s="224"/>
      <c r="E1458" s="225"/>
      <c r="F1458" s="1036" t="str">
        <f t="shared" si="520"/>
        <v/>
      </c>
      <c r="G1458" s="1037" t="str">
        <f t="shared" si="515"/>
        <v/>
      </c>
      <c r="H1458" s="225"/>
      <c r="I1458" s="1013"/>
      <c r="J1458" s="1013"/>
      <c r="K1458" s="1028"/>
      <c r="L1458" s="1035" t="str">
        <f t="shared" si="519"/>
        <v/>
      </c>
      <c r="S1458" s="498"/>
      <c r="AJ1458" s="498"/>
      <c r="AM1458" s="498">
        <f t="shared" si="500"/>
        <v>0</v>
      </c>
      <c r="AN1458" s="498">
        <f t="shared" si="501"/>
        <v>0</v>
      </c>
      <c r="AO1458" s="498">
        <f t="shared" si="502"/>
        <v>0</v>
      </c>
      <c r="AP1458" s="498">
        <f t="shared" si="521"/>
        <v>0</v>
      </c>
      <c r="AQ1458" s="498">
        <f t="shared" si="516"/>
        <v>0</v>
      </c>
      <c r="AU1458" s="498">
        <f t="shared" si="503"/>
        <v>0</v>
      </c>
      <c r="AV1458" s="498">
        <f t="shared" si="504"/>
        <v>0</v>
      </c>
      <c r="AW1458" s="498">
        <f t="shared" si="505"/>
        <v>0</v>
      </c>
      <c r="AX1458" s="498">
        <f t="shared" si="506"/>
        <v>0</v>
      </c>
      <c r="AY1458" s="498">
        <f t="shared" si="507"/>
        <v>0</v>
      </c>
      <c r="BB1458" s="498" t="str">
        <f t="shared" si="508"/>
        <v/>
      </c>
      <c r="BC1458" s="743" t="str">
        <f t="shared" si="509"/>
        <v/>
      </c>
      <c r="BD1458" s="743" t="str">
        <f t="shared" si="510"/>
        <v/>
      </c>
      <c r="BE1458" s="743" t="str">
        <f>IF(D1458="","",VLOOKUP(D1458,'General Basis'!$J$39:$K$46,2,0))</f>
        <v/>
      </c>
      <c r="BF1458" s="744" t="str">
        <f>IF(D1458="","",VLOOKUP(D1458,'General Basis'!$J$39:$L$46,3,0))</f>
        <v/>
      </c>
      <c r="BG1458" s="744" t="str">
        <f t="shared" si="517"/>
        <v/>
      </c>
      <c r="BH1458" s="744" t="str">
        <f>IF(G1458="","",IF(BF1458="Abu Dhabi",IF(G1458&lt;18,'General Basis'!$C$39,IF(G1458&lt;41,'General Basis'!$C$40,IF(G1458&lt;60,'General Basis'!$C$41,IF(G1458&lt;65,'General Basis'!$C$42,'General Basis'!$C$43)))),IF(G1458&lt;11,'General Basis'!$B$39,IF(G1458&lt;18,'General Basis'!$B$40,IF(G1458&lt;26,'General Basis'!$B$41,IF(G1458&lt;31,'General Basis'!$B$42,IF(G1458&lt;36,'General Basis'!$B$43,IF(G1458&lt;41,'General Basis'!$B$44,IF(G1458&lt;46,'General Basis'!$B$45,IF(G1458&lt;51,'General Basis'!$B$46,IF(G1458&lt;56,'General Basis'!$B$47,IF(G1458&lt;60,'General Basis'!$B$48,IF(G1458&lt;65,'General Basis'!$B$49,'General Basis'!$B$50)))))))))))))</f>
        <v/>
      </c>
      <c r="BI1458" s="744" t="str">
        <f t="shared" si="511"/>
        <v/>
      </c>
      <c r="BJ1458" s="747" t="str">
        <f t="shared" si="518"/>
        <v/>
      </c>
      <c r="BK1458" s="498" t="str">
        <f t="shared" si="512"/>
        <v/>
      </c>
      <c r="BL1458" s="498" t="str">
        <f t="shared" si="513"/>
        <v/>
      </c>
    </row>
    <row r="1459" spans="1:64" x14ac:dyDescent="0.25">
      <c r="A1459" s="762">
        <f t="shared" si="514"/>
        <v>1454</v>
      </c>
      <c r="B1459" s="229"/>
      <c r="C1459" s="223"/>
      <c r="D1459" s="224"/>
      <c r="E1459" s="225"/>
      <c r="F1459" s="1036" t="str">
        <f t="shared" si="520"/>
        <v/>
      </c>
      <c r="G1459" s="1037" t="str">
        <f t="shared" si="515"/>
        <v/>
      </c>
      <c r="H1459" s="225"/>
      <c r="I1459" s="1013"/>
      <c r="J1459" s="1013"/>
      <c r="K1459" s="1028"/>
      <c r="L1459" s="1035" t="str">
        <f t="shared" si="519"/>
        <v/>
      </c>
      <c r="S1459" s="498"/>
      <c r="AJ1459" s="498"/>
      <c r="AM1459" s="498">
        <f t="shared" si="500"/>
        <v>0</v>
      </c>
      <c r="AN1459" s="498">
        <f t="shared" si="501"/>
        <v>0</v>
      </c>
      <c r="AO1459" s="498">
        <f t="shared" si="502"/>
        <v>0</v>
      </c>
      <c r="AP1459" s="498">
        <f t="shared" si="521"/>
        <v>0</v>
      </c>
      <c r="AQ1459" s="498">
        <f t="shared" si="516"/>
        <v>0</v>
      </c>
      <c r="AU1459" s="498">
        <f t="shared" si="503"/>
        <v>0</v>
      </c>
      <c r="AV1459" s="498">
        <f t="shared" si="504"/>
        <v>0</v>
      </c>
      <c r="AW1459" s="498">
        <f t="shared" si="505"/>
        <v>0</v>
      </c>
      <c r="AX1459" s="498">
        <f t="shared" si="506"/>
        <v>0</v>
      </c>
      <c r="AY1459" s="498">
        <f t="shared" si="507"/>
        <v>0</v>
      </c>
      <c r="BB1459" s="498" t="str">
        <f t="shared" si="508"/>
        <v/>
      </c>
      <c r="BC1459" s="743" t="str">
        <f t="shared" si="509"/>
        <v/>
      </c>
      <c r="BD1459" s="743" t="str">
        <f t="shared" si="510"/>
        <v/>
      </c>
      <c r="BE1459" s="743" t="str">
        <f>IF(D1459="","",VLOOKUP(D1459,'General Basis'!$J$39:$K$46,2,0))</f>
        <v/>
      </c>
      <c r="BF1459" s="744" t="str">
        <f>IF(D1459="","",VLOOKUP(D1459,'General Basis'!$J$39:$L$46,3,0))</f>
        <v/>
      </c>
      <c r="BG1459" s="744" t="str">
        <f t="shared" si="517"/>
        <v/>
      </c>
      <c r="BH1459" s="744" t="str">
        <f>IF(G1459="","",IF(BF1459="Abu Dhabi",IF(G1459&lt;18,'General Basis'!$C$39,IF(G1459&lt;41,'General Basis'!$C$40,IF(G1459&lt;60,'General Basis'!$C$41,IF(G1459&lt;65,'General Basis'!$C$42,'General Basis'!$C$43)))),IF(G1459&lt;11,'General Basis'!$B$39,IF(G1459&lt;18,'General Basis'!$B$40,IF(G1459&lt;26,'General Basis'!$B$41,IF(G1459&lt;31,'General Basis'!$B$42,IF(G1459&lt;36,'General Basis'!$B$43,IF(G1459&lt;41,'General Basis'!$B$44,IF(G1459&lt;46,'General Basis'!$B$45,IF(G1459&lt;51,'General Basis'!$B$46,IF(G1459&lt;56,'General Basis'!$B$47,IF(G1459&lt;60,'General Basis'!$B$48,IF(G1459&lt;65,'General Basis'!$B$49,'General Basis'!$B$50)))))))))))))</f>
        <v/>
      </c>
      <c r="BI1459" s="744" t="str">
        <f t="shared" si="511"/>
        <v/>
      </c>
      <c r="BJ1459" s="747" t="str">
        <f t="shared" si="518"/>
        <v/>
      </c>
      <c r="BK1459" s="498" t="str">
        <f t="shared" si="512"/>
        <v/>
      </c>
      <c r="BL1459" s="498" t="str">
        <f t="shared" si="513"/>
        <v/>
      </c>
    </row>
    <row r="1460" spans="1:64" x14ac:dyDescent="0.25">
      <c r="A1460" s="762">
        <f t="shared" si="514"/>
        <v>1455</v>
      </c>
      <c r="B1460" s="229"/>
      <c r="C1460" s="223"/>
      <c r="D1460" s="224"/>
      <c r="E1460" s="225"/>
      <c r="F1460" s="1036" t="str">
        <f t="shared" si="520"/>
        <v/>
      </c>
      <c r="G1460" s="1037" t="str">
        <f t="shared" si="515"/>
        <v/>
      </c>
      <c r="H1460" s="225"/>
      <c r="I1460" s="1013"/>
      <c r="J1460" s="1013"/>
      <c r="K1460" s="1028"/>
      <c r="L1460" s="1035" t="str">
        <f t="shared" si="519"/>
        <v/>
      </c>
      <c r="S1460" s="498"/>
      <c r="AJ1460" s="498"/>
      <c r="AM1460" s="498">
        <f t="shared" si="500"/>
        <v>0</v>
      </c>
      <c r="AN1460" s="498">
        <f t="shared" si="501"/>
        <v>0</v>
      </c>
      <c r="AO1460" s="498">
        <f t="shared" si="502"/>
        <v>0</v>
      </c>
      <c r="AP1460" s="498">
        <f t="shared" si="521"/>
        <v>0</v>
      </c>
      <c r="AQ1460" s="498">
        <f t="shared" si="516"/>
        <v>0</v>
      </c>
      <c r="AU1460" s="498">
        <f t="shared" si="503"/>
        <v>0</v>
      </c>
      <c r="AV1460" s="498">
        <f t="shared" si="504"/>
        <v>0</v>
      </c>
      <c r="AW1460" s="498">
        <f t="shared" si="505"/>
        <v>0</v>
      </c>
      <c r="AX1460" s="498">
        <f t="shared" si="506"/>
        <v>0</v>
      </c>
      <c r="AY1460" s="498">
        <f t="shared" si="507"/>
        <v>0</v>
      </c>
      <c r="BB1460" s="498" t="str">
        <f t="shared" si="508"/>
        <v/>
      </c>
      <c r="BC1460" s="743" t="str">
        <f t="shared" si="509"/>
        <v/>
      </c>
      <c r="BD1460" s="743" t="str">
        <f t="shared" si="510"/>
        <v/>
      </c>
      <c r="BE1460" s="743" t="str">
        <f>IF(D1460="","",VLOOKUP(D1460,'General Basis'!$J$39:$K$46,2,0))</f>
        <v/>
      </c>
      <c r="BF1460" s="744" t="str">
        <f>IF(D1460="","",VLOOKUP(D1460,'General Basis'!$J$39:$L$46,3,0))</f>
        <v/>
      </c>
      <c r="BG1460" s="744" t="str">
        <f t="shared" si="517"/>
        <v/>
      </c>
      <c r="BH1460" s="744" t="str">
        <f>IF(G1460="","",IF(BF1460="Abu Dhabi",IF(G1460&lt;18,'General Basis'!$C$39,IF(G1460&lt;41,'General Basis'!$C$40,IF(G1460&lt;60,'General Basis'!$C$41,IF(G1460&lt;65,'General Basis'!$C$42,'General Basis'!$C$43)))),IF(G1460&lt;11,'General Basis'!$B$39,IF(G1460&lt;18,'General Basis'!$B$40,IF(G1460&lt;26,'General Basis'!$B$41,IF(G1460&lt;31,'General Basis'!$B$42,IF(G1460&lt;36,'General Basis'!$B$43,IF(G1460&lt;41,'General Basis'!$B$44,IF(G1460&lt;46,'General Basis'!$B$45,IF(G1460&lt;51,'General Basis'!$B$46,IF(G1460&lt;56,'General Basis'!$B$47,IF(G1460&lt;60,'General Basis'!$B$48,IF(G1460&lt;65,'General Basis'!$B$49,'General Basis'!$B$50)))))))))))))</f>
        <v/>
      </c>
      <c r="BI1460" s="744" t="str">
        <f t="shared" si="511"/>
        <v/>
      </c>
      <c r="BJ1460" s="747" t="str">
        <f t="shared" si="518"/>
        <v/>
      </c>
      <c r="BK1460" s="498" t="str">
        <f t="shared" si="512"/>
        <v/>
      </c>
      <c r="BL1460" s="498" t="str">
        <f t="shared" si="513"/>
        <v/>
      </c>
    </row>
    <row r="1461" spans="1:64" x14ac:dyDescent="0.25">
      <c r="A1461" s="762">
        <f t="shared" si="514"/>
        <v>1456</v>
      </c>
      <c r="B1461" s="229"/>
      <c r="C1461" s="223"/>
      <c r="D1461" s="224"/>
      <c r="E1461" s="225"/>
      <c r="F1461" s="1036" t="str">
        <f t="shared" si="520"/>
        <v/>
      </c>
      <c r="G1461" s="1037" t="str">
        <f t="shared" si="515"/>
        <v/>
      </c>
      <c r="H1461" s="225"/>
      <c r="I1461" s="1013"/>
      <c r="J1461" s="1013"/>
      <c r="K1461" s="1028"/>
      <c r="L1461" s="1035" t="str">
        <f t="shared" si="519"/>
        <v/>
      </c>
      <c r="S1461" s="498"/>
      <c r="AJ1461" s="498"/>
      <c r="AM1461" s="498">
        <f t="shared" si="500"/>
        <v>0</v>
      </c>
      <c r="AN1461" s="498">
        <f t="shared" si="501"/>
        <v>0</v>
      </c>
      <c r="AO1461" s="498">
        <f t="shared" si="502"/>
        <v>0</v>
      </c>
      <c r="AP1461" s="498">
        <f t="shared" si="521"/>
        <v>0</v>
      </c>
      <c r="AQ1461" s="498">
        <f t="shared" si="516"/>
        <v>0</v>
      </c>
      <c r="AU1461" s="498">
        <f t="shared" si="503"/>
        <v>0</v>
      </c>
      <c r="AV1461" s="498">
        <f t="shared" si="504"/>
        <v>0</v>
      </c>
      <c r="AW1461" s="498">
        <f t="shared" si="505"/>
        <v>0</v>
      </c>
      <c r="AX1461" s="498">
        <f t="shared" si="506"/>
        <v>0</v>
      </c>
      <c r="AY1461" s="498">
        <f t="shared" si="507"/>
        <v>0</v>
      </c>
      <c r="BB1461" s="498" t="str">
        <f t="shared" si="508"/>
        <v/>
      </c>
      <c r="BC1461" s="743" t="str">
        <f t="shared" si="509"/>
        <v/>
      </c>
      <c r="BD1461" s="743" t="str">
        <f t="shared" si="510"/>
        <v/>
      </c>
      <c r="BE1461" s="743" t="str">
        <f>IF(D1461="","",VLOOKUP(D1461,'General Basis'!$J$39:$K$46,2,0))</f>
        <v/>
      </c>
      <c r="BF1461" s="744" t="str">
        <f>IF(D1461="","",VLOOKUP(D1461,'General Basis'!$J$39:$L$46,3,0))</f>
        <v/>
      </c>
      <c r="BG1461" s="744" t="str">
        <f t="shared" si="517"/>
        <v/>
      </c>
      <c r="BH1461" s="744" t="str">
        <f>IF(G1461="","",IF(BF1461="Abu Dhabi",IF(G1461&lt;18,'General Basis'!$C$39,IF(G1461&lt;41,'General Basis'!$C$40,IF(G1461&lt;60,'General Basis'!$C$41,IF(G1461&lt;65,'General Basis'!$C$42,'General Basis'!$C$43)))),IF(G1461&lt;11,'General Basis'!$B$39,IF(G1461&lt;18,'General Basis'!$B$40,IF(G1461&lt;26,'General Basis'!$B$41,IF(G1461&lt;31,'General Basis'!$B$42,IF(G1461&lt;36,'General Basis'!$B$43,IF(G1461&lt;41,'General Basis'!$B$44,IF(G1461&lt;46,'General Basis'!$B$45,IF(G1461&lt;51,'General Basis'!$B$46,IF(G1461&lt;56,'General Basis'!$B$47,IF(G1461&lt;60,'General Basis'!$B$48,IF(G1461&lt;65,'General Basis'!$B$49,'General Basis'!$B$50)))))))))))))</f>
        <v/>
      </c>
      <c r="BI1461" s="744" t="str">
        <f t="shared" si="511"/>
        <v/>
      </c>
      <c r="BJ1461" s="747" t="str">
        <f t="shared" si="518"/>
        <v/>
      </c>
      <c r="BK1461" s="498" t="str">
        <f t="shared" si="512"/>
        <v/>
      </c>
      <c r="BL1461" s="498" t="str">
        <f t="shared" si="513"/>
        <v/>
      </c>
    </row>
    <row r="1462" spans="1:64" x14ac:dyDescent="0.25">
      <c r="A1462" s="762">
        <f t="shared" si="514"/>
        <v>1457</v>
      </c>
      <c r="B1462" s="229"/>
      <c r="C1462" s="223"/>
      <c r="D1462" s="224"/>
      <c r="E1462" s="225"/>
      <c r="F1462" s="1036" t="str">
        <f t="shared" si="520"/>
        <v/>
      </c>
      <c r="G1462" s="1037" t="str">
        <f t="shared" si="515"/>
        <v/>
      </c>
      <c r="H1462" s="225"/>
      <c r="I1462" s="1013"/>
      <c r="J1462" s="1013"/>
      <c r="K1462" s="1028"/>
      <c r="L1462" s="1035" t="str">
        <f t="shared" si="519"/>
        <v/>
      </c>
      <c r="S1462" s="498"/>
      <c r="AJ1462" s="498"/>
      <c r="AM1462" s="498">
        <f t="shared" si="500"/>
        <v>0</v>
      </c>
      <c r="AN1462" s="498">
        <f t="shared" si="501"/>
        <v>0</v>
      </c>
      <c r="AO1462" s="498">
        <f t="shared" si="502"/>
        <v>0</v>
      </c>
      <c r="AP1462" s="498">
        <f t="shared" si="521"/>
        <v>0</v>
      </c>
      <c r="AQ1462" s="498">
        <f t="shared" si="516"/>
        <v>0</v>
      </c>
      <c r="AU1462" s="498">
        <f t="shared" si="503"/>
        <v>0</v>
      </c>
      <c r="AV1462" s="498">
        <f t="shared" si="504"/>
        <v>0</v>
      </c>
      <c r="AW1462" s="498">
        <f t="shared" si="505"/>
        <v>0</v>
      </c>
      <c r="AX1462" s="498">
        <f t="shared" si="506"/>
        <v>0</v>
      </c>
      <c r="AY1462" s="498">
        <f t="shared" si="507"/>
        <v>0</v>
      </c>
      <c r="BB1462" s="498" t="str">
        <f t="shared" si="508"/>
        <v/>
      </c>
      <c r="BC1462" s="743" t="str">
        <f t="shared" si="509"/>
        <v/>
      </c>
      <c r="BD1462" s="743" t="str">
        <f t="shared" si="510"/>
        <v/>
      </c>
      <c r="BE1462" s="743" t="str">
        <f>IF(D1462="","",VLOOKUP(D1462,'General Basis'!$J$39:$K$46,2,0))</f>
        <v/>
      </c>
      <c r="BF1462" s="744" t="str">
        <f>IF(D1462="","",VLOOKUP(D1462,'General Basis'!$J$39:$L$46,3,0))</f>
        <v/>
      </c>
      <c r="BG1462" s="744" t="str">
        <f t="shared" si="517"/>
        <v/>
      </c>
      <c r="BH1462" s="744" t="str">
        <f>IF(G1462="","",IF(BF1462="Abu Dhabi",IF(G1462&lt;18,'General Basis'!$C$39,IF(G1462&lt;41,'General Basis'!$C$40,IF(G1462&lt;60,'General Basis'!$C$41,IF(G1462&lt;65,'General Basis'!$C$42,'General Basis'!$C$43)))),IF(G1462&lt;11,'General Basis'!$B$39,IF(G1462&lt;18,'General Basis'!$B$40,IF(G1462&lt;26,'General Basis'!$B$41,IF(G1462&lt;31,'General Basis'!$B$42,IF(G1462&lt;36,'General Basis'!$B$43,IF(G1462&lt;41,'General Basis'!$B$44,IF(G1462&lt;46,'General Basis'!$B$45,IF(G1462&lt;51,'General Basis'!$B$46,IF(G1462&lt;56,'General Basis'!$B$47,IF(G1462&lt;60,'General Basis'!$B$48,IF(G1462&lt;65,'General Basis'!$B$49,'General Basis'!$B$50)))))))))))))</f>
        <v/>
      </c>
      <c r="BI1462" s="744" t="str">
        <f t="shared" si="511"/>
        <v/>
      </c>
      <c r="BJ1462" s="747" t="str">
        <f t="shared" si="518"/>
        <v/>
      </c>
      <c r="BK1462" s="498" t="str">
        <f t="shared" si="512"/>
        <v/>
      </c>
      <c r="BL1462" s="498" t="str">
        <f t="shared" si="513"/>
        <v/>
      </c>
    </row>
    <row r="1463" spans="1:64" x14ac:dyDescent="0.25">
      <c r="A1463" s="762">
        <f t="shared" si="514"/>
        <v>1458</v>
      </c>
      <c r="B1463" s="229"/>
      <c r="C1463" s="223"/>
      <c r="D1463" s="224"/>
      <c r="E1463" s="225"/>
      <c r="F1463" s="1036" t="str">
        <f t="shared" si="520"/>
        <v/>
      </c>
      <c r="G1463" s="1037" t="str">
        <f t="shared" si="515"/>
        <v/>
      </c>
      <c r="H1463" s="225"/>
      <c r="I1463" s="1013"/>
      <c r="J1463" s="1013"/>
      <c r="K1463" s="1028"/>
      <c r="L1463" s="1035" t="str">
        <f t="shared" si="519"/>
        <v/>
      </c>
      <c r="S1463" s="498"/>
      <c r="AJ1463" s="498"/>
      <c r="AM1463" s="498">
        <f t="shared" si="500"/>
        <v>0</v>
      </c>
      <c r="AN1463" s="498">
        <f t="shared" si="501"/>
        <v>0</v>
      </c>
      <c r="AO1463" s="498">
        <f t="shared" si="502"/>
        <v>0</v>
      </c>
      <c r="AP1463" s="498">
        <f t="shared" si="521"/>
        <v>0</v>
      </c>
      <c r="AQ1463" s="498">
        <f t="shared" si="516"/>
        <v>0</v>
      </c>
      <c r="AU1463" s="498">
        <f t="shared" si="503"/>
        <v>0</v>
      </c>
      <c r="AV1463" s="498">
        <f t="shared" si="504"/>
        <v>0</v>
      </c>
      <c r="AW1463" s="498">
        <f t="shared" si="505"/>
        <v>0</v>
      </c>
      <c r="AX1463" s="498">
        <f t="shared" si="506"/>
        <v>0</v>
      </c>
      <c r="AY1463" s="498">
        <f t="shared" si="507"/>
        <v>0</v>
      </c>
      <c r="BB1463" s="498" t="str">
        <f t="shared" si="508"/>
        <v/>
      </c>
      <c r="BC1463" s="743" t="str">
        <f t="shared" si="509"/>
        <v/>
      </c>
      <c r="BD1463" s="743" t="str">
        <f t="shared" si="510"/>
        <v/>
      </c>
      <c r="BE1463" s="743" t="str">
        <f>IF(D1463="","",VLOOKUP(D1463,'General Basis'!$J$39:$K$46,2,0))</f>
        <v/>
      </c>
      <c r="BF1463" s="744" t="str">
        <f>IF(D1463="","",VLOOKUP(D1463,'General Basis'!$J$39:$L$46,3,0))</f>
        <v/>
      </c>
      <c r="BG1463" s="744" t="str">
        <f t="shared" si="517"/>
        <v/>
      </c>
      <c r="BH1463" s="744" t="str">
        <f>IF(G1463="","",IF(BF1463="Abu Dhabi",IF(G1463&lt;18,'General Basis'!$C$39,IF(G1463&lt;41,'General Basis'!$C$40,IF(G1463&lt;60,'General Basis'!$C$41,IF(G1463&lt;65,'General Basis'!$C$42,'General Basis'!$C$43)))),IF(G1463&lt;11,'General Basis'!$B$39,IF(G1463&lt;18,'General Basis'!$B$40,IF(G1463&lt;26,'General Basis'!$B$41,IF(G1463&lt;31,'General Basis'!$B$42,IF(G1463&lt;36,'General Basis'!$B$43,IF(G1463&lt;41,'General Basis'!$B$44,IF(G1463&lt;46,'General Basis'!$B$45,IF(G1463&lt;51,'General Basis'!$B$46,IF(G1463&lt;56,'General Basis'!$B$47,IF(G1463&lt;60,'General Basis'!$B$48,IF(G1463&lt;65,'General Basis'!$B$49,'General Basis'!$B$50)))))))))))))</f>
        <v/>
      </c>
      <c r="BI1463" s="744" t="str">
        <f t="shared" si="511"/>
        <v/>
      </c>
      <c r="BJ1463" s="747" t="str">
        <f t="shared" si="518"/>
        <v/>
      </c>
      <c r="BK1463" s="498" t="str">
        <f t="shared" si="512"/>
        <v/>
      </c>
      <c r="BL1463" s="498" t="str">
        <f t="shared" si="513"/>
        <v/>
      </c>
    </row>
    <row r="1464" spans="1:64" x14ac:dyDescent="0.25">
      <c r="A1464" s="762">
        <f t="shared" si="514"/>
        <v>1459</v>
      </c>
      <c r="B1464" s="229"/>
      <c r="C1464" s="223"/>
      <c r="D1464" s="224"/>
      <c r="E1464" s="225"/>
      <c r="F1464" s="1036" t="str">
        <f t="shared" si="520"/>
        <v/>
      </c>
      <c r="G1464" s="1037" t="str">
        <f t="shared" si="515"/>
        <v/>
      </c>
      <c r="H1464" s="225"/>
      <c r="I1464" s="1013"/>
      <c r="J1464" s="1013"/>
      <c r="K1464" s="1028"/>
      <c r="L1464" s="1035" t="str">
        <f t="shared" si="519"/>
        <v/>
      </c>
      <c r="S1464" s="498"/>
      <c r="AJ1464" s="498"/>
      <c r="AM1464" s="498">
        <f t="shared" si="500"/>
        <v>0</v>
      </c>
      <c r="AN1464" s="498">
        <f t="shared" si="501"/>
        <v>0</v>
      </c>
      <c r="AO1464" s="498">
        <f t="shared" si="502"/>
        <v>0</v>
      </c>
      <c r="AP1464" s="498">
        <f t="shared" si="521"/>
        <v>0</v>
      </c>
      <c r="AQ1464" s="498">
        <f t="shared" si="516"/>
        <v>0</v>
      </c>
      <c r="AU1464" s="498">
        <f t="shared" si="503"/>
        <v>0</v>
      </c>
      <c r="AV1464" s="498">
        <f t="shared" si="504"/>
        <v>0</v>
      </c>
      <c r="AW1464" s="498">
        <f t="shared" si="505"/>
        <v>0</v>
      </c>
      <c r="AX1464" s="498">
        <f t="shared" si="506"/>
        <v>0</v>
      </c>
      <c r="AY1464" s="498">
        <f t="shared" si="507"/>
        <v>0</v>
      </c>
      <c r="BB1464" s="498" t="str">
        <f t="shared" si="508"/>
        <v/>
      </c>
      <c r="BC1464" s="743" t="str">
        <f t="shared" si="509"/>
        <v/>
      </c>
      <c r="BD1464" s="743" t="str">
        <f t="shared" si="510"/>
        <v/>
      </c>
      <c r="BE1464" s="743" t="str">
        <f>IF(D1464="","",VLOOKUP(D1464,'General Basis'!$J$39:$K$46,2,0))</f>
        <v/>
      </c>
      <c r="BF1464" s="744" t="str">
        <f>IF(D1464="","",VLOOKUP(D1464,'General Basis'!$J$39:$L$46,3,0))</f>
        <v/>
      </c>
      <c r="BG1464" s="744" t="str">
        <f t="shared" si="517"/>
        <v/>
      </c>
      <c r="BH1464" s="744" t="str">
        <f>IF(G1464="","",IF(BF1464="Abu Dhabi",IF(G1464&lt;18,'General Basis'!$C$39,IF(G1464&lt;41,'General Basis'!$C$40,IF(G1464&lt;60,'General Basis'!$C$41,IF(G1464&lt;65,'General Basis'!$C$42,'General Basis'!$C$43)))),IF(G1464&lt;11,'General Basis'!$B$39,IF(G1464&lt;18,'General Basis'!$B$40,IF(G1464&lt;26,'General Basis'!$B$41,IF(G1464&lt;31,'General Basis'!$B$42,IF(G1464&lt;36,'General Basis'!$B$43,IF(G1464&lt;41,'General Basis'!$B$44,IF(G1464&lt;46,'General Basis'!$B$45,IF(G1464&lt;51,'General Basis'!$B$46,IF(G1464&lt;56,'General Basis'!$B$47,IF(G1464&lt;60,'General Basis'!$B$48,IF(G1464&lt;65,'General Basis'!$B$49,'General Basis'!$B$50)))))))))))))</f>
        <v/>
      </c>
      <c r="BI1464" s="744" t="str">
        <f t="shared" si="511"/>
        <v/>
      </c>
      <c r="BJ1464" s="747" t="str">
        <f t="shared" si="518"/>
        <v/>
      </c>
      <c r="BK1464" s="498" t="str">
        <f t="shared" si="512"/>
        <v/>
      </c>
      <c r="BL1464" s="498" t="str">
        <f t="shared" si="513"/>
        <v/>
      </c>
    </row>
    <row r="1465" spans="1:64" x14ac:dyDescent="0.25">
      <c r="A1465" s="762">
        <f t="shared" si="514"/>
        <v>1460</v>
      </c>
      <c r="B1465" s="229"/>
      <c r="C1465" s="223"/>
      <c r="D1465" s="224"/>
      <c r="E1465" s="225"/>
      <c r="F1465" s="1036" t="str">
        <f t="shared" si="520"/>
        <v/>
      </c>
      <c r="G1465" s="1037" t="str">
        <f t="shared" si="515"/>
        <v/>
      </c>
      <c r="H1465" s="225"/>
      <c r="I1465" s="1013"/>
      <c r="J1465" s="1013"/>
      <c r="K1465" s="1028"/>
      <c r="L1465" s="1035" t="str">
        <f t="shared" si="519"/>
        <v/>
      </c>
      <c r="S1465" s="498"/>
      <c r="AJ1465" s="498"/>
      <c r="AM1465" s="498">
        <f t="shared" si="500"/>
        <v>0</v>
      </c>
      <c r="AN1465" s="498">
        <f t="shared" si="501"/>
        <v>0</v>
      </c>
      <c r="AO1465" s="498">
        <f t="shared" si="502"/>
        <v>0</v>
      </c>
      <c r="AP1465" s="498">
        <f t="shared" si="521"/>
        <v>0</v>
      </c>
      <c r="AQ1465" s="498">
        <f t="shared" si="516"/>
        <v>0</v>
      </c>
      <c r="AU1465" s="498">
        <f t="shared" si="503"/>
        <v>0</v>
      </c>
      <c r="AV1465" s="498">
        <f t="shared" si="504"/>
        <v>0</v>
      </c>
      <c r="AW1465" s="498">
        <f t="shared" si="505"/>
        <v>0</v>
      </c>
      <c r="AX1465" s="498">
        <f t="shared" si="506"/>
        <v>0</v>
      </c>
      <c r="AY1465" s="498">
        <f t="shared" si="507"/>
        <v>0</v>
      </c>
      <c r="BB1465" s="498" t="str">
        <f t="shared" si="508"/>
        <v/>
      </c>
      <c r="BC1465" s="743" t="str">
        <f t="shared" si="509"/>
        <v/>
      </c>
      <c r="BD1465" s="743" t="str">
        <f t="shared" si="510"/>
        <v/>
      </c>
      <c r="BE1465" s="743" t="str">
        <f>IF(D1465="","",VLOOKUP(D1465,'General Basis'!$J$39:$K$46,2,0))</f>
        <v/>
      </c>
      <c r="BF1465" s="744" t="str">
        <f>IF(D1465="","",VLOOKUP(D1465,'General Basis'!$J$39:$L$46,3,0))</f>
        <v/>
      </c>
      <c r="BG1465" s="744" t="str">
        <f t="shared" si="517"/>
        <v/>
      </c>
      <c r="BH1465" s="744" t="str">
        <f>IF(G1465="","",IF(BF1465="Abu Dhabi",IF(G1465&lt;18,'General Basis'!$C$39,IF(G1465&lt;41,'General Basis'!$C$40,IF(G1465&lt;60,'General Basis'!$C$41,IF(G1465&lt;65,'General Basis'!$C$42,'General Basis'!$C$43)))),IF(G1465&lt;11,'General Basis'!$B$39,IF(G1465&lt;18,'General Basis'!$B$40,IF(G1465&lt;26,'General Basis'!$B$41,IF(G1465&lt;31,'General Basis'!$B$42,IF(G1465&lt;36,'General Basis'!$B$43,IF(G1465&lt;41,'General Basis'!$B$44,IF(G1465&lt;46,'General Basis'!$B$45,IF(G1465&lt;51,'General Basis'!$B$46,IF(G1465&lt;56,'General Basis'!$B$47,IF(G1465&lt;60,'General Basis'!$B$48,IF(G1465&lt;65,'General Basis'!$B$49,'General Basis'!$B$50)))))))))))))</f>
        <v/>
      </c>
      <c r="BI1465" s="744" t="str">
        <f t="shared" si="511"/>
        <v/>
      </c>
      <c r="BJ1465" s="747" t="str">
        <f t="shared" si="518"/>
        <v/>
      </c>
      <c r="BK1465" s="498" t="str">
        <f t="shared" si="512"/>
        <v/>
      </c>
      <c r="BL1465" s="498" t="str">
        <f t="shared" si="513"/>
        <v/>
      </c>
    </row>
    <row r="1466" spans="1:64" x14ac:dyDescent="0.25">
      <c r="A1466" s="762">
        <f t="shared" si="514"/>
        <v>1461</v>
      </c>
      <c r="B1466" s="229"/>
      <c r="C1466" s="223"/>
      <c r="D1466" s="224"/>
      <c r="E1466" s="225"/>
      <c r="F1466" s="1036" t="str">
        <f t="shared" si="520"/>
        <v/>
      </c>
      <c r="G1466" s="1037" t="str">
        <f t="shared" si="515"/>
        <v/>
      </c>
      <c r="H1466" s="225"/>
      <c r="I1466" s="1013"/>
      <c r="J1466" s="1013"/>
      <c r="K1466" s="1028"/>
      <c r="L1466" s="1035" t="str">
        <f t="shared" si="519"/>
        <v/>
      </c>
      <c r="S1466" s="498"/>
      <c r="AJ1466" s="498"/>
      <c r="AM1466" s="498">
        <f t="shared" si="500"/>
        <v>0</v>
      </c>
      <c r="AN1466" s="498">
        <f t="shared" si="501"/>
        <v>0</v>
      </c>
      <c r="AO1466" s="498">
        <f t="shared" si="502"/>
        <v>0</v>
      </c>
      <c r="AP1466" s="498">
        <f t="shared" si="521"/>
        <v>0</v>
      </c>
      <c r="AQ1466" s="498">
        <f t="shared" si="516"/>
        <v>0</v>
      </c>
      <c r="AU1466" s="498">
        <f t="shared" si="503"/>
        <v>0</v>
      </c>
      <c r="AV1466" s="498">
        <f t="shared" si="504"/>
        <v>0</v>
      </c>
      <c r="AW1466" s="498">
        <f t="shared" si="505"/>
        <v>0</v>
      </c>
      <c r="AX1466" s="498">
        <f t="shared" si="506"/>
        <v>0</v>
      </c>
      <c r="AY1466" s="498">
        <f t="shared" si="507"/>
        <v>0</v>
      </c>
      <c r="BB1466" s="498" t="str">
        <f t="shared" si="508"/>
        <v/>
      </c>
      <c r="BC1466" s="743" t="str">
        <f t="shared" si="509"/>
        <v/>
      </c>
      <c r="BD1466" s="743" t="str">
        <f t="shared" si="510"/>
        <v/>
      </c>
      <c r="BE1466" s="743" t="str">
        <f>IF(D1466="","",VLOOKUP(D1466,'General Basis'!$J$39:$K$46,2,0))</f>
        <v/>
      </c>
      <c r="BF1466" s="744" t="str">
        <f>IF(D1466="","",VLOOKUP(D1466,'General Basis'!$J$39:$L$46,3,0))</f>
        <v/>
      </c>
      <c r="BG1466" s="744" t="str">
        <f t="shared" si="517"/>
        <v/>
      </c>
      <c r="BH1466" s="744" t="str">
        <f>IF(G1466="","",IF(BF1466="Abu Dhabi",IF(G1466&lt;18,'General Basis'!$C$39,IF(G1466&lt;41,'General Basis'!$C$40,IF(G1466&lt;60,'General Basis'!$C$41,IF(G1466&lt;65,'General Basis'!$C$42,'General Basis'!$C$43)))),IF(G1466&lt;11,'General Basis'!$B$39,IF(G1466&lt;18,'General Basis'!$B$40,IF(G1466&lt;26,'General Basis'!$B$41,IF(G1466&lt;31,'General Basis'!$B$42,IF(G1466&lt;36,'General Basis'!$B$43,IF(G1466&lt;41,'General Basis'!$B$44,IF(G1466&lt;46,'General Basis'!$B$45,IF(G1466&lt;51,'General Basis'!$B$46,IF(G1466&lt;56,'General Basis'!$B$47,IF(G1466&lt;60,'General Basis'!$B$48,IF(G1466&lt;65,'General Basis'!$B$49,'General Basis'!$B$50)))))))))))))</f>
        <v/>
      </c>
      <c r="BI1466" s="744" t="str">
        <f t="shared" si="511"/>
        <v/>
      </c>
      <c r="BJ1466" s="747" t="str">
        <f t="shared" si="518"/>
        <v/>
      </c>
      <c r="BK1466" s="498" t="str">
        <f t="shared" si="512"/>
        <v/>
      </c>
      <c r="BL1466" s="498" t="str">
        <f t="shared" si="513"/>
        <v/>
      </c>
    </row>
    <row r="1467" spans="1:64" x14ac:dyDescent="0.25">
      <c r="A1467" s="762">
        <f t="shared" si="514"/>
        <v>1462</v>
      </c>
      <c r="B1467" s="229"/>
      <c r="C1467" s="223"/>
      <c r="D1467" s="224"/>
      <c r="E1467" s="225"/>
      <c r="F1467" s="1036" t="str">
        <f t="shared" si="520"/>
        <v/>
      </c>
      <c r="G1467" s="1037" t="str">
        <f t="shared" si="515"/>
        <v/>
      </c>
      <c r="H1467" s="225"/>
      <c r="I1467" s="1013"/>
      <c r="J1467" s="1013"/>
      <c r="K1467" s="1028"/>
      <c r="L1467" s="1035" t="str">
        <f t="shared" si="519"/>
        <v/>
      </c>
      <c r="S1467" s="498"/>
      <c r="AJ1467" s="498"/>
      <c r="AM1467" s="498">
        <f t="shared" si="500"/>
        <v>0</v>
      </c>
      <c r="AN1467" s="498">
        <f t="shared" si="501"/>
        <v>0</v>
      </c>
      <c r="AO1467" s="498">
        <f t="shared" si="502"/>
        <v>0</v>
      </c>
      <c r="AP1467" s="498">
        <f t="shared" si="521"/>
        <v>0</v>
      </c>
      <c r="AQ1467" s="498">
        <f t="shared" si="516"/>
        <v>0</v>
      </c>
      <c r="AU1467" s="498">
        <f t="shared" si="503"/>
        <v>0</v>
      </c>
      <c r="AV1467" s="498">
        <f t="shared" si="504"/>
        <v>0</v>
      </c>
      <c r="AW1467" s="498">
        <f t="shared" si="505"/>
        <v>0</v>
      </c>
      <c r="AX1467" s="498">
        <f t="shared" si="506"/>
        <v>0</v>
      </c>
      <c r="AY1467" s="498">
        <f t="shared" si="507"/>
        <v>0</v>
      </c>
      <c r="BB1467" s="498" t="str">
        <f t="shared" si="508"/>
        <v/>
      </c>
      <c r="BC1467" s="743" t="str">
        <f t="shared" si="509"/>
        <v/>
      </c>
      <c r="BD1467" s="743" t="str">
        <f t="shared" si="510"/>
        <v/>
      </c>
      <c r="BE1467" s="743" t="str">
        <f>IF(D1467="","",VLOOKUP(D1467,'General Basis'!$J$39:$K$46,2,0))</f>
        <v/>
      </c>
      <c r="BF1467" s="744" t="str">
        <f>IF(D1467="","",VLOOKUP(D1467,'General Basis'!$J$39:$L$46,3,0))</f>
        <v/>
      </c>
      <c r="BG1467" s="744" t="str">
        <f t="shared" si="517"/>
        <v/>
      </c>
      <c r="BH1467" s="744" t="str">
        <f>IF(G1467="","",IF(BF1467="Abu Dhabi",IF(G1467&lt;18,'General Basis'!$C$39,IF(G1467&lt;41,'General Basis'!$C$40,IF(G1467&lt;60,'General Basis'!$C$41,IF(G1467&lt;65,'General Basis'!$C$42,'General Basis'!$C$43)))),IF(G1467&lt;11,'General Basis'!$B$39,IF(G1467&lt;18,'General Basis'!$B$40,IF(G1467&lt;26,'General Basis'!$B$41,IF(G1467&lt;31,'General Basis'!$B$42,IF(G1467&lt;36,'General Basis'!$B$43,IF(G1467&lt;41,'General Basis'!$B$44,IF(G1467&lt;46,'General Basis'!$B$45,IF(G1467&lt;51,'General Basis'!$B$46,IF(G1467&lt;56,'General Basis'!$B$47,IF(G1467&lt;60,'General Basis'!$B$48,IF(G1467&lt;65,'General Basis'!$B$49,'General Basis'!$B$50)))))))))))))</f>
        <v/>
      </c>
      <c r="BI1467" s="744" t="str">
        <f t="shared" si="511"/>
        <v/>
      </c>
      <c r="BJ1467" s="747" t="str">
        <f t="shared" si="518"/>
        <v/>
      </c>
      <c r="BK1467" s="498" t="str">
        <f t="shared" si="512"/>
        <v/>
      </c>
      <c r="BL1467" s="498" t="str">
        <f t="shared" si="513"/>
        <v/>
      </c>
    </row>
    <row r="1468" spans="1:64" x14ac:dyDescent="0.25">
      <c r="A1468" s="762">
        <f t="shared" si="514"/>
        <v>1463</v>
      </c>
      <c r="B1468" s="229"/>
      <c r="C1468" s="223"/>
      <c r="D1468" s="224"/>
      <c r="E1468" s="225"/>
      <c r="F1468" s="1036" t="str">
        <f t="shared" si="520"/>
        <v/>
      </c>
      <c r="G1468" s="1037" t="str">
        <f t="shared" si="515"/>
        <v/>
      </c>
      <c r="H1468" s="225"/>
      <c r="I1468" s="1013"/>
      <c r="J1468" s="1013"/>
      <c r="K1468" s="1028"/>
      <c r="L1468" s="1035" t="str">
        <f t="shared" si="519"/>
        <v/>
      </c>
      <c r="S1468" s="498"/>
      <c r="AJ1468" s="498"/>
      <c r="AM1468" s="498">
        <f t="shared" si="500"/>
        <v>0</v>
      </c>
      <c r="AN1468" s="498">
        <f t="shared" si="501"/>
        <v>0</v>
      </c>
      <c r="AO1468" s="498">
        <f t="shared" si="502"/>
        <v>0</v>
      </c>
      <c r="AP1468" s="498">
        <f t="shared" si="521"/>
        <v>0</v>
      </c>
      <c r="AQ1468" s="498">
        <f t="shared" si="516"/>
        <v>0</v>
      </c>
      <c r="AU1468" s="498">
        <f t="shared" si="503"/>
        <v>0</v>
      </c>
      <c r="AV1468" s="498">
        <f t="shared" si="504"/>
        <v>0</v>
      </c>
      <c r="AW1468" s="498">
        <f t="shared" si="505"/>
        <v>0</v>
      </c>
      <c r="AX1468" s="498">
        <f t="shared" si="506"/>
        <v>0</v>
      </c>
      <c r="AY1468" s="498">
        <f t="shared" si="507"/>
        <v>0</v>
      </c>
      <c r="BB1468" s="498" t="str">
        <f t="shared" si="508"/>
        <v/>
      </c>
      <c r="BC1468" s="743" t="str">
        <f t="shared" si="509"/>
        <v/>
      </c>
      <c r="BD1468" s="743" t="str">
        <f t="shared" si="510"/>
        <v/>
      </c>
      <c r="BE1468" s="743" t="str">
        <f>IF(D1468="","",VLOOKUP(D1468,'General Basis'!$J$39:$K$46,2,0))</f>
        <v/>
      </c>
      <c r="BF1468" s="744" t="str">
        <f>IF(D1468="","",VLOOKUP(D1468,'General Basis'!$J$39:$L$46,3,0))</f>
        <v/>
      </c>
      <c r="BG1468" s="744" t="str">
        <f t="shared" si="517"/>
        <v/>
      </c>
      <c r="BH1468" s="744" t="str">
        <f>IF(G1468="","",IF(BF1468="Abu Dhabi",IF(G1468&lt;18,'General Basis'!$C$39,IF(G1468&lt;41,'General Basis'!$C$40,IF(G1468&lt;60,'General Basis'!$C$41,IF(G1468&lt;65,'General Basis'!$C$42,'General Basis'!$C$43)))),IF(G1468&lt;11,'General Basis'!$B$39,IF(G1468&lt;18,'General Basis'!$B$40,IF(G1468&lt;26,'General Basis'!$B$41,IF(G1468&lt;31,'General Basis'!$B$42,IF(G1468&lt;36,'General Basis'!$B$43,IF(G1468&lt;41,'General Basis'!$B$44,IF(G1468&lt;46,'General Basis'!$B$45,IF(G1468&lt;51,'General Basis'!$B$46,IF(G1468&lt;56,'General Basis'!$B$47,IF(G1468&lt;60,'General Basis'!$B$48,IF(G1468&lt;65,'General Basis'!$B$49,'General Basis'!$B$50)))))))))))))</f>
        <v/>
      </c>
      <c r="BI1468" s="744" t="str">
        <f t="shared" si="511"/>
        <v/>
      </c>
      <c r="BJ1468" s="747" t="str">
        <f t="shared" si="518"/>
        <v/>
      </c>
      <c r="BK1468" s="498" t="str">
        <f t="shared" si="512"/>
        <v/>
      </c>
      <c r="BL1468" s="498" t="str">
        <f t="shared" si="513"/>
        <v/>
      </c>
    </row>
    <row r="1469" spans="1:64" x14ac:dyDescent="0.25">
      <c r="A1469" s="762">
        <f t="shared" si="514"/>
        <v>1464</v>
      </c>
      <c r="B1469" s="229"/>
      <c r="C1469" s="223"/>
      <c r="D1469" s="224"/>
      <c r="E1469" s="225"/>
      <c r="F1469" s="1036" t="str">
        <f t="shared" si="520"/>
        <v/>
      </c>
      <c r="G1469" s="1037" t="str">
        <f t="shared" si="515"/>
        <v/>
      </c>
      <c r="H1469" s="225"/>
      <c r="I1469" s="1013"/>
      <c r="J1469" s="1013"/>
      <c r="K1469" s="1028"/>
      <c r="L1469" s="1035" t="str">
        <f t="shared" si="519"/>
        <v/>
      </c>
      <c r="S1469" s="498"/>
      <c r="AJ1469" s="498"/>
      <c r="AM1469" s="498">
        <f t="shared" si="500"/>
        <v>0</v>
      </c>
      <c r="AN1469" s="498">
        <f t="shared" si="501"/>
        <v>0</v>
      </c>
      <c r="AO1469" s="498">
        <f t="shared" si="502"/>
        <v>0</v>
      </c>
      <c r="AP1469" s="498">
        <f t="shared" si="521"/>
        <v>0</v>
      </c>
      <c r="AQ1469" s="498">
        <f t="shared" si="516"/>
        <v>0</v>
      </c>
      <c r="AU1469" s="498">
        <f t="shared" si="503"/>
        <v>0</v>
      </c>
      <c r="AV1469" s="498">
        <f t="shared" si="504"/>
        <v>0</v>
      </c>
      <c r="AW1469" s="498">
        <f t="shared" si="505"/>
        <v>0</v>
      </c>
      <c r="AX1469" s="498">
        <f t="shared" si="506"/>
        <v>0</v>
      </c>
      <c r="AY1469" s="498">
        <f t="shared" si="507"/>
        <v>0</v>
      </c>
      <c r="BB1469" s="498" t="str">
        <f t="shared" si="508"/>
        <v/>
      </c>
      <c r="BC1469" s="743" t="str">
        <f t="shared" si="509"/>
        <v/>
      </c>
      <c r="BD1469" s="743" t="str">
        <f t="shared" si="510"/>
        <v/>
      </c>
      <c r="BE1469" s="743" t="str">
        <f>IF(D1469="","",VLOOKUP(D1469,'General Basis'!$J$39:$K$46,2,0))</f>
        <v/>
      </c>
      <c r="BF1469" s="744" t="str">
        <f>IF(D1469="","",VLOOKUP(D1469,'General Basis'!$J$39:$L$46,3,0))</f>
        <v/>
      </c>
      <c r="BG1469" s="744" t="str">
        <f t="shared" si="517"/>
        <v/>
      </c>
      <c r="BH1469" s="744" t="str">
        <f>IF(G1469="","",IF(BF1469="Abu Dhabi",IF(G1469&lt;18,'General Basis'!$C$39,IF(G1469&lt;41,'General Basis'!$C$40,IF(G1469&lt;60,'General Basis'!$C$41,IF(G1469&lt;65,'General Basis'!$C$42,'General Basis'!$C$43)))),IF(G1469&lt;11,'General Basis'!$B$39,IF(G1469&lt;18,'General Basis'!$B$40,IF(G1469&lt;26,'General Basis'!$B$41,IF(G1469&lt;31,'General Basis'!$B$42,IF(G1469&lt;36,'General Basis'!$B$43,IF(G1469&lt;41,'General Basis'!$B$44,IF(G1469&lt;46,'General Basis'!$B$45,IF(G1469&lt;51,'General Basis'!$B$46,IF(G1469&lt;56,'General Basis'!$B$47,IF(G1469&lt;60,'General Basis'!$B$48,IF(G1469&lt;65,'General Basis'!$B$49,'General Basis'!$B$50)))))))))))))</f>
        <v/>
      </c>
      <c r="BI1469" s="744" t="str">
        <f t="shared" si="511"/>
        <v/>
      </c>
      <c r="BJ1469" s="747" t="str">
        <f t="shared" si="518"/>
        <v/>
      </c>
      <c r="BK1469" s="498" t="str">
        <f t="shared" si="512"/>
        <v/>
      </c>
      <c r="BL1469" s="498" t="str">
        <f t="shared" si="513"/>
        <v/>
      </c>
    </row>
    <row r="1470" spans="1:64" x14ac:dyDescent="0.25">
      <c r="A1470" s="762">
        <f t="shared" si="514"/>
        <v>1465</v>
      </c>
      <c r="B1470" s="229"/>
      <c r="C1470" s="223"/>
      <c r="D1470" s="224"/>
      <c r="E1470" s="225"/>
      <c r="F1470" s="1036" t="str">
        <f t="shared" si="520"/>
        <v/>
      </c>
      <c r="G1470" s="1037" t="str">
        <f t="shared" si="515"/>
        <v/>
      </c>
      <c r="H1470" s="225"/>
      <c r="I1470" s="1013"/>
      <c r="J1470" s="1013"/>
      <c r="K1470" s="1028"/>
      <c r="L1470" s="1035" t="str">
        <f t="shared" si="519"/>
        <v/>
      </c>
      <c r="S1470" s="498"/>
      <c r="AJ1470" s="498"/>
      <c r="AM1470" s="498">
        <f t="shared" si="500"/>
        <v>0</v>
      </c>
      <c r="AN1470" s="498">
        <f t="shared" si="501"/>
        <v>0</v>
      </c>
      <c r="AO1470" s="498">
        <f t="shared" si="502"/>
        <v>0</v>
      </c>
      <c r="AP1470" s="498">
        <f t="shared" si="521"/>
        <v>0</v>
      </c>
      <c r="AQ1470" s="498">
        <f t="shared" si="516"/>
        <v>0</v>
      </c>
      <c r="AU1470" s="498">
        <f t="shared" si="503"/>
        <v>0</v>
      </c>
      <c r="AV1470" s="498">
        <f t="shared" si="504"/>
        <v>0</v>
      </c>
      <c r="AW1470" s="498">
        <f t="shared" si="505"/>
        <v>0</v>
      </c>
      <c r="AX1470" s="498">
        <f t="shared" si="506"/>
        <v>0</v>
      </c>
      <c r="AY1470" s="498">
        <f t="shared" si="507"/>
        <v>0</v>
      </c>
      <c r="BB1470" s="498" t="str">
        <f t="shared" si="508"/>
        <v/>
      </c>
      <c r="BC1470" s="743" t="str">
        <f t="shared" si="509"/>
        <v/>
      </c>
      <c r="BD1470" s="743" t="str">
        <f t="shared" si="510"/>
        <v/>
      </c>
      <c r="BE1470" s="743" t="str">
        <f>IF(D1470="","",VLOOKUP(D1470,'General Basis'!$J$39:$K$46,2,0))</f>
        <v/>
      </c>
      <c r="BF1470" s="744" t="str">
        <f>IF(D1470="","",VLOOKUP(D1470,'General Basis'!$J$39:$L$46,3,0))</f>
        <v/>
      </c>
      <c r="BG1470" s="744" t="str">
        <f t="shared" si="517"/>
        <v/>
      </c>
      <c r="BH1470" s="744" t="str">
        <f>IF(G1470="","",IF(BF1470="Abu Dhabi",IF(G1470&lt;18,'General Basis'!$C$39,IF(G1470&lt;41,'General Basis'!$C$40,IF(G1470&lt;60,'General Basis'!$C$41,IF(G1470&lt;65,'General Basis'!$C$42,'General Basis'!$C$43)))),IF(G1470&lt;11,'General Basis'!$B$39,IF(G1470&lt;18,'General Basis'!$B$40,IF(G1470&lt;26,'General Basis'!$B$41,IF(G1470&lt;31,'General Basis'!$B$42,IF(G1470&lt;36,'General Basis'!$B$43,IF(G1470&lt;41,'General Basis'!$B$44,IF(G1470&lt;46,'General Basis'!$B$45,IF(G1470&lt;51,'General Basis'!$B$46,IF(G1470&lt;56,'General Basis'!$B$47,IF(G1470&lt;60,'General Basis'!$B$48,IF(G1470&lt;65,'General Basis'!$B$49,'General Basis'!$B$50)))))))))))))</f>
        <v/>
      </c>
      <c r="BI1470" s="744" t="str">
        <f t="shared" si="511"/>
        <v/>
      </c>
      <c r="BJ1470" s="747" t="str">
        <f t="shared" si="518"/>
        <v/>
      </c>
      <c r="BK1470" s="498" t="str">
        <f t="shared" si="512"/>
        <v/>
      </c>
      <c r="BL1470" s="498" t="str">
        <f t="shared" si="513"/>
        <v/>
      </c>
    </row>
    <row r="1471" spans="1:64" x14ac:dyDescent="0.25">
      <c r="A1471" s="762">
        <f t="shared" si="514"/>
        <v>1466</v>
      </c>
      <c r="B1471" s="229"/>
      <c r="C1471" s="223"/>
      <c r="D1471" s="224"/>
      <c r="E1471" s="225"/>
      <c r="F1471" s="1036" t="str">
        <f t="shared" si="520"/>
        <v/>
      </c>
      <c r="G1471" s="1037" t="str">
        <f t="shared" si="515"/>
        <v/>
      </c>
      <c r="H1471" s="225"/>
      <c r="I1471" s="1013"/>
      <c r="J1471" s="1013"/>
      <c r="K1471" s="1028"/>
      <c r="L1471" s="1035" t="str">
        <f t="shared" si="519"/>
        <v/>
      </c>
      <c r="S1471" s="498"/>
      <c r="AJ1471" s="498"/>
      <c r="AM1471" s="498">
        <f t="shared" si="500"/>
        <v>0</v>
      </c>
      <c r="AN1471" s="498">
        <f t="shared" si="501"/>
        <v>0</v>
      </c>
      <c r="AO1471" s="498">
        <f t="shared" si="502"/>
        <v>0</v>
      </c>
      <c r="AP1471" s="498">
        <f t="shared" si="521"/>
        <v>0</v>
      </c>
      <c r="AQ1471" s="498">
        <f t="shared" si="516"/>
        <v>0</v>
      </c>
      <c r="AU1471" s="498">
        <f t="shared" si="503"/>
        <v>0</v>
      </c>
      <c r="AV1471" s="498">
        <f t="shared" si="504"/>
        <v>0</v>
      </c>
      <c r="AW1471" s="498">
        <f t="shared" si="505"/>
        <v>0</v>
      </c>
      <c r="AX1471" s="498">
        <f t="shared" si="506"/>
        <v>0</v>
      </c>
      <c r="AY1471" s="498">
        <f t="shared" si="507"/>
        <v>0</v>
      </c>
      <c r="BB1471" s="498" t="str">
        <f t="shared" si="508"/>
        <v/>
      </c>
      <c r="BC1471" s="743" t="str">
        <f t="shared" si="509"/>
        <v/>
      </c>
      <c r="BD1471" s="743" t="str">
        <f t="shared" si="510"/>
        <v/>
      </c>
      <c r="BE1471" s="743" t="str">
        <f>IF(D1471="","",VLOOKUP(D1471,'General Basis'!$J$39:$K$46,2,0))</f>
        <v/>
      </c>
      <c r="BF1471" s="744" t="str">
        <f>IF(D1471="","",VLOOKUP(D1471,'General Basis'!$J$39:$L$46,3,0))</f>
        <v/>
      </c>
      <c r="BG1471" s="744" t="str">
        <f t="shared" si="517"/>
        <v/>
      </c>
      <c r="BH1471" s="744" t="str">
        <f>IF(G1471="","",IF(BF1471="Abu Dhabi",IF(G1471&lt;18,'General Basis'!$C$39,IF(G1471&lt;41,'General Basis'!$C$40,IF(G1471&lt;60,'General Basis'!$C$41,IF(G1471&lt;65,'General Basis'!$C$42,'General Basis'!$C$43)))),IF(G1471&lt;11,'General Basis'!$B$39,IF(G1471&lt;18,'General Basis'!$B$40,IF(G1471&lt;26,'General Basis'!$B$41,IF(G1471&lt;31,'General Basis'!$B$42,IF(G1471&lt;36,'General Basis'!$B$43,IF(G1471&lt;41,'General Basis'!$B$44,IF(G1471&lt;46,'General Basis'!$B$45,IF(G1471&lt;51,'General Basis'!$B$46,IF(G1471&lt;56,'General Basis'!$B$47,IF(G1471&lt;60,'General Basis'!$B$48,IF(G1471&lt;65,'General Basis'!$B$49,'General Basis'!$B$50)))))))))))))</f>
        <v/>
      </c>
      <c r="BI1471" s="744" t="str">
        <f t="shared" si="511"/>
        <v/>
      </c>
      <c r="BJ1471" s="747" t="str">
        <f t="shared" si="518"/>
        <v/>
      </c>
      <c r="BK1471" s="498" t="str">
        <f t="shared" si="512"/>
        <v/>
      </c>
      <c r="BL1471" s="498" t="str">
        <f t="shared" si="513"/>
        <v/>
      </c>
    </row>
    <row r="1472" spans="1:64" x14ac:dyDescent="0.25">
      <c r="A1472" s="762">
        <f t="shared" si="514"/>
        <v>1467</v>
      </c>
      <c r="B1472" s="229"/>
      <c r="C1472" s="223"/>
      <c r="D1472" s="224"/>
      <c r="E1472" s="225"/>
      <c r="F1472" s="1036" t="str">
        <f t="shared" si="520"/>
        <v/>
      </c>
      <c r="G1472" s="1037" t="str">
        <f t="shared" si="515"/>
        <v/>
      </c>
      <c r="H1472" s="225"/>
      <c r="I1472" s="1013"/>
      <c r="J1472" s="1013"/>
      <c r="K1472" s="1028"/>
      <c r="L1472" s="1035" t="str">
        <f t="shared" si="519"/>
        <v/>
      </c>
      <c r="S1472" s="498"/>
      <c r="AJ1472" s="498"/>
      <c r="AM1472" s="498">
        <f t="shared" si="500"/>
        <v>0</v>
      </c>
      <c r="AN1472" s="498">
        <f t="shared" si="501"/>
        <v>0</v>
      </c>
      <c r="AO1472" s="498">
        <f t="shared" si="502"/>
        <v>0</v>
      </c>
      <c r="AP1472" s="498">
        <f t="shared" si="521"/>
        <v>0</v>
      </c>
      <c r="AQ1472" s="498">
        <f t="shared" si="516"/>
        <v>0</v>
      </c>
      <c r="AU1472" s="498">
        <f t="shared" si="503"/>
        <v>0</v>
      </c>
      <c r="AV1472" s="498">
        <f t="shared" si="504"/>
        <v>0</v>
      </c>
      <c r="AW1472" s="498">
        <f t="shared" si="505"/>
        <v>0</v>
      </c>
      <c r="AX1472" s="498">
        <f t="shared" si="506"/>
        <v>0</v>
      </c>
      <c r="AY1472" s="498">
        <f t="shared" si="507"/>
        <v>0</v>
      </c>
      <c r="BB1472" s="498" t="str">
        <f t="shared" si="508"/>
        <v/>
      </c>
      <c r="BC1472" s="743" t="str">
        <f t="shared" si="509"/>
        <v/>
      </c>
      <c r="BD1472" s="743" t="str">
        <f t="shared" si="510"/>
        <v/>
      </c>
      <c r="BE1472" s="743" t="str">
        <f>IF(D1472="","",VLOOKUP(D1472,'General Basis'!$J$39:$K$46,2,0))</f>
        <v/>
      </c>
      <c r="BF1472" s="744" t="str">
        <f>IF(D1472="","",VLOOKUP(D1472,'General Basis'!$J$39:$L$46,3,0))</f>
        <v/>
      </c>
      <c r="BG1472" s="744" t="str">
        <f t="shared" si="517"/>
        <v/>
      </c>
      <c r="BH1472" s="744" t="str">
        <f>IF(G1472="","",IF(BF1472="Abu Dhabi",IF(G1472&lt;18,'General Basis'!$C$39,IF(G1472&lt;41,'General Basis'!$C$40,IF(G1472&lt;60,'General Basis'!$C$41,IF(G1472&lt;65,'General Basis'!$C$42,'General Basis'!$C$43)))),IF(G1472&lt;11,'General Basis'!$B$39,IF(G1472&lt;18,'General Basis'!$B$40,IF(G1472&lt;26,'General Basis'!$B$41,IF(G1472&lt;31,'General Basis'!$B$42,IF(G1472&lt;36,'General Basis'!$B$43,IF(G1472&lt;41,'General Basis'!$B$44,IF(G1472&lt;46,'General Basis'!$B$45,IF(G1472&lt;51,'General Basis'!$B$46,IF(G1472&lt;56,'General Basis'!$B$47,IF(G1472&lt;60,'General Basis'!$B$48,IF(G1472&lt;65,'General Basis'!$B$49,'General Basis'!$B$50)))))))))))))</f>
        <v/>
      </c>
      <c r="BI1472" s="744" t="str">
        <f t="shared" si="511"/>
        <v/>
      </c>
      <c r="BJ1472" s="747" t="str">
        <f t="shared" si="518"/>
        <v/>
      </c>
      <c r="BK1472" s="498" t="str">
        <f t="shared" si="512"/>
        <v/>
      </c>
      <c r="BL1472" s="498" t="str">
        <f t="shared" si="513"/>
        <v/>
      </c>
    </row>
    <row r="1473" spans="1:64" x14ac:dyDescent="0.25">
      <c r="A1473" s="762">
        <f t="shared" si="514"/>
        <v>1468</v>
      </c>
      <c r="B1473" s="229"/>
      <c r="C1473" s="223"/>
      <c r="D1473" s="224"/>
      <c r="E1473" s="225"/>
      <c r="F1473" s="1036" t="str">
        <f t="shared" si="520"/>
        <v/>
      </c>
      <c r="G1473" s="1037" t="str">
        <f t="shared" si="515"/>
        <v/>
      </c>
      <c r="H1473" s="225"/>
      <c r="I1473" s="1013"/>
      <c r="J1473" s="1013"/>
      <c r="K1473" s="1028"/>
      <c r="L1473" s="1035" t="str">
        <f t="shared" si="519"/>
        <v/>
      </c>
      <c r="S1473" s="498"/>
      <c r="AJ1473" s="498"/>
      <c r="AM1473" s="498">
        <f t="shared" si="500"/>
        <v>0</v>
      </c>
      <c r="AN1473" s="498">
        <f t="shared" si="501"/>
        <v>0</v>
      </c>
      <c r="AO1473" s="498">
        <f t="shared" si="502"/>
        <v>0</v>
      </c>
      <c r="AP1473" s="498">
        <f t="shared" si="521"/>
        <v>0</v>
      </c>
      <c r="AQ1473" s="498">
        <f t="shared" si="516"/>
        <v>0</v>
      </c>
      <c r="AU1473" s="498">
        <f t="shared" si="503"/>
        <v>0</v>
      </c>
      <c r="AV1473" s="498">
        <f t="shared" si="504"/>
        <v>0</v>
      </c>
      <c r="AW1473" s="498">
        <f t="shared" si="505"/>
        <v>0</v>
      </c>
      <c r="AX1473" s="498">
        <f t="shared" si="506"/>
        <v>0</v>
      </c>
      <c r="AY1473" s="498">
        <f t="shared" si="507"/>
        <v>0</v>
      </c>
      <c r="BB1473" s="498" t="str">
        <f t="shared" si="508"/>
        <v/>
      </c>
      <c r="BC1473" s="743" t="str">
        <f t="shared" si="509"/>
        <v/>
      </c>
      <c r="BD1473" s="743" t="str">
        <f t="shared" si="510"/>
        <v/>
      </c>
      <c r="BE1473" s="743" t="str">
        <f>IF(D1473="","",VLOOKUP(D1473,'General Basis'!$J$39:$K$46,2,0))</f>
        <v/>
      </c>
      <c r="BF1473" s="744" t="str">
        <f>IF(D1473="","",VLOOKUP(D1473,'General Basis'!$J$39:$L$46,3,0))</f>
        <v/>
      </c>
      <c r="BG1473" s="744" t="str">
        <f t="shared" si="517"/>
        <v/>
      </c>
      <c r="BH1473" s="744" t="str">
        <f>IF(G1473="","",IF(BF1473="Abu Dhabi",IF(G1473&lt;18,'General Basis'!$C$39,IF(G1473&lt;41,'General Basis'!$C$40,IF(G1473&lt;60,'General Basis'!$C$41,IF(G1473&lt;65,'General Basis'!$C$42,'General Basis'!$C$43)))),IF(G1473&lt;11,'General Basis'!$B$39,IF(G1473&lt;18,'General Basis'!$B$40,IF(G1473&lt;26,'General Basis'!$B$41,IF(G1473&lt;31,'General Basis'!$B$42,IF(G1473&lt;36,'General Basis'!$B$43,IF(G1473&lt;41,'General Basis'!$B$44,IF(G1473&lt;46,'General Basis'!$B$45,IF(G1473&lt;51,'General Basis'!$B$46,IF(G1473&lt;56,'General Basis'!$B$47,IF(G1473&lt;60,'General Basis'!$B$48,IF(G1473&lt;65,'General Basis'!$B$49,'General Basis'!$B$50)))))))))))))</f>
        <v/>
      </c>
      <c r="BI1473" s="744" t="str">
        <f t="shared" si="511"/>
        <v/>
      </c>
      <c r="BJ1473" s="747" t="str">
        <f t="shared" si="518"/>
        <v/>
      </c>
      <c r="BK1473" s="498" t="str">
        <f t="shared" si="512"/>
        <v/>
      </c>
      <c r="BL1473" s="498" t="str">
        <f t="shared" si="513"/>
        <v/>
      </c>
    </row>
    <row r="1474" spans="1:64" x14ac:dyDescent="0.25">
      <c r="A1474" s="762">
        <f t="shared" si="514"/>
        <v>1469</v>
      </c>
      <c r="B1474" s="229"/>
      <c r="C1474" s="223"/>
      <c r="D1474" s="224"/>
      <c r="E1474" s="225"/>
      <c r="F1474" s="1036" t="str">
        <f t="shared" si="520"/>
        <v/>
      </c>
      <c r="G1474" s="1037" t="str">
        <f t="shared" si="515"/>
        <v/>
      </c>
      <c r="H1474" s="225"/>
      <c r="I1474" s="1013"/>
      <c r="J1474" s="1013"/>
      <c r="K1474" s="1028"/>
      <c r="L1474" s="1035" t="str">
        <f t="shared" si="519"/>
        <v/>
      </c>
      <c r="S1474" s="498"/>
      <c r="AJ1474" s="498"/>
      <c r="AM1474" s="498">
        <f t="shared" si="500"/>
        <v>0</v>
      </c>
      <c r="AN1474" s="498">
        <f t="shared" si="501"/>
        <v>0</v>
      </c>
      <c r="AO1474" s="498">
        <f t="shared" si="502"/>
        <v>0</v>
      </c>
      <c r="AP1474" s="498">
        <f t="shared" si="521"/>
        <v>0</v>
      </c>
      <c r="AQ1474" s="498">
        <f t="shared" si="516"/>
        <v>0</v>
      </c>
      <c r="AU1474" s="498">
        <f t="shared" si="503"/>
        <v>0</v>
      </c>
      <c r="AV1474" s="498">
        <f t="shared" si="504"/>
        <v>0</v>
      </c>
      <c r="AW1474" s="498">
        <f t="shared" si="505"/>
        <v>0</v>
      </c>
      <c r="AX1474" s="498">
        <f t="shared" si="506"/>
        <v>0</v>
      </c>
      <c r="AY1474" s="498">
        <f t="shared" si="507"/>
        <v>0</v>
      </c>
      <c r="BB1474" s="498" t="str">
        <f t="shared" si="508"/>
        <v/>
      </c>
      <c r="BC1474" s="743" t="str">
        <f t="shared" si="509"/>
        <v/>
      </c>
      <c r="BD1474" s="743" t="str">
        <f t="shared" si="510"/>
        <v/>
      </c>
      <c r="BE1474" s="743" t="str">
        <f>IF(D1474="","",VLOOKUP(D1474,'General Basis'!$J$39:$K$46,2,0))</f>
        <v/>
      </c>
      <c r="BF1474" s="744" t="str">
        <f>IF(D1474="","",VLOOKUP(D1474,'General Basis'!$J$39:$L$46,3,0))</f>
        <v/>
      </c>
      <c r="BG1474" s="744" t="str">
        <f t="shared" si="517"/>
        <v/>
      </c>
      <c r="BH1474" s="744" t="str">
        <f>IF(G1474="","",IF(BF1474="Abu Dhabi",IF(G1474&lt;18,'General Basis'!$C$39,IF(G1474&lt;41,'General Basis'!$C$40,IF(G1474&lt;60,'General Basis'!$C$41,IF(G1474&lt;65,'General Basis'!$C$42,'General Basis'!$C$43)))),IF(G1474&lt;11,'General Basis'!$B$39,IF(G1474&lt;18,'General Basis'!$B$40,IF(G1474&lt;26,'General Basis'!$B$41,IF(G1474&lt;31,'General Basis'!$B$42,IF(G1474&lt;36,'General Basis'!$B$43,IF(G1474&lt;41,'General Basis'!$B$44,IF(G1474&lt;46,'General Basis'!$B$45,IF(G1474&lt;51,'General Basis'!$B$46,IF(G1474&lt;56,'General Basis'!$B$47,IF(G1474&lt;60,'General Basis'!$B$48,IF(G1474&lt;65,'General Basis'!$B$49,'General Basis'!$B$50)))))))))))))</f>
        <v/>
      </c>
      <c r="BI1474" s="744" t="str">
        <f t="shared" si="511"/>
        <v/>
      </c>
      <c r="BJ1474" s="747" t="str">
        <f t="shared" si="518"/>
        <v/>
      </c>
      <c r="BK1474" s="498" t="str">
        <f t="shared" si="512"/>
        <v/>
      </c>
      <c r="BL1474" s="498" t="str">
        <f t="shared" si="513"/>
        <v/>
      </c>
    </row>
    <row r="1475" spans="1:64" x14ac:dyDescent="0.25">
      <c r="A1475" s="762">
        <f t="shared" si="514"/>
        <v>1470</v>
      </c>
      <c r="B1475" s="229"/>
      <c r="C1475" s="223"/>
      <c r="D1475" s="224"/>
      <c r="E1475" s="225"/>
      <c r="F1475" s="1036" t="str">
        <f t="shared" si="520"/>
        <v/>
      </c>
      <c r="G1475" s="1037" t="str">
        <f t="shared" si="515"/>
        <v/>
      </c>
      <c r="H1475" s="225"/>
      <c r="I1475" s="1013"/>
      <c r="J1475" s="1013"/>
      <c r="K1475" s="1028"/>
      <c r="L1475" s="1035" t="str">
        <f t="shared" si="519"/>
        <v/>
      </c>
      <c r="S1475" s="498"/>
      <c r="AJ1475" s="498"/>
      <c r="AM1475" s="498">
        <f t="shared" si="500"/>
        <v>0</v>
      </c>
      <c r="AN1475" s="498">
        <f t="shared" si="501"/>
        <v>0</v>
      </c>
      <c r="AO1475" s="498">
        <f t="shared" si="502"/>
        <v>0</v>
      </c>
      <c r="AP1475" s="498">
        <f t="shared" si="521"/>
        <v>0</v>
      </c>
      <c r="AQ1475" s="498">
        <f t="shared" si="516"/>
        <v>0</v>
      </c>
      <c r="AU1475" s="498">
        <f t="shared" si="503"/>
        <v>0</v>
      </c>
      <c r="AV1475" s="498">
        <f t="shared" si="504"/>
        <v>0</v>
      </c>
      <c r="AW1475" s="498">
        <f t="shared" si="505"/>
        <v>0</v>
      </c>
      <c r="AX1475" s="498">
        <f t="shared" si="506"/>
        <v>0</v>
      </c>
      <c r="AY1475" s="498">
        <f t="shared" si="507"/>
        <v>0</v>
      </c>
      <c r="BB1475" s="498" t="str">
        <f t="shared" si="508"/>
        <v/>
      </c>
      <c r="BC1475" s="743" t="str">
        <f t="shared" si="509"/>
        <v/>
      </c>
      <c r="BD1475" s="743" t="str">
        <f t="shared" si="510"/>
        <v/>
      </c>
      <c r="BE1475" s="743" t="str">
        <f>IF(D1475="","",VLOOKUP(D1475,'General Basis'!$J$39:$K$46,2,0))</f>
        <v/>
      </c>
      <c r="BF1475" s="744" t="str">
        <f>IF(D1475="","",VLOOKUP(D1475,'General Basis'!$J$39:$L$46,3,0))</f>
        <v/>
      </c>
      <c r="BG1475" s="744" t="str">
        <f t="shared" si="517"/>
        <v/>
      </c>
      <c r="BH1475" s="744" t="str">
        <f>IF(G1475="","",IF(BF1475="Abu Dhabi",IF(G1475&lt;18,'General Basis'!$C$39,IF(G1475&lt;41,'General Basis'!$C$40,IF(G1475&lt;60,'General Basis'!$C$41,IF(G1475&lt;65,'General Basis'!$C$42,'General Basis'!$C$43)))),IF(G1475&lt;11,'General Basis'!$B$39,IF(G1475&lt;18,'General Basis'!$B$40,IF(G1475&lt;26,'General Basis'!$B$41,IF(G1475&lt;31,'General Basis'!$B$42,IF(G1475&lt;36,'General Basis'!$B$43,IF(G1475&lt;41,'General Basis'!$B$44,IF(G1475&lt;46,'General Basis'!$B$45,IF(G1475&lt;51,'General Basis'!$B$46,IF(G1475&lt;56,'General Basis'!$B$47,IF(G1475&lt;60,'General Basis'!$B$48,IF(G1475&lt;65,'General Basis'!$B$49,'General Basis'!$B$50)))))))))))))</f>
        <v/>
      </c>
      <c r="BI1475" s="744" t="str">
        <f t="shared" si="511"/>
        <v/>
      </c>
      <c r="BJ1475" s="747" t="str">
        <f t="shared" si="518"/>
        <v/>
      </c>
      <c r="BK1475" s="498" t="str">
        <f t="shared" si="512"/>
        <v/>
      </c>
      <c r="BL1475" s="498" t="str">
        <f t="shared" si="513"/>
        <v/>
      </c>
    </row>
    <row r="1476" spans="1:64" x14ac:dyDescent="0.25">
      <c r="A1476" s="762">
        <f t="shared" si="514"/>
        <v>1471</v>
      </c>
      <c r="B1476" s="229"/>
      <c r="C1476" s="223"/>
      <c r="D1476" s="224"/>
      <c r="E1476" s="225"/>
      <c r="F1476" s="1036" t="str">
        <f t="shared" si="520"/>
        <v/>
      </c>
      <c r="G1476" s="1037" t="str">
        <f t="shared" si="515"/>
        <v/>
      </c>
      <c r="H1476" s="225"/>
      <c r="I1476" s="1013"/>
      <c r="J1476" s="1013"/>
      <c r="K1476" s="1028"/>
      <c r="L1476" s="1035" t="str">
        <f t="shared" si="519"/>
        <v/>
      </c>
      <c r="S1476" s="498"/>
      <c r="AJ1476" s="498"/>
      <c r="AM1476" s="498">
        <f t="shared" si="500"/>
        <v>0</v>
      </c>
      <c r="AN1476" s="498">
        <f t="shared" si="501"/>
        <v>0</v>
      </c>
      <c r="AO1476" s="498">
        <f t="shared" si="502"/>
        <v>0</v>
      </c>
      <c r="AP1476" s="498">
        <f t="shared" si="521"/>
        <v>0</v>
      </c>
      <c r="AQ1476" s="498">
        <f t="shared" si="516"/>
        <v>0</v>
      </c>
      <c r="AU1476" s="498">
        <f t="shared" si="503"/>
        <v>0</v>
      </c>
      <c r="AV1476" s="498">
        <f t="shared" si="504"/>
        <v>0</v>
      </c>
      <c r="AW1476" s="498">
        <f t="shared" si="505"/>
        <v>0</v>
      </c>
      <c r="AX1476" s="498">
        <f t="shared" si="506"/>
        <v>0</v>
      </c>
      <c r="AY1476" s="498">
        <f t="shared" si="507"/>
        <v>0</v>
      </c>
      <c r="BB1476" s="498" t="str">
        <f t="shared" si="508"/>
        <v/>
      </c>
      <c r="BC1476" s="743" t="str">
        <f t="shared" si="509"/>
        <v/>
      </c>
      <c r="BD1476" s="743" t="str">
        <f t="shared" si="510"/>
        <v/>
      </c>
      <c r="BE1476" s="743" t="str">
        <f>IF(D1476="","",VLOOKUP(D1476,'General Basis'!$J$39:$K$46,2,0))</f>
        <v/>
      </c>
      <c r="BF1476" s="744" t="str">
        <f>IF(D1476="","",VLOOKUP(D1476,'General Basis'!$J$39:$L$46,3,0))</f>
        <v/>
      </c>
      <c r="BG1476" s="744" t="str">
        <f t="shared" si="517"/>
        <v/>
      </c>
      <c r="BH1476" s="744" t="str">
        <f>IF(G1476="","",IF(BF1476="Abu Dhabi",IF(G1476&lt;18,'General Basis'!$C$39,IF(G1476&lt;41,'General Basis'!$C$40,IF(G1476&lt;60,'General Basis'!$C$41,IF(G1476&lt;65,'General Basis'!$C$42,'General Basis'!$C$43)))),IF(G1476&lt;11,'General Basis'!$B$39,IF(G1476&lt;18,'General Basis'!$B$40,IF(G1476&lt;26,'General Basis'!$B$41,IF(G1476&lt;31,'General Basis'!$B$42,IF(G1476&lt;36,'General Basis'!$B$43,IF(G1476&lt;41,'General Basis'!$B$44,IF(G1476&lt;46,'General Basis'!$B$45,IF(G1476&lt;51,'General Basis'!$B$46,IF(G1476&lt;56,'General Basis'!$B$47,IF(G1476&lt;60,'General Basis'!$B$48,IF(G1476&lt;65,'General Basis'!$B$49,'General Basis'!$B$50)))))))))))))</f>
        <v/>
      </c>
      <c r="BI1476" s="744" t="str">
        <f t="shared" si="511"/>
        <v/>
      </c>
      <c r="BJ1476" s="747" t="str">
        <f t="shared" si="518"/>
        <v/>
      </c>
      <c r="BK1476" s="498" t="str">
        <f t="shared" si="512"/>
        <v/>
      </c>
      <c r="BL1476" s="498" t="str">
        <f t="shared" si="513"/>
        <v/>
      </c>
    </row>
    <row r="1477" spans="1:64" x14ac:dyDescent="0.25">
      <c r="A1477" s="762">
        <f t="shared" si="514"/>
        <v>1472</v>
      </c>
      <c r="B1477" s="229"/>
      <c r="C1477" s="223"/>
      <c r="D1477" s="224"/>
      <c r="E1477" s="225"/>
      <c r="F1477" s="1036" t="str">
        <f t="shared" si="520"/>
        <v/>
      </c>
      <c r="G1477" s="1037" t="str">
        <f t="shared" si="515"/>
        <v/>
      </c>
      <c r="H1477" s="225"/>
      <c r="I1477" s="1013"/>
      <c r="J1477" s="1013"/>
      <c r="K1477" s="1028"/>
      <c r="L1477" s="1035" t="str">
        <f t="shared" si="519"/>
        <v/>
      </c>
      <c r="S1477" s="498"/>
      <c r="AJ1477" s="498"/>
      <c r="AM1477" s="498">
        <f t="shared" si="500"/>
        <v>0</v>
      </c>
      <c r="AN1477" s="498">
        <f t="shared" si="501"/>
        <v>0</v>
      </c>
      <c r="AO1477" s="498">
        <f t="shared" si="502"/>
        <v>0</v>
      </c>
      <c r="AP1477" s="498">
        <f t="shared" si="521"/>
        <v>0</v>
      </c>
      <c r="AQ1477" s="498">
        <f t="shared" si="516"/>
        <v>0</v>
      </c>
      <c r="AU1477" s="498">
        <f t="shared" si="503"/>
        <v>0</v>
      </c>
      <c r="AV1477" s="498">
        <f t="shared" si="504"/>
        <v>0</v>
      </c>
      <c r="AW1477" s="498">
        <f t="shared" si="505"/>
        <v>0</v>
      </c>
      <c r="AX1477" s="498">
        <f t="shared" si="506"/>
        <v>0</v>
      </c>
      <c r="AY1477" s="498">
        <f t="shared" si="507"/>
        <v>0</v>
      </c>
      <c r="BB1477" s="498" t="str">
        <f t="shared" si="508"/>
        <v/>
      </c>
      <c r="BC1477" s="743" t="str">
        <f t="shared" si="509"/>
        <v/>
      </c>
      <c r="BD1477" s="743" t="str">
        <f t="shared" si="510"/>
        <v/>
      </c>
      <c r="BE1477" s="743" t="str">
        <f>IF(D1477="","",VLOOKUP(D1477,'General Basis'!$J$39:$K$46,2,0))</f>
        <v/>
      </c>
      <c r="BF1477" s="744" t="str">
        <f>IF(D1477="","",VLOOKUP(D1477,'General Basis'!$J$39:$L$46,3,0))</f>
        <v/>
      </c>
      <c r="BG1477" s="744" t="str">
        <f t="shared" si="517"/>
        <v/>
      </c>
      <c r="BH1477" s="744" t="str">
        <f>IF(G1477="","",IF(BF1477="Abu Dhabi",IF(G1477&lt;18,'General Basis'!$C$39,IF(G1477&lt;41,'General Basis'!$C$40,IF(G1477&lt;60,'General Basis'!$C$41,IF(G1477&lt;65,'General Basis'!$C$42,'General Basis'!$C$43)))),IF(G1477&lt;11,'General Basis'!$B$39,IF(G1477&lt;18,'General Basis'!$B$40,IF(G1477&lt;26,'General Basis'!$B$41,IF(G1477&lt;31,'General Basis'!$B$42,IF(G1477&lt;36,'General Basis'!$B$43,IF(G1477&lt;41,'General Basis'!$B$44,IF(G1477&lt;46,'General Basis'!$B$45,IF(G1477&lt;51,'General Basis'!$B$46,IF(G1477&lt;56,'General Basis'!$B$47,IF(G1477&lt;60,'General Basis'!$B$48,IF(G1477&lt;65,'General Basis'!$B$49,'General Basis'!$B$50)))))))))))))</f>
        <v/>
      </c>
      <c r="BI1477" s="744" t="str">
        <f t="shared" si="511"/>
        <v/>
      </c>
      <c r="BJ1477" s="747" t="str">
        <f t="shared" si="518"/>
        <v/>
      </c>
      <c r="BK1477" s="498" t="str">
        <f t="shared" si="512"/>
        <v/>
      </c>
      <c r="BL1477" s="498" t="str">
        <f t="shared" si="513"/>
        <v/>
      </c>
    </row>
    <row r="1478" spans="1:64" x14ac:dyDescent="0.25">
      <c r="A1478" s="762">
        <f t="shared" si="514"/>
        <v>1473</v>
      </c>
      <c r="B1478" s="229"/>
      <c r="C1478" s="223"/>
      <c r="D1478" s="224"/>
      <c r="E1478" s="225"/>
      <c r="F1478" s="1036" t="str">
        <f t="shared" si="520"/>
        <v/>
      </c>
      <c r="G1478" s="1037" t="str">
        <f t="shared" si="515"/>
        <v/>
      </c>
      <c r="H1478" s="225"/>
      <c r="I1478" s="1013"/>
      <c r="J1478" s="1013"/>
      <c r="K1478" s="1028"/>
      <c r="L1478" s="1035" t="str">
        <f t="shared" si="519"/>
        <v/>
      </c>
      <c r="S1478" s="498"/>
      <c r="AJ1478" s="498"/>
      <c r="AM1478" s="498">
        <f t="shared" ref="AM1478:AM1541" si="522">IF(ISTEXT(B1478),1,0)</f>
        <v>0</v>
      </c>
      <c r="AN1478" s="498">
        <f t="shared" ref="AN1478:AN1541" si="523">IF(ISBLANK(B1478),0,IF(B1478&lt;$AK$6,1,0))</f>
        <v>0</v>
      </c>
      <c r="AO1478" s="498">
        <f t="shared" ref="AO1478:AO1541" si="524">IF(ISBLANK(B1478),0,IF(B1478&gt;$AK$7,1,0))</f>
        <v>0</v>
      </c>
      <c r="AP1478" s="498">
        <f t="shared" si="521"/>
        <v>0</v>
      </c>
      <c r="AQ1478" s="498">
        <f t="shared" si="516"/>
        <v>0</v>
      </c>
      <c r="AU1478" s="498">
        <f t="shared" ref="AU1478:AU1541" si="525">IF(ISBLANK(B1478),0,1)</f>
        <v>0</v>
      </c>
      <c r="AV1478" s="498">
        <f t="shared" ref="AV1478:AV1541" si="526">IF(ISBLANK(C1478),0,1)</f>
        <v>0</v>
      </c>
      <c r="AW1478" s="498">
        <f t="shared" ref="AW1478:AW1541" si="527">IF(ISBLANK(D1478),0,1)</f>
        <v>0</v>
      </c>
      <c r="AX1478" s="498">
        <f t="shared" ref="AX1478:AX1541" si="528">IF(ISBLANK(E1478),0,1)</f>
        <v>0</v>
      </c>
      <c r="AY1478" s="498">
        <f t="shared" ref="AY1478:AY1541" si="529">IF(ISBLANK(H1478),0,1)</f>
        <v>0</v>
      </c>
      <c r="BB1478" s="498" t="str">
        <f t="shared" ref="BB1478:BB1541" si="530">IF(E1478="Principal","Principal",IF(E1478="","","Other"))</f>
        <v/>
      </c>
      <c r="BC1478" s="743" t="str">
        <f t="shared" ref="BC1478:BC1541" si="531">IF(D1478="","",D1478)</f>
        <v/>
      </c>
      <c r="BD1478" s="743" t="str">
        <f t="shared" ref="BD1478:BD1541" si="532">IF(E1478="Principal","Employee",IF(E1478="","","Dependent"))</f>
        <v/>
      </c>
      <c r="BE1478" s="743" t="str">
        <f>IF(D1478="","",VLOOKUP(D1478,'General Basis'!$J$39:$K$46,2,0))</f>
        <v/>
      </c>
      <c r="BF1478" s="744" t="str">
        <f>IF(D1478="","",VLOOKUP(D1478,'General Basis'!$J$39:$L$46,3,0))</f>
        <v/>
      </c>
      <c r="BG1478" s="744" t="str">
        <f t="shared" si="517"/>
        <v/>
      </c>
      <c r="BH1478" s="744" t="str">
        <f>IF(G1478="","",IF(BF1478="Abu Dhabi",IF(G1478&lt;18,'General Basis'!$C$39,IF(G1478&lt;41,'General Basis'!$C$40,IF(G1478&lt;60,'General Basis'!$C$41,IF(G1478&lt;65,'General Basis'!$C$42,'General Basis'!$C$43)))),IF(G1478&lt;11,'General Basis'!$B$39,IF(G1478&lt;18,'General Basis'!$B$40,IF(G1478&lt;26,'General Basis'!$B$41,IF(G1478&lt;31,'General Basis'!$B$42,IF(G1478&lt;36,'General Basis'!$B$43,IF(G1478&lt;41,'General Basis'!$B$44,IF(G1478&lt;46,'General Basis'!$B$45,IF(G1478&lt;51,'General Basis'!$B$46,IF(G1478&lt;56,'General Basis'!$B$47,IF(G1478&lt;60,'General Basis'!$B$48,IF(G1478&lt;65,'General Basis'!$B$49,'General Basis'!$B$50)))))))))))))</f>
        <v/>
      </c>
      <c r="BI1478" s="744" t="str">
        <f t="shared" ref="BI1478:BI1541" si="533">IF(C1478="","",IF(C1478="M","Male","Female"))</f>
        <v/>
      </c>
      <c r="BJ1478" s="747" t="str">
        <f t="shared" si="518"/>
        <v/>
      </c>
      <c r="BK1478" s="498" t="str">
        <f t="shared" ref="BK1478:BK1541" si="534">IF(BD1478="","",IF(AND(BD1478="Employee",BI1478="Male",BF1478="Abu Dhabi",BE1478=GN_Plus),VLOOKUP(BH1478,AUH_MALE_EMP,2,0),IF(AND(BD1478="Employee",BI1478="Male",BF1478="Abu Dhabi",BE1478=GN),VLOOKUP(BH1478,AUH_MALE_EMP,3,0),IF(AND(BD1478="Employee",BI1478="Male",BF1478="Abu Dhabi",BE1478=RN_Plus),VLOOKUP(BH1478,AUH_MALE_EMP,4,0),IF(AND(BD1478="Employee",BI1478="Male",BF1478="Abu Dhabi",BE1478=RN),VLOOKUP(BH1478,AUH_MALE_EMP,5,0),IF(AND(BD1478="Employee",BI1478="Male",BF1478="Abu Dhabi",BE1478=RN_2),VLOOKUP(BH1478,AUH_MALE_EMP,6,0),IF(AND(BD1478="Employee",BI1478="Male",BF1478="Abu Dhabi",BE1478=RN2_minus),VLOOKUP(BH1478,AUH_MALE_EMP,7,0),IF(AND(BD1478="Employee",BI1478="Male",BF1478="Abu Dhabi",BE1478=RN_3),VLOOKUP(BH1478,AUH_MALE_EMP,8,0),IF(AND(BD1478="Employee",BI1478="Male",BF1478="Abu Dhabi",BE1478=VN),VLOOKUP(BH1478,AUH_MALE_EMP,9,0),IF(BD1478="","",IF(AND(BD1478="Employee",BI1478="Female",BF1478="Abu Dhabi",BE1478=GN_Plus),VLOOKUP(BH1478,AUH_FEMALE_EMP,2,0),IF(AND(BD1478="Employee",BI1478="Female",BF1478="Abu Dhabi",BE1478=GN),VLOOKUP(BH1478,AUH_FEMALE_EMP,3,0),IF(AND(BD1478="Employee",BI1478="Female",BF1478="Abu Dhabi",BE1478=RN_Plus),VLOOKUP(BH1478,AUH_FEMALE_EMP,4,0),IF(AND(BD1478="Employee",BI1478="Female",BF1478="Abu Dhabi",BE1478=RN),VLOOKUP(BH1478,AUH_FEMALE_EMP,5,0),IF(AND(BD1478="Employee",BI1478="Female",BF1478="Abu Dhabi",BE1478=RN_2),VLOOKUP(BH1478,AUH_FEMALE_EMP,6,0),IF(AND(BD1478="Employee",BI1478="Female",BF1478="Abu Dhabi",BE1478=RN2_minus),VLOOKUP(BH1478,AUH_FEMALE_EMP,7,0),IF(AND(BD1478="Employee",BI1478="Female",BF1478="Abu Dhabi",BE1478=RN_3),VLOOKUP(BH1478,AUH_FEMALE_EMP,8,0),IF(AND(BD1478="Employee",BI1478="Female",BF1478="Abu Dhabi",BE1478=VN),VLOOKUP(BH1478,AUH_FEMALE_EMP,9,0),IF(BD1478="","",IF(AND(BD1478="Dependent",BI1478="Male",BF1478="Abu Dhabi",BE1478=GN_Plus),VLOOKUP(BH1478,AUH_MALE_DEP,2,0),IF(AND(BD1478="Dependent",BI1478="Male",BF1478="Abu Dhabi",BE1478=GN),VLOOKUP(BH1478,AUH_MALE_DEP,3,0),IF(AND(BD1478="Dependent",BI1478="Male",BF1478="Abu Dhabi",BE1478=RN_Plus),VLOOKUP(BH1478,AUH_MALE_DEP,4,0),IF(AND(BD1478="Dependent",BI1478="Male",BF1478="Abu Dhabi",BE1478=RN),VLOOKUP(BH1478,AUH_MALE_DEP,5,0),IF(AND(BD1478="Dependent",BI1478="Male",BF1478="Abu Dhabi",BE1478=RN_2),VLOOKUP(BH1478,AUH_MALE_DEP,6,0),IF(AND(BD1478="Dependent",BI1478="Male",BF1478="Abu Dhabi",BE1478=RN2_minus),VLOOKUP(BH1478,AUH_MALE_DEP,7,0),IF(AND(BD1478="Dependent",BI1478="Male",BF1478="Abu Dhabi",BE1478=RN_3),VLOOKUP(BH1478,AUH_MALE_DEP,8,0),IF(AND(BD1478="Dependent",BI1478="Male",BF1478="Abu Dhabi",BE1478=VN),VLOOKUP(BH1478,AUH_MALE_DEP,9,0),IF(BD1478="","",IF(AND(BD1478="Dependent",BI1478="Female",BF1478="Abu Dhabi",BE1478=GN_Plus),VLOOKUP(BH1478,AUH_FEMALE_DEP,2,0),IF(AND(BD1478="Dependent",BI1478="Female",BF1478="Abu Dhabi",BE1478=GN),VLOOKUP(BH1478,AUH_FEMALE_DEP,3,0),IF(AND(BD1478="Dependent",BI1478="Female",BF1478="Abu Dhabi",BE1478=RN_Plus),VLOOKUP(BH1478,AUH_FEMALE_DEP,4,0),IF(AND(BD1478="Dependent",BI1478="Female",BF1478="Abu Dhabi",BE1478=RN),VLOOKUP(BH1478,AUH_FEMALE_DEP,5,0),IF(AND(BD1478="Dependent",BI1478="Female",BF1478="Abu Dhabi",BE1478=RN_2),VLOOKUP(BH1478,AUH_FEMALE_DEP,6,0),IF(AND(BD1478="Dependent",BI1478="Female",BF1478="Abu Dhabi",BE1478=RN2_minus),VLOOKUP(BH1478,AUH_FEMALE_DEP,7,0),IF(AND(BD1478="Dependent",BI1478="Female",BF1478="Abu Dhabi",BE1478=RN_3),VLOOKUP(BH1478,AUH_FEMALE_DEP,8,0),IF(AND(BD1478="Dependent",BI1478="Female",BF1478="Abu Dhabi",BE1478=VN),VLOOKUP(BH1478,AUH_FEMALE_DEP,9,0),"ABC"))))))))))))))))))))))))))))))))))))</f>
        <v/>
      </c>
      <c r="BL1478" s="498" t="str">
        <f t="shared" ref="BL1478:BL1541" si="535">IF(BD1478="","",IF(AND(BD1478="Employee",BI1478="Male",BF1478="Dubai",BE1478=GN_Plus),VLOOKUP(BH1478,DXB_MALE_EMP,2,0),IF(AND(BD1478="Employee",BI1478="Male",BF1478="Dubai",BE1478=GN),VLOOKUP(BH1478,DXB_MALE_EMP,3,0),IF(AND(BD1478="Employee",BI1478="Male",BF1478="Dubai",BE1478=RN_Plus),VLOOKUP(BH1478,DXB_MALE_EMP,4,0),IF(AND(BD1478="Employee",BI1478="Male",BF1478="Dubai",BE1478=RN),VLOOKUP(BH1478,DXB_MALE_EMP,5,0),IF(AND(BD1478="Employee",BI1478="Male",BF1478="Dubai",BE1478=RN_2),VLOOKUP(BH1478,DXB_MALE_EMP,6,0),IF(AND(BD1478="Employee",BI1478="Male",BF1478="Dubai",BE1478=RN2_minus),VLOOKUP(BH1478,DXB_MALE_EMP,7,0),IF(AND(BD1478="Employee",BI1478="Male",BF1478="Dubai",BE1478=RN_3),VLOOKUP(BH1478,DXB_MALE_EMP,8,0),IF(AND(BD1478="Employee",BI1478="Male",BF1478="Dubai",BE1478=VN),VLOOKUP(BH1478,DXB_MALE_EMP,9,0),IF(BD1478="","",IF(AND(BD1478="Employee",BI1478="Female",BF1478="Dubai",BE1478=GN_Plus),VLOOKUP(BH1478,DXB_FEMALE_EMP,2,0),IF(AND(BD1478="Employee",BI1478="Female",BF1478="Dubai",BE1478=GN),VLOOKUP(BH1478,DXB_FEMALE_EMP,3,0),IF(AND(BD1478="Employee",BI1478="Female",BF1478="Dubai",BE1478=RN_Plus),VLOOKUP(BH1478,DXB_FEMALE_EMP,4,0),IF(AND(BD1478="Employee",BI1478="Female",BF1478="Dubai",BE1478=RN),VLOOKUP(BH1478,DXB_FEMALE_EMP,5,0),IF(AND(BD1478="Employee",BI1478="Female",BF1478="Dubai",BE1478=RN_2),VLOOKUP(BH1478,DXB_FEMALE_EMP,6,0),IF(AND(BD1478="Employee",BI1478="Female",BF1478="Dubai",BE1478=RN2_minus),VLOOKUP(BH1478,DXB_FEMALE_EMP,7,0),IF(AND(BD1478="Employee",BI1478="Female",BF1478="Dubai",BE1478=RN_3),VLOOKUP(BH1478,DXB_FEMALE_EMP,8,0),IF(AND(BD1478="Employee",BI1478="Female",BF1478="Dubai",BE1478=VN),VLOOKUP(BH1478,DXB_FEMALE_EMP,9,0),IF(BD1478="","",IF(AND(BD1478="Dependent",BI1478="Male",BF1478="Dubai",BE1478=GN_Plus),VLOOKUP(BH1478,DXB_MALE_DEP,2,0),IF(AND(BD1478="Dependent",BI1478="Male",BF1478="Dubai",BE1478=GN),VLOOKUP(BH1478,DXB_MALE_DEP,3,0),IF(AND(BD1478="Dependent",BI1478="Male",BF1478="Dubai",BE1478=RN_Plus),VLOOKUP(BH1478,DXB_MALE_DEP,4,0),IF(AND(BD1478="Dependent",BI1478="Male",BF1478="Dubai",BE1478=RN),VLOOKUP(BH1478,DXB_MALE_DEP,5,0),IF(AND(BD1478="Dependent",BI1478="Male",BF1478="Dubai",BE1478=RN_2),VLOOKUP(BH1478,DXB_MALE_DEP,6,0),IF(AND(BD1478="Dependent",BI1478="Male",BF1478="Dubai",BE1478=RN2_minus),VLOOKUP(BH1478,DXB_MALE_DEP,7,0),IF(AND(BD1478="Dependent",BI1478="Male",BF1478="Dubai",BE1478=RN_3),VLOOKUP(BH1478,DXB_MALE_DEP,8,0),IF(AND(BD1478="Dependent",BI1478="Male",BF1478="Dubai",BE1478=VN),VLOOKUP(BH1478,DXB_MALE_DEP,9,0),IF(BD1478="","",IF(AND(BD1478="Dependent",BI1478="Female",BF1478="Dubai",BE1478=GN_Plus),VLOOKUP(BH1478,DXB_FEMALE_DEP,2,0),IF(AND(BD1478="Dependent",BI1478="Female",BF1478="Dubai",BE1478=GN),VLOOKUP(BH1478,DXB_FEMALE_DEP,3,0),IF(AND(BD1478="Dependent",BI1478="Female",BF1478="Dubai",BE1478=RN_Plus),VLOOKUP(BH1478,DXB_FEMALE_DEP,4,0),IF(AND(BD1478="Dependent",BI1478="Female",BF1478="Dubai",BE1478=RN),VLOOKUP(BH1478,DXB_FEMALE_DEP,5,0),IF(AND(BD1478="Dependent",BI1478="Female",BF1478="Dubai",BE1478=RN_2),VLOOKUP(BH1478,DXB_FEMALE_DEP,6,0),IF(AND(BD1478="Dependent",BI1478="Female",BF1478="Dubai",BE1478=RN2_minus),VLOOKUP(BH1478,DXB_FEMALE_DEP,7,0),IF(AND(BD1478="Dependent",BI1478="Female",BF1478="Dubai",BE1478=RN_3),VLOOKUP(BH1478,DXB_FEMALE_DEP,8,0),IF(AND(BD1478="Dependent",BI1478="Female",BF1478="Dubai",BE1478=VN),VLOOKUP(BH1478,DXB_FEMALE_DEP,9,0),"ABC"))))))))))))))))))))))))))))))))))))</f>
        <v/>
      </c>
    </row>
    <row r="1479" spans="1:64" x14ac:dyDescent="0.25">
      <c r="A1479" s="762">
        <f t="shared" ref="A1479:A1542" si="536">+A1478+1</f>
        <v>1474</v>
      </c>
      <c r="B1479" s="229"/>
      <c r="C1479" s="223"/>
      <c r="D1479" s="224"/>
      <c r="E1479" s="225"/>
      <c r="F1479" s="1036" t="str">
        <f t="shared" si="520"/>
        <v/>
      </c>
      <c r="G1479" s="1037" t="str">
        <f t="shared" ref="G1479:G1542" si="537">IF(D1479="","",MAX(0,ROUNDUP(F1479,0)))</f>
        <v/>
      </c>
      <c r="H1479" s="225"/>
      <c r="I1479" s="1013"/>
      <c r="J1479" s="1013"/>
      <c r="K1479" s="1028"/>
      <c r="L1479" s="1035" t="str">
        <f t="shared" si="519"/>
        <v/>
      </c>
      <c r="S1479" s="498"/>
      <c r="AJ1479" s="498"/>
      <c r="AM1479" s="498">
        <f t="shared" si="522"/>
        <v>0</v>
      </c>
      <c r="AN1479" s="498">
        <f t="shared" si="523"/>
        <v>0</v>
      </c>
      <c r="AO1479" s="498">
        <f t="shared" si="524"/>
        <v>0</v>
      </c>
      <c r="AP1479" s="498">
        <f t="shared" si="521"/>
        <v>0</v>
      </c>
      <c r="AQ1479" s="498">
        <f t="shared" ref="AQ1479:AQ1542" si="538">IF(ISBLANK($B1479),0,IF(OR($H1479="Single",$H1479="Married"),0,1))</f>
        <v>0</v>
      </c>
      <c r="AU1479" s="498">
        <f t="shared" si="525"/>
        <v>0</v>
      </c>
      <c r="AV1479" s="498">
        <f t="shared" si="526"/>
        <v>0</v>
      </c>
      <c r="AW1479" s="498">
        <f t="shared" si="527"/>
        <v>0</v>
      </c>
      <c r="AX1479" s="498">
        <f t="shared" si="528"/>
        <v>0</v>
      </c>
      <c r="AY1479" s="498">
        <f t="shared" si="529"/>
        <v>0</v>
      </c>
      <c r="BB1479" s="498" t="str">
        <f t="shared" si="530"/>
        <v/>
      </c>
      <c r="BC1479" s="743" t="str">
        <f t="shared" si="531"/>
        <v/>
      </c>
      <c r="BD1479" s="743" t="str">
        <f t="shared" si="532"/>
        <v/>
      </c>
      <c r="BE1479" s="743" t="str">
        <f>IF(D1479="","",VLOOKUP(D1479,'General Basis'!$J$39:$K$46,2,0))</f>
        <v/>
      </c>
      <c r="BF1479" s="744" t="str">
        <f>IF(D1479="","",VLOOKUP(D1479,'General Basis'!$J$39:$L$46,3,0))</f>
        <v/>
      </c>
      <c r="BG1479" s="744" t="str">
        <f t="shared" ref="BG1479:BG1542" si="539">BC1479&amp;BI1479</f>
        <v/>
      </c>
      <c r="BH1479" s="744" t="str">
        <f>IF(G1479="","",IF(BF1479="Abu Dhabi",IF(G1479&lt;18,'General Basis'!$C$39,IF(G1479&lt;41,'General Basis'!$C$40,IF(G1479&lt;60,'General Basis'!$C$41,IF(G1479&lt;65,'General Basis'!$C$42,'General Basis'!$C$43)))),IF(G1479&lt;11,'General Basis'!$B$39,IF(G1479&lt;18,'General Basis'!$B$40,IF(G1479&lt;26,'General Basis'!$B$41,IF(G1479&lt;31,'General Basis'!$B$42,IF(G1479&lt;36,'General Basis'!$B$43,IF(G1479&lt;41,'General Basis'!$B$44,IF(G1479&lt;46,'General Basis'!$B$45,IF(G1479&lt;51,'General Basis'!$B$46,IF(G1479&lt;56,'General Basis'!$B$47,IF(G1479&lt;60,'General Basis'!$B$48,IF(G1479&lt;65,'General Basis'!$B$49,'General Basis'!$B$50)))))))))))))</f>
        <v/>
      </c>
      <c r="BI1479" s="744" t="str">
        <f t="shared" si="533"/>
        <v/>
      </c>
      <c r="BJ1479" s="747" t="str">
        <f t="shared" ref="BJ1479:BJ1542" si="540">IF(BD1479="","",IF(BF1479="Abu Dhabi",BK1479,BL1479))</f>
        <v/>
      </c>
      <c r="BK1479" s="498" t="str">
        <f t="shared" si="534"/>
        <v/>
      </c>
      <c r="BL1479" s="498" t="str">
        <f t="shared" si="535"/>
        <v/>
      </c>
    </row>
    <row r="1480" spans="1:64" x14ac:dyDescent="0.25">
      <c r="A1480" s="762">
        <f t="shared" si="536"/>
        <v>1475</v>
      </c>
      <c r="B1480" s="229"/>
      <c r="C1480" s="223"/>
      <c r="D1480" s="224"/>
      <c r="E1480" s="225"/>
      <c r="F1480" s="1036" t="str">
        <f t="shared" si="520"/>
        <v/>
      </c>
      <c r="G1480" s="1037" t="str">
        <f t="shared" si="537"/>
        <v/>
      </c>
      <c r="H1480" s="225"/>
      <c r="I1480" s="1013"/>
      <c r="J1480" s="1013"/>
      <c r="K1480" s="1028"/>
      <c r="L1480" s="1035" t="str">
        <f t="shared" ref="L1480:L1543" si="541">IF(AND(E1480="Child",H1480="Married"),"Check the Marital Status of the Child. ",IF(AND(E1480="Child",F1480&gt;18),"Child Age exceed 18 years. ",IF(AND(E1480="Spouse",H1480="Single"),"Spouse is selected as Single. ","")))&amp;IF(K1480&gt;0,"UW Loading has been Applied","")</f>
        <v/>
      </c>
      <c r="S1480" s="498"/>
      <c r="AJ1480" s="498"/>
      <c r="AM1480" s="498">
        <f t="shared" si="522"/>
        <v>0</v>
      </c>
      <c r="AN1480" s="498">
        <f t="shared" si="523"/>
        <v>0</v>
      </c>
      <c r="AO1480" s="498">
        <f t="shared" si="524"/>
        <v>0</v>
      </c>
      <c r="AP1480" s="498">
        <f t="shared" si="521"/>
        <v>0</v>
      </c>
      <c r="AQ1480" s="498">
        <f t="shared" si="538"/>
        <v>0</v>
      </c>
      <c r="AU1480" s="498">
        <f t="shared" si="525"/>
        <v>0</v>
      </c>
      <c r="AV1480" s="498">
        <f t="shared" si="526"/>
        <v>0</v>
      </c>
      <c r="AW1480" s="498">
        <f t="shared" si="527"/>
        <v>0</v>
      </c>
      <c r="AX1480" s="498">
        <f t="shared" si="528"/>
        <v>0</v>
      </c>
      <c r="AY1480" s="498">
        <f t="shared" si="529"/>
        <v>0</v>
      </c>
      <c r="BB1480" s="498" t="str">
        <f t="shared" si="530"/>
        <v/>
      </c>
      <c r="BC1480" s="743" t="str">
        <f t="shared" si="531"/>
        <v/>
      </c>
      <c r="BD1480" s="743" t="str">
        <f t="shared" si="532"/>
        <v/>
      </c>
      <c r="BE1480" s="743" t="str">
        <f>IF(D1480="","",VLOOKUP(D1480,'General Basis'!$J$39:$K$46,2,0))</f>
        <v/>
      </c>
      <c r="BF1480" s="744" t="str">
        <f>IF(D1480="","",VLOOKUP(D1480,'General Basis'!$J$39:$L$46,3,0))</f>
        <v/>
      </c>
      <c r="BG1480" s="744" t="str">
        <f t="shared" si="539"/>
        <v/>
      </c>
      <c r="BH1480" s="744" t="str">
        <f>IF(G1480="","",IF(BF1480="Abu Dhabi",IF(G1480&lt;18,'General Basis'!$C$39,IF(G1480&lt;41,'General Basis'!$C$40,IF(G1480&lt;60,'General Basis'!$C$41,IF(G1480&lt;65,'General Basis'!$C$42,'General Basis'!$C$43)))),IF(G1480&lt;11,'General Basis'!$B$39,IF(G1480&lt;18,'General Basis'!$B$40,IF(G1480&lt;26,'General Basis'!$B$41,IF(G1480&lt;31,'General Basis'!$B$42,IF(G1480&lt;36,'General Basis'!$B$43,IF(G1480&lt;41,'General Basis'!$B$44,IF(G1480&lt;46,'General Basis'!$B$45,IF(G1480&lt;51,'General Basis'!$B$46,IF(G1480&lt;56,'General Basis'!$B$47,IF(G1480&lt;60,'General Basis'!$B$48,IF(G1480&lt;65,'General Basis'!$B$49,'General Basis'!$B$50)))))))))))))</f>
        <v/>
      </c>
      <c r="BI1480" s="744" t="str">
        <f t="shared" si="533"/>
        <v/>
      </c>
      <c r="BJ1480" s="747" t="str">
        <f t="shared" si="540"/>
        <v/>
      </c>
      <c r="BK1480" s="498" t="str">
        <f t="shared" si="534"/>
        <v/>
      </c>
      <c r="BL1480" s="498" t="str">
        <f t="shared" si="535"/>
        <v/>
      </c>
    </row>
    <row r="1481" spans="1:64" x14ac:dyDescent="0.25">
      <c r="A1481" s="762">
        <f t="shared" si="536"/>
        <v>1476</v>
      </c>
      <c r="B1481" s="229"/>
      <c r="C1481" s="223"/>
      <c r="D1481" s="224"/>
      <c r="E1481" s="225"/>
      <c r="F1481" s="1036" t="str">
        <f t="shared" si="520"/>
        <v/>
      </c>
      <c r="G1481" s="1037" t="str">
        <f t="shared" si="537"/>
        <v/>
      </c>
      <c r="H1481" s="225"/>
      <c r="I1481" s="1013"/>
      <c r="J1481" s="1013"/>
      <c r="K1481" s="1028"/>
      <c r="L1481" s="1035" t="str">
        <f t="shared" si="541"/>
        <v/>
      </c>
      <c r="S1481" s="498"/>
      <c r="AJ1481" s="498"/>
      <c r="AM1481" s="498">
        <f t="shared" si="522"/>
        <v>0</v>
      </c>
      <c r="AN1481" s="498">
        <f t="shared" si="523"/>
        <v>0</v>
      </c>
      <c r="AO1481" s="498">
        <f t="shared" si="524"/>
        <v>0</v>
      </c>
      <c r="AP1481" s="498">
        <f t="shared" si="521"/>
        <v>0</v>
      </c>
      <c r="AQ1481" s="498">
        <f t="shared" si="538"/>
        <v>0</v>
      </c>
      <c r="AU1481" s="498">
        <f t="shared" si="525"/>
        <v>0</v>
      </c>
      <c r="AV1481" s="498">
        <f t="shared" si="526"/>
        <v>0</v>
      </c>
      <c r="AW1481" s="498">
        <f t="shared" si="527"/>
        <v>0</v>
      </c>
      <c r="AX1481" s="498">
        <f t="shared" si="528"/>
        <v>0</v>
      </c>
      <c r="AY1481" s="498">
        <f t="shared" si="529"/>
        <v>0</v>
      </c>
      <c r="BB1481" s="498" t="str">
        <f t="shared" si="530"/>
        <v/>
      </c>
      <c r="BC1481" s="743" t="str">
        <f t="shared" si="531"/>
        <v/>
      </c>
      <c r="BD1481" s="743" t="str">
        <f t="shared" si="532"/>
        <v/>
      </c>
      <c r="BE1481" s="743" t="str">
        <f>IF(D1481="","",VLOOKUP(D1481,'General Basis'!$J$39:$K$46,2,0))</f>
        <v/>
      </c>
      <c r="BF1481" s="744" t="str">
        <f>IF(D1481="","",VLOOKUP(D1481,'General Basis'!$J$39:$L$46,3,0))</f>
        <v/>
      </c>
      <c r="BG1481" s="744" t="str">
        <f t="shared" si="539"/>
        <v/>
      </c>
      <c r="BH1481" s="744" t="str">
        <f>IF(G1481="","",IF(BF1481="Abu Dhabi",IF(G1481&lt;18,'General Basis'!$C$39,IF(G1481&lt;41,'General Basis'!$C$40,IF(G1481&lt;60,'General Basis'!$C$41,IF(G1481&lt;65,'General Basis'!$C$42,'General Basis'!$C$43)))),IF(G1481&lt;11,'General Basis'!$B$39,IF(G1481&lt;18,'General Basis'!$B$40,IF(G1481&lt;26,'General Basis'!$B$41,IF(G1481&lt;31,'General Basis'!$B$42,IF(G1481&lt;36,'General Basis'!$B$43,IF(G1481&lt;41,'General Basis'!$B$44,IF(G1481&lt;46,'General Basis'!$B$45,IF(G1481&lt;51,'General Basis'!$B$46,IF(G1481&lt;56,'General Basis'!$B$47,IF(G1481&lt;60,'General Basis'!$B$48,IF(G1481&lt;65,'General Basis'!$B$49,'General Basis'!$B$50)))))))))))))</f>
        <v/>
      </c>
      <c r="BI1481" s="744" t="str">
        <f t="shared" si="533"/>
        <v/>
      </c>
      <c r="BJ1481" s="747" t="str">
        <f t="shared" si="540"/>
        <v/>
      </c>
      <c r="BK1481" s="498" t="str">
        <f t="shared" si="534"/>
        <v/>
      </c>
      <c r="BL1481" s="498" t="str">
        <f t="shared" si="535"/>
        <v/>
      </c>
    </row>
    <row r="1482" spans="1:64" x14ac:dyDescent="0.25">
      <c r="A1482" s="762">
        <f t="shared" si="536"/>
        <v>1477</v>
      </c>
      <c r="B1482" s="229"/>
      <c r="C1482" s="223"/>
      <c r="D1482" s="224"/>
      <c r="E1482" s="225"/>
      <c r="F1482" s="1036" t="str">
        <f t="shared" si="520"/>
        <v/>
      </c>
      <c r="G1482" s="1037" t="str">
        <f t="shared" si="537"/>
        <v/>
      </c>
      <c r="H1482" s="225"/>
      <c r="I1482" s="1013"/>
      <c r="J1482" s="1013"/>
      <c r="K1482" s="1028"/>
      <c r="L1482" s="1035" t="str">
        <f t="shared" si="541"/>
        <v/>
      </c>
      <c r="S1482" s="498"/>
      <c r="AJ1482" s="498"/>
      <c r="AM1482" s="498">
        <f t="shared" si="522"/>
        <v>0</v>
      </c>
      <c r="AN1482" s="498">
        <f t="shared" si="523"/>
        <v>0</v>
      </c>
      <c r="AO1482" s="498">
        <f t="shared" si="524"/>
        <v>0</v>
      </c>
      <c r="AP1482" s="498">
        <f t="shared" si="521"/>
        <v>0</v>
      </c>
      <c r="AQ1482" s="498">
        <f t="shared" si="538"/>
        <v>0</v>
      </c>
      <c r="AU1482" s="498">
        <f t="shared" si="525"/>
        <v>0</v>
      </c>
      <c r="AV1482" s="498">
        <f t="shared" si="526"/>
        <v>0</v>
      </c>
      <c r="AW1482" s="498">
        <f t="shared" si="527"/>
        <v>0</v>
      </c>
      <c r="AX1482" s="498">
        <f t="shared" si="528"/>
        <v>0</v>
      </c>
      <c r="AY1482" s="498">
        <f t="shared" si="529"/>
        <v>0</v>
      </c>
      <c r="BB1482" s="498" t="str">
        <f t="shared" si="530"/>
        <v/>
      </c>
      <c r="BC1482" s="743" t="str">
        <f t="shared" si="531"/>
        <v/>
      </c>
      <c r="BD1482" s="743" t="str">
        <f t="shared" si="532"/>
        <v/>
      </c>
      <c r="BE1482" s="743" t="str">
        <f>IF(D1482="","",VLOOKUP(D1482,'General Basis'!$J$39:$K$46,2,0))</f>
        <v/>
      </c>
      <c r="BF1482" s="744" t="str">
        <f>IF(D1482="","",VLOOKUP(D1482,'General Basis'!$J$39:$L$46,3,0))</f>
        <v/>
      </c>
      <c r="BG1482" s="744" t="str">
        <f t="shared" si="539"/>
        <v/>
      </c>
      <c r="BH1482" s="744" t="str">
        <f>IF(G1482="","",IF(BF1482="Abu Dhabi",IF(G1482&lt;18,'General Basis'!$C$39,IF(G1482&lt;41,'General Basis'!$C$40,IF(G1482&lt;60,'General Basis'!$C$41,IF(G1482&lt;65,'General Basis'!$C$42,'General Basis'!$C$43)))),IF(G1482&lt;11,'General Basis'!$B$39,IF(G1482&lt;18,'General Basis'!$B$40,IF(G1482&lt;26,'General Basis'!$B$41,IF(G1482&lt;31,'General Basis'!$B$42,IF(G1482&lt;36,'General Basis'!$B$43,IF(G1482&lt;41,'General Basis'!$B$44,IF(G1482&lt;46,'General Basis'!$B$45,IF(G1482&lt;51,'General Basis'!$B$46,IF(G1482&lt;56,'General Basis'!$B$47,IF(G1482&lt;60,'General Basis'!$B$48,IF(G1482&lt;65,'General Basis'!$B$49,'General Basis'!$B$50)))))))))))))</f>
        <v/>
      </c>
      <c r="BI1482" s="744" t="str">
        <f t="shared" si="533"/>
        <v/>
      </c>
      <c r="BJ1482" s="747" t="str">
        <f t="shared" si="540"/>
        <v/>
      </c>
      <c r="BK1482" s="498" t="str">
        <f t="shared" si="534"/>
        <v/>
      </c>
      <c r="BL1482" s="498" t="str">
        <f t="shared" si="535"/>
        <v/>
      </c>
    </row>
    <row r="1483" spans="1:64" x14ac:dyDescent="0.25">
      <c r="A1483" s="762">
        <f t="shared" si="536"/>
        <v>1478</v>
      </c>
      <c r="B1483" s="229"/>
      <c r="C1483" s="223"/>
      <c r="D1483" s="224"/>
      <c r="E1483" s="225"/>
      <c r="F1483" s="1036" t="str">
        <f t="shared" si="520"/>
        <v/>
      </c>
      <c r="G1483" s="1037" t="str">
        <f t="shared" si="537"/>
        <v/>
      </c>
      <c r="H1483" s="225"/>
      <c r="I1483" s="1013"/>
      <c r="J1483" s="1013"/>
      <c r="K1483" s="1028"/>
      <c r="L1483" s="1035" t="str">
        <f t="shared" si="541"/>
        <v/>
      </c>
      <c r="S1483" s="498"/>
      <c r="AJ1483" s="498"/>
      <c r="AM1483" s="498">
        <f t="shared" si="522"/>
        <v>0</v>
      </c>
      <c r="AN1483" s="498">
        <f t="shared" si="523"/>
        <v>0</v>
      </c>
      <c r="AO1483" s="498">
        <f t="shared" si="524"/>
        <v>0</v>
      </c>
      <c r="AP1483" s="498">
        <f t="shared" si="521"/>
        <v>0</v>
      </c>
      <c r="AQ1483" s="498">
        <f t="shared" si="538"/>
        <v>0</v>
      </c>
      <c r="AU1483" s="498">
        <f t="shared" si="525"/>
        <v>0</v>
      </c>
      <c r="AV1483" s="498">
        <f t="shared" si="526"/>
        <v>0</v>
      </c>
      <c r="AW1483" s="498">
        <f t="shared" si="527"/>
        <v>0</v>
      </c>
      <c r="AX1483" s="498">
        <f t="shared" si="528"/>
        <v>0</v>
      </c>
      <c r="AY1483" s="498">
        <f t="shared" si="529"/>
        <v>0</v>
      </c>
      <c r="BB1483" s="498" t="str">
        <f t="shared" si="530"/>
        <v/>
      </c>
      <c r="BC1483" s="743" t="str">
        <f t="shared" si="531"/>
        <v/>
      </c>
      <c r="BD1483" s="743" t="str">
        <f t="shared" si="532"/>
        <v/>
      </c>
      <c r="BE1483" s="743" t="str">
        <f>IF(D1483="","",VLOOKUP(D1483,'General Basis'!$J$39:$K$46,2,0))</f>
        <v/>
      </c>
      <c r="BF1483" s="744" t="str">
        <f>IF(D1483="","",VLOOKUP(D1483,'General Basis'!$J$39:$L$46,3,0))</f>
        <v/>
      </c>
      <c r="BG1483" s="744" t="str">
        <f t="shared" si="539"/>
        <v/>
      </c>
      <c r="BH1483" s="744" t="str">
        <f>IF(G1483="","",IF(BF1483="Abu Dhabi",IF(G1483&lt;18,'General Basis'!$C$39,IF(G1483&lt;41,'General Basis'!$C$40,IF(G1483&lt;60,'General Basis'!$C$41,IF(G1483&lt;65,'General Basis'!$C$42,'General Basis'!$C$43)))),IF(G1483&lt;11,'General Basis'!$B$39,IF(G1483&lt;18,'General Basis'!$B$40,IF(G1483&lt;26,'General Basis'!$B$41,IF(G1483&lt;31,'General Basis'!$B$42,IF(G1483&lt;36,'General Basis'!$B$43,IF(G1483&lt;41,'General Basis'!$B$44,IF(G1483&lt;46,'General Basis'!$B$45,IF(G1483&lt;51,'General Basis'!$B$46,IF(G1483&lt;56,'General Basis'!$B$47,IF(G1483&lt;60,'General Basis'!$B$48,IF(G1483&lt;65,'General Basis'!$B$49,'General Basis'!$B$50)))))))))))))</f>
        <v/>
      </c>
      <c r="BI1483" s="744" t="str">
        <f t="shared" si="533"/>
        <v/>
      </c>
      <c r="BJ1483" s="747" t="str">
        <f t="shared" si="540"/>
        <v/>
      </c>
      <c r="BK1483" s="498" t="str">
        <f t="shared" si="534"/>
        <v/>
      </c>
      <c r="BL1483" s="498" t="str">
        <f t="shared" si="535"/>
        <v/>
      </c>
    </row>
    <row r="1484" spans="1:64" x14ac:dyDescent="0.25">
      <c r="A1484" s="762">
        <f t="shared" si="536"/>
        <v>1479</v>
      </c>
      <c r="B1484" s="229"/>
      <c r="C1484" s="223"/>
      <c r="D1484" s="224"/>
      <c r="E1484" s="225"/>
      <c r="F1484" s="1036" t="str">
        <f t="shared" si="520"/>
        <v/>
      </c>
      <c r="G1484" s="1037" t="str">
        <f t="shared" si="537"/>
        <v/>
      </c>
      <c r="H1484" s="225"/>
      <c r="I1484" s="1013"/>
      <c r="J1484" s="1013"/>
      <c r="K1484" s="1028"/>
      <c r="L1484" s="1035" t="str">
        <f t="shared" si="541"/>
        <v/>
      </c>
      <c r="S1484" s="498"/>
      <c r="AJ1484" s="498"/>
      <c r="AM1484" s="498">
        <f t="shared" si="522"/>
        <v>0</v>
      </c>
      <c r="AN1484" s="498">
        <f t="shared" si="523"/>
        <v>0</v>
      </c>
      <c r="AO1484" s="498">
        <f t="shared" si="524"/>
        <v>0</v>
      </c>
      <c r="AP1484" s="498">
        <f t="shared" si="521"/>
        <v>0</v>
      </c>
      <c r="AQ1484" s="498">
        <f t="shared" si="538"/>
        <v>0</v>
      </c>
      <c r="AU1484" s="498">
        <f t="shared" si="525"/>
        <v>0</v>
      </c>
      <c r="AV1484" s="498">
        <f t="shared" si="526"/>
        <v>0</v>
      </c>
      <c r="AW1484" s="498">
        <f t="shared" si="527"/>
        <v>0</v>
      </c>
      <c r="AX1484" s="498">
        <f t="shared" si="528"/>
        <v>0</v>
      </c>
      <c r="AY1484" s="498">
        <f t="shared" si="529"/>
        <v>0</v>
      </c>
      <c r="BB1484" s="498" t="str">
        <f t="shared" si="530"/>
        <v/>
      </c>
      <c r="BC1484" s="743" t="str">
        <f t="shared" si="531"/>
        <v/>
      </c>
      <c r="BD1484" s="743" t="str">
        <f t="shared" si="532"/>
        <v/>
      </c>
      <c r="BE1484" s="743" t="str">
        <f>IF(D1484="","",VLOOKUP(D1484,'General Basis'!$J$39:$K$46,2,0))</f>
        <v/>
      </c>
      <c r="BF1484" s="744" t="str">
        <f>IF(D1484="","",VLOOKUP(D1484,'General Basis'!$J$39:$L$46,3,0))</f>
        <v/>
      </c>
      <c r="BG1484" s="744" t="str">
        <f t="shared" si="539"/>
        <v/>
      </c>
      <c r="BH1484" s="744" t="str">
        <f>IF(G1484="","",IF(BF1484="Abu Dhabi",IF(G1484&lt;18,'General Basis'!$C$39,IF(G1484&lt;41,'General Basis'!$C$40,IF(G1484&lt;60,'General Basis'!$C$41,IF(G1484&lt;65,'General Basis'!$C$42,'General Basis'!$C$43)))),IF(G1484&lt;11,'General Basis'!$B$39,IF(G1484&lt;18,'General Basis'!$B$40,IF(G1484&lt;26,'General Basis'!$B$41,IF(G1484&lt;31,'General Basis'!$B$42,IF(G1484&lt;36,'General Basis'!$B$43,IF(G1484&lt;41,'General Basis'!$B$44,IF(G1484&lt;46,'General Basis'!$B$45,IF(G1484&lt;51,'General Basis'!$B$46,IF(G1484&lt;56,'General Basis'!$B$47,IF(G1484&lt;60,'General Basis'!$B$48,IF(G1484&lt;65,'General Basis'!$B$49,'General Basis'!$B$50)))))))))))))</f>
        <v/>
      </c>
      <c r="BI1484" s="744" t="str">
        <f t="shared" si="533"/>
        <v/>
      </c>
      <c r="BJ1484" s="747" t="str">
        <f t="shared" si="540"/>
        <v/>
      </c>
      <c r="BK1484" s="498" t="str">
        <f t="shared" si="534"/>
        <v/>
      </c>
      <c r="BL1484" s="498" t="str">
        <f t="shared" si="535"/>
        <v/>
      </c>
    </row>
    <row r="1485" spans="1:64" x14ac:dyDescent="0.25">
      <c r="A1485" s="762">
        <f t="shared" si="536"/>
        <v>1480</v>
      </c>
      <c r="B1485" s="229"/>
      <c r="C1485" s="223"/>
      <c r="D1485" s="224"/>
      <c r="E1485" s="225"/>
      <c r="F1485" s="1036" t="str">
        <f t="shared" si="520"/>
        <v/>
      </c>
      <c r="G1485" s="1037" t="str">
        <f t="shared" si="537"/>
        <v/>
      </c>
      <c r="H1485" s="225"/>
      <c r="I1485" s="1013"/>
      <c r="J1485" s="1013"/>
      <c r="K1485" s="1028"/>
      <c r="L1485" s="1035" t="str">
        <f t="shared" si="541"/>
        <v/>
      </c>
      <c r="S1485" s="498"/>
      <c r="AJ1485" s="498"/>
      <c r="AM1485" s="498">
        <f t="shared" si="522"/>
        <v>0</v>
      </c>
      <c r="AN1485" s="498">
        <f t="shared" si="523"/>
        <v>0</v>
      </c>
      <c r="AO1485" s="498">
        <f t="shared" si="524"/>
        <v>0</v>
      </c>
      <c r="AP1485" s="498">
        <f t="shared" si="521"/>
        <v>0</v>
      </c>
      <c r="AQ1485" s="498">
        <f t="shared" si="538"/>
        <v>0</v>
      </c>
      <c r="AU1485" s="498">
        <f t="shared" si="525"/>
        <v>0</v>
      </c>
      <c r="AV1485" s="498">
        <f t="shared" si="526"/>
        <v>0</v>
      </c>
      <c r="AW1485" s="498">
        <f t="shared" si="527"/>
        <v>0</v>
      </c>
      <c r="AX1485" s="498">
        <f t="shared" si="528"/>
        <v>0</v>
      </c>
      <c r="AY1485" s="498">
        <f t="shared" si="529"/>
        <v>0</v>
      </c>
      <c r="BB1485" s="498" t="str">
        <f t="shared" si="530"/>
        <v/>
      </c>
      <c r="BC1485" s="743" t="str">
        <f t="shared" si="531"/>
        <v/>
      </c>
      <c r="BD1485" s="743" t="str">
        <f t="shared" si="532"/>
        <v/>
      </c>
      <c r="BE1485" s="743" t="str">
        <f>IF(D1485="","",VLOOKUP(D1485,'General Basis'!$J$39:$K$46,2,0))</f>
        <v/>
      </c>
      <c r="BF1485" s="744" t="str">
        <f>IF(D1485="","",VLOOKUP(D1485,'General Basis'!$J$39:$L$46,3,0))</f>
        <v/>
      </c>
      <c r="BG1485" s="744" t="str">
        <f t="shared" si="539"/>
        <v/>
      </c>
      <c r="BH1485" s="744" t="str">
        <f>IF(G1485="","",IF(BF1485="Abu Dhabi",IF(G1485&lt;18,'General Basis'!$C$39,IF(G1485&lt;41,'General Basis'!$C$40,IF(G1485&lt;60,'General Basis'!$C$41,IF(G1485&lt;65,'General Basis'!$C$42,'General Basis'!$C$43)))),IF(G1485&lt;11,'General Basis'!$B$39,IF(G1485&lt;18,'General Basis'!$B$40,IF(G1485&lt;26,'General Basis'!$B$41,IF(G1485&lt;31,'General Basis'!$B$42,IF(G1485&lt;36,'General Basis'!$B$43,IF(G1485&lt;41,'General Basis'!$B$44,IF(G1485&lt;46,'General Basis'!$B$45,IF(G1485&lt;51,'General Basis'!$B$46,IF(G1485&lt;56,'General Basis'!$B$47,IF(G1485&lt;60,'General Basis'!$B$48,IF(G1485&lt;65,'General Basis'!$B$49,'General Basis'!$B$50)))))))))))))</f>
        <v/>
      </c>
      <c r="BI1485" s="744" t="str">
        <f t="shared" si="533"/>
        <v/>
      </c>
      <c r="BJ1485" s="747" t="str">
        <f t="shared" si="540"/>
        <v/>
      </c>
      <c r="BK1485" s="498" t="str">
        <f t="shared" si="534"/>
        <v/>
      </c>
      <c r="BL1485" s="498" t="str">
        <f t="shared" si="535"/>
        <v/>
      </c>
    </row>
    <row r="1486" spans="1:64" x14ac:dyDescent="0.25">
      <c r="A1486" s="762">
        <f t="shared" si="536"/>
        <v>1481</v>
      </c>
      <c r="B1486" s="229"/>
      <c r="C1486" s="223"/>
      <c r="D1486" s="224"/>
      <c r="E1486" s="225"/>
      <c r="F1486" s="1036" t="str">
        <f t="shared" si="520"/>
        <v/>
      </c>
      <c r="G1486" s="1037" t="str">
        <f t="shared" si="537"/>
        <v/>
      </c>
      <c r="H1486" s="225"/>
      <c r="I1486" s="1013"/>
      <c r="J1486" s="1013"/>
      <c r="K1486" s="1028"/>
      <c r="L1486" s="1035" t="str">
        <f t="shared" si="541"/>
        <v/>
      </c>
      <c r="S1486" s="498"/>
      <c r="AJ1486" s="498"/>
      <c r="AM1486" s="498">
        <f t="shared" si="522"/>
        <v>0</v>
      </c>
      <c r="AN1486" s="498">
        <f t="shared" si="523"/>
        <v>0</v>
      </c>
      <c r="AO1486" s="498">
        <f t="shared" si="524"/>
        <v>0</v>
      </c>
      <c r="AP1486" s="498">
        <f t="shared" si="521"/>
        <v>0</v>
      </c>
      <c r="AQ1486" s="498">
        <f t="shared" si="538"/>
        <v>0</v>
      </c>
      <c r="AU1486" s="498">
        <f t="shared" si="525"/>
        <v>0</v>
      </c>
      <c r="AV1486" s="498">
        <f t="shared" si="526"/>
        <v>0</v>
      </c>
      <c r="AW1486" s="498">
        <f t="shared" si="527"/>
        <v>0</v>
      </c>
      <c r="AX1486" s="498">
        <f t="shared" si="528"/>
        <v>0</v>
      </c>
      <c r="AY1486" s="498">
        <f t="shared" si="529"/>
        <v>0</v>
      </c>
      <c r="BB1486" s="498" t="str">
        <f t="shared" si="530"/>
        <v/>
      </c>
      <c r="BC1486" s="743" t="str">
        <f t="shared" si="531"/>
        <v/>
      </c>
      <c r="BD1486" s="743" t="str">
        <f t="shared" si="532"/>
        <v/>
      </c>
      <c r="BE1486" s="743" t="str">
        <f>IF(D1486="","",VLOOKUP(D1486,'General Basis'!$J$39:$K$46,2,0))</f>
        <v/>
      </c>
      <c r="BF1486" s="744" t="str">
        <f>IF(D1486="","",VLOOKUP(D1486,'General Basis'!$J$39:$L$46,3,0))</f>
        <v/>
      </c>
      <c r="BG1486" s="744" t="str">
        <f t="shared" si="539"/>
        <v/>
      </c>
      <c r="BH1486" s="744" t="str">
        <f>IF(G1486="","",IF(BF1486="Abu Dhabi",IF(G1486&lt;18,'General Basis'!$C$39,IF(G1486&lt;41,'General Basis'!$C$40,IF(G1486&lt;60,'General Basis'!$C$41,IF(G1486&lt;65,'General Basis'!$C$42,'General Basis'!$C$43)))),IF(G1486&lt;11,'General Basis'!$B$39,IF(G1486&lt;18,'General Basis'!$B$40,IF(G1486&lt;26,'General Basis'!$B$41,IF(G1486&lt;31,'General Basis'!$B$42,IF(G1486&lt;36,'General Basis'!$B$43,IF(G1486&lt;41,'General Basis'!$B$44,IF(G1486&lt;46,'General Basis'!$B$45,IF(G1486&lt;51,'General Basis'!$B$46,IF(G1486&lt;56,'General Basis'!$B$47,IF(G1486&lt;60,'General Basis'!$B$48,IF(G1486&lt;65,'General Basis'!$B$49,'General Basis'!$B$50)))))))))))))</f>
        <v/>
      </c>
      <c r="BI1486" s="744" t="str">
        <f t="shared" si="533"/>
        <v/>
      </c>
      <c r="BJ1486" s="747" t="str">
        <f t="shared" si="540"/>
        <v/>
      </c>
      <c r="BK1486" s="498" t="str">
        <f t="shared" si="534"/>
        <v/>
      </c>
      <c r="BL1486" s="498" t="str">
        <f t="shared" si="535"/>
        <v/>
      </c>
    </row>
    <row r="1487" spans="1:64" x14ac:dyDescent="0.25">
      <c r="A1487" s="762">
        <f t="shared" si="536"/>
        <v>1482</v>
      </c>
      <c r="B1487" s="229"/>
      <c r="C1487" s="223"/>
      <c r="D1487" s="224"/>
      <c r="E1487" s="225"/>
      <c r="F1487" s="1036" t="str">
        <f t="shared" si="520"/>
        <v/>
      </c>
      <c r="G1487" s="1037" t="str">
        <f t="shared" si="537"/>
        <v/>
      </c>
      <c r="H1487" s="225"/>
      <c r="I1487" s="1013"/>
      <c r="J1487" s="1013"/>
      <c r="K1487" s="1028"/>
      <c r="L1487" s="1035" t="str">
        <f t="shared" si="541"/>
        <v/>
      </c>
      <c r="S1487" s="498"/>
      <c r="AJ1487" s="498"/>
      <c r="AM1487" s="498">
        <f t="shared" si="522"/>
        <v>0</v>
      </c>
      <c r="AN1487" s="498">
        <f t="shared" si="523"/>
        <v>0</v>
      </c>
      <c r="AO1487" s="498">
        <f t="shared" si="524"/>
        <v>0</v>
      </c>
      <c r="AP1487" s="498">
        <f t="shared" si="521"/>
        <v>0</v>
      </c>
      <c r="AQ1487" s="498">
        <f t="shared" si="538"/>
        <v>0</v>
      </c>
      <c r="AU1487" s="498">
        <f t="shared" si="525"/>
        <v>0</v>
      </c>
      <c r="AV1487" s="498">
        <f t="shared" si="526"/>
        <v>0</v>
      </c>
      <c r="AW1487" s="498">
        <f t="shared" si="527"/>
        <v>0</v>
      </c>
      <c r="AX1487" s="498">
        <f t="shared" si="528"/>
        <v>0</v>
      </c>
      <c r="AY1487" s="498">
        <f t="shared" si="529"/>
        <v>0</v>
      </c>
      <c r="BB1487" s="498" t="str">
        <f t="shared" si="530"/>
        <v/>
      </c>
      <c r="BC1487" s="743" t="str">
        <f t="shared" si="531"/>
        <v/>
      </c>
      <c r="BD1487" s="743" t="str">
        <f t="shared" si="532"/>
        <v/>
      </c>
      <c r="BE1487" s="743" t="str">
        <f>IF(D1487="","",VLOOKUP(D1487,'General Basis'!$J$39:$K$46,2,0))</f>
        <v/>
      </c>
      <c r="BF1487" s="744" t="str">
        <f>IF(D1487="","",VLOOKUP(D1487,'General Basis'!$J$39:$L$46,3,0))</f>
        <v/>
      </c>
      <c r="BG1487" s="744" t="str">
        <f t="shared" si="539"/>
        <v/>
      </c>
      <c r="BH1487" s="744" t="str">
        <f>IF(G1487="","",IF(BF1487="Abu Dhabi",IF(G1487&lt;18,'General Basis'!$C$39,IF(G1487&lt;41,'General Basis'!$C$40,IF(G1487&lt;60,'General Basis'!$C$41,IF(G1487&lt;65,'General Basis'!$C$42,'General Basis'!$C$43)))),IF(G1487&lt;11,'General Basis'!$B$39,IF(G1487&lt;18,'General Basis'!$B$40,IF(G1487&lt;26,'General Basis'!$B$41,IF(G1487&lt;31,'General Basis'!$B$42,IF(G1487&lt;36,'General Basis'!$B$43,IF(G1487&lt;41,'General Basis'!$B$44,IF(G1487&lt;46,'General Basis'!$B$45,IF(G1487&lt;51,'General Basis'!$B$46,IF(G1487&lt;56,'General Basis'!$B$47,IF(G1487&lt;60,'General Basis'!$B$48,IF(G1487&lt;65,'General Basis'!$B$49,'General Basis'!$B$50)))))))))))))</f>
        <v/>
      </c>
      <c r="BI1487" s="744" t="str">
        <f t="shared" si="533"/>
        <v/>
      </c>
      <c r="BJ1487" s="747" t="str">
        <f t="shared" si="540"/>
        <v/>
      </c>
      <c r="BK1487" s="498" t="str">
        <f t="shared" si="534"/>
        <v/>
      </c>
      <c r="BL1487" s="498" t="str">
        <f t="shared" si="535"/>
        <v/>
      </c>
    </row>
    <row r="1488" spans="1:64" x14ac:dyDescent="0.25">
      <c r="A1488" s="762">
        <f t="shared" si="536"/>
        <v>1483</v>
      </c>
      <c r="B1488" s="229"/>
      <c r="C1488" s="223"/>
      <c r="D1488" s="224"/>
      <c r="E1488" s="225"/>
      <c r="F1488" s="1036" t="str">
        <f t="shared" ref="F1488:F1551" si="542">IF(C1488="","",IF($B1488="","",((YEAR($F$3)-YEAR($B1488))+(MONTH($F$3)-MONTH($B1488))/12+(DAY($F$3)-DAY($B1488))/(DATE(YEAR($F$3),12,31)-DATE(YEAR($F$3),1,1)+1))))</f>
        <v/>
      </c>
      <c r="G1488" s="1037" t="str">
        <f t="shared" si="537"/>
        <v/>
      </c>
      <c r="H1488" s="225"/>
      <c r="I1488" s="1013"/>
      <c r="J1488" s="1013"/>
      <c r="K1488" s="1028"/>
      <c r="L1488" s="1035" t="str">
        <f t="shared" si="541"/>
        <v/>
      </c>
      <c r="S1488" s="498"/>
      <c r="AJ1488" s="498"/>
      <c r="AM1488" s="498">
        <f t="shared" si="522"/>
        <v>0</v>
      </c>
      <c r="AN1488" s="498">
        <f t="shared" si="523"/>
        <v>0</v>
      </c>
      <c r="AO1488" s="498">
        <f t="shared" si="524"/>
        <v>0</v>
      </c>
      <c r="AP1488" s="498">
        <f t="shared" si="521"/>
        <v>0</v>
      </c>
      <c r="AQ1488" s="498">
        <f t="shared" si="538"/>
        <v>0</v>
      </c>
      <c r="AU1488" s="498">
        <f t="shared" si="525"/>
        <v>0</v>
      </c>
      <c r="AV1488" s="498">
        <f t="shared" si="526"/>
        <v>0</v>
      </c>
      <c r="AW1488" s="498">
        <f t="shared" si="527"/>
        <v>0</v>
      </c>
      <c r="AX1488" s="498">
        <f t="shared" si="528"/>
        <v>0</v>
      </c>
      <c r="AY1488" s="498">
        <f t="shared" si="529"/>
        <v>0</v>
      </c>
      <c r="BB1488" s="498" t="str">
        <f t="shared" si="530"/>
        <v/>
      </c>
      <c r="BC1488" s="743" t="str">
        <f t="shared" si="531"/>
        <v/>
      </c>
      <c r="BD1488" s="743" t="str">
        <f t="shared" si="532"/>
        <v/>
      </c>
      <c r="BE1488" s="743" t="str">
        <f>IF(D1488="","",VLOOKUP(D1488,'General Basis'!$J$39:$K$46,2,0))</f>
        <v/>
      </c>
      <c r="BF1488" s="744" t="str">
        <f>IF(D1488="","",VLOOKUP(D1488,'General Basis'!$J$39:$L$46,3,0))</f>
        <v/>
      </c>
      <c r="BG1488" s="744" t="str">
        <f t="shared" si="539"/>
        <v/>
      </c>
      <c r="BH1488" s="744" t="str">
        <f>IF(G1488="","",IF(BF1488="Abu Dhabi",IF(G1488&lt;18,'General Basis'!$C$39,IF(G1488&lt;41,'General Basis'!$C$40,IF(G1488&lt;60,'General Basis'!$C$41,IF(G1488&lt;65,'General Basis'!$C$42,'General Basis'!$C$43)))),IF(G1488&lt;11,'General Basis'!$B$39,IF(G1488&lt;18,'General Basis'!$B$40,IF(G1488&lt;26,'General Basis'!$B$41,IF(G1488&lt;31,'General Basis'!$B$42,IF(G1488&lt;36,'General Basis'!$B$43,IF(G1488&lt;41,'General Basis'!$B$44,IF(G1488&lt;46,'General Basis'!$B$45,IF(G1488&lt;51,'General Basis'!$B$46,IF(G1488&lt;56,'General Basis'!$B$47,IF(G1488&lt;60,'General Basis'!$B$48,IF(G1488&lt;65,'General Basis'!$B$49,'General Basis'!$B$50)))))))))))))</f>
        <v/>
      </c>
      <c r="BI1488" s="744" t="str">
        <f t="shared" si="533"/>
        <v/>
      </c>
      <c r="BJ1488" s="747" t="str">
        <f t="shared" si="540"/>
        <v/>
      </c>
      <c r="BK1488" s="498" t="str">
        <f t="shared" si="534"/>
        <v/>
      </c>
      <c r="BL1488" s="498" t="str">
        <f t="shared" si="535"/>
        <v/>
      </c>
    </row>
    <row r="1489" spans="1:64" x14ac:dyDescent="0.25">
      <c r="A1489" s="762">
        <f t="shared" si="536"/>
        <v>1484</v>
      </c>
      <c r="B1489" s="229"/>
      <c r="C1489" s="223"/>
      <c r="D1489" s="224"/>
      <c r="E1489" s="225"/>
      <c r="F1489" s="1036" t="str">
        <f t="shared" si="542"/>
        <v/>
      </c>
      <c r="G1489" s="1037" t="str">
        <f t="shared" si="537"/>
        <v/>
      </c>
      <c r="H1489" s="225"/>
      <c r="I1489" s="1013"/>
      <c r="J1489" s="1013"/>
      <c r="K1489" s="1028"/>
      <c r="L1489" s="1035" t="str">
        <f t="shared" si="541"/>
        <v/>
      </c>
      <c r="S1489" s="498"/>
      <c r="AJ1489" s="498"/>
      <c r="AM1489" s="498">
        <f t="shared" si="522"/>
        <v>0</v>
      </c>
      <c r="AN1489" s="498">
        <f t="shared" si="523"/>
        <v>0</v>
      </c>
      <c r="AO1489" s="498">
        <f t="shared" si="524"/>
        <v>0</v>
      </c>
      <c r="AP1489" s="498">
        <f t="shared" si="521"/>
        <v>0</v>
      </c>
      <c r="AQ1489" s="498">
        <f t="shared" si="538"/>
        <v>0</v>
      </c>
      <c r="AU1489" s="498">
        <f t="shared" si="525"/>
        <v>0</v>
      </c>
      <c r="AV1489" s="498">
        <f t="shared" si="526"/>
        <v>0</v>
      </c>
      <c r="AW1489" s="498">
        <f t="shared" si="527"/>
        <v>0</v>
      </c>
      <c r="AX1489" s="498">
        <f t="shared" si="528"/>
        <v>0</v>
      </c>
      <c r="AY1489" s="498">
        <f t="shared" si="529"/>
        <v>0</v>
      </c>
      <c r="BB1489" s="498" t="str">
        <f t="shared" si="530"/>
        <v/>
      </c>
      <c r="BC1489" s="743" t="str">
        <f t="shared" si="531"/>
        <v/>
      </c>
      <c r="BD1489" s="743" t="str">
        <f t="shared" si="532"/>
        <v/>
      </c>
      <c r="BE1489" s="743" t="str">
        <f>IF(D1489="","",VLOOKUP(D1489,'General Basis'!$J$39:$K$46,2,0))</f>
        <v/>
      </c>
      <c r="BF1489" s="744" t="str">
        <f>IF(D1489="","",VLOOKUP(D1489,'General Basis'!$J$39:$L$46,3,0))</f>
        <v/>
      </c>
      <c r="BG1489" s="744" t="str">
        <f t="shared" si="539"/>
        <v/>
      </c>
      <c r="BH1489" s="744" t="str">
        <f>IF(G1489="","",IF(BF1489="Abu Dhabi",IF(G1489&lt;18,'General Basis'!$C$39,IF(G1489&lt;41,'General Basis'!$C$40,IF(G1489&lt;60,'General Basis'!$C$41,IF(G1489&lt;65,'General Basis'!$C$42,'General Basis'!$C$43)))),IF(G1489&lt;11,'General Basis'!$B$39,IF(G1489&lt;18,'General Basis'!$B$40,IF(G1489&lt;26,'General Basis'!$B$41,IF(G1489&lt;31,'General Basis'!$B$42,IF(G1489&lt;36,'General Basis'!$B$43,IF(G1489&lt;41,'General Basis'!$B$44,IF(G1489&lt;46,'General Basis'!$B$45,IF(G1489&lt;51,'General Basis'!$B$46,IF(G1489&lt;56,'General Basis'!$B$47,IF(G1489&lt;60,'General Basis'!$B$48,IF(G1489&lt;65,'General Basis'!$B$49,'General Basis'!$B$50)))))))))))))</f>
        <v/>
      </c>
      <c r="BI1489" s="744" t="str">
        <f t="shared" si="533"/>
        <v/>
      </c>
      <c r="BJ1489" s="747" t="str">
        <f t="shared" si="540"/>
        <v/>
      </c>
      <c r="BK1489" s="498" t="str">
        <f t="shared" si="534"/>
        <v/>
      </c>
      <c r="BL1489" s="498" t="str">
        <f t="shared" si="535"/>
        <v/>
      </c>
    </row>
    <row r="1490" spans="1:64" x14ac:dyDescent="0.25">
      <c r="A1490" s="762">
        <f t="shared" si="536"/>
        <v>1485</v>
      </c>
      <c r="B1490" s="229"/>
      <c r="C1490" s="223"/>
      <c r="D1490" s="224"/>
      <c r="E1490" s="225"/>
      <c r="F1490" s="1036" t="str">
        <f t="shared" si="542"/>
        <v/>
      </c>
      <c r="G1490" s="1037" t="str">
        <f t="shared" si="537"/>
        <v/>
      </c>
      <c r="H1490" s="225"/>
      <c r="I1490" s="1013"/>
      <c r="J1490" s="1013"/>
      <c r="K1490" s="1028"/>
      <c r="L1490" s="1035" t="str">
        <f t="shared" si="541"/>
        <v/>
      </c>
      <c r="S1490" s="498"/>
      <c r="AJ1490" s="498"/>
      <c r="AM1490" s="498">
        <f t="shared" si="522"/>
        <v>0</v>
      </c>
      <c r="AN1490" s="498">
        <f t="shared" si="523"/>
        <v>0</v>
      </c>
      <c r="AO1490" s="498">
        <f t="shared" si="524"/>
        <v>0</v>
      </c>
      <c r="AP1490" s="498">
        <f t="shared" si="521"/>
        <v>0</v>
      </c>
      <c r="AQ1490" s="498">
        <f t="shared" si="538"/>
        <v>0</v>
      </c>
      <c r="AU1490" s="498">
        <f t="shared" si="525"/>
        <v>0</v>
      </c>
      <c r="AV1490" s="498">
        <f t="shared" si="526"/>
        <v>0</v>
      </c>
      <c r="AW1490" s="498">
        <f t="shared" si="527"/>
        <v>0</v>
      </c>
      <c r="AX1490" s="498">
        <f t="shared" si="528"/>
        <v>0</v>
      </c>
      <c r="AY1490" s="498">
        <f t="shared" si="529"/>
        <v>0</v>
      </c>
      <c r="BB1490" s="498" t="str">
        <f t="shared" si="530"/>
        <v/>
      </c>
      <c r="BC1490" s="743" t="str">
        <f t="shared" si="531"/>
        <v/>
      </c>
      <c r="BD1490" s="743" t="str">
        <f t="shared" si="532"/>
        <v/>
      </c>
      <c r="BE1490" s="743" t="str">
        <f>IF(D1490="","",VLOOKUP(D1490,'General Basis'!$J$39:$K$46,2,0))</f>
        <v/>
      </c>
      <c r="BF1490" s="744" t="str">
        <f>IF(D1490="","",VLOOKUP(D1490,'General Basis'!$J$39:$L$46,3,0))</f>
        <v/>
      </c>
      <c r="BG1490" s="744" t="str">
        <f t="shared" si="539"/>
        <v/>
      </c>
      <c r="BH1490" s="744" t="str">
        <f>IF(G1490="","",IF(BF1490="Abu Dhabi",IF(G1490&lt;18,'General Basis'!$C$39,IF(G1490&lt;41,'General Basis'!$C$40,IF(G1490&lt;60,'General Basis'!$C$41,IF(G1490&lt;65,'General Basis'!$C$42,'General Basis'!$C$43)))),IF(G1490&lt;11,'General Basis'!$B$39,IF(G1490&lt;18,'General Basis'!$B$40,IF(G1490&lt;26,'General Basis'!$B$41,IF(G1490&lt;31,'General Basis'!$B$42,IF(G1490&lt;36,'General Basis'!$B$43,IF(G1490&lt;41,'General Basis'!$B$44,IF(G1490&lt;46,'General Basis'!$B$45,IF(G1490&lt;51,'General Basis'!$B$46,IF(G1490&lt;56,'General Basis'!$B$47,IF(G1490&lt;60,'General Basis'!$B$48,IF(G1490&lt;65,'General Basis'!$B$49,'General Basis'!$B$50)))))))))))))</f>
        <v/>
      </c>
      <c r="BI1490" s="744" t="str">
        <f t="shared" si="533"/>
        <v/>
      </c>
      <c r="BJ1490" s="747" t="str">
        <f t="shared" si="540"/>
        <v/>
      </c>
      <c r="BK1490" s="498" t="str">
        <f t="shared" si="534"/>
        <v/>
      </c>
      <c r="BL1490" s="498" t="str">
        <f t="shared" si="535"/>
        <v/>
      </c>
    </row>
    <row r="1491" spans="1:64" x14ac:dyDescent="0.25">
      <c r="A1491" s="762">
        <f t="shared" si="536"/>
        <v>1486</v>
      </c>
      <c r="B1491" s="229"/>
      <c r="C1491" s="223"/>
      <c r="D1491" s="224"/>
      <c r="E1491" s="225"/>
      <c r="F1491" s="1036" t="str">
        <f t="shared" si="542"/>
        <v/>
      </c>
      <c r="G1491" s="1037" t="str">
        <f t="shared" si="537"/>
        <v/>
      </c>
      <c r="H1491" s="225"/>
      <c r="I1491" s="1013"/>
      <c r="J1491" s="1013"/>
      <c r="K1491" s="1028"/>
      <c r="L1491" s="1035" t="str">
        <f t="shared" si="541"/>
        <v/>
      </c>
      <c r="S1491" s="498"/>
      <c r="AJ1491" s="498"/>
      <c r="AM1491" s="498">
        <f t="shared" si="522"/>
        <v>0</v>
      </c>
      <c r="AN1491" s="498">
        <f t="shared" si="523"/>
        <v>0</v>
      </c>
      <c r="AO1491" s="498">
        <f t="shared" si="524"/>
        <v>0</v>
      </c>
      <c r="AP1491" s="498">
        <f t="shared" ref="AP1491:AP1554" si="543">IF(ISBLANK($B1491),0,IF(OR($C1491="M",$C1491="F"),0,1))</f>
        <v>0</v>
      </c>
      <c r="AQ1491" s="498">
        <f t="shared" si="538"/>
        <v>0</v>
      </c>
      <c r="AU1491" s="498">
        <f t="shared" si="525"/>
        <v>0</v>
      </c>
      <c r="AV1491" s="498">
        <f t="shared" si="526"/>
        <v>0</v>
      </c>
      <c r="AW1491" s="498">
        <f t="shared" si="527"/>
        <v>0</v>
      </c>
      <c r="AX1491" s="498">
        <f t="shared" si="528"/>
        <v>0</v>
      </c>
      <c r="AY1491" s="498">
        <f t="shared" si="529"/>
        <v>0</v>
      </c>
      <c r="BB1491" s="498" t="str">
        <f t="shared" si="530"/>
        <v/>
      </c>
      <c r="BC1491" s="743" t="str">
        <f t="shared" si="531"/>
        <v/>
      </c>
      <c r="BD1491" s="743" t="str">
        <f t="shared" si="532"/>
        <v/>
      </c>
      <c r="BE1491" s="743" t="str">
        <f>IF(D1491="","",VLOOKUP(D1491,'General Basis'!$J$39:$K$46,2,0))</f>
        <v/>
      </c>
      <c r="BF1491" s="744" t="str">
        <f>IF(D1491="","",VLOOKUP(D1491,'General Basis'!$J$39:$L$46,3,0))</f>
        <v/>
      </c>
      <c r="BG1491" s="744" t="str">
        <f t="shared" si="539"/>
        <v/>
      </c>
      <c r="BH1491" s="744" t="str">
        <f>IF(G1491="","",IF(BF1491="Abu Dhabi",IF(G1491&lt;18,'General Basis'!$C$39,IF(G1491&lt;41,'General Basis'!$C$40,IF(G1491&lt;60,'General Basis'!$C$41,IF(G1491&lt;65,'General Basis'!$C$42,'General Basis'!$C$43)))),IF(G1491&lt;11,'General Basis'!$B$39,IF(G1491&lt;18,'General Basis'!$B$40,IF(G1491&lt;26,'General Basis'!$B$41,IF(G1491&lt;31,'General Basis'!$B$42,IF(G1491&lt;36,'General Basis'!$B$43,IF(G1491&lt;41,'General Basis'!$B$44,IF(G1491&lt;46,'General Basis'!$B$45,IF(G1491&lt;51,'General Basis'!$B$46,IF(G1491&lt;56,'General Basis'!$B$47,IF(G1491&lt;60,'General Basis'!$B$48,IF(G1491&lt;65,'General Basis'!$B$49,'General Basis'!$B$50)))))))))))))</f>
        <v/>
      </c>
      <c r="BI1491" s="744" t="str">
        <f t="shared" si="533"/>
        <v/>
      </c>
      <c r="BJ1491" s="747" t="str">
        <f t="shared" si="540"/>
        <v/>
      </c>
      <c r="BK1491" s="498" t="str">
        <f t="shared" si="534"/>
        <v/>
      </c>
      <c r="BL1491" s="498" t="str">
        <f t="shared" si="535"/>
        <v/>
      </c>
    </row>
    <row r="1492" spans="1:64" x14ac:dyDescent="0.25">
      <c r="A1492" s="762">
        <f t="shared" si="536"/>
        <v>1487</v>
      </c>
      <c r="B1492" s="229"/>
      <c r="C1492" s="223"/>
      <c r="D1492" s="224"/>
      <c r="E1492" s="225"/>
      <c r="F1492" s="1036" t="str">
        <f t="shared" si="542"/>
        <v/>
      </c>
      <c r="G1492" s="1037" t="str">
        <f t="shared" si="537"/>
        <v/>
      </c>
      <c r="H1492" s="225"/>
      <c r="I1492" s="1013"/>
      <c r="J1492" s="1013"/>
      <c r="K1492" s="1028"/>
      <c r="L1492" s="1035" t="str">
        <f t="shared" si="541"/>
        <v/>
      </c>
      <c r="S1492" s="498"/>
      <c r="AJ1492" s="498"/>
      <c r="AM1492" s="498">
        <f t="shared" si="522"/>
        <v>0</v>
      </c>
      <c r="AN1492" s="498">
        <f t="shared" si="523"/>
        <v>0</v>
      </c>
      <c r="AO1492" s="498">
        <f t="shared" si="524"/>
        <v>0</v>
      </c>
      <c r="AP1492" s="498">
        <f t="shared" si="543"/>
        <v>0</v>
      </c>
      <c r="AQ1492" s="498">
        <f t="shared" si="538"/>
        <v>0</v>
      </c>
      <c r="AU1492" s="498">
        <f t="shared" si="525"/>
        <v>0</v>
      </c>
      <c r="AV1492" s="498">
        <f t="shared" si="526"/>
        <v>0</v>
      </c>
      <c r="AW1492" s="498">
        <f t="shared" si="527"/>
        <v>0</v>
      </c>
      <c r="AX1492" s="498">
        <f t="shared" si="528"/>
        <v>0</v>
      </c>
      <c r="AY1492" s="498">
        <f t="shared" si="529"/>
        <v>0</v>
      </c>
      <c r="BB1492" s="498" t="str">
        <f t="shared" si="530"/>
        <v/>
      </c>
      <c r="BC1492" s="743" t="str">
        <f t="shared" si="531"/>
        <v/>
      </c>
      <c r="BD1492" s="743" t="str">
        <f t="shared" si="532"/>
        <v/>
      </c>
      <c r="BE1492" s="743" t="str">
        <f>IF(D1492="","",VLOOKUP(D1492,'General Basis'!$J$39:$K$46,2,0))</f>
        <v/>
      </c>
      <c r="BF1492" s="744" t="str">
        <f>IF(D1492="","",VLOOKUP(D1492,'General Basis'!$J$39:$L$46,3,0))</f>
        <v/>
      </c>
      <c r="BG1492" s="744" t="str">
        <f t="shared" si="539"/>
        <v/>
      </c>
      <c r="BH1492" s="744" t="str">
        <f>IF(G1492="","",IF(BF1492="Abu Dhabi",IF(G1492&lt;18,'General Basis'!$C$39,IF(G1492&lt;41,'General Basis'!$C$40,IF(G1492&lt;60,'General Basis'!$C$41,IF(G1492&lt;65,'General Basis'!$C$42,'General Basis'!$C$43)))),IF(G1492&lt;11,'General Basis'!$B$39,IF(G1492&lt;18,'General Basis'!$B$40,IF(G1492&lt;26,'General Basis'!$B$41,IF(G1492&lt;31,'General Basis'!$B$42,IF(G1492&lt;36,'General Basis'!$B$43,IF(G1492&lt;41,'General Basis'!$B$44,IF(G1492&lt;46,'General Basis'!$B$45,IF(G1492&lt;51,'General Basis'!$B$46,IF(G1492&lt;56,'General Basis'!$B$47,IF(G1492&lt;60,'General Basis'!$B$48,IF(G1492&lt;65,'General Basis'!$B$49,'General Basis'!$B$50)))))))))))))</f>
        <v/>
      </c>
      <c r="BI1492" s="744" t="str">
        <f t="shared" si="533"/>
        <v/>
      </c>
      <c r="BJ1492" s="747" t="str">
        <f t="shared" si="540"/>
        <v/>
      </c>
      <c r="BK1492" s="498" t="str">
        <f t="shared" si="534"/>
        <v/>
      </c>
      <c r="BL1492" s="498" t="str">
        <f t="shared" si="535"/>
        <v/>
      </c>
    </row>
    <row r="1493" spans="1:64" x14ac:dyDescent="0.25">
      <c r="A1493" s="762">
        <f t="shared" si="536"/>
        <v>1488</v>
      </c>
      <c r="B1493" s="229"/>
      <c r="C1493" s="223"/>
      <c r="D1493" s="224"/>
      <c r="E1493" s="225"/>
      <c r="F1493" s="1036" t="str">
        <f t="shared" si="542"/>
        <v/>
      </c>
      <c r="G1493" s="1037" t="str">
        <f t="shared" si="537"/>
        <v/>
      </c>
      <c r="H1493" s="225"/>
      <c r="I1493" s="1013"/>
      <c r="J1493" s="1013"/>
      <c r="K1493" s="1028"/>
      <c r="L1493" s="1035" t="str">
        <f t="shared" si="541"/>
        <v/>
      </c>
      <c r="S1493" s="498"/>
      <c r="AJ1493" s="498"/>
      <c r="AM1493" s="498">
        <f t="shared" si="522"/>
        <v>0</v>
      </c>
      <c r="AN1493" s="498">
        <f t="shared" si="523"/>
        <v>0</v>
      </c>
      <c r="AO1493" s="498">
        <f t="shared" si="524"/>
        <v>0</v>
      </c>
      <c r="AP1493" s="498">
        <f t="shared" si="543"/>
        <v>0</v>
      </c>
      <c r="AQ1493" s="498">
        <f t="shared" si="538"/>
        <v>0</v>
      </c>
      <c r="AU1493" s="498">
        <f t="shared" si="525"/>
        <v>0</v>
      </c>
      <c r="AV1493" s="498">
        <f t="shared" si="526"/>
        <v>0</v>
      </c>
      <c r="AW1493" s="498">
        <f t="shared" si="527"/>
        <v>0</v>
      </c>
      <c r="AX1493" s="498">
        <f t="shared" si="528"/>
        <v>0</v>
      </c>
      <c r="AY1493" s="498">
        <f t="shared" si="529"/>
        <v>0</v>
      </c>
      <c r="BB1493" s="498" t="str">
        <f t="shared" si="530"/>
        <v/>
      </c>
      <c r="BC1493" s="743" t="str">
        <f t="shared" si="531"/>
        <v/>
      </c>
      <c r="BD1493" s="743" t="str">
        <f t="shared" si="532"/>
        <v/>
      </c>
      <c r="BE1493" s="743" t="str">
        <f>IF(D1493="","",VLOOKUP(D1493,'General Basis'!$J$39:$K$46,2,0))</f>
        <v/>
      </c>
      <c r="BF1493" s="744" t="str">
        <f>IF(D1493="","",VLOOKUP(D1493,'General Basis'!$J$39:$L$46,3,0))</f>
        <v/>
      </c>
      <c r="BG1493" s="744" t="str">
        <f t="shared" si="539"/>
        <v/>
      </c>
      <c r="BH1493" s="744" t="str">
        <f>IF(G1493="","",IF(BF1493="Abu Dhabi",IF(G1493&lt;18,'General Basis'!$C$39,IF(G1493&lt;41,'General Basis'!$C$40,IF(G1493&lt;60,'General Basis'!$C$41,IF(G1493&lt;65,'General Basis'!$C$42,'General Basis'!$C$43)))),IF(G1493&lt;11,'General Basis'!$B$39,IF(G1493&lt;18,'General Basis'!$B$40,IF(G1493&lt;26,'General Basis'!$B$41,IF(G1493&lt;31,'General Basis'!$B$42,IF(G1493&lt;36,'General Basis'!$B$43,IF(G1493&lt;41,'General Basis'!$B$44,IF(G1493&lt;46,'General Basis'!$B$45,IF(G1493&lt;51,'General Basis'!$B$46,IF(G1493&lt;56,'General Basis'!$B$47,IF(G1493&lt;60,'General Basis'!$B$48,IF(G1493&lt;65,'General Basis'!$B$49,'General Basis'!$B$50)))))))))))))</f>
        <v/>
      </c>
      <c r="BI1493" s="744" t="str">
        <f t="shared" si="533"/>
        <v/>
      </c>
      <c r="BJ1493" s="747" t="str">
        <f t="shared" si="540"/>
        <v/>
      </c>
      <c r="BK1493" s="498" t="str">
        <f t="shared" si="534"/>
        <v/>
      </c>
      <c r="BL1493" s="498" t="str">
        <f t="shared" si="535"/>
        <v/>
      </c>
    </row>
    <row r="1494" spans="1:64" x14ac:dyDescent="0.25">
      <c r="A1494" s="762">
        <f t="shared" si="536"/>
        <v>1489</v>
      </c>
      <c r="B1494" s="229"/>
      <c r="C1494" s="223"/>
      <c r="D1494" s="224"/>
      <c r="E1494" s="225"/>
      <c r="F1494" s="1036" t="str">
        <f t="shared" si="542"/>
        <v/>
      </c>
      <c r="G1494" s="1037" t="str">
        <f t="shared" si="537"/>
        <v/>
      </c>
      <c r="H1494" s="225"/>
      <c r="I1494" s="1013"/>
      <c r="J1494" s="1013"/>
      <c r="K1494" s="1028"/>
      <c r="L1494" s="1035" t="str">
        <f t="shared" si="541"/>
        <v/>
      </c>
      <c r="S1494" s="498"/>
      <c r="AJ1494" s="498"/>
      <c r="AM1494" s="498">
        <f t="shared" si="522"/>
        <v>0</v>
      </c>
      <c r="AN1494" s="498">
        <f t="shared" si="523"/>
        <v>0</v>
      </c>
      <c r="AO1494" s="498">
        <f t="shared" si="524"/>
        <v>0</v>
      </c>
      <c r="AP1494" s="498">
        <f t="shared" si="543"/>
        <v>0</v>
      </c>
      <c r="AQ1494" s="498">
        <f t="shared" si="538"/>
        <v>0</v>
      </c>
      <c r="AU1494" s="498">
        <f t="shared" si="525"/>
        <v>0</v>
      </c>
      <c r="AV1494" s="498">
        <f t="shared" si="526"/>
        <v>0</v>
      </c>
      <c r="AW1494" s="498">
        <f t="shared" si="527"/>
        <v>0</v>
      </c>
      <c r="AX1494" s="498">
        <f t="shared" si="528"/>
        <v>0</v>
      </c>
      <c r="AY1494" s="498">
        <f t="shared" si="529"/>
        <v>0</v>
      </c>
      <c r="BB1494" s="498" t="str">
        <f t="shared" si="530"/>
        <v/>
      </c>
      <c r="BC1494" s="743" t="str">
        <f t="shared" si="531"/>
        <v/>
      </c>
      <c r="BD1494" s="743" t="str">
        <f t="shared" si="532"/>
        <v/>
      </c>
      <c r="BE1494" s="743" t="str">
        <f>IF(D1494="","",VLOOKUP(D1494,'General Basis'!$J$39:$K$46,2,0))</f>
        <v/>
      </c>
      <c r="BF1494" s="744" t="str">
        <f>IF(D1494="","",VLOOKUP(D1494,'General Basis'!$J$39:$L$46,3,0))</f>
        <v/>
      </c>
      <c r="BG1494" s="744" t="str">
        <f t="shared" si="539"/>
        <v/>
      </c>
      <c r="BH1494" s="744" t="str">
        <f>IF(G1494="","",IF(BF1494="Abu Dhabi",IF(G1494&lt;18,'General Basis'!$C$39,IF(G1494&lt;41,'General Basis'!$C$40,IF(G1494&lt;60,'General Basis'!$C$41,IF(G1494&lt;65,'General Basis'!$C$42,'General Basis'!$C$43)))),IF(G1494&lt;11,'General Basis'!$B$39,IF(G1494&lt;18,'General Basis'!$B$40,IF(G1494&lt;26,'General Basis'!$B$41,IF(G1494&lt;31,'General Basis'!$B$42,IF(G1494&lt;36,'General Basis'!$B$43,IF(G1494&lt;41,'General Basis'!$B$44,IF(G1494&lt;46,'General Basis'!$B$45,IF(G1494&lt;51,'General Basis'!$B$46,IF(G1494&lt;56,'General Basis'!$B$47,IF(G1494&lt;60,'General Basis'!$B$48,IF(G1494&lt;65,'General Basis'!$B$49,'General Basis'!$B$50)))))))))))))</f>
        <v/>
      </c>
      <c r="BI1494" s="744" t="str">
        <f t="shared" si="533"/>
        <v/>
      </c>
      <c r="BJ1494" s="747" t="str">
        <f t="shared" si="540"/>
        <v/>
      </c>
      <c r="BK1494" s="498" t="str">
        <f t="shared" si="534"/>
        <v/>
      </c>
      <c r="BL1494" s="498" t="str">
        <f t="shared" si="535"/>
        <v/>
      </c>
    </row>
    <row r="1495" spans="1:64" x14ac:dyDescent="0.25">
      <c r="A1495" s="762">
        <f t="shared" si="536"/>
        <v>1490</v>
      </c>
      <c r="B1495" s="229"/>
      <c r="C1495" s="223"/>
      <c r="D1495" s="224"/>
      <c r="E1495" s="225"/>
      <c r="F1495" s="1036" t="str">
        <f t="shared" si="542"/>
        <v/>
      </c>
      <c r="G1495" s="1037" t="str">
        <f t="shared" si="537"/>
        <v/>
      </c>
      <c r="H1495" s="225"/>
      <c r="I1495" s="1013"/>
      <c r="J1495" s="1013"/>
      <c r="K1495" s="1028"/>
      <c r="L1495" s="1035" t="str">
        <f t="shared" si="541"/>
        <v/>
      </c>
      <c r="S1495" s="498"/>
      <c r="AJ1495" s="498"/>
      <c r="AM1495" s="498">
        <f t="shared" si="522"/>
        <v>0</v>
      </c>
      <c r="AN1495" s="498">
        <f t="shared" si="523"/>
        <v>0</v>
      </c>
      <c r="AO1495" s="498">
        <f t="shared" si="524"/>
        <v>0</v>
      </c>
      <c r="AP1495" s="498">
        <f t="shared" si="543"/>
        <v>0</v>
      </c>
      <c r="AQ1495" s="498">
        <f t="shared" si="538"/>
        <v>0</v>
      </c>
      <c r="AU1495" s="498">
        <f t="shared" si="525"/>
        <v>0</v>
      </c>
      <c r="AV1495" s="498">
        <f t="shared" si="526"/>
        <v>0</v>
      </c>
      <c r="AW1495" s="498">
        <f t="shared" si="527"/>
        <v>0</v>
      </c>
      <c r="AX1495" s="498">
        <f t="shared" si="528"/>
        <v>0</v>
      </c>
      <c r="AY1495" s="498">
        <f t="shared" si="529"/>
        <v>0</v>
      </c>
      <c r="BB1495" s="498" t="str">
        <f t="shared" si="530"/>
        <v/>
      </c>
      <c r="BC1495" s="743" t="str">
        <f t="shared" si="531"/>
        <v/>
      </c>
      <c r="BD1495" s="743" t="str">
        <f t="shared" si="532"/>
        <v/>
      </c>
      <c r="BE1495" s="743" t="str">
        <f>IF(D1495="","",VLOOKUP(D1495,'General Basis'!$J$39:$K$46,2,0))</f>
        <v/>
      </c>
      <c r="BF1495" s="744" t="str">
        <f>IF(D1495="","",VLOOKUP(D1495,'General Basis'!$J$39:$L$46,3,0))</f>
        <v/>
      </c>
      <c r="BG1495" s="744" t="str">
        <f t="shared" si="539"/>
        <v/>
      </c>
      <c r="BH1495" s="744" t="str">
        <f>IF(G1495="","",IF(BF1495="Abu Dhabi",IF(G1495&lt;18,'General Basis'!$C$39,IF(G1495&lt;41,'General Basis'!$C$40,IF(G1495&lt;60,'General Basis'!$C$41,IF(G1495&lt;65,'General Basis'!$C$42,'General Basis'!$C$43)))),IF(G1495&lt;11,'General Basis'!$B$39,IF(G1495&lt;18,'General Basis'!$B$40,IF(G1495&lt;26,'General Basis'!$B$41,IF(G1495&lt;31,'General Basis'!$B$42,IF(G1495&lt;36,'General Basis'!$B$43,IF(G1495&lt;41,'General Basis'!$B$44,IF(G1495&lt;46,'General Basis'!$B$45,IF(G1495&lt;51,'General Basis'!$B$46,IF(G1495&lt;56,'General Basis'!$B$47,IF(G1495&lt;60,'General Basis'!$B$48,IF(G1495&lt;65,'General Basis'!$B$49,'General Basis'!$B$50)))))))))))))</f>
        <v/>
      </c>
      <c r="BI1495" s="744" t="str">
        <f t="shared" si="533"/>
        <v/>
      </c>
      <c r="BJ1495" s="747" t="str">
        <f t="shared" si="540"/>
        <v/>
      </c>
      <c r="BK1495" s="498" t="str">
        <f t="shared" si="534"/>
        <v/>
      </c>
      <c r="BL1495" s="498" t="str">
        <f t="shared" si="535"/>
        <v/>
      </c>
    </row>
    <row r="1496" spans="1:64" x14ac:dyDescent="0.25">
      <c r="A1496" s="762">
        <f t="shared" si="536"/>
        <v>1491</v>
      </c>
      <c r="B1496" s="229"/>
      <c r="C1496" s="223"/>
      <c r="D1496" s="224"/>
      <c r="E1496" s="225"/>
      <c r="F1496" s="1036" t="str">
        <f t="shared" si="542"/>
        <v/>
      </c>
      <c r="G1496" s="1037" t="str">
        <f t="shared" si="537"/>
        <v/>
      </c>
      <c r="H1496" s="225"/>
      <c r="I1496" s="1013"/>
      <c r="J1496" s="1013"/>
      <c r="K1496" s="1028"/>
      <c r="L1496" s="1035" t="str">
        <f t="shared" si="541"/>
        <v/>
      </c>
      <c r="S1496" s="498"/>
      <c r="AJ1496" s="498"/>
      <c r="AM1496" s="498">
        <f t="shared" si="522"/>
        <v>0</v>
      </c>
      <c r="AN1496" s="498">
        <f t="shared" si="523"/>
        <v>0</v>
      </c>
      <c r="AO1496" s="498">
        <f t="shared" si="524"/>
        <v>0</v>
      </c>
      <c r="AP1496" s="498">
        <f t="shared" si="543"/>
        <v>0</v>
      </c>
      <c r="AQ1496" s="498">
        <f t="shared" si="538"/>
        <v>0</v>
      </c>
      <c r="AU1496" s="498">
        <f t="shared" si="525"/>
        <v>0</v>
      </c>
      <c r="AV1496" s="498">
        <f t="shared" si="526"/>
        <v>0</v>
      </c>
      <c r="AW1496" s="498">
        <f t="shared" si="527"/>
        <v>0</v>
      </c>
      <c r="AX1496" s="498">
        <f t="shared" si="528"/>
        <v>0</v>
      </c>
      <c r="AY1496" s="498">
        <f t="shared" si="529"/>
        <v>0</v>
      </c>
      <c r="BB1496" s="498" t="str">
        <f t="shared" si="530"/>
        <v/>
      </c>
      <c r="BC1496" s="743" t="str">
        <f t="shared" si="531"/>
        <v/>
      </c>
      <c r="BD1496" s="743" t="str">
        <f t="shared" si="532"/>
        <v/>
      </c>
      <c r="BE1496" s="743" t="str">
        <f>IF(D1496="","",VLOOKUP(D1496,'General Basis'!$J$39:$K$46,2,0))</f>
        <v/>
      </c>
      <c r="BF1496" s="744" t="str">
        <f>IF(D1496="","",VLOOKUP(D1496,'General Basis'!$J$39:$L$46,3,0))</f>
        <v/>
      </c>
      <c r="BG1496" s="744" t="str">
        <f t="shared" si="539"/>
        <v/>
      </c>
      <c r="BH1496" s="744" t="str">
        <f>IF(G1496="","",IF(BF1496="Abu Dhabi",IF(G1496&lt;18,'General Basis'!$C$39,IF(G1496&lt;41,'General Basis'!$C$40,IF(G1496&lt;60,'General Basis'!$C$41,IF(G1496&lt;65,'General Basis'!$C$42,'General Basis'!$C$43)))),IF(G1496&lt;11,'General Basis'!$B$39,IF(G1496&lt;18,'General Basis'!$B$40,IF(G1496&lt;26,'General Basis'!$B$41,IF(G1496&lt;31,'General Basis'!$B$42,IF(G1496&lt;36,'General Basis'!$B$43,IF(G1496&lt;41,'General Basis'!$B$44,IF(G1496&lt;46,'General Basis'!$B$45,IF(G1496&lt;51,'General Basis'!$B$46,IF(G1496&lt;56,'General Basis'!$B$47,IF(G1496&lt;60,'General Basis'!$B$48,IF(G1496&lt;65,'General Basis'!$B$49,'General Basis'!$B$50)))))))))))))</f>
        <v/>
      </c>
      <c r="BI1496" s="744" t="str">
        <f t="shared" si="533"/>
        <v/>
      </c>
      <c r="BJ1496" s="747" t="str">
        <f t="shared" si="540"/>
        <v/>
      </c>
      <c r="BK1496" s="498" t="str">
        <f t="shared" si="534"/>
        <v/>
      </c>
      <c r="BL1496" s="498" t="str">
        <f t="shared" si="535"/>
        <v/>
      </c>
    </row>
    <row r="1497" spans="1:64" x14ac:dyDescent="0.25">
      <c r="A1497" s="762">
        <f t="shared" si="536"/>
        <v>1492</v>
      </c>
      <c r="B1497" s="229"/>
      <c r="C1497" s="223"/>
      <c r="D1497" s="224"/>
      <c r="E1497" s="225"/>
      <c r="F1497" s="1036" t="str">
        <f t="shared" si="542"/>
        <v/>
      </c>
      <c r="G1497" s="1037" t="str">
        <f t="shared" si="537"/>
        <v/>
      </c>
      <c r="H1497" s="225"/>
      <c r="I1497" s="1013"/>
      <c r="J1497" s="1013"/>
      <c r="K1497" s="1028"/>
      <c r="L1497" s="1035" t="str">
        <f t="shared" si="541"/>
        <v/>
      </c>
      <c r="S1497" s="498"/>
      <c r="AJ1497" s="498"/>
      <c r="AM1497" s="498">
        <f t="shared" si="522"/>
        <v>0</v>
      </c>
      <c r="AN1497" s="498">
        <f t="shared" si="523"/>
        <v>0</v>
      </c>
      <c r="AO1497" s="498">
        <f t="shared" si="524"/>
        <v>0</v>
      </c>
      <c r="AP1497" s="498">
        <f t="shared" si="543"/>
        <v>0</v>
      </c>
      <c r="AQ1497" s="498">
        <f t="shared" si="538"/>
        <v>0</v>
      </c>
      <c r="AU1497" s="498">
        <f t="shared" si="525"/>
        <v>0</v>
      </c>
      <c r="AV1497" s="498">
        <f t="shared" si="526"/>
        <v>0</v>
      </c>
      <c r="AW1497" s="498">
        <f t="shared" si="527"/>
        <v>0</v>
      </c>
      <c r="AX1497" s="498">
        <f t="shared" si="528"/>
        <v>0</v>
      </c>
      <c r="AY1497" s="498">
        <f t="shared" si="529"/>
        <v>0</v>
      </c>
      <c r="BB1497" s="498" t="str">
        <f t="shared" si="530"/>
        <v/>
      </c>
      <c r="BC1497" s="743" t="str">
        <f t="shared" si="531"/>
        <v/>
      </c>
      <c r="BD1497" s="743" t="str">
        <f t="shared" si="532"/>
        <v/>
      </c>
      <c r="BE1497" s="743" t="str">
        <f>IF(D1497="","",VLOOKUP(D1497,'General Basis'!$J$39:$K$46,2,0))</f>
        <v/>
      </c>
      <c r="BF1497" s="744" t="str">
        <f>IF(D1497="","",VLOOKUP(D1497,'General Basis'!$J$39:$L$46,3,0))</f>
        <v/>
      </c>
      <c r="BG1497" s="744" t="str">
        <f t="shared" si="539"/>
        <v/>
      </c>
      <c r="BH1497" s="744" t="str">
        <f>IF(G1497="","",IF(BF1497="Abu Dhabi",IF(G1497&lt;18,'General Basis'!$C$39,IF(G1497&lt;41,'General Basis'!$C$40,IF(G1497&lt;60,'General Basis'!$C$41,IF(G1497&lt;65,'General Basis'!$C$42,'General Basis'!$C$43)))),IF(G1497&lt;11,'General Basis'!$B$39,IF(G1497&lt;18,'General Basis'!$B$40,IF(G1497&lt;26,'General Basis'!$B$41,IF(G1497&lt;31,'General Basis'!$B$42,IF(G1497&lt;36,'General Basis'!$B$43,IF(G1497&lt;41,'General Basis'!$B$44,IF(G1497&lt;46,'General Basis'!$B$45,IF(G1497&lt;51,'General Basis'!$B$46,IF(G1497&lt;56,'General Basis'!$B$47,IF(G1497&lt;60,'General Basis'!$B$48,IF(G1497&lt;65,'General Basis'!$B$49,'General Basis'!$B$50)))))))))))))</f>
        <v/>
      </c>
      <c r="BI1497" s="744" t="str">
        <f t="shared" si="533"/>
        <v/>
      </c>
      <c r="BJ1497" s="747" t="str">
        <f t="shared" si="540"/>
        <v/>
      </c>
      <c r="BK1497" s="498" t="str">
        <f t="shared" si="534"/>
        <v/>
      </c>
      <c r="BL1497" s="498" t="str">
        <f t="shared" si="535"/>
        <v/>
      </c>
    </row>
    <row r="1498" spans="1:64" x14ac:dyDescent="0.25">
      <c r="A1498" s="762">
        <f t="shared" si="536"/>
        <v>1493</v>
      </c>
      <c r="B1498" s="229"/>
      <c r="C1498" s="223"/>
      <c r="D1498" s="224"/>
      <c r="E1498" s="225"/>
      <c r="F1498" s="1036" t="str">
        <f t="shared" si="542"/>
        <v/>
      </c>
      <c r="G1498" s="1037" t="str">
        <f t="shared" si="537"/>
        <v/>
      </c>
      <c r="H1498" s="225"/>
      <c r="I1498" s="1013"/>
      <c r="J1498" s="1013"/>
      <c r="K1498" s="1028"/>
      <c r="L1498" s="1035" t="str">
        <f t="shared" si="541"/>
        <v/>
      </c>
      <c r="S1498" s="498"/>
      <c r="AJ1498" s="498"/>
      <c r="AM1498" s="498">
        <f t="shared" si="522"/>
        <v>0</v>
      </c>
      <c r="AN1498" s="498">
        <f t="shared" si="523"/>
        <v>0</v>
      </c>
      <c r="AO1498" s="498">
        <f t="shared" si="524"/>
        <v>0</v>
      </c>
      <c r="AP1498" s="498">
        <f t="shared" si="543"/>
        <v>0</v>
      </c>
      <c r="AQ1498" s="498">
        <f t="shared" si="538"/>
        <v>0</v>
      </c>
      <c r="AU1498" s="498">
        <f t="shared" si="525"/>
        <v>0</v>
      </c>
      <c r="AV1498" s="498">
        <f t="shared" si="526"/>
        <v>0</v>
      </c>
      <c r="AW1498" s="498">
        <f t="shared" si="527"/>
        <v>0</v>
      </c>
      <c r="AX1498" s="498">
        <f t="shared" si="528"/>
        <v>0</v>
      </c>
      <c r="AY1498" s="498">
        <f t="shared" si="529"/>
        <v>0</v>
      </c>
      <c r="BB1498" s="498" t="str">
        <f t="shared" si="530"/>
        <v/>
      </c>
      <c r="BC1498" s="743" t="str">
        <f t="shared" si="531"/>
        <v/>
      </c>
      <c r="BD1498" s="743" t="str">
        <f t="shared" si="532"/>
        <v/>
      </c>
      <c r="BE1498" s="743" t="str">
        <f>IF(D1498="","",VLOOKUP(D1498,'General Basis'!$J$39:$K$46,2,0))</f>
        <v/>
      </c>
      <c r="BF1498" s="744" t="str">
        <f>IF(D1498="","",VLOOKUP(D1498,'General Basis'!$J$39:$L$46,3,0))</f>
        <v/>
      </c>
      <c r="BG1498" s="744" t="str">
        <f t="shared" si="539"/>
        <v/>
      </c>
      <c r="BH1498" s="744" t="str">
        <f>IF(G1498="","",IF(BF1498="Abu Dhabi",IF(G1498&lt;18,'General Basis'!$C$39,IF(G1498&lt;41,'General Basis'!$C$40,IF(G1498&lt;60,'General Basis'!$C$41,IF(G1498&lt;65,'General Basis'!$C$42,'General Basis'!$C$43)))),IF(G1498&lt;11,'General Basis'!$B$39,IF(G1498&lt;18,'General Basis'!$B$40,IF(G1498&lt;26,'General Basis'!$B$41,IF(G1498&lt;31,'General Basis'!$B$42,IF(G1498&lt;36,'General Basis'!$B$43,IF(G1498&lt;41,'General Basis'!$B$44,IF(G1498&lt;46,'General Basis'!$B$45,IF(G1498&lt;51,'General Basis'!$B$46,IF(G1498&lt;56,'General Basis'!$B$47,IF(G1498&lt;60,'General Basis'!$B$48,IF(G1498&lt;65,'General Basis'!$B$49,'General Basis'!$B$50)))))))))))))</f>
        <v/>
      </c>
      <c r="BI1498" s="744" t="str">
        <f t="shared" si="533"/>
        <v/>
      </c>
      <c r="BJ1498" s="747" t="str">
        <f t="shared" si="540"/>
        <v/>
      </c>
      <c r="BK1498" s="498" t="str">
        <f t="shared" si="534"/>
        <v/>
      </c>
      <c r="BL1498" s="498" t="str">
        <f t="shared" si="535"/>
        <v/>
      </c>
    </row>
    <row r="1499" spans="1:64" x14ac:dyDescent="0.25">
      <c r="A1499" s="762">
        <f t="shared" si="536"/>
        <v>1494</v>
      </c>
      <c r="B1499" s="229"/>
      <c r="C1499" s="223"/>
      <c r="D1499" s="224"/>
      <c r="E1499" s="225"/>
      <c r="F1499" s="1036" t="str">
        <f t="shared" si="542"/>
        <v/>
      </c>
      <c r="G1499" s="1037" t="str">
        <f t="shared" si="537"/>
        <v/>
      </c>
      <c r="H1499" s="225"/>
      <c r="I1499" s="1013"/>
      <c r="J1499" s="1013"/>
      <c r="K1499" s="1028"/>
      <c r="L1499" s="1035" t="str">
        <f t="shared" si="541"/>
        <v/>
      </c>
      <c r="S1499" s="498"/>
      <c r="AJ1499" s="498"/>
      <c r="AM1499" s="498">
        <f t="shared" si="522"/>
        <v>0</v>
      </c>
      <c r="AN1499" s="498">
        <f t="shared" si="523"/>
        <v>0</v>
      </c>
      <c r="AO1499" s="498">
        <f t="shared" si="524"/>
        <v>0</v>
      </c>
      <c r="AP1499" s="498">
        <f t="shared" si="543"/>
        <v>0</v>
      </c>
      <c r="AQ1499" s="498">
        <f t="shared" si="538"/>
        <v>0</v>
      </c>
      <c r="AU1499" s="498">
        <f t="shared" si="525"/>
        <v>0</v>
      </c>
      <c r="AV1499" s="498">
        <f t="shared" si="526"/>
        <v>0</v>
      </c>
      <c r="AW1499" s="498">
        <f t="shared" si="527"/>
        <v>0</v>
      </c>
      <c r="AX1499" s="498">
        <f t="shared" si="528"/>
        <v>0</v>
      </c>
      <c r="AY1499" s="498">
        <f t="shared" si="529"/>
        <v>0</v>
      </c>
      <c r="BB1499" s="498" t="str">
        <f t="shared" si="530"/>
        <v/>
      </c>
      <c r="BC1499" s="743" t="str">
        <f t="shared" si="531"/>
        <v/>
      </c>
      <c r="BD1499" s="743" t="str">
        <f t="shared" si="532"/>
        <v/>
      </c>
      <c r="BE1499" s="743" t="str">
        <f>IF(D1499="","",VLOOKUP(D1499,'General Basis'!$J$39:$K$46,2,0))</f>
        <v/>
      </c>
      <c r="BF1499" s="744" t="str">
        <f>IF(D1499="","",VLOOKUP(D1499,'General Basis'!$J$39:$L$46,3,0))</f>
        <v/>
      </c>
      <c r="BG1499" s="744" t="str">
        <f t="shared" si="539"/>
        <v/>
      </c>
      <c r="BH1499" s="744" t="str">
        <f>IF(G1499="","",IF(BF1499="Abu Dhabi",IF(G1499&lt;18,'General Basis'!$C$39,IF(G1499&lt;41,'General Basis'!$C$40,IF(G1499&lt;60,'General Basis'!$C$41,IF(G1499&lt;65,'General Basis'!$C$42,'General Basis'!$C$43)))),IF(G1499&lt;11,'General Basis'!$B$39,IF(G1499&lt;18,'General Basis'!$B$40,IF(G1499&lt;26,'General Basis'!$B$41,IF(G1499&lt;31,'General Basis'!$B$42,IF(G1499&lt;36,'General Basis'!$B$43,IF(G1499&lt;41,'General Basis'!$B$44,IF(G1499&lt;46,'General Basis'!$B$45,IF(G1499&lt;51,'General Basis'!$B$46,IF(G1499&lt;56,'General Basis'!$B$47,IF(G1499&lt;60,'General Basis'!$B$48,IF(G1499&lt;65,'General Basis'!$B$49,'General Basis'!$B$50)))))))))))))</f>
        <v/>
      </c>
      <c r="BI1499" s="744" t="str">
        <f t="shared" si="533"/>
        <v/>
      </c>
      <c r="BJ1499" s="747" t="str">
        <f t="shared" si="540"/>
        <v/>
      </c>
      <c r="BK1499" s="498" t="str">
        <f t="shared" si="534"/>
        <v/>
      </c>
      <c r="BL1499" s="498" t="str">
        <f t="shared" si="535"/>
        <v/>
      </c>
    </row>
    <row r="1500" spans="1:64" x14ac:dyDescent="0.25">
      <c r="A1500" s="762">
        <f t="shared" si="536"/>
        <v>1495</v>
      </c>
      <c r="B1500" s="229"/>
      <c r="C1500" s="223"/>
      <c r="D1500" s="224"/>
      <c r="E1500" s="225"/>
      <c r="F1500" s="1036" t="str">
        <f t="shared" si="542"/>
        <v/>
      </c>
      <c r="G1500" s="1037" t="str">
        <f t="shared" si="537"/>
        <v/>
      </c>
      <c r="H1500" s="225"/>
      <c r="I1500" s="1013"/>
      <c r="J1500" s="1013"/>
      <c r="K1500" s="1028"/>
      <c r="L1500" s="1035" t="str">
        <f t="shared" si="541"/>
        <v/>
      </c>
      <c r="S1500" s="498"/>
      <c r="AJ1500" s="498"/>
      <c r="AM1500" s="498">
        <f t="shared" si="522"/>
        <v>0</v>
      </c>
      <c r="AN1500" s="498">
        <f t="shared" si="523"/>
        <v>0</v>
      </c>
      <c r="AO1500" s="498">
        <f t="shared" si="524"/>
        <v>0</v>
      </c>
      <c r="AP1500" s="498">
        <f t="shared" si="543"/>
        <v>0</v>
      </c>
      <c r="AQ1500" s="498">
        <f t="shared" si="538"/>
        <v>0</v>
      </c>
      <c r="AU1500" s="498">
        <f t="shared" si="525"/>
        <v>0</v>
      </c>
      <c r="AV1500" s="498">
        <f t="shared" si="526"/>
        <v>0</v>
      </c>
      <c r="AW1500" s="498">
        <f t="shared" si="527"/>
        <v>0</v>
      </c>
      <c r="AX1500" s="498">
        <f t="shared" si="528"/>
        <v>0</v>
      </c>
      <c r="AY1500" s="498">
        <f t="shared" si="529"/>
        <v>0</v>
      </c>
      <c r="BB1500" s="498" t="str">
        <f t="shared" si="530"/>
        <v/>
      </c>
      <c r="BC1500" s="743" t="str">
        <f t="shared" si="531"/>
        <v/>
      </c>
      <c r="BD1500" s="743" t="str">
        <f t="shared" si="532"/>
        <v/>
      </c>
      <c r="BE1500" s="743" t="str">
        <f>IF(D1500="","",VLOOKUP(D1500,'General Basis'!$J$39:$K$46,2,0))</f>
        <v/>
      </c>
      <c r="BF1500" s="744" t="str">
        <f>IF(D1500="","",VLOOKUP(D1500,'General Basis'!$J$39:$L$46,3,0))</f>
        <v/>
      </c>
      <c r="BG1500" s="744" t="str">
        <f t="shared" si="539"/>
        <v/>
      </c>
      <c r="BH1500" s="744" t="str">
        <f>IF(G1500="","",IF(BF1500="Abu Dhabi",IF(G1500&lt;18,'General Basis'!$C$39,IF(G1500&lt;41,'General Basis'!$C$40,IF(G1500&lt;60,'General Basis'!$C$41,IF(G1500&lt;65,'General Basis'!$C$42,'General Basis'!$C$43)))),IF(G1500&lt;11,'General Basis'!$B$39,IF(G1500&lt;18,'General Basis'!$B$40,IF(G1500&lt;26,'General Basis'!$B$41,IF(G1500&lt;31,'General Basis'!$B$42,IF(G1500&lt;36,'General Basis'!$B$43,IF(G1500&lt;41,'General Basis'!$B$44,IF(G1500&lt;46,'General Basis'!$B$45,IF(G1500&lt;51,'General Basis'!$B$46,IF(G1500&lt;56,'General Basis'!$B$47,IF(G1500&lt;60,'General Basis'!$B$48,IF(G1500&lt;65,'General Basis'!$B$49,'General Basis'!$B$50)))))))))))))</f>
        <v/>
      </c>
      <c r="BI1500" s="744" t="str">
        <f t="shared" si="533"/>
        <v/>
      </c>
      <c r="BJ1500" s="747" t="str">
        <f t="shared" si="540"/>
        <v/>
      </c>
      <c r="BK1500" s="498" t="str">
        <f t="shared" si="534"/>
        <v/>
      </c>
      <c r="BL1500" s="498" t="str">
        <f t="shared" si="535"/>
        <v/>
      </c>
    </row>
    <row r="1501" spans="1:64" x14ac:dyDescent="0.25">
      <c r="A1501" s="762">
        <f t="shared" si="536"/>
        <v>1496</v>
      </c>
      <c r="B1501" s="229"/>
      <c r="C1501" s="223"/>
      <c r="D1501" s="224"/>
      <c r="E1501" s="225"/>
      <c r="F1501" s="1036" t="str">
        <f t="shared" si="542"/>
        <v/>
      </c>
      <c r="G1501" s="1037" t="str">
        <f t="shared" si="537"/>
        <v/>
      </c>
      <c r="H1501" s="225"/>
      <c r="I1501" s="1013"/>
      <c r="J1501" s="1013"/>
      <c r="K1501" s="1028"/>
      <c r="L1501" s="1035" t="str">
        <f t="shared" si="541"/>
        <v/>
      </c>
      <c r="S1501" s="498"/>
      <c r="AJ1501" s="498"/>
      <c r="AM1501" s="498">
        <f t="shared" si="522"/>
        <v>0</v>
      </c>
      <c r="AN1501" s="498">
        <f t="shared" si="523"/>
        <v>0</v>
      </c>
      <c r="AO1501" s="498">
        <f t="shared" si="524"/>
        <v>0</v>
      </c>
      <c r="AP1501" s="498">
        <f t="shared" si="543"/>
        <v>0</v>
      </c>
      <c r="AQ1501" s="498">
        <f t="shared" si="538"/>
        <v>0</v>
      </c>
      <c r="AU1501" s="498">
        <f t="shared" si="525"/>
        <v>0</v>
      </c>
      <c r="AV1501" s="498">
        <f t="shared" si="526"/>
        <v>0</v>
      </c>
      <c r="AW1501" s="498">
        <f t="shared" si="527"/>
        <v>0</v>
      </c>
      <c r="AX1501" s="498">
        <f t="shared" si="528"/>
        <v>0</v>
      </c>
      <c r="AY1501" s="498">
        <f t="shared" si="529"/>
        <v>0</v>
      </c>
      <c r="BB1501" s="498" t="str">
        <f t="shared" si="530"/>
        <v/>
      </c>
      <c r="BC1501" s="743" t="str">
        <f t="shared" si="531"/>
        <v/>
      </c>
      <c r="BD1501" s="743" t="str">
        <f t="shared" si="532"/>
        <v/>
      </c>
      <c r="BE1501" s="743" t="str">
        <f>IF(D1501="","",VLOOKUP(D1501,'General Basis'!$J$39:$K$46,2,0))</f>
        <v/>
      </c>
      <c r="BF1501" s="744" t="str">
        <f>IF(D1501="","",VLOOKUP(D1501,'General Basis'!$J$39:$L$46,3,0))</f>
        <v/>
      </c>
      <c r="BG1501" s="744" t="str">
        <f t="shared" si="539"/>
        <v/>
      </c>
      <c r="BH1501" s="744" t="str">
        <f>IF(G1501="","",IF(BF1501="Abu Dhabi",IF(G1501&lt;18,'General Basis'!$C$39,IF(G1501&lt;41,'General Basis'!$C$40,IF(G1501&lt;60,'General Basis'!$C$41,IF(G1501&lt;65,'General Basis'!$C$42,'General Basis'!$C$43)))),IF(G1501&lt;11,'General Basis'!$B$39,IF(G1501&lt;18,'General Basis'!$B$40,IF(G1501&lt;26,'General Basis'!$B$41,IF(G1501&lt;31,'General Basis'!$B$42,IF(G1501&lt;36,'General Basis'!$B$43,IF(G1501&lt;41,'General Basis'!$B$44,IF(G1501&lt;46,'General Basis'!$B$45,IF(G1501&lt;51,'General Basis'!$B$46,IF(G1501&lt;56,'General Basis'!$B$47,IF(G1501&lt;60,'General Basis'!$B$48,IF(G1501&lt;65,'General Basis'!$B$49,'General Basis'!$B$50)))))))))))))</f>
        <v/>
      </c>
      <c r="BI1501" s="744" t="str">
        <f t="shared" si="533"/>
        <v/>
      </c>
      <c r="BJ1501" s="747" t="str">
        <f t="shared" si="540"/>
        <v/>
      </c>
      <c r="BK1501" s="498" t="str">
        <f t="shared" si="534"/>
        <v/>
      </c>
      <c r="BL1501" s="498" t="str">
        <f t="shared" si="535"/>
        <v/>
      </c>
    </row>
    <row r="1502" spans="1:64" x14ac:dyDescent="0.25">
      <c r="A1502" s="762">
        <f t="shared" si="536"/>
        <v>1497</v>
      </c>
      <c r="B1502" s="229"/>
      <c r="C1502" s="223"/>
      <c r="D1502" s="224"/>
      <c r="E1502" s="225"/>
      <c r="F1502" s="1036" t="str">
        <f t="shared" si="542"/>
        <v/>
      </c>
      <c r="G1502" s="1037" t="str">
        <f t="shared" si="537"/>
        <v/>
      </c>
      <c r="H1502" s="225"/>
      <c r="I1502" s="1013"/>
      <c r="J1502" s="1013"/>
      <c r="K1502" s="1028"/>
      <c r="L1502" s="1035" t="str">
        <f t="shared" si="541"/>
        <v/>
      </c>
      <c r="S1502" s="498"/>
      <c r="AJ1502" s="498"/>
      <c r="AM1502" s="498">
        <f t="shared" si="522"/>
        <v>0</v>
      </c>
      <c r="AN1502" s="498">
        <f t="shared" si="523"/>
        <v>0</v>
      </c>
      <c r="AO1502" s="498">
        <f t="shared" si="524"/>
        <v>0</v>
      </c>
      <c r="AP1502" s="498">
        <f t="shared" si="543"/>
        <v>0</v>
      </c>
      <c r="AQ1502" s="498">
        <f t="shared" si="538"/>
        <v>0</v>
      </c>
      <c r="AU1502" s="498">
        <f t="shared" si="525"/>
        <v>0</v>
      </c>
      <c r="AV1502" s="498">
        <f t="shared" si="526"/>
        <v>0</v>
      </c>
      <c r="AW1502" s="498">
        <f t="shared" si="527"/>
        <v>0</v>
      </c>
      <c r="AX1502" s="498">
        <f t="shared" si="528"/>
        <v>0</v>
      </c>
      <c r="AY1502" s="498">
        <f t="shared" si="529"/>
        <v>0</v>
      </c>
      <c r="BB1502" s="498" t="str">
        <f t="shared" si="530"/>
        <v/>
      </c>
      <c r="BC1502" s="743" t="str">
        <f t="shared" si="531"/>
        <v/>
      </c>
      <c r="BD1502" s="743" t="str">
        <f t="shared" si="532"/>
        <v/>
      </c>
      <c r="BE1502" s="743" t="str">
        <f>IF(D1502="","",VLOOKUP(D1502,'General Basis'!$J$39:$K$46,2,0))</f>
        <v/>
      </c>
      <c r="BF1502" s="744" t="str">
        <f>IF(D1502="","",VLOOKUP(D1502,'General Basis'!$J$39:$L$46,3,0))</f>
        <v/>
      </c>
      <c r="BG1502" s="744" t="str">
        <f t="shared" si="539"/>
        <v/>
      </c>
      <c r="BH1502" s="744" t="str">
        <f>IF(G1502="","",IF(BF1502="Abu Dhabi",IF(G1502&lt;18,'General Basis'!$C$39,IF(G1502&lt;41,'General Basis'!$C$40,IF(G1502&lt;60,'General Basis'!$C$41,IF(G1502&lt;65,'General Basis'!$C$42,'General Basis'!$C$43)))),IF(G1502&lt;11,'General Basis'!$B$39,IF(G1502&lt;18,'General Basis'!$B$40,IF(G1502&lt;26,'General Basis'!$B$41,IF(G1502&lt;31,'General Basis'!$B$42,IF(G1502&lt;36,'General Basis'!$B$43,IF(G1502&lt;41,'General Basis'!$B$44,IF(G1502&lt;46,'General Basis'!$B$45,IF(G1502&lt;51,'General Basis'!$B$46,IF(G1502&lt;56,'General Basis'!$B$47,IF(G1502&lt;60,'General Basis'!$B$48,IF(G1502&lt;65,'General Basis'!$B$49,'General Basis'!$B$50)))))))))))))</f>
        <v/>
      </c>
      <c r="BI1502" s="744" t="str">
        <f t="shared" si="533"/>
        <v/>
      </c>
      <c r="BJ1502" s="747" t="str">
        <f t="shared" si="540"/>
        <v/>
      </c>
      <c r="BK1502" s="498" t="str">
        <f t="shared" si="534"/>
        <v/>
      </c>
      <c r="BL1502" s="498" t="str">
        <f t="shared" si="535"/>
        <v/>
      </c>
    </row>
    <row r="1503" spans="1:64" x14ac:dyDescent="0.25">
      <c r="A1503" s="762">
        <f t="shared" si="536"/>
        <v>1498</v>
      </c>
      <c r="B1503" s="229"/>
      <c r="C1503" s="223"/>
      <c r="D1503" s="224"/>
      <c r="E1503" s="225"/>
      <c r="F1503" s="1036" t="str">
        <f t="shared" si="542"/>
        <v/>
      </c>
      <c r="G1503" s="1037" t="str">
        <f t="shared" si="537"/>
        <v/>
      </c>
      <c r="H1503" s="225"/>
      <c r="I1503" s="1013"/>
      <c r="J1503" s="1013"/>
      <c r="K1503" s="1028"/>
      <c r="L1503" s="1035" t="str">
        <f t="shared" si="541"/>
        <v/>
      </c>
      <c r="S1503" s="498"/>
      <c r="AJ1503" s="498"/>
      <c r="AM1503" s="498">
        <f t="shared" si="522"/>
        <v>0</v>
      </c>
      <c r="AN1503" s="498">
        <f t="shared" si="523"/>
        <v>0</v>
      </c>
      <c r="AO1503" s="498">
        <f t="shared" si="524"/>
        <v>0</v>
      </c>
      <c r="AP1503" s="498">
        <f t="shared" si="543"/>
        <v>0</v>
      </c>
      <c r="AQ1503" s="498">
        <f t="shared" si="538"/>
        <v>0</v>
      </c>
      <c r="AU1503" s="498">
        <f t="shared" si="525"/>
        <v>0</v>
      </c>
      <c r="AV1503" s="498">
        <f t="shared" si="526"/>
        <v>0</v>
      </c>
      <c r="AW1503" s="498">
        <f t="shared" si="527"/>
        <v>0</v>
      </c>
      <c r="AX1503" s="498">
        <f t="shared" si="528"/>
        <v>0</v>
      </c>
      <c r="AY1503" s="498">
        <f t="shared" si="529"/>
        <v>0</v>
      </c>
      <c r="BB1503" s="498" t="str">
        <f t="shared" si="530"/>
        <v/>
      </c>
      <c r="BC1503" s="743" t="str">
        <f t="shared" si="531"/>
        <v/>
      </c>
      <c r="BD1503" s="743" t="str">
        <f t="shared" si="532"/>
        <v/>
      </c>
      <c r="BE1503" s="743" t="str">
        <f>IF(D1503="","",VLOOKUP(D1503,'General Basis'!$J$39:$K$46,2,0))</f>
        <v/>
      </c>
      <c r="BF1503" s="744" t="str">
        <f>IF(D1503="","",VLOOKUP(D1503,'General Basis'!$J$39:$L$46,3,0))</f>
        <v/>
      </c>
      <c r="BG1503" s="744" t="str">
        <f t="shared" si="539"/>
        <v/>
      </c>
      <c r="BH1503" s="744" t="str">
        <f>IF(G1503="","",IF(BF1503="Abu Dhabi",IF(G1503&lt;18,'General Basis'!$C$39,IF(G1503&lt;41,'General Basis'!$C$40,IF(G1503&lt;60,'General Basis'!$C$41,IF(G1503&lt;65,'General Basis'!$C$42,'General Basis'!$C$43)))),IF(G1503&lt;11,'General Basis'!$B$39,IF(G1503&lt;18,'General Basis'!$B$40,IF(G1503&lt;26,'General Basis'!$B$41,IF(G1503&lt;31,'General Basis'!$B$42,IF(G1503&lt;36,'General Basis'!$B$43,IF(G1503&lt;41,'General Basis'!$B$44,IF(G1503&lt;46,'General Basis'!$B$45,IF(G1503&lt;51,'General Basis'!$B$46,IF(G1503&lt;56,'General Basis'!$B$47,IF(G1503&lt;60,'General Basis'!$B$48,IF(G1503&lt;65,'General Basis'!$B$49,'General Basis'!$B$50)))))))))))))</f>
        <v/>
      </c>
      <c r="BI1503" s="744" t="str">
        <f t="shared" si="533"/>
        <v/>
      </c>
      <c r="BJ1503" s="747" t="str">
        <f t="shared" si="540"/>
        <v/>
      </c>
      <c r="BK1503" s="498" t="str">
        <f t="shared" si="534"/>
        <v/>
      </c>
      <c r="BL1503" s="498" t="str">
        <f t="shared" si="535"/>
        <v/>
      </c>
    </row>
    <row r="1504" spans="1:64" x14ac:dyDescent="0.25">
      <c r="A1504" s="762">
        <f t="shared" si="536"/>
        <v>1499</v>
      </c>
      <c r="B1504" s="229"/>
      <c r="C1504" s="223"/>
      <c r="D1504" s="224"/>
      <c r="E1504" s="225"/>
      <c r="F1504" s="1036" t="str">
        <f t="shared" si="542"/>
        <v/>
      </c>
      <c r="G1504" s="1037" t="str">
        <f t="shared" si="537"/>
        <v/>
      </c>
      <c r="H1504" s="225"/>
      <c r="I1504" s="1013"/>
      <c r="J1504" s="1013"/>
      <c r="K1504" s="1028"/>
      <c r="L1504" s="1035" t="str">
        <f t="shared" si="541"/>
        <v/>
      </c>
      <c r="S1504" s="498"/>
      <c r="AJ1504" s="498"/>
      <c r="AM1504" s="498">
        <f t="shared" si="522"/>
        <v>0</v>
      </c>
      <c r="AN1504" s="498">
        <f t="shared" si="523"/>
        <v>0</v>
      </c>
      <c r="AO1504" s="498">
        <f t="shared" si="524"/>
        <v>0</v>
      </c>
      <c r="AP1504" s="498">
        <f t="shared" si="543"/>
        <v>0</v>
      </c>
      <c r="AQ1504" s="498">
        <f t="shared" si="538"/>
        <v>0</v>
      </c>
      <c r="AU1504" s="498">
        <f t="shared" si="525"/>
        <v>0</v>
      </c>
      <c r="AV1504" s="498">
        <f t="shared" si="526"/>
        <v>0</v>
      </c>
      <c r="AW1504" s="498">
        <f t="shared" si="527"/>
        <v>0</v>
      </c>
      <c r="AX1504" s="498">
        <f t="shared" si="528"/>
        <v>0</v>
      </c>
      <c r="AY1504" s="498">
        <f t="shared" si="529"/>
        <v>0</v>
      </c>
      <c r="BB1504" s="498" t="str">
        <f t="shared" si="530"/>
        <v/>
      </c>
      <c r="BC1504" s="743" t="str">
        <f t="shared" si="531"/>
        <v/>
      </c>
      <c r="BD1504" s="743" t="str">
        <f t="shared" si="532"/>
        <v/>
      </c>
      <c r="BE1504" s="743" t="str">
        <f>IF(D1504="","",VLOOKUP(D1504,'General Basis'!$J$39:$K$46,2,0))</f>
        <v/>
      </c>
      <c r="BF1504" s="744" t="str">
        <f>IF(D1504="","",VLOOKUP(D1504,'General Basis'!$J$39:$L$46,3,0))</f>
        <v/>
      </c>
      <c r="BG1504" s="744" t="str">
        <f t="shared" si="539"/>
        <v/>
      </c>
      <c r="BH1504" s="744" t="str">
        <f>IF(G1504="","",IF(BF1504="Abu Dhabi",IF(G1504&lt;18,'General Basis'!$C$39,IF(G1504&lt;41,'General Basis'!$C$40,IF(G1504&lt;60,'General Basis'!$C$41,IF(G1504&lt;65,'General Basis'!$C$42,'General Basis'!$C$43)))),IF(G1504&lt;11,'General Basis'!$B$39,IF(G1504&lt;18,'General Basis'!$B$40,IF(G1504&lt;26,'General Basis'!$B$41,IF(G1504&lt;31,'General Basis'!$B$42,IF(G1504&lt;36,'General Basis'!$B$43,IF(G1504&lt;41,'General Basis'!$B$44,IF(G1504&lt;46,'General Basis'!$B$45,IF(G1504&lt;51,'General Basis'!$B$46,IF(G1504&lt;56,'General Basis'!$B$47,IF(G1504&lt;60,'General Basis'!$B$48,IF(G1504&lt;65,'General Basis'!$B$49,'General Basis'!$B$50)))))))))))))</f>
        <v/>
      </c>
      <c r="BI1504" s="744" t="str">
        <f t="shared" si="533"/>
        <v/>
      </c>
      <c r="BJ1504" s="747" t="str">
        <f t="shared" si="540"/>
        <v/>
      </c>
      <c r="BK1504" s="498" t="str">
        <f t="shared" si="534"/>
        <v/>
      </c>
      <c r="BL1504" s="498" t="str">
        <f t="shared" si="535"/>
        <v/>
      </c>
    </row>
    <row r="1505" spans="1:64" x14ac:dyDescent="0.25">
      <c r="A1505" s="762">
        <f t="shared" si="536"/>
        <v>1500</v>
      </c>
      <c r="B1505" s="229"/>
      <c r="C1505" s="223"/>
      <c r="D1505" s="224"/>
      <c r="E1505" s="225"/>
      <c r="F1505" s="1036" t="str">
        <f t="shared" si="542"/>
        <v/>
      </c>
      <c r="G1505" s="1037" t="str">
        <f t="shared" si="537"/>
        <v/>
      </c>
      <c r="H1505" s="225"/>
      <c r="I1505" s="1013"/>
      <c r="J1505" s="1013"/>
      <c r="K1505" s="1028"/>
      <c r="L1505" s="1035" t="str">
        <f t="shared" si="541"/>
        <v/>
      </c>
      <c r="S1505" s="498"/>
      <c r="AJ1505" s="498"/>
      <c r="AM1505" s="498">
        <f t="shared" si="522"/>
        <v>0</v>
      </c>
      <c r="AN1505" s="498">
        <f t="shared" si="523"/>
        <v>0</v>
      </c>
      <c r="AO1505" s="498">
        <f t="shared" si="524"/>
        <v>0</v>
      </c>
      <c r="AP1505" s="498">
        <f t="shared" si="543"/>
        <v>0</v>
      </c>
      <c r="AQ1505" s="498">
        <f t="shared" si="538"/>
        <v>0</v>
      </c>
      <c r="AU1505" s="498">
        <f t="shared" si="525"/>
        <v>0</v>
      </c>
      <c r="AV1505" s="498">
        <f t="shared" si="526"/>
        <v>0</v>
      </c>
      <c r="AW1505" s="498">
        <f t="shared" si="527"/>
        <v>0</v>
      </c>
      <c r="AX1505" s="498">
        <f t="shared" si="528"/>
        <v>0</v>
      </c>
      <c r="AY1505" s="498">
        <f t="shared" si="529"/>
        <v>0</v>
      </c>
      <c r="BB1505" s="498" t="str">
        <f t="shared" si="530"/>
        <v/>
      </c>
      <c r="BC1505" s="743" t="str">
        <f t="shared" si="531"/>
        <v/>
      </c>
      <c r="BD1505" s="743" t="str">
        <f t="shared" si="532"/>
        <v/>
      </c>
      <c r="BE1505" s="743" t="str">
        <f>IF(D1505="","",VLOOKUP(D1505,'General Basis'!$J$39:$K$46,2,0))</f>
        <v/>
      </c>
      <c r="BF1505" s="744" t="str">
        <f>IF(D1505="","",VLOOKUP(D1505,'General Basis'!$J$39:$L$46,3,0))</f>
        <v/>
      </c>
      <c r="BG1505" s="744" t="str">
        <f t="shared" si="539"/>
        <v/>
      </c>
      <c r="BH1505" s="744" t="str">
        <f>IF(G1505="","",IF(BF1505="Abu Dhabi",IF(G1505&lt;18,'General Basis'!$C$39,IF(G1505&lt;41,'General Basis'!$C$40,IF(G1505&lt;60,'General Basis'!$C$41,IF(G1505&lt;65,'General Basis'!$C$42,'General Basis'!$C$43)))),IF(G1505&lt;11,'General Basis'!$B$39,IF(G1505&lt;18,'General Basis'!$B$40,IF(G1505&lt;26,'General Basis'!$B$41,IF(G1505&lt;31,'General Basis'!$B$42,IF(G1505&lt;36,'General Basis'!$B$43,IF(G1505&lt;41,'General Basis'!$B$44,IF(G1505&lt;46,'General Basis'!$B$45,IF(G1505&lt;51,'General Basis'!$B$46,IF(G1505&lt;56,'General Basis'!$B$47,IF(G1505&lt;60,'General Basis'!$B$48,IF(G1505&lt;65,'General Basis'!$B$49,'General Basis'!$B$50)))))))))))))</f>
        <v/>
      </c>
      <c r="BI1505" s="744" t="str">
        <f t="shared" si="533"/>
        <v/>
      </c>
      <c r="BJ1505" s="747" t="str">
        <f t="shared" si="540"/>
        <v/>
      </c>
      <c r="BK1505" s="498" t="str">
        <f t="shared" si="534"/>
        <v/>
      </c>
      <c r="BL1505" s="498" t="str">
        <f t="shared" si="535"/>
        <v/>
      </c>
    </row>
    <row r="1506" spans="1:64" x14ac:dyDescent="0.25">
      <c r="A1506" s="762">
        <f t="shared" si="536"/>
        <v>1501</v>
      </c>
      <c r="B1506" s="229"/>
      <c r="C1506" s="223"/>
      <c r="D1506" s="224"/>
      <c r="E1506" s="225"/>
      <c r="F1506" s="1036" t="str">
        <f t="shared" si="542"/>
        <v/>
      </c>
      <c r="G1506" s="1037" t="str">
        <f t="shared" si="537"/>
        <v/>
      </c>
      <c r="H1506" s="225"/>
      <c r="I1506" s="1013"/>
      <c r="J1506" s="1013"/>
      <c r="K1506" s="1028"/>
      <c r="L1506" s="1035" t="str">
        <f t="shared" si="541"/>
        <v/>
      </c>
      <c r="S1506" s="498"/>
      <c r="AJ1506" s="498"/>
      <c r="AM1506" s="498">
        <f t="shared" si="522"/>
        <v>0</v>
      </c>
      <c r="AN1506" s="498">
        <f t="shared" si="523"/>
        <v>0</v>
      </c>
      <c r="AO1506" s="498">
        <f t="shared" si="524"/>
        <v>0</v>
      </c>
      <c r="AP1506" s="498">
        <f t="shared" si="543"/>
        <v>0</v>
      </c>
      <c r="AQ1506" s="498">
        <f t="shared" si="538"/>
        <v>0</v>
      </c>
      <c r="AU1506" s="498">
        <f t="shared" si="525"/>
        <v>0</v>
      </c>
      <c r="AV1506" s="498">
        <f t="shared" si="526"/>
        <v>0</v>
      </c>
      <c r="AW1506" s="498">
        <f t="shared" si="527"/>
        <v>0</v>
      </c>
      <c r="AX1506" s="498">
        <f t="shared" si="528"/>
        <v>0</v>
      </c>
      <c r="AY1506" s="498">
        <f t="shared" si="529"/>
        <v>0</v>
      </c>
      <c r="BB1506" s="498" t="str">
        <f t="shared" si="530"/>
        <v/>
      </c>
      <c r="BC1506" s="743" t="str">
        <f t="shared" si="531"/>
        <v/>
      </c>
      <c r="BD1506" s="743" t="str">
        <f t="shared" si="532"/>
        <v/>
      </c>
      <c r="BE1506" s="743" t="str">
        <f>IF(D1506="","",VLOOKUP(D1506,'General Basis'!$J$39:$K$46,2,0))</f>
        <v/>
      </c>
      <c r="BF1506" s="744" t="str">
        <f>IF(D1506="","",VLOOKUP(D1506,'General Basis'!$J$39:$L$46,3,0))</f>
        <v/>
      </c>
      <c r="BG1506" s="744" t="str">
        <f t="shared" si="539"/>
        <v/>
      </c>
      <c r="BH1506" s="744" t="str">
        <f>IF(G1506="","",IF(BF1506="Abu Dhabi",IF(G1506&lt;18,'General Basis'!$C$39,IF(G1506&lt;41,'General Basis'!$C$40,IF(G1506&lt;60,'General Basis'!$C$41,IF(G1506&lt;65,'General Basis'!$C$42,'General Basis'!$C$43)))),IF(G1506&lt;11,'General Basis'!$B$39,IF(G1506&lt;18,'General Basis'!$B$40,IF(G1506&lt;26,'General Basis'!$B$41,IF(G1506&lt;31,'General Basis'!$B$42,IF(G1506&lt;36,'General Basis'!$B$43,IF(G1506&lt;41,'General Basis'!$B$44,IF(G1506&lt;46,'General Basis'!$B$45,IF(G1506&lt;51,'General Basis'!$B$46,IF(G1506&lt;56,'General Basis'!$B$47,IF(G1506&lt;60,'General Basis'!$B$48,IF(G1506&lt;65,'General Basis'!$B$49,'General Basis'!$B$50)))))))))))))</f>
        <v/>
      </c>
      <c r="BI1506" s="744" t="str">
        <f t="shared" si="533"/>
        <v/>
      </c>
      <c r="BJ1506" s="747" t="str">
        <f t="shared" si="540"/>
        <v/>
      </c>
      <c r="BK1506" s="498" t="str">
        <f t="shared" si="534"/>
        <v/>
      </c>
      <c r="BL1506" s="498" t="str">
        <f t="shared" si="535"/>
        <v/>
      </c>
    </row>
    <row r="1507" spans="1:64" x14ac:dyDescent="0.25">
      <c r="A1507" s="762">
        <f t="shared" si="536"/>
        <v>1502</v>
      </c>
      <c r="B1507" s="229"/>
      <c r="C1507" s="223"/>
      <c r="D1507" s="224"/>
      <c r="E1507" s="225"/>
      <c r="F1507" s="1036" t="str">
        <f t="shared" si="542"/>
        <v/>
      </c>
      <c r="G1507" s="1037" t="str">
        <f t="shared" si="537"/>
        <v/>
      </c>
      <c r="H1507" s="225"/>
      <c r="I1507" s="1013"/>
      <c r="J1507" s="1013"/>
      <c r="K1507" s="1028"/>
      <c r="L1507" s="1035" t="str">
        <f t="shared" si="541"/>
        <v/>
      </c>
      <c r="S1507" s="498"/>
      <c r="AJ1507" s="498"/>
      <c r="AM1507" s="498">
        <f t="shared" si="522"/>
        <v>0</v>
      </c>
      <c r="AN1507" s="498">
        <f t="shared" si="523"/>
        <v>0</v>
      </c>
      <c r="AO1507" s="498">
        <f t="shared" si="524"/>
        <v>0</v>
      </c>
      <c r="AP1507" s="498">
        <f t="shared" si="543"/>
        <v>0</v>
      </c>
      <c r="AQ1507" s="498">
        <f t="shared" si="538"/>
        <v>0</v>
      </c>
      <c r="AU1507" s="498">
        <f t="shared" si="525"/>
        <v>0</v>
      </c>
      <c r="AV1507" s="498">
        <f t="shared" si="526"/>
        <v>0</v>
      </c>
      <c r="AW1507" s="498">
        <f t="shared" si="527"/>
        <v>0</v>
      </c>
      <c r="AX1507" s="498">
        <f t="shared" si="528"/>
        <v>0</v>
      </c>
      <c r="AY1507" s="498">
        <f t="shared" si="529"/>
        <v>0</v>
      </c>
      <c r="BB1507" s="498" t="str">
        <f t="shared" si="530"/>
        <v/>
      </c>
      <c r="BC1507" s="743" t="str">
        <f t="shared" si="531"/>
        <v/>
      </c>
      <c r="BD1507" s="743" t="str">
        <f t="shared" si="532"/>
        <v/>
      </c>
      <c r="BE1507" s="743" t="str">
        <f>IF(D1507="","",VLOOKUP(D1507,'General Basis'!$J$39:$K$46,2,0))</f>
        <v/>
      </c>
      <c r="BF1507" s="744" t="str">
        <f>IF(D1507="","",VLOOKUP(D1507,'General Basis'!$J$39:$L$46,3,0))</f>
        <v/>
      </c>
      <c r="BG1507" s="744" t="str">
        <f t="shared" si="539"/>
        <v/>
      </c>
      <c r="BH1507" s="744" t="str">
        <f>IF(G1507="","",IF(BF1507="Abu Dhabi",IF(G1507&lt;18,'General Basis'!$C$39,IF(G1507&lt;41,'General Basis'!$C$40,IF(G1507&lt;60,'General Basis'!$C$41,IF(G1507&lt;65,'General Basis'!$C$42,'General Basis'!$C$43)))),IF(G1507&lt;11,'General Basis'!$B$39,IF(G1507&lt;18,'General Basis'!$B$40,IF(G1507&lt;26,'General Basis'!$B$41,IF(G1507&lt;31,'General Basis'!$B$42,IF(G1507&lt;36,'General Basis'!$B$43,IF(G1507&lt;41,'General Basis'!$B$44,IF(G1507&lt;46,'General Basis'!$B$45,IF(G1507&lt;51,'General Basis'!$B$46,IF(G1507&lt;56,'General Basis'!$B$47,IF(G1507&lt;60,'General Basis'!$B$48,IF(G1507&lt;65,'General Basis'!$B$49,'General Basis'!$B$50)))))))))))))</f>
        <v/>
      </c>
      <c r="BI1507" s="744" t="str">
        <f t="shared" si="533"/>
        <v/>
      </c>
      <c r="BJ1507" s="747" t="str">
        <f t="shared" si="540"/>
        <v/>
      </c>
      <c r="BK1507" s="498" t="str">
        <f t="shared" si="534"/>
        <v/>
      </c>
      <c r="BL1507" s="498" t="str">
        <f t="shared" si="535"/>
        <v/>
      </c>
    </row>
    <row r="1508" spans="1:64" x14ac:dyDescent="0.25">
      <c r="A1508" s="762">
        <f t="shared" si="536"/>
        <v>1503</v>
      </c>
      <c r="B1508" s="229"/>
      <c r="C1508" s="223"/>
      <c r="D1508" s="224"/>
      <c r="E1508" s="225"/>
      <c r="F1508" s="1036" t="str">
        <f t="shared" si="542"/>
        <v/>
      </c>
      <c r="G1508" s="1037" t="str">
        <f t="shared" si="537"/>
        <v/>
      </c>
      <c r="H1508" s="225"/>
      <c r="I1508" s="1013"/>
      <c r="J1508" s="1013"/>
      <c r="K1508" s="1028"/>
      <c r="L1508" s="1035" t="str">
        <f t="shared" si="541"/>
        <v/>
      </c>
      <c r="S1508" s="498"/>
      <c r="AJ1508" s="498"/>
      <c r="AM1508" s="498">
        <f t="shared" si="522"/>
        <v>0</v>
      </c>
      <c r="AN1508" s="498">
        <f t="shared" si="523"/>
        <v>0</v>
      </c>
      <c r="AO1508" s="498">
        <f t="shared" si="524"/>
        <v>0</v>
      </c>
      <c r="AP1508" s="498">
        <f t="shared" si="543"/>
        <v>0</v>
      </c>
      <c r="AQ1508" s="498">
        <f t="shared" si="538"/>
        <v>0</v>
      </c>
      <c r="AU1508" s="498">
        <f t="shared" si="525"/>
        <v>0</v>
      </c>
      <c r="AV1508" s="498">
        <f t="shared" si="526"/>
        <v>0</v>
      </c>
      <c r="AW1508" s="498">
        <f t="shared" si="527"/>
        <v>0</v>
      </c>
      <c r="AX1508" s="498">
        <f t="shared" si="528"/>
        <v>0</v>
      </c>
      <c r="AY1508" s="498">
        <f t="shared" si="529"/>
        <v>0</v>
      </c>
      <c r="BB1508" s="498" t="str">
        <f t="shared" si="530"/>
        <v/>
      </c>
      <c r="BC1508" s="743" t="str">
        <f t="shared" si="531"/>
        <v/>
      </c>
      <c r="BD1508" s="743" t="str">
        <f t="shared" si="532"/>
        <v/>
      </c>
      <c r="BE1508" s="743" t="str">
        <f>IF(D1508="","",VLOOKUP(D1508,'General Basis'!$J$39:$K$46,2,0))</f>
        <v/>
      </c>
      <c r="BF1508" s="744" t="str">
        <f>IF(D1508="","",VLOOKUP(D1508,'General Basis'!$J$39:$L$46,3,0))</f>
        <v/>
      </c>
      <c r="BG1508" s="744" t="str">
        <f t="shared" si="539"/>
        <v/>
      </c>
      <c r="BH1508" s="744" t="str">
        <f>IF(G1508="","",IF(BF1508="Abu Dhabi",IF(G1508&lt;18,'General Basis'!$C$39,IF(G1508&lt;41,'General Basis'!$C$40,IF(G1508&lt;60,'General Basis'!$C$41,IF(G1508&lt;65,'General Basis'!$C$42,'General Basis'!$C$43)))),IF(G1508&lt;11,'General Basis'!$B$39,IF(G1508&lt;18,'General Basis'!$B$40,IF(G1508&lt;26,'General Basis'!$B$41,IF(G1508&lt;31,'General Basis'!$B$42,IF(G1508&lt;36,'General Basis'!$B$43,IF(G1508&lt;41,'General Basis'!$B$44,IF(G1508&lt;46,'General Basis'!$B$45,IF(G1508&lt;51,'General Basis'!$B$46,IF(G1508&lt;56,'General Basis'!$B$47,IF(G1508&lt;60,'General Basis'!$B$48,IF(G1508&lt;65,'General Basis'!$B$49,'General Basis'!$B$50)))))))))))))</f>
        <v/>
      </c>
      <c r="BI1508" s="744" t="str">
        <f t="shared" si="533"/>
        <v/>
      </c>
      <c r="BJ1508" s="747" t="str">
        <f t="shared" si="540"/>
        <v/>
      </c>
      <c r="BK1508" s="498" t="str">
        <f t="shared" si="534"/>
        <v/>
      </c>
      <c r="BL1508" s="498" t="str">
        <f t="shared" si="535"/>
        <v/>
      </c>
    </row>
    <row r="1509" spans="1:64" x14ac:dyDescent="0.25">
      <c r="A1509" s="762">
        <f t="shared" si="536"/>
        <v>1504</v>
      </c>
      <c r="B1509" s="229"/>
      <c r="C1509" s="223"/>
      <c r="D1509" s="224"/>
      <c r="E1509" s="225"/>
      <c r="F1509" s="1036" t="str">
        <f t="shared" si="542"/>
        <v/>
      </c>
      <c r="G1509" s="1037" t="str">
        <f t="shared" si="537"/>
        <v/>
      </c>
      <c r="H1509" s="225"/>
      <c r="I1509" s="1013"/>
      <c r="J1509" s="1013"/>
      <c r="K1509" s="1028"/>
      <c r="L1509" s="1035" t="str">
        <f t="shared" si="541"/>
        <v/>
      </c>
      <c r="S1509" s="498"/>
      <c r="AJ1509" s="498"/>
      <c r="AM1509" s="498">
        <f t="shared" si="522"/>
        <v>0</v>
      </c>
      <c r="AN1509" s="498">
        <f t="shared" si="523"/>
        <v>0</v>
      </c>
      <c r="AO1509" s="498">
        <f t="shared" si="524"/>
        <v>0</v>
      </c>
      <c r="AP1509" s="498">
        <f t="shared" si="543"/>
        <v>0</v>
      </c>
      <c r="AQ1509" s="498">
        <f t="shared" si="538"/>
        <v>0</v>
      </c>
      <c r="AU1509" s="498">
        <f t="shared" si="525"/>
        <v>0</v>
      </c>
      <c r="AV1509" s="498">
        <f t="shared" si="526"/>
        <v>0</v>
      </c>
      <c r="AW1509" s="498">
        <f t="shared" si="527"/>
        <v>0</v>
      </c>
      <c r="AX1509" s="498">
        <f t="shared" si="528"/>
        <v>0</v>
      </c>
      <c r="AY1509" s="498">
        <f t="shared" si="529"/>
        <v>0</v>
      </c>
      <c r="BB1509" s="498" t="str">
        <f t="shared" si="530"/>
        <v/>
      </c>
      <c r="BC1509" s="743" t="str">
        <f t="shared" si="531"/>
        <v/>
      </c>
      <c r="BD1509" s="743" t="str">
        <f t="shared" si="532"/>
        <v/>
      </c>
      <c r="BE1509" s="743" t="str">
        <f>IF(D1509="","",VLOOKUP(D1509,'General Basis'!$J$39:$K$46,2,0))</f>
        <v/>
      </c>
      <c r="BF1509" s="744" t="str">
        <f>IF(D1509="","",VLOOKUP(D1509,'General Basis'!$J$39:$L$46,3,0))</f>
        <v/>
      </c>
      <c r="BG1509" s="744" t="str">
        <f t="shared" si="539"/>
        <v/>
      </c>
      <c r="BH1509" s="744" t="str">
        <f>IF(G1509="","",IF(BF1509="Abu Dhabi",IF(G1509&lt;18,'General Basis'!$C$39,IF(G1509&lt;41,'General Basis'!$C$40,IF(G1509&lt;60,'General Basis'!$C$41,IF(G1509&lt;65,'General Basis'!$C$42,'General Basis'!$C$43)))),IF(G1509&lt;11,'General Basis'!$B$39,IF(G1509&lt;18,'General Basis'!$B$40,IF(G1509&lt;26,'General Basis'!$B$41,IF(G1509&lt;31,'General Basis'!$B$42,IF(G1509&lt;36,'General Basis'!$B$43,IF(G1509&lt;41,'General Basis'!$B$44,IF(G1509&lt;46,'General Basis'!$B$45,IF(G1509&lt;51,'General Basis'!$B$46,IF(G1509&lt;56,'General Basis'!$B$47,IF(G1509&lt;60,'General Basis'!$B$48,IF(G1509&lt;65,'General Basis'!$B$49,'General Basis'!$B$50)))))))))))))</f>
        <v/>
      </c>
      <c r="BI1509" s="744" t="str">
        <f t="shared" si="533"/>
        <v/>
      </c>
      <c r="BJ1509" s="747" t="str">
        <f t="shared" si="540"/>
        <v/>
      </c>
      <c r="BK1509" s="498" t="str">
        <f t="shared" si="534"/>
        <v/>
      </c>
      <c r="BL1509" s="498" t="str">
        <f t="shared" si="535"/>
        <v/>
      </c>
    </row>
    <row r="1510" spans="1:64" x14ac:dyDescent="0.25">
      <c r="A1510" s="762">
        <f t="shared" si="536"/>
        <v>1505</v>
      </c>
      <c r="B1510" s="229"/>
      <c r="C1510" s="223"/>
      <c r="D1510" s="224"/>
      <c r="E1510" s="225"/>
      <c r="F1510" s="1036" t="str">
        <f t="shared" si="542"/>
        <v/>
      </c>
      <c r="G1510" s="1037" t="str">
        <f t="shared" si="537"/>
        <v/>
      </c>
      <c r="H1510" s="225"/>
      <c r="I1510" s="1013"/>
      <c r="J1510" s="1013"/>
      <c r="K1510" s="1028"/>
      <c r="L1510" s="1035" t="str">
        <f t="shared" si="541"/>
        <v/>
      </c>
      <c r="S1510" s="498"/>
      <c r="AJ1510" s="498"/>
      <c r="AM1510" s="498">
        <f t="shared" si="522"/>
        <v>0</v>
      </c>
      <c r="AN1510" s="498">
        <f t="shared" si="523"/>
        <v>0</v>
      </c>
      <c r="AO1510" s="498">
        <f t="shared" si="524"/>
        <v>0</v>
      </c>
      <c r="AP1510" s="498">
        <f t="shared" si="543"/>
        <v>0</v>
      </c>
      <c r="AQ1510" s="498">
        <f t="shared" si="538"/>
        <v>0</v>
      </c>
      <c r="AU1510" s="498">
        <f t="shared" si="525"/>
        <v>0</v>
      </c>
      <c r="AV1510" s="498">
        <f t="shared" si="526"/>
        <v>0</v>
      </c>
      <c r="AW1510" s="498">
        <f t="shared" si="527"/>
        <v>0</v>
      </c>
      <c r="AX1510" s="498">
        <f t="shared" si="528"/>
        <v>0</v>
      </c>
      <c r="AY1510" s="498">
        <f t="shared" si="529"/>
        <v>0</v>
      </c>
      <c r="BB1510" s="498" t="str">
        <f t="shared" si="530"/>
        <v/>
      </c>
      <c r="BC1510" s="743" t="str">
        <f t="shared" si="531"/>
        <v/>
      </c>
      <c r="BD1510" s="743" t="str">
        <f t="shared" si="532"/>
        <v/>
      </c>
      <c r="BE1510" s="743" t="str">
        <f>IF(D1510="","",VLOOKUP(D1510,'General Basis'!$J$39:$K$46,2,0))</f>
        <v/>
      </c>
      <c r="BF1510" s="744" t="str">
        <f>IF(D1510="","",VLOOKUP(D1510,'General Basis'!$J$39:$L$46,3,0))</f>
        <v/>
      </c>
      <c r="BG1510" s="744" t="str">
        <f t="shared" si="539"/>
        <v/>
      </c>
      <c r="BH1510" s="744" t="str">
        <f>IF(G1510="","",IF(BF1510="Abu Dhabi",IF(G1510&lt;18,'General Basis'!$C$39,IF(G1510&lt;41,'General Basis'!$C$40,IF(G1510&lt;60,'General Basis'!$C$41,IF(G1510&lt;65,'General Basis'!$C$42,'General Basis'!$C$43)))),IF(G1510&lt;11,'General Basis'!$B$39,IF(G1510&lt;18,'General Basis'!$B$40,IF(G1510&lt;26,'General Basis'!$B$41,IF(G1510&lt;31,'General Basis'!$B$42,IF(G1510&lt;36,'General Basis'!$B$43,IF(G1510&lt;41,'General Basis'!$B$44,IF(G1510&lt;46,'General Basis'!$B$45,IF(G1510&lt;51,'General Basis'!$B$46,IF(G1510&lt;56,'General Basis'!$B$47,IF(G1510&lt;60,'General Basis'!$B$48,IF(G1510&lt;65,'General Basis'!$B$49,'General Basis'!$B$50)))))))))))))</f>
        <v/>
      </c>
      <c r="BI1510" s="744" t="str">
        <f t="shared" si="533"/>
        <v/>
      </c>
      <c r="BJ1510" s="747" t="str">
        <f t="shared" si="540"/>
        <v/>
      </c>
      <c r="BK1510" s="498" t="str">
        <f t="shared" si="534"/>
        <v/>
      </c>
      <c r="BL1510" s="498" t="str">
        <f t="shared" si="535"/>
        <v/>
      </c>
    </row>
    <row r="1511" spans="1:64" x14ac:dyDescent="0.25">
      <c r="A1511" s="762">
        <f t="shared" si="536"/>
        <v>1506</v>
      </c>
      <c r="B1511" s="229"/>
      <c r="C1511" s="223"/>
      <c r="D1511" s="224"/>
      <c r="E1511" s="225"/>
      <c r="F1511" s="1036" t="str">
        <f t="shared" si="542"/>
        <v/>
      </c>
      <c r="G1511" s="1037" t="str">
        <f t="shared" si="537"/>
        <v/>
      </c>
      <c r="H1511" s="225"/>
      <c r="I1511" s="1013"/>
      <c r="J1511" s="1013"/>
      <c r="K1511" s="1028"/>
      <c r="L1511" s="1035" t="str">
        <f t="shared" si="541"/>
        <v/>
      </c>
      <c r="S1511" s="498"/>
      <c r="AJ1511" s="498"/>
      <c r="AM1511" s="498">
        <f t="shared" si="522"/>
        <v>0</v>
      </c>
      <c r="AN1511" s="498">
        <f t="shared" si="523"/>
        <v>0</v>
      </c>
      <c r="AO1511" s="498">
        <f t="shared" si="524"/>
        <v>0</v>
      </c>
      <c r="AP1511" s="498">
        <f t="shared" si="543"/>
        <v>0</v>
      </c>
      <c r="AQ1511" s="498">
        <f t="shared" si="538"/>
        <v>0</v>
      </c>
      <c r="AU1511" s="498">
        <f t="shared" si="525"/>
        <v>0</v>
      </c>
      <c r="AV1511" s="498">
        <f t="shared" si="526"/>
        <v>0</v>
      </c>
      <c r="AW1511" s="498">
        <f t="shared" si="527"/>
        <v>0</v>
      </c>
      <c r="AX1511" s="498">
        <f t="shared" si="528"/>
        <v>0</v>
      </c>
      <c r="AY1511" s="498">
        <f t="shared" si="529"/>
        <v>0</v>
      </c>
      <c r="BB1511" s="498" t="str">
        <f t="shared" si="530"/>
        <v/>
      </c>
      <c r="BC1511" s="743" t="str">
        <f t="shared" si="531"/>
        <v/>
      </c>
      <c r="BD1511" s="743" t="str">
        <f t="shared" si="532"/>
        <v/>
      </c>
      <c r="BE1511" s="743" t="str">
        <f>IF(D1511="","",VLOOKUP(D1511,'General Basis'!$J$39:$K$46,2,0))</f>
        <v/>
      </c>
      <c r="BF1511" s="744" t="str">
        <f>IF(D1511="","",VLOOKUP(D1511,'General Basis'!$J$39:$L$46,3,0))</f>
        <v/>
      </c>
      <c r="BG1511" s="744" t="str">
        <f t="shared" si="539"/>
        <v/>
      </c>
      <c r="BH1511" s="744" t="str">
        <f>IF(G1511="","",IF(BF1511="Abu Dhabi",IF(G1511&lt;18,'General Basis'!$C$39,IF(G1511&lt;41,'General Basis'!$C$40,IF(G1511&lt;60,'General Basis'!$C$41,IF(G1511&lt;65,'General Basis'!$C$42,'General Basis'!$C$43)))),IF(G1511&lt;11,'General Basis'!$B$39,IF(G1511&lt;18,'General Basis'!$B$40,IF(G1511&lt;26,'General Basis'!$B$41,IF(G1511&lt;31,'General Basis'!$B$42,IF(G1511&lt;36,'General Basis'!$B$43,IF(G1511&lt;41,'General Basis'!$B$44,IF(G1511&lt;46,'General Basis'!$B$45,IF(G1511&lt;51,'General Basis'!$B$46,IF(G1511&lt;56,'General Basis'!$B$47,IF(G1511&lt;60,'General Basis'!$B$48,IF(G1511&lt;65,'General Basis'!$B$49,'General Basis'!$B$50)))))))))))))</f>
        <v/>
      </c>
      <c r="BI1511" s="744" t="str">
        <f t="shared" si="533"/>
        <v/>
      </c>
      <c r="BJ1511" s="747" t="str">
        <f t="shared" si="540"/>
        <v/>
      </c>
      <c r="BK1511" s="498" t="str">
        <f t="shared" si="534"/>
        <v/>
      </c>
      <c r="BL1511" s="498" t="str">
        <f t="shared" si="535"/>
        <v/>
      </c>
    </row>
    <row r="1512" spans="1:64" x14ac:dyDescent="0.25">
      <c r="A1512" s="762">
        <f t="shared" si="536"/>
        <v>1507</v>
      </c>
      <c r="B1512" s="229"/>
      <c r="C1512" s="223"/>
      <c r="D1512" s="224"/>
      <c r="E1512" s="225"/>
      <c r="F1512" s="1036" t="str">
        <f t="shared" si="542"/>
        <v/>
      </c>
      <c r="G1512" s="1037" t="str">
        <f t="shared" si="537"/>
        <v/>
      </c>
      <c r="H1512" s="225"/>
      <c r="I1512" s="1013"/>
      <c r="J1512" s="1013"/>
      <c r="K1512" s="1028"/>
      <c r="L1512" s="1035" t="str">
        <f t="shared" si="541"/>
        <v/>
      </c>
      <c r="S1512" s="498"/>
      <c r="AJ1512" s="498"/>
      <c r="AM1512" s="498">
        <f t="shared" si="522"/>
        <v>0</v>
      </c>
      <c r="AN1512" s="498">
        <f t="shared" si="523"/>
        <v>0</v>
      </c>
      <c r="AO1512" s="498">
        <f t="shared" si="524"/>
        <v>0</v>
      </c>
      <c r="AP1512" s="498">
        <f t="shared" si="543"/>
        <v>0</v>
      </c>
      <c r="AQ1512" s="498">
        <f t="shared" si="538"/>
        <v>0</v>
      </c>
      <c r="AU1512" s="498">
        <f t="shared" si="525"/>
        <v>0</v>
      </c>
      <c r="AV1512" s="498">
        <f t="shared" si="526"/>
        <v>0</v>
      </c>
      <c r="AW1512" s="498">
        <f t="shared" si="527"/>
        <v>0</v>
      </c>
      <c r="AX1512" s="498">
        <f t="shared" si="528"/>
        <v>0</v>
      </c>
      <c r="AY1512" s="498">
        <f t="shared" si="529"/>
        <v>0</v>
      </c>
      <c r="BB1512" s="498" t="str">
        <f t="shared" si="530"/>
        <v/>
      </c>
      <c r="BC1512" s="743" t="str">
        <f t="shared" si="531"/>
        <v/>
      </c>
      <c r="BD1512" s="743" t="str">
        <f t="shared" si="532"/>
        <v/>
      </c>
      <c r="BE1512" s="743" t="str">
        <f>IF(D1512="","",VLOOKUP(D1512,'General Basis'!$J$39:$K$46,2,0))</f>
        <v/>
      </c>
      <c r="BF1512" s="744" t="str">
        <f>IF(D1512="","",VLOOKUP(D1512,'General Basis'!$J$39:$L$46,3,0))</f>
        <v/>
      </c>
      <c r="BG1512" s="744" t="str">
        <f t="shared" si="539"/>
        <v/>
      </c>
      <c r="BH1512" s="744" t="str">
        <f>IF(G1512="","",IF(BF1512="Abu Dhabi",IF(G1512&lt;18,'General Basis'!$C$39,IF(G1512&lt;41,'General Basis'!$C$40,IF(G1512&lt;60,'General Basis'!$C$41,IF(G1512&lt;65,'General Basis'!$C$42,'General Basis'!$C$43)))),IF(G1512&lt;11,'General Basis'!$B$39,IF(G1512&lt;18,'General Basis'!$B$40,IF(G1512&lt;26,'General Basis'!$B$41,IF(G1512&lt;31,'General Basis'!$B$42,IF(G1512&lt;36,'General Basis'!$B$43,IF(G1512&lt;41,'General Basis'!$B$44,IF(G1512&lt;46,'General Basis'!$B$45,IF(G1512&lt;51,'General Basis'!$B$46,IF(G1512&lt;56,'General Basis'!$B$47,IF(G1512&lt;60,'General Basis'!$B$48,IF(G1512&lt;65,'General Basis'!$B$49,'General Basis'!$B$50)))))))))))))</f>
        <v/>
      </c>
      <c r="BI1512" s="744" t="str">
        <f t="shared" si="533"/>
        <v/>
      </c>
      <c r="BJ1512" s="747" t="str">
        <f t="shared" si="540"/>
        <v/>
      </c>
      <c r="BK1512" s="498" t="str">
        <f t="shared" si="534"/>
        <v/>
      </c>
      <c r="BL1512" s="498" t="str">
        <f t="shared" si="535"/>
        <v/>
      </c>
    </row>
    <row r="1513" spans="1:64" x14ac:dyDescent="0.25">
      <c r="A1513" s="762">
        <f t="shared" si="536"/>
        <v>1508</v>
      </c>
      <c r="B1513" s="229"/>
      <c r="C1513" s="223"/>
      <c r="D1513" s="224"/>
      <c r="E1513" s="225"/>
      <c r="F1513" s="1036" t="str">
        <f t="shared" si="542"/>
        <v/>
      </c>
      <c r="G1513" s="1037" t="str">
        <f t="shared" si="537"/>
        <v/>
      </c>
      <c r="H1513" s="225"/>
      <c r="I1513" s="1013"/>
      <c r="J1513" s="1013"/>
      <c r="K1513" s="1028"/>
      <c r="L1513" s="1035" t="str">
        <f t="shared" si="541"/>
        <v/>
      </c>
      <c r="S1513" s="498"/>
      <c r="AJ1513" s="498"/>
      <c r="AM1513" s="498">
        <f t="shared" si="522"/>
        <v>0</v>
      </c>
      <c r="AN1513" s="498">
        <f t="shared" si="523"/>
        <v>0</v>
      </c>
      <c r="AO1513" s="498">
        <f t="shared" si="524"/>
        <v>0</v>
      </c>
      <c r="AP1513" s="498">
        <f t="shared" si="543"/>
        <v>0</v>
      </c>
      <c r="AQ1513" s="498">
        <f t="shared" si="538"/>
        <v>0</v>
      </c>
      <c r="AU1513" s="498">
        <f t="shared" si="525"/>
        <v>0</v>
      </c>
      <c r="AV1513" s="498">
        <f t="shared" si="526"/>
        <v>0</v>
      </c>
      <c r="AW1513" s="498">
        <f t="shared" si="527"/>
        <v>0</v>
      </c>
      <c r="AX1513" s="498">
        <f t="shared" si="528"/>
        <v>0</v>
      </c>
      <c r="AY1513" s="498">
        <f t="shared" si="529"/>
        <v>0</v>
      </c>
      <c r="BB1513" s="498" t="str">
        <f t="shared" si="530"/>
        <v/>
      </c>
      <c r="BC1513" s="743" t="str">
        <f t="shared" si="531"/>
        <v/>
      </c>
      <c r="BD1513" s="743" t="str">
        <f t="shared" si="532"/>
        <v/>
      </c>
      <c r="BE1513" s="743" t="str">
        <f>IF(D1513="","",VLOOKUP(D1513,'General Basis'!$J$39:$K$46,2,0))</f>
        <v/>
      </c>
      <c r="BF1513" s="744" t="str">
        <f>IF(D1513="","",VLOOKUP(D1513,'General Basis'!$J$39:$L$46,3,0))</f>
        <v/>
      </c>
      <c r="BG1513" s="744" t="str">
        <f t="shared" si="539"/>
        <v/>
      </c>
      <c r="BH1513" s="744" t="str">
        <f>IF(G1513="","",IF(BF1513="Abu Dhabi",IF(G1513&lt;18,'General Basis'!$C$39,IF(G1513&lt;41,'General Basis'!$C$40,IF(G1513&lt;60,'General Basis'!$C$41,IF(G1513&lt;65,'General Basis'!$C$42,'General Basis'!$C$43)))),IF(G1513&lt;11,'General Basis'!$B$39,IF(G1513&lt;18,'General Basis'!$B$40,IF(G1513&lt;26,'General Basis'!$B$41,IF(G1513&lt;31,'General Basis'!$B$42,IF(G1513&lt;36,'General Basis'!$B$43,IF(G1513&lt;41,'General Basis'!$B$44,IF(G1513&lt;46,'General Basis'!$B$45,IF(G1513&lt;51,'General Basis'!$B$46,IF(G1513&lt;56,'General Basis'!$B$47,IF(G1513&lt;60,'General Basis'!$B$48,IF(G1513&lt;65,'General Basis'!$B$49,'General Basis'!$B$50)))))))))))))</f>
        <v/>
      </c>
      <c r="BI1513" s="744" t="str">
        <f t="shared" si="533"/>
        <v/>
      </c>
      <c r="BJ1513" s="747" t="str">
        <f t="shared" si="540"/>
        <v/>
      </c>
      <c r="BK1513" s="498" t="str">
        <f t="shared" si="534"/>
        <v/>
      </c>
      <c r="BL1513" s="498" t="str">
        <f t="shared" si="535"/>
        <v/>
      </c>
    </row>
    <row r="1514" spans="1:64" x14ac:dyDescent="0.25">
      <c r="A1514" s="762">
        <f t="shared" si="536"/>
        <v>1509</v>
      </c>
      <c r="B1514" s="229"/>
      <c r="C1514" s="223"/>
      <c r="D1514" s="224"/>
      <c r="E1514" s="225"/>
      <c r="F1514" s="1036" t="str">
        <f t="shared" si="542"/>
        <v/>
      </c>
      <c r="G1514" s="1037" t="str">
        <f t="shared" si="537"/>
        <v/>
      </c>
      <c r="H1514" s="225"/>
      <c r="I1514" s="1013"/>
      <c r="J1514" s="1013"/>
      <c r="K1514" s="1028"/>
      <c r="L1514" s="1035" t="str">
        <f t="shared" si="541"/>
        <v/>
      </c>
      <c r="S1514" s="498"/>
      <c r="AJ1514" s="498"/>
      <c r="AM1514" s="498">
        <f t="shared" si="522"/>
        <v>0</v>
      </c>
      <c r="AN1514" s="498">
        <f t="shared" si="523"/>
        <v>0</v>
      </c>
      <c r="AO1514" s="498">
        <f t="shared" si="524"/>
        <v>0</v>
      </c>
      <c r="AP1514" s="498">
        <f t="shared" si="543"/>
        <v>0</v>
      </c>
      <c r="AQ1514" s="498">
        <f t="shared" si="538"/>
        <v>0</v>
      </c>
      <c r="AU1514" s="498">
        <f t="shared" si="525"/>
        <v>0</v>
      </c>
      <c r="AV1514" s="498">
        <f t="shared" si="526"/>
        <v>0</v>
      </c>
      <c r="AW1514" s="498">
        <f t="shared" si="527"/>
        <v>0</v>
      </c>
      <c r="AX1514" s="498">
        <f t="shared" si="528"/>
        <v>0</v>
      </c>
      <c r="AY1514" s="498">
        <f t="shared" si="529"/>
        <v>0</v>
      </c>
      <c r="BB1514" s="498" t="str">
        <f t="shared" si="530"/>
        <v/>
      </c>
      <c r="BC1514" s="743" t="str">
        <f t="shared" si="531"/>
        <v/>
      </c>
      <c r="BD1514" s="743" t="str">
        <f t="shared" si="532"/>
        <v/>
      </c>
      <c r="BE1514" s="743" t="str">
        <f>IF(D1514="","",VLOOKUP(D1514,'General Basis'!$J$39:$K$46,2,0))</f>
        <v/>
      </c>
      <c r="BF1514" s="744" t="str">
        <f>IF(D1514="","",VLOOKUP(D1514,'General Basis'!$J$39:$L$46,3,0))</f>
        <v/>
      </c>
      <c r="BG1514" s="744" t="str">
        <f t="shared" si="539"/>
        <v/>
      </c>
      <c r="BH1514" s="744" t="str">
        <f>IF(G1514="","",IF(BF1514="Abu Dhabi",IF(G1514&lt;18,'General Basis'!$C$39,IF(G1514&lt;41,'General Basis'!$C$40,IF(G1514&lt;60,'General Basis'!$C$41,IF(G1514&lt;65,'General Basis'!$C$42,'General Basis'!$C$43)))),IF(G1514&lt;11,'General Basis'!$B$39,IF(G1514&lt;18,'General Basis'!$B$40,IF(G1514&lt;26,'General Basis'!$B$41,IF(G1514&lt;31,'General Basis'!$B$42,IF(G1514&lt;36,'General Basis'!$B$43,IF(G1514&lt;41,'General Basis'!$B$44,IF(G1514&lt;46,'General Basis'!$B$45,IF(G1514&lt;51,'General Basis'!$B$46,IF(G1514&lt;56,'General Basis'!$B$47,IF(G1514&lt;60,'General Basis'!$B$48,IF(G1514&lt;65,'General Basis'!$B$49,'General Basis'!$B$50)))))))))))))</f>
        <v/>
      </c>
      <c r="BI1514" s="744" t="str">
        <f t="shared" si="533"/>
        <v/>
      </c>
      <c r="BJ1514" s="747" t="str">
        <f t="shared" si="540"/>
        <v/>
      </c>
      <c r="BK1514" s="498" t="str">
        <f t="shared" si="534"/>
        <v/>
      </c>
      <c r="BL1514" s="498" t="str">
        <f t="shared" si="535"/>
        <v/>
      </c>
    </row>
    <row r="1515" spans="1:64" x14ac:dyDescent="0.25">
      <c r="A1515" s="762">
        <f t="shared" si="536"/>
        <v>1510</v>
      </c>
      <c r="B1515" s="229"/>
      <c r="C1515" s="223"/>
      <c r="D1515" s="224"/>
      <c r="E1515" s="225"/>
      <c r="F1515" s="1036" t="str">
        <f t="shared" si="542"/>
        <v/>
      </c>
      <c r="G1515" s="1037" t="str">
        <f t="shared" si="537"/>
        <v/>
      </c>
      <c r="H1515" s="225"/>
      <c r="I1515" s="1013"/>
      <c r="J1515" s="1013"/>
      <c r="K1515" s="1028"/>
      <c r="L1515" s="1035" t="str">
        <f t="shared" si="541"/>
        <v/>
      </c>
      <c r="S1515" s="498"/>
      <c r="AJ1515" s="498"/>
      <c r="AM1515" s="498">
        <f t="shared" si="522"/>
        <v>0</v>
      </c>
      <c r="AN1515" s="498">
        <f t="shared" si="523"/>
        <v>0</v>
      </c>
      <c r="AO1515" s="498">
        <f t="shared" si="524"/>
        <v>0</v>
      </c>
      <c r="AP1515" s="498">
        <f t="shared" si="543"/>
        <v>0</v>
      </c>
      <c r="AQ1515" s="498">
        <f t="shared" si="538"/>
        <v>0</v>
      </c>
      <c r="AU1515" s="498">
        <f t="shared" si="525"/>
        <v>0</v>
      </c>
      <c r="AV1515" s="498">
        <f t="shared" si="526"/>
        <v>0</v>
      </c>
      <c r="AW1515" s="498">
        <f t="shared" si="527"/>
        <v>0</v>
      </c>
      <c r="AX1515" s="498">
        <f t="shared" si="528"/>
        <v>0</v>
      </c>
      <c r="AY1515" s="498">
        <f t="shared" si="529"/>
        <v>0</v>
      </c>
      <c r="BB1515" s="498" t="str">
        <f t="shared" si="530"/>
        <v/>
      </c>
      <c r="BC1515" s="743" t="str">
        <f t="shared" si="531"/>
        <v/>
      </c>
      <c r="BD1515" s="743" t="str">
        <f t="shared" si="532"/>
        <v/>
      </c>
      <c r="BE1515" s="743" t="str">
        <f>IF(D1515="","",VLOOKUP(D1515,'General Basis'!$J$39:$K$46,2,0))</f>
        <v/>
      </c>
      <c r="BF1515" s="744" t="str">
        <f>IF(D1515="","",VLOOKUP(D1515,'General Basis'!$J$39:$L$46,3,0))</f>
        <v/>
      </c>
      <c r="BG1515" s="744" t="str">
        <f t="shared" si="539"/>
        <v/>
      </c>
      <c r="BH1515" s="744" t="str">
        <f>IF(G1515="","",IF(BF1515="Abu Dhabi",IF(G1515&lt;18,'General Basis'!$C$39,IF(G1515&lt;41,'General Basis'!$C$40,IF(G1515&lt;60,'General Basis'!$C$41,IF(G1515&lt;65,'General Basis'!$C$42,'General Basis'!$C$43)))),IF(G1515&lt;11,'General Basis'!$B$39,IF(G1515&lt;18,'General Basis'!$B$40,IF(G1515&lt;26,'General Basis'!$B$41,IF(G1515&lt;31,'General Basis'!$B$42,IF(G1515&lt;36,'General Basis'!$B$43,IF(G1515&lt;41,'General Basis'!$B$44,IF(G1515&lt;46,'General Basis'!$B$45,IF(G1515&lt;51,'General Basis'!$B$46,IF(G1515&lt;56,'General Basis'!$B$47,IF(G1515&lt;60,'General Basis'!$B$48,IF(G1515&lt;65,'General Basis'!$B$49,'General Basis'!$B$50)))))))))))))</f>
        <v/>
      </c>
      <c r="BI1515" s="744" t="str">
        <f t="shared" si="533"/>
        <v/>
      </c>
      <c r="BJ1515" s="747" t="str">
        <f t="shared" si="540"/>
        <v/>
      </c>
      <c r="BK1515" s="498" t="str">
        <f t="shared" si="534"/>
        <v/>
      </c>
      <c r="BL1515" s="498" t="str">
        <f t="shared" si="535"/>
        <v/>
      </c>
    </row>
    <row r="1516" spans="1:64" x14ac:dyDescent="0.25">
      <c r="A1516" s="762">
        <f t="shared" si="536"/>
        <v>1511</v>
      </c>
      <c r="B1516" s="229"/>
      <c r="C1516" s="223"/>
      <c r="D1516" s="224"/>
      <c r="E1516" s="225"/>
      <c r="F1516" s="1036" t="str">
        <f t="shared" si="542"/>
        <v/>
      </c>
      <c r="G1516" s="1037" t="str">
        <f t="shared" si="537"/>
        <v/>
      </c>
      <c r="H1516" s="225"/>
      <c r="I1516" s="1013"/>
      <c r="J1516" s="1013"/>
      <c r="K1516" s="1028"/>
      <c r="L1516" s="1035" t="str">
        <f t="shared" si="541"/>
        <v/>
      </c>
      <c r="S1516" s="498"/>
      <c r="AJ1516" s="498"/>
      <c r="AM1516" s="498">
        <f t="shared" si="522"/>
        <v>0</v>
      </c>
      <c r="AN1516" s="498">
        <f t="shared" si="523"/>
        <v>0</v>
      </c>
      <c r="AO1516" s="498">
        <f t="shared" si="524"/>
        <v>0</v>
      </c>
      <c r="AP1516" s="498">
        <f t="shared" si="543"/>
        <v>0</v>
      </c>
      <c r="AQ1516" s="498">
        <f t="shared" si="538"/>
        <v>0</v>
      </c>
      <c r="AU1516" s="498">
        <f t="shared" si="525"/>
        <v>0</v>
      </c>
      <c r="AV1516" s="498">
        <f t="shared" si="526"/>
        <v>0</v>
      </c>
      <c r="AW1516" s="498">
        <f t="shared" si="527"/>
        <v>0</v>
      </c>
      <c r="AX1516" s="498">
        <f t="shared" si="528"/>
        <v>0</v>
      </c>
      <c r="AY1516" s="498">
        <f t="shared" si="529"/>
        <v>0</v>
      </c>
      <c r="BB1516" s="498" t="str">
        <f t="shared" si="530"/>
        <v/>
      </c>
      <c r="BC1516" s="743" t="str">
        <f t="shared" si="531"/>
        <v/>
      </c>
      <c r="BD1516" s="743" t="str">
        <f t="shared" si="532"/>
        <v/>
      </c>
      <c r="BE1516" s="743" t="str">
        <f>IF(D1516="","",VLOOKUP(D1516,'General Basis'!$J$39:$K$46,2,0))</f>
        <v/>
      </c>
      <c r="BF1516" s="744" t="str">
        <f>IF(D1516="","",VLOOKUP(D1516,'General Basis'!$J$39:$L$46,3,0))</f>
        <v/>
      </c>
      <c r="BG1516" s="744" t="str">
        <f t="shared" si="539"/>
        <v/>
      </c>
      <c r="BH1516" s="744" t="str">
        <f>IF(G1516="","",IF(BF1516="Abu Dhabi",IF(G1516&lt;18,'General Basis'!$C$39,IF(G1516&lt;41,'General Basis'!$C$40,IF(G1516&lt;60,'General Basis'!$C$41,IF(G1516&lt;65,'General Basis'!$C$42,'General Basis'!$C$43)))),IF(G1516&lt;11,'General Basis'!$B$39,IF(G1516&lt;18,'General Basis'!$B$40,IF(G1516&lt;26,'General Basis'!$B$41,IF(G1516&lt;31,'General Basis'!$B$42,IF(G1516&lt;36,'General Basis'!$B$43,IF(G1516&lt;41,'General Basis'!$B$44,IF(G1516&lt;46,'General Basis'!$B$45,IF(G1516&lt;51,'General Basis'!$B$46,IF(G1516&lt;56,'General Basis'!$B$47,IF(G1516&lt;60,'General Basis'!$B$48,IF(G1516&lt;65,'General Basis'!$B$49,'General Basis'!$B$50)))))))))))))</f>
        <v/>
      </c>
      <c r="BI1516" s="744" t="str">
        <f t="shared" si="533"/>
        <v/>
      </c>
      <c r="BJ1516" s="747" t="str">
        <f t="shared" si="540"/>
        <v/>
      </c>
      <c r="BK1516" s="498" t="str">
        <f t="shared" si="534"/>
        <v/>
      </c>
      <c r="BL1516" s="498" t="str">
        <f t="shared" si="535"/>
        <v/>
      </c>
    </row>
    <row r="1517" spans="1:64" x14ac:dyDescent="0.25">
      <c r="A1517" s="762">
        <f t="shared" si="536"/>
        <v>1512</v>
      </c>
      <c r="B1517" s="229"/>
      <c r="C1517" s="223"/>
      <c r="D1517" s="224"/>
      <c r="E1517" s="225"/>
      <c r="F1517" s="1036" t="str">
        <f t="shared" si="542"/>
        <v/>
      </c>
      <c r="G1517" s="1037" t="str">
        <f t="shared" si="537"/>
        <v/>
      </c>
      <c r="H1517" s="225"/>
      <c r="I1517" s="1013"/>
      <c r="J1517" s="1013"/>
      <c r="K1517" s="1028"/>
      <c r="L1517" s="1035" t="str">
        <f t="shared" si="541"/>
        <v/>
      </c>
      <c r="S1517" s="498"/>
      <c r="AJ1517" s="498"/>
      <c r="AM1517" s="498">
        <f t="shared" si="522"/>
        <v>0</v>
      </c>
      <c r="AN1517" s="498">
        <f t="shared" si="523"/>
        <v>0</v>
      </c>
      <c r="AO1517" s="498">
        <f t="shared" si="524"/>
        <v>0</v>
      </c>
      <c r="AP1517" s="498">
        <f t="shared" si="543"/>
        <v>0</v>
      </c>
      <c r="AQ1517" s="498">
        <f t="shared" si="538"/>
        <v>0</v>
      </c>
      <c r="AU1517" s="498">
        <f t="shared" si="525"/>
        <v>0</v>
      </c>
      <c r="AV1517" s="498">
        <f t="shared" si="526"/>
        <v>0</v>
      </c>
      <c r="AW1517" s="498">
        <f t="shared" si="527"/>
        <v>0</v>
      </c>
      <c r="AX1517" s="498">
        <f t="shared" si="528"/>
        <v>0</v>
      </c>
      <c r="AY1517" s="498">
        <f t="shared" si="529"/>
        <v>0</v>
      </c>
      <c r="BB1517" s="498" t="str">
        <f t="shared" si="530"/>
        <v/>
      </c>
      <c r="BC1517" s="743" t="str">
        <f t="shared" si="531"/>
        <v/>
      </c>
      <c r="BD1517" s="743" t="str">
        <f t="shared" si="532"/>
        <v/>
      </c>
      <c r="BE1517" s="743" t="str">
        <f>IF(D1517="","",VLOOKUP(D1517,'General Basis'!$J$39:$K$46,2,0))</f>
        <v/>
      </c>
      <c r="BF1517" s="744" t="str">
        <f>IF(D1517="","",VLOOKUP(D1517,'General Basis'!$J$39:$L$46,3,0))</f>
        <v/>
      </c>
      <c r="BG1517" s="744" t="str">
        <f t="shared" si="539"/>
        <v/>
      </c>
      <c r="BH1517" s="744" t="str">
        <f>IF(G1517="","",IF(BF1517="Abu Dhabi",IF(G1517&lt;18,'General Basis'!$C$39,IF(G1517&lt;41,'General Basis'!$C$40,IF(G1517&lt;60,'General Basis'!$C$41,IF(G1517&lt;65,'General Basis'!$C$42,'General Basis'!$C$43)))),IF(G1517&lt;11,'General Basis'!$B$39,IF(G1517&lt;18,'General Basis'!$B$40,IF(G1517&lt;26,'General Basis'!$B$41,IF(G1517&lt;31,'General Basis'!$B$42,IF(G1517&lt;36,'General Basis'!$B$43,IF(G1517&lt;41,'General Basis'!$B$44,IF(G1517&lt;46,'General Basis'!$B$45,IF(G1517&lt;51,'General Basis'!$B$46,IF(G1517&lt;56,'General Basis'!$B$47,IF(G1517&lt;60,'General Basis'!$B$48,IF(G1517&lt;65,'General Basis'!$B$49,'General Basis'!$B$50)))))))))))))</f>
        <v/>
      </c>
      <c r="BI1517" s="744" t="str">
        <f t="shared" si="533"/>
        <v/>
      </c>
      <c r="BJ1517" s="747" t="str">
        <f t="shared" si="540"/>
        <v/>
      </c>
      <c r="BK1517" s="498" t="str">
        <f t="shared" si="534"/>
        <v/>
      </c>
      <c r="BL1517" s="498" t="str">
        <f t="shared" si="535"/>
        <v/>
      </c>
    </row>
    <row r="1518" spans="1:64" x14ac:dyDescent="0.25">
      <c r="A1518" s="762">
        <f t="shared" si="536"/>
        <v>1513</v>
      </c>
      <c r="B1518" s="229"/>
      <c r="C1518" s="223"/>
      <c r="D1518" s="224"/>
      <c r="E1518" s="225"/>
      <c r="F1518" s="1036" t="str">
        <f t="shared" si="542"/>
        <v/>
      </c>
      <c r="G1518" s="1037" t="str">
        <f t="shared" si="537"/>
        <v/>
      </c>
      <c r="H1518" s="225"/>
      <c r="I1518" s="1013"/>
      <c r="J1518" s="1013"/>
      <c r="K1518" s="1028"/>
      <c r="L1518" s="1035" t="str">
        <f t="shared" si="541"/>
        <v/>
      </c>
      <c r="S1518" s="498"/>
      <c r="AJ1518" s="498"/>
      <c r="AM1518" s="498">
        <f t="shared" si="522"/>
        <v>0</v>
      </c>
      <c r="AN1518" s="498">
        <f t="shared" si="523"/>
        <v>0</v>
      </c>
      <c r="AO1518" s="498">
        <f t="shared" si="524"/>
        <v>0</v>
      </c>
      <c r="AP1518" s="498">
        <f t="shared" si="543"/>
        <v>0</v>
      </c>
      <c r="AQ1518" s="498">
        <f t="shared" si="538"/>
        <v>0</v>
      </c>
      <c r="AU1518" s="498">
        <f t="shared" si="525"/>
        <v>0</v>
      </c>
      <c r="AV1518" s="498">
        <f t="shared" si="526"/>
        <v>0</v>
      </c>
      <c r="AW1518" s="498">
        <f t="shared" si="527"/>
        <v>0</v>
      </c>
      <c r="AX1518" s="498">
        <f t="shared" si="528"/>
        <v>0</v>
      </c>
      <c r="AY1518" s="498">
        <f t="shared" si="529"/>
        <v>0</v>
      </c>
      <c r="BB1518" s="498" t="str">
        <f t="shared" si="530"/>
        <v/>
      </c>
      <c r="BC1518" s="743" t="str">
        <f t="shared" si="531"/>
        <v/>
      </c>
      <c r="BD1518" s="743" t="str">
        <f t="shared" si="532"/>
        <v/>
      </c>
      <c r="BE1518" s="743" t="str">
        <f>IF(D1518="","",VLOOKUP(D1518,'General Basis'!$J$39:$K$46,2,0))</f>
        <v/>
      </c>
      <c r="BF1518" s="744" t="str">
        <f>IF(D1518="","",VLOOKUP(D1518,'General Basis'!$J$39:$L$46,3,0))</f>
        <v/>
      </c>
      <c r="BG1518" s="744" t="str">
        <f t="shared" si="539"/>
        <v/>
      </c>
      <c r="BH1518" s="744" t="str">
        <f>IF(G1518="","",IF(BF1518="Abu Dhabi",IF(G1518&lt;18,'General Basis'!$C$39,IF(G1518&lt;41,'General Basis'!$C$40,IF(G1518&lt;60,'General Basis'!$C$41,IF(G1518&lt;65,'General Basis'!$C$42,'General Basis'!$C$43)))),IF(G1518&lt;11,'General Basis'!$B$39,IF(G1518&lt;18,'General Basis'!$B$40,IF(G1518&lt;26,'General Basis'!$B$41,IF(G1518&lt;31,'General Basis'!$B$42,IF(G1518&lt;36,'General Basis'!$B$43,IF(G1518&lt;41,'General Basis'!$B$44,IF(G1518&lt;46,'General Basis'!$B$45,IF(G1518&lt;51,'General Basis'!$B$46,IF(G1518&lt;56,'General Basis'!$B$47,IF(G1518&lt;60,'General Basis'!$B$48,IF(G1518&lt;65,'General Basis'!$B$49,'General Basis'!$B$50)))))))))))))</f>
        <v/>
      </c>
      <c r="BI1518" s="744" t="str">
        <f t="shared" si="533"/>
        <v/>
      </c>
      <c r="BJ1518" s="747" t="str">
        <f t="shared" si="540"/>
        <v/>
      </c>
      <c r="BK1518" s="498" t="str">
        <f t="shared" si="534"/>
        <v/>
      </c>
      <c r="BL1518" s="498" t="str">
        <f t="shared" si="535"/>
        <v/>
      </c>
    </row>
    <row r="1519" spans="1:64" x14ac:dyDescent="0.25">
      <c r="A1519" s="762">
        <f t="shared" si="536"/>
        <v>1514</v>
      </c>
      <c r="B1519" s="229"/>
      <c r="C1519" s="223"/>
      <c r="D1519" s="224"/>
      <c r="E1519" s="225"/>
      <c r="F1519" s="1036" t="str">
        <f t="shared" si="542"/>
        <v/>
      </c>
      <c r="G1519" s="1037" t="str">
        <f t="shared" si="537"/>
        <v/>
      </c>
      <c r="H1519" s="225"/>
      <c r="I1519" s="1013"/>
      <c r="J1519" s="1013"/>
      <c r="K1519" s="1028"/>
      <c r="L1519" s="1035" t="str">
        <f t="shared" si="541"/>
        <v/>
      </c>
      <c r="S1519" s="498"/>
      <c r="AJ1519" s="498"/>
      <c r="AM1519" s="498">
        <f t="shared" si="522"/>
        <v>0</v>
      </c>
      <c r="AN1519" s="498">
        <f t="shared" si="523"/>
        <v>0</v>
      </c>
      <c r="AO1519" s="498">
        <f t="shared" si="524"/>
        <v>0</v>
      </c>
      <c r="AP1519" s="498">
        <f t="shared" si="543"/>
        <v>0</v>
      </c>
      <c r="AQ1519" s="498">
        <f t="shared" si="538"/>
        <v>0</v>
      </c>
      <c r="AU1519" s="498">
        <f t="shared" si="525"/>
        <v>0</v>
      </c>
      <c r="AV1519" s="498">
        <f t="shared" si="526"/>
        <v>0</v>
      </c>
      <c r="AW1519" s="498">
        <f t="shared" si="527"/>
        <v>0</v>
      </c>
      <c r="AX1519" s="498">
        <f t="shared" si="528"/>
        <v>0</v>
      </c>
      <c r="AY1519" s="498">
        <f t="shared" si="529"/>
        <v>0</v>
      </c>
      <c r="BB1519" s="498" t="str">
        <f t="shared" si="530"/>
        <v/>
      </c>
      <c r="BC1519" s="743" t="str">
        <f t="shared" si="531"/>
        <v/>
      </c>
      <c r="BD1519" s="743" t="str">
        <f t="shared" si="532"/>
        <v/>
      </c>
      <c r="BE1519" s="743" t="str">
        <f>IF(D1519="","",VLOOKUP(D1519,'General Basis'!$J$39:$K$46,2,0))</f>
        <v/>
      </c>
      <c r="BF1519" s="744" t="str">
        <f>IF(D1519="","",VLOOKUP(D1519,'General Basis'!$J$39:$L$46,3,0))</f>
        <v/>
      </c>
      <c r="BG1519" s="744" t="str">
        <f t="shared" si="539"/>
        <v/>
      </c>
      <c r="BH1519" s="744" t="str">
        <f>IF(G1519="","",IF(BF1519="Abu Dhabi",IF(G1519&lt;18,'General Basis'!$C$39,IF(G1519&lt;41,'General Basis'!$C$40,IF(G1519&lt;60,'General Basis'!$C$41,IF(G1519&lt;65,'General Basis'!$C$42,'General Basis'!$C$43)))),IF(G1519&lt;11,'General Basis'!$B$39,IF(G1519&lt;18,'General Basis'!$B$40,IF(G1519&lt;26,'General Basis'!$B$41,IF(G1519&lt;31,'General Basis'!$B$42,IF(G1519&lt;36,'General Basis'!$B$43,IF(G1519&lt;41,'General Basis'!$B$44,IF(G1519&lt;46,'General Basis'!$B$45,IF(G1519&lt;51,'General Basis'!$B$46,IF(G1519&lt;56,'General Basis'!$B$47,IF(G1519&lt;60,'General Basis'!$B$48,IF(G1519&lt;65,'General Basis'!$B$49,'General Basis'!$B$50)))))))))))))</f>
        <v/>
      </c>
      <c r="BI1519" s="744" t="str">
        <f t="shared" si="533"/>
        <v/>
      </c>
      <c r="BJ1519" s="747" t="str">
        <f t="shared" si="540"/>
        <v/>
      </c>
      <c r="BK1519" s="498" t="str">
        <f t="shared" si="534"/>
        <v/>
      </c>
      <c r="BL1519" s="498" t="str">
        <f t="shared" si="535"/>
        <v/>
      </c>
    </row>
    <row r="1520" spans="1:64" x14ac:dyDescent="0.25">
      <c r="A1520" s="762">
        <f t="shared" si="536"/>
        <v>1515</v>
      </c>
      <c r="B1520" s="229"/>
      <c r="C1520" s="223"/>
      <c r="D1520" s="224"/>
      <c r="E1520" s="225"/>
      <c r="F1520" s="1036" t="str">
        <f t="shared" si="542"/>
        <v/>
      </c>
      <c r="G1520" s="1037" t="str">
        <f t="shared" si="537"/>
        <v/>
      </c>
      <c r="H1520" s="225"/>
      <c r="I1520" s="1013"/>
      <c r="J1520" s="1013"/>
      <c r="K1520" s="1028"/>
      <c r="L1520" s="1035" t="str">
        <f t="shared" si="541"/>
        <v/>
      </c>
      <c r="S1520" s="498"/>
      <c r="AJ1520" s="498"/>
      <c r="AM1520" s="498">
        <f t="shared" si="522"/>
        <v>0</v>
      </c>
      <c r="AN1520" s="498">
        <f t="shared" si="523"/>
        <v>0</v>
      </c>
      <c r="AO1520" s="498">
        <f t="shared" si="524"/>
        <v>0</v>
      </c>
      <c r="AP1520" s="498">
        <f t="shared" si="543"/>
        <v>0</v>
      </c>
      <c r="AQ1520" s="498">
        <f t="shared" si="538"/>
        <v>0</v>
      </c>
      <c r="AU1520" s="498">
        <f t="shared" si="525"/>
        <v>0</v>
      </c>
      <c r="AV1520" s="498">
        <f t="shared" si="526"/>
        <v>0</v>
      </c>
      <c r="AW1520" s="498">
        <f t="shared" si="527"/>
        <v>0</v>
      </c>
      <c r="AX1520" s="498">
        <f t="shared" si="528"/>
        <v>0</v>
      </c>
      <c r="AY1520" s="498">
        <f t="shared" si="529"/>
        <v>0</v>
      </c>
      <c r="BB1520" s="498" t="str">
        <f t="shared" si="530"/>
        <v/>
      </c>
      <c r="BC1520" s="743" t="str">
        <f t="shared" si="531"/>
        <v/>
      </c>
      <c r="BD1520" s="743" t="str">
        <f t="shared" si="532"/>
        <v/>
      </c>
      <c r="BE1520" s="743" t="str">
        <f>IF(D1520="","",VLOOKUP(D1520,'General Basis'!$J$39:$K$46,2,0))</f>
        <v/>
      </c>
      <c r="BF1520" s="744" t="str">
        <f>IF(D1520="","",VLOOKUP(D1520,'General Basis'!$J$39:$L$46,3,0))</f>
        <v/>
      </c>
      <c r="BG1520" s="744" t="str">
        <f t="shared" si="539"/>
        <v/>
      </c>
      <c r="BH1520" s="744" t="str">
        <f>IF(G1520="","",IF(BF1520="Abu Dhabi",IF(G1520&lt;18,'General Basis'!$C$39,IF(G1520&lt;41,'General Basis'!$C$40,IF(G1520&lt;60,'General Basis'!$C$41,IF(G1520&lt;65,'General Basis'!$C$42,'General Basis'!$C$43)))),IF(G1520&lt;11,'General Basis'!$B$39,IF(G1520&lt;18,'General Basis'!$B$40,IF(G1520&lt;26,'General Basis'!$B$41,IF(G1520&lt;31,'General Basis'!$B$42,IF(G1520&lt;36,'General Basis'!$B$43,IF(G1520&lt;41,'General Basis'!$B$44,IF(G1520&lt;46,'General Basis'!$B$45,IF(G1520&lt;51,'General Basis'!$B$46,IF(G1520&lt;56,'General Basis'!$B$47,IF(G1520&lt;60,'General Basis'!$B$48,IF(G1520&lt;65,'General Basis'!$B$49,'General Basis'!$B$50)))))))))))))</f>
        <v/>
      </c>
      <c r="BI1520" s="744" t="str">
        <f t="shared" si="533"/>
        <v/>
      </c>
      <c r="BJ1520" s="747" t="str">
        <f t="shared" si="540"/>
        <v/>
      </c>
      <c r="BK1520" s="498" t="str">
        <f t="shared" si="534"/>
        <v/>
      </c>
      <c r="BL1520" s="498" t="str">
        <f t="shared" si="535"/>
        <v/>
      </c>
    </row>
    <row r="1521" spans="1:64" x14ac:dyDescent="0.25">
      <c r="A1521" s="762">
        <f t="shared" si="536"/>
        <v>1516</v>
      </c>
      <c r="B1521" s="229"/>
      <c r="C1521" s="223"/>
      <c r="D1521" s="224"/>
      <c r="E1521" s="225"/>
      <c r="F1521" s="1036" t="str">
        <f t="shared" si="542"/>
        <v/>
      </c>
      <c r="G1521" s="1037" t="str">
        <f t="shared" si="537"/>
        <v/>
      </c>
      <c r="H1521" s="225"/>
      <c r="I1521" s="1013"/>
      <c r="J1521" s="1013"/>
      <c r="K1521" s="1028"/>
      <c r="L1521" s="1035" t="str">
        <f t="shared" si="541"/>
        <v/>
      </c>
      <c r="S1521" s="498"/>
      <c r="AJ1521" s="498"/>
      <c r="AM1521" s="498">
        <f t="shared" si="522"/>
        <v>0</v>
      </c>
      <c r="AN1521" s="498">
        <f t="shared" si="523"/>
        <v>0</v>
      </c>
      <c r="AO1521" s="498">
        <f t="shared" si="524"/>
        <v>0</v>
      </c>
      <c r="AP1521" s="498">
        <f t="shared" si="543"/>
        <v>0</v>
      </c>
      <c r="AQ1521" s="498">
        <f t="shared" si="538"/>
        <v>0</v>
      </c>
      <c r="AU1521" s="498">
        <f t="shared" si="525"/>
        <v>0</v>
      </c>
      <c r="AV1521" s="498">
        <f t="shared" si="526"/>
        <v>0</v>
      </c>
      <c r="AW1521" s="498">
        <f t="shared" si="527"/>
        <v>0</v>
      </c>
      <c r="AX1521" s="498">
        <f t="shared" si="528"/>
        <v>0</v>
      </c>
      <c r="AY1521" s="498">
        <f t="shared" si="529"/>
        <v>0</v>
      </c>
      <c r="BB1521" s="498" t="str">
        <f t="shared" si="530"/>
        <v/>
      </c>
      <c r="BC1521" s="743" t="str">
        <f t="shared" si="531"/>
        <v/>
      </c>
      <c r="BD1521" s="743" t="str">
        <f t="shared" si="532"/>
        <v/>
      </c>
      <c r="BE1521" s="743" t="str">
        <f>IF(D1521="","",VLOOKUP(D1521,'General Basis'!$J$39:$K$46,2,0))</f>
        <v/>
      </c>
      <c r="BF1521" s="744" t="str">
        <f>IF(D1521="","",VLOOKUP(D1521,'General Basis'!$J$39:$L$46,3,0))</f>
        <v/>
      </c>
      <c r="BG1521" s="744" t="str">
        <f t="shared" si="539"/>
        <v/>
      </c>
      <c r="BH1521" s="744" t="str">
        <f>IF(G1521="","",IF(BF1521="Abu Dhabi",IF(G1521&lt;18,'General Basis'!$C$39,IF(G1521&lt;41,'General Basis'!$C$40,IF(G1521&lt;60,'General Basis'!$C$41,IF(G1521&lt;65,'General Basis'!$C$42,'General Basis'!$C$43)))),IF(G1521&lt;11,'General Basis'!$B$39,IF(G1521&lt;18,'General Basis'!$B$40,IF(G1521&lt;26,'General Basis'!$B$41,IF(G1521&lt;31,'General Basis'!$B$42,IF(G1521&lt;36,'General Basis'!$B$43,IF(G1521&lt;41,'General Basis'!$B$44,IF(G1521&lt;46,'General Basis'!$B$45,IF(G1521&lt;51,'General Basis'!$B$46,IF(G1521&lt;56,'General Basis'!$B$47,IF(G1521&lt;60,'General Basis'!$B$48,IF(G1521&lt;65,'General Basis'!$B$49,'General Basis'!$B$50)))))))))))))</f>
        <v/>
      </c>
      <c r="BI1521" s="744" t="str">
        <f t="shared" si="533"/>
        <v/>
      </c>
      <c r="BJ1521" s="747" t="str">
        <f t="shared" si="540"/>
        <v/>
      </c>
      <c r="BK1521" s="498" t="str">
        <f t="shared" si="534"/>
        <v/>
      </c>
      <c r="BL1521" s="498" t="str">
        <f t="shared" si="535"/>
        <v/>
      </c>
    </row>
    <row r="1522" spans="1:64" x14ac:dyDescent="0.25">
      <c r="A1522" s="762">
        <f t="shared" si="536"/>
        <v>1517</v>
      </c>
      <c r="B1522" s="229"/>
      <c r="C1522" s="223"/>
      <c r="D1522" s="224"/>
      <c r="E1522" s="225"/>
      <c r="F1522" s="1036" t="str">
        <f t="shared" si="542"/>
        <v/>
      </c>
      <c r="G1522" s="1037" t="str">
        <f t="shared" si="537"/>
        <v/>
      </c>
      <c r="H1522" s="225"/>
      <c r="I1522" s="1013"/>
      <c r="J1522" s="1013"/>
      <c r="K1522" s="1028"/>
      <c r="L1522" s="1035" t="str">
        <f t="shared" si="541"/>
        <v/>
      </c>
      <c r="S1522" s="498"/>
      <c r="AJ1522" s="498"/>
      <c r="AM1522" s="498">
        <f t="shared" si="522"/>
        <v>0</v>
      </c>
      <c r="AN1522" s="498">
        <f t="shared" si="523"/>
        <v>0</v>
      </c>
      <c r="AO1522" s="498">
        <f t="shared" si="524"/>
        <v>0</v>
      </c>
      <c r="AP1522" s="498">
        <f t="shared" si="543"/>
        <v>0</v>
      </c>
      <c r="AQ1522" s="498">
        <f t="shared" si="538"/>
        <v>0</v>
      </c>
      <c r="AU1522" s="498">
        <f t="shared" si="525"/>
        <v>0</v>
      </c>
      <c r="AV1522" s="498">
        <f t="shared" si="526"/>
        <v>0</v>
      </c>
      <c r="AW1522" s="498">
        <f t="shared" si="527"/>
        <v>0</v>
      </c>
      <c r="AX1522" s="498">
        <f t="shared" si="528"/>
        <v>0</v>
      </c>
      <c r="AY1522" s="498">
        <f t="shared" si="529"/>
        <v>0</v>
      </c>
      <c r="BB1522" s="498" t="str">
        <f t="shared" si="530"/>
        <v/>
      </c>
      <c r="BC1522" s="743" t="str">
        <f t="shared" si="531"/>
        <v/>
      </c>
      <c r="BD1522" s="743" t="str">
        <f t="shared" si="532"/>
        <v/>
      </c>
      <c r="BE1522" s="743" t="str">
        <f>IF(D1522="","",VLOOKUP(D1522,'General Basis'!$J$39:$K$46,2,0))</f>
        <v/>
      </c>
      <c r="BF1522" s="744" t="str">
        <f>IF(D1522="","",VLOOKUP(D1522,'General Basis'!$J$39:$L$46,3,0))</f>
        <v/>
      </c>
      <c r="BG1522" s="744" t="str">
        <f t="shared" si="539"/>
        <v/>
      </c>
      <c r="BH1522" s="744" t="str">
        <f>IF(G1522="","",IF(BF1522="Abu Dhabi",IF(G1522&lt;18,'General Basis'!$C$39,IF(G1522&lt;41,'General Basis'!$C$40,IF(G1522&lt;60,'General Basis'!$C$41,IF(G1522&lt;65,'General Basis'!$C$42,'General Basis'!$C$43)))),IF(G1522&lt;11,'General Basis'!$B$39,IF(G1522&lt;18,'General Basis'!$B$40,IF(G1522&lt;26,'General Basis'!$B$41,IF(G1522&lt;31,'General Basis'!$B$42,IF(G1522&lt;36,'General Basis'!$B$43,IF(G1522&lt;41,'General Basis'!$B$44,IF(G1522&lt;46,'General Basis'!$B$45,IF(G1522&lt;51,'General Basis'!$B$46,IF(G1522&lt;56,'General Basis'!$B$47,IF(G1522&lt;60,'General Basis'!$B$48,IF(G1522&lt;65,'General Basis'!$B$49,'General Basis'!$B$50)))))))))))))</f>
        <v/>
      </c>
      <c r="BI1522" s="744" t="str">
        <f t="shared" si="533"/>
        <v/>
      </c>
      <c r="BJ1522" s="747" t="str">
        <f t="shared" si="540"/>
        <v/>
      </c>
      <c r="BK1522" s="498" t="str">
        <f t="shared" si="534"/>
        <v/>
      </c>
      <c r="BL1522" s="498" t="str">
        <f t="shared" si="535"/>
        <v/>
      </c>
    </row>
    <row r="1523" spans="1:64" x14ac:dyDescent="0.25">
      <c r="A1523" s="762">
        <f t="shared" si="536"/>
        <v>1518</v>
      </c>
      <c r="B1523" s="229"/>
      <c r="C1523" s="223"/>
      <c r="D1523" s="224"/>
      <c r="E1523" s="225"/>
      <c r="F1523" s="1036" t="str">
        <f t="shared" si="542"/>
        <v/>
      </c>
      <c r="G1523" s="1037" t="str">
        <f t="shared" si="537"/>
        <v/>
      </c>
      <c r="H1523" s="225"/>
      <c r="I1523" s="1013"/>
      <c r="J1523" s="1013"/>
      <c r="K1523" s="1028"/>
      <c r="L1523" s="1035" t="str">
        <f t="shared" si="541"/>
        <v/>
      </c>
      <c r="S1523" s="498"/>
      <c r="AJ1523" s="498"/>
      <c r="AM1523" s="498">
        <f t="shared" si="522"/>
        <v>0</v>
      </c>
      <c r="AN1523" s="498">
        <f t="shared" si="523"/>
        <v>0</v>
      </c>
      <c r="AO1523" s="498">
        <f t="shared" si="524"/>
        <v>0</v>
      </c>
      <c r="AP1523" s="498">
        <f t="shared" si="543"/>
        <v>0</v>
      </c>
      <c r="AQ1523" s="498">
        <f t="shared" si="538"/>
        <v>0</v>
      </c>
      <c r="AU1523" s="498">
        <f t="shared" si="525"/>
        <v>0</v>
      </c>
      <c r="AV1523" s="498">
        <f t="shared" si="526"/>
        <v>0</v>
      </c>
      <c r="AW1523" s="498">
        <f t="shared" si="527"/>
        <v>0</v>
      </c>
      <c r="AX1523" s="498">
        <f t="shared" si="528"/>
        <v>0</v>
      </c>
      <c r="AY1523" s="498">
        <f t="shared" si="529"/>
        <v>0</v>
      </c>
      <c r="BB1523" s="498" t="str">
        <f t="shared" si="530"/>
        <v/>
      </c>
      <c r="BC1523" s="743" t="str">
        <f t="shared" si="531"/>
        <v/>
      </c>
      <c r="BD1523" s="743" t="str">
        <f t="shared" si="532"/>
        <v/>
      </c>
      <c r="BE1523" s="743" t="str">
        <f>IF(D1523="","",VLOOKUP(D1523,'General Basis'!$J$39:$K$46,2,0))</f>
        <v/>
      </c>
      <c r="BF1523" s="744" t="str">
        <f>IF(D1523="","",VLOOKUP(D1523,'General Basis'!$J$39:$L$46,3,0))</f>
        <v/>
      </c>
      <c r="BG1523" s="744" t="str">
        <f t="shared" si="539"/>
        <v/>
      </c>
      <c r="BH1523" s="744" t="str">
        <f>IF(G1523="","",IF(BF1523="Abu Dhabi",IF(G1523&lt;18,'General Basis'!$C$39,IF(G1523&lt;41,'General Basis'!$C$40,IF(G1523&lt;60,'General Basis'!$C$41,IF(G1523&lt;65,'General Basis'!$C$42,'General Basis'!$C$43)))),IF(G1523&lt;11,'General Basis'!$B$39,IF(G1523&lt;18,'General Basis'!$B$40,IF(G1523&lt;26,'General Basis'!$B$41,IF(G1523&lt;31,'General Basis'!$B$42,IF(G1523&lt;36,'General Basis'!$B$43,IF(G1523&lt;41,'General Basis'!$B$44,IF(G1523&lt;46,'General Basis'!$B$45,IF(G1523&lt;51,'General Basis'!$B$46,IF(G1523&lt;56,'General Basis'!$B$47,IF(G1523&lt;60,'General Basis'!$B$48,IF(G1523&lt;65,'General Basis'!$B$49,'General Basis'!$B$50)))))))))))))</f>
        <v/>
      </c>
      <c r="BI1523" s="744" t="str">
        <f t="shared" si="533"/>
        <v/>
      </c>
      <c r="BJ1523" s="747" t="str">
        <f t="shared" si="540"/>
        <v/>
      </c>
      <c r="BK1523" s="498" t="str">
        <f t="shared" si="534"/>
        <v/>
      </c>
      <c r="BL1523" s="498" t="str">
        <f t="shared" si="535"/>
        <v/>
      </c>
    </row>
    <row r="1524" spans="1:64" x14ac:dyDescent="0.25">
      <c r="A1524" s="762">
        <f t="shared" si="536"/>
        <v>1519</v>
      </c>
      <c r="B1524" s="229"/>
      <c r="C1524" s="223"/>
      <c r="D1524" s="224"/>
      <c r="E1524" s="225"/>
      <c r="F1524" s="1036" t="str">
        <f t="shared" si="542"/>
        <v/>
      </c>
      <c r="G1524" s="1037" t="str">
        <f t="shared" si="537"/>
        <v/>
      </c>
      <c r="H1524" s="225"/>
      <c r="I1524" s="1013"/>
      <c r="J1524" s="1013"/>
      <c r="K1524" s="1028"/>
      <c r="L1524" s="1035" t="str">
        <f t="shared" si="541"/>
        <v/>
      </c>
      <c r="S1524" s="498"/>
      <c r="AJ1524" s="498"/>
      <c r="AM1524" s="498">
        <f t="shared" si="522"/>
        <v>0</v>
      </c>
      <c r="AN1524" s="498">
        <f t="shared" si="523"/>
        <v>0</v>
      </c>
      <c r="AO1524" s="498">
        <f t="shared" si="524"/>
        <v>0</v>
      </c>
      <c r="AP1524" s="498">
        <f t="shared" si="543"/>
        <v>0</v>
      </c>
      <c r="AQ1524" s="498">
        <f t="shared" si="538"/>
        <v>0</v>
      </c>
      <c r="AU1524" s="498">
        <f t="shared" si="525"/>
        <v>0</v>
      </c>
      <c r="AV1524" s="498">
        <f t="shared" si="526"/>
        <v>0</v>
      </c>
      <c r="AW1524" s="498">
        <f t="shared" si="527"/>
        <v>0</v>
      </c>
      <c r="AX1524" s="498">
        <f t="shared" si="528"/>
        <v>0</v>
      </c>
      <c r="AY1524" s="498">
        <f t="shared" si="529"/>
        <v>0</v>
      </c>
      <c r="BB1524" s="498" t="str">
        <f t="shared" si="530"/>
        <v/>
      </c>
      <c r="BC1524" s="743" t="str">
        <f t="shared" si="531"/>
        <v/>
      </c>
      <c r="BD1524" s="743" t="str">
        <f t="shared" si="532"/>
        <v/>
      </c>
      <c r="BE1524" s="743" t="str">
        <f>IF(D1524="","",VLOOKUP(D1524,'General Basis'!$J$39:$K$46,2,0))</f>
        <v/>
      </c>
      <c r="BF1524" s="744" t="str">
        <f>IF(D1524="","",VLOOKUP(D1524,'General Basis'!$J$39:$L$46,3,0))</f>
        <v/>
      </c>
      <c r="BG1524" s="744" t="str">
        <f t="shared" si="539"/>
        <v/>
      </c>
      <c r="BH1524" s="744" t="str">
        <f>IF(G1524="","",IF(BF1524="Abu Dhabi",IF(G1524&lt;18,'General Basis'!$C$39,IF(G1524&lt;41,'General Basis'!$C$40,IF(G1524&lt;60,'General Basis'!$C$41,IF(G1524&lt;65,'General Basis'!$C$42,'General Basis'!$C$43)))),IF(G1524&lt;11,'General Basis'!$B$39,IF(G1524&lt;18,'General Basis'!$B$40,IF(G1524&lt;26,'General Basis'!$B$41,IF(G1524&lt;31,'General Basis'!$B$42,IF(G1524&lt;36,'General Basis'!$B$43,IF(G1524&lt;41,'General Basis'!$B$44,IF(G1524&lt;46,'General Basis'!$B$45,IF(G1524&lt;51,'General Basis'!$B$46,IF(G1524&lt;56,'General Basis'!$B$47,IF(G1524&lt;60,'General Basis'!$B$48,IF(G1524&lt;65,'General Basis'!$B$49,'General Basis'!$B$50)))))))))))))</f>
        <v/>
      </c>
      <c r="BI1524" s="744" t="str">
        <f t="shared" si="533"/>
        <v/>
      </c>
      <c r="BJ1524" s="747" t="str">
        <f t="shared" si="540"/>
        <v/>
      </c>
      <c r="BK1524" s="498" t="str">
        <f t="shared" si="534"/>
        <v/>
      </c>
      <c r="BL1524" s="498" t="str">
        <f t="shared" si="535"/>
        <v/>
      </c>
    </row>
    <row r="1525" spans="1:64" x14ac:dyDescent="0.25">
      <c r="A1525" s="762">
        <f t="shared" si="536"/>
        <v>1520</v>
      </c>
      <c r="B1525" s="229"/>
      <c r="C1525" s="223"/>
      <c r="D1525" s="224"/>
      <c r="E1525" s="225"/>
      <c r="F1525" s="1036" t="str">
        <f t="shared" si="542"/>
        <v/>
      </c>
      <c r="G1525" s="1037" t="str">
        <f t="shared" si="537"/>
        <v/>
      </c>
      <c r="H1525" s="225"/>
      <c r="I1525" s="1013"/>
      <c r="J1525" s="1013"/>
      <c r="K1525" s="1028"/>
      <c r="L1525" s="1035" t="str">
        <f t="shared" si="541"/>
        <v/>
      </c>
      <c r="S1525" s="498"/>
      <c r="AJ1525" s="498"/>
      <c r="AM1525" s="498">
        <f t="shared" si="522"/>
        <v>0</v>
      </c>
      <c r="AN1525" s="498">
        <f t="shared" si="523"/>
        <v>0</v>
      </c>
      <c r="AO1525" s="498">
        <f t="shared" si="524"/>
        <v>0</v>
      </c>
      <c r="AP1525" s="498">
        <f t="shared" si="543"/>
        <v>0</v>
      </c>
      <c r="AQ1525" s="498">
        <f t="shared" si="538"/>
        <v>0</v>
      </c>
      <c r="AU1525" s="498">
        <f t="shared" si="525"/>
        <v>0</v>
      </c>
      <c r="AV1525" s="498">
        <f t="shared" si="526"/>
        <v>0</v>
      </c>
      <c r="AW1525" s="498">
        <f t="shared" si="527"/>
        <v>0</v>
      </c>
      <c r="AX1525" s="498">
        <f t="shared" si="528"/>
        <v>0</v>
      </c>
      <c r="AY1525" s="498">
        <f t="shared" si="529"/>
        <v>0</v>
      </c>
      <c r="BB1525" s="498" t="str">
        <f t="shared" si="530"/>
        <v/>
      </c>
      <c r="BC1525" s="743" t="str">
        <f t="shared" si="531"/>
        <v/>
      </c>
      <c r="BD1525" s="743" t="str">
        <f t="shared" si="532"/>
        <v/>
      </c>
      <c r="BE1525" s="743" t="str">
        <f>IF(D1525="","",VLOOKUP(D1525,'General Basis'!$J$39:$K$46,2,0))</f>
        <v/>
      </c>
      <c r="BF1525" s="744" t="str">
        <f>IF(D1525="","",VLOOKUP(D1525,'General Basis'!$J$39:$L$46,3,0))</f>
        <v/>
      </c>
      <c r="BG1525" s="744" t="str">
        <f t="shared" si="539"/>
        <v/>
      </c>
      <c r="BH1525" s="744" t="str">
        <f>IF(G1525="","",IF(BF1525="Abu Dhabi",IF(G1525&lt;18,'General Basis'!$C$39,IF(G1525&lt;41,'General Basis'!$C$40,IF(G1525&lt;60,'General Basis'!$C$41,IF(G1525&lt;65,'General Basis'!$C$42,'General Basis'!$C$43)))),IF(G1525&lt;11,'General Basis'!$B$39,IF(G1525&lt;18,'General Basis'!$B$40,IF(G1525&lt;26,'General Basis'!$B$41,IF(G1525&lt;31,'General Basis'!$B$42,IF(G1525&lt;36,'General Basis'!$B$43,IF(G1525&lt;41,'General Basis'!$B$44,IF(G1525&lt;46,'General Basis'!$B$45,IF(G1525&lt;51,'General Basis'!$B$46,IF(G1525&lt;56,'General Basis'!$B$47,IF(G1525&lt;60,'General Basis'!$B$48,IF(G1525&lt;65,'General Basis'!$B$49,'General Basis'!$B$50)))))))))))))</f>
        <v/>
      </c>
      <c r="BI1525" s="744" t="str">
        <f t="shared" si="533"/>
        <v/>
      </c>
      <c r="BJ1525" s="747" t="str">
        <f t="shared" si="540"/>
        <v/>
      </c>
      <c r="BK1525" s="498" t="str">
        <f t="shared" si="534"/>
        <v/>
      </c>
      <c r="BL1525" s="498" t="str">
        <f t="shared" si="535"/>
        <v/>
      </c>
    </row>
    <row r="1526" spans="1:64" x14ac:dyDescent="0.25">
      <c r="A1526" s="762">
        <f t="shared" si="536"/>
        <v>1521</v>
      </c>
      <c r="B1526" s="229"/>
      <c r="C1526" s="223"/>
      <c r="D1526" s="224"/>
      <c r="E1526" s="225"/>
      <c r="F1526" s="1036" t="str">
        <f t="shared" si="542"/>
        <v/>
      </c>
      <c r="G1526" s="1037" t="str">
        <f t="shared" si="537"/>
        <v/>
      </c>
      <c r="H1526" s="225"/>
      <c r="I1526" s="1013"/>
      <c r="J1526" s="1013"/>
      <c r="K1526" s="1028"/>
      <c r="L1526" s="1035" t="str">
        <f t="shared" si="541"/>
        <v/>
      </c>
      <c r="S1526" s="498"/>
      <c r="AJ1526" s="498"/>
      <c r="AM1526" s="498">
        <f t="shared" si="522"/>
        <v>0</v>
      </c>
      <c r="AN1526" s="498">
        <f t="shared" si="523"/>
        <v>0</v>
      </c>
      <c r="AO1526" s="498">
        <f t="shared" si="524"/>
        <v>0</v>
      </c>
      <c r="AP1526" s="498">
        <f t="shared" si="543"/>
        <v>0</v>
      </c>
      <c r="AQ1526" s="498">
        <f t="shared" si="538"/>
        <v>0</v>
      </c>
      <c r="AU1526" s="498">
        <f t="shared" si="525"/>
        <v>0</v>
      </c>
      <c r="AV1526" s="498">
        <f t="shared" si="526"/>
        <v>0</v>
      </c>
      <c r="AW1526" s="498">
        <f t="shared" si="527"/>
        <v>0</v>
      </c>
      <c r="AX1526" s="498">
        <f t="shared" si="528"/>
        <v>0</v>
      </c>
      <c r="AY1526" s="498">
        <f t="shared" si="529"/>
        <v>0</v>
      </c>
      <c r="BB1526" s="498" t="str">
        <f t="shared" si="530"/>
        <v/>
      </c>
      <c r="BC1526" s="743" t="str">
        <f t="shared" si="531"/>
        <v/>
      </c>
      <c r="BD1526" s="743" t="str">
        <f t="shared" si="532"/>
        <v/>
      </c>
      <c r="BE1526" s="743" t="str">
        <f>IF(D1526="","",VLOOKUP(D1526,'General Basis'!$J$39:$K$46,2,0))</f>
        <v/>
      </c>
      <c r="BF1526" s="744" t="str">
        <f>IF(D1526="","",VLOOKUP(D1526,'General Basis'!$J$39:$L$46,3,0))</f>
        <v/>
      </c>
      <c r="BG1526" s="744" t="str">
        <f t="shared" si="539"/>
        <v/>
      </c>
      <c r="BH1526" s="744" t="str">
        <f>IF(G1526="","",IF(BF1526="Abu Dhabi",IF(G1526&lt;18,'General Basis'!$C$39,IF(G1526&lt;41,'General Basis'!$C$40,IF(G1526&lt;60,'General Basis'!$C$41,IF(G1526&lt;65,'General Basis'!$C$42,'General Basis'!$C$43)))),IF(G1526&lt;11,'General Basis'!$B$39,IF(G1526&lt;18,'General Basis'!$B$40,IF(G1526&lt;26,'General Basis'!$B$41,IF(G1526&lt;31,'General Basis'!$B$42,IF(G1526&lt;36,'General Basis'!$B$43,IF(G1526&lt;41,'General Basis'!$B$44,IF(G1526&lt;46,'General Basis'!$B$45,IF(G1526&lt;51,'General Basis'!$B$46,IF(G1526&lt;56,'General Basis'!$B$47,IF(G1526&lt;60,'General Basis'!$B$48,IF(G1526&lt;65,'General Basis'!$B$49,'General Basis'!$B$50)))))))))))))</f>
        <v/>
      </c>
      <c r="BI1526" s="744" t="str">
        <f t="shared" si="533"/>
        <v/>
      </c>
      <c r="BJ1526" s="747" t="str">
        <f t="shared" si="540"/>
        <v/>
      </c>
      <c r="BK1526" s="498" t="str">
        <f t="shared" si="534"/>
        <v/>
      </c>
      <c r="BL1526" s="498" t="str">
        <f t="shared" si="535"/>
        <v/>
      </c>
    </row>
    <row r="1527" spans="1:64" x14ac:dyDescent="0.25">
      <c r="A1527" s="762">
        <f t="shared" si="536"/>
        <v>1522</v>
      </c>
      <c r="B1527" s="229"/>
      <c r="C1527" s="223"/>
      <c r="D1527" s="224"/>
      <c r="E1527" s="225"/>
      <c r="F1527" s="1036" t="str">
        <f t="shared" si="542"/>
        <v/>
      </c>
      <c r="G1527" s="1037" t="str">
        <f t="shared" si="537"/>
        <v/>
      </c>
      <c r="H1527" s="225"/>
      <c r="I1527" s="1013"/>
      <c r="J1527" s="1013"/>
      <c r="K1527" s="1028"/>
      <c r="L1527" s="1035" t="str">
        <f t="shared" si="541"/>
        <v/>
      </c>
      <c r="S1527" s="498"/>
      <c r="AJ1527" s="498"/>
      <c r="AM1527" s="498">
        <f t="shared" si="522"/>
        <v>0</v>
      </c>
      <c r="AN1527" s="498">
        <f t="shared" si="523"/>
        <v>0</v>
      </c>
      <c r="AO1527" s="498">
        <f t="shared" si="524"/>
        <v>0</v>
      </c>
      <c r="AP1527" s="498">
        <f t="shared" si="543"/>
        <v>0</v>
      </c>
      <c r="AQ1527" s="498">
        <f t="shared" si="538"/>
        <v>0</v>
      </c>
      <c r="AU1527" s="498">
        <f t="shared" si="525"/>
        <v>0</v>
      </c>
      <c r="AV1527" s="498">
        <f t="shared" si="526"/>
        <v>0</v>
      </c>
      <c r="AW1527" s="498">
        <f t="shared" si="527"/>
        <v>0</v>
      </c>
      <c r="AX1527" s="498">
        <f t="shared" si="528"/>
        <v>0</v>
      </c>
      <c r="AY1527" s="498">
        <f t="shared" si="529"/>
        <v>0</v>
      </c>
      <c r="BB1527" s="498" t="str">
        <f t="shared" si="530"/>
        <v/>
      </c>
      <c r="BC1527" s="743" t="str">
        <f t="shared" si="531"/>
        <v/>
      </c>
      <c r="BD1527" s="743" t="str">
        <f t="shared" si="532"/>
        <v/>
      </c>
      <c r="BE1527" s="743" t="str">
        <f>IF(D1527="","",VLOOKUP(D1527,'General Basis'!$J$39:$K$46,2,0))</f>
        <v/>
      </c>
      <c r="BF1527" s="744" t="str">
        <f>IF(D1527="","",VLOOKUP(D1527,'General Basis'!$J$39:$L$46,3,0))</f>
        <v/>
      </c>
      <c r="BG1527" s="744" t="str">
        <f t="shared" si="539"/>
        <v/>
      </c>
      <c r="BH1527" s="744" t="str">
        <f>IF(G1527="","",IF(BF1527="Abu Dhabi",IF(G1527&lt;18,'General Basis'!$C$39,IF(G1527&lt;41,'General Basis'!$C$40,IF(G1527&lt;60,'General Basis'!$C$41,IF(G1527&lt;65,'General Basis'!$C$42,'General Basis'!$C$43)))),IF(G1527&lt;11,'General Basis'!$B$39,IF(G1527&lt;18,'General Basis'!$B$40,IF(G1527&lt;26,'General Basis'!$B$41,IF(G1527&lt;31,'General Basis'!$B$42,IF(G1527&lt;36,'General Basis'!$B$43,IF(G1527&lt;41,'General Basis'!$B$44,IF(G1527&lt;46,'General Basis'!$B$45,IF(G1527&lt;51,'General Basis'!$B$46,IF(G1527&lt;56,'General Basis'!$B$47,IF(G1527&lt;60,'General Basis'!$B$48,IF(G1527&lt;65,'General Basis'!$B$49,'General Basis'!$B$50)))))))))))))</f>
        <v/>
      </c>
      <c r="BI1527" s="744" t="str">
        <f t="shared" si="533"/>
        <v/>
      </c>
      <c r="BJ1527" s="747" t="str">
        <f t="shared" si="540"/>
        <v/>
      </c>
      <c r="BK1527" s="498" t="str">
        <f t="shared" si="534"/>
        <v/>
      </c>
      <c r="BL1527" s="498" t="str">
        <f t="shared" si="535"/>
        <v/>
      </c>
    </row>
    <row r="1528" spans="1:64" x14ac:dyDescent="0.25">
      <c r="A1528" s="762">
        <f t="shared" si="536"/>
        <v>1523</v>
      </c>
      <c r="B1528" s="229"/>
      <c r="C1528" s="223"/>
      <c r="D1528" s="224"/>
      <c r="E1528" s="225"/>
      <c r="F1528" s="1036" t="str">
        <f t="shared" si="542"/>
        <v/>
      </c>
      <c r="G1528" s="1037" t="str">
        <f t="shared" si="537"/>
        <v/>
      </c>
      <c r="H1528" s="225"/>
      <c r="I1528" s="1013"/>
      <c r="J1528" s="1013"/>
      <c r="K1528" s="1028"/>
      <c r="L1528" s="1035" t="str">
        <f t="shared" si="541"/>
        <v/>
      </c>
      <c r="S1528" s="498"/>
      <c r="AJ1528" s="498"/>
      <c r="AM1528" s="498">
        <f t="shared" si="522"/>
        <v>0</v>
      </c>
      <c r="AN1528" s="498">
        <f t="shared" si="523"/>
        <v>0</v>
      </c>
      <c r="AO1528" s="498">
        <f t="shared" si="524"/>
        <v>0</v>
      </c>
      <c r="AP1528" s="498">
        <f t="shared" si="543"/>
        <v>0</v>
      </c>
      <c r="AQ1528" s="498">
        <f t="shared" si="538"/>
        <v>0</v>
      </c>
      <c r="AU1528" s="498">
        <f t="shared" si="525"/>
        <v>0</v>
      </c>
      <c r="AV1528" s="498">
        <f t="shared" si="526"/>
        <v>0</v>
      </c>
      <c r="AW1528" s="498">
        <f t="shared" si="527"/>
        <v>0</v>
      </c>
      <c r="AX1528" s="498">
        <f t="shared" si="528"/>
        <v>0</v>
      </c>
      <c r="AY1528" s="498">
        <f t="shared" si="529"/>
        <v>0</v>
      </c>
      <c r="BB1528" s="498" t="str">
        <f t="shared" si="530"/>
        <v/>
      </c>
      <c r="BC1528" s="743" t="str">
        <f t="shared" si="531"/>
        <v/>
      </c>
      <c r="BD1528" s="743" t="str">
        <f t="shared" si="532"/>
        <v/>
      </c>
      <c r="BE1528" s="743" t="str">
        <f>IF(D1528="","",VLOOKUP(D1528,'General Basis'!$J$39:$K$46,2,0))</f>
        <v/>
      </c>
      <c r="BF1528" s="744" t="str">
        <f>IF(D1528="","",VLOOKUP(D1528,'General Basis'!$J$39:$L$46,3,0))</f>
        <v/>
      </c>
      <c r="BG1528" s="744" t="str">
        <f t="shared" si="539"/>
        <v/>
      </c>
      <c r="BH1528" s="744" t="str">
        <f>IF(G1528="","",IF(BF1528="Abu Dhabi",IF(G1528&lt;18,'General Basis'!$C$39,IF(G1528&lt;41,'General Basis'!$C$40,IF(G1528&lt;60,'General Basis'!$C$41,IF(G1528&lt;65,'General Basis'!$C$42,'General Basis'!$C$43)))),IF(G1528&lt;11,'General Basis'!$B$39,IF(G1528&lt;18,'General Basis'!$B$40,IF(G1528&lt;26,'General Basis'!$B$41,IF(G1528&lt;31,'General Basis'!$B$42,IF(G1528&lt;36,'General Basis'!$B$43,IF(G1528&lt;41,'General Basis'!$B$44,IF(G1528&lt;46,'General Basis'!$B$45,IF(G1528&lt;51,'General Basis'!$B$46,IF(G1528&lt;56,'General Basis'!$B$47,IF(G1528&lt;60,'General Basis'!$B$48,IF(G1528&lt;65,'General Basis'!$B$49,'General Basis'!$B$50)))))))))))))</f>
        <v/>
      </c>
      <c r="BI1528" s="744" t="str">
        <f t="shared" si="533"/>
        <v/>
      </c>
      <c r="BJ1528" s="747" t="str">
        <f t="shared" si="540"/>
        <v/>
      </c>
      <c r="BK1528" s="498" t="str">
        <f t="shared" si="534"/>
        <v/>
      </c>
      <c r="BL1528" s="498" t="str">
        <f t="shared" si="535"/>
        <v/>
      </c>
    </row>
    <row r="1529" spans="1:64" x14ac:dyDescent="0.25">
      <c r="A1529" s="762">
        <f t="shared" si="536"/>
        <v>1524</v>
      </c>
      <c r="B1529" s="229"/>
      <c r="C1529" s="223"/>
      <c r="D1529" s="224"/>
      <c r="E1529" s="225"/>
      <c r="F1529" s="1036" t="str">
        <f t="shared" si="542"/>
        <v/>
      </c>
      <c r="G1529" s="1037" t="str">
        <f t="shared" si="537"/>
        <v/>
      </c>
      <c r="H1529" s="225"/>
      <c r="I1529" s="1013"/>
      <c r="J1529" s="1013"/>
      <c r="K1529" s="1028"/>
      <c r="L1529" s="1035" t="str">
        <f t="shared" si="541"/>
        <v/>
      </c>
      <c r="S1529" s="498"/>
      <c r="AJ1529" s="498"/>
      <c r="AM1529" s="498">
        <f t="shared" si="522"/>
        <v>0</v>
      </c>
      <c r="AN1529" s="498">
        <f t="shared" si="523"/>
        <v>0</v>
      </c>
      <c r="AO1529" s="498">
        <f t="shared" si="524"/>
        <v>0</v>
      </c>
      <c r="AP1529" s="498">
        <f t="shared" si="543"/>
        <v>0</v>
      </c>
      <c r="AQ1529" s="498">
        <f t="shared" si="538"/>
        <v>0</v>
      </c>
      <c r="AU1529" s="498">
        <f t="shared" si="525"/>
        <v>0</v>
      </c>
      <c r="AV1529" s="498">
        <f t="shared" si="526"/>
        <v>0</v>
      </c>
      <c r="AW1529" s="498">
        <f t="shared" si="527"/>
        <v>0</v>
      </c>
      <c r="AX1529" s="498">
        <f t="shared" si="528"/>
        <v>0</v>
      </c>
      <c r="AY1529" s="498">
        <f t="shared" si="529"/>
        <v>0</v>
      </c>
      <c r="BB1529" s="498" t="str">
        <f t="shared" si="530"/>
        <v/>
      </c>
      <c r="BC1529" s="743" t="str">
        <f t="shared" si="531"/>
        <v/>
      </c>
      <c r="BD1529" s="743" t="str">
        <f t="shared" si="532"/>
        <v/>
      </c>
      <c r="BE1529" s="743" t="str">
        <f>IF(D1529="","",VLOOKUP(D1529,'General Basis'!$J$39:$K$46,2,0))</f>
        <v/>
      </c>
      <c r="BF1529" s="744" t="str">
        <f>IF(D1529="","",VLOOKUP(D1529,'General Basis'!$J$39:$L$46,3,0))</f>
        <v/>
      </c>
      <c r="BG1529" s="744" t="str">
        <f t="shared" si="539"/>
        <v/>
      </c>
      <c r="BH1529" s="744" t="str">
        <f>IF(G1529="","",IF(BF1529="Abu Dhabi",IF(G1529&lt;18,'General Basis'!$C$39,IF(G1529&lt;41,'General Basis'!$C$40,IF(G1529&lt;60,'General Basis'!$C$41,IF(G1529&lt;65,'General Basis'!$C$42,'General Basis'!$C$43)))),IF(G1529&lt;11,'General Basis'!$B$39,IF(G1529&lt;18,'General Basis'!$B$40,IF(G1529&lt;26,'General Basis'!$B$41,IF(G1529&lt;31,'General Basis'!$B$42,IF(G1529&lt;36,'General Basis'!$B$43,IF(G1529&lt;41,'General Basis'!$B$44,IF(G1529&lt;46,'General Basis'!$B$45,IF(G1529&lt;51,'General Basis'!$B$46,IF(G1529&lt;56,'General Basis'!$B$47,IF(G1529&lt;60,'General Basis'!$B$48,IF(G1529&lt;65,'General Basis'!$B$49,'General Basis'!$B$50)))))))))))))</f>
        <v/>
      </c>
      <c r="BI1529" s="744" t="str">
        <f t="shared" si="533"/>
        <v/>
      </c>
      <c r="BJ1529" s="747" t="str">
        <f t="shared" si="540"/>
        <v/>
      </c>
      <c r="BK1529" s="498" t="str">
        <f t="shared" si="534"/>
        <v/>
      </c>
      <c r="BL1529" s="498" t="str">
        <f t="shared" si="535"/>
        <v/>
      </c>
    </row>
    <row r="1530" spans="1:64" x14ac:dyDescent="0.25">
      <c r="A1530" s="762">
        <f t="shared" si="536"/>
        <v>1525</v>
      </c>
      <c r="B1530" s="229"/>
      <c r="C1530" s="223"/>
      <c r="D1530" s="224"/>
      <c r="E1530" s="225"/>
      <c r="F1530" s="1036" t="str">
        <f t="shared" si="542"/>
        <v/>
      </c>
      <c r="G1530" s="1037" t="str">
        <f t="shared" si="537"/>
        <v/>
      </c>
      <c r="H1530" s="225"/>
      <c r="I1530" s="1013"/>
      <c r="J1530" s="1013"/>
      <c r="K1530" s="1028"/>
      <c r="L1530" s="1035" t="str">
        <f t="shared" si="541"/>
        <v/>
      </c>
      <c r="S1530" s="498"/>
      <c r="AJ1530" s="498"/>
      <c r="AM1530" s="498">
        <f t="shared" si="522"/>
        <v>0</v>
      </c>
      <c r="AN1530" s="498">
        <f t="shared" si="523"/>
        <v>0</v>
      </c>
      <c r="AO1530" s="498">
        <f t="shared" si="524"/>
        <v>0</v>
      </c>
      <c r="AP1530" s="498">
        <f t="shared" si="543"/>
        <v>0</v>
      </c>
      <c r="AQ1530" s="498">
        <f t="shared" si="538"/>
        <v>0</v>
      </c>
      <c r="AU1530" s="498">
        <f t="shared" si="525"/>
        <v>0</v>
      </c>
      <c r="AV1530" s="498">
        <f t="shared" si="526"/>
        <v>0</v>
      </c>
      <c r="AW1530" s="498">
        <f t="shared" si="527"/>
        <v>0</v>
      </c>
      <c r="AX1530" s="498">
        <f t="shared" si="528"/>
        <v>0</v>
      </c>
      <c r="AY1530" s="498">
        <f t="shared" si="529"/>
        <v>0</v>
      </c>
      <c r="BB1530" s="498" t="str">
        <f t="shared" si="530"/>
        <v/>
      </c>
      <c r="BC1530" s="743" t="str">
        <f t="shared" si="531"/>
        <v/>
      </c>
      <c r="BD1530" s="743" t="str">
        <f t="shared" si="532"/>
        <v/>
      </c>
      <c r="BE1530" s="743" t="str">
        <f>IF(D1530="","",VLOOKUP(D1530,'General Basis'!$J$39:$K$46,2,0))</f>
        <v/>
      </c>
      <c r="BF1530" s="744" t="str">
        <f>IF(D1530="","",VLOOKUP(D1530,'General Basis'!$J$39:$L$46,3,0))</f>
        <v/>
      </c>
      <c r="BG1530" s="744" t="str">
        <f t="shared" si="539"/>
        <v/>
      </c>
      <c r="BH1530" s="744" t="str">
        <f>IF(G1530="","",IF(BF1530="Abu Dhabi",IF(G1530&lt;18,'General Basis'!$C$39,IF(G1530&lt;41,'General Basis'!$C$40,IF(G1530&lt;60,'General Basis'!$C$41,IF(G1530&lt;65,'General Basis'!$C$42,'General Basis'!$C$43)))),IF(G1530&lt;11,'General Basis'!$B$39,IF(G1530&lt;18,'General Basis'!$B$40,IF(G1530&lt;26,'General Basis'!$B$41,IF(G1530&lt;31,'General Basis'!$B$42,IF(G1530&lt;36,'General Basis'!$B$43,IF(G1530&lt;41,'General Basis'!$B$44,IF(G1530&lt;46,'General Basis'!$B$45,IF(G1530&lt;51,'General Basis'!$B$46,IF(G1530&lt;56,'General Basis'!$B$47,IF(G1530&lt;60,'General Basis'!$B$48,IF(G1530&lt;65,'General Basis'!$B$49,'General Basis'!$B$50)))))))))))))</f>
        <v/>
      </c>
      <c r="BI1530" s="744" t="str">
        <f t="shared" si="533"/>
        <v/>
      </c>
      <c r="BJ1530" s="747" t="str">
        <f t="shared" si="540"/>
        <v/>
      </c>
      <c r="BK1530" s="498" t="str">
        <f t="shared" si="534"/>
        <v/>
      </c>
      <c r="BL1530" s="498" t="str">
        <f t="shared" si="535"/>
        <v/>
      </c>
    </row>
    <row r="1531" spans="1:64" x14ac:dyDescent="0.25">
      <c r="A1531" s="762">
        <f t="shared" si="536"/>
        <v>1526</v>
      </c>
      <c r="B1531" s="229"/>
      <c r="C1531" s="223"/>
      <c r="D1531" s="224"/>
      <c r="E1531" s="225"/>
      <c r="F1531" s="1036" t="str">
        <f t="shared" si="542"/>
        <v/>
      </c>
      <c r="G1531" s="1037" t="str">
        <f t="shared" si="537"/>
        <v/>
      </c>
      <c r="H1531" s="225"/>
      <c r="I1531" s="1013"/>
      <c r="J1531" s="1013"/>
      <c r="K1531" s="1028"/>
      <c r="L1531" s="1035" t="str">
        <f t="shared" si="541"/>
        <v/>
      </c>
      <c r="S1531" s="498"/>
      <c r="AJ1531" s="498"/>
      <c r="AM1531" s="498">
        <f t="shared" si="522"/>
        <v>0</v>
      </c>
      <c r="AN1531" s="498">
        <f t="shared" si="523"/>
        <v>0</v>
      </c>
      <c r="AO1531" s="498">
        <f t="shared" si="524"/>
        <v>0</v>
      </c>
      <c r="AP1531" s="498">
        <f t="shared" si="543"/>
        <v>0</v>
      </c>
      <c r="AQ1531" s="498">
        <f t="shared" si="538"/>
        <v>0</v>
      </c>
      <c r="AU1531" s="498">
        <f t="shared" si="525"/>
        <v>0</v>
      </c>
      <c r="AV1531" s="498">
        <f t="shared" si="526"/>
        <v>0</v>
      </c>
      <c r="AW1531" s="498">
        <f t="shared" si="527"/>
        <v>0</v>
      </c>
      <c r="AX1531" s="498">
        <f t="shared" si="528"/>
        <v>0</v>
      </c>
      <c r="AY1531" s="498">
        <f t="shared" si="529"/>
        <v>0</v>
      </c>
      <c r="BB1531" s="498" t="str">
        <f t="shared" si="530"/>
        <v/>
      </c>
      <c r="BC1531" s="743" t="str">
        <f t="shared" si="531"/>
        <v/>
      </c>
      <c r="BD1531" s="743" t="str">
        <f t="shared" si="532"/>
        <v/>
      </c>
      <c r="BE1531" s="743" t="str">
        <f>IF(D1531="","",VLOOKUP(D1531,'General Basis'!$J$39:$K$46,2,0))</f>
        <v/>
      </c>
      <c r="BF1531" s="744" t="str">
        <f>IF(D1531="","",VLOOKUP(D1531,'General Basis'!$J$39:$L$46,3,0))</f>
        <v/>
      </c>
      <c r="BG1531" s="744" t="str">
        <f t="shared" si="539"/>
        <v/>
      </c>
      <c r="BH1531" s="744" t="str">
        <f>IF(G1531="","",IF(BF1531="Abu Dhabi",IF(G1531&lt;18,'General Basis'!$C$39,IF(G1531&lt;41,'General Basis'!$C$40,IF(G1531&lt;60,'General Basis'!$C$41,IF(G1531&lt;65,'General Basis'!$C$42,'General Basis'!$C$43)))),IF(G1531&lt;11,'General Basis'!$B$39,IF(G1531&lt;18,'General Basis'!$B$40,IF(G1531&lt;26,'General Basis'!$B$41,IF(G1531&lt;31,'General Basis'!$B$42,IF(G1531&lt;36,'General Basis'!$B$43,IF(G1531&lt;41,'General Basis'!$B$44,IF(G1531&lt;46,'General Basis'!$B$45,IF(G1531&lt;51,'General Basis'!$B$46,IF(G1531&lt;56,'General Basis'!$B$47,IF(G1531&lt;60,'General Basis'!$B$48,IF(G1531&lt;65,'General Basis'!$B$49,'General Basis'!$B$50)))))))))))))</f>
        <v/>
      </c>
      <c r="BI1531" s="744" t="str">
        <f t="shared" si="533"/>
        <v/>
      </c>
      <c r="BJ1531" s="747" t="str">
        <f t="shared" si="540"/>
        <v/>
      </c>
      <c r="BK1531" s="498" t="str">
        <f t="shared" si="534"/>
        <v/>
      </c>
      <c r="BL1531" s="498" t="str">
        <f t="shared" si="535"/>
        <v/>
      </c>
    </row>
    <row r="1532" spans="1:64" x14ac:dyDescent="0.25">
      <c r="A1532" s="762">
        <f t="shared" si="536"/>
        <v>1527</v>
      </c>
      <c r="B1532" s="229"/>
      <c r="C1532" s="223"/>
      <c r="D1532" s="224"/>
      <c r="E1532" s="225"/>
      <c r="F1532" s="1036" t="str">
        <f t="shared" si="542"/>
        <v/>
      </c>
      <c r="G1532" s="1037" t="str">
        <f t="shared" si="537"/>
        <v/>
      </c>
      <c r="H1532" s="225"/>
      <c r="I1532" s="1013"/>
      <c r="J1532" s="1013"/>
      <c r="K1532" s="1028"/>
      <c r="L1532" s="1035" t="str">
        <f t="shared" si="541"/>
        <v/>
      </c>
      <c r="S1532" s="498"/>
      <c r="AJ1532" s="498"/>
      <c r="AM1532" s="498">
        <f t="shared" si="522"/>
        <v>0</v>
      </c>
      <c r="AN1532" s="498">
        <f t="shared" si="523"/>
        <v>0</v>
      </c>
      <c r="AO1532" s="498">
        <f t="shared" si="524"/>
        <v>0</v>
      </c>
      <c r="AP1532" s="498">
        <f t="shared" si="543"/>
        <v>0</v>
      </c>
      <c r="AQ1532" s="498">
        <f t="shared" si="538"/>
        <v>0</v>
      </c>
      <c r="AU1532" s="498">
        <f t="shared" si="525"/>
        <v>0</v>
      </c>
      <c r="AV1532" s="498">
        <f t="shared" si="526"/>
        <v>0</v>
      </c>
      <c r="AW1532" s="498">
        <f t="shared" si="527"/>
        <v>0</v>
      </c>
      <c r="AX1532" s="498">
        <f t="shared" si="528"/>
        <v>0</v>
      </c>
      <c r="AY1532" s="498">
        <f t="shared" si="529"/>
        <v>0</v>
      </c>
      <c r="BB1532" s="498" t="str">
        <f t="shared" si="530"/>
        <v/>
      </c>
      <c r="BC1532" s="743" t="str">
        <f t="shared" si="531"/>
        <v/>
      </c>
      <c r="BD1532" s="743" t="str">
        <f t="shared" si="532"/>
        <v/>
      </c>
      <c r="BE1532" s="743" t="str">
        <f>IF(D1532="","",VLOOKUP(D1532,'General Basis'!$J$39:$K$46,2,0))</f>
        <v/>
      </c>
      <c r="BF1532" s="744" t="str">
        <f>IF(D1532="","",VLOOKUP(D1532,'General Basis'!$J$39:$L$46,3,0))</f>
        <v/>
      </c>
      <c r="BG1532" s="744" t="str">
        <f t="shared" si="539"/>
        <v/>
      </c>
      <c r="BH1532" s="744" t="str">
        <f>IF(G1532="","",IF(BF1532="Abu Dhabi",IF(G1532&lt;18,'General Basis'!$C$39,IF(G1532&lt;41,'General Basis'!$C$40,IF(G1532&lt;60,'General Basis'!$C$41,IF(G1532&lt;65,'General Basis'!$C$42,'General Basis'!$C$43)))),IF(G1532&lt;11,'General Basis'!$B$39,IF(G1532&lt;18,'General Basis'!$B$40,IF(G1532&lt;26,'General Basis'!$B$41,IF(G1532&lt;31,'General Basis'!$B$42,IF(G1532&lt;36,'General Basis'!$B$43,IF(G1532&lt;41,'General Basis'!$B$44,IF(G1532&lt;46,'General Basis'!$B$45,IF(G1532&lt;51,'General Basis'!$B$46,IF(G1532&lt;56,'General Basis'!$B$47,IF(G1532&lt;60,'General Basis'!$B$48,IF(G1532&lt;65,'General Basis'!$B$49,'General Basis'!$B$50)))))))))))))</f>
        <v/>
      </c>
      <c r="BI1532" s="744" t="str">
        <f t="shared" si="533"/>
        <v/>
      </c>
      <c r="BJ1532" s="747" t="str">
        <f t="shared" si="540"/>
        <v/>
      </c>
      <c r="BK1532" s="498" t="str">
        <f t="shared" si="534"/>
        <v/>
      </c>
      <c r="BL1532" s="498" t="str">
        <f t="shared" si="535"/>
        <v/>
      </c>
    </row>
    <row r="1533" spans="1:64" x14ac:dyDescent="0.25">
      <c r="A1533" s="762">
        <f t="shared" si="536"/>
        <v>1528</v>
      </c>
      <c r="B1533" s="229"/>
      <c r="C1533" s="223"/>
      <c r="D1533" s="224"/>
      <c r="E1533" s="225"/>
      <c r="F1533" s="1036" t="str">
        <f t="shared" si="542"/>
        <v/>
      </c>
      <c r="G1533" s="1037" t="str">
        <f t="shared" si="537"/>
        <v/>
      </c>
      <c r="H1533" s="225"/>
      <c r="I1533" s="1013"/>
      <c r="J1533" s="1013"/>
      <c r="K1533" s="1028"/>
      <c r="L1533" s="1035" t="str">
        <f t="shared" si="541"/>
        <v/>
      </c>
      <c r="S1533" s="498"/>
      <c r="AJ1533" s="498"/>
      <c r="AM1533" s="498">
        <f t="shared" si="522"/>
        <v>0</v>
      </c>
      <c r="AN1533" s="498">
        <f t="shared" si="523"/>
        <v>0</v>
      </c>
      <c r="AO1533" s="498">
        <f t="shared" si="524"/>
        <v>0</v>
      </c>
      <c r="AP1533" s="498">
        <f t="shared" si="543"/>
        <v>0</v>
      </c>
      <c r="AQ1533" s="498">
        <f t="shared" si="538"/>
        <v>0</v>
      </c>
      <c r="AU1533" s="498">
        <f t="shared" si="525"/>
        <v>0</v>
      </c>
      <c r="AV1533" s="498">
        <f t="shared" si="526"/>
        <v>0</v>
      </c>
      <c r="AW1533" s="498">
        <f t="shared" si="527"/>
        <v>0</v>
      </c>
      <c r="AX1533" s="498">
        <f t="shared" si="528"/>
        <v>0</v>
      </c>
      <c r="AY1533" s="498">
        <f t="shared" si="529"/>
        <v>0</v>
      </c>
      <c r="BB1533" s="498" t="str">
        <f t="shared" si="530"/>
        <v/>
      </c>
      <c r="BC1533" s="743" t="str">
        <f t="shared" si="531"/>
        <v/>
      </c>
      <c r="BD1533" s="743" t="str">
        <f t="shared" si="532"/>
        <v/>
      </c>
      <c r="BE1533" s="743" t="str">
        <f>IF(D1533="","",VLOOKUP(D1533,'General Basis'!$J$39:$K$46,2,0))</f>
        <v/>
      </c>
      <c r="BF1533" s="744" t="str">
        <f>IF(D1533="","",VLOOKUP(D1533,'General Basis'!$J$39:$L$46,3,0))</f>
        <v/>
      </c>
      <c r="BG1533" s="744" t="str">
        <f t="shared" si="539"/>
        <v/>
      </c>
      <c r="BH1533" s="744" t="str">
        <f>IF(G1533="","",IF(BF1533="Abu Dhabi",IF(G1533&lt;18,'General Basis'!$C$39,IF(G1533&lt;41,'General Basis'!$C$40,IF(G1533&lt;60,'General Basis'!$C$41,IF(G1533&lt;65,'General Basis'!$C$42,'General Basis'!$C$43)))),IF(G1533&lt;11,'General Basis'!$B$39,IF(G1533&lt;18,'General Basis'!$B$40,IF(G1533&lt;26,'General Basis'!$B$41,IF(G1533&lt;31,'General Basis'!$B$42,IF(G1533&lt;36,'General Basis'!$B$43,IF(G1533&lt;41,'General Basis'!$B$44,IF(G1533&lt;46,'General Basis'!$B$45,IF(G1533&lt;51,'General Basis'!$B$46,IF(G1533&lt;56,'General Basis'!$B$47,IF(G1533&lt;60,'General Basis'!$B$48,IF(G1533&lt;65,'General Basis'!$B$49,'General Basis'!$B$50)))))))))))))</f>
        <v/>
      </c>
      <c r="BI1533" s="744" t="str">
        <f t="shared" si="533"/>
        <v/>
      </c>
      <c r="BJ1533" s="747" t="str">
        <f t="shared" si="540"/>
        <v/>
      </c>
      <c r="BK1533" s="498" t="str">
        <f t="shared" si="534"/>
        <v/>
      </c>
      <c r="BL1533" s="498" t="str">
        <f t="shared" si="535"/>
        <v/>
      </c>
    </row>
    <row r="1534" spans="1:64" x14ac:dyDescent="0.25">
      <c r="A1534" s="762">
        <f t="shared" si="536"/>
        <v>1529</v>
      </c>
      <c r="B1534" s="229"/>
      <c r="C1534" s="223"/>
      <c r="D1534" s="224"/>
      <c r="E1534" s="225"/>
      <c r="F1534" s="1036" t="str">
        <f t="shared" si="542"/>
        <v/>
      </c>
      <c r="G1534" s="1037" t="str">
        <f t="shared" si="537"/>
        <v/>
      </c>
      <c r="H1534" s="225"/>
      <c r="I1534" s="1013"/>
      <c r="J1534" s="1013"/>
      <c r="K1534" s="1028"/>
      <c r="L1534" s="1035" t="str">
        <f t="shared" si="541"/>
        <v/>
      </c>
      <c r="S1534" s="498"/>
      <c r="AJ1534" s="498"/>
      <c r="AM1534" s="498">
        <f t="shared" si="522"/>
        <v>0</v>
      </c>
      <c r="AN1534" s="498">
        <f t="shared" si="523"/>
        <v>0</v>
      </c>
      <c r="AO1534" s="498">
        <f t="shared" si="524"/>
        <v>0</v>
      </c>
      <c r="AP1534" s="498">
        <f t="shared" si="543"/>
        <v>0</v>
      </c>
      <c r="AQ1534" s="498">
        <f t="shared" si="538"/>
        <v>0</v>
      </c>
      <c r="AU1534" s="498">
        <f t="shared" si="525"/>
        <v>0</v>
      </c>
      <c r="AV1534" s="498">
        <f t="shared" si="526"/>
        <v>0</v>
      </c>
      <c r="AW1534" s="498">
        <f t="shared" si="527"/>
        <v>0</v>
      </c>
      <c r="AX1534" s="498">
        <f t="shared" si="528"/>
        <v>0</v>
      </c>
      <c r="AY1534" s="498">
        <f t="shared" si="529"/>
        <v>0</v>
      </c>
      <c r="BB1534" s="498" t="str">
        <f t="shared" si="530"/>
        <v/>
      </c>
      <c r="BC1534" s="743" t="str">
        <f t="shared" si="531"/>
        <v/>
      </c>
      <c r="BD1534" s="743" t="str">
        <f t="shared" si="532"/>
        <v/>
      </c>
      <c r="BE1534" s="743" t="str">
        <f>IF(D1534="","",VLOOKUP(D1534,'General Basis'!$J$39:$K$46,2,0))</f>
        <v/>
      </c>
      <c r="BF1534" s="744" t="str">
        <f>IF(D1534="","",VLOOKUP(D1534,'General Basis'!$J$39:$L$46,3,0))</f>
        <v/>
      </c>
      <c r="BG1534" s="744" t="str">
        <f t="shared" si="539"/>
        <v/>
      </c>
      <c r="BH1534" s="744" t="str">
        <f>IF(G1534="","",IF(BF1534="Abu Dhabi",IF(G1534&lt;18,'General Basis'!$C$39,IF(G1534&lt;41,'General Basis'!$C$40,IF(G1534&lt;60,'General Basis'!$C$41,IF(G1534&lt;65,'General Basis'!$C$42,'General Basis'!$C$43)))),IF(G1534&lt;11,'General Basis'!$B$39,IF(G1534&lt;18,'General Basis'!$B$40,IF(G1534&lt;26,'General Basis'!$B$41,IF(G1534&lt;31,'General Basis'!$B$42,IF(G1534&lt;36,'General Basis'!$B$43,IF(G1534&lt;41,'General Basis'!$B$44,IF(G1534&lt;46,'General Basis'!$B$45,IF(G1534&lt;51,'General Basis'!$B$46,IF(G1534&lt;56,'General Basis'!$B$47,IF(G1534&lt;60,'General Basis'!$B$48,IF(G1534&lt;65,'General Basis'!$B$49,'General Basis'!$B$50)))))))))))))</f>
        <v/>
      </c>
      <c r="BI1534" s="744" t="str">
        <f t="shared" si="533"/>
        <v/>
      </c>
      <c r="BJ1534" s="747" t="str">
        <f t="shared" si="540"/>
        <v/>
      </c>
      <c r="BK1534" s="498" t="str">
        <f t="shared" si="534"/>
        <v/>
      </c>
      <c r="BL1534" s="498" t="str">
        <f t="shared" si="535"/>
        <v/>
      </c>
    </row>
    <row r="1535" spans="1:64" x14ac:dyDescent="0.25">
      <c r="A1535" s="762">
        <f t="shared" si="536"/>
        <v>1530</v>
      </c>
      <c r="B1535" s="229"/>
      <c r="C1535" s="223"/>
      <c r="D1535" s="224"/>
      <c r="E1535" s="225"/>
      <c r="F1535" s="1036" t="str">
        <f t="shared" si="542"/>
        <v/>
      </c>
      <c r="G1535" s="1037" t="str">
        <f t="shared" si="537"/>
        <v/>
      </c>
      <c r="H1535" s="225"/>
      <c r="I1535" s="1013"/>
      <c r="J1535" s="1013"/>
      <c r="K1535" s="1028"/>
      <c r="L1535" s="1035" t="str">
        <f t="shared" si="541"/>
        <v/>
      </c>
      <c r="S1535" s="498"/>
      <c r="AJ1535" s="498"/>
      <c r="AM1535" s="498">
        <f t="shared" si="522"/>
        <v>0</v>
      </c>
      <c r="AN1535" s="498">
        <f t="shared" si="523"/>
        <v>0</v>
      </c>
      <c r="AO1535" s="498">
        <f t="shared" si="524"/>
        <v>0</v>
      </c>
      <c r="AP1535" s="498">
        <f t="shared" si="543"/>
        <v>0</v>
      </c>
      <c r="AQ1535" s="498">
        <f t="shared" si="538"/>
        <v>0</v>
      </c>
      <c r="AU1535" s="498">
        <f t="shared" si="525"/>
        <v>0</v>
      </c>
      <c r="AV1535" s="498">
        <f t="shared" si="526"/>
        <v>0</v>
      </c>
      <c r="AW1535" s="498">
        <f t="shared" si="527"/>
        <v>0</v>
      </c>
      <c r="AX1535" s="498">
        <f t="shared" si="528"/>
        <v>0</v>
      </c>
      <c r="AY1535" s="498">
        <f t="shared" si="529"/>
        <v>0</v>
      </c>
      <c r="BB1535" s="498" t="str">
        <f t="shared" si="530"/>
        <v/>
      </c>
      <c r="BC1535" s="743" t="str">
        <f t="shared" si="531"/>
        <v/>
      </c>
      <c r="BD1535" s="743" t="str">
        <f t="shared" si="532"/>
        <v/>
      </c>
      <c r="BE1535" s="743" t="str">
        <f>IF(D1535="","",VLOOKUP(D1535,'General Basis'!$J$39:$K$46,2,0))</f>
        <v/>
      </c>
      <c r="BF1535" s="744" t="str">
        <f>IF(D1535="","",VLOOKUP(D1535,'General Basis'!$J$39:$L$46,3,0))</f>
        <v/>
      </c>
      <c r="BG1535" s="744" t="str">
        <f t="shared" si="539"/>
        <v/>
      </c>
      <c r="BH1535" s="744" t="str">
        <f>IF(G1535="","",IF(BF1535="Abu Dhabi",IF(G1535&lt;18,'General Basis'!$C$39,IF(G1535&lt;41,'General Basis'!$C$40,IF(G1535&lt;60,'General Basis'!$C$41,IF(G1535&lt;65,'General Basis'!$C$42,'General Basis'!$C$43)))),IF(G1535&lt;11,'General Basis'!$B$39,IF(G1535&lt;18,'General Basis'!$B$40,IF(G1535&lt;26,'General Basis'!$B$41,IF(G1535&lt;31,'General Basis'!$B$42,IF(G1535&lt;36,'General Basis'!$B$43,IF(G1535&lt;41,'General Basis'!$B$44,IF(G1535&lt;46,'General Basis'!$B$45,IF(G1535&lt;51,'General Basis'!$B$46,IF(G1535&lt;56,'General Basis'!$B$47,IF(G1535&lt;60,'General Basis'!$B$48,IF(G1535&lt;65,'General Basis'!$B$49,'General Basis'!$B$50)))))))))))))</f>
        <v/>
      </c>
      <c r="BI1535" s="744" t="str">
        <f t="shared" si="533"/>
        <v/>
      </c>
      <c r="BJ1535" s="747" t="str">
        <f t="shared" si="540"/>
        <v/>
      </c>
      <c r="BK1535" s="498" t="str">
        <f t="shared" si="534"/>
        <v/>
      </c>
      <c r="BL1535" s="498" t="str">
        <f t="shared" si="535"/>
        <v/>
      </c>
    </row>
    <row r="1536" spans="1:64" x14ac:dyDescent="0.25">
      <c r="A1536" s="762">
        <f t="shared" si="536"/>
        <v>1531</v>
      </c>
      <c r="B1536" s="229"/>
      <c r="C1536" s="223"/>
      <c r="D1536" s="224"/>
      <c r="E1536" s="225"/>
      <c r="F1536" s="1036" t="str">
        <f t="shared" si="542"/>
        <v/>
      </c>
      <c r="G1536" s="1037" t="str">
        <f t="shared" si="537"/>
        <v/>
      </c>
      <c r="H1536" s="225"/>
      <c r="I1536" s="1013"/>
      <c r="J1536" s="1013"/>
      <c r="K1536" s="1028"/>
      <c r="L1536" s="1035" t="str">
        <f t="shared" si="541"/>
        <v/>
      </c>
      <c r="S1536" s="498"/>
      <c r="AJ1536" s="498"/>
      <c r="AM1536" s="498">
        <f t="shared" si="522"/>
        <v>0</v>
      </c>
      <c r="AN1536" s="498">
        <f t="shared" si="523"/>
        <v>0</v>
      </c>
      <c r="AO1536" s="498">
        <f t="shared" si="524"/>
        <v>0</v>
      </c>
      <c r="AP1536" s="498">
        <f t="shared" si="543"/>
        <v>0</v>
      </c>
      <c r="AQ1536" s="498">
        <f t="shared" si="538"/>
        <v>0</v>
      </c>
      <c r="AU1536" s="498">
        <f t="shared" si="525"/>
        <v>0</v>
      </c>
      <c r="AV1536" s="498">
        <f t="shared" si="526"/>
        <v>0</v>
      </c>
      <c r="AW1536" s="498">
        <f t="shared" si="527"/>
        <v>0</v>
      </c>
      <c r="AX1536" s="498">
        <f t="shared" si="528"/>
        <v>0</v>
      </c>
      <c r="AY1536" s="498">
        <f t="shared" si="529"/>
        <v>0</v>
      </c>
      <c r="BB1536" s="498" t="str">
        <f t="shared" si="530"/>
        <v/>
      </c>
      <c r="BC1536" s="743" t="str">
        <f t="shared" si="531"/>
        <v/>
      </c>
      <c r="BD1536" s="743" t="str">
        <f t="shared" si="532"/>
        <v/>
      </c>
      <c r="BE1536" s="743" t="str">
        <f>IF(D1536="","",VLOOKUP(D1536,'General Basis'!$J$39:$K$46,2,0))</f>
        <v/>
      </c>
      <c r="BF1536" s="744" t="str">
        <f>IF(D1536="","",VLOOKUP(D1536,'General Basis'!$J$39:$L$46,3,0))</f>
        <v/>
      </c>
      <c r="BG1536" s="744" t="str">
        <f t="shared" si="539"/>
        <v/>
      </c>
      <c r="BH1536" s="744" t="str">
        <f>IF(G1536="","",IF(BF1536="Abu Dhabi",IF(G1536&lt;18,'General Basis'!$C$39,IF(G1536&lt;41,'General Basis'!$C$40,IF(G1536&lt;60,'General Basis'!$C$41,IF(G1536&lt;65,'General Basis'!$C$42,'General Basis'!$C$43)))),IF(G1536&lt;11,'General Basis'!$B$39,IF(G1536&lt;18,'General Basis'!$B$40,IF(G1536&lt;26,'General Basis'!$B$41,IF(G1536&lt;31,'General Basis'!$B$42,IF(G1536&lt;36,'General Basis'!$B$43,IF(G1536&lt;41,'General Basis'!$B$44,IF(G1536&lt;46,'General Basis'!$B$45,IF(G1536&lt;51,'General Basis'!$B$46,IF(G1536&lt;56,'General Basis'!$B$47,IF(G1536&lt;60,'General Basis'!$B$48,IF(G1536&lt;65,'General Basis'!$B$49,'General Basis'!$B$50)))))))))))))</f>
        <v/>
      </c>
      <c r="BI1536" s="744" t="str">
        <f t="shared" si="533"/>
        <v/>
      </c>
      <c r="BJ1536" s="747" t="str">
        <f t="shared" si="540"/>
        <v/>
      </c>
      <c r="BK1536" s="498" t="str">
        <f t="shared" si="534"/>
        <v/>
      </c>
      <c r="BL1536" s="498" t="str">
        <f t="shared" si="535"/>
        <v/>
      </c>
    </row>
    <row r="1537" spans="1:64" x14ac:dyDescent="0.25">
      <c r="A1537" s="762">
        <f t="shared" si="536"/>
        <v>1532</v>
      </c>
      <c r="B1537" s="229"/>
      <c r="C1537" s="223"/>
      <c r="D1537" s="224"/>
      <c r="E1537" s="225"/>
      <c r="F1537" s="1036" t="str">
        <f t="shared" si="542"/>
        <v/>
      </c>
      <c r="G1537" s="1037" t="str">
        <f t="shared" si="537"/>
        <v/>
      </c>
      <c r="H1537" s="225"/>
      <c r="I1537" s="1013"/>
      <c r="J1537" s="1013"/>
      <c r="K1537" s="1028"/>
      <c r="L1537" s="1035" t="str">
        <f t="shared" si="541"/>
        <v/>
      </c>
      <c r="S1537" s="498"/>
      <c r="AJ1537" s="498"/>
      <c r="AM1537" s="498">
        <f t="shared" si="522"/>
        <v>0</v>
      </c>
      <c r="AN1537" s="498">
        <f t="shared" si="523"/>
        <v>0</v>
      </c>
      <c r="AO1537" s="498">
        <f t="shared" si="524"/>
        <v>0</v>
      </c>
      <c r="AP1537" s="498">
        <f t="shared" si="543"/>
        <v>0</v>
      </c>
      <c r="AQ1537" s="498">
        <f t="shared" si="538"/>
        <v>0</v>
      </c>
      <c r="AU1537" s="498">
        <f t="shared" si="525"/>
        <v>0</v>
      </c>
      <c r="AV1537" s="498">
        <f t="shared" si="526"/>
        <v>0</v>
      </c>
      <c r="AW1537" s="498">
        <f t="shared" si="527"/>
        <v>0</v>
      </c>
      <c r="AX1537" s="498">
        <f t="shared" si="528"/>
        <v>0</v>
      </c>
      <c r="AY1537" s="498">
        <f t="shared" si="529"/>
        <v>0</v>
      </c>
      <c r="BB1537" s="498" t="str">
        <f t="shared" si="530"/>
        <v/>
      </c>
      <c r="BC1537" s="743" t="str">
        <f t="shared" si="531"/>
        <v/>
      </c>
      <c r="BD1537" s="743" t="str">
        <f t="shared" si="532"/>
        <v/>
      </c>
      <c r="BE1537" s="743" t="str">
        <f>IF(D1537="","",VLOOKUP(D1537,'General Basis'!$J$39:$K$46,2,0))</f>
        <v/>
      </c>
      <c r="BF1537" s="744" t="str">
        <f>IF(D1537="","",VLOOKUP(D1537,'General Basis'!$J$39:$L$46,3,0))</f>
        <v/>
      </c>
      <c r="BG1537" s="744" t="str">
        <f t="shared" si="539"/>
        <v/>
      </c>
      <c r="BH1537" s="744" t="str">
        <f>IF(G1537="","",IF(BF1537="Abu Dhabi",IF(G1537&lt;18,'General Basis'!$C$39,IF(G1537&lt;41,'General Basis'!$C$40,IF(G1537&lt;60,'General Basis'!$C$41,IF(G1537&lt;65,'General Basis'!$C$42,'General Basis'!$C$43)))),IF(G1537&lt;11,'General Basis'!$B$39,IF(G1537&lt;18,'General Basis'!$B$40,IF(G1537&lt;26,'General Basis'!$B$41,IF(G1537&lt;31,'General Basis'!$B$42,IF(G1537&lt;36,'General Basis'!$B$43,IF(G1537&lt;41,'General Basis'!$B$44,IF(G1537&lt;46,'General Basis'!$B$45,IF(G1537&lt;51,'General Basis'!$B$46,IF(G1537&lt;56,'General Basis'!$B$47,IF(G1537&lt;60,'General Basis'!$B$48,IF(G1537&lt;65,'General Basis'!$B$49,'General Basis'!$B$50)))))))))))))</f>
        <v/>
      </c>
      <c r="BI1537" s="744" t="str">
        <f t="shared" si="533"/>
        <v/>
      </c>
      <c r="BJ1537" s="747" t="str">
        <f t="shared" si="540"/>
        <v/>
      </c>
      <c r="BK1537" s="498" t="str">
        <f t="shared" si="534"/>
        <v/>
      </c>
      <c r="BL1537" s="498" t="str">
        <f t="shared" si="535"/>
        <v/>
      </c>
    </row>
    <row r="1538" spans="1:64" x14ac:dyDescent="0.25">
      <c r="A1538" s="762">
        <f t="shared" si="536"/>
        <v>1533</v>
      </c>
      <c r="B1538" s="229"/>
      <c r="C1538" s="223"/>
      <c r="D1538" s="224"/>
      <c r="E1538" s="225"/>
      <c r="F1538" s="1036" t="str">
        <f t="shared" si="542"/>
        <v/>
      </c>
      <c r="G1538" s="1037" t="str">
        <f t="shared" si="537"/>
        <v/>
      </c>
      <c r="H1538" s="225"/>
      <c r="I1538" s="1013"/>
      <c r="J1538" s="1013"/>
      <c r="K1538" s="1028"/>
      <c r="L1538" s="1035" t="str">
        <f t="shared" si="541"/>
        <v/>
      </c>
      <c r="S1538" s="498"/>
      <c r="AJ1538" s="498"/>
      <c r="AM1538" s="498">
        <f t="shared" si="522"/>
        <v>0</v>
      </c>
      <c r="AN1538" s="498">
        <f t="shared" si="523"/>
        <v>0</v>
      </c>
      <c r="AO1538" s="498">
        <f t="shared" si="524"/>
        <v>0</v>
      </c>
      <c r="AP1538" s="498">
        <f t="shared" si="543"/>
        <v>0</v>
      </c>
      <c r="AQ1538" s="498">
        <f t="shared" si="538"/>
        <v>0</v>
      </c>
      <c r="AU1538" s="498">
        <f t="shared" si="525"/>
        <v>0</v>
      </c>
      <c r="AV1538" s="498">
        <f t="shared" si="526"/>
        <v>0</v>
      </c>
      <c r="AW1538" s="498">
        <f t="shared" si="527"/>
        <v>0</v>
      </c>
      <c r="AX1538" s="498">
        <f t="shared" si="528"/>
        <v>0</v>
      </c>
      <c r="AY1538" s="498">
        <f t="shared" si="529"/>
        <v>0</v>
      </c>
      <c r="BB1538" s="498" t="str">
        <f t="shared" si="530"/>
        <v/>
      </c>
      <c r="BC1538" s="743" t="str">
        <f t="shared" si="531"/>
        <v/>
      </c>
      <c r="BD1538" s="743" t="str">
        <f t="shared" si="532"/>
        <v/>
      </c>
      <c r="BE1538" s="743" t="str">
        <f>IF(D1538="","",VLOOKUP(D1538,'General Basis'!$J$39:$K$46,2,0))</f>
        <v/>
      </c>
      <c r="BF1538" s="744" t="str">
        <f>IF(D1538="","",VLOOKUP(D1538,'General Basis'!$J$39:$L$46,3,0))</f>
        <v/>
      </c>
      <c r="BG1538" s="744" t="str">
        <f t="shared" si="539"/>
        <v/>
      </c>
      <c r="BH1538" s="744" t="str">
        <f>IF(G1538="","",IF(BF1538="Abu Dhabi",IF(G1538&lt;18,'General Basis'!$C$39,IF(G1538&lt;41,'General Basis'!$C$40,IF(G1538&lt;60,'General Basis'!$C$41,IF(G1538&lt;65,'General Basis'!$C$42,'General Basis'!$C$43)))),IF(G1538&lt;11,'General Basis'!$B$39,IF(G1538&lt;18,'General Basis'!$B$40,IF(G1538&lt;26,'General Basis'!$B$41,IF(G1538&lt;31,'General Basis'!$B$42,IF(G1538&lt;36,'General Basis'!$B$43,IF(G1538&lt;41,'General Basis'!$B$44,IF(G1538&lt;46,'General Basis'!$B$45,IF(G1538&lt;51,'General Basis'!$B$46,IF(G1538&lt;56,'General Basis'!$B$47,IF(G1538&lt;60,'General Basis'!$B$48,IF(G1538&lt;65,'General Basis'!$B$49,'General Basis'!$B$50)))))))))))))</f>
        <v/>
      </c>
      <c r="BI1538" s="744" t="str">
        <f t="shared" si="533"/>
        <v/>
      </c>
      <c r="BJ1538" s="747" t="str">
        <f t="shared" si="540"/>
        <v/>
      </c>
      <c r="BK1538" s="498" t="str">
        <f t="shared" si="534"/>
        <v/>
      </c>
      <c r="BL1538" s="498" t="str">
        <f t="shared" si="535"/>
        <v/>
      </c>
    </row>
    <row r="1539" spans="1:64" x14ac:dyDescent="0.25">
      <c r="A1539" s="762">
        <f t="shared" si="536"/>
        <v>1534</v>
      </c>
      <c r="B1539" s="229"/>
      <c r="C1539" s="223"/>
      <c r="D1539" s="224"/>
      <c r="E1539" s="225"/>
      <c r="F1539" s="1036" t="str">
        <f t="shared" si="542"/>
        <v/>
      </c>
      <c r="G1539" s="1037" t="str">
        <f t="shared" si="537"/>
        <v/>
      </c>
      <c r="H1539" s="225"/>
      <c r="I1539" s="1013"/>
      <c r="J1539" s="1013"/>
      <c r="K1539" s="1028"/>
      <c r="L1539" s="1035" t="str">
        <f t="shared" si="541"/>
        <v/>
      </c>
      <c r="S1539" s="498"/>
      <c r="AJ1539" s="498"/>
      <c r="AM1539" s="498">
        <f t="shared" si="522"/>
        <v>0</v>
      </c>
      <c r="AN1539" s="498">
        <f t="shared" si="523"/>
        <v>0</v>
      </c>
      <c r="AO1539" s="498">
        <f t="shared" si="524"/>
        <v>0</v>
      </c>
      <c r="AP1539" s="498">
        <f t="shared" si="543"/>
        <v>0</v>
      </c>
      <c r="AQ1539" s="498">
        <f t="shared" si="538"/>
        <v>0</v>
      </c>
      <c r="AU1539" s="498">
        <f t="shared" si="525"/>
        <v>0</v>
      </c>
      <c r="AV1539" s="498">
        <f t="shared" si="526"/>
        <v>0</v>
      </c>
      <c r="AW1539" s="498">
        <f t="shared" si="527"/>
        <v>0</v>
      </c>
      <c r="AX1539" s="498">
        <f t="shared" si="528"/>
        <v>0</v>
      </c>
      <c r="AY1539" s="498">
        <f t="shared" si="529"/>
        <v>0</v>
      </c>
      <c r="BB1539" s="498" t="str">
        <f t="shared" si="530"/>
        <v/>
      </c>
      <c r="BC1539" s="743" t="str">
        <f t="shared" si="531"/>
        <v/>
      </c>
      <c r="BD1539" s="743" t="str">
        <f t="shared" si="532"/>
        <v/>
      </c>
      <c r="BE1539" s="743" t="str">
        <f>IF(D1539="","",VLOOKUP(D1539,'General Basis'!$J$39:$K$46,2,0))</f>
        <v/>
      </c>
      <c r="BF1539" s="744" t="str">
        <f>IF(D1539="","",VLOOKUP(D1539,'General Basis'!$J$39:$L$46,3,0))</f>
        <v/>
      </c>
      <c r="BG1539" s="744" t="str">
        <f t="shared" si="539"/>
        <v/>
      </c>
      <c r="BH1539" s="744" t="str">
        <f>IF(G1539="","",IF(BF1539="Abu Dhabi",IF(G1539&lt;18,'General Basis'!$C$39,IF(G1539&lt;41,'General Basis'!$C$40,IF(G1539&lt;60,'General Basis'!$C$41,IF(G1539&lt;65,'General Basis'!$C$42,'General Basis'!$C$43)))),IF(G1539&lt;11,'General Basis'!$B$39,IF(G1539&lt;18,'General Basis'!$B$40,IF(G1539&lt;26,'General Basis'!$B$41,IF(G1539&lt;31,'General Basis'!$B$42,IF(G1539&lt;36,'General Basis'!$B$43,IF(G1539&lt;41,'General Basis'!$B$44,IF(G1539&lt;46,'General Basis'!$B$45,IF(G1539&lt;51,'General Basis'!$B$46,IF(G1539&lt;56,'General Basis'!$B$47,IF(G1539&lt;60,'General Basis'!$B$48,IF(G1539&lt;65,'General Basis'!$B$49,'General Basis'!$B$50)))))))))))))</f>
        <v/>
      </c>
      <c r="BI1539" s="744" t="str">
        <f t="shared" si="533"/>
        <v/>
      </c>
      <c r="BJ1539" s="747" t="str">
        <f t="shared" si="540"/>
        <v/>
      </c>
      <c r="BK1539" s="498" t="str">
        <f t="shared" si="534"/>
        <v/>
      </c>
      <c r="BL1539" s="498" t="str">
        <f t="shared" si="535"/>
        <v/>
      </c>
    </row>
    <row r="1540" spans="1:64" x14ac:dyDescent="0.25">
      <c r="A1540" s="762">
        <f t="shared" si="536"/>
        <v>1535</v>
      </c>
      <c r="B1540" s="229"/>
      <c r="C1540" s="223"/>
      <c r="D1540" s="224"/>
      <c r="E1540" s="225"/>
      <c r="F1540" s="1036" t="str">
        <f t="shared" si="542"/>
        <v/>
      </c>
      <c r="G1540" s="1037" t="str">
        <f t="shared" si="537"/>
        <v/>
      </c>
      <c r="H1540" s="225"/>
      <c r="I1540" s="1013"/>
      <c r="J1540" s="1013"/>
      <c r="K1540" s="1028"/>
      <c r="L1540" s="1035" t="str">
        <f t="shared" si="541"/>
        <v/>
      </c>
      <c r="S1540" s="498"/>
      <c r="AJ1540" s="498"/>
      <c r="AM1540" s="498">
        <f t="shared" si="522"/>
        <v>0</v>
      </c>
      <c r="AN1540" s="498">
        <f t="shared" si="523"/>
        <v>0</v>
      </c>
      <c r="AO1540" s="498">
        <f t="shared" si="524"/>
        <v>0</v>
      </c>
      <c r="AP1540" s="498">
        <f t="shared" si="543"/>
        <v>0</v>
      </c>
      <c r="AQ1540" s="498">
        <f t="shared" si="538"/>
        <v>0</v>
      </c>
      <c r="AU1540" s="498">
        <f t="shared" si="525"/>
        <v>0</v>
      </c>
      <c r="AV1540" s="498">
        <f t="shared" si="526"/>
        <v>0</v>
      </c>
      <c r="AW1540" s="498">
        <f t="shared" si="527"/>
        <v>0</v>
      </c>
      <c r="AX1540" s="498">
        <f t="shared" si="528"/>
        <v>0</v>
      </c>
      <c r="AY1540" s="498">
        <f t="shared" si="529"/>
        <v>0</v>
      </c>
      <c r="BB1540" s="498" t="str">
        <f t="shared" si="530"/>
        <v/>
      </c>
      <c r="BC1540" s="743" t="str">
        <f t="shared" si="531"/>
        <v/>
      </c>
      <c r="BD1540" s="743" t="str">
        <f t="shared" si="532"/>
        <v/>
      </c>
      <c r="BE1540" s="743" t="str">
        <f>IF(D1540="","",VLOOKUP(D1540,'General Basis'!$J$39:$K$46,2,0))</f>
        <v/>
      </c>
      <c r="BF1540" s="744" t="str">
        <f>IF(D1540="","",VLOOKUP(D1540,'General Basis'!$J$39:$L$46,3,0))</f>
        <v/>
      </c>
      <c r="BG1540" s="744" t="str">
        <f t="shared" si="539"/>
        <v/>
      </c>
      <c r="BH1540" s="744" t="str">
        <f>IF(G1540="","",IF(BF1540="Abu Dhabi",IF(G1540&lt;18,'General Basis'!$C$39,IF(G1540&lt;41,'General Basis'!$C$40,IF(G1540&lt;60,'General Basis'!$C$41,IF(G1540&lt;65,'General Basis'!$C$42,'General Basis'!$C$43)))),IF(G1540&lt;11,'General Basis'!$B$39,IF(G1540&lt;18,'General Basis'!$B$40,IF(G1540&lt;26,'General Basis'!$B$41,IF(G1540&lt;31,'General Basis'!$B$42,IF(G1540&lt;36,'General Basis'!$B$43,IF(G1540&lt;41,'General Basis'!$B$44,IF(G1540&lt;46,'General Basis'!$B$45,IF(G1540&lt;51,'General Basis'!$B$46,IF(G1540&lt;56,'General Basis'!$B$47,IF(G1540&lt;60,'General Basis'!$B$48,IF(G1540&lt;65,'General Basis'!$B$49,'General Basis'!$B$50)))))))))))))</f>
        <v/>
      </c>
      <c r="BI1540" s="744" t="str">
        <f t="shared" si="533"/>
        <v/>
      </c>
      <c r="BJ1540" s="747" t="str">
        <f t="shared" si="540"/>
        <v/>
      </c>
      <c r="BK1540" s="498" t="str">
        <f t="shared" si="534"/>
        <v/>
      </c>
      <c r="BL1540" s="498" t="str">
        <f t="shared" si="535"/>
        <v/>
      </c>
    </row>
    <row r="1541" spans="1:64" x14ac:dyDescent="0.25">
      <c r="A1541" s="762">
        <f t="shared" si="536"/>
        <v>1536</v>
      </c>
      <c r="B1541" s="229"/>
      <c r="C1541" s="223"/>
      <c r="D1541" s="224"/>
      <c r="E1541" s="225"/>
      <c r="F1541" s="1036" t="str">
        <f t="shared" si="542"/>
        <v/>
      </c>
      <c r="G1541" s="1037" t="str">
        <f t="shared" si="537"/>
        <v/>
      </c>
      <c r="H1541" s="225"/>
      <c r="I1541" s="1013"/>
      <c r="J1541" s="1013"/>
      <c r="K1541" s="1028"/>
      <c r="L1541" s="1035" t="str">
        <f t="shared" si="541"/>
        <v/>
      </c>
      <c r="S1541" s="498"/>
      <c r="AJ1541" s="498"/>
      <c r="AM1541" s="498">
        <f t="shared" si="522"/>
        <v>0</v>
      </c>
      <c r="AN1541" s="498">
        <f t="shared" si="523"/>
        <v>0</v>
      </c>
      <c r="AO1541" s="498">
        <f t="shared" si="524"/>
        <v>0</v>
      </c>
      <c r="AP1541" s="498">
        <f t="shared" si="543"/>
        <v>0</v>
      </c>
      <c r="AQ1541" s="498">
        <f t="shared" si="538"/>
        <v>0</v>
      </c>
      <c r="AU1541" s="498">
        <f t="shared" si="525"/>
        <v>0</v>
      </c>
      <c r="AV1541" s="498">
        <f t="shared" si="526"/>
        <v>0</v>
      </c>
      <c r="AW1541" s="498">
        <f t="shared" si="527"/>
        <v>0</v>
      </c>
      <c r="AX1541" s="498">
        <f t="shared" si="528"/>
        <v>0</v>
      </c>
      <c r="AY1541" s="498">
        <f t="shared" si="529"/>
        <v>0</v>
      </c>
      <c r="BB1541" s="498" t="str">
        <f t="shared" si="530"/>
        <v/>
      </c>
      <c r="BC1541" s="743" t="str">
        <f t="shared" si="531"/>
        <v/>
      </c>
      <c r="BD1541" s="743" t="str">
        <f t="shared" si="532"/>
        <v/>
      </c>
      <c r="BE1541" s="743" t="str">
        <f>IF(D1541="","",VLOOKUP(D1541,'General Basis'!$J$39:$K$46,2,0))</f>
        <v/>
      </c>
      <c r="BF1541" s="744" t="str">
        <f>IF(D1541="","",VLOOKUP(D1541,'General Basis'!$J$39:$L$46,3,0))</f>
        <v/>
      </c>
      <c r="BG1541" s="744" t="str">
        <f t="shared" si="539"/>
        <v/>
      </c>
      <c r="BH1541" s="744" t="str">
        <f>IF(G1541="","",IF(BF1541="Abu Dhabi",IF(G1541&lt;18,'General Basis'!$C$39,IF(G1541&lt;41,'General Basis'!$C$40,IF(G1541&lt;60,'General Basis'!$C$41,IF(G1541&lt;65,'General Basis'!$C$42,'General Basis'!$C$43)))),IF(G1541&lt;11,'General Basis'!$B$39,IF(G1541&lt;18,'General Basis'!$B$40,IF(G1541&lt;26,'General Basis'!$B$41,IF(G1541&lt;31,'General Basis'!$B$42,IF(G1541&lt;36,'General Basis'!$B$43,IF(G1541&lt;41,'General Basis'!$B$44,IF(G1541&lt;46,'General Basis'!$B$45,IF(G1541&lt;51,'General Basis'!$B$46,IF(G1541&lt;56,'General Basis'!$B$47,IF(G1541&lt;60,'General Basis'!$B$48,IF(G1541&lt;65,'General Basis'!$B$49,'General Basis'!$B$50)))))))))))))</f>
        <v/>
      </c>
      <c r="BI1541" s="744" t="str">
        <f t="shared" si="533"/>
        <v/>
      </c>
      <c r="BJ1541" s="747" t="str">
        <f t="shared" si="540"/>
        <v/>
      </c>
      <c r="BK1541" s="498" t="str">
        <f t="shared" si="534"/>
        <v/>
      </c>
      <c r="BL1541" s="498" t="str">
        <f t="shared" si="535"/>
        <v/>
      </c>
    </row>
    <row r="1542" spans="1:64" x14ac:dyDescent="0.25">
      <c r="A1542" s="762">
        <f t="shared" si="536"/>
        <v>1537</v>
      </c>
      <c r="B1542" s="229"/>
      <c r="C1542" s="223"/>
      <c r="D1542" s="224"/>
      <c r="E1542" s="225"/>
      <c r="F1542" s="1036" t="str">
        <f t="shared" si="542"/>
        <v/>
      </c>
      <c r="G1542" s="1037" t="str">
        <f t="shared" si="537"/>
        <v/>
      </c>
      <c r="H1542" s="225"/>
      <c r="I1542" s="1013"/>
      <c r="J1542" s="1013"/>
      <c r="K1542" s="1028"/>
      <c r="L1542" s="1035" t="str">
        <f t="shared" si="541"/>
        <v/>
      </c>
      <c r="S1542" s="498"/>
      <c r="AJ1542" s="498"/>
      <c r="AM1542" s="498">
        <f t="shared" ref="AM1542:AM1605" si="544">IF(ISTEXT(B1542),1,0)</f>
        <v>0</v>
      </c>
      <c r="AN1542" s="498">
        <f t="shared" ref="AN1542:AN1605" si="545">IF(ISBLANK(B1542),0,IF(B1542&lt;$AK$6,1,0))</f>
        <v>0</v>
      </c>
      <c r="AO1542" s="498">
        <f t="shared" ref="AO1542:AO1605" si="546">IF(ISBLANK(B1542),0,IF(B1542&gt;$AK$7,1,0))</f>
        <v>0</v>
      </c>
      <c r="AP1542" s="498">
        <f t="shared" si="543"/>
        <v>0</v>
      </c>
      <c r="AQ1542" s="498">
        <f t="shared" si="538"/>
        <v>0</v>
      </c>
      <c r="AU1542" s="498">
        <f t="shared" ref="AU1542:AU1605" si="547">IF(ISBLANK(B1542),0,1)</f>
        <v>0</v>
      </c>
      <c r="AV1542" s="498">
        <f t="shared" ref="AV1542:AV1605" si="548">IF(ISBLANK(C1542),0,1)</f>
        <v>0</v>
      </c>
      <c r="AW1542" s="498">
        <f t="shared" ref="AW1542:AW1605" si="549">IF(ISBLANK(D1542),0,1)</f>
        <v>0</v>
      </c>
      <c r="AX1542" s="498">
        <f t="shared" ref="AX1542:AX1605" si="550">IF(ISBLANK(E1542),0,1)</f>
        <v>0</v>
      </c>
      <c r="AY1542" s="498">
        <f t="shared" ref="AY1542:AY1605" si="551">IF(ISBLANK(H1542),0,1)</f>
        <v>0</v>
      </c>
      <c r="BB1542" s="498" t="str">
        <f t="shared" ref="BB1542:BB1605" si="552">IF(E1542="Principal","Principal",IF(E1542="","","Other"))</f>
        <v/>
      </c>
      <c r="BC1542" s="743" t="str">
        <f t="shared" ref="BC1542:BC1605" si="553">IF(D1542="","",D1542)</f>
        <v/>
      </c>
      <c r="BD1542" s="743" t="str">
        <f t="shared" ref="BD1542:BD1605" si="554">IF(E1542="Principal","Employee",IF(E1542="","","Dependent"))</f>
        <v/>
      </c>
      <c r="BE1542" s="743" t="str">
        <f>IF(D1542="","",VLOOKUP(D1542,'General Basis'!$J$39:$K$46,2,0))</f>
        <v/>
      </c>
      <c r="BF1542" s="744" t="str">
        <f>IF(D1542="","",VLOOKUP(D1542,'General Basis'!$J$39:$L$46,3,0))</f>
        <v/>
      </c>
      <c r="BG1542" s="744" t="str">
        <f t="shared" si="539"/>
        <v/>
      </c>
      <c r="BH1542" s="744" t="str">
        <f>IF(G1542="","",IF(BF1542="Abu Dhabi",IF(G1542&lt;18,'General Basis'!$C$39,IF(G1542&lt;41,'General Basis'!$C$40,IF(G1542&lt;60,'General Basis'!$C$41,IF(G1542&lt;65,'General Basis'!$C$42,'General Basis'!$C$43)))),IF(G1542&lt;11,'General Basis'!$B$39,IF(G1542&lt;18,'General Basis'!$B$40,IF(G1542&lt;26,'General Basis'!$B$41,IF(G1542&lt;31,'General Basis'!$B$42,IF(G1542&lt;36,'General Basis'!$B$43,IF(G1542&lt;41,'General Basis'!$B$44,IF(G1542&lt;46,'General Basis'!$B$45,IF(G1542&lt;51,'General Basis'!$B$46,IF(G1542&lt;56,'General Basis'!$B$47,IF(G1542&lt;60,'General Basis'!$B$48,IF(G1542&lt;65,'General Basis'!$B$49,'General Basis'!$B$50)))))))))))))</f>
        <v/>
      </c>
      <c r="BI1542" s="744" t="str">
        <f t="shared" ref="BI1542:BI1605" si="555">IF(C1542="","",IF(C1542="M","Male","Female"))</f>
        <v/>
      </c>
      <c r="BJ1542" s="747" t="str">
        <f t="shared" si="540"/>
        <v/>
      </c>
      <c r="BK1542" s="498" t="str">
        <f t="shared" ref="BK1542:BK1605" si="556">IF(BD1542="","",IF(AND(BD1542="Employee",BI1542="Male",BF1542="Abu Dhabi",BE1542=GN_Plus),VLOOKUP(BH1542,AUH_MALE_EMP,2,0),IF(AND(BD1542="Employee",BI1542="Male",BF1542="Abu Dhabi",BE1542=GN),VLOOKUP(BH1542,AUH_MALE_EMP,3,0),IF(AND(BD1542="Employee",BI1542="Male",BF1542="Abu Dhabi",BE1542=RN_Plus),VLOOKUP(BH1542,AUH_MALE_EMP,4,0),IF(AND(BD1542="Employee",BI1542="Male",BF1542="Abu Dhabi",BE1542=RN),VLOOKUP(BH1542,AUH_MALE_EMP,5,0),IF(AND(BD1542="Employee",BI1542="Male",BF1542="Abu Dhabi",BE1542=RN_2),VLOOKUP(BH1542,AUH_MALE_EMP,6,0),IF(AND(BD1542="Employee",BI1542="Male",BF1542="Abu Dhabi",BE1542=RN2_minus),VLOOKUP(BH1542,AUH_MALE_EMP,7,0),IF(AND(BD1542="Employee",BI1542="Male",BF1542="Abu Dhabi",BE1542=RN_3),VLOOKUP(BH1542,AUH_MALE_EMP,8,0),IF(AND(BD1542="Employee",BI1542="Male",BF1542="Abu Dhabi",BE1542=VN),VLOOKUP(BH1542,AUH_MALE_EMP,9,0),IF(BD1542="","",IF(AND(BD1542="Employee",BI1542="Female",BF1542="Abu Dhabi",BE1542=GN_Plus),VLOOKUP(BH1542,AUH_FEMALE_EMP,2,0),IF(AND(BD1542="Employee",BI1542="Female",BF1542="Abu Dhabi",BE1542=GN),VLOOKUP(BH1542,AUH_FEMALE_EMP,3,0),IF(AND(BD1542="Employee",BI1542="Female",BF1542="Abu Dhabi",BE1542=RN_Plus),VLOOKUP(BH1542,AUH_FEMALE_EMP,4,0),IF(AND(BD1542="Employee",BI1542="Female",BF1542="Abu Dhabi",BE1542=RN),VLOOKUP(BH1542,AUH_FEMALE_EMP,5,0),IF(AND(BD1542="Employee",BI1542="Female",BF1542="Abu Dhabi",BE1542=RN_2),VLOOKUP(BH1542,AUH_FEMALE_EMP,6,0),IF(AND(BD1542="Employee",BI1542="Female",BF1542="Abu Dhabi",BE1542=RN2_minus),VLOOKUP(BH1542,AUH_FEMALE_EMP,7,0),IF(AND(BD1542="Employee",BI1542="Female",BF1542="Abu Dhabi",BE1542=RN_3),VLOOKUP(BH1542,AUH_FEMALE_EMP,8,0),IF(AND(BD1542="Employee",BI1542="Female",BF1542="Abu Dhabi",BE1542=VN),VLOOKUP(BH1542,AUH_FEMALE_EMP,9,0),IF(BD1542="","",IF(AND(BD1542="Dependent",BI1542="Male",BF1542="Abu Dhabi",BE1542=GN_Plus),VLOOKUP(BH1542,AUH_MALE_DEP,2,0),IF(AND(BD1542="Dependent",BI1542="Male",BF1542="Abu Dhabi",BE1542=GN),VLOOKUP(BH1542,AUH_MALE_DEP,3,0),IF(AND(BD1542="Dependent",BI1542="Male",BF1542="Abu Dhabi",BE1542=RN_Plus),VLOOKUP(BH1542,AUH_MALE_DEP,4,0),IF(AND(BD1542="Dependent",BI1542="Male",BF1542="Abu Dhabi",BE1542=RN),VLOOKUP(BH1542,AUH_MALE_DEP,5,0),IF(AND(BD1542="Dependent",BI1542="Male",BF1542="Abu Dhabi",BE1542=RN_2),VLOOKUP(BH1542,AUH_MALE_DEP,6,0),IF(AND(BD1542="Dependent",BI1542="Male",BF1542="Abu Dhabi",BE1542=RN2_minus),VLOOKUP(BH1542,AUH_MALE_DEP,7,0),IF(AND(BD1542="Dependent",BI1542="Male",BF1542="Abu Dhabi",BE1542=RN_3),VLOOKUP(BH1542,AUH_MALE_DEP,8,0),IF(AND(BD1542="Dependent",BI1542="Male",BF1542="Abu Dhabi",BE1542=VN),VLOOKUP(BH1542,AUH_MALE_DEP,9,0),IF(BD1542="","",IF(AND(BD1542="Dependent",BI1542="Female",BF1542="Abu Dhabi",BE1542=GN_Plus),VLOOKUP(BH1542,AUH_FEMALE_DEP,2,0),IF(AND(BD1542="Dependent",BI1542="Female",BF1542="Abu Dhabi",BE1542=GN),VLOOKUP(BH1542,AUH_FEMALE_DEP,3,0),IF(AND(BD1542="Dependent",BI1542="Female",BF1542="Abu Dhabi",BE1542=RN_Plus),VLOOKUP(BH1542,AUH_FEMALE_DEP,4,0),IF(AND(BD1542="Dependent",BI1542="Female",BF1542="Abu Dhabi",BE1542=RN),VLOOKUP(BH1542,AUH_FEMALE_DEP,5,0),IF(AND(BD1542="Dependent",BI1542="Female",BF1542="Abu Dhabi",BE1542=RN_2),VLOOKUP(BH1542,AUH_FEMALE_DEP,6,0),IF(AND(BD1542="Dependent",BI1542="Female",BF1542="Abu Dhabi",BE1542=RN2_minus),VLOOKUP(BH1542,AUH_FEMALE_DEP,7,0),IF(AND(BD1542="Dependent",BI1542="Female",BF1542="Abu Dhabi",BE1542=RN_3),VLOOKUP(BH1542,AUH_FEMALE_DEP,8,0),IF(AND(BD1542="Dependent",BI1542="Female",BF1542="Abu Dhabi",BE1542=VN),VLOOKUP(BH1542,AUH_FEMALE_DEP,9,0),"ABC"))))))))))))))))))))))))))))))))))))</f>
        <v/>
      </c>
      <c r="BL1542" s="498" t="str">
        <f t="shared" ref="BL1542:BL1605" si="557">IF(BD1542="","",IF(AND(BD1542="Employee",BI1542="Male",BF1542="Dubai",BE1542=GN_Plus),VLOOKUP(BH1542,DXB_MALE_EMP,2,0),IF(AND(BD1542="Employee",BI1542="Male",BF1542="Dubai",BE1542=GN),VLOOKUP(BH1542,DXB_MALE_EMP,3,0),IF(AND(BD1542="Employee",BI1542="Male",BF1542="Dubai",BE1542=RN_Plus),VLOOKUP(BH1542,DXB_MALE_EMP,4,0),IF(AND(BD1542="Employee",BI1542="Male",BF1542="Dubai",BE1542=RN),VLOOKUP(BH1542,DXB_MALE_EMP,5,0),IF(AND(BD1542="Employee",BI1542="Male",BF1542="Dubai",BE1542=RN_2),VLOOKUP(BH1542,DXB_MALE_EMP,6,0),IF(AND(BD1542="Employee",BI1542="Male",BF1542="Dubai",BE1542=RN2_minus),VLOOKUP(BH1542,DXB_MALE_EMP,7,0),IF(AND(BD1542="Employee",BI1542="Male",BF1542="Dubai",BE1542=RN_3),VLOOKUP(BH1542,DXB_MALE_EMP,8,0),IF(AND(BD1542="Employee",BI1542="Male",BF1542="Dubai",BE1542=VN),VLOOKUP(BH1542,DXB_MALE_EMP,9,0),IF(BD1542="","",IF(AND(BD1542="Employee",BI1542="Female",BF1542="Dubai",BE1542=GN_Plus),VLOOKUP(BH1542,DXB_FEMALE_EMP,2,0),IF(AND(BD1542="Employee",BI1542="Female",BF1542="Dubai",BE1542=GN),VLOOKUP(BH1542,DXB_FEMALE_EMP,3,0),IF(AND(BD1542="Employee",BI1542="Female",BF1542="Dubai",BE1542=RN_Plus),VLOOKUP(BH1542,DXB_FEMALE_EMP,4,0),IF(AND(BD1542="Employee",BI1542="Female",BF1542="Dubai",BE1542=RN),VLOOKUP(BH1542,DXB_FEMALE_EMP,5,0),IF(AND(BD1542="Employee",BI1542="Female",BF1542="Dubai",BE1542=RN_2),VLOOKUP(BH1542,DXB_FEMALE_EMP,6,0),IF(AND(BD1542="Employee",BI1542="Female",BF1542="Dubai",BE1542=RN2_minus),VLOOKUP(BH1542,DXB_FEMALE_EMP,7,0),IF(AND(BD1542="Employee",BI1542="Female",BF1542="Dubai",BE1542=RN_3),VLOOKUP(BH1542,DXB_FEMALE_EMP,8,0),IF(AND(BD1542="Employee",BI1542="Female",BF1542="Dubai",BE1542=VN),VLOOKUP(BH1542,DXB_FEMALE_EMP,9,0),IF(BD1542="","",IF(AND(BD1542="Dependent",BI1542="Male",BF1542="Dubai",BE1542=GN_Plus),VLOOKUP(BH1542,DXB_MALE_DEP,2,0),IF(AND(BD1542="Dependent",BI1542="Male",BF1542="Dubai",BE1542=GN),VLOOKUP(BH1542,DXB_MALE_DEP,3,0),IF(AND(BD1542="Dependent",BI1542="Male",BF1542="Dubai",BE1542=RN_Plus),VLOOKUP(BH1542,DXB_MALE_DEP,4,0),IF(AND(BD1542="Dependent",BI1542="Male",BF1542="Dubai",BE1542=RN),VLOOKUP(BH1542,DXB_MALE_DEP,5,0),IF(AND(BD1542="Dependent",BI1542="Male",BF1542="Dubai",BE1542=RN_2),VLOOKUP(BH1542,DXB_MALE_DEP,6,0),IF(AND(BD1542="Dependent",BI1542="Male",BF1542="Dubai",BE1542=RN2_minus),VLOOKUP(BH1542,DXB_MALE_DEP,7,0),IF(AND(BD1542="Dependent",BI1542="Male",BF1542="Dubai",BE1542=RN_3),VLOOKUP(BH1542,DXB_MALE_DEP,8,0),IF(AND(BD1542="Dependent",BI1542="Male",BF1542="Dubai",BE1542=VN),VLOOKUP(BH1542,DXB_MALE_DEP,9,0),IF(BD1542="","",IF(AND(BD1542="Dependent",BI1542="Female",BF1542="Dubai",BE1542=GN_Plus),VLOOKUP(BH1542,DXB_FEMALE_DEP,2,0),IF(AND(BD1542="Dependent",BI1542="Female",BF1542="Dubai",BE1542=GN),VLOOKUP(BH1542,DXB_FEMALE_DEP,3,0),IF(AND(BD1542="Dependent",BI1542="Female",BF1542="Dubai",BE1542=RN_Plus),VLOOKUP(BH1542,DXB_FEMALE_DEP,4,0),IF(AND(BD1542="Dependent",BI1542="Female",BF1542="Dubai",BE1542=RN),VLOOKUP(BH1542,DXB_FEMALE_DEP,5,0),IF(AND(BD1542="Dependent",BI1542="Female",BF1542="Dubai",BE1542=RN_2),VLOOKUP(BH1542,DXB_FEMALE_DEP,6,0),IF(AND(BD1542="Dependent",BI1542="Female",BF1542="Dubai",BE1542=RN2_minus),VLOOKUP(BH1542,DXB_FEMALE_DEP,7,0),IF(AND(BD1542="Dependent",BI1542="Female",BF1542="Dubai",BE1542=RN_3),VLOOKUP(BH1542,DXB_FEMALE_DEP,8,0),IF(AND(BD1542="Dependent",BI1542="Female",BF1542="Dubai",BE1542=VN),VLOOKUP(BH1542,DXB_FEMALE_DEP,9,0),"ABC"))))))))))))))))))))))))))))))))))))</f>
        <v/>
      </c>
    </row>
    <row r="1543" spans="1:64" x14ac:dyDescent="0.25">
      <c r="A1543" s="762">
        <f t="shared" ref="A1543:A1606" si="558">+A1542+1</f>
        <v>1538</v>
      </c>
      <c r="B1543" s="229"/>
      <c r="C1543" s="223"/>
      <c r="D1543" s="224"/>
      <c r="E1543" s="225"/>
      <c r="F1543" s="1036" t="str">
        <f t="shared" si="542"/>
        <v/>
      </c>
      <c r="G1543" s="1037" t="str">
        <f t="shared" ref="G1543:G1606" si="559">IF(D1543="","",MAX(0,ROUNDUP(F1543,0)))</f>
        <v/>
      </c>
      <c r="H1543" s="225"/>
      <c r="I1543" s="1013"/>
      <c r="J1543" s="1013"/>
      <c r="K1543" s="1028"/>
      <c r="L1543" s="1035" t="str">
        <f t="shared" si="541"/>
        <v/>
      </c>
      <c r="S1543" s="498"/>
      <c r="AJ1543" s="498"/>
      <c r="AM1543" s="498">
        <f t="shared" si="544"/>
        <v>0</v>
      </c>
      <c r="AN1543" s="498">
        <f t="shared" si="545"/>
        <v>0</v>
      </c>
      <c r="AO1543" s="498">
        <f t="shared" si="546"/>
        <v>0</v>
      </c>
      <c r="AP1543" s="498">
        <f t="shared" si="543"/>
        <v>0</v>
      </c>
      <c r="AQ1543" s="498">
        <f t="shared" ref="AQ1543:AQ1606" si="560">IF(ISBLANK($B1543),0,IF(OR($H1543="Single",$H1543="Married"),0,1))</f>
        <v>0</v>
      </c>
      <c r="AU1543" s="498">
        <f t="shared" si="547"/>
        <v>0</v>
      </c>
      <c r="AV1543" s="498">
        <f t="shared" si="548"/>
        <v>0</v>
      </c>
      <c r="AW1543" s="498">
        <f t="shared" si="549"/>
        <v>0</v>
      </c>
      <c r="AX1543" s="498">
        <f t="shared" si="550"/>
        <v>0</v>
      </c>
      <c r="AY1543" s="498">
        <f t="shared" si="551"/>
        <v>0</v>
      </c>
      <c r="BB1543" s="498" t="str">
        <f t="shared" si="552"/>
        <v/>
      </c>
      <c r="BC1543" s="743" t="str">
        <f t="shared" si="553"/>
        <v/>
      </c>
      <c r="BD1543" s="743" t="str">
        <f t="shared" si="554"/>
        <v/>
      </c>
      <c r="BE1543" s="743" t="str">
        <f>IF(D1543="","",VLOOKUP(D1543,'General Basis'!$J$39:$K$46,2,0))</f>
        <v/>
      </c>
      <c r="BF1543" s="744" t="str">
        <f>IF(D1543="","",VLOOKUP(D1543,'General Basis'!$J$39:$L$46,3,0))</f>
        <v/>
      </c>
      <c r="BG1543" s="744" t="str">
        <f t="shared" ref="BG1543:BG1606" si="561">BC1543&amp;BI1543</f>
        <v/>
      </c>
      <c r="BH1543" s="744" t="str">
        <f>IF(G1543="","",IF(BF1543="Abu Dhabi",IF(G1543&lt;18,'General Basis'!$C$39,IF(G1543&lt;41,'General Basis'!$C$40,IF(G1543&lt;60,'General Basis'!$C$41,IF(G1543&lt;65,'General Basis'!$C$42,'General Basis'!$C$43)))),IF(G1543&lt;11,'General Basis'!$B$39,IF(G1543&lt;18,'General Basis'!$B$40,IF(G1543&lt;26,'General Basis'!$B$41,IF(G1543&lt;31,'General Basis'!$B$42,IF(G1543&lt;36,'General Basis'!$B$43,IF(G1543&lt;41,'General Basis'!$B$44,IF(G1543&lt;46,'General Basis'!$B$45,IF(G1543&lt;51,'General Basis'!$B$46,IF(G1543&lt;56,'General Basis'!$B$47,IF(G1543&lt;60,'General Basis'!$B$48,IF(G1543&lt;65,'General Basis'!$B$49,'General Basis'!$B$50)))))))))))))</f>
        <v/>
      </c>
      <c r="BI1543" s="744" t="str">
        <f t="shared" si="555"/>
        <v/>
      </c>
      <c r="BJ1543" s="747" t="str">
        <f t="shared" ref="BJ1543:BJ1606" si="562">IF(BD1543="","",IF(BF1543="Abu Dhabi",BK1543,BL1543))</f>
        <v/>
      </c>
      <c r="BK1543" s="498" t="str">
        <f t="shared" si="556"/>
        <v/>
      </c>
      <c r="BL1543" s="498" t="str">
        <f t="shared" si="557"/>
        <v/>
      </c>
    </row>
    <row r="1544" spans="1:64" x14ac:dyDescent="0.25">
      <c r="A1544" s="762">
        <f t="shared" si="558"/>
        <v>1539</v>
      </c>
      <c r="B1544" s="229"/>
      <c r="C1544" s="223"/>
      <c r="D1544" s="224"/>
      <c r="E1544" s="225"/>
      <c r="F1544" s="1036" t="str">
        <f t="shared" si="542"/>
        <v/>
      </c>
      <c r="G1544" s="1037" t="str">
        <f t="shared" si="559"/>
        <v/>
      </c>
      <c r="H1544" s="225"/>
      <c r="I1544" s="1013"/>
      <c r="J1544" s="1013"/>
      <c r="K1544" s="1028"/>
      <c r="L1544" s="1035" t="str">
        <f t="shared" ref="L1544:L1607" si="563">IF(AND(E1544="Child",H1544="Married"),"Check the Marital Status of the Child. ",IF(AND(E1544="Child",F1544&gt;18),"Child Age exceed 18 years. ",IF(AND(E1544="Spouse",H1544="Single"),"Spouse is selected as Single. ","")))&amp;IF(K1544&gt;0,"UW Loading has been Applied","")</f>
        <v/>
      </c>
      <c r="S1544" s="498"/>
      <c r="AJ1544" s="498"/>
      <c r="AM1544" s="498">
        <f t="shared" si="544"/>
        <v>0</v>
      </c>
      <c r="AN1544" s="498">
        <f t="shared" si="545"/>
        <v>0</v>
      </c>
      <c r="AO1544" s="498">
        <f t="shared" si="546"/>
        <v>0</v>
      </c>
      <c r="AP1544" s="498">
        <f t="shared" si="543"/>
        <v>0</v>
      </c>
      <c r="AQ1544" s="498">
        <f t="shared" si="560"/>
        <v>0</v>
      </c>
      <c r="AU1544" s="498">
        <f t="shared" si="547"/>
        <v>0</v>
      </c>
      <c r="AV1544" s="498">
        <f t="shared" si="548"/>
        <v>0</v>
      </c>
      <c r="AW1544" s="498">
        <f t="shared" si="549"/>
        <v>0</v>
      </c>
      <c r="AX1544" s="498">
        <f t="shared" si="550"/>
        <v>0</v>
      </c>
      <c r="AY1544" s="498">
        <f t="shared" si="551"/>
        <v>0</v>
      </c>
      <c r="BB1544" s="498" t="str">
        <f t="shared" si="552"/>
        <v/>
      </c>
      <c r="BC1544" s="743" t="str">
        <f t="shared" si="553"/>
        <v/>
      </c>
      <c r="BD1544" s="743" t="str">
        <f t="shared" si="554"/>
        <v/>
      </c>
      <c r="BE1544" s="743" t="str">
        <f>IF(D1544="","",VLOOKUP(D1544,'General Basis'!$J$39:$K$46,2,0))</f>
        <v/>
      </c>
      <c r="BF1544" s="744" t="str">
        <f>IF(D1544="","",VLOOKUP(D1544,'General Basis'!$J$39:$L$46,3,0))</f>
        <v/>
      </c>
      <c r="BG1544" s="744" t="str">
        <f t="shared" si="561"/>
        <v/>
      </c>
      <c r="BH1544" s="744" t="str">
        <f>IF(G1544="","",IF(BF1544="Abu Dhabi",IF(G1544&lt;18,'General Basis'!$C$39,IF(G1544&lt;41,'General Basis'!$C$40,IF(G1544&lt;60,'General Basis'!$C$41,IF(G1544&lt;65,'General Basis'!$C$42,'General Basis'!$C$43)))),IF(G1544&lt;11,'General Basis'!$B$39,IF(G1544&lt;18,'General Basis'!$B$40,IF(G1544&lt;26,'General Basis'!$B$41,IF(G1544&lt;31,'General Basis'!$B$42,IF(G1544&lt;36,'General Basis'!$B$43,IF(G1544&lt;41,'General Basis'!$B$44,IF(G1544&lt;46,'General Basis'!$B$45,IF(G1544&lt;51,'General Basis'!$B$46,IF(G1544&lt;56,'General Basis'!$B$47,IF(G1544&lt;60,'General Basis'!$B$48,IF(G1544&lt;65,'General Basis'!$B$49,'General Basis'!$B$50)))))))))))))</f>
        <v/>
      </c>
      <c r="BI1544" s="744" t="str">
        <f t="shared" si="555"/>
        <v/>
      </c>
      <c r="BJ1544" s="747" t="str">
        <f t="shared" si="562"/>
        <v/>
      </c>
      <c r="BK1544" s="498" t="str">
        <f t="shared" si="556"/>
        <v/>
      </c>
      <c r="BL1544" s="498" t="str">
        <f t="shared" si="557"/>
        <v/>
      </c>
    </row>
    <row r="1545" spans="1:64" x14ac:dyDescent="0.25">
      <c r="A1545" s="762">
        <f t="shared" si="558"/>
        <v>1540</v>
      </c>
      <c r="B1545" s="229"/>
      <c r="C1545" s="223"/>
      <c r="D1545" s="224"/>
      <c r="E1545" s="225"/>
      <c r="F1545" s="1036" t="str">
        <f t="shared" si="542"/>
        <v/>
      </c>
      <c r="G1545" s="1037" t="str">
        <f t="shared" si="559"/>
        <v/>
      </c>
      <c r="H1545" s="225"/>
      <c r="I1545" s="1013"/>
      <c r="J1545" s="1013"/>
      <c r="K1545" s="1028"/>
      <c r="L1545" s="1035" t="str">
        <f t="shared" si="563"/>
        <v/>
      </c>
      <c r="S1545" s="498"/>
      <c r="AJ1545" s="498"/>
      <c r="AM1545" s="498">
        <f t="shared" si="544"/>
        <v>0</v>
      </c>
      <c r="AN1545" s="498">
        <f t="shared" si="545"/>
        <v>0</v>
      </c>
      <c r="AO1545" s="498">
        <f t="shared" si="546"/>
        <v>0</v>
      </c>
      <c r="AP1545" s="498">
        <f t="shared" si="543"/>
        <v>0</v>
      </c>
      <c r="AQ1545" s="498">
        <f t="shared" si="560"/>
        <v>0</v>
      </c>
      <c r="AU1545" s="498">
        <f t="shared" si="547"/>
        <v>0</v>
      </c>
      <c r="AV1545" s="498">
        <f t="shared" si="548"/>
        <v>0</v>
      </c>
      <c r="AW1545" s="498">
        <f t="shared" si="549"/>
        <v>0</v>
      </c>
      <c r="AX1545" s="498">
        <f t="shared" si="550"/>
        <v>0</v>
      </c>
      <c r="AY1545" s="498">
        <f t="shared" si="551"/>
        <v>0</v>
      </c>
      <c r="BB1545" s="498" t="str">
        <f t="shared" si="552"/>
        <v/>
      </c>
      <c r="BC1545" s="743" t="str">
        <f t="shared" si="553"/>
        <v/>
      </c>
      <c r="BD1545" s="743" t="str">
        <f t="shared" si="554"/>
        <v/>
      </c>
      <c r="BE1545" s="743" t="str">
        <f>IF(D1545="","",VLOOKUP(D1545,'General Basis'!$J$39:$K$46,2,0))</f>
        <v/>
      </c>
      <c r="BF1545" s="744" t="str">
        <f>IF(D1545="","",VLOOKUP(D1545,'General Basis'!$J$39:$L$46,3,0))</f>
        <v/>
      </c>
      <c r="BG1545" s="744" t="str">
        <f t="shared" si="561"/>
        <v/>
      </c>
      <c r="BH1545" s="744" t="str">
        <f>IF(G1545="","",IF(BF1545="Abu Dhabi",IF(G1545&lt;18,'General Basis'!$C$39,IF(G1545&lt;41,'General Basis'!$C$40,IF(G1545&lt;60,'General Basis'!$C$41,IF(G1545&lt;65,'General Basis'!$C$42,'General Basis'!$C$43)))),IF(G1545&lt;11,'General Basis'!$B$39,IF(G1545&lt;18,'General Basis'!$B$40,IF(G1545&lt;26,'General Basis'!$B$41,IF(G1545&lt;31,'General Basis'!$B$42,IF(G1545&lt;36,'General Basis'!$B$43,IF(G1545&lt;41,'General Basis'!$B$44,IF(G1545&lt;46,'General Basis'!$B$45,IF(G1545&lt;51,'General Basis'!$B$46,IF(G1545&lt;56,'General Basis'!$B$47,IF(G1545&lt;60,'General Basis'!$B$48,IF(G1545&lt;65,'General Basis'!$B$49,'General Basis'!$B$50)))))))))))))</f>
        <v/>
      </c>
      <c r="BI1545" s="744" t="str">
        <f t="shared" si="555"/>
        <v/>
      </c>
      <c r="BJ1545" s="747" t="str">
        <f t="shared" si="562"/>
        <v/>
      </c>
      <c r="BK1545" s="498" t="str">
        <f t="shared" si="556"/>
        <v/>
      </c>
      <c r="BL1545" s="498" t="str">
        <f t="shared" si="557"/>
        <v/>
      </c>
    </row>
    <row r="1546" spans="1:64" x14ac:dyDescent="0.25">
      <c r="A1546" s="762">
        <f t="shared" si="558"/>
        <v>1541</v>
      </c>
      <c r="B1546" s="229"/>
      <c r="C1546" s="223"/>
      <c r="D1546" s="224"/>
      <c r="E1546" s="225"/>
      <c r="F1546" s="1036" t="str">
        <f t="shared" si="542"/>
        <v/>
      </c>
      <c r="G1546" s="1037" t="str">
        <f t="shared" si="559"/>
        <v/>
      </c>
      <c r="H1546" s="225"/>
      <c r="I1546" s="1013"/>
      <c r="J1546" s="1013"/>
      <c r="K1546" s="1028"/>
      <c r="L1546" s="1035" t="str">
        <f t="shared" si="563"/>
        <v/>
      </c>
      <c r="S1546" s="498"/>
      <c r="AJ1546" s="498"/>
      <c r="AM1546" s="498">
        <f t="shared" si="544"/>
        <v>0</v>
      </c>
      <c r="AN1546" s="498">
        <f t="shared" si="545"/>
        <v>0</v>
      </c>
      <c r="AO1546" s="498">
        <f t="shared" si="546"/>
        <v>0</v>
      </c>
      <c r="AP1546" s="498">
        <f t="shared" si="543"/>
        <v>0</v>
      </c>
      <c r="AQ1546" s="498">
        <f t="shared" si="560"/>
        <v>0</v>
      </c>
      <c r="AU1546" s="498">
        <f t="shared" si="547"/>
        <v>0</v>
      </c>
      <c r="AV1546" s="498">
        <f t="shared" si="548"/>
        <v>0</v>
      </c>
      <c r="AW1546" s="498">
        <f t="shared" si="549"/>
        <v>0</v>
      </c>
      <c r="AX1546" s="498">
        <f t="shared" si="550"/>
        <v>0</v>
      </c>
      <c r="AY1546" s="498">
        <f t="shared" si="551"/>
        <v>0</v>
      </c>
      <c r="BB1546" s="498" t="str">
        <f t="shared" si="552"/>
        <v/>
      </c>
      <c r="BC1546" s="743" t="str">
        <f t="shared" si="553"/>
        <v/>
      </c>
      <c r="BD1546" s="743" t="str">
        <f t="shared" si="554"/>
        <v/>
      </c>
      <c r="BE1546" s="743" t="str">
        <f>IF(D1546="","",VLOOKUP(D1546,'General Basis'!$J$39:$K$46,2,0))</f>
        <v/>
      </c>
      <c r="BF1546" s="744" t="str">
        <f>IF(D1546="","",VLOOKUP(D1546,'General Basis'!$J$39:$L$46,3,0))</f>
        <v/>
      </c>
      <c r="BG1546" s="744" t="str">
        <f t="shared" si="561"/>
        <v/>
      </c>
      <c r="BH1546" s="744" t="str">
        <f>IF(G1546="","",IF(BF1546="Abu Dhabi",IF(G1546&lt;18,'General Basis'!$C$39,IF(G1546&lt;41,'General Basis'!$C$40,IF(G1546&lt;60,'General Basis'!$C$41,IF(G1546&lt;65,'General Basis'!$C$42,'General Basis'!$C$43)))),IF(G1546&lt;11,'General Basis'!$B$39,IF(G1546&lt;18,'General Basis'!$B$40,IF(G1546&lt;26,'General Basis'!$B$41,IF(G1546&lt;31,'General Basis'!$B$42,IF(G1546&lt;36,'General Basis'!$B$43,IF(G1546&lt;41,'General Basis'!$B$44,IF(G1546&lt;46,'General Basis'!$B$45,IF(G1546&lt;51,'General Basis'!$B$46,IF(G1546&lt;56,'General Basis'!$B$47,IF(G1546&lt;60,'General Basis'!$B$48,IF(G1546&lt;65,'General Basis'!$B$49,'General Basis'!$B$50)))))))))))))</f>
        <v/>
      </c>
      <c r="BI1546" s="744" t="str">
        <f t="shared" si="555"/>
        <v/>
      </c>
      <c r="BJ1546" s="747" t="str">
        <f t="shared" si="562"/>
        <v/>
      </c>
      <c r="BK1546" s="498" t="str">
        <f t="shared" si="556"/>
        <v/>
      </c>
      <c r="BL1546" s="498" t="str">
        <f t="shared" si="557"/>
        <v/>
      </c>
    </row>
    <row r="1547" spans="1:64" x14ac:dyDescent="0.25">
      <c r="A1547" s="762">
        <f t="shared" si="558"/>
        <v>1542</v>
      </c>
      <c r="B1547" s="229"/>
      <c r="C1547" s="223"/>
      <c r="D1547" s="224"/>
      <c r="E1547" s="225"/>
      <c r="F1547" s="1036" t="str">
        <f t="shared" si="542"/>
        <v/>
      </c>
      <c r="G1547" s="1037" t="str">
        <f t="shared" si="559"/>
        <v/>
      </c>
      <c r="H1547" s="225"/>
      <c r="I1547" s="1013"/>
      <c r="J1547" s="1013"/>
      <c r="K1547" s="1028"/>
      <c r="L1547" s="1035" t="str">
        <f t="shared" si="563"/>
        <v/>
      </c>
      <c r="S1547" s="498"/>
      <c r="AJ1547" s="498"/>
      <c r="AM1547" s="498">
        <f t="shared" si="544"/>
        <v>0</v>
      </c>
      <c r="AN1547" s="498">
        <f t="shared" si="545"/>
        <v>0</v>
      </c>
      <c r="AO1547" s="498">
        <f t="shared" si="546"/>
        <v>0</v>
      </c>
      <c r="AP1547" s="498">
        <f t="shared" si="543"/>
        <v>0</v>
      </c>
      <c r="AQ1547" s="498">
        <f t="shared" si="560"/>
        <v>0</v>
      </c>
      <c r="AU1547" s="498">
        <f t="shared" si="547"/>
        <v>0</v>
      </c>
      <c r="AV1547" s="498">
        <f t="shared" si="548"/>
        <v>0</v>
      </c>
      <c r="AW1547" s="498">
        <f t="shared" si="549"/>
        <v>0</v>
      </c>
      <c r="AX1547" s="498">
        <f t="shared" si="550"/>
        <v>0</v>
      </c>
      <c r="AY1547" s="498">
        <f t="shared" si="551"/>
        <v>0</v>
      </c>
      <c r="BB1547" s="498" t="str">
        <f t="shared" si="552"/>
        <v/>
      </c>
      <c r="BC1547" s="743" t="str">
        <f t="shared" si="553"/>
        <v/>
      </c>
      <c r="BD1547" s="743" t="str">
        <f t="shared" si="554"/>
        <v/>
      </c>
      <c r="BE1547" s="743" t="str">
        <f>IF(D1547="","",VLOOKUP(D1547,'General Basis'!$J$39:$K$46,2,0))</f>
        <v/>
      </c>
      <c r="BF1547" s="744" t="str">
        <f>IF(D1547="","",VLOOKUP(D1547,'General Basis'!$J$39:$L$46,3,0))</f>
        <v/>
      </c>
      <c r="BG1547" s="744" t="str">
        <f t="shared" si="561"/>
        <v/>
      </c>
      <c r="BH1547" s="744" t="str">
        <f>IF(G1547="","",IF(BF1547="Abu Dhabi",IF(G1547&lt;18,'General Basis'!$C$39,IF(G1547&lt;41,'General Basis'!$C$40,IF(G1547&lt;60,'General Basis'!$C$41,IF(G1547&lt;65,'General Basis'!$C$42,'General Basis'!$C$43)))),IF(G1547&lt;11,'General Basis'!$B$39,IF(G1547&lt;18,'General Basis'!$B$40,IF(G1547&lt;26,'General Basis'!$B$41,IF(G1547&lt;31,'General Basis'!$B$42,IF(G1547&lt;36,'General Basis'!$B$43,IF(G1547&lt;41,'General Basis'!$B$44,IF(G1547&lt;46,'General Basis'!$B$45,IF(G1547&lt;51,'General Basis'!$B$46,IF(G1547&lt;56,'General Basis'!$B$47,IF(G1547&lt;60,'General Basis'!$B$48,IF(G1547&lt;65,'General Basis'!$B$49,'General Basis'!$B$50)))))))))))))</f>
        <v/>
      </c>
      <c r="BI1547" s="744" t="str">
        <f t="shared" si="555"/>
        <v/>
      </c>
      <c r="BJ1547" s="747" t="str">
        <f t="shared" si="562"/>
        <v/>
      </c>
      <c r="BK1547" s="498" t="str">
        <f t="shared" si="556"/>
        <v/>
      </c>
      <c r="BL1547" s="498" t="str">
        <f t="shared" si="557"/>
        <v/>
      </c>
    </row>
    <row r="1548" spans="1:64" x14ac:dyDescent="0.25">
      <c r="A1548" s="762">
        <f t="shared" si="558"/>
        <v>1543</v>
      </c>
      <c r="B1548" s="229"/>
      <c r="C1548" s="223"/>
      <c r="D1548" s="224"/>
      <c r="E1548" s="225"/>
      <c r="F1548" s="1036" t="str">
        <f t="shared" si="542"/>
        <v/>
      </c>
      <c r="G1548" s="1037" t="str">
        <f t="shared" si="559"/>
        <v/>
      </c>
      <c r="H1548" s="225"/>
      <c r="I1548" s="1013"/>
      <c r="J1548" s="1013"/>
      <c r="K1548" s="1028"/>
      <c r="L1548" s="1035" t="str">
        <f t="shared" si="563"/>
        <v/>
      </c>
      <c r="S1548" s="498"/>
      <c r="AJ1548" s="498"/>
      <c r="AM1548" s="498">
        <f t="shared" si="544"/>
        <v>0</v>
      </c>
      <c r="AN1548" s="498">
        <f t="shared" si="545"/>
        <v>0</v>
      </c>
      <c r="AO1548" s="498">
        <f t="shared" si="546"/>
        <v>0</v>
      </c>
      <c r="AP1548" s="498">
        <f t="shared" si="543"/>
        <v>0</v>
      </c>
      <c r="AQ1548" s="498">
        <f t="shared" si="560"/>
        <v>0</v>
      </c>
      <c r="AU1548" s="498">
        <f t="shared" si="547"/>
        <v>0</v>
      </c>
      <c r="AV1548" s="498">
        <f t="shared" si="548"/>
        <v>0</v>
      </c>
      <c r="AW1548" s="498">
        <f t="shared" si="549"/>
        <v>0</v>
      </c>
      <c r="AX1548" s="498">
        <f t="shared" si="550"/>
        <v>0</v>
      </c>
      <c r="AY1548" s="498">
        <f t="shared" si="551"/>
        <v>0</v>
      </c>
      <c r="BB1548" s="498" t="str">
        <f t="shared" si="552"/>
        <v/>
      </c>
      <c r="BC1548" s="743" t="str">
        <f t="shared" si="553"/>
        <v/>
      </c>
      <c r="BD1548" s="743" t="str">
        <f t="shared" si="554"/>
        <v/>
      </c>
      <c r="BE1548" s="743" t="str">
        <f>IF(D1548="","",VLOOKUP(D1548,'General Basis'!$J$39:$K$46,2,0))</f>
        <v/>
      </c>
      <c r="BF1548" s="744" t="str">
        <f>IF(D1548="","",VLOOKUP(D1548,'General Basis'!$J$39:$L$46,3,0))</f>
        <v/>
      </c>
      <c r="BG1548" s="744" t="str">
        <f t="shared" si="561"/>
        <v/>
      </c>
      <c r="BH1548" s="744" t="str">
        <f>IF(G1548="","",IF(BF1548="Abu Dhabi",IF(G1548&lt;18,'General Basis'!$C$39,IF(G1548&lt;41,'General Basis'!$C$40,IF(G1548&lt;60,'General Basis'!$C$41,IF(G1548&lt;65,'General Basis'!$C$42,'General Basis'!$C$43)))),IF(G1548&lt;11,'General Basis'!$B$39,IF(G1548&lt;18,'General Basis'!$B$40,IF(G1548&lt;26,'General Basis'!$B$41,IF(G1548&lt;31,'General Basis'!$B$42,IF(G1548&lt;36,'General Basis'!$B$43,IF(G1548&lt;41,'General Basis'!$B$44,IF(G1548&lt;46,'General Basis'!$B$45,IF(G1548&lt;51,'General Basis'!$B$46,IF(G1548&lt;56,'General Basis'!$B$47,IF(G1548&lt;60,'General Basis'!$B$48,IF(G1548&lt;65,'General Basis'!$B$49,'General Basis'!$B$50)))))))))))))</f>
        <v/>
      </c>
      <c r="BI1548" s="744" t="str">
        <f t="shared" si="555"/>
        <v/>
      </c>
      <c r="BJ1548" s="747" t="str">
        <f t="shared" si="562"/>
        <v/>
      </c>
      <c r="BK1548" s="498" t="str">
        <f t="shared" si="556"/>
        <v/>
      </c>
      <c r="BL1548" s="498" t="str">
        <f t="shared" si="557"/>
        <v/>
      </c>
    </row>
    <row r="1549" spans="1:64" x14ac:dyDescent="0.25">
      <c r="A1549" s="762">
        <f t="shared" si="558"/>
        <v>1544</v>
      </c>
      <c r="B1549" s="229"/>
      <c r="C1549" s="223"/>
      <c r="D1549" s="224"/>
      <c r="E1549" s="225"/>
      <c r="F1549" s="1036" t="str">
        <f t="shared" si="542"/>
        <v/>
      </c>
      <c r="G1549" s="1037" t="str">
        <f t="shared" si="559"/>
        <v/>
      </c>
      <c r="H1549" s="225"/>
      <c r="I1549" s="1013"/>
      <c r="J1549" s="1013"/>
      <c r="K1549" s="1028"/>
      <c r="L1549" s="1035" t="str">
        <f t="shared" si="563"/>
        <v/>
      </c>
      <c r="S1549" s="498"/>
      <c r="AJ1549" s="498"/>
      <c r="AM1549" s="498">
        <f t="shared" si="544"/>
        <v>0</v>
      </c>
      <c r="AN1549" s="498">
        <f t="shared" si="545"/>
        <v>0</v>
      </c>
      <c r="AO1549" s="498">
        <f t="shared" si="546"/>
        <v>0</v>
      </c>
      <c r="AP1549" s="498">
        <f t="shared" si="543"/>
        <v>0</v>
      </c>
      <c r="AQ1549" s="498">
        <f t="shared" si="560"/>
        <v>0</v>
      </c>
      <c r="AU1549" s="498">
        <f t="shared" si="547"/>
        <v>0</v>
      </c>
      <c r="AV1549" s="498">
        <f t="shared" si="548"/>
        <v>0</v>
      </c>
      <c r="AW1549" s="498">
        <f t="shared" si="549"/>
        <v>0</v>
      </c>
      <c r="AX1549" s="498">
        <f t="shared" si="550"/>
        <v>0</v>
      </c>
      <c r="AY1549" s="498">
        <f t="shared" si="551"/>
        <v>0</v>
      </c>
      <c r="BB1549" s="498" t="str">
        <f t="shared" si="552"/>
        <v/>
      </c>
      <c r="BC1549" s="743" t="str">
        <f t="shared" si="553"/>
        <v/>
      </c>
      <c r="BD1549" s="743" t="str">
        <f t="shared" si="554"/>
        <v/>
      </c>
      <c r="BE1549" s="743" t="str">
        <f>IF(D1549="","",VLOOKUP(D1549,'General Basis'!$J$39:$K$46,2,0))</f>
        <v/>
      </c>
      <c r="BF1549" s="744" t="str">
        <f>IF(D1549="","",VLOOKUP(D1549,'General Basis'!$J$39:$L$46,3,0))</f>
        <v/>
      </c>
      <c r="BG1549" s="744" t="str">
        <f t="shared" si="561"/>
        <v/>
      </c>
      <c r="BH1549" s="744" t="str">
        <f>IF(G1549="","",IF(BF1549="Abu Dhabi",IF(G1549&lt;18,'General Basis'!$C$39,IF(G1549&lt;41,'General Basis'!$C$40,IF(G1549&lt;60,'General Basis'!$C$41,IF(G1549&lt;65,'General Basis'!$C$42,'General Basis'!$C$43)))),IF(G1549&lt;11,'General Basis'!$B$39,IF(G1549&lt;18,'General Basis'!$B$40,IF(G1549&lt;26,'General Basis'!$B$41,IF(G1549&lt;31,'General Basis'!$B$42,IF(G1549&lt;36,'General Basis'!$B$43,IF(G1549&lt;41,'General Basis'!$B$44,IF(G1549&lt;46,'General Basis'!$B$45,IF(G1549&lt;51,'General Basis'!$B$46,IF(G1549&lt;56,'General Basis'!$B$47,IF(G1549&lt;60,'General Basis'!$B$48,IF(G1549&lt;65,'General Basis'!$B$49,'General Basis'!$B$50)))))))))))))</f>
        <v/>
      </c>
      <c r="BI1549" s="744" t="str">
        <f t="shared" si="555"/>
        <v/>
      </c>
      <c r="BJ1549" s="747" t="str">
        <f t="shared" si="562"/>
        <v/>
      </c>
      <c r="BK1549" s="498" t="str">
        <f t="shared" si="556"/>
        <v/>
      </c>
      <c r="BL1549" s="498" t="str">
        <f t="shared" si="557"/>
        <v/>
      </c>
    </row>
    <row r="1550" spans="1:64" x14ac:dyDescent="0.25">
      <c r="A1550" s="762">
        <f t="shared" si="558"/>
        <v>1545</v>
      </c>
      <c r="B1550" s="229"/>
      <c r="C1550" s="223"/>
      <c r="D1550" s="224"/>
      <c r="E1550" s="225"/>
      <c r="F1550" s="1036" t="str">
        <f t="shared" si="542"/>
        <v/>
      </c>
      <c r="G1550" s="1037" t="str">
        <f t="shared" si="559"/>
        <v/>
      </c>
      <c r="H1550" s="225"/>
      <c r="I1550" s="1013"/>
      <c r="J1550" s="1013"/>
      <c r="K1550" s="1028"/>
      <c r="L1550" s="1035" t="str">
        <f t="shared" si="563"/>
        <v/>
      </c>
      <c r="S1550" s="498"/>
      <c r="AJ1550" s="498"/>
      <c r="AM1550" s="498">
        <f t="shared" si="544"/>
        <v>0</v>
      </c>
      <c r="AN1550" s="498">
        <f t="shared" si="545"/>
        <v>0</v>
      </c>
      <c r="AO1550" s="498">
        <f t="shared" si="546"/>
        <v>0</v>
      </c>
      <c r="AP1550" s="498">
        <f t="shared" si="543"/>
        <v>0</v>
      </c>
      <c r="AQ1550" s="498">
        <f t="shared" si="560"/>
        <v>0</v>
      </c>
      <c r="AU1550" s="498">
        <f t="shared" si="547"/>
        <v>0</v>
      </c>
      <c r="AV1550" s="498">
        <f t="shared" si="548"/>
        <v>0</v>
      </c>
      <c r="AW1550" s="498">
        <f t="shared" si="549"/>
        <v>0</v>
      </c>
      <c r="AX1550" s="498">
        <f t="shared" si="550"/>
        <v>0</v>
      </c>
      <c r="AY1550" s="498">
        <f t="shared" si="551"/>
        <v>0</v>
      </c>
      <c r="BB1550" s="498" t="str">
        <f t="shared" si="552"/>
        <v/>
      </c>
      <c r="BC1550" s="743" t="str">
        <f t="shared" si="553"/>
        <v/>
      </c>
      <c r="BD1550" s="743" t="str">
        <f t="shared" si="554"/>
        <v/>
      </c>
      <c r="BE1550" s="743" t="str">
        <f>IF(D1550="","",VLOOKUP(D1550,'General Basis'!$J$39:$K$46,2,0))</f>
        <v/>
      </c>
      <c r="BF1550" s="744" t="str">
        <f>IF(D1550="","",VLOOKUP(D1550,'General Basis'!$J$39:$L$46,3,0))</f>
        <v/>
      </c>
      <c r="BG1550" s="744" t="str">
        <f t="shared" si="561"/>
        <v/>
      </c>
      <c r="BH1550" s="744" t="str">
        <f>IF(G1550="","",IF(BF1550="Abu Dhabi",IF(G1550&lt;18,'General Basis'!$C$39,IF(G1550&lt;41,'General Basis'!$C$40,IF(G1550&lt;60,'General Basis'!$C$41,IF(G1550&lt;65,'General Basis'!$C$42,'General Basis'!$C$43)))),IF(G1550&lt;11,'General Basis'!$B$39,IF(G1550&lt;18,'General Basis'!$B$40,IF(G1550&lt;26,'General Basis'!$B$41,IF(G1550&lt;31,'General Basis'!$B$42,IF(G1550&lt;36,'General Basis'!$B$43,IF(G1550&lt;41,'General Basis'!$B$44,IF(G1550&lt;46,'General Basis'!$B$45,IF(G1550&lt;51,'General Basis'!$B$46,IF(G1550&lt;56,'General Basis'!$B$47,IF(G1550&lt;60,'General Basis'!$B$48,IF(G1550&lt;65,'General Basis'!$B$49,'General Basis'!$B$50)))))))))))))</f>
        <v/>
      </c>
      <c r="BI1550" s="744" t="str">
        <f t="shared" si="555"/>
        <v/>
      </c>
      <c r="BJ1550" s="747" t="str">
        <f t="shared" si="562"/>
        <v/>
      </c>
      <c r="BK1550" s="498" t="str">
        <f t="shared" si="556"/>
        <v/>
      </c>
      <c r="BL1550" s="498" t="str">
        <f t="shared" si="557"/>
        <v/>
      </c>
    </row>
    <row r="1551" spans="1:64" x14ac:dyDescent="0.25">
      <c r="A1551" s="762">
        <f t="shared" si="558"/>
        <v>1546</v>
      </c>
      <c r="B1551" s="229"/>
      <c r="C1551" s="223"/>
      <c r="D1551" s="224"/>
      <c r="E1551" s="225"/>
      <c r="F1551" s="1036" t="str">
        <f t="shared" si="542"/>
        <v/>
      </c>
      <c r="G1551" s="1037" t="str">
        <f t="shared" si="559"/>
        <v/>
      </c>
      <c r="H1551" s="225"/>
      <c r="I1551" s="1013"/>
      <c r="J1551" s="1013"/>
      <c r="K1551" s="1028"/>
      <c r="L1551" s="1035" t="str">
        <f t="shared" si="563"/>
        <v/>
      </c>
      <c r="S1551" s="498"/>
      <c r="AJ1551" s="498"/>
      <c r="AM1551" s="498">
        <f t="shared" si="544"/>
        <v>0</v>
      </c>
      <c r="AN1551" s="498">
        <f t="shared" si="545"/>
        <v>0</v>
      </c>
      <c r="AO1551" s="498">
        <f t="shared" si="546"/>
        <v>0</v>
      </c>
      <c r="AP1551" s="498">
        <f t="shared" si="543"/>
        <v>0</v>
      </c>
      <c r="AQ1551" s="498">
        <f t="shared" si="560"/>
        <v>0</v>
      </c>
      <c r="AU1551" s="498">
        <f t="shared" si="547"/>
        <v>0</v>
      </c>
      <c r="AV1551" s="498">
        <f t="shared" si="548"/>
        <v>0</v>
      </c>
      <c r="AW1551" s="498">
        <f t="shared" si="549"/>
        <v>0</v>
      </c>
      <c r="AX1551" s="498">
        <f t="shared" si="550"/>
        <v>0</v>
      </c>
      <c r="AY1551" s="498">
        <f t="shared" si="551"/>
        <v>0</v>
      </c>
      <c r="BB1551" s="498" t="str">
        <f t="shared" si="552"/>
        <v/>
      </c>
      <c r="BC1551" s="743" t="str">
        <f t="shared" si="553"/>
        <v/>
      </c>
      <c r="BD1551" s="743" t="str">
        <f t="shared" si="554"/>
        <v/>
      </c>
      <c r="BE1551" s="743" t="str">
        <f>IF(D1551="","",VLOOKUP(D1551,'General Basis'!$J$39:$K$46,2,0))</f>
        <v/>
      </c>
      <c r="BF1551" s="744" t="str">
        <f>IF(D1551="","",VLOOKUP(D1551,'General Basis'!$J$39:$L$46,3,0))</f>
        <v/>
      </c>
      <c r="BG1551" s="744" t="str">
        <f t="shared" si="561"/>
        <v/>
      </c>
      <c r="BH1551" s="744" t="str">
        <f>IF(G1551="","",IF(BF1551="Abu Dhabi",IF(G1551&lt;18,'General Basis'!$C$39,IF(G1551&lt;41,'General Basis'!$C$40,IF(G1551&lt;60,'General Basis'!$C$41,IF(G1551&lt;65,'General Basis'!$C$42,'General Basis'!$C$43)))),IF(G1551&lt;11,'General Basis'!$B$39,IF(G1551&lt;18,'General Basis'!$B$40,IF(G1551&lt;26,'General Basis'!$B$41,IF(G1551&lt;31,'General Basis'!$B$42,IF(G1551&lt;36,'General Basis'!$B$43,IF(G1551&lt;41,'General Basis'!$B$44,IF(G1551&lt;46,'General Basis'!$B$45,IF(G1551&lt;51,'General Basis'!$B$46,IF(G1551&lt;56,'General Basis'!$B$47,IF(G1551&lt;60,'General Basis'!$B$48,IF(G1551&lt;65,'General Basis'!$B$49,'General Basis'!$B$50)))))))))))))</f>
        <v/>
      </c>
      <c r="BI1551" s="744" t="str">
        <f t="shared" si="555"/>
        <v/>
      </c>
      <c r="BJ1551" s="747" t="str">
        <f t="shared" si="562"/>
        <v/>
      </c>
      <c r="BK1551" s="498" t="str">
        <f t="shared" si="556"/>
        <v/>
      </c>
      <c r="BL1551" s="498" t="str">
        <f t="shared" si="557"/>
        <v/>
      </c>
    </row>
    <row r="1552" spans="1:64" x14ac:dyDescent="0.25">
      <c r="A1552" s="762">
        <f t="shared" si="558"/>
        <v>1547</v>
      </c>
      <c r="B1552" s="229"/>
      <c r="C1552" s="223"/>
      <c r="D1552" s="224"/>
      <c r="E1552" s="225"/>
      <c r="F1552" s="1036" t="str">
        <f t="shared" ref="F1552:F1615" si="564">IF(C1552="","",IF($B1552="","",((YEAR($F$3)-YEAR($B1552))+(MONTH($F$3)-MONTH($B1552))/12+(DAY($F$3)-DAY($B1552))/(DATE(YEAR($F$3),12,31)-DATE(YEAR($F$3),1,1)+1))))</f>
        <v/>
      </c>
      <c r="G1552" s="1037" t="str">
        <f t="shared" si="559"/>
        <v/>
      </c>
      <c r="H1552" s="225"/>
      <c r="I1552" s="1013"/>
      <c r="J1552" s="1013"/>
      <c r="K1552" s="1028"/>
      <c r="L1552" s="1035" t="str">
        <f t="shared" si="563"/>
        <v/>
      </c>
      <c r="S1552" s="498"/>
      <c r="AJ1552" s="498"/>
      <c r="AM1552" s="498">
        <f t="shared" si="544"/>
        <v>0</v>
      </c>
      <c r="AN1552" s="498">
        <f t="shared" si="545"/>
        <v>0</v>
      </c>
      <c r="AO1552" s="498">
        <f t="shared" si="546"/>
        <v>0</v>
      </c>
      <c r="AP1552" s="498">
        <f t="shared" si="543"/>
        <v>0</v>
      </c>
      <c r="AQ1552" s="498">
        <f t="shared" si="560"/>
        <v>0</v>
      </c>
      <c r="AU1552" s="498">
        <f t="shared" si="547"/>
        <v>0</v>
      </c>
      <c r="AV1552" s="498">
        <f t="shared" si="548"/>
        <v>0</v>
      </c>
      <c r="AW1552" s="498">
        <f t="shared" si="549"/>
        <v>0</v>
      </c>
      <c r="AX1552" s="498">
        <f t="shared" si="550"/>
        <v>0</v>
      </c>
      <c r="AY1552" s="498">
        <f t="shared" si="551"/>
        <v>0</v>
      </c>
      <c r="BB1552" s="498" t="str">
        <f t="shared" si="552"/>
        <v/>
      </c>
      <c r="BC1552" s="743" t="str">
        <f t="shared" si="553"/>
        <v/>
      </c>
      <c r="BD1552" s="743" t="str">
        <f t="shared" si="554"/>
        <v/>
      </c>
      <c r="BE1552" s="743" t="str">
        <f>IF(D1552="","",VLOOKUP(D1552,'General Basis'!$J$39:$K$46,2,0))</f>
        <v/>
      </c>
      <c r="BF1552" s="744" t="str">
        <f>IF(D1552="","",VLOOKUP(D1552,'General Basis'!$J$39:$L$46,3,0))</f>
        <v/>
      </c>
      <c r="BG1552" s="744" t="str">
        <f t="shared" si="561"/>
        <v/>
      </c>
      <c r="BH1552" s="744" t="str">
        <f>IF(G1552="","",IF(BF1552="Abu Dhabi",IF(G1552&lt;18,'General Basis'!$C$39,IF(G1552&lt;41,'General Basis'!$C$40,IF(G1552&lt;60,'General Basis'!$C$41,IF(G1552&lt;65,'General Basis'!$C$42,'General Basis'!$C$43)))),IF(G1552&lt;11,'General Basis'!$B$39,IF(G1552&lt;18,'General Basis'!$B$40,IF(G1552&lt;26,'General Basis'!$B$41,IF(G1552&lt;31,'General Basis'!$B$42,IF(G1552&lt;36,'General Basis'!$B$43,IF(G1552&lt;41,'General Basis'!$B$44,IF(G1552&lt;46,'General Basis'!$B$45,IF(G1552&lt;51,'General Basis'!$B$46,IF(G1552&lt;56,'General Basis'!$B$47,IF(G1552&lt;60,'General Basis'!$B$48,IF(G1552&lt;65,'General Basis'!$B$49,'General Basis'!$B$50)))))))))))))</f>
        <v/>
      </c>
      <c r="BI1552" s="744" t="str">
        <f t="shared" si="555"/>
        <v/>
      </c>
      <c r="BJ1552" s="747" t="str">
        <f t="shared" si="562"/>
        <v/>
      </c>
      <c r="BK1552" s="498" t="str">
        <f t="shared" si="556"/>
        <v/>
      </c>
      <c r="BL1552" s="498" t="str">
        <f t="shared" si="557"/>
        <v/>
      </c>
    </row>
    <row r="1553" spans="1:64" x14ac:dyDescent="0.25">
      <c r="A1553" s="762">
        <f t="shared" si="558"/>
        <v>1548</v>
      </c>
      <c r="B1553" s="229"/>
      <c r="C1553" s="223"/>
      <c r="D1553" s="224"/>
      <c r="E1553" s="225"/>
      <c r="F1553" s="1036" t="str">
        <f t="shared" si="564"/>
        <v/>
      </c>
      <c r="G1553" s="1037" t="str">
        <f t="shared" si="559"/>
        <v/>
      </c>
      <c r="H1553" s="225"/>
      <c r="I1553" s="1013"/>
      <c r="J1553" s="1013"/>
      <c r="K1553" s="1028"/>
      <c r="L1553" s="1035" t="str">
        <f t="shared" si="563"/>
        <v/>
      </c>
      <c r="S1553" s="498"/>
      <c r="AJ1553" s="498"/>
      <c r="AM1553" s="498">
        <f t="shared" si="544"/>
        <v>0</v>
      </c>
      <c r="AN1553" s="498">
        <f t="shared" si="545"/>
        <v>0</v>
      </c>
      <c r="AO1553" s="498">
        <f t="shared" si="546"/>
        <v>0</v>
      </c>
      <c r="AP1553" s="498">
        <f t="shared" si="543"/>
        <v>0</v>
      </c>
      <c r="AQ1553" s="498">
        <f t="shared" si="560"/>
        <v>0</v>
      </c>
      <c r="AU1553" s="498">
        <f t="shared" si="547"/>
        <v>0</v>
      </c>
      <c r="AV1553" s="498">
        <f t="shared" si="548"/>
        <v>0</v>
      </c>
      <c r="AW1553" s="498">
        <f t="shared" si="549"/>
        <v>0</v>
      </c>
      <c r="AX1553" s="498">
        <f t="shared" si="550"/>
        <v>0</v>
      </c>
      <c r="AY1553" s="498">
        <f t="shared" si="551"/>
        <v>0</v>
      </c>
      <c r="BB1553" s="498" t="str">
        <f t="shared" si="552"/>
        <v/>
      </c>
      <c r="BC1553" s="743" t="str">
        <f t="shared" si="553"/>
        <v/>
      </c>
      <c r="BD1553" s="743" t="str">
        <f t="shared" si="554"/>
        <v/>
      </c>
      <c r="BE1553" s="743" t="str">
        <f>IF(D1553="","",VLOOKUP(D1553,'General Basis'!$J$39:$K$46,2,0))</f>
        <v/>
      </c>
      <c r="BF1553" s="744" t="str">
        <f>IF(D1553="","",VLOOKUP(D1553,'General Basis'!$J$39:$L$46,3,0))</f>
        <v/>
      </c>
      <c r="BG1553" s="744" t="str">
        <f t="shared" si="561"/>
        <v/>
      </c>
      <c r="BH1553" s="744" t="str">
        <f>IF(G1553="","",IF(BF1553="Abu Dhabi",IF(G1553&lt;18,'General Basis'!$C$39,IF(G1553&lt;41,'General Basis'!$C$40,IF(G1553&lt;60,'General Basis'!$C$41,IF(G1553&lt;65,'General Basis'!$C$42,'General Basis'!$C$43)))),IF(G1553&lt;11,'General Basis'!$B$39,IF(G1553&lt;18,'General Basis'!$B$40,IF(G1553&lt;26,'General Basis'!$B$41,IF(G1553&lt;31,'General Basis'!$B$42,IF(G1553&lt;36,'General Basis'!$B$43,IF(G1553&lt;41,'General Basis'!$B$44,IF(G1553&lt;46,'General Basis'!$B$45,IF(G1553&lt;51,'General Basis'!$B$46,IF(G1553&lt;56,'General Basis'!$B$47,IF(G1553&lt;60,'General Basis'!$B$48,IF(G1553&lt;65,'General Basis'!$B$49,'General Basis'!$B$50)))))))))))))</f>
        <v/>
      </c>
      <c r="BI1553" s="744" t="str">
        <f t="shared" si="555"/>
        <v/>
      </c>
      <c r="BJ1553" s="747" t="str">
        <f t="shared" si="562"/>
        <v/>
      </c>
      <c r="BK1553" s="498" t="str">
        <f t="shared" si="556"/>
        <v/>
      </c>
      <c r="BL1553" s="498" t="str">
        <f t="shared" si="557"/>
        <v/>
      </c>
    </row>
    <row r="1554" spans="1:64" x14ac:dyDescent="0.25">
      <c r="A1554" s="762">
        <f t="shared" si="558"/>
        <v>1549</v>
      </c>
      <c r="B1554" s="229"/>
      <c r="C1554" s="223"/>
      <c r="D1554" s="224"/>
      <c r="E1554" s="225"/>
      <c r="F1554" s="1036" t="str">
        <f t="shared" si="564"/>
        <v/>
      </c>
      <c r="G1554" s="1037" t="str">
        <f t="shared" si="559"/>
        <v/>
      </c>
      <c r="H1554" s="225"/>
      <c r="I1554" s="1013"/>
      <c r="J1554" s="1013"/>
      <c r="K1554" s="1028"/>
      <c r="L1554" s="1035" t="str">
        <f t="shared" si="563"/>
        <v/>
      </c>
      <c r="S1554" s="498"/>
      <c r="AJ1554" s="498"/>
      <c r="AM1554" s="498">
        <f t="shared" si="544"/>
        <v>0</v>
      </c>
      <c r="AN1554" s="498">
        <f t="shared" si="545"/>
        <v>0</v>
      </c>
      <c r="AO1554" s="498">
        <f t="shared" si="546"/>
        <v>0</v>
      </c>
      <c r="AP1554" s="498">
        <f t="shared" si="543"/>
        <v>0</v>
      </c>
      <c r="AQ1554" s="498">
        <f t="shared" si="560"/>
        <v>0</v>
      </c>
      <c r="AU1554" s="498">
        <f t="shared" si="547"/>
        <v>0</v>
      </c>
      <c r="AV1554" s="498">
        <f t="shared" si="548"/>
        <v>0</v>
      </c>
      <c r="AW1554" s="498">
        <f t="shared" si="549"/>
        <v>0</v>
      </c>
      <c r="AX1554" s="498">
        <f t="shared" si="550"/>
        <v>0</v>
      </c>
      <c r="AY1554" s="498">
        <f t="shared" si="551"/>
        <v>0</v>
      </c>
      <c r="BB1554" s="498" t="str">
        <f t="shared" si="552"/>
        <v/>
      </c>
      <c r="BC1554" s="743" t="str">
        <f t="shared" si="553"/>
        <v/>
      </c>
      <c r="BD1554" s="743" t="str">
        <f t="shared" si="554"/>
        <v/>
      </c>
      <c r="BE1554" s="743" t="str">
        <f>IF(D1554="","",VLOOKUP(D1554,'General Basis'!$J$39:$K$46,2,0))</f>
        <v/>
      </c>
      <c r="BF1554" s="744" t="str">
        <f>IF(D1554="","",VLOOKUP(D1554,'General Basis'!$J$39:$L$46,3,0))</f>
        <v/>
      </c>
      <c r="BG1554" s="744" t="str">
        <f t="shared" si="561"/>
        <v/>
      </c>
      <c r="BH1554" s="744" t="str">
        <f>IF(G1554="","",IF(BF1554="Abu Dhabi",IF(G1554&lt;18,'General Basis'!$C$39,IF(G1554&lt;41,'General Basis'!$C$40,IF(G1554&lt;60,'General Basis'!$C$41,IF(G1554&lt;65,'General Basis'!$C$42,'General Basis'!$C$43)))),IF(G1554&lt;11,'General Basis'!$B$39,IF(G1554&lt;18,'General Basis'!$B$40,IF(G1554&lt;26,'General Basis'!$B$41,IF(G1554&lt;31,'General Basis'!$B$42,IF(G1554&lt;36,'General Basis'!$B$43,IF(G1554&lt;41,'General Basis'!$B$44,IF(G1554&lt;46,'General Basis'!$B$45,IF(G1554&lt;51,'General Basis'!$B$46,IF(G1554&lt;56,'General Basis'!$B$47,IF(G1554&lt;60,'General Basis'!$B$48,IF(G1554&lt;65,'General Basis'!$B$49,'General Basis'!$B$50)))))))))))))</f>
        <v/>
      </c>
      <c r="BI1554" s="744" t="str">
        <f t="shared" si="555"/>
        <v/>
      </c>
      <c r="BJ1554" s="747" t="str">
        <f t="shared" si="562"/>
        <v/>
      </c>
      <c r="BK1554" s="498" t="str">
        <f t="shared" si="556"/>
        <v/>
      </c>
      <c r="BL1554" s="498" t="str">
        <f t="shared" si="557"/>
        <v/>
      </c>
    </row>
    <row r="1555" spans="1:64" x14ac:dyDescent="0.25">
      <c r="A1555" s="762">
        <f t="shared" si="558"/>
        <v>1550</v>
      </c>
      <c r="B1555" s="229"/>
      <c r="C1555" s="223"/>
      <c r="D1555" s="224"/>
      <c r="E1555" s="225"/>
      <c r="F1555" s="1036" t="str">
        <f t="shared" si="564"/>
        <v/>
      </c>
      <c r="G1555" s="1037" t="str">
        <f t="shared" si="559"/>
        <v/>
      </c>
      <c r="H1555" s="225"/>
      <c r="I1555" s="1013"/>
      <c r="J1555" s="1013"/>
      <c r="K1555" s="1028"/>
      <c r="L1555" s="1035" t="str">
        <f t="shared" si="563"/>
        <v/>
      </c>
      <c r="S1555" s="498"/>
      <c r="AJ1555" s="498"/>
      <c r="AM1555" s="498">
        <f t="shared" si="544"/>
        <v>0</v>
      </c>
      <c r="AN1555" s="498">
        <f t="shared" si="545"/>
        <v>0</v>
      </c>
      <c r="AO1555" s="498">
        <f t="shared" si="546"/>
        <v>0</v>
      </c>
      <c r="AP1555" s="498">
        <f t="shared" ref="AP1555:AP1618" si="565">IF(ISBLANK($B1555),0,IF(OR($C1555="M",$C1555="F"),0,1))</f>
        <v>0</v>
      </c>
      <c r="AQ1555" s="498">
        <f t="shared" si="560"/>
        <v>0</v>
      </c>
      <c r="AU1555" s="498">
        <f t="shared" si="547"/>
        <v>0</v>
      </c>
      <c r="AV1555" s="498">
        <f t="shared" si="548"/>
        <v>0</v>
      </c>
      <c r="AW1555" s="498">
        <f t="shared" si="549"/>
        <v>0</v>
      </c>
      <c r="AX1555" s="498">
        <f t="shared" si="550"/>
        <v>0</v>
      </c>
      <c r="AY1555" s="498">
        <f t="shared" si="551"/>
        <v>0</v>
      </c>
      <c r="BB1555" s="498" t="str">
        <f t="shared" si="552"/>
        <v/>
      </c>
      <c r="BC1555" s="743" t="str">
        <f t="shared" si="553"/>
        <v/>
      </c>
      <c r="BD1555" s="743" t="str">
        <f t="shared" si="554"/>
        <v/>
      </c>
      <c r="BE1555" s="743" t="str">
        <f>IF(D1555="","",VLOOKUP(D1555,'General Basis'!$J$39:$K$46,2,0))</f>
        <v/>
      </c>
      <c r="BF1555" s="744" t="str">
        <f>IF(D1555="","",VLOOKUP(D1555,'General Basis'!$J$39:$L$46,3,0))</f>
        <v/>
      </c>
      <c r="BG1555" s="744" t="str">
        <f t="shared" si="561"/>
        <v/>
      </c>
      <c r="BH1555" s="744" t="str">
        <f>IF(G1555="","",IF(BF1555="Abu Dhabi",IF(G1555&lt;18,'General Basis'!$C$39,IF(G1555&lt;41,'General Basis'!$C$40,IF(G1555&lt;60,'General Basis'!$C$41,IF(G1555&lt;65,'General Basis'!$C$42,'General Basis'!$C$43)))),IF(G1555&lt;11,'General Basis'!$B$39,IF(G1555&lt;18,'General Basis'!$B$40,IF(G1555&lt;26,'General Basis'!$B$41,IF(G1555&lt;31,'General Basis'!$B$42,IF(G1555&lt;36,'General Basis'!$B$43,IF(G1555&lt;41,'General Basis'!$B$44,IF(G1555&lt;46,'General Basis'!$B$45,IF(G1555&lt;51,'General Basis'!$B$46,IF(G1555&lt;56,'General Basis'!$B$47,IF(G1555&lt;60,'General Basis'!$B$48,IF(G1555&lt;65,'General Basis'!$B$49,'General Basis'!$B$50)))))))))))))</f>
        <v/>
      </c>
      <c r="BI1555" s="744" t="str">
        <f t="shared" si="555"/>
        <v/>
      </c>
      <c r="BJ1555" s="747" t="str">
        <f t="shared" si="562"/>
        <v/>
      </c>
      <c r="BK1555" s="498" t="str">
        <f t="shared" si="556"/>
        <v/>
      </c>
      <c r="BL1555" s="498" t="str">
        <f t="shared" si="557"/>
        <v/>
      </c>
    </row>
    <row r="1556" spans="1:64" x14ac:dyDescent="0.25">
      <c r="A1556" s="762">
        <f t="shared" si="558"/>
        <v>1551</v>
      </c>
      <c r="B1556" s="229"/>
      <c r="C1556" s="223"/>
      <c r="D1556" s="224"/>
      <c r="E1556" s="225"/>
      <c r="F1556" s="1036" t="str">
        <f t="shared" si="564"/>
        <v/>
      </c>
      <c r="G1556" s="1037" t="str">
        <f t="shared" si="559"/>
        <v/>
      </c>
      <c r="H1556" s="225"/>
      <c r="I1556" s="1013"/>
      <c r="J1556" s="1013"/>
      <c r="K1556" s="1028"/>
      <c r="L1556" s="1035" t="str">
        <f t="shared" si="563"/>
        <v/>
      </c>
      <c r="S1556" s="498"/>
      <c r="AJ1556" s="498"/>
      <c r="AM1556" s="498">
        <f t="shared" si="544"/>
        <v>0</v>
      </c>
      <c r="AN1556" s="498">
        <f t="shared" si="545"/>
        <v>0</v>
      </c>
      <c r="AO1556" s="498">
        <f t="shared" si="546"/>
        <v>0</v>
      </c>
      <c r="AP1556" s="498">
        <f t="shared" si="565"/>
        <v>0</v>
      </c>
      <c r="AQ1556" s="498">
        <f t="shared" si="560"/>
        <v>0</v>
      </c>
      <c r="AU1556" s="498">
        <f t="shared" si="547"/>
        <v>0</v>
      </c>
      <c r="AV1556" s="498">
        <f t="shared" si="548"/>
        <v>0</v>
      </c>
      <c r="AW1556" s="498">
        <f t="shared" si="549"/>
        <v>0</v>
      </c>
      <c r="AX1556" s="498">
        <f t="shared" si="550"/>
        <v>0</v>
      </c>
      <c r="AY1556" s="498">
        <f t="shared" si="551"/>
        <v>0</v>
      </c>
      <c r="BB1556" s="498" t="str">
        <f t="shared" si="552"/>
        <v/>
      </c>
      <c r="BC1556" s="743" t="str">
        <f t="shared" si="553"/>
        <v/>
      </c>
      <c r="BD1556" s="743" t="str">
        <f t="shared" si="554"/>
        <v/>
      </c>
      <c r="BE1556" s="743" t="str">
        <f>IF(D1556="","",VLOOKUP(D1556,'General Basis'!$J$39:$K$46,2,0))</f>
        <v/>
      </c>
      <c r="BF1556" s="744" t="str">
        <f>IF(D1556="","",VLOOKUP(D1556,'General Basis'!$J$39:$L$46,3,0))</f>
        <v/>
      </c>
      <c r="BG1556" s="744" t="str">
        <f t="shared" si="561"/>
        <v/>
      </c>
      <c r="BH1556" s="744" t="str">
        <f>IF(G1556="","",IF(BF1556="Abu Dhabi",IF(G1556&lt;18,'General Basis'!$C$39,IF(G1556&lt;41,'General Basis'!$C$40,IF(G1556&lt;60,'General Basis'!$C$41,IF(G1556&lt;65,'General Basis'!$C$42,'General Basis'!$C$43)))),IF(G1556&lt;11,'General Basis'!$B$39,IF(G1556&lt;18,'General Basis'!$B$40,IF(G1556&lt;26,'General Basis'!$B$41,IF(G1556&lt;31,'General Basis'!$B$42,IF(G1556&lt;36,'General Basis'!$B$43,IF(G1556&lt;41,'General Basis'!$B$44,IF(G1556&lt;46,'General Basis'!$B$45,IF(G1556&lt;51,'General Basis'!$B$46,IF(G1556&lt;56,'General Basis'!$B$47,IF(G1556&lt;60,'General Basis'!$B$48,IF(G1556&lt;65,'General Basis'!$B$49,'General Basis'!$B$50)))))))))))))</f>
        <v/>
      </c>
      <c r="BI1556" s="744" t="str">
        <f t="shared" si="555"/>
        <v/>
      </c>
      <c r="BJ1556" s="747" t="str">
        <f t="shared" si="562"/>
        <v/>
      </c>
      <c r="BK1556" s="498" t="str">
        <f t="shared" si="556"/>
        <v/>
      </c>
      <c r="BL1556" s="498" t="str">
        <f t="shared" si="557"/>
        <v/>
      </c>
    </row>
    <row r="1557" spans="1:64" x14ac:dyDescent="0.25">
      <c r="A1557" s="762">
        <f t="shared" si="558"/>
        <v>1552</v>
      </c>
      <c r="B1557" s="229"/>
      <c r="C1557" s="223"/>
      <c r="D1557" s="224"/>
      <c r="E1557" s="225"/>
      <c r="F1557" s="1036" t="str">
        <f t="shared" si="564"/>
        <v/>
      </c>
      <c r="G1557" s="1037" t="str">
        <f t="shared" si="559"/>
        <v/>
      </c>
      <c r="H1557" s="225"/>
      <c r="I1557" s="1013"/>
      <c r="J1557" s="1013"/>
      <c r="K1557" s="1028"/>
      <c r="L1557" s="1035" t="str">
        <f t="shared" si="563"/>
        <v/>
      </c>
      <c r="S1557" s="498"/>
      <c r="AJ1557" s="498"/>
      <c r="AM1557" s="498">
        <f t="shared" si="544"/>
        <v>0</v>
      </c>
      <c r="AN1557" s="498">
        <f t="shared" si="545"/>
        <v>0</v>
      </c>
      <c r="AO1557" s="498">
        <f t="shared" si="546"/>
        <v>0</v>
      </c>
      <c r="AP1557" s="498">
        <f t="shared" si="565"/>
        <v>0</v>
      </c>
      <c r="AQ1557" s="498">
        <f t="shared" si="560"/>
        <v>0</v>
      </c>
      <c r="AU1557" s="498">
        <f t="shared" si="547"/>
        <v>0</v>
      </c>
      <c r="AV1557" s="498">
        <f t="shared" si="548"/>
        <v>0</v>
      </c>
      <c r="AW1557" s="498">
        <f t="shared" si="549"/>
        <v>0</v>
      </c>
      <c r="AX1557" s="498">
        <f t="shared" si="550"/>
        <v>0</v>
      </c>
      <c r="AY1557" s="498">
        <f t="shared" si="551"/>
        <v>0</v>
      </c>
      <c r="BB1557" s="498" t="str">
        <f t="shared" si="552"/>
        <v/>
      </c>
      <c r="BC1557" s="743" t="str">
        <f t="shared" si="553"/>
        <v/>
      </c>
      <c r="BD1557" s="743" t="str">
        <f t="shared" si="554"/>
        <v/>
      </c>
      <c r="BE1557" s="743" t="str">
        <f>IF(D1557="","",VLOOKUP(D1557,'General Basis'!$J$39:$K$46,2,0))</f>
        <v/>
      </c>
      <c r="BF1557" s="744" t="str">
        <f>IF(D1557="","",VLOOKUP(D1557,'General Basis'!$J$39:$L$46,3,0))</f>
        <v/>
      </c>
      <c r="BG1557" s="744" t="str">
        <f t="shared" si="561"/>
        <v/>
      </c>
      <c r="BH1557" s="744" t="str">
        <f>IF(G1557="","",IF(BF1557="Abu Dhabi",IF(G1557&lt;18,'General Basis'!$C$39,IF(G1557&lt;41,'General Basis'!$C$40,IF(G1557&lt;60,'General Basis'!$C$41,IF(G1557&lt;65,'General Basis'!$C$42,'General Basis'!$C$43)))),IF(G1557&lt;11,'General Basis'!$B$39,IF(G1557&lt;18,'General Basis'!$B$40,IF(G1557&lt;26,'General Basis'!$B$41,IF(G1557&lt;31,'General Basis'!$B$42,IF(G1557&lt;36,'General Basis'!$B$43,IF(G1557&lt;41,'General Basis'!$B$44,IF(G1557&lt;46,'General Basis'!$B$45,IF(G1557&lt;51,'General Basis'!$B$46,IF(G1557&lt;56,'General Basis'!$B$47,IF(G1557&lt;60,'General Basis'!$B$48,IF(G1557&lt;65,'General Basis'!$B$49,'General Basis'!$B$50)))))))))))))</f>
        <v/>
      </c>
      <c r="BI1557" s="744" t="str">
        <f t="shared" si="555"/>
        <v/>
      </c>
      <c r="BJ1557" s="747" t="str">
        <f t="shared" si="562"/>
        <v/>
      </c>
      <c r="BK1557" s="498" t="str">
        <f t="shared" si="556"/>
        <v/>
      </c>
      <c r="BL1557" s="498" t="str">
        <f t="shared" si="557"/>
        <v/>
      </c>
    </row>
    <row r="1558" spans="1:64" x14ac:dyDescent="0.25">
      <c r="A1558" s="762">
        <f t="shared" si="558"/>
        <v>1553</v>
      </c>
      <c r="B1558" s="229"/>
      <c r="C1558" s="223"/>
      <c r="D1558" s="224"/>
      <c r="E1558" s="225"/>
      <c r="F1558" s="1036" t="str">
        <f t="shared" si="564"/>
        <v/>
      </c>
      <c r="G1558" s="1037" t="str">
        <f t="shared" si="559"/>
        <v/>
      </c>
      <c r="H1558" s="225"/>
      <c r="I1558" s="1013"/>
      <c r="J1558" s="1013"/>
      <c r="K1558" s="1028"/>
      <c r="L1558" s="1035" t="str">
        <f t="shared" si="563"/>
        <v/>
      </c>
      <c r="S1558" s="498"/>
      <c r="AJ1558" s="498"/>
      <c r="AM1558" s="498">
        <f t="shared" si="544"/>
        <v>0</v>
      </c>
      <c r="AN1558" s="498">
        <f t="shared" si="545"/>
        <v>0</v>
      </c>
      <c r="AO1558" s="498">
        <f t="shared" si="546"/>
        <v>0</v>
      </c>
      <c r="AP1558" s="498">
        <f t="shared" si="565"/>
        <v>0</v>
      </c>
      <c r="AQ1558" s="498">
        <f t="shared" si="560"/>
        <v>0</v>
      </c>
      <c r="AU1558" s="498">
        <f t="shared" si="547"/>
        <v>0</v>
      </c>
      <c r="AV1558" s="498">
        <f t="shared" si="548"/>
        <v>0</v>
      </c>
      <c r="AW1558" s="498">
        <f t="shared" si="549"/>
        <v>0</v>
      </c>
      <c r="AX1558" s="498">
        <f t="shared" si="550"/>
        <v>0</v>
      </c>
      <c r="AY1558" s="498">
        <f t="shared" si="551"/>
        <v>0</v>
      </c>
      <c r="BB1558" s="498" t="str">
        <f t="shared" si="552"/>
        <v/>
      </c>
      <c r="BC1558" s="743" t="str">
        <f t="shared" si="553"/>
        <v/>
      </c>
      <c r="BD1558" s="743" t="str">
        <f t="shared" si="554"/>
        <v/>
      </c>
      <c r="BE1558" s="743" t="str">
        <f>IF(D1558="","",VLOOKUP(D1558,'General Basis'!$J$39:$K$46,2,0))</f>
        <v/>
      </c>
      <c r="BF1558" s="744" t="str">
        <f>IF(D1558="","",VLOOKUP(D1558,'General Basis'!$J$39:$L$46,3,0))</f>
        <v/>
      </c>
      <c r="BG1558" s="744" t="str">
        <f t="shared" si="561"/>
        <v/>
      </c>
      <c r="BH1558" s="744" t="str">
        <f>IF(G1558="","",IF(BF1558="Abu Dhabi",IF(G1558&lt;18,'General Basis'!$C$39,IF(G1558&lt;41,'General Basis'!$C$40,IF(G1558&lt;60,'General Basis'!$C$41,IF(G1558&lt;65,'General Basis'!$C$42,'General Basis'!$C$43)))),IF(G1558&lt;11,'General Basis'!$B$39,IF(G1558&lt;18,'General Basis'!$B$40,IF(G1558&lt;26,'General Basis'!$B$41,IF(G1558&lt;31,'General Basis'!$B$42,IF(G1558&lt;36,'General Basis'!$B$43,IF(G1558&lt;41,'General Basis'!$B$44,IF(G1558&lt;46,'General Basis'!$B$45,IF(G1558&lt;51,'General Basis'!$B$46,IF(G1558&lt;56,'General Basis'!$B$47,IF(G1558&lt;60,'General Basis'!$B$48,IF(G1558&lt;65,'General Basis'!$B$49,'General Basis'!$B$50)))))))))))))</f>
        <v/>
      </c>
      <c r="BI1558" s="744" t="str">
        <f t="shared" si="555"/>
        <v/>
      </c>
      <c r="BJ1558" s="747" t="str">
        <f t="shared" si="562"/>
        <v/>
      </c>
      <c r="BK1558" s="498" t="str">
        <f t="shared" si="556"/>
        <v/>
      </c>
      <c r="BL1558" s="498" t="str">
        <f t="shared" si="557"/>
        <v/>
      </c>
    </row>
    <row r="1559" spans="1:64" x14ac:dyDescent="0.25">
      <c r="A1559" s="762">
        <f t="shared" si="558"/>
        <v>1554</v>
      </c>
      <c r="B1559" s="229"/>
      <c r="C1559" s="223"/>
      <c r="D1559" s="224"/>
      <c r="E1559" s="225"/>
      <c r="F1559" s="1036" t="str">
        <f t="shared" si="564"/>
        <v/>
      </c>
      <c r="G1559" s="1037" t="str">
        <f t="shared" si="559"/>
        <v/>
      </c>
      <c r="H1559" s="225"/>
      <c r="I1559" s="1013"/>
      <c r="J1559" s="1013"/>
      <c r="K1559" s="1028"/>
      <c r="L1559" s="1035" t="str">
        <f t="shared" si="563"/>
        <v/>
      </c>
      <c r="S1559" s="498"/>
      <c r="AJ1559" s="498"/>
      <c r="AM1559" s="498">
        <f t="shared" si="544"/>
        <v>0</v>
      </c>
      <c r="AN1559" s="498">
        <f t="shared" si="545"/>
        <v>0</v>
      </c>
      <c r="AO1559" s="498">
        <f t="shared" si="546"/>
        <v>0</v>
      </c>
      <c r="AP1559" s="498">
        <f t="shared" si="565"/>
        <v>0</v>
      </c>
      <c r="AQ1559" s="498">
        <f t="shared" si="560"/>
        <v>0</v>
      </c>
      <c r="AU1559" s="498">
        <f t="shared" si="547"/>
        <v>0</v>
      </c>
      <c r="AV1559" s="498">
        <f t="shared" si="548"/>
        <v>0</v>
      </c>
      <c r="AW1559" s="498">
        <f t="shared" si="549"/>
        <v>0</v>
      </c>
      <c r="AX1559" s="498">
        <f t="shared" si="550"/>
        <v>0</v>
      </c>
      <c r="AY1559" s="498">
        <f t="shared" si="551"/>
        <v>0</v>
      </c>
      <c r="BB1559" s="498" t="str">
        <f t="shared" si="552"/>
        <v/>
      </c>
      <c r="BC1559" s="743" t="str">
        <f t="shared" si="553"/>
        <v/>
      </c>
      <c r="BD1559" s="743" t="str">
        <f t="shared" si="554"/>
        <v/>
      </c>
      <c r="BE1559" s="743" t="str">
        <f>IF(D1559="","",VLOOKUP(D1559,'General Basis'!$J$39:$K$46,2,0))</f>
        <v/>
      </c>
      <c r="BF1559" s="744" t="str">
        <f>IF(D1559="","",VLOOKUP(D1559,'General Basis'!$J$39:$L$46,3,0))</f>
        <v/>
      </c>
      <c r="BG1559" s="744" t="str">
        <f t="shared" si="561"/>
        <v/>
      </c>
      <c r="BH1559" s="744" t="str">
        <f>IF(G1559="","",IF(BF1559="Abu Dhabi",IF(G1559&lt;18,'General Basis'!$C$39,IF(G1559&lt;41,'General Basis'!$C$40,IF(G1559&lt;60,'General Basis'!$C$41,IF(G1559&lt;65,'General Basis'!$C$42,'General Basis'!$C$43)))),IF(G1559&lt;11,'General Basis'!$B$39,IF(G1559&lt;18,'General Basis'!$B$40,IF(G1559&lt;26,'General Basis'!$B$41,IF(G1559&lt;31,'General Basis'!$B$42,IF(G1559&lt;36,'General Basis'!$B$43,IF(G1559&lt;41,'General Basis'!$B$44,IF(G1559&lt;46,'General Basis'!$B$45,IF(G1559&lt;51,'General Basis'!$B$46,IF(G1559&lt;56,'General Basis'!$B$47,IF(G1559&lt;60,'General Basis'!$B$48,IF(G1559&lt;65,'General Basis'!$B$49,'General Basis'!$B$50)))))))))))))</f>
        <v/>
      </c>
      <c r="BI1559" s="744" t="str">
        <f t="shared" si="555"/>
        <v/>
      </c>
      <c r="BJ1559" s="747" t="str">
        <f t="shared" si="562"/>
        <v/>
      </c>
      <c r="BK1559" s="498" t="str">
        <f t="shared" si="556"/>
        <v/>
      </c>
      <c r="BL1559" s="498" t="str">
        <f t="shared" si="557"/>
        <v/>
      </c>
    </row>
    <row r="1560" spans="1:64" x14ac:dyDescent="0.25">
      <c r="A1560" s="762">
        <f t="shared" si="558"/>
        <v>1555</v>
      </c>
      <c r="B1560" s="229"/>
      <c r="C1560" s="223"/>
      <c r="D1560" s="224"/>
      <c r="E1560" s="225"/>
      <c r="F1560" s="1036" t="str">
        <f t="shared" si="564"/>
        <v/>
      </c>
      <c r="G1560" s="1037" t="str">
        <f t="shared" si="559"/>
        <v/>
      </c>
      <c r="H1560" s="225"/>
      <c r="I1560" s="1013"/>
      <c r="J1560" s="1013"/>
      <c r="K1560" s="1028"/>
      <c r="L1560" s="1035" t="str">
        <f t="shared" si="563"/>
        <v/>
      </c>
      <c r="S1560" s="498"/>
      <c r="AJ1560" s="498"/>
      <c r="AM1560" s="498">
        <f t="shared" si="544"/>
        <v>0</v>
      </c>
      <c r="AN1560" s="498">
        <f t="shared" si="545"/>
        <v>0</v>
      </c>
      <c r="AO1560" s="498">
        <f t="shared" si="546"/>
        <v>0</v>
      </c>
      <c r="AP1560" s="498">
        <f t="shared" si="565"/>
        <v>0</v>
      </c>
      <c r="AQ1560" s="498">
        <f t="shared" si="560"/>
        <v>0</v>
      </c>
      <c r="AU1560" s="498">
        <f t="shared" si="547"/>
        <v>0</v>
      </c>
      <c r="AV1560" s="498">
        <f t="shared" si="548"/>
        <v>0</v>
      </c>
      <c r="AW1560" s="498">
        <f t="shared" si="549"/>
        <v>0</v>
      </c>
      <c r="AX1560" s="498">
        <f t="shared" si="550"/>
        <v>0</v>
      </c>
      <c r="AY1560" s="498">
        <f t="shared" si="551"/>
        <v>0</v>
      </c>
      <c r="BB1560" s="498" t="str">
        <f t="shared" si="552"/>
        <v/>
      </c>
      <c r="BC1560" s="743" t="str">
        <f t="shared" si="553"/>
        <v/>
      </c>
      <c r="BD1560" s="743" t="str">
        <f t="shared" si="554"/>
        <v/>
      </c>
      <c r="BE1560" s="743" t="str">
        <f>IF(D1560="","",VLOOKUP(D1560,'General Basis'!$J$39:$K$46,2,0))</f>
        <v/>
      </c>
      <c r="BF1560" s="744" t="str">
        <f>IF(D1560="","",VLOOKUP(D1560,'General Basis'!$J$39:$L$46,3,0))</f>
        <v/>
      </c>
      <c r="BG1560" s="744" t="str">
        <f t="shared" si="561"/>
        <v/>
      </c>
      <c r="BH1560" s="744" t="str">
        <f>IF(G1560="","",IF(BF1560="Abu Dhabi",IF(G1560&lt;18,'General Basis'!$C$39,IF(G1560&lt;41,'General Basis'!$C$40,IF(G1560&lt;60,'General Basis'!$C$41,IF(G1560&lt;65,'General Basis'!$C$42,'General Basis'!$C$43)))),IF(G1560&lt;11,'General Basis'!$B$39,IF(G1560&lt;18,'General Basis'!$B$40,IF(G1560&lt;26,'General Basis'!$B$41,IF(G1560&lt;31,'General Basis'!$B$42,IF(G1560&lt;36,'General Basis'!$B$43,IF(G1560&lt;41,'General Basis'!$B$44,IF(G1560&lt;46,'General Basis'!$B$45,IF(G1560&lt;51,'General Basis'!$B$46,IF(G1560&lt;56,'General Basis'!$B$47,IF(G1560&lt;60,'General Basis'!$B$48,IF(G1560&lt;65,'General Basis'!$B$49,'General Basis'!$B$50)))))))))))))</f>
        <v/>
      </c>
      <c r="BI1560" s="744" t="str">
        <f t="shared" si="555"/>
        <v/>
      </c>
      <c r="BJ1560" s="747" t="str">
        <f t="shared" si="562"/>
        <v/>
      </c>
      <c r="BK1560" s="498" t="str">
        <f t="shared" si="556"/>
        <v/>
      </c>
      <c r="BL1560" s="498" t="str">
        <f t="shared" si="557"/>
        <v/>
      </c>
    </row>
    <row r="1561" spans="1:64" x14ac:dyDescent="0.25">
      <c r="A1561" s="762">
        <f t="shared" si="558"/>
        <v>1556</v>
      </c>
      <c r="B1561" s="229"/>
      <c r="C1561" s="223"/>
      <c r="D1561" s="224"/>
      <c r="E1561" s="225"/>
      <c r="F1561" s="1036" t="str">
        <f t="shared" si="564"/>
        <v/>
      </c>
      <c r="G1561" s="1037" t="str">
        <f t="shared" si="559"/>
        <v/>
      </c>
      <c r="H1561" s="225"/>
      <c r="I1561" s="1013"/>
      <c r="J1561" s="1013"/>
      <c r="K1561" s="1028"/>
      <c r="L1561" s="1035" t="str">
        <f t="shared" si="563"/>
        <v/>
      </c>
      <c r="S1561" s="498"/>
      <c r="AJ1561" s="498"/>
      <c r="AM1561" s="498">
        <f t="shared" si="544"/>
        <v>0</v>
      </c>
      <c r="AN1561" s="498">
        <f t="shared" si="545"/>
        <v>0</v>
      </c>
      <c r="AO1561" s="498">
        <f t="shared" si="546"/>
        <v>0</v>
      </c>
      <c r="AP1561" s="498">
        <f t="shared" si="565"/>
        <v>0</v>
      </c>
      <c r="AQ1561" s="498">
        <f t="shared" si="560"/>
        <v>0</v>
      </c>
      <c r="AU1561" s="498">
        <f t="shared" si="547"/>
        <v>0</v>
      </c>
      <c r="AV1561" s="498">
        <f t="shared" si="548"/>
        <v>0</v>
      </c>
      <c r="AW1561" s="498">
        <f t="shared" si="549"/>
        <v>0</v>
      </c>
      <c r="AX1561" s="498">
        <f t="shared" si="550"/>
        <v>0</v>
      </c>
      <c r="AY1561" s="498">
        <f t="shared" si="551"/>
        <v>0</v>
      </c>
      <c r="BB1561" s="498" t="str">
        <f t="shared" si="552"/>
        <v/>
      </c>
      <c r="BC1561" s="743" t="str">
        <f t="shared" si="553"/>
        <v/>
      </c>
      <c r="BD1561" s="743" t="str">
        <f t="shared" si="554"/>
        <v/>
      </c>
      <c r="BE1561" s="743" t="str">
        <f>IF(D1561="","",VLOOKUP(D1561,'General Basis'!$J$39:$K$46,2,0))</f>
        <v/>
      </c>
      <c r="BF1561" s="744" t="str">
        <f>IF(D1561="","",VLOOKUP(D1561,'General Basis'!$J$39:$L$46,3,0))</f>
        <v/>
      </c>
      <c r="BG1561" s="744" t="str">
        <f t="shared" si="561"/>
        <v/>
      </c>
      <c r="BH1561" s="744" t="str">
        <f>IF(G1561="","",IF(BF1561="Abu Dhabi",IF(G1561&lt;18,'General Basis'!$C$39,IF(G1561&lt;41,'General Basis'!$C$40,IF(G1561&lt;60,'General Basis'!$C$41,IF(G1561&lt;65,'General Basis'!$C$42,'General Basis'!$C$43)))),IF(G1561&lt;11,'General Basis'!$B$39,IF(G1561&lt;18,'General Basis'!$B$40,IF(G1561&lt;26,'General Basis'!$B$41,IF(G1561&lt;31,'General Basis'!$B$42,IF(G1561&lt;36,'General Basis'!$B$43,IF(G1561&lt;41,'General Basis'!$B$44,IF(G1561&lt;46,'General Basis'!$B$45,IF(G1561&lt;51,'General Basis'!$B$46,IF(G1561&lt;56,'General Basis'!$B$47,IF(G1561&lt;60,'General Basis'!$B$48,IF(G1561&lt;65,'General Basis'!$B$49,'General Basis'!$B$50)))))))))))))</f>
        <v/>
      </c>
      <c r="BI1561" s="744" t="str">
        <f t="shared" si="555"/>
        <v/>
      </c>
      <c r="BJ1561" s="747" t="str">
        <f t="shared" si="562"/>
        <v/>
      </c>
      <c r="BK1561" s="498" t="str">
        <f t="shared" si="556"/>
        <v/>
      </c>
      <c r="BL1561" s="498" t="str">
        <f t="shared" si="557"/>
        <v/>
      </c>
    </row>
    <row r="1562" spans="1:64" x14ac:dyDescent="0.25">
      <c r="A1562" s="762">
        <f t="shared" si="558"/>
        <v>1557</v>
      </c>
      <c r="B1562" s="229"/>
      <c r="C1562" s="223"/>
      <c r="D1562" s="224"/>
      <c r="E1562" s="225"/>
      <c r="F1562" s="1036" t="str">
        <f t="shared" si="564"/>
        <v/>
      </c>
      <c r="G1562" s="1037" t="str">
        <f t="shared" si="559"/>
        <v/>
      </c>
      <c r="H1562" s="225"/>
      <c r="I1562" s="1013"/>
      <c r="J1562" s="1013"/>
      <c r="K1562" s="1028"/>
      <c r="L1562" s="1035" t="str">
        <f t="shared" si="563"/>
        <v/>
      </c>
      <c r="S1562" s="498"/>
      <c r="AJ1562" s="498"/>
      <c r="AM1562" s="498">
        <f t="shared" si="544"/>
        <v>0</v>
      </c>
      <c r="AN1562" s="498">
        <f t="shared" si="545"/>
        <v>0</v>
      </c>
      <c r="AO1562" s="498">
        <f t="shared" si="546"/>
        <v>0</v>
      </c>
      <c r="AP1562" s="498">
        <f t="shared" si="565"/>
        <v>0</v>
      </c>
      <c r="AQ1562" s="498">
        <f t="shared" si="560"/>
        <v>0</v>
      </c>
      <c r="AU1562" s="498">
        <f t="shared" si="547"/>
        <v>0</v>
      </c>
      <c r="AV1562" s="498">
        <f t="shared" si="548"/>
        <v>0</v>
      </c>
      <c r="AW1562" s="498">
        <f t="shared" si="549"/>
        <v>0</v>
      </c>
      <c r="AX1562" s="498">
        <f t="shared" si="550"/>
        <v>0</v>
      </c>
      <c r="AY1562" s="498">
        <f t="shared" si="551"/>
        <v>0</v>
      </c>
      <c r="BB1562" s="498" t="str">
        <f t="shared" si="552"/>
        <v/>
      </c>
      <c r="BC1562" s="743" t="str">
        <f t="shared" si="553"/>
        <v/>
      </c>
      <c r="BD1562" s="743" t="str">
        <f t="shared" si="554"/>
        <v/>
      </c>
      <c r="BE1562" s="743" t="str">
        <f>IF(D1562="","",VLOOKUP(D1562,'General Basis'!$J$39:$K$46,2,0))</f>
        <v/>
      </c>
      <c r="BF1562" s="744" t="str">
        <f>IF(D1562="","",VLOOKUP(D1562,'General Basis'!$J$39:$L$46,3,0))</f>
        <v/>
      </c>
      <c r="BG1562" s="744" t="str">
        <f t="shared" si="561"/>
        <v/>
      </c>
      <c r="BH1562" s="744" t="str">
        <f>IF(G1562="","",IF(BF1562="Abu Dhabi",IF(G1562&lt;18,'General Basis'!$C$39,IF(G1562&lt;41,'General Basis'!$C$40,IF(G1562&lt;60,'General Basis'!$C$41,IF(G1562&lt;65,'General Basis'!$C$42,'General Basis'!$C$43)))),IF(G1562&lt;11,'General Basis'!$B$39,IF(G1562&lt;18,'General Basis'!$B$40,IF(G1562&lt;26,'General Basis'!$B$41,IF(G1562&lt;31,'General Basis'!$B$42,IF(G1562&lt;36,'General Basis'!$B$43,IF(G1562&lt;41,'General Basis'!$B$44,IF(G1562&lt;46,'General Basis'!$B$45,IF(G1562&lt;51,'General Basis'!$B$46,IF(G1562&lt;56,'General Basis'!$B$47,IF(G1562&lt;60,'General Basis'!$B$48,IF(G1562&lt;65,'General Basis'!$B$49,'General Basis'!$B$50)))))))))))))</f>
        <v/>
      </c>
      <c r="BI1562" s="744" t="str">
        <f t="shared" si="555"/>
        <v/>
      </c>
      <c r="BJ1562" s="747" t="str">
        <f t="shared" si="562"/>
        <v/>
      </c>
      <c r="BK1562" s="498" t="str">
        <f t="shared" si="556"/>
        <v/>
      </c>
      <c r="BL1562" s="498" t="str">
        <f t="shared" si="557"/>
        <v/>
      </c>
    </row>
    <row r="1563" spans="1:64" x14ac:dyDescent="0.25">
      <c r="A1563" s="762">
        <f t="shared" si="558"/>
        <v>1558</v>
      </c>
      <c r="B1563" s="229"/>
      <c r="C1563" s="223"/>
      <c r="D1563" s="224"/>
      <c r="E1563" s="225"/>
      <c r="F1563" s="1036" t="str">
        <f t="shared" si="564"/>
        <v/>
      </c>
      <c r="G1563" s="1037" t="str">
        <f t="shared" si="559"/>
        <v/>
      </c>
      <c r="H1563" s="225"/>
      <c r="I1563" s="1013"/>
      <c r="J1563" s="1013"/>
      <c r="K1563" s="1028"/>
      <c r="L1563" s="1035" t="str">
        <f t="shared" si="563"/>
        <v/>
      </c>
      <c r="S1563" s="498"/>
      <c r="AJ1563" s="498"/>
      <c r="AM1563" s="498">
        <f t="shared" si="544"/>
        <v>0</v>
      </c>
      <c r="AN1563" s="498">
        <f t="shared" si="545"/>
        <v>0</v>
      </c>
      <c r="AO1563" s="498">
        <f t="shared" si="546"/>
        <v>0</v>
      </c>
      <c r="AP1563" s="498">
        <f t="shared" si="565"/>
        <v>0</v>
      </c>
      <c r="AQ1563" s="498">
        <f t="shared" si="560"/>
        <v>0</v>
      </c>
      <c r="AU1563" s="498">
        <f t="shared" si="547"/>
        <v>0</v>
      </c>
      <c r="AV1563" s="498">
        <f t="shared" si="548"/>
        <v>0</v>
      </c>
      <c r="AW1563" s="498">
        <f t="shared" si="549"/>
        <v>0</v>
      </c>
      <c r="AX1563" s="498">
        <f t="shared" si="550"/>
        <v>0</v>
      </c>
      <c r="AY1563" s="498">
        <f t="shared" si="551"/>
        <v>0</v>
      </c>
      <c r="BB1563" s="498" t="str">
        <f t="shared" si="552"/>
        <v/>
      </c>
      <c r="BC1563" s="743" t="str">
        <f t="shared" si="553"/>
        <v/>
      </c>
      <c r="BD1563" s="743" t="str">
        <f t="shared" si="554"/>
        <v/>
      </c>
      <c r="BE1563" s="743" t="str">
        <f>IF(D1563="","",VLOOKUP(D1563,'General Basis'!$J$39:$K$46,2,0))</f>
        <v/>
      </c>
      <c r="BF1563" s="744" t="str">
        <f>IF(D1563="","",VLOOKUP(D1563,'General Basis'!$J$39:$L$46,3,0))</f>
        <v/>
      </c>
      <c r="BG1563" s="744" t="str">
        <f t="shared" si="561"/>
        <v/>
      </c>
      <c r="BH1563" s="744" t="str">
        <f>IF(G1563="","",IF(BF1563="Abu Dhabi",IF(G1563&lt;18,'General Basis'!$C$39,IF(G1563&lt;41,'General Basis'!$C$40,IF(G1563&lt;60,'General Basis'!$C$41,IF(G1563&lt;65,'General Basis'!$C$42,'General Basis'!$C$43)))),IF(G1563&lt;11,'General Basis'!$B$39,IF(G1563&lt;18,'General Basis'!$B$40,IF(G1563&lt;26,'General Basis'!$B$41,IF(G1563&lt;31,'General Basis'!$B$42,IF(G1563&lt;36,'General Basis'!$B$43,IF(G1563&lt;41,'General Basis'!$B$44,IF(G1563&lt;46,'General Basis'!$B$45,IF(G1563&lt;51,'General Basis'!$B$46,IF(G1563&lt;56,'General Basis'!$B$47,IF(G1563&lt;60,'General Basis'!$B$48,IF(G1563&lt;65,'General Basis'!$B$49,'General Basis'!$B$50)))))))))))))</f>
        <v/>
      </c>
      <c r="BI1563" s="744" t="str">
        <f t="shared" si="555"/>
        <v/>
      </c>
      <c r="BJ1563" s="747" t="str">
        <f t="shared" si="562"/>
        <v/>
      </c>
      <c r="BK1563" s="498" t="str">
        <f t="shared" si="556"/>
        <v/>
      </c>
      <c r="BL1563" s="498" t="str">
        <f t="shared" si="557"/>
        <v/>
      </c>
    </row>
    <row r="1564" spans="1:64" x14ac:dyDescent="0.25">
      <c r="A1564" s="762">
        <f t="shared" si="558"/>
        <v>1559</v>
      </c>
      <c r="B1564" s="229"/>
      <c r="C1564" s="223"/>
      <c r="D1564" s="224"/>
      <c r="E1564" s="225"/>
      <c r="F1564" s="1036" t="str">
        <f t="shared" si="564"/>
        <v/>
      </c>
      <c r="G1564" s="1037" t="str">
        <f t="shared" si="559"/>
        <v/>
      </c>
      <c r="H1564" s="225"/>
      <c r="I1564" s="1013"/>
      <c r="J1564" s="1013"/>
      <c r="K1564" s="1028"/>
      <c r="L1564" s="1035" t="str">
        <f t="shared" si="563"/>
        <v/>
      </c>
      <c r="S1564" s="498"/>
      <c r="AJ1564" s="498"/>
      <c r="AM1564" s="498">
        <f t="shared" si="544"/>
        <v>0</v>
      </c>
      <c r="AN1564" s="498">
        <f t="shared" si="545"/>
        <v>0</v>
      </c>
      <c r="AO1564" s="498">
        <f t="shared" si="546"/>
        <v>0</v>
      </c>
      <c r="AP1564" s="498">
        <f t="shared" si="565"/>
        <v>0</v>
      </c>
      <c r="AQ1564" s="498">
        <f t="shared" si="560"/>
        <v>0</v>
      </c>
      <c r="AU1564" s="498">
        <f t="shared" si="547"/>
        <v>0</v>
      </c>
      <c r="AV1564" s="498">
        <f t="shared" si="548"/>
        <v>0</v>
      </c>
      <c r="AW1564" s="498">
        <f t="shared" si="549"/>
        <v>0</v>
      </c>
      <c r="AX1564" s="498">
        <f t="shared" si="550"/>
        <v>0</v>
      </c>
      <c r="AY1564" s="498">
        <f t="shared" si="551"/>
        <v>0</v>
      </c>
      <c r="BB1564" s="498" t="str">
        <f t="shared" si="552"/>
        <v/>
      </c>
      <c r="BC1564" s="743" t="str">
        <f t="shared" si="553"/>
        <v/>
      </c>
      <c r="BD1564" s="743" t="str">
        <f t="shared" si="554"/>
        <v/>
      </c>
      <c r="BE1564" s="743" t="str">
        <f>IF(D1564="","",VLOOKUP(D1564,'General Basis'!$J$39:$K$46,2,0))</f>
        <v/>
      </c>
      <c r="BF1564" s="744" t="str">
        <f>IF(D1564="","",VLOOKUP(D1564,'General Basis'!$J$39:$L$46,3,0))</f>
        <v/>
      </c>
      <c r="BG1564" s="744" t="str">
        <f t="shared" si="561"/>
        <v/>
      </c>
      <c r="BH1564" s="744" t="str">
        <f>IF(G1564="","",IF(BF1564="Abu Dhabi",IF(G1564&lt;18,'General Basis'!$C$39,IF(G1564&lt;41,'General Basis'!$C$40,IF(G1564&lt;60,'General Basis'!$C$41,IF(G1564&lt;65,'General Basis'!$C$42,'General Basis'!$C$43)))),IF(G1564&lt;11,'General Basis'!$B$39,IF(G1564&lt;18,'General Basis'!$B$40,IF(G1564&lt;26,'General Basis'!$B$41,IF(G1564&lt;31,'General Basis'!$B$42,IF(G1564&lt;36,'General Basis'!$B$43,IF(G1564&lt;41,'General Basis'!$B$44,IF(G1564&lt;46,'General Basis'!$B$45,IF(G1564&lt;51,'General Basis'!$B$46,IF(G1564&lt;56,'General Basis'!$B$47,IF(G1564&lt;60,'General Basis'!$B$48,IF(G1564&lt;65,'General Basis'!$B$49,'General Basis'!$B$50)))))))))))))</f>
        <v/>
      </c>
      <c r="BI1564" s="744" t="str">
        <f t="shared" si="555"/>
        <v/>
      </c>
      <c r="BJ1564" s="747" t="str">
        <f t="shared" si="562"/>
        <v/>
      </c>
      <c r="BK1564" s="498" t="str">
        <f t="shared" si="556"/>
        <v/>
      </c>
      <c r="BL1564" s="498" t="str">
        <f t="shared" si="557"/>
        <v/>
      </c>
    </row>
    <row r="1565" spans="1:64" x14ac:dyDescent="0.25">
      <c r="A1565" s="762">
        <f t="shared" si="558"/>
        <v>1560</v>
      </c>
      <c r="B1565" s="229"/>
      <c r="C1565" s="223"/>
      <c r="D1565" s="224"/>
      <c r="E1565" s="225"/>
      <c r="F1565" s="1036" t="str">
        <f t="shared" si="564"/>
        <v/>
      </c>
      <c r="G1565" s="1037" t="str">
        <f t="shared" si="559"/>
        <v/>
      </c>
      <c r="H1565" s="225"/>
      <c r="I1565" s="1013"/>
      <c r="J1565" s="1013"/>
      <c r="K1565" s="1028"/>
      <c r="L1565" s="1035" t="str">
        <f t="shared" si="563"/>
        <v/>
      </c>
      <c r="S1565" s="498"/>
      <c r="AJ1565" s="498"/>
      <c r="AM1565" s="498">
        <f t="shared" si="544"/>
        <v>0</v>
      </c>
      <c r="AN1565" s="498">
        <f t="shared" si="545"/>
        <v>0</v>
      </c>
      <c r="AO1565" s="498">
        <f t="shared" si="546"/>
        <v>0</v>
      </c>
      <c r="AP1565" s="498">
        <f t="shared" si="565"/>
        <v>0</v>
      </c>
      <c r="AQ1565" s="498">
        <f t="shared" si="560"/>
        <v>0</v>
      </c>
      <c r="AU1565" s="498">
        <f t="shared" si="547"/>
        <v>0</v>
      </c>
      <c r="AV1565" s="498">
        <f t="shared" si="548"/>
        <v>0</v>
      </c>
      <c r="AW1565" s="498">
        <f t="shared" si="549"/>
        <v>0</v>
      </c>
      <c r="AX1565" s="498">
        <f t="shared" si="550"/>
        <v>0</v>
      </c>
      <c r="AY1565" s="498">
        <f t="shared" si="551"/>
        <v>0</v>
      </c>
      <c r="BB1565" s="498" t="str">
        <f t="shared" si="552"/>
        <v/>
      </c>
      <c r="BC1565" s="743" t="str">
        <f t="shared" si="553"/>
        <v/>
      </c>
      <c r="BD1565" s="743" t="str">
        <f t="shared" si="554"/>
        <v/>
      </c>
      <c r="BE1565" s="743" t="str">
        <f>IF(D1565="","",VLOOKUP(D1565,'General Basis'!$J$39:$K$46,2,0))</f>
        <v/>
      </c>
      <c r="BF1565" s="744" t="str">
        <f>IF(D1565="","",VLOOKUP(D1565,'General Basis'!$J$39:$L$46,3,0))</f>
        <v/>
      </c>
      <c r="BG1565" s="744" t="str">
        <f t="shared" si="561"/>
        <v/>
      </c>
      <c r="BH1565" s="744" t="str">
        <f>IF(G1565="","",IF(BF1565="Abu Dhabi",IF(G1565&lt;18,'General Basis'!$C$39,IF(G1565&lt;41,'General Basis'!$C$40,IF(G1565&lt;60,'General Basis'!$C$41,IF(G1565&lt;65,'General Basis'!$C$42,'General Basis'!$C$43)))),IF(G1565&lt;11,'General Basis'!$B$39,IF(G1565&lt;18,'General Basis'!$B$40,IF(G1565&lt;26,'General Basis'!$B$41,IF(G1565&lt;31,'General Basis'!$B$42,IF(G1565&lt;36,'General Basis'!$B$43,IF(G1565&lt;41,'General Basis'!$B$44,IF(G1565&lt;46,'General Basis'!$B$45,IF(G1565&lt;51,'General Basis'!$B$46,IF(G1565&lt;56,'General Basis'!$B$47,IF(G1565&lt;60,'General Basis'!$B$48,IF(G1565&lt;65,'General Basis'!$B$49,'General Basis'!$B$50)))))))))))))</f>
        <v/>
      </c>
      <c r="BI1565" s="744" t="str">
        <f t="shared" si="555"/>
        <v/>
      </c>
      <c r="BJ1565" s="747" t="str">
        <f t="shared" si="562"/>
        <v/>
      </c>
      <c r="BK1565" s="498" t="str">
        <f t="shared" si="556"/>
        <v/>
      </c>
      <c r="BL1565" s="498" t="str">
        <f t="shared" si="557"/>
        <v/>
      </c>
    </row>
    <row r="1566" spans="1:64" x14ac:dyDescent="0.25">
      <c r="A1566" s="762">
        <f t="shared" si="558"/>
        <v>1561</v>
      </c>
      <c r="B1566" s="229"/>
      <c r="C1566" s="223"/>
      <c r="D1566" s="224"/>
      <c r="E1566" s="225"/>
      <c r="F1566" s="1036" t="str">
        <f t="shared" si="564"/>
        <v/>
      </c>
      <c r="G1566" s="1037" t="str">
        <f t="shared" si="559"/>
        <v/>
      </c>
      <c r="H1566" s="225"/>
      <c r="I1566" s="1013"/>
      <c r="J1566" s="1013"/>
      <c r="K1566" s="1028"/>
      <c r="L1566" s="1035" t="str">
        <f t="shared" si="563"/>
        <v/>
      </c>
      <c r="S1566" s="498"/>
      <c r="AJ1566" s="498"/>
      <c r="AM1566" s="498">
        <f t="shared" si="544"/>
        <v>0</v>
      </c>
      <c r="AN1566" s="498">
        <f t="shared" si="545"/>
        <v>0</v>
      </c>
      <c r="AO1566" s="498">
        <f t="shared" si="546"/>
        <v>0</v>
      </c>
      <c r="AP1566" s="498">
        <f t="shared" si="565"/>
        <v>0</v>
      </c>
      <c r="AQ1566" s="498">
        <f t="shared" si="560"/>
        <v>0</v>
      </c>
      <c r="AU1566" s="498">
        <f t="shared" si="547"/>
        <v>0</v>
      </c>
      <c r="AV1566" s="498">
        <f t="shared" si="548"/>
        <v>0</v>
      </c>
      <c r="AW1566" s="498">
        <f t="shared" si="549"/>
        <v>0</v>
      </c>
      <c r="AX1566" s="498">
        <f t="shared" si="550"/>
        <v>0</v>
      </c>
      <c r="AY1566" s="498">
        <f t="shared" si="551"/>
        <v>0</v>
      </c>
      <c r="BB1566" s="498" t="str">
        <f t="shared" si="552"/>
        <v/>
      </c>
      <c r="BC1566" s="743" t="str">
        <f t="shared" si="553"/>
        <v/>
      </c>
      <c r="BD1566" s="743" t="str">
        <f t="shared" si="554"/>
        <v/>
      </c>
      <c r="BE1566" s="743" t="str">
        <f>IF(D1566="","",VLOOKUP(D1566,'General Basis'!$J$39:$K$46,2,0))</f>
        <v/>
      </c>
      <c r="BF1566" s="744" t="str">
        <f>IF(D1566="","",VLOOKUP(D1566,'General Basis'!$J$39:$L$46,3,0))</f>
        <v/>
      </c>
      <c r="BG1566" s="744" t="str">
        <f t="shared" si="561"/>
        <v/>
      </c>
      <c r="BH1566" s="744" t="str">
        <f>IF(G1566="","",IF(BF1566="Abu Dhabi",IF(G1566&lt;18,'General Basis'!$C$39,IF(G1566&lt;41,'General Basis'!$C$40,IF(G1566&lt;60,'General Basis'!$C$41,IF(G1566&lt;65,'General Basis'!$C$42,'General Basis'!$C$43)))),IF(G1566&lt;11,'General Basis'!$B$39,IF(G1566&lt;18,'General Basis'!$B$40,IF(G1566&lt;26,'General Basis'!$B$41,IF(G1566&lt;31,'General Basis'!$B$42,IF(G1566&lt;36,'General Basis'!$B$43,IF(G1566&lt;41,'General Basis'!$B$44,IF(G1566&lt;46,'General Basis'!$B$45,IF(G1566&lt;51,'General Basis'!$B$46,IF(G1566&lt;56,'General Basis'!$B$47,IF(G1566&lt;60,'General Basis'!$B$48,IF(G1566&lt;65,'General Basis'!$B$49,'General Basis'!$B$50)))))))))))))</f>
        <v/>
      </c>
      <c r="BI1566" s="744" t="str">
        <f t="shared" si="555"/>
        <v/>
      </c>
      <c r="BJ1566" s="747" t="str">
        <f t="shared" si="562"/>
        <v/>
      </c>
      <c r="BK1566" s="498" t="str">
        <f t="shared" si="556"/>
        <v/>
      </c>
      <c r="BL1566" s="498" t="str">
        <f t="shared" si="557"/>
        <v/>
      </c>
    </row>
    <row r="1567" spans="1:64" x14ac:dyDescent="0.25">
      <c r="A1567" s="762">
        <f t="shared" si="558"/>
        <v>1562</v>
      </c>
      <c r="B1567" s="229"/>
      <c r="C1567" s="223"/>
      <c r="D1567" s="224"/>
      <c r="E1567" s="225"/>
      <c r="F1567" s="1036" t="str">
        <f t="shared" si="564"/>
        <v/>
      </c>
      <c r="G1567" s="1037" t="str">
        <f t="shared" si="559"/>
        <v/>
      </c>
      <c r="H1567" s="225"/>
      <c r="I1567" s="1013"/>
      <c r="J1567" s="1013"/>
      <c r="K1567" s="1028"/>
      <c r="L1567" s="1035" t="str">
        <f t="shared" si="563"/>
        <v/>
      </c>
      <c r="S1567" s="498"/>
      <c r="AJ1567" s="498"/>
      <c r="AM1567" s="498">
        <f t="shared" si="544"/>
        <v>0</v>
      </c>
      <c r="AN1567" s="498">
        <f t="shared" si="545"/>
        <v>0</v>
      </c>
      <c r="AO1567" s="498">
        <f t="shared" si="546"/>
        <v>0</v>
      </c>
      <c r="AP1567" s="498">
        <f t="shared" si="565"/>
        <v>0</v>
      </c>
      <c r="AQ1567" s="498">
        <f t="shared" si="560"/>
        <v>0</v>
      </c>
      <c r="AU1567" s="498">
        <f t="shared" si="547"/>
        <v>0</v>
      </c>
      <c r="AV1567" s="498">
        <f t="shared" si="548"/>
        <v>0</v>
      </c>
      <c r="AW1567" s="498">
        <f t="shared" si="549"/>
        <v>0</v>
      </c>
      <c r="AX1567" s="498">
        <f t="shared" si="550"/>
        <v>0</v>
      </c>
      <c r="AY1567" s="498">
        <f t="shared" si="551"/>
        <v>0</v>
      </c>
      <c r="BB1567" s="498" t="str">
        <f t="shared" si="552"/>
        <v/>
      </c>
      <c r="BC1567" s="743" t="str">
        <f t="shared" si="553"/>
        <v/>
      </c>
      <c r="BD1567" s="743" t="str">
        <f t="shared" si="554"/>
        <v/>
      </c>
      <c r="BE1567" s="743" t="str">
        <f>IF(D1567="","",VLOOKUP(D1567,'General Basis'!$J$39:$K$46,2,0))</f>
        <v/>
      </c>
      <c r="BF1567" s="744" t="str">
        <f>IF(D1567="","",VLOOKUP(D1567,'General Basis'!$J$39:$L$46,3,0))</f>
        <v/>
      </c>
      <c r="BG1567" s="744" t="str">
        <f t="shared" si="561"/>
        <v/>
      </c>
      <c r="BH1567" s="744" t="str">
        <f>IF(G1567="","",IF(BF1567="Abu Dhabi",IF(G1567&lt;18,'General Basis'!$C$39,IF(G1567&lt;41,'General Basis'!$C$40,IF(G1567&lt;60,'General Basis'!$C$41,IF(G1567&lt;65,'General Basis'!$C$42,'General Basis'!$C$43)))),IF(G1567&lt;11,'General Basis'!$B$39,IF(G1567&lt;18,'General Basis'!$B$40,IF(G1567&lt;26,'General Basis'!$B$41,IF(G1567&lt;31,'General Basis'!$B$42,IF(G1567&lt;36,'General Basis'!$B$43,IF(G1567&lt;41,'General Basis'!$B$44,IF(G1567&lt;46,'General Basis'!$B$45,IF(G1567&lt;51,'General Basis'!$B$46,IF(G1567&lt;56,'General Basis'!$B$47,IF(G1567&lt;60,'General Basis'!$B$48,IF(G1567&lt;65,'General Basis'!$B$49,'General Basis'!$B$50)))))))))))))</f>
        <v/>
      </c>
      <c r="BI1567" s="744" t="str">
        <f t="shared" si="555"/>
        <v/>
      </c>
      <c r="BJ1567" s="747" t="str">
        <f t="shared" si="562"/>
        <v/>
      </c>
      <c r="BK1567" s="498" t="str">
        <f t="shared" si="556"/>
        <v/>
      </c>
      <c r="BL1567" s="498" t="str">
        <f t="shared" si="557"/>
        <v/>
      </c>
    </row>
    <row r="1568" spans="1:64" x14ac:dyDescent="0.25">
      <c r="A1568" s="762">
        <f t="shared" si="558"/>
        <v>1563</v>
      </c>
      <c r="B1568" s="229"/>
      <c r="C1568" s="223"/>
      <c r="D1568" s="224"/>
      <c r="E1568" s="225"/>
      <c r="F1568" s="1036" t="str">
        <f t="shared" si="564"/>
        <v/>
      </c>
      <c r="G1568" s="1037" t="str">
        <f t="shared" si="559"/>
        <v/>
      </c>
      <c r="H1568" s="225"/>
      <c r="I1568" s="1013"/>
      <c r="J1568" s="1013"/>
      <c r="K1568" s="1028"/>
      <c r="L1568" s="1035" t="str">
        <f t="shared" si="563"/>
        <v/>
      </c>
      <c r="S1568" s="498"/>
      <c r="AJ1568" s="498"/>
      <c r="AM1568" s="498">
        <f t="shared" si="544"/>
        <v>0</v>
      </c>
      <c r="AN1568" s="498">
        <f t="shared" si="545"/>
        <v>0</v>
      </c>
      <c r="AO1568" s="498">
        <f t="shared" si="546"/>
        <v>0</v>
      </c>
      <c r="AP1568" s="498">
        <f t="shared" si="565"/>
        <v>0</v>
      </c>
      <c r="AQ1568" s="498">
        <f t="shared" si="560"/>
        <v>0</v>
      </c>
      <c r="AU1568" s="498">
        <f t="shared" si="547"/>
        <v>0</v>
      </c>
      <c r="AV1568" s="498">
        <f t="shared" si="548"/>
        <v>0</v>
      </c>
      <c r="AW1568" s="498">
        <f t="shared" si="549"/>
        <v>0</v>
      </c>
      <c r="AX1568" s="498">
        <f t="shared" si="550"/>
        <v>0</v>
      </c>
      <c r="AY1568" s="498">
        <f t="shared" si="551"/>
        <v>0</v>
      </c>
      <c r="BB1568" s="498" t="str">
        <f t="shared" si="552"/>
        <v/>
      </c>
      <c r="BC1568" s="743" t="str">
        <f t="shared" si="553"/>
        <v/>
      </c>
      <c r="BD1568" s="743" t="str">
        <f t="shared" si="554"/>
        <v/>
      </c>
      <c r="BE1568" s="743" t="str">
        <f>IF(D1568="","",VLOOKUP(D1568,'General Basis'!$J$39:$K$46,2,0))</f>
        <v/>
      </c>
      <c r="BF1568" s="744" t="str">
        <f>IF(D1568="","",VLOOKUP(D1568,'General Basis'!$J$39:$L$46,3,0))</f>
        <v/>
      </c>
      <c r="BG1568" s="744" t="str">
        <f t="shared" si="561"/>
        <v/>
      </c>
      <c r="BH1568" s="744" t="str">
        <f>IF(G1568="","",IF(BF1568="Abu Dhabi",IF(G1568&lt;18,'General Basis'!$C$39,IF(G1568&lt;41,'General Basis'!$C$40,IF(G1568&lt;60,'General Basis'!$C$41,IF(G1568&lt;65,'General Basis'!$C$42,'General Basis'!$C$43)))),IF(G1568&lt;11,'General Basis'!$B$39,IF(G1568&lt;18,'General Basis'!$B$40,IF(G1568&lt;26,'General Basis'!$B$41,IF(G1568&lt;31,'General Basis'!$B$42,IF(G1568&lt;36,'General Basis'!$B$43,IF(G1568&lt;41,'General Basis'!$B$44,IF(G1568&lt;46,'General Basis'!$B$45,IF(G1568&lt;51,'General Basis'!$B$46,IF(G1568&lt;56,'General Basis'!$B$47,IF(G1568&lt;60,'General Basis'!$B$48,IF(G1568&lt;65,'General Basis'!$B$49,'General Basis'!$B$50)))))))))))))</f>
        <v/>
      </c>
      <c r="BI1568" s="744" t="str">
        <f t="shared" si="555"/>
        <v/>
      </c>
      <c r="BJ1568" s="747" t="str">
        <f t="shared" si="562"/>
        <v/>
      </c>
      <c r="BK1568" s="498" t="str">
        <f t="shared" si="556"/>
        <v/>
      </c>
      <c r="BL1568" s="498" t="str">
        <f t="shared" si="557"/>
        <v/>
      </c>
    </row>
    <row r="1569" spans="1:64" x14ac:dyDescent="0.25">
      <c r="A1569" s="762">
        <f t="shared" si="558"/>
        <v>1564</v>
      </c>
      <c r="B1569" s="229"/>
      <c r="C1569" s="223"/>
      <c r="D1569" s="224"/>
      <c r="E1569" s="225"/>
      <c r="F1569" s="1036" t="str">
        <f t="shared" si="564"/>
        <v/>
      </c>
      <c r="G1569" s="1037" t="str">
        <f t="shared" si="559"/>
        <v/>
      </c>
      <c r="H1569" s="225"/>
      <c r="I1569" s="1013"/>
      <c r="J1569" s="1013"/>
      <c r="K1569" s="1028"/>
      <c r="L1569" s="1035" t="str">
        <f t="shared" si="563"/>
        <v/>
      </c>
      <c r="S1569" s="498"/>
      <c r="AJ1569" s="498"/>
      <c r="AM1569" s="498">
        <f t="shared" si="544"/>
        <v>0</v>
      </c>
      <c r="AN1569" s="498">
        <f t="shared" si="545"/>
        <v>0</v>
      </c>
      <c r="AO1569" s="498">
        <f t="shared" si="546"/>
        <v>0</v>
      </c>
      <c r="AP1569" s="498">
        <f t="shared" si="565"/>
        <v>0</v>
      </c>
      <c r="AQ1569" s="498">
        <f t="shared" si="560"/>
        <v>0</v>
      </c>
      <c r="AU1569" s="498">
        <f t="shared" si="547"/>
        <v>0</v>
      </c>
      <c r="AV1569" s="498">
        <f t="shared" si="548"/>
        <v>0</v>
      </c>
      <c r="AW1569" s="498">
        <f t="shared" si="549"/>
        <v>0</v>
      </c>
      <c r="AX1569" s="498">
        <f t="shared" si="550"/>
        <v>0</v>
      </c>
      <c r="AY1569" s="498">
        <f t="shared" si="551"/>
        <v>0</v>
      </c>
      <c r="BB1569" s="498" t="str">
        <f t="shared" si="552"/>
        <v/>
      </c>
      <c r="BC1569" s="743" t="str">
        <f t="shared" si="553"/>
        <v/>
      </c>
      <c r="BD1569" s="743" t="str">
        <f t="shared" si="554"/>
        <v/>
      </c>
      <c r="BE1569" s="743" t="str">
        <f>IF(D1569="","",VLOOKUP(D1569,'General Basis'!$J$39:$K$46,2,0))</f>
        <v/>
      </c>
      <c r="BF1569" s="744" t="str">
        <f>IF(D1569="","",VLOOKUP(D1569,'General Basis'!$J$39:$L$46,3,0))</f>
        <v/>
      </c>
      <c r="BG1569" s="744" t="str">
        <f t="shared" si="561"/>
        <v/>
      </c>
      <c r="BH1569" s="744" t="str">
        <f>IF(G1569="","",IF(BF1569="Abu Dhabi",IF(G1569&lt;18,'General Basis'!$C$39,IF(G1569&lt;41,'General Basis'!$C$40,IF(G1569&lt;60,'General Basis'!$C$41,IF(G1569&lt;65,'General Basis'!$C$42,'General Basis'!$C$43)))),IF(G1569&lt;11,'General Basis'!$B$39,IF(G1569&lt;18,'General Basis'!$B$40,IF(G1569&lt;26,'General Basis'!$B$41,IF(G1569&lt;31,'General Basis'!$B$42,IF(G1569&lt;36,'General Basis'!$B$43,IF(G1569&lt;41,'General Basis'!$B$44,IF(G1569&lt;46,'General Basis'!$B$45,IF(G1569&lt;51,'General Basis'!$B$46,IF(G1569&lt;56,'General Basis'!$B$47,IF(G1569&lt;60,'General Basis'!$B$48,IF(G1569&lt;65,'General Basis'!$B$49,'General Basis'!$B$50)))))))))))))</f>
        <v/>
      </c>
      <c r="BI1569" s="744" t="str">
        <f t="shared" si="555"/>
        <v/>
      </c>
      <c r="BJ1569" s="747" t="str">
        <f t="shared" si="562"/>
        <v/>
      </c>
      <c r="BK1569" s="498" t="str">
        <f t="shared" si="556"/>
        <v/>
      </c>
      <c r="BL1569" s="498" t="str">
        <f t="shared" si="557"/>
        <v/>
      </c>
    </row>
    <row r="1570" spans="1:64" x14ac:dyDescent="0.25">
      <c r="A1570" s="762">
        <f t="shared" si="558"/>
        <v>1565</v>
      </c>
      <c r="B1570" s="229"/>
      <c r="C1570" s="223"/>
      <c r="D1570" s="224"/>
      <c r="E1570" s="225"/>
      <c r="F1570" s="1036" t="str">
        <f t="shared" si="564"/>
        <v/>
      </c>
      <c r="G1570" s="1037" t="str">
        <f t="shared" si="559"/>
        <v/>
      </c>
      <c r="H1570" s="225"/>
      <c r="I1570" s="1013"/>
      <c r="J1570" s="1013"/>
      <c r="K1570" s="1028"/>
      <c r="L1570" s="1035" t="str">
        <f t="shared" si="563"/>
        <v/>
      </c>
      <c r="S1570" s="498"/>
      <c r="AJ1570" s="498"/>
      <c r="AM1570" s="498">
        <f t="shared" si="544"/>
        <v>0</v>
      </c>
      <c r="AN1570" s="498">
        <f t="shared" si="545"/>
        <v>0</v>
      </c>
      <c r="AO1570" s="498">
        <f t="shared" si="546"/>
        <v>0</v>
      </c>
      <c r="AP1570" s="498">
        <f t="shared" si="565"/>
        <v>0</v>
      </c>
      <c r="AQ1570" s="498">
        <f t="shared" si="560"/>
        <v>0</v>
      </c>
      <c r="AU1570" s="498">
        <f t="shared" si="547"/>
        <v>0</v>
      </c>
      <c r="AV1570" s="498">
        <f t="shared" si="548"/>
        <v>0</v>
      </c>
      <c r="AW1570" s="498">
        <f t="shared" si="549"/>
        <v>0</v>
      </c>
      <c r="AX1570" s="498">
        <f t="shared" si="550"/>
        <v>0</v>
      </c>
      <c r="AY1570" s="498">
        <f t="shared" si="551"/>
        <v>0</v>
      </c>
      <c r="BB1570" s="498" t="str">
        <f t="shared" si="552"/>
        <v/>
      </c>
      <c r="BC1570" s="743" t="str">
        <f t="shared" si="553"/>
        <v/>
      </c>
      <c r="BD1570" s="743" t="str">
        <f t="shared" si="554"/>
        <v/>
      </c>
      <c r="BE1570" s="743" t="str">
        <f>IF(D1570="","",VLOOKUP(D1570,'General Basis'!$J$39:$K$46,2,0))</f>
        <v/>
      </c>
      <c r="BF1570" s="744" t="str">
        <f>IF(D1570="","",VLOOKUP(D1570,'General Basis'!$J$39:$L$46,3,0))</f>
        <v/>
      </c>
      <c r="BG1570" s="744" t="str">
        <f t="shared" si="561"/>
        <v/>
      </c>
      <c r="BH1570" s="744" t="str">
        <f>IF(G1570="","",IF(BF1570="Abu Dhabi",IF(G1570&lt;18,'General Basis'!$C$39,IF(G1570&lt;41,'General Basis'!$C$40,IF(G1570&lt;60,'General Basis'!$C$41,IF(G1570&lt;65,'General Basis'!$C$42,'General Basis'!$C$43)))),IF(G1570&lt;11,'General Basis'!$B$39,IF(G1570&lt;18,'General Basis'!$B$40,IF(G1570&lt;26,'General Basis'!$B$41,IF(G1570&lt;31,'General Basis'!$B$42,IF(G1570&lt;36,'General Basis'!$B$43,IF(G1570&lt;41,'General Basis'!$B$44,IF(G1570&lt;46,'General Basis'!$B$45,IF(G1570&lt;51,'General Basis'!$B$46,IF(G1570&lt;56,'General Basis'!$B$47,IF(G1570&lt;60,'General Basis'!$B$48,IF(G1570&lt;65,'General Basis'!$B$49,'General Basis'!$B$50)))))))))))))</f>
        <v/>
      </c>
      <c r="BI1570" s="744" t="str">
        <f t="shared" si="555"/>
        <v/>
      </c>
      <c r="BJ1570" s="747" t="str">
        <f t="shared" si="562"/>
        <v/>
      </c>
      <c r="BK1570" s="498" t="str">
        <f t="shared" si="556"/>
        <v/>
      </c>
      <c r="BL1570" s="498" t="str">
        <f t="shared" si="557"/>
        <v/>
      </c>
    </row>
    <row r="1571" spans="1:64" x14ac:dyDescent="0.25">
      <c r="A1571" s="762">
        <f t="shared" si="558"/>
        <v>1566</v>
      </c>
      <c r="B1571" s="229"/>
      <c r="C1571" s="223"/>
      <c r="D1571" s="224"/>
      <c r="E1571" s="225"/>
      <c r="F1571" s="1036" t="str">
        <f t="shared" si="564"/>
        <v/>
      </c>
      <c r="G1571" s="1037" t="str">
        <f t="shared" si="559"/>
        <v/>
      </c>
      <c r="H1571" s="225"/>
      <c r="I1571" s="1013"/>
      <c r="J1571" s="1013"/>
      <c r="K1571" s="1028"/>
      <c r="L1571" s="1035" t="str">
        <f t="shared" si="563"/>
        <v/>
      </c>
      <c r="S1571" s="498"/>
      <c r="AJ1571" s="498"/>
      <c r="AM1571" s="498">
        <f t="shared" si="544"/>
        <v>0</v>
      </c>
      <c r="AN1571" s="498">
        <f t="shared" si="545"/>
        <v>0</v>
      </c>
      <c r="AO1571" s="498">
        <f t="shared" si="546"/>
        <v>0</v>
      </c>
      <c r="AP1571" s="498">
        <f t="shared" si="565"/>
        <v>0</v>
      </c>
      <c r="AQ1571" s="498">
        <f t="shared" si="560"/>
        <v>0</v>
      </c>
      <c r="AU1571" s="498">
        <f t="shared" si="547"/>
        <v>0</v>
      </c>
      <c r="AV1571" s="498">
        <f t="shared" si="548"/>
        <v>0</v>
      </c>
      <c r="AW1571" s="498">
        <f t="shared" si="549"/>
        <v>0</v>
      </c>
      <c r="AX1571" s="498">
        <f t="shared" si="550"/>
        <v>0</v>
      </c>
      <c r="AY1571" s="498">
        <f t="shared" si="551"/>
        <v>0</v>
      </c>
      <c r="BB1571" s="498" t="str">
        <f t="shared" si="552"/>
        <v/>
      </c>
      <c r="BC1571" s="743" t="str">
        <f t="shared" si="553"/>
        <v/>
      </c>
      <c r="BD1571" s="743" t="str">
        <f t="shared" si="554"/>
        <v/>
      </c>
      <c r="BE1571" s="743" t="str">
        <f>IF(D1571="","",VLOOKUP(D1571,'General Basis'!$J$39:$K$46,2,0))</f>
        <v/>
      </c>
      <c r="BF1571" s="744" t="str">
        <f>IF(D1571="","",VLOOKUP(D1571,'General Basis'!$J$39:$L$46,3,0))</f>
        <v/>
      </c>
      <c r="BG1571" s="744" t="str">
        <f t="shared" si="561"/>
        <v/>
      </c>
      <c r="BH1571" s="744" t="str">
        <f>IF(G1571="","",IF(BF1571="Abu Dhabi",IF(G1571&lt;18,'General Basis'!$C$39,IF(G1571&lt;41,'General Basis'!$C$40,IF(G1571&lt;60,'General Basis'!$C$41,IF(G1571&lt;65,'General Basis'!$C$42,'General Basis'!$C$43)))),IF(G1571&lt;11,'General Basis'!$B$39,IF(G1571&lt;18,'General Basis'!$B$40,IF(G1571&lt;26,'General Basis'!$B$41,IF(G1571&lt;31,'General Basis'!$B$42,IF(G1571&lt;36,'General Basis'!$B$43,IF(G1571&lt;41,'General Basis'!$B$44,IF(G1571&lt;46,'General Basis'!$B$45,IF(G1571&lt;51,'General Basis'!$B$46,IF(G1571&lt;56,'General Basis'!$B$47,IF(G1571&lt;60,'General Basis'!$B$48,IF(G1571&lt;65,'General Basis'!$B$49,'General Basis'!$B$50)))))))))))))</f>
        <v/>
      </c>
      <c r="BI1571" s="744" t="str">
        <f t="shared" si="555"/>
        <v/>
      </c>
      <c r="BJ1571" s="747" t="str">
        <f t="shared" si="562"/>
        <v/>
      </c>
      <c r="BK1571" s="498" t="str">
        <f t="shared" si="556"/>
        <v/>
      </c>
      <c r="BL1571" s="498" t="str">
        <f t="shared" si="557"/>
        <v/>
      </c>
    </row>
    <row r="1572" spans="1:64" x14ac:dyDescent="0.25">
      <c r="A1572" s="762">
        <f t="shared" si="558"/>
        <v>1567</v>
      </c>
      <c r="B1572" s="229"/>
      <c r="C1572" s="223"/>
      <c r="D1572" s="224"/>
      <c r="E1572" s="225"/>
      <c r="F1572" s="1036" t="str">
        <f t="shared" si="564"/>
        <v/>
      </c>
      <c r="G1572" s="1037" t="str">
        <f t="shared" si="559"/>
        <v/>
      </c>
      <c r="H1572" s="225"/>
      <c r="I1572" s="1013"/>
      <c r="J1572" s="1013"/>
      <c r="K1572" s="1028"/>
      <c r="L1572" s="1035" t="str">
        <f t="shared" si="563"/>
        <v/>
      </c>
      <c r="S1572" s="498"/>
      <c r="AJ1572" s="498"/>
      <c r="AM1572" s="498">
        <f t="shared" si="544"/>
        <v>0</v>
      </c>
      <c r="AN1572" s="498">
        <f t="shared" si="545"/>
        <v>0</v>
      </c>
      <c r="AO1572" s="498">
        <f t="shared" si="546"/>
        <v>0</v>
      </c>
      <c r="AP1572" s="498">
        <f t="shared" si="565"/>
        <v>0</v>
      </c>
      <c r="AQ1572" s="498">
        <f t="shared" si="560"/>
        <v>0</v>
      </c>
      <c r="AU1572" s="498">
        <f t="shared" si="547"/>
        <v>0</v>
      </c>
      <c r="AV1572" s="498">
        <f t="shared" si="548"/>
        <v>0</v>
      </c>
      <c r="AW1572" s="498">
        <f t="shared" si="549"/>
        <v>0</v>
      </c>
      <c r="AX1572" s="498">
        <f t="shared" si="550"/>
        <v>0</v>
      </c>
      <c r="AY1572" s="498">
        <f t="shared" si="551"/>
        <v>0</v>
      </c>
      <c r="BB1572" s="498" t="str">
        <f t="shared" si="552"/>
        <v/>
      </c>
      <c r="BC1572" s="743" t="str">
        <f t="shared" si="553"/>
        <v/>
      </c>
      <c r="BD1572" s="743" t="str">
        <f t="shared" si="554"/>
        <v/>
      </c>
      <c r="BE1572" s="743" t="str">
        <f>IF(D1572="","",VLOOKUP(D1572,'General Basis'!$J$39:$K$46,2,0))</f>
        <v/>
      </c>
      <c r="BF1572" s="744" t="str">
        <f>IF(D1572="","",VLOOKUP(D1572,'General Basis'!$J$39:$L$46,3,0))</f>
        <v/>
      </c>
      <c r="BG1572" s="744" t="str">
        <f t="shared" si="561"/>
        <v/>
      </c>
      <c r="BH1572" s="744" t="str">
        <f>IF(G1572="","",IF(BF1572="Abu Dhabi",IF(G1572&lt;18,'General Basis'!$C$39,IF(G1572&lt;41,'General Basis'!$C$40,IF(G1572&lt;60,'General Basis'!$C$41,IF(G1572&lt;65,'General Basis'!$C$42,'General Basis'!$C$43)))),IF(G1572&lt;11,'General Basis'!$B$39,IF(G1572&lt;18,'General Basis'!$B$40,IF(G1572&lt;26,'General Basis'!$B$41,IF(G1572&lt;31,'General Basis'!$B$42,IF(G1572&lt;36,'General Basis'!$B$43,IF(G1572&lt;41,'General Basis'!$B$44,IF(G1572&lt;46,'General Basis'!$B$45,IF(G1572&lt;51,'General Basis'!$B$46,IF(G1572&lt;56,'General Basis'!$B$47,IF(G1572&lt;60,'General Basis'!$B$48,IF(G1572&lt;65,'General Basis'!$B$49,'General Basis'!$B$50)))))))))))))</f>
        <v/>
      </c>
      <c r="BI1572" s="744" t="str">
        <f t="shared" si="555"/>
        <v/>
      </c>
      <c r="BJ1572" s="747" t="str">
        <f t="shared" si="562"/>
        <v/>
      </c>
      <c r="BK1572" s="498" t="str">
        <f t="shared" si="556"/>
        <v/>
      </c>
      <c r="BL1572" s="498" t="str">
        <f t="shared" si="557"/>
        <v/>
      </c>
    </row>
    <row r="1573" spans="1:64" x14ac:dyDescent="0.25">
      <c r="A1573" s="762">
        <f t="shared" si="558"/>
        <v>1568</v>
      </c>
      <c r="B1573" s="229"/>
      <c r="C1573" s="223"/>
      <c r="D1573" s="224"/>
      <c r="E1573" s="225"/>
      <c r="F1573" s="1036" t="str">
        <f t="shared" si="564"/>
        <v/>
      </c>
      <c r="G1573" s="1037" t="str">
        <f t="shared" si="559"/>
        <v/>
      </c>
      <c r="H1573" s="225"/>
      <c r="I1573" s="1013"/>
      <c r="J1573" s="1013"/>
      <c r="K1573" s="1028"/>
      <c r="L1573" s="1035" t="str">
        <f t="shared" si="563"/>
        <v/>
      </c>
      <c r="S1573" s="498"/>
      <c r="AJ1573" s="498"/>
      <c r="AM1573" s="498">
        <f t="shared" si="544"/>
        <v>0</v>
      </c>
      <c r="AN1573" s="498">
        <f t="shared" si="545"/>
        <v>0</v>
      </c>
      <c r="AO1573" s="498">
        <f t="shared" si="546"/>
        <v>0</v>
      </c>
      <c r="AP1573" s="498">
        <f t="shared" si="565"/>
        <v>0</v>
      </c>
      <c r="AQ1573" s="498">
        <f t="shared" si="560"/>
        <v>0</v>
      </c>
      <c r="AU1573" s="498">
        <f t="shared" si="547"/>
        <v>0</v>
      </c>
      <c r="AV1573" s="498">
        <f t="shared" si="548"/>
        <v>0</v>
      </c>
      <c r="AW1573" s="498">
        <f t="shared" si="549"/>
        <v>0</v>
      </c>
      <c r="AX1573" s="498">
        <f t="shared" si="550"/>
        <v>0</v>
      </c>
      <c r="AY1573" s="498">
        <f t="shared" si="551"/>
        <v>0</v>
      </c>
      <c r="BB1573" s="498" t="str">
        <f t="shared" si="552"/>
        <v/>
      </c>
      <c r="BC1573" s="743" t="str">
        <f t="shared" si="553"/>
        <v/>
      </c>
      <c r="BD1573" s="743" t="str">
        <f t="shared" si="554"/>
        <v/>
      </c>
      <c r="BE1573" s="743" t="str">
        <f>IF(D1573="","",VLOOKUP(D1573,'General Basis'!$J$39:$K$46,2,0))</f>
        <v/>
      </c>
      <c r="BF1573" s="744" t="str">
        <f>IF(D1573="","",VLOOKUP(D1573,'General Basis'!$J$39:$L$46,3,0))</f>
        <v/>
      </c>
      <c r="BG1573" s="744" t="str">
        <f t="shared" si="561"/>
        <v/>
      </c>
      <c r="BH1573" s="744" t="str">
        <f>IF(G1573="","",IF(BF1573="Abu Dhabi",IF(G1573&lt;18,'General Basis'!$C$39,IF(G1573&lt;41,'General Basis'!$C$40,IF(G1573&lt;60,'General Basis'!$C$41,IF(G1573&lt;65,'General Basis'!$C$42,'General Basis'!$C$43)))),IF(G1573&lt;11,'General Basis'!$B$39,IF(G1573&lt;18,'General Basis'!$B$40,IF(G1573&lt;26,'General Basis'!$B$41,IF(G1573&lt;31,'General Basis'!$B$42,IF(G1573&lt;36,'General Basis'!$B$43,IF(G1573&lt;41,'General Basis'!$B$44,IF(G1573&lt;46,'General Basis'!$B$45,IF(G1573&lt;51,'General Basis'!$B$46,IF(G1573&lt;56,'General Basis'!$B$47,IF(G1573&lt;60,'General Basis'!$B$48,IF(G1573&lt;65,'General Basis'!$B$49,'General Basis'!$B$50)))))))))))))</f>
        <v/>
      </c>
      <c r="BI1573" s="744" t="str">
        <f t="shared" si="555"/>
        <v/>
      </c>
      <c r="BJ1573" s="747" t="str">
        <f t="shared" si="562"/>
        <v/>
      </c>
      <c r="BK1573" s="498" t="str">
        <f t="shared" si="556"/>
        <v/>
      </c>
      <c r="BL1573" s="498" t="str">
        <f t="shared" si="557"/>
        <v/>
      </c>
    </row>
    <row r="1574" spans="1:64" x14ac:dyDescent="0.25">
      <c r="A1574" s="762">
        <f t="shared" si="558"/>
        <v>1569</v>
      </c>
      <c r="B1574" s="229"/>
      <c r="C1574" s="223"/>
      <c r="D1574" s="224"/>
      <c r="E1574" s="225"/>
      <c r="F1574" s="1036" t="str">
        <f t="shared" si="564"/>
        <v/>
      </c>
      <c r="G1574" s="1037" t="str">
        <f t="shared" si="559"/>
        <v/>
      </c>
      <c r="H1574" s="225"/>
      <c r="I1574" s="1013"/>
      <c r="J1574" s="1013"/>
      <c r="K1574" s="1028"/>
      <c r="L1574" s="1035" t="str">
        <f t="shared" si="563"/>
        <v/>
      </c>
      <c r="S1574" s="498"/>
      <c r="AJ1574" s="498"/>
      <c r="AM1574" s="498">
        <f t="shared" si="544"/>
        <v>0</v>
      </c>
      <c r="AN1574" s="498">
        <f t="shared" si="545"/>
        <v>0</v>
      </c>
      <c r="AO1574" s="498">
        <f t="shared" si="546"/>
        <v>0</v>
      </c>
      <c r="AP1574" s="498">
        <f t="shared" si="565"/>
        <v>0</v>
      </c>
      <c r="AQ1574" s="498">
        <f t="shared" si="560"/>
        <v>0</v>
      </c>
      <c r="AU1574" s="498">
        <f t="shared" si="547"/>
        <v>0</v>
      </c>
      <c r="AV1574" s="498">
        <f t="shared" si="548"/>
        <v>0</v>
      </c>
      <c r="AW1574" s="498">
        <f t="shared" si="549"/>
        <v>0</v>
      </c>
      <c r="AX1574" s="498">
        <f t="shared" si="550"/>
        <v>0</v>
      </c>
      <c r="AY1574" s="498">
        <f t="shared" si="551"/>
        <v>0</v>
      </c>
      <c r="BB1574" s="498" t="str">
        <f t="shared" si="552"/>
        <v/>
      </c>
      <c r="BC1574" s="743" t="str">
        <f t="shared" si="553"/>
        <v/>
      </c>
      <c r="BD1574" s="743" t="str">
        <f t="shared" si="554"/>
        <v/>
      </c>
      <c r="BE1574" s="743" t="str">
        <f>IF(D1574="","",VLOOKUP(D1574,'General Basis'!$J$39:$K$46,2,0))</f>
        <v/>
      </c>
      <c r="BF1574" s="744" t="str">
        <f>IF(D1574="","",VLOOKUP(D1574,'General Basis'!$J$39:$L$46,3,0))</f>
        <v/>
      </c>
      <c r="BG1574" s="744" t="str">
        <f t="shared" si="561"/>
        <v/>
      </c>
      <c r="BH1574" s="744" t="str">
        <f>IF(G1574="","",IF(BF1574="Abu Dhabi",IF(G1574&lt;18,'General Basis'!$C$39,IF(G1574&lt;41,'General Basis'!$C$40,IF(G1574&lt;60,'General Basis'!$C$41,IF(G1574&lt;65,'General Basis'!$C$42,'General Basis'!$C$43)))),IF(G1574&lt;11,'General Basis'!$B$39,IF(G1574&lt;18,'General Basis'!$B$40,IF(G1574&lt;26,'General Basis'!$B$41,IF(G1574&lt;31,'General Basis'!$B$42,IF(G1574&lt;36,'General Basis'!$B$43,IF(G1574&lt;41,'General Basis'!$B$44,IF(G1574&lt;46,'General Basis'!$B$45,IF(G1574&lt;51,'General Basis'!$B$46,IF(G1574&lt;56,'General Basis'!$B$47,IF(G1574&lt;60,'General Basis'!$B$48,IF(G1574&lt;65,'General Basis'!$B$49,'General Basis'!$B$50)))))))))))))</f>
        <v/>
      </c>
      <c r="BI1574" s="744" t="str">
        <f t="shared" si="555"/>
        <v/>
      </c>
      <c r="BJ1574" s="747" t="str">
        <f t="shared" si="562"/>
        <v/>
      </c>
      <c r="BK1574" s="498" t="str">
        <f t="shared" si="556"/>
        <v/>
      </c>
      <c r="BL1574" s="498" t="str">
        <f t="shared" si="557"/>
        <v/>
      </c>
    </row>
    <row r="1575" spans="1:64" x14ac:dyDescent="0.25">
      <c r="A1575" s="762">
        <f t="shared" si="558"/>
        <v>1570</v>
      </c>
      <c r="B1575" s="229"/>
      <c r="C1575" s="223"/>
      <c r="D1575" s="224"/>
      <c r="E1575" s="225"/>
      <c r="F1575" s="1036" t="str">
        <f t="shared" si="564"/>
        <v/>
      </c>
      <c r="G1575" s="1037" t="str">
        <f t="shared" si="559"/>
        <v/>
      </c>
      <c r="H1575" s="225"/>
      <c r="I1575" s="1013"/>
      <c r="J1575" s="1013"/>
      <c r="K1575" s="1028"/>
      <c r="L1575" s="1035" t="str">
        <f t="shared" si="563"/>
        <v/>
      </c>
      <c r="S1575" s="498"/>
      <c r="AJ1575" s="498"/>
      <c r="AM1575" s="498">
        <f t="shared" si="544"/>
        <v>0</v>
      </c>
      <c r="AN1575" s="498">
        <f t="shared" si="545"/>
        <v>0</v>
      </c>
      <c r="AO1575" s="498">
        <f t="shared" si="546"/>
        <v>0</v>
      </c>
      <c r="AP1575" s="498">
        <f t="shared" si="565"/>
        <v>0</v>
      </c>
      <c r="AQ1575" s="498">
        <f t="shared" si="560"/>
        <v>0</v>
      </c>
      <c r="AU1575" s="498">
        <f t="shared" si="547"/>
        <v>0</v>
      </c>
      <c r="AV1575" s="498">
        <f t="shared" si="548"/>
        <v>0</v>
      </c>
      <c r="AW1575" s="498">
        <f t="shared" si="549"/>
        <v>0</v>
      </c>
      <c r="AX1575" s="498">
        <f t="shared" si="550"/>
        <v>0</v>
      </c>
      <c r="AY1575" s="498">
        <f t="shared" si="551"/>
        <v>0</v>
      </c>
      <c r="BB1575" s="498" t="str">
        <f t="shared" si="552"/>
        <v/>
      </c>
      <c r="BC1575" s="743" t="str">
        <f t="shared" si="553"/>
        <v/>
      </c>
      <c r="BD1575" s="743" t="str">
        <f t="shared" si="554"/>
        <v/>
      </c>
      <c r="BE1575" s="743" t="str">
        <f>IF(D1575="","",VLOOKUP(D1575,'General Basis'!$J$39:$K$46,2,0))</f>
        <v/>
      </c>
      <c r="BF1575" s="744" t="str">
        <f>IF(D1575="","",VLOOKUP(D1575,'General Basis'!$J$39:$L$46,3,0))</f>
        <v/>
      </c>
      <c r="BG1575" s="744" t="str">
        <f t="shared" si="561"/>
        <v/>
      </c>
      <c r="BH1575" s="744" t="str">
        <f>IF(G1575="","",IF(BF1575="Abu Dhabi",IF(G1575&lt;18,'General Basis'!$C$39,IF(G1575&lt;41,'General Basis'!$C$40,IF(G1575&lt;60,'General Basis'!$C$41,IF(G1575&lt;65,'General Basis'!$C$42,'General Basis'!$C$43)))),IF(G1575&lt;11,'General Basis'!$B$39,IF(G1575&lt;18,'General Basis'!$B$40,IF(G1575&lt;26,'General Basis'!$B$41,IF(G1575&lt;31,'General Basis'!$B$42,IF(G1575&lt;36,'General Basis'!$B$43,IF(G1575&lt;41,'General Basis'!$B$44,IF(G1575&lt;46,'General Basis'!$B$45,IF(G1575&lt;51,'General Basis'!$B$46,IF(G1575&lt;56,'General Basis'!$B$47,IF(G1575&lt;60,'General Basis'!$B$48,IF(G1575&lt;65,'General Basis'!$B$49,'General Basis'!$B$50)))))))))))))</f>
        <v/>
      </c>
      <c r="BI1575" s="744" t="str">
        <f t="shared" si="555"/>
        <v/>
      </c>
      <c r="BJ1575" s="747" t="str">
        <f t="shared" si="562"/>
        <v/>
      </c>
      <c r="BK1575" s="498" t="str">
        <f t="shared" si="556"/>
        <v/>
      </c>
      <c r="BL1575" s="498" t="str">
        <f t="shared" si="557"/>
        <v/>
      </c>
    </row>
    <row r="1576" spans="1:64" x14ac:dyDescent="0.25">
      <c r="A1576" s="762">
        <f t="shared" si="558"/>
        <v>1571</v>
      </c>
      <c r="B1576" s="229"/>
      <c r="C1576" s="223"/>
      <c r="D1576" s="224"/>
      <c r="E1576" s="225"/>
      <c r="F1576" s="1036" t="str">
        <f t="shared" si="564"/>
        <v/>
      </c>
      <c r="G1576" s="1037" t="str">
        <f t="shared" si="559"/>
        <v/>
      </c>
      <c r="H1576" s="225"/>
      <c r="I1576" s="1013"/>
      <c r="J1576" s="1013"/>
      <c r="K1576" s="1028"/>
      <c r="L1576" s="1035" t="str">
        <f t="shared" si="563"/>
        <v/>
      </c>
      <c r="S1576" s="498"/>
      <c r="AJ1576" s="498"/>
      <c r="AM1576" s="498">
        <f t="shared" si="544"/>
        <v>0</v>
      </c>
      <c r="AN1576" s="498">
        <f t="shared" si="545"/>
        <v>0</v>
      </c>
      <c r="AO1576" s="498">
        <f t="shared" si="546"/>
        <v>0</v>
      </c>
      <c r="AP1576" s="498">
        <f t="shared" si="565"/>
        <v>0</v>
      </c>
      <c r="AQ1576" s="498">
        <f t="shared" si="560"/>
        <v>0</v>
      </c>
      <c r="AU1576" s="498">
        <f t="shared" si="547"/>
        <v>0</v>
      </c>
      <c r="AV1576" s="498">
        <f t="shared" si="548"/>
        <v>0</v>
      </c>
      <c r="AW1576" s="498">
        <f t="shared" si="549"/>
        <v>0</v>
      </c>
      <c r="AX1576" s="498">
        <f t="shared" si="550"/>
        <v>0</v>
      </c>
      <c r="AY1576" s="498">
        <f t="shared" si="551"/>
        <v>0</v>
      </c>
      <c r="BB1576" s="498" t="str">
        <f t="shared" si="552"/>
        <v/>
      </c>
      <c r="BC1576" s="743" t="str">
        <f t="shared" si="553"/>
        <v/>
      </c>
      <c r="BD1576" s="743" t="str">
        <f t="shared" si="554"/>
        <v/>
      </c>
      <c r="BE1576" s="743" t="str">
        <f>IF(D1576="","",VLOOKUP(D1576,'General Basis'!$J$39:$K$46,2,0))</f>
        <v/>
      </c>
      <c r="BF1576" s="744" t="str">
        <f>IF(D1576="","",VLOOKUP(D1576,'General Basis'!$J$39:$L$46,3,0))</f>
        <v/>
      </c>
      <c r="BG1576" s="744" t="str">
        <f t="shared" si="561"/>
        <v/>
      </c>
      <c r="BH1576" s="744" t="str">
        <f>IF(G1576="","",IF(BF1576="Abu Dhabi",IF(G1576&lt;18,'General Basis'!$C$39,IF(G1576&lt;41,'General Basis'!$C$40,IF(G1576&lt;60,'General Basis'!$C$41,IF(G1576&lt;65,'General Basis'!$C$42,'General Basis'!$C$43)))),IF(G1576&lt;11,'General Basis'!$B$39,IF(G1576&lt;18,'General Basis'!$B$40,IF(G1576&lt;26,'General Basis'!$B$41,IF(G1576&lt;31,'General Basis'!$B$42,IF(G1576&lt;36,'General Basis'!$B$43,IF(G1576&lt;41,'General Basis'!$B$44,IF(G1576&lt;46,'General Basis'!$B$45,IF(G1576&lt;51,'General Basis'!$B$46,IF(G1576&lt;56,'General Basis'!$B$47,IF(G1576&lt;60,'General Basis'!$B$48,IF(G1576&lt;65,'General Basis'!$B$49,'General Basis'!$B$50)))))))))))))</f>
        <v/>
      </c>
      <c r="BI1576" s="744" t="str">
        <f t="shared" si="555"/>
        <v/>
      </c>
      <c r="BJ1576" s="747" t="str">
        <f t="shared" si="562"/>
        <v/>
      </c>
      <c r="BK1576" s="498" t="str">
        <f t="shared" si="556"/>
        <v/>
      </c>
      <c r="BL1576" s="498" t="str">
        <f t="shared" si="557"/>
        <v/>
      </c>
    </row>
    <row r="1577" spans="1:64" x14ac:dyDescent="0.25">
      <c r="A1577" s="762">
        <f t="shared" si="558"/>
        <v>1572</v>
      </c>
      <c r="B1577" s="229"/>
      <c r="C1577" s="223"/>
      <c r="D1577" s="224"/>
      <c r="E1577" s="225"/>
      <c r="F1577" s="1036" t="str">
        <f t="shared" si="564"/>
        <v/>
      </c>
      <c r="G1577" s="1037" t="str">
        <f t="shared" si="559"/>
        <v/>
      </c>
      <c r="H1577" s="225"/>
      <c r="I1577" s="1013"/>
      <c r="J1577" s="1013"/>
      <c r="K1577" s="1028"/>
      <c r="L1577" s="1035" t="str">
        <f t="shared" si="563"/>
        <v/>
      </c>
      <c r="S1577" s="498"/>
      <c r="AJ1577" s="498"/>
      <c r="AM1577" s="498">
        <f t="shared" si="544"/>
        <v>0</v>
      </c>
      <c r="AN1577" s="498">
        <f t="shared" si="545"/>
        <v>0</v>
      </c>
      <c r="AO1577" s="498">
        <f t="shared" si="546"/>
        <v>0</v>
      </c>
      <c r="AP1577" s="498">
        <f t="shared" si="565"/>
        <v>0</v>
      </c>
      <c r="AQ1577" s="498">
        <f t="shared" si="560"/>
        <v>0</v>
      </c>
      <c r="AU1577" s="498">
        <f t="shared" si="547"/>
        <v>0</v>
      </c>
      <c r="AV1577" s="498">
        <f t="shared" si="548"/>
        <v>0</v>
      </c>
      <c r="AW1577" s="498">
        <f t="shared" si="549"/>
        <v>0</v>
      </c>
      <c r="AX1577" s="498">
        <f t="shared" si="550"/>
        <v>0</v>
      </c>
      <c r="AY1577" s="498">
        <f t="shared" si="551"/>
        <v>0</v>
      </c>
      <c r="BB1577" s="498" t="str">
        <f t="shared" si="552"/>
        <v/>
      </c>
      <c r="BC1577" s="743" t="str">
        <f t="shared" si="553"/>
        <v/>
      </c>
      <c r="BD1577" s="743" t="str">
        <f t="shared" si="554"/>
        <v/>
      </c>
      <c r="BE1577" s="743" t="str">
        <f>IF(D1577="","",VLOOKUP(D1577,'General Basis'!$J$39:$K$46,2,0))</f>
        <v/>
      </c>
      <c r="BF1577" s="744" t="str">
        <f>IF(D1577="","",VLOOKUP(D1577,'General Basis'!$J$39:$L$46,3,0))</f>
        <v/>
      </c>
      <c r="BG1577" s="744" t="str">
        <f t="shared" si="561"/>
        <v/>
      </c>
      <c r="BH1577" s="744" t="str">
        <f>IF(G1577="","",IF(BF1577="Abu Dhabi",IF(G1577&lt;18,'General Basis'!$C$39,IF(G1577&lt;41,'General Basis'!$C$40,IF(G1577&lt;60,'General Basis'!$C$41,IF(G1577&lt;65,'General Basis'!$C$42,'General Basis'!$C$43)))),IF(G1577&lt;11,'General Basis'!$B$39,IF(G1577&lt;18,'General Basis'!$B$40,IF(G1577&lt;26,'General Basis'!$B$41,IF(G1577&lt;31,'General Basis'!$B$42,IF(G1577&lt;36,'General Basis'!$B$43,IF(G1577&lt;41,'General Basis'!$B$44,IF(G1577&lt;46,'General Basis'!$B$45,IF(G1577&lt;51,'General Basis'!$B$46,IF(G1577&lt;56,'General Basis'!$B$47,IF(G1577&lt;60,'General Basis'!$B$48,IF(G1577&lt;65,'General Basis'!$B$49,'General Basis'!$B$50)))))))))))))</f>
        <v/>
      </c>
      <c r="BI1577" s="744" t="str">
        <f t="shared" si="555"/>
        <v/>
      </c>
      <c r="BJ1577" s="747" t="str">
        <f t="shared" si="562"/>
        <v/>
      </c>
      <c r="BK1577" s="498" t="str">
        <f t="shared" si="556"/>
        <v/>
      </c>
      <c r="BL1577" s="498" t="str">
        <f t="shared" si="557"/>
        <v/>
      </c>
    </row>
    <row r="1578" spans="1:64" x14ac:dyDescent="0.25">
      <c r="A1578" s="762">
        <f t="shared" si="558"/>
        <v>1573</v>
      </c>
      <c r="B1578" s="229"/>
      <c r="C1578" s="223"/>
      <c r="D1578" s="224"/>
      <c r="E1578" s="225"/>
      <c r="F1578" s="1036" t="str">
        <f t="shared" si="564"/>
        <v/>
      </c>
      <c r="G1578" s="1037" t="str">
        <f t="shared" si="559"/>
        <v/>
      </c>
      <c r="H1578" s="225"/>
      <c r="I1578" s="1013"/>
      <c r="J1578" s="1013"/>
      <c r="K1578" s="1028"/>
      <c r="L1578" s="1035" t="str">
        <f t="shared" si="563"/>
        <v/>
      </c>
      <c r="S1578" s="498"/>
      <c r="AJ1578" s="498"/>
      <c r="AM1578" s="498">
        <f t="shared" si="544"/>
        <v>0</v>
      </c>
      <c r="AN1578" s="498">
        <f t="shared" si="545"/>
        <v>0</v>
      </c>
      <c r="AO1578" s="498">
        <f t="shared" si="546"/>
        <v>0</v>
      </c>
      <c r="AP1578" s="498">
        <f t="shared" si="565"/>
        <v>0</v>
      </c>
      <c r="AQ1578" s="498">
        <f t="shared" si="560"/>
        <v>0</v>
      </c>
      <c r="AU1578" s="498">
        <f t="shared" si="547"/>
        <v>0</v>
      </c>
      <c r="AV1578" s="498">
        <f t="shared" si="548"/>
        <v>0</v>
      </c>
      <c r="AW1578" s="498">
        <f t="shared" si="549"/>
        <v>0</v>
      </c>
      <c r="AX1578" s="498">
        <f t="shared" si="550"/>
        <v>0</v>
      </c>
      <c r="AY1578" s="498">
        <f t="shared" si="551"/>
        <v>0</v>
      </c>
      <c r="BB1578" s="498" t="str">
        <f t="shared" si="552"/>
        <v/>
      </c>
      <c r="BC1578" s="743" t="str">
        <f t="shared" si="553"/>
        <v/>
      </c>
      <c r="BD1578" s="743" t="str">
        <f t="shared" si="554"/>
        <v/>
      </c>
      <c r="BE1578" s="743" t="str">
        <f>IF(D1578="","",VLOOKUP(D1578,'General Basis'!$J$39:$K$46,2,0))</f>
        <v/>
      </c>
      <c r="BF1578" s="744" t="str">
        <f>IF(D1578="","",VLOOKUP(D1578,'General Basis'!$J$39:$L$46,3,0))</f>
        <v/>
      </c>
      <c r="BG1578" s="744" t="str">
        <f t="shared" si="561"/>
        <v/>
      </c>
      <c r="BH1578" s="744" t="str">
        <f>IF(G1578="","",IF(BF1578="Abu Dhabi",IF(G1578&lt;18,'General Basis'!$C$39,IF(G1578&lt;41,'General Basis'!$C$40,IF(G1578&lt;60,'General Basis'!$C$41,IF(G1578&lt;65,'General Basis'!$C$42,'General Basis'!$C$43)))),IF(G1578&lt;11,'General Basis'!$B$39,IF(G1578&lt;18,'General Basis'!$B$40,IF(G1578&lt;26,'General Basis'!$B$41,IF(G1578&lt;31,'General Basis'!$B$42,IF(G1578&lt;36,'General Basis'!$B$43,IF(G1578&lt;41,'General Basis'!$B$44,IF(G1578&lt;46,'General Basis'!$B$45,IF(G1578&lt;51,'General Basis'!$B$46,IF(G1578&lt;56,'General Basis'!$B$47,IF(G1578&lt;60,'General Basis'!$B$48,IF(G1578&lt;65,'General Basis'!$B$49,'General Basis'!$B$50)))))))))))))</f>
        <v/>
      </c>
      <c r="BI1578" s="744" t="str">
        <f t="shared" si="555"/>
        <v/>
      </c>
      <c r="BJ1578" s="747" t="str">
        <f t="shared" si="562"/>
        <v/>
      </c>
      <c r="BK1578" s="498" t="str">
        <f t="shared" si="556"/>
        <v/>
      </c>
      <c r="BL1578" s="498" t="str">
        <f t="shared" si="557"/>
        <v/>
      </c>
    </row>
    <row r="1579" spans="1:64" x14ac:dyDescent="0.25">
      <c r="A1579" s="762">
        <f t="shared" si="558"/>
        <v>1574</v>
      </c>
      <c r="B1579" s="229"/>
      <c r="C1579" s="223"/>
      <c r="D1579" s="224"/>
      <c r="E1579" s="225"/>
      <c r="F1579" s="1036" t="str">
        <f t="shared" si="564"/>
        <v/>
      </c>
      <c r="G1579" s="1037" t="str">
        <f t="shared" si="559"/>
        <v/>
      </c>
      <c r="H1579" s="225"/>
      <c r="I1579" s="1013"/>
      <c r="J1579" s="1013"/>
      <c r="K1579" s="1028"/>
      <c r="L1579" s="1035" t="str">
        <f t="shared" si="563"/>
        <v/>
      </c>
      <c r="S1579" s="498"/>
      <c r="AJ1579" s="498"/>
      <c r="AM1579" s="498">
        <f t="shared" si="544"/>
        <v>0</v>
      </c>
      <c r="AN1579" s="498">
        <f t="shared" si="545"/>
        <v>0</v>
      </c>
      <c r="AO1579" s="498">
        <f t="shared" si="546"/>
        <v>0</v>
      </c>
      <c r="AP1579" s="498">
        <f t="shared" si="565"/>
        <v>0</v>
      </c>
      <c r="AQ1579" s="498">
        <f t="shared" si="560"/>
        <v>0</v>
      </c>
      <c r="AU1579" s="498">
        <f t="shared" si="547"/>
        <v>0</v>
      </c>
      <c r="AV1579" s="498">
        <f t="shared" si="548"/>
        <v>0</v>
      </c>
      <c r="AW1579" s="498">
        <f t="shared" si="549"/>
        <v>0</v>
      </c>
      <c r="AX1579" s="498">
        <f t="shared" si="550"/>
        <v>0</v>
      </c>
      <c r="AY1579" s="498">
        <f t="shared" si="551"/>
        <v>0</v>
      </c>
      <c r="BB1579" s="498" t="str">
        <f t="shared" si="552"/>
        <v/>
      </c>
      <c r="BC1579" s="743" t="str">
        <f t="shared" si="553"/>
        <v/>
      </c>
      <c r="BD1579" s="743" t="str">
        <f t="shared" si="554"/>
        <v/>
      </c>
      <c r="BE1579" s="743" t="str">
        <f>IF(D1579="","",VLOOKUP(D1579,'General Basis'!$J$39:$K$46,2,0))</f>
        <v/>
      </c>
      <c r="BF1579" s="744" t="str">
        <f>IF(D1579="","",VLOOKUP(D1579,'General Basis'!$J$39:$L$46,3,0))</f>
        <v/>
      </c>
      <c r="BG1579" s="744" t="str">
        <f t="shared" si="561"/>
        <v/>
      </c>
      <c r="BH1579" s="744" t="str">
        <f>IF(G1579="","",IF(BF1579="Abu Dhabi",IF(G1579&lt;18,'General Basis'!$C$39,IF(G1579&lt;41,'General Basis'!$C$40,IF(G1579&lt;60,'General Basis'!$C$41,IF(G1579&lt;65,'General Basis'!$C$42,'General Basis'!$C$43)))),IF(G1579&lt;11,'General Basis'!$B$39,IF(G1579&lt;18,'General Basis'!$B$40,IF(G1579&lt;26,'General Basis'!$B$41,IF(G1579&lt;31,'General Basis'!$B$42,IF(G1579&lt;36,'General Basis'!$B$43,IF(G1579&lt;41,'General Basis'!$B$44,IF(G1579&lt;46,'General Basis'!$B$45,IF(G1579&lt;51,'General Basis'!$B$46,IF(G1579&lt;56,'General Basis'!$B$47,IF(G1579&lt;60,'General Basis'!$B$48,IF(G1579&lt;65,'General Basis'!$B$49,'General Basis'!$B$50)))))))))))))</f>
        <v/>
      </c>
      <c r="BI1579" s="744" t="str">
        <f t="shared" si="555"/>
        <v/>
      </c>
      <c r="BJ1579" s="747" t="str">
        <f t="shared" si="562"/>
        <v/>
      </c>
      <c r="BK1579" s="498" t="str">
        <f t="shared" si="556"/>
        <v/>
      </c>
      <c r="BL1579" s="498" t="str">
        <f t="shared" si="557"/>
        <v/>
      </c>
    </row>
    <row r="1580" spans="1:64" x14ac:dyDescent="0.25">
      <c r="A1580" s="762">
        <f t="shared" si="558"/>
        <v>1575</v>
      </c>
      <c r="B1580" s="229"/>
      <c r="C1580" s="223"/>
      <c r="D1580" s="224"/>
      <c r="E1580" s="225"/>
      <c r="F1580" s="1036" t="str">
        <f t="shared" si="564"/>
        <v/>
      </c>
      <c r="G1580" s="1037" t="str">
        <f t="shared" si="559"/>
        <v/>
      </c>
      <c r="H1580" s="225"/>
      <c r="I1580" s="1013"/>
      <c r="J1580" s="1013"/>
      <c r="K1580" s="1028"/>
      <c r="L1580" s="1035" t="str">
        <f t="shared" si="563"/>
        <v/>
      </c>
      <c r="S1580" s="498"/>
      <c r="AJ1580" s="498"/>
      <c r="AM1580" s="498">
        <f t="shared" si="544"/>
        <v>0</v>
      </c>
      <c r="AN1580" s="498">
        <f t="shared" si="545"/>
        <v>0</v>
      </c>
      <c r="AO1580" s="498">
        <f t="shared" si="546"/>
        <v>0</v>
      </c>
      <c r="AP1580" s="498">
        <f t="shared" si="565"/>
        <v>0</v>
      </c>
      <c r="AQ1580" s="498">
        <f t="shared" si="560"/>
        <v>0</v>
      </c>
      <c r="AU1580" s="498">
        <f t="shared" si="547"/>
        <v>0</v>
      </c>
      <c r="AV1580" s="498">
        <f t="shared" si="548"/>
        <v>0</v>
      </c>
      <c r="AW1580" s="498">
        <f t="shared" si="549"/>
        <v>0</v>
      </c>
      <c r="AX1580" s="498">
        <f t="shared" si="550"/>
        <v>0</v>
      </c>
      <c r="AY1580" s="498">
        <f t="shared" si="551"/>
        <v>0</v>
      </c>
      <c r="BB1580" s="498" t="str">
        <f t="shared" si="552"/>
        <v/>
      </c>
      <c r="BC1580" s="743" t="str">
        <f t="shared" si="553"/>
        <v/>
      </c>
      <c r="BD1580" s="743" t="str">
        <f t="shared" si="554"/>
        <v/>
      </c>
      <c r="BE1580" s="743" t="str">
        <f>IF(D1580="","",VLOOKUP(D1580,'General Basis'!$J$39:$K$46,2,0))</f>
        <v/>
      </c>
      <c r="BF1580" s="744" t="str">
        <f>IF(D1580="","",VLOOKUP(D1580,'General Basis'!$J$39:$L$46,3,0))</f>
        <v/>
      </c>
      <c r="BG1580" s="744" t="str">
        <f t="shared" si="561"/>
        <v/>
      </c>
      <c r="BH1580" s="744" t="str">
        <f>IF(G1580="","",IF(BF1580="Abu Dhabi",IF(G1580&lt;18,'General Basis'!$C$39,IF(G1580&lt;41,'General Basis'!$C$40,IF(G1580&lt;60,'General Basis'!$C$41,IF(G1580&lt;65,'General Basis'!$C$42,'General Basis'!$C$43)))),IF(G1580&lt;11,'General Basis'!$B$39,IF(G1580&lt;18,'General Basis'!$B$40,IF(G1580&lt;26,'General Basis'!$B$41,IF(G1580&lt;31,'General Basis'!$B$42,IF(G1580&lt;36,'General Basis'!$B$43,IF(G1580&lt;41,'General Basis'!$B$44,IF(G1580&lt;46,'General Basis'!$B$45,IF(G1580&lt;51,'General Basis'!$B$46,IF(G1580&lt;56,'General Basis'!$B$47,IF(G1580&lt;60,'General Basis'!$B$48,IF(G1580&lt;65,'General Basis'!$B$49,'General Basis'!$B$50)))))))))))))</f>
        <v/>
      </c>
      <c r="BI1580" s="744" t="str">
        <f t="shared" si="555"/>
        <v/>
      </c>
      <c r="BJ1580" s="747" t="str">
        <f t="shared" si="562"/>
        <v/>
      </c>
      <c r="BK1580" s="498" t="str">
        <f t="shared" si="556"/>
        <v/>
      </c>
      <c r="BL1580" s="498" t="str">
        <f t="shared" si="557"/>
        <v/>
      </c>
    </row>
    <row r="1581" spans="1:64" x14ac:dyDescent="0.25">
      <c r="A1581" s="762">
        <f t="shared" si="558"/>
        <v>1576</v>
      </c>
      <c r="B1581" s="229"/>
      <c r="C1581" s="223"/>
      <c r="D1581" s="224"/>
      <c r="E1581" s="225"/>
      <c r="F1581" s="1036" t="str">
        <f t="shared" si="564"/>
        <v/>
      </c>
      <c r="G1581" s="1037" t="str">
        <f t="shared" si="559"/>
        <v/>
      </c>
      <c r="H1581" s="225"/>
      <c r="I1581" s="1013"/>
      <c r="J1581" s="1013"/>
      <c r="K1581" s="1028"/>
      <c r="L1581" s="1035" t="str">
        <f t="shared" si="563"/>
        <v/>
      </c>
      <c r="S1581" s="498"/>
      <c r="AJ1581" s="498"/>
      <c r="AM1581" s="498">
        <f t="shared" si="544"/>
        <v>0</v>
      </c>
      <c r="AN1581" s="498">
        <f t="shared" si="545"/>
        <v>0</v>
      </c>
      <c r="AO1581" s="498">
        <f t="shared" si="546"/>
        <v>0</v>
      </c>
      <c r="AP1581" s="498">
        <f t="shared" si="565"/>
        <v>0</v>
      </c>
      <c r="AQ1581" s="498">
        <f t="shared" si="560"/>
        <v>0</v>
      </c>
      <c r="AU1581" s="498">
        <f t="shared" si="547"/>
        <v>0</v>
      </c>
      <c r="AV1581" s="498">
        <f t="shared" si="548"/>
        <v>0</v>
      </c>
      <c r="AW1581" s="498">
        <f t="shared" si="549"/>
        <v>0</v>
      </c>
      <c r="AX1581" s="498">
        <f t="shared" si="550"/>
        <v>0</v>
      </c>
      <c r="AY1581" s="498">
        <f t="shared" si="551"/>
        <v>0</v>
      </c>
      <c r="BB1581" s="498" t="str">
        <f t="shared" si="552"/>
        <v/>
      </c>
      <c r="BC1581" s="743" t="str">
        <f t="shared" si="553"/>
        <v/>
      </c>
      <c r="BD1581" s="743" t="str">
        <f t="shared" si="554"/>
        <v/>
      </c>
      <c r="BE1581" s="743" t="str">
        <f>IF(D1581="","",VLOOKUP(D1581,'General Basis'!$J$39:$K$46,2,0))</f>
        <v/>
      </c>
      <c r="BF1581" s="744" t="str">
        <f>IF(D1581="","",VLOOKUP(D1581,'General Basis'!$J$39:$L$46,3,0))</f>
        <v/>
      </c>
      <c r="BG1581" s="744" t="str">
        <f t="shared" si="561"/>
        <v/>
      </c>
      <c r="BH1581" s="744" t="str">
        <f>IF(G1581="","",IF(BF1581="Abu Dhabi",IF(G1581&lt;18,'General Basis'!$C$39,IF(G1581&lt;41,'General Basis'!$C$40,IF(G1581&lt;60,'General Basis'!$C$41,IF(G1581&lt;65,'General Basis'!$C$42,'General Basis'!$C$43)))),IF(G1581&lt;11,'General Basis'!$B$39,IF(G1581&lt;18,'General Basis'!$B$40,IF(G1581&lt;26,'General Basis'!$B$41,IF(G1581&lt;31,'General Basis'!$B$42,IF(G1581&lt;36,'General Basis'!$B$43,IF(G1581&lt;41,'General Basis'!$B$44,IF(G1581&lt;46,'General Basis'!$B$45,IF(G1581&lt;51,'General Basis'!$B$46,IF(G1581&lt;56,'General Basis'!$B$47,IF(G1581&lt;60,'General Basis'!$B$48,IF(G1581&lt;65,'General Basis'!$B$49,'General Basis'!$B$50)))))))))))))</f>
        <v/>
      </c>
      <c r="BI1581" s="744" t="str">
        <f t="shared" si="555"/>
        <v/>
      </c>
      <c r="BJ1581" s="747" t="str">
        <f t="shared" si="562"/>
        <v/>
      </c>
      <c r="BK1581" s="498" t="str">
        <f t="shared" si="556"/>
        <v/>
      </c>
      <c r="BL1581" s="498" t="str">
        <f t="shared" si="557"/>
        <v/>
      </c>
    </row>
    <row r="1582" spans="1:64" x14ac:dyDescent="0.25">
      <c r="A1582" s="762">
        <f t="shared" si="558"/>
        <v>1577</v>
      </c>
      <c r="B1582" s="229"/>
      <c r="C1582" s="223"/>
      <c r="D1582" s="224"/>
      <c r="E1582" s="225"/>
      <c r="F1582" s="1036" t="str">
        <f t="shared" si="564"/>
        <v/>
      </c>
      <c r="G1582" s="1037" t="str">
        <f t="shared" si="559"/>
        <v/>
      </c>
      <c r="H1582" s="225"/>
      <c r="I1582" s="1013"/>
      <c r="J1582" s="1013"/>
      <c r="K1582" s="1028"/>
      <c r="L1582" s="1035" t="str">
        <f t="shared" si="563"/>
        <v/>
      </c>
      <c r="S1582" s="498"/>
      <c r="AJ1582" s="498"/>
      <c r="AM1582" s="498">
        <f t="shared" si="544"/>
        <v>0</v>
      </c>
      <c r="AN1582" s="498">
        <f t="shared" si="545"/>
        <v>0</v>
      </c>
      <c r="AO1582" s="498">
        <f t="shared" si="546"/>
        <v>0</v>
      </c>
      <c r="AP1582" s="498">
        <f t="shared" si="565"/>
        <v>0</v>
      </c>
      <c r="AQ1582" s="498">
        <f t="shared" si="560"/>
        <v>0</v>
      </c>
      <c r="AU1582" s="498">
        <f t="shared" si="547"/>
        <v>0</v>
      </c>
      <c r="AV1582" s="498">
        <f t="shared" si="548"/>
        <v>0</v>
      </c>
      <c r="AW1582" s="498">
        <f t="shared" si="549"/>
        <v>0</v>
      </c>
      <c r="AX1582" s="498">
        <f t="shared" si="550"/>
        <v>0</v>
      </c>
      <c r="AY1582" s="498">
        <f t="shared" si="551"/>
        <v>0</v>
      </c>
      <c r="BB1582" s="498" t="str">
        <f t="shared" si="552"/>
        <v/>
      </c>
      <c r="BC1582" s="743" t="str">
        <f t="shared" si="553"/>
        <v/>
      </c>
      <c r="BD1582" s="743" t="str">
        <f t="shared" si="554"/>
        <v/>
      </c>
      <c r="BE1582" s="743" t="str">
        <f>IF(D1582="","",VLOOKUP(D1582,'General Basis'!$J$39:$K$46,2,0))</f>
        <v/>
      </c>
      <c r="BF1582" s="744" t="str">
        <f>IF(D1582="","",VLOOKUP(D1582,'General Basis'!$J$39:$L$46,3,0))</f>
        <v/>
      </c>
      <c r="BG1582" s="744" t="str">
        <f t="shared" si="561"/>
        <v/>
      </c>
      <c r="BH1582" s="744" t="str">
        <f>IF(G1582="","",IF(BF1582="Abu Dhabi",IF(G1582&lt;18,'General Basis'!$C$39,IF(G1582&lt;41,'General Basis'!$C$40,IF(G1582&lt;60,'General Basis'!$C$41,IF(G1582&lt;65,'General Basis'!$C$42,'General Basis'!$C$43)))),IF(G1582&lt;11,'General Basis'!$B$39,IF(G1582&lt;18,'General Basis'!$B$40,IF(G1582&lt;26,'General Basis'!$B$41,IF(G1582&lt;31,'General Basis'!$B$42,IF(G1582&lt;36,'General Basis'!$B$43,IF(G1582&lt;41,'General Basis'!$B$44,IF(G1582&lt;46,'General Basis'!$B$45,IF(G1582&lt;51,'General Basis'!$B$46,IF(G1582&lt;56,'General Basis'!$B$47,IF(G1582&lt;60,'General Basis'!$B$48,IF(G1582&lt;65,'General Basis'!$B$49,'General Basis'!$B$50)))))))))))))</f>
        <v/>
      </c>
      <c r="BI1582" s="744" t="str">
        <f t="shared" si="555"/>
        <v/>
      </c>
      <c r="BJ1582" s="747" t="str">
        <f t="shared" si="562"/>
        <v/>
      </c>
      <c r="BK1582" s="498" t="str">
        <f t="shared" si="556"/>
        <v/>
      </c>
      <c r="BL1582" s="498" t="str">
        <f t="shared" si="557"/>
        <v/>
      </c>
    </row>
    <row r="1583" spans="1:64" x14ac:dyDescent="0.25">
      <c r="A1583" s="762">
        <f t="shared" si="558"/>
        <v>1578</v>
      </c>
      <c r="B1583" s="229"/>
      <c r="C1583" s="223"/>
      <c r="D1583" s="224"/>
      <c r="E1583" s="225"/>
      <c r="F1583" s="1036" t="str">
        <f t="shared" si="564"/>
        <v/>
      </c>
      <c r="G1583" s="1037" t="str">
        <f t="shared" si="559"/>
        <v/>
      </c>
      <c r="H1583" s="225"/>
      <c r="I1583" s="1013"/>
      <c r="J1583" s="1013"/>
      <c r="K1583" s="1028"/>
      <c r="L1583" s="1035" t="str">
        <f t="shared" si="563"/>
        <v/>
      </c>
      <c r="S1583" s="498"/>
      <c r="AJ1583" s="498"/>
      <c r="AM1583" s="498">
        <f t="shared" si="544"/>
        <v>0</v>
      </c>
      <c r="AN1583" s="498">
        <f t="shared" si="545"/>
        <v>0</v>
      </c>
      <c r="AO1583" s="498">
        <f t="shared" si="546"/>
        <v>0</v>
      </c>
      <c r="AP1583" s="498">
        <f t="shared" si="565"/>
        <v>0</v>
      </c>
      <c r="AQ1583" s="498">
        <f t="shared" si="560"/>
        <v>0</v>
      </c>
      <c r="AU1583" s="498">
        <f t="shared" si="547"/>
        <v>0</v>
      </c>
      <c r="AV1583" s="498">
        <f t="shared" si="548"/>
        <v>0</v>
      </c>
      <c r="AW1583" s="498">
        <f t="shared" si="549"/>
        <v>0</v>
      </c>
      <c r="AX1583" s="498">
        <f t="shared" si="550"/>
        <v>0</v>
      </c>
      <c r="AY1583" s="498">
        <f t="shared" si="551"/>
        <v>0</v>
      </c>
      <c r="BB1583" s="498" t="str">
        <f t="shared" si="552"/>
        <v/>
      </c>
      <c r="BC1583" s="743" t="str">
        <f t="shared" si="553"/>
        <v/>
      </c>
      <c r="BD1583" s="743" t="str">
        <f t="shared" si="554"/>
        <v/>
      </c>
      <c r="BE1583" s="743" t="str">
        <f>IF(D1583="","",VLOOKUP(D1583,'General Basis'!$J$39:$K$46,2,0))</f>
        <v/>
      </c>
      <c r="BF1583" s="744" t="str">
        <f>IF(D1583="","",VLOOKUP(D1583,'General Basis'!$J$39:$L$46,3,0))</f>
        <v/>
      </c>
      <c r="BG1583" s="744" t="str">
        <f t="shared" si="561"/>
        <v/>
      </c>
      <c r="BH1583" s="744" t="str">
        <f>IF(G1583="","",IF(BF1583="Abu Dhabi",IF(G1583&lt;18,'General Basis'!$C$39,IF(G1583&lt;41,'General Basis'!$C$40,IF(G1583&lt;60,'General Basis'!$C$41,IF(G1583&lt;65,'General Basis'!$C$42,'General Basis'!$C$43)))),IF(G1583&lt;11,'General Basis'!$B$39,IF(G1583&lt;18,'General Basis'!$B$40,IF(G1583&lt;26,'General Basis'!$B$41,IF(G1583&lt;31,'General Basis'!$B$42,IF(G1583&lt;36,'General Basis'!$B$43,IF(G1583&lt;41,'General Basis'!$B$44,IF(G1583&lt;46,'General Basis'!$B$45,IF(G1583&lt;51,'General Basis'!$B$46,IF(G1583&lt;56,'General Basis'!$B$47,IF(G1583&lt;60,'General Basis'!$B$48,IF(G1583&lt;65,'General Basis'!$B$49,'General Basis'!$B$50)))))))))))))</f>
        <v/>
      </c>
      <c r="BI1583" s="744" t="str">
        <f t="shared" si="555"/>
        <v/>
      </c>
      <c r="BJ1583" s="747" t="str">
        <f t="shared" si="562"/>
        <v/>
      </c>
      <c r="BK1583" s="498" t="str">
        <f t="shared" si="556"/>
        <v/>
      </c>
      <c r="BL1583" s="498" t="str">
        <f t="shared" si="557"/>
        <v/>
      </c>
    </row>
    <row r="1584" spans="1:64" x14ac:dyDescent="0.25">
      <c r="A1584" s="762">
        <f t="shared" si="558"/>
        <v>1579</v>
      </c>
      <c r="B1584" s="229"/>
      <c r="C1584" s="223"/>
      <c r="D1584" s="224"/>
      <c r="E1584" s="225"/>
      <c r="F1584" s="1036" t="str">
        <f t="shared" si="564"/>
        <v/>
      </c>
      <c r="G1584" s="1037" t="str">
        <f t="shared" si="559"/>
        <v/>
      </c>
      <c r="H1584" s="225"/>
      <c r="I1584" s="1013"/>
      <c r="J1584" s="1013"/>
      <c r="K1584" s="1028"/>
      <c r="L1584" s="1035" t="str">
        <f t="shared" si="563"/>
        <v/>
      </c>
      <c r="S1584" s="498"/>
      <c r="AJ1584" s="498"/>
      <c r="AM1584" s="498">
        <f t="shared" si="544"/>
        <v>0</v>
      </c>
      <c r="AN1584" s="498">
        <f t="shared" si="545"/>
        <v>0</v>
      </c>
      <c r="AO1584" s="498">
        <f t="shared" si="546"/>
        <v>0</v>
      </c>
      <c r="AP1584" s="498">
        <f t="shared" si="565"/>
        <v>0</v>
      </c>
      <c r="AQ1584" s="498">
        <f t="shared" si="560"/>
        <v>0</v>
      </c>
      <c r="AU1584" s="498">
        <f t="shared" si="547"/>
        <v>0</v>
      </c>
      <c r="AV1584" s="498">
        <f t="shared" si="548"/>
        <v>0</v>
      </c>
      <c r="AW1584" s="498">
        <f t="shared" si="549"/>
        <v>0</v>
      </c>
      <c r="AX1584" s="498">
        <f t="shared" si="550"/>
        <v>0</v>
      </c>
      <c r="AY1584" s="498">
        <f t="shared" si="551"/>
        <v>0</v>
      </c>
      <c r="BB1584" s="498" t="str">
        <f t="shared" si="552"/>
        <v/>
      </c>
      <c r="BC1584" s="743" t="str">
        <f t="shared" si="553"/>
        <v/>
      </c>
      <c r="BD1584" s="743" t="str">
        <f t="shared" si="554"/>
        <v/>
      </c>
      <c r="BE1584" s="743" t="str">
        <f>IF(D1584="","",VLOOKUP(D1584,'General Basis'!$J$39:$K$46,2,0))</f>
        <v/>
      </c>
      <c r="BF1584" s="744" t="str">
        <f>IF(D1584="","",VLOOKUP(D1584,'General Basis'!$J$39:$L$46,3,0))</f>
        <v/>
      </c>
      <c r="BG1584" s="744" t="str">
        <f t="shared" si="561"/>
        <v/>
      </c>
      <c r="BH1584" s="744" t="str">
        <f>IF(G1584="","",IF(BF1584="Abu Dhabi",IF(G1584&lt;18,'General Basis'!$C$39,IF(G1584&lt;41,'General Basis'!$C$40,IF(G1584&lt;60,'General Basis'!$C$41,IF(G1584&lt;65,'General Basis'!$C$42,'General Basis'!$C$43)))),IF(G1584&lt;11,'General Basis'!$B$39,IF(G1584&lt;18,'General Basis'!$B$40,IF(G1584&lt;26,'General Basis'!$B$41,IF(G1584&lt;31,'General Basis'!$B$42,IF(G1584&lt;36,'General Basis'!$B$43,IF(G1584&lt;41,'General Basis'!$B$44,IF(G1584&lt;46,'General Basis'!$B$45,IF(G1584&lt;51,'General Basis'!$B$46,IF(G1584&lt;56,'General Basis'!$B$47,IF(G1584&lt;60,'General Basis'!$B$48,IF(G1584&lt;65,'General Basis'!$B$49,'General Basis'!$B$50)))))))))))))</f>
        <v/>
      </c>
      <c r="BI1584" s="744" t="str">
        <f t="shared" si="555"/>
        <v/>
      </c>
      <c r="BJ1584" s="747" t="str">
        <f t="shared" si="562"/>
        <v/>
      </c>
      <c r="BK1584" s="498" t="str">
        <f t="shared" si="556"/>
        <v/>
      </c>
      <c r="BL1584" s="498" t="str">
        <f t="shared" si="557"/>
        <v/>
      </c>
    </row>
    <row r="1585" spans="1:64" x14ac:dyDescent="0.25">
      <c r="A1585" s="762">
        <f t="shared" si="558"/>
        <v>1580</v>
      </c>
      <c r="B1585" s="229"/>
      <c r="C1585" s="223"/>
      <c r="D1585" s="224"/>
      <c r="E1585" s="225"/>
      <c r="F1585" s="1036" t="str">
        <f t="shared" si="564"/>
        <v/>
      </c>
      <c r="G1585" s="1037" t="str">
        <f t="shared" si="559"/>
        <v/>
      </c>
      <c r="H1585" s="225"/>
      <c r="I1585" s="1013"/>
      <c r="J1585" s="1013"/>
      <c r="K1585" s="1028"/>
      <c r="L1585" s="1035" t="str">
        <f t="shared" si="563"/>
        <v/>
      </c>
      <c r="S1585" s="498"/>
      <c r="AJ1585" s="498"/>
      <c r="AM1585" s="498">
        <f t="shared" si="544"/>
        <v>0</v>
      </c>
      <c r="AN1585" s="498">
        <f t="shared" si="545"/>
        <v>0</v>
      </c>
      <c r="AO1585" s="498">
        <f t="shared" si="546"/>
        <v>0</v>
      </c>
      <c r="AP1585" s="498">
        <f t="shared" si="565"/>
        <v>0</v>
      </c>
      <c r="AQ1585" s="498">
        <f t="shared" si="560"/>
        <v>0</v>
      </c>
      <c r="AU1585" s="498">
        <f t="shared" si="547"/>
        <v>0</v>
      </c>
      <c r="AV1585" s="498">
        <f t="shared" si="548"/>
        <v>0</v>
      </c>
      <c r="AW1585" s="498">
        <f t="shared" si="549"/>
        <v>0</v>
      </c>
      <c r="AX1585" s="498">
        <f t="shared" si="550"/>
        <v>0</v>
      </c>
      <c r="AY1585" s="498">
        <f t="shared" si="551"/>
        <v>0</v>
      </c>
      <c r="BB1585" s="498" t="str">
        <f t="shared" si="552"/>
        <v/>
      </c>
      <c r="BC1585" s="743" t="str">
        <f t="shared" si="553"/>
        <v/>
      </c>
      <c r="BD1585" s="743" t="str">
        <f t="shared" si="554"/>
        <v/>
      </c>
      <c r="BE1585" s="743" t="str">
        <f>IF(D1585="","",VLOOKUP(D1585,'General Basis'!$J$39:$K$46,2,0))</f>
        <v/>
      </c>
      <c r="BF1585" s="744" t="str">
        <f>IF(D1585="","",VLOOKUP(D1585,'General Basis'!$J$39:$L$46,3,0))</f>
        <v/>
      </c>
      <c r="BG1585" s="744" t="str">
        <f t="shared" si="561"/>
        <v/>
      </c>
      <c r="BH1585" s="744" t="str">
        <f>IF(G1585="","",IF(BF1585="Abu Dhabi",IF(G1585&lt;18,'General Basis'!$C$39,IF(G1585&lt;41,'General Basis'!$C$40,IF(G1585&lt;60,'General Basis'!$C$41,IF(G1585&lt;65,'General Basis'!$C$42,'General Basis'!$C$43)))),IF(G1585&lt;11,'General Basis'!$B$39,IF(G1585&lt;18,'General Basis'!$B$40,IF(G1585&lt;26,'General Basis'!$B$41,IF(G1585&lt;31,'General Basis'!$B$42,IF(G1585&lt;36,'General Basis'!$B$43,IF(G1585&lt;41,'General Basis'!$B$44,IF(G1585&lt;46,'General Basis'!$B$45,IF(G1585&lt;51,'General Basis'!$B$46,IF(G1585&lt;56,'General Basis'!$B$47,IF(G1585&lt;60,'General Basis'!$B$48,IF(G1585&lt;65,'General Basis'!$B$49,'General Basis'!$B$50)))))))))))))</f>
        <v/>
      </c>
      <c r="BI1585" s="744" t="str">
        <f t="shared" si="555"/>
        <v/>
      </c>
      <c r="BJ1585" s="747" t="str">
        <f t="shared" si="562"/>
        <v/>
      </c>
      <c r="BK1585" s="498" t="str">
        <f t="shared" si="556"/>
        <v/>
      </c>
      <c r="BL1585" s="498" t="str">
        <f t="shared" si="557"/>
        <v/>
      </c>
    </row>
    <row r="1586" spans="1:64" x14ac:dyDescent="0.25">
      <c r="A1586" s="762">
        <f t="shared" si="558"/>
        <v>1581</v>
      </c>
      <c r="B1586" s="229"/>
      <c r="C1586" s="223"/>
      <c r="D1586" s="224"/>
      <c r="E1586" s="225"/>
      <c r="F1586" s="1036" t="str">
        <f t="shared" si="564"/>
        <v/>
      </c>
      <c r="G1586" s="1037" t="str">
        <f t="shared" si="559"/>
        <v/>
      </c>
      <c r="H1586" s="225"/>
      <c r="I1586" s="1013"/>
      <c r="J1586" s="1013"/>
      <c r="K1586" s="1028"/>
      <c r="L1586" s="1035" t="str">
        <f t="shared" si="563"/>
        <v/>
      </c>
      <c r="S1586" s="498"/>
      <c r="AJ1586" s="498"/>
      <c r="AM1586" s="498">
        <f t="shared" si="544"/>
        <v>0</v>
      </c>
      <c r="AN1586" s="498">
        <f t="shared" si="545"/>
        <v>0</v>
      </c>
      <c r="AO1586" s="498">
        <f t="shared" si="546"/>
        <v>0</v>
      </c>
      <c r="AP1586" s="498">
        <f t="shared" si="565"/>
        <v>0</v>
      </c>
      <c r="AQ1586" s="498">
        <f t="shared" si="560"/>
        <v>0</v>
      </c>
      <c r="AU1586" s="498">
        <f t="shared" si="547"/>
        <v>0</v>
      </c>
      <c r="AV1586" s="498">
        <f t="shared" si="548"/>
        <v>0</v>
      </c>
      <c r="AW1586" s="498">
        <f t="shared" si="549"/>
        <v>0</v>
      </c>
      <c r="AX1586" s="498">
        <f t="shared" si="550"/>
        <v>0</v>
      </c>
      <c r="AY1586" s="498">
        <f t="shared" si="551"/>
        <v>0</v>
      </c>
      <c r="BB1586" s="498" t="str">
        <f t="shared" si="552"/>
        <v/>
      </c>
      <c r="BC1586" s="743" t="str">
        <f t="shared" si="553"/>
        <v/>
      </c>
      <c r="BD1586" s="743" t="str">
        <f t="shared" si="554"/>
        <v/>
      </c>
      <c r="BE1586" s="743" t="str">
        <f>IF(D1586="","",VLOOKUP(D1586,'General Basis'!$J$39:$K$46,2,0))</f>
        <v/>
      </c>
      <c r="BF1586" s="744" t="str">
        <f>IF(D1586="","",VLOOKUP(D1586,'General Basis'!$J$39:$L$46,3,0))</f>
        <v/>
      </c>
      <c r="BG1586" s="744" t="str">
        <f t="shared" si="561"/>
        <v/>
      </c>
      <c r="BH1586" s="744" t="str">
        <f>IF(G1586="","",IF(BF1586="Abu Dhabi",IF(G1586&lt;18,'General Basis'!$C$39,IF(G1586&lt;41,'General Basis'!$C$40,IF(G1586&lt;60,'General Basis'!$C$41,IF(G1586&lt;65,'General Basis'!$C$42,'General Basis'!$C$43)))),IF(G1586&lt;11,'General Basis'!$B$39,IF(G1586&lt;18,'General Basis'!$B$40,IF(G1586&lt;26,'General Basis'!$B$41,IF(G1586&lt;31,'General Basis'!$B$42,IF(G1586&lt;36,'General Basis'!$B$43,IF(G1586&lt;41,'General Basis'!$B$44,IF(G1586&lt;46,'General Basis'!$B$45,IF(G1586&lt;51,'General Basis'!$B$46,IF(G1586&lt;56,'General Basis'!$B$47,IF(G1586&lt;60,'General Basis'!$B$48,IF(G1586&lt;65,'General Basis'!$B$49,'General Basis'!$B$50)))))))))))))</f>
        <v/>
      </c>
      <c r="BI1586" s="744" t="str">
        <f t="shared" si="555"/>
        <v/>
      </c>
      <c r="BJ1586" s="747" t="str">
        <f t="shared" si="562"/>
        <v/>
      </c>
      <c r="BK1586" s="498" t="str">
        <f t="shared" si="556"/>
        <v/>
      </c>
      <c r="BL1586" s="498" t="str">
        <f t="shared" si="557"/>
        <v/>
      </c>
    </row>
    <row r="1587" spans="1:64" x14ac:dyDescent="0.25">
      <c r="A1587" s="762">
        <f t="shared" si="558"/>
        <v>1582</v>
      </c>
      <c r="B1587" s="229"/>
      <c r="C1587" s="223"/>
      <c r="D1587" s="224"/>
      <c r="E1587" s="225"/>
      <c r="F1587" s="1036" t="str">
        <f t="shared" si="564"/>
        <v/>
      </c>
      <c r="G1587" s="1037" t="str">
        <f t="shared" si="559"/>
        <v/>
      </c>
      <c r="H1587" s="225"/>
      <c r="I1587" s="1013"/>
      <c r="J1587" s="1013"/>
      <c r="K1587" s="1028"/>
      <c r="L1587" s="1035" t="str">
        <f t="shared" si="563"/>
        <v/>
      </c>
      <c r="S1587" s="498"/>
      <c r="AJ1587" s="498"/>
      <c r="AM1587" s="498">
        <f t="shared" si="544"/>
        <v>0</v>
      </c>
      <c r="AN1587" s="498">
        <f t="shared" si="545"/>
        <v>0</v>
      </c>
      <c r="AO1587" s="498">
        <f t="shared" si="546"/>
        <v>0</v>
      </c>
      <c r="AP1587" s="498">
        <f t="shared" si="565"/>
        <v>0</v>
      </c>
      <c r="AQ1587" s="498">
        <f t="shared" si="560"/>
        <v>0</v>
      </c>
      <c r="AU1587" s="498">
        <f t="shared" si="547"/>
        <v>0</v>
      </c>
      <c r="AV1587" s="498">
        <f t="shared" si="548"/>
        <v>0</v>
      </c>
      <c r="AW1587" s="498">
        <f t="shared" si="549"/>
        <v>0</v>
      </c>
      <c r="AX1587" s="498">
        <f t="shared" si="550"/>
        <v>0</v>
      </c>
      <c r="AY1587" s="498">
        <f t="shared" si="551"/>
        <v>0</v>
      </c>
      <c r="BB1587" s="498" t="str">
        <f t="shared" si="552"/>
        <v/>
      </c>
      <c r="BC1587" s="743" t="str">
        <f t="shared" si="553"/>
        <v/>
      </c>
      <c r="BD1587" s="743" t="str">
        <f t="shared" si="554"/>
        <v/>
      </c>
      <c r="BE1587" s="743" t="str">
        <f>IF(D1587="","",VLOOKUP(D1587,'General Basis'!$J$39:$K$46,2,0))</f>
        <v/>
      </c>
      <c r="BF1587" s="744" t="str">
        <f>IF(D1587="","",VLOOKUP(D1587,'General Basis'!$J$39:$L$46,3,0))</f>
        <v/>
      </c>
      <c r="BG1587" s="744" t="str">
        <f t="shared" si="561"/>
        <v/>
      </c>
      <c r="BH1587" s="744" t="str">
        <f>IF(G1587="","",IF(BF1587="Abu Dhabi",IF(G1587&lt;18,'General Basis'!$C$39,IF(G1587&lt;41,'General Basis'!$C$40,IF(G1587&lt;60,'General Basis'!$C$41,IF(G1587&lt;65,'General Basis'!$C$42,'General Basis'!$C$43)))),IF(G1587&lt;11,'General Basis'!$B$39,IF(G1587&lt;18,'General Basis'!$B$40,IF(G1587&lt;26,'General Basis'!$B$41,IF(G1587&lt;31,'General Basis'!$B$42,IF(G1587&lt;36,'General Basis'!$B$43,IF(G1587&lt;41,'General Basis'!$B$44,IF(G1587&lt;46,'General Basis'!$B$45,IF(G1587&lt;51,'General Basis'!$B$46,IF(G1587&lt;56,'General Basis'!$B$47,IF(G1587&lt;60,'General Basis'!$B$48,IF(G1587&lt;65,'General Basis'!$B$49,'General Basis'!$B$50)))))))))))))</f>
        <v/>
      </c>
      <c r="BI1587" s="744" t="str">
        <f t="shared" si="555"/>
        <v/>
      </c>
      <c r="BJ1587" s="747" t="str">
        <f t="shared" si="562"/>
        <v/>
      </c>
      <c r="BK1587" s="498" t="str">
        <f t="shared" si="556"/>
        <v/>
      </c>
      <c r="BL1587" s="498" t="str">
        <f t="shared" si="557"/>
        <v/>
      </c>
    </row>
    <row r="1588" spans="1:64" x14ac:dyDescent="0.25">
      <c r="A1588" s="762">
        <f t="shared" si="558"/>
        <v>1583</v>
      </c>
      <c r="B1588" s="229"/>
      <c r="C1588" s="223"/>
      <c r="D1588" s="224"/>
      <c r="E1588" s="225"/>
      <c r="F1588" s="1036" t="str">
        <f t="shared" si="564"/>
        <v/>
      </c>
      <c r="G1588" s="1037" t="str">
        <f t="shared" si="559"/>
        <v/>
      </c>
      <c r="H1588" s="225"/>
      <c r="I1588" s="1013"/>
      <c r="J1588" s="1013"/>
      <c r="K1588" s="1028"/>
      <c r="L1588" s="1035" t="str">
        <f t="shared" si="563"/>
        <v/>
      </c>
      <c r="S1588" s="498"/>
      <c r="AJ1588" s="498"/>
      <c r="AM1588" s="498">
        <f t="shared" si="544"/>
        <v>0</v>
      </c>
      <c r="AN1588" s="498">
        <f t="shared" si="545"/>
        <v>0</v>
      </c>
      <c r="AO1588" s="498">
        <f t="shared" si="546"/>
        <v>0</v>
      </c>
      <c r="AP1588" s="498">
        <f t="shared" si="565"/>
        <v>0</v>
      </c>
      <c r="AQ1588" s="498">
        <f t="shared" si="560"/>
        <v>0</v>
      </c>
      <c r="AU1588" s="498">
        <f t="shared" si="547"/>
        <v>0</v>
      </c>
      <c r="AV1588" s="498">
        <f t="shared" si="548"/>
        <v>0</v>
      </c>
      <c r="AW1588" s="498">
        <f t="shared" si="549"/>
        <v>0</v>
      </c>
      <c r="AX1588" s="498">
        <f t="shared" si="550"/>
        <v>0</v>
      </c>
      <c r="AY1588" s="498">
        <f t="shared" si="551"/>
        <v>0</v>
      </c>
      <c r="BB1588" s="498" t="str">
        <f t="shared" si="552"/>
        <v/>
      </c>
      <c r="BC1588" s="743" t="str">
        <f t="shared" si="553"/>
        <v/>
      </c>
      <c r="BD1588" s="743" t="str">
        <f t="shared" si="554"/>
        <v/>
      </c>
      <c r="BE1588" s="743" t="str">
        <f>IF(D1588="","",VLOOKUP(D1588,'General Basis'!$J$39:$K$46,2,0))</f>
        <v/>
      </c>
      <c r="BF1588" s="744" t="str">
        <f>IF(D1588="","",VLOOKUP(D1588,'General Basis'!$J$39:$L$46,3,0))</f>
        <v/>
      </c>
      <c r="BG1588" s="744" t="str">
        <f t="shared" si="561"/>
        <v/>
      </c>
      <c r="BH1588" s="744" t="str">
        <f>IF(G1588="","",IF(BF1588="Abu Dhabi",IF(G1588&lt;18,'General Basis'!$C$39,IF(G1588&lt;41,'General Basis'!$C$40,IF(G1588&lt;60,'General Basis'!$C$41,IF(G1588&lt;65,'General Basis'!$C$42,'General Basis'!$C$43)))),IF(G1588&lt;11,'General Basis'!$B$39,IF(G1588&lt;18,'General Basis'!$B$40,IF(G1588&lt;26,'General Basis'!$B$41,IF(G1588&lt;31,'General Basis'!$B$42,IF(G1588&lt;36,'General Basis'!$B$43,IF(G1588&lt;41,'General Basis'!$B$44,IF(G1588&lt;46,'General Basis'!$B$45,IF(G1588&lt;51,'General Basis'!$B$46,IF(G1588&lt;56,'General Basis'!$B$47,IF(G1588&lt;60,'General Basis'!$B$48,IF(G1588&lt;65,'General Basis'!$B$49,'General Basis'!$B$50)))))))))))))</f>
        <v/>
      </c>
      <c r="BI1588" s="744" t="str">
        <f t="shared" si="555"/>
        <v/>
      </c>
      <c r="BJ1588" s="747" t="str">
        <f t="shared" si="562"/>
        <v/>
      </c>
      <c r="BK1588" s="498" t="str">
        <f t="shared" si="556"/>
        <v/>
      </c>
      <c r="BL1588" s="498" t="str">
        <f t="shared" si="557"/>
        <v/>
      </c>
    </row>
    <row r="1589" spans="1:64" x14ac:dyDescent="0.25">
      <c r="A1589" s="762">
        <f t="shared" si="558"/>
        <v>1584</v>
      </c>
      <c r="B1589" s="229"/>
      <c r="C1589" s="223"/>
      <c r="D1589" s="224"/>
      <c r="E1589" s="225"/>
      <c r="F1589" s="1036" t="str">
        <f t="shared" si="564"/>
        <v/>
      </c>
      <c r="G1589" s="1037" t="str">
        <f t="shared" si="559"/>
        <v/>
      </c>
      <c r="H1589" s="225"/>
      <c r="I1589" s="1013"/>
      <c r="J1589" s="1013"/>
      <c r="K1589" s="1028"/>
      <c r="L1589" s="1035" t="str">
        <f t="shared" si="563"/>
        <v/>
      </c>
      <c r="S1589" s="498"/>
      <c r="AJ1589" s="498"/>
      <c r="AM1589" s="498">
        <f t="shared" si="544"/>
        <v>0</v>
      </c>
      <c r="AN1589" s="498">
        <f t="shared" si="545"/>
        <v>0</v>
      </c>
      <c r="AO1589" s="498">
        <f t="shared" si="546"/>
        <v>0</v>
      </c>
      <c r="AP1589" s="498">
        <f t="shared" si="565"/>
        <v>0</v>
      </c>
      <c r="AQ1589" s="498">
        <f t="shared" si="560"/>
        <v>0</v>
      </c>
      <c r="AU1589" s="498">
        <f t="shared" si="547"/>
        <v>0</v>
      </c>
      <c r="AV1589" s="498">
        <f t="shared" si="548"/>
        <v>0</v>
      </c>
      <c r="AW1589" s="498">
        <f t="shared" si="549"/>
        <v>0</v>
      </c>
      <c r="AX1589" s="498">
        <f t="shared" si="550"/>
        <v>0</v>
      </c>
      <c r="AY1589" s="498">
        <f t="shared" si="551"/>
        <v>0</v>
      </c>
      <c r="BB1589" s="498" t="str">
        <f t="shared" si="552"/>
        <v/>
      </c>
      <c r="BC1589" s="743" t="str">
        <f t="shared" si="553"/>
        <v/>
      </c>
      <c r="BD1589" s="743" t="str">
        <f t="shared" si="554"/>
        <v/>
      </c>
      <c r="BE1589" s="743" t="str">
        <f>IF(D1589="","",VLOOKUP(D1589,'General Basis'!$J$39:$K$46,2,0))</f>
        <v/>
      </c>
      <c r="BF1589" s="744" t="str">
        <f>IF(D1589="","",VLOOKUP(D1589,'General Basis'!$J$39:$L$46,3,0))</f>
        <v/>
      </c>
      <c r="BG1589" s="744" t="str">
        <f t="shared" si="561"/>
        <v/>
      </c>
      <c r="BH1589" s="744" t="str">
        <f>IF(G1589="","",IF(BF1589="Abu Dhabi",IF(G1589&lt;18,'General Basis'!$C$39,IF(G1589&lt;41,'General Basis'!$C$40,IF(G1589&lt;60,'General Basis'!$C$41,IF(G1589&lt;65,'General Basis'!$C$42,'General Basis'!$C$43)))),IF(G1589&lt;11,'General Basis'!$B$39,IF(G1589&lt;18,'General Basis'!$B$40,IF(G1589&lt;26,'General Basis'!$B$41,IF(G1589&lt;31,'General Basis'!$B$42,IF(G1589&lt;36,'General Basis'!$B$43,IF(G1589&lt;41,'General Basis'!$B$44,IF(G1589&lt;46,'General Basis'!$B$45,IF(G1589&lt;51,'General Basis'!$B$46,IF(G1589&lt;56,'General Basis'!$B$47,IF(G1589&lt;60,'General Basis'!$B$48,IF(G1589&lt;65,'General Basis'!$B$49,'General Basis'!$B$50)))))))))))))</f>
        <v/>
      </c>
      <c r="BI1589" s="744" t="str">
        <f t="shared" si="555"/>
        <v/>
      </c>
      <c r="BJ1589" s="747" t="str">
        <f t="shared" si="562"/>
        <v/>
      </c>
      <c r="BK1589" s="498" t="str">
        <f t="shared" si="556"/>
        <v/>
      </c>
      <c r="BL1589" s="498" t="str">
        <f t="shared" si="557"/>
        <v/>
      </c>
    </row>
    <row r="1590" spans="1:64" x14ac:dyDescent="0.25">
      <c r="A1590" s="762">
        <f t="shared" si="558"/>
        <v>1585</v>
      </c>
      <c r="B1590" s="229"/>
      <c r="C1590" s="223"/>
      <c r="D1590" s="224"/>
      <c r="E1590" s="225"/>
      <c r="F1590" s="1036" t="str">
        <f t="shared" si="564"/>
        <v/>
      </c>
      <c r="G1590" s="1037" t="str">
        <f t="shared" si="559"/>
        <v/>
      </c>
      <c r="H1590" s="225"/>
      <c r="I1590" s="1013"/>
      <c r="J1590" s="1013"/>
      <c r="K1590" s="1028"/>
      <c r="L1590" s="1035" t="str">
        <f t="shared" si="563"/>
        <v/>
      </c>
      <c r="S1590" s="498"/>
      <c r="AJ1590" s="498"/>
      <c r="AM1590" s="498">
        <f t="shared" si="544"/>
        <v>0</v>
      </c>
      <c r="AN1590" s="498">
        <f t="shared" si="545"/>
        <v>0</v>
      </c>
      <c r="AO1590" s="498">
        <f t="shared" si="546"/>
        <v>0</v>
      </c>
      <c r="AP1590" s="498">
        <f t="shared" si="565"/>
        <v>0</v>
      </c>
      <c r="AQ1590" s="498">
        <f t="shared" si="560"/>
        <v>0</v>
      </c>
      <c r="AU1590" s="498">
        <f t="shared" si="547"/>
        <v>0</v>
      </c>
      <c r="AV1590" s="498">
        <f t="shared" si="548"/>
        <v>0</v>
      </c>
      <c r="AW1590" s="498">
        <f t="shared" si="549"/>
        <v>0</v>
      </c>
      <c r="AX1590" s="498">
        <f t="shared" si="550"/>
        <v>0</v>
      </c>
      <c r="AY1590" s="498">
        <f t="shared" si="551"/>
        <v>0</v>
      </c>
      <c r="BB1590" s="498" t="str">
        <f t="shared" si="552"/>
        <v/>
      </c>
      <c r="BC1590" s="743" t="str">
        <f t="shared" si="553"/>
        <v/>
      </c>
      <c r="BD1590" s="743" t="str">
        <f t="shared" si="554"/>
        <v/>
      </c>
      <c r="BE1590" s="743" t="str">
        <f>IF(D1590="","",VLOOKUP(D1590,'General Basis'!$J$39:$K$46,2,0))</f>
        <v/>
      </c>
      <c r="BF1590" s="744" t="str">
        <f>IF(D1590="","",VLOOKUP(D1590,'General Basis'!$J$39:$L$46,3,0))</f>
        <v/>
      </c>
      <c r="BG1590" s="744" t="str">
        <f t="shared" si="561"/>
        <v/>
      </c>
      <c r="BH1590" s="744" t="str">
        <f>IF(G1590="","",IF(BF1590="Abu Dhabi",IF(G1590&lt;18,'General Basis'!$C$39,IF(G1590&lt;41,'General Basis'!$C$40,IF(G1590&lt;60,'General Basis'!$C$41,IF(G1590&lt;65,'General Basis'!$C$42,'General Basis'!$C$43)))),IF(G1590&lt;11,'General Basis'!$B$39,IF(G1590&lt;18,'General Basis'!$B$40,IF(G1590&lt;26,'General Basis'!$B$41,IF(G1590&lt;31,'General Basis'!$B$42,IF(G1590&lt;36,'General Basis'!$B$43,IF(G1590&lt;41,'General Basis'!$B$44,IF(G1590&lt;46,'General Basis'!$B$45,IF(G1590&lt;51,'General Basis'!$B$46,IF(G1590&lt;56,'General Basis'!$B$47,IF(G1590&lt;60,'General Basis'!$B$48,IF(G1590&lt;65,'General Basis'!$B$49,'General Basis'!$B$50)))))))))))))</f>
        <v/>
      </c>
      <c r="BI1590" s="744" t="str">
        <f t="shared" si="555"/>
        <v/>
      </c>
      <c r="BJ1590" s="747" t="str">
        <f t="shared" si="562"/>
        <v/>
      </c>
      <c r="BK1590" s="498" t="str">
        <f t="shared" si="556"/>
        <v/>
      </c>
      <c r="BL1590" s="498" t="str">
        <f t="shared" si="557"/>
        <v/>
      </c>
    </row>
    <row r="1591" spans="1:64" x14ac:dyDescent="0.25">
      <c r="A1591" s="762">
        <f t="shared" si="558"/>
        <v>1586</v>
      </c>
      <c r="B1591" s="229"/>
      <c r="C1591" s="223"/>
      <c r="D1591" s="224"/>
      <c r="E1591" s="225"/>
      <c r="F1591" s="1036" t="str">
        <f t="shared" si="564"/>
        <v/>
      </c>
      <c r="G1591" s="1037" t="str">
        <f t="shared" si="559"/>
        <v/>
      </c>
      <c r="H1591" s="225"/>
      <c r="I1591" s="1013"/>
      <c r="J1591" s="1013"/>
      <c r="K1591" s="1028"/>
      <c r="L1591" s="1035" t="str">
        <f t="shared" si="563"/>
        <v/>
      </c>
      <c r="S1591" s="498"/>
      <c r="AJ1591" s="498"/>
      <c r="AM1591" s="498">
        <f t="shared" si="544"/>
        <v>0</v>
      </c>
      <c r="AN1591" s="498">
        <f t="shared" si="545"/>
        <v>0</v>
      </c>
      <c r="AO1591" s="498">
        <f t="shared" si="546"/>
        <v>0</v>
      </c>
      <c r="AP1591" s="498">
        <f t="shared" si="565"/>
        <v>0</v>
      </c>
      <c r="AQ1591" s="498">
        <f t="shared" si="560"/>
        <v>0</v>
      </c>
      <c r="AU1591" s="498">
        <f t="shared" si="547"/>
        <v>0</v>
      </c>
      <c r="AV1591" s="498">
        <f t="shared" si="548"/>
        <v>0</v>
      </c>
      <c r="AW1591" s="498">
        <f t="shared" si="549"/>
        <v>0</v>
      </c>
      <c r="AX1591" s="498">
        <f t="shared" si="550"/>
        <v>0</v>
      </c>
      <c r="AY1591" s="498">
        <f t="shared" si="551"/>
        <v>0</v>
      </c>
      <c r="BB1591" s="498" t="str">
        <f t="shared" si="552"/>
        <v/>
      </c>
      <c r="BC1591" s="743" t="str">
        <f t="shared" si="553"/>
        <v/>
      </c>
      <c r="BD1591" s="743" t="str">
        <f t="shared" si="554"/>
        <v/>
      </c>
      <c r="BE1591" s="743" t="str">
        <f>IF(D1591="","",VLOOKUP(D1591,'General Basis'!$J$39:$K$46,2,0))</f>
        <v/>
      </c>
      <c r="BF1591" s="744" t="str">
        <f>IF(D1591="","",VLOOKUP(D1591,'General Basis'!$J$39:$L$46,3,0))</f>
        <v/>
      </c>
      <c r="BG1591" s="744" t="str">
        <f t="shared" si="561"/>
        <v/>
      </c>
      <c r="BH1591" s="744" t="str">
        <f>IF(G1591="","",IF(BF1591="Abu Dhabi",IF(G1591&lt;18,'General Basis'!$C$39,IF(G1591&lt;41,'General Basis'!$C$40,IF(G1591&lt;60,'General Basis'!$C$41,IF(G1591&lt;65,'General Basis'!$C$42,'General Basis'!$C$43)))),IF(G1591&lt;11,'General Basis'!$B$39,IF(G1591&lt;18,'General Basis'!$B$40,IF(G1591&lt;26,'General Basis'!$B$41,IF(G1591&lt;31,'General Basis'!$B$42,IF(G1591&lt;36,'General Basis'!$B$43,IF(G1591&lt;41,'General Basis'!$B$44,IF(G1591&lt;46,'General Basis'!$B$45,IF(G1591&lt;51,'General Basis'!$B$46,IF(G1591&lt;56,'General Basis'!$B$47,IF(G1591&lt;60,'General Basis'!$B$48,IF(G1591&lt;65,'General Basis'!$B$49,'General Basis'!$B$50)))))))))))))</f>
        <v/>
      </c>
      <c r="BI1591" s="744" t="str">
        <f t="shared" si="555"/>
        <v/>
      </c>
      <c r="BJ1591" s="747" t="str">
        <f t="shared" si="562"/>
        <v/>
      </c>
      <c r="BK1591" s="498" t="str">
        <f t="shared" si="556"/>
        <v/>
      </c>
      <c r="BL1591" s="498" t="str">
        <f t="shared" si="557"/>
        <v/>
      </c>
    </row>
    <row r="1592" spans="1:64" x14ac:dyDescent="0.25">
      <c r="A1592" s="762">
        <f t="shared" si="558"/>
        <v>1587</v>
      </c>
      <c r="B1592" s="229"/>
      <c r="C1592" s="223"/>
      <c r="D1592" s="224"/>
      <c r="E1592" s="225"/>
      <c r="F1592" s="1036" t="str">
        <f t="shared" si="564"/>
        <v/>
      </c>
      <c r="G1592" s="1037" t="str">
        <f t="shared" si="559"/>
        <v/>
      </c>
      <c r="H1592" s="225"/>
      <c r="I1592" s="1013"/>
      <c r="J1592" s="1013"/>
      <c r="K1592" s="1028"/>
      <c r="L1592" s="1035" t="str">
        <f t="shared" si="563"/>
        <v/>
      </c>
      <c r="S1592" s="498"/>
      <c r="AJ1592" s="498"/>
      <c r="AM1592" s="498">
        <f t="shared" si="544"/>
        <v>0</v>
      </c>
      <c r="AN1592" s="498">
        <f t="shared" si="545"/>
        <v>0</v>
      </c>
      <c r="AO1592" s="498">
        <f t="shared" si="546"/>
        <v>0</v>
      </c>
      <c r="AP1592" s="498">
        <f t="shared" si="565"/>
        <v>0</v>
      </c>
      <c r="AQ1592" s="498">
        <f t="shared" si="560"/>
        <v>0</v>
      </c>
      <c r="AU1592" s="498">
        <f t="shared" si="547"/>
        <v>0</v>
      </c>
      <c r="AV1592" s="498">
        <f t="shared" si="548"/>
        <v>0</v>
      </c>
      <c r="AW1592" s="498">
        <f t="shared" si="549"/>
        <v>0</v>
      </c>
      <c r="AX1592" s="498">
        <f t="shared" si="550"/>
        <v>0</v>
      </c>
      <c r="AY1592" s="498">
        <f t="shared" si="551"/>
        <v>0</v>
      </c>
      <c r="BB1592" s="498" t="str">
        <f t="shared" si="552"/>
        <v/>
      </c>
      <c r="BC1592" s="743" t="str">
        <f t="shared" si="553"/>
        <v/>
      </c>
      <c r="BD1592" s="743" t="str">
        <f t="shared" si="554"/>
        <v/>
      </c>
      <c r="BE1592" s="743" t="str">
        <f>IF(D1592="","",VLOOKUP(D1592,'General Basis'!$J$39:$K$46,2,0))</f>
        <v/>
      </c>
      <c r="BF1592" s="744" t="str">
        <f>IF(D1592="","",VLOOKUP(D1592,'General Basis'!$J$39:$L$46,3,0))</f>
        <v/>
      </c>
      <c r="BG1592" s="744" t="str">
        <f t="shared" si="561"/>
        <v/>
      </c>
      <c r="BH1592" s="744" t="str">
        <f>IF(G1592="","",IF(BF1592="Abu Dhabi",IF(G1592&lt;18,'General Basis'!$C$39,IF(G1592&lt;41,'General Basis'!$C$40,IF(G1592&lt;60,'General Basis'!$C$41,IF(G1592&lt;65,'General Basis'!$C$42,'General Basis'!$C$43)))),IF(G1592&lt;11,'General Basis'!$B$39,IF(G1592&lt;18,'General Basis'!$B$40,IF(G1592&lt;26,'General Basis'!$B$41,IF(G1592&lt;31,'General Basis'!$B$42,IF(G1592&lt;36,'General Basis'!$B$43,IF(G1592&lt;41,'General Basis'!$B$44,IF(G1592&lt;46,'General Basis'!$B$45,IF(G1592&lt;51,'General Basis'!$B$46,IF(G1592&lt;56,'General Basis'!$B$47,IF(G1592&lt;60,'General Basis'!$B$48,IF(G1592&lt;65,'General Basis'!$B$49,'General Basis'!$B$50)))))))))))))</f>
        <v/>
      </c>
      <c r="BI1592" s="744" t="str">
        <f t="shared" si="555"/>
        <v/>
      </c>
      <c r="BJ1592" s="747" t="str">
        <f t="shared" si="562"/>
        <v/>
      </c>
      <c r="BK1592" s="498" t="str">
        <f t="shared" si="556"/>
        <v/>
      </c>
      <c r="BL1592" s="498" t="str">
        <f t="shared" si="557"/>
        <v/>
      </c>
    </row>
    <row r="1593" spans="1:64" x14ac:dyDescent="0.25">
      <c r="A1593" s="762">
        <f t="shared" si="558"/>
        <v>1588</v>
      </c>
      <c r="B1593" s="229"/>
      <c r="C1593" s="223"/>
      <c r="D1593" s="224"/>
      <c r="E1593" s="225"/>
      <c r="F1593" s="1036" t="str">
        <f t="shared" si="564"/>
        <v/>
      </c>
      <c r="G1593" s="1037" t="str">
        <f t="shared" si="559"/>
        <v/>
      </c>
      <c r="H1593" s="225"/>
      <c r="I1593" s="1013"/>
      <c r="J1593" s="1013"/>
      <c r="K1593" s="1028"/>
      <c r="L1593" s="1035" t="str">
        <f t="shared" si="563"/>
        <v/>
      </c>
      <c r="S1593" s="498"/>
      <c r="AJ1593" s="498"/>
      <c r="AM1593" s="498">
        <f t="shared" si="544"/>
        <v>0</v>
      </c>
      <c r="AN1593" s="498">
        <f t="shared" si="545"/>
        <v>0</v>
      </c>
      <c r="AO1593" s="498">
        <f t="shared" si="546"/>
        <v>0</v>
      </c>
      <c r="AP1593" s="498">
        <f t="shared" si="565"/>
        <v>0</v>
      </c>
      <c r="AQ1593" s="498">
        <f t="shared" si="560"/>
        <v>0</v>
      </c>
      <c r="AU1593" s="498">
        <f t="shared" si="547"/>
        <v>0</v>
      </c>
      <c r="AV1593" s="498">
        <f t="shared" si="548"/>
        <v>0</v>
      </c>
      <c r="AW1593" s="498">
        <f t="shared" si="549"/>
        <v>0</v>
      </c>
      <c r="AX1593" s="498">
        <f t="shared" si="550"/>
        <v>0</v>
      </c>
      <c r="AY1593" s="498">
        <f t="shared" si="551"/>
        <v>0</v>
      </c>
      <c r="BB1593" s="498" t="str">
        <f t="shared" si="552"/>
        <v/>
      </c>
      <c r="BC1593" s="743" t="str">
        <f t="shared" si="553"/>
        <v/>
      </c>
      <c r="BD1593" s="743" t="str">
        <f t="shared" si="554"/>
        <v/>
      </c>
      <c r="BE1593" s="743" t="str">
        <f>IF(D1593="","",VLOOKUP(D1593,'General Basis'!$J$39:$K$46,2,0))</f>
        <v/>
      </c>
      <c r="BF1593" s="744" t="str">
        <f>IF(D1593="","",VLOOKUP(D1593,'General Basis'!$J$39:$L$46,3,0))</f>
        <v/>
      </c>
      <c r="BG1593" s="744" t="str">
        <f t="shared" si="561"/>
        <v/>
      </c>
      <c r="BH1593" s="744" t="str">
        <f>IF(G1593="","",IF(BF1593="Abu Dhabi",IF(G1593&lt;18,'General Basis'!$C$39,IF(G1593&lt;41,'General Basis'!$C$40,IF(G1593&lt;60,'General Basis'!$C$41,IF(G1593&lt;65,'General Basis'!$C$42,'General Basis'!$C$43)))),IF(G1593&lt;11,'General Basis'!$B$39,IF(G1593&lt;18,'General Basis'!$B$40,IF(G1593&lt;26,'General Basis'!$B$41,IF(G1593&lt;31,'General Basis'!$B$42,IF(G1593&lt;36,'General Basis'!$B$43,IF(G1593&lt;41,'General Basis'!$B$44,IF(G1593&lt;46,'General Basis'!$B$45,IF(G1593&lt;51,'General Basis'!$B$46,IF(G1593&lt;56,'General Basis'!$B$47,IF(G1593&lt;60,'General Basis'!$B$48,IF(G1593&lt;65,'General Basis'!$B$49,'General Basis'!$B$50)))))))))))))</f>
        <v/>
      </c>
      <c r="BI1593" s="744" t="str">
        <f t="shared" si="555"/>
        <v/>
      </c>
      <c r="BJ1593" s="747" t="str">
        <f t="shared" si="562"/>
        <v/>
      </c>
      <c r="BK1593" s="498" t="str">
        <f t="shared" si="556"/>
        <v/>
      </c>
      <c r="BL1593" s="498" t="str">
        <f t="shared" si="557"/>
        <v/>
      </c>
    </row>
    <row r="1594" spans="1:64" x14ac:dyDescent="0.25">
      <c r="A1594" s="762">
        <f t="shared" si="558"/>
        <v>1589</v>
      </c>
      <c r="B1594" s="229"/>
      <c r="C1594" s="223"/>
      <c r="D1594" s="224"/>
      <c r="E1594" s="225"/>
      <c r="F1594" s="1036" t="str">
        <f t="shared" si="564"/>
        <v/>
      </c>
      <c r="G1594" s="1037" t="str">
        <f t="shared" si="559"/>
        <v/>
      </c>
      <c r="H1594" s="225"/>
      <c r="I1594" s="1013"/>
      <c r="J1594" s="1013"/>
      <c r="K1594" s="1028"/>
      <c r="L1594" s="1035" t="str">
        <f t="shared" si="563"/>
        <v/>
      </c>
      <c r="S1594" s="498"/>
      <c r="AJ1594" s="498"/>
      <c r="AM1594" s="498">
        <f t="shared" si="544"/>
        <v>0</v>
      </c>
      <c r="AN1594" s="498">
        <f t="shared" si="545"/>
        <v>0</v>
      </c>
      <c r="AO1594" s="498">
        <f t="shared" si="546"/>
        <v>0</v>
      </c>
      <c r="AP1594" s="498">
        <f t="shared" si="565"/>
        <v>0</v>
      </c>
      <c r="AQ1594" s="498">
        <f t="shared" si="560"/>
        <v>0</v>
      </c>
      <c r="AU1594" s="498">
        <f t="shared" si="547"/>
        <v>0</v>
      </c>
      <c r="AV1594" s="498">
        <f t="shared" si="548"/>
        <v>0</v>
      </c>
      <c r="AW1594" s="498">
        <f t="shared" si="549"/>
        <v>0</v>
      </c>
      <c r="AX1594" s="498">
        <f t="shared" si="550"/>
        <v>0</v>
      </c>
      <c r="AY1594" s="498">
        <f t="shared" si="551"/>
        <v>0</v>
      </c>
      <c r="BB1594" s="498" t="str">
        <f t="shared" si="552"/>
        <v/>
      </c>
      <c r="BC1594" s="743" t="str">
        <f t="shared" si="553"/>
        <v/>
      </c>
      <c r="BD1594" s="743" t="str">
        <f t="shared" si="554"/>
        <v/>
      </c>
      <c r="BE1594" s="743" t="str">
        <f>IF(D1594="","",VLOOKUP(D1594,'General Basis'!$J$39:$K$46,2,0))</f>
        <v/>
      </c>
      <c r="BF1594" s="744" t="str">
        <f>IF(D1594="","",VLOOKUP(D1594,'General Basis'!$J$39:$L$46,3,0))</f>
        <v/>
      </c>
      <c r="BG1594" s="744" t="str">
        <f t="shared" si="561"/>
        <v/>
      </c>
      <c r="BH1594" s="744" t="str">
        <f>IF(G1594="","",IF(BF1594="Abu Dhabi",IF(G1594&lt;18,'General Basis'!$C$39,IF(G1594&lt;41,'General Basis'!$C$40,IF(G1594&lt;60,'General Basis'!$C$41,IF(G1594&lt;65,'General Basis'!$C$42,'General Basis'!$C$43)))),IF(G1594&lt;11,'General Basis'!$B$39,IF(G1594&lt;18,'General Basis'!$B$40,IF(G1594&lt;26,'General Basis'!$B$41,IF(G1594&lt;31,'General Basis'!$B$42,IF(G1594&lt;36,'General Basis'!$B$43,IF(G1594&lt;41,'General Basis'!$B$44,IF(G1594&lt;46,'General Basis'!$B$45,IF(G1594&lt;51,'General Basis'!$B$46,IF(G1594&lt;56,'General Basis'!$B$47,IF(G1594&lt;60,'General Basis'!$B$48,IF(G1594&lt;65,'General Basis'!$B$49,'General Basis'!$B$50)))))))))))))</f>
        <v/>
      </c>
      <c r="BI1594" s="744" t="str">
        <f t="shared" si="555"/>
        <v/>
      </c>
      <c r="BJ1594" s="747" t="str">
        <f t="shared" si="562"/>
        <v/>
      </c>
      <c r="BK1594" s="498" t="str">
        <f t="shared" si="556"/>
        <v/>
      </c>
      <c r="BL1594" s="498" t="str">
        <f t="shared" si="557"/>
        <v/>
      </c>
    </row>
    <row r="1595" spans="1:64" x14ac:dyDescent="0.25">
      <c r="A1595" s="762">
        <f t="shared" si="558"/>
        <v>1590</v>
      </c>
      <c r="B1595" s="229"/>
      <c r="C1595" s="223"/>
      <c r="D1595" s="224"/>
      <c r="E1595" s="225"/>
      <c r="F1595" s="1036" t="str">
        <f t="shared" si="564"/>
        <v/>
      </c>
      <c r="G1595" s="1037" t="str">
        <f t="shared" si="559"/>
        <v/>
      </c>
      <c r="H1595" s="225"/>
      <c r="I1595" s="1013"/>
      <c r="J1595" s="1013"/>
      <c r="K1595" s="1028"/>
      <c r="L1595" s="1035" t="str">
        <f t="shared" si="563"/>
        <v/>
      </c>
      <c r="S1595" s="498"/>
      <c r="AJ1595" s="498"/>
      <c r="AM1595" s="498">
        <f t="shared" si="544"/>
        <v>0</v>
      </c>
      <c r="AN1595" s="498">
        <f t="shared" si="545"/>
        <v>0</v>
      </c>
      <c r="AO1595" s="498">
        <f t="shared" si="546"/>
        <v>0</v>
      </c>
      <c r="AP1595" s="498">
        <f t="shared" si="565"/>
        <v>0</v>
      </c>
      <c r="AQ1595" s="498">
        <f t="shared" si="560"/>
        <v>0</v>
      </c>
      <c r="AU1595" s="498">
        <f t="shared" si="547"/>
        <v>0</v>
      </c>
      <c r="AV1595" s="498">
        <f t="shared" si="548"/>
        <v>0</v>
      </c>
      <c r="AW1595" s="498">
        <f t="shared" si="549"/>
        <v>0</v>
      </c>
      <c r="AX1595" s="498">
        <f t="shared" si="550"/>
        <v>0</v>
      </c>
      <c r="AY1595" s="498">
        <f t="shared" si="551"/>
        <v>0</v>
      </c>
      <c r="BB1595" s="498" t="str">
        <f t="shared" si="552"/>
        <v/>
      </c>
      <c r="BC1595" s="743" t="str">
        <f t="shared" si="553"/>
        <v/>
      </c>
      <c r="BD1595" s="743" t="str">
        <f t="shared" si="554"/>
        <v/>
      </c>
      <c r="BE1595" s="743" t="str">
        <f>IF(D1595="","",VLOOKUP(D1595,'General Basis'!$J$39:$K$46,2,0))</f>
        <v/>
      </c>
      <c r="BF1595" s="744" t="str">
        <f>IF(D1595="","",VLOOKUP(D1595,'General Basis'!$J$39:$L$46,3,0))</f>
        <v/>
      </c>
      <c r="BG1595" s="744" t="str">
        <f t="shared" si="561"/>
        <v/>
      </c>
      <c r="BH1595" s="744" t="str">
        <f>IF(G1595="","",IF(BF1595="Abu Dhabi",IF(G1595&lt;18,'General Basis'!$C$39,IF(G1595&lt;41,'General Basis'!$C$40,IF(G1595&lt;60,'General Basis'!$C$41,IF(G1595&lt;65,'General Basis'!$C$42,'General Basis'!$C$43)))),IF(G1595&lt;11,'General Basis'!$B$39,IF(G1595&lt;18,'General Basis'!$B$40,IF(G1595&lt;26,'General Basis'!$B$41,IF(G1595&lt;31,'General Basis'!$B$42,IF(G1595&lt;36,'General Basis'!$B$43,IF(G1595&lt;41,'General Basis'!$B$44,IF(G1595&lt;46,'General Basis'!$B$45,IF(G1595&lt;51,'General Basis'!$B$46,IF(G1595&lt;56,'General Basis'!$B$47,IF(G1595&lt;60,'General Basis'!$B$48,IF(G1595&lt;65,'General Basis'!$B$49,'General Basis'!$B$50)))))))))))))</f>
        <v/>
      </c>
      <c r="BI1595" s="744" t="str">
        <f t="shared" si="555"/>
        <v/>
      </c>
      <c r="BJ1595" s="747" t="str">
        <f t="shared" si="562"/>
        <v/>
      </c>
      <c r="BK1595" s="498" t="str">
        <f t="shared" si="556"/>
        <v/>
      </c>
      <c r="BL1595" s="498" t="str">
        <f t="shared" si="557"/>
        <v/>
      </c>
    </row>
    <row r="1596" spans="1:64" x14ac:dyDescent="0.25">
      <c r="A1596" s="762">
        <f t="shared" si="558"/>
        <v>1591</v>
      </c>
      <c r="B1596" s="229"/>
      <c r="C1596" s="223"/>
      <c r="D1596" s="224"/>
      <c r="E1596" s="225"/>
      <c r="F1596" s="1036" t="str">
        <f t="shared" si="564"/>
        <v/>
      </c>
      <c r="G1596" s="1037" t="str">
        <f t="shared" si="559"/>
        <v/>
      </c>
      <c r="H1596" s="225"/>
      <c r="I1596" s="1013"/>
      <c r="J1596" s="1013"/>
      <c r="K1596" s="1028"/>
      <c r="L1596" s="1035" t="str">
        <f t="shared" si="563"/>
        <v/>
      </c>
      <c r="S1596" s="498"/>
      <c r="AJ1596" s="498"/>
      <c r="AM1596" s="498">
        <f t="shared" si="544"/>
        <v>0</v>
      </c>
      <c r="AN1596" s="498">
        <f t="shared" si="545"/>
        <v>0</v>
      </c>
      <c r="AO1596" s="498">
        <f t="shared" si="546"/>
        <v>0</v>
      </c>
      <c r="AP1596" s="498">
        <f t="shared" si="565"/>
        <v>0</v>
      </c>
      <c r="AQ1596" s="498">
        <f t="shared" si="560"/>
        <v>0</v>
      </c>
      <c r="AU1596" s="498">
        <f t="shared" si="547"/>
        <v>0</v>
      </c>
      <c r="AV1596" s="498">
        <f t="shared" si="548"/>
        <v>0</v>
      </c>
      <c r="AW1596" s="498">
        <f t="shared" si="549"/>
        <v>0</v>
      </c>
      <c r="AX1596" s="498">
        <f t="shared" si="550"/>
        <v>0</v>
      </c>
      <c r="AY1596" s="498">
        <f t="shared" si="551"/>
        <v>0</v>
      </c>
      <c r="BB1596" s="498" t="str">
        <f t="shared" si="552"/>
        <v/>
      </c>
      <c r="BC1596" s="743" t="str">
        <f t="shared" si="553"/>
        <v/>
      </c>
      <c r="BD1596" s="743" t="str">
        <f t="shared" si="554"/>
        <v/>
      </c>
      <c r="BE1596" s="743" t="str">
        <f>IF(D1596="","",VLOOKUP(D1596,'General Basis'!$J$39:$K$46,2,0))</f>
        <v/>
      </c>
      <c r="BF1596" s="744" t="str">
        <f>IF(D1596="","",VLOOKUP(D1596,'General Basis'!$J$39:$L$46,3,0))</f>
        <v/>
      </c>
      <c r="BG1596" s="744" t="str">
        <f t="shared" si="561"/>
        <v/>
      </c>
      <c r="BH1596" s="744" t="str">
        <f>IF(G1596="","",IF(BF1596="Abu Dhabi",IF(G1596&lt;18,'General Basis'!$C$39,IF(G1596&lt;41,'General Basis'!$C$40,IF(G1596&lt;60,'General Basis'!$C$41,IF(G1596&lt;65,'General Basis'!$C$42,'General Basis'!$C$43)))),IF(G1596&lt;11,'General Basis'!$B$39,IF(G1596&lt;18,'General Basis'!$B$40,IF(G1596&lt;26,'General Basis'!$B$41,IF(G1596&lt;31,'General Basis'!$B$42,IF(G1596&lt;36,'General Basis'!$B$43,IF(G1596&lt;41,'General Basis'!$B$44,IF(G1596&lt;46,'General Basis'!$B$45,IF(G1596&lt;51,'General Basis'!$B$46,IF(G1596&lt;56,'General Basis'!$B$47,IF(G1596&lt;60,'General Basis'!$B$48,IF(G1596&lt;65,'General Basis'!$B$49,'General Basis'!$B$50)))))))))))))</f>
        <v/>
      </c>
      <c r="BI1596" s="744" t="str">
        <f t="shared" si="555"/>
        <v/>
      </c>
      <c r="BJ1596" s="747" t="str">
        <f t="shared" si="562"/>
        <v/>
      </c>
      <c r="BK1596" s="498" t="str">
        <f t="shared" si="556"/>
        <v/>
      </c>
      <c r="BL1596" s="498" t="str">
        <f t="shared" si="557"/>
        <v/>
      </c>
    </row>
    <row r="1597" spans="1:64" x14ac:dyDescent="0.25">
      <c r="A1597" s="762">
        <f t="shared" si="558"/>
        <v>1592</v>
      </c>
      <c r="B1597" s="229"/>
      <c r="C1597" s="223"/>
      <c r="D1597" s="224"/>
      <c r="E1597" s="225"/>
      <c r="F1597" s="1036" t="str">
        <f t="shared" si="564"/>
        <v/>
      </c>
      <c r="G1597" s="1037" t="str">
        <f t="shared" si="559"/>
        <v/>
      </c>
      <c r="H1597" s="225"/>
      <c r="I1597" s="1013"/>
      <c r="J1597" s="1013"/>
      <c r="K1597" s="1028"/>
      <c r="L1597" s="1035" t="str">
        <f t="shared" si="563"/>
        <v/>
      </c>
      <c r="S1597" s="498"/>
      <c r="AJ1597" s="498"/>
      <c r="AM1597" s="498">
        <f t="shared" si="544"/>
        <v>0</v>
      </c>
      <c r="AN1597" s="498">
        <f t="shared" si="545"/>
        <v>0</v>
      </c>
      <c r="AO1597" s="498">
        <f t="shared" si="546"/>
        <v>0</v>
      </c>
      <c r="AP1597" s="498">
        <f t="shared" si="565"/>
        <v>0</v>
      </c>
      <c r="AQ1597" s="498">
        <f t="shared" si="560"/>
        <v>0</v>
      </c>
      <c r="AU1597" s="498">
        <f t="shared" si="547"/>
        <v>0</v>
      </c>
      <c r="AV1597" s="498">
        <f t="shared" si="548"/>
        <v>0</v>
      </c>
      <c r="AW1597" s="498">
        <f t="shared" si="549"/>
        <v>0</v>
      </c>
      <c r="AX1597" s="498">
        <f t="shared" si="550"/>
        <v>0</v>
      </c>
      <c r="AY1597" s="498">
        <f t="shared" si="551"/>
        <v>0</v>
      </c>
      <c r="BB1597" s="498" t="str">
        <f t="shared" si="552"/>
        <v/>
      </c>
      <c r="BC1597" s="743" t="str">
        <f t="shared" si="553"/>
        <v/>
      </c>
      <c r="BD1597" s="743" t="str">
        <f t="shared" si="554"/>
        <v/>
      </c>
      <c r="BE1597" s="743" t="str">
        <f>IF(D1597="","",VLOOKUP(D1597,'General Basis'!$J$39:$K$46,2,0))</f>
        <v/>
      </c>
      <c r="BF1597" s="744" t="str">
        <f>IF(D1597="","",VLOOKUP(D1597,'General Basis'!$J$39:$L$46,3,0))</f>
        <v/>
      </c>
      <c r="BG1597" s="744" t="str">
        <f t="shared" si="561"/>
        <v/>
      </c>
      <c r="BH1597" s="744" t="str">
        <f>IF(G1597="","",IF(BF1597="Abu Dhabi",IF(G1597&lt;18,'General Basis'!$C$39,IF(G1597&lt;41,'General Basis'!$C$40,IF(G1597&lt;60,'General Basis'!$C$41,IF(G1597&lt;65,'General Basis'!$C$42,'General Basis'!$C$43)))),IF(G1597&lt;11,'General Basis'!$B$39,IF(G1597&lt;18,'General Basis'!$B$40,IF(G1597&lt;26,'General Basis'!$B$41,IF(G1597&lt;31,'General Basis'!$B$42,IF(G1597&lt;36,'General Basis'!$B$43,IF(G1597&lt;41,'General Basis'!$B$44,IF(G1597&lt;46,'General Basis'!$B$45,IF(G1597&lt;51,'General Basis'!$B$46,IF(G1597&lt;56,'General Basis'!$B$47,IF(G1597&lt;60,'General Basis'!$B$48,IF(G1597&lt;65,'General Basis'!$B$49,'General Basis'!$B$50)))))))))))))</f>
        <v/>
      </c>
      <c r="BI1597" s="744" t="str">
        <f t="shared" si="555"/>
        <v/>
      </c>
      <c r="BJ1597" s="747" t="str">
        <f t="shared" si="562"/>
        <v/>
      </c>
      <c r="BK1597" s="498" t="str">
        <f t="shared" si="556"/>
        <v/>
      </c>
      <c r="BL1597" s="498" t="str">
        <f t="shared" si="557"/>
        <v/>
      </c>
    </row>
    <row r="1598" spans="1:64" x14ac:dyDescent="0.25">
      <c r="A1598" s="762">
        <f t="shared" si="558"/>
        <v>1593</v>
      </c>
      <c r="B1598" s="229"/>
      <c r="C1598" s="223"/>
      <c r="D1598" s="224"/>
      <c r="E1598" s="225"/>
      <c r="F1598" s="1036" t="str">
        <f t="shared" si="564"/>
        <v/>
      </c>
      <c r="G1598" s="1037" t="str">
        <f t="shared" si="559"/>
        <v/>
      </c>
      <c r="H1598" s="225"/>
      <c r="I1598" s="1013"/>
      <c r="J1598" s="1013"/>
      <c r="K1598" s="1028"/>
      <c r="L1598" s="1035" t="str">
        <f t="shared" si="563"/>
        <v/>
      </c>
      <c r="S1598" s="498"/>
      <c r="AJ1598" s="498"/>
      <c r="AM1598" s="498">
        <f t="shared" si="544"/>
        <v>0</v>
      </c>
      <c r="AN1598" s="498">
        <f t="shared" si="545"/>
        <v>0</v>
      </c>
      <c r="AO1598" s="498">
        <f t="shared" si="546"/>
        <v>0</v>
      </c>
      <c r="AP1598" s="498">
        <f t="shared" si="565"/>
        <v>0</v>
      </c>
      <c r="AQ1598" s="498">
        <f t="shared" si="560"/>
        <v>0</v>
      </c>
      <c r="AU1598" s="498">
        <f t="shared" si="547"/>
        <v>0</v>
      </c>
      <c r="AV1598" s="498">
        <f t="shared" si="548"/>
        <v>0</v>
      </c>
      <c r="AW1598" s="498">
        <f t="shared" si="549"/>
        <v>0</v>
      </c>
      <c r="AX1598" s="498">
        <f t="shared" si="550"/>
        <v>0</v>
      </c>
      <c r="AY1598" s="498">
        <f t="shared" si="551"/>
        <v>0</v>
      </c>
      <c r="BB1598" s="498" t="str">
        <f t="shared" si="552"/>
        <v/>
      </c>
      <c r="BC1598" s="743" t="str">
        <f t="shared" si="553"/>
        <v/>
      </c>
      <c r="BD1598" s="743" t="str">
        <f t="shared" si="554"/>
        <v/>
      </c>
      <c r="BE1598" s="743" t="str">
        <f>IF(D1598="","",VLOOKUP(D1598,'General Basis'!$J$39:$K$46,2,0))</f>
        <v/>
      </c>
      <c r="BF1598" s="744" t="str">
        <f>IF(D1598="","",VLOOKUP(D1598,'General Basis'!$J$39:$L$46,3,0))</f>
        <v/>
      </c>
      <c r="BG1598" s="744" t="str">
        <f t="shared" si="561"/>
        <v/>
      </c>
      <c r="BH1598" s="744" t="str">
        <f>IF(G1598="","",IF(BF1598="Abu Dhabi",IF(G1598&lt;18,'General Basis'!$C$39,IF(G1598&lt;41,'General Basis'!$C$40,IF(G1598&lt;60,'General Basis'!$C$41,IF(G1598&lt;65,'General Basis'!$C$42,'General Basis'!$C$43)))),IF(G1598&lt;11,'General Basis'!$B$39,IF(G1598&lt;18,'General Basis'!$B$40,IF(G1598&lt;26,'General Basis'!$B$41,IF(G1598&lt;31,'General Basis'!$B$42,IF(G1598&lt;36,'General Basis'!$B$43,IF(G1598&lt;41,'General Basis'!$B$44,IF(G1598&lt;46,'General Basis'!$B$45,IF(G1598&lt;51,'General Basis'!$B$46,IF(G1598&lt;56,'General Basis'!$B$47,IF(G1598&lt;60,'General Basis'!$B$48,IF(G1598&lt;65,'General Basis'!$B$49,'General Basis'!$B$50)))))))))))))</f>
        <v/>
      </c>
      <c r="BI1598" s="744" t="str">
        <f t="shared" si="555"/>
        <v/>
      </c>
      <c r="BJ1598" s="747" t="str">
        <f t="shared" si="562"/>
        <v/>
      </c>
      <c r="BK1598" s="498" t="str">
        <f t="shared" si="556"/>
        <v/>
      </c>
      <c r="BL1598" s="498" t="str">
        <f t="shared" si="557"/>
        <v/>
      </c>
    </row>
    <row r="1599" spans="1:64" x14ac:dyDescent="0.25">
      <c r="A1599" s="762">
        <f t="shared" si="558"/>
        <v>1594</v>
      </c>
      <c r="B1599" s="229"/>
      <c r="C1599" s="223"/>
      <c r="D1599" s="224"/>
      <c r="E1599" s="225"/>
      <c r="F1599" s="1036" t="str">
        <f t="shared" si="564"/>
        <v/>
      </c>
      <c r="G1599" s="1037" t="str">
        <f t="shared" si="559"/>
        <v/>
      </c>
      <c r="H1599" s="225"/>
      <c r="I1599" s="1013"/>
      <c r="J1599" s="1013"/>
      <c r="K1599" s="1028"/>
      <c r="L1599" s="1035" t="str">
        <f t="shared" si="563"/>
        <v/>
      </c>
      <c r="S1599" s="498"/>
      <c r="AJ1599" s="498"/>
      <c r="AM1599" s="498">
        <f t="shared" si="544"/>
        <v>0</v>
      </c>
      <c r="AN1599" s="498">
        <f t="shared" si="545"/>
        <v>0</v>
      </c>
      <c r="AO1599" s="498">
        <f t="shared" si="546"/>
        <v>0</v>
      </c>
      <c r="AP1599" s="498">
        <f t="shared" si="565"/>
        <v>0</v>
      </c>
      <c r="AQ1599" s="498">
        <f t="shared" si="560"/>
        <v>0</v>
      </c>
      <c r="AU1599" s="498">
        <f t="shared" si="547"/>
        <v>0</v>
      </c>
      <c r="AV1599" s="498">
        <f t="shared" si="548"/>
        <v>0</v>
      </c>
      <c r="AW1599" s="498">
        <f t="shared" si="549"/>
        <v>0</v>
      </c>
      <c r="AX1599" s="498">
        <f t="shared" si="550"/>
        <v>0</v>
      </c>
      <c r="AY1599" s="498">
        <f t="shared" si="551"/>
        <v>0</v>
      </c>
      <c r="BB1599" s="498" t="str">
        <f t="shared" si="552"/>
        <v/>
      </c>
      <c r="BC1599" s="743" t="str">
        <f t="shared" si="553"/>
        <v/>
      </c>
      <c r="BD1599" s="743" t="str">
        <f t="shared" si="554"/>
        <v/>
      </c>
      <c r="BE1599" s="743" t="str">
        <f>IF(D1599="","",VLOOKUP(D1599,'General Basis'!$J$39:$K$46,2,0))</f>
        <v/>
      </c>
      <c r="BF1599" s="744" t="str">
        <f>IF(D1599="","",VLOOKUP(D1599,'General Basis'!$J$39:$L$46,3,0))</f>
        <v/>
      </c>
      <c r="BG1599" s="744" t="str">
        <f t="shared" si="561"/>
        <v/>
      </c>
      <c r="BH1599" s="744" t="str">
        <f>IF(G1599="","",IF(BF1599="Abu Dhabi",IF(G1599&lt;18,'General Basis'!$C$39,IF(G1599&lt;41,'General Basis'!$C$40,IF(G1599&lt;60,'General Basis'!$C$41,IF(G1599&lt;65,'General Basis'!$C$42,'General Basis'!$C$43)))),IF(G1599&lt;11,'General Basis'!$B$39,IF(G1599&lt;18,'General Basis'!$B$40,IF(G1599&lt;26,'General Basis'!$B$41,IF(G1599&lt;31,'General Basis'!$B$42,IF(G1599&lt;36,'General Basis'!$B$43,IF(G1599&lt;41,'General Basis'!$B$44,IF(G1599&lt;46,'General Basis'!$B$45,IF(G1599&lt;51,'General Basis'!$B$46,IF(G1599&lt;56,'General Basis'!$B$47,IF(G1599&lt;60,'General Basis'!$B$48,IF(G1599&lt;65,'General Basis'!$B$49,'General Basis'!$B$50)))))))))))))</f>
        <v/>
      </c>
      <c r="BI1599" s="744" t="str">
        <f t="shared" si="555"/>
        <v/>
      </c>
      <c r="BJ1599" s="747" t="str">
        <f t="shared" si="562"/>
        <v/>
      </c>
      <c r="BK1599" s="498" t="str">
        <f t="shared" si="556"/>
        <v/>
      </c>
      <c r="BL1599" s="498" t="str">
        <f t="shared" si="557"/>
        <v/>
      </c>
    </row>
    <row r="1600" spans="1:64" x14ac:dyDescent="0.25">
      <c r="A1600" s="762">
        <f t="shared" si="558"/>
        <v>1595</v>
      </c>
      <c r="B1600" s="229"/>
      <c r="C1600" s="223"/>
      <c r="D1600" s="224"/>
      <c r="E1600" s="225"/>
      <c r="F1600" s="1036" t="str">
        <f t="shared" si="564"/>
        <v/>
      </c>
      <c r="G1600" s="1037" t="str">
        <f t="shared" si="559"/>
        <v/>
      </c>
      <c r="H1600" s="225"/>
      <c r="I1600" s="1013"/>
      <c r="J1600" s="1013"/>
      <c r="K1600" s="1028"/>
      <c r="L1600" s="1035" t="str">
        <f t="shared" si="563"/>
        <v/>
      </c>
      <c r="S1600" s="498"/>
      <c r="AJ1600" s="498"/>
      <c r="AM1600" s="498">
        <f t="shared" si="544"/>
        <v>0</v>
      </c>
      <c r="AN1600" s="498">
        <f t="shared" si="545"/>
        <v>0</v>
      </c>
      <c r="AO1600" s="498">
        <f t="shared" si="546"/>
        <v>0</v>
      </c>
      <c r="AP1600" s="498">
        <f t="shared" si="565"/>
        <v>0</v>
      </c>
      <c r="AQ1600" s="498">
        <f t="shared" si="560"/>
        <v>0</v>
      </c>
      <c r="AU1600" s="498">
        <f t="shared" si="547"/>
        <v>0</v>
      </c>
      <c r="AV1600" s="498">
        <f t="shared" si="548"/>
        <v>0</v>
      </c>
      <c r="AW1600" s="498">
        <f t="shared" si="549"/>
        <v>0</v>
      </c>
      <c r="AX1600" s="498">
        <f t="shared" si="550"/>
        <v>0</v>
      </c>
      <c r="AY1600" s="498">
        <f t="shared" si="551"/>
        <v>0</v>
      </c>
      <c r="BB1600" s="498" t="str">
        <f t="shared" si="552"/>
        <v/>
      </c>
      <c r="BC1600" s="743" t="str">
        <f t="shared" si="553"/>
        <v/>
      </c>
      <c r="BD1600" s="743" t="str">
        <f t="shared" si="554"/>
        <v/>
      </c>
      <c r="BE1600" s="743" t="str">
        <f>IF(D1600="","",VLOOKUP(D1600,'General Basis'!$J$39:$K$46,2,0))</f>
        <v/>
      </c>
      <c r="BF1600" s="744" t="str">
        <f>IF(D1600="","",VLOOKUP(D1600,'General Basis'!$J$39:$L$46,3,0))</f>
        <v/>
      </c>
      <c r="BG1600" s="744" t="str">
        <f t="shared" si="561"/>
        <v/>
      </c>
      <c r="BH1600" s="744" t="str">
        <f>IF(G1600="","",IF(BF1600="Abu Dhabi",IF(G1600&lt;18,'General Basis'!$C$39,IF(G1600&lt;41,'General Basis'!$C$40,IF(G1600&lt;60,'General Basis'!$C$41,IF(G1600&lt;65,'General Basis'!$C$42,'General Basis'!$C$43)))),IF(G1600&lt;11,'General Basis'!$B$39,IF(G1600&lt;18,'General Basis'!$B$40,IF(G1600&lt;26,'General Basis'!$B$41,IF(G1600&lt;31,'General Basis'!$B$42,IF(G1600&lt;36,'General Basis'!$B$43,IF(G1600&lt;41,'General Basis'!$B$44,IF(G1600&lt;46,'General Basis'!$B$45,IF(G1600&lt;51,'General Basis'!$B$46,IF(G1600&lt;56,'General Basis'!$B$47,IF(G1600&lt;60,'General Basis'!$B$48,IF(G1600&lt;65,'General Basis'!$B$49,'General Basis'!$B$50)))))))))))))</f>
        <v/>
      </c>
      <c r="BI1600" s="744" t="str">
        <f t="shared" si="555"/>
        <v/>
      </c>
      <c r="BJ1600" s="747" t="str">
        <f t="shared" si="562"/>
        <v/>
      </c>
      <c r="BK1600" s="498" t="str">
        <f t="shared" si="556"/>
        <v/>
      </c>
      <c r="BL1600" s="498" t="str">
        <f t="shared" si="557"/>
        <v/>
      </c>
    </row>
    <row r="1601" spans="1:64" x14ac:dyDescent="0.25">
      <c r="A1601" s="762">
        <f t="shared" si="558"/>
        <v>1596</v>
      </c>
      <c r="B1601" s="229"/>
      <c r="C1601" s="223"/>
      <c r="D1601" s="224"/>
      <c r="E1601" s="225"/>
      <c r="F1601" s="1036" t="str">
        <f t="shared" si="564"/>
        <v/>
      </c>
      <c r="G1601" s="1037" t="str">
        <f t="shared" si="559"/>
        <v/>
      </c>
      <c r="H1601" s="225"/>
      <c r="I1601" s="1013"/>
      <c r="J1601" s="1013"/>
      <c r="K1601" s="1028"/>
      <c r="L1601" s="1035" t="str">
        <f t="shared" si="563"/>
        <v/>
      </c>
      <c r="S1601" s="498"/>
      <c r="AJ1601" s="498"/>
      <c r="AM1601" s="498">
        <f t="shared" si="544"/>
        <v>0</v>
      </c>
      <c r="AN1601" s="498">
        <f t="shared" si="545"/>
        <v>0</v>
      </c>
      <c r="AO1601" s="498">
        <f t="shared" si="546"/>
        <v>0</v>
      </c>
      <c r="AP1601" s="498">
        <f t="shared" si="565"/>
        <v>0</v>
      </c>
      <c r="AQ1601" s="498">
        <f t="shared" si="560"/>
        <v>0</v>
      </c>
      <c r="AU1601" s="498">
        <f t="shared" si="547"/>
        <v>0</v>
      </c>
      <c r="AV1601" s="498">
        <f t="shared" si="548"/>
        <v>0</v>
      </c>
      <c r="AW1601" s="498">
        <f t="shared" si="549"/>
        <v>0</v>
      </c>
      <c r="AX1601" s="498">
        <f t="shared" si="550"/>
        <v>0</v>
      </c>
      <c r="AY1601" s="498">
        <f t="shared" si="551"/>
        <v>0</v>
      </c>
      <c r="BB1601" s="498" t="str">
        <f t="shared" si="552"/>
        <v/>
      </c>
      <c r="BC1601" s="743" t="str">
        <f t="shared" si="553"/>
        <v/>
      </c>
      <c r="BD1601" s="743" t="str">
        <f t="shared" si="554"/>
        <v/>
      </c>
      <c r="BE1601" s="743" t="str">
        <f>IF(D1601="","",VLOOKUP(D1601,'General Basis'!$J$39:$K$46,2,0))</f>
        <v/>
      </c>
      <c r="BF1601" s="744" t="str">
        <f>IF(D1601="","",VLOOKUP(D1601,'General Basis'!$J$39:$L$46,3,0))</f>
        <v/>
      </c>
      <c r="BG1601" s="744" t="str">
        <f t="shared" si="561"/>
        <v/>
      </c>
      <c r="BH1601" s="744" t="str">
        <f>IF(G1601="","",IF(BF1601="Abu Dhabi",IF(G1601&lt;18,'General Basis'!$C$39,IF(G1601&lt;41,'General Basis'!$C$40,IF(G1601&lt;60,'General Basis'!$C$41,IF(G1601&lt;65,'General Basis'!$C$42,'General Basis'!$C$43)))),IF(G1601&lt;11,'General Basis'!$B$39,IF(G1601&lt;18,'General Basis'!$B$40,IF(G1601&lt;26,'General Basis'!$B$41,IF(G1601&lt;31,'General Basis'!$B$42,IF(G1601&lt;36,'General Basis'!$B$43,IF(G1601&lt;41,'General Basis'!$B$44,IF(G1601&lt;46,'General Basis'!$B$45,IF(G1601&lt;51,'General Basis'!$B$46,IF(G1601&lt;56,'General Basis'!$B$47,IF(G1601&lt;60,'General Basis'!$B$48,IF(G1601&lt;65,'General Basis'!$B$49,'General Basis'!$B$50)))))))))))))</f>
        <v/>
      </c>
      <c r="BI1601" s="744" t="str">
        <f t="shared" si="555"/>
        <v/>
      </c>
      <c r="BJ1601" s="747" t="str">
        <f t="shared" si="562"/>
        <v/>
      </c>
      <c r="BK1601" s="498" t="str">
        <f t="shared" si="556"/>
        <v/>
      </c>
      <c r="BL1601" s="498" t="str">
        <f t="shared" si="557"/>
        <v/>
      </c>
    </row>
    <row r="1602" spans="1:64" x14ac:dyDescent="0.25">
      <c r="A1602" s="762">
        <f t="shared" si="558"/>
        <v>1597</v>
      </c>
      <c r="B1602" s="229"/>
      <c r="C1602" s="223"/>
      <c r="D1602" s="224"/>
      <c r="E1602" s="225"/>
      <c r="F1602" s="1036" t="str">
        <f t="shared" si="564"/>
        <v/>
      </c>
      <c r="G1602" s="1037" t="str">
        <f t="shared" si="559"/>
        <v/>
      </c>
      <c r="H1602" s="225"/>
      <c r="I1602" s="1013"/>
      <c r="J1602" s="1013"/>
      <c r="K1602" s="1028"/>
      <c r="L1602" s="1035" t="str">
        <f t="shared" si="563"/>
        <v/>
      </c>
      <c r="S1602" s="498"/>
      <c r="AJ1602" s="498"/>
      <c r="AM1602" s="498">
        <f t="shared" si="544"/>
        <v>0</v>
      </c>
      <c r="AN1602" s="498">
        <f t="shared" si="545"/>
        <v>0</v>
      </c>
      <c r="AO1602" s="498">
        <f t="shared" si="546"/>
        <v>0</v>
      </c>
      <c r="AP1602" s="498">
        <f t="shared" si="565"/>
        <v>0</v>
      </c>
      <c r="AQ1602" s="498">
        <f t="shared" si="560"/>
        <v>0</v>
      </c>
      <c r="AU1602" s="498">
        <f t="shared" si="547"/>
        <v>0</v>
      </c>
      <c r="AV1602" s="498">
        <f t="shared" si="548"/>
        <v>0</v>
      </c>
      <c r="AW1602" s="498">
        <f t="shared" si="549"/>
        <v>0</v>
      </c>
      <c r="AX1602" s="498">
        <f t="shared" si="550"/>
        <v>0</v>
      </c>
      <c r="AY1602" s="498">
        <f t="shared" si="551"/>
        <v>0</v>
      </c>
      <c r="BB1602" s="498" t="str">
        <f t="shared" si="552"/>
        <v/>
      </c>
      <c r="BC1602" s="743" t="str">
        <f t="shared" si="553"/>
        <v/>
      </c>
      <c r="BD1602" s="743" t="str">
        <f t="shared" si="554"/>
        <v/>
      </c>
      <c r="BE1602" s="743" t="str">
        <f>IF(D1602="","",VLOOKUP(D1602,'General Basis'!$J$39:$K$46,2,0))</f>
        <v/>
      </c>
      <c r="BF1602" s="744" t="str">
        <f>IF(D1602="","",VLOOKUP(D1602,'General Basis'!$J$39:$L$46,3,0))</f>
        <v/>
      </c>
      <c r="BG1602" s="744" t="str">
        <f t="shared" si="561"/>
        <v/>
      </c>
      <c r="BH1602" s="744" t="str">
        <f>IF(G1602="","",IF(BF1602="Abu Dhabi",IF(G1602&lt;18,'General Basis'!$C$39,IF(G1602&lt;41,'General Basis'!$C$40,IF(G1602&lt;60,'General Basis'!$C$41,IF(G1602&lt;65,'General Basis'!$C$42,'General Basis'!$C$43)))),IF(G1602&lt;11,'General Basis'!$B$39,IF(G1602&lt;18,'General Basis'!$B$40,IF(G1602&lt;26,'General Basis'!$B$41,IF(G1602&lt;31,'General Basis'!$B$42,IF(G1602&lt;36,'General Basis'!$B$43,IF(G1602&lt;41,'General Basis'!$B$44,IF(G1602&lt;46,'General Basis'!$B$45,IF(G1602&lt;51,'General Basis'!$B$46,IF(G1602&lt;56,'General Basis'!$B$47,IF(G1602&lt;60,'General Basis'!$B$48,IF(G1602&lt;65,'General Basis'!$B$49,'General Basis'!$B$50)))))))))))))</f>
        <v/>
      </c>
      <c r="BI1602" s="744" t="str">
        <f t="shared" si="555"/>
        <v/>
      </c>
      <c r="BJ1602" s="747" t="str">
        <f t="shared" si="562"/>
        <v/>
      </c>
      <c r="BK1602" s="498" t="str">
        <f t="shared" si="556"/>
        <v/>
      </c>
      <c r="BL1602" s="498" t="str">
        <f t="shared" si="557"/>
        <v/>
      </c>
    </row>
    <row r="1603" spans="1:64" x14ac:dyDescent="0.25">
      <c r="A1603" s="762">
        <f t="shared" si="558"/>
        <v>1598</v>
      </c>
      <c r="B1603" s="229"/>
      <c r="C1603" s="223"/>
      <c r="D1603" s="224"/>
      <c r="E1603" s="225"/>
      <c r="F1603" s="1036" t="str">
        <f t="shared" si="564"/>
        <v/>
      </c>
      <c r="G1603" s="1037" t="str">
        <f t="shared" si="559"/>
        <v/>
      </c>
      <c r="H1603" s="225"/>
      <c r="I1603" s="1013"/>
      <c r="J1603" s="1013"/>
      <c r="K1603" s="1028"/>
      <c r="L1603" s="1035" t="str">
        <f t="shared" si="563"/>
        <v/>
      </c>
      <c r="S1603" s="498"/>
      <c r="AJ1603" s="498"/>
      <c r="AM1603" s="498">
        <f t="shared" si="544"/>
        <v>0</v>
      </c>
      <c r="AN1603" s="498">
        <f t="shared" si="545"/>
        <v>0</v>
      </c>
      <c r="AO1603" s="498">
        <f t="shared" si="546"/>
        <v>0</v>
      </c>
      <c r="AP1603" s="498">
        <f t="shared" si="565"/>
        <v>0</v>
      </c>
      <c r="AQ1603" s="498">
        <f t="shared" si="560"/>
        <v>0</v>
      </c>
      <c r="AU1603" s="498">
        <f t="shared" si="547"/>
        <v>0</v>
      </c>
      <c r="AV1603" s="498">
        <f t="shared" si="548"/>
        <v>0</v>
      </c>
      <c r="AW1603" s="498">
        <f t="shared" si="549"/>
        <v>0</v>
      </c>
      <c r="AX1603" s="498">
        <f t="shared" si="550"/>
        <v>0</v>
      </c>
      <c r="AY1603" s="498">
        <f t="shared" si="551"/>
        <v>0</v>
      </c>
      <c r="BB1603" s="498" t="str">
        <f t="shared" si="552"/>
        <v/>
      </c>
      <c r="BC1603" s="743" t="str">
        <f t="shared" si="553"/>
        <v/>
      </c>
      <c r="BD1603" s="743" t="str">
        <f t="shared" si="554"/>
        <v/>
      </c>
      <c r="BE1603" s="743" t="str">
        <f>IF(D1603="","",VLOOKUP(D1603,'General Basis'!$J$39:$K$46,2,0))</f>
        <v/>
      </c>
      <c r="BF1603" s="744" t="str">
        <f>IF(D1603="","",VLOOKUP(D1603,'General Basis'!$J$39:$L$46,3,0))</f>
        <v/>
      </c>
      <c r="BG1603" s="744" t="str">
        <f t="shared" si="561"/>
        <v/>
      </c>
      <c r="BH1603" s="744" t="str">
        <f>IF(G1603="","",IF(BF1603="Abu Dhabi",IF(G1603&lt;18,'General Basis'!$C$39,IF(G1603&lt;41,'General Basis'!$C$40,IF(G1603&lt;60,'General Basis'!$C$41,IF(G1603&lt;65,'General Basis'!$C$42,'General Basis'!$C$43)))),IF(G1603&lt;11,'General Basis'!$B$39,IF(G1603&lt;18,'General Basis'!$B$40,IF(G1603&lt;26,'General Basis'!$B$41,IF(G1603&lt;31,'General Basis'!$B$42,IF(G1603&lt;36,'General Basis'!$B$43,IF(G1603&lt;41,'General Basis'!$B$44,IF(G1603&lt;46,'General Basis'!$B$45,IF(G1603&lt;51,'General Basis'!$B$46,IF(G1603&lt;56,'General Basis'!$B$47,IF(G1603&lt;60,'General Basis'!$B$48,IF(G1603&lt;65,'General Basis'!$B$49,'General Basis'!$B$50)))))))))))))</f>
        <v/>
      </c>
      <c r="BI1603" s="744" t="str">
        <f t="shared" si="555"/>
        <v/>
      </c>
      <c r="BJ1603" s="747" t="str">
        <f t="shared" si="562"/>
        <v/>
      </c>
      <c r="BK1603" s="498" t="str">
        <f t="shared" si="556"/>
        <v/>
      </c>
      <c r="BL1603" s="498" t="str">
        <f t="shared" si="557"/>
        <v/>
      </c>
    </row>
    <row r="1604" spans="1:64" x14ac:dyDescent="0.25">
      <c r="A1604" s="762">
        <f t="shared" si="558"/>
        <v>1599</v>
      </c>
      <c r="B1604" s="229"/>
      <c r="C1604" s="223"/>
      <c r="D1604" s="224"/>
      <c r="E1604" s="225"/>
      <c r="F1604" s="1036" t="str">
        <f t="shared" si="564"/>
        <v/>
      </c>
      <c r="G1604" s="1037" t="str">
        <f t="shared" si="559"/>
        <v/>
      </c>
      <c r="H1604" s="225"/>
      <c r="I1604" s="1013"/>
      <c r="J1604" s="1013"/>
      <c r="K1604" s="1028"/>
      <c r="L1604" s="1035" t="str">
        <f t="shared" si="563"/>
        <v/>
      </c>
      <c r="S1604" s="498"/>
      <c r="AJ1604" s="498"/>
      <c r="AM1604" s="498">
        <f t="shared" si="544"/>
        <v>0</v>
      </c>
      <c r="AN1604" s="498">
        <f t="shared" si="545"/>
        <v>0</v>
      </c>
      <c r="AO1604" s="498">
        <f t="shared" si="546"/>
        <v>0</v>
      </c>
      <c r="AP1604" s="498">
        <f t="shared" si="565"/>
        <v>0</v>
      </c>
      <c r="AQ1604" s="498">
        <f t="shared" si="560"/>
        <v>0</v>
      </c>
      <c r="AU1604" s="498">
        <f t="shared" si="547"/>
        <v>0</v>
      </c>
      <c r="AV1604" s="498">
        <f t="shared" si="548"/>
        <v>0</v>
      </c>
      <c r="AW1604" s="498">
        <f t="shared" si="549"/>
        <v>0</v>
      </c>
      <c r="AX1604" s="498">
        <f t="shared" si="550"/>
        <v>0</v>
      </c>
      <c r="AY1604" s="498">
        <f t="shared" si="551"/>
        <v>0</v>
      </c>
      <c r="BB1604" s="498" t="str">
        <f t="shared" si="552"/>
        <v/>
      </c>
      <c r="BC1604" s="743" t="str">
        <f t="shared" si="553"/>
        <v/>
      </c>
      <c r="BD1604" s="743" t="str">
        <f t="shared" si="554"/>
        <v/>
      </c>
      <c r="BE1604" s="743" t="str">
        <f>IF(D1604="","",VLOOKUP(D1604,'General Basis'!$J$39:$K$46,2,0))</f>
        <v/>
      </c>
      <c r="BF1604" s="744" t="str">
        <f>IF(D1604="","",VLOOKUP(D1604,'General Basis'!$J$39:$L$46,3,0))</f>
        <v/>
      </c>
      <c r="BG1604" s="744" t="str">
        <f t="shared" si="561"/>
        <v/>
      </c>
      <c r="BH1604" s="744" t="str">
        <f>IF(G1604="","",IF(BF1604="Abu Dhabi",IF(G1604&lt;18,'General Basis'!$C$39,IF(G1604&lt;41,'General Basis'!$C$40,IF(G1604&lt;60,'General Basis'!$C$41,IF(G1604&lt;65,'General Basis'!$C$42,'General Basis'!$C$43)))),IF(G1604&lt;11,'General Basis'!$B$39,IF(G1604&lt;18,'General Basis'!$B$40,IF(G1604&lt;26,'General Basis'!$B$41,IF(G1604&lt;31,'General Basis'!$B$42,IF(G1604&lt;36,'General Basis'!$B$43,IF(G1604&lt;41,'General Basis'!$B$44,IF(G1604&lt;46,'General Basis'!$B$45,IF(G1604&lt;51,'General Basis'!$B$46,IF(G1604&lt;56,'General Basis'!$B$47,IF(G1604&lt;60,'General Basis'!$B$48,IF(G1604&lt;65,'General Basis'!$B$49,'General Basis'!$B$50)))))))))))))</f>
        <v/>
      </c>
      <c r="BI1604" s="744" t="str">
        <f t="shared" si="555"/>
        <v/>
      </c>
      <c r="BJ1604" s="747" t="str">
        <f t="shared" si="562"/>
        <v/>
      </c>
      <c r="BK1604" s="498" t="str">
        <f t="shared" si="556"/>
        <v/>
      </c>
      <c r="BL1604" s="498" t="str">
        <f t="shared" si="557"/>
        <v/>
      </c>
    </row>
    <row r="1605" spans="1:64" x14ac:dyDescent="0.25">
      <c r="A1605" s="762">
        <f t="shared" si="558"/>
        <v>1600</v>
      </c>
      <c r="B1605" s="229"/>
      <c r="C1605" s="223"/>
      <c r="D1605" s="224"/>
      <c r="E1605" s="225"/>
      <c r="F1605" s="1036" t="str">
        <f t="shared" si="564"/>
        <v/>
      </c>
      <c r="G1605" s="1037" t="str">
        <f t="shared" si="559"/>
        <v/>
      </c>
      <c r="H1605" s="225"/>
      <c r="I1605" s="1013"/>
      <c r="J1605" s="1013"/>
      <c r="K1605" s="1028"/>
      <c r="L1605" s="1035" t="str">
        <f t="shared" si="563"/>
        <v/>
      </c>
      <c r="S1605" s="498"/>
      <c r="AJ1605" s="498"/>
      <c r="AM1605" s="498">
        <f t="shared" si="544"/>
        <v>0</v>
      </c>
      <c r="AN1605" s="498">
        <f t="shared" si="545"/>
        <v>0</v>
      </c>
      <c r="AO1605" s="498">
        <f t="shared" si="546"/>
        <v>0</v>
      </c>
      <c r="AP1605" s="498">
        <f t="shared" si="565"/>
        <v>0</v>
      </c>
      <c r="AQ1605" s="498">
        <f t="shared" si="560"/>
        <v>0</v>
      </c>
      <c r="AU1605" s="498">
        <f t="shared" si="547"/>
        <v>0</v>
      </c>
      <c r="AV1605" s="498">
        <f t="shared" si="548"/>
        <v>0</v>
      </c>
      <c r="AW1605" s="498">
        <f t="shared" si="549"/>
        <v>0</v>
      </c>
      <c r="AX1605" s="498">
        <f t="shared" si="550"/>
        <v>0</v>
      </c>
      <c r="AY1605" s="498">
        <f t="shared" si="551"/>
        <v>0</v>
      </c>
      <c r="BB1605" s="498" t="str">
        <f t="shared" si="552"/>
        <v/>
      </c>
      <c r="BC1605" s="743" t="str">
        <f t="shared" si="553"/>
        <v/>
      </c>
      <c r="BD1605" s="743" t="str">
        <f t="shared" si="554"/>
        <v/>
      </c>
      <c r="BE1605" s="743" t="str">
        <f>IF(D1605="","",VLOOKUP(D1605,'General Basis'!$J$39:$K$46,2,0))</f>
        <v/>
      </c>
      <c r="BF1605" s="744" t="str">
        <f>IF(D1605="","",VLOOKUP(D1605,'General Basis'!$J$39:$L$46,3,0))</f>
        <v/>
      </c>
      <c r="BG1605" s="744" t="str">
        <f t="shared" si="561"/>
        <v/>
      </c>
      <c r="BH1605" s="744" t="str">
        <f>IF(G1605="","",IF(BF1605="Abu Dhabi",IF(G1605&lt;18,'General Basis'!$C$39,IF(G1605&lt;41,'General Basis'!$C$40,IF(G1605&lt;60,'General Basis'!$C$41,IF(G1605&lt;65,'General Basis'!$C$42,'General Basis'!$C$43)))),IF(G1605&lt;11,'General Basis'!$B$39,IF(G1605&lt;18,'General Basis'!$B$40,IF(G1605&lt;26,'General Basis'!$B$41,IF(G1605&lt;31,'General Basis'!$B$42,IF(G1605&lt;36,'General Basis'!$B$43,IF(G1605&lt;41,'General Basis'!$B$44,IF(G1605&lt;46,'General Basis'!$B$45,IF(G1605&lt;51,'General Basis'!$B$46,IF(G1605&lt;56,'General Basis'!$B$47,IF(G1605&lt;60,'General Basis'!$B$48,IF(G1605&lt;65,'General Basis'!$B$49,'General Basis'!$B$50)))))))))))))</f>
        <v/>
      </c>
      <c r="BI1605" s="744" t="str">
        <f t="shared" si="555"/>
        <v/>
      </c>
      <c r="BJ1605" s="747" t="str">
        <f t="shared" si="562"/>
        <v/>
      </c>
      <c r="BK1605" s="498" t="str">
        <f t="shared" si="556"/>
        <v/>
      </c>
      <c r="BL1605" s="498" t="str">
        <f t="shared" si="557"/>
        <v/>
      </c>
    </row>
    <row r="1606" spans="1:64" x14ac:dyDescent="0.25">
      <c r="A1606" s="762">
        <f t="shared" si="558"/>
        <v>1601</v>
      </c>
      <c r="B1606" s="229"/>
      <c r="C1606" s="223"/>
      <c r="D1606" s="224"/>
      <c r="E1606" s="225"/>
      <c r="F1606" s="1036" t="str">
        <f t="shared" si="564"/>
        <v/>
      </c>
      <c r="G1606" s="1037" t="str">
        <f t="shared" si="559"/>
        <v/>
      </c>
      <c r="H1606" s="225"/>
      <c r="I1606" s="1013"/>
      <c r="J1606" s="1013"/>
      <c r="K1606" s="1028"/>
      <c r="L1606" s="1035" t="str">
        <f t="shared" si="563"/>
        <v/>
      </c>
      <c r="S1606" s="498"/>
      <c r="AJ1606" s="498"/>
      <c r="AM1606" s="498">
        <f t="shared" ref="AM1606:AM1669" si="566">IF(ISTEXT(B1606),1,0)</f>
        <v>0</v>
      </c>
      <c r="AN1606" s="498">
        <f t="shared" ref="AN1606:AN1669" si="567">IF(ISBLANK(B1606),0,IF(B1606&lt;$AK$6,1,0))</f>
        <v>0</v>
      </c>
      <c r="AO1606" s="498">
        <f t="shared" ref="AO1606:AO1669" si="568">IF(ISBLANK(B1606),0,IF(B1606&gt;$AK$7,1,0))</f>
        <v>0</v>
      </c>
      <c r="AP1606" s="498">
        <f t="shared" si="565"/>
        <v>0</v>
      </c>
      <c r="AQ1606" s="498">
        <f t="shared" si="560"/>
        <v>0</v>
      </c>
      <c r="AU1606" s="498">
        <f t="shared" ref="AU1606:AU1669" si="569">IF(ISBLANK(B1606),0,1)</f>
        <v>0</v>
      </c>
      <c r="AV1606" s="498">
        <f t="shared" ref="AV1606:AV1669" si="570">IF(ISBLANK(C1606),0,1)</f>
        <v>0</v>
      </c>
      <c r="AW1606" s="498">
        <f t="shared" ref="AW1606:AW1669" si="571">IF(ISBLANK(D1606),0,1)</f>
        <v>0</v>
      </c>
      <c r="AX1606" s="498">
        <f t="shared" ref="AX1606:AX1669" si="572">IF(ISBLANK(E1606),0,1)</f>
        <v>0</v>
      </c>
      <c r="AY1606" s="498">
        <f t="shared" ref="AY1606:AY1669" si="573">IF(ISBLANK(H1606),0,1)</f>
        <v>0</v>
      </c>
      <c r="BB1606" s="498" t="str">
        <f t="shared" ref="BB1606:BB1669" si="574">IF(E1606="Principal","Principal",IF(E1606="","","Other"))</f>
        <v/>
      </c>
      <c r="BC1606" s="743" t="str">
        <f t="shared" ref="BC1606:BC1669" si="575">IF(D1606="","",D1606)</f>
        <v/>
      </c>
      <c r="BD1606" s="743" t="str">
        <f t="shared" ref="BD1606:BD1669" si="576">IF(E1606="Principal","Employee",IF(E1606="","","Dependent"))</f>
        <v/>
      </c>
      <c r="BE1606" s="743" t="str">
        <f>IF(D1606="","",VLOOKUP(D1606,'General Basis'!$J$39:$K$46,2,0))</f>
        <v/>
      </c>
      <c r="BF1606" s="744" t="str">
        <f>IF(D1606="","",VLOOKUP(D1606,'General Basis'!$J$39:$L$46,3,0))</f>
        <v/>
      </c>
      <c r="BG1606" s="744" t="str">
        <f t="shared" si="561"/>
        <v/>
      </c>
      <c r="BH1606" s="744" t="str">
        <f>IF(G1606="","",IF(BF1606="Abu Dhabi",IF(G1606&lt;18,'General Basis'!$C$39,IF(G1606&lt;41,'General Basis'!$C$40,IF(G1606&lt;60,'General Basis'!$C$41,IF(G1606&lt;65,'General Basis'!$C$42,'General Basis'!$C$43)))),IF(G1606&lt;11,'General Basis'!$B$39,IF(G1606&lt;18,'General Basis'!$B$40,IF(G1606&lt;26,'General Basis'!$B$41,IF(G1606&lt;31,'General Basis'!$B$42,IF(G1606&lt;36,'General Basis'!$B$43,IF(G1606&lt;41,'General Basis'!$B$44,IF(G1606&lt;46,'General Basis'!$B$45,IF(G1606&lt;51,'General Basis'!$B$46,IF(G1606&lt;56,'General Basis'!$B$47,IF(G1606&lt;60,'General Basis'!$B$48,IF(G1606&lt;65,'General Basis'!$B$49,'General Basis'!$B$50)))))))))))))</f>
        <v/>
      </c>
      <c r="BI1606" s="744" t="str">
        <f t="shared" ref="BI1606:BI1669" si="577">IF(C1606="","",IF(C1606="M","Male","Female"))</f>
        <v/>
      </c>
      <c r="BJ1606" s="747" t="str">
        <f t="shared" si="562"/>
        <v/>
      </c>
      <c r="BK1606" s="498" t="str">
        <f t="shared" ref="BK1606:BK1669" si="578">IF(BD1606="","",IF(AND(BD1606="Employee",BI1606="Male",BF1606="Abu Dhabi",BE1606=GN_Plus),VLOOKUP(BH1606,AUH_MALE_EMP,2,0),IF(AND(BD1606="Employee",BI1606="Male",BF1606="Abu Dhabi",BE1606=GN),VLOOKUP(BH1606,AUH_MALE_EMP,3,0),IF(AND(BD1606="Employee",BI1606="Male",BF1606="Abu Dhabi",BE1606=RN_Plus),VLOOKUP(BH1606,AUH_MALE_EMP,4,0),IF(AND(BD1606="Employee",BI1606="Male",BF1606="Abu Dhabi",BE1606=RN),VLOOKUP(BH1606,AUH_MALE_EMP,5,0),IF(AND(BD1606="Employee",BI1606="Male",BF1606="Abu Dhabi",BE1606=RN_2),VLOOKUP(BH1606,AUH_MALE_EMP,6,0),IF(AND(BD1606="Employee",BI1606="Male",BF1606="Abu Dhabi",BE1606=RN2_minus),VLOOKUP(BH1606,AUH_MALE_EMP,7,0),IF(AND(BD1606="Employee",BI1606="Male",BF1606="Abu Dhabi",BE1606=RN_3),VLOOKUP(BH1606,AUH_MALE_EMP,8,0),IF(AND(BD1606="Employee",BI1606="Male",BF1606="Abu Dhabi",BE1606=VN),VLOOKUP(BH1606,AUH_MALE_EMP,9,0),IF(BD1606="","",IF(AND(BD1606="Employee",BI1606="Female",BF1606="Abu Dhabi",BE1606=GN_Plus),VLOOKUP(BH1606,AUH_FEMALE_EMP,2,0),IF(AND(BD1606="Employee",BI1606="Female",BF1606="Abu Dhabi",BE1606=GN),VLOOKUP(BH1606,AUH_FEMALE_EMP,3,0),IF(AND(BD1606="Employee",BI1606="Female",BF1606="Abu Dhabi",BE1606=RN_Plus),VLOOKUP(BH1606,AUH_FEMALE_EMP,4,0),IF(AND(BD1606="Employee",BI1606="Female",BF1606="Abu Dhabi",BE1606=RN),VLOOKUP(BH1606,AUH_FEMALE_EMP,5,0),IF(AND(BD1606="Employee",BI1606="Female",BF1606="Abu Dhabi",BE1606=RN_2),VLOOKUP(BH1606,AUH_FEMALE_EMP,6,0),IF(AND(BD1606="Employee",BI1606="Female",BF1606="Abu Dhabi",BE1606=RN2_minus),VLOOKUP(BH1606,AUH_FEMALE_EMP,7,0),IF(AND(BD1606="Employee",BI1606="Female",BF1606="Abu Dhabi",BE1606=RN_3),VLOOKUP(BH1606,AUH_FEMALE_EMP,8,0),IF(AND(BD1606="Employee",BI1606="Female",BF1606="Abu Dhabi",BE1606=VN),VLOOKUP(BH1606,AUH_FEMALE_EMP,9,0),IF(BD1606="","",IF(AND(BD1606="Dependent",BI1606="Male",BF1606="Abu Dhabi",BE1606=GN_Plus),VLOOKUP(BH1606,AUH_MALE_DEP,2,0),IF(AND(BD1606="Dependent",BI1606="Male",BF1606="Abu Dhabi",BE1606=GN),VLOOKUP(BH1606,AUH_MALE_DEP,3,0),IF(AND(BD1606="Dependent",BI1606="Male",BF1606="Abu Dhabi",BE1606=RN_Plus),VLOOKUP(BH1606,AUH_MALE_DEP,4,0),IF(AND(BD1606="Dependent",BI1606="Male",BF1606="Abu Dhabi",BE1606=RN),VLOOKUP(BH1606,AUH_MALE_DEP,5,0),IF(AND(BD1606="Dependent",BI1606="Male",BF1606="Abu Dhabi",BE1606=RN_2),VLOOKUP(BH1606,AUH_MALE_DEP,6,0),IF(AND(BD1606="Dependent",BI1606="Male",BF1606="Abu Dhabi",BE1606=RN2_minus),VLOOKUP(BH1606,AUH_MALE_DEP,7,0),IF(AND(BD1606="Dependent",BI1606="Male",BF1606="Abu Dhabi",BE1606=RN_3),VLOOKUP(BH1606,AUH_MALE_DEP,8,0),IF(AND(BD1606="Dependent",BI1606="Male",BF1606="Abu Dhabi",BE1606=VN),VLOOKUP(BH1606,AUH_MALE_DEP,9,0),IF(BD1606="","",IF(AND(BD1606="Dependent",BI1606="Female",BF1606="Abu Dhabi",BE1606=GN_Plus),VLOOKUP(BH1606,AUH_FEMALE_DEP,2,0),IF(AND(BD1606="Dependent",BI1606="Female",BF1606="Abu Dhabi",BE1606=GN),VLOOKUP(BH1606,AUH_FEMALE_DEP,3,0),IF(AND(BD1606="Dependent",BI1606="Female",BF1606="Abu Dhabi",BE1606=RN_Plus),VLOOKUP(BH1606,AUH_FEMALE_DEP,4,0),IF(AND(BD1606="Dependent",BI1606="Female",BF1606="Abu Dhabi",BE1606=RN),VLOOKUP(BH1606,AUH_FEMALE_DEP,5,0),IF(AND(BD1606="Dependent",BI1606="Female",BF1606="Abu Dhabi",BE1606=RN_2),VLOOKUP(BH1606,AUH_FEMALE_DEP,6,0),IF(AND(BD1606="Dependent",BI1606="Female",BF1606="Abu Dhabi",BE1606=RN2_minus),VLOOKUP(BH1606,AUH_FEMALE_DEP,7,0),IF(AND(BD1606="Dependent",BI1606="Female",BF1606="Abu Dhabi",BE1606=RN_3),VLOOKUP(BH1606,AUH_FEMALE_DEP,8,0),IF(AND(BD1606="Dependent",BI1606="Female",BF1606="Abu Dhabi",BE1606=VN),VLOOKUP(BH1606,AUH_FEMALE_DEP,9,0),"ABC"))))))))))))))))))))))))))))))))))))</f>
        <v/>
      </c>
      <c r="BL1606" s="498" t="str">
        <f t="shared" ref="BL1606:BL1669" si="579">IF(BD1606="","",IF(AND(BD1606="Employee",BI1606="Male",BF1606="Dubai",BE1606=GN_Plus),VLOOKUP(BH1606,DXB_MALE_EMP,2,0),IF(AND(BD1606="Employee",BI1606="Male",BF1606="Dubai",BE1606=GN),VLOOKUP(BH1606,DXB_MALE_EMP,3,0),IF(AND(BD1606="Employee",BI1606="Male",BF1606="Dubai",BE1606=RN_Plus),VLOOKUP(BH1606,DXB_MALE_EMP,4,0),IF(AND(BD1606="Employee",BI1606="Male",BF1606="Dubai",BE1606=RN),VLOOKUP(BH1606,DXB_MALE_EMP,5,0),IF(AND(BD1606="Employee",BI1606="Male",BF1606="Dubai",BE1606=RN_2),VLOOKUP(BH1606,DXB_MALE_EMP,6,0),IF(AND(BD1606="Employee",BI1606="Male",BF1606="Dubai",BE1606=RN2_minus),VLOOKUP(BH1606,DXB_MALE_EMP,7,0),IF(AND(BD1606="Employee",BI1606="Male",BF1606="Dubai",BE1606=RN_3),VLOOKUP(BH1606,DXB_MALE_EMP,8,0),IF(AND(BD1606="Employee",BI1606="Male",BF1606="Dubai",BE1606=VN),VLOOKUP(BH1606,DXB_MALE_EMP,9,0),IF(BD1606="","",IF(AND(BD1606="Employee",BI1606="Female",BF1606="Dubai",BE1606=GN_Plus),VLOOKUP(BH1606,DXB_FEMALE_EMP,2,0),IF(AND(BD1606="Employee",BI1606="Female",BF1606="Dubai",BE1606=GN),VLOOKUP(BH1606,DXB_FEMALE_EMP,3,0),IF(AND(BD1606="Employee",BI1606="Female",BF1606="Dubai",BE1606=RN_Plus),VLOOKUP(BH1606,DXB_FEMALE_EMP,4,0),IF(AND(BD1606="Employee",BI1606="Female",BF1606="Dubai",BE1606=RN),VLOOKUP(BH1606,DXB_FEMALE_EMP,5,0),IF(AND(BD1606="Employee",BI1606="Female",BF1606="Dubai",BE1606=RN_2),VLOOKUP(BH1606,DXB_FEMALE_EMP,6,0),IF(AND(BD1606="Employee",BI1606="Female",BF1606="Dubai",BE1606=RN2_minus),VLOOKUP(BH1606,DXB_FEMALE_EMP,7,0),IF(AND(BD1606="Employee",BI1606="Female",BF1606="Dubai",BE1606=RN_3),VLOOKUP(BH1606,DXB_FEMALE_EMP,8,0),IF(AND(BD1606="Employee",BI1606="Female",BF1606="Dubai",BE1606=VN),VLOOKUP(BH1606,DXB_FEMALE_EMP,9,0),IF(BD1606="","",IF(AND(BD1606="Dependent",BI1606="Male",BF1606="Dubai",BE1606=GN_Plus),VLOOKUP(BH1606,DXB_MALE_DEP,2,0),IF(AND(BD1606="Dependent",BI1606="Male",BF1606="Dubai",BE1606=GN),VLOOKUP(BH1606,DXB_MALE_DEP,3,0),IF(AND(BD1606="Dependent",BI1606="Male",BF1606="Dubai",BE1606=RN_Plus),VLOOKUP(BH1606,DXB_MALE_DEP,4,0),IF(AND(BD1606="Dependent",BI1606="Male",BF1606="Dubai",BE1606=RN),VLOOKUP(BH1606,DXB_MALE_DEP,5,0),IF(AND(BD1606="Dependent",BI1606="Male",BF1606="Dubai",BE1606=RN_2),VLOOKUP(BH1606,DXB_MALE_DEP,6,0),IF(AND(BD1606="Dependent",BI1606="Male",BF1606="Dubai",BE1606=RN2_minus),VLOOKUP(BH1606,DXB_MALE_DEP,7,0),IF(AND(BD1606="Dependent",BI1606="Male",BF1606="Dubai",BE1606=RN_3),VLOOKUP(BH1606,DXB_MALE_DEP,8,0),IF(AND(BD1606="Dependent",BI1606="Male",BF1606="Dubai",BE1606=VN),VLOOKUP(BH1606,DXB_MALE_DEP,9,0),IF(BD1606="","",IF(AND(BD1606="Dependent",BI1606="Female",BF1606="Dubai",BE1606=GN_Plus),VLOOKUP(BH1606,DXB_FEMALE_DEP,2,0),IF(AND(BD1606="Dependent",BI1606="Female",BF1606="Dubai",BE1606=GN),VLOOKUP(BH1606,DXB_FEMALE_DEP,3,0),IF(AND(BD1606="Dependent",BI1606="Female",BF1606="Dubai",BE1606=RN_Plus),VLOOKUP(BH1606,DXB_FEMALE_DEP,4,0),IF(AND(BD1606="Dependent",BI1606="Female",BF1606="Dubai",BE1606=RN),VLOOKUP(BH1606,DXB_FEMALE_DEP,5,0),IF(AND(BD1606="Dependent",BI1606="Female",BF1606="Dubai",BE1606=RN_2),VLOOKUP(BH1606,DXB_FEMALE_DEP,6,0),IF(AND(BD1606="Dependent",BI1606="Female",BF1606="Dubai",BE1606=RN2_minus),VLOOKUP(BH1606,DXB_FEMALE_DEP,7,0),IF(AND(BD1606="Dependent",BI1606="Female",BF1606="Dubai",BE1606=RN_3),VLOOKUP(BH1606,DXB_FEMALE_DEP,8,0),IF(AND(BD1606="Dependent",BI1606="Female",BF1606="Dubai",BE1606=VN),VLOOKUP(BH1606,DXB_FEMALE_DEP,9,0),"ABC"))))))))))))))))))))))))))))))))))))</f>
        <v/>
      </c>
    </row>
    <row r="1607" spans="1:64" x14ac:dyDescent="0.25">
      <c r="A1607" s="762">
        <f t="shared" ref="A1607:A1670" si="580">+A1606+1</f>
        <v>1602</v>
      </c>
      <c r="B1607" s="229"/>
      <c r="C1607" s="223"/>
      <c r="D1607" s="224"/>
      <c r="E1607" s="225"/>
      <c r="F1607" s="1036" t="str">
        <f t="shared" si="564"/>
        <v/>
      </c>
      <c r="G1607" s="1037" t="str">
        <f t="shared" ref="G1607:G1670" si="581">IF(D1607="","",MAX(0,ROUNDUP(F1607,0)))</f>
        <v/>
      </c>
      <c r="H1607" s="225"/>
      <c r="I1607" s="1013"/>
      <c r="J1607" s="1013"/>
      <c r="K1607" s="1028"/>
      <c r="L1607" s="1035" t="str">
        <f t="shared" si="563"/>
        <v/>
      </c>
      <c r="S1607" s="498"/>
      <c r="AJ1607" s="498"/>
      <c r="AM1607" s="498">
        <f t="shared" si="566"/>
        <v>0</v>
      </c>
      <c r="AN1607" s="498">
        <f t="shared" si="567"/>
        <v>0</v>
      </c>
      <c r="AO1607" s="498">
        <f t="shared" si="568"/>
        <v>0</v>
      </c>
      <c r="AP1607" s="498">
        <f t="shared" si="565"/>
        <v>0</v>
      </c>
      <c r="AQ1607" s="498">
        <f t="shared" ref="AQ1607:AQ1670" si="582">IF(ISBLANK($B1607),0,IF(OR($H1607="Single",$H1607="Married"),0,1))</f>
        <v>0</v>
      </c>
      <c r="AU1607" s="498">
        <f t="shared" si="569"/>
        <v>0</v>
      </c>
      <c r="AV1607" s="498">
        <f t="shared" si="570"/>
        <v>0</v>
      </c>
      <c r="AW1607" s="498">
        <f t="shared" si="571"/>
        <v>0</v>
      </c>
      <c r="AX1607" s="498">
        <f t="shared" si="572"/>
        <v>0</v>
      </c>
      <c r="AY1607" s="498">
        <f t="shared" si="573"/>
        <v>0</v>
      </c>
      <c r="BB1607" s="498" t="str">
        <f t="shared" si="574"/>
        <v/>
      </c>
      <c r="BC1607" s="743" t="str">
        <f t="shared" si="575"/>
        <v/>
      </c>
      <c r="BD1607" s="743" t="str">
        <f t="shared" si="576"/>
        <v/>
      </c>
      <c r="BE1607" s="743" t="str">
        <f>IF(D1607="","",VLOOKUP(D1607,'General Basis'!$J$39:$K$46,2,0))</f>
        <v/>
      </c>
      <c r="BF1607" s="744" t="str">
        <f>IF(D1607="","",VLOOKUP(D1607,'General Basis'!$J$39:$L$46,3,0))</f>
        <v/>
      </c>
      <c r="BG1607" s="744" t="str">
        <f t="shared" ref="BG1607:BG1670" si="583">BC1607&amp;BI1607</f>
        <v/>
      </c>
      <c r="BH1607" s="744" t="str">
        <f>IF(G1607="","",IF(BF1607="Abu Dhabi",IF(G1607&lt;18,'General Basis'!$C$39,IF(G1607&lt;41,'General Basis'!$C$40,IF(G1607&lt;60,'General Basis'!$C$41,IF(G1607&lt;65,'General Basis'!$C$42,'General Basis'!$C$43)))),IF(G1607&lt;11,'General Basis'!$B$39,IF(G1607&lt;18,'General Basis'!$B$40,IF(G1607&lt;26,'General Basis'!$B$41,IF(G1607&lt;31,'General Basis'!$B$42,IF(G1607&lt;36,'General Basis'!$B$43,IF(G1607&lt;41,'General Basis'!$B$44,IF(G1607&lt;46,'General Basis'!$B$45,IF(G1607&lt;51,'General Basis'!$B$46,IF(G1607&lt;56,'General Basis'!$B$47,IF(G1607&lt;60,'General Basis'!$B$48,IF(G1607&lt;65,'General Basis'!$B$49,'General Basis'!$B$50)))))))))))))</f>
        <v/>
      </c>
      <c r="BI1607" s="744" t="str">
        <f t="shared" si="577"/>
        <v/>
      </c>
      <c r="BJ1607" s="747" t="str">
        <f t="shared" ref="BJ1607:BJ1670" si="584">IF(BD1607="","",IF(BF1607="Abu Dhabi",BK1607,BL1607))</f>
        <v/>
      </c>
      <c r="BK1607" s="498" t="str">
        <f t="shared" si="578"/>
        <v/>
      </c>
      <c r="BL1607" s="498" t="str">
        <f t="shared" si="579"/>
        <v/>
      </c>
    </row>
    <row r="1608" spans="1:64" x14ac:dyDescent="0.25">
      <c r="A1608" s="762">
        <f t="shared" si="580"/>
        <v>1603</v>
      </c>
      <c r="B1608" s="229"/>
      <c r="C1608" s="223"/>
      <c r="D1608" s="224"/>
      <c r="E1608" s="225"/>
      <c r="F1608" s="1036" t="str">
        <f t="shared" si="564"/>
        <v/>
      </c>
      <c r="G1608" s="1037" t="str">
        <f t="shared" si="581"/>
        <v/>
      </c>
      <c r="H1608" s="225"/>
      <c r="I1608" s="1013"/>
      <c r="J1608" s="1013"/>
      <c r="K1608" s="1028"/>
      <c r="L1608" s="1035" t="str">
        <f t="shared" ref="L1608:L1671" si="585">IF(AND(E1608="Child",H1608="Married"),"Check the Marital Status of the Child. ",IF(AND(E1608="Child",F1608&gt;18),"Child Age exceed 18 years. ",IF(AND(E1608="Spouse",H1608="Single"),"Spouse is selected as Single. ","")))&amp;IF(K1608&gt;0,"UW Loading has been Applied","")</f>
        <v/>
      </c>
      <c r="S1608" s="498"/>
      <c r="AJ1608" s="498"/>
      <c r="AM1608" s="498">
        <f t="shared" si="566"/>
        <v>0</v>
      </c>
      <c r="AN1608" s="498">
        <f t="shared" si="567"/>
        <v>0</v>
      </c>
      <c r="AO1608" s="498">
        <f t="shared" si="568"/>
        <v>0</v>
      </c>
      <c r="AP1608" s="498">
        <f t="shared" si="565"/>
        <v>0</v>
      </c>
      <c r="AQ1608" s="498">
        <f t="shared" si="582"/>
        <v>0</v>
      </c>
      <c r="AU1608" s="498">
        <f t="shared" si="569"/>
        <v>0</v>
      </c>
      <c r="AV1608" s="498">
        <f t="shared" si="570"/>
        <v>0</v>
      </c>
      <c r="AW1608" s="498">
        <f t="shared" si="571"/>
        <v>0</v>
      </c>
      <c r="AX1608" s="498">
        <f t="shared" si="572"/>
        <v>0</v>
      </c>
      <c r="AY1608" s="498">
        <f t="shared" si="573"/>
        <v>0</v>
      </c>
      <c r="BB1608" s="498" t="str">
        <f t="shared" si="574"/>
        <v/>
      </c>
      <c r="BC1608" s="743" t="str">
        <f t="shared" si="575"/>
        <v/>
      </c>
      <c r="BD1608" s="743" t="str">
        <f t="shared" si="576"/>
        <v/>
      </c>
      <c r="BE1608" s="743" t="str">
        <f>IF(D1608="","",VLOOKUP(D1608,'General Basis'!$J$39:$K$46,2,0))</f>
        <v/>
      </c>
      <c r="BF1608" s="744" t="str">
        <f>IF(D1608="","",VLOOKUP(D1608,'General Basis'!$J$39:$L$46,3,0))</f>
        <v/>
      </c>
      <c r="BG1608" s="744" t="str">
        <f t="shared" si="583"/>
        <v/>
      </c>
      <c r="BH1608" s="744" t="str">
        <f>IF(G1608="","",IF(BF1608="Abu Dhabi",IF(G1608&lt;18,'General Basis'!$C$39,IF(G1608&lt;41,'General Basis'!$C$40,IF(G1608&lt;60,'General Basis'!$C$41,IF(G1608&lt;65,'General Basis'!$C$42,'General Basis'!$C$43)))),IF(G1608&lt;11,'General Basis'!$B$39,IF(G1608&lt;18,'General Basis'!$B$40,IF(G1608&lt;26,'General Basis'!$B$41,IF(G1608&lt;31,'General Basis'!$B$42,IF(G1608&lt;36,'General Basis'!$B$43,IF(G1608&lt;41,'General Basis'!$B$44,IF(G1608&lt;46,'General Basis'!$B$45,IF(G1608&lt;51,'General Basis'!$B$46,IF(G1608&lt;56,'General Basis'!$B$47,IF(G1608&lt;60,'General Basis'!$B$48,IF(G1608&lt;65,'General Basis'!$B$49,'General Basis'!$B$50)))))))))))))</f>
        <v/>
      </c>
      <c r="BI1608" s="744" t="str">
        <f t="shared" si="577"/>
        <v/>
      </c>
      <c r="BJ1608" s="747" t="str">
        <f t="shared" si="584"/>
        <v/>
      </c>
      <c r="BK1608" s="498" t="str">
        <f t="shared" si="578"/>
        <v/>
      </c>
      <c r="BL1608" s="498" t="str">
        <f t="shared" si="579"/>
        <v/>
      </c>
    </row>
    <row r="1609" spans="1:64" x14ac:dyDescent="0.25">
      <c r="A1609" s="762">
        <f t="shared" si="580"/>
        <v>1604</v>
      </c>
      <c r="B1609" s="229"/>
      <c r="C1609" s="223"/>
      <c r="D1609" s="224"/>
      <c r="E1609" s="225"/>
      <c r="F1609" s="1036" t="str">
        <f t="shared" si="564"/>
        <v/>
      </c>
      <c r="G1609" s="1037" t="str">
        <f t="shared" si="581"/>
        <v/>
      </c>
      <c r="H1609" s="225"/>
      <c r="I1609" s="1013"/>
      <c r="J1609" s="1013"/>
      <c r="K1609" s="1028"/>
      <c r="L1609" s="1035" t="str">
        <f t="shared" si="585"/>
        <v/>
      </c>
      <c r="S1609" s="498"/>
      <c r="AJ1609" s="498"/>
      <c r="AM1609" s="498">
        <f t="shared" si="566"/>
        <v>0</v>
      </c>
      <c r="AN1609" s="498">
        <f t="shared" si="567"/>
        <v>0</v>
      </c>
      <c r="AO1609" s="498">
        <f t="shared" si="568"/>
        <v>0</v>
      </c>
      <c r="AP1609" s="498">
        <f t="shared" si="565"/>
        <v>0</v>
      </c>
      <c r="AQ1609" s="498">
        <f t="shared" si="582"/>
        <v>0</v>
      </c>
      <c r="AU1609" s="498">
        <f t="shared" si="569"/>
        <v>0</v>
      </c>
      <c r="AV1609" s="498">
        <f t="shared" si="570"/>
        <v>0</v>
      </c>
      <c r="AW1609" s="498">
        <f t="shared" si="571"/>
        <v>0</v>
      </c>
      <c r="AX1609" s="498">
        <f t="shared" si="572"/>
        <v>0</v>
      </c>
      <c r="AY1609" s="498">
        <f t="shared" si="573"/>
        <v>0</v>
      </c>
      <c r="BB1609" s="498" t="str">
        <f t="shared" si="574"/>
        <v/>
      </c>
      <c r="BC1609" s="743" t="str">
        <f t="shared" si="575"/>
        <v/>
      </c>
      <c r="BD1609" s="743" t="str">
        <f t="shared" si="576"/>
        <v/>
      </c>
      <c r="BE1609" s="743" t="str">
        <f>IF(D1609="","",VLOOKUP(D1609,'General Basis'!$J$39:$K$46,2,0))</f>
        <v/>
      </c>
      <c r="BF1609" s="744" t="str">
        <f>IF(D1609="","",VLOOKUP(D1609,'General Basis'!$J$39:$L$46,3,0))</f>
        <v/>
      </c>
      <c r="BG1609" s="744" t="str">
        <f t="shared" si="583"/>
        <v/>
      </c>
      <c r="BH1609" s="744" t="str">
        <f>IF(G1609="","",IF(BF1609="Abu Dhabi",IF(G1609&lt;18,'General Basis'!$C$39,IF(G1609&lt;41,'General Basis'!$C$40,IF(G1609&lt;60,'General Basis'!$C$41,IF(G1609&lt;65,'General Basis'!$C$42,'General Basis'!$C$43)))),IF(G1609&lt;11,'General Basis'!$B$39,IF(G1609&lt;18,'General Basis'!$B$40,IF(G1609&lt;26,'General Basis'!$B$41,IF(G1609&lt;31,'General Basis'!$B$42,IF(G1609&lt;36,'General Basis'!$B$43,IF(G1609&lt;41,'General Basis'!$B$44,IF(G1609&lt;46,'General Basis'!$B$45,IF(G1609&lt;51,'General Basis'!$B$46,IF(G1609&lt;56,'General Basis'!$B$47,IF(G1609&lt;60,'General Basis'!$B$48,IF(G1609&lt;65,'General Basis'!$B$49,'General Basis'!$B$50)))))))))))))</f>
        <v/>
      </c>
      <c r="BI1609" s="744" t="str">
        <f t="shared" si="577"/>
        <v/>
      </c>
      <c r="BJ1609" s="747" t="str">
        <f t="shared" si="584"/>
        <v/>
      </c>
      <c r="BK1609" s="498" t="str">
        <f t="shared" si="578"/>
        <v/>
      </c>
      <c r="BL1609" s="498" t="str">
        <f t="shared" si="579"/>
        <v/>
      </c>
    </row>
    <row r="1610" spans="1:64" x14ac:dyDescent="0.25">
      <c r="A1610" s="762">
        <f t="shared" si="580"/>
        <v>1605</v>
      </c>
      <c r="B1610" s="229"/>
      <c r="C1610" s="223"/>
      <c r="D1610" s="224"/>
      <c r="E1610" s="225"/>
      <c r="F1610" s="1036" t="str">
        <f t="shared" si="564"/>
        <v/>
      </c>
      <c r="G1610" s="1037" t="str">
        <f t="shared" si="581"/>
        <v/>
      </c>
      <c r="H1610" s="225"/>
      <c r="I1610" s="1013"/>
      <c r="J1610" s="1013"/>
      <c r="K1610" s="1028"/>
      <c r="L1610" s="1035" t="str">
        <f t="shared" si="585"/>
        <v/>
      </c>
      <c r="S1610" s="498"/>
      <c r="AJ1610" s="498"/>
      <c r="AM1610" s="498">
        <f t="shared" si="566"/>
        <v>0</v>
      </c>
      <c r="AN1610" s="498">
        <f t="shared" si="567"/>
        <v>0</v>
      </c>
      <c r="AO1610" s="498">
        <f t="shared" si="568"/>
        <v>0</v>
      </c>
      <c r="AP1610" s="498">
        <f t="shared" si="565"/>
        <v>0</v>
      </c>
      <c r="AQ1610" s="498">
        <f t="shared" si="582"/>
        <v>0</v>
      </c>
      <c r="AU1610" s="498">
        <f t="shared" si="569"/>
        <v>0</v>
      </c>
      <c r="AV1610" s="498">
        <f t="shared" si="570"/>
        <v>0</v>
      </c>
      <c r="AW1610" s="498">
        <f t="shared" si="571"/>
        <v>0</v>
      </c>
      <c r="AX1610" s="498">
        <f t="shared" si="572"/>
        <v>0</v>
      </c>
      <c r="AY1610" s="498">
        <f t="shared" si="573"/>
        <v>0</v>
      </c>
      <c r="BB1610" s="498" t="str">
        <f t="shared" si="574"/>
        <v/>
      </c>
      <c r="BC1610" s="743" t="str">
        <f t="shared" si="575"/>
        <v/>
      </c>
      <c r="BD1610" s="743" t="str">
        <f t="shared" si="576"/>
        <v/>
      </c>
      <c r="BE1610" s="743" t="str">
        <f>IF(D1610="","",VLOOKUP(D1610,'General Basis'!$J$39:$K$46,2,0))</f>
        <v/>
      </c>
      <c r="BF1610" s="744" t="str">
        <f>IF(D1610="","",VLOOKUP(D1610,'General Basis'!$J$39:$L$46,3,0))</f>
        <v/>
      </c>
      <c r="BG1610" s="744" t="str">
        <f t="shared" si="583"/>
        <v/>
      </c>
      <c r="BH1610" s="744" t="str">
        <f>IF(G1610="","",IF(BF1610="Abu Dhabi",IF(G1610&lt;18,'General Basis'!$C$39,IF(G1610&lt;41,'General Basis'!$C$40,IF(G1610&lt;60,'General Basis'!$C$41,IF(G1610&lt;65,'General Basis'!$C$42,'General Basis'!$C$43)))),IF(G1610&lt;11,'General Basis'!$B$39,IF(G1610&lt;18,'General Basis'!$B$40,IF(G1610&lt;26,'General Basis'!$B$41,IF(G1610&lt;31,'General Basis'!$B$42,IF(G1610&lt;36,'General Basis'!$B$43,IF(G1610&lt;41,'General Basis'!$B$44,IF(G1610&lt;46,'General Basis'!$B$45,IF(G1610&lt;51,'General Basis'!$B$46,IF(G1610&lt;56,'General Basis'!$B$47,IF(G1610&lt;60,'General Basis'!$B$48,IF(G1610&lt;65,'General Basis'!$B$49,'General Basis'!$B$50)))))))))))))</f>
        <v/>
      </c>
      <c r="BI1610" s="744" t="str">
        <f t="shared" si="577"/>
        <v/>
      </c>
      <c r="BJ1610" s="747" t="str">
        <f t="shared" si="584"/>
        <v/>
      </c>
      <c r="BK1610" s="498" t="str">
        <f t="shared" si="578"/>
        <v/>
      </c>
      <c r="BL1610" s="498" t="str">
        <f t="shared" si="579"/>
        <v/>
      </c>
    </row>
    <row r="1611" spans="1:64" x14ac:dyDescent="0.25">
      <c r="A1611" s="762">
        <f t="shared" si="580"/>
        <v>1606</v>
      </c>
      <c r="B1611" s="229"/>
      <c r="C1611" s="223"/>
      <c r="D1611" s="224"/>
      <c r="E1611" s="225"/>
      <c r="F1611" s="1036" t="str">
        <f t="shared" si="564"/>
        <v/>
      </c>
      <c r="G1611" s="1037" t="str">
        <f t="shared" si="581"/>
        <v/>
      </c>
      <c r="H1611" s="225"/>
      <c r="I1611" s="1013"/>
      <c r="J1611" s="1013"/>
      <c r="K1611" s="1028"/>
      <c r="L1611" s="1035" t="str">
        <f t="shared" si="585"/>
        <v/>
      </c>
      <c r="S1611" s="498"/>
      <c r="AJ1611" s="498"/>
      <c r="AM1611" s="498">
        <f t="shared" si="566"/>
        <v>0</v>
      </c>
      <c r="AN1611" s="498">
        <f t="shared" si="567"/>
        <v>0</v>
      </c>
      <c r="AO1611" s="498">
        <f t="shared" si="568"/>
        <v>0</v>
      </c>
      <c r="AP1611" s="498">
        <f t="shared" si="565"/>
        <v>0</v>
      </c>
      <c r="AQ1611" s="498">
        <f t="shared" si="582"/>
        <v>0</v>
      </c>
      <c r="AU1611" s="498">
        <f t="shared" si="569"/>
        <v>0</v>
      </c>
      <c r="AV1611" s="498">
        <f t="shared" si="570"/>
        <v>0</v>
      </c>
      <c r="AW1611" s="498">
        <f t="shared" si="571"/>
        <v>0</v>
      </c>
      <c r="AX1611" s="498">
        <f t="shared" si="572"/>
        <v>0</v>
      </c>
      <c r="AY1611" s="498">
        <f t="shared" si="573"/>
        <v>0</v>
      </c>
      <c r="BB1611" s="498" t="str">
        <f t="shared" si="574"/>
        <v/>
      </c>
      <c r="BC1611" s="743" t="str">
        <f t="shared" si="575"/>
        <v/>
      </c>
      <c r="BD1611" s="743" t="str">
        <f t="shared" si="576"/>
        <v/>
      </c>
      <c r="BE1611" s="743" t="str">
        <f>IF(D1611="","",VLOOKUP(D1611,'General Basis'!$J$39:$K$46,2,0))</f>
        <v/>
      </c>
      <c r="BF1611" s="744" t="str">
        <f>IF(D1611="","",VLOOKUP(D1611,'General Basis'!$J$39:$L$46,3,0))</f>
        <v/>
      </c>
      <c r="BG1611" s="744" t="str">
        <f t="shared" si="583"/>
        <v/>
      </c>
      <c r="BH1611" s="744" t="str">
        <f>IF(G1611="","",IF(BF1611="Abu Dhabi",IF(G1611&lt;18,'General Basis'!$C$39,IF(G1611&lt;41,'General Basis'!$C$40,IF(G1611&lt;60,'General Basis'!$C$41,IF(G1611&lt;65,'General Basis'!$C$42,'General Basis'!$C$43)))),IF(G1611&lt;11,'General Basis'!$B$39,IF(G1611&lt;18,'General Basis'!$B$40,IF(G1611&lt;26,'General Basis'!$B$41,IF(G1611&lt;31,'General Basis'!$B$42,IF(G1611&lt;36,'General Basis'!$B$43,IF(G1611&lt;41,'General Basis'!$B$44,IF(G1611&lt;46,'General Basis'!$B$45,IF(G1611&lt;51,'General Basis'!$B$46,IF(G1611&lt;56,'General Basis'!$B$47,IF(G1611&lt;60,'General Basis'!$B$48,IF(G1611&lt;65,'General Basis'!$B$49,'General Basis'!$B$50)))))))))))))</f>
        <v/>
      </c>
      <c r="BI1611" s="744" t="str">
        <f t="shared" si="577"/>
        <v/>
      </c>
      <c r="BJ1611" s="747" t="str">
        <f t="shared" si="584"/>
        <v/>
      </c>
      <c r="BK1611" s="498" t="str">
        <f t="shared" si="578"/>
        <v/>
      </c>
      <c r="BL1611" s="498" t="str">
        <f t="shared" si="579"/>
        <v/>
      </c>
    </row>
    <row r="1612" spans="1:64" x14ac:dyDescent="0.25">
      <c r="A1612" s="762">
        <f t="shared" si="580"/>
        <v>1607</v>
      </c>
      <c r="B1612" s="229"/>
      <c r="C1612" s="223"/>
      <c r="D1612" s="224"/>
      <c r="E1612" s="225"/>
      <c r="F1612" s="1036" t="str">
        <f t="shared" si="564"/>
        <v/>
      </c>
      <c r="G1612" s="1037" t="str">
        <f t="shared" si="581"/>
        <v/>
      </c>
      <c r="H1612" s="225"/>
      <c r="I1612" s="1013"/>
      <c r="J1612" s="1013"/>
      <c r="K1612" s="1028"/>
      <c r="L1612" s="1035" t="str">
        <f t="shared" si="585"/>
        <v/>
      </c>
      <c r="S1612" s="498"/>
      <c r="AJ1612" s="498"/>
      <c r="AM1612" s="498">
        <f t="shared" si="566"/>
        <v>0</v>
      </c>
      <c r="AN1612" s="498">
        <f t="shared" si="567"/>
        <v>0</v>
      </c>
      <c r="AO1612" s="498">
        <f t="shared" si="568"/>
        <v>0</v>
      </c>
      <c r="AP1612" s="498">
        <f t="shared" si="565"/>
        <v>0</v>
      </c>
      <c r="AQ1612" s="498">
        <f t="shared" si="582"/>
        <v>0</v>
      </c>
      <c r="AU1612" s="498">
        <f t="shared" si="569"/>
        <v>0</v>
      </c>
      <c r="AV1612" s="498">
        <f t="shared" si="570"/>
        <v>0</v>
      </c>
      <c r="AW1612" s="498">
        <f t="shared" si="571"/>
        <v>0</v>
      </c>
      <c r="AX1612" s="498">
        <f t="shared" si="572"/>
        <v>0</v>
      </c>
      <c r="AY1612" s="498">
        <f t="shared" si="573"/>
        <v>0</v>
      </c>
      <c r="BB1612" s="498" t="str">
        <f t="shared" si="574"/>
        <v/>
      </c>
      <c r="BC1612" s="743" t="str">
        <f t="shared" si="575"/>
        <v/>
      </c>
      <c r="BD1612" s="743" t="str">
        <f t="shared" si="576"/>
        <v/>
      </c>
      <c r="BE1612" s="743" t="str">
        <f>IF(D1612="","",VLOOKUP(D1612,'General Basis'!$J$39:$K$46,2,0))</f>
        <v/>
      </c>
      <c r="BF1612" s="744" t="str">
        <f>IF(D1612="","",VLOOKUP(D1612,'General Basis'!$J$39:$L$46,3,0))</f>
        <v/>
      </c>
      <c r="BG1612" s="744" t="str">
        <f t="shared" si="583"/>
        <v/>
      </c>
      <c r="BH1612" s="744" t="str">
        <f>IF(G1612="","",IF(BF1612="Abu Dhabi",IF(G1612&lt;18,'General Basis'!$C$39,IF(G1612&lt;41,'General Basis'!$C$40,IF(G1612&lt;60,'General Basis'!$C$41,IF(G1612&lt;65,'General Basis'!$C$42,'General Basis'!$C$43)))),IF(G1612&lt;11,'General Basis'!$B$39,IF(G1612&lt;18,'General Basis'!$B$40,IF(G1612&lt;26,'General Basis'!$B$41,IF(G1612&lt;31,'General Basis'!$B$42,IF(G1612&lt;36,'General Basis'!$B$43,IF(G1612&lt;41,'General Basis'!$B$44,IF(G1612&lt;46,'General Basis'!$B$45,IF(G1612&lt;51,'General Basis'!$B$46,IF(G1612&lt;56,'General Basis'!$B$47,IF(G1612&lt;60,'General Basis'!$B$48,IF(G1612&lt;65,'General Basis'!$B$49,'General Basis'!$B$50)))))))))))))</f>
        <v/>
      </c>
      <c r="BI1612" s="744" t="str">
        <f t="shared" si="577"/>
        <v/>
      </c>
      <c r="BJ1612" s="747" t="str">
        <f t="shared" si="584"/>
        <v/>
      </c>
      <c r="BK1612" s="498" t="str">
        <f t="shared" si="578"/>
        <v/>
      </c>
      <c r="BL1612" s="498" t="str">
        <f t="shared" si="579"/>
        <v/>
      </c>
    </row>
    <row r="1613" spans="1:64" x14ac:dyDescent="0.25">
      <c r="A1613" s="762">
        <f t="shared" si="580"/>
        <v>1608</v>
      </c>
      <c r="B1613" s="229"/>
      <c r="C1613" s="223"/>
      <c r="D1613" s="224"/>
      <c r="E1613" s="225"/>
      <c r="F1613" s="1036" t="str">
        <f t="shared" si="564"/>
        <v/>
      </c>
      <c r="G1613" s="1037" t="str">
        <f t="shared" si="581"/>
        <v/>
      </c>
      <c r="H1613" s="225"/>
      <c r="I1613" s="1013"/>
      <c r="J1613" s="1013"/>
      <c r="K1613" s="1028"/>
      <c r="L1613" s="1035" t="str">
        <f t="shared" si="585"/>
        <v/>
      </c>
      <c r="S1613" s="498"/>
      <c r="AJ1613" s="498"/>
      <c r="AM1613" s="498">
        <f t="shared" si="566"/>
        <v>0</v>
      </c>
      <c r="AN1613" s="498">
        <f t="shared" si="567"/>
        <v>0</v>
      </c>
      <c r="AO1613" s="498">
        <f t="shared" si="568"/>
        <v>0</v>
      </c>
      <c r="AP1613" s="498">
        <f t="shared" si="565"/>
        <v>0</v>
      </c>
      <c r="AQ1613" s="498">
        <f t="shared" si="582"/>
        <v>0</v>
      </c>
      <c r="AU1613" s="498">
        <f t="shared" si="569"/>
        <v>0</v>
      </c>
      <c r="AV1613" s="498">
        <f t="shared" si="570"/>
        <v>0</v>
      </c>
      <c r="AW1613" s="498">
        <f t="shared" si="571"/>
        <v>0</v>
      </c>
      <c r="AX1613" s="498">
        <f t="shared" si="572"/>
        <v>0</v>
      </c>
      <c r="AY1613" s="498">
        <f t="shared" si="573"/>
        <v>0</v>
      </c>
      <c r="BB1613" s="498" t="str">
        <f t="shared" si="574"/>
        <v/>
      </c>
      <c r="BC1613" s="743" t="str">
        <f t="shared" si="575"/>
        <v/>
      </c>
      <c r="BD1613" s="743" t="str">
        <f t="shared" si="576"/>
        <v/>
      </c>
      <c r="BE1613" s="743" t="str">
        <f>IF(D1613="","",VLOOKUP(D1613,'General Basis'!$J$39:$K$46,2,0))</f>
        <v/>
      </c>
      <c r="BF1613" s="744" t="str">
        <f>IF(D1613="","",VLOOKUP(D1613,'General Basis'!$J$39:$L$46,3,0))</f>
        <v/>
      </c>
      <c r="BG1613" s="744" t="str">
        <f t="shared" si="583"/>
        <v/>
      </c>
      <c r="BH1613" s="744" t="str">
        <f>IF(G1613="","",IF(BF1613="Abu Dhabi",IF(G1613&lt;18,'General Basis'!$C$39,IF(G1613&lt;41,'General Basis'!$C$40,IF(G1613&lt;60,'General Basis'!$C$41,IF(G1613&lt;65,'General Basis'!$C$42,'General Basis'!$C$43)))),IF(G1613&lt;11,'General Basis'!$B$39,IF(G1613&lt;18,'General Basis'!$B$40,IF(G1613&lt;26,'General Basis'!$B$41,IF(G1613&lt;31,'General Basis'!$B$42,IF(G1613&lt;36,'General Basis'!$B$43,IF(G1613&lt;41,'General Basis'!$B$44,IF(G1613&lt;46,'General Basis'!$B$45,IF(G1613&lt;51,'General Basis'!$B$46,IF(G1613&lt;56,'General Basis'!$B$47,IF(G1613&lt;60,'General Basis'!$B$48,IF(G1613&lt;65,'General Basis'!$B$49,'General Basis'!$B$50)))))))))))))</f>
        <v/>
      </c>
      <c r="BI1613" s="744" t="str">
        <f t="shared" si="577"/>
        <v/>
      </c>
      <c r="BJ1613" s="747" t="str">
        <f t="shared" si="584"/>
        <v/>
      </c>
      <c r="BK1613" s="498" t="str">
        <f t="shared" si="578"/>
        <v/>
      </c>
      <c r="BL1613" s="498" t="str">
        <f t="shared" si="579"/>
        <v/>
      </c>
    </row>
    <row r="1614" spans="1:64" x14ac:dyDescent="0.25">
      <c r="A1614" s="762">
        <f t="shared" si="580"/>
        <v>1609</v>
      </c>
      <c r="B1614" s="229"/>
      <c r="C1614" s="223"/>
      <c r="D1614" s="224"/>
      <c r="E1614" s="225"/>
      <c r="F1614" s="1036" t="str">
        <f t="shared" si="564"/>
        <v/>
      </c>
      <c r="G1614" s="1037" t="str">
        <f t="shared" si="581"/>
        <v/>
      </c>
      <c r="H1614" s="225"/>
      <c r="I1614" s="1013"/>
      <c r="J1614" s="1013"/>
      <c r="K1614" s="1028"/>
      <c r="L1614" s="1035" t="str">
        <f t="shared" si="585"/>
        <v/>
      </c>
      <c r="S1614" s="498"/>
      <c r="AJ1614" s="498"/>
      <c r="AM1614" s="498">
        <f t="shared" si="566"/>
        <v>0</v>
      </c>
      <c r="AN1614" s="498">
        <f t="shared" si="567"/>
        <v>0</v>
      </c>
      <c r="AO1614" s="498">
        <f t="shared" si="568"/>
        <v>0</v>
      </c>
      <c r="AP1614" s="498">
        <f t="shared" si="565"/>
        <v>0</v>
      </c>
      <c r="AQ1614" s="498">
        <f t="shared" si="582"/>
        <v>0</v>
      </c>
      <c r="AU1614" s="498">
        <f t="shared" si="569"/>
        <v>0</v>
      </c>
      <c r="AV1614" s="498">
        <f t="shared" si="570"/>
        <v>0</v>
      </c>
      <c r="AW1614" s="498">
        <f t="shared" si="571"/>
        <v>0</v>
      </c>
      <c r="AX1614" s="498">
        <f t="shared" si="572"/>
        <v>0</v>
      </c>
      <c r="AY1614" s="498">
        <f t="shared" si="573"/>
        <v>0</v>
      </c>
      <c r="BB1614" s="498" t="str">
        <f t="shared" si="574"/>
        <v/>
      </c>
      <c r="BC1614" s="743" t="str">
        <f t="shared" si="575"/>
        <v/>
      </c>
      <c r="BD1614" s="743" t="str">
        <f t="shared" si="576"/>
        <v/>
      </c>
      <c r="BE1614" s="743" t="str">
        <f>IF(D1614="","",VLOOKUP(D1614,'General Basis'!$J$39:$K$46,2,0))</f>
        <v/>
      </c>
      <c r="BF1614" s="744" t="str">
        <f>IF(D1614="","",VLOOKUP(D1614,'General Basis'!$J$39:$L$46,3,0))</f>
        <v/>
      </c>
      <c r="BG1614" s="744" t="str">
        <f t="shared" si="583"/>
        <v/>
      </c>
      <c r="BH1614" s="744" t="str">
        <f>IF(G1614="","",IF(BF1614="Abu Dhabi",IF(G1614&lt;18,'General Basis'!$C$39,IF(G1614&lt;41,'General Basis'!$C$40,IF(G1614&lt;60,'General Basis'!$C$41,IF(G1614&lt;65,'General Basis'!$C$42,'General Basis'!$C$43)))),IF(G1614&lt;11,'General Basis'!$B$39,IF(G1614&lt;18,'General Basis'!$B$40,IF(G1614&lt;26,'General Basis'!$B$41,IF(G1614&lt;31,'General Basis'!$B$42,IF(G1614&lt;36,'General Basis'!$B$43,IF(G1614&lt;41,'General Basis'!$B$44,IF(G1614&lt;46,'General Basis'!$B$45,IF(G1614&lt;51,'General Basis'!$B$46,IF(G1614&lt;56,'General Basis'!$B$47,IF(G1614&lt;60,'General Basis'!$B$48,IF(G1614&lt;65,'General Basis'!$B$49,'General Basis'!$B$50)))))))))))))</f>
        <v/>
      </c>
      <c r="BI1614" s="744" t="str">
        <f t="shared" si="577"/>
        <v/>
      </c>
      <c r="BJ1614" s="747" t="str">
        <f t="shared" si="584"/>
        <v/>
      </c>
      <c r="BK1614" s="498" t="str">
        <f t="shared" si="578"/>
        <v/>
      </c>
      <c r="BL1614" s="498" t="str">
        <f t="shared" si="579"/>
        <v/>
      </c>
    </row>
    <row r="1615" spans="1:64" x14ac:dyDescent="0.25">
      <c r="A1615" s="762">
        <f t="shared" si="580"/>
        <v>1610</v>
      </c>
      <c r="B1615" s="229"/>
      <c r="C1615" s="223"/>
      <c r="D1615" s="224"/>
      <c r="E1615" s="225"/>
      <c r="F1615" s="1036" t="str">
        <f t="shared" si="564"/>
        <v/>
      </c>
      <c r="G1615" s="1037" t="str">
        <f t="shared" si="581"/>
        <v/>
      </c>
      <c r="H1615" s="225"/>
      <c r="I1615" s="1013"/>
      <c r="J1615" s="1013"/>
      <c r="K1615" s="1028"/>
      <c r="L1615" s="1035" t="str">
        <f t="shared" si="585"/>
        <v/>
      </c>
      <c r="S1615" s="498"/>
      <c r="AJ1615" s="498"/>
      <c r="AM1615" s="498">
        <f t="shared" si="566"/>
        <v>0</v>
      </c>
      <c r="AN1615" s="498">
        <f t="shared" si="567"/>
        <v>0</v>
      </c>
      <c r="AO1615" s="498">
        <f t="shared" si="568"/>
        <v>0</v>
      </c>
      <c r="AP1615" s="498">
        <f t="shared" si="565"/>
        <v>0</v>
      </c>
      <c r="AQ1615" s="498">
        <f t="shared" si="582"/>
        <v>0</v>
      </c>
      <c r="AU1615" s="498">
        <f t="shared" si="569"/>
        <v>0</v>
      </c>
      <c r="AV1615" s="498">
        <f t="shared" si="570"/>
        <v>0</v>
      </c>
      <c r="AW1615" s="498">
        <f t="shared" si="571"/>
        <v>0</v>
      </c>
      <c r="AX1615" s="498">
        <f t="shared" si="572"/>
        <v>0</v>
      </c>
      <c r="AY1615" s="498">
        <f t="shared" si="573"/>
        <v>0</v>
      </c>
      <c r="BB1615" s="498" t="str">
        <f t="shared" si="574"/>
        <v/>
      </c>
      <c r="BC1615" s="743" t="str">
        <f t="shared" si="575"/>
        <v/>
      </c>
      <c r="BD1615" s="743" t="str">
        <f t="shared" si="576"/>
        <v/>
      </c>
      <c r="BE1615" s="743" t="str">
        <f>IF(D1615="","",VLOOKUP(D1615,'General Basis'!$J$39:$K$46,2,0))</f>
        <v/>
      </c>
      <c r="BF1615" s="744" t="str">
        <f>IF(D1615="","",VLOOKUP(D1615,'General Basis'!$J$39:$L$46,3,0))</f>
        <v/>
      </c>
      <c r="BG1615" s="744" t="str">
        <f t="shared" si="583"/>
        <v/>
      </c>
      <c r="BH1615" s="744" t="str">
        <f>IF(G1615="","",IF(BF1615="Abu Dhabi",IF(G1615&lt;18,'General Basis'!$C$39,IF(G1615&lt;41,'General Basis'!$C$40,IF(G1615&lt;60,'General Basis'!$C$41,IF(G1615&lt;65,'General Basis'!$C$42,'General Basis'!$C$43)))),IF(G1615&lt;11,'General Basis'!$B$39,IF(G1615&lt;18,'General Basis'!$B$40,IF(G1615&lt;26,'General Basis'!$B$41,IF(G1615&lt;31,'General Basis'!$B$42,IF(G1615&lt;36,'General Basis'!$B$43,IF(G1615&lt;41,'General Basis'!$B$44,IF(G1615&lt;46,'General Basis'!$B$45,IF(G1615&lt;51,'General Basis'!$B$46,IF(G1615&lt;56,'General Basis'!$B$47,IF(G1615&lt;60,'General Basis'!$B$48,IF(G1615&lt;65,'General Basis'!$B$49,'General Basis'!$B$50)))))))))))))</f>
        <v/>
      </c>
      <c r="BI1615" s="744" t="str">
        <f t="shared" si="577"/>
        <v/>
      </c>
      <c r="BJ1615" s="747" t="str">
        <f t="shared" si="584"/>
        <v/>
      </c>
      <c r="BK1615" s="498" t="str">
        <f t="shared" si="578"/>
        <v/>
      </c>
      <c r="BL1615" s="498" t="str">
        <f t="shared" si="579"/>
        <v/>
      </c>
    </row>
    <row r="1616" spans="1:64" x14ac:dyDescent="0.25">
      <c r="A1616" s="762">
        <f t="shared" si="580"/>
        <v>1611</v>
      </c>
      <c r="B1616" s="229"/>
      <c r="C1616" s="223"/>
      <c r="D1616" s="224"/>
      <c r="E1616" s="225"/>
      <c r="F1616" s="1036" t="str">
        <f t="shared" ref="F1616:F1679" si="586">IF(C1616="","",IF($B1616="","",((YEAR($F$3)-YEAR($B1616))+(MONTH($F$3)-MONTH($B1616))/12+(DAY($F$3)-DAY($B1616))/(DATE(YEAR($F$3),12,31)-DATE(YEAR($F$3),1,1)+1))))</f>
        <v/>
      </c>
      <c r="G1616" s="1037" t="str">
        <f t="shared" si="581"/>
        <v/>
      </c>
      <c r="H1616" s="225"/>
      <c r="I1616" s="1013"/>
      <c r="J1616" s="1013"/>
      <c r="K1616" s="1028"/>
      <c r="L1616" s="1035" t="str">
        <f t="shared" si="585"/>
        <v/>
      </c>
      <c r="S1616" s="498"/>
      <c r="AJ1616" s="498"/>
      <c r="AM1616" s="498">
        <f t="shared" si="566"/>
        <v>0</v>
      </c>
      <c r="AN1616" s="498">
        <f t="shared" si="567"/>
        <v>0</v>
      </c>
      <c r="AO1616" s="498">
        <f t="shared" si="568"/>
        <v>0</v>
      </c>
      <c r="AP1616" s="498">
        <f t="shared" si="565"/>
        <v>0</v>
      </c>
      <c r="AQ1616" s="498">
        <f t="shared" si="582"/>
        <v>0</v>
      </c>
      <c r="AU1616" s="498">
        <f t="shared" si="569"/>
        <v>0</v>
      </c>
      <c r="AV1616" s="498">
        <f t="shared" si="570"/>
        <v>0</v>
      </c>
      <c r="AW1616" s="498">
        <f t="shared" si="571"/>
        <v>0</v>
      </c>
      <c r="AX1616" s="498">
        <f t="shared" si="572"/>
        <v>0</v>
      </c>
      <c r="AY1616" s="498">
        <f t="shared" si="573"/>
        <v>0</v>
      </c>
      <c r="BB1616" s="498" t="str">
        <f t="shared" si="574"/>
        <v/>
      </c>
      <c r="BC1616" s="743" t="str">
        <f t="shared" si="575"/>
        <v/>
      </c>
      <c r="BD1616" s="743" t="str">
        <f t="shared" si="576"/>
        <v/>
      </c>
      <c r="BE1616" s="743" t="str">
        <f>IF(D1616="","",VLOOKUP(D1616,'General Basis'!$J$39:$K$46,2,0))</f>
        <v/>
      </c>
      <c r="BF1616" s="744" t="str">
        <f>IF(D1616="","",VLOOKUP(D1616,'General Basis'!$J$39:$L$46,3,0))</f>
        <v/>
      </c>
      <c r="BG1616" s="744" t="str">
        <f t="shared" si="583"/>
        <v/>
      </c>
      <c r="BH1616" s="744" t="str">
        <f>IF(G1616="","",IF(BF1616="Abu Dhabi",IF(G1616&lt;18,'General Basis'!$C$39,IF(G1616&lt;41,'General Basis'!$C$40,IF(G1616&lt;60,'General Basis'!$C$41,IF(G1616&lt;65,'General Basis'!$C$42,'General Basis'!$C$43)))),IF(G1616&lt;11,'General Basis'!$B$39,IF(G1616&lt;18,'General Basis'!$B$40,IF(G1616&lt;26,'General Basis'!$B$41,IF(G1616&lt;31,'General Basis'!$B$42,IF(G1616&lt;36,'General Basis'!$B$43,IF(G1616&lt;41,'General Basis'!$B$44,IF(G1616&lt;46,'General Basis'!$B$45,IF(G1616&lt;51,'General Basis'!$B$46,IF(G1616&lt;56,'General Basis'!$B$47,IF(G1616&lt;60,'General Basis'!$B$48,IF(G1616&lt;65,'General Basis'!$B$49,'General Basis'!$B$50)))))))))))))</f>
        <v/>
      </c>
      <c r="BI1616" s="744" t="str">
        <f t="shared" si="577"/>
        <v/>
      </c>
      <c r="BJ1616" s="747" t="str">
        <f t="shared" si="584"/>
        <v/>
      </c>
      <c r="BK1616" s="498" t="str">
        <f t="shared" si="578"/>
        <v/>
      </c>
      <c r="BL1616" s="498" t="str">
        <f t="shared" si="579"/>
        <v/>
      </c>
    </row>
    <row r="1617" spans="1:64" x14ac:dyDescent="0.25">
      <c r="A1617" s="762">
        <f t="shared" si="580"/>
        <v>1612</v>
      </c>
      <c r="B1617" s="229"/>
      <c r="C1617" s="223"/>
      <c r="D1617" s="224"/>
      <c r="E1617" s="225"/>
      <c r="F1617" s="1036" t="str">
        <f t="shared" si="586"/>
        <v/>
      </c>
      <c r="G1617" s="1037" t="str">
        <f t="shared" si="581"/>
        <v/>
      </c>
      <c r="H1617" s="225"/>
      <c r="I1617" s="1013"/>
      <c r="J1617" s="1013"/>
      <c r="K1617" s="1028"/>
      <c r="L1617" s="1035" t="str">
        <f t="shared" si="585"/>
        <v/>
      </c>
      <c r="S1617" s="498"/>
      <c r="AJ1617" s="498"/>
      <c r="AM1617" s="498">
        <f t="shared" si="566"/>
        <v>0</v>
      </c>
      <c r="AN1617" s="498">
        <f t="shared" si="567"/>
        <v>0</v>
      </c>
      <c r="AO1617" s="498">
        <f t="shared" si="568"/>
        <v>0</v>
      </c>
      <c r="AP1617" s="498">
        <f t="shared" si="565"/>
        <v>0</v>
      </c>
      <c r="AQ1617" s="498">
        <f t="shared" si="582"/>
        <v>0</v>
      </c>
      <c r="AU1617" s="498">
        <f t="shared" si="569"/>
        <v>0</v>
      </c>
      <c r="AV1617" s="498">
        <f t="shared" si="570"/>
        <v>0</v>
      </c>
      <c r="AW1617" s="498">
        <f t="shared" si="571"/>
        <v>0</v>
      </c>
      <c r="AX1617" s="498">
        <f t="shared" si="572"/>
        <v>0</v>
      </c>
      <c r="AY1617" s="498">
        <f t="shared" si="573"/>
        <v>0</v>
      </c>
      <c r="BB1617" s="498" t="str">
        <f t="shared" si="574"/>
        <v/>
      </c>
      <c r="BC1617" s="743" t="str">
        <f t="shared" si="575"/>
        <v/>
      </c>
      <c r="BD1617" s="743" t="str">
        <f t="shared" si="576"/>
        <v/>
      </c>
      <c r="BE1617" s="743" t="str">
        <f>IF(D1617="","",VLOOKUP(D1617,'General Basis'!$J$39:$K$46,2,0))</f>
        <v/>
      </c>
      <c r="BF1617" s="744" t="str">
        <f>IF(D1617="","",VLOOKUP(D1617,'General Basis'!$J$39:$L$46,3,0))</f>
        <v/>
      </c>
      <c r="BG1617" s="744" t="str">
        <f t="shared" si="583"/>
        <v/>
      </c>
      <c r="BH1617" s="744" t="str">
        <f>IF(G1617="","",IF(BF1617="Abu Dhabi",IF(G1617&lt;18,'General Basis'!$C$39,IF(G1617&lt;41,'General Basis'!$C$40,IF(G1617&lt;60,'General Basis'!$C$41,IF(G1617&lt;65,'General Basis'!$C$42,'General Basis'!$C$43)))),IF(G1617&lt;11,'General Basis'!$B$39,IF(G1617&lt;18,'General Basis'!$B$40,IF(G1617&lt;26,'General Basis'!$B$41,IF(G1617&lt;31,'General Basis'!$B$42,IF(G1617&lt;36,'General Basis'!$B$43,IF(G1617&lt;41,'General Basis'!$B$44,IF(G1617&lt;46,'General Basis'!$B$45,IF(G1617&lt;51,'General Basis'!$B$46,IF(G1617&lt;56,'General Basis'!$B$47,IF(G1617&lt;60,'General Basis'!$B$48,IF(G1617&lt;65,'General Basis'!$B$49,'General Basis'!$B$50)))))))))))))</f>
        <v/>
      </c>
      <c r="BI1617" s="744" t="str">
        <f t="shared" si="577"/>
        <v/>
      </c>
      <c r="BJ1617" s="747" t="str">
        <f t="shared" si="584"/>
        <v/>
      </c>
      <c r="BK1617" s="498" t="str">
        <f t="shared" si="578"/>
        <v/>
      </c>
      <c r="BL1617" s="498" t="str">
        <f t="shared" si="579"/>
        <v/>
      </c>
    </row>
    <row r="1618" spans="1:64" x14ac:dyDescent="0.25">
      <c r="A1618" s="762">
        <f t="shared" si="580"/>
        <v>1613</v>
      </c>
      <c r="B1618" s="229"/>
      <c r="C1618" s="223"/>
      <c r="D1618" s="224"/>
      <c r="E1618" s="225"/>
      <c r="F1618" s="1036" t="str">
        <f t="shared" si="586"/>
        <v/>
      </c>
      <c r="G1618" s="1037" t="str">
        <f t="shared" si="581"/>
        <v/>
      </c>
      <c r="H1618" s="225"/>
      <c r="I1618" s="1013"/>
      <c r="J1618" s="1013"/>
      <c r="K1618" s="1028"/>
      <c r="L1618" s="1035" t="str">
        <f t="shared" si="585"/>
        <v/>
      </c>
      <c r="S1618" s="498"/>
      <c r="AJ1618" s="498"/>
      <c r="AM1618" s="498">
        <f t="shared" si="566"/>
        <v>0</v>
      </c>
      <c r="AN1618" s="498">
        <f t="shared" si="567"/>
        <v>0</v>
      </c>
      <c r="AO1618" s="498">
        <f t="shared" si="568"/>
        <v>0</v>
      </c>
      <c r="AP1618" s="498">
        <f t="shared" si="565"/>
        <v>0</v>
      </c>
      <c r="AQ1618" s="498">
        <f t="shared" si="582"/>
        <v>0</v>
      </c>
      <c r="AU1618" s="498">
        <f t="shared" si="569"/>
        <v>0</v>
      </c>
      <c r="AV1618" s="498">
        <f t="shared" si="570"/>
        <v>0</v>
      </c>
      <c r="AW1618" s="498">
        <f t="shared" si="571"/>
        <v>0</v>
      </c>
      <c r="AX1618" s="498">
        <f t="shared" si="572"/>
        <v>0</v>
      </c>
      <c r="AY1618" s="498">
        <f t="shared" si="573"/>
        <v>0</v>
      </c>
      <c r="BB1618" s="498" t="str">
        <f t="shared" si="574"/>
        <v/>
      </c>
      <c r="BC1618" s="743" t="str">
        <f t="shared" si="575"/>
        <v/>
      </c>
      <c r="BD1618" s="743" t="str">
        <f t="shared" si="576"/>
        <v/>
      </c>
      <c r="BE1618" s="743" t="str">
        <f>IF(D1618="","",VLOOKUP(D1618,'General Basis'!$J$39:$K$46,2,0))</f>
        <v/>
      </c>
      <c r="BF1618" s="744" t="str">
        <f>IF(D1618="","",VLOOKUP(D1618,'General Basis'!$J$39:$L$46,3,0))</f>
        <v/>
      </c>
      <c r="BG1618" s="744" t="str">
        <f t="shared" si="583"/>
        <v/>
      </c>
      <c r="BH1618" s="744" t="str">
        <f>IF(G1618="","",IF(BF1618="Abu Dhabi",IF(G1618&lt;18,'General Basis'!$C$39,IF(G1618&lt;41,'General Basis'!$C$40,IF(G1618&lt;60,'General Basis'!$C$41,IF(G1618&lt;65,'General Basis'!$C$42,'General Basis'!$C$43)))),IF(G1618&lt;11,'General Basis'!$B$39,IF(G1618&lt;18,'General Basis'!$B$40,IF(G1618&lt;26,'General Basis'!$B$41,IF(G1618&lt;31,'General Basis'!$B$42,IF(G1618&lt;36,'General Basis'!$B$43,IF(G1618&lt;41,'General Basis'!$B$44,IF(G1618&lt;46,'General Basis'!$B$45,IF(G1618&lt;51,'General Basis'!$B$46,IF(G1618&lt;56,'General Basis'!$B$47,IF(G1618&lt;60,'General Basis'!$B$48,IF(G1618&lt;65,'General Basis'!$B$49,'General Basis'!$B$50)))))))))))))</f>
        <v/>
      </c>
      <c r="BI1618" s="744" t="str">
        <f t="shared" si="577"/>
        <v/>
      </c>
      <c r="BJ1618" s="747" t="str">
        <f t="shared" si="584"/>
        <v/>
      </c>
      <c r="BK1618" s="498" t="str">
        <f t="shared" si="578"/>
        <v/>
      </c>
      <c r="BL1618" s="498" t="str">
        <f t="shared" si="579"/>
        <v/>
      </c>
    </row>
    <row r="1619" spans="1:64" x14ac:dyDescent="0.25">
      <c r="A1619" s="762">
        <f t="shared" si="580"/>
        <v>1614</v>
      </c>
      <c r="B1619" s="229"/>
      <c r="C1619" s="223"/>
      <c r="D1619" s="224"/>
      <c r="E1619" s="225"/>
      <c r="F1619" s="1036" t="str">
        <f t="shared" si="586"/>
        <v/>
      </c>
      <c r="G1619" s="1037" t="str">
        <f t="shared" si="581"/>
        <v/>
      </c>
      <c r="H1619" s="225"/>
      <c r="I1619" s="1013"/>
      <c r="J1619" s="1013"/>
      <c r="K1619" s="1028"/>
      <c r="L1619" s="1035" t="str">
        <f t="shared" si="585"/>
        <v/>
      </c>
      <c r="S1619" s="498"/>
      <c r="AJ1619" s="498"/>
      <c r="AM1619" s="498">
        <f t="shared" si="566"/>
        <v>0</v>
      </c>
      <c r="AN1619" s="498">
        <f t="shared" si="567"/>
        <v>0</v>
      </c>
      <c r="AO1619" s="498">
        <f t="shared" si="568"/>
        <v>0</v>
      </c>
      <c r="AP1619" s="498">
        <f t="shared" ref="AP1619:AP1682" si="587">IF(ISBLANK($B1619),0,IF(OR($C1619="M",$C1619="F"),0,1))</f>
        <v>0</v>
      </c>
      <c r="AQ1619" s="498">
        <f t="shared" si="582"/>
        <v>0</v>
      </c>
      <c r="AU1619" s="498">
        <f t="shared" si="569"/>
        <v>0</v>
      </c>
      <c r="AV1619" s="498">
        <f t="shared" si="570"/>
        <v>0</v>
      </c>
      <c r="AW1619" s="498">
        <f t="shared" si="571"/>
        <v>0</v>
      </c>
      <c r="AX1619" s="498">
        <f t="shared" si="572"/>
        <v>0</v>
      </c>
      <c r="AY1619" s="498">
        <f t="shared" si="573"/>
        <v>0</v>
      </c>
      <c r="BB1619" s="498" t="str">
        <f t="shared" si="574"/>
        <v/>
      </c>
      <c r="BC1619" s="743" t="str">
        <f t="shared" si="575"/>
        <v/>
      </c>
      <c r="BD1619" s="743" t="str">
        <f t="shared" si="576"/>
        <v/>
      </c>
      <c r="BE1619" s="743" t="str">
        <f>IF(D1619="","",VLOOKUP(D1619,'General Basis'!$J$39:$K$46,2,0))</f>
        <v/>
      </c>
      <c r="BF1619" s="744" t="str">
        <f>IF(D1619="","",VLOOKUP(D1619,'General Basis'!$J$39:$L$46,3,0))</f>
        <v/>
      </c>
      <c r="BG1619" s="744" t="str">
        <f t="shared" si="583"/>
        <v/>
      </c>
      <c r="BH1619" s="744" t="str">
        <f>IF(G1619="","",IF(BF1619="Abu Dhabi",IF(G1619&lt;18,'General Basis'!$C$39,IF(G1619&lt;41,'General Basis'!$C$40,IF(G1619&lt;60,'General Basis'!$C$41,IF(G1619&lt;65,'General Basis'!$C$42,'General Basis'!$C$43)))),IF(G1619&lt;11,'General Basis'!$B$39,IF(G1619&lt;18,'General Basis'!$B$40,IF(G1619&lt;26,'General Basis'!$B$41,IF(G1619&lt;31,'General Basis'!$B$42,IF(G1619&lt;36,'General Basis'!$B$43,IF(G1619&lt;41,'General Basis'!$B$44,IF(G1619&lt;46,'General Basis'!$B$45,IF(G1619&lt;51,'General Basis'!$B$46,IF(G1619&lt;56,'General Basis'!$B$47,IF(G1619&lt;60,'General Basis'!$B$48,IF(G1619&lt;65,'General Basis'!$B$49,'General Basis'!$B$50)))))))))))))</f>
        <v/>
      </c>
      <c r="BI1619" s="744" t="str">
        <f t="shared" si="577"/>
        <v/>
      </c>
      <c r="BJ1619" s="747" t="str">
        <f t="shared" si="584"/>
        <v/>
      </c>
      <c r="BK1619" s="498" t="str">
        <f t="shared" si="578"/>
        <v/>
      </c>
      <c r="BL1619" s="498" t="str">
        <f t="shared" si="579"/>
        <v/>
      </c>
    </row>
    <row r="1620" spans="1:64" x14ac:dyDescent="0.25">
      <c r="A1620" s="762">
        <f t="shared" si="580"/>
        <v>1615</v>
      </c>
      <c r="B1620" s="229"/>
      <c r="C1620" s="223"/>
      <c r="D1620" s="224"/>
      <c r="E1620" s="225"/>
      <c r="F1620" s="1036" t="str">
        <f t="shared" si="586"/>
        <v/>
      </c>
      <c r="G1620" s="1037" t="str">
        <f t="shared" si="581"/>
        <v/>
      </c>
      <c r="H1620" s="225"/>
      <c r="I1620" s="1013"/>
      <c r="J1620" s="1013"/>
      <c r="K1620" s="1028"/>
      <c r="L1620" s="1035" t="str">
        <f t="shared" si="585"/>
        <v/>
      </c>
      <c r="S1620" s="498"/>
      <c r="AJ1620" s="498"/>
      <c r="AM1620" s="498">
        <f t="shared" si="566"/>
        <v>0</v>
      </c>
      <c r="AN1620" s="498">
        <f t="shared" si="567"/>
        <v>0</v>
      </c>
      <c r="AO1620" s="498">
        <f t="shared" si="568"/>
        <v>0</v>
      </c>
      <c r="AP1620" s="498">
        <f t="shared" si="587"/>
        <v>0</v>
      </c>
      <c r="AQ1620" s="498">
        <f t="shared" si="582"/>
        <v>0</v>
      </c>
      <c r="AU1620" s="498">
        <f t="shared" si="569"/>
        <v>0</v>
      </c>
      <c r="AV1620" s="498">
        <f t="shared" si="570"/>
        <v>0</v>
      </c>
      <c r="AW1620" s="498">
        <f t="shared" si="571"/>
        <v>0</v>
      </c>
      <c r="AX1620" s="498">
        <f t="shared" si="572"/>
        <v>0</v>
      </c>
      <c r="AY1620" s="498">
        <f t="shared" si="573"/>
        <v>0</v>
      </c>
      <c r="BB1620" s="498" t="str">
        <f t="shared" si="574"/>
        <v/>
      </c>
      <c r="BC1620" s="743" t="str">
        <f t="shared" si="575"/>
        <v/>
      </c>
      <c r="BD1620" s="743" t="str">
        <f t="shared" si="576"/>
        <v/>
      </c>
      <c r="BE1620" s="743" t="str">
        <f>IF(D1620="","",VLOOKUP(D1620,'General Basis'!$J$39:$K$46,2,0))</f>
        <v/>
      </c>
      <c r="BF1620" s="744" t="str">
        <f>IF(D1620="","",VLOOKUP(D1620,'General Basis'!$J$39:$L$46,3,0))</f>
        <v/>
      </c>
      <c r="BG1620" s="744" t="str">
        <f t="shared" si="583"/>
        <v/>
      </c>
      <c r="BH1620" s="744" t="str">
        <f>IF(G1620="","",IF(BF1620="Abu Dhabi",IF(G1620&lt;18,'General Basis'!$C$39,IF(G1620&lt;41,'General Basis'!$C$40,IF(G1620&lt;60,'General Basis'!$C$41,IF(G1620&lt;65,'General Basis'!$C$42,'General Basis'!$C$43)))),IF(G1620&lt;11,'General Basis'!$B$39,IF(G1620&lt;18,'General Basis'!$B$40,IF(G1620&lt;26,'General Basis'!$B$41,IF(G1620&lt;31,'General Basis'!$B$42,IF(G1620&lt;36,'General Basis'!$B$43,IF(G1620&lt;41,'General Basis'!$B$44,IF(G1620&lt;46,'General Basis'!$B$45,IF(G1620&lt;51,'General Basis'!$B$46,IF(G1620&lt;56,'General Basis'!$B$47,IF(G1620&lt;60,'General Basis'!$B$48,IF(G1620&lt;65,'General Basis'!$B$49,'General Basis'!$B$50)))))))))))))</f>
        <v/>
      </c>
      <c r="BI1620" s="744" t="str">
        <f t="shared" si="577"/>
        <v/>
      </c>
      <c r="BJ1620" s="747" t="str">
        <f t="shared" si="584"/>
        <v/>
      </c>
      <c r="BK1620" s="498" t="str">
        <f t="shared" si="578"/>
        <v/>
      </c>
      <c r="BL1620" s="498" t="str">
        <f t="shared" si="579"/>
        <v/>
      </c>
    </row>
    <row r="1621" spans="1:64" x14ac:dyDescent="0.25">
      <c r="A1621" s="762">
        <f t="shared" si="580"/>
        <v>1616</v>
      </c>
      <c r="B1621" s="229"/>
      <c r="C1621" s="223"/>
      <c r="D1621" s="224"/>
      <c r="E1621" s="225"/>
      <c r="F1621" s="1036" t="str">
        <f t="shared" si="586"/>
        <v/>
      </c>
      <c r="G1621" s="1037" t="str">
        <f t="shared" si="581"/>
        <v/>
      </c>
      <c r="H1621" s="225"/>
      <c r="I1621" s="1013"/>
      <c r="J1621" s="1013"/>
      <c r="K1621" s="1028"/>
      <c r="L1621" s="1035" t="str">
        <f t="shared" si="585"/>
        <v/>
      </c>
      <c r="S1621" s="498"/>
      <c r="AJ1621" s="498"/>
      <c r="AM1621" s="498">
        <f t="shared" si="566"/>
        <v>0</v>
      </c>
      <c r="AN1621" s="498">
        <f t="shared" si="567"/>
        <v>0</v>
      </c>
      <c r="AO1621" s="498">
        <f t="shared" si="568"/>
        <v>0</v>
      </c>
      <c r="AP1621" s="498">
        <f t="shared" si="587"/>
        <v>0</v>
      </c>
      <c r="AQ1621" s="498">
        <f t="shared" si="582"/>
        <v>0</v>
      </c>
      <c r="AU1621" s="498">
        <f t="shared" si="569"/>
        <v>0</v>
      </c>
      <c r="AV1621" s="498">
        <f t="shared" si="570"/>
        <v>0</v>
      </c>
      <c r="AW1621" s="498">
        <f t="shared" si="571"/>
        <v>0</v>
      </c>
      <c r="AX1621" s="498">
        <f t="shared" si="572"/>
        <v>0</v>
      </c>
      <c r="AY1621" s="498">
        <f t="shared" si="573"/>
        <v>0</v>
      </c>
      <c r="BB1621" s="498" t="str">
        <f t="shared" si="574"/>
        <v/>
      </c>
      <c r="BC1621" s="743" t="str">
        <f t="shared" si="575"/>
        <v/>
      </c>
      <c r="BD1621" s="743" t="str">
        <f t="shared" si="576"/>
        <v/>
      </c>
      <c r="BE1621" s="743" t="str">
        <f>IF(D1621="","",VLOOKUP(D1621,'General Basis'!$J$39:$K$46,2,0))</f>
        <v/>
      </c>
      <c r="BF1621" s="744" t="str">
        <f>IF(D1621="","",VLOOKUP(D1621,'General Basis'!$J$39:$L$46,3,0))</f>
        <v/>
      </c>
      <c r="BG1621" s="744" t="str">
        <f t="shared" si="583"/>
        <v/>
      </c>
      <c r="BH1621" s="744" t="str">
        <f>IF(G1621="","",IF(BF1621="Abu Dhabi",IF(G1621&lt;18,'General Basis'!$C$39,IF(G1621&lt;41,'General Basis'!$C$40,IF(G1621&lt;60,'General Basis'!$C$41,IF(G1621&lt;65,'General Basis'!$C$42,'General Basis'!$C$43)))),IF(G1621&lt;11,'General Basis'!$B$39,IF(G1621&lt;18,'General Basis'!$B$40,IF(G1621&lt;26,'General Basis'!$B$41,IF(G1621&lt;31,'General Basis'!$B$42,IF(G1621&lt;36,'General Basis'!$B$43,IF(G1621&lt;41,'General Basis'!$B$44,IF(G1621&lt;46,'General Basis'!$B$45,IF(G1621&lt;51,'General Basis'!$B$46,IF(G1621&lt;56,'General Basis'!$B$47,IF(G1621&lt;60,'General Basis'!$B$48,IF(G1621&lt;65,'General Basis'!$B$49,'General Basis'!$B$50)))))))))))))</f>
        <v/>
      </c>
      <c r="BI1621" s="744" t="str">
        <f t="shared" si="577"/>
        <v/>
      </c>
      <c r="BJ1621" s="747" t="str">
        <f t="shared" si="584"/>
        <v/>
      </c>
      <c r="BK1621" s="498" t="str">
        <f t="shared" si="578"/>
        <v/>
      </c>
      <c r="BL1621" s="498" t="str">
        <f t="shared" si="579"/>
        <v/>
      </c>
    </row>
    <row r="1622" spans="1:64" x14ac:dyDescent="0.25">
      <c r="A1622" s="762">
        <f t="shared" si="580"/>
        <v>1617</v>
      </c>
      <c r="B1622" s="229"/>
      <c r="C1622" s="223"/>
      <c r="D1622" s="224"/>
      <c r="E1622" s="225"/>
      <c r="F1622" s="1036" t="str">
        <f t="shared" si="586"/>
        <v/>
      </c>
      <c r="G1622" s="1037" t="str">
        <f t="shared" si="581"/>
        <v/>
      </c>
      <c r="H1622" s="225"/>
      <c r="I1622" s="1013"/>
      <c r="J1622" s="1013"/>
      <c r="K1622" s="1028"/>
      <c r="L1622" s="1035" t="str">
        <f t="shared" si="585"/>
        <v/>
      </c>
      <c r="S1622" s="498"/>
      <c r="AJ1622" s="498"/>
      <c r="AM1622" s="498">
        <f t="shared" si="566"/>
        <v>0</v>
      </c>
      <c r="AN1622" s="498">
        <f t="shared" si="567"/>
        <v>0</v>
      </c>
      <c r="AO1622" s="498">
        <f t="shared" si="568"/>
        <v>0</v>
      </c>
      <c r="AP1622" s="498">
        <f t="shared" si="587"/>
        <v>0</v>
      </c>
      <c r="AQ1622" s="498">
        <f t="shared" si="582"/>
        <v>0</v>
      </c>
      <c r="AU1622" s="498">
        <f t="shared" si="569"/>
        <v>0</v>
      </c>
      <c r="AV1622" s="498">
        <f t="shared" si="570"/>
        <v>0</v>
      </c>
      <c r="AW1622" s="498">
        <f t="shared" si="571"/>
        <v>0</v>
      </c>
      <c r="AX1622" s="498">
        <f t="shared" si="572"/>
        <v>0</v>
      </c>
      <c r="AY1622" s="498">
        <f t="shared" si="573"/>
        <v>0</v>
      </c>
      <c r="BB1622" s="498" t="str">
        <f t="shared" si="574"/>
        <v/>
      </c>
      <c r="BC1622" s="743" t="str">
        <f t="shared" si="575"/>
        <v/>
      </c>
      <c r="BD1622" s="743" t="str">
        <f t="shared" si="576"/>
        <v/>
      </c>
      <c r="BE1622" s="743" t="str">
        <f>IF(D1622="","",VLOOKUP(D1622,'General Basis'!$J$39:$K$46,2,0))</f>
        <v/>
      </c>
      <c r="BF1622" s="744" t="str">
        <f>IF(D1622="","",VLOOKUP(D1622,'General Basis'!$J$39:$L$46,3,0))</f>
        <v/>
      </c>
      <c r="BG1622" s="744" t="str">
        <f t="shared" si="583"/>
        <v/>
      </c>
      <c r="BH1622" s="744" t="str">
        <f>IF(G1622="","",IF(BF1622="Abu Dhabi",IF(G1622&lt;18,'General Basis'!$C$39,IF(G1622&lt;41,'General Basis'!$C$40,IF(G1622&lt;60,'General Basis'!$C$41,IF(G1622&lt;65,'General Basis'!$C$42,'General Basis'!$C$43)))),IF(G1622&lt;11,'General Basis'!$B$39,IF(G1622&lt;18,'General Basis'!$B$40,IF(G1622&lt;26,'General Basis'!$B$41,IF(G1622&lt;31,'General Basis'!$B$42,IF(G1622&lt;36,'General Basis'!$B$43,IF(G1622&lt;41,'General Basis'!$B$44,IF(G1622&lt;46,'General Basis'!$B$45,IF(G1622&lt;51,'General Basis'!$B$46,IF(G1622&lt;56,'General Basis'!$B$47,IF(G1622&lt;60,'General Basis'!$B$48,IF(G1622&lt;65,'General Basis'!$B$49,'General Basis'!$B$50)))))))))))))</f>
        <v/>
      </c>
      <c r="BI1622" s="744" t="str">
        <f t="shared" si="577"/>
        <v/>
      </c>
      <c r="BJ1622" s="747" t="str">
        <f t="shared" si="584"/>
        <v/>
      </c>
      <c r="BK1622" s="498" t="str">
        <f t="shared" si="578"/>
        <v/>
      </c>
      <c r="BL1622" s="498" t="str">
        <f t="shared" si="579"/>
        <v/>
      </c>
    </row>
    <row r="1623" spans="1:64" x14ac:dyDescent="0.25">
      <c r="A1623" s="762">
        <f t="shared" si="580"/>
        <v>1618</v>
      </c>
      <c r="B1623" s="229"/>
      <c r="C1623" s="223"/>
      <c r="D1623" s="224"/>
      <c r="E1623" s="225"/>
      <c r="F1623" s="1036" t="str">
        <f t="shared" si="586"/>
        <v/>
      </c>
      <c r="G1623" s="1037" t="str">
        <f t="shared" si="581"/>
        <v/>
      </c>
      <c r="H1623" s="225"/>
      <c r="I1623" s="1013"/>
      <c r="J1623" s="1013"/>
      <c r="K1623" s="1028"/>
      <c r="L1623" s="1035" t="str">
        <f t="shared" si="585"/>
        <v/>
      </c>
      <c r="S1623" s="498"/>
      <c r="AJ1623" s="498"/>
      <c r="AM1623" s="498">
        <f t="shared" si="566"/>
        <v>0</v>
      </c>
      <c r="AN1623" s="498">
        <f t="shared" si="567"/>
        <v>0</v>
      </c>
      <c r="AO1623" s="498">
        <f t="shared" si="568"/>
        <v>0</v>
      </c>
      <c r="AP1623" s="498">
        <f t="shared" si="587"/>
        <v>0</v>
      </c>
      <c r="AQ1623" s="498">
        <f t="shared" si="582"/>
        <v>0</v>
      </c>
      <c r="AU1623" s="498">
        <f t="shared" si="569"/>
        <v>0</v>
      </c>
      <c r="AV1623" s="498">
        <f t="shared" si="570"/>
        <v>0</v>
      </c>
      <c r="AW1623" s="498">
        <f t="shared" si="571"/>
        <v>0</v>
      </c>
      <c r="AX1623" s="498">
        <f t="shared" si="572"/>
        <v>0</v>
      </c>
      <c r="AY1623" s="498">
        <f t="shared" si="573"/>
        <v>0</v>
      </c>
      <c r="BB1623" s="498" t="str">
        <f t="shared" si="574"/>
        <v/>
      </c>
      <c r="BC1623" s="743" t="str">
        <f t="shared" si="575"/>
        <v/>
      </c>
      <c r="BD1623" s="743" t="str">
        <f t="shared" si="576"/>
        <v/>
      </c>
      <c r="BE1623" s="743" t="str">
        <f>IF(D1623="","",VLOOKUP(D1623,'General Basis'!$J$39:$K$46,2,0))</f>
        <v/>
      </c>
      <c r="BF1623" s="744" t="str">
        <f>IF(D1623="","",VLOOKUP(D1623,'General Basis'!$J$39:$L$46,3,0))</f>
        <v/>
      </c>
      <c r="BG1623" s="744" t="str">
        <f t="shared" si="583"/>
        <v/>
      </c>
      <c r="BH1623" s="744" t="str">
        <f>IF(G1623="","",IF(BF1623="Abu Dhabi",IF(G1623&lt;18,'General Basis'!$C$39,IF(G1623&lt;41,'General Basis'!$C$40,IF(G1623&lt;60,'General Basis'!$C$41,IF(G1623&lt;65,'General Basis'!$C$42,'General Basis'!$C$43)))),IF(G1623&lt;11,'General Basis'!$B$39,IF(G1623&lt;18,'General Basis'!$B$40,IF(G1623&lt;26,'General Basis'!$B$41,IF(G1623&lt;31,'General Basis'!$B$42,IF(G1623&lt;36,'General Basis'!$B$43,IF(G1623&lt;41,'General Basis'!$B$44,IF(G1623&lt;46,'General Basis'!$B$45,IF(G1623&lt;51,'General Basis'!$B$46,IF(G1623&lt;56,'General Basis'!$B$47,IF(G1623&lt;60,'General Basis'!$B$48,IF(G1623&lt;65,'General Basis'!$B$49,'General Basis'!$B$50)))))))))))))</f>
        <v/>
      </c>
      <c r="BI1623" s="744" t="str">
        <f t="shared" si="577"/>
        <v/>
      </c>
      <c r="BJ1623" s="747" t="str">
        <f t="shared" si="584"/>
        <v/>
      </c>
      <c r="BK1623" s="498" t="str">
        <f t="shared" si="578"/>
        <v/>
      </c>
      <c r="BL1623" s="498" t="str">
        <f t="shared" si="579"/>
        <v/>
      </c>
    </row>
    <row r="1624" spans="1:64" x14ac:dyDescent="0.25">
      <c r="A1624" s="762">
        <f t="shared" si="580"/>
        <v>1619</v>
      </c>
      <c r="B1624" s="229"/>
      <c r="C1624" s="223"/>
      <c r="D1624" s="224"/>
      <c r="E1624" s="225"/>
      <c r="F1624" s="1036" t="str">
        <f t="shared" si="586"/>
        <v/>
      </c>
      <c r="G1624" s="1037" t="str">
        <f t="shared" si="581"/>
        <v/>
      </c>
      <c r="H1624" s="225"/>
      <c r="I1624" s="1013"/>
      <c r="J1624" s="1013"/>
      <c r="K1624" s="1028"/>
      <c r="L1624" s="1035" t="str">
        <f t="shared" si="585"/>
        <v/>
      </c>
      <c r="S1624" s="498"/>
      <c r="AJ1624" s="498"/>
      <c r="AM1624" s="498">
        <f t="shared" si="566"/>
        <v>0</v>
      </c>
      <c r="AN1624" s="498">
        <f t="shared" si="567"/>
        <v>0</v>
      </c>
      <c r="AO1624" s="498">
        <f t="shared" si="568"/>
        <v>0</v>
      </c>
      <c r="AP1624" s="498">
        <f t="shared" si="587"/>
        <v>0</v>
      </c>
      <c r="AQ1624" s="498">
        <f t="shared" si="582"/>
        <v>0</v>
      </c>
      <c r="AU1624" s="498">
        <f t="shared" si="569"/>
        <v>0</v>
      </c>
      <c r="AV1624" s="498">
        <f t="shared" si="570"/>
        <v>0</v>
      </c>
      <c r="AW1624" s="498">
        <f t="shared" si="571"/>
        <v>0</v>
      </c>
      <c r="AX1624" s="498">
        <f t="shared" si="572"/>
        <v>0</v>
      </c>
      <c r="AY1624" s="498">
        <f t="shared" si="573"/>
        <v>0</v>
      </c>
      <c r="BB1624" s="498" t="str">
        <f t="shared" si="574"/>
        <v/>
      </c>
      <c r="BC1624" s="743" t="str">
        <f t="shared" si="575"/>
        <v/>
      </c>
      <c r="BD1624" s="743" t="str">
        <f t="shared" si="576"/>
        <v/>
      </c>
      <c r="BE1624" s="743" t="str">
        <f>IF(D1624="","",VLOOKUP(D1624,'General Basis'!$J$39:$K$46,2,0))</f>
        <v/>
      </c>
      <c r="BF1624" s="744" t="str">
        <f>IF(D1624="","",VLOOKUP(D1624,'General Basis'!$J$39:$L$46,3,0))</f>
        <v/>
      </c>
      <c r="BG1624" s="744" t="str">
        <f t="shared" si="583"/>
        <v/>
      </c>
      <c r="BH1624" s="744" t="str">
        <f>IF(G1624="","",IF(BF1624="Abu Dhabi",IF(G1624&lt;18,'General Basis'!$C$39,IF(G1624&lt;41,'General Basis'!$C$40,IF(G1624&lt;60,'General Basis'!$C$41,IF(G1624&lt;65,'General Basis'!$C$42,'General Basis'!$C$43)))),IF(G1624&lt;11,'General Basis'!$B$39,IF(G1624&lt;18,'General Basis'!$B$40,IF(G1624&lt;26,'General Basis'!$B$41,IF(G1624&lt;31,'General Basis'!$B$42,IF(G1624&lt;36,'General Basis'!$B$43,IF(G1624&lt;41,'General Basis'!$B$44,IF(G1624&lt;46,'General Basis'!$B$45,IF(G1624&lt;51,'General Basis'!$B$46,IF(G1624&lt;56,'General Basis'!$B$47,IF(G1624&lt;60,'General Basis'!$B$48,IF(G1624&lt;65,'General Basis'!$B$49,'General Basis'!$B$50)))))))))))))</f>
        <v/>
      </c>
      <c r="BI1624" s="744" t="str">
        <f t="shared" si="577"/>
        <v/>
      </c>
      <c r="BJ1624" s="747" t="str">
        <f t="shared" si="584"/>
        <v/>
      </c>
      <c r="BK1624" s="498" t="str">
        <f t="shared" si="578"/>
        <v/>
      </c>
      <c r="BL1624" s="498" t="str">
        <f t="shared" si="579"/>
        <v/>
      </c>
    </row>
    <row r="1625" spans="1:64" x14ac:dyDescent="0.25">
      <c r="A1625" s="762">
        <f t="shared" si="580"/>
        <v>1620</v>
      </c>
      <c r="B1625" s="229"/>
      <c r="C1625" s="223"/>
      <c r="D1625" s="224"/>
      <c r="E1625" s="225"/>
      <c r="F1625" s="1036" t="str">
        <f t="shared" si="586"/>
        <v/>
      </c>
      <c r="G1625" s="1037" t="str">
        <f t="shared" si="581"/>
        <v/>
      </c>
      <c r="H1625" s="225"/>
      <c r="I1625" s="1013"/>
      <c r="J1625" s="1013"/>
      <c r="K1625" s="1028"/>
      <c r="L1625" s="1035" t="str">
        <f t="shared" si="585"/>
        <v/>
      </c>
      <c r="S1625" s="498"/>
      <c r="AJ1625" s="498"/>
      <c r="AM1625" s="498">
        <f t="shared" si="566"/>
        <v>0</v>
      </c>
      <c r="AN1625" s="498">
        <f t="shared" si="567"/>
        <v>0</v>
      </c>
      <c r="AO1625" s="498">
        <f t="shared" si="568"/>
        <v>0</v>
      </c>
      <c r="AP1625" s="498">
        <f t="shared" si="587"/>
        <v>0</v>
      </c>
      <c r="AQ1625" s="498">
        <f t="shared" si="582"/>
        <v>0</v>
      </c>
      <c r="AU1625" s="498">
        <f t="shared" si="569"/>
        <v>0</v>
      </c>
      <c r="AV1625" s="498">
        <f t="shared" si="570"/>
        <v>0</v>
      </c>
      <c r="AW1625" s="498">
        <f t="shared" si="571"/>
        <v>0</v>
      </c>
      <c r="AX1625" s="498">
        <f t="shared" si="572"/>
        <v>0</v>
      </c>
      <c r="AY1625" s="498">
        <f t="shared" si="573"/>
        <v>0</v>
      </c>
      <c r="BB1625" s="498" t="str">
        <f t="shared" si="574"/>
        <v/>
      </c>
      <c r="BC1625" s="743" t="str">
        <f t="shared" si="575"/>
        <v/>
      </c>
      <c r="BD1625" s="743" t="str">
        <f t="shared" si="576"/>
        <v/>
      </c>
      <c r="BE1625" s="743" t="str">
        <f>IF(D1625="","",VLOOKUP(D1625,'General Basis'!$J$39:$K$46,2,0))</f>
        <v/>
      </c>
      <c r="BF1625" s="744" t="str">
        <f>IF(D1625="","",VLOOKUP(D1625,'General Basis'!$J$39:$L$46,3,0))</f>
        <v/>
      </c>
      <c r="BG1625" s="744" t="str">
        <f t="shared" si="583"/>
        <v/>
      </c>
      <c r="BH1625" s="744" t="str">
        <f>IF(G1625="","",IF(BF1625="Abu Dhabi",IF(G1625&lt;18,'General Basis'!$C$39,IF(G1625&lt;41,'General Basis'!$C$40,IF(G1625&lt;60,'General Basis'!$C$41,IF(G1625&lt;65,'General Basis'!$C$42,'General Basis'!$C$43)))),IF(G1625&lt;11,'General Basis'!$B$39,IF(G1625&lt;18,'General Basis'!$B$40,IF(G1625&lt;26,'General Basis'!$B$41,IF(G1625&lt;31,'General Basis'!$B$42,IF(G1625&lt;36,'General Basis'!$B$43,IF(G1625&lt;41,'General Basis'!$B$44,IF(G1625&lt;46,'General Basis'!$B$45,IF(G1625&lt;51,'General Basis'!$B$46,IF(G1625&lt;56,'General Basis'!$B$47,IF(G1625&lt;60,'General Basis'!$B$48,IF(G1625&lt;65,'General Basis'!$B$49,'General Basis'!$B$50)))))))))))))</f>
        <v/>
      </c>
      <c r="BI1625" s="744" t="str">
        <f t="shared" si="577"/>
        <v/>
      </c>
      <c r="BJ1625" s="747" t="str">
        <f t="shared" si="584"/>
        <v/>
      </c>
      <c r="BK1625" s="498" t="str">
        <f t="shared" si="578"/>
        <v/>
      </c>
      <c r="BL1625" s="498" t="str">
        <f t="shared" si="579"/>
        <v/>
      </c>
    </row>
    <row r="1626" spans="1:64" x14ac:dyDescent="0.25">
      <c r="A1626" s="762">
        <f t="shared" si="580"/>
        <v>1621</v>
      </c>
      <c r="B1626" s="229"/>
      <c r="C1626" s="223"/>
      <c r="D1626" s="224"/>
      <c r="E1626" s="225"/>
      <c r="F1626" s="1036" t="str">
        <f t="shared" si="586"/>
        <v/>
      </c>
      <c r="G1626" s="1037" t="str">
        <f t="shared" si="581"/>
        <v/>
      </c>
      <c r="H1626" s="225"/>
      <c r="I1626" s="1013"/>
      <c r="J1626" s="1013"/>
      <c r="K1626" s="1028"/>
      <c r="L1626" s="1035" t="str">
        <f t="shared" si="585"/>
        <v/>
      </c>
      <c r="S1626" s="498"/>
      <c r="AJ1626" s="498"/>
      <c r="AM1626" s="498">
        <f t="shared" si="566"/>
        <v>0</v>
      </c>
      <c r="AN1626" s="498">
        <f t="shared" si="567"/>
        <v>0</v>
      </c>
      <c r="AO1626" s="498">
        <f t="shared" si="568"/>
        <v>0</v>
      </c>
      <c r="AP1626" s="498">
        <f t="shared" si="587"/>
        <v>0</v>
      </c>
      <c r="AQ1626" s="498">
        <f t="shared" si="582"/>
        <v>0</v>
      </c>
      <c r="AU1626" s="498">
        <f t="shared" si="569"/>
        <v>0</v>
      </c>
      <c r="AV1626" s="498">
        <f t="shared" si="570"/>
        <v>0</v>
      </c>
      <c r="AW1626" s="498">
        <f t="shared" si="571"/>
        <v>0</v>
      </c>
      <c r="AX1626" s="498">
        <f t="shared" si="572"/>
        <v>0</v>
      </c>
      <c r="AY1626" s="498">
        <f t="shared" si="573"/>
        <v>0</v>
      </c>
      <c r="BB1626" s="498" t="str">
        <f t="shared" si="574"/>
        <v/>
      </c>
      <c r="BC1626" s="743" t="str">
        <f t="shared" si="575"/>
        <v/>
      </c>
      <c r="BD1626" s="743" t="str">
        <f t="shared" si="576"/>
        <v/>
      </c>
      <c r="BE1626" s="743" t="str">
        <f>IF(D1626="","",VLOOKUP(D1626,'General Basis'!$J$39:$K$46,2,0))</f>
        <v/>
      </c>
      <c r="BF1626" s="744" t="str">
        <f>IF(D1626="","",VLOOKUP(D1626,'General Basis'!$J$39:$L$46,3,0))</f>
        <v/>
      </c>
      <c r="BG1626" s="744" t="str">
        <f t="shared" si="583"/>
        <v/>
      </c>
      <c r="BH1626" s="744" t="str">
        <f>IF(G1626="","",IF(BF1626="Abu Dhabi",IF(G1626&lt;18,'General Basis'!$C$39,IF(G1626&lt;41,'General Basis'!$C$40,IF(G1626&lt;60,'General Basis'!$C$41,IF(G1626&lt;65,'General Basis'!$C$42,'General Basis'!$C$43)))),IF(G1626&lt;11,'General Basis'!$B$39,IF(G1626&lt;18,'General Basis'!$B$40,IF(G1626&lt;26,'General Basis'!$B$41,IF(G1626&lt;31,'General Basis'!$B$42,IF(G1626&lt;36,'General Basis'!$B$43,IF(G1626&lt;41,'General Basis'!$B$44,IF(G1626&lt;46,'General Basis'!$B$45,IF(G1626&lt;51,'General Basis'!$B$46,IF(G1626&lt;56,'General Basis'!$B$47,IF(G1626&lt;60,'General Basis'!$B$48,IF(G1626&lt;65,'General Basis'!$B$49,'General Basis'!$B$50)))))))))))))</f>
        <v/>
      </c>
      <c r="BI1626" s="744" t="str">
        <f t="shared" si="577"/>
        <v/>
      </c>
      <c r="BJ1626" s="747" t="str">
        <f t="shared" si="584"/>
        <v/>
      </c>
      <c r="BK1626" s="498" t="str">
        <f t="shared" si="578"/>
        <v/>
      </c>
      <c r="BL1626" s="498" t="str">
        <f t="shared" si="579"/>
        <v/>
      </c>
    </row>
    <row r="1627" spans="1:64" x14ac:dyDescent="0.25">
      <c r="A1627" s="762">
        <f t="shared" si="580"/>
        <v>1622</v>
      </c>
      <c r="B1627" s="229"/>
      <c r="C1627" s="223"/>
      <c r="D1627" s="224"/>
      <c r="E1627" s="225"/>
      <c r="F1627" s="1036" t="str">
        <f t="shared" si="586"/>
        <v/>
      </c>
      <c r="G1627" s="1037" t="str">
        <f t="shared" si="581"/>
        <v/>
      </c>
      <c r="H1627" s="225"/>
      <c r="I1627" s="1013"/>
      <c r="J1627" s="1013"/>
      <c r="K1627" s="1028"/>
      <c r="L1627" s="1035" t="str">
        <f t="shared" si="585"/>
        <v/>
      </c>
      <c r="S1627" s="498"/>
      <c r="AJ1627" s="498"/>
      <c r="AM1627" s="498">
        <f t="shared" si="566"/>
        <v>0</v>
      </c>
      <c r="AN1627" s="498">
        <f t="shared" si="567"/>
        <v>0</v>
      </c>
      <c r="AO1627" s="498">
        <f t="shared" si="568"/>
        <v>0</v>
      </c>
      <c r="AP1627" s="498">
        <f t="shared" si="587"/>
        <v>0</v>
      </c>
      <c r="AQ1627" s="498">
        <f t="shared" si="582"/>
        <v>0</v>
      </c>
      <c r="AU1627" s="498">
        <f t="shared" si="569"/>
        <v>0</v>
      </c>
      <c r="AV1627" s="498">
        <f t="shared" si="570"/>
        <v>0</v>
      </c>
      <c r="AW1627" s="498">
        <f t="shared" si="571"/>
        <v>0</v>
      </c>
      <c r="AX1627" s="498">
        <f t="shared" si="572"/>
        <v>0</v>
      </c>
      <c r="AY1627" s="498">
        <f t="shared" si="573"/>
        <v>0</v>
      </c>
      <c r="BB1627" s="498" t="str">
        <f t="shared" si="574"/>
        <v/>
      </c>
      <c r="BC1627" s="743" t="str">
        <f t="shared" si="575"/>
        <v/>
      </c>
      <c r="BD1627" s="743" t="str">
        <f t="shared" si="576"/>
        <v/>
      </c>
      <c r="BE1627" s="743" t="str">
        <f>IF(D1627="","",VLOOKUP(D1627,'General Basis'!$J$39:$K$46,2,0))</f>
        <v/>
      </c>
      <c r="BF1627" s="744" t="str">
        <f>IF(D1627="","",VLOOKUP(D1627,'General Basis'!$J$39:$L$46,3,0))</f>
        <v/>
      </c>
      <c r="BG1627" s="744" t="str">
        <f t="shared" si="583"/>
        <v/>
      </c>
      <c r="BH1627" s="744" t="str">
        <f>IF(G1627="","",IF(BF1627="Abu Dhabi",IF(G1627&lt;18,'General Basis'!$C$39,IF(G1627&lt;41,'General Basis'!$C$40,IF(G1627&lt;60,'General Basis'!$C$41,IF(G1627&lt;65,'General Basis'!$C$42,'General Basis'!$C$43)))),IF(G1627&lt;11,'General Basis'!$B$39,IF(G1627&lt;18,'General Basis'!$B$40,IF(G1627&lt;26,'General Basis'!$B$41,IF(G1627&lt;31,'General Basis'!$B$42,IF(G1627&lt;36,'General Basis'!$B$43,IF(G1627&lt;41,'General Basis'!$B$44,IF(G1627&lt;46,'General Basis'!$B$45,IF(G1627&lt;51,'General Basis'!$B$46,IF(G1627&lt;56,'General Basis'!$B$47,IF(G1627&lt;60,'General Basis'!$B$48,IF(G1627&lt;65,'General Basis'!$B$49,'General Basis'!$B$50)))))))))))))</f>
        <v/>
      </c>
      <c r="BI1627" s="744" t="str">
        <f t="shared" si="577"/>
        <v/>
      </c>
      <c r="BJ1627" s="747" t="str">
        <f t="shared" si="584"/>
        <v/>
      </c>
      <c r="BK1627" s="498" t="str">
        <f t="shared" si="578"/>
        <v/>
      </c>
      <c r="BL1627" s="498" t="str">
        <f t="shared" si="579"/>
        <v/>
      </c>
    </row>
    <row r="1628" spans="1:64" x14ac:dyDescent="0.25">
      <c r="A1628" s="762">
        <f t="shared" si="580"/>
        <v>1623</v>
      </c>
      <c r="B1628" s="229"/>
      <c r="C1628" s="223"/>
      <c r="D1628" s="224"/>
      <c r="E1628" s="225"/>
      <c r="F1628" s="1036" t="str">
        <f t="shared" si="586"/>
        <v/>
      </c>
      <c r="G1628" s="1037" t="str">
        <f t="shared" si="581"/>
        <v/>
      </c>
      <c r="H1628" s="225"/>
      <c r="I1628" s="1013"/>
      <c r="J1628" s="1013"/>
      <c r="K1628" s="1028"/>
      <c r="L1628" s="1035" t="str">
        <f t="shared" si="585"/>
        <v/>
      </c>
      <c r="S1628" s="498"/>
      <c r="AJ1628" s="498"/>
      <c r="AM1628" s="498">
        <f t="shared" si="566"/>
        <v>0</v>
      </c>
      <c r="AN1628" s="498">
        <f t="shared" si="567"/>
        <v>0</v>
      </c>
      <c r="AO1628" s="498">
        <f t="shared" si="568"/>
        <v>0</v>
      </c>
      <c r="AP1628" s="498">
        <f t="shared" si="587"/>
        <v>0</v>
      </c>
      <c r="AQ1628" s="498">
        <f t="shared" si="582"/>
        <v>0</v>
      </c>
      <c r="AU1628" s="498">
        <f t="shared" si="569"/>
        <v>0</v>
      </c>
      <c r="AV1628" s="498">
        <f t="shared" si="570"/>
        <v>0</v>
      </c>
      <c r="AW1628" s="498">
        <f t="shared" si="571"/>
        <v>0</v>
      </c>
      <c r="AX1628" s="498">
        <f t="shared" si="572"/>
        <v>0</v>
      </c>
      <c r="AY1628" s="498">
        <f t="shared" si="573"/>
        <v>0</v>
      </c>
      <c r="BB1628" s="498" t="str">
        <f t="shared" si="574"/>
        <v/>
      </c>
      <c r="BC1628" s="743" t="str">
        <f t="shared" si="575"/>
        <v/>
      </c>
      <c r="BD1628" s="743" t="str">
        <f t="shared" si="576"/>
        <v/>
      </c>
      <c r="BE1628" s="743" t="str">
        <f>IF(D1628="","",VLOOKUP(D1628,'General Basis'!$J$39:$K$46,2,0))</f>
        <v/>
      </c>
      <c r="BF1628" s="744" t="str">
        <f>IF(D1628="","",VLOOKUP(D1628,'General Basis'!$J$39:$L$46,3,0))</f>
        <v/>
      </c>
      <c r="BG1628" s="744" t="str">
        <f t="shared" si="583"/>
        <v/>
      </c>
      <c r="BH1628" s="744" t="str">
        <f>IF(G1628="","",IF(BF1628="Abu Dhabi",IF(G1628&lt;18,'General Basis'!$C$39,IF(G1628&lt;41,'General Basis'!$C$40,IF(G1628&lt;60,'General Basis'!$C$41,IF(G1628&lt;65,'General Basis'!$C$42,'General Basis'!$C$43)))),IF(G1628&lt;11,'General Basis'!$B$39,IF(G1628&lt;18,'General Basis'!$B$40,IF(G1628&lt;26,'General Basis'!$B$41,IF(G1628&lt;31,'General Basis'!$B$42,IF(G1628&lt;36,'General Basis'!$B$43,IF(G1628&lt;41,'General Basis'!$B$44,IF(G1628&lt;46,'General Basis'!$B$45,IF(G1628&lt;51,'General Basis'!$B$46,IF(G1628&lt;56,'General Basis'!$B$47,IF(G1628&lt;60,'General Basis'!$B$48,IF(G1628&lt;65,'General Basis'!$B$49,'General Basis'!$B$50)))))))))))))</f>
        <v/>
      </c>
      <c r="BI1628" s="744" t="str">
        <f t="shared" si="577"/>
        <v/>
      </c>
      <c r="BJ1628" s="747" t="str">
        <f t="shared" si="584"/>
        <v/>
      </c>
      <c r="BK1628" s="498" t="str">
        <f t="shared" si="578"/>
        <v/>
      </c>
      <c r="BL1628" s="498" t="str">
        <f t="shared" si="579"/>
        <v/>
      </c>
    </row>
    <row r="1629" spans="1:64" x14ac:dyDescent="0.25">
      <c r="A1629" s="762">
        <f t="shared" si="580"/>
        <v>1624</v>
      </c>
      <c r="B1629" s="229"/>
      <c r="C1629" s="223"/>
      <c r="D1629" s="224"/>
      <c r="E1629" s="225"/>
      <c r="F1629" s="1036" t="str">
        <f t="shared" si="586"/>
        <v/>
      </c>
      <c r="G1629" s="1037" t="str">
        <f t="shared" si="581"/>
        <v/>
      </c>
      <c r="H1629" s="225"/>
      <c r="I1629" s="1013"/>
      <c r="J1629" s="1013"/>
      <c r="K1629" s="1028"/>
      <c r="L1629" s="1035" t="str">
        <f t="shared" si="585"/>
        <v/>
      </c>
      <c r="S1629" s="498"/>
      <c r="AJ1629" s="498"/>
      <c r="AM1629" s="498">
        <f t="shared" si="566"/>
        <v>0</v>
      </c>
      <c r="AN1629" s="498">
        <f t="shared" si="567"/>
        <v>0</v>
      </c>
      <c r="AO1629" s="498">
        <f t="shared" si="568"/>
        <v>0</v>
      </c>
      <c r="AP1629" s="498">
        <f t="shared" si="587"/>
        <v>0</v>
      </c>
      <c r="AQ1629" s="498">
        <f t="shared" si="582"/>
        <v>0</v>
      </c>
      <c r="AU1629" s="498">
        <f t="shared" si="569"/>
        <v>0</v>
      </c>
      <c r="AV1629" s="498">
        <f t="shared" si="570"/>
        <v>0</v>
      </c>
      <c r="AW1629" s="498">
        <f t="shared" si="571"/>
        <v>0</v>
      </c>
      <c r="AX1629" s="498">
        <f t="shared" si="572"/>
        <v>0</v>
      </c>
      <c r="AY1629" s="498">
        <f t="shared" si="573"/>
        <v>0</v>
      </c>
      <c r="BB1629" s="498" t="str">
        <f t="shared" si="574"/>
        <v/>
      </c>
      <c r="BC1629" s="743" t="str">
        <f t="shared" si="575"/>
        <v/>
      </c>
      <c r="BD1629" s="743" t="str">
        <f t="shared" si="576"/>
        <v/>
      </c>
      <c r="BE1629" s="743" t="str">
        <f>IF(D1629="","",VLOOKUP(D1629,'General Basis'!$J$39:$K$46,2,0))</f>
        <v/>
      </c>
      <c r="BF1629" s="744" t="str">
        <f>IF(D1629="","",VLOOKUP(D1629,'General Basis'!$J$39:$L$46,3,0))</f>
        <v/>
      </c>
      <c r="BG1629" s="744" t="str">
        <f t="shared" si="583"/>
        <v/>
      </c>
      <c r="BH1629" s="744" t="str">
        <f>IF(G1629="","",IF(BF1629="Abu Dhabi",IF(G1629&lt;18,'General Basis'!$C$39,IF(G1629&lt;41,'General Basis'!$C$40,IF(G1629&lt;60,'General Basis'!$C$41,IF(G1629&lt;65,'General Basis'!$C$42,'General Basis'!$C$43)))),IF(G1629&lt;11,'General Basis'!$B$39,IF(G1629&lt;18,'General Basis'!$B$40,IF(G1629&lt;26,'General Basis'!$B$41,IF(G1629&lt;31,'General Basis'!$B$42,IF(G1629&lt;36,'General Basis'!$B$43,IF(G1629&lt;41,'General Basis'!$B$44,IF(G1629&lt;46,'General Basis'!$B$45,IF(G1629&lt;51,'General Basis'!$B$46,IF(G1629&lt;56,'General Basis'!$B$47,IF(G1629&lt;60,'General Basis'!$B$48,IF(G1629&lt;65,'General Basis'!$B$49,'General Basis'!$B$50)))))))))))))</f>
        <v/>
      </c>
      <c r="BI1629" s="744" t="str">
        <f t="shared" si="577"/>
        <v/>
      </c>
      <c r="BJ1629" s="747" t="str">
        <f t="shared" si="584"/>
        <v/>
      </c>
      <c r="BK1629" s="498" t="str">
        <f t="shared" si="578"/>
        <v/>
      </c>
      <c r="BL1629" s="498" t="str">
        <f t="shared" si="579"/>
        <v/>
      </c>
    </row>
    <row r="1630" spans="1:64" x14ac:dyDescent="0.25">
      <c r="A1630" s="762">
        <f t="shared" si="580"/>
        <v>1625</v>
      </c>
      <c r="B1630" s="229"/>
      <c r="C1630" s="223"/>
      <c r="D1630" s="224"/>
      <c r="E1630" s="225"/>
      <c r="F1630" s="1036" t="str">
        <f t="shared" si="586"/>
        <v/>
      </c>
      <c r="G1630" s="1037" t="str">
        <f t="shared" si="581"/>
        <v/>
      </c>
      <c r="H1630" s="225"/>
      <c r="I1630" s="1013"/>
      <c r="J1630" s="1013"/>
      <c r="K1630" s="1028"/>
      <c r="L1630" s="1035" t="str">
        <f t="shared" si="585"/>
        <v/>
      </c>
      <c r="S1630" s="498"/>
      <c r="AJ1630" s="498"/>
      <c r="AM1630" s="498">
        <f t="shared" si="566"/>
        <v>0</v>
      </c>
      <c r="AN1630" s="498">
        <f t="shared" si="567"/>
        <v>0</v>
      </c>
      <c r="AO1630" s="498">
        <f t="shared" si="568"/>
        <v>0</v>
      </c>
      <c r="AP1630" s="498">
        <f t="shared" si="587"/>
        <v>0</v>
      </c>
      <c r="AQ1630" s="498">
        <f t="shared" si="582"/>
        <v>0</v>
      </c>
      <c r="AU1630" s="498">
        <f t="shared" si="569"/>
        <v>0</v>
      </c>
      <c r="AV1630" s="498">
        <f t="shared" si="570"/>
        <v>0</v>
      </c>
      <c r="AW1630" s="498">
        <f t="shared" si="571"/>
        <v>0</v>
      </c>
      <c r="AX1630" s="498">
        <f t="shared" si="572"/>
        <v>0</v>
      </c>
      <c r="AY1630" s="498">
        <f t="shared" si="573"/>
        <v>0</v>
      </c>
      <c r="BB1630" s="498" t="str">
        <f t="shared" si="574"/>
        <v/>
      </c>
      <c r="BC1630" s="743" t="str">
        <f t="shared" si="575"/>
        <v/>
      </c>
      <c r="BD1630" s="743" t="str">
        <f t="shared" si="576"/>
        <v/>
      </c>
      <c r="BE1630" s="743" t="str">
        <f>IF(D1630="","",VLOOKUP(D1630,'General Basis'!$J$39:$K$46,2,0))</f>
        <v/>
      </c>
      <c r="BF1630" s="744" t="str">
        <f>IF(D1630="","",VLOOKUP(D1630,'General Basis'!$J$39:$L$46,3,0))</f>
        <v/>
      </c>
      <c r="BG1630" s="744" t="str">
        <f t="shared" si="583"/>
        <v/>
      </c>
      <c r="BH1630" s="744" t="str">
        <f>IF(G1630="","",IF(BF1630="Abu Dhabi",IF(G1630&lt;18,'General Basis'!$C$39,IF(G1630&lt;41,'General Basis'!$C$40,IF(G1630&lt;60,'General Basis'!$C$41,IF(G1630&lt;65,'General Basis'!$C$42,'General Basis'!$C$43)))),IF(G1630&lt;11,'General Basis'!$B$39,IF(G1630&lt;18,'General Basis'!$B$40,IF(G1630&lt;26,'General Basis'!$B$41,IF(G1630&lt;31,'General Basis'!$B$42,IF(G1630&lt;36,'General Basis'!$B$43,IF(G1630&lt;41,'General Basis'!$B$44,IF(G1630&lt;46,'General Basis'!$B$45,IF(G1630&lt;51,'General Basis'!$B$46,IF(G1630&lt;56,'General Basis'!$B$47,IF(G1630&lt;60,'General Basis'!$B$48,IF(G1630&lt;65,'General Basis'!$B$49,'General Basis'!$B$50)))))))))))))</f>
        <v/>
      </c>
      <c r="BI1630" s="744" t="str">
        <f t="shared" si="577"/>
        <v/>
      </c>
      <c r="BJ1630" s="747" t="str">
        <f t="shared" si="584"/>
        <v/>
      </c>
      <c r="BK1630" s="498" t="str">
        <f t="shared" si="578"/>
        <v/>
      </c>
      <c r="BL1630" s="498" t="str">
        <f t="shared" si="579"/>
        <v/>
      </c>
    </row>
    <row r="1631" spans="1:64" x14ac:dyDescent="0.25">
      <c r="A1631" s="762">
        <f t="shared" si="580"/>
        <v>1626</v>
      </c>
      <c r="B1631" s="229"/>
      <c r="C1631" s="223"/>
      <c r="D1631" s="224"/>
      <c r="E1631" s="225"/>
      <c r="F1631" s="1036" t="str">
        <f t="shared" si="586"/>
        <v/>
      </c>
      <c r="G1631" s="1037" t="str">
        <f t="shared" si="581"/>
        <v/>
      </c>
      <c r="H1631" s="225"/>
      <c r="I1631" s="1013"/>
      <c r="J1631" s="1013"/>
      <c r="K1631" s="1028"/>
      <c r="L1631" s="1035" t="str">
        <f t="shared" si="585"/>
        <v/>
      </c>
      <c r="S1631" s="498"/>
      <c r="AJ1631" s="498"/>
      <c r="AM1631" s="498">
        <f t="shared" si="566"/>
        <v>0</v>
      </c>
      <c r="AN1631" s="498">
        <f t="shared" si="567"/>
        <v>0</v>
      </c>
      <c r="AO1631" s="498">
        <f t="shared" si="568"/>
        <v>0</v>
      </c>
      <c r="AP1631" s="498">
        <f t="shared" si="587"/>
        <v>0</v>
      </c>
      <c r="AQ1631" s="498">
        <f t="shared" si="582"/>
        <v>0</v>
      </c>
      <c r="AU1631" s="498">
        <f t="shared" si="569"/>
        <v>0</v>
      </c>
      <c r="AV1631" s="498">
        <f t="shared" si="570"/>
        <v>0</v>
      </c>
      <c r="AW1631" s="498">
        <f t="shared" si="571"/>
        <v>0</v>
      </c>
      <c r="AX1631" s="498">
        <f t="shared" si="572"/>
        <v>0</v>
      </c>
      <c r="AY1631" s="498">
        <f t="shared" si="573"/>
        <v>0</v>
      </c>
      <c r="BB1631" s="498" t="str">
        <f t="shared" si="574"/>
        <v/>
      </c>
      <c r="BC1631" s="743" t="str">
        <f t="shared" si="575"/>
        <v/>
      </c>
      <c r="BD1631" s="743" t="str">
        <f t="shared" si="576"/>
        <v/>
      </c>
      <c r="BE1631" s="743" t="str">
        <f>IF(D1631="","",VLOOKUP(D1631,'General Basis'!$J$39:$K$46,2,0))</f>
        <v/>
      </c>
      <c r="BF1631" s="744" t="str">
        <f>IF(D1631="","",VLOOKUP(D1631,'General Basis'!$J$39:$L$46,3,0))</f>
        <v/>
      </c>
      <c r="BG1631" s="744" t="str">
        <f t="shared" si="583"/>
        <v/>
      </c>
      <c r="BH1631" s="744" t="str">
        <f>IF(G1631="","",IF(BF1631="Abu Dhabi",IF(G1631&lt;18,'General Basis'!$C$39,IF(G1631&lt;41,'General Basis'!$C$40,IF(G1631&lt;60,'General Basis'!$C$41,IF(G1631&lt;65,'General Basis'!$C$42,'General Basis'!$C$43)))),IF(G1631&lt;11,'General Basis'!$B$39,IF(G1631&lt;18,'General Basis'!$B$40,IF(G1631&lt;26,'General Basis'!$B$41,IF(G1631&lt;31,'General Basis'!$B$42,IF(G1631&lt;36,'General Basis'!$B$43,IF(G1631&lt;41,'General Basis'!$B$44,IF(G1631&lt;46,'General Basis'!$B$45,IF(G1631&lt;51,'General Basis'!$B$46,IF(G1631&lt;56,'General Basis'!$B$47,IF(G1631&lt;60,'General Basis'!$B$48,IF(G1631&lt;65,'General Basis'!$B$49,'General Basis'!$B$50)))))))))))))</f>
        <v/>
      </c>
      <c r="BI1631" s="744" t="str">
        <f t="shared" si="577"/>
        <v/>
      </c>
      <c r="BJ1631" s="747" t="str">
        <f t="shared" si="584"/>
        <v/>
      </c>
      <c r="BK1631" s="498" t="str">
        <f t="shared" si="578"/>
        <v/>
      </c>
      <c r="BL1631" s="498" t="str">
        <f t="shared" si="579"/>
        <v/>
      </c>
    </row>
    <row r="1632" spans="1:64" x14ac:dyDescent="0.25">
      <c r="A1632" s="762">
        <f t="shared" si="580"/>
        <v>1627</v>
      </c>
      <c r="B1632" s="229"/>
      <c r="C1632" s="223"/>
      <c r="D1632" s="224"/>
      <c r="E1632" s="225"/>
      <c r="F1632" s="1036" t="str">
        <f t="shared" si="586"/>
        <v/>
      </c>
      <c r="G1632" s="1037" t="str">
        <f t="shared" si="581"/>
        <v/>
      </c>
      <c r="H1632" s="225"/>
      <c r="I1632" s="1013"/>
      <c r="J1632" s="1013"/>
      <c r="K1632" s="1028"/>
      <c r="L1632" s="1035" t="str">
        <f t="shared" si="585"/>
        <v/>
      </c>
      <c r="S1632" s="498"/>
      <c r="AJ1632" s="498"/>
      <c r="AM1632" s="498">
        <f t="shared" si="566"/>
        <v>0</v>
      </c>
      <c r="AN1632" s="498">
        <f t="shared" si="567"/>
        <v>0</v>
      </c>
      <c r="AO1632" s="498">
        <f t="shared" si="568"/>
        <v>0</v>
      </c>
      <c r="AP1632" s="498">
        <f t="shared" si="587"/>
        <v>0</v>
      </c>
      <c r="AQ1632" s="498">
        <f t="shared" si="582"/>
        <v>0</v>
      </c>
      <c r="AU1632" s="498">
        <f t="shared" si="569"/>
        <v>0</v>
      </c>
      <c r="AV1632" s="498">
        <f t="shared" si="570"/>
        <v>0</v>
      </c>
      <c r="AW1632" s="498">
        <f t="shared" si="571"/>
        <v>0</v>
      </c>
      <c r="AX1632" s="498">
        <f t="shared" si="572"/>
        <v>0</v>
      </c>
      <c r="AY1632" s="498">
        <f t="shared" si="573"/>
        <v>0</v>
      </c>
      <c r="BB1632" s="498" t="str">
        <f t="shared" si="574"/>
        <v/>
      </c>
      <c r="BC1632" s="743" t="str">
        <f t="shared" si="575"/>
        <v/>
      </c>
      <c r="BD1632" s="743" t="str">
        <f t="shared" si="576"/>
        <v/>
      </c>
      <c r="BE1632" s="743" t="str">
        <f>IF(D1632="","",VLOOKUP(D1632,'General Basis'!$J$39:$K$46,2,0))</f>
        <v/>
      </c>
      <c r="BF1632" s="744" t="str">
        <f>IF(D1632="","",VLOOKUP(D1632,'General Basis'!$J$39:$L$46,3,0))</f>
        <v/>
      </c>
      <c r="BG1632" s="744" t="str">
        <f t="shared" si="583"/>
        <v/>
      </c>
      <c r="BH1632" s="744" t="str">
        <f>IF(G1632="","",IF(BF1632="Abu Dhabi",IF(G1632&lt;18,'General Basis'!$C$39,IF(G1632&lt;41,'General Basis'!$C$40,IF(G1632&lt;60,'General Basis'!$C$41,IF(G1632&lt;65,'General Basis'!$C$42,'General Basis'!$C$43)))),IF(G1632&lt;11,'General Basis'!$B$39,IF(G1632&lt;18,'General Basis'!$B$40,IF(G1632&lt;26,'General Basis'!$B$41,IF(G1632&lt;31,'General Basis'!$B$42,IF(G1632&lt;36,'General Basis'!$B$43,IF(G1632&lt;41,'General Basis'!$B$44,IF(G1632&lt;46,'General Basis'!$B$45,IF(G1632&lt;51,'General Basis'!$B$46,IF(G1632&lt;56,'General Basis'!$B$47,IF(G1632&lt;60,'General Basis'!$B$48,IF(G1632&lt;65,'General Basis'!$B$49,'General Basis'!$B$50)))))))))))))</f>
        <v/>
      </c>
      <c r="BI1632" s="744" t="str">
        <f t="shared" si="577"/>
        <v/>
      </c>
      <c r="BJ1632" s="747" t="str">
        <f t="shared" si="584"/>
        <v/>
      </c>
      <c r="BK1632" s="498" t="str">
        <f t="shared" si="578"/>
        <v/>
      </c>
      <c r="BL1632" s="498" t="str">
        <f t="shared" si="579"/>
        <v/>
      </c>
    </row>
    <row r="1633" spans="1:64" x14ac:dyDescent="0.25">
      <c r="A1633" s="762">
        <f t="shared" si="580"/>
        <v>1628</v>
      </c>
      <c r="B1633" s="229"/>
      <c r="C1633" s="223"/>
      <c r="D1633" s="224"/>
      <c r="E1633" s="225"/>
      <c r="F1633" s="1036" t="str">
        <f t="shared" si="586"/>
        <v/>
      </c>
      <c r="G1633" s="1037" t="str">
        <f t="shared" si="581"/>
        <v/>
      </c>
      <c r="H1633" s="225"/>
      <c r="I1633" s="1013"/>
      <c r="J1633" s="1013"/>
      <c r="K1633" s="1028"/>
      <c r="L1633" s="1035" t="str">
        <f t="shared" si="585"/>
        <v/>
      </c>
      <c r="S1633" s="498"/>
      <c r="AJ1633" s="498"/>
      <c r="AM1633" s="498">
        <f t="shared" si="566"/>
        <v>0</v>
      </c>
      <c r="AN1633" s="498">
        <f t="shared" si="567"/>
        <v>0</v>
      </c>
      <c r="AO1633" s="498">
        <f t="shared" si="568"/>
        <v>0</v>
      </c>
      <c r="AP1633" s="498">
        <f t="shared" si="587"/>
        <v>0</v>
      </c>
      <c r="AQ1633" s="498">
        <f t="shared" si="582"/>
        <v>0</v>
      </c>
      <c r="AU1633" s="498">
        <f t="shared" si="569"/>
        <v>0</v>
      </c>
      <c r="AV1633" s="498">
        <f t="shared" si="570"/>
        <v>0</v>
      </c>
      <c r="AW1633" s="498">
        <f t="shared" si="571"/>
        <v>0</v>
      </c>
      <c r="AX1633" s="498">
        <f t="shared" si="572"/>
        <v>0</v>
      </c>
      <c r="AY1633" s="498">
        <f t="shared" si="573"/>
        <v>0</v>
      </c>
      <c r="BB1633" s="498" t="str">
        <f t="shared" si="574"/>
        <v/>
      </c>
      <c r="BC1633" s="743" t="str">
        <f t="shared" si="575"/>
        <v/>
      </c>
      <c r="BD1633" s="743" t="str">
        <f t="shared" si="576"/>
        <v/>
      </c>
      <c r="BE1633" s="743" t="str">
        <f>IF(D1633="","",VLOOKUP(D1633,'General Basis'!$J$39:$K$46,2,0))</f>
        <v/>
      </c>
      <c r="BF1633" s="744" t="str">
        <f>IF(D1633="","",VLOOKUP(D1633,'General Basis'!$J$39:$L$46,3,0))</f>
        <v/>
      </c>
      <c r="BG1633" s="744" t="str">
        <f t="shared" si="583"/>
        <v/>
      </c>
      <c r="BH1633" s="744" t="str">
        <f>IF(G1633="","",IF(BF1633="Abu Dhabi",IF(G1633&lt;18,'General Basis'!$C$39,IF(G1633&lt;41,'General Basis'!$C$40,IF(G1633&lt;60,'General Basis'!$C$41,IF(G1633&lt;65,'General Basis'!$C$42,'General Basis'!$C$43)))),IF(G1633&lt;11,'General Basis'!$B$39,IF(G1633&lt;18,'General Basis'!$B$40,IF(G1633&lt;26,'General Basis'!$B$41,IF(G1633&lt;31,'General Basis'!$B$42,IF(G1633&lt;36,'General Basis'!$B$43,IF(G1633&lt;41,'General Basis'!$B$44,IF(G1633&lt;46,'General Basis'!$B$45,IF(G1633&lt;51,'General Basis'!$B$46,IF(G1633&lt;56,'General Basis'!$B$47,IF(G1633&lt;60,'General Basis'!$B$48,IF(G1633&lt;65,'General Basis'!$B$49,'General Basis'!$B$50)))))))))))))</f>
        <v/>
      </c>
      <c r="BI1633" s="744" t="str">
        <f t="shared" si="577"/>
        <v/>
      </c>
      <c r="BJ1633" s="747" t="str">
        <f t="shared" si="584"/>
        <v/>
      </c>
      <c r="BK1633" s="498" t="str">
        <f t="shared" si="578"/>
        <v/>
      </c>
      <c r="BL1633" s="498" t="str">
        <f t="shared" si="579"/>
        <v/>
      </c>
    </row>
    <row r="1634" spans="1:64" x14ac:dyDescent="0.25">
      <c r="A1634" s="762">
        <f t="shared" si="580"/>
        <v>1629</v>
      </c>
      <c r="B1634" s="229"/>
      <c r="C1634" s="223"/>
      <c r="D1634" s="224"/>
      <c r="E1634" s="225"/>
      <c r="F1634" s="1036" t="str">
        <f t="shared" si="586"/>
        <v/>
      </c>
      <c r="G1634" s="1037" t="str">
        <f t="shared" si="581"/>
        <v/>
      </c>
      <c r="H1634" s="225"/>
      <c r="I1634" s="1013"/>
      <c r="J1634" s="1013"/>
      <c r="K1634" s="1028"/>
      <c r="L1634" s="1035" t="str">
        <f t="shared" si="585"/>
        <v/>
      </c>
      <c r="S1634" s="498"/>
      <c r="AJ1634" s="498"/>
      <c r="AM1634" s="498">
        <f t="shared" si="566"/>
        <v>0</v>
      </c>
      <c r="AN1634" s="498">
        <f t="shared" si="567"/>
        <v>0</v>
      </c>
      <c r="AO1634" s="498">
        <f t="shared" si="568"/>
        <v>0</v>
      </c>
      <c r="AP1634" s="498">
        <f t="shared" si="587"/>
        <v>0</v>
      </c>
      <c r="AQ1634" s="498">
        <f t="shared" si="582"/>
        <v>0</v>
      </c>
      <c r="AU1634" s="498">
        <f t="shared" si="569"/>
        <v>0</v>
      </c>
      <c r="AV1634" s="498">
        <f t="shared" si="570"/>
        <v>0</v>
      </c>
      <c r="AW1634" s="498">
        <f t="shared" si="571"/>
        <v>0</v>
      </c>
      <c r="AX1634" s="498">
        <f t="shared" si="572"/>
        <v>0</v>
      </c>
      <c r="AY1634" s="498">
        <f t="shared" si="573"/>
        <v>0</v>
      </c>
      <c r="BB1634" s="498" t="str">
        <f t="shared" si="574"/>
        <v/>
      </c>
      <c r="BC1634" s="743" t="str">
        <f t="shared" si="575"/>
        <v/>
      </c>
      <c r="BD1634" s="743" t="str">
        <f t="shared" si="576"/>
        <v/>
      </c>
      <c r="BE1634" s="743" t="str">
        <f>IF(D1634="","",VLOOKUP(D1634,'General Basis'!$J$39:$K$46,2,0))</f>
        <v/>
      </c>
      <c r="BF1634" s="744" t="str">
        <f>IF(D1634="","",VLOOKUP(D1634,'General Basis'!$J$39:$L$46,3,0))</f>
        <v/>
      </c>
      <c r="BG1634" s="744" t="str">
        <f t="shared" si="583"/>
        <v/>
      </c>
      <c r="BH1634" s="744" t="str">
        <f>IF(G1634="","",IF(BF1634="Abu Dhabi",IF(G1634&lt;18,'General Basis'!$C$39,IF(G1634&lt;41,'General Basis'!$C$40,IF(G1634&lt;60,'General Basis'!$C$41,IF(G1634&lt;65,'General Basis'!$C$42,'General Basis'!$C$43)))),IF(G1634&lt;11,'General Basis'!$B$39,IF(G1634&lt;18,'General Basis'!$B$40,IF(G1634&lt;26,'General Basis'!$B$41,IF(G1634&lt;31,'General Basis'!$B$42,IF(G1634&lt;36,'General Basis'!$B$43,IF(G1634&lt;41,'General Basis'!$B$44,IF(G1634&lt;46,'General Basis'!$B$45,IF(G1634&lt;51,'General Basis'!$B$46,IF(G1634&lt;56,'General Basis'!$B$47,IF(G1634&lt;60,'General Basis'!$B$48,IF(G1634&lt;65,'General Basis'!$B$49,'General Basis'!$B$50)))))))))))))</f>
        <v/>
      </c>
      <c r="BI1634" s="744" t="str">
        <f t="shared" si="577"/>
        <v/>
      </c>
      <c r="BJ1634" s="747" t="str">
        <f t="shared" si="584"/>
        <v/>
      </c>
      <c r="BK1634" s="498" t="str">
        <f t="shared" si="578"/>
        <v/>
      </c>
      <c r="BL1634" s="498" t="str">
        <f t="shared" si="579"/>
        <v/>
      </c>
    </row>
    <row r="1635" spans="1:64" x14ac:dyDescent="0.25">
      <c r="A1635" s="762">
        <f t="shared" si="580"/>
        <v>1630</v>
      </c>
      <c r="B1635" s="229"/>
      <c r="C1635" s="223"/>
      <c r="D1635" s="224"/>
      <c r="E1635" s="225"/>
      <c r="F1635" s="1036" t="str">
        <f t="shared" si="586"/>
        <v/>
      </c>
      <c r="G1635" s="1037" t="str">
        <f t="shared" si="581"/>
        <v/>
      </c>
      <c r="H1635" s="225"/>
      <c r="I1635" s="1013"/>
      <c r="J1635" s="1013"/>
      <c r="K1635" s="1028"/>
      <c r="L1635" s="1035" t="str">
        <f t="shared" si="585"/>
        <v/>
      </c>
      <c r="S1635" s="498"/>
      <c r="AJ1635" s="498"/>
      <c r="AM1635" s="498">
        <f t="shared" si="566"/>
        <v>0</v>
      </c>
      <c r="AN1635" s="498">
        <f t="shared" si="567"/>
        <v>0</v>
      </c>
      <c r="AO1635" s="498">
        <f t="shared" si="568"/>
        <v>0</v>
      </c>
      <c r="AP1635" s="498">
        <f t="shared" si="587"/>
        <v>0</v>
      </c>
      <c r="AQ1635" s="498">
        <f t="shared" si="582"/>
        <v>0</v>
      </c>
      <c r="AU1635" s="498">
        <f t="shared" si="569"/>
        <v>0</v>
      </c>
      <c r="AV1635" s="498">
        <f t="shared" si="570"/>
        <v>0</v>
      </c>
      <c r="AW1635" s="498">
        <f t="shared" si="571"/>
        <v>0</v>
      </c>
      <c r="AX1635" s="498">
        <f t="shared" si="572"/>
        <v>0</v>
      </c>
      <c r="AY1635" s="498">
        <f t="shared" si="573"/>
        <v>0</v>
      </c>
      <c r="BB1635" s="498" t="str">
        <f t="shared" si="574"/>
        <v/>
      </c>
      <c r="BC1635" s="743" t="str">
        <f t="shared" si="575"/>
        <v/>
      </c>
      <c r="BD1635" s="743" t="str">
        <f t="shared" si="576"/>
        <v/>
      </c>
      <c r="BE1635" s="743" t="str">
        <f>IF(D1635="","",VLOOKUP(D1635,'General Basis'!$J$39:$K$46,2,0))</f>
        <v/>
      </c>
      <c r="BF1635" s="744" t="str">
        <f>IF(D1635="","",VLOOKUP(D1635,'General Basis'!$J$39:$L$46,3,0))</f>
        <v/>
      </c>
      <c r="BG1635" s="744" t="str">
        <f t="shared" si="583"/>
        <v/>
      </c>
      <c r="BH1635" s="744" t="str">
        <f>IF(G1635="","",IF(BF1635="Abu Dhabi",IF(G1635&lt;18,'General Basis'!$C$39,IF(G1635&lt;41,'General Basis'!$C$40,IF(G1635&lt;60,'General Basis'!$C$41,IF(G1635&lt;65,'General Basis'!$C$42,'General Basis'!$C$43)))),IF(G1635&lt;11,'General Basis'!$B$39,IF(G1635&lt;18,'General Basis'!$B$40,IF(G1635&lt;26,'General Basis'!$B$41,IF(G1635&lt;31,'General Basis'!$B$42,IF(G1635&lt;36,'General Basis'!$B$43,IF(G1635&lt;41,'General Basis'!$B$44,IF(G1635&lt;46,'General Basis'!$B$45,IF(G1635&lt;51,'General Basis'!$B$46,IF(G1635&lt;56,'General Basis'!$B$47,IF(G1635&lt;60,'General Basis'!$B$48,IF(G1635&lt;65,'General Basis'!$B$49,'General Basis'!$B$50)))))))))))))</f>
        <v/>
      </c>
      <c r="BI1635" s="744" t="str">
        <f t="shared" si="577"/>
        <v/>
      </c>
      <c r="BJ1635" s="747" t="str">
        <f t="shared" si="584"/>
        <v/>
      </c>
      <c r="BK1635" s="498" t="str">
        <f t="shared" si="578"/>
        <v/>
      </c>
      <c r="BL1635" s="498" t="str">
        <f t="shared" si="579"/>
        <v/>
      </c>
    </row>
    <row r="1636" spans="1:64" x14ac:dyDescent="0.25">
      <c r="A1636" s="762">
        <f t="shared" si="580"/>
        <v>1631</v>
      </c>
      <c r="B1636" s="229"/>
      <c r="C1636" s="223"/>
      <c r="D1636" s="224"/>
      <c r="E1636" s="225"/>
      <c r="F1636" s="1036" t="str">
        <f t="shared" si="586"/>
        <v/>
      </c>
      <c r="G1636" s="1037" t="str">
        <f t="shared" si="581"/>
        <v/>
      </c>
      <c r="H1636" s="225"/>
      <c r="I1636" s="1013"/>
      <c r="J1636" s="1013"/>
      <c r="K1636" s="1028"/>
      <c r="L1636" s="1035" t="str">
        <f t="shared" si="585"/>
        <v/>
      </c>
      <c r="S1636" s="498"/>
      <c r="AJ1636" s="498"/>
      <c r="AM1636" s="498">
        <f t="shared" si="566"/>
        <v>0</v>
      </c>
      <c r="AN1636" s="498">
        <f t="shared" si="567"/>
        <v>0</v>
      </c>
      <c r="AO1636" s="498">
        <f t="shared" si="568"/>
        <v>0</v>
      </c>
      <c r="AP1636" s="498">
        <f t="shared" si="587"/>
        <v>0</v>
      </c>
      <c r="AQ1636" s="498">
        <f t="shared" si="582"/>
        <v>0</v>
      </c>
      <c r="AU1636" s="498">
        <f t="shared" si="569"/>
        <v>0</v>
      </c>
      <c r="AV1636" s="498">
        <f t="shared" si="570"/>
        <v>0</v>
      </c>
      <c r="AW1636" s="498">
        <f t="shared" si="571"/>
        <v>0</v>
      </c>
      <c r="AX1636" s="498">
        <f t="shared" si="572"/>
        <v>0</v>
      </c>
      <c r="AY1636" s="498">
        <f t="shared" si="573"/>
        <v>0</v>
      </c>
      <c r="BB1636" s="498" t="str">
        <f t="shared" si="574"/>
        <v/>
      </c>
      <c r="BC1636" s="743" t="str">
        <f t="shared" si="575"/>
        <v/>
      </c>
      <c r="BD1636" s="743" t="str">
        <f t="shared" si="576"/>
        <v/>
      </c>
      <c r="BE1636" s="743" t="str">
        <f>IF(D1636="","",VLOOKUP(D1636,'General Basis'!$J$39:$K$46,2,0))</f>
        <v/>
      </c>
      <c r="BF1636" s="744" t="str">
        <f>IF(D1636="","",VLOOKUP(D1636,'General Basis'!$J$39:$L$46,3,0))</f>
        <v/>
      </c>
      <c r="BG1636" s="744" t="str">
        <f t="shared" si="583"/>
        <v/>
      </c>
      <c r="BH1636" s="744" t="str">
        <f>IF(G1636="","",IF(BF1636="Abu Dhabi",IF(G1636&lt;18,'General Basis'!$C$39,IF(G1636&lt;41,'General Basis'!$C$40,IF(G1636&lt;60,'General Basis'!$C$41,IF(G1636&lt;65,'General Basis'!$C$42,'General Basis'!$C$43)))),IF(G1636&lt;11,'General Basis'!$B$39,IF(G1636&lt;18,'General Basis'!$B$40,IF(G1636&lt;26,'General Basis'!$B$41,IF(G1636&lt;31,'General Basis'!$B$42,IF(G1636&lt;36,'General Basis'!$B$43,IF(G1636&lt;41,'General Basis'!$B$44,IF(G1636&lt;46,'General Basis'!$B$45,IF(G1636&lt;51,'General Basis'!$B$46,IF(G1636&lt;56,'General Basis'!$B$47,IF(G1636&lt;60,'General Basis'!$B$48,IF(G1636&lt;65,'General Basis'!$B$49,'General Basis'!$B$50)))))))))))))</f>
        <v/>
      </c>
      <c r="BI1636" s="744" t="str">
        <f t="shared" si="577"/>
        <v/>
      </c>
      <c r="BJ1636" s="747" t="str">
        <f t="shared" si="584"/>
        <v/>
      </c>
      <c r="BK1636" s="498" t="str">
        <f t="shared" si="578"/>
        <v/>
      </c>
      <c r="BL1636" s="498" t="str">
        <f t="shared" si="579"/>
        <v/>
      </c>
    </row>
    <row r="1637" spans="1:64" x14ac:dyDescent="0.25">
      <c r="A1637" s="762">
        <f t="shared" si="580"/>
        <v>1632</v>
      </c>
      <c r="B1637" s="229"/>
      <c r="C1637" s="223"/>
      <c r="D1637" s="224"/>
      <c r="E1637" s="225"/>
      <c r="F1637" s="1036" t="str">
        <f t="shared" si="586"/>
        <v/>
      </c>
      <c r="G1637" s="1037" t="str">
        <f t="shared" si="581"/>
        <v/>
      </c>
      <c r="H1637" s="225"/>
      <c r="I1637" s="1013"/>
      <c r="J1637" s="1013"/>
      <c r="K1637" s="1028"/>
      <c r="L1637" s="1035" t="str">
        <f t="shared" si="585"/>
        <v/>
      </c>
      <c r="S1637" s="498"/>
      <c r="AJ1637" s="498"/>
      <c r="AM1637" s="498">
        <f t="shared" si="566"/>
        <v>0</v>
      </c>
      <c r="AN1637" s="498">
        <f t="shared" si="567"/>
        <v>0</v>
      </c>
      <c r="AO1637" s="498">
        <f t="shared" si="568"/>
        <v>0</v>
      </c>
      <c r="AP1637" s="498">
        <f t="shared" si="587"/>
        <v>0</v>
      </c>
      <c r="AQ1637" s="498">
        <f t="shared" si="582"/>
        <v>0</v>
      </c>
      <c r="AU1637" s="498">
        <f t="shared" si="569"/>
        <v>0</v>
      </c>
      <c r="AV1637" s="498">
        <f t="shared" si="570"/>
        <v>0</v>
      </c>
      <c r="AW1637" s="498">
        <f t="shared" si="571"/>
        <v>0</v>
      </c>
      <c r="AX1637" s="498">
        <f t="shared" si="572"/>
        <v>0</v>
      </c>
      <c r="AY1637" s="498">
        <f t="shared" si="573"/>
        <v>0</v>
      </c>
      <c r="BB1637" s="498" t="str">
        <f t="shared" si="574"/>
        <v/>
      </c>
      <c r="BC1637" s="743" t="str">
        <f t="shared" si="575"/>
        <v/>
      </c>
      <c r="BD1637" s="743" t="str">
        <f t="shared" si="576"/>
        <v/>
      </c>
      <c r="BE1637" s="743" t="str">
        <f>IF(D1637="","",VLOOKUP(D1637,'General Basis'!$J$39:$K$46,2,0))</f>
        <v/>
      </c>
      <c r="BF1637" s="744" t="str">
        <f>IF(D1637="","",VLOOKUP(D1637,'General Basis'!$J$39:$L$46,3,0))</f>
        <v/>
      </c>
      <c r="BG1637" s="744" t="str">
        <f t="shared" si="583"/>
        <v/>
      </c>
      <c r="BH1637" s="744" t="str">
        <f>IF(G1637="","",IF(BF1637="Abu Dhabi",IF(G1637&lt;18,'General Basis'!$C$39,IF(G1637&lt;41,'General Basis'!$C$40,IF(G1637&lt;60,'General Basis'!$C$41,IF(G1637&lt;65,'General Basis'!$C$42,'General Basis'!$C$43)))),IF(G1637&lt;11,'General Basis'!$B$39,IF(G1637&lt;18,'General Basis'!$B$40,IF(G1637&lt;26,'General Basis'!$B$41,IF(G1637&lt;31,'General Basis'!$B$42,IF(G1637&lt;36,'General Basis'!$B$43,IF(G1637&lt;41,'General Basis'!$B$44,IF(G1637&lt;46,'General Basis'!$B$45,IF(G1637&lt;51,'General Basis'!$B$46,IF(G1637&lt;56,'General Basis'!$B$47,IF(G1637&lt;60,'General Basis'!$B$48,IF(G1637&lt;65,'General Basis'!$B$49,'General Basis'!$B$50)))))))))))))</f>
        <v/>
      </c>
      <c r="BI1637" s="744" t="str">
        <f t="shared" si="577"/>
        <v/>
      </c>
      <c r="BJ1637" s="747" t="str">
        <f t="shared" si="584"/>
        <v/>
      </c>
      <c r="BK1637" s="498" t="str">
        <f t="shared" si="578"/>
        <v/>
      </c>
      <c r="BL1637" s="498" t="str">
        <f t="shared" si="579"/>
        <v/>
      </c>
    </row>
    <row r="1638" spans="1:64" x14ac:dyDescent="0.25">
      <c r="A1638" s="762">
        <f t="shared" si="580"/>
        <v>1633</v>
      </c>
      <c r="B1638" s="229"/>
      <c r="C1638" s="223"/>
      <c r="D1638" s="224"/>
      <c r="E1638" s="225"/>
      <c r="F1638" s="1036" t="str">
        <f t="shared" si="586"/>
        <v/>
      </c>
      <c r="G1638" s="1037" t="str">
        <f t="shared" si="581"/>
        <v/>
      </c>
      <c r="H1638" s="225"/>
      <c r="I1638" s="1013"/>
      <c r="J1638" s="1013"/>
      <c r="K1638" s="1028"/>
      <c r="L1638" s="1035" t="str">
        <f t="shared" si="585"/>
        <v/>
      </c>
      <c r="S1638" s="498"/>
      <c r="AJ1638" s="498"/>
      <c r="AM1638" s="498">
        <f t="shared" si="566"/>
        <v>0</v>
      </c>
      <c r="AN1638" s="498">
        <f t="shared" si="567"/>
        <v>0</v>
      </c>
      <c r="AO1638" s="498">
        <f t="shared" si="568"/>
        <v>0</v>
      </c>
      <c r="AP1638" s="498">
        <f t="shared" si="587"/>
        <v>0</v>
      </c>
      <c r="AQ1638" s="498">
        <f t="shared" si="582"/>
        <v>0</v>
      </c>
      <c r="AU1638" s="498">
        <f t="shared" si="569"/>
        <v>0</v>
      </c>
      <c r="AV1638" s="498">
        <f t="shared" si="570"/>
        <v>0</v>
      </c>
      <c r="AW1638" s="498">
        <f t="shared" si="571"/>
        <v>0</v>
      </c>
      <c r="AX1638" s="498">
        <f t="shared" si="572"/>
        <v>0</v>
      </c>
      <c r="AY1638" s="498">
        <f t="shared" si="573"/>
        <v>0</v>
      </c>
      <c r="BB1638" s="498" t="str">
        <f t="shared" si="574"/>
        <v/>
      </c>
      <c r="BC1638" s="743" t="str">
        <f t="shared" si="575"/>
        <v/>
      </c>
      <c r="BD1638" s="743" t="str">
        <f t="shared" si="576"/>
        <v/>
      </c>
      <c r="BE1638" s="743" t="str">
        <f>IF(D1638="","",VLOOKUP(D1638,'General Basis'!$J$39:$K$46,2,0))</f>
        <v/>
      </c>
      <c r="BF1638" s="744" t="str">
        <f>IF(D1638="","",VLOOKUP(D1638,'General Basis'!$J$39:$L$46,3,0))</f>
        <v/>
      </c>
      <c r="BG1638" s="744" t="str">
        <f t="shared" si="583"/>
        <v/>
      </c>
      <c r="BH1638" s="744" t="str">
        <f>IF(G1638="","",IF(BF1638="Abu Dhabi",IF(G1638&lt;18,'General Basis'!$C$39,IF(G1638&lt;41,'General Basis'!$C$40,IF(G1638&lt;60,'General Basis'!$C$41,IF(G1638&lt;65,'General Basis'!$C$42,'General Basis'!$C$43)))),IF(G1638&lt;11,'General Basis'!$B$39,IF(G1638&lt;18,'General Basis'!$B$40,IF(G1638&lt;26,'General Basis'!$B$41,IF(G1638&lt;31,'General Basis'!$B$42,IF(G1638&lt;36,'General Basis'!$B$43,IF(G1638&lt;41,'General Basis'!$B$44,IF(G1638&lt;46,'General Basis'!$B$45,IF(G1638&lt;51,'General Basis'!$B$46,IF(G1638&lt;56,'General Basis'!$B$47,IF(G1638&lt;60,'General Basis'!$B$48,IF(G1638&lt;65,'General Basis'!$B$49,'General Basis'!$B$50)))))))))))))</f>
        <v/>
      </c>
      <c r="BI1638" s="744" t="str">
        <f t="shared" si="577"/>
        <v/>
      </c>
      <c r="BJ1638" s="747" t="str">
        <f t="shared" si="584"/>
        <v/>
      </c>
      <c r="BK1638" s="498" t="str">
        <f t="shared" si="578"/>
        <v/>
      </c>
      <c r="BL1638" s="498" t="str">
        <f t="shared" si="579"/>
        <v/>
      </c>
    </row>
    <row r="1639" spans="1:64" x14ac:dyDescent="0.25">
      <c r="A1639" s="762">
        <f t="shared" si="580"/>
        <v>1634</v>
      </c>
      <c r="B1639" s="229"/>
      <c r="C1639" s="223"/>
      <c r="D1639" s="224"/>
      <c r="E1639" s="225"/>
      <c r="F1639" s="1036" t="str">
        <f t="shared" si="586"/>
        <v/>
      </c>
      <c r="G1639" s="1037" t="str">
        <f t="shared" si="581"/>
        <v/>
      </c>
      <c r="H1639" s="225"/>
      <c r="I1639" s="1013"/>
      <c r="J1639" s="1013"/>
      <c r="K1639" s="1028"/>
      <c r="L1639" s="1035" t="str">
        <f t="shared" si="585"/>
        <v/>
      </c>
      <c r="S1639" s="498"/>
      <c r="AJ1639" s="498"/>
      <c r="AM1639" s="498">
        <f t="shared" si="566"/>
        <v>0</v>
      </c>
      <c r="AN1639" s="498">
        <f t="shared" si="567"/>
        <v>0</v>
      </c>
      <c r="AO1639" s="498">
        <f t="shared" si="568"/>
        <v>0</v>
      </c>
      <c r="AP1639" s="498">
        <f t="shared" si="587"/>
        <v>0</v>
      </c>
      <c r="AQ1639" s="498">
        <f t="shared" si="582"/>
        <v>0</v>
      </c>
      <c r="AU1639" s="498">
        <f t="shared" si="569"/>
        <v>0</v>
      </c>
      <c r="AV1639" s="498">
        <f t="shared" si="570"/>
        <v>0</v>
      </c>
      <c r="AW1639" s="498">
        <f t="shared" si="571"/>
        <v>0</v>
      </c>
      <c r="AX1639" s="498">
        <f t="shared" si="572"/>
        <v>0</v>
      </c>
      <c r="AY1639" s="498">
        <f t="shared" si="573"/>
        <v>0</v>
      </c>
      <c r="BB1639" s="498" t="str">
        <f t="shared" si="574"/>
        <v/>
      </c>
      <c r="BC1639" s="743" t="str">
        <f t="shared" si="575"/>
        <v/>
      </c>
      <c r="BD1639" s="743" t="str">
        <f t="shared" si="576"/>
        <v/>
      </c>
      <c r="BE1639" s="743" t="str">
        <f>IF(D1639="","",VLOOKUP(D1639,'General Basis'!$J$39:$K$46,2,0))</f>
        <v/>
      </c>
      <c r="BF1639" s="744" t="str">
        <f>IF(D1639="","",VLOOKUP(D1639,'General Basis'!$J$39:$L$46,3,0))</f>
        <v/>
      </c>
      <c r="BG1639" s="744" t="str">
        <f t="shared" si="583"/>
        <v/>
      </c>
      <c r="BH1639" s="744" t="str">
        <f>IF(G1639="","",IF(BF1639="Abu Dhabi",IF(G1639&lt;18,'General Basis'!$C$39,IF(G1639&lt;41,'General Basis'!$C$40,IF(G1639&lt;60,'General Basis'!$C$41,IF(G1639&lt;65,'General Basis'!$C$42,'General Basis'!$C$43)))),IF(G1639&lt;11,'General Basis'!$B$39,IF(G1639&lt;18,'General Basis'!$B$40,IF(G1639&lt;26,'General Basis'!$B$41,IF(G1639&lt;31,'General Basis'!$B$42,IF(G1639&lt;36,'General Basis'!$B$43,IF(G1639&lt;41,'General Basis'!$B$44,IF(G1639&lt;46,'General Basis'!$B$45,IF(G1639&lt;51,'General Basis'!$B$46,IF(G1639&lt;56,'General Basis'!$B$47,IF(G1639&lt;60,'General Basis'!$B$48,IF(G1639&lt;65,'General Basis'!$B$49,'General Basis'!$B$50)))))))))))))</f>
        <v/>
      </c>
      <c r="BI1639" s="744" t="str">
        <f t="shared" si="577"/>
        <v/>
      </c>
      <c r="BJ1639" s="747" t="str">
        <f t="shared" si="584"/>
        <v/>
      </c>
      <c r="BK1639" s="498" t="str">
        <f t="shared" si="578"/>
        <v/>
      </c>
      <c r="BL1639" s="498" t="str">
        <f t="shared" si="579"/>
        <v/>
      </c>
    </row>
    <row r="1640" spans="1:64" x14ac:dyDescent="0.25">
      <c r="A1640" s="762">
        <f t="shared" si="580"/>
        <v>1635</v>
      </c>
      <c r="B1640" s="229"/>
      <c r="C1640" s="223"/>
      <c r="D1640" s="224"/>
      <c r="E1640" s="225"/>
      <c r="F1640" s="1036" t="str">
        <f t="shared" si="586"/>
        <v/>
      </c>
      <c r="G1640" s="1037" t="str">
        <f t="shared" si="581"/>
        <v/>
      </c>
      <c r="H1640" s="225"/>
      <c r="I1640" s="1013"/>
      <c r="J1640" s="1013"/>
      <c r="K1640" s="1028"/>
      <c r="L1640" s="1035" t="str">
        <f t="shared" si="585"/>
        <v/>
      </c>
      <c r="S1640" s="498"/>
      <c r="AJ1640" s="498"/>
      <c r="AM1640" s="498">
        <f t="shared" si="566"/>
        <v>0</v>
      </c>
      <c r="AN1640" s="498">
        <f t="shared" si="567"/>
        <v>0</v>
      </c>
      <c r="AO1640" s="498">
        <f t="shared" si="568"/>
        <v>0</v>
      </c>
      <c r="AP1640" s="498">
        <f t="shared" si="587"/>
        <v>0</v>
      </c>
      <c r="AQ1640" s="498">
        <f t="shared" si="582"/>
        <v>0</v>
      </c>
      <c r="AU1640" s="498">
        <f t="shared" si="569"/>
        <v>0</v>
      </c>
      <c r="AV1640" s="498">
        <f t="shared" si="570"/>
        <v>0</v>
      </c>
      <c r="AW1640" s="498">
        <f t="shared" si="571"/>
        <v>0</v>
      </c>
      <c r="AX1640" s="498">
        <f t="shared" si="572"/>
        <v>0</v>
      </c>
      <c r="AY1640" s="498">
        <f t="shared" si="573"/>
        <v>0</v>
      </c>
      <c r="BB1640" s="498" t="str">
        <f t="shared" si="574"/>
        <v/>
      </c>
      <c r="BC1640" s="743" t="str">
        <f t="shared" si="575"/>
        <v/>
      </c>
      <c r="BD1640" s="743" t="str">
        <f t="shared" si="576"/>
        <v/>
      </c>
      <c r="BE1640" s="743" t="str">
        <f>IF(D1640="","",VLOOKUP(D1640,'General Basis'!$J$39:$K$46,2,0))</f>
        <v/>
      </c>
      <c r="BF1640" s="744" t="str">
        <f>IF(D1640="","",VLOOKUP(D1640,'General Basis'!$J$39:$L$46,3,0))</f>
        <v/>
      </c>
      <c r="BG1640" s="744" t="str">
        <f t="shared" si="583"/>
        <v/>
      </c>
      <c r="BH1640" s="744" t="str">
        <f>IF(G1640="","",IF(BF1640="Abu Dhabi",IF(G1640&lt;18,'General Basis'!$C$39,IF(G1640&lt;41,'General Basis'!$C$40,IF(G1640&lt;60,'General Basis'!$C$41,IF(G1640&lt;65,'General Basis'!$C$42,'General Basis'!$C$43)))),IF(G1640&lt;11,'General Basis'!$B$39,IF(G1640&lt;18,'General Basis'!$B$40,IF(G1640&lt;26,'General Basis'!$B$41,IF(G1640&lt;31,'General Basis'!$B$42,IF(G1640&lt;36,'General Basis'!$B$43,IF(G1640&lt;41,'General Basis'!$B$44,IF(G1640&lt;46,'General Basis'!$B$45,IF(G1640&lt;51,'General Basis'!$B$46,IF(G1640&lt;56,'General Basis'!$B$47,IF(G1640&lt;60,'General Basis'!$B$48,IF(G1640&lt;65,'General Basis'!$B$49,'General Basis'!$B$50)))))))))))))</f>
        <v/>
      </c>
      <c r="BI1640" s="744" t="str">
        <f t="shared" si="577"/>
        <v/>
      </c>
      <c r="BJ1640" s="747" t="str">
        <f t="shared" si="584"/>
        <v/>
      </c>
      <c r="BK1640" s="498" t="str">
        <f t="shared" si="578"/>
        <v/>
      </c>
      <c r="BL1640" s="498" t="str">
        <f t="shared" si="579"/>
        <v/>
      </c>
    </row>
    <row r="1641" spans="1:64" x14ac:dyDescent="0.25">
      <c r="A1641" s="762">
        <f t="shared" si="580"/>
        <v>1636</v>
      </c>
      <c r="B1641" s="229"/>
      <c r="C1641" s="223"/>
      <c r="D1641" s="224"/>
      <c r="E1641" s="225"/>
      <c r="F1641" s="1036" t="str">
        <f t="shared" si="586"/>
        <v/>
      </c>
      <c r="G1641" s="1037" t="str">
        <f t="shared" si="581"/>
        <v/>
      </c>
      <c r="H1641" s="225"/>
      <c r="I1641" s="1013"/>
      <c r="J1641" s="1013"/>
      <c r="K1641" s="1028"/>
      <c r="L1641" s="1035" t="str">
        <f t="shared" si="585"/>
        <v/>
      </c>
      <c r="S1641" s="498"/>
      <c r="AJ1641" s="498"/>
      <c r="AM1641" s="498">
        <f t="shared" si="566"/>
        <v>0</v>
      </c>
      <c r="AN1641" s="498">
        <f t="shared" si="567"/>
        <v>0</v>
      </c>
      <c r="AO1641" s="498">
        <f t="shared" si="568"/>
        <v>0</v>
      </c>
      <c r="AP1641" s="498">
        <f t="shared" si="587"/>
        <v>0</v>
      </c>
      <c r="AQ1641" s="498">
        <f t="shared" si="582"/>
        <v>0</v>
      </c>
      <c r="AU1641" s="498">
        <f t="shared" si="569"/>
        <v>0</v>
      </c>
      <c r="AV1641" s="498">
        <f t="shared" si="570"/>
        <v>0</v>
      </c>
      <c r="AW1641" s="498">
        <f t="shared" si="571"/>
        <v>0</v>
      </c>
      <c r="AX1641" s="498">
        <f t="shared" si="572"/>
        <v>0</v>
      </c>
      <c r="AY1641" s="498">
        <f t="shared" si="573"/>
        <v>0</v>
      </c>
      <c r="BB1641" s="498" t="str">
        <f t="shared" si="574"/>
        <v/>
      </c>
      <c r="BC1641" s="743" t="str">
        <f t="shared" si="575"/>
        <v/>
      </c>
      <c r="BD1641" s="743" t="str">
        <f t="shared" si="576"/>
        <v/>
      </c>
      <c r="BE1641" s="743" t="str">
        <f>IF(D1641="","",VLOOKUP(D1641,'General Basis'!$J$39:$K$46,2,0))</f>
        <v/>
      </c>
      <c r="BF1641" s="744" t="str">
        <f>IF(D1641="","",VLOOKUP(D1641,'General Basis'!$J$39:$L$46,3,0))</f>
        <v/>
      </c>
      <c r="BG1641" s="744" t="str">
        <f t="shared" si="583"/>
        <v/>
      </c>
      <c r="BH1641" s="744" t="str">
        <f>IF(G1641="","",IF(BF1641="Abu Dhabi",IF(G1641&lt;18,'General Basis'!$C$39,IF(G1641&lt;41,'General Basis'!$C$40,IF(G1641&lt;60,'General Basis'!$C$41,IF(G1641&lt;65,'General Basis'!$C$42,'General Basis'!$C$43)))),IF(G1641&lt;11,'General Basis'!$B$39,IF(G1641&lt;18,'General Basis'!$B$40,IF(G1641&lt;26,'General Basis'!$B$41,IF(G1641&lt;31,'General Basis'!$B$42,IF(G1641&lt;36,'General Basis'!$B$43,IF(G1641&lt;41,'General Basis'!$B$44,IF(G1641&lt;46,'General Basis'!$B$45,IF(G1641&lt;51,'General Basis'!$B$46,IF(G1641&lt;56,'General Basis'!$B$47,IF(G1641&lt;60,'General Basis'!$B$48,IF(G1641&lt;65,'General Basis'!$B$49,'General Basis'!$B$50)))))))))))))</f>
        <v/>
      </c>
      <c r="BI1641" s="744" t="str">
        <f t="shared" si="577"/>
        <v/>
      </c>
      <c r="BJ1641" s="747" t="str">
        <f t="shared" si="584"/>
        <v/>
      </c>
      <c r="BK1641" s="498" t="str">
        <f t="shared" si="578"/>
        <v/>
      </c>
      <c r="BL1641" s="498" t="str">
        <f t="shared" si="579"/>
        <v/>
      </c>
    </row>
    <row r="1642" spans="1:64" x14ac:dyDescent="0.25">
      <c r="A1642" s="762">
        <f t="shared" si="580"/>
        <v>1637</v>
      </c>
      <c r="B1642" s="229"/>
      <c r="C1642" s="223"/>
      <c r="D1642" s="224"/>
      <c r="E1642" s="225"/>
      <c r="F1642" s="1036" t="str">
        <f t="shared" si="586"/>
        <v/>
      </c>
      <c r="G1642" s="1037" t="str">
        <f t="shared" si="581"/>
        <v/>
      </c>
      <c r="H1642" s="225"/>
      <c r="I1642" s="1013"/>
      <c r="J1642" s="1013"/>
      <c r="K1642" s="1028"/>
      <c r="L1642" s="1035" t="str">
        <f t="shared" si="585"/>
        <v/>
      </c>
      <c r="S1642" s="498"/>
      <c r="AJ1642" s="498"/>
      <c r="AM1642" s="498">
        <f t="shared" si="566"/>
        <v>0</v>
      </c>
      <c r="AN1642" s="498">
        <f t="shared" si="567"/>
        <v>0</v>
      </c>
      <c r="AO1642" s="498">
        <f t="shared" si="568"/>
        <v>0</v>
      </c>
      <c r="AP1642" s="498">
        <f t="shared" si="587"/>
        <v>0</v>
      </c>
      <c r="AQ1642" s="498">
        <f t="shared" si="582"/>
        <v>0</v>
      </c>
      <c r="AU1642" s="498">
        <f t="shared" si="569"/>
        <v>0</v>
      </c>
      <c r="AV1642" s="498">
        <f t="shared" si="570"/>
        <v>0</v>
      </c>
      <c r="AW1642" s="498">
        <f t="shared" si="571"/>
        <v>0</v>
      </c>
      <c r="AX1642" s="498">
        <f t="shared" si="572"/>
        <v>0</v>
      </c>
      <c r="AY1642" s="498">
        <f t="shared" si="573"/>
        <v>0</v>
      </c>
      <c r="BB1642" s="498" t="str">
        <f t="shared" si="574"/>
        <v/>
      </c>
      <c r="BC1642" s="743" t="str">
        <f t="shared" si="575"/>
        <v/>
      </c>
      <c r="BD1642" s="743" t="str">
        <f t="shared" si="576"/>
        <v/>
      </c>
      <c r="BE1642" s="743" t="str">
        <f>IF(D1642="","",VLOOKUP(D1642,'General Basis'!$J$39:$K$46,2,0))</f>
        <v/>
      </c>
      <c r="BF1642" s="744" t="str">
        <f>IF(D1642="","",VLOOKUP(D1642,'General Basis'!$J$39:$L$46,3,0))</f>
        <v/>
      </c>
      <c r="BG1642" s="744" t="str">
        <f t="shared" si="583"/>
        <v/>
      </c>
      <c r="BH1642" s="744" t="str">
        <f>IF(G1642="","",IF(BF1642="Abu Dhabi",IF(G1642&lt;18,'General Basis'!$C$39,IF(G1642&lt;41,'General Basis'!$C$40,IF(G1642&lt;60,'General Basis'!$C$41,IF(G1642&lt;65,'General Basis'!$C$42,'General Basis'!$C$43)))),IF(G1642&lt;11,'General Basis'!$B$39,IF(G1642&lt;18,'General Basis'!$B$40,IF(G1642&lt;26,'General Basis'!$B$41,IF(G1642&lt;31,'General Basis'!$B$42,IF(G1642&lt;36,'General Basis'!$B$43,IF(G1642&lt;41,'General Basis'!$B$44,IF(G1642&lt;46,'General Basis'!$B$45,IF(G1642&lt;51,'General Basis'!$B$46,IF(G1642&lt;56,'General Basis'!$B$47,IF(G1642&lt;60,'General Basis'!$B$48,IF(G1642&lt;65,'General Basis'!$B$49,'General Basis'!$B$50)))))))))))))</f>
        <v/>
      </c>
      <c r="BI1642" s="744" t="str">
        <f t="shared" si="577"/>
        <v/>
      </c>
      <c r="BJ1642" s="747" t="str">
        <f t="shared" si="584"/>
        <v/>
      </c>
      <c r="BK1642" s="498" t="str">
        <f t="shared" si="578"/>
        <v/>
      </c>
      <c r="BL1642" s="498" t="str">
        <f t="shared" si="579"/>
        <v/>
      </c>
    </row>
    <row r="1643" spans="1:64" x14ac:dyDescent="0.25">
      <c r="A1643" s="762">
        <f t="shared" si="580"/>
        <v>1638</v>
      </c>
      <c r="B1643" s="229"/>
      <c r="C1643" s="223"/>
      <c r="D1643" s="224"/>
      <c r="E1643" s="225"/>
      <c r="F1643" s="1036" t="str">
        <f t="shared" si="586"/>
        <v/>
      </c>
      <c r="G1643" s="1037" t="str">
        <f t="shared" si="581"/>
        <v/>
      </c>
      <c r="H1643" s="225"/>
      <c r="I1643" s="1013"/>
      <c r="J1643" s="1013"/>
      <c r="K1643" s="1028"/>
      <c r="L1643" s="1035" t="str">
        <f t="shared" si="585"/>
        <v/>
      </c>
      <c r="S1643" s="498"/>
      <c r="AJ1643" s="498"/>
      <c r="AM1643" s="498">
        <f t="shared" si="566"/>
        <v>0</v>
      </c>
      <c r="AN1643" s="498">
        <f t="shared" si="567"/>
        <v>0</v>
      </c>
      <c r="AO1643" s="498">
        <f t="shared" si="568"/>
        <v>0</v>
      </c>
      <c r="AP1643" s="498">
        <f t="shared" si="587"/>
        <v>0</v>
      </c>
      <c r="AQ1643" s="498">
        <f t="shared" si="582"/>
        <v>0</v>
      </c>
      <c r="AU1643" s="498">
        <f t="shared" si="569"/>
        <v>0</v>
      </c>
      <c r="AV1643" s="498">
        <f t="shared" si="570"/>
        <v>0</v>
      </c>
      <c r="AW1643" s="498">
        <f t="shared" si="571"/>
        <v>0</v>
      </c>
      <c r="AX1643" s="498">
        <f t="shared" si="572"/>
        <v>0</v>
      </c>
      <c r="AY1643" s="498">
        <f t="shared" si="573"/>
        <v>0</v>
      </c>
      <c r="BB1643" s="498" t="str">
        <f t="shared" si="574"/>
        <v/>
      </c>
      <c r="BC1643" s="743" t="str">
        <f t="shared" si="575"/>
        <v/>
      </c>
      <c r="BD1643" s="743" t="str">
        <f t="shared" si="576"/>
        <v/>
      </c>
      <c r="BE1643" s="743" t="str">
        <f>IF(D1643="","",VLOOKUP(D1643,'General Basis'!$J$39:$K$46,2,0))</f>
        <v/>
      </c>
      <c r="BF1643" s="744" t="str">
        <f>IF(D1643="","",VLOOKUP(D1643,'General Basis'!$J$39:$L$46,3,0))</f>
        <v/>
      </c>
      <c r="BG1643" s="744" t="str">
        <f t="shared" si="583"/>
        <v/>
      </c>
      <c r="BH1643" s="744" t="str">
        <f>IF(G1643="","",IF(BF1643="Abu Dhabi",IF(G1643&lt;18,'General Basis'!$C$39,IF(G1643&lt;41,'General Basis'!$C$40,IF(G1643&lt;60,'General Basis'!$C$41,IF(G1643&lt;65,'General Basis'!$C$42,'General Basis'!$C$43)))),IF(G1643&lt;11,'General Basis'!$B$39,IF(G1643&lt;18,'General Basis'!$B$40,IF(G1643&lt;26,'General Basis'!$B$41,IF(G1643&lt;31,'General Basis'!$B$42,IF(G1643&lt;36,'General Basis'!$B$43,IF(G1643&lt;41,'General Basis'!$B$44,IF(G1643&lt;46,'General Basis'!$B$45,IF(G1643&lt;51,'General Basis'!$B$46,IF(G1643&lt;56,'General Basis'!$B$47,IF(G1643&lt;60,'General Basis'!$B$48,IF(G1643&lt;65,'General Basis'!$B$49,'General Basis'!$B$50)))))))))))))</f>
        <v/>
      </c>
      <c r="BI1643" s="744" t="str">
        <f t="shared" si="577"/>
        <v/>
      </c>
      <c r="BJ1643" s="747" t="str">
        <f t="shared" si="584"/>
        <v/>
      </c>
      <c r="BK1643" s="498" t="str">
        <f t="shared" si="578"/>
        <v/>
      </c>
      <c r="BL1643" s="498" t="str">
        <f t="shared" si="579"/>
        <v/>
      </c>
    </row>
    <row r="1644" spans="1:64" x14ac:dyDescent="0.25">
      <c r="A1644" s="762">
        <f t="shared" si="580"/>
        <v>1639</v>
      </c>
      <c r="B1644" s="229"/>
      <c r="C1644" s="223"/>
      <c r="D1644" s="224"/>
      <c r="E1644" s="225"/>
      <c r="F1644" s="1036" t="str">
        <f t="shared" si="586"/>
        <v/>
      </c>
      <c r="G1644" s="1037" t="str">
        <f t="shared" si="581"/>
        <v/>
      </c>
      <c r="H1644" s="225"/>
      <c r="I1644" s="1013"/>
      <c r="J1644" s="1013"/>
      <c r="K1644" s="1028"/>
      <c r="L1644" s="1035" t="str">
        <f t="shared" si="585"/>
        <v/>
      </c>
      <c r="S1644" s="498"/>
      <c r="AJ1644" s="498"/>
      <c r="AM1644" s="498">
        <f t="shared" si="566"/>
        <v>0</v>
      </c>
      <c r="AN1644" s="498">
        <f t="shared" si="567"/>
        <v>0</v>
      </c>
      <c r="AO1644" s="498">
        <f t="shared" si="568"/>
        <v>0</v>
      </c>
      <c r="AP1644" s="498">
        <f t="shared" si="587"/>
        <v>0</v>
      </c>
      <c r="AQ1644" s="498">
        <f t="shared" si="582"/>
        <v>0</v>
      </c>
      <c r="AU1644" s="498">
        <f t="shared" si="569"/>
        <v>0</v>
      </c>
      <c r="AV1644" s="498">
        <f t="shared" si="570"/>
        <v>0</v>
      </c>
      <c r="AW1644" s="498">
        <f t="shared" si="571"/>
        <v>0</v>
      </c>
      <c r="AX1644" s="498">
        <f t="shared" si="572"/>
        <v>0</v>
      </c>
      <c r="AY1644" s="498">
        <f t="shared" si="573"/>
        <v>0</v>
      </c>
      <c r="BB1644" s="498" t="str">
        <f t="shared" si="574"/>
        <v/>
      </c>
      <c r="BC1644" s="743" t="str">
        <f t="shared" si="575"/>
        <v/>
      </c>
      <c r="BD1644" s="743" t="str">
        <f t="shared" si="576"/>
        <v/>
      </c>
      <c r="BE1644" s="743" t="str">
        <f>IF(D1644="","",VLOOKUP(D1644,'General Basis'!$J$39:$K$46,2,0))</f>
        <v/>
      </c>
      <c r="BF1644" s="744" t="str">
        <f>IF(D1644="","",VLOOKUP(D1644,'General Basis'!$J$39:$L$46,3,0))</f>
        <v/>
      </c>
      <c r="BG1644" s="744" t="str">
        <f t="shared" si="583"/>
        <v/>
      </c>
      <c r="BH1644" s="744" t="str">
        <f>IF(G1644="","",IF(BF1644="Abu Dhabi",IF(G1644&lt;18,'General Basis'!$C$39,IF(G1644&lt;41,'General Basis'!$C$40,IF(G1644&lt;60,'General Basis'!$C$41,IF(G1644&lt;65,'General Basis'!$C$42,'General Basis'!$C$43)))),IF(G1644&lt;11,'General Basis'!$B$39,IF(G1644&lt;18,'General Basis'!$B$40,IF(G1644&lt;26,'General Basis'!$B$41,IF(G1644&lt;31,'General Basis'!$B$42,IF(G1644&lt;36,'General Basis'!$B$43,IF(G1644&lt;41,'General Basis'!$B$44,IF(G1644&lt;46,'General Basis'!$B$45,IF(G1644&lt;51,'General Basis'!$B$46,IF(G1644&lt;56,'General Basis'!$B$47,IF(G1644&lt;60,'General Basis'!$B$48,IF(G1644&lt;65,'General Basis'!$B$49,'General Basis'!$B$50)))))))))))))</f>
        <v/>
      </c>
      <c r="BI1644" s="744" t="str">
        <f t="shared" si="577"/>
        <v/>
      </c>
      <c r="BJ1644" s="747" t="str">
        <f t="shared" si="584"/>
        <v/>
      </c>
      <c r="BK1644" s="498" t="str">
        <f t="shared" si="578"/>
        <v/>
      </c>
      <c r="BL1644" s="498" t="str">
        <f t="shared" si="579"/>
        <v/>
      </c>
    </row>
    <row r="1645" spans="1:64" x14ac:dyDescent="0.25">
      <c r="A1645" s="762">
        <f t="shared" si="580"/>
        <v>1640</v>
      </c>
      <c r="B1645" s="229"/>
      <c r="C1645" s="223"/>
      <c r="D1645" s="224"/>
      <c r="E1645" s="225"/>
      <c r="F1645" s="1036" t="str">
        <f t="shared" si="586"/>
        <v/>
      </c>
      <c r="G1645" s="1037" t="str">
        <f t="shared" si="581"/>
        <v/>
      </c>
      <c r="H1645" s="225"/>
      <c r="I1645" s="1013"/>
      <c r="J1645" s="1013"/>
      <c r="K1645" s="1028"/>
      <c r="L1645" s="1035" t="str">
        <f t="shared" si="585"/>
        <v/>
      </c>
      <c r="S1645" s="498"/>
      <c r="AJ1645" s="498"/>
      <c r="AM1645" s="498">
        <f t="shared" si="566"/>
        <v>0</v>
      </c>
      <c r="AN1645" s="498">
        <f t="shared" si="567"/>
        <v>0</v>
      </c>
      <c r="AO1645" s="498">
        <f t="shared" si="568"/>
        <v>0</v>
      </c>
      <c r="AP1645" s="498">
        <f t="shared" si="587"/>
        <v>0</v>
      </c>
      <c r="AQ1645" s="498">
        <f t="shared" si="582"/>
        <v>0</v>
      </c>
      <c r="AU1645" s="498">
        <f t="shared" si="569"/>
        <v>0</v>
      </c>
      <c r="AV1645" s="498">
        <f t="shared" si="570"/>
        <v>0</v>
      </c>
      <c r="AW1645" s="498">
        <f t="shared" si="571"/>
        <v>0</v>
      </c>
      <c r="AX1645" s="498">
        <f t="shared" si="572"/>
        <v>0</v>
      </c>
      <c r="AY1645" s="498">
        <f t="shared" si="573"/>
        <v>0</v>
      </c>
      <c r="BB1645" s="498" t="str">
        <f t="shared" si="574"/>
        <v/>
      </c>
      <c r="BC1645" s="743" t="str">
        <f t="shared" si="575"/>
        <v/>
      </c>
      <c r="BD1645" s="743" t="str">
        <f t="shared" si="576"/>
        <v/>
      </c>
      <c r="BE1645" s="743" t="str">
        <f>IF(D1645="","",VLOOKUP(D1645,'General Basis'!$J$39:$K$46,2,0))</f>
        <v/>
      </c>
      <c r="BF1645" s="744" t="str">
        <f>IF(D1645="","",VLOOKUP(D1645,'General Basis'!$J$39:$L$46,3,0))</f>
        <v/>
      </c>
      <c r="BG1645" s="744" t="str">
        <f t="shared" si="583"/>
        <v/>
      </c>
      <c r="BH1645" s="744" t="str">
        <f>IF(G1645="","",IF(BF1645="Abu Dhabi",IF(G1645&lt;18,'General Basis'!$C$39,IF(G1645&lt;41,'General Basis'!$C$40,IF(G1645&lt;60,'General Basis'!$C$41,IF(G1645&lt;65,'General Basis'!$C$42,'General Basis'!$C$43)))),IF(G1645&lt;11,'General Basis'!$B$39,IF(G1645&lt;18,'General Basis'!$B$40,IF(G1645&lt;26,'General Basis'!$B$41,IF(G1645&lt;31,'General Basis'!$B$42,IF(G1645&lt;36,'General Basis'!$B$43,IF(G1645&lt;41,'General Basis'!$B$44,IF(G1645&lt;46,'General Basis'!$B$45,IF(G1645&lt;51,'General Basis'!$B$46,IF(G1645&lt;56,'General Basis'!$B$47,IF(G1645&lt;60,'General Basis'!$B$48,IF(G1645&lt;65,'General Basis'!$B$49,'General Basis'!$B$50)))))))))))))</f>
        <v/>
      </c>
      <c r="BI1645" s="744" t="str">
        <f t="shared" si="577"/>
        <v/>
      </c>
      <c r="BJ1645" s="747" t="str">
        <f t="shared" si="584"/>
        <v/>
      </c>
      <c r="BK1645" s="498" t="str">
        <f t="shared" si="578"/>
        <v/>
      </c>
      <c r="BL1645" s="498" t="str">
        <f t="shared" si="579"/>
        <v/>
      </c>
    </row>
    <row r="1646" spans="1:64" x14ac:dyDescent="0.25">
      <c r="A1646" s="762">
        <f t="shared" si="580"/>
        <v>1641</v>
      </c>
      <c r="B1646" s="229"/>
      <c r="C1646" s="223"/>
      <c r="D1646" s="224"/>
      <c r="E1646" s="225"/>
      <c r="F1646" s="1036" t="str">
        <f t="shared" si="586"/>
        <v/>
      </c>
      <c r="G1646" s="1037" t="str">
        <f t="shared" si="581"/>
        <v/>
      </c>
      <c r="H1646" s="225"/>
      <c r="I1646" s="1013"/>
      <c r="J1646" s="1013"/>
      <c r="K1646" s="1028"/>
      <c r="L1646" s="1035" t="str">
        <f t="shared" si="585"/>
        <v/>
      </c>
      <c r="S1646" s="498"/>
      <c r="AJ1646" s="498"/>
      <c r="AM1646" s="498">
        <f t="shared" si="566"/>
        <v>0</v>
      </c>
      <c r="AN1646" s="498">
        <f t="shared" si="567"/>
        <v>0</v>
      </c>
      <c r="AO1646" s="498">
        <f t="shared" si="568"/>
        <v>0</v>
      </c>
      <c r="AP1646" s="498">
        <f t="shared" si="587"/>
        <v>0</v>
      </c>
      <c r="AQ1646" s="498">
        <f t="shared" si="582"/>
        <v>0</v>
      </c>
      <c r="AU1646" s="498">
        <f t="shared" si="569"/>
        <v>0</v>
      </c>
      <c r="AV1646" s="498">
        <f t="shared" si="570"/>
        <v>0</v>
      </c>
      <c r="AW1646" s="498">
        <f t="shared" si="571"/>
        <v>0</v>
      </c>
      <c r="AX1646" s="498">
        <f t="shared" si="572"/>
        <v>0</v>
      </c>
      <c r="AY1646" s="498">
        <f t="shared" si="573"/>
        <v>0</v>
      </c>
      <c r="BB1646" s="498" t="str">
        <f t="shared" si="574"/>
        <v/>
      </c>
      <c r="BC1646" s="743" t="str">
        <f t="shared" si="575"/>
        <v/>
      </c>
      <c r="BD1646" s="743" t="str">
        <f t="shared" si="576"/>
        <v/>
      </c>
      <c r="BE1646" s="743" t="str">
        <f>IF(D1646="","",VLOOKUP(D1646,'General Basis'!$J$39:$K$46,2,0))</f>
        <v/>
      </c>
      <c r="BF1646" s="744" t="str">
        <f>IF(D1646="","",VLOOKUP(D1646,'General Basis'!$J$39:$L$46,3,0))</f>
        <v/>
      </c>
      <c r="BG1646" s="744" t="str">
        <f t="shared" si="583"/>
        <v/>
      </c>
      <c r="BH1646" s="744" t="str">
        <f>IF(G1646="","",IF(BF1646="Abu Dhabi",IF(G1646&lt;18,'General Basis'!$C$39,IF(G1646&lt;41,'General Basis'!$C$40,IF(G1646&lt;60,'General Basis'!$C$41,IF(G1646&lt;65,'General Basis'!$C$42,'General Basis'!$C$43)))),IF(G1646&lt;11,'General Basis'!$B$39,IF(G1646&lt;18,'General Basis'!$B$40,IF(G1646&lt;26,'General Basis'!$B$41,IF(G1646&lt;31,'General Basis'!$B$42,IF(G1646&lt;36,'General Basis'!$B$43,IF(G1646&lt;41,'General Basis'!$B$44,IF(G1646&lt;46,'General Basis'!$B$45,IF(G1646&lt;51,'General Basis'!$B$46,IF(G1646&lt;56,'General Basis'!$B$47,IF(G1646&lt;60,'General Basis'!$B$48,IF(G1646&lt;65,'General Basis'!$B$49,'General Basis'!$B$50)))))))))))))</f>
        <v/>
      </c>
      <c r="BI1646" s="744" t="str">
        <f t="shared" si="577"/>
        <v/>
      </c>
      <c r="BJ1646" s="747" t="str">
        <f t="shared" si="584"/>
        <v/>
      </c>
      <c r="BK1646" s="498" t="str">
        <f t="shared" si="578"/>
        <v/>
      </c>
      <c r="BL1646" s="498" t="str">
        <f t="shared" si="579"/>
        <v/>
      </c>
    </row>
    <row r="1647" spans="1:64" x14ac:dyDescent="0.25">
      <c r="A1647" s="762">
        <f t="shared" si="580"/>
        <v>1642</v>
      </c>
      <c r="B1647" s="229"/>
      <c r="C1647" s="223"/>
      <c r="D1647" s="224"/>
      <c r="E1647" s="225"/>
      <c r="F1647" s="1036" t="str">
        <f t="shared" si="586"/>
        <v/>
      </c>
      <c r="G1647" s="1037" t="str">
        <f t="shared" si="581"/>
        <v/>
      </c>
      <c r="H1647" s="225"/>
      <c r="I1647" s="1013"/>
      <c r="J1647" s="1013"/>
      <c r="K1647" s="1028"/>
      <c r="L1647" s="1035" t="str">
        <f t="shared" si="585"/>
        <v/>
      </c>
      <c r="S1647" s="498"/>
      <c r="AJ1647" s="498"/>
      <c r="AM1647" s="498">
        <f t="shared" si="566"/>
        <v>0</v>
      </c>
      <c r="AN1647" s="498">
        <f t="shared" si="567"/>
        <v>0</v>
      </c>
      <c r="AO1647" s="498">
        <f t="shared" si="568"/>
        <v>0</v>
      </c>
      <c r="AP1647" s="498">
        <f t="shared" si="587"/>
        <v>0</v>
      </c>
      <c r="AQ1647" s="498">
        <f t="shared" si="582"/>
        <v>0</v>
      </c>
      <c r="AU1647" s="498">
        <f t="shared" si="569"/>
        <v>0</v>
      </c>
      <c r="AV1647" s="498">
        <f t="shared" si="570"/>
        <v>0</v>
      </c>
      <c r="AW1647" s="498">
        <f t="shared" si="571"/>
        <v>0</v>
      </c>
      <c r="AX1647" s="498">
        <f t="shared" si="572"/>
        <v>0</v>
      </c>
      <c r="AY1647" s="498">
        <f t="shared" si="573"/>
        <v>0</v>
      </c>
      <c r="BB1647" s="498" t="str">
        <f t="shared" si="574"/>
        <v/>
      </c>
      <c r="BC1647" s="743" t="str">
        <f t="shared" si="575"/>
        <v/>
      </c>
      <c r="BD1647" s="743" t="str">
        <f t="shared" si="576"/>
        <v/>
      </c>
      <c r="BE1647" s="743" t="str">
        <f>IF(D1647="","",VLOOKUP(D1647,'General Basis'!$J$39:$K$46,2,0))</f>
        <v/>
      </c>
      <c r="BF1647" s="744" t="str">
        <f>IF(D1647="","",VLOOKUP(D1647,'General Basis'!$J$39:$L$46,3,0))</f>
        <v/>
      </c>
      <c r="BG1647" s="744" t="str">
        <f t="shared" si="583"/>
        <v/>
      </c>
      <c r="BH1647" s="744" t="str">
        <f>IF(G1647="","",IF(BF1647="Abu Dhabi",IF(G1647&lt;18,'General Basis'!$C$39,IF(G1647&lt;41,'General Basis'!$C$40,IF(G1647&lt;60,'General Basis'!$C$41,IF(G1647&lt;65,'General Basis'!$C$42,'General Basis'!$C$43)))),IF(G1647&lt;11,'General Basis'!$B$39,IF(G1647&lt;18,'General Basis'!$B$40,IF(G1647&lt;26,'General Basis'!$B$41,IF(G1647&lt;31,'General Basis'!$B$42,IF(G1647&lt;36,'General Basis'!$B$43,IF(G1647&lt;41,'General Basis'!$B$44,IF(G1647&lt;46,'General Basis'!$B$45,IF(G1647&lt;51,'General Basis'!$B$46,IF(G1647&lt;56,'General Basis'!$B$47,IF(G1647&lt;60,'General Basis'!$B$48,IF(G1647&lt;65,'General Basis'!$B$49,'General Basis'!$B$50)))))))))))))</f>
        <v/>
      </c>
      <c r="BI1647" s="744" t="str">
        <f t="shared" si="577"/>
        <v/>
      </c>
      <c r="BJ1647" s="747" t="str">
        <f t="shared" si="584"/>
        <v/>
      </c>
      <c r="BK1647" s="498" t="str">
        <f t="shared" si="578"/>
        <v/>
      </c>
      <c r="BL1647" s="498" t="str">
        <f t="shared" si="579"/>
        <v/>
      </c>
    </row>
    <row r="1648" spans="1:64" x14ac:dyDescent="0.25">
      <c r="A1648" s="762">
        <f t="shared" si="580"/>
        <v>1643</v>
      </c>
      <c r="B1648" s="229"/>
      <c r="C1648" s="223"/>
      <c r="D1648" s="224"/>
      <c r="E1648" s="225"/>
      <c r="F1648" s="1036" t="str">
        <f t="shared" si="586"/>
        <v/>
      </c>
      <c r="G1648" s="1037" t="str">
        <f t="shared" si="581"/>
        <v/>
      </c>
      <c r="H1648" s="225"/>
      <c r="I1648" s="1013"/>
      <c r="J1648" s="1013"/>
      <c r="K1648" s="1028"/>
      <c r="L1648" s="1035" t="str">
        <f t="shared" si="585"/>
        <v/>
      </c>
      <c r="S1648" s="498"/>
      <c r="AJ1648" s="498"/>
      <c r="AM1648" s="498">
        <f t="shared" si="566"/>
        <v>0</v>
      </c>
      <c r="AN1648" s="498">
        <f t="shared" si="567"/>
        <v>0</v>
      </c>
      <c r="AO1648" s="498">
        <f t="shared" si="568"/>
        <v>0</v>
      </c>
      <c r="AP1648" s="498">
        <f t="shared" si="587"/>
        <v>0</v>
      </c>
      <c r="AQ1648" s="498">
        <f t="shared" si="582"/>
        <v>0</v>
      </c>
      <c r="AU1648" s="498">
        <f t="shared" si="569"/>
        <v>0</v>
      </c>
      <c r="AV1648" s="498">
        <f t="shared" si="570"/>
        <v>0</v>
      </c>
      <c r="AW1648" s="498">
        <f t="shared" si="571"/>
        <v>0</v>
      </c>
      <c r="AX1648" s="498">
        <f t="shared" si="572"/>
        <v>0</v>
      </c>
      <c r="AY1648" s="498">
        <f t="shared" si="573"/>
        <v>0</v>
      </c>
      <c r="BB1648" s="498" t="str">
        <f t="shared" si="574"/>
        <v/>
      </c>
      <c r="BC1648" s="743" t="str">
        <f t="shared" si="575"/>
        <v/>
      </c>
      <c r="BD1648" s="743" t="str">
        <f t="shared" si="576"/>
        <v/>
      </c>
      <c r="BE1648" s="743" t="str">
        <f>IF(D1648="","",VLOOKUP(D1648,'General Basis'!$J$39:$K$46,2,0))</f>
        <v/>
      </c>
      <c r="BF1648" s="744" t="str">
        <f>IF(D1648="","",VLOOKUP(D1648,'General Basis'!$J$39:$L$46,3,0))</f>
        <v/>
      </c>
      <c r="BG1648" s="744" t="str">
        <f t="shared" si="583"/>
        <v/>
      </c>
      <c r="BH1648" s="744" t="str">
        <f>IF(G1648="","",IF(BF1648="Abu Dhabi",IF(G1648&lt;18,'General Basis'!$C$39,IF(G1648&lt;41,'General Basis'!$C$40,IF(G1648&lt;60,'General Basis'!$C$41,IF(G1648&lt;65,'General Basis'!$C$42,'General Basis'!$C$43)))),IF(G1648&lt;11,'General Basis'!$B$39,IF(G1648&lt;18,'General Basis'!$B$40,IF(G1648&lt;26,'General Basis'!$B$41,IF(G1648&lt;31,'General Basis'!$B$42,IF(G1648&lt;36,'General Basis'!$B$43,IF(G1648&lt;41,'General Basis'!$B$44,IF(G1648&lt;46,'General Basis'!$B$45,IF(G1648&lt;51,'General Basis'!$B$46,IF(G1648&lt;56,'General Basis'!$B$47,IF(G1648&lt;60,'General Basis'!$B$48,IF(G1648&lt;65,'General Basis'!$B$49,'General Basis'!$B$50)))))))))))))</f>
        <v/>
      </c>
      <c r="BI1648" s="744" t="str">
        <f t="shared" si="577"/>
        <v/>
      </c>
      <c r="BJ1648" s="747" t="str">
        <f t="shared" si="584"/>
        <v/>
      </c>
      <c r="BK1648" s="498" t="str">
        <f t="shared" si="578"/>
        <v/>
      </c>
      <c r="BL1648" s="498" t="str">
        <f t="shared" si="579"/>
        <v/>
      </c>
    </row>
    <row r="1649" spans="1:64" x14ac:dyDescent="0.25">
      <c r="A1649" s="762">
        <f t="shared" si="580"/>
        <v>1644</v>
      </c>
      <c r="B1649" s="229"/>
      <c r="C1649" s="223"/>
      <c r="D1649" s="224"/>
      <c r="E1649" s="225"/>
      <c r="F1649" s="1036" t="str">
        <f t="shared" si="586"/>
        <v/>
      </c>
      <c r="G1649" s="1037" t="str">
        <f t="shared" si="581"/>
        <v/>
      </c>
      <c r="H1649" s="225"/>
      <c r="I1649" s="1013"/>
      <c r="J1649" s="1013"/>
      <c r="K1649" s="1028"/>
      <c r="L1649" s="1035" t="str">
        <f t="shared" si="585"/>
        <v/>
      </c>
      <c r="S1649" s="498"/>
      <c r="AJ1649" s="498"/>
      <c r="AM1649" s="498">
        <f t="shared" si="566"/>
        <v>0</v>
      </c>
      <c r="AN1649" s="498">
        <f t="shared" si="567"/>
        <v>0</v>
      </c>
      <c r="AO1649" s="498">
        <f t="shared" si="568"/>
        <v>0</v>
      </c>
      <c r="AP1649" s="498">
        <f t="shared" si="587"/>
        <v>0</v>
      </c>
      <c r="AQ1649" s="498">
        <f t="shared" si="582"/>
        <v>0</v>
      </c>
      <c r="AU1649" s="498">
        <f t="shared" si="569"/>
        <v>0</v>
      </c>
      <c r="AV1649" s="498">
        <f t="shared" si="570"/>
        <v>0</v>
      </c>
      <c r="AW1649" s="498">
        <f t="shared" si="571"/>
        <v>0</v>
      </c>
      <c r="AX1649" s="498">
        <f t="shared" si="572"/>
        <v>0</v>
      </c>
      <c r="AY1649" s="498">
        <f t="shared" si="573"/>
        <v>0</v>
      </c>
      <c r="BB1649" s="498" t="str">
        <f t="shared" si="574"/>
        <v/>
      </c>
      <c r="BC1649" s="743" t="str">
        <f t="shared" si="575"/>
        <v/>
      </c>
      <c r="BD1649" s="743" t="str">
        <f t="shared" si="576"/>
        <v/>
      </c>
      <c r="BE1649" s="743" t="str">
        <f>IF(D1649="","",VLOOKUP(D1649,'General Basis'!$J$39:$K$46,2,0))</f>
        <v/>
      </c>
      <c r="BF1649" s="744" t="str">
        <f>IF(D1649="","",VLOOKUP(D1649,'General Basis'!$J$39:$L$46,3,0))</f>
        <v/>
      </c>
      <c r="BG1649" s="744" t="str">
        <f t="shared" si="583"/>
        <v/>
      </c>
      <c r="BH1649" s="744" t="str">
        <f>IF(G1649="","",IF(BF1649="Abu Dhabi",IF(G1649&lt;18,'General Basis'!$C$39,IF(G1649&lt;41,'General Basis'!$C$40,IF(G1649&lt;60,'General Basis'!$C$41,IF(G1649&lt;65,'General Basis'!$C$42,'General Basis'!$C$43)))),IF(G1649&lt;11,'General Basis'!$B$39,IF(G1649&lt;18,'General Basis'!$B$40,IF(G1649&lt;26,'General Basis'!$B$41,IF(G1649&lt;31,'General Basis'!$B$42,IF(G1649&lt;36,'General Basis'!$B$43,IF(G1649&lt;41,'General Basis'!$B$44,IF(G1649&lt;46,'General Basis'!$B$45,IF(G1649&lt;51,'General Basis'!$B$46,IF(G1649&lt;56,'General Basis'!$B$47,IF(G1649&lt;60,'General Basis'!$B$48,IF(G1649&lt;65,'General Basis'!$B$49,'General Basis'!$B$50)))))))))))))</f>
        <v/>
      </c>
      <c r="BI1649" s="744" t="str">
        <f t="shared" si="577"/>
        <v/>
      </c>
      <c r="BJ1649" s="747" t="str">
        <f t="shared" si="584"/>
        <v/>
      </c>
      <c r="BK1649" s="498" t="str">
        <f t="shared" si="578"/>
        <v/>
      </c>
      <c r="BL1649" s="498" t="str">
        <f t="shared" si="579"/>
        <v/>
      </c>
    </row>
    <row r="1650" spans="1:64" x14ac:dyDescent="0.25">
      <c r="A1650" s="762">
        <f t="shared" si="580"/>
        <v>1645</v>
      </c>
      <c r="B1650" s="229"/>
      <c r="C1650" s="223"/>
      <c r="D1650" s="224"/>
      <c r="E1650" s="225"/>
      <c r="F1650" s="1036" t="str">
        <f t="shared" si="586"/>
        <v/>
      </c>
      <c r="G1650" s="1037" t="str">
        <f t="shared" si="581"/>
        <v/>
      </c>
      <c r="H1650" s="225"/>
      <c r="I1650" s="1013"/>
      <c r="J1650" s="1013"/>
      <c r="K1650" s="1028"/>
      <c r="L1650" s="1035" t="str">
        <f t="shared" si="585"/>
        <v/>
      </c>
      <c r="S1650" s="498"/>
      <c r="AJ1650" s="498"/>
      <c r="AM1650" s="498">
        <f t="shared" si="566"/>
        <v>0</v>
      </c>
      <c r="AN1650" s="498">
        <f t="shared" si="567"/>
        <v>0</v>
      </c>
      <c r="AO1650" s="498">
        <f t="shared" si="568"/>
        <v>0</v>
      </c>
      <c r="AP1650" s="498">
        <f t="shared" si="587"/>
        <v>0</v>
      </c>
      <c r="AQ1650" s="498">
        <f t="shared" si="582"/>
        <v>0</v>
      </c>
      <c r="AU1650" s="498">
        <f t="shared" si="569"/>
        <v>0</v>
      </c>
      <c r="AV1650" s="498">
        <f t="shared" si="570"/>
        <v>0</v>
      </c>
      <c r="AW1650" s="498">
        <f t="shared" si="571"/>
        <v>0</v>
      </c>
      <c r="AX1650" s="498">
        <f t="shared" si="572"/>
        <v>0</v>
      </c>
      <c r="AY1650" s="498">
        <f t="shared" si="573"/>
        <v>0</v>
      </c>
      <c r="BB1650" s="498" t="str">
        <f t="shared" si="574"/>
        <v/>
      </c>
      <c r="BC1650" s="743" t="str">
        <f t="shared" si="575"/>
        <v/>
      </c>
      <c r="BD1650" s="743" t="str">
        <f t="shared" si="576"/>
        <v/>
      </c>
      <c r="BE1650" s="743" t="str">
        <f>IF(D1650="","",VLOOKUP(D1650,'General Basis'!$J$39:$K$46,2,0))</f>
        <v/>
      </c>
      <c r="BF1650" s="744" t="str">
        <f>IF(D1650="","",VLOOKUP(D1650,'General Basis'!$J$39:$L$46,3,0))</f>
        <v/>
      </c>
      <c r="BG1650" s="744" t="str">
        <f t="shared" si="583"/>
        <v/>
      </c>
      <c r="BH1650" s="744" t="str">
        <f>IF(G1650="","",IF(BF1650="Abu Dhabi",IF(G1650&lt;18,'General Basis'!$C$39,IF(G1650&lt;41,'General Basis'!$C$40,IF(G1650&lt;60,'General Basis'!$C$41,IF(G1650&lt;65,'General Basis'!$C$42,'General Basis'!$C$43)))),IF(G1650&lt;11,'General Basis'!$B$39,IF(G1650&lt;18,'General Basis'!$B$40,IF(G1650&lt;26,'General Basis'!$B$41,IF(G1650&lt;31,'General Basis'!$B$42,IF(G1650&lt;36,'General Basis'!$B$43,IF(G1650&lt;41,'General Basis'!$B$44,IF(G1650&lt;46,'General Basis'!$B$45,IF(G1650&lt;51,'General Basis'!$B$46,IF(G1650&lt;56,'General Basis'!$B$47,IF(G1650&lt;60,'General Basis'!$B$48,IF(G1650&lt;65,'General Basis'!$B$49,'General Basis'!$B$50)))))))))))))</f>
        <v/>
      </c>
      <c r="BI1650" s="744" t="str">
        <f t="shared" si="577"/>
        <v/>
      </c>
      <c r="BJ1650" s="747" t="str">
        <f t="shared" si="584"/>
        <v/>
      </c>
      <c r="BK1650" s="498" t="str">
        <f t="shared" si="578"/>
        <v/>
      </c>
      <c r="BL1650" s="498" t="str">
        <f t="shared" si="579"/>
        <v/>
      </c>
    </row>
    <row r="1651" spans="1:64" x14ac:dyDescent="0.25">
      <c r="A1651" s="762">
        <f t="shared" si="580"/>
        <v>1646</v>
      </c>
      <c r="B1651" s="229"/>
      <c r="C1651" s="223"/>
      <c r="D1651" s="224"/>
      <c r="E1651" s="225"/>
      <c r="F1651" s="1036" t="str">
        <f t="shared" si="586"/>
        <v/>
      </c>
      <c r="G1651" s="1037" t="str">
        <f t="shared" si="581"/>
        <v/>
      </c>
      <c r="H1651" s="225"/>
      <c r="I1651" s="1013"/>
      <c r="J1651" s="1013"/>
      <c r="K1651" s="1028"/>
      <c r="L1651" s="1035" t="str">
        <f t="shared" si="585"/>
        <v/>
      </c>
      <c r="S1651" s="498"/>
      <c r="AJ1651" s="498"/>
      <c r="AM1651" s="498">
        <f t="shared" si="566"/>
        <v>0</v>
      </c>
      <c r="AN1651" s="498">
        <f t="shared" si="567"/>
        <v>0</v>
      </c>
      <c r="AO1651" s="498">
        <f t="shared" si="568"/>
        <v>0</v>
      </c>
      <c r="AP1651" s="498">
        <f t="shared" si="587"/>
        <v>0</v>
      </c>
      <c r="AQ1651" s="498">
        <f t="shared" si="582"/>
        <v>0</v>
      </c>
      <c r="AU1651" s="498">
        <f t="shared" si="569"/>
        <v>0</v>
      </c>
      <c r="AV1651" s="498">
        <f t="shared" si="570"/>
        <v>0</v>
      </c>
      <c r="AW1651" s="498">
        <f t="shared" si="571"/>
        <v>0</v>
      </c>
      <c r="AX1651" s="498">
        <f t="shared" si="572"/>
        <v>0</v>
      </c>
      <c r="AY1651" s="498">
        <f t="shared" si="573"/>
        <v>0</v>
      </c>
      <c r="BB1651" s="498" t="str">
        <f t="shared" si="574"/>
        <v/>
      </c>
      <c r="BC1651" s="743" t="str">
        <f t="shared" si="575"/>
        <v/>
      </c>
      <c r="BD1651" s="743" t="str">
        <f t="shared" si="576"/>
        <v/>
      </c>
      <c r="BE1651" s="743" t="str">
        <f>IF(D1651="","",VLOOKUP(D1651,'General Basis'!$J$39:$K$46,2,0))</f>
        <v/>
      </c>
      <c r="BF1651" s="744" t="str">
        <f>IF(D1651="","",VLOOKUP(D1651,'General Basis'!$J$39:$L$46,3,0))</f>
        <v/>
      </c>
      <c r="BG1651" s="744" t="str">
        <f t="shared" si="583"/>
        <v/>
      </c>
      <c r="BH1651" s="744" t="str">
        <f>IF(G1651="","",IF(BF1651="Abu Dhabi",IF(G1651&lt;18,'General Basis'!$C$39,IF(G1651&lt;41,'General Basis'!$C$40,IF(G1651&lt;60,'General Basis'!$C$41,IF(G1651&lt;65,'General Basis'!$C$42,'General Basis'!$C$43)))),IF(G1651&lt;11,'General Basis'!$B$39,IF(G1651&lt;18,'General Basis'!$B$40,IF(G1651&lt;26,'General Basis'!$B$41,IF(G1651&lt;31,'General Basis'!$B$42,IF(G1651&lt;36,'General Basis'!$B$43,IF(G1651&lt;41,'General Basis'!$B$44,IF(G1651&lt;46,'General Basis'!$B$45,IF(G1651&lt;51,'General Basis'!$B$46,IF(G1651&lt;56,'General Basis'!$B$47,IF(G1651&lt;60,'General Basis'!$B$48,IF(G1651&lt;65,'General Basis'!$B$49,'General Basis'!$B$50)))))))))))))</f>
        <v/>
      </c>
      <c r="BI1651" s="744" t="str">
        <f t="shared" si="577"/>
        <v/>
      </c>
      <c r="BJ1651" s="747" t="str">
        <f t="shared" si="584"/>
        <v/>
      </c>
      <c r="BK1651" s="498" t="str">
        <f t="shared" si="578"/>
        <v/>
      </c>
      <c r="BL1651" s="498" t="str">
        <f t="shared" si="579"/>
        <v/>
      </c>
    </row>
    <row r="1652" spans="1:64" x14ac:dyDescent="0.25">
      <c r="A1652" s="762">
        <f t="shared" si="580"/>
        <v>1647</v>
      </c>
      <c r="B1652" s="229"/>
      <c r="C1652" s="223"/>
      <c r="D1652" s="224"/>
      <c r="E1652" s="225"/>
      <c r="F1652" s="1036" t="str">
        <f t="shared" si="586"/>
        <v/>
      </c>
      <c r="G1652" s="1037" t="str">
        <f t="shared" si="581"/>
        <v/>
      </c>
      <c r="H1652" s="225"/>
      <c r="I1652" s="1013"/>
      <c r="J1652" s="1013"/>
      <c r="K1652" s="1028"/>
      <c r="L1652" s="1035" t="str">
        <f t="shared" si="585"/>
        <v/>
      </c>
      <c r="S1652" s="498"/>
      <c r="AJ1652" s="498"/>
      <c r="AM1652" s="498">
        <f t="shared" si="566"/>
        <v>0</v>
      </c>
      <c r="AN1652" s="498">
        <f t="shared" si="567"/>
        <v>0</v>
      </c>
      <c r="AO1652" s="498">
        <f t="shared" si="568"/>
        <v>0</v>
      </c>
      <c r="AP1652" s="498">
        <f t="shared" si="587"/>
        <v>0</v>
      </c>
      <c r="AQ1652" s="498">
        <f t="shared" si="582"/>
        <v>0</v>
      </c>
      <c r="AU1652" s="498">
        <f t="shared" si="569"/>
        <v>0</v>
      </c>
      <c r="AV1652" s="498">
        <f t="shared" si="570"/>
        <v>0</v>
      </c>
      <c r="AW1652" s="498">
        <f t="shared" si="571"/>
        <v>0</v>
      </c>
      <c r="AX1652" s="498">
        <f t="shared" si="572"/>
        <v>0</v>
      </c>
      <c r="AY1652" s="498">
        <f t="shared" si="573"/>
        <v>0</v>
      </c>
      <c r="BB1652" s="498" t="str">
        <f t="shared" si="574"/>
        <v/>
      </c>
      <c r="BC1652" s="743" t="str">
        <f t="shared" si="575"/>
        <v/>
      </c>
      <c r="BD1652" s="743" t="str">
        <f t="shared" si="576"/>
        <v/>
      </c>
      <c r="BE1652" s="743" t="str">
        <f>IF(D1652="","",VLOOKUP(D1652,'General Basis'!$J$39:$K$46,2,0))</f>
        <v/>
      </c>
      <c r="BF1652" s="744" t="str">
        <f>IF(D1652="","",VLOOKUP(D1652,'General Basis'!$J$39:$L$46,3,0))</f>
        <v/>
      </c>
      <c r="BG1652" s="744" t="str">
        <f t="shared" si="583"/>
        <v/>
      </c>
      <c r="BH1652" s="744" t="str">
        <f>IF(G1652="","",IF(BF1652="Abu Dhabi",IF(G1652&lt;18,'General Basis'!$C$39,IF(G1652&lt;41,'General Basis'!$C$40,IF(G1652&lt;60,'General Basis'!$C$41,IF(G1652&lt;65,'General Basis'!$C$42,'General Basis'!$C$43)))),IF(G1652&lt;11,'General Basis'!$B$39,IF(G1652&lt;18,'General Basis'!$B$40,IF(G1652&lt;26,'General Basis'!$B$41,IF(G1652&lt;31,'General Basis'!$B$42,IF(G1652&lt;36,'General Basis'!$B$43,IF(G1652&lt;41,'General Basis'!$B$44,IF(G1652&lt;46,'General Basis'!$B$45,IF(G1652&lt;51,'General Basis'!$B$46,IF(G1652&lt;56,'General Basis'!$B$47,IF(G1652&lt;60,'General Basis'!$B$48,IF(G1652&lt;65,'General Basis'!$B$49,'General Basis'!$B$50)))))))))))))</f>
        <v/>
      </c>
      <c r="BI1652" s="744" t="str">
        <f t="shared" si="577"/>
        <v/>
      </c>
      <c r="BJ1652" s="747" t="str">
        <f t="shared" si="584"/>
        <v/>
      </c>
      <c r="BK1652" s="498" t="str">
        <f t="shared" si="578"/>
        <v/>
      </c>
      <c r="BL1652" s="498" t="str">
        <f t="shared" si="579"/>
        <v/>
      </c>
    </row>
    <row r="1653" spans="1:64" x14ac:dyDescent="0.25">
      <c r="A1653" s="762">
        <f t="shared" si="580"/>
        <v>1648</v>
      </c>
      <c r="B1653" s="229"/>
      <c r="C1653" s="223"/>
      <c r="D1653" s="224"/>
      <c r="E1653" s="225"/>
      <c r="F1653" s="1036" t="str">
        <f t="shared" si="586"/>
        <v/>
      </c>
      <c r="G1653" s="1037" t="str">
        <f t="shared" si="581"/>
        <v/>
      </c>
      <c r="H1653" s="225"/>
      <c r="I1653" s="1013"/>
      <c r="J1653" s="1013"/>
      <c r="K1653" s="1028"/>
      <c r="L1653" s="1035" t="str">
        <f t="shared" si="585"/>
        <v/>
      </c>
      <c r="S1653" s="498"/>
      <c r="AJ1653" s="498"/>
      <c r="AM1653" s="498">
        <f t="shared" si="566"/>
        <v>0</v>
      </c>
      <c r="AN1653" s="498">
        <f t="shared" si="567"/>
        <v>0</v>
      </c>
      <c r="AO1653" s="498">
        <f t="shared" si="568"/>
        <v>0</v>
      </c>
      <c r="AP1653" s="498">
        <f t="shared" si="587"/>
        <v>0</v>
      </c>
      <c r="AQ1653" s="498">
        <f t="shared" si="582"/>
        <v>0</v>
      </c>
      <c r="AU1653" s="498">
        <f t="shared" si="569"/>
        <v>0</v>
      </c>
      <c r="AV1653" s="498">
        <f t="shared" si="570"/>
        <v>0</v>
      </c>
      <c r="AW1653" s="498">
        <f t="shared" si="571"/>
        <v>0</v>
      </c>
      <c r="AX1653" s="498">
        <f t="shared" si="572"/>
        <v>0</v>
      </c>
      <c r="AY1653" s="498">
        <f t="shared" si="573"/>
        <v>0</v>
      </c>
      <c r="BB1653" s="498" t="str">
        <f t="shared" si="574"/>
        <v/>
      </c>
      <c r="BC1653" s="743" t="str">
        <f t="shared" si="575"/>
        <v/>
      </c>
      <c r="BD1653" s="743" t="str">
        <f t="shared" si="576"/>
        <v/>
      </c>
      <c r="BE1653" s="743" t="str">
        <f>IF(D1653="","",VLOOKUP(D1653,'General Basis'!$J$39:$K$46,2,0))</f>
        <v/>
      </c>
      <c r="BF1653" s="744" t="str">
        <f>IF(D1653="","",VLOOKUP(D1653,'General Basis'!$J$39:$L$46,3,0))</f>
        <v/>
      </c>
      <c r="BG1653" s="744" t="str">
        <f t="shared" si="583"/>
        <v/>
      </c>
      <c r="BH1653" s="744" t="str">
        <f>IF(G1653="","",IF(BF1653="Abu Dhabi",IF(G1653&lt;18,'General Basis'!$C$39,IF(G1653&lt;41,'General Basis'!$C$40,IF(G1653&lt;60,'General Basis'!$C$41,IF(G1653&lt;65,'General Basis'!$C$42,'General Basis'!$C$43)))),IF(G1653&lt;11,'General Basis'!$B$39,IF(G1653&lt;18,'General Basis'!$B$40,IF(G1653&lt;26,'General Basis'!$B$41,IF(G1653&lt;31,'General Basis'!$B$42,IF(G1653&lt;36,'General Basis'!$B$43,IF(G1653&lt;41,'General Basis'!$B$44,IF(G1653&lt;46,'General Basis'!$B$45,IF(G1653&lt;51,'General Basis'!$B$46,IF(G1653&lt;56,'General Basis'!$B$47,IF(G1653&lt;60,'General Basis'!$B$48,IF(G1653&lt;65,'General Basis'!$B$49,'General Basis'!$B$50)))))))))))))</f>
        <v/>
      </c>
      <c r="BI1653" s="744" t="str">
        <f t="shared" si="577"/>
        <v/>
      </c>
      <c r="BJ1653" s="747" t="str">
        <f t="shared" si="584"/>
        <v/>
      </c>
      <c r="BK1653" s="498" t="str">
        <f t="shared" si="578"/>
        <v/>
      </c>
      <c r="BL1653" s="498" t="str">
        <f t="shared" si="579"/>
        <v/>
      </c>
    </row>
    <row r="1654" spans="1:64" x14ac:dyDescent="0.25">
      <c r="A1654" s="762">
        <f t="shared" si="580"/>
        <v>1649</v>
      </c>
      <c r="B1654" s="229"/>
      <c r="C1654" s="223"/>
      <c r="D1654" s="224"/>
      <c r="E1654" s="225"/>
      <c r="F1654" s="1036" t="str">
        <f t="shared" si="586"/>
        <v/>
      </c>
      <c r="G1654" s="1037" t="str">
        <f t="shared" si="581"/>
        <v/>
      </c>
      <c r="H1654" s="225"/>
      <c r="I1654" s="1013"/>
      <c r="J1654" s="1013"/>
      <c r="K1654" s="1028"/>
      <c r="L1654" s="1035" t="str">
        <f t="shared" si="585"/>
        <v/>
      </c>
      <c r="S1654" s="498"/>
      <c r="AJ1654" s="498"/>
      <c r="AM1654" s="498">
        <f t="shared" si="566"/>
        <v>0</v>
      </c>
      <c r="AN1654" s="498">
        <f t="shared" si="567"/>
        <v>0</v>
      </c>
      <c r="AO1654" s="498">
        <f t="shared" si="568"/>
        <v>0</v>
      </c>
      <c r="AP1654" s="498">
        <f t="shared" si="587"/>
        <v>0</v>
      </c>
      <c r="AQ1654" s="498">
        <f t="shared" si="582"/>
        <v>0</v>
      </c>
      <c r="AU1654" s="498">
        <f t="shared" si="569"/>
        <v>0</v>
      </c>
      <c r="AV1654" s="498">
        <f t="shared" si="570"/>
        <v>0</v>
      </c>
      <c r="AW1654" s="498">
        <f t="shared" si="571"/>
        <v>0</v>
      </c>
      <c r="AX1654" s="498">
        <f t="shared" si="572"/>
        <v>0</v>
      </c>
      <c r="AY1654" s="498">
        <f t="shared" si="573"/>
        <v>0</v>
      </c>
      <c r="BB1654" s="498" t="str">
        <f t="shared" si="574"/>
        <v/>
      </c>
      <c r="BC1654" s="743" t="str">
        <f t="shared" si="575"/>
        <v/>
      </c>
      <c r="BD1654" s="743" t="str">
        <f t="shared" si="576"/>
        <v/>
      </c>
      <c r="BE1654" s="743" t="str">
        <f>IF(D1654="","",VLOOKUP(D1654,'General Basis'!$J$39:$K$46,2,0))</f>
        <v/>
      </c>
      <c r="BF1654" s="744" t="str">
        <f>IF(D1654="","",VLOOKUP(D1654,'General Basis'!$J$39:$L$46,3,0))</f>
        <v/>
      </c>
      <c r="BG1654" s="744" t="str">
        <f t="shared" si="583"/>
        <v/>
      </c>
      <c r="BH1654" s="744" t="str">
        <f>IF(G1654="","",IF(BF1654="Abu Dhabi",IF(G1654&lt;18,'General Basis'!$C$39,IF(G1654&lt;41,'General Basis'!$C$40,IF(G1654&lt;60,'General Basis'!$C$41,IF(G1654&lt;65,'General Basis'!$C$42,'General Basis'!$C$43)))),IF(G1654&lt;11,'General Basis'!$B$39,IF(G1654&lt;18,'General Basis'!$B$40,IF(G1654&lt;26,'General Basis'!$B$41,IF(G1654&lt;31,'General Basis'!$B$42,IF(G1654&lt;36,'General Basis'!$B$43,IF(G1654&lt;41,'General Basis'!$B$44,IF(G1654&lt;46,'General Basis'!$B$45,IF(G1654&lt;51,'General Basis'!$B$46,IF(G1654&lt;56,'General Basis'!$B$47,IF(G1654&lt;60,'General Basis'!$B$48,IF(G1654&lt;65,'General Basis'!$B$49,'General Basis'!$B$50)))))))))))))</f>
        <v/>
      </c>
      <c r="BI1654" s="744" t="str">
        <f t="shared" si="577"/>
        <v/>
      </c>
      <c r="BJ1654" s="747" t="str">
        <f t="shared" si="584"/>
        <v/>
      </c>
      <c r="BK1654" s="498" t="str">
        <f t="shared" si="578"/>
        <v/>
      </c>
      <c r="BL1654" s="498" t="str">
        <f t="shared" si="579"/>
        <v/>
      </c>
    </row>
    <row r="1655" spans="1:64" x14ac:dyDescent="0.25">
      <c r="A1655" s="762">
        <f t="shared" si="580"/>
        <v>1650</v>
      </c>
      <c r="B1655" s="229"/>
      <c r="C1655" s="223"/>
      <c r="D1655" s="224"/>
      <c r="E1655" s="225"/>
      <c r="F1655" s="1036" t="str">
        <f t="shared" si="586"/>
        <v/>
      </c>
      <c r="G1655" s="1037" t="str">
        <f t="shared" si="581"/>
        <v/>
      </c>
      <c r="H1655" s="225"/>
      <c r="I1655" s="1013"/>
      <c r="J1655" s="1013"/>
      <c r="K1655" s="1028"/>
      <c r="L1655" s="1035" t="str">
        <f t="shared" si="585"/>
        <v/>
      </c>
      <c r="S1655" s="498"/>
      <c r="AJ1655" s="498"/>
      <c r="AM1655" s="498">
        <f t="shared" si="566"/>
        <v>0</v>
      </c>
      <c r="AN1655" s="498">
        <f t="shared" si="567"/>
        <v>0</v>
      </c>
      <c r="AO1655" s="498">
        <f t="shared" si="568"/>
        <v>0</v>
      </c>
      <c r="AP1655" s="498">
        <f t="shared" si="587"/>
        <v>0</v>
      </c>
      <c r="AQ1655" s="498">
        <f t="shared" si="582"/>
        <v>0</v>
      </c>
      <c r="AU1655" s="498">
        <f t="shared" si="569"/>
        <v>0</v>
      </c>
      <c r="AV1655" s="498">
        <f t="shared" si="570"/>
        <v>0</v>
      </c>
      <c r="AW1655" s="498">
        <f t="shared" si="571"/>
        <v>0</v>
      </c>
      <c r="AX1655" s="498">
        <f t="shared" si="572"/>
        <v>0</v>
      </c>
      <c r="AY1655" s="498">
        <f t="shared" si="573"/>
        <v>0</v>
      </c>
      <c r="BB1655" s="498" t="str">
        <f t="shared" si="574"/>
        <v/>
      </c>
      <c r="BC1655" s="743" t="str">
        <f t="shared" si="575"/>
        <v/>
      </c>
      <c r="BD1655" s="743" t="str">
        <f t="shared" si="576"/>
        <v/>
      </c>
      <c r="BE1655" s="743" t="str">
        <f>IF(D1655="","",VLOOKUP(D1655,'General Basis'!$J$39:$K$46,2,0))</f>
        <v/>
      </c>
      <c r="BF1655" s="744" t="str">
        <f>IF(D1655="","",VLOOKUP(D1655,'General Basis'!$J$39:$L$46,3,0))</f>
        <v/>
      </c>
      <c r="BG1655" s="744" t="str">
        <f t="shared" si="583"/>
        <v/>
      </c>
      <c r="BH1655" s="744" t="str">
        <f>IF(G1655="","",IF(BF1655="Abu Dhabi",IF(G1655&lt;18,'General Basis'!$C$39,IF(G1655&lt;41,'General Basis'!$C$40,IF(G1655&lt;60,'General Basis'!$C$41,IF(G1655&lt;65,'General Basis'!$C$42,'General Basis'!$C$43)))),IF(G1655&lt;11,'General Basis'!$B$39,IF(G1655&lt;18,'General Basis'!$B$40,IF(G1655&lt;26,'General Basis'!$B$41,IF(G1655&lt;31,'General Basis'!$B$42,IF(G1655&lt;36,'General Basis'!$B$43,IF(G1655&lt;41,'General Basis'!$B$44,IF(G1655&lt;46,'General Basis'!$B$45,IF(G1655&lt;51,'General Basis'!$B$46,IF(G1655&lt;56,'General Basis'!$B$47,IF(G1655&lt;60,'General Basis'!$B$48,IF(G1655&lt;65,'General Basis'!$B$49,'General Basis'!$B$50)))))))))))))</f>
        <v/>
      </c>
      <c r="BI1655" s="744" t="str">
        <f t="shared" si="577"/>
        <v/>
      </c>
      <c r="BJ1655" s="747" t="str">
        <f t="shared" si="584"/>
        <v/>
      </c>
      <c r="BK1655" s="498" t="str">
        <f t="shared" si="578"/>
        <v/>
      </c>
      <c r="BL1655" s="498" t="str">
        <f t="shared" si="579"/>
        <v/>
      </c>
    </row>
    <row r="1656" spans="1:64" x14ac:dyDescent="0.25">
      <c r="A1656" s="762">
        <f t="shared" si="580"/>
        <v>1651</v>
      </c>
      <c r="B1656" s="229"/>
      <c r="C1656" s="223"/>
      <c r="D1656" s="224"/>
      <c r="E1656" s="225"/>
      <c r="F1656" s="1036" t="str">
        <f t="shared" si="586"/>
        <v/>
      </c>
      <c r="G1656" s="1037" t="str">
        <f t="shared" si="581"/>
        <v/>
      </c>
      <c r="H1656" s="225"/>
      <c r="I1656" s="1013"/>
      <c r="J1656" s="1013"/>
      <c r="K1656" s="1028"/>
      <c r="L1656" s="1035" t="str">
        <f t="shared" si="585"/>
        <v/>
      </c>
      <c r="S1656" s="498"/>
      <c r="AJ1656" s="498"/>
      <c r="AM1656" s="498">
        <f t="shared" si="566"/>
        <v>0</v>
      </c>
      <c r="AN1656" s="498">
        <f t="shared" si="567"/>
        <v>0</v>
      </c>
      <c r="AO1656" s="498">
        <f t="shared" si="568"/>
        <v>0</v>
      </c>
      <c r="AP1656" s="498">
        <f t="shared" si="587"/>
        <v>0</v>
      </c>
      <c r="AQ1656" s="498">
        <f t="shared" si="582"/>
        <v>0</v>
      </c>
      <c r="AU1656" s="498">
        <f t="shared" si="569"/>
        <v>0</v>
      </c>
      <c r="AV1656" s="498">
        <f t="shared" si="570"/>
        <v>0</v>
      </c>
      <c r="AW1656" s="498">
        <f t="shared" si="571"/>
        <v>0</v>
      </c>
      <c r="AX1656" s="498">
        <f t="shared" si="572"/>
        <v>0</v>
      </c>
      <c r="AY1656" s="498">
        <f t="shared" si="573"/>
        <v>0</v>
      </c>
      <c r="BB1656" s="498" t="str">
        <f t="shared" si="574"/>
        <v/>
      </c>
      <c r="BC1656" s="743" t="str">
        <f t="shared" si="575"/>
        <v/>
      </c>
      <c r="BD1656" s="743" t="str">
        <f t="shared" si="576"/>
        <v/>
      </c>
      <c r="BE1656" s="743" t="str">
        <f>IF(D1656="","",VLOOKUP(D1656,'General Basis'!$J$39:$K$46,2,0))</f>
        <v/>
      </c>
      <c r="BF1656" s="744" t="str">
        <f>IF(D1656="","",VLOOKUP(D1656,'General Basis'!$J$39:$L$46,3,0))</f>
        <v/>
      </c>
      <c r="BG1656" s="744" t="str">
        <f t="shared" si="583"/>
        <v/>
      </c>
      <c r="BH1656" s="744" t="str">
        <f>IF(G1656="","",IF(BF1656="Abu Dhabi",IF(G1656&lt;18,'General Basis'!$C$39,IF(G1656&lt;41,'General Basis'!$C$40,IF(G1656&lt;60,'General Basis'!$C$41,IF(G1656&lt;65,'General Basis'!$C$42,'General Basis'!$C$43)))),IF(G1656&lt;11,'General Basis'!$B$39,IF(G1656&lt;18,'General Basis'!$B$40,IF(G1656&lt;26,'General Basis'!$B$41,IF(G1656&lt;31,'General Basis'!$B$42,IF(G1656&lt;36,'General Basis'!$B$43,IF(G1656&lt;41,'General Basis'!$B$44,IF(G1656&lt;46,'General Basis'!$B$45,IF(G1656&lt;51,'General Basis'!$B$46,IF(G1656&lt;56,'General Basis'!$B$47,IF(G1656&lt;60,'General Basis'!$B$48,IF(G1656&lt;65,'General Basis'!$B$49,'General Basis'!$B$50)))))))))))))</f>
        <v/>
      </c>
      <c r="BI1656" s="744" t="str">
        <f t="shared" si="577"/>
        <v/>
      </c>
      <c r="BJ1656" s="747" t="str">
        <f t="shared" si="584"/>
        <v/>
      </c>
      <c r="BK1656" s="498" t="str">
        <f t="shared" si="578"/>
        <v/>
      </c>
      <c r="BL1656" s="498" t="str">
        <f t="shared" si="579"/>
        <v/>
      </c>
    </row>
    <row r="1657" spans="1:64" x14ac:dyDescent="0.25">
      <c r="A1657" s="762">
        <f t="shared" si="580"/>
        <v>1652</v>
      </c>
      <c r="B1657" s="229"/>
      <c r="C1657" s="223"/>
      <c r="D1657" s="224"/>
      <c r="E1657" s="225"/>
      <c r="F1657" s="1036" t="str">
        <f t="shared" si="586"/>
        <v/>
      </c>
      <c r="G1657" s="1037" t="str">
        <f t="shared" si="581"/>
        <v/>
      </c>
      <c r="H1657" s="225"/>
      <c r="I1657" s="1013"/>
      <c r="J1657" s="1013"/>
      <c r="K1657" s="1028"/>
      <c r="L1657" s="1035" t="str">
        <f t="shared" si="585"/>
        <v/>
      </c>
      <c r="S1657" s="498"/>
      <c r="AJ1657" s="498"/>
      <c r="AM1657" s="498">
        <f t="shared" si="566"/>
        <v>0</v>
      </c>
      <c r="AN1657" s="498">
        <f t="shared" si="567"/>
        <v>0</v>
      </c>
      <c r="AO1657" s="498">
        <f t="shared" si="568"/>
        <v>0</v>
      </c>
      <c r="AP1657" s="498">
        <f t="shared" si="587"/>
        <v>0</v>
      </c>
      <c r="AQ1657" s="498">
        <f t="shared" si="582"/>
        <v>0</v>
      </c>
      <c r="AU1657" s="498">
        <f t="shared" si="569"/>
        <v>0</v>
      </c>
      <c r="AV1657" s="498">
        <f t="shared" si="570"/>
        <v>0</v>
      </c>
      <c r="AW1657" s="498">
        <f t="shared" si="571"/>
        <v>0</v>
      </c>
      <c r="AX1657" s="498">
        <f t="shared" si="572"/>
        <v>0</v>
      </c>
      <c r="AY1657" s="498">
        <f t="shared" si="573"/>
        <v>0</v>
      </c>
      <c r="BB1657" s="498" t="str">
        <f t="shared" si="574"/>
        <v/>
      </c>
      <c r="BC1657" s="743" t="str">
        <f t="shared" si="575"/>
        <v/>
      </c>
      <c r="BD1657" s="743" t="str">
        <f t="shared" si="576"/>
        <v/>
      </c>
      <c r="BE1657" s="743" t="str">
        <f>IF(D1657="","",VLOOKUP(D1657,'General Basis'!$J$39:$K$46,2,0))</f>
        <v/>
      </c>
      <c r="BF1657" s="744" t="str">
        <f>IF(D1657="","",VLOOKUP(D1657,'General Basis'!$J$39:$L$46,3,0))</f>
        <v/>
      </c>
      <c r="BG1657" s="744" t="str">
        <f t="shared" si="583"/>
        <v/>
      </c>
      <c r="BH1657" s="744" t="str">
        <f>IF(G1657="","",IF(BF1657="Abu Dhabi",IF(G1657&lt;18,'General Basis'!$C$39,IF(G1657&lt;41,'General Basis'!$C$40,IF(G1657&lt;60,'General Basis'!$C$41,IF(G1657&lt;65,'General Basis'!$C$42,'General Basis'!$C$43)))),IF(G1657&lt;11,'General Basis'!$B$39,IF(G1657&lt;18,'General Basis'!$B$40,IF(G1657&lt;26,'General Basis'!$B$41,IF(G1657&lt;31,'General Basis'!$B$42,IF(G1657&lt;36,'General Basis'!$B$43,IF(G1657&lt;41,'General Basis'!$B$44,IF(G1657&lt;46,'General Basis'!$B$45,IF(G1657&lt;51,'General Basis'!$B$46,IF(G1657&lt;56,'General Basis'!$B$47,IF(G1657&lt;60,'General Basis'!$B$48,IF(G1657&lt;65,'General Basis'!$B$49,'General Basis'!$B$50)))))))))))))</f>
        <v/>
      </c>
      <c r="BI1657" s="744" t="str">
        <f t="shared" si="577"/>
        <v/>
      </c>
      <c r="BJ1657" s="747" t="str">
        <f t="shared" si="584"/>
        <v/>
      </c>
      <c r="BK1657" s="498" t="str">
        <f t="shared" si="578"/>
        <v/>
      </c>
      <c r="BL1657" s="498" t="str">
        <f t="shared" si="579"/>
        <v/>
      </c>
    </row>
    <row r="1658" spans="1:64" x14ac:dyDescent="0.25">
      <c r="A1658" s="762">
        <f t="shared" si="580"/>
        <v>1653</v>
      </c>
      <c r="B1658" s="229"/>
      <c r="C1658" s="223"/>
      <c r="D1658" s="224"/>
      <c r="E1658" s="225"/>
      <c r="F1658" s="1036" t="str">
        <f t="shared" si="586"/>
        <v/>
      </c>
      <c r="G1658" s="1037" t="str">
        <f t="shared" si="581"/>
        <v/>
      </c>
      <c r="H1658" s="225"/>
      <c r="I1658" s="1013"/>
      <c r="J1658" s="1013"/>
      <c r="K1658" s="1028"/>
      <c r="L1658" s="1035" t="str">
        <f t="shared" si="585"/>
        <v/>
      </c>
      <c r="S1658" s="498"/>
      <c r="AJ1658" s="498"/>
      <c r="AM1658" s="498">
        <f t="shared" si="566"/>
        <v>0</v>
      </c>
      <c r="AN1658" s="498">
        <f t="shared" si="567"/>
        <v>0</v>
      </c>
      <c r="AO1658" s="498">
        <f t="shared" si="568"/>
        <v>0</v>
      </c>
      <c r="AP1658" s="498">
        <f t="shared" si="587"/>
        <v>0</v>
      </c>
      <c r="AQ1658" s="498">
        <f t="shared" si="582"/>
        <v>0</v>
      </c>
      <c r="AU1658" s="498">
        <f t="shared" si="569"/>
        <v>0</v>
      </c>
      <c r="AV1658" s="498">
        <f t="shared" si="570"/>
        <v>0</v>
      </c>
      <c r="AW1658" s="498">
        <f t="shared" si="571"/>
        <v>0</v>
      </c>
      <c r="AX1658" s="498">
        <f t="shared" si="572"/>
        <v>0</v>
      </c>
      <c r="AY1658" s="498">
        <f t="shared" si="573"/>
        <v>0</v>
      </c>
      <c r="BB1658" s="498" t="str">
        <f t="shared" si="574"/>
        <v/>
      </c>
      <c r="BC1658" s="743" t="str">
        <f t="shared" si="575"/>
        <v/>
      </c>
      <c r="BD1658" s="743" t="str">
        <f t="shared" si="576"/>
        <v/>
      </c>
      <c r="BE1658" s="743" t="str">
        <f>IF(D1658="","",VLOOKUP(D1658,'General Basis'!$J$39:$K$46,2,0))</f>
        <v/>
      </c>
      <c r="BF1658" s="744" t="str">
        <f>IF(D1658="","",VLOOKUP(D1658,'General Basis'!$J$39:$L$46,3,0))</f>
        <v/>
      </c>
      <c r="BG1658" s="744" t="str">
        <f t="shared" si="583"/>
        <v/>
      </c>
      <c r="BH1658" s="744" t="str">
        <f>IF(G1658="","",IF(BF1658="Abu Dhabi",IF(G1658&lt;18,'General Basis'!$C$39,IF(G1658&lt;41,'General Basis'!$C$40,IF(G1658&lt;60,'General Basis'!$C$41,IF(G1658&lt;65,'General Basis'!$C$42,'General Basis'!$C$43)))),IF(G1658&lt;11,'General Basis'!$B$39,IF(G1658&lt;18,'General Basis'!$B$40,IF(G1658&lt;26,'General Basis'!$B$41,IF(G1658&lt;31,'General Basis'!$B$42,IF(G1658&lt;36,'General Basis'!$B$43,IF(G1658&lt;41,'General Basis'!$B$44,IF(G1658&lt;46,'General Basis'!$B$45,IF(G1658&lt;51,'General Basis'!$B$46,IF(G1658&lt;56,'General Basis'!$B$47,IF(G1658&lt;60,'General Basis'!$B$48,IF(G1658&lt;65,'General Basis'!$B$49,'General Basis'!$B$50)))))))))))))</f>
        <v/>
      </c>
      <c r="BI1658" s="744" t="str">
        <f t="shared" si="577"/>
        <v/>
      </c>
      <c r="BJ1658" s="747" t="str">
        <f t="shared" si="584"/>
        <v/>
      </c>
      <c r="BK1658" s="498" t="str">
        <f t="shared" si="578"/>
        <v/>
      </c>
      <c r="BL1658" s="498" t="str">
        <f t="shared" si="579"/>
        <v/>
      </c>
    </row>
    <row r="1659" spans="1:64" x14ac:dyDescent="0.25">
      <c r="A1659" s="762">
        <f t="shared" si="580"/>
        <v>1654</v>
      </c>
      <c r="B1659" s="229"/>
      <c r="C1659" s="223"/>
      <c r="D1659" s="224"/>
      <c r="E1659" s="225"/>
      <c r="F1659" s="1036" t="str">
        <f t="shared" si="586"/>
        <v/>
      </c>
      <c r="G1659" s="1037" t="str">
        <f t="shared" si="581"/>
        <v/>
      </c>
      <c r="H1659" s="225"/>
      <c r="I1659" s="1013"/>
      <c r="J1659" s="1013"/>
      <c r="K1659" s="1028"/>
      <c r="L1659" s="1035" t="str">
        <f t="shared" si="585"/>
        <v/>
      </c>
      <c r="S1659" s="498"/>
      <c r="AJ1659" s="498"/>
      <c r="AM1659" s="498">
        <f t="shared" si="566"/>
        <v>0</v>
      </c>
      <c r="AN1659" s="498">
        <f t="shared" si="567"/>
        <v>0</v>
      </c>
      <c r="AO1659" s="498">
        <f t="shared" si="568"/>
        <v>0</v>
      </c>
      <c r="AP1659" s="498">
        <f t="shared" si="587"/>
        <v>0</v>
      </c>
      <c r="AQ1659" s="498">
        <f t="shared" si="582"/>
        <v>0</v>
      </c>
      <c r="AU1659" s="498">
        <f t="shared" si="569"/>
        <v>0</v>
      </c>
      <c r="AV1659" s="498">
        <f t="shared" si="570"/>
        <v>0</v>
      </c>
      <c r="AW1659" s="498">
        <f t="shared" si="571"/>
        <v>0</v>
      </c>
      <c r="AX1659" s="498">
        <f t="shared" si="572"/>
        <v>0</v>
      </c>
      <c r="AY1659" s="498">
        <f t="shared" si="573"/>
        <v>0</v>
      </c>
      <c r="BB1659" s="498" t="str">
        <f t="shared" si="574"/>
        <v/>
      </c>
      <c r="BC1659" s="743" t="str">
        <f t="shared" si="575"/>
        <v/>
      </c>
      <c r="BD1659" s="743" t="str">
        <f t="shared" si="576"/>
        <v/>
      </c>
      <c r="BE1659" s="743" t="str">
        <f>IF(D1659="","",VLOOKUP(D1659,'General Basis'!$J$39:$K$46,2,0))</f>
        <v/>
      </c>
      <c r="BF1659" s="744" t="str">
        <f>IF(D1659="","",VLOOKUP(D1659,'General Basis'!$J$39:$L$46,3,0))</f>
        <v/>
      </c>
      <c r="BG1659" s="744" t="str">
        <f t="shared" si="583"/>
        <v/>
      </c>
      <c r="BH1659" s="744" t="str">
        <f>IF(G1659="","",IF(BF1659="Abu Dhabi",IF(G1659&lt;18,'General Basis'!$C$39,IF(G1659&lt;41,'General Basis'!$C$40,IF(G1659&lt;60,'General Basis'!$C$41,IF(G1659&lt;65,'General Basis'!$C$42,'General Basis'!$C$43)))),IF(G1659&lt;11,'General Basis'!$B$39,IF(G1659&lt;18,'General Basis'!$B$40,IF(G1659&lt;26,'General Basis'!$B$41,IF(G1659&lt;31,'General Basis'!$B$42,IF(G1659&lt;36,'General Basis'!$B$43,IF(G1659&lt;41,'General Basis'!$B$44,IF(G1659&lt;46,'General Basis'!$B$45,IF(G1659&lt;51,'General Basis'!$B$46,IF(G1659&lt;56,'General Basis'!$B$47,IF(G1659&lt;60,'General Basis'!$B$48,IF(G1659&lt;65,'General Basis'!$B$49,'General Basis'!$B$50)))))))))))))</f>
        <v/>
      </c>
      <c r="BI1659" s="744" t="str">
        <f t="shared" si="577"/>
        <v/>
      </c>
      <c r="BJ1659" s="747" t="str">
        <f t="shared" si="584"/>
        <v/>
      </c>
      <c r="BK1659" s="498" t="str">
        <f t="shared" si="578"/>
        <v/>
      </c>
      <c r="BL1659" s="498" t="str">
        <f t="shared" si="579"/>
        <v/>
      </c>
    </row>
    <row r="1660" spans="1:64" x14ac:dyDescent="0.25">
      <c r="A1660" s="762">
        <f t="shared" si="580"/>
        <v>1655</v>
      </c>
      <c r="B1660" s="229"/>
      <c r="C1660" s="223"/>
      <c r="D1660" s="224"/>
      <c r="E1660" s="225"/>
      <c r="F1660" s="1036" t="str">
        <f t="shared" si="586"/>
        <v/>
      </c>
      <c r="G1660" s="1037" t="str">
        <f t="shared" si="581"/>
        <v/>
      </c>
      <c r="H1660" s="225"/>
      <c r="I1660" s="1013"/>
      <c r="J1660" s="1013"/>
      <c r="K1660" s="1028"/>
      <c r="L1660" s="1035" t="str">
        <f t="shared" si="585"/>
        <v/>
      </c>
      <c r="S1660" s="498"/>
      <c r="AJ1660" s="498"/>
      <c r="AM1660" s="498">
        <f t="shared" si="566"/>
        <v>0</v>
      </c>
      <c r="AN1660" s="498">
        <f t="shared" si="567"/>
        <v>0</v>
      </c>
      <c r="AO1660" s="498">
        <f t="shared" si="568"/>
        <v>0</v>
      </c>
      <c r="AP1660" s="498">
        <f t="shared" si="587"/>
        <v>0</v>
      </c>
      <c r="AQ1660" s="498">
        <f t="shared" si="582"/>
        <v>0</v>
      </c>
      <c r="AU1660" s="498">
        <f t="shared" si="569"/>
        <v>0</v>
      </c>
      <c r="AV1660" s="498">
        <f t="shared" si="570"/>
        <v>0</v>
      </c>
      <c r="AW1660" s="498">
        <f t="shared" si="571"/>
        <v>0</v>
      </c>
      <c r="AX1660" s="498">
        <f t="shared" si="572"/>
        <v>0</v>
      </c>
      <c r="AY1660" s="498">
        <f t="shared" si="573"/>
        <v>0</v>
      </c>
      <c r="BB1660" s="498" t="str">
        <f t="shared" si="574"/>
        <v/>
      </c>
      <c r="BC1660" s="743" t="str">
        <f t="shared" si="575"/>
        <v/>
      </c>
      <c r="BD1660" s="743" t="str">
        <f t="shared" si="576"/>
        <v/>
      </c>
      <c r="BE1660" s="743" t="str">
        <f>IF(D1660="","",VLOOKUP(D1660,'General Basis'!$J$39:$K$46,2,0))</f>
        <v/>
      </c>
      <c r="BF1660" s="744" t="str">
        <f>IF(D1660="","",VLOOKUP(D1660,'General Basis'!$J$39:$L$46,3,0))</f>
        <v/>
      </c>
      <c r="BG1660" s="744" t="str">
        <f t="shared" si="583"/>
        <v/>
      </c>
      <c r="BH1660" s="744" t="str">
        <f>IF(G1660="","",IF(BF1660="Abu Dhabi",IF(G1660&lt;18,'General Basis'!$C$39,IF(G1660&lt;41,'General Basis'!$C$40,IF(G1660&lt;60,'General Basis'!$C$41,IF(G1660&lt;65,'General Basis'!$C$42,'General Basis'!$C$43)))),IF(G1660&lt;11,'General Basis'!$B$39,IF(G1660&lt;18,'General Basis'!$B$40,IF(G1660&lt;26,'General Basis'!$B$41,IF(G1660&lt;31,'General Basis'!$B$42,IF(G1660&lt;36,'General Basis'!$B$43,IF(G1660&lt;41,'General Basis'!$B$44,IF(G1660&lt;46,'General Basis'!$B$45,IF(G1660&lt;51,'General Basis'!$B$46,IF(G1660&lt;56,'General Basis'!$B$47,IF(G1660&lt;60,'General Basis'!$B$48,IF(G1660&lt;65,'General Basis'!$B$49,'General Basis'!$B$50)))))))))))))</f>
        <v/>
      </c>
      <c r="BI1660" s="744" t="str">
        <f t="shared" si="577"/>
        <v/>
      </c>
      <c r="BJ1660" s="747" t="str">
        <f t="shared" si="584"/>
        <v/>
      </c>
      <c r="BK1660" s="498" t="str">
        <f t="shared" si="578"/>
        <v/>
      </c>
      <c r="BL1660" s="498" t="str">
        <f t="shared" si="579"/>
        <v/>
      </c>
    </row>
    <row r="1661" spans="1:64" x14ac:dyDescent="0.25">
      <c r="A1661" s="762">
        <f t="shared" si="580"/>
        <v>1656</v>
      </c>
      <c r="B1661" s="229"/>
      <c r="C1661" s="223"/>
      <c r="D1661" s="224"/>
      <c r="E1661" s="225"/>
      <c r="F1661" s="1036" t="str">
        <f t="shared" si="586"/>
        <v/>
      </c>
      <c r="G1661" s="1037" t="str">
        <f t="shared" si="581"/>
        <v/>
      </c>
      <c r="H1661" s="225"/>
      <c r="I1661" s="1013"/>
      <c r="J1661" s="1013"/>
      <c r="K1661" s="1028"/>
      <c r="L1661" s="1035" t="str">
        <f t="shared" si="585"/>
        <v/>
      </c>
      <c r="S1661" s="498"/>
      <c r="AJ1661" s="498"/>
      <c r="AM1661" s="498">
        <f t="shared" si="566"/>
        <v>0</v>
      </c>
      <c r="AN1661" s="498">
        <f t="shared" si="567"/>
        <v>0</v>
      </c>
      <c r="AO1661" s="498">
        <f t="shared" si="568"/>
        <v>0</v>
      </c>
      <c r="AP1661" s="498">
        <f t="shared" si="587"/>
        <v>0</v>
      </c>
      <c r="AQ1661" s="498">
        <f t="shared" si="582"/>
        <v>0</v>
      </c>
      <c r="AU1661" s="498">
        <f t="shared" si="569"/>
        <v>0</v>
      </c>
      <c r="AV1661" s="498">
        <f t="shared" si="570"/>
        <v>0</v>
      </c>
      <c r="AW1661" s="498">
        <f t="shared" si="571"/>
        <v>0</v>
      </c>
      <c r="AX1661" s="498">
        <f t="shared" si="572"/>
        <v>0</v>
      </c>
      <c r="AY1661" s="498">
        <f t="shared" si="573"/>
        <v>0</v>
      </c>
      <c r="BB1661" s="498" t="str">
        <f t="shared" si="574"/>
        <v/>
      </c>
      <c r="BC1661" s="743" t="str">
        <f t="shared" si="575"/>
        <v/>
      </c>
      <c r="BD1661" s="743" t="str">
        <f t="shared" si="576"/>
        <v/>
      </c>
      <c r="BE1661" s="743" t="str">
        <f>IF(D1661="","",VLOOKUP(D1661,'General Basis'!$J$39:$K$46,2,0))</f>
        <v/>
      </c>
      <c r="BF1661" s="744" t="str">
        <f>IF(D1661="","",VLOOKUP(D1661,'General Basis'!$J$39:$L$46,3,0))</f>
        <v/>
      </c>
      <c r="BG1661" s="744" t="str">
        <f t="shared" si="583"/>
        <v/>
      </c>
      <c r="BH1661" s="744" t="str">
        <f>IF(G1661="","",IF(BF1661="Abu Dhabi",IF(G1661&lt;18,'General Basis'!$C$39,IF(G1661&lt;41,'General Basis'!$C$40,IF(G1661&lt;60,'General Basis'!$C$41,IF(G1661&lt;65,'General Basis'!$C$42,'General Basis'!$C$43)))),IF(G1661&lt;11,'General Basis'!$B$39,IF(G1661&lt;18,'General Basis'!$B$40,IF(G1661&lt;26,'General Basis'!$B$41,IF(G1661&lt;31,'General Basis'!$B$42,IF(G1661&lt;36,'General Basis'!$B$43,IF(G1661&lt;41,'General Basis'!$B$44,IF(G1661&lt;46,'General Basis'!$B$45,IF(G1661&lt;51,'General Basis'!$B$46,IF(G1661&lt;56,'General Basis'!$B$47,IF(G1661&lt;60,'General Basis'!$B$48,IF(G1661&lt;65,'General Basis'!$B$49,'General Basis'!$B$50)))))))))))))</f>
        <v/>
      </c>
      <c r="BI1661" s="744" t="str">
        <f t="shared" si="577"/>
        <v/>
      </c>
      <c r="BJ1661" s="747" t="str">
        <f t="shared" si="584"/>
        <v/>
      </c>
      <c r="BK1661" s="498" t="str">
        <f t="shared" si="578"/>
        <v/>
      </c>
      <c r="BL1661" s="498" t="str">
        <f t="shared" si="579"/>
        <v/>
      </c>
    </row>
    <row r="1662" spans="1:64" x14ac:dyDescent="0.25">
      <c r="A1662" s="762">
        <f t="shared" si="580"/>
        <v>1657</v>
      </c>
      <c r="B1662" s="229"/>
      <c r="C1662" s="223"/>
      <c r="D1662" s="224"/>
      <c r="E1662" s="225"/>
      <c r="F1662" s="1036" t="str">
        <f t="shared" si="586"/>
        <v/>
      </c>
      <c r="G1662" s="1037" t="str">
        <f t="shared" si="581"/>
        <v/>
      </c>
      <c r="H1662" s="225"/>
      <c r="I1662" s="1013"/>
      <c r="J1662" s="1013"/>
      <c r="K1662" s="1028"/>
      <c r="L1662" s="1035" t="str">
        <f t="shared" si="585"/>
        <v/>
      </c>
      <c r="S1662" s="498"/>
      <c r="AJ1662" s="498"/>
      <c r="AM1662" s="498">
        <f t="shared" si="566"/>
        <v>0</v>
      </c>
      <c r="AN1662" s="498">
        <f t="shared" si="567"/>
        <v>0</v>
      </c>
      <c r="AO1662" s="498">
        <f t="shared" si="568"/>
        <v>0</v>
      </c>
      <c r="AP1662" s="498">
        <f t="shared" si="587"/>
        <v>0</v>
      </c>
      <c r="AQ1662" s="498">
        <f t="shared" si="582"/>
        <v>0</v>
      </c>
      <c r="AU1662" s="498">
        <f t="shared" si="569"/>
        <v>0</v>
      </c>
      <c r="AV1662" s="498">
        <f t="shared" si="570"/>
        <v>0</v>
      </c>
      <c r="AW1662" s="498">
        <f t="shared" si="571"/>
        <v>0</v>
      </c>
      <c r="AX1662" s="498">
        <f t="shared" si="572"/>
        <v>0</v>
      </c>
      <c r="AY1662" s="498">
        <f t="shared" si="573"/>
        <v>0</v>
      </c>
      <c r="BB1662" s="498" t="str">
        <f t="shared" si="574"/>
        <v/>
      </c>
      <c r="BC1662" s="743" t="str">
        <f t="shared" si="575"/>
        <v/>
      </c>
      <c r="BD1662" s="743" t="str">
        <f t="shared" si="576"/>
        <v/>
      </c>
      <c r="BE1662" s="743" t="str">
        <f>IF(D1662="","",VLOOKUP(D1662,'General Basis'!$J$39:$K$46,2,0))</f>
        <v/>
      </c>
      <c r="BF1662" s="744" t="str">
        <f>IF(D1662="","",VLOOKUP(D1662,'General Basis'!$J$39:$L$46,3,0))</f>
        <v/>
      </c>
      <c r="BG1662" s="744" t="str">
        <f t="shared" si="583"/>
        <v/>
      </c>
      <c r="BH1662" s="744" t="str">
        <f>IF(G1662="","",IF(BF1662="Abu Dhabi",IF(G1662&lt;18,'General Basis'!$C$39,IF(G1662&lt;41,'General Basis'!$C$40,IF(G1662&lt;60,'General Basis'!$C$41,IF(G1662&lt;65,'General Basis'!$C$42,'General Basis'!$C$43)))),IF(G1662&lt;11,'General Basis'!$B$39,IF(G1662&lt;18,'General Basis'!$B$40,IF(G1662&lt;26,'General Basis'!$B$41,IF(G1662&lt;31,'General Basis'!$B$42,IF(G1662&lt;36,'General Basis'!$B$43,IF(G1662&lt;41,'General Basis'!$B$44,IF(G1662&lt;46,'General Basis'!$B$45,IF(G1662&lt;51,'General Basis'!$B$46,IF(G1662&lt;56,'General Basis'!$B$47,IF(G1662&lt;60,'General Basis'!$B$48,IF(G1662&lt;65,'General Basis'!$B$49,'General Basis'!$B$50)))))))))))))</f>
        <v/>
      </c>
      <c r="BI1662" s="744" t="str">
        <f t="shared" si="577"/>
        <v/>
      </c>
      <c r="BJ1662" s="747" t="str">
        <f t="shared" si="584"/>
        <v/>
      </c>
      <c r="BK1662" s="498" t="str">
        <f t="shared" si="578"/>
        <v/>
      </c>
      <c r="BL1662" s="498" t="str">
        <f t="shared" si="579"/>
        <v/>
      </c>
    </row>
    <row r="1663" spans="1:64" x14ac:dyDescent="0.25">
      <c r="A1663" s="762">
        <f t="shared" si="580"/>
        <v>1658</v>
      </c>
      <c r="B1663" s="229"/>
      <c r="C1663" s="223"/>
      <c r="D1663" s="224"/>
      <c r="E1663" s="225"/>
      <c r="F1663" s="1036" t="str">
        <f t="shared" si="586"/>
        <v/>
      </c>
      <c r="G1663" s="1037" t="str">
        <f t="shared" si="581"/>
        <v/>
      </c>
      <c r="H1663" s="225"/>
      <c r="I1663" s="1013"/>
      <c r="J1663" s="1013"/>
      <c r="K1663" s="1028"/>
      <c r="L1663" s="1035" t="str">
        <f t="shared" si="585"/>
        <v/>
      </c>
      <c r="S1663" s="498"/>
      <c r="AJ1663" s="498"/>
      <c r="AM1663" s="498">
        <f t="shared" si="566"/>
        <v>0</v>
      </c>
      <c r="AN1663" s="498">
        <f t="shared" si="567"/>
        <v>0</v>
      </c>
      <c r="AO1663" s="498">
        <f t="shared" si="568"/>
        <v>0</v>
      </c>
      <c r="AP1663" s="498">
        <f t="shared" si="587"/>
        <v>0</v>
      </c>
      <c r="AQ1663" s="498">
        <f t="shared" si="582"/>
        <v>0</v>
      </c>
      <c r="AU1663" s="498">
        <f t="shared" si="569"/>
        <v>0</v>
      </c>
      <c r="AV1663" s="498">
        <f t="shared" si="570"/>
        <v>0</v>
      </c>
      <c r="AW1663" s="498">
        <f t="shared" si="571"/>
        <v>0</v>
      </c>
      <c r="AX1663" s="498">
        <f t="shared" si="572"/>
        <v>0</v>
      </c>
      <c r="AY1663" s="498">
        <f t="shared" si="573"/>
        <v>0</v>
      </c>
      <c r="BB1663" s="498" t="str">
        <f t="shared" si="574"/>
        <v/>
      </c>
      <c r="BC1663" s="743" t="str">
        <f t="shared" si="575"/>
        <v/>
      </c>
      <c r="BD1663" s="743" t="str">
        <f t="shared" si="576"/>
        <v/>
      </c>
      <c r="BE1663" s="743" t="str">
        <f>IF(D1663="","",VLOOKUP(D1663,'General Basis'!$J$39:$K$46,2,0))</f>
        <v/>
      </c>
      <c r="BF1663" s="744" t="str">
        <f>IF(D1663="","",VLOOKUP(D1663,'General Basis'!$J$39:$L$46,3,0))</f>
        <v/>
      </c>
      <c r="BG1663" s="744" t="str">
        <f t="shared" si="583"/>
        <v/>
      </c>
      <c r="BH1663" s="744" t="str">
        <f>IF(G1663="","",IF(BF1663="Abu Dhabi",IF(G1663&lt;18,'General Basis'!$C$39,IF(G1663&lt;41,'General Basis'!$C$40,IF(G1663&lt;60,'General Basis'!$C$41,IF(G1663&lt;65,'General Basis'!$C$42,'General Basis'!$C$43)))),IF(G1663&lt;11,'General Basis'!$B$39,IF(G1663&lt;18,'General Basis'!$B$40,IF(G1663&lt;26,'General Basis'!$B$41,IF(G1663&lt;31,'General Basis'!$B$42,IF(G1663&lt;36,'General Basis'!$B$43,IF(G1663&lt;41,'General Basis'!$B$44,IF(G1663&lt;46,'General Basis'!$B$45,IF(G1663&lt;51,'General Basis'!$B$46,IF(G1663&lt;56,'General Basis'!$B$47,IF(G1663&lt;60,'General Basis'!$B$48,IF(G1663&lt;65,'General Basis'!$B$49,'General Basis'!$B$50)))))))))))))</f>
        <v/>
      </c>
      <c r="BI1663" s="744" t="str">
        <f t="shared" si="577"/>
        <v/>
      </c>
      <c r="BJ1663" s="747" t="str">
        <f t="shared" si="584"/>
        <v/>
      </c>
      <c r="BK1663" s="498" t="str">
        <f t="shared" si="578"/>
        <v/>
      </c>
      <c r="BL1663" s="498" t="str">
        <f t="shared" si="579"/>
        <v/>
      </c>
    </row>
    <row r="1664" spans="1:64" x14ac:dyDescent="0.25">
      <c r="A1664" s="762">
        <f t="shared" si="580"/>
        <v>1659</v>
      </c>
      <c r="B1664" s="229"/>
      <c r="C1664" s="223"/>
      <c r="D1664" s="224"/>
      <c r="E1664" s="225"/>
      <c r="F1664" s="1036" t="str">
        <f t="shared" si="586"/>
        <v/>
      </c>
      <c r="G1664" s="1037" t="str">
        <f t="shared" si="581"/>
        <v/>
      </c>
      <c r="H1664" s="225"/>
      <c r="I1664" s="1013"/>
      <c r="J1664" s="1013"/>
      <c r="K1664" s="1028"/>
      <c r="L1664" s="1035" t="str">
        <f t="shared" si="585"/>
        <v/>
      </c>
      <c r="S1664" s="498"/>
      <c r="AJ1664" s="498"/>
      <c r="AM1664" s="498">
        <f t="shared" si="566"/>
        <v>0</v>
      </c>
      <c r="AN1664" s="498">
        <f t="shared" si="567"/>
        <v>0</v>
      </c>
      <c r="AO1664" s="498">
        <f t="shared" si="568"/>
        <v>0</v>
      </c>
      <c r="AP1664" s="498">
        <f t="shared" si="587"/>
        <v>0</v>
      </c>
      <c r="AQ1664" s="498">
        <f t="shared" si="582"/>
        <v>0</v>
      </c>
      <c r="AU1664" s="498">
        <f t="shared" si="569"/>
        <v>0</v>
      </c>
      <c r="AV1664" s="498">
        <f t="shared" si="570"/>
        <v>0</v>
      </c>
      <c r="AW1664" s="498">
        <f t="shared" si="571"/>
        <v>0</v>
      </c>
      <c r="AX1664" s="498">
        <f t="shared" si="572"/>
        <v>0</v>
      </c>
      <c r="AY1664" s="498">
        <f t="shared" si="573"/>
        <v>0</v>
      </c>
      <c r="BB1664" s="498" t="str">
        <f t="shared" si="574"/>
        <v/>
      </c>
      <c r="BC1664" s="743" t="str">
        <f t="shared" si="575"/>
        <v/>
      </c>
      <c r="BD1664" s="743" t="str">
        <f t="shared" si="576"/>
        <v/>
      </c>
      <c r="BE1664" s="743" t="str">
        <f>IF(D1664="","",VLOOKUP(D1664,'General Basis'!$J$39:$K$46,2,0))</f>
        <v/>
      </c>
      <c r="BF1664" s="744" t="str">
        <f>IF(D1664="","",VLOOKUP(D1664,'General Basis'!$J$39:$L$46,3,0))</f>
        <v/>
      </c>
      <c r="BG1664" s="744" t="str">
        <f t="shared" si="583"/>
        <v/>
      </c>
      <c r="BH1664" s="744" t="str">
        <f>IF(G1664="","",IF(BF1664="Abu Dhabi",IF(G1664&lt;18,'General Basis'!$C$39,IF(G1664&lt;41,'General Basis'!$C$40,IF(G1664&lt;60,'General Basis'!$C$41,IF(G1664&lt;65,'General Basis'!$C$42,'General Basis'!$C$43)))),IF(G1664&lt;11,'General Basis'!$B$39,IF(G1664&lt;18,'General Basis'!$B$40,IF(G1664&lt;26,'General Basis'!$B$41,IF(G1664&lt;31,'General Basis'!$B$42,IF(G1664&lt;36,'General Basis'!$B$43,IF(G1664&lt;41,'General Basis'!$B$44,IF(G1664&lt;46,'General Basis'!$B$45,IF(G1664&lt;51,'General Basis'!$B$46,IF(G1664&lt;56,'General Basis'!$B$47,IF(G1664&lt;60,'General Basis'!$B$48,IF(G1664&lt;65,'General Basis'!$B$49,'General Basis'!$B$50)))))))))))))</f>
        <v/>
      </c>
      <c r="BI1664" s="744" t="str">
        <f t="shared" si="577"/>
        <v/>
      </c>
      <c r="BJ1664" s="747" t="str">
        <f t="shared" si="584"/>
        <v/>
      </c>
      <c r="BK1664" s="498" t="str">
        <f t="shared" si="578"/>
        <v/>
      </c>
      <c r="BL1664" s="498" t="str">
        <f t="shared" si="579"/>
        <v/>
      </c>
    </row>
    <row r="1665" spans="1:64" x14ac:dyDescent="0.25">
      <c r="A1665" s="762">
        <f t="shared" si="580"/>
        <v>1660</v>
      </c>
      <c r="B1665" s="229"/>
      <c r="C1665" s="223"/>
      <c r="D1665" s="224"/>
      <c r="E1665" s="225"/>
      <c r="F1665" s="1036" t="str">
        <f t="shared" si="586"/>
        <v/>
      </c>
      <c r="G1665" s="1037" t="str">
        <f t="shared" si="581"/>
        <v/>
      </c>
      <c r="H1665" s="225"/>
      <c r="I1665" s="1013"/>
      <c r="J1665" s="1013"/>
      <c r="K1665" s="1028"/>
      <c r="L1665" s="1035" t="str">
        <f t="shared" si="585"/>
        <v/>
      </c>
      <c r="S1665" s="498"/>
      <c r="AJ1665" s="498"/>
      <c r="AM1665" s="498">
        <f t="shared" si="566"/>
        <v>0</v>
      </c>
      <c r="AN1665" s="498">
        <f t="shared" si="567"/>
        <v>0</v>
      </c>
      <c r="AO1665" s="498">
        <f t="shared" si="568"/>
        <v>0</v>
      </c>
      <c r="AP1665" s="498">
        <f t="shared" si="587"/>
        <v>0</v>
      </c>
      <c r="AQ1665" s="498">
        <f t="shared" si="582"/>
        <v>0</v>
      </c>
      <c r="AU1665" s="498">
        <f t="shared" si="569"/>
        <v>0</v>
      </c>
      <c r="AV1665" s="498">
        <f t="shared" si="570"/>
        <v>0</v>
      </c>
      <c r="AW1665" s="498">
        <f t="shared" si="571"/>
        <v>0</v>
      </c>
      <c r="AX1665" s="498">
        <f t="shared" si="572"/>
        <v>0</v>
      </c>
      <c r="AY1665" s="498">
        <f t="shared" si="573"/>
        <v>0</v>
      </c>
      <c r="BB1665" s="498" t="str">
        <f t="shared" si="574"/>
        <v/>
      </c>
      <c r="BC1665" s="743" t="str">
        <f t="shared" si="575"/>
        <v/>
      </c>
      <c r="BD1665" s="743" t="str">
        <f t="shared" si="576"/>
        <v/>
      </c>
      <c r="BE1665" s="743" t="str">
        <f>IF(D1665="","",VLOOKUP(D1665,'General Basis'!$J$39:$K$46,2,0))</f>
        <v/>
      </c>
      <c r="BF1665" s="744" t="str">
        <f>IF(D1665="","",VLOOKUP(D1665,'General Basis'!$J$39:$L$46,3,0))</f>
        <v/>
      </c>
      <c r="BG1665" s="744" t="str">
        <f t="shared" si="583"/>
        <v/>
      </c>
      <c r="BH1665" s="744" t="str">
        <f>IF(G1665="","",IF(BF1665="Abu Dhabi",IF(G1665&lt;18,'General Basis'!$C$39,IF(G1665&lt;41,'General Basis'!$C$40,IF(G1665&lt;60,'General Basis'!$C$41,IF(G1665&lt;65,'General Basis'!$C$42,'General Basis'!$C$43)))),IF(G1665&lt;11,'General Basis'!$B$39,IF(G1665&lt;18,'General Basis'!$B$40,IF(G1665&lt;26,'General Basis'!$B$41,IF(G1665&lt;31,'General Basis'!$B$42,IF(G1665&lt;36,'General Basis'!$B$43,IF(G1665&lt;41,'General Basis'!$B$44,IF(G1665&lt;46,'General Basis'!$B$45,IF(G1665&lt;51,'General Basis'!$B$46,IF(G1665&lt;56,'General Basis'!$B$47,IF(G1665&lt;60,'General Basis'!$B$48,IF(G1665&lt;65,'General Basis'!$B$49,'General Basis'!$B$50)))))))))))))</f>
        <v/>
      </c>
      <c r="BI1665" s="744" t="str">
        <f t="shared" si="577"/>
        <v/>
      </c>
      <c r="BJ1665" s="747" t="str">
        <f t="shared" si="584"/>
        <v/>
      </c>
      <c r="BK1665" s="498" t="str">
        <f t="shared" si="578"/>
        <v/>
      </c>
      <c r="BL1665" s="498" t="str">
        <f t="shared" si="579"/>
        <v/>
      </c>
    </row>
    <row r="1666" spans="1:64" x14ac:dyDescent="0.25">
      <c r="A1666" s="762">
        <f t="shared" si="580"/>
        <v>1661</v>
      </c>
      <c r="B1666" s="229"/>
      <c r="C1666" s="223"/>
      <c r="D1666" s="224"/>
      <c r="E1666" s="225"/>
      <c r="F1666" s="1036" t="str">
        <f t="shared" si="586"/>
        <v/>
      </c>
      <c r="G1666" s="1037" t="str">
        <f t="shared" si="581"/>
        <v/>
      </c>
      <c r="H1666" s="225"/>
      <c r="I1666" s="1013"/>
      <c r="J1666" s="1013"/>
      <c r="K1666" s="1028"/>
      <c r="L1666" s="1035" t="str">
        <f t="shared" si="585"/>
        <v/>
      </c>
      <c r="S1666" s="498"/>
      <c r="AJ1666" s="498"/>
      <c r="AM1666" s="498">
        <f t="shared" si="566"/>
        <v>0</v>
      </c>
      <c r="AN1666" s="498">
        <f t="shared" si="567"/>
        <v>0</v>
      </c>
      <c r="AO1666" s="498">
        <f t="shared" si="568"/>
        <v>0</v>
      </c>
      <c r="AP1666" s="498">
        <f t="shared" si="587"/>
        <v>0</v>
      </c>
      <c r="AQ1666" s="498">
        <f t="shared" si="582"/>
        <v>0</v>
      </c>
      <c r="AU1666" s="498">
        <f t="shared" si="569"/>
        <v>0</v>
      </c>
      <c r="AV1666" s="498">
        <f t="shared" si="570"/>
        <v>0</v>
      </c>
      <c r="AW1666" s="498">
        <f t="shared" si="571"/>
        <v>0</v>
      </c>
      <c r="AX1666" s="498">
        <f t="shared" si="572"/>
        <v>0</v>
      </c>
      <c r="AY1666" s="498">
        <f t="shared" si="573"/>
        <v>0</v>
      </c>
      <c r="BB1666" s="498" t="str">
        <f t="shared" si="574"/>
        <v/>
      </c>
      <c r="BC1666" s="743" t="str">
        <f t="shared" si="575"/>
        <v/>
      </c>
      <c r="BD1666" s="743" t="str">
        <f t="shared" si="576"/>
        <v/>
      </c>
      <c r="BE1666" s="743" t="str">
        <f>IF(D1666="","",VLOOKUP(D1666,'General Basis'!$J$39:$K$46,2,0))</f>
        <v/>
      </c>
      <c r="BF1666" s="744" t="str">
        <f>IF(D1666="","",VLOOKUP(D1666,'General Basis'!$J$39:$L$46,3,0))</f>
        <v/>
      </c>
      <c r="BG1666" s="744" t="str">
        <f t="shared" si="583"/>
        <v/>
      </c>
      <c r="BH1666" s="744" t="str">
        <f>IF(G1666="","",IF(BF1666="Abu Dhabi",IF(G1666&lt;18,'General Basis'!$C$39,IF(G1666&lt;41,'General Basis'!$C$40,IF(G1666&lt;60,'General Basis'!$C$41,IF(G1666&lt;65,'General Basis'!$C$42,'General Basis'!$C$43)))),IF(G1666&lt;11,'General Basis'!$B$39,IF(G1666&lt;18,'General Basis'!$B$40,IF(G1666&lt;26,'General Basis'!$B$41,IF(G1666&lt;31,'General Basis'!$B$42,IF(G1666&lt;36,'General Basis'!$B$43,IF(G1666&lt;41,'General Basis'!$B$44,IF(G1666&lt;46,'General Basis'!$B$45,IF(G1666&lt;51,'General Basis'!$B$46,IF(G1666&lt;56,'General Basis'!$B$47,IF(G1666&lt;60,'General Basis'!$B$48,IF(G1666&lt;65,'General Basis'!$B$49,'General Basis'!$B$50)))))))))))))</f>
        <v/>
      </c>
      <c r="BI1666" s="744" t="str">
        <f t="shared" si="577"/>
        <v/>
      </c>
      <c r="BJ1666" s="747" t="str">
        <f t="shared" si="584"/>
        <v/>
      </c>
      <c r="BK1666" s="498" t="str">
        <f t="shared" si="578"/>
        <v/>
      </c>
      <c r="BL1666" s="498" t="str">
        <f t="shared" si="579"/>
        <v/>
      </c>
    </row>
    <row r="1667" spans="1:64" x14ac:dyDescent="0.25">
      <c r="A1667" s="762">
        <f t="shared" si="580"/>
        <v>1662</v>
      </c>
      <c r="B1667" s="229"/>
      <c r="C1667" s="223"/>
      <c r="D1667" s="224"/>
      <c r="E1667" s="225"/>
      <c r="F1667" s="1036" t="str">
        <f t="shared" si="586"/>
        <v/>
      </c>
      <c r="G1667" s="1037" t="str">
        <f t="shared" si="581"/>
        <v/>
      </c>
      <c r="H1667" s="225"/>
      <c r="I1667" s="1013"/>
      <c r="J1667" s="1013"/>
      <c r="K1667" s="1028"/>
      <c r="L1667" s="1035" t="str">
        <f t="shared" si="585"/>
        <v/>
      </c>
      <c r="S1667" s="498"/>
      <c r="AJ1667" s="498"/>
      <c r="AM1667" s="498">
        <f t="shared" si="566"/>
        <v>0</v>
      </c>
      <c r="AN1667" s="498">
        <f t="shared" si="567"/>
        <v>0</v>
      </c>
      <c r="AO1667" s="498">
        <f t="shared" si="568"/>
        <v>0</v>
      </c>
      <c r="AP1667" s="498">
        <f t="shared" si="587"/>
        <v>0</v>
      </c>
      <c r="AQ1667" s="498">
        <f t="shared" si="582"/>
        <v>0</v>
      </c>
      <c r="AU1667" s="498">
        <f t="shared" si="569"/>
        <v>0</v>
      </c>
      <c r="AV1667" s="498">
        <f t="shared" si="570"/>
        <v>0</v>
      </c>
      <c r="AW1667" s="498">
        <f t="shared" si="571"/>
        <v>0</v>
      </c>
      <c r="AX1667" s="498">
        <f t="shared" si="572"/>
        <v>0</v>
      </c>
      <c r="AY1667" s="498">
        <f t="shared" si="573"/>
        <v>0</v>
      </c>
      <c r="BB1667" s="498" t="str">
        <f t="shared" si="574"/>
        <v/>
      </c>
      <c r="BC1667" s="743" t="str">
        <f t="shared" si="575"/>
        <v/>
      </c>
      <c r="BD1667" s="743" t="str">
        <f t="shared" si="576"/>
        <v/>
      </c>
      <c r="BE1667" s="743" t="str">
        <f>IF(D1667="","",VLOOKUP(D1667,'General Basis'!$J$39:$K$46,2,0))</f>
        <v/>
      </c>
      <c r="BF1667" s="744" t="str">
        <f>IF(D1667="","",VLOOKUP(D1667,'General Basis'!$J$39:$L$46,3,0))</f>
        <v/>
      </c>
      <c r="BG1667" s="744" t="str">
        <f t="shared" si="583"/>
        <v/>
      </c>
      <c r="BH1667" s="744" t="str">
        <f>IF(G1667="","",IF(BF1667="Abu Dhabi",IF(G1667&lt;18,'General Basis'!$C$39,IF(G1667&lt;41,'General Basis'!$C$40,IF(G1667&lt;60,'General Basis'!$C$41,IF(G1667&lt;65,'General Basis'!$C$42,'General Basis'!$C$43)))),IF(G1667&lt;11,'General Basis'!$B$39,IF(G1667&lt;18,'General Basis'!$B$40,IF(G1667&lt;26,'General Basis'!$B$41,IF(G1667&lt;31,'General Basis'!$B$42,IF(G1667&lt;36,'General Basis'!$B$43,IF(G1667&lt;41,'General Basis'!$B$44,IF(G1667&lt;46,'General Basis'!$B$45,IF(G1667&lt;51,'General Basis'!$B$46,IF(G1667&lt;56,'General Basis'!$B$47,IF(G1667&lt;60,'General Basis'!$B$48,IF(G1667&lt;65,'General Basis'!$B$49,'General Basis'!$B$50)))))))))))))</f>
        <v/>
      </c>
      <c r="BI1667" s="744" t="str">
        <f t="shared" si="577"/>
        <v/>
      </c>
      <c r="BJ1667" s="747" t="str">
        <f t="shared" si="584"/>
        <v/>
      </c>
      <c r="BK1667" s="498" t="str">
        <f t="shared" si="578"/>
        <v/>
      </c>
      <c r="BL1667" s="498" t="str">
        <f t="shared" si="579"/>
        <v/>
      </c>
    </row>
    <row r="1668" spans="1:64" x14ac:dyDescent="0.25">
      <c r="A1668" s="762">
        <f t="shared" si="580"/>
        <v>1663</v>
      </c>
      <c r="B1668" s="229"/>
      <c r="C1668" s="223"/>
      <c r="D1668" s="224"/>
      <c r="E1668" s="225"/>
      <c r="F1668" s="1036" t="str">
        <f t="shared" si="586"/>
        <v/>
      </c>
      <c r="G1668" s="1037" t="str">
        <f t="shared" si="581"/>
        <v/>
      </c>
      <c r="H1668" s="225"/>
      <c r="I1668" s="1013"/>
      <c r="J1668" s="1013"/>
      <c r="K1668" s="1028"/>
      <c r="L1668" s="1035" t="str">
        <f t="shared" si="585"/>
        <v/>
      </c>
      <c r="S1668" s="498"/>
      <c r="AJ1668" s="498"/>
      <c r="AM1668" s="498">
        <f t="shared" si="566"/>
        <v>0</v>
      </c>
      <c r="AN1668" s="498">
        <f t="shared" si="567"/>
        <v>0</v>
      </c>
      <c r="AO1668" s="498">
        <f t="shared" si="568"/>
        <v>0</v>
      </c>
      <c r="AP1668" s="498">
        <f t="shared" si="587"/>
        <v>0</v>
      </c>
      <c r="AQ1668" s="498">
        <f t="shared" si="582"/>
        <v>0</v>
      </c>
      <c r="AU1668" s="498">
        <f t="shared" si="569"/>
        <v>0</v>
      </c>
      <c r="AV1668" s="498">
        <f t="shared" si="570"/>
        <v>0</v>
      </c>
      <c r="AW1668" s="498">
        <f t="shared" si="571"/>
        <v>0</v>
      </c>
      <c r="AX1668" s="498">
        <f t="shared" si="572"/>
        <v>0</v>
      </c>
      <c r="AY1668" s="498">
        <f t="shared" si="573"/>
        <v>0</v>
      </c>
      <c r="BB1668" s="498" t="str">
        <f t="shared" si="574"/>
        <v/>
      </c>
      <c r="BC1668" s="743" t="str">
        <f t="shared" si="575"/>
        <v/>
      </c>
      <c r="BD1668" s="743" t="str">
        <f t="shared" si="576"/>
        <v/>
      </c>
      <c r="BE1668" s="743" t="str">
        <f>IF(D1668="","",VLOOKUP(D1668,'General Basis'!$J$39:$K$46,2,0))</f>
        <v/>
      </c>
      <c r="BF1668" s="744" t="str">
        <f>IF(D1668="","",VLOOKUP(D1668,'General Basis'!$J$39:$L$46,3,0))</f>
        <v/>
      </c>
      <c r="BG1668" s="744" t="str">
        <f t="shared" si="583"/>
        <v/>
      </c>
      <c r="BH1668" s="744" t="str">
        <f>IF(G1668="","",IF(BF1668="Abu Dhabi",IF(G1668&lt;18,'General Basis'!$C$39,IF(G1668&lt;41,'General Basis'!$C$40,IF(G1668&lt;60,'General Basis'!$C$41,IF(G1668&lt;65,'General Basis'!$C$42,'General Basis'!$C$43)))),IF(G1668&lt;11,'General Basis'!$B$39,IF(G1668&lt;18,'General Basis'!$B$40,IF(G1668&lt;26,'General Basis'!$B$41,IF(G1668&lt;31,'General Basis'!$B$42,IF(G1668&lt;36,'General Basis'!$B$43,IF(G1668&lt;41,'General Basis'!$B$44,IF(G1668&lt;46,'General Basis'!$B$45,IF(G1668&lt;51,'General Basis'!$B$46,IF(G1668&lt;56,'General Basis'!$B$47,IF(G1668&lt;60,'General Basis'!$B$48,IF(G1668&lt;65,'General Basis'!$B$49,'General Basis'!$B$50)))))))))))))</f>
        <v/>
      </c>
      <c r="BI1668" s="744" t="str">
        <f t="shared" si="577"/>
        <v/>
      </c>
      <c r="BJ1668" s="747" t="str">
        <f t="shared" si="584"/>
        <v/>
      </c>
      <c r="BK1668" s="498" t="str">
        <f t="shared" si="578"/>
        <v/>
      </c>
      <c r="BL1668" s="498" t="str">
        <f t="shared" si="579"/>
        <v/>
      </c>
    </row>
    <row r="1669" spans="1:64" x14ac:dyDescent="0.25">
      <c r="A1669" s="762">
        <f t="shared" si="580"/>
        <v>1664</v>
      </c>
      <c r="B1669" s="229"/>
      <c r="C1669" s="223"/>
      <c r="D1669" s="224"/>
      <c r="E1669" s="225"/>
      <c r="F1669" s="1036" t="str">
        <f t="shared" si="586"/>
        <v/>
      </c>
      <c r="G1669" s="1037" t="str">
        <f t="shared" si="581"/>
        <v/>
      </c>
      <c r="H1669" s="225"/>
      <c r="I1669" s="1013"/>
      <c r="J1669" s="1013"/>
      <c r="K1669" s="1028"/>
      <c r="L1669" s="1035" t="str">
        <f t="shared" si="585"/>
        <v/>
      </c>
      <c r="S1669" s="498"/>
      <c r="AJ1669" s="498"/>
      <c r="AM1669" s="498">
        <f t="shared" si="566"/>
        <v>0</v>
      </c>
      <c r="AN1669" s="498">
        <f t="shared" si="567"/>
        <v>0</v>
      </c>
      <c r="AO1669" s="498">
        <f t="shared" si="568"/>
        <v>0</v>
      </c>
      <c r="AP1669" s="498">
        <f t="shared" si="587"/>
        <v>0</v>
      </c>
      <c r="AQ1669" s="498">
        <f t="shared" si="582"/>
        <v>0</v>
      </c>
      <c r="AU1669" s="498">
        <f t="shared" si="569"/>
        <v>0</v>
      </c>
      <c r="AV1669" s="498">
        <f t="shared" si="570"/>
        <v>0</v>
      </c>
      <c r="AW1669" s="498">
        <f t="shared" si="571"/>
        <v>0</v>
      </c>
      <c r="AX1669" s="498">
        <f t="shared" si="572"/>
        <v>0</v>
      </c>
      <c r="AY1669" s="498">
        <f t="shared" si="573"/>
        <v>0</v>
      </c>
      <c r="BB1669" s="498" t="str">
        <f t="shared" si="574"/>
        <v/>
      </c>
      <c r="BC1669" s="743" t="str">
        <f t="shared" si="575"/>
        <v/>
      </c>
      <c r="BD1669" s="743" t="str">
        <f t="shared" si="576"/>
        <v/>
      </c>
      <c r="BE1669" s="743" t="str">
        <f>IF(D1669="","",VLOOKUP(D1669,'General Basis'!$J$39:$K$46,2,0))</f>
        <v/>
      </c>
      <c r="BF1669" s="744" t="str">
        <f>IF(D1669="","",VLOOKUP(D1669,'General Basis'!$J$39:$L$46,3,0))</f>
        <v/>
      </c>
      <c r="BG1669" s="744" t="str">
        <f t="shared" si="583"/>
        <v/>
      </c>
      <c r="BH1669" s="744" t="str">
        <f>IF(G1669="","",IF(BF1669="Abu Dhabi",IF(G1669&lt;18,'General Basis'!$C$39,IF(G1669&lt;41,'General Basis'!$C$40,IF(G1669&lt;60,'General Basis'!$C$41,IF(G1669&lt;65,'General Basis'!$C$42,'General Basis'!$C$43)))),IF(G1669&lt;11,'General Basis'!$B$39,IF(G1669&lt;18,'General Basis'!$B$40,IF(G1669&lt;26,'General Basis'!$B$41,IF(G1669&lt;31,'General Basis'!$B$42,IF(G1669&lt;36,'General Basis'!$B$43,IF(G1669&lt;41,'General Basis'!$B$44,IF(G1669&lt;46,'General Basis'!$B$45,IF(G1669&lt;51,'General Basis'!$B$46,IF(G1669&lt;56,'General Basis'!$B$47,IF(G1669&lt;60,'General Basis'!$B$48,IF(G1669&lt;65,'General Basis'!$B$49,'General Basis'!$B$50)))))))))))))</f>
        <v/>
      </c>
      <c r="BI1669" s="744" t="str">
        <f t="shared" si="577"/>
        <v/>
      </c>
      <c r="BJ1669" s="747" t="str">
        <f t="shared" si="584"/>
        <v/>
      </c>
      <c r="BK1669" s="498" t="str">
        <f t="shared" si="578"/>
        <v/>
      </c>
      <c r="BL1669" s="498" t="str">
        <f t="shared" si="579"/>
        <v/>
      </c>
    </row>
    <row r="1670" spans="1:64" x14ac:dyDescent="0.25">
      <c r="A1670" s="762">
        <f t="shared" si="580"/>
        <v>1665</v>
      </c>
      <c r="B1670" s="229"/>
      <c r="C1670" s="223"/>
      <c r="D1670" s="224"/>
      <c r="E1670" s="225"/>
      <c r="F1670" s="1036" t="str">
        <f t="shared" si="586"/>
        <v/>
      </c>
      <c r="G1670" s="1037" t="str">
        <f t="shared" si="581"/>
        <v/>
      </c>
      <c r="H1670" s="225"/>
      <c r="I1670" s="1013"/>
      <c r="J1670" s="1013"/>
      <c r="K1670" s="1028"/>
      <c r="L1670" s="1035" t="str">
        <f t="shared" si="585"/>
        <v/>
      </c>
      <c r="S1670" s="498"/>
      <c r="AJ1670" s="498"/>
      <c r="AM1670" s="498">
        <f t="shared" ref="AM1670:AM1733" si="588">IF(ISTEXT(B1670),1,0)</f>
        <v>0</v>
      </c>
      <c r="AN1670" s="498">
        <f t="shared" ref="AN1670:AN1733" si="589">IF(ISBLANK(B1670),0,IF(B1670&lt;$AK$6,1,0))</f>
        <v>0</v>
      </c>
      <c r="AO1670" s="498">
        <f t="shared" ref="AO1670:AO1733" si="590">IF(ISBLANK(B1670),0,IF(B1670&gt;$AK$7,1,0))</f>
        <v>0</v>
      </c>
      <c r="AP1670" s="498">
        <f t="shared" si="587"/>
        <v>0</v>
      </c>
      <c r="AQ1670" s="498">
        <f t="shared" si="582"/>
        <v>0</v>
      </c>
      <c r="AU1670" s="498">
        <f t="shared" ref="AU1670:AU1733" si="591">IF(ISBLANK(B1670),0,1)</f>
        <v>0</v>
      </c>
      <c r="AV1670" s="498">
        <f t="shared" ref="AV1670:AV1733" si="592">IF(ISBLANK(C1670),0,1)</f>
        <v>0</v>
      </c>
      <c r="AW1670" s="498">
        <f t="shared" ref="AW1670:AW1733" si="593">IF(ISBLANK(D1670),0,1)</f>
        <v>0</v>
      </c>
      <c r="AX1670" s="498">
        <f t="shared" ref="AX1670:AX1733" si="594">IF(ISBLANK(E1670),0,1)</f>
        <v>0</v>
      </c>
      <c r="AY1670" s="498">
        <f t="shared" ref="AY1670:AY1733" si="595">IF(ISBLANK(H1670),0,1)</f>
        <v>0</v>
      </c>
      <c r="BB1670" s="498" t="str">
        <f t="shared" ref="BB1670:BB1733" si="596">IF(E1670="Principal","Principal",IF(E1670="","","Other"))</f>
        <v/>
      </c>
      <c r="BC1670" s="743" t="str">
        <f t="shared" ref="BC1670:BC1733" si="597">IF(D1670="","",D1670)</f>
        <v/>
      </c>
      <c r="BD1670" s="743" t="str">
        <f t="shared" ref="BD1670:BD1733" si="598">IF(E1670="Principal","Employee",IF(E1670="","","Dependent"))</f>
        <v/>
      </c>
      <c r="BE1670" s="743" t="str">
        <f>IF(D1670="","",VLOOKUP(D1670,'General Basis'!$J$39:$K$46,2,0))</f>
        <v/>
      </c>
      <c r="BF1670" s="744" t="str">
        <f>IF(D1670="","",VLOOKUP(D1670,'General Basis'!$J$39:$L$46,3,0))</f>
        <v/>
      </c>
      <c r="BG1670" s="744" t="str">
        <f t="shared" si="583"/>
        <v/>
      </c>
      <c r="BH1670" s="744" t="str">
        <f>IF(G1670="","",IF(BF1670="Abu Dhabi",IF(G1670&lt;18,'General Basis'!$C$39,IF(G1670&lt;41,'General Basis'!$C$40,IF(G1670&lt;60,'General Basis'!$C$41,IF(G1670&lt;65,'General Basis'!$C$42,'General Basis'!$C$43)))),IF(G1670&lt;11,'General Basis'!$B$39,IF(G1670&lt;18,'General Basis'!$B$40,IF(G1670&lt;26,'General Basis'!$B$41,IF(G1670&lt;31,'General Basis'!$B$42,IF(G1670&lt;36,'General Basis'!$B$43,IF(G1670&lt;41,'General Basis'!$B$44,IF(G1670&lt;46,'General Basis'!$B$45,IF(G1670&lt;51,'General Basis'!$B$46,IF(G1670&lt;56,'General Basis'!$B$47,IF(G1670&lt;60,'General Basis'!$B$48,IF(G1670&lt;65,'General Basis'!$B$49,'General Basis'!$B$50)))))))))))))</f>
        <v/>
      </c>
      <c r="BI1670" s="744" t="str">
        <f t="shared" ref="BI1670:BI1733" si="599">IF(C1670="","",IF(C1670="M","Male","Female"))</f>
        <v/>
      </c>
      <c r="BJ1670" s="747" t="str">
        <f t="shared" si="584"/>
        <v/>
      </c>
      <c r="BK1670" s="498" t="str">
        <f t="shared" ref="BK1670:BK1733" si="600">IF(BD1670="","",IF(AND(BD1670="Employee",BI1670="Male",BF1670="Abu Dhabi",BE1670=GN_Plus),VLOOKUP(BH1670,AUH_MALE_EMP,2,0),IF(AND(BD1670="Employee",BI1670="Male",BF1670="Abu Dhabi",BE1670=GN),VLOOKUP(BH1670,AUH_MALE_EMP,3,0),IF(AND(BD1670="Employee",BI1670="Male",BF1670="Abu Dhabi",BE1670=RN_Plus),VLOOKUP(BH1670,AUH_MALE_EMP,4,0),IF(AND(BD1670="Employee",BI1670="Male",BF1670="Abu Dhabi",BE1670=RN),VLOOKUP(BH1670,AUH_MALE_EMP,5,0),IF(AND(BD1670="Employee",BI1670="Male",BF1670="Abu Dhabi",BE1670=RN_2),VLOOKUP(BH1670,AUH_MALE_EMP,6,0),IF(AND(BD1670="Employee",BI1670="Male",BF1670="Abu Dhabi",BE1670=RN2_minus),VLOOKUP(BH1670,AUH_MALE_EMP,7,0),IF(AND(BD1670="Employee",BI1670="Male",BF1670="Abu Dhabi",BE1670=RN_3),VLOOKUP(BH1670,AUH_MALE_EMP,8,0),IF(AND(BD1670="Employee",BI1670="Male",BF1670="Abu Dhabi",BE1670=VN),VLOOKUP(BH1670,AUH_MALE_EMP,9,0),IF(BD1670="","",IF(AND(BD1670="Employee",BI1670="Female",BF1670="Abu Dhabi",BE1670=GN_Plus),VLOOKUP(BH1670,AUH_FEMALE_EMP,2,0),IF(AND(BD1670="Employee",BI1670="Female",BF1670="Abu Dhabi",BE1670=GN),VLOOKUP(BH1670,AUH_FEMALE_EMP,3,0),IF(AND(BD1670="Employee",BI1670="Female",BF1670="Abu Dhabi",BE1670=RN_Plus),VLOOKUP(BH1670,AUH_FEMALE_EMP,4,0),IF(AND(BD1670="Employee",BI1670="Female",BF1670="Abu Dhabi",BE1670=RN),VLOOKUP(BH1670,AUH_FEMALE_EMP,5,0),IF(AND(BD1670="Employee",BI1670="Female",BF1670="Abu Dhabi",BE1670=RN_2),VLOOKUP(BH1670,AUH_FEMALE_EMP,6,0),IF(AND(BD1670="Employee",BI1670="Female",BF1670="Abu Dhabi",BE1670=RN2_minus),VLOOKUP(BH1670,AUH_FEMALE_EMP,7,0),IF(AND(BD1670="Employee",BI1670="Female",BF1670="Abu Dhabi",BE1670=RN_3),VLOOKUP(BH1670,AUH_FEMALE_EMP,8,0),IF(AND(BD1670="Employee",BI1670="Female",BF1670="Abu Dhabi",BE1670=VN),VLOOKUP(BH1670,AUH_FEMALE_EMP,9,0),IF(BD1670="","",IF(AND(BD1670="Dependent",BI1670="Male",BF1670="Abu Dhabi",BE1670=GN_Plus),VLOOKUP(BH1670,AUH_MALE_DEP,2,0),IF(AND(BD1670="Dependent",BI1670="Male",BF1670="Abu Dhabi",BE1670=GN),VLOOKUP(BH1670,AUH_MALE_DEP,3,0),IF(AND(BD1670="Dependent",BI1670="Male",BF1670="Abu Dhabi",BE1670=RN_Plus),VLOOKUP(BH1670,AUH_MALE_DEP,4,0),IF(AND(BD1670="Dependent",BI1670="Male",BF1670="Abu Dhabi",BE1670=RN),VLOOKUP(BH1670,AUH_MALE_DEP,5,0),IF(AND(BD1670="Dependent",BI1670="Male",BF1670="Abu Dhabi",BE1670=RN_2),VLOOKUP(BH1670,AUH_MALE_DEP,6,0),IF(AND(BD1670="Dependent",BI1670="Male",BF1670="Abu Dhabi",BE1670=RN2_minus),VLOOKUP(BH1670,AUH_MALE_DEP,7,0),IF(AND(BD1670="Dependent",BI1670="Male",BF1670="Abu Dhabi",BE1670=RN_3),VLOOKUP(BH1670,AUH_MALE_DEP,8,0),IF(AND(BD1670="Dependent",BI1670="Male",BF1670="Abu Dhabi",BE1670=VN),VLOOKUP(BH1670,AUH_MALE_DEP,9,0),IF(BD1670="","",IF(AND(BD1670="Dependent",BI1670="Female",BF1670="Abu Dhabi",BE1670=GN_Plus),VLOOKUP(BH1670,AUH_FEMALE_DEP,2,0),IF(AND(BD1670="Dependent",BI1670="Female",BF1670="Abu Dhabi",BE1670=GN),VLOOKUP(BH1670,AUH_FEMALE_DEP,3,0),IF(AND(BD1670="Dependent",BI1670="Female",BF1670="Abu Dhabi",BE1670=RN_Plus),VLOOKUP(BH1670,AUH_FEMALE_DEP,4,0),IF(AND(BD1670="Dependent",BI1670="Female",BF1670="Abu Dhabi",BE1670=RN),VLOOKUP(BH1670,AUH_FEMALE_DEP,5,0),IF(AND(BD1670="Dependent",BI1670="Female",BF1670="Abu Dhabi",BE1670=RN_2),VLOOKUP(BH1670,AUH_FEMALE_DEP,6,0),IF(AND(BD1670="Dependent",BI1670="Female",BF1670="Abu Dhabi",BE1670=RN2_minus),VLOOKUP(BH1670,AUH_FEMALE_DEP,7,0),IF(AND(BD1670="Dependent",BI1670="Female",BF1670="Abu Dhabi",BE1670=RN_3),VLOOKUP(BH1670,AUH_FEMALE_DEP,8,0),IF(AND(BD1670="Dependent",BI1670="Female",BF1670="Abu Dhabi",BE1670=VN),VLOOKUP(BH1670,AUH_FEMALE_DEP,9,0),"ABC"))))))))))))))))))))))))))))))))))))</f>
        <v/>
      </c>
      <c r="BL1670" s="498" t="str">
        <f t="shared" ref="BL1670:BL1733" si="601">IF(BD1670="","",IF(AND(BD1670="Employee",BI1670="Male",BF1670="Dubai",BE1670=GN_Plus),VLOOKUP(BH1670,DXB_MALE_EMP,2,0),IF(AND(BD1670="Employee",BI1670="Male",BF1670="Dubai",BE1670=GN),VLOOKUP(BH1670,DXB_MALE_EMP,3,0),IF(AND(BD1670="Employee",BI1670="Male",BF1670="Dubai",BE1670=RN_Plus),VLOOKUP(BH1670,DXB_MALE_EMP,4,0),IF(AND(BD1670="Employee",BI1670="Male",BF1670="Dubai",BE1670=RN),VLOOKUP(BH1670,DXB_MALE_EMP,5,0),IF(AND(BD1670="Employee",BI1670="Male",BF1670="Dubai",BE1670=RN_2),VLOOKUP(BH1670,DXB_MALE_EMP,6,0),IF(AND(BD1670="Employee",BI1670="Male",BF1670="Dubai",BE1670=RN2_minus),VLOOKUP(BH1670,DXB_MALE_EMP,7,0),IF(AND(BD1670="Employee",BI1670="Male",BF1670="Dubai",BE1670=RN_3),VLOOKUP(BH1670,DXB_MALE_EMP,8,0),IF(AND(BD1670="Employee",BI1670="Male",BF1670="Dubai",BE1670=VN),VLOOKUP(BH1670,DXB_MALE_EMP,9,0),IF(BD1670="","",IF(AND(BD1670="Employee",BI1670="Female",BF1670="Dubai",BE1670=GN_Plus),VLOOKUP(BH1670,DXB_FEMALE_EMP,2,0),IF(AND(BD1670="Employee",BI1670="Female",BF1670="Dubai",BE1670=GN),VLOOKUP(BH1670,DXB_FEMALE_EMP,3,0),IF(AND(BD1670="Employee",BI1670="Female",BF1670="Dubai",BE1670=RN_Plus),VLOOKUP(BH1670,DXB_FEMALE_EMP,4,0),IF(AND(BD1670="Employee",BI1670="Female",BF1670="Dubai",BE1670=RN),VLOOKUP(BH1670,DXB_FEMALE_EMP,5,0),IF(AND(BD1670="Employee",BI1670="Female",BF1670="Dubai",BE1670=RN_2),VLOOKUP(BH1670,DXB_FEMALE_EMP,6,0),IF(AND(BD1670="Employee",BI1670="Female",BF1670="Dubai",BE1670=RN2_minus),VLOOKUP(BH1670,DXB_FEMALE_EMP,7,0),IF(AND(BD1670="Employee",BI1670="Female",BF1670="Dubai",BE1670=RN_3),VLOOKUP(BH1670,DXB_FEMALE_EMP,8,0),IF(AND(BD1670="Employee",BI1670="Female",BF1670="Dubai",BE1670=VN),VLOOKUP(BH1670,DXB_FEMALE_EMP,9,0),IF(BD1670="","",IF(AND(BD1670="Dependent",BI1670="Male",BF1670="Dubai",BE1670=GN_Plus),VLOOKUP(BH1670,DXB_MALE_DEP,2,0),IF(AND(BD1670="Dependent",BI1670="Male",BF1670="Dubai",BE1670=GN),VLOOKUP(BH1670,DXB_MALE_DEP,3,0),IF(AND(BD1670="Dependent",BI1670="Male",BF1670="Dubai",BE1670=RN_Plus),VLOOKUP(BH1670,DXB_MALE_DEP,4,0),IF(AND(BD1670="Dependent",BI1670="Male",BF1670="Dubai",BE1670=RN),VLOOKUP(BH1670,DXB_MALE_DEP,5,0),IF(AND(BD1670="Dependent",BI1670="Male",BF1670="Dubai",BE1670=RN_2),VLOOKUP(BH1670,DXB_MALE_DEP,6,0),IF(AND(BD1670="Dependent",BI1670="Male",BF1670="Dubai",BE1670=RN2_minus),VLOOKUP(BH1670,DXB_MALE_DEP,7,0),IF(AND(BD1670="Dependent",BI1670="Male",BF1670="Dubai",BE1670=RN_3),VLOOKUP(BH1670,DXB_MALE_DEP,8,0),IF(AND(BD1670="Dependent",BI1670="Male",BF1670="Dubai",BE1670=VN),VLOOKUP(BH1670,DXB_MALE_DEP,9,0),IF(BD1670="","",IF(AND(BD1670="Dependent",BI1670="Female",BF1670="Dubai",BE1670=GN_Plus),VLOOKUP(BH1670,DXB_FEMALE_DEP,2,0),IF(AND(BD1670="Dependent",BI1670="Female",BF1670="Dubai",BE1670=GN),VLOOKUP(BH1670,DXB_FEMALE_DEP,3,0),IF(AND(BD1670="Dependent",BI1670="Female",BF1670="Dubai",BE1670=RN_Plus),VLOOKUP(BH1670,DXB_FEMALE_DEP,4,0),IF(AND(BD1670="Dependent",BI1670="Female",BF1670="Dubai",BE1670=RN),VLOOKUP(BH1670,DXB_FEMALE_DEP,5,0),IF(AND(BD1670="Dependent",BI1670="Female",BF1670="Dubai",BE1670=RN_2),VLOOKUP(BH1670,DXB_FEMALE_DEP,6,0),IF(AND(BD1670="Dependent",BI1670="Female",BF1670="Dubai",BE1670=RN2_minus),VLOOKUP(BH1670,DXB_FEMALE_DEP,7,0),IF(AND(BD1670="Dependent",BI1670="Female",BF1670="Dubai",BE1670=RN_3),VLOOKUP(BH1670,DXB_FEMALE_DEP,8,0),IF(AND(BD1670="Dependent",BI1670="Female",BF1670="Dubai",BE1670=VN),VLOOKUP(BH1670,DXB_FEMALE_DEP,9,0),"ABC"))))))))))))))))))))))))))))))))))))</f>
        <v/>
      </c>
    </row>
    <row r="1671" spans="1:64" x14ac:dyDescent="0.25">
      <c r="A1671" s="762">
        <f t="shared" ref="A1671:A1734" si="602">+A1670+1</f>
        <v>1666</v>
      </c>
      <c r="B1671" s="229"/>
      <c r="C1671" s="223"/>
      <c r="D1671" s="224"/>
      <c r="E1671" s="225"/>
      <c r="F1671" s="1036" t="str">
        <f t="shared" si="586"/>
        <v/>
      </c>
      <c r="G1671" s="1037" t="str">
        <f t="shared" ref="G1671:G1734" si="603">IF(D1671="","",MAX(0,ROUNDUP(F1671,0)))</f>
        <v/>
      </c>
      <c r="H1671" s="225"/>
      <c r="I1671" s="1013"/>
      <c r="J1671" s="1013"/>
      <c r="K1671" s="1028"/>
      <c r="L1671" s="1035" t="str">
        <f t="shared" si="585"/>
        <v/>
      </c>
      <c r="S1671" s="498"/>
      <c r="AJ1671" s="498"/>
      <c r="AM1671" s="498">
        <f t="shared" si="588"/>
        <v>0</v>
      </c>
      <c r="AN1671" s="498">
        <f t="shared" si="589"/>
        <v>0</v>
      </c>
      <c r="AO1671" s="498">
        <f t="shared" si="590"/>
        <v>0</v>
      </c>
      <c r="AP1671" s="498">
        <f t="shared" si="587"/>
        <v>0</v>
      </c>
      <c r="AQ1671" s="498">
        <f t="shared" ref="AQ1671:AQ1734" si="604">IF(ISBLANK($B1671),0,IF(OR($H1671="Single",$H1671="Married"),0,1))</f>
        <v>0</v>
      </c>
      <c r="AU1671" s="498">
        <f t="shared" si="591"/>
        <v>0</v>
      </c>
      <c r="AV1671" s="498">
        <f t="shared" si="592"/>
        <v>0</v>
      </c>
      <c r="AW1671" s="498">
        <f t="shared" si="593"/>
        <v>0</v>
      </c>
      <c r="AX1671" s="498">
        <f t="shared" si="594"/>
        <v>0</v>
      </c>
      <c r="AY1671" s="498">
        <f t="shared" si="595"/>
        <v>0</v>
      </c>
      <c r="BB1671" s="498" t="str">
        <f t="shared" si="596"/>
        <v/>
      </c>
      <c r="BC1671" s="743" t="str">
        <f t="shared" si="597"/>
        <v/>
      </c>
      <c r="BD1671" s="743" t="str">
        <f t="shared" si="598"/>
        <v/>
      </c>
      <c r="BE1671" s="743" t="str">
        <f>IF(D1671="","",VLOOKUP(D1671,'General Basis'!$J$39:$K$46,2,0))</f>
        <v/>
      </c>
      <c r="BF1671" s="744" t="str">
        <f>IF(D1671="","",VLOOKUP(D1671,'General Basis'!$J$39:$L$46,3,0))</f>
        <v/>
      </c>
      <c r="BG1671" s="744" t="str">
        <f t="shared" ref="BG1671:BG1734" si="605">BC1671&amp;BI1671</f>
        <v/>
      </c>
      <c r="BH1671" s="744" t="str">
        <f>IF(G1671="","",IF(BF1671="Abu Dhabi",IF(G1671&lt;18,'General Basis'!$C$39,IF(G1671&lt;41,'General Basis'!$C$40,IF(G1671&lt;60,'General Basis'!$C$41,IF(G1671&lt;65,'General Basis'!$C$42,'General Basis'!$C$43)))),IF(G1671&lt;11,'General Basis'!$B$39,IF(G1671&lt;18,'General Basis'!$B$40,IF(G1671&lt;26,'General Basis'!$B$41,IF(G1671&lt;31,'General Basis'!$B$42,IF(G1671&lt;36,'General Basis'!$B$43,IF(G1671&lt;41,'General Basis'!$B$44,IF(G1671&lt;46,'General Basis'!$B$45,IF(G1671&lt;51,'General Basis'!$B$46,IF(G1671&lt;56,'General Basis'!$B$47,IF(G1671&lt;60,'General Basis'!$B$48,IF(G1671&lt;65,'General Basis'!$B$49,'General Basis'!$B$50)))))))))))))</f>
        <v/>
      </c>
      <c r="BI1671" s="744" t="str">
        <f t="shared" si="599"/>
        <v/>
      </c>
      <c r="BJ1671" s="747" t="str">
        <f t="shared" ref="BJ1671:BJ1734" si="606">IF(BD1671="","",IF(BF1671="Abu Dhabi",BK1671,BL1671))</f>
        <v/>
      </c>
      <c r="BK1671" s="498" t="str">
        <f t="shared" si="600"/>
        <v/>
      </c>
      <c r="BL1671" s="498" t="str">
        <f t="shared" si="601"/>
        <v/>
      </c>
    </row>
    <row r="1672" spans="1:64" x14ac:dyDescent="0.25">
      <c r="A1672" s="762">
        <f t="shared" si="602"/>
        <v>1667</v>
      </c>
      <c r="B1672" s="229"/>
      <c r="C1672" s="223"/>
      <c r="D1672" s="224"/>
      <c r="E1672" s="225"/>
      <c r="F1672" s="1036" t="str">
        <f t="shared" si="586"/>
        <v/>
      </c>
      <c r="G1672" s="1037" t="str">
        <f t="shared" si="603"/>
        <v/>
      </c>
      <c r="H1672" s="225"/>
      <c r="I1672" s="1013"/>
      <c r="J1672" s="1013"/>
      <c r="K1672" s="1028"/>
      <c r="L1672" s="1035" t="str">
        <f t="shared" ref="L1672:L1735" si="607">IF(AND(E1672="Child",H1672="Married"),"Check the Marital Status of the Child. ",IF(AND(E1672="Child",F1672&gt;18),"Child Age exceed 18 years. ",IF(AND(E1672="Spouse",H1672="Single"),"Spouse is selected as Single. ","")))&amp;IF(K1672&gt;0,"UW Loading has been Applied","")</f>
        <v/>
      </c>
      <c r="S1672" s="498"/>
      <c r="AJ1672" s="498"/>
      <c r="AM1672" s="498">
        <f t="shared" si="588"/>
        <v>0</v>
      </c>
      <c r="AN1672" s="498">
        <f t="shared" si="589"/>
        <v>0</v>
      </c>
      <c r="AO1672" s="498">
        <f t="shared" si="590"/>
        <v>0</v>
      </c>
      <c r="AP1672" s="498">
        <f t="shared" si="587"/>
        <v>0</v>
      </c>
      <c r="AQ1672" s="498">
        <f t="shared" si="604"/>
        <v>0</v>
      </c>
      <c r="AU1672" s="498">
        <f t="shared" si="591"/>
        <v>0</v>
      </c>
      <c r="AV1672" s="498">
        <f t="shared" si="592"/>
        <v>0</v>
      </c>
      <c r="AW1672" s="498">
        <f t="shared" si="593"/>
        <v>0</v>
      </c>
      <c r="AX1672" s="498">
        <f t="shared" si="594"/>
        <v>0</v>
      </c>
      <c r="AY1672" s="498">
        <f t="shared" si="595"/>
        <v>0</v>
      </c>
      <c r="BB1672" s="498" t="str">
        <f t="shared" si="596"/>
        <v/>
      </c>
      <c r="BC1672" s="743" t="str">
        <f t="shared" si="597"/>
        <v/>
      </c>
      <c r="BD1672" s="743" t="str">
        <f t="shared" si="598"/>
        <v/>
      </c>
      <c r="BE1672" s="743" t="str">
        <f>IF(D1672="","",VLOOKUP(D1672,'General Basis'!$J$39:$K$46,2,0))</f>
        <v/>
      </c>
      <c r="BF1672" s="744" t="str">
        <f>IF(D1672="","",VLOOKUP(D1672,'General Basis'!$J$39:$L$46,3,0))</f>
        <v/>
      </c>
      <c r="BG1672" s="744" t="str">
        <f t="shared" si="605"/>
        <v/>
      </c>
      <c r="BH1672" s="744" t="str">
        <f>IF(G1672="","",IF(BF1672="Abu Dhabi",IF(G1672&lt;18,'General Basis'!$C$39,IF(G1672&lt;41,'General Basis'!$C$40,IF(G1672&lt;60,'General Basis'!$C$41,IF(G1672&lt;65,'General Basis'!$C$42,'General Basis'!$C$43)))),IF(G1672&lt;11,'General Basis'!$B$39,IF(G1672&lt;18,'General Basis'!$B$40,IF(G1672&lt;26,'General Basis'!$B$41,IF(G1672&lt;31,'General Basis'!$B$42,IF(G1672&lt;36,'General Basis'!$B$43,IF(G1672&lt;41,'General Basis'!$B$44,IF(G1672&lt;46,'General Basis'!$B$45,IF(G1672&lt;51,'General Basis'!$B$46,IF(G1672&lt;56,'General Basis'!$B$47,IF(G1672&lt;60,'General Basis'!$B$48,IF(G1672&lt;65,'General Basis'!$B$49,'General Basis'!$B$50)))))))))))))</f>
        <v/>
      </c>
      <c r="BI1672" s="744" t="str">
        <f t="shared" si="599"/>
        <v/>
      </c>
      <c r="BJ1672" s="747" t="str">
        <f t="shared" si="606"/>
        <v/>
      </c>
      <c r="BK1672" s="498" t="str">
        <f t="shared" si="600"/>
        <v/>
      </c>
      <c r="BL1672" s="498" t="str">
        <f t="shared" si="601"/>
        <v/>
      </c>
    </row>
    <row r="1673" spans="1:64" x14ac:dyDescent="0.25">
      <c r="A1673" s="762">
        <f t="shared" si="602"/>
        <v>1668</v>
      </c>
      <c r="B1673" s="229"/>
      <c r="C1673" s="223"/>
      <c r="D1673" s="224"/>
      <c r="E1673" s="225"/>
      <c r="F1673" s="1036" t="str">
        <f t="shared" si="586"/>
        <v/>
      </c>
      <c r="G1673" s="1037" t="str">
        <f t="shared" si="603"/>
        <v/>
      </c>
      <c r="H1673" s="225"/>
      <c r="I1673" s="1013"/>
      <c r="J1673" s="1013"/>
      <c r="K1673" s="1028"/>
      <c r="L1673" s="1035" t="str">
        <f t="shared" si="607"/>
        <v/>
      </c>
      <c r="S1673" s="498"/>
      <c r="AJ1673" s="498"/>
      <c r="AM1673" s="498">
        <f t="shared" si="588"/>
        <v>0</v>
      </c>
      <c r="AN1673" s="498">
        <f t="shared" si="589"/>
        <v>0</v>
      </c>
      <c r="AO1673" s="498">
        <f t="shared" si="590"/>
        <v>0</v>
      </c>
      <c r="AP1673" s="498">
        <f t="shared" si="587"/>
        <v>0</v>
      </c>
      <c r="AQ1673" s="498">
        <f t="shared" si="604"/>
        <v>0</v>
      </c>
      <c r="AU1673" s="498">
        <f t="shared" si="591"/>
        <v>0</v>
      </c>
      <c r="AV1673" s="498">
        <f t="shared" si="592"/>
        <v>0</v>
      </c>
      <c r="AW1673" s="498">
        <f t="shared" si="593"/>
        <v>0</v>
      </c>
      <c r="AX1673" s="498">
        <f t="shared" si="594"/>
        <v>0</v>
      </c>
      <c r="AY1673" s="498">
        <f t="shared" si="595"/>
        <v>0</v>
      </c>
      <c r="BB1673" s="498" t="str">
        <f t="shared" si="596"/>
        <v/>
      </c>
      <c r="BC1673" s="743" t="str">
        <f t="shared" si="597"/>
        <v/>
      </c>
      <c r="BD1673" s="743" t="str">
        <f t="shared" si="598"/>
        <v/>
      </c>
      <c r="BE1673" s="743" t="str">
        <f>IF(D1673="","",VLOOKUP(D1673,'General Basis'!$J$39:$K$46,2,0))</f>
        <v/>
      </c>
      <c r="BF1673" s="744" t="str">
        <f>IF(D1673="","",VLOOKUP(D1673,'General Basis'!$J$39:$L$46,3,0))</f>
        <v/>
      </c>
      <c r="BG1673" s="744" t="str">
        <f t="shared" si="605"/>
        <v/>
      </c>
      <c r="BH1673" s="744" t="str">
        <f>IF(G1673="","",IF(BF1673="Abu Dhabi",IF(G1673&lt;18,'General Basis'!$C$39,IF(G1673&lt;41,'General Basis'!$C$40,IF(G1673&lt;60,'General Basis'!$C$41,IF(G1673&lt;65,'General Basis'!$C$42,'General Basis'!$C$43)))),IF(G1673&lt;11,'General Basis'!$B$39,IF(G1673&lt;18,'General Basis'!$B$40,IF(G1673&lt;26,'General Basis'!$B$41,IF(G1673&lt;31,'General Basis'!$B$42,IF(G1673&lt;36,'General Basis'!$B$43,IF(G1673&lt;41,'General Basis'!$B$44,IF(G1673&lt;46,'General Basis'!$B$45,IF(G1673&lt;51,'General Basis'!$B$46,IF(G1673&lt;56,'General Basis'!$B$47,IF(G1673&lt;60,'General Basis'!$B$48,IF(G1673&lt;65,'General Basis'!$B$49,'General Basis'!$B$50)))))))))))))</f>
        <v/>
      </c>
      <c r="BI1673" s="744" t="str">
        <f t="shared" si="599"/>
        <v/>
      </c>
      <c r="BJ1673" s="747" t="str">
        <f t="shared" si="606"/>
        <v/>
      </c>
      <c r="BK1673" s="498" t="str">
        <f t="shared" si="600"/>
        <v/>
      </c>
      <c r="BL1673" s="498" t="str">
        <f t="shared" si="601"/>
        <v/>
      </c>
    </row>
    <row r="1674" spans="1:64" x14ac:dyDescent="0.25">
      <c r="A1674" s="762">
        <f t="shared" si="602"/>
        <v>1669</v>
      </c>
      <c r="B1674" s="229"/>
      <c r="C1674" s="223"/>
      <c r="D1674" s="224"/>
      <c r="E1674" s="225"/>
      <c r="F1674" s="1036" t="str">
        <f t="shared" si="586"/>
        <v/>
      </c>
      <c r="G1674" s="1037" t="str">
        <f t="shared" si="603"/>
        <v/>
      </c>
      <c r="H1674" s="225"/>
      <c r="I1674" s="1013"/>
      <c r="J1674" s="1013"/>
      <c r="K1674" s="1028"/>
      <c r="L1674" s="1035" t="str">
        <f t="shared" si="607"/>
        <v/>
      </c>
      <c r="S1674" s="498"/>
      <c r="AJ1674" s="498"/>
      <c r="AM1674" s="498">
        <f t="shared" si="588"/>
        <v>0</v>
      </c>
      <c r="AN1674" s="498">
        <f t="shared" si="589"/>
        <v>0</v>
      </c>
      <c r="AO1674" s="498">
        <f t="shared" si="590"/>
        <v>0</v>
      </c>
      <c r="AP1674" s="498">
        <f t="shared" si="587"/>
        <v>0</v>
      </c>
      <c r="AQ1674" s="498">
        <f t="shared" si="604"/>
        <v>0</v>
      </c>
      <c r="AU1674" s="498">
        <f t="shared" si="591"/>
        <v>0</v>
      </c>
      <c r="AV1674" s="498">
        <f t="shared" si="592"/>
        <v>0</v>
      </c>
      <c r="AW1674" s="498">
        <f t="shared" si="593"/>
        <v>0</v>
      </c>
      <c r="AX1674" s="498">
        <f t="shared" si="594"/>
        <v>0</v>
      </c>
      <c r="AY1674" s="498">
        <f t="shared" si="595"/>
        <v>0</v>
      </c>
      <c r="BB1674" s="498" t="str">
        <f t="shared" si="596"/>
        <v/>
      </c>
      <c r="BC1674" s="743" t="str">
        <f t="shared" si="597"/>
        <v/>
      </c>
      <c r="BD1674" s="743" t="str">
        <f t="shared" si="598"/>
        <v/>
      </c>
      <c r="BE1674" s="743" t="str">
        <f>IF(D1674="","",VLOOKUP(D1674,'General Basis'!$J$39:$K$46,2,0))</f>
        <v/>
      </c>
      <c r="BF1674" s="744" t="str">
        <f>IF(D1674="","",VLOOKUP(D1674,'General Basis'!$J$39:$L$46,3,0))</f>
        <v/>
      </c>
      <c r="BG1674" s="744" t="str">
        <f t="shared" si="605"/>
        <v/>
      </c>
      <c r="BH1674" s="744" t="str">
        <f>IF(G1674="","",IF(BF1674="Abu Dhabi",IF(G1674&lt;18,'General Basis'!$C$39,IF(G1674&lt;41,'General Basis'!$C$40,IF(G1674&lt;60,'General Basis'!$C$41,IF(G1674&lt;65,'General Basis'!$C$42,'General Basis'!$C$43)))),IF(G1674&lt;11,'General Basis'!$B$39,IF(G1674&lt;18,'General Basis'!$B$40,IF(G1674&lt;26,'General Basis'!$B$41,IF(G1674&lt;31,'General Basis'!$B$42,IF(G1674&lt;36,'General Basis'!$B$43,IF(G1674&lt;41,'General Basis'!$B$44,IF(G1674&lt;46,'General Basis'!$B$45,IF(G1674&lt;51,'General Basis'!$B$46,IF(G1674&lt;56,'General Basis'!$B$47,IF(G1674&lt;60,'General Basis'!$B$48,IF(G1674&lt;65,'General Basis'!$B$49,'General Basis'!$B$50)))))))))))))</f>
        <v/>
      </c>
      <c r="BI1674" s="744" t="str">
        <f t="shared" si="599"/>
        <v/>
      </c>
      <c r="BJ1674" s="747" t="str">
        <f t="shared" si="606"/>
        <v/>
      </c>
      <c r="BK1674" s="498" t="str">
        <f t="shared" si="600"/>
        <v/>
      </c>
      <c r="BL1674" s="498" t="str">
        <f t="shared" si="601"/>
        <v/>
      </c>
    </row>
    <row r="1675" spans="1:64" x14ac:dyDescent="0.25">
      <c r="A1675" s="762">
        <f t="shared" si="602"/>
        <v>1670</v>
      </c>
      <c r="B1675" s="229"/>
      <c r="C1675" s="223"/>
      <c r="D1675" s="224"/>
      <c r="E1675" s="225"/>
      <c r="F1675" s="1036" t="str">
        <f t="shared" si="586"/>
        <v/>
      </c>
      <c r="G1675" s="1037" t="str">
        <f t="shared" si="603"/>
        <v/>
      </c>
      <c r="H1675" s="225"/>
      <c r="I1675" s="1013"/>
      <c r="J1675" s="1013"/>
      <c r="K1675" s="1028"/>
      <c r="L1675" s="1035" t="str">
        <f t="shared" si="607"/>
        <v/>
      </c>
      <c r="S1675" s="498"/>
      <c r="AJ1675" s="498"/>
      <c r="AM1675" s="498">
        <f t="shared" si="588"/>
        <v>0</v>
      </c>
      <c r="AN1675" s="498">
        <f t="shared" si="589"/>
        <v>0</v>
      </c>
      <c r="AO1675" s="498">
        <f t="shared" si="590"/>
        <v>0</v>
      </c>
      <c r="AP1675" s="498">
        <f t="shared" si="587"/>
        <v>0</v>
      </c>
      <c r="AQ1675" s="498">
        <f t="shared" si="604"/>
        <v>0</v>
      </c>
      <c r="AU1675" s="498">
        <f t="shared" si="591"/>
        <v>0</v>
      </c>
      <c r="AV1675" s="498">
        <f t="shared" si="592"/>
        <v>0</v>
      </c>
      <c r="AW1675" s="498">
        <f t="shared" si="593"/>
        <v>0</v>
      </c>
      <c r="AX1675" s="498">
        <f t="shared" si="594"/>
        <v>0</v>
      </c>
      <c r="AY1675" s="498">
        <f t="shared" si="595"/>
        <v>0</v>
      </c>
      <c r="BB1675" s="498" t="str">
        <f t="shared" si="596"/>
        <v/>
      </c>
      <c r="BC1675" s="743" t="str">
        <f t="shared" si="597"/>
        <v/>
      </c>
      <c r="BD1675" s="743" t="str">
        <f t="shared" si="598"/>
        <v/>
      </c>
      <c r="BE1675" s="743" t="str">
        <f>IF(D1675="","",VLOOKUP(D1675,'General Basis'!$J$39:$K$46,2,0))</f>
        <v/>
      </c>
      <c r="BF1675" s="744" t="str">
        <f>IF(D1675="","",VLOOKUP(D1675,'General Basis'!$J$39:$L$46,3,0))</f>
        <v/>
      </c>
      <c r="BG1675" s="744" t="str">
        <f t="shared" si="605"/>
        <v/>
      </c>
      <c r="BH1675" s="744" t="str">
        <f>IF(G1675="","",IF(BF1675="Abu Dhabi",IF(G1675&lt;18,'General Basis'!$C$39,IF(G1675&lt;41,'General Basis'!$C$40,IF(G1675&lt;60,'General Basis'!$C$41,IF(G1675&lt;65,'General Basis'!$C$42,'General Basis'!$C$43)))),IF(G1675&lt;11,'General Basis'!$B$39,IF(G1675&lt;18,'General Basis'!$B$40,IF(G1675&lt;26,'General Basis'!$B$41,IF(G1675&lt;31,'General Basis'!$B$42,IF(G1675&lt;36,'General Basis'!$B$43,IF(G1675&lt;41,'General Basis'!$B$44,IF(G1675&lt;46,'General Basis'!$B$45,IF(G1675&lt;51,'General Basis'!$B$46,IF(G1675&lt;56,'General Basis'!$B$47,IF(G1675&lt;60,'General Basis'!$B$48,IF(G1675&lt;65,'General Basis'!$B$49,'General Basis'!$B$50)))))))))))))</f>
        <v/>
      </c>
      <c r="BI1675" s="744" t="str">
        <f t="shared" si="599"/>
        <v/>
      </c>
      <c r="BJ1675" s="747" t="str">
        <f t="shared" si="606"/>
        <v/>
      </c>
      <c r="BK1675" s="498" t="str">
        <f t="shared" si="600"/>
        <v/>
      </c>
      <c r="BL1675" s="498" t="str">
        <f t="shared" si="601"/>
        <v/>
      </c>
    </row>
    <row r="1676" spans="1:64" x14ac:dyDescent="0.25">
      <c r="A1676" s="762">
        <f t="shared" si="602"/>
        <v>1671</v>
      </c>
      <c r="B1676" s="229"/>
      <c r="C1676" s="223"/>
      <c r="D1676" s="224"/>
      <c r="E1676" s="225"/>
      <c r="F1676" s="1036" t="str">
        <f t="shared" si="586"/>
        <v/>
      </c>
      <c r="G1676" s="1037" t="str">
        <f t="shared" si="603"/>
        <v/>
      </c>
      <c r="H1676" s="225"/>
      <c r="I1676" s="1013"/>
      <c r="J1676" s="1013"/>
      <c r="K1676" s="1028"/>
      <c r="L1676" s="1035" t="str">
        <f t="shared" si="607"/>
        <v/>
      </c>
      <c r="S1676" s="498"/>
      <c r="AJ1676" s="498"/>
      <c r="AM1676" s="498">
        <f t="shared" si="588"/>
        <v>0</v>
      </c>
      <c r="AN1676" s="498">
        <f t="shared" si="589"/>
        <v>0</v>
      </c>
      <c r="AO1676" s="498">
        <f t="shared" si="590"/>
        <v>0</v>
      </c>
      <c r="AP1676" s="498">
        <f t="shared" si="587"/>
        <v>0</v>
      </c>
      <c r="AQ1676" s="498">
        <f t="shared" si="604"/>
        <v>0</v>
      </c>
      <c r="AU1676" s="498">
        <f t="shared" si="591"/>
        <v>0</v>
      </c>
      <c r="AV1676" s="498">
        <f t="shared" si="592"/>
        <v>0</v>
      </c>
      <c r="AW1676" s="498">
        <f t="shared" si="593"/>
        <v>0</v>
      </c>
      <c r="AX1676" s="498">
        <f t="shared" si="594"/>
        <v>0</v>
      </c>
      <c r="AY1676" s="498">
        <f t="shared" si="595"/>
        <v>0</v>
      </c>
      <c r="BB1676" s="498" t="str">
        <f t="shared" si="596"/>
        <v/>
      </c>
      <c r="BC1676" s="743" t="str">
        <f t="shared" si="597"/>
        <v/>
      </c>
      <c r="BD1676" s="743" t="str">
        <f t="shared" si="598"/>
        <v/>
      </c>
      <c r="BE1676" s="743" t="str">
        <f>IF(D1676="","",VLOOKUP(D1676,'General Basis'!$J$39:$K$46,2,0))</f>
        <v/>
      </c>
      <c r="BF1676" s="744" t="str">
        <f>IF(D1676="","",VLOOKUP(D1676,'General Basis'!$J$39:$L$46,3,0))</f>
        <v/>
      </c>
      <c r="BG1676" s="744" t="str">
        <f t="shared" si="605"/>
        <v/>
      </c>
      <c r="BH1676" s="744" t="str">
        <f>IF(G1676="","",IF(BF1676="Abu Dhabi",IF(G1676&lt;18,'General Basis'!$C$39,IF(G1676&lt;41,'General Basis'!$C$40,IF(G1676&lt;60,'General Basis'!$C$41,IF(G1676&lt;65,'General Basis'!$C$42,'General Basis'!$C$43)))),IF(G1676&lt;11,'General Basis'!$B$39,IF(G1676&lt;18,'General Basis'!$B$40,IF(G1676&lt;26,'General Basis'!$B$41,IF(G1676&lt;31,'General Basis'!$B$42,IF(G1676&lt;36,'General Basis'!$B$43,IF(G1676&lt;41,'General Basis'!$B$44,IF(G1676&lt;46,'General Basis'!$B$45,IF(G1676&lt;51,'General Basis'!$B$46,IF(G1676&lt;56,'General Basis'!$B$47,IF(G1676&lt;60,'General Basis'!$B$48,IF(G1676&lt;65,'General Basis'!$B$49,'General Basis'!$B$50)))))))))))))</f>
        <v/>
      </c>
      <c r="BI1676" s="744" t="str">
        <f t="shared" si="599"/>
        <v/>
      </c>
      <c r="BJ1676" s="747" t="str">
        <f t="shared" si="606"/>
        <v/>
      </c>
      <c r="BK1676" s="498" t="str">
        <f t="shared" si="600"/>
        <v/>
      </c>
      <c r="BL1676" s="498" t="str">
        <f t="shared" si="601"/>
        <v/>
      </c>
    </row>
    <row r="1677" spans="1:64" x14ac:dyDescent="0.25">
      <c r="A1677" s="762">
        <f t="shared" si="602"/>
        <v>1672</v>
      </c>
      <c r="B1677" s="229"/>
      <c r="C1677" s="223"/>
      <c r="D1677" s="224"/>
      <c r="E1677" s="225"/>
      <c r="F1677" s="1036" t="str">
        <f t="shared" si="586"/>
        <v/>
      </c>
      <c r="G1677" s="1037" t="str">
        <f t="shared" si="603"/>
        <v/>
      </c>
      <c r="H1677" s="225"/>
      <c r="I1677" s="1013"/>
      <c r="J1677" s="1013"/>
      <c r="K1677" s="1028"/>
      <c r="L1677" s="1035" t="str">
        <f t="shared" si="607"/>
        <v/>
      </c>
      <c r="S1677" s="498"/>
      <c r="AJ1677" s="498"/>
      <c r="AM1677" s="498">
        <f t="shared" si="588"/>
        <v>0</v>
      </c>
      <c r="AN1677" s="498">
        <f t="shared" si="589"/>
        <v>0</v>
      </c>
      <c r="AO1677" s="498">
        <f t="shared" si="590"/>
        <v>0</v>
      </c>
      <c r="AP1677" s="498">
        <f t="shared" si="587"/>
        <v>0</v>
      </c>
      <c r="AQ1677" s="498">
        <f t="shared" si="604"/>
        <v>0</v>
      </c>
      <c r="AU1677" s="498">
        <f t="shared" si="591"/>
        <v>0</v>
      </c>
      <c r="AV1677" s="498">
        <f t="shared" si="592"/>
        <v>0</v>
      </c>
      <c r="AW1677" s="498">
        <f t="shared" si="593"/>
        <v>0</v>
      </c>
      <c r="AX1677" s="498">
        <f t="shared" si="594"/>
        <v>0</v>
      </c>
      <c r="AY1677" s="498">
        <f t="shared" si="595"/>
        <v>0</v>
      </c>
      <c r="BB1677" s="498" t="str">
        <f t="shared" si="596"/>
        <v/>
      </c>
      <c r="BC1677" s="743" t="str">
        <f t="shared" si="597"/>
        <v/>
      </c>
      <c r="BD1677" s="743" t="str">
        <f t="shared" si="598"/>
        <v/>
      </c>
      <c r="BE1677" s="743" t="str">
        <f>IF(D1677="","",VLOOKUP(D1677,'General Basis'!$J$39:$K$46,2,0))</f>
        <v/>
      </c>
      <c r="BF1677" s="744" t="str">
        <f>IF(D1677="","",VLOOKUP(D1677,'General Basis'!$J$39:$L$46,3,0))</f>
        <v/>
      </c>
      <c r="BG1677" s="744" t="str">
        <f t="shared" si="605"/>
        <v/>
      </c>
      <c r="BH1677" s="744" t="str">
        <f>IF(G1677="","",IF(BF1677="Abu Dhabi",IF(G1677&lt;18,'General Basis'!$C$39,IF(G1677&lt;41,'General Basis'!$C$40,IF(G1677&lt;60,'General Basis'!$C$41,IF(G1677&lt;65,'General Basis'!$C$42,'General Basis'!$C$43)))),IF(G1677&lt;11,'General Basis'!$B$39,IF(G1677&lt;18,'General Basis'!$B$40,IF(G1677&lt;26,'General Basis'!$B$41,IF(G1677&lt;31,'General Basis'!$B$42,IF(G1677&lt;36,'General Basis'!$B$43,IF(G1677&lt;41,'General Basis'!$B$44,IF(G1677&lt;46,'General Basis'!$B$45,IF(G1677&lt;51,'General Basis'!$B$46,IF(G1677&lt;56,'General Basis'!$B$47,IF(G1677&lt;60,'General Basis'!$B$48,IF(G1677&lt;65,'General Basis'!$B$49,'General Basis'!$B$50)))))))))))))</f>
        <v/>
      </c>
      <c r="BI1677" s="744" t="str">
        <f t="shared" si="599"/>
        <v/>
      </c>
      <c r="BJ1677" s="747" t="str">
        <f t="shared" si="606"/>
        <v/>
      </c>
      <c r="BK1677" s="498" t="str">
        <f t="shared" si="600"/>
        <v/>
      </c>
      <c r="BL1677" s="498" t="str">
        <f t="shared" si="601"/>
        <v/>
      </c>
    </row>
    <row r="1678" spans="1:64" x14ac:dyDescent="0.25">
      <c r="A1678" s="762">
        <f t="shared" si="602"/>
        <v>1673</v>
      </c>
      <c r="B1678" s="229"/>
      <c r="C1678" s="223"/>
      <c r="D1678" s="224"/>
      <c r="E1678" s="225"/>
      <c r="F1678" s="1036" t="str">
        <f t="shared" si="586"/>
        <v/>
      </c>
      <c r="G1678" s="1037" t="str">
        <f t="shared" si="603"/>
        <v/>
      </c>
      <c r="H1678" s="225"/>
      <c r="I1678" s="1013"/>
      <c r="J1678" s="1013"/>
      <c r="K1678" s="1028"/>
      <c r="L1678" s="1035" t="str">
        <f t="shared" si="607"/>
        <v/>
      </c>
      <c r="S1678" s="498"/>
      <c r="AJ1678" s="498"/>
      <c r="AM1678" s="498">
        <f t="shared" si="588"/>
        <v>0</v>
      </c>
      <c r="AN1678" s="498">
        <f t="shared" si="589"/>
        <v>0</v>
      </c>
      <c r="AO1678" s="498">
        <f t="shared" si="590"/>
        <v>0</v>
      </c>
      <c r="AP1678" s="498">
        <f t="shared" si="587"/>
        <v>0</v>
      </c>
      <c r="AQ1678" s="498">
        <f t="shared" si="604"/>
        <v>0</v>
      </c>
      <c r="AU1678" s="498">
        <f t="shared" si="591"/>
        <v>0</v>
      </c>
      <c r="AV1678" s="498">
        <f t="shared" si="592"/>
        <v>0</v>
      </c>
      <c r="AW1678" s="498">
        <f t="shared" si="593"/>
        <v>0</v>
      </c>
      <c r="AX1678" s="498">
        <f t="shared" si="594"/>
        <v>0</v>
      </c>
      <c r="AY1678" s="498">
        <f t="shared" si="595"/>
        <v>0</v>
      </c>
      <c r="BB1678" s="498" t="str">
        <f t="shared" si="596"/>
        <v/>
      </c>
      <c r="BC1678" s="743" t="str">
        <f t="shared" si="597"/>
        <v/>
      </c>
      <c r="BD1678" s="743" t="str">
        <f t="shared" si="598"/>
        <v/>
      </c>
      <c r="BE1678" s="743" t="str">
        <f>IF(D1678="","",VLOOKUP(D1678,'General Basis'!$J$39:$K$46,2,0))</f>
        <v/>
      </c>
      <c r="BF1678" s="744" t="str">
        <f>IF(D1678="","",VLOOKUP(D1678,'General Basis'!$J$39:$L$46,3,0))</f>
        <v/>
      </c>
      <c r="BG1678" s="744" t="str">
        <f t="shared" si="605"/>
        <v/>
      </c>
      <c r="BH1678" s="744" t="str">
        <f>IF(G1678="","",IF(BF1678="Abu Dhabi",IF(G1678&lt;18,'General Basis'!$C$39,IF(G1678&lt;41,'General Basis'!$C$40,IF(G1678&lt;60,'General Basis'!$C$41,IF(G1678&lt;65,'General Basis'!$C$42,'General Basis'!$C$43)))),IF(G1678&lt;11,'General Basis'!$B$39,IF(G1678&lt;18,'General Basis'!$B$40,IF(G1678&lt;26,'General Basis'!$B$41,IF(G1678&lt;31,'General Basis'!$B$42,IF(G1678&lt;36,'General Basis'!$B$43,IF(G1678&lt;41,'General Basis'!$B$44,IF(G1678&lt;46,'General Basis'!$B$45,IF(G1678&lt;51,'General Basis'!$B$46,IF(G1678&lt;56,'General Basis'!$B$47,IF(G1678&lt;60,'General Basis'!$B$48,IF(G1678&lt;65,'General Basis'!$B$49,'General Basis'!$B$50)))))))))))))</f>
        <v/>
      </c>
      <c r="BI1678" s="744" t="str">
        <f t="shared" si="599"/>
        <v/>
      </c>
      <c r="BJ1678" s="747" t="str">
        <f t="shared" si="606"/>
        <v/>
      </c>
      <c r="BK1678" s="498" t="str">
        <f t="shared" si="600"/>
        <v/>
      </c>
      <c r="BL1678" s="498" t="str">
        <f t="shared" si="601"/>
        <v/>
      </c>
    </row>
    <row r="1679" spans="1:64" x14ac:dyDescent="0.25">
      <c r="A1679" s="762">
        <f t="shared" si="602"/>
        <v>1674</v>
      </c>
      <c r="B1679" s="229"/>
      <c r="C1679" s="223"/>
      <c r="D1679" s="224"/>
      <c r="E1679" s="225"/>
      <c r="F1679" s="1036" t="str">
        <f t="shared" si="586"/>
        <v/>
      </c>
      <c r="G1679" s="1037" t="str">
        <f t="shared" si="603"/>
        <v/>
      </c>
      <c r="H1679" s="225"/>
      <c r="I1679" s="1013"/>
      <c r="J1679" s="1013"/>
      <c r="K1679" s="1028"/>
      <c r="L1679" s="1035" t="str">
        <f t="shared" si="607"/>
        <v/>
      </c>
      <c r="S1679" s="498"/>
      <c r="AJ1679" s="498"/>
      <c r="AM1679" s="498">
        <f t="shared" si="588"/>
        <v>0</v>
      </c>
      <c r="AN1679" s="498">
        <f t="shared" si="589"/>
        <v>0</v>
      </c>
      <c r="AO1679" s="498">
        <f t="shared" si="590"/>
        <v>0</v>
      </c>
      <c r="AP1679" s="498">
        <f t="shared" si="587"/>
        <v>0</v>
      </c>
      <c r="AQ1679" s="498">
        <f t="shared" si="604"/>
        <v>0</v>
      </c>
      <c r="AU1679" s="498">
        <f t="shared" si="591"/>
        <v>0</v>
      </c>
      <c r="AV1679" s="498">
        <f t="shared" si="592"/>
        <v>0</v>
      </c>
      <c r="AW1679" s="498">
        <f t="shared" si="593"/>
        <v>0</v>
      </c>
      <c r="AX1679" s="498">
        <f t="shared" si="594"/>
        <v>0</v>
      </c>
      <c r="AY1679" s="498">
        <f t="shared" si="595"/>
        <v>0</v>
      </c>
      <c r="BB1679" s="498" t="str">
        <f t="shared" si="596"/>
        <v/>
      </c>
      <c r="BC1679" s="743" t="str">
        <f t="shared" si="597"/>
        <v/>
      </c>
      <c r="BD1679" s="743" t="str">
        <f t="shared" si="598"/>
        <v/>
      </c>
      <c r="BE1679" s="743" t="str">
        <f>IF(D1679="","",VLOOKUP(D1679,'General Basis'!$J$39:$K$46,2,0))</f>
        <v/>
      </c>
      <c r="BF1679" s="744" t="str">
        <f>IF(D1679="","",VLOOKUP(D1679,'General Basis'!$J$39:$L$46,3,0))</f>
        <v/>
      </c>
      <c r="BG1679" s="744" t="str">
        <f t="shared" si="605"/>
        <v/>
      </c>
      <c r="BH1679" s="744" t="str">
        <f>IF(G1679="","",IF(BF1679="Abu Dhabi",IF(G1679&lt;18,'General Basis'!$C$39,IF(G1679&lt;41,'General Basis'!$C$40,IF(G1679&lt;60,'General Basis'!$C$41,IF(G1679&lt;65,'General Basis'!$C$42,'General Basis'!$C$43)))),IF(G1679&lt;11,'General Basis'!$B$39,IF(G1679&lt;18,'General Basis'!$B$40,IF(G1679&lt;26,'General Basis'!$B$41,IF(G1679&lt;31,'General Basis'!$B$42,IF(G1679&lt;36,'General Basis'!$B$43,IF(G1679&lt;41,'General Basis'!$B$44,IF(G1679&lt;46,'General Basis'!$B$45,IF(G1679&lt;51,'General Basis'!$B$46,IF(G1679&lt;56,'General Basis'!$B$47,IF(G1679&lt;60,'General Basis'!$B$48,IF(G1679&lt;65,'General Basis'!$B$49,'General Basis'!$B$50)))))))))))))</f>
        <v/>
      </c>
      <c r="BI1679" s="744" t="str">
        <f t="shared" si="599"/>
        <v/>
      </c>
      <c r="BJ1679" s="747" t="str">
        <f t="shared" si="606"/>
        <v/>
      </c>
      <c r="BK1679" s="498" t="str">
        <f t="shared" si="600"/>
        <v/>
      </c>
      <c r="BL1679" s="498" t="str">
        <f t="shared" si="601"/>
        <v/>
      </c>
    </row>
    <row r="1680" spans="1:64" x14ac:dyDescent="0.25">
      <c r="A1680" s="762">
        <f t="shared" si="602"/>
        <v>1675</v>
      </c>
      <c r="B1680" s="229"/>
      <c r="C1680" s="223"/>
      <c r="D1680" s="224"/>
      <c r="E1680" s="225"/>
      <c r="F1680" s="1036" t="str">
        <f t="shared" ref="F1680:F1743" si="608">IF(C1680="","",IF($B1680="","",((YEAR($F$3)-YEAR($B1680))+(MONTH($F$3)-MONTH($B1680))/12+(DAY($F$3)-DAY($B1680))/(DATE(YEAR($F$3),12,31)-DATE(YEAR($F$3),1,1)+1))))</f>
        <v/>
      </c>
      <c r="G1680" s="1037" t="str">
        <f t="shared" si="603"/>
        <v/>
      </c>
      <c r="H1680" s="225"/>
      <c r="I1680" s="1013"/>
      <c r="J1680" s="1013"/>
      <c r="K1680" s="1028"/>
      <c r="L1680" s="1035" t="str">
        <f t="shared" si="607"/>
        <v/>
      </c>
      <c r="S1680" s="498"/>
      <c r="AJ1680" s="498"/>
      <c r="AM1680" s="498">
        <f t="shared" si="588"/>
        <v>0</v>
      </c>
      <c r="AN1680" s="498">
        <f t="shared" si="589"/>
        <v>0</v>
      </c>
      <c r="AO1680" s="498">
        <f t="shared" si="590"/>
        <v>0</v>
      </c>
      <c r="AP1680" s="498">
        <f t="shared" si="587"/>
        <v>0</v>
      </c>
      <c r="AQ1680" s="498">
        <f t="shared" si="604"/>
        <v>0</v>
      </c>
      <c r="AU1680" s="498">
        <f t="shared" si="591"/>
        <v>0</v>
      </c>
      <c r="AV1680" s="498">
        <f t="shared" si="592"/>
        <v>0</v>
      </c>
      <c r="AW1680" s="498">
        <f t="shared" si="593"/>
        <v>0</v>
      </c>
      <c r="AX1680" s="498">
        <f t="shared" si="594"/>
        <v>0</v>
      </c>
      <c r="AY1680" s="498">
        <f t="shared" si="595"/>
        <v>0</v>
      </c>
      <c r="BB1680" s="498" t="str">
        <f t="shared" si="596"/>
        <v/>
      </c>
      <c r="BC1680" s="743" t="str">
        <f t="shared" si="597"/>
        <v/>
      </c>
      <c r="BD1680" s="743" t="str">
        <f t="shared" si="598"/>
        <v/>
      </c>
      <c r="BE1680" s="743" t="str">
        <f>IF(D1680="","",VLOOKUP(D1680,'General Basis'!$J$39:$K$46,2,0))</f>
        <v/>
      </c>
      <c r="BF1680" s="744" t="str">
        <f>IF(D1680="","",VLOOKUP(D1680,'General Basis'!$J$39:$L$46,3,0))</f>
        <v/>
      </c>
      <c r="BG1680" s="744" t="str">
        <f t="shared" si="605"/>
        <v/>
      </c>
      <c r="BH1680" s="744" t="str">
        <f>IF(G1680="","",IF(BF1680="Abu Dhabi",IF(G1680&lt;18,'General Basis'!$C$39,IF(G1680&lt;41,'General Basis'!$C$40,IF(G1680&lt;60,'General Basis'!$C$41,IF(G1680&lt;65,'General Basis'!$C$42,'General Basis'!$C$43)))),IF(G1680&lt;11,'General Basis'!$B$39,IF(G1680&lt;18,'General Basis'!$B$40,IF(G1680&lt;26,'General Basis'!$B$41,IF(G1680&lt;31,'General Basis'!$B$42,IF(G1680&lt;36,'General Basis'!$B$43,IF(G1680&lt;41,'General Basis'!$B$44,IF(G1680&lt;46,'General Basis'!$B$45,IF(G1680&lt;51,'General Basis'!$B$46,IF(G1680&lt;56,'General Basis'!$B$47,IF(G1680&lt;60,'General Basis'!$B$48,IF(G1680&lt;65,'General Basis'!$B$49,'General Basis'!$B$50)))))))))))))</f>
        <v/>
      </c>
      <c r="BI1680" s="744" t="str">
        <f t="shared" si="599"/>
        <v/>
      </c>
      <c r="BJ1680" s="747" t="str">
        <f t="shared" si="606"/>
        <v/>
      </c>
      <c r="BK1680" s="498" t="str">
        <f t="shared" si="600"/>
        <v/>
      </c>
      <c r="BL1680" s="498" t="str">
        <f t="shared" si="601"/>
        <v/>
      </c>
    </row>
    <row r="1681" spans="1:64" x14ac:dyDescent="0.25">
      <c r="A1681" s="762">
        <f t="shared" si="602"/>
        <v>1676</v>
      </c>
      <c r="B1681" s="229"/>
      <c r="C1681" s="223"/>
      <c r="D1681" s="224"/>
      <c r="E1681" s="225"/>
      <c r="F1681" s="1036" t="str">
        <f t="shared" si="608"/>
        <v/>
      </c>
      <c r="G1681" s="1037" t="str">
        <f t="shared" si="603"/>
        <v/>
      </c>
      <c r="H1681" s="225"/>
      <c r="I1681" s="1013"/>
      <c r="J1681" s="1013"/>
      <c r="K1681" s="1028"/>
      <c r="L1681" s="1035" t="str">
        <f t="shared" si="607"/>
        <v/>
      </c>
      <c r="S1681" s="498"/>
      <c r="AJ1681" s="498"/>
      <c r="AM1681" s="498">
        <f t="shared" si="588"/>
        <v>0</v>
      </c>
      <c r="AN1681" s="498">
        <f t="shared" si="589"/>
        <v>0</v>
      </c>
      <c r="AO1681" s="498">
        <f t="shared" si="590"/>
        <v>0</v>
      </c>
      <c r="AP1681" s="498">
        <f t="shared" si="587"/>
        <v>0</v>
      </c>
      <c r="AQ1681" s="498">
        <f t="shared" si="604"/>
        <v>0</v>
      </c>
      <c r="AU1681" s="498">
        <f t="shared" si="591"/>
        <v>0</v>
      </c>
      <c r="AV1681" s="498">
        <f t="shared" si="592"/>
        <v>0</v>
      </c>
      <c r="AW1681" s="498">
        <f t="shared" si="593"/>
        <v>0</v>
      </c>
      <c r="AX1681" s="498">
        <f t="shared" si="594"/>
        <v>0</v>
      </c>
      <c r="AY1681" s="498">
        <f t="shared" si="595"/>
        <v>0</v>
      </c>
      <c r="BB1681" s="498" t="str">
        <f t="shared" si="596"/>
        <v/>
      </c>
      <c r="BC1681" s="743" t="str">
        <f t="shared" si="597"/>
        <v/>
      </c>
      <c r="BD1681" s="743" t="str">
        <f t="shared" si="598"/>
        <v/>
      </c>
      <c r="BE1681" s="743" t="str">
        <f>IF(D1681="","",VLOOKUP(D1681,'General Basis'!$J$39:$K$46,2,0))</f>
        <v/>
      </c>
      <c r="BF1681" s="744" t="str">
        <f>IF(D1681="","",VLOOKUP(D1681,'General Basis'!$J$39:$L$46,3,0))</f>
        <v/>
      </c>
      <c r="BG1681" s="744" t="str">
        <f t="shared" si="605"/>
        <v/>
      </c>
      <c r="BH1681" s="744" t="str">
        <f>IF(G1681="","",IF(BF1681="Abu Dhabi",IF(G1681&lt;18,'General Basis'!$C$39,IF(G1681&lt;41,'General Basis'!$C$40,IF(G1681&lt;60,'General Basis'!$C$41,IF(G1681&lt;65,'General Basis'!$C$42,'General Basis'!$C$43)))),IF(G1681&lt;11,'General Basis'!$B$39,IF(G1681&lt;18,'General Basis'!$B$40,IF(G1681&lt;26,'General Basis'!$B$41,IF(G1681&lt;31,'General Basis'!$B$42,IF(G1681&lt;36,'General Basis'!$B$43,IF(G1681&lt;41,'General Basis'!$B$44,IF(G1681&lt;46,'General Basis'!$B$45,IF(G1681&lt;51,'General Basis'!$B$46,IF(G1681&lt;56,'General Basis'!$B$47,IF(G1681&lt;60,'General Basis'!$B$48,IF(G1681&lt;65,'General Basis'!$B$49,'General Basis'!$B$50)))))))))))))</f>
        <v/>
      </c>
      <c r="BI1681" s="744" t="str">
        <f t="shared" si="599"/>
        <v/>
      </c>
      <c r="BJ1681" s="747" t="str">
        <f t="shared" si="606"/>
        <v/>
      </c>
      <c r="BK1681" s="498" t="str">
        <f t="shared" si="600"/>
        <v/>
      </c>
      <c r="BL1681" s="498" t="str">
        <f t="shared" si="601"/>
        <v/>
      </c>
    </row>
    <row r="1682" spans="1:64" x14ac:dyDescent="0.25">
      <c r="A1682" s="762">
        <f t="shared" si="602"/>
        <v>1677</v>
      </c>
      <c r="B1682" s="229"/>
      <c r="C1682" s="223"/>
      <c r="D1682" s="224"/>
      <c r="E1682" s="225"/>
      <c r="F1682" s="1036" t="str">
        <f t="shared" si="608"/>
        <v/>
      </c>
      <c r="G1682" s="1037" t="str">
        <f t="shared" si="603"/>
        <v/>
      </c>
      <c r="H1682" s="225"/>
      <c r="I1682" s="1013"/>
      <c r="J1682" s="1013"/>
      <c r="K1682" s="1028"/>
      <c r="L1682" s="1035" t="str">
        <f t="shared" si="607"/>
        <v/>
      </c>
      <c r="S1682" s="498"/>
      <c r="AJ1682" s="498"/>
      <c r="AM1682" s="498">
        <f t="shared" si="588"/>
        <v>0</v>
      </c>
      <c r="AN1682" s="498">
        <f t="shared" si="589"/>
        <v>0</v>
      </c>
      <c r="AO1682" s="498">
        <f t="shared" si="590"/>
        <v>0</v>
      </c>
      <c r="AP1682" s="498">
        <f t="shared" si="587"/>
        <v>0</v>
      </c>
      <c r="AQ1682" s="498">
        <f t="shared" si="604"/>
        <v>0</v>
      </c>
      <c r="AU1682" s="498">
        <f t="shared" si="591"/>
        <v>0</v>
      </c>
      <c r="AV1682" s="498">
        <f t="shared" si="592"/>
        <v>0</v>
      </c>
      <c r="AW1682" s="498">
        <f t="shared" si="593"/>
        <v>0</v>
      </c>
      <c r="AX1682" s="498">
        <f t="shared" si="594"/>
        <v>0</v>
      </c>
      <c r="AY1682" s="498">
        <f t="shared" si="595"/>
        <v>0</v>
      </c>
      <c r="BB1682" s="498" t="str">
        <f t="shared" si="596"/>
        <v/>
      </c>
      <c r="BC1682" s="743" t="str">
        <f t="shared" si="597"/>
        <v/>
      </c>
      <c r="BD1682" s="743" t="str">
        <f t="shared" si="598"/>
        <v/>
      </c>
      <c r="BE1682" s="743" t="str">
        <f>IF(D1682="","",VLOOKUP(D1682,'General Basis'!$J$39:$K$46,2,0))</f>
        <v/>
      </c>
      <c r="BF1682" s="744" t="str">
        <f>IF(D1682="","",VLOOKUP(D1682,'General Basis'!$J$39:$L$46,3,0))</f>
        <v/>
      </c>
      <c r="BG1682" s="744" t="str">
        <f t="shared" si="605"/>
        <v/>
      </c>
      <c r="BH1682" s="744" t="str">
        <f>IF(G1682="","",IF(BF1682="Abu Dhabi",IF(G1682&lt;18,'General Basis'!$C$39,IF(G1682&lt;41,'General Basis'!$C$40,IF(G1682&lt;60,'General Basis'!$C$41,IF(G1682&lt;65,'General Basis'!$C$42,'General Basis'!$C$43)))),IF(G1682&lt;11,'General Basis'!$B$39,IF(G1682&lt;18,'General Basis'!$B$40,IF(G1682&lt;26,'General Basis'!$B$41,IF(G1682&lt;31,'General Basis'!$B$42,IF(G1682&lt;36,'General Basis'!$B$43,IF(G1682&lt;41,'General Basis'!$B$44,IF(G1682&lt;46,'General Basis'!$B$45,IF(G1682&lt;51,'General Basis'!$B$46,IF(G1682&lt;56,'General Basis'!$B$47,IF(G1682&lt;60,'General Basis'!$B$48,IF(G1682&lt;65,'General Basis'!$B$49,'General Basis'!$B$50)))))))))))))</f>
        <v/>
      </c>
      <c r="BI1682" s="744" t="str">
        <f t="shared" si="599"/>
        <v/>
      </c>
      <c r="BJ1682" s="747" t="str">
        <f t="shared" si="606"/>
        <v/>
      </c>
      <c r="BK1682" s="498" t="str">
        <f t="shared" si="600"/>
        <v/>
      </c>
      <c r="BL1682" s="498" t="str">
        <f t="shared" si="601"/>
        <v/>
      </c>
    </row>
    <row r="1683" spans="1:64" x14ac:dyDescent="0.25">
      <c r="A1683" s="762">
        <f t="shared" si="602"/>
        <v>1678</v>
      </c>
      <c r="B1683" s="229"/>
      <c r="C1683" s="223"/>
      <c r="D1683" s="224"/>
      <c r="E1683" s="225"/>
      <c r="F1683" s="1036" t="str">
        <f t="shared" si="608"/>
        <v/>
      </c>
      <c r="G1683" s="1037" t="str">
        <f t="shared" si="603"/>
        <v/>
      </c>
      <c r="H1683" s="225"/>
      <c r="I1683" s="1013"/>
      <c r="J1683" s="1013"/>
      <c r="K1683" s="1028"/>
      <c r="L1683" s="1035" t="str">
        <f t="shared" si="607"/>
        <v/>
      </c>
      <c r="S1683" s="498"/>
      <c r="AJ1683" s="498"/>
      <c r="AM1683" s="498">
        <f t="shared" si="588"/>
        <v>0</v>
      </c>
      <c r="AN1683" s="498">
        <f t="shared" si="589"/>
        <v>0</v>
      </c>
      <c r="AO1683" s="498">
        <f t="shared" si="590"/>
        <v>0</v>
      </c>
      <c r="AP1683" s="498">
        <f t="shared" ref="AP1683:AP1746" si="609">IF(ISBLANK($B1683),0,IF(OR($C1683="M",$C1683="F"),0,1))</f>
        <v>0</v>
      </c>
      <c r="AQ1683" s="498">
        <f t="shared" si="604"/>
        <v>0</v>
      </c>
      <c r="AU1683" s="498">
        <f t="shared" si="591"/>
        <v>0</v>
      </c>
      <c r="AV1683" s="498">
        <f t="shared" si="592"/>
        <v>0</v>
      </c>
      <c r="AW1683" s="498">
        <f t="shared" si="593"/>
        <v>0</v>
      </c>
      <c r="AX1683" s="498">
        <f t="shared" si="594"/>
        <v>0</v>
      </c>
      <c r="AY1683" s="498">
        <f t="shared" si="595"/>
        <v>0</v>
      </c>
      <c r="BB1683" s="498" t="str">
        <f t="shared" si="596"/>
        <v/>
      </c>
      <c r="BC1683" s="743" t="str">
        <f t="shared" si="597"/>
        <v/>
      </c>
      <c r="BD1683" s="743" t="str">
        <f t="shared" si="598"/>
        <v/>
      </c>
      <c r="BE1683" s="743" t="str">
        <f>IF(D1683="","",VLOOKUP(D1683,'General Basis'!$J$39:$K$46,2,0))</f>
        <v/>
      </c>
      <c r="BF1683" s="744" t="str">
        <f>IF(D1683="","",VLOOKUP(D1683,'General Basis'!$J$39:$L$46,3,0))</f>
        <v/>
      </c>
      <c r="BG1683" s="744" t="str">
        <f t="shared" si="605"/>
        <v/>
      </c>
      <c r="BH1683" s="744" t="str">
        <f>IF(G1683="","",IF(BF1683="Abu Dhabi",IF(G1683&lt;18,'General Basis'!$C$39,IF(G1683&lt;41,'General Basis'!$C$40,IF(G1683&lt;60,'General Basis'!$C$41,IF(G1683&lt;65,'General Basis'!$C$42,'General Basis'!$C$43)))),IF(G1683&lt;11,'General Basis'!$B$39,IF(G1683&lt;18,'General Basis'!$B$40,IF(G1683&lt;26,'General Basis'!$B$41,IF(G1683&lt;31,'General Basis'!$B$42,IF(G1683&lt;36,'General Basis'!$B$43,IF(G1683&lt;41,'General Basis'!$B$44,IF(G1683&lt;46,'General Basis'!$B$45,IF(G1683&lt;51,'General Basis'!$B$46,IF(G1683&lt;56,'General Basis'!$B$47,IF(G1683&lt;60,'General Basis'!$B$48,IF(G1683&lt;65,'General Basis'!$B$49,'General Basis'!$B$50)))))))))))))</f>
        <v/>
      </c>
      <c r="BI1683" s="744" t="str">
        <f t="shared" si="599"/>
        <v/>
      </c>
      <c r="BJ1683" s="747" t="str">
        <f t="shared" si="606"/>
        <v/>
      </c>
      <c r="BK1683" s="498" t="str">
        <f t="shared" si="600"/>
        <v/>
      </c>
      <c r="BL1683" s="498" t="str">
        <f t="shared" si="601"/>
        <v/>
      </c>
    </row>
    <row r="1684" spans="1:64" x14ac:dyDescent="0.25">
      <c r="A1684" s="762">
        <f t="shared" si="602"/>
        <v>1679</v>
      </c>
      <c r="B1684" s="229"/>
      <c r="C1684" s="223"/>
      <c r="D1684" s="224"/>
      <c r="E1684" s="225"/>
      <c r="F1684" s="1036" t="str">
        <f t="shared" si="608"/>
        <v/>
      </c>
      <c r="G1684" s="1037" t="str">
        <f t="shared" si="603"/>
        <v/>
      </c>
      <c r="H1684" s="225"/>
      <c r="I1684" s="1013"/>
      <c r="J1684" s="1013"/>
      <c r="K1684" s="1028"/>
      <c r="L1684" s="1035" t="str">
        <f t="shared" si="607"/>
        <v/>
      </c>
      <c r="S1684" s="498"/>
      <c r="AJ1684" s="498"/>
      <c r="AM1684" s="498">
        <f t="shared" si="588"/>
        <v>0</v>
      </c>
      <c r="AN1684" s="498">
        <f t="shared" si="589"/>
        <v>0</v>
      </c>
      <c r="AO1684" s="498">
        <f t="shared" si="590"/>
        <v>0</v>
      </c>
      <c r="AP1684" s="498">
        <f t="shared" si="609"/>
        <v>0</v>
      </c>
      <c r="AQ1684" s="498">
        <f t="shared" si="604"/>
        <v>0</v>
      </c>
      <c r="AU1684" s="498">
        <f t="shared" si="591"/>
        <v>0</v>
      </c>
      <c r="AV1684" s="498">
        <f t="shared" si="592"/>
        <v>0</v>
      </c>
      <c r="AW1684" s="498">
        <f t="shared" si="593"/>
        <v>0</v>
      </c>
      <c r="AX1684" s="498">
        <f t="shared" si="594"/>
        <v>0</v>
      </c>
      <c r="AY1684" s="498">
        <f t="shared" si="595"/>
        <v>0</v>
      </c>
      <c r="BB1684" s="498" t="str">
        <f t="shared" si="596"/>
        <v/>
      </c>
      <c r="BC1684" s="743" t="str">
        <f t="shared" si="597"/>
        <v/>
      </c>
      <c r="BD1684" s="743" t="str">
        <f t="shared" si="598"/>
        <v/>
      </c>
      <c r="BE1684" s="743" t="str">
        <f>IF(D1684="","",VLOOKUP(D1684,'General Basis'!$J$39:$K$46,2,0))</f>
        <v/>
      </c>
      <c r="BF1684" s="744" t="str">
        <f>IF(D1684="","",VLOOKUP(D1684,'General Basis'!$J$39:$L$46,3,0))</f>
        <v/>
      </c>
      <c r="BG1684" s="744" t="str">
        <f t="shared" si="605"/>
        <v/>
      </c>
      <c r="BH1684" s="744" t="str">
        <f>IF(G1684="","",IF(BF1684="Abu Dhabi",IF(G1684&lt;18,'General Basis'!$C$39,IF(G1684&lt;41,'General Basis'!$C$40,IF(G1684&lt;60,'General Basis'!$C$41,IF(G1684&lt;65,'General Basis'!$C$42,'General Basis'!$C$43)))),IF(G1684&lt;11,'General Basis'!$B$39,IF(G1684&lt;18,'General Basis'!$B$40,IF(G1684&lt;26,'General Basis'!$B$41,IF(G1684&lt;31,'General Basis'!$B$42,IF(G1684&lt;36,'General Basis'!$B$43,IF(G1684&lt;41,'General Basis'!$B$44,IF(G1684&lt;46,'General Basis'!$B$45,IF(G1684&lt;51,'General Basis'!$B$46,IF(G1684&lt;56,'General Basis'!$B$47,IF(G1684&lt;60,'General Basis'!$B$48,IF(G1684&lt;65,'General Basis'!$B$49,'General Basis'!$B$50)))))))))))))</f>
        <v/>
      </c>
      <c r="BI1684" s="744" t="str">
        <f t="shared" si="599"/>
        <v/>
      </c>
      <c r="BJ1684" s="747" t="str">
        <f t="shared" si="606"/>
        <v/>
      </c>
      <c r="BK1684" s="498" t="str">
        <f t="shared" si="600"/>
        <v/>
      </c>
      <c r="BL1684" s="498" t="str">
        <f t="shared" si="601"/>
        <v/>
      </c>
    </row>
    <row r="1685" spans="1:64" x14ac:dyDescent="0.25">
      <c r="A1685" s="762">
        <f t="shared" si="602"/>
        <v>1680</v>
      </c>
      <c r="B1685" s="229"/>
      <c r="C1685" s="223"/>
      <c r="D1685" s="224"/>
      <c r="E1685" s="225"/>
      <c r="F1685" s="1036" t="str">
        <f t="shared" si="608"/>
        <v/>
      </c>
      <c r="G1685" s="1037" t="str">
        <f t="shared" si="603"/>
        <v/>
      </c>
      <c r="H1685" s="225"/>
      <c r="I1685" s="1013"/>
      <c r="J1685" s="1013"/>
      <c r="K1685" s="1028"/>
      <c r="L1685" s="1035" t="str">
        <f t="shared" si="607"/>
        <v/>
      </c>
      <c r="S1685" s="498"/>
      <c r="AJ1685" s="498"/>
      <c r="AM1685" s="498">
        <f t="shared" si="588"/>
        <v>0</v>
      </c>
      <c r="AN1685" s="498">
        <f t="shared" si="589"/>
        <v>0</v>
      </c>
      <c r="AO1685" s="498">
        <f t="shared" si="590"/>
        <v>0</v>
      </c>
      <c r="AP1685" s="498">
        <f t="shared" si="609"/>
        <v>0</v>
      </c>
      <c r="AQ1685" s="498">
        <f t="shared" si="604"/>
        <v>0</v>
      </c>
      <c r="AU1685" s="498">
        <f t="shared" si="591"/>
        <v>0</v>
      </c>
      <c r="AV1685" s="498">
        <f t="shared" si="592"/>
        <v>0</v>
      </c>
      <c r="AW1685" s="498">
        <f t="shared" si="593"/>
        <v>0</v>
      </c>
      <c r="AX1685" s="498">
        <f t="shared" si="594"/>
        <v>0</v>
      </c>
      <c r="AY1685" s="498">
        <f t="shared" si="595"/>
        <v>0</v>
      </c>
      <c r="BB1685" s="498" t="str">
        <f t="shared" si="596"/>
        <v/>
      </c>
      <c r="BC1685" s="743" t="str">
        <f t="shared" si="597"/>
        <v/>
      </c>
      <c r="BD1685" s="743" t="str">
        <f t="shared" si="598"/>
        <v/>
      </c>
      <c r="BE1685" s="743" t="str">
        <f>IF(D1685="","",VLOOKUP(D1685,'General Basis'!$J$39:$K$46,2,0))</f>
        <v/>
      </c>
      <c r="BF1685" s="744" t="str">
        <f>IF(D1685="","",VLOOKUP(D1685,'General Basis'!$J$39:$L$46,3,0))</f>
        <v/>
      </c>
      <c r="BG1685" s="744" t="str">
        <f t="shared" si="605"/>
        <v/>
      </c>
      <c r="BH1685" s="744" t="str">
        <f>IF(G1685="","",IF(BF1685="Abu Dhabi",IF(G1685&lt;18,'General Basis'!$C$39,IF(G1685&lt;41,'General Basis'!$C$40,IF(G1685&lt;60,'General Basis'!$C$41,IF(G1685&lt;65,'General Basis'!$C$42,'General Basis'!$C$43)))),IF(G1685&lt;11,'General Basis'!$B$39,IF(G1685&lt;18,'General Basis'!$B$40,IF(G1685&lt;26,'General Basis'!$B$41,IF(G1685&lt;31,'General Basis'!$B$42,IF(G1685&lt;36,'General Basis'!$B$43,IF(G1685&lt;41,'General Basis'!$B$44,IF(G1685&lt;46,'General Basis'!$B$45,IF(G1685&lt;51,'General Basis'!$B$46,IF(G1685&lt;56,'General Basis'!$B$47,IF(G1685&lt;60,'General Basis'!$B$48,IF(G1685&lt;65,'General Basis'!$B$49,'General Basis'!$B$50)))))))))))))</f>
        <v/>
      </c>
      <c r="BI1685" s="744" t="str">
        <f t="shared" si="599"/>
        <v/>
      </c>
      <c r="BJ1685" s="747" t="str">
        <f t="shared" si="606"/>
        <v/>
      </c>
      <c r="BK1685" s="498" t="str">
        <f t="shared" si="600"/>
        <v/>
      </c>
      <c r="BL1685" s="498" t="str">
        <f t="shared" si="601"/>
        <v/>
      </c>
    </row>
    <row r="1686" spans="1:64" x14ac:dyDescent="0.25">
      <c r="A1686" s="762">
        <f t="shared" si="602"/>
        <v>1681</v>
      </c>
      <c r="B1686" s="229"/>
      <c r="C1686" s="223"/>
      <c r="D1686" s="224"/>
      <c r="E1686" s="225"/>
      <c r="F1686" s="1036" t="str">
        <f t="shared" si="608"/>
        <v/>
      </c>
      <c r="G1686" s="1037" t="str">
        <f t="shared" si="603"/>
        <v/>
      </c>
      <c r="H1686" s="225"/>
      <c r="I1686" s="1013"/>
      <c r="J1686" s="1013"/>
      <c r="K1686" s="1028"/>
      <c r="L1686" s="1035" t="str">
        <f t="shared" si="607"/>
        <v/>
      </c>
      <c r="S1686" s="498"/>
      <c r="AJ1686" s="498"/>
      <c r="AM1686" s="498">
        <f t="shared" si="588"/>
        <v>0</v>
      </c>
      <c r="AN1686" s="498">
        <f t="shared" si="589"/>
        <v>0</v>
      </c>
      <c r="AO1686" s="498">
        <f t="shared" si="590"/>
        <v>0</v>
      </c>
      <c r="AP1686" s="498">
        <f t="shared" si="609"/>
        <v>0</v>
      </c>
      <c r="AQ1686" s="498">
        <f t="shared" si="604"/>
        <v>0</v>
      </c>
      <c r="AU1686" s="498">
        <f t="shared" si="591"/>
        <v>0</v>
      </c>
      <c r="AV1686" s="498">
        <f t="shared" si="592"/>
        <v>0</v>
      </c>
      <c r="AW1686" s="498">
        <f t="shared" si="593"/>
        <v>0</v>
      </c>
      <c r="AX1686" s="498">
        <f t="shared" si="594"/>
        <v>0</v>
      </c>
      <c r="AY1686" s="498">
        <f t="shared" si="595"/>
        <v>0</v>
      </c>
      <c r="BB1686" s="498" t="str">
        <f t="shared" si="596"/>
        <v/>
      </c>
      <c r="BC1686" s="743" t="str">
        <f t="shared" si="597"/>
        <v/>
      </c>
      <c r="BD1686" s="743" t="str">
        <f t="shared" si="598"/>
        <v/>
      </c>
      <c r="BE1686" s="743" t="str">
        <f>IF(D1686="","",VLOOKUP(D1686,'General Basis'!$J$39:$K$46,2,0))</f>
        <v/>
      </c>
      <c r="BF1686" s="744" t="str">
        <f>IF(D1686="","",VLOOKUP(D1686,'General Basis'!$J$39:$L$46,3,0))</f>
        <v/>
      </c>
      <c r="BG1686" s="744" t="str">
        <f t="shared" si="605"/>
        <v/>
      </c>
      <c r="BH1686" s="744" t="str">
        <f>IF(G1686="","",IF(BF1686="Abu Dhabi",IF(G1686&lt;18,'General Basis'!$C$39,IF(G1686&lt;41,'General Basis'!$C$40,IF(G1686&lt;60,'General Basis'!$C$41,IF(G1686&lt;65,'General Basis'!$C$42,'General Basis'!$C$43)))),IF(G1686&lt;11,'General Basis'!$B$39,IF(G1686&lt;18,'General Basis'!$B$40,IF(G1686&lt;26,'General Basis'!$B$41,IF(G1686&lt;31,'General Basis'!$B$42,IF(G1686&lt;36,'General Basis'!$B$43,IF(G1686&lt;41,'General Basis'!$B$44,IF(G1686&lt;46,'General Basis'!$B$45,IF(G1686&lt;51,'General Basis'!$B$46,IF(G1686&lt;56,'General Basis'!$B$47,IF(G1686&lt;60,'General Basis'!$B$48,IF(G1686&lt;65,'General Basis'!$B$49,'General Basis'!$B$50)))))))))))))</f>
        <v/>
      </c>
      <c r="BI1686" s="744" t="str">
        <f t="shared" si="599"/>
        <v/>
      </c>
      <c r="BJ1686" s="747" t="str">
        <f t="shared" si="606"/>
        <v/>
      </c>
      <c r="BK1686" s="498" t="str">
        <f t="shared" si="600"/>
        <v/>
      </c>
      <c r="BL1686" s="498" t="str">
        <f t="shared" si="601"/>
        <v/>
      </c>
    </row>
    <row r="1687" spans="1:64" x14ac:dyDescent="0.25">
      <c r="A1687" s="762">
        <f t="shared" si="602"/>
        <v>1682</v>
      </c>
      <c r="B1687" s="229"/>
      <c r="C1687" s="223"/>
      <c r="D1687" s="224"/>
      <c r="E1687" s="225"/>
      <c r="F1687" s="1036" t="str">
        <f t="shared" si="608"/>
        <v/>
      </c>
      <c r="G1687" s="1037" t="str">
        <f t="shared" si="603"/>
        <v/>
      </c>
      <c r="H1687" s="225"/>
      <c r="I1687" s="1013"/>
      <c r="J1687" s="1013"/>
      <c r="K1687" s="1028"/>
      <c r="L1687" s="1035" t="str">
        <f t="shared" si="607"/>
        <v/>
      </c>
      <c r="S1687" s="498"/>
      <c r="AJ1687" s="498"/>
      <c r="AM1687" s="498">
        <f t="shared" si="588"/>
        <v>0</v>
      </c>
      <c r="AN1687" s="498">
        <f t="shared" si="589"/>
        <v>0</v>
      </c>
      <c r="AO1687" s="498">
        <f t="shared" si="590"/>
        <v>0</v>
      </c>
      <c r="AP1687" s="498">
        <f t="shared" si="609"/>
        <v>0</v>
      </c>
      <c r="AQ1687" s="498">
        <f t="shared" si="604"/>
        <v>0</v>
      </c>
      <c r="AU1687" s="498">
        <f t="shared" si="591"/>
        <v>0</v>
      </c>
      <c r="AV1687" s="498">
        <f t="shared" si="592"/>
        <v>0</v>
      </c>
      <c r="AW1687" s="498">
        <f t="shared" si="593"/>
        <v>0</v>
      </c>
      <c r="AX1687" s="498">
        <f t="shared" si="594"/>
        <v>0</v>
      </c>
      <c r="AY1687" s="498">
        <f t="shared" si="595"/>
        <v>0</v>
      </c>
      <c r="BB1687" s="498" t="str">
        <f t="shared" si="596"/>
        <v/>
      </c>
      <c r="BC1687" s="743" t="str">
        <f t="shared" si="597"/>
        <v/>
      </c>
      <c r="BD1687" s="743" t="str">
        <f t="shared" si="598"/>
        <v/>
      </c>
      <c r="BE1687" s="743" t="str">
        <f>IF(D1687="","",VLOOKUP(D1687,'General Basis'!$J$39:$K$46,2,0))</f>
        <v/>
      </c>
      <c r="BF1687" s="744" t="str">
        <f>IF(D1687="","",VLOOKUP(D1687,'General Basis'!$J$39:$L$46,3,0))</f>
        <v/>
      </c>
      <c r="BG1687" s="744" t="str">
        <f t="shared" si="605"/>
        <v/>
      </c>
      <c r="BH1687" s="744" t="str">
        <f>IF(G1687="","",IF(BF1687="Abu Dhabi",IF(G1687&lt;18,'General Basis'!$C$39,IF(G1687&lt;41,'General Basis'!$C$40,IF(G1687&lt;60,'General Basis'!$C$41,IF(G1687&lt;65,'General Basis'!$C$42,'General Basis'!$C$43)))),IF(G1687&lt;11,'General Basis'!$B$39,IF(G1687&lt;18,'General Basis'!$B$40,IF(G1687&lt;26,'General Basis'!$B$41,IF(G1687&lt;31,'General Basis'!$B$42,IF(G1687&lt;36,'General Basis'!$B$43,IF(G1687&lt;41,'General Basis'!$B$44,IF(G1687&lt;46,'General Basis'!$B$45,IF(G1687&lt;51,'General Basis'!$B$46,IF(G1687&lt;56,'General Basis'!$B$47,IF(G1687&lt;60,'General Basis'!$B$48,IF(G1687&lt;65,'General Basis'!$B$49,'General Basis'!$B$50)))))))))))))</f>
        <v/>
      </c>
      <c r="BI1687" s="744" t="str">
        <f t="shared" si="599"/>
        <v/>
      </c>
      <c r="BJ1687" s="747" t="str">
        <f t="shared" si="606"/>
        <v/>
      </c>
      <c r="BK1687" s="498" t="str">
        <f t="shared" si="600"/>
        <v/>
      </c>
      <c r="BL1687" s="498" t="str">
        <f t="shared" si="601"/>
        <v/>
      </c>
    </row>
    <row r="1688" spans="1:64" x14ac:dyDescent="0.25">
      <c r="A1688" s="762">
        <f t="shared" si="602"/>
        <v>1683</v>
      </c>
      <c r="B1688" s="229"/>
      <c r="C1688" s="223"/>
      <c r="D1688" s="224"/>
      <c r="E1688" s="225"/>
      <c r="F1688" s="1036" t="str">
        <f t="shared" si="608"/>
        <v/>
      </c>
      <c r="G1688" s="1037" t="str">
        <f t="shared" si="603"/>
        <v/>
      </c>
      <c r="H1688" s="225"/>
      <c r="I1688" s="1013"/>
      <c r="J1688" s="1013"/>
      <c r="K1688" s="1028"/>
      <c r="L1688" s="1035" t="str">
        <f t="shared" si="607"/>
        <v/>
      </c>
      <c r="S1688" s="498"/>
      <c r="AJ1688" s="498"/>
      <c r="AM1688" s="498">
        <f t="shared" si="588"/>
        <v>0</v>
      </c>
      <c r="AN1688" s="498">
        <f t="shared" si="589"/>
        <v>0</v>
      </c>
      <c r="AO1688" s="498">
        <f t="shared" si="590"/>
        <v>0</v>
      </c>
      <c r="AP1688" s="498">
        <f t="shared" si="609"/>
        <v>0</v>
      </c>
      <c r="AQ1688" s="498">
        <f t="shared" si="604"/>
        <v>0</v>
      </c>
      <c r="AU1688" s="498">
        <f t="shared" si="591"/>
        <v>0</v>
      </c>
      <c r="AV1688" s="498">
        <f t="shared" si="592"/>
        <v>0</v>
      </c>
      <c r="AW1688" s="498">
        <f t="shared" si="593"/>
        <v>0</v>
      </c>
      <c r="AX1688" s="498">
        <f t="shared" si="594"/>
        <v>0</v>
      </c>
      <c r="AY1688" s="498">
        <f t="shared" si="595"/>
        <v>0</v>
      </c>
      <c r="BB1688" s="498" t="str">
        <f t="shared" si="596"/>
        <v/>
      </c>
      <c r="BC1688" s="743" t="str">
        <f t="shared" si="597"/>
        <v/>
      </c>
      <c r="BD1688" s="743" t="str">
        <f t="shared" si="598"/>
        <v/>
      </c>
      <c r="BE1688" s="743" t="str">
        <f>IF(D1688="","",VLOOKUP(D1688,'General Basis'!$J$39:$K$46,2,0))</f>
        <v/>
      </c>
      <c r="BF1688" s="744" t="str">
        <f>IF(D1688="","",VLOOKUP(D1688,'General Basis'!$J$39:$L$46,3,0))</f>
        <v/>
      </c>
      <c r="BG1688" s="744" t="str">
        <f t="shared" si="605"/>
        <v/>
      </c>
      <c r="BH1688" s="744" t="str">
        <f>IF(G1688="","",IF(BF1688="Abu Dhabi",IF(G1688&lt;18,'General Basis'!$C$39,IF(G1688&lt;41,'General Basis'!$C$40,IF(G1688&lt;60,'General Basis'!$C$41,IF(G1688&lt;65,'General Basis'!$C$42,'General Basis'!$C$43)))),IF(G1688&lt;11,'General Basis'!$B$39,IF(G1688&lt;18,'General Basis'!$B$40,IF(G1688&lt;26,'General Basis'!$B$41,IF(G1688&lt;31,'General Basis'!$B$42,IF(G1688&lt;36,'General Basis'!$B$43,IF(G1688&lt;41,'General Basis'!$B$44,IF(G1688&lt;46,'General Basis'!$B$45,IF(G1688&lt;51,'General Basis'!$B$46,IF(G1688&lt;56,'General Basis'!$B$47,IF(G1688&lt;60,'General Basis'!$B$48,IF(G1688&lt;65,'General Basis'!$B$49,'General Basis'!$B$50)))))))))))))</f>
        <v/>
      </c>
      <c r="BI1688" s="744" t="str">
        <f t="shared" si="599"/>
        <v/>
      </c>
      <c r="BJ1688" s="747" t="str">
        <f t="shared" si="606"/>
        <v/>
      </c>
      <c r="BK1688" s="498" t="str">
        <f t="shared" si="600"/>
        <v/>
      </c>
      <c r="BL1688" s="498" t="str">
        <f t="shared" si="601"/>
        <v/>
      </c>
    </row>
    <row r="1689" spans="1:64" x14ac:dyDescent="0.25">
      <c r="A1689" s="762">
        <f t="shared" si="602"/>
        <v>1684</v>
      </c>
      <c r="B1689" s="229"/>
      <c r="C1689" s="223"/>
      <c r="D1689" s="224"/>
      <c r="E1689" s="225"/>
      <c r="F1689" s="1036" t="str">
        <f t="shared" si="608"/>
        <v/>
      </c>
      <c r="G1689" s="1037" t="str">
        <f t="shared" si="603"/>
        <v/>
      </c>
      <c r="H1689" s="225"/>
      <c r="I1689" s="1013"/>
      <c r="J1689" s="1013"/>
      <c r="K1689" s="1028"/>
      <c r="L1689" s="1035" t="str">
        <f t="shared" si="607"/>
        <v/>
      </c>
      <c r="S1689" s="498"/>
      <c r="AJ1689" s="498"/>
      <c r="AM1689" s="498">
        <f t="shared" si="588"/>
        <v>0</v>
      </c>
      <c r="AN1689" s="498">
        <f t="shared" si="589"/>
        <v>0</v>
      </c>
      <c r="AO1689" s="498">
        <f t="shared" si="590"/>
        <v>0</v>
      </c>
      <c r="AP1689" s="498">
        <f t="shared" si="609"/>
        <v>0</v>
      </c>
      <c r="AQ1689" s="498">
        <f t="shared" si="604"/>
        <v>0</v>
      </c>
      <c r="AU1689" s="498">
        <f t="shared" si="591"/>
        <v>0</v>
      </c>
      <c r="AV1689" s="498">
        <f t="shared" si="592"/>
        <v>0</v>
      </c>
      <c r="AW1689" s="498">
        <f t="shared" si="593"/>
        <v>0</v>
      </c>
      <c r="AX1689" s="498">
        <f t="shared" si="594"/>
        <v>0</v>
      </c>
      <c r="AY1689" s="498">
        <f t="shared" si="595"/>
        <v>0</v>
      </c>
      <c r="BB1689" s="498" t="str">
        <f t="shared" si="596"/>
        <v/>
      </c>
      <c r="BC1689" s="743" t="str">
        <f t="shared" si="597"/>
        <v/>
      </c>
      <c r="BD1689" s="743" t="str">
        <f t="shared" si="598"/>
        <v/>
      </c>
      <c r="BE1689" s="743" t="str">
        <f>IF(D1689="","",VLOOKUP(D1689,'General Basis'!$J$39:$K$46,2,0))</f>
        <v/>
      </c>
      <c r="BF1689" s="744" t="str">
        <f>IF(D1689="","",VLOOKUP(D1689,'General Basis'!$J$39:$L$46,3,0))</f>
        <v/>
      </c>
      <c r="BG1689" s="744" t="str">
        <f t="shared" si="605"/>
        <v/>
      </c>
      <c r="BH1689" s="744" t="str">
        <f>IF(G1689="","",IF(BF1689="Abu Dhabi",IF(G1689&lt;18,'General Basis'!$C$39,IF(G1689&lt;41,'General Basis'!$C$40,IF(G1689&lt;60,'General Basis'!$C$41,IF(G1689&lt;65,'General Basis'!$C$42,'General Basis'!$C$43)))),IF(G1689&lt;11,'General Basis'!$B$39,IF(G1689&lt;18,'General Basis'!$B$40,IF(G1689&lt;26,'General Basis'!$B$41,IF(G1689&lt;31,'General Basis'!$B$42,IF(G1689&lt;36,'General Basis'!$B$43,IF(G1689&lt;41,'General Basis'!$B$44,IF(G1689&lt;46,'General Basis'!$B$45,IF(G1689&lt;51,'General Basis'!$B$46,IF(G1689&lt;56,'General Basis'!$B$47,IF(G1689&lt;60,'General Basis'!$B$48,IF(G1689&lt;65,'General Basis'!$B$49,'General Basis'!$B$50)))))))))))))</f>
        <v/>
      </c>
      <c r="BI1689" s="744" t="str">
        <f t="shared" si="599"/>
        <v/>
      </c>
      <c r="BJ1689" s="747" t="str">
        <f t="shared" si="606"/>
        <v/>
      </c>
      <c r="BK1689" s="498" t="str">
        <f t="shared" si="600"/>
        <v/>
      </c>
      <c r="BL1689" s="498" t="str">
        <f t="shared" si="601"/>
        <v/>
      </c>
    </row>
    <row r="1690" spans="1:64" x14ac:dyDescent="0.25">
      <c r="A1690" s="762">
        <f t="shared" si="602"/>
        <v>1685</v>
      </c>
      <c r="B1690" s="229"/>
      <c r="C1690" s="223"/>
      <c r="D1690" s="224"/>
      <c r="E1690" s="225"/>
      <c r="F1690" s="1036" t="str">
        <f t="shared" si="608"/>
        <v/>
      </c>
      <c r="G1690" s="1037" t="str">
        <f t="shared" si="603"/>
        <v/>
      </c>
      <c r="H1690" s="225"/>
      <c r="I1690" s="1013"/>
      <c r="J1690" s="1013"/>
      <c r="K1690" s="1028"/>
      <c r="L1690" s="1035" t="str">
        <f t="shared" si="607"/>
        <v/>
      </c>
      <c r="S1690" s="498"/>
      <c r="AJ1690" s="498"/>
      <c r="AM1690" s="498">
        <f t="shared" si="588"/>
        <v>0</v>
      </c>
      <c r="AN1690" s="498">
        <f t="shared" si="589"/>
        <v>0</v>
      </c>
      <c r="AO1690" s="498">
        <f t="shared" si="590"/>
        <v>0</v>
      </c>
      <c r="AP1690" s="498">
        <f t="shared" si="609"/>
        <v>0</v>
      </c>
      <c r="AQ1690" s="498">
        <f t="shared" si="604"/>
        <v>0</v>
      </c>
      <c r="AU1690" s="498">
        <f t="shared" si="591"/>
        <v>0</v>
      </c>
      <c r="AV1690" s="498">
        <f t="shared" si="592"/>
        <v>0</v>
      </c>
      <c r="AW1690" s="498">
        <f t="shared" si="593"/>
        <v>0</v>
      </c>
      <c r="AX1690" s="498">
        <f t="shared" si="594"/>
        <v>0</v>
      </c>
      <c r="AY1690" s="498">
        <f t="shared" si="595"/>
        <v>0</v>
      </c>
      <c r="BB1690" s="498" t="str">
        <f t="shared" si="596"/>
        <v/>
      </c>
      <c r="BC1690" s="743" t="str">
        <f t="shared" si="597"/>
        <v/>
      </c>
      <c r="BD1690" s="743" t="str">
        <f t="shared" si="598"/>
        <v/>
      </c>
      <c r="BE1690" s="743" t="str">
        <f>IF(D1690="","",VLOOKUP(D1690,'General Basis'!$J$39:$K$46,2,0))</f>
        <v/>
      </c>
      <c r="BF1690" s="744" t="str">
        <f>IF(D1690="","",VLOOKUP(D1690,'General Basis'!$J$39:$L$46,3,0))</f>
        <v/>
      </c>
      <c r="BG1690" s="744" t="str">
        <f t="shared" si="605"/>
        <v/>
      </c>
      <c r="BH1690" s="744" t="str">
        <f>IF(G1690="","",IF(BF1690="Abu Dhabi",IF(G1690&lt;18,'General Basis'!$C$39,IF(G1690&lt;41,'General Basis'!$C$40,IF(G1690&lt;60,'General Basis'!$C$41,IF(G1690&lt;65,'General Basis'!$C$42,'General Basis'!$C$43)))),IF(G1690&lt;11,'General Basis'!$B$39,IF(G1690&lt;18,'General Basis'!$B$40,IF(G1690&lt;26,'General Basis'!$B$41,IF(G1690&lt;31,'General Basis'!$B$42,IF(G1690&lt;36,'General Basis'!$B$43,IF(G1690&lt;41,'General Basis'!$B$44,IF(G1690&lt;46,'General Basis'!$B$45,IF(G1690&lt;51,'General Basis'!$B$46,IF(G1690&lt;56,'General Basis'!$B$47,IF(G1690&lt;60,'General Basis'!$B$48,IF(G1690&lt;65,'General Basis'!$B$49,'General Basis'!$B$50)))))))))))))</f>
        <v/>
      </c>
      <c r="BI1690" s="744" t="str">
        <f t="shared" si="599"/>
        <v/>
      </c>
      <c r="BJ1690" s="747" t="str">
        <f t="shared" si="606"/>
        <v/>
      </c>
      <c r="BK1690" s="498" t="str">
        <f t="shared" si="600"/>
        <v/>
      </c>
      <c r="BL1690" s="498" t="str">
        <f t="shared" si="601"/>
        <v/>
      </c>
    </row>
    <row r="1691" spans="1:64" x14ac:dyDescent="0.25">
      <c r="A1691" s="762">
        <f t="shared" si="602"/>
        <v>1686</v>
      </c>
      <c r="B1691" s="229"/>
      <c r="C1691" s="223"/>
      <c r="D1691" s="224"/>
      <c r="E1691" s="225"/>
      <c r="F1691" s="1036" t="str">
        <f t="shared" si="608"/>
        <v/>
      </c>
      <c r="G1691" s="1037" t="str">
        <f t="shared" si="603"/>
        <v/>
      </c>
      <c r="H1691" s="225"/>
      <c r="I1691" s="1013"/>
      <c r="J1691" s="1013"/>
      <c r="K1691" s="1028"/>
      <c r="L1691" s="1035" t="str">
        <f t="shared" si="607"/>
        <v/>
      </c>
      <c r="S1691" s="498"/>
      <c r="AJ1691" s="498"/>
      <c r="AM1691" s="498">
        <f t="shared" si="588"/>
        <v>0</v>
      </c>
      <c r="AN1691" s="498">
        <f t="shared" si="589"/>
        <v>0</v>
      </c>
      <c r="AO1691" s="498">
        <f t="shared" si="590"/>
        <v>0</v>
      </c>
      <c r="AP1691" s="498">
        <f t="shared" si="609"/>
        <v>0</v>
      </c>
      <c r="AQ1691" s="498">
        <f t="shared" si="604"/>
        <v>0</v>
      </c>
      <c r="AU1691" s="498">
        <f t="shared" si="591"/>
        <v>0</v>
      </c>
      <c r="AV1691" s="498">
        <f t="shared" si="592"/>
        <v>0</v>
      </c>
      <c r="AW1691" s="498">
        <f t="shared" si="593"/>
        <v>0</v>
      </c>
      <c r="AX1691" s="498">
        <f t="shared" si="594"/>
        <v>0</v>
      </c>
      <c r="AY1691" s="498">
        <f t="shared" si="595"/>
        <v>0</v>
      </c>
      <c r="BB1691" s="498" t="str">
        <f t="shared" si="596"/>
        <v/>
      </c>
      <c r="BC1691" s="743" t="str">
        <f t="shared" si="597"/>
        <v/>
      </c>
      <c r="BD1691" s="743" t="str">
        <f t="shared" si="598"/>
        <v/>
      </c>
      <c r="BE1691" s="743" t="str">
        <f>IF(D1691="","",VLOOKUP(D1691,'General Basis'!$J$39:$K$46,2,0))</f>
        <v/>
      </c>
      <c r="BF1691" s="744" t="str">
        <f>IF(D1691="","",VLOOKUP(D1691,'General Basis'!$J$39:$L$46,3,0))</f>
        <v/>
      </c>
      <c r="BG1691" s="744" t="str">
        <f t="shared" si="605"/>
        <v/>
      </c>
      <c r="BH1691" s="744" t="str">
        <f>IF(G1691="","",IF(BF1691="Abu Dhabi",IF(G1691&lt;18,'General Basis'!$C$39,IF(G1691&lt;41,'General Basis'!$C$40,IF(G1691&lt;60,'General Basis'!$C$41,IF(G1691&lt;65,'General Basis'!$C$42,'General Basis'!$C$43)))),IF(G1691&lt;11,'General Basis'!$B$39,IF(G1691&lt;18,'General Basis'!$B$40,IF(G1691&lt;26,'General Basis'!$B$41,IF(G1691&lt;31,'General Basis'!$B$42,IF(G1691&lt;36,'General Basis'!$B$43,IF(G1691&lt;41,'General Basis'!$B$44,IF(G1691&lt;46,'General Basis'!$B$45,IF(G1691&lt;51,'General Basis'!$B$46,IF(G1691&lt;56,'General Basis'!$B$47,IF(G1691&lt;60,'General Basis'!$B$48,IF(G1691&lt;65,'General Basis'!$B$49,'General Basis'!$B$50)))))))))))))</f>
        <v/>
      </c>
      <c r="BI1691" s="744" t="str">
        <f t="shared" si="599"/>
        <v/>
      </c>
      <c r="BJ1691" s="747" t="str">
        <f t="shared" si="606"/>
        <v/>
      </c>
      <c r="BK1691" s="498" t="str">
        <f t="shared" si="600"/>
        <v/>
      </c>
      <c r="BL1691" s="498" t="str">
        <f t="shared" si="601"/>
        <v/>
      </c>
    </row>
    <row r="1692" spans="1:64" x14ac:dyDescent="0.25">
      <c r="A1692" s="762">
        <f t="shared" si="602"/>
        <v>1687</v>
      </c>
      <c r="B1692" s="229"/>
      <c r="C1692" s="223"/>
      <c r="D1692" s="224"/>
      <c r="E1692" s="225"/>
      <c r="F1692" s="1036" t="str">
        <f t="shared" si="608"/>
        <v/>
      </c>
      <c r="G1692" s="1037" t="str">
        <f t="shared" si="603"/>
        <v/>
      </c>
      <c r="H1692" s="225"/>
      <c r="I1692" s="1013"/>
      <c r="J1692" s="1013"/>
      <c r="K1692" s="1028"/>
      <c r="L1692" s="1035" t="str">
        <f t="shared" si="607"/>
        <v/>
      </c>
      <c r="S1692" s="498"/>
      <c r="AJ1692" s="498"/>
      <c r="AM1692" s="498">
        <f t="shared" si="588"/>
        <v>0</v>
      </c>
      <c r="AN1692" s="498">
        <f t="shared" si="589"/>
        <v>0</v>
      </c>
      <c r="AO1692" s="498">
        <f t="shared" si="590"/>
        <v>0</v>
      </c>
      <c r="AP1692" s="498">
        <f t="shared" si="609"/>
        <v>0</v>
      </c>
      <c r="AQ1692" s="498">
        <f t="shared" si="604"/>
        <v>0</v>
      </c>
      <c r="AU1692" s="498">
        <f t="shared" si="591"/>
        <v>0</v>
      </c>
      <c r="AV1692" s="498">
        <f t="shared" si="592"/>
        <v>0</v>
      </c>
      <c r="AW1692" s="498">
        <f t="shared" si="593"/>
        <v>0</v>
      </c>
      <c r="AX1692" s="498">
        <f t="shared" si="594"/>
        <v>0</v>
      </c>
      <c r="AY1692" s="498">
        <f t="shared" si="595"/>
        <v>0</v>
      </c>
      <c r="BB1692" s="498" t="str">
        <f t="shared" si="596"/>
        <v/>
      </c>
      <c r="BC1692" s="743" t="str">
        <f t="shared" si="597"/>
        <v/>
      </c>
      <c r="BD1692" s="743" t="str">
        <f t="shared" si="598"/>
        <v/>
      </c>
      <c r="BE1692" s="743" t="str">
        <f>IF(D1692="","",VLOOKUP(D1692,'General Basis'!$J$39:$K$46,2,0))</f>
        <v/>
      </c>
      <c r="BF1692" s="744" t="str">
        <f>IF(D1692="","",VLOOKUP(D1692,'General Basis'!$J$39:$L$46,3,0))</f>
        <v/>
      </c>
      <c r="BG1692" s="744" t="str">
        <f t="shared" si="605"/>
        <v/>
      </c>
      <c r="BH1692" s="744" t="str">
        <f>IF(G1692="","",IF(BF1692="Abu Dhabi",IF(G1692&lt;18,'General Basis'!$C$39,IF(G1692&lt;41,'General Basis'!$C$40,IF(G1692&lt;60,'General Basis'!$C$41,IF(G1692&lt;65,'General Basis'!$C$42,'General Basis'!$C$43)))),IF(G1692&lt;11,'General Basis'!$B$39,IF(G1692&lt;18,'General Basis'!$B$40,IF(G1692&lt;26,'General Basis'!$B$41,IF(G1692&lt;31,'General Basis'!$B$42,IF(G1692&lt;36,'General Basis'!$B$43,IF(G1692&lt;41,'General Basis'!$B$44,IF(G1692&lt;46,'General Basis'!$B$45,IF(G1692&lt;51,'General Basis'!$B$46,IF(G1692&lt;56,'General Basis'!$B$47,IF(G1692&lt;60,'General Basis'!$B$48,IF(G1692&lt;65,'General Basis'!$B$49,'General Basis'!$B$50)))))))))))))</f>
        <v/>
      </c>
      <c r="BI1692" s="744" t="str">
        <f t="shared" si="599"/>
        <v/>
      </c>
      <c r="BJ1692" s="747" t="str">
        <f t="shared" si="606"/>
        <v/>
      </c>
      <c r="BK1692" s="498" t="str">
        <f t="shared" si="600"/>
        <v/>
      </c>
      <c r="BL1692" s="498" t="str">
        <f t="shared" si="601"/>
        <v/>
      </c>
    </row>
    <row r="1693" spans="1:64" x14ac:dyDescent="0.25">
      <c r="A1693" s="762">
        <f t="shared" si="602"/>
        <v>1688</v>
      </c>
      <c r="B1693" s="229"/>
      <c r="C1693" s="223"/>
      <c r="D1693" s="224"/>
      <c r="E1693" s="225"/>
      <c r="F1693" s="1036" t="str">
        <f t="shared" si="608"/>
        <v/>
      </c>
      <c r="G1693" s="1037" t="str">
        <f t="shared" si="603"/>
        <v/>
      </c>
      <c r="H1693" s="225"/>
      <c r="I1693" s="1013"/>
      <c r="J1693" s="1013"/>
      <c r="K1693" s="1028"/>
      <c r="L1693" s="1035" t="str">
        <f t="shared" si="607"/>
        <v/>
      </c>
      <c r="S1693" s="498"/>
      <c r="AJ1693" s="498"/>
      <c r="AM1693" s="498">
        <f t="shared" si="588"/>
        <v>0</v>
      </c>
      <c r="AN1693" s="498">
        <f t="shared" si="589"/>
        <v>0</v>
      </c>
      <c r="AO1693" s="498">
        <f t="shared" si="590"/>
        <v>0</v>
      </c>
      <c r="AP1693" s="498">
        <f t="shared" si="609"/>
        <v>0</v>
      </c>
      <c r="AQ1693" s="498">
        <f t="shared" si="604"/>
        <v>0</v>
      </c>
      <c r="AU1693" s="498">
        <f t="shared" si="591"/>
        <v>0</v>
      </c>
      <c r="AV1693" s="498">
        <f t="shared" si="592"/>
        <v>0</v>
      </c>
      <c r="AW1693" s="498">
        <f t="shared" si="593"/>
        <v>0</v>
      </c>
      <c r="AX1693" s="498">
        <f t="shared" si="594"/>
        <v>0</v>
      </c>
      <c r="AY1693" s="498">
        <f t="shared" si="595"/>
        <v>0</v>
      </c>
      <c r="BB1693" s="498" t="str">
        <f t="shared" si="596"/>
        <v/>
      </c>
      <c r="BC1693" s="743" t="str">
        <f t="shared" si="597"/>
        <v/>
      </c>
      <c r="BD1693" s="743" t="str">
        <f t="shared" si="598"/>
        <v/>
      </c>
      <c r="BE1693" s="743" t="str">
        <f>IF(D1693="","",VLOOKUP(D1693,'General Basis'!$J$39:$K$46,2,0))</f>
        <v/>
      </c>
      <c r="BF1693" s="744" t="str">
        <f>IF(D1693="","",VLOOKUP(D1693,'General Basis'!$J$39:$L$46,3,0))</f>
        <v/>
      </c>
      <c r="BG1693" s="744" t="str">
        <f t="shared" si="605"/>
        <v/>
      </c>
      <c r="BH1693" s="744" t="str">
        <f>IF(G1693="","",IF(BF1693="Abu Dhabi",IF(G1693&lt;18,'General Basis'!$C$39,IF(G1693&lt;41,'General Basis'!$C$40,IF(G1693&lt;60,'General Basis'!$C$41,IF(G1693&lt;65,'General Basis'!$C$42,'General Basis'!$C$43)))),IF(G1693&lt;11,'General Basis'!$B$39,IF(G1693&lt;18,'General Basis'!$B$40,IF(G1693&lt;26,'General Basis'!$B$41,IF(G1693&lt;31,'General Basis'!$B$42,IF(G1693&lt;36,'General Basis'!$B$43,IF(G1693&lt;41,'General Basis'!$B$44,IF(G1693&lt;46,'General Basis'!$B$45,IF(G1693&lt;51,'General Basis'!$B$46,IF(G1693&lt;56,'General Basis'!$B$47,IF(G1693&lt;60,'General Basis'!$B$48,IF(G1693&lt;65,'General Basis'!$B$49,'General Basis'!$B$50)))))))))))))</f>
        <v/>
      </c>
      <c r="BI1693" s="744" t="str">
        <f t="shared" si="599"/>
        <v/>
      </c>
      <c r="BJ1693" s="747" t="str">
        <f t="shared" si="606"/>
        <v/>
      </c>
      <c r="BK1693" s="498" t="str">
        <f t="shared" si="600"/>
        <v/>
      </c>
      <c r="BL1693" s="498" t="str">
        <f t="shared" si="601"/>
        <v/>
      </c>
    </row>
    <row r="1694" spans="1:64" x14ac:dyDescent="0.25">
      <c r="A1694" s="762">
        <f t="shared" si="602"/>
        <v>1689</v>
      </c>
      <c r="B1694" s="229"/>
      <c r="C1694" s="223"/>
      <c r="D1694" s="224"/>
      <c r="E1694" s="225"/>
      <c r="F1694" s="1036" t="str">
        <f t="shared" si="608"/>
        <v/>
      </c>
      <c r="G1694" s="1037" t="str">
        <f t="shared" si="603"/>
        <v/>
      </c>
      <c r="H1694" s="225"/>
      <c r="I1694" s="1013"/>
      <c r="J1694" s="1013"/>
      <c r="K1694" s="1028"/>
      <c r="L1694" s="1035" t="str">
        <f t="shared" si="607"/>
        <v/>
      </c>
      <c r="S1694" s="498"/>
      <c r="AJ1694" s="498"/>
      <c r="AM1694" s="498">
        <f t="shared" si="588"/>
        <v>0</v>
      </c>
      <c r="AN1694" s="498">
        <f t="shared" si="589"/>
        <v>0</v>
      </c>
      <c r="AO1694" s="498">
        <f t="shared" si="590"/>
        <v>0</v>
      </c>
      <c r="AP1694" s="498">
        <f t="shared" si="609"/>
        <v>0</v>
      </c>
      <c r="AQ1694" s="498">
        <f t="shared" si="604"/>
        <v>0</v>
      </c>
      <c r="AU1694" s="498">
        <f t="shared" si="591"/>
        <v>0</v>
      </c>
      <c r="AV1694" s="498">
        <f t="shared" si="592"/>
        <v>0</v>
      </c>
      <c r="AW1694" s="498">
        <f t="shared" si="593"/>
        <v>0</v>
      </c>
      <c r="AX1694" s="498">
        <f t="shared" si="594"/>
        <v>0</v>
      </c>
      <c r="AY1694" s="498">
        <f t="shared" si="595"/>
        <v>0</v>
      </c>
      <c r="BB1694" s="498" t="str">
        <f t="shared" si="596"/>
        <v/>
      </c>
      <c r="BC1694" s="743" t="str">
        <f t="shared" si="597"/>
        <v/>
      </c>
      <c r="BD1694" s="743" t="str">
        <f t="shared" si="598"/>
        <v/>
      </c>
      <c r="BE1694" s="743" t="str">
        <f>IF(D1694="","",VLOOKUP(D1694,'General Basis'!$J$39:$K$46,2,0))</f>
        <v/>
      </c>
      <c r="BF1694" s="744" t="str">
        <f>IF(D1694="","",VLOOKUP(D1694,'General Basis'!$J$39:$L$46,3,0))</f>
        <v/>
      </c>
      <c r="BG1694" s="744" t="str">
        <f t="shared" si="605"/>
        <v/>
      </c>
      <c r="BH1694" s="744" t="str">
        <f>IF(G1694="","",IF(BF1694="Abu Dhabi",IF(G1694&lt;18,'General Basis'!$C$39,IF(G1694&lt;41,'General Basis'!$C$40,IF(G1694&lt;60,'General Basis'!$C$41,IF(G1694&lt;65,'General Basis'!$C$42,'General Basis'!$C$43)))),IF(G1694&lt;11,'General Basis'!$B$39,IF(G1694&lt;18,'General Basis'!$B$40,IF(G1694&lt;26,'General Basis'!$B$41,IF(G1694&lt;31,'General Basis'!$B$42,IF(G1694&lt;36,'General Basis'!$B$43,IF(G1694&lt;41,'General Basis'!$B$44,IF(G1694&lt;46,'General Basis'!$B$45,IF(G1694&lt;51,'General Basis'!$B$46,IF(G1694&lt;56,'General Basis'!$B$47,IF(G1694&lt;60,'General Basis'!$B$48,IF(G1694&lt;65,'General Basis'!$B$49,'General Basis'!$B$50)))))))))))))</f>
        <v/>
      </c>
      <c r="BI1694" s="744" t="str">
        <f t="shared" si="599"/>
        <v/>
      </c>
      <c r="BJ1694" s="747" t="str">
        <f t="shared" si="606"/>
        <v/>
      </c>
      <c r="BK1694" s="498" t="str">
        <f t="shared" si="600"/>
        <v/>
      </c>
      <c r="BL1694" s="498" t="str">
        <f t="shared" si="601"/>
        <v/>
      </c>
    </row>
    <row r="1695" spans="1:64" x14ac:dyDescent="0.25">
      <c r="A1695" s="762">
        <f t="shared" si="602"/>
        <v>1690</v>
      </c>
      <c r="B1695" s="229"/>
      <c r="C1695" s="223"/>
      <c r="D1695" s="224"/>
      <c r="E1695" s="225"/>
      <c r="F1695" s="1036" t="str">
        <f t="shared" si="608"/>
        <v/>
      </c>
      <c r="G1695" s="1037" t="str">
        <f t="shared" si="603"/>
        <v/>
      </c>
      <c r="H1695" s="225"/>
      <c r="I1695" s="1013"/>
      <c r="J1695" s="1013"/>
      <c r="K1695" s="1028"/>
      <c r="L1695" s="1035" t="str">
        <f t="shared" si="607"/>
        <v/>
      </c>
      <c r="S1695" s="498"/>
      <c r="AJ1695" s="498"/>
      <c r="AM1695" s="498">
        <f t="shared" si="588"/>
        <v>0</v>
      </c>
      <c r="AN1695" s="498">
        <f t="shared" si="589"/>
        <v>0</v>
      </c>
      <c r="AO1695" s="498">
        <f t="shared" si="590"/>
        <v>0</v>
      </c>
      <c r="AP1695" s="498">
        <f t="shared" si="609"/>
        <v>0</v>
      </c>
      <c r="AQ1695" s="498">
        <f t="shared" si="604"/>
        <v>0</v>
      </c>
      <c r="AU1695" s="498">
        <f t="shared" si="591"/>
        <v>0</v>
      </c>
      <c r="AV1695" s="498">
        <f t="shared" si="592"/>
        <v>0</v>
      </c>
      <c r="AW1695" s="498">
        <f t="shared" si="593"/>
        <v>0</v>
      </c>
      <c r="AX1695" s="498">
        <f t="shared" si="594"/>
        <v>0</v>
      </c>
      <c r="AY1695" s="498">
        <f t="shared" si="595"/>
        <v>0</v>
      </c>
      <c r="BB1695" s="498" t="str">
        <f t="shared" si="596"/>
        <v/>
      </c>
      <c r="BC1695" s="743" t="str">
        <f t="shared" si="597"/>
        <v/>
      </c>
      <c r="BD1695" s="743" t="str">
        <f t="shared" si="598"/>
        <v/>
      </c>
      <c r="BE1695" s="743" t="str">
        <f>IF(D1695="","",VLOOKUP(D1695,'General Basis'!$J$39:$K$46,2,0))</f>
        <v/>
      </c>
      <c r="BF1695" s="744" t="str">
        <f>IF(D1695="","",VLOOKUP(D1695,'General Basis'!$J$39:$L$46,3,0))</f>
        <v/>
      </c>
      <c r="BG1695" s="744" t="str">
        <f t="shared" si="605"/>
        <v/>
      </c>
      <c r="BH1695" s="744" t="str">
        <f>IF(G1695="","",IF(BF1695="Abu Dhabi",IF(G1695&lt;18,'General Basis'!$C$39,IF(G1695&lt;41,'General Basis'!$C$40,IF(G1695&lt;60,'General Basis'!$C$41,IF(G1695&lt;65,'General Basis'!$C$42,'General Basis'!$C$43)))),IF(G1695&lt;11,'General Basis'!$B$39,IF(G1695&lt;18,'General Basis'!$B$40,IF(G1695&lt;26,'General Basis'!$B$41,IF(G1695&lt;31,'General Basis'!$B$42,IF(G1695&lt;36,'General Basis'!$B$43,IF(G1695&lt;41,'General Basis'!$B$44,IF(G1695&lt;46,'General Basis'!$B$45,IF(G1695&lt;51,'General Basis'!$B$46,IF(G1695&lt;56,'General Basis'!$B$47,IF(G1695&lt;60,'General Basis'!$B$48,IF(G1695&lt;65,'General Basis'!$B$49,'General Basis'!$B$50)))))))))))))</f>
        <v/>
      </c>
      <c r="BI1695" s="744" t="str">
        <f t="shared" si="599"/>
        <v/>
      </c>
      <c r="BJ1695" s="747" t="str">
        <f t="shared" si="606"/>
        <v/>
      </c>
      <c r="BK1695" s="498" t="str">
        <f t="shared" si="600"/>
        <v/>
      </c>
      <c r="BL1695" s="498" t="str">
        <f t="shared" si="601"/>
        <v/>
      </c>
    </row>
    <row r="1696" spans="1:64" x14ac:dyDescent="0.25">
      <c r="A1696" s="762">
        <f t="shared" si="602"/>
        <v>1691</v>
      </c>
      <c r="B1696" s="229"/>
      <c r="C1696" s="223"/>
      <c r="D1696" s="224"/>
      <c r="E1696" s="225"/>
      <c r="F1696" s="1036" t="str">
        <f t="shared" si="608"/>
        <v/>
      </c>
      <c r="G1696" s="1037" t="str">
        <f t="shared" si="603"/>
        <v/>
      </c>
      <c r="H1696" s="225"/>
      <c r="I1696" s="1013"/>
      <c r="J1696" s="1013"/>
      <c r="K1696" s="1028"/>
      <c r="L1696" s="1035" t="str">
        <f t="shared" si="607"/>
        <v/>
      </c>
      <c r="S1696" s="498"/>
      <c r="AJ1696" s="498"/>
      <c r="AM1696" s="498">
        <f t="shared" si="588"/>
        <v>0</v>
      </c>
      <c r="AN1696" s="498">
        <f t="shared" si="589"/>
        <v>0</v>
      </c>
      <c r="AO1696" s="498">
        <f t="shared" si="590"/>
        <v>0</v>
      </c>
      <c r="AP1696" s="498">
        <f t="shared" si="609"/>
        <v>0</v>
      </c>
      <c r="AQ1696" s="498">
        <f t="shared" si="604"/>
        <v>0</v>
      </c>
      <c r="AU1696" s="498">
        <f t="shared" si="591"/>
        <v>0</v>
      </c>
      <c r="AV1696" s="498">
        <f t="shared" si="592"/>
        <v>0</v>
      </c>
      <c r="AW1696" s="498">
        <f t="shared" si="593"/>
        <v>0</v>
      </c>
      <c r="AX1696" s="498">
        <f t="shared" si="594"/>
        <v>0</v>
      </c>
      <c r="AY1696" s="498">
        <f t="shared" si="595"/>
        <v>0</v>
      </c>
      <c r="BB1696" s="498" t="str">
        <f t="shared" si="596"/>
        <v/>
      </c>
      <c r="BC1696" s="743" t="str">
        <f t="shared" si="597"/>
        <v/>
      </c>
      <c r="BD1696" s="743" t="str">
        <f t="shared" si="598"/>
        <v/>
      </c>
      <c r="BE1696" s="743" t="str">
        <f>IF(D1696="","",VLOOKUP(D1696,'General Basis'!$J$39:$K$46,2,0))</f>
        <v/>
      </c>
      <c r="BF1696" s="744" t="str">
        <f>IF(D1696="","",VLOOKUP(D1696,'General Basis'!$J$39:$L$46,3,0))</f>
        <v/>
      </c>
      <c r="BG1696" s="744" t="str">
        <f t="shared" si="605"/>
        <v/>
      </c>
      <c r="BH1696" s="744" t="str">
        <f>IF(G1696="","",IF(BF1696="Abu Dhabi",IF(G1696&lt;18,'General Basis'!$C$39,IF(G1696&lt;41,'General Basis'!$C$40,IF(G1696&lt;60,'General Basis'!$C$41,IF(G1696&lt;65,'General Basis'!$C$42,'General Basis'!$C$43)))),IF(G1696&lt;11,'General Basis'!$B$39,IF(G1696&lt;18,'General Basis'!$B$40,IF(G1696&lt;26,'General Basis'!$B$41,IF(G1696&lt;31,'General Basis'!$B$42,IF(G1696&lt;36,'General Basis'!$B$43,IF(G1696&lt;41,'General Basis'!$B$44,IF(G1696&lt;46,'General Basis'!$B$45,IF(G1696&lt;51,'General Basis'!$B$46,IF(G1696&lt;56,'General Basis'!$B$47,IF(G1696&lt;60,'General Basis'!$B$48,IF(G1696&lt;65,'General Basis'!$B$49,'General Basis'!$B$50)))))))))))))</f>
        <v/>
      </c>
      <c r="BI1696" s="744" t="str">
        <f t="shared" si="599"/>
        <v/>
      </c>
      <c r="BJ1696" s="747" t="str">
        <f t="shared" si="606"/>
        <v/>
      </c>
      <c r="BK1696" s="498" t="str">
        <f t="shared" si="600"/>
        <v/>
      </c>
      <c r="BL1696" s="498" t="str">
        <f t="shared" si="601"/>
        <v/>
      </c>
    </row>
    <row r="1697" spans="1:64" x14ac:dyDescent="0.25">
      <c r="A1697" s="762">
        <f t="shared" si="602"/>
        <v>1692</v>
      </c>
      <c r="B1697" s="229"/>
      <c r="C1697" s="223"/>
      <c r="D1697" s="224"/>
      <c r="E1697" s="225"/>
      <c r="F1697" s="1036" t="str">
        <f t="shared" si="608"/>
        <v/>
      </c>
      <c r="G1697" s="1037" t="str">
        <f t="shared" si="603"/>
        <v/>
      </c>
      <c r="H1697" s="225"/>
      <c r="I1697" s="1013"/>
      <c r="J1697" s="1013"/>
      <c r="K1697" s="1028"/>
      <c r="L1697" s="1035" t="str">
        <f t="shared" si="607"/>
        <v/>
      </c>
      <c r="S1697" s="498"/>
      <c r="AJ1697" s="498"/>
      <c r="AM1697" s="498">
        <f t="shared" si="588"/>
        <v>0</v>
      </c>
      <c r="AN1697" s="498">
        <f t="shared" si="589"/>
        <v>0</v>
      </c>
      <c r="AO1697" s="498">
        <f t="shared" si="590"/>
        <v>0</v>
      </c>
      <c r="AP1697" s="498">
        <f t="shared" si="609"/>
        <v>0</v>
      </c>
      <c r="AQ1697" s="498">
        <f t="shared" si="604"/>
        <v>0</v>
      </c>
      <c r="AU1697" s="498">
        <f t="shared" si="591"/>
        <v>0</v>
      </c>
      <c r="AV1697" s="498">
        <f t="shared" si="592"/>
        <v>0</v>
      </c>
      <c r="AW1697" s="498">
        <f t="shared" si="593"/>
        <v>0</v>
      </c>
      <c r="AX1697" s="498">
        <f t="shared" si="594"/>
        <v>0</v>
      </c>
      <c r="AY1697" s="498">
        <f t="shared" si="595"/>
        <v>0</v>
      </c>
      <c r="BB1697" s="498" t="str">
        <f t="shared" si="596"/>
        <v/>
      </c>
      <c r="BC1697" s="743" t="str">
        <f t="shared" si="597"/>
        <v/>
      </c>
      <c r="BD1697" s="743" t="str">
        <f t="shared" si="598"/>
        <v/>
      </c>
      <c r="BE1697" s="743" t="str">
        <f>IF(D1697="","",VLOOKUP(D1697,'General Basis'!$J$39:$K$46,2,0))</f>
        <v/>
      </c>
      <c r="BF1697" s="744" t="str">
        <f>IF(D1697="","",VLOOKUP(D1697,'General Basis'!$J$39:$L$46,3,0))</f>
        <v/>
      </c>
      <c r="BG1697" s="744" t="str">
        <f t="shared" si="605"/>
        <v/>
      </c>
      <c r="BH1697" s="744" t="str">
        <f>IF(G1697="","",IF(BF1697="Abu Dhabi",IF(G1697&lt;18,'General Basis'!$C$39,IF(G1697&lt;41,'General Basis'!$C$40,IF(G1697&lt;60,'General Basis'!$C$41,IF(G1697&lt;65,'General Basis'!$C$42,'General Basis'!$C$43)))),IF(G1697&lt;11,'General Basis'!$B$39,IF(G1697&lt;18,'General Basis'!$B$40,IF(G1697&lt;26,'General Basis'!$B$41,IF(G1697&lt;31,'General Basis'!$B$42,IF(G1697&lt;36,'General Basis'!$B$43,IF(G1697&lt;41,'General Basis'!$B$44,IF(G1697&lt;46,'General Basis'!$B$45,IF(G1697&lt;51,'General Basis'!$B$46,IF(G1697&lt;56,'General Basis'!$B$47,IF(G1697&lt;60,'General Basis'!$B$48,IF(G1697&lt;65,'General Basis'!$B$49,'General Basis'!$B$50)))))))))))))</f>
        <v/>
      </c>
      <c r="BI1697" s="744" t="str">
        <f t="shared" si="599"/>
        <v/>
      </c>
      <c r="BJ1697" s="747" t="str">
        <f t="shared" si="606"/>
        <v/>
      </c>
      <c r="BK1697" s="498" t="str">
        <f t="shared" si="600"/>
        <v/>
      </c>
      <c r="BL1697" s="498" t="str">
        <f t="shared" si="601"/>
        <v/>
      </c>
    </row>
    <row r="1698" spans="1:64" x14ac:dyDescent="0.25">
      <c r="A1698" s="762">
        <f t="shared" si="602"/>
        <v>1693</v>
      </c>
      <c r="B1698" s="229"/>
      <c r="C1698" s="223"/>
      <c r="D1698" s="224"/>
      <c r="E1698" s="225"/>
      <c r="F1698" s="1036" t="str">
        <f t="shared" si="608"/>
        <v/>
      </c>
      <c r="G1698" s="1037" t="str">
        <f t="shared" si="603"/>
        <v/>
      </c>
      <c r="H1698" s="225"/>
      <c r="I1698" s="1013"/>
      <c r="J1698" s="1013"/>
      <c r="K1698" s="1028"/>
      <c r="L1698" s="1035" t="str">
        <f t="shared" si="607"/>
        <v/>
      </c>
      <c r="S1698" s="498"/>
      <c r="AJ1698" s="498"/>
      <c r="AM1698" s="498">
        <f t="shared" si="588"/>
        <v>0</v>
      </c>
      <c r="AN1698" s="498">
        <f t="shared" si="589"/>
        <v>0</v>
      </c>
      <c r="AO1698" s="498">
        <f t="shared" si="590"/>
        <v>0</v>
      </c>
      <c r="AP1698" s="498">
        <f t="shared" si="609"/>
        <v>0</v>
      </c>
      <c r="AQ1698" s="498">
        <f t="shared" si="604"/>
        <v>0</v>
      </c>
      <c r="AU1698" s="498">
        <f t="shared" si="591"/>
        <v>0</v>
      </c>
      <c r="AV1698" s="498">
        <f t="shared" si="592"/>
        <v>0</v>
      </c>
      <c r="AW1698" s="498">
        <f t="shared" si="593"/>
        <v>0</v>
      </c>
      <c r="AX1698" s="498">
        <f t="shared" si="594"/>
        <v>0</v>
      </c>
      <c r="AY1698" s="498">
        <f t="shared" si="595"/>
        <v>0</v>
      </c>
      <c r="BB1698" s="498" t="str">
        <f t="shared" si="596"/>
        <v/>
      </c>
      <c r="BC1698" s="743" t="str">
        <f t="shared" si="597"/>
        <v/>
      </c>
      <c r="BD1698" s="743" t="str">
        <f t="shared" si="598"/>
        <v/>
      </c>
      <c r="BE1698" s="743" t="str">
        <f>IF(D1698="","",VLOOKUP(D1698,'General Basis'!$J$39:$K$46,2,0))</f>
        <v/>
      </c>
      <c r="BF1698" s="744" t="str">
        <f>IF(D1698="","",VLOOKUP(D1698,'General Basis'!$J$39:$L$46,3,0))</f>
        <v/>
      </c>
      <c r="BG1698" s="744" t="str">
        <f t="shared" si="605"/>
        <v/>
      </c>
      <c r="BH1698" s="744" t="str">
        <f>IF(G1698="","",IF(BF1698="Abu Dhabi",IF(G1698&lt;18,'General Basis'!$C$39,IF(G1698&lt;41,'General Basis'!$C$40,IF(G1698&lt;60,'General Basis'!$C$41,IF(G1698&lt;65,'General Basis'!$C$42,'General Basis'!$C$43)))),IF(G1698&lt;11,'General Basis'!$B$39,IF(G1698&lt;18,'General Basis'!$B$40,IF(G1698&lt;26,'General Basis'!$B$41,IF(G1698&lt;31,'General Basis'!$B$42,IF(G1698&lt;36,'General Basis'!$B$43,IF(G1698&lt;41,'General Basis'!$B$44,IF(G1698&lt;46,'General Basis'!$B$45,IF(G1698&lt;51,'General Basis'!$B$46,IF(G1698&lt;56,'General Basis'!$B$47,IF(G1698&lt;60,'General Basis'!$B$48,IF(G1698&lt;65,'General Basis'!$B$49,'General Basis'!$B$50)))))))))))))</f>
        <v/>
      </c>
      <c r="BI1698" s="744" t="str">
        <f t="shared" si="599"/>
        <v/>
      </c>
      <c r="BJ1698" s="747" t="str">
        <f t="shared" si="606"/>
        <v/>
      </c>
      <c r="BK1698" s="498" t="str">
        <f t="shared" si="600"/>
        <v/>
      </c>
      <c r="BL1698" s="498" t="str">
        <f t="shared" si="601"/>
        <v/>
      </c>
    </row>
    <row r="1699" spans="1:64" x14ac:dyDescent="0.25">
      <c r="A1699" s="762">
        <f t="shared" si="602"/>
        <v>1694</v>
      </c>
      <c r="B1699" s="229"/>
      <c r="C1699" s="223"/>
      <c r="D1699" s="224"/>
      <c r="E1699" s="225"/>
      <c r="F1699" s="1036" t="str">
        <f t="shared" si="608"/>
        <v/>
      </c>
      <c r="G1699" s="1037" t="str">
        <f t="shared" si="603"/>
        <v/>
      </c>
      <c r="H1699" s="225"/>
      <c r="I1699" s="1013"/>
      <c r="J1699" s="1013"/>
      <c r="K1699" s="1028"/>
      <c r="L1699" s="1035" t="str">
        <f t="shared" si="607"/>
        <v/>
      </c>
      <c r="S1699" s="498"/>
      <c r="AJ1699" s="498"/>
      <c r="AM1699" s="498">
        <f t="shared" si="588"/>
        <v>0</v>
      </c>
      <c r="AN1699" s="498">
        <f t="shared" si="589"/>
        <v>0</v>
      </c>
      <c r="AO1699" s="498">
        <f t="shared" si="590"/>
        <v>0</v>
      </c>
      <c r="AP1699" s="498">
        <f t="shared" si="609"/>
        <v>0</v>
      </c>
      <c r="AQ1699" s="498">
        <f t="shared" si="604"/>
        <v>0</v>
      </c>
      <c r="AU1699" s="498">
        <f t="shared" si="591"/>
        <v>0</v>
      </c>
      <c r="AV1699" s="498">
        <f t="shared" si="592"/>
        <v>0</v>
      </c>
      <c r="AW1699" s="498">
        <f t="shared" si="593"/>
        <v>0</v>
      </c>
      <c r="AX1699" s="498">
        <f t="shared" si="594"/>
        <v>0</v>
      </c>
      <c r="AY1699" s="498">
        <f t="shared" si="595"/>
        <v>0</v>
      </c>
      <c r="BB1699" s="498" t="str">
        <f t="shared" si="596"/>
        <v/>
      </c>
      <c r="BC1699" s="743" t="str">
        <f t="shared" si="597"/>
        <v/>
      </c>
      <c r="BD1699" s="743" t="str">
        <f t="shared" si="598"/>
        <v/>
      </c>
      <c r="BE1699" s="743" t="str">
        <f>IF(D1699="","",VLOOKUP(D1699,'General Basis'!$J$39:$K$46,2,0))</f>
        <v/>
      </c>
      <c r="BF1699" s="744" t="str">
        <f>IF(D1699="","",VLOOKUP(D1699,'General Basis'!$J$39:$L$46,3,0))</f>
        <v/>
      </c>
      <c r="BG1699" s="744" t="str">
        <f t="shared" si="605"/>
        <v/>
      </c>
      <c r="BH1699" s="744" t="str">
        <f>IF(G1699="","",IF(BF1699="Abu Dhabi",IF(G1699&lt;18,'General Basis'!$C$39,IF(G1699&lt;41,'General Basis'!$C$40,IF(G1699&lt;60,'General Basis'!$C$41,IF(G1699&lt;65,'General Basis'!$C$42,'General Basis'!$C$43)))),IF(G1699&lt;11,'General Basis'!$B$39,IF(G1699&lt;18,'General Basis'!$B$40,IF(G1699&lt;26,'General Basis'!$B$41,IF(G1699&lt;31,'General Basis'!$B$42,IF(G1699&lt;36,'General Basis'!$B$43,IF(G1699&lt;41,'General Basis'!$B$44,IF(G1699&lt;46,'General Basis'!$B$45,IF(G1699&lt;51,'General Basis'!$B$46,IF(G1699&lt;56,'General Basis'!$B$47,IF(G1699&lt;60,'General Basis'!$B$48,IF(G1699&lt;65,'General Basis'!$B$49,'General Basis'!$B$50)))))))))))))</f>
        <v/>
      </c>
      <c r="BI1699" s="744" t="str">
        <f t="shared" si="599"/>
        <v/>
      </c>
      <c r="BJ1699" s="747" t="str">
        <f t="shared" si="606"/>
        <v/>
      </c>
      <c r="BK1699" s="498" t="str">
        <f t="shared" si="600"/>
        <v/>
      </c>
      <c r="BL1699" s="498" t="str">
        <f t="shared" si="601"/>
        <v/>
      </c>
    </row>
    <row r="1700" spans="1:64" x14ac:dyDescent="0.25">
      <c r="A1700" s="762">
        <f t="shared" si="602"/>
        <v>1695</v>
      </c>
      <c r="B1700" s="229"/>
      <c r="C1700" s="223"/>
      <c r="D1700" s="224"/>
      <c r="E1700" s="225"/>
      <c r="F1700" s="1036" t="str">
        <f t="shared" si="608"/>
        <v/>
      </c>
      <c r="G1700" s="1037" t="str">
        <f t="shared" si="603"/>
        <v/>
      </c>
      <c r="H1700" s="225"/>
      <c r="I1700" s="1013"/>
      <c r="J1700" s="1013"/>
      <c r="K1700" s="1028"/>
      <c r="L1700" s="1035" t="str">
        <f t="shared" si="607"/>
        <v/>
      </c>
      <c r="S1700" s="498"/>
      <c r="AJ1700" s="498"/>
      <c r="AM1700" s="498">
        <f t="shared" si="588"/>
        <v>0</v>
      </c>
      <c r="AN1700" s="498">
        <f t="shared" si="589"/>
        <v>0</v>
      </c>
      <c r="AO1700" s="498">
        <f t="shared" si="590"/>
        <v>0</v>
      </c>
      <c r="AP1700" s="498">
        <f t="shared" si="609"/>
        <v>0</v>
      </c>
      <c r="AQ1700" s="498">
        <f t="shared" si="604"/>
        <v>0</v>
      </c>
      <c r="AU1700" s="498">
        <f t="shared" si="591"/>
        <v>0</v>
      </c>
      <c r="AV1700" s="498">
        <f t="shared" si="592"/>
        <v>0</v>
      </c>
      <c r="AW1700" s="498">
        <f t="shared" si="593"/>
        <v>0</v>
      </c>
      <c r="AX1700" s="498">
        <f t="shared" si="594"/>
        <v>0</v>
      </c>
      <c r="AY1700" s="498">
        <f t="shared" si="595"/>
        <v>0</v>
      </c>
      <c r="BB1700" s="498" t="str">
        <f t="shared" si="596"/>
        <v/>
      </c>
      <c r="BC1700" s="743" t="str">
        <f t="shared" si="597"/>
        <v/>
      </c>
      <c r="BD1700" s="743" t="str">
        <f t="shared" si="598"/>
        <v/>
      </c>
      <c r="BE1700" s="743" t="str">
        <f>IF(D1700="","",VLOOKUP(D1700,'General Basis'!$J$39:$K$46,2,0))</f>
        <v/>
      </c>
      <c r="BF1700" s="744" t="str">
        <f>IF(D1700="","",VLOOKUP(D1700,'General Basis'!$J$39:$L$46,3,0))</f>
        <v/>
      </c>
      <c r="BG1700" s="744" t="str">
        <f t="shared" si="605"/>
        <v/>
      </c>
      <c r="BH1700" s="744" t="str">
        <f>IF(G1700="","",IF(BF1700="Abu Dhabi",IF(G1700&lt;18,'General Basis'!$C$39,IF(G1700&lt;41,'General Basis'!$C$40,IF(G1700&lt;60,'General Basis'!$C$41,IF(G1700&lt;65,'General Basis'!$C$42,'General Basis'!$C$43)))),IF(G1700&lt;11,'General Basis'!$B$39,IF(G1700&lt;18,'General Basis'!$B$40,IF(G1700&lt;26,'General Basis'!$B$41,IF(G1700&lt;31,'General Basis'!$B$42,IF(G1700&lt;36,'General Basis'!$B$43,IF(G1700&lt;41,'General Basis'!$B$44,IF(G1700&lt;46,'General Basis'!$B$45,IF(G1700&lt;51,'General Basis'!$B$46,IF(G1700&lt;56,'General Basis'!$B$47,IF(G1700&lt;60,'General Basis'!$B$48,IF(G1700&lt;65,'General Basis'!$B$49,'General Basis'!$B$50)))))))))))))</f>
        <v/>
      </c>
      <c r="BI1700" s="744" t="str">
        <f t="shared" si="599"/>
        <v/>
      </c>
      <c r="BJ1700" s="747" t="str">
        <f t="shared" si="606"/>
        <v/>
      </c>
      <c r="BK1700" s="498" t="str">
        <f t="shared" si="600"/>
        <v/>
      </c>
      <c r="BL1700" s="498" t="str">
        <f t="shared" si="601"/>
        <v/>
      </c>
    </row>
    <row r="1701" spans="1:64" x14ac:dyDescent="0.25">
      <c r="A1701" s="762">
        <f t="shared" si="602"/>
        <v>1696</v>
      </c>
      <c r="B1701" s="229"/>
      <c r="C1701" s="223"/>
      <c r="D1701" s="224"/>
      <c r="E1701" s="225"/>
      <c r="F1701" s="1036" t="str">
        <f t="shared" si="608"/>
        <v/>
      </c>
      <c r="G1701" s="1037" t="str">
        <f t="shared" si="603"/>
        <v/>
      </c>
      <c r="H1701" s="225"/>
      <c r="I1701" s="1013"/>
      <c r="J1701" s="1013"/>
      <c r="K1701" s="1028"/>
      <c r="L1701" s="1035" t="str">
        <f t="shared" si="607"/>
        <v/>
      </c>
      <c r="S1701" s="498"/>
      <c r="AJ1701" s="498"/>
      <c r="AM1701" s="498">
        <f t="shared" si="588"/>
        <v>0</v>
      </c>
      <c r="AN1701" s="498">
        <f t="shared" si="589"/>
        <v>0</v>
      </c>
      <c r="AO1701" s="498">
        <f t="shared" si="590"/>
        <v>0</v>
      </c>
      <c r="AP1701" s="498">
        <f t="shared" si="609"/>
        <v>0</v>
      </c>
      <c r="AQ1701" s="498">
        <f t="shared" si="604"/>
        <v>0</v>
      </c>
      <c r="AU1701" s="498">
        <f t="shared" si="591"/>
        <v>0</v>
      </c>
      <c r="AV1701" s="498">
        <f t="shared" si="592"/>
        <v>0</v>
      </c>
      <c r="AW1701" s="498">
        <f t="shared" si="593"/>
        <v>0</v>
      </c>
      <c r="AX1701" s="498">
        <f t="shared" si="594"/>
        <v>0</v>
      </c>
      <c r="AY1701" s="498">
        <f t="shared" si="595"/>
        <v>0</v>
      </c>
      <c r="BB1701" s="498" t="str">
        <f t="shared" si="596"/>
        <v/>
      </c>
      <c r="BC1701" s="743" t="str">
        <f t="shared" si="597"/>
        <v/>
      </c>
      <c r="BD1701" s="743" t="str">
        <f t="shared" si="598"/>
        <v/>
      </c>
      <c r="BE1701" s="743" t="str">
        <f>IF(D1701="","",VLOOKUP(D1701,'General Basis'!$J$39:$K$46,2,0))</f>
        <v/>
      </c>
      <c r="BF1701" s="744" t="str">
        <f>IF(D1701="","",VLOOKUP(D1701,'General Basis'!$J$39:$L$46,3,0))</f>
        <v/>
      </c>
      <c r="BG1701" s="744" t="str">
        <f t="shared" si="605"/>
        <v/>
      </c>
      <c r="BH1701" s="744" t="str">
        <f>IF(G1701="","",IF(BF1701="Abu Dhabi",IF(G1701&lt;18,'General Basis'!$C$39,IF(G1701&lt;41,'General Basis'!$C$40,IF(G1701&lt;60,'General Basis'!$C$41,IF(G1701&lt;65,'General Basis'!$C$42,'General Basis'!$C$43)))),IF(G1701&lt;11,'General Basis'!$B$39,IF(G1701&lt;18,'General Basis'!$B$40,IF(G1701&lt;26,'General Basis'!$B$41,IF(G1701&lt;31,'General Basis'!$B$42,IF(G1701&lt;36,'General Basis'!$B$43,IF(G1701&lt;41,'General Basis'!$B$44,IF(G1701&lt;46,'General Basis'!$B$45,IF(G1701&lt;51,'General Basis'!$B$46,IF(G1701&lt;56,'General Basis'!$B$47,IF(G1701&lt;60,'General Basis'!$B$48,IF(G1701&lt;65,'General Basis'!$B$49,'General Basis'!$B$50)))))))))))))</f>
        <v/>
      </c>
      <c r="BI1701" s="744" t="str">
        <f t="shared" si="599"/>
        <v/>
      </c>
      <c r="BJ1701" s="747" t="str">
        <f t="shared" si="606"/>
        <v/>
      </c>
      <c r="BK1701" s="498" t="str">
        <f t="shared" si="600"/>
        <v/>
      </c>
      <c r="BL1701" s="498" t="str">
        <f t="shared" si="601"/>
        <v/>
      </c>
    </row>
    <row r="1702" spans="1:64" x14ac:dyDescent="0.25">
      <c r="A1702" s="762">
        <f t="shared" si="602"/>
        <v>1697</v>
      </c>
      <c r="B1702" s="229"/>
      <c r="C1702" s="223"/>
      <c r="D1702" s="224"/>
      <c r="E1702" s="225"/>
      <c r="F1702" s="1036" t="str">
        <f t="shared" si="608"/>
        <v/>
      </c>
      <c r="G1702" s="1037" t="str">
        <f t="shared" si="603"/>
        <v/>
      </c>
      <c r="H1702" s="225"/>
      <c r="I1702" s="1013"/>
      <c r="J1702" s="1013"/>
      <c r="K1702" s="1028"/>
      <c r="L1702" s="1035" t="str">
        <f t="shared" si="607"/>
        <v/>
      </c>
      <c r="S1702" s="498"/>
      <c r="AJ1702" s="498"/>
      <c r="AM1702" s="498">
        <f t="shared" si="588"/>
        <v>0</v>
      </c>
      <c r="AN1702" s="498">
        <f t="shared" si="589"/>
        <v>0</v>
      </c>
      <c r="AO1702" s="498">
        <f t="shared" si="590"/>
        <v>0</v>
      </c>
      <c r="AP1702" s="498">
        <f t="shared" si="609"/>
        <v>0</v>
      </c>
      <c r="AQ1702" s="498">
        <f t="shared" si="604"/>
        <v>0</v>
      </c>
      <c r="AU1702" s="498">
        <f t="shared" si="591"/>
        <v>0</v>
      </c>
      <c r="AV1702" s="498">
        <f t="shared" si="592"/>
        <v>0</v>
      </c>
      <c r="AW1702" s="498">
        <f t="shared" si="593"/>
        <v>0</v>
      </c>
      <c r="AX1702" s="498">
        <f t="shared" si="594"/>
        <v>0</v>
      </c>
      <c r="AY1702" s="498">
        <f t="shared" si="595"/>
        <v>0</v>
      </c>
      <c r="BB1702" s="498" t="str">
        <f t="shared" si="596"/>
        <v/>
      </c>
      <c r="BC1702" s="743" t="str">
        <f t="shared" si="597"/>
        <v/>
      </c>
      <c r="BD1702" s="743" t="str">
        <f t="shared" si="598"/>
        <v/>
      </c>
      <c r="BE1702" s="743" t="str">
        <f>IF(D1702="","",VLOOKUP(D1702,'General Basis'!$J$39:$K$46,2,0))</f>
        <v/>
      </c>
      <c r="BF1702" s="744" t="str">
        <f>IF(D1702="","",VLOOKUP(D1702,'General Basis'!$J$39:$L$46,3,0))</f>
        <v/>
      </c>
      <c r="BG1702" s="744" t="str">
        <f t="shared" si="605"/>
        <v/>
      </c>
      <c r="BH1702" s="744" t="str">
        <f>IF(G1702="","",IF(BF1702="Abu Dhabi",IF(G1702&lt;18,'General Basis'!$C$39,IF(G1702&lt;41,'General Basis'!$C$40,IF(G1702&lt;60,'General Basis'!$C$41,IF(G1702&lt;65,'General Basis'!$C$42,'General Basis'!$C$43)))),IF(G1702&lt;11,'General Basis'!$B$39,IF(G1702&lt;18,'General Basis'!$B$40,IF(G1702&lt;26,'General Basis'!$B$41,IF(G1702&lt;31,'General Basis'!$B$42,IF(G1702&lt;36,'General Basis'!$B$43,IF(G1702&lt;41,'General Basis'!$B$44,IF(G1702&lt;46,'General Basis'!$B$45,IF(G1702&lt;51,'General Basis'!$B$46,IF(G1702&lt;56,'General Basis'!$B$47,IF(G1702&lt;60,'General Basis'!$B$48,IF(G1702&lt;65,'General Basis'!$B$49,'General Basis'!$B$50)))))))))))))</f>
        <v/>
      </c>
      <c r="BI1702" s="744" t="str">
        <f t="shared" si="599"/>
        <v/>
      </c>
      <c r="BJ1702" s="747" t="str">
        <f t="shared" si="606"/>
        <v/>
      </c>
      <c r="BK1702" s="498" t="str">
        <f t="shared" si="600"/>
        <v/>
      </c>
      <c r="BL1702" s="498" t="str">
        <f t="shared" si="601"/>
        <v/>
      </c>
    </row>
    <row r="1703" spans="1:64" x14ac:dyDescent="0.25">
      <c r="A1703" s="762">
        <f t="shared" si="602"/>
        <v>1698</v>
      </c>
      <c r="B1703" s="229"/>
      <c r="C1703" s="223"/>
      <c r="D1703" s="224"/>
      <c r="E1703" s="225"/>
      <c r="F1703" s="1036" t="str">
        <f t="shared" si="608"/>
        <v/>
      </c>
      <c r="G1703" s="1037" t="str">
        <f t="shared" si="603"/>
        <v/>
      </c>
      <c r="H1703" s="225"/>
      <c r="I1703" s="1013"/>
      <c r="J1703" s="1013"/>
      <c r="K1703" s="1028"/>
      <c r="L1703" s="1035" t="str">
        <f t="shared" si="607"/>
        <v/>
      </c>
      <c r="S1703" s="498"/>
      <c r="AJ1703" s="498"/>
      <c r="AM1703" s="498">
        <f t="shared" si="588"/>
        <v>0</v>
      </c>
      <c r="AN1703" s="498">
        <f t="shared" si="589"/>
        <v>0</v>
      </c>
      <c r="AO1703" s="498">
        <f t="shared" si="590"/>
        <v>0</v>
      </c>
      <c r="AP1703" s="498">
        <f t="shared" si="609"/>
        <v>0</v>
      </c>
      <c r="AQ1703" s="498">
        <f t="shared" si="604"/>
        <v>0</v>
      </c>
      <c r="AU1703" s="498">
        <f t="shared" si="591"/>
        <v>0</v>
      </c>
      <c r="AV1703" s="498">
        <f t="shared" si="592"/>
        <v>0</v>
      </c>
      <c r="AW1703" s="498">
        <f t="shared" si="593"/>
        <v>0</v>
      </c>
      <c r="AX1703" s="498">
        <f t="shared" si="594"/>
        <v>0</v>
      </c>
      <c r="AY1703" s="498">
        <f t="shared" si="595"/>
        <v>0</v>
      </c>
      <c r="BB1703" s="498" t="str">
        <f t="shared" si="596"/>
        <v/>
      </c>
      <c r="BC1703" s="743" t="str">
        <f t="shared" si="597"/>
        <v/>
      </c>
      <c r="BD1703" s="743" t="str">
        <f t="shared" si="598"/>
        <v/>
      </c>
      <c r="BE1703" s="743" t="str">
        <f>IF(D1703="","",VLOOKUP(D1703,'General Basis'!$J$39:$K$46,2,0))</f>
        <v/>
      </c>
      <c r="BF1703" s="744" t="str">
        <f>IF(D1703="","",VLOOKUP(D1703,'General Basis'!$J$39:$L$46,3,0))</f>
        <v/>
      </c>
      <c r="BG1703" s="744" t="str">
        <f t="shared" si="605"/>
        <v/>
      </c>
      <c r="BH1703" s="744" t="str">
        <f>IF(G1703="","",IF(BF1703="Abu Dhabi",IF(G1703&lt;18,'General Basis'!$C$39,IF(G1703&lt;41,'General Basis'!$C$40,IF(G1703&lt;60,'General Basis'!$C$41,IF(G1703&lt;65,'General Basis'!$C$42,'General Basis'!$C$43)))),IF(G1703&lt;11,'General Basis'!$B$39,IF(G1703&lt;18,'General Basis'!$B$40,IF(G1703&lt;26,'General Basis'!$B$41,IF(G1703&lt;31,'General Basis'!$B$42,IF(G1703&lt;36,'General Basis'!$B$43,IF(G1703&lt;41,'General Basis'!$B$44,IF(G1703&lt;46,'General Basis'!$B$45,IF(G1703&lt;51,'General Basis'!$B$46,IF(G1703&lt;56,'General Basis'!$B$47,IF(G1703&lt;60,'General Basis'!$B$48,IF(G1703&lt;65,'General Basis'!$B$49,'General Basis'!$B$50)))))))))))))</f>
        <v/>
      </c>
      <c r="BI1703" s="744" t="str">
        <f t="shared" si="599"/>
        <v/>
      </c>
      <c r="BJ1703" s="747" t="str">
        <f t="shared" si="606"/>
        <v/>
      </c>
      <c r="BK1703" s="498" t="str">
        <f t="shared" si="600"/>
        <v/>
      </c>
      <c r="BL1703" s="498" t="str">
        <f t="shared" si="601"/>
        <v/>
      </c>
    </row>
    <row r="1704" spans="1:64" x14ac:dyDescent="0.25">
      <c r="A1704" s="762">
        <f t="shared" si="602"/>
        <v>1699</v>
      </c>
      <c r="B1704" s="229"/>
      <c r="C1704" s="223"/>
      <c r="D1704" s="224"/>
      <c r="E1704" s="225"/>
      <c r="F1704" s="1036" t="str">
        <f t="shared" si="608"/>
        <v/>
      </c>
      <c r="G1704" s="1037" t="str">
        <f t="shared" si="603"/>
        <v/>
      </c>
      <c r="H1704" s="225"/>
      <c r="I1704" s="1013"/>
      <c r="J1704" s="1013"/>
      <c r="K1704" s="1028"/>
      <c r="L1704" s="1035" t="str">
        <f t="shared" si="607"/>
        <v/>
      </c>
      <c r="S1704" s="498"/>
      <c r="AJ1704" s="498"/>
      <c r="AM1704" s="498">
        <f t="shared" si="588"/>
        <v>0</v>
      </c>
      <c r="AN1704" s="498">
        <f t="shared" si="589"/>
        <v>0</v>
      </c>
      <c r="AO1704" s="498">
        <f t="shared" si="590"/>
        <v>0</v>
      </c>
      <c r="AP1704" s="498">
        <f t="shared" si="609"/>
        <v>0</v>
      </c>
      <c r="AQ1704" s="498">
        <f t="shared" si="604"/>
        <v>0</v>
      </c>
      <c r="AU1704" s="498">
        <f t="shared" si="591"/>
        <v>0</v>
      </c>
      <c r="AV1704" s="498">
        <f t="shared" si="592"/>
        <v>0</v>
      </c>
      <c r="AW1704" s="498">
        <f t="shared" si="593"/>
        <v>0</v>
      </c>
      <c r="AX1704" s="498">
        <f t="shared" si="594"/>
        <v>0</v>
      </c>
      <c r="AY1704" s="498">
        <f t="shared" si="595"/>
        <v>0</v>
      </c>
      <c r="BB1704" s="498" t="str">
        <f t="shared" si="596"/>
        <v/>
      </c>
      <c r="BC1704" s="743" t="str">
        <f t="shared" si="597"/>
        <v/>
      </c>
      <c r="BD1704" s="743" t="str">
        <f t="shared" si="598"/>
        <v/>
      </c>
      <c r="BE1704" s="743" t="str">
        <f>IF(D1704="","",VLOOKUP(D1704,'General Basis'!$J$39:$K$46,2,0))</f>
        <v/>
      </c>
      <c r="BF1704" s="744" t="str">
        <f>IF(D1704="","",VLOOKUP(D1704,'General Basis'!$J$39:$L$46,3,0))</f>
        <v/>
      </c>
      <c r="BG1704" s="744" t="str">
        <f t="shared" si="605"/>
        <v/>
      </c>
      <c r="BH1704" s="744" t="str">
        <f>IF(G1704="","",IF(BF1704="Abu Dhabi",IF(G1704&lt;18,'General Basis'!$C$39,IF(G1704&lt;41,'General Basis'!$C$40,IF(G1704&lt;60,'General Basis'!$C$41,IF(G1704&lt;65,'General Basis'!$C$42,'General Basis'!$C$43)))),IF(G1704&lt;11,'General Basis'!$B$39,IF(G1704&lt;18,'General Basis'!$B$40,IF(G1704&lt;26,'General Basis'!$B$41,IF(G1704&lt;31,'General Basis'!$B$42,IF(G1704&lt;36,'General Basis'!$B$43,IF(G1704&lt;41,'General Basis'!$B$44,IF(G1704&lt;46,'General Basis'!$B$45,IF(G1704&lt;51,'General Basis'!$B$46,IF(G1704&lt;56,'General Basis'!$B$47,IF(G1704&lt;60,'General Basis'!$B$48,IF(G1704&lt;65,'General Basis'!$B$49,'General Basis'!$B$50)))))))))))))</f>
        <v/>
      </c>
      <c r="BI1704" s="744" t="str">
        <f t="shared" si="599"/>
        <v/>
      </c>
      <c r="BJ1704" s="747" t="str">
        <f t="shared" si="606"/>
        <v/>
      </c>
      <c r="BK1704" s="498" t="str">
        <f t="shared" si="600"/>
        <v/>
      </c>
      <c r="BL1704" s="498" t="str">
        <f t="shared" si="601"/>
        <v/>
      </c>
    </row>
    <row r="1705" spans="1:64" x14ac:dyDescent="0.25">
      <c r="A1705" s="762">
        <f t="shared" si="602"/>
        <v>1700</v>
      </c>
      <c r="B1705" s="229"/>
      <c r="C1705" s="223"/>
      <c r="D1705" s="224"/>
      <c r="E1705" s="225"/>
      <c r="F1705" s="1036" t="str">
        <f t="shared" si="608"/>
        <v/>
      </c>
      <c r="G1705" s="1037" t="str">
        <f t="shared" si="603"/>
        <v/>
      </c>
      <c r="H1705" s="225"/>
      <c r="I1705" s="1013"/>
      <c r="J1705" s="1013"/>
      <c r="K1705" s="1028"/>
      <c r="L1705" s="1035" t="str">
        <f t="shared" si="607"/>
        <v/>
      </c>
      <c r="S1705" s="498"/>
      <c r="AJ1705" s="498"/>
      <c r="AM1705" s="498">
        <f t="shared" si="588"/>
        <v>0</v>
      </c>
      <c r="AN1705" s="498">
        <f t="shared" si="589"/>
        <v>0</v>
      </c>
      <c r="AO1705" s="498">
        <f t="shared" si="590"/>
        <v>0</v>
      </c>
      <c r="AP1705" s="498">
        <f t="shared" si="609"/>
        <v>0</v>
      </c>
      <c r="AQ1705" s="498">
        <f t="shared" si="604"/>
        <v>0</v>
      </c>
      <c r="AU1705" s="498">
        <f t="shared" si="591"/>
        <v>0</v>
      </c>
      <c r="AV1705" s="498">
        <f t="shared" si="592"/>
        <v>0</v>
      </c>
      <c r="AW1705" s="498">
        <f t="shared" si="593"/>
        <v>0</v>
      </c>
      <c r="AX1705" s="498">
        <f t="shared" si="594"/>
        <v>0</v>
      </c>
      <c r="AY1705" s="498">
        <f t="shared" si="595"/>
        <v>0</v>
      </c>
      <c r="BB1705" s="498" t="str">
        <f t="shared" si="596"/>
        <v/>
      </c>
      <c r="BC1705" s="743" t="str">
        <f t="shared" si="597"/>
        <v/>
      </c>
      <c r="BD1705" s="743" t="str">
        <f t="shared" si="598"/>
        <v/>
      </c>
      <c r="BE1705" s="743" t="str">
        <f>IF(D1705="","",VLOOKUP(D1705,'General Basis'!$J$39:$K$46,2,0))</f>
        <v/>
      </c>
      <c r="BF1705" s="744" t="str">
        <f>IF(D1705="","",VLOOKUP(D1705,'General Basis'!$J$39:$L$46,3,0))</f>
        <v/>
      </c>
      <c r="BG1705" s="744" t="str">
        <f t="shared" si="605"/>
        <v/>
      </c>
      <c r="BH1705" s="744" t="str">
        <f>IF(G1705="","",IF(BF1705="Abu Dhabi",IF(G1705&lt;18,'General Basis'!$C$39,IF(G1705&lt;41,'General Basis'!$C$40,IF(G1705&lt;60,'General Basis'!$C$41,IF(G1705&lt;65,'General Basis'!$C$42,'General Basis'!$C$43)))),IF(G1705&lt;11,'General Basis'!$B$39,IF(G1705&lt;18,'General Basis'!$B$40,IF(G1705&lt;26,'General Basis'!$B$41,IF(G1705&lt;31,'General Basis'!$B$42,IF(G1705&lt;36,'General Basis'!$B$43,IF(G1705&lt;41,'General Basis'!$B$44,IF(G1705&lt;46,'General Basis'!$B$45,IF(G1705&lt;51,'General Basis'!$B$46,IF(G1705&lt;56,'General Basis'!$B$47,IF(G1705&lt;60,'General Basis'!$B$48,IF(G1705&lt;65,'General Basis'!$B$49,'General Basis'!$B$50)))))))))))))</f>
        <v/>
      </c>
      <c r="BI1705" s="744" t="str">
        <f t="shared" si="599"/>
        <v/>
      </c>
      <c r="BJ1705" s="747" t="str">
        <f t="shared" si="606"/>
        <v/>
      </c>
      <c r="BK1705" s="498" t="str">
        <f t="shared" si="600"/>
        <v/>
      </c>
      <c r="BL1705" s="498" t="str">
        <f t="shared" si="601"/>
        <v/>
      </c>
    </row>
    <row r="1706" spans="1:64" x14ac:dyDescent="0.25">
      <c r="A1706" s="762">
        <f t="shared" si="602"/>
        <v>1701</v>
      </c>
      <c r="B1706" s="229"/>
      <c r="C1706" s="223"/>
      <c r="D1706" s="224"/>
      <c r="E1706" s="225"/>
      <c r="F1706" s="1036" t="str">
        <f t="shared" si="608"/>
        <v/>
      </c>
      <c r="G1706" s="1037" t="str">
        <f t="shared" si="603"/>
        <v/>
      </c>
      <c r="H1706" s="225"/>
      <c r="I1706" s="1013"/>
      <c r="J1706" s="1013"/>
      <c r="K1706" s="1028"/>
      <c r="L1706" s="1035" t="str">
        <f t="shared" si="607"/>
        <v/>
      </c>
      <c r="S1706" s="498"/>
      <c r="AJ1706" s="498"/>
      <c r="AM1706" s="498">
        <f t="shared" si="588"/>
        <v>0</v>
      </c>
      <c r="AN1706" s="498">
        <f t="shared" si="589"/>
        <v>0</v>
      </c>
      <c r="AO1706" s="498">
        <f t="shared" si="590"/>
        <v>0</v>
      </c>
      <c r="AP1706" s="498">
        <f t="shared" si="609"/>
        <v>0</v>
      </c>
      <c r="AQ1706" s="498">
        <f t="shared" si="604"/>
        <v>0</v>
      </c>
      <c r="AU1706" s="498">
        <f t="shared" si="591"/>
        <v>0</v>
      </c>
      <c r="AV1706" s="498">
        <f t="shared" si="592"/>
        <v>0</v>
      </c>
      <c r="AW1706" s="498">
        <f t="shared" si="593"/>
        <v>0</v>
      </c>
      <c r="AX1706" s="498">
        <f t="shared" si="594"/>
        <v>0</v>
      </c>
      <c r="AY1706" s="498">
        <f t="shared" si="595"/>
        <v>0</v>
      </c>
      <c r="BB1706" s="498" t="str">
        <f t="shared" si="596"/>
        <v/>
      </c>
      <c r="BC1706" s="743" t="str">
        <f t="shared" si="597"/>
        <v/>
      </c>
      <c r="BD1706" s="743" t="str">
        <f t="shared" si="598"/>
        <v/>
      </c>
      <c r="BE1706" s="743" t="str">
        <f>IF(D1706="","",VLOOKUP(D1706,'General Basis'!$J$39:$K$46,2,0))</f>
        <v/>
      </c>
      <c r="BF1706" s="744" t="str">
        <f>IF(D1706="","",VLOOKUP(D1706,'General Basis'!$J$39:$L$46,3,0))</f>
        <v/>
      </c>
      <c r="BG1706" s="744" t="str">
        <f t="shared" si="605"/>
        <v/>
      </c>
      <c r="BH1706" s="744" t="str">
        <f>IF(G1706="","",IF(BF1706="Abu Dhabi",IF(G1706&lt;18,'General Basis'!$C$39,IF(G1706&lt;41,'General Basis'!$C$40,IF(G1706&lt;60,'General Basis'!$C$41,IF(G1706&lt;65,'General Basis'!$C$42,'General Basis'!$C$43)))),IF(G1706&lt;11,'General Basis'!$B$39,IF(G1706&lt;18,'General Basis'!$B$40,IF(G1706&lt;26,'General Basis'!$B$41,IF(G1706&lt;31,'General Basis'!$B$42,IF(G1706&lt;36,'General Basis'!$B$43,IF(G1706&lt;41,'General Basis'!$B$44,IF(G1706&lt;46,'General Basis'!$B$45,IF(G1706&lt;51,'General Basis'!$B$46,IF(G1706&lt;56,'General Basis'!$B$47,IF(G1706&lt;60,'General Basis'!$B$48,IF(G1706&lt;65,'General Basis'!$B$49,'General Basis'!$B$50)))))))))))))</f>
        <v/>
      </c>
      <c r="BI1706" s="744" t="str">
        <f t="shared" si="599"/>
        <v/>
      </c>
      <c r="BJ1706" s="747" t="str">
        <f t="shared" si="606"/>
        <v/>
      </c>
      <c r="BK1706" s="498" t="str">
        <f t="shared" si="600"/>
        <v/>
      </c>
      <c r="BL1706" s="498" t="str">
        <f t="shared" si="601"/>
        <v/>
      </c>
    </row>
    <row r="1707" spans="1:64" x14ac:dyDescent="0.25">
      <c r="A1707" s="762">
        <f t="shared" si="602"/>
        <v>1702</v>
      </c>
      <c r="B1707" s="229"/>
      <c r="C1707" s="223"/>
      <c r="D1707" s="224"/>
      <c r="E1707" s="225"/>
      <c r="F1707" s="1036" t="str">
        <f t="shared" si="608"/>
        <v/>
      </c>
      <c r="G1707" s="1037" t="str">
        <f t="shared" si="603"/>
        <v/>
      </c>
      <c r="H1707" s="225"/>
      <c r="I1707" s="1013"/>
      <c r="J1707" s="1013"/>
      <c r="K1707" s="1028"/>
      <c r="L1707" s="1035" t="str">
        <f t="shared" si="607"/>
        <v/>
      </c>
      <c r="S1707" s="498"/>
      <c r="AJ1707" s="498"/>
      <c r="AM1707" s="498">
        <f t="shared" si="588"/>
        <v>0</v>
      </c>
      <c r="AN1707" s="498">
        <f t="shared" si="589"/>
        <v>0</v>
      </c>
      <c r="AO1707" s="498">
        <f t="shared" si="590"/>
        <v>0</v>
      </c>
      <c r="AP1707" s="498">
        <f t="shared" si="609"/>
        <v>0</v>
      </c>
      <c r="AQ1707" s="498">
        <f t="shared" si="604"/>
        <v>0</v>
      </c>
      <c r="AU1707" s="498">
        <f t="shared" si="591"/>
        <v>0</v>
      </c>
      <c r="AV1707" s="498">
        <f t="shared" si="592"/>
        <v>0</v>
      </c>
      <c r="AW1707" s="498">
        <f t="shared" si="593"/>
        <v>0</v>
      </c>
      <c r="AX1707" s="498">
        <f t="shared" si="594"/>
        <v>0</v>
      </c>
      <c r="AY1707" s="498">
        <f t="shared" si="595"/>
        <v>0</v>
      </c>
      <c r="BB1707" s="498" t="str">
        <f t="shared" si="596"/>
        <v/>
      </c>
      <c r="BC1707" s="743" t="str">
        <f t="shared" si="597"/>
        <v/>
      </c>
      <c r="BD1707" s="743" t="str">
        <f t="shared" si="598"/>
        <v/>
      </c>
      <c r="BE1707" s="743" t="str">
        <f>IF(D1707="","",VLOOKUP(D1707,'General Basis'!$J$39:$K$46,2,0))</f>
        <v/>
      </c>
      <c r="BF1707" s="744" t="str">
        <f>IF(D1707="","",VLOOKUP(D1707,'General Basis'!$J$39:$L$46,3,0))</f>
        <v/>
      </c>
      <c r="BG1707" s="744" t="str">
        <f t="shared" si="605"/>
        <v/>
      </c>
      <c r="BH1707" s="744" t="str">
        <f>IF(G1707="","",IF(BF1707="Abu Dhabi",IF(G1707&lt;18,'General Basis'!$C$39,IF(G1707&lt;41,'General Basis'!$C$40,IF(G1707&lt;60,'General Basis'!$C$41,IF(G1707&lt;65,'General Basis'!$C$42,'General Basis'!$C$43)))),IF(G1707&lt;11,'General Basis'!$B$39,IF(G1707&lt;18,'General Basis'!$B$40,IF(G1707&lt;26,'General Basis'!$B$41,IF(G1707&lt;31,'General Basis'!$B$42,IF(G1707&lt;36,'General Basis'!$B$43,IF(G1707&lt;41,'General Basis'!$B$44,IF(G1707&lt;46,'General Basis'!$B$45,IF(G1707&lt;51,'General Basis'!$B$46,IF(G1707&lt;56,'General Basis'!$B$47,IF(G1707&lt;60,'General Basis'!$B$48,IF(G1707&lt;65,'General Basis'!$B$49,'General Basis'!$B$50)))))))))))))</f>
        <v/>
      </c>
      <c r="BI1707" s="744" t="str">
        <f t="shared" si="599"/>
        <v/>
      </c>
      <c r="BJ1707" s="747" t="str">
        <f t="shared" si="606"/>
        <v/>
      </c>
      <c r="BK1707" s="498" t="str">
        <f t="shared" si="600"/>
        <v/>
      </c>
      <c r="BL1707" s="498" t="str">
        <f t="shared" si="601"/>
        <v/>
      </c>
    </row>
    <row r="1708" spans="1:64" x14ac:dyDescent="0.25">
      <c r="A1708" s="762">
        <f t="shared" si="602"/>
        <v>1703</v>
      </c>
      <c r="B1708" s="229"/>
      <c r="C1708" s="223"/>
      <c r="D1708" s="224"/>
      <c r="E1708" s="225"/>
      <c r="F1708" s="1036" t="str">
        <f t="shared" si="608"/>
        <v/>
      </c>
      <c r="G1708" s="1037" t="str">
        <f t="shared" si="603"/>
        <v/>
      </c>
      <c r="H1708" s="225"/>
      <c r="I1708" s="1013"/>
      <c r="J1708" s="1013"/>
      <c r="K1708" s="1028"/>
      <c r="L1708" s="1035" t="str">
        <f t="shared" si="607"/>
        <v/>
      </c>
      <c r="S1708" s="498"/>
      <c r="AJ1708" s="498"/>
      <c r="AM1708" s="498">
        <f t="shared" si="588"/>
        <v>0</v>
      </c>
      <c r="AN1708" s="498">
        <f t="shared" si="589"/>
        <v>0</v>
      </c>
      <c r="AO1708" s="498">
        <f t="shared" si="590"/>
        <v>0</v>
      </c>
      <c r="AP1708" s="498">
        <f t="shared" si="609"/>
        <v>0</v>
      </c>
      <c r="AQ1708" s="498">
        <f t="shared" si="604"/>
        <v>0</v>
      </c>
      <c r="AU1708" s="498">
        <f t="shared" si="591"/>
        <v>0</v>
      </c>
      <c r="AV1708" s="498">
        <f t="shared" si="592"/>
        <v>0</v>
      </c>
      <c r="AW1708" s="498">
        <f t="shared" si="593"/>
        <v>0</v>
      </c>
      <c r="AX1708" s="498">
        <f t="shared" si="594"/>
        <v>0</v>
      </c>
      <c r="AY1708" s="498">
        <f t="shared" si="595"/>
        <v>0</v>
      </c>
      <c r="BB1708" s="498" t="str">
        <f t="shared" si="596"/>
        <v/>
      </c>
      <c r="BC1708" s="743" t="str">
        <f t="shared" si="597"/>
        <v/>
      </c>
      <c r="BD1708" s="743" t="str">
        <f t="shared" si="598"/>
        <v/>
      </c>
      <c r="BE1708" s="743" t="str">
        <f>IF(D1708="","",VLOOKUP(D1708,'General Basis'!$J$39:$K$46,2,0))</f>
        <v/>
      </c>
      <c r="BF1708" s="744" t="str">
        <f>IF(D1708="","",VLOOKUP(D1708,'General Basis'!$J$39:$L$46,3,0))</f>
        <v/>
      </c>
      <c r="BG1708" s="744" t="str">
        <f t="shared" si="605"/>
        <v/>
      </c>
      <c r="BH1708" s="744" t="str">
        <f>IF(G1708="","",IF(BF1708="Abu Dhabi",IF(G1708&lt;18,'General Basis'!$C$39,IF(G1708&lt;41,'General Basis'!$C$40,IF(G1708&lt;60,'General Basis'!$C$41,IF(G1708&lt;65,'General Basis'!$C$42,'General Basis'!$C$43)))),IF(G1708&lt;11,'General Basis'!$B$39,IF(G1708&lt;18,'General Basis'!$B$40,IF(G1708&lt;26,'General Basis'!$B$41,IF(G1708&lt;31,'General Basis'!$B$42,IF(G1708&lt;36,'General Basis'!$B$43,IF(G1708&lt;41,'General Basis'!$B$44,IF(G1708&lt;46,'General Basis'!$B$45,IF(G1708&lt;51,'General Basis'!$B$46,IF(G1708&lt;56,'General Basis'!$B$47,IF(G1708&lt;60,'General Basis'!$B$48,IF(G1708&lt;65,'General Basis'!$B$49,'General Basis'!$B$50)))))))))))))</f>
        <v/>
      </c>
      <c r="BI1708" s="744" t="str">
        <f t="shared" si="599"/>
        <v/>
      </c>
      <c r="BJ1708" s="747" t="str">
        <f t="shared" si="606"/>
        <v/>
      </c>
      <c r="BK1708" s="498" t="str">
        <f t="shared" si="600"/>
        <v/>
      </c>
      <c r="BL1708" s="498" t="str">
        <f t="shared" si="601"/>
        <v/>
      </c>
    </row>
    <row r="1709" spans="1:64" x14ac:dyDescent="0.25">
      <c r="A1709" s="762">
        <f t="shared" si="602"/>
        <v>1704</v>
      </c>
      <c r="B1709" s="229"/>
      <c r="C1709" s="223"/>
      <c r="D1709" s="224"/>
      <c r="E1709" s="225"/>
      <c r="F1709" s="1036" t="str">
        <f t="shared" si="608"/>
        <v/>
      </c>
      <c r="G1709" s="1037" t="str">
        <f t="shared" si="603"/>
        <v/>
      </c>
      <c r="H1709" s="225"/>
      <c r="I1709" s="1013"/>
      <c r="J1709" s="1013"/>
      <c r="K1709" s="1028"/>
      <c r="L1709" s="1035" t="str">
        <f t="shared" si="607"/>
        <v/>
      </c>
      <c r="S1709" s="498"/>
      <c r="AJ1709" s="498"/>
      <c r="AM1709" s="498">
        <f t="shared" si="588"/>
        <v>0</v>
      </c>
      <c r="AN1709" s="498">
        <f t="shared" si="589"/>
        <v>0</v>
      </c>
      <c r="AO1709" s="498">
        <f t="shared" si="590"/>
        <v>0</v>
      </c>
      <c r="AP1709" s="498">
        <f t="shared" si="609"/>
        <v>0</v>
      </c>
      <c r="AQ1709" s="498">
        <f t="shared" si="604"/>
        <v>0</v>
      </c>
      <c r="AU1709" s="498">
        <f t="shared" si="591"/>
        <v>0</v>
      </c>
      <c r="AV1709" s="498">
        <f t="shared" si="592"/>
        <v>0</v>
      </c>
      <c r="AW1709" s="498">
        <f t="shared" si="593"/>
        <v>0</v>
      </c>
      <c r="AX1709" s="498">
        <f t="shared" si="594"/>
        <v>0</v>
      </c>
      <c r="AY1709" s="498">
        <f t="shared" si="595"/>
        <v>0</v>
      </c>
      <c r="BB1709" s="498" t="str">
        <f t="shared" si="596"/>
        <v/>
      </c>
      <c r="BC1709" s="743" t="str">
        <f t="shared" si="597"/>
        <v/>
      </c>
      <c r="BD1709" s="743" t="str">
        <f t="shared" si="598"/>
        <v/>
      </c>
      <c r="BE1709" s="743" t="str">
        <f>IF(D1709="","",VLOOKUP(D1709,'General Basis'!$J$39:$K$46,2,0))</f>
        <v/>
      </c>
      <c r="BF1709" s="744" t="str">
        <f>IF(D1709="","",VLOOKUP(D1709,'General Basis'!$J$39:$L$46,3,0))</f>
        <v/>
      </c>
      <c r="BG1709" s="744" t="str">
        <f t="shared" si="605"/>
        <v/>
      </c>
      <c r="BH1709" s="744" t="str">
        <f>IF(G1709="","",IF(BF1709="Abu Dhabi",IF(G1709&lt;18,'General Basis'!$C$39,IF(G1709&lt;41,'General Basis'!$C$40,IF(G1709&lt;60,'General Basis'!$C$41,IF(G1709&lt;65,'General Basis'!$C$42,'General Basis'!$C$43)))),IF(G1709&lt;11,'General Basis'!$B$39,IF(G1709&lt;18,'General Basis'!$B$40,IF(G1709&lt;26,'General Basis'!$B$41,IF(G1709&lt;31,'General Basis'!$B$42,IF(G1709&lt;36,'General Basis'!$B$43,IF(G1709&lt;41,'General Basis'!$B$44,IF(G1709&lt;46,'General Basis'!$B$45,IF(G1709&lt;51,'General Basis'!$B$46,IF(G1709&lt;56,'General Basis'!$B$47,IF(G1709&lt;60,'General Basis'!$B$48,IF(G1709&lt;65,'General Basis'!$B$49,'General Basis'!$B$50)))))))))))))</f>
        <v/>
      </c>
      <c r="BI1709" s="744" t="str">
        <f t="shared" si="599"/>
        <v/>
      </c>
      <c r="BJ1709" s="747" t="str">
        <f t="shared" si="606"/>
        <v/>
      </c>
      <c r="BK1709" s="498" t="str">
        <f t="shared" si="600"/>
        <v/>
      </c>
      <c r="BL1709" s="498" t="str">
        <f t="shared" si="601"/>
        <v/>
      </c>
    </row>
    <row r="1710" spans="1:64" x14ac:dyDescent="0.25">
      <c r="A1710" s="762">
        <f t="shared" si="602"/>
        <v>1705</v>
      </c>
      <c r="B1710" s="229"/>
      <c r="C1710" s="223"/>
      <c r="D1710" s="224"/>
      <c r="E1710" s="225"/>
      <c r="F1710" s="1036" t="str">
        <f t="shared" si="608"/>
        <v/>
      </c>
      <c r="G1710" s="1037" t="str">
        <f t="shared" si="603"/>
        <v/>
      </c>
      <c r="H1710" s="225"/>
      <c r="I1710" s="1013"/>
      <c r="J1710" s="1013"/>
      <c r="K1710" s="1028"/>
      <c r="L1710" s="1035" t="str">
        <f t="shared" si="607"/>
        <v/>
      </c>
      <c r="S1710" s="498"/>
      <c r="AJ1710" s="498"/>
      <c r="AM1710" s="498">
        <f t="shared" si="588"/>
        <v>0</v>
      </c>
      <c r="AN1710" s="498">
        <f t="shared" si="589"/>
        <v>0</v>
      </c>
      <c r="AO1710" s="498">
        <f t="shared" si="590"/>
        <v>0</v>
      </c>
      <c r="AP1710" s="498">
        <f t="shared" si="609"/>
        <v>0</v>
      </c>
      <c r="AQ1710" s="498">
        <f t="shared" si="604"/>
        <v>0</v>
      </c>
      <c r="AU1710" s="498">
        <f t="shared" si="591"/>
        <v>0</v>
      </c>
      <c r="AV1710" s="498">
        <f t="shared" si="592"/>
        <v>0</v>
      </c>
      <c r="AW1710" s="498">
        <f t="shared" si="593"/>
        <v>0</v>
      </c>
      <c r="AX1710" s="498">
        <f t="shared" si="594"/>
        <v>0</v>
      </c>
      <c r="AY1710" s="498">
        <f t="shared" si="595"/>
        <v>0</v>
      </c>
      <c r="BB1710" s="498" t="str">
        <f t="shared" si="596"/>
        <v/>
      </c>
      <c r="BC1710" s="743" t="str">
        <f t="shared" si="597"/>
        <v/>
      </c>
      <c r="BD1710" s="743" t="str">
        <f t="shared" si="598"/>
        <v/>
      </c>
      <c r="BE1710" s="743" t="str">
        <f>IF(D1710="","",VLOOKUP(D1710,'General Basis'!$J$39:$K$46,2,0))</f>
        <v/>
      </c>
      <c r="BF1710" s="744" t="str">
        <f>IF(D1710="","",VLOOKUP(D1710,'General Basis'!$J$39:$L$46,3,0))</f>
        <v/>
      </c>
      <c r="BG1710" s="744" t="str">
        <f t="shared" si="605"/>
        <v/>
      </c>
      <c r="BH1710" s="744" t="str">
        <f>IF(G1710="","",IF(BF1710="Abu Dhabi",IF(G1710&lt;18,'General Basis'!$C$39,IF(G1710&lt;41,'General Basis'!$C$40,IF(G1710&lt;60,'General Basis'!$C$41,IF(G1710&lt;65,'General Basis'!$C$42,'General Basis'!$C$43)))),IF(G1710&lt;11,'General Basis'!$B$39,IF(G1710&lt;18,'General Basis'!$B$40,IF(G1710&lt;26,'General Basis'!$B$41,IF(G1710&lt;31,'General Basis'!$B$42,IF(G1710&lt;36,'General Basis'!$B$43,IF(G1710&lt;41,'General Basis'!$B$44,IF(G1710&lt;46,'General Basis'!$B$45,IF(G1710&lt;51,'General Basis'!$B$46,IF(G1710&lt;56,'General Basis'!$B$47,IF(G1710&lt;60,'General Basis'!$B$48,IF(G1710&lt;65,'General Basis'!$B$49,'General Basis'!$B$50)))))))))))))</f>
        <v/>
      </c>
      <c r="BI1710" s="744" t="str">
        <f t="shared" si="599"/>
        <v/>
      </c>
      <c r="BJ1710" s="747" t="str">
        <f t="shared" si="606"/>
        <v/>
      </c>
      <c r="BK1710" s="498" t="str">
        <f t="shared" si="600"/>
        <v/>
      </c>
      <c r="BL1710" s="498" t="str">
        <f t="shared" si="601"/>
        <v/>
      </c>
    </row>
    <row r="1711" spans="1:64" x14ac:dyDescent="0.25">
      <c r="A1711" s="762">
        <f t="shared" si="602"/>
        <v>1706</v>
      </c>
      <c r="B1711" s="229"/>
      <c r="C1711" s="223"/>
      <c r="D1711" s="224"/>
      <c r="E1711" s="225"/>
      <c r="F1711" s="1036" t="str">
        <f t="shared" si="608"/>
        <v/>
      </c>
      <c r="G1711" s="1037" t="str">
        <f t="shared" si="603"/>
        <v/>
      </c>
      <c r="H1711" s="225"/>
      <c r="I1711" s="1013"/>
      <c r="J1711" s="1013"/>
      <c r="K1711" s="1028"/>
      <c r="L1711" s="1035" t="str">
        <f t="shared" si="607"/>
        <v/>
      </c>
      <c r="S1711" s="498"/>
      <c r="AJ1711" s="498"/>
      <c r="AM1711" s="498">
        <f t="shared" si="588"/>
        <v>0</v>
      </c>
      <c r="AN1711" s="498">
        <f t="shared" si="589"/>
        <v>0</v>
      </c>
      <c r="AO1711" s="498">
        <f t="shared" si="590"/>
        <v>0</v>
      </c>
      <c r="AP1711" s="498">
        <f t="shared" si="609"/>
        <v>0</v>
      </c>
      <c r="AQ1711" s="498">
        <f t="shared" si="604"/>
        <v>0</v>
      </c>
      <c r="AU1711" s="498">
        <f t="shared" si="591"/>
        <v>0</v>
      </c>
      <c r="AV1711" s="498">
        <f t="shared" si="592"/>
        <v>0</v>
      </c>
      <c r="AW1711" s="498">
        <f t="shared" si="593"/>
        <v>0</v>
      </c>
      <c r="AX1711" s="498">
        <f t="shared" si="594"/>
        <v>0</v>
      </c>
      <c r="AY1711" s="498">
        <f t="shared" si="595"/>
        <v>0</v>
      </c>
      <c r="BB1711" s="498" t="str">
        <f t="shared" si="596"/>
        <v/>
      </c>
      <c r="BC1711" s="743" t="str">
        <f t="shared" si="597"/>
        <v/>
      </c>
      <c r="BD1711" s="743" t="str">
        <f t="shared" si="598"/>
        <v/>
      </c>
      <c r="BE1711" s="743" t="str">
        <f>IF(D1711="","",VLOOKUP(D1711,'General Basis'!$J$39:$K$46,2,0))</f>
        <v/>
      </c>
      <c r="BF1711" s="744" t="str">
        <f>IF(D1711="","",VLOOKUP(D1711,'General Basis'!$J$39:$L$46,3,0))</f>
        <v/>
      </c>
      <c r="BG1711" s="744" t="str">
        <f t="shared" si="605"/>
        <v/>
      </c>
      <c r="BH1711" s="744" t="str">
        <f>IF(G1711="","",IF(BF1711="Abu Dhabi",IF(G1711&lt;18,'General Basis'!$C$39,IF(G1711&lt;41,'General Basis'!$C$40,IF(G1711&lt;60,'General Basis'!$C$41,IF(G1711&lt;65,'General Basis'!$C$42,'General Basis'!$C$43)))),IF(G1711&lt;11,'General Basis'!$B$39,IF(G1711&lt;18,'General Basis'!$B$40,IF(G1711&lt;26,'General Basis'!$B$41,IF(G1711&lt;31,'General Basis'!$B$42,IF(G1711&lt;36,'General Basis'!$B$43,IF(G1711&lt;41,'General Basis'!$B$44,IF(G1711&lt;46,'General Basis'!$B$45,IF(G1711&lt;51,'General Basis'!$B$46,IF(G1711&lt;56,'General Basis'!$B$47,IF(G1711&lt;60,'General Basis'!$B$48,IF(G1711&lt;65,'General Basis'!$B$49,'General Basis'!$B$50)))))))))))))</f>
        <v/>
      </c>
      <c r="BI1711" s="744" t="str">
        <f t="shared" si="599"/>
        <v/>
      </c>
      <c r="BJ1711" s="747" t="str">
        <f t="shared" si="606"/>
        <v/>
      </c>
      <c r="BK1711" s="498" t="str">
        <f t="shared" si="600"/>
        <v/>
      </c>
      <c r="BL1711" s="498" t="str">
        <f t="shared" si="601"/>
        <v/>
      </c>
    </row>
    <row r="1712" spans="1:64" x14ac:dyDescent="0.25">
      <c r="A1712" s="762">
        <f t="shared" si="602"/>
        <v>1707</v>
      </c>
      <c r="B1712" s="229"/>
      <c r="C1712" s="223"/>
      <c r="D1712" s="224"/>
      <c r="E1712" s="225"/>
      <c r="F1712" s="1036" t="str">
        <f t="shared" si="608"/>
        <v/>
      </c>
      <c r="G1712" s="1037" t="str">
        <f t="shared" si="603"/>
        <v/>
      </c>
      <c r="H1712" s="225"/>
      <c r="I1712" s="1013"/>
      <c r="J1712" s="1013"/>
      <c r="K1712" s="1028"/>
      <c r="L1712" s="1035" t="str">
        <f t="shared" si="607"/>
        <v/>
      </c>
      <c r="S1712" s="498"/>
      <c r="AJ1712" s="498"/>
      <c r="AM1712" s="498">
        <f t="shared" si="588"/>
        <v>0</v>
      </c>
      <c r="AN1712" s="498">
        <f t="shared" si="589"/>
        <v>0</v>
      </c>
      <c r="AO1712" s="498">
        <f t="shared" si="590"/>
        <v>0</v>
      </c>
      <c r="AP1712" s="498">
        <f t="shared" si="609"/>
        <v>0</v>
      </c>
      <c r="AQ1712" s="498">
        <f t="shared" si="604"/>
        <v>0</v>
      </c>
      <c r="AU1712" s="498">
        <f t="shared" si="591"/>
        <v>0</v>
      </c>
      <c r="AV1712" s="498">
        <f t="shared" si="592"/>
        <v>0</v>
      </c>
      <c r="AW1712" s="498">
        <f t="shared" si="593"/>
        <v>0</v>
      </c>
      <c r="AX1712" s="498">
        <f t="shared" si="594"/>
        <v>0</v>
      </c>
      <c r="AY1712" s="498">
        <f t="shared" si="595"/>
        <v>0</v>
      </c>
      <c r="BB1712" s="498" t="str">
        <f t="shared" si="596"/>
        <v/>
      </c>
      <c r="BC1712" s="743" t="str">
        <f t="shared" si="597"/>
        <v/>
      </c>
      <c r="BD1712" s="743" t="str">
        <f t="shared" si="598"/>
        <v/>
      </c>
      <c r="BE1712" s="743" t="str">
        <f>IF(D1712="","",VLOOKUP(D1712,'General Basis'!$J$39:$K$46,2,0))</f>
        <v/>
      </c>
      <c r="BF1712" s="744" t="str">
        <f>IF(D1712="","",VLOOKUP(D1712,'General Basis'!$J$39:$L$46,3,0))</f>
        <v/>
      </c>
      <c r="BG1712" s="744" t="str">
        <f t="shared" si="605"/>
        <v/>
      </c>
      <c r="BH1712" s="744" t="str">
        <f>IF(G1712="","",IF(BF1712="Abu Dhabi",IF(G1712&lt;18,'General Basis'!$C$39,IF(G1712&lt;41,'General Basis'!$C$40,IF(G1712&lt;60,'General Basis'!$C$41,IF(G1712&lt;65,'General Basis'!$C$42,'General Basis'!$C$43)))),IF(G1712&lt;11,'General Basis'!$B$39,IF(G1712&lt;18,'General Basis'!$B$40,IF(G1712&lt;26,'General Basis'!$B$41,IF(G1712&lt;31,'General Basis'!$B$42,IF(G1712&lt;36,'General Basis'!$B$43,IF(G1712&lt;41,'General Basis'!$B$44,IF(G1712&lt;46,'General Basis'!$B$45,IF(G1712&lt;51,'General Basis'!$B$46,IF(G1712&lt;56,'General Basis'!$B$47,IF(G1712&lt;60,'General Basis'!$B$48,IF(G1712&lt;65,'General Basis'!$B$49,'General Basis'!$B$50)))))))))))))</f>
        <v/>
      </c>
      <c r="BI1712" s="744" t="str">
        <f t="shared" si="599"/>
        <v/>
      </c>
      <c r="BJ1712" s="747" t="str">
        <f t="shared" si="606"/>
        <v/>
      </c>
      <c r="BK1712" s="498" t="str">
        <f t="shared" si="600"/>
        <v/>
      </c>
      <c r="BL1712" s="498" t="str">
        <f t="shared" si="601"/>
        <v/>
      </c>
    </row>
    <row r="1713" spans="1:64" x14ac:dyDescent="0.25">
      <c r="A1713" s="762">
        <f t="shared" si="602"/>
        <v>1708</v>
      </c>
      <c r="B1713" s="229"/>
      <c r="C1713" s="223"/>
      <c r="D1713" s="224"/>
      <c r="E1713" s="225"/>
      <c r="F1713" s="1036" t="str">
        <f t="shared" si="608"/>
        <v/>
      </c>
      <c r="G1713" s="1037" t="str">
        <f t="shared" si="603"/>
        <v/>
      </c>
      <c r="H1713" s="225"/>
      <c r="I1713" s="1013"/>
      <c r="J1713" s="1013"/>
      <c r="K1713" s="1028"/>
      <c r="L1713" s="1035" t="str">
        <f t="shared" si="607"/>
        <v/>
      </c>
      <c r="S1713" s="498"/>
      <c r="AJ1713" s="498"/>
      <c r="AM1713" s="498">
        <f t="shared" si="588"/>
        <v>0</v>
      </c>
      <c r="AN1713" s="498">
        <f t="shared" si="589"/>
        <v>0</v>
      </c>
      <c r="AO1713" s="498">
        <f t="shared" si="590"/>
        <v>0</v>
      </c>
      <c r="AP1713" s="498">
        <f t="shared" si="609"/>
        <v>0</v>
      </c>
      <c r="AQ1713" s="498">
        <f t="shared" si="604"/>
        <v>0</v>
      </c>
      <c r="AU1713" s="498">
        <f t="shared" si="591"/>
        <v>0</v>
      </c>
      <c r="AV1713" s="498">
        <f t="shared" si="592"/>
        <v>0</v>
      </c>
      <c r="AW1713" s="498">
        <f t="shared" si="593"/>
        <v>0</v>
      </c>
      <c r="AX1713" s="498">
        <f t="shared" si="594"/>
        <v>0</v>
      </c>
      <c r="AY1713" s="498">
        <f t="shared" si="595"/>
        <v>0</v>
      </c>
      <c r="BB1713" s="498" t="str">
        <f t="shared" si="596"/>
        <v/>
      </c>
      <c r="BC1713" s="743" t="str">
        <f t="shared" si="597"/>
        <v/>
      </c>
      <c r="BD1713" s="743" t="str">
        <f t="shared" si="598"/>
        <v/>
      </c>
      <c r="BE1713" s="743" t="str">
        <f>IF(D1713="","",VLOOKUP(D1713,'General Basis'!$J$39:$K$46,2,0))</f>
        <v/>
      </c>
      <c r="BF1713" s="744" t="str">
        <f>IF(D1713="","",VLOOKUP(D1713,'General Basis'!$J$39:$L$46,3,0))</f>
        <v/>
      </c>
      <c r="BG1713" s="744" t="str">
        <f t="shared" si="605"/>
        <v/>
      </c>
      <c r="BH1713" s="744" t="str">
        <f>IF(G1713="","",IF(BF1713="Abu Dhabi",IF(G1713&lt;18,'General Basis'!$C$39,IF(G1713&lt;41,'General Basis'!$C$40,IF(G1713&lt;60,'General Basis'!$C$41,IF(G1713&lt;65,'General Basis'!$C$42,'General Basis'!$C$43)))),IF(G1713&lt;11,'General Basis'!$B$39,IF(G1713&lt;18,'General Basis'!$B$40,IF(G1713&lt;26,'General Basis'!$B$41,IF(G1713&lt;31,'General Basis'!$B$42,IF(G1713&lt;36,'General Basis'!$B$43,IF(G1713&lt;41,'General Basis'!$B$44,IF(G1713&lt;46,'General Basis'!$B$45,IF(G1713&lt;51,'General Basis'!$B$46,IF(G1713&lt;56,'General Basis'!$B$47,IF(G1713&lt;60,'General Basis'!$B$48,IF(G1713&lt;65,'General Basis'!$B$49,'General Basis'!$B$50)))))))))))))</f>
        <v/>
      </c>
      <c r="BI1713" s="744" t="str">
        <f t="shared" si="599"/>
        <v/>
      </c>
      <c r="BJ1713" s="747" t="str">
        <f t="shared" si="606"/>
        <v/>
      </c>
      <c r="BK1713" s="498" t="str">
        <f t="shared" si="600"/>
        <v/>
      </c>
      <c r="BL1713" s="498" t="str">
        <f t="shared" si="601"/>
        <v/>
      </c>
    </row>
    <row r="1714" spans="1:64" x14ac:dyDescent="0.25">
      <c r="A1714" s="762">
        <f t="shared" si="602"/>
        <v>1709</v>
      </c>
      <c r="B1714" s="229"/>
      <c r="C1714" s="223"/>
      <c r="D1714" s="224"/>
      <c r="E1714" s="225"/>
      <c r="F1714" s="1036" t="str">
        <f t="shared" si="608"/>
        <v/>
      </c>
      <c r="G1714" s="1037" t="str">
        <f t="shared" si="603"/>
        <v/>
      </c>
      <c r="H1714" s="225"/>
      <c r="I1714" s="1013"/>
      <c r="J1714" s="1013"/>
      <c r="K1714" s="1028"/>
      <c r="L1714" s="1035" t="str">
        <f t="shared" si="607"/>
        <v/>
      </c>
      <c r="S1714" s="498"/>
      <c r="AJ1714" s="498"/>
      <c r="AM1714" s="498">
        <f t="shared" si="588"/>
        <v>0</v>
      </c>
      <c r="AN1714" s="498">
        <f t="shared" si="589"/>
        <v>0</v>
      </c>
      <c r="AO1714" s="498">
        <f t="shared" si="590"/>
        <v>0</v>
      </c>
      <c r="AP1714" s="498">
        <f t="shared" si="609"/>
        <v>0</v>
      </c>
      <c r="AQ1714" s="498">
        <f t="shared" si="604"/>
        <v>0</v>
      </c>
      <c r="AU1714" s="498">
        <f t="shared" si="591"/>
        <v>0</v>
      </c>
      <c r="AV1714" s="498">
        <f t="shared" si="592"/>
        <v>0</v>
      </c>
      <c r="AW1714" s="498">
        <f t="shared" si="593"/>
        <v>0</v>
      </c>
      <c r="AX1714" s="498">
        <f t="shared" si="594"/>
        <v>0</v>
      </c>
      <c r="AY1714" s="498">
        <f t="shared" si="595"/>
        <v>0</v>
      </c>
      <c r="BB1714" s="498" t="str">
        <f t="shared" si="596"/>
        <v/>
      </c>
      <c r="BC1714" s="743" t="str">
        <f t="shared" si="597"/>
        <v/>
      </c>
      <c r="BD1714" s="743" t="str">
        <f t="shared" si="598"/>
        <v/>
      </c>
      <c r="BE1714" s="743" t="str">
        <f>IF(D1714="","",VLOOKUP(D1714,'General Basis'!$J$39:$K$46,2,0))</f>
        <v/>
      </c>
      <c r="BF1714" s="744" t="str">
        <f>IF(D1714="","",VLOOKUP(D1714,'General Basis'!$J$39:$L$46,3,0))</f>
        <v/>
      </c>
      <c r="BG1714" s="744" t="str">
        <f t="shared" si="605"/>
        <v/>
      </c>
      <c r="BH1714" s="744" t="str">
        <f>IF(G1714="","",IF(BF1714="Abu Dhabi",IF(G1714&lt;18,'General Basis'!$C$39,IF(G1714&lt;41,'General Basis'!$C$40,IF(G1714&lt;60,'General Basis'!$C$41,IF(G1714&lt;65,'General Basis'!$C$42,'General Basis'!$C$43)))),IF(G1714&lt;11,'General Basis'!$B$39,IF(G1714&lt;18,'General Basis'!$B$40,IF(G1714&lt;26,'General Basis'!$B$41,IF(G1714&lt;31,'General Basis'!$B$42,IF(G1714&lt;36,'General Basis'!$B$43,IF(G1714&lt;41,'General Basis'!$B$44,IF(G1714&lt;46,'General Basis'!$B$45,IF(G1714&lt;51,'General Basis'!$B$46,IF(G1714&lt;56,'General Basis'!$B$47,IF(G1714&lt;60,'General Basis'!$B$48,IF(G1714&lt;65,'General Basis'!$B$49,'General Basis'!$B$50)))))))))))))</f>
        <v/>
      </c>
      <c r="BI1714" s="744" t="str">
        <f t="shared" si="599"/>
        <v/>
      </c>
      <c r="BJ1714" s="747" t="str">
        <f t="shared" si="606"/>
        <v/>
      </c>
      <c r="BK1714" s="498" t="str">
        <f t="shared" si="600"/>
        <v/>
      </c>
      <c r="BL1714" s="498" t="str">
        <f t="shared" si="601"/>
        <v/>
      </c>
    </row>
    <row r="1715" spans="1:64" x14ac:dyDescent="0.25">
      <c r="A1715" s="762">
        <f t="shared" si="602"/>
        <v>1710</v>
      </c>
      <c r="B1715" s="229"/>
      <c r="C1715" s="223"/>
      <c r="D1715" s="224"/>
      <c r="E1715" s="225"/>
      <c r="F1715" s="1036" t="str">
        <f t="shared" si="608"/>
        <v/>
      </c>
      <c r="G1715" s="1037" t="str">
        <f t="shared" si="603"/>
        <v/>
      </c>
      <c r="H1715" s="225"/>
      <c r="I1715" s="1013"/>
      <c r="J1715" s="1013"/>
      <c r="K1715" s="1028"/>
      <c r="L1715" s="1035" t="str">
        <f t="shared" si="607"/>
        <v/>
      </c>
      <c r="S1715" s="498"/>
      <c r="AJ1715" s="498"/>
      <c r="AM1715" s="498">
        <f t="shared" si="588"/>
        <v>0</v>
      </c>
      <c r="AN1715" s="498">
        <f t="shared" si="589"/>
        <v>0</v>
      </c>
      <c r="AO1715" s="498">
        <f t="shared" si="590"/>
        <v>0</v>
      </c>
      <c r="AP1715" s="498">
        <f t="shared" si="609"/>
        <v>0</v>
      </c>
      <c r="AQ1715" s="498">
        <f t="shared" si="604"/>
        <v>0</v>
      </c>
      <c r="AU1715" s="498">
        <f t="shared" si="591"/>
        <v>0</v>
      </c>
      <c r="AV1715" s="498">
        <f t="shared" si="592"/>
        <v>0</v>
      </c>
      <c r="AW1715" s="498">
        <f t="shared" si="593"/>
        <v>0</v>
      </c>
      <c r="AX1715" s="498">
        <f t="shared" si="594"/>
        <v>0</v>
      </c>
      <c r="AY1715" s="498">
        <f t="shared" si="595"/>
        <v>0</v>
      </c>
      <c r="BB1715" s="498" t="str">
        <f t="shared" si="596"/>
        <v/>
      </c>
      <c r="BC1715" s="743" t="str">
        <f t="shared" si="597"/>
        <v/>
      </c>
      <c r="BD1715" s="743" t="str">
        <f t="shared" si="598"/>
        <v/>
      </c>
      <c r="BE1715" s="743" t="str">
        <f>IF(D1715="","",VLOOKUP(D1715,'General Basis'!$J$39:$K$46,2,0))</f>
        <v/>
      </c>
      <c r="BF1715" s="744" t="str">
        <f>IF(D1715="","",VLOOKUP(D1715,'General Basis'!$J$39:$L$46,3,0))</f>
        <v/>
      </c>
      <c r="BG1715" s="744" t="str">
        <f t="shared" si="605"/>
        <v/>
      </c>
      <c r="BH1715" s="744" t="str">
        <f>IF(G1715="","",IF(BF1715="Abu Dhabi",IF(G1715&lt;18,'General Basis'!$C$39,IF(G1715&lt;41,'General Basis'!$C$40,IF(G1715&lt;60,'General Basis'!$C$41,IF(G1715&lt;65,'General Basis'!$C$42,'General Basis'!$C$43)))),IF(G1715&lt;11,'General Basis'!$B$39,IF(G1715&lt;18,'General Basis'!$B$40,IF(G1715&lt;26,'General Basis'!$B$41,IF(G1715&lt;31,'General Basis'!$B$42,IF(G1715&lt;36,'General Basis'!$B$43,IF(G1715&lt;41,'General Basis'!$B$44,IF(G1715&lt;46,'General Basis'!$B$45,IF(G1715&lt;51,'General Basis'!$B$46,IF(G1715&lt;56,'General Basis'!$B$47,IF(G1715&lt;60,'General Basis'!$B$48,IF(G1715&lt;65,'General Basis'!$B$49,'General Basis'!$B$50)))))))))))))</f>
        <v/>
      </c>
      <c r="BI1715" s="744" t="str">
        <f t="shared" si="599"/>
        <v/>
      </c>
      <c r="BJ1715" s="747" t="str">
        <f t="shared" si="606"/>
        <v/>
      </c>
      <c r="BK1715" s="498" t="str">
        <f t="shared" si="600"/>
        <v/>
      </c>
      <c r="BL1715" s="498" t="str">
        <f t="shared" si="601"/>
        <v/>
      </c>
    </row>
    <row r="1716" spans="1:64" x14ac:dyDescent="0.25">
      <c r="A1716" s="762">
        <f t="shared" si="602"/>
        <v>1711</v>
      </c>
      <c r="B1716" s="229"/>
      <c r="C1716" s="223"/>
      <c r="D1716" s="224"/>
      <c r="E1716" s="225"/>
      <c r="F1716" s="1036" t="str">
        <f t="shared" si="608"/>
        <v/>
      </c>
      <c r="G1716" s="1037" t="str">
        <f t="shared" si="603"/>
        <v/>
      </c>
      <c r="H1716" s="225"/>
      <c r="I1716" s="1013"/>
      <c r="J1716" s="1013"/>
      <c r="K1716" s="1028"/>
      <c r="L1716" s="1035" t="str">
        <f t="shared" si="607"/>
        <v/>
      </c>
      <c r="S1716" s="498"/>
      <c r="AJ1716" s="498"/>
      <c r="AM1716" s="498">
        <f t="shared" si="588"/>
        <v>0</v>
      </c>
      <c r="AN1716" s="498">
        <f t="shared" si="589"/>
        <v>0</v>
      </c>
      <c r="AO1716" s="498">
        <f t="shared" si="590"/>
        <v>0</v>
      </c>
      <c r="AP1716" s="498">
        <f t="shared" si="609"/>
        <v>0</v>
      </c>
      <c r="AQ1716" s="498">
        <f t="shared" si="604"/>
        <v>0</v>
      </c>
      <c r="AU1716" s="498">
        <f t="shared" si="591"/>
        <v>0</v>
      </c>
      <c r="AV1716" s="498">
        <f t="shared" si="592"/>
        <v>0</v>
      </c>
      <c r="AW1716" s="498">
        <f t="shared" si="593"/>
        <v>0</v>
      </c>
      <c r="AX1716" s="498">
        <f t="shared" si="594"/>
        <v>0</v>
      </c>
      <c r="AY1716" s="498">
        <f t="shared" si="595"/>
        <v>0</v>
      </c>
      <c r="BB1716" s="498" t="str">
        <f t="shared" si="596"/>
        <v/>
      </c>
      <c r="BC1716" s="743" t="str">
        <f t="shared" si="597"/>
        <v/>
      </c>
      <c r="BD1716" s="743" t="str">
        <f t="shared" si="598"/>
        <v/>
      </c>
      <c r="BE1716" s="743" t="str">
        <f>IF(D1716="","",VLOOKUP(D1716,'General Basis'!$J$39:$K$46,2,0))</f>
        <v/>
      </c>
      <c r="BF1716" s="744" t="str">
        <f>IF(D1716="","",VLOOKUP(D1716,'General Basis'!$J$39:$L$46,3,0))</f>
        <v/>
      </c>
      <c r="BG1716" s="744" t="str">
        <f t="shared" si="605"/>
        <v/>
      </c>
      <c r="BH1716" s="744" t="str">
        <f>IF(G1716="","",IF(BF1716="Abu Dhabi",IF(G1716&lt;18,'General Basis'!$C$39,IF(G1716&lt;41,'General Basis'!$C$40,IF(G1716&lt;60,'General Basis'!$C$41,IF(G1716&lt;65,'General Basis'!$C$42,'General Basis'!$C$43)))),IF(G1716&lt;11,'General Basis'!$B$39,IF(G1716&lt;18,'General Basis'!$B$40,IF(G1716&lt;26,'General Basis'!$B$41,IF(G1716&lt;31,'General Basis'!$B$42,IF(G1716&lt;36,'General Basis'!$B$43,IF(G1716&lt;41,'General Basis'!$B$44,IF(G1716&lt;46,'General Basis'!$B$45,IF(G1716&lt;51,'General Basis'!$B$46,IF(G1716&lt;56,'General Basis'!$B$47,IF(G1716&lt;60,'General Basis'!$B$48,IF(G1716&lt;65,'General Basis'!$B$49,'General Basis'!$B$50)))))))))))))</f>
        <v/>
      </c>
      <c r="BI1716" s="744" t="str">
        <f t="shared" si="599"/>
        <v/>
      </c>
      <c r="BJ1716" s="747" t="str">
        <f t="shared" si="606"/>
        <v/>
      </c>
      <c r="BK1716" s="498" t="str">
        <f t="shared" si="600"/>
        <v/>
      </c>
      <c r="BL1716" s="498" t="str">
        <f t="shared" si="601"/>
        <v/>
      </c>
    </row>
    <row r="1717" spans="1:64" x14ac:dyDescent="0.25">
      <c r="A1717" s="762">
        <f t="shared" si="602"/>
        <v>1712</v>
      </c>
      <c r="B1717" s="229"/>
      <c r="C1717" s="223"/>
      <c r="D1717" s="224"/>
      <c r="E1717" s="225"/>
      <c r="F1717" s="1036" t="str">
        <f t="shared" si="608"/>
        <v/>
      </c>
      <c r="G1717" s="1037" t="str">
        <f t="shared" si="603"/>
        <v/>
      </c>
      <c r="H1717" s="225"/>
      <c r="I1717" s="1013"/>
      <c r="J1717" s="1013"/>
      <c r="K1717" s="1028"/>
      <c r="L1717" s="1035" t="str">
        <f t="shared" si="607"/>
        <v/>
      </c>
      <c r="S1717" s="498"/>
      <c r="AJ1717" s="498"/>
      <c r="AM1717" s="498">
        <f t="shared" si="588"/>
        <v>0</v>
      </c>
      <c r="AN1717" s="498">
        <f t="shared" si="589"/>
        <v>0</v>
      </c>
      <c r="AO1717" s="498">
        <f t="shared" si="590"/>
        <v>0</v>
      </c>
      <c r="AP1717" s="498">
        <f t="shared" si="609"/>
        <v>0</v>
      </c>
      <c r="AQ1717" s="498">
        <f t="shared" si="604"/>
        <v>0</v>
      </c>
      <c r="AU1717" s="498">
        <f t="shared" si="591"/>
        <v>0</v>
      </c>
      <c r="AV1717" s="498">
        <f t="shared" si="592"/>
        <v>0</v>
      </c>
      <c r="AW1717" s="498">
        <f t="shared" si="593"/>
        <v>0</v>
      </c>
      <c r="AX1717" s="498">
        <f t="shared" si="594"/>
        <v>0</v>
      </c>
      <c r="AY1717" s="498">
        <f t="shared" si="595"/>
        <v>0</v>
      </c>
      <c r="BB1717" s="498" t="str">
        <f t="shared" si="596"/>
        <v/>
      </c>
      <c r="BC1717" s="743" t="str">
        <f t="shared" si="597"/>
        <v/>
      </c>
      <c r="BD1717" s="743" t="str">
        <f t="shared" si="598"/>
        <v/>
      </c>
      <c r="BE1717" s="743" t="str">
        <f>IF(D1717="","",VLOOKUP(D1717,'General Basis'!$J$39:$K$46,2,0))</f>
        <v/>
      </c>
      <c r="BF1717" s="744" t="str">
        <f>IF(D1717="","",VLOOKUP(D1717,'General Basis'!$J$39:$L$46,3,0))</f>
        <v/>
      </c>
      <c r="BG1717" s="744" t="str">
        <f t="shared" si="605"/>
        <v/>
      </c>
      <c r="BH1717" s="744" t="str">
        <f>IF(G1717="","",IF(BF1717="Abu Dhabi",IF(G1717&lt;18,'General Basis'!$C$39,IF(G1717&lt;41,'General Basis'!$C$40,IF(G1717&lt;60,'General Basis'!$C$41,IF(G1717&lt;65,'General Basis'!$C$42,'General Basis'!$C$43)))),IF(G1717&lt;11,'General Basis'!$B$39,IF(G1717&lt;18,'General Basis'!$B$40,IF(G1717&lt;26,'General Basis'!$B$41,IF(G1717&lt;31,'General Basis'!$B$42,IF(G1717&lt;36,'General Basis'!$B$43,IF(G1717&lt;41,'General Basis'!$B$44,IF(G1717&lt;46,'General Basis'!$B$45,IF(G1717&lt;51,'General Basis'!$B$46,IF(G1717&lt;56,'General Basis'!$B$47,IF(G1717&lt;60,'General Basis'!$B$48,IF(G1717&lt;65,'General Basis'!$B$49,'General Basis'!$B$50)))))))))))))</f>
        <v/>
      </c>
      <c r="BI1717" s="744" t="str">
        <f t="shared" si="599"/>
        <v/>
      </c>
      <c r="BJ1717" s="747" t="str">
        <f t="shared" si="606"/>
        <v/>
      </c>
      <c r="BK1717" s="498" t="str">
        <f t="shared" si="600"/>
        <v/>
      </c>
      <c r="BL1717" s="498" t="str">
        <f t="shared" si="601"/>
        <v/>
      </c>
    </row>
    <row r="1718" spans="1:64" x14ac:dyDescent="0.25">
      <c r="A1718" s="762">
        <f t="shared" si="602"/>
        <v>1713</v>
      </c>
      <c r="B1718" s="229"/>
      <c r="C1718" s="223"/>
      <c r="D1718" s="224"/>
      <c r="E1718" s="225"/>
      <c r="F1718" s="1036" t="str">
        <f t="shared" si="608"/>
        <v/>
      </c>
      <c r="G1718" s="1037" t="str">
        <f t="shared" si="603"/>
        <v/>
      </c>
      <c r="H1718" s="225"/>
      <c r="I1718" s="1013"/>
      <c r="J1718" s="1013"/>
      <c r="K1718" s="1028"/>
      <c r="L1718" s="1035" t="str">
        <f t="shared" si="607"/>
        <v/>
      </c>
      <c r="S1718" s="498"/>
      <c r="AJ1718" s="498"/>
      <c r="AM1718" s="498">
        <f t="shared" si="588"/>
        <v>0</v>
      </c>
      <c r="AN1718" s="498">
        <f t="shared" si="589"/>
        <v>0</v>
      </c>
      <c r="AO1718" s="498">
        <f t="shared" si="590"/>
        <v>0</v>
      </c>
      <c r="AP1718" s="498">
        <f t="shared" si="609"/>
        <v>0</v>
      </c>
      <c r="AQ1718" s="498">
        <f t="shared" si="604"/>
        <v>0</v>
      </c>
      <c r="AU1718" s="498">
        <f t="shared" si="591"/>
        <v>0</v>
      </c>
      <c r="AV1718" s="498">
        <f t="shared" si="592"/>
        <v>0</v>
      </c>
      <c r="AW1718" s="498">
        <f t="shared" si="593"/>
        <v>0</v>
      </c>
      <c r="AX1718" s="498">
        <f t="shared" si="594"/>
        <v>0</v>
      </c>
      <c r="AY1718" s="498">
        <f t="shared" si="595"/>
        <v>0</v>
      </c>
      <c r="BB1718" s="498" t="str">
        <f t="shared" si="596"/>
        <v/>
      </c>
      <c r="BC1718" s="743" t="str">
        <f t="shared" si="597"/>
        <v/>
      </c>
      <c r="BD1718" s="743" t="str">
        <f t="shared" si="598"/>
        <v/>
      </c>
      <c r="BE1718" s="743" t="str">
        <f>IF(D1718="","",VLOOKUP(D1718,'General Basis'!$J$39:$K$46,2,0))</f>
        <v/>
      </c>
      <c r="BF1718" s="744" t="str">
        <f>IF(D1718="","",VLOOKUP(D1718,'General Basis'!$J$39:$L$46,3,0))</f>
        <v/>
      </c>
      <c r="BG1718" s="744" t="str">
        <f t="shared" si="605"/>
        <v/>
      </c>
      <c r="BH1718" s="744" t="str">
        <f>IF(G1718="","",IF(BF1718="Abu Dhabi",IF(G1718&lt;18,'General Basis'!$C$39,IF(G1718&lt;41,'General Basis'!$C$40,IF(G1718&lt;60,'General Basis'!$C$41,IF(G1718&lt;65,'General Basis'!$C$42,'General Basis'!$C$43)))),IF(G1718&lt;11,'General Basis'!$B$39,IF(G1718&lt;18,'General Basis'!$B$40,IF(G1718&lt;26,'General Basis'!$B$41,IF(G1718&lt;31,'General Basis'!$B$42,IF(G1718&lt;36,'General Basis'!$B$43,IF(G1718&lt;41,'General Basis'!$B$44,IF(G1718&lt;46,'General Basis'!$B$45,IF(G1718&lt;51,'General Basis'!$B$46,IF(G1718&lt;56,'General Basis'!$B$47,IF(G1718&lt;60,'General Basis'!$B$48,IF(G1718&lt;65,'General Basis'!$B$49,'General Basis'!$B$50)))))))))))))</f>
        <v/>
      </c>
      <c r="BI1718" s="744" t="str">
        <f t="shared" si="599"/>
        <v/>
      </c>
      <c r="BJ1718" s="747" t="str">
        <f t="shared" si="606"/>
        <v/>
      </c>
      <c r="BK1718" s="498" t="str">
        <f t="shared" si="600"/>
        <v/>
      </c>
      <c r="BL1718" s="498" t="str">
        <f t="shared" si="601"/>
        <v/>
      </c>
    </row>
    <row r="1719" spans="1:64" x14ac:dyDescent="0.25">
      <c r="A1719" s="762">
        <f t="shared" si="602"/>
        <v>1714</v>
      </c>
      <c r="B1719" s="229"/>
      <c r="C1719" s="223"/>
      <c r="D1719" s="224"/>
      <c r="E1719" s="225"/>
      <c r="F1719" s="1036" t="str">
        <f t="shared" si="608"/>
        <v/>
      </c>
      <c r="G1719" s="1037" t="str">
        <f t="shared" si="603"/>
        <v/>
      </c>
      <c r="H1719" s="225"/>
      <c r="I1719" s="1013"/>
      <c r="J1719" s="1013"/>
      <c r="K1719" s="1028"/>
      <c r="L1719" s="1035" t="str">
        <f t="shared" si="607"/>
        <v/>
      </c>
      <c r="S1719" s="498"/>
      <c r="AJ1719" s="498"/>
      <c r="AM1719" s="498">
        <f t="shared" si="588"/>
        <v>0</v>
      </c>
      <c r="AN1719" s="498">
        <f t="shared" si="589"/>
        <v>0</v>
      </c>
      <c r="AO1719" s="498">
        <f t="shared" si="590"/>
        <v>0</v>
      </c>
      <c r="AP1719" s="498">
        <f t="shared" si="609"/>
        <v>0</v>
      </c>
      <c r="AQ1719" s="498">
        <f t="shared" si="604"/>
        <v>0</v>
      </c>
      <c r="AU1719" s="498">
        <f t="shared" si="591"/>
        <v>0</v>
      </c>
      <c r="AV1719" s="498">
        <f t="shared" si="592"/>
        <v>0</v>
      </c>
      <c r="AW1719" s="498">
        <f t="shared" si="593"/>
        <v>0</v>
      </c>
      <c r="AX1719" s="498">
        <f t="shared" si="594"/>
        <v>0</v>
      </c>
      <c r="AY1719" s="498">
        <f t="shared" si="595"/>
        <v>0</v>
      </c>
      <c r="BB1719" s="498" t="str">
        <f t="shared" si="596"/>
        <v/>
      </c>
      <c r="BC1719" s="743" t="str">
        <f t="shared" si="597"/>
        <v/>
      </c>
      <c r="BD1719" s="743" t="str">
        <f t="shared" si="598"/>
        <v/>
      </c>
      <c r="BE1719" s="743" t="str">
        <f>IF(D1719="","",VLOOKUP(D1719,'General Basis'!$J$39:$K$46,2,0))</f>
        <v/>
      </c>
      <c r="BF1719" s="744" t="str">
        <f>IF(D1719="","",VLOOKUP(D1719,'General Basis'!$J$39:$L$46,3,0))</f>
        <v/>
      </c>
      <c r="BG1719" s="744" t="str">
        <f t="shared" si="605"/>
        <v/>
      </c>
      <c r="BH1719" s="744" t="str">
        <f>IF(G1719="","",IF(BF1719="Abu Dhabi",IF(G1719&lt;18,'General Basis'!$C$39,IF(G1719&lt;41,'General Basis'!$C$40,IF(G1719&lt;60,'General Basis'!$C$41,IF(G1719&lt;65,'General Basis'!$C$42,'General Basis'!$C$43)))),IF(G1719&lt;11,'General Basis'!$B$39,IF(G1719&lt;18,'General Basis'!$B$40,IF(G1719&lt;26,'General Basis'!$B$41,IF(G1719&lt;31,'General Basis'!$B$42,IF(G1719&lt;36,'General Basis'!$B$43,IF(G1719&lt;41,'General Basis'!$B$44,IF(G1719&lt;46,'General Basis'!$B$45,IF(G1719&lt;51,'General Basis'!$B$46,IF(G1719&lt;56,'General Basis'!$B$47,IF(G1719&lt;60,'General Basis'!$B$48,IF(G1719&lt;65,'General Basis'!$B$49,'General Basis'!$B$50)))))))))))))</f>
        <v/>
      </c>
      <c r="BI1719" s="744" t="str">
        <f t="shared" si="599"/>
        <v/>
      </c>
      <c r="BJ1719" s="747" t="str">
        <f t="shared" si="606"/>
        <v/>
      </c>
      <c r="BK1719" s="498" t="str">
        <f t="shared" si="600"/>
        <v/>
      </c>
      <c r="BL1719" s="498" t="str">
        <f t="shared" si="601"/>
        <v/>
      </c>
    </row>
    <row r="1720" spans="1:64" x14ac:dyDescent="0.25">
      <c r="A1720" s="762">
        <f t="shared" si="602"/>
        <v>1715</v>
      </c>
      <c r="B1720" s="229"/>
      <c r="C1720" s="223"/>
      <c r="D1720" s="224"/>
      <c r="E1720" s="225"/>
      <c r="F1720" s="1036" t="str">
        <f t="shared" si="608"/>
        <v/>
      </c>
      <c r="G1720" s="1037" t="str">
        <f t="shared" si="603"/>
        <v/>
      </c>
      <c r="H1720" s="225"/>
      <c r="I1720" s="1013"/>
      <c r="J1720" s="1013"/>
      <c r="K1720" s="1028"/>
      <c r="L1720" s="1035" t="str">
        <f t="shared" si="607"/>
        <v/>
      </c>
      <c r="S1720" s="498"/>
      <c r="AJ1720" s="498"/>
      <c r="AM1720" s="498">
        <f t="shared" si="588"/>
        <v>0</v>
      </c>
      <c r="AN1720" s="498">
        <f t="shared" si="589"/>
        <v>0</v>
      </c>
      <c r="AO1720" s="498">
        <f t="shared" si="590"/>
        <v>0</v>
      </c>
      <c r="AP1720" s="498">
        <f t="shared" si="609"/>
        <v>0</v>
      </c>
      <c r="AQ1720" s="498">
        <f t="shared" si="604"/>
        <v>0</v>
      </c>
      <c r="AU1720" s="498">
        <f t="shared" si="591"/>
        <v>0</v>
      </c>
      <c r="AV1720" s="498">
        <f t="shared" si="592"/>
        <v>0</v>
      </c>
      <c r="AW1720" s="498">
        <f t="shared" si="593"/>
        <v>0</v>
      </c>
      <c r="AX1720" s="498">
        <f t="shared" si="594"/>
        <v>0</v>
      </c>
      <c r="AY1720" s="498">
        <f t="shared" si="595"/>
        <v>0</v>
      </c>
      <c r="BB1720" s="498" t="str">
        <f t="shared" si="596"/>
        <v/>
      </c>
      <c r="BC1720" s="743" t="str">
        <f t="shared" si="597"/>
        <v/>
      </c>
      <c r="BD1720" s="743" t="str">
        <f t="shared" si="598"/>
        <v/>
      </c>
      <c r="BE1720" s="743" t="str">
        <f>IF(D1720="","",VLOOKUP(D1720,'General Basis'!$J$39:$K$46,2,0))</f>
        <v/>
      </c>
      <c r="BF1720" s="744" t="str">
        <f>IF(D1720="","",VLOOKUP(D1720,'General Basis'!$J$39:$L$46,3,0))</f>
        <v/>
      </c>
      <c r="BG1720" s="744" t="str">
        <f t="shared" si="605"/>
        <v/>
      </c>
      <c r="BH1720" s="744" t="str">
        <f>IF(G1720="","",IF(BF1720="Abu Dhabi",IF(G1720&lt;18,'General Basis'!$C$39,IF(G1720&lt;41,'General Basis'!$C$40,IF(G1720&lt;60,'General Basis'!$C$41,IF(G1720&lt;65,'General Basis'!$C$42,'General Basis'!$C$43)))),IF(G1720&lt;11,'General Basis'!$B$39,IF(G1720&lt;18,'General Basis'!$B$40,IF(G1720&lt;26,'General Basis'!$B$41,IF(G1720&lt;31,'General Basis'!$B$42,IF(G1720&lt;36,'General Basis'!$B$43,IF(G1720&lt;41,'General Basis'!$B$44,IF(G1720&lt;46,'General Basis'!$B$45,IF(G1720&lt;51,'General Basis'!$B$46,IF(G1720&lt;56,'General Basis'!$B$47,IF(G1720&lt;60,'General Basis'!$B$48,IF(G1720&lt;65,'General Basis'!$B$49,'General Basis'!$B$50)))))))))))))</f>
        <v/>
      </c>
      <c r="BI1720" s="744" t="str">
        <f t="shared" si="599"/>
        <v/>
      </c>
      <c r="BJ1720" s="747" t="str">
        <f t="shared" si="606"/>
        <v/>
      </c>
      <c r="BK1720" s="498" t="str">
        <f t="shared" si="600"/>
        <v/>
      </c>
      <c r="BL1720" s="498" t="str">
        <f t="shared" si="601"/>
        <v/>
      </c>
    </row>
    <row r="1721" spans="1:64" x14ac:dyDescent="0.25">
      <c r="A1721" s="762">
        <f t="shared" si="602"/>
        <v>1716</v>
      </c>
      <c r="B1721" s="229"/>
      <c r="C1721" s="223"/>
      <c r="D1721" s="224"/>
      <c r="E1721" s="225"/>
      <c r="F1721" s="1036" t="str">
        <f t="shared" si="608"/>
        <v/>
      </c>
      <c r="G1721" s="1037" t="str">
        <f t="shared" si="603"/>
        <v/>
      </c>
      <c r="H1721" s="225"/>
      <c r="I1721" s="1013"/>
      <c r="J1721" s="1013"/>
      <c r="K1721" s="1028"/>
      <c r="L1721" s="1035" t="str">
        <f t="shared" si="607"/>
        <v/>
      </c>
      <c r="S1721" s="498"/>
      <c r="AJ1721" s="498"/>
      <c r="AM1721" s="498">
        <f t="shared" si="588"/>
        <v>0</v>
      </c>
      <c r="AN1721" s="498">
        <f t="shared" si="589"/>
        <v>0</v>
      </c>
      <c r="AO1721" s="498">
        <f t="shared" si="590"/>
        <v>0</v>
      </c>
      <c r="AP1721" s="498">
        <f t="shared" si="609"/>
        <v>0</v>
      </c>
      <c r="AQ1721" s="498">
        <f t="shared" si="604"/>
        <v>0</v>
      </c>
      <c r="AU1721" s="498">
        <f t="shared" si="591"/>
        <v>0</v>
      </c>
      <c r="AV1721" s="498">
        <f t="shared" si="592"/>
        <v>0</v>
      </c>
      <c r="AW1721" s="498">
        <f t="shared" si="593"/>
        <v>0</v>
      </c>
      <c r="AX1721" s="498">
        <f t="shared" si="594"/>
        <v>0</v>
      </c>
      <c r="AY1721" s="498">
        <f t="shared" si="595"/>
        <v>0</v>
      </c>
      <c r="BB1721" s="498" t="str">
        <f t="shared" si="596"/>
        <v/>
      </c>
      <c r="BC1721" s="743" t="str">
        <f t="shared" si="597"/>
        <v/>
      </c>
      <c r="BD1721" s="743" t="str">
        <f t="shared" si="598"/>
        <v/>
      </c>
      <c r="BE1721" s="743" t="str">
        <f>IF(D1721="","",VLOOKUP(D1721,'General Basis'!$J$39:$K$46,2,0))</f>
        <v/>
      </c>
      <c r="BF1721" s="744" t="str">
        <f>IF(D1721="","",VLOOKUP(D1721,'General Basis'!$J$39:$L$46,3,0))</f>
        <v/>
      </c>
      <c r="BG1721" s="744" t="str">
        <f t="shared" si="605"/>
        <v/>
      </c>
      <c r="BH1721" s="744" t="str">
        <f>IF(G1721="","",IF(BF1721="Abu Dhabi",IF(G1721&lt;18,'General Basis'!$C$39,IF(G1721&lt;41,'General Basis'!$C$40,IF(G1721&lt;60,'General Basis'!$C$41,IF(G1721&lt;65,'General Basis'!$C$42,'General Basis'!$C$43)))),IF(G1721&lt;11,'General Basis'!$B$39,IF(G1721&lt;18,'General Basis'!$B$40,IF(G1721&lt;26,'General Basis'!$B$41,IF(G1721&lt;31,'General Basis'!$B$42,IF(G1721&lt;36,'General Basis'!$B$43,IF(G1721&lt;41,'General Basis'!$B$44,IF(G1721&lt;46,'General Basis'!$B$45,IF(G1721&lt;51,'General Basis'!$B$46,IF(G1721&lt;56,'General Basis'!$B$47,IF(G1721&lt;60,'General Basis'!$B$48,IF(G1721&lt;65,'General Basis'!$B$49,'General Basis'!$B$50)))))))))))))</f>
        <v/>
      </c>
      <c r="BI1721" s="744" t="str">
        <f t="shared" si="599"/>
        <v/>
      </c>
      <c r="BJ1721" s="747" t="str">
        <f t="shared" si="606"/>
        <v/>
      </c>
      <c r="BK1721" s="498" t="str">
        <f t="shared" si="600"/>
        <v/>
      </c>
      <c r="BL1721" s="498" t="str">
        <f t="shared" si="601"/>
        <v/>
      </c>
    </row>
    <row r="1722" spans="1:64" x14ac:dyDescent="0.25">
      <c r="A1722" s="762">
        <f t="shared" si="602"/>
        <v>1717</v>
      </c>
      <c r="B1722" s="229"/>
      <c r="C1722" s="223"/>
      <c r="D1722" s="224"/>
      <c r="E1722" s="225"/>
      <c r="F1722" s="1036" t="str">
        <f t="shared" si="608"/>
        <v/>
      </c>
      <c r="G1722" s="1037" t="str">
        <f t="shared" si="603"/>
        <v/>
      </c>
      <c r="H1722" s="225"/>
      <c r="I1722" s="1013"/>
      <c r="J1722" s="1013"/>
      <c r="K1722" s="1028"/>
      <c r="L1722" s="1035" t="str">
        <f t="shared" si="607"/>
        <v/>
      </c>
      <c r="S1722" s="498"/>
      <c r="AJ1722" s="498"/>
      <c r="AM1722" s="498">
        <f t="shared" si="588"/>
        <v>0</v>
      </c>
      <c r="AN1722" s="498">
        <f t="shared" si="589"/>
        <v>0</v>
      </c>
      <c r="AO1722" s="498">
        <f t="shared" si="590"/>
        <v>0</v>
      </c>
      <c r="AP1722" s="498">
        <f t="shared" si="609"/>
        <v>0</v>
      </c>
      <c r="AQ1722" s="498">
        <f t="shared" si="604"/>
        <v>0</v>
      </c>
      <c r="AU1722" s="498">
        <f t="shared" si="591"/>
        <v>0</v>
      </c>
      <c r="AV1722" s="498">
        <f t="shared" si="592"/>
        <v>0</v>
      </c>
      <c r="AW1722" s="498">
        <f t="shared" si="593"/>
        <v>0</v>
      </c>
      <c r="AX1722" s="498">
        <f t="shared" si="594"/>
        <v>0</v>
      </c>
      <c r="AY1722" s="498">
        <f t="shared" si="595"/>
        <v>0</v>
      </c>
      <c r="BB1722" s="498" t="str">
        <f t="shared" si="596"/>
        <v/>
      </c>
      <c r="BC1722" s="743" t="str">
        <f t="shared" si="597"/>
        <v/>
      </c>
      <c r="BD1722" s="743" t="str">
        <f t="shared" si="598"/>
        <v/>
      </c>
      <c r="BE1722" s="743" t="str">
        <f>IF(D1722="","",VLOOKUP(D1722,'General Basis'!$J$39:$K$46,2,0))</f>
        <v/>
      </c>
      <c r="BF1722" s="744" t="str">
        <f>IF(D1722="","",VLOOKUP(D1722,'General Basis'!$J$39:$L$46,3,0))</f>
        <v/>
      </c>
      <c r="BG1722" s="744" t="str">
        <f t="shared" si="605"/>
        <v/>
      </c>
      <c r="BH1722" s="744" t="str">
        <f>IF(G1722="","",IF(BF1722="Abu Dhabi",IF(G1722&lt;18,'General Basis'!$C$39,IF(G1722&lt;41,'General Basis'!$C$40,IF(G1722&lt;60,'General Basis'!$C$41,IF(G1722&lt;65,'General Basis'!$C$42,'General Basis'!$C$43)))),IF(G1722&lt;11,'General Basis'!$B$39,IF(G1722&lt;18,'General Basis'!$B$40,IF(G1722&lt;26,'General Basis'!$B$41,IF(G1722&lt;31,'General Basis'!$B$42,IF(G1722&lt;36,'General Basis'!$B$43,IF(G1722&lt;41,'General Basis'!$B$44,IF(G1722&lt;46,'General Basis'!$B$45,IF(G1722&lt;51,'General Basis'!$B$46,IF(G1722&lt;56,'General Basis'!$B$47,IF(G1722&lt;60,'General Basis'!$B$48,IF(G1722&lt;65,'General Basis'!$B$49,'General Basis'!$B$50)))))))))))))</f>
        <v/>
      </c>
      <c r="BI1722" s="744" t="str">
        <f t="shared" si="599"/>
        <v/>
      </c>
      <c r="BJ1722" s="747" t="str">
        <f t="shared" si="606"/>
        <v/>
      </c>
      <c r="BK1722" s="498" t="str">
        <f t="shared" si="600"/>
        <v/>
      </c>
      <c r="BL1722" s="498" t="str">
        <f t="shared" si="601"/>
        <v/>
      </c>
    </row>
    <row r="1723" spans="1:64" x14ac:dyDescent="0.25">
      <c r="A1723" s="762">
        <f t="shared" si="602"/>
        <v>1718</v>
      </c>
      <c r="B1723" s="229"/>
      <c r="C1723" s="223"/>
      <c r="D1723" s="224"/>
      <c r="E1723" s="225"/>
      <c r="F1723" s="1036" t="str">
        <f t="shared" si="608"/>
        <v/>
      </c>
      <c r="G1723" s="1037" t="str">
        <f t="shared" si="603"/>
        <v/>
      </c>
      <c r="H1723" s="225"/>
      <c r="I1723" s="1013"/>
      <c r="J1723" s="1013"/>
      <c r="K1723" s="1028"/>
      <c r="L1723" s="1035" t="str">
        <f t="shared" si="607"/>
        <v/>
      </c>
      <c r="S1723" s="498"/>
      <c r="AJ1723" s="498"/>
      <c r="AM1723" s="498">
        <f t="shared" si="588"/>
        <v>0</v>
      </c>
      <c r="AN1723" s="498">
        <f t="shared" si="589"/>
        <v>0</v>
      </c>
      <c r="AO1723" s="498">
        <f t="shared" si="590"/>
        <v>0</v>
      </c>
      <c r="AP1723" s="498">
        <f t="shared" si="609"/>
        <v>0</v>
      </c>
      <c r="AQ1723" s="498">
        <f t="shared" si="604"/>
        <v>0</v>
      </c>
      <c r="AU1723" s="498">
        <f t="shared" si="591"/>
        <v>0</v>
      </c>
      <c r="AV1723" s="498">
        <f t="shared" si="592"/>
        <v>0</v>
      </c>
      <c r="AW1723" s="498">
        <f t="shared" si="593"/>
        <v>0</v>
      </c>
      <c r="AX1723" s="498">
        <f t="shared" si="594"/>
        <v>0</v>
      </c>
      <c r="AY1723" s="498">
        <f t="shared" si="595"/>
        <v>0</v>
      </c>
      <c r="BB1723" s="498" t="str">
        <f t="shared" si="596"/>
        <v/>
      </c>
      <c r="BC1723" s="743" t="str">
        <f t="shared" si="597"/>
        <v/>
      </c>
      <c r="BD1723" s="743" t="str">
        <f t="shared" si="598"/>
        <v/>
      </c>
      <c r="BE1723" s="743" t="str">
        <f>IF(D1723="","",VLOOKUP(D1723,'General Basis'!$J$39:$K$46,2,0))</f>
        <v/>
      </c>
      <c r="BF1723" s="744" t="str">
        <f>IF(D1723="","",VLOOKUP(D1723,'General Basis'!$J$39:$L$46,3,0))</f>
        <v/>
      </c>
      <c r="BG1723" s="744" t="str">
        <f t="shared" si="605"/>
        <v/>
      </c>
      <c r="BH1723" s="744" t="str">
        <f>IF(G1723="","",IF(BF1723="Abu Dhabi",IF(G1723&lt;18,'General Basis'!$C$39,IF(G1723&lt;41,'General Basis'!$C$40,IF(G1723&lt;60,'General Basis'!$C$41,IF(G1723&lt;65,'General Basis'!$C$42,'General Basis'!$C$43)))),IF(G1723&lt;11,'General Basis'!$B$39,IF(G1723&lt;18,'General Basis'!$B$40,IF(G1723&lt;26,'General Basis'!$B$41,IF(G1723&lt;31,'General Basis'!$B$42,IF(G1723&lt;36,'General Basis'!$B$43,IF(G1723&lt;41,'General Basis'!$B$44,IF(G1723&lt;46,'General Basis'!$B$45,IF(G1723&lt;51,'General Basis'!$B$46,IF(G1723&lt;56,'General Basis'!$B$47,IF(G1723&lt;60,'General Basis'!$B$48,IF(G1723&lt;65,'General Basis'!$B$49,'General Basis'!$B$50)))))))))))))</f>
        <v/>
      </c>
      <c r="BI1723" s="744" t="str">
        <f t="shared" si="599"/>
        <v/>
      </c>
      <c r="BJ1723" s="747" t="str">
        <f t="shared" si="606"/>
        <v/>
      </c>
      <c r="BK1723" s="498" t="str">
        <f t="shared" si="600"/>
        <v/>
      </c>
      <c r="BL1723" s="498" t="str">
        <f t="shared" si="601"/>
        <v/>
      </c>
    </row>
    <row r="1724" spans="1:64" x14ac:dyDescent="0.25">
      <c r="A1724" s="762">
        <f t="shared" si="602"/>
        <v>1719</v>
      </c>
      <c r="B1724" s="229"/>
      <c r="C1724" s="223"/>
      <c r="D1724" s="224"/>
      <c r="E1724" s="225"/>
      <c r="F1724" s="1036" t="str">
        <f t="shared" si="608"/>
        <v/>
      </c>
      <c r="G1724" s="1037" t="str">
        <f t="shared" si="603"/>
        <v/>
      </c>
      <c r="H1724" s="225"/>
      <c r="I1724" s="1013"/>
      <c r="J1724" s="1013"/>
      <c r="K1724" s="1028"/>
      <c r="L1724" s="1035" t="str">
        <f t="shared" si="607"/>
        <v/>
      </c>
      <c r="S1724" s="498"/>
      <c r="AJ1724" s="498"/>
      <c r="AM1724" s="498">
        <f t="shared" si="588"/>
        <v>0</v>
      </c>
      <c r="AN1724" s="498">
        <f t="shared" si="589"/>
        <v>0</v>
      </c>
      <c r="AO1724" s="498">
        <f t="shared" si="590"/>
        <v>0</v>
      </c>
      <c r="AP1724" s="498">
        <f t="shared" si="609"/>
        <v>0</v>
      </c>
      <c r="AQ1724" s="498">
        <f t="shared" si="604"/>
        <v>0</v>
      </c>
      <c r="AU1724" s="498">
        <f t="shared" si="591"/>
        <v>0</v>
      </c>
      <c r="AV1724" s="498">
        <f t="shared" si="592"/>
        <v>0</v>
      </c>
      <c r="AW1724" s="498">
        <f t="shared" si="593"/>
        <v>0</v>
      </c>
      <c r="AX1724" s="498">
        <f t="shared" si="594"/>
        <v>0</v>
      </c>
      <c r="AY1724" s="498">
        <f t="shared" si="595"/>
        <v>0</v>
      </c>
      <c r="BB1724" s="498" t="str">
        <f t="shared" si="596"/>
        <v/>
      </c>
      <c r="BC1724" s="743" t="str">
        <f t="shared" si="597"/>
        <v/>
      </c>
      <c r="BD1724" s="743" t="str">
        <f t="shared" si="598"/>
        <v/>
      </c>
      <c r="BE1724" s="743" t="str">
        <f>IF(D1724="","",VLOOKUP(D1724,'General Basis'!$J$39:$K$46,2,0))</f>
        <v/>
      </c>
      <c r="BF1724" s="744" t="str">
        <f>IF(D1724="","",VLOOKUP(D1724,'General Basis'!$J$39:$L$46,3,0))</f>
        <v/>
      </c>
      <c r="BG1724" s="744" t="str">
        <f t="shared" si="605"/>
        <v/>
      </c>
      <c r="BH1724" s="744" t="str">
        <f>IF(G1724="","",IF(BF1724="Abu Dhabi",IF(G1724&lt;18,'General Basis'!$C$39,IF(G1724&lt;41,'General Basis'!$C$40,IF(G1724&lt;60,'General Basis'!$C$41,IF(G1724&lt;65,'General Basis'!$C$42,'General Basis'!$C$43)))),IF(G1724&lt;11,'General Basis'!$B$39,IF(G1724&lt;18,'General Basis'!$B$40,IF(G1724&lt;26,'General Basis'!$B$41,IF(G1724&lt;31,'General Basis'!$B$42,IF(G1724&lt;36,'General Basis'!$B$43,IF(G1724&lt;41,'General Basis'!$B$44,IF(G1724&lt;46,'General Basis'!$B$45,IF(G1724&lt;51,'General Basis'!$B$46,IF(G1724&lt;56,'General Basis'!$B$47,IF(G1724&lt;60,'General Basis'!$B$48,IF(G1724&lt;65,'General Basis'!$B$49,'General Basis'!$B$50)))))))))))))</f>
        <v/>
      </c>
      <c r="BI1724" s="744" t="str">
        <f t="shared" si="599"/>
        <v/>
      </c>
      <c r="BJ1724" s="747" t="str">
        <f t="shared" si="606"/>
        <v/>
      </c>
      <c r="BK1724" s="498" t="str">
        <f t="shared" si="600"/>
        <v/>
      </c>
      <c r="BL1724" s="498" t="str">
        <f t="shared" si="601"/>
        <v/>
      </c>
    </row>
    <row r="1725" spans="1:64" x14ac:dyDescent="0.25">
      <c r="A1725" s="762">
        <f t="shared" si="602"/>
        <v>1720</v>
      </c>
      <c r="B1725" s="229"/>
      <c r="C1725" s="223"/>
      <c r="D1725" s="224"/>
      <c r="E1725" s="225"/>
      <c r="F1725" s="1036" t="str">
        <f t="shared" si="608"/>
        <v/>
      </c>
      <c r="G1725" s="1037" t="str">
        <f t="shared" si="603"/>
        <v/>
      </c>
      <c r="H1725" s="225"/>
      <c r="I1725" s="1013"/>
      <c r="J1725" s="1013"/>
      <c r="K1725" s="1028"/>
      <c r="L1725" s="1035" t="str">
        <f t="shared" si="607"/>
        <v/>
      </c>
      <c r="S1725" s="498"/>
      <c r="AJ1725" s="498"/>
      <c r="AM1725" s="498">
        <f t="shared" si="588"/>
        <v>0</v>
      </c>
      <c r="AN1725" s="498">
        <f t="shared" si="589"/>
        <v>0</v>
      </c>
      <c r="AO1725" s="498">
        <f t="shared" si="590"/>
        <v>0</v>
      </c>
      <c r="AP1725" s="498">
        <f t="shared" si="609"/>
        <v>0</v>
      </c>
      <c r="AQ1725" s="498">
        <f t="shared" si="604"/>
        <v>0</v>
      </c>
      <c r="AU1725" s="498">
        <f t="shared" si="591"/>
        <v>0</v>
      </c>
      <c r="AV1725" s="498">
        <f t="shared" si="592"/>
        <v>0</v>
      </c>
      <c r="AW1725" s="498">
        <f t="shared" si="593"/>
        <v>0</v>
      </c>
      <c r="AX1725" s="498">
        <f t="shared" si="594"/>
        <v>0</v>
      </c>
      <c r="AY1725" s="498">
        <f t="shared" si="595"/>
        <v>0</v>
      </c>
      <c r="BB1725" s="498" t="str">
        <f t="shared" si="596"/>
        <v/>
      </c>
      <c r="BC1725" s="743" t="str">
        <f t="shared" si="597"/>
        <v/>
      </c>
      <c r="BD1725" s="743" t="str">
        <f t="shared" si="598"/>
        <v/>
      </c>
      <c r="BE1725" s="743" t="str">
        <f>IF(D1725="","",VLOOKUP(D1725,'General Basis'!$J$39:$K$46,2,0))</f>
        <v/>
      </c>
      <c r="BF1725" s="744" t="str">
        <f>IF(D1725="","",VLOOKUP(D1725,'General Basis'!$J$39:$L$46,3,0))</f>
        <v/>
      </c>
      <c r="BG1725" s="744" t="str">
        <f t="shared" si="605"/>
        <v/>
      </c>
      <c r="BH1725" s="744" t="str">
        <f>IF(G1725="","",IF(BF1725="Abu Dhabi",IF(G1725&lt;18,'General Basis'!$C$39,IF(G1725&lt;41,'General Basis'!$C$40,IF(G1725&lt;60,'General Basis'!$C$41,IF(G1725&lt;65,'General Basis'!$C$42,'General Basis'!$C$43)))),IF(G1725&lt;11,'General Basis'!$B$39,IF(G1725&lt;18,'General Basis'!$B$40,IF(G1725&lt;26,'General Basis'!$B$41,IF(G1725&lt;31,'General Basis'!$B$42,IF(G1725&lt;36,'General Basis'!$B$43,IF(G1725&lt;41,'General Basis'!$B$44,IF(G1725&lt;46,'General Basis'!$B$45,IF(G1725&lt;51,'General Basis'!$B$46,IF(G1725&lt;56,'General Basis'!$B$47,IF(G1725&lt;60,'General Basis'!$B$48,IF(G1725&lt;65,'General Basis'!$B$49,'General Basis'!$B$50)))))))))))))</f>
        <v/>
      </c>
      <c r="BI1725" s="744" t="str">
        <f t="shared" si="599"/>
        <v/>
      </c>
      <c r="BJ1725" s="747" t="str">
        <f t="shared" si="606"/>
        <v/>
      </c>
      <c r="BK1725" s="498" t="str">
        <f t="shared" si="600"/>
        <v/>
      </c>
      <c r="BL1725" s="498" t="str">
        <f t="shared" si="601"/>
        <v/>
      </c>
    </row>
    <row r="1726" spans="1:64" x14ac:dyDescent="0.25">
      <c r="A1726" s="762">
        <f t="shared" si="602"/>
        <v>1721</v>
      </c>
      <c r="B1726" s="229"/>
      <c r="C1726" s="223"/>
      <c r="D1726" s="224"/>
      <c r="E1726" s="225"/>
      <c r="F1726" s="1036" t="str">
        <f t="shared" si="608"/>
        <v/>
      </c>
      <c r="G1726" s="1037" t="str">
        <f t="shared" si="603"/>
        <v/>
      </c>
      <c r="H1726" s="225"/>
      <c r="I1726" s="1013"/>
      <c r="J1726" s="1013"/>
      <c r="K1726" s="1028"/>
      <c r="L1726" s="1035" t="str">
        <f t="shared" si="607"/>
        <v/>
      </c>
      <c r="S1726" s="498"/>
      <c r="AJ1726" s="498"/>
      <c r="AM1726" s="498">
        <f t="shared" si="588"/>
        <v>0</v>
      </c>
      <c r="AN1726" s="498">
        <f t="shared" si="589"/>
        <v>0</v>
      </c>
      <c r="AO1726" s="498">
        <f t="shared" si="590"/>
        <v>0</v>
      </c>
      <c r="AP1726" s="498">
        <f t="shared" si="609"/>
        <v>0</v>
      </c>
      <c r="AQ1726" s="498">
        <f t="shared" si="604"/>
        <v>0</v>
      </c>
      <c r="AU1726" s="498">
        <f t="shared" si="591"/>
        <v>0</v>
      </c>
      <c r="AV1726" s="498">
        <f t="shared" si="592"/>
        <v>0</v>
      </c>
      <c r="AW1726" s="498">
        <f t="shared" si="593"/>
        <v>0</v>
      </c>
      <c r="AX1726" s="498">
        <f t="shared" si="594"/>
        <v>0</v>
      </c>
      <c r="AY1726" s="498">
        <f t="shared" si="595"/>
        <v>0</v>
      </c>
      <c r="BB1726" s="498" t="str">
        <f t="shared" si="596"/>
        <v/>
      </c>
      <c r="BC1726" s="743" t="str">
        <f t="shared" si="597"/>
        <v/>
      </c>
      <c r="BD1726" s="743" t="str">
        <f t="shared" si="598"/>
        <v/>
      </c>
      <c r="BE1726" s="743" t="str">
        <f>IF(D1726="","",VLOOKUP(D1726,'General Basis'!$J$39:$K$46,2,0))</f>
        <v/>
      </c>
      <c r="BF1726" s="744" t="str">
        <f>IF(D1726="","",VLOOKUP(D1726,'General Basis'!$J$39:$L$46,3,0))</f>
        <v/>
      </c>
      <c r="BG1726" s="744" t="str">
        <f t="shared" si="605"/>
        <v/>
      </c>
      <c r="BH1726" s="744" t="str">
        <f>IF(G1726="","",IF(BF1726="Abu Dhabi",IF(G1726&lt;18,'General Basis'!$C$39,IF(G1726&lt;41,'General Basis'!$C$40,IF(G1726&lt;60,'General Basis'!$C$41,IF(G1726&lt;65,'General Basis'!$C$42,'General Basis'!$C$43)))),IF(G1726&lt;11,'General Basis'!$B$39,IF(G1726&lt;18,'General Basis'!$B$40,IF(G1726&lt;26,'General Basis'!$B$41,IF(G1726&lt;31,'General Basis'!$B$42,IF(G1726&lt;36,'General Basis'!$B$43,IF(G1726&lt;41,'General Basis'!$B$44,IF(G1726&lt;46,'General Basis'!$B$45,IF(G1726&lt;51,'General Basis'!$B$46,IF(G1726&lt;56,'General Basis'!$B$47,IF(G1726&lt;60,'General Basis'!$B$48,IF(G1726&lt;65,'General Basis'!$B$49,'General Basis'!$B$50)))))))))))))</f>
        <v/>
      </c>
      <c r="BI1726" s="744" t="str">
        <f t="shared" si="599"/>
        <v/>
      </c>
      <c r="BJ1726" s="747" t="str">
        <f t="shared" si="606"/>
        <v/>
      </c>
      <c r="BK1726" s="498" t="str">
        <f t="shared" si="600"/>
        <v/>
      </c>
      <c r="BL1726" s="498" t="str">
        <f t="shared" si="601"/>
        <v/>
      </c>
    </row>
    <row r="1727" spans="1:64" x14ac:dyDescent="0.25">
      <c r="A1727" s="762">
        <f t="shared" si="602"/>
        <v>1722</v>
      </c>
      <c r="B1727" s="229"/>
      <c r="C1727" s="223"/>
      <c r="D1727" s="224"/>
      <c r="E1727" s="225"/>
      <c r="F1727" s="1036" t="str">
        <f t="shared" si="608"/>
        <v/>
      </c>
      <c r="G1727" s="1037" t="str">
        <f t="shared" si="603"/>
        <v/>
      </c>
      <c r="H1727" s="225"/>
      <c r="I1727" s="1013"/>
      <c r="J1727" s="1013"/>
      <c r="K1727" s="1028"/>
      <c r="L1727" s="1035" t="str">
        <f t="shared" si="607"/>
        <v/>
      </c>
      <c r="S1727" s="498"/>
      <c r="AJ1727" s="498"/>
      <c r="AM1727" s="498">
        <f t="shared" si="588"/>
        <v>0</v>
      </c>
      <c r="AN1727" s="498">
        <f t="shared" si="589"/>
        <v>0</v>
      </c>
      <c r="AO1727" s="498">
        <f t="shared" si="590"/>
        <v>0</v>
      </c>
      <c r="AP1727" s="498">
        <f t="shared" si="609"/>
        <v>0</v>
      </c>
      <c r="AQ1727" s="498">
        <f t="shared" si="604"/>
        <v>0</v>
      </c>
      <c r="AU1727" s="498">
        <f t="shared" si="591"/>
        <v>0</v>
      </c>
      <c r="AV1727" s="498">
        <f t="shared" si="592"/>
        <v>0</v>
      </c>
      <c r="AW1727" s="498">
        <f t="shared" si="593"/>
        <v>0</v>
      </c>
      <c r="AX1727" s="498">
        <f t="shared" si="594"/>
        <v>0</v>
      </c>
      <c r="AY1727" s="498">
        <f t="shared" si="595"/>
        <v>0</v>
      </c>
      <c r="BB1727" s="498" t="str">
        <f t="shared" si="596"/>
        <v/>
      </c>
      <c r="BC1727" s="743" t="str">
        <f t="shared" si="597"/>
        <v/>
      </c>
      <c r="BD1727" s="743" t="str">
        <f t="shared" si="598"/>
        <v/>
      </c>
      <c r="BE1727" s="743" t="str">
        <f>IF(D1727="","",VLOOKUP(D1727,'General Basis'!$J$39:$K$46,2,0))</f>
        <v/>
      </c>
      <c r="BF1727" s="744" t="str">
        <f>IF(D1727="","",VLOOKUP(D1727,'General Basis'!$J$39:$L$46,3,0))</f>
        <v/>
      </c>
      <c r="BG1727" s="744" t="str">
        <f t="shared" si="605"/>
        <v/>
      </c>
      <c r="BH1727" s="744" t="str">
        <f>IF(G1727="","",IF(BF1727="Abu Dhabi",IF(G1727&lt;18,'General Basis'!$C$39,IF(G1727&lt;41,'General Basis'!$C$40,IF(G1727&lt;60,'General Basis'!$C$41,IF(G1727&lt;65,'General Basis'!$C$42,'General Basis'!$C$43)))),IF(G1727&lt;11,'General Basis'!$B$39,IF(G1727&lt;18,'General Basis'!$B$40,IF(G1727&lt;26,'General Basis'!$B$41,IF(G1727&lt;31,'General Basis'!$B$42,IF(G1727&lt;36,'General Basis'!$B$43,IF(G1727&lt;41,'General Basis'!$B$44,IF(G1727&lt;46,'General Basis'!$B$45,IF(G1727&lt;51,'General Basis'!$B$46,IF(G1727&lt;56,'General Basis'!$B$47,IF(G1727&lt;60,'General Basis'!$B$48,IF(G1727&lt;65,'General Basis'!$B$49,'General Basis'!$B$50)))))))))))))</f>
        <v/>
      </c>
      <c r="BI1727" s="744" t="str">
        <f t="shared" si="599"/>
        <v/>
      </c>
      <c r="BJ1727" s="747" t="str">
        <f t="shared" si="606"/>
        <v/>
      </c>
      <c r="BK1727" s="498" t="str">
        <f t="shared" si="600"/>
        <v/>
      </c>
      <c r="BL1727" s="498" t="str">
        <f t="shared" si="601"/>
        <v/>
      </c>
    </row>
    <row r="1728" spans="1:64" x14ac:dyDescent="0.25">
      <c r="A1728" s="762">
        <f t="shared" si="602"/>
        <v>1723</v>
      </c>
      <c r="B1728" s="229"/>
      <c r="C1728" s="223"/>
      <c r="D1728" s="224"/>
      <c r="E1728" s="225"/>
      <c r="F1728" s="1036" t="str">
        <f t="shared" si="608"/>
        <v/>
      </c>
      <c r="G1728" s="1037" t="str">
        <f t="shared" si="603"/>
        <v/>
      </c>
      <c r="H1728" s="225"/>
      <c r="I1728" s="1013"/>
      <c r="J1728" s="1013"/>
      <c r="K1728" s="1028"/>
      <c r="L1728" s="1035" t="str">
        <f t="shared" si="607"/>
        <v/>
      </c>
      <c r="S1728" s="498"/>
      <c r="AJ1728" s="498"/>
      <c r="AM1728" s="498">
        <f t="shared" si="588"/>
        <v>0</v>
      </c>
      <c r="AN1728" s="498">
        <f t="shared" si="589"/>
        <v>0</v>
      </c>
      <c r="AO1728" s="498">
        <f t="shared" si="590"/>
        <v>0</v>
      </c>
      <c r="AP1728" s="498">
        <f t="shared" si="609"/>
        <v>0</v>
      </c>
      <c r="AQ1728" s="498">
        <f t="shared" si="604"/>
        <v>0</v>
      </c>
      <c r="AU1728" s="498">
        <f t="shared" si="591"/>
        <v>0</v>
      </c>
      <c r="AV1728" s="498">
        <f t="shared" si="592"/>
        <v>0</v>
      </c>
      <c r="AW1728" s="498">
        <f t="shared" si="593"/>
        <v>0</v>
      </c>
      <c r="AX1728" s="498">
        <f t="shared" si="594"/>
        <v>0</v>
      </c>
      <c r="AY1728" s="498">
        <f t="shared" si="595"/>
        <v>0</v>
      </c>
      <c r="BB1728" s="498" t="str">
        <f t="shared" si="596"/>
        <v/>
      </c>
      <c r="BC1728" s="743" t="str">
        <f t="shared" si="597"/>
        <v/>
      </c>
      <c r="BD1728" s="743" t="str">
        <f t="shared" si="598"/>
        <v/>
      </c>
      <c r="BE1728" s="743" t="str">
        <f>IF(D1728="","",VLOOKUP(D1728,'General Basis'!$J$39:$K$46,2,0))</f>
        <v/>
      </c>
      <c r="BF1728" s="744" t="str">
        <f>IF(D1728="","",VLOOKUP(D1728,'General Basis'!$J$39:$L$46,3,0))</f>
        <v/>
      </c>
      <c r="BG1728" s="744" t="str">
        <f t="shared" si="605"/>
        <v/>
      </c>
      <c r="BH1728" s="744" t="str">
        <f>IF(G1728="","",IF(BF1728="Abu Dhabi",IF(G1728&lt;18,'General Basis'!$C$39,IF(G1728&lt;41,'General Basis'!$C$40,IF(G1728&lt;60,'General Basis'!$C$41,IF(G1728&lt;65,'General Basis'!$C$42,'General Basis'!$C$43)))),IF(G1728&lt;11,'General Basis'!$B$39,IF(G1728&lt;18,'General Basis'!$B$40,IF(G1728&lt;26,'General Basis'!$B$41,IF(G1728&lt;31,'General Basis'!$B$42,IF(G1728&lt;36,'General Basis'!$B$43,IF(G1728&lt;41,'General Basis'!$B$44,IF(G1728&lt;46,'General Basis'!$B$45,IF(G1728&lt;51,'General Basis'!$B$46,IF(G1728&lt;56,'General Basis'!$B$47,IF(G1728&lt;60,'General Basis'!$B$48,IF(G1728&lt;65,'General Basis'!$B$49,'General Basis'!$B$50)))))))))))))</f>
        <v/>
      </c>
      <c r="BI1728" s="744" t="str">
        <f t="shared" si="599"/>
        <v/>
      </c>
      <c r="BJ1728" s="747" t="str">
        <f t="shared" si="606"/>
        <v/>
      </c>
      <c r="BK1728" s="498" t="str">
        <f t="shared" si="600"/>
        <v/>
      </c>
      <c r="BL1728" s="498" t="str">
        <f t="shared" si="601"/>
        <v/>
      </c>
    </row>
    <row r="1729" spans="1:64" x14ac:dyDescent="0.25">
      <c r="A1729" s="762">
        <f t="shared" si="602"/>
        <v>1724</v>
      </c>
      <c r="B1729" s="229"/>
      <c r="C1729" s="223"/>
      <c r="D1729" s="224"/>
      <c r="E1729" s="225"/>
      <c r="F1729" s="1036" t="str">
        <f t="shared" si="608"/>
        <v/>
      </c>
      <c r="G1729" s="1037" t="str">
        <f t="shared" si="603"/>
        <v/>
      </c>
      <c r="H1729" s="225"/>
      <c r="I1729" s="1013"/>
      <c r="J1729" s="1013"/>
      <c r="K1729" s="1028"/>
      <c r="L1729" s="1035" t="str">
        <f t="shared" si="607"/>
        <v/>
      </c>
      <c r="S1729" s="498"/>
      <c r="AJ1729" s="498"/>
      <c r="AM1729" s="498">
        <f t="shared" si="588"/>
        <v>0</v>
      </c>
      <c r="AN1729" s="498">
        <f t="shared" si="589"/>
        <v>0</v>
      </c>
      <c r="AO1729" s="498">
        <f t="shared" si="590"/>
        <v>0</v>
      </c>
      <c r="AP1729" s="498">
        <f t="shared" si="609"/>
        <v>0</v>
      </c>
      <c r="AQ1729" s="498">
        <f t="shared" si="604"/>
        <v>0</v>
      </c>
      <c r="AU1729" s="498">
        <f t="shared" si="591"/>
        <v>0</v>
      </c>
      <c r="AV1729" s="498">
        <f t="shared" si="592"/>
        <v>0</v>
      </c>
      <c r="AW1729" s="498">
        <f t="shared" si="593"/>
        <v>0</v>
      </c>
      <c r="AX1729" s="498">
        <f t="shared" si="594"/>
        <v>0</v>
      </c>
      <c r="AY1729" s="498">
        <f t="shared" si="595"/>
        <v>0</v>
      </c>
      <c r="BB1729" s="498" t="str">
        <f t="shared" si="596"/>
        <v/>
      </c>
      <c r="BC1729" s="743" t="str">
        <f t="shared" si="597"/>
        <v/>
      </c>
      <c r="BD1729" s="743" t="str">
        <f t="shared" si="598"/>
        <v/>
      </c>
      <c r="BE1729" s="743" t="str">
        <f>IF(D1729="","",VLOOKUP(D1729,'General Basis'!$J$39:$K$46,2,0))</f>
        <v/>
      </c>
      <c r="BF1729" s="744" t="str">
        <f>IF(D1729="","",VLOOKUP(D1729,'General Basis'!$J$39:$L$46,3,0))</f>
        <v/>
      </c>
      <c r="BG1729" s="744" t="str">
        <f t="shared" si="605"/>
        <v/>
      </c>
      <c r="BH1729" s="744" t="str">
        <f>IF(G1729="","",IF(BF1729="Abu Dhabi",IF(G1729&lt;18,'General Basis'!$C$39,IF(G1729&lt;41,'General Basis'!$C$40,IF(G1729&lt;60,'General Basis'!$C$41,IF(G1729&lt;65,'General Basis'!$C$42,'General Basis'!$C$43)))),IF(G1729&lt;11,'General Basis'!$B$39,IF(G1729&lt;18,'General Basis'!$B$40,IF(G1729&lt;26,'General Basis'!$B$41,IF(G1729&lt;31,'General Basis'!$B$42,IF(G1729&lt;36,'General Basis'!$B$43,IF(G1729&lt;41,'General Basis'!$B$44,IF(G1729&lt;46,'General Basis'!$B$45,IF(G1729&lt;51,'General Basis'!$B$46,IF(G1729&lt;56,'General Basis'!$B$47,IF(G1729&lt;60,'General Basis'!$B$48,IF(G1729&lt;65,'General Basis'!$B$49,'General Basis'!$B$50)))))))))))))</f>
        <v/>
      </c>
      <c r="BI1729" s="744" t="str">
        <f t="shared" si="599"/>
        <v/>
      </c>
      <c r="BJ1729" s="747" t="str">
        <f t="shared" si="606"/>
        <v/>
      </c>
      <c r="BK1729" s="498" t="str">
        <f t="shared" si="600"/>
        <v/>
      </c>
      <c r="BL1729" s="498" t="str">
        <f t="shared" si="601"/>
        <v/>
      </c>
    </row>
    <row r="1730" spans="1:64" x14ac:dyDescent="0.25">
      <c r="A1730" s="762">
        <f t="shared" si="602"/>
        <v>1725</v>
      </c>
      <c r="B1730" s="229"/>
      <c r="C1730" s="223"/>
      <c r="D1730" s="224"/>
      <c r="E1730" s="225"/>
      <c r="F1730" s="1036" t="str">
        <f t="shared" si="608"/>
        <v/>
      </c>
      <c r="G1730" s="1037" t="str">
        <f t="shared" si="603"/>
        <v/>
      </c>
      <c r="H1730" s="225"/>
      <c r="I1730" s="1013"/>
      <c r="J1730" s="1013"/>
      <c r="K1730" s="1028"/>
      <c r="L1730" s="1035" t="str">
        <f t="shared" si="607"/>
        <v/>
      </c>
      <c r="S1730" s="498"/>
      <c r="AJ1730" s="498"/>
      <c r="AM1730" s="498">
        <f t="shared" si="588"/>
        <v>0</v>
      </c>
      <c r="AN1730" s="498">
        <f t="shared" si="589"/>
        <v>0</v>
      </c>
      <c r="AO1730" s="498">
        <f t="shared" si="590"/>
        <v>0</v>
      </c>
      <c r="AP1730" s="498">
        <f t="shared" si="609"/>
        <v>0</v>
      </c>
      <c r="AQ1730" s="498">
        <f t="shared" si="604"/>
        <v>0</v>
      </c>
      <c r="AU1730" s="498">
        <f t="shared" si="591"/>
        <v>0</v>
      </c>
      <c r="AV1730" s="498">
        <f t="shared" si="592"/>
        <v>0</v>
      </c>
      <c r="AW1730" s="498">
        <f t="shared" si="593"/>
        <v>0</v>
      </c>
      <c r="AX1730" s="498">
        <f t="shared" si="594"/>
        <v>0</v>
      </c>
      <c r="AY1730" s="498">
        <f t="shared" si="595"/>
        <v>0</v>
      </c>
      <c r="BB1730" s="498" t="str">
        <f t="shared" si="596"/>
        <v/>
      </c>
      <c r="BC1730" s="743" t="str">
        <f t="shared" si="597"/>
        <v/>
      </c>
      <c r="BD1730" s="743" t="str">
        <f t="shared" si="598"/>
        <v/>
      </c>
      <c r="BE1730" s="743" t="str">
        <f>IF(D1730="","",VLOOKUP(D1730,'General Basis'!$J$39:$K$46,2,0))</f>
        <v/>
      </c>
      <c r="BF1730" s="744" t="str">
        <f>IF(D1730="","",VLOOKUP(D1730,'General Basis'!$J$39:$L$46,3,0))</f>
        <v/>
      </c>
      <c r="BG1730" s="744" t="str">
        <f t="shared" si="605"/>
        <v/>
      </c>
      <c r="BH1730" s="744" t="str">
        <f>IF(G1730="","",IF(BF1730="Abu Dhabi",IF(G1730&lt;18,'General Basis'!$C$39,IF(G1730&lt;41,'General Basis'!$C$40,IF(G1730&lt;60,'General Basis'!$C$41,IF(G1730&lt;65,'General Basis'!$C$42,'General Basis'!$C$43)))),IF(G1730&lt;11,'General Basis'!$B$39,IF(G1730&lt;18,'General Basis'!$B$40,IF(G1730&lt;26,'General Basis'!$B$41,IF(G1730&lt;31,'General Basis'!$B$42,IF(G1730&lt;36,'General Basis'!$B$43,IF(G1730&lt;41,'General Basis'!$B$44,IF(G1730&lt;46,'General Basis'!$B$45,IF(G1730&lt;51,'General Basis'!$B$46,IF(G1730&lt;56,'General Basis'!$B$47,IF(G1730&lt;60,'General Basis'!$B$48,IF(G1730&lt;65,'General Basis'!$B$49,'General Basis'!$B$50)))))))))))))</f>
        <v/>
      </c>
      <c r="BI1730" s="744" t="str">
        <f t="shared" si="599"/>
        <v/>
      </c>
      <c r="BJ1730" s="747" t="str">
        <f t="shared" si="606"/>
        <v/>
      </c>
      <c r="BK1730" s="498" t="str">
        <f t="shared" si="600"/>
        <v/>
      </c>
      <c r="BL1730" s="498" t="str">
        <f t="shared" si="601"/>
        <v/>
      </c>
    </row>
    <row r="1731" spans="1:64" x14ac:dyDescent="0.25">
      <c r="A1731" s="762">
        <f t="shared" si="602"/>
        <v>1726</v>
      </c>
      <c r="B1731" s="229"/>
      <c r="C1731" s="223"/>
      <c r="D1731" s="224"/>
      <c r="E1731" s="225"/>
      <c r="F1731" s="1036" t="str">
        <f t="shared" si="608"/>
        <v/>
      </c>
      <c r="G1731" s="1037" t="str">
        <f t="shared" si="603"/>
        <v/>
      </c>
      <c r="H1731" s="225"/>
      <c r="I1731" s="1013"/>
      <c r="J1731" s="1013"/>
      <c r="K1731" s="1028"/>
      <c r="L1731" s="1035" t="str">
        <f t="shared" si="607"/>
        <v/>
      </c>
      <c r="S1731" s="498"/>
      <c r="AJ1731" s="498"/>
      <c r="AM1731" s="498">
        <f t="shared" si="588"/>
        <v>0</v>
      </c>
      <c r="AN1731" s="498">
        <f t="shared" si="589"/>
        <v>0</v>
      </c>
      <c r="AO1731" s="498">
        <f t="shared" si="590"/>
        <v>0</v>
      </c>
      <c r="AP1731" s="498">
        <f t="shared" si="609"/>
        <v>0</v>
      </c>
      <c r="AQ1731" s="498">
        <f t="shared" si="604"/>
        <v>0</v>
      </c>
      <c r="AU1731" s="498">
        <f t="shared" si="591"/>
        <v>0</v>
      </c>
      <c r="AV1731" s="498">
        <f t="shared" si="592"/>
        <v>0</v>
      </c>
      <c r="AW1731" s="498">
        <f t="shared" si="593"/>
        <v>0</v>
      </c>
      <c r="AX1731" s="498">
        <f t="shared" si="594"/>
        <v>0</v>
      </c>
      <c r="AY1731" s="498">
        <f t="shared" si="595"/>
        <v>0</v>
      </c>
      <c r="BB1731" s="498" t="str">
        <f t="shared" si="596"/>
        <v/>
      </c>
      <c r="BC1731" s="743" t="str">
        <f t="shared" si="597"/>
        <v/>
      </c>
      <c r="BD1731" s="743" t="str">
        <f t="shared" si="598"/>
        <v/>
      </c>
      <c r="BE1731" s="743" t="str">
        <f>IF(D1731="","",VLOOKUP(D1731,'General Basis'!$J$39:$K$46,2,0))</f>
        <v/>
      </c>
      <c r="BF1731" s="744" t="str">
        <f>IF(D1731="","",VLOOKUP(D1731,'General Basis'!$J$39:$L$46,3,0))</f>
        <v/>
      </c>
      <c r="BG1731" s="744" t="str">
        <f t="shared" si="605"/>
        <v/>
      </c>
      <c r="BH1731" s="744" t="str">
        <f>IF(G1731="","",IF(BF1731="Abu Dhabi",IF(G1731&lt;18,'General Basis'!$C$39,IF(G1731&lt;41,'General Basis'!$C$40,IF(G1731&lt;60,'General Basis'!$C$41,IF(G1731&lt;65,'General Basis'!$C$42,'General Basis'!$C$43)))),IF(G1731&lt;11,'General Basis'!$B$39,IF(G1731&lt;18,'General Basis'!$B$40,IF(G1731&lt;26,'General Basis'!$B$41,IF(G1731&lt;31,'General Basis'!$B$42,IF(G1731&lt;36,'General Basis'!$B$43,IF(G1731&lt;41,'General Basis'!$B$44,IF(G1731&lt;46,'General Basis'!$B$45,IF(G1731&lt;51,'General Basis'!$B$46,IF(G1731&lt;56,'General Basis'!$B$47,IF(G1731&lt;60,'General Basis'!$B$48,IF(G1731&lt;65,'General Basis'!$B$49,'General Basis'!$B$50)))))))))))))</f>
        <v/>
      </c>
      <c r="BI1731" s="744" t="str">
        <f t="shared" si="599"/>
        <v/>
      </c>
      <c r="BJ1731" s="747" t="str">
        <f t="shared" si="606"/>
        <v/>
      </c>
      <c r="BK1731" s="498" t="str">
        <f t="shared" si="600"/>
        <v/>
      </c>
      <c r="BL1731" s="498" t="str">
        <f t="shared" si="601"/>
        <v/>
      </c>
    </row>
    <row r="1732" spans="1:64" x14ac:dyDescent="0.25">
      <c r="A1732" s="762">
        <f t="shared" si="602"/>
        <v>1727</v>
      </c>
      <c r="B1732" s="229"/>
      <c r="C1732" s="223"/>
      <c r="D1732" s="224"/>
      <c r="E1732" s="225"/>
      <c r="F1732" s="1036" t="str">
        <f t="shared" si="608"/>
        <v/>
      </c>
      <c r="G1732" s="1037" t="str">
        <f t="shared" si="603"/>
        <v/>
      </c>
      <c r="H1732" s="225"/>
      <c r="I1732" s="1013"/>
      <c r="J1732" s="1013"/>
      <c r="K1732" s="1028"/>
      <c r="L1732" s="1035" t="str">
        <f t="shared" si="607"/>
        <v/>
      </c>
      <c r="S1732" s="498"/>
      <c r="AJ1732" s="498"/>
      <c r="AM1732" s="498">
        <f t="shared" si="588"/>
        <v>0</v>
      </c>
      <c r="AN1732" s="498">
        <f t="shared" si="589"/>
        <v>0</v>
      </c>
      <c r="AO1732" s="498">
        <f t="shared" si="590"/>
        <v>0</v>
      </c>
      <c r="AP1732" s="498">
        <f t="shared" si="609"/>
        <v>0</v>
      </c>
      <c r="AQ1732" s="498">
        <f t="shared" si="604"/>
        <v>0</v>
      </c>
      <c r="AU1732" s="498">
        <f t="shared" si="591"/>
        <v>0</v>
      </c>
      <c r="AV1732" s="498">
        <f t="shared" si="592"/>
        <v>0</v>
      </c>
      <c r="AW1732" s="498">
        <f t="shared" si="593"/>
        <v>0</v>
      </c>
      <c r="AX1732" s="498">
        <f t="shared" si="594"/>
        <v>0</v>
      </c>
      <c r="AY1732" s="498">
        <f t="shared" si="595"/>
        <v>0</v>
      </c>
      <c r="BB1732" s="498" t="str">
        <f t="shared" si="596"/>
        <v/>
      </c>
      <c r="BC1732" s="743" t="str">
        <f t="shared" si="597"/>
        <v/>
      </c>
      <c r="BD1732" s="743" t="str">
        <f t="shared" si="598"/>
        <v/>
      </c>
      <c r="BE1732" s="743" t="str">
        <f>IF(D1732="","",VLOOKUP(D1732,'General Basis'!$J$39:$K$46,2,0))</f>
        <v/>
      </c>
      <c r="BF1732" s="744" t="str">
        <f>IF(D1732="","",VLOOKUP(D1732,'General Basis'!$J$39:$L$46,3,0))</f>
        <v/>
      </c>
      <c r="BG1732" s="744" t="str">
        <f t="shared" si="605"/>
        <v/>
      </c>
      <c r="BH1732" s="744" t="str">
        <f>IF(G1732="","",IF(BF1732="Abu Dhabi",IF(G1732&lt;18,'General Basis'!$C$39,IF(G1732&lt;41,'General Basis'!$C$40,IF(G1732&lt;60,'General Basis'!$C$41,IF(G1732&lt;65,'General Basis'!$C$42,'General Basis'!$C$43)))),IF(G1732&lt;11,'General Basis'!$B$39,IF(G1732&lt;18,'General Basis'!$B$40,IF(G1732&lt;26,'General Basis'!$B$41,IF(G1732&lt;31,'General Basis'!$B$42,IF(G1732&lt;36,'General Basis'!$B$43,IF(G1732&lt;41,'General Basis'!$B$44,IF(G1732&lt;46,'General Basis'!$B$45,IF(G1732&lt;51,'General Basis'!$B$46,IF(G1732&lt;56,'General Basis'!$B$47,IF(G1732&lt;60,'General Basis'!$B$48,IF(G1732&lt;65,'General Basis'!$B$49,'General Basis'!$B$50)))))))))))))</f>
        <v/>
      </c>
      <c r="BI1732" s="744" t="str">
        <f t="shared" si="599"/>
        <v/>
      </c>
      <c r="BJ1732" s="747" t="str">
        <f t="shared" si="606"/>
        <v/>
      </c>
      <c r="BK1732" s="498" t="str">
        <f t="shared" si="600"/>
        <v/>
      </c>
      <c r="BL1732" s="498" t="str">
        <f t="shared" si="601"/>
        <v/>
      </c>
    </row>
    <row r="1733" spans="1:64" x14ac:dyDescent="0.25">
      <c r="A1733" s="762">
        <f t="shared" si="602"/>
        <v>1728</v>
      </c>
      <c r="B1733" s="229"/>
      <c r="C1733" s="223"/>
      <c r="D1733" s="224"/>
      <c r="E1733" s="225"/>
      <c r="F1733" s="1036" t="str">
        <f t="shared" si="608"/>
        <v/>
      </c>
      <c r="G1733" s="1037" t="str">
        <f t="shared" si="603"/>
        <v/>
      </c>
      <c r="H1733" s="225"/>
      <c r="I1733" s="1013"/>
      <c r="J1733" s="1013"/>
      <c r="K1733" s="1028"/>
      <c r="L1733" s="1035" t="str">
        <f t="shared" si="607"/>
        <v/>
      </c>
      <c r="S1733" s="498"/>
      <c r="AJ1733" s="498"/>
      <c r="AM1733" s="498">
        <f t="shared" si="588"/>
        <v>0</v>
      </c>
      <c r="AN1733" s="498">
        <f t="shared" si="589"/>
        <v>0</v>
      </c>
      <c r="AO1733" s="498">
        <f t="shared" si="590"/>
        <v>0</v>
      </c>
      <c r="AP1733" s="498">
        <f t="shared" si="609"/>
        <v>0</v>
      </c>
      <c r="AQ1733" s="498">
        <f t="shared" si="604"/>
        <v>0</v>
      </c>
      <c r="AU1733" s="498">
        <f t="shared" si="591"/>
        <v>0</v>
      </c>
      <c r="AV1733" s="498">
        <f t="shared" si="592"/>
        <v>0</v>
      </c>
      <c r="AW1733" s="498">
        <f t="shared" si="593"/>
        <v>0</v>
      </c>
      <c r="AX1733" s="498">
        <f t="shared" si="594"/>
        <v>0</v>
      </c>
      <c r="AY1733" s="498">
        <f t="shared" si="595"/>
        <v>0</v>
      </c>
      <c r="BB1733" s="498" t="str">
        <f t="shared" si="596"/>
        <v/>
      </c>
      <c r="BC1733" s="743" t="str">
        <f t="shared" si="597"/>
        <v/>
      </c>
      <c r="BD1733" s="743" t="str">
        <f t="shared" si="598"/>
        <v/>
      </c>
      <c r="BE1733" s="743" t="str">
        <f>IF(D1733="","",VLOOKUP(D1733,'General Basis'!$J$39:$K$46,2,0))</f>
        <v/>
      </c>
      <c r="BF1733" s="744" t="str">
        <f>IF(D1733="","",VLOOKUP(D1733,'General Basis'!$J$39:$L$46,3,0))</f>
        <v/>
      </c>
      <c r="BG1733" s="744" t="str">
        <f t="shared" si="605"/>
        <v/>
      </c>
      <c r="BH1733" s="744" t="str">
        <f>IF(G1733="","",IF(BF1733="Abu Dhabi",IF(G1733&lt;18,'General Basis'!$C$39,IF(G1733&lt;41,'General Basis'!$C$40,IF(G1733&lt;60,'General Basis'!$C$41,IF(G1733&lt;65,'General Basis'!$C$42,'General Basis'!$C$43)))),IF(G1733&lt;11,'General Basis'!$B$39,IF(G1733&lt;18,'General Basis'!$B$40,IF(G1733&lt;26,'General Basis'!$B$41,IF(G1733&lt;31,'General Basis'!$B$42,IF(G1733&lt;36,'General Basis'!$B$43,IF(G1733&lt;41,'General Basis'!$B$44,IF(G1733&lt;46,'General Basis'!$B$45,IF(G1733&lt;51,'General Basis'!$B$46,IF(G1733&lt;56,'General Basis'!$B$47,IF(G1733&lt;60,'General Basis'!$B$48,IF(G1733&lt;65,'General Basis'!$B$49,'General Basis'!$B$50)))))))))))))</f>
        <v/>
      </c>
      <c r="BI1733" s="744" t="str">
        <f t="shared" si="599"/>
        <v/>
      </c>
      <c r="BJ1733" s="747" t="str">
        <f t="shared" si="606"/>
        <v/>
      </c>
      <c r="BK1733" s="498" t="str">
        <f t="shared" si="600"/>
        <v/>
      </c>
      <c r="BL1733" s="498" t="str">
        <f t="shared" si="601"/>
        <v/>
      </c>
    </row>
    <row r="1734" spans="1:64" x14ac:dyDescent="0.25">
      <c r="A1734" s="762">
        <f t="shared" si="602"/>
        <v>1729</v>
      </c>
      <c r="B1734" s="229"/>
      <c r="C1734" s="223"/>
      <c r="D1734" s="224"/>
      <c r="E1734" s="225"/>
      <c r="F1734" s="1036" t="str">
        <f t="shared" si="608"/>
        <v/>
      </c>
      <c r="G1734" s="1037" t="str">
        <f t="shared" si="603"/>
        <v/>
      </c>
      <c r="H1734" s="225"/>
      <c r="I1734" s="1013"/>
      <c r="J1734" s="1013"/>
      <c r="K1734" s="1028"/>
      <c r="L1734" s="1035" t="str">
        <f t="shared" si="607"/>
        <v/>
      </c>
      <c r="S1734" s="498"/>
      <c r="AJ1734" s="498"/>
      <c r="AM1734" s="498">
        <f t="shared" ref="AM1734:AM1797" si="610">IF(ISTEXT(B1734),1,0)</f>
        <v>0</v>
      </c>
      <c r="AN1734" s="498">
        <f t="shared" ref="AN1734:AN1797" si="611">IF(ISBLANK(B1734),0,IF(B1734&lt;$AK$6,1,0))</f>
        <v>0</v>
      </c>
      <c r="AO1734" s="498">
        <f t="shared" ref="AO1734:AO1797" si="612">IF(ISBLANK(B1734),0,IF(B1734&gt;$AK$7,1,0))</f>
        <v>0</v>
      </c>
      <c r="AP1734" s="498">
        <f t="shared" si="609"/>
        <v>0</v>
      </c>
      <c r="AQ1734" s="498">
        <f t="shared" si="604"/>
        <v>0</v>
      </c>
      <c r="AU1734" s="498">
        <f t="shared" ref="AU1734:AU1797" si="613">IF(ISBLANK(B1734),0,1)</f>
        <v>0</v>
      </c>
      <c r="AV1734" s="498">
        <f t="shared" ref="AV1734:AV1797" si="614">IF(ISBLANK(C1734),0,1)</f>
        <v>0</v>
      </c>
      <c r="AW1734" s="498">
        <f t="shared" ref="AW1734:AW1797" si="615">IF(ISBLANK(D1734),0,1)</f>
        <v>0</v>
      </c>
      <c r="AX1734" s="498">
        <f t="shared" ref="AX1734:AX1797" si="616">IF(ISBLANK(E1734),0,1)</f>
        <v>0</v>
      </c>
      <c r="AY1734" s="498">
        <f t="shared" ref="AY1734:AY1797" si="617">IF(ISBLANK(H1734),0,1)</f>
        <v>0</v>
      </c>
      <c r="BB1734" s="498" t="str">
        <f t="shared" ref="BB1734:BB1797" si="618">IF(E1734="Principal","Principal",IF(E1734="","","Other"))</f>
        <v/>
      </c>
      <c r="BC1734" s="743" t="str">
        <f t="shared" ref="BC1734:BC1797" si="619">IF(D1734="","",D1734)</f>
        <v/>
      </c>
      <c r="BD1734" s="743" t="str">
        <f t="shared" ref="BD1734:BD1797" si="620">IF(E1734="Principal","Employee",IF(E1734="","","Dependent"))</f>
        <v/>
      </c>
      <c r="BE1734" s="743" t="str">
        <f>IF(D1734="","",VLOOKUP(D1734,'General Basis'!$J$39:$K$46,2,0))</f>
        <v/>
      </c>
      <c r="BF1734" s="744" t="str">
        <f>IF(D1734="","",VLOOKUP(D1734,'General Basis'!$J$39:$L$46,3,0))</f>
        <v/>
      </c>
      <c r="BG1734" s="744" t="str">
        <f t="shared" si="605"/>
        <v/>
      </c>
      <c r="BH1734" s="744" t="str">
        <f>IF(G1734="","",IF(BF1734="Abu Dhabi",IF(G1734&lt;18,'General Basis'!$C$39,IF(G1734&lt;41,'General Basis'!$C$40,IF(G1734&lt;60,'General Basis'!$C$41,IF(G1734&lt;65,'General Basis'!$C$42,'General Basis'!$C$43)))),IF(G1734&lt;11,'General Basis'!$B$39,IF(G1734&lt;18,'General Basis'!$B$40,IF(G1734&lt;26,'General Basis'!$B$41,IF(G1734&lt;31,'General Basis'!$B$42,IF(G1734&lt;36,'General Basis'!$B$43,IF(G1734&lt;41,'General Basis'!$B$44,IF(G1734&lt;46,'General Basis'!$B$45,IF(G1734&lt;51,'General Basis'!$B$46,IF(G1734&lt;56,'General Basis'!$B$47,IF(G1734&lt;60,'General Basis'!$B$48,IF(G1734&lt;65,'General Basis'!$B$49,'General Basis'!$B$50)))))))))))))</f>
        <v/>
      </c>
      <c r="BI1734" s="744" t="str">
        <f t="shared" ref="BI1734:BI1797" si="621">IF(C1734="","",IF(C1734="M","Male","Female"))</f>
        <v/>
      </c>
      <c r="BJ1734" s="747" t="str">
        <f t="shared" si="606"/>
        <v/>
      </c>
      <c r="BK1734" s="498" t="str">
        <f t="shared" ref="BK1734:BK1797" si="622">IF(BD1734="","",IF(AND(BD1734="Employee",BI1734="Male",BF1734="Abu Dhabi",BE1734=GN_Plus),VLOOKUP(BH1734,AUH_MALE_EMP,2,0),IF(AND(BD1734="Employee",BI1734="Male",BF1734="Abu Dhabi",BE1734=GN),VLOOKUP(BH1734,AUH_MALE_EMP,3,0),IF(AND(BD1734="Employee",BI1734="Male",BF1734="Abu Dhabi",BE1734=RN_Plus),VLOOKUP(BH1734,AUH_MALE_EMP,4,0),IF(AND(BD1734="Employee",BI1734="Male",BF1734="Abu Dhabi",BE1734=RN),VLOOKUP(BH1734,AUH_MALE_EMP,5,0),IF(AND(BD1734="Employee",BI1734="Male",BF1734="Abu Dhabi",BE1734=RN_2),VLOOKUP(BH1734,AUH_MALE_EMP,6,0),IF(AND(BD1734="Employee",BI1734="Male",BF1734="Abu Dhabi",BE1734=RN2_minus),VLOOKUP(BH1734,AUH_MALE_EMP,7,0),IF(AND(BD1734="Employee",BI1734="Male",BF1734="Abu Dhabi",BE1734=RN_3),VLOOKUP(BH1734,AUH_MALE_EMP,8,0),IF(AND(BD1734="Employee",BI1734="Male",BF1734="Abu Dhabi",BE1734=VN),VLOOKUP(BH1734,AUH_MALE_EMP,9,0),IF(BD1734="","",IF(AND(BD1734="Employee",BI1734="Female",BF1734="Abu Dhabi",BE1734=GN_Plus),VLOOKUP(BH1734,AUH_FEMALE_EMP,2,0),IF(AND(BD1734="Employee",BI1734="Female",BF1734="Abu Dhabi",BE1734=GN),VLOOKUP(BH1734,AUH_FEMALE_EMP,3,0),IF(AND(BD1734="Employee",BI1734="Female",BF1734="Abu Dhabi",BE1734=RN_Plus),VLOOKUP(BH1734,AUH_FEMALE_EMP,4,0),IF(AND(BD1734="Employee",BI1734="Female",BF1734="Abu Dhabi",BE1734=RN),VLOOKUP(BH1734,AUH_FEMALE_EMP,5,0),IF(AND(BD1734="Employee",BI1734="Female",BF1734="Abu Dhabi",BE1734=RN_2),VLOOKUP(BH1734,AUH_FEMALE_EMP,6,0),IF(AND(BD1734="Employee",BI1734="Female",BF1734="Abu Dhabi",BE1734=RN2_minus),VLOOKUP(BH1734,AUH_FEMALE_EMP,7,0),IF(AND(BD1734="Employee",BI1734="Female",BF1734="Abu Dhabi",BE1734=RN_3),VLOOKUP(BH1734,AUH_FEMALE_EMP,8,0),IF(AND(BD1734="Employee",BI1734="Female",BF1734="Abu Dhabi",BE1734=VN),VLOOKUP(BH1734,AUH_FEMALE_EMP,9,0),IF(BD1734="","",IF(AND(BD1734="Dependent",BI1734="Male",BF1734="Abu Dhabi",BE1734=GN_Plus),VLOOKUP(BH1734,AUH_MALE_DEP,2,0),IF(AND(BD1734="Dependent",BI1734="Male",BF1734="Abu Dhabi",BE1734=GN),VLOOKUP(BH1734,AUH_MALE_DEP,3,0),IF(AND(BD1734="Dependent",BI1734="Male",BF1734="Abu Dhabi",BE1734=RN_Plus),VLOOKUP(BH1734,AUH_MALE_DEP,4,0),IF(AND(BD1734="Dependent",BI1734="Male",BF1734="Abu Dhabi",BE1734=RN),VLOOKUP(BH1734,AUH_MALE_DEP,5,0),IF(AND(BD1734="Dependent",BI1734="Male",BF1734="Abu Dhabi",BE1734=RN_2),VLOOKUP(BH1734,AUH_MALE_DEP,6,0),IF(AND(BD1734="Dependent",BI1734="Male",BF1734="Abu Dhabi",BE1734=RN2_minus),VLOOKUP(BH1734,AUH_MALE_DEP,7,0),IF(AND(BD1734="Dependent",BI1734="Male",BF1734="Abu Dhabi",BE1734=RN_3),VLOOKUP(BH1734,AUH_MALE_DEP,8,0),IF(AND(BD1734="Dependent",BI1734="Male",BF1734="Abu Dhabi",BE1734=VN),VLOOKUP(BH1734,AUH_MALE_DEP,9,0),IF(BD1734="","",IF(AND(BD1734="Dependent",BI1734="Female",BF1734="Abu Dhabi",BE1734=GN_Plus),VLOOKUP(BH1734,AUH_FEMALE_DEP,2,0),IF(AND(BD1734="Dependent",BI1734="Female",BF1734="Abu Dhabi",BE1734=GN),VLOOKUP(BH1734,AUH_FEMALE_DEP,3,0),IF(AND(BD1734="Dependent",BI1734="Female",BF1734="Abu Dhabi",BE1734=RN_Plus),VLOOKUP(BH1734,AUH_FEMALE_DEP,4,0),IF(AND(BD1734="Dependent",BI1734="Female",BF1734="Abu Dhabi",BE1734=RN),VLOOKUP(BH1734,AUH_FEMALE_DEP,5,0),IF(AND(BD1734="Dependent",BI1734="Female",BF1734="Abu Dhabi",BE1734=RN_2),VLOOKUP(BH1734,AUH_FEMALE_DEP,6,0),IF(AND(BD1734="Dependent",BI1734="Female",BF1734="Abu Dhabi",BE1734=RN2_minus),VLOOKUP(BH1734,AUH_FEMALE_DEP,7,0),IF(AND(BD1734="Dependent",BI1734="Female",BF1734="Abu Dhabi",BE1734=RN_3),VLOOKUP(BH1734,AUH_FEMALE_DEP,8,0),IF(AND(BD1734="Dependent",BI1734="Female",BF1734="Abu Dhabi",BE1734=VN),VLOOKUP(BH1734,AUH_FEMALE_DEP,9,0),"ABC"))))))))))))))))))))))))))))))))))))</f>
        <v/>
      </c>
      <c r="BL1734" s="498" t="str">
        <f t="shared" ref="BL1734:BL1797" si="623">IF(BD1734="","",IF(AND(BD1734="Employee",BI1734="Male",BF1734="Dubai",BE1734=GN_Plus),VLOOKUP(BH1734,DXB_MALE_EMP,2,0),IF(AND(BD1734="Employee",BI1734="Male",BF1734="Dubai",BE1734=GN),VLOOKUP(BH1734,DXB_MALE_EMP,3,0),IF(AND(BD1734="Employee",BI1734="Male",BF1734="Dubai",BE1734=RN_Plus),VLOOKUP(BH1734,DXB_MALE_EMP,4,0),IF(AND(BD1734="Employee",BI1734="Male",BF1734="Dubai",BE1734=RN),VLOOKUP(BH1734,DXB_MALE_EMP,5,0),IF(AND(BD1734="Employee",BI1734="Male",BF1734="Dubai",BE1734=RN_2),VLOOKUP(BH1734,DXB_MALE_EMP,6,0),IF(AND(BD1734="Employee",BI1734="Male",BF1734="Dubai",BE1734=RN2_minus),VLOOKUP(BH1734,DXB_MALE_EMP,7,0),IF(AND(BD1734="Employee",BI1734="Male",BF1734="Dubai",BE1734=RN_3),VLOOKUP(BH1734,DXB_MALE_EMP,8,0),IF(AND(BD1734="Employee",BI1734="Male",BF1734="Dubai",BE1734=VN),VLOOKUP(BH1734,DXB_MALE_EMP,9,0),IF(BD1734="","",IF(AND(BD1734="Employee",BI1734="Female",BF1734="Dubai",BE1734=GN_Plus),VLOOKUP(BH1734,DXB_FEMALE_EMP,2,0),IF(AND(BD1734="Employee",BI1734="Female",BF1734="Dubai",BE1734=GN),VLOOKUP(BH1734,DXB_FEMALE_EMP,3,0),IF(AND(BD1734="Employee",BI1734="Female",BF1734="Dubai",BE1734=RN_Plus),VLOOKUP(BH1734,DXB_FEMALE_EMP,4,0),IF(AND(BD1734="Employee",BI1734="Female",BF1734="Dubai",BE1734=RN),VLOOKUP(BH1734,DXB_FEMALE_EMP,5,0),IF(AND(BD1734="Employee",BI1734="Female",BF1734="Dubai",BE1734=RN_2),VLOOKUP(BH1734,DXB_FEMALE_EMP,6,0),IF(AND(BD1734="Employee",BI1734="Female",BF1734="Dubai",BE1734=RN2_minus),VLOOKUP(BH1734,DXB_FEMALE_EMP,7,0),IF(AND(BD1734="Employee",BI1734="Female",BF1734="Dubai",BE1734=RN_3),VLOOKUP(BH1734,DXB_FEMALE_EMP,8,0),IF(AND(BD1734="Employee",BI1734="Female",BF1734="Dubai",BE1734=VN),VLOOKUP(BH1734,DXB_FEMALE_EMP,9,0),IF(BD1734="","",IF(AND(BD1734="Dependent",BI1734="Male",BF1734="Dubai",BE1734=GN_Plus),VLOOKUP(BH1734,DXB_MALE_DEP,2,0),IF(AND(BD1734="Dependent",BI1734="Male",BF1734="Dubai",BE1734=GN),VLOOKUP(BH1734,DXB_MALE_DEP,3,0),IF(AND(BD1734="Dependent",BI1734="Male",BF1734="Dubai",BE1734=RN_Plus),VLOOKUP(BH1734,DXB_MALE_DEP,4,0),IF(AND(BD1734="Dependent",BI1734="Male",BF1734="Dubai",BE1734=RN),VLOOKUP(BH1734,DXB_MALE_DEP,5,0),IF(AND(BD1734="Dependent",BI1734="Male",BF1734="Dubai",BE1734=RN_2),VLOOKUP(BH1734,DXB_MALE_DEP,6,0),IF(AND(BD1734="Dependent",BI1734="Male",BF1734="Dubai",BE1734=RN2_minus),VLOOKUP(BH1734,DXB_MALE_DEP,7,0),IF(AND(BD1734="Dependent",BI1734="Male",BF1734="Dubai",BE1734=RN_3),VLOOKUP(BH1734,DXB_MALE_DEP,8,0),IF(AND(BD1734="Dependent",BI1734="Male",BF1734="Dubai",BE1734=VN),VLOOKUP(BH1734,DXB_MALE_DEP,9,0),IF(BD1734="","",IF(AND(BD1734="Dependent",BI1734="Female",BF1734="Dubai",BE1734=GN_Plus),VLOOKUP(BH1734,DXB_FEMALE_DEP,2,0),IF(AND(BD1734="Dependent",BI1734="Female",BF1734="Dubai",BE1734=GN),VLOOKUP(BH1734,DXB_FEMALE_DEP,3,0),IF(AND(BD1734="Dependent",BI1734="Female",BF1734="Dubai",BE1734=RN_Plus),VLOOKUP(BH1734,DXB_FEMALE_DEP,4,0),IF(AND(BD1734="Dependent",BI1734="Female",BF1734="Dubai",BE1734=RN),VLOOKUP(BH1734,DXB_FEMALE_DEP,5,0),IF(AND(BD1734="Dependent",BI1734="Female",BF1734="Dubai",BE1734=RN_2),VLOOKUP(BH1734,DXB_FEMALE_DEP,6,0),IF(AND(BD1734="Dependent",BI1734="Female",BF1734="Dubai",BE1734=RN2_minus),VLOOKUP(BH1734,DXB_FEMALE_DEP,7,0),IF(AND(BD1734="Dependent",BI1734="Female",BF1734="Dubai",BE1734=RN_3),VLOOKUP(BH1734,DXB_FEMALE_DEP,8,0),IF(AND(BD1734="Dependent",BI1734="Female",BF1734="Dubai",BE1734=VN),VLOOKUP(BH1734,DXB_FEMALE_DEP,9,0),"ABC"))))))))))))))))))))))))))))))))))))</f>
        <v/>
      </c>
    </row>
    <row r="1735" spans="1:64" x14ac:dyDescent="0.25">
      <c r="A1735" s="762">
        <f t="shared" ref="A1735:A1798" si="624">+A1734+1</f>
        <v>1730</v>
      </c>
      <c r="B1735" s="229"/>
      <c r="C1735" s="223"/>
      <c r="D1735" s="224"/>
      <c r="E1735" s="225"/>
      <c r="F1735" s="1036" t="str">
        <f t="shared" si="608"/>
        <v/>
      </c>
      <c r="G1735" s="1037" t="str">
        <f t="shared" ref="G1735:G1798" si="625">IF(D1735="","",MAX(0,ROUNDUP(F1735,0)))</f>
        <v/>
      </c>
      <c r="H1735" s="225"/>
      <c r="I1735" s="1013"/>
      <c r="J1735" s="1013"/>
      <c r="K1735" s="1028"/>
      <c r="L1735" s="1035" t="str">
        <f t="shared" si="607"/>
        <v/>
      </c>
      <c r="S1735" s="498"/>
      <c r="AJ1735" s="498"/>
      <c r="AM1735" s="498">
        <f t="shared" si="610"/>
        <v>0</v>
      </c>
      <c r="AN1735" s="498">
        <f t="shared" si="611"/>
        <v>0</v>
      </c>
      <c r="AO1735" s="498">
        <f t="shared" si="612"/>
        <v>0</v>
      </c>
      <c r="AP1735" s="498">
        <f t="shared" si="609"/>
        <v>0</v>
      </c>
      <c r="AQ1735" s="498">
        <f t="shared" ref="AQ1735:AQ1798" si="626">IF(ISBLANK($B1735),0,IF(OR($H1735="Single",$H1735="Married"),0,1))</f>
        <v>0</v>
      </c>
      <c r="AU1735" s="498">
        <f t="shared" si="613"/>
        <v>0</v>
      </c>
      <c r="AV1735" s="498">
        <f t="shared" si="614"/>
        <v>0</v>
      </c>
      <c r="AW1735" s="498">
        <f t="shared" si="615"/>
        <v>0</v>
      </c>
      <c r="AX1735" s="498">
        <f t="shared" si="616"/>
        <v>0</v>
      </c>
      <c r="AY1735" s="498">
        <f t="shared" si="617"/>
        <v>0</v>
      </c>
      <c r="BB1735" s="498" t="str">
        <f t="shared" si="618"/>
        <v/>
      </c>
      <c r="BC1735" s="743" t="str">
        <f t="shared" si="619"/>
        <v/>
      </c>
      <c r="BD1735" s="743" t="str">
        <f t="shared" si="620"/>
        <v/>
      </c>
      <c r="BE1735" s="743" t="str">
        <f>IF(D1735="","",VLOOKUP(D1735,'General Basis'!$J$39:$K$46,2,0))</f>
        <v/>
      </c>
      <c r="BF1735" s="744" t="str">
        <f>IF(D1735="","",VLOOKUP(D1735,'General Basis'!$J$39:$L$46,3,0))</f>
        <v/>
      </c>
      <c r="BG1735" s="744" t="str">
        <f t="shared" ref="BG1735:BG1798" si="627">BC1735&amp;BI1735</f>
        <v/>
      </c>
      <c r="BH1735" s="744" t="str">
        <f>IF(G1735="","",IF(BF1735="Abu Dhabi",IF(G1735&lt;18,'General Basis'!$C$39,IF(G1735&lt;41,'General Basis'!$C$40,IF(G1735&lt;60,'General Basis'!$C$41,IF(G1735&lt;65,'General Basis'!$C$42,'General Basis'!$C$43)))),IF(G1735&lt;11,'General Basis'!$B$39,IF(G1735&lt;18,'General Basis'!$B$40,IF(G1735&lt;26,'General Basis'!$B$41,IF(G1735&lt;31,'General Basis'!$B$42,IF(G1735&lt;36,'General Basis'!$B$43,IF(G1735&lt;41,'General Basis'!$B$44,IF(G1735&lt;46,'General Basis'!$B$45,IF(G1735&lt;51,'General Basis'!$B$46,IF(G1735&lt;56,'General Basis'!$B$47,IF(G1735&lt;60,'General Basis'!$B$48,IF(G1735&lt;65,'General Basis'!$B$49,'General Basis'!$B$50)))))))))))))</f>
        <v/>
      </c>
      <c r="BI1735" s="744" t="str">
        <f t="shared" si="621"/>
        <v/>
      </c>
      <c r="BJ1735" s="747" t="str">
        <f t="shared" ref="BJ1735:BJ1798" si="628">IF(BD1735="","",IF(BF1735="Abu Dhabi",BK1735,BL1735))</f>
        <v/>
      </c>
      <c r="BK1735" s="498" t="str">
        <f t="shared" si="622"/>
        <v/>
      </c>
      <c r="BL1735" s="498" t="str">
        <f t="shared" si="623"/>
        <v/>
      </c>
    </row>
    <row r="1736" spans="1:64" x14ac:dyDescent="0.25">
      <c r="A1736" s="762">
        <f t="shared" si="624"/>
        <v>1731</v>
      </c>
      <c r="B1736" s="229"/>
      <c r="C1736" s="223"/>
      <c r="D1736" s="224"/>
      <c r="E1736" s="225"/>
      <c r="F1736" s="1036" t="str">
        <f t="shared" si="608"/>
        <v/>
      </c>
      <c r="G1736" s="1037" t="str">
        <f t="shared" si="625"/>
        <v/>
      </c>
      <c r="H1736" s="225"/>
      <c r="I1736" s="1013"/>
      <c r="J1736" s="1013"/>
      <c r="K1736" s="1028"/>
      <c r="L1736" s="1035" t="str">
        <f t="shared" ref="L1736:L1799" si="629">IF(AND(E1736="Child",H1736="Married"),"Check the Marital Status of the Child. ",IF(AND(E1736="Child",F1736&gt;18),"Child Age exceed 18 years. ",IF(AND(E1736="Spouse",H1736="Single"),"Spouse is selected as Single. ","")))&amp;IF(K1736&gt;0,"UW Loading has been Applied","")</f>
        <v/>
      </c>
      <c r="S1736" s="498"/>
      <c r="AJ1736" s="498"/>
      <c r="AM1736" s="498">
        <f t="shared" si="610"/>
        <v>0</v>
      </c>
      <c r="AN1736" s="498">
        <f t="shared" si="611"/>
        <v>0</v>
      </c>
      <c r="AO1736" s="498">
        <f t="shared" si="612"/>
        <v>0</v>
      </c>
      <c r="AP1736" s="498">
        <f t="shared" si="609"/>
        <v>0</v>
      </c>
      <c r="AQ1736" s="498">
        <f t="shared" si="626"/>
        <v>0</v>
      </c>
      <c r="AU1736" s="498">
        <f t="shared" si="613"/>
        <v>0</v>
      </c>
      <c r="AV1736" s="498">
        <f t="shared" si="614"/>
        <v>0</v>
      </c>
      <c r="AW1736" s="498">
        <f t="shared" si="615"/>
        <v>0</v>
      </c>
      <c r="AX1736" s="498">
        <f t="shared" si="616"/>
        <v>0</v>
      </c>
      <c r="AY1736" s="498">
        <f t="shared" si="617"/>
        <v>0</v>
      </c>
      <c r="BB1736" s="498" t="str">
        <f t="shared" si="618"/>
        <v/>
      </c>
      <c r="BC1736" s="743" t="str">
        <f t="shared" si="619"/>
        <v/>
      </c>
      <c r="BD1736" s="743" t="str">
        <f t="shared" si="620"/>
        <v/>
      </c>
      <c r="BE1736" s="743" t="str">
        <f>IF(D1736="","",VLOOKUP(D1736,'General Basis'!$J$39:$K$46,2,0))</f>
        <v/>
      </c>
      <c r="BF1736" s="744" t="str">
        <f>IF(D1736="","",VLOOKUP(D1736,'General Basis'!$J$39:$L$46,3,0))</f>
        <v/>
      </c>
      <c r="BG1736" s="744" t="str">
        <f t="shared" si="627"/>
        <v/>
      </c>
      <c r="BH1736" s="744" t="str">
        <f>IF(G1736="","",IF(BF1736="Abu Dhabi",IF(G1736&lt;18,'General Basis'!$C$39,IF(G1736&lt;41,'General Basis'!$C$40,IF(G1736&lt;60,'General Basis'!$C$41,IF(G1736&lt;65,'General Basis'!$C$42,'General Basis'!$C$43)))),IF(G1736&lt;11,'General Basis'!$B$39,IF(G1736&lt;18,'General Basis'!$B$40,IF(G1736&lt;26,'General Basis'!$B$41,IF(G1736&lt;31,'General Basis'!$B$42,IF(G1736&lt;36,'General Basis'!$B$43,IF(G1736&lt;41,'General Basis'!$B$44,IF(G1736&lt;46,'General Basis'!$B$45,IF(G1736&lt;51,'General Basis'!$B$46,IF(G1736&lt;56,'General Basis'!$B$47,IF(G1736&lt;60,'General Basis'!$B$48,IF(G1736&lt;65,'General Basis'!$B$49,'General Basis'!$B$50)))))))))))))</f>
        <v/>
      </c>
      <c r="BI1736" s="744" t="str">
        <f t="shared" si="621"/>
        <v/>
      </c>
      <c r="BJ1736" s="747" t="str">
        <f t="shared" si="628"/>
        <v/>
      </c>
      <c r="BK1736" s="498" t="str">
        <f t="shared" si="622"/>
        <v/>
      </c>
      <c r="BL1736" s="498" t="str">
        <f t="shared" si="623"/>
        <v/>
      </c>
    </row>
    <row r="1737" spans="1:64" x14ac:dyDescent="0.25">
      <c r="A1737" s="762">
        <f t="shared" si="624"/>
        <v>1732</v>
      </c>
      <c r="B1737" s="229"/>
      <c r="C1737" s="223"/>
      <c r="D1737" s="224"/>
      <c r="E1737" s="225"/>
      <c r="F1737" s="1036" t="str">
        <f t="shared" si="608"/>
        <v/>
      </c>
      <c r="G1737" s="1037" t="str">
        <f t="shared" si="625"/>
        <v/>
      </c>
      <c r="H1737" s="225"/>
      <c r="I1737" s="1013"/>
      <c r="J1737" s="1013"/>
      <c r="K1737" s="1028"/>
      <c r="L1737" s="1035" t="str">
        <f t="shared" si="629"/>
        <v/>
      </c>
      <c r="S1737" s="498"/>
      <c r="AJ1737" s="498"/>
      <c r="AM1737" s="498">
        <f t="shared" si="610"/>
        <v>0</v>
      </c>
      <c r="AN1737" s="498">
        <f t="shared" si="611"/>
        <v>0</v>
      </c>
      <c r="AO1737" s="498">
        <f t="shared" si="612"/>
        <v>0</v>
      </c>
      <c r="AP1737" s="498">
        <f t="shared" si="609"/>
        <v>0</v>
      </c>
      <c r="AQ1737" s="498">
        <f t="shared" si="626"/>
        <v>0</v>
      </c>
      <c r="AU1737" s="498">
        <f t="shared" si="613"/>
        <v>0</v>
      </c>
      <c r="AV1737" s="498">
        <f t="shared" si="614"/>
        <v>0</v>
      </c>
      <c r="AW1737" s="498">
        <f t="shared" si="615"/>
        <v>0</v>
      </c>
      <c r="AX1737" s="498">
        <f t="shared" si="616"/>
        <v>0</v>
      </c>
      <c r="AY1737" s="498">
        <f t="shared" si="617"/>
        <v>0</v>
      </c>
      <c r="BB1737" s="498" t="str">
        <f t="shared" si="618"/>
        <v/>
      </c>
      <c r="BC1737" s="743" t="str">
        <f t="shared" si="619"/>
        <v/>
      </c>
      <c r="BD1737" s="743" t="str">
        <f t="shared" si="620"/>
        <v/>
      </c>
      <c r="BE1737" s="743" t="str">
        <f>IF(D1737="","",VLOOKUP(D1737,'General Basis'!$J$39:$K$46,2,0))</f>
        <v/>
      </c>
      <c r="BF1737" s="744" t="str">
        <f>IF(D1737="","",VLOOKUP(D1737,'General Basis'!$J$39:$L$46,3,0))</f>
        <v/>
      </c>
      <c r="BG1737" s="744" t="str">
        <f t="shared" si="627"/>
        <v/>
      </c>
      <c r="BH1737" s="744" t="str">
        <f>IF(G1737="","",IF(BF1737="Abu Dhabi",IF(G1737&lt;18,'General Basis'!$C$39,IF(G1737&lt;41,'General Basis'!$C$40,IF(G1737&lt;60,'General Basis'!$C$41,IF(G1737&lt;65,'General Basis'!$C$42,'General Basis'!$C$43)))),IF(G1737&lt;11,'General Basis'!$B$39,IF(G1737&lt;18,'General Basis'!$B$40,IF(G1737&lt;26,'General Basis'!$B$41,IF(G1737&lt;31,'General Basis'!$B$42,IF(G1737&lt;36,'General Basis'!$B$43,IF(G1737&lt;41,'General Basis'!$B$44,IF(G1737&lt;46,'General Basis'!$B$45,IF(G1737&lt;51,'General Basis'!$B$46,IF(G1737&lt;56,'General Basis'!$B$47,IF(G1737&lt;60,'General Basis'!$B$48,IF(G1737&lt;65,'General Basis'!$B$49,'General Basis'!$B$50)))))))))))))</f>
        <v/>
      </c>
      <c r="BI1737" s="744" t="str">
        <f t="shared" si="621"/>
        <v/>
      </c>
      <c r="BJ1737" s="747" t="str">
        <f t="shared" si="628"/>
        <v/>
      </c>
      <c r="BK1737" s="498" t="str">
        <f t="shared" si="622"/>
        <v/>
      </c>
      <c r="BL1737" s="498" t="str">
        <f t="shared" si="623"/>
        <v/>
      </c>
    </row>
    <row r="1738" spans="1:64" x14ac:dyDescent="0.25">
      <c r="A1738" s="762">
        <f t="shared" si="624"/>
        <v>1733</v>
      </c>
      <c r="B1738" s="229"/>
      <c r="C1738" s="223"/>
      <c r="D1738" s="224"/>
      <c r="E1738" s="225"/>
      <c r="F1738" s="1036" t="str">
        <f t="shared" si="608"/>
        <v/>
      </c>
      <c r="G1738" s="1037" t="str">
        <f t="shared" si="625"/>
        <v/>
      </c>
      <c r="H1738" s="225"/>
      <c r="I1738" s="1013"/>
      <c r="J1738" s="1013"/>
      <c r="K1738" s="1028"/>
      <c r="L1738" s="1035" t="str">
        <f t="shared" si="629"/>
        <v/>
      </c>
      <c r="S1738" s="498"/>
      <c r="AJ1738" s="498"/>
      <c r="AM1738" s="498">
        <f t="shared" si="610"/>
        <v>0</v>
      </c>
      <c r="AN1738" s="498">
        <f t="shared" si="611"/>
        <v>0</v>
      </c>
      <c r="AO1738" s="498">
        <f t="shared" si="612"/>
        <v>0</v>
      </c>
      <c r="AP1738" s="498">
        <f t="shared" si="609"/>
        <v>0</v>
      </c>
      <c r="AQ1738" s="498">
        <f t="shared" si="626"/>
        <v>0</v>
      </c>
      <c r="AU1738" s="498">
        <f t="shared" si="613"/>
        <v>0</v>
      </c>
      <c r="AV1738" s="498">
        <f t="shared" si="614"/>
        <v>0</v>
      </c>
      <c r="AW1738" s="498">
        <f t="shared" si="615"/>
        <v>0</v>
      </c>
      <c r="AX1738" s="498">
        <f t="shared" si="616"/>
        <v>0</v>
      </c>
      <c r="AY1738" s="498">
        <f t="shared" si="617"/>
        <v>0</v>
      </c>
      <c r="BB1738" s="498" t="str">
        <f t="shared" si="618"/>
        <v/>
      </c>
      <c r="BC1738" s="743" t="str">
        <f t="shared" si="619"/>
        <v/>
      </c>
      <c r="BD1738" s="743" t="str">
        <f t="shared" si="620"/>
        <v/>
      </c>
      <c r="BE1738" s="743" t="str">
        <f>IF(D1738="","",VLOOKUP(D1738,'General Basis'!$J$39:$K$46,2,0))</f>
        <v/>
      </c>
      <c r="BF1738" s="744" t="str">
        <f>IF(D1738="","",VLOOKUP(D1738,'General Basis'!$J$39:$L$46,3,0))</f>
        <v/>
      </c>
      <c r="BG1738" s="744" t="str">
        <f t="shared" si="627"/>
        <v/>
      </c>
      <c r="BH1738" s="744" t="str">
        <f>IF(G1738="","",IF(BF1738="Abu Dhabi",IF(G1738&lt;18,'General Basis'!$C$39,IF(G1738&lt;41,'General Basis'!$C$40,IF(G1738&lt;60,'General Basis'!$C$41,IF(G1738&lt;65,'General Basis'!$C$42,'General Basis'!$C$43)))),IF(G1738&lt;11,'General Basis'!$B$39,IF(G1738&lt;18,'General Basis'!$B$40,IF(G1738&lt;26,'General Basis'!$B$41,IF(G1738&lt;31,'General Basis'!$B$42,IF(G1738&lt;36,'General Basis'!$B$43,IF(G1738&lt;41,'General Basis'!$B$44,IF(G1738&lt;46,'General Basis'!$B$45,IF(G1738&lt;51,'General Basis'!$B$46,IF(G1738&lt;56,'General Basis'!$B$47,IF(G1738&lt;60,'General Basis'!$B$48,IF(G1738&lt;65,'General Basis'!$B$49,'General Basis'!$B$50)))))))))))))</f>
        <v/>
      </c>
      <c r="BI1738" s="744" t="str">
        <f t="shared" si="621"/>
        <v/>
      </c>
      <c r="BJ1738" s="747" t="str">
        <f t="shared" si="628"/>
        <v/>
      </c>
      <c r="BK1738" s="498" t="str">
        <f t="shared" si="622"/>
        <v/>
      </c>
      <c r="BL1738" s="498" t="str">
        <f t="shared" si="623"/>
        <v/>
      </c>
    </row>
    <row r="1739" spans="1:64" x14ac:dyDescent="0.25">
      <c r="A1739" s="762">
        <f t="shared" si="624"/>
        <v>1734</v>
      </c>
      <c r="B1739" s="229"/>
      <c r="C1739" s="223"/>
      <c r="D1739" s="224"/>
      <c r="E1739" s="225"/>
      <c r="F1739" s="1036" t="str">
        <f t="shared" si="608"/>
        <v/>
      </c>
      <c r="G1739" s="1037" t="str">
        <f t="shared" si="625"/>
        <v/>
      </c>
      <c r="H1739" s="225"/>
      <c r="I1739" s="1013"/>
      <c r="J1739" s="1013"/>
      <c r="K1739" s="1028"/>
      <c r="L1739" s="1035" t="str">
        <f t="shared" si="629"/>
        <v/>
      </c>
      <c r="S1739" s="498"/>
      <c r="AJ1739" s="498"/>
      <c r="AM1739" s="498">
        <f t="shared" si="610"/>
        <v>0</v>
      </c>
      <c r="AN1739" s="498">
        <f t="shared" si="611"/>
        <v>0</v>
      </c>
      <c r="AO1739" s="498">
        <f t="shared" si="612"/>
        <v>0</v>
      </c>
      <c r="AP1739" s="498">
        <f t="shared" si="609"/>
        <v>0</v>
      </c>
      <c r="AQ1739" s="498">
        <f t="shared" si="626"/>
        <v>0</v>
      </c>
      <c r="AU1739" s="498">
        <f t="shared" si="613"/>
        <v>0</v>
      </c>
      <c r="AV1739" s="498">
        <f t="shared" si="614"/>
        <v>0</v>
      </c>
      <c r="AW1739" s="498">
        <f t="shared" si="615"/>
        <v>0</v>
      </c>
      <c r="AX1739" s="498">
        <f t="shared" si="616"/>
        <v>0</v>
      </c>
      <c r="AY1739" s="498">
        <f t="shared" si="617"/>
        <v>0</v>
      </c>
      <c r="BB1739" s="498" t="str">
        <f t="shared" si="618"/>
        <v/>
      </c>
      <c r="BC1739" s="743" t="str">
        <f t="shared" si="619"/>
        <v/>
      </c>
      <c r="BD1739" s="743" t="str">
        <f t="shared" si="620"/>
        <v/>
      </c>
      <c r="BE1739" s="743" t="str">
        <f>IF(D1739="","",VLOOKUP(D1739,'General Basis'!$J$39:$K$46,2,0))</f>
        <v/>
      </c>
      <c r="BF1739" s="744" t="str">
        <f>IF(D1739="","",VLOOKUP(D1739,'General Basis'!$J$39:$L$46,3,0))</f>
        <v/>
      </c>
      <c r="BG1739" s="744" t="str">
        <f t="shared" si="627"/>
        <v/>
      </c>
      <c r="BH1739" s="744" t="str">
        <f>IF(G1739="","",IF(BF1739="Abu Dhabi",IF(G1739&lt;18,'General Basis'!$C$39,IF(G1739&lt;41,'General Basis'!$C$40,IF(G1739&lt;60,'General Basis'!$C$41,IF(G1739&lt;65,'General Basis'!$C$42,'General Basis'!$C$43)))),IF(G1739&lt;11,'General Basis'!$B$39,IF(G1739&lt;18,'General Basis'!$B$40,IF(G1739&lt;26,'General Basis'!$B$41,IF(G1739&lt;31,'General Basis'!$B$42,IF(G1739&lt;36,'General Basis'!$B$43,IF(G1739&lt;41,'General Basis'!$B$44,IF(G1739&lt;46,'General Basis'!$B$45,IF(G1739&lt;51,'General Basis'!$B$46,IF(G1739&lt;56,'General Basis'!$B$47,IF(G1739&lt;60,'General Basis'!$B$48,IF(G1739&lt;65,'General Basis'!$B$49,'General Basis'!$B$50)))))))))))))</f>
        <v/>
      </c>
      <c r="BI1739" s="744" t="str">
        <f t="shared" si="621"/>
        <v/>
      </c>
      <c r="BJ1739" s="747" t="str">
        <f t="shared" si="628"/>
        <v/>
      </c>
      <c r="BK1739" s="498" t="str">
        <f t="shared" si="622"/>
        <v/>
      </c>
      <c r="BL1739" s="498" t="str">
        <f t="shared" si="623"/>
        <v/>
      </c>
    </row>
    <row r="1740" spans="1:64" x14ac:dyDescent="0.25">
      <c r="A1740" s="762">
        <f t="shared" si="624"/>
        <v>1735</v>
      </c>
      <c r="B1740" s="229"/>
      <c r="C1740" s="223"/>
      <c r="D1740" s="224"/>
      <c r="E1740" s="225"/>
      <c r="F1740" s="1036" t="str">
        <f t="shared" si="608"/>
        <v/>
      </c>
      <c r="G1740" s="1037" t="str">
        <f t="shared" si="625"/>
        <v/>
      </c>
      <c r="H1740" s="225"/>
      <c r="I1740" s="1013"/>
      <c r="J1740" s="1013"/>
      <c r="K1740" s="1028"/>
      <c r="L1740" s="1035" t="str">
        <f t="shared" si="629"/>
        <v/>
      </c>
      <c r="S1740" s="498"/>
      <c r="AJ1740" s="498"/>
      <c r="AM1740" s="498">
        <f t="shared" si="610"/>
        <v>0</v>
      </c>
      <c r="AN1740" s="498">
        <f t="shared" si="611"/>
        <v>0</v>
      </c>
      <c r="AO1740" s="498">
        <f t="shared" si="612"/>
        <v>0</v>
      </c>
      <c r="AP1740" s="498">
        <f t="shared" si="609"/>
        <v>0</v>
      </c>
      <c r="AQ1740" s="498">
        <f t="shared" si="626"/>
        <v>0</v>
      </c>
      <c r="AU1740" s="498">
        <f t="shared" si="613"/>
        <v>0</v>
      </c>
      <c r="AV1740" s="498">
        <f t="shared" si="614"/>
        <v>0</v>
      </c>
      <c r="AW1740" s="498">
        <f t="shared" si="615"/>
        <v>0</v>
      </c>
      <c r="AX1740" s="498">
        <f t="shared" si="616"/>
        <v>0</v>
      </c>
      <c r="AY1740" s="498">
        <f t="shared" si="617"/>
        <v>0</v>
      </c>
      <c r="BB1740" s="498" t="str">
        <f t="shared" si="618"/>
        <v/>
      </c>
      <c r="BC1740" s="743" t="str">
        <f t="shared" si="619"/>
        <v/>
      </c>
      <c r="BD1740" s="743" t="str">
        <f t="shared" si="620"/>
        <v/>
      </c>
      <c r="BE1740" s="743" t="str">
        <f>IF(D1740="","",VLOOKUP(D1740,'General Basis'!$J$39:$K$46,2,0))</f>
        <v/>
      </c>
      <c r="BF1740" s="744" t="str">
        <f>IF(D1740="","",VLOOKUP(D1740,'General Basis'!$J$39:$L$46,3,0))</f>
        <v/>
      </c>
      <c r="BG1740" s="744" t="str">
        <f t="shared" si="627"/>
        <v/>
      </c>
      <c r="BH1740" s="744" t="str">
        <f>IF(G1740="","",IF(BF1740="Abu Dhabi",IF(G1740&lt;18,'General Basis'!$C$39,IF(G1740&lt;41,'General Basis'!$C$40,IF(G1740&lt;60,'General Basis'!$C$41,IF(G1740&lt;65,'General Basis'!$C$42,'General Basis'!$C$43)))),IF(G1740&lt;11,'General Basis'!$B$39,IF(G1740&lt;18,'General Basis'!$B$40,IF(G1740&lt;26,'General Basis'!$B$41,IF(G1740&lt;31,'General Basis'!$B$42,IF(G1740&lt;36,'General Basis'!$B$43,IF(G1740&lt;41,'General Basis'!$B$44,IF(G1740&lt;46,'General Basis'!$B$45,IF(G1740&lt;51,'General Basis'!$B$46,IF(G1740&lt;56,'General Basis'!$B$47,IF(G1740&lt;60,'General Basis'!$B$48,IF(G1740&lt;65,'General Basis'!$B$49,'General Basis'!$B$50)))))))))))))</f>
        <v/>
      </c>
      <c r="BI1740" s="744" t="str">
        <f t="shared" si="621"/>
        <v/>
      </c>
      <c r="BJ1740" s="747" t="str">
        <f t="shared" si="628"/>
        <v/>
      </c>
      <c r="BK1740" s="498" t="str">
        <f t="shared" si="622"/>
        <v/>
      </c>
      <c r="BL1740" s="498" t="str">
        <f t="shared" si="623"/>
        <v/>
      </c>
    </row>
    <row r="1741" spans="1:64" x14ac:dyDescent="0.25">
      <c r="A1741" s="762">
        <f t="shared" si="624"/>
        <v>1736</v>
      </c>
      <c r="B1741" s="229"/>
      <c r="C1741" s="223"/>
      <c r="D1741" s="224"/>
      <c r="E1741" s="225"/>
      <c r="F1741" s="1036" t="str">
        <f t="shared" si="608"/>
        <v/>
      </c>
      <c r="G1741" s="1037" t="str">
        <f t="shared" si="625"/>
        <v/>
      </c>
      <c r="H1741" s="225"/>
      <c r="I1741" s="1013"/>
      <c r="J1741" s="1013"/>
      <c r="K1741" s="1028"/>
      <c r="L1741" s="1035" t="str">
        <f t="shared" si="629"/>
        <v/>
      </c>
      <c r="S1741" s="498"/>
      <c r="AJ1741" s="498"/>
      <c r="AM1741" s="498">
        <f t="shared" si="610"/>
        <v>0</v>
      </c>
      <c r="AN1741" s="498">
        <f t="shared" si="611"/>
        <v>0</v>
      </c>
      <c r="AO1741" s="498">
        <f t="shared" si="612"/>
        <v>0</v>
      </c>
      <c r="AP1741" s="498">
        <f t="shared" si="609"/>
        <v>0</v>
      </c>
      <c r="AQ1741" s="498">
        <f t="shared" si="626"/>
        <v>0</v>
      </c>
      <c r="AU1741" s="498">
        <f t="shared" si="613"/>
        <v>0</v>
      </c>
      <c r="AV1741" s="498">
        <f t="shared" si="614"/>
        <v>0</v>
      </c>
      <c r="AW1741" s="498">
        <f t="shared" si="615"/>
        <v>0</v>
      </c>
      <c r="AX1741" s="498">
        <f t="shared" si="616"/>
        <v>0</v>
      </c>
      <c r="AY1741" s="498">
        <f t="shared" si="617"/>
        <v>0</v>
      </c>
      <c r="BB1741" s="498" t="str">
        <f t="shared" si="618"/>
        <v/>
      </c>
      <c r="BC1741" s="743" t="str">
        <f t="shared" si="619"/>
        <v/>
      </c>
      <c r="BD1741" s="743" t="str">
        <f t="shared" si="620"/>
        <v/>
      </c>
      <c r="BE1741" s="743" t="str">
        <f>IF(D1741="","",VLOOKUP(D1741,'General Basis'!$J$39:$K$46,2,0))</f>
        <v/>
      </c>
      <c r="BF1741" s="744" t="str">
        <f>IF(D1741="","",VLOOKUP(D1741,'General Basis'!$J$39:$L$46,3,0))</f>
        <v/>
      </c>
      <c r="BG1741" s="744" t="str">
        <f t="shared" si="627"/>
        <v/>
      </c>
      <c r="BH1741" s="744" t="str">
        <f>IF(G1741="","",IF(BF1741="Abu Dhabi",IF(G1741&lt;18,'General Basis'!$C$39,IF(G1741&lt;41,'General Basis'!$C$40,IF(G1741&lt;60,'General Basis'!$C$41,IF(G1741&lt;65,'General Basis'!$C$42,'General Basis'!$C$43)))),IF(G1741&lt;11,'General Basis'!$B$39,IF(G1741&lt;18,'General Basis'!$B$40,IF(G1741&lt;26,'General Basis'!$B$41,IF(G1741&lt;31,'General Basis'!$B$42,IF(G1741&lt;36,'General Basis'!$B$43,IF(G1741&lt;41,'General Basis'!$B$44,IF(G1741&lt;46,'General Basis'!$B$45,IF(G1741&lt;51,'General Basis'!$B$46,IF(G1741&lt;56,'General Basis'!$B$47,IF(G1741&lt;60,'General Basis'!$B$48,IF(G1741&lt;65,'General Basis'!$B$49,'General Basis'!$B$50)))))))))))))</f>
        <v/>
      </c>
      <c r="BI1741" s="744" t="str">
        <f t="shared" si="621"/>
        <v/>
      </c>
      <c r="BJ1741" s="747" t="str">
        <f t="shared" si="628"/>
        <v/>
      </c>
      <c r="BK1741" s="498" t="str">
        <f t="shared" si="622"/>
        <v/>
      </c>
      <c r="BL1741" s="498" t="str">
        <f t="shared" si="623"/>
        <v/>
      </c>
    </row>
    <row r="1742" spans="1:64" x14ac:dyDescent="0.25">
      <c r="A1742" s="762">
        <f t="shared" si="624"/>
        <v>1737</v>
      </c>
      <c r="B1742" s="229"/>
      <c r="C1742" s="223"/>
      <c r="D1742" s="224"/>
      <c r="E1742" s="225"/>
      <c r="F1742" s="1036" t="str">
        <f t="shared" si="608"/>
        <v/>
      </c>
      <c r="G1742" s="1037" t="str">
        <f t="shared" si="625"/>
        <v/>
      </c>
      <c r="H1742" s="225"/>
      <c r="I1742" s="1013"/>
      <c r="J1742" s="1013"/>
      <c r="K1742" s="1028"/>
      <c r="L1742" s="1035" t="str">
        <f t="shared" si="629"/>
        <v/>
      </c>
      <c r="S1742" s="498"/>
      <c r="AJ1742" s="498"/>
      <c r="AM1742" s="498">
        <f t="shared" si="610"/>
        <v>0</v>
      </c>
      <c r="AN1742" s="498">
        <f t="shared" si="611"/>
        <v>0</v>
      </c>
      <c r="AO1742" s="498">
        <f t="shared" si="612"/>
        <v>0</v>
      </c>
      <c r="AP1742" s="498">
        <f t="shared" si="609"/>
        <v>0</v>
      </c>
      <c r="AQ1742" s="498">
        <f t="shared" si="626"/>
        <v>0</v>
      </c>
      <c r="AU1742" s="498">
        <f t="shared" si="613"/>
        <v>0</v>
      </c>
      <c r="AV1742" s="498">
        <f t="shared" si="614"/>
        <v>0</v>
      </c>
      <c r="AW1742" s="498">
        <f t="shared" si="615"/>
        <v>0</v>
      </c>
      <c r="AX1742" s="498">
        <f t="shared" si="616"/>
        <v>0</v>
      </c>
      <c r="AY1742" s="498">
        <f t="shared" si="617"/>
        <v>0</v>
      </c>
      <c r="BB1742" s="498" t="str">
        <f t="shared" si="618"/>
        <v/>
      </c>
      <c r="BC1742" s="743" t="str">
        <f t="shared" si="619"/>
        <v/>
      </c>
      <c r="BD1742" s="743" t="str">
        <f t="shared" si="620"/>
        <v/>
      </c>
      <c r="BE1742" s="743" t="str">
        <f>IF(D1742="","",VLOOKUP(D1742,'General Basis'!$J$39:$K$46,2,0))</f>
        <v/>
      </c>
      <c r="BF1742" s="744" t="str">
        <f>IF(D1742="","",VLOOKUP(D1742,'General Basis'!$J$39:$L$46,3,0))</f>
        <v/>
      </c>
      <c r="BG1742" s="744" t="str">
        <f t="shared" si="627"/>
        <v/>
      </c>
      <c r="BH1742" s="744" t="str">
        <f>IF(G1742="","",IF(BF1742="Abu Dhabi",IF(G1742&lt;18,'General Basis'!$C$39,IF(G1742&lt;41,'General Basis'!$C$40,IF(G1742&lt;60,'General Basis'!$C$41,IF(G1742&lt;65,'General Basis'!$C$42,'General Basis'!$C$43)))),IF(G1742&lt;11,'General Basis'!$B$39,IF(G1742&lt;18,'General Basis'!$B$40,IF(G1742&lt;26,'General Basis'!$B$41,IF(G1742&lt;31,'General Basis'!$B$42,IF(G1742&lt;36,'General Basis'!$B$43,IF(G1742&lt;41,'General Basis'!$B$44,IF(G1742&lt;46,'General Basis'!$B$45,IF(G1742&lt;51,'General Basis'!$B$46,IF(G1742&lt;56,'General Basis'!$B$47,IF(G1742&lt;60,'General Basis'!$B$48,IF(G1742&lt;65,'General Basis'!$B$49,'General Basis'!$B$50)))))))))))))</f>
        <v/>
      </c>
      <c r="BI1742" s="744" t="str">
        <f t="shared" si="621"/>
        <v/>
      </c>
      <c r="BJ1742" s="747" t="str">
        <f t="shared" si="628"/>
        <v/>
      </c>
      <c r="BK1742" s="498" t="str">
        <f t="shared" si="622"/>
        <v/>
      </c>
      <c r="BL1742" s="498" t="str">
        <f t="shared" si="623"/>
        <v/>
      </c>
    </row>
    <row r="1743" spans="1:64" x14ac:dyDescent="0.25">
      <c r="A1743" s="762">
        <f t="shared" si="624"/>
        <v>1738</v>
      </c>
      <c r="B1743" s="229"/>
      <c r="C1743" s="223"/>
      <c r="D1743" s="224"/>
      <c r="E1743" s="225"/>
      <c r="F1743" s="1036" t="str">
        <f t="shared" si="608"/>
        <v/>
      </c>
      <c r="G1743" s="1037" t="str">
        <f t="shared" si="625"/>
        <v/>
      </c>
      <c r="H1743" s="225"/>
      <c r="I1743" s="1013"/>
      <c r="J1743" s="1013"/>
      <c r="K1743" s="1028"/>
      <c r="L1743" s="1035" t="str">
        <f t="shared" si="629"/>
        <v/>
      </c>
      <c r="S1743" s="498"/>
      <c r="AJ1743" s="498"/>
      <c r="AM1743" s="498">
        <f t="shared" si="610"/>
        <v>0</v>
      </c>
      <c r="AN1743" s="498">
        <f t="shared" si="611"/>
        <v>0</v>
      </c>
      <c r="AO1743" s="498">
        <f t="shared" si="612"/>
        <v>0</v>
      </c>
      <c r="AP1743" s="498">
        <f t="shared" si="609"/>
        <v>0</v>
      </c>
      <c r="AQ1743" s="498">
        <f t="shared" si="626"/>
        <v>0</v>
      </c>
      <c r="AU1743" s="498">
        <f t="shared" si="613"/>
        <v>0</v>
      </c>
      <c r="AV1743" s="498">
        <f t="shared" si="614"/>
        <v>0</v>
      </c>
      <c r="AW1743" s="498">
        <f t="shared" si="615"/>
        <v>0</v>
      </c>
      <c r="AX1743" s="498">
        <f t="shared" si="616"/>
        <v>0</v>
      </c>
      <c r="AY1743" s="498">
        <f t="shared" si="617"/>
        <v>0</v>
      </c>
      <c r="BB1743" s="498" t="str">
        <f t="shared" si="618"/>
        <v/>
      </c>
      <c r="BC1743" s="743" t="str">
        <f t="shared" si="619"/>
        <v/>
      </c>
      <c r="BD1743" s="743" t="str">
        <f t="shared" si="620"/>
        <v/>
      </c>
      <c r="BE1743" s="743" t="str">
        <f>IF(D1743="","",VLOOKUP(D1743,'General Basis'!$J$39:$K$46,2,0))</f>
        <v/>
      </c>
      <c r="BF1743" s="744" t="str">
        <f>IF(D1743="","",VLOOKUP(D1743,'General Basis'!$J$39:$L$46,3,0))</f>
        <v/>
      </c>
      <c r="BG1743" s="744" t="str">
        <f t="shared" si="627"/>
        <v/>
      </c>
      <c r="BH1743" s="744" t="str">
        <f>IF(G1743="","",IF(BF1743="Abu Dhabi",IF(G1743&lt;18,'General Basis'!$C$39,IF(G1743&lt;41,'General Basis'!$C$40,IF(G1743&lt;60,'General Basis'!$C$41,IF(G1743&lt;65,'General Basis'!$C$42,'General Basis'!$C$43)))),IF(G1743&lt;11,'General Basis'!$B$39,IF(G1743&lt;18,'General Basis'!$B$40,IF(G1743&lt;26,'General Basis'!$B$41,IF(G1743&lt;31,'General Basis'!$B$42,IF(G1743&lt;36,'General Basis'!$B$43,IF(G1743&lt;41,'General Basis'!$B$44,IF(G1743&lt;46,'General Basis'!$B$45,IF(G1743&lt;51,'General Basis'!$B$46,IF(G1743&lt;56,'General Basis'!$B$47,IF(G1743&lt;60,'General Basis'!$B$48,IF(G1743&lt;65,'General Basis'!$B$49,'General Basis'!$B$50)))))))))))))</f>
        <v/>
      </c>
      <c r="BI1743" s="744" t="str">
        <f t="shared" si="621"/>
        <v/>
      </c>
      <c r="BJ1743" s="747" t="str">
        <f t="shared" si="628"/>
        <v/>
      </c>
      <c r="BK1743" s="498" t="str">
        <f t="shared" si="622"/>
        <v/>
      </c>
      <c r="BL1743" s="498" t="str">
        <f t="shared" si="623"/>
        <v/>
      </c>
    </row>
    <row r="1744" spans="1:64" x14ac:dyDescent="0.25">
      <c r="A1744" s="762">
        <f t="shared" si="624"/>
        <v>1739</v>
      </c>
      <c r="B1744" s="229"/>
      <c r="C1744" s="223"/>
      <c r="D1744" s="224"/>
      <c r="E1744" s="225"/>
      <c r="F1744" s="1036" t="str">
        <f t="shared" ref="F1744:F1807" si="630">IF(C1744="","",IF($B1744="","",((YEAR($F$3)-YEAR($B1744))+(MONTH($F$3)-MONTH($B1744))/12+(DAY($F$3)-DAY($B1744))/(DATE(YEAR($F$3),12,31)-DATE(YEAR($F$3),1,1)+1))))</f>
        <v/>
      </c>
      <c r="G1744" s="1037" t="str">
        <f t="shared" si="625"/>
        <v/>
      </c>
      <c r="H1744" s="225"/>
      <c r="I1744" s="1013"/>
      <c r="J1744" s="1013"/>
      <c r="K1744" s="1028"/>
      <c r="L1744" s="1035" t="str">
        <f t="shared" si="629"/>
        <v/>
      </c>
      <c r="S1744" s="498"/>
      <c r="AJ1744" s="498"/>
      <c r="AM1744" s="498">
        <f t="shared" si="610"/>
        <v>0</v>
      </c>
      <c r="AN1744" s="498">
        <f t="shared" si="611"/>
        <v>0</v>
      </c>
      <c r="AO1744" s="498">
        <f t="shared" si="612"/>
        <v>0</v>
      </c>
      <c r="AP1744" s="498">
        <f t="shared" si="609"/>
        <v>0</v>
      </c>
      <c r="AQ1744" s="498">
        <f t="shared" si="626"/>
        <v>0</v>
      </c>
      <c r="AU1744" s="498">
        <f t="shared" si="613"/>
        <v>0</v>
      </c>
      <c r="AV1744" s="498">
        <f t="shared" si="614"/>
        <v>0</v>
      </c>
      <c r="AW1744" s="498">
        <f t="shared" si="615"/>
        <v>0</v>
      </c>
      <c r="AX1744" s="498">
        <f t="shared" si="616"/>
        <v>0</v>
      </c>
      <c r="AY1744" s="498">
        <f t="shared" si="617"/>
        <v>0</v>
      </c>
      <c r="BB1744" s="498" t="str">
        <f t="shared" si="618"/>
        <v/>
      </c>
      <c r="BC1744" s="743" t="str">
        <f t="shared" si="619"/>
        <v/>
      </c>
      <c r="BD1744" s="743" t="str">
        <f t="shared" si="620"/>
        <v/>
      </c>
      <c r="BE1744" s="743" t="str">
        <f>IF(D1744="","",VLOOKUP(D1744,'General Basis'!$J$39:$K$46,2,0))</f>
        <v/>
      </c>
      <c r="BF1744" s="744" t="str">
        <f>IF(D1744="","",VLOOKUP(D1744,'General Basis'!$J$39:$L$46,3,0))</f>
        <v/>
      </c>
      <c r="BG1744" s="744" t="str">
        <f t="shared" si="627"/>
        <v/>
      </c>
      <c r="BH1744" s="744" t="str">
        <f>IF(G1744="","",IF(BF1744="Abu Dhabi",IF(G1744&lt;18,'General Basis'!$C$39,IF(G1744&lt;41,'General Basis'!$C$40,IF(G1744&lt;60,'General Basis'!$C$41,IF(G1744&lt;65,'General Basis'!$C$42,'General Basis'!$C$43)))),IF(G1744&lt;11,'General Basis'!$B$39,IF(G1744&lt;18,'General Basis'!$B$40,IF(G1744&lt;26,'General Basis'!$B$41,IF(G1744&lt;31,'General Basis'!$B$42,IF(G1744&lt;36,'General Basis'!$B$43,IF(G1744&lt;41,'General Basis'!$B$44,IF(G1744&lt;46,'General Basis'!$B$45,IF(G1744&lt;51,'General Basis'!$B$46,IF(G1744&lt;56,'General Basis'!$B$47,IF(G1744&lt;60,'General Basis'!$B$48,IF(G1744&lt;65,'General Basis'!$B$49,'General Basis'!$B$50)))))))))))))</f>
        <v/>
      </c>
      <c r="BI1744" s="744" t="str">
        <f t="shared" si="621"/>
        <v/>
      </c>
      <c r="BJ1744" s="747" t="str">
        <f t="shared" si="628"/>
        <v/>
      </c>
      <c r="BK1744" s="498" t="str">
        <f t="shared" si="622"/>
        <v/>
      </c>
      <c r="BL1744" s="498" t="str">
        <f t="shared" si="623"/>
        <v/>
      </c>
    </row>
    <row r="1745" spans="1:64" x14ac:dyDescent="0.25">
      <c r="A1745" s="762">
        <f t="shared" si="624"/>
        <v>1740</v>
      </c>
      <c r="B1745" s="229"/>
      <c r="C1745" s="223"/>
      <c r="D1745" s="224"/>
      <c r="E1745" s="225"/>
      <c r="F1745" s="1036" t="str">
        <f t="shared" si="630"/>
        <v/>
      </c>
      <c r="G1745" s="1037" t="str">
        <f t="shared" si="625"/>
        <v/>
      </c>
      <c r="H1745" s="225"/>
      <c r="I1745" s="1013"/>
      <c r="J1745" s="1013"/>
      <c r="K1745" s="1028"/>
      <c r="L1745" s="1035" t="str">
        <f t="shared" si="629"/>
        <v/>
      </c>
      <c r="S1745" s="498"/>
      <c r="AJ1745" s="498"/>
      <c r="AM1745" s="498">
        <f t="shared" si="610"/>
        <v>0</v>
      </c>
      <c r="AN1745" s="498">
        <f t="shared" si="611"/>
        <v>0</v>
      </c>
      <c r="AO1745" s="498">
        <f t="shared" si="612"/>
        <v>0</v>
      </c>
      <c r="AP1745" s="498">
        <f t="shared" si="609"/>
        <v>0</v>
      </c>
      <c r="AQ1745" s="498">
        <f t="shared" si="626"/>
        <v>0</v>
      </c>
      <c r="AU1745" s="498">
        <f t="shared" si="613"/>
        <v>0</v>
      </c>
      <c r="AV1745" s="498">
        <f t="shared" si="614"/>
        <v>0</v>
      </c>
      <c r="AW1745" s="498">
        <f t="shared" si="615"/>
        <v>0</v>
      </c>
      <c r="AX1745" s="498">
        <f t="shared" si="616"/>
        <v>0</v>
      </c>
      <c r="AY1745" s="498">
        <f t="shared" si="617"/>
        <v>0</v>
      </c>
      <c r="BB1745" s="498" t="str">
        <f t="shared" si="618"/>
        <v/>
      </c>
      <c r="BC1745" s="743" t="str">
        <f t="shared" si="619"/>
        <v/>
      </c>
      <c r="BD1745" s="743" t="str">
        <f t="shared" si="620"/>
        <v/>
      </c>
      <c r="BE1745" s="743" t="str">
        <f>IF(D1745="","",VLOOKUP(D1745,'General Basis'!$J$39:$K$46,2,0))</f>
        <v/>
      </c>
      <c r="BF1745" s="744" t="str">
        <f>IF(D1745="","",VLOOKUP(D1745,'General Basis'!$J$39:$L$46,3,0))</f>
        <v/>
      </c>
      <c r="BG1745" s="744" t="str">
        <f t="shared" si="627"/>
        <v/>
      </c>
      <c r="BH1745" s="744" t="str">
        <f>IF(G1745="","",IF(BF1745="Abu Dhabi",IF(G1745&lt;18,'General Basis'!$C$39,IF(G1745&lt;41,'General Basis'!$C$40,IF(G1745&lt;60,'General Basis'!$C$41,IF(G1745&lt;65,'General Basis'!$C$42,'General Basis'!$C$43)))),IF(G1745&lt;11,'General Basis'!$B$39,IF(G1745&lt;18,'General Basis'!$B$40,IF(G1745&lt;26,'General Basis'!$B$41,IF(G1745&lt;31,'General Basis'!$B$42,IF(G1745&lt;36,'General Basis'!$B$43,IF(G1745&lt;41,'General Basis'!$B$44,IF(G1745&lt;46,'General Basis'!$B$45,IF(G1745&lt;51,'General Basis'!$B$46,IF(G1745&lt;56,'General Basis'!$B$47,IF(G1745&lt;60,'General Basis'!$B$48,IF(G1745&lt;65,'General Basis'!$B$49,'General Basis'!$B$50)))))))))))))</f>
        <v/>
      </c>
      <c r="BI1745" s="744" t="str">
        <f t="shared" si="621"/>
        <v/>
      </c>
      <c r="BJ1745" s="747" t="str">
        <f t="shared" si="628"/>
        <v/>
      </c>
      <c r="BK1745" s="498" t="str">
        <f t="shared" si="622"/>
        <v/>
      </c>
      <c r="BL1745" s="498" t="str">
        <f t="shared" si="623"/>
        <v/>
      </c>
    </row>
    <row r="1746" spans="1:64" x14ac:dyDescent="0.25">
      <c r="A1746" s="762">
        <f t="shared" si="624"/>
        <v>1741</v>
      </c>
      <c r="B1746" s="229"/>
      <c r="C1746" s="223"/>
      <c r="D1746" s="224"/>
      <c r="E1746" s="225"/>
      <c r="F1746" s="1036" t="str">
        <f t="shared" si="630"/>
        <v/>
      </c>
      <c r="G1746" s="1037" t="str">
        <f t="shared" si="625"/>
        <v/>
      </c>
      <c r="H1746" s="225"/>
      <c r="I1746" s="1013"/>
      <c r="J1746" s="1013"/>
      <c r="K1746" s="1028"/>
      <c r="L1746" s="1035" t="str">
        <f t="shared" si="629"/>
        <v/>
      </c>
      <c r="S1746" s="498"/>
      <c r="AJ1746" s="498"/>
      <c r="AM1746" s="498">
        <f t="shared" si="610"/>
        <v>0</v>
      </c>
      <c r="AN1746" s="498">
        <f t="shared" si="611"/>
        <v>0</v>
      </c>
      <c r="AO1746" s="498">
        <f t="shared" si="612"/>
        <v>0</v>
      </c>
      <c r="AP1746" s="498">
        <f t="shared" si="609"/>
        <v>0</v>
      </c>
      <c r="AQ1746" s="498">
        <f t="shared" si="626"/>
        <v>0</v>
      </c>
      <c r="AU1746" s="498">
        <f t="shared" si="613"/>
        <v>0</v>
      </c>
      <c r="AV1746" s="498">
        <f t="shared" si="614"/>
        <v>0</v>
      </c>
      <c r="AW1746" s="498">
        <f t="shared" si="615"/>
        <v>0</v>
      </c>
      <c r="AX1746" s="498">
        <f t="shared" si="616"/>
        <v>0</v>
      </c>
      <c r="AY1746" s="498">
        <f t="shared" si="617"/>
        <v>0</v>
      </c>
      <c r="BB1746" s="498" t="str">
        <f t="shared" si="618"/>
        <v/>
      </c>
      <c r="BC1746" s="743" t="str">
        <f t="shared" si="619"/>
        <v/>
      </c>
      <c r="BD1746" s="743" t="str">
        <f t="shared" si="620"/>
        <v/>
      </c>
      <c r="BE1746" s="743" t="str">
        <f>IF(D1746="","",VLOOKUP(D1746,'General Basis'!$J$39:$K$46,2,0))</f>
        <v/>
      </c>
      <c r="BF1746" s="744" t="str">
        <f>IF(D1746="","",VLOOKUP(D1746,'General Basis'!$J$39:$L$46,3,0))</f>
        <v/>
      </c>
      <c r="BG1746" s="744" t="str">
        <f t="shared" si="627"/>
        <v/>
      </c>
      <c r="BH1746" s="744" t="str">
        <f>IF(G1746="","",IF(BF1746="Abu Dhabi",IF(G1746&lt;18,'General Basis'!$C$39,IF(G1746&lt;41,'General Basis'!$C$40,IF(G1746&lt;60,'General Basis'!$C$41,IF(G1746&lt;65,'General Basis'!$C$42,'General Basis'!$C$43)))),IF(G1746&lt;11,'General Basis'!$B$39,IF(G1746&lt;18,'General Basis'!$B$40,IF(G1746&lt;26,'General Basis'!$B$41,IF(G1746&lt;31,'General Basis'!$B$42,IF(G1746&lt;36,'General Basis'!$B$43,IF(G1746&lt;41,'General Basis'!$B$44,IF(G1746&lt;46,'General Basis'!$B$45,IF(G1746&lt;51,'General Basis'!$B$46,IF(G1746&lt;56,'General Basis'!$B$47,IF(G1746&lt;60,'General Basis'!$B$48,IF(G1746&lt;65,'General Basis'!$B$49,'General Basis'!$B$50)))))))))))))</f>
        <v/>
      </c>
      <c r="BI1746" s="744" t="str">
        <f t="shared" si="621"/>
        <v/>
      </c>
      <c r="BJ1746" s="747" t="str">
        <f t="shared" si="628"/>
        <v/>
      </c>
      <c r="BK1746" s="498" t="str">
        <f t="shared" si="622"/>
        <v/>
      </c>
      <c r="BL1746" s="498" t="str">
        <f t="shared" si="623"/>
        <v/>
      </c>
    </row>
    <row r="1747" spans="1:64" x14ac:dyDescent="0.25">
      <c r="A1747" s="762">
        <f t="shared" si="624"/>
        <v>1742</v>
      </c>
      <c r="B1747" s="229"/>
      <c r="C1747" s="223"/>
      <c r="D1747" s="224"/>
      <c r="E1747" s="225"/>
      <c r="F1747" s="1036" t="str">
        <f t="shared" si="630"/>
        <v/>
      </c>
      <c r="G1747" s="1037" t="str">
        <f t="shared" si="625"/>
        <v/>
      </c>
      <c r="H1747" s="225"/>
      <c r="I1747" s="1013"/>
      <c r="J1747" s="1013"/>
      <c r="K1747" s="1028"/>
      <c r="L1747" s="1035" t="str">
        <f t="shared" si="629"/>
        <v/>
      </c>
      <c r="S1747" s="498"/>
      <c r="AJ1747" s="498"/>
      <c r="AM1747" s="498">
        <f t="shared" si="610"/>
        <v>0</v>
      </c>
      <c r="AN1747" s="498">
        <f t="shared" si="611"/>
        <v>0</v>
      </c>
      <c r="AO1747" s="498">
        <f t="shared" si="612"/>
        <v>0</v>
      </c>
      <c r="AP1747" s="498">
        <f t="shared" ref="AP1747:AP1810" si="631">IF(ISBLANK($B1747),0,IF(OR($C1747="M",$C1747="F"),0,1))</f>
        <v>0</v>
      </c>
      <c r="AQ1747" s="498">
        <f t="shared" si="626"/>
        <v>0</v>
      </c>
      <c r="AU1747" s="498">
        <f t="shared" si="613"/>
        <v>0</v>
      </c>
      <c r="AV1747" s="498">
        <f t="shared" si="614"/>
        <v>0</v>
      </c>
      <c r="AW1747" s="498">
        <f t="shared" si="615"/>
        <v>0</v>
      </c>
      <c r="AX1747" s="498">
        <f t="shared" si="616"/>
        <v>0</v>
      </c>
      <c r="AY1747" s="498">
        <f t="shared" si="617"/>
        <v>0</v>
      </c>
      <c r="BB1747" s="498" t="str">
        <f t="shared" si="618"/>
        <v/>
      </c>
      <c r="BC1747" s="743" t="str">
        <f t="shared" si="619"/>
        <v/>
      </c>
      <c r="BD1747" s="743" t="str">
        <f t="shared" si="620"/>
        <v/>
      </c>
      <c r="BE1747" s="743" t="str">
        <f>IF(D1747="","",VLOOKUP(D1747,'General Basis'!$J$39:$K$46,2,0))</f>
        <v/>
      </c>
      <c r="BF1747" s="744" t="str">
        <f>IF(D1747="","",VLOOKUP(D1747,'General Basis'!$J$39:$L$46,3,0))</f>
        <v/>
      </c>
      <c r="BG1747" s="744" t="str">
        <f t="shared" si="627"/>
        <v/>
      </c>
      <c r="BH1747" s="744" t="str">
        <f>IF(G1747="","",IF(BF1747="Abu Dhabi",IF(G1747&lt;18,'General Basis'!$C$39,IF(G1747&lt;41,'General Basis'!$C$40,IF(G1747&lt;60,'General Basis'!$C$41,IF(G1747&lt;65,'General Basis'!$C$42,'General Basis'!$C$43)))),IF(G1747&lt;11,'General Basis'!$B$39,IF(G1747&lt;18,'General Basis'!$B$40,IF(G1747&lt;26,'General Basis'!$B$41,IF(G1747&lt;31,'General Basis'!$B$42,IF(G1747&lt;36,'General Basis'!$B$43,IF(G1747&lt;41,'General Basis'!$B$44,IF(G1747&lt;46,'General Basis'!$B$45,IF(G1747&lt;51,'General Basis'!$B$46,IF(G1747&lt;56,'General Basis'!$B$47,IF(G1747&lt;60,'General Basis'!$B$48,IF(G1747&lt;65,'General Basis'!$B$49,'General Basis'!$B$50)))))))))))))</f>
        <v/>
      </c>
      <c r="BI1747" s="744" t="str">
        <f t="shared" si="621"/>
        <v/>
      </c>
      <c r="BJ1747" s="747" t="str">
        <f t="shared" si="628"/>
        <v/>
      </c>
      <c r="BK1747" s="498" t="str">
        <f t="shared" si="622"/>
        <v/>
      </c>
      <c r="BL1747" s="498" t="str">
        <f t="shared" si="623"/>
        <v/>
      </c>
    </row>
    <row r="1748" spans="1:64" x14ac:dyDescent="0.25">
      <c r="A1748" s="762">
        <f t="shared" si="624"/>
        <v>1743</v>
      </c>
      <c r="B1748" s="229"/>
      <c r="C1748" s="223"/>
      <c r="D1748" s="224"/>
      <c r="E1748" s="225"/>
      <c r="F1748" s="1036" t="str">
        <f t="shared" si="630"/>
        <v/>
      </c>
      <c r="G1748" s="1037" t="str">
        <f t="shared" si="625"/>
        <v/>
      </c>
      <c r="H1748" s="225"/>
      <c r="I1748" s="1013"/>
      <c r="J1748" s="1013"/>
      <c r="K1748" s="1028"/>
      <c r="L1748" s="1035" t="str">
        <f t="shared" si="629"/>
        <v/>
      </c>
      <c r="S1748" s="498"/>
      <c r="AJ1748" s="498"/>
      <c r="AM1748" s="498">
        <f t="shared" si="610"/>
        <v>0</v>
      </c>
      <c r="AN1748" s="498">
        <f t="shared" si="611"/>
        <v>0</v>
      </c>
      <c r="AO1748" s="498">
        <f t="shared" si="612"/>
        <v>0</v>
      </c>
      <c r="AP1748" s="498">
        <f t="shared" si="631"/>
        <v>0</v>
      </c>
      <c r="AQ1748" s="498">
        <f t="shared" si="626"/>
        <v>0</v>
      </c>
      <c r="AU1748" s="498">
        <f t="shared" si="613"/>
        <v>0</v>
      </c>
      <c r="AV1748" s="498">
        <f t="shared" si="614"/>
        <v>0</v>
      </c>
      <c r="AW1748" s="498">
        <f t="shared" si="615"/>
        <v>0</v>
      </c>
      <c r="AX1748" s="498">
        <f t="shared" si="616"/>
        <v>0</v>
      </c>
      <c r="AY1748" s="498">
        <f t="shared" si="617"/>
        <v>0</v>
      </c>
      <c r="BB1748" s="498" t="str">
        <f t="shared" si="618"/>
        <v/>
      </c>
      <c r="BC1748" s="743" t="str">
        <f t="shared" si="619"/>
        <v/>
      </c>
      <c r="BD1748" s="743" t="str">
        <f t="shared" si="620"/>
        <v/>
      </c>
      <c r="BE1748" s="743" t="str">
        <f>IF(D1748="","",VLOOKUP(D1748,'General Basis'!$J$39:$K$46,2,0))</f>
        <v/>
      </c>
      <c r="BF1748" s="744" t="str">
        <f>IF(D1748="","",VLOOKUP(D1748,'General Basis'!$J$39:$L$46,3,0))</f>
        <v/>
      </c>
      <c r="BG1748" s="744" t="str">
        <f t="shared" si="627"/>
        <v/>
      </c>
      <c r="BH1748" s="744" t="str">
        <f>IF(G1748="","",IF(BF1748="Abu Dhabi",IF(G1748&lt;18,'General Basis'!$C$39,IF(G1748&lt;41,'General Basis'!$C$40,IF(G1748&lt;60,'General Basis'!$C$41,IF(G1748&lt;65,'General Basis'!$C$42,'General Basis'!$C$43)))),IF(G1748&lt;11,'General Basis'!$B$39,IF(G1748&lt;18,'General Basis'!$B$40,IF(G1748&lt;26,'General Basis'!$B$41,IF(G1748&lt;31,'General Basis'!$B$42,IF(G1748&lt;36,'General Basis'!$B$43,IF(G1748&lt;41,'General Basis'!$B$44,IF(G1748&lt;46,'General Basis'!$B$45,IF(G1748&lt;51,'General Basis'!$B$46,IF(G1748&lt;56,'General Basis'!$B$47,IF(G1748&lt;60,'General Basis'!$B$48,IF(G1748&lt;65,'General Basis'!$B$49,'General Basis'!$B$50)))))))))))))</f>
        <v/>
      </c>
      <c r="BI1748" s="744" t="str">
        <f t="shared" si="621"/>
        <v/>
      </c>
      <c r="BJ1748" s="747" t="str">
        <f t="shared" si="628"/>
        <v/>
      </c>
      <c r="BK1748" s="498" t="str">
        <f t="shared" si="622"/>
        <v/>
      </c>
      <c r="BL1748" s="498" t="str">
        <f t="shared" si="623"/>
        <v/>
      </c>
    </row>
    <row r="1749" spans="1:64" x14ac:dyDescent="0.25">
      <c r="A1749" s="762">
        <f t="shared" si="624"/>
        <v>1744</v>
      </c>
      <c r="B1749" s="229"/>
      <c r="C1749" s="223"/>
      <c r="D1749" s="224"/>
      <c r="E1749" s="225"/>
      <c r="F1749" s="1036" t="str">
        <f t="shared" si="630"/>
        <v/>
      </c>
      <c r="G1749" s="1037" t="str">
        <f t="shared" si="625"/>
        <v/>
      </c>
      <c r="H1749" s="225"/>
      <c r="I1749" s="1013"/>
      <c r="J1749" s="1013"/>
      <c r="K1749" s="1028"/>
      <c r="L1749" s="1035" t="str">
        <f t="shared" si="629"/>
        <v/>
      </c>
      <c r="S1749" s="498"/>
      <c r="AJ1749" s="498"/>
      <c r="AM1749" s="498">
        <f t="shared" si="610"/>
        <v>0</v>
      </c>
      <c r="AN1749" s="498">
        <f t="shared" si="611"/>
        <v>0</v>
      </c>
      <c r="AO1749" s="498">
        <f t="shared" si="612"/>
        <v>0</v>
      </c>
      <c r="AP1749" s="498">
        <f t="shared" si="631"/>
        <v>0</v>
      </c>
      <c r="AQ1749" s="498">
        <f t="shared" si="626"/>
        <v>0</v>
      </c>
      <c r="AU1749" s="498">
        <f t="shared" si="613"/>
        <v>0</v>
      </c>
      <c r="AV1749" s="498">
        <f t="shared" si="614"/>
        <v>0</v>
      </c>
      <c r="AW1749" s="498">
        <f t="shared" si="615"/>
        <v>0</v>
      </c>
      <c r="AX1749" s="498">
        <f t="shared" si="616"/>
        <v>0</v>
      </c>
      <c r="AY1749" s="498">
        <f t="shared" si="617"/>
        <v>0</v>
      </c>
      <c r="BB1749" s="498" t="str">
        <f t="shared" si="618"/>
        <v/>
      </c>
      <c r="BC1749" s="743" t="str">
        <f t="shared" si="619"/>
        <v/>
      </c>
      <c r="BD1749" s="743" t="str">
        <f t="shared" si="620"/>
        <v/>
      </c>
      <c r="BE1749" s="743" t="str">
        <f>IF(D1749="","",VLOOKUP(D1749,'General Basis'!$J$39:$K$46,2,0))</f>
        <v/>
      </c>
      <c r="BF1749" s="744" t="str">
        <f>IF(D1749="","",VLOOKUP(D1749,'General Basis'!$J$39:$L$46,3,0))</f>
        <v/>
      </c>
      <c r="BG1749" s="744" t="str">
        <f t="shared" si="627"/>
        <v/>
      </c>
      <c r="BH1749" s="744" t="str">
        <f>IF(G1749="","",IF(BF1749="Abu Dhabi",IF(G1749&lt;18,'General Basis'!$C$39,IF(G1749&lt;41,'General Basis'!$C$40,IF(G1749&lt;60,'General Basis'!$C$41,IF(G1749&lt;65,'General Basis'!$C$42,'General Basis'!$C$43)))),IF(G1749&lt;11,'General Basis'!$B$39,IF(G1749&lt;18,'General Basis'!$B$40,IF(G1749&lt;26,'General Basis'!$B$41,IF(G1749&lt;31,'General Basis'!$B$42,IF(G1749&lt;36,'General Basis'!$B$43,IF(G1749&lt;41,'General Basis'!$B$44,IF(G1749&lt;46,'General Basis'!$B$45,IF(G1749&lt;51,'General Basis'!$B$46,IF(G1749&lt;56,'General Basis'!$B$47,IF(G1749&lt;60,'General Basis'!$B$48,IF(G1749&lt;65,'General Basis'!$B$49,'General Basis'!$B$50)))))))))))))</f>
        <v/>
      </c>
      <c r="BI1749" s="744" t="str">
        <f t="shared" si="621"/>
        <v/>
      </c>
      <c r="BJ1749" s="747" t="str">
        <f t="shared" si="628"/>
        <v/>
      </c>
      <c r="BK1749" s="498" t="str">
        <f t="shared" si="622"/>
        <v/>
      </c>
      <c r="BL1749" s="498" t="str">
        <f t="shared" si="623"/>
        <v/>
      </c>
    </row>
    <row r="1750" spans="1:64" x14ac:dyDescent="0.25">
      <c r="A1750" s="762">
        <f t="shared" si="624"/>
        <v>1745</v>
      </c>
      <c r="B1750" s="229"/>
      <c r="C1750" s="223"/>
      <c r="D1750" s="224"/>
      <c r="E1750" s="225"/>
      <c r="F1750" s="1036" t="str">
        <f t="shared" si="630"/>
        <v/>
      </c>
      <c r="G1750" s="1037" t="str">
        <f t="shared" si="625"/>
        <v/>
      </c>
      <c r="H1750" s="225"/>
      <c r="I1750" s="1013"/>
      <c r="J1750" s="1013"/>
      <c r="K1750" s="1028"/>
      <c r="L1750" s="1035" t="str">
        <f t="shared" si="629"/>
        <v/>
      </c>
      <c r="S1750" s="498"/>
      <c r="AJ1750" s="498"/>
      <c r="AM1750" s="498">
        <f t="shared" si="610"/>
        <v>0</v>
      </c>
      <c r="AN1750" s="498">
        <f t="shared" si="611"/>
        <v>0</v>
      </c>
      <c r="AO1750" s="498">
        <f t="shared" si="612"/>
        <v>0</v>
      </c>
      <c r="AP1750" s="498">
        <f t="shared" si="631"/>
        <v>0</v>
      </c>
      <c r="AQ1750" s="498">
        <f t="shared" si="626"/>
        <v>0</v>
      </c>
      <c r="AU1750" s="498">
        <f t="shared" si="613"/>
        <v>0</v>
      </c>
      <c r="AV1750" s="498">
        <f t="shared" si="614"/>
        <v>0</v>
      </c>
      <c r="AW1750" s="498">
        <f t="shared" si="615"/>
        <v>0</v>
      </c>
      <c r="AX1750" s="498">
        <f t="shared" si="616"/>
        <v>0</v>
      </c>
      <c r="AY1750" s="498">
        <f t="shared" si="617"/>
        <v>0</v>
      </c>
      <c r="BB1750" s="498" t="str">
        <f t="shared" si="618"/>
        <v/>
      </c>
      <c r="BC1750" s="743" t="str">
        <f t="shared" si="619"/>
        <v/>
      </c>
      <c r="BD1750" s="743" t="str">
        <f t="shared" si="620"/>
        <v/>
      </c>
      <c r="BE1750" s="743" t="str">
        <f>IF(D1750="","",VLOOKUP(D1750,'General Basis'!$J$39:$K$46,2,0))</f>
        <v/>
      </c>
      <c r="BF1750" s="744" t="str">
        <f>IF(D1750="","",VLOOKUP(D1750,'General Basis'!$J$39:$L$46,3,0))</f>
        <v/>
      </c>
      <c r="BG1750" s="744" t="str">
        <f t="shared" si="627"/>
        <v/>
      </c>
      <c r="BH1750" s="744" t="str">
        <f>IF(G1750="","",IF(BF1750="Abu Dhabi",IF(G1750&lt;18,'General Basis'!$C$39,IF(G1750&lt;41,'General Basis'!$C$40,IF(G1750&lt;60,'General Basis'!$C$41,IF(G1750&lt;65,'General Basis'!$C$42,'General Basis'!$C$43)))),IF(G1750&lt;11,'General Basis'!$B$39,IF(G1750&lt;18,'General Basis'!$B$40,IF(G1750&lt;26,'General Basis'!$B$41,IF(G1750&lt;31,'General Basis'!$B$42,IF(G1750&lt;36,'General Basis'!$B$43,IF(G1750&lt;41,'General Basis'!$B$44,IF(G1750&lt;46,'General Basis'!$B$45,IF(G1750&lt;51,'General Basis'!$B$46,IF(G1750&lt;56,'General Basis'!$B$47,IF(G1750&lt;60,'General Basis'!$B$48,IF(G1750&lt;65,'General Basis'!$B$49,'General Basis'!$B$50)))))))))))))</f>
        <v/>
      </c>
      <c r="BI1750" s="744" t="str">
        <f t="shared" si="621"/>
        <v/>
      </c>
      <c r="BJ1750" s="747" t="str">
        <f t="shared" si="628"/>
        <v/>
      </c>
      <c r="BK1750" s="498" t="str">
        <f t="shared" si="622"/>
        <v/>
      </c>
      <c r="BL1750" s="498" t="str">
        <f t="shared" si="623"/>
        <v/>
      </c>
    </row>
    <row r="1751" spans="1:64" x14ac:dyDescent="0.25">
      <c r="A1751" s="762">
        <f t="shared" si="624"/>
        <v>1746</v>
      </c>
      <c r="B1751" s="229"/>
      <c r="C1751" s="223"/>
      <c r="D1751" s="224"/>
      <c r="E1751" s="225"/>
      <c r="F1751" s="1036" t="str">
        <f t="shared" si="630"/>
        <v/>
      </c>
      <c r="G1751" s="1037" t="str">
        <f t="shared" si="625"/>
        <v/>
      </c>
      <c r="H1751" s="225"/>
      <c r="I1751" s="1013"/>
      <c r="J1751" s="1013"/>
      <c r="K1751" s="1028"/>
      <c r="L1751" s="1035" t="str">
        <f t="shared" si="629"/>
        <v/>
      </c>
      <c r="S1751" s="498"/>
      <c r="AJ1751" s="498"/>
      <c r="AM1751" s="498">
        <f t="shared" si="610"/>
        <v>0</v>
      </c>
      <c r="AN1751" s="498">
        <f t="shared" si="611"/>
        <v>0</v>
      </c>
      <c r="AO1751" s="498">
        <f t="shared" si="612"/>
        <v>0</v>
      </c>
      <c r="AP1751" s="498">
        <f t="shared" si="631"/>
        <v>0</v>
      </c>
      <c r="AQ1751" s="498">
        <f t="shared" si="626"/>
        <v>0</v>
      </c>
      <c r="AU1751" s="498">
        <f t="shared" si="613"/>
        <v>0</v>
      </c>
      <c r="AV1751" s="498">
        <f t="shared" si="614"/>
        <v>0</v>
      </c>
      <c r="AW1751" s="498">
        <f t="shared" si="615"/>
        <v>0</v>
      </c>
      <c r="AX1751" s="498">
        <f t="shared" si="616"/>
        <v>0</v>
      </c>
      <c r="AY1751" s="498">
        <f t="shared" si="617"/>
        <v>0</v>
      </c>
      <c r="BB1751" s="498" t="str">
        <f t="shared" si="618"/>
        <v/>
      </c>
      <c r="BC1751" s="743" t="str">
        <f t="shared" si="619"/>
        <v/>
      </c>
      <c r="BD1751" s="743" t="str">
        <f t="shared" si="620"/>
        <v/>
      </c>
      <c r="BE1751" s="743" t="str">
        <f>IF(D1751="","",VLOOKUP(D1751,'General Basis'!$J$39:$K$46,2,0))</f>
        <v/>
      </c>
      <c r="BF1751" s="744" t="str">
        <f>IF(D1751="","",VLOOKUP(D1751,'General Basis'!$J$39:$L$46,3,0))</f>
        <v/>
      </c>
      <c r="BG1751" s="744" t="str">
        <f t="shared" si="627"/>
        <v/>
      </c>
      <c r="BH1751" s="744" t="str">
        <f>IF(G1751="","",IF(BF1751="Abu Dhabi",IF(G1751&lt;18,'General Basis'!$C$39,IF(G1751&lt;41,'General Basis'!$C$40,IF(G1751&lt;60,'General Basis'!$C$41,IF(G1751&lt;65,'General Basis'!$C$42,'General Basis'!$C$43)))),IF(G1751&lt;11,'General Basis'!$B$39,IF(G1751&lt;18,'General Basis'!$B$40,IF(G1751&lt;26,'General Basis'!$B$41,IF(G1751&lt;31,'General Basis'!$B$42,IF(G1751&lt;36,'General Basis'!$B$43,IF(G1751&lt;41,'General Basis'!$B$44,IF(G1751&lt;46,'General Basis'!$B$45,IF(G1751&lt;51,'General Basis'!$B$46,IF(G1751&lt;56,'General Basis'!$B$47,IF(G1751&lt;60,'General Basis'!$B$48,IF(G1751&lt;65,'General Basis'!$B$49,'General Basis'!$B$50)))))))))))))</f>
        <v/>
      </c>
      <c r="BI1751" s="744" t="str">
        <f t="shared" si="621"/>
        <v/>
      </c>
      <c r="BJ1751" s="747" t="str">
        <f t="shared" si="628"/>
        <v/>
      </c>
      <c r="BK1751" s="498" t="str">
        <f t="shared" si="622"/>
        <v/>
      </c>
      <c r="BL1751" s="498" t="str">
        <f t="shared" si="623"/>
        <v/>
      </c>
    </row>
    <row r="1752" spans="1:64" x14ac:dyDescent="0.25">
      <c r="A1752" s="762">
        <f t="shared" si="624"/>
        <v>1747</v>
      </c>
      <c r="B1752" s="229"/>
      <c r="C1752" s="223"/>
      <c r="D1752" s="224"/>
      <c r="E1752" s="225"/>
      <c r="F1752" s="1036" t="str">
        <f t="shared" si="630"/>
        <v/>
      </c>
      <c r="G1752" s="1037" t="str">
        <f t="shared" si="625"/>
        <v/>
      </c>
      <c r="H1752" s="225"/>
      <c r="I1752" s="1013"/>
      <c r="J1752" s="1013"/>
      <c r="K1752" s="1028"/>
      <c r="L1752" s="1035" t="str">
        <f t="shared" si="629"/>
        <v/>
      </c>
      <c r="S1752" s="498"/>
      <c r="AJ1752" s="498"/>
      <c r="AM1752" s="498">
        <f t="shared" si="610"/>
        <v>0</v>
      </c>
      <c r="AN1752" s="498">
        <f t="shared" si="611"/>
        <v>0</v>
      </c>
      <c r="AO1752" s="498">
        <f t="shared" si="612"/>
        <v>0</v>
      </c>
      <c r="AP1752" s="498">
        <f t="shared" si="631"/>
        <v>0</v>
      </c>
      <c r="AQ1752" s="498">
        <f t="shared" si="626"/>
        <v>0</v>
      </c>
      <c r="AU1752" s="498">
        <f t="shared" si="613"/>
        <v>0</v>
      </c>
      <c r="AV1752" s="498">
        <f t="shared" si="614"/>
        <v>0</v>
      </c>
      <c r="AW1752" s="498">
        <f t="shared" si="615"/>
        <v>0</v>
      </c>
      <c r="AX1752" s="498">
        <f t="shared" si="616"/>
        <v>0</v>
      </c>
      <c r="AY1752" s="498">
        <f t="shared" si="617"/>
        <v>0</v>
      </c>
      <c r="BB1752" s="498" t="str">
        <f t="shared" si="618"/>
        <v/>
      </c>
      <c r="BC1752" s="743" t="str">
        <f t="shared" si="619"/>
        <v/>
      </c>
      <c r="BD1752" s="743" t="str">
        <f t="shared" si="620"/>
        <v/>
      </c>
      <c r="BE1752" s="743" t="str">
        <f>IF(D1752="","",VLOOKUP(D1752,'General Basis'!$J$39:$K$46,2,0))</f>
        <v/>
      </c>
      <c r="BF1752" s="744" t="str">
        <f>IF(D1752="","",VLOOKUP(D1752,'General Basis'!$J$39:$L$46,3,0))</f>
        <v/>
      </c>
      <c r="BG1752" s="744" t="str">
        <f t="shared" si="627"/>
        <v/>
      </c>
      <c r="BH1752" s="744" t="str">
        <f>IF(G1752="","",IF(BF1752="Abu Dhabi",IF(G1752&lt;18,'General Basis'!$C$39,IF(G1752&lt;41,'General Basis'!$C$40,IF(G1752&lt;60,'General Basis'!$C$41,IF(G1752&lt;65,'General Basis'!$C$42,'General Basis'!$C$43)))),IF(G1752&lt;11,'General Basis'!$B$39,IF(G1752&lt;18,'General Basis'!$B$40,IF(G1752&lt;26,'General Basis'!$B$41,IF(G1752&lt;31,'General Basis'!$B$42,IF(G1752&lt;36,'General Basis'!$B$43,IF(G1752&lt;41,'General Basis'!$B$44,IF(G1752&lt;46,'General Basis'!$B$45,IF(G1752&lt;51,'General Basis'!$B$46,IF(G1752&lt;56,'General Basis'!$B$47,IF(G1752&lt;60,'General Basis'!$B$48,IF(G1752&lt;65,'General Basis'!$B$49,'General Basis'!$B$50)))))))))))))</f>
        <v/>
      </c>
      <c r="BI1752" s="744" t="str">
        <f t="shared" si="621"/>
        <v/>
      </c>
      <c r="BJ1752" s="747" t="str">
        <f t="shared" si="628"/>
        <v/>
      </c>
      <c r="BK1752" s="498" t="str">
        <f t="shared" si="622"/>
        <v/>
      </c>
      <c r="BL1752" s="498" t="str">
        <f t="shared" si="623"/>
        <v/>
      </c>
    </row>
    <row r="1753" spans="1:64" x14ac:dyDescent="0.25">
      <c r="A1753" s="762">
        <f t="shared" si="624"/>
        <v>1748</v>
      </c>
      <c r="B1753" s="229"/>
      <c r="C1753" s="223"/>
      <c r="D1753" s="224"/>
      <c r="E1753" s="225"/>
      <c r="F1753" s="1036" t="str">
        <f t="shared" si="630"/>
        <v/>
      </c>
      <c r="G1753" s="1037" t="str">
        <f t="shared" si="625"/>
        <v/>
      </c>
      <c r="H1753" s="225"/>
      <c r="I1753" s="1013"/>
      <c r="J1753" s="1013"/>
      <c r="K1753" s="1028"/>
      <c r="L1753" s="1035" t="str">
        <f t="shared" si="629"/>
        <v/>
      </c>
      <c r="S1753" s="498"/>
      <c r="AJ1753" s="498"/>
      <c r="AM1753" s="498">
        <f t="shared" si="610"/>
        <v>0</v>
      </c>
      <c r="AN1753" s="498">
        <f t="shared" si="611"/>
        <v>0</v>
      </c>
      <c r="AO1753" s="498">
        <f t="shared" si="612"/>
        <v>0</v>
      </c>
      <c r="AP1753" s="498">
        <f t="shared" si="631"/>
        <v>0</v>
      </c>
      <c r="AQ1753" s="498">
        <f t="shared" si="626"/>
        <v>0</v>
      </c>
      <c r="AU1753" s="498">
        <f t="shared" si="613"/>
        <v>0</v>
      </c>
      <c r="AV1753" s="498">
        <f t="shared" si="614"/>
        <v>0</v>
      </c>
      <c r="AW1753" s="498">
        <f t="shared" si="615"/>
        <v>0</v>
      </c>
      <c r="AX1753" s="498">
        <f t="shared" si="616"/>
        <v>0</v>
      </c>
      <c r="AY1753" s="498">
        <f t="shared" si="617"/>
        <v>0</v>
      </c>
      <c r="BB1753" s="498" t="str">
        <f t="shared" si="618"/>
        <v/>
      </c>
      <c r="BC1753" s="743" t="str">
        <f t="shared" si="619"/>
        <v/>
      </c>
      <c r="BD1753" s="743" t="str">
        <f t="shared" si="620"/>
        <v/>
      </c>
      <c r="BE1753" s="743" t="str">
        <f>IF(D1753="","",VLOOKUP(D1753,'General Basis'!$J$39:$K$46,2,0))</f>
        <v/>
      </c>
      <c r="BF1753" s="744" t="str">
        <f>IF(D1753="","",VLOOKUP(D1753,'General Basis'!$J$39:$L$46,3,0))</f>
        <v/>
      </c>
      <c r="BG1753" s="744" t="str">
        <f t="shared" si="627"/>
        <v/>
      </c>
      <c r="BH1753" s="744" t="str">
        <f>IF(G1753="","",IF(BF1753="Abu Dhabi",IF(G1753&lt;18,'General Basis'!$C$39,IF(G1753&lt;41,'General Basis'!$C$40,IF(G1753&lt;60,'General Basis'!$C$41,IF(G1753&lt;65,'General Basis'!$C$42,'General Basis'!$C$43)))),IF(G1753&lt;11,'General Basis'!$B$39,IF(G1753&lt;18,'General Basis'!$B$40,IF(G1753&lt;26,'General Basis'!$B$41,IF(G1753&lt;31,'General Basis'!$B$42,IF(G1753&lt;36,'General Basis'!$B$43,IF(G1753&lt;41,'General Basis'!$B$44,IF(G1753&lt;46,'General Basis'!$B$45,IF(G1753&lt;51,'General Basis'!$B$46,IF(G1753&lt;56,'General Basis'!$B$47,IF(G1753&lt;60,'General Basis'!$B$48,IF(G1753&lt;65,'General Basis'!$B$49,'General Basis'!$B$50)))))))))))))</f>
        <v/>
      </c>
      <c r="BI1753" s="744" t="str">
        <f t="shared" si="621"/>
        <v/>
      </c>
      <c r="BJ1753" s="747" t="str">
        <f t="shared" si="628"/>
        <v/>
      </c>
      <c r="BK1753" s="498" t="str">
        <f t="shared" si="622"/>
        <v/>
      </c>
      <c r="BL1753" s="498" t="str">
        <f t="shared" si="623"/>
        <v/>
      </c>
    </row>
    <row r="1754" spans="1:64" x14ac:dyDescent="0.25">
      <c r="A1754" s="762">
        <f t="shared" si="624"/>
        <v>1749</v>
      </c>
      <c r="B1754" s="229"/>
      <c r="C1754" s="223"/>
      <c r="D1754" s="224"/>
      <c r="E1754" s="225"/>
      <c r="F1754" s="1036" t="str">
        <f t="shared" si="630"/>
        <v/>
      </c>
      <c r="G1754" s="1037" t="str">
        <f t="shared" si="625"/>
        <v/>
      </c>
      <c r="H1754" s="225"/>
      <c r="I1754" s="1013"/>
      <c r="J1754" s="1013"/>
      <c r="K1754" s="1028"/>
      <c r="L1754" s="1035" t="str">
        <f t="shared" si="629"/>
        <v/>
      </c>
      <c r="S1754" s="498"/>
      <c r="AJ1754" s="498"/>
      <c r="AM1754" s="498">
        <f t="shared" si="610"/>
        <v>0</v>
      </c>
      <c r="AN1754" s="498">
        <f t="shared" si="611"/>
        <v>0</v>
      </c>
      <c r="AO1754" s="498">
        <f t="shared" si="612"/>
        <v>0</v>
      </c>
      <c r="AP1754" s="498">
        <f t="shared" si="631"/>
        <v>0</v>
      </c>
      <c r="AQ1754" s="498">
        <f t="shared" si="626"/>
        <v>0</v>
      </c>
      <c r="AU1754" s="498">
        <f t="shared" si="613"/>
        <v>0</v>
      </c>
      <c r="AV1754" s="498">
        <f t="shared" si="614"/>
        <v>0</v>
      </c>
      <c r="AW1754" s="498">
        <f t="shared" si="615"/>
        <v>0</v>
      </c>
      <c r="AX1754" s="498">
        <f t="shared" si="616"/>
        <v>0</v>
      </c>
      <c r="AY1754" s="498">
        <f t="shared" si="617"/>
        <v>0</v>
      </c>
      <c r="BB1754" s="498" t="str">
        <f t="shared" si="618"/>
        <v/>
      </c>
      <c r="BC1754" s="743" t="str">
        <f t="shared" si="619"/>
        <v/>
      </c>
      <c r="BD1754" s="743" t="str">
        <f t="shared" si="620"/>
        <v/>
      </c>
      <c r="BE1754" s="743" t="str">
        <f>IF(D1754="","",VLOOKUP(D1754,'General Basis'!$J$39:$K$46,2,0))</f>
        <v/>
      </c>
      <c r="BF1754" s="744" t="str">
        <f>IF(D1754="","",VLOOKUP(D1754,'General Basis'!$J$39:$L$46,3,0))</f>
        <v/>
      </c>
      <c r="BG1754" s="744" t="str">
        <f t="shared" si="627"/>
        <v/>
      </c>
      <c r="BH1754" s="744" t="str">
        <f>IF(G1754="","",IF(BF1754="Abu Dhabi",IF(G1754&lt;18,'General Basis'!$C$39,IF(G1754&lt;41,'General Basis'!$C$40,IF(G1754&lt;60,'General Basis'!$C$41,IF(G1754&lt;65,'General Basis'!$C$42,'General Basis'!$C$43)))),IF(G1754&lt;11,'General Basis'!$B$39,IF(G1754&lt;18,'General Basis'!$B$40,IF(G1754&lt;26,'General Basis'!$B$41,IF(G1754&lt;31,'General Basis'!$B$42,IF(G1754&lt;36,'General Basis'!$B$43,IF(G1754&lt;41,'General Basis'!$B$44,IF(G1754&lt;46,'General Basis'!$B$45,IF(G1754&lt;51,'General Basis'!$B$46,IF(G1754&lt;56,'General Basis'!$B$47,IF(G1754&lt;60,'General Basis'!$B$48,IF(G1754&lt;65,'General Basis'!$B$49,'General Basis'!$B$50)))))))))))))</f>
        <v/>
      </c>
      <c r="BI1754" s="744" t="str">
        <f t="shared" si="621"/>
        <v/>
      </c>
      <c r="BJ1754" s="747" t="str">
        <f t="shared" si="628"/>
        <v/>
      </c>
      <c r="BK1754" s="498" t="str">
        <f t="shared" si="622"/>
        <v/>
      </c>
      <c r="BL1754" s="498" t="str">
        <f t="shared" si="623"/>
        <v/>
      </c>
    </row>
    <row r="1755" spans="1:64" x14ac:dyDescent="0.25">
      <c r="A1755" s="762">
        <f t="shared" si="624"/>
        <v>1750</v>
      </c>
      <c r="B1755" s="229"/>
      <c r="C1755" s="223"/>
      <c r="D1755" s="224"/>
      <c r="E1755" s="225"/>
      <c r="F1755" s="1036" t="str">
        <f t="shared" si="630"/>
        <v/>
      </c>
      <c r="G1755" s="1037" t="str">
        <f t="shared" si="625"/>
        <v/>
      </c>
      <c r="H1755" s="225"/>
      <c r="I1755" s="1013"/>
      <c r="J1755" s="1013"/>
      <c r="K1755" s="1028"/>
      <c r="L1755" s="1035" t="str">
        <f t="shared" si="629"/>
        <v/>
      </c>
      <c r="S1755" s="498"/>
      <c r="AJ1755" s="498"/>
      <c r="AM1755" s="498">
        <f t="shared" si="610"/>
        <v>0</v>
      </c>
      <c r="AN1755" s="498">
        <f t="shared" si="611"/>
        <v>0</v>
      </c>
      <c r="AO1755" s="498">
        <f t="shared" si="612"/>
        <v>0</v>
      </c>
      <c r="AP1755" s="498">
        <f t="shared" si="631"/>
        <v>0</v>
      </c>
      <c r="AQ1755" s="498">
        <f t="shared" si="626"/>
        <v>0</v>
      </c>
      <c r="AU1755" s="498">
        <f t="shared" si="613"/>
        <v>0</v>
      </c>
      <c r="AV1755" s="498">
        <f t="shared" si="614"/>
        <v>0</v>
      </c>
      <c r="AW1755" s="498">
        <f t="shared" si="615"/>
        <v>0</v>
      </c>
      <c r="AX1755" s="498">
        <f t="shared" si="616"/>
        <v>0</v>
      </c>
      <c r="AY1755" s="498">
        <f t="shared" si="617"/>
        <v>0</v>
      </c>
      <c r="BB1755" s="498" t="str">
        <f t="shared" si="618"/>
        <v/>
      </c>
      <c r="BC1755" s="743" t="str">
        <f t="shared" si="619"/>
        <v/>
      </c>
      <c r="BD1755" s="743" t="str">
        <f t="shared" si="620"/>
        <v/>
      </c>
      <c r="BE1755" s="743" t="str">
        <f>IF(D1755="","",VLOOKUP(D1755,'General Basis'!$J$39:$K$46,2,0))</f>
        <v/>
      </c>
      <c r="BF1755" s="744" t="str">
        <f>IF(D1755="","",VLOOKUP(D1755,'General Basis'!$J$39:$L$46,3,0))</f>
        <v/>
      </c>
      <c r="BG1755" s="744" t="str">
        <f t="shared" si="627"/>
        <v/>
      </c>
      <c r="BH1755" s="744" t="str">
        <f>IF(G1755="","",IF(BF1755="Abu Dhabi",IF(G1755&lt;18,'General Basis'!$C$39,IF(G1755&lt;41,'General Basis'!$C$40,IF(G1755&lt;60,'General Basis'!$C$41,IF(G1755&lt;65,'General Basis'!$C$42,'General Basis'!$C$43)))),IF(G1755&lt;11,'General Basis'!$B$39,IF(G1755&lt;18,'General Basis'!$B$40,IF(G1755&lt;26,'General Basis'!$B$41,IF(G1755&lt;31,'General Basis'!$B$42,IF(G1755&lt;36,'General Basis'!$B$43,IF(G1755&lt;41,'General Basis'!$B$44,IF(G1755&lt;46,'General Basis'!$B$45,IF(G1755&lt;51,'General Basis'!$B$46,IF(G1755&lt;56,'General Basis'!$B$47,IF(G1755&lt;60,'General Basis'!$B$48,IF(G1755&lt;65,'General Basis'!$B$49,'General Basis'!$B$50)))))))))))))</f>
        <v/>
      </c>
      <c r="BI1755" s="744" t="str">
        <f t="shared" si="621"/>
        <v/>
      </c>
      <c r="BJ1755" s="747" t="str">
        <f t="shared" si="628"/>
        <v/>
      </c>
      <c r="BK1755" s="498" t="str">
        <f t="shared" si="622"/>
        <v/>
      </c>
      <c r="BL1755" s="498" t="str">
        <f t="shared" si="623"/>
        <v/>
      </c>
    </row>
    <row r="1756" spans="1:64" x14ac:dyDescent="0.25">
      <c r="A1756" s="762">
        <f t="shared" si="624"/>
        <v>1751</v>
      </c>
      <c r="B1756" s="229"/>
      <c r="C1756" s="223"/>
      <c r="D1756" s="224"/>
      <c r="E1756" s="225"/>
      <c r="F1756" s="1036" t="str">
        <f t="shared" si="630"/>
        <v/>
      </c>
      <c r="G1756" s="1037" t="str">
        <f t="shared" si="625"/>
        <v/>
      </c>
      <c r="H1756" s="225"/>
      <c r="I1756" s="1013"/>
      <c r="J1756" s="1013"/>
      <c r="K1756" s="1028"/>
      <c r="L1756" s="1035" t="str">
        <f t="shared" si="629"/>
        <v/>
      </c>
      <c r="S1756" s="498"/>
      <c r="AJ1756" s="498"/>
      <c r="AM1756" s="498">
        <f t="shared" si="610"/>
        <v>0</v>
      </c>
      <c r="AN1756" s="498">
        <f t="shared" si="611"/>
        <v>0</v>
      </c>
      <c r="AO1756" s="498">
        <f t="shared" si="612"/>
        <v>0</v>
      </c>
      <c r="AP1756" s="498">
        <f t="shared" si="631"/>
        <v>0</v>
      </c>
      <c r="AQ1756" s="498">
        <f t="shared" si="626"/>
        <v>0</v>
      </c>
      <c r="AU1756" s="498">
        <f t="shared" si="613"/>
        <v>0</v>
      </c>
      <c r="AV1756" s="498">
        <f t="shared" si="614"/>
        <v>0</v>
      </c>
      <c r="AW1756" s="498">
        <f t="shared" si="615"/>
        <v>0</v>
      </c>
      <c r="AX1756" s="498">
        <f t="shared" si="616"/>
        <v>0</v>
      </c>
      <c r="AY1756" s="498">
        <f t="shared" si="617"/>
        <v>0</v>
      </c>
      <c r="BB1756" s="498" t="str">
        <f t="shared" si="618"/>
        <v/>
      </c>
      <c r="BC1756" s="743" t="str">
        <f t="shared" si="619"/>
        <v/>
      </c>
      <c r="BD1756" s="743" t="str">
        <f t="shared" si="620"/>
        <v/>
      </c>
      <c r="BE1756" s="743" t="str">
        <f>IF(D1756="","",VLOOKUP(D1756,'General Basis'!$J$39:$K$46,2,0))</f>
        <v/>
      </c>
      <c r="BF1756" s="744" t="str">
        <f>IF(D1756="","",VLOOKUP(D1756,'General Basis'!$J$39:$L$46,3,0))</f>
        <v/>
      </c>
      <c r="BG1756" s="744" t="str">
        <f t="shared" si="627"/>
        <v/>
      </c>
      <c r="BH1756" s="744" t="str">
        <f>IF(G1756="","",IF(BF1756="Abu Dhabi",IF(G1756&lt;18,'General Basis'!$C$39,IF(G1756&lt;41,'General Basis'!$C$40,IF(G1756&lt;60,'General Basis'!$C$41,IF(G1756&lt;65,'General Basis'!$C$42,'General Basis'!$C$43)))),IF(G1756&lt;11,'General Basis'!$B$39,IF(G1756&lt;18,'General Basis'!$B$40,IF(G1756&lt;26,'General Basis'!$B$41,IF(G1756&lt;31,'General Basis'!$B$42,IF(G1756&lt;36,'General Basis'!$B$43,IF(G1756&lt;41,'General Basis'!$B$44,IF(G1756&lt;46,'General Basis'!$B$45,IF(G1756&lt;51,'General Basis'!$B$46,IF(G1756&lt;56,'General Basis'!$B$47,IF(G1756&lt;60,'General Basis'!$B$48,IF(G1756&lt;65,'General Basis'!$B$49,'General Basis'!$B$50)))))))))))))</f>
        <v/>
      </c>
      <c r="BI1756" s="744" t="str">
        <f t="shared" si="621"/>
        <v/>
      </c>
      <c r="BJ1756" s="747" t="str">
        <f t="shared" si="628"/>
        <v/>
      </c>
      <c r="BK1756" s="498" t="str">
        <f t="shared" si="622"/>
        <v/>
      </c>
      <c r="BL1756" s="498" t="str">
        <f t="shared" si="623"/>
        <v/>
      </c>
    </row>
    <row r="1757" spans="1:64" x14ac:dyDescent="0.25">
      <c r="A1757" s="762">
        <f t="shared" si="624"/>
        <v>1752</v>
      </c>
      <c r="B1757" s="229"/>
      <c r="C1757" s="223"/>
      <c r="D1757" s="224"/>
      <c r="E1757" s="225"/>
      <c r="F1757" s="1036" t="str">
        <f t="shared" si="630"/>
        <v/>
      </c>
      <c r="G1757" s="1037" t="str">
        <f t="shared" si="625"/>
        <v/>
      </c>
      <c r="H1757" s="225"/>
      <c r="I1757" s="1013"/>
      <c r="J1757" s="1013"/>
      <c r="K1757" s="1028"/>
      <c r="L1757" s="1035" t="str">
        <f t="shared" si="629"/>
        <v/>
      </c>
      <c r="S1757" s="498"/>
      <c r="AJ1757" s="498"/>
      <c r="AM1757" s="498">
        <f t="shared" si="610"/>
        <v>0</v>
      </c>
      <c r="AN1757" s="498">
        <f t="shared" si="611"/>
        <v>0</v>
      </c>
      <c r="AO1757" s="498">
        <f t="shared" si="612"/>
        <v>0</v>
      </c>
      <c r="AP1757" s="498">
        <f t="shared" si="631"/>
        <v>0</v>
      </c>
      <c r="AQ1757" s="498">
        <f t="shared" si="626"/>
        <v>0</v>
      </c>
      <c r="AU1757" s="498">
        <f t="shared" si="613"/>
        <v>0</v>
      </c>
      <c r="AV1757" s="498">
        <f t="shared" si="614"/>
        <v>0</v>
      </c>
      <c r="AW1757" s="498">
        <f t="shared" si="615"/>
        <v>0</v>
      </c>
      <c r="AX1757" s="498">
        <f t="shared" si="616"/>
        <v>0</v>
      </c>
      <c r="AY1757" s="498">
        <f t="shared" si="617"/>
        <v>0</v>
      </c>
      <c r="BB1757" s="498" t="str">
        <f t="shared" si="618"/>
        <v/>
      </c>
      <c r="BC1757" s="743" t="str">
        <f t="shared" si="619"/>
        <v/>
      </c>
      <c r="BD1757" s="743" t="str">
        <f t="shared" si="620"/>
        <v/>
      </c>
      <c r="BE1757" s="743" t="str">
        <f>IF(D1757="","",VLOOKUP(D1757,'General Basis'!$J$39:$K$46,2,0))</f>
        <v/>
      </c>
      <c r="BF1757" s="744" t="str">
        <f>IF(D1757="","",VLOOKUP(D1757,'General Basis'!$J$39:$L$46,3,0))</f>
        <v/>
      </c>
      <c r="BG1757" s="744" t="str">
        <f t="shared" si="627"/>
        <v/>
      </c>
      <c r="BH1757" s="744" t="str">
        <f>IF(G1757="","",IF(BF1757="Abu Dhabi",IF(G1757&lt;18,'General Basis'!$C$39,IF(G1757&lt;41,'General Basis'!$C$40,IF(G1757&lt;60,'General Basis'!$C$41,IF(G1757&lt;65,'General Basis'!$C$42,'General Basis'!$C$43)))),IF(G1757&lt;11,'General Basis'!$B$39,IF(G1757&lt;18,'General Basis'!$B$40,IF(G1757&lt;26,'General Basis'!$B$41,IF(G1757&lt;31,'General Basis'!$B$42,IF(G1757&lt;36,'General Basis'!$B$43,IF(G1757&lt;41,'General Basis'!$B$44,IF(G1757&lt;46,'General Basis'!$B$45,IF(G1757&lt;51,'General Basis'!$B$46,IF(G1757&lt;56,'General Basis'!$B$47,IF(G1757&lt;60,'General Basis'!$B$48,IF(G1757&lt;65,'General Basis'!$B$49,'General Basis'!$B$50)))))))))))))</f>
        <v/>
      </c>
      <c r="BI1757" s="744" t="str">
        <f t="shared" si="621"/>
        <v/>
      </c>
      <c r="BJ1757" s="747" t="str">
        <f t="shared" si="628"/>
        <v/>
      </c>
      <c r="BK1757" s="498" t="str">
        <f t="shared" si="622"/>
        <v/>
      </c>
      <c r="BL1757" s="498" t="str">
        <f t="shared" si="623"/>
        <v/>
      </c>
    </row>
    <row r="1758" spans="1:64" x14ac:dyDescent="0.25">
      <c r="A1758" s="762">
        <f t="shared" si="624"/>
        <v>1753</v>
      </c>
      <c r="B1758" s="229"/>
      <c r="C1758" s="223"/>
      <c r="D1758" s="224"/>
      <c r="E1758" s="225"/>
      <c r="F1758" s="1036" t="str">
        <f t="shared" si="630"/>
        <v/>
      </c>
      <c r="G1758" s="1037" t="str">
        <f t="shared" si="625"/>
        <v/>
      </c>
      <c r="H1758" s="225"/>
      <c r="I1758" s="1013"/>
      <c r="J1758" s="1013"/>
      <c r="K1758" s="1028"/>
      <c r="L1758" s="1035" t="str">
        <f t="shared" si="629"/>
        <v/>
      </c>
      <c r="S1758" s="498"/>
      <c r="AJ1758" s="498"/>
      <c r="AM1758" s="498">
        <f t="shared" si="610"/>
        <v>0</v>
      </c>
      <c r="AN1758" s="498">
        <f t="shared" si="611"/>
        <v>0</v>
      </c>
      <c r="AO1758" s="498">
        <f t="shared" si="612"/>
        <v>0</v>
      </c>
      <c r="AP1758" s="498">
        <f t="shared" si="631"/>
        <v>0</v>
      </c>
      <c r="AQ1758" s="498">
        <f t="shared" si="626"/>
        <v>0</v>
      </c>
      <c r="AU1758" s="498">
        <f t="shared" si="613"/>
        <v>0</v>
      </c>
      <c r="AV1758" s="498">
        <f t="shared" si="614"/>
        <v>0</v>
      </c>
      <c r="AW1758" s="498">
        <f t="shared" si="615"/>
        <v>0</v>
      </c>
      <c r="AX1758" s="498">
        <f t="shared" si="616"/>
        <v>0</v>
      </c>
      <c r="AY1758" s="498">
        <f t="shared" si="617"/>
        <v>0</v>
      </c>
      <c r="BB1758" s="498" t="str">
        <f t="shared" si="618"/>
        <v/>
      </c>
      <c r="BC1758" s="743" t="str">
        <f t="shared" si="619"/>
        <v/>
      </c>
      <c r="BD1758" s="743" t="str">
        <f t="shared" si="620"/>
        <v/>
      </c>
      <c r="BE1758" s="743" t="str">
        <f>IF(D1758="","",VLOOKUP(D1758,'General Basis'!$J$39:$K$46,2,0))</f>
        <v/>
      </c>
      <c r="BF1758" s="744" t="str">
        <f>IF(D1758="","",VLOOKUP(D1758,'General Basis'!$J$39:$L$46,3,0))</f>
        <v/>
      </c>
      <c r="BG1758" s="744" t="str">
        <f t="shared" si="627"/>
        <v/>
      </c>
      <c r="BH1758" s="744" t="str">
        <f>IF(G1758="","",IF(BF1758="Abu Dhabi",IF(G1758&lt;18,'General Basis'!$C$39,IF(G1758&lt;41,'General Basis'!$C$40,IF(G1758&lt;60,'General Basis'!$C$41,IF(G1758&lt;65,'General Basis'!$C$42,'General Basis'!$C$43)))),IF(G1758&lt;11,'General Basis'!$B$39,IF(G1758&lt;18,'General Basis'!$B$40,IF(G1758&lt;26,'General Basis'!$B$41,IF(G1758&lt;31,'General Basis'!$B$42,IF(G1758&lt;36,'General Basis'!$B$43,IF(G1758&lt;41,'General Basis'!$B$44,IF(G1758&lt;46,'General Basis'!$B$45,IF(G1758&lt;51,'General Basis'!$B$46,IF(G1758&lt;56,'General Basis'!$B$47,IF(G1758&lt;60,'General Basis'!$B$48,IF(G1758&lt;65,'General Basis'!$B$49,'General Basis'!$B$50)))))))))))))</f>
        <v/>
      </c>
      <c r="BI1758" s="744" t="str">
        <f t="shared" si="621"/>
        <v/>
      </c>
      <c r="BJ1758" s="747" t="str">
        <f t="shared" si="628"/>
        <v/>
      </c>
      <c r="BK1758" s="498" t="str">
        <f t="shared" si="622"/>
        <v/>
      </c>
      <c r="BL1758" s="498" t="str">
        <f t="shared" si="623"/>
        <v/>
      </c>
    </row>
    <row r="1759" spans="1:64" x14ac:dyDescent="0.25">
      <c r="A1759" s="762">
        <f t="shared" si="624"/>
        <v>1754</v>
      </c>
      <c r="B1759" s="229"/>
      <c r="C1759" s="223"/>
      <c r="D1759" s="224"/>
      <c r="E1759" s="225"/>
      <c r="F1759" s="1036" t="str">
        <f t="shared" si="630"/>
        <v/>
      </c>
      <c r="G1759" s="1037" t="str">
        <f t="shared" si="625"/>
        <v/>
      </c>
      <c r="H1759" s="225"/>
      <c r="I1759" s="1013"/>
      <c r="J1759" s="1013"/>
      <c r="K1759" s="1028"/>
      <c r="L1759" s="1035" t="str">
        <f t="shared" si="629"/>
        <v/>
      </c>
      <c r="S1759" s="498"/>
      <c r="AJ1759" s="498"/>
      <c r="AM1759" s="498">
        <f t="shared" si="610"/>
        <v>0</v>
      </c>
      <c r="AN1759" s="498">
        <f t="shared" si="611"/>
        <v>0</v>
      </c>
      <c r="AO1759" s="498">
        <f t="shared" si="612"/>
        <v>0</v>
      </c>
      <c r="AP1759" s="498">
        <f t="shared" si="631"/>
        <v>0</v>
      </c>
      <c r="AQ1759" s="498">
        <f t="shared" si="626"/>
        <v>0</v>
      </c>
      <c r="AU1759" s="498">
        <f t="shared" si="613"/>
        <v>0</v>
      </c>
      <c r="AV1759" s="498">
        <f t="shared" si="614"/>
        <v>0</v>
      </c>
      <c r="AW1759" s="498">
        <f t="shared" si="615"/>
        <v>0</v>
      </c>
      <c r="AX1759" s="498">
        <f t="shared" si="616"/>
        <v>0</v>
      </c>
      <c r="AY1759" s="498">
        <f t="shared" si="617"/>
        <v>0</v>
      </c>
      <c r="BB1759" s="498" t="str">
        <f t="shared" si="618"/>
        <v/>
      </c>
      <c r="BC1759" s="743" t="str">
        <f t="shared" si="619"/>
        <v/>
      </c>
      <c r="BD1759" s="743" t="str">
        <f t="shared" si="620"/>
        <v/>
      </c>
      <c r="BE1759" s="743" t="str">
        <f>IF(D1759="","",VLOOKUP(D1759,'General Basis'!$J$39:$K$46,2,0))</f>
        <v/>
      </c>
      <c r="BF1759" s="744" t="str">
        <f>IF(D1759="","",VLOOKUP(D1759,'General Basis'!$J$39:$L$46,3,0))</f>
        <v/>
      </c>
      <c r="BG1759" s="744" t="str">
        <f t="shared" si="627"/>
        <v/>
      </c>
      <c r="BH1759" s="744" t="str">
        <f>IF(G1759="","",IF(BF1759="Abu Dhabi",IF(G1759&lt;18,'General Basis'!$C$39,IF(G1759&lt;41,'General Basis'!$C$40,IF(G1759&lt;60,'General Basis'!$C$41,IF(G1759&lt;65,'General Basis'!$C$42,'General Basis'!$C$43)))),IF(G1759&lt;11,'General Basis'!$B$39,IF(G1759&lt;18,'General Basis'!$B$40,IF(G1759&lt;26,'General Basis'!$B$41,IF(G1759&lt;31,'General Basis'!$B$42,IF(G1759&lt;36,'General Basis'!$B$43,IF(G1759&lt;41,'General Basis'!$B$44,IF(G1759&lt;46,'General Basis'!$B$45,IF(G1759&lt;51,'General Basis'!$B$46,IF(G1759&lt;56,'General Basis'!$B$47,IF(G1759&lt;60,'General Basis'!$B$48,IF(G1759&lt;65,'General Basis'!$B$49,'General Basis'!$B$50)))))))))))))</f>
        <v/>
      </c>
      <c r="BI1759" s="744" t="str">
        <f t="shared" si="621"/>
        <v/>
      </c>
      <c r="BJ1759" s="747" t="str">
        <f t="shared" si="628"/>
        <v/>
      </c>
      <c r="BK1759" s="498" t="str">
        <f t="shared" si="622"/>
        <v/>
      </c>
      <c r="BL1759" s="498" t="str">
        <f t="shared" si="623"/>
        <v/>
      </c>
    </row>
    <row r="1760" spans="1:64" x14ac:dyDescent="0.25">
      <c r="A1760" s="762">
        <f t="shared" si="624"/>
        <v>1755</v>
      </c>
      <c r="B1760" s="229"/>
      <c r="C1760" s="223"/>
      <c r="D1760" s="224"/>
      <c r="E1760" s="225"/>
      <c r="F1760" s="1036" t="str">
        <f t="shared" si="630"/>
        <v/>
      </c>
      <c r="G1760" s="1037" t="str">
        <f t="shared" si="625"/>
        <v/>
      </c>
      <c r="H1760" s="225"/>
      <c r="I1760" s="1013"/>
      <c r="J1760" s="1013"/>
      <c r="K1760" s="1028"/>
      <c r="L1760" s="1035" t="str">
        <f t="shared" si="629"/>
        <v/>
      </c>
      <c r="S1760" s="498"/>
      <c r="AJ1760" s="498"/>
      <c r="AM1760" s="498">
        <f t="shared" si="610"/>
        <v>0</v>
      </c>
      <c r="AN1760" s="498">
        <f t="shared" si="611"/>
        <v>0</v>
      </c>
      <c r="AO1760" s="498">
        <f t="shared" si="612"/>
        <v>0</v>
      </c>
      <c r="AP1760" s="498">
        <f t="shared" si="631"/>
        <v>0</v>
      </c>
      <c r="AQ1760" s="498">
        <f t="shared" si="626"/>
        <v>0</v>
      </c>
      <c r="AU1760" s="498">
        <f t="shared" si="613"/>
        <v>0</v>
      </c>
      <c r="AV1760" s="498">
        <f t="shared" si="614"/>
        <v>0</v>
      </c>
      <c r="AW1760" s="498">
        <f t="shared" si="615"/>
        <v>0</v>
      </c>
      <c r="AX1760" s="498">
        <f t="shared" si="616"/>
        <v>0</v>
      </c>
      <c r="AY1760" s="498">
        <f t="shared" si="617"/>
        <v>0</v>
      </c>
      <c r="BB1760" s="498" t="str">
        <f t="shared" si="618"/>
        <v/>
      </c>
      <c r="BC1760" s="743" t="str">
        <f t="shared" si="619"/>
        <v/>
      </c>
      <c r="BD1760" s="743" t="str">
        <f t="shared" si="620"/>
        <v/>
      </c>
      <c r="BE1760" s="743" t="str">
        <f>IF(D1760="","",VLOOKUP(D1760,'General Basis'!$J$39:$K$46,2,0))</f>
        <v/>
      </c>
      <c r="BF1760" s="744" t="str">
        <f>IF(D1760="","",VLOOKUP(D1760,'General Basis'!$J$39:$L$46,3,0))</f>
        <v/>
      </c>
      <c r="BG1760" s="744" t="str">
        <f t="shared" si="627"/>
        <v/>
      </c>
      <c r="BH1760" s="744" t="str">
        <f>IF(G1760="","",IF(BF1760="Abu Dhabi",IF(G1760&lt;18,'General Basis'!$C$39,IF(G1760&lt;41,'General Basis'!$C$40,IF(G1760&lt;60,'General Basis'!$C$41,IF(G1760&lt;65,'General Basis'!$C$42,'General Basis'!$C$43)))),IF(G1760&lt;11,'General Basis'!$B$39,IF(G1760&lt;18,'General Basis'!$B$40,IF(G1760&lt;26,'General Basis'!$B$41,IF(G1760&lt;31,'General Basis'!$B$42,IF(G1760&lt;36,'General Basis'!$B$43,IF(G1760&lt;41,'General Basis'!$B$44,IF(G1760&lt;46,'General Basis'!$B$45,IF(G1760&lt;51,'General Basis'!$B$46,IF(G1760&lt;56,'General Basis'!$B$47,IF(G1760&lt;60,'General Basis'!$B$48,IF(G1760&lt;65,'General Basis'!$B$49,'General Basis'!$B$50)))))))))))))</f>
        <v/>
      </c>
      <c r="BI1760" s="744" t="str">
        <f t="shared" si="621"/>
        <v/>
      </c>
      <c r="BJ1760" s="747" t="str">
        <f t="shared" si="628"/>
        <v/>
      </c>
      <c r="BK1760" s="498" t="str">
        <f t="shared" si="622"/>
        <v/>
      </c>
      <c r="BL1760" s="498" t="str">
        <f t="shared" si="623"/>
        <v/>
      </c>
    </row>
    <row r="1761" spans="1:64" x14ac:dyDescent="0.25">
      <c r="A1761" s="762">
        <f t="shared" si="624"/>
        <v>1756</v>
      </c>
      <c r="B1761" s="229"/>
      <c r="C1761" s="223"/>
      <c r="D1761" s="224"/>
      <c r="E1761" s="225"/>
      <c r="F1761" s="1036" t="str">
        <f t="shared" si="630"/>
        <v/>
      </c>
      <c r="G1761" s="1037" t="str">
        <f t="shared" si="625"/>
        <v/>
      </c>
      <c r="H1761" s="225"/>
      <c r="I1761" s="1013"/>
      <c r="J1761" s="1013"/>
      <c r="K1761" s="1028"/>
      <c r="L1761" s="1035" t="str">
        <f t="shared" si="629"/>
        <v/>
      </c>
      <c r="S1761" s="498"/>
      <c r="AJ1761" s="498"/>
      <c r="AM1761" s="498">
        <f t="shared" si="610"/>
        <v>0</v>
      </c>
      <c r="AN1761" s="498">
        <f t="shared" si="611"/>
        <v>0</v>
      </c>
      <c r="AO1761" s="498">
        <f t="shared" si="612"/>
        <v>0</v>
      </c>
      <c r="AP1761" s="498">
        <f t="shared" si="631"/>
        <v>0</v>
      </c>
      <c r="AQ1761" s="498">
        <f t="shared" si="626"/>
        <v>0</v>
      </c>
      <c r="AU1761" s="498">
        <f t="shared" si="613"/>
        <v>0</v>
      </c>
      <c r="AV1761" s="498">
        <f t="shared" si="614"/>
        <v>0</v>
      </c>
      <c r="AW1761" s="498">
        <f t="shared" si="615"/>
        <v>0</v>
      </c>
      <c r="AX1761" s="498">
        <f t="shared" si="616"/>
        <v>0</v>
      </c>
      <c r="AY1761" s="498">
        <f t="shared" si="617"/>
        <v>0</v>
      </c>
      <c r="BB1761" s="498" t="str">
        <f t="shared" si="618"/>
        <v/>
      </c>
      <c r="BC1761" s="743" t="str">
        <f t="shared" si="619"/>
        <v/>
      </c>
      <c r="BD1761" s="743" t="str">
        <f t="shared" si="620"/>
        <v/>
      </c>
      <c r="BE1761" s="743" t="str">
        <f>IF(D1761="","",VLOOKUP(D1761,'General Basis'!$J$39:$K$46,2,0))</f>
        <v/>
      </c>
      <c r="BF1761" s="744" t="str">
        <f>IF(D1761="","",VLOOKUP(D1761,'General Basis'!$J$39:$L$46,3,0))</f>
        <v/>
      </c>
      <c r="BG1761" s="744" t="str">
        <f t="shared" si="627"/>
        <v/>
      </c>
      <c r="BH1761" s="744" t="str">
        <f>IF(G1761="","",IF(BF1761="Abu Dhabi",IF(G1761&lt;18,'General Basis'!$C$39,IF(G1761&lt;41,'General Basis'!$C$40,IF(G1761&lt;60,'General Basis'!$C$41,IF(G1761&lt;65,'General Basis'!$C$42,'General Basis'!$C$43)))),IF(G1761&lt;11,'General Basis'!$B$39,IF(G1761&lt;18,'General Basis'!$B$40,IF(G1761&lt;26,'General Basis'!$B$41,IF(G1761&lt;31,'General Basis'!$B$42,IF(G1761&lt;36,'General Basis'!$B$43,IF(G1761&lt;41,'General Basis'!$B$44,IF(G1761&lt;46,'General Basis'!$B$45,IF(G1761&lt;51,'General Basis'!$B$46,IF(G1761&lt;56,'General Basis'!$B$47,IF(G1761&lt;60,'General Basis'!$B$48,IF(G1761&lt;65,'General Basis'!$B$49,'General Basis'!$B$50)))))))))))))</f>
        <v/>
      </c>
      <c r="BI1761" s="744" t="str">
        <f t="shared" si="621"/>
        <v/>
      </c>
      <c r="BJ1761" s="747" t="str">
        <f t="shared" si="628"/>
        <v/>
      </c>
      <c r="BK1761" s="498" t="str">
        <f t="shared" si="622"/>
        <v/>
      </c>
      <c r="BL1761" s="498" t="str">
        <f t="shared" si="623"/>
        <v/>
      </c>
    </row>
    <row r="1762" spans="1:64" x14ac:dyDescent="0.25">
      <c r="A1762" s="762">
        <f t="shared" si="624"/>
        <v>1757</v>
      </c>
      <c r="B1762" s="229"/>
      <c r="C1762" s="223"/>
      <c r="D1762" s="224"/>
      <c r="E1762" s="225"/>
      <c r="F1762" s="1036" t="str">
        <f t="shared" si="630"/>
        <v/>
      </c>
      <c r="G1762" s="1037" t="str">
        <f t="shared" si="625"/>
        <v/>
      </c>
      <c r="H1762" s="225"/>
      <c r="I1762" s="1013"/>
      <c r="J1762" s="1013"/>
      <c r="K1762" s="1028"/>
      <c r="L1762" s="1035" t="str">
        <f t="shared" si="629"/>
        <v/>
      </c>
      <c r="S1762" s="498"/>
      <c r="AJ1762" s="498"/>
      <c r="AM1762" s="498">
        <f t="shared" si="610"/>
        <v>0</v>
      </c>
      <c r="AN1762" s="498">
        <f t="shared" si="611"/>
        <v>0</v>
      </c>
      <c r="AO1762" s="498">
        <f t="shared" si="612"/>
        <v>0</v>
      </c>
      <c r="AP1762" s="498">
        <f t="shared" si="631"/>
        <v>0</v>
      </c>
      <c r="AQ1762" s="498">
        <f t="shared" si="626"/>
        <v>0</v>
      </c>
      <c r="AU1762" s="498">
        <f t="shared" si="613"/>
        <v>0</v>
      </c>
      <c r="AV1762" s="498">
        <f t="shared" si="614"/>
        <v>0</v>
      </c>
      <c r="AW1762" s="498">
        <f t="shared" si="615"/>
        <v>0</v>
      </c>
      <c r="AX1762" s="498">
        <f t="shared" si="616"/>
        <v>0</v>
      </c>
      <c r="AY1762" s="498">
        <f t="shared" si="617"/>
        <v>0</v>
      </c>
      <c r="BB1762" s="498" t="str">
        <f t="shared" si="618"/>
        <v/>
      </c>
      <c r="BC1762" s="743" t="str">
        <f t="shared" si="619"/>
        <v/>
      </c>
      <c r="BD1762" s="743" t="str">
        <f t="shared" si="620"/>
        <v/>
      </c>
      <c r="BE1762" s="743" t="str">
        <f>IF(D1762="","",VLOOKUP(D1762,'General Basis'!$J$39:$K$46,2,0))</f>
        <v/>
      </c>
      <c r="BF1762" s="744" t="str">
        <f>IF(D1762="","",VLOOKUP(D1762,'General Basis'!$J$39:$L$46,3,0))</f>
        <v/>
      </c>
      <c r="BG1762" s="744" t="str">
        <f t="shared" si="627"/>
        <v/>
      </c>
      <c r="BH1762" s="744" t="str">
        <f>IF(G1762="","",IF(BF1762="Abu Dhabi",IF(G1762&lt;18,'General Basis'!$C$39,IF(G1762&lt;41,'General Basis'!$C$40,IF(G1762&lt;60,'General Basis'!$C$41,IF(G1762&lt;65,'General Basis'!$C$42,'General Basis'!$C$43)))),IF(G1762&lt;11,'General Basis'!$B$39,IF(G1762&lt;18,'General Basis'!$B$40,IF(G1762&lt;26,'General Basis'!$B$41,IF(G1762&lt;31,'General Basis'!$B$42,IF(G1762&lt;36,'General Basis'!$B$43,IF(G1762&lt;41,'General Basis'!$B$44,IF(G1762&lt;46,'General Basis'!$B$45,IF(G1762&lt;51,'General Basis'!$B$46,IF(G1762&lt;56,'General Basis'!$B$47,IF(G1762&lt;60,'General Basis'!$B$48,IF(G1762&lt;65,'General Basis'!$B$49,'General Basis'!$B$50)))))))))))))</f>
        <v/>
      </c>
      <c r="BI1762" s="744" t="str">
        <f t="shared" si="621"/>
        <v/>
      </c>
      <c r="BJ1762" s="747" t="str">
        <f t="shared" si="628"/>
        <v/>
      </c>
      <c r="BK1762" s="498" t="str">
        <f t="shared" si="622"/>
        <v/>
      </c>
      <c r="BL1762" s="498" t="str">
        <f t="shared" si="623"/>
        <v/>
      </c>
    </row>
    <row r="1763" spans="1:64" x14ac:dyDescent="0.25">
      <c r="A1763" s="762">
        <f t="shared" si="624"/>
        <v>1758</v>
      </c>
      <c r="B1763" s="229"/>
      <c r="C1763" s="223"/>
      <c r="D1763" s="224"/>
      <c r="E1763" s="225"/>
      <c r="F1763" s="1036" t="str">
        <f t="shared" si="630"/>
        <v/>
      </c>
      <c r="G1763" s="1037" t="str">
        <f t="shared" si="625"/>
        <v/>
      </c>
      <c r="H1763" s="225"/>
      <c r="I1763" s="1013"/>
      <c r="J1763" s="1013"/>
      <c r="K1763" s="1028"/>
      <c r="L1763" s="1035" t="str">
        <f t="shared" si="629"/>
        <v/>
      </c>
      <c r="S1763" s="498"/>
      <c r="AJ1763" s="498"/>
      <c r="AM1763" s="498">
        <f t="shared" si="610"/>
        <v>0</v>
      </c>
      <c r="AN1763" s="498">
        <f t="shared" si="611"/>
        <v>0</v>
      </c>
      <c r="AO1763" s="498">
        <f t="shared" si="612"/>
        <v>0</v>
      </c>
      <c r="AP1763" s="498">
        <f t="shared" si="631"/>
        <v>0</v>
      </c>
      <c r="AQ1763" s="498">
        <f t="shared" si="626"/>
        <v>0</v>
      </c>
      <c r="AU1763" s="498">
        <f t="shared" si="613"/>
        <v>0</v>
      </c>
      <c r="AV1763" s="498">
        <f t="shared" si="614"/>
        <v>0</v>
      </c>
      <c r="AW1763" s="498">
        <f t="shared" si="615"/>
        <v>0</v>
      </c>
      <c r="AX1763" s="498">
        <f t="shared" si="616"/>
        <v>0</v>
      </c>
      <c r="AY1763" s="498">
        <f t="shared" si="617"/>
        <v>0</v>
      </c>
      <c r="BB1763" s="498" t="str">
        <f t="shared" si="618"/>
        <v/>
      </c>
      <c r="BC1763" s="743" t="str">
        <f t="shared" si="619"/>
        <v/>
      </c>
      <c r="BD1763" s="743" t="str">
        <f t="shared" si="620"/>
        <v/>
      </c>
      <c r="BE1763" s="743" t="str">
        <f>IF(D1763="","",VLOOKUP(D1763,'General Basis'!$J$39:$K$46,2,0))</f>
        <v/>
      </c>
      <c r="BF1763" s="744" t="str">
        <f>IF(D1763="","",VLOOKUP(D1763,'General Basis'!$J$39:$L$46,3,0))</f>
        <v/>
      </c>
      <c r="BG1763" s="744" t="str">
        <f t="shared" si="627"/>
        <v/>
      </c>
      <c r="BH1763" s="744" t="str">
        <f>IF(G1763="","",IF(BF1763="Abu Dhabi",IF(G1763&lt;18,'General Basis'!$C$39,IF(G1763&lt;41,'General Basis'!$C$40,IF(G1763&lt;60,'General Basis'!$C$41,IF(G1763&lt;65,'General Basis'!$C$42,'General Basis'!$C$43)))),IF(G1763&lt;11,'General Basis'!$B$39,IF(G1763&lt;18,'General Basis'!$B$40,IF(G1763&lt;26,'General Basis'!$B$41,IF(G1763&lt;31,'General Basis'!$B$42,IF(G1763&lt;36,'General Basis'!$B$43,IF(G1763&lt;41,'General Basis'!$B$44,IF(G1763&lt;46,'General Basis'!$B$45,IF(G1763&lt;51,'General Basis'!$B$46,IF(G1763&lt;56,'General Basis'!$B$47,IF(G1763&lt;60,'General Basis'!$B$48,IF(G1763&lt;65,'General Basis'!$B$49,'General Basis'!$B$50)))))))))))))</f>
        <v/>
      </c>
      <c r="BI1763" s="744" t="str">
        <f t="shared" si="621"/>
        <v/>
      </c>
      <c r="BJ1763" s="747" t="str">
        <f t="shared" si="628"/>
        <v/>
      </c>
      <c r="BK1763" s="498" t="str">
        <f t="shared" si="622"/>
        <v/>
      </c>
      <c r="BL1763" s="498" t="str">
        <f t="shared" si="623"/>
        <v/>
      </c>
    </row>
    <row r="1764" spans="1:64" x14ac:dyDescent="0.25">
      <c r="A1764" s="762">
        <f t="shared" si="624"/>
        <v>1759</v>
      </c>
      <c r="B1764" s="229"/>
      <c r="C1764" s="223"/>
      <c r="D1764" s="224"/>
      <c r="E1764" s="225"/>
      <c r="F1764" s="1036" t="str">
        <f t="shared" si="630"/>
        <v/>
      </c>
      <c r="G1764" s="1037" t="str">
        <f t="shared" si="625"/>
        <v/>
      </c>
      <c r="H1764" s="225"/>
      <c r="I1764" s="1013"/>
      <c r="J1764" s="1013"/>
      <c r="K1764" s="1028"/>
      <c r="L1764" s="1035" t="str">
        <f t="shared" si="629"/>
        <v/>
      </c>
      <c r="S1764" s="498"/>
      <c r="AJ1764" s="498"/>
      <c r="AM1764" s="498">
        <f t="shared" si="610"/>
        <v>0</v>
      </c>
      <c r="AN1764" s="498">
        <f t="shared" si="611"/>
        <v>0</v>
      </c>
      <c r="AO1764" s="498">
        <f t="shared" si="612"/>
        <v>0</v>
      </c>
      <c r="AP1764" s="498">
        <f t="shared" si="631"/>
        <v>0</v>
      </c>
      <c r="AQ1764" s="498">
        <f t="shared" si="626"/>
        <v>0</v>
      </c>
      <c r="AU1764" s="498">
        <f t="shared" si="613"/>
        <v>0</v>
      </c>
      <c r="AV1764" s="498">
        <f t="shared" si="614"/>
        <v>0</v>
      </c>
      <c r="AW1764" s="498">
        <f t="shared" si="615"/>
        <v>0</v>
      </c>
      <c r="AX1764" s="498">
        <f t="shared" si="616"/>
        <v>0</v>
      </c>
      <c r="AY1764" s="498">
        <f t="shared" si="617"/>
        <v>0</v>
      </c>
      <c r="BB1764" s="498" t="str">
        <f t="shared" si="618"/>
        <v/>
      </c>
      <c r="BC1764" s="743" t="str">
        <f t="shared" si="619"/>
        <v/>
      </c>
      <c r="BD1764" s="743" t="str">
        <f t="shared" si="620"/>
        <v/>
      </c>
      <c r="BE1764" s="743" t="str">
        <f>IF(D1764="","",VLOOKUP(D1764,'General Basis'!$J$39:$K$46,2,0))</f>
        <v/>
      </c>
      <c r="BF1764" s="744" t="str">
        <f>IF(D1764="","",VLOOKUP(D1764,'General Basis'!$J$39:$L$46,3,0))</f>
        <v/>
      </c>
      <c r="BG1764" s="744" t="str">
        <f t="shared" si="627"/>
        <v/>
      </c>
      <c r="BH1764" s="744" t="str">
        <f>IF(G1764="","",IF(BF1764="Abu Dhabi",IF(G1764&lt;18,'General Basis'!$C$39,IF(G1764&lt;41,'General Basis'!$C$40,IF(G1764&lt;60,'General Basis'!$C$41,IF(G1764&lt;65,'General Basis'!$C$42,'General Basis'!$C$43)))),IF(G1764&lt;11,'General Basis'!$B$39,IF(G1764&lt;18,'General Basis'!$B$40,IF(G1764&lt;26,'General Basis'!$B$41,IF(G1764&lt;31,'General Basis'!$B$42,IF(G1764&lt;36,'General Basis'!$B$43,IF(G1764&lt;41,'General Basis'!$B$44,IF(G1764&lt;46,'General Basis'!$B$45,IF(G1764&lt;51,'General Basis'!$B$46,IF(G1764&lt;56,'General Basis'!$B$47,IF(G1764&lt;60,'General Basis'!$B$48,IF(G1764&lt;65,'General Basis'!$B$49,'General Basis'!$B$50)))))))))))))</f>
        <v/>
      </c>
      <c r="BI1764" s="744" t="str">
        <f t="shared" si="621"/>
        <v/>
      </c>
      <c r="BJ1764" s="747" t="str">
        <f t="shared" si="628"/>
        <v/>
      </c>
      <c r="BK1764" s="498" t="str">
        <f t="shared" si="622"/>
        <v/>
      </c>
      <c r="BL1764" s="498" t="str">
        <f t="shared" si="623"/>
        <v/>
      </c>
    </row>
    <row r="1765" spans="1:64" x14ac:dyDescent="0.25">
      <c r="A1765" s="762">
        <f t="shared" si="624"/>
        <v>1760</v>
      </c>
      <c r="B1765" s="229"/>
      <c r="C1765" s="223"/>
      <c r="D1765" s="224"/>
      <c r="E1765" s="225"/>
      <c r="F1765" s="1036" t="str">
        <f t="shared" si="630"/>
        <v/>
      </c>
      <c r="G1765" s="1037" t="str">
        <f t="shared" si="625"/>
        <v/>
      </c>
      <c r="H1765" s="225"/>
      <c r="I1765" s="1013"/>
      <c r="J1765" s="1013"/>
      <c r="K1765" s="1028"/>
      <c r="L1765" s="1035" t="str">
        <f t="shared" si="629"/>
        <v/>
      </c>
      <c r="S1765" s="498"/>
      <c r="AJ1765" s="498"/>
      <c r="AM1765" s="498">
        <f t="shared" si="610"/>
        <v>0</v>
      </c>
      <c r="AN1765" s="498">
        <f t="shared" si="611"/>
        <v>0</v>
      </c>
      <c r="AO1765" s="498">
        <f t="shared" si="612"/>
        <v>0</v>
      </c>
      <c r="AP1765" s="498">
        <f t="shared" si="631"/>
        <v>0</v>
      </c>
      <c r="AQ1765" s="498">
        <f t="shared" si="626"/>
        <v>0</v>
      </c>
      <c r="AU1765" s="498">
        <f t="shared" si="613"/>
        <v>0</v>
      </c>
      <c r="AV1765" s="498">
        <f t="shared" si="614"/>
        <v>0</v>
      </c>
      <c r="AW1765" s="498">
        <f t="shared" si="615"/>
        <v>0</v>
      </c>
      <c r="AX1765" s="498">
        <f t="shared" si="616"/>
        <v>0</v>
      </c>
      <c r="AY1765" s="498">
        <f t="shared" si="617"/>
        <v>0</v>
      </c>
      <c r="BB1765" s="498" t="str">
        <f t="shared" si="618"/>
        <v/>
      </c>
      <c r="BC1765" s="743" t="str">
        <f t="shared" si="619"/>
        <v/>
      </c>
      <c r="BD1765" s="743" t="str">
        <f t="shared" si="620"/>
        <v/>
      </c>
      <c r="BE1765" s="743" t="str">
        <f>IF(D1765="","",VLOOKUP(D1765,'General Basis'!$J$39:$K$46,2,0))</f>
        <v/>
      </c>
      <c r="BF1765" s="744" t="str">
        <f>IF(D1765="","",VLOOKUP(D1765,'General Basis'!$J$39:$L$46,3,0))</f>
        <v/>
      </c>
      <c r="BG1765" s="744" t="str">
        <f t="shared" si="627"/>
        <v/>
      </c>
      <c r="BH1765" s="744" t="str">
        <f>IF(G1765="","",IF(BF1765="Abu Dhabi",IF(G1765&lt;18,'General Basis'!$C$39,IF(G1765&lt;41,'General Basis'!$C$40,IF(G1765&lt;60,'General Basis'!$C$41,IF(G1765&lt;65,'General Basis'!$C$42,'General Basis'!$C$43)))),IF(G1765&lt;11,'General Basis'!$B$39,IF(G1765&lt;18,'General Basis'!$B$40,IF(G1765&lt;26,'General Basis'!$B$41,IF(G1765&lt;31,'General Basis'!$B$42,IF(G1765&lt;36,'General Basis'!$B$43,IF(G1765&lt;41,'General Basis'!$B$44,IF(G1765&lt;46,'General Basis'!$B$45,IF(G1765&lt;51,'General Basis'!$B$46,IF(G1765&lt;56,'General Basis'!$B$47,IF(G1765&lt;60,'General Basis'!$B$48,IF(G1765&lt;65,'General Basis'!$B$49,'General Basis'!$B$50)))))))))))))</f>
        <v/>
      </c>
      <c r="BI1765" s="744" t="str">
        <f t="shared" si="621"/>
        <v/>
      </c>
      <c r="BJ1765" s="747" t="str">
        <f t="shared" si="628"/>
        <v/>
      </c>
      <c r="BK1765" s="498" t="str">
        <f t="shared" si="622"/>
        <v/>
      </c>
      <c r="BL1765" s="498" t="str">
        <f t="shared" si="623"/>
        <v/>
      </c>
    </row>
    <row r="1766" spans="1:64" x14ac:dyDescent="0.25">
      <c r="A1766" s="762">
        <f t="shared" si="624"/>
        <v>1761</v>
      </c>
      <c r="B1766" s="229"/>
      <c r="C1766" s="223"/>
      <c r="D1766" s="224"/>
      <c r="E1766" s="225"/>
      <c r="F1766" s="1036" t="str">
        <f t="shared" si="630"/>
        <v/>
      </c>
      <c r="G1766" s="1037" t="str">
        <f t="shared" si="625"/>
        <v/>
      </c>
      <c r="H1766" s="225"/>
      <c r="I1766" s="1013"/>
      <c r="J1766" s="1013"/>
      <c r="K1766" s="1028"/>
      <c r="L1766" s="1035" t="str">
        <f t="shared" si="629"/>
        <v/>
      </c>
      <c r="S1766" s="498"/>
      <c r="AJ1766" s="498"/>
      <c r="AM1766" s="498">
        <f t="shared" si="610"/>
        <v>0</v>
      </c>
      <c r="AN1766" s="498">
        <f t="shared" si="611"/>
        <v>0</v>
      </c>
      <c r="AO1766" s="498">
        <f t="shared" si="612"/>
        <v>0</v>
      </c>
      <c r="AP1766" s="498">
        <f t="shared" si="631"/>
        <v>0</v>
      </c>
      <c r="AQ1766" s="498">
        <f t="shared" si="626"/>
        <v>0</v>
      </c>
      <c r="AU1766" s="498">
        <f t="shared" si="613"/>
        <v>0</v>
      </c>
      <c r="AV1766" s="498">
        <f t="shared" si="614"/>
        <v>0</v>
      </c>
      <c r="AW1766" s="498">
        <f t="shared" si="615"/>
        <v>0</v>
      </c>
      <c r="AX1766" s="498">
        <f t="shared" si="616"/>
        <v>0</v>
      </c>
      <c r="AY1766" s="498">
        <f t="shared" si="617"/>
        <v>0</v>
      </c>
      <c r="BB1766" s="498" t="str">
        <f t="shared" si="618"/>
        <v/>
      </c>
      <c r="BC1766" s="743" t="str">
        <f t="shared" si="619"/>
        <v/>
      </c>
      <c r="BD1766" s="743" t="str">
        <f t="shared" si="620"/>
        <v/>
      </c>
      <c r="BE1766" s="743" t="str">
        <f>IF(D1766="","",VLOOKUP(D1766,'General Basis'!$J$39:$K$46,2,0))</f>
        <v/>
      </c>
      <c r="BF1766" s="744" t="str">
        <f>IF(D1766="","",VLOOKUP(D1766,'General Basis'!$J$39:$L$46,3,0))</f>
        <v/>
      </c>
      <c r="BG1766" s="744" t="str">
        <f t="shared" si="627"/>
        <v/>
      </c>
      <c r="BH1766" s="744" t="str">
        <f>IF(G1766="","",IF(BF1766="Abu Dhabi",IF(G1766&lt;18,'General Basis'!$C$39,IF(G1766&lt;41,'General Basis'!$C$40,IF(G1766&lt;60,'General Basis'!$C$41,IF(G1766&lt;65,'General Basis'!$C$42,'General Basis'!$C$43)))),IF(G1766&lt;11,'General Basis'!$B$39,IF(G1766&lt;18,'General Basis'!$B$40,IF(G1766&lt;26,'General Basis'!$B$41,IF(G1766&lt;31,'General Basis'!$B$42,IF(G1766&lt;36,'General Basis'!$B$43,IF(G1766&lt;41,'General Basis'!$B$44,IF(G1766&lt;46,'General Basis'!$B$45,IF(G1766&lt;51,'General Basis'!$B$46,IF(G1766&lt;56,'General Basis'!$B$47,IF(G1766&lt;60,'General Basis'!$B$48,IF(G1766&lt;65,'General Basis'!$B$49,'General Basis'!$B$50)))))))))))))</f>
        <v/>
      </c>
      <c r="BI1766" s="744" t="str">
        <f t="shared" si="621"/>
        <v/>
      </c>
      <c r="BJ1766" s="747" t="str">
        <f t="shared" si="628"/>
        <v/>
      </c>
      <c r="BK1766" s="498" t="str">
        <f t="shared" si="622"/>
        <v/>
      </c>
      <c r="BL1766" s="498" t="str">
        <f t="shared" si="623"/>
        <v/>
      </c>
    </row>
    <row r="1767" spans="1:64" x14ac:dyDescent="0.25">
      <c r="A1767" s="762">
        <f t="shared" si="624"/>
        <v>1762</v>
      </c>
      <c r="B1767" s="229"/>
      <c r="C1767" s="223"/>
      <c r="D1767" s="224"/>
      <c r="E1767" s="225"/>
      <c r="F1767" s="1036" t="str">
        <f t="shared" si="630"/>
        <v/>
      </c>
      <c r="G1767" s="1037" t="str">
        <f t="shared" si="625"/>
        <v/>
      </c>
      <c r="H1767" s="225"/>
      <c r="I1767" s="1013"/>
      <c r="J1767" s="1013"/>
      <c r="K1767" s="1028"/>
      <c r="L1767" s="1035" t="str">
        <f t="shared" si="629"/>
        <v/>
      </c>
      <c r="S1767" s="498"/>
      <c r="AJ1767" s="498"/>
      <c r="AM1767" s="498">
        <f t="shared" si="610"/>
        <v>0</v>
      </c>
      <c r="AN1767" s="498">
        <f t="shared" si="611"/>
        <v>0</v>
      </c>
      <c r="AO1767" s="498">
        <f t="shared" si="612"/>
        <v>0</v>
      </c>
      <c r="AP1767" s="498">
        <f t="shared" si="631"/>
        <v>0</v>
      </c>
      <c r="AQ1767" s="498">
        <f t="shared" si="626"/>
        <v>0</v>
      </c>
      <c r="AU1767" s="498">
        <f t="shared" si="613"/>
        <v>0</v>
      </c>
      <c r="AV1767" s="498">
        <f t="shared" si="614"/>
        <v>0</v>
      </c>
      <c r="AW1767" s="498">
        <f t="shared" si="615"/>
        <v>0</v>
      </c>
      <c r="AX1767" s="498">
        <f t="shared" si="616"/>
        <v>0</v>
      </c>
      <c r="AY1767" s="498">
        <f t="shared" si="617"/>
        <v>0</v>
      </c>
      <c r="BB1767" s="498" t="str">
        <f t="shared" si="618"/>
        <v/>
      </c>
      <c r="BC1767" s="743" t="str">
        <f t="shared" si="619"/>
        <v/>
      </c>
      <c r="BD1767" s="743" t="str">
        <f t="shared" si="620"/>
        <v/>
      </c>
      <c r="BE1767" s="743" t="str">
        <f>IF(D1767="","",VLOOKUP(D1767,'General Basis'!$J$39:$K$46,2,0))</f>
        <v/>
      </c>
      <c r="BF1767" s="744" t="str">
        <f>IF(D1767="","",VLOOKUP(D1767,'General Basis'!$J$39:$L$46,3,0))</f>
        <v/>
      </c>
      <c r="BG1767" s="744" t="str">
        <f t="shared" si="627"/>
        <v/>
      </c>
      <c r="BH1767" s="744" t="str">
        <f>IF(G1767="","",IF(BF1767="Abu Dhabi",IF(G1767&lt;18,'General Basis'!$C$39,IF(G1767&lt;41,'General Basis'!$C$40,IF(G1767&lt;60,'General Basis'!$C$41,IF(G1767&lt;65,'General Basis'!$C$42,'General Basis'!$C$43)))),IF(G1767&lt;11,'General Basis'!$B$39,IF(G1767&lt;18,'General Basis'!$B$40,IF(G1767&lt;26,'General Basis'!$B$41,IF(G1767&lt;31,'General Basis'!$B$42,IF(G1767&lt;36,'General Basis'!$B$43,IF(G1767&lt;41,'General Basis'!$B$44,IF(G1767&lt;46,'General Basis'!$B$45,IF(G1767&lt;51,'General Basis'!$B$46,IF(G1767&lt;56,'General Basis'!$B$47,IF(G1767&lt;60,'General Basis'!$B$48,IF(G1767&lt;65,'General Basis'!$B$49,'General Basis'!$B$50)))))))))))))</f>
        <v/>
      </c>
      <c r="BI1767" s="744" t="str">
        <f t="shared" si="621"/>
        <v/>
      </c>
      <c r="BJ1767" s="747" t="str">
        <f t="shared" si="628"/>
        <v/>
      </c>
      <c r="BK1767" s="498" t="str">
        <f t="shared" si="622"/>
        <v/>
      </c>
      <c r="BL1767" s="498" t="str">
        <f t="shared" si="623"/>
        <v/>
      </c>
    </row>
    <row r="1768" spans="1:64" x14ac:dyDescent="0.25">
      <c r="A1768" s="762">
        <f t="shared" si="624"/>
        <v>1763</v>
      </c>
      <c r="B1768" s="229"/>
      <c r="C1768" s="223"/>
      <c r="D1768" s="224"/>
      <c r="E1768" s="225"/>
      <c r="F1768" s="1036" t="str">
        <f t="shared" si="630"/>
        <v/>
      </c>
      <c r="G1768" s="1037" t="str">
        <f t="shared" si="625"/>
        <v/>
      </c>
      <c r="H1768" s="225"/>
      <c r="I1768" s="1013"/>
      <c r="J1768" s="1013"/>
      <c r="K1768" s="1028"/>
      <c r="L1768" s="1035" t="str">
        <f t="shared" si="629"/>
        <v/>
      </c>
      <c r="S1768" s="498"/>
      <c r="AJ1768" s="498"/>
      <c r="AM1768" s="498">
        <f t="shared" si="610"/>
        <v>0</v>
      </c>
      <c r="AN1768" s="498">
        <f t="shared" si="611"/>
        <v>0</v>
      </c>
      <c r="AO1768" s="498">
        <f t="shared" si="612"/>
        <v>0</v>
      </c>
      <c r="AP1768" s="498">
        <f t="shared" si="631"/>
        <v>0</v>
      </c>
      <c r="AQ1768" s="498">
        <f t="shared" si="626"/>
        <v>0</v>
      </c>
      <c r="AU1768" s="498">
        <f t="shared" si="613"/>
        <v>0</v>
      </c>
      <c r="AV1768" s="498">
        <f t="shared" si="614"/>
        <v>0</v>
      </c>
      <c r="AW1768" s="498">
        <f t="shared" si="615"/>
        <v>0</v>
      </c>
      <c r="AX1768" s="498">
        <f t="shared" si="616"/>
        <v>0</v>
      </c>
      <c r="AY1768" s="498">
        <f t="shared" si="617"/>
        <v>0</v>
      </c>
      <c r="BB1768" s="498" t="str">
        <f t="shared" si="618"/>
        <v/>
      </c>
      <c r="BC1768" s="743" t="str">
        <f t="shared" si="619"/>
        <v/>
      </c>
      <c r="BD1768" s="743" t="str">
        <f t="shared" si="620"/>
        <v/>
      </c>
      <c r="BE1768" s="743" t="str">
        <f>IF(D1768="","",VLOOKUP(D1768,'General Basis'!$J$39:$K$46,2,0))</f>
        <v/>
      </c>
      <c r="BF1768" s="744" t="str">
        <f>IF(D1768="","",VLOOKUP(D1768,'General Basis'!$J$39:$L$46,3,0))</f>
        <v/>
      </c>
      <c r="BG1768" s="744" t="str">
        <f t="shared" si="627"/>
        <v/>
      </c>
      <c r="BH1768" s="744" t="str">
        <f>IF(G1768="","",IF(BF1768="Abu Dhabi",IF(G1768&lt;18,'General Basis'!$C$39,IF(G1768&lt;41,'General Basis'!$C$40,IF(G1768&lt;60,'General Basis'!$C$41,IF(G1768&lt;65,'General Basis'!$C$42,'General Basis'!$C$43)))),IF(G1768&lt;11,'General Basis'!$B$39,IF(G1768&lt;18,'General Basis'!$B$40,IF(G1768&lt;26,'General Basis'!$B$41,IF(G1768&lt;31,'General Basis'!$B$42,IF(G1768&lt;36,'General Basis'!$B$43,IF(G1768&lt;41,'General Basis'!$B$44,IF(G1768&lt;46,'General Basis'!$B$45,IF(G1768&lt;51,'General Basis'!$B$46,IF(G1768&lt;56,'General Basis'!$B$47,IF(G1768&lt;60,'General Basis'!$B$48,IF(G1768&lt;65,'General Basis'!$B$49,'General Basis'!$B$50)))))))))))))</f>
        <v/>
      </c>
      <c r="BI1768" s="744" t="str">
        <f t="shared" si="621"/>
        <v/>
      </c>
      <c r="BJ1768" s="747" t="str">
        <f t="shared" si="628"/>
        <v/>
      </c>
      <c r="BK1768" s="498" t="str">
        <f t="shared" si="622"/>
        <v/>
      </c>
      <c r="BL1768" s="498" t="str">
        <f t="shared" si="623"/>
        <v/>
      </c>
    </row>
    <row r="1769" spans="1:64" x14ac:dyDescent="0.25">
      <c r="A1769" s="762">
        <f t="shared" si="624"/>
        <v>1764</v>
      </c>
      <c r="B1769" s="229"/>
      <c r="C1769" s="223"/>
      <c r="D1769" s="224"/>
      <c r="E1769" s="225"/>
      <c r="F1769" s="1036" t="str">
        <f t="shared" si="630"/>
        <v/>
      </c>
      <c r="G1769" s="1037" t="str">
        <f t="shared" si="625"/>
        <v/>
      </c>
      <c r="H1769" s="225"/>
      <c r="I1769" s="1013"/>
      <c r="J1769" s="1013"/>
      <c r="K1769" s="1028"/>
      <c r="L1769" s="1035" t="str">
        <f t="shared" si="629"/>
        <v/>
      </c>
      <c r="S1769" s="498"/>
      <c r="AJ1769" s="498"/>
      <c r="AM1769" s="498">
        <f t="shared" si="610"/>
        <v>0</v>
      </c>
      <c r="AN1769" s="498">
        <f t="shared" si="611"/>
        <v>0</v>
      </c>
      <c r="AO1769" s="498">
        <f t="shared" si="612"/>
        <v>0</v>
      </c>
      <c r="AP1769" s="498">
        <f t="shared" si="631"/>
        <v>0</v>
      </c>
      <c r="AQ1769" s="498">
        <f t="shared" si="626"/>
        <v>0</v>
      </c>
      <c r="AU1769" s="498">
        <f t="shared" si="613"/>
        <v>0</v>
      </c>
      <c r="AV1769" s="498">
        <f t="shared" si="614"/>
        <v>0</v>
      </c>
      <c r="AW1769" s="498">
        <f t="shared" si="615"/>
        <v>0</v>
      </c>
      <c r="AX1769" s="498">
        <f t="shared" si="616"/>
        <v>0</v>
      </c>
      <c r="AY1769" s="498">
        <f t="shared" si="617"/>
        <v>0</v>
      </c>
      <c r="BB1769" s="498" t="str">
        <f t="shared" si="618"/>
        <v/>
      </c>
      <c r="BC1769" s="743" t="str">
        <f t="shared" si="619"/>
        <v/>
      </c>
      <c r="BD1769" s="743" t="str">
        <f t="shared" si="620"/>
        <v/>
      </c>
      <c r="BE1769" s="743" t="str">
        <f>IF(D1769="","",VLOOKUP(D1769,'General Basis'!$J$39:$K$46,2,0))</f>
        <v/>
      </c>
      <c r="BF1769" s="744" t="str">
        <f>IF(D1769="","",VLOOKUP(D1769,'General Basis'!$J$39:$L$46,3,0))</f>
        <v/>
      </c>
      <c r="BG1769" s="744" t="str">
        <f t="shared" si="627"/>
        <v/>
      </c>
      <c r="BH1769" s="744" t="str">
        <f>IF(G1769="","",IF(BF1769="Abu Dhabi",IF(G1769&lt;18,'General Basis'!$C$39,IF(G1769&lt;41,'General Basis'!$C$40,IF(G1769&lt;60,'General Basis'!$C$41,IF(G1769&lt;65,'General Basis'!$C$42,'General Basis'!$C$43)))),IF(G1769&lt;11,'General Basis'!$B$39,IF(G1769&lt;18,'General Basis'!$B$40,IF(G1769&lt;26,'General Basis'!$B$41,IF(G1769&lt;31,'General Basis'!$B$42,IF(G1769&lt;36,'General Basis'!$B$43,IF(G1769&lt;41,'General Basis'!$B$44,IF(G1769&lt;46,'General Basis'!$B$45,IF(G1769&lt;51,'General Basis'!$B$46,IF(G1769&lt;56,'General Basis'!$B$47,IF(G1769&lt;60,'General Basis'!$B$48,IF(G1769&lt;65,'General Basis'!$B$49,'General Basis'!$B$50)))))))))))))</f>
        <v/>
      </c>
      <c r="BI1769" s="744" t="str">
        <f t="shared" si="621"/>
        <v/>
      </c>
      <c r="BJ1769" s="747" t="str">
        <f t="shared" si="628"/>
        <v/>
      </c>
      <c r="BK1769" s="498" t="str">
        <f t="shared" si="622"/>
        <v/>
      </c>
      <c r="BL1769" s="498" t="str">
        <f t="shared" si="623"/>
        <v/>
      </c>
    </row>
    <row r="1770" spans="1:64" x14ac:dyDescent="0.25">
      <c r="A1770" s="762">
        <f t="shared" si="624"/>
        <v>1765</v>
      </c>
      <c r="B1770" s="229"/>
      <c r="C1770" s="223"/>
      <c r="D1770" s="224"/>
      <c r="E1770" s="225"/>
      <c r="F1770" s="1036" t="str">
        <f t="shared" si="630"/>
        <v/>
      </c>
      <c r="G1770" s="1037" t="str">
        <f t="shared" si="625"/>
        <v/>
      </c>
      <c r="H1770" s="225"/>
      <c r="I1770" s="1013"/>
      <c r="J1770" s="1013"/>
      <c r="K1770" s="1028"/>
      <c r="L1770" s="1035" t="str">
        <f t="shared" si="629"/>
        <v/>
      </c>
      <c r="S1770" s="498"/>
      <c r="AJ1770" s="498"/>
      <c r="AM1770" s="498">
        <f t="shared" si="610"/>
        <v>0</v>
      </c>
      <c r="AN1770" s="498">
        <f t="shared" si="611"/>
        <v>0</v>
      </c>
      <c r="AO1770" s="498">
        <f t="shared" si="612"/>
        <v>0</v>
      </c>
      <c r="AP1770" s="498">
        <f t="shared" si="631"/>
        <v>0</v>
      </c>
      <c r="AQ1770" s="498">
        <f t="shared" si="626"/>
        <v>0</v>
      </c>
      <c r="AU1770" s="498">
        <f t="shared" si="613"/>
        <v>0</v>
      </c>
      <c r="AV1770" s="498">
        <f t="shared" si="614"/>
        <v>0</v>
      </c>
      <c r="AW1770" s="498">
        <f t="shared" si="615"/>
        <v>0</v>
      </c>
      <c r="AX1770" s="498">
        <f t="shared" si="616"/>
        <v>0</v>
      </c>
      <c r="AY1770" s="498">
        <f t="shared" si="617"/>
        <v>0</v>
      </c>
      <c r="BB1770" s="498" t="str">
        <f t="shared" si="618"/>
        <v/>
      </c>
      <c r="BC1770" s="743" t="str">
        <f t="shared" si="619"/>
        <v/>
      </c>
      <c r="BD1770" s="743" t="str">
        <f t="shared" si="620"/>
        <v/>
      </c>
      <c r="BE1770" s="743" t="str">
        <f>IF(D1770="","",VLOOKUP(D1770,'General Basis'!$J$39:$K$46,2,0))</f>
        <v/>
      </c>
      <c r="BF1770" s="744" t="str">
        <f>IF(D1770="","",VLOOKUP(D1770,'General Basis'!$J$39:$L$46,3,0))</f>
        <v/>
      </c>
      <c r="BG1770" s="744" t="str">
        <f t="shared" si="627"/>
        <v/>
      </c>
      <c r="BH1770" s="744" t="str">
        <f>IF(G1770="","",IF(BF1770="Abu Dhabi",IF(G1770&lt;18,'General Basis'!$C$39,IF(G1770&lt;41,'General Basis'!$C$40,IF(G1770&lt;60,'General Basis'!$C$41,IF(G1770&lt;65,'General Basis'!$C$42,'General Basis'!$C$43)))),IF(G1770&lt;11,'General Basis'!$B$39,IF(G1770&lt;18,'General Basis'!$B$40,IF(G1770&lt;26,'General Basis'!$B$41,IF(G1770&lt;31,'General Basis'!$B$42,IF(G1770&lt;36,'General Basis'!$B$43,IF(G1770&lt;41,'General Basis'!$B$44,IF(G1770&lt;46,'General Basis'!$B$45,IF(G1770&lt;51,'General Basis'!$B$46,IF(G1770&lt;56,'General Basis'!$B$47,IF(G1770&lt;60,'General Basis'!$B$48,IF(G1770&lt;65,'General Basis'!$B$49,'General Basis'!$B$50)))))))))))))</f>
        <v/>
      </c>
      <c r="BI1770" s="744" t="str">
        <f t="shared" si="621"/>
        <v/>
      </c>
      <c r="BJ1770" s="747" t="str">
        <f t="shared" si="628"/>
        <v/>
      </c>
      <c r="BK1770" s="498" t="str">
        <f t="shared" si="622"/>
        <v/>
      </c>
      <c r="BL1770" s="498" t="str">
        <f t="shared" si="623"/>
        <v/>
      </c>
    </row>
    <row r="1771" spans="1:64" x14ac:dyDescent="0.25">
      <c r="A1771" s="762">
        <f t="shared" si="624"/>
        <v>1766</v>
      </c>
      <c r="B1771" s="229"/>
      <c r="C1771" s="223"/>
      <c r="D1771" s="224"/>
      <c r="E1771" s="225"/>
      <c r="F1771" s="1036" t="str">
        <f t="shared" si="630"/>
        <v/>
      </c>
      <c r="G1771" s="1037" t="str">
        <f t="shared" si="625"/>
        <v/>
      </c>
      <c r="H1771" s="225"/>
      <c r="I1771" s="1013"/>
      <c r="J1771" s="1013"/>
      <c r="K1771" s="1028"/>
      <c r="L1771" s="1035" t="str">
        <f t="shared" si="629"/>
        <v/>
      </c>
      <c r="S1771" s="498"/>
      <c r="AJ1771" s="498"/>
      <c r="AM1771" s="498">
        <f t="shared" si="610"/>
        <v>0</v>
      </c>
      <c r="AN1771" s="498">
        <f t="shared" si="611"/>
        <v>0</v>
      </c>
      <c r="AO1771" s="498">
        <f t="shared" si="612"/>
        <v>0</v>
      </c>
      <c r="AP1771" s="498">
        <f t="shared" si="631"/>
        <v>0</v>
      </c>
      <c r="AQ1771" s="498">
        <f t="shared" si="626"/>
        <v>0</v>
      </c>
      <c r="AU1771" s="498">
        <f t="shared" si="613"/>
        <v>0</v>
      </c>
      <c r="AV1771" s="498">
        <f t="shared" si="614"/>
        <v>0</v>
      </c>
      <c r="AW1771" s="498">
        <f t="shared" si="615"/>
        <v>0</v>
      </c>
      <c r="AX1771" s="498">
        <f t="shared" si="616"/>
        <v>0</v>
      </c>
      <c r="AY1771" s="498">
        <f t="shared" si="617"/>
        <v>0</v>
      </c>
      <c r="BB1771" s="498" t="str">
        <f t="shared" si="618"/>
        <v/>
      </c>
      <c r="BC1771" s="743" t="str">
        <f t="shared" si="619"/>
        <v/>
      </c>
      <c r="BD1771" s="743" t="str">
        <f t="shared" si="620"/>
        <v/>
      </c>
      <c r="BE1771" s="743" t="str">
        <f>IF(D1771="","",VLOOKUP(D1771,'General Basis'!$J$39:$K$46,2,0))</f>
        <v/>
      </c>
      <c r="BF1771" s="744" t="str">
        <f>IF(D1771="","",VLOOKUP(D1771,'General Basis'!$J$39:$L$46,3,0))</f>
        <v/>
      </c>
      <c r="BG1771" s="744" t="str">
        <f t="shared" si="627"/>
        <v/>
      </c>
      <c r="BH1771" s="744" t="str">
        <f>IF(G1771="","",IF(BF1771="Abu Dhabi",IF(G1771&lt;18,'General Basis'!$C$39,IF(G1771&lt;41,'General Basis'!$C$40,IF(G1771&lt;60,'General Basis'!$C$41,IF(G1771&lt;65,'General Basis'!$C$42,'General Basis'!$C$43)))),IF(G1771&lt;11,'General Basis'!$B$39,IF(G1771&lt;18,'General Basis'!$B$40,IF(G1771&lt;26,'General Basis'!$B$41,IF(G1771&lt;31,'General Basis'!$B$42,IF(G1771&lt;36,'General Basis'!$B$43,IF(G1771&lt;41,'General Basis'!$B$44,IF(G1771&lt;46,'General Basis'!$B$45,IF(G1771&lt;51,'General Basis'!$B$46,IF(G1771&lt;56,'General Basis'!$B$47,IF(G1771&lt;60,'General Basis'!$B$48,IF(G1771&lt;65,'General Basis'!$B$49,'General Basis'!$B$50)))))))))))))</f>
        <v/>
      </c>
      <c r="BI1771" s="744" t="str">
        <f t="shared" si="621"/>
        <v/>
      </c>
      <c r="BJ1771" s="747" t="str">
        <f t="shared" si="628"/>
        <v/>
      </c>
      <c r="BK1771" s="498" t="str">
        <f t="shared" si="622"/>
        <v/>
      </c>
      <c r="BL1771" s="498" t="str">
        <f t="shared" si="623"/>
        <v/>
      </c>
    </row>
    <row r="1772" spans="1:64" x14ac:dyDescent="0.25">
      <c r="A1772" s="762">
        <f t="shared" si="624"/>
        <v>1767</v>
      </c>
      <c r="B1772" s="229"/>
      <c r="C1772" s="223"/>
      <c r="D1772" s="224"/>
      <c r="E1772" s="225"/>
      <c r="F1772" s="1036" t="str">
        <f t="shared" si="630"/>
        <v/>
      </c>
      <c r="G1772" s="1037" t="str">
        <f t="shared" si="625"/>
        <v/>
      </c>
      <c r="H1772" s="225"/>
      <c r="I1772" s="1013"/>
      <c r="J1772" s="1013"/>
      <c r="K1772" s="1028"/>
      <c r="L1772" s="1035" t="str">
        <f t="shared" si="629"/>
        <v/>
      </c>
      <c r="S1772" s="498"/>
      <c r="AJ1772" s="498"/>
      <c r="AM1772" s="498">
        <f t="shared" si="610"/>
        <v>0</v>
      </c>
      <c r="AN1772" s="498">
        <f t="shared" si="611"/>
        <v>0</v>
      </c>
      <c r="AO1772" s="498">
        <f t="shared" si="612"/>
        <v>0</v>
      </c>
      <c r="AP1772" s="498">
        <f t="shared" si="631"/>
        <v>0</v>
      </c>
      <c r="AQ1772" s="498">
        <f t="shared" si="626"/>
        <v>0</v>
      </c>
      <c r="AU1772" s="498">
        <f t="shared" si="613"/>
        <v>0</v>
      </c>
      <c r="AV1772" s="498">
        <f t="shared" si="614"/>
        <v>0</v>
      </c>
      <c r="AW1772" s="498">
        <f t="shared" si="615"/>
        <v>0</v>
      </c>
      <c r="AX1772" s="498">
        <f t="shared" si="616"/>
        <v>0</v>
      </c>
      <c r="AY1772" s="498">
        <f t="shared" si="617"/>
        <v>0</v>
      </c>
      <c r="BB1772" s="498" t="str">
        <f t="shared" si="618"/>
        <v/>
      </c>
      <c r="BC1772" s="743" t="str">
        <f t="shared" si="619"/>
        <v/>
      </c>
      <c r="BD1772" s="743" t="str">
        <f t="shared" si="620"/>
        <v/>
      </c>
      <c r="BE1772" s="743" t="str">
        <f>IF(D1772="","",VLOOKUP(D1772,'General Basis'!$J$39:$K$46,2,0))</f>
        <v/>
      </c>
      <c r="BF1772" s="744" t="str">
        <f>IF(D1772="","",VLOOKUP(D1772,'General Basis'!$J$39:$L$46,3,0))</f>
        <v/>
      </c>
      <c r="BG1772" s="744" t="str">
        <f t="shared" si="627"/>
        <v/>
      </c>
      <c r="BH1772" s="744" t="str">
        <f>IF(G1772="","",IF(BF1772="Abu Dhabi",IF(G1772&lt;18,'General Basis'!$C$39,IF(G1772&lt;41,'General Basis'!$C$40,IF(G1772&lt;60,'General Basis'!$C$41,IF(G1772&lt;65,'General Basis'!$C$42,'General Basis'!$C$43)))),IF(G1772&lt;11,'General Basis'!$B$39,IF(G1772&lt;18,'General Basis'!$B$40,IF(G1772&lt;26,'General Basis'!$B$41,IF(G1772&lt;31,'General Basis'!$B$42,IF(G1772&lt;36,'General Basis'!$B$43,IF(G1772&lt;41,'General Basis'!$B$44,IF(G1772&lt;46,'General Basis'!$B$45,IF(G1772&lt;51,'General Basis'!$B$46,IF(G1772&lt;56,'General Basis'!$B$47,IF(G1772&lt;60,'General Basis'!$B$48,IF(G1772&lt;65,'General Basis'!$B$49,'General Basis'!$B$50)))))))))))))</f>
        <v/>
      </c>
      <c r="BI1772" s="744" t="str">
        <f t="shared" si="621"/>
        <v/>
      </c>
      <c r="BJ1772" s="747" t="str">
        <f t="shared" si="628"/>
        <v/>
      </c>
      <c r="BK1772" s="498" t="str">
        <f t="shared" si="622"/>
        <v/>
      </c>
      <c r="BL1772" s="498" t="str">
        <f t="shared" si="623"/>
        <v/>
      </c>
    </row>
    <row r="1773" spans="1:64" x14ac:dyDescent="0.25">
      <c r="A1773" s="762">
        <f t="shared" si="624"/>
        <v>1768</v>
      </c>
      <c r="B1773" s="229"/>
      <c r="C1773" s="223"/>
      <c r="D1773" s="224"/>
      <c r="E1773" s="225"/>
      <c r="F1773" s="1036" t="str">
        <f t="shared" si="630"/>
        <v/>
      </c>
      <c r="G1773" s="1037" t="str">
        <f t="shared" si="625"/>
        <v/>
      </c>
      <c r="H1773" s="225"/>
      <c r="I1773" s="1013"/>
      <c r="J1773" s="1013"/>
      <c r="K1773" s="1028"/>
      <c r="L1773" s="1035" t="str">
        <f t="shared" si="629"/>
        <v/>
      </c>
      <c r="S1773" s="498"/>
      <c r="AJ1773" s="498"/>
      <c r="AM1773" s="498">
        <f t="shared" si="610"/>
        <v>0</v>
      </c>
      <c r="AN1773" s="498">
        <f t="shared" si="611"/>
        <v>0</v>
      </c>
      <c r="AO1773" s="498">
        <f t="shared" si="612"/>
        <v>0</v>
      </c>
      <c r="AP1773" s="498">
        <f t="shared" si="631"/>
        <v>0</v>
      </c>
      <c r="AQ1773" s="498">
        <f t="shared" si="626"/>
        <v>0</v>
      </c>
      <c r="AU1773" s="498">
        <f t="shared" si="613"/>
        <v>0</v>
      </c>
      <c r="AV1773" s="498">
        <f t="shared" si="614"/>
        <v>0</v>
      </c>
      <c r="AW1773" s="498">
        <f t="shared" si="615"/>
        <v>0</v>
      </c>
      <c r="AX1773" s="498">
        <f t="shared" si="616"/>
        <v>0</v>
      </c>
      <c r="AY1773" s="498">
        <f t="shared" si="617"/>
        <v>0</v>
      </c>
      <c r="BB1773" s="498" t="str">
        <f t="shared" si="618"/>
        <v/>
      </c>
      <c r="BC1773" s="743" t="str">
        <f t="shared" si="619"/>
        <v/>
      </c>
      <c r="BD1773" s="743" t="str">
        <f t="shared" si="620"/>
        <v/>
      </c>
      <c r="BE1773" s="743" t="str">
        <f>IF(D1773="","",VLOOKUP(D1773,'General Basis'!$J$39:$K$46,2,0))</f>
        <v/>
      </c>
      <c r="BF1773" s="744" t="str">
        <f>IF(D1773="","",VLOOKUP(D1773,'General Basis'!$J$39:$L$46,3,0))</f>
        <v/>
      </c>
      <c r="BG1773" s="744" t="str">
        <f t="shared" si="627"/>
        <v/>
      </c>
      <c r="BH1773" s="744" t="str">
        <f>IF(G1773="","",IF(BF1773="Abu Dhabi",IF(G1773&lt;18,'General Basis'!$C$39,IF(G1773&lt;41,'General Basis'!$C$40,IF(G1773&lt;60,'General Basis'!$C$41,IF(G1773&lt;65,'General Basis'!$C$42,'General Basis'!$C$43)))),IF(G1773&lt;11,'General Basis'!$B$39,IF(G1773&lt;18,'General Basis'!$B$40,IF(G1773&lt;26,'General Basis'!$B$41,IF(G1773&lt;31,'General Basis'!$B$42,IF(G1773&lt;36,'General Basis'!$B$43,IF(G1773&lt;41,'General Basis'!$B$44,IF(G1773&lt;46,'General Basis'!$B$45,IF(G1773&lt;51,'General Basis'!$B$46,IF(G1773&lt;56,'General Basis'!$B$47,IF(G1773&lt;60,'General Basis'!$B$48,IF(G1773&lt;65,'General Basis'!$B$49,'General Basis'!$B$50)))))))))))))</f>
        <v/>
      </c>
      <c r="BI1773" s="744" t="str">
        <f t="shared" si="621"/>
        <v/>
      </c>
      <c r="BJ1773" s="747" t="str">
        <f t="shared" si="628"/>
        <v/>
      </c>
      <c r="BK1773" s="498" t="str">
        <f t="shared" si="622"/>
        <v/>
      </c>
      <c r="BL1773" s="498" t="str">
        <f t="shared" si="623"/>
        <v/>
      </c>
    </row>
    <row r="1774" spans="1:64" x14ac:dyDescent="0.25">
      <c r="A1774" s="762">
        <f t="shared" si="624"/>
        <v>1769</v>
      </c>
      <c r="B1774" s="229"/>
      <c r="C1774" s="223"/>
      <c r="D1774" s="224"/>
      <c r="E1774" s="225"/>
      <c r="F1774" s="1036" t="str">
        <f t="shared" si="630"/>
        <v/>
      </c>
      <c r="G1774" s="1037" t="str">
        <f t="shared" si="625"/>
        <v/>
      </c>
      <c r="H1774" s="225"/>
      <c r="I1774" s="1013"/>
      <c r="J1774" s="1013"/>
      <c r="K1774" s="1028"/>
      <c r="L1774" s="1035" t="str">
        <f t="shared" si="629"/>
        <v/>
      </c>
      <c r="S1774" s="498"/>
      <c r="AJ1774" s="498"/>
      <c r="AM1774" s="498">
        <f t="shared" si="610"/>
        <v>0</v>
      </c>
      <c r="AN1774" s="498">
        <f t="shared" si="611"/>
        <v>0</v>
      </c>
      <c r="AO1774" s="498">
        <f t="shared" si="612"/>
        <v>0</v>
      </c>
      <c r="AP1774" s="498">
        <f t="shared" si="631"/>
        <v>0</v>
      </c>
      <c r="AQ1774" s="498">
        <f t="shared" si="626"/>
        <v>0</v>
      </c>
      <c r="AU1774" s="498">
        <f t="shared" si="613"/>
        <v>0</v>
      </c>
      <c r="AV1774" s="498">
        <f t="shared" si="614"/>
        <v>0</v>
      </c>
      <c r="AW1774" s="498">
        <f t="shared" si="615"/>
        <v>0</v>
      </c>
      <c r="AX1774" s="498">
        <f t="shared" si="616"/>
        <v>0</v>
      </c>
      <c r="AY1774" s="498">
        <f t="shared" si="617"/>
        <v>0</v>
      </c>
      <c r="BB1774" s="498" t="str">
        <f t="shared" si="618"/>
        <v/>
      </c>
      <c r="BC1774" s="743" t="str">
        <f t="shared" si="619"/>
        <v/>
      </c>
      <c r="BD1774" s="743" t="str">
        <f t="shared" si="620"/>
        <v/>
      </c>
      <c r="BE1774" s="743" t="str">
        <f>IF(D1774="","",VLOOKUP(D1774,'General Basis'!$J$39:$K$46,2,0))</f>
        <v/>
      </c>
      <c r="BF1774" s="744" t="str">
        <f>IF(D1774="","",VLOOKUP(D1774,'General Basis'!$J$39:$L$46,3,0))</f>
        <v/>
      </c>
      <c r="BG1774" s="744" t="str">
        <f t="shared" si="627"/>
        <v/>
      </c>
      <c r="BH1774" s="744" t="str">
        <f>IF(G1774="","",IF(BF1774="Abu Dhabi",IF(G1774&lt;18,'General Basis'!$C$39,IF(G1774&lt;41,'General Basis'!$C$40,IF(G1774&lt;60,'General Basis'!$C$41,IF(G1774&lt;65,'General Basis'!$C$42,'General Basis'!$C$43)))),IF(G1774&lt;11,'General Basis'!$B$39,IF(G1774&lt;18,'General Basis'!$B$40,IF(G1774&lt;26,'General Basis'!$B$41,IF(G1774&lt;31,'General Basis'!$B$42,IF(G1774&lt;36,'General Basis'!$B$43,IF(G1774&lt;41,'General Basis'!$B$44,IF(G1774&lt;46,'General Basis'!$B$45,IF(G1774&lt;51,'General Basis'!$B$46,IF(G1774&lt;56,'General Basis'!$B$47,IF(G1774&lt;60,'General Basis'!$B$48,IF(G1774&lt;65,'General Basis'!$B$49,'General Basis'!$B$50)))))))))))))</f>
        <v/>
      </c>
      <c r="BI1774" s="744" t="str">
        <f t="shared" si="621"/>
        <v/>
      </c>
      <c r="BJ1774" s="747" t="str">
        <f t="shared" si="628"/>
        <v/>
      </c>
      <c r="BK1774" s="498" t="str">
        <f t="shared" si="622"/>
        <v/>
      </c>
      <c r="BL1774" s="498" t="str">
        <f t="shared" si="623"/>
        <v/>
      </c>
    </row>
    <row r="1775" spans="1:64" x14ac:dyDescent="0.25">
      <c r="A1775" s="762">
        <f t="shared" si="624"/>
        <v>1770</v>
      </c>
      <c r="B1775" s="229"/>
      <c r="C1775" s="223"/>
      <c r="D1775" s="224"/>
      <c r="E1775" s="225"/>
      <c r="F1775" s="1036" t="str">
        <f t="shared" si="630"/>
        <v/>
      </c>
      <c r="G1775" s="1037" t="str">
        <f t="shared" si="625"/>
        <v/>
      </c>
      <c r="H1775" s="225"/>
      <c r="I1775" s="1013"/>
      <c r="J1775" s="1013"/>
      <c r="K1775" s="1028"/>
      <c r="L1775" s="1035" t="str">
        <f t="shared" si="629"/>
        <v/>
      </c>
      <c r="S1775" s="498"/>
      <c r="AJ1775" s="498"/>
      <c r="AM1775" s="498">
        <f t="shared" si="610"/>
        <v>0</v>
      </c>
      <c r="AN1775" s="498">
        <f t="shared" si="611"/>
        <v>0</v>
      </c>
      <c r="AO1775" s="498">
        <f t="shared" si="612"/>
        <v>0</v>
      </c>
      <c r="AP1775" s="498">
        <f t="shared" si="631"/>
        <v>0</v>
      </c>
      <c r="AQ1775" s="498">
        <f t="shared" si="626"/>
        <v>0</v>
      </c>
      <c r="AU1775" s="498">
        <f t="shared" si="613"/>
        <v>0</v>
      </c>
      <c r="AV1775" s="498">
        <f t="shared" si="614"/>
        <v>0</v>
      </c>
      <c r="AW1775" s="498">
        <f t="shared" si="615"/>
        <v>0</v>
      </c>
      <c r="AX1775" s="498">
        <f t="shared" si="616"/>
        <v>0</v>
      </c>
      <c r="AY1775" s="498">
        <f t="shared" si="617"/>
        <v>0</v>
      </c>
      <c r="BB1775" s="498" t="str">
        <f t="shared" si="618"/>
        <v/>
      </c>
      <c r="BC1775" s="743" t="str">
        <f t="shared" si="619"/>
        <v/>
      </c>
      <c r="BD1775" s="743" t="str">
        <f t="shared" si="620"/>
        <v/>
      </c>
      <c r="BE1775" s="743" t="str">
        <f>IF(D1775="","",VLOOKUP(D1775,'General Basis'!$J$39:$K$46,2,0))</f>
        <v/>
      </c>
      <c r="BF1775" s="744" t="str">
        <f>IF(D1775="","",VLOOKUP(D1775,'General Basis'!$J$39:$L$46,3,0))</f>
        <v/>
      </c>
      <c r="BG1775" s="744" t="str">
        <f t="shared" si="627"/>
        <v/>
      </c>
      <c r="BH1775" s="744" t="str">
        <f>IF(G1775="","",IF(BF1775="Abu Dhabi",IF(G1775&lt;18,'General Basis'!$C$39,IF(G1775&lt;41,'General Basis'!$C$40,IF(G1775&lt;60,'General Basis'!$C$41,IF(G1775&lt;65,'General Basis'!$C$42,'General Basis'!$C$43)))),IF(G1775&lt;11,'General Basis'!$B$39,IF(G1775&lt;18,'General Basis'!$B$40,IF(G1775&lt;26,'General Basis'!$B$41,IF(G1775&lt;31,'General Basis'!$B$42,IF(G1775&lt;36,'General Basis'!$B$43,IF(G1775&lt;41,'General Basis'!$B$44,IF(G1775&lt;46,'General Basis'!$B$45,IF(G1775&lt;51,'General Basis'!$B$46,IF(G1775&lt;56,'General Basis'!$B$47,IF(G1775&lt;60,'General Basis'!$B$48,IF(G1775&lt;65,'General Basis'!$B$49,'General Basis'!$B$50)))))))))))))</f>
        <v/>
      </c>
      <c r="BI1775" s="744" t="str">
        <f t="shared" si="621"/>
        <v/>
      </c>
      <c r="BJ1775" s="747" t="str">
        <f t="shared" si="628"/>
        <v/>
      </c>
      <c r="BK1775" s="498" t="str">
        <f t="shared" si="622"/>
        <v/>
      </c>
      <c r="BL1775" s="498" t="str">
        <f t="shared" si="623"/>
        <v/>
      </c>
    </row>
    <row r="1776" spans="1:64" x14ac:dyDescent="0.25">
      <c r="A1776" s="762">
        <f t="shared" si="624"/>
        <v>1771</v>
      </c>
      <c r="B1776" s="229"/>
      <c r="C1776" s="223"/>
      <c r="D1776" s="224"/>
      <c r="E1776" s="225"/>
      <c r="F1776" s="1036" t="str">
        <f t="shared" si="630"/>
        <v/>
      </c>
      <c r="G1776" s="1037" t="str">
        <f t="shared" si="625"/>
        <v/>
      </c>
      <c r="H1776" s="225"/>
      <c r="I1776" s="1013"/>
      <c r="J1776" s="1013"/>
      <c r="K1776" s="1028"/>
      <c r="L1776" s="1035" t="str">
        <f t="shared" si="629"/>
        <v/>
      </c>
      <c r="S1776" s="498"/>
      <c r="AJ1776" s="498"/>
      <c r="AM1776" s="498">
        <f t="shared" si="610"/>
        <v>0</v>
      </c>
      <c r="AN1776" s="498">
        <f t="shared" si="611"/>
        <v>0</v>
      </c>
      <c r="AO1776" s="498">
        <f t="shared" si="612"/>
        <v>0</v>
      </c>
      <c r="AP1776" s="498">
        <f t="shared" si="631"/>
        <v>0</v>
      </c>
      <c r="AQ1776" s="498">
        <f t="shared" si="626"/>
        <v>0</v>
      </c>
      <c r="AU1776" s="498">
        <f t="shared" si="613"/>
        <v>0</v>
      </c>
      <c r="AV1776" s="498">
        <f t="shared" si="614"/>
        <v>0</v>
      </c>
      <c r="AW1776" s="498">
        <f t="shared" si="615"/>
        <v>0</v>
      </c>
      <c r="AX1776" s="498">
        <f t="shared" si="616"/>
        <v>0</v>
      </c>
      <c r="AY1776" s="498">
        <f t="shared" si="617"/>
        <v>0</v>
      </c>
      <c r="BB1776" s="498" t="str">
        <f t="shared" si="618"/>
        <v/>
      </c>
      <c r="BC1776" s="743" t="str">
        <f t="shared" si="619"/>
        <v/>
      </c>
      <c r="BD1776" s="743" t="str">
        <f t="shared" si="620"/>
        <v/>
      </c>
      <c r="BE1776" s="743" t="str">
        <f>IF(D1776="","",VLOOKUP(D1776,'General Basis'!$J$39:$K$46,2,0))</f>
        <v/>
      </c>
      <c r="BF1776" s="744" t="str">
        <f>IF(D1776="","",VLOOKUP(D1776,'General Basis'!$J$39:$L$46,3,0))</f>
        <v/>
      </c>
      <c r="BG1776" s="744" t="str">
        <f t="shared" si="627"/>
        <v/>
      </c>
      <c r="BH1776" s="744" t="str">
        <f>IF(G1776="","",IF(BF1776="Abu Dhabi",IF(G1776&lt;18,'General Basis'!$C$39,IF(G1776&lt;41,'General Basis'!$C$40,IF(G1776&lt;60,'General Basis'!$C$41,IF(G1776&lt;65,'General Basis'!$C$42,'General Basis'!$C$43)))),IF(G1776&lt;11,'General Basis'!$B$39,IF(G1776&lt;18,'General Basis'!$B$40,IF(G1776&lt;26,'General Basis'!$B$41,IF(G1776&lt;31,'General Basis'!$B$42,IF(G1776&lt;36,'General Basis'!$B$43,IF(G1776&lt;41,'General Basis'!$B$44,IF(G1776&lt;46,'General Basis'!$B$45,IF(G1776&lt;51,'General Basis'!$B$46,IF(G1776&lt;56,'General Basis'!$B$47,IF(G1776&lt;60,'General Basis'!$B$48,IF(G1776&lt;65,'General Basis'!$B$49,'General Basis'!$B$50)))))))))))))</f>
        <v/>
      </c>
      <c r="BI1776" s="744" t="str">
        <f t="shared" si="621"/>
        <v/>
      </c>
      <c r="BJ1776" s="747" t="str">
        <f t="shared" si="628"/>
        <v/>
      </c>
      <c r="BK1776" s="498" t="str">
        <f t="shared" si="622"/>
        <v/>
      </c>
      <c r="BL1776" s="498" t="str">
        <f t="shared" si="623"/>
        <v/>
      </c>
    </row>
    <row r="1777" spans="1:64" x14ac:dyDescent="0.25">
      <c r="A1777" s="762">
        <f t="shared" si="624"/>
        <v>1772</v>
      </c>
      <c r="B1777" s="229"/>
      <c r="C1777" s="223"/>
      <c r="D1777" s="224"/>
      <c r="E1777" s="225"/>
      <c r="F1777" s="1036" t="str">
        <f t="shared" si="630"/>
        <v/>
      </c>
      <c r="G1777" s="1037" t="str">
        <f t="shared" si="625"/>
        <v/>
      </c>
      <c r="H1777" s="225"/>
      <c r="I1777" s="1013"/>
      <c r="J1777" s="1013"/>
      <c r="K1777" s="1028"/>
      <c r="L1777" s="1035" t="str">
        <f t="shared" si="629"/>
        <v/>
      </c>
      <c r="S1777" s="498"/>
      <c r="AJ1777" s="498"/>
      <c r="AM1777" s="498">
        <f t="shared" si="610"/>
        <v>0</v>
      </c>
      <c r="AN1777" s="498">
        <f t="shared" si="611"/>
        <v>0</v>
      </c>
      <c r="AO1777" s="498">
        <f t="shared" si="612"/>
        <v>0</v>
      </c>
      <c r="AP1777" s="498">
        <f t="shared" si="631"/>
        <v>0</v>
      </c>
      <c r="AQ1777" s="498">
        <f t="shared" si="626"/>
        <v>0</v>
      </c>
      <c r="AU1777" s="498">
        <f t="shared" si="613"/>
        <v>0</v>
      </c>
      <c r="AV1777" s="498">
        <f t="shared" si="614"/>
        <v>0</v>
      </c>
      <c r="AW1777" s="498">
        <f t="shared" si="615"/>
        <v>0</v>
      </c>
      <c r="AX1777" s="498">
        <f t="shared" si="616"/>
        <v>0</v>
      </c>
      <c r="AY1777" s="498">
        <f t="shared" si="617"/>
        <v>0</v>
      </c>
      <c r="BB1777" s="498" t="str">
        <f t="shared" si="618"/>
        <v/>
      </c>
      <c r="BC1777" s="743" t="str">
        <f t="shared" si="619"/>
        <v/>
      </c>
      <c r="BD1777" s="743" t="str">
        <f t="shared" si="620"/>
        <v/>
      </c>
      <c r="BE1777" s="743" t="str">
        <f>IF(D1777="","",VLOOKUP(D1777,'General Basis'!$J$39:$K$46,2,0))</f>
        <v/>
      </c>
      <c r="BF1777" s="744" t="str">
        <f>IF(D1777="","",VLOOKUP(D1777,'General Basis'!$J$39:$L$46,3,0))</f>
        <v/>
      </c>
      <c r="BG1777" s="744" t="str">
        <f t="shared" si="627"/>
        <v/>
      </c>
      <c r="BH1777" s="744" t="str">
        <f>IF(G1777="","",IF(BF1777="Abu Dhabi",IF(G1777&lt;18,'General Basis'!$C$39,IF(G1777&lt;41,'General Basis'!$C$40,IF(G1777&lt;60,'General Basis'!$C$41,IF(G1777&lt;65,'General Basis'!$C$42,'General Basis'!$C$43)))),IF(G1777&lt;11,'General Basis'!$B$39,IF(G1777&lt;18,'General Basis'!$B$40,IF(G1777&lt;26,'General Basis'!$B$41,IF(G1777&lt;31,'General Basis'!$B$42,IF(G1777&lt;36,'General Basis'!$B$43,IF(G1777&lt;41,'General Basis'!$B$44,IF(G1777&lt;46,'General Basis'!$B$45,IF(G1777&lt;51,'General Basis'!$B$46,IF(G1777&lt;56,'General Basis'!$B$47,IF(G1777&lt;60,'General Basis'!$B$48,IF(G1777&lt;65,'General Basis'!$B$49,'General Basis'!$B$50)))))))))))))</f>
        <v/>
      </c>
      <c r="BI1777" s="744" t="str">
        <f t="shared" si="621"/>
        <v/>
      </c>
      <c r="BJ1777" s="747" t="str">
        <f t="shared" si="628"/>
        <v/>
      </c>
      <c r="BK1777" s="498" t="str">
        <f t="shared" si="622"/>
        <v/>
      </c>
      <c r="BL1777" s="498" t="str">
        <f t="shared" si="623"/>
        <v/>
      </c>
    </row>
    <row r="1778" spans="1:64" x14ac:dyDescent="0.25">
      <c r="A1778" s="762">
        <f t="shared" si="624"/>
        <v>1773</v>
      </c>
      <c r="B1778" s="229"/>
      <c r="C1778" s="223"/>
      <c r="D1778" s="224"/>
      <c r="E1778" s="225"/>
      <c r="F1778" s="1036" t="str">
        <f t="shared" si="630"/>
        <v/>
      </c>
      <c r="G1778" s="1037" t="str">
        <f t="shared" si="625"/>
        <v/>
      </c>
      <c r="H1778" s="225"/>
      <c r="I1778" s="1013"/>
      <c r="J1778" s="1013"/>
      <c r="K1778" s="1028"/>
      <c r="L1778" s="1035" t="str">
        <f t="shared" si="629"/>
        <v/>
      </c>
      <c r="S1778" s="498"/>
      <c r="AJ1778" s="498"/>
      <c r="AM1778" s="498">
        <f t="shared" si="610"/>
        <v>0</v>
      </c>
      <c r="AN1778" s="498">
        <f t="shared" si="611"/>
        <v>0</v>
      </c>
      <c r="AO1778" s="498">
        <f t="shared" si="612"/>
        <v>0</v>
      </c>
      <c r="AP1778" s="498">
        <f t="shared" si="631"/>
        <v>0</v>
      </c>
      <c r="AQ1778" s="498">
        <f t="shared" si="626"/>
        <v>0</v>
      </c>
      <c r="AU1778" s="498">
        <f t="shared" si="613"/>
        <v>0</v>
      </c>
      <c r="AV1778" s="498">
        <f t="shared" si="614"/>
        <v>0</v>
      </c>
      <c r="AW1778" s="498">
        <f t="shared" si="615"/>
        <v>0</v>
      </c>
      <c r="AX1778" s="498">
        <f t="shared" si="616"/>
        <v>0</v>
      </c>
      <c r="AY1778" s="498">
        <f t="shared" si="617"/>
        <v>0</v>
      </c>
      <c r="BB1778" s="498" t="str">
        <f t="shared" si="618"/>
        <v/>
      </c>
      <c r="BC1778" s="743" t="str">
        <f t="shared" si="619"/>
        <v/>
      </c>
      <c r="BD1778" s="743" t="str">
        <f t="shared" si="620"/>
        <v/>
      </c>
      <c r="BE1778" s="743" t="str">
        <f>IF(D1778="","",VLOOKUP(D1778,'General Basis'!$J$39:$K$46,2,0))</f>
        <v/>
      </c>
      <c r="BF1778" s="744" t="str">
        <f>IF(D1778="","",VLOOKUP(D1778,'General Basis'!$J$39:$L$46,3,0))</f>
        <v/>
      </c>
      <c r="BG1778" s="744" t="str">
        <f t="shared" si="627"/>
        <v/>
      </c>
      <c r="BH1778" s="744" t="str">
        <f>IF(G1778="","",IF(BF1778="Abu Dhabi",IF(G1778&lt;18,'General Basis'!$C$39,IF(G1778&lt;41,'General Basis'!$C$40,IF(G1778&lt;60,'General Basis'!$C$41,IF(G1778&lt;65,'General Basis'!$C$42,'General Basis'!$C$43)))),IF(G1778&lt;11,'General Basis'!$B$39,IF(G1778&lt;18,'General Basis'!$B$40,IF(G1778&lt;26,'General Basis'!$B$41,IF(G1778&lt;31,'General Basis'!$B$42,IF(G1778&lt;36,'General Basis'!$B$43,IF(G1778&lt;41,'General Basis'!$B$44,IF(G1778&lt;46,'General Basis'!$B$45,IF(G1778&lt;51,'General Basis'!$B$46,IF(G1778&lt;56,'General Basis'!$B$47,IF(G1778&lt;60,'General Basis'!$B$48,IF(G1778&lt;65,'General Basis'!$B$49,'General Basis'!$B$50)))))))))))))</f>
        <v/>
      </c>
      <c r="BI1778" s="744" t="str">
        <f t="shared" si="621"/>
        <v/>
      </c>
      <c r="BJ1778" s="747" t="str">
        <f t="shared" si="628"/>
        <v/>
      </c>
      <c r="BK1778" s="498" t="str">
        <f t="shared" si="622"/>
        <v/>
      </c>
      <c r="BL1778" s="498" t="str">
        <f t="shared" si="623"/>
        <v/>
      </c>
    </row>
    <row r="1779" spans="1:64" x14ac:dyDescent="0.25">
      <c r="A1779" s="762">
        <f t="shared" si="624"/>
        <v>1774</v>
      </c>
      <c r="B1779" s="229"/>
      <c r="C1779" s="223"/>
      <c r="D1779" s="224"/>
      <c r="E1779" s="225"/>
      <c r="F1779" s="1036" t="str">
        <f t="shared" si="630"/>
        <v/>
      </c>
      <c r="G1779" s="1037" t="str">
        <f t="shared" si="625"/>
        <v/>
      </c>
      <c r="H1779" s="225"/>
      <c r="I1779" s="1013"/>
      <c r="J1779" s="1013"/>
      <c r="K1779" s="1028"/>
      <c r="L1779" s="1035" t="str">
        <f t="shared" si="629"/>
        <v/>
      </c>
      <c r="S1779" s="498"/>
      <c r="AJ1779" s="498"/>
      <c r="AM1779" s="498">
        <f t="shared" si="610"/>
        <v>0</v>
      </c>
      <c r="AN1779" s="498">
        <f t="shared" si="611"/>
        <v>0</v>
      </c>
      <c r="AO1779" s="498">
        <f t="shared" si="612"/>
        <v>0</v>
      </c>
      <c r="AP1779" s="498">
        <f t="shared" si="631"/>
        <v>0</v>
      </c>
      <c r="AQ1779" s="498">
        <f t="shared" si="626"/>
        <v>0</v>
      </c>
      <c r="AU1779" s="498">
        <f t="shared" si="613"/>
        <v>0</v>
      </c>
      <c r="AV1779" s="498">
        <f t="shared" si="614"/>
        <v>0</v>
      </c>
      <c r="AW1779" s="498">
        <f t="shared" si="615"/>
        <v>0</v>
      </c>
      <c r="AX1779" s="498">
        <f t="shared" si="616"/>
        <v>0</v>
      </c>
      <c r="AY1779" s="498">
        <f t="shared" si="617"/>
        <v>0</v>
      </c>
      <c r="BB1779" s="498" t="str">
        <f t="shared" si="618"/>
        <v/>
      </c>
      <c r="BC1779" s="743" t="str">
        <f t="shared" si="619"/>
        <v/>
      </c>
      <c r="BD1779" s="743" t="str">
        <f t="shared" si="620"/>
        <v/>
      </c>
      <c r="BE1779" s="743" t="str">
        <f>IF(D1779="","",VLOOKUP(D1779,'General Basis'!$J$39:$K$46,2,0))</f>
        <v/>
      </c>
      <c r="BF1779" s="744" t="str">
        <f>IF(D1779="","",VLOOKUP(D1779,'General Basis'!$J$39:$L$46,3,0))</f>
        <v/>
      </c>
      <c r="BG1779" s="744" t="str">
        <f t="shared" si="627"/>
        <v/>
      </c>
      <c r="BH1779" s="744" t="str">
        <f>IF(G1779="","",IF(BF1779="Abu Dhabi",IF(G1779&lt;18,'General Basis'!$C$39,IF(G1779&lt;41,'General Basis'!$C$40,IF(G1779&lt;60,'General Basis'!$C$41,IF(G1779&lt;65,'General Basis'!$C$42,'General Basis'!$C$43)))),IF(G1779&lt;11,'General Basis'!$B$39,IF(G1779&lt;18,'General Basis'!$B$40,IF(G1779&lt;26,'General Basis'!$B$41,IF(G1779&lt;31,'General Basis'!$B$42,IF(G1779&lt;36,'General Basis'!$B$43,IF(G1779&lt;41,'General Basis'!$B$44,IF(G1779&lt;46,'General Basis'!$B$45,IF(G1779&lt;51,'General Basis'!$B$46,IF(G1779&lt;56,'General Basis'!$B$47,IF(G1779&lt;60,'General Basis'!$B$48,IF(G1779&lt;65,'General Basis'!$B$49,'General Basis'!$B$50)))))))))))))</f>
        <v/>
      </c>
      <c r="BI1779" s="744" t="str">
        <f t="shared" si="621"/>
        <v/>
      </c>
      <c r="BJ1779" s="747" t="str">
        <f t="shared" si="628"/>
        <v/>
      </c>
      <c r="BK1779" s="498" t="str">
        <f t="shared" si="622"/>
        <v/>
      </c>
      <c r="BL1779" s="498" t="str">
        <f t="shared" si="623"/>
        <v/>
      </c>
    </row>
    <row r="1780" spans="1:64" x14ac:dyDescent="0.25">
      <c r="A1780" s="762">
        <f t="shared" si="624"/>
        <v>1775</v>
      </c>
      <c r="B1780" s="229"/>
      <c r="C1780" s="223"/>
      <c r="D1780" s="224"/>
      <c r="E1780" s="225"/>
      <c r="F1780" s="1036" t="str">
        <f t="shared" si="630"/>
        <v/>
      </c>
      <c r="G1780" s="1037" t="str">
        <f t="shared" si="625"/>
        <v/>
      </c>
      <c r="H1780" s="225"/>
      <c r="I1780" s="1013"/>
      <c r="J1780" s="1013"/>
      <c r="K1780" s="1028"/>
      <c r="L1780" s="1035" t="str">
        <f t="shared" si="629"/>
        <v/>
      </c>
      <c r="S1780" s="498"/>
      <c r="AJ1780" s="498"/>
      <c r="AM1780" s="498">
        <f t="shared" si="610"/>
        <v>0</v>
      </c>
      <c r="AN1780" s="498">
        <f t="shared" si="611"/>
        <v>0</v>
      </c>
      <c r="AO1780" s="498">
        <f t="shared" si="612"/>
        <v>0</v>
      </c>
      <c r="AP1780" s="498">
        <f t="shared" si="631"/>
        <v>0</v>
      </c>
      <c r="AQ1780" s="498">
        <f t="shared" si="626"/>
        <v>0</v>
      </c>
      <c r="AU1780" s="498">
        <f t="shared" si="613"/>
        <v>0</v>
      </c>
      <c r="AV1780" s="498">
        <f t="shared" si="614"/>
        <v>0</v>
      </c>
      <c r="AW1780" s="498">
        <f t="shared" si="615"/>
        <v>0</v>
      </c>
      <c r="AX1780" s="498">
        <f t="shared" si="616"/>
        <v>0</v>
      </c>
      <c r="AY1780" s="498">
        <f t="shared" si="617"/>
        <v>0</v>
      </c>
      <c r="BB1780" s="498" t="str">
        <f t="shared" si="618"/>
        <v/>
      </c>
      <c r="BC1780" s="743" t="str">
        <f t="shared" si="619"/>
        <v/>
      </c>
      <c r="BD1780" s="743" t="str">
        <f t="shared" si="620"/>
        <v/>
      </c>
      <c r="BE1780" s="743" t="str">
        <f>IF(D1780="","",VLOOKUP(D1780,'General Basis'!$J$39:$K$46,2,0))</f>
        <v/>
      </c>
      <c r="BF1780" s="744" t="str">
        <f>IF(D1780="","",VLOOKUP(D1780,'General Basis'!$J$39:$L$46,3,0))</f>
        <v/>
      </c>
      <c r="BG1780" s="744" t="str">
        <f t="shared" si="627"/>
        <v/>
      </c>
      <c r="BH1780" s="744" t="str">
        <f>IF(G1780="","",IF(BF1780="Abu Dhabi",IF(G1780&lt;18,'General Basis'!$C$39,IF(G1780&lt;41,'General Basis'!$C$40,IF(G1780&lt;60,'General Basis'!$C$41,IF(G1780&lt;65,'General Basis'!$C$42,'General Basis'!$C$43)))),IF(G1780&lt;11,'General Basis'!$B$39,IF(G1780&lt;18,'General Basis'!$B$40,IF(G1780&lt;26,'General Basis'!$B$41,IF(G1780&lt;31,'General Basis'!$B$42,IF(G1780&lt;36,'General Basis'!$B$43,IF(G1780&lt;41,'General Basis'!$B$44,IF(G1780&lt;46,'General Basis'!$B$45,IF(G1780&lt;51,'General Basis'!$B$46,IF(G1780&lt;56,'General Basis'!$B$47,IF(G1780&lt;60,'General Basis'!$B$48,IF(G1780&lt;65,'General Basis'!$B$49,'General Basis'!$B$50)))))))))))))</f>
        <v/>
      </c>
      <c r="BI1780" s="744" t="str">
        <f t="shared" si="621"/>
        <v/>
      </c>
      <c r="BJ1780" s="747" t="str">
        <f t="shared" si="628"/>
        <v/>
      </c>
      <c r="BK1780" s="498" t="str">
        <f t="shared" si="622"/>
        <v/>
      </c>
      <c r="BL1780" s="498" t="str">
        <f t="shared" si="623"/>
        <v/>
      </c>
    </row>
    <row r="1781" spans="1:64" x14ac:dyDescent="0.25">
      <c r="A1781" s="762">
        <f t="shared" si="624"/>
        <v>1776</v>
      </c>
      <c r="B1781" s="229"/>
      <c r="C1781" s="223"/>
      <c r="D1781" s="224"/>
      <c r="E1781" s="225"/>
      <c r="F1781" s="1036" t="str">
        <f t="shared" si="630"/>
        <v/>
      </c>
      <c r="G1781" s="1037" t="str">
        <f t="shared" si="625"/>
        <v/>
      </c>
      <c r="H1781" s="225"/>
      <c r="I1781" s="1013"/>
      <c r="J1781" s="1013"/>
      <c r="K1781" s="1028"/>
      <c r="L1781" s="1035" t="str">
        <f t="shared" si="629"/>
        <v/>
      </c>
      <c r="S1781" s="498"/>
      <c r="AJ1781" s="498"/>
      <c r="AM1781" s="498">
        <f t="shared" si="610"/>
        <v>0</v>
      </c>
      <c r="AN1781" s="498">
        <f t="shared" si="611"/>
        <v>0</v>
      </c>
      <c r="AO1781" s="498">
        <f t="shared" si="612"/>
        <v>0</v>
      </c>
      <c r="AP1781" s="498">
        <f t="shared" si="631"/>
        <v>0</v>
      </c>
      <c r="AQ1781" s="498">
        <f t="shared" si="626"/>
        <v>0</v>
      </c>
      <c r="AU1781" s="498">
        <f t="shared" si="613"/>
        <v>0</v>
      </c>
      <c r="AV1781" s="498">
        <f t="shared" si="614"/>
        <v>0</v>
      </c>
      <c r="AW1781" s="498">
        <f t="shared" si="615"/>
        <v>0</v>
      </c>
      <c r="AX1781" s="498">
        <f t="shared" si="616"/>
        <v>0</v>
      </c>
      <c r="AY1781" s="498">
        <f t="shared" si="617"/>
        <v>0</v>
      </c>
      <c r="BB1781" s="498" t="str">
        <f t="shared" si="618"/>
        <v/>
      </c>
      <c r="BC1781" s="743" t="str">
        <f t="shared" si="619"/>
        <v/>
      </c>
      <c r="BD1781" s="743" t="str">
        <f t="shared" si="620"/>
        <v/>
      </c>
      <c r="BE1781" s="743" t="str">
        <f>IF(D1781="","",VLOOKUP(D1781,'General Basis'!$J$39:$K$46,2,0))</f>
        <v/>
      </c>
      <c r="BF1781" s="744" t="str">
        <f>IF(D1781="","",VLOOKUP(D1781,'General Basis'!$J$39:$L$46,3,0))</f>
        <v/>
      </c>
      <c r="BG1781" s="744" t="str">
        <f t="shared" si="627"/>
        <v/>
      </c>
      <c r="BH1781" s="744" t="str">
        <f>IF(G1781="","",IF(BF1781="Abu Dhabi",IF(G1781&lt;18,'General Basis'!$C$39,IF(G1781&lt;41,'General Basis'!$C$40,IF(G1781&lt;60,'General Basis'!$C$41,IF(G1781&lt;65,'General Basis'!$C$42,'General Basis'!$C$43)))),IF(G1781&lt;11,'General Basis'!$B$39,IF(G1781&lt;18,'General Basis'!$B$40,IF(G1781&lt;26,'General Basis'!$B$41,IF(G1781&lt;31,'General Basis'!$B$42,IF(G1781&lt;36,'General Basis'!$B$43,IF(G1781&lt;41,'General Basis'!$B$44,IF(G1781&lt;46,'General Basis'!$B$45,IF(G1781&lt;51,'General Basis'!$B$46,IF(G1781&lt;56,'General Basis'!$B$47,IF(G1781&lt;60,'General Basis'!$B$48,IF(G1781&lt;65,'General Basis'!$B$49,'General Basis'!$B$50)))))))))))))</f>
        <v/>
      </c>
      <c r="BI1781" s="744" t="str">
        <f t="shared" si="621"/>
        <v/>
      </c>
      <c r="BJ1781" s="747" t="str">
        <f t="shared" si="628"/>
        <v/>
      </c>
      <c r="BK1781" s="498" t="str">
        <f t="shared" si="622"/>
        <v/>
      </c>
      <c r="BL1781" s="498" t="str">
        <f t="shared" si="623"/>
        <v/>
      </c>
    </row>
    <row r="1782" spans="1:64" x14ac:dyDescent="0.25">
      <c r="A1782" s="762">
        <f t="shared" si="624"/>
        <v>1777</v>
      </c>
      <c r="B1782" s="229"/>
      <c r="C1782" s="223"/>
      <c r="D1782" s="224"/>
      <c r="E1782" s="225"/>
      <c r="F1782" s="1036" t="str">
        <f t="shared" si="630"/>
        <v/>
      </c>
      <c r="G1782" s="1037" t="str">
        <f t="shared" si="625"/>
        <v/>
      </c>
      <c r="H1782" s="225"/>
      <c r="I1782" s="1013"/>
      <c r="J1782" s="1013"/>
      <c r="K1782" s="1028"/>
      <c r="L1782" s="1035" t="str">
        <f t="shared" si="629"/>
        <v/>
      </c>
      <c r="S1782" s="498"/>
      <c r="AJ1782" s="498"/>
      <c r="AM1782" s="498">
        <f t="shared" si="610"/>
        <v>0</v>
      </c>
      <c r="AN1782" s="498">
        <f t="shared" si="611"/>
        <v>0</v>
      </c>
      <c r="AO1782" s="498">
        <f t="shared" si="612"/>
        <v>0</v>
      </c>
      <c r="AP1782" s="498">
        <f t="shared" si="631"/>
        <v>0</v>
      </c>
      <c r="AQ1782" s="498">
        <f t="shared" si="626"/>
        <v>0</v>
      </c>
      <c r="AU1782" s="498">
        <f t="shared" si="613"/>
        <v>0</v>
      </c>
      <c r="AV1782" s="498">
        <f t="shared" si="614"/>
        <v>0</v>
      </c>
      <c r="AW1782" s="498">
        <f t="shared" si="615"/>
        <v>0</v>
      </c>
      <c r="AX1782" s="498">
        <f t="shared" si="616"/>
        <v>0</v>
      </c>
      <c r="AY1782" s="498">
        <f t="shared" si="617"/>
        <v>0</v>
      </c>
      <c r="BB1782" s="498" t="str">
        <f t="shared" si="618"/>
        <v/>
      </c>
      <c r="BC1782" s="743" t="str">
        <f t="shared" si="619"/>
        <v/>
      </c>
      <c r="BD1782" s="743" t="str">
        <f t="shared" si="620"/>
        <v/>
      </c>
      <c r="BE1782" s="743" t="str">
        <f>IF(D1782="","",VLOOKUP(D1782,'General Basis'!$J$39:$K$46,2,0))</f>
        <v/>
      </c>
      <c r="BF1782" s="744" t="str">
        <f>IF(D1782="","",VLOOKUP(D1782,'General Basis'!$J$39:$L$46,3,0))</f>
        <v/>
      </c>
      <c r="BG1782" s="744" t="str">
        <f t="shared" si="627"/>
        <v/>
      </c>
      <c r="BH1782" s="744" t="str">
        <f>IF(G1782="","",IF(BF1782="Abu Dhabi",IF(G1782&lt;18,'General Basis'!$C$39,IF(G1782&lt;41,'General Basis'!$C$40,IF(G1782&lt;60,'General Basis'!$C$41,IF(G1782&lt;65,'General Basis'!$C$42,'General Basis'!$C$43)))),IF(G1782&lt;11,'General Basis'!$B$39,IF(G1782&lt;18,'General Basis'!$B$40,IF(G1782&lt;26,'General Basis'!$B$41,IF(G1782&lt;31,'General Basis'!$B$42,IF(G1782&lt;36,'General Basis'!$B$43,IF(G1782&lt;41,'General Basis'!$B$44,IF(G1782&lt;46,'General Basis'!$B$45,IF(G1782&lt;51,'General Basis'!$B$46,IF(G1782&lt;56,'General Basis'!$B$47,IF(G1782&lt;60,'General Basis'!$B$48,IF(G1782&lt;65,'General Basis'!$B$49,'General Basis'!$B$50)))))))))))))</f>
        <v/>
      </c>
      <c r="BI1782" s="744" t="str">
        <f t="shared" si="621"/>
        <v/>
      </c>
      <c r="BJ1782" s="747" t="str">
        <f t="shared" si="628"/>
        <v/>
      </c>
      <c r="BK1782" s="498" t="str">
        <f t="shared" si="622"/>
        <v/>
      </c>
      <c r="BL1782" s="498" t="str">
        <f t="shared" si="623"/>
        <v/>
      </c>
    </row>
    <row r="1783" spans="1:64" x14ac:dyDescent="0.25">
      <c r="A1783" s="762">
        <f t="shared" si="624"/>
        <v>1778</v>
      </c>
      <c r="B1783" s="229"/>
      <c r="C1783" s="223"/>
      <c r="D1783" s="224"/>
      <c r="E1783" s="225"/>
      <c r="F1783" s="1036" t="str">
        <f t="shared" si="630"/>
        <v/>
      </c>
      <c r="G1783" s="1037" t="str">
        <f t="shared" si="625"/>
        <v/>
      </c>
      <c r="H1783" s="225"/>
      <c r="I1783" s="1013"/>
      <c r="J1783" s="1013"/>
      <c r="K1783" s="1028"/>
      <c r="L1783" s="1035" t="str">
        <f t="shared" si="629"/>
        <v/>
      </c>
      <c r="S1783" s="498"/>
      <c r="AJ1783" s="498"/>
      <c r="AM1783" s="498">
        <f t="shared" si="610"/>
        <v>0</v>
      </c>
      <c r="AN1783" s="498">
        <f t="shared" si="611"/>
        <v>0</v>
      </c>
      <c r="AO1783" s="498">
        <f t="shared" si="612"/>
        <v>0</v>
      </c>
      <c r="AP1783" s="498">
        <f t="shared" si="631"/>
        <v>0</v>
      </c>
      <c r="AQ1783" s="498">
        <f t="shared" si="626"/>
        <v>0</v>
      </c>
      <c r="AU1783" s="498">
        <f t="shared" si="613"/>
        <v>0</v>
      </c>
      <c r="AV1783" s="498">
        <f t="shared" si="614"/>
        <v>0</v>
      </c>
      <c r="AW1783" s="498">
        <f t="shared" si="615"/>
        <v>0</v>
      </c>
      <c r="AX1783" s="498">
        <f t="shared" si="616"/>
        <v>0</v>
      </c>
      <c r="AY1783" s="498">
        <f t="shared" si="617"/>
        <v>0</v>
      </c>
      <c r="BB1783" s="498" t="str">
        <f t="shared" si="618"/>
        <v/>
      </c>
      <c r="BC1783" s="743" t="str">
        <f t="shared" si="619"/>
        <v/>
      </c>
      <c r="BD1783" s="743" t="str">
        <f t="shared" si="620"/>
        <v/>
      </c>
      <c r="BE1783" s="743" t="str">
        <f>IF(D1783="","",VLOOKUP(D1783,'General Basis'!$J$39:$K$46,2,0))</f>
        <v/>
      </c>
      <c r="BF1783" s="744" t="str">
        <f>IF(D1783="","",VLOOKUP(D1783,'General Basis'!$J$39:$L$46,3,0))</f>
        <v/>
      </c>
      <c r="BG1783" s="744" t="str">
        <f t="shared" si="627"/>
        <v/>
      </c>
      <c r="BH1783" s="744" t="str">
        <f>IF(G1783="","",IF(BF1783="Abu Dhabi",IF(G1783&lt;18,'General Basis'!$C$39,IF(G1783&lt;41,'General Basis'!$C$40,IF(G1783&lt;60,'General Basis'!$C$41,IF(G1783&lt;65,'General Basis'!$C$42,'General Basis'!$C$43)))),IF(G1783&lt;11,'General Basis'!$B$39,IF(G1783&lt;18,'General Basis'!$B$40,IF(G1783&lt;26,'General Basis'!$B$41,IF(G1783&lt;31,'General Basis'!$B$42,IF(G1783&lt;36,'General Basis'!$B$43,IF(G1783&lt;41,'General Basis'!$B$44,IF(G1783&lt;46,'General Basis'!$B$45,IF(G1783&lt;51,'General Basis'!$B$46,IF(G1783&lt;56,'General Basis'!$B$47,IF(G1783&lt;60,'General Basis'!$B$48,IF(G1783&lt;65,'General Basis'!$B$49,'General Basis'!$B$50)))))))))))))</f>
        <v/>
      </c>
      <c r="BI1783" s="744" t="str">
        <f t="shared" si="621"/>
        <v/>
      </c>
      <c r="BJ1783" s="747" t="str">
        <f t="shared" si="628"/>
        <v/>
      </c>
      <c r="BK1783" s="498" t="str">
        <f t="shared" si="622"/>
        <v/>
      </c>
      <c r="BL1783" s="498" t="str">
        <f t="shared" si="623"/>
        <v/>
      </c>
    </row>
    <row r="1784" spans="1:64" x14ac:dyDescent="0.25">
      <c r="A1784" s="762">
        <f t="shared" si="624"/>
        <v>1779</v>
      </c>
      <c r="B1784" s="229"/>
      <c r="C1784" s="223"/>
      <c r="D1784" s="224"/>
      <c r="E1784" s="225"/>
      <c r="F1784" s="1036" t="str">
        <f t="shared" si="630"/>
        <v/>
      </c>
      <c r="G1784" s="1037" t="str">
        <f t="shared" si="625"/>
        <v/>
      </c>
      <c r="H1784" s="225"/>
      <c r="I1784" s="1013"/>
      <c r="J1784" s="1013"/>
      <c r="K1784" s="1028"/>
      <c r="L1784" s="1035" t="str">
        <f t="shared" si="629"/>
        <v/>
      </c>
      <c r="S1784" s="498"/>
      <c r="AJ1784" s="498"/>
      <c r="AM1784" s="498">
        <f t="shared" si="610"/>
        <v>0</v>
      </c>
      <c r="AN1784" s="498">
        <f t="shared" si="611"/>
        <v>0</v>
      </c>
      <c r="AO1784" s="498">
        <f t="shared" si="612"/>
        <v>0</v>
      </c>
      <c r="AP1784" s="498">
        <f t="shared" si="631"/>
        <v>0</v>
      </c>
      <c r="AQ1784" s="498">
        <f t="shared" si="626"/>
        <v>0</v>
      </c>
      <c r="AU1784" s="498">
        <f t="shared" si="613"/>
        <v>0</v>
      </c>
      <c r="AV1784" s="498">
        <f t="shared" si="614"/>
        <v>0</v>
      </c>
      <c r="AW1784" s="498">
        <f t="shared" si="615"/>
        <v>0</v>
      </c>
      <c r="AX1784" s="498">
        <f t="shared" si="616"/>
        <v>0</v>
      </c>
      <c r="AY1784" s="498">
        <f t="shared" si="617"/>
        <v>0</v>
      </c>
      <c r="BB1784" s="498" t="str">
        <f t="shared" si="618"/>
        <v/>
      </c>
      <c r="BC1784" s="743" t="str">
        <f t="shared" si="619"/>
        <v/>
      </c>
      <c r="BD1784" s="743" t="str">
        <f t="shared" si="620"/>
        <v/>
      </c>
      <c r="BE1784" s="743" t="str">
        <f>IF(D1784="","",VLOOKUP(D1784,'General Basis'!$J$39:$K$46,2,0))</f>
        <v/>
      </c>
      <c r="BF1784" s="744" t="str">
        <f>IF(D1784="","",VLOOKUP(D1784,'General Basis'!$J$39:$L$46,3,0))</f>
        <v/>
      </c>
      <c r="BG1784" s="744" t="str">
        <f t="shared" si="627"/>
        <v/>
      </c>
      <c r="BH1784" s="744" t="str">
        <f>IF(G1784="","",IF(BF1784="Abu Dhabi",IF(G1784&lt;18,'General Basis'!$C$39,IF(G1784&lt;41,'General Basis'!$C$40,IF(G1784&lt;60,'General Basis'!$C$41,IF(G1784&lt;65,'General Basis'!$C$42,'General Basis'!$C$43)))),IF(G1784&lt;11,'General Basis'!$B$39,IF(G1784&lt;18,'General Basis'!$B$40,IF(G1784&lt;26,'General Basis'!$B$41,IF(G1784&lt;31,'General Basis'!$B$42,IF(G1784&lt;36,'General Basis'!$B$43,IF(G1784&lt;41,'General Basis'!$B$44,IF(G1784&lt;46,'General Basis'!$B$45,IF(G1784&lt;51,'General Basis'!$B$46,IF(G1784&lt;56,'General Basis'!$B$47,IF(G1784&lt;60,'General Basis'!$B$48,IF(G1784&lt;65,'General Basis'!$B$49,'General Basis'!$B$50)))))))))))))</f>
        <v/>
      </c>
      <c r="BI1784" s="744" t="str">
        <f t="shared" si="621"/>
        <v/>
      </c>
      <c r="BJ1784" s="747" t="str">
        <f t="shared" si="628"/>
        <v/>
      </c>
      <c r="BK1784" s="498" t="str">
        <f t="shared" si="622"/>
        <v/>
      </c>
      <c r="BL1784" s="498" t="str">
        <f t="shared" si="623"/>
        <v/>
      </c>
    </row>
    <row r="1785" spans="1:64" x14ac:dyDescent="0.25">
      <c r="A1785" s="762">
        <f t="shared" si="624"/>
        <v>1780</v>
      </c>
      <c r="B1785" s="229"/>
      <c r="C1785" s="223"/>
      <c r="D1785" s="224"/>
      <c r="E1785" s="225"/>
      <c r="F1785" s="1036" t="str">
        <f t="shared" si="630"/>
        <v/>
      </c>
      <c r="G1785" s="1037" t="str">
        <f t="shared" si="625"/>
        <v/>
      </c>
      <c r="H1785" s="225"/>
      <c r="I1785" s="1013"/>
      <c r="J1785" s="1013"/>
      <c r="K1785" s="1028"/>
      <c r="L1785" s="1035" t="str">
        <f t="shared" si="629"/>
        <v/>
      </c>
      <c r="S1785" s="498"/>
      <c r="AJ1785" s="498"/>
      <c r="AM1785" s="498">
        <f t="shared" si="610"/>
        <v>0</v>
      </c>
      <c r="AN1785" s="498">
        <f t="shared" si="611"/>
        <v>0</v>
      </c>
      <c r="AO1785" s="498">
        <f t="shared" si="612"/>
        <v>0</v>
      </c>
      <c r="AP1785" s="498">
        <f t="shared" si="631"/>
        <v>0</v>
      </c>
      <c r="AQ1785" s="498">
        <f t="shared" si="626"/>
        <v>0</v>
      </c>
      <c r="AU1785" s="498">
        <f t="shared" si="613"/>
        <v>0</v>
      </c>
      <c r="AV1785" s="498">
        <f t="shared" si="614"/>
        <v>0</v>
      </c>
      <c r="AW1785" s="498">
        <f t="shared" si="615"/>
        <v>0</v>
      </c>
      <c r="AX1785" s="498">
        <f t="shared" si="616"/>
        <v>0</v>
      </c>
      <c r="AY1785" s="498">
        <f t="shared" si="617"/>
        <v>0</v>
      </c>
      <c r="BB1785" s="498" t="str">
        <f t="shared" si="618"/>
        <v/>
      </c>
      <c r="BC1785" s="743" t="str">
        <f t="shared" si="619"/>
        <v/>
      </c>
      <c r="BD1785" s="743" t="str">
        <f t="shared" si="620"/>
        <v/>
      </c>
      <c r="BE1785" s="743" t="str">
        <f>IF(D1785="","",VLOOKUP(D1785,'General Basis'!$J$39:$K$46,2,0))</f>
        <v/>
      </c>
      <c r="BF1785" s="744" t="str">
        <f>IF(D1785="","",VLOOKUP(D1785,'General Basis'!$J$39:$L$46,3,0))</f>
        <v/>
      </c>
      <c r="BG1785" s="744" t="str">
        <f t="shared" si="627"/>
        <v/>
      </c>
      <c r="BH1785" s="744" t="str">
        <f>IF(G1785="","",IF(BF1785="Abu Dhabi",IF(G1785&lt;18,'General Basis'!$C$39,IF(G1785&lt;41,'General Basis'!$C$40,IF(G1785&lt;60,'General Basis'!$C$41,IF(G1785&lt;65,'General Basis'!$C$42,'General Basis'!$C$43)))),IF(G1785&lt;11,'General Basis'!$B$39,IF(G1785&lt;18,'General Basis'!$B$40,IF(G1785&lt;26,'General Basis'!$B$41,IF(G1785&lt;31,'General Basis'!$B$42,IF(G1785&lt;36,'General Basis'!$B$43,IF(G1785&lt;41,'General Basis'!$B$44,IF(G1785&lt;46,'General Basis'!$B$45,IF(G1785&lt;51,'General Basis'!$B$46,IF(G1785&lt;56,'General Basis'!$B$47,IF(G1785&lt;60,'General Basis'!$B$48,IF(G1785&lt;65,'General Basis'!$B$49,'General Basis'!$B$50)))))))))))))</f>
        <v/>
      </c>
      <c r="BI1785" s="744" t="str">
        <f t="shared" si="621"/>
        <v/>
      </c>
      <c r="BJ1785" s="747" t="str">
        <f t="shared" si="628"/>
        <v/>
      </c>
      <c r="BK1785" s="498" t="str">
        <f t="shared" si="622"/>
        <v/>
      </c>
      <c r="BL1785" s="498" t="str">
        <f t="shared" si="623"/>
        <v/>
      </c>
    </row>
    <row r="1786" spans="1:64" x14ac:dyDescent="0.25">
      <c r="A1786" s="762">
        <f t="shared" si="624"/>
        <v>1781</v>
      </c>
      <c r="B1786" s="229"/>
      <c r="C1786" s="223"/>
      <c r="D1786" s="224"/>
      <c r="E1786" s="225"/>
      <c r="F1786" s="1036" t="str">
        <f t="shared" si="630"/>
        <v/>
      </c>
      <c r="G1786" s="1037" t="str">
        <f t="shared" si="625"/>
        <v/>
      </c>
      <c r="H1786" s="225"/>
      <c r="I1786" s="1013"/>
      <c r="J1786" s="1013"/>
      <c r="K1786" s="1028"/>
      <c r="L1786" s="1035" t="str">
        <f t="shared" si="629"/>
        <v/>
      </c>
      <c r="S1786" s="498"/>
      <c r="AJ1786" s="498"/>
      <c r="AM1786" s="498">
        <f t="shared" si="610"/>
        <v>0</v>
      </c>
      <c r="AN1786" s="498">
        <f t="shared" si="611"/>
        <v>0</v>
      </c>
      <c r="AO1786" s="498">
        <f t="shared" si="612"/>
        <v>0</v>
      </c>
      <c r="AP1786" s="498">
        <f t="shared" si="631"/>
        <v>0</v>
      </c>
      <c r="AQ1786" s="498">
        <f t="shared" si="626"/>
        <v>0</v>
      </c>
      <c r="AU1786" s="498">
        <f t="shared" si="613"/>
        <v>0</v>
      </c>
      <c r="AV1786" s="498">
        <f t="shared" si="614"/>
        <v>0</v>
      </c>
      <c r="AW1786" s="498">
        <f t="shared" si="615"/>
        <v>0</v>
      </c>
      <c r="AX1786" s="498">
        <f t="shared" si="616"/>
        <v>0</v>
      </c>
      <c r="AY1786" s="498">
        <f t="shared" si="617"/>
        <v>0</v>
      </c>
      <c r="BB1786" s="498" t="str">
        <f t="shared" si="618"/>
        <v/>
      </c>
      <c r="BC1786" s="743" t="str">
        <f t="shared" si="619"/>
        <v/>
      </c>
      <c r="BD1786" s="743" t="str">
        <f t="shared" si="620"/>
        <v/>
      </c>
      <c r="BE1786" s="743" t="str">
        <f>IF(D1786="","",VLOOKUP(D1786,'General Basis'!$J$39:$K$46,2,0))</f>
        <v/>
      </c>
      <c r="BF1786" s="744" t="str">
        <f>IF(D1786="","",VLOOKUP(D1786,'General Basis'!$J$39:$L$46,3,0))</f>
        <v/>
      </c>
      <c r="BG1786" s="744" t="str">
        <f t="shared" si="627"/>
        <v/>
      </c>
      <c r="BH1786" s="744" t="str">
        <f>IF(G1786="","",IF(BF1786="Abu Dhabi",IF(G1786&lt;18,'General Basis'!$C$39,IF(G1786&lt;41,'General Basis'!$C$40,IF(G1786&lt;60,'General Basis'!$C$41,IF(G1786&lt;65,'General Basis'!$C$42,'General Basis'!$C$43)))),IF(G1786&lt;11,'General Basis'!$B$39,IF(G1786&lt;18,'General Basis'!$B$40,IF(G1786&lt;26,'General Basis'!$B$41,IF(G1786&lt;31,'General Basis'!$B$42,IF(G1786&lt;36,'General Basis'!$B$43,IF(G1786&lt;41,'General Basis'!$B$44,IF(G1786&lt;46,'General Basis'!$B$45,IF(G1786&lt;51,'General Basis'!$B$46,IF(G1786&lt;56,'General Basis'!$B$47,IF(G1786&lt;60,'General Basis'!$B$48,IF(G1786&lt;65,'General Basis'!$B$49,'General Basis'!$B$50)))))))))))))</f>
        <v/>
      </c>
      <c r="BI1786" s="744" t="str">
        <f t="shared" si="621"/>
        <v/>
      </c>
      <c r="BJ1786" s="747" t="str">
        <f t="shared" si="628"/>
        <v/>
      </c>
      <c r="BK1786" s="498" t="str">
        <f t="shared" si="622"/>
        <v/>
      </c>
      <c r="BL1786" s="498" t="str">
        <f t="shared" si="623"/>
        <v/>
      </c>
    </row>
    <row r="1787" spans="1:64" x14ac:dyDescent="0.25">
      <c r="A1787" s="762">
        <f t="shared" si="624"/>
        <v>1782</v>
      </c>
      <c r="B1787" s="229"/>
      <c r="C1787" s="223"/>
      <c r="D1787" s="224"/>
      <c r="E1787" s="225"/>
      <c r="F1787" s="1036" t="str">
        <f t="shared" si="630"/>
        <v/>
      </c>
      <c r="G1787" s="1037" t="str">
        <f t="shared" si="625"/>
        <v/>
      </c>
      <c r="H1787" s="225"/>
      <c r="I1787" s="1013"/>
      <c r="J1787" s="1013"/>
      <c r="K1787" s="1028"/>
      <c r="L1787" s="1035" t="str">
        <f t="shared" si="629"/>
        <v/>
      </c>
      <c r="S1787" s="498"/>
      <c r="AJ1787" s="498"/>
      <c r="AM1787" s="498">
        <f t="shared" si="610"/>
        <v>0</v>
      </c>
      <c r="AN1787" s="498">
        <f t="shared" si="611"/>
        <v>0</v>
      </c>
      <c r="AO1787" s="498">
        <f t="shared" si="612"/>
        <v>0</v>
      </c>
      <c r="AP1787" s="498">
        <f t="shared" si="631"/>
        <v>0</v>
      </c>
      <c r="AQ1787" s="498">
        <f t="shared" si="626"/>
        <v>0</v>
      </c>
      <c r="AU1787" s="498">
        <f t="shared" si="613"/>
        <v>0</v>
      </c>
      <c r="AV1787" s="498">
        <f t="shared" si="614"/>
        <v>0</v>
      </c>
      <c r="AW1787" s="498">
        <f t="shared" si="615"/>
        <v>0</v>
      </c>
      <c r="AX1787" s="498">
        <f t="shared" si="616"/>
        <v>0</v>
      </c>
      <c r="AY1787" s="498">
        <f t="shared" si="617"/>
        <v>0</v>
      </c>
      <c r="BB1787" s="498" t="str">
        <f t="shared" si="618"/>
        <v/>
      </c>
      <c r="BC1787" s="743" t="str">
        <f t="shared" si="619"/>
        <v/>
      </c>
      <c r="BD1787" s="743" t="str">
        <f t="shared" si="620"/>
        <v/>
      </c>
      <c r="BE1787" s="743" t="str">
        <f>IF(D1787="","",VLOOKUP(D1787,'General Basis'!$J$39:$K$46,2,0))</f>
        <v/>
      </c>
      <c r="BF1787" s="744" t="str">
        <f>IF(D1787="","",VLOOKUP(D1787,'General Basis'!$J$39:$L$46,3,0))</f>
        <v/>
      </c>
      <c r="BG1787" s="744" t="str">
        <f t="shared" si="627"/>
        <v/>
      </c>
      <c r="BH1787" s="744" t="str">
        <f>IF(G1787="","",IF(BF1787="Abu Dhabi",IF(G1787&lt;18,'General Basis'!$C$39,IF(G1787&lt;41,'General Basis'!$C$40,IF(G1787&lt;60,'General Basis'!$C$41,IF(G1787&lt;65,'General Basis'!$C$42,'General Basis'!$C$43)))),IF(G1787&lt;11,'General Basis'!$B$39,IF(G1787&lt;18,'General Basis'!$B$40,IF(G1787&lt;26,'General Basis'!$B$41,IF(G1787&lt;31,'General Basis'!$B$42,IF(G1787&lt;36,'General Basis'!$B$43,IF(G1787&lt;41,'General Basis'!$B$44,IF(G1787&lt;46,'General Basis'!$B$45,IF(G1787&lt;51,'General Basis'!$B$46,IF(G1787&lt;56,'General Basis'!$B$47,IF(G1787&lt;60,'General Basis'!$B$48,IF(G1787&lt;65,'General Basis'!$B$49,'General Basis'!$B$50)))))))))))))</f>
        <v/>
      </c>
      <c r="BI1787" s="744" t="str">
        <f t="shared" si="621"/>
        <v/>
      </c>
      <c r="BJ1787" s="747" t="str">
        <f t="shared" si="628"/>
        <v/>
      </c>
      <c r="BK1787" s="498" t="str">
        <f t="shared" si="622"/>
        <v/>
      </c>
      <c r="BL1787" s="498" t="str">
        <f t="shared" si="623"/>
        <v/>
      </c>
    </row>
    <row r="1788" spans="1:64" x14ac:dyDescent="0.25">
      <c r="A1788" s="762">
        <f t="shared" si="624"/>
        <v>1783</v>
      </c>
      <c r="B1788" s="229"/>
      <c r="C1788" s="223"/>
      <c r="D1788" s="224"/>
      <c r="E1788" s="225"/>
      <c r="F1788" s="1036" t="str">
        <f t="shared" si="630"/>
        <v/>
      </c>
      <c r="G1788" s="1037" t="str">
        <f t="shared" si="625"/>
        <v/>
      </c>
      <c r="H1788" s="225"/>
      <c r="I1788" s="1013"/>
      <c r="J1788" s="1013"/>
      <c r="K1788" s="1028"/>
      <c r="L1788" s="1035" t="str">
        <f t="shared" si="629"/>
        <v/>
      </c>
      <c r="S1788" s="498"/>
      <c r="AJ1788" s="498"/>
      <c r="AM1788" s="498">
        <f t="shared" si="610"/>
        <v>0</v>
      </c>
      <c r="AN1788" s="498">
        <f t="shared" si="611"/>
        <v>0</v>
      </c>
      <c r="AO1788" s="498">
        <f t="shared" si="612"/>
        <v>0</v>
      </c>
      <c r="AP1788" s="498">
        <f t="shared" si="631"/>
        <v>0</v>
      </c>
      <c r="AQ1788" s="498">
        <f t="shared" si="626"/>
        <v>0</v>
      </c>
      <c r="AU1788" s="498">
        <f t="shared" si="613"/>
        <v>0</v>
      </c>
      <c r="AV1788" s="498">
        <f t="shared" si="614"/>
        <v>0</v>
      </c>
      <c r="AW1788" s="498">
        <f t="shared" si="615"/>
        <v>0</v>
      </c>
      <c r="AX1788" s="498">
        <f t="shared" si="616"/>
        <v>0</v>
      </c>
      <c r="AY1788" s="498">
        <f t="shared" si="617"/>
        <v>0</v>
      </c>
      <c r="BB1788" s="498" t="str">
        <f t="shared" si="618"/>
        <v/>
      </c>
      <c r="BC1788" s="743" t="str">
        <f t="shared" si="619"/>
        <v/>
      </c>
      <c r="BD1788" s="743" t="str">
        <f t="shared" si="620"/>
        <v/>
      </c>
      <c r="BE1788" s="743" t="str">
        <f>IF(D1788="","",VLOOKUP(D1788,'General Basis'!$J$39:$K$46,2,0))</f>
        <v/>
      </c>
      <c r="BF1788" s="744" t="str">
        <f>IF(D1788="","",VLOOKUP(D1788,'General Basis'!$J$39:$L$46,3,0))</f>
        <v/>
      </c>
      <c r="BG1788" s="744" t="str">
        <f t="shared" si="627"/>
        <v/>
      </c>
      <c r="BH1788" s="744" t="str">
        <f>IF(G1788="","",IF(BF1788="Abu Dhabi",IF(G1788&lt;18,'General Basis'!$C$39,IF(G1788&lt;41,'General Basis'!$C$40,IF(G1788&lt;60,'General Basis'!$C$41,IF(G1788&lt;65,'General Basis'!$C$42,'General Basis'!$C$43)))),IF(G1788&lt;11,'General Basis'!$B$39,IF(G1788&lt;18,'General Basis'!$B$40,IF(G1788&lt;26,'General Basis'!$B$41,IF(G1788&lt;31,'General Basis'!$B$42,IF(G1788&lt;36,'General Basis'!$B$43,IF(G1788&lt;41,'General Basis'!$B$44,IF(G1788&lt;46,'General Basis'!$B$45,IF(G1788&lt;51,'General Basis'!$B$46,IF(G1788&lt;56,'General Basis'!$B$47,IF(G1788&lt;60,'General Basis'!$B$48,IF(G1788&lt;65,'General Basis'!$B$49,'General Basis'!$B$50)))))))))))))</f>
        <v/>
      </c>
      <c r="BI1788" s="744" t="str">
        <f t="shared" si="621"/>
        <v/>
      </c>
      <c r="BJ1788" s="747" t="str">
        <f t="shared" si="628"/>
        <v/>
      </c>
      <c r="BK1788" s="498" t="str">
        <f t="shared" si="622"/>
        <v/>
      </c>
      <c r="BL1788" s="498" t="str">
        <f t="shared" si="623"/>
        <v/>
      </c>
    </row>
    <row r="1789" spans="1:64" x14ac:dyDescent="0.25">
      <c r="A1789" s="762">
        <f t="shared" si="624"/>
        <v>1784</v>
      </c>
      <c r="B1789" s="229"/>
      <c r="C1789" s="223"/>
      <c r="D1789" s="224"/>
      <c r="E1789" s="225"/>
      <c r="F1789" s="1036" t="str">
        <f t="shared" si="630"/>
        <v/>
      </c>
      <c r="G1789" s="1037" t="str">
        <f t="shared" si="625"/>
        <v/>
      </c>
      <c r="H1789" s="225"/>
      <c r="I1789" s="1013"/>
      <c r="J1789" s="1013"/>
      <c r="K1789" s="1028"/>
      <c r="L1789" s="1035" t="str">
        <f t="shared" si="629"/>
        <v/>
      </c>
      <c r="S1789" s="498"/>
      <c r="AJ1789" s="498"/>
      <c r="AM1789" s="498">
        <f t="shared" si="610"/>
        <v>0</v>
      </c>
      <c r="AN1789" s="498">
        <f t="shared" si="611"/>
        <v>0</v>
      </c>
      <c r="AO1789" s="498">
        <f t="shared" si="612"/>
        <v>0</v>
      </c>
      <c r="AP1789" s="498">
        <f t="shared" si="631"/>
        <v>0</v>
      </c>
      <c r="AQ1789" s="498">
        <f t="shared" si="626"/>
        <v>0</v>
      </c>
      <c r="AU1789" s="498">
        <f t="shared" si="613"/>
        <v>0</v>
      </c>
      <c r="AV1789" s="498">
        <f t="shared" si="614"/>
        <v>0</v>
      </c>
      <c r="AW1789" s="498">
        <f t="shared" si="615"/>
        <v>0</v>
      </c>
      <c r="AX1789" s="498">
        <f t="shared" si="616"/>
        <v>0</v>
      </c>
      <c r="AY1789" s="498">
        <f t="shared" si="617"/>
        <v>0</v>
      </c>
      <c r="BB1789" s="498" t="str">
        <f t="shared" si="618"/>
        <v/>
      </c>
      <c r="BC1789" s="743" t="str">
        <f t="shared" si="619"/>
        <v/>
      </c>
      <c r="BD1789" s="743" t="str">
        <f t="shared" si="620"/>
        <v/>
      </c>
      <c r="BE1789" s="743" t="str">
        <f>IF(D1789="","",VLOOKUP(D1789,'General Basis'!$J$39:$K$46,2,0))</f>
        <v/>
      </c>
      <c r="BF1789" s="744" t="str">
        <f>IF(D1789="","",VLOOKUP(D1789,'General Basis'!$J$39:$L$46,3,0))</f>
        <v/>
      </c>
      <c r="BG1789" s="744" t="str">
        <f t="shared" si="627"/>
        <v/>
      </c>
      <c r="BH1789" s="744" t="str">
        <f>IF(G1789="","",IF(BF1789="Abu Dhabi",IF(G1789&lt;18,'General Basis'!$C$39,IF(G1789&lt;41,'General Basis'!$C$40,IF(G1789&lt;60,'General Basis'!$C$41,IF(G1789&lt;65,'General Basis'!$C$42,'General Basis'!$C$43)))),IF(G1789&lt;11,'General Basis'!$B$39,IF(G1789&lt;18,'General Basis'!$B$40,IF(G1789&lt;26,'General Basis'!$B$41,IF(G1789&lt;31,'General Basis'!$B$42,IF(G1789&lt;36,'General Basis'!$B$43,IF(G1789&lt;41,'General Basis'!$B$44,IF(G1789&lt;46,'General Basis'!$B$45,IF(G1789&lt;51,'General Basis'!$B$46,IF(G1789&lt;56,'General Basis'!$B$47,IF(G1789&lt;60,'General Basis'!$B$48,IF(G1789&lt;65,'General Basis'!$B$49,'General Basis'!$B$50)))))))))))))</f>
        <v/>
      </c>
      <c r="BI1789" s="744" t="str">
        <f t="shared" si="621"/>
        <v/>
      </c>
      <c r="BJ1789" s="747" t="str">
        <f t="shared" si="628"/>
        <v/>
      </c>
      <c r="BK1789" s="498" t="str">
        <f t="shared" si="622"/>
        <v/>
      </c>
      <c r="BL1789" s="498" t="str">
        <f t="shared" si="623"/>
        <v/>
      </c>
    </row>
    <row r="1790" spans="1:64" x14ac:dyDescent="0.25">
      <c r="A1790" s="762">
        <f t="shared" si="624"/>
        <v>1785</v>
      </c>
      <c r="B1790" s="229"/>
      <c r="C1790" s="223"/>
      <c r="D1790" s="224"/>
      <c r="E1790" s="225"/>
      <c r="F1790" s="1036" t="str">
        <f t="shared" si="630"/>
        <v/>
      </c>
      <c r="G1790" s="1037" t="str">
        <f t="shared" si="625"/>
        <v/>
      </c>
      <c r="H1790" s="225"/>
      <c r="I1790" s="1013"/>
      <c r="J1790" s="1013"/>
      <c r="K1790" s="1028"/>
      <c r="L1790" s="1035" t="str">
        <f t="shared" si="629"/>
        <v/>
      </c>
      <c r="S1790" s="498"/>
      <c r="AJ1790" s="498"/>
      <c r="AM1790" s="498">
        <f t="shared" si="610"/>
        <v>0</v>
      </c>
      <c r="AN1790" s="498">
        <f t="shared" si="611"/>
        <v>0</v>
      </c>
      <c r="AO1790" s="498">
        <f t="shared" si="612"/>
        <v>0</v>
      </c>
      <c r="AP1790" s="498">
        <f t="shared" si="631"/>
        <v>0</v>
      </c>
      <c r="AQ1790" s="498">
        <f t="shared" si="626"/>
        <v>0</v>
      </c>
      <c r="AU1790" s="498">
        <f t="shared" si="613"/>
        <v>0</v>
      </c>
      <c r="AV1790" s="498">
        <f t="shared" si="614"/>
        <v>0</v>
      </c>
      <c r="AW1790" s="498">
        <f t="shared" si="615"/>
        <v>0</v>
      </c>
      <c r="AX1790" s="498">
        <f t="shared" si="616"/>
        <v>0</v>
      </c>
      <c r="AY1790" s="498">
        <f t="shared" si="617"/>
        <v>0</v>
      </c>
      <c r="BB1790" s="498" t="str">
        <f t="shared" si="618"/>
        <v/>
      </c>
      <c r="BC1790" s="743" t="str">
        <f t="shared" si="619"/>
        <v/>
      </c>
      <c r="BD1790" s="743" t="str">
        <f t="shared" si="620"/>
        <v/>
      </c>
      <c r="BE1790" s="743" t="str">
        <f>IF(D1790="","",VLOOKUP(D1790,'General Basis'!$J$39:$K$46,2,0))</f>
        <v/>
      </c>
      <c r="BF1790" s="744" t="str">
        <f>IF(D1790="","",VLOOKUP(D1790,'General Basis'!$J$39:$L$46,3,0))</f>
        <v/>
      </c>
      <c r="BG1790" s="744" t="str">
        <f t="shared" si="627"/>
        <v/>
      </c>
      <c r="BH1790" s="744" t="str">
        <f>IF(G1790="","",IF(BF1790="Abu Dhabi",IF(G1790&lt;18,'General Basis'!$C$39,IF(G1790&lt;41,'General Basis'!$C$40,IF(G1790&lt;60,'General Basis'!$C$41,IF(G1790&lt;65,'General Basis'!$C$42,'General Basis'!$C$43)))),IF(G1790&lt;11,'General Basis'!$B$39,IF(G1790&lt;18,'General Basis'!$B$40,IF(G1790&lt;26,'General Basis'!$B$41,IF(G1790&lt;31,'General Basis'!$B$42,IF(G1790&lt;36,'General Basis'!$B$43,IF(G1790&lt;41,'General Basis'!$B$44,IF(G1790&lt;46,'General Basis'!$B$45,IF(G1790&lt;51,'General Basis'!$B$46,IF(G1790&lt;56,'General Basis'!$B$47,IF(G1790&lt;60,'General Basis'!$B$48,IF(G1790&lt;65,'General Basis'!$B$49,'General Basis'!$B$50)))))))))))))</f>
        <v/>
      </c>
      <c r="BI1790" s="744" t="str">
        <f t="shared" si="621"/>
        <v/>
      </c>
      <c r="BJ1790" s="747" t="str">
        <f t="shared" si="628"/>
        <v/>
      </c>
      <c r="BK1790" s="498" t="str">
        <f t="shared" si="622"/>
        <v/>
      </c>
      <c r="BL1790" s="498" t="str">
        <f t="shared" si="623"/>
        <v/>
      </c>
    </row>
    <row r="1791" spans="1:64" x14ac:dyDescent="0.25">
      <c r="A1791" s="762">
        <f t="shared" si="624"/>
        <v>1786</v>
      </c>
      <c r="B1791" s="229"/>
      <c r="C1791" s="223"/>
      <c r="D1791" s="224"/>
      <c r="E1791" s="225"/>
      <c r="F1791" s="1036" t="str">
        <f t="shared" si="630"/>
        <v/>
      </c>
      <c r="G1791" s="1037" t="str">
        <f t="shared" si="625"/>
        <v/>
      </c>
      <c r="H1791" s="225"/>
      <c r="I1791" s="1013"/>
      <c r="J1791" s="1013"/>
      <c r="K1791" s="1028"/>
      <c r="L1791" s="1035" t="str">
        <f t="shared" si="629"/>
        <v/>
      </c>
      <c r="S1791" s="498"/>
      <c r="AJ1791" s="498"/>
      <c r="AM1791" s="498">
        <f t="shared" si="610"/>
        <v>0</v>
      </c>
      <c r="AN1791" s="498">
        <f t="shared" si="611"/>
        <v>0</v>
      </c>
      <c r="AO1791" s="498">
        <f t="shared" si="612"/>
        <v>0</v>
      </c>
      <c r="AP1791" s="498">
        <f t="shared" si="631"/>
        <v>0</v>
      </c>
      <c r="AQ1791" s="498">
        <f t="shared" si="626"/>
        <v>0</v>
      </c>
      <c r="AU1791" s="498">
        <f t="shared" si="613"/>
        <v>0</v>
      </c>
      <c r="AV1791" s="498">
        <f t="shared" si="614"/>
        <v>0</v>
      </c>
      <c r="AW1791" s="498">
        <f t="shared" si="615"/>
        <v>0</v>
      </c>
      <c r="AX1791" s="498">
        <f t="shared" si="616"/>
        <v>0</v>
      </c>
      <c r="AY1791" s="498">
        <f t="shared" si="617"/>
        <v>0</v>
      </c>
      <c r="BB1791" s="498" t="str">
        <f t="shared" si="618"/>
        <v/>
      </c>
      <c r="BC1791" s="743" t="str">
        <f t="shared" si="619"/>
        <v/>
      </c>
      <c r="BD1791" s="743" t="str">
        <f t="shared" si="620"/>
        <v/>
      </c>
      <c r="BE1791" s="743" t="str">
        <f>IF(D1791="","",VLOOKUP(D1791,'General Basis'!$J$39:$K$46,2,0))</f>
        <v/>
      </c>
      <c r="BF1791" s="744" t="str">
        <f>IF(D1791="","",VLOOKUP(D1791,'General Basis'!$J$39:$L$46,3,0))</f>
        <v/>
      </c>
      <c r="BG1791" s="744" t="str">
        <f t="shared" si="627"/>
        <v/>
      </c>
      <c r="BH1791" s="744" t="str">
        <f>IF(G1791="","",IF(BF1791="Abu Dhabi",IF(G1791&lt;18,'General Basis'!$C$39,IF(G1791&lt;41,'General Basis'!$C$40,IF(G1791&lt;60,'General Basis'!$C$41,IF(G1791&lt;65,'General Basis'!$C$42,'General Basis'!$C$43)))),IF(G1791&lt;11,'General Basis'!$B$39,IF(G1791&lt;18,'General Basis'!$B$40,IF(G1791&lt;26,'General Basis'!$B$41,IF(G1791&lt;31,'General Basis'!$B$42,IF(G1791&lt;36,'General Basis'!$B$43,IF(G1791&lt;41,'General Basis'!$B$44,IF(G1791&lt;46,'General Basis'!$B$45,IF(G1791&lt;51,'General Basis'!$B$46,IF(G1791&lt;56,'General Basis'!$B$47,IF(G1791&lt;60,'General Basis'!$B$48,IF(G1791&lt;65,'General Basis'!$B$49,'General Basis'!$B$50)))))))))))))</f>
        <v/>
      </c>
      <c r="BI1791" s="744" t="str">
        <f t="shared" si="621"/>
        <v/>
      </c>
      <c r="BJ1791" s="747" t="str">
        <f t="shared" si="628"/>
        <v/>
      </c>
      <c r="BK1791" s="498" t="str">
        <f t="shared" si="622"/>
        <v/>
      </c>
      <c r="BL1791" s="498" t="str">
        <f t="shared" si="623"/>
        <v/>
      </c>
    </row>
    <row r="1792" spans="1:64" x14ac:dyDescent="0.25">
      <c r="A1792" s="762">
        <f t="shared" si="624"/>
        <v>1787</v>
      </c>
      <c r="B1792" s="229"/>
      <c r="C1792" s="223"/>
      <c r="D1792" s="224"/>
      <c r="E1792" s="225"/>
      <c r="F1792" s="1036" t="str">
        <f t="shared" si="630"/>
        <v/>
      </c>
      <c r="G1792" s="1037" t="str">
        <f t="shared" si="625"/>
        <v/>
      </c>
      <c r="H1792" s="225"/>
      <c r="I1792" s="1013"/>
      <c r="J1792" s="1013"/>
      <c r="K1792" s="1028"/>
      <c r="L1792" s="1035" t="str">
        <f t="shared" si="629"/>
        <v/>
      </c>
      <c r="S1792" s="498"/>
      <c r="AJ1792" s="498"/>
      <c r="AM1792" s="498">
        <f t="shared" si="610"/>
        <v>0</v>
      </c>
      <c r="AN1792" s="498">
        <f t="shared" si="611"/>
        <v>0</v>
      </c>
      <c r="AO1792" s="498">
        <f t="shared" si="612"/>
        <v>0</v>
      </c>
      <c r="AP1792" s="498">
        <f t="shared" si="631"/>
        <v>0</v>
      </c>
      <c r="AQ1792" s="498">
        <f t="shared" si="626"/>
        <v>0</v>
      </c>
      <c r="AU1792" s="498">
        <f t="shared" si="613"/>
        <v>0</v>
      </c>
      <c r="AV1792" s="498">
        <f t="shared" si="614"/>
        <v>0</v>
      </c>
      <c r="AW1792" s="498">
        <f t="shared" si="615"/>
        <v>0</v>
      </c>
      <c r="AX1792" s="498">
        <f t="shared" si="616"/>
        <v>0</v>
      </c>
      <c r="AY1792" s="498">
        <f t="shared" si="617"/>
        <v>0</v>
      </c>
      <c r="BB1792" s="498" t="str">
        <f t="shared" si="618"/>
        <v/>
      </c>
      <c r="BC1792" s="743" t="str">
        <f t="shared" si="619"/>
        <v/>
      </c>
      <c r="BD1792" s="743" t="str">
        <f t="shared" si="620"/>
        <v/>
      </c>
      <c r="BE1792" s="743" t="str">
        <f>IF(D1792="","",VLOOKUP(D1792,'General Basis'!$J$39:$K$46,2,0))</f>
        <v/>
      </c>
      <c r="BF1792" s="744" t="str">
        <f>IF(D1792="","",VLOOKUP(D1792,'General Basis'!$J$39:$L$46,3,0))</f>
        <v/>
      </c>
      <c r="BG1792" s="744" t="str">
        <f t="shared" si="627"/>
        <v/>
      </c>
      <c r="BH1792" s="744" t="str">
        <f>IF(G1792="","",IF(BF1792="Abu Dhabi",IF(G1792&lt;18,'General Basis'!$C$39,IF(G1792&lt;41,'General Basis'!$C$40,IF(G1792&lt;60,'General Basis'!$C$41,IF(G1792&lt;65,'General Basis'!$C$42,'General Basis'!$C$43)))),IF(G1792&lt;11,'General Basis'!$B$39,IF(G1792&lt;18,'General Basis'!$B$40,IF(G1792&lt;26,'General Basis'!$B$41,IF(G1792&lt;31,'General Basis'!$B$42,IF(G1792&lt;36,'General Basis'!$B$43,IF(G1792&lt;41,'General Basis'!$B$44,IF(G1792&lt;46,'General Basis'!$B$45,IF(G1792&lt;51,'General Basis'!$B$46,IF(G1792&lt;56,'General Basis'!$B$47,IF(G1792&lt;60,'General Basis'!$B$48,IF(G1792&lt;65,'General Basis'!$B$49,'General Basis'!$B$50)))))))))))))</f>
        <v/>
      </c>
      <c r="BI1792" s="744" t="str">
        <f t="shared" si="621"/>
        <v/>
      </c>
      <c r="BJ1792" s="747" t="str">
        <f t="shared" si="628"/>
        <v/>
      </c>
      <c r="BK1792" s="498" t="str">
        <f t="shared" si="622"/>
        <v/>
      </c>
      <c r="BL1792" s="498" t="str">
        <f t="shared" si="623"/>
        <v/>
      </c>
    </row>
    <row r="1793" spans="1:64" x14ac:dyDescent="0.25">
      <c r="A1793" s="762">
        <f t="shared" si="624"/>
        <v>1788</v>
      </c>
      <c r="B1793" s="229"/>
      <c r="C1793" s="223"/>
      <c r="D1793" s="224"/>
      <c r="E1793" s="225"/>
      <c r="F1793" s="1036" t="str">
        <f t="shared" si="630"/>
        <v/>
      </c>
      <c r="G1793" s="1037" t="str">
        <f t="shared" si="625"/>
        <v/>
      </c>
      <c r="H1793" s="225"/>
      <c r="I1793" s="1013"/>
      <c r="J1793" s="1013"/>
      <c r="K1793" s="1028"/>
      <c r="L1793" s="1035" t="str">
        <f t="shared" si="629"/>
        <v/>
      </c>
      <c r="S1793" s="498"/>
      <c r="AJ1793" s="498"/>
      <c r="AM1793" s="498">
        <f t="shared" si="610"/>
        <v>0</v>
      </c>
      <c r="AN1793" s="498">
        <f t="shared" si="611"/>
        <v>0</v>
      </c>
      <c r="AO1793" s="498">
        <f t="shared" si="612"/>
        <v>0</v>
      </c>
      <c r="AP1793" s="498">
        <f t="shared" si="631"/>
        <v>0</v>
      </c>
      <c r="AQ1793" s="498">
        <f t="shared" si="626"/>
        <v>0</v>
      </c>
      <c r="AU1793" s="498">
        <f t="shared" si="613"/>
        <v>0</v>
      </c>
      <c r="AV1793" s="498">
        <f t="shared" si="614"/>
        <v>0</v>
      </c>
      <c r="AW1793" s="498">
        <f t="shared" si="615"/>
        <v>0</v>
      </c>
      <c r="AX1793" s="498">
        <f t="shared" si="616"/>
        <v>0</v>
      </c>
      <c r="AY1793" s="498">
        <f t="shared" si="617"/>
        <v>0</v>
      </c>
      <c r="BB1793" s="498" t="str">
        <f t="shared" si="618"/>
        <v/>
      </c>
      <c r="BC1793" s="743" t="str">
        <f t="shared" si="619"/>
        <v/>
      </c>
      <c r="BD1793" s="743" t="str">
        <f t="shared" si="620"/>
        <v/>
      </c>
      <c r="BE1793" s="743" t="str">
        <f>IF(D1793="","",VLOOKUP(D1793,'General Basis'!$J$39:$K$46,2,0))</f>
        <v/>
      </c>
      <c r="BF1793" s="744" t="str">
        <f>IF(D1793="","",VLOOKUP(D1793,'General Basis'!$J$39:$L$46,3,0))</f>
        <v/>
      </c>
      <c r="BG1793" s="744" t="str">
        <f t="shared" si="627"/>
        <v/>
      </c>
      <c r="BH1793" s="744" t="str">
        <f>IF(G1793="","",IF(BF1793="Abu Dhabi",IF(G1793&lt;18,'General Basis'!$C$39,IF(G1793&lt;41,'General Basis'!$C$40,IF(G1793&lt;60,'General Basis'!$C$41,IF(G1793&lt;65,'General Basis'!$C$42,'General Basis'!$C$43)))),IF(G1793&lt;11,'General Basis'!$B$39,IF(G1793&lt;18,'General Basis'!$B$40,IF(G1793&lt;26,'General Basis'!$B$41,IF(G1793&lt;31,'General Basis'!$B$42,IF(G1793&lt;36,'General Basis'!$B$43,IF(G1793&lt;41,'General Basis'!$B$44,IF(G1793&lt;46,'General Basis'!$B$45,IF(G1793&lt;51,'General Basis'!$B$46,IF(G1793&lt;56,'General Basis'!$B$47,IF(G1793&lt;60,'General Basis'!$B$48,IF(G1793&lt;65,'General Basis'!$B$49,'General Basis'!$B$50)))))))))))))</f>
        <v/>
      </c>
      <c r="BI1793" s="744" t="str">
        <f t="shared" si="621"/>
        <v/>
      </c>
      <c r="BJ1793" s="747" t="str">
        <f t="shared" si="628"/>
        <v/>
      </c>
      <c r="BK1793" s="498" t="str">
        <f t="shared" si="622"/>
        <v/>
      </c>
      <c r="BL1793" s="498" t="str">
        <f t="shared" si="623"/>
        <v/>
      </c>
    </row>
    <row r="1794" spans="1:64" x14ac:dyDescent="0.25">
      <c r="A1794" s="762">
        <f t="shared" si="624"/>
        <v>1789</v>
      </c>
      <c r="B1794" s="229"/>
      <c r="C1794" s="223"/>
      <c r="D1794" s="224"/>
      <c r="E1794" s="225"/>
      <c r="F1794" s="1036" t="str">
        <f t="shared" si="630"/>
        <v/>
      </c>
      <c r="G1794" s="1037" t="str">
        <f t="shared" si="625"/>
        <v/>
      </c>
      <c r="H1794" s="225"/>
      <c r="I1794" s="1013"/>
      <c r="J1794" s="1013"/>
      <c r="K1794" s="1028"/>
      <c r="L1794" s="1035" t="str">
        <f t="shared" si="629"/>
        <v/>
      </c>
      <c r="S1794" s="498"/>
      <c r="AJ1794" s="498"/>
      <c r="AM1794" s="498">
        <f t="shared" si="610"/>
        <v>0</v>
      </c>
      <c r="AN1794" s="498">
        <f t="shared" si="611"/>
        <v>0</v>
      </c>
      <c r="AO1794" s="498">
        <f t="shared" si="612"/>
        <v>0</v>
      </c>
      <c r="AP1794" s="498">
        <f t="shared" si="631"/>
        <v>0</v>
      </c>
      <c r="AQ1794" s="498">
        <f t="shared" si="626"/>
        <v>0</v>
      </c>
      <c r="AU1794" s="498">
        <f t="shared" si="613"/>
        <v>0</v>
      </c>
      <c r="AV1794" s="498">
        <f t="shared" si="614"/>
        <v>0</v>
      </c>
      <c r="AW1794" s="498">
        <f t="shared" si="615"/>
        <v>0</v>
      </c>
      <c r="AX1794" s="498">
        <f t="shared" si="616"/>
        <v>0</v>
      </c>
      <c r="AY1794" s="498">
        <f t="shared" si="617"/>
        <v>0</v>
      </c>
      <c r="BB1794" s="498" t="str">
        <f t="shared" si="618"/>
        <v/>
      </c>
      <c r="BC1794" s="743" t="str">
        <f t="shared" si="619"/>
        <v/>
      </c>
      <c r="BD1794" s="743" t="str">
        <f t="shared" si="620"/>
        <v/>
      </c>
      <c r="BE1794" s="743" t="str">
        <f>IF(D1794="","",VLOOKUP(D1794,'General Basis'!$J$39:$K$46,2,0))</f>
        <v/>
      </c>
      <c r="BF1794" s="744" t="str">
        <f>IF(D1794="","",VLOOKUP(D1794,'General Basis'!$J$39:$L$46,3,0))</f>
        <v/>
      </c>
      <c r="BG1794" s="744" t="str">
        <f t="shared" si="627"/>
        <v/>
      </c>
      <c r="BH1794" s="744" t="str">
        <f>IF(G1794="","",IF(BF1794="Abu Dhabi",IF(G1794&lt;18,'General Basis'!$C$39,IF(G1794&lt;41,'General Basis'!$C$40,IF(G1794&lt;60,'General Basis'!$C$41,IF(G1794&lt;65,'General Basis'!$C$42,'General Basis'!$C$43)))),IF(G1794&lt;11,'General Basis'!$B$39,IF(G1794&lt;18,'General Basis'!$B$40,IF(G1794&lt;26,'General Basis'!$B$41,IF(G1794&lt;31,'General Basis'!$B$42,IF(G1794&lt;36,'General Basis'!$B$43,IF(G1794&lt;41,'General Basis'!$B$44,IF(G1794&lt;46,'General Basis'!$B$45,IF(G1794&lt;51,'General Basis'!$B$46,IF(G1794&lt;56,'General Basis'!$B$47,IF(G1794&lt;60,'General Basis'!$B$48,IF(G1794&lt;65,'General Basis'!$B$49,'General Basis'!$B$50)))))))))))))</f>
        <v/>
      </c>
      <c r="BI1794" s="744" t="str">
        <f t="shared" si="621"/>
        <v/>
      </c>
      <c r="BJ1794" s="747" t="str">
        <f t="shared" si="628"/>
        <v/>
      </c>
      <c r="BK1794" s="498" t="str">
        <f t="shared" si="622"/>
        <v/>
      </c>
      <c r="BL1794" s="498" t="str">
        <f t="shared" si="623"/>
        <v/>
      </c>
    </row>
    <row r="1795" spans="1:64" x14ac:dyDescent="0.25">
      <c r="A1795" s="762">
        <f t="shared" si="624"/>
        <v>1790</v>
      </c>
      <c r="B1795" s="229"/>
      <c r="C1795" s="223"/>
      <c r="D1795" s="224"/>
      <c r="E1795" s="225"/>
      <c r="F1795" s="1036" t="str">
        <f t="shared" si="630"/>
        <v/>
      </c>
      <c r="G1795" s="1037" t="str">
        <f t="shared" si="625"/>
        <v/>
      </c>
      <c r="H1795" s="225"/>
      <c r="I1795" s="1013"/>
      <c r="J1795" s="1013"/>
      <c r="K1795" s="1028"/>
      <c r="L1795" s="1035" t="str">
        <f t="shared" si="629"/>
        <v/>
      </c>
      <c r="S1795" s="498"/>
      <c r="AJ1795" s="498"/>
      <c r="AM1795" s="498">
        <f t="shared" si="610"/>
        <v>0</v>
      </c>
      <c r="AN1795" s="498">
        <f t="shared" si="611"/>
        <v>0</v>
      </c>
      <c r="AO1795" s="498">
        <f t="shared" si="612"/>
        <v>0</v>
      </c>
      <c r="AP1795" s="498">
        <f t="shared" si="631"/>
        <v>0</v>
      </c>
      <c r="AQ1795" s="498">
        <f t="shared" si="626"/>
        <v>0</v>
      </c>
      <c r="AU1795" s="498">
        <f t="shared" si="613"/>
        <v>0</v>
      </c>
      <c r="AV1795" s="498">
        <f t="shared" si="614"/>
        <v>0</v>
      </c>
      <c r="AW1795" s="498">
        <f t="shared" si="615"/>
        <v>0</v>
      </c>
      <c r="AX1795" s="498">
        <f t="shared" si="616"/>
        <v>0</v>
      </c>
      <c r="AY1795" s="498">
        <f t="shared" si="617"/>
        <v>0</v>
      </c>
      <c r="BB1795" s="498" t="str">
        <f t="shared" si="618"/>
        <v/>
      </c>
      <c r="BC1795" s="743" t="str">
        <f t="shared" si="619"/>
        <v/>
      </c>
      <c r="BD1795" s="743" t="str">
        <f t="shared" si="620"/>
        <v/>
      </c>
      <c r="BE1795" s="743" t="str">
        <f>IF(D1795="","",VLOOKUP(D1795,'General Basis'!$J$39:$K$46,2,0))</f>
        <v/>
      </c>
      <c r="BF1795" s="744" t="str">
        <f>IF(D1795="","",VLOOKUP(D1795,'General Basis'!$J$39:$L$46,3,0))</f>
        <v/>
      </c>
      <c r="BG1795" s="744" t="str">
        <f t="shared" si="627"/>
        <v/>
      </c>
      <c r="BH1795" s="744" t="str">
        <f>IF(G1795="","",IF(BF1795="Abu Dhabi",IF(G1795&lt;18,'General Basis'!$C$39,IF(G1795&lt;41,'General Basis'!$C$40,IF(G1795&lt;60,'General Basis'!$C$41,IF(G1795&lt;65,'General Basis'!$C$42,'General Basis'!$C$43)))),IF(G1795&lt;11,'General Basis'!$B$39,IF(G1795&lt;18,'General Basis'!$B$40,IF(G1795&lt;26,'General Basis'!$B$41,IF(G1795&lt;31,'General Basis'!$B$42,IF(G1795&lt;36,'General Basis'!$B$43,IF(G1795&lt;41,'General Basis'!$B$44,IF(G1795&lt;46,'General Basis'!$B$45,IF(G1795&lt;51,'General Basis'!$B$46,IF(G1795&lt;56,'General Basis'!$B$47,IF(G1795&lt;60,'General Basis'!$B$48,IF(G1795&lt;65,'General Basis'!$B$49,'General Basis'!$B$50)))))))))))))</f>
        <v/>
      </c>
      <c r="BI1795" s="744" t="str">
        <f t="shared" si="621"/>
        <v/>
      </c>
      <c r="BJ1795" s="747" t="str">
        <f t="shared" si="628"/>
        <v/>
      </c>
      <c r="BK1795" s="498" t="str">
        <f t="shared" si="622"/>
        <v/>
      </c>
      <c r="BL1795" s="498" t="str">
        <f t="shared" si="623"/>
        <v/>
      </c>
    </row>
    <row r="1796" spans="1:64" x14ac:dyDescent="0.25">
      <c r="A1796" s="762">
        <f t="shared" si="624"/>
        <v>1791</v>
      </c>
      <c r="B1796" s="229"/>
      <c r="C1796" s="223"/>
      <c r="D1796" s="224"/>
      <c r="E1796" s="225"/>
      <c r="F1796" s="1036" t="str">
        <f t="shared" si="630"/>
        <v/>
      </c>
      <c r="G1796" s="1037" t="str">
        <f t="shared" si="625"/>
        <v/>
      </c>
      <c r="H1796" s="225"/>
      <c r="I1796" s="1013"/>
      <c r="J1796" s="1013"/>
      <c r="K1796" s="1028"/>
      <c r="L1796" s="1035" t="str">
        <f t="shared" si="629"/>
        <v/>
      </c>
      <c r="S1796" s="498"/>
      <c r="AJ1796" s="498"/>
      <c r="AM1796" s="498">
        <f t="shared" si="610"/>
        <v>0</v>
      </c>
      <c r="AN1796" s="498">
        <f t="shared" si="611"/>
        <v>0</v>
      </c>
      <c r="AO1796" s="498">
        <f t="shared" si="612"/>
        <v>0</v>
      </c>
      <c r="AP1796" s="498">
        <f t="shared" si="631"/>
        <v>0</v>
      </c>
      <c r="AQ1796" s="498">
        <f t="shared" si="626"/>
        <v>0</v>
      </c>
      <c r="AU1796" s="498">
        <f t="shared" si="613"/>
        <v>0</v>
      </c>
      <c r="AV1796" s="498">
        <f t="shared" si="614"/>
        <v>0</v>
      </c>
      <c r="AW1796" s="498">
        <f t="shared" si="615"/>
        <v>0</v>
      </c>
      <c r="AX1796" s="498">
        <f t="shared" si="616"/>
        <v>0</v>
      </c>
      <c r="AY1796" s="498">
        <f t="shared" si="617"/>
        <v>0</v>
      </c>
      <c r="BB1796" s="498" t="str">
        <f t="shared" si="618"/>
        <v/>
      </c>
      <c r="BC1796" s="743" t="str">
        <f t="shared" si="619"/>
        <v/>
      </c>
      <c r="BD1796" s="743" t="str">
        <f t="shared" si="620"/>
        <v/>
      </c>
      <c r="BE1796" s="743" t="str">
        <f>IF(D1796="","",VLOOKUP(D1796,'General Basis'!$J$39:$K$46,2,0))</f>
        <v/>
      </c>
      <c r="BF1796" s="744" t="str">
        <f>IF(D1796="","",VLOOKUP(D1796,'General Basis'!$J$39:$L$46,3,0))</f>
        <v/>
      </c>
      <c r="BG1796" s="744" t="str">
        <f t="shared" si="627"/>
        <v/>
      </c>
      <c r="BH1796" s="744" t="str">
        <f>IF(G1796="","",IF(BF1796="Abu Dhabi",IF(G1796&lt;18,'General Basis'!$C$39,IF(G1796&lt;41,'General Basis'!$C$40,IF(G1796&lt;60,'General Basis'!$C$41,IF(G1796&lt;65,'General Basis'!$C$42,'General Basis'!$C$43)))),IF(G1796&lt;11,'General Basis'!$B$39,IF(G1796&lt;18,'General Basis'!$B$40,IF(G1796&lt;26,'General Basis'!$B$41,IF(G1796&lt;31,'General Basis'!$B$42,IF(G1796&lt;36,'General Basis'!$B$43,IF(G1796&lt;41,'General Basis'!$B$44,IF(G1796&lt;46,'General Basis'!$B$45,IF(G1796&lt;51,'General Basis'!$B$46,IF(G1796&lt;56,'General Basis'!$B$47,IF(G1796&lt;60,'General Basis'!$B$48,IF(G1796&lt;65,'General Basis'!$B$49,'General Basis'!$B$50)))))))))))))</f>
        <v/>
      </c>
      <c r="BI1796" s="744" t="str">
        <f t="shared" si="621"/>
        <v/>
      </c>
      <c r="BJ1796" s="747" t="str">
        <f t="shared" si="628"/>
        <v/>
      </c>
      <c r="BK1796" s="498" t="str">
        <f t="shared" si="622"/>
        <v/>
      </c>
      <c r="BL1796" s="498" t="str">
        <f t="shared" si="623"/>
        <v/>
      </c>
    </row>
    <row r="1797" spans="1:64" x14ac:dyDescent="0.25">
      <c r="A1797" s="762">
        <f t="shared" si="624"/>
        <v>1792</v>
      </c>
      <c r="B1797" s="229"/>
      <c r="C1797" s="223"/>
      <c r="D1797" s="224"/>
      <c r="E1797" s="225"/>
      <c r="F1797" s="1036" t="str">
        <f t="shared" si="630"/>
        <v/>
      </c>
      <c r="G1797" s="1037" t="str">
        <f t="shared" si="625"/>
        <v/>
      </c>
      <c r="H1797" s="225"/>
      <c r="I1797" s="1013"/>
      <c r="J1797" s="1013"/>
      <c r="K1797" s="1028"/>
      <c r="L1797" s="1035" t="str">
        <f t="shared" si="629"/>
        <v/>
      </c>
      <c r="S1797" s="498"/>
      <c r="AJ1797" s="498"/>
      <c r="AM1797" s="498">
        <f t="shared" si="610"/>
        <v>0</v>
      </c>
      <c r="AN1797" s="498">
        <f t="shared" si="611"/>
        <v>0</v>
      </c>
      <c r="AO1797" s="498">
        <f t="shared" si="612"/>
        <v>0</v>
      </c>
      <c r="AP1797" s="498">
        <f t="shared" si="631"/>
        <v>0</v>
      </c>
      <c r="AQ1797" s="498">
        <f t="shared" si="626"/>
        <v>0</v>
      </c>
      <c r="AU1797" s="498">
        <f t="shared" si="613"/>
        <v>0</v>
      </c>
      <c r="AV1797" s="498">
        <f t="shared" si="614"/>
        <v>0</v>
      </c>
      <c r="AW1797" s="498">
        <f t="shared" si="615"/>
        <v>0</v>
      </c>
      <c r="AX1797" s="498">
        <f t="shared" si="616"/>
        <v>0</v>
      </c>
      <c r="AY1797" s="498">
        <f t="shared" si="617"/>
        <v>0</v>
      </c>
      <c r="BB1797" s="498" t="str">
        <f t="shared" si="618"/>
        <v/>
      </c>
      <c r="BC1797" s="743" t="str">
        <f t="shared" si="619"/>
        <v/>
      </c>
      <c r="BD1797" s="743" t="str">
        <f t="shared" si="620"/>
        <v/>
      </c>
      <c r="BE1797" s="743" t="str">
        <f>IF(D1797="","",VLOOKUP(D1797,'General Basis'!$J$39:$K$46,2,0))</f>
        <v/>
      </c>
      <c r="BF1797" s="744" t="str">
        <f>IF(D1797="","",VLOOKUP(D1797,'General Basis'!$J$39:$L$46,3,0))</f>
        <v/>
      </c>
      <c r="BG1797" s="744" t="str">
        <f t="shared" si="627"/>
        <v/>
      </c>
      <c r="BH1797" s="744" t="str">
        <f>IF(G1797="","",IF(BF1797="Abu Dhabi",IF(G1797&lt;18,'General Basis'!$C$39,IF(G1797&lt;41,'General Basis'!$C$40,IF(G1797&lt;60,'General Basis'!$C$41,IF(G1797&lt;65,'General Basis'!$C$42,'General Basis'!$C$43)))),IF(G1797&lt;11,'General Basis'!$B$39,IF(G1797&lt;18,'General Basis'!$B$40,IF(G1797&lt;26,'General Basis'!$B$41,IF(G1797&lt;31,'General Basis'!$B$42,IF(G1797&lt;36,'General Basis'!$B$43,IF(G1797&lt;41,'General Basis'!$B$44,IF(G1797&lt;46,'General Basis'!$B$45,IF(G1797&lt;51,'General Basis'!$B$46,IF(G1797&lt;56,'General Basis'!$B$47,IF(G1797&lt;60,'General Basis'!$B$48,IF(G1797&lt;65,'General Basis'!$B$49,'General Basis'!$B$50)))))))))))))</f>
        <v/>
      </c>
      <c r="BI1797" s="744" t="str">
        <f t="shared" si="621"/>
        <v/>
      </c>
      <c r="BJ1797" s="747" t="str">
        <f t="shared" si="628"/>
        <v/>
      </c>
      <c r="BK1797" s="498" t="str">
        <f t="shared" si="622"/>
        <v/>
      </c>
      <c r="BL1797" s="498" t="str">
        <f t="shared" si="623"/>
        <v/>
      </c>
    </row>
    <row r="1798" spans="1:64" x14ac:dyDescent="0.25">
      <c r="A1798" s="762">
        <f t="shared" si="624"/>
        <v>1793</v>
      </c>
      <c r="B1798" s="229"/>
      <c r="C1798" s="223"/>
      <c r="D1798" s="224"/>
      <c r="E1798" s="225"/>
      <c r="F1798" s="1036" t="str">
        <f t="shared" si="630"/>
        <v/>
      </c>
      <c r="G1798" s="1037" t="str">
        <f t="shared" si="625"/>
        <v/>
      </c>
      <c r="H1798" s="225"/>
      <c r="I1798" s="1013"/>
      <c r="J1798" s="1013"/>
      <c r="K1798" s="1028"/>
      <c r="L1798" s="1035" t="str">
        <f t="shared" si="629"/>
        <v/>
      </c>
      <c r="S1798" s="498"/>
      <c r="AJ1798" s="498"/>
      <c r="AM1798" s="498">
        <f t="shared" ref="AM1798:AM1861" si="632">IF(ISTEXT(B1798),1,0)</f>
        <v>0</v>
      </c>
      <c r="AN1798" s="498">
        <f t="shared" ref="AN1798:AN1861" si="633">IF(ISBLANK(B1798),0,IF(B1798&lt;$AK$6,1,0))</f>
        <v>0</v>
      </c>
      <c r="AO1798" s="498">
        <f t="shared" ref="AO1798:AO1861" si="634">IF(ISBLANK(B1798),0,IF(B1798&gt;$AK$7,1,0))</f>
        <v>0</v>
      </c>
      <c r="AP1798" s="498">
        <f t="shared" si="631"/>
        <v>0</v>
      </c>
      <c r="AQ1798" s="498">
        <f t="shared" si="626"/>
        <v>0</v>
      </c>
      <c r="AU1798" s="498">
        <f t="shared" ref="AU1798:AU1861" si="635">IF(ISBLANK(B1798),0,1)</f>
        <v>0</v>
      </c>
      <c r="AV1798" s="498">
        <f t="shared" ref="AV1798:AV1861" si="636">IF(ISBLANK(C1798),0,1)</f>
        <v>0</v>
      </c>
      <c r="AW1798" s="498">
        <f t="shared" ref="AW1798:AW1861" si="637">IF(ISBLANK(D1798),0,1)</f>
        <v>0</v>
      </c>
      <c r="AX1798" s="498">
        <f t="shared" ref="AX1798:AX1861" si="638">IF(ISBLANK(E1798),0,1)</f>
        <v>0</v>
      </c>
      <c r="AY1798" s="498">
        <f t="shared" ref="AY1798:AY1861" si="639">IF(ISBLANK(H1798),0,1)</f>
        <v>0</v>
      </c>
      <c r="BB1798" s="498" t="str">
        <f t="shared" ref="BB1798:BB1861" si="640">IF(E1798="Principal","Principal",IF(E1798="","","Other"))</f>
        <v/>
      </c>
      <c r="BC1798" s="743" t="str">
        <f t="shared" ref="BC1798:BC1861" si="641">IF(D1798="","",D1798)</f>
        <v/>
      </c>
      <c r="BD1798" s="743" t="str">
        <f t="shared" ref="BD1798:BD1861" si="642">IF(E1798="Principal","Employee",IF(E1798="","","Dependent"))</f>
        <v/>
      </c>
      <c r="BE1798" s="743" t="str">
        <f>IF(D1798="","",VLOOKUP(D1798,'General Basis'!$J$39:$K$46,2,0))</f>
        <v/>
      </c>
      <c r="BF1798" s="744" t="str">
        <f>IF(D1798="","",VLOOKUP(D1798,'General Basis'!$J$39:$L$46,3,0))</f>
        <v/>
      </c>
      <c r="BG1798" s="744" t="str">
        <f t="shared" si="627"/>
        <v/>
      </c>
      <c r="BH1798" s="744" t="str">
        <f>IF(G1798="","",IF(BF1798="Abu Dhabi",IF(G1798&lt;18,'General Basis'!$C$39,IF(G1798&lt;41,'General Basis'!$C$40,IF(G1798&lt;60,'General Basis'!$C$41,IF(G1798&lt;65,'General Basis'!$C$42,'General Basis'!$C$43)))),IF(G1798&lt;11,'General Basis'!$B$39,IF(G1798&lt;18,'General Basis'!$B$40,IF(G1798&lt;26,'General Basis'!$B$41,IF(G1798&lt;31,'General Basis'!$B$42,IF(G1798&lt;36,'General Basis'!$B$43,IF(G1798&lt;41,'General Basis'!$B$44,IF(G1798&lt;46,'General Basis'!$B$45,IF(G1798&lt;51,'General Basis'!$B$46,IF(G1798&lt;56,'General Basis'!$B$47,IF(G1798&lt;60,'General Basis'!$B$48,IF(G1798&lt;65,'General Basis'!$B$49,'General Basis'!$B$50)))))))))))))</f>
        <v/>
      </c>
      <c r="BI1798" s="744" t="str">
        <f t="shared" ref="BI1798:BI1861" si="643">IF(C1798="","",IF(C1798="M","Male","Female"))</f>
        <v/>
      </c>
      <c r="BJ1798" s="747" t="str">
        <f t="shared" si="628"/>
        <v/>
      </c>
      <c r="BK1798" s="498" t="str">
        <f t="shared" ref="BK1798:BK1861" si="644">IF(BD1798="","",IF(AND(BD1798="Employee",BI1798="Male",BF1798="Abu Dhabi",BE1798=GN_Plus),VLOOKUP(BH1798,AUH_MALE_EMP,2,0),IF(AND(BD1798="Employee",BI1798="Male",BF1798="Abu Dhabi",BE1798=GN),VLOOKUP(BH1798,AUH_MALE_EMP,3,0),IF(AND(BD1798="Employee",BI1798="Male",BF1798="Abu Dhabi",BE1798=RN_Plus),VLOOKUP(BH1798,AUH_MALE_EMP,4,0),IF(AND(BD1798="Employee",BI1798="Male",BF1798="Abu Dhabi",BE1798=RN),VLOOKUP(BH1798,AUH_MALE_EMP,5,0),IF(AND(BD1798="Employee",BI1798="Male",BF1798="Abu Dhabi",BE1798=RN_2),VLOOKUP(BH1798,AUH_MALE_EMP,6,0),IF(AND(BD1798="Employee",BI1798="Male",BF1798="Abu Dhabi",BE1798=RN2_minus),VLOOKUP(BH1798,AUH_MALE_EMP,7,0),IF(AND(BD1798="Employee",BI1798="Male",BF1798="Abu Dhabi",BE1798=RN_3),VLOOKUP(BH1798,AUH_MALE_EMP,8,0),IF(AND(BD1798="Employee",BI1798="Male",BF1798="Abu Dhabi",BE1798=VN),VLOOKUP(BH1798,AUH_MALE_EMP,9,0),IF(BD1798="","",IF(AND(BD1798="Employee",BI1798="Female",BF1798="Abu Dhabi",BE1798=GN_Plus),VLOOKUP(BH1798,AUH_FEMALE_EMP,2,0),IF(AND(BD1798="Employee",BI1798="Female",BF1798="Abu Dhabi",BE1798=GN),VLOOKUP(BH1798,AUH_FEMALE_EMP,3,0),IF(AND(BD1798="Employee",BI1798="Female",BF1798="Abu Dhabi",BE1798=RN_Plus),VLOOKUP(BH1798,AUH_FEMALE_EMP,4,0),IF(AND(BD1798="Employee",BI1798="Female",BF1798="Abu Dhabi",BE1798=RN),VLOOKUP(BH1798,AUH_FEMALE_EMP,5,0),IF(AND(BD1798="Employee",BI1798="Female",BF1798="Abu Dhabi",BE1798=RN_2),VLOOKUP(BH1798,AUH_FEMALE_EMP,6,0),IF(AND(BD1798="Employee",BI1798="Female",BF1798="Abu Dhabi",BE1798=RN2_minus),VLOOKUP(BH1798,AUH_FEMALE_EMP,7,0),IF(AND(BD1798="Employee",BI1798="Female",BF1798="Abu Dhabi",BE1798=RN_3),VLOOKUP(BH1798,AUH_FEMALE_EMP,8,0),IF(AND(BD1798="Employee",BI1798="Female",BF1798="Abu Dhabi",BE1798=VN),VLOOKUP(BH1798,AUH_FEMALE_EMP,9,0),IF(BD1798="","",IF(AND(BD1798="Dependent",BI1798="Male",BF1798="Abu Dhabi",BE1798=GN_Plus),VLOOKUP(BH1798,AUH_MALE_DEP,2,0),IF(AND(BD1798="Dependent",BI1798="Male",BF1798="Abu Dhabi",BE1798=GN),VLOOKUP(BH1798,AUH_MALE_DEP,3,0),IF(AND(BD1798="Dependent",BI1798="Male",BF1798="Abu Dhabi",BE1798=RN_Plus),VLOOKUP(BH1798,AUH_MALE_DEP,4,0),IF(AND(BD1798="Dependent",BI1798="Male",BF1798="Abu Dhabi",BE1798=RN),VLOOKUP(BH1798,AUH_MALE_DEP,5,0),IF(AND(BD1798="Dependent",BI1798="Male",BF1798="Abu Dhabi",BE1798=RN_2),VLOOKUP(BH1798,AUH_MALE_DEP,6,0),IF(AND(BD1798="Dependent",BI1798="Male",BF1798="Abu Dhabi",BE1798=RN2_minus),VLOOKUP(BH1798,AUH_MALE_DEP,7,0),IF(AND(BD1798="Dependent",BI1798="Male",BF1798="Abu Dhabi",BE1798=RN_3),VLOOKUP(BH1798,AUH_MALE_DEP,8,0),IF(AND(BD1798="Dependent",BI1798="Male",BF1798="Abu Dhabi",BE1798=VN),VLOOKUP(BH1798,AUH_MALE_DEP,9,0),IF(BD1798="","",IF(AND(BD1798="Dependent",BI1798="Female",BF1798="Abu Dhabi",BE1798=GN_Plus),VLOOKUP(BH1798,AUH_FEMALE_DEP,2,0),IF(AND(BD1798="Dependent",BI1798="Female",BF1798="Abu Dhabi",BE1798=GN),VLOOKUP(BH1798,AUH_FEMALE_DEP,3,0),IF(AND(BD1798="Dependent",BI1798="Female",BF1798="Abu Dhabi",BE1798=RN_Plus),VLOOKUP(BH1798,AUH_FEMALE_DEP,4,0),IF(AND(BD1798="Dependent",BI1798="Female",BF1798="Abu Dhabi",BE1798=RN),VLOOKUP(BH1798,AUH_FEMALE_DEP,5,0),IF(AND(BD1798="Dependent",BI1798="Female",BF1798="Abu Dhabi",BE1798=RN_2),VLOOKUP(BH1798,AUH_FEMALE_DEP,6,0),IF(AND(BD1798="Dependent",BI1798="Female",BF1798="Abu Dhabi",BE1798=RN2_minus),VLOOKUP(BH1798,AUH_FEMALE_DEP,7,0),IF(AND(BD1798="Dependent",BI1798="Female",BF1798="Abu Dhabi",BE1798=RN_3),VLOOKUP(BH1798,AUH_FEMALE_DEP,8,0),IF(AND(BD1798="Dependent",BI1798="Female",BF1798="Abu Dhabi",BE1798=VN),VLOOKUP(BH1798,AUH_FEMALE_DEP,9,0),"ABC"))))))))))))))))))))))))))))))))))))</f>
        <v/>
      </c>
      <c r="BL1798" s="498" t="str">
        <f t="shared" ref="BL1798:BL1861" si="645">IF(BD1798="","",IF(AND(BD1798="Employee",BI1798="Male",BF1798="Dubai",BE1798=GN_Plus),VLOOKUP(BH1798,DXB_MALE_EMP,2,0),IF(AND(BD1798="Employee",BI1798="Male",BF1798="Dubai",BE1798=GN),VLOOKUP(BH1798,DXB_MALE_EMP,3,0),IF(AND(BD1798="Employee",BI1798="Male",BF1798="Dubai",BE1798=RN_Plus),VLOOKUP(BH1798,DXB_MALE_EMP,4,0),IF(AND(BD1798="Employee",BI1798="Male",BF1798="Dubai",BE1798=RN),VLOOKUP(BH1798,DXB_MALE_EMP,5,0),IF(AND(BD1798="Employee",BI1798="Male",BF1798="Dubai",BE1798=RN_2),VLOOKUP(BH1798,DXB_MALE_EMP,6,0),IF(AND(BD1798="Employee",BI1798="Male",BF1798="Dubai",BE1798=RN2_minus),VLOOKUP(BH1798,DXB_MALE_EMP,7,0),IF(AND(BD1798="Employee",BI1798="Male",BF1798="Dubai",BE1798=RN_3),VLOOKUP(BH1798,DXB_MALE_EMP,8,0),IF(AND(BD1798="Employee",BI1798="Male",BF1798="Dubai",BE1798=VN),VLOOKUP(BH1798,DXB_MALE_EMP,9,0),IF(BD1798="","",IF(AND(BD1798="Employee",BI1798="Female",BF1798="Dubai",BE1798=GN_Plus),VLOOKUP(BH1798,DXB_FEMALE_EMP,2,0),IF(AND(BD1798="Employee",BI1798="Female",BF1798="Dubai",BE1798=GN),VLOOKUP(BH1798,DXB_FEMALE_EMP,3,0),IF(AND(BD1798="Employee",BI1798="Female",BF1798="Dubai",BE1798=RN_Plus),VLOOKUP(BH1798,DXB_FEMALE_EMP,4,0),IF(AND(BD1798="Employee",BI1798="Female",BF1798="Dubai",BE1798=RN),VLOOKUP(BH1798,DXB_FEMALE_EMP,5,0),IF(AND(BD1798="Employee",BI1798="Female",BF1798="Dubai",BE1798=RN_2),VLOOKUP(BH1798,DXB_FEMALE_EMP,6,0),IF(AND(BD1798="Employee",BI1798="Female",BF1798="Dubai",BE1798=RN2_minus),VLOOKUP(BH1798,DXB_FEMALE_EMP,7,0),IF(AND(BD1798="Employee",BI1798="Female",BF1798="Dubai",BE1798=RN_3),VLOOKUP(BH1798,DXB_FEMALE_EMP,8,0),IF(AND(BD1798="Employee",BI1798="Female",BF1798="Dubai",BE1798=VN),VLOOKUP(BH1798,DXB_FEMALE_EMP,9,0),IF(BD1798="","",IF(AND(BD1798="Dependent",BI1798="Male",BF1798="Dubai",BE1798=GN_Plus),VLOOKUP(BH1798,DXB_MALE_DEP,2,0),IF(AND(BD1798="Dependent",BI1798="Male",BF1798="Dubai",BE1798=GN),VLOOKUP(BH1798,DXB_MALE_DEP,3,0),IF(AND(BD1798="Dependent",BI1798="Male",BF1798="Dubai",BE1798=RN_Plus),VLOOKUP(BH1798,DXB_MALE_DEP,4,0),IF(AND(BD1798="Dependent",BI1798="Male",BF1798="Dubai",BE1798=RN),VLOOKUP(BH1798,DXB_MALE_DEP,5,0),IF(AND(BD1798="Dependent",BI1798="Male",BF1798="Dubai",BE1798=RN_2),VLOOKUP(BH1798,DXB_MALE_DEP,6,0),IF(AND(BD1798="Dependent",BI1798="Male",BF1798="Dubai",BE1798=RN2_minus),VLOOKUP(BH1798,DXB_MALE_DEP,7,0),IF(AND(BD1798="Dependent",BI1798="Male",BF1798="Dubai",BE1798=RN_3),VLOOKUP(BH1798,DXB_MALE_DEP,8,0),IF(AND(BD1798="Dependent",BI1798="Male",BF1798="Dubai",BE1798=VN),VLOOKUP(BH1798,DXB_MALE_DEP,9,0),IF(BD1798="","",IF(AND(BD1798="Dependent",BI1798="Female",BF1798="Dubai",BE1798=GN_Plus),VLOOKUP(BH1798,DXB_FEMALE_DEP,2,0),IF(AND(BD1798="Dependent",BI1798="Female",BF1798="Dubai",BE1798=GN),VLOOKUP(BH1798,DXB_FEMALE_DEP,3,0),IF(AND(BD1798="Dependent",BI1798="Female",BF1798="Dubai",BE1798=RN_Plus),VLOOKUP(BH1798,DXB_FEMALE_DEP,4,0),IF(AND(BD1798="Dependent",BI1798="Female",BF1798="Dubai",BE1798=RN),VLOOKUP(BH1798,DXB_FEMALE_DEP,5,0),IF(AND(BD1798="Dependent",BI1798="Female",BF1798="Dubai",BE1798=RN_2),VLOOKUP(BH1798,DXB_FEMALE_DEP,6,0),IF(AND(BD1798="Dependent",BI1798="Female",BF1798="Dubai",BE1798=RN2_minus),VLOOKUP(BH1798,DXB_FEMALE_DEP,7,0),IF(AND(BD1798="Dependent",BI1798="Female",BF1798="Dubai",BE1798=RN_3),VLOOKUP(BH1798,DXB_FEMALE_DEP,8,0),IF(AND(BD1798="Dependent",BI1798="Female",BF1798="Dubai",BE1798=VN),VLOOKUP(BH1798,DXB_FEMALE_DEP,9,0),"ABC"))))))))))))))))))))))))))))))))))))</f>
        <v/>
      </c>
    </row>
    <row r="1799" spans="1:64" x14ac:dyDescent="0.25">
      <c r="A1799" s="762">
        <f t="shared" ref="A1799:A1862" si="646">+A1798+1</f>
        <v>1794</v>
      </c>
      <c r="B1799" s="229"/>
      <c r="C1799" s="223"/>
      <c r="D1799" s="224"/>
      <c r="E1799" s="225"/>
      <c r="F1799" s="1036" t="str">
        <f t="shared" si="630"/>
        <v/>
      </c>
      <c r="G1799" s="1037" t="str">
        <f t="shared" ref="G1799:G1862" si="647">IF(D1799="","",MAX(0,ROUNDUP(F1799,0)))</f>
        <v/>
      </c>
      <c r="H1799" s="225"/>
      <c r="I1799" s="1013"/>
      <c r="J1799" s="1013"/>
      <c r="K1799" s="1028"/>
      <c r="L1799" s="1035" t="str">
        <f t="shared" si="629"/>
        <v/>
      </c>
      <c r="S1799" s="498"/>
      <c r="AJ1799" s="498"/>
      <c r="AM1799" s="498">
        <f t="shared" si="632"/>
        <v>0</v>
      </c>
      <c r="AN1799" s="498">
        <f t="shared" si="633"/>
        <v>0</v>
      </c>
      <c r="AO1799" s="498">
        <f t="shared" si="634"/>
        <v>0</v>
      </c>
      <c r="AP1799" s="498">
        <f t="shared" si="631"/>
        <v>0</v>
      </c>
      <c r="AQ1799" s="498">
        <f t="shared" ref="AQ1799:AQ1862" si="648">IF(ISBLANK($B1799),0,IF(OR($H1799="Single",$H1799="Married"),0,1))</f>
        <v>0</v>
      </c>
      <c r="AU1799" s="498">
        <f t="shared" si="635"/>
        <v>0</v>
      </c>
      <c r="AV1799" s="498">
        <f t="shared" si="636"/>
        <v>0</v>
      </c>
      <c r="AW1799" s="498">
        <f t="shared" si="637"/>
        <v>0</v>
      </c>
      <c r="AX1799" s="498">
        <f t="shared" si="638"/>
        <v>0</v>
      </c>
      <c r="AY1799" s="498">
        <f t="shared" si="639"/>
        <v>0</v>
      </c>
      <c r="BB1799" s="498" t="str">
        <f t="shared" si="640"/>
        <v/>
      </c>
      <c r="BC1799" s="743" t="str">
        <f t="shared" si="641"/>
        <v/>
      </c>
      <c r="BD1799" s="743" t="str">
        <f t="shared" si="642"/>
        <v/>
      </c>
      <c r="BE1799" s="743" t="str">
        <f>IF(D1799="","",VLOOKUP(D1799,'General Basis'!$J$39:$K$46,2,0))</f>
        <v/>
      </c>
      <c r="BF1799" s="744" t="str">
        <f>IF(D1799="","",VLOOKUP(D1799,'General Basis'!$J$39:$L$46,3,0))</f>
        <v/>
      </c>
      <c r="BG1799" s="744" t="str">
        <f t="shared" ref="BG1799:BG1862" si="649">BC1799&amp;BI1799</f>
        <v/>
      </c>
      <c r="BH1799" s="744" t="str">
        <f>IF(G1799="","",IF(BF1799="Abu Dhabi",IF(G1799&lt;18,'General Basis'!$C$39,IF(G1799&lt;41,'General Basis'!$C$40,IF(G1799&lt;60,'General Basis'!$C$41,IF(G1799&lt;65,'General Basis'!$C$42,'General Basis'!$C$43)))),IF(G1799&lt;11,'General Basis'!$B$39,IF(G1799&lt;18,'General Basis'!$B$40,IF(G1799&lt;26,'General Basis'!$B$41,IF(G1799&lt;31,'General Basis'!$B$42,IF(G1799&lt;36,'General Basis'!$B$43,IF(G1799&lt;41,'General Basis'!$B$44,IF(G1799&lt;46,'General Basis'!$B$45,IF(G1799&lt;51,'General Basis'!$B$46,IF(G1799&lt;56,'General Basis'!$B$47,IF(G1799&lt;60,'General Basis'!$B$48,IF(G1799&lt;65,'General Basis'!$B$49,'General Basis'!$B$50)))))))))))))</f>
        <v/>
      </c>
      <c r="BI1799" s="744" t="str">
        <f t="shared" si="643"/>
        <v/>
      </c>
      <c r="BJ1799" s="747" t="str">
        <f t="shared" ref="BJ1799:BJ1862" si="650">IF(BD1799="","",IF(BF1799="Abu Dhabi",BK1799,BL1799))</f>
        <v/>
      </c>
      <c r="BK1799" s="498" t="str">
        <f t="shared" si="644"/>
        <v/>
      </c>
      <c r="BL1799" s="498" t="str">
        <f t="shared" si="645"/>
        <v/>
      </c>
    </row>
    <row r="1800" spans="1:64" x14ac:dyDescent="0.25">
      <c r="A1800" s="762">
        <f t="shared" si="646"/>
        <v>1795</v>
      </c>
      <c r="B1800" s="229"/>
      <c r="C1800" s="223"/>
      <c r="D1800" s="224"/>
      <c r="E1800" s="225"/>
      <c r="F1800" s="1036" t="str">
        <f t="shared" si="630"/>
        <v/>
      </c>
      <c r="G1800" s="1037" t="str">
        <f t="shared" si="647"/>
        <v/>
      </c>
      <c r="H1800" s="225"/>
      <c r="I1800" s="1013"/>
      <c r="J1800" s="1013"/>
      <c r="K1800" s="1028"/>
      <c r="L1800" s="1035" t="str">
        <f t="shared" ref="L1800:L1863" si="651">IF(AND(E1800="Child",H1800="Married"),"Check the Marital Status of the Child. ",IF(AND(E1800="Child",F1800&gt;18),"Child Age exceed 18 years. ",IF(AND(E1800="Spouse",H1800="Single"),"Spouse is selected as Single. ","")))&amp;IF(K1800&gt;0,"UW Loading has been Applied","")</f>
        <v/>
      </c>
      <c r="S1800" s="498"/>
      <c r="AJ1800" s="498"/>
      <c r="AM1800" s="498">
        <f t="shared" si="632"/>
        <v>0</v>
      </c>
      <c r="AN1800" s="498">
        <f t="shared" si="633"/>
        <v>0</v>
      </c>
      <c r="AO1800" s="498">
        <f t="shared" si="634"/>
        <v>0</v>
      </c>
      <c r="AP1800" s="498">
        <f t="shared" si="631"/>
        <v>0</v>
      </c>
      <c r="AQ1800" s="498">
        <f t="shared" si="648"/>
        <v>0</v>
      </c>
      <c r="AU1800" s="498">
        <f t="shared" si="635"/>
        <v>0</v>
      </c>
      <c r="AV1800" s="498">
        <f t="shared" si="636"/>
        <v>0</v>
      </c>
      <c r="AW1800" s="498">
        <f t="shared" si="637"/>
        <v>0</v>
      </c>
      <c r="AX1800" s="498">
        <f t="shared" si="638"/>
        <v>0</v>
      </c>
      <c r="AY1800" s="498">
        <f t="shared" si="639"/>
        <v>0</v>
      </c>
      <c r="BB1800" s="498" t="str">
        <f t="shared" si="640"/>
        <v/>
      </c>
      <c r="BC1800" s="743" t="str">
        <f t="shared" si="641"/>
        <v/>
      </c>
      <c r="BD1800" s="743" t="str">
        <f t="shared" si="642"/>
        <v/>
      </c>
      <c r="BE1800" s="743" t="str">
        <f>IF(D1800="","",VLOOKUP(D1800,'General Basis'!$J$39:$K$46,2,0))</f>
        <v/>
      </c>
      <c r="BF1800" s="744" t="str">
        <f>IF(D1800="","",VLOOKUP(D1800,'General Basis'!$J$39:$L$46,3,0))</f>
        <v/>
      </c>
      <c r="BG1800" s="744" t="str">
        <f t="shared" si="649"/>
        <v/>
      </c>
      <c r="BH1800" s="744" t="str">
        <f>IF(G1800="","",IF(BF1800="Abu Dhabi",IF(G1800&lt;18,'General Basis'!$C$39,IF(G1800&lt;41,'General Basis'!$C$40,IF(G1800&lt;60,'General Basis'!$C$41,IF(G1800&lt;65,'General Basis'!$C$42,'General Basis'!$C$43)))),IF(G1800&lt;11,'General Basis'!$B$39,IF(G1800&lt;18,'General Basis'!$B$40,IF(G1800&lt;26,'General Basis'!$B$41,IF(G1800&lt;31,'General Basis'!$B$42,IF(G1800&lt;36,'General Basis'!$B$43,IF(G1800&lt;41,'General Basis'!$B$44,IF(G1800&lt;46,'General Basis'!$B$45,IF(G1800&lt;51,'General Basis'!$B$46,IF(G1800&lt;56,'General Basis'!$B$47,IF(G1800&lt;60,'General Basis'!$B$48,IF(G1800&lt;65,'General Basis'!$B$49,'General Basis'!$B$50)))))))))))))</f>
        <v/>
      </c>
      <c r="BI1800" s="744" t="str">
        <f t="shared" si="643"/>
        <v/>
      </c>
      <c r="BJ1800" s="747" t="str">
        <f t="shared" si="650"/>
        <v/>
      </c>
      <c r="BK1800" s="498" t="str">
        <f t="shared" si="644"/>
        <v/>
      </c>
      <c r="BL1800" s="498" t="str">
        <f t="shared" si="645"/>
        <v/>
      </c>
    </row>
    <row r="1801" spans="1:64" x14ac:dyDescent="0.25">
      <c r="A1801" s="762">
        <f t="shared" si="646"/>
        <v>1796</v>
      </c>
      <c r="B1801" s="229"/>
      <c r="C1801" s="223"/>
      <c r="D1801" s="224"/>
      <c r="E1801" s="225"/>
      <c r="F1801" s="1036" t="str">
        <f t="shared" si="630"/>
        <v/>
      </c>
      <c r="G1801" s="1037" t="str">
        <f t="shared" si="647"/>
        <v/>
      </c>
      <c r="H1801" s="225"/>
      <c r="I1801" s="1013"/>
      <c r="J1801" s="1013"/>
      <c r="K1801" s="1028"/>
      <c r="L1801" s="1035" t="str">
        <f t="shared" si="651"/>
        <v/>
      </c>
      <c r="S1801" s="498"/>
      <c r="AJ1801" s="498"/>
      <c r="AM1801" s="498">
        <f t="shared" si="632"/>
        <v>0</v>
      </c>
      <c r="AN1801" s="498">
        <f t="shared" si="633"/>
        <v>0</v>
      </c>
      <c r="AO1801" s="498">
        <f t="shared" si="634"/>
        <v>0</v>
      </c>
      <c r="AP1801" s="498">
        <f t="shared" si="631"/>
        <v>0</v>
      </c>
      <c r="AQ1801" s="498">
        <f t="shared" si="648"/>
        <v>0</v>
      </c>
      <c r="AU1801" s="498">
        <f t="shared" si="635"/>
        <v>0</v>
      </c>
      <c r="AV1801" s="498">
        <f t="shared" si="636"/>
        <v>0</v>
      </c>
      <c r="AW1801" s="498">
        <f t="shared" si="637"/>
        <v>0</v>
      </c>
      <c r="AX1801" s="498">
        <f t="shared" si="638"/>
        <v>0</v>
      </c>
      <c r="AY1801" s="498">
        <f t="shared" si="639"/>
        <v>0</v>
      </c>
      <c r="BB1801" s="498" t="str">
        <f t="shared" si="640"/>
        <v/>
      </c>
      <c r="BC1801" s="743" t="str">
        <f t="shared" si="641"/>
        <v/>
      </c>
      <c r="BD1801" s="743" t="str">
        <f t="shared" si="642"/>
        <v/>
      </c>
      <c r="BE1801" s="743" t="str">
        <f>IF(D1801="","",VLOOKUP(D1801,'General Basis'!$J$39:$K$46,2,0))</f>
        <v/>
      </c>
      <c r="BF1801" s="744" t="str">
        <f>IF(D1801="","",VLOOKUP(D1801,'General Basis'!$J$39:$L$46,3,0))</f>
        <v/>
      </c>
      <c r="BG1801" s="744" t="str">
        <f t="shared" si="649"/>
        <v/>
      </c>
      <c r="BH1801" s="744" t="str">
        <f>IF(G1801="","",IF(BF1801="Abu Dhabi",IF(G1801&lt;18,'General Basis'!$C$39,IF(G1801&lt;41,'General Basis'!$C$40,IF(G1801&lt;60,'General Basis'!$C$41,IF(G1801&lt;65,'General Basis'!$C$42,'General Basis'!$C$43)))),IF(G1801&lt;11,'General Basis'!$B$39,IF(G1801&lt;18,'General Basis'!$B$40,IF(G1801&lt;26,'General Basis'!$B$41,IF(G1801&lt;31,'General Basis'!$B$42,IF(G1801&lt;36,'General Basis'!$B$43,IF(G1801&lt;41,'General Basis'!$B$44,IF(G1801&lt;46,'General Basis'!$B$45,IF(G1801&lt;51,'General Basis'!$B$46,IF(G1801&lt;56,'General Basis'!$B$47,IF(G1801&lt;60,'General Basis'!$B$48,IF(G1801&lt;65,'General Basis'!$B$49,'General Basis'!$B$50)))))))))))))</f>
        <v/>
      </c>
      <c r="BI1801" s="744" t="str">
        <f t="shared" si="643"/>
        <v/>
      </c>
      <c r="BJ1801" s="747" t="str">
        <f t="shared" si="650"/>
        <v/>
      </c>
      <c r="BK1801" s="498" t="str">
        <f t="shared" si="644"/>
        <v/>
      </c>
      <c r="BL1801" s="498" t="str">
        <f t="shared" si="645"/>
        <v/>
      </c>
    </row>
    <row r="1802" spans="1:64" x14ac:dyDescent="0.25">
      <c r="A1802" s="762">
        <f t="shared" si="646"/>
        <v>1797</v>
      </c>
      <c r="B1802" s="229"/>
      <c r="C1802" s="223"/>
      <c r="D1802" s="224"/>
      <c r="E1802" s="225"/>
      <c r="F1802" s="1036" t="str">
        <f t="shared" si="630"/>
        <v/>
      </c>
      <c r="G1802" s="1037" t="str">
        <f t="shared" si="647"/>
        <v/>
      </c>
      <c r="H1802" s="225"/>
      <c r="I1802" s="1013"/>
      <c r="J1802" s="1013"/>
      <c r="K1802" s="1028"/>
      <c r="L1802" s="1035" t="str">
        <f t="shared" si="651"/>
        <v/>
      </c>
      <c r="S1802" s="498"/>
      <c r="AJ1802" s="498"/>
      <c r="AM1802" s="498">
        <f t="shared" si="632"/>
        <v>0</v>
      </c>
      <c r="AN1802" s="498">
        <f t="shared" si="633"/>
        <v>0</v>
      </c>
      <c r="AO1802" s="498">
        <f t="shared" si="634"/>
        <v>0</v>
      </c>
      <c r="AP1802" s="498">
        <f t="shared" si="631"/>
        <v>0</v>
      </c>
      <c r="AQ1802" s="498">
        <f t="shared" si="648"/>
        <v>0</v>
      </c>
      <c r="AU1802" s="498">
        <f t="shared" si="635"/>
        <v>0</v>
      </c>
      <c r="AV1802" s="498">
        <f t="shared" si="636"/>
        <v>0</v>
      </c>
      <c r="AW1802" s="498">
        <f t="shared" si="637"/>
        <v>0</v>
      </c>
      <c r="AX1802" s="498">
        <f t="shared" si="638"/>
        <v>0</v>
      </c>
      <c r="AY1802" s="498">
        <f t="shared" si="639"/>
        <v>0</v>
      </c>
      <c r="BB1802" s="498" t="str">
        <f t="shared" si="640"/>
        <v/>
      </c>
      <c r="BC1802" s="743" t="str">
        <f t="shared" si="641"/>
        <v/>
      </c>
      <c r="BD1802" s="743" t="str">
        <f t="shared" si="642"/>
        <v/>
      </c>
      <c r="BE1802" s="743" t="str">
        <f>IF(D1802="","",VLOOKUP(D1802,'General Basis'!$J$39:$K$46,2,0))</f>
        <v/>
      </c>
      <c r="BF1802" s="744" t="str">
        <f>IF(D1802="","",VLOOKUP(D1802,'General Basis'!$J$39:$L$46,3,0))</f>
        <v/>
      </c>
      <c r="BG1802" s="744" t="str">
        <f t="shared" si="649"/>
        <v/>
      </c>
      <c r="BH1802" s="744" t="str">
        <f>IF(G1802="","",IF(BF1802="Abu Dhabi",IF(G1802&lt;18,'General Basis'!$C$39,IF(G1802&lt;41,'General Basis'!$C$40,IF(G1802&lt;60,'General Basis'!$C$41,IF(G1802&lt;65,'General Basis'!$C$42,'General Basis'!$C$43)))),IF(G1802&lt;11,'General Basis'!$B$39,IF(G1802&lt;18,'General Basis'!$B$40,IF(G1802&lt;26,'General Basis'!$B$41,IF(G1802&lt;31,'General Basis'!$B$42,IF(G1802&lt;36,'General Basis'!$B$43,IF(G1802&lt;41,'General Basis'!$B$44,IF(G1802&lt;46,'General Basis'!$B$45,IF(G1802&lt;51,'General Basis'!$B$46,IF(G1802&lt;56,'General Basis'!$B$47,IF(G1802&lt;60,'General Basis'!$B$48,IF(G1802&lt;65,'General Basis'!$B$49,'General Basis'!$B$50)))))))))))))</f>
        <v/>
      </c>
      <c r="BI1802" s="744" t="str">
        <f t="shared" si="643"/>
        <v/>
      </c>
      <c r="BJ1802" s="747" t="str">
        <f t="shared" si="650"/>
        <v/>
      </c>
      <c r="BK1802" s="498" t="str">
        <f t="shared" si="644"/>
        <v/>
      </c>
      <c r="BL1802" s="498" t="str">
        <f t="shared" si="645"/>
        <v/>
      </c>
    </row>
    <row r="1803" spans="1:64" x14ac:dyDescent="0.25">
      <c r="A1803" s="762">
        <f t="shared" si="646"/>
        <v>1798</v>
      </c>
      <c r="B1803" s="229"/>
      <c r="C1803" s="223"/>
      <c r="D1803" s="224"/>
      <c r="E1803" s="225"/>
      <c r="F1803" s="1036" t="str">
        <f t="shared" si="630"/>
        <v/>
      </c>
      <c r="G1803" s="1037" t="str">
        <f t="shared" si="647"/>
        <v/>
      </c>
      <c r="H1803" s="225"/>
      <c r="I1803" s="1013"/>
      <c r="J1803" s="1013"/>
      <c r="K1803" s="1028"/>
      <c r="L1803" s="1035" t="str">
        <f t="shared" si="651"/>
        <v/>
      </c>
      <c r="S1803" s="498"/>
      <c r="AJ1803" s="498"/>
      <c r="AM1803" s="498">
        <f t="shared" si="632"/>
        <v>0</v>
      </c>
      <c r="AN1803" s="498">
        <f t="shared" si="633"/>
        <v>0</v>
      </c>
      <c r="AO1803" s="498">
        <f t="shared" si="634"/>
        <v>0</v>
      </c>
      <c r="AP1803" s="498">
        <f t="shared" si="631"/>
        <v>0</v>
      </c>
      <c r="AQ1803" s="498">
        <f t="shared" si="648"/>
        <v>0</v>
      </c>
      <c r="AU1803" s="498">
        <f t="shared" si="635"/>
        <v>0</v>
      </c>
      <c r="AV1803" s="498">
        <f t="shared" si="636"/>
        <v>0</v>
      </c>
      <c r="AW1803" s="498">
        <f t="shared" si="637"/>
        <v>0</v>
      </c>
      <c r="AX1803" s="498">
        <f t="shared" si="638"/>
        <v>0</v>
      </c>
      <c r="AY1803" s="498">
        <f t="shared" si="639"/>
        <v>0</v>
      </c>
      <c r="BB1803" s="498" t="str">
        <f t="shared" si="640"/>
        <v/>
      </c>
      <c r="BC1803" s="743" t="str">
        <f t="shared" si="641"/>
        <v/>
      </c>
      <c r="BD1803" s="743" t="str">
        <f t="shared" si="642"/>
        <v/>
      </c>
      <c r="BE1803" s="743" t="str">
        <f>IF(D1803="","",VLOOKUP(D1803,'General Basis'!$J$39:$K$46,2,0))</f>
        <v/>
      </c>
      <c r="BF1803" s="744" t="str">
        <f>IF(D1803="","",VLOOKUP(D1803,'General Basis'!$J$39:$L$46,3,0))</f>
        <v/>
      </c>
      <c r="BG1803" s="744" t="str">
        <f t="shared" si="649"/>
        <v/>
      </c>
      <c r="BH1803" s="744" t="str">
        <f>IF(G1803="","",IF(BF1803="Abu Dhabi",IF(G1803&lt;18,'General Basis'!$C$39,IF(G1803&lt;41,'General Basis'!$C$40,IF(G1803&lt;60,'General Basis'!$C$41,IF(G1803&lt;65,'General Basis'!$C$42,'General Basis'!$C$43)))),IF(G1803&lt;11,'General Basis'!$B$39,IF(G1803&lt;18,'General Basis'!$B$40,IF(G1803&lt;26,'General Basis'!$B$41,IF(G1803&lt;31,'General Basis'!$B$42,IF(G1803&lt;36,'General Basis'!$B$43,IF(G1803&lt;41,'General Basis'!$B$44,IF(G1803&lt;46,'General Basis'!$B$45,IF(G1803&lt;51,'General Basis'!$B$46,IF(G1803&lt;56,'General Basis'!$B$47,IF(G1803&lt;60,'General Basis'!$B$48,IF(G1803&lt;65,'General Basis'!$B$49,'General Basis'!$B$50)))))))))))))</f>
        <v/>
      </c>
      <c r="BI1803" s="744" t="str">
        <f t="shared" si="643"/>
        <v/>
      </c>
      <c r="BJ1803" s="747" t="str">
        <f t="shared" si="650"/>
        <v/>
      </c>
      <c r="BK1803" s="498" t="str">
        <f t="shared" si="644"/>
        <v/>
      </c>
      <c r="BL1803" s="498" t="str">
        <f t="shared" si="645"/>
        <v/>
      </c>
    </row>
    <row r="1804" spans="1:64" x14ac:dyDescent="0.25">
      <c r="A1804" s="762">
        <f t="shared" si="646"/>
        <v>1799</v>
      </c>
      <c r="B1804" s="229"/>
      <c r="C1804" s="223"/>
      <c r="D1804" s="224"/>
      <c r="E1804" s="225"/>
      <c r="F1804" s="1036" t="str">
        <f t="shared" si="630"/>
        <v/>
      </c>
      <c r="G1804" s="1037" t="str">
        <f t="shared" si="647"/>
        <v/>
      </c>
      <c r="H1804" s="225"/>
      <c r="I1804" s="1013"/>
      <c r="J1804" s="1013"/>
      <c r="K1804" s="1028"/>
      <c r="L1804" s="1035" t="str">
        <f t="shared" si="651"/>
        <v/>
      </c>
      <c r="S1804" s="498"/>
      <c r="AJ1804" s="498"/>
      <c r="AM1804" s="498">
        <f t="shared" si="632"/>
        <v>0</v>
      </c>
      <c r="AN1804" s="498">
        <f t="shared" si="633"/>
        <v>0</v>
      </c>
      <c r="AO1804" s="498">
        <f t="shared" si="634"/>
        <v>0</v>
      </c>
      <c r="AP1804" s="498">
        <f t="shared" si="631"/>
        <v>0</v>
      </c>
      <c r="AQ1804" s="498">
        <f t="shared" si="648"/>
        <v>0</v>
      </c>
      <c r="AU1804" s="498">
        <f t="shared" si="635"/>
        <v>0</v>
      </c>
      <c r="AV1804" s="498">
        <f t="shared" si="636"/>
        <v>0</v>
      </c>
      <c r="AW1804" s="498">
        <f t="shared" si="637"/>
        <v>0</v>
      </c>
      <c r="AX1804" s="498">
        <f t="shared" si="638"/>
        <v>0</v>
      </c>
      <c r="AY1804" s="498">
        <f t="shared" si="639"/>
        <v>0</v>
      </c>
      <c r="BB1804" s="498" t="str">
        <f t="shared" si="640"/>
        <v/>
      </c>
      <c r="BC1804" s="743" t="str">
        <f t="shared" si="641"/>
        <v/>
      </c>
      <c r="BD1804" s="743" t="str">
        <f t="shared" si="642"/>
        <v/>
      </c>
      <c r="BE1804" s="743" t="str">
        <f>IF(D1804="","",VLOOKUP(D1804,'General Basis'!$J$39:$K$46,2,0))</f>
        <v/>
      </c>
      <c r="BF1804" s="744" t="str">
        <f>IF(D1804="","",VLOOKUP(D1804,'General Basis'!$J$39:$L$46,3,0))</f>
        <v/>
      </c>
      <c r="BG1804" s="744" t="str">
        <f t="shared" si="649"/>
        <v/>
      </c>
      <c r="BH1804" s="744" t="str">
        <f>IF(G1804="","",IF(BF1804="Abu Dhabi",IF(G1804&lt;18,'General Basis'!$C$39,IF(G1804&lt;41,'General Basis'!$C$40,IF(G1804&lt;60,'General Basis'!$C$41,IF(G1804&lt;65,'General Basis'!$C$42,'General Basis'!$C$43)))),IF(G1804&lt;11,'General Basis'!$B$39,IF(G1804&lt;18,'General Basis'!$B$40,IF(G1804&lt;26,'General Basis'!$B$41,IF(G1804&lt;31,'General Basis'!$B$42,IF(G1804&lt;36,'General Basis'!$B$43,IF(G1804&lt;41,'General Basis'!$B$44,IF(G1804&lt;46,'General Basis'!$B$45,IF(G1804&lt;51,'General Basis'!$B$46,IF(G1804&lt;56,'General Basis'!$B$47,IF(G1804&lt;60,'General Basis'!$B$48,IF(G1804&lt;65,'General Basis'!$B$49,'General Basis'!$B$50)))))))))))))</f>
        <v/>
      </c>
      <c r="BI1804" s="744" t="str">
        <f t="shared" si="643"/>
        <v/>
      </c>
      <c r="BJ1804" s="747" t="str">
        <f t="shared" si="650"/>
        <v/>
      </c>
      <c r="BK1804" s="498" t="str">
        <f t="shared" si="644"/>
        <v/>
      </c>
      <c r="BL1804" s="498" t="str">
        <f t="shared" si="645"/>
        <v/>
      </c>
    </row>
    <row r="1805" spans="1:64" x14ac:dyDescent="0.25">
      <c r="A1805" s="762">
        <f t="shared" si="646"/>
        <v>1800</v>
      </c>
      <c r="B1805" s="229"/>
      <c r="C1805" s="223"/>
      <c r="D1805" s="224"/>
      <c r="E1805" s="225"/>
      <c r="F1805" s="1036" t="str">
        <f t="shared" si="630"/>
        <v/>
      </c>
      <c r="G1805" s="1037" t="str">
        <f t="shared" si="647"/>
        <v/>
      </c>
      <c r="H1805" s="225"/>
      <c r="I1805" s="1013"/>
      <c r="J1805" s="1013"/>
      <c r="K1805" s="1028"/>
      <c r="L1805" s="1035" t="str">
        <f t="shared" si="651"/>
        <v/>
      </c>
      <c r="S1805" s="498"/>
      <c r="AJ1805" s="498"/>
      <c r="AM1805" s="498">
        <f t="shared" si="632"/>
        <v>0</v>
      </c>
      <c r="AN1805" s="498">
        <f t="shared" si="633"/>
        <v>0</v>
      </c>
      <c r="AO1805" s="498">
        <f t="shared" si="634"/>
        <v>0</v>
      </c>
      <c r="AP1805" s="498">
        <f t="shared" si="631"/>
        <v>0</v>
      </c>
      <c r="AQ1805" s="498">
        <f t="shared" si="648"/>
        <v>0</v>
      </c>
      <c r="AU1805" s="498">
        <f t="shared" si="635"/>
        <v>0</v>
      </c>
      <c r="AV1805" s="498">
        <f t="shared" si="636"/>
        <v>0</v>
      </c>
      <c r="AW1805" s="498">
        <f t="shared" si="637"/>
        <v>0</v>
      </c>
      <c r="AX1805" s="498">
        <f t="shared" si="638"/>
        <v>0</v>
      </c>
      <c r="AY1805" s="498">
        <f t="shared" si="639"/>
        <v>0</v>
      </c>
      <c r="BB1805" s="498" t="str">
        <f t="shared" si="640"/>
        <v/>
      </c>
      <c r="BC1805" s="743" t="str">
        <f t="shared" si="641"/>
        <v/>
      </c>
      <c r="BD1805" s="743" t="str">
        <f t="shared" si="642"/>
        <v/>
      </c>
      <c r="BE1805" s="743" t="str">
        <f>IF(D1805="","",VLOOKUP(D1805,'General Basis'!$J$39:$K$46,2,0))</f>
        <v/>
      </c>
      <c r="BF1805" s="744" t="str">
        <f>IF(D1805="","",VLOOKUP(D1805,'General Basis'!$J$39:$L$46,3,0))</f>
        <v/>
      </c>
      <c r="BG1805" s="744" t="str">
        <f t="shared" si="649"/>
        <v/>
      </c>
      <c r="BH1805" s="744" t="str">
        <f>IF(G1805="","",IF(BF1805="Abu Dhabi",IF(G1805&lt;18,'General Basis'!$C$39,IF(G1805&lt;41,'General Basis'!$C$40,IF(G1805&lt;60,'General Basis'!$C$41,IF(G1805&lt;65,'General Basis'!$C$42,'General Basis'!$C$43)))),IF(G1805&lt;11,'General Basis'!$B$39,IF(G1805&lt;18,'General Basis'!$B$40,IF(G1805&lt;26,'General Basis'!$B$41,IF(G1805&lt;31,'General Basis'!$B$42,IF(G1805&lt;36,'General Basis'!$B$43,IF(G1805&lt;41,'General Basis'!$B$44,IF(G1805&lt;46,'General Basis'!$B$45,IF(G1805&lt;51,'General Basis'!$B$46,IF(G1805&lt;56,'General Basis'!$B$47,IF(G1805&lt;60,'General Basis'!$B$48,IF(G1805&lt;65,'General Basis'!$B$49,'General Basis'!$B$50)))))))))))))</f>
        <v/>
      </c>
      <c r="BI1805" s="744" t="str">
        <f t="shared" si="643"/>
        <v/>
      </c>
      <c r="BJ1805" s="747" t="str">
        <f t="shared" si="650"/>
        <v/>
      </c>
      <c r="BK1805" s="498" t="str">
        <f t="shared" si="644"/>
        <v/>
      </c>
      <c r="BL1805" s="498" t="str">
        <f t="shared" si="645"/>
        <v/>
      </c>
    </row>
    <row r="1806" spans="1:64" x14ac:dyDescent="0.25">
      <c r="A1806" s="762">
        <f t="shared" si="646"/>
        <v>1801</v>
      </c>
      <c r="B1806" s="229"/>
      <c r="C1806" s="223"/>
      <c r="D1806" s="224"/>
      <c r="E1806" s="225"/>
      <c r="F1806" s="1036" t="str">
        <f t="shared" si="630"/>
        <v/>
      </c>
      <c r="G1806" s="1037" t="str">
        <f t="shared" si="647"/>
        <v/>
      </c>
      <c r="H1806" s="225"/>
      <c r="I1806" s="1013"/>
      <c r="J1806" s="1013"/>
      <c r="K1806" s="1028"/>
      <c r="L1806" s="1035" t="str">
        <f t="shared" si="651"/>
        <v/>
      </c>
      <c r="S1806" s="498"/>
      <c r="AJ1806" s="498"/>
      <c r="AM1806" s="498">
        <f t="shared" si="632"/>
        <v>0</v>
      </c>
      <c r="AN1806" s="498">
        <f t="shared" si="633"/>
        <v>0</v>
      </c>
      <c r="AO1806" s="498">
        <f t="shared" si="634"/>
        <v>0</v>
      </c>
      <c r="AP1806" s="498">
        <f t="shared" si="631"/>
        <v>0</v>
      </c>
      <c r="AQ1806" s="498">
        <f t="shared" si="648"/>
        <v>0</v>
      </c>
      <c r="AU1806" s="498">
        <f t="shared" si="635"/>
        <v>0</v>
      </c>
      <c r="AV1806" s="498">
        <f t="shared" si="636"/>
        <v>0</v>
      </c>
      <c r="AW1806" s="498">
        <f t="shared" si="637"/>
        <v>0</v>
      </c>
      <c r="AX1806" s="498">
        <f t="shared" si="638"/>
        <v>0</v>
      </c>
      <c r="AY1806" s="498">
        <f t="shared" si="639"/>
        <v>0</v>
      </c>
      <c r="BB1806" s="498" t="str">
        <f t="shared" si="640"/>
        <v/>
      </c>
      <c r="BC1806" s="743" t="str">
        <f t="shared" si="641"/>
        <v/>
      </c>
      <c r="BD1806" s="743" t="str">
        <f t="shared" si="642"/>
        <v/>
      </c>
      <c r="BE1806" s="743" t="str">
        <f>IF(D1806="","",VLOOKUP(D1806,'General Basis'!$J$39:$K$46,2,0))</f>
        <v/>
      </c>
      <c r="BF1806" s="744" t="str">
        <f>IF(D1806="","",VLOOKUP(D1806,'General Basis'!$J$39:$L$46,3,0))</f>
        <v/>
      </c>
      <c r="BG1806" s="744" t="str">
        <f t="shared" si="649"/>
        <v/>
      </c>
      <c r="BH1806" s="744" t="str">
        <f>IF(G1806="","",IF(BF1806="Abu Dhabi",IF(G1806&lt;18,'General Basis'!$C$39,IF(G1806&lt;41,'General Basis'!$C$40,IF(G1806&lt;60,'General Basis'!$C$41,IF(G1806&lt;65,'General Basis'!$C$42,'General Basis'!$C$43)))),IF(G1806&lt;11,'General Basis'!$B$39,IF(G1806&lt;18,'General Basis'!$B$40,IF(G1806&lt;26,'General Basis'!$B$41,IF(G1806&lt;31,'General Basis'!$B$42,IF(G1806&lt;36,'General Basis'!$B$43,IF(G1806&lt;41,'General Basis'!$B$44,IF(G1806&lt;46,'General Basis'!$B$45,IF(G1806&lt;51,'General Basis'!$B$46,IF(G1806&lt;56,'General Basis'!$B$47,IF(G1806&lt;60,'General Basis'!$B$48,IF(G1806&lt;65,'General Basis'!$B$49,'General Basis'!$B$50)))))))))))))</f>
        <v/>
      </c>
      <c r="BI1806" s="744" t="str">
        <f t="shared" si="643"/>
        <v/>
      </c>
      <c r="BJ1806" s="747" t="str">
        <f t="shared" si="650"/>
        <v/>
      </c>
      <c r="BK1806" s="498" t="str">
        <f t="shared" si="644"/>
        <v/>
      </c>
      <c r="BL1806" s="498" t="str">
        <f t="shared" si="645"/>
        <v/>
      </c>
    </row>
    <row r="1807" spans="1:64" x14ac:dyDescent="0.25">
      <c r="A1807" s="762">
        <f t="shared" si="646"/>
        <v>1802</v>
      </c>
      <c r="B1807" s="229"/>
      <c r="C1807" s="223"/>
      <c r="D1807" s="224"/>
      <c r="E1807" s="225"/>
      <c r="F1807" s="1036" t="str">
        <f t="shared" si="630"/>
        <v/>
      </c>
      <c r="G1807" s="1037" t="str">
        <f t="shared" si="647"/>
        <v/>
      </c>
      <c r="H1807" s="225"/>
      <c r="I1807" s="1013"/>
      <c r="J1807" s="1013"/>
      <c r="K1807" s="1028"/>
      <c r="L1807" s="1035" t="str">
        <f t="shared" si="651"/>
        <v/>
      </c>
      <c r="S1807" s="498"/>
      <c r="AJ1807" s="498"/>
      <c r="AM1807" s="498">
        <f t="shared" si="632"/>
        <v>0</v>
      </c>
      <c r="AN1807" s="498">
        <f t="shared" si="633"/>
        <v>0</v>
      </c>
      <c r="AO1807" s="498">
        <f t="shared" si="634"/>
        <v>0</v>
      </c>
      <c r="AP1807" s="498">
        <f t="shared" si="631"/>
        <v>0</v>
      </c>
      <c r="AQ1807" s="498">
        <f t="shared" si="648"/>
        <v>0</v>
      </c>
      <c r="AU1807" s="498">
        <f t="shared" si="635"/>
        <v>0</v>
      </c>
      <c r="AV1807" s="498">
        <f t="shared" si="636"/>
        <v>0</v>
      </c>
      <c r="AW1807" s="498">
        <f t="shared" si="637"/>
        <v>0</v>
      </c>
      <c r="AX1807" s="498">
        <f t="shared" si="638"/>
        <v>0</v>
      </c>
      <c r="AY1807" s="498">
        <f t="shared" si="639"/>
        <v>0</v>
      </c>
      <c r="BB1807" s="498" t="str">
        <f t="shared" si="640"/>
        <v/>
      </c>
      <c r="BC1807" s="743" t="str">
        <f t="shared" si="641"/>
        <v/>
      </c>
      <c r="BD1807" s="743" t="str">
        <f t="shared" si="642"/>
        <v/>
      </c>
      <c r="BE1807" s="743" t="str">
        <f>IF(D1807="","",VLOOKUP(D1807,'General Basis'!$J$39:$K$46,2,0))</f>
        <v/>
      </c>
      <c r="BF1807" s="744" t="str">
        <f>IF(D1807="","",VLOOKUP(D1807,'General Basis'!$J$39:$L$46,3,0))</f>
        <v/>
      </c>
      <c r="BG1807" s="744" t="str">
        <f t="shared" si="649"/>
        <v/>
      </c>
      <c r="BH1807" s="744" t="str">
        <f>IF(G1807="","",IF(BF1807="Abu Dhabi",IF(G1807&lt;18,'General Basis'!$C$39,IF(G1807&lt;41,'General Basis'!$C$40,IF(G1807&lt;60,'General Basis'!$C$41,IF(G1807&lt;65,'General Basis'!$C$42,'General Basis'!$C$43)))),IF(G1807&lt;11,'General Basis'!$B$39,IF(G1807&lt;18,'General Basis'!$B$40,IF(G1807&lt;26,'General Basis'!$B$41,IF(G1807&lt;31,'General Basis'!$B$42,IF(G1807&lt;36,'General Basis'!$B$43,IF(G1807&lt;41,'General Basis'!$B$44,IF(G1807&lt;46,'General Basis'!$B$45,IF(G1807&lt;51,'General Basis'!$B$46,IF(G1807&lt;56,'General Basis'!$B$47,IF(G1807&lt;60,'General Basis'!$B$48,IF(G1807&lt;65,'General Basis'!$B$49,'General Basis'!$B$50)))))))))))))</f>
        <v/>
      </c>
      <c r="BI1807" s="744" t="str">
        <f t="shared" si="643"/>
        <v/>
      </c>
      <c r="BJ1807" s="747" t="str">
        <f t="shared" si="650"/>
        <v/>
      </c>
      <c r="BK1807" s="498" t="str">
        <f t="shared" si="644"/>
        <v/>
      </c>
      <c r="BL1807" s="498" t="str">
        <f t="shared" si="645"/>
        <v/>
      </c>
    </row>
    <row r="1808" spans="1:64" x14ac:dyDescent="0.25">
      <c r="A1808" s="762">
        <f t="shared" si="646"/>
        <v>1803</v>
      </c>
      <c r="B1808" s="229"/>
      <c r="C1808" s="223"/>
      <c r="D1808" s="224"/>
      <c r="E1808" s="225"/>
      <c r="F1808" s="1036" t="str">
        <f t="shared" ref="F1808:F1871" si="652">IF(C1808="","",IF($B1808="","",((YEAR($F$3)-YEAR($B1808))+(MONTH($F$3)-MONTH($B1808))/12+(DAY($F$3)-DAY($B1808))/(DATE(YEAR($F$3),12,31)-DATE(YEAR($F$3),1,1)+1))))</f>
        <v/>
      </c>
      <c r="G1808" s="1037" t="str">
        <f t="shared" si="647"/>
        <v/>
      </c>
      <c r="H1808" s="225"/>
      <c r="I1808" s="1013"/>
      <c r="J1808" s="1013"/>
      <c r="K1808" s="1028"/>
      <c r="L1808" s="1035" t="str">
        <f t="shared" si="651"/>
        <v/>
      </c>
      <c r="S1808" s="498"/>
      <c r="AJ1808" s="498"/>
      <c r="AM1808" s="498">
        <f t="shared" si="632"/>
        <v>0</v>
      </c>
      <c r="AN1808" s="498">
        <f t="shared" si="633"/>
        <v>0</v>
      </c>
      <c r="AO1808" s="498">
        <f t="shared" si="634"/>
        <v>0</v>
      </c>
      <c r="AP1808" s="498">
        <f t="shared" si="631"/>
        <v>0</v>
      </c>
      <c r="AQ1808" s="498">
        <f t="shared" si="648"/>
        <v>0</v>
      </c>
      <c r="AU1808" s="498">
        <f t="shared" si="635"/>
        <v>0</v>
      </c>
      <c r="AV1808" s="498">
        <f t="shared" si="636"/>
        <v>0</v>
      </c>
      <c r="AW1808" s="498">
        <f t="shared" si="637"/>
        <v>0</v>
      </c>
      <c r="AX1808" s="498">
        <f t="shared" si="638"/>
        <v>0</v>
      </c>
      <c r="AY1808" s="498">
        <f t="shared" si="639"/>
        <v>0</v>
      </c>
      <c r="BB1808" s="498" t="str">
        <f t="shared" si="640"/>
        <v/>
      </c>
      <c r="BC1808" s="743" t="str">
        <f t="shared" si="641"/>
        <v/>
      </c>
      <c r="BD1808" s="743" t="str">
        <f t="shared" si="642"/>
        <v/>
      </c>
      <c r="BE1808" s="743" t="str">
        <f>IF(D1808="","",VLOOKUP(D1808,'General Basis'!$J$39:$K$46,2,0))</f>
        <v/>
      </c>
      <c r="BF1808" s="744" t="str">
        <f>IF(D1808="","",VLOOKUP(D1808,'General Basis'!$J$39:$L$46,3,0))</f>
        <v/>
      </c>
      <c r="BG1808" s="744" t="str">
        <f t="shared" si="649"/>
        <v/>
      </c>
      <c r="BH1808" s="744" t="str">
        <f>IF(G1808="","",IF(BF1808="Abu Dhabi",IF(G1808&lt;18,'General Basis'!$C$39,IF(G1808&lt;41,'General Basis'!$C$40,IF(G1808&lt;60,'General Basis'!$C$41,IF(G1808&lt;65,'General Basis'!$C$42,'General Basis'!$C$43)))),IF(G1808&lt;11,'General Basis'!$B$39,IF(G1808&lt;18,'General Basis'!$B$40,IF(G1808&lt;26,'General Basis'!$B$41,IF(G1808&lt;31,'General Basis'!$B$42,IF(G1808&lt;36,'General Basis'!$B$43,IF(G1808&lt;41,'General Basis'!$B$44,IF(G1808&lt;46,'General Basis'!$B$45,IF(G1808&lt;51,'General Basis'!$B$46,IF(G1808&lt;56,'General Basis'!$B$47,IF(G1808&lt;60,'General Basis'!$B$48,IF(G1808&lt;65,'General Basis'!$B$49,'General Basis'!$B$50)))))))))))))</f>
        <v/>
      </c>
      <c r="BI1808" s="744" t="str">
        <f t="shared" si="643"/>
        <v/>
      </c>
      <c r="BJ1808" s="747" t="str">
        <f t="shared" si="650"/>
        <v/>
      </c>
      <c r="BK1808" s="498" t="str">
        <f t="shared" si="644"/>
        <v/>
      </c>
      <c r="BL1808" s="498" t="str">
        <f t="shared" si="645"/>
        <v/>
      </c>
    </row>
    <row r="1809" spans="1:64" x14ac:dyDescent="0.25">
      <c r="A1809" s="762">
        <f t="shared" si="646"/>
        <v>1804</v>
      </c>
      <c r="B1809" s="229"/>
      <c r="C1809" s="223"/>
      <c r="D1809" s="224"/>
      <c r="E1809" s="225"/>
      <c r="F1809" s="1036" t="str">
        <f t="shared" si="652"/>
        <v/>
      </c>
      <c r="G1809" s="1037" t="str">
        <f t="shared" si="647"/>
        <v/>
      </c>
      <c r="H1809" s="225"/>
      <c r="I1809" s="1013"/>
      <c r="J1809" s="1013"/>
      <c r="K1809" s="1028"/>
      <c r="L1809" s="1035" t="str">
        <f t="shared" si="651"/>
        <v/>
      </c>
      <c r="S1809" s="498"/>
      <c r="AJ1809" s="498"/>
      <c r="AM1809" s="498">
        <f t="shared" si="632"/>
        <v>0</v>
      </c>
      <c r="AN1809" s="498">
        <f t="shared" si="633"/>
        <v>0</v>
      </c>
      <c r="AO1809" s="498">
        <f t="shared" si="634"/>
        <v>0</v>
      </c>
      <c r="AP1809" s="498">
        <f t="shared" si="631"/>
        <v>0</v>
      </c>
      <c r="AQ1809" s="498">
        <f t="shared" si="648"/>
        <v>0</v>
      </c>
      <c r="AU1809" s="498">
        <f t="shared" si="635"/>
        <v>0</v>
      </c>
      <c r="AV1809" s="498">
        <f t="shared" si="636"/>
        <v>0</v>
      </c>
      <c r="AW1809" s="498">
        <f t="shared" si="637"/>
        <v>0</v>
      </c>
      <c r="AX1809" s="498">
        <f t="shared" si="638"/>
        <v>0</v>
      </c>
      <c r="AY1809" s="498">
        <f t="shared" si="639"/>
        <v>0</v>
      </c>
      <c r="BB1809" s="498" t="str">
        <f t="shared" si="640"/>
        <v/>
      </c>
      <c r="BC1809" s="743" t="str">
        <f t="shared" si="641"/>
        <v/>
      </c>
      <c r="BD1809" s="743" t="str">
        <f t="shared" si="642"/>
        <v/>
      </c>
      <c r="BE1809" s="743" t="str">
        <f>IF(D1809="","",VLOOKUP(D1809,'General Basis'!$J$39:$K$46,2,0))</f>
        <v/>
      </c>
      <c r="BF1809" s="744" t="str">
        <f>IF(D1809="","",VLOOKUP(D1809,'General Basis'!$J$39:$L$46,3,0))</f>
        <v/>
      </c>
      <c r="BG1809" s="744" t="str">
        <f t="shared" si="649"/>
        <v/>
      </c>
      <c r="BH1809" s="744" t="str">
        <f>IF(G1809="","",IF(BF1809="Abu Dhabi",IF(G1809&lt;18,'General Basis'!$C$39,IF(G1809&lt;41,'General Basis'!$C$40,IF(G1809&lt;60,'General Basis'!$C$41,IF(G1809&lt;65,'General Basis'!$C$42,'General Basis'!$C$43)))),IF(G1809&lt;11,'General Basis'!$B$39,IF(G1809&lt;18,'General Basis'!$B$40,IF(G1809&lt;26,'General Basis'!$B$41,IF(G1809&lt;31,'General Basis'!$B$42,IF(G1809&lt;36,'General Basis'!$B$43,IF(G1809&lt;41,'General Basis'!$B$44,IF(G1809&lt;46,'General Basis'!$B$45,IF(G1809&lt;51,'General Basis'!$B$46,IF(G1809&lt;56,'General Basis'!$B$47,IF(G1809&lt;60,'General Basis'!$B$48,IF(G1809&lt;65,'General Basis'!$B$49,'General Basis'!$B$50)))))))))))))</f>
        <v/>
      </c>
      <c r="BI1809" s="744" t="str">
        <f t="shared" si="643"/>
        <v/>
      </c>
      <c r="BJ1809" s="747" t="str">
        <f t="shared" si="650"/>
        <v/>
      </c>
      <c r="BK1809" s="498" t="str">
        <f t="shared" si="644"/>
        <v/>
      </c>
      <c r="BL1809" s="498" t="str">
        <f t="shared" si="645"/>
        <v/>
      </c>
    </row>
    <row r="1810" spans="1:64" x14ac:dyDescent="0.25">
      <c r="A1810" s="762">
        <f t="shared" si="646"/>
        <v>1805</v>
      </c>
      <c r="B1810" s="229"/>
      <c r="C1810" s="223"/>
      <c r="D1810" s="224"/>
      <c r="E1810" s="225"/>
      <c r="F1810" s="1036" t="str">
        <f t="shared" si="652"/>
        <v/>
      </c>
      <c r="G1810" s="1037" t="str">
        <f t="shared" si="647"/>
        <v/>
      </c>
      <c r="H1810" s="225"/>
      <c r="I1810" s="1013"/>
      <c r="J1810" s="1013"/>
      <c r="K1810" s="1028"/>
      <c r="L1810" s="1035" t="str">
        <f t="shared" si="651"/>
        <v/>
      </c>
      <c r="S1810" s="498"/>
      <c r="AJ1810" s="498"/>
      <c r="AM1810" s="498">
        <f t="shared" si="632"/>
        <v>0</v>
      </c>
      <c r="AN1810" s="498">
        <f t="shared" si="633"/>
        <v>0</v>
      </c>
      <c r="AO1810" s="498">
        <f t="shared" si="634"/>
        <v>0</v>
      </c>
      <c r="AP1810" s="498">
        <f t="shared" si="631"/>
        <v>0</v>
      </c>
      <c r="AQ1810" s="498">
        <f t="shared" si="648"/>
        <v>0</v>
      </c>
      <c r="AU1810" s="498">
        <f t="shared" si="635"/>
        <v>0</v>
      </c>
      <c r="AV1810" s="498">
        <f t="shared" si="636"/>
        <v>0</v>
      </c>
      <c r="AW1810" s="498">
        <f t="shared" si="637"/>
        <v>0</v>
      </c>
      <c r="AX1810" s="498">
        <f t="shared" si="638"/>
        <v>0</v>
      </c>
      <c r="AY1810" s="498">
        <f t="shared" si="639"/>
        <v>0</v>
      </c>
      <c r="BB1810" s="498" t="str">
        <f t="shared" si="640"/>
        <v/>
      </c>
      <c r="BC1810" s="743" t="str">
        <f t="shared" si="641"/>
        <v/>
      </c>
      <c r="BD1810" s="743" t="str">
        <f t="shared" si="642"/>
        <v/>
      </c>
      <c r="BE1810" s="743" t="str">
        <f>IF(D1810="","",VLOOKUP(D1810,'General Basis'!$J$39:$K$46,2,0))</f>
        <v/>
      </c>
      <c r="BF1810" s="744" t="str">
        <f>IF(D1810="","",VLOOKUP(D1810,'General Basis'!$J$39:$L$46,3,0))</f>
        <v/>
      </c>
      <c r="BG1810" s="744" t="str">
        <f t="shared" si="649"/>
        <v/>
      </c>
      <c r="BH1810" s="744" t="str">
        <f>IF(G1810="","",IF(BF1810="Abu Dhabi",IF(G1810&lt;18,'General Basis'!$C$39,IF(G1810&lt;41,'General Basis'!$C$40,IF(G1810&lt;60,'General Basis'!$C$41,IF(G1810&lt;65,'General Basis'!$C$42,'General Basis'!$C$43)))),IF(G1810&lt;11,'General Basis'!$B$39,IF(G1810&lt;18,'General Basis'!$B$40,IF(G1810&lt;26,'General Basis'!$B$41,IF(G1810&lt;31,'General Basis'!$B$42,IF(G1810&lt;36,'General Basis'!$B$43,IF(G1810&lt;41,'General Basis'!$B$44,IF(G1810&lt;46,'General Basis'!$B$45,IF(G1810&lt;51,'General Basis'!$B$46,IF(G1810&lt;56,'General Basis'!$B$47,IF(G1810&lt;60,'General Basis'!$B$48,IF(G1810&lt;65,'General Basis'!$B$49,'General Basis'!$B$50)))))))))))))</f>
        <v/>
      </c>
      <c r="BI1810" s="744" t="str">
        <f t="shared" si="643"/>
        <v/>
      </c>
      <c r="BJ1810" s="747" t="str">
        <f t="shared" si="650"/>
        <v/>
      </c>
      <c r="BK1810" s="498" t="str">
        <f t="shared" si="644"/>
        <v/>
      </c>
      <c r="BL1810" s="498" t="str">
        <f t="shared" si="645"/>
        <v/>
      </c>
    </row>
    <row r="1811" spans="1:64" x14ac:dyDescent="0.25">
      <c r="A1811" s="762">
        <f t="shared" si="646"/>
        <v>1806</v>
      </c>
      <c r="B1811" s="229"/>
      <c r="C1811" s="223"/>
      <c r="D1811" s="224"/>
      <c r="E1811" s="225"/>
      <c r="F1811" s="1036" t="str">
        <f t="shared" si="652"/>
        <v/>
      </c>
      <c r="G1811" s="1037" t="str">
        <f t="shared" si="647"/>
        <v/>
      </c>
      <c r="H1811" s="225"/>
      <c r="I1811" s="1013"/>
      <c r="J1811" s="1013"/>
      <c r="K1811" s="1028"/>
      <c r="L1811" s="1035" t="str">
        <f t="shared" si="651"/>
        <v/>
      </c>
      <c r="S1811" s="498"/>
      <c r="AJ1811" s="498"/>
      <c r="AM1811" s="498">
        <f t="shared" si="632"/>
        <v>0</v>
      </c>
      <c r="AN1811" s="498">
        <f t="shared" si="633"/>
        <v>0</v>
      </c>
      <c r="AO1811" s="498">
        <f t="shared" si="634"/>
        <v>0</v>
      </c>
      <c r="AP1811" s="498">
        <f t="shared" ref="AP1811:AP1874" si="653">IF(ISBLANK($B1811),0,IF(OR($C1811="M",$C1811="F"),0,1))</f>
        <v>0</v>
      </c>
      <c r="AQ1811" s="498">
        <f t="shared" si="648"/>
        <v>0</v>
      </c>
      <c r="AU1811" s="498">
        <f t="shared" si="635"/>
        <v>0</v>
      </c>
      <c r="AV1811" s="498">
        <f t="shared" si="636"/>
        <v>0</v>
      </c>
      <c r="AW1811" s="498">
        <f t="shared" si="637"/>
        <v>0</v>
      </c>
      <c r="AX1811" s="498">
        <f t="shared" si="638"/>
        <v>0</v>
      </c>
      <c r="AY1811" s="498">
        <f t="shared" si="639"/>
        <v>0</v>
      </c>
      <c r="BB1811" s="498" t="str">
        <f t="shared" si="640"/>
        <v/>
      </c>
      <c r="BC1811" s="743" t="str">
        <f t="shared" si="641"/>
        <v/>
      </c>
      <c r="BD1811" s="743" t="str">
        <f t="shared" si="642"/>
        <v/>
      </c>
      <c r="BE1811" s="743" t="str">
        <f>IF(D1811="","",VLOOKUP(D1811,'General Basis'!$J$39:$K$46,2,0))</f>
        <v/>
      </c>
      <c r="BF1811" s="744" t="str">
        <f>IF(D1811="","",VLOOKUP(D1811,'General Basis'!$J$39:$L$46,3,0))</f>
        <v/>
      </c>
      <c r="BG1811" s="744" t="str">
        <f t="shared" si="649"/>
        <v/>
      </c>
      <c r="BH1811" s="744" t="str">
        <f>IF(G1811="","",IF(BF1811="Abu Dhabi",IF(G1811&lt;18,'General Basis'!$C$39,IF(G1811&lt;41,'General Basis'!$C$40,IF(G1811&lt;60,'General Basis'!$C$41,IF(G1811&lt;65,'General Basis'!$C$42,'General Basis'!$C$43)))),IF(G1811&lt;11,'General Basis'!$B$39,IF(G1811&lt;18,'General Basis'!$B$40,IF(G1811&lt;26,'General Basis'!$B$41,IF(G1811&lt;31,'General Basis'!$B$42,IF(G1811&lt;36,'General Basis'!$B$43,IF(G1811&lt;41,'General Basis'!$B$44,IF(G1811&lt;46,'General Basis'!$B$45,IF(G1811&lt;51,'General Basis'!$B$46,IF(G1811&lt;56,'General Basis'!$B$47,IF(G1811&lt;60,'General Basis'!$B$48,IF(G1811&lt;65,'General Basis'!$B$49,'General Basis'!$B$50)))))))))))))</f>
        <v/>
      </c>
      <c r="BI1811" s="744" t="str">
        <f t="shared" si="643"/>
        <v/>
      </c>
      <c r="BJ1811" s="747" t="str">
        <f t="shared" si="650"/>
        <v/>
      </c>
      <c r="BK1811" s="498" t="str">
        <f t="shared" si="644"/>
        <v/>
      </c>
      <c r="BL1811" s="498" t="str">
        <f t="shared" si="645"/>
        <v/>
      </c>
    </row>
    <row r="1812" spans="1:64" x14ac:dyDescent="0.25">
      <c r="A1812" s="762">
        <f t="shared" si="646"/>
        <v>1807</v>
      </c>
      <c r="B1812" s="229"/>
      <c r="C1812" s="223"/>
      <c r="D1812" s="224"/>
      <c r="E1812" s="225"/>
      <c r="F1812" s="1036" t="str">
        <f t="shared" si="652"/>
        <v/>
      </c>
      <c r="G1812" s="1037" t="str">
        <f t="shared" si="647"/>
        <v/>
      </c>
      <c r="H1812" s="225"/>
      <c r="I1812" s="1013"/>
      <c r="J1812" s="1013"/>
      <c r="K1812" s="1028"/>
      <c r="L1812" s="1035" t="str">
        <f t="shared" si="651"/>
        <v/>
      </c>
      <c r="S1812" s="498"/>
      <c r="AJ1812" s="498"/>
      <c r="AM1812" s="498">
        <f t="shared" si="632"/>
        <v>0</v>
      </c>
      <c r="AN1812" s="498">
        <f t="shared" si="633"/>
        <v>0</v>
      </c>
      <c r="AO1812" s="498">
        <f t="shared" si="634"/>
        <v>0</v>
      </c>
      <c r="AP1812" s="498">
        <f t="shared" si="653"/>
        <v>0</v>
      </c>
      <c r="AQ1812" s="498">
        <f t="shared" si="648"/>
        <v>0</v>
      </c>
      <c r="AU1812" s="498">
        <f t="shared" si="635"/>
        <v>0</v>
      </c>
      <c r="AV1812" s="498">
        <f t="shared" si="636"/>
        <v>0</v>
      </c>
      <c r="AW1812" s="498">
        <f t="shared" si="637"/>
        <v>0</v>
      </c>
      <c r="AX1812" s="498">
        <f t="shared" si="638"/>
        <v>0</v>
      </c>
      <c r="AY1812" s="498">
        <f t="shared" si="639"/>
        <v>0</v>
      </c>
      <c r="BB1812" s="498" t="str">
        <f t="shared" si="640"/>
        <v/>
      </c>
      <c r="BC1812" s="743" t="str">
        <f t="shared" si="641"/>
        <v/>
      </c>
      <c r="BD1812" s="743" t="str">
        <f t="shared" si="642"/>
        <v/>
      </c>
      <c r="BE1812" s="743" t="str">
        <f>IF(D1812="","",VLOOKUP(D1812,'General Basis'!$J$39:$K$46,2,0))</f>
        <v/>
      </c>
      <c r="BF1812" s="744" t="str">
        <f>IF(D1812="","",VLOOKUP(D1812,'General Basis'!$J$39:$L$46,3,0))</f>
        <v/>
      </c>
      <c r="BG1812" s="744" t="str">
        <f t="shared" si="649"/>
        <v/>
      </c>
      <c r="BH1812" s="744" t="str">
        <f>IF(G1812="","",IF(BF1812="Abu Dhabi",IF(G1812&lt;18,'General Basis'!$C$39,IF(G1812&lt;41,'General Basis'!$C$40,IF(G1812&lt;60,'General Basis'!$C$41,IF(G1812&lt;65,'General Basis'!$C$42,'General Basis'!$C$43)))),IF(G1812&lt;11,'General Basis'!$B$39,IF(G1812&lt;18,'General Basis'!$B$40,IF(G1812&lt;26,'General Basis'!$B$41,IF(G1812&lt;31,'General Basis'!$B$42,IF(G1812&lt;36,'General Basis'!$B$43,IF(G1812&lt;41,'General Basis'!$B$44,IF(G1812&lt;46,'General Basis'!$B$45,IF(G1812&lt;51,'General Basis'!$B$46,IF(G1812&lt;56,'General Basis'!$B$47,IF(G1812&lt;60,'General Basis'!$B$48,IF(G1812&lt;65,'General Basis'!$B$49,'General Basis'!$B$50)))))))))))))</f>
        <v/>
      </c>
      <c r="BI1812" s="744" t="str">
        <f t="shared" si="643"/>
        <v/>
      </c>
      <c r="BJ1812" s="747" t="str">
        <f t="shared" si="650"/>
        <v/>
      </c>
      <c r="BK1812" s="498" t="str">
        <f t="shared" si="644"/>
        <v/>
      </c>
      <c r="BL1812" s="498" t="str">
        <f t="shared" si="645"/>
        <v/>
      </c>
    </row>
    <row r="1813" spans="1:64" x14ac:dyDescent="0.25">
      <c r="A1813" s="762">
        <f t="shared" si="646"/>
        <v>1808</v>
      </c>
      <c r="B1813" s="229"/>
      <c r="C1813" s="223"/>
      <c r="D1813" s="224"/>
      <c r="E1813" s="225"/>
      <c r="F1813" s="1036" t="str">
        <f t="shared" si="652"/>
        <v/>
      </c>
      <c r="G1813" s="1037" t="str">
        <f t="shared" si="647"/>
        <v/>
      </c>
      <c r="H1813" s="225"/>
      <c r="I1813" s="1013"/>
      <c r="J1813" s="1013"/>
      <c r="K1813" s="1028"/>
      <c r="L1813" s="1035" t="str">
        <f t="shared" si="651"/>
        <v/>
      </c>
      <c r="S1813" s="498"/>
      <c r="AJ1813" s="498"/>
      <c r="AM1813" s="498">
        <f t="shared" si="632"/>
        <v>0</v>
      </c>
      <c r="AN1813" s="498">
        <f t="shared" si="633"/>
        <v>0</v>
      </c>
      <c r="AO1813" s="498">
        <f t="shared" si="634"/>
        <v>0</v>
      </c>
      <c r="AP1813" s="498">
        <f t="shared" si="653"/>
        <v>0</v>
      </c>
      <c r="AQ1813" s="498">
        <f t="shared" si="648"/>
        <v>0</v>
      </c>
      <c r="AU1813" s="498">
        <f t="shared" si="635"/>
        <v>0</v>
      </c>
      <c r="AV1813" s="498">
        <f t="shared" si="636"/>
        <v>0</v>
      </c>
      <c r="AW1813" s="498">
        <f t="shared" si="637"/>
        <v>0</v>
      </c>
      <c r="AX1813" s="498">
        <f t="shared" si="638"/>
        <v>0</v>
      </c>
      <c r="AY1813" s="498">
        <f t="shared" si="639"/>
        <v>0</v>
      </c>
      <c r="BB1813" s="498" t="str">
        <f t="shared" si="640"/>
        <v/>
      </c>
      <c r="BC1813" s="743" t="str">
        <f t="shared" si="641"/>
        <v/>
      </c>
      <c r="BD1813" s="743" t="str">
        <f t="shared" si="642"/>
        <v/>
      </c>
      <c r="BE1813" s="743" t="str">
        <f>IF(D1813="","",VLOOKUP(D1813,'General Basis'!$J$39:$K$46,2,0))</f>
        <v/>
      </c>
      <c r="BF1813" s="744" t="str">
        <f>IF(D1813="","",VLOOKUP(D1813,'General Basis'!$J$39:$L$46,3,0))</f>
        <v/>
      </c>
      <c r="BG1813" s="744" t="str">
        <f t="shared" si="649"/>
        <v/>
      </c>
      <c r="BH1813" s="744" t="str">
        <f>IF(G1813="","",IF(BF1813="Abu Dhabi",IF(G1813&lt;18,'General Basis'!$C$39,IF(G1813&lt;41,'General Basis'!$C$40,IF(G1813&lt;60,'General Basis'!$C$41,IF(G1813&lt;65,'General Basis'!$C$42,'General Basis'!$C$43)))),IF(G1813&lt;11,'General Basis'!$B$39,IF(G1813&lt;18,'General Basis'!$B$40,IF(G1813&lt;26,'General Basis'!$B$41,IF(G1813&lt;31,'General Basis'!$B$42,IF(G1813&lt;36,'General Basis'!$B$43,IF(G1813&lt;41,'General Basis'!$B$44,IF(G1813&lt;46,'General Basis'!$B$45,IF(G1813&lt;51,'General Basis'!$B$46,IF(G1813&lt;56,'General Basis'!$B$47,IF(G1813&lt;60,'General Basis'!$B$48,IF(G1813&lt;65,'General Basis'!$B$49,'General Basis'!$B$50)))))))))))))</f>
        <v/>
      </c>
      <c r="BI1813" s="744" t="str">
        <f t="shared" si="643"/>
        <v/>
      </c>
      <c r="BJ1813" s="747" t="str">
        <f t="shared" si="650"/>
        <v/>
      </c>
      <c r="BK1813" s="498" t="str">
        <f t="shared" si="644"/>
        <v/>
      </c>
      <c r="BL1813" s="498" t="str">
        <f t="shared" si="645"/>
        <v/>
      </c>
    </row>
    <row r="1814" spans="1:64" x14ac:dyDescent="0.25">
      <c r="A1814" s="762">
        <f t="shared" si="646"/>
        <v>1809</v>
      </c>
      <c r="B1814" s="229"/>
      <c r="C1814" s="223"/>
      <c r="D1814" s="224"/>
      <c r="E1814" s="225"/>
      <c r="F1814" s="1036" t="str">
        <f t="shared" si="652"/>
        <v/>
      </c>
      <c r="G1814" s="1037" t="str">
        <f t="shared" si="647"/>
        <v/>
      </c>
      <c r="H1814" s="225"/>
      <c r="I1814" s="1013"/>
      <c r="J1814" s="1013"/>
      <c r="K1814" s="1028"/>
      <c r="L1814" s="1035" t="str">
        <f t="shared" si="651"/>
        <v/>
      </c>
      <c r="S1814" s="498"/>
      <c r="AJ1814" s="498"/>
      <c r="AM1814" s="498">
        <f t="shared" si="632"/>
        <v>0</v>
      </c>
      <c r="AN1814" s="498">
        <f t="shared" si="633"/>
        <v>0</v>
      </c>
      <c r="AO1814" s="498">
        <f t="shared" si="634"/>
        <v>0</v>
      </c>
      <c r="AP1814" s="498">
        <f t="shared" si="653"/>
        <v>0</v>
      </c>
      <c r="AQ1814" s="498">
        <f t="shared" si="648"/>
        <v>0</v>
      </c>
      <c r="AU1814" s="498">
        <f t="shared" si="635"/>
        <v>0</v>
      </c>
      <c r="AV1814" s="498">
        <f t="shared" si="636"/>
        <v>0</v>
      </c>
      <c r="AW1814" s="498">
        <f t="shared" si="637"/>
        <v>0</v>
      </c>
      <c r="AX1814" s="498">
        <f t="shared" si="638"/>
        <v>0</v>
      </c>
      <c r="AY1814" s="498">
        <f t="shared" si="639"/>
        <v>0</v>
      </c>
      <c r="BB1814" s="498" t="str">
        <f t="shared" si="640"/>
        <v/>
      </c>
      <c r="BC1814" s="743" t="str">
        <f t="shared" si="641"/>
        <v/>
      </c>
      <c r="BD1814" s="743" t="str">
        <f t="shared" si="642"/>
        <v/>
      </c>
      <c r="BE1814" s="743" t="str">
        <f>IF(D1814="","",VLOOKUP(D1814,'General Basis'!$J$39:$K$46,2,0))</f>
        <v/>
      </c>
      <c r="BF1814" s="744" t="str">
        <f>IF(D1814="","",VLOOKUP(D1814,'General Basis'!$J$39:$L$46,3,0))</f>
        <v/>
      </c>
      <c r="BG1814" s="744" t="str">
        <f t="shared" si="649"/>
        <v/>
      </c>
      <c r="BH1814" s="744" t="str">
        <f>IF(G1814="","",IF(BF1814="Abu Dhabi",IF(G1814&lt;18,'General Basis'!$C$39,IF(G1814&lt;41,'General Basis'!$C$40,IF(G1814&lt;60,'General Basis'!$C$41,IF(G1814&lt;65,'General Basis'!$C$42,'General Basis'!$C$43)))),IF(G1814&lt;11,'General Basis'!$B$39,IF(G1814&lt;18,'General Basis'!$B$40,IF(G1814&lt;26,'General Basis'!$B$41,IF(G1814&lt;31,'General Basis'!$B$42,IF(G1814&lt;36,'General Basis'!$B$43,IF(G1814&lt;41,'General Basis'!$B$44,IF(G1814&lt;46,'General Basis'!$B$45,IF(G1814&lt;51,'General Basis'!$B$46,IF(G1814&lt;56,'General Basis'!$B$47,IF(G1814&lt;60,'General Basis'!$B$48,IF(G1814&lt;65,'General Basis'!$B$49,'General Basis'!$B$50)))))))))))))</f>
        <v/>
      </c>
      <c r="BI1814" s="744" t="str">
        <f t="shared" si="643"/>
        <v/>
      </c>
      <c r="BJ1814" s="747" t="str">
        <f t="shared" si="650"/>
        <v/>
      </c>
      <c r="BK1814" s="498" t="str">
        <f t="shared" si="644"/>
        <v/>
      </c>
      <c r="BL1814" s="498" t="str">
        <f t="shared" si="645"/>
        <v/>
      </c>
    </row>
    <row r="1815" spans="1:64" x14ac:dyDescent="0.25">
      <c r="A1815" s="762">
        <f t="shared" si="646"/>
        <v>1810</v>
      </c>
      <c r="B1815" s="229"/>
      <c r="C1815" s="223"/>
      <c r="D1815" s="224"/>
      <c r="E1815" s="225"/>
      <c r="F1815" s="1036" t="str">
        <f t="shared" si="652"/>
        <v/>
      </c>
      <c r="G1815" s="1037" t="str">
        <f t="shared" si="647"/>
        <v/>
      </c>
      <c r="H1815" s="225"/>
      <c r="I1815" s="1013"/>
      <c r="J1815" s="1013"/>
      <c r="K1815" s="1028"/>
      <c r="L1815" s="1035" t="str">
        <f t="shared" si="651"/>
        <v/>
      </c>
      <c r="S1815" s="498"/>
      <c r="AJ1815" s="498"/>
      <c r="AM1815" s="498">
        <f t="shared" si="632"/>
        <v>0</v>
      </c>
      <c r="AN1815" s="498">
        <f t="shared" si="633"/>
        <v>0</v>
      </c>
      <c r="AO1815" s="498">
        <f t="shared" si="634"/>
        <v>0</v>
      </c>
      <c r="AP1815" s="498">
        <f t="shared" si="653"/>
        <v>0</v>
      </c>
      <c r="AQ1815" s="498">
        <f t="shared" si="648"/>
        <v>0</v>
      </c>
      <c r="AU1815" s="498">
        <f t="shared" si="635"/>
        <v>0</v>
      </c>
      <c r="AV1815" s="498">
        <f t="shared" si="636"/>
        <v>0</v>
      </c>
      <c r="AW1815" s="498">
        <f t="shared" si="637"/>
        <v>0</v>
      </c>
      <c r="AX1815" s="498">
        <f t="shared" si="638"/>
        <v>0</v>
      </c>
      <c r="AY1815" s="498">
        <f t="shared" si="639"/>
        <v>0</v>
      </c>
      <c r="BB1815" s="498" t="str">
        <f t="shared" si="640"/>
        <v/>
      </c>
      <c r="BC1815" s="743" t="str">
        <f t="shared" si="641"/>
        <v/>
      </c>
      <c r="BD1815" s="743" t="str">
        <f t="shared" si="642"/>
        <v/>
      </c>
      <c r="BE1815" s="743" t="str">
        <f>IF(D1815="","",VLOOKUP(D1815,'General Basis'!$J$39:$K$46,2,0))</f>
        <v/>
      </c>
      <c r="BF1815" s="744" t="str">
        <f>IF(D1815="","",VLOOKUP(D1815,'General Basis'!$J$39:$L$46,3,0))</f>
        <v/>
      </c>
      <c r="BG1815" s="744" t="str">
        <f t="shared" si="649"/>
        <v/>
      </c>
      <c r="BH1815" s="744" t="str">
        <f>IF(G1815="","",IF(BF1815="Abu Dhabi",IF(G1815&lt;18,'General Basis'!$C$39,IF(G1815&lt;41,'General Basis'!$C$40,IF(G1815&lt;60,'General Basis'!$C$41,IF(G1815&lt;65,'General Basis'!$C$42,'General Basis'!$C$43)))),IF(G1815&lt;11,'General Basis'!$B$39,IF(G1815&lt;18,'General Basis'!$B$40,IF(G1815&lt;26,'General Basis'!$B$41,IF(G1815&lt;31,'General Basis'!$B$42,IF(G1815&lt;36,'General Basis'!$B$43,IF(G1815&lt;41,'General Basis'!$B$44,IF(G1815&lt;46,'General Basis'!$B$45,IF(G1815&lt;51,'General Basis'!$B$46,IF(G1815&lt;56,'General Basis'!$B$47,IF(G1815&lt;60,'General Basis'!$B$48,IF(G1815&lt;65,'General Basis'!$B$49,'General Basis'!$B$50)))))))))))))</f>
        <v/>
      </c>
      <c r="BI1815" s="744" t="str">
        <f t="shared" si="643"/>
        <v/>
      </c>
      <c r="BJ1815" s="747" t="str">
        <f t="shared" si="650"/>
        <v/>
      </c>
      <c r="BK1815" s="498" t="str">
        <f t="shared" si="644"/>
        <v/>
      </c>
      <c r="BL1815" s="498" t="str">
        <f t="shared" si="645"/>
        <v/>
      </c>
    </row>
    <row r="1816" spans="1:64" x14ac:dyDescent="0.25">
      <c r="A1816" s="762">
        <f t="shared" si="646"/>
        <v>1811</v>
      </c>
      <c r="B1816" s="229"/>
      <c r="C1816" s="223"/>
      <c r="D1816" s="224"/>
      <c r="E1816" s="225"/>
      <c r="F1816" s="1036" t="str">
        <f t="shared" si="652"/>
        <v/>
      </c>
      <c r="G1816" s="1037" t="str">
        <f t="shared" si="647"/>
        <v/>
      </c>
      <c r="H1816" s="225"/>
      <c r="I1816" s="1013"/>
      <c r="J1816" s="1013"/>
      <c r="K1816" s="1028"/>
      <c r="L1816" s="1035" t="str">
        <f t="shared" si="651"/>
        <v/>
      </c>
      <c r="S1816" s="498"/>
      <c r="AJ1816" s="498"/>
      <c r="AM1816" s="498">
        <f t="shared" si="632"/>
        <v>0</v>
      </c>
      <c r="AN1816" s="498">
        <f t="shared" si="633"/>
        <v>0</v>
      </c>
      <c r="AO1816" s="498">
        <f t="shared" si="634"/>
        <v>0</v>
      </c>
      <c r="AP1816" s="498">
        <f t="shared" si="653"/>
        <v>0</v>
      </c>
      <c r="AQ1816" s="498">
        <f t="shared" si="648"/>
        <v>0</v>
      </c>
      <c r="AU1816" s="498">
        <f t="shared" si="635"/>
        <v>0</v>
      </c>
      <c r="AV1816" s="498">
        <f t="shared" si="636"/>
        <v>0</v>
      </c>
      <c r="AW1816" s="498">
        <f t="shared" si="637"/>
        <v>0</v>
      </c>
      <c r="AX1816" s="498">
        <f t="shared" si="638"/>
        <v>0</v>
      </c>
      <c r="AY1816" s="498">
        <f t="shared" si="639"/>
        <v>0</v>
      </c>
      <c r="BB1816" s="498" t="str">
        <f t="shared" si="640"/>
        <v/>
      </c>
      <c r="BC1816" s="743" t="str">
        <f t="shared" si="641"/>
        <v/>
      </c>
      <c r="BD1816" s="743" t="str">
        <f t="shared" si="642"/>
        <v/>
      </c>
      <c r="BE1816" s="743" t="str">
        <f>IF(D1816="","",VLOOKUP(D1816,'General Basis'!$J$39:$K$46,2,0))</f>
        <v/>
      </c>
      <c r="BF1816" s="744" t="str">
        <f>IF(D1816="","",VLOOKUP(D1816,'General Basis'!$J$39:$L$46,3,0))</f>
        <v/>
      </c>
      <c r="BG1816" s="744" t="str">
        <f t="shared" si="649"/>
        <v/>
      </c>
      <c r="BH1816" s="744" t="str">
        <f>IF(G1816="","",IF(BF1816="Abu Dhabi",IF(G1816&lt;18,'General Basis'!$C$39,IF(G1816&lt;41,'General Basis'!$C$40,IF(G1816&lt;60,'General Basis'!$C$41,IF(G1816&lt;65,'General Basis'!$C$42,'General Basis'!$C$43)))),IF(G1816&lt;11,'General Basis'!$B$39,IF(G1816&lt;18,'General Basis'!$B$40,IF(G1816&lt;26,'General Basis'!$B$41,IF(G1816&lt;31,'General Basis'!$B$42,IF(G1816&lt;36,'General Basis'!$B$43,IF(G1816&lt;41,'General Basis'!$B$44,IF(G1816&lt;46,'General Basis'!$B$45,IF(G1816&lt;51,'General Basis'!$B$46,IF(G1816&lt;56,'General Basis'!$B$47,IF(G1816&lt;60,'General Basis'!$B$48,IF(G1816&lt;65,'General Basis'!$B$49,'General Basis'!$B$50)))))))))))))</f>
        <v/>
      </c>
      <c r="BI1816" s="744" t="str">
        <f t="shared" si="643"/>
        <v/>
      </c>
      <c r="BJ1816" s="747" t="str">
        <f t="shared" si="650"/>
        <v/>
      </c>
      <c r="BK1816" s="498" t="str">
        <f t="shared" si="644"/>
        <v/>
      </c>
      <c r="BL1816" s="498" t="str">
        <f t="shared" si="645"/>
        <v/>
      </c>
    </row>
    <row r="1817" spans="1:64" x14ac:dyDescent="0.25">
      <c r="A1817" s="762">
        <f t="shared" si="646"/>
        <v>1812</v>
      </c>
      <c r="B1817" s="229"/>
      <c r="C1817" s="223"/>
      <c r="D1817" s="224"/>
      <c r="E1817" s="225"/>
      <c r="F1817" s="1036" t="str">
        <f t="shared" si="652"/>
        <v/>
      </c>
      <c r="G1817" s="1037" t="str">
        <f t="shared" si="647"/>
        <v/>
      </c>
      <c r="H1817" s="225"/>
      <c r="I1817" s="1013"/>
      <c r="J1817" s="1013"/>
      <c r="K1817" s="1028"/>
      <c r="L1817" s="1035" t="str">
        <f t="shared" si="651"/>
        <v/>
      </c>
      <c r="S1817" s="498"/>
      <c r="AJ1817" s="498"/>
      <c r="AM1817" s="498">
        <f t="shared" si="632"/>
        <v>0</v>
      </c>
      <c r="AN1817" s="498">
        <f t="shared" si="633"/>
        <v>0</v>
      </c>
      <c r="AO1817" s="498">
        <f t="shared" si="634"/>
        <v>0</v>
      </c>
      <c r="AP1817" s="498">
        <f t="shared" si="653"/>
        <v>0</v>
      </c>
      <c r="AQ1817" s="498">
        <f t="shared" si="648"/>
        <v>0</v>
      </c>
      <c r="AU1817" s="498">
        <f t="shared" si="635"/>
        <v>0</v>
      </c>
      <c r="AV1817" s="498">
        <f t="shared" si="636"/>
        <v>0</v>
      </c>
      <c r="AW1817" s="498">
        <f t="shared" si="637"/>
        <v>0</v>
      </c>
      <c r="AX1817" s="498">
        <f t="shared" si="638"/>
        <v>0</v>
      </c>
      <c r="AY1817" s="498">
        <f t="shared" si="639"/>
        <v>0</v>
      </c>
      <c r="BB1817" s="498" t="str">
        <f t="shared" si="640"/>
        <v/>
      </c>
      <c r="BC1817" s="743" t="str">
        <f t="shared" si="641"/>
        <v/>
      </c>
      <c r="BD1817" s="743" t="str">
        <f t="shared" si="642"/>
        <v/>
      </c>
      <c r="BE1817" s="743" t="str">
        <f>IF(D1817="","",VLOOKUP(D1817,'General Basis'!$J$39:$K$46,2,0))</f>
        <v/>
      </c>
      <c r="BF1817" s="744" t="str">
        <f>IF(D1817="","",VLOOKUP(D1817,'General Basis'!$J$39:$L$46,3,0))</f>
        <v/>
      </c>
      <c r="BG1817" s="744" t="str">
        <f t="shared" si="649"/>
        <v/>
      </c>
      <c r="BH1817" s="744" t="str">
        <f>IF(G1817="","",IF(BF1817="Abu Dhabi",IF(G1817&lt;18,'General Basis'!$C$39,IF(G1817&lt;41,'General Basis'!$C$40,IF(G1817&lt;60,'General Basis'!$C$41,IF(G1817&lt;65,'General Basis'!$C$42,'General Basis'!$C$43)))),IF(G1817&lt;11,'General Basis'!$B$39,IF(G1817&lt;18,'General Basis'!$B$40,IF(G1817&lt;26,'General Basis'!$B$41,IF(G1817&lt;31,'General Basis'!$B$42,IF(G1817&lt;36,'General Basis'!$B$43,IF(G1817&lt;41,'General Basis'!$B$44,IF(G1817&lt;46,'General Basis'!$B$45,IF(G1817&lt;51,'General Basis'!$B$46,IF(G1817&lt;56,'General Basis'!$B$47,IF(G1817&lt;60,'General Basis'!$B$48,IF(G1817&lt;65,'General Basis'!$B$49,'General Basis'!$B$50)))))))))))))</f>
        <v/>
      </c>
      <c r="BI1817" s="744" t="str">
        <f t="shared" si="643"/>
        <v/>
      </c>
      <c r="BJ1817" s="747" t="str">
        <f t="shared" si="650"/>
        <v/>
      </c>
      <c r="BK1817" s="498" t="str">
        <f t="shared" si="644"/>
        <v/>
      </c>
      <c r="BL1817" s="498" t="str">
        <f t="shared" si="645"/>
        <v/>
      </c>
    </row>
    <row r="1818" spans="1:64" x14ac:dyDescent="0.25">
      <c r="A1818" s="762">
        <f t="shared" si="646"/>
        <v>1813</v>
      </c>
      <c r="B1818" s="229"/>
      <c r="C1818" s="223"/>
      <c r="D1818" s="224"/>
      <c r="E1818" s="225"/>
      <c r="F1818" s="1036" t="str">
        <f t="shared" si="652"/>
        <v/>
      </c>
      <c r="G1818" s="1037" t="str">
        <f t="shared" si="647"/>
        <v/>
      </c>
      <c r="H1818" s="225"/>
      <c r="I1818" s="1013"/>
      <c r="J1818" s="1013"/>
      <c r="K1818" s="1028"/>
      <c r="L1818" s="1035" t="str">
        <f t="shared" si="651"/>
        <v/>
      </c>
      <c r="S1818" s="498"/>
      <c r="AJ1818" s="498"/>
      <c r="AM1818" s="498">
        <f t="shared" si="632"/>
        <v>0</v>
      </c>
      <c r="AN1818" s="498">
        <f t="shared" si="633"/>
        <v>0</v>
      </c>
      <c r="AO1818" s="498">
        <f t="shared" si="634"/>
        <v>0</v>
      </c>
      <c r="AP1818" s="498">
        <f t="shared" si="653"/>
        <v>0</v>
      </c>
      <c r="AQ1818" s="498">
        <f t="shared" si="648"/>
        <v>0</v>
      </c>
      <c r="AU1818" s="498">
        <f t="shared" si="635"/>
        <v>0</v>
      </c>
      <c r="AV1818" s="498">
        <f t="shared" si="636"/>
        <v>0</v>
      </c>
      <c r="AW1818" s="498">
        <f t="shared" si="637"/>
        <v>0</v>
      </c>
      <c r="AX1818" s="498">
        <f t="shared" si="638"/>
        <v>0</v>
      </c>
      <c r="AY1818" s="498">
        <f t="shared" si="639"/>
        <v>0</v>
      </c>
      <c r="BB1818" s="498" t="str">
        <f t="shared" si="640"/>
        <v/>
      </c>
      <c r="BC1818" s="743" t="str">
        <f t="shared" si="641"/>
        <v/>
      </c>
      <c r="BD1818" s="743" t="str">
        <f t="shared" si="642"/>
        <v/>
      </c>
      <c r="BE1818" s="743" t="str">
        <f>IF(D1818="","",VLOOKUP(D1818,'General Basis'!$J$39:$K$46,2,0))</f>
        <v/>
      </c>
      <c r="BF1818" s="744" t="str">
        <f>IF(D1818="","",VLOOKUP(D1818,'General Basis'!$J$39:$L$46,3,0))</f>
        <v/>
      </c>
      <c r="BG1818" s="744" t="str">
        <f t="shared" si="649"/>
        <v/>
      </c>
      <c r="BH1818" s="744" t="str">
        <f>IF(G1818="","",IF(BF1818="Abu Dhabi",IF(G1818&lt;18,'General Basis'!$C$39,IF(G1818&lt;41,'General Basis'!$C$40,IF(G1818&lt;60,'General Basis'!$C$41,IF(G1818&lt;65,'General Basis'!$C$42,'General Basis'!$C$43)))),IF(G1818&lt;11,'General Basis'!$B$39,IF(G1818&lt;18,'General Basis'!$B$40,IF(G1818&lt;26,'General Basis'!$B$41,IF(G1818&lt;31,'General Basis'!$B$42,IF(G1818&lt;36,'General Basis'!$B$43,IF(G1818&lt;41,'General Basis'!$B$44,IF(G1818&lt;46,'General Basis'!$B$45,IF(G1818&lt;51,'General Basis'!$B$46,IF(G1818&lt;56,'General Basis'!$B$47,IF(G1818&lt;60,'General Basis'!$B$48,IF(G1818&lt;65,'General Basis'!$B$49,'General Basis'!$B$50)))))))))))))</f>
        <v/>
      </c>
      <c r="BI1818" s="744" t="str">
        <f t="shared" si="643"/>
        <v/>
      </c>
      <c r="BJ1818" s="747" t="str">
        <f t="shared" si="650"/>
        <v/>
      </c>
      <c r="BK1818" s="498" t="str">
        <f t="shared" si="644"/>
        <v/>
      </c>
      <c r="BL1818" s="498" t="str">
        <f t="shared" si="645"/>
        <v/>
      </c>
    </row>
    <row r="1819" spans="1:64" x14ac:dyDescent="0.25">
      <c r="A1819" s="762">
        <f t="shared" si="646"/>
        <v>1814</v>
      </c>
      <c r="B1819" s="229"/>
      <c r="C1819" s="223"/>
      <c r="D1819" s="224"/>
      <c r="E1819" s="225"/>
      <c r="F1819" s="1036" t="str">
        <f t="shared" si="652"/>
        <v/>
      </c>
      <c r="G1819" s="1037" t="str">
        <f t="shared" si="647"/>
        <v/>
      </c>
      <c r="H1819" s="225"/>
      <c r="I1819" s="1013"/>
      <c r="J1819" s="1013"/>
      <c r="K1819" s="1028"/>
      <c r="L1819" s="1035" t="str">
        <f t="shared" si="651"/>
        <v/>
      </c>
      <c r="S1819" s="498"/>
      <c r="AJ1819" s="498"/>
      <c r="AM1819" s="498">
        <f t="shared" si="632"/>
        <v>0</v>
      </c>
      <c r="AN1819" s="498">
        <f t="shared" si="633"/>
        <v>0</v>
      </c>
      <c r="AO1819" s="498">
        <f t="shared" si="634"/>
        <v>0</v>
      </c>
      <c r="AP1819" s="498">
        <f t="shared" si="653"/>
        <v>0</v>
      </c>
      <c r="AQ1819" s="498">
        <f t="shared" si="648"/>
        <v>0</v>
      </c>
      <c r="AU1819" s="498">
        <f t="shared" si="635"/>
        <v>0</v>
      </c>
      <c r="AV1819" s="498">
        <f t="shared" si="636"/>
        <v>0</v>
      </c>
      <c r="AW1819" s="498">
        <f t="shared" si="637"/>
        <v>0</v>
      </c>
      <c r="AX1819" s="498">
        <f t="shared" si="638"/>
        <v>0</v>
      </c>
      <c r="AY1819" s="498">
        <f t="shared" si="639"/>
        <v>0</v>
      </c>
      <c r="BB1819" s="498" t="str">
        <f t="shared" si="640"/>
        <v/>
      </c>
      <c r="BC1819" s="743" t="str">
        <f t="shared" si="641"/>
        <v/>
      </c>
      <c r="BD1819" s="743" t="str">
        <f t="shared" si="642"/>
        <v/>
      </c>
      <c r="BE1819" s="743" t="str">
        <f>IF(D1819="","",VLOOKUP(D1819,'General Basis'!$J$39:$K$46,2,0))</f>
        <v/>
      </c>
      <c r="BF1819" s="744" t="str">
        <f>IF(D1819="","",VLOOKUP(D1819,'General Basis'!$J$39:$L$46,3,0))</f>
        <v/>
      </c>
      <c r="BG1819" s="744" t="str">
        <f t="shared" si="649"/>
        <v/>
      </c>
      <c r="BH1819" s="744" t="str">
        <f>IF(G1819="","",IF(BF1819="Abu Dhabi",IF(G1819&lt;18,'General Basis'!$C$39,IF(G1819&lt;41,'General Basis'!$C$40,IF(G1819&lt;60,'General Basis'!$C$41,IF(G1819&lt;65,'General Basis'!$C$42,'General Basis'!$C$43)))),IF(G1819&lt;11,'General Basis'!$B$39,IF(G1819&lt;18,'General Basis'!$B$40,IF(G1819&lt;26,'General Basis'!$B$41,IF(G1819&lt;31,'General Basis'!$B$42,IF(G1819&lt;36,'General Basis'!$B$43,IF(G1819&lt;41,'General Basis'!$B$44,IF(G1819&lt;46,'General Basis'!$B$45,IF(G1819&lt;51,'General Basis'!$B$46,IF(G1819&lt;56,'General Basis'!$B$47,IF(G1819&lt;60,'General Basis'!$B$48,IF(G1819&lt;65,'General Basis'!$B$49,'General Basis'!$B$50)))))))))))))</f>
        <v/>
      </c>
      <c r="BI1819" s="744" t="str">
        <f t="shared" si="643"/>
        <v/>
      </c>
      <c r="BJ1819" s="747" t="str">
        <f t="shared" si="650"/>
        <v/>
      </c>
      <c r="BK1819" s="498" t="str">
        <f t="shared" si="644"/>
        <v/>
      </c>
      <c r="BL1819" s="498" t="str">
        <f t="shared" si="645"/>
        <v/>
      </c>
    </row>
    <row r="1820" spans="1:64" x14ac:dyDescent="0.25">
      <c r="A1820" s="762">
        <f t="shared" si="646"/>
        <v>1815</v>
      </c>
      <c r="B1820" s="229"/>
      <c r="C1820" s="223"/>
      <c r="D1820" s="224"/>
      <c r="E1820" s="225"/>
      <c r="F1820" s="1036" t="str">
        <f t="shared" si="652"/>
        <v/>
      </c>
      <c r="G1820" s="1037" t="str">
        <f t="shared" si="647"/>
        <v/>
      </c>
      <c r="H1820" s="225"/>
      <c r="I1820" s="1013"/>
      <c r="J1820" s="1013"/>
      <c r="K1820" s="1028"/>
      <c r="L1820" s="1035" t="str">
        <f t="shared" si="651"/>
        <v/>
      </c>
      <c r="S1820" s="498"/>
      <c r="AJ1820" s="498"/>
      <c r="AM1820" s="498">
        <f t="shared" si="632"/>
        <v>0</v>
      </c>
      <c r="AN1820" s="498">
        <f t="shared" si="633"/>
        <v>0</v>
      </c>
      <c r="AO1820" s="498">
        <f t="shared" si="634"/>
        <v>0</v>
      </c>
      <c r="AP1820" s="498">
        <f t="shared" si="653"/>
        <v>0</v>
      </c>
      <c r="AQ1820" s="498">
        <f t="shared" si="648"/>
        <v>0</v>
      </c>
      <c r="AU1820" s="498">
        <f t="shared" si="635"/>
        <v>0</v>
      </c>
      <c r="AV1820" s="498">
        <f t="shared" si="636"/>
        <v>0</v>
      </c>
      <c r="AW1820" s="498">
        <f t="shared" si="637"/>
        <v>0</v>
      </c>
      <c r="AX1820" s="498">
        <f t="shared" si="638"/>
        <v>0</v>
      </c>
      <c r="AY1820" s="498">
        <f t="shared" si="639"/>
        <v>0</v>
      </c>
      <c r="BB1820" s="498" t="str">
        <f t="shared" si="640"/>
        <v/>
      </c>
      <c r="BC1820" s="743" t="str">
        <f t="shared" si="641"/>
        <v/>
      </c>
      <c r="BD1820" s="743" t="str">
        <f t="shared" si="642"/>
        <v/>
      </c>
      <c r="BE1820" s="743" t="str">
        <f>IF(D1820="","",VLOOKUP(D1820,'General Basis'!$J$39:$K$46,2,0))</f>
        <v/>
      </c>
      <c r="BF1820" s="744" t="str">
        <f>IF(D1820="","",VLOOKUP(D1820,'General Basis'!$J$39:$L$46,3,0))</f>
        <v/>
      </c>
      <c r="BG1820" s="744" t="str">
        <f t="shared" si="649"/>
        <v/>
      </c>
      <c r="BH1820" s="744" t="str">
        <f>IF(G1820="","",IF(BF1820="Abu Dhabi",IF(G1820&lt;18,'General Basis'!$C$39,IF(G1820&lt;41,'General Basis'!$C$40,IF(G1820&lt;60,'General Basis'!$C$41,IF(G1820&lt;65,'General Basis'!$C$42,'General Basis'!$C$43)))),IF(G1820&lt;11,'General Basis'!$B$39,IF(G1820&lt;18,'General Basis'!$B$40,IF(G1820&lt;26,'General Basis'!$B$41,IF(G1820&lt;31,'General Basis'!$B$42,IF(G1820&lt;36,'General Basis'!$B$43,IF(G1820&lt;41,'General Basis'!$B$44,IF(G1820&lt;46,'General Basis'!$B$45,IF(G1820&lt;51,'General Basis'!$B$46,IF(G1820&lt;56,'General Basis'!$B$47,IF(G1820&lt;60,'General Basis'!$B$48,IF(G1820&lt;65,'General Basis'!$B$49,'General Basis'!$B$50)))))))))))))</f>
        <v/>
      </c>
      <c r="BI1820" s="744" t="str">
        <f t="shared" si="643"/>
        <v/>
      </c>
      <c r="BJ1820" s="747" t="str">
        <f t="shared" si="650"/>
        <v/>
      </c>
      <c r="BK1820" s="498" t="str">
        <f t="shared" si="644"/>
        <v/>
      </c>
      <c r="BL1820" s="498" t="str">
        <f t="shared" si="645"/>
        <v/>
      </c>
    </row>
    <row r="1821" spans="1:64" x14ac:dyDescent="0.25">
      <c r="A1821" s="762">
        <f t="shared" si="646"/>
        <v>1816</v>
      </c>
      <c r="B1821" s="229"/>
      <c r="C1821" s="223"/>
      <c r="D1821" s="224"/>
      <c r="E1821" s="225"/>
      <c r="F1821" s="1036" t="str">
        <f t="shared" si="652"/>
        <v/>
      </c>
      <c r="G1821" s="1037" t="str">
        <f t="shared" si="647"/>
        <v/>
      </c>
      <c r="H1821" s="225"/>
      <c r="I1821" s="1013"/>
      <c r="J1821" s="1013"/>
      <c r="K1821" s="1028"/>
      <c r="L1821" s="1035" t="str">
        <f t="shared" si="651"/>
        <v/>
      </c>
      <c r="S1821" s="498"/>
      <c r="AJ1821" s="498"/>
      <c r="AM1821" s="498">
        <f t="shared" si="632"/>
        <v>0</v>
      </c>
      <c r="AN1821" s="498">
        <f t="shared" si="633"/>
        <v>0</v>
      </c>
      <c r="AO1821" s="498">
        <f t="shared" si="634"/>
        <v>0</v>
      </c>
      <c r="AP1821" s="498">
        <f t="shared" si="653"/>
        <v>0</v>
      </c>
      <c r="AQ1821" s="498">
        <f t="shared" si="648"/>
        <v>0</v>
      </c>
      <c r="AU1821" s="498">
        <f t="shared" si="635"/>
        <v>0</v>
      </c>
      <c r="AV1821" s="498">
        <f t="shared" si="636"/>
        <v>0</v>
      </c>
      <c r="AW1821" s="498">
        <f t="shared" si="637"/>
        <v>0</v>
      </c>
      <c r="AX1821" s="498">
        <f t="shared" si="638"/>
        <v>0</v>
      </c>
      <c r="AY1821" s="498">
        <f t="shared" si="639"/>
        <v>0</v>
      </c>
      <c r="BB1821" s="498" t="str">
        <f t="shared" si="640"/>
        <v/>
      </c>
      <c r="BC1821" s="743" t="str">
        <f t="shared" si="641"/>
        <v/>
      </c>
      <c r="BD1821" s="743" t="str">
        <f t="shared" si="642"/>
        <v/>
      </c>
      <c r="BE1821" s="743" t="str">
        <f>IF(D1821="","",VLOOKUP(D1821,'General Basis'!$J$39:$K$46,2,0))</f>
        <v/>
      </c>
      <c r="BF1821" s="744" t="str">
        <f>IF(D1821="","",VLOOKUP(D1821,'General Basis'!$J$39:$L$46,3,0))</f>
        <v/>
      </c>
      <c r="BG1821" s="744" t="str">
        <f t="shared" si="649"/>
        <v/>
      </c>
      <c r="BH1821" s="744" t="str">
        <f>IF(G1821="","",IF(BF1821="Abu Dhabi",IF(G1821&lt;18,'General Basis'!$C$39,IF(G1821&lt;41,'General Basis'!$C$40,IF(G1821&lt;60,'General Basis'!$C$41,IF(G1821&lt;65,'General Basis'!$C$42,'General Basis'!$C$43)))),IF(G1821&lt;11,'General Basis'!$B$39,IF(G1821&lt;18,'General Basis'!$B$40,IF(G1821&lt;26,'General Basis'!$B$41,IF(G1821&lt;31,'General Basis'!$B$42,IF(G1821&lt;36,'General Basis'!$B$43,IF(G1821&lt;41,'General Basis'!$B$44,IF(G1821&lt;46,'General Basis'!$B$45,IF(G1821&lt;51,'General Basis'!$B$46,IF(G1821&lt;56,'General Basis'!$B$47,IF(G1821&lt;60,'General Basis'!$B$48,IF(G1821&lt;65,'General Basis'!$B$49,'General Basis'!$B$50)))))))))))))</f>
        <v/>
      </c>
      <c r="BI1821" s="744" t="str">
        <f t="shared" si="643"/>
        <v/>
      </c>
      <c r="BJ1821" s="747" t="str">
        <f t="shared" si="650"/>
        <v/>
      </c>
      <c r="BK1821" s="498" t="str">
        <f t="shared" si="644"/>
        <v/>
      </c>
      <c r="BL1821" s="498" t="str">
        <f t="shared" si="645"/>
        <v/>
      </c>
    </row>
    <row r="1822" spans="1:64" x14ac:dyDescent="0.25">
      <c r="A1822" s="762">
        <f t="shared" si="646"/>
        <v>1817</v>
      </c>
      <c r="B1822" s="229"/>
      <c r="C1822" s="223"/>
      <c r="D1822" s="224"/>
      <c r="E1822" s="225"/>
      <c r="F1822" s="1036" t="str">
        <f t="shared" si="652"/>
        <v/>
      </c>
      <c r="G1822" s="1037" t="str">
        <f t="shared" si="647"/>
        <v/>
      </c>
      <c r="H1822" s="225"/>
      <c r="I1822" s="1013"/>
      <c r="J1822" s="1013"/>
      <c r="K1822" s="1028"/>
      <c r="L1822" s="1035" t="str">
        <f t="shared" si="651"/>
        <v/>
      </c>
      <c r="S1822" s="498"/>
      <c r="AJ1822" s="498"/>
      <c r="AM1822" s="498">
        <f t="shared" si="632"/>
        <v>0</v>
      </c>
      <c r="AN1822" s="498">
        <f t="shared" si="633"/>
        <v>0</v>
      </c>
      <c r="AO1822" s="498">
        <f t="shared" si="634"/>
        <v>0</v>
      </c>
      <c r="AP1822" s="498">
        <f t="shared" si="653"/>
        <v>0</v>
      </c>
      <c r="AQ1822" s="498">
        <f t="shared" si="648"/>
        <v>0</v>
      </c>
      <c r="AU1822" s="498">
        <f t="shared" si="635"/>
        <v>0</v>
      </c>
      <c r="AV1822" s="498">
        <f t="shared" si="636"/>
        <v>0</v>
      </c>
      <c r="AW1822" s="498">
        <f t="shared" si="637"/>
        <v>0</v>
      </c>
      <c r="AX1822" s="498">
        <f t="shared" si="638"/>
        <v>0</v>
      </c>
      <c r="AY1822" s="498">
        <f t="shared" si="639"/>
        <v>0</v>
      </c>
      <c r="BB1822" s="498" t="str">
        <f t="shared" si="640"/>
        <v/>
      </c>
      <c r="BC1822" s="743" t="str">
        <f t="shared" si="641"/>
        <v/>
      </c>
      <c r="BD1822" s="743" t="str">
        <f t="shared" si="642"/>
        <v/>
      </c>
      <c r="BE1822" s="743" t="str">
        <f>IF(D1822="","",VLOOKUP(D1822,'General Basis'!$J$39:$K$46,2,0))</f>
        <v/>
      </c>
      <c r="BF1822" s="744" t="str">
        <f>IF(D1822="","",VLOOKUP(D1822,'General Basis'!$J$39:$L$46,3,0))</f>
        <v/>
      </c>
      <c r="BG1822" s="744" t="str">
        <f t="shared" si="649"/>
        <v/>
      </c>
      <c r="BH1822" s="744" t="str">
        <f>IF(G1822="","",IF(BF1822="Abu Dhabi",IF(G1822&lt;18,'General Basis'!$C$39,IF(G1822&lt;41,'General Basis'!$C$40,IF(G1822&lt;60,'General Basis'!$C$41,IF(G1822&lt;65,'General Basis'!$C$42,'General Basis'!$C$43)))),IF(G1822&lt;11,'General Basis'!$B$39,IF(G1822&lt;18,'General Basis'!$B$40,IF(G1822&lt;26,'General Basis'!$B$41,IF(G1822&lt;31,'General Basis'!$B$42,IF(G1822&lt;36,'General Basis'!$B$43,IF(G1822&lt;41,'General Basis'!$B$44,IF(G1822&lt;46,'General Basis'!$B$45,IF(G1822&lt;51,'General Basis'!$B$46,IF(G1822&lt;56,'General Basis'!$B$47,IF(G1822&lt;60,'General Basis'!$B$48,IF(G1822&lt;65,'General Basis'!$B$49,'General Basis'!$B$50)))))))))))))</f>
        <v/>
      </c>
      <c r="BI1822" s="744" t="str">
        <f t="shared" si="643"/>
        <v/>
      </c>
      <c r="BJ1822" s="747" t="str">
        <f t="shared" si="650"/>
        <v/>
      </c>
      <c r="BK1822" s="498" t="str">
        <f t="shared" si="644"/>
        <v/>
      </c>
      <c r="BL1822" s="498" t="str">
        <f t="shared" si="645"/>
        <v/>
      </c>
    </row>
    <row r="1823" spans="1:64" x14ac:dyDescent="0.25">
      <c r="A1823" s="762">
        <f t="shared" si="646"/>
        <v>1818</v>
      </c>
      <c r="B1823" s="229"/>
      <c r="C1823" s="223"/>
      <c r="D1823" s="224"/>
      <c r="E1823" s="225"/>
      <c r="F1823" s="1036" t="str">
        <f t="shared" si="652"/>
        <v/>
      </c>
      <c r="G1823" s="1037" t="str">
        <f t="shared" si="647"/>
        <v/>
      </c>
      <c r="H1823" s="225"/>
      <c r="I1823" s="1013"/>
      <c r="J1823" s="1013"/>
      <c r="K1823" s="1028"/>
      <c r="L1823" s="1035" t="str">
        <f t="shared" si="651"/>
        <v/>
      </c>
      <c r="S1823" s="498"/>
      <c r="AJ1823" s="498"/>
      <c r="AM1823" s="498">
        <f t="shared" si="632"/>
        <v>0</v>
      </c>
      <c r="AN1823" s="498">
        <f t="shared" si="633"/>
        <v>0</v>
      </c>
      <c r="AO1823" s="498">
        <f t="shared" si="634"/>
        <v>0</v>
      </c>
      <c r="AP1823" s="498">
        <f t="shared" si="653"/>
        <v>0</v>
      </c>
      <c r="AQ1823" s="498">
        <f t="shared" si="648"/>
        <v>0</v>
      </c>
      <c r="AU1823" s="498">
        <f t="shared" si="635"/>
        <v>0</v>
      </c>
      <c r="AV1823" s="498">
        <f t="shared" si="636"/>
        <v>0</v>
      </c>
      <c r="AW1823" s="498">
        <f t="shared" si="637"/>
        <v>0</v>
      </c>
      <c r="AX1823" s="498">
        <f t="shared" si="638"/>
        <v>0</v>
      </c>
      <c r="AY1823" s="498">
        <f t="shared" si="639"/>
        <v>0</v>
      </c>
      <c r="BB1823" s="498" t="str">
        <f t="shared" si="640"/>
        <v/>
      </c>
      <c r="BC1823" s="743" t="str">
        <f t="shared" si="641"/>
        <v/>
      </c>
      <c r="BD1823" s="743" t="str">
        <f t="shared" si="642"/>
        <v/>
      </c>
      <c r="BE1823" s="743" t="str">
        <f>IF(D1823="","",VLOOKUP(D1823,'General Basis'!$J$39:$K$46,2,0))</f>
        <v/>
      </c>
      <c r="BF1823" s="744" t="str">
        <f>IF(D1823="","",VLOOKUP(D1823,'General Basis'!$J$39:$L$46,3,0))</f>
        <v/>
      </c>
      <c r="BG1823" s="744" t="str">
        <f t="shared" si="649"/>
        <v/>
      </c>
      <c r="BH1823" s="744" t="str">
        <f>IF(G1823="","",IF(BF1823="Abu Dhabi",IF(G1823&lt;18,'General Basis'!$C$39,IF(G1823&lt;41,'General Basis'!$C$40,IF(G1823&lt;60,'General Basis'!$C$41,IF(G1823&lt;65,'General Basis'!$C$42,'General Basis'!$C$43)))),IF(G1823&lt;11,'General Basis'!$B$39,IF(G1823&lt;18,'General Basis'!$B$40,IF(G1823&lt;26,'General Basis'!$B$41,IF(G1823&lt;31,'General Basis'!$B$42,IF(G1823&lt;36,'General Basis'!$B$43,IF(G1823&lt;41,'General Basis'!$B$44,IF(G1823&lt;46,'General Basis'!$B$45,IF(G1823&lt;51,'General Basis'!$B$46,IF(G1823&lt;56,'General Basis'!$B$47,IF(G1823&lt;60,'General Basis'!$B$48,IF(G1823&lt;65,'General Basis'!$B$49,'General Basis'!$B$50)))))))))))))</f>
        <v/>
      </c>
      <c r="BI1823" s="744" t="str">
        <f t="shared" si="643"/>
        <v/>
      </c>
      <c r="BJ1823" s="747" t="str">
        <f t="shared" si="650"/>
        <v/>
      </c>
      <c r="BK1823" s="498" t="str">
        <f t="shared" si="644"/>
        <v/>
      </c>
      <c r="BL1823" s="498" t="str">
        <f t="shared" si="645"/>
        <v/>
      </c>
    </row>
    <row r="1824" spans="1:64" x14ac:dyDescent="0.25">
      <c r="A1824" s="762">
        <f t="shared" si="646"/>
        <v>1819</v>
      </c>
      <c r="B1824" s="229"/>
      <c r="C1824" s="223"/>
      <c r="D1824" s="224"/>
      <c r="E1824" s="225"/>
      <c r="F1824" s="1036" t="str">
        <f t="shared" si="652"/>
        <v/>
      </c>
      <c r="G1824" s="1037" t="str">
        <f t="shared" si="647"/>
        <v/>
      </c>
      <c r="H1824" s="225"/>
      <c r="I1824" s="1013"/>
      <c r="J1824" s="1013"/>
      <c r="K1824" s="1028"/>
      <c r="L1824" s="1035" t="str">
        <f t="shared" si="651"/>
        <v/>
      </c>
      <c r="S1824" s="498"/>
      <c r="AJ1824" s="498"/>
      <c r="AM1824" s="498">
        <f t="shared" si="632"/>
        <v>0</v>
      </c>
      <c r="AN1824" s="498">
        <f t="shared" si="633"/>
        <v>0</v>
      </c>
      <c r="AO1824" s="498">
        <f t="shared" si="634"/>
        <v>0</v>
      </c>
      <c r="AP1824" s="498">
        <f t="shared" si="653"/>
        <v>0</v>
      </c>
      <c r="AQ1824" s="498">
        <f t="shared" si="648"/>
        <v>0</v>
      </c>
      <c r="AU1824" s="498">
        <f t="shared" si="635"/>
        <v>0</v>
      </c>
      <c r="AV1824" s="498">
        <f t="shared" si="636"/>
        <v>0</v>
      </c>
      <c r="AW1824" s="498">
        <f t="shared" si="637"/>
        <v>0</v>
      </c>
      <c r="AX1824" s="498">
        <f t="shared" si="638"/>
        <v>0</v>
      </c>
      <c r="AY1824" s="498">
        <f t="shared" si="639"/>
        <v>0</v>
      </c>
      <c r="BB1824" s="498" t="str">
        <f t="shared" si="640"/>
        <v/>
      </c>
      <c r="BC1824" s="743" t="str">
        <f t="shared" si="641"/>
        <v/>
      </c>
      <c r="BD1824" s="743" t="str">
        <f t="shared" si="642"/>
        <v/>
      </c>
      <c r="BE1824" s="743" t="str">
        <f>IF(D1824="","",VLOOKUP(D1824,'General Basis'!$J$39:$K$46,2,0))</f>
        <v/>
      </c>
      <c r="BF1824" s="744" t="str">
        <f>IF(D1824="","",VLOOKUP(D1824,'General Basis'!$J$39:$L$46,3,0))</f>
        <v/>
      </c>
      <c r="BG1824" s="744" t="str">
        <f t="shared" si="649"/>
        <v/>
      </c>
      <c r="BH1824" s="744" t="str">
        <f>IF(G1824="","",IF(BF1824="Abu Dhabi",IF(G1824&lt;18,'General Basis'!$C$39,IF(G1824&lt;41,'General Basis'!$C$40,IF(G1824&lt;60,'General Basis'!$C$41,IF(G1824&lt;65,'General Basis'!$C$42,'General Basis'!$C$43)))),IF(G1824&lt;11,'General Basis'!$B$39,IF(G1824&lt;18,'General Basis'!$B$40,IF(G1824&lt;26,'General Basis'!$B$41,IF(G1824&lt;31,'General Basis'!$B$42,IF(G1824&lt;36,'General Basis'!$B$43,IF(G1824&lt;41,'General Basis'!$B$44,IF(G1824&lt;46,'General Basis'!$B$45,IF(G1824&lt;51,'General Basis'!$B$46,IF(G1824&lt;56,'General Basis'!$B$47,IF(G1824&lt;60,'General Basis'!$B$48,IF(G1824&lt;65,'General Basis'!$B$49,'General Basis'!$B$50)))))))))))))</f>
        <v/>
      </c>
      <c r="BI1824" s="744" t="str">
        <f t="shared" si="643"/>
        <v/>
      </c>
      <c r="BJ1824" s="747" t="str">
        <f t="shared" si="650"/>
        <v/>
      </c>
      <c r="BK1824" s="498" t="str">
        <f t="shared" si="644"/>
        <v/>
      </c>
      <c r="BL1824" s="498" t="str">
        <f t="shared" si="645"/>
        <v/>
      </c>
    </row>
    <row r="1825" spans="1:64" x14ac:dyDescent="0.25">
      <c r="A1825" s="762">
        <f t="shared" si="646"/>
        <v>1820</v>
      </c>
      <c r="B1825" s="229"/>
      <c r="C1825" s="223"/>
      <c r="D1825" s="224"/>
      <c r="E1825" s="225"/>
      <c r="F1825" s="1036" t="str">
        <f t="shared" si="652"/>
        <v/>
      </c>
      <c r="G1825" s="1037" t="str">
        <f t="shared" si="647"/>
        <v/>
      </c>
      <c r="H1825" s="225"/>
      <c r="I1825" s="1013"/>
      <c r="J1825" s="1013"/>
      <c r="K1825" s="1028"/>
      <c r="L1825" s="1035" t="str">
        <f t="shared" si="651"/>
        <v/>
      </c>
      <c r="S1825" s="498"/>
      <c r="AJ1825" s="498"/>
      <c r="AM1825" s="498">
        <f t="shared" si="632"/>
        <v>0</v>
      </c>
      <c r="AN1825" s="498">
        <f t="shared" si="633"/>
        <v>0</v>
      </c>
      <c r="AO1825" s="498">
        <f t="shared" si="634"/>
        <v>0</v>
      </c>
      <c r="AP1825" s="498">
        <f t="shared" si="653"/>
        <v>0</v>
      </c>
      <c r="AQ1825" s="498">
        <f t="shared" si="648"/>
        <v>0</v>
      </c>
      <c r="AU1825" s="498">
        <f t="shared" si="635"/>
        <v>0</v>
      </c>
      <c r="AV1825" s="498">
        <f t="shared" si="636"/>
        <v>0</v>
      </c>
      <c r="AW1825" s="498">
        <f t="shared" si="637"/>
        <v>0</v>
      </c>
      <c r="AX1825" s="498">
        <f t="shared" si="638"/>
        <v>0</v>
      </c>
      <c r="AY1825" s="498">
        <f t="shared" si="639"/>
        <v>0</v>
      </c>
      <c r="BB1825" s="498" t="str">
        <f t="shared" si="640"/>
        <v/>
      </c>
      <c r="BC1825" s="743" t="str">
        <f t="shared" si="641"/>
        <v/>
      </c>
      <c r="BD1825" s="743" t="str">
        <f t="shared" si="642"/>
        <v/>
      </c>
      <c r="BE1825" s="743" t="str">
        <f>IF(D1825="","",VLOOKUP(D1825,'General Basis'!$J$39:$K$46,2,0))</f>
        <v/>
      </c>
      <c r="BF1825" s="744" t="str">
        <f>IF(D1825="","",VLOOKUP(D1825,'General Basis'!$J$39:$L$46,3,0))</f>
        <v/>
      </c>
      <c r="BG1825" s="744" t="str">
        <f t="shared" si="649"/>
        <v/>
      </c>
      <c r="BH1825" s="744" t="str">
        <f>IF(G1825="","",IF(BF1825="Abu Dhabi",IF(G1825&lt;18,'General Basis'!$C$39,IF(G1825&lt;41,'General Basis'!$C$40,IF(G1825&lt;60,'General Basis'!$C$41,IF(G1825&lt;65,'General Basis'!$C$42,'General Basis'!$C$43)))),IF(G1825&lt;11,'General Basis'!$B$39,IF(G1825&lt;18,'General Basis'!$B$40,IF(G1825&lt;26,'General Basis'!$B$41,IF(G1825&lt;31,'General Basis'!$B$42,IF(G1825&lt;36,'General Basis'!$B$43,IF(G1825&lt;41,'General Basis'!$B$44,IF(G1825&lt;46,'General Basis'!$B$45,IF(G1825&lt;51,'General Basis'!$B$46,IF(G1825&lt;56,'General Basis'!$B$47,IF(G1825&lt;60,'General Basis'!$B$48,IF(G1825&lt;65,'General Basis'!$B$49,'General Basis'!$B$50)))))))))))))</f>
        <v/>
      </c>
      <c r="BI1825" s="744" t="str">
        <f t="shared" si="643"/>
        <v/>
      </c>
      <c r="BJ1825" s="747" t="str">
        <f t="shared" si="650"/>
        <v/>
      </c>
      <c r="BK1825" s="498" t="str">
        <f t="shared" si="644"/>
        <v/>
      </c>
      <c r="BL1825" s="498" t="str">
        <f t="shared" si="645"/>
        <v/>
      </c>
    </row>
    <row r="1826" spans="1:64" x14ac:dyDescent="0.25">
      <c r="A1826" s="762">
        <f t="shared" si="646"/>
        <v>1821</v>
      </c>
      <c r="B1826" s="229"/>
      <c r="C1826" s="223"/>
      <c r="D1826" s="224"/>
      <c r="E1826" s="225"/>
      <c r="F1826" s="1036" t="str">
        <f t="shared" si="652"/>
        <v/>
      </c>
      <c r="G1826" s="1037" t="str">
        <f t="shared" si="647"/>
        <v/>
      </c>
      <c r="H1826" s="225"/>
      <c r="I1826" s="1013"/>
      <c r="J1826" s="1013"/>
      <c r="K1826" s="1028"/>
      <c r="L1826" s="1035" t="str">
        <f t="shared" si="651"/>
        <v/>
      </c>
      <c r="S1826" s="498"/>
      <c r="AJ1826" s="498"/>
      <c r="AM1826" s="498">
        <f t="shared" si="632"/>
        <v>0</v>
      </c>
      <c r="AN1826" s="498">
        <f t="shared" si="633"/>
        <v>0</v>
      </c>
      <c r="AO1826" s="498">
        <f t="shared" si="634"/>
        <v>0</v>
      </c>
      <c r="AP1826" s="498">
        <f t="shared" si="653"/>
        <v>0</v>
      </c>
      <c r="AQ1826" s="498">
        <f t="shared" si="648"/>
        <v>0</v>
      </c>
      <c r="AU1826" s="498">
        <f t="shared" si="635"/>
        <v>0</v>
      </c>
      <c r="AV1826" s="498">
        <f t="shared" si="636"/>
        <v>0</v>
      </c>
      <c r="AW1826" s="498">
        <f t="shared" si="637"/>
        <v>0</v>
      </c>
      <c r="AX1826" s="498">
        <f t="shared" si="638"/>
        <v>0</v>
      </c>
      <c r="AY1826" s="498">
        <f t="shared" si="639"/>
        <v>0</v>
      </c>
      <c r="BB1826" s="498" t="str">
        <f t="shared" si="640"/>
        <v/>
      </c>
      <c r="BC1826" s="743" t="str">
        <f t="shared" si="641"/>
        <v/>
      </c>
      <c r="BD1826" s="743" t="str">
        <f t="shared" si="642"/>
        <v/>
      </c>
      <c r="BE1826" s="743" t="str">
        <f>IF(D1826="","",VLOOKUP(D1826,'General Basis'!$J$39:$K$46,2,0))</f>
        <v/>
      </c>
      <c r="BF1826" s="744" t="str">
        <f>IF(D1826="","",VLOOKUP(D1826,'General Basis'!$J$39:$L$46,3,0))</f>
        <v/>
      </c>
      <c r="BG1826" s="744" t="str">
        <f t="shared" si="649"/>
        <v/>
      </c>
      <c r="BH1826" s="744" t="str">
        <f>IF(G1826="","",IF(BF1826="Abu Dhabi",IF(G1826&lt;18,'General Basis'!$C$39,IF(G1826&lt;41,'General Basis'!$C$40,IF(G1826&lt;60,'General Basis'!$C$41,IF(G1826&lt;65,'General Basis'!$C$42,'General Basis'!$C$43)))),IF(G1826&lt;11,'General Basis'!$B$39,IF(G1826&lt;18,'General Basis'!$B$40,IF(G1826&lt;26,'General Basis'!$B$41,IF(G1826&lt;31,'General Basis'!$B$42,IF(G1826&lt;36,'General Basis'!$B$43,IF(G1826&lt;41,'General Basis'!$B$44,IF(G1826&lt;46,'General Basis'!$B$45,IF(G1826&lt;51,'General Basis'!$B$46,IF(G1826&lt;56,'General Basis'!$B$47,IF(G1826&lt;60,'General Basis'!$B$48,IF(G1826&lt;65,'General Basis'!$B$49,'General Basis'!$B$50)))))))))))))</f>
        <v/>
      </c>
      <c r="BI1826" s="744" t="str">
        <f t="shared" si="643"/>
        <v/>
      </c>
      <c r="BJ1826" s="747" t="str">
        <f t="shared" si="650"/>
        <v/>
      </c>
      <c r="BK1826" s="498" t="str">
        <f t="shared" si="644"/>
        <v/>
      </c>
      <c r="BL1826" s="498" t="str">
        <f t="shared" si="645"/>
        <v/>
      </c>
    </row>
    <row r="1827" spans="1:64" x14ac:dyDescent="0.25">
      <c r="A1827" s="762">
        <f t="shared" si="646"/>
        <v>1822</v>
      </c>
      <c r="B1827" s="229"/>
      <c r="C1827" s="223"/>
      <c r="D1827" s="224"/>
      <c r="E1827" s="225"/>
      <c r="F1827" s="1036" t="str">
        <f t="shared" si="652"/>
        <v/>
      </c>
      <c r="G1827" s="1037" t="str">
        <f t="shared" si="647"/>
        <v/>
      </c>
      <c r="H1827" s="225"/>
      <c r="I1827" s="1013"/>
      <c r="J1827" s="1013"/>
      <c r="K1827" s="1028"/>
      <c r="L1827" s="1035" t="str">
        <f t="shared" si="651"/>
        <v/>
      </c>
      <c r="S1827" s="498"/>
      <c r="AJ1827" s="498"/>
      <c r="AM1827" s="498">
        <f t="shared" si="632"/>
        <v>0</v>
      </c>
      <c r="AN1827" s="498">
        <f t="shared" si="633"/>
        <v>0</v>
      </c>
      <c r="AO1827" s="498">
        <f t="shared" si="634"/>
        <v>0</v>
      </c>
      <c r="AP1827" s="498">
        <f t="shared" si="653"/>
        <v>0</v>
      </c>
      <c r="AQ1827" s="498">
        <f t="shared" si="648"/>
        <v>0</v>
      </c>
      <c r="AU1827" s="498">
        <f t="shared" si="635"/>
        <v>0</v>
      </c>
      <c r="AV1827" s="498">
        <f t="shared" si="636"/>
        <v>0</v>
      </c>
      <c r="AW1827" s="498">
        <f t="shared" si="637"/>
        <v>0</v>
      </c>
      <c r="AX1827" s="498">
        <f t="shared" si="638"/>
        <v>0</v>
      </c>
      <c r="AY1827" s="498">
        <f t="shared" si="639"/>
        <v>0</v>
      </c>
      <c r="BB1827" s="498" t="str">
        <f t="shared" si="640"/>
        <v/>
      </c>
      <c r="BC1827" s="743" t="str">
        <f t="shared" si="641"/>
        <v/>
      </c>
      <c r="BD1827" s="743" t="str">
        <f t="shared" si="642"/>
        <v/>
      </c>
      <c r="BE1827" s="743" t="str">
        <f>IF(D1827="","",VLOOKUP(D1827,'General Basis'!$J$39:$K$46,2,0))</f>
        <v/>
      </c>
      <c r="BF1827" s="744" t="str">
        <f>IF(D1827="","",VLOOKUP(D1827,'General Basis'!$J$39:$L$46,3,0))</f>
        <v/>
      </c>
      <c r="BG1827" s="744" t="str">
        <f t="shared" si="649"/>
        <v/>
      </c>
      <c r="BH1827" s="744" t="str">
        <f>IF(G1827="","",IF(BF1827="Abu Dhabi",IF(G1827&lt;18,'General Basis'!$C$39,IF(G1827&lt;41,'General Basis'!$C$40,IF(G1827&lt;60,'General Basis'!$C$41,IF(G1827&lt;65,'General Basis'!$C$42,'General Basis'!$C$43)))),IF(G1827&lt;11,'General Basis'!$B$39,IF(G1827&lt;18,'General Basis'!$B$40,IF(G1827&lt;26,'General Basis'!$B$41,IF(G1827&lt;31,'General Basis'!$B$42,IF(G1827&lt;36,'General Basis'!$B$43,IF(G1827&lt;41,'General Basis'!$B$44,IF(G1827&lt;46,'General Basis'!$B$45,IF(G1827&lt;51,'General Basis'!$B$46,IF(G1827&lt;56,'General Basis'!$B$47,IF(G1827&lt;60,'General Basis'!$B$48,IF(G1827&lt;65,'General Basis'!$B$49,'General Basis'!$B$50)))))))))))))</f>
        <v/>
      </c>
      <c r="BI1827" s="744" t="str">
        <f t="shared" si="643"/>
        <v/>
      </c>
      <c r="BJ1827" s="747" t="str">
        <f t="shared" si="650"/>
        <v/>
      </c>
      <c r="BK1827" s="498" t="str">
        <f t="shared" si="644"/>
        <v/>
      </c>
      <c r="BL1827" s="498" t="str">
        <f t="shared" si="645"/>
        <v/>
      </c>
    </row>
    <row r="1828" spans="1:64" x14ac:dyDescent="0.25">
      <c r="A1828" s="762">
        <f t="shared" si="646"/>
        <v>1823</v>
      </c>
      <c r="B1828" s="229"/>
      <c r="C1828" s="223"/>
      <c r="D1828" s="224"/>
      <c r="E1828" s="225"/>
      <c r="F1828" s="1036" t="str">
        <f t="shared" si="652"/>
        <v/>
      </c>
      <c r="G1828" s="1037" t="str">
        <f t="shared" si="647"/>
        <v/>
      </c>
      <c r="H1828" s="225"/>
      <c r="I1828" s="1013"/>
      <c r="J1828" s="1013"/>
      <c r="K1828" s="1028"/>
      <c r="L1828" s="1035" t="str">
        <f t="shared" si="651"/>
        <v/>
      </c>
      <c r="S1828" s="498"/>
      <c r="AJ1828" s="498"/>
      <c r="AM1828" s="498">
        <f t="shared" si="632"/>
        <v>0</v>
      </c>
      <c r="AN1828" s="498">
        <f t="shared" si="633"/>
        <v>0</v>
      </c>
      <c r="AO1828" s="498">
        <f t="shared" si="634"/>
        <v>0</v>
      </c>
      <c r="AP1828" s="498">
        <f t="shared" si="653"/>
        <v>0</v>
      </c>
      <c r="AQ1828" s="498">
        <f t="shared" si="648"/>
        <v>0</v>
      </c>
      <c r="AU1828" s="498">
        <f t="shared" si="635"/>
        <v>0</v>
      </c>
      <c r="AV1828" s="498">
        <f t="shared" si="636"/>
        <v>0</v>
      </c>
      <c r="AW1828" s="498">
        <f t="shared" si="637"/>
        <v>0</v>
      </c>
      <c r="AX1828" s="498">
        <f t="shared" si="638"/>
        <v>0</v>
      </c>
      <c r="AY1828" s="498">
        <f t="shared" si="639"/>
        <v>0</v>
      </c>
      <c r="BB1828" s="498" t="str">
        <f t="shared" si="640"/>
        <v/>
      </c>
      <c r="BC1828" s="743" t="str">
        <f t="shared" si="641"/>
        <v/>
      </c>
      <c r="BD1828" s="743" t="str">
        <f t="shared" si="642"/>
        <v/>
      </c>
      <c r="BE1828" s="743" t="str">
        <f>IF(D1828="","",VLOOKUP(D1828,'General Basis'!$J$39:$K$46,2,0))</f>
        <v/>
      </c>
      <c r="BF1828" s="744" t="str">
        <f>IF(D1828="","",VLOOKUP(D1828,'General Basis'!$J$39:$L$46,3,0))</f>
        <v/>
      </c>
      <c r="BG1828" s="744" t="str">
        <f t="shared" si="649"/>
        <v/>
      </c>
      <c r="BH1828" s="744" t="str">
        <f>IF(G1828="","",IF(BF1828="Abu Dhabi",IF(G1828&lt;18,'General Basis'!$C$39,IF(G1828&lt;41,'General Basis'!$C$40,IF(G1828&lt;60,'General Basis'!$C$41,IF(G1828&lt;65,'General Basis'!$C$42,'General Basis'!$C$43)))),IF(G1828&lt;11,'General Basis'!$B$39,IF(G1828&lt;18,'General Basis'!$B$40,IF(G1828&lt;26,'General Basis'!$B$41,IF(G1828&lt;31,'General Basis'!$B$42,IF(G1828&lt;36,'General Basis'!$B$43,IF(G1828&lt;41,'General Basis'!$B$44,IF(G1828&lt;46,'General Basis'!$B$45,IF(G1828&lt;51,'General Basis'!$B$46,IF(G1828&lt;56,'General Basis'!$B$47,IF(G1828&lt;60,'General Basis'!$B$48,IF(G1828&lt;65,'General Basis'!$B$49,'General Basis'!$B$50)))))))))))))</f>
        <v/>
      </c>
      <c r="BI1828" s="744" t="str">
        <f t="shared" si="643"/>
        <v/>
      </c>
      <c r="BJ1828" s="747" t="str">
        <f t="shared" si="650"/>
        <v/>
      </c>
      <c r="BK1828" s="498" t="str">
        <f t="shared" si="644"/>
        <v/>
      </c>
      <c r="BL1828" s="498" t="str">
        <f t="shared" si="645"/>
        <v/>
      </c>
    </row>
    <row r="1829" spans="1:64" x14ac:dyDescent="0.25">
      <c r="A1829" s="762">
        <f t="shared" si="646"/>
        <v>1824</v>
      </c>
      <c r="B1829" s="229"/>
      <c r="C1829" s="223"/>
      <c r="D1829" s="224"/>
      <c r="E1829" s="225"/>
      <c r="F1829" s="1036" t="str">
        <f t="shared" si="652"/>
        <v/>
      </c>
      <c r="G1829" s="1037" t="str">
        <f t="shared" si="647"/>
        <v/>
      </c>
      <c r="H1829" s="225"/>
      <c r="I1829" s="1013"/>
      <c r="J1829" s="1013"/>
      <c r="K1829" s="1028"/>
      <c r="L1829" s="1035" t="str">
        <f t="shared" si="651"/>
        <v/>
      </c>
      <c r="S1829" s="498"/>
      <c r="AJ1829" s="498"/>
      <c r="AM1829" s="498">
        <f t="shared" si="632"/>
        <v>0</v>
      </c>
      <c r="AN1829" s="498">
        <f t="shared" si="633"/>
        <v>0</v>
      </c>
      <c r="AO1829" s="498">
        <f t="shared" si="634"/>
        <v>0</v>
      </c>
      <c r="AP1829" s="498">
        <f t="shared" si="653"/>
        <v>0</v>
      </c>
      <c r="AQ1829" s="498">
        <f t="shared" si="648"/>
        <v>0</v>
      </c>
      <c r="AU1829" s="498">
        <f t="shared" si="635"/>
        <v>0</v>
      </c>
      <c r="AV1829" s="498">
        <f t="shared" si="636"/>
        <v>0</v>
      </c>
      <c r="AW1829" s="498">
        <f t="shared" si="637"/>
        <v>0</v>
      </c>
      <c r="AX1829" s="498">
        <f t="shared" si="638"/>
        <v>0</v>
      </c>
      <c r="AY1829" s="498">
        <f t="shared" si="639"/>
        <v>0</v>
      </c>
      <c r="BB1829" s="498" t="str">
        <f t="shared" si="640"/>
        <v/>
      </c>
      <c r="BC1829" s="743" t="str">
        <f t="shared" si="641"/>
        <v/>
      </c>
      <c r="BD1829" s="743" t="str">
        <f t="shared" si="642"/>
        <v/>
      </c>
      <c r="BE1829" s="743" t="str">
        <f>IF(D1829="","",VLOOKUP(D1829,'General Basis'!$J$39:$K$46,2,0))</f>
        <v/>
      </c>
      <c r="BF1829" s="744" t="str">
        <f>IF(D1829="","",VLOOKUP(D1829,'General Basis'!$J$39:$L$46,3,0))</f>
        <v/>
      </c>
      <c r="BG1829" s="744" t="str">
        <f t="shared" si="649"/>
        <v/>
      </c>
      <c r="BH1829" s="744" t="str">
        <f>IF(G1829="","",IF(BF1829="Abu Dhabi",IF(G1829&lt;18,'General Basis'!$C$39,IF(G1829&lt;41,'General Basis'!$C$40,IF(G1829&lt;60,'General Basis'!$C$41,IF(G1829&lt;65,'General Basis'!$C$42,'General Basis'!$C$43)))),IF(G1829&lt;11,'General Basis'!$B$39,IF(G1829&lt;18,'General Basis'!$B$40,IF(G1829&lt;26,'General Basis'!$B$41,IF(G1829&lt;31,'General Basis'!$B$42,IF(G1829&lt;36,'General Basis'!$B$43,IF(G1829&lt;41,'General Basis'!$B$44,IF(G1829&lt;46,'General Basis'!$B$45,IF(G1829&lt;51,'General Basis'!$B$46,IF(G1829&lt;56,'General Basis'!$B$47,IF(G1829&lt;60,'General Basis'!$B$48,IF(G1829&lt;65,'General Basis'!$B$49,'General Basis'!$B$50)))))))))))))</f>
        <v/>
      </c>
      <c r="BI1829" s="744" t="str">
        <f t="shared" si="643"/>
        <v/>
      </c>
      <c r="BJ1829" s="747" t="str">
        <f t="shared" si="650"/>
        <v/>
      </c>
      <c r="BK1829" s="498" t="str">
        <f t="shared" si="644"/>
        <v/>
      </c>
      <c r="BL1829" s="498" t="str">
        <f t="shared" si="645"/>
        <v/>
      </c>
    </row>
    <row r="1830" spans="1:64" x14ac:dyDescent="0.25">
      <c r="A1830" s="762">
        <f t="shared" si="646"/>
        <v>1825</v>
      </c>
      <c r="B1830" s="229"/>
      <c r="C1830" s="223"/>
      <c r="D1830" s="224"/>
      <c r="E1830" s="225"/>
      <c r="F1830" s="1036" t="str">
        <f t="shared" si="652"/>
        <v/>
      </c>
      <c r="G1830" s="1037" t="str">
        <f t="shared" si="647"/>
        <v/>
      </c>
      <c r="H1830" s="225"/>
      <c r="I1830" s="1013"/>
      <c r="J1830" s="1013"/>
      <c r="K1830" s="1028"/>
      <c r="L1830" s="1035" t="str">
        <f t="shared" si="651"/>
        <v/>
      </c>
      <c r="S1830" s="498"/>
      <c r="AJ1830" s="498"/>
      <c r="AM1830" s="498">
        <f t="shared" si="632"/>
        <v>0</v>
      </c>
      <c r="AN1830" s="498">
        <f t="shared" si="633"/>
        <v>0</v>
      </c>
      <c r="AO1830" s="498">
        <f t="shared" si="634"/>
        <v>0</v>
      </c>
      <c r="AP1830" s="498">
        <f t="shared" si="653"/>
        <v>0</v>
      </c>
      <c r="AQ1830" s="498">
        <f t="shared" si="648"/>
        <v>0</v>
      </c>
      <c r="AU1830" s="498">
        <f t="shared" si="635"/>
        <v>0</v>
      </c>
      <c r="AV1830" s="498">
        <f t="shared" si="636"/>
        <v>0</v>
      </c>
      <c r="AW1830" s="498">
        <f t="shared" si="637"/>
        <v>0</v>
      </c>
      <c r="AX1830" s="498">
        <f t="shared" si="638"/>
        <v>0</v>
      </c>
      <c r="AY1830" s="498">
        <f t="shared" si="639"/>
        <v>0</v>
      </c>
      <c r="BB1830" s="498" t="str">
        <f t="shared" si="640"/>
        <v/>
      </c>
      <c r="BC1830" s="743" t="str">
        <f t="shared" si="641"/>
        <v/>
      </c>
      <c r="BD1830" s="743" t="str">
        <f t="shared" si="642"/>
        <v/>
      </c>
      <c r="BE1830" s="743" t="str">
        <f>IF(D1830="","",VLOOKUP(D1830,'General Basis'!$J$39:$K$46,2,0))</f>
        <v/>
      </c>
      <c r="BF1830" s="744" t="str">
        <f>IF(D1830="","",VLOOKUP(D1830,'General Basis'!$J$39:$L$46,3,0))</f>
        <v/>
      </c>
      <c r="BG1830" s="744" t="str">
        <f t="shared" si="649"/>
        <v/>
      </c>
      <c r="BH1830" s="744" t="str">
        <f>IF(G1830="","",IF(BF1830="Abu Dhabi",IF(G1830&lt;18,'General Basis'!$C$39,IF(G1830&lt;41,'General Basis'!$C$40,IF(G1830&lt;60,'General Basis'!$C$41,IF(G1830&lt;65,'General Basis'!$C$42,'General Basis'!$C$43)))),IF(G1830&lt;11,'General Basis'!$B$39,IF(G1830&lt;18,'General Basis'!$B$40,IF(G1830&lt;26,'General Basis'!$B$41,IF(G1830&lt;31,'General Basis'!$B$42,IF(G1830&lt;36,'General Basis'!$B$43,IF(G1830&lt;41,'General Basis'!$B$44,IF(G1830&lt;46,'General Basis'!$B$45,IF(G1830&lt;51,'General Basis'!$B$46,IF(G1830&lt;56,'General Basis'!$B$47,IF(G1830&lt;60,'General Basis'!$B$48,IF(G1830&lt;65,'General Basis'!$B$49,'General Basis'!$B$50)))))))))))))</f>
        <v/>
      </c>
      <c r="BI1830" s="744" t="str">
        <f t="shared" si="643"/>
        <v/>
      </c>
      <c r="BJ1830" s="747" t="str">
        <f t="shared" si="650"/>
        <v/>
      </c>
      <c r="BK1830" s="498" t="str">
        <f t="shared" si="644"/>
        <v/>
      </c>
      <c r="BL1830" s="498" t="str">
        <f t="shared" si="645"/>
        <v/>
      </c>
    </row>
    <row r="1831" spans="1:64" x14ac:dyDescent="0.25">
      <c r="A1831" s="762">
        <f t="shared" si="646"/>
        <v>1826</v>
      </c>
      <c r="B1831" s="229"/>
      <c r="C1831" s="223"/>
      <c r="D1831" s="224"/>
      <c r="E1831" s="225"/>
      <c r="F1831" s="1036" t="str">
        <f t="shared" si="652"/>
        <v/>
      </c>
      <c r="G1831" s="1037" t="str">
        <f t="shared" si="647"/>
        <v/>
      </c>
      <c r="H1831" s="225"/>
      <c r="I1831" s="1013"/>
      <c r="J1831" s="1013"/>
      <c r="K1831" s="1028"/>
      <c r="L1831" s="1035" t="str">
        <f t="shared" si="651"/>
        <v/>
      </c>
      <c r="S1831" s="498"/>
      <c r="AJ1831" s="498"/>
      <c r="AM1831" s="498">
        <f t="shared" si="632"/>
        <v>0</v>
      </c>
      <c r="AN1831" s="498">
        <f t="shared" si="633"/>
        <v>0</v>
      </c>
      <c r="AO1831" s="498">
        <f t="shared" si="634"/>
        <v>0</v>
      </c>
      <c r="AP1831" s="498">
        <f t="shared" si="653"/>
        <v>0</v>
      </c>
      <c r="AQ1831" s="498">
        <f t="shared" si="648"/>
        <v>0</v>
      </c>
      <c r="AU1831" s="498">
        <f t="shared" si="635"/>
        <v>0</v>
      </c>
      <c r="AV1831" s="498">
        <f t="shared" si="636"/>
        <v>0</v>
      </c>
      <c r="AW1831" s="498">
        <f t="shared" si="637"/>
        <v>0</v>
      </c>
      <c r="AX1831" s="498">
        <f t="shared" si="638"/>
        <v>0</v>
      </c>
      <c r="AY1831" s="498">
        <f t="shared" si="639"/>
        <v>0</v>
      </c>
      <c r="BB1831" s="498" t="str">
        <f t="shared" si="640"/>
        <v/>
      </c>
      <c r="BC1831" s="743" t="str">
        <f t="shared" si="641"/>
        <v/>
      </c>
      <c r="BD1831" s="743" t="str">
        <f t="shared" si="642"/>
        <v/>
      </c>
      <c r="BE1831" s="743" t="str">
        <f>IF(D1831="","",VLOOKUP(D1831,'General Basis'!$J$39:$K$46,2,0))</f>
        <v/>
      </c>
      <c r="BF1831" s="744" t="str">
        <f>IF(D1831="","",VLOOKUP(D1831,'General Basis'!$J$39:$L$46,3,0))</f>
        <v/>
      </c>
      <c r="BG1831" s="744" t="str">
        <f t="shared" si="649"/>
        <v/>
      </c>
      <c r="BH1831" s="744" t="str">
        <f>IF(G1831="","",IF(BF1831="Abu Dhabi",IF(G1831&lt;18,'General Basis'!$C$39,IF(G1831&lt;41,'General Basis'!$C$40,IF(G1831&lt;60,'General Basis'!$C$41,IF(G1831&lt;65,'General Basis'!$C$42,'General Basis'!$C$43)))),IF(G1831&lt;11,'General Basis'!$B$39,IF(G1831&lt;18,'General Basis'!$B$40,IF(G1831&lt;26,'General Basis'!$B$41,IF(G1831&lt;31,'General Basis'!$B$42,IF(G1831&lt;36,'General Basis'!$B$43,IF(G1831&lt;41,'General Basis'!$B$44,IF(G1831&lt;46,'General Basis'!$B$45,IF(G1831&lt;51,'General Basis'!$B$46,IF(G1831&lt;56,'General Basis'!$B$47,IF(G1831&lt;60,'General Basis'!$B$48,IF(G1831&lt;65,'General Basis'!$B$49,'General Basis'!$B$50)))))))))))))</f>
        <v/>
      </c>
      <c r="BI1831" s="744" t="str">
        <f t="shared" si="643"/>
        <v/>
      </c>
      <c r="BJ1831" s="747" t="str">
        <f t="shared" si="650"/>
        <v/>
      </c>
      <c r="BK1831" s="498" t="str">
        <f t="shared" si="644"/>
        <v/>
      </c>
      <c r="BL1831" s="498" t="str">
        <f t="shared" si="645"/>
        <v/>
      </c>
    </row>
    <row r="1832" spans="1:64" x14ac:dyDescent="0.25">
      <c r="A1832" s="762">
        <f t="shared" si="646"/>
        <v>1827</v>
      </c>
      <c r="B1832" s="229"/>
      <c r="C1832" s="223"/>
      <c r="D1832" s="224"/>
      <c r="E1832" s="225"/>
      <c r="F1832" s="1036" t="str">
        <f t="shared" si="652"/>
        <v/>
      </c>
      <c r="G1832" s="1037" t="str">
        <f t="shared" si="647"/>
        <v/>
      </c>
      <c r="H1832" s="225"/>
      <c r="I1832" s="1013"/>
      <c r="J1832" s="1013"/>
      <c r="K1832" s="1028"/>
      <c r="L1832" s="1035" t="str">
        <f t="shared" si="651"/>
        <v/>
      </c>
      <c r="S1832" s="498"/>
      <c r="AJ1832" s="498"/>
      <c r="AM1832" s="498">
        <f t="shared" si="632"/>
        <v>0</v>
      </c>
      <c r="AN1832" s="498">
        <f t="shared" si="633"/>
        <v>0</v>
      </c>
      <c r="AO1832" s="498">
        <f t="shared" si="634"/>
        <v>0</v>
      </c>
      <c r="AP1832" s="498">
        <f t="shared" si="653"/>
        <v>0</v>
      </c>
      <c r="AQ1832" s="498">
        <f t="shared" si="648"/>
        <v>0</v>
      </c>
      <c r="AU1832" s="498">
        <f t="shared" si="635"/>
        <v>0</v>
      </c>
      <c r="AV1832" s="498">
        <f t="shared" si="636"/>
        <v>0</v>
      </c>
      <c r="AW1832" s="498">
        <f t="shared" si="637"/>
        <v>0</v>
      </c>
      <c r="AX1832" s="498">
        <f t="shared" si="638"/>
        <v>0</v>
      </c>
      <c r="AY1832" s="498">
        <f t="shared" si="639"/>
        <v>0</v>
      </c>
      <c r="BB1832" s="498" t="str">
        <f t="shared" si="640"/>
        <v/>
      </c>
      <c r="BC1832" s="743" t="str">
        <f t="shared" si="641"/>
        <v/>
      </c>
      <c r="BD1832" s="743" t="str">
        <f t="shared" si="642"/>
        <v/>
      </c>
      <c r="BE1832" s="743" t="str">
        <f>IF(D1832="","",VLOOKUP(D1832,'General Basis'!$J$39:$K$46,2,0))</f>
        <v/>
      </c>
      <c r="BF1832" s="744" t="str">
        <f>IF(D1832="","",VLOOKUP(D1832,'General Basis'!$J$39:$L$46,3,0))</f>
        <v/>
      </c>
      <c r="BG1832" s="744" t="str">
        <f t="shared" si="649"/>
        <v/>
      </c>
      <c r="BH1832" s="744" t="str">
        <f>IF(G1832="","",IF(BF1832="Abu Dhabi",IF(G1832&lt;18,'General Basis'!$C$39,IF(G1832&lt;41,'General Basis'!$C$40,IF(G1832&lt;60,'General Basis'!$C$41,IF(G1832&lt;65,'General Basis'!$C$42,'General Basis'!$C$43)))),IF(G1832&lt;11,'General Basis'!$B$39,IF(G1832&lt;18,'General Basis'!$B$40,IF(G1832&lt;26,'General Basis'!$B$41,IF(G1832&lt;31,'General Basis'!$B$42,IF(G1832&lt;36,'General Basis'!$B$43,IF(G1832&lt;41,'General Basis'!$B$44,IF(G1832&lt;46,'General Basis'!$B$45,IF(G1832&lt;51,'General Basis'!$B$46,IF(G1832&lt;56,'General Basis'!$B$47,IF(G1832&lt;60,'General Basis'!$B$48,IF(G1832&lt;65,'General Basis'!$B$49,'General Basis'!$B$50)))))))))))))</f>
        <v/>
      </c>
      <c r="BI1832" s="744" t="str">
        <f t="shared" si="643"/>
        <v/>
      </c>
      <c r="BJ1832" s="747" t="str">
        <f t="shared" si="650"/>
        <v/>
      </c>
      <c r="BK1832" s="498" t="str">
        <f t="shared" si="644"/>
        <v/>
      </c>
      <c r="BL1832" s="498" t="str">
        <f t="shared" si="645"/>
        <v/>
      </c>
    </row>
    <row r="1833" spans="1:64" x14ac:dyDescent="0.25">
      <c r="A1833" s="762">
        <f t="shared" si="646"/>
        <v>1828</v>
      </c>
      <c r="B1833" s="229"/>
      <c r="C1833" s="223"/>
      <c r="D1833" s="224"/>
      <c r="E1833" s="225"/>
      <c r="F1833" s="1036" t="str">
        <f t="shared" si="652"/>
        <v/>
      </c>
      <c r="G1833" s="1037" t="str">
        <f t="shared" si="647"/>
        <v/>
      </c>
      <c r="H1833" s="225"/>
      <c r="I1833" s="1013"/>
      <c r="J1833" s="1013"/>
      <c r="K1833" s="1028"/>
      <c r="L1833" s="1035" t="str">
        <f t="shared" si="651"/>
        <v/>
      </c>
      <c r="S1833" s="498"/>
      <c r="AJ1833" s="498"/>
      <c r="AM1833" s="498">
        <f t="shared" si="632"/>
        <v>0</v>
      </c>
      <c r="AN1833" s="498">
        <f t="shared" si="633"/>
        <v>0</v>
      </c>
      <c r="AO1833" s="498">
        <f t="shared" si="634"/>
        <v>0</v>
      </c>
      <c r="AP1833" s="498">
        <f t="shared" si="653"/>
        <v>0</v>
      </c>
      <c r="AQ1833" s="498">
        <f t="shared" si="648"/>
        <v>0</v>
      </c>
      <c r="AU1833" s="498">
        <f t="shared" si="635"/>
        <v>0</v>
      </c>
      <c r="AV1833" s="498">
        <f t="shared" si="636"/>
        <v>0</v>
      </c>
      <c r="AW1833" s="498">
        <f t="shared" si="637"/>
        <v>0</v>
      </c>
      <c r="AX1833" s="498">
        <f t="shared" si="638"/>
        <v>0</v>
      </c>
      <c r="AY1833" s="498">
        <f t="shared" si="639"/>
        <v>0</v>
      </c>
      <c r="BB1833" s="498" t="str">
        <f t="shared" si="640"/>
        <v/>
      </c>
      <c r="BC1833" s="743" t="str">
        <f t="shared" si="641"/>
        <v/>
      </c>
      <c r="BD1833" s="743" t="str">
        <f t="shared" si="642"/>
        <v/>
      </c>
      <c r="BE1833" s="743" t="str">
        <f>IF(D1833="","",VLOOKUP(D1833,'General Basis'!$J$39:$K$46,2,0))</f>
        <v/>
      </c>
      <c r="BF1833" s="744" t="str">
        <f>IF(D1833="","",VLOOKUP(D1833,'General Basis'!$J$39:$L$46,3,0))</f>
        <v/>
      </c>
      <c r="BG1833" s="744" t="str">
        <f t="shared" si="649"/>
        <v/>
      </c>
      <c r="BH1833" s="744" t="str">
        <f>IF(G1833="","",IF(BF1833="Abu Dhabi",IF(G1833&lt;18,'General Basis'!$C$39,IF(G1833&lt;41,'General Basis'!$C$40,IF(G1833&lt;60,'General Basis'!$C$41,IF(G1833&lt;65,'General Basis'!$C$42,'General Basis'!$C$43)))),IF(G1833&lt;11,'General Basis'!$B$39,IF(G1833&lt;18,'General Basis'!$B$40,IF(G1833&lt;26,'General Basis'!$B$41,IF(G1833&lt;31,'General Basis'!$B$42,IF(G1833&lt;36,'General Basis'!$B$43,IF(G1833&lt;41,'General Basis'!$B$44,IF(G1833&lt;46,'General Basis'!$B$45,IF(G1833&lt;51,'General Basis'!$B$46,IF(G1833&lt;56,'General Basis'!$B$47,IF(G1833&lt;60,'General Basis'!$B$48,IF(G1833&lt;65,'General Basis'!$B$49,'General Basis'!$B$50)))))))))))))</f>
        <v/>
      </c>
      <c r="BI1833" s="744" t="str">
        <f t="shared" si="643"/>
        <v/>
      </c>
      <c r="BJ1833" s="747" t="str">
        <f t="shared" si="650"/>
        <v/>
      </c>
      <c r="BK1833" s="498" t="str">
        <f t="shared" si="644"/>
        <v/>
      </c>
      <c r="BL1833" s="498" t="str">
        <f t="shared" si="645"/>
        <v/>
      </c>
    </row>
    <row r="1834" spans="1:64" x14ac:dyDescent="0.25">
      <c r="A1834" s="762">
        <f t="shared" si="646"/>
        <v>1829</v>
      </c>
      <c r="B1834" s="229"/>
      <c r="C1834" s="223"/>
      <c r="D1834" s="224"/>
      <c r="E1834" s="225"/>
      <c r="F1834" s="1036" t="str">
        <f t="shared" si="652"/>
        <v/>
      </c>
      <c r="G1834" s="1037" t="str">
        <f t="shared" si="647"/>
        <v/>
      </c>
      <c r="H1834" s="225"/>
      <c r="I1834" s="1013"/>
      <c r="J1834" s="1013"/>
      <c r="K1834" s="1028"/>
      <c r="L1834" s="1035" t="str">
        <f t="shared" si="651"/>
        <v/>
      </c>
      <c r="S1834" s="498"/>
      <c r="AJ1834" s="498"/>
      <c r="AM1834" s="498">
        <f t="shared" si="632"/>
        <v>0</v>
      </c>
      <c r="AN1834" s="498">
        <f t="shared" si="633"/>
        <v>0</v>
      </c>
      <c r="AO1834" s="498">
        <f t="shared" si="634"/>
        <v>0</v>
      </c>
      <c r="AP1834" s="498">
        <f t="shared" si="653"/>
        <v>0</v>
      </c>
      <c r="AQ1834" s="498">
        <f t="shared" si="648"/>
        <v>0</v>
      </c>
      <c r="AU1834" s="498">
        <f t="shared" si="635"/>
        <v>0</v>
      </c>
      <c r="AV1834" s="498">
        <f t="shared" si="636"/>
        <v>0</v>
      </c>
      <c r="AW1834" s="498">
        <f t="shared" si="637"/>
        <v>0</v>
      </c>
      <c r="AX1834" s="498">
        <f t="shared" si="638"/>
        <v>0</v>
      </c>
      <c r="AY1834" s="498">
        <f t="shared" si="639"/>
        <v>0</v>
      </c>
      <c r="BB1834" s="498" t="str">
        <f t="shared" si="640"/>
        <v/>
      </c>
      <c r="BC1834" s="743" t="str">
        <f t="shared" si="641"/>
        <v/>
      </c>
      <c r="BD1834" s="743" t="str">
        <f t="shared" si="642"/>
        <v/>
      </c>
      <c r="BE1834" s="743" t="str">
        <f>IF(D1834="","",VLOOKUP(D1834,'General Basis'!$J$39:$K$46,2,0))</f>
        <v/>
      </c>
      <c r="BF1834" s="744" t="str">
        <f>IF(D1834="","",VLOOKUP(D1834,'General Basis'!$J$39:$L$46,3,0))</f>
        <v/>
      </c>
      <c r="BG1834" s="744" t="str">
        <f t="shared" si="649"/>
        <v/>
      </c>
      <c r="BH1834" s="744" t="str">
        <f>IF(G1834="","",IF(BF1834="Abu Dhabi",IF(G1834&lt;18,'General Basis'!$C$39,IF(G1834&lt;41,'General Basis'!$C$40,IF(G1834&lt;60,'General Basis'!$C$41,IF(G1834&lt;65,'General Basis'!$C$42,'General Basis'!$C$43)))),IF(G1834&lt;11,'General Basis'!$B$39,IF(G1834&lt;18,'General Basis'!$B$40,IF(G1834&lt;26,'General Basis'!$B$41,IF(G1834&lt;31,'General Basis'!$B$42,IF(G1834&lt;36,'General Basis'!$B$43,IF(G1834&lt;41,'General Basis'!$B$44,IF(G1834&lt;46,'General Basis'!$B$45,IF(G1834&lt;51,'General Basis'!$B$46,IF(G1834&lt;56,'General Basis'!$B$47,IF(G1834&lt;60,'General Basis'!$B$48,IF(G1834&lt;65,'General Basis'!$B$49,'General Basis'!$B$50)))))))))))))</f>
        <v/>
      </c>
      <c r="BI1834" s="744" t="str">
        <f t="shared" si="643"/>
        <v/>
      </c>
      <c r="BJ1834" s="747" t="str">
        <f t="shared" si="650"/>
        <v/>
      </c>
      <c r="BK1834" s="498" t="str">
        <f t="shared" si="644"/>
        <v/>
      </c>
      <c r="BL1834" s="498" t="str">
        <f t="shared" si="645"/>
        <v/>
      </c>
    </row>
    <row r="1835" spans="1:64" x14ac:dyDescent="0.25">
      <c r="A1835" s="762">
        <f t="shared" si="646"/>
        <v>1830</v>
      </c>
      <c r="B1835" s="229"/>
      <c r="C1835" s="223"/>
      <c r="D1835" s="224"/>
      <c r="E1835" s="225"/>
      <c r="F1835" s="1036" t="str">
        <f t="shared" si="652"/>
        <v/>
      </c>
      <c r="G1835" s="1037" t="str">
        <f t="shared" si="647"/>
        <v/>
      </c>
      <c r="H1835" s="225"/>
      <c r="I1835" s="1013"/>
      <c r="J1835" s="1013"/>
      <c r="K1835" s="1028"/>
      <c r="L1835" s="1035" t="str">
        <f t="shared" si="651"/>
        <v/>
      </c>
      <c r="S1835" s="498"/>
      <c r="AJ1835" s="498"/>
      <c r="AM1835" s="498">
        <f t="shared" si="632"/>
        <v>0</v>
      </c>
      <c r="AN1835" s="498">
        <f t="shared" si="633"/>
        <v>0</v>
      </c>
      <c r="AO1835" s="498">
        <f t="shared" si="634"/>
        <v>0</v>
      </c>
      <c r="AP1835" s="498">
        <f t="shared" si="653"/>
        <v>0</v>
      </c>
      <c r="AQ1835" s="498">
        <f t="shared" si="648"/>
        <v>0</v>
      </c>
      <c r="AU1835" s="498">
        <f t="shared" si="635"/>
        <v>0</v>
      </c>
      <c r="AV1835" s="498">
        <f t="shared" si="636"/>
        <v>0</v>
      </c>
      <c r="AW1835" s="498">
        <f t="shared" si="637"/>
        <v>0</v>
      </c>
      <c r="AX1835" s="498">
        <f t="shared" si="638"/>
        <v>0</v>
      </c>
      <c r="AY1835" s="498">
        <f t="shared" si="639"/>
        <v>0</v>
      </c>
      <c r="BB1835" s="498" t="str">
        <f t="shared" si="640"/>
        <v/>
      </c>
      <c r="BC1835" s="743" t="str">
        <f t="shared" si="641"/>
        <v/>
      </c>
      <c r="BD1835" s="743" t="str">
        <f t="shared" si="642"/>
        <v/>
      </c>
      <c r="BE1835" s="743" t="str">
        <f>IF(D1835="","",VLOOKUP(D1835,'General Basis'!$J$39:$K$46,2,0))</f>
        <v/>
      </c>
      <c r="BF1835" s="744" t="str">
        <f>IF(D1835="","",VLOOKUP(D1835,'General Basis'!$J$39:$L$46,3,0))</f>
        <v/>
      </c>
      <c r="BG1835" s="744" t="str">
        <f t="shared" si="649"/>
        <v/>
      </c>
      <c r="BH1835" s="744" t="str">
        <f>IF(G1835="","",IF(BF1835="Abu Dhabi",IF(G1835&lt;18,'General Basis'!$C$39,IF(G1835&lt;41,'General Basis'!$C$40,IF(G1835&lt;60,'General Basis'!$C$41,IF(G1835&lt;65,'General Basis'!$C$42,'General Basis'!$C$43)))),IF(G1835&lt;11,'General Basis'!$B$39,IF(G1835&lt;18,'General Basis'!$B$40,IF(G1835&lt;26,'General Basis'!$B$41,IF(G1835&lt;31,'General Basis'!$B$42,IF(G1835&lt;36,'General Basis'!$B$43,IF(G1835&lt;41,'General Basis'!$B$44,IF(G1835&lt;46,'General Basis'!$B$45,IF(G1835&lt;51,'General Basis'!$B$46,IF(G1835&lt;56,'General Basis'!$B$47,IF(G1835&lt;60,'General Basis'!$B$48,IF(G1835&lt;65,'General Basis'!$B$49,'General Basis'!$B$50)))))))))))))</f>
        <v/>
      </c>
      <c r="BI1835" s="744" t="str">
        <f t="shared" si="643"/>
        <v/>
      </c>
      <c r="BJ1835" s="747" t="str">
        <f t="shared" si="650"/>
        <v/>
      </c>
      <c r="BK1835" s="498" t="str">
        <f t="shared" si="644"/>
        <v/>
      </c>
      <c r="BL1835" s="498" t="str">
        <f t="shared" si="645"/>
        <v/>
      </c>
    </row>
    <row r="1836" spans="1:64" x14ac:dyDescent="0.25">
      <c r="A1836" s="762">
        <f t="shared" si="646"/>
        <v>1831</v>
      </c>
      <c r="B1836" s="229"/>
      <c r="C1836" s="223"/>
      <c r="D1836" s="224"/>
      <c r="E1836" s="225"/>
      <c r="F1836" s="1036" t="str">
        <f t="shared" si="652"/>
        <v/>
      </c>
      <c r="G1836" s="1037" t="str">
        <f t="shared" si="647"/>
        <v/>
      </c>
      <c r="H1836" s="225"/>
      <c r="I1836" s="1013"/>
      <c r="J1836" s="1013"/>
      <c r="K1836" s="1028"/>
      <c r="L1836" s="1035" t="str">
        <f t="shared" si="651"/>
        <v/>
      </c>
      <c r="S1836" s="498"/>
      <c r="AJ1836" s="498"/>
      <c r="AM1836" s="498">
        <f t="shared" si="632"/>
        <v>0</v>
      </c>
      <c r="AN1836" s="498">
        <f t="shared" si="633"/>
        <v>0</v>
      </c>
      <c r="AO1836" s="498">
        <f t="shared" si="634"/>
        <v>0</v>
      </c>
      <c r="AP1836" s="498">
        <f t="shared" si="653"/>
        <v>0</v>
      </c>
      <c r="AQ1836" s="498">
        <f t="shared" si="648"/>
        <v>0</v>
      </c>
      <c r="AU1836" s="498">
        <f t="shared" si="635"/>
        <v>0</v>
      </c>
      <c r="AV1836" s="498">
        <f t="shared" si="636"/>
        <v>0</v>
      </c>
      <c r="AW1836" s="498">
        <f t="shared" si="637"/>
        <v>0</v>
      </c>
      <c r="AX1836" s="498">
        <f t="shared" si="638"/>
        <v>0</v>
      </c>
      <c r="AY1836" s="498">
        <f t="shared" si="639"/>
        <v>0</v>
      </c>
      <c r="BB1836" s="498" t="str">
        <f t="shared" si="640"/>
        <v/>
      </c>
      <c r="BC1836" s="743" t="str">
        <f t="shared" si="641"/>
        <v/>
      </c>
      <c r="BD1836" s="743" t="str">
        <f t="shared" si="642"/>
        <v/>
      </c>
      <c r="BE1836" s="743" t="str">
        <f>IF(D1836="","",VLOOKUP(D1836,'General Basis'!$J$39:$K$46,2,0))</f>
        <v/>
      </c>
      <c r="BF1836" s="744" t="str">
        <f>IF(D1836="","",VLOOKUP(D1836,'General Basis'!$J$39:$L$46,3,0))</f>
        <v/>
      </c>
      <c r="BG1836" s="744" t="str">
        <f t="shared" si="649"/>
        <v/>
      </c>
      <c r="BH1836" s="744" t="str">
        <f>IF(G1836="","",IF(BF1836="Abu Dhabi",IF(G1836&lt;18,'General Basis'!$C$39,IF(G1836&lt;41,'General Basis'!$C$40,IF(G1836&lt;60,'General Basis'!$C$41,IF(G1836&lt;65,'General Basis'!$C$42,'General Basis'!$C$43)))),IF(G1836&lt;11,'General Basis'!$B$39,IF(G1836&lt;18,'General Basis'!$B$40,IF(G1836&lt;26,'General Basis'!$B$41,IF(G1836&lt;31,'General Basis'!$B$42,IF(G1836&lt;36,'General Basis'!$B$43,IF(G1836&lt;41,'General Basis'!$B$44,IF(G1836&lt;46,'General Basis'!$B$45,IF(G1836&lt;51,'General Basis'!$B$46,IF(G1836&lt;56,'General Basis'!$B$47,IF(G1836&lt;60,'General Basis'!$B$48,IF(G1836&lt;65,'General Basis'!$B$49,'General Basis'!$B$50)))))))))))))</f>
        <v/>
      </c>
      <c r="BI1836" s="744" t="str">
        <f t="shared" si="643"/>
        <v/>
      </c>
      <c r="BJ1836" s="747" t="str">
        <f t="shared" si="650"/>
        <v/>
      </c>
      <c r="BK1836" s="498" t="str">
        <f t="shared" si="644"/>
        <v/>
      </c>
      <c r="BL1836" s="498" t="str">
        <f t="shared" si="645"/>
        <v/>
      </c>
    </row>
    <row r="1837" spans="1:64" x14ac:dyDescent="0.25">
      <c r="A1837" s="762">
        <f t="shared" si="646"/>
        <v>1832</v>
      </c>
      <c r="B1837" s="229"/>
      <c r="C1837" s="223"/>
      <c r="D1837" s="224"/>
      <c r="E1837" s="225"/>
      <c r="F1837" s="1036" t="str">
        <f t="shared" si="652"/>
        <v/>
      </c>
      <c r="G1837" s="1037" t="str">
        <f t="shared" si="647"/>
        <v/>
      </c>
      <c r="H1837" s="225"/>
      <c r="I1837" s="1013"/>
      <c r="J1837" s="1013"/>
      <c r="K1837" s="1028"/>
      <c r="L1837" s="1035" t="str">
        <f t="shared" si="651"/>
        <v/>
      </c>
      <c r="S1837" s="498"/>
      <c r="AJ1837" s="498"/>
      <c r="AM1837" s="498">
        <f t="shared" si="632"/>
        <v>0</v>
      </c>
      <c r="AN1837" s="498">
        <f t="shared" si="633"/>
        <v>0</v>
      </c>
      <c r="AO1837" s="498">
        <f t="shared" si="634"/>
        <v>0</v>
      </c>
      <c r="AP1837" s="498">
        <f t="shared" si="653"/>
        <v>0</v>
      </c>
      <c r="AQ1837" s="498">
        <f t="shared" si="648"/>
        <v>0</v>
      </c>
      <c r="AU1837" s="498">
        <f t="shared" si="635"/>
        <v>0</v>
      </c>
      <c r="AV1837" s="498">
        <f t="shared" si="636"/>
        <v>0</v>
      </c>
      <c r="AW1837" s="498">
        <f t="shared" si="637"/>
        <v>0</v>
      </c>
      <c r="AX1837" s="498">
        <f t="shared" si="638"/>
        <v>0</v>
      </c>
      <c r="AY1837" s="498">
        <f t="shared" si="639"/>
        <v>0</v>
      </c>
      <c r="BB1837" s="498" t="str">
        <f t="shared" si="640"/>
        <v/>
      </c>
      <c r="BC1837" s="743" t="str">
        <f t="shared" si="641"/>
        <v/>
      </c>
      <c r="BD1837" s="743" t="str">
        <f t="shared" si="642"/>
        <v/>
      </c>
      <c r="BE1837" s="743" t="str">
        <f>IF(D1837="","",VLOOKUP(D1837,'General Basis'!$J$39:$K$46,2,0))</f>
        <v/>
      </c>
      <c r="BF1837" s="744" t="str">
        <f>IF(D1837="","",VLOOKUP(D1837,'General Basis'!$J$39:$L$46,3,0))</f>
        <v/>
      </c>
      <c r="BG1837" s="744" t="str">
        <f t="shared" si="649"/>
        <v/>
      </c>
      <c r="BH1837" s="744" t="str">
        <f>IF(G1837="","",IF(BF1837="Abu Dhabi",IF(G1837&lt;18,'General Basis'!$C$39,IF(G1837&lt;41,'General Basis'!$C$40,IF(G1837&lt;60,'General Basis'!$C$41,IF(G1837&lt;65,'General Basis'!$C$42,'General Basis'!$C$43)))),IF(G1837&lt;11,'General Basis'!$B$39,IF(G1837&lt;18,'General Basis'!$B$40,IF(G1837&lt;26,'General Basis'!$B$41,IF(G1837&lt;31,'General Basis'!$B$42,IF(G1837&lt;36,'General Basis'!$B$43,IF(G1837&lt;41,'General Basis'!$B$44,IF(G1837&lt;46,'General Basis'!$B$45,IF(G1837&lt;51,'General Basis'!$B$46,IF(G1837&lt;56,'General Basis'!$B$47,IF(G1837&lt;60,'General Basis'!$B$48,IF(G1837&lt;65,'General Basis'!$B$49,'General Basis'!$B$50)))))))))))))</f>
        <v/>
      </c>
      <c r="BI1837" s="744" t="str">
        <f t="shared" si="643"/>
        <v/>
      </c>
      <c r="BJ1837" s="747" t="str">
        <f t="shared" si="650"/>
        <v/>
      </c>
      <c r="BK1837" s="498" t="str">
        <f t="shared" si="644"/>
        <v/>
      </c>
      <c r="BL1837" s="498" t="str">
        <f t="shared" si="645"/>
        <v/>
      </c>
    </row>
    <row r="1838" spans="1:64" x14ac:dyDescent="0.25">
      <c r="A1838" s="762">
        <f t="shared" si="646"/>
        <v>1833</v>
      </c>
      <c r="B1838" s="229"/>
      <c r="C1838" s="223"/>
      <c r="D1838" s="224"/>
      <c r="E1838" s="225"/>
      <c r="F1838" s="1036" t="str">
        <f t="shared" si="652"/>
        <v/>
      </c>
      <c r="G1838" s="1037" t="str">
        <f t="shared" si="647"/>
        <v/>
      </c>
      <c r="H1838" s="225"/>
      <c r="I1838" s="1013"/>
      <c r="J1838" s="1013"/>
      <c r="K1838" s="1028"/>
      <c r="L1838" s="1035" t="str">
        <f t="shared" si="651"/>
        <v/>
      </c>
      <c r="S1838" s="498"/>
      <c r="AJ1838" s="498"/>
      <c r="AM1838" s="498">
        <f t="shared" si="632"/>
        <v>0</v>
      </c>
      <c r="AN1838" s="498">
        <f t="shared" si="633"/>
        <v>0</v>
      </c>
      <c r="AO1838" s="498">
        <f t="shared" si="634"/>
        <v>0</v>
      </c>
      <c r="AP1838" s="498">
        <f t="shared" si="653"/>
        <v>0</v>
      </c>
      <c r="AQ1838" s="498">
        <f t="shared" si="648"/>
        <v>0</v>
      </c>
      <c r="AU1838" s="498">
        <f t="shared" si="635"/>
        <v>0</v>
      </c>
      <c r="AV1838" s="498">
        <f t="shared" si="636"/>
        <v>0</v>
      </c>
      <c r="AW1838" s="498">
        <f t="shared" si="637"/>
        <v>0</v>
      </c>
      <c r="AX1838" s="498">
        <f t="shared" si="638"/>
        <v>0</v>
      </c>
      <c r="AY1838" s="498">
        <f t="shared" si="639"/>
        <v>0</v>
      </c>
      <c r="BB1838" s="498" t="str">
        <f t="shared" si="640"/>
        <v/>
      </c>
      <c r="BC1838" s="743" t="str">
        <f t="shared" si="641"/>
        <v/>
      </c>
      <c r="BD1838" s="743" t="str">
        <f t="shared" si="642"/>
        <v/>
      </c>
      <c r="BE1838" s="743" t="str">
        <f>IF(D1838="","",VLOOKUP(D1838,'General Basis'!$J$39:$K$46,2,0))</f>
        <v/>
      </c>
      <c r="BF1838" s="744" t="str">
        <f>IF(D1838="","",VLOOKUP(D1838,'General Basis'!$J$39:$L$46,3,0))</f>
        <v/>
      </c>
      <c r="BG1838" s="744" t="str">
        <f t="shared" si="649"/>
        <v/>
      </c>
      <c r="BH1838" s="744" t="str">
        <f>IF(G1838="","",IF(BF1838="Abu Dhabi",IF(G1838&lt;18,'General Basis'!$C$39,IF(G1838&lt;41,'General Basis'!$C$40,IF(G1838&lt;60,'General Basis'!$C$41,IF(G1838&lt;65,'General Basis'!$C$42,'General Basis'!$C$43)))),IF(G1838&lt;11,'General Basis'!$B$39,IF(G1838&lt;18,'General Basis'!$B$40,IF(G1838&lt;26,'General Basis'!$B$41,IF(G1838&lt;31,'General Basis'!$B$42,IF(G1838&lt;36,'General Basis'!$B$43,IF(G1838&lt;41,'General Basis'!$B$44,IF(G1838&lt;46,'General Basis'!$B$45,IF(G1838&lt;51,'General Basis'!$B$46,IF(G1838&lt;56,'General Basis'!$B$47,IF(G1838&lt;60,'General Basis'!$B$48,IF(G1838&lt;65,'General Basis'!$B$49,'General Basis'!$B$50)))))))))))))</f>
        <v/>
      </c>
      <c r="BI1838" s="744" t="str">
        <f t="shared" si="643"/>
        <v/>
      </c>
      <c r="BJ1838" s="747" t="str">
        <f t="shared" si="650"/>
        <v/>
      </c>
      <c r="BK1838" s="498" t="str">
        <f t="shared" si="644"/>
        <v/>
      </c>
      <c r="BL1838" s="498" t="str">
        <f t="shared" si="645"/>
        <v/>
      </c>
    </row>
    <row r="1839" spans="1:64" x14ac:dyDescent="0.25">
      <c r="A1839" s="762">
        <f t="shared" si="646"/>
        <v>1834</v>
      </c>
      <c r="B1839" s="229"/>
      <c r="C1839" s="223"/>
      <c r="D1839" s="224"/>
      <c r="E1839" s="225"/>
      <c r="F1839" s="1036" t="str">
        <f t="shared" si="652"/>
        <v/>
      </c>
      <c r="G1839" s="1037" t="str">
        <f t="shared" si="647"/>
        <v/>
      </c>
      <c r="H1839" s="225"/>
      <c r="I1839" s="1013"/>
      <c r="J1839" s="1013"/>
      <c r="K1839" s="1028"/>
      <c r="L1839" s="1035" t="str">
        <f t="shared" si="651"/>
        <v/>
      </c>
      <c r="S1839" s="498"/>
      <c r="AJ1839" s="498"/>
      <c r="AM1839" s="498">
        <f t="shared" si="632"/>
        <v>0</v>
      </c>
      <c r="AN1839" s="498">
        <f t="shared" si="633"/>
        <v>0</v>
      </c>
      <c r="AO1839" s="498">
        <f t="shared" si="634"/>
        <v>0</v>
      </c>
      <c r="AP1839" s="498">
        <f t="shared" si="653"/>
        <v>0</v>
      </c>
      <c r="AQ1839" s="498">
        <f t="shared" si="648"/>
        <v>0</v>
      </c>
      <c r="AU1839" s="498">
        <f t="shared" si="635"/>
        <v>0</v>
      </c>
      <c r="AV1839" s="498">
        <f t="shared" si="636"/>
        <v>0</v>
      </c>
      <c r="AW1839" s="498">
        <f t="shared" si="637"/>
        <v>0</v>
      </c>
      <c r="AX1839" s="498">
        <f t="shared" si="638"/>
        <v>0</v>
      </c>
      <c r="AY1839" s="498">
        <f t="shared" si="639"/>
        <v>0</v>
      </c>
      <c r="BB1839" s="498" t="str">
        <f t="shared" si="640"/>
        <v/>
      </c>
      <c r="BC1839" s="743" t="str">
        <f t="shared" si="641"/>
        <v/>
      </c>
      <c r="BD1839" s="743" t="str">
        <f t="shared" si="642"/>
        <v/>
      </c>
      <c r="BE1839" s="743" t="str">
        <f>IF(D1839="","",VLOOKUP(D1839,'General Basis'!$J$39:$K$46,2,0))</f>
        <v/>
      </c>
      <c r="BF1839" s="744" t="str">
        <f>IF(D1839="","",VLOOKUP(D1839,'General Basis'!$J$39:$L$46,3,0))</f>
        <v/>
      </c>
      <c r="BG1839" s="744" t="str">
        <f t="shared" si="649"/>
        <v/>
      </c>
      <c r="BH1839" s="744" t="str">
        <f>IF(G1839="","",IF(BF1839="Abu Dhabi",IF(G1839&lt;18,'General Basis'!$C$39,IF(G1839&lt;41,'General Basis'!$C$40,IF(G1839&lt;60,'General Basis'!$C$41,IF(G1839&lt;65,'General Basis'!$C$42,'General Basis'!$C$43)))),IF(G1839&lt;11,'General Basis'!$B$39,IF(G1839&lt;18,'General Basis'!$B$40,IF(G1839&lt;26,'General Basis'!$B$41,IF(G1839&lt;31,'General Basis'!$B$42,IF(G1839&lt;36,'General Basis'!$B$43,IF(G1839&lt;41,'General Basis'!$B$44,IF(G1839&lt;46,'General Basis'!$B$45,IF(G1839&lt;51,'General Basis'!$B$46,IF(G1839&lt;56,'General Basis'!$B$47,IF(G1839&lt;60,'General Basis'!$B$48,IF(G1839&lt;65,'General Basis'!$B$49,'General Basis'!$B$50)))))))))))))</f>
        <v/>
      </c>
      <c r="BI1839" s="744" t="str">
        <f t="shared" si="643"/>
        <v/>
      </c>
      <c r="BJ1839" s="747" t="str">
        <f t="shared" si="650"/>
        <v/>
      </c>
      <c r="BK1839" s="498" t="str">
        <f t="shared" si="644"/>
        <v/>
      </c>
      <c r="BL1839" s="498" t="str">
        <f t="shared" si="645"/>
        <v/>
      </c>
    </row>
    <row r="1840" spans="1:64" x14ac:dyDescent="0.25">
      <c r="A1840" s="762">
        <f t="shared" si="646"/>
        <v>1835</v>
      </c>
      <c r="B1840" s="229"/>
      <c r="C1840" s="223"/>
      <c r="D1840" s="224"/>
      <c r="E1840" s="225"/>
      <c r="F1840" s="1036" t="str">
        <f t="shared" si="652"/>
        <v/>
      </c>
      <c r="G1840" s="1037" t="str">
        <f t="shared" si="647"/>
        <v/>
      </c>
      <c r="H1840" s="225"/>
      <c r="I1840" s="1013"/>
      <c r="J1840" s="1013"/>
      <c r="K1840" s="1028"/>
      <c r="L1840" s="1035" t="str">
        <f t="shared" si="651"/>
        <v/>
      </c>
      <c r="S1840" s="498"/>
      <c r="AJ1840" s="498"/>
      <c r="AM1840" s="498">
        <f t="shared" si="632"/>
        <v>0</v>
      </c>
      <c r="AN1840" s="498">
        <f t="shared" si="633"/>
        <v>0</v>
      </c>
      <c r="AO1840" s="498">
        <f t="shared" si="634"/>
        <v>0</v>
      </c>
      <c r="AP1840" s="498">
        <f t="shared" si="653"/>
        <v>0</v>
      </c>
      <c r="AQ1840" s="498">
        <f t="shared" si="648"/>
        <v>0</v>
      </c>
      <c r="AU1840" s="498">
        <f t="shared" si="635"/>
        <v>0</v>
      </c>
      <c r="AV1840" s="498">
        <f t="shared" si="636"/>
        <v>0</v>
      </c>
      <c r="AW1840" s="498">
        <f t="shared" si="637"/>
        <v>0</v>
      </c>
      <c r="AX1840" s="498">
        <f t="shared" si="638"/>
        <v>0</v>
      </c>
      <c r="AY1840" s="498">
        <f t="shared" si="639"/>
        <v>0</v>
      </c>
      <c r="BB1840" s="498" t="str">
        <f t="shared" si="640"/>
        <v/>
      </c>
      <c r="BC1840" s="743" t="str">
        <f t="shared" si="641"/>
        <v/>
      </c>
      <c r="BD1840" s="743" t="str">
        <f t="shared" si="642"/>
        <v/>
      </c>
      <c r="BE1840" s="743" t="str">
        <f>IF(D1840="","",VLOOKUP(D1840,'General Basis'!$J$39:$K$46,2,0))</f>
        <v/>
      </c>
      <c r="BF1840" s="744" t="str">
        <f>IF(D1840="","",VLOOKUP(D1840,'General Basis'!$J$39:$L$46,3,0))</f>
        <v/>
      </c>
      <c r="BG1840" s="744" t="str">
        <f t="shared" si="649"/>
        <v/>
      </c>
      <c r="BH1840" s="744" t="str">
        <f>IF(G1840="","",IF(BF1840="Abu Dhabi",IF(G1840&lt;18,'General Basis'!$C$39,IF(G1840&lt;41,'General Basis'!$C$40,IF(G1840&lt;60,'General Basis'!$C$41,IF(G1840&lt;65,'General Basis'!$C$42,'General Basis'!$C$43)))),IF(G1840&lt;11,'General Basis'!$B$39,IF(G1840&lt;18,'General Basis'!$B$40,IF(G1840&lt;26,'General Basis'!$B$41,IF(G1840&lt;31,'General Basis'!$B$42,IF(G1840&lt;36,'General Basis'!$B$43,IF(G1840&lt;41,'General Basis'!$B$44,IF(G1840&lt;46,'General Basis'!$B$45,IF(G1840&lt;51,'General Basis'!$B$46,IF(G1840&lt;56,'General Basis'!$B$47,IF(G1840&lt;60,'General Basis'!$B$48,IF(G1840&lt;65,'General Basis'!$B$49,'General Basis'!$B$50)))))))))))))</f>
        <v/>
      </c>
      <c r="BI1840" s="744" t="str">
        <f t="shared" si="643"/>
        <v/>
      </c>
      <c r="BJ1840" s="747" t="str">
        <f t="shared" si="650"/>
        <v/>
      </c>
      <c r="BK1840" s="498" t="str">
        <f t="shared" si="644"/>
        <v/>
      </c>
      <c r="BL1840" s="498" t="str">
        <f t="shared" si="645"/>
        <v/>
      </c>
    </row>
    <row r="1841" spans="1:64" x14ac:dyDescent="0.25">
      <c r="A1841" s="762">
        <f t="shared" si="646"/>
        <v>1836</v>
      </c>
      <c r="B1841" s="229"/>
      <c r="C1841" s="223"/>
      <c r="D1841" s="224"/>
      <c r="E1841" s="225"/>
      <c r="F1841" s="1036" t="str">
        <f t="shared" si="652"/>
        <v/>
      </c>
      <c r="G1841" s="1037" t="str">
        <f t="shared" si="647"/>
        <v/>
      </c>
      <c r="H1841" s="225"/>
      <c r="I1841" s="1013"/>
      <c r="J1841" s="1013"/>
      <c r="K1841" s="1028"/>
      <c r="L1841" s="1035" t="str">
        <f t="shared" si="651"/>
        <v/>
      </c>
      <c r="S1841" s="498"/>
      <c r="AJ1841" s="498"/>
      <c r="AM1841" s="498">
        <f t="shared" si="632"/>
        <v>0</v>
      </c>
      <c r="AN1841" s="498">
        <f t="shared" si="633"/>
        <v>0</v>
      </c>
      <c r="AO1841" s="498">
        <f t="shared" si="634"/>
        <v>0</v>
      </c>
      <c r="AP1841" s="498">
        <f t="shared" si="653"/>
        <v>0</v>
      </c>
      <c r="AQ1841" s="498">
        <f t="shared" si="648"/>
        <v>0</v>
      </c>
      <c r="AU1841" s="498">
        <f t="shared" si="635"/>
        <v>0</v>
      </c>
      <c r="AV1841" s="498">
        <f t="shared" si="636"/>
        <v>0</v>
      </c>
      <c r="AW1841" s="498">
        <f t="shared" si="637"/>
        <v>0</v>
      </c>
      <c r="AX1841" s="498">
        <f t="shared" si="638"/>
        <v>0</v>
      </c>
      <c r="AY1841" s="498">
        <f t="shared" si="639"/>
        <v>0</v>
      </c>
      <c r="BB1841" s="498" t="str">
        <f t="shared" si="640"/>
        <v/>
      </c>
      <c r="BC1841" s="743" t="str">
        <f t="shared" si="641"/>
        <v/>
      </c>
      <c r="BD1841" s="743" t="str">
        <f t="shared" si="642"/>
        <v/>
      </c>
      <c r="BE1841" s="743" t="str">
        <f>IF(D1841="","",VLOOKUP(D1841,'General Basis'!$J$39:$K$46,2,0))</f>
        <v/>
      </c>
      <c r="BF1841" s="744" t="str">
        <f>IF(D1841="","",VLOOKUP(D1841,'General Basis'!$J$39:$L$46,3,0))</f>
        <v/>
      </c>
      <c r="BG1841" s="744" t="str">
        <f t="shared" si="649"/>
        <v/>
      </c>
      <c r="BH1841" s="744" t="str">
        <f>IF(G1841="","",IF(BF1841="Abu Dhabi",IF(G1841&lt;18,'General Basis'!$C$39,IF(G1841&lt;41,'General Basis'!$C$40,IF(G1841&lt;60,'General Basis'!$C$41,IF(G1841&lt;65,'General Basis'!$C$42,'General Basis'!$C$43)))),IF(G1841&lt;11,'General Basis'!$B$39,IF(G1841&lt;18,'General Basis'!$B$40,IF(G1841&lt;26,'General Basis'!$B$41,IF(G1841&lt;31,'General Basis'!$B$42,IF(G1841&lt;36,'General Basis'!$B$43,IF(G1841&lt;41,'General Basis'!$B$44,IF(G1841&lt;46,'General Basis'!$B$45,IF(G1841&lt;51,'General Basis'!$B$46,IF(G1841&lt;56,'General Basis'!$B$47,IF(G1841&lt;60,'General Basis'!$B$48,IF(G1841&lt;65,'General Basis'!$B$49,'General Basis'!$B$50)))))))))))))</f>
        <v/>
      </c>
      <c r="BI1841" s="744" t="str">
        <f t="shared" si="643"/>
        <v/>
      </c>
      <c r="BJ1841" s="747" t="str">
        <f t="shared" si="650"/>
        <v/>
      </c>
      <c r="BK1841" s="498" t="str">
        <f t="shared" si="644"/>
        <v/>
      </c>
      <c r="BL1841" s="498" t="str">
        <f t="shared" si="645"/>
        <v/>
      </c>
    </row>
    <row r="1842" spans="1:64" x14ac:dyDescent="0.25">
      <c r="A1842" s="762">
        <f t="shared" si="646"/>
        <v>1837</v>
      </c>
      <c r="B1842" s="229"/>
      <c r="C1842" s="223"/>
      <c r="D1842" s="224"/>
      <c r="E1842" s="225"/>
      <c r="F1842" s="1036" t="str">
        <f t="shared" si="652"/>
        <v/>
      </c>
      <c r="G1842" s="1037" t="str">
        <f t="shared" si="647"/>
        <v/>
      </c>
      <c r="H1842" s="225"/>
      <c r="I1842" s="1013"/>
      <c r="J1842" s="1013"/>
      <c r="K1842" s="1028"/>
      <c r="L1842" s="1035" t="str">
        <f t="shared" si="651"/>
        <v/>
      </c>
      <c r="S1842" s="498"/>
      <c r="AJ1842" s="498"/>
      <c r="AM1842" s="498">
        <f t="shared" si="632"/>
        <v>0</v>
      </c>
      <c r="AN1842" s="498">
        <f t="shared" si="633"/>
        <v>0</v>
      </c>
      <c r="AO1842" s="498">
        <f t="shared" si="634"/>
        <v>0</v>
      </c>
      <c r="AP1842" s="498">
        <f t="shared" si="653"/>
        <v>0</v>
      </c>
      <c r="AQ1842" s="498">
        <f t="shared" si="648"/>
        <v>0</v>
      </c>
      <c r="AU1842" s="498">
        <f t="shared" si="635"/>
        <v>0</v>
      </c>
      <c r="AV1842" s="498">
        <f t="shared" si="636"/>
        <v>0</v>
      </c>
      <c r="AW1842" s="498">
        <f t="shared" si="637"/>
        <v>0</v>
      </c>
      <c r="AX1842" s="498">
        <f t="shared" si="638"/>
        <v>0</v>
      </c>
      <c r="AY1842" s="498">
        <f t="shared" si="639"/>
        <v>0</v>
      </c>
      <c r="BB1842" s="498" t="str">
        <f t="shared" si="640"/>
        <v/>
      </c>
      <c r="BC1842" s="743" t="str">
        <f t="shared" si="641"/>
        <v/>
      </c>
      <c r="BD1842" s="743" t="str">
        <f t="shared" si="642"/>
        <v/>
      </c>
      <c r="BE1842" s="743" t="str">
        <f>IF(D1842="","",VLOOKUP(D1842,'General Basis'!$J$39:$K$46,2,0))</f>
        <v/>
      </c>
      <c r="BF1842" s="744" t="str">
        <f>IF(D1842="","",VLOOKUP(D1842,'General Basis'!$J$39:$L$46,3,0))</f>
        <v/>
      </c>
      <c r="BG1842" s="744" t="str">
        <f t="shared" si="649"/>
        <v/>
      </c>
      <c r="BH1842" s="744" t="str">
        <f>IF(G1842="","",IF(BF1842="Abu Dhabi",IF(G1842&lt;18,'General Basis'!$C$39,IF(G1842&lt;41,'General Basis'!$C$40,IF(G1842&lt;60,'General Basis'!$C$41,IF(G1842&lt;65,'General Basis'!$C$42,'General Basis'!$C$43)))),IF(G1842&lt;11,'General Basis'!$B$39,IF(G1842&lt;18,'General Basis'!$B$40,IF(G1842&lt;26,'General Basis'!$B$41,IF(G1842&lt;31,'General Basis'!$B$42,IF(G1842&lt;36,'General Basis'!$B$43,IF(G1842&lt;41,'General Basis'!$B$44,IF(G1842&lt;46,'General Basis'!$B$45,IF(G1842&lt;51,'General Basis'!$B$46,IF(G1842&lt;56,'General Basis'!$B$47,IF(G1842&lt;60,'General Basis'!$B$48,IF(G1842&lt;65,'General Basis'!$B$49,'General Basis'!$B$50)))))))))))))</f>
        <v/>
      </c>
      <c r="BI1842" s="744" t="str">
        <f t="shared" si="643"/>
        <v/>
      </c>
      <c r="BJ1842" s="747" t="str">
        <f t="shared" si="650"/>
        <v/>
      </c>
      <c r="BK1842" s="498" t="str">
        <f t="shared" si="644"/>
        <v/>
      </c>
      <c r="BL1842" s="498" t="str">
        <f t="shared" si="645"/>
        <v/>
      </c>
    </row>
    <row r="1843" spans="1:64" x14ac:dyDescent="0.25">
      <c r="A1843" s="762">
        <f t="shared" si="646"/>
        <v>1838</v>
      </c>
      <c r="B1843" s="229"/>
      <c r="C1843" s="223"/>
      <c r="D1843" s="224"/>
      <c r="E1843" s="225"/>
      <c r="F1843" s="1036" t="str">
        <f t="shared" si="652"/>
        <v/>
      </c>
      <c r="G1843" s="1037" t="str">
        <f t="shared" si="647"/>
        <v/>
      </c>
      <c r="H1843" s="225"/>
      <c r="I1843" s="1013"/>
      <c r="J1843" s="1013"/>
      <c r="K1843" s="1028"/>
      <c r="L1843" s="1035" t="str">
        <f t="shared" si="651"/>
        <v/>
      </c>
      <c r="S1843" s="498"/>
      <c r="AJ1843" s="498"/>
      <c r="AM1843" s="498">
        <f t="shared" si="632"/>
        <v>0</v>
      </c>
      <c r="AN1843" s="498">
        <f t="shared" si="633"/>
        <v>0</v>
      </c>
      <c r="AO1843" s="498">
        <f t="shared" si="634"/>
        <v>0</v>
      </c>
      <c r="AP1843" s="498">
        <f t="shared" si="653"/>
        <v>0</v>
      </c>
      <c r="AQ1843" s="498">
        <f t="shared" si="648"/>
        <v>0</v>
      </c>
      <c r="AU1843" s="498">
        <f t="shared" si="635"/>
        <v>0</v>
      </c>
      <c r="AV1843" s="498">
        <f t="shared" si="636"/>
        <v>0</v>
      </c>
      <c r="AW1843" s="498">
        <f t="shared" si="637"/>
        <v>0</v>
      </c>
      <c r="AX1843" s="498">
        <f t="shared" si="638"/>
        <v>0</v>
      </c>
      <c r="AY1843" s="498">
        <f t="shared" si="639"/>
        <v>0</v>
      </c>
      <c r="BB1843" s="498" t="str">
        <f t="shared" si="640"/>
        <v/>
      </c>
      <c r="BC1843" s="743" t="str">
        <f t="shared" si="641"/>
        <v/>
      </c>
      <c r="BD1843" s="743" t="str">
        <f t="shared" si="642"/>
        <v/>
      </c>
      <c r="BE1843" s="743" t="str">
        <f>IF(D1843="","",VLOOKUP(D1843,'General Basis'!$J$39:$K$46,2,0))</f>
        <v/>
      </c>
      <c r="BF1843" s="744" t="str">
        <f>IF(D1843="","",VLOOKUP(D1843,'General Basis'!$J$39:$L$46,3,0))</f>
        <v/>
      </c>
      <c r="BG1843" s="744" t="str">
        <f t="shared" si="649"/>
        <v/>
      </c>
      <c r="BH1843" s="744" t="str">
        <f>IF(G1843="","",IF(BF1843="Abu Dhabi",IF(G1843&lt;18,'General Basis'!$C$39,IF(G1843&lt;41,'General Basis'!$C$40,IF(G1843&lt;60,'General Basis'!$C$41,IF(G1843&lt;65,'General Basis'!$C$42,'General Basis'!$C$43)))),IF(G1843&lt;11,'General Basis'!$B$39,IF(G1843&lt;18,'General Basis'!$B$40,IF(G1843&lt;26,'General Basis'!$B$41,IF(G1843&lt;31,'General Basis'!$B$42,IF(G1843&lt;36,'General Basis'!$B$43,IF(G1843&lt;41,'General Basis'!$B$44,IF(G1843&lt;46,'General Basis'!$B$45,IF(G1843&lt;51,'General Basis'!$B$46,IF(G1843&lt;56,'General Basis'!$B$47,IF(G1843&lt;60,'General Basis'!$B$48,IF(G1843&lt;65,'General Basis'!$B$49,'General Basis'!$B$50)))))))))))))</f>
        <v/>
      </c>
      <c r="BI1843" s="744" t="str">
        <f t="shared" si="643"/>
        <v/>
      </c>
      <c r="BJ1843" s="747" t="str">
        <f t="shared" si="650"/>
        <v/>
      </c>
      <c r="BK1843" s="498" t="str">
        <f t="shared" si="644"/>
        <v/>
      </c>
      <c r="BL1843" s="498" t="str">
        <f t="shared" si="645"/>
        <v/>
      </c>
    </row>
    <row r="1844" spans="1:64" x14ac:dyDescent="0.25">
      <c r="A1844" s="762">
        <f t="shared" si="646"/>
        <v>1839</v>
      </c>
      <c r="B1844" s="229"/>
      <c r="C1844" s="223"/>
      <c r="D1844" s="224"/>
      <c r="E1844" s="225"/>
      <c r="F1844" s="1036" t="str">
        <f t="shared" si="652"/>
        <v/>
      </c>
      <c r="G1844" s="1037" t="str">
        <f t="shared" si="647"/>
        <v/>
      </c>
      <c r="H1844" s="225"/>
      <c r="I1844" s="1013"/>
      <c r="J1844" s="1013"/>
      <c r="K1844" s="1028"/>
      <c r="L1844" s="1035" t="str">
        <f t="shared" si="651"/>
        <v/>
      </c>
      <c r="S1844" s="498"/>
      <c r="AJ1844" s="498"/>
      <c r="AM1844" s="498">
        <f t="shared" si="632"/>
        <v>0</v>
      </c>
      <c r="AN1844" s="498">
        <f t="shared" si="633"/>
        <v>0</v>
      </c>
      <c r="AO1844" s="498">
        <f t="shared" si="634"/>
        <v>0</v>
      </c>
      <c r="AP1844" s="498">
        <f t="shared" si="653"/>
        <v>0</v>
      </c>
      <c r="AQ1844" s="498">
        <f t="shared" si="648"/>
        <v>0</v>
      </c>
      <c r="AU1844" s="498">
        <f t="shared" si="635"/>
        <v>0</v>
      </c>
      <c r="AV1844" s="498">
        <f t="shared" si="636"/>
        <v>0</v>
      </c>
      <c r="AW1844" s="498">
        <f t="shared" si="637"/>
        <v>0</v>
      </c>
      <c r="AX1844" s="498">
        <f t="shared" si="638"/>
        <v>0</v>
      </c>
      <c r="AY1844" s="498">
        <f t="shared" si="639"/>
        <v>0</v>
      </c>
      <c r="BB1844" s="498" t="str">
        <f t="shared" si="640"/>
        <v/>
      </c>
      <c r="BC1844" s="743" t="str">
        <f t="shared" si="641"/>
        <v/>
      </c>
      <c r="BD1844" s="743" t="str">
        <f t="shared" si="642"/>
        <v/>
      </c>
      <c r="BE1844" s="743" t="str">
        <f>IF(D1844="","",VLOOKUP(D1844,'General Basis'!$J$39:$K$46,2,0))</f>
        <v/>
      </c>
      <c r="BF1844" s="744" t="str">
        <f>IF(D1844="","",VLOOKUP(D1844,'General Basis'!$J$39:$L$46,3,0))</f>
        <v/>
      </c>
      <c r="BG1844" s="744" t="str">
        <f t="shared" si="649"/>
        <v/>
      </c>
      <c r="BH1844" s="744" t="str">
        <f>IF(G1844="","",IF(BF1844="Abu Dhabi",IF(G1844&lt;18,'General Basis'!$C$39,IF(G1844&lt;41,'General Basis'!$C$40,IF(G1844&lt;60,'General Basis'!$C$41,IF(G1844&lt;65,'General Basis'!$C$42,'General Basis'!$C$43)))),IF(G1844&lt;11,'General Basis'!$B$39,IF(G1844&lt;18,'General Basis'!$B$40,IF(G1844&lt;26,'General Basis'!$B$41,IF(G1844&lt;31,'General Basis'!$B$42,IF(G1844&lt;36,'General Basis'!$B$43,IF(G1844&lt;41,'General Basis'!$B$44,IF(G1844&lt;46,'General Basis'!$B$45,IF(G1844&lt;51,'General Basis'!$B$46,IF(G1844&lt;56,'General Basis'!$B$47,IF(G1844&lt;60,'General Basis'!$B$48,IF(G1844&lt;65,'General Basis'!$B$49,'General Basis'!$B$50)))))))))))))</f>
        <v/>
      </c>
      <c r="BI1844" s="744" t="str">
        <f t="shared" si="643"/>
        <v/>
      </c>
      <c r="BJ1844" s="747" t="str">
        <f t="shared" si="650"/>
        <v/>
      </c>
      <c r="BK1844" s="498" t="str">
        <f t="shared" si="644"/>
        <v/>
      </c>
      <c r="BL1844" s="498" t="str">
        <f t="shared" si="645"/>
        <v/>
      </c>
    </row>
    <row r="1845" spans="1:64" x14ac:dyDescent="0.25">
      <c r="A1845" s="762">
        <f t="shared" si="646"/>
        <v>1840</v>
      </c>
      <c r="B1845" s="229"/>
      <c r="C1845" s="223"/>
      <c r="D1845" s="224"/>
      <c r="E1845" s="225"/>
      <c r="F1845" s="1036" t="str">
        <f t="shared" si="652"/>
        <v/>
      </c>
      <c r="G1845" s="1037" t="str">
        <f t="shared" si="647"/>
        <v/>
      </c>
      <c r="H1845" s="225"/>
      <c r="I1845" s="1013"/>
      <c r="J1845" s="1013"/>
      <c r="K1845" s="1028"/>
      <c r="L1845" s="1035" t="str">
        <f t="shared" si="651"/>
        <v/>
      </c>
      <c r="S1845" s="498"/>
      <c r="AJ1845" s="498"/>
      <c r="AM1845" s="498">
        <f t="shared" si="632"/>
        <v>0</v>
      </c>
      <c r="AN1845" s="498">
        <f t="shared" si="633"/>
        <v>0</v>
      </c>
      <c r="AO1845" s="498">
        <f t="shared" si="634"/>
        <v>0</v>
      </c>
      <c r="AP1845" s="498">
        <f t="shared" si="653"/>
        <v>0</v>
      </c>
      <c r="AQ1845" s="498">
        <f t="shared" si="648"/>
        <v>0</v>
      </c>
      <c r="AU1845" s="498">
        <f t="shared" si="635"/>
        <v>0</v>
      </c>
      <c r="AV1845" s="498">
        <f t="shared" si="636"/>
        <v>0</v>
      </c>
      <c r="AW1845" s="498">
        <f t="shared" si="637"/>
        <v>0</v>
      </c>
      <c r="AX1845" s="498">
        <f t="shared" si="638"/>
        <v>0</v>
      </c>
      <c r="AY1845" s="498">
        <f t="shared" si="639"/>
        <v>0</v>
      </c>
      <c r="BB1845" s="498" t="str">
        <f t="shared" si="640"/>
        <v/>
      </c>
      <c r="BC1845" s="743" t="str">
        <f t="shared" si="641"/>
        <v/>
      </c>
      <c r="BD1845" s="743" t="str">
        <f t="shared" si="642"/>
        <v/>
      </c>
      <c r="BE1845" s="743" t="str">
        <f>IF(D1845="","",VLOOKUP(D1845,'General Basis'!$J$39:$K$46,2,0))</f>
        <v/>
      </c>
      <c r="BF1845" s="744" t="str">
        <f>IF(D1845="","",VLOOKUP(D1845,'General Basis'!$J$39:$L$46,3,0))</f>
        <v/>
      </c>
      <c r="BG1845" s="744" t="str">
        <f t="shared" si="649"/>
        <v/>
      </c>
      <c r="BH1845" s="744" t="str">
        <f>IF(G1845="","",IF(BF1845="Abu Dhabi",IF(G1845&lt;18,'General Basis'!$C$39,IF(G1845&lt;41,'General Basis'!$C$40,IF(G1845&lt;60,'General Basis'!$C$41,IF(G1845&lt;65,'General Basis'!$C$42,'General Basis'!$C$43)))),IF(G1845&lt;11,'General Basis'!$B$39,IF(G1845&lt;18,'General Basis'!$B$40,IF(G1845&lt;26,'General Basis'!$B$41,IF(G1845&lt;31,'General Basis'!$B$42,IF(G1845&lt;36,'General Basis'!$B$43,IF(G1845&lt;41,'General Basis'!$B$44,IF(G1845&lt;46,'General Basis'!$B$45,IF(G1845&lt;51,'General Basis'!$B$46,IF(G1845&lt;56,'General Basis'!$B$47,IF(G1845&lt;60,'General Basis'!$B$48,IF(G1845&lt;65,'General Basis'!$B$49,'General Basis'!$B$50)))))))))))))</f>
        <v/>
      </c>
      <c r="BI1845" s="744" t="str">
        <f t="shared" si="643"/>
        <v/>
      </c>
      <c r="BJ1845" s="747" t="str">
        <f t="shared" si="650"/>
        <v/>
      </c>
      <c r="BK1845" s="498" t="str">
        <f t="shared" si="644"/>
        <v/>
      </c>
      <c r="BL1845" s="498" t="str">
        <f t="shared" si="645"/>
        <v/>
      </c>
    </row>
    <row r="1846" spans="1:64" x14ac:dyDescent="0.25">
      <c r="A1846" s="762">
        <f t="shared" si="646"/>
        <v>1841</v>
      </c>
      <c r="B1846" s="229"/>
      <c r="C1846" s="223"/>
      <c r="D1846" s="224"/>
      <c r="E1846" s="225"/>
      <c r="F1846" s="1036" t="str">
        <f t="shared" si="652"/>
        <v/>
      </c>
      <c r="G1846" s="1037" t="str">
        <f t="shared" si="647"/>
        <v/>
      </c>
      <c r="H1846" s="225"/>
      <c r="I1846" s="1013"/>
      <c r="J1846" s="1013"/>
      <c r="K1846" s="1028"/>
      <c r="L1846" s="1035" t="str">
        <f t="shared" si="651"/>
        <v/>
      </c>
      <c r="S1846" s="498"/>
      <c r="AJ1846" s="498"/>
      <c r="AM1846" s="498">
        <f t="shared" si="632"/>
        <v>0</v>
      </c>
      <c r="AN1846" s="498">
        <f t="shared" si="633"/>
        <v>0</v>
      </c>
      <c r="AO1846" s="498">
        <f t="shared" si="634"/>
        <v>0</v>
      </c>
      <c r="AP1846" s="498">
        <f t="shared" si="653"/>
        <v>0</v>
      </c>
      <c r="AQ1846" s="498">
        <f t="shared" si="648"/>
        <v>0</v>
      </c>
      <c r="AU1846" s="498">
        <f t="shared" si="635"/>
        <v>0</v>
      </c>
      <c r="AV1846" s="498">
        <f t="shared" si="636"/>
        <v>0</v>
      </c>
      <c r="AW1846" s="498">
        <f t="shared" si="637"/>
        <v>0</v>
      </c>
      <c r="AX1846" s="498">
        <f t="shared" si="638"/>
        <v>0</v>
      </c>
      <c r="AY1846" s="498">
        <f t="shared" si="639"/>
        <v>0</v>
      </c>
      <c r="BB1846" s="498" t="str">
        <f t="shared" si="640"/>
        <v/>
      </c>
      <c r="BC1846" s="743" t="str">
        <f t="shared" si="641"/>
        <v/>
      </c>
      <c r="BD1846" s="743" t="str">
        <f t="shared" si="642"/>
        <v/>
      </c>
      <c r="BE1846" s="743" t="str">
        <f>IF(D1846="","",VLOOKUP(D1846,'General Basis'!$J$39:$K$46,2,0))</f>
        <v/>
      </c>
      <c r="BF1846" s="744" t="str">
        <f>IF(D1846="","",VLOOKUP(D1846,'General Basis'!$J$39:$L$46,3,0))</f>
        <v/>
      </c>
      <c r="BG1846" s="744" t="str">
        <f t="shared" si="649"/>
        <v/>
      </c>
      <c r="BH1846" s="744" t="str">
        <f>IF(G1846="","",IF(BF1846="Abu Dhabi",IF(G1846&lt;18,'General Basis'!$C$39,IF(G1846&lt;41,'General Basis'!$C$40,IF(G1846&lt;60,'General Basis'!$C$41,IF(G1846&lt;65,'General Basis'!$C$42,'General Basis'!$C$43)))),IF(G1846&lt;11,'General Basis'!$B$39,IF(G1846&lt;18,'General Basis'!$B$40,IF(G1846&lt;26,'General Basis'!$B$41,IF(G1846&lt;31,'General Basis'!$B$42,IF(G1846&lt;36,'General Basis'!$B$43,IF(G1846&lt;41,'General Basis'!$B$44,IF(G1846&lt;46,'General Basis'!$B$45,IF(G1846&lt;51,'General Basis'!$B$46,IF(G1846&lt;56,'General Basis'!$B$47,IF(G1846&lt;60,'General Basis'!$B$48,IF(G1846&lt;65,'General Basis'!$B$49,'General Basis'!$B$50)))))))))))))</f>
        <v/>
      </c>
      <c r="BI1846" s="744" t="str">
        <f t="shared" si="643"/>
        <v/>
      </c>
      <c r="BJ1846" s="747" t="str">
        <f t="shared" si="650"/>
        <v/>
      </c>
      <c r="BK1846" s="498" t="str">
        <f t="shared" si="644"/>
        <v/>
      </c>
      <c r="BL1846" s="498" t="str">
        <f t="shared" si="645"/>
        <v/>
      </c>
    </row>
    <row r="1847" spans="1:64" x14ac:dyDescent="0.25">
      <c r="A1847" s="762">
        <f t="shared" si="646"/>
        <v>1842</v>
      </c>
      <c r="B1847" s="229"/>
      <c r="C1847" s="223"/>
      <c r="D1847" s="224"/>
      <c r="E1847" s="225"/>
      <c r="F1847" s="1036" t="str">
        <f t="shared" si="652"/>
        <v/>
      </c>
      <c r="G1847" s="1037" t="str">
        <f t="shared" si="647"/>
        <v/>
      </c>
      <c r="H1847" s="225"/>
      <c r="I1847" s="1013"/>
      <c r="J1847" s="1013"/>
      <c r="K1847" s="1028"/>
      <c r="L1847" s="1035" t="str">
        <f t="shared" si="651"/>
        <v/>
      </c>
      <c r="S1847" s="498"/>
      <c r="AJ1847" s="498"/>
      <c r="AM1847" s="498">
        <f t="shared" si="632"/>
        <v>0</v>
      </c>
      <c r="AN1847" s="498">
        <f t="shared" si="633"/>
        <v>0</v>
      </c>
      <c r="AO1847" s="498">
        <f t="shared" si="634"/>
        <v>0</v>
      </c>
      <c r="AP1847" s="498">
        <f t="shared" si="653"/>
        <v>0</v>
      </c>
      <c r="AQ1847" s="498">
        <f t="shared" si="648"/>
        <v>0</v>
      </c>
      <c r="AU1847" s="498">
        <f t="shared" si="635"/>
        <v>0</v>
      </c>
      <c r="AV1847" s="498">
        <f t="shared" si="636"/>
        <v>0</v>
      </c>
      <c r="AW1847" s="498">
        <f t="shared" si="637"/>
        <v>0</v>
      </c>
      <c r="AX1847" s="498">
        <f t="shared" si="638"/>
        <v>0</v>
      </c>
      <c r="AY1847" s="498">
        <f t="shared" si="639"/>
        <v>0</v>
      </c>
      <c r="BB1847" s="498" t="str">
        <f t="shared" si="640"/>
        <v/>
      </c>
      <c r="BC1847" s="743" t="str">
        <f t="shared" si="641"/>
        <v/>
      </c>
      <c r="BD1847" s="743" t="str">
        <f t="shared" si="642"/>
        <v/>
      </c>
      <c r="BE1847" s="743" t="str">
        <f>IF(D1847="","",VLOOKUP(D1847,'General Basis'!$J$39:$K$46,2,0))</f>
        <v/>
      </c>
      <c r="BF1847" s="744" t="str">
        <f>IF(D1847="","",VLOOKUP(D1847,'General Basis'!$J$39:$L$46,3,0))</f>
        <v/>
      </c>
      <c r="BG1847" s="744" t="str">
        <f t="shared" si="649"/>
        <v/>
      </c>
      <c r="BH1847" s="744" t="str">
        <f>IF(G1847="","",IF(BF1847="Abu Dhabi",IF(G1847&lt;18,'General Basis'!$C$39,IF(G1847&lt;41,'General Basis'!$C$40,IF(G1847&lt;60,'General Basis'!$C$41,IF(G1847&lt;65,'General Basis'!$C$42,'General Basis'!$C$43)))),IF(G1847&lt;11,'General Basis'!$B$39,IF(G1847&lt;18,'General Basis'!$B$40,IF(G1847&lt;26,'General Basis'!$B$41,IF(G1847&lt;31,'General Basis'!$B$42,IF(G1847&lt;36,'General Basis'!$B$43,IF(G1847&lt;41,'General Basis'!$B$44,IF(G1847&lt;46,'General Basis'!$B$45,IF(G1847&lt;51,'General Basis'!$B$46,IF(G1847&lt;56,'General Basis'!$B$47,IF(G1847&lt;60,'General Basis'!$B$48,IF(G1847&lt;65,'General Basis'!$B$49,'General Basis'!$B$50)))))))))))))</f>
        <v/>
      </c>
      <c r="BI1847" s="744" t="str">
        <f t="shared" si="643"/>
        <v/>
      </c>
      <c r="BJ1847" s="747" t="str">
        <f t="shared" si="650"/>
        <v/>
      </c>
      <c r="BK1847" s="498" t="str">
        <f t="shared" si="644"/>
        <v/>
      </c>
      <c r="BL1847" s="498" t="str">
        <f t="shared" si="645"/>
        <v/>
      </c>
    </row>
    <row r="1848" spans="1:64" x14ac:dyDescent="0.25">
      <c r="A1848" s="762">
        <f t="shared" si="646"/>
        <v>1843</v>
      </c>
      <c r="B1848" s="229"/>
      <c r="C1848" s="223"/>
      <c r="D1848" s="224"/>
      <c r="E1848" s="225"/>
      <c r="F1848" s="1036" t="str">
        <f t="shared" si="652"/>
        <v/>
      </c>
      <c r="G1848" s="1037" t="str">
        <f t="shared" si="647"/>
        <v/>
      </c>
      <c r="H1848" s="225"/>
      <c r="I1848" s="1013"/>
      <c r="J1848" s="1013"/>
      <c r="K1848" s="1028"/>
      <c r="L1848" s="1035" t="str">
        <f t="shared" si="651"/>
        <v/>
      </c>
      <c r="S1848" s="498"/>
      <c r="AJ1848" s="498"/>
      <c r="AM1848" s="498">
        <f t="shared" si="632"/>
        <v>0</v>
      </c>
      <c r="AN1848" s="498">
        <f t="shared" si="633"/>
        <v>0</v>
      </c>
      <c r="AO1848" s="498">
        <f t="shared" si="634"/>
        <v>0</v>
      </c>
      <c r="AP1848" s="498">
        <f t="shared" si="653"/>
        <v>0</v>
      </c>
      <c r="AQ1848" s="498">
        <f t="shared" si="648"/>
        <v>0</v>
      </c>
      <c r="AU1848" s="498">
        <f t="shared" si="635"/>
        <v>0</v>
      </c>
      <c r="AV1848" s="498">
        <f t="shared" si="636"/>
        <v>0</v>
      </c>
      <c r="AW1848" s="498">
        <f t="shared" si="637"/>
        <v>0</v>
      </c>
      <c r="AX1848" s="498">
        <f t="shared" si="638"/>
        <v>0</v>
      </c>
      <c r="AY1848" s="498">
        <f t="shared" si="639"/>
        <v>0</v>
      </c>
      <c r="BB1848" s="498" t="str">
        <f t="shared" si="640"/>
        <v/>
      </c>
      <c r="BC1848" s="743" t="str">
        <f t="shared" si="641"/>
        <v/>
      </c>
      <c r="BD1848" s="743" t="str">
        <f t="shared" si="642"/>
        <v/>
      </c>
      <c r="BE1848" s="743" t="str">
        <f>IF(D1848="","",VLOOKUP(D1848,'General Basis'!$J$39:$K$46,2,0))</f>
        <v/>
      </c>
      <c r="BF1848" s="744" t="str">
        <f>IF(D1848="","",VLOOKUP(D1848,'General Basis'!$J$39:$L$46,3,0))</f>
        <v/>
      </c>
      <c r="BG1848" s="744" t="str">
        <f t="shared" si="649"/>
        <v/>
      </c>
      <c r="BH1848" s="744" t="str">
        <f>IF(G1848="","",IF(BF1848="Abu Dhabi",IF(G1848&lt;18,'General Basis'!$C$39,IF(G1848&lt;41,'General Basis'!$C$40,IF(G1848&lt;60,'General Basis'!$C$41,IF(G1848&lt;65,'General Basis'!$C$42,'General Basis'!$C$43)))),IF(G1848&lt;11,'General Basis'!$B$39,IF(G1848&lt;18,'General Basis'!$B$40,IF(G1848&lt;26,'General Basis'!$B$41,IF(G1848&lt;31,'General Basis'!$B$42,IF(G1848&lt;36,'General Basis'!$B$43,IF(G1848&lt;41,'General Basis'!$B$44,IF(G1848&lt;46,'General Basis'!$B$45,IF(G1848&lt;51,'General Basis'!$B$46,IF(G1848&lt;56,'General Basis'!$B$47,IF(G1848&lt;60,'General Basis'!$B$48,IF(G1848&lt;65,'General Basis'!$B$49,'General Basis'!$B$50)))))))))))))</f>
        <v/>
      </c>
      <c r="BI1848" s="744" t="str">
        <f t="shared" si="643"/>
        <v/>
      </c>
      <c r="BJ1848" s="747" t="str">
        <f t="shared" si="650"/>
        <v/>
      </c>
      <c r="BK1848" s="498" t="str">
        <f t="shared" si="644"/>
        <v/>
      </c>
      <c r="BL1848" s="498" t="str">
        <f t="shared" si="645"/>
        <v/>
      </c>
    </row>
    <row r="1849" spans="1:64" x14ac:dyDescent="0.25">
      <c r="A1849" s="762">
        <f t="shared" si="646"/>
        <v>1844</v>
      </c>
      <c r="B1849" s="229"/>
      <c r="C1849" s="223"/>
      <c r="D1849" s="224"/>
      <c r="E1849" s="225"/>
      <c r="F1849" s="1036" t="str">
        <f t="shared" si="652"/>
        <v/>
      </c>
      <c r="G1849" s="1037" t="str">
        <f t="shared" si="647"/>
        <v/>
      </c>
      <c r="H1849" s="225"/>
      <c r="I1849" s="1013"/>
      <c r="J1849" s="1013"/>
      <c r="K1849" s="1028"/>
      <c r="L1849" s="1035" t="str">
        <f t="shared" si="651"/>
        <v/>
      </c>
      <c r="S1849" s="498"/>
      <c r="AJ1849" s="498"/>
      <c r="AM1849" s="498">
        <f t="shared" si="632"/>
        <v>0</v>
      </c>
      <c r="AN1849" s="498">
        <f t="shared" si="633"/>
        <v>0</v>
      </c>
      <c r="AO1849" s="498">
        <f t="shared" si="634"/>
        <v>0</v>
      </c>
      <c r="AP1849" s="498">
        <f t="shared" si="653"/>
        <v>0</v>
      </c>
      <c r="AQ1849" s="498">
        <f t="shared" si="648"/>
        <v>0</v>
      </c>
      <c r="AU1849" s="498">
        <f t="shared" si="635"/>
        <v>0</v>
      </c>
      <c r="AV1849" s="498">
        <f t="shared" si="636"/>
        <v>0</v>
      </c>
      <c r="AW1849" s="498">
        <f t="shared" si="637"/>
        <v>0</v>
      </c>
      <c r="AX1849" s="498">
        <f t="shared" si="638"/>
        <v>0</v>
      </c>
      <c r="AY1849" s="498">
        <f t="shared" si="639"/>
        <v>0</v>
      </c>
      <c r="BB1849" s="498" t="str">
        <f t="shared" si="640"/>
        <v/>
      </c>
      <c r="BC1849" s="743" t="str">
        <f t="shared" si="641"/>
        <v/>
      </c>
      <c r="BD1849" s="743" t="str">
        <f t="shared" si="642"/>
        <v/>
      </c>
      <c r="BE1849" s="743" t="str">
        <f>IF(D1849="","",VLOOKUP(D1849,'General Basis'!$J$39:$K$46,2,0))</f>
        <v/>
      </c>
      <c r="BF1849" s="744" t="str">
        <f>IF(D1849="","",VLOOKUP(D1849,'General Basis'!$J$39:$L$46,3,0))</f>
        <v/>
      </c>
      <c r="BG1849" s="744" t="str">
        <f t="shared" si="649"/>
        <v/>
      </c>
      <c r="BH1849" s="744" t="str">
        <f>IF(G1849="","",IF(BF1849="Abu Dhabi",IF(G1849&lt;18,'General Basis'!$C$39,IF(G1849&lt;41,'General Basis'!$C$40,IF(G1849&lt;60,'General Basis'!$C$41,IF(G1849&lt;65,'General Basis'!$C$42,'General Basis'!$C$43)))),IF(G1849&lt;11,'General Basis'!$B$39,IF(G1849&lt;18,'General Basis'!$B$40,IF(G1849&lt;26,'General Basis'!$B$41,IF(G1849&lt;31,'General Basis'!$B$42,IF(G1849&lt;36,'General Basis'!$B$43,IF(G1849&lt;41,'General Basis'!$B$44,IF(G1849&lt;46,'General Basis'!$B$45,IF(G1849&lt;51,'General Basis'!$B$46,IF(G1849&lt;56,'General Basis'!$B$47,IF(G1849&lt;60,'General Basis'!$B$48,IF(G1849&lt;65,'General Basis'!$B$49,'General Basis'!$B$50)))))))))))))</f>
        <v/>
      </c>
      <c r="BI1849" s="744" t="str">
        <f t="shared" si="643"/>
        <v/>
      </c>
      <c r="BJ1849" s="747" t="str">
        <f t="shared" si="650"/>
        <v/>
      </c>
      <c r="BK1849" s="498" t="str">
        <f t="shared" si="644"/>
        <v/>
      </c>
      <c r="BL1849" s="498" t="str">
        <f t="shared" si="645"/>
        <v/>
      </c>
    </row>
    <row r="1850" spans="1:64" x14ac:dyDescent="0.25">
      <c r="A1850" s="762">
        <f t="shared" si="646"/>
        <v>1845</v>
      </c>
      <c r="B1850" s="229"/>
      <c r="C1850" s="223"/>
      <c r="D1850" s="224"/>
      <c r="E1850" s="225"/>
      <c r="F1850" s="1036" t="str">
        <f t="shared" si="652"/>
        <v/>
      </c>
      <c r="G1850" s="1037" t="str">
        <f t="shared" si="647"/>
        <v/>
      </c>
      <c r="H1850" s="225"/>
      <c r="I1850" s="1013"/>
      <c r="J1850" s="1013"/>
      <c r="K1850" s="1028"/>
      <c r="L1850" s="1035" t="str">
        <f t="shared" si="651"/>
        <v/>
      </c>
      <c r="S1850" s="498"/>
      <c r="AJ1850" s="498"/>
      <c r="AM1850" s="498">
        <f t="shared" si="632"/>
        <v>0</v>
      </c>
      <c r="AN1850" s="498">
        <f t="shared" si="633"/>
        <v>0</v>
      </c>
      <c r="AO1850" s="498">
        <f t="shared" si="634"/>
        <v>0</v>
      </c>
      <c r="AP1850" s="498">
        <f t="shared" si="653"/>
        <v>0</v>
      </c>
      <c r="AQ1850" s="498">
        <f t="shared" si="648"/>
        <v>0</v>
      </c>
      <c r="AU1850" s="498">
        <f t="shared" si="635"/>
        <v>0</v>
      </c>
      <c r="AV1850" s="498">
        <f t="shared" si="636"/>
        <v>0</v>
      </c>
      <c r="AW1850" s="498">
        <f t="shared" si="637"/>
        <v>0</v>
      </c>
      <c r="AX1850" s="498">
        <f t="shared" si="638"/>
        <v>0</v>
      </c>
      <c r="AY1850" s="498">
        <f t="shared" si="639"/>
        <v>0</v>
      </c>
      <c r="BB1850" s="498" t="str">
        <f t="shared" si="640"/>
        <v/>
      </c>
      <c r="BC1850" s="743" t="str">
        <f t="shared" si="641"/>
        <v/>
      </c>
      <c r="BD1850" s="743" t="str">
        <f t="shared" si="642"/>
        <v/>
      </c>
      <c r="BE1850" s="743" t="str">
        <f>IF(D1850="","",VLOOKUP(D1850,'General Basis'!$J$39:$K$46,2,0))</f>
        <v/>
      </c>
      <c r="BF1850" s="744" t="str">
        <f>IF(D1850="","",VLOOKUP(D1850,'General Basis'!$J$39:$L$46,3,0))</f>
        <v/>
      </c>
      <c r="BG1850" s="744" t="str">
        <f t="shared" si="649"/>
        <v/>
      </c>
      <c r="BH1850" s="744" t="str">
        <f>IF(G1850="","",IF(BF1850="Abu Dhabi",IF(G1850&lt;18,'General Basis'!$C$39,IF(G1850&lt;41,'General Basis'!$C$40,IF(G1850&lt;60,'General Basis'!$C$41,IF(G1850&lt;65,'General Basis'!$C$42,'General Basis'!$C$43)))),IF(G1850&lt;11,'General Basis'!$B$39,IF(G1850&lt;18,'General Basis'!$B$40,IF(G1850&lt;26,'General Basis'!$B$41,IF(G1850&lt;31,'General Basis'!$B$42,IF(G1850&lt;36,'General Basis'!$B$43,IF(G1850&lt;41,'General Basis'!$B$44,IF(G1850&lt;46,'General Basis'!$B$45,IF(G1850&lt;51,'General Basis'!$B$46,IF(G1850&lt;56,'General Basis'!$B$47,IF(G1850&lt;60,'General Basis'!$B$48,IF(G1850&lt;65,'General Basis'!$B$49,'General Basis'!$B$50)))))))))))))</f>
        <v/>
      </c>
      <c r="BI1850" s="744" t="str">
        <f t="shared" si="643"/>
        <v/>
      </c>
      <c r="BJ1850" s="747" t="str">
        <f t="shared" si="650"/>
        <v/>
      </c>
      <c r="BK1850" s="498" t="str">
        <f t="shared" si="644"/>
        <v/>
      </c>
      <c r="BL1850" s="498" t="str">
        <f t="shared" si="645"/>
        <v/>
      </c>
    </row>
    <row r="1851" spans="1:64" x14ac:dyDescent="0.25">
      <c r="A1851" s="762">
        <f t="shared" si="646"/>
        <v>1846</v>
      </c>
      <c r="B1851" s="229"/>
      <c r="C1851" s="223"/>
      <c r="D1851" s="224"/>
      <c r="E1851" s="225"/>
      <c r="F1851" s="1036" t="str">
        <f t="shared" si="652"/>
        <v/>
      </c>
      <c r="G1851" s="1037" t="str">
        <f t="shared" si="647"/>
        <v/>
      </c>
      <c r="H1851" s="225"/>
      <c r="I1851" s="1013"/>
      <c r="J1851" s="1013"/>
      <c r="K1851" s="1028"/>
      <c r="L1851" s="1035" t="str">
        <f t="shared" si="651"/>
        <v/>
      </c>
      <c r="S1851" s="498"/>
      <c r="AJ1851" s="498"/>
      <c r="AM1851" s="498">
        <f t="shared" si="632"/>
        <v>0</v>
      </c>
      <c r="AN1851" s="498">
        <f t="shared" si="633"/>
        <v>0</v>
      </c>
      <c r="AO1851" s="498">
        <f t="shared" si="634"/>
        <v>0</v>
      </c>
      <c r="AP1851" s="498">
        <f t="shared" si="653"/>
        <v>0</v>
      </c>
      <c r="AQ1851" s="498">
        <f t="shared" si="648"/>
        <v>0</v>
      </c>
      <c r="AU1851" s="498">
        <f t="shared" si="635"/>
        <v>0</v>
      </c>
      <c r="AV1851" s="498">
        <f t="shared" si="636"/>
        <v>0</v>
      </c>
      <c r="AW1851" s="498">
        <f t="shared" si="637"/>
        <v>0</v>
      </c>
      <c r="AX1851" s="498">
        <f t="shared" si="638"/>
        <v>0</v>
      </c>
      <c r="AY1851" s="498">
        <f t="shared" si="639"/>
        <v>0</v>
      </c>
      <c r="BB1851" s="498" t="str">
        <f t="shared" si="640"/>
        <v/>
      </c>
      <c r="BC1851" s="743" t="str">
        <f t="shared" si="641"/>
        <v/>
      </c>
      <c r="BD1851" s="743" t="str">
        <f t="shared" si="642"/>
        <v/>
      </c>
      <c r="BE1851" s="743" t="str">
        <f>IF(D1851="","",VLOOKUP(D1851,'General Basis'!$J$39:$K$46,2,0))</f>
        <v/>
      </c>
      <c r="BF1851" s="744" t="str">
        <f>IF(D1851="","",VLOOKUP(D1851,'General Basis'!$J$39:$L$46,3,0))</f>
        <v/>
      </c>
      <c r="BG1851" s="744" t="str">
        <f t="shared" si="649"/>
        <v/>
      </c>
      <c r="BH1851" s="744" t="str">
        <f>IF(G1851="","",IF(BF1851="Abu Dhabi",IF(G1851&lt;18,'General Basis'!$C$39,IF(G1851&lt;41,'General Basis'!$C$40,IF(G1851&lt;60,'General Basis'!$C$41,IF(G1851&lt;65,'General Basis'!$C$42,'General Basis'!$C$43)))),IF(G1851&lt;11,'General Basis'!$B$39,IF(G1851&lt;18,'General Basis'!$B$40,IF(G1851&lt;26,'General Basis'!$B$41,IF(G1851&lt;31,'General Basis'!$B$42,IF(G1851&lt;36,'General Basis'!$B$43,IF(G1851&lt;41,'General Basis'!$B$44,IF(G1851&lt;46,'General Basis'!$B$45,IF(G1851&lt;51,'General Basis'!$B$46,IF(G1851&lt;56,'General Basis'!$B$47,IF(G1851&lt;60,'General Basis'!$B$48,IF(G1851&lt;65,'General Basis'!$B$49,'General Basis'!$B$50)))))))))))))</f>
        <v/>
      </c>
      <c r="BI1851" s="744" t="str">
        <f t="shared" si="643"/>
        <v/>
      </c>
      <c r="BJ1851" s="747" t="str">
        <f t="shared" si="650"/>
        <v/>
      </c>
      <c r="BK1851" s="498" t="str">
        <f t="shared" si="644"/>
        <v/>
      </c>
      <c r="BL1851" s="498" t="str">
        <f t="shared" si="645"/>
        <v/>
      </c>
    </row>
    <row r="1852" spans="1:64" x14ac:dyDescent="0.25">
      <c r="A1852" s="762">
        <f t="shared" si="646"/>
        <v>1847</v>
      </c>
      <c r="B1852" s="229"/>
      <c r="C1852" s="223"/>
      <c r="D1852" s="224"/>
      <c r="E1852" s="225"/>
      <c r="F1852" s="1036" t="str">
        <f t="shared" si="652"/>
        <v/>
      </c>
      <c r="G1852" s="1037" t="str">
        <f t="shared" si="647"/>
        <v/>
      </c>
      <c r="H1852" s="225"/>
      <c r="I1852" s="1013"/>
      <c r="J1852" s="1013"/>
      <c r="K1852" s="1028"/>
      <c r="L1852" s="1035" t="str">
        <f t="shared" si="651"/>
        <v/>
      </c>
      <c r="S1852" s="498"/>
      <c r="AJ1852" s="498"/>
      <c r="AM1852" s="498">
        <f t="shared" si="632"/>
        <v>0</v>
      </c>
      <c r="AN1852" s="498">
        <f t="shared" si="633"/>
        <v>0</v>
      </c>
      <c r="AO1852" s="498">
        <f t="shared" si="634"/>
        <v>0</v>
      </c>
      <c r="AP1852" s="498">
        <f t="shared" si="653"/>
        <v>0</v>
      </c>
      <c r="AQ1852" s="498">
        <f t="shared" si="648"/>
        <v>0</v>
      </c>
      <c r="AU1852" s="498">
        <f t="shared" si="635"/>
        <v>0</v>
      </c>
      <c r="AV1852" s="498">
        <f t="shared" si="636"/>
        <v>0</v>
      </c>
      <c r="AW1852" s="498">
        <f t="shared" si="637"/>
        <v>0</v>
      </c>
      <c r="AX1852" s="498">
        <f t="shared" si="638"/>
        <v>0</v>
      </c>
      <c r="AY1852" s="498">
        <f t="shared" si="639"/>
        <v>0</v>
      </c>
      <c r="BB1852" s="498" t="str">
        <f t="shared" si="640"/>
        <v/>
      </c>
      <c r="BC1852" s="743" t="str">
        <f t="shared" si="641"/>
        <v/>
      </c>
      <c r="BD1852" s="743" t="str">
        <f t="shared" si="642"/>
        <v/>
      </c>
      <c r="BE1852" s="743" t="str">
        <f>IF(D1852="","",VLOOKUP(D1852,'General Basis'!$J$39:$K$46,2,0))</f>
        <v/>
      </c>
      <c r="BF1852" s="744" t="str">
        <f>IF(D1852="","",VLOOKUP(D1852,'General Basis'!$J$39:$L$46,3,0))</f>
        <v/>
      </c>
      <c r="BG1852" s="744" t="str">
        <f t="shared" si="649"/>
        <v/>
      </c>
      <c r="BH1852" s="744" t="str">
        <f>IF(G1852="","",IF(BF1852="Abu Dhabi",IF(G1852&lt;18,'General Basis'!$C$39,IF(G1852&lt;41,'General Basis'!$C$40,IF(G1852&lt;60,'General Basis'!$C$41,IF(G1852&lt;65,'General Basis'!$C$42,'General Basis'!$C$43)))),IF(G1852&lt;11,'General Basis'!$B$39,IF(G1852&lt;18,'General Basis'!$B$40,IF(G1852&lt;26,'General Basis'!$B$41,IF(G1852&lt;31,'General Basis'!$B$42,IF(G1852&lt;36,'General Basis'!$B$43,IF(G1852&lt;41,'General Basis'!$B$44,IF(G1852&lt;46,'General Basis'!$B$45,IF(G1852&lt;51,'General Basis'!$B$46,IF(G1852&lt;56,'General Basis'!$B$47,IF(G1852&lt;60,'General Basis'!$B$48,IF(G1852&lt;65,'General Basis'!$B$49,'General Basis'!$B$50)))))))))))))</f>
        <v/>
      </c>
      <c r="BI1852" s="744" t="str">
        <f t="shared" si="643"/>
        <v/>
      </c>
      <c r="BJ1852" s="747" t="str">
        <f t="shared" si="650"/>
        <v/>
      </c>
      <c r="BK1852" s="498" t="str">
        <f t="shared" si="644"/>
        <v/>
      </c>
      <c r="BL1852" s="498" t="str">
        <f t="shared" si="645"/>
        <v/>
      </c>
    </row>
    <row r="1853" spans="1:64" x14ac:dyDescent="0.25">
      <c r="A1853" s="762">
        <f t="shared" si="646"/>
        <v>1848</v>
      </c>
      <c r="B1853" s="229"/>
      <c r="C1853" s="223"/>
      <c r="D1853" s="224"/>
      <c r="E1853" s="225"/>
      <c r="F1853" s="1036" t="str">
        <f t="shared" si="652"/>
        <v/>
      </c>
      <c r="G1853" s="1037" t="str">
        <f t="shared" si="647"/>
        <v/>
      </c>
      <c r="H1853" s="225"/>
      <c r="I1853" s="1013"/>
      <c r="J1853" s="1013"/>
      <c r="K1853" s="1028"/>
      <c r="L1853" s="1035" t="str">
        <f t="shared" si="651"/>
        <v/>
      </c>
      <c r="S1853" s="498"/>
      <c r="AJ1853" s="498"/>
      <c r="AM1853" s="498">
        <f t="shared" si="632"/>
        <v>0</v>
      </c>
      <c r="AN1853" s="498">
        <f t="shared" si="633"/>
        <v>0</v>
      </c>
      <c r="AO1853" s="498">
        <f t="shared" si="634"/>
        <v>0</v>
      </c>
      <c r="AP1853" s="498">
        <f t="shared" si="653"/>
        <v>0</v>
      </c>
      <c r="AQ1853" s="498">
        <f t="shared" si="648"/>
        <v>0</v>
      </c>
      <c r="AU1853" s="498">
        <f t="shared" si="635"/>
        <v>0</v>
      </c>
      <c r="AV1853" s="498">
        <f t="shared" si="636"/>
        <v>0</v>
      </c>
      <c r="AW1853" s="498">
        <f t="shared" si="637"/>
        <v>0</v>
      </c>
      <c r="AX1853" s="498">
        <f t="shared" si="638"/>
        <v>0</v>
      </c>
      <c r="AY1853" s="498">
        <f t="shared" si="639"/>
        <v>0</v>
      </c>
      <c r="BB1853" s="498" t="str">
        <f t="shared" si="640"/>
        <v/>
      </c>
      <c r="BC1853" s="743" t="str">
        <f t="shared" si="641"/>
        <v/>
      </c>
      <c r="BD1853" s="743" t="str">
        <f t="shared" si="642"/>
        <v/>
      </c>
      <c r="BE1853" s="743" t="str">
        <f>IF(D1853="","",VLOOKUP(D1853,'General Basis'!$J$39:$K$46,2,0))</f>
        <v/>
      </c>
      <c r="BF1853" s="744" t="str">
        <f>IF(D1853="","",VLOOKUP(D1853,'General Basis'!$J$39:$L$46,3,0))</f>
        <v/>
      </c>
      <c r="BG1853" s="744" t="str">
        <f t="shared" si="649"/>
        <v/>
      </c>
      <c r="BH1853" s="744" t="str">
        <f>IF(G1853="","",IF(BF1853="Abu Dhabi",IF(G1853&lt;18,'General Basis'!$C$39,IF(G1853&lt;41,'General Basis'!$C$40,IF(G1853&lt;60,'General Basis'!$C$41,IF(G1853&lt;65,'General Basis'!$C$42,'General Basis'!$C$43)))),IF(G1853&lt;11,'General Basis'!$B$39,IF(G1853&lt;18,'General Basis'!$B$40,IF(G1853&lt;26,'General Basis'!$B$41,IF(G1853&lt;31,'General Basis'!$B$42,IF(G1853&lt;36,'General Basis'!$B$43,IF(G1853&lt;41,'General Basis'!$B$44,IF(G1853&lt;46,'General Basis'!$B$45,IF(G1853&lt;51,'General Basis'!$B$46,IF(G1853&lt;56,'General Basis'!$B$47,IF(G1853&lt;60,'General Basis'!$B$48,IF(G1853&lt;65,'General Basis'!$B$49,'General Basis'!$B$50)))))))))))))</f>
        <v/>
      </c>
      <c r="BI1853" s="744" t="str">
        <f t="shared" si="643"/>
        <v/>
      </c>
      <c r="BJ1853" s="747" t="str">
        <f t="shared" si="650"/>
        <v/>
      </c>
      <c r="BK1853" s="498" t="str">
        <f t="shared" si="644"/>
        <v/>
      </c>
      <c r="BL1853" s="498" t="str">
        <f t="shared" si="645"/>
        <v/>
      </c>
    </row>
    <row r="1854" spans="1:64" x14ac:dyDescent="0.25">
      <c r="A1854" s="762">
        <f t="shared" si="646"/>
        <v>1849</v>
      </c>
      <c r="B1854" s="229"/>
      <c r="C1854" s="223"/>
      <c r="D1854" s="224"/>
      <c r="E1854" s="225"/>
      <c r="F1854" s="1036" t="str">
        <f t="shared" si="652"/>
        <v/>
      </c>
      <c r="G1854" s="1037" t="str">
        <f t="shared" si="647"/>
        <v/>
      </c>
      <c r="H1854" s="225"/>
      <c r="I1854" s="1013"/>
      <c r="J1854" s="1013"/>
      <c r="K1854" s="1028"/>
      <c r="L1854" s="1035" t="str">
        <f t="shared" si="651"/>
        <v/>
      </c>
      <c r="S1854" s="498"/>
      <c r="AJ1854" s="498"/>
      <c r="AM1854" s="498">
        <f t="shared" si="632"/>
        <v>0</v>
      </c>
      <c r="AN1854" s="498">
        <f t="shared" si="633"/>
        <v>0</v>
      </c>
      <c r="AO1854" s="498">
        <f t="shared" si="634"/>
        <v>0</v>
      </c>
      <c r="AP1854" s="498">
        <f t="shared" si="653"/>
        <v>0</v>
      </c>
      <c r="AQ1854" s="498">
        <f t="shared" si="648"/>
        <v>0</v>
      </c>
      <c r="AU1854" s="498">
        <f t="shared" si="635"/>
        <v>0</v>
      </c>
      <c r="AV1854" s="498">
        <f t="shared" si="636"/>
        <v>0</v>
      </c>
      <c r="AW1854" s="498">
        <f t="shared" si="637"/>
        <v>0</v>
      </c>
      <c r="AX1854" s="498">
        <f t="shared" si="638"/>
        <v>0</v>
      </c>
      <c r="AY1854" s="498">
        <f t="shared" si="639"/>
        <v>0</v>
      </c>
      <c r="BB1854" s="498" t="str">
        <f t="shared" si="640"/>
        <v/>
      </c>
      <c r="BC1854" s="743" t="str">
        <f t="shared" si="641"/>
        <v/>
      </c>
      <c r="BD1854" s="743" t="str">
        <f t="shared" si="642"/>
        <v/>
      </c>
      <c r="BE1854" s="743" t="str">
        <f>IF(D1854="","",VLOOKUP(D1854,'General Basis'!$J$39:$K$46,2,0))</f>
        <v/>
      </c>
      <c r="BF1854" s="744" t="str">
        <f>IF(D1854="","",VLOOKUP(D1854,'General Basis'!$J$39:$L$46,3,0))</f>
        <v/>
      </c>
      <c r="BG1854" s="744" t="str">
        <f t="shared" si="649"/>
        <v/>
      </c>
      <c r="BH1854" s="744" t="str">
        <f>IF(G1854="","",IF(BF1854="Abu Dhabi",IF(G1854&lt;18,'General Basis'!$C$39,IF(G1854&lt;41,'General Basis'!$C$40,IF(G1854&lt;60,'General Basis'!$C$41,IF(G1854&lt;65,'General Basis'!$C$42,'General Basis'!$C$43)))),IF(G1854&lt;11,'General Basis'!$B$39,IF(G1854&lt;18,'General Basis'!$B$40,IF(G1854&lt;26,'General Basis'!$B$41,IF(G1854&lt;31,'General Basis'!$B$42,IF(G1854&lt;36,'General Basis'!$B$43,IF(G1854&lt;41,'General Basis'!$B$44,IF(G1854&lt;46,'General Basis'!$B$45,IF(G1854&lt;51,'General Basis'!$B$46,IF(G1854&lt;56,'General Basis'!$B$47,IF(G1854&lt;60,'General Basis'!$B$48,IF(G1854&lt;65,'General Basis'!$B$49,'General Basis'!$B$50)))))))))))))</f>
        <v/>
      </c>
      <c r="BI1854" s="744" t="str">
        <f t="shared" si="643"/>
        <v/>
      </c>
      <c r="BJ1854" s="747" t="str">
        <f t="shared" si="650"/>
        <v/>
      </c>
      <c r="BK1854" s="498" t="str">
        <f t="shared" si="644"/>
        <v/>
      </c>
      <c r="BL1854" s="498" t="str">
        <f t="shared" si="645"/>
        <v/>
      </c>
    </row>
    <row r="1855" spans="1:64" x14ac:dyDescent="0.25">
      <c r="A1855" s="762">
        <f t="shared" si="646"/>
        <v>1850</v>
      </c>
      <c r="B1855" s="229"/>
      <c r="C1855" s="223"/>
      <c r="D1855" s="224"/>
      <c r="E1855" s="225"/>
      <c r="F1855" s="1036" t="str">
        <f t="shared" si="652"/>
        <v/>
      </c>
      <c r="G1855" s="1037" t="str">
        <f t="shared" si="647"/>
        <v/>
      </c>
      <c r="H1855" s="225"/>
      <c r="I1855" s="1013"/>
      <c r="J1855" s="1013"/>
      <c r="K1855" s="1028"/>
      <c r="L1855" s="1035" t="str">
        <f t="shared" si="651"/>
        <v/>
      </c>
      <c r="S1855" s="498"/>
      <c r="AJ1855" s="498"/>
      <c r="AM1855" s="498">
        <f t="shared" si="632"/>
        <v>0</v>
      </c>
      <c r="AN1855" s="498">
        <f t="shared" si="633"/>
        <v>0</v>
      </c>
      <c r="AO1855" s="498">
        <f t="shared" si="634"/>
        <v>0</v>
      </c>
      <c r="AP1855" s="498">
        <f t="shared" si="653"/>
        <v>0</v>
      </c>
      <c r="AQ1855" s="498">
        <f t="shared" si="648"/>
        <v>0</v>
      </c>
      <c r="AU1855" s="498">
        <f t="shared" si="635"/>
        <v>0</v>
      </c>
      <c r="AV1855" s="498">
        <f t="shared" si="636"/>
        <v>0</v>
      </c>
      <c r="AW1855" s="498">
        <f t="shared" si="637"/>
        <v>0</v>
      </c>
      <c r="AX1855" s="498">
        <f t="shared" si="638"/>
        <v>0</v>
      </c>
      <c r="AY1855" s="498">
        <f t="shared" si="639"/>
        <v>0</v>
      </c>
      <c r="BB1855" s="498" t="str">
        <f t="shared" si="640"/>
        <v/>
      </c>
      <c r="BC1855" s="743" t="str">
        <f t="shared" si="641"/>
        <v/>
      </c>
      <c r="BD1855" s="743" t="str">
        <f t="shared" si="642"/>
        <v/>
      </c>
      <c r="BE1855" s="743" t="str">
        <f>IF(D1855="","",VLOOKUP(D1855,'General Basis'!$J$39:$K$46,2,0))</f>
        <v/>
      </c>
      <c r="BF1855" s="744" t="str">
        <f>IF(D1855="","",VLOOKUP(D1855,'General Basis'!$J$39:$L$46,3,0))</f>
        <v/>
      </c>
      <c r="BG1855" s="744" t="str">
        <f t="shared" si="649"/>
        <v/>
      </c>
      <c r="BH1855" s="744" t="str">
        <f>IF(G1855="","",IF(BF1855="Abu Dhabi",IF(G1855&lt;18,'General Basis'!$C$39,IF(G1855&lt;41,'General Basis'!$C$40,IF(G1855&lt;60,'General Basis'!$C$41,IF(G1855&lt;65,'General Basis'!$C$42,'General Basis'!$C$43)))),IF(G1855&lt;11,'General Basis'!$B$39,IF(G1855&lt;18,'General Basis'!$B$40,IF(G1855&lt;26,'General Basis'!$B$41,IF(G1855&lt;31,'General Basis'!$B$42,IF(G1855&lt;36,'General Basis'!$B$43,IF(G1855&lt;41,'General Basis'!$B$44,IF(G1855&lt;46,'General Basis'!$B$45,IF(G1855&lt;51,'General Basis'!$B$46,IF(G1855&lt;56,'General Basis'!$B$47,IF(G1855&lt;60,'General Basis'!$B$48,IF(G1855&lt;65,'General Basis'!$B$49,'General Basis'!$B$50)))))))))))))</f>
        <v/>
      </c>
      <c r="BI1855" s="744" t="str">
        <f t="shared" si="643"/>
        <v/>
      </c>
      <c r="BJ1855" s="747" t="str">
        <f t="shared" si="650"/>
        <v/>
      </c>
      <c r="BK1855" s="498" t="str">
        <f t="shared" si="644"/>
        <v/>
      </c>
      <c r="BL1855" s="498" t="str">
        <f t="shared" si="645"/>
        <v/>
      </c>
    </row>
    <row r="1856" spans="1:64" x14ac:dyDescent="0.25">
      <c r="A1856" s="762">
        <f t="shared" si="646"/>
        <v>1851</v>
      </c>
      <c r="B1856" s="229"/>
      <c r="C1856" s="223"/>
      <c r="D1856" s="224"/>
      <c r="E1856" s="225"/>
      <c r="F1856" s="1036" t="str">
        <f t="shared" si="652"/>
        <v/>
      </c>
      <c r="G1856" s="1037" t="str">
        <f t="shared" si="647"/>
        <v/>
      </c>
      <c r="H1856" s="225"/>
      <c r="I1856" s="1013"/>
      <c r="J1856" s="1013"/>
      <c r="K1856" s="1028"/>
      <c r="L1856" s="1035" t="str">
        <f t="shared" si="651"/>
        <v/>
      </c>
      <c r="S1856" s="498"/>
      <c r="AJ1856" s="498"/>
      <c r="AM1856" s="498">
        <f t="shared" si="632"/>
        <v>0</v>
      </c>
      <c r="AN1856" s="498">
        <f t="shared" si="633"/>
        <v>0</v>
      </c>
      <c r="AO1856" s="498">
        <f t="shared" si="634"/>
        <v>0</v>
      </c>
      <c r="AP1856" s="498">
        <f t="shared" si="653"/>
        <v>0</v>
      </c>
      <c r="AQ1856" s="498">
        <f t="shared" si="648"/>
        <v>0</v>
      </c>
      <c r="AU1856" s="498">
        <f t="shared" si="635"/>
        <v>0</v>
      </c>
      <c r="AV1856" s="498">
        <f t="shared" si="636"/>
        <v>0</v>
      </c>
      <c r="AW1856" s="498">
        <f t="shared" si="637"/>
        <v>0</v>
      </c>
      <c r="AX1856" s="498">
        <f t="shared" si="638"/>
        <v>0</v>
      </c>
      <c r="AY1856" s="498">
        <f t="shared" si="639"/>
        <v>0</v>
      </c>
      <c r="BB1856" s="498" t="str">
        <f t="shared" si="640"/>
        <v/>
      </c>
      <c r="BC1856" s="743" t="str">
        <f t="shared" si="641"/>
        <v/>
      </c>
      <c r="BD1856" s="743" t="str">
        <f t="shared" si="642"/>
        <v/>
      </c>
      <c r="BE1856" s="743" t="str">
        <f>IF(D1856="","",VLOOKUP(D1856,'General Basis'!$J$39:$K$46,2,0))</f>
        <v/>
      </c>
      <c r="BF1856" s="744" t="str">
        <f>IF(D1856="","",VLOOKUP(D1856,'General Basis'!$J$39:$L$46,3,0))</f>
        <v/>
      </c>
      <c r="BG1856" s="744" t="str">
        <f t="shared" si="649"/>
        <v/>
      </c>
      <c r="BH1856" s="744" t="str">
        <f>IF(G1856="","",IF(BF1856="Abu Dhabi",IF(G1856&lt;18,'General Basis'!$C$39,IF(G1856&lt;41,'General Basis'!$C$40,IF(G1856&lt;60,'General Basis'!$C$41,IF(G1856&lt;65,'General Basis'!$C$42,'General Basis'!$C$43)))),IF(G1856&lt;11,'General Basis'!$B$39,IF(G1856&lt;18,'General Basis'!$B$40,IF(G1856&lt;26,'General Basis'!$B$41,IF(G1856&lt;31,'General Basis'!$B$42,IF(G1856&lt;36,'General Basis'!$B$43,IF(G1856&lt;41,'General Basis'!$B$44,IF(G1856&lt;46,'General Basis'!$B$45,IF(G1856&lt;51,'General Basis'!$B$46,IF(G1856&lt;56,'General Basis'!$B$47,IF(G1856&lt;60,'General Basis'!$B$48,IF(G1856&lt;65,'General Basis'!$B$49,'General Basis'!$B$50)))))))))))))</f>
        <v/>
      </c>
      <c r="BI1856" s="744" t="str">
        <f t="shared" si="643"/>
        <v/>
      </c>
      <c r="BJ1856" s="747" t="str">
        <f t="shared" si="650"/>
        <v/>
      </c>
      <c r="BK1856" s="498" t="str">
        <f t="shared" si="644"/>
        <v/>
      </c>
      <c r="BL1856" s="498" t="str">
        <f t="shared" si="645"/>
        <v/>
      </c>
    </row>
    <row r="1857" spans="1:64" x14ac:dyDescent="0.25">
      <c r="A1857" s="762">
        <f t="shared" si="646"/>
        <v>1852</v>
      </c>
      <c r="B1857" s="229"/>
      <c r="C1857" s="223"/>
      <c r="D1857" s="224"/>
      <c r="E1857" s="225"/>
      <c r="F1857" s="1036" t="str">
        <f t="shared" si="652"/>
        <v/>
      </c>
      <c r="G1857" s="1037" t="str">
        <f t="shared" si="647"/>
        <v/>
      </c>
      <c r="H1857" s="225"/>
      <c r="I1857" s="1013"/>
      <c r="J1857" s="1013"/>
      <c r="K1857" s="1028"/>
      <c r="L1857" s="1035" t="str">
        <f t="shared" si="651"/>
        <v/>
      </c>
      <c r="S1857" s="498"/>
      <c r="AJ1857" s="498"/>
      <c r="AM1857" s="498">
        <f t="shared" si="632"/>
        <v>0</v>
      </c>
      <c r="AN1857" s="498">
        <f t="shared" si="633"/>
        <v>0</v>
      </c>
      <c r="AO1857" s="498">
        <f t="shared" si="634"/>
        <v>0</v>
      </c>
      <c r="AP1857" s="498">
        <f t="shared" si="653"/>
        <v>0</v>
      </c>
      <c r="AQ1857" s="498">
        <f t="shared" si="648"/>
        <v>0</v>
      </c>
      <c r="AU1857" s="498">
        <f t="shared" si="635"/>
        <v>0</v>
      </c>
      <c r="AV1857" s="498">
        <f t="shared" si="636"/>
        <v>0</v>
      </c>
      <c r="AW1857" s="498">
        <f t="shared" si="637"/>
        <v>0</v>
      </c>
      <c r="AX1857" s="498">
        <f t="shared" si="638"/>
        <v>0</v>
      </c>
      <c r="AY1857" s="498">
        <f t="shared" si="639"/>
        <v>0</v>
      </c>
      <c r="BB1857" s="498" t="str">
        <f t="shared" si="640"/>
        <v/>
      </c>
      <c r="BC1857" s="743" t="str">
        <f t="shared" si="641"/>
        <v/>
      </c>
      <c r="BD1857" s="743" t="str">
        <f t="shared" si="642"/>
        <v/>
      </c>
      <c r="BE1857" s="743" t="str">
        <f>IF(D1857="","",VLOOKUP(D1857,'General Basis'!$J$39:$K$46,2,0))</f>
        <v/>
      </c>
      <c r="BF1857" s="744" t="str">
        <f>IF(D1857="","",VLOOKUP(D1857,'General Basis'!$J$39:$L$46,3,0))</f>
        <v/>
      </c>
      <c r="BG1857" s="744" t="str">
        <f t="shared" si="649"/>
        <v/>
      </c>
      <c r="BH1857" s="744" t="str">
        <f>IF(G1857="","",IF(BF1857="Abu Dhabi",IF(G1857&lt;18,'General Basis'!$C$39,IF(G1857&lt;41,'General Basis'!$C$40,IF(G1857&lt;60,'General Basis'!$C$41,IF(G1857&lt;65,'General Basis'!$C$42,'General Basis'!$C$43)))),IF(G1857&lt;11,'General Basis'!$B$39,IF(G1857&lt;18,'General Basis'!$B$40,IF(G1857&lt;26,'General Basis'!$B$41,IF(G1857&lt;31,'General Basis'!$B$42,IF(G1857&lt;36,'General Basis'!$B$43,IF(G1857&lt;41,'General Basis'!$B$44,IF(G1857&lt;46,'General Basis'!$B$45,IF(G1857&lt;51,'General Basis'!$B$46,IF(G1857&lt;56,'General Basis'!$B$47,IF(G1857&lt;60,'General Basis'!$B$48,IF(G1857&lt;65,'General Basis'!$B$49,'General Basis'!$B$50)))))))))))))</f>
        <v/>
      </c>
      <c r="BI1857" s="744" t="str">
        <f t="shared" si="643"/>
        <v/>
      </c>
      <c r="BJ1857" s="747" t="str">
        <f t="shared" si="650"/>
        <v/>
      </c>
      <c r="BK1857" s="498" t="str">
        <f t="shared" si="644"/>
        <v/>
      </c>
      <c r="BL1857" s="498" t="str">
        <f t="shared" si="645"/>
        <v/>
      </c>
    </row>
    <row r="1858" spans="1:64" x14ac:dyDescent="0.25">
      <c r="A1858" s="762">
        <f t="shared" si="646"/>
        <v>1853</v>
      </c>
      <c r="B1858" s="229"/>
      <c r="C1858" s="223"/>
      <c r="D1858" s="224"/>
      <c r="E1858" s="225"/>
      <c r="F1858" s="1036" t="str">
        <f t="shared" si="652"/>
        <v/>
      </c>
      <c r="G1858" s="1037" t="str">
        <f t="shared" si="647"/>
        <v/>
      </c>
      <c r="H1858" s="225"/>
      <c r="I1858" s="1013"/>
      <c r="J1858" s="1013"/>
      <c r="K1858" s="1028"/>
      <c r="L1858" s="1035" t="str">
        <f t="shared" si="651"/>
        <v/>
      </c>
      <c r="S1858" s="498"/>
      <c r="AJ1858" s="498"/>
      <c r="AM1858" s="498">
        <f t="shared" si="632"/>
        <v>0</v>
      </c>
      <c r="AN1858" s="498">
        <f t="shared" si="633"/>
        <v>0</v>
      </c>
      <c r="AO1858" s="498">
        <f t="shared" si="634"/>
        <v>0</v>
      </c>
      <c r="AP1858" s="498">
        <f t="shared" si="653"/>
        <v>0</v>
      </c>
      <c r="AQ1858" s="498">
        <f t="shared" si="648"/>
        <v>0</v>
      </c>
      <c r="AU1858" s="498">
        <f t="shared" si="635"/>
        <v>0</v>
      </c>
      <c r="AV1858" s="498">
        <f t="shared" si="636"/>
        <v>0</v>
      </c>
      <c r="AW1858" s="498">
        <f t="shared" si="637"/>
        <v>0</v>
      </c>
      <c r="AX1858" s="498">
        <f t="shared" si="638"/>
        <v>0</v>
      </c>
      <c r="AY1858" s="498">
        <f t="shared" si="639"/>
        <v>0</v>
      </c>
      <c r="BB1858" s="498" t="str">
        <f t="shared" si="640"/>
        <v/>
      </c>
      <c r="BC1858" s="743" t="str">
        <f t="shared" si="641"/>
        <v/>
      </c>
      <c r="BD1858" s="743" t="str">
        <f t="shared" si="642"/>
        <v/>
      </c>
      <c r="BE1858" s="743" t="str">
        <f>IF(D1858="","",VLOOKUP(D1858,'General Basis'!$J$39:$K$46,2,0))</f>
        <v/>
      </c>
      <c r="BF1858" s="744" t="str">
        <f>IF(D1858="","",VLOOKUP(D1858,'General Basis'!$J$39:$L$46,3,0))</f>
        <v/>
      </c>
      <c r="BG1858" s="744" t="str">
        <f t="shared" si="649"/>
        <v/>
      </c>
      <c r="BH1858" s="744" t="str">
        <f>IF(G1858="","",IF(BF1858="Abu Dhabi",IF(G1858&lt;18,'General Basis'!$C$39,IF(G1858&lt;41,'General Basis'!$C$40,IF(G1858&lt;60,'General Basis'!$C$41,IF(G1858&lt;65,'General Basis'!$C$42,'General Basis'!$C$43)))),IF(G1858&lt;11,'General Basis'!$B$39,IF(G1858&lt;18,'General Basis'!$B$40,IF(G1858&lt;26,'General Basis'!$B$41,IF(G1858&lt;31,'General Basis'!$B$42,IF(G1858&lt;36,'General Basis'!$B$43,IF(G1858&lt;41,'General Basis'!$B$44,IF(G1858&lt;46,'General Basis'!$B$45,IF(G1858&lt;51,'General Basis'!$B$46,IF(G1858&lt;56,'General Basis'!$B$47,IF(G1858&lt;60,'General Basis'!$B$48,IF(G1858&lt;65,'General Basis'!$B$49,'General Basis'!$B$50)))))))))))))</f>
        <v/>
      </c>
      <c r="BI1858" s="744" t="str">
        <f t="shared" si="643"/>
        <v/>
      </c>
      <c r="BJ1858" s="747" t="str">
        <f t="shared" si="650"/>
        <v/>
      </c>
      <c r="BK1858" s="498" t="str">
        <f t="shared" si="644"/>
        <v/>
      </c>
      <c r="BL1858" s="498" t="str">
        <f t="shared" si="645"/>
        <v/>
      </c>
    </row>
    <row r="1859" spans="1:64" x14ac:dyDescent="0.25">
      <c r="A1859" s="762">
        <f t="shared" si="646"/>
        <v>1854</v>
      </c>
      <c r="B1859" s="229"/>
      <c r="C1859" s="223"/>
      <c r="D1859" s="224"/>
      <c r="E1859" s="225"/>
      <c r="F1859" s="1036" t="str">
        <f t="shared" si="652"/>
        <v/>
      </c>
      <c r="G1859" s="1037" t="str">
        <f t="shared" si="647"/>
        <v/>
      </c>
      <c r="H1859" s="225"/>
      <c r="I1859" s="1013"/>
      <c r="J1859" s="1013"/>
      <c r="K1859" s="1028"/>
      <c r="L1859" s="1035" t="str">
        <f t="shared" si="651"/>
        <v/>
      </c>
      <c r="S1859" s="498"/>
      <c r="AJ1859" s="498"/>
      <c r="AM1859" s="498">
        <f t="shared" si="632"/>
        <v>0</v>
      </c>
      <c r="AN1859" s="498">
        <f t="shared" si="633"/>
        <v>0</v>
      </c>
      <c r="AO1859" s="498">
        <f t="shared" si="634"/>
        <v>0</v>
      </c>
      <c r="AP1859" s="498">
        <f t="shared" si="653"/>
        <v>0</v>
      </c>
      <c r="AQ1859" s="498">
        <f t="shared" si="648"/>
        <v>0</v>
      </c>
      <c r="AU1859" s="498">
        <f t="shared" si="635"/>
        <v>0</v>
      </c>
      <c r="AV1859" s="498">
        <f t="shared" si="636"/>
        <v>0</v>
      </c>
      <c r="AW1859" s="498">
        <f t="shared" si="637"/>
        <v>0</v>
      </c>
      <c r="AX1859" s="498">
        <f t="shared" si="638"/>
        <v>0</v>
      </c>
      <c r="AY1859" s="498">
        <f t="shared" si="639"/>
        <v>0</v>
      </c>
      <c r="BB1859" s="498" t="str">
        <f t="shared" si="640"/>
        <v/>
      </c>
      <c r="BC1859" s="743" t="str">
        <f t="shared" si="641"/>
        <v/>
      </c>
      <c r="BD1859" s="743" t="str">
        <f t="shared" si="642"/>
        <v/>
      </c>
      <c r="BE1859" s="743" t="str">
        <f>IF(D1859="","",VLOOKUP(D1859,'General Basis'!$J$39:$K$46,2,0))</f>
        <v/>
      </c>
      <c r="BF1859" s="744" t="str">
        <f>IF(D1859="","",VLOOKUP(D1859,'General Basis'!$J$39:$L$46,3,0))</f>
        <v/>
      </c>
      <c r="BG1859" s="744" t="str">
        <f t="shared" si="649"/>
        <v/>
      </c>
      <c r="BH1859" s="744" t="str">
        <f>IF(G1859="","",IF(BF1859="Abu Dhabi",IF(G1859&lt;18,'General Basis'!$C$39,IF(G1859&lt;41,'General Basis'!$C$40,IF(G1859&lt;60,'General Basis'!$C$41,IF(G1859&lt;65,'General Basis'!$C$42,'General Basis'!$C$43)))),IF(G1859&lt;11,'General Basis'!$B$39,IF(G1859&lt;18,'General Basis'!$B$40,IF(G1859&lt;26,'General Basis'!$B$41,IF(G1859&lt;31,'General Basis'!$B$42,IF(G1859&lt;36,'General Basis'!$B$43,IF(G1859&lt;41,'General Basis'!$B$44,IF(G1859&lt;46,'General Basis'!$B$45,IF(G1859&lt;51,'General Basis'!$B$46,IF(G1859&lt;56,'General Basis'!$B$47,IF(G1859&lt;60,'General Basis'!$B$48,IF(G1859&lt;65,'General Basis'!$B$49,'General Basis'!$B$50)))))))))))))</f>
        <v/>
      </c>
      <c r="BI1859" s="744" t="str">
        <f t="shared" si="643"/>
        <v/>
      </c>
      <c r="BJ1859" s="747" t="str">
        <f t="shared" si="650"/>
        <v/>
      </c>
      <c r="BK1859" s="498" t="str">
        <f t="shared" si="644"/>
        <v/>
      </c>
      <c r="BL1859" s="498" t="str">
        <f t="shared" si="645"/>
        <v/>
      </c>
    </row>
    <row r="1860" spans="1:64" x14ac:dyDescent="0.25">
      <c r="A1860" s="762">
        <f t="shared" si="646"/>
        <v>1855</v>
      </c>
      <c r="B1860" s="229"/>
      <c r="C1860" s="223"/>
      <c r="D1860" s="224"/>
      <c r="E1860" s="225"/>
      <c r="F1860" s="1036" t="str">
        <f t="shared" si="652"/>
        <v/>
      </c>
      <c r="G1860" s="1037" t="str">
        <f t="shared" si="647"/>
        <v/>
      </c>
      <c r="H1860" s="225"/>
      <c r="I1860" s="1013"/>
      <c r="J1860" s="1013"/>
      <c r="K1860" s="1028"/>
      <c r="L1860" s="1035" t="str">
        <f t="shared" si="651"/>
        <v/>
      </c>
      <c r="S1860" s="498"/>
      <c r="AJ1860" s="498"/>
      <c r="AM1860" s="498">
        <f t="shared" si="632"/>
        <v>0</v>
      </c>
      <c r="AN1860" s="498">
        <f t="shared" si="633"/>
        <v>0</v>
      </c>
      <c r="AO1860" s="498">
        <f t="shared" si="634"/>
        <v>0</v>
      </c>
      <c r="AP1860" s="498">
        <f t="shared" si="653"/>
        <v>0</v>
      </c>
      <c r="AQ1860" s="498">
        <f t="shared" si="648"/>
        <v>0</v>
      </c>
      <c r="AU1860" s="498">
        <f t="shared" si="635"/>
        <v>0</v>
      </c>
      <c r="AV1860" s="498">
        <f t="shared" si="636"/>
        <v>0</v>
      </c>
      <c r="AW1860" s="498">
        <f t="shared" si="637"/>
        <v>0</v>
      </c>
      <c r="AX1860" s="498">
        <f t="shared" si="638"/>
        <v>0</v>
      </c>
      <c r="AY1860" s="498">
        <f t="shared" si="639"/>
        <v>0</v>
      </c>
      <c r="BB1860" s="498" t="str">
        <f t="shared" si="640"/>
        <v/>
      </c>
      <c r="BC1860" s="743" t="str">
        <f t="shared" si="641"/>
        <v/>
      </c>
      <c r="BD1860" s="743" t="str">
        <f t="shared" si="642"/>
        <v/>
      </c>
      <c r="BE1860" s="743" t="str">
        <f>IF(D1860="","",VLOOKUP(D1860,'General Basis'!$J$39:$K$46,2,0))</f>
        <v/>
      </c>
      <c r="BF1860" s="744" t="str">
        <f>IF(D1860="","",VLOOKUP(D1860,'General Basis'!$J$39:$L$46,3,0))</f>
        <v/>
      </c>
      <c r="BG1860" s="744" t="str">
        <f t="shared" si="649"/>
        <v/>
      </c>
      <c r="BH1860" s="744" t="str">
        <f>IF(G1860="","",IF(BF1860="Abu Dhabi",IF(G1860&lt;18,'General Basis'!$C$39,IF(G1860&lt;41,'General Basis'!$C$40,IF(G1860&lt;60,'General Basis'!$C$41,IF(G1860&lt;65,'General Basis'!$C$42,'General Basis'!$C$43)))),IF(G1860&lt;11,'General Basis'!$B$39,IF(G1860&lt;18,'General Basis'!$B$40,IF(G1860&lt;26,'General Basis'!$B$41,IF(G1860&lt;31,'General Basis'!$B$42,IF(G1860&lt;36,'General Basis'!$B$43,IF(G1860&lt;41,'General Basis'!$B$44,IF(G1860&lt;46,'General Basis'!$B$45,IF(G1860&lt;51,'General Basis'!$B$46,IF(G1860&lt;56,'General Basis'!$B$47,IF(G1860&lt;60,'General Basis'!$B$48,IF(G1860&lt;65,'General Basis'!$B$49,'General Basis'!$B$50)))))))))))))</f>
        <v/>
      </c>
      <c r="BI1860" s="744" t="str">
        <f t="shared" si="643"/>
        <v/>
      </c>
      <c r="BJ1860" s="747" t="str">
        <f t="shared" si="650"/>
        <v/>
      </c>
      <c r="BK1860" s="498" t="str">
        <f t="shared" si="644"/>
        <v/>
      </c>
      <c r="BL1860" s="498" t="str">
        <f t="shared" si="645"/>
        <v/>
      </c>
    </row>
    <row r="1861" spans="1:64" x14ac:dyDescent="0.25">
      <c r="A1861" s="762">
        <f t="shared" si="646"/>
        <v>1856</v>
      </c>
      <c r="B1861" s="229"/>
      <c r="C1861" s="223"/>
      <c r="D1861" s="224"/>
      <c r="E1861" s="225"/>
      <c r="F1861" s="1036" t="str">
        <f t="shared" si="652"/>
        <v/>
      </c>
      <c r="G1861" s="1037" t="str">
        <f t="shared" si="647"/>
        <v/>
      </c>
      <c r="H1861" s="225"/>
      <c r="I1861" s="1013"/>
      <c r="J1861" s="1013"/>
      <c r="K1861" s="1028"/>
      <c r="L1861" s="1035" t="str">
        <f t="shared" si="651"/>
        <v/>
      </c>
      <c r="S1861" s="498"/>
      <c r="AJ1861" s="498"/>
      <c r="AM1861" s="498">
        <f t="shared" si="632"/>
        <v>0</v>
      </c>
      <c r="AN1861" s="498">
        <f t="shared" si="633"/>
        <v>0</v>
      </c>
      <c r="AO1861" s="498">
        <f t="shared" si="634"/>
        <v>0</v>
      </c>
      <c r="AP1861" s="498">
        <f t="shared" si="653"/>
        <v>0</v>
      </c>
      <c r="AQ1861" s="498">
        <f t="shared" si="648"/>
        <v>0</v>
      </c>
      <c r="AU1861" s="498">
        <f t="shared" si="635"/>
        <v>0</v>
      </c>
      <c r="AV1861" s="498">
        <f t="shared" si="636"/>
        <v>0</v>
      </c>
      <c r="AW1861" s="498">
        <f t="shared" si="637"/>
        <v>0</v>
      </c>
      <c r="AX1861" s="498">
        <f t="shared" si="638"/>
        <v>0</v>
      </c>
      <c r="AY1861" s="498">
        <f t="shared" si="639"/>
        <v>0</v>
      </c>
      <c r="BB1861" s="498" t="str">
        <f t="shared" si="640"/>
        <v/>
      </c>
      <c r="BC1861" s="743" t="str">
        <f t="shared" si="641"/>
        <v/>
      </c>
      <c r="BD1861" s="743" t="str">
        <f t="shared" si="642"/>
        <v/>
      </c>
      <c r="BE1861" s="743" t="str">
        <f>IF(D1861="","",VLOOKUP(D1861,'General Basis'!$J$39:$K$46,2,0))</f>
        <v/>
      </c>
      <c r="BF1861" s="744" t="str">
        <f>IF(D1861="","",VLOOKUP(D1861,'General Basis'!$J$39:$L$46,3,0))</f>
        <v/>
      </c>
      <c r="BG1861" s="744" t="str">
        <f t="shared" si="649"/>
        <v/>
      </c>
      <c r="BH1861" s="744" t="str">
        <f>IF(G1861="","",IF(BF1861="Abu Dhabi",IF(G1861&lt;18,'General Basis'!$C$39,IF(G1861&lt;41,'General Basis'!$C$40,IF(G1861&lt;60,'General Basis'!$C$41,IF(G1861&lt;65,'General Basis'!$C$42,'General Basis'!$C$43)))),IF(G1861&lt;11,'General Basis'!$B$39,IF(G1861&lt;18,'General Basis'!$B$40,IF(G1861&lt;26,'General Basis'!$B$41,IF(G1861&lt;31,'General Basis'!$B$42,IF(G1861&lt;36,'General Basis'!$B$43,IF(G1861&lt;41,'General Basis'!$B$44,IF(G1861&lt;46,'General Basis'!$B$45,IF(G1861&lt;51,'General Basis'!$B$46,IF(G1861&lt;56,'General Basis'!$B$47,IF(G1861&lt;60,'General Basis'!$B$48,IF(G1861&lt;65,'General Basis'!$B$49,'General Basis'!$B$50)))))))))))))</f>
        <v/>
      </c>
      <c r="BI1861" s="744" t="str">
        <f t="shared" si="643"/>
        <v/>
      </c>
      <c r="BJ1861" s="747" t="str">
        <f t="shared" si="650"/>
        <v/>
      </c>
      <c r="BK1861" s="498" t="str">
        <f t="shared" si="644"/>
        <v/>
      </c>
      <c r="BL1861" s="498" t="str">
        <f t="shared" si="645"/>
        <v/>
      </c>
    </row>
    <row r="1862" spans="1:64" x14ac:dyDescent="0.25">
      <c r="A1862" s="762">
        <f t="shared" si="646"/>
        <v>1857</v>
      </c>
      <c r="B1862" s="229"/>
      <c r="C1862" s="223"/>
      <c r="D1862" s="224"/>
      <c r="E1862" s="225"/>
      <c r="F1862" s="1036" t="str">
        <f t="shared" si="652"/>
        <v/>
      </c>
      <c r="G1862" s="1037" t="str">
        <f t="shared" si="647"/>
        <v/>
      </c>
      <c r="H1862" s="225"/>
      <c r="I1862" s="1013"/>
      <c r="J1862" s="1013"/>
      <c r="K1862" s="1028"/>
      <c r="L1862" s="1035" t="str">
        <f t="shared" si="651"/>
        <v/>
      </c>
      <c r="S1862" s="498"/>
      <c r="AJ1862" s="498"/>
      <c r="AM1862" s="498">
        <f t="shared" ref="AM1862:AM1925" si="654">IF(ISTEXT(B1862),1,0)</f>
        <v>0</v>
      </c>
      <c r="AN1862" s="498">
        <f t="shared" ref="AN1862:AN1925" si="655">IF(ISBLANK(B1862),0,IF(B1862&lt;$AK$6,1,0))</f>
        <v>0</v>
      </c>
      <c r="AO1862" s="498">
        <f t="shared" ref="AO1862:AO1925" si="656">IF(ISBLANK(B1862),0,IF(B1862&gt;$AK$7,1,0))</f>
        <v>0</v>
      </c>
      <c r="AP1862" s="498">
        <f t="shared" si="653"/>
        <v>0</v>
      </c>
      <c r="AQ1862" s="498">
        <f t="shared" si="648"/>
        <v>0</v>
      </c>
      <c r="AU1862" s="498">
        <f t="shared" ref="AU1862:AU1925" si="657">IF(ISBLANK(B1862),0,1)</f>
        <v>0</v>
      </c>
      <c r="AV1862" s="498">
        <f t="shared" ref="AV1862:AV1925" si="658">IF(ISBLANK(C1862),0,1)</f>
        <v>0</v>
      </c>
      <c r="AW1862" s="498">
        <f t="shared" ref="AW1862:AW1925" si="659">IF(ISBLANK(D1862),0,1)</f>
        <v>0</v>
      </c>
      <c r="AX1862" s="498">
        <f t="shared" ref="AX1862:AX1925" si="660">IF(ISBLANK(E1862),0,1)</f>
        <v>0</v>
      </c>
      <c r="AY1862" s="498">
        <f t="shared" ref="AY1862:AY1925" si="661">IF(ISBLANK(H1862),0,1)</f>
        <v>0</v>
      </c>
      <c r="BB1862" s="498" t="str">
        <f t="shared" ref="BB1862:BB1925" si="662">IF(E1862="Principal","Principal",IF(E1862="","","Other"))</f>
        <v/>
      </c>
      <c r="BC1862" s="743" t="str">
        <f t="shared" ref="BC1862:BC1925" si="663">IF(D1862="","",D1862)</f>
        <v/>
      </c>
      <c r="BD1862" s="743" t="str">
        <f t="shared" ref="BD1862:BD1925" si="664">IF(E1862="Principal","Employee",IF(E1862="","","Dependent"))</f>
        <v/>
      </c>
      <c r="BE1862" s="743" t="str">
        <f>IF(D1862="","",VLOOKUP(D1862,'General Basis'!$J$39:$K$46,2,0))</f>
        <v/>
      </c>
      <c r="BF1862" s="744" t="str">
        <f>IF(D1862="","",VLOOKUP(D1862,'General Basis'!$J$39:$L$46,3,0))</f>
        <v/>
      </c>
      <c r="BG1862" s="744" t="str">
        <f t="shared" si="649"/>
        <v/>
      </c>
      <c r="BH1862" s="744" t="str">
        <f>IF(G1862="","",IF(BF1862="Abu Dhabi",IF(G1862&lt;18,'General Basis'!$C$39,IF(G1862&lt;41,'General Basis'!$C$40,IF(G1862&lt;60,'General Basis'!$C$41,IF(G1862&lt;65,'General Basis'!$C$42,'General Basis'!$C$43)))),IF(G1862&lt;11,'General Basis'!$B$39,IF(G1862&lt;18,'General Basis'!$B$40,IF(G1862&lt;26,'General Basis'!$B$41,IF(G1862&lt;31,'General Basis'!$B$42,IF(G1862&lt;36,'General Basis'!$B$43,IF(G1862&lt;41,'General Basis'!$B$44,IF(G1862&lt;46,'General Basis'!$B$45,IF(G1862&lt;51,'General Basis'!$B$46,IF(G1862&lt;56,'General Basis'!$B$47,IF(G1862&lt;60,'General Basis'!$B$48,IF(G1862&lt;65,'General Basis'!$B$49,'General Basis'!$B$50)))))))))))))</f>
        <v/>
      </c>
      <c r="BI1862" s="744" t="str">
        <f t="shared" ref="BI1862:BI1925" si="665">IF(C1862="","",IF(C1862="M","Male","Female"))</f>
        <v/>
      </c>
      <c r="BJ1862" s="747" t="str">
        <f t="shared" si="650"/>
        <v/>
      </c>
      <c r="BK1862" s="498" t="str">
        <f t="shared" ref="BK1862:BK1925" si="666">IF(BD1862="","",IF(AND(BD1862="Employee",BI1862="Male",BF1862="Abu Dhabi",BE1862=GN_Plus),VLOOKUP(BH1862,AUH_MALE_EMP,2,0),IF(AND(BD1862="Employee",BI1862="Male",BF1862="Abu Dhabi",BE1862=GN),VLOOKUP(BH1862,AUH_MALE_EMP,3,0),IF(AND(BD1862="Employee",BI1862="Male",BF1862="Abu Dhabi",BE1862=RN_Plus),VLOOKUP(BH1862,AUH_MALE_EMP,4,0),IF(AND(BD1862="Employee",BI1862="Male",BF1862="Abu Dhabi",BE1862=RN),VLOOKUP(BH1862,AUH_MALE_EMP,5,0),IF(AND(BD1862="Employee",BI1862="Male",BF1862="Abu Dhabi",BE1862=RN_2),VLOOKUP(BH1862,AUH_MALE_EMP,6,0),IF(AND(BD1862="Employee",BI1862="Male",BF1862="Abu Dhabi",BE1862=RN2_minus),VLOOKUP(BH1862,AUH_MALE_EMP,7,0),IF(AND(BD1862="Employee",BI1862="Male",BF1862="Abu Dhabi",BE1862=RN_3),VLOOKUP(BH1862,AUH_MALE_EMP,8,0),IF(AND(BD1862="Employee",BI1862="Male",BF1862="Abu Dhabi",BE1862=VN),VLOOKUP(BH1862,AUH_MALE_EMP,9,0),IF(BD1862="","",IF(AND(BD1862="Employee",BI1862="Female",BF1862="Abu Dhabi",BE1862=GN_Plus),VLOOKUP(BH1862,AUH_FEMALE_EMP,2,0),IF(AND(BD1862="Employee",BI1862="Female",BF1862="Abu Dhabi",BE1862=GN),VLOOKUP(BH1862,AUH_FEMALE_EMP,3,0),IF(AND(BD1862="Employee",BI1862="Female",BF1862="Abu Dhabi",BE1862=RN_Plus),VLOOKUP(BH1862,AUH_FEMALE_EMP,4,0),IF(AND(BD1862="Employee",BI1862="Female",BF1862="Abu Dhabi",BE1862=RN),VLOOKUP(BH1862,AUH_FEMALE_EMP,5,0),IF(AND(BD1862="Employee",BI1862="Female",BF1862="Abu Dhabi",BE1862=RN_2),VLOOKUP(BH1862,AUH_FEMALE_EMP,6,0),IF(AND(BD1862="Employee",BI1862="Female",BF1862="Abu Dhabi",BE1862=RN2_minus),VLOOKUP(BH1862,AUH_FEMALE_EMP,7,0),IF(AND(BD1862="Employee",BI1862="Female",BF1862="Abu Dhabi",BE1862=RN_3),VLOOKUP(BH1862,AUH_FEMALE_EMP,8,0),IF(AND(BD1862="Employee",BI1862="Female",BF1862="Abu Dhabi",BE1862=VN),VLOOKUP(BH1862,AUH_FEMALE_EMP,9,0),IF(BD1862="","",IF(AND(BD1862="Dependent",BI1862="Male",BF1862="Abu Dhabi",BE1862=GN_Plus),VLOOKUP(BH1862,AUH_MALE_DEP,2,0),IF(AND(BD1862="Dependent",BI1862="Male",BF1862="Abu Dhabi",BE1862=GN),VLOOKUP(BH1862,AUH_MALE_DEP,3,0),IF(AND(BD1862="Dependent",BI1862="Male",BF1862="Abu Dhabi",BE1862=RN_Plus),VLOOKUP(BH1862,AUH_MALE_DEP,4,0),IF(AND(BD1862="Dependent",BI1862="Male",BF1862="Abu Dhabi",BE1862=RN),VLOOKUP(BH1862,AUH_MALE_DEP,5,0),IF(AND(BD1862="Dependent",BI1862="Male",BF1862="Abu Dhabi",BE1862=RN_2),VLOOKUP(BH1862,AUH_MALE_DEP,6,0),IF(AND(BD1862="Dependent",BI1862="Male",BF1862="Abu Dhabi",BE1862=RN2_minus),VLOOKUP(BH1862,AUH_MALE_DEP,7,0),IF(AND(BD1862="Dependent",BI1862="Male",BF1862="Abu Dhabi",BE1862=RN_3),VLOOKUP(BH1862,AUH_MALE_DEP,8,0),IF(AND(BD1862="Dependent",BI1862="Male",BF1862="Abu Dhabi",BE1862=VN),VLOOKUP(BH1862,AUH_MALE_DEP,9,0),IF(BD1862="","",IF(AND(BD1862="Dependent",BI1862="Female",BF1862="Abu Dhabi",BE1862=GN_Plus),VLOOKUP(BH1862,AUH_FEMALE_DEP,2,0),IF(AND(BD1862="Dependent",BI1862="Female",BF1862="Abu Dhabi",BE1862=GN),VLOOKUP(BH1862,AUH_FEMALE_DEP,3,0),IF(AND(BD1862="Dependent",BI1862="Female",BF1862="Abu Dhabi",BE1862=RN_Plus),VLOOKUP(BH1862,AUH_FEMALE_DEP,4,0),IF(AND(BD1862="Dependent",BI1862="Female",BF1862="Abu Dhabi",BE1862=RN),VLOOKUP(BH1862,AUH_FEMALE_DEP,5,0),IF(AND(BD1862="Dependent",BI1862="Female",BF1862="Abu Dhabi",BE1862=RN_2),VLOOKUP(BH1862,AUH_FEMALE_DEP,6,0),IF(AND(BD1862="Dependent",BI1862="Female",BF1862="Abu Dhabi",BE1862=RN2_minus),VLOOKUP(BH1862,AUH_FEMALE_DEP,7,0),IF(AND(BD1862="Dependent",BI1862="Female",BF1862="Abu Dhabi",BE1862=RN_3),VLOOKUP(BH1862,AUH_FEMALE_DEP,8,0),IF(AND(BD1862="Dependent",BI1862="Female",BF1862="Abu Dhabi",BE1862=VN),VLOOKUP(BH1862,AUH_FEMALE_DEP,9,0),"ABC"))))))))))))))))))))))))))))))))))))</f>
        <v/>
      </c>
      <c r="BL1862" s="498" t="str">
        <f t="shared" ref="BL1862:BL1925" si="667">IF(BD1862="","",IF(AND(BD1862="Employee",BI1862="Male",BF1862="Dubai",BE1862=GN_Plus),VLOOKUP(BH1862,DXB_MALE_EMP,2,0),IF(AND(BD1862="Employee",BI1862="Male",BF1862="Dubai",BE1862=GN),VLOOKUP(BH1862,DXB_MALE_EMP,3,0),IF(AND(BD1862="Employee",BI1862="Male",BF1862="Dubai",BE1862=RN_Plus),VLOOKUP(BH1862,DXB_MALE_EMP,4,0),IF(AND(BD1862="Employee",BI1862="Male",BF1862="Dubai",BE1862=RN),VLOOKUP(BH1862,DXB_MALE_EMP,5,0),IF(AND(BD1862="Employee",BI1862="Male",BF1862="Dubai",BE1862=RN_2),VLOOKUP(BH1862,DXB_MALE_EMP,6,0),IF(AND(BD1862="Employee",BI1862="Male",BF1862="Dubai",BE1862=RN2_minus),VLOOKUP(BH1862,DXB_MALE_EMP,7,0),IF(AND(BD1862="Employee",BI1862="Male",BF1862="Dubai",BE1862=RN_3),VLOOKUP(BH1862,DXB_MALE_EMP,8,0),IF(AND(BD1862="Employee",BI1862="Male",BF1862="Dubai",BE1862=VN),VLOOKUP(BH1862,DXB_MALE_EMP,9,0),IF(BD1862="","",IF(AND(BD1862="Employee",BI1862="Female",BF1862="Dubai",BE1862=GN_Plus),VLOOKUP(BH1862,DXB_FEMALE_EMP,2,0),IF(AND(BD1862="Employee",BI1862="Female",BF1862="Dubai",BE1862=GN),VLOOKUP(BH1862,DXB_FEMALE_EMP,3,0),IF(AND(BD1862="Employee",BI1862="Female",BF1862="Dubai",BE1862=RN_Plus),VLOOKUP(BH1862,DXB_FEMALE_EMP,4,0),IF(AND(BD1862="Employee",BI1862="Female",BF1862="Dubai",BE1862=RN),VLOOKUP(BH1862,DXB_FEMALE_EMP,5,0),IF(AND(BD1862="Employee",BI1862="Female",BF1862="Dubai",BE1862=RN_2),VLOOKUP(BH1862,DXB_FEMALE_EMP,6,0),IF(AND(BD1862="Employee",BI1862="Female",BF1862="Dubai",BE1862=RN2_minus),VLOOKUP(BH1862,DXB_FEMALE_EMP,7,0),IF(AND(BD1862="Employee",BI1862="Female",BF1862="Dubai",BE1862=RN_3),VLOOKUP(BH1862,DXB_FEMALE_EMP,8,0),IF(AND(BD1862="Employee",BI1862="Female",BF1862="Dubai",BE1862=VN),VLOOKUP(BH1862,DXB_FEMALE_EMP,9,0),IF(BD1862="","",IF(AND(BD1862="Dependent",BI1862="Male",BF1862="Dubai",BE1862=GN_Plus),VLOOKUP(BH1862,DXB_MALE_DEP,2,0),IF(AND(BD1862="Dependent",BI1862="Male",BF1862="Dubai",BE1862=GN),VLOOKUP(BH1862,DXB_MALE_DEP,3,0),IF(AND(BD1862="Dependent",BI1862="Male",BF1862="Dubai",BE1862=RN_Plus),VLOOKUP(BH1862,DXB_MALE_DEP,4,0),IF(AND(BD1862="Dependent",BI1862="Male",BF1862="Dubai",BE1862=RN),VLOOKUP(BH1862,DXB_MALE_DEP,5,0),IF(AND(BD1862="Dependent",BI1862="Male",BF1862="Dubai",BE1862=RN_2),VLOOKUP(BH1862,DXB_MALE_DEP,6,0),IF(AND(BD1862="Dependent",BI1862="Male",BF1862="Dubai",BE1862=RN2_minus),VLOOKUP(BH1862,DXB_MALE_DEP,7,0),IF(AND(BD1862="Dependent",BI1862="Male",BF1862="Dubai",BE1862=RN_3),VLOOKUP(BH1862,DXB_MALE_DEP,8,0),IF(AND(BD1862="Dependent",BI1862="Male",BF1862="Dubai",BE1862=VN),VLOOKUP(BH1862,DXB_MALE_DEP,9,0),IF(BD1862="","",IF(AND(BD1862="Dependent",BI1862="Female",BF1862="Dubai",BE1862=GN_Plus),VLOOKUP(BH1862,DXB_FEMALE_DEP,2,0),IF(AND(BD1862="Dependent",BI1862="Female",BF1862="Dubai",BE1862=GN),VLOOKUP(BH1862,DXB_FEMALE_DEP,3,0),IF(AND(BD1862="Dependent",BI1862="Female",BF1862="Dubai",BE1862=RN_Plus),VLOOKUP(BH1862,DXB_FEMALE_DEP,4,0),IF(AND(BD1862="Dependent",BI1862="Female",BF1862="Dubai",BE1862=RN),VLOOKUP(BH1862,DXB_FEMALE_DEP,5,0),IF(AND(BD1862="Dependent",BI1862="Female",BF1862="Dubai",BE1862=RN_2),VLOOKUP(BH1862,DXB_FEMALE_DEP,6,0),IF(AND(BD1862="Dependent",BI1862="Female",BF1862="Dubai",BE1862=RN2_minus),VLOOKUP(BH1862,DXB_FEMALE_DEP,7,0),IF(AND(BD1862="Dependent",BI1862="Female",BF1862="Dubai",BE1862=RN_3),VLOOKUP(BH1862,DXB_FEMALE_DEP,8,0),IF(AND(BD1862="Dependent",BI1862="Female",BF1862="Dubai",BE1862=VN),VLOOKUP(BH1862,DXB_FEMALE_DEP,9,0),"ABC"))))))))))))))))))))))))))))))))))))</f>
        <v/>
      </c>
    </row>
    <row r="1863" spans="1:64" x14ac:dyDescent="0.25">
      <c r="A1863" s="762">
        <f t="shared" ref="A1863:A1926" si="668">+A1862+1</f>
        <v>1858</v>
      </c>
      <c r="B1863" s="229"/>
      <c r="C1863" s="223"/>
      <c r="D1863" s="224"/>
      <c r="E1863" s="225"/>
      <c r="F1863" s="1036" t="str">
        <f t="shared" si="652"/>
        <v/>
      </c>
      <c r="G1863" s="1037" t="str">
        <f t="shared" ref="G1863:G1926" si="669">IF(D1863="","",MAX(0,ROUNDUP(F1863,0)))</f>
        <v/>
      </c>
      <c r="H1863" s="225"/>
      <c r="I1863" s="1013"/>
      <c r="J1863" s="1013"/>
      <c r="K1863" s="1028"/>
      <c r="L1863" s="1035" t="str">
        <f t="shared" si="651"/>
        <v/>
      </c>
      <c r="S1863" s="498"/>
      <c r="AJ1863" s="498"/>
      <c r="AM1863" s="498">
        <f t="shared" si="654"/>
        <v>0</v>
      </c>
      <c r="AN1863" s="498">
        <f t="shared" si="655"/>
        <v>0</v>
      </c>
      <c r="AO1863" s="498">
        <f t="shared" si="656"/>
        <v>0</v>
      </c>
      <c r="AP1863" s="498">
        <f t="shared" si="653"/>
        <v>0</v>
      </c>
      <c r="AQ1863" s="498">
        <f t="shared" ref="AQ1863:AQ1926" si="670">IF(ISBLANK($B1863),0,IF(OR($H1863="Single",$H1863="Married"),0,1))</f>
        <v>0</v>
      </c>
      <c r="AU1863" s="498">
        <f t="shared" si="657"/>
        <v>0</v>
      </c>
      <c r="AV1863" s="498">
        <f t="shared" si="658"/>
        <v>0</v>
      </c>
      <c r="AW1863" s="498">
        <f t="shared" si="659"/>
        <v>0</v>
      </c>
      <c r="AX1863" s="498">
        <f t="shared" si="660"/>
        <v>0</v>
      </c>
      <c r="AY1863" s="498">
        <f t="shared" si="661"/>
        <v>0</v>
      </c>
      <c r="BB1863" s="498" t="str">
        <f t="shared" si="662"/>
        <v/>
      </c>
      <c r="BC1863" s="743" t="str">
        <f t="shared" si="663"/>
        <v/>
      </c>
      <c r="BD1863" s="743" t="str">
        <f t="shared" si="664"/>
        <v/>
      </c>
      <c r="BE1863" s="743" t="str">
        <f>IF(D1863="","",VLOOKUP(D1863,'General Basis'!$J$39:$K$46,2,0))</f>
        <v/>
      </c>
      <c r="BF1863" s="744" t="str">
        <f>IF(D1863="","",VLOOKUP(D1863,'General Basis'!$J$39:$L$46,3,0))</f>
        <v/>
      </c>
      <c r="BG1863" s="744" t="str">
        <f t="shared" ref="BG1863:BG1926" si="671">BC1863&amp;BI1863</f>
        <v/>
      </c>
      <c r="BH1863" s="744" t="str">
        <f>IF(G1863="","",IF(BF1863="Abu Dhabi",IF(G1863&lt;18,'General Basis'!$C$39,IF(G1863&lt;41,'General Basis'!$C$40,IF(G1863&lt;60,'General Basis'!$C$41,IF(G1863&lt;65,'General Basis'!$C$42,'General Basis'!$C$43)))),IF(G1863&lt;11,'General Basis'!$B$39,IF(G1863&lt;18,'General Basis'!$B$40,IF(G1863&lt;26,'General Basis'!$B$41,IF(G1863&lt;31,'General Basis'!$B$42,IF(G1863&lt;36,'General Basis'!$B$43,IF(G1863&lt;41,'General Basis'!$B$44,IF(G1863&lt;46,'General Basis'!$B$45,IF(G1863&lt;51,'General Basis'!$B$46,IF(G1863&lt;56,'General Basis'!$B$47,IF(G1863&lt;60,'General Basis'!$B$48,IF(G1863&lt;65,'General Basis'!$B$49,'General Basis'!$B$50)))))))))))))</f>
        <v/>
      </c>
      <c r="BI1863" s="744" t="str">
        <f t="shared" si="665"/>
        <v/>
      </c>
      <c r="BJ1863" s="747" t="str">
        <f t="shared" ref="BJ1863:BJ1926" si="672">IF(BD1863="","",IF(BF1863="Abu Dhabi",BK1863,BL1863))</f>
        <v/>
      </c>
      <c r="BK1863" s="498" t="str">
        <f t="shared" si="666"/>
        <v/>
      </c>
      <c r="BL1863" s="498" t="str">
        <f t="shared" si="667"/>
        <v/>
      </c>
    </row>
    <row r="1864" spans="1:64" x14ac:dyDescent="0.25">
      <c r="A1864" s="762">
        <f t="shared" si="668"/>
        <v>1859</v>
      </c>
      <c r="B1864" s="229"/>
      <c r="C1864" s="223"/>
      <c r="D1864" s="224"/>
      <c r="E1864" s="225"/>
      <c r="F1864" s="1036" t="str">
        <f t="shared" si="652"/>
        <v/>
      </c>
      <c r="G1864" s="1037" t="str">
        <f t="shared" si="669"/>
        <v/>
      </c>
      <c r="H1864" s="225"/>
      <c r="I1864" s="1013"/>
      <c r="J1864" s="1013"/>
      <c r="K1864" s="1028"/>
      <c r="L1864" s="1035" t="str">
        <f t="shared" ref="L1864:L1927" si="673">IF(AND(E1864="Child",H1864="Married"),"Check the Marital Status of the Child. ",IF(AND(E1864="Child",F1864&gt;18),"Child Age exceed 18 years. ",IF(AND(E1864="Spouse",H1864="Single"),"Spouse is selected as Single. ","")))&amp;IF(K1864&gt;0,"UW Loading has been Applied","")</f>
        <v/>
      </c>
      <c r="S1864" s="498"/>
      <c r="AJ1864" s="498"/>
      <c r="AM1864" s="498">
        <f t="shared" si="654"/>
        <v>0</v>
      </c>
      <c r="AN1864" s="498">
        <f t="shared" si="655"/>
        <v>0</v>
      </c>
      <c r="AO1864" s="498">
        <f t="shared" si="656"/>
        <v>0</v>
      </c>
      <c r="AP1864" s="498">
        <f t="shared" si="653"/>
        <v>0</v>
      </c>
      <c r="AQ1864" s="498">
        <f t="shared" si="670"/>
        <v>0</v>
      </c>
      <c r="AU1864" s="498">
        <f t="shared" si="657"/>
        <v>0</v>
      </c>
      <c r="AV1864" s="498">
        <f t="shared" si="658"/>
        <v>0</v>
      </c>
      <c r="AW1864" s="498">
        <f t="shared" si="659"/>
        <v>0</v>
      </c>
      <c r="AX1864" s="498">
        <f t="shared" si="660"/>
        <v>0</v>
      </c>
      <c r="AY1864" s="498">
        <f t="shared" si="661"/>
        <v>0</v>
      </c>
      <c r="BB1864" s="498" t="str">
        <f t="shared" si="662"/>
        <v/>
      </c>
      <c r="BC1864" s="743" t="str">
        <f t="shared" si="663"/>
        <v/>
      </c>
      <c r="BD1864" s="743" t="str">
        <f t="shared" si="664"/>
        <v/>
      </c>
      <c r="BE1864" s="743" t="str">
        <f>IF(D1864="","",VLOOKUP(D1864,'General Basis'!$J$39:$K$46,2,0))</f>
        <v/>
      </c>
      <c r="BF1864" s="744" t="str">
        <f>IF(D1864="","",VLOOKUP(D1864,'General Basis'!$J$39:$L$46,3,0))</f>
        <v/>
      </c>
      <c r="BG1864" s="744" t="str">
        <f t="shared" si="671"/>
        <v/>
      </c>
      <c r="BH1864" s="744" t="str">
        <f>IF(G1864="","",IF(BF1864="Abu Dhabi",IF(G1864&lt;18,'General Basis'!$C$39,IF(G1864&lt;41,'General Basis'!$C$40,IF(G1864&lt;60,'General Basis'!$C$41,IF(G1864&lt;65,'General Basis'!$C$42,'General Basis'!$C$43)))),IF(G1864&lt;11,'General Basis'!$B$39,IF(G1864&lt;18,'General Basis'!$B$40,IF(G1864&lt;26,'General Basis'!$B$41,IF(G1864&lt;31,'General Basis'!$B$42,IF(G1864&lt;36,'General Basis'!$B$43,IF(G1864&lt;41,'General Basis'!$B$44,IF(G1864&lt;46,'General Basis'!$B$45,IF(G1864&lt;51,'General Basis'!$B$46,IF(G1864&lt;56,'General Basis'!$B$47,IF(G1864&lt;60,'General Basis'!$B$48,IF(G1864&lt;65,'General Basis'!$B$49,'General Basis'!$B$50)))))))))))))</f>
        <v/>
      </c>
      <c r="BI1864" s="744" t="str">
        <f t="shared" si="665"/>
        <v/>
      </c>
      <c r="BJ1864" s="747" t="str">
        <f t="shared" si="672"/>
        <v/>
      </c>
      <c r="BK1864" s="498" t="str">
        <f t="shared" si="666"/>
        <v/>
      </c>
      <c r="BL1864" s="498" t="str">
        <f t="shared" si="667"/>
        <v/>
      </c>
    </row>
    <row r="1865" spans="1:64" x14ac:dyDescent="0.25">
      <c r="A1865" s="762">
        <f t="shared" si="668"/>
        <v>1860</v>
      </c>
      <c r="B1865" s="229"/>
      <c r="C1865" s="223"/>
      <c r="D1865" s="224"/>
      <c r="E1865" s="225"/>
      <c r="F1865" s="1036" t="str">
        <f t="shared" si="652"/>
        <v/>
      </c>
      <c r="G1865" s="1037" t="str">
        <f t="shared" si="669"/>
        <v/>
      </c>
      <c r="H1865" s="225"/>
      <c r="I1865" s="1013"/>
      <c r="J1865" s="1013"/>
      <c r="K1865" s="1028"/>
      <c r="L1865" s="1035" t="str">
        <f t="shared" si="673"/>
        <v/>
      </c>
      <c r="S1865" s="498"/>
      <c r="AJ1865" s="498"/>
      <c r="AM1865" s="498">
        <f t="shared" si="654"/>
        <v>0</v>
      </c>
      <c r="AN1865" s="498">
        <f t="shared" si="655"/>
        <v>0</v>
      </c>
      <c r="AO1865" s="498">
        <f t="shared" si="656"/>
        <v>0</v>
      </c>
      <c r="AP1865" s="498">
        <f t="shared" si="653"/>
        <v>0</v>
      </c>
      <c r="AQ1865" s="498">
        <f t="shared" si="670"/>
        <v>0</v>
      </c>
      <c r="AU1865" s="498">
        <f t="shared" si="657"/>
        <v>0</v>
      </c>
      <c r="AV1865" s="498">
        <f t="shared" si="658"/>
        <v>0</v>
      </c>
      <c r="AW1865" s="498">
        <f t="shared" si="659"/>
        <v>0</v>
      </c>
      <c r="AX1865" s="498">
        <f t="shared" si="660"/>
        <v>0</v>
      </c>
      <c r="AY1865" s="498">
        <f t="shared" si="661"/>
        <v>0</v>
      </c>
      <c r="BB1865" s="498" t="str">
        <f t="shared" si="662"/>
        <v/>
      </c>
      <c r="BC1865" s="743" t="str">
        <f t="shared" si="663"/>
        <v/>
      </c>
      <c r="BD1865" s="743" t="str">
        <f t="shared" si="664"/>
        <v/>
      </c>
      <c r="BE1865" s="743" t="str">
        <f>IF(D1865="","",VLOOKUP(D1865,'General Basis'!$J$39:$K$46,2,0))</f>
        <v/>
      </c>
      <c r="BF1865" s="744" t="str">
        <f>IF(D1865="","",VLOOKUP(D1865,'General Basis'!$J$39:$L$46,3,0))</f>
        <v/>
      </c>
      <c r="BG1865" s="744" t="str">
        <f t="shared" si="671"/>
        <v/>
      </c>
      <c r="BH1865" s="744" t="str">
        <f>IF(G1865="","",IF(BF1865="Abu Dhabi",IF(G1865&lt;18,'General Basis'!$C$39,IF(G1865&lt;41,'General Basis'!$C$40,IF(G1865&lt;60,'General Basis'!$C$41,IF(G1865&lt;65,'General Basis'!$C$42,'General Basis'!$C$43)))),IF(G1865&lt;11,'General Basis'!$B$39,IF(G1865&lt;18,'General Basis'!$B$40,IF(G1865&lt;26,'General Basis'!$B$41,IF(G1865&lt;31,'General Basis'!$B$42,IF(G1865&lt;36,'General Basis'!$B$43,IF(G1865&lt;41,'General Basis'!$B$44,IF(G1865&lt;46,'General Basis'!$B$45,IF(G1865&lt;51,'General Basis'!$B$46,IF(G1865&lt;56,'General Basis'!$B$47,IF(G1865&lt;60,'General Basis'!$B$48,IF(G1865&lt;65,'General Basis'!$B$49,'General Basis'!$B$50)))))))))))))</f>
        <v/>
      </c>
      <c r="BI1865" s="744" t="str">
        <f t="shared" si="665"/>
        <v/>
      </c>
      <c r="BJ1865" s="747" t="str">
        <f t="shared" si="672"/>
        <v/>
      </c>
      <c r="BK1865" s="498" t="str">
        <f t="shared" si="666"/>
        <v/>
      </c>
      <c r="BL1865" s="498" t="str">
        <f t="shared" si="667"/>
        <v/>
      </c>
    </row>
    <row r="1866" spans="1:64" x14ac:dyDescent="0.25">
      <c r="A1866" s="762">
        <f t="shared" si="668"/>
        <v>1861</v>
      </c>
      <c r="B1866" s="229"/>
      <c r="C1866" s="223"/>
      <c r="D1866" s="224"/>
      <c r="E1866" s="225"/>
      <c r="F1866" s="1036" t="str">
        <f t="shared" si="652"/>
        <v/>
      </c>
      <c r="G1866" s="1037" t="str">
        <f t="shared" si="669"/>
        <v/>
      </c>
      <c r="H1866" s="225"/>
      <c r="I1866" s="1013"/>
      <c r="J1866" s="1013"/>
      <c r="K1866" s="1028"/>
      <c r="L1866" s="1035" t="str">
        <f t="shared" si="673"/>
        <v/>
      </c>
      <c r="S1866" s="498"/>
      <c r="AJ1866" s="498"/>
      <c r="AM1866" s="498">
        <f t="shared" si="654"/>
        <v>0</v>
      </c>
      <c r="AN1866" s="498">
        <f t="shared" si="655"/>
        <v>0</v>
      </c>
      <c r="AO1866" s="498">
        <f t="shared" si="656"/>
        <v>0</v>
      </c>
      <c r="AP1866" s="498">
        <f t="shared" si="653"/>
        <v>0</v>
      </c>
      <c r="AQ1866" s="498">
        <f t="shared" si="670"/>
        <v>0</v>
      </c>
      <c r="AU1866" s="498">
        <f t="shared" si="657"/>
        <v>0</v>
      </c>
      <c r="AV1866" s="498">
        <f t="shared" si="658"/>
        <v>0</v>
      </c>
      <c r="AW1866" s="498">
        <f t="shared" si="659"/>
        <v>0</v>
      </c>
      <c r="AX1866" s="498">
        <f t="shared" si="660"/>
        <v>0</v>
      </c>
      <c r="AY1866" s="498">
        <f t="shared" si="661"/>
        <v>0</v>
      </c>
      <c r="BB1866" s="498" t="str">
        <f t="shared" si="662"/>
        <v/>
      </c>
      <c r="BC1866" s="743" t="str">
        <f t="shared" si="663"/>
        <v/>
      </c>
      <c r="BD1866" s="743" t="str">
        <f t="shared" si="664"/>
        <v/>
      </c>
      <c r="BE1866" s="743" t="str">
        <f>IF(D1866="","",VLOOKUP(D1866,'General Basis'!$J$39:$K$46,2,0))</f>
        <v/>
      </c>
      <c r="BF1866" s="744" t="str">
        <f>IF(D1866="","",VLOOKUP(D1866,'General Basis'!$J$39:$L$46,3,0))</f>
        <v/>
      </c>
      <c r="BG1866" s="744" t="str">
        <f t="shared" si="671"/>
        <v/>
      </c>
      <c r="BH1866" s="744" t="str">
        <f>IF(G1866="","",IF(BF1866="Abu Dhabi",IF(G1866&lt;18,'General Basis'!$C$39,IF(G1866&lt;41,'General Basis'!$C$40,IF(G1866&lt;60,'General Basis'!$C$41,IF(G1866&lt;65,'General Basis'!$C$42,'General Basis'!$C$43)))),IF(G1866&lt;11,'General Basis'!$B$39,IF(G1866&lt;18,'General Basis'!$B$40,IF(G1866&lt;26,'General Basis'!$B$41,IF(G1866&lt;31,'General Basis'!$B$42,IF(G1866&lt;36,'General Basis'!$B$43,IF(G1866&lt;41,'General Basis'!$B$44,IF(G1866&lt;46,'General Basis'!$B$45,IF(G1866&lt;51,'General Basis'!$B$46,IF(G1866&lt;56,'General Basis'!$B$47,IF(G1866&lt;60,'General Basis'!$B$48,IF(G1866&lt;65,'General Basis'!$B$49,'General Basis'!$B$50)))))))))))))</f>
        <v/>
      </c>
      <c r="BI1866" s="744" t="str">
        <f t="shared" si="665"/>
        <v/>
      </c>
      <c r="BJ1866" s="747" t="str">
        <f t="shared" si="672"/>
        <v/>
      </c>
      <c r="BK1866" s="498" t="str">
        <f t="shared" si="666"/>
        <v/>
      </c>
      <c r="BL1866" s="498" t="str">
        <f t="shared" si="667"/>
        <v/>
      </c>
    </row>
    <row r="1867" spans="1:64" x14ac:dyDescent="0.25">
      <c r="A1867" s="762">
        <f t="shared" si="668"/>
        <v>1862</v>
      </c>
      <c r="B1867" s="229"/>
      <c r="C1867" s="223"/>
      <c r="D1867" s="224"/>
      <c r="E1867" s="225"/>
      <c r="F1867" s="1036" t="str">
        <f t="shared" si="652"/>
        <v/>
      </c>
      <c r="G1867" s="1037" t="str">
        <f t="shared" si="669"/>
        <v/>
      </c>
      <c r="H1867" s="225"/>
      <c r="I1867" s="1013"/>
      <c r="J1867" s="1013"/>
      <c r="K1867" s="1028"/>
      <c r="L1867" s="1035" t="str">
        <f t="shared" si="673"/>
        <v/>
      </c>
      <c r="S1867" s="498"/>
      <c r="AJ1867" s="498"/>
      <c r="AM1867" s="498">
        <f t="shared" si="654"/>
        <v>0</v>
      </c>
      <c r="AN1867" s="498">
        <f t="shared" si="655"/>
        <v>0</v>
      </c>
      <c r="AO1867" s="498">
        <f t="shared" si="656"/>
        <v>0</v>
      </c>
      <c r="AP1867" s="498">
        <f t="shared" si="653"/>
        <v>0</v>
      </c>
      <c r="AQ1867" s="498">
        <f t="shared" si="670"/>
        <v>0</v>
      </c>
      <c r="AU1867" s="498">
        <f t="shared" si="657"/>
        <v>0</v>
      </c>
      <c r="AV1867" s="498">
        <f t="shared" si="658"/>
        <v>0</v>
      </c>
      <c r="AW1867" s="498">
        <f t="shared" si="659"/>
        <v>0</v>
      </c>
      <c r="AX1867" s="498">
        <f t="shared" si="660"/>
        <v>0</v>
      </c>
      <c r="AY1867" s="498">
        <f t="shared" si="661"/>
        <v>0</v>
      </c>
      <c r="BB1867" s="498" t="str">
        <f t="shared" si="662"/>
        <v/>
      </c>
      <c r="BC1867" s="743" t="str">
        <f t="shared" si="663"/>
        <v/>
      </c>
      <c r="BD1867" s="743" t="str">
        <f t="shared" si="664"/>
        <v/>
      </c>
      <c r="BE1867" s="743" t="str">
        <f>IF(D1867="","",VLOOKUP(D1867,'General Basis'!$J$39:$K$46,2,0))</f>
        <v/>
      </c>
      <c r="BF1867" s="744" t="str">
        <f>IF(D1867="","",VLOOKUP(D1867,'General Basis'!$J$39:$L$46,3,0))</f>
        <v/>
      </c>
      <c r="BG1867" s="744" t="str">
        <f t="shared" si="671"/>
        <v/>
      </c>
      <c r="BH1867" s="744" t="str">
        <f>IF(G1867="","",IF(BF1867="Abu Dhabi",IF(G1867&lt;18,'General Basis'!$C$39,IF(G1867&lt;41,'General Basis'!$C$40,IF(G1867&lt;60,'General Basis'!$C$41,IF(G1867&lt;65,'General Basis'!$C$42,'General Basis'!$C$43)))),IF(G1867&lt;11,'General Basis'!$B$39,IF(G1867&lt;18,'General Basis'!$B$40,IF(G1867&lt;26,'General Basis'!$B$41,IF(G1867&lt;31,'General Basis'!$B$42,IF(G1867&lt;36,'General Basis'!$B$43,IF(G1867&lt;41,'General Basis'!$B$44,IF(G1867&lt;46,'General Basis'!$B$45,IF(G1867&lt;51,'General Basis'!$B$46,IF(G1867&lt;56,'General Basis'!$B$47,IF(G1867&lt;60,'General Basis'!$B$48,IF(G1867&lt;65,'General Basis'!$B$49,'General Basis'!$B$50)))))))))))))</f>
        <v/>
      </c>
      <c r="BI1867" s="744" t="str">
        <f t="shared" si="665"/>
        <v/>
      </c>
      <c r="BJ1867" s="747" t="str">
        <f t="shared" si="672"/>
        <v/>
      </c>
      <c r="BK1867" s="498" t="str">
        <f t="shared" si="666"/>
        <v/>
      </c>
      <c r="BL1867" s="498" t="str">
        <f t="shared" si="667"/>
        <v/>
      </c>
    </row>
    <row r="1868" spans="1:64" x14ac:dyDescent="0.25">
      <c r="A1868" s="762">
        <f t="shared" si="668"/>
        <v>1863</v>
      </c>
      <c r="B1868" s="229"/>
      <c r="C1868" s="223"/>
      <c r="D1868" s="224"/>
      <c r="E1868" s="225"/>
      <c r="F1868" s="1036" t="str">
        <f t="shared" si="652"/>
        <v/>
      </c>
      <c r="G1868" s="1037" t="str">
        <f t="shared" si="669"/>
        <v/>
      </c>
      <c r="H1868" s="225"/>
      <c r="I1868" s="1013"/>
      <c r="J1868" s="1013"/>
      <c r="K1868" s="1028"/>
      <c r="L1868" s="1035" t="str">
        <f t="shared" si="673"/>
        <v/>
      </c>
      <c r="S1868" s="498"/>
      <c r="AJ1868" s="498"/>
      <c r="AM1868" s="498">
        <f t="shared" si="654"/>
        <v>0</v>
      </c>
      <c r="AN1868" s="498">
        <f t="shared" si="655"/>
        <v>0</v>
      </c>
      <c r="AO1868" s="498">
        <f t="shared" si="656"/>
        <v>0</v>
      </c>
      <c r="AP1868" s="498">
        <f t="shared" si="653"/>
        <v>0</v>
      </c>
      <c r="AQ1868" s="498">
        <f t="shared" si="670"/>
        <v>0</v>
      </c>
      <c r="AU1868" s="498">
        <f t="shared" si="657"/>
        <v>0</v>
      </c>
      <c r="AV1868" s="498">
        <f t="shared" si="658"/>
        <v>0</v>
      </c>
      <c r="AW1868" s="498">
        <f t="shared" si="659"/>
        <v>0</v>
      </c>
      <c r="AX1868" s="498">
        <f t="shared" si="660"/>
        <v>0</v>
      </c>
      <c r="AY1868" s="498">
        <f t="shared" si="661"/>
        <v>0</v>
      </c>
      <c r="BB1868" s="498" t="str">
        <f t="shared" si="662"/>
        <v/>
      </c>
      <c r="BC1868" s="743" t="str">
        <f t="shared" si="663"/>
        <v/>
      </c>
      <c r="BD1868" s="743" t="str">
        <f t="shared" si="664"/>
        <v/>
      </c>
      <c r="BE1868" s="743" t="str">
        <f>IF(D1868="","",VLOOKUP(D1868,'General Basis'!$J$39:$K$46,2,0))</f>
        <v/>
      </c>
      <c r="BF1868" s="744" t="str">
        <f>IF(D1868="","",VLOOKUP(D1868,'General Basis'!$J$39:$L$46,3,0))</f>
        <v/>
      </c>
      <c r="BG1868" s="744" t="str">
        <f t="shared" si="671"/>
        <v/>
      </c>
      <c r="BH1868" s="744" t="str">
        <f>IF(G1868="","",IF(BF1868="Abu Dhabi",IF(G1868&lt;18,'General Basis'!$C$39,IF(G1868&lt;41,'General Basis'!$C$40,IF(G1868&lt;60,'General Basis'!$C$41,IF(G1868&lt;65,'General Basis'!$C$42,'General Basis'!$C$43)))),IF(G1868&lt;11,'General Basis'!$B$39,IF(G1868&lt;18,'General Basis'!$B$40,IF(G1868&lt;26,'General Basis'!$B$41,IF(G1868&lt;31,'General Basis'!$B$42,IF(G1868&lt;36,'General Basis'!$B$43,IF(G1868&lt;41,'General Basis'!$B$44,IF(G1868&lt;46,'General Basis'!$B$45,IF(G1868&lt;51,'General Basis'!$B$46,IF(G1868&lt;56,'General Basis'!$B$47,IF(G1868&lt;60,'General Basis'!$B$48,IF(G1868&lt;65,'General Basis'!$B$49,'General Basis'!$B$50)))))))))))))</f>
        <v/>
      </c>
      <c r="BI1868" s="744" t="str">
        <f t="shared" si="665"/>
        <v/>
      </c>
      <c r="BJ1868" s="747" t="str">
        <f t="shared" si="672"/>
        <v/>
      </c>
      <c r="BK1868" s="498" t="str">
        <f t="shared" si="666"/>
        <v/>
      </c>
      <c r="BL1868" s="498" t="str">
        <f t="shared" si="667"/>
        <v/>
      </c>
    </row>
    <row r="1869" spans="1:64" x14ac:dyDescent="0.25">
      <c r="A1869" s="762">
        <f t="shared" si="668"/>
        <v>1864</v>
      </c>
      <c r="B1869" s="229"/>
      <c r="C1869" s="223"/>
      <c r="D1869" s="224"/>
      <c r="E1869" s="225"/>
      <c r="F1869" s="1036" t="str">
        <f t="shared" si="652"/>
        <v/>
      </c>
      <c r="G1869" s="1037" t="str">
        <f t="shared" si="669"/>
        <v/>
      </c>
      <c r="H1869" s="225"/>
      <c r="I1869" s="1013"/>
      <c r="J1869" s="1013"/>
      <c r="K1869" s="1028"/>
      <c r="L1869" s="1035" t="str">
        <f t="shared" si="673"/>
        <v/>
      </c>
      <c r="S1869" s="498"/>
      <c r="AJ1869" s="498"/>
      <c r="AM1869" s="498">
        <f t="shared" si="654"/>
        <v>0</v>
      </c>
      <c r="AN1869" s="498">
        <f t="shared" si="655"/>
        <v>0</v>
      </c>
      <c r="AO1869" s="498">
        <f t="shared" si="656"/>
        <v>0</v>
      </c>
      <c r="AP1869" s="498">
        <f t="shared" si="653"/>
        <v>0</v>
      </c>
      <c r="AQ1869" s="498">
        <f t="shared" si="670"/>
        <v>0</v>
      </c>
      <c r="AU1869" s="498">
        <f t="shared" si="657"/>
        <v>0</v>
      </c>
      <c r="AV1869" s="498">
        <f t="shared" si="658"/>
        <v>0</v>
      </c>
      <c r="AW1869" s="498">
        <f t="shared" si="659"/>
        <v>0</v>
      </c>
      <c r="AX1869" s="498">
        <f t="shared" si="660"/>
        <v>0</v>
      </c>
      <c r="AY1869" s="498">
        <f t="shared" si="661"/>
        <v>0</v>
      </c>
      <c r="BB1869" s="498" t="str">
        <f t="shared" si="662"/>
        <v/>
      </c>
      <c r="BC1869" s="743" t="str">
        <f t="shared" si="663"/>
        <v/>
      </c>
      <c r="BD1869" s="743" t="str">
        <f t="shared" si="664"/>
        <v/>
      </c>
      <c r="BE1869" s="743" t="str">
        <f>IF(D1869="","",VLOOKUP(D1869,'General Basis'!$J$39:$K$46,2,0))</f>
        <v/>
      </c>
      <c r="BF1869" s="744" t="str">
        <f>IF(D1869="","",VLOOKUP(D1869,'General Basis'!$J$39:$L$46,3,0))</f>
        <v/>
      </c>
      <c r="BG1869" s="744" t="str">
        <f t="shared" si="671"/>
        <v/>
      </c>
      <c r="BH1869" s="744" t="str">
        <f>IF(G1869="","",IF(BF1869="Abu Dhabi",IF(G1869&lt;18,'General Basis'!$C$39,IF(G1869&lt;41,'General Basis'!$C$40,IF(G1869&lt;60,'General Basis'!$C$41,IF(G1869&lt;65,'General Basis'!$C$42,'General Basis'!$C$43)))),IF(G1869&lt;11,'General Basis'!$B$39,IF(G1869&lt;18,'General Basis'!$B$40,IF(G1869&lt;26,'General Basis'!$B$41,IF(G1869&lt;31,'General Basis'!$B$42,IF(G1869&lt;36,'General Basis'!$B$43,IF(G1869&lt;41,'General Basis'!$B$44,IF(G1869&lt;46,'General Basis'!$B$45,IF(G1869&lt;51,'General Basis'!$B$46,IF(G1869&lt;56,'General Basis'!$B$47,IF(G1869&lt;60,'General Basis'!$B$48,IF(G1869&lt;65,'General Basis'!$B$49,'General Basis'!$B$50)))))))))))))</f>
        <v/>
      </c>
      <c r="BI1869" s="744" t="str">
        <f t="shared" si="665"/>
        <v/>
      </c>
      <c r="BJ1869" s="747" t="str">
        <f t="shared" si="672"/>
        <v/>
      </c>
      <c r="BK1869" s="498" t="str">
        <f t="shared" si="666"/>
        <v/>
      </c>
      <c r="BL1869" s="498" t="str">
        <f t="shared" si="667"/>
        <v/>
      </c>
    </row>
    <row r="1870" spans="1:64" x14ac:dyDescent="0.25">
      <c r="A1870" s="762">
        <f t="shared" si="668"/>
        <v>1865</v>
      </c>
      <c r="B1870" s="229"/>
      <c r="C1870" s="223"/>
      <c r="D1870" s="224"/>
      <c r="E1870" s="225"/>
      <c r="F1870" s="1036" t="str">
        <f t="shared" si="652"/>
        <v/>
      </c>
      <c r="G1870" s="1037" t="str">
        <f t="shared" si="669"/>
        <v/>
      </c>
      <c r="H1870" s="225"/>
      <c r="I1870" s="1013"/>
      <c r="J1870" s="1013"/>
      <c r="K1870" s="1028"/>
      <c r="L1870" s="1035" t="str">
        <f t="shared" si="673"/>
        <v/>
      </c>
      <c r="S1870" s="498"/>
      <c r="AJ1870" s="498"/>
      <c r="AM1870" s="498">
        <f t="shared" si="654"/>
        <v>0</v>
      </c>
      <c r="AN1870" s="498">
        <f t="shared" si="655"/>
        <v>0</v>
      </c>
      <c r="AO1870" s="498">
        <f t="shared" si="656"/>
        <v>0</v>
      </c>
      <c r="AP1870" s="498">
        <f t="shared" si="653"/>
        <v>0</v>
      </c>
      <c r="AQ1870" s="498">
        <f t="shared" si="670"/>
        <v>0</v>
      </c>
      <c r="AU1870" s="498">
        <f t="shared" si="657"/>
        <v>0</v>
      </c>
      <c r="AV1870" s="498">
        <f t="shared" si="658"/>
        <v>0</v>
      </c>
      <c r="AW1870" s="498">
        <f t="shared" si="659"/>
        <v>0</v>
      </c>
      <c r="AX1870" s="498">
        <f t="shared" si="660"/>
        <v>0</v>
      </c>
      <c r="AY1870" s="498">
        <f t="shared" si="661"/>
        <v>0</v>
      </c>
      <c r="BB1870" s="498" t="str">
        <f t="shared" si="662"/>
        <v/>
      </c>
      <c r="BC1870" s="743" t="str">
        <f t="shared" si="663"/>
        <v/>
      </c>
      <c r="BD1870" s="743" t="str">
        <f t="shared" si="664"/>
        <v/>
      </c>
      <c r="BE1870" s="743" t="str">
        <f>IF(D1870="","",VLOOKUP(D1870,'General Basis'!$J$39:$K$46,2,0))</f>
        <v/>
      </c>
      <c r="BF1870" s="744" t="str">
        <f>IF(D1870="","",VLOOKUP(D1870,'General Basis'!$J$39:$L$46,3,0))</f>
        <v/>
      </c>
      <c r="BG1870" s="744" t="str">
        <f t="shared" si="671"/>
        <v/>
      </c>
      <c r="BH1870" s="744" t="str">
        <f>IF(G1870="","",IF(BF1870="Abu Dhabi",IF(G1870&lt;18,'General Basis'!$C$39,IF(G1870&lt;41,'General Basis'!$C$40,IF(G1870&lt;60,'General Basis'!$C$41,IF(G1870&lt;65,'General Basis'!$C$42,'General Basis'!$C$43)))),IF(G1870&lt;11,'General Basis'!$B$39,IF(G1870&lt;18,'General Basis'!$B$40,IF(G1870&lt;26,'General Basis'!$B$41,IF(G1870&lt;31,'General Basis'!$B$42,IF(G1870&lt;36,'General Basis'!$B$43,IF(G1870&lt;41,'General Basis'!$B$44,IF(G1870&lt;46,'General Basis'!$B$45,IF(G1870&lt;51,'General Basis'!$B$46,IF(G1870&lt;56,'General Basis'!$B$47,IF(G1870&lt;60,'General Basis'!$B$48,IF(G1870&lt;65,'General Basis'!$B$49,'General Basis'!$B$50)))))))))))))</f>
        <v/>
      </c>
      <c r="BI1870" s="744" t="str">
        <f t="shared" si="665"/>
        <v/>
      </c>
      <c r="BJ1870" s="747" t="str">
        <f t="shared" si="672"/>
        <v/>
      </c>
      <c r="BK1870" s="498" t="str">
        <f t="shared" si="666"/>
        <v/>
      </c>
      <c r="BL1870" s="498" t="str">
        <f t="shared" si="667"/>
        <v/>
      </c>
    </row>
    <row r="1871" spans="1:64" x14ac:dyDescent="0.25">
      <c r="A1871" s="762">
        <f t="shared" si="668"/>
        <v>1866</v>
      </c>
      <c r="B1871" s="229"/>
      <c r="C1871" s="223"/>
      <c r="D1871" s="224"/>
      <c r="E1871" s="225"/>
      <c r="F1871" s="1036" t="str">
        <f t="shared" si="652"/>
        <v/>
      </c>
      <c r="G1871" s="1037" t="str">
        <f t="shared" si="669"/>
        <v/>
      </c>
      <c r="H1871" s="225"/>
      <c r="I1871" s="1013"/>
      <c r="J1871" s="1013"/>
      <c r="K1871" s="1028"/>
      <c r="L1871" s="1035" t="str">
        <f t="shared" si="673"/>
        <v/>
      </c>
      <c r="S1871" s="498"/>
      <c r="AJ1871" s="498"/>
      <c r="AM1871" s="498">
        <f t="shared" si="654"/>
        <v>0</v>
      </c>
      <c r="AN1871" s="498">
        <f t="shared" si="655"/>
        <v>0</v>
      </c>
      <c r="AO1871" s="498">
        <f t="shared" si="656"/>
        <v>0</v>
      </c>
      <c r="AP1871" s="498">
        <f t="shared" si="653"/>
        <v>0</v>
      </c>
      <c r="AQ1871" s="498">
        <f t="shared" si="670"/>
        <v>0</v>
      </c>
      <c r="AU1871" s="498">
        <f t="shared" si="657"/>
        <v>0</v>
      </c>
      <c r="AV1871" s="498">
        <f t="shared" si="658"/>
        <v>0</v>
      </c>
      <c r="AW1871" s="498">
        <f t="shared" si="659"/>
        <v>0</v>
      </c>
      <c r="AX1871" s="498">
        <f t="shared" si="660"/>
        <v>0</v>
      </c>
      <c r="AY1871" s="498">
        <f t="shared" si="661"/>
        <v>0</v>
      </c>
      <c r="BB1871" s="498" t="str">
        <f t="shared" si="662"/>
        <v/>
      </c>
      <c r="BC1871" s="743" t="str">
        <f t="shared" si="663"/>
        <v/>
      </c>
      <c r="BD1871" s="743" t="str">
        <f t="shared" si="664"/>
        <v/>
      </c>
      <c r="BE1871" s="743" t="str">
        <f>IF(D1871="","",VLOOKUP(D1871,'General Basis'!$J$39:$K$46,2,0))</f>
        <v/>
      </c>
      <c r="BF1871" s="744" t="str">
        <f>IF(D1871="","",VLOOKUP(D1871,'General Basis'!$J$39:$L$46,3,0))</f>
        <v/>
      </c>
      <c r="BG1871" s="744" t="str">
        <f t="shared" si="671"/>
        <v/>
      </c>
      <c r="BH1871" s="744" t="str">
        <f>IF(G1871="","",IF(BF1871="Abu Dhabi",IF(G1871&lt;18,'General Basis'!$C$39,IF(G1871&lt;41,'General Basis'!$C$40,IF(G1871&lt;60,'General Basis'!$C$41,IF(G1871&lt;65,'General Basis'!$C$42,'General Basis'!$C$43)))),IF(G1871&lt;11,'General Basis'!$B$39,IF(G1871&lt;18,'General Basis'!$B$40,IF(G1871&lt;26,'General Basis'!$B$41,IF(G1871&lt;31,'General Basis'!$B$42,IF(G1871&lt;36,'General Basis'!$B$43,IF(G1871&lt;41,'General Basis'!$B$44,IF(G1871&lt;46,'General Basis'!$B$45,IF(G1871&lt;51,'General Basis'!$B$46,IF(G1871&lt;56,'General Basis'!$B$47,IF(G1871&lt;60,'General Basis'!$B$48,IF(G1871&lt;65,'General Basis'!$B$49,'General Basis'!$B$50)))))))))))))</f>
        <v/>
      </c>
      <c r="BI1871" s="744" t="str">
        <f t="shared" si="665"/>
        <v/>
      </c>
      <c r="BJ1871" s="747" t="str">
        <f t="shared" si="672"/>
        <v/>
      </c>
      <c r="BK1871" s="498" t="str">
        <f t="shared" si="666"/>
        <v/>
      </c>
      <c r="BL1871" s="498" t="str">
        <f t="shared" si="667"/>
        <v/>
      </c>
    </row>
    <row r="1872" spans="1:64" x14ac:dyDescent="0.25">
      <c r="A1872" s="762">
        <f t="shared" si="668"/>
        <v>1867</v>
      </c>
      <c r="B1872" s="229"/>
      <c r="C1872" s="223"/>
      <c r="D1872" s="224"/>
      <c r="E1872" s="225"/>
      <c r="F1872" s="1036" t="str">
        <f t="shared" ref="F1872:F1935" si="674">IF(C1872="","",IF($B1872="","",((YEAR($F$3)-YEAR($B1872))+(MONTH($F$3)-MONTH($B1872))/12+(DAY($F$3)-DAY($B1872))/(DATE(YEAR($F$3),12,31)-DATE(YEAR($F$3),1,1)+1))))</f>
        <v/>
      </c>
      <c r="G1872" s="1037" t="str">
        <f t="shared" si="669"/>
        <v/>
      </c>
      <c r="H1872" s="225"/>
      <c r="I1872" s="1013"/>
      <c r="J1872" s="1013"/>
      <c r="K1872" s="1028"/>
      <c r="L1872" s="1035" t="str">
        <f t="shared" si="673"/>
        <v/>
      </c>
      <c r="S1872" s="498"/>
      <c r="AJ1872" s="498"/>
      <c r="AM1872" s="498">
        <f t="shared" si="654"/>
        <v>0</v>
      </c>
      <c r="AN1872" s="498">
        <f t="shared" si="655"/>
        <v>0</v>
      </c>
      <c r="AO1872" s="498">
        <f t="shared" si="656"/>
        <v>0</v>
      </c>
      <c r="AP1872" s="498">
        <f t="shared" si="653"/>
        <v>0</v>
      </c>
      <c r="AQ1872" s="498">
        <f t="shared" si="670"/>
        <v>0</v>
      </c>
      <c r="AU1872" s="498">
        <f t="shared" si="657"/>
        <v>0</v>
      </c>
      <c r="AV1872" s="498">
        <f t="shared" si="658"/>
        <v>0</v>
      </c>
      <c r="AW1872" s="498">
        <f t="shared" si="659"/>
        <v>0</v>
      </c>
      <c r="AX1872" s="498">
        <f t="shared" si="660"/>
        <v>0</v>
      </c>
      <c r="AY1872" s="498">
        <f t="shared" si="661"/>
        <v>0</v>
      </c>
      <c r="BB1872" s="498" t="str">
        <f t="shared" si="662"/>
        <v/>
      </c>
      <c r="BC1872" s="743" t="str">
        <f t="shared" si="663"/>
        <v/>
      </c>
      <c r="BD1872" s="743" t="str">
        <f t="shared" si="664"/>
        <v/>
      </c>
      <c r="BE1872" s="743" t="str">
        <f>IF(D1872="","",VLOOKUP(D1872,'General Basis'!$J$39:$K$46,2,0))</f>
        <v/>
      </c>
      <c r="BF1872" s="744" t="str">
        <f>IF(D1872="","",VLOOKUP(D1872,'General Basis'!$J$39:$L$46,3,0))</f>
        <v/>
      </c>
      <c r="BG1872" s="744" t="str">
        <f t="shared" si="671"/>
        <v/>
      </c>
      <c r="BH1872" s="744" t="str">
        <f>IF(G1872="","",IF(BF1872="Abu Dhabi",IF(G1872&lt;18,'General Basis'!$C$39,IF(G1872&lt;41,'General Basis'!$C$40,IF(G1872&lt;60,'General Basis'!$C$41,IF(G1872&lt;65,'General Basis'!$C$42,'General Basis'!$C$43)))),IF(G1872&lt;11,'General Basis'!$B$39,IF(G1872&lt;18,'General Basis'!$B$40,IF(G1872&lt;26,'General Basis'!$B$41,IF(G1872&lt;31,'General Basis'!$B$42,IF(G1872&lt;36,'General Basis'!$B$43,IF(G1872&lt;41,'General Basis'!$B$44,IF(G1872&lt;46,'General Basis'!$B$45,IF(G1872&lt;51,'General Basis'!$B$46,IF(G1872&lt;56,'General Basis'!$B$47,IF(G1872&lt;60,'General Basis'!$B$48,IF(G1872&lt;65,'General Basis'!$B$49,'General Basis'!$B$50)))))))))))))</f>
        <v/>
      </c>
      <c r="BI1872" s="744" t="str">
        <f t="shared" si="665"/>
        <v/>
      </c>
      <c r="BJ1872" s="747" t="str">
        <f t="shared" si="672"/>
        <v/>
      </c>
      <c r="BK1872" s="498" t="str">
        <f t="shared" si="666"/>
        <v/>
      </c>
      <c r="BL1872" s="498" t="str">
        <f t="shared" si="667"/>
        <v/>
      </c>
    </row>
    <row r="1873" spans="1:64" x14ac:dyDescent="0.25">
      <c r="A1873" s="762">
        <f t="shared" si="668"/>
        <v>1868</v>
      </c>
      <c r="B1873" s="229"/>
      <c r="C1873" s="223"/>
      <c r="D1873" s="224"/>
      <c r="E1873" s="225"/>
      <c r="F1873" s="1036" t="str">
        <f t="shared" si="674"/>
        <v/>
      </c>
      <c r="G1873" s="1037" t="str">
        <f t="shared" si="669"/>
        <v/>
      </c>
      <c r="H1873" s="225"/>
      <c r="I1873" s="1013"/>
      <c r="J1873" s="1013"/>
      <c r="K1873" s="1028"/>
      <c r="L1873" s="1035" t="str">
        <f t="shared" si="673"/>
        <v/>
      </c>
      <c r="S1873" s="498"/>
      <c r="AJ1873" s="498"/>
      <c r="AM1873" s="498">
        <f t="shared" si="654"/>
        <v>0</v>
      </c>
      <c r="AN1873" s="498">
        <f t="shared" si="655"/>
        <v>0</v>
      </c>
      <c r="AO1873" s="498">
        <f t="shared" si="656"/>
        <v>0</v>
      </c>
      <c r="AP1873" s="498">
        <f t="shared" si="653"/>
        <v>0</v>
      </c>
      <c r="AQ1873" s="498">
        <f t="shared" si="670"/>
        <v>0</v>
      </c>
      <c r="AU1873" s="498">
        <f t="shared" si="657"/>
        <v>0</v>
      </c>
      <c r="AV1873" s="498">
        <f t="shared" si="658"/>
        <v>0</v>
      </c>
      <c r="AW1873" s="498">
        <f t="shared" si="659"/>
        <v>0</v>
      </c>
      <c r="AX1873" s="498">
        <f t="shared" si="660"/>
        <v>0</v>
      </c>
      <c r="AY1873" s="498">
        <f t="shared" si="661"/>
        <v>0</v>
      </c>
      <c r="BB1873" s="498" t="str">
        <f t="shared" si="662"/>
        <v/>
      </c>
      <c r="BC1873" s="743" t="str">
        <f t="shared" si="663"/>
        <v/>
      </c>
      <c r="BD1873" s="743" t="str">
        <f t="shared" si="664"/>
        <v/>
      </c>
      <c r="BE1873" s="743" t="str">
        <f>IF(D1873="","",VLOOKUP(D1873,'General Basis'!$J$39:$K$46,2,0))</f>
        <v/>
      </c>
      <c r="BF1873" s="744" t="str">
        <f>IF(D1873="","",VLOOKUP(D1873,'General Basis'!$J$39:$L$46,3,0))</f>
        <v/>
      </c>
      <c r="BG1873" s="744" t="str">
        <f t="shared" si="671"/>
        <v/>
      </c>
      <c r="BH1873" s="744" t="str">
        <f>IF(G1873="","",IF(BF1873="Abu Dhabi",IF(G1873&lt;18,'General Basis'!$C$39,IF(G1873&lt;41,'General Basis'!$C$40,IF(G1873&lt;60,'General Basis'!$C$41,IF(G1873&lt;65,'General Basis'!$C$42,'General Basis'!$C$43)))),IF(G1873&lt;11,'General Basis'!$B$39,IF(G1873&lt;18,'General Basis'!$B$40,IF(G1873&lt;26,'General Basis'!$B$41,IF(G1873&lt;31,'General Basis'!$B$42,IF(G1873&lt;36,'General Basis'!$B$43,IF(G1873&lt;41,'General Basis'!$B$44,IF(G1873&lt;46,'General Basis'!$B$45,IF(G1873&lt;51,'General Basis'!$B$46,IF(G1873&lt;56,'General Basis'!$B$47,IF(G1873&lt;60,'General Basis'!$B$48,IF(G1873&lt;65,'General Basis'!$B$49,'General Basis'!$B$50)))))))))))))</f>
        <v/>
      </c>
      <c r="BI1873" s="744" t="str">
        <f t="shared" si="665"/>
        <v/>
      </c>
      <c r="BJ1873" s="747" t="str">
        <f t="shared" si="672"/>
        <v/>
      </c>
      <c r="BK1873" s="498" t="str">
        <f t="shared" si="666"/>
        <v/>
      </c>
      <c r="BL1873" s="498" t="str">
        <f t="shared" si="667"/>
        <v/>
      </c>
    </row>
    <row r="1874" spans="1:64" x14ac:dyDescent="0.25">
      <c r="A1874" s="762">
        <f t="shared" si="668"/>
        <v>1869</v>
      </c>
      <c r="B1874" s="229"/>
      <c r="C1874" s="223"/>
      <c r="D1874" s="224"/>
      <c r="E1874" s="225"/>
      <c r="F1874" s="1036" t="str">
        <f t="shared" si="674"/>
        <v/>
      </c>
      <c r="G1874" s="1037" t="str">
        <f t="shared" si="669"/>
        <v/>
      </c>
      <c r="H1874" s="225"/>
      <c r="I1874" s="1013"/>
      <c r="J1874" s="1013"/>
      <c r="K1874" s="1028"/>
      <c r="L1874" s="1035" t="str">
        <f t="shared" si="673"/>
        <v/>
      </c>
      <c r="S1874" s="498"/>
      <c r="AJ1874" s="498"/>
      <c r="AM1874" s="498">
        <f t="shared" si="654"/>
        <v>0</v>
      </c>
      <c r="AN1874" s="498">
        <f t="shared" si="655"/>
        <v>0</v>
      </c>
      <c r="AO1874" s="498">
        <f t="shared" si="656"/>
        <v>0</v>
      </c>
      <c r="AP1874" s="498">
        <f t="shared" si="653"/>
        <v>0</v>
      </c>
      <c r="AQ1874" s="498">
        <f t="shared" si="670"/>
        <v>0</v>
      </c>
      <c r="AU1874" s="498">
        <f t="shared" si="657"/>
        <v>0</v>
      </c>
      <c r="AV1874" s="498">
        <f t="shared" si="658"/>
        <v>0</v>
      </c>
      <c r="AW1874" s="498">
        <f t="shared" si="659"/>
        <v>0</v>
      </c>
      <c r="AX1874" s="498">
        <f t="shared" si="660"/>
        <v>0</v>
      </c>
      <c r="AY1874" s="498">
        <f t="shared" si="661"/>
        <v>0</v>
      </c>
      <c r="BB1874" s="498" t="str">
        <f t="shared" si="662"/>
        <v/>
      </c>
      <c r="BC1874" s="743" t="str">
        <f t="shared" si="663"/>
        <v/>
      </c>
      <c r="BD1874" s="743" t="str">
        <f t="shared" si="664"/>
        <v/>
      </c>
      <c r="BE1874" s="743" t="str">
        <f>IF(D1874="","",VLOOKUP(D1874,'General Basis'!$J$39:$K$46,2,0))</f>
        <v/>
      </c>
      <c r="BF1874" s="744" t="str">
        <f>IF(D1874="","",VLOOKUP(D1874,'General Basis'!$J$39:$L$46,3,0))</f>
        <v/>
      </c>
      <c r="BG1874" s="744" t="str">
        <f t="shared" si="671"/>
        <v/>
      </c>
      <c r="BH1874" s="744" t="str">
        <f>IF(G1874="","",IF(BF1874="Abu Dhabi",IF(G1874&lt;18,'General Basis'!$C$39,IF(G1874&lt;41,'General Basis'!$C$40,IF(G1874&lt;60,'General Basis'!$C$41,IF(G1874&lt;65,'General Basis'!$C$42,'General Basis'!$C$43)))),IF(G1874&lt;11,'General Basis'!$B$39,IF(G1874&lt;18,'General Basis'!$B$40,IF(G1874&lt;26,'General Basis'!$B$41,IF(G1874&lt;31,'General Basis'!$B$42,IF(G1874&lt;36,'General Basis'!$B$43,IF(G1874&lt;41,'General Basis'!$B$44,IF(G1874&lt;46,'General Basis'!$B$45,IF(G1874&lt;51,'General Basis'!$B$46,IF(G1874&lt;56,'General Basis'!$B$47,IF(G1874&lt;60,'General Basis'!$B$48,IF(G1874&lt;65,'General Basis'!$B$49,'General Basis'!$B$50)))))))))))))</f>
        <v/>
      </c>
      <c r="BI1874" s="744" t="str">
        <f t="shared" si="665"/>
        <v/>
      </c>
      <c r="BJ1874" s="747" t="str">
        <f t="shared" si="672"/>
        <v/>
      </c>
      <c r="BK1874" s="498" t="str">
        <f t="shared" si="666"/>
        <v/>
      </c>
      <c r="BL1874" s="498" t="str">
        <f t="shared" si="667"/>
        <v/>
      </c>
    </row>
    <row r="1875" spans="1:64" x14ac:dyDescent="0.25">
      <c r="A1875" s="762">
        <f t="shared" si="668"/>
        <v>1870</v>
      </c>
      <c r="B1875" s="229"/>
      <c r="C1875" s="223"/>
      <c r="D1875" s="224"/>
      <c r="E1875" s="225"/>
      <c r="F1875" s="1036" t="str">
        <f t="shared" si="674"/>
        <v/>
      </c>
      <c r="G1875" s="1037" t="str">
        <f t="shared" si="669"/>
        <v/>
      </c>
      <c r="H1875" s="225"/>
      <c r="I1875" s="1013"/>
      <c r="J1875" s="1013"/>
      <c r="K1875" s="1028"/>
      <c r="L1875" s="1035" t="str">
        <f t="shared" si="673"/>
        <v/>
      </c>
      <c r="S1875" s="498"/>
      <c r="AJ1875" s="498"/>
      <c r="AM1875" s="498">
        <f t="shared" si="654"/>
        <v>0</v>
      </c>
      <c r="AN1875" s="498">
        <f t="shared" si="655"/>
        <v>0</v>
      </c>
      <c r="AO1875" s="498">
        <f t="shared" si="656"/>
        <v>0</v>
      </c>
      <c r="AP1875" s="498">
        <f t="shared" ref="AP1875:AP1938" si="675">IF(ISBLANK($B1875),0,IF(OR($C1875="M",$C1875="F"),0,1))</f>
        <v>0</v>
      </c>
      <c r="AQ1875" s="498">
        <f t="shared" si="670"/>
        <v>0</v>
      </c>
      <c r="AU1875" s="498">
        <f t="shared" si="657"/>
        <v>0</v>
      </c>
      <c r="AV1875" s="498">
        <f t="shared" si="658"/>
        <v>0</v>
      </c>
      <c r="AW1875" s="498">
        <f t="shared" si="659"/>
        <v>0</v>
      </c>
      <c r="AX1875" s="498">
        <f t="shared" si="660"/>
        <v>0</v>
      </c>
      <c r="AY1875" s="498">
        <f t="shared" si="661"/>
        <v>0</v>
      </c>
      <c r="BB1875" s="498" t="str">
        <f t="shared" si="662"/>
        <v/>
      </c>
      <c r="BC1875" s="743" t="str">
        <f t="shared" si="663"/>
        <v/>
      </c>
      <c r="BD1875" s="743" t="str">
        <f t="shared" si="664"/>
        <v/>
      </c>
      <c r="BE1875" s="743" t="str">
        <f>IF(D1875="","",VLOOKUP(D1875,'General Basis'!$J$39:$K$46,2,0))</f>
        <v/>
      </c>
      <c r="BF1875" s="744" t="str">
        <f>IF(D1875="","",VLOOKUP(D1875,'General Basis'!$J$39:$L$46,3,0))</f>
        <v/>
      </c>
      <c r="BG1875" s="744" t="str">
        <f t="shared" si="671"/>
        <v/>
      </c>
      <c r="BH1875" s="744" t="str">
        <f>IF(G1875="","",IF(BF1875="Abu Dhabi",IF(G1875&lt;18,'General Basis'!$C$39,IF(G1875&lt;41,'General Basis'!$C$40,IF(G1875&lt;60,'General Basis'!$C$41,IF(G1875&lt;65,'General Basis'!$C$42,'General Basis'!$C$43)))),IF(G1875&lt;11,'General Basis'!$B$39,IF(G1875&lt;18,'General Basis'!$B$40,IF(G1875&lt;26,'General Basis'!$B$41,IF(G1875&lt;31,'General Basis'!$B$42,IF(G1875&lt;36,'General Basis'!$B$43,IF(G1875&lt;41,'General Basis'!$B$44,IF(G1875&lt;46,'General Basis'!$B$45,IF(G1875&lt;51,'General Basis'!$B$46,IF(G1875&lt;56,'General Basis'!$B$47,IF(G1875&lt;60,'General Basis'!$B$48,IF(G1875&lt;65,'General Basis'!$B$49,'General Basis'!$B$50)))))))))))))</f>
        <v/>
      </c>
      <c r="BI1875" s="744" t="str">
        <f t="shared" si="665"/>
        <v/>
      </c>
      <c r="BJ1875" s="747" t="str">
        <f t="shared" si="672"/>
        <v/>
      </c>
      <c r="BK1875" s="498" t="str">
        <f t="shared" si="666"/>
        <v/>
      </c>
      <c r="BL1875" s="498" t="str">
        <f t="shared" si="667"/>
        <v/>
      </c>
    </row>
    <row r="1876" spans="1:64" x14ac:dyDescent="0.25">
      <c r="A1876" s="762">
        <f t="shared" si="668"/>
        <v>1871</v>
      </c>
      <c r="B1876" s="229"/>
      <c r="C1876" s="223"/>
      <c r="D1876" s="224"/>
      <c r="E1876" s="225"/>
      <c r="F1876" s="1036" t="str">
        <f t="shared" si="674"/>
        <v/>
      </c>
      <c r="G1876" s="1037" t="str">
        <f t="shared" si="669"/>
        <v/>
      </c>
      <c r="H1876" s="225"/>
      <c r="I1876" s="1013"/>
      <c r="J1876" s="1013"/>
      <c r="K1876" s="1028"/>
      <c r="L1876" s="1035" t="str">
        <f t="shared" si="673"/>
        <v/>
      </c>
      <c r="S1876" s="498"/>
      <c r="AJ1876" s="498"/>
      <c r="AM1876" s="498">
        <f t="shared" si="654"/>
        <v>0</v>
      </c>
      <c r="AN1876" s="498">
        <f t="shared" si="655"/>
        <v>0</v>
      </c>
      <c r="AO1876" s="498">
        <f t="shared" si="656"/>
        <v>0</v>
      </c>
      <c r="AP1876" s="498">
        <f t="shared" si="675"/>
        <v>0</v>
      </c>
      <c r="AQ1876" s="498">
        <f t="shared" si="670"/>
        <v>0</v>
      </c>
      <c r="AU1876" s="498">
        <f t="shared" si="657"/>
        <v>0</v>
      </c>
      <c r="AV1876" s="498">
        <f t="shared" si="658"/>
        <v>0</v>
      </c>
      <c r="AW1876" s="498">
        <f t="shared" si="659"/>
        <v>0</v>
      </c>
      <c r="AX1876" s="498">
        <f t="shared" si="660"/>
        <v>0</v>
      </c>
      <c r="AY1876" s="498">
        <f t="shared" si="661"/>
        <v>0</v>
      </c>
      <c r="BB1876" s="498" t="str">
        <f t="shared" si="662"/>
        <v/>
      </c>
      <c r="BC1876" s="743" t="str">
        <f t="shared" si="663"/>
        <v/>
      </c>
      <c r="BD1876" s="743" t="str">
        <f t="shared" si="664"/>
        <v/>
      </c>
      <c r="BE1876" s="743" t="str">
        <f>IF(D1876="","",VLOOKUP(D1876,'General Basis'!$J$39:$K$46,2,0))</f>
        <v/>
      </c>
      <c r="BF1876" s="744" t="str">
        <f>IF(D1876="","",VLOOKUP(D1876,'General Basis'!$J$39:$L$46,3,0))</f>
        <v/>
      </c>
      <c r="BG1876" s="744" t="str">
        <f t="shared" si="671"/>
        <v/>
      </c>
      <c r="BH1876" s="744" t="str">
        <f>IF(G1876="","",IF(BF1876="Abu Dhabi",IF(G1876&lt;18,'General Basis'!$C$39,IF(G1876&lt;41,'General Basis'!$C$40,IF(G1876&lt;60,'General Basis'!$C$41,IF(G1876&lt;65,'General Basis'!$C$42,'General Basis'!$C$43)))),IF(G1876&lt;11,'General Basis'!$B$39,IF(G1876&lt;18,'General Basis'!$B$40,IF(G1876&lt;26,'General Basis'!$B$41,IF(G1876&lt;31,'General Basis'!$B$42,IF(G1876&lt;36,'General Basis'!$B$43,IF(G1876&lt;41,'General Basis'!$B$44,IF(G1876&lt;46,'General Basis'!$B$45,IF(G1876&lt;51,'General Basis'!$B$46,IF(G1876&lt;56,'General Basis'!$B$47,IF(G1876&lt;60,'General Basis'!$B$48,IF(G1876&lt;65,'General Basis'!$B$49,'General Basis'!$B$50)))))))))))))</f>
        <v/>
      </c>
      <c r="BI1876" s="744" t="str">
        <f t="shared" si="665"/>
        <v/>
      </c>
      <c r="BJ1876" s="747" t="str">
        <f t="shared" si="672"/>
        <v/>
      </c>
      <c r="BK1876" s="498" t="str">
        <f t="shared" si="666"/>
        <v/>
      </c>
      <c r="BL1876" s="498" t="str">
        <f t="shared" si="667"/>
        <v/>
      </c>
    </row>
    <row r="1877" spans="1:64" x14ac:dyDescent="0.25">
      <c r="A1877" s="762">
        <f t="shared" si="668"/>
        <v>1872</v>
      </c>
      <c r="B1877" s="229"/>
      <c r="C1877" s="223"/>
      <c r="D1877" s="224"/>
      <c r="E1877" s="225"/>
      <c r="F1877" s="1036" t="str">
        <f t="shared" si="674"/>
        <v/>
      </c>
      <c r="G1877" s="1037" t="str">
        <f t="shared" si="669"/>
        <v/>
      </c>
      <c r="H1877" s="225"/>
      <c r="I1877" s="1013"/>
      <c r="J1877" s="1013"/>
      <c r="K1877" s="1028"/>
      <c r="L1877" s="1035" t="str">
        <f t="shared" si="673"/>
        <v/>
      </c>
      <c r="S1877" s="498"/>
      <c r="AJ1877" s="498"/>
      <c r="AM1877" s="498">
        <f t="shared" si="654"/>
        <v>0</v>
      </c>
      <c r="AN1877" s="498">
        <f t="shared" si="655"/>
        <v>0</v>
      </c>
      <c r="AO1877" s="498">
        <f t="shared" si="656"/>
        <v>0</v>
      </c>
      <c r="AP1877" s="498">
        <f t="shared" si="675"/>
        <v>0</v>
      </c>
      <c r="AQ1877" s="498">
        <f t="shared" si="670"/>
        <v>0</v>
      </c>
      <c r="AU1877" s="498">
        <f t="shared" si="657"/>
        <v>0</v>
      </c>
      <c r="AV1877" s="498">
        <f t="shared" si="658"/>
        <v>0</v>
      </c>
      <c r="AW1877" s="498">
        <f t="shared" si="659"/>
        <v>0</v>
      </c>
      <c r="AX1877" s="498">
        <f t="shared" si="660"/>
        <v>0</v>
      </c>
      <c r="AY1877" s="498">
        <f t="shared" si="661"/>
        <v>0</v>
      </c>
      <c r="BB1877" s="498" t="str">
        <f t="shared" si="662"/>
        <v/>
      </c>
      <c r="BC1877" s="743" t="str">
        <f t="shared" si="663"/>
        <v/>
      </c>
      <c r="BD1877" s="743" t="str">
        <f t="shared" si="664"/>
        <v/>
      </c>
      <c r="BE1877" s="743" t="str">
        <f>IF(D1877="","",VLOOKUP(D1877,'General Basis'!$J$39:$K$46,2,0))</f>
        <v/>
      </c>
      <c r="BF1877" s="744" t="str">
        <f>IF(D1877="","",VLOOKUP(D1877,'General Basis'!$J$39:$L$46,3,0))</f>
        <v/>
      </c>
      <c r="BG1877" s="744" t="str">
        <f t="shared" si="671"/>
        <v/>
      </c>
      <c r="BH1877" s="744" t="str">
        <f>IF(G1877="","",IF(BF1877="Abu Dhabi",IF(G1877&lt;18,'General Basis'!$C$39,IF(G1877&lt;41,'General Basis'!$C$40,IF(G1877&lt;60,'General Basis'!$C$41,IF(G1877&lt;65,'General Basis'!$C$42,'General Basis'!$C$43)))),IF(G1877&lt;11,'General Basis'!$B$39,IF(G1877&lt;18,'General Basis'!$B$40,IF(G1877&lt;26,'General Basis'!$B$41,IF(G1877&lt;31,'General Basis'!$B$42,IF(G1877&lt;36,'General Basis'!$B$43,IF(G1877&lt;41,'General Basis'!$B$44,IF(G1877&lt;46,'General Basis'!$B$45,IF(G1877&lt;51,'General Basis'!$B$46,IF(G1877&lt;56,'General Basis'!$B$47,IF(G1877&lt;60,'General Basis'!$B$48,IF(G1877&lt;65,'General Basis'!$B$49,'General Basis'!$B$50)))))))))))))</f>
        <v/>
      </c>
      <c r="BI1877" s="744" t="str">
        <f t="shared" si="665"/>
        <v/>
      </c>
      <c r="BJ1877" s="747" t="str">
        <f t="shared" si="672"/>
        <v/>
      </c>
      <c r="BK1877" s="498" t="str">
        <f t="shared" si="666"/>
        <v/>
      </c>
      <c r="BL1877" s="498" t="str">
        <f t="shared" si="667"/>
        <v/>
      </c>
    </row>
    <row r="1878" spans="1:64" x14ac:dyDescent="0.25">
      <c r="A1878" s="762">
        <f t="shared" si="668"/>
        <v>1873</v>
      </c>
      <c r="B1878" s="229"/>
      <c r="C1878" s="223"/>
      <c r="D1878" s="224"/>
      <c r="E1878" s="225"/>
      <c r="F1878" s="1036" t="str">
        <f t="shared" si="674"/>
        <v/>
      </c>
      <c r="G1878" s="1037" t="str">
        <f t="shared" si="669"/>
        <v/>
      </c>
      <c r="H1878" s="225"/>
      <c r="I1878" s="1013"/>
      <c r="J1878" s="1013"/>
      <c r="K1878" s="1028"/>
      <c r="L1878" s="1035" t="str">
        <f t="shared" si="673"/>
        <v/>
      </c>
      <c r="S1878" s="498"/>
      <c r="AJ1878" s="498"/>
      <c r="AM1878" s="498">
        <f t="shared" si="654"/>
        <v>0</v>
      </c>
      <c r="AN1878" s="498">
        <f t="shared" si="655"/>
        <v>0</v>
      </c>
      <c r="AO1878" s="498">
        <f t="shared" si="656"/>
        <v>0</v>
      </c>
      <c r="AP1878" s="498">
        <f t="shared" si="675"/>
        <v>0</v>
      </c>
      <c r="AQ1878" s="498">
        <f t="shared" si="670"/>
        <v>0</v>
      </c>
      <c r="AU1878" s="498">
        <f t="shared" si="657"/>
        <v>0</v>
      </c>
      <c r="AV1878" s="498">
        <f t="shared" si="658"/>
        <v>0</v>
      </c>
      <c r="AW1878" s="498">
        <f t="shared" si="659"/>
        <v>0</v>
      </c>
      <c r="AX1878" s="498">
        <f t="shared" si="660"/>
        <v>0</v>
      </c>
      <c r="AY1878" s="498">
        <f t="shared" si="661"/>
        <v>0</v>
      </c>
      <c r="BB1878" s="498" t="str">
        <f t="shared" si="662"/>
        <v/>
      </c>
      <c r="BC1878" s="743" t="str">
        <f t="shared" si="663"/>
        <v/>
      </c>
      <c r="BD1878" s="743" t="str">
        <f t="shared" si="664"/>
        <v/>
      </c>
      <c r="BE1878" s="743" t="str">
        <f>IF(D1878="","",VLOOKUP(D1878,'General Basis'!$J$39:$K$46,2,0))</f>
        <v/>
      </c>
      <c r="BF1878" s="744" t="str">
        <f>IF(D1878="","",VLOOKUP(D1878,'General Basis'!$J$39:$L$46,3,0))</f>
        <v/>
      </c>
      <c r="BG1878" s="744" t="str">
        <f t="shared" si="671"/>
        <v/>
      </c>
      <c r="BH1878" s="744" t="str">
        <f>IF(G1878="","",IF(BF1878="Abu Dhabi",IF(G1878&lt;18,'General Basis'!$C$39,IF(G1878&lt;41,'General Basis'!$C$40,IF(G1878&lt;60,'General Basis'!$C$41,IF(G1878&lt;65,'General Basis'!$C$42,'General Basis'!$C$43)))),IF(G1878&lt;11,'General Basis'!$B$39,IF(G1878&lt;18,'General Basis'!$B$40,IF(G1878&lt;26,'General Basis'!$B$41,IF(G1878&lt;31,'General Basis'!$B$42,IF(G1878&lt;36,'General Basis'!$B$43,IF(G1878&lt;41,'General Basis'!$B$44,IF(G1878&lt;46,'General Basis'!$B$45,IF(G1878&lt;51,'General Basis'!$B$46,IF(G1878&lt;56,'General Basis'!$B$47,IF(G1878&lt;60,'General Basis'!$B$48,IF(G1878&lt;65,'General Basis'!$B$49,'General Basis'!$B$50)))))))))))))</f>
        <v/>
      </c>
      <c r="BI1878" s="744" t="str">
        <f t="shared" si="665"/>
        <v/>
      </c>
      <c r="BJ1878" s="747" t="str">
        <f t="shared" si="672"/>
        <v/>
      </c>
      <c r="BK1878" s="498" t="str">
        <f t="shared" si="666"/>
        <v/>
      </c>
      <c r="BL1878" s="498" t="str">
        <f t="shared" si="667"/>
        <v/>
      </c>
    </row>
    <row r="1879" spans="1:64" x14ac:dyDescent="0.25">
      <c r="A1879" s="762">
        <f t="shared" si="668"/>
        <v>1874</v>
      </c>
      <c r="B1879" s="229"/>
      <c r="C1879" s="223"/>
      <c r="D1879" s="224"/>
      <c r="E1879" s="225"/>
      <c r="F1879" s="1036" t="str">
        <f t="shared" si="674"/>
        <v/>
      </c>
      <c r="G1879" s="1037" t="str">
        <f t="shared" si="669"/>
        <v/>
      </c>
      <c r="H1879" s="225"/>
      <c r="I1879" s="1013"/>
      <c r="J1879" s="1013"/>
      <c r="K1879" s="1028"/>
      <c r="L1879" s="1035" t="str">
        <f t="shared" si="673"/>
        <v/>
      </c>
      <c r="S1879" s="498"/>
      <c r="AJ1879" s="498"/>
      <c r="AM1879" s="498">
        <f t="shared" si="654"/>
        <v>0</v>
      </c>
      <c r="AN1879" s="498">
        <f t="shared" si="655"/>
        <v>0</v>
      </c>
      <c r="AO1879" s="498">
        <f t="shared" si="656"/>
        <v>0</v>
      </c>
      <c r="AP1879" s="498">
        <f t="shared" si="675"/>
        <v>0</v>
      </c>
      <c r="AQ1879" s="498">
        <f t="shared" si="670"/>
        <v>0</v>
      </c>
      <c r="AU1879" s="498">
        <f t="shared" si="657"/>
        <v>0</v>
      </c>
      <c r="AV1879" s="498">
        <f t="shared" si="658"/>
        <v>0</v>
      </c>
      <c r="AW1879" s="498">
        <f t="shared" si="659"/>
        <v>0</v>
      </c>
      <c r="AX1879" s="498">
        <f t="shared" si="660"/>
        <v>0</v>
      </c>
      <c r="AY1879" s="498">
        <f t="shared" si="661"/>
        <v>0</v>
      </c>
      <c r="BB1879" s="498" t="str">
        <f t="shared" si="662"/>
        <v/>
      </c>
      <c r="BC1879" s="743" t="str">
        <f t="shared" si="663"/>
        <v/>
      </c>
      <c r="BD1879" s="743" t="str">
        <f t="shared" si="664"/>
        <v/>
      </c>
      <c r="BE1879" s="743" t="str">
        <f>IF(D1879="","",VLOOKUP(D1879,'General Basis'!$J$39:$K$46,2,0))</f>
        <v/>
      </c>
      <c r="BF1879" s="744" t="str">
        <f>IF(D1879="","",VLOOKUP(D1879,'General Basis'!$J$39:$L$46,3,0))</f>
        <v/>
      </c>
      <c r="BG1879" s="744" t="str">
        <f t="shared" si="671"/>
        <v/>
      </c>
      <c r="BH1879" s="744" t="str">
        <f>IF(G1879="","",IF(BF1879="Abu Dhabi",IF(G1879&lt;18,'General Basis'!$C$39,IF(G1879&lt;41,'General Basis'!$C$40,IF(G1879&lt;60,'General Basis'!$C$41,IF(G1879&lt;65,'General Basis'!$C$42,'General Basis'!$C$43)))),IF(G1879&lt;11,'General Basis'!$B$39,IF(G1879&lt;18,'General Basis'!$B$40,IF(G1879&lt;26,'General Basis'!$B$41,IF(G1879&lt;31,'General Basis'!$B$42,IF(G1879&lt;36,'General Basis'!$B$43,IF(G1879&lt;41,'General Basis'!$B$44,IF(G1879&lt;46,'General Basis'!$B$45,IF(G1879&lt;51,'General Basis'!$B$46,IF(G1879&lt;56,'General Basis'!$B$47,IF(G1879&lt;60,'General Basis'!$B$48,IF(G1879&lt;65,'General Basis'!$B$49,'General Basis'!$B$50)))))))))))))</f>
        <v/>
      </c>
      <c r="BI1879" s="744" t="str">
        <f t="shared" si="665"/>
        <v/>
      </c>
      <c r="BJ1879" s="747" t="str">
        <f t="shared" si="672"/>
        <v/>
      </c>
      <c r="BK1879" s="498" t="str">
        <f t="shared" si="666"/>
        <v/>
      </c>
      <c r="BL1879" s="498" t="str">
        <f t="shared" si="667"/>
        <v/>
      </c>
    </row>
    <row r="1880" spans="1:64" x14ac:dyDescent="0.25">
      <c r="A1880" s="762">
        <f t="shared" si="668"/>
        <v>1875</v>
      </c>
      <c r="B1880" s="229"/>
      <c r="C1880" s="223"/>
      <c r="D1880" s="224"/>
      <c r="E1880" s="225"/>
      <c r="F1880" s="1036" t="str">
        <f t="shared" si="674"/>
        <v/>
      </c>
      <c r="G1880" s="1037" t="str">
        <f t="shared" si="669"/>
        <v/>
      </c>
      <c r="H1880" s="225"/>
      <c r="I1880" s="1013"/>
      <c r="J1880" s="1013"/>
      <c r="K1880" s="1028"/>
      <c r="L1880" s="1035" t="str">
        <f t="shared" si="673"/>
        <v/>
      </c>
      <c r="S1880" s="498"/>
      <c r="AJ1880" s="498"/>
      <c r="AM1880" s="498">
        <f t="shared" si="654"/>
        <v>0</v>
      </c>
      <c r="AN1880" s="498">
        <f t="shared" si="655"/>
        <v>0</v>
      </c>
      <c r="AO1880" s="498">
        <f t="shared" si="656"/>
        <v>0</v>
      </c>
      <c r="AP1880" s="498">
        <f t="shared" si="675"/>
        <v>0</v>
      </c>
      <c r="AQ1880" s="498">
        <f t="shared" si="670"/>
        <v>0</v>
      </c>
      <c r="AU1880" s="498">
        <f t="shared" si="657"/>
        <v>0</v>
      </c>
      <c r="AV1880" s="498">
        <f t="shared" si="658"/>
        <v>0</v>
      </c>
      <c r="AW1880" s="498">
        <f t="shared" si="659"/>
        <v>0</v>
      </c>
      <c r="AX1880" s="498">
        <f t="shared" si="660"/>
        <v>0</v>
      </c>
      <c r="AY1880" s="498">
        <f t="shared" si="661"/>
        <v>0</v>
      </c>
      <c r="BB1880" s="498" t="str">
        <f t="shared" si="662"/>
        <v/>
      </c>
      <c r="BC1880" s="743" t="str">
        <f t="shared" si="663"/>
        <v/>
      </c>
      <c r="BD1880" s="743" t="str">
        <f t="shared" si="664"/>
        <v/>
      </c>
      <c r="BE1880" s="743" t="str">
        <f>IF(D1880="","",VLOOKUP(D1880,'General Basis'!$J$39:$K$46,2,0))</f>
        <v/>
      </c>
      <c r="BF1880" s="744" t="str">
        <f>IF(D1880="","",VLOOKUP(D1880,'General Basis'!$J$39:$L$46,3,0))</f>
        <v/>
      </c>
      <c r="BG1880" s="744" t="str">
        <f t="shared" si="671"/>
        <v/>
      </c>
      <c r="BH1880" s="744" t="str">
        <f>IF(G1880="","",IF(BF1880="Abu Dhabi",IF(G1880&lt;18,'General Basis'!$C$39,IF(G1880&lt;41,'General Basis'!$C$40,IF(G1880&lt;60,'General Basis'!$C$41,IF(G1880&lt;65,'General Basis'!$C$42,'General Basis'!$C$43)))),IF(G1880&lt;11,'General Basis'!$B$39,IF(G1880&lt;18,'General Basis'!$B$40,IF(G1880&lt;26,'General Basis'!$B$41,IF(G1880&lt;31,'General Basis'!$B$42,IF(G1880&lt;36,'General Basis'!$B$43,IF(G1880&lt;41,'General Basis'!$B$44,IF(G1880&lt;46,'General Basis'!$B$45,IF(G1880&lt;51,'General Basis'!$B$46,IF(G1880&lt;56,'General Basis'!$B$47,IF(G1880&lt;60,'General Basis'!$B$48,IF(G1880&lt;65,'General Basis'!$B$49,'General Basis'!$B$50)))))))))))))</f>
        <v/>
      </c>
      <c r="BI1880" s="744" t="str">
        <f t="shared" si="665"/>
        <v/>
      </c>
      <c r="BJ1880" s="747" t="str">
        <f t="shared" si="672"/>
        <v/>
      </c>
      <c r="BK1880" s="498" t="str">
        <f t="shared" si="666"/>
        <v/>
      </c>
      <c r="BL1880" s="498" t="str">
        <f t="shared" si="667"/>
        <v/>
      </c>
    </row>
    <row r="1881" spans="1:64" x14ac:dyDescent="0.25">
      <c r="A1881" s="762">
        <f t="shared" si="668"/>
        <v>1876</v>
      </c>
      <c r="B1881" s="229"/>
      <c r="C1881" s="223"/>
      <c r="D1881" s="224"/>
      <c r="E1881" s="225"/>
      <c r="F1881" s="1036" t="str">
        <f t="shared" si="674"/>
        <v/>
      </c>
      <c r="G1881" s="1037" t="str">
        <f t="shared" si="669"/>
        <v/>
      </c>
      <c r="H1881" s="225"/>
      <c r="I1881" s="1013"/>
      <c r="J1881" s="1013"/>
      <c r="K1881" s="1028"/>
      <c r="L1881" s="1035" t="str">
        <f t="shared" si="673"/>
        <v/>
      </c>
      <c r="S1881" s="498"/>
      <c r="AJ1881" s="498"/>
      <c r="AM1881" s="498">
        <f t="shared" si="654"/>
        <v>0</v>
      </c>
      <c r="AN1881" s="498">
        <f t="shared" si="655"/>
        <v>0</v>
      </c>
      <c r="AO1881" s="498">
        <f t="shared" si="656"/>
        <v>0</v>
      </c>
      <c r="AP1881" s="498">
        <f t="shared" si="675"/>
        <v>0</v>
      </c>
      <c r="AQ1881" s="498">
        <f t="shared" si="670"/>
        <v>0</v>
      </c>
      <c r="AU1881" s="498">
        <f t="shared" si="657"/>
        <v>0</v>
      </c>
      <c r="AV1881" s="498">
        <f t="shared" si="658"/>
        <v>0</v>
      </c>
      <c r="AW1881" s="498">
        <f t="shared" si="659"/>
        <v>0</v>
      </c>
      <c r="AX1881" s="498">
        <f t="shared" si="660"/>
        <v>0</v>
      </c>
      <c r="AY1881" s="498">
        <f t="shared" si="661"/>
        <v>0</v>
      </c>
      <c r="BB1881" s="498" t="str">
        <f t="shared" si="662"/>
        <v/>
      </c>
      <c r="BC1881" s="743" t="str">
        <f t="shared" si="663"/>
        <v/>
      </c>
      <c r="BD1881" s="743" t="str">
        <f t="shared" si="664"/>
        <v/>
      </c>
      <c r="BE1881" s="743" t="str">
        <f>IF(D1881="","",VLOOKUP(D1881,'General Basis'!$J$39:$K$46,2,0))</f>
        <v/>
      </c>
      <c r="BF1881" s="744" t="str">
        <f>IF(D1881="","",VLOOKUP(D1881,'General Basis'!$J$39:$L$46,3,0))</f>
        <v/>
      </c>
      <c r="BG1881" s="744" t="str">
        <f t="shared" si="671"/>
        <v/>
      </c>
      <c r="BH1881" s="744" t="str">
        <f>IF(G1881="","",IF(BF1881="Abu Dhabi",IF(G1881&lt;18,'General Basis'!$C$39,IF(G1881&lt;41,'General Basis'!$C$40,IF(G1881&lt;60,'General Basis'!$C$41,IF(G1881&lt;65,'General Basis'!$C$42,'General Basis'!$C$43)))),IF(G1881&lt;11,'General Basis'!$B$39,IF(G1881&lt;18,'General Basis'!$B$40,IF(G1881&lt;26,'General Basis'!$B$41,IF(G1881&lt;31,'General Basis'!$B$42,IF(G1881&lt;36,'General Basis'!$B$43,IF(G1881&lt;41,'General Basis'!$B$44,IF(G1881&lt;46,'General Basis'!$B$45,IF(G1881&lt;51,'General Basis'!$B$46,IF(G1881&lt;56,'General Basis'!$B$47,IF(G1881&lt;60,'General Basis'!$B$48,IF(G1881&lt;65,'General Basis'!$B$49,'General Basis'!$B$50)))))))))))))</f>
        <v/>
      </c>
      <c r="BI1881" s="744" t="str">
        <f t="shared" si="665"/>
        <v/>
      </c>
      <c r="BJ1881" s="747" t="str">
        <f t="shared" si="672"/>
        <v/>
      </c>
      <c r="BK1881" s="498" t="str">
        <f t="shared" si="666"/>
        <v/>
      </c>
      <c r="BL1881" s="498" t="str">
        <f t="shared" si="667"/>
        <v/>
      </c>
    </row>
    <row r="1882" spans="1:64" x14ac:dyDescent="0.25">
      <c r="A1882" s="762">
        <f t="shared" si="668"/>
        <v>1877</v>
      </c>
      <c r="B1882" s="229"/>
      <c r="C1882" s="223"/>
      <c r="D1882" s="224"/>
      <c r="E1882" s="225"/>
      <c r="F1882" s="1036" t="str">
        <f t="shared" si="674"/>
        <v/>
      </c>
      <c r="G1882" s="1037" t="str">
        <f t="shared" si="669"/>
        <v/>
      </c>
      <c r="H1882" s="225"/>
      <c r="I1882" s="1013"/>
      <c r="J1882" s="1013"/>
      <c r="K1882" s="1028"/>
      <c r="L1882" s="1035" t="str">
        <f t="shared" si="673"/>
        <v/>
      </c>
      <c r="S1882" s="498"/>
      <c r="AJ1882" s="498"/>
      <c r="AM1882" s="498">
        <f t="shared" si="654"/>
        <v>0</v>
      </c>
      <c r="AN1882" s="498">
        <f t="shared" si="655"/>
        <v>0</v>
      </c>
      <c r="AO1882" s="498">
        <f t="shared" si="656"/>
        <v>0</v>
      </c>
      <c r="AP1882" s="498">
        <f t="shared" si="675"/>
        <v>0</v>
      </c>
      <c r="AQ1882" s="498">
        <f t="shared" si="670"/>
        <v>0</v>
      </c>
      <c r="AU1882" s="498">
        <f t="shared" si="657"/>
        <v>0</v>
      </c>
      <c r="AV1882" s="498">
        <f t="shared" si="658"/>
        <v>0</v>
      </c>
      <c r="AW1882" s="498">
        <f t="shared" si="659"/>
        <v>0</v>
      </c>
      <c r="AX1882" s="498">
        <f t="shared" si="660"/>
        <v>0</v>
      </c>
      <c r="AY1882" s="498">
        <f t="shared" si="661"/>
        <v>0</v>
      </c>
      <c r="BB1882" s="498" t="str">
        <f t="shared" si="662"/>
        <v/>
      </c>
      <c r="BC1882" s="743" t="str">
        <f t="shared" si="663"/>
        <v/>
      </c>
      <c r="BD1882" s="743" t="str">
        <f t="shared" si="664"/>
        <v/>
      </c>
      <c r="BE1882" s="743" t="str">
        <f>IF(D1882="","",VLOOKUP(D1882,'General Basis'!$J$39:$K$46,2,0))</f>
        <v/>
      </c>
      <c r="BF1882" s="744" t="str">
        <f>IF(D1882="","",VLOOKUP(D1882,'General Basis'!$J$39:$L$46,3,0))</f>
        <v/>
      </c>
      <c r="BG1882" s="744" t="str">
        <f t="shared" si="671"/>
        <v/>
      </c>
      <c r="BH1882" s="744" t="str">
        <f>IF(G1882="","",IF(BF1882="Abu Dhabi",IF(G1882&lt;18,'General Basis'!$C$39,IF(G1882&lt;41,'General Basis'!$C$40,IF(G1882&lt;60,'General Basis'!$C$41,IF(G1882&lt;65,'General Basis'!$C$42,'General Basis'!$C$43)))),IF(G1882&lt;11,'General Basis'!$B$39,IF(G1882&lt;18,'General Basis'!$B$40,IF(G1882&lt;26,'General Basis'!$B$41,IF(G1882&lt;31,'General Basis'!$B$42,IF(G1882&lt;36,'General Basis'!$B$43,IF(G1882&lt;41,'General Basis'!$B$44,IF(G1882&lt;46,'General Basis'!$B$45,IF(G1882&lt;51,'General Basis'!$B$46,IF(G1882&lt;56,'General Basis'!$B$47,IF(G1882&lt;60,'General Basis'!$B$48,IF(G1882&lt;65,'General Basis'!$B$49,'General Basis'!$B$50)))))))))))))</f>
        <v/>
      </c>
      <c r="BI1882" s="744" t="str">
        <f t="shared" si="665"/>
        <v/>
      </c>
      <c r="BJ1882" s="747" t="str">
        <f t="shared" si="672"/>
        <v/>
      </c>
      <c r="BK1882" s="498" t="str">
        <f t="shared" si="666"/>
        <v/>
      </c>
      <c r="BL1882" s="498" t="str">
        <f t="shared" si="667"/>
        <v/>
      </c>
    </row>
    <row r="1883" spans="1:64" x14ac:dyDescent="0.25">
      <c r="A1883" s="762">
        <f t="shared" si="668"/>
        <v>1878</v>
      </c>
      <c r="B1883" s="229"/>
      <c r="C1883" s="223"/>
      <c r="D1883" s="224"/>
      <c r="E1883" s="225"/>
      <c r="F1883" s="1036" t="str">
        <f t="shared" si="674"/>
        <v/>
      </c>
      <c r="G1883" s="1037" t="str">
        <f t="shared" si="669"/>
        <v/>
      </c>
      <c r="H1883" s="225"/>
      <c r="I1883" s="1013"/>
      <c r="J1883" s="1013"/>
      <c r="K1883" s="1028"/>
      <c r="L1883" s="1035" t="str">
        <f t="shared" si="673"/>
        <v/>
      </c>
      <c r="S1883" s="498"/>
      <c r="AJ1883" s="498"/>
      <c r="AM1883" s="498">
        <f t="shared" si="654"/>
        <v>0</v>
      </c>
      <c r="AN1883" s="498">
        <f t="shared" si="655"/>
        <v>0</v>
      </c>
      <c r="AO1883" s="498">
        <f t="shared" si="656"/>
        <v>0</v>
      </c>
      <c r="AP1883" s="498">
        <f t="shared" si="675"/>
        <v>0</v>
      </c>
      <c r="AQ1883" s="498">
        <f t="shared" si="670"/>
        <v>0</v>
      </c>
      <c r="AU1883" s="498">
        <f t="shared" si="657"/>
        <v>0</v>
      </c>
      <c r="AV1883" s="498">
        <f t="shared" si="658"/>
        <v>0</v>
      </c>
      <c r="AW1883" s="498">
        <f t="shared" si="659"/>
        <v>0</v>
      </c>
      <c r="AX1883" s="498">
        <f t="shared" si="660"/>
        <v>0</v>
      </c>
      <c r="AY1883" s="498">
        <f t="shared" si="661"/>
        <v>0</v>
      </c>
      <c r="BB1883" s="498" t="str">
        <f t="shared" si="662"/>
        <v/>
      </c>
      <c r="BC1883" s="743" t="str">
        <f t="shared" si="663"/>
        <v/>
      </c>
      <c r="BD1883" s="743" t="str">
        <f t="shared" si="664"/>
        <v/>
      </c>
      <c r="BE1883" s="743" t="str">
        <f>IF(D1883="","",VLOOKUP(D1883,'General Basis'!$J$39:$K$46,2,0))</f>
        <v/>
      </c>
      <c r="BF1883" s="744" t="str">
        <f>IF(D1883="","",VLOOKUP(D1883,'General Basis'!$J$39:$L$46,3,0))</f>
        <v/>
      </c>
      <c r="BG1883" s="744" t="str">
        <f t="shared" si="671"/>
        <v/>
      </c>
      <c r="BH1883" s="744" t="str">
        <f>IF(G1883="","",IF(BF1883="Abu Dhabi",IF(G1883&lt;18,'General Basis'!$C$39,IF(G1883&lt;41,'General Basis'!$C$40,IF(G1883&lt;60,'General Basis'!$C$41,IF(G1883&lt;65,'General Basis'!$C$42,'General Basis'!$C$43)))),IF(G1883&lt;11,'General Basis'!$B$39,IF(G1883&lt;18,'General Basis'!$B$40,IF(G1883&lt;26,'General Basis'!$B$41,IF(G1883&lt;31,'General Basis'!$B$42,IF(G1883&lt;36,'General Basis'!$B$43,IF(G1883&lt;41,'General Basis'!$B$44,IF(G1883&lt;46,'General Basis'!$B$45,IF(G1883&lt;51,'General Basis'!$B$46,IF(G1883&lt;56,'General Basis'!$B$47,IF(G1883&lt;60,'General Basis'!$B$48,IF(G1883&lt;65,'General Basis'!$B$49,'General Basis'!$B$50)))))))))))))</f>
        <v/>
      </c>
      <c r="BI1883" s="744" t="str">
        <f t="shared" si="665"/>
        <v/>
      </c>
      <c r="BJ1883" s="747" t="str">
        <f t="shared" si="672"/>
        <v/>
      </c>
      <c r="BK1883" s="498" t="str">
        <f t="shared" si="666"/>
        <v/>
      </c>
      <c r="BL1883" s="498" t="str">
        <f t="shared" si="667"/>
        <v/>
      </c>
    </row>
    <row r="1884" spans="1:64" x14ac:dyDescent="0.25">
      <c r="A1884" s="762">
        <f t="shared" si="668"/>
        <v>1879</v>
      </c>
      <c r="B1884" s="229"/>
      <c r="C1884" s="223"/>
      <c r="D1884" s="224"/>
      <c r="E1884" s="225"/>
      <c r="F1884" s="1036" t="str">
        <f t="shared" si="674"/>
        <v/>
      </c>
      <c r="G1884" s="1037" t="str">
        <f t="shared" si="669"/>
        <v/>
      </c>
      <c r="H1884" s="225"/>
      <c r="I1884" s="1013"/>
      <c r="J1884" s="1013"/>
      <c r="K1884" s="1028"/>
      <c r="L1884" s="1035" t="str">
        <f t="shared" si="673"/>
        <v/>
      </c>
      <c r="S1884" s="498"/>
      <c r="AJ1884" s="498"/>
      <c r="AM1884" s="498">
        <f t="shared" si="654"/>
        <v>0</v>
      </c>
      <c r="AN1884" s="498">
        <f t="shared" si="655"/>
        <v>0</v>
      </c>
      <c r="AO1884" s="498">
        <f t="shared" si="656"/>
        <v>0</v>
      </c>
      <c r="AP1884" s="498">
        <f t="shared" si="675"/>
        <v>0</v>
      </c>
      <c r="AQ1884" s="498">
        <f t="shared" si="670"/>
        <v>0</v>
      </c>
      <c r="AU1884" s="498">
        <f t="shared" si="657"/>
        <v>0</v>
      </c>
      <c r="AV1884" s="498">
        <f t="shared" si="658"/>
        <v>0</v>
      </c>
      <c r="AW1884" s="498">
        <f t="shared" si="659"/>
        <v>0</v>
      </c>
      <c r="AX1884" s="498">
        <f t="shared" si="660"/>
        <v>0</v>
      </c>
      <c r="AY1884" s="498">
        <f t="shared" si="661"/>
        <v>0</v>
      </c>
      <c r="BB1884" s="498" t="str">
        <f t="shared" si="662"/>
        <v/>
      </c>
      <c r="BC1884" s="743" t="str">
        <f t="shared" si="663"/>
        <v/>
      </c>
      <c r="BD1884" s="743" t="str">
        <f t="shared" si="664"/>
        <v/>
      </c>
      <c r="BE1884" s="743" t="str">
        <f>IF(D1884="","",VLOOKUP(D1884,'General Basis'!$J$39:$K$46,2,0))</f>
        <v/>
      </c>
      <c r="BF1884" s="744" t="str">
        <f>IF(D1884="","",VLOOKUP(D1884,'General Basis'!$J$39:$L$46,3,0))</f>
        <v/>
      </c>
      <c r="BG1884" s="744" t="str">
        <f t="shared" si="671"/>
        <v/>
      </c>
      <c r="BH1884" s="744" t="str">
        <f>IF(G1884="","",IF(BF1884="Abu Dhabi",IF(G1884&lt;18,'General Basis'!$C$39,IF(G1884&lt;41,'General Basis'!$C$40,IF(G1884&lt;60,'General Basis'!$C$41,IF(G1884&lt;65,'General Basis'!$C$42,'General Basis'!$C$43)))),IF(G1884&lt;11,'General Basis'!$B$39,IF(G1884&lt;18,'General Basis'!$B$40,IF(G1884&lt;26,'General Basis'!$B$41,IF(G1884&lt;31,'General Basis'!$B$42,IF(G1884&lt;36,'General Basis'!$B$43,IF(G1884&lt;41,'General Basis'!$B$44,IF(G1884&lt;46,'General Basis'!$B$45,IF(G1884&lt;51,'General Basis'!$B$46,IF(G1884&lt;56,'General Basis'!$B$47,IF(G1884&lt;60,'General Basis'!$B$48,IF(G1884&lt;65,'General Basis'!$B$49,'General Basis'!$B$50)))))))))))))</f>
        <v/>
      </c>
      <c r="BI1884" s="744" t="str">
        <f t="shared" si="665"/>
        <v/>
      </c>
      <c r="BJ1884" s="747" t="str">
        <f t="shared" si="672"/>
        <v/>
      </c>
      <c r="BK1884" s="498" t="str">
        <f t="shared" si="666"/>
        <v/>
      </c>
      <c r="BL1884" s="498" t="str">
        <f t="shared" si="667"/>
        <v/>
      </c>
    </row>
    <row r="1885" spans="1:64" x14ac:dyDescent="0.25">
      <c r="A1885" s="762">
        <f t="shared" si="668"/>
        <v>1880</v>
      </c>
      <c r="B1885" s="229"/>
      <c r="C1885" s="223"/>
      <c r="D1885" s="224"/>
      <c r="E1885" s="225"/>
      <c r="F1885" s="1036" t="str">
        <f t="shared" si="674"/>
        <v/>
      </c>
      <c r="G1885" s="1037" t="str">
        <f t="shared" si="669"/>
        <v/>
      </c>
      <c r="H1885" s="225"/>
      <c r="I1885" s="1013"/>
      <c r="J1885" s="1013"/>
      <c r="K1885" s="1028"/>
      <c r="L1885" s="1035" t="str">
        <f t="shared" si="673"/>
        <v/>
      </c>
      <c r="S1885" s="498"/>
      <c r="AJ1885" s="498"/>
      <c r="AM1885" s="498">
        <f t="shared" si="654"/>
        <v>0</v>
      </c>
      <c r="AN1885" s="498">
        <f t="shared" si="655"/>
        <v>0</v>
      </c>
      <c r="AO1885" s="498">
        <f t="shared" si="656"/>
        <v>0</v>
      </c>
      <c r="AP1885" s="498">
        <f t="shared" si="675"/>
        <v>0</v>
      </c>
      <c r="AQ1885" s="498">
        <f t="shared" si="670"/>
        <v>0</v>
      </c>
      <c r="AU1885" s="498">
        <f t="shared" si="657"/>
        <v>0</v>
      </c>
      <c r="AV1885" s="498">
        <f t="shared" si="658"/>
        <v>0</v>
      </c>
      <c r="AW1885" s="498">
        <f t="shared" si="659"/>
        <v>0</v>
      </c>
      <c r="AX1885" s="498">
        <f t="shared" si="660"/>
        <v>0</v>
      </c>
      <c r="AY1885" s="498">
        <f t="shared" si="661"/>
        <v>0</v>
      </c>
      <c r="BB1885" s="498" t="str">
        <f t="shared" si="662"/>
        <v/>
      </c>
      <c r="BC1885" s="743" t="str">
        <f t="shared" si="663"/>
        <v/>
      </c>
      <c r="BD1885" s="743" t="str">
        <f t="shared" si="664"/>
        <v/>
      </c>
      <c r="BE1885" s="743" t="str">
        <f>IF(D1885="","",VLOOKUP(D1885,'General Basis'!$J$39:$K$46,2,0))</f>
        <v/>
      </c>
      <c r="BF1885" s="744" t="str">
        <f>IF(D1885="","",VLOOKUP(D1885,'General Basis'!$J$39:$L$46,3,0))</f>
        <v/>
      </c>
      <c r="BG1885" s="744" t="str">
        <f t="shared" si="671"/>
        <v/>
      </c>
      <c r="BH1885" s="744" t="str">
        <f>IF(G1885="","",IF(BF1885="Abu Dhabi",IF(G1885&lt;18,'General Basis'!$C$39,IF(G1885&lt;41,'General Basis'!$C$40,IF(G1885&lt;60,'General Basis'!$C$41,IF(G1885&lt;65,'General Basis'!$C$42,'General Basis'!$C$43)))),IF(G1885&lt;11,'General Basis'!$B$39,IF(G1885&lt;18,'General Basis'!$B$40,IF(G1885&lt;26,'General Basis'!$B$41,IF(G1885&lt;31,'General Basis'!$B$42,IF(G1885&lt;36,'General Basis'!$B$43,IF(G1885&lt;41,'General Basis'!$B$44,IF(G1885&lt;46,'General Basis'!$B$45,IF(G1885&lt;51,'General Basis'!$B$46,IF(G1885&lt;56,'General Basis'!$B$47,IF(G1885&lt;60,'General Basis'!$B$48,IF(G1885&lt;65,'General Basis'!$B$49,'General Basis'!$B$50)))))))))))))</f>
        <v/>
      </c>
      <c r="BI1885" s="744" t="str">
        <f t="shared" si="665"/>
        <v/>
      </c>
      <c r="BJ1885" s="747" t="str">
        <f t="shared" si="672"/>
        <v/>
      </c>
      <c r="BK1885" s="498" t="str">
        <f t="shared" si="666"/>
        <v/>
      </c>
      <c r="BL1885" s="498" t="str">
        <f t="shared" si="667"/>
        <v/>
      </c>
    </row>
    <row r="1886" spans="1:64" x14ac:dyDescent="0.25">
      <c r="A1886" s="762">
        <f t="shared" si="668"/>
        <v>1881</v>
      </c>
      <c r="B1886" s="229"/>
      <c r="C1886" s="223"/>
      <c r="D1886" s="224"/>
      <c r="E1886" s="225"/>
      <c r="F1886" s="1036" t="str">
        <f t="shared" si="674"/>
        <v/>
      </c>
      <c r="G1886" s="1037" t="str">
        <f t="shared" si="669"/>
        <v/>
      </c>
      <c r="H1886" s="225"/>
      <c r="I1886" s="1013"/>
      <c r="J1886" s="1013"/>
      <c r="K1886" s="1028"/>
      <c r="L1886" s="1035" t="str">
        <f t="shared" si="673"/>
        <v/>
      </c>
      <c r="S1886" s="498"/>
      <c r="AJ1886" s="498"/>
      <c r="AM1886" s="498">
        <f t="shared" si="654"/>
        <v>0</v>
      </c>
      <c r="AN1886" s="498">
        <f t="shared" si="655"/>
        <v>0</v>
      </c>
      <c r="AO1886" s="498">
        <f t="shared" si="656"/>
        <v>0</v>
      </c>
      <c r="AP1886" s="498">
        <f t="shared" si="675"/>
        <v>0</v>
      </c>
      <c r="AQ1886" s="498">
        <f t="shared" si="670"/>
        <v>0</v>
      </c>
      <c r="AU1886" s="498">
        <f t="shared" si="657"/>
        <v>0</v>
      </c>
      <c r="AV1886" s="498">
        <f t="shared" si="658"/>
        <v>0</v>
      </c>
      <c r="AW1886" s="498">
        <f t="shared" si="659"/>
        <v>0</v>
      </c>
      <c r="AX1886" s="498">
        <f t="shared" si="660"/>
        <v>0</v>
      </c>
      <c r="AY1886" s="498">
        <f t="shared" si="661"/>
        <v>0</v>
      </c>
      <c r="BB1886" s="498" t="str">
        <f t="shared" si="662"/>
        <v/>
      </c>
      <c r="BC1886" s="743" t="str">
        <f t="shared" si="663"/>
        <v/>
      </c>
      <c r="BD1886" s="743" t="str">
        <f t="shared" si="664"/>
        <v/>
      </c>
      <c r="BE1886" s="743" t="str">
        <f>IF(D1886="","",VLOOKUP(D1886,'General Basis'!$J$39:$K$46,2,0))</f>
        <v/>
      </c>
      <c r="BF1886" s="744" t="str">
        <f>IF(D1886="","",VLOOKUP(D1886,'General Basis'!$J$39:$L$46,3,0))</f>
        <v/>
      </c>
      <c r="BG1886" s="744" t="str">
        <f t="shared" si="671"/>
        <v/>
      </c>
      <c r="BH1886" s="744" t="str">
        <f>IF(G1886="","",IF(BF1886="Abu Dhabi",IF(G1886&lt;18,'General Basis'!$C$39,IF(G1886&lt;41,'General Basis'!$C$40,IF(G1886&lt;60,'General Basis'!$C$41,IF(G1886&lt;65,'General Basis'!$C$42,'General Basis'!$C$43)))),IF(G1886&lt;11,'General Basis'!$B$39,IF(G1886&lt;18,'General Basis'!$B$40,IF(G1886&lt;26,'General Basis'!$B$41,IF(G1886&lt;31,'General Basis'!$B$42,IF(G1886&lt;36,'General Basis'!$B$43,IF(G1886&lt;41,'General Basis'!$B$44,IF(G1886&lt;46,'General Basis'!$B$45,IF(G1886&lt;51,'General Basis'!$B$46,IF(G1886&lt;56,'General Basis'!$B$47,IF(G1886&lt;60,'General Basis'!$B$48,IF(G1886&lt;65,'General Basis'!$B$49,'General Basis'!$B$50)))))))))))))</f>
        <v/>
      </c>
      <c r="BI1886" s="744" t="str">
        <f t="shared" si="665"/>
        <v/>
      </c>
      <c r="BJ1886" s="747" t="str">
        <f t="shared" si="672"/>
        <v/>
      </c>
      <c r="BK1886" s="498" t="str">
        <f t="shared" si="666"/>
        <v/>
      </c>
      <c r="BL1886" s="498" t="str">
        <f t="shared" si="667"/>
        <v/>
      </c>
    </row>
    <row r="1887" spans="1:64" x14ac:dyDescent="0.25">
      <c r="A1887" s="762">
        <f t="shared" si="668"/>
        <v>1882</v>
      </c>
      <c r="B1887" s="229"/>
      <c r="C1887" s="223"/>
      <c r="D1887" s="224"/>
      <c r="E1887" s="225"/>
      <c r="F1887" s="1036" t="str">
        <f t="shared" si="674"/>
        <v/>
      </c>
      <c r="G1887" s="1037" t="str">
        <f t="shared" si="669"/>
        <v/>
      </c>
      <c r="H1887" s="225"/>
      <c r="I1887" s="1013"/>
      <c r="J1887" s="1013"/>
      <c r="K1887" s="1028"/>
      <c r="L1887" s="1035" t="str">
        <f t="shared" si="673"/>
        <v/>
      </c>
      <c r="S1887" s="498"/>
      <c r="AJ1887" s="498"/>
      <c r="AM1887" s="498">
        <f t="shared" si="654"/>
        <v>0</v>
      </c>
      <c r="AN1887" s="498">
        <f t="shared" si="655"/>
        <v>0</v>
      </c>
      <c r="AO1887" s="498">
        <f t="shared" si="656"/>
        <v>0</v>
      </c>
      <c r="AP1887" s="498">
        <f t="shared" si="675"/>
        <v>0</v>
      </c>
      <c r="AQ1887" s="498">
        <f t="shared" si="670"/>
        <v>0</v>
      </c>
      <c r="AU1887" s="498">
        <f t="shared" si="657"/>
        <v>0</v>
      </c>
      <c r="AV1887" s="498">
        <f t="shared" si="658"/>
        <v>0</v>
      </c>
      <c r="AW1887" s="498">
        <f t="shared" si="659"/>
        <v>0</v>
      </c>
      <c r="AX1887" s="498">
        <f t="shared" si="660"/>
        <v>0</v>
      </c>
      <c r="AY1887" s="498">
        <f t="shared" si="661"/>
        <v>0</v>
      </c>
      <c r="BB1887" s="498" t="str">
        <f t="shared" si="662"/>
        <v/>
      </c>
      <c r="BC1887" s="743" t="str">
        <f t="shared" si="663"/>
        <v/>
      </c>
      <c r="BD1887" s="743" t="str">
        <f t="shared" si="664"/>
        <v/>
      </c>
      <c r="BE1887" s="743" t="str">
        <f>IF(D1887="","",VLOOKUP(D1887,'General Basis'!$J$39:$K$46,2,0))</f>
        <v/>
      </c>
      <c r="BF1887" s="744" t="str">
        <f>IF(D1887="","",VLOOKUP(D1887,'General Basis'!$J$39:$L$46,3,0))</f>
        <v/>
      </c>
      <c r="BG1887" s="744" t="str">
        <f t="shared" si="671"/>
        <v/>
      </c>
      <c r="BH1887" s="744" t="str">
        <f>IF(G1887="","",IF(BF1887="Abu Dhabi",IF(G1887&lt;18,'General Basis'!$C$39,IF(G1887&lt;41,'General Basis'!$C$40,IF(G1887&lt;60,'General Basis'!$C$41,IF(G1887&lt;65,'General Basis'!$C$42,'General Basis'!$C$43)))),IF(G1887&lt;11,'General Basis'!$B$39,IF(G1887&lt;18,'General Basis'!$B$40,IF(G1887&lt;26,'General Basis'!$B$41,IF(G1887&lt;31,'General Basis'!$B$42,IF(G1887&lt;36,'General Basis'!$B$43,IF(G1887&lt;41,'General Basis'!$B$44,IF(G1887&lt;46,'General Basis'!$B$45,IF(G1887&lt;51,'General Basis'!$B$46,IF(G1887&lt;56,'General Basis'!$B$47,IF(G1887&lt;60,'General Basis'!$B$48,IF(G1887&lt;65,'General Basis'!$B$49,'General Basis'!$B$50)))))))))))))</f>
        <v/>
      </c>
      <c r="BI1887" s="744" t="str">
        <f t="shared" si="665"/>
        <v/>
      </c>
      <c r="BJ1887" s="747" t="str">
        <f t="shared" si="672"/>
        <v/>
      </c>
      <c r="BK1887" s="498" t="str">
        <f t="shared" si="666"/>
        <v/>
      </c>
      <c r="BL1887" s="498" t="str">
        <f t="shared" si="667"/>
        <v/>
      </c>
    </row>
    <row r="1888" spans="1:64" x14ac:dyDescent="0.25">
      <c r="A1888" s="762">
        <f t="shared" si="668"/>
        <v>1883</v>
      </c>
      <c r="B1888" s="229"/>
      <c r="C1888" s="223"/>
      <c r="D1888" s="224"/>
      <c r="E1888" s="225"/>
      <c r="F1888" s="1036" t="str">
        <f t="shared" si="674"/>
        <v/>
      </c>
      <c r="G1888" s="1037" t="str">
        <f t="shared" si="669"/>
        <v/>
      </c>
      <c r="H1888" s="225"/>
      <c r="I1888" s="1013"/>
      <c r="J1888" s="1013"/>
      <c r="K1888" s="1028"/>
      <c r="L1888" s="1035" t="str">
        <f t="shared" si="673"/>
        <v/>
      </c>
      <c r="S1888" s="498"/>
      <c r="AJ1888" s="498"/>
      <c r="AM1888" s="498">
        <f t="shared" si="654"/>
        <v>0</v>
      </c>
      <c r="AN1888" s="498">
        <f t="shared" si="655"/>
        <v>0</v>
      </c>
      <c r="AO1888" s="498">
        <f t="shared" si="656"/>
        <v>0</v>
      </c>
      <c r="AP1888" s="498">
        <f t="shared" si="675"/>
        <v>0</v>
      </c>
      <c r="AQ1888" s="498">
        <f t="shared" si="670"/>
        <v>0</v>
      </c>
      <c r="AU1888" s="498">
        <f t="shared" si="657"/>
        <v>0</v>
      </c>
      <c r="AV1888" s="498">
        <f t="shared" si="658"/>
        <v>0</v>
      </c>
      <c r="AW1888" s="498">
        <f t="shared" si="659"/>
        <v>0</v>
      </c>
      <c r="AX1888" s="498">
        <f t="shared" si="660"/>
        <v>0</v>
      </c>
      <c r="AY1888" s="498">
        <f t="shared" si="661"/>
        <v>0</v>
      </c>
      <c r="BB1888" s="498" t="str">
        <f t="shared" si="662"/>
        <v/>
      </c>
      <c r="BC1888" s="743" t="str">
        <f t="shared" si="663"/>
        <v/>
      </c>
      <c r="BD1888" s="743" t="str">
        <f t="shared" si="664"/>
        <v/>
      </c>
      <c r="BE1888" s="743" t="str">
        <f>IF(D1888="","",VLOOKUP(D1888,'General Basis'!$J$39:$K$46,2,0))</f>
        <v/>
      </c>
      <c r="BF1888" s="744" t="str">
        <f>IF(D1888="","",VLOOKUP(D1888,'General Basis'!$J$39:$L$46,3,0))</f>
        <v/>
      </c>
      <c r="BG1888" s="744" t="str">
        <f t="shared" si="671"/>
        <v/>
      </c>
      <c r="BH1888" s="744" t="str">
        <f>IF(G1888="","",IF(BF1888="Abu Dhabi",IF(G1888&lt;18,'General Basis'!$C$39,IF(G1888&lt;41,'General Basis'!$C$40,IF(G1888&lt;60,'General Basis'!$C$41,IF(G1888&lt;65,'General Basis'!$C$42,'General Basis'!$C$43)))),IF(G1888&lt;11,'General Basis'!$B$39,IF(G1888&lt;18,'General Basis'!$B$40,IF(G1888&lt;26,'General Basis'!$B$41,IF(G1888&lt;31,'General Basis'!$B$42,IF(G1888&lt;36,'General Basis'!$B$43,IF(G1888&lt;41,'General Basis'!$B$44,IF(G1888&lt;46,'General Basis'!$B$45,IF(G1888&lt;51,'General Basis'!$B$46,IF(G1888&lt;56,'General Basis'!$B$47,IF(G1888&lt;60,'General Basis'!$B$48,IF(G1888&lt;65,'General Basis'!$B$49,'General Basis'!$B$50)))))))))))))</f>
        <v/>
      </c>
      <c r="BI1888" s="744" t="str">
        <f t="shared" si="665"/>
        <v/>
      </c>
      <c r="BJ1888" s="747" t="str">
        <f t="shared" si="672"/>
        <v/>
      </c>
      <c r="BK1888" s="498" t="str">
        <f t="shared" si="666"/>
        <v/>
      </c>
      <c r="BL1888" s="498" t="str">
        <f t="shared" si="667"/>
        <v/>
      </c>
    </row>
    <row r="1889" spans="1:64" x14ac:dyDescent="0.25">
      <c r="A1889" s="762">
        <f t="shared" si="668"/>
        <v>1884</v>
      </c>
      <c r="B1889" s="229"/>
      <c r="C1889" s="223"/>
      <c r="D1889" s="224"/>
      <c r="E1889" s="225"/>
      <c r="F1889" s="1036" t="str">
        <f t="shared" si="674"/>
        <v/>
      </c>
      <c r="G1889" s="1037" t="str">
        <f t="shared" si="669"/>
        <v/>
      </c>
      <c r="H1889" s="225"/>
      <c r="I1889" s="1013"/>
      <c r="J1889" s="1013"/>
      <c r="K1889" s="1028"/>
      <c r="L1889" s="1035" t="str">
        <f t="shared" si="673"/>
        <v/>
      </c>
      <c r="S1889" s="498"/>
      <c r="AJ1889" s="498"/>
      <c r="AM1889" s="498">
        <f t="shared" si="654"/>
        <v>0</v>
      </c>
      <c r="AN1889" s="498">
        <f t="shared" si="655"/>
        <v>0</v>
      </c>
      <c r="AO1889" s="498">
        <f t="shared" si="656"/>
        <v>0</v>
      </c>
      <c r="AP1889" s="498">
        <f t="shared" si="675"/>
        <v>0</v>
      </c>
      <c r="AQ1889" s="498">
        <f t="shared" si="670"/>
        <v>0</v>
      </c>
      <c r="AU1889" s="498">
        <f t="shared" si="657"/>
        <v>0</v>
      </c>
      <c r="AV1889" s="498">
        <f t="shared" si="658"/>
        <v>0</v>
      </c>
      <c r="AW1889" s="498">
        <f t="shared" si="659"/>
        <v>0</v>
      </c>
      <c r="AX1889" s="498">
        <f t="shared" si="660"/>
        <v>0</v>
      </c>
      <c r="AY1889" s="498">
        <f t="shared" si="661"/>
        <v>0</v>
      </c>
      <c r="BB1889" s="498" t="str">
        <f t="shared" si="662"/>
        <v/>
      </c>
      <c r="BC1889" s="743" t="str">
        <f t="shared" si="663"/>
        <v/>
      </c>
      <c r="BD1889" s="743" t="str">
        <f t="shared" si="664"/>
        <v/>
      </c>
      <c r="BE1889" s="743" t="str">
        <f>IF(D1889="","",VLOOKUP(D1889,'General Basis'!$J$39:$K$46,2,0))</f>
        <v/>
      </c>
      <c r="BF1889" s="744" t="str">
        <f>IF(D1889="","",VLOOKUP(D1889,'General Basis'!$J$39:$L$46,3,0))</f>
        <v/>
      </c>
      <c r="BG1889" s="744" t="str">
        <f t="shared" si="671"/>
        <v/>
      </c>
      <c r="BH1889" s="744" t="str">
        <f>IF(G1889="","",IF(BF1889="Abu Dhabi",IF(G1889&lt;18,'General Basis'!$C$39,IF(G1889&lt;41,'General Basis'!$C$40,IF(G1889&lt;60,'General Basis'!$C$41,IF(G1889&lt;65,'General Basis'!$C$42,'General Basis'!$C$43)))),IF(G1889&lt;11,'General Basis'!$B$39,IF(G1889&lt;18,'General Basis'!$B$40,IF(G1889&lt;26,'General Basis'!$B$41,IF(G1889&lt;31,'General Basis'!$B$42,IF(G1889&lt;36,'General Basis'!$B$43,IF(G1889&lt;41,'General Basis'!$B$44,IF(G1889&lt;46,'General Basis'!$B$45,IF(G1889&lt;51,'General Basis'!$B$46,IF(G1889&lt;56,'General Basis'!$B$47,IF(G1889&lt;60,'General Basis'!$B$48,IF(G1889&lt;65,'General Basis'!$B$49,'General Basis'!$B$50)))))))))))))</f>
        <v/>
      </c>
      <c r="BI1889" s="744" t="str">
        <f t="shared" si="665"/>
        <v/>
      </c>
      <c r="BJ1889" s="747" t="str">
        <f t="shared" si="672"/>
        <v/>
      </c>
      <c r="BK1889" s="498" t="str">
        <f t="shared" si="666"/>
        <v/>
      </c>
      <c r="BL1889" s="498" t="str">
        <f t="shared" si="667"/>
        <v/>
      </c>
    </row>
    <row r="1890" spans="1:64" x14ac:dyDescent="0.25">
      <c r="A1890" s="762">
        <f t="shared" si="668"/>
        <v>1885</v>
      </c>
      <c r="B1890" s="229"/>
      <c r="C1890" s="223"/>
      <c r="D1890" s="224"/>
      <c r="E1890" s="225"/>
      <c r="F1890" s="1036" t="str">
        <f t="shared" si="674"/>
        <v/>
      </c>
      <c r="G1890" s="1037" t="str">
        <f t="shared" si="669"/>
        <v/>
      </c>
      <c r="H1890" s="225"/>
      <c r="I1890" s="1013"/>
      <c r="J1890" s="1013"/>
      <c r="K1890" s="1028"/>
      <c r="L1890" s="1035" t="str">
        <f t="shared" si="673"/>
        <v/>
      </c>
      <c r="S1890" s="498"/>
      <c r="AJ1890" s="498"/>
      <c r="AM1890" s="498">
        <f t="shared" si="654"/>
        <v>0</v>
      </c>
      <c r="AN1890" s="498">
        <f t="shared" si="655"/>
        <v>0</v>
      </c>
      <c r="AO1890" s="498">
        <f t="shared" si="656"/>
        <v>0</v>
      </c>
      <c r="AP1890" s="498">
        <f t="shared" si="675"/>
        <v>0</v>
      </c>
      <c r="AQ1890" s="498">
        <f t="shared" si="670"/>
        <v>0</v>
      </c>
      <c r="AU1890" s="498">
        <f t="shared" si="657"/>
        <v>0</v>
      </c>
      <c r="AV1890" s="498">
        <f t="shared" si="658"/>
        <v>0</v>
      </c>
      <c r="AW1890" s="498">
        <f t="shared" si="659"/>
        <v>0</v>
      </c>
      <c r="AX1890" s="498">
        <f t="shared" si="660"/>
        <v>0</v>
      </c>
      <c r="AY1890" s="498">
        <f t="shared" si="661"/>
        <v>0</v>
      </c>
      <c r="BB1890" s="498" t="str">
        <f t="shared" si="662"/>
        <v/>
      </c>
      <c r="BC1890" s="743" t="str">
        <f t="shared" si="663"/>
        <v/>
      </c>
      <c r="BD1890" s="743" t="str">
        <f t="shared" si="664"/>
        <v/>
      </c>
      <c r="BE1890" s="743" t="str">
        <f>IF(D1890="","",VLOOKUP(D1890,'General Basis'!$J$39:$K$46,2,0))</f>
        <v/>
      </c>
      <c r="BF1890" s="744" t="str">
        <f>IF(D1890="","",VLOOKUP(D1890,'General Basis'!$J$39:$L$46,3,0))</f>
        <v/>
      </c>
      <c r="BG1890" s="744" t="str">
        <f t="shared" si="671"/>
        <v/>
      </c>
      <c r="BH1890" s="744" t="str">
        <f>IF(G1890="","",IF(BF1890="Abu Dhabi",IF(G1890&lt;18,'General Basis'!$C$39,IF(G1890&lt;41,'General Basis'!$C$40,IF(G1890&lt;60,'General Basis'!$C$41,IF(G1890&lt;65,'General Basis'!$C$42,'General Basis'!$C$43)))),IF(G1890&lt;11,'General Basis'!$B$39,IF(G1890&lt;18,'General Basis'!$B$40,IF(G1890&lt;26,'General Basis'!$B$41,IF(G1890&lt;31,'General Basis'!$B$42,IF(G1890&lt;36,'General Basis'!$B$43,IF(G1890&lt;41,'General Basis'!$B$44,IF(G1890&lt;46,'General Basis'!$B$45,IF(G1890&lt;51,'General Basis'!$B$46,IF(G1890&lt;56,'General Basis'!$B$47,IF(G1890&lt;60,'General Basis'!$B$48,IF(G1890&lt;65,'General Basis'!$B$49,'General Basis'!$B$50)))))))))))))</f>
        <v/>
      </c>
      <c r="BI1890" s="744" t="str">
        <f t="shared" si="665"/>
        <v/>
      </c>
      <c r="BJ1890" s="747" t="str">
        <f t="shared" si="672"/>
        <v/>
      </c>
      <c r="BK1890" s="498" t="str">
        <f t="shared" si="666"/>
        <v/>
      </c>
      <c r="BL1890" s="498" t="str">
        <f t="shared" si="667"/>
        <v/>
      </c>
    </row>
    <row r="1891" spans="1:64" x14ac:dyDescent="0.25">
      <c r="A1891" s="762">
        <f t="shared" si="668"/>
        <v>1886</v>
      </c>
      <c r="B1891" s="229"/>
      <c r="C1891" s="223"/>
      <c r="D1891" s="224"/>
      <c r="E1891" s="225"/>
      <c r="F1891" s="1036" t="str">
        <f t="shared" si="674"/>
        <v/>
      </c>
      <c r="G1891" s="1037" t="str">
        <f t="shared" si="669"/>
        <v/>
      </c>
      <c r="H1891" s="225"/>
      <c r="I1891" s="1013"/>
      <c r="J1891" s="1013"/>
      <c r="K1891" s="1028"/>
      <c r="L1891" s="1035" t="str">
        <f t="shared" si="673"/>
        <v/>
      </c>
      <c r="S1891" s="498"/>
      <c r="AJ1891" s="498"/>
      <c r="AM1891" s="498">
        <f t="shared" si="654"/>
        <v>0</v>
      </c>
      <c r="AN1891" s="498">
        <f t="shared" si="655"/>
        <v>0</v>
      </c>
      <c r="AO1891" s="498">
        <f t="shared" si="656"/>
        <v>0</v>
      </c>
      <c r="AP1891" s="498">
        <f t="shared" si="675"/>
        <v>0</v>
      </c>
      <c r="AQ1891" s="498">
        <f t="shared" si="670"/>
        <v>0</v>
      </c>
      <c r="AU1891" s="498">
        <f t="shared" si="657"/>
        <v>0</v>
      </c>
      <c r="AV1891" s="498">
        <f t="shared" si="658"/>
        <v>0</v>
      </c>
      <c r="AW1891" s="498">
        <f t="shared" si="659"/>
        <v>0</v>
      </c>
      <c r="AX1891" s="498">
        <f t="shared" si="660"/>
        <v>0</v>
      </c>
      <c r="AY1891" s="498">
        <f t="shared" si="661"/>
        <v>0</v>
      </c>
      <c r="BB1891" s="498" t="str">
        <f t="shared" si="662"/>
        <v/>
      </c>
      <c r="BC1891" s="743" t="str">
        <f t="shared" si="663"/>
        <v/>
      </c>
      <c r="BD1891" s="743" t="str">
        <f t="shared" si="664"/>
        <v/>
      </c>
      <c r="BE1891" s="743" t="str">
        <f>IF(D1891="","",VLOOKUP(D1891,'General Basis'!$J$39:$K$46,2,0))</f>
        <v/>
      </c>
      <c r="BF1891" s="744" t="str">
        <f>IF(D1891="","",VLOOKUP(D1891,'General Basis'!$J$39:$L$46,3,0))</f>
        <v/>
      </c>
      <c r="BG1891" s="744" t="str">
        <f t="shared" si="671"/>
        <v/>
      </c>
      <c r="BH1891" s="744" t="str">
        <f>IF(G1891="","",IF(BF1891="Abu Dhabi",IF(G1891&lt;18,'General Basis'!$C$39,IF(G1891&lt;41,'General Basis'!$C$40,IF(G1891&lt;60,'General Basis'!$C$41,IF(G1891&lt;65,'General Basis'!$C$42,'General Basis'!$C$43)))),IF(G1891&lt;11,'General Basis'!$B$39,IF(G1891&lt;18,'General Basis'!$B$40,IF(G1891&lt;26,'General Basis'!$B$41,IF(G1891&lt;31,'General Basis'!$B$42,IF(G1891&lt;36,'General Basis'!$B$43,IF(G1891&lt;41,'General Basis'!$B$44,IF(G1891&lt;46,'General Basis'!$B$45,IF(G1891&lt;51,'General Basis'!$B$46,IF(G1891&lt;56,'General Basis'!$B$47,IF(G1891&lt;60,'General Basis'!$B$48,IF(G1891&lt;65,'General Basis'!$B$49,'General Basis'!$B$50)))))))))))))</f>
        <v/>
      </c>
      <c r="BI1891" s="744" t="str">
        <f t="shared" si="665"/>
        <v/>
      </c>
      <c r="BJ1891" s="747" t="str">
        <f t="shared" si="672"/>
        <v/>
      </c>
      <c r="BK1891" s="498" t="str">
        <f t="shared" si="666"/>
        <v/>
      </c>
      <c r="BL1891" s="498" t="str">
        <f t="shared" si="667"/>
        <v/>
      </c>
    </row>
    <row r="1892" spans="1:64" x14ac:dyDescent="0.25">
      <c r="A1892" s="762">
        <f t="shared" si="668"/>
        <v>1887</v>
      </c>
      <c r="B1892" s="229"/>
      <c r="C1892" s="223"/>
      <c r="D1892" s="224"/>
      <c r="E1892" s="225"/>
      <c r="F1892" s="1036" t="str">
        <f t="shared" si="674"/>
        <v/>
      </c>
      <c r="G1892" s="1037" t="str">
        <f t="shared" si="669"/>
        <v/>
      </c>
      <c r="H1892" s="225"/>
      <c r="I1892" s="1013"/>
      <c r="J1892" s="1013"/>
      <c r="K1892" s="1028"/>
      <c r="L1892" s="1035" t="str">
        <f t="shared" si="673"/>
        <v/>
      </c>
      <c r="S1892" s="498"/>
      <c r="AJ1892" s="498"/>
      <c r="AM1892" s="498">
        <f t="shared" si="654"/>
        <v>0</v>
      </c>
      <c r="AN1892" s="498">
        <f t="shared" si="655"/>
        <v>0</v>
      </c>
      <c r="AO1892" s="498">
        <f t="shared" si="656"/>
        <v>0</v>
      </c>
      <c r="AP1892" s="498">
        <f t="shared" si="675"/>
        <v>0</v>
      </c>
      <c r="AQ1892" s="498">
        <f t="shared" si="670"/>
        <v>0</v>
      </c>
      <c r="AU1892" s="498">
        <f t="shared" si="657"/>
        <v>0</v>
      </c>
      <c r="AV1892" s="498">
        <f t="shared" si="658"/>
        <v>0</v>
      </c>
      <c r="AW1892" s="498">
        <f t="shared" si="659"/>
        <v>0</v>
      </c>
      <c r="AX1892" s="498">
        <f t="shared" si="660"/>
        <v>0</v>
      </c>
      <c r="AY1892" s="498">
        <f t="shared" si="661"/>
        <v>0</v>
      </c>
      <c r="BB1892" s="498" t="str">
        <f t="shared" si="662"/>
        <v/>
      </c>
      <c r="BC1892" s="743" t="str">
        <f t="shared" si="663"/>
        <v/>
      </c>
      <c r="BD1892" s="743" t="str">
        <f t="shared" si="664"/>
        <v/>
      </c>
      <c r="BE1892" s="743" t="str">
        <f>IF(D1892="","",VLOOKUP(D1892,'General Basis'!$J$39:$K$46,2,0))</f>
        <v/>
      </c>
      <c r="BF1892" s="744" t="str">
        <f>IF(D1892="","",VLOOKUP(D1892,'General Basis'!$J$39:$L$46,3,0))</f>
        <v/>
      </c>
      <c r="BG1892" s="744" t="str">
        <f t="shared" si="671"/>
        <v/>
      </c>
      <c r="BH1892" s="744" t="str">
        <f>IF(G1892="","",IF(BF1892="Abu Dhabi",IF(G1892&lt;18,'General Basis'!$C$39,IF(G1892&lt;41,'General Basis'!$C$40,IF(G1892&lt;60,'General Basis'!$C$41,IF(G1892&lt;65,'General Basis'!$C$42,'General Basis'!$C$43)))),IF(G1892&lt;11,'General Basis'!$B$39,IF(G1892&lt;18,'General Basis'!$B$40,IF(G1892&lt;26,'General Basis'!$B$41,IF(G1892&lt;31,'General Basis'!$B$42,IF(G1892&lt;36,'General Basis'!$B$43,IF(G1892&lt;41,'General Basis'!$B$44,IF(G1892&lt;46,'General Basis'!$B$45,IF(G1892&lt;51,'General Basis'!$B$46,IF(G1892&lt;56,'General Basis'!$B$47,IF(G1892&lt;60,'General Basis'!$B$48,IF(G1892&lt;65,'General Basis'!$B$49,'General Basis'!$B$50)))))))))))))</f>
        <v/>
      </c>
      <c r="BI1892" s="744" t="str">
        <f t="shared" si="665"/>
        <v/>
      </c>
      <c r="BJ1892" s="747" t="str">
        <f t="shared" si="672"/>
        <v/>
      </c>
      <c r="BK1892" s="498" t="str">
        <f t="shared" si="666"/>
        <v/>
      </c>
      <c r="BL1892" s="498" t="str">
        <f t="shared" si="667"/>
        <v/>
      </c>
    </row>
    <row r="1893" spans="1:64" x14ac:dyDescent="0.25">
      <c r="A1893" s="762">
        <f t="shared" si="668"/>
        <v>1888</v>
      </c>
      <c r="B1893" s="229"/>
      <c r="C1893" s="223"/>
      <c r="D1893" s="224"/>
      <c r="E1893" s="225"/>
      <c r="F1893" s="1036" t="str">
        <f t="shared" si="674"/>
        <v/>
      </c>
      <c r="G1893" s="1037" t="str">
        <f t="shared" si="669"/>
        <v/>
      </c>
      <c r="H1893" s="225"/>
      <c r="I1893" s="1013"/>
      <c r="J1893" s="1013"/>
      <c r="K1893" s="1028"/>
      <c r="L1893" s="1035" t="str">
        <f t="shared" si="673"/>
        <v/>
      </c>
      <c r="S1893" s="498"/>
      <c r="AJ1893" s="498"/>
      <c r="AM1893" s="498">
        <f t="shared" si="654"/>
        <v>0</v>
      </c>
      <c r="AN1893" s="498">
        <f t="shared" si="655"/>
        <v>0</v>
      </c>
      <c r="AO1893" s="498">
        <f t="shared" si="656"/>
        <v>0</v>
      </c>
      <c r="AP1893" s="498">
        <f t="shared" si="675"/>
        <v>0</v>
      </c>
      <c r="AQ1893" s="498">
        <f t="shared" si="670"/>
        <v>0</v>
      </c>
      <c r="AU1893" s="498">
        <f t="shared" si="657"/>
        <v>0</v>
      </c>
      <c r="AV1893" s="498">
        <f t="shared" si="658"/>
        <v>0</v>
      </c>
      <c r="AW1893" s="498">
        <f t="shared" si="659"/>
        <v>0</v>
      </c>
      <c r="AX1893" s="498">
        <f t="shared" si="660"/>
        <v>0</v>
      </c>
      <c r="AY1893" s="498">
        <f t="shared" si="661"/>
        <v>0</v>
      </c>
      <c r="BB1893" s="498" t="str">
        <f t="shared" si="662"/>
        <v/>
      </c>
      <c r="BC1893" s="743" t="str">
        <f t="shared" si="663"/>
        <v/>
      </c>
      <c r="BD1893" s="743" t="str">
        <f t="shared" si="664"/>
        <v/>
      </c>
      <c r="BE1893" s="743" t="str">
        <f>IF(D1893="","",VLOOKUP(D1893,'General Basis'!$J$39:$K$46,2,0))</f>
        <v/>
      </c>
      <c r="BF1893" s="744" t="str">
        <f>IF(D1893="","",VLOOKUP(D1893,'General Basis'!$J$39:$L$46,3,0))</f>
        <v/>
      </c>
      <c r="BG1893" s="744" t="str">
        <f t="shared" si="671"/>
        <v/>
      </c>
      <c r="BH1893" s="744" t="str">
        <f>IF(G1893="","",IF(BF1893="Abu Dhabi",IF(G1893&lt;18,'General Basis'!$C$39,IF(G1893&lt;41,'General Basis'!$C$40,IF(G1893&lt;60,'General Basis'!$C$41,IF(G1893&lt;65,'General Basis'!$C$42,'General Basis'!$C$43)))),IF(G1893&lt;11,'General Basis'!$B$39,IF(G1893&lt;18,'General Basis'!$B$40,IF(G1893&lt;26,'General Basis'!$B$41,IF(G1893&lt;31,'General Basis'!$B$42,IF(G1893&lt;36,'General Basis'!$B$43,IF(G1893&lt;41,'General Basis'!$B$44,IF(G1893&lt;46,'General Basis'!$B$45,IF(G1893&lt;51,'General Basis'!$B$46,IF(G1893&lt;56,'General Basis'!$B$47,IF(G1893&lt;60,'General Basis'!$B$48,IF(G1893&lt;65,'General Basis'!$B$49,'General Basis'!$B$50)))))))))))))</f>
        <v/>
      </c>
      <c r="BI1893" s="744" t="str">
        <f t="shared" si="665"/>
        <v/>
      </c>
      <c r="BJ1893" s="747" t="str">
        <f t="shared" si="672"/>
        <v/>
      </c>
      <c r="BK1893" s="498" t="str">
        <f t="shared" si="666"/>
        <v/>
      </c>
      <c r="BL1893" s="498" t="str">
        <f t="shared" si="667"/>
        <v/>
      </c>
    </row>
    <row r="1894" spans="1:64" x14ac:dyDescent="0.25">
      <c r="A1894" s="762">
        <f t="shared" si="668"/>
        <v>1889</v>
      </c>
      <c r="B1894" s="229"/>
      <c r="C1894" s="223"/>
      <c r="D1894" s="224"/>
      <c r="E1894" s="225"/>
      <c r="F1894" s="1036" t="str">
        <f t="shared" si="674"/>
        <v/>
      </c>
      <c r="G1894" s="1037" t="str">
        <f t="shared" si="669"/>
        <v/>
      </c>
      <c r="H1894" s="225"/>
      <c r="I1894" s="1013"/>
      <c r="J1894" s="1013"/>
      <c r="K1894" s="1028"/>
      <c r="L1894" s="1035" t="str">
        <f t="shared" si="673"/>
        <v/>
      </c>
      <c r="S1894" s="498"/>
      <c r="AJ1894" s="498"/>
      <c r="AM1894" s="498">
        <f t="shared" si="654"/>
        <v>0</v>
      </c>
      <c r="AN1894" s="498">
        <f t="shared" si="655"/>
        <v>0</v>
      </c>
      <c r="AO1894" s="498">
        <f t="shared" si="656"/>
        <v>0</v>
      </c>
      <c r="AP1894" s="498">
        <f t="shared" si="675"/>
        <v>0</v>
      </c>
      <c r="AQ1894" s="498">
        <f t="shared" si="670"/>
        <v>0</v>
      </c>
      <c r="AU1894" s="498">
        <f t="shared" si="657"/>
        <v>0</v>
      </c>
      <c r="AV1894" s="498">
        <f t="shared" si="658"/>
        <v>0</v>
      </c>
      <c r="AW1894" s="498">
        <f t="shared" si="659"/>
        <v>0</v>
      </c>
      <c r="AX1894" s="498">
        <f t="shared" si="660"/>
        <v>0</v>
      </c>
      <c r="AY1894" s="498">
        <f t="shared" si="661"/>
        <v>0</v>
      </c>
      <c r="BB1894" s="498" t="str">
        <f t="shared" si="662"/>
        <v/>
      </c>
      <c r="BC1894" s="743" t="str">
        <f t="shared" si="663"/>
        <v/>
      </c>
      <c r="BD1894" s="743" t="str">
        <f t="shared" si="664"/>
        <v/>
      </c>
      <c r="BE1894" s="743" t="str">
        <f>IF(D1894="","",VLOOKUP(D1894,'General Basis'!$J$39:$K$46,2,0))</f>
        <v/>
      </c>
      <c r="BF1894" s="744" t="str">
        <f>IF(D1894="","",VLOOKUP(D1894,'General Basis'!$J$39:$L$46,3,0))</f>
        <v/>
      </c>
      <c r="BG1894" s="744" t="str">
        <f t="shared" si="671"/>
        <v/>
      </c>
      <c r="BH1894" s="744" t="str">
        <f>IF(G1894="","",IF(BF1894="Abu Dhabi",IF(G1894&lt;18,'General Basis'!$C$39,IF(G1894&lt;41,'General Basis'!$C$40,IF(G1894&lt;60,'General Basis'!$C$41,IF(G1894&lt;65,'General Basis'!$C$42,'General Basis'!$C$43)))),IF(G1894&lt;11,'General Basis'!$B$39,IF(G1894&lt;18,'General Basis'!$B$40,IF(G1894&lt;26,'General Basis'!$B$41,IF(G1894&lt;31,'General Basis'!$B$42,IF(G1894&lt;36,'General Basis'!$B$43,IF(G1894&lt;41,'General Basis'!$B$44,IF(G1894&lt;46,'General Basis'!$B$45,IF(G1894&lt;51,'General Basis'!$B$46,IF(G1894&lt;56,'General Basis'!$B$47,IF(G1894&lt;60,'General Basis'!$B$48,IF(G1894&lt;65,'General Basis'!$B$49,'General Basis'!$B$50)))))))))))))</f>
        <v/>
      </c>
      <c r="BI1894" s="744" t="str">
        <f t="shared" si="665"/>
        <v/>
      </c>
      <c r="BJ1894" s="747" t="str">
        <f t="shared" si="672"/>
        <v/>
      </c>
      <c r="BK1894" s="498" t="str">
        <f t="shared" si="666"/>
        <v/>
      </c>
      <c r="BL1894" s="498" t="str">
        <f t="shared" si="667"/>
        <v/>
      </c>
    </row>
    <row r="1895" spans="1:64" x14ac:dyDescent="0.25">
      <c r="A1895" s="762">
        <f t="shared" si="668"/>
        <v>1890</v>
      </c>
      <c r="B1895" s="229"/>
      <c r="C1895" s="223"/>
      <c r="D1895" s="224"/>
      <c r="E1895" s="225"/>
      <c r="F1895" s="1036" t="str">
        <f t="shared" si="674"/>
        <v/>
      </c>
      <c r="G1895" s="1037" t="str">
        <f t="shared" si="669"/>
        <v/>
      </c>
      <c r="H1895" s="225"/>
      <c r="I1895" s="1013"/>
      <c r="J1895" s="1013"/>
      <c r="K1895" s="1028"/>
      <c r="L1895" s="1035" t="str">
        <f t="shared" si="673"/>
        <v/>
      </c>
      <c r="S1895" s="498"/>
      <c r="AJ1895" s="498"/>
      <c r="AM1895" s="498">
        <f t="shared" si="654"/>
        <v>0</v>
      </c>
      <c r="AN1895" s="498">
        <f t="shared" si="655"/>
        <v>0</v>
      </c>
      <c r="AO1895" s="498">
        <f t="shared" si="656"/>
        <v>0</v>
      </c>
      <c r="AP1895" s="498">
        <f t="shared" si="675"/>
        <v>0</v>
      </c>
      <c r="AQ1895" s="498">
        <f t="shared" si="670"/>
        <v>0</v>
      </c>
      <c r="AU1895" s="498">
        <f t="shared" si="657"/>
        <v>0</v>
      </c>
      <c r="AV1895" s="498">
        <f t="shared" si="658"/>
        <v>0</v>
      </c>
      <c r="AW1895" s="498">
        <f t="shared" si="659"/>
        <v>0</v>
      </c>
      <c r="AX1895" s="498">
        <f t="shared" si="660"/>
        <v>0</v>
      </c>
      <c r="AY1895" s="498">
        <f t="shared" si="661"/>
        <v>0</v>
      </c>
      <c r="BB1895" s="498" t="str">
        <f t="shared" si="662"/>
        <v/>
      </c>
      <c r="BC1895" s="743" t="str">
        <f t="shared" si="663"/>
        <v/>
      </c>
      <c r="BD1895" s="743" t="str">
        <f t="shared" si="664"/>
        <v/>
      </c>
      <c r="BE1895" s="743" t="str">
        <f>IF(D1895="","",VLOOKUP(D1895,'General Basis'!$J$39:$K$46,2,0))</f>
        <v/>
      </c>
      <c r="BF1895" s="744" t="str">
        <f>IF(D1895="","",VLOOKUP(D1895,'General Basis'!$J$39:$L$46,3,0))</f>
        <v/>
      </c>
      <c r="BG1895" s="744" t="str">
        <f t="shared" si="671"/>
        <v/>
      </c>
      <c r="BH1895" s="744" t="str">
        <f>IF(G1895="","",IF(BF1895="Abu Dhabi",IF(G1895&lt;18,'General Basis'!$C$39,IF(G1895&lt;41,'General Basis'!$C$40,IF(G1895&lt;60,'General Basis'!$C$41,IF(G1895&lt;65,'General Basis'!$C$42,'General Basis'!$C$43)))),IF(G1895&lt;11,'General Basis'!$B$39,IF(G1895&lt;18,'General Basis'!$B$40,IF(G1895&lt;26,'General Basis'!$B$41,IF(G1895&lt;31,'General Basis'!$B$42,IF(G1895&lt;36,'General Basis'!$B$43,IF(G1895&lt;41,'General Basis'!$B$44,IF(G1895&lt;46,'General Basis'!$B$45,IF(G1895&lt;51,'General Basis'!$B$46,IF(G1895&lt;56,'General Basis'!$B$47,IF(G1895&lt;60,'General Basis'!$B$48,IF(G1895&lt;65,'General Basis'!$B$49,'General Basis'!$B$50)))))))))))))</f>
        <v/>
      </c>
      <c r="BI1895" s="744" t="str">
        <f t="shared" si="665"/>
        <v/>
      </c>
      <c r="BJ1895" s="747" t="str">
        <f t="shared" si="672"/>
        <v/>
      </c>
      <c r="BK1895" s="498" t="str">
        <f t="shared" si="666"/>
        <v/>
      </c>
      <c r="BL1895" s="498" t="str">
        <f t="shared" si="667"/>
        <v/>
      </c>
    </row>
    <row r="1896" spans="1:64" x14ac:dyDescent="0.25">
      <c r="A1896" s="762">
        <f t="shared" si="668"/>
        <v>1891</v>
      </c>
      <c r="B1896" s="229"/>
      <c r="C1896" s="223"/>
      <c r="D1896" s="224"/>
      <c r="E1896" s="225"/>
      <c r="F1896" s="1036" t="str">
        <f t="shared" si="674"/>
        <v/>
      </c>
      <c r="G1896" s="1037" t="str">
        <f t="shared" si="669"/>
        <v/>
      </c>
      <c r="H1896" s="225"/>
      <c r="I1896" s="1013"/>
      <c r="J1896" s="1013"/>
      <c r="K1896" s="1028"/>
      <c r="L1896" s="1035" t="str">
        <f t="shared" si="673"/>
        <v/>
      </c>
      <c r="S1896" s="498"/>
      <c r="AJ1896" s="498"/>
      <c r="AM1896" s="498">
        <f t="shared" si="654"/>
        <v>0</v>
      </c>
      <c r="AN1896" s="498">
        <f t="shared" si="655"/>
        <v>0</v>
      </c>
      <c r="AO1896" s="498">
        <f t="shared" si="656"/>
        <v>0</v>
      </c>
      <c r="AP1896" s="498">
        <f t="shared" si="675"/>
        <v>0</v>
      </c>
      <c r="AQ1896" s="498">
        <f t="shared" si="670"/>
        <v>0</v>
      </c>
      <c r="AU1896" s="498">
        <f t="shared" si="657"/>
        <v>0</v>
      </c>
      <c r="AV1896" s="498">
        <f t="shared" si="658"/>
        <v>0</v>
      </c>
      <c r="AW1896" s="498">
        <f t="shared" si="659"/>
        <v>0</v>
      </c>
      <c r="AX1896" s="498">
        <f t="shared" si="660"/>
        <v>0</v>
      </c>
      <c r="AY1896" s="498">
        <f t="shared" si="661"/>
        <v>0</v>
      </c>
      <c r="BB1896" s="498" t="str">
        <f t="shared" si="662"/>
        <v/>
      </c>
      <c r="BC1896" s="743" t="str">
        <f t="shared" si="663"/>
        <v/>
      </c>
      <c r="BD1896" s="743" t="str">
        <f t="shared" si="664"/>
        <v/>
      </c>
      <c r="BE1896" s="743" t="str">
        <f>IF(D1896="","",VLOOKUP(D1896,'General Basis'!$J$39:$K$46,2,0))</f>
        <v/>
      </c>
      <c r="BF1896" s="744" t="str">
        <f>IF(D1896="","",VLOOKUP(D1896,'General Basis'!$J$39:$L$46,3,0))</f>
        <v/>
      </c>
      <c r="BG1896" s="744" t="str">
        <f t="shared" si="671"/>
        <v/>
      </c>
      <c r="BH1896" s="744" t="str">
        <f>IF(G1896="","",IF(BF1896="Abu Dhabi",IF(G1896&lt;18,'General Basis'!$C$39,IF(G1896&lt;41,'General Basis'!$C$40,IF(G1896&lt;60,'General Basis'!$C$41,IF(G1896&lt;65,'General Basis'!$C$42,'General Basis'!$C$43)))),IF(G1896&lt;11,'General Basis'!$B$39,IF(G1896&lt;18,'General Basis'!$B$40,IF(G1896&lt;26,'General Basis'!$B$41,IF(G1896&lt;31,'General Basis'!$B$42,IF(G1896&lt;36,'General Basis'!$B$43,IF(G1896&lt;41,'General Basis'!$B$44,IF(G1896&lt;46,'General Basis'!$B$45,IF(G1896&lt;51,'General Basis'!$B$46,IF(G1896&lt;56,'General Basis'!$B$47,IF(G1896&lt;60,'General Basis'!$B$48,IF(G1896&lt;65,'General Basis'!$B$49,'General Basis'!$B$50)))))))))))))</f>
        <v/>
      </c>
      <c r="BI1896" s="744" t="str">
        <f t="shared" si="665"/>
        <v/>
      </c>
      <c r="BJ1896" s="747" t="str">
        <f t="shared" si="672"/>
        <v/>
      </c>
      <c r="BK1896" s="498" t="str">
        <f t="shared" si="666"/>
        <v/>
      </c>
      <c r="BL1896" s="498" t="str">
        <f t="shared" si="667"/>
        <v/>
      </c>
    </row>
    <row r="1897" spans="1:64" x14ac:dyDescent="0.25">
      <c r="A1897" s="762">
        <f t="shared" si="668"/>
        <v>1892</v>
      </c>
      <c r="B1897" s="229"/>
      <c r="C1897" s="223"/>
      <c r="D1897" s="224"/>
      <c r="E1897" s="225"/>
      <c r="F1897" s="1036" t="str">
        <f t="shared" si="674"/>
        <v/>
      </c>
      <c r="G1897" s="1037" t="str">
        <f t="shared" si="669"/>
        <v/>
      </c>
      <c r="H1897" s="225"/>
      <c r="I1897" s="1013"/>
      <c r="J1897" s="1013"/>
      <c r="K1897" s="1028"/>
      <c r="L1897" s="1035" t="str">
        <f t="shared" si="673"/>
        <v/>
      </c>
      <c r="S1897" s="498"/>
      <c r="AJ1897" s="498"/>
      <c r="AM1897" s="498">
        <f t="shared" si="654"/>
        <v>0</v>
      </c>
      <c r="AN1897" s="498">
        <f t="shared" si="655"/>
        <v>0</v>
      </c>
      <c r="AO1897" s="498">
        <f t="shared" si="656"/>
        <v>0</v>
      </c>
      <c r="AP1897" s="498">
        <f t="shared" si="675"/>
        <v>0</v>
      </c>
      <c r="AQ1897" s="498">
        <f t="shared" si="670"/>
        <v>0</v>
      </c>
      <c r="AU1897" s="498">
        <f t="shared" si="657"/>
        <v>0</v>
      </c>
      <c r="AV1897" s="498">
        <f t="shared" si="658"/>
        <v>0</v>
      </c>
      <c r="AW1897" s="498">
        <f t="shared" si="659"/>
        <v>0</v>
      </c>
      <c r="AX1897" s="498">
        <f t="shared" si="660"/>
        <v>0</v>
      </c>
      <c r="AY1897" s="498">
        <f t="shared" si="661"/>
        <v>0</v>
      </c>
      <c r="BB1897" s="498" t="str">
        <f t="shared" si="662"/>
        <v/>
      </c>
      <c r="BC1897" s="743" t="str">
        <f t="shared" si="663"/>
        <v/>
      </c>
      <c r="BD1897" s="743" t="str">
        <f t="shared" si="664"/>
        <v/>
      </c>
      <c r="BE1897" s="743" t="str">
        <f>IF(D1897="","",VLOOKUP(D1897,'General Basis'!$J$39:$K$46,2,0))</f>
        <v/>
      </c>
      <c r="BF1897" s="744" t="str">
        <f>IF(D1897="","",VLOOKUP(D1897,'General Basis'!$J$39:$L$46,3,0))</f>
        <v/>
      </c>
      <c r="BG1897" s="744" t="str">
        <f t="shared" si="671"/>
        <v/>
      </c>
      <c r="BH1897" s="744" t="str">
        <f>IF(G1897="","",IF(BF1897="Abu Dhabi",IF(G1897&lt;18,'General Basis'!$C$39,IF(G1897&lt;41,'General Basis'!$C$40,IF(G1897&lt;60,'General Basis'!$C$41,IF(G1897&lt;65,'General Basis'!$C$42,'General Basis'!$C$43)))),IF(G1897&lt;11,'General Basis'!$B$39,IF(G1897&lt;18,'General Basis'!$B$40,IF(G1897&lt;26,'General Basis'!$B$41,IF(G1897&lt;31,'General Basis'!$B$42,IF(G1897&lt;36,'General Basis'!$B$43,IF(G1897&lt;41,'General Basis'!$B$44,IF(G1897&lt;46,'General Basis'!$B$45,IF(G1897&lt;51,'General Basis'!$B$46,IF(G1897&lt;56,'General Basis'!$B$47,IF(G1897&lt;60,'General Basis'!$B$48,IF(G1897&lt;65,'General Basis'!$B$49,'General Basis'!$B$50)))))))))))))</f>
        <v/>
      </c>
      <c r="BI1897" s="744" t="str">
        <f t="shared" si="665"/>
        <v/>
      </c>
      <c r="BJ1897" s="747" t="str">
        <f t="shared" si="672"/>
        <v/>
      </c>
      <c r="BK1897" s="498" t="str">
        <f t="shared" si="666"/>
        <v/>
      </c>
      <c r="BL1897" s="498" t="str">
        <f t="shared" si="667"/>
        <v/>
      </c>
    </row>
    <row r="1898" spans="1:64" x14ac:dyDescent="0.25">
      <c r="A1898" s="762">
        <f t="shared" si="668"/>
        <v>1893</v>
      </c>
      <c r="B1898" s="229"/>
      <c r="C1898" s="223"/>
      <c r="D1898" s="224"/>
      <c r="E1898" s="225"/>
      <c r="F1898" s="1036" t="str">
        <f t="shared" si="674"/>
        <v/>
      </c>
      <c r="G1898" s="1037" t="str">
        <f t="shared" si="669"/>
        <v/>
      </c>
      <c r="H1898" s="225"/>
      <c r="I1898" s="1013"/>
      <c r="J1898" s="1013"/>
      <c r="K1898" s="1028"/>
      <c r="L1898" s="1035" t="str">
        <f t="shared" si="673"/>
        <v/>
      </c>
      <c r="S1898" s="498"/>
      <c r="AJ1898" s="498"/>
      <c r="AM1898" s="498">
        <f t="shared" si="654"/>
        <v>0</v>
      </c>
      <c r="AN1898" s="498">
        <f t="shared" si="655"/>
        <v>0</v>
      </c>
      <c r="AO1898" s="498">
        <f t="shared" si="656"/>
        <v>0</v>
      </c>
      <c r="AP1898" s="498">
        <f t="shared" si="675"/>
        <v>0</v>
      </c>
      <c r="AQ1898" s="498">
        <f t="shared" si="670"/>
        <v>0</v>
      </c>
      <c r="AU1898" s="498">
        <f t="shared" si="657"/>
        <v>0</v>
      </c>
      <c r="AV1898" s="498">
        <f t="shared" si="658"/>
        <v>0</v>
      </c>
      <c r="AW1898" s="498">
        <f t="shared" si="659"/>
        <v>0</v>
      </c>
      <c r="AX1898" s="498">
        <f t="shared" si="660"/>
        <v>0</v>
      </c>
      <c r="AY1898" s="498">
        <f t="shared" si="661"/>
        <v>0</v>
      </c>
      <c r="BB1898" s="498" t="str">
        <f t="shared" si="662"/>
        <v/>
      </c>
      <c r="BC1898" s="743" t="str">
        <f t="shared" si="663"/>
        <v/>
      </c>
      <c r="BD1898" s="743" t="str">
        <f t="shared" si="664"/>
        <v/>
      </c>
      <c r="BE1898" s="743" t="str">
        <f>IF(D1898="","",VLOOKUP(D1898,'General Basis'!$J$39:$K$46,2,0))</f>
        <v/>
      </c>
      <c r="BF1898" s="744" t="str">
        <f>IF(D1898="","",VLOOKUP(D1898,'General Basis'!$J$39:$L$46,3,0))</f>
        <v/>
      </c>
      <c r="BG1898" s="744" t="str">
        <f t="shared" si="671"/>
        <v/>
      </c>
      <c r="BH1898" s="744" t="str">
        <f>IF(G1898="","",IF(BF1898="Abu Dhabi",IF(G1898&lt;18,'General Basis'!$C$39,IF(G1898&lt;41,'General Basis'!$C$40,IF(G1898&lt;60,'General Basis'!$C$41,IF(G1898&lt;65,'General Basis'!$C$42,'General Basis'!$C$43)))),IF(G1898&lt;11,'General Basis'!$B$39,IF(G1898&lt;18,'General Basis'!$B$40,IF(G1898&lt;26,'General Basis'!$B$41,IF(G1898&lt;31,'General Basis'!$B$42,IF(G1898&lt;36,'General Basis'!$B$43,IF(G1898&lt;41,'General Basis'!$B$44,IF(G1898&lt;46,'General Basis'!$B$45,IF(G1898&lt;51,'General Basis'!$B$46,IF(G1898&lt;56,'General Basis'!$B$47,IF(G1898&lt;60,'General Basis'!$B$48,IF(G1898&lt;65,'General Basis'!$B$49,'General Basis'!$B$50)))))))))))))</f>
        <v/>
      </c>
      <c r="BI1898" s="744" t="str">
        <f t="shared" si="665"/>
        <v/>
      </c>
      <c r="BJ1898" s="747" t="str">
        <f t="shared" si="672"/>
        <v/>
      </c>
      <c r="BK1898" s="498" t="str">
        <f t="shared" si="666"/>
        <v/>
      </c>
      <c r="BL1898" s="498" t="str">
        <f t="shared" si="667"/>
        <v/>
      </c>
    </row>
    <row r="1899" spans="1:64" x14ac:dyDescent="0.25">
      <c r="A1899" s="762">
        <f t="shared" si="668"/>
        <v>1894</v>
      </c>
      <c r="B1899" s="229"/>
      <c r="C1899" s="223"/>
      <c r="D1899" s="224"/>
      <c r="E1899" s="225"/>
      <c r="F1899" s="1036" t="str">
        <f t="shared" si="674"/>
        <v/>
      </c>
      <c r="G1899" s="1037" t="str">
        <f t="shared" si="669"/>
        <v/>
      </c>
      <c r="H1899" s="225"/>
      <c r="I1899" s="1013"/>
      <c r="J1899" s="1013"/>
      <c r="K1899" s="1028"/>
      <c r="L1899" s="1035" t="str">
        <f t="shared" si="673"/>
        <v/>
      </c>
      <c r="S1899" s="498"/>
      <c r="AJ1899" s="498"/>
      <c r="AM1899" s="498">
        <f t="shared" si="654"/>
        <v>0</v>
      </c>
      <c r="AN1899" s="498">
        <f t="shared" si="655"/>
        <v>0</v>
      </c>
      <c r="AO1899" s="498">
        <f t="shared" si="656"/>
        <v>0</v>
      </c>
      <c r="AP1899" s="498">
        <f t="shared" si="675"/>
        <v>0</v>
      </c>
      <c r="AQ1899" s="498">
        <f t="shared" si="670"/>
        <v>0</v>
      </c>
      <c r="AU1899" s="498">
        <f t="shared" si="657"/>
        <v>0</v>
      </c>
      <c r="AV1899" s="498">
        <f t="shared" si="658"/>
        <v>0</v>
      </c>
      <c r="AW1899" s="498">
        <f t="shared" si="659"/>
        <v>0</v>
      </c>
      <c r="AX1899" s="498">
        <f t="shared" si="660"/>
        <v>0</v>
      </c>
      <c r="AY1899" s="498">
        <f t="shared" si="661"/>
        <v>0</v>
      </c>
      <c r="BB1899" s="498" t="str">
        <f t="shared" si="662"/>
        <v/>
      </c>
      <c r="BC1899" s="743" t="str">
        <f t="shared" si="663"/>
        <v/>
      </c>
      <c r="BD1899" s="743" t="str">
        <f t="shared" si="664"/>
        <v/>
      </c>
      <c r="BE1899" s="743" t="str">
        <f>IF(D1899="","",VLOOKUP(D1899,'General Basis'!$J$39:$K$46,2,0))</f>
        <v/>
      </c>
      <c r="BF1899" s="744" t="str">
        <f>IF(D1899="","",VLOOKUP(D1899,'General Basis'!$J$39:$L$46,3,0))</f>
        <v/>
      </c>
      <c r="BG1899" s="744" t="str">
        <f t="shared" si="671"/>
        <v/>
      </c>
      <c r="BH1899" s="744" t="str">
        <f>IF(G1899="","",IF(BF1899="Abu Dhabi",IF(G1899&lt;18,'General Basis'!$C$39,IF(G1899&lt;41,'General Basis'!$C$40,IF(G1899&lt;60,'General Basis'!$C$41,IF(G1899&lt;65,'General Basis'!$C$42,'General Basis'!$C$43)))),IF(G1899&lt;11,'General Basis'!$B$39,IF(G1899&lt;18,'General Basis'!$B$40,IF(G1899&lt;26,'General Basis'!$B$41,IF(G1899&lt;31,'General Basis'!$B$42,IF(G1899&lt;36,'General Basis'!$B$43,IF(G1899&lt;41,'General Basis'!$B$44,IF(G1899&lt;46,'General Basis'!$B$45,IF(G1899&lt;51,'General Basis'!$B$46,IF(G1899&lt;56,'General Basis'!$B$47,IF(G1899&lt;60,'General Basis'!$B$48,IF(G1899&lt;65,'General Basis'!$B$49,'General Basis'!$B$50)))))))))))))</f>
        <v/>
      </c>
      <c r="BI1899" s="744" t="str">
        <f t="shared" si="665"/>
        <v/>
      </c>
      <c r="BJ1899" s="747" t="str">
        <f t="shared" si="672"/>
        <v/>
      </c>
      <c r="BK1899" s="498" t="str">
        <f t="shared" si="666"/>
        <v/>
      </c>
      <c r="BL1899" s="498" t="str">
        <f t="shared" si="667"/>
        <v/>
      </c>
    </row>
    <row r="1900" spans="1:64" x14ac:dyDescent="0.25">
      <c r="A1900" s="762">
        <f t="shared" si="668"/>
        <v>1895</v>
      </c>
      <c r="B1900" s="229"/>
      <c r="C1900" s="223"/>
      <c r="D1900" s="224"/>
      <c r="E1900" s="225"/>
      <c r="F1900" s="1036" t="str">
        <f t="shared" si="674"/>
        <v/>
      </c>
      <c r="G1900" s="1037" t="str">
        <f t="shared" si="669"/>
        <v/>
      </c>
      <c r="H1900" s="225"/>
      <c r="I1900" s="1013"/>
      <c r="J1900" s="1013"/>
      <c r="K1900" s="1028"/>
      <c r="L1900" s="1035" t="str">
        <f t="shared" si="673"/>
        <v/>
      </c>
      <c r="S1900" s="498"/>
      <c r="AJ1900" s="498"/>
      <c r="AM1900" s="498">
        <f t="shared" si="654"/>
        <v>0</v>
      </c>
      <c r="AN1900" s="498">
        <f t="shared" si="655"/>
        <v>0</v>
      </c>
      <c r="AO1900" s="498">
        <f t="shared" si="656"/>
        <v>0</v>
      </c>
      <c r="AP1900" s="498">
        <f t="shared" si="675"/>
        <v>0</v>
      </c>
      <c r="AQ1900" s="498">
        <f t="shared" si="670"/>
        <v>0</v>
      </c>
      <c r="AU1900" s="498">
        <f t="shared" si="657"/>
        <v>0</v>
      </c>
      <c r="AV1900" s="498">
        <f t="shared" si="658"/>
        <v>0</v>
      </c>
      <c r="AW1900" s="498">
        <f t="shared" si="659"/>
        <v>0</v>
      </c>
      <c r="AX1900" s="498">
        <f t="shared" si="660"/>
        <v>0</v>
      </c>
      <c r="AY1900" s="498">
        <f t="shared" si="661"/>
        <v>0</v>
      </c>
      <c r="BB1900" s="498" t="str">
        <f t="shared" si="662"/>
        <v/>
      </c>
      <c r="BC1900" s="743" t="str">
        <f t="shared" si="663"/>
        <v/>
      </c>
      <c r="BD1900" s="743" t="str">
        <f t="shared" si="664"/>
        <v/>
      </c>
      <c r="BE1900" s="743" t="str">
        <f>IF(D1900="","",VLOOKUP(D1900,'General Basis'!$J$39:$K$46,2,0))</f>
        <v/>
      </c>
      <c r="BF1900" s="744" t="str">
        <f>IF(D1900="","",VLOOKUP(D1900,'General Basis'!$J$39:$L$46,3,0))</f>
        <v/>
      </c>
      <c r="BG1900" s="744" t="str">
        <f t="shared" si="671"/>
        <v/>
      </c>
      <c r="BH1900" s="744" t="str">
        <f>IF(G1900="","",IF(BF1900="Abu Dhabi",IF(G1900&lt;18,'General Basis'!$C$39,IF(G1900&lt;41,'General Basis'!$C$40,IF(G1900&lt;60,'General Basis'!$C$41,IF(G1900&lt;65,'General Basis'!$C$42,'General Basis'!$C$43)))),IF(G1900&lt;11,'General Basis'!$B$39,IF(G1900&lt;18,'General Basis'!$B$40,IF(G1900&lt;26,'General Basis'!$B$41,IF(G1900&lt;31,'General Basis'!$B$42,IF(G1900&lt;36,'General Basis'!$B$43,IF(G1900&lt;41,'General Basis'!$B$44,IF(G1900&lt;46,'General Basis'!$B$45,IF(G1900&lt;51,'General Basis'!$B$46,IF(G1900&lt;56,'General Basis'!$B$47,IF(G1900&lt;60,'General Basis'!$B$48,IF(G1900&lt;65,'General Basis'!$B$49,'General Basis'!$B$50)))))))))))))</f>
        <v/>
      </c>
      <c r="BI1900" s="744" t="str">
        <f t="shared" si="665"/>
        <v/>
      </c>
      <c r="BJ1900" s="747" t="str">
        <f t="shared" si="672"/>
        <v/>
      </c>
      <c r="BK1900" s="498" t="str">
        <f t="shared" si="666"/>
        <v/>
      </c>
      <c r="BL1900" s="498" t="str">
        <f t="shared" si="667"/>
        <v/>
      </c>
    </row>
    <row r="1901" spans="1:64" x14ac:dyDescent="0.25">
      <c r="A1901" s="762">
        <f t="shared" si="668"/>
        <v>1896</v>
      </c>
      <c r="B1901" s="229"/>
      <c r="C1901" s="223"/>
      <c r="D1901" s="224"/>
      <c r="E1901" s="225"/>
      <c r="F1901" s="1036" t="str">
        <f t="shared" si="674"/>
        <v/>
      </c>
      <c r="G1901" s="1037" t="str">
        <f t="shared" si="669"/>
        <v/>
      </c>
      <c r="H1901" s="225"/>
      <c r="I1901" s="1013"/>
      <c r="J1901" s="1013"/>
      <c r="K1901" s="1028"/>
      <c r="L1901" s="1035" t="str">
        <f t="shared" si="673"/>
        <v/>
      </c>
      <c r="S1901" s="498"/>
      <c r="AJ1901" s="498"/>
      <c r="AM1901" s="498">
        <f t="shared" si="654"/>
        <v>0</v>
      </c>
      <c r="AN1901" s="498">
        <f t="shared" si="655"/>
        <v>0</v>
      </c>
      <c r="AO1901" s="498">
        <f t="shared" si="656"/>
        <v>0</v>
      </c>
      <c r="AP1901" s="498">
        <f t="shared" si="675"/>
        <v>0</v>
      </c>
      <c r="AQ1901" s="498">
        <f t="shared" si="670"/>
        <v>0</v>
      </c>
      <c r="AU1901" s="498">
        <f t="shared" si="657"/>
        <v>0</v>
      </c>
      <c r="AV1901" s="498">
        <f t="shared" si="658"/>
        <v>0</v>
      </c>
      <c r="AW1901" s="498">
        <f t="shared" si="659"/>
        <v>0</v>
      </c>
      <c r="AX1901" s="498">
        <f t="shared" si="660"/>
        <v>0</v>
      </c>
      <c r="AY1901" s="498">
        <f t="shared" si="661"/>
        <v>0</v>
      </c>
      <c r="BB1901" s="498" t="str">
        <f t="shared" si="662"/>
        <v/>
      </c>
      <c r="BC1901" s="743" t="str">
        <f t="shared" si="663"/>
        <v/>
      </c>
      <c r="BD1901" s="743" t="str">
        <f t="shared" si="664"/>
        <v/>
      </c>
      <c r="BE1901" s="743" t="str">
        <f>IF(D1901="","",VLOOKUP(D1901,'General Basis'!$J$39:$K$46,2,0))</f>
        <v/>
      </c>
      <c r="BF1901" s="744" t="str">
        <f>IF(D1901="","",VLOOKUP(D1901,'General Basis'!$J$39:$L$46,3,0))</f>
        <v/>
      </c>
      <c r="BG1901" s="744" t="str">
        <f t="shared" si="671"/>
        <v/>
      </c>
      <c r="BH1901" s="744" t="str">
        <f>IF(G1901="","",IF(BF1901="Abu Dhabi",IF(G1901&lt;18,'General Basis'!$C$39,IF(G1901&lt;41,'General Basis'!$C$40,IF(G1901&lt;60,'General Basis'!$C$41,IF(G1901&lt;65,'General Basis'!$C$42,'General Basis'!$C$43)))),IF(G1901&lt;11,'General Basis'!$B$39,IF(G1901&lt;18,'General Basis'!$B$40,IF(G1901&lt;26,'General Basis'!$B$41,IF(G1901&lt;31,'General Basis'!$B$42,IF(G1901&lt;36,'General Basis'!$B$43,IF(G1901&lt;41,'General Basis'!$B$44,IF(G1901&lt;46,'General Basis'!$B$45,IF(G1901&lt;51,'General Basis'!$B$46,IF(G1901&lt;56,'General Basis'!$B$47,IF(G1901&lt;60,'General Basis'!$B$48,IF(G1901&lt;65,'General Basis'!$B$49,'General Basis'!$B$50)))))))))))))</f>
        <v/>
      </c>
      <c r="BI1901" s="744" t="str">
        <f t="shared" si="665"/>
        <v/>
      </c>
      <c r="BJ1901" s="747" t="str">
        <f t="shared" si="672"/>
        <v/>
      </c>
      <c r="BK1901" s="498" t="str">
        <f t="shared" si="666"/>
        <v/>
      </c>
      <c r="BL1901" s="498" t="str">
        <f t="shared" si="667"/>
        <v/>
      </c>
    </row>
    <row r="1902" spans="1:64" x14ac:dyDescent="0.25">
      <c r="A1902" s="762">
        <f t="shared" si="668"/>
        <v>1897</v>
      </c>
      <c r="B1902" s="229"/>
      <c r="C1902" s="223"/>
      <c r="D1902" s="224"/>
      <c r="E1902" s="225"/>
      <c r="F1902" s="1036" t="str">
        <f t="shared" si="674"/>
        <v/>
      </c>
      <c r="G1902" s="1037" t="str">
        <f t="shared" si="669"/>
        <v/>
      </c>
      <c r="H1902" s="225"/>
      <c r="I1902" s="1013"/>
      <c r="J1902" s="1013"/>
      <c r="K1902" s="1028"/>
      <c r="L1902" s="1035" t="str">
        <f t="shared" si="673"/>
        <v/>
      </c>
      <c r="S1902" s="498"/>
      <c r="AJ1902" s="498"/>
      <c r="AM1902" s="498">
        <f t="shared" si="654"/>
        <v>0</v>
      </c>
      <c r="AN1902" s="498">
        <f t="shared" si="655"/>
        <v>0</v>
      </c>
      <c r="AO1902" s="498">
        <f t="shared" si="656"/>
        <v>0</v>
      </c>
      <c r="AP1902" s="498">
        <f t="shared" si="675"/>
        <v>0</v>
      </c>
      <c r="AQ1902" s="498">
        <f t="shared" si="670"/>
        <v>0</v>
      </c>
      <c r="AU1902" s="498">
        <f t="shared" si="657"/>
        <v>0</v>
      </c>
      <c r="AV1902" s="498">
        <f t="shared" si="658"/>
        <v>0</v>
      </c>
      <c r="AW1902" s="498">
        <f t="shared" si="659"/>
        <v>0</v>
      </c>
      <c r="AX1902" s="498">
        <f t="shared" si="660"/>
        <v>0</v>
      </c>
      <c r="AY1902" s="498">
        <f t="shared" si="661"/>
        <v>0</v>
      </c>
      <c r="BB1902" s="498" t="str">
        <f t="shared" si="662"/>
        <v/>
      </c>
      <c r="BC1902" s="743" t="str">
        <f t="shared" si="663"/>
        <v/>
      </c>
      <c r="BD1902" s="743" t="str">
        <f t="shared" si="664"/>
        <v/>
      </c>
      <c r="BE1902" s="743" t="str">
        <f>IF(D1902="","",VLOOKUP(D1902,'General Basis'!$J$39:$K$46,2,0))</f>
        <v/>
      </c>
      <c r="BF1902" s="744" t="str">
        <f>IF(D1902="","",VLOOKUP(D1902,'General Basis'!$J$39:$L$46,3,0))</f>
        <v/>
      </c>
      <c r="BG1902" s="744" t="str">
        <f t="shared" si="671"/>
        <v/>
      </c>
      <c r="BH1902" s="744" t="str">
        <f>IF(G1902="","",IF(BF1902="Abu Dhabi",IF(G1902&lt;18,'General Basis'!$C$39,IF(G1902&lt;41,'General Basis'!$C$40,IF(G1902&lt;60,'General Basis'!$C$41,IF(G1902&lt;65,'General Basis'!$C$42,'General Basis'!$C$43)))),IF(G1902&lt;11,'General Basis'!$B$39,IF(G1902&lt;18,'General Basis'!$B$40,IF(G1902&lt;26,'General Basis'!$B$41,IF(G1902&lt;31,'General Basis'!$B$42,IF(G1902&lt;36,'General Basis'!$B$43,IF(G1902&lt;41,'General Basis'!$B$44,IF(G1902&lt;46,'General Basis'!$B$45,IF(G1902&lt;51,'General Basis'!$B$46,IF(G1902&lt;56,'General Basis'!$B$47,IF(G1902&lt;60,'General Basis'!$B$48,IF(G1902&lt;65,'General Basis'!$B$49,'General Basis'!$B$50)))))))))))))</f>
        <v/>
      </c>
      <c r="BI1902" s="744" t="str">
        <f t="shared" si="665"/>
        <v/>
      </c>
      <c r="BJ1902" s="747" t="str">
        <f t="shared" si="672"/>
        <v/>
      </c>
      <c r="BK1902" s="498" t="str">
        <f t="shared" si="666"/>
        <v/>
      </c>
      <c r="BL1902" s="498" t="str">
        <f t="shared" si="667"/>
        <v/>
      </c>
    </row>
    <row r="1903" spans="1:64" x14ac:dyDescent="0.25">
      <c r="A1903" s="762">
        <f t="shared" si="668"/>
        <v>1898</v>
      </c>
      <c r="B1903" s="229"/>
      <c r="C1903" s="223"/>
      <c r="D1903" s="224"/>
      <c r="E1903" s="225"/>
      <c r="F1903" s="1036" t="str">
        <f t="shared" si="674"/>
        <v/>
      </c>
      <c r="G1903" s="1037" t="str">
        <f t="shared" si="669"/>
        <v/>
      </c>
      <c r="H1903" s="225"/>
      <c r="I1903" s="1013"/>
      <c r="J1903" s="1013"/>
      <c r="K1903" s="1028"/>
      <c r="L1903" s="1035" t="str">
        <f t="shared" si="673"/>
        <v/>
      </c>
      <c r="S1903" s="498"/>
      <c r="AJ1903" s="498"/>
      <c r="AM1903" s="498">
        <f t="shared" si="654"/>
        <v>0</v>
      </c>
      <c r="AN1903" s="498">
        <f t="shared" si="655"/>
        <v>0</v>
      </c>
      <c r="AO1903" s="498">
        <f t="shared" si="656"/>
        <v>0</v>
      </c>
      <c r="AP1903" s="498">
        <f t="shared" si="675"/>
        <v>0</v>
      </c>
      <c r="AQ1903" s="498">
        <f t="shared" si="670"/>
        <v>0</v>
      </c>
      <c r="AU1903" s="498">
        <f t="shared" si="657"/>
        <v>0</v>
      </c>
      <c r="AV1903" s="498">
        <f t="shared" si="658"/>
        <v>0</v>
      </c>
      <c r="AW1903" s="498">
        <f t="shared" si="659"/>
        <v>0</v>
      </c>
      <c r="AX1903" s="498">
        <f t="shared" si="660"/>
        <v>0</v>
      </c>
      <c r="AY1903" s="498">
        <f t="shared" si="661"/>
        <v>0</v>
      </c>
      <c r="BB1903" s="498" t="str">
        <f t="shared" si="662"/>
        <v/>
      </c>
      <c r="BC1903" s="743" t="str">
        <f t="shared" si="663"/>
        <v/>
      </c>
      <c r="BD1903" s="743" t="str">
        <f t="shared" si="664"/>
        <v/>
      </c>
      <c r="BE1903" s="743" t="str">
        <f>IF(D1903="","",VLOOKUP(D1903,'General Basis'!$J$39:$K$46,2,0))</f>
        <v/>
      </c>
      <c r="BF1903" s="744" t="str">
        <f>IF(D1903="","",VLOOKUP(D1903,'General Basis'!$J$39:$L$46,3,0))</f>
        <v/>
      </c>
      <c r="BG1903" s="744" t="str">
        <f t="shared" si="671"/>
        <v/>
      </c>
      <c r="BH1903" s="744" t="str">
        <f>IF(G1903="","",IF(BF1903="Abu Dhabi",IF(G1903&lt;18,'General Basis'!$C$39,IF(G1903&lt;41,'General Basis'!$C$40,IF(G1903&lt;60,'General Basis'!$C$41,IF(G1903&lt;65,'General Basis'!$C$42,'General Basis'!$C$43)))),IF(G1903&lt;11,'General Basis'!$B$39,IF(G1903&lt;18,'General Basis'!$B$40,IF(G1903&lt;26,'General Basis'!$B$41,IF(G1903&lt;31,'General Basis'!$B$42,IF(G1903&lt;36,'General Basis'!$B$43,IF(G1903&lt;41,'General Basis'!$B$44,IF(G1903&lt;46,'General Basis'!$B$45,IF(G1903&lt;51,'General Basis'!$B$46,IF(G1903&lt;56,'General Basis'!$B$47,IF(G1903&lt;60,'General Basis'!$B$48,IF(G1903&lt;65,'General Basis'!$B$49,'General Basis'!$B$50)))))))))))))</f>
        <v/>
      </c>
      <c r="BI1903" s="744" t="str">
        <f t="shared" si="665"/>
        <v/>
      </c>
      <c r="BJ1903" s="747" t="str">
        <f t="shared" si="672"/>
        <v/>
      </c>
      <c r="BK1903" s="498" t="str">
        <f t="shared" si="666"/>
        <v/>
      </c>
      <c r="BL1903" s="498" t="str">
        <f t="shared" si="667"/>
        <v/>
      </c>
    </row>
    <row r="1904" spans="1:64" x14ac:dyDescent="0.25">
      <c r="A1904" s="762">
        <f t="shared" si="668"/>
        <v>1899</v>
      </c>
      <c r="B1904" s="229"/>
      <c r="C1904" s="223"/>
      <c r="D1904" s="224"/>
      <c r="E1904" s="225"/>
      <c r="F1904" s="1036" t="str">
        <f t="shared" si="674"/>
        <v/>
      </c>
      <c r="G1904" s="1037" t="str">
        <f t="shared" si="669"/>
        <v/>
      </c>
      <c r="H1904" s="225"/>
      <c r="I1904" s="1013"/>
      <c r="J1904" s="1013"/>
      <c r="K1904" s="1028"/>
      <c r="L1904" s="1035" t="str">
        <f t="shared" si="673"/>
        <v/>
      </c>
      <c r="S1904" s="498"/>
      <c r="AJ1904" s="498"/>
      <c r="AM1904" s="498">
        <f t="shared" si="654"/>
        <v>0</v>
      </c>
      <c r="AN1904" s="498">
        <f t="shared" si="655"/>
        <v>0</v>
      </c>
      <c r="AO1904" s="498">
        <f t="shared" si="656"/>
        <v>0</v>
      </c>
      <c r="AP1904" s="498">
        <f t="shared" si="675"/>
        <v>0</v>
      </c>
      <c r="AQ1904" s="498">
        <f t="shared" si="670"/>
        <v>0</v>
      </c>
      <c r="AU1904" s="498">
        <f t="shared" si="657"/>
        <v>0</v>
      </c>
      <c r="AV1904" s="498">
        <f t="shared" si="658"/>
        <v>0</v>
      </c>
      <c r="AW1904" s="498">
        <f t="shared" si="659"/>
        <v>0</v>
      </c>
      <c r="AX1904" s="498">
        <f t="shared" si="660"/>
        <v>0</v>
      </c>
      <c r="AY1904" s="498">
        <f t="shared" si="661"/>
        <v>0</v>
      </c>
      <c r="BB1904" s="498" t="str">
        <f t="shared" si="662"/>
        <v/>
      </c>
      <c r="BC1904" s="743" t="str">
        <f t="shared" si="663"/>
        <v/>
      </c>
      <c r="BD1904" s="743" t="str">
        <f t="shared" si="664"/>
        <v/>
      </c>
      <c r="BE1904" s="743" t="str">
        <f>IF(D1904="","",VLOOKUP(D1904,'General Basis'!$J$39:$K$46,2,0))</f>
        <v/>
      </c>
      <c r="BF1904" s="744" t="str">
        <f>IF(D1904="","",VLOOKUP(D1904,'General Basis'!$J$39:$L$46,3,0))</f>
        <v/>
      </c>
      <c r="BG1904" s="744" t="str">
        <f t="shared" si="671"/>
        <v/>
      </c>
      <c r="BH1904" s="744" t="str">
        <f>IF(G1904="","",IF(BF1904="Abu Dhabi",IF(G1904&lt;18,'General Basis'!$C$39,IF(G1904&lt;41,'General Basis'!$C$40,IF(G1904&lt;60,'General Basis'!$C$41,IF(G1904&lt;65,'General Basis'!$C$42,'General Basis'!$C$43)))),IF(G1904&lt;11,'General Basis'!$B$39,IF(G1904&lt;18,'General Basis'!$B$40,IF(G1904&lt;26,'General Basis'!$B$41,IF(G1904&lt;31,'General Basis'!$B$42,IF(G1904&lt;36,'General Basis'!$B$43,IF(G1904&lt;41,'General Basis'!$B$44,IF(G1904&lt;46,'General Basis'!$B$45,IF(G1904&lt;51,'General Basis'!$B$46,IF(G1904&lt;56,'General Basis'!$B$47,IF(G1904&lt;60,'General Basis'!$B$48,IF(G1904&lt;65,'General Basis'!$B$49,'General Basis'!$B$50)))))))))))))</f>
        <v/>
      </c>
      <c r="BI1904" s="744" t="str">
        <f t="shared" si="665"/>
        <v/>
      </c>
      <c r="BJ1904" s="747" t="str">
        <f t="shared" si="672"/>
        <v/>
      </c>
      <c r="BK1904" s="498" t="str">
        <f t="shared" si="666"/>
        <v/>
      </c>
      <c r="BL1904" s="498" t="str">
        <f t="shared" si="667"/>
        <v/>
      </c>
    </row>
    <row r="1905" spans="1:64" x14ac:dyDescent="0.25">
      <c r="A1905" s="762">
        <f t="shared" si="668"/>
        <v>1900</v>
      </c>
      <c r="B1905" s="229"/>
      <c r="C1905" s="223"/>
      <c r="D1905" s="224"/>
      <c r="E1905" s="225"/>
      <c r="F1905" s="1036" t="str">
        <f t="shared" si="674"/>
        <v/>
      </c>
      <c r="G1905" s="1037" t="str">
        <f t="shared" si="669"/>
        <v/>
      </c>
      <c r="H1905" s="225"/>
      <c r="I1905" s="1013"/>
      <c r="J1905" s="1013"/>
      <c r="K1905" s="1028"/>
      <c r="L1905" s="1035" t="str">
        <f t="shared" si="673"/>
        <v/>
      </c>
      <c r="S1905" s="498"/>
      <c r="AJ1905" s="498"/>
      <c r="AM1905" s="498">
        <f t="shared" si="654"/>
        <v>0</v>
      </c>
      <c r="AN1905" s="498">
        <f t="shared" si="655"/>
        <v>0</v>
      </c>
      <c r="AO1905" s="498">
        <f t="shared" si="656"/>
        <v>0</v>
      </c>
      <c r="AP1905" s="498">
        <f t="shared" si="675"/>
        <v>0</v>
      </c>
      <c r="AQ1905" s="498">
        <f t="shared" si="670"/>
        <v>0</v>
      </c>
      <c r="AU1905" s="498">
        <f t="shared" si="657"/>
        <v>0</v>
      </c>
      <c r="AV1905" s="498">
        <f t="shared" si="658"/>
        <v>0</v>
      </c>
      <c r="AW1905" s="498">
        <f t="shared" si="659"/>
        <v>0</v>
      </c>
      <c r="AX1905" s="498">
        <f t="shared" si="660"/>
        <v>0</v>
      </c>
      <c r="AY1905" s="498">
        <f t="shared" si="661"/>
        <v>0</v>
      </c>
      <c r="BB1905" s="498" t="str">
        <f t="shared" si="662"/>
        <v/>
      </c>
      <c r="BC1905" s="743" t="str">
        <f t="shared" si="663"/>
        <v/>
      </c>
      <c r="BD1905" s="743" t="str">
        <f t="shared" si="664"/>
        <v/>
      </c>
      <c r="BE1905" s="743" t="str">
        <f>IF(D1905="","",VLOOKUP(D1905,'General Basis'!$J$39:$K$46,2,0))</f>
        <v/>
      </c>
      <c r="BF1905" s="744" t="str">
        <f>IF(D1905="","",VLOOKUP(D1905,'General Basis'!$J$39:$L$46,3,0))</f>
        <v/>
      </c>
      <c r="BG1905" s="744" t="str">
        <f t="shared" si="671"/>
        <v/>
      </c>
      <c r="BH1905" s="744" t="str">
        <f>IF(G1905="","",IF(BF1905="Abu Dhabi",IF(G1905&lt;18,'General Basis'!$C$39,IF(G1905&lt;41,'General Basis'!$C$40,IF(G1905&lt;60,'General Basis'!$C$41,IF(G1905&lt;65,'General Basis'!$C$42,'General Basis'!$C$43)))),IF(G1905&lt;11,'General Basis'!$B$39,IF(G1905&lt;18,'General Basis'!$B$40,IF(G1905&lt;26,'General Basis'!$B$41,IF(G1905&lt;31,'General Basis'!$B$42,IF(G1905&lt;36,'General Basis'!$B$43,IF(G1905&lt;41,'General Basis'!$B$44,IF(G1905&lt;46,'General Basis'!$B$45,IF(G1905&lt;51,'General Basis'!$B$46,IF(G1905&lt;56,'General Basis'!$B$47,IF(G1905&lt;60,'General Basis'!$B$48,IF(G1905&lt;65,'General Basis'!$B$49,'General Basis'!$B$50)))))))))))))</f>
        <v/>
      </c>
      <c r="BI1905" s="744" t="str">
        <f t="shared" si="665"/>
        <v/>
      </c>
      <c r="BJ1905" s="747" t="str">
        <f t="shared" si="672"/>
        <v/>
      </c>
      <c r="BK1905" s="498" t="str">
        <f t="shared" si="666"/>
        <v/>
      </c>
      <c r="BL1905" s="498" t="str">
        <f t="shared" si="667"/>
        <v/>
      </c>
    </row>
    <row r="1906" spans="1:64" x14ac:dyDescent="0.25">
      <c r="A1906" s="762">
        <f t="shared" si="668"/>
        <v>1901</v>
      </c>
      <c r="B1906" s="229"/>
      <c r="C1906" s="223"/>
      <c r="D1906" s="224"/>
      <c r="E1906" s="225"/>
      <c r="F1906" s="1036" t="str">
        <f t="shared" si="674"/>
        <v/>
      </c>
      <c r="G1906" s="1037" t="str">
        <f t="shared" si="669"/>
        <v/>
      </c>
      <c r="H1906" s="225"/>
      <c r="I1906" s="1013"/>
      <c r="J1906" s="1013"/>
      <c r="K1906" s="1028"/>
      <c r="L1906" s="1035" t="str">
        <f t="shared" si="673"/>
        <v/>
      </c>
      <c r="S1906" s="498"/>
      <c r="AJ1906" s="498"/>
      <c r="AM1906" s="498">
        <f t="shared" si="654"/>
        <v>0</v>
      </c>
      <c r="AN1906" s="498">
        <f t="shared" si="655"/>
        <v>0</v>
      </c>
      <c r="AO1906" s="498">
        <f t="shared" si="656"/>
        <v>0</v>
      </c>
      <c r="AP1906" s="498">
        <f t="shared" si="675"/>
        <v>0</v>
      </c>
      <c r="AQ1906" s="498">
        <f t="shared" si="670"/>
        <v>0</v>
      </c>
      <c r="AU1906" s="498">
        <f t="shared" si="657"/>
        <v>0</v>
      </c>
      <c r="AV1906" s="498">
        <f t="shared" si="658"/>
        <v>0</v>
      </c>
      <c r="AW1906" s="498">
        <f t="shared" si="659"/>
        <v>0</v>
      </c>
      <c r="AX1906" s="498">
        <f t="shared" si="660"/>
        <v>0</v>
      </c>
      <c r="AY1906" s="498">
        <f t="shared" si="661"/>
        <v>0</v>
      </c>
      <c r="BB1906" s="498" t="str">
        <f t="shared" si="662"/>
        <v/>
      </c>
      <c r="BC1906" s="743" t="str">
        <f t="shared" si="663"/>
        <v/>
      </c>
      <c r="BD1906" s="743" t="str">
        <f t="shared" si="664"/>
        <v/>
      </c>
      <c r="BE1906" s="743" t="str">
        <f>IF(D1906="","",VLOOKUP(D1906,'General Basis'!$J$39:$K$46,2,0))</f>
        <v/>
      </c>
      <c r="BF1906" s="744" t="str">
        <f>IF(D1906="","",VLOOKUP(D1906,'General Basis'!$J$39:$L$46,3,0))</f>
        <v/>
      </c>
      <c r="BG1906" s="744" t="str">
        <f t="shared" si="671"/>
        <v/>
      </c>
      <c r="BH1906" s="744" t="str">
        <f>IF(G1906="","",IF(BF1906="Abu Dhabi",IF(G1906&lt;18,'General Basis'!$C$39,IF(G1906&lt;41,'General Basis'!$C$40,IF(G1906&lt;60,'General Basis'!$C$41,IF(G1906&lt;65,'General Basis'!$C$42,'General Basis'!$C$43)))),IF(G1906&lt;11,'General Basis'!$B$39,IF(G1906&lt;18,'General Basis'!$B$40,IF(G1906&lt;26,'General Basis'!$B$41,IF(G1906&lt;31,'General Basis'!$B$42,IF(G1906&lt;36,'General Basis'!$B$43,IF(G1906&lt;41,'General Basis'!$B$44,IF(G1906&lt;46,'General Basis'!$B$45,IF(G1906&lt;51,'General Basis'!$B$46,IF(G1906&lt;56,'General Basis'!$B$47,IF(G1906&lt;60,'General Basis'!$B$48,IF(G1906&lt;65,'General Basis'!$B$49,'General Basis'!$B$50)))))))))))))</f>
        <v/>
      </c>
      <c r="BI1906" s="744" t="str">
        <f t="shared" si="665"/>
        <v/>
      </c>
      <c r="BJ1906" s="747" t="str">
        <f t="shared" si="672"/>
        <v/>
      </c>
      <c r="BK1906" s="498" t="str">
        <f t="shared" si="666"/>
        <v/>
      </c>
      <c r="BL1906" s="498" t="str">
        <f t="shared" si="667"/>
        <v/>
      </c>
    </row>
    <row r="1907" spans="1:64" x14ac:dyDescent="0.25">
      <c r="A1907" s="762">
        <f t="shared" si="668"/>
        <v>1902</v>
      </c>
      <c r="B1907" s="229"/>
      <c r="C1907" s="223"/>
      <c r="D1907" s="224"/>
      <c r="E1907" s="225"/>
      <c r="F1907" s="1036" t="str">
        <f t="shared" si="674"/>
        <v/>
      </c>
      <c r="G1907" s="1037" t="str">
        <f t="shared" si="669"/>
        <v/>
      </c>
      <c r="H1907" s="225"/>
      <c r="I1907" s="1013"/>
      <c r="J1907" s="1013"/>
      <c r="K1907" s="1028"/>
      <c r="L1907" s="1035" t="str">
        <f t="shared" si="673"/>
        <v/>
      </c>
      <c r="S1907" s="498"/>
      <c r="AJ1907" s="498"/>
      <c r="AM1907" s="498">
        <f t="shared" si="654"/>
        <v>0</v>
      </c>
      <c r="AN1907" s="498">
        <f t="shared" si="655"/>
        <v>0</v>
      </c>
      <c r="AO1907" s="498">
        <f t="shared" si="656"/>
        <v>0</v>
      </c>
      <c r="AP1907" s="498">
        <f t="shared" si="675"/>
        <v>0</v>
      </c>
      <c r="AQ1907" s="498">
        <f t="shared" si="670"/>
        <v>0</v>
      </c>
      <c r="AU1907" s="498">
        <f t="shared" si="657"/>
        <v>0</v>
      </c>
      <c r="AV1907" s="498">
        <f t="shared" si="658"/>
        <v>0</v>
      </c>
      <c r="AW1907" s="498">
        <f t="shared" si="659"/>
        <v>0</v>
      </c>
      <c r="AX1907" s="498">
        <f t="shared" si="660"/>
        <v>0</v>
      </c>
      <c r="AY1907" s="498">
        <f t="shared" si="661"/>
        <v>0</v>
      </c>
      <c r="BB1907" s="498" t="str">
        <f t="shared" si="662"/>
        <v/>
      </c>
      <c r="BC1907" s="743" t="str">
        <f t="shared" si="663"/>
        <v/>
      </c>
      <c r="BD1907" s="743" t="str">
        <f t="shared" si="664"/>
        <v/>
      </c>
      <c r="BE1907" s="743" t="str">
        <f>IF(D1907="","",VLOOKUP(D1907,'General Basis'!$J$39:$K$46,2,0))</f>
        <v/>
      </c>
      <c r="BF1907" s="744" t="str">
        <f>IF(D1907="","",VLOOKUP(D1907,'General Basis'!$J$39:$L$46,3,0))</f>
        <v/>
      </c>
      <c r="BG1907" s="744" t="str">
        <f t="shared" si="671"/>
        <v/>
      </c>
      <c r="BH1907" s="744" t="str">
        <f>IF(G1907="","",IF(BF1907="Abu Dhabi",IF(G1907&lt;18,'General Basis'!$C$39,IF(G1907&lt;41,'General Basis'!$C$40,IF(G1907&lt;60,'General Basis'!$C$41,IF(G1907&lt;65,'General Basis'!$C$42,'General Basis'!$C$43)))),IF(G1907&lt;11,'General Basis'!$B$39,IF(G1907&lt;18,'General Basis'!$B$40,IF(G1907&lt;26,'General Basis'!$B$41,IF(G1907&lt;31,'General Basis'!$B$42,IF(G1907&lt;36,'General Basis'!$B$43,IF(G1907&lt;41,'General Basis'!$B$44,IF(G1907&lt;46,'General Basis'!$B$45,IF(G1907&lt;51,'General Basis'!$B$46,IF(G1907&lt;56,'General Basis'!$B$47,IF(G1907&lt;60,'General Basis'!$B$48,IF(G1907&lt;65,'General Basis'!$B$49,'General Basis'!$B$50)))))))))))))</f>
        <v/>
      </c>
      <c r="BI1907" s="744" t="str">
        <f t="shared" si="665"/>
        <v/>
      </c>
      <c r="BJ1907" s="747" t="str">
        <f t="shared" si="672"/>
        <v/>
      </c>
      <c r="BK1907" s="498" t="str">
        <f t="shared" si="666"/>
        <v/>
      </c>
      <c r="BL1907" s="498" t="str">
        <f t="shared" si="667"/>
        <v/>
      </c>
    </row>
    <row r="1908" spans="1:64" x14ac:dyDescent="0.25">
      <c r="A1908" s="762">
        <f t="shared" si="668"/>
        <v>1903</v>
      </c>
      <c r="B1908" s="229"/>
      <c r="C1908" s="223"/>
      <c r="D1908" s="224"/>
      <c r="E1908" s="225"/>
      <c r="F1908" s="1036" t="str">
        <f t="shared" si="674"/>
        <v/>
      </c>
      <c r="G1908" s="1037" t="str">
        <f t="shared" si="669"/>
        <v/>
      </c>
      <c r="H1908" s="225"/>
      <c r="I1908" s="1013"/>
      <c r="J1908" s="1013"/>
      <c r="K1908" s="1028"/>
      <c r="L1908" s="1035" t="str">
        <f t="shared" si="673"/>
        <v/>
      </c>
      <c r="S1908" s="498"/>
      <c r="AJ1908" s="498"/>
      <c r="AM1908" s="498">
        <f t="shared" si="654"/>
        <v>0</v>
      </c>
      <c r="AN1908" s="498">
        <f t="shared" si="655"/>
        <v>0</v>
      </c>
      <c r="AO1908" s="498">
        <f t="shared" si="656"/>
        <v>0</v>
      </c>
      <c r="AP1908" s="498">
        <f t="shared" si="675"/>
        <v>0</v>
      </c>
      <c r="AQ1908" s="498">
        <f t="shared" si="670"/>
        <v>0</v>
      </c>
      <c r="AU1908" s="498">
        <f t="shared" si="657"/>
        <v>0</v>
      </c>
      <c r="AV1908" s="498">
        <f t="shared" si="658"/>
        <v>0</v>
      </c>
      <c r="AW1908" s="498">
        <f t="shared" si="659"/>
        <v>0</v>
      </c>
      <c r="AX1908" s="498">
        <f t="shared" si="660"/>
        <v>0</v>
      </c>
      <c r="AY1908" s="498">
        <f t="shared" si="661"/>
        <v>0</v>
      </c>
      <c r="BB1908" s="498" t="str">
        <f t="shared" si="662"/>
        <v/>
      </c>
      <c r="BC1908" s="743" t="str">
        <f t="shared" si="663"/>
        <v/>
      </c>
      <c r="BD1908" s="743" t="str">
        <f t="shared" si="664"/>
        <v/>
      </c>
      <c r="BE1908" s="743" t="str">
        <f>IF(D1908="","",VLOOKUP(D1908,'General Basis'!$J$39:$K$46,2,0))</f>
        <v/>
      </c>
      <c r="BF1908" s="744" t="str">
        <f>IF(D1908="","",VLOOKUP(D1908,'General Basis'!$J$39:$L$46,3,0))</f>
        <v/>
      </c>
      <c r="BG1908" s="744" t="str">
        <f t="shared" si="671"/>
        <v/>
      </c>
      <c r="BH1908" s="744" t="str">
        <f>IF(G1908="","",IF(BF1908="Abu Dhabi",IF(G1908&lt;18,'General Basis'!$C$39,IF(G1908&lt;41,'General Basis'!$C$40,IF(G1908&lt;60,'General Basis'!$C$41,IF(G1908&lt;65,'General Basis'!$C$42,'General Basis'!$C$43)))),IF(G1908&lt;11,'General Basis'!$B$39,IF(G1908&lt;18,'General Basis'!$B$40,IF(G1908&lt;26,'General Basis'!$B$41,IF(G1908&lt;31,'General Basis'!$B$42,IF(G1908&lt;36,'General Basis'!$B$43,IF(G1908&lt;41,'General Basis'!$B$44,IF(G1908&lt;46,'General Basis'!$B$45,IF(G1908&lt;51,'General Basis'!$B$46,IF(G1908&lt;56,'General Basis'!$B$47,IF(G1908&lt;60,'General Basis'!$B$48,IF(G1908&lt;65,'General Basis'!$B$49,'General Basis'!$B$50)))))))))))))</f>
        <v/>
      </c>
      <c r="BI1908" s="744" t="str">
        <f t="shared" si="665"/>
        <v/>
      </c>
      <c r="BJ1908" s="747" t="str">
        <f t="shared" si="672"/>
        <v/>
      </c>
      <c r="BK1908" s="498" t="str">
        <f t="shared" si="666"/>
        <v/>
      </c>
      <c r="BL1908" s="498" t="str">
        <f t="shared" si="667"/>
        <v/>
      </c>
    </row>
    <row r="1909" spans="1:64" x14ac:dyDescent="0.25">
      <c r="A1909" s="762">
        <f t="shared" si="668"/>
        <v>1904</v>
      </c>
      <c r="B1909" s="229"/>
      <c r="C1909" s="223"/>
      <c r="D1909" s="224"/>
      <c r="E1909" s="225"/>
      <c r="F1909" s="1036" t="str">
        <f t="shared" si="674"/>
        <v/>
      </c>
      <c r="G1909" s="1037" t="str">
        <f t="shared" si="669"/>
        <v/>
      </c>
      <c r="H1909" s="225"/>
      <c r="I1909" s="1013"/>
      <c r="J1909" s="1013"/>
      <c r="K1909" s="1028"/>
      <c r="L1909" s="1035" t="str">
        <f t="shared" si="673"/>
        <v/>
      </c>
      <c r="S1909" s="498"/>
      <c r="AJ1909" s="498"/>
      <c r="AM1909" s="498">
        <f t="shared" si="654"/>
        <v>0</v>
      </c>
      <c r="AN1909" s="498">
        <f t="shared" si="655"/>
        <v>0</v>
      </c>
      <c r="AO1909" s="498">
        <f t="shared" si="656"/>
        <v>0</v>
      </c>
      <c r="AP1909" s="498">
        <f t="shared" si="675"/>
        <v>0</v>
      </c>
      <c r="AQ1909" s="498">
        <f t="shared" si="670"/>
        <v>0</v>
      </c>
      <c r="AU1909" s="498">
        <f t="shared" si="657"/>
        <v>0</v>
      </c>
      <c r="AV1909" s="498">
        <f t="shared" si="658"/>
        <v>0</v>
      </c>
      <c r="AW1909" s="498">
        <f t="shared" si="659"/>
        <v>0</v>
      </c>
      <c r="AX1909" s="498">
        <f t="shared" si="660"/>
        <v>0</v>
      </c>
      <c r="AY1909" s="498">
        <f t="shared" si="661"/>
        <v>0</v>
      </c>
      <c r="BB1909" s="498" t="str">
        <f t="shared" si="662"/>
        <v/>
      </c>
      <c r="BC1909" s="743" t="str">
        <f t="shared" si="663"/>
        <v/>
      </c>
      <c r="BD1909" s="743" t="str">
        <f t="shared" si="664"/>
        <v/>
      </c>
      <c r="BE1909" s="743" t="str">
        <f>IF(D1909="","",VLOOKUP(D1909,'General Basis'!$J$39:$K$46,2,0))</f>
        <v/>
      </c>
      <c r="BF1909" s="744" t="str">
        <f>IF(D1909="","",VLOOKUP(D1909,'General Basis'!$J$39:$L$46,3,0))</f>
        <v/>
      </c>
      <c r="BG1909" s="744" t="str">
        <f t="shared" si="671"/>
        <v/>
      </c>
      <c r="BH1909" s="744" t="str">
        <f>IF(G1909="","",IF(BF1909="Abu Dhabi",IF(G1909&lt;18,'General Basis'!$C$39,IF(G1909&lt;41,'General Basis'!$C$40,IF(G1909&lt;60,'General Basis'!$C$41,IF(G1909&lt;65,'General Basis'!$C$42,'General Basis'!$C$43)))),IF(G1909&lt;11,'General Basis'!$B$39,IF(G1909&lt;18,'General Basis'!$B$40,IF(G1909&lt;26,'General Basis'!$B$41,IF(G1909&lt;31,'General Basis'!$B$42,IF(G1909&lt;36,'General Basis'!$B$43,IF(G1909&lt;41,'General Basis'!$B$44,IF(G1909&lt;46,'General Basis'!$B$45,IF(G1909&lt;51,'General Basis'!$B$46,IF(G1909&lt;56,'General Basis'!$B$47,IF(G1909&lt;60,'General Basis'!$B$48,IF(G1909&lt;65,'General Basis'!$B$49,'General Basis'!$B$50)))))))))))))</f>
        <v/>
      </c>
      <c r="BI1909" s="744" t="str">
        <f t="shared" si="665"/>
        <v/>
      </c>
      <c r="BJ1909" s="747" t="str">
        <f t="shared" si="672"/>
        <v/>
      </c>
      <c r="BK1909" s="498" t="str">
        <f t="shared" si="666"/>
        <v/>
      </c>
      <c r="BL1909" s="498" t="str">
        <f t="shared" si="667"/>
        <v/>
      </c>
    </row>
    <row r="1910" spans="1:64" x14ac:dyDescent="0.25">
      <c r="A1910" s="762">
        <f t="shared" si="668"/>
        <v>1905</v>
      </c>
      <c r="B1910" s="229"/>
      <c r="C1910" s="223"/>
      <c r="D1910" s="224"/>
      <c r="E1910" s="225"/>
      <c r="F1910" s="1036" t="str">
        <f t="shared" si="674"/>
        <v/>
      </c>
      <c r="G1910" s="1037" t="str">
        <f t="shared" si="669"/>
        <v/>
      </c>
      <c r="H1910" s="225"/>
      <c r="I1910" s="1013"/>
      <c r="J1910" s="1013"/>
      <c r="K1910" s="1028"/>
      <c r="L1910" s="1035" t="str">
        <f t="shared" si="673"/>
        <v/>
      </c>
      <c r="S1910" s="498"/>
      <c r="AJ1910" s="498"/>
      <c r="AM1910" s="498">
        <f t="shared" si="654"/>
        <v>0</v>
      </c>
      <c r="AN1910" s="498">
        <f t="shared" si="655"/>
        <v>0</v>
      </c>
      <c r="AO1910" s="498">
        <f t="shared" si="656"/>
        <v>0</v>
      </c>
      <c r="AP1910" s="498">
        <f t="shared" si="675"/>
        <v>0</v>
      </c>
      <c r="AQ1910" s="498">
        <f t="shared" si="670"/>
        <v>0</v>
      </c>
      <c r="AU1910" s="498">
        <f t="shared" si="657"/>
        <v>0</v>
      </c>
      <c r="AV1910" s="498">
        <f t="shared" si="658"/>
        <v>0</v>
      </c>
      <c r="AW1910" s="498">
        <f t="shared" si="659"/>
        <v>0</v>
      </c>
      <c r="AX1910" s="498">
        <f t="shared" si="660"/>
        <v>0</v>
      </c>
      <c r="AY1910" s="498">
        <f t="shared" si="661"/>
        <v>0</v>
      </c>
      <c r="BB1910" s="498" t="str">
        <f t="shared" si="662"/>
        <v/>
      </c>
      <c r="BC1910" s="743" t="str">
        <f t="shared" si="663"/>
        <v/>
      </c>
      <c r="BD1910" s="743" t="str">
        <f t="shared" si="664"/>
        <v/>
      </c>
      <c r="BE1910" s="743" t="str">
        <f>IF(D1910="","",VLOOKUP(D1910,'General Basis'!$J$39:$K$46,2,0))</f>
        <v/>
      </c>
      <c r="BF1910" s="744" t="str">
        <f>IF(D1910="","",VLOOKUP(D1910,'General Basis'!$J$39:$L$46,3,0))</f>
        <v/>
      </c>
      <c r="BG1910" s="744" t="str">
        <f t="shared" si="671"/>
        <v/>
      </c>
      <c r="BH1910" s="744" t="str">
        <f>IF(G1910="","",IF(BF1910="Abu Dhabi",IF(G1910&lt;18,'General Basis'!$C$39,IF(G1910&lt;41,'General Basis'!$C$40,IF(G1910&lt;60,'General Basis'!$C$41,IF(G1910&lt;65,'General Basis'!$C$42,'General Basis'!$C$43)))),IF(G1910&lt;11,'General Basis'!$B$39,IF(G1910&lt;18,'General Basis'!$B$40,IF(G1910&lt;26,'General Basis'!$B$41,IF(G1910&lt;31,'General Basis'!$B$42,IF(G1910&lt;36,'General Basis'!$B$43,IF(G1910&lt;41,'General Basis'!$B$44,IF(G1910&lt;46,'General Basis'!$B$45,IF(G1910&lt;51,'General Basis'!$B$46,IF(G1910&lt;56,'General Basis'!$B$47,IF(G1910&lt;60,'General Basis'!$B$48,IF(G1910&lt;65,'General Basis'!$B$49,'General Basis'!$B$50)))))))))))))</f>
        <v/>
      </c>
      <c r="BI1910" s="744" t="str">
        <f t="shared" si="665"/>
        <v/>
      </c>
      <c r="BJ1910" s="747" t="str">
        <f t="shared" si="672"/>
        <v/>
      </c>
      <c r="BK1910" s="498" t="str">
        <f t="shared" si="666"/>
        <v/>
      </c>
      <c r="BL1910" s="498" t="str">
        <f t="shared" si="667"/>
        <v/>
      </c>
    </row>
    <row r="1911" spans="1:64" x14ac:dyDescent="0.25">
      <c r="A1911" s="762">
        <f t="shared" si="668"/>
        <v>1906</v>
      </c>
      <c r="B1911" s="229"/>
      <c r="C1911" s="223"/>
      <c r="D1911" s="224"/>
      <c r="E1911" s="225"/>
      <c r="F1911" s="1036" t="str">
        <f t="shared" si="674"/>
        <v/>
      </c>
      <c r="G1911" s="1037" t="str">
        <f t="shared" si="669"/>
        <v/>
      </c>
      <c r="H1911" s="225"/>
      <c r="I1911" s="1013"/>
      <c r="J1911" s="1013"/>
      <c r="K1911" s="1028"/>
      <c r="L1911" s="1035" t="str">
        <f t="shared" si="673"/>
        <v/>
      </c>
      <c r="S1911" s="498"/>
      <c r="AJ1911" s="498"/>
      <c r="AM1911" s="498">
        <f t="shared" si="654"/>
        <v>0</v>
      </c>
      <c r="AN1911" s="498">
        <f t="shared" si="655"/>
        <v>0</v>
      </c>
      <c r="AO1911" s="498">
        <f t="shared" si="656"/>
        <v>0</v>
      </c>
      <c r="AP1911" s="498">
        <f t="shared" si="675"/>
        <v>0</v>
      </c>
      <c r="AQ1911" s="498">
        <f t="shared" si="670"/>
        <v>0</v>
      </c>
      <c r="AU1911" s="498">
        <f t="shared" si="657"/>
        <v>0</v>
      </c>
      <c r="AV1911" s="498">
        <f t="shared" si="658"/>
        <v>0</v>
      </c>
      <c r="AW1911" s="498">
        <f t="shared" si="659"/>
        <v>0</v>
      </c>
      <c r="AX1911" s="498">
        <f t="shared" si="660"/>
        <v>0</v>
      </c>
      <c r="AY1911" s="498">
        <f t="shared" si="661"/>
        <v>0</v>
      </c>
      <c r="BB1911" s="498" t="str">
        <f t="shared" si="662"/>
        <v/>
      </c>
      <c r="BC1911" s="743" t="str">
        <f t="shared" si="663"/>
        <v/>
      </c>
      <c r="BD1911" s="743" t="str">
        <f t="shared" si="664"/>
        <v/>
      </c>
      <c r="BE1911" s="743" t="str">
        <f>IF(D1911="","",VLOOKUP(D1911,'General Basis'!$J$39:$K$46,2,0))</f>
        <v/>
      </c>
      <c r="BF1911" s="744" t="str">
        <f>IF(D1911="","",VLOOKUP(D1911,'General Basis'!$J$39:$L$46,3,0))</f>
        <v/>
      </c>
      <c r="BG1911" s="744" t="str">
        <f t="shared" si="671"/>
        <v/>
      </c>
      <c r="BH1911" s="744" t="str">
        <f>IF(G1911="","",IF(BF1911="Abu Dhabi",IF(G1911&lt;18,'General Basis'!$C$39,IF(G1911&lt;41,'General Basis'!$C$40,IF(G1911&lt;60,'General Basis'!$C$41,IF(G1911&lt;65,'General Basis'!$C$42,'General Basis'!$C$43)))),IF(G1911&lt;11,'General Basis'!$B$39,IF(G1911&lt;18,'General Basis'!$B$40,IF(G1911&lt;26,'General Basis'!$B$41,IF(G1911&lt;31,'General Basis'!$B$42,IF(G1911&lt;36,'General Basis'!$B$43,IF(G1911&lt;41,'General Basis'!$B$44,IF(G1911&lt;46,'General Basis'!$B$45,IF(G1911&lt;51,'General Basis'!$B$46,IF(G1911&lt;56,'General Basis'!$B$47,IF(G1911&lt;60,'General Basis'!$B$48,IF(G1911&lt;65,'General Basis'!$B$49,'General Basis'!$B$50)))))))))))))</f>
        <v/>
      </c>
      <c r="BI1911" s="744" t="str">
        <f t="shared" si="665"/>
        <v/>
      </c>
      <c r="BJ1911" s="747" t="str">
        <f t="shared" si="672"/>
        <v/>
      </c>
      <c r="BK1911" s="498" t="str">
        <f t="shared" si="666"/>
        <v/>
      </c>
      <c r="BL1911" s="498" t="str">
        <f t="shared" si="667"/>
        <v/>
      </c>
    </row>
    <row r="1912" spans="1:64" x14ac:dyDescent="0.25">
      <c r="A1912" s="762">
        <f t="shared" si="668"/>
        <v>1907</v>
      </c>
      <c r="B1912" s="229"/>
      <c r="C1912" s="223"/>
      <c r="D1912" s="224"/>
      <c r="E1912" s="225"/>
      <c r="F1912" s="1036" t="str">
        <f t="shared" si="674"/>
        <v/>
      </c>
      <c r="G1912" s="1037" t="str">
        <f t="shared" si="669"/>
        <v/>
      </c>
      <c r="H1912" s="225"/>
      <c r="I1912" s="1013"/>
      <c r="J1912" s="1013"/>
      <c r="K1912" s="1028"/>
      <c r="L1912" s="1035" t="str">
        <f t="shared" si="673"/>
        <v/>
      </c>
      <c r="S1912" s="498"/>
      <c r="AJ1912" s="498"/>
      <c r="AM1912" s="498">
        <f t="shared" si="654"/>
        <v>0</v>
      </c>
      <c r="AN1912" s="498">
        <f t="shared" si="655"/>
        <v>0</v>
      </c>
      <c r="AO1912" s="498">
        <f t="shared" si="656"/>
        <v>0</v>
      </c>
      <c r="AP1912" s="498">
        <f t="shared" si="675"/>
        <v>0</v>
      </c>
      <c r="AQ1912" s="498">
        <f t="shared" si="670"/>
        <v>0</v>
      </c>
      <c r="AU1912" s="498">
        <f t="shared" si="657"/>
        <v>0</v>
      </c>
      <c r="AV1912" s="498">
        <f t="shared" si="658"/>
        <v>0</v>
      </c>
      <c r="AW1912" s="498">
        <f t="shared" si="659"/>
        <v>0</v>
      </c>
      <c r="AX1912" s="498">
        <f t="shared" si="660"/>
        <v>0</v>
      </c>
      <c r="AY1912" s="498">
        <f t="shared" si="661"/>
        <v>0</v>
      </c>
      <c r="BB1912" s="498" t="str">
        <f t="shared" si="662"/>
        <v/>
      </c>
      <c r="BC1912" s="743" t="str">
        <f t="shared" si="663"/>
        <v/>
      </c>
      <c r="BD1912" s="743" t="str">
        <f t="shared" si="664"/>
        <v/>
      </c>
      <c r="BE1912" s="743" t="str">
        <f>IF(D1912="","",VLOOKUP(D1912,'General Basis'!$J$39:$K$46,2,0))</f>
        <v/>
      </c>
      <c r="BF1912" s="744" t="str">
        <f>IF(D1912="","",VLOOKUP(D1912,'General Basis'!$J$39:$L$46,3,0))</f>
        <v/>
      </c>
      <c r="BG1912" s="744" t="str">
        <f t="shared" si="671"/>
        <v/>
      </c>
      <c r="BH1912" s="744" t="str">
        <f>IF(G1912="","",IF(BF1912="Abu Dhabi",IF(G1912&lt;18,'General Basis'!$C$39,IF(G1912&lt;41,'General Basis'!$C$40,IF(G1912&lt;60,'General Basis'!$C$41,IF(G1912&lt;65,'General Basis'!$C$42,'General Basis'!$C$43)))),IF(G1912&lt;11,'General Basis'!$B$39,IF(G1912&lt;18,'General Basis'!$B$40,IF(G1912&lt;26,'General Basis'!$B$41,IF(G1912&lt;31,'General Basis'!$B$42,IF(G1912&lt;36,'General Basis'!$B$43,IF(G1912&lt;41,'General Basis'!$B$44,IF(G1912&lt;46,'General Basis'!$B$45,IF(G1912&lt;51,'General Basis'!$B$46,IF(G1912&lt;56,'General Basis'!$B$47,IF(G1912&lt;60,'General Basis'!$B$48,IF(G1912&lt;65,'General Basis'!$B$49,'General Basis'!$B$50)))))))))))))</f>
        <v/>
      </c>
      <c r="BI1912" s="744" t="str">
        <f t="shared" si="665"/>
        <v/>
      </c>
      <c r="BJ1912" s="747" t="str">
        <f t="shared" si="672"/>
        <v/>
      </c>
      <c r="BK1912" s="498" t="str">
        <f t="shared" si="666"/>
        <v/>
      </c>
      <c r="BL1912" s="498" t="str">
        <f t="shared" si="667"/>
        <v/>
      </c>
    </row>
    <row r="1913" spans="1:64" x14ac:dyDescent="0.25">
      <c r="A1913" s="762">
        <f t="shared" si="668"/>
        <v>1908</v>
      </c>
      <c r="B1913" s="229"/>
      <c r="C1913" s="223"/>
      <c r="D1913" s="224"/>
      <c r="E1913" s="225"/>
      <c r="F1913" s="1036" t="str">
        <f t="shared" si="674"/>
        <v/>
      </c>
      <c r="G1913" s="1037" t="str">
        <f t="shared" si="669"/>
        <v/>
      </c>
      <c r="H1913" s="225"/>
      <c r="I1913" s="1013"/>
      <c r="J1913" s="1013"/>
      <c r="K1913" s="1028"/>
      <c r="L1913" s="1035" t="str">
        <f t="shared" si="673"/>
        <v/>
      </c>
      <c r="S1913" s="498"/>
      <c r="AJ1913" s="498"/>
      <c r="AM1913" s="498">
        <f t="shared" si="654"/>
        <v>0</v>
      </c>
      <c r="AN1913" s="498">
        <f t="shared" si="655"/>
        <v>0</v>
      </c>
      <c r="AO1913" s="498">
        <f t="shared" si="656"/>
        <v>0</v>
      </c>
      <c r="AP1913" s="498">
        <f t="shared" si="675"/>
        <v>0</v>
      </c>
      <c r="AQ1913" s="498">
        <f t="shared" si="670"/>
        <v>0</v>
      </c>
      <c r="AU1913" s="498">
        <f t="shared" si="657"/>
        <v>0</v>
      </c>
      <c r="AV1913" s="498">
        <f t="shared" si="658"/>
        <v>0</v>
      </c>
      <c r="AW1913" s="498">
        <f t="shared" si="659"/>
        <v>0</v>
      </c>
      <c r="AX1913" s="498">
        <f t="shared" si="660"/>
        <v>0</v>
      </c>
      <c r="AY1913" s="498">
        <f t="shared" si="661"/>
        <v>0</v>
      </c>
      <c r="BB1913" s="498" t="str">
        <f t="shared" si="662"/>
        <v/>
      </c>
      <c r="BC1913" s="743" t="str">
        <f t="shared" si="663"/>
        <v/>
      </c>
      <c r="BD1913" s="743" t="str">
        <f t="shared" si="664"/>
        <v/>
      </c>
      <c r="BE1913" s="743" t="str">
        <f>IF(D1913="","",VLOOKUP(D1913,'General Basis'!$J$39:$K$46,2,0))</f>
        <v/>
      </c>
      <c r="BF1913" s="744" t="str">
        <f>IF(D1913="","",VLOOKUP(D1913,'General Basis'!$J$39:$L$46,3,0))</f>
        <v/>
      </c>
      <c r="BG1913" s="744" t="str">
        <f t="shared" si="671"/>
        <v/>
      </c>
      <c r="BH1913" s="744" t="str">
        <f>IF(G1913="","",IF(BF1913="Abu Dhabi",IF(G1913&lt;18,'General Basis'!$C$39,IF(G1913&lt;41,'General Basis'!$C$40,IF(G1913&lt;60,'General Basis'!$C$41,IF(G1913&lt;65,'General Basis'!$C$42,'General Basis'!$C$43)))),IF(G1913&lt;11,'General Basis'!$B$39,IF(G1913&lt;18,'General Basis'!$B$40,IF(G1913&lt;26,'General Basis'!$B$41,IF(G1913&lt;31,'General Basis'!$B$42,IF(G1913&lt;36,'General Basis'!$B$43,IF(G1913&lt;41,'General Basis'!$B$44,IF(G1913&lt;46,'General Basis'!$B$45,IF(G1913&lt;51,'General Basis'!$B$46,IF(G1913&lt;56,'General Basis'!$B$47,IF(G1913&lt;60,'General Basis'!$B$48,IF(G1913&lt;65,'General Basis'!$B$49,'General Basis'!$B$50)))))))))))))</f>
        <v/>
      </c>
      <c r="BI1913" s="744" t="str">
        <f t="shared" si="665"/>
        <v/>
      </c>
      <c r="BJ1913" s="747" t="str">
        <f t="shared" si="672"/>
        <v/>
      </c>
      <c r="BK1913" s="498" t="str">
        <f t="shared" si="666"/>
        <v/>
      </c>
      <c r="BL1913" s="498" t="str">
        <f t="shared" si="667"/>
        <v/>
      </c>
    </row>
    <row r="1914" spans="1:64" x14ac:dyDescent="0.25">
      <c r="A1914" s="762">
        <f t="shared" si="668"/>
        <v>1909</v>
      </c>
      <c r="B1914" s="229"/>
      <c r="C1914" s="223"/>
      <c r="D1914" s="224"/>
      <c r="E1914" s="225"/>
      <c r="F1914" s="1036" t="str">
        <f t="shared" si="674"/>
        <v/>
      </c>
      <c r="G1914" s="1037" t="str">
        <f t="shared" si="669"/>
        <v/>
      </c>
      <c r="H1914" s="225"/>
      <c r="I1914" s="1013"/>
      <c r="J1914" s="1013"/>
      <c r="K1914" s="1028"/>
      <c r="L1914" s="1035" t="str">
        <f t="shared" si="673"/>
        <v/>
      </c>
      <c r="S1914" s="498"/>
      <c r="AJ1914" s="498"/>
      <c r="AM1914" s="498">
        <f t="shared" si="654"/>
        <v>0</v>
      </c>
      <c r="AN1914" s="498">
        <f t="shared" si="655"/>
        <v>0</v>
      </c>
      <c r="AO1914" s="498">
        <f t="shared" si="656"/>
        <v>0</v>
      </c>
      <c r="AP1914" s="498">
        <f t="shared" si="675"/>
        <v>0</v>
      </c>
      <c r="AQ1914" s="498">
        <f t="shared" si="670"/>
        <v>0</v>
      </c>
      <c r="AU1914" s="498">
        <f t="shared" si="657"/>
        <v>0</v>
      </c>
      <c r="AV1914" s="498">
        <f t="shared" si="658"/>
        <v>0</v>
      </c>
      <c r="AW1914" s="498">
        <f t="shared" si="659"/>
        <v>0</v>
      </c>
      <c r="AX1914" s="498">
        <f t="shared" si="660"/>
        <v>0</v>
      </c>
      <c r="AY1914" s="498">
        <f t="shared" si="661"/>
        <v>0</v>
      </c>
      <c r="BB1914" s="498" t="str">
        <f t="shared" si="662"/>
        <v/>
      </c>
      <c r="BC1914" s="743" t="str">
        <f t="shared" si="663"/>
        <v/>
      </c>
      <c r="BD1914" s="743" t="str">
        <f t="shared" si="664"/>
        <v/>
      </c>
      <c r="BE1914" s="743" t="str">
        <f>IF(D1914="","",VLOOKUP(D1914,'General Basis'!$J$39:$K$46,2,0))</f>
        <v/>
      </c>
      <c r="BF1914" s="744" t="str">
        <f>IF(D1914="","",VLOOKUP(D1914,'General Basis'!$J$39:$L$46,3,0))</f>
        <v/>
      </c>
      <c r="BG1914" s="744" t="str">
        <f t="shared" si="671"/>
        <v/>
      </c>
      <c r="BH1914" s="744" t="str">
        <f>IF(G1914="","",IF(BF1914="Abu Dhabi",IF(G1914&lt;18,'General Basis'!$C$39,IF(G1914&lt;41,'General Basis'!$C$40,IF(G1914&lt;60,'General Basis'!$C$41,IF(G1914&lt;65,'General Basis'!$C$42,'General Basis'!$C$43)))),IF(G1914&lt;11,'General Basis'!$B$39,IF(G1914&lt;18,'General Basis'!$B$40,IF(G1914&lt;26,'General Basis'!$B$41,IF(G1914&lt;31,'General Basis'!$B$42,IF(G1914&lt;36,'General Basis'!$B$43,IF(G1914&lt;41,'General Basis'!$B$44,IF(G1914&lt;46,'General Basis'!$B$45,IF(G1914&lt;51,'General Basis'!$B$46,IF(G1914&lt;56,'General Basis'!$B$47,IF(G1914&lt;60,'General Basis'!$B$48,IF(G1914&lt;65,'General Basis'!$B$49,'General Basis'!$B$50)))))))))))))</f>
        <v/>
      </c>
      <c r="BI1914" s="744" t="str">
        <f t="shared" si="665"/>
        <v/>
      </c>
      <c r="BJ1914" s="747" t="str">
        <f t="shared" si="672"/>
        <v/>
      </c>
      <c r="BK1914" s="498" t="str">
        <f t="shared" si="666"/>
        <v/>
      </c>
      <c r="BL1914" s="498" t="str">
        <f t="shared" si="667"/>
        <v/>
      </c>
    </row>
    <row r="1915" spans="1:64" x14ac:dyDescent="0.25">
      <c r="A1915" s="762">
        <f t="shared" si="668"/>
        <v>1910</v>
      </c>
      <c r="B1915" s="229"/>
      <c r="C1915" s="223"/>
      <c r="D1915" s="224"/>
      <c r="E1915" s="225"/>
      <c r="F1915" s="1036" t="str">
        <f t="shared" si="674"/>
        <v/>
      </c>
      <c r="G1915" s="1037" t="str">
        <f t="shared" si="669"/>
        <v/>
      </c>
      <c r="H1915" s="225"/>
      <c r="I1915" s="1013"/>
      <c r="J1915" s="1013"/>
      <c r="K1915" s="1028"/>
      <c r="L1915" s="1035" t="str">
        <f t="shared" si="673"/>
        <v/>
      </c>
      <c r="S1915" s="498"/>
      <c r="AJ1915" s="498"/>
      <c r="AM1915" s="498">
        <f t="shared" si="654"/>
        <v>0</v>
      </c>
      <c r="AN1915" s="498">
        <f t="shared" si="655"/>
        <v>0</v>
      </c>
      <c r="AO1915" s="498">
        <f t="shared" si="656"/>
        <v>0</v>
      </c>
      <c r="AP1915" s="498">
        <f t="shared" si="675"/>
        <v>0</v>
      </c>
      <c r="AQ1915" s="498">
        <f t="shared" si="670"/>
        <v>0</v>
      </c>
      <c r="AU1915" s="498">
        <f t="shared" si="657"/>
        <v>0</v>
      </c>
      <c r="AV1915" s="498">
        <f t="shared" si="658"/>
        <v>0</v>
      </c>
      <c r="AW1915" s="498">
        <f t="shared" si="659"/>
        <v>0</v>
      </c>
      <c r="AX1915" s="498">
        <f t="shared" si="660"/>
        <v>0</v>
      </c>
      <c r="AY1915" s="498">
        <f t="shared" si="661"/>
        <v>0</v>
      </c>
      <c r="BB1915" s="498" t="str">
        <f t="shared" si="662"/>
        <v/>
      </c>
      <c r="BC1915" s="743" t="str">
        <f t="shared" si="663"/>
        <v/>
      </c>
      <c r="BD1915" s="743" t="str">
        <f t="shared" si="664"/>
        <v/>
      </c>
      <c r="BE1915" s="743" t="str">
        <f>IF(D1915="","",VLOOKUP(D1915,'General Basis'!$J$39:$K$46,2,0))</f>
        <v/>
      </c>
      <c r="BF1915" s="744" t="str">
        <f>IF(D1915="","",VLOOKUP(D1915,'General Basis'!$J$39:$L$46,3,0))</f>
        <v/>
      </c>
      <c r="BG1915" s="744" t="str">
        <f t="shared" si="671"/>
        <v/>
      </c>
      <c r="BH1915" s="744" t="str">
        <f>IF(G1915="","",IF(BF1915="Abu Dhabi",IF(G1915&lt;18,'General Basis'!$C$39,IF(G1915&lt;41,'General Basis'!$C$40,IF(G1915&lt;60,'General Basis'!$C$41,IF(G1915&lt;65,'General Basis'!$C$42,'General Basis'!$C$43)))),IF(G1915&lt;11,'General Basis'!$B$39,IF(G1915&lt;18,'General Basis'!$B$40,IF(G1915&lt;26,'General Basis'!$B$41,IF(G1915&lt;31,'General Basis'!$B$42,IF(G1915&lt;36,'General Basis'!$B$43,IF(G1915&lt;41,'General Basis'!$B$44,IF(G1915&lt;46,'General Basis'!$B$45,IF(G1915&lt;51,'General Basis'!$B$46,IF(G1915&lt;56,'General Basis'!$B$47,IF(G1915&lt;60,'General Basis'!$B$48,IF(G1915&lt;65,'General Basis'!$B$49,'General Basis'!$B$50)))))))))))))</f>
        <v/>
      </c>
      <c r="BI1915" s="744" t="str">
        <f t="shared" si="665"/>
        <v/>
      </c>
      <c r="BJ1915" s="747" t="str">
        <f t="shared" si="672"/>
        <v/>
      </c>
      <c r="BK1915" s="498" t="str">
        <f t="shared" si="666"/>
        <v/>
      </c>
      <c r="BL1915" s="498" t="str">
        <f t="shared" si="667"/>
        <v/>
      </c>
    </row>
    <row r="1916" spans="1:64" x14ac:dyDescent="0.25">
      <c r="A1916" s="762">
        <f t="shared" si="668"/>
        <v>1911</v>
      </c>
      <c r="B1916" s="229"/>
      <c r="C1916" s="223"/>
      <c r="D1916" s="224"/>
      <c r="E1916" s="225"/>
      <c r="F1916" s="1036" t="str">
        <f t="shared" si="674"/>
        <v/>
      </c>
      <c r="G1916" s="1037" t="str">
        <f t="shared" si="669"/>
        <v/>
      </c>
      <c r="H1916" s="225"/>
      <c r="I1916" s="1013"/>
      <c r="J1916" s="1013"/>
      <c r="K1916" s="1028"/>
      <c r="L1916" s="1035" t="str">
        <f t="shared" si="673"/>
        <v/>
      </c>
      <c r="S1916" s="498"/>
      <c r="AJ1916" s="498"/>
      <c r="AM1916" s="498">
        <f t="shared" si="654"/>
        <v>0</v>
      </c>
      <c r="AN1916" s="498">
        <f t="shared" si="655"/>
        <v>0</v>
      </c>
      <c r="AO1916" s="498">
        <f t="shared" si="656"/>
        <v>0</v>
      </c>
      <c r="AP1916" s="498">
        <f t="shared" si="675"/>
        <v>0</v>
      </c>
      <c r="AQ1916" s="498">
        <f t="shared" si="670"/>
        <v>0</v>
      </c>
      <c r="AU1916" s="498">
        <f t="shared" si="657"/>
        <v>0</v>
      </c>
      <c r="AV1916" s="498">
        <f t="shared" si="658"/>
        <v>0</v>
      </c>
      <c r="AW1916" s="498">
        <f t="shared" si="659"/>
        <v>0</v>
      </c>
      <c r="AX1916" s="498">
        <f t="shared" si="660"/>
        <v>0</v>
      </c>
      <c r="AY1916" s="498">
        <f t="shared" si="661"/>
        <v>0</v>
      </c>
      <c r="BB1916" s="498" t="str">
        <f t="shared" si="662"/>
        <v/>
      </c>
      <c r="BC1916" s="743" t="str">
        <f t="shared" si="663"/>
        <v/>
      </c>
      <c r="BD1916" s="743" t="str">
        <f t="shared" si="664"/>
        <v/>
      </c>
      <c r="BE1916" s="743" t="str">
        <f>IF(D1916="","",VLOOKUP(D1916,'General Basis'!$J$39:$K$46,2,0))</f>
        <v/>
      </c>
      <c r="BF1916" s="744" t="str">
        <f>IF(D1916="","",VLOOKUP(D1916,'General Basis'!$J$39:$L$46,3,0))</f>
        <v/>
      </c>
      <c r="BG1916" s="744" t="str">
        <f t="shared" si="671"/>
        <v/>
      </c>
      <c r="BH1916" s="744" t="str">
        <f>IF(G1916="","",IF(BF1916="Abu Dhabi",IF(G1916&lt;18,'General Basis'!$C$39,IF(G1916&lt;41,'General Basis'!$C$40,IF(G1916&lt;60,'General Basis'!$C$41,IF(G1916&lt;65,'General Basis'!$C$42,'General Basis'!$C$43)))),IF(G1916&lt;11,'General Basis'!$B$39,IF(G1916&lt;18,'General Basis'!$B$40,IF(G1916&lt;26,'General Basis'!$B$41,IF(G1916&lt;31,'General Basis'!$B$42,IF(G1916&lt;36,'General Basis'!$B$43,IF(G1916&lt;41,'General Basis'!$B$44,IF(G1916&lt;46,'General Basis'!$B$45,IF(G1916&lt;51,'General Basis'!$B$46,IF(G1916&lt;56,'General Basis'!$B$47,IF(G1916&lt;60,'General Basis'!$B$48,IF(G1916&lt;65,'General Basis'!$B$49,'General Basis'!$B$50)))))))))))))</f>
        <v/>
      </c>
      <c r="BI1916" s="744" t="str">
        <f t="shared" si="665"/>
        <v/>
      </c>
      <c r="BJ1916" s="747" t="str">
        <f t="shared" si="672"/>
        <v/>
      </c>
      <c r="BK1916" s="498" t="str">
        <f t="shared" si="666"/>
        <v/>
      </c>
      <c r="BL1916" s="498" t="str">
        <f t="shared" si="667"/>
        <v/>
      </c>
    </row>
    <row r="1917" spans="1:64" x14ac:dyDescent="0.25">
      <c r="A1917" s="762">
        <f t="shared" si="668"/>
        <v>1912</v>
      </c>
      <c r="B1917" s="229"/>
      <c r="C1917" s="223"/>
      <c r="D1917" s="224"/>
      <c r="E1917" s="225"/>
      <c r="F1917" s="1036" t="str">
        <f t="shared" si="674"/>
        <v/>
      </c>
      <c r="G1917" s="1037" t="str">
        <f t="shared" si="669"/>
        <v/>
      </c>
      <c r="H1917" s="225"/>
      <c r="I1917" s="1013"/>
      <c r="J1917" s="1013"/>
      <c r="K1917" s="1028"/>
      <c r="L1917" s="1035" t="str">
        <f t="shared" si="673"/>
        <v/>
      </c>
      <c r="S1917" s="498"/>
      <c r="AJ1917" s="498"/>
      <c r="AM1917" s="498">
        <f t="shared" si="654"/>
        <v>0</v>
      </c>
      <c r="AN1917" s="498">
        <f t="shared" si="655"/>
        <v>0</v>
      </c>
      <c r="AO1917" s="498">
        <f t="shared" si="656"/>
        <v>0</v>
      </c>
      <c r="AP1917" s="498">
        <f t="shared" si="675"/>
        <v>0</v>
      </c>
      <c r="AQ1917" s="498">
        <f t="shared" si="670"/>
        <v>0</v>
      </c>
      <c r="AU1917" s="498">
        <f t="shared" si="657"/>
        <v>0</v>
      </c>
      <c r="AV1917" s="498">
        <f t="shared" si="658"/>
        <v>0</v>
      </c>
      <c r="AW1917" s="498">
        <f t="shared" si="659"/>
        <v>0</v>
      </c>
      <c r="AX1917" s="498">
        <f t="shared" si="660"/>
        <v>0</v>
      </c>
      <c r="AY1917" s="498">
        <f t="shared" si="661"/>
        <v>0</v>
      </c>
      <c r="BB1917" s="498" t="str">
        <f t="shared" si="662"/>
        <v/>
      </c>
      <c r="BC1917" s="743" t="str">
        <f t="shared" si="663"/>
        <v/>
      </c>
      <c r="BD1917" s="743" t="str">
        <f t="shared" si="664"/>
        <v/>
      </c>
      <c r="BE1917" s="743" t="str">
        <f>IF(D1917="","",VLOOKUP(D1917,'General Basis'!$J$39:$K$46,2,0))</f>
        <v/>
      </c>
      <c r="BF1917" s="744" t="str">
        <f>IF(D1917="","",VLOOKUP(D1917,'General Basis'!$J$39:$L$46,3,0))</f>
        <v/>
      </c>
      <c r="BG1917" s="744" t="str">
        <f t="shared" si="671"/>
        <v/>
      </c>
      <c r="BH1917" s="744" t="str">
        <f>IF(G1917="","",IF(BF1917="Abu Dhabi",IF(G1917&lt;18,'General Basis'!$C$39,IF(G1917&lt;41,'General Basis'!$C$40,IF(G1917&lt;60,'General Basis'!$C$41,IF(G1917&lt;65,'General Basis'!$C$42,'General Basis'!$C$43)))),IF(G1917&lt;11,'General Basis'!$B$39,IF(G1917&lt;18,'General Basis'!$B$40,IF(G1917&lt;26,'General Basis'!$B$41,IF(G1917&lt;31,'General Basis'!$B$42,IF(G1917&lt;36,'General Basis'!$B$43,IF(G1917&lt;41,'General Basis'!$B$44,IF(G1917&lt;46,'General Basis'!$B$45,IF(G1917&lt;51,'General Basis'!$B$46,IF(G1917&lt;56,'General Basis'!$B$47,IF(G1917&lt;60,'General Basis'!$B$48,IF(G1917&lt;65,'General Basis'!$B$49,'General Basis'!$B$50)))))))))))))</f>
        <v/>
      </c>
      <c r="BI1917" s="744" t="str">
        <f t="shared" si="665"/>
        <v/>
      </c>
      <c r="BJ1917" s="747" t="str">
        <f t="shared" si="672"/>
        <v/>
      </c>
      <c r="BK1917" s="498" t="str">
        <f t="shared" si="666"/>
        <v/>
      </c>
      <c r="BL1917" s="498" t="str">
        <f t="shared" si="667"/>
        <v/>
      </c>
    </row>
    <row r="1918" spans="1:64" x14ac:dyDescent="0.25">
      <c r="A1918" s="762">
        <f t="shared" si="668"/>
        <v>1913</v>
      </c>
      <c r="B1918" s="229"/>
      <c r="C1918" s="223"/>
      <c r="D1918" s="224"/>
      <c r="E1918" s="225"/>
      <c r="F1918" s="1036" t="str">
        <f t="shared" si="674"/>
        <v/>
      </c>
      <c r="G1918" s="1037" t="str">
        <f t="shared" si="669"/>
        <v/>
      </c>
      <c r="H1918" s="225"/>
      <c r="I1918" s="1013"/>
      <c r="J1918" s="1013"/>
      <c r="K1918" s="1028"/>
      <c r="L1918" s="1035" t="str">
        <f t="shared" si="673"/>
        <v/>
      </c>
      <c r="S1918" s="498"/>
      <c r="AJ1918" s="498"/>
      <c r="AM1918" s="498">
        <f t="shared" si="654"/>
        <v>0</v>
      </c>
      <c r="AN1918" s="498">
        <f t="shared" si="655"/>
        <v>0</v>
      </c>
      <c r="AO1918" s="498">
        <f t="shared" si="656"/>
        <v>0</v>
      </c>
      <c r="AP1918" s="498">
        <f t="shared" si="675"/>
        <v>0</v>
      </c>
      <c r="AQ1918" s="498">
        <f t="shared" si="670"/>
        <v>0</v>
      </c>
      <c r="AU1918" s="498">
        <f t="shared" si="657"/>
        <v>0</v>
      </c>
      <c r="AV1918" s="498">
        <f t="shared" si="658"/>
        <v>0</v>
      </c>
      <c r="AW1918" s="498">
        <f t="shared" si="659"/>
        <v>0</v>
      </c>
      <c r="AX1918" s="498">
        <f t="shared" si="660"/>
        <v>0</v>
      </c>
      <c r="AY1918" s="498">
        <f t="shared" si="661"/>
        <v>0</v>
      </c>
      <c r="BB1918" s="498" t="str">
        <f t="shared" si="662"/>
        <v/>
      </c>
      <c r="BC1918" s="743" t="str">
        <f t="shared" si="663"/>
        <v/>
      </c>
      <c r="BD1918" s="743" t="str">
        <f t="shared" si="664"/>
        <v/>
      </c>
      <c r="BE1918" s="743" t="str">
        <f>IF(D1918="","",VLOOKUP(D1918,'General Basis'!$J$39:$K$46,2,0))</f>
        <v/>
      </c>
      <c r="BF1918" s="744" t="str">
        <f>IF(D1918="","",VLOOKUP(D1918,'General Basis'!$J$39:$L$46,3,0))</f>
        <v/>
      </c>
      <c r="BG1918" s="744" t="str">
        <f t="shared" si="671"/>
        <v/>
      </c>
      <c r="BH1918" s="744" t="str">
        <f>IF(G1918="","",IF(BF1918="Abu Dhabi",IF(G1918&lt;18,'General Basis'!$C$39,IF(G1918&lt;41,'General Basis'!$C$40,IF(G1918&lt;60,'General Basis'!$C$41,IF(G1918&lt;65,'General Basis'!$C$42,'General Basis'!$C$43)))),IF(G1918&lt;11,'General Basis'!$B$39,IF(G1918&lt;18,'General Basis'!$B$40,IF(G1918&lt;26,'General Basis'!$B$41,IF(G1918&lt;31,'General Basis'!$B$42,IF(G1918&lt;36,'General Basis'!$B$43,IF(G1918&lt;41,'General Basis'!$B$44,IF(G1918&lt;46,'General Basis'!$B$45,IF(G1918&lt;51,'General Basis'!$B$46,IF(G1918&lt;56,'General Basis'!$B$47,IF(G1918&lt;60,'General Basis'!$B$48,IF(G1918&lt;65,'General Basis'!$B$49,'General Basis'!$B$50)))))))))))))</f>
        <v/>
      </c>
      <c r="BI1918" s="744" t="str">
        <f t="shared" si="665"/>
        <v/>
      </c>
      <c r="BJ1918" s="747" t="str">
        <f t="shared" si="672"/>
        <v/>
      </c>
      <c r="BK1918" s="498" t="str">
        <f t="shared" si="666"/>
        <v/>
      </c>
      <c r="BL1918" s="498" t="str">
        <f t="shared" si="667"/>
        <v/>
      </c>
    </row>
    <row r="1919" spans="1:64" x14ac:dyDescent="0.25">
      <c r="A1919" s="762">
        <f t="shared" si="668"/>
        <v>1914</v>
      </c>
      <c r="B1919" s="229"/>
      <c r="C1919" s="223"/>
      <c r="D1919" s="224"/>
      <c r="E1919" s="225"/>
      <c r="F1919" s="1036" t="str">
        <f t="shared" si="674"/>
        <v/>
      </c>
      <c r="G1919" s="1037" t="str">
        <f t="shared" si="669"/>
        <v/>
      </c>
      <c r="H1919" s="225"/>
      <c r="I1919" s="1013"/>
      <c r="J1919" s="1013"/>
      <c r="K1919" s="1028"/>
      <c r="L1919" s="1035" t="str">
        <f t="shared" si="673"/>
        <v/>
      </c>
      <c r="S1919" s="498"/>
      <c r="AJ1919" s="498"/>
      <c r="AM1919" s="498">
        <f t="shared" si="654"/>
        <v>0</v>
      </c>
      <c r="AN1919" s="498">
        <f t="shared" si="655"/>
        <v>0</v>
      </c>
      <c r="AO1919" s="498">
        <f t="shared" si="656"/>
        <v>0</v>
      </c>
      <c r="AP1919" s="498">
        <f t="shared" si="675"/>
        <v>0</v>
      </c>
      <c r="AQ1919" s="498">
        <f t="shared" si="670"/>
        <v>0</v>
      </c>
      <c r="AU1919" s="498">
        <f t="shared" si="657"/>
        <v>0</v>
      </c>
      <c r="AV1919" s="498">
        <f t="shared" si="658"/>
        <v>0</v>
      </c>
      <c r="AW1919" s="498">
        <f t="shared" si="659"/>
        <v>0</v>
      </c>
      <c r="AX1919" s="498">
        <f t="shared" si="660"/>
        <v>0</v>
      </c>
      <c r="AY1919" s="498">
        <f t="shared" si="661"/>
        <v>0</v>
      </c>
      <c r="BB1919" s="498" t="str">
        <f t="shared" si="662"/>
        <v/>
      </c>
      <c r="BC1919" s="743" t="str">
        <f t="shared" si="663"/>
        <v/>
      </c>
      <c r="BD1919" s="743" t="str">
        <f t="shared" si="664"/>
        <v/>
      </c>
      <c r="BE1919" s="743" t="str">
        <f>IF(D1919="","",VLOOKUP(D1919,'General Basis'!$J$39:$K$46,2,0))</f>
        <v/>
      </c>
      <c r="BF1919" s="744" t="str">
        <f>IF(D1919="","",VLOOKUP(D1919,'General Basis'!$J$39:$L$46,3,0))</f>
        <v/>
      </c>
      <c r="BG1919" s="744" t="str">
        <f t="shared" si="671"/>
        <v/>
      </c>
      <c r="BH1919" s="744" t="str">
        <f>IF(G1919="","",IF(BF1919="Abu Dhabi",IF(G1919&lt;18,'General Basis'!$C$39,IF(G1919&lt;41,'General Basis'!$C$40,IF(G1919&lt;60,'General Basis'!$C$41,IF(G1919&lt;65,'General Basis'!$C$42,'General Basis'!$C$43)))),IF(G1919&lt;11,'General Basis'!$B$39,IF(G1919&lt;18,'General Basis'!$B$40,IF(G1919&lt;26,'General Basis'!$B$41,IF(G1919&lt;31,'General Basis'!$B$42,IF(G1919&lt;36,'General Basis'!$B$43,IF(G1919&lt;41,'General Basis'!$B$44,IF(G1919&lt;46,'General Basis'!$B$45,IF(G1919&lt;51,'General Basis'!$B$46,IF(G1919&lt;56,'General Basis'!$B$47,IF(G1919&lt;60,'General Basis'!$B$48,IF(G1919&lt;65,'General Basis'!$B$49,'General Basis'!$B$50)))))))))))))</f>
        <v/>
      </c>
      <c r="BI1919" s="744" t="str">
        <f t="shared" si="665"/>
        <v/>
      </c>
      <c r="BJ1919" s="747" t="str">
        <f t="shared" si="672"/>
        <v/>
      </c>
      <c r="BK1919" s="498" t="str">
        <f t="shared" si="666"/>
        <v/>
      </c>
      <c r="BL1919" s="498" t="str">
        <f t="shared" si="667"/>
        <v/>
      </c>
    </row>
    <row r="1920" spans="1:64" x14ac:dyDescent="0.25">
      <c r="A1920" s="762">
        <f t="shared" si="668"/>
        <v>1915</v>
      </c>
      <c r="B1920" s="229"/>
      <c r="C1920" s="223"/>
      <c r="D1920" s="224"/>
      <c r="E1920" s="225"/>
      <c r="F1920" s="1036" t="str">
        <f t="shared" si="674"/>
        <v/>
      </c>
      <c r="G1920" s="1037" t="str">
        <f t="shared" si="669"/>
        <v/>
      </c>
      <c r="H1920" s="225"/>
      <c r="I1920" s="1013"/>
      <c r="J1920" s="1013"/>
      <c r="K1920" s="1028"/>
      <c r="L1920" s="1035" t="str">
        <f t="shared" si="673"/>
        <v/>
      </c>
      <c r="S1920" s="498"/>
      <c r="AJ1920" s="498"/>
      <c r="AM1920" s="498">
        <f t="shared" si="654"/>
        <v>0</v>
      </c>
      <c r="AN1920" s="498">
        <f t="shared" si="655"/>
        <v>0</v>
      </c>
      <c r="AO1920" s="498">
        <f t="shared" si="656"/>
        <v>0</v>
      </c>
      <c r="AP1920" s="498">
        <f t="shared" si="675"/>
        <v>0</v>
      </c>
      <c r="AQ1920" s="498">
        <f t="shared" si="670"/>
        <v>0</v>
      </c>
      <c r="AU1920" s="498">
        <f t="shared" si="657"/>
        <v>0</v>
      </c>
      <c r="AV1920" s="498">
        <f t="shared" si="658"/>
        <v>0</v>
      </c>
      <c r="AW1920" s="498">
        <f t="shared" si="659"/>
        <v>0</v>
      </c>
      <c r="AX1920" s="498">
        <f t="shared" si="660"/>
        <v>0</v>
      </c>
      <c r="AY1920" s="498">
        <f t="shared" si="661"/>
        <v>0</v>
      </c>
      <c r="BB1920" s="498" t="str">
        <f t="shared" si="662"/>
        <v/>
      </c>
      <c r="BC1920" s="743" t="str">
        <f t="shared" si="663"/>
        <v/>
      </c>
      <c r="BD1920" s="743" t="str">
        <f t="shared" si="664"/>
        <v/>
      </c>
      <c r="BE1920" s="743" t="str">
        <f>IF(D1920="","",VLOOKUP(D1920,'General Basis'!$J$39:$K$46,2,0))</f>
        <v/>
      </c>
      <c r="BF1920" s="744" t="str">
        <f>IF(D1920="","",VLOOKUP(D1920,'General Basis'!$J$39:$L$46,3,0))</f>
        <v/>
      </c>
      <c r="BG1920" s="744" t="str">
        <f t="shared" si="671"/>
        <v/>
      </c>
      <c r="BH1920" s="744" t="str">
        <f>IF(G1920="","",IF(BF1920="Abu Dhabi",IF(G1920&lt;18,'General Basis'!$C$39,IF(G1920&lt;41,'General Basis'!$C$40,IF(G1920&lt;60,'General Basis'!$C$41,IF(G1920&lt;65,'General Basis'!$C$42,'General Basis'!$C$43)))),IF(G1920&lt;11,'General Basis'!$B$39,IF(G1920&lt;18,'General Basis'!$B$40,IF(G1920&lt;26,'General Basis'!$B$41,IF(G1920&lt;31,'General Basis'!$B$42,IF(G1920&lt;36,'General Basis'!$B$43,IF(G1920&lt;41,'General Basis'!$B$44,IF(G1920&lt;46,'General Basis'!$B$45,IF(G1920&lt;51,'General Basis'!$B$46,IF(G1920&lt;56,'General Basis'!$B$47,IF(G1920&lt;60,'General Basis'!$B$48,IF(G1920&lt;65,'General Basis'!$B$49,'General Basis'!$B$50)))))))))))))</f>
        <v/>
      </c>
      <c r="BI1920" s="744" t="str">
        <f t="shared" si="665"/>
        <v/>
      </c>
      <c r="BJ1920" s="747" t="str">
        <f t="shared" si="672"/>
        <v/>
      </c>
      <c r="BK1920" s="498" t="str">
        <f t="shared" si="666"/>
        <v/>
      </c>
      <c r="BL1920" s="498" t="str">
        <f t="shared" si="667"/>
        <v/>
      </c>
    </row>
    <row r="1921" spans="1:64" x14ac:dyDescent="0.25">
      <c r="A1921" s="762">
        <f t="shared" si="668"/>
        <v>1916</v>
      </c>
      <c r="B1921" s="229"/>
      <c r="C1921" s="223"/>
      <c r="D1921" s="224"/>
      <c r="E1921" s="225"/>
      <c r="F1921" s="1036" t="str">
        <f t="shared" si="674"/>
        <v/>
      </c>
      <c r="G1921" s="1037" t="str">
        <f t="shared" si="669"/>
        <v/>
      </c>
      <c r="H1921" s="225"/>
      <c r="I1921" s="1013"/>
      <c r="J1921" s="1013"/>
      <c r="K1921" s="1028"/>
      <c r="L1921" s="1035" t="str">
        <f t="shared" si="673"/>
        <v/>
      </c>
      <c r="S1921" s="498"/>
      <c r="AJ1921" s="498"/>
      <c r="AM1921" s="498">
        <f t="shared" si="654"/>
        <v>0</v>
      </c>
      <c r="AN1921" s="498">
        <f t="shared" si="655"/>
        <v>0</v>
      </c>
      <c r="AO1921" s="498">
        <f t="shared" si="656"/>
        <v>0</v>
      </c>
      <c r="AP1921" s="498">
        <f t="shared" si="675"/>
        <v>0</v>
      </c>
      <c r="AQ1921" s="498">
        <f t="shared" si="670"/>
        <v>0</v>
      </c>
      <c r="AU1921" s="498">
        <f t="shared" si="657"/>
        <v>0</v>
      </c>
      <c r="AV1921" s="498">
        <f t="shared" si="658"/>
        <v>0</v>
      </c>
      <c r="AW1921" s="498">
        <f t="shared" si="659"/>
        <v>0</v>
      </c>
      <c r="AX1921" s="498">
        <f t="shared" si="660"/>
        <v>0</v>
      </c>
      <c r="AY1921" s="498">
        <f t="shared" si="661"/>
        <v>0</v>
      </c>
      <c r="BB1921" s="498" t="str">
        <f t="shared" si="662"/>
        <v/>
      </c>
      <c r="BC1921" s="743" t="str">
        <f t="shared" si="663"/>
        <v/>
      </c>
      <c r="BD1921" s="743" t="str">
        <f t="shared" si="664"/>
        <v/>
      </c>
      <c r="BE1921" s="743" t="str">
        <f>IF(D1921="","",VLOOKUP(D1921,'General Basis'!$J$39:$K$46,2,0))</f>
        <v/>
      </c>
      <c r="BF1921" s="744" t="str">
        <f>IF(D1921="","",VLOOKUP(D1921,'General Basis'!$J$39:$L$46,3,0))</f>
        <v/>
      </c>
      <c r="BG1921" s="744" t="str">
        <f t="shared" si="671"/>
        <v/>
      </c>
      <c r="BH1921" s="744" t="str">
        <f>IF(G1921="","",IF(BF1921="Abu Dhabi",IF(G1921&lt;18,'General Basis'!$C$39,IF(G1921&lt;41,'General Basis'!$C$40,IF(G1921&lt;60,'General Basis'!$C$41,IF(G1921&lt;65,'General Basis'!$C$42,'General Basis'!$C$43)))),IF(G1921&lt;11,'General Basis'!$B$39,IF(G1921&lt;18,'General Basis'!$B$40,IF(G1921&lt;26,'General Basis'!$B$41,IF(G1921&lt;31,'General Basis'!$B$42,IF(G1921&lt;36,'General Basis'!$B$43,IF(G1921&lt;41,'General Basis'!$B$44,IF(G1921&lt;46,'General Basis'!$B$45,IF(G1921&lt;51,'General Basis'!$B$46,IF(G1921&lt;56,'General Basis'!$B$47,IF(G1921&lt;60,'General Basis'!$B$48,IF(G1921&lt;65,'General Basis'!$B$49,'General Basis'!$B$50)))))))))))))</f>
        <v/>
      </c>
      <c r="BI1921" s="744" t="str">
        <f t="shared" si="665"/>
        <v/>
      </c>
      <c r="BJ1921" s="747" t="str">
        <f t="shared" si="672"/>
        <v/>
      </c>
      <c r="BK1921" s="498" t="str">
        <f t="shared" si="666"/>
        <v/>
      </c>
      <c r="BL1921" s="498" t="str">
        <f t="shared" si="667"/>
        <v/>
      </c>
    </row>
    <row r="1922" spans="1:64" x14ac:dyDescent="0.25">
      <c r="A1922" s="762">
        <f t="shared" si="668"/>
        <v>1917</v>
      </c>
      <c r="B1922" s="229"/>
      <c r="C1922" s="223"/>
      <c r="D1922" s="224"/>
      <c r="E1922" s="225"/>
      <c r="F1922" s="1036" t="str">
        <f t="shared" si="674"/>
        <v/>
      </c>
      <c r="G1922" s="1037" t="str">
        <f t="shared" si="669"/>
        <v/>
      </c>
      <c r="H1922" s="225"/>
      <c r="I1922" s="1013"/>
      <c r="J1922" s="1013"/>
      <c r="K1922" s="1028"/>
      <c r="L1922" s="1035" t="str">
        <f t="shared" si="673"/>
        <v/>
      </c>
      <c r="S1922" s="498"/>
      <c r="AJ1922" s="498"/>
      <c r="AM1922" s="498">
        <f t="shared" si="654"/>
        <v>0</v>
      </c>
      <c r="AN1922" s="498">
        <f t="shared" si="655"/>
        <v>0</v>
      </c>
      <c r="AO1922" s="498">
        <f t="shared" si="656"/>
        <v>0</v>
      </c>
      <c r="AP1922" s="498">
        <f t="shared" si="675"/>
        <v>0</v>
      </c>
      <c r="AQ1922" s="498">
        <f t="shared" si="670"/>
        <v>0</v>
      </c>
      <c r="AU1922" s="498">
        <f t="shared" si="657"/>
        <v>0</v>
      </c>
      <c r="AV1922" s="498">
        <f t="shared" si="658"/>
        <v>0</v>
      </c>
      <c r="AW1922" s="498">
        <f t="shared" si="659"/>
        <v>0</v>
      </c>
      <c r="AX1922" s="498">
        <f t="shared" si="660"/>
        <v>0</v>
      </c>
      <c r="AY1922" s="498">
        <f t="shared" si="661"/>
        <v>0</v>
      </c>
      <c r="BB1922" s="498" t="str">
        <f t="shared" si="662"/>
        <v/>
      </c>
      <c r="BC1922" s="743" t="str">
        <f t="shared" si="663"/>
        <v/>
      </c>
      <c r="BD1922" s="743" t="str">
        <f t="shared" si="664"/>
        <v/>
      </c>
      <c r="BE1922" s="743" t="str">
        <f>IF(D1922="","",VLOOKUP(D1922,'General Basis'!$J$39:$K$46,2,0))</f>
        <v/>
      </c>
      <c r="BF1922" s="744" t="str">
        <f>IF(D1922="","",VLOOKUP(D1922,'General Basis'!$J$39:$L$46,3,0))</f>
        <v/>
      </c>
      <c r="BG1922" s="744" t="str">
        <f t="shared" si="671"/>
        <v/>
      </c>
      <c r="BH1922" s="744" t="str">
        <f>IF(G1922="","",IF(BF1922="Abu Dhabi",IF(G1922&lt;18,'General Basis'!$C$39,IF(G1922&lt;41,'General Basis'!$C$40,IF(G1922&lt;60,'General Basis'!$C$41,IF(G1922&lt;65,'General Basis'!$C$42,'General Basis'!$C$43)))),IF(G1922&lt;11,'General Basis'!$B$39,IF(G1922&lt;18,'General Basis'!$B$40,IF(G1922&lt;26,'General Basis'!$B$41,IF(G1922&lt;31,'General Basis'!$B$42,IF(G1922&lt;36,'General Basis'!$B$43,IF(G1922&lt;41,'General Basis'!$B$44,IF(G1922&lt;46,'General Basis'!$B$45,IF(G1922&lt;51,'General Basis'!$B$46,IF(G1922&lt;56,'General Basis'!$B$47,IF(G1922&lt;60,'General Basis'!$B$48,IF(G1922&lt;65,'General Basis'!$B$49,'General Basis'!$B$50)))))))))))))</f>
        <v/>
      </c>
      <c r="BI1922" s="744" t="str">
        <f t="shared" si="665"/>
        <v/>
      </c>
      <c r="BJ1922" s="747" t="str">
        <f t="shared" si="672"/>
        <v/>
      </c>
      <c r="BK1922" s="498" t="str">
        <f t="shared" si="666"/>
        <v/>
      </c>
      <c r="BL1922" s="498" t="str">
        <f t="shared" si="667"/>
        <v/>
      </c>
    </row>
    <row r="1923" spans="1:64" x14ac:dyDescent="0.25">
      <c r="A1923" s="762">
        <f t="shared" si="668"/>
        <v>1918</v>
      </c>
      <c r="B1923" s="229"/>
      <c r="C1923" s="223"/>
      <c r="D1923" s="224"/>
      <c r="E1923" s="225"/>
      <c r="F1923" s="1036" t="str">
        <f t="shared" si="674"/>
        <v/>
      </c>
      <c r="G1923" s="1037" t="str">
        <f t="shared" si="669"/>
        <v/>
      </c>
      <c r="H1923" s="225"/>
      <c r="I1923" s="1013"/>
      <c r="J1923" s="1013"/>
      <c r="K1923" s="1028"/>
      <c r="L1923" s="1035" t="str">
        <f t="shared" si="673"/>
        <v/>
      </c>
      <c r="S1923" s="498"/>
      <c r="AJ1923" s="498"/>
      <c r="AM1923" s="498">
        <f t="shared" si="654"/>
        <v>0</v>
      </c>
      <c r="AN1923" s="498">
        <f t="shared" si="655"/>
        <v>0</v>
      </c>
      <c r="AO1923" s="498">
        <f t="shared" si="656"/>
        <v>0</v>
      </c>
      <c r="AP1923" s="498">
        <f t="shared" si="675"/>
        <v>0</v>
      </c>
      <c r="AQ1923" s="498">
        <f t="shared" si="670"/>
        <v>0</v>
      </c>
      <c r="AU1923" s="498">
        <f t="shared" si="657"/>
        <v>0</v>
      </c>
      <c r="AV1923" s="498">
        <f t="shared" si="658"/>
        <v>0</v>
      </c>
      <c r="AW1923" s="498">
        <f t="shared" si="659"/>
        <v>0</v>
      </c>
      <c r="AX1923" s="498">
        <f t="shared" si="660"/>
        <v>0</v>
      </c>
      <c r="AY1923" s="498">
        <f t="shared" si="661"/>
        <v>0</v>
      </c>
      <c r="BB1923" s="498" t="str">
        <f t="shared" si="662"/>
        <v/>
      </c>
      <c r="BC1923" s="743" t="str">
        <f t="shared" si="663"/>
        <v/>
      </c>
      <c r="BD1923" s="743" t="str">
        <f t="shared" si="664"/>
        <v/>
      </c>
      <c r="BE1923" s="743" t="str">
        <f>IF(D1923="","",VLOOKUP(D1923,'General Basis'!$J$39:$K$46,2,0))</f>
        <v/>
      </c>
      <c r="BF1923" s="744" t="str">
        <f>IF(D1923="","",VLOOKUP(D1923,'General Basis'!$J$39:$L$46,3,0))</f>
        <v/>
      </c>
      <c r="BG1923" s="744" t="str">
        <f t="shared" si="671"/>
        <v/>
      </c>
      <c r="BH1923" s="744" t="str">
        <f>IF(G1923="","",IF(BF1923="Abu Dhabi",IF(G1923&lt;18,'General Basis'!$C$39,IF(G1923&lt;41,'General Basis'!$C$40,IF(G1923&lt;60,'General Basis'!$C$41,IF(G1923&lt;65,'General Basis'!$C$42,'General Basis'!$C$43)))),IF(G1923&lt;11,'General Basis'!$B$39,IF(G1923&lt;18,'General Basis'!$B$40,IF(G1923&lt;26,'General Basis'!$B$41,IF(G1923&lt;31,'General Basis'!$B$42,IF(G1923&lt;36,'General Basis'!$B$43,IF(G1923&lt;41,'General Basis'!$B$44,IF(G1923&lt;46,'General Basis'!$B$45,IF(G1923&lt;51,'General Basis'!$B$46,IF(G1923&lt;56,'General Basis'!$B$47,IF(G1923&lt;60,'General Basis'!$B$48,IF(G1923&lt;65,'General Basis'!$B$49,'General Basis'!$B$50)))))))))))))</f>
        <v/>
      </c>
      <c r="BI1923" s="744" t="str">
        <f t="shared" si="665"/>
        <v/>
      </c>
      <c r="BJ1923" s="747" t="str">
        <f t="shared" si="672"/>
        <v/>
      </c>
      <c r="BK1923" s="498" t="str">
        <f t="shared" si="666"/>
        <v/>
      </c>
      <c r="BL1923" s="498" t="str">
        <f t="shared" si="667"/>
        <v/>
      </c>
    </row>
    <row r="1924" spans="1:64" x14ac:dyDescent="0.25">
      <c r="A1924" s="762">
        <f t="shared" si="668"/>
        <v>1919</v>
      </c>
      <c r="B1924" s="229"/>
      <c r="C1924" s="223"/>
      <c r="D1924" s="224"/>
      <c r="E1924" s="225"/>
      <c r="F1924" s="1036" t="str">
        <f t="shared" si="674"/>
        <v/>
      </c>
      <c r="G1924" s="1037" t="str">
        <f t="shared" si="669"/>
        <v/>
      </c>
      <c r="H1924" s="225"/>
      <c r="I1924" s="1013"/>
      <c r="J1924" s="1013"/>
      <c r="K1924" s="1028"/>
      <c r="L1924" s="1035" t="str">
        <f t="shared" si="673"/>
        <v/>
      </c>
      <c r="S1924" s="498"/>
      <c r="AJ1924" s="498"/>
      <c r="AM1924" s="498">
        <f t="shared" si="654"/>
        <v>0</v>
      </c>
      <c r="AN1924" s="498">
        <f t="shared" si="655"/>
        <v>0</v>
      </c>
      <c r="AO1924" s="498">
        <f t="shared" si="656"/>
        <v>0</v>
      </c>
      <c r="AP1924" s="498">
        <f t="shared" si="675"/>
        <v>0</v>
      </c>
      <c r="AQ1924" s="498">
        <f t="shared" si="670"/>
        <v>0</v>
      </c>
      <c r="AU1924" s="498">
        <f t="shared" si="657"/>
        <v>0</v>
      </c>
      <c r="AV1924" s="498">
        <f t="shared" si="658"/>
        <v>0</v>
      </c>
      <c r="AW1924" s="498">
        <f t="shared" si="659"/>
        <v>0</v>
      </c>
      <c r="AX1924" s="498">
        <f t="shared" si="660"/>
        <v>0</v>
      </c>
      <c r="AY1924" s="498">
        <f t="shared" si="661"/>
        <v>0</v>
      </c>
      <c r="BB1924" s="498" t="str">
        <f t="shared" si="662"/>
        <v/>
      </c>
      <c r="BC1924" s="743" t="str">
        <f t="shared" si="663"/>
        <v/>
      </c>
      <c r="BD1924" s="743" t="str">
        <f t="shared" si="664"/>
        <v/>
      </c>
      <c r="BE1924" s="743" t="str">
        <f>IF(D1924="","",VLOOKUP(D1924,'General Basis'!$J$39:$K$46,2,0))</f>
        <v/>
      </c>
      <c r="BF1924" s="744" t="str">
        <f>IF(D1924="","",VLOOKUP(D1924,'General Basis'!$J$39:$L$46,3,0))</f>
        <v/>
      </c>
      <c r="BG1924" s="744" t="str">
        <f t="shared" si="671"/>
        <v/>
      </c>
      <c r="BH1924" s="744" t="str">
        <f>IF(G1924="","",IF(BF1924="Abu Dhabi",IF(G1924&lt;18,'General Basis'!$C$39,IF(G1924&lt;41,'General Basis'!$C$40,IF(G1924&lt;60,'General Basis'!$C$41,IF(G1924&lt;65,'General Basis'!$C$42,'General Basis'!$C$43)))),IF(G1924&lt;11,'General Basis'!$B$39,IF(G1924&lt;18,'General Basis'!$B$40,IF(G1924&lt;26,'General Basis'!$B$41,IF(G1924&lt;31,'General Basis'!$B$42,IF(G1924&lt;36,'General Basis'!$B$43,IF(G1924&lt;41,'General Basis'!$B$44,IF(G1924&lt;46,'General Basis'!$B$45,IF(G1924&lt;51,'General Basis'!$B$46,IF(G1924&lt;56,'General Basis'!$B$47,IF(G1924&lt;60,'General Basis'!$B$48,IF(G1924&lt;65,'General Basis'!$B$49,'General Basis'!$B$50)))))))))))))</f>
        <v/>
      </c>
      <c r="BI1924" s="744" t="str">
        <f t="shared" si="665"/>
        <v/>
      </c>
      <c r="BJ1924" s="747" t="str">
        <f t="shared" si="672"/>
        <v/>
      </c>
      <c r="BK1924" s="498" t="str">
        <f t="shared" si="666"/>
        <v/>
      </c>
      <c r="BL1924" s="498" t="str">
        <f t="shared" si="667"/>
        <v/>
      </c>
    </row>
    <row r="1925" spans="1:64" x14ac:dyDescent="0.25">
      <c r="A1925" s="762">
        <f t="shared" si="668"/>
        <v>1920</v>
      </c>
      <c r="B1925" s="229"/>
      <c r="C1925" s="223"/>
      <c r="D1925" s="224"/>
      <c r="E1925" s="225"/>
      <c r="F1925" s="1036" t="str">
        <f t="shared" si="674"/>
        <v/>
      </c>
      <c r="G1925" s="1037" t="str">
        <f t="shared" si="669"/>
        <v/>
      </c>
      <c r="H1925" s="225"/>
      <c r="I1925" s="1013"/>
      <c r="J1925" s="1013"/>
      <c r="K1925" s="1028"/>
      <c r="L1925" s="1035" t="str">
        <f t="shared" si="673"/>
        <v/>
      </c>
      <c r="S1925" s="498"/>
      <c r="AJ1925" s="498"/>
      <c r="AM1925" s="498">
        <f t="shared" si="654"/>
        <v>0</v>
      </c>
      <c r="AN1925" s="498">
        <f t="shared" si="655"/>
        <v>0</v>
      </c>
      <c r="AO1925" s="498">
        <f t="shared" si="656"/>
        <v>0</v>
      </c>
      <c r="AP1925" s="498">
        <f t="shared" si="675"/>
        <v>0</v>
      </c>
      <c r="AQ1925" s="498">
        <f t="shared" si="670"/>
        <v>0</v>
      </c>
      <c r="AU1925" s="498">
        <f t="shared" si="657"/>
        <v>0</v>
      </c>
      <c r="AV1925" s="498">
        <f t="shared" si="658"/>
        <v>0</v>
      </c>
      <c r="AW1925" s="498">
        <f t="shared" si="659"/>
        <v>0</v>
      </c>
      <c r="AX1925" s="498">
        <f t="shared" si="660"/>
        <v>0</v>
      </c>
      <c r="AY1925" s="498">
        <f t="shared" si="661"/>
        <v>0</v>
      </c>
      <c r="BB1925" s="498" t="str">
        <f t="shared" si="662"/>
        <v/>
      </c>
      <c r="BC1925" s="743" t="str">
        <f t="shared" si="663"/>
        <v/>
      </c>
      <c r="BD1925" s="743" t="str">
        <f t="shared" si="664"/>
        <v/>
      </c>
      <c r="BE1925" s="743" t="str">
        <f>IF(D1925="","",VLOOKUP(D1925,'General Basis'!$J$39:$K$46,2,0))</f>
        <v/>
      </c>
      <c r="BF1925" s="744" t="str">
        <f>IF(D1925="","",VLOOKUP(D1925,'General Basis'!$J$39:$L$46,3,0))</f>
        <v/>
      </c>
      <c r="BG1925" s="744" t="str">
        <f t="shared" si="671"/>
        <v/>
      </c>
      <c r="BH1925" s="744" t="str">
        <f>IF(G1925="","",IF(BF1925="Abu Dhabi",IF(G1925&lt;18,'General Basis'!$C$39,IF(G1925&lt;41,'General Basis'!$C$40,IF(G1925&lt;60,'General Basis'!$C$41,IF(G1925&lt;65,'General Basis'!$C$42,'General Basis'!$C$43)))),IF(G1925&lt;11,'General Basis'!$B$39,IF(G1925&lt;18,'General Basis'!$B$40,IF(G1925&lt;26,'General Basis'!$B$41,IF(G1925&lt;31,'General Basis'!$B$42,IF(G1925&lt;36,'General Basis'!$B$43,IF(G1925&lt;41,'General Basis'!$B$44,IF(G1925&lt;46,'General Basis'!$B$45,IF(G1925&lt;51,'General Basis'!$B$46,IF(G1925&lt;56,'General Basis'!$B$47,IF(G1925&lt;60,'General Basis'!$B$48,IF(G1925&lt;65,'General Basis'!$B$49,'General Basis'!$B$50)))))))))))))</f>
        <v/>
      </c>
      <c r="BI1925" s="744" t="str">
        <f t="shared" si="665"/>
        <v/>
      </c>
      <c r="BJ1925" s="747" t="str">
        <f t="shared" si="672"/>
        <v/>
      </c>
      <c r="BK1925" s="498" t="str">
        <f t="shared" si="666"/>
        <v/>
      </c>
      <c r="BL1925" s="498" t="str">
        <f t="shared" si="667"/>
        <v/>
      </c>
    </row>
    <row r="1926" spans="1:64" x14ac:dyDescent="0.25">
      <c r="A1926" s="762">
        <f t="shared" si="668"/>
        <v>1921</v>
      </c>
      <c r="B1926" s="229"/>
      <c r="C1926" s="223"/>
      <c r="D1926" s="224"/>
      <c r="E1926" s="225"/>
      <c r="F1926" s="1036" t="str">
        <f t="shared" si="674"/>
        <v/>
      </c>
      <c r="G1926" s="1037" t="str">
        <f t="shared" si="669"/>
        <v/>
      </c>
      <c r="H1926" s="225"/>
      <c r="I1926" s="1013"/>
      <c r="J1926" s="1013"/>
      <c r="K1926" s="1028"/>
      <c r="L1926" s="1035" t="str">
        <f t="shared" si="673"/>
        <v/>
      </c>
      <c r="S1926" s="498"/>
      <c r="AJ1926" s="498"/>
      <c r="AM1926" s="498">
        <f t="shared" ref="AM1926:AM1989" si="676">IF(ISTEXT(B1926),1,0)</f>
        <v>0</v>
      </c>
      <c r="AN1926" s="498">
        <f t="shared" ref="AN1926:AN1989" si="677">IF(ISBLANK(B1926),0,IF(B1926&lt;$AK$6,1,0))</f>
        <v>0</v>
      </c>
      <c r="AO1926" s="498">
        <f t="shared" ref="AO1926:AO1989" si="678">IF(ISBLANK(B1926),0,IF(B1926&gt;$AK$7,1,0))</f>
        <v>0</v>
      </c>
      <c r="AP1926" s="498">
        <f t="shared" si="675"/>
        <v>0</v>
      </c>
      <c r="AQ1926" s="498">
        <f t="shared" si="670"/>
        <v>0</v>
      </c>
      <c r="AU1926" s="498">
        <f t="shared" ref="AU1926:AU1989" si="679">IF(ISBLANK(B1926),0,1)</f>
        <v>0</v>
      </c>
      <c r="AV1926" s="498">
        <f t="shared" ref="AV1926:AV1989" si="680">IF(ISBLANK(C1926),0,1)</f>
        <v>0</v>
      </c>
      <c r="AW1926" s="498">
        <f t="shared" ref="AW1926:AW1989" si="681">IF(ISBLANK(D1926),0,1)</f>
        <v>0</v>
      </c>
      <c r="AX1926" s="498">
        <f t="shared" ref="AX1926:AX1989" si="682">IF(ISBLANK(E1926),0,1)</f>
        <v>0</v>
      </c>
      <c r="AY1926" s="498">
        <f t="shared" ref="AY1926:AY1989" si="683">IF(ISBLANK(H1926),0,1)</f>
        <v>0</v>
      </c>
      <c r="BB1926" s="498" t="str">
        <f t="shared" ref="BB1926:BB1989" si="684">IF(E1926="Principal","Principal",IF(E1926="","","Other"))</f>
        <v/>
      </c>
      <c r="BC1926" s="743" t="str">
        <f t="shared" ref="BC1926:BC1989" si="685">IF(D1926="","",D1926)</f>
        <v/>
      </c>
      <c r="BD1926" s="743" t="str">
        <f t="shared" ref="BD1926:BD1989" si="686">IF(E1926="Principal","Employee",IF(E1926="","","Dependent"))</f>
        <v/>
      </c>
      <c r="BE1926" s="743" t="str">
        <f>IF(D1926="","",VLOOKUP(D1926,'General Basis'!$J$39:$K$46,2,0))</f>
        <v/>
      </c>
      <c r="BF1926" s="744" t="str">
        <f>IF(D1926="","",VLOOKUP(D1926,'General Basis'!$J$39:$L$46,3,0))</f>
        <v/>
      </c>
      <c r="BG1926" s="744" t="str">
        <f t="shared" si="671"/>
        <v/>
      </c>
      <c r="BH1926" s="744" t="str">
        <f>IF(G1926="","",IF(BF1926="Abu Dhabi",IF(G1926&lt;18,'General Basis'!$C$39,IF(G1926&lt;41,'General Basis'!$C$40,IF(G1926&lt;60,'General Basis'!$C$41,IF(G1926&lt;65,'General Basis'!$C$42,'General Basis'!$C$43)))),IF(G1926&lt;11,'General Basis'!$B$39,IF(G1926&lt;18,'General Basis'!$B$40,IF(G1926&lt;26,'General Basis'!$B$41,IF(G1926&lt;31,'General Basis'!$B$42,IF(G1926&lt;36,'General Basis'!$B$43,IF(G1926&lt;41,'General Basis'!$B$44,IF(G1926&lt;46,'General Basis'!$B$45,IF(G1926&lt;51,'General Basis'!$B$46,IF(G1926&lt;56,'General Basis'!$B$47,IF(G1926&lt;60,'General Basis'!$B$48,IF(G1926&lt;65,'General Basis'!$B$49,'General Basis'!$B$50)))))))))))))</f>
        <v/>
      </c>
      <c r="BI1926" s="744" t="str">
        <f t="shared" ref="BI1926:BI1989" si="687">IF(C1926="","",IF(C1926="M","Male","Female"))</f>
        <v/>
      </c>
      <c r="BJ1926" s="747" t="str">
        <f t="shared" si="672"/>
        <v/>
      </c>
      <c r="BK1926" s="498" t="str">
        <f t="shared" ref="BK1926:BK1989" si="688">IF(BD1926="","",IF(AND(BD1926="Employee",BI1926="Male",BF1926="Abu Dhabi",BE1926=GN_Plus),VLOOKUP(BH1926,AUH_MALE_EMP,2,0),IF(AND(BD1926="Employee",BI1926="Male",BF1926="Abu Dhabi",BE1926=GN),VLOOKUP(BH1926,AUH_MALE_EMP,3,0),IF(AND(BD1926="Employee",BI1926="Male",BF1926="Abu Dhabi",BE1926=RN_Plus),VLOOKUP(BH1926,AUH_MALE_EMP,4,0),IF(AND(BD1926="Employee",BI1926="Male",BF1926="Abu Dhabi",BE1926=RN),VLOOKUP(BH1926,AUH_MALE_EMP,5,0),IF(AND(BD1926="Employee",BI1926="Male",BF1926="Abu Dhabi",BE1926=RN_2),VLOOKUP(BH1926,AUH_MALE_EMP,6,0),IF(AND(BD1926="Employee",BI1926="Male",BF1926="Abu Dhabi",BE1926=RN2_minus),VLOOKUP(BH1926,AUH_MALE_EMP,7,0),IF(AND(BD1926="Employee",BI1926="Male",BF1926="Abu Dhabi",BE1926=RN_3),VLOOKUP(BH1926,AUH_MALE_EMP,8,0),IF(AND(BD1926="Employee",BI1926="Male",BF1926="Abu Dhabi",BE1926=VN),VLOOKUP(BH1926,AUH_MALE_EMP,9,0),IF(BD1926="","",IF(AND(BD1926="Employee",BI1926="Female",BF1926="Abu Dhabi",BE1926=GN_Plus),VLOOKUP(BH1926,AUH_FEMALE_EMP,2,0),IF(AND(BD1926="Employee",BI1926="Female",BF1926="Abu Dhabi",BE1926=GN),VLOOKUP(BH1926,AUH_FEMALE_EMP,3,0),IF(AND(BD1926="Employee",BI1926="Female",BF1926="Abu Dhabi",BE1926=RN_Plus),VLOOKUP(BH1926,AUH_FEMALE_EMP,4,0),IF(AND(BD1926="Employee",BI1926="Female",BF1926="Abu Dhabi",BE1926=RN),VLOOKUP(BH1926,AUH_FEMALE_EMP,5,0),IF(AND(BD1926="Employee",BI1926="Female",BF1926="Abu Dhabi",BE1926=RN_2),VLOOKUP(BH1926,AUH_FEMALE_EMP,6,0),IF(AND(BD1926="Employee",BI1926="Female",BF1926="Abu Dhabi",BE1926=RN2_minus),VLOOKUP(BH1926,AUH_FEMALE_EMP,7,0),IF(AND(BD1926="Employee",BI1926="Female",BF1926="Abu Dhabi",BE1926=RN_3),VLOOKUP(BH1926,AUH_FEMALE_EMP,8,0),IF(AND(BD1926="Employee",BI1926="Female",BF1926="Abu Dhabi",BE1926=VN),VLOOKUP(BH1926,AUH_FEMALE_EMP,9,0),IF(BD1926="","",IF(AND(BD1926="Dependent",BI1926="Male",BF1926="Abu Dhabi",BE1926=GN_Plus),VLOOKUP(BH1926,AUH_MALE_DEP,2,0),IF(AND(BD1926="Dependent",BI1926="Male",BF1926="Abu Dhabi",BE1926=GN),VLOOKUP(BH1926,AUH_MALE_DEP,3,0),IF(AND(BD1926="Dependent",BI1926="Male",BF1926="Abu Dhabi",BE1926=RN_Plus),VLOOKUP(BH1926,AUH_MALE_DEP,4,0),IF(AND(BD1926="Dependent",BI1926="Male",BF1926="Abu Dhabi",BE1926=RN),VLOOKUP(BH1926,AUH_MALE_DEP,5,0),IF(AND(BD1926="Dependent",BI1926="Male",BF1926="Abu Dhabi",BE1926=RN_2),VLOOKUP(BH1926,AUH_MALE_DEP,6,0),IF(AND(BD1926="Dependent",BI1926="Male",BF1926="Abu Dhabi",BE1926=RN2_minus),VLOOKUP(BH1926,AUH_MALE_DEP,7,0),IF(AND(BD1926="Dependent",BI1926="Male",BF1926="Abu Dhabi",BE1926=RN_3),VLOOKUP(BH1926,AUH_MALE_DEP,8,0),IF(AND(BD1926="Dependent",BI1926="Male",BF1926="Abu Dhabi",BE1926=VN),VLOOKUP(BH1926,AUH_MALE_DEP,9,0),IF(BD1926="","",IF(AND(BD1926="Dependent",BI1926="Female",BF1926="Abu Dhabi",BE1926=GN_Plus),VLOOKUP(BH1926,AUH_FEMALE_DEP,2,0),IF(AND(BD1926="Dependent",BI1926="Female",BF1926="Abu Dhabi",BE1926=GN),VLOOKUP(BH1926,AUH_FEMALE_DEP,3,0),IF(AND(BD1926="Dependent",BI1926="Female",BF1926="Abu Dhabi",BE1926=RN_Plus),VLOOKUP(BH1926,AUH_FEMALE_DEP,4,0),IF(AND(BD1926="Dependent",BI1926="Female",BF1926="Abu Dhabi",BE1926=RN),VLOOKUP(BH1926,AUH_FEMALE_DEP,5,0),IF(AND(BD1926="Dependent",BI1926="Female",BF1926="Abu Dhabi",BE1926=RN_2),VLOOKUP(BH1926,AUH_FEMALE_DEP,6,0),IF(AND(BD1926="Dependent",BI1926="Female",BF1926="Abu Dhabi",BE1926=RN2_minus),VLOOKUP(BH1926,AUH_FEMALE_DEP,7,0),IF(AND(BD1926="Dependent",BI1926="Female",BF1926="Abu Dhabi",BE1926=RN_3),VLOOKUP(BH1926,AUH_FEMALE_DEP,8,0),IF(AND(BD1926="Dependent",BI1926="Female",BF1926="Abu Dhabi",BE1926=VN),VLOOKUP(BH1926,AUH_FEMALE_DEP,9,0),"ABC"))))))))))))))))))))))))))))))))))))</f>
        <v/>
      </c>
      <c r="BL1926" s="498" t="str">
        <f t="shared" ref="BL1926:BL1989" si="689">IF(BD1926="","",IF(AND(BD1926="Employee",BI1926="Male",BF1926="Dubai",BE1926=GN_Plus),VLOOKUP(BH1926,DXB_MALE_EMP,2,0),IF(AND(BD1926="Employee",BI1926="Male",BF1926="Dubai",BE1926=GN),VLOOKUP(BH1926,DXB_MALE_EMP,3,0),IF(AND(BD1926="Employee",BI1926="Male",BF1926="Dubai",BE1926=RN_Plus),VLOOKUP(BH1926,DXB_MALE_EMP,4,0),IF(AND(BD1926="Employee",BI1926="Male",BF1926="Dubai",BE1926=RN),VLOOKUP(BH1926,DXB_MALE_EMP,5,0),IF(AND(BD1926="Employee",BI1926="Male",BF1926="Dubai",BE1926=RN_2),VLOOKUP(BH1926,DXB_MALE_EMP,6,0),IF(AND(BD1926="Employee",BI1926="Male",BF1926="Dubai",BE1926=RN2_minus),VLOOKUP(BH1926,DXB_MALE_EMP,7,0),IF(AND(BD1926="Employee",BI1926="Male",BF1926="Dubai",BE1926=RN_3),VLOOKUP(BH1926,DXB_MALE_EMP,8,0),IF(AND(BD1926="Employee",BI1926="Male",BF1926="Dubai",BE1926=VN),VLOOKUP(BH1926,DXB_MALE_EMP,9,0),IF(BD1926="","",IF(AND(BD1926="Employee",BI1926="Female",BF1926="Dubai",BE1926=GN_Plus),VLOOKUP(BH1926,DXB_FEMALE_EMP,2,0),IF(AND(BD1926="Employee",BI1926="Female",BF1926="Dubai",BE1926=GN),VLOOKUP(BH1926,DXB_FEMALE_EMP,3,0),IF(AND(BD1926="Employee",BI1926="Female",BF1926="Dubai",BE1926=RN_Plus),VLOOKUP(BH1926,DXB_FEMALE_EMP,4,0),IF(AND(BD1926="Employee",BI1926="Female",BF1926="Dubai",BE1926=RN),VLOOKUP(BH1926,DXB_FEMALE_EMP,5,0),IF(AND(BD1926="Employee",BI1926="Female",BF1926="Dubai",BE1926=RN_2),VLOOKUP(BH1926,DXB_FEMALE_EMP,6,0),IF(AND(BD1926="Employee",BI1926="Female",BF1926="Dubai",BE1926=RN2_minus),VLOOKUP(BH1926,DXB_FEMALE_EMP,7,0),IF(AND(BD1926="Employee",BI1926="Female",BF1926="Dubai",BE1926=RN_3),VLOOKUP(BH1926,DXB_FEMALE_EMP,8,0),IF(AND(BD1926="Employee",BI1926="Female",BF1926="Dubai",BE1926=VN),VLOOKUP(BH1926,DXB_FEMALE_EMP,9,0),IF(BD1926="","",IF(AND(BD1926="Dependent",BI1926="Male",BF1926="Dubai",BE1926=GN_Plus),VLOOKUP(BH1926,DXB_MALE_DEP,2,0),IF(AND(BD1926="Dependent",BI1926="Male",BF1926="Dubai",BE1926=GN),VLOOKUP(BH1926,DXB_MALE_DEP,3,0),IF(AND(BD1926="Dependent",BI1926="Male",BF1926="Dubai",BE1926=RN_Plus),VLOOKUP(BH1926,DXB_MALE_DEP,4,0),IF(AND(BD1926="Dependent",BI1926="Male",BF1926="Dubai",BE1926=RN),VLOOKUP(BH1926,DXB_MALE_DEP,5,0),IF(AND(BD1926="Dependent",BI1926="Male",BF1926="Dubai",BE1926=RN_2),VLOOKUP(BH1926,DXB_MALE_DEP,6,0),IF(AND(BD1926="Dependent",BI1926="Male",BF1926="Dubai",BE1926=RN2_minus),VLOOKUP(BH1926,DXB_MALE_DEP,7,0),IF(AND(BD1926="Dependent",BI1926="Male",BF1926="Dubai",BE1926=RN_3),VLOOKUP(BH1926,DXB_MALE_DEP,8,0),IF(AND(BD1926="Dependent",BI1926="Male",BF1926="Dubai",BE1926=VN),VLOOKUP(BH1926,DXB_MALE_DEP,9,0),IF(BD1926="","",IF(AND(BD1926="Dependent",BI1926="Female",BF1926="Dubai",BE1926=GN_Plus),VLOOKUP(BH1926,DXB_FEMALE_DEP,2,0),IF(AND(BD1926="Dependent",BI1926="Female",BF1926="Dubai",BE1926=GN),VLOOKUP(BH1926,DXB_FEMALE_DEP,3,0),IF(AND(BD1926="Dependent",BI1926="Female",BF1926="Dubai",BE1926=RN_Plus),VLOOKUP(BH1926,DXB_FEMALE_DEP,4,0),IF(AND(BD1926="Dependent",BI1926="Female",BF1926="Dubai",BE1926=RN),VLOOKUP(BH1926,DXB_FEMALE_DEP,5,0),IF(AND(BD1926="Dependent",BI1926="Female",BF1926="Dubai",BE1926=RN_2),VLOOKUP(BH1926,DXB_FEMALE_DEP,6,0),IF(AND(BD1926="Dependent",BI1926="Female",BF1926="Dubai",BE1926=RN2_minus),VLOOKUP(BH1926,DXB_FEMALE_DEP,7,0),IF(AND(BD1926="Dependent",BI1926="Female",BF1926="Dubai",BE1926=RN_3),VLOOKUP(BH1926,DXB_FEMALE_DEP,8,0),IF(AND(BD1926="Dependent",BI1926="Female",BF1926="Dubai",BE1926=VN),VLOOKUP(BH1926,DXB_FEMALE_DEP,9,0),"ABC"))))))))))))))))))))))))))))))))))))</f>
        <v/>
      </c>
    </row>
    <row r="1927" spans="1:64" x14ac:dyDescent="0.25">
      <c r="A1927" s="762">
        <f t="shared" ref="A1927:A1990" si="690">+A1926+1</f>
        <v>1922</v>
      </c>
      <c r="B1927" s="229"/>
      <c r="C1927" s="223"/>
      <c r="D1927" s="224"/>
      <c r="E1927" s="225"/>
      <c r="F1927" s="1036" t="str">
        <f t="shared" si="674"/>
        <v/>
      </c>
      <c r="G1927" s="1037" t="str">
        <f t="shared" ref="G1927:G1990" si="691">IF(D1927="","",MAX(0,ROUNDUP(F1927,0)))</f>
        <v/>
      </c>
      <c r="H1927" s="225"/>
      <c r="I1927" s="1013"/>
      <c r="J1927" s="1013"/>
      <c r="K1927" s="1028"/>
      <c r="L1927" s="1035" t="str">
        <f t="shared" si="673"/>
        <v/>
      </c>
      <c r="S1927" s="498"/>
      <c r="AJ1927" s="498"/>
      <c r="AM1927" s="498">
        <f t="shared" si="676"/>
        <v>0</v>
      </c>
      <c r="AN1927" s="498">
        <f t="shared" si="677"/>
        <v>0</v>
      </c>
      <c r="AO1927" s="498">
        <f t="shared" si="678"/>
        <v>0</v>
      </c>
      <c r="AP1927" s="498">
        <f t="shared" si="675"/>
        <v>0</v>
      </c>
      <c r="AQ1927" s="498">
        <f t="shared" ref="AQ1927:AQ1990" si="692">IF(ISBLANK($B1927),0,IF(OR($H1927="Single",$H1927="Married"),0,1))</f>
        <v>0</v>
      </c>
      <c r="AU1927" s="498">
        <f t="shared" si="679"/>
        <v>0</v>
      </c>
      <c r="AV1927" s="498">
        <f t="shared" si="680"/>
        <v>0</v>
      </c>
      <c r="AW1927" s="498">
        <f t="shared" si="681"/>
        <v>0</v>
      </c>
      <c r="AX1927" s="498">
        <f t="shared" si="682"/>
        <v>0</v>
      </c>
      <c r="AY1927" s="498">
        <f t="shared" si="683"/>
        <v>0</v>
      </c>
      <c r="BB1927" s="498" t="str">
        <f t="shared" si="684"/>
        <v/>
      </c>
      <c r="BC1927" s="743" t="str">
        <f t="shared" si="685"/>
        <v/>
      </c>
      <c r="BD1927" s="743" t="str">
        <f t="shared" si="686"/>
        <v/>
      </c>
      <c r="BE1927" s="743" t="str">
        <f>IF(D1927="","",VLOOKUP(D1927,'General Basis'!$J$39:$K$46,2,0))</f>
        <v/>
      </c>
      <c r="BF1927" s="744" t="str">
        <f>IF(D1927="","",VLOOKUP(D1927,'General Basis'!$J$39:$L$46,3,0))</f>
        <v/>
      </c>
      <c r="BG1927" s="744" t="str">
        <f t="shared" ref="BG1927:BG1990" si="693">BC1927&amp;BI1927</f>
        <v/>
      </c>
      <c r="BH1927" s="744" t="str">
        <f>IF(G1927="","",IF(BF1927="Abu Dhabi",IF(G1927&lt;18,'General Basis'!$C$39,IF(G1927&lt;41,'General Basis'!$C$40,IF(G1927&lt;60,'General Basis'!$C$41,IF(G1927&lt;65,'General Basis'!$C$42,'General Basis'!$C$43)))),IF(G1927&lt;11,'General Basis'!$B$39,IF(G1927&lt;18,'General Basis'!$B$40,IF(G1927&lt;26,'General Basis'!$B$41,IF(G1927&lt;31,'General Basis'!$B$42,IF(G1927&lt;36,'General Basis'!$B$43,IF(G1927&lt;41,'General Basis'!$B$44,IF(G1927&lt;46,'General Basis'!$B$45,IF(G1927&lt;51,'General Basis'!$B$46,IF(G1927&lt;56,'General Basis'!$B$47,IF(G1927&lt;60,'General Basis'!$B$48,IF(G1927&lt;65,'General Basis'!$B$49,'General Basis'!$B$50)))))))))))))</f>
        <v/>
      </c>
      <c r="BI1927" s="744" t="str">
        <f t="shared" si="687"/>
        <v/>
      </c>
      <c r="BJ1927" s="747" t="str">
        <f t="shared" ref="BJ1927:BJ1990" si="694">IF(BD1927="","",IF(BF1927="Abu Dhabi",BK1927,BL1927))</f>
        <v/>
      </c>
      <c r="BK1927" s="498" t="str">
        <f t="shared" si="688"/>
        <v/>
      </c>
      <c r="BL1927" s="498" t="str">
        <f t="shared" si="689"/>
        <v/>
      </c>
    </row>
    <row r="1928" spans="1:64" x14ac:dyDescent="0.25">
      <c r="A1928" s="762">
        <f t="shared" si="690"/>
        <v>1923</v>
      </c>
      <c r="B1928" s="229"/>
      <c r="C1928" s="223"/>
      <c r="D1928" s="224"/>
      <c r="E1928" s="225"/>
      <c r="F1928" s="1036" t="str">
        <f t="shared" si="674"/>
        <v/>
      </c>
      <c r="G1928" s="1037" t="str">
        <f t="shared" si="691"/>
        <v/>
      </c>
      <c r="H1928" s="225"/>
      <c r="I1928" s="1013"/>
      <c r="J1928" s="1013"/>
      <c r="K1928" s="1028"/>
      <c r="L1928" s="1035" t="str">
        <f t="shared" ref="L1928:L1991" si="695">IF(AND(E1928="Child",H1928="Married"),"Check the Marital Status of the Child. ",IF(AND(E1928="Child",F1928&gt;18),"Child Age exceed 18 years. ",IF(AND(E1928="Spouse",H1928="Single"),"Spouse is selected as Single. ","")))&amp;IF(K1928&gt;0,"UW Loading has been Applied","")</f>
        <v/>
      </c>
      <c r="S1928" s="498"/>
      <c r="AJ1928" s="498"/>
      <c r="AM1928" s="498">
        <f t="shared" si="676"/>
        <v>0</v>
      </c>
      <c r="AN1928" s="498">
        <f t="shared" si="677"/>
        <v>0</v>
      </c>
      <c r="AO1928" s="498">
        <f t="shared" si="678"/>
        <v>0</v>
      </c>
      <c r="AP1928" s="498">
        <f t="shared" si="675"/>
        <v>0</v>
      </c>
      <c r="AQ1928" s="498">
        <f t="shared" si="692"/>
        <v>0</v>
      </c>
      <c r="AU1928" s="498">
        <f t="shared" si="679"/>
        <v>0</v>
      </c>
      <c r="AV1928" s="498">
        <f t="shared" si="680"/>
        <v>0</v>
      </c>
      <c r="AW1928" s="498">
        <f t="shared" si="681"/>
        <v>0</v>
      </c>
      <c r="AX1928" s="498">
        <f t="shared" si="682"/>
        <v>0</v>
      </c>
      <c r="AY1928" s="498">
        <f t="shared" si="683"/>
        <v>0</v>
      </c>
      <c r="BB1928" s="498" t="str">
        <f t="shared" si="684"/>
        <v/>
      </c>
      <c r="BC1928" s="743" t="str">
        <f t="shared" si="685"/>
        <v/>
      </c>
      <c r="BD1928" s="743" t="str">
        <f t="shared" si="686"/>
        <v/>
      </c>
      <c r="BE1928" s="743" t="str">
        <f>IF(D1928="","",VLOOKUP(D1928,'General Basis'!$J$39:$K$46,2,0))</f>
        <v/>
      </c>
      <c r="BF1928" s="744" t="str">
        <f>IF(D1928="","",VLOOKUP(D1928,'General Basis'!$J$39:$L$46,3,0))</f>
        <v/>
      </c>
      <c r="BG1928" s="744" t="str">
        <f t="shared" si="693"/>
        <v/>
      </c>
      <c r="BH1928" s="744" t="str">
        <f>IF(G1928="","",IF(BF1928="Abu Dhabi",IF(G1928&lt;18,'General Basis'!$C$39,IF(G1928&lt;41,'General Basis'!$C$40,IF(G1928&lt;60,'General Basis'!$C$41,IF(G1928&lt;65,'General Basis'!$C$42,'General Basis'!$C$43)))),IF(G1928&lt;11,'General Basis'!$B$39,IF(G1928&lt;18,'General Basis'!$B$40,IF(G1928&lt;26,'General Basis'!$B$41,IF(G1928&lt;31,'General Basis'!$B$42,IF(G1928&lt;36,'General Basis'!$B$43,IF(G1928&lt;41,'General Basis'!$B$44,IF(G1928&lt;46,'General Basis'!$B$45,IF(G1928&lt;51,'General Basis'!$B$46,IF(G1928&lt;56,'General Basis'!$B$47,IF(G1928&lt;60,'General Basis'!$B$48,IF(G1928&lt;65,'General Basis'!$B$49,'General Basis'!$B$50)))))))))))))</f>
        <v/>
      </c>
      <c r="BI1928" s="744" t="str">
        <f t="shared" si="687"/>
        <v/>
      </c>
      <c r="BJ1928" s="747" t="str">
        <f t="shared" si="694"/>
        <v/>
      </c>
      <c r="BK1928" s="498" t="str">
        <f t="shared" si="688"/>
        <v/>
      </c>
      <c r="BL1928" s="498" t="str">
        <f t="shared" si="689"/>
        <v/>
      </c>
    </row>
    <row r="1929" spans="1:64" x14ac:dyDescent="0.25">
      <c r="A1929" s="762">
        <f t="shared" si="690"/>
        <v>1924</v>
      </c>
      <c r="B1929" s="229"/>
      <c r="C1929" s="223"/>
      <c r="D1929" s="224"/>
      <c r="E1929" s="225"/>
      <c r="F1929" s="1036" t="str">
        <f t="shared" si="674"/>
        <v/>
      </c>
      <c r="G1929" s="1037" t="str">
        <f t="shared" si="691"/>
        <v/>
      </c>
      <c r="H1929" s="225"/>
      <c r="I1929" s="1013"/>
      <c r="J1929" s="1013"/>
      <c r="K1929" s="1028"/>
      <c r="L1929" s="1035" t="str">
        <f t="shared" si="695"/>
        <v/>
      </c>
      <c r="S1929" s="498"/>
      <c r="AJ1929" s="498"/>
      <c r="AM1929" s="498">
        <f t="shared" si="676"/>
        <v>0</v>
      </c>
      <c r="AN1929" s="498">
        <f t="shared" si="677"/>
        <v>0</v>
      </c>
      <c r="AO1929" s="498">
        <f t="shared" si="678"/>
        <v>0</v>
      </c>
      <c r="AP1929" s="498">
        <f t="shared" si="675"/>
        <v>0</v>
      </c>
      <c r="AQ1929" s="498">
        <f t="shared" si="692"/>
        <v>0</v>
      </c>
      <c r="AU1929" s="498">
        <f t="shared" si="679"/>
        <v>0</v>
      </c>
      <c r="AV1929" s="498">
        <f t="shared" si="680"/>
        <v>0</v>
      </c>
      <c r="AW1929" s="498">
        <f t="shared" si="681"/>
        <v>0</v>
      </c>
      <c r="AX1929" s="498">
        <f t="shared" si="682"/>
        <v>0</v>
      </c>
      <c r="AY1929" s="498">
        <f t="shared" si="683"/>
        <v>0</v>
      </c>
      <c r="BB1929" s="498" t="str">
        <f t="shared" si="684"/>
        <v/>
      </c>
      <c r="BC1929" s="743" t="str">
        <f t="shared" si="685"/>
        <v/>
      </c>
      <c r="BD1929" s="743" t="str">
        <f t="shared" si="686"/>
        <v/>
      </c>
      <c r="BE1929" s="743" t="str">
        <f>IF(D1929="","",VLOOKUP(D1929,'General Basis'!$J$39:$K$46,2,0))</f>
        <v/>
      </c>
      <c r="BF1929" s="744" t="str">
        <f>IF(D1929="","",VLOOKUP(D1929,'General Basis'!$J$39:$L$46,3,0))</f>
        <v/>
      </c>
      <c r="BG1929" s="744" t="str">
        <f t="shared" si="693"/>
        <v/>
      </c>
      <c r="BH1929" s="744" t="str">
        <f>IF(G1929="","",IF(BF1929="Abu Dhabi",IF(G1929&lt;18,'General Basis'!$C$39,IF(G1929&lt;41,'General Basis'!$C$40,IF(G1929&lt;60,'General Basis'!$C$41,IF(G1929&lt;65,'General Basis'!$C$42,'General Basis'!$C$43)))),IF(G1929&lt;11,'General Basis'!$B$39,IF(G1929&lt;18,'General Basis'!$B$40,IF(G1929&lt;26,'General Basis'!$B$41,IF(G1929&lt;31,'General Basis'!$B$42,IF(G1929&lt;36,'General Basis'!$B$43,IF(G1929&lt;41,'General Basis'!$B$44,IF(G1929&lt;46,'General Basis'!$B$45,IF(G1929&lt;51,'General Basis'!$B$46,IF(G1929&lt;56,'General Basis'!$B$47,IF(G1929&lt;60,'General Basis'!$B$48,IF(G1929&lt;65,'General Basis'!$B$49,'General Basis'!$B$50)))))))))))))</f>
        <v/>
      </c>
      <c r="BI1929" s="744" t="str">
        <f t="shared" si="687"/>
        <v/>
      </c>
      <c r="BJ1929" s="747" t="str">
        <f t="shared" si="694"/>
        <v/>
      </c>
      <c r="BK1929" s="498" t="str">
        <f t="shared" si="688"/>
        <v/>
      </c>
      <c r="BL1929" s="498" t="str">
        <f t="shared" si="689"/>
        <v/>
      </c>
    </row>
    <row r="1930" spans="1:64" x14ac:dyDescent="0.25">
      <c r="A1930" s="762">
        <f t="shared" si="690"/>
        <v>1925</v>
      </c>
      <c r="B1930" s="229"/>
      <c r="C1930" s="223"/>
      <c r="D1930" s="224"/>
      <c r="E1930" s="225"/>
      <c r="F1930" s="1036" t="str">
        <f t="shared" si="674"/>
        <v/>
      </c>
      <c r="G1930" s="1037" t="str">
        <f t="shared" si="691"/>
        <v/>
      </c>
      <c r="H1930" s="225"/>
      <c r="I1930" s="1013"/>
      <c r="J1930" s="1013"/>
      <c r="K1930" s="1028"/>
      <c r="L1930" s="1035" t="str">
        <f t="shared" si="695"/>
        <v/>
      </c>
      <c r="S1930" s="498"/>
      <c r="AJ1930" s="498"/>
      <c r="AM1930" s="498">
        <f t="shared" si="676"/>
        <v>0</v>
      </c>
      <c r="AN1930" s="498">
        <f t="shared" si="677"/>
        <v>0</v>
      </c>
      <c r="AO1930" s="498">
        <f t="shared" si="678"/>
        <v>0</v>
      </c>
      <c r="AP1930" s="498">
        <f t="shared" si="675"/>
        <v>0</v>
      </c>
      <c r="AQ1930" s="498">
        <f t="shared" si="692"/>
        <v>0</v>
      </c>
      <c r="AU1930" s="498">
        <f t="shared" si="679"/>
        <v>0</v>
      </c>
      <c r="AV1930" s="498">
        <f t="shared" si="680"/>
        <v>0</v>
      </c>
      <c r="AW1930" s="498">
        <f t="shared" si="681"/>
        <v>0</v>
      </c>
      <c r="AX1930" s="498">
        <f t="shared" si="682"/>
        <v>0</v>
      </c>
      <c r="AY1930" s="498">
        <f t="shared" si="683"/>
        <v>0</v>
      </c>
      <c r="BB1930" s="498" t="str">
        <f t="shared" si="684"/>
        <v/>
      </c>
      <c r="BC1930" s="743" t="str">
        <f t="shared" si="685"/>
        <v/>
      </c>
      <c r="BD1930" s="743" t="str">
        <f t="shared" si="686"/>
        <v/>
      </c>
      <c r="BE1930" s="743" t="str">
        <f>IF(D1930="","",VLOOKUP(D1930,'General Basis'!$J$39:$K$46,2,0))</f>
        <v/>
      </c>
      <c r="BF1930" s="744" t="str">
        <f>IF(D1930="","",VLOOKUP(D1930,'General Basis'!$J$39:$L$46,3,0))</f>
        <v/>
      </c>
      <c r="BG1930" s="744" t="str">
        <f t="shared" si="693"/>
        <v/>
      </c>
      <c r="BH1930" s="744" t="str">
        <f>IF(G1930="","",IF(BF1930="Abu Dhabi",IF(G1930&lt;18,'General Basis'!$C$39,IF(G1930&lt;41,'General Basis'!$C$40,IF(G1930&lt;60,'General Basis'!$C$41,IF(G1930&lt;65,'General Basis'!$C$42,'General Basis'!$C$43)))),IF(G1930&lt;11,'General Basis'!$B$39,IF(G1930&lt;18,'General Basis'!$B$40,IF(G1930&lt;26,'General Basis'!$B$41,IF(G1930&lt;31,'General Basis'!$B$42,IF(G1930&lt;36,'General Basis'!$B$43,IF(G1930&lt;41,'General Basis'!$B$44,IF(G1930&lt;46,'General Basis'!$B$45,IF(G1930&lt;51,'General Basis'!$B$46,IF(G1930&lt;56,'General Basis'!$B$47,IF(G1930&lt;60,'General Basis'!$B$48,IF(G1930&lt;65,'General Basis'!$B$49,'General Basis'!$B$50)))))))))))))</f>
        <v/>
      </c>
      <c r="BI1930" s="744" t="str">
        <f t="shared" si="687"/>
        <v/>
      </c>
      <c r="BJ1930" s="747" t="str">
        <f t="shared" si="694"/>
        <v/>
      </c>
      <c r="BK1930" s="498" t="str">
        <f t="shared" si="688"/>
        <v/>
      </c>
      <c r="BL1930" s="498" t="str">
        <f t="shared" si="689"/>
        <v/>
      </c>
    </row>
    <row r="1931" spans="1:64" x14ac:dyDescent="0.25">
      <c r="A1931" s="762">
        <f t="shared" si="690"/>
        <v>1926</v>
      </c>
      <c r="B1931" s="229"/>
      <c r="C1931" s="223"/>
      <c r="D1931" s="224"/>
      <c r="E1931" s="225"/>
      <c r="F1931" s="1036" t="str">
        <f t="shared" si="674"/>
        <v/>
      </c>
      <c r="G1931" s="1037" t="str">
        <f t="shared" si="691"/>
        <v/>
      </c>
      <c r="H1931" s="225"/>
      <c r="I1931" s="1013"/>
      <c r="J1931" s="1013"/>
      <c r="K1931" s="1028"/>
      <c r="L1931" s="1035" t="str">
        <f t="shared" si="695"/>
        <v/>
      </c>
      <c r="S1931" s="498"/>
      <c r="AJ1931" s="498"/>
      <c r="AM1931" s="498">
        <f t="shared" si="676"/>
        <v>0</v>
      </c>
      <c r="AN1931" s="498">
        <f t="shared" si="677"/>
        <v>0</v>
      </c>
      <c r="AO1931" s="498">
        <f t="shared" si="678"/>
        <v>0</v>
      </c>
      <c r="AP1931" s="498">
        <f t="shared" si="675"/>
        <v>0</v>
      </c>
      <c r="AQ1931" s="498">
        <f t="shared" si="692"/>
        <v>0</v>
      </c>
      <c r="AU1931" s="498">
        <f t="shared" si="679"/>
        <v>0</v>
      </c>
      <c r="AV1931" s="498">
        <f t="shared" si="680"/>
        <v>0</v>
      </c>
      <c r="AW1931" s="498">
        <f t="shared" si="681"/>
        <v>0</v>
      </c>
      <c r="AX1931" s="498">
        <f t="shared" si="682"/>
        <v>0</v>
      </c>
      <c r="AY1931" s="498">
        <f t="shared" si="683"/>
        <v>0</v>
      </c>
      <c r="BB1931" s="498" t="str">
        <f t="shared" si="684"/>
        <v/>
      </c>
      <c r="BC1931" s="743" t="str">
        <f t="shared" si="685"/>
        <v/>
      </c>
      <c r="BD1931" s="743" t="str">
        <f t="shared" si="686"/>
        <v/>
      </c>
      <c r="BE1931" s="743" t="str">
        <f>IF(D1931="","",VLOOKUP(D1931,'General Basis'!$J$39:$K$46,2,0))</f>
        <v/>
      </c>
      <c r="BF1931" s="744" t="str">
        <f>IF(D1931="","",VLOOKUP(D1931,'General Basis'!$J$39:$L$46,3,0))</f>
        <v/>
      </c>
      <c r="BG1931" s="744" t="str">
        <f t="shared" si="693"/>
        <v/>
      </c>
      <c r="BH1931" s="744" t="str">
        <f>IF(G1931="","",IF(BF1931="Abu Dhabi",IF(G1931&lt;18,'General Basis'!$C$39,IF(G1931&lt;41,'General Basis'!$C$40,IF(G1931&lt;60,'General Basis'!$C$41,IF(G1931&lt;65,'General Basis'!$C$42,'General Basis'!$C$43)))),IF(G1931&lt;11,'General Basis'!$B$39,IF(G1931&lt;18,'General Basis'!$B$40,IF(G1931&lt;26,'General Basis'!$B$41,IF(G1931&lt;31,'General Basis'!$B$42,IF(G1931&lt;36,'General Basis'!$B$43,IF(G1931&lt;41,'General Basis'!$B$44,IF(G1931&lt;46,'General Basis'!$B$45,IF(G1931&lt;51,'General Basis'!$B$46,IF(G1931&lt;56,'General Basis'!$B$47,IF(G1931&lt;60,'General Basis'!$B$48,IF(G1931&lt;65,'General Basis'!$B$49,'General Basis'!$B$50)))))))))))))</f>
        <v/>
      </c>
      <c r="BI1931" s="744" t="str">
        <f t="shared" si="687"/>
        <v/>
      </c>
      <c r="BJ1931" s="747" t="str">
        <f t="shared" si="694"/>
        <v/>
      </c>
      <c r="BK1931" s="498" t="str">
        <f t="shared" si="688"/>
        <v/>
      </c>
      <c r="BL1931" s="498" t="str">
        <f t="shared" si="689"/>
        <v/>
      </c>
    </row>
    <row r="1932" spans="1:64" x14ac:dyDescent="0.25">
      <c r="A1932" s="762">
        <f t="shared" si="690"/>
        <v>1927</v>
      </c>
      <c r="B1932" s="229"/>
      <c r="C1932" s="223"/>
      <c r="D1932" s="224"/>
      <c r="E1932" s="225"/>
      <c r="F1932" s="1036" t="str">
        <f t="shared" si="674"/>
        <v/>
      </c>
      <c r="G1932" s="1037" t="str">
        <f t="shared" si="691"/>
        <v/>
      </c>
      <c r="H1932" s="225"/>
      <c r="I1932" s="1013"/>
      <c r="J1932" s="1013"/>
      <c r="K1932" s="1028"/>
      <c r="L1932" s="1035" t="str">
        <f t="shared" si="695"/>
        <v/>
      </c>
      <c r="S1932" s="498"/>
      <c r="AJ1932" s="498"/>
      <c r="AM1932" s="498">
        <f t="shared" si="676"/>
        <v>0</v>
      </c>
      <c r="AN1932" s="498">
        <f t="shared" si="677"/>
        <v>0</v>
      </c>
      <c r="AO1932" s="498">
        <f t="shared" si="678"/>
        <v>0</v>
      </c>
      <c r="AP1932" s="498">
        <f t="shared" si="675"/>
        <v>0</v>
      </c>
      <c r="AQ1932" s="498">
        <f t="shared" si="692"/>
        <v>0</v>
      </c>
      <c r="AU1932" s="498">
        <f t="shared" si="679"/>
        <v>0</v>
      </c>
      <c r="AV1932" s="498">
        <f t="shared" si="680"/>
        <v>0</v>
      </c>
      <c r="AW1932" s="498">
        <f t="shared" si="681"/>
        <v>0</v>
      </c>
      <c r="AX1932" s="498">
        <f t="shared" si="682"/>
        <v>0</v>
      </c>
      <c r="AY1932" s="498">
        <f t="shared" si="683"/>
        <v>0</v>
      </c>
      <c r="BB1932" s="498" t="str">
        <f t="shared" si="684"/>
        <v/>
      </c>
      <c r="BC1932" s="743" t="str">
        <f t="shared" si="685"/>
        <v/>
      </c>
      <c r="BD1932" s="743" t="str">
        <f t="shared" si="686"/>
        <v/>
      </c>
      <c r="BE1932" s="743" t="str">
        <f>IF(D1932="","",VLOOKUP(D1932,'General Basis'!$J$39:$K$46,2,0))</f>
        <v/>
      </c>
      <c r="BF1932" s="744" t="str">
        <f>IF(D1932="","",VLOOKUP(D1932,'General Basis'!$J$39:$L$46,3,0))</f>
        <v/>
      </c>
      <c r="BG1932" s="744" t="str">
        <f t="shared" si="693"/>
        <v/>
      </c>
      <c r="BH1932" s="744" t="str">
        <f>IF(G1932="","",IF(BF1932="Abu Dhabi",IF(G1932&lt;18,'General Basis'!$C$39,IF(G1932&lt;41,'General Basis'!$C$40,IF(G1932&lt;60,'General Basis'!$C$41,IF(G1932&lt;65,'General Basis'!$C$42,'General Basis'!$C$43)))),IF(G1932&lt;11,'General Basis'!$B$39,IF(G1932&lt;18,'General Basis'!$B$40,IF(G1932&lt;26,'General Basis'!$B$41,IF(G1932&lt;31,'General Basis'!$B$42,IF(G1932&lt;36,'General Basis'!$B$43,IF(G1932&lt;41,'General Basis'!$B$44,IF(G1932&lt;46,'General Basis'!$B$45,IF(G1932&lt;51,'General Basis'!$B$46,IF(G1932&lt;56,'General Basis'!$B$47,IF(G1932&lt;60,'General Basis'!$B$48,IF(G1932&lt;65,'General Basis'!$B$49,'General Basis'!$B$50)))))))))))))</f>
        <v/>
      </c>
      <c r="BI1932" s="744" t="str">
        <f t="shared" si="687"/>
        <v/>
      </c>
      <c r="BJ1932" s="747" t="str">
        <f t="shared" si="694"/>
        <v/>
      </c>
      <c r="BK1932" s="498" t="str">
        <f t="shared" si="688"/>
        <v/>
      </c>
      <c r="BL1932" s="498" t="str">
        <f t="shared" si="689"/>
        <v/>
      </c>
    </row>
    <row r="1933" spans="1:64" x14ac:dyDescent="0.25">
      <c r="A1933" s="762">
        <f t="shared" si="690"/>
        <v>1928</v>
      </c>
      <c r="B1933" s="229"/>
      <c r="C1933" s="223"/>
      <c r="D1933" s="224"/>
      <c r="E1933" s="225"/>
      <c r="F1933" s="1036" t="str">
        <f t="shared" si="674"/>
        <v/>
      </c>
      <c r="G1933" s="1037" t="str">
        <f t="shared" si="691"/>
        <v/>
      </c>
      <c r="H1933" s="225"/>
      <c r="I1933" s="1013"/>
      <c r="J1933" s="1013"/>
      <c r="K1933" s="1028"/>
      <c r="L1933" s="1035" t="str">
        <f t="shared" si="695"/>
        <v/>
      </c>
      <c r="S1933" s="498"/>
      <c r="AJ1933" s="498"/>
      <c r="AM1933" s="498">
        <f t="shared" si="676"/>
        <v>0</v>
      </c>
      <c r="AN1933" s="498">
        <f t="shared" si="677"/>
        <v>0</v>
      </c>
      <c r="AO1933" s="498">
        <f t="shared" si="678"/>
        <v>0</v>
      </c>
      <c r="AP1933" s="498">
        <f t="shared" si="675"/>
        <v>0</v>
      </c>
      <c r="AQ1933" s="498">
        <f t="shared" si="692"/>
        <v>0</v>
      </c>
      <c r="AU1933" s="498">
        <f t="shared" si="679"/>
        <v>0</v>
      </c>
      <c r="AV1933" s="498">
        <f t="shared" si="680"/>
        <v>0</v>
      </c>
      <c r="AW1933" s="498">
        <f t="shared" si="681"/>
        <v>0</v>
      </c>
      <c r="AX1933" s="498">
        <f t="shared" si="682"/>
        <v>0</v>
      </c>
      <c r="AY1933" s="498">
        <f t="shared" si="683"/>
        <v>0</v>
      </c>
      <c r="BB1933" s="498" t="str">
        <f t="shared" si="684"/>
        <v/>
      </c>
      <c r="BC1933" s="743" t="str">
        <f t="shared" si="685"/>
        <v/>
      </c>
      <c r="BD1933" s="743" t="str">
        <f t="shared" si="686"/>
        <v/>
      </c>
      <c r="BE1933" s="743" t="str">
        <f>IF(D1933="","",VLOOKUP(D1933,'General Basis'!$J$39:$K$46,2,0))</f>
        <v/>
      </c>
      <c r="BF1933" s="744" t="str">
        <f>IF(D1933="","",VLOOKUP(D1933,'General Basis'!$J$39:$L$46,3,0))</f>
        <v/>
      </c>
      <c r="BG1933" s="744" t="str">
        <f t="shared" si="693"/>
        <v/>
      </c>
      <c r="BH1933" s="744" t="str">
        <f>IF(G1933="","",IF(BF1933="Abu Dhabi",IF(G1933&lt;18,'General Basis'!$C$39,IF(G1933&lt;41,'General Basis'!$C$40,IF(G1933&lt;60,'General Basis'!$C$41,IF(G1933&lt;65,'General Basis'!$C$42,'General Basis'!$C$43)))),IF(G1933&lt;11,'General Basis'!$B$39,IF(G1933&lt;18,'General Basis'!$B$40,IF(G1933&lt;26,'General Basis'!$B$41,IF(G1933&lt;31,'General Basis'!$B$42,IF(G1933&lt;36,'General Basis'!$B$43,IF(G1933&lt;41,'General Basis'!$B$44,IF(G1933&lt;46,'General Basis'!$B$45,IF(G1933&lt;51,'General Basis'!$B$46,IF(G1933&lt;56,'General Basis'!$B$47,IF(G1933&lt;60,'General Basis'!$B$48,IF(G1933&lt;65,'General Basis'!$B$49,'General Basis'!$B$50)))))))))))))</f>
        <v/>
      </c>
      <c r="BI1933" s="744" t="str">
        <f t="shared" si="687"/>
        <v/>
      </c>
      <c r="BJ1933" s="747" t="str">
        <f t="shared" si="694"/>
        <v/>
      </c>
      <c r="BK1933" s="498" t="str">
        <f t="shared" si="688"/>
        <v/>
      </c>
      <c r="BL1933" s="498" t="str">
        <f t="shared" si="689"/>
        <v/>
      </c>
    </row>
    <row r="1934" spans="1:64" x14ac:dyDescent="0.25">
      <c r="A1934" s="762">
        <f t="shared" si="690"/>
        <v>1929</v>
      </c>
      <c r="B1934" s="229"/>
      <c r="C1934" s="223"/>
      <c r="D1934" s="224"/>
      <c r="E1934" s="225"/>
      <c r="F1934" s="1036" t="str">
        <f t="shared" si="674"/>
        <v/>
      </c>
      <c r="G1934" s="1037" t="str">
        <f t="shared" si="691"/>
        <v/>
      </c>
      <c r="H1934" s="225"/>
      <c r="I1934" s="1013"/>
      <c r="J1934" s="1013"/>
      <c r="K1934" s="1028"/>
      <c r="L1934" s="1035" t="str">
        <f t="shared" si="695"/>
        <v/>
      </c>
      <c r="S1934" s="498"/>
      <c r="AJ1934" s="498"/>
      <c r="AM1934" s="498">
        <f t="shared" si="676"/>
        <v>0</v>
      </c>
      <c r="AN1934" s="498">
        <f t="shared" si="677"/>
        <v>0</v>
      </c>
      <c r="AO1934" s="498">
        <f t="shared" si="678"/>
        <v>0</v>
      </c>
      <c r="AP1934" s="498">
        <f t="shared" si="675"/>
        <v>0</v>
      </c>
      <c r="AQ1934" s="498">
        <f t="shared" si="692"/>
        <v>0</v>
      </c>
      <c r="AU1934" s="498">
        <f t="shared" si="679"/>
        <v>0</v>
      </c>
      <c r="AV1934" s="498">
        <f t="shared" si="680"/>
        <v>0</v>
      </c>
      <c r="AW1934" s="498">
        <f t="shared" si="681"/>
        <v>0</v>
      </c>
      <c r="AX1934" s="498">
        <f t="shared" si="682"/>
        <v>0</v>
      </c>
      <c r="AY1934" s="498">
        <f t="shared" si="683"/>
        <v>0</v>
      </c>
      <c r="BB1934" s="498" t="str">
        <f t="shared" si="684"/>
        <v/>
      </c>
      <c r="BC1934" s="743" t="str">
        <f t="shared" si="685"/>
        <v/>
      </c>
      <c r="BD1934" s="743" t="str">
        <f t="shared" si="686"/>
        <v/>
      </c>
      <c r="BE1934" s="743" t="str">
        <f>IF(D1934="","",VLOOKUP(D1934,'General Basis'!$J$39:$K$46,2,0))</f>
        <v/>
      </c>
      <c r="BF1934" s="744" t="str">
        <f>IF(D1934="","",VLOOKUP(D1934,'General Basis'!$J$39:$L$46,3,0))</f>
        <v/>
      </c>
      <c r="BG1934" s="744" t="str">
        <f t="shared" si="693"/>
        <v/>
      </c>
      <c r="BH1934" s="744" t="str">
        <f>IF(G1934="","",IF(BF1934="Abu Dhabi",IF(G1934&lt;18,'General Basis'!$C$39,IF(G1934&lt;41,'General Basis'!$C$40,IF(G1934&lt;60,'General Basis'!$C$41,IF(G1934&lt;65,'General Basis'!$C$42,'General Basis'!$C$43)))),IF(G1934&lt;11,'General Basis'!$B$39,IF(G1934&lt;18,'General Basis'!$B$40,IF(G1934&lt;26,'General Basis'!$B$41,IF(G1934&lt;31,'General Basis'!$B$42,IF(G1934&lt;36,'General Basis'!$B$43,IF(G1934&lt;41,'General Basis'!$B$44,IF(G1934&lt;46,'General Basis'!$B$45,IF(G1934&lt;51,'General Basis'!$B$46,IF(G1934&lt;56,'General Basis'!$B$47,IF(G1934&lt;60,'General Basis'!$B$48,IF(G1934&lt;65,'General Basis'!$B$49,'General Basis'!$B$50)))))))))))))</f>
        <v/>
      </c>
      <c r="BI1934" s="744" t="str">
        <f t="shared" si="687"/>
        <v/>
      </c>
      <c r="BJ1934" s="747" t="str">
        <f t="shared" si="694"/>
        <v/>
      </c>
      <c r="BK1934" s="498" t="str">
        <f t="shared" si="688"/>
        <v/>
      </c>
      <c r="BL1934" s="498" t="str">
        <f t="shared" si="689"/>
        <v/>
      </c>
    </row>
    <row r="1935" spans="1:64" x14ac:dyDescent="0.25">
      <c r="A1935" s="762">
        <f t="shared" si="690"/>
        <v>1930</v>
      </c>
      <c r="B1935" s="229"/>
      <c r="C1935" s="223"/>
      <c r="D1935" s="224"/>
      <c r="E1935" s="225"/>
      <c r="F1935" s="1036" t="str">
        <f t="shared" si="674"/>
        <v/>
      </c>
      <c r="G1935" s="1037" t="str">
        <f t="shared" si="691"/>
        <v/>
      </c>
      <c r="H1935" s="225"/>
      <c r="I1935" s="1013"/>
      <c r="J1935" s="1013"/>
      <c r="K1935" s="1028"/>
      <c r="L1935" s="1035" t="str">
        <f t="shared" si="695"/>
        <v/>
      </c>
      <c r="S1935" s="498"/>
      <c r="AJ1935" s="498"/>
      <c r="AM1935" s="498">
        <f t="shared" si="676"/>
        <v>0</v>
      </c>
      <c r="AN1935" s="498">
        <f t="shared" si="677"/>
        <v>0</v>
      </c>
      <c r="AO1935" s="498">
        <f t="shared" si="678"/>
        <v>0</v>
      </c>
      <c r="AP1935" s="498">
        <f t="shared" si="675"/>
        <v>0</v>
      </c>
      <c r="AQ1935" s="498">
        <f t="shared" si="692"/>
        <v>0</v>
      </c>
      <c r="AU1935" s="498">
        <f t="shared" si="679"/>
        <v>0</v>
      </c>
      <c r="AV1935" s="498">
        <f t="shared" si="680"/>
        <v>0</v>
      </c>
      <c r="AW1935" s="498">
        <f t="shared" si="681"/>
        <v>0</v>
      </c>
      <c r="AX1935" s="498">
        <f t="shared" si="682"/>
        <v>0</v>
      </c>
      <c r="AY1935" s="498">
        <f t="shared" si="683"/>
        <v>0</v>
      </c>
      <c r="BB1935" s="498" t="str">
        <f t="shared" si="684"/>
        <v/>
      </c>
      <c r="BC1935" s="743" t="str">
        <f t="shared" si="685"/>
        <v/>
      </c>
      <c r="BD1935" s="743" t="str">
        <f t="shared" si="686"/>
        <v/>
      </c>
      <c r="BE1935" s="743" t="str">
        <f>IF(D1935="","",VLOOKUP(D1935,'General Basis'!$J$39:$K$46,2,0))</f>
        <v/>
      </c>
      <c r="BF1935" s="744" t="str">
        <f>IF(D1935="","",VLOOKUP(D1935,'General Basis'!$J$39:$L$46,3,0))</f>
        <v/>
      </c>
      <c r="BG1935" s="744" t="str">
        <f t="shared" si="693"/>
        <v/>
      </c>
      <c r="BH1935" s="744" t="str">
        <f>IF(G1935="","",IF(BF1935="Abu Dhabi",IF(G1935&lt;18,'General Basis'!$C$39,IF(G1935&lt;41,'General Basis'!$C$40,IF(G1935&lt;60,'General Basis'!$C$41,IF(G1935&lt;65,'General Basis'!$C$42,'General Basis'!$C$43)))),IF(G1935&lt;11,'General Basis'!$B$39,IF(G1935&lt;18,'General Basis'!$B$40,IF(G1935&lt;26,'General Basis'!$B$41,IF(G1935&lt;31,'General Basis'!$B$42,IF(G1935&lt;36,'General Basis'!$B$43,IF(G1935&lt;41,'General Basis'!$B$44,IF(G1935&lt;46,'General Basis'!$B$45,IF(G1935&lt;51,'General Basis'!$B$46,IF(G1935&lt;56,'General Basis'!$B$47,IF(G1935&lt;60,'General Basis'!$B$48,IF(G1935&lt;65,'General Basis'!$B$49,'General Basis'!$B$50)))))))))))))</f>
        <v/>
      </c>
      <c r="BI1935" s="744" t="str">
        <f t="shared" si="687"/>
        <v/>
      </c>
      <c r="BJ1935" s="747" t="str">
        <f t="shared" si="694"/>
        <v/>
      </c>
      <c r="BK1935" s="498" t="str">
        <f t="shared" si="688"/>
        <v/>
      </c>
      <c r="BL1935" s="498" t="str">
        <f t="shared" si="689"/>
        <v/>
      </c>
    </row>
    <row r="1936" spans="1:64" x14ac:dyDescent="0.25">
      <c r="A1936" s="762">
        <f t="shared" si="690"/>
        <v>1931</v>
      </c>
      <c r="B1936" s="229"/>
      <c r="C1936" s="223"/>
      <c r="D1936" s="224"/>
      <c r="E1936" s="225"/>
      <c r="F1936" s="1036" t="str">
        <f t="shared" ref="F1936:F1999" si="696">IF(C1936="","",IF($B1936="","",((YEAR($F$3)-YEAR($B1936))+(MONTH($F$3)-MONTH($B1936))/12+(DAY($F$3)-DAY($B1936))/(DATE(YEAR($F$3),12,31)-DATE(YEAR($F$3),1,1)+1))))</f>
        <v/>
      </c>
      <c r="G1936" s="1037" t="str">
        <f t="shared" si="691"/>
        <v/>
      </c>
      <c r="H1936" s="225"/>
      <c r="I1936" s="1013"/>
      <c r="J1936" s="1013"/>
      <c r="K1936" s="1028"/>
      <c r="L1936" s="1035" t="str">
        <f t="shared" si="695"/>
        <v/>
      </c>
      <c r="S1936" s="498"/>
      <c r="AJ1936" s="498"/>
      <c r="AM1936" s="498">
        <f t="shared" si="676"/>
        <v>0</v>
      </c>
      <c r="AN1936" s="498">
        <f t="shared" si="677"/>
        <v>0</v>
      </c>
      <c r="AO1936" s="498">
        <f t="shared" si="678"/>
        <v>0</v>
      </c>
      <c r="AP1936" s="498">
        <f t="shared" si="675"/>
        <v>0</v>
      </c>
      <c r="AQ1936" s="498">
        <f t="shared" si="692"/>
        <v>0</v>
      </c>
      <c r="AU1936" s="498">
        <f t="shared" si="679"/>
        <v>0</v>
      </c>
      <c r="AV1936" s="498">
        <f t="shared" si="680"/>
        <v>0</v>
      </c>
      <c r="AW1936" s="498">
        <f t="shared" si="681"/>
        <v>0</v>
      </c>
      <c r="AX1936" s="498">
        <f t="shared" si="682"/>
        <v>0</v>
      </c>
      <c r="AY1936" s="498">
        <f t="shared" si="683"/>
        <v>0</v>
      </c>
      <c r="BB1936" s="498" t="str">
        <f t="shared" si="684"/>
        <v/>
      </c>
      <c r="BC1936" s="743" t="str">
        <f t="shared" si="685"/>
        <v/>
      </c>
      <c r="BD1936" s="743" t="str">
        <f t="shared" si="686"/>
        <v/>
      </c>
      <c r="BE1936" s="743" t="str">
        <f>IF(D1936="","",VLOOKUP(D1936,'General Basis'!$J$39:$K$46,2,0))</f>
        <v/>
      </c>
      <c r="BF1936" s="744" t="str">
        <f>IF(D1936="","",VLOOKUP(D1936,'General Basis'!$J$39:$L$46,3,0))</f>
        <v/>
      </c>
      <c r="BG1936" s="744" t="str">
        <f t="shared" si="693"/>
        <v/>
      </c>
      <c r="BH1936" s="744" t="str">
        <f>IF(G1936="","",IF(BF1936="Abu Dhabi",IF(G1936&lt;18,'General Basis'!$C$39,IF(G1936&lt;41,'General Basis'!$C$40,IF(G1936&lt;60,'General Basis'!$C$41,IF(G1936&lt;65,'General Basis'!$C$42,'General Basis'!$C$43)))),IF(G1936&lt;11,'General Basis'!$B$39,IF(G1936&lt;18,'General Basis'!$B$40,IF(G1936&lt;26,'General Basis'!$B$41,IF(G1936&lt;31,'General Basis'!$B$42,IF(G1936&lt;36,'General Basis'!$B$43,IF(G1936&lt;41,'General Basis'!$B$44,IF(G1936&lt;46,'General Basis'!$B$45,IF(G1936&lt;51,'General Basis'!$B$46,IF(G1936&lt;56,'General Basis'!$B$47,IF(G1936&lt;60,'General Basis'!$B$48,IF(G1936&lt;65,'General Basis'!$B$49,'General Basis'!$B$50)))))))))))))</f>
        <v/>
      </c>
      <c r="BI1936" s="744" t="str">
        <f t="shared" si="687"/>
        <v/>
      </c>
      <c r="BJ1936" s="747" t="str">
        <f t="shared" si="694"/>
        <v/>
      </c>
      <c r="BK1936" s="498" t="str">
        <f t="shared" si="688"/>
        <v/>
      </c>
      <c r="BL1936" s="498" t="str">
        <f t="shared" si="689"/>
        <v/>
      </c>
    </row>
    <row r="1937" spans="1:64" x14ac:dyDescent="0.25">
      <c r="A1937" s="762">
        <f t="shared" si="690"/>
        <v>1932</v>
      </c>
      <c r="B1937" s="229"/>
      <c r="C1937" s="223"/>
      <c r="D1937" s="224"/>
      <c r="E1937" s="225"/>
      <c r="F1937" s="1036" t="str">
        <f t="shared" si="696"/>
        <v/>
      </c>
      <c r="G1937" s="1037" t="str">
        <f t="shared" si="691"/>
        <v/>
      </c>
      <c r="H1937" s="225"/>
      <c r="I1937" s="1013"/>
      <c r="J1937" s="1013"/>
      <c r="K1937" s="1028"/>
      <c r="L1937" s="1035" t="str">
        <f t="shared" si="695"/>
        <v/>
      </c>
      <c r="S1937" s="498"/>
      <c r="AJ1937" s="498"/>
      <c r="AM1937" s="498">
        <f t="shared" si="676"/>
        <v>0</v>
      </c>
      <c r="AN1937" s="498">
        <f t="shared" si="677"/>
        <v>0</v>
      </c>
      <c r="AO1937" s="498">
        <f t="shared" si="678"/>
        <v>0</v>
      </c>
      <c r="AP1937" s="498">
        <f t="shared" si="675"/>
        <v>0</v>
      </c>
      <c r="AQ1937" s="498">
        <f t="shared" si="692"/>
        <v>0</v>
      </c>
      <c r="AU1937" s="498">
        <f t="shared" si="679"/>
        <v>0</v>
      </c>
      <c r="AV1937" s="498">
        <f t="shared" si="680"/>
        <v>0</v>
      </c>
      <c r="AW1937" s="498">
        <f t="shared" si="681"/>
        <v>0</v>
      </c>
      <c r="AX1937" s="498">
        <f t="shared" si="682"/>
        <v>0</v>
      </c>
      <c r="AY1937" s="498">
        <f t="shared" si="683"/>
        <v>0</v>
      </c>
      <c r="BB1937" s="498" t="str">
        <f t="shared" si="684"/>
        <v/>
      </c>
      <c r="BC1937" s="743" t="str">
        <f t="shared" si="685"/>
        <v/>
      </c>
      <c r="BD1937" s="743" t="str">
        <f t="shared" si="686"/>
        <v/>
      </c>
      <c r="BE1937" s="743" t="str">
        <f>IF(D1937="","",VLOOKUP(D1937,'General Basis'!$J$39:$K$46,2,0))</f>
        <v/>
      </c>
      <c r="BF1937" s="744" t="str">
        <f>IF(D1937="","",VLOOKUP(D1937,'General Basis'!$J$39:$L$46,3,0))</f>
        <v/>
      </c>
      <c r="BG1937" s="744" t="str">
        <f t="shared" si="693"/>
        <v/>
      </c>
      <c r="BH1937" s="744" t="str">
        <f>IF(G1937="","",IF(BF1937="Abu Dhabi",IF(G1937&lt;18,'General Basis'!$C$39,IF(G1937&lt;41,'General Basis'!$C$40,IF(G1937&lt;60,'General Basis'!$C$41,IF(G1937&lt;65,'General Basis'!$C$42,'General Basis'!$C$43)))),IF(G1937&lt;11,'General Basis'!$B$39,IF(G1937&lt;18,'General Basis'!$B$40,IF(G1937&lt;26,'General Basis'!$B$41,IF(G1937&lt;31,'General Basis'!$B$42,IF(G1937&lt;36,'General Basis'!$B$43,IF(G1937&lt;41,'General Basis'!$B$44,IF(G1937&lt;46,'General Basis'!$B$45,IF(G1937&lt;51,'General Basis'!$B$46,IF(G1937&lt;56,'General Basis'!$B$47,IF(G1937&lt;60,'General Basis'!$B$48,IF(G1937&lt;65,'General Basis'!$B$49,'General Basis'!$B$50)))))))))))))</f>
        <v/>
      </c>
      <c r="BI1937" s="744" t="str">
        <f t="shared" si="687"/>
        <v/>
      </c>
      <c r="BJ1937" s="747" t="str">
        <f t="shared" si="694"/>
        <v/>
      </c>
      <c r="BK1937" s="498" t="str">
        <f t="shared" si="688"/>
        <v/>
      </c>
      <c r="BL1937" s="498" t="str">
        <f t="shared" si="689"/>
        <v/>
      </c>
    </row>
    <row r="1938" spans="1:64" x14ac:dyDescent="0.25">
      <c r="A1938" s="762">
        <f t="shared" si="690"/>
        <v>1933</v>
      </c>
      <c r="B1938" s="229"/>
      <c r="C1938" s="223"/>
      <c r="D1938" s="224"/>
      <c r="E1938" s="225"/>
      <c r="F1938" s="1036" t="str">
        <f t="shared" si="696"/>
        <v/>
      </c>
      <c r="G1938" s="1037" t="str">
        <f t="shared" si="691"/>
        <v/>
      </c>
      <c r="H1938" s="225"/>
      <c r="I1938" s="1013"/>
      <c r="J1938" s="1013"/>
      <c r="K1938" s="1028"/>
      <c r="L1938" s="1035" t="str">
        <f t="shared" si="695"/>
        <v/>
      </c>
      <c r="S1938" s="498"/>
      <c r="AJ1938" s="498"/>
      <c r="AM1938" s="498">
        <f t="shared" si="676"/>
        <v>0</v>
      </c>
      <c r="AN1938" s="498">
        <f t="shared" si="677"/>
        <v>0</v>
      </c>
      <c r="AO1938" s="498">
        <f t="shared" si="678"/>
        <v>0</v>
      </c>
      <c r="AP1938" s="498">
        <f t="shared" si="675"/>
        <v>0</v>
      </c>
      <c r="AQ1938" s="498">
        <f t="shared" si="692"/>
        <v>0</v>
      </c>
      <c r="AU1938" s="498">
        <f t="shared" si="679"/>
        <v>0</v>
      </c>
      <c r="AV1938" s="498">
        <f t="shared" si="680"/>
        <v>0</v>
      </c>
      <c r="AW1938" s="498">
        <f t="shared" si="681"/>
        <v>0</v>
      </c>
      <c r="AX1938" s="498">
        <f t="shared" si="682"/>
        <v>0</v>
      </c>
      <c r="AY1938" s="498">
        <f t="shared" si="683"/>
        <v>0</v>
      </c>
      <c r="BB1938" s="498" t="str">
        <f t="shared" si="684"/>
        <v/>
      </c>
      <c r="BC1938" s="743" t="str">
        <f t="shared" si="685"/>
        <v/>
      </c>
      <c r="BD1938" s="743" t="str">
        <f t="shared" si="686"/>
        <v/>
      </c>
      <c r="BE1938" s="743" t="str">
        <f>IF(D1938="","",VLOOKUP(D1938,'General Basis'!$J$39:$K$46,2,0))</f>
        <v/>
      </c>
      <c r="BF1938" s="744" t="str">
        <f>IF(D1938="","",VLOOKUP(D1938,'General Basis'!$J$39:$L$46,3,0))</f>
        <v/>
      </c>
      <c r="BG1938" s="744" t="str">
        <f t="shared" si="693"/>
        <v/>
      </c>
      <c r="BH1938" s="744" t="str">
        <f>IF(G1938="","",IF(BF1938="Abu Dhabi",IF(G1938&lt;18,'General Basis'!$C$39,IF(G1938&lt;41,'General Basis'!$C$40,IF(G1938&lt;60,'General Basis'!$C$41,IF(G1938&lt;65,'General Basis'!$C$42,'General Basis'!$C$43)))),IF(G1938&lt;11,'General Basis'!$B$39,IF(G1938&lt;18,'General Basis'!$B$40,IF(G1938&lt;26,'General Basis'!$B$41,IF(G1938&lt;31,'General Basis'!$B$42,IF(G1938&lt;36,'General Basis'!$B$43,IF(G1938&lt;41,'General Basis'!$B$44,IF(G1938&lt;46,'General Basis'!$B$45,IF(G1938&lt;51,'General Basis'!$B$46,IF(G1938&lt;56,'General Basis'!$B$47,IF(G1938&lt;60,'General Basis'!$B$48,IF(G1938&lt;65,'General Basis'!$B$49,'General Basis'!$B$50)))))))))))))</f>
        <v/>
      </c>
      <c r="BI1938" s="744" t="str">
        <f t="shared" si="687"/>
        <v/>
      </c>
      <c r="BJ1938" s="747" t="str">
        <f t="shared" si="694"/>
        <v/>
      </c>
      <c r="BK1938" s="498" t="str">
        <f t="shared" si="688"/>
        <v/>
      </c>
      <c r="BL1938" s="498" t="str">
        <f t="shared" si="689"/>
        <v/>
      </c>
    </row>
    <row r="1939" spans="1:64" x14ac:dyDescent="0.25">
      <c r="A1939" s="762">
        <f t="shared" si="690"/>
        <v>1934</v>
      </c>
      <c r="B1939" s="229"/>
      <c r="C1939" s="223"/>
      <c r="D1939" s="224"/>
      <c r="E1939" s="225"/>
      <c r="F1939" s="1036" t="str">
        <f t="shared" si="696"/>
        <v/>
      </c>
      <c r="G1939" s="1037" t="str">
        <f t="shared" si="691"/>
        <v/>
      </c>
      <c r="H1939" s="225"/>
      <c r="I1939" s="1013"/>
      <c r="J1939" s="1013"/>
      <c r="K1939" s="1028"/>
      <c r="L1939" s="1035" t="str">
        <f t="shared" si="695"/>
        <v/>
      </c>
      <c r="S1939" s="498"/>
      <c r="AJ1939" s="498"/>
      <c r="AM1939" s="498">
        <f t="shared" si="676"/>
        <v>0</v>
      </c>
      <c r="AN1939" s="498">
        <f t="shared" si="677"/>
        <v>0</v>
      </c>
      <c r="AO1939" s="498">
        <f t="shared" si="678"/>
        <v>0</v>
      </c>
      <c r="AP1939" s="498">
        <f t="shared" ref="AP1939:AP2002" si="697">IF(ISBLANK($B1939),0,IF(OR($C1939="M",$C1939="F"),0,1))</f>
        <v>0</v>
      </c>
      <c r="AQ1939" s="498">
        <f t="shared" si="692"/>
        <v>0</v>
      </c>
      <c r="AU1939" s="498">
        <f t="shared" si="679"/>
        <v>0</v>
      </c>
      <c r="AV1939" s="498">
        <f t="shared" si="680"/>
        <v>0</v>
      </c>
      <c r="AW1939" s="498">
        <f t="shared" si="681"/>
        <v>0</v>
      </c>
      <c r="AX1939" s="498">
        <f t="shared" si="682"/>
        <v>0</v>
      </c>
      <c r="AY1939" s="498">
        <f t="shared" si="683"/>
        <v>0</v>
      </c>
      <c r="BB1939" s="498" t="str">
        <f t="shared" si="684"/>
        <v/>
      </c>
      <c r="BC1939" s="743" t="str">
        <f t="shared" si="685"/>
        <v/>
      </c>
      <c r="BD1939" s="743" t="str">
        <f t="shared" si="686"/>
        <v/>
      </c>
      <c r="BE1939" s="743" t="str">
        <f>IF(D1939="","",VLOOKUP(D1939,'General Basis'!$J$39:$K$46,2,0))</f>
        <v/>
      </c>
      <c r="BF1939" s="744" t="str">
        <f>IF(D1939="","",VLOOKUP(D1939,'General Basis'!$J$39:$L$46,3,0))</f>
        <v/>
      </c>
      <c r="BG1939" s="744" t="str">
        <f t="shared" si="693"/>
        <v/>
      </c>
      <c r="BH1939" s="744" t="str">
        <f>IF(G1939="","",IF(BF1939="Abu Dhabi",IF(G1939&lt;18,'General Basis'!$C$39,IF(G1939&lt;41,'General Basis'!$C$40,IF(G1939&lt;60,'General Basis'!$C$41,IF(G1939&lt;65,'General Basis'!$C$42,'General Basis'!$C$43)))),IF(G1939&lt;11,'General Basis'!$B$39,IF(G1939&lt;18,'General Basis'!$B$40,IF(G1939&lt;26,'General Basis'!$B$41,IF(G1939&lt;31,'General Basis'!$B$42,IF(G1939&lt;36,'General Basis'!$B$43,IF(G1939&lt;41,'General Basis'!$B$44,IF(G1939&lt;46,'General Basis'!$B$45,IF(G1939&lt;51,'General Basis'!$B$46,IF(G1939&lt;56,'General Basis'!$B$47,IF(G1939&lt;60,'General Basis'!$B$48,IF(G1939&lt;65,'General Basis'!$B$49,'General Basis'!$B$50)))))))))))))</f>
        <v/>
      </c>
      <c r="BI1939" s="744" t="str">
        <f t="shared" si="687"/>
        <v/>
      </c>
      <c r="BJ1939" s="747" t="str">
        <f t="shared" si="694"/>
        <v/>
      </c>
      <c r="BK1939" s="498" t="str">
        <f t="shared" si="688"/>
        <v/>
      </c>
      <c r="BL1939" s="498" t="str">
        <f t="shared" si="689"/>
        <v/>
      </c>
    </row>
    <row r="1940" spans="1:64" x14ac:dyDescent="0.25">
      <c r="A1940" s="762">
        <f t="shared" si="690"/>
        <v>1935</v>
      </c>
      <c r="B1940" s="229"/>
      <c r="C1940" s="223"/>
      <c r="D1940" s="224"/>
      <c r="E1940" s="225"/>
      <c r="F1940" s="1036" t="str">
        <f t="shared" si="696"/>
        <v/>
      </c>
      <c r="G1940" s="1037" t="str">
        <f t="shared" si="691"/>
        <v/>
      </c>
      <c r="H1940" s="225"/>
      <c r="I1940" s="1013"/>
      <c r="J1940" s="1013"/>
      <c r="K1940" s="1028"/>
      <c r="L1940" s="1035" t="str">
        <f t="shared" si="695"/>
        <v/>
      </c>
      <c r="S1940" s="498"/>
      <c r="AJ1940" s="498"/>
      <c r="AM1940" s="498">
        <f t="shared" si="676"/>
        <v>0</v>
      </c>
      <c r="AN1940" s="498">
        <f t="shared" si="677"/>
        <v>0</v>
      </c>
      <c r="AO1940" s="498">
        <f t="shared" si="678"/>
        <v>0</v>
      </c>
      <c r="AP1940" s="498">
        <f t="shared" si="697"/>
        <v>0</v>
      </c>
      <c r="AQ1940" s="498">
        <f t="shared" si="692"/>
        <v>0</v>
      </c>
      <c r="AU1940" s="498">
        <f t="shared" si="679"/>
        <v>0</v>
      </c>
      <c r="AV1940" s="498">
        <f t="shared" si="680"/>
        <v>0</v>
      </c>
      <c r="AW1940" s="498">
        <f t="shared" si="681"/>
        <v>0</v>
      </c>
      <c r="AX1940" s="498">
        <f t="shared" si="682"/>
        <v>0</v>
      </c>
      <c r="AY1940" s="498">
        <f t="shared" si="683"/>
        <v>0</v>
      </c>
      <c r="BB1940" s="498" t="str">
        <f t="shared" si="684"/>
        <v/>
      </c>
      <c r="BC1940" s="743" t="str">
        <f t="shared" si="685"/>
        <v/>
      </c>
      <c r="BD1940" s="743" t="str">
        <f t="shared" si="686"/>
        <v/>
      </c>
      <c r="BE1940" s="743" t="str">
        <f>IF(D1940="","",VLOOKUP(D1940,'General Basis'!$J$39:$K$46,2,0))</f>
        <v/>
      </c>
      <c r="BF1940" s="744" t="str">
        <f>IF(D1940="","",VLOOKUP(D1940,'General Basis'!$J$39:$L$46,3,0))</f>
        <v/>
      </c>
      <c r="BG1940" s="744" t="str">
        <f t="shared" si="693"/>
        <v/>
      </c>
      <c r="BH1940" s="744" t="str">
        <f>IF(G1940="","",IF(BF1940="Abu Dhabi",IF(G1940&lt;18,'General Basis'!$C$39,IF(G1940&lt;41,'General Basis'!$C$40,IF(G1940&lt;60,'General Basis'!$C$41,IF(G1940&lt;65,'General Basis'!$C$42,'General Basis'!$C$43)))),IF(G1940&lt;11,'General Basis'!$B$39,IF(G1940&lt;18,'General Basis'!$B$40,IF(G1940&lt;26,'General Basis'!$B$41,IF(G1940&lt;31,'General Basis'!$B$42,IF(G1940&lt;36,'General Basis'!$B$43,IF(G1940&lt;41,'General Basis'!$B$44,IF(G1940&lt;46,'General Basis'!$B$45,IF(G1940&lt;51,'General Basis'!$B$46,IF(G1940&lt;56,'General Basis'!$B$47,IF(G1940&lt;60,'General Basis'!$B$48,IF(G1940&lt;65,'General Basis'!$B$49,'General Basis'!$B$50)))))))))))))</f>
        <v/>
      </c>
      <c r="BI1940" s="744" t="str">
        <f t="shared" si="687"/>
        <v/>
      </c>
      <c r="BJ1940" s="747" t="str">
        <f t="shared" si="694"/>
        <v/>
      </c>
      <c r="BK1940" s="498" t="str">
        <f t="shared" si="688"/>
        <v/>
      </c>
      <c r="BL1940" s="498" t="str">
        <f t="shared" si="689"/>
        <v/>
      </c>
    </row>
    <row r="1941" spans="1:64" x14ac:dyDescent="0.25">
      <c r="A1941" s="762">
        <f t="shared" si="690"/>
        <v>1936</v>
      </c>
      <c r="B1941" s="229"/>
      <c r="C1941" s="223"/>
      <c r="D1941" s="224"/>
      <c r="E1941" s="225"/>
      <c r="F1941" s="1036" t="str">
        <f t="shared" si="696"/>
        <v/>
      </c>
      <c r="G1941" s="1037" t="str">
        <f t="shared" si="691"/>
        <v/>
      </c>
      <c r="H1941" s="225"/>
      <c r="I1941" s="1013"/>
      <c r="J1941" s="1013"/>
      <c r="K1941" s="1028"/>
      <c r="L1941" s="1035" t="str">
        <f t="shared" si="695"/>
        <v/>
      </c>
      <c r="S1941" s="498"/>
      <c r="AJ1941" s="498"/>
      <c r="AM1941" s="498">
        <f t="shared" si="676"/>
        <v>0</v>
      </c>
      <c r="AN1941" s="498">
        <f t="shared" si="677"/>
        <v>0</v>
      </c>
      <c r="AO1941" s="498">
        <f t="shared" si="678"/>
        <v>0</v>
      </c>
      <c r="AP1941" s="498">
        <f t="shared" si="697"/>
        <v>0</v>
      </c>
      <c r="AQ1941" s="498">
        <f t="shared" si="692"/>
        <v>0</v>
      </c>
      <c r="AU1941" s="498">
        <f t="shared" si="679"/>
        <v>0</v>
      </c>
      <c r="AV1941" s="498">
        <f t="shared" si="680"/>
        <v>0</v>
      </c>
      <c r="AW1941" s="498">
        <f t="shared" si="681"/>
        <v>0</v>
      </c>
      <c r="AX1941" s="498">
        <f t="shared" si="682"/>
        <v>0</v>
      </c>
      <c r="AY1941" s="498">
        <f t="shared" si="683"/>
        <v>0</v>
      </c>
      <c r="BB1941" s="498" t="str">
        <f t="shared" si="684"/>
        <v/>
      </c>
      <c r="BC1941" s="743" t="str">
        <f t="shared" si="685"/>
        <v/>
      </c>
      <c r="BD1941" s="743" t="str">
        <f t="shared" si="686"/>
        <v/>
      </c>
      <c r="BE1941" s="743" t="str">
        <f>IF(D1941="","",VLOOKUP(D1941,'General Basis'!$J$39:$K$46,2,0))</f>
        <v/>
      </c>
      <c r="BF1941" s="744" t="str">
        <f>IF(D1941="","",VLOOKUP(D1941,'General Basis'!$J$39:$L$46,3,0))</f>
        <v/>
      </c>
      <c r="BG1941" s="744" t="str">
        <f t="shared" si="693"/>
        <v/>
      </c>
      <c r="BH1941" s="744" t="str">
        <f>IF(G1941="","",IF(BF1941="Abu Dhabi",IF(G1941&lt;18,'General Basis'!$C$39,IF(G1941&lt;41,'General Basis'!$C$40,IF(G1941&lt;60,'General Basis'!$C$41,IF(G1941&lt;65,'General Basis'!$C$42,'General Basis'!$C$43)))),IF(G1941&lt;11,'General Basis'!$B$39,IF(G1941&lt;18,'General Basis'!$B$40,IF(G1941&lt;26,'General Basis'!$B$41,IF(G1941&lt;31,'General Basis'!$B$42,IF(G1941&lt;36,'General Basis'!$B$43,IF(G1941&lt;41,'General Basis'!$B$44,IF(G1941&lt;46,'General Basis'!$B$45,IF(G1941&lt;51,'General Basis'!$B$46,IF(G1941&lt;56,'General Basis'!$B$47,IF(G1941&lt;60,'General Basis'!$B$48,IF(G1941&lt;65,'General Basis'!$B$49,'General Basis'!$B$50)))))))))))))</f>
        <v/>
      </c>
      <c r="BI1941" s="744" t="str">
        <f t="shared" si="687"/>
        <v/>
      </c>
      <c r="BJ1941" s="747" t="str">
        <f t="shared" si="694"/>
        <v/>
      </c>
      <c r="BK1941" s="498" t="str">
        <f t="shared" si="688"/>
        <v/>
      </c>
      <c r="BL1941" s="498" t="str">
        <f t="shared" si="689"/>
        <v/>
      </c>
    </row>
    <row r="1942" spans="1:64" x14ac:dyDescent="0.25">
      <c r="A1942" s="762">
        <f t="shared" si="690"/>
        <v>1937</v>
      </c>
      <c r="B1942" s="229"/>
      <c r="C1942" s="223"/>
      <c r="D1942" s="224"/>
      <c r="E1942" s="225"/>
      <c r="F1942" s="1036" t="str">
        <f t="shared" si="696"/>
        <v/>
      </c>
      <c r="G1942" s="1037" t="str">
        <f t="shared" si="691"/>
        <v/>
      </c>
      <c r="H1942" s="225"/>
      <c r="I1942" s="1013"/>
      <c r="J1942" s="1013"/>
      <c r="K1942" s="1028"/>
      <c r="L1942" s="1035" t="str">
        <f t="shared" si="695"/>
        <v/>
      </c>
      <c r="S1942" s="498"/>
      <c r="AJ1942" s="498"/>
      <c r="AM1942" s="498">
        <f t="shared" si="676"/>
        <v>0</v>
      </c>
      <c r="AN1942" s="498">
        <f t="shared" si="677"/>
        <v>0</v>
      </c>
      <c r="AO1942" s="498">
        <f t="shared" si="678"/>
        <v>0</v>
      </c>
      <c r="AP1942" s="498">
        <f t="shared" si="697"/>
        <v>0</v>
      </c>
      <c r="AQ1942" s="498">
        <f t="shared" si="692"/>
        <v>0</v>
      </c>
      <c r="AU1942" s="498">
        <f t="shared" si="679"/>
        <v>0</v>
      </c>
      <c r="AV1942" s="498">
        <f t="shared" si="680"/>
        <v>0</v>
      </c>
      <c r="AW1942" s="498">
        <f t="shared" si="681"/>
        <v>0</v>
      </c>
      <c r="AX1942" s="498">
        <f t="shared" si="682"/>
        <v>0</v>
      </c>
      <c r="AY1942" s="498">
        <f t="shared" si="683"/>
        <v>0</v>
      </c>
      <c r="BB1942" s="498" t="str">
        <f t="shared" si="684"/>
        <v/>
      </c>
      <c r="BC1942" s="743" t="str">
        <f t="shared" si="685"/>
        <v/>
      </c>
      <c r="BD1942" s="743" t="str">
        <f t="shared" si="686"/>
        <v/>
      </c>
      <c r="BE1942" s="743" t="str">
        <f>IF(D1942="","",VLOOKUP(D1942,'General Basis'!$J$39:$K$46,2,0))</f>
        <v/>
      </c>
      <c r="BF1942" s="744" t="str">
        <f>IF(D1942="","",VLOOKUP(D1942,'General Basis'!$J$39:$L$46,3,0))</f>
        <v/>
      </c>
      <c r="BG1942" s="744" t="str">
        <f t="shared" si="693"/>
        <v/>
      </c>
      <c r="BH1942" s="744" t="str">
        <f>IF(G1942="","",IF(BF1942="Abu Dhabi",IF(G1942&lt;18,'General Basis'!$C$39,IF(G1942&lt;41,'General Basis'!$C$40,IF(G1942&lt;60,'General Basis'!$C$41,IF(G1942&lt;65,'General Basis'!$C$42,'General Basis'!$C$43)))),IF(G1942&lt;11,'General Basis'!$B$39,IF(G1942&lt;18,'General Basis'!$B$40,IF(G1942&lt;26,'General Basis'!$B$41,IF(G1942&lt;31,'General Basis'!$B$42,IF(G1942&lt;36,'General Basis'!$B$43,IF(G1942&lt;41,'General Basis'!$B$44,IF(G1942&lt;46,'General Basis'!$B$45,IF(G1942&lt;51,'General Basis'!$B$46,IF(G1942&lt;56,'General Basis'!$B$47,IF(G1942&lt;60,'General Basis'!$B$48,IF(G1942&lt;65,'General Basis'!$B$49,'General Basis'!$B$50)))))))))))))</f>
        <v/>
      </c>
      <c r="BI1942" s="744" t="str">
        <f t="shared" si="687"/>
        <v/>
      </c>
      <c r="BJ1942" s="747" t="str">
        <f t="shared" si="694"/>
        <v/>
      </c>
      <c r="BK1942" s="498" t="str">
        <f t="shared" si="688"/>
        <v/>
      </c>
      <c r="BL1942" s="498" t="str">
        <f t="shared" si="689"/>
        <v/>
      </c>
    </row>
    <row r="1943" spans="1:64" x14ac:dyDescent="0.25">
      <c r="A1943" s="762">
        <f t="shared" si="690"/>
        <v>1938</v>
      </c>
      <c r="B1943" s="229"/>
      <c r="C1943" s="223"/>
      <c r="D1943" s="224"/>
      <c r="E1943" s="225"/>
      <c r="F1943" s="1036" t="str">
        <f t="shared" si="696"/>
        <v/>
      </c>
      <c r="G1943" s="1037" t="str">
        <f t="shared" si="691"/>
        <v/>
      </c>
      <c r="H1943" s="225"/>
      <c r="I1943" s="1013"/>
      <c r="J1943" s="1013"/>
      <c r="K1943" s="1028"/>
      <c r="L1943" s="1035" t="str">
        <f t="shared" si="695"/>
        <v/>
      </c>
      <c r="S1943" s="498"/>
      <c r="AJ1943" s="498"/>
      <c r="AM1943" s="498">
        <f t="shared" si="676"/>
        <v>0</v>
      </c>
      <c r="AN1943" s="498">
        <f t="shared" si="677"/>
        <v>0</v>
      </c>
      <c r="AO1943" s="498">
        <f t="shared" si="678"/>
        <v>0</v>
      </c>
      <c r="AP1943" s="498">
        <f t="shared" si="697"/>
        <v>0</v>
      </c>
      <c r="AQ1943" s="498">
        <f t="shared" si="692"/>
        <v>0</v>
      </c>
      <c r="AU1943" s="498">
        <f t="shared" si="679"/>
        <v>0</v>
      </c>
      <c r="AV1943" s="498">
        <f t="shared" si="680"/>
        <v>0</v>
      </c>
      <c r="AW1943" s="498">
        <f t="shared" si="681"/>
        <v>0</v>
      </c>
      <c r="AX1943" s="498">
        <f t="shared" si="682"/>
        <v>0</v>
      </c>
      <c r="AY1943" s="498">
        <f t="shared" si="683"/>
        <v>0</v>
      </c>
      <c r="BB1943" s="498" t="str">
        <f t="shared" si="684"/>
        <v/>
      </c>
      <c r="BC1943" s="743" t="str">
        <f t="shared" si="685"/>
        <v/>
      </c>
      <c r="BD1943" s="743" t="str">
        <f t="shared" si="686"/>
        <v/>
      </c>
      <c r="BE1943" s="743" t="str">
        <f>IF(D1943="","",VLOOKUP(D1943,'General Basis'!$J$39:$K$46,2,0))</f>
        <v/>
      </c>
      <c r="BF1943" s="744" t="str">
        <f>IF(D1943="","",VLOOKUP(D1943,'General Basis'!$J$39:$L$46,3,0))</f>
        <v/>
      </c>
      <c r="BG1943" s="744" t="str">
        <f t="shared" si="693"/>
        <v/>
      </c>
      <c r="BH1943" s="744" t="str">
        <f>IF(G1943="","",IF(BF1943="Abu Dhabi",IF(G1943&lt;18,'General Basis'!$C$39,IF(G1943&lt;41,'General Basis'!$C$40,IF(G1943&lt;60,'General Basis'!$C$41,IF(G1943&lt;65,'General Basis'!$C$42,'General Basis'!$C$43)))),IF(G1943&lt;11,'General Basis'!$B$39,IF(G1943&lt;18,'General Basis'!$B$40,IF(G1943&lt;26,'General Basis'!$B$41,IF(G1943&lt;31,'General Basis'!$B$42,IF(G1943&lt;36,'General Basis'!$B$43,IF(G1943&lt;41,'General Basis'!$B$44,IF(G1943&lt;46,'General Basis'!$B$45,IF(G1943&lt;51,'General Basis'!$B$46,IF(G1943&lt;56,'General Basis'!$B$47,IF(G1943&lt;60,'General Basis'!$B$48,IF(G1943&lt;65,'General Basis'!$B$49,'General Basis'!$B$50)))))))))))))</f>
        <v/>
      </c>
      <c r="BI1943" s="744" t="str">
        <f t="shared" si="687"/>
        <v/>
      </c>
      <c r="BJ1943" s="747" t="str">
        <f t="shared" si="694"/>
        <v/>
      </c>
      <c r="BK1943" s="498" t="str">
        <f t="shared" si="688"/>
        <v/>
      </c>
      <c r="BL1943" s="498" t="str">
        <f t="shared" si="689"/>
        <v/>
      </c>
    </row>
    <row r="1944" spans="1:64" x14ac:dyDescent="0.25">
      <c r="A1944" s="762">
        <f t="shared" si="690"/>
        <v>1939</v>
      </c>
      <c r="B1944" s="229"/>
      <c r="C1944" s="223"/>
      <c r="D1944" s="224"/>
      <c r="E1944" s="225"/>
      <c r="F1944" s="1036" t="str">
        <f t="shared" si="696"/>
        <v/>
      </c>
      <c r="G1944" s="1037" t="str">
        <f t="shared" si="691"/>
        <v/>
      </c>
      <c r="H1944" s="225"/>
      <c r="I1944" s="1013"/>
      <c r="J1944" s="1013"/>
      <c r="K1944" s="1028"/>
      <c r="L1944" s="1035" t="str">
        <f t="shared" si="695"/>
        <v/>
      </c>
      <c r="S1944" s="498"/>
      <c r="AJ1944" s="498"/>
      <c r="AM1944" s="498">
        <f t="shared" si="676"/>
        <v>0</v>
      </c>
      <c r="AN1944" s="498">
        <f t="shared" si="677"/>
        <v>0</v>
      </c>
      <c r="AO1944" s="498">
        <f t="shared" si="678"/>
        <v>0</v>
      </c>
      <c r="AP1944" s="498">
        <f t="shared" si="697"/>
        <v>0</v>
      </c>
      <c r="AQ1944" s="498">
        <f t="shared" si="692"/>
        <v>0</v>
      </c>
      <c r="AU1944" s="498">
        <f t="shared" si="679"/>
        <v>0</v>
      </c>
      <c r="AV1944" s="498">
        <f t="shared" si="680"/>
        <v>0</v>
      </c>
      <c r="AW1944" s="498">
        <f t="shared" si="681"/>
        <v>0</v>
      </c>
      <c r="AX1944" s="498">
        <f t="shared" si="682"/>
        <v>0</v>
      </c>
      <c r="AY1944" s="498">
        <f t="shared" si="683"/>
        <v>0</v>
      </c>
      <c r="BB1944" s="498" t="str">
        <f t="shared" si="684"/>
        <v/>
      </c>
      <c r="BC1944" s="743" t="str">
        <f t="shared" si="685"/>
        <v/>
      </c>
      <c r="BD1944" s="743" t="str">
        <f t="shared" si="686"/>
        <v/>
      </c>
      <c r="BE1944" s="743" t="str">
        <f>IF(D1944="","",VLOOKUP(D1944,'General Basis'!$J$39:$K$46,2,0))</f>
        <v/>
      </c>
      <c r="BF1944" s="744" t="str">
        <f>IF(D1944="","",VLOOKUP(D1944,'General Basis'!$J$39:$L$46,3,0))</f>
        <v/>
      </c>
      <c r="BG1944" s="744" t="str">
        <f t="shared" si="693"/>
        <v/>
      </c>
      <c r="BH1944" s="744" t="str">
        <f>IF(G1944="","",IF(BF1944="Abu Dhabi",IF(G1944&lt;18,'General Basis'!$C$39,IF(G1944&lt;41,'General Basis'!$C$40,IF(G1944&lt;60,'General Basis'!$C$41,IF(G1944&lt;65,'General Basis'!$C$42,'General Basis'!$C$43)))),IF(G1944&lt;11,'General Basis'!$B$39,IF(G1944&lt;18,'General Basis'!$B$40,IF(G1944&lt;26,'General Basis'!$B$41,IF(G1944&lt;31,'General Basis'!$B$42,IF(G1944&lt;36,'General Basis'!$B$43,IF(G1944&lt;41,'General Basis'!$B$44,IF(G1944&lt;46,'General Basis'!$B$45,IF(G1944&lt;51,'General Basis'!$B$46,IF(G1944&lt;56,'General Basis'!$B$47,IF(G1944&lt;60,'General Basis'!$B$48,IF(G1944&lt;65,'General Basis'!$B$49,'General Basis'!$B$50)))))))))))))</f>
        <v/>
      </c>
      <c r="BI1944" s="744" t="str">
        <f t="shared" si="687"/>
        <v/>
      </c>
      <c r="BJ1944" s="747" t="str">
        <f t="shared" si="694"/>
        <v/>
      </c>
      <c r="BK1944" s="498" t="str">
        <f t="shared" si="688"/>
        <v/>
      </c>
      <c r="BL1944" s="498" t="str">
        <f t="shared" si="689"/>
        <v/>
      </c>
    </row>
    <row r="1945" spans="1:64" x14ac:dyDescent="0.25">
      <c r="A1945" s="762">
        <f t="shared" si="690"/>
        <v>1940</v>
      </c>
      <c r="B1945" s="229"/>
      <c r="C1945" s="223"/>
      <c r="D1945" s="224"/>
      <c r="E1945" s="225"/>
      <c r="F1945" s="1036" t="str">
        <f t="shared" si="696"/>
        <v/>
      </c>
      <c r="G1945" s="1037" t="str">
        <f t="shared" si="691"/>
        <v/>
      </c>
      <c r="H1945" s="225"/>
      <c r="I1945" s="1013"/>
      <c r="J1945" s="1013"/>
      <c r="K1945" s="1028"/>
      <c r="L1945" s="1035" t="str">
        <f t="shared" si="695"/>
        <v/>
      </c>
      <c r="S1945" s="498"/>
      <c r="AJ1945" s="498"/>
      <c r="AM1945" s="498">
        <f t="shared" si="676"/>
        <v>0</v>
      </c>
      <c r="AN1945" s="498">
        <f t="shared" si="677"/>
        <v>0</v>
      </c>
      <c r="AO1945" s="498">
        <f t="shared" si="678"/>
        <v>0</v>
      </c>
      <c r="AP1945" s="498">
        <f t="shared" si="697"/>
        <v>0</v>
      </c>
      <c r="AQ1945" s="498">
        <f t="shared" si="692"/>
        <v>0</v>
      </c>
      <c r="AU1945" s="498">
        <f t="shared" si="679"/>
        <v>0</v>
      </c>
      <c r="AV1945" s="498">
        <f t="shared" si="680"/>
        <v>0</v>
      </c>
      <c r="AW1945" s="498">
        <f t="shared" si="681"/>
        <v>0</v>
      </c>
      <c r="AX1945" s="498">
        <f t="shared" si="682"/>
        <v>0</v>
      </c>
      <c r="AY1945" s="498">
        <f t="shared" si="683"/>
        <v>0</v>
      </c>
      <c r="BB1945" s="498" t="str">
        <f t="shared" si="684"/>
        <v/>
      </c>
      <c r="BC1945" s="743" t="str">
        <f t="shared" si="685"/>
        <v/>
      </c>
      <c r="BD1945" s="743" t="str">
        <f t="shared" si="686"/>
        <v/>
      </c>
      <c r="BE1945" s="743" t="str">
        <f>IF(D1945="","",VLOOKUP(D1945,'General Basis'!$J$39:$K$46,2,0))</f>
        <v/>
      </c>
      <c r="BF1945" s="744" t="str">
        <f>IF(D1945="","",VLOOKUP(D1945,'General Basis'!$J$39:$L$46,3,0))</f>
        <v/>
      </c>
      <c r="BG1945" s="744" t="str">
        <f t="shared" si="693"/>
        <v/>
      </c>
      <c r="BH1945" s="744" t="str">
        <f>IF(G1945="","",IF(BF1945="Abu Dhabi",IF(G1945&lt;18,'General Basis'!$C$39,IF(G1945&lt;41,'General Basis'!$C$40,IF(G1945&lt;60,'General Basis'!$C$41,IF(G1945&lt;65,'General Basis'!$C$42,'General Basis'!$C$43)))),IF(G1945&lt;11,'General Basis'!$B$39,IF(G1945&lt;18,'General Basis'!$B$40,IF(G1945&lt;26,'General Basis'!$B$41,IF(G1945&lt;31,'General Basis'!$B$42,IF(G1945&lt;36,'General Basis'!$B$43,IF(G1945&lt;41,'General Basis'!$B$44,IF(G1945&lt;46,'General Basis'!$B$45,IF(G1945&lt;51,'General Basis'!$B$46,IF(G1945&lt;56,'General Basis'!$B$47,IF(G1945&lt;60,'General Basis'!$B$48,IF(G1945&lt;65,'General Basis'!$B$49,'General Basis'!$B$50)))))))))))))</f>
        <v/>
      </c>
      <c r="BI1945" s="744" t="str">
        <f t="shared" si="687"/>
        <v/>
      </c>
      <c r="BJ1945" s="747" t="str">
        <f t="shared" si="694"/>
        <v/>
      </c>
      <c r="BK1945" s="498" t="str">
        <f t="shared" si="688"/>
        <v/>
      </c>
      <c r="BL1945" s="498" t="str">
        <f t="shared" si="689"/>
        <v/>
      </c>
    </row>
    <row r="1946" spans="1:64" x14ac:dyDescent="0.25">
      <c r="A1946" s="762">
        <f t="shared" si="690"/>
        <v>1941</v>
      </c>
      <c r="B1946" s="229"/>
      <c r="C1946" s="223"/>
      <c r="D1946" s="224"/>
      <c r="E1946" s="225"/>
      <c r="F1946" s="1036" t="str">
        <f t="shared" si="696"/>
        <v/>
      </c>
      <c r="G1946" s="1037" t="str">
        <f t="shared" si="691"/>
        <v/>
      </c>
      <c r="H1946" s="225"/>
      <c r="I1946" s="1013"/>
      <c r="J1946" s="1013"/>
      <c r="K1946" s="1028"/>
      <c r="L1946" s="1035" t="str">
        <f t="shared" si="695"/>
        <v/>
      </c>
      <c r="S1946" s="498"/>
      <c r="AJ1946" s="498"/>
      <c r="AM1946" s="498">
        <f t="shared" si="676"/>
        <v>0</v>
      </c>
      <c r="AN1946" s="498">
        <f t="shared" si="677"/>
        <v>0</v>
      </c>
      <c r="AO1946" s="498">
        <f t="shared" si="678"/>
        <v>0</v>
      </c>
      <c r="AP1946" s="498">
        <f t="shared" si="697"/>
        <v>0</v>
      </c>
      <c r="AQ1946" s="498">
        <f t="shared" si="692"/>
        <v>0</v>
      </c>
      <c r="AU1946" s="498">
        <f t="shared" si="679"/>
        <v>0</v>
      </c>
      <c r="AV1946" s="498">
        <f t="shared" si="680"/>
        <v>0</v>
      </c>
      <c r="AW1946" s="498">
        <f t="shared" si="681"/>
        <v>0</v>
      </c>
      <c r="AX1946" s="498">
        <f t="shared" si="682"/>
        <v>0</v>
      </c>
      <c r="AY1946" s="498">
        <f t="shared" si="683"/>
        <v>0</v>
      </c>
      <c r="BB1946" s="498" t="str">
        <f t="shared" si="684"/>
        <v/>
      </c>
      <c r="BC1946" s="743" t="str">
        <f t="shared" si="685"/>
        <v/>
      </c>
      <c r="BD1946" s="743" t="str">
        <f t="shared" si="686"/>
        <v/>
      </c>
      <c r="BE1946" s="743" t="str">
        <f>IF(D1946="","",VLOOKUP(D1946,'General Basis'!$J$39:$K$46,2,0))</f>
        <v/>
      </c>
      <c r="BF1946" s="744" t="str">
        <f>IF(D1946="","",VLOOKUP(D1946,'General Basis'!$J$39:$L$46,3,0))</f>
        <v/>
      </c>
      <c r="BG1946" s="744" t="str">
        <f t="shared" si="693"/>
        <v/>
      </c>
      <c r="BH1946" s="744" t="str">
        <f>IF(G1946="","",IF(BF1946="Abu Dhabi",IF(G1946&lt;18,'General Basis'!$C$39,IF(G1946&lt;41,'General Basis'!$C$40,IF(G1946&lt;60,'General Basis'!$C$41,IF(G1946&lt;65,'General Basis'!$C$42,'General Basis'!$C$43)))),IF(G1946&lt;11,'General Basis'!$B$39,IF(G1946&lt;18,'General Basis'!$B$40,IF(G1946&lt;26,'General Basis'!$B$41,IF(G1946&lt;31,'General Basis'!$B$42,IF(G1946&lt;36,'General Basis'!$B$43,IF(G1946&lt;41,'General Basis'!$B$44,IF(G1946&lt;46,'General Basis'!$B$45,IF(G1946&lt;51,'General Basis'!$B$46,IF(G1946&lt;56,'General Basis'!$B$47,IF(G1946&lt;60,'General Basis'!$B$48,IF(G1946&lt;65,'General Basis'!$B$49,'General Basis'!$B$50)))))))))))))</f>
        <v/>
      </c>
      <c r="BI1946" s="744" t="str">
        <f t="shared" si="687"/>
        <v/>
      </c>
      <c r="BJ1946" s="747" t="str">
        <f t="shared" si="694"/>
        <v/>
      </c>
      <c r="BK1946" s="498" t="str">
        <f t="shared" si="688"/>
        <v/>
      </c>
      <c r="BL1946" s="498" t="str">
        <f t="shared" si="689"/>
        <v/>
      </c>
    </row>
    <row r="1947" spans="1:64" x14ac:dyDescent="0.25">
      <c r="A1947" s="762">
        <f t="shared" si="690"/>
        <v>1942</v>
      </c>
      <c r="B1947" s="229"/>
      <c r="C1947" s="223"/>
      <c r="D1947" s="224"/>
      <c r="E1947" s="225"/>
      <c r="F1947" s="1036" t="str">
        <f t="shared" si="696"/>
        <v/>
      </c>
      <c r="G1947" s="1037" t="str">
        <f t="shared" si="691"/>
        <v/>
      </c>
      <c r="H1947" s="225"/>
      <c r="I1947" s="1013"/>
      <c r="J1947" s="1013"/>
      <c r="K1947" s="1028"/>
      <c r="L1947" s="1035" t="str">
        <f t="shared" si="695"/>
        <v/>
      </c>
      <c r="S1947" s="498"/>
      <c r="AJ1947" s="498"/>
      <c r="AM1947" s="498">
        <f t="shared" si="676"/>
        <v>0</v>
      </c>
      <c r="AN1947" s="498">
        <f t="shared" si="677"/>
        <v>0</v>
      </c>
      <c r="AO1947" s="498">
        <f t="shared" si="678"/>
        <v>0</v>
      </c>
      <c r="AP1947" s="498">
        <f t="shared" si="697"/>
        <v>0</v>
      </c>
      <c r="AQ1947" s="498">
        <f t="shared" si="692"/>
        <v>0</v>
      </c>
      <c r="AU1947" s="498">
        <f t="shared" si="679"/>
        <v>0</v>
      </c>
      <c r="AV1947" s="498">
        <f t="shared" si="680"/>
        <v>0</v>
      </c>
      <c r="AW1947" s="498">
        <f t="shared" si="681"/>
        <v>0</v>
      </c>
      <c r="AX1947" s="498">
        <f t="shared" si="682"/>
        <v>0</v>
      </c>
      <c r="AY1947" s="498">
        <f t="shared" si="683"/>
        <v>0</v>
      </c>
      <c r="BB1947" s="498" t="str">
        <f t="shared" si="684"/>
        <v/>
      </c>
      <c r="BC1947" s="743" t="str">
        <f t="shared" si="685"/>
        <v/>
      </c>
      <c r="BD1947" s="743" t="str">
        <f t="shared" si="686"/>
        <v/>
      </c>
      <c r="BE1947" s="743" t="str">
        <f>IF(D1947="","",VLOOKUP(D1947,'General Basis'!$J$39:$K$46,2,0))</f>
        <v/>
      </c>
      <c r="BF1947" s="744" t="str">
        <f>IF(D1947="","",VLOOKUP(D1947,'General Basis'!$J$39:$L$46,3,0))</f>
        <v/>
      </c>
      <c r="BG1947" s="744" t="str">
        <f t="shared" si="693"/>
        <v/>
      </c>
      <c r="BH1947" s="744" t="str">
        <f>IF(G1947="","",IF(BF1947="Abu Dhabi",IF(G1947&lt;18,'General Basis'!$C$39,IF(G1947&lt;41,'General Basis'!$C$40,IF(G1947&lt;60,'General Basis'!$C$41,IF(G1947&lt;65,'General Basis'!$C$42,'General Basis'!$C$43)))),IF(G1947&lt;11,'General Basis'!$B$39,IF(G1947&lt;18,'General Basis'!$B$40,IF(G1947&lt;26,'General Basis'!$B$41,IF(G1947&lt;31,'General Basis'!$B$42,IF(G1947&lt;36,'General Basis'!$B$43,IF(G1947&lt;41,'General Basis'!$B$44,IF(G1947&lt;46,'General Basis'!$B$45,IF(G1947&lt;51,'General Basis'!$B$46,IF(G1947&lt;56,'General Basis'!$B$47,IF(G1947&lt;60,'General Basis'!$B$48,IF(G1947&lt;65,'General Basis'!$B$49,'General Basis'!$B$50)))))))))))))</f>
        <v/>
      </c>
      <c r="BI1947" s="744" t="str">
        <f t="shared" si="687"/>
        <v/>
      </c>
      <c r="BJ1947" s="747" t="str">
        <f t="shared" si="694"/>
        <v/>
      </c>
      <c r="BK1947" s="498" t="str">
        <f t="shared" si="688"/>
        <v/>
      </c>
      <c r="BL1947" s="498" t="str">
        <f t="shared" si="689"/>
        <v/>
      </c>
    </row>
    <row r="1948" spans="1:64" x14ac:dyDescent="0.25">
      <c r="A1948" s="762">
        <f t="shared" si="690"/>
        <v>1943</v>
      </c>
      <c r="B1948" s="229"/>
      <c r="C1948" s="223"/>
      <c r="D1948" s="224"/>
      <c r="E1948" s="225"/>
      <c r="F1948" s="1036" t="str">
        <f t="shared" si="696"/>
        <v/>
      </c>
      <c r="G1948" s="1037" t="str">
        <f t="shared" si="691"/>
        <v/>
      </c>
      <c r="H1948" s="225"/>
      <c r="I1948" s="1013"/>
      <c r="J1948" s="1013"/>
      <c r="K1948" s="1028"/>
      <c r="L1948" s="1035" t="str">
        <f t="shared" si="695"/>
        <v/>
      </c>
      <c r="S1948" s="498"/>
      <c r="AJ1948" s="498"/>
      <c r="AM1948" s="498">
        <f t="shared" si="676"/>
        <v>0</v>
      </c>
      <c r="AN1948" s="498">
        <f t="shared" si="677"/>
        <v>0</v>
      </c>
      <c r="AO1948" s="498">
        <f t="shared" si="678"/>
        <v>0</v>
      </c>
      <c r="AP1948" s="498">
        <f t="shared" si="697"/>
        <v>0</v>
      </c>
      <c r="AQ1948" s="498">
        <f t="shared" si="692"/>
        <v>0</v>
      </c>
      <c r="AU1948" s="498">
        <f t="shared" si="679"/>
        <v>0</v>
      </c>
      <c r="AV1948" s="498">
        <f t="shared" si="680"/>
        <v>0</v>
      </c>
      <c r="AW1948" s="498">
        <f t="shared" si="681"/>
        <v>0</v>
      </c>
      <c r="AX1948" s="498">
        <f t="shared" si="682"/>
        <v>0</v>
      </c>
      <c r="AY1948" s="498">
        <f t="shared" si="683"/>
        <v>0</v>
      </c>
      <c r="BB1948" s="498" t="str">
        <f t="shared" si="684"/>
        <v/>
      </c>
      <c r="BC1948" s="743" t="str">
        <f t="shared" si="685"/>
        <v/>
      </c>
      <c r="BD1948" s="743" t="str">
        <f t="shared" si="686"/>
        <v/>
      </c>
      <c r="BE1948" s="743" t="str">
        <f>IF(D1948="","",VLOOKUP(D1948,'General Basis'!$J$39:$K$46,2,0))</f>
        <v/>
      </c>
      <c r="BF1948" s="744" t="str">
        <f>IF(D1948="","",VLOOKUP(D1948,'General Basis'!$J$39:$L$46,3,0))</f>
        <v/>
      </c>
      <c r="BG1948" s="744" t="str">
        <f t="shared" si="693"/>
        <v/>
      </c>
      <c r="BH1948" s="744" t="str">
        <f>IF(G1948="","",IF(BF1948="Abu Dhabi",IF(G1948&lt;18,'General Basis'!$C$39,IF(G1948&lt;41,'General Basis'!$C$40,IF(G1948&lt;60,'General Basis'!$C$41,IF(G1948&lt;65,'General Basis'!$C$42,'General Basis'!$C$43)))),IF(G1948&lt;11,'General Basis'!$B$39,IF(G1948&lt;18,'General Basis'!$B$40,IF(G1948&lt;26,'General Basis'!$B$41,IF(G1948&lt;31,'General Basis'!$B$42,IF(G1948&lt;36,'General Basis'!$B$43,IF(G1948&lt;41,'General Basis'!$B$44,IF(G1948&lt;46,'General Basis'!$B$45,IF(G1948&lt;51,'General Basis'!$B$46,IF(G1948&lt;56,'General Basis'!$B$47,IF(G1948&lt;60,'General Basis'!$B$48,IF(G1948&lt;65,'General Basis'!$B$49,'General Basis'!$B$50)))))))))))))</f>
        <v/>
      </c>
      <c r="BI1948" s="744" t="str">
        <f t="shared" si="687"/>
        <v/>
      </c>
      <c r="BJ1948" s="747" t="str">
        <f t="shared" si="694"/>
        <v/>
      </c>
      <c r="BK1948" s="498" t="str">
        <f t="shared" si="688"/>
        <v/>
      </c>
      <c r="BL1948" s="498" t="str">
        <f t="shared" si="689"/>
        <v/>
      </c>
    </row>
    <row r="1949" spans="1:64" x14ac:dyDescent="0.25">
      <c r="A1949" s="762">
        <f t="shared" si="690"/>
        <v>1944</v>
      </c>
      <c r="B1949" s="229"/>
      <c r="C1949" s="223"/>
      <c r="D1949" s="224"/>
      <c r="E1949" s="225"/>
      <c r="F1949" s="1036" t="str">
        <f t="shared" si="696"/>
        <v/>
      </c>
      <c r="G1949" s="1037" t="str">
        <f t="shared" si="691"/>
        <v/>
      </c>
      <c r="H1949" s="225"/>
      <c r="I1949" s="1013"/>
      <c r="J1949" s="1013"/>
      <c r="K1949" s="1028"/>
      <c r="L1949" s="1035" t="str">
        <f t="shared" si="695"/>
        <v/>
      </c>
      <c r="S1949" s="498"/>
      <c r="AJ1949" s="498"/>
      <c r="AM1949" s="498">
        <f t="shared" si="676"/>
        <v>0</v>
      </c>
      <c r="AN1949" s="498">
        <f t="shared" si="677"/>
        <v>0</v>
      </c>
      <c r="AO1949" s="498">
        <f t="shared" si="678"/>
        <v>0</v>
      </c>
      <c r="AP1949" s="498">
        <f t="shared" si="697"/>
        <v>0</v>
      </c>
      <c r="AQ1949" s="498">
        <f t="shared" si="692"/>
        <v>0</v>
      </c>
      <c r="AU1949" s="498">
        <f t="shared" si="679"/>
        <v>0</v>
      </c>
      <c r="AV1949" s="498">
        <f t="shared" si="680"/>
        <v>0</v>
      </c>
      <c r="AW1949" s="498">
        <f t="shared" si="681"/>
        <v>0</v>
      </c>
      <c r="AX1949" s="498">
        <f t="shared" si="682"/>
        <v>0</v>
      </c>
      <c r="AY1949" s="498">
        <f t="shared" si="683"/>
        <v>0</v>
      </c>
      <c r="BB1949" s="498" t="str">
        <f t="shared" si="684"/>
        <v/>
      </c>
      <c r="BC1949" s="743" t="str">
        <f t="shared" si="685"/>
        <v/>
      </c>
      <c r="BD1949" s="743" t="str">
        <f t="shared" si="686"/>
        <v/>
      </c>
      <c r="BE1949" s="743" t="str">
        <f>IF(D1949="","",VLOOKUP(D1949,'General Basis'!$J$39:$K$46,2,0))</f>
        <v/>
      </c>
      <c r="BF1949" s="744" t="str">
        <f>IF(D1949="","",VLOOKUP(D1949,'General Basis'!$J$39:$L$46,3,0))</f>
        <v/>
      </c>
      <c r="BG1949" s="744" t="str">
        <f t="shared" si="693"/>
        <v/>
      </c>
      <c r="BH1949" s="744" t="str">
        <f>IF(G1949="","",IF(BF1949="Abu Dhabi",IF(G1949&lt;18,'General Basis'!$C$39,IF(G1949&lt;41,'General Basis'!$C$40,IF(G1949&lt;60,'General Basis'!$C$41,IF(G1949&lt;65,'General Basis'!$C$42,'General Basis'!$C$43)))),IF(G1949&lt;11,'General Basis'!$B$39,IF(G1949&lt;18,'General Basis'!$B$40,IF(G1949&lt;26,'General Basis'!$B$41,IF(G1949&lt;31,'General Basis'!$B$42,IF(G1949&lt;36,'General Basis'!$B$43,IF(G1949&lt;41,'General Basis'!$B$44,IF(G1949&lt;46,'General Basis'!$B$45,IF(G1949&lt;51,'General Basis'!$B$46,IF(G1949&lt;56,'General Basis'!$B$47,IF(G1949&lt;60,'General Basis'!$B$48,IF(G1949&lt;65,'General Basis'!$B$49,'General Basis'!$B$50)))))))))))))</f>
        <v/>
      </c>
      <c r="BI1949" s="744" t="str">
        <f t="shared" si="687"/>
        <v/>
      </c>
      <c r="BJ1949" s="747" t="str">
        <f t="shared" si="694"/>
        <v/>
      </c>
      <c r="BK1949" s="498" t="str">
        <f t="shared" si="688"/>
        <v/>
      </c>
      <c r="BL1949" s="498" t="str">
        <f t="shared" si="689"/>
        <v/>
      </c>
    </row>
    <row r="1950" spans="1:64" x14ac:dyDescent="0.25">
      <c r="A1950" s="762">
        <f t="shared" si="690"/>
        <v>1945</v>
      </c>
      <c r="B1950" s="229"/>
      <c r="C1950" s="223"/>
      <c r="D1950" s="224"/>
      <c r="E1950" s="225"/>
      <c r="F1950" s="1036" t="str">
        <f t="shared" si="696"/>
        <v/>
      </c>
      <c r="G1950" s="1037" t="str">
        <f t="shared" si="691"/>
        <v/>
      </c>
      <c r="H1950" s="225"/>
      <c r="I1950" s="1013"/>
      <c r="J1950" s="1013"/>
      <c r="K1950" s="1028"/>
      <c r="L1950" s="1035" t="str">
        <f t="shared" si="695"/>
        <v/>
      </c>
      <c r="S1950" s="498"/>
      <c r="AJ1950" s="498"/>
      <c r="AM1950" s="498">
        <f t="shared" si="676"/>
        <v>0</v>
      </c>
      <c r="AN1950" s="498">
        <f t="shared" si="677"/>
        <v>0</v>
      </c>
      <c r="AO1950" s="498">
        <f t="shared" si="678"/>
        <v>0</v>
      </c>
      <c r="AP1950" s="498">
        <f t="shared" si="697"/>
        <v>0</v>
      </c>
      <c r="AQ1950" s="498">
        <f t="shared" si="692"/>
        <v>0</v>
      </c>
      <c r="AU1950" s="498">
        <f t="shared" si="679"/>
        <v>0</v>
      </c>
      <c r="AV1950" s="498">
        <f t="shared" si="680"/>
        <v>0</v>
      </c>
      <c r="AW1950" s="498">
        <f t="shared" si="681"/>
        <v>0</v>
      </c>
      <c r="AX1950" s="498">
        <f t="shared" si="682"/>
        <v>0</v>
      </c>
      <c r="AY1950" s="498">
        <f t="shared" si="683"/>
        <v>0</v>
      </c>
      <c r="BB1950" s="498" t="str">
        <f t="shared" si="684"/>
        <v/>
      </c>
      <c r="BC1950" s="743" t="str">
        <f t="shared" si="685"/>
        <v/>
      </c>
      <c r="BD1950" s="743" t="str">
        <f t="shared" si="686"/>
        <v/>
      </c>
      <c r="BE1950" s="743" t="str">
        <f>IF(D1950="","",VLOOKUP(D1950,'General Basis'!$J$39:$K$46,2,0))</f>
        <v/>
      </c>
      <c r="BF1950" s="744" t="str">
        <f>IF(D1950="","",VLOOKUP(D1950,'General Basis'!$J$39:$L$46,3,0))</f>
        <v/>
      </c>
      <c r="BG1950" s="744" t="str">
        <f t="shared" si="693"/>
        <v/>
      </c>
      <c r="BH1950" s="744" t="str">
        <f>IF(G1950="","",IF(BF1950="Abu Dhabi",IF(G1950&lt;18,'General Basis'!$C$39,IF(G1950&lt;41,'General Basis'!$C$40,IF(G1950&lt;60,'General Basis'!$C$41,IF(G1950&lt;65,'General Basis'!$C$42,'General Basis'!$C$43)))),IF(G1950&lt;11,'General Basis'!$B$39,IF(G1950&lt;18,'General Basis'!$B$40,IF(G1950&lt;26,'General Basis'!$B$41,IF(G1950&lt;31,'General Basis'!$B$42,IF(G1950&lt;36,'General Basis'!$B$43,IF(G1950&lt;41,'General Basis'!$B$44,IF(G1950&lt;46,'General Basis'!$B$45,IF(G1950&lt;51,'General Basis'!$B$46,IF(G1950&lt;56,'General Basis'!$B$47,IF(G1950&lt;60,'General Basis'!$B$48,IF(G1950&lt;65,'General Basis'!$B$49,'General Basis'!$B$50)))))))))))))</f>
        <v/>
      </c>
      <c r="BI1950" s="744" t="str">
        <f t="shared" si="687"/>
        <v/>
      </c>
      <c r="BJ1950" s="747" t="str">
        <f t="shared" si="694"/>
        <v/>
      </c>
      <c r="BK1950" s="498" t="str">
        <f t="shared" si="688"/>
        <v/>
      </c>
      <c r="BL1950" s="498" t="str">
        <f t="shared" si="689"/>
        <v/>
      </c>
    </row>
    <row r="1951" spans="1:64" x14ac:dyDescent="0.25">
      <c r="A1951" s="762">
        <f t="shared" si="690"/>
        <v>1946</v>
      </c>
      <c r="B1951" s="229"/>
      <c r="C1951" s="223"/>
      <c r="D1951" s="224"/>
      <c r="E1951" s="225"/>
      <c r="F1951" s="1036" t="str">
        <f t="shared" si="696"/>
        <v/>
      </c>
      <c r="G1951" s="1037" t="str">
        <f t="shared" si="691"/>
        <v/>
      </c>
      <c r="H1951" s="225"/>
      <c r="I1951" s="1013"/>
      <c r="J1951" s="1013"/>
      <c r="K1951" s="1028"/>
      <c r="L1951" s="1035" t="str">
        <f t="shared" si="695"/>
        <v/>
      </c>
      <c r="S1951" s="498"/>
      <c r="AJ1951" s="498"/>
      <c r="AM1951" s="498">
        <f t="shared" si="676"/>
        <v>0</v>
      </c>
      <c r="AN1951" s="498">
        <f t="shared" si="677"/>
        <v>0</v>
      </c>
      <c r="AO1951" s="498">
        <f t="shared" si="678"/>
        <v>0</v>
      </c>
      <c r="AP1951" s="498">
        <f t="shared" si="697"/>
        <v>0</v>
      </c>
      <c r="AQ1951" s="498">
        <f t="shared" si="692"/>
        <v>0</v>
      </c>
      <c r="AU1951" s="498">
        <f t="shared" si="679"/>
        <v>0</v>
      </c>
      <c r="AV1951" s="498">
        <f t="shared" si="680"/>
        <v>0</v>
      </c>
      <c r="AW1951" s="498">
        <f t="shared" si="681"/>
        <v>0</v>
      </c>
      <c r="AX1951" s="498">
        <f t="shared" si="682"/>
        <v>0</v>
      </c>
      <c r="AY1951" s="498">
        <f t="shared" si="683"/>
        <v>0</v>
      </c>
      <c r="BB1951" s="498" t="str">
        <f t="shared" si="684"/>
        <v/>
      </c>
      <c r="BC1951" s="743" t="str">
        <f t="shared" si="685"/>
        <v/>
      </c>
      <c r="BD1951" s="743" t="str">
        <f t="shared" si="686"/>
        <v/>
      </c>
      <c r="BE1951" s="743" t="str">
        <f>IF(D1951="","",VLOOKUP(D1951,'General Basis'!$J$39:$K$46,2,0))</f>
        <v/>
      </c>
      <c r="BF1951" s="744" t="str">
        <f>IF(D1951="","",VLOOKUP(D1951,'General Basis'!$J$39:$L$46,3,0))</f>
        <v/>
      </c>
      <c r="BG1951" s="744" t="str">
        <f t="shared" si="693"/>
        <v/>
      </c>
      <c r="BH1951" s="744" t="str">
        <f>IF(G1951="","",IF(BF1951="Abu Dhabi",IF(G1951&lt;18,'General Basis'!$C$39,IF(G1951&lt;41,'General Basis'!$C$40,IF(G1951&lt;60,'General Basis'!$C$41,IF(G1951&lt;65,'General Basis'!$C$42,'General Basis'!$C$43)))),IF(G1951&lt;11,'General Basis'!$B$39,IF(G1951&lt;18,'General Basis'!$B$40,IF(G1951&lt;26,'General Basis'!$B$41,IF(G1951&lt;31,'General Basis'!$B$42,IF(G1951&lt;36,'General Basis'!$B$43,IF(G1951&lt;41,'General Basis'!$B$44,IF(G1951&lt;46,'General Basis'!$B$45,IF(G1951&lt;51,'General Basis'!$B$46,IF(G1951&lt;56,'General Basis'!$B$47,IF(G1951&lt;60,'General Basis'!$B$48,IF(G1951&lt;65,'General Basis'!$B$49,'General Basis'!$B$50)))))))))))))</f>
        <v/>
      </c>
      <c r="BI1951" s="744" t="str">
        <f t="shared" si="687"/>
        <v/>
      </c>
      <c r="BJ1951" s="747" t="str">
        <f t="shared" si="694"/>
        <v/>
      </c>
      <c r="BK1951" s="498" t="str">
        <f t="shared" si="688"/>
        <v/>
      </c>
      <c r="BL1951" s="498" t="str">
        <f t="shared" si="689"/>
        <v/>
      </c>
    </row>
    <row r="1952" spans="1:64" x14ac:dyDescent="0.25">
      <c r="A1952" s="762">
        <f t="shared" si="690"/>
        <v>1947</v>
      </c>
      <c r="B1952" s="229"/>
      <c r="C1952" s="223"/>
      <c r="D1952" s="224"/>
      <c r="E1952" s="225"/>
      <c r="F1952" s="1036" t="str">
        <f t="shared" si="696"/>
        <v/>
      </c>
      <c r="G1952" s="1037" t="str">
        <f t="shared" si="691"/>
        <v/>
      </c>
      <c r="H1952" s="225"/>
      <c r="I1952" s="1013"/>
      <c r="J1952" s="1013"/>
      <c r="K1952" s="1028"/>
      <c r="L1952" s="1035" t="str">
        <f t="shared" si="695"/>
        <v/>
      </c>
      <c r="S1952" s="498"/>
      <c r="AJ1952" s="498"/>
      <c r="AM1952" s="498">
        <f t="shared" si="676"/>
        <v>0</v>
      </c>
      <c r="AN1952" s="498">
        <f t="shared" si="677"/>
        <v>0</v>
      </c>
      <c r="AO1952" s="498">
        <f t="shared" si="678"/>
        <v>0</v>
      </c>
      <c r="AP1952" s="498">
        <f t="shared" si="697"/>
        <v>0</v>
      </c>
      <c r="AQ1952" s="498">
        <f t="shared" si="692"/>
        <v>0</v>
      </c>
      <c r="AU1952" s="498">
        <f t="shared" si="679"/>
        <v>0</v>
      </c>
      <c r="AV1952" s="498">
        <f t="shared" si="680"/>
        <v>0</v>
      </c>
      <c r="AW1952" s="498">
        <f t="shared" si="681"/>
        <v>0</v>
      </c>
      <c r="AX1952" s="498">
        <f t="shared" si="682"/>
        <v>0</v>
      </c>
      <c r="AY1952" s="498">
        <f t="shared" si="683"/>
        <v>0</v>
      </c>
      <c r="BB1952" s="498" t="str">
        <f t="shared" si="684"/>
        <v/>
      </c>
      <c r="BC1952" s="743" t="str">
        <f t="shared" si="685"/>
        <v/>
      </c>
      <c r="BD1952" s="743" t="str">
        <f t="shared" si="686"/>
        <v/>
      </c>
      <c r="BE1952" s="743" t="str">
        <f>IF(D1952="","",VLOOKUP(D1952,'General Basis'!$J$39:$K$46,2,0))</f>
        <v/>
      </c>
      <c r="BF1952" s="744" t="str">
        <f>IF(D1952="","",VLOOKUP(D1952,'General Basis'!$J$39:$L$46,3,0))</f>
        <v/>
      </c>
      <c r="BG1952" s="744" t="str">
        <f t="shared" si="693"/>
        <v/>
      </c>
      <c r="BH1952" s="744" t="str">
        <f>IF(G1952="","",IF(BF1952="Abu Dhabi",IF(G1952&lt;18,'General Basis'!$C$39,IF(G1952&lt;41,'General Basis'!$C$40,IF(G1952&lt;60,'General Basis'!$C$41,IF(G1952&lt;65,'General Basis'!$C$42,'General Basis'!$C$43)))),IF(G1952&lt;11,'General Basis'!$B$39,IF(G1952&lt;18,'General Basis'!$B$40,IF(G1952&lt;26,'General Basis'!$B$41,IF(G1952&lt;31,'General Basis'!$B$42,IF(G1952&lt;36,'General Basis'!$B$43,IF(G1952&lt;41,'General Basis'!$B$44,IF(G1952&lt;46,'General Basis'!$B$45,IF(G1952&lt;51,'General Basis'!$B$46,IF(G1952&lt;56,'General Basis'!$B$47,IF(G1952&lt;60,'General Basis'!$B$48,IF(G1952&lt;65,'General Basis'!$B$49,'General Basis'!$B$50)))))))))))))</f>
        <v/>
      </c>
      <c r="BI1952" s="744" t="str">
        <f t="shared" si="687"/>
        <v/>
      </c>
      <c r="BJ1952" s="747" t="str">
        <f t="shared" si="694"/>
        <v/>
      </c>
      <c r="BK1952" s="498" t="str">
        <f t="shared" si="688"/>
        <v/>
      </c>
      <c r="BL1952" s="498" t="str">
        <f t="shared" si="689"/>
        <v/>
      </c>
    </row>
    <row r="1953" spans="1:64" x14ac:dyDescent="0.25">
      <c r="A1953" s="762">
        <f t="shared" si="690"/>
        <v>1948</v>
      </c>
      <c r="B1953" s="229"/>
      <c r="C1953" s="223"/>
      <c r="D1953" s="224"/>
      <c r="E1953" s="225"/>
      <c r="F1953" s="1036" t="str">
        <f t="shared" si="696"/>
        <v/>
      </c>
      <c r="G1953" s="1037" t="str">
        <f t="shared" si="691"/>
        <v/>
      </c>
      <c r="H1953" s="225"/>
      <c r="I1953" s="1013"/>
      <c r="J1953" s="1013"/>
      <c r="K1953" s="1028"/>
      <c r="L1953" s="1035" t="str">
        <f t="shared" si="695"/>
        <v/>
      </c>
      <c r="S1953" s="498"/>
      <c r="AJ1953" s="498"/>
      <c r="AM1953" s="498">
        <f t="shared" si="676"/>
        <v>0</v>
      </c>
      <c r="AN1953" s="498">
        <f t="shared" si="677"/>
        <v>0</v>
      </c>
      <c r="AO1953" s="498">
        <f t="shared" si="678"/>
        <v>0</v>
      </c>
      <c r="AP1953" s="498">
        <f t="shared" si="697"/>
        <v>0</v>
      </c>
      <c r="AQ1953" s="498">
        <f t="shared" si="692"/>
        <v>0</v>
      </c>
      <c r="AU1953" s="498">
        <f t="shared" si="679"/>
        <v>0</v>
      </c>
      <c r="AV1953" s="498">
        <f t="shared" si="680"/>
        <v>0</v>
      </c>
      <c r="AW1953" s="498">
        <f t="shared" si="681"/>
        <v>0</v>
      </c>
      <c r="AX1953" s="498">
        <f t="shared" si="682"/>
        <v>0</v>
      </c>
      <c r="AY1953" s="498">
        <f t="shared" si="683"/>
        <v>0</v>
      </c>
      <c r="BB1953" s="498" t="str">
        <f t="shared" si="684"/>
        <v/>
      </c>
      <c r="BC1953" s="743" t="str">
        <f t="shared" si="685"/>
        <v/>
      </c>
      <c r="BD1953" s="743" t="str">
        <f t="shared" si="686"/>
        <v/>
      </c>
      <c r="BE1953" s="743" t="str">
        <f>IF(D1953="","",VLOOKUP(D1953,'General Basis'!$J$39:$K$46,2,0))</f>
        <v/>
      </c>
      <c r="BF1953" s="744" t="str">
        <f>IF(D1953="","",VLOOKUP(D1953,'General Basis'!$J$39:$L$46,3,0))</f>
        <v/>
      </c>
      <c r="BG1953" s="744" t="str">
        <f t="shared" si="693"/>
        <v/>
      </c>
      <c r="BH1953" s="744" t="str">
        <f>IF(G1953="","",IF(BF1953="Abu Dhabi",IF(G1953&lt;18,'General Basis'!$C$39,IF(G1953&lt;41,'General Basis'!$C$40,IF(G1953&lt;60,'General Basis'!$C$41,IF(G1953&lt;65,'General Basis'!$C$42,'General Basis'!$C$43)))),IF(G1953&lt;11,'General Basis'!$B$39,IF(G1953&lt;18,'General Basis'!$B$40,IF(G1953&lt;26,'General Basis'!$B$41,IF(G1953&lt;31,'General Basis'!$B$42,IF(G1953&lt;36,'General Basis'!$B$43,IF(G1953&lt;41,'General Basis'!$B$44,IF(G1953&lt;46,'General Basis'!$B$45,IF(G1953&lt;51,'General Basis'!$B$46,IF(G1953&lt;56,'General Basis'!$B$47,IF(G1953&lt;60,'General Basis'!$B$48,IF(G1953&lt;65,'General Basis'!$B$49,'General Basis'!$B$50)))))))))))))</f>
        <v/>
      </c>
      <c r="BI1953" s="744" t="str">
        <f t="shared" si="687"/>
        <v/>
      </c>
      <c r="BJ1953" s="747" t="str">
        <f t="shared" si="694"/>
        <v/>
      </c>
      <c r="BK1953" s="498" t="str">
        <f t="shared" si="688"/>
        <v/>
      </c>
      <c r="BL1953" s="498" t="str">
        <f t="shared" si="689"/>
        <v/>
      </c>
    </row>
    <row r="1954" spans="1:64" x14ac:dyDescent="0.25">
      <c r="A1954" s="762">
        <f t="shared" si="690"/>
        <v>1949</v>
      </c>
      <c r="B1954" s="229"/>
      <c r="C1954" s="223"/>
      <c r="D1954" s="224"/>
      <c r="E1954" s="225"/>
      <c r="F1954" s="1036" t="str">
        <f t="shared" si="696"/>
        <v/>
      </c>
      <c r="G1954" s="1037" t="str">
        <f t="shared" si="691"/>
        <v/>
      </c>
      <c r="H1954" s="225"/>
      <c r="I1954" s="1013"/>
      <c r="J1954" s="1013"/>
      <c r="K1954" s="1028"/>
      <c r="L1954" s="1035" t="str">
        <f t="shared" si="695"/>
        <v/>
      </c>
      <c r="S1954" s="498"/>
      <c r="AJ1954" s="498"/>
      <c r="AM1954" s="498">
        <f t="shared" si="676"/>
        <v>0</v>
      </c>
      <c r="AN1954" s="498">
        <f t="shared" si="677"/>
        <v>0</v>
      </c>
      <c r="AO1954" s="498">
        <f t="shared" si="678"/>
        <v>0</v>
      </c>
      <c r="AP1954" s="498">
        <f t="shared" si="697"/>
        <v>0</v>
      </c>
      <c r="AQ1954" s="498">
        <f t="shared" si="692"/>
        <v>0</v>
      </c>
      <c r="AU1954" s="498">
        <f t="shared" si="679"/>
        <v>0</v>
      </c>
      <c r="AV1954" s="498">
        <f t="shared" si="680"/>
        <v>0</v>
      </c>
      <c r="AW1954" s="498">
        <f t="shared" si="681"/>
        <v>0</v>
      </c>
      <c r="AX1954" s="498">
        <f t="shared" si="682"/>
        <v>0</v>
      </c>
      <c r="AY1954" s="498">
        <f t="shared" si="683"/>
        <v>0</v>
      </c>
      <c r="BB1954" s="498" t="str">
        <f t="shared" si="684"/>
        <v/>
      </c>
      <c r="BC1954" s="743" t="str">
        <f t="shared" si="685"/>
        <v/>
      </c>
      <c r="BD1954" s="743" t="str">
        <f t="shared" si="686"/>
        <v/>
      </c>
      <c r="BE1954" s="743" t="str">
        <f>IF(D1954="","",VLOOKUP(D1954,'General Basis'!$J$39:$K$46,2,0))</f>
        <v/>
      </c>
      <c r="BF1954" s="744" t="str">
        <f>IF(D1954="","",VLOOKUP(D1954,'General Basis'!$J$39:$L$46,3,0))</f>
        <v/>
      </c>
      <c r="BG1954" s="744" t="str">
        <f t="shared" si="693"/>
        <v/>
      </c>
      <c r="BH1954" s="744" t="str">
        <f>IF(G1954="","",IF(BF1954="Abu Dhabi",IF(G1954&lt;18,'General Basis'!$C$39,IF(G1954&lt;41,'General Basis'!$C$40,IF(G1954&lt;60,'General Basis'!$C$41,IF(G1954&lt;65,'General Basis'!$C$42,'General Basis'!$C$43)))),IF(G1954&lt;11,'General Basis'!$B$39,IF(G1954&lt;18,'General Basis'!$B$40,IF(G1954&lt;26,'General Basis'!$B$41,IF(G1954&lt;31,'General Basis'!$B$42,IF(G1954&lt;36,'General Basis'!$B$43,IF(G1954&lt;41,'General Basis'!$B$44,IF(G1954&lt;46,'General Basis'!$B$45,IF(G1954&lt;51,'General Basis'!$B$46,IF(G1954&lt;56,'General Basis'!$B$47,IF(G1954&lt;60,'General Basis'!$B$48,IF(G1954&lt;65,'General Basis'!$B$49,'General Basis'!$B$50)))))))))))))</f>
        <v/>
      </c>
      <c r="BI1954" s="744" t="str">
        <f t="shared" si="687"/>
        <v/>
      </c>
      <c r="BJ1954" s="747" t="str">
        <f t="shared" si="694"/>
        <v/>
      </c>
      <c r="BK1954" s="498" t="str">
        <f t="shared" si="688"/>
        <v/>
      </c>
      <c r="BL1954" s="498" t="str">
        <f t="shared" si="689"/>
        <v/>
      </c>
    </row>
    <row r="1955" spans="1:64" x14ac:dyDescent="0.25">
      <c r="A1955" s="762">
        <f t="shared" si="690"/>
        <v>1950</v>
      </c>
      <c r="B1955" s="229"/>
      <c r="C1955" s="223"/>
      <c r="D1955" s="224"/>
      <c r="E1955" s="225"/>
      <c r="F1955" s="1036" t="str">
        <f t="shared" si="696"/>
        <v/>
      </c>
      <c r="G1955" s="1037" t="str">
        <f t="shared" si="691"/>
        <v/>
      </c>
      <c r="H1955" s="225"/>
      <c r="I1955" s="1013"/>
      <c r="J1955" s="1013"/>
      <c r="K1955" s="1028"/>
      <c r="L1955" s="1035" t="str">
        <f t="shared" si="695"/>
        <v/>
      </c>
      <c r="S1955" s="498"/>
      <c r="AJ1955" s="498"/>
      <c r="AM1955" s="498">
        <f t="shared" si="676"/>
        <v>0</v>
      </c>
      <c r="AN1955" s="498">
        <f t="shared" si="677"/>
        <v>0</v>
      </c>
      <c r="AO1955" s="498">
        <f t="shared" si="678"/>
        <v>0</v>
      </c>
      <c r="AP1955" s="498">
        <f t="shared" si="697"/>
        <v>0</v>
      </c>
      <c r="AQ1955" s="498">
        <f t="shared" si="692"/>
        <v>0</v>
      </c>
      <c r="AU1955" s="498">
        <f t="shared" si="679"/>
        <v>0</v>
      </c>
      <c r="AV1955" s="498">
        <f t="shared" si="680"/>
        <v>0</v>
      </c>
      <c r="AW1955" s="498">
        <f t="shared" si="681"/>
        <v>0</v>
      </c>
      <c r="AX1955" s="498">
        <f t="shared" si="682"/>
        <v>0</v>
      </c>
      <c r="AY1955" s="498">
        <f t="shared" si="683"/>
        <v>0</v>
      </c>
      <c r="BB1955" s="498" t="str">
        <f t="shared" si="684"/>
        <v/>
      </c>
      <c r="BC1955" s="743" t="str">
        <f t="shared" si="685"/>
        <v/>
      </c>
      <c r="BD1955" s="743" t="str">
        <f t="shared" si="686"/>
        <v/>
      </c>
      <c r="BE1955" s="743" t="str">
        <f>IF(D1955="","",VLOOKUP(D1955,'General Basis'!$J$39:$K$46,2,0))</f>
        <v/>
      </c>
      <c r="BF1955" s="744" t="str">
        <f>IF(D1955="","",VLOOKUP(D1955,'General Basis'!$J$39:$L$46,3,0))</f>
        <v/>
      </c>
      <c r="BG1955" s="744" t="str">
        <f t="shared" si="693"/>
        <v/>
      </c>
      <c r="BH1955" s="744" t="str">
        <f>IF(G1955="","",IF(BF1955="Abu Dhabi",IF(G1955&lt;18,'General Basis'!$C$39,IF(G1955&lt;41,'General Basis'!$C$40,IF(G1955&lt;60,'General Basis'!$C$41,IF(G1955&lt;65,'General Basis'!$C$42,'General Basis'!$C$43)))),IF(G1955&lt;11,'General Basis'!$B$39,IF(G1955&lt;18,'General Basis'!$B$40,IF(G1955&lt;26,'General Basis'!$B$41,IF(G1955&lt;31,'General Basis'!$B$42,IF(G1955&lt;36,'General Basis'!$B$43,IF(G1955&lt;41,'General Basis'!$B$44,IF(G1955&lt;46,'General Basis'!$B$45,IF(G1955&lt;51,'General Basis'!$B$46,IF(G1955&lt;56,'General Basis'!$B$47,IF(G1955&lt;60,'General Basis'!$B$48,IF(G1955&lt;65,'General Basis'!$B$49,'General Basis'!$B$50)))))))))))))</f>
        <v/>
      </c>
      <c r="BI1955" s="744" t="str">
        <f t="shared" si="687"/>
        <v/>
      </c>
      <c r="BJ1955" s="747" t="str">
        <f t="shared" si="694"/>
        <v/>
      </c>
      <c r="BK1955" s="498" t="str">
        <f t="shared" si="688"/>
        <v/>
      </c>
      <c r="BL1955" s="498" t="str">
        <f t="shared" si="689"/>
        <v/>
      </c>
    </row>
    <row r="1956" spans="1:64" x14ac:dyDescent="0.25">
      <c r="A1956" s="762">
        <f t="shared" si="690"/>
        <v>1951</v>
      </c>
      <c r="B1956" s="229"/>
      <c r="C1956" s="223"/>
      <c r="D1956" s="224"/>
      <c r="E1956" s="225"/>
      <c r="F1956" s="1036" t="str">
        <f t="shared" si="696"/>
        <v/>
      </c>
      <c r="G1956" s="1037" t="str">
        <f t="shared" si="691"/>
        <v/>
      </c>
      <c r="H1956" s="225"/>
      <c r="I1956" s="1013"/>
      <c r="J1956" s="1013"/>
      <c r="K1956" s="1028"/>
      <c r="L1956" s="1035" t="str">
        <f t="shared" si="695"/>
        <v/>
      </c>
      <c r="S1956" s="498"/>
      <c r="AJ1956" s="498"/>
      <c r="AM1956" s="498">
        <f t="shared" si="676"/>
        <v>0</v>
      </c>
      <c r="AN1956" s="498">
        <f t="shared" si="677"/>
        <v>0</v>
      </c>
      <c r="AO1956" s="498">
        <f t="shared" si="678"/>
        <v>0</v>
      </c>
      <c r="AP1956" s="498">
        <f t="shared" si="697"/>
        <v>0</v>
      </c>
      <c r="AQ1956" s="498">
        <f t="shared" si="692"/>
        <v>0</v>
      </c>
      <c r="AU1956" s="498">
        <f t="shared" si="679"/>
        <v>0</v>
      </c>
      <c r="AV1956" s="498">
        <f t="shared" si="680"/>
        <v>0</v>
      </c>
      <c r="AW1956" s="498">
        <f t="shared" si="681"/>
        <v>0</v>
      </c>
      <c r="AX1956" s="498">
        <f t="shared" si="682"/>
        <v>0</v>
      </c>
      <c r="AY1956" s="498">
        <f t="shared" si="683"/>
        <v>0</v>
      </c>
      <c r="BB1956" s="498" t="str">
        <f t="shared" si="684"/>
        <v/>
      </c>
      <c r="BC1956" s="743" t="str">
        <f t="shared" si="685"/>
        <v/>
      </c>
      <c r="BD1956" s="743" t="str">
        <f t="shared" si="686"/>
        <v/>
      </c>
      <c r="BE1956" s="743" t="str">
        <f>IF(D1956="","",VLOOKUP(D1956,'General Basis'!$J$39:$K$46,2,0))</f>
        <v/>
      </c>
      <c r="BF1956" s="744" t="str">
        <f>IF(D1956="","",VLOOKUP(D1956,'General Basis'!$J$39:$L$46,3,0))</f>
        <v/>
      </c>
      <c r="BG1956" s="744" t="str">
        <f t="shared" si="693"/>
        <v/>
      </c>
      <c r="BH1956" s="744" t="str">
        <f>IF(G1956="","",IF(BF1956="Abu Dhabi",IF(G1956&lt;18,'General Basis'!$C$39,IF(G1956&lt;41,'General Basis'!$C$40,IF(G1956&lt;60,'General Basis'!$C$41,IF(G1956&lt;65,'General Basis'!$C$42,'General Basis'!$C$43)))),IF(G1956&lt;11,'General Basis'!$B$39,IF(G1956&lt;18,'General Basis'!$B$40,IF(G1956&lt;26,'General Basis'!$B$41,IF(G1956&lt;31,'General Basis'!$B$42,IF(G1956&lt;36,'General Basis'!$B$43,IF(G1956&lt;41,'General Basis'!$B$44,IF(G1956&lt;46,'General Basis'!$B$45,IF(G1956&lt;51,'General Basis'!$B$46,IF(G1956&lt;56,'General Basis'!$B$47,IF(G1956&lt;60,'General Basis'!$B$48,IF(G1956&lt;65,'General Basis'!$B$49,'General Basis'!$B$50)))))))))))))</f>
        <v/>
      </c>
      <c r="BI1956" s="744" t="str">
        <f t="shared" si="687"/>
        <v/>
      </c>
      <c r="BJ1956" s="747" t="str">
        <f t="shared" si="694"/>
        <v/>
      </c>
      <c r="BK1956" s="498" t="str">
        <f t="shared" si="688"/>
        <v/>
      </c>
      <c r="BL1956" s="498" t="str">
        <f t="shared" si="689"/>
        <v/>
      </c>
    </row>
    <row r="1957" spans="1:64" x14ac:dyDescent="0.25">
      <c r="A1957" s="762">
        <f t="shared" si="690"/>
        <v>1952</v>
      </c>
      <c r="B1957" s="229"/>
      <c r="C1957" s="223"/>
      <c r="D1957" s="224"/>
      <c r="E1957" s="225"/>
      <c r="F1957" s="1036" t="str">
        <f t="shared" si="696"/>
        <v/>
      </c>
      <c r="G1957" s="1037" t="str">
        <f t="shared" si="691"/>
        <v/>
      </c>
      <c r="H1957" s="225"/>
      <c r="I1957" s="1013"/>
      <c r="J1957" s="1013"/>
      <c r="K1957" s="1028"/>
      <c r="L1957" s="1035" t="str">
        <f t="shared" si="695"/>
        <v/>
      </c>
      <c r="S1957" s="498"/>
      <c r="AJ1957" s="498"/>
      <c r="AM1957" s="498">
        <f t="shared" si="676"/>
        <v>0</v>
      </c>
      <c r="AN1957" s="498">
        <f t="shared" si="677"/>
        <v>0</v>
      </c>
      <c r="AO1957" s="498">
        <f t="shared" si="678"/>
        <v>0</v>
      </c>
      <c r="AP1957" s="498">
        <f t="shared" si="697"/>
        <v>0</v>
      </c>
      <c r="AQ1957" s="498">
        <f t="shared" si="692"/>
        <v>0</v>
      </c>
      <c r="AU1957" s="498">
        <f t="shared" si="679"/>
        <v>0</v>
      </c>
      <c r="AV1957" s="498">
        <f t="shared" si="680"/>
        <v>0</v>
      </c>
      <c r="AW1957" s="498">
        <f t="shared" si="681"/>
        <v>0</v>
      </c>
      <c r="AX1957" s="498">
        <f t="shared" si="682"/>
        <v>0</v>
      </c>
      <c r="AY1957" s="498">
        <f t="shared" si="683"/>
        <v>0</v>
      </c>
      <c r="BB1957" s="498" t="str">
        <f t="shared" si="684"/>
        <v/>
      </c>
      <c r="BC1957" s="743" t="str">
        <f t="shared" si="685"/>
        <v/>
      </c>
      <c r="BD1957" s="743" t="str">
        <f t="shared" si="686"/>
        <v/>
      </c>
      <c r="BE1957" s="743" t="str">
        <f>IF(D1957="","",VLOOKUP(D1957,'General Basis'!$J$39:$K$46,2,0))</f>
        <v/>
      </c>
      <c r="BF1957" s="744" t="str">
        <f>IF(D1957="","",VLOOKUP(D1957,'General Basis'!$J$39:$L$46,3,0))</f>
        <v/>
      </c>
      <c r="BG1957" s="744" t="str">
        <f t="shared" si="693"/>
        <v/>
      </c>
      <c r="BH1957" s="744" t="str">
        <f>IF(G1957="","",IF(BF1957="Abu Dhabi",IF(G1957&lt;18,'General Basis'!$C$39,IF(G1957&lt;41,'General Basis'!$C$40,IF(G1957&lt;60,'General Basis'!$C$41,IF(G1957&lt;65,'General Basis'!$C$42,'General Basis'!$C$43)))),IF(G1957&lt;11,'General Basis'!$B$39,IF(G1957&lt;18,'General Basis'!$B$40,IF(G1957&lt;26,'General Basis'!$B$41,IF(G1957&lt;31,'General Basis'!$B$42,IF(G1957&lt;36,'General Basis'!$B$43,IF(G1957&lt;41,'General Basis'!$B$44,IF(G1957&lt;46,'General Basis'!$B$45,IF(G1957&lt;51,'General Basis'!$B$46,IF(G1957&lt;56,'General Basis'!$B$47,IF(G1957&lt;60,'General Basis'!$B$48,IF(G1957&lt;65,'General Basis'!$B$49,'General Basis'!$B$50)))))))))))))</f>
        <v/>
      </c>
      <c r="BI1957" s="744" t="str">
        <f t="shared" si="687"/>
        <v/>
      </c>
      <c r="BJ1957" s="747" t="str">
        <f t="shared" si="694"/>
        <v/>
      </c>
      <c r="BK1957" s="498" t="str">
        <f t="shared" si="688"/>
        <v/>
      </c>
      <c r="BL1957" s="498" t="str">
        <f t="shared" si="689"/>
        <v/>
      </c>
    </row>
    <row r="1958" spans="1:64" x14ac:dyDescent="0.25">
      <c r="A1958" s="762">
        <f t="shared" si="690"/>
        <v>1953</v>
      </c>
      <c r="B1958" s="229"/>
      <c r="C1958" s="223"/>
      <c r="D1958" s="224"/>
      <c r="E1958" s="225"/>
      <c r="F1958" s="1036" t="str">
        <f t="shared" si="696"/>
        <v/>
      </c>
      <c r="G1958" s="1037" t="str">
        <f t="shared" si="691"/>
        <v/>
      </c>
      <c r="H1958" s="225"/>
      <c r="I1958" s="1013"/>
      <c r="J1958" s="1013"/>
      <c r="K1958" s="1028"/>
      <c r="L1958" s="1035" t="str">
        <f t="shared" si="695"/>
        <v/>
      </c>
      <c r="S1958" s="498"/>
      <c r="AJ1958" s="498"/>
      <c r="AM1958" s="498">
        <f t="shared" si="676"/>
        <v>0</v>
      </c>
      <c r="AN1958" s="498">
        <f t="shared" si="677"/>
        <v>0</v>
      </c>
      <c r="AO1958" s="498">
        <f t="shared" si="678"/>
        <v>0</v>
      </c>
      <c r="AP1958" s="498">
        <f t="shared" si="697"/>
        <v>0</v>
      </c>
      <c r="AQ1958" s="498">
        <f t="shared" si="692"/>
        <v>0</v>
      </c>
      <c r="AU1958" s="498">
        <f t="shared" si="679"/>
        <v>0</v>
      </c>
      <c r="AV1958" s="498">
        <f t="shared" si="680"/>
        <v>0</v>
      </c>
      <c r="AW1958" s="498">
        <f t="shared" si="681"/>
        <v>0</v>
      </c>
      <c r="AX1958" s="498">
        <f t="shared" si="682"/>
        <v>0</v>
      </c>
      <c r="AY1958" s="498">
        <f t="shared" si="683"/>
        <v>0</v>
      </c>
      <c r="BB1958" s="498" t="str">
        <f t="shared" si="684"/>
        <v/>
      </c>
      <c r="BC1958" s="743" t="str">
        <f t="shared" si="685"/>
        <v/>
      </c>
      <c r="BD1958" s="743" t="str">
        <f t="shared" si="686"/>
        <v/>
      </c>
      <c r="BE1958" s="743" t="str">
        <f>IF(D1958="","",VLOOKUP(D1958,'General Basis'!$J$39:$K$46,2,0))</f>
        <v/>
      </c>
      <c r="BF1958" s="744" t="str">
        <f>IF(D1958="","",VLOOKUP(D1958,'General Basis'!$J$39:$L$46,3,0))</f>
        <v/>
      </c>
      <c r="BG1958" s="744" t="str">
        <f t="shared" si="693"/>
        <v/>
      </c>
      <c r="BH1958" s="744" t="str">
        <f>IF(G1958="","",IF(BF1958="Abu Dhabi",IF(G1958&lt;18,'General Basis'!$C$39,IF(G1958&lt;41,'General Basis'!$C$40,IF(G1958&lt;60,'General Basis'!$C$41,IF(G1958&lt;65,'General Basis'!$C$42,'General Basis'!$C$43)))),IF(G1958&lt;11,'General Basis'!$B$39,IF(G1958&lt;18,'General Basis'!$B$40,IF(G1958&lt;26,'General Basis'!$B$41,IF(G1958&lt;31,'General Basis'!$B$42,IF(G1958&lt;36,'General Basis'!$B$43,IF(G1958&lt;41,'General Basis'!$B$44,IF(G1958&lt;46,'General Basis'!$B$45,IF(G1958&lt;51,'General Basis'!$B$46,IF(G1958&lt;56,'General Basis'!$B$47,IF(G1958&lt;60,'General Basis'!$B$48,IF(G1958&lt;65,'General Basis'!$B$49,'General Basis'!$B$50)))))))))))))</f>
        <v/>
      </c>
      <c r="BI1958" s="744" t="str">
        <f t="shared" si="687"/>
        <v/>
      </c>
      <c r="BJ1958" s="747" t="str">
        <f t="shared" si="694"/>
        <v/>
      </c>
      <c r="BK1958" s="498" t="str">
        <f t="shared" si="688"/>
        <v/>
      </c>
      <c r="BL1958" s="498" t="str">
        <f t="shared" si="689"/>
        <v/>
      </c>
    </row>
    <row r="1959" spans="1:64" x14ac:dyDescent="0.25">
      <c r="A1959" s="762">
        <f t="shared" si="690"/>
        <v>1954</v>
      </c>
      <c r="B1959" s="229"/>
      <c r="C1959" s="223"/>
      <c r="D1959" s="224"/>
      <c r="E1959" s="225"/>
      <c r="F1959" s="1036" t="str">
        <f t="shared" si="696"/>
        <v/>
      </c>
      <c r="G1959" s="1037" t="str">
        <f t="shared" si="691"/>
        <v/>
      </c>
      <c r="H1959" s="225"/>
      <c r="I1959" s="1013"/>
      <c r="J1959" s="1013"/>
      <c r="K1959" s="1028"/>
      <c r="L1959" s="1035" t="str">
        <f t="shared" si="695"/>
        <v/>
      </c>
      <c r="S1959" s="498"/>
      <c r="AJ1959" s="498"/>
      <c r="AM1959" s="498">
        <f t="shared" si="676"/>
        <v>0</v>
      </c>
      <c r="AN1959" s="498">
        <f t="shared" si="677"/>
        <v>0</v>
      </c>
      <c r="AO1959" s="498">
        <f t="shared" si="678"/>
        <v>0</v>
      </c>
      <c r="AP1959" s="498">
        <f t="shared" si="697"/>
        <v>0</v>
      </c>
      <c r="AQ1959" s="498">
        <f t="shared" si="692"/>
        <v>0</v>
      </c>
      <c r="AU1959" s="498">
        <f t="shared" si="679"/>
        <v>0</v>
      </c>
      <c r="AV1959" s="498">
        <f t="shared" si="680"/>
        <v>0</v>
      </c>
      <c r="AW1959" s="498">
        <f t="shared" si="681"/>
        <v>0</v>
      </c>
      <c r="AX1959" s="498">
        <f t="shared" si="682"/>
        <v>0</v>
      </c>
      <c r="AY1959" s="498">
        <f t="shared" si="683"/>
        <v>0</v>
      </c>
      <c r="BB1959" s="498" t="str">
        <f t="shared" si="684"/>
        <v/>
      </c>
      <c r="BC1959" s="743" t="str">
        <f t="shared" si="685"/>
        <v/>
      </c>
      <c r="BD1959" s="743" t="str">
        <f t="shared" si="686"/>
        <v/>
      </c>
      <c r="BE1959" s="743" t="str">
        <f>IF(D1959="","",VLOOKUP(D1959,'General Basis'!$J$39:$K$46,2,0))</f>
        <v/>
      </c>
      <c r="BF1959" s="744" t="str">
        <f>IF(D1959="","",VLOOKUP(D1959,'General Basis'!$J$39:$L$46,3,0))</f>
        <v/>
      </c>
      <c r="BG1959" s="744" t="str">
        <f t="shared" si="693"/>
        <v/>
      </c>
      <c r="BH1959" s="744" t="str">
        <f>IF(G1959="","",IF(BF1959="Abu Dhabi",IF(G1959&lt;18,'General Basis'!$C$39,IF(G1959&lt;41,'General Basis'!$C$40,IF(G1959&lt;60,'General Basis'!$C$41,IF(G1959&lt;65,'General Basis'!$C$42,'General Basis'!$C$43)))),IF(G1959&lt;11,'General Basis'!$B$39,IF(G1959&lt;18,'General Basis'!$B$40,IF(G1959&lt;26,'General Basis'!$B$41,IF(G1959&lt;31,'General Basis'!$B$42,IF(G1959&lt;36,'General Basis'!$B$43,IF(G1959&lt;41,'General Basis'!$B$44,IF(G1959&lt;46,'General Basis'!$B$45,IF(G1959&lt;51,'General Basis'!$B$46,IF(G1959&lt;56,'General Basis'!$B$47,IF(G1959&lt;60,'General Basis'!$B$48,IF(G1959&lt;65,'General Basis'!$B$49,'General Basis'!$B$50)))))))))))))</f>
        <v/>
      </c>
      <c r="BI1959" s="744" t="str">
        <f t="shared" si="687"/>
        <v/>
      </c>
      <c r="BJ1959" s="747" t="str">
        <f t="shared" si="694"/>
        <v/>
      </c>
      <c r="BK1959" s="498" t="str">
        <f t="shared" si="688"/>
        <v/>
      </c>
      <c r="BL1959" s="498" t="str">
        <f t="shared" si="689"/>
        <v/>
      </c>
    </row>
    <row r="1960" spans="1:64" x14ac:dyDescent="0.25">
      <c r="A1960" s="762">
        <f t="shared" si="690"/>
        <v>1955</v>
      </c>
      <c r="B1960" s="229"/>
      <c r="C1960" s="223"/>
      <c r="D1960" s="224"/>
      <c r="E1960" s="225"/>
      <c r="F1960" s="1036" t="str">
        <f t="shared" si="696"/>
        <v/>
      </c>
      <c r="G1960" s="1037" t="str">
        <f t="shared" si="691"/>
        <v/>
      </c>
      <c r="H1960" s="225"/>
      <c r="I1960" s="1013"/>
      <c r="J1960" s="1013"/>
      <c r="K1960" s="1028"/>
      <c r="L1960" s="1035" t="str">
        <f t="shared" si="695"/>
        <v/>
      </c>
      <c r="S1960" s="498"/>
      <c r="AJ1960" s="498"/>
      <c r="AM1960" s="498">
        <f t="shared" si="676"/>
        <v>0</v>
      </c>
      <c r="AN1960" s="498">
        <f t="shared" si="677"/>
        <v>0</v>
      </c>
      <c r="AO1960" s="498">
        <f t="shared" si="678"/>
        <v>0</v>
      </c>
      <c r="AP1960" s="498">
        <f t="shared" si="697"/>
        <v>0</v>
      </c>
      <c r="AQ1960" s="498">
        <f t="shared" si="692"/>
        <v>0</v>
      </c>
      <c r="AU1960" s="498">
        <f t="shared" si="679"/>
        <v>0</v>
      </c>
      <c r="AV1960" s="498">
        <f t="shared" si="680"/>
        <v>0</v>
      </c>
      <c r="AW1960" s="498">
        <f t="shared" si="681"/>
        <v>0</v>
      </c>
      <c r="AX1960" s="498">
        <f t="shared" si="682"/>
        <v>0</v>
      </c>
      <c r="AY1960" s="498">
        <f t="shared" si="683"/>
        <v>0</v>
      </c>
      <c r="BB1960" s="498" t="str">
        <f t="shared" si="684"/>
        <v/>
      </c>
      <c r="BC1960" s="743" t="str">
        <f t="shared" si="685"/>
        <v/>
      </c>
      <c r="BD1960" s="743" t="str">
        <f t="shared" si="686"/>
        <v/>
      </c>
      <c r="BE1960" s="743" t="str">
        <f>IF(D1960="","",VLOOKUP(D1960,'General Basis'!$J$39:$K$46,2,0))</f>
        <v/>
      </c>
      <c r="BF1960" s="744" t="str">
        <f>IF(D1960="","",VLOOKUP(D1960,'General Basis'!$J$39:$L$46,3,0))</f>
        <v/>
      </c>
      <c r="BG1960" s="744" t="str">
        <f t="shared" si="693"/>
        <v/>
      </c>
      <c r="BH1960" s="744" t="str">
        <f>IF(G1960="","",IF(BF1960="Abu Dhabi",IF(G1960&lt;18,'General Basis'!$C$39,IF(G1960&lt;41,'General Basis'!$C$40,IF(G1960&lt;60,'General Basis'!$C$41,IF(G1960&lt;65,'General Basis'!$C$42,'General Basis'!$C$43)))),IF(G1960&lt;11,'General Basis'!$B$39,IF(G1960&lt;18,'General Basis'!$B$40,IF(G1960&lt;26,'General Basis'!$B$41,IF(G1960&lt;31,'General Basis'!$B$42,IF(G1960&lt;36,'General Basis'!$B$43,IF(G1960&lt;41,'General Basis'!$B$44,IF(G1960&lt;46,'General Basis'!$B$45,IF(G1960&lt;51,'General Basis'!$B$46,IF(G1960&lt;56,'General Basis'!$B$47,IF(G1960&lt;60,'General Basis'!$B$48,IF(G1960&lt;65,'General Basis'!$B$49,'General Basis'!$B$50)))))))))))))</f>
        <v/>
      </c>
      <c r="BI1960" s="744" t="str">
        <f t="shared" si="687"/>
        <v/>
      </c>
      <c r="BJ1960" s="747" t="str">
        <f t="shared" si="694"/>
        <v/>
      </c>
      <c r="BK1960" s="498" t="str">
        <f t="shared" si="688"/>
        <v/>
      </c>
      <c r="BL1960" s="498" t="str">
        <f t="shared" si="689"/>
        <v/>
      </c>
    </row>
    <row r="1961" spans="1:64" x14ac:dyDescent="0.25">
      <c r="A1961" s="762">
        <f t="shared" si="690"/>
        <v>1956</v>
      </c>
      <c r="B1961" s="229"/>
      <c r="C1961" s="223"/>
      <c r="D1961" s="224"/>
      <c r="E1961" s="225"/>
      <c r="F1961" s="1036" t="str">
        <f t="shared" si="696"/>
        <v/>
      </c>
      <c r="G1961" s="1037" t="str">
        <f t="shared" si="691"/>
        <v/>
      </c>
      <c r="H1961" s="225"/>
      <c r="I1961" s="1013"/>
      <c r="J1961" s="1013"/>
      <c r="K1961" s="1028"/>
      <c r="L1961" s="1035" t="str">
        <f t="shared" si="695"/>
        <v/>
      </c>
      <c r="S1961" s="498"/>
      <c r="AJ1961" s="498"/>
      <c r="AM1961" s="498">
        <f t="shared" si="676"/>
        <v>0</v>
      </c>
      <c r="AN1961" s="498">
        <f t="shared" si="677"/>
        <v>0</v>
      </c>
      <c r="AO1961" s="498">
        <f t="shared" si="678"/>
        <v>0</v>
      </c>
      <c r="AP1961" s="498">
        <f t="shared" si="697"/>
        <v>0</v>
      </c>
      <c r="AQ1961" s="498">
        <f t="shared" si="692"/>
        <v>0</v>
      </c>
      <c r="AU1961" s="498">
        <f t="shared" si="679"/>
        <v>0</v>
      </c>
      <c r="AV1961" s="498">
        <f t="shared" si="680"/>
        <v>0</v>
      </c>
      <c r="AW1961" s="498">
        <f t="shared" si="681"/>
        <v>0</v>
      </c>
      <c r="AX1961" s="498">
        <f t="shared" si="682"/>
        <v>0</v>
      </c>
      <c r="AY1961" s="498">
        <f t="shared" si="683"/>
        <v>0</v>
      </c>
      <c r="BB1961" s="498" t="str">
        <f t="shared" si="684"/>
        <v/>
      </c>
      <c r="BC1961" s="743" t="str">
        <f t="shared" si="685"/>
        <v/>
      </c>
      <c r="BD1961" s="743" t="str">
        <f t="shared" si="686"/>
        <v/>
      </c>
      <c r="BE1961" s="743" t="str">
        <f>IF(D1961="","",VLOOKUP(D1961,'General Basis'!$J$39:$K$46,2,0))</f>
        <v/>
      </c>
      <c r="BF1961" s="744" t="str">
        <f>IF(D1961="","",VLOOKUP(D1961,'General Basis'!$J$39:$L$46,3,0))</f>
        <v/>
      </c>
      <c r="BG1961" s="744" t="str">
        <f t="shared" si="693"/>
        <v/>
      </c>
      <c r="BH1961" s="744" t="str">
        <f>IF(G1961="","",IF(BF1961="Abu Dhabi",IF(G1961&lt;18,'General Basis'!$C$39,IF(G1961&lt;41,'General Basis'!$C$40,IF(G1961&lt;60,'General Basis'!$C$41,IF(G1961&lt;65,'General Basis'!$C$42,'General Basis'!$C$43)))),IF(G1961&lt;11,'General Basis'!$B$39,IF(G1961&lt;18,'General Basis'!$B$40,IF(G1961&lt;26,'General Basis'!$B$41,IF(G1961&lt;31,'General Basis'!$B$42,IF(G1961&lt;36,'General Basis'!$B$43,IF(G1961&lt;41,'General Basis'!$B$44,IF(G1961&lt;46,'General Basis'!$B$45,IF(G1961&lt;51,'General Basis'!$B$46,IF(G1961&lt;56,'General Basis'!$B$47,IF(G1961&lt;60,'General Basis'!$B$48,IF(G1961&lt;65,'General Basis'!$B$49,'General Basis'!$B$50)))))))))))))</f>
        <v/>
      </c>
      <c r="BI1961" s="744" t="str">
        <f t="shared" si="687"/>
        <v/>
      </c>
      <c r="BJ1961" s="747" t="str">
        <f t="shared" si="694"/>
        <v/>
      </c>
      <c r="BK1961" s="498" t="str">
        <f t="shared" si="688"/>
        <v/>
      </c>
      <c r="BL1961" s="498" t="str">
        <f t="shared" si="689"/>
        <v/>
      </c>
    </row>
    <row r="1962" spans="1:64" x14ac:dyDescent="0.25">
      <c r="A1962" s="762">
        <f t="shared" si="690"/>
        <v>1957</v>
      </c>
      <c r="B1962" s="229"/>
      <c r="C1962" s="223"/>
      <c r="D1962" s="224"/>
      <c r="E1962" s="225"/>
      <c r="F1962" s="1036" t="str">
        <f t="shared" si="696"/>
        <v/>
      </c>
      <c r="G1962" s="1037" t="str">
        <f t="shared" si="691"/>
        <v/>
      </c>
      <c r="H1962" s="225"/>
      <c r="I1962" s="1013"/>
      <c r="J1962" s="1013"/>
      <c r="K1962" s="1028"/>
      <c r="L1962" s="1035" t="str">
        <f t="shared" si="695"/>
        <v/>
      </c>
      <c r="S1962" s="498"/>
      <c r="AJ1962" s="498"/>
      <c r="AM1962" s="498">
        <f t="shared" si="676"/>
        <v>0</v>
      </c>
      <c r="AN1962" s="498">
        <f t="shared" si="677"/>
        <v>0</v>
      </c>
      <c r="AO1962" s="498">
        <f t="shared" si="678"/>
        <v>0</v>
      </c>
      <c r="AP1962" s="498">
        <f t="shared" si="697"/>
        <v>0</v>
      </c>
      <c r="AQ1962" s="498">
        <f t="shared" si="692"/>
        <v>0</v>
      </c>
      <c r="AU1962" s="498">
        <f t="shared" si="679"/>
        <v>0</v>
      </c>
      <c r="AV1962" s="498">
        <f t="shared" si="680"/>
        <v>0</v>
      </c>
      <c r="AW1962" s="498">
        <f t="shared" si="681"/>
        <v>0</v>
      </c>
      <c r="AX1962" s="498">
        <f t="shared" si="682"/>
        <v>0</v>
      </c>
      <c r="AY1962" s="498">
        <f t="shared" si="683"/>
        <v>0</v>
      </c>
      <c r="BB1962" s="498" t="str">
        <f t="shared" si="684"/>
        <v/>
      </c>
      <c r="BC1962" s="743" t="str">
        <f t="shared" si="685"/>
        <v/>
      </c>
      <c r="BD1962" s="743" t="str">
        <f t="shared" si="686"/>
        <v/>
      </c>
      <c r="BE1962" s="743" t="str">
        <f>IF(D1962="","",VLOOKUP(D1962,'General Basis'!$J$39:$K$46,2,0))</f>
        <v/>
      </c>
      <c r="BF1962" s="744" t="str">
        <f>IF(D1962="","",VLOOKUP(D1962,'General Basis'!$J$39:$L$46,3,0))</f>
        <v/>
      </c>
      <c r="BG1962" s="744" t="str">
        <f t="shared" si="693"/>
        <v/>
      </c>
      <c r="BH1962" s="744" t="str">
        <f>IF(G1962="","",IF(BF1962="Abu Dhabi",IF(G1962&lt;18,'General Basis'!$C$39,IF(G1962&lt;41,'General Basis'!$C$40,IF(G1962&lt;60,'General Basis'!$C$41,IF(G1962&lt;65,'General Basis'!$C$42,'General Basis'!$C$43)))),IF(G1962&lt;11,'General Basis'!$B$39,IF(G1962&lt;18,'General Basis'!$B$40,IF(G1962&lt;26,'General Basis'!$B$41,IF(G1962&lt;31,'General Basis'!$B$42,IF(G1962&lt;36,'General Basis'!$B$43,IF(G1962&lt;41,'General Basis'!$B$44,IF(G1962&lt;46,'General Basis'!$B$45,IF(G1962&lt;51,'General Basis'!$B$46,IF(G1962&lt;56,'General Basis'!$B$47,IF(G1962&lt;60,'General Basis'!$B$48,IF(G1962&lt;65,'General Basis'!$B$49,'General Basis'!$B$50)))))))))))))</f>
        <v/>
      </c>
      <c r="BI1962" s="744" t="str">
        <f t="shared" si="687"/>
        <v/>
      </c>
      <c r="BJ1962" s="747" t="str">
        <f t="shared" si="694"/>
        <v/>
      </c>
      <c r="BK1962" s="498" t="str">
        <f t="shared" si="688"/>
        <v/>
      </c>
      <c r="BL1962" s="498" t="str">
        <f t="shared" si="689"/>
        <v/>
      </c>
    </row>
    <row r="1963" spans="1:64" x14ac:dyDescent="0.25">
      <c r="A1963" s="762">
        <f t="shared" si="690"/>
        <v>1958</v>
      </c>
      <c r="B1963" s="229"/>
      <c r="C1963" s="223"/>
      <c r="D1963" s="224"/>
      <c r="E1963" s="225"/>
      <c r="F1963" s="1036" t="str">
        <f t="shared" si="696"/>
        <v/>
      </c>
      <c r="G1963" s="1037" t="str">
        <f t="shared" si="691"/>
        <v/>
      </c>
      <c r="H1963" s="225"/>
      <c r="I1963" s="1013"/>
      <c r="J1963" s="1013"/>
      <c r="K1963" s="1028"/>
      <c r="L1963" s="1035" t="str">
        <f t="shared" si="695"/>
        <v/>
      </c>
      <c r="S1963" s="498"/>
      <c r="AJ1963" s="498"/>
      <c r="AM1963" s="498">
        <f t="shared" si="676"/>
        <v>0</v>
      </c>
      <c r="AN1963" s="498">
        <f t="shared" si="677"/>
        <v>0</v>
      </c>
      <c r="AO1963" s="498">
        <f t="shared" si="678"/>
        <v>0</v>
      </c>
      <c r="AP1963" s="498">
        <f t="shared" si="697"/>
        <v>0</v>
      </c>
      <c r="AQ1963" s="498">
        <f t="shared" si="692"/>
        <v>0</v>
      </c>
      <c r="AU1963" s="498">
        <f t="shared" si="679"/>
        <v>0</v>
      </c>
      <c r="AV1963" s="498">
        <f t="shared" si="680"/>
        <v>0</v>
      </c>
      <c r="AW1963" s="498">
        <f t="shared" si="681"/>
        <v>0</v>
      </c>
      <c r="AX1963" s="498">
        <f t="shared" si="682"/>
        <v>0</v>
      </c>
      <c r="AY1963" s="498">
        <f t="shared" si="683"/>
        <v>0</v>
      </c>
      <c r="BB1963" s="498" t="str">
        <f t="shared" si="684"/>
        <v/>
      </c>
      <c r="BC1963" s="743" t="str">
        <f t="shared" si="685"/>
        <v/>
      </c>
      <c r="BD1963" s="743" t="str">
        <f t="shared" si="686"/>
        <v/>
      </c>
      <c r="BE1963" s="743" t="str">
        <f>IF(D1963="","",VLOOKUP(D1963,'General Basis'!$J$39:$K$46,2,0))</f>
        <v/>
      </c>
      <c r="BF1963" s="744" t="str">
        <f>IF(D1963="","",VLOOKUP(D1963,'General Basis'!$J$39:$L$46,3,0))</f>
        <v/>
      </c>
      <c r="BG1963" s="744" t="str">
        <f t="shared" si="693"/>
        <v/>
      </c>
      <c r="BH1963" s="744" t="str">
        <f>IF(G1963="","",IF(BF1963="Abu Dhabi",IF(G1963&lt;18,'General Basis'!$C$39,IF(G1963&lt;41,'General Basis'!$C$40,IF(G1963&lt;60,'General Basis'!$C$41,IF(G1963&lt;65,'General Basis'!$C$42,'General Basis'!$C$43)))),IF(G1963&lt;11,'General Basis'!$B$39,IF(G1963&lt;18,'General Basis'!$B$40,IF(G1963&lt;26,'General Basis'!$B$41,IF(G1963&lt;31,'General Basis'!$B$42,IF(G1963&lt;36,'General Basis'!$B$43,IF(G1963&lt;41,'General Basis'!$B$44,IF(G1963&lt;46,'General Basis'!$B$45,IF(G1963&lt;51,'General Basis'!$B$46,IF(G1963&lt;56,'General Basis'!$B$47,IF(G1963&lt;60,'General Basis'!$B$48,IF(G1963&lt;65,'General Basis'!$B$49,'General Basis'!$B$50)))))))))))))</f>
        <v/>
      </c>
      <c r="BI1963" s="744" t="str">
        <f t="shared" si="687"/>
        <v/>
      </c>
      <c r="BJ1963" s="747" t="str">
        <f t="shared" si="694"/>
        <v/>
      </c>
      <c r="BK1963" s="498" t="str">
        <f t="shared" si="688"/>
        <v/>
      </c>
      <c r="BL1963" s="498" t="str">
        <f t="shared" si="689"/>
        <v/>
      </c>
    </row>
    <row r="1964" spans="1:64" x14ac:dyDescent="0.25">
      <c r="A1964" s="762">
        <f t="shared" si="690"/>
        <v>1959</v>
      </c>
      <c r="B1964" s="229"/>
      <c r="C1964" s="223"/>
      <c r="D1964" s="224"/>
      <c r="E1964" s="225"/>
      <c r="F1964" s="1036" t="str">
        <f t="shared" si="696"/>
        <v/>
      </c>
      <c r="G1964" s="1037" t="str">
        <f t="shared" si="691"/>
        <v/>
      </c>
      <c r="H1964" s="225"/>
      <c r="I1964" s="1013"/>
      <c r="J1964" s="1013"/>
      <c r="K1964" s="1028"/>
      <c r="L1964" s="1035" t="str">
        <f t="shared" si="695"/>
        <v/>
      </c>
      <c r="S1964" s="498"/>
      <c r="AJ1964" s="498"/>
      <c r="AM1964" s="498">
        <f t="shared" si="676"/>
        <v>0</v>
      </c>
      <c r="AN1964" s="498">
        <f t="shared" si="677"/>
        <v>0</v>
      </c>
      <c r="AO1964" s="498">
        <f t="shared" si="678"/>
        <v>0</v>
      </c>
      <c r="AP1964" s="498">
        <f t="shared" si="697"/>
        <v>0</v>
      </c>
      <c r="AQ1964" s="498">
        <f t="shared" si="692"/>
        <v>0</v>
      </c>
      <c r="AU1964" s="498">
        <f t="shared" si="679"/>
        <v>0</v>
      </c>
      <c r="AV1964" s="498">
        <f t="shared" si="680"/>
        <v>0</v>
      </c>
      <c r="AW1964" s="498">
        <f t="shared" si="681"/>
        <v>0</v>
      </c>
      <c r="AX1964" s="498">
        <f t="shared" si="682"/>
        <v>0</v>
      </c>
      <c r="AY1964" s="498">
        <f t="shared" si="683"/>
        <v>0</v>
      </c>
      <c r="BB1964" s="498" t="str">
        <f t="shared" si="684"/>
        <v/>
      </c>
      <c r="BC1964" s="743" t="str">
        <f t="shared" si="685"/>
        <v/>
      </c>
      <c r="BD1964" s="743" t="str">
        <f t="shared" si="686"/>
        <v/>
      </c>
      <c r="BE1964" s="743" t="str">
        <f>IF(D1964="","",VLOOKUP(D1964,'General Basis'!$J$39:$K$46,2,0))</f>
        <v/>
      </c>
      <c r="BF1964" s="744" t="str">
        <f>IF(D1964="","",VLOOKUP(D1964,'General Basis'!$J$39:$L$46,3,0))</f>
        <v/>
      </c>
      <c r="BG1964" s="744" t="str">
        <f t="shared" si="693"/>
        <v/>
      </c>
      <c r="BH1964" s="744" t="str">
        <f>IF(G1964="","",IF(BF1964="Abu Dhabi",IF(G1964&lt;18,'General Basis'!$C$39,IF(G1964&lt;41,'General Basis'!$C$40,IF(G1964&lt;60,'General Basis'!$C$41,IF(G1964&lt;65,'General Basis'!$C$42,'General Basis'!$C$43)))),IF(G1964&lt;11,'General Basis'!$B$39,IF(G1964&lt;18,'General Basis'!$B$40,IF(G1964&lt;26,'General Basis'!$B$41,IF(G1964&lt;31,'General Basis'!$B$42,IF(G1964&lt;36,'General Basis'!$B$43,IF(G1964&lt;41,'General Basis'!$B$44,IF(G1964&lt;46,'General Basis'!$B$45,IF(G1964&lt;51,'General Basis'!$B$46,IF(G1964&lt;56,'General Basis'!$B$47,IF(G1964&lt;60,'General Basis'!$B$48,IF(G1964&lt;65,'General Basis'!$B$49,'General Basis'!$B$50)))))))))))))</f>
        <v/>
      </c>
      <c r="BI1964" s="744" t="str">
        <f t="shared" si="687"/>
        <v/>
      </c>
      <c r="BJ1964" s="747" t="str">
        <f t="shared" si="694"/>
        <v/>
      </c>
      <c r="BK1964" s="498" t="str">
        <f t="shared" si="688"/>
        <v/>
      </c>
      <c r="BL1964" s="498" t="str">
        <f t="shared" si="689"/>
        <v/>
      </c>
    </row>
    <row r="1965" spans="1:64" x14ac:dyDescent="0.25">
      <c r="A1965" s="762">
        <f t="shared" si="690"/>
        <v>1960</v>
      </c>
      <c r="B1965" s="229"/>
      <c r="C1965" s="223"/>
      <c r="D1965" s="224"/>
      <c r="E1965" s="225"/>
      <c r="F1965" s="1036" t="str">
        <f t="shared" si="696"/>
        <v/>
      </c>
      <c r="G1965" s="1037" t="str">
        <f t="shared" si="691"/>
        <v/>
      </c>
      <c r="H1965" s="225"/>
      <c r="I1965" s="1013"/>
      <c r="J1965" s="1013"/>
      <c r="K1965" s="1028"/>
      <c r="L1965" s="1035" t="str">
        <f t="shared" si="695"/>
        <v/>
      </c>
      <c r="S1965" s="498"/>
      <c r="AJ1965" s="498"/>
      <c r="AM1965" s="498">
        <f t="shared" si="676"/>
        <v>0</v>
      </c>
      <c r="AN1965" s="498">
        <f t="shared" si="677"/>
        <v>0</v>
      </c>
      <c r="AO1965" s="498">
        <f t="shared" si="678"/>
        <v>0</v>
      </c>
      <c r="AP1965" s="498">
        <f t="shared" si="697"/>
        <v>0</v>
      </c>
      <c r="AQ1965" s="498">
        <f t="shared" si="692"/>
        <v>0</v>
      </c>
      <c r="AU1965" s="498">
        <f t="shared" si="679"/>
        <v>0</v>
      </c>
      <c r="AV1965" s="498">
        <f t="shared" si="680"/>
        <v>0</v>
      </c>
      <c r="AW1965" s="498">
        <f t="shared" si="681"/>
        <v>0</v>
      </c>
      <c r="AX1965" s="498">
        <f t="shared" si="682"/>
        <v>0</v>
      </c>
      <c r="AY1965" s="498">
        <f t="shared" si="683"/>
        <v>0</v>
      </c>
      <c r="BB1965" s="498" t="str">
        <f t="shared" si="684"/>
        <v/>
      </c>
      <c r="BC1965" s="743" t="str">
        <f t="shared" si="685"/>
        <v/>
      </c>
      <c r="BD1965" s="743" t="str">
        <f t="shared" si="686"/>
        <v/>
      </c>
      <c r="BE1965" s="743" t="str">
        <f>IF(D1965="","",VLOOKUP(D1965,'General Basis'!$J$39:$K$46,2,0))</f>
        <v/>
      </c>
      <c r="BF1965" s="744" t="str">
        <f>IF(D1965="","",VLOOKUP(D1965,'General Basis'!$J$39:$L$46,3,0))</f>
        <v/>
      </c>
      <c r="BG1965" s="744" t="str">
        <f t="shared" si="693"/>
        <v/>
      </c>
      <c r="BH1965" s="744" t="str">
        <f>IF(G1965="","",IF(BF1965="Abu Dhabi",IF(G1965&lt;18,'General Basis'!$C$39,IF(G1965&lt;41,'General Basis'!$C$40,IF(G1965&lt;60,'General Basis'!$C$41,IF(G1965&lt;65,'General Basis'!$C$42,'General Basis'!$C$43)))),IF(G1965&lt;11,'General Basis'!$B$39,IF(G1965&lt;18,'General Basis'!$B$40,IF(G1965&lt;26,'General Basis'!$B$41,IF(G1965&lt;31,'General Basis'!$B$42,IF(G1965&lt;36,'General Basis'!$B$43,IF(G1965&lt;41,'General Basis'!$B$44,IF(G1965&lt;46,'General Basis'!$B$45,IF(G1965&lt;51,'General Basis'!$B$46,IF(G1965&lt;56,'General Basis'!$B$47,IF(G1965&lt;60,'General Basis'!$B$48,IF(G1965&lt;65,'General Basis'!$B$49,'General Basis'!$B$50)))))))))))))</f>
        <v/>
      </c>
      <c r="BI1965" s="744" t="str">
        <f t="shared" si="687"/>
        <v/>
      </c>
      <c r="BJ1965" s="747" t="str">
        <f t="shared" si="694"/>
        <v/>
      </c>
      <c r="BK1965" s="498" t="str">
        <f t="shared" si="688"/>
        <v/>
      </c>
      <c r="BL1965" s="498" t="str">
        <f t="shared" si="689"/>
        <v/>
      </c>
    </row>
    <row r="1966" spans="1:64" x14ac:dyDescent="0.25">
      <c r="A1966" s="762">
        <f t="shared" si="690"/>
        <v>1961</v>
      </c>
      <c r="B1966" s="229"/>
      <c r="C1966" s="223"/>
      <c r="D1966" s="224"/>
      <c r="E1966" s="225"/>
      <c r="F1966" s="1036" t="str">
        <f t="shared" si="696"/>
        <v/>
      </c>
      <c r="G1966" s="1037" t="str">
        <f t="shared" si="691"/>
        <v/>
      </c>
      <c r="H1966" s="225"/>
      <c r="I1966" s="1013"/>
      <c r="J1966" s="1013"/>
      <c r="K1966" s="1028"/>
      <c r="L1966" s="1035" t="str">
        <f t="shared" si="695"/>
        <v/>
      </c>
      <c r="S1966" s="498"/>
      <c r="AJ1966" s="498"/>
      <c r="AM1966" s="498">
        <f t="shared" si="676"/>
        <v>0</v>
      </c>
      <c r="AN1966" s="498">
        <f t="shared" si="677"/>
        <v>0</v>
      </c>
      <c r="AO1966" s="498">
        <f t="shared" si="678"/>
        <v>0</v>
      </c>
      <c r="AP1966" s="498">
        <f t="shared" si="697"/>
        <v>0</v>
      </c>
      <c r="AQ1966" s="498">
        <f t="shared" si="692"/>
        <v>0</v>
      </c>
      <c r="AU1966" s="498">
        <f t="shared" si="679"/>
        <v>0</v>
      </c>
      <c r="AV1966" s="498">
        <f t="shared" si="680"/>
        <v>0</v>
      </c>
      <c r="AW1966" s="498">
        <f t="shared" si="681"/>
        <v>0</v>
      </c>
      <c r="AX1966" s="498">
        <f t="shared" si="682"/>
        <v>0</v>
      </c>
      <c r="AY1966" s="498">
        <f t="shared" si="683"/>
        <v>0</v>
      </c>
      <c r="BB1966" s="498" t="str">
        <f t="shared" si="684"/>
        <v/>
      </c>
      <c r="BC1966" s="743" t="str">
        <f t="shared" si="685"/>
        <v/>
      </c>
      <c r="BD1966" s="743" t="str">
        <f t="shared" si="686"/>
        <v/>
      </c>
      <c r="BE1966" s="743" t="str">
        <f>IF(D1966="","",VLOOKUP(D1966,'General Basis'!$J$39:$K$46,2,0))</f>
        <v/>
      </c>
      <c r="BF1966" s="744" t="str">
        <f>IF(D1966="","",VLOOKUP(D1966,'General Basis'!$J$39:$L$46,3,0))</f>
        <v/>
      </c>
      <c r="BG1966" s="744" t="str">
        <f t="shared" si="693"/>
        <v/>
      </c>
      <c r="BH1966" s="744" t="str">
        <f>IF(G1966="","",IF(BF1966="Abu Dhabi",IF(G1966&lt;18,'General Basis'!$C$39,IF(G1966&lt;41,'General Basis'!$C$40,IF(G1966&lt;60,'General Basis'!$C$41,IF(G1966&lt;65,'General Basis'!$C$42,'General Basis'!$C$43)))),IF(G1966&lt;11,'General Basis'!$B$39,IF(G1966&lt;18,'General Basis'!$B$40,IF(G1966&lt;26,'General Basis'!$B$41,IF(G1966&lt;31,'General Basis'!$B$42,IF(G1966&lt;36,'General Basis'!$B$43,IF(G1966&lt;41,'General Basis'!$B$44,IF(G1966&lt;46,'General Basis'!$B$45,IF(G1966&lt;51,'General Basis'!$B$46,IF(G1966&lt;56,'General Basis'!$B$47,IF(G1966&lt;60,'General Basis'!$B$48,IF(G1966&lt;65,'General Basis'!$B$49,'General Basis'!$B$50)))))))))))))</f>
        <v/>
      </c>
      <c r="BI1966" s="744" t="str">
        <f t="shared" si="687"/>
        <v/>
      </c>
      <c r="BJ1966" s="747" t="str">
        <f t="shared" si="694"/>
        <v/>
      </c>
      <c r="BK1966" s="498" t="str">
        <f t="shared" si="688"/>
        <v/>
      </c>
      <c r="BL1966" s="498" t="str">
        <f t="shared" si="689"/>
        <v/>
      </c>
    </row>
    <row r="1967" spans="1:64" x14ac:dyDescent="0.25">
      <c r="A1967" s="762">
        <f t="shared" si="690"/>
        <v>1962</v>
      </c>
      <c r="B1967" s="229"/>
      <c r="C1967" s="223"/>
      <c r="D1967" s="224"/>
      <c r="E1967" s="225"/>
      <c r="F1967" s="1036" t="str">
        <f t="shared" si="696"/>
        <v/>
      </c>
      <c r="G1967" s="1037" t="str">
        <f t="shared" si="691"/>
        <v/>
      </c>
      <c r="H1967" s="225"/>
      <c r="I1967" s="1013"/>
      <c r="J1967" s="1013"/>
      <c r="K1967" s="1028"/>
      <c r="L1967" s="1035" t="str">
        <f t="shared" si="695"/>
        <v/>
      </c>
      <c r="S1967" s="498"/>
      <c r="AJ1967" s="498"/>
      <c r="AM1967" s="498">
        <f t="shared" si="676"/>
        <v>0</v>
      </c>
      <c r="AN1967" s="498">
        <f t="shared" si="677"/>
        <v>0</v>
      </c>
      <c r="AO1967" s="498">
        <f t="shared" si="678"/>
        <v>0</v>
      </c>
      <c r="AP1967" s="498">
        <f t="shared" si="697"/>
        <v>0</v>
      </c>
      <c r="AQ1967" s="498">
        <f t="shared" si="692"/>
        <v>0</v>
      </c>
      <c r="AU1967" s="498">
        <f t="shared" si="679"/>
        <v>0</v>
      </c>
      <c r="AV1967" s="498">
        <f t="shared" si="680"/>
        <v>0</v>
      </c>
      <c r="AW1967" s="498">
        <f t="shared" si="681"/>
        <v>0</v>
      </c>
      <c r="AX1967" s="498">
        <f t="shared" si="682"/>
        <v>0</v>
      </c>
      <c r="AY1967" s="498">
        <f t="shared" si="683"/>
        <v>0</v>
      </c>
      <c r="BB1967" s="498" t="str">
        <f t="shared" si="684"/>
        <v/>
      </c>
      <c r="BC1967" s="743" t="str">
        <f t="shared" si="685"/>
        <v/>
      </c>
      <c r="BD1967" s="743" t="str">
        <f t="shared" si="686"/>
        <v/>
      </c>
      <c r="BE1967" s="743" t="str">
        <f>IF(D1967="","",VLOOKUP(D1967,'General Basis'!$J$39:$K$46,2,0))</f>
        <v/>
      </c>
      <c r="BF1967" s="744" t="str">
        <f>IF(D1967="","",VLOOKUP(D1967,'General Basis'!$J$39:$L$46,3,0))</f>
        <v/>
      </c>
      <c r="BG1967" s="744" t="str">
        <f t="shared" si="693"/>
        <v/>
      </c>
      <c r="BH1967" s="744" t="str">
        <f>IF(G1967="","",IF(BF1967="Abu Dhabi",IF(G1967&lt;18,'General Basis'!$C$39,IF(G1967&lt;41,'General Basis'!$C$40,IF(G1967&lt;60,'General Basis'!$C$41,IF(G1967&lt;65,'General Basis'!$C$42,'General Basis'!$C$43)))),IF(G1967&lt;11,'General Basis'!$B$39,IF(G1967&lt;18,'General Basis'!$B$40,IF(G1967&lt;26,'General Basis'!$B$41,IF(G1967&lt;31,'General Basis'!$B$42,IF(G1967&lt;36,'General Basis'!$B$43,IF(G1967&lt;41,'General Basis'!$B$44,IF(G1967&lt;46,'General Basis'!$B$45,IF(G1967&lt;51,'General Basis'!$B$46,IF(G1967&lt;56,'General Basis'!$B$47,IF(G1967&lt;60,'General Basis'!$B$48,IF(G1967&lt;65,'General Basis'!$B$49,'General Basis'!$B$50)))))))))))))</f>
        <v/>
      </c>
      <c r="BI1967" s="744" t="str">
        <f t="shared" si="687"/>
        <v/>
      </c>
      <c r="BJ1967" s="747" t="str">
        <f t="shared" si="694"/>
        <v/>
      </c>
      <c r="BK1967" s="498" t="str">
        <f t="shared" si="688"/>
        <v/>
      </c>
      <c r="BL1967" s="498" t="str">
        <f t="shared" si="689"/>
        <v/>
      </c>
    </row>
    <row r="1968" spans="1:64" x14ac:dyDescent="0.25">
      <c r="A1968" s="762">
        <f t="shared" si="690"/>
        <v>1963</v>
      </c>
      <c r="B1968" s="229"/>
      <c r="C1968" s="223"/>
      <c r="D1968" s="224"/>
      <c r="E1968" s="225"/>
      <c r="F1968" s="1036" t="str">
        <f t="shared" si="696"/>
        <v/>
      </c>
      <c r="G1968" s="1037" t="str">
        <f t="shared" si="691"/>
        <v/>
      </c>
      <c r="H1968" s="225"/>
      <c r="I1968" s="1013"/>
      <c r="J1968" s="1013"/>
      <c r="K1968" s="1028"/>
      <c r="L1968" s="1035" t="str">
        <f t="shared" si="695"/>
        <v/>
      </c>
      <c r="S1968" s="498"/>
      <c r="AJ1968" s="498"/>
      <c r="AM1968" s="498">
        <f t="shared" si="676"/>
        <v>0</v>
      </c>
      <c r="AN1968" s="498">
        <f t="shared" si="677"/>
        <v>0</v>
      </c>
      <c r="AO1968" s="498">
        <f t="shared" si="678"/>
        <v>0</v>
      </c>
      <c r="AP1968" s="498">
        <f t="shared" si="697"/>
        <v>0</v>
      </c>
      <c r="AQ1968" s="498">
        <f t="shared" si="692"/>
        <v>0</v>
      </c>
      <c r="AU1968" s="498">
        <f t="shared" si="679"/>
        <v>0</v>
      </c>
      <c r="AV1968" s="498">
        <f t="shared" si="680"/>
        <v>0</v>
      </c>
      <c r="AW1968" s="498">
        <f t="shared" si="681"/>
        <v>0</v>
      </c>
      <c r="AX1968" s="498">
        <f t="shared" si="682"/>
        <v>0</v>
      </c>
      <c r="AY1968" s="498">
        <f t="shared" si="683"/>
        <v>0</v>
      </c>
      <c r="BB1968" s="498" t="str">
        <f t="shared" si="684"/>
        <v/>
      </c>
      <c r="BC1968" s="743" t="str">
        <f t="shared" si="685"/>
        <v/>
      </c>
      <c r="BD1968" s="743" t="str">
        <f t="shared" si="686"/>
        <v/>
      </c>
      <c r="BE1968" s="743" t="str">
        <f>IF(D1968="","",VLOOKUP(D1968,'General Basis'!$J$39:$K$46,2,0))</f>
        <v/>
      </c>
      <c r="BF1968" s="744" t="str">
        <f>IF(D1968="","",VLOOKUP(D1968,'General Basis'!$J$39:$L$46,3,0))</f>
        <v/>
      </c>
      <c r="BG1968" s="744" t="str">
        <f t="shared" si="693"/>
        <v/>
      </c>
      <c r="BH1968" s="744" t="str">
        <f>IF(G1968="","",IF(BF1968="Abu Dhabi",IF(G1968&lt;18,'General Basis'!$C$39,IF(G1968&lt;41,'General Basis'!$C$40,IF(G1968&lt;60,'General Basis'!$C$41,IF(G1968&lt;65,'General Basis'!$C$42,'General Basis'!$C$43)))),IF(G1968&lt;11,'General Basis'!$B$39,IF(G1968&lt;18,'General Basis'!$B$40,IF(G1968&lt;26,'General Basis'!$B$41,IF(G1968&lt;31,'General Basis'!$B$42,IF(G1968&lt;36,'General Basis'!$B$43,IF(G1968&lt;41,'General Basis'!$B$44,IF(G1968&lt;46,'General Basis'!$B$45,IF(G1968&lt;51,'General Basis'!$B$46,IF(G1968&lt;56,'General Basis'!$B$47,IF(G1968&lt;60,'General Basis'!$B$48,IF(G1968&lt;65,'General Basis'!$B$49,'General Basis'!$B$50)))))))))))))</f>
        <v/>
      </c>
      <c r="BI1968" s="744" t="str">
        <f t="shared" si="687"/>
        <v/>
      </c>
      <c r="BJ1968" s="747" t="str">
        <f t="shared" si="694"/>
        <v/>
      </c>
      <c r="BK1968" s="498" t="str">
        <f t="shared" si="688"/>
        <v/>
      </c>
      <c r="BL1968" s="498" t="str">
        <f t="shared" si="689"/>
        <v/>
      </c>
    </row>
    <row r="1969" spans="1:64" x14ac:dyDescent="0.25">
      <c r="A1969" s="762">
        <f t="shared" si="690"/>
        <v>1964</v>
      </c>
      <c r="B1969" s="229"/>
      <c r="C1969" s="223"/>
      <c r="D1969" s="224"/>
      <c r="E1969" s="225"/>
      <c r="F1969" s="1036" t="str">
        <f t="shared" si="696"/>
        <v/>
      </c>
      <c r="G1969" s="1037" t="str">
        <f t="shared" si="691"/>
        <v/>
      </c>
      <c r="H1969" s="225"/>
      <c r="I1969" s="1013"/>
      <c r="J1969" s="1013"/>
      <c r="K1969" s="1028"/>
      <c r="L1969" s="1035" t="str">
        <f t="shared" si="695"/>
        <v/>
      </c>
      <c r="S1969" s="498"/>
      <c r="AJ1969" s="498"/>
      <c r="AM1969" s="498">
        <f t="shared" si="676"/>
        <v>0</v>
      </c>
      <c r="AN1969" s="498">
        <f t="shared" si="677"/>
        <v>0</v>
      </c>
      <c r="AO1969" s="498">
        <f t="shared" si="678"/>
        <v>0</v>
      </c>
      <c r="AP1969" s="498">
        <f t="shared" si="697"/>
        <v>0</v>
      </c>
      <c r="AQ1969" s="498">
        <f t="shared" si="692"/>
        <v>0</v>
      </c>
      <c r="AU1969" s="498">
        <f t="shared" si="679"/>
        <v>0</v>
      </c>
      <c r="AV1969" s="498">
        <f t="shared" si="680"/>
        <v>0</v>
      </c>
      <c r="AW1969" s="498">
        <f t="shared" si="681"/>
        <v>0</v>
      </c>
      <c r="AX1969" s="498">
        <f t="shared" si="682"/>
        <v>0</v>
      </c>
      <c r="AY1969" s="498">
        <f t="shared" si="683"/>
        <v>0</v>
      </c>
      <c r="BB1969" s="498" t="str">
        <f t="shared" si="684"/>
        <v/>
      </c>
      <c r="BC1969" s="743" t="str">
        <f t="shared" si="685"/>
        <v/>
      </c>
      <c r="BD1969" s="743" t="str">
        <f t="shared" si="686"/>
        <v/>
      </c>
      <c r="BE1969" s="743" t="str">
        <f>IF(D1969="","",VLOOKUP(D1969,'General Basis'!$J$39:$K$46,2,0))</f>
        <v/>
      </c>
      <c r="BF1969" s="744" t="str">
        <f>IF(D1969="","",VLOOKUP(D1969,'General Basis'!$J$39:$L$46,3,0))</f>
        <v/>
      </c>
      <c r="BG1969" s="744" t="str">
        <f t="shared" si="693"/>
        <v/>
      </c>
      <c r="BH1969" s="744" t="str">
        <f>IF(G1969="","",IF(BF1969="Abu Dhabi",IF(G1969&lt;18,'General Basis'!$C$39,IF(G1969&lt;41,'General Basis'!$C$40,IF(G1969&lt;60,'General Basis'!$C$41,IF(G1969&lt;65,'General Basis'!$C$42,'General Basis'!$C$43)))),IF(G1969&lt;11,'General Basis'!$B$39,IF(G1969&lt;18,'General Basis'!$B$40,IF(G1969&lt;26,'General Basis'!$B$41,IF(G1969&lt;31,'General Basis'!$B$42,IF(G1969&lt;36,'General Basis'!$B$43,IF(G1969&lt;41,'General Basis'!$B$44,IF(G1969&lt;46,'General Basis'!$B$45,IF(G1969&lt;51,'General Basis'!$B$46,IF(G1969&lt;56,'General Basis'!$B$47,IF(G1969&lt;60,'General Basis'!$B$48,IF(G1969&lt;65,'General Basis'!$B$49,'General Basis'!$B$50)))))))))))))</f>
        <v/>
      </c>
      <c r="BI1969" s="744" t="str">
        <f t="shared" si="687"/>
        <v/>
      </c>
      <c r="BJ1969" s="747" t="str">
        <f t="shared" si="694"/>
        <v/>
      </c>
      <c r="BK1969" s="498" t="str">
        <f t="shared" si="688"/>
        <v/>
      </c>
      <c r="BL1969" s="498" t="str">
        <f t="shared" si="689"/>
        <v/>
      </c>
    </row>
    <row r="1970" spans="1:64" x14ac:dyDescent="0.25">
      <c r="A1970" s="762">
        <f t="shared" si="690"/>
        <v>1965</v>
      </c>
      <c r="B1970" s="229"/>
      <c r="C1970" s="223"/>
      <c r="D1970" s="224"/>
      <c r="E1970" s="225"/>
      <c r="F1970" s="1036" t="str">
        <f t="shared" si="696"/>
        <v/>
      </c>
      <c r="G1970" s="1037" t="str">
        <f t="shared" si="691"/>
        <v/>
      </c>
      <c r="H1970" s="225"/>
      <c r="I1970" s="1013"/>
      <c r="J1970" s="1013"/>
      <c r="K1970" s="1028"/>
      <c r="L1970" s="1035" t="str">
        <f t="shared" si="695"/>
        <v/>
      </c>
      <c r="S1970" s="498"/>
      <c r="AJ1970" s="498"/>
      <c r="AM1970" s="498">
        <f t="shared" si="676"/>
        <v>0</v>
      </c>
      <c r="AN1970" s="498">
        <f t="shared" si="677"/>
        <v>0</v>
      </c>
      <c r="AO1970" s="498">
        <f t="shared" si="678"/>
        <v>0</v>
      </c>
      <c r="AP1970" s="498">
        <f t="shared" si="697"/>
        <v>0</v>
      </c>
      <c r="AQ1970" s="498">
        <f t="shared" si="692"/>
        <v>0</v>
      </c>
      <c r="AU1970" s="498">
        <f t="shared" si="679"/>
        <v>0</v>
      </c>
      <c r="AV1970" s="498">
        <f t="shared" si="680"/>
        <v>0</v>
      </c>
      <c r="AW1970" s="498">
        <f t="shared" si="681"/>
        <v>0</v>
      </c>
      <c r="AX1970" s="498">
        <f t="shared" si="682"/>
        <v>0</v>
      </c>
      <c r="AY1970" s="498">
        <f t="shared" si="683"/>
        <v>0</v>
      </c>
      <c r="BB1970" s="498" t="str">
        <f t="shared" si="684"/>
        <v/>
      </c>
      <c r="BC1970" s="743" t="str">
        <f t="shared" si="685"/>
        <v/>
      </c>
      <c r="BD1970" s="743" t="str">
        <f t="shared" si="686"/>
        <v/>
      </c>
      <c r="BE1970" s="743" t="str">
        <f>IF(D1970="","",VLOOKUP(D1970,'General Basis'!$J$39:$K$46,2,0))</f>
        <v/>
      </c>
      <c r="BF1970" s="744" t="str">
        <f>IF(D1970="","",VLOOKUP(D1970,'General Basis'!$J$39:$L$46,3,0))</f>
        <v/>
      </c>
      <c r="BG1970" s="744" t="str">
        <f t="shared" si="693"/>
        <v/>
      </c>
      <c r="BH1970" s="744" t="str">
        <f>IF(G1970="","",IF(BF1970="Abu Dhabi",IF(G1970&lt;18,'General Basis'!$C$39,IF(G1970&lt;41,'General Basis'!$C$40,IF(G1970&lt;60,'General Basis'!$C$41,IF(G1970&lt;65,'General Basis'!$C$42,'General Basis'!$C$43)))),IF(G1970&lt;11,'General Basis'!$B$39,IF(G1970&lt;18,'General Basis'!$B$40,IF(G1970&lt;26,'General Basis'!$B$41,IF(G1970&lt;31,'General Basis'!$B$42,IF(G1970&lt;36,'General Basis'!$B$43,IF(G1970&lt;41,'General Basis'!$B$44,IF(G1970&lt;46,'General Basis'!$B$45,IF(G1970&lt;51,'General Basis'!$B$46,IF(G1970&lt;56,'General Basis'!$B$47,IF(G1970&lt;60,'General Basis'!$B$48,IF(G1970&lt;65,'General Basis'!$B$49,'General Basis'!$B$50)))))))))))))</f>
        <v/>
      </c>
      <c r="BI1970" s="744" t="str">
        <f t="shared" si="687"/>
        <v/>
      </c>
      <c r="BJ1970" s="747" t="str">
        <f t="shared" si="694"/>
        <v/>
      </c>
      <c r="BK1970" s="498" t="str">
        <f t="shared" si="688"/>
        <v/>
      </c>
      <c r="BL1970" s="498" t="str">
        <f t="shared" si="689"/>
        <v/>
      </c>
    </row>
    <row r="1971" spans="1:64" x14ac:dyDescent="0.25">
      <c r="A1971" s="762">
        <f t="shared" si="690"/>
        <v>1966</v>
      </c>
      <c r="B1971" s="229"/>
      <c r="C1971" s="223"/>
      <c r="D1971" s="224"/>
      <c r="E1971" s="225"/>
      <c r="F1971" s="1036" t="str">
        <f t="shared" si="696"/>
        <v/>
      </c>
      <c r="G1971" s="1037" t="str">
        <f t="shared" si="691"/>
        <v/>
      </c>
      <c r="H1971" s="225"/>
      <c r="I1971" s="1013"/>
      <c r="J1971" s="1013"/>
      <c r="K1971" s="1028"/>
      <c r="L1971" s="1035" t="str">
        <f t="shared" si="695"/>
        <v/>
      </c>
      <c r="S1971" s="498"/>
      <c r="AJ1971" s="498"/>
      <c r="AM1971" s="498">
        <f t="shared" si="676"/>
        <v>0</v>
      </c>
      <c r="AN1971" s="498">
        <f t="shared" si="677"/>
        <v>0</v>
      </c>
      <c r="AO1971" s="498">
        <f t="shared" si="678"/>
        <v>0</v>
      </c>
      <c r="AP1971" s="498">
        <f t="shared" si="697"/>
        <v>0</v>
      </c>
      <c r="AQ1971" s="498">
        <f t="shared" si="692"/>
        <v>0</v>
      </c>
      <c r="AU1971" s="498">
        <f t="shared" si="679"/>
        <v>0</v>
      </c>
      <c r="AV1971" s="498">
        <f t="shared" si="680"/>
        <v>0</v>
      </c>
      <c r="AW1971" s="498">
        <f t="shared" si="681"/>
        <v>0</v>
      </c>
      <c r="AX1971" s="498">
        <f t="shared" si="682"/>
        <v>0</v>
      </c>
      <c r="AY1971" s="498">
        <f t="shared" si="683"/>
        <v>0</v>
      </c>
      <c r="BB1971" s="498" t="str">
        <f t="shared" si="684"/>
        <v/>
      </c>
      <c r="BC1971" s="743" t="str">
        <f t="shared" si="685"/>
        <v/>
      </c>
      <c r="BD1971" s="743" t="str">
        <f t="shared" si="686"/>
        <v/>
      </c>
      <c r="BE1971" s="743" t="str">
        <f>IF(D1971="","",VLOOKUP(D1971,'General Basis'!$J$39:$K$46,2,0))</f>
        <v/>
      </c>
      <c r="BF1971" s="744" t="str">
        <f>IF(D1971="","",VLOOKUP(D1971,'General Basis'!$J$39:$L$46,3,0))</f>
        <v/>
      </c>
      <c r="BG1971" s="744" t="str">
        <f t="shared" si="693"/>
        <v/>
      </c>
      <c r="BH1971" s="744" t="str">
        <f>IF(G1971="","",IF(BF1971="Abu Dhabi",IF(G1971&lt;18,'General Basis'!$C$39,IF(G1971&lt;41,'General Basis'!$C$40,IF(G1971&lt;60,'General Basis'!$C$41,IF(G1971&lt;65,'General Basis'!$C$42,'General Basis'!$C$43)))),IF(G1971&lt;11,'General Basis'!$B$39,IF(G1971&lt;18,'General Basis'!$B$40,IF(G1971&lt;26,'General Basis'!$B$41,IF(G1971&lt;31,'General Basis'!$B$42,IF(G1971&lt;36,'General Basis'!$B$43,IF(G1971&lt;41,'General Basis'!$B$44,IF(G1971&lt;46,'General Basis'!$B$45,IF(G1971&lt;51,'General Basis'!$B$46,IF(G1971&lt;56,'General Basis'!$B$47,IF(G1971&lt;60,'General Basis'!$B$48,IF(G1971&lt;65,'General Basis'!$B$49,'General Basis'!$B$50)))))))))))))</f>
        <v/>
      </c>
      <c r="BI1971" s="744" t="str">
        <f t="shared" si="687"/>
        <v/>
      </c>
      <c r="BJ1971" s="747" t="str">
        <f t="shared" si="694"/>
        <v/>
      </c>
      <c r="BK1971" s="498" t="str">
        <f t="shared" si="688"/>
        <v/>
      </c>
      <c r="BL1971" s="498" t="str">
        <f t="shared" si="689"/>
        <v/>
      </c>
    </row>
    <row r="1972" spans="1:64" x14ac:dyDescent="0.25">
      <c r="A1972" s="762">
        <f t="shared" si="690"/>
        <v>1967</v>
      </c>
      <c r="B1972" s="229"/>
      <c r="C1972" s="223"/>
      <c r="D1972" s="224"/>
      <c r="E1972" s="225"/>
      <c r="F1972" s="1036" t="str">
        <f t="shared" si="696"/>
        <v/>
      </c>
      <c r="G1972" s="1037" t="str">
        <f t="shared" si="691"/>
        <v/>
      </c>
      <c r="H1972" s="225"/>
      <c r="I1972" s="1013"/>
      <c r="J1972" s="1013"/>
      <c r="K1972" s="1028"/>
      <c r="L1972" s="1035" t="str">
        <f t="shared" si="695"/>
        <v/>
      </c>
      <c r="S1972" s="498"/>
      <c r="AJ1972" s="498"/>
      <c r="AM1972" s="498">
        <f t="shared" si="676"/>
        <v>0</v>
      </c>
      <c r="AN1972" s="498">
        <f t="shared" si="677"/>
        <v>0</v>
      </c>
      <c r="AO1972" s="498">
        <f t="shared" si="678"/>
        <v>0</v>
      </c>
      <c r="AP1972" s="498">
        <f t="shared" si="697"/>
        <v>0</v>
      </c>
      <c r="AQ1972" s="498">
        <f t="shared" si="692"/>
        <v>0</v>
      </c>
      <c r="AU1972" s="498">
        <f t="shared" si="679"/>
        <v>0</v>
      </c>
      <c r="AV1972" s="498">
        <f t="shared" si="680"/>
        <v>0</v>
      </c>
      <c r="AW1972" s="498">
        <f t="shared" si="681"/>
        <v>0</v>
      </c>
      <c r="AX1972" s="498">
        <f t="shared" si="682"/>
        <v>0</v>
      </c>
      <c r="AY1972" s="498">
        <f t="shared" si="683"/>
        <v>0</v>
      </c>
      <c r="BB1972" s="498" t="str">
        <f t="shared" si="684"/>
        <v/>
      </c>
      <c r="BC1972" s="743" t="str">
        <f t="shared" si="685"/>
        <v/>
      </c>
      <c r="BD1972" s="743" t="str">
        <f t="shared" si="686"/>
        <v/>
      </c>
      <c r="BE1972" s="743" t="str">
        <f>IF(D1972="","",VLOOKUP(D1972,'General Basis'!$J$39:$K$46,2,0))</f>
        <v/>
      </c>
      <c r="BF1972" s="744" t="str">
        <f>IF(D1972="","",VLOOKUP(D1972,'General Basis'!$J$39:$L$46,3,0))</f>
        <v/>
      </c>
      <c r="BG1972" s="744" t="str">
        <f t="shared" si="693"/>
        <v/>
      </c>
      <c r="BH1972" s="744" t="str">
        <f>IF(G1972="","",IF(BF1972="Abu Dhabi",IF(G1972&lt;18,'General Basis'!$C$39,IF(G1972&lt;41,'General Basis'!$C$40,IF(G1972&lt;60,'General Basis'!$C$41,IF(G1972&lt;65,'General Basis'!$C$42,'General Basis'!$C$43)))),IF(G1972&lt;11,'General Basis'!$B$39,IF(G1972&lt;18,'General Basis'!$B$40,IF(G1972&lt;26,'General Basis'!$B$41,IF(G1972&lt;31,'General Basis'!$B$42,IF(G1972&lt;36,'General Basis'!$B$43,IF(G1972&lt;41,'General Basis'!$B$44,IF(G1972&lt;46,'General Basis'!$B$45,IF(G1972&lt;51,'General Basis'!$B$46,IF(G1972&lt;56,'General Basis'!$B$47,IF(G1972&lt;60,'General Basis'!$B$48,IF(G1972&lt;65,'General Basis'!$B$49,'General Basis'!$B$50)))))))))))))</f>
        <v/>
      </c>
      <c r="BI1972" s="744" t="str">
        <f t="shared" si="687"/>
        <v/>
      </c>
      <c r="BJ1972" s="747" t="str">
        <f t="shared" si="694"/>
        <v/>
      </c>
      <c r="BK1972" s="498" t="str">
        <f t="shared" si="688"/>
        <v/>
      </c>
      <c r="BL1972" s="498" t="str">
        <f t="shared" si="689"/>
        <v/>
      </c>
    </row>
    <row r="1973" spans="1:64" x14ac:dyDescent="0.25">
      <c r="A1973" s="762">
        <f t="shared" si="690"/>
        <v>1968</v>
      </c>
      <c r="B1973" s="229"/>
      <c r="C1973" s="223"/>
      <c r="D1973" s="224"/>
      <c r="E1973" s="225"/>
      <c r="F1973" s="1036" t="str">
        <f t="shared" si="696"/>
        <v/>
      </c>
      <c r="G1973" s="1037" t="str">
        <f t="shared" si="691"/>
        <v/>
      </c>
      <c r="H1973" s="225"/>
      <c r="I1973" s="1013"/>
      <c r="J1973" s="1013"/>
      <c r="K1973" s="1028"/>
      <c r="L1973" s="1035" t="str">
        <f t="shared" si="695"/>
        <v/>
      </c>
      <c r="S1973" s="498"/>
      <c r="AJ1973" s="498"/>
      <c r="AM1973" s="498">
        <f t="shared" si="676"/>
        <v>0</v>
      </c>
      <c r="AN1973" s="498">
        <f t="shared" si="677"/>
        <v>0</v>
      </c>
      <c r="AO1973" s="498">
        <f t="shared" si="678"/>
        <v>0</v>
      </c>
      <c r="AP1973" s="498">
        <f t="shared" si="697"/>
        <v>0</v>
      </c>
      <c r="AQ1973" s="498">
        <f t="shared" si="692"/>
        <v>0</v>
      </c>
      <c r="AU1973" s="498">
        <f t="shared" si="679"/>
        <v>0</v>
      </c>
      <c r="AV1973" s="498">
        <f t="shared" si="680"/>
        <v>0</v>
      </c>
      <c r="AW1973" s="498">
        <f t="shared" si="681"/>
        <v>0</v>
      </c>
      <c r="AX1973" s="498">
        <f t="shared" si="682"/>
        <v>0</v>
      </c>
      <c r="AY1973" s="498">
        <f t="shared" si="683"/>
        <v>0</v>
      </c>
      <c r="BB1973" s="498" t="str">
        <f t="shared" si="684"/>
        <v/>
      </c>
      <c r="BC1973" s="743" t="str">
        <f t="shared" si="685"/>
        <v/>
      </c>
      <c r="BD1973" s="743" t="str">
        <f t="shared" si="686"/>
        <v/>
      </c>
      <c r="BE1973" s="743" t="str">
        <f>IF(D1973="","",VLOOKUP(D1973,'General Basis'!$J$39:$K$46,2,0))</f>
        <v/>
      </c>
      <c r="BF1973" s="744" t="str">
        <f>IF(D1973="","",VLOOKUP(D1973,'General Basis'!$J$39:$L$46,3,0))</f>
        <v/>
      </c>
      <c r="BG1973" s="744" t="str">
        <f t="shared" si="693"/>
        <v/>
      </c>
      <c r="BH1973" s="744" t="str">
        <f>IF(G1973="","",IF(BF1973="Abu Dhabi",IF(G1973&lt;18,'General Basis'!$C$39,IF(G1973&lt;41,'General Basis'!$C$40,IF(G1973&lt;60,'General Basis'!$C$41,IF(G1973&lt;65,'General Basis'!$C$42,'General Basis'!$C$43)))),IF(G1973&lt;11,'General Basis'!$B$39,IF(G1973&lt;18,'General Basis'!$B$40,IF(G1973&lt;26,'General Basis'!$B$41,IF(G1973&lt;31,'General Basis'!$B$42,IF(G1973&lt;36,'General Basis'!$B$43,IF(G1973&lt;41,'General Basis'!$B$44,IF(G1973&lt;46,'General Basis'!$B$45,IF(G1973&lt;51,'General Basis'!$B$46,IF(G1973&lt;56,'General Basis'!$B$47,IF(G1973&lt;60,'General Basis'!$B$48,IF(G1973&lt;65,'General Basis'!$B$49,'General Basis'!$B$50)))))))))))))</f>
        <v/>
      </c>
      <c r="BI1973" s="744" t="str">
        <f t="shared" si="687"/>
        <v/>
      </c>
      <c r="BJ1973" s="747" t="str">
        <f t="shared" si="694"/>
        <v/>
      </c>
      <c r="BK1973" s="498" t="str">
        <f t="shared" si="688"/>
        <v/>
      </c>
      <c r="BL1973" s="498" t="str">
        <f t="shared" si="689"/>
        <v/>
      </c>
    </row>
    <row r="1974" spans="1:64" x14ac:dyDescent="0.25">
      <c r="A1974" s="762">
        <f t="shared" si="690"/>
        <v>1969</v>
      </c>
      <c r="B1974" s="229"/>
      <c r="C1974" s="223"/>
      <c r="D1974" s="224"/>
      <c r="E1974" s="225"/>
      <c r="F1974" s="1036" t="str">
        <f t="shared" si="696"/>
        <v/>
      </c>
      <c r="G1974" s="1037" t="str">
        <f t="shared" si="691"/>
        <v/>
      </c>
      <c r="H1974" s="225"/>
      <c r="I1974" s="1013"/>
      <c r="J1974" s="1013"/>
      <c r="K1974" s="1028"/>
      <c r="L1974" s="1035" t="str">
        <f t="shared" si="695"/>
        <v/>
      </c>
      <c r="S1974" s="498"/>
      <c r="AJ1974" s="498"/>
      <c r="AM1974" s="498">
        <f t="shared" si="676"/>
        <v>0</v>
      </c>
      <c r="AN1974" s="498">
        <f t="shared" si="677"/>
        <v>0</v>
      </c>
      <c r="AO1974" s="498">
        <f t="shared" si="678"/>
        <v>0</v>
      </c>
      <c r="AP1974" s="498">
        <f t="shared" si="697"/>
        <v>0</v>
      </c>
      <c r="AQ1974" s="498">
        <f t="shared" si="692"/>
        <v>0</v>
      </c>
      <c r="AU1974" s="498">
        <f t="shared" si="679"/>
        <v>0</v>
      </c>
      <c r="AV1974" s="498">
        <f t="shared" si="680"/>
        <v>0</v>
      </c>
      <c r="AW1974" s="498">
        <f t="shared" si="681"/>
        <v>0</v>
      </c>
      <c r="AX1974" s="498">
        <f t="shared" si="682"/>
        <v>0</v>
      </c>
      <c r="AY1974" s="498">
        <f t="shared" si="683"/>
        <v>0</v>
      </c>
      <c r="BB1974" s="498" t="str">
        <f t="shared" si="684"/>
        <v/>
      </c>
      <c r="BC1974" s="743" t="str">
        <f t="shared" si="685"/>
        <v/>
      </c>
      <c r="BD1974" s="743" t="str">
        <f t="shared" si="686"/>
        <v/>
      </c>
      <c r="BE1974" s="743" t="str">
        <f>IF(D1974="","",VLOOKUP(D1974,'General Basis'!$J$39:$K$46,2,0))</f>
        <v/>
      </c>
      <c r="BF1974" s="744" t="str">
        <f>IF(D1974="","",VLOOKUP(D1974,'General Basis'!$J$39:$L$46,3,0))</f>
        <v/>
      </c>
      <c r="BG1974" s="744" t="str">
        <f t="shared" si="693"/>
        <v/>
      </c>
      <c r="BH1974" s="744" t="str">
        <f>IF(G1974="","",IF(BF1974="Abu Dhabi",IF(G1974&lt;18,'General Basis'!$C$39,IF(G1974&lt;41,'General Basis'!$C$40,IF(G1974&lt;60,'General Basis'!$C$41,IF(G1974&lt;65,'General Basis'!$C$42,'General Basis'!$C$43)))),IF(G1974&lt;11,'General Basis'!$B$39,IF(G1974&lt;18,'General Basis'!$B$40,IF(G1974&lt;26,'General Basis'!$B$41,IF(G1974&lt;31,'General Basis'!$B$42,IF(G1974&lt;36,'General Basis'!$B$43,IF(G1974&lt;41,'General Basis'!$B$44,IF(G1974&lt;46,'General Basis'!$B$45,IF(G1974&lt;51,'General Basis'!$B$46,IF(G1974&lt;56,'General Basis'!$B$47,IF(G1974&lt;60,'General Basis'!$B$48,IF(G1974&lt;65,'General Basis'!$B$49,'General Basis'!$B$50)))))))))))))</f>
        <v/>
      </c>
      <c r="BI1974" s="744" t="str">
        <f t="shared" si="687"/>
        <v/>
      </c>
      <c r="BJ1974" s="747" t="str">
        <f t="shared" si="694"/>
        <v/>
      </c>
      <c r="BK1974" s="498" t="str">
        <f t="shared" si="688"/>
        <v/>
      </c>
      <c r="BL1974" s="498" t="str">
        <f t="shared" si="689"/>
        <v/>
      </c>
    </row>
    <row r="1975" spans="1:64" x14ac:dyDescent="0.25">
      <c r="A1975" s="762">
        <f t="shared" si="690"/>
        <v>1970</v>
      </c>
      <c r="B1975" s="229"/>
      <c r="C1975" s="223"/>
      <c r="D1975" s="224"/>
      <c r="E1975" s="225"/>
      <c r="F1975" s="1036" t="str">
        <f t="shared" si="696"/>
        <v/>
      </c>
      <c r="G1975" s="1037" t="str">
        <f t="shared" si="691"/>
        <v/>
      </c>
      <c r="H1975" s="225"/>
      <c r="I1975" s="1013"/>
      <c r="J1975" s="1013"/>
      <c r="K1975" s="1028"/>
      <c r="L1975" s="1035" t="str">
        <f t="shared" si="695"/>
        <v/>
      </c>
      <c r="S1975" s="498"/>
      <c r="AJ1975" s="498"/>
      <c r="AM1975" s="498">
        <f t="shared" si="676"/>
        <v>0</v>
      </c>
      <c r="AN1975" s="498">
        <f t="shared" si="677"/>
        <v>0</v>
      </c>
      <c r="AO1975" s="498">
        <f t="shared" si="678"/>
        <v>0</v>
      </c>
      <c r="AP1975" s="498">
        <f t="shared" si="697"/>
        <v>0</v>
      </c>
      <c r="AQ1975" s="498">
        <f t="shared" si="692"/>
        <v>0</v>
      </c>
      <c r="AU1975" s="498">
        <f t="shared" si="679"/>
        <v>0</v>
      </c>
      <c r="AV1975" s="498">
        <f t="shared" si="680"/>
        <v>0</v>
      </c>
      <c r="AW1975" s="498">
        <f t="shared" si="681"/>
        <v>0</v>
      </c>
      <c r="AX1975" s="498">
        <f t="shared" si="682"/>
        <v>0</v>
      </c>
      <c r="AY1975" s="498">
        <f t="shared" si="683"/>
        <v>0</v>
      </c>
      <c r="BB1975" s="498" t="str">
        <f t="shared" si="684"/>
        <v/>
      </c>
      <c r="BC1975" s="743" t="str">
        <f t="shared" si="685"/>
        <v/>
      </c>
      <c r="BD1975" s="743" t="str">
        <f t="shared" si="686"/>
        <v/>
      </c>
      <c r="BE1975" s="743" t="str">
        <f>IF(D1975="","",VLOOKUP(D1975,'General Basis'!$J$39:$K$46,2,0))</f>
        <v/>
      </c>
      <c r="BF1975" s="744" t="str">
        <f>IF(D1975="","",VLOOKUP(D1975,'General Basis'!$J$39:$L$46,3,0))</f>
        <v/>
      </c>
      <c r="BG1975" s="744" t="str">
        <f t="shared" si="693"/>
        <v/>
      </c>
      <c r="BH1975" s="744" t="str">
        <f>IF(G1975="","",IF(BF1975="Abu Dhabi",IF(G1975&lt;18,'General Basis'!$C$39,IF(G1975&lt;41,'General Basis'!$C$40,IF(G1975&lt;60,'General Basis'!$C$41,IF(G1975&lt;65,'General Basis'!$C$42,'General Basis'!$C$43)))),IF(G1975&lt;11,'General Basis'!$B$39,IF(G1975&lt;18,'General Basis'!$B$40,IF(G1975&lt;26,'General Basis'!$B$41,IF(G1975&lt;31,'General Basis'!$B$42,IF(G1975&lt;36,'General Basis'!$B$43,IF(G1975&lt;41,'General Basis'!$B$44,IF(G1975&lt;46,'General Basis'!$B$45,IF(G1975&lt;51,'General Basis'!$B$46,IF(G1975&lt;56,'General Basis'!$B$47,IF(G1975&lt;60,'General Basis'!$B$48,IF(G1975&lt;65,'General Basis'!$B$49,'General Basis'!$B$50)))))))))))))</f>
        <v/>
      </c>
      <c r="BI1975" s="744" t="str">
        <f t="shared" si="687"/>
        <v/>
      </c>
      <c r="BJ1975" s="747" t="str">
        <f t="shared" si="694"/>
        <v/>
      </c>
      <c r="BK1975" s="498" t="str">
        <f t="shared" si="688"/>
        <v/>
      </c>
      <c r="BL1975" s="498" t="str">
        <f t="shared" si="689"/>
        <v/>
      </c>
    </row>
    <row r="1976" spans="1:64" x14ac:dyDescent="0.25">
      <c r="A1976" s="762">
        <f t="shared" si="690"/>
        <v>1971</v>
      </c>
      <c r="B1976" s="229"/>
      <c r="C1976" s="223"/>
      <c r="D1976" s="224"/>
      <c r="E1976" s="225"/>
      <c r="F1976" s="1036" t="str">
        <f t="shared" si="696"/>
        <v/>
      </c>
      <c r="G1976" s="1037" t="str">
        <f t="shared" si="691"/>
        <v/>
      </c>
      <c r="H1976" s="225"/>
      <c r="I1976" s="1013"/>
      <c r="J1976" s="1013"/>
      <c r="K1976" s="1028"/>
      <c r="L1976" s="1035" t="str">
        <f t="shared" si="695"/>
        <v/>
      </c>
      <c r="S1976" s="498"/>
      <c r="AJ1976" s="498"/>
      <c r="AM1976" s="498">
        <f t="shared" si="676"/>
        <v>0</v>
      </c>
      <c r="AN1976" s="498">
        <f t="shared" si="677"/>
        <v>0</v>
      </c>
      <c r="AO1976" s="498">
        <f t="shared" si="678"/>
        <v>0</v>
      </c>
      <c r="AP1976" s="498">
        <f t="shared" si="697"/>
        <v>0</v>
      </c>
      <c r="AQ1976" s="498">
        <f t="shared" si="692"/>
        <v>0</v>
      </c>
      <c r="AU1976" s="498">
        <f t="shared" si="679"/>
        <v>0</v>
      </c>
      <c r="AV1976" s="498">
        <f t="shared" si="680"/>
        <v>0</v>
      </c>
      <c r="AW1976" s="498">
        <f t="shared" si="681"/>
        <v>0</v>
      </c>
      <c r="AX1976" s="498">
        <f t="shared" si="682"/>
        <v>0</v>
      </c>
      <c r="AY1976" s="498">
        <f t="shared" si="683"/>
        <v>0</v>
      </c>
      <c r="BB1976" s="498" t="str">
        <f t="shared" si="684"/>
        <v/>
      </c>
      <c r="BC1976" s="743" t="str">
        <f t="shared" si="685"/>
        <v/>
      </c>
      <c r="BD1976" s="743" t="str">
        <f t="shared" si="686"/>
        <v/>
      </c>
      <c r="BE1976" s="743" t="str">
        <f>IF(D1976="","",VLOOKUP(D1976,'General Basis'!$J$39:$K$46,2,0))</f>
        <v/>
      </c>
      <c r="BF1976" s="744" t="str">
        <f>IF(D1976="","",VLOOKUP(D1976,'General Basis'!$J$39:$L$46,3,0))</f>
        <v/>
      </c>
      <c r="BG1976" s="744" t="str">
        <f t="shared" si="693"/>
        <v/>
      </c>
      <c r="BH1976" s="744" t="str">
        <f>IF(G1976="","",IF(BF1976="Abu Dhabi",IF(G1976&lt;18,'General Basis'!$C$39,IF(G1976&lt;41,'General Basis'!$C$40,IF(G1976&lt;60,'General Basis'!$C$41,IF(G1976&lt;65,'General Basis'!$C$42,'General Basis'!$C$43)))),IF(G1976&lt;11,'General Basis'!$B$39,IF(G1976&lt;18,'General Basis'!$B$40,IF(G1976&lt;26,'General Basis'!$B$41,IF(G1976&lt;31,'General Basis'!$B$42,IF(G1976&lt;36,'General Basis'!$B$43,IF(G1976&lt;41,'General Basis'!$B$44,IF(G1976&lt;46,'General Basis'!$B$45,IF(G1976&lt;51,'General Basis'!$B$46,IF(G1976&lt;56,'General Basis'!$B$47,IF(G1976&lt;60,'General Basis'!$B$48,IF(G1976&lt;65,'General Basis'!$B$49,'General Basis'!$B$50)))))))))))))</f>
        <v/>
      </c>
      <c r="BI1976" s="744" t="str">
        <f t="shared" si="687"/>
        <v/>
      </c>
      <c r="BJ1976" s="747" t="str">
        <f t="shared" si="694"/>
        <v/>
      </c>
      <c r="BK1976" s="498" t="str">
        <f t="shared" si="688"/>
        <v/>
      </c>
      <c r="BL1976" s="498" t="str">
        <f t="shared" si="689"/>
        <v/>
      </c>
    </row>
    <row r="1977" spans="1:64" x14ac:dyDescent="0.25">
      <c r="A1977" s="762">
        <f t="shared" si="690"/>
        <v>1972</v>
      </c>
      <c r="B1977" s="229"/>
      <c r="C1977" s="223"/>
      <c r="D1977" s="224"/>
      <c r="E1977" s="225"/>
      <c r="F1977" s="1036" t="str">
        <f t="shared" si="696"/>
        <v/>
      </c>
      <c r="G1977" s="1037" t="str">
        <f t="shared" si="691"/>
        <v/>
      </c>
      <c r="H1977" s="225"/>
      <c r="I1977" s="1013"/>
      <c r="J1977" s="1013"/>
      <c r="K1977" s="1028"/>
      <c r="L1977" s="1035" t="str">
        <f t="shared" si="695"/>
        <v/>
      </c>
      <c r="S1977" s="498"/>
      <c r="AJ1977" s="498"/>
      <c r="AM1977" s="498">
        <f t="shared" si="676"/>
        <v>0</v>
      </c>
      <c r="AN1977" s="498">
        <f t="shared" si="677"/>
        <v>0</v>
      </c>
      <c r="AO1977" s="498">
        <f t="shared" si="678"/>
        <v>0</v>
      </c>
      <c r="AP1977" s="498">
        <f t="shared" si="697"/>
        <v>0</v>
      </c>
      <c r="AQ1977" s="498">
        <f t="shared" si="692"/>
        <v>0</v>
      </c>
      <c r="AU1977" s="498">
        <f t="shared" si="679"/>
        <v>0</v>
      </c>
      <c r="AV1977" s="498">
        <f t="shared" si="680"/>
        <v>0</v>
      </c>
      <c r="AW1977" s="498">
        <f t="shared" si="681"/>
        <v>0</v>
      </c>
      <c r="AX1977" s="498">
        <f t="shared" si="682"/>
        <v>0</v>
      </c>
      <c r="AY1977" s="498">
        <f t="shared" si="683"/>
        <v>0</v>
      </c>
      <c r="BB1977" s="498" t="str">
        <f t="shared" si="684"/>
        <v/>
      </c>
      <c r="BC1977" s="743" t="str">
        <f t="shared" si="685"/>
        <v/>
      </c>
      <c r="BD1977" s="743" t="str">
        <f t="shared" si="686"/>
        <v/>
      </c>
      <c r="BE1977" s="743" t="str">
        <f>IF(D1977="","",VLOOKUP(D1977,'General Basis'!$J$39:$K$46,2,0))</f>
        <v/>
      </c>
      <c r="BF1977" s="744" t="str">
        <f>IF(D1977="","",VLOOKUP(D1977,'General Basis'!$J$39:$L$46,3,0))</f>
        <v/>
      </c>
      <c r="BG1977" s="744" t="str">
        <f t="shared" si="693"/>
        <v/>
      </c>
      <c r="BH1977" s="744" t="str">
        <f>IF(G1977="","",IF(BF1977="Abu Dhabi",IF(G1977&lt;18,'General Basis'!$C$39,IF(G1977&lt;41,'General Basis'!$C$40,IF(G1977&lt;60,'General Basis'!$C$41,IF(G1977&lt;65,'General Basis'!$C$42,'General Basis'!$C$43)))),IF(G1977&lt;11,'General Basis'!$B$39,IF(G1977&lt;18,'General Basis'!$B$40,IF(G1977&lt;26,'General Basis'!$B$41,IF(G1977&lt;31,'General Basis'!$B$42,IF(G1977&lt;36,'General Basis'!$B$43,IF(G1977&lt;41,'General Basis'!$B$44,IF(G1977&lt;46,'General Basis'!$B$45,IF(G1977&lt;51,'General Basis'!$B$46,IF(G1977&lt;56,'General Basis'!$B$47,IF(G1977&lt;60,'General Basis'!$B$48,IF(G1977&lt;65,'General Basis'!$B$49,'General Basis'!$B$50)))))))))))))</f>
        <v/>
      </c>
      <c r="BI1977" s="744" t="str">
        <f t="shared" si="687"/>
        <v/>
      </c>
      <c r="BJ1977" s="747" t="str">
        <f t="shared" si="694"/>
        <v/>
      </c>
      <c r="BK1977" s="498" t="str">
        <f t="shared" si="688"/>
        <v/>
      </c>
      <c r="BL1977" s="498" t="str">
        <f t="shared" si="689"/>
        <v/>
      </c>
    </row>
    <row r="1978" spans="1:64" x14ac:dyDescent="0.25">
      <c r="A1978" s="762">
        <f t="shared" si="690"/>
        <v>1973</v>
      </c>
      <c r="B1978" s="229"/>
      <c r="C1978" s="223"/>
      <c r="D1978" s="224"/>
      <c r="E1978" s="225"/>
      <c r="F1978" s="1036" t="str">
        <f t="shared" si="696"/>
        <v/>
      </c>
      <c r="G1978" s="1037" t="str">
        <f t="shared" si="691"/>
        <v/>
      </c>
      <c r="H1978" s="225"/>
      <c r="I1978" s="1013"/>
      <c r="J1978" s="1013"/>
      <c r="K1978" s="1028"/>
      <c r="L1978" s="1035" t="str">
        <f t="shared" si="695"/>
        <v/>
      </c>
      <c r="S1978" s="498"/>
      <c r="AJ1978" s="498"/>
      <c r="AM1978" s="498">
        <f t="shared" si="676"/>
        <v>0</v>
      </c>
      <c r="AN1978" s="498">
        <f t="shared" si="677"/>
        <v>0</v>
      </c>
      <c r="AO1978" s="498">
        <f t="shared" si="678"/>
        <v>0</v>
      </c>
      <c r="AP1978" s="498">
        <f t="shared" si="697"/>
        <v>0</v>
      </c>
      <c r="AQ1978" s="498">
        <f t="shared" si="692"/>
        <v>0</v>
      </c>
      <c r="AU1978" s="498">
        <f t="shared" si="679"/>
        <v>0</v>
      </c>
      <c r="AV1978" s="498">
        <f t="shared" si="680"/>
        <v>0</v>
      </c>
      <c r="AW1978" s="498">
        <f t="shared" si="681"/>
        <v>0</v>
      </c>
      <c r="AX1978" s="498">
        <f t="shared" si="682"/>
        <v>0</v>
      </c>
      <c r="AY1978" s="498">
        <f t="shared" si="683"/>
        <v>0</v>
      </c>
      <c r="BB1978" s="498" t="str">
        <f t="shared" si="684"/>
        <v/>
      </c>
      <c r="BC1978" s="743" t="str">
        <f t="shared" si="685"/>
        <v/>
      </c>
      <c r="BD1978" s="743" t="str">
        <f t="shared" si="686"/>
        <v/>
      </c>
      <c r="BE1978" s="743" t="str">
        <f>IF(D1978="","",VLOOKUP(D1978,'General Basis'!$J$39:$K$46,2,0))</f>
        <v/>
      </c>
      <c r="BF1978" s="744" t="str">
        <f>IF(D1978="","",VLOOKUP(D1978,'General Basis'!$J$39:$L$46,3,0))</f>
        <v/>
      </c>
      <c r="BG1978" s="744" t="str">
        <f t="shared" si="693"/>
        <v/>
      </c>
      <c r="BH1978" s="744" t="str">
        <f>IF(G1978="","",IF(BF1978="Abu Dhabi",IF(G1978&lt;18,'General Basis'!$C$39,IF(G1978&lt;41,'General Basis'!$C$40,IF(G1978&lt;60,'General Basis'!$C$41,IF(G1978&lt;65,'General Basis'!$C$42,'General Basis'!$C$43)))),IF(G1978&lt;11,'General Basis'!$B$39,IF(G1978&lt;18,'General Basis'!$B$40,IF(G1978&lt;26,'General Basis'!$B$41,IF(G1978&lt;31,'General Basis'!$B$42,IF(G1978&lt;36,'General Basis'!$B$43,IF(G1978&lt;41,'General Basis'!$B$44,IF(G1978&lt;46,'General Basis'!$B$45,IF(G1978&lt;51,'General Basis'!$B$46,IF(G1978&lt;56,'General Basis'!$B$47,IF(G1978&lt;60,'General Basis'!$B$48,IF(G1978&lt;65,'General Basis'!$B$49,'General Basis'!$B$50)))))))))))))</f>
        <v/>
      </c>
      <c r="BI1978" s="744" t="str">
        <f t="shared" si="687"/>
        <v/>
      </c>
      <c r="BJ1978" s="747" t="str">
        <f t="shared" si="694"/>
        <v/>
      </c>
      <c r="BK1978" s="498" t="str">
        <f t="shared" si="688"/>
        <v/>
      </c>
      <c r="BL1978" s="498" t="str">
        <f t="shared" si="689"/>
        <v/>
      </c>
    </row>
    <row r="1979" spans="1:64" x14ac:dyDescent="0.25">
      <c r="A1979" s="762">
        <f t="shared" si="690"/>
        <v>1974</v>
      </c>
      <c r="B1979" s="229"/>
      <c r="C1979" s="223"/>
      <c r="D1979" s="224"/>
      <c r="E1979" s="225"/>
      <c r="F1979" s="1036" t="str">
        <f t="shared" si="696"/>
        <v/>
      </c>
      <c r="G1979" s="1037" t="str">
        <f t="shared" si="691"/>
        <v/>
      </c>
      <c r="H1979" s="225"/>
      <c r="I1979" s="1013"/>
      <c r="J1979" s="1013"/>
      <c r="K1979" s="1028"/>
      <c r="L1979" s="1035" t="str">
        <f t="shared" si="695"/>
        <v/>
      </c>
      <c r="S1979" s="498"/>
      <c r="AJ1979" s="498"/>
      <c r="AM1979" s="498">
        <f t="shared" si="676"/>
        <v>0</v>
      </c>
      <c r="AN1979" s="498">
        <f t="shared" si="677"/>
        <v>0</v>
      </c>
      <c r="AO1979" s="498">
        <f t="shared" si="678"/>
        <v>0</v>
      </c>
      <c r="AP1979" s="498">
        <f t="shared" si="697"/>
        <v>0</v>
      </c>
      <c r="AQ1979" s="498">
        <f t="shared" si="692"/>
        <v>0</v>
      </c>
      <c r="AU1979" s="498">
        <f t="shared" si="679"/>
        <v>0</v>
      </c>
      <c r="AV1979" s="498">
        <f t="shared" si="680"/>
        <v>0</v>
      </c>
      <c r="AW1979" s="498">
        <f t="shared" si="681"/>
        <v>0</v>
      </c>
      <c r="AX1979" s="498">
        <f t="shared" si="682"/>
        <v>0</v>
      </c>
      <c r="AY1979" s="498">
        <f t="shared" si="683"/>
        <v>0</v>
      </c>
      <c r="BB1979" s="498" t="str">
        <f t="shared" si="684"/>
        <v/>
      </c>
      <c r="BC1979" s="743" t="str">
        <f t="shared" si="685"/>
        <v/>
      </c>
      <c r="BD1979" s="743" t="str">
        <f t="shared" si="686"/>
        <v/>
      </c>
      <c r="BE1979" s="743" t="str">
        <f>IF(D1979="","",VLOOKUP(D1979,'General Basis'!$J$39:$K$46,2,0))</f>
        <v/>
      </c>
      <c r="BF1979" s="744" t="str">
        <f>IF(D1979="","",VLOOKUP(D1979,'General Basis'!$J$39:$L$46,3,0))</f>
        <v/>
      </c>
      <c r="BG1979" s="744" t="str">
        <f t="shared" si="693"/>
        <v/>
      </c>
      <c r="BH1979" s="744" t="str">
        <f>IF(G1979="","",IF(BF1979="Abu Dhabi",IF(G1979&lt;18,'General Basis'!$C$39,IF(G1979&lt;41,'General Basis'!$C$40,IF(G1979&lt;60,'General Basis'!$C$41,IF(G1979&lt;65,'General Basis'!$C$42,'General Basis'!$C$43)))),IF(G1979&lt;11,'General Basis'!$B$39,IF(G1979&lt;18,'General Basis'!$B$40,IF(G1979&lt;26,'General Basis'!$B$41,IF(G1979&lt;31,'General Basis'!$B$42,IF(G1979&lt;36,'General Basis'!$B$43,IF(G1979&lt;41,'General Basis'!$B$44,IF(G1979&lt;46,'General Basis'!$B$45,IF(G1979&lt;51,'General Basis'!$B$46,IF(G1979&lt;56,'General Basis'!$B$47,IF(G1979&lt;60,'General Basis'!$B$48,IF(G1979&lt;65,'General Basis'!$B$49,'General Basis'!$B$50)))))))))))))</f>
        <v/>
      </c>
      <c r="BI1979" s="744" t="str">
        <f t="shared" si="687"/>
        <v/>
      </c>
      <c r="BJ1979" s="747" t="str">
        <f t="shared" si="694"/>
        <v/>
      </c>
      <c r="BK1979" s="498" t="str">
        <f t="shared" si="688"/>
        <v/>
      </c>
      <c r="BL1979" s="498" t="str">
        <f t="shared" si="689"/>
        <v/>
      </c>
    </row>
    <row r="1980" spans="1:64" x14ac:dyDescent="0.25">
      <c r="A1980" s="762">
        <f t="shared" si="690"/>
        <v>1975</v>
      </c>
      <c r="B1980" s="229"/>
      <c r="C1980" s="223"/>
      <c r="D1980" s="224"/>
      <c r="E1980" s="225"/>
      <c r="F1980" s="1036" t="str">
        <f t="shared" si="696"/>
        <v/>
      </c>
      <c r="G1980" s="1037" t="str">
        <f t="shared" si="691"/>
        <v/>
      </c>
      <c r="H1980" s="225"/>
      <c r="I1980" s="1013"/>
      <c r="J1980" s="1013"/>
      <c r="K1980" s="1028"/>
      <c r="L1980" s="1035" t="str">
        <f t="shared" si="695"/>
        <v/>
      </c>
      <c r="S1980" s="498"/>
      <c r="AJ1980" s="498"/>
      <c r="AM1980" s="498">
        <f t="shared" si="676"/>
        <v>0</v>
      </c>
      <c r="AN1980" s="498">
        <f t="shared" si="677"/>
        <v>0</v>
      </c>
      <c r="AO1980" s="498">
        <f t="shared" si="678"/>
        <v>0</v>
      </c>
      <c r="AP1980" s="498">
        <f t="shared" si="697"/>
        <v>0</v>
      </c>
      <c r="AQ1980" s="498">
        <f t="shared" si="692"/>
        <v>0</v>
      </c>
      <c r="AU1980" s="498">
        <f t="shared" si="679"/>
        <v>0</v>
      </c>
      <c r="AV1980" s="498">
        <f t="shared" si="680"/>
        <v>0</v>
      </c>
      <c r="AW1980" s="498">
        <f t="shared" si="681"/>
        <v>0</v>
      </c>
      <c r="AX1980" s="498">
        <f t="shared" si="682"/>
        <v>0</v>
      </c>
      <c r="AY1980" s="498">
        <f t="shared" si="683"/>
        <v>0</v>
      </c>
      <c r="BB1980" s="498" t="str">
        <f t="shared" si="684"/>
        <v/>
      </c>
      <c r="BC1980" s="743" t="str">
        <f t="shared" si="685"/>
        <v/>
      </c>
      <c r="BD1980" s="743" t="str">
        <f t="shared" si="686"/>
        <v/>
      </c>
      <c r="BE1980" s="743" t="str">
        <f>IF(D1980="","",VLOOKUP(D1980,'General Basis'!$J$39:$K$46,2,0))</f>
        <v/>
      </c>
      <c r="BF1980" s="744" t="str">
        <f>IF(D1980="","",VLOOKUP(D1980,'General Basis'!$J$39:$L$46,3,0))</f>
        <v/>
      </c>
      <c r="BG1980" s="744" t="str">
        <f t="shared" si="693"/>
        <v/>
      </c>
      <c r="BH1980" s="744" t="str">
        <f>IF(G1980="","",IF(BF1980="Abu Dhabi",IF(G1980&lt;18,'General Basis'!$C$39,IF(G1980&lt;41,'General Basis'!$C$40,IF(G1980&lt;60,'General Basis'!$C$41,IF(G1980&lt;65,'General Basis'!$C$42,'General Basis'!$C$43)))),IF(G1980&lt;11,'General Basis'!$B$39,IF(G1980&lt;18,'General Basis'!$B$40,IF(G1980&lt;26,'General Basis'!$B$41,IF(G1980&lt;31,'General Basis'!$B$42,IF(G1980&lt;36,'General Basis'!$B$43,IF(G1980&lt;41,'General Basis'!$B$44,IF(G1980&lt;46,'General Basis'!$B$45,IF(G1980&lt;51,'General Basis'!$B$46,IF(G1980&lt;56,'General Basis'!$B$47,IF(G1980&lt;60,'General Basis'!$B$48,IF(G1980&lt;65,'General Basis'!$B$49,'General Basis'!$B$50)))))))))))))</f>
        <v/>
      </c>
      <c r="BI1980" s="744" t="str">
        <f t="shared" si="687"/>
        <v/>
      </c>
      <c r="BJ1980" s="747" t="str">
        <f t="shared" si="694"/>
        <v/>
      </c>
      <c r="BK1980" s="498" t="str">
        <f t="shared" si="688"/>
        <v/>
      </c>
      <c r="BL1980" s="498" t="str">
        <f t="shared" si="689"/>
        <v/>
      </c>
    </row>
    <row r="1981" spans="1:64" x14ac:dyDescent="0.25">
      <c r="A1981" s="762">
        <f t="shared" si="690"/>
        <v>1976</v>
      </c>
      <c r="B1981" s="229"/>
      <c r="C1981" s="223"/>
      <c r="D1981" s="224"/>
      <c r="E1981" s="225"/>
      <c r="F1981" s="1036" t="str">
        <f t="shared" si="696"/>
        <v/>
      </c>
      <c r="G1981" s="1037" t="str">
        <f t="shared" si="691"/>
        <v/>
      </c>
      <c r="H1981" s="225"/>
      <c r="I1981" s="1013"/>
      <c r="J1981" s="1013"/>
      <c r="K1981" s="1028"/>
      <c r="L1981" s="1035" t="str">
        <f t="shared" si="695"/>
        <v/>
      </c>
      <c r="S1981" s="498"/>
      <c r="AJ1981" s="498"/>
      <c r="AM1981" s="498">
        <f t="shared" si="676"/>
        <v>0</v>
      </c>
      <c r="AN1981" s="498">
        <f t="shared" si="677"/>
        <v>0</v>
      </c>
      <c r="AO1981" s="498">
        <f t="shared" si="678"/>
        <v>0</v>
      </c>
      <c r="AP1981" s="498">
        <f t="shared" si="697"/>
        <v>0</v>
      </c>
      <c r="AQ1981" s="498">
        <f t="shared" si="692"/>
        <v>0</v>
      </c>
      <c r="AU1981" s="498">
        <f t="shared" si="679"/>
        <v>0</v>
      </c>
      <c r="AV1981" s="498">
        <f t="shared" si="680"/>
        <v>0</v>
      </c>
      <c r="AW1981" s="498">
        <f t="shared" si="681"/>
        <v>0</v>
      </c>
      <c r="AX1981" s="498">
        <f t="shared" si="682"/>
        <v>0</v>
      </c>
      <c r="AY1981" s="498">
        <f t="shared" si="683"/>
        <v>0</v>
      </c>
      <c r="BB1981" s="498" t="str">
        <f t="shared" si="684"/>
        <v/>
      </c>
      <c r="BC1981" s="743" t="str">
        <f t="shared" si="685"/>
        <v/>
      </c>
      <c r="BD1981" s="743" t="str">
        <f t="shared" si="686"/>
        <v/>
      </c>
      <c r="BE1981" s="743" t="str">
        <f>IF(D1981="","",VLOOKUP(D1981,'General Basis'!$J$39:$K$46,2,0))</f>
        <v/>
      </c>
      <c r="BF1981" s="744" t="str">
        <f>IF(D1981="","",VLOOKUP(D1981,'General Basis'!$J$39:$L$46,3,0))</f>
        <v/>
      </c>
      <c r="BG1981" s="744" t="str">
        <f t="shared" si="693"/>
        <v/>
      </c>
      <c r="BH1981" s="744" t="str">
        <f>IF(G1981="","",IF(BF1981="Abu Dhabi",IF(G1981&lt;18,'General Basis'!$C$39,IF(G1981&lt;41,'General Basis'!$C$40,IF(G1981&lt;60,'General Basis'!$C$41,IF(G1981&lt;65,'General Basis'!$C$42,'General Basis'!$C$43)))),IF(G1981&lt;11,'General Basis'!$B$39,IF(G1981&lt;18,'General Basis'!$B$40,IF(G1981&lt;26,'General Basis'!$B$41,IF(G1981&lt;31,'General Basis'!$B$42,IF(G1981&lt;36,'General Basis'!$B$43,IF(G1981&lt;41,'General Basis'!$B$44,IF(G1981&lt;46,'General Basis'!$B$45,IF(G1981&lt;51,'General Basis'!$B$46,IF(G1981&lt;56,'General Basis'!$B$47,IF(G1981&lt;60,'General Basis'!$B$48,IF(G1981&lt;65,'General Basis'!$B$49,'General Basis'!$B$50)))))))))))))</f>
        <v/>
      </c>
      <c r="BI1981" s="744" t="str">
        <f t="shared" si="687"/>
        <v/>
      </c>
      <c r="BJ1981" s="747" t="str">
        <f t="shared" si="694"/>
        <v/>
      </c>
      <c r="BK1981" s="498" t="str">
        <f t="shared" si="688"/>
        <v/>
      </c>
      <c r="BL1981" s="498" t="str">
        <f t="shared" si="689"/>
        <v/>
      </c>
    </row>
    <row r="1982" spans="1:64" x14ac:dyDescent="0.25">
      <c r="A1982" s="762">
        <f t="shared" si="690"/>
        <v>1977</v>
      </c>
      <c r="B1982" s="229"/>
      <c r="C1982" s="223"/>
      <c r="D1982" s="224"/>
      <c r="E1982" s="225"/>
      <c r="F1982" s="1036" t="str">
        <f t="shared" si="696"/>
        <v/>
      </c>
      <c r="G1982" s="1037" t="str">
        <f t="shared" si="691"/>
        <v/>
      </c>
      <c r="H1982" s="225"/>
      <c r="I1982" s="1013"/>
      <c r="J1982" s="1013"/>
      <c r="K1982" s="1028"/>
      <c r="L1982" s="1035" t="str">
        <f t="shared" si="695"/>
        <v/>
      </c>
      <c r="S1982" s="498"/>
      <c r="AJ1982" s="498"/>
      <c r="AM1982" s="498">
        <f t="shared" si="676"/>
        <v>0</v>
      </c>
      <c r="AN1982" s="498">
        <f t="shared" si="677"/>
        <v>0</v>
      </c>
      <c r="AO1982" s="498">
        <f t="shared" si="678"/>
        <v>0</v>
      </c>
      <c r="AP1982" s="498">
        <f t="shared" si="697"/>
        <v>0</v>
      </c>
      <c r="AQ1982" s="498">
        <f t="shared" si="692"/>
        <v>0</v>
      </c>
      <c r="AU1982" s="498">
        <f t="shared" si="679"/>
        <v>0</v>
      </c>
      <c r="AV1982" s="498">
        <f t="shared" si="680"/>
        <v>0</v>
      </c>
      <c r="AW1982" s="498">
        <f t="shared" si="681"/>
        <v>0</v>
      </c>
      <c r="AX1982" s="498">
        <f t="shared" si="682"/>
        <v>0</v>
      </c>
      <c r="AY1982" s="498">
        <f t="shared" si="683"/>
        <v>0</v>
      </c>
      <c r="BB1982" s="498" t="str">
        <f t="shared" si="684"/>
        <v/>
      </c>
      <c r="BC1982" s="743" t="str">
        <f t="shared" si="685"/>
        <v/>
      </c>
      <c r="BD1982" s="743" t="str">
        <f t="shared" si="686"/>
        <v/>
      </c>
      <c r="BE1982" s="743" t="str">
        <f>IF(D1982="","",VLOOKUP(D1982,'General Basis'!$J$39:$K$46,2,0))</f>
        <v/>
      </c>
      <c r="BF1982" s="744" t="str">
        <f>IF(D1982="","",VLOOKUP(D1982,'General Basis'!$J$39:$L$46,3,0))</f>
        <v/>
      </c>
      <c r="BG1982" s="744" t="str">
        <f t="shared" si="693"/>
        <v/>
      </c>
      <c r="BH1982" s="744" t="str">
        <f>IF(G1982="","",IF(BF1982="Abu Dhabi",IF(G1982&lt;18,'General Basis'!$C$39,IF(G1982&lt;41,'General Basis'!$C$40,IF(G1982&lt;60,'General Basis'!$C$41,IF(G1982&lt;65,'General Basis'!$C$42,'General Basis'!$C$43)))),IF(G1982&lt;11,'General Basis'!$B$39,IF(G1982&lt;18,'General Basis'!$B$40,IF(G1982&lt;26,'General Basis'!$B$41,IF(G1982&lt;31,'General Basis'!$B$42,IF(G1982&lt;36,'General Basis'!$B$43,IF(G1982&lt;41,'General Basis'!$B$44,IF(G1982&lt;46,'General Basis'!$B$45,IF(G1982&lt;51,'General Basis'!$B$46,IF(G1982&lt;56,'General Basis'!$B$47,IF(G1982&lt;60,'General Basis'!$B$48,IF(G1982&lt;65,'General Basis'!$B$49,'General Basis'!$B$50)))))))))))))</f>
        <v/>
      </c>
      <c r="BI1982" s="744" t="str">
        <f t="shared" si="687"/>
        <v/>
      </c>
      <c r="BJ1982" s="747" t="str">
        <f t="shared" si="694"/>
        <v/>
      </c>
      <c r="BK1982" s="498" t="str">
        <f t="shared" si="688"/>
        <v/>
      </c>
      <c r="BL1982" s="498" t="str">
        <f t="shared" si="689"/>
        <v/>
      </c>
    </row>
    <row r="1983" spans="1:64" x14ac:dyDescent="0.25">
      <c r="A1983" s="762">
        <f t="shared" si="690"/>
        <v>1978</v>
      </c>
      <c r="B1983" s="229"/>
      <c r="C1983" s="223"/>
      <c r="D1983" s="224"/>
      <c r="E1983" s="225"/>
      <c r="F1983" s="1036" t="str">
        <f t="shared" si="696"/>
        <v/>
      </c>
      <c r="G1983" s="1037" t="str">
        <f t="shared" si="691"/>
        <v/>
      </c>
      <c r="H1983" s="225"/>
      <c r="I1983" s="1013"/>
      <c r="J1983" s="1013"/>
      <c r="K1983" s="1028"/>
      <c r="L1983" s="1035" t="str">
        <f t="shared" si="695"/>
        <v/>
      </c>
      <c r="S1983" s="498"/>
      <c r="AJ1983" s="498"/>
      <c r="AM1983" s="498">
        <f t="shared" si="676"/>
        <v>0</v>
      </c>
      <c r="AN1983" s="498">
        <f t="shared" si="677"/>
        <v>0</v>
      </c>
      <c r="AO1983" s="498">
        <f t="shared" si="678"/>
        <v>0</v>
      </c>
      <c r="AP1983" s="498">
        <f t="shared" si="697"/>
        <v>0</v>
      </c>
      <c r="AQ1983" s="498">
        <f t="shared" si="692"/>
        <v>0</v>
      </c>
      <c r="AU1983" s="498">
        <f t="shared" si="679"/>
        <v>0</v>
      </c>
      <c r="AV1983" s="498">
        <f t="shared" si="680"/>
        <v>0</v>
      </c>
      <c r="AW1983" s="498">
        <f t="shared" si="681"/>
        <v>0</v>
      </c>
      <c r="AX1983" s="498">
        <f t="shared" si="682"/>
        <v>0</v>
      </c>
      <c r="AY1983" s="498">
        <f t="shared" si="683"/>
        <v>0</v>
      </c>
      <c r="BB1983" s="498" t="str">
        <f t="shared" si="684"/>
        <v/>
      </c>
      <c r="BC1983" s="743" t="str">
        <f t="shared" si="685"/>
        <v/>
      </c>
      <c r="BD1983" s="743" t="str">
        <f t="shared" si="686"/>
        <v/>
      </c>
      <c r="BE1983" s="743" t="str">
        <f>IF(D1983="","",VLOOKUP(D1983,'General Basis'!$J$39:$K$46,2,0))</f>
        <v/>
      </c>
      <c r="BF1983" s="744" t="str">
        <f>IF(D1983="","",VLOOKUP(D1983,'General Basis'!$J$39:$L$46,3,0))</f>
        <v/>
      </c>
      <c r="BG1983" s="744" t="str">
        <f t="shared" si="693"/>
        <v/>
      </c>
      <c r="BH1983" s="744" t="str">
        <f>IF(G1983="","",IF(BF1983="Abu Dhabi",IF(G1983&lt;18,'General Basis'!$C$39,IF(G1983&lt;41,'General Basis'!$C$40,IF(G1983&lt;60,'General Basis'!$C$41,IF(G1983&lt;65,'General Basis'!$C$42,'General Basis'!$C$43)))),IF(G1983&lt;11,'General Basis'!$B$39,IF(G1983&lt;18,'General Basis'!$B$40,IF(G1983&lt;26,'General Basis'!$B$41,IF(G1983&lt;31,'General Basis'!$B$42,IF(G1983&lt;36,'General Basis'!$B$43,IF(G1983&lt;41,'General Basis'!$B$44,IF(G1983&lt;46,'General Basis'!$B$45,IF(G1983&lt;51,'General Basis'!$B$46,IF(G1983&lt;56,'General Basis'!$B$47,IF(G1983&lt;60,'General Basis'!$B$48,IF(G1983&lt;65,'General Basis'!$B$49,'General Basis'!$B$50)))))))))))))</f>
        <v/>
      </c>
      <c r="BI1983" s="744" t="str">
        <f t="shared" si="687"/>
        <v/>
      </c>
      <c r="BJ1983" s="747" t="str">
        <f t="shared" si="694"/>
        <v/>
      </c>
      <c r="BK1983" s="498" t="str">
        <f t="shared" si="688"/>
        <v/>
      </c>
      <c r="BL1983" s="498" t="str">
        <f t="shared" si="689"/>
        <v/>
      </c>
    </row>
    <row r="1984" spans="1:64" x14ac:dyDescent="0.25">
      <c r="A1984" s="762">
        <f t="shared" si="690"/>
        <v>1979</v>
      </c>
      <c r="B1984" s="229"/>
      <c r="C1984" s="223"/>
      <c r="D1984" s="224"/>
      <c r="E1984" s="225"/>
      <c r="F1984" s="1036" t="str">
        <f t="shared" si="696"/>
        <v/>
      </c>
      <c r="G1984" s="1037" t="str">
        <f t="shared" si="691"/>
        <v/>
      </c>
      <c r="H1984" s="225"/>
      <c r="I1984" s="1013"/>
      <c r="J1984" s="1013"/>
      <c r="K1984" s="1028"/>
      <c r="L1984" s="1035" t="str">
        <f t="shared" si="695"/>
        <v/>
      </c>
      <c r="S1984" s="498"/>
      <c r="AJ1984" s="498"/>
      <c r="AM1984" s="498">
        <f t="shared" si="676"/>
        <v>0</v>
      </c>
      <c r="AN1984" s="498">
        <f t="shared" si="677"/>
        <v>0</v>
      </c>
      <c r="AO1984" s="498">
        <f t="shared" si="678"/>
        <v>0</v>
      </c>
      <c r="AP1984" s="498">
        <f t="shared" si="697"/>
        <v>0</v>
      </c>
      <c r="AQ1984" s="498">
        <f t="shared" si="692"/>
        <v>0</v>
      </c>
      <c r="AU1984" s="498">
        <f t="shared" si="679"/>
        <v>0</v>
      </c>
      <c r="AV1984" s="498">
        <f t="shared" si="680"/>
        <v>0</v>
      </c>
      <c r="AW1984" s="498">
        <f t="shared" si="681"/>
        <v>0</v>
      </c>
      <c r="AX1984" s="498">
        <f t="shared" si="682"/>
        <v>0</v>
      </c>
      <c r="AY1984" s="498">
        <f t="shared" si="683"/>
        <v>0</v>
      </c>
      <c r="BB1984" s="498" t="str">
        <f t="shared" si="684"/>
        <v/>
      </c>
      <c r="BC1984" s="743" t="str">
        <f t="shared" si="685"/>
        <v/>
      </c>
      <c r="BD1984" s="743" t="str">
        <f t="shared" si="686"/>
        <v/>
      </c>
      <c r="BE1984" s="743" t="str">
        <f>IF(D1984="","",VLOOKUP(D1984,'General Basis'!$J$39:$K$46,2,0))</f>
        <v/>
      </c>
      <c r="BF1984" s="744" t="str">
        <f>IF(D1984="","",VLOOKUP(D1984,'General Basis'!$J$39:$L$46,3,0))</f>
        <v/>
      </c>
      <c r="BG1984" s="744" t="str">
        <f t="shared" si="693"/>
        <v/>
      </c>
      <c r="BH1984" s="744" t="str">
        <f>IF(G1984="","",IF(BF1984="Abu Dhabi",IF(G1984&lt;18,'General Basis'!$C$39,IF(G1984&lt;41,'General Basis'!$C$40,IF(G1984&lt;60,'General Basis'!$C$41,IF(G1984&lt;65,'General Basis'!$C$42,'General Basis'!$C$43)))),IF(G1984&lt;11,'General Basis'!$B$39,IF(G1984&lt;18,'General Basis'!$B$40,IF(G1984&lt;26,'General Basis'!$B$41,IF(G1984&lt;31,'General Basis'!$B$42,IF(G1984&lt;36,'General Basis'!$B$43,IF(G1984&lt;41,'General Basis'!$B$44,IF(G1984&lt;46,'General Basis'!$B$45,IF(G1984&lt;51,'General Basis'!$B$46,IF(G1984&lt;56,'General Basis'!$B$47,IF(G1984&lt;60,'General Basis'!$B$48,IF(G1984&lt;65,'General Basis'!$B$49,'General Basis'!$B$50)))))))))))))</f>
        <v/>
      </c>
      <c r="BI1984" s="744" t="str">
        <f t="shared" si="687"/>
        <v/>
      </c>
      <c r="BJ1984" s="747" t="str">
        <f t="shared" si="694"/>
        <v/>
      </c>
      <c r="BK1984" s="498" t="str">
        <f t="shared" si="688"/>
        <v/>
      </c>
      <c r="BL1984" s="498" t="str">
        <f t="shared" si="689"/>
        <v/>
      </c>
    </row>
    <row r="1985" spans="1:64" x14ac:dyDescent="0.25">
      <c r="A1985" s="762">
        <f t="shared" si="690"/>
        <v>1980</v>
      </c>
      <c r="B1985" s="229"/>
      <c r="C1985" s="223"/>
      <c r="D1985" s="224"/>
      <c r="E1985" s="225"/>
      <c r="F1985" s="1036" t="str">
        <f t="shared" si="696"/>
        <v/>
      </c>
      <c r="G1985" s="1037" t="str">
        <f t="shared" si="691"/>
        <v/>
      </c>
      <c r="H1985" s="225"/>
      <c r="I1985" s="1013"/>
      <c r="J1985" s="1013"/>
      <c r="K1985" s="1028"/>
      <c r="L1985" s="1035" t="str">
        <f t="shared" si="695"/>
        <v/>
      </c>
      <c r="S1985" s="498"/>
      <c r="AJ1985" s="498"/>
      <c r="AM1985" s="498">
        <f t="shared" si="676"/>
        <v>0</v>
      </c>
      <c r="AN1985" s="498">
        <f t="shared" si="677"/>
        <v>0</v>
      </c>
      <c r="AO1985" s="498">
        <f t="shared" si="678"/>
        <v>0</v>
      </c>
      <c r="AP1985" s="498">
        <f t="shared" si="697"/>
        <v>0</v>
      </c>
      <c r="AQ1985" s="498">
        <f t="shared" si="692"/>
        <v>0</v>
      </c>
      <c r="AU1985" s="498">
        <f t="shared" si="679"/>
        <v>0</v>
      </c>
      <c r="AV1985" s="498">
        <f t="shared" si="680"/>
        <v>0</v>
      </c>
      <c r="AW1985" s="498">
        <f t="shared" si="681"/>
        <v>0</v>
      </c>
      <c r="AX1985" s="498">
        <f t="shared" si="682"/>
        <v>0</v>
      </c>
      <c r="AY1985" s="498">
        <f t="shared" si="683"/>
        <v>0</v>
      </c>
      <c r="BB1985" s="498" t="str">
        <f t="shared" si="684"/>
        <v/>
      </c>
      <c r="BC1985" s="743" t="str">
        <f t="shared" si="685"/>
        <v/>
      </c>
      <c r="BD1985" s="743" t="str">
        <f t="shared" si="686"/>
        <v/>
      </c>
      <c r="BE1985" s="743" t="str">
        <f>IF(D1985="","",VLOOKUP(D1985,'General Basis'!$J$39:$K$46,2,0))</f>
        <v/>
      </c>
      <c r="BF1985" s="744" t="str">
        <f>IF(D1985="","",VLOOKUP(D1985,'General Basis'!$J$39:$L$46,3,0))</f>
        <v/>
      </c>
      <c r="BG1985" s="744" t="str">
        <f t="shared" si="693"/>
        <v/>
      </c>
      <c r="BH1985" s="744" t="str">
        <f>IF(G1985="","",IF(BF1985="Abu Dhabi",IF(G1985&lt;18,'General Basis'!$C$39,IF(G1985&lt;41,'General Basis'!$C$40,IF(G1985&lt;60,'General Basis'!$C$41,IF(G1985&lt;65,'General Basis'!$C$42,'General Basis'!$C$43)))),IF(G1985&lt;11,'General Basis'!$B$39,IF(G1985&lt;18,'General Basis'!$B$40,IF(G1985&lt;26,'General Basis'!$B$41,IF(G1985&lt;31,'General Basis'!$B$42,IF(G1985&lt;36,'General Basis'!$B$43,IF(G1985&lt;41,'General Basis'!$B$44,IF(G1985&lt;46,'General Basis'!$B$45,IF(G1985&lt;51,'General Basis'!$B$46,IF(G1985&lt;56,'General Basis'!$B$47,IF(G1985&lt;60,'General Basis'!$B$48,IF(G1985&lt;65,'General Basis'!$B$49,'General Basis'!$B$50)))))))))))))</f>
        <v/>
      </c>
      <c r="BI1985" s="744" t="str">
        <f t="shared" si="687"/>
        <v/>
      </c>
      <c r="BJ1985" s="747" t="str">
        <f t="shared" si="694"/>
        <v/>
      </c>
      <c r="BK1985" s="498" t="str">
        <f t="shared" si="688"/>
        <v/>
      </c>
      <c r="BL1985" s="498" t="str">
        <f t="shared" si="689"/>
        <v/>
      </c>
    </row>
    <row r="1986" spans="1:64" x14ac:dyDescent="0.25">
      <c r="A1986" s="762">
        <f t="shared" si="690"/>
        <v>1981</v>
      </c>
      <c r="B1986" s="229"/>
      <c r="C1986" s="223"/>
      <c r="D1986" s="224"/>
      <c r="E1986" s="225"/>
      <c r="F1986" s="1036" t="str">
        <f t="shared" si="696"/>
        <v/>
      </c>
      <c r="G1986" s="1037" t="str">
        <f t="shared" si="691"/>
        <v/>
      </c>
      <c r="H1986" s="225"/>
      <c r="I1986" s="1013"/>
      <c r="J1986" s="1013"/>
      <c r="K1986" s="1028"/>
      <c r="L1986" s="1035" t="str">
        <f t="shared" si="695"/>
        <v/>
      </c>
      <c r="S1986" s="498"/>
      <c r="AJ1986" s="498"/>
      <c r="AM1986" s="498">
        <f t="shared" si="676"/>
        <v>0</v>
      </c>
      <c r="AN1986" s="498">
        <f t="shared" si="677"/>
        <v>0</v>
      </c>
      <c r="AO1986" s="498">
        <f t="shared" si="678"/>
        <v>0</v>
      </c>
      <c r="AP1986" s="498">
        <f t="shared" si="697"/>
        <v>0</v>
      </c>
      <c r="AQ1986" s="498">
        <f t="shared" si="692"/>
        <v>0</v>
      </c>
      <c r="AU1986" s="498">
        <f t="shared" si="679"/>
        <v>0</v>
      </c>
      <c r="AV1986" s="498">
        <f t="shared" si="680"/>
        <v>0</v>
      </c>
      <c r="AW1986" s="498">
        <f t="shared" si="681"/>
        <v>0</v>
      </c>
      <c r="AX1986" s="498">
        <f t="shared" si="682"/>
        <v>0</v>
      </c>
      <c r="AY1986" s="498">
        <f t="shared" si="683"/>
        <v>0</v>
      </c>
      <c r="BB1986" s="498" t="str">
        <f t="shared" si="684"/>
        <v/>
      </c>
      <c r="BC1986" s="743" t="str">
        <f t="shared" si="685"/>
        <v/>
      </c>
      <c r="BD1986" s="743" t="str">
        <f t="shared" si="686"/>
        <v/>
      </c>
      <c r="BE1986" s="743" t="str">
        <f>IF(D1986="","",VLOOKUP(D1986,'General Basis'!$J$39:$K$46,2,0))</f>
        <v/>
      </c>
      <c r="BF1986" s="744" t="str">
        <f>IF(D1986="","",VLOOKUP(D1986,'General Basis'!$J$39:$L$46,3,0))</f>
        <v/>
      </c>
      <c r="BG1986" s="744" t="str">
        <f t="shared" si="693"/>
        <v/>
      </c>
      <c r="BH1986" s="744" t="str">
        <f>IF(G1986="","",IF(BF1986="Abu Dhabi",IF(G1986&lt;18,'General Basis'!$C$39,IF(G1986&lt;41,'General Basis'!$C$40,IF(G1986&lt;60,'General Basis'!$C$41,IF(G1986&lt;65,'General Basis'!$C$42,'General Basis'!$C$43)))),IF(G1986&lt;11,'General Basis'!$B$39,IF(G1986&lt;18,'General Basis'!$B$40,IF(G1986&lt;26,'General Basis'!$B$41,IF(G1986&lt;31,'General Basis'!$B$42,IF(G1986&lt;36,'General Basis'!$B$43,IF(G1986&lt;41,'General Basis'!$B$44,IF(G1986&lt;46,'General Basis'!$B$45,IF(G1986&lt;51,'General Basis'!$B$46,IF(G1986&lt;56,'General Basis'!$B$47,IF(G1986&lt;60,'General Basis'!$B$48,IF(G1986&lt;65,'General Basis'!$B$49,'General Basis'!$B$50)))))))))))))</f>
        <v/>
      </c>
      <c r="BI1986" s="744" t="str">
        <f t="shared" si="687"/>
        <v/>
      </c>
      <c r="BJ1986" s="747" t="str">
        <f t="shared" si="694"/>
        <v/>
      </c>
      <c r="BK1986" s="498" t="str">
        <f t="shared" si="688"/>
        <v/>
      </c>
      <c r="BL1986" s="498" t="str">
        <f t="shared" si="689"/>
        <v/>
      </c>
    </row>
    <row r="1987" spans="1:64" x14ac:dyDescent="0.25">
      <c r="A1987" s="762">
        <f t="shared" si="690"/>
        <v>1982</v>
      </c>
      <c r="B1987" s="229"/>
      <c r="C1987" s="223"/>
      <c r="D1987" s="224"/>
      <c r="E1987" s="225"/>
      <c r="F1987" s="1036" t="str">
        <f t="shared" si="696"/>
        <v/>
      </c>
      <c r="G1987" s="1037" t="str">
        <f t="shared" si="691"/>
        <v/>
      </c>
      <c r="H1987" s="225"/>
      <c r="I1987" s="1013"/>
      <c r="J1987" s="1013"/>
      <c r="K1987" s="1028"/>
      <c r="L1987" s="1035" t="str">
        <f t="shared" si="695"/>
        <v/>
      </c>
      <c r="S1987" s="498"/>
      <c r="AJ1987" s="498"/>
      <c r="AM1987" s="498">
        <f t="shared" si="676"/>
        <v>0</v>
      </c>
      <c r="AN1987" s="498">
        <f t="shared" si="677"/>
        <v>0</v>
      </c>
      <c r="AO1987" s="498">
        <f t="shared" si="678"/>
        <v>0</v>
      </c>
      <c r="AP1987" s="498">
        <f t="shared" si="697"/>
        <v>0</v>
      </c>
      <c r="AQ1987" s="498">
        <f t="shared" si="692"/>
        <v>0</v>
      </c>
      <c r="AU1987" s="498">
        <f t="shared" si="679"/>
        <v>0</v>
      </c>
      <c r="AV1987" s="498">
        <f t="shared" si="680"/>
        <v>0</v>
      </c>
      <c r="AW1987" s="498">
        <f t="shared" si="681"/>
        <v>0</v>
      </c>
      <c r="AX1987" s="498">
        <f t="shared" si="682"/>
        <v>0</v>
      </c>
      <c r="AY1987" s="498">
        <f t="shared" si="683"/>
        <v>0</v>
      </c>
      <c r="BB1987" s="498" t="str">
        <f t="shared" si="684"/>
        <v/>
      </c>
      <c r="BC1987" s="743" t="str">
        <f t="shared" si="685"/>
        <v/>
      </c>
      <c r="BD1987" s="743" t="str">
        <f t="shared" si="686"/>
        <v/>
      </c>
      <c r="BE1987" s="743" t="str">
        <f>IF(D1987="","",VLOOKUP(D1987,'General Basis'!$J$39:$K$46,2,0))</f>
        <v/>
      </c>
      <c r="BF1987" s="744" t="str">
        <f>IF(D1987="","",VLOOKUP(D1987,'General Basis'!$J$39:$L$46,3,0))</f>
        <v/>
      </c>
      <c r="BG1987" s="744" t="str">
        <f t="shared" si="693"/>
        <v/>
      </c>
      <c r="BH1987" s="744" t="str">
        <f>IF(G1987="","",IF(BF1987="Abu Dhabi",IF(G1987&lt;18,'General Basis'!$C$39,IF(G1987&lt;41,'General Basis'!$C$40,IF(G1987&lt;60,'General Basis'!$C$41,IF(G1987&lt;65,'General Basis'!$C$42,'General Basis'!$C$43)))),IF(G1987&lt;11,'General Basis'!$B$39,IF(G1987&lt;18,'General Basis'!$B$40,IF(G1987&lt;26,'General Basis'!$B$41,IF(G1987&lt;31,'General Basis'!$B$42,IF(G1987&lt;36,'General Basis'!$B$43,IF(G1987&lt;41,'General Basis'!$B$44,IF(G1987&lt;46,'General Basis'!$B$45,IF(G1987&lt;51,'General Basis'!$B$46,IF(G1987&lt;56,'General Basis'!$B$47,IF(G1987&lt;60,'General Basis'!$B$48,IF(G1987&lt;65,'General Basis'!$B$49,'General Basis'!$B$50)))))))))))))</f>
        <v/>
      </c>
      <c r="BI1987" s="744" t="str">
        <f t="shared" si="687"/>
        <v/>
      </c>
      <c r="BJ1987" s="747" t="str">
        <f t="shared" si="694"/>
        <v/>
      </c>
      <c r="BK1987" s="498" t="str">
        <f t="shared" si="688"/>
        <v/>
      </c>
      <c r="BL1987" s="498" t="str">
        <f t="shared" si="689"/>
        <v/>
      </c>
    </row>
    <row r="1988" spans="1:64" x14ac:dyDescent="0.25">
      <c r="A1988" s="762">
        <f t="shared" si="690"/>
        <v>1983</v>
      </c>
      <c r="B1988" s="229"/>
      <c r="C1988" s="223"/>
      <c r="D1988" s="224"/>
      <c r="E1988" s="225"/>
      <c r="F1988" s="1036" t="str">
        <f t="shared" si="696"/>
        <v/>
      </c>
      <c r="G1988" s="1037" t="str">
        <f t="shared" si="691"/>
        <v/>
      </c>
      <c r="H1988" s="225"/>
      <c r="I1988" s="1013"/>
      <c r="J1988" s="1013"/>
      <c r="K1988" s="1028"/>
      <c r="L1988" s="1035" t="str">
        <f t="shared" si="695"/>
        <v/>
      </c>
      <c r="S1988" s="498"/>
      <c r="AJ1988" s="498"/>
      <c r="AM1988" s="498">
        <f t="shared" si="676"/>
        <v>0</v>
      </c>
      <c r="AN1988" s="498">
        <f t="shared" si="677"/>
        <v>0</v>
      </c>
      <c r="AO1988" s="498">
        <f t="shared" si="678"/>
        <v>0</v>
      </c>
      <c r="AP1988" s="498">
        <f t="shared" si="697"/>
        <v>0</v>
      </c>
      <c r="AQ1988" s="498">
        <f t="shared" si="692"/>
        <v>0</v>
      </c>
      <c r="AU1988" s="498">
        <f t="shared" si="679"/>
        <v>0</v>
      </c>
      <c r="AV1988" s="498">
        <f t="shared" si="680"/>
        <v>0</v>
      </c>
      <c r="AW1988" s="498">
        <f t="shared" si="681"/>
        <v>0</v>
      </c>
      <c r="AX1988" s="498">
        <f t="shared" si="682"/>
        <v>0</v>
      </c>
      <c r="AY1988" s="498">
        <f t="shared" si="683"/>
        <v>0</v>
      </c>
      <c r="BB1988" s="498" t="str">
        <f t="shared" si="684"/>
        <v/>
      </c>
      <c r="BC1988" s="743" t="str">
        <f t="shared" si="685"/>
        <v/>
      </c>
      <c r="BD1988" s="743" t="str">
        <f t="shared" si="686"/>
        <v/>
      </c>
      <c r="BE1988" s="743" t="str">
        <f>IF(D1988="","",VLOOKUP(D1988,'General Basis'!$J$39:$K$46,2,0))</f>
        <v/>
      </c>
      <c r="BF1988" s="744" t="str">
        <f>IF(D1988="","",VLOOKUP(D1988,'General Basis'!$J$39:$L$46,3,0))</f>
        <v/>
      </c>
      <c r="BG1988" s="744" t="str">
        <f t="shared" si="693"/>
        <v/>
      </c>
      <c r="BH1988" s="744" t="str">
        <f>IF(G1988="","",IF(BF1988="Abu Dhabi",IF(G1988&lt;18,'General Basis'!$C$39,IF(G1988&lt;41,'General Basis'!$C$40,IF(G1988&lt;60,'General Basis'!$C$41,IF(G1988&lt;65,'General Basis'!$C$42,'General Basis'!$C$43)))),IF(G1988&lt;11,'General Basis'!$B$39,IF(G1988&lt;18,'General Basis'!$B$40,IF(G1988&lt;26,'General Basis'!$B$41,IF(G1988&lt;31,'General Basis'!$B$42,IF(G1988&lt;36,'General Basis'!$B$43,IF(G1988&lt;41,'General Basis'!$B$44,IF(G1988&lt;46,'General Basis'!$B$45,IF(G1988&lt;51,'General Basis'!$B$46,IF(G1988&lt;56,'General Basis'!$B$47,IF(G1988&lt;60,'General Basis'!$B$48,IF(G1988&lt;65,'General Basis'!$B$49,'General Basis'!$B$50)))))))))))))</f>
        <v/>
      </c>
      <c r="BI1988" s="744" t="str">
        <f t="shared" si="687"/>
        <v/>
      </c>
      <c r="BJ1988" s="747" t="str">
        <f t="shared" si="694"/>
        <v/>
      </c>
      <c r="BK1988" s="498" t="str">
        <f t="shared" si="688"/>
        <v/>
      </c>
      <c r="BL1988" s="498" t="str">
        <f t="shared" si="689"/>
        <v/>
      </c>
    </row>
    <row r="1989" spans="1:64" x14ac:dyDescent="0.25">
      <c r="A1989" s="762">
        <f t="shared" si="690"/>
        <v>1984</v>
      </c>
      <c r="B1989" s="229"/>
      <c r="C1989" s="223"/>
      <c r="D1989" s="224"/>
      <c r="E1989" s="225"/>
      <c r="F1989" s="1036" t="str">
        <f t="shared" si="696"/>
        <v/>
      </c>
      <c r="G1989" s="1037" t="str">
        <f t="shared" si="691"/>
        <v/>
      </c>
      <c r="H1989" s="225"/>
      <c r="I1989" s="1013"/>
      <c r="J1989" s="1013"/>
      <c r="K1989" s="1028"/>
      <c r="L1989" s="1035" t="str">
        <f t="shared" si="695"/>
        <v/>
      </c>
      <c r="S1989" s="498"/>
      <c r="AJ1989" s="498"/>
      <c r="AM1989" s="498">
        <f t="shared" si="676"/>
        <v>0</v>
      </c>
      <c r="AN1989" s="498">
        <f t="shared" si="677"/>
        <v>0</v>
      </c>
      <c r="AO1989" s="498">
        <f t="shared" si="678"/>
        <v>0</v>
      </c>
      <c r="AP1989" s="498">
        <f t="shared" si="697"/>
        <v>0</v>
      </c>
      <c r="AQ1989" s="498">
        <f t="shared" si="692"/>
        <v>0</v>
      </c>
      <c r="AU1989" s="498">
        <f t="shared" si="679"/>
        <v>0</v>
      </c>
      <c r="AV1989" s="498">
        <f t="shared" si="680"/>
        <v>0</v>
      </c>
      <c r="AW1989" s="498">
        <f t="shared" si="681"/>
        <v>0</v>
      </c>
      <c r="AX1989" s="498">
        <f t="shared" si="682"/>
        <v>0</v>
      </c>
      <c r="AY1989" s="498">
        <f t="shared" si="683"/>
        <v>0</v>
      </c>
      <c r="BB1989" s="498" t="str">
        <f t="shared" si="684"/>
        <v/>
      </c>
      <c r="BC1989" s="743" t="str">
        <f t="shared" si="685"/>
        <v/>
      </c>
      <c r="BD1989" s="743" t="str">
        <f t="shared" si="686"/>
        <v/>
      </c>
      <c r="BE1989" s="743" t="str">
        <f>IF(D1989="","",VLOOKUP(D1989,'General Basis'!$J$39:$K$46,2,0))</f>
        <v/>
      </c>
      <c r="BF1989" s="744" t="str">
        <f>IF(D1989="","",VLOOKUP(D1989,'General Basis'!$J$39:$L$46,3,0))</f>
        <v/>
      </c>
      <c r="BG1989" s="744" t="str">
        <f t="shared" si="693"/>
        <v/>
      </c>
      <c r="BH1989" s="744" t="str">
        <f>IF(G1989="","",IF(BF1989="Abu Dhabi",IF(G1989&lt;18,'General Basis'!$C$39,IF(G1989&lt;41,'General Basis'!$C$40,IF(G1989&lt;60,'General Basis'!$C$41,IF(G1989&lt;65,'General Basis'!$C$42,'General Basis'!$C$43)))),IF(G1989&lt;11,'General Basis'!$B$39,IF(G1989&lt;18,'General Basis'!$B$40,IF(G1989&lt;26,'General Basis'!$B$41,IF(G1989&lt;31,'General Basis'!$B$42,IF(G1989&lt;36,'General Basis'!$B$43,IF(G1989&lt;41,'General Basis'!$B$44,IF(G1989&lt;46,'General Basis'!$B$45,IF(G1989&lt;51,'General Basis'!$B$46,IF(G1989&lt;56,'General Basis'!$B$47,IF(G1989&lt;60,'General Basis'!$B$48,IF(G1989&lt;65,'General Basis'!$B$49,'General Basis'!$B$50)))))))))))))</f>
        <v/>
      </c>
      <c r="BI1989" s="744" t="str">
        <f t="shared" si="687"/>
        <v/>
      </c>
      <c r="BJ1989" s="747" t="str">
        <f t="shared" si="694"/>
        <v/>
      </c>
      <c r="BK1989" s="498" t="str">
        <f t="shared" si="688"/>
        <v/>
      </c>
      <c r="BL1989" s="498" t="str">
        <f t="shared" si="689"/>
        <v/>
      </c>
    </row>
    <row r="1990" spans="1:64" x14ac:dyDescent="0.25">
      <c r="A1990" s="762">
        <f t="shared" si="690"/>
        <v>1985</v>
      </c>
      <c r="B1990" s="229"/>
      <c r="C1990" s="223"/>
      <c r="D1990" s="224"/>
      <c r="E1990" s="225"/>
      <c r="F1990" s="1036" t="str">
        <f t="shared" si="696"/>
        <v/>
      </c>
      <c r="G1990" s="1037" t="str">
        <f t="shared" si="691"/>
        <v/>
      </c>
      <c r="H1990" s="225"/>
      <c r="I1990" s="1013"/>
      <c r="J1990" s="1013"/>
      <c r="K1990" s="1028"/>
      <c r="L1990" s="1035" t="str">
        <f t="shared" si="695"/>
        <v/>
      </c>
      <c r="S1990" s="498"/>
      <c r="AJ1990" s="498"/>
      <c r="AM1990" s="498">
        <f t="shared" ref="AM1990:AM2053" si="698">IF(ISTEXT(B1990),1,0)</f>
        <v>0</v>
      </c>
      <c r="AN1990" s="498">
        <f t="shared" ref="AN1990:AN2053" si="699">IF(ISBLANK(B1990),0,IF(B1990&lt;$AK$6,1,0))</f>
        <v>0</v>
      </c>
      <c r="AO1990" s="498">
        <f t="shared" ref="AO1990:AO2053" si="700">IF(ISBLANK(B1990),0,IF(B1990&gt;$AK$7,1,0))</f>
        <v>0</v>
      </c>
      <c r="AP1990" s="498">
        <f t="shared" si="697"/>
        <v>0</v>
      </c>
      <c r="AQ1990" s="498">
        <f t="shared" si="692"/>
        <v>0</v>
      </c>
      <c r="AU1990" s="498">
        <f t="shared" ref="AU1990:AU2053" si="701">IF(ISBLANK(B1990),0,1)</f>
        <v>0</v>
      </c>
      <c r="AV1990" s="498">
        <f t="shared" ref="AV1990:AV2053" si="702">IF(ISBLANK(C1990),0,1)</f>
        <v>0</v>
      </c>
      <c r="AW1990" s="498">
        <f t="shared" ref="AW1990:AW2053" si="703">IF(ISBLANK(D1990),0,1)</f>
        <v>0</v>
      </c>
      <c r="AX1990" s="498">
        <f t="shared" ref="AX1990:AX2053" si="704">IF(ISBLANK(E1990),0,1)</f>
        <v>0</v>
      </c>
      <c r="AY1990" s="498">
        <f t="shared" ref="AY1990:AY2053" si="705">IF(ISBLANK(H1990),0,1)</f>
        <v>0</v>
      </c>
      <c r="BB1990" s="498" t="str">
        <f t="shared" ref="BB1990:BB2053" si="706">IF(E1990="Principal","Principal",IF(E1990="","","Other"))</f>
        <v/>
      </c>
      <c r="BC1990" s="743" t="str">
        <f t="shared" ref="BC1990:BC2053" si="707">IF(D1990="","",D1990)</f>
        <v/>
      </c>
      <c r="BD1990" s="743" t="str">
        <f t="shared" ref="BD1990:BD2053" si="708">IF(E1990="Principal","Employee",IF(E1990="","","Dependent"))</f>
        <v/>
      </c>
      <c r="BE1990" s="743" t="str">
        <f>IF(D1990="","",VLOOKUP(D1990,'General Basis'!$J$39:$K$46,2,0))</f>
        <v/>
      </c>
      <c r="BF1990" s="744" t="str">
        <f>IF(D1990="","",VLOOKUP(D1990,'General Basis'!$J$39:$L$46,3,0))</f>
        <v/>
      </c>
      <c r="BG1990" s="744" t="str">
        <f t="shared" si="693"/>
        <v/>
      </c>
      <c r="BH1990" s="744" t="str">
        <f>IF(G1990="","",IF(BF1990="Abu Dhabi",IF(G1990&lt;18,'General Basis'!$C$39,IF(G1990&lt;41,'General Basis'!$C$40,IF(G1990&lt;60,'General Basis'!$C$41,IF(G1990&lt;65,'General Basis'!$C$42,'General Basis'!$C$43)))),IF(G1990&lt;11,'General Basis'!$B$39,IF(G1990&lt;18,'General Basis'!$B$40,IF(G1990&lt;26,'General Basis'!$B$41,IF(G1990&lt;31,'General Basis'!$B$42,IF(G1990&lt;36,'General Basis'!$B$43,IF(G1990&lt;41,'General Basis'!$B$44,IF(G1990&lt;46,'General Basis'!$B$45,IF(G1990&lt;51,'General Basis'!$B$46,IF(G1990&lt;56,'General Basis'!$B$47,IF(G1990&lt;60,'General Basis'!$B$48,IF(G1990&lt;65,'General Basis'!$B$49,'General Basis'!$B$50)))))))))))))</f>
        <v/>
      </c>
      <c r="BI1990" s="744" t="str">
        <f t="shared" ref="BI1990:BI2053" si="709">IF(C1990="","",IF(C1990="M","Male","Female"))</f>
        <v/>
      </c>
      <c r="BJ1990" s="747" t="str">
        <f t="shared" si="694"/>
        <v/>
      </c>
      <c r="BK1990" s="498" t="str">
        <f t="shared" ref="BK1990:BK2053" si="710">IF(BD1990="","",IF(AND(BD1990="Employee",BI1990="Male",BF1990="Abu Dhabi",BE1990=GN_Plus),VLOOKUP(BH1990,AUH_MALE_EMP,2,0),IF(AND(BD1990="Employee",BI1990="Male",BF1990="Abu Dhabi",BE1990=GN),VLOOKUP(BH1990,AUH_MALE_EMP,3,0),IF(AND(BD1990="Employee",BI1990="Male",BF1990="Abu Dhabi",BE1990=RN_Plus),VLOOKUP(BH1990,AUH_MALE_EMP,4,0),IF(AND(BD1990="Employee",BI1990="Male",BF1990="Abu Dhabi",BE1990=RN),VLOOKUP(BH1990,AUH_MALE_EMP,5,0),IF(AND(BD1990="Employee",BI1990="Male",BF1990="Abu Dhabi",BE1990=RN_2),VLOOKUP(BH1990,AUH_MALE_EMP,6,0),IF(AND(BD1990="Employee",BI1990="Male",BF1990="Abu Dhabi",BE1990=RN2_minus),VLOOKUP(BH1990,AUH_MALE_EMP,7,0),IF(AND(BD1990="Employee",BI1990="Male",BF1990="Abu Dhabi",BE1990=RN_3),VLOOKUP(BH1990,AUH_MALE_EMP,8,0),IF(AND(BD1990="Employee",BI1990="Male",BF1990="Abu Dhabi",BE1990=VN),VLOOKUP(BH1990,AUH_MALE_EMP,9,0),IF(BD1990="","",IF(AND(BD1990="Employee",BI1990="Female",BF1990="Abu Dhabi",BE1990=GN_Plus),VLOOKUP(BH1990,AUH_FEMALE_EMP,2,0),IF(AND(BD1990="Employee",BI1990="Female",BF1990="Abu Dhabi",BE1990=GN),VLOOKUP(BH1990,AUH_FEMALE_EMP,3,0),IF(AND(BD1990="Employee",BI1990="Female",BF1990="Abu Dhabi",BE1990=RN_Plus),VLOOKUP(BH1990,AUH_FEMALE_EMP,4,0),IF(AND(BD1990="Employee",BI1990="Female",BF1990="Abu Dhabi",BE1990=RN),VLOOKUP(BH1990,AUH_FEMALE_EMP,5,0),IF(AND(BD1990="Employee",BI1990="Female",BF1990="Abu Dhabi",BE1990=RN_2),VLOOKUP(BH1990,AUH_FEMALE_EMP,6,0),IF(AND(BD1990="Employee",BI1990="Female",BF1990="Abu Dhabi",BE1990=RN2_minus),VLOOKUP(BH1990,AUH_FEMALE_EMP,7,0),IF(AND(BD1990="Employee",BI1990="Female",BF1990="Abu Dhabi",BE1990=RN_3),VLOOKUP(BH1990,AUH_FEMALE_EMP,8,0),IF(AND(BD1990="Employee",BI1990="Female",BF1990="Abu Dhabi",BE1990=VN),VLOOKUP(BH1990,AUH_FEMALE_EMP,9,0),IF(BD1990="","",IF(AND(BD1990="Dependent",BI1990="Male",BF1990="Abu Dhabi",BE1990=GN_Plus),VLOOKUP(BH1990,AUH_MALE_DEP,2,0),IF(AND(BD1990="Dependent",BI1990="Male",BF1990="Abu Dhabi",BE1990=GN),VLOOKUP(BH1990,AUH_MALE_DEP,3,0),IF(AND(BD1990="Dependent",BI1990="Male",BF1990="Abu Dhabi",BE1990=RN_Plus),VLOOKUP(BH1990,AUH_MALE_DEP,4,0),IF(AND(BD1990="Dependent",BI1990="Male",BF1990="Abu Dhabi",BE1990=RN),VLOOKUP(BH1990,AUH_MALE_DEP,5,0),IF(AND(BD1990="Dependent",BI1990="Male",BF1990="Abu Dhabi",BE1990=RN_2),VLOOKUP(BH1990,AUH_MALE_DEP,6,0),IF(AND(BD1990="Dependent",BI1990="Male",BF1990="Abu Dhabi",BE1990=RN2_minus),VLOOKUP(BH1990,AUH_MALE_DEP,7,0),IF(AND(BD1990="Dependent",BI1990="Male",BF1990="Abu Dhabi",BE1990=RN_3),VLOOKUP(BH1990,AUH_MALE_DEP,8,0),IF(AND(BD1990="Dependent",BI1990="Male",BF1990="Abu Dhabi",BE1990=VN),VLOOKUP(BH1990,AUH_MALE_DEP,9,0),IF(BD1990="","",IF(AND(BD1990="Dependent",BI1990="Female",BF1990="Abu Dhabi",BE1990=GN_Plus),VLOOKUP(BH1990,AUH_FEMALE_DEP,2,0),IF(AND(BD1990="Dependent",BI1990="Female",BF1990="Abu Dhabi",BE1990=GN),VLOOKUP(BH1990,AUH_FEMALE_DEP,3,0),IF(AND(BD1990="Dependent",BI1990="Female",BF1990="Abu Dhabi",BE1990=RN_Plus),VLOOKUP(BH1990,AUH_FEMALE_DEP,4,0),IF(AND(BD1990="Dependent",BI1990="Female",BF1990="Abu Dhabi",BE1990=RN),VLOOKUP(BH1990,AUH_FEMALE_DEP,5,0),IF(AND(BD1990="Dependent",BI1990="Female",BF1990="Abu Dhabi",BE1990=RN_2),VLOOKUP(BH1990,AUH_FEMALE_DEP,6,0),IF(AND(BD1990="Dependent",BI1990="Female",BF1990="Abu Dhabi",BE1990=RN2_minus),VLOOKUP(BH1990,AUH_FEMALE_DEP,7,0),IF(AND(BD1990="Dependent",BI1990="Female",BF1990="Abu Dhabi",BE1990=RN_3),VLOOKUP(BH1990,AUH_FEMALE_DEP,8,0),IF(AND(BD1990="Dependent",BI1990="Female",BF1990="Abu Dhabi",BE1990=VN),VLOOKUP(BH1990,AUH_FEMALE_DEP,9,0),"ABC"))))))))))))))))))))))))))))))))))))</f>
        <v/>
      </c>
      <c r="BL1990" s="498" t="str">
        <f t="shared" ref="BL1990:BL2053" si="711">IF(BD1990="","",IF(AND(BD1990="Employee",BI1990="Male",BF1990="Dubai",BE1990=GN_Plus),VLOOKUP(BH1990,DXB_MALE_EMP,2,0),IF(AND(BD1990="Employee",BI1990="Male",BF1990="Dubai",BE1990=GN),VLOOKUP(BH1990,DXB_MALE_EMP,3,0),IF(AND(BD1990="Employee",BI1990="Male",BF1990="Dubai",BE1990=RN_Plus),VLOOKUP(BH1990,DXB_MALE_EMP,4,0),IF(AND(BD1990="Employee",BI1990="Male",BF1990="Dubai",BE1990=RN),VLOOKUP(BH1990,DXB_MALE_EMP,5,0),IF(AND(BD1990="Employee",BI1990="Male",BF1990="Dubai",BE1990=RN_2),VLOOKUP(BH1990,DXB_MALE_EMP,6,0),IF(AND(BD1990="Employee",BI1990="Male",BF1990="Dubai",BE1990=RN2_minus),VLOOKUP(BH1990,DXB_MALE_EMP,7,0),IF(AND(BD1990="Employee",BI1990="Male",BF1990="Dubai",BE1990=RN_3),VLOOKUP(BH1990,DXB_MALE_EMP,8,0),IF(AND(BD1990="Employee",BI1990="Male",BF1990="Dubai",BE1990=VN),VLOOKUP(BH1990,DXB_MALE_EMP,9,0),IF(BD1990="","",IF(AND(BD1990="Employee",BI1990="Female",BF1990="Dubai",BE1990=GN_Plus),VLOOKUP(BH1990,DXB_FEMALE_EMP,2,0),IF(AND(BD1990="Employee",BI1990="Female",BF1990="Dubai",BE1990=GN),VLOOKUP(BH1990,DXB_FEMALE_EMP,3,0),IF(AND(BD1990="Employee",BI1990="Female",BF1990="Dubai",BE1990=RN_Plus),VLOOKUP(BH1990,DXB_FEMALE_EMP,4,0),IF(AND(BD1990="Employee",BI1990="Female",BF1990="Dubai",BE1990=RN),VLOOKUP(BH1990,DXB_FEMALE_EMP,5,0),IF(AND(BD1990="Employee",BI1990="Female",BF1990="Dubai",BE1990=RN_2),VLOOKUP(BH1990,DXB_FEMALE_EMP,6,0),IF(AND(BD1990="Employee",BI1990="Female",BF1990="Dubai",BE1990=RN2_minus),VLOOKUP(BH1990,DXB_FEMALE_EMP,7,0),IF(AND(BD1990="Employee",BI1990="Female",BF1990="Dubai",BE1990=RN_3),VLOOKUP(BH1990,DXB_FEMALE_EMP,8,0),IF(AND(BD1990="Employee",BI1990="Female",BF1990="Dubai",BE1990=VN),VLOOKUP(BH1990,DXB_FEMALE_EMP,9,0),IF(BD1990="","",IF(AND(BD1990="Dependent",BI1990="Male",BF1990="Dubai",BE1990=GN_Plus),VLOOKUP(BH1990,DXB_MALE_DEP,2,0),IF(AND(BD1990="Dependent",BI1990="Male",BF1990="Dubai",BE1990=GN),VLOOKUP(BH1990,DXB_MALE_DEP,3,0),IF(AND(BD1990="Dependent",BI1990="Male",BF1990="Dubai",BE1990=RN_Plus),VLOOKUP(BH1990,DXB_MALE_DEP,4,0),IF(AND(BD1990="Dependent",BI1990="Male",BF1990="Dubai",BE1990=RN),VLOOKUP(BH1990,DXB_MALE_DEP,5,0),IF(AND(BD1990="Dependent",BI1990="Male",BF1990="Dubai",BE1990=RN_2),VLOOKUP(BH1990,DXB_MALE_DEP,6,0),IF(AND(BD1990="Dependent",BI1990="Male",BF1990="Dubai",BE1990=RN2_minus),VLOOKUP(BH1990,DXB_MALE_DEP,7,0),IF(AND(BD1990="Dependent",BI1990="Male",BF1990="Dubai",BE1990=RN_3),VLOOKUP(BH1990,DXB_MALE_DEP,8,0),IF(AND(BD1990="Dependent",BI1990="Male",BF1990="Dubai",BE1990=VN),VLOOKUP(BH1990,DXB_MALE_DEP,9,0),IF(BD1990="","",IF(AND(BD1990="Dependent",BI1990="Female",BF1990="Dubai",BE1990=GN_Plus),VLOOKUP(BH1990,DXB_FEMALE_DEP,2,0),IF(AND(BD1990="Dependent",BI1990="Female",BF1990="Dubai",BE1990=GN),VLOOKUP(BH1990,DXB_FEMALE_DEP,3,0),IF(AND(BD1990="Dependent",BI1990="Female",BF1990="Dubai",BE1990=RN_Plus),VLOOKUP(BH1990,DXB_FEMALE_DEP,4,0),IF(AND(BD1990="Dependent",BI1990="Female",BF1990="Dubai",BE1990=RN),VLOOKUP(BH1990,DXB_FEMALE_DEP,5,0),IF(AND(BD1990="Dependent",BI1990="Female",BF1990="Dubai",BE1990=RN_2),VLOOKUP(BH1990,DXB_FEMALE_DEP,6,0),IF(AND(BD1990="Dependent",BI1990="Female",BF1990="Dubai",BE1990=RN2_minus),VLOOKUP(BH1990,DXB_FEMALE_DEP,7,0),IF(AND(BD1990="Dependent",BI1990="Female",BF1990="Dubai",BE1990=RN_3),VLOOKUP(BH1990,DXB_FEMALE_DEP,8,0),IF(AND(BD1990="Dependent",BI1990="Female",BF1990="Dubai",BE1990=VN),VLOOKUP(BH1990,DXB_FEMALE_DEP,9,0),"ABC"))))))))))))))))))))))))))))))))))))</f>
        <v/>
      </c>
    </row>
    <row r="1991" spans="1:64" x14ac:dyDescent="0.25">
      <c r="A1991" s="762">
        <f t="shared" ref="A1991:A2054" si="712">+A1990+1</f>
        <v>1986</v>
      </c>
      <c r="B1991" s="229"/>
      <c r="C1991" s="223"/>
      <c r="D1991" s="224"/>
      <c r="E1991" s="225"/>
      <c r="F1991" s="1036" t="str">
        <f t="shared" si="696"/>
        <v/>
      </c>
      <c r="G1991" s="1037" t="str">
        <f t="shared" ref="G1991:G2054" si="713">IF(D1991="","",MAX(0,ROUNDUP(F1991,0)))</f>
        <v/>
      </c>
      <c r="H1991" s="225"/>
      <c r="I1991" s="1013"/>
      <c r="J1991" s="1013"/>
      <c r="K1991" s="1028"/>
      <c r="L1991" s="1035" t="str">
        <f t="shared" si="695"/>
        <v/>
      </c>
      <c r="S1991" s="498"/>
      <c r="AJ1991" s="498"/>
      <c r="AM1991" s="498">
        <f t="shared" si="698"/>
        <v>0</v>
      </c>
      <c r="AN1991" s="498">
        <f t="shared" si="699"/>
        <v>0</v>
      </c>
      <c r="AO1991" s="498">
        <f t="shared" si="700"/>
        <v>0</v>
      </c>
      <c r="AP1991" s="498">
        <f t="shared" si="697"/>
        <v>0</v>
      </c>
      <c r="AQ1991" s="498">
        <f t="shared" ref="AQ1991:AQ2054" si="714">IF(ISBLANK($B1991),0,IF(OR($H1991="Single",$H1991="Married"),0,1))</f>
        <v>0</v>
      </c>
      <c r="AU1991" s="498">
        <f t="shared" si="701"/>
        <v>0</v>
      </c>
      <c r="AV1991" s="498">
        <f t="shared" si="702"/>
        <v>0</v>
      </c>
      <c r="AW1991" s="498">
        <f t="shared" si="703"/>
        <v>0</v>
      </c>
      <c r="AX1991" s="498">
        <f t="shared" si="704"/>
        <v>0</v>
      </c>
      <c r="AY1991" s="498">
        <f t="shared" si="705"/>
        <v>0</v>
      </c>
      <c r="BB1991" s="498" t="str">
        <f t="shared" si="706"/>
        <v/>
      </c>
      <c r="BC1991" s="743" t="str">
        <f t="shared" si="707"/>
        <v/>
      </c>
      <c r="BD1991" s="743" t="str">
        <f t="shared" si="708"/>
        <v/>
      </c>
      <c r="BE1991" s="743" t="str">
        <f>IF(D1991="","",VLOOKUP(D1991,'General Basis'!$J$39:$K$46,2,0))</f>
        <v/>
      </c>
      <c r="BF1991" s="744" t="str">
        <f>IF(D1991="","",VLOOKUP(D1991,'General Basis'!$J$39:$L$46,3,0))</f>
        <v/>
      </c>
      <c r="BG1991" s="744" t="str">
        <f t="shared" ref="BG1991:BG2054" si="715">BC1991&amp;BI1991</f>
        <v/>
      </c>
      <c r="BH1991" s="744" t="str">
        <f>IF(G1991="","",IF(BF1991="Abu Dhabi",IF(G1991&lt;18,'General Basis'!$C$39,IF(G1991&lt;41,'General Basis'!$C$40,IF(G1991&lt;60,'General Basis'!$C$41,IF(G1991&lt;65,'General Basis'!$C$42,'General Basis'!$C$43)))),IF(G1991&lt;11,'General Basis'!$B$39,IF(G1991&lt;18,'General Basis'!$B$40,IF(G1991&lt;26,'General Basis'!$B$41,IF(G1991&lt;31,'General Basis'!$B$42,IF(G1991&lt;36,'General Basis'!$B$43,IF(G1991&lt;41,'General Basis'!$B$44,IF(G1991&lt;46,'General Basis'!$B$45,IF(G1991&lt;51,'General Basis'!$B$46,IF(G1991&lt;56,'General Basis'!$B$47,IF(G1991&lt;60,'General Basis'!$B$48,IF(G1991&lt;65,'General Basis'!$B$49,'General Basis'!$B$50)))))))))))))</f>
        <v/>
      </c>
      <c r="BI1991" s="744" t="str">
        <f t="shared" si="709"/>
        <v/>
      </c>
      <c r="BJ1991" s="747" t="str">
        <f t="shared" ref="BJ1991:BJ2054" si="716">IF(BD1991="","",IF(BF1991="Abu Dhabi",BK1991,BL1991))</f>
        <v/>
      </c>
      <c r="BK1991" s="498" t="str">
        <f t="shared" si="710"/>
        <v/>
      </c>
      <c r="BL1991" s="498" t="str">
        <f t="shared" si="711"/>
        <v/>
      </c>
    </row>
    <row r="1992" spans="1:64" x14ac:dyDescent="0.25">
      <c r="A1992" s="762">
        <f t="shared" si="712"/>
        <v>1987</v>
      </c>
      <c r="B1992" s="229"/>
      <c r="C1992" s="223"/>
      <c r="D1992" s="224"/>
      <c r="E1992" s="225"/>
      <c r="F1992" s="1036" t="str">
        <f t="shared" si="696"/>
        <v/>
      </c>
      <c r="G1992" s="1037" t="str">
        <f t="shared" si="713"/>
        <v/>
      </c>
      <c r="H1992" s="225"/>
      <c r="I1992" s="1013"/>
      <c r="J1992" s="1013"/>
      <c r="K1992" s="1028"/>
      <c r="L1992" s="1035" t="str">
        <f t="shared" ref="L1992:L2055" si="717">IF(AND(E1992="Child",H1992="Married"),"Check the Marital Status of the Child. ",IF(AND(E1992="Child",F1992&gt;18),"Child Age exceed 18 years. ",IF(AND(E1992="Spouse",H1992="Single"),"Spouse is selected as Single. ","")))&amp;IF(K1992&gt;0,"UW Loading has been Applied","")</f>
        <v/>
      </c>
      <c r="S1992" s="498"/>
      <c r="AJ1992" s="498"/>
      <c r="AM1992" s="498">
        <f t="shared" si="698"/>
        <v>0</v>
      </c>
      <c r="AN1992" s="498">
        <f t="shared" si="699"/>
        <v>0</v>
      </c>
      <c r="AO1992" s="498">
        <f t="shared" si="700"/>
        <v>0</v>
      </c>
      <c r="AP1992" s="498">
        <f t="shared" si="697"/>
        <v>0</v>
      </c>
      <c r="AQ1992" s="498">
        <f t="shared" si="714"/>
        <v>0</v>
      </c>
      <c r="AU1992" s="498">
        <f t="shared" si="701"/>
        <v>0</v>
      </c>
      <c r="AV1992" s="498">
        <f t="shared" si="702"/>
        <v>0</v>
      </c>
      <c r="AW1992" s="498">
        <f t="shared" si="703"/>
        <v>0</v>
      </c>
      <c r="AX1992" s="498">
        <f t="shared" si="704"/>
        <v>0</v>
      </c>
      <c r="AY1992" s="498">
        <f t="shared" si="705"/>
        <v>0</v>
      </c>
      <c r="BB1992" s="498" t="str">
        <f t="shared" si="706"/>
        <v/>
      </c>
      <c r="BC1992" s="743" t="str">
        <f t="shared" si="707"/>
        <v/>
      </c>
      <c r="BD1992" s="743" t="str">
        <f t="shared" si="708"/>
        <v/>
      </c>
      <c r="BE1992" s="743" t="str">
        <f>IF(D1992="","",VLOOKUP(D1992,'General Basis'!$J$39:$K$46,2,0))</f>
        <v/>
      </c>
      <c r="BF1992" s="744" t="str">
        <f>IF(D1992="","",VLOOKUP(D1992,'General Basis'!$J$39:$L$46,3,0))</f>
        <v/>
      </c>
      <c r="BG1992" s="744" t="str">
        <f t="shared" si="715"/>
        <v/>
      </c>
      <c r="BH1992" s="744" t="str">
        <f>IF(G1992="","",IF(BF1992="Abu Dhabi",IF(G1992&lt;18,'General Basis'!$C$39,IF(G1992&lt;41,'General Basis'!$C$40,IF(G1992&lt;60,'General Basis'!$C$41,IF(G1992&lt;65,'General Basis'!$C$42,'General Basis'!$C$43)))),IF(G1992&lt;11,'General Basis'!$B$39,IF(G1992&lt;18,'General Basis'!$B$40,IF(G1992&lt;26,'General Basis'!$B$41,IF(G1992&lt;31,'General Basis'!$B$42,IF(G1992&lt;36,'General Basis'!$B$43,IF(G1992&lt;41,'General Basis'!$B$44,IF(G1992&lt;46,'General Basis'!$B$45,IF(G1992&lt;51,'General Basis'!$B$46,IF(G1992&lt;56,'General Basis'!$B$47,IF(G1992&lt;60,'General Basis'!$B$48,IF(G1992&lt;65,'General Basis'!$B$49,'General Basis'!$B$50)))))))))))))</f>
        <v/>
      </c>
      <c r="BI1992" s="744" t="str">
        <f t="shared" si="709"/>
        <v/>
      </c>
      <c r="BJ1992" s="747" t="str">
        <f t="shared" si="716"/>
        <v/>
      </c>
      <c r="BK1992" s="498" t="str">
        <f t="shared" si="710"/>
        <v/>
      </c>
      <c r="BL1992" s="498" t="str">
        <f t="shared" si="711"/>
        <v/>
      </c>
    </row>
    <row r="1993" spans="1:64" x14ac:dyDescent="0.25">
      <c r="A1993" s="762">
        <f t="shared" si="712"/>
        <v>1988</v>
      </c>
      <c r="B1993" s="229"/>
      <c r="C1993" s="223"/>
      <c r="D1993" s="224"/>
      <c r="E1993" s="225"/>
      <c r="F1993" s="1036" t="str">
        <f t="shared" si="696"/>
        <v/>
      </c>
      <c r="G1993" s="1037" t="str">
        <f t="shared" si="713"/>
        <v/>
      </c>
      <c r="H1993" s="225"/>
      <c r="I1993" s="1013"/>
      <c r="J1993" s="1013"/>
      <c r="K1993" s="1028"/>
      <c r="L1993" s="1035" t="str">
        <f t="shared" si="717"/>
        <v/>
      </c>
      <c r="S1993" s="498"/>
      <c r="AJ1993" s="498"/>
      <c r="AM1993" s="498">
        <f t="shared" si="698"/>
        <v>0</v>
      </c>
      <c r="AN1993" s="498">
        <f t="shared" si="699"/>
        <v>0</v>
      </c>
      <c r="AO1993" s="498">
        <f t="shared" si="700"/>
        <v>0</v>
      </c>
      <c r="AP1993" s="498">
        <f t="shared" si="697"/>
        <v>0</v>
      </c>
      <c r="AQ1993" s="498">
        <f t="shared" si="714"/>
        <v>0</v>
      </c>
      <c r="AU1993" s="498">
        <f t="shared" si="701"/>
        <v>0</v>
      </c>
      <c r="AV1993" s="498">
        <f t="shared" si="702"/>
        <v>0</v>
      </c>
      <c r="AW1993" s="498">
        <f t="shared" si="703"/>
        <v>0</v>
      </c>
      <c r="AX1993" s="498">
        <f t="shared" si="704"/>
        <v>0</v>
      </c>
      <c r="AY1993" s="498">
        <f t="shared" si="705"/>
        <v>0</v>
      </c>
      <c r="BB1993" s="498" t="str">
        <f t="shared" si="706"/>
        <v/>
      </c>
      <c r="BC1993" s="743" t="str">
        <f t="shared" si="707"/>
        <v/>
      </c>
      <c r="BD1993" s="743" t="str">
        <f t="shared" si="708"/>
        <v/>
      </c>
      <c r="BE1993" s="743" t="str">
        <f>IF(D1993="","",VLOOKUP(D1993,'General Basis'!$J$39:$K$46,2,0))</f>
        <v/>
      </c>
      <c r="BF1993" s="744" t="str">
        <f>IF(D1993="","",VLOOKUP(D1993,'General Basis'!$J$39:$L$46,3,0))</f>
        <v/>
      </c>
      <c r="BG1993" s="744" t="str">
        <f t="shared" si="715"/>
        <v/>
      </c>
      <c r="BH1993" s="744" t="str">
        <f>IF(G1993="","",IF(BF1993="Abu Dhabi",IF(G1993&lt;18,'General Basis'!$C$39,IF(G1993&lt;41,'General Basis'!$C$40,IF(G1993&lt;60,'General Basis'!$C$41,IF(G1993&lt;65,'General Basis'!$C$42,'General Basis'!$C$43)))),IF(G1993&lt;11,'General Basis'!$B$39,IF(G1993&lt;18,'General Basis'!$B$40,IF(G1993&lt;26,'General Basis'!$B$41,IF(G1993&lt;31,'General Basis'!$B$42,IF(G1993&lt;36,'General Basis'!$B$43,IF(G1993&lt;41,'General Basis'!$B$44,IF(G1993&lt;46,'General Basis'!$B$45,IF(G1993&lt;51,'General Basis'!$B$46,IF(G1993&lt;56,'General Basis'!$B$47,IF(G1993&lt;60,'General Basis'!$B$48,IF(G1993&lt;65,'General Basis'!$B$49,'General Basis'!$B$50)))))))))))))</f>
        <v/>
      </c>
      <c r="BI1993" s="744" t="str">
        <f t="shared" si="709"/>
        <v/>
      </c>
      <c r="BJ1993" s="747" t="str">
        <f t="shared" si="716"/>
        <v/>
      </c>
      <c r="BK1993" s="498" t="str">
        <f t="shared" si="710"/>
        <v/>
      </c>
      <c r="BL1993" s="498" t="str">
        <f t="shared" si="711"/>
        <v/>
      </c>
    </row>
    <row r="1994" spans="1:64" x14ac:dyDescent="0.25">
      <c r="A1994" s="762">
        <f t="shared" si="712"/>
        <v>1989</v>
      </c>
      <c r="B1994" s="229"/>
      <c r="C1994" s="223"/>
      <c r="D1994" s="224"/>
      <c r="E1994" s="225"/>
      <c r="F1994" s="1036" t="str">
        <f t="shared" si="696"/>
        <v/>
      </c>
      <c r="G1994" s="1037" t="str">
        <f t="shared" si="713"/>
        <v/>
      </c>
      <c r="H1994" s="225"/>
      <c r="I1994" s="1013"/>
      <c r="J1994" s="1013"/>
      <c r="K1994" s="1028"/>
      <c r="L1994" s="1035" t="str">
        <f t="shared" si="717"/>
        <v/>
      </c>
      <c r="S1994" s="498"/>
      <c r="AJ1994" s="498"/>
      <c r="AM1994" s="498">
        <f t="shared" si="698"/>
        <v>0</v>
      </c>
      <c r="AN1994" s="498">
        <f t="shared" si="699"/>
        <v>0</v>
      </c>
      <c r="AO1994" s="498">
        <f t="shared" si="700"/>
        <v>0</v>
      </c>
      <c r="AP1994" s="498">
        <f t="shared" si="697"/>
        <v>0</v>
      </c>
      <c r="AQ1994" s="498">
        <f t="shared" si="714"/>
        <v>0</v>
      </c>
      <c r="AU1994" s="498">
        <f t="shared" si="701"/>
        <v>0</v>
      </c>
      <c r="AV1994" s="498">
        <f t="shared" si="702"/>
        <v>0</v>
      </c>
      <c r="AW1994" s="498">
        <f t="shared" si="703"/>
        <v>0</v>
      </c>
      <c r="AX1994" s="498">
        <f t="shared" si="704"/>
        <v>0</v>
      </c>
      <c r="AY1994" s="498">
        <f t="shared" si="705"/>
        <v>0</v>
      </c>
      <c r="BB1994" s="498" t="str">
        <f t="shared" si="706"/>
        <v/>
      </c>
      <c r="BC1994" s="743" t="str">
        <f t="shared" si="707"/>
        <v/>
      </c>
      <c r="BD1994" s="743" t="str">
        <f t="shared" si="708"/>
        <v/>
      </c>
      <c r="BE1994" s="743" t="str">
        <f>IF(D1994="","",VLOOKUP(D1994,'General Basis'!$J$39:$K$46,2,0))</f>
        <v/>
      </c>
      <c r="BF1994" s="744" t="str">
        <f>IF(D1994="","",VLOOKUP(D1994,'General Basis'!$J$39:$L$46,3,0))</f>
        <v/>
      </c>
      <c r="BG1994" s="744" t="str">
        <f t="shared" si="715"/>
        <v/>
      </c>
      <c r="BH1994" s="744" t="str">
        <f>IF(G1994="","",IF(BF1994="Abu Dhabi",IF(G1994&lt;18,'General Basis'!$C$39,IF(G1994&lt;41,'General Basis'!$C$40,IF(G1994&lt;60,'General Basis'!$C$41,IF(G1994&lt;65,'General Basis'!$C$42,'General Basis'!$C$43)))),IF(G1994&lt;11,'General Basis'!$B$39,IF(G1994&lt;18,'General Basis'!$B$40,IF(G1994&lt;26,'General Basis'!$B$41,IF(G1994&lt;31,'General Basis'!$B$42,IF(G1994&lt;36,'General Basis'!$B$43,IF(G1994&lt;41,'General Basis'!$B$44,IF(G1994&lt;46,'General Basis'!$B$45,IF(G1994&lt;51,'General Basis'!$B$46,IF(G1994&lt;56,'General Basis'!$B$47,IF(G1994&lt;60,'General Basis'!$B$48,IF(G1994&lt;65,'General Basis'!$B$49,'General Basis'!$B$50)))))))))))))</f>
        <v/>
      </c>
      <c r="BI1994" s="744" t="str">
        <f t="shared" si="709"/>
        <v/>
      </c>
      <c r="BJ1994" s="747" t="str">
        <f t="shared" si="716"/>
        <v/>
      </c>
      <c r="BK1994" s="498" t="str">
        <f t="shared" si="710"/>
        <v/>
      </c>
      <c r="BL1994" s="498" t="str">
        <f t="shared" si="711"/>
        <v/>
      </c>
    </row>
    <row r="1995" spans="1:64" x14ac:dyDescent="0.25">
      <c r="A1995" s="762">
        <f t="shared" si="712"/>
        <v>1990</v>
      </c>
      <c r="B1995" s="229"/>
      <c r="C1995" s="223"/>
      <c r="D1995" s="224"/>
      <c r="E1995" s="225"/>
      <c r="F1995" s="1036" t="str">
        <f t="shared" si="696"/>
        <v/>
      </c>
      <c r="G1995" s="1037" t="str">
        <f t="shared" si="713"/>
        <v/>
      </c>
      <c r="H1995" s="225"/>
      <c r="I1995" s="1013"/>
      <c r="J1995" s="1013"/>
      <c r="K1995" s="1028"/>
      <c r="L1995" s="1035" t="str">
        <f t="shared" si="717"/>
        <v/>
      </c>
      <c r="S1995" s="498"/>
      <c r="AJ1995" s="498"/>
      <c r="AM1995" s="498">
        <f t="shared" si="698"/>
        <v>0</v>
      </c>
      <c r="AN1995" s="498">
        <f t="shared" si="699"/>
        <v>0</v>
      </c>
      <c r="AO1995" s="498">
        <f t="shared" si="700"/>
        <v>0</v>
      </c>
      <c r="AP1995" s="498">
        <f t="shared" si="697"/>
        <v>0</v>
      </c>
      <c r="AQ1995" s="498">
        <f t="shared" si="714"/>
        <v>0</v>
      </c>
      <c r="AU1995" s="498">
        <f t="shared" si="701"/>
        <v>0</v>
      </c>
      <c r="AV1995" s="498">
        <f t="shared" si="702"/>
        <v>0</v>
      </c>
      <c r="AW1995" s="498">
        <f t="shared" si="703"/>
        <v>0</v>
      </c>
      <c r="AX1995" s="498">
        <f t="shared" si="704"/>
        <v>0</v>
      </c>
      <c r="AY1995" s="498">
        <f t="shared" si="705"/>
        <v>0</v>
      </c>
      <c r="BB1995" s="498" t="str">
        <f t="shared" si="706"/>
        <v/>
      </c>
      <c r="BC1995" s="743" t="str">
        <f t="shared" si="707"/>
        <v/>
      </c>
      <c r="BD1995" s="743" t="str">
        <f t="shared" si="708"/>
        <v/>
      </c>
      <c r="BE1995" s="743" t="str">
        <f>IF(D1995="","",VLOOKUP(D1995,'General Basis'!$J$39:$K$46,2,0))</f>
        <v/>
      </c>
      <c r="BF1995" s="744" t="str">
        <f>IF(D1995="","",VLOOKUP(D1995,'General Basis'!$J$39:$L$46,3,0))</f>
        <v/>
      </c>
      <c r="BG1995" s="744" t="str">
        <f t="shared" si="715"/>
        <v/>
      </c>
      <c r="BH1995" s="744" t="str">
        <f>IF(G1995="","",IF(BF1995="Abu Dhabi",IF(G1995&lt;18,'General Basis'!$C$39,IF(G1995&lt;41,'General Basis'!$C$40,IF(G1995&lt;60,'General Basis'!$C$41,IF(G1995&lt;65,'General Basis'!$C$42,'General Basis'!$C$43)))),IF(G1995&lt;11,'General Basis'!$B$39,IF(G1995&lt;18,'General Basis'!$B$40,IF(G1995&lt;26,'General Basis'!$B$41,IF(G1995&lt;31,'General Basis'!$B$42,IF(G1995&lt;36,'General Basis'!$B$43,IF(G1995&lt;41,'General Basis'!$B$44,IF(G1995&lt;46,'General Basis'!$B$45,IF(G1995&lt;51,'General Basis'!$B$46,IF(G1995&lt;56,'General Basis'!$B$47,IF(G1995&lt;60,'General Basis'!$B$48,IF(G1995&lt;65,'General Basis'!$B$49,'General Basis'!$B$50)))))))))))))</f>
        <v/>
      </c>
      <c r="BI1995" s="744" t="str">
        <f t="shared" si="709"/>
        <v/>
      </c>
      <c r="BJ1995" s="747" t="str">
        <f t="shared" si="716"/>
        <v/>
      </c>
      <c r="BK1995" s="498" t="str">
        <f t="shared" si="710"/>
        <v/>
      </c>
      <c r="BL1995" s="498" t="str">
        <f t="shared" si="711"/>
        <v/>
      </c>
    </row>
    <row r="1996" spans="1:64" x14ac:dyDescent="0.25">
      <c r="A1996" s="762">
        <f t="shared" si="712"/>
        <v>1991</v>
      </c>
      <c r="B1996" s="229"/>
      <c r="C1996" s="223"/>
      <c r="D1996" s="224"/>
      <c r="E1996" s="225"/>
      <c r="F1996" s="1036" t="str">
        <f t="shared" si="696"/>
        <v/>
      </c>
      <c r="G1996" s="1037" t="str">
        <f t="shared" si="713"/>
        <v/>
      </c>
      <c r="H1996" s="225"/>
      <c r="I1996" s="1013"/>
      <c r="J1996" s="1013"/>
      <c r="K1996" s="1028"/>
      <c r="L1996" s="1035" t="str">
        <f t="shared" si="717"/>
        <v/>
      </c>
      <c r="S1996" s="498"/>
      <c r="AJ1996" s="498"/>
      <c r="AM1996" s="498">
        <f t="shared" si="698"/>
        <v>0</v>
      </c>
      <c r="AN1996" s="498">
        <f t="shared" si="699"/>
        <v>0</v>
      </c>
      <c r="AO1996" s="498">
        <f t="shared" si="700"/>
        <v>0</v>
      </c>
      <c r="AP1996" s="498">
        <f t="shared" si="697"/>
        <v>0</v>
      </c>
      <c r="AQ1996" s="498">
        <f t="shared" si="714"/>
        <v>0</v>
      </c>
      <c r="AU1996" s="498">
        <f t="shared" si="701"/>
        <v>0</v>
      </c>
      <c r="AV1996" s="498">
        <f t="shared" si="702"/>
        <v>0</v>
      </c>
      <c r="AW1996" s="498">
        <f t="shared" si="703"/>
        <v>0</v>
      </c>
      <c r="AX1996" s="498">
        <f t="shared" si="704"/>
        <v>0</v>
      </c>
      <c r="AY1996" s="498">
        <f t="shared" si="705"/>
        <v>0</v>
      </c>
      <c r="BB1996" s="498" t="str">
        <f t="shared" si="706"/>
        <v/>
      </c>
      <c r="BC1996" s="743" t="str">
        <f t="shared" si="707"/>
        <v/>
      </c>
      <c r="BD1996" s="743" t="str">
        <f t="shared" si="708"/>
        <v/>
      </c>
      <c r="BE1996" s="743" t="str">
        <f>IF(D1996="","",VLOOKUP(D1996,'General Basis'!$J$39:$K$46,2,0))</f>
        <v/>
      </c>
      <c r="BF1996" s="744" t="str">
        <f>IF(D1996="","",VLOOKUP(D1996,'General Basis'!$J$39:$L$46,3,0))</f>
        <v/>
      </c>
      <c r="BG1996" s="744" t="str">
        <f t="shared" si="715"/>
        <v/>
      </c>
      <c r="BH1996" s="744" t="str">
        <f>IF(G1996="","",IF(BF1996="Abu Dhabi",IF(G1996&lt;18,'General Basis'!$C$39,IF(G1996&lt;41,'General Basis'!$C$40,IF(G1996&lt;60,'General Basis'!$C$41,IF(G1996&lt;65,'General Basis'!$C$42,'General Basis'!$C$43)))),IF(G1996&lt;11,'General Basis'!$B$39,IF(G1996&lt;18,'General Basis'!$B$40,IF(G1996&lt;26,'General Basis'!$B$41,IF(G1996&lt;31,'General Basis'!$B$42,IF(G1996&lt;36,'General Basis'!$B$43,IF(G1996&lt;41,'General Basis'!$B$44,IF(G1996&lt;46,'General Basis'!$B$45,IF(G1996&lt;51,'General Basis'!$B$46,IF(G1996&lt;56,'General Basis'!$B$47,IF(G1996&lt;60,'General Basis'!$B$48,IF(G1996&lt;65,'General Basis'!$B$49,'General Basis'!$B$50)))))))))))))</f>
        <v/>
      </c>
      <c r="BI1996" s="744" t="str">
        <f t="shared" si="709"/>
        <v/>
      </c>
      <c r="BJ1996" s="747" t="str">
        <f t="shared" si="716"/>
        <v/>
      </c>
      <c r="BK1996" s="498" t="str">
        <f t="shared" si="710"/>
        <v/>
      </c>
      <c r="BL1996" s="498" t="str">
        <f t="shared" si="711"/>
        <v/>
      </c>
    </row>
    <row r="1997" spans="1:64" x14ac:dyDescent="0.25">
      <c r="A1997" s="762">
        <f t="shared" si="712"/>
        <v>1992</v>
      </c>
      <c r="B1997" s="229"/>
      <c r="C1997" s="223"/>
      <c r="D1997" s="224"/>
      <c r="E1997" s="225"/>
      <c r="F1997" s="1036" t="str">
        <f t="shared" si="696"/>
        <v/>
      </c>
      <c r="G1997" s="1037" t="str">
        <f t="shared" si="713"/>
        <v/>
      </c>
      <c r="H1997" s="225"/>
      <c r="I1997" s="1013"/>
      <c r="J1997" s="1013"/>
      <c r="K1997" s="1028"/>
      <c r="L1997" s="1035" t="str">
        <f t="shared" si="717"/>
        <v/>
      </c>
      <c r="S1997" s="498"/>
      <c r="AJ1997" s="498"/>
      <c r="AM1997" s="498">
        <f t="shared" si="698"/>
        <v>0</v>
      </c>
      <c r="AN1997" s="498">
        <f t="shared" si="699"/>
        <v>0</v>
      </c>
      <c r="AO1997" s="498">
        <f t="shared" si="700"/>
        <v>0</v>
      </c>
      <c r="AP1997" s="498">
        <f t="shared" si="697"/>
        <v>0</v>
      </c>
      <c r="AQ1997" s="498">
        <f t="shared" si="714"/>
        <v>0</v>
      </c>
      <c r="AU1997" s="498">
        <f t="shared" si="701"/>
        <v>0</v>
      </c>
      <c r="AV1997" s="498">
        <f t="shared" si="702"/>
        <v>0</v>
      </c>
      <c r="AW1997" s="498">
        <f t="shared" si="703"/>
        <v>0</v>
      </c>
      <c r="AX1997" s="498">
        <f t="shared" si="704"/>
        <v>0</v>
      </c>
      <c r="AY1997" s="498">
        <f t="shared" si="705"/>
        <v>0</v>
      </c>
      <c r="BB1997" s="498" t="str">
        <f t="shared" si="706"/>
        <v/>
      </c>
      <c r="BC1997" s="743" t="str">
        <f t="shared" si="707"/>
        <v/>
      </c>
      <c r="BD1997" s="743" t="str">
        <f t="shared" si="708"/>
        <v/>
      </c>
      <c r="BE1997" s="743" t="str">
        <f>IF(D1997="","",VLOOKUP(D1997,'General Basis'!$J$39:$K$46,2,0))</f>
        <v/>
      </c>
      <c r="BF1997" s="744" t="str">
        <f>IF(D1997="","",VLOOKUP(D1997,'General Basis'!$J$39:$L$46,3,0))</f>
        <v/>
      </c>
      <c r="BG1997" s="744" t="str">
        <f t="shared" si="715"/>
        <v/>
      </c>
      <c r="BH1997" s="744" t="str">
        <f>IF(G1997="","",IF(BF1997="Abu Dhabi",IF(G1997&lt;18,'General Basis'!$C$39,IF(G1997&lt;41,'General Basis'!$C$40,IF(G1997&lt;60,'General Basis'!$C$41,IF(G1997&lt;65,'General Basis'!$C$42,'General Basis'!$C$43)))),IF(G1997&lt;11,'General Basis'!$B$39,IF(G1997&lt;18,'General Basis'!$B$40,IF(G1997&lt;26,'General Basis'!$B$41,IF(G1997&lt;31,'General Basis'!$B$42,IF(G1997&lt;36,'General Basis'!$B$43,IF(G1997&lt;41,'General Basis'!$B$44,IF(G1997&lt;46,'General Basis'!$B$45,IF(G1997&lt;51,'General Basis'!$B$46,IF(G1997&lt;56,'General Basis'!$B$47,IF(G1997&lt;60,'General Basis'!$B$48,IF(G1997&lt;65,'General Basis'!$B$49,'General Basis'!$B$50)))))))))))))</f>
        <v/>
      </c>
      <c r="BI1997" s="744" t="str">
        <f t="shared" si="709"/>
        <v/>
      </c>
      <c r="BJ1997" s="747" t="str">
        <f t="shared" si="716"/>
        <v/>
      </c>
      <c r="BK1997" s="498" t="str">
        <f t="shared" si="710"/>
        <v/>
      </c>
      <c r="BL1997" s="498" t="str">
        <f t="shared" si="711"/>
        <v/>
      </c>
    </row>
    <row r="1998" spans="1:64" x14ac:dyDescent="0.25">
      <c r="A1998" s="762">
        <f t="shared" si="712"/>
        <v>1993</v>
      </c>
      <c r="B1998" s="229"/>
      <c r="C1998" s="223"/>
      <c r="D1998" s="224"/>
      <c r="E1998" s="225"/>
      <c r="F1998" s="1036" t="str">
        <f t="shared" si="696"/>
        <v/>
      </c>
      <c r="G1998" s="1037" t="str">
        <f t="shared" si="713"/>
        <v/>
      </c>
      <c r="H1998" s="225"/>
      <c r="I1998" s="1013"/>
      <c r="J1998" s="1013"/>
      <c r="K1998" s="1028"/>
      <c r="L1998" s="1035" t="str">
        <f t="shared" si="717"/>
        <v/>
      </c>
      <c r="S1998" s="498"/>
      <c r="AJ1998" s="498"/>
      <c r="AM1998" s="498">
        <f t="shared" si="698"/>
        <v>0</v>
      </c>
      <c r="AN1998" s="498">
        <f t="shared" si="699"/>
        <v>0</v>
      </c>
      <c r="AO1998" s="498">
        <f t="shared" si="700"/>
        <v>0</v>
      </c>
      <c r="AP1998" s="498">
        <f t="shared" si="697"/>
        <v>0</v>
      </c>
      <c r="AQ1998" s="498">
        <f t="shared" si="714"/>
        <v>0</v>
      </c>
      <c r="AU1998" s="498">
        <f t="shared" si="701"/>
        <v>0</v>
      </c>
      <c r="AV1998" s="498">
        <f t="shared" si="702"/>
        <v>0</v>
      </c>
      <c r="AW1998" s="498">
        <f t="shared" si="703"/>
        <v>0</v>
      </c>
      <c r="AX1998" s="498">
        <f t="shared" si="704"/>
        <v>0</v>
      </c>
      <c r="AY1998" s="498">
        <f t="shared" si="705"/>
        <v>0</v>
      </c>
      <c r="BB1998" s="498" t="str">
        <f t="shared" si="706"/>
        <v/>
      </c>
      <c r="BC1998" s="743" t="str">
        <f t="shared" si="707"/>
        <v/>
      </c>
      <c r="BD1998" s="743" t="str">
        <f t="shared" si="708"/>
        <v/>
      </c>
      <c r="BE1998" s="743" t="str">
        <f>IF(D1998="","",VLOOKUP(D1998,'General Basis'!$J$39:$K$46,2,0))</f>
        <v/>
      </c>
      <c r="BF1998" s="744" t="str">
        <f>IF(D1998="","",VLOOKUP(D1998,'General Basis'!$J$39:$L$46,3,0))</f>
        <v/>
      </c>
      <c r="BG1998" s="744" t="str">
        <f t="shared" si="715"/>
        <v/>
      </c>
      <c r="BH1998" s="744" t="str">
        <f>IF(G1998="","",IF(BF1998="Abu Dhabi",IF(G1998&lt;18,'General Basis'!$C$39,IF(G1998&lt;41,'General Basis'!$C$40,IF(G1998&lt;60,'General Basis'!$C$41,IF(G1998&lt;65,'General Basis'!$C$42,'General Basis'!$C$43)))),IF(G1998&lt;11,'General Basis'!$B$39,IF(G1998&lt;18,'General Basis'!$B$40,IF(G1998&lt;26,'General Basis'!$B$41,IF(G1998&lt;31,'General Basis'!$B$42,IF(G1998&lt;36,'General Basis'!$B$43,IF(G1998&lt;41,'General Basis'!$B$44,IF(G1998&lt;46,'General Basis'!$B$45,IF(G1998&lt;51,'General Basis'!$B$46,IF(G1998&lt;56,'General Basis'!$B$47,IF(G1998&lt;60,'General Basis'!$B$48,IF(G1998&lt;65,'General Basis'!$B$49,'General Basis'!$B$50)))))))))))))</f>
        <v/>
      </c>
      <c r="BI1998" s="744" t="str">
        <f t="shared" si="709"/>
        <v/>
      </c>
      <c r="BJ1998" s="747" t="str">
        <f t="shared" si="716"/>
        <v/>
      </c>
      <c r="BK1998" s="498" t="str">
        <f t="shared" si="710"/>
        <v/>
      </c>
      <c r="BL1998" s="498" t="str">
        <f t="shared" si="711"/>
        <v/>
      </c>
    </row>
    <row r="1999" spans="1:64" x14ac:dyDescent="0.25">
      <c r="A1999" s="762">
        <f t="shared" si="712"/>
        <v>1994</v>
      </c>
      <c r="B1999" s="229"/>
      <c r="C1999" s="223"/>
      <c r="D1999" s="224"/>
      <c r="E1999" s="225"/>
      <c r="F1999" s="1036" t="str">
        <f t="shared" si="696"/>
        <v/>
      </c>
      <c r="G1999" s="1037" t="str">
        <f t="shared" si="713"/>
        <v/>
      </c>
      <c r="H1999" s="225"/>
      <c r="I1999" s="1013"/>
      <c r="J1999" s="1013"/>
      <c r="K1999" s="1028"/>
      <c r="L1999" s="1035" t="str">
        <f t="shared" si="717"/>
        <v/>
      </c>
      <c r="S1999" s="498"/>
      <c r="AJ1999" s="498"/>
      <c r="AM1999" s="498">
        <f t="shared" si="698"/>
        <v>0</v>
      </c>
      <c r="AN1999" s="498">
        <f t="shared" si="699"/>
        <v>0</v>
      </c>
      <c r="AO1999" s="498">
        <f t="shared" si="700"/>
        <v>0</v>
      </c>
      <c r="AP1999" s="498">
        <f t="shared" si="697"/>
        <v>0</v>
      </c>
      <c r="AQ1999" s="498">
        <f t="shared" si="714"/>
        <v>0</v>
      </c>
      <c r="AU1999" s="498">
        <f t="shared" si="701"/>
        <v>0</v>
      </c>
      <c r="AV1999" s="498">
        <f t="shared" si="702"/>
        <v>0</v>
      </c>
      <c r="AW1999" s="498">
        <f t="shared" si="703"/>
        <v>0</v>
      </c>
      <c r="AX1999" s="498">
        <f t="shared" si="704"/>
        <v>0</v>
      </c>
      <c r="AY1999" s="498">
        <f t="shared" si="705"/>
        <v>0</v>
      </c>
      <c r="BB1999" s="498" t="str">
        <f t="shared" si="706"/>
        <v/>
      </c>
      <c r="BC1999" s="743" t="str">
        <f t="shared" si="707"/>
        <v/>
      </c>
      <c r="BD1999" s="743" t="str">
        <f t="shared" si="708"/>
        <v/>
      </c>
      <c r="BE1999" s="743" t="str">
        <f>IF(D1999="","",VLOOKUP(D1999,'General Basis'!$J$39:$K$46,2,0))</f>
        <v/>
      </c>
      <c r="BF1999" s="744" t="str">
        <f>IF(D1999="","",VLOOKUP(D1999,'General Basis'!$J$39:$L$46,3,0))</f>
        <v/>
      </c>
      <c r="BG1999" s="744" t="str">
        <f t="shared" si="715"/>
        <v/>
      </c>
      <c r="BH1999" s="744" t="str">
        <f>IF(G1999="","",IF(BF1999="Abu Dhabi",IF(G1999&lt;18,'General Basis'!$C$39,IF(G1999&lt;41,'General Basis'!$C$40,IF(G1999&lt;60,'General Basis'!$C$41,IF(G1999&lt;65,'General Basis'!$C$42,'General Basis'!$C$43)))),IF(G1999&lt;11,'General Basis'!$B$39,IF(G1999&lt;18,'General Basis'!$B$40,IF(G1999&lt;26,'General Basis'!$B$41,IF(G1999&lt;31,'General Basis'!$B$42,IF(G1999&lt;36,'General Basis'!$B$43,IF(G1999&lt;41,'General Basis'!$B$44,IF(G1999&lt;46,'General Basis'!$B$45,IF(G1999&lt;51,'General Basis'!$B$46,IF(G1999&lt;56,'General Basis'!$B$47,IF(G1999&lt;60,'General Basis'!$B$48,IF(G1999&lt;65,'General Basis'!$B$49,'General Basis'!$B$50)))))))))))))</f>
        <v/>
      </c>
      <c r="BI1999" s="744" t="str">
        <f t="shared" si="709"/>
        <v/>
      </c>
      <c r="BJ1999" s="747" t="str">
        <f t="shared" si="716"/>
        <v/>
      </c>
      <c r="BK1999" s="498" t="str">
        <f t="shared" si="710"/>
        <v/>
      </c>
      <c r="BL1999" s="498" t="str">
        <f t="shared" si="711"/>
        <v/>
      </c>
    </row>
    <row r="2000" spans="1:64" x14ac:dyDescent="0.25">
      <c r="A2000" s="762">
        <f t="shared" si="712"/>
        <v>1995</v>
      </c>
      <c r="B2000" s="229"/>
      <c r="C2000" s="223"/>
      <c r="D2000" s="224"/>
      <c r="E2000" s="225"/>
      <c r="F2000" s="1036" t="str">
        <f t="shared" ref="F2000:F2063" si="718">IF(C2000="","",IF($B2000="","",((YEAR($F$3)-YEAR($B2000))+(MONTH($F$3)-MONTH($B2000))/12+(DAY($F$3)-DAY($B2000))/(DATE(YEAR($F$3),12,31)-DATE(YEAR($F$3),1,1)+1))))</f>
        <v/>
      </c>
      <c r="G2000" s="1037" t="str">
        <f t="shared" si="713"/>
        <v/>
      </c>
      <c r="H2000" s="225"/>
      <c r="I2000" s="1013"/>
      <c r="J2000" s="1013"/>
      <c r="K2000" s="1028"/>
      <c r="L2000" s="1035" t="str">
        <f t="shared" si="717"/>
        <v/>
      </c>
      <c r="S2000" s="498"/>
      <c r="AJ2000" s="498"/>
      <c r="AM2000" s="498">
        <f t="shared" si="698"/>
        <v>0</v>
      </c>
      <c r="AN2000" s="498">
        <f t="shared" si="699"/>
        <v>0</v>
      </c>
      <c r="AO2000" s="498">
        <f t="shared" si="700"/>
        <v>0</v>
      </c>
      <c r="AP2000" s="498">
        <f t="shared" si="697"/>
        <v>0</v>
      </c>
      <c r="AQ2000" s="498">
        <f t="shared" si="714"/>
        <v>0</v>
      </c>
      <c r="AU2000" s="498">
        <f t="shared" si="701"/>
        <v>0</v>
      </c>
      <c r="AV2000" s="498">
        <f t="shared" si="702"/>
        <v>0</v>
      </c>
      <c r="AW2000" s="498">
        <f t="shared" si="703"/>
        <v>0</v>
      </c>
      <c r="AX2000" s="498">
        <f t="shared" si="704"/>
        <v>0</v>
      </c>
      <c r="AY2000" s="498">
        <f t="shared" si="705"/>
        <v>0</v>
      </c>
      <c r="BB2000" s="498" t="str">
        <f t="shared" si="706"/>
        <v/>
      </c>
      <c r="BC2000" s="743" t="str">
        <f t="shared" si="707"/>
        <v/>
      </c>
      <c r="BD2000" s="743" t="str">
        <f t="shared" si="708"/>
        <v/>
      </c>
      <c r="BE2000" s="743" t="str">
        <f>IF(D2000="","",VLOOKUP(D2000,'General Basis'!$J$39:$K$46,2,0))</f>
        <v/>
      </c>
      <c r="BF2000" s="744" t="str">
        <f>IF(D2000="","",VLOOKUP(D2000,'General Basis'!$J$39:$L$46,3,0))</f>
        <v/>
      </c>
      <c r="BG2000" s="744" t="str">
        <f t="shared" si="715"/>
        <v/>
      </c>
      <c r="BH2000" s="744" t="str">
        <f>IF(G2000="","",IF(BF2000="Abu Dhabi",IF(G2000&lt;18,'General Basis'!$C$39,IF(G2000&lt;41,'General Basis'!$C$40,IF(G2000&lt;60,'General Basis'!$C$41,IF(G2000&lt;65,'General Basis'!$C$42,'General Basis'!$C$43)))),IF(G2000&lt;11,'General Basis'!$B$39,IF(G2000&lt;18,'General Basis'!$B$40,IF(G2000&lt;26,'General Basis'!$B$41,IF(G2000&lt;31,'General Basis'!$B$42,IF(G2000&lt;36,'General Basis'!$B$43,IF(G2000&lt;41,'General Basis'!$B$44,IF(G2000&lt;46,'General Basis'!$B$45,IF(G2000&lt;51,'General Basis'!$B$46,IF(G2000&lt;56,'General Basis'!$B$47,IF(G2000&lt;60,'General Basis'!$B$48,IF(G2000&lt;65,'General Basis'!$B$49,'General Basis'!$B$50)))))))))))))</f>
        <v/>
      </c>
      <c r="BI2000" s="744" t="str">
        <f t="shared" si="709"/>
        <v/>
      </c>
      <c r="BJ2000" s="747" t="str">
        <f t="shared" si="716"/>
        <v/>
      </c>
      <c r="BK2000" s="498" t="str">
        <f t="shared" si="710"/>
        <v/>
      </c>
      <c r="BL2000" s="498" t="str">
        <f t="shared" si="711"/>
        <v/>
      </c>
    </row>
    <row r="2001" spans="1:64" x14ac:dyDescent="0.25">
      <c r="A2001" s="762">
        <f t="shared" si="712"/>
        <v>1996</v>
      </c>
      <c r="B2001" s="229"/>
      <c r="C2001" s="223"/>
      <c r="D2001" s="224"/>
      <c r="E2001" s="225"/>
      <c r="F2001" s="1036" t="str">
        <f t="shared" si="718"/>
        <v/>
      </c>
      <c r="G2001" s="1037" t="str">
        <f t="shared" si="713"/>
        <v/>
      </c>
      <c r="H2001" s="225"/>
      <c r="I2001" s="1013"/>
      <c r="J2001" s="1013"/>
      <c r="K2001" s="1028"/>
      <c r="L2001" s="1035" t="str">
        <f t="shared" si="717"/>
        <v/>
      </c>
      <c r="S2001" s="498"/>
      <c r="AJ2001" s="498"/>
      <c r="AM2001" s="498">
        <f t="shared" si="698"/>
        <v>0</v>
      </c>
      <c r="AN2001" s="498">
        <f t="shared" si="699"/>
        <v>0</v>
      </c>
      <c r="AO2001" s="498">
        <f t="shared" si="700"/>
        <v>0</v>
      </c>
      <c r="AP2001" s="498">
        <f t="shared" si="697"/>
        <v>0</v>
      </c>
      <c r="AQ2001" s="498">
        <f t="shared" si="714"/>
        <v>0</v>
      </c>
      <c r="AU2001" s="498">
        <f t="shared" si="701"/>
        <v>0</v>
      </c>
      <c r="AV2001" s="498">
        <f t="shared" si="702"/>
        <v>0</v>
      </c>
      <c r="AW2001" s="498">
        <f t="shared" si="703"/>
        <v>0</v>
      </c>
      <c r="AX2001" s="498">
        <f t="shared" si="704"/>
        <v>0</v>
      </c>
      <c r="AY2001" s="498">
        <f t="shared" si="705"/>
        <v>0</v>
      </c>
      <c r="BB2001" s="498" t="str">
        <f t="shared" si="706"/>
        <v/>
      </c>
      <c r="BC2001" s="743" t="str">
        <f t="shared" si="707"/>
        <v/>
      </c>
      <c r="BD2001" s="743" t="str">
        <f t="shared" si="708"/>
        <v/>
      </c>
      <c r="BE2001" s="743" t="str">
        <f>IF(D2001="","",VLOOKUP(D2001,'General Basis'!$J$39:$K$46,2,0))</f>
        <v/>
      </c>
      <c r="BF2001" s="744" t="str">
        <f>IF(D2001="","",VLOOKUP(D2001,'General Basis'!$J$39:$L$46,3,0))</f>
        <v/>
      </c>
      <c r="BG2001" s="744" t="str">
        <f t="shared" si="715"/>
        <v/>
      </c>
      <c r="BH2001" s="744" t="str">
        <f>IF(G2001="","",IF(BF2001="Abu Dhabi",IF(G2001&lt;18,'General Basis'!$C$39,IF(G2001&lt;41,'General Basis'!$C$40,IF(G2001&lt;60,'General Basis'!$C$41,IF(G2001&lt;65,'General Basis'!$C$42,'General Basis'!$C$43)))),IF(G2001&lt;11,'General Basis'!$B$39,IF(G2001&lt;18,'General Basis'!$B$40,IF(G2001&lt;26,'General Basis'!$B$41,IF(G2001&lt;31,'General Basis'!$B$42,IF(G2001&lt;36,'General Basis'!$B$43,IF(G2001&lt;41,'General Basis'!$B$44,IF(G2001&lt;46,'General Basis'!$B$45,IF(G2001&lt;51,'General Basis'!$B$46,IF(G2001&lt;56,'General Basis'!$B$47,IF(G2001&lt;60,'General Basis'!$B$48,IF(G2001&lt;65,'General Basis'!$B$49,'General Basis'!$B$50)))))))))))))</f>
        <v/>
      </c>
      <c r="BI2001" s="744" t="str">
        <f t="shared" si="709"/>
        <v/>
      </c>
      <c r="BJ2001" s="747" t="str">
        <f t="shared" si="716"/>
        <v/>
      </c>
      <c r="BK2001" s="498" t="str">
        <f t="shared" si="710"/>
        <v/>
      </c>
      <c r="BL2001" s="498" t="str">
        <f t="shared" si="711"/>
        <v/>
      </c>
    </row>
    <row r="2002" spans="1:64" x14ac:dyDescent="0.25">
      <c r="A2002" s="762">
        <f t="shared" si="712"/>
        <v>1997</v>
      </c>
      <c r="B2002" s="229"/>
      <c r="C2002" s="223"/>
      <c r="D2002" s="224"/>
      <c r="E2002" s="225"/>
      <c r="F2002" s="1036" t="str">
        <f t="shared" si="718"/>
        <v/>
      </c>
      <c r="G2002" s="1037" t="str">
        <f t="shared" si="713"/>
        <v/>
      </c>
      <c r="H2002" s="225"/>
      <c r="I2002" s="1013"/>
      <c r="J2002" s="1013"/>
      <c r="K2002" s="1028"/>
      <c r="L2002" s="1035" t="str">
        <f t="shared" si="717"/>
        <v/>
      </c>
      <c r="S2002" s="498"/>
      <c r="AJ2002" s="498"/>
      <c r="AM2002" s="498">
        <f t="shared" si="698"/>
        <v>0</v>
      </c>
      <c r="AN2002" s="498">
        <f t="shared" si="699"/>
        <v>0</v>
      </c>
      <c r="AO2002" s="498">
        <f t="shared" si="700"/>
        <v>0</v>
      </c>
      <c r="AP2002" s="498">
        <f t="shared" si="697"/>
        <v>0</v>
      </c>
      <c r="AQ2002" s="498">
        <f t="shared" si="714"/>
        <v>0</v>
      </c>
      <c r="AU2002" s="498">
        <f t="shared" si="701"/>
        <v>0</v>
      </c>
      <c r="AV2002" s="498">
        <f t="shared" si="702"/>
        <v>0</v>
      </c>
      <c r="AW2002" s="498">
        <f t="shared" si="703"/>
        <v>0</v>
      </c>
      <c r="AX2002" s="498">
        <f t="shared" si="704"/>
        <v>0</v>
      </c>
      <c r="AY2002" s="498">
        <f t="shared" si="705"/>
        <v>0</v>
      </c>
      <c r="BB2002" s="498" t="str">
        <f t="shared" si="706"/>
        <v/>
      </c>
      <c r="BC2002" s="743" t="str">
        <f t="shared" si="707"/>
        <v/>
      </c>
      <c r="BD2002" s="743" t="str">
        <f t="shared" si="708"/>
        <v/>
      </c>
      <c r="BE2002" s="743" t="str">
        <f>IF(D2002="","",VLOOKUP(D2002,'General Basis'!$J$39:$K$46,2,0))</f>
        <v/>
      </c>
      <c r="BF2002" s="744" t="str">
        <f>IF(D2002="","",VLOOKUP(D2002,'General Basis'!$J$39:$L$46,3,0))</f>
        <v/>
      </c>
      <c r="BG2002" s="744" t="str">
        <f t="shared" si="715"/>
        <v/>
      </c>
      <c r="BH2002" s="744" t="str">
        <f>IF(G2002="","",IF(BF2002="Abu Dhabi",IF(G2002&lt;18,'General Basis'!$C$39,IF(G2002&lt;41,'General Basis'!$C$40,IF(G2002&lt;60,'General Basis'!$C$41,IF(G2002&lt;65,'General Basis'!$C$42,'General Basis'!$C$43)))),IF(G2002&lt;11,'General Basis'!$B$39,IF(G2002&lt;18,'General Basis'!$B$40,IF(G2002&lt;26,'General Basis'!$B$41,IF(G2002&lt;31,'General Basis'!$B$42,IF(G2002&lt;36,'General Basis'!$B$43,IF(G2002&lt;41,'General Basis'!$B$44,IF(G2002&lt;46,'General Basis'!$B$45,IF(G2002&lt;51,'General Basis'!$B$46,IF(G2002&lt;56,'General Basis'!$B$47,IF(G2002&lt;60,'General Basis'!$B$48,IF(G2002&lt;65,'General Basis'!$B$49,'General Basis'!$B$50)))))))))))))</f>
        <v/>
      </c>
      <c r="BI2002" s="744" t="str">
        <f t="shared" si="709"/>
        <v/>
      </c>
      <c r="BJ2002" s="747" t="str">
        <f t="shared" si="716"/>
        <v/>
      </c>
      <c r="BK2002" s="498" t="str">
        <f t="shared" si="710"/>
        <v/>
      </c>
      <c r="BL2002" s="498" t="str">
        <f t="shared" si="711"/>
        <v/>
      </c>
    </row>
    <row r="2003" spans="1:64" x14ac:dyDescent="0.25">
      <c r="A2003" s="762">
        <f t="shared" si="712"/>
        <v>1998</v>
      </c>
      <c r="B2003" s="229"/>
      <c r="C2003" s="223"/>
      <c r="D2003" s="224"/>
      <c r="E2003" s="225"/>
      <c r="F2003" s="1036" t="str">
        <f t="shared" si="718"/>
        <v/>
      </c>
      <c r="G2003" s="1037" t="str">
        <f t="shared" si="713"/>
        <v/>
      </c>
      <c r="H2003" s="225"/>
      <c r="I2003" s="1013"/>
      <c r="J2003" s="1013"/>
      <c r="K2003" s="1028"/>
      <c r="L2003" s="1035" t="str">
        <f t="shared" si="717"/>
        <v/>
      </c>
      <c r="S2003" s="498"/>
      <c r="AJ2003" s="498"/>
      <c r="AM2003" s="498">
        <f t="shared" si="698"/>
        <v>0</v>
      </c>
      <c r="AN2003" s="498">
        <f t="shared" si="699"/>
        <v>0</v>
      </c>
      <c r="AO2003" s="498">
        <f t="shared" si="700"/>
        <v>0</v>
      </c>
      <c r="AP2003" s="498">
        <f t="shared" ref="AP2003:AP2066" si="719">IF(ISBLANK($B2003),0,IF(OR($C2003="M",$C2003="F"),0,1))</f>
        <v>0</v>
      </c>
      <c r="AQ2003" s="498">
        <f t="shared" si="714"/>
        <v>0</v>
      </c>
      <c r="AU2003" s="498">
        <f t="shared" si="701"/>
        <v>0</v>
      </c>
      <c r="AV2003" s="498">
        <f t="shared" si="702"/>
        <v>0</v>
      </c>
      <c r="AW2003" s="498">
        <f t="shared" si="703"/>
        <v>0</v>
      </c>
      <c r="AX2003" s="498">
        <f t="shared" si="704"/>
        <v>0</v>
      </c>
      <c r="AY2003" s="498">
        <f t="shared" si="705"/>
        <v>0</v>
      </c>
      <c r="BB2003" s="498" t="str">
        <f t="shared" si="706"/>
        <v/>
      </c>
      <c r="BC2003" s="743" t="str">
        <f t="shared" si="707"/>
        <v/>
      </c>
      <c r="BD2003" s="743" t="str">
        <f t="shared" si="708"/>
        <v/>
      </c>
      <c r="BE2003" s="743" t="str">
        <f>IF(D2003="","",VLOOKUP(D2003,'General Basis'!$J$39:$K$46,2,0))</f>
        <v/>
      </c>
      <c r="BF2003" s="744" t="str">
        <f>IF(D2003="","",VLOOKUP(D2003,'General Basis'!$J$39:$L$46,3,0))</f>
        <v/>
      </c>
      <c r="BG2003" s="744" t="str">
        <f t="shared" si="715"/>
        <v/>
      </c>
      <c r="BH2003" s="744" t="str">
        <f>IF(G2003="","",IF(BF2003="Abu Dhabi",IF(G2003&lt;18,'General Basis'!$C$39,IF(G2003&lt;41,'General Basis'!$C$40,IF(G2003&lt;60,'General Basis'!$C$41,IF(G2003&lt;65,'General Basis'!$C$42,'General Basis'!$C$43)))),IF(G2003&lt;11,'General Basis'!$B$39,IF(G2003&lt;18,'General Basis'!$B$40,IF(G2003&lt;26,'General Basis'!$B$41,IF(G2003&lt;31,'General Basis'!$B$42,IF(G2003&lt;36,'General Basis'!$B$43,IF(G2003&lt;41,'General Basis'!$B$44,IF(G2003&lt;46,'General Basis'!$B$45,IF(G2003&lt;51,'General Basis'!$B$46,IF(G2003&lt;56,'General Basis'!$B$47,IF(G2003&lt;60,'General Basis'!$B$48,IF(G2003&lt;65,'General Basis'!$B$49,'General Basis'!$B$50)))))))))))))</f>
        <v/>
      </c>
      <c r="BI2003" s="744" t="str">
        <f t="shared" si="709"/>
        <v/>
      </c>
      <c r="BJ2003" s="747" t="str">
        <f t="shared" si="716"/>
        <v/>
      </c>
      <c r="BK2003" s="498" t="str">
        <f t="shared" si="710"/>
        <v/>
      </c>
      <c r="BL2003" s="498" t="str">
        <f t="shared" si="711"/>
        <v/>
      </c>
    </row>
    <row r="2004" spans="1:64" x14ac:dyDescent="0.25">
      <c r="A2004" s="762">
        <f t="shared" si="712"/>
        <v>1999</v>
      </c>
      <c r="B2004" s="229"/>
      <c r="C2004" s="223"/>
      <c r="D2004" s="224"/>
      <c r="E2004" s="225"/>
      <c r="F2004" s="1036" t="str">
        <f t="shared" si="718"/>
        <v/>
      </c>
      <c r="G2004" s="1037" t="str">
        <f t="shared" si="713"/>
        <v/>
      </c>
      <c r="H2004" s="225"/>
      <c r="I2004" s="1013"/>
      <c r="J2004" s="1013"/>
      <c r="K2004" s="1028"/>
      <c r="L2004" s="1035" t="str">
        <f t="shared" si="717"/>
        <v/>
      </c>
      <c r="S2004" s="498"/>
      <c r="AJ2004" s="498"/>
      <c r="AM2004" s="498">
        <f t="shared" si="698"/>
        <v>0</v>
      </c>
      <c r="AN2004" s="498">
        <f t="shared" si="699"/>
        <v>0</v>
      </c>
      <c r="AO2004" s="498">
        <f t="shared" si="700"/>
        <v>0</v>
      </c>
      <c r="AP2004" s="498">
        <f t="shared" si="719"/>
        <v>0</v>
      </c>
      <c r="AQ2004" s="498">
        <f t="shared" si="714"/>
        <v>0</v>
      </c>
      <c r="AU2004" s="498">
        <f t="shared" si="701"/>
        <v>0</v>
      </c>
      <c r="AV2004" s="498">
        <f t="shared" si="702"/>
        <v>0</v>
      </c>
      <c r="AW2004" s="498">
        <f t="shared" si="703"/>
        <v>0</v>
      </c>
      <c r="AX2004" s="498">
        <f t="shared" si="704"/>
        <v>0</v>
      </c>
      <c r="AY2004" s="498">
        <f t="shared" si="705"/>
        <v>0</v>
      </c>
      <c r="BB2004" s="498" t="str">
        <f t="shared" si="706"/>
        <v/>
      </c>
      <c r="BC2004" s="743" t="str">
        <f t="shared" si="707"/>
        <v/>
      </c>
      <c r="BD2004" s="743" t="str">
        <f t="shared" si="708"/>
        <v/>
      </c>
      <c r="BE2004" s="743" t="str">
        <f>IF(D2004="","",VLOOKUP(D2004,'General Basis'!$J$39:$K$46,2,0))</f>
        <v/>
      </c>
      <c r="BF2004" s="744" t="str">
        <f>IF(D2004="","",VLOOKUP(D2004,'General Basis'!$J$39:$L$46,3,0))</f>
        <v/>
      </c>
      <c r="BG2004" s="744" t="str">
        <f t="shared" si="715"/>
        <v/>
      </c>
      <c r="BH2004" s="744" t="str">
        <f>IF(G2004="","",IF(BF2004="Abu Dhabi",IF(G2004&lt;18,'General Basis'!$C$39,IF(G2004&lt;41,'General Basis'!$C$40,IF(G2004&lt;60,'General Basis'!$C$41,IF(G2004&lt;65,'General Basis'!$C$42,'General Basis'!$C$43)))),IF(G2004&lt;11,'General Basis'!$B$39,IF(G2004&lt;18,'General Basis'!$B$40,IF(G2004&lt;26,'General Basis'!$B$41,IF(G2004&lt;31,'General Basis'!$B$42,IF(G2004&lt;36,'General Basis'!$B$43,IF(G2004&lt;41,'General Basis'!$B$44,IF(G2004&lt;46,'General Basis'!$B$45,IF(G2004&lt;51,'General Basis'!$B$46,IF(G2004&lt;56,'General Basis'!$B$47,IF(G2004&lt;60,'General Basis'!$B$48,IF(G2004&lt;65,'General Basis'!$B$49,'General Basis'!$B$50)))))))))))))</f>
        <v/>
      </c>
      <c r="BI2004" s="744" t="str">
        <f t="shared" si="709"/>
        <v/>
      </c>
      <c r="BJ2004" s="747" t="str">
        <f t="shared" si="716"/>
        <v/>
      </c>
      <c r="BK2004" s="498" t="str">
        <f t="shared" si="710"/>
        <v/>
      </c>
      <c r="BL2004" s="498" t="str">
        <f t="shared" si="711"/>
        <v/>
      </c>
    </row>
    <row r="2005" spans="1:64" x14ac:dyDescent="0.25">
      <c r="A2005" s="762">
        <f t="shared" si="712"/>
        <v>2000</v>
      </c>
      <c r="B2005" s="229"/>
      <c r="C2005" s="223"/>
      <c r="D2005" s="224"/>
      <c r="E2005" s="225"/>
      <c r="F2005" s="1036" t="str">
        <f t="shared" si="718"/>
        <v/>
      </c>
      <c r="G2005" s="1037" t="str">
        <f t="shared" si="713"/>
        <v/>
      </c>
      <c r="H2005" s="225"/>
      <c r="I2005" s="1013"/>
      <c r="J2005" s="1013"/>
      <c r="K2005" s="1028"/>
      <c r="L2005" s="1035" t="str">
        <f t="shared" si="717"/>
        <v/>
      </c>
      <c r="S2005" s="498"/>
      <c r="AJ2005" s="498"/>
      <c r="AM2005" s="498">
        <f t="shared" si="698"/>
        <v>0</v>
      </c>
      <c r="AN2005" s="498">
        <f t="shared" si="699"/>
        <v>0</v>
      </c>
      <c r="AO2005" s="498">
        <f t="shared" si="700"/>
        <v>0</v>
      </c>
      <c r="AP2005" s="498">
        <f t="shared" si="719"/>
        <v>0</v>
      </c>
      <c r="AQ2005" s="498">
        <f t="shared" si="714"/>
        <v>0</v>
      </c>
      <c r="AU2005" s="498">
        <f t="shared" si="701"/>
        <v>0</v>
      </c>
      <c r="AV2005" s="498">
        <f t="shared" si="702"/>
        <v>0</v>
      </c>
      <c r="AW2005" s="498">
        <f t="shared" si="703"/>
        <v>0</v>
      </c>
      <c r="AX2005" s="498">
        <f t="shared" si="704"/>
        <v>0</v>
      </c>
      <c r="AY2005" s="498">
        <f t="shared" si="705"/>
        <v>0</v>
      </c>
      <c r="BB2005" s="498" t="str">
        <f t="shared" si="706"/>
        <v/>
      </c>
      <c r="BC2005" s="743" t="str">
        <f t="shared" si="707"/>
        <v/>
      </c>
      <c r="BD2005" s="743" t="str">
        <f t="shared" si="708"/>
        <v/>
      </c>
      <c r="BE2005" s="743" t="str">
        <f>IF(D2005="","",VLOOKUP(D2005,'General Basis'!$J$39:$K$46,2,0))</f>
        <v/>
      </c>
      <c r="BF2005" s="744" t="str">
        <f>IF(D2005="","",VLOOKUP(D2005,'General Basis'!$J$39:$L$46,3,0))</f>
        <v/>
      </c>
      <c r="BG2005" s="744" t="str">
        <f t="shared" si="715"/>
        <v/>
      </c>
      <c r="BH2005" s="744" t="str">
        <f>IF(G2005="","",IF(BF2005="Abu Dhabi",IF(G2005&lt;18,'General Basis'!$C$39,IF(G2005&lt;41,'General Basis'!$C$40,IF(G2005&lt;60,'General Basis'!$C$41,IF(G2005&lt;65,'General Basis'!$C$42,'General Basis'!$C$43)))),IF(G2005&lt;11,'General Basis'!$B$39,IF(G2005&lt;18,'General Basis'!$B$40,IF(G2005&lt;26,'General Basis'!$B$41,IF(G2005&lt;31,'General Basis'!$B$42,IF(G2005&lt;36,'General Basis'!$B$43,IF(G2005&lt;41,'General Basis'!$B$44,IF(G2005&lt;46,'General Basis'!$B$45,IF(G2005&lt;51,'General Basis'!$B$46,IF(G2005&lt;56,'General Basis'!$B$47,IF(G2005&lt;60,'General Basis'!$B$48,IF(G2005&lt;65,'General Basis'!$B$49,'General Basis'!$B$50)))))))))))))</f>
        <v/>
      </c>
      <c r="BI2005" s="744" t="str">
        <f t="shared" si="709"/>
        <v/>
      </c>
      <c r="BJ2005" s="747" t="str">
        <f t="shared" si="716"/>
        <v/>
      </c>
      <c r="BK2005" s="498" t="str">
        <f t="shared" si="710"/>
        <v/>
      </c>
      <c r="BL2005" s="498" t="str">
        <f t="shared" si="711"/>
        <v/>
      </c>
    </row>
    <row r="2006" spans="1:64" x14ac:dyDescent="0.25">
      <c r="A2006" s="762">
        <f t="shared" si="712"/>
        <v>2001</v>
      </c>
      <c r="B2006" s="229"/>
      <c r="C2006" s="223"/>
      <c r="D2006" s="224"/>
      <c r="E2006" s="225"/>
      <c r="F2006" s="1036" t="str">
        <f t="shared" si="718"/>
        <v/>
      </c>
      <c r="G2006" s="1037" t="str">
        <f t="shared" si="713"/>
        <v/>
      </c>
      <c r="H2006" s="225"/>
      <c r="I2006" s="1013"/>
      <c r="J2006" s="1013"/>
      <c r="K2006" s="1028"/>
      <c r="L2006" s="1035" t="str">
        <f t="shared" si="717"/>
        <v/>
      </c>
      <c r="S2006" s="498"/>
      <c r="AJ2006" s="498"/>
      <c r="AM2006" s="498">
        <f t="shared" si="698"/>
        <v>0</v>
      </c>
      <c r="AN2006" s="498">
        <f t="shared" si="699"/>
        <v>0</v>
      </c>
      <c r="AO2006" s="498">
        <f t="shared" si="700"/>
        <v>0</v>
      </c>
      <c r="AP2006" s="498">
        <f t="shared" si="719"/>
        <v>0</v>
      </c>
      <c r="AQ2006" s="498">
        <f t="shared" si="714"/>
        <v>0</v>
      </c>
      <c r="AU2006" s="498">
        <f t="shared" si="701"/>
        <v>0</v>
      </c>
      <c r="AV2006" s="498">
        <f t="shared" si="702"/>
        <v>0</v>
      </c>
      <c r="AW2006" s="498">
        <f t="shared" si="703"/>
        <v>0</v>
      </c>
      <c r="AX2006" s="498">
        <f t="shared" si="704"/>
        <v>0</v>
      </c>
      <c r="AY2006" s="498">
        <f t="shared" si="705"/>
        <v>0</v>
      </c>
      <c r="BB2006" s="498" t="str">
        <f t="shared" si="706"/>
        <v/>
      </c>
      <c r="BC2006" s="743" t="str">
        <f t="shared" si="707"/>
        <v/>
      </c>
      <c r="BD2006" s="743" t="str">
        <f t="shared" si="708"/>
        <v/>
      </c>
      <c r="BE2006" s="743" t="str">
        <f>IF(D2006="","",VLOOKUP(D2006,'General Basis'!$J$39:$K$46,2,0))</f>
        <v/>
      </c>
      <c r="BF2006" s="744" t="str">
        <f>IF(D2006="","",VLOOKUP(D2006,'General Basis'!$J$39:$L$46,3,0))</f>
        <v/>
      </c>
      <c r="BG2006" s="744" t="str">
        <f t="shared" si="715"/>
        <v/>
      </c>
      <c r="BH2006" s="744" t="str">
        <f>IF(G2006="","",IF(BF2006="Abu Dhabi",IF(G2006&lt;18,'General Basis'!$C$39,IF(G2006&lt;41,'General Basis'!$C$40,IF(G2006&lt;60,'General Basis'!$C$41,IF(G2006&lt;65,'General Basis'!$C$42,'General Basis'!$C$43)))),IF(G2006&lt;11,'General Basis'!$B$39,IF(G2006&lt;18,'General Basis'!$B$40,IF(G2006&lt;26,'General Basis'!$B$41,IF(G2006&lt;31,'General Basis'!$B$42,IF(G2006&lt;36,'General Basis'!$B$43,IF(G2006&lt;41,'General Basis'!$B$44,IF(G2006&lt;46,'General Basis'!$B$45,IF(G2006&lt;51,'General Basis'!$B$46,IF(G2006&lt;56,'General Basis'!$B$47,IF(G2006&lt;60,'General Basis'!$B$48,IF(G2006&lt;65,'General Basis'!$B$49,'General Basis'!$B$50)))))))))))))</f>
        <v/>
      </c>
      <c r="BI2006" s="744" t="str">
        <f t="shared" si="709"/>
        <v/>
      </c>
      <c r="BJ2006" s="747" t="str">
        <f t="shared" si="716"/>
        <v/>
      </c>
      <c r="BK2006" s="498" t="str">
        <f t="shared" si="710"/>
        <v/>
      </c>
      <c r="BL2006" s="498" t="str">
        <f t="shared" si="711"/>
        <v/>
      </c>
    </row>
    <row r="2007" spans="1:64" x14ac:dyDescent="0.25">
      <c r="A2007" s="762">
        <f t="shared" si="712"/>
        <v>2002</v>
      </c>
      <c r="B2007" s="229"/>
      <c r="C2007" s="223"/>
      <c r="D2007" s="224"/>
      <c r="E2007" s="225"/>
      <c r="F2007" s="1036" t="str">
        <f t="shared" si="718"/>
        <v/>
      </c>
      <c r="G2007" s="1037" t="str">
        <f t="shared" si="713"/>
        <v/>
      </c>
      <c r="H2007" s="225"/>
      <c r="I2007" s="1013"/>
      <c r="J2007" s="1013"/>
      <c r="K2007" s="1028"/>
      <c r="L2007" s="1035" t="str">
        <f t="shared" si="717"/>
        <v/>
      </c>
      <c r="S2007" s="498"/>
      <c r="AJ2007" s="498"/>
      <c r="AM2007" s="498">
        <f t="shared" si="698"/>
        <v>0</v>
      </c>
      <c r="AN2007" s="498">
        <f t="shared" si="699"/>
        <v>0</v>
      </c>
      <c r="AO2007" s="498">
        <f t="shared" si="700"/>
        <v>0</v>
      </c>
      <c r="AP2007" s="498">
        <f t="shared" si="719"/>
        <v>0</v>
      </c>
      <c r="AQ2007" s="498">
        <f t="shared" si="714"/>
        <v>0</v>
      </c>
      <c r="AU2007" s="498">
        <f t="shared" si="701"/>
        <v>0</v>
      </c>
      <c r="AV2007" s="498">
        <f t="shared" si="702"/>
        <v>0</v>
      </c>
      <c r="AW2007" s="498">
        <f t="shared" si="703"/>
        <v>0</v>
      </c>
      <c r="AX2007" s="498">
        <f t="shared" si="704"/>
        <v>0</v>
      </c>
      <c r="AY2007" s="498">
        <f t="shared" si="705"/>
        <v>0</v>
      </c>
      <c r="BB2007" s="498" t="str">
        <f t="shared" si="706"/>
        <v/>
      </c>
      <c r="BC2007" s="743" t="str">
        <f t="shared" si="707"/>
        <v/>
      </c>
      <c r="BD2007" s="743" t="str">
        <f t="shared" si="708"/>
        <v/>
      </c>
      <c r="BE2007" s="743" t="str">
        <f>IF(D2007="","",VLOOKUP(D2007,'General Basis'!$J$39:$K$46,2,0))</f>
        <v/>
      </c>
      <c r="BF2007" s="744" t="str">
        <f>IF(D2007="","",VLOOKUP(D2007,'General Basis'!$J$39:$L$46,3,0))</f>
        <v/>
      </c>
      <c r="BG2007" s="744" t="str">
        <f t="shared" si="715"/>
        <v/>
      </c>
      <c r="BH2007" s="744" t="str">
        <f>IF(G2007="","",IF(BF2007="Abu Dhabi",IF(G2007&lt;18,'General Basis'!$C$39,IF(G2007&lt;41,'General Basis'!$C$40,IF(G2007&lt;60,'General Basis'!$C$41,IF(G2007&lt;65,'General Basis'!$C$42,'General Basis'!$C$43)))),IF(G2007&lt;11,'General Basis'!$B$39,IF(G2007&lt;18,'General Basis'!$B$40,IF(G2007&lt;26,'General Basis'!$B$41,IF(G2007&lt;31,'General Basis'!$B$42,IF(G2007&lt;36,'General Basis'!$B$43,IF(G2007&lt;41,'General Basis'!$B$44,IF(G2007&lt;46,'General Basis'!$B$45,IF(G2007&lt;51,'General Basis'!$B$46,IF(G2007&lt;56,'General Basis'!$B$47,IF(G2007&lt;60,'General Basis'!$B$48,IF(G2007&lt;65,'General Basis'!$B$49,'General Basis'!$B$50)))))))))))))</f>
        <v/>
      </c>
      <c r="BI2007" s="744" t="str">
        <f t="shared" si="709"/>
        <v/>
      </c>
      <c r="BJ2007" s="747" t="str">
        <f t="shared" si="716"/>
        <v/>
      </c>
      <c r="BK2007" s="498" t="str">
        <f t="shared" si="710"/>
        <v/>
      </c>
      <c r="BL2007" s="498" t="str">
        <f t="shared" si="711"/>
        <v/>
      </c>
    </row>
    <row r="2008" spans="1:64" x14ac:dyDescent="0.25">
      <c r="A2008" s="762">
        <f t="shared" si="712"/>
        <v>2003</v>
      </c>
      <c r="B2008" s="229"/>
      <c r="C2008" s="223"/>
      <c r="D2008" s="224"/>
      <c r="E2008" s="225"/>
      <c r="F2008" s="1036" t="str">
        <f t="shared" si="718"/>
        <v/>
      </c>
      <c r="G2008" s="1037" t="str">
        <f t="shared" si="713"/>
        <v/>
      </c>
      <c r="H2008" s="225"/>
      <c r="I2008" s="1013"/>
      <c r="J2008" s="1013"/>
      <c r="K2008" s="1028"/>
      <c r="L2008" s="1035" t="str">
        <f t="shared" si="717"/>
        <v/>
      </c>
      <c r="S2008" s="498"/>
      <c r="AJ2008" s="498"/>
      <c r="AM2008" s="498">
        <f t="shared" si="698"/>
        <v>0</v>
      </c>
      <c r="AN2008" s="498">
        <f t="shared" si="699"/>
        <v>0</v>
      </c>
      <c r="AO2008" s="498">
        <f t="shared" si="700"/>
        <v>0</v>
      </c>
      <c r="AP2008" s="498">
        <f t="shared" si="719"/>
        <v>0</v>
      </c>
      <c r="AQ2008" s="498">
        <f t="shared" si="714"/>
        <v>0</v>
      </c>
      <c r="AU2008" s="498">
        <f t="shared" si="701"/>
        <v>0</v>
      </c>
      <c r="AV2008" s="498">
        <f t="shared" si="702"/>
        <v>0</v>
      </c>
      <c r="AW2008" s="498">
        <f t="shared" si="703"/>
        <v>0</v>
      </c>
      <c r="AX2008" s="498">
        <f t="shared" si="704"/>
        <v>0</v>
      </c>
      <c r="AY2008" s="498">
        <f t="shared" si="705"/>
        <v>0</v>
      </c>
      <c r="BB2008" s="498" t="str">
        <f t="shared" si="706"/>
        <v/>
      </c>
      <c r="BC2008" s="743" t="str">
        <f t="shared" si="707"/>
        <v/>
      </c>
      <c r="BD2008" s="743" t="str">
        <f t="shared" si="708"/>
        <v/>
      </c>
      <c r="BE2008" s="743" t="str">
        <f>IF(D2008="","",VLOOKUP(D2008,'General Basis'!$J$39:$K$46,2,0))</f>
        <v/>
      </c>
      <c r="BF2008" s="744" t="str">
        <f>IF(D2008="","",VLOOKUP(D2008,'General Basis'!$J$39:$L$46,3,0))</f>
        <v/>
      </c>
      <c r="BG2008" s="744" t="str">
        <f t="shared" si="715"/>
        <v/>
      </c>
      <c r="BH2008" s="744" t="str">
        <f>IF(G2008="","",IF(BF2008="Abu Dhabi",IF(G2008&lt;18,'General Basis'!$C$39,IF(G2008&lt;41,'General Basis'!$C$40,IF(G2008&lt;60,'General Basis'!$C$41,IF(G2008&lt;65,'General Basis'!$C$42,'General Basis'!$C$43)))),IF(G2008&lt;11,'General Basis'!$B$39,IF(G2008&lt;18,'General Basis'!$B$40,IF(G2008&lt;26,'General Basis'!$B$41,IF(G2008&lt;31,'General Basis'!$B$42,IF(G2008&lt;36,'General Basis'!$B$43,IF(G2008&lt;41,'General Basis'!$B$44,IF(G2008&lt;46,'General Basis'!$B$45,IF(G2008&lt;51,'General Basis'!$B$46,IF(G2008&lt;56,'General Basis'!$B$47,IF(G2008&lt;60,'General Basis'!$B$48,IF(G2008&lt;65,'General Basis'!$B$49,'General Basis'!$B$50)))))))))))))</f>
        <v/>
      </c>
      <c r="BI2008" s="744" t="str">
        <f t="shared" si="709"/>
        <v/>
      </c>
      <c r="BJ2008" s="747" t="str">
        <f t="shared" si="716"/>
        <v/>
      </c>
      <c r="BK2008" s="498" t="str">
        <f t="shared" si="710"/>
        <v/>
      </c>
      <c r="BL2008" s="498" t="str">
        <f t="shared" si="711"/>
        <v/>
      </c>
    </row>
    <row r="2009" spans="1:64" x14ac:dyDescent="0.25">
      <c r="A2009" s="762">
        <f t="shared" si="712"/>
        <v>2004</v>
      </c>
      <c r="B2009" s="229"/>
      <c r="C2009" s="223"/>
      <c r="D2009" s="224"/>
      <c r="E2009" s="225"/>
      <c r="F2009" s="1036" t="str">
        <f t="shared" si="718"/>
        <v/>
      </c>
      <c r="G2009" s="1037" t="str">
        <f t="shared" si="713"/>
        <v/>
      </c>
      <c r="H2009" s="225"/>
      <c r="I2009" s="1013"/>
      <c r="J2009" s="1013"/>
      <c r="K2009" s="1028"/>
      <c r="L2009" s="1035" t="str">
        <f t="shared" si="717"/>
        <v/>
      </c>
      <c r="S2009" s="498"/>
      <c r="AJ2009" s="498"/>
      <c r="AM2009" s="498">
        <f t="shared" si="698"/>
        <v>0</v>
      </c>
      <c r="AN2009" s="498">
        <f t="shared" si="699"/>
        <v>0</v>
      </c>
      <c r="AO2009" s="498">
        <f t="shared" si="700"/>
        <v>0</v>
      </c>
      <c r="AP2009" s="498">
        <f t="shared" si="719"/>
        <v>0</v>
      </c>
      <c r="AQ2009" s="498">
        <f t="shared" si="714"/>
        <v>0</v>
      </c>
      <c r="AU2009" s="498">
        <f t="shared" si="701"/>
        <v>0</v>
      </c>
      <c r="AV2009" s="498">
        <f t="shared" si="702"/>
        <v>0</v>
      </c>
      <c r="AW2009" s="498">
        <f t="shared" si="703"/>
        <v>0</v>
      </c>
      <c r="AX2009" s="498">
        <f t="shared" si="704"/>
        <v>0</v>
      </c>
      <c r="AY2009" s="498">
        <f t="shared" si="705"/>
        <v>0</v>
      </c>
      <c r="BB2009" s="498" t="str">
        <f t="shared" si="706"/>
        <v/>
      </c>
      <c r="BC2009" s="743" t="str">
        <f t="shared" si="707"/>
        <v/>
      </c>
      <c r="BD2009" s="743" t="str">
        <f t="shared" si="708"/>
        <v/>
      </c>
      <c r="BE2009" s="743" t="str">
        <f>IF(D2009="","",VLOOKUP(D2009,'General Basis'!$J$39:$K$46,2,0))</f>
        <v/>
      </c>
      <c r="BF2009" s="744" t="str">
        <f>IF(D2009="","",VLOOKUP(D2009,'General Basis'!$J$39:$L$46,3,0))</f>
        <v/>
      </c>
      <c r="BG2009" s="744" t="str">
        <f t="shared" si="715"/>
        <v/>
      </c>
      <c r="BH2009" s="744" t="str">
        <f>IF(G2009="","",IF(BF2009="Abu Dhabi",IF(G2009&lt;18,'General Basis'!$C$39,IF(G2009&lt;41,'General Basis'!$C$40,IF(G2009&lt;60,'General Basis'!$C$41,IF(G2009&lt;65,'General Basis'!$C$42,'General Basis'!$C$43)))),IF(G2009&lt;11,'General Basis'!$B$39,IF(G2009&lt;18,'General Basis'!$B$40,IF(G2009&lt;26,'General Basis'!$B$41,IF(G2009&lt;31,'General Basis'!$B$42,IF(G2009&lt;36,'General Basis'!$B$43,IF(G2009&lt;41,'General Basis'!$B$44,IF(G2009&lt;46,'General Basis'!$B$45,IF(G2009&lt;51,'General Basis'!$B$46,IF(G2009&lt;56,'General Basis'!$B$47,IF(G2009&lt;60,'General Basis'!$B$48,IF(G2009&lt;65,'General Basis'!$B$49,'General Basis'!$B$50)))))))))))))</f>
        <v/>
      </c>
      <c r="BI2009" s="744" t="str">
        <f t="shared" si="709"/>
        <v/>
      </c>
      <c r="BJ2009" s="747" t="str">
        <f t="shared" si="716"/>
        <v/>
      </c>
      <c r="BK2009" s="498" t="str">
        <f t="shared" si="710"/>
        <v/>
      </c>
      <c r="BL2009" s="498" t="str">
        <f t="shared" si="711"/>
        <v/>
      </c>
    </row>
    <row r="2010" spans="1:64" x14ac:dyDescent="0.25">
      <c r="A2010" s="762">
        <f t="shared" si="712"/>
        <v>2005</v>
      </c>
      <c r="B2010" s="229"/>
      <c r="C2010" s="223"/>
      <c r="D2010" s="224"/>
      <c r="E2010" s="225"/>
      <c r="F2010" s="1036" t="str">
        <f t="shared" si="718"/>
        <v/>
      </c>
      <c r="G2010" s="1037" t="str">
        <f t="shared" si="713"/>
        <v/>
      </c>
      <c r="H2010" s="225"/>
      <c r="I2010" s="1013"/>
      <c r="J2010" s="1013"/>
      <c r="K2010" s="1028"/>
      <c r="L2010" s="1035" t="str">
        <f t="shared" si="717"/>
        <v/>
      </c>
      <c r="S2010" s="498"/>
      <c r="AJ2010" s="498"/>
      <c r="AM2010" s="498">
        <f t="shared" si="698"/>
        <v>0</v>
      </c>
      <c r="AN2010" s="498">
        <f t="shared" si="699"/>
        <v>0</v>
      </c>
      <c r="AO2010" s="498">
        <f t="shared" si="700"/>
        <v>0</v>
      </c>
      <c r="AP2010" s="498">
        <f t="shared" si="719"/>
        <v>0</v>
      </c>
      <c r="AQ2010" s="498">
        <f t="shared" si="714"/>
        <v>0</v>
      </c>
      <c r="AU2010" s="498">
        <f t="shared" si="701"/>
        <v>0</v>
      </c>
      <c r="AV2010" s="498">
        <f t="shared" si="702"/>
        <v>0</v>
      </c>
      <c r="AW2010" s="498">
        <f t="shared" si="703"/>
        <v>0</v>
      </c>
      <c r="AX2010" s="498">
        <f t="shared" si="704"/>
        <v>0</v>
      </c>
      <c r="AY2010" s="498">
        <f t="shared" si="705"/>
        <v>0</v>
      </c>
      <c r="BB2010" s="498" t="str">
        <f t="shared" si="706"/>
        <v/>
      </c>
      <c r="BC2010" s="743" t="str">
        <f t="shared" si="707"/>
        <v/>
      </c>
      <c r="BD2010" s="743" t="str">
        <f t="shared" si="708"/>
        <v/>
      </c>
      <c r="BE2010" s="743" t="str">
        <f>IF(D2010="","",VLOOKUP(D2010,'General Basis'!$J$39:$K$46,2,0))</f>
        <v/>
      </c>
      <c r="BF2010" s="744" t="str">
        <f>IF(D2010="","",VLOOKUP(D2010,'General Basis'!$J$39:$L$46,3,0))</f>
        <v/>
      </c>
      <c r="BG2010" s="744" t="str">
        <f t="shared" si="715"/>
        <v/>
      </c>
      <c r="BH2010" s="744" t="str">
        <f>IF(G2010="","",IF(BF2010="Abu Dhabi",IF(G2010&lt;18,'General Basis'!$C$39,IF(G2010&lt;41,'General Basis'!$C$40,IF(G2010&lt;60,'General Basis'!$C$41,IF(G2010&lt;65,'General Basis'!$C$42,'General Basis'!$C$43)))),IF(G2010&lt;11,'General Basis'!$B$39,IF(G2010&lt;18,'General Basis'!$B$40,IF(G2010&lt;26,'General Basis'!$B$41,IF(G2010&lt;31,'General Basis'!$B$42,IF(G2010&lt;36,'General Basis'!$B$43,IF(G2010&lt;41,'General Basis'!$B$44,IF(G2010&lt;46,'General Basis'!$B$45,IF(G2010&lt;51,'General Basis'!$B$46,IF(G2010&lt;56,'General Basis'!$B$47,IF(G2010&lt;60,'General Basis'!$B$48,IF(G2010&lt;65,'General Basis'!$B$49,'General Basis'!$B$50)))))))))))))</f>
        <v/>
      </c>
      <c r="BI2010" s="744" t="str">
        <f t="shared" si="709"/>
        <v/>
      </c>
      <c r="BJ2010" s="747" t="str">
        <f t="shared" si="716"/>
        <v/>
      </c>
      <c r="BK2010" s="498" t="str">
        <f t="shared" si="710"/>
        <v/>
      </c>
      <c r="BL2010" s="498" t="str">
        <f t="shared" si="711"/>
        <v/>
      </c>
    </row>
    <row r="2011" spans="1:64" x14ac:dyDescent="0.25">
      <c r="A2011" s="762">
        <f t="shared" si="712"/>
        <v>2006</v>
      </c>
      <c r="B2011" s="229"/>
      <c r="C2011" s="223"/>
      <c r="D2011" s="224"/>
      <c r="E2011" s="225"/>
      <c r="F2011" s="1036" t="str">
        <f t="shared" si="718"/>
        <v/>
      </c>
      <c r="G2011" s="1037" t="str">
        <f t="shared" si="713"/>
        <v/>
      </c>
      <c r="H2011" s="225"/>
      <c r="I2011" s="1013"/>
      <c r="J2011" s="1013"/>
      <c r="K2011" s="1028"/>
      <c r="L2011" s="1035" t="str">
        <f t="shared" si="717"/>
        <v/>
      </c>
      <c r="S2011" s="498"/>
      <c r="AJ2011" s="498"/>
      <c r="AM2011" s="498">
        <f t="shared" si="698"/>
        <v>0</v>
      </c>
      <c r="AN2011" s="498">
        <f t="shared" si="699"/>
        <v>0</v>
      </c>
      <c r="AO2011" s="498">
        <f t="shared" si="700"/>
        <v>0</v>
      </c>
      <c r="AP2011" s="498">
        <f t="shared" si="719"/>
        <v>0</v>
      </c>
      <c r="AQ2011" s="498">
        <f t="shared" si="714"/>
        <v>0</v>
      </c>
      <c r="AU2011" s="498">
        <f t="shared" si="701"/>
        <v>0</v>
      </c>
      <c r="AV2011" s="498">
        <f t="shared" si="702"/>
        <v>0</v>
      </c>
      <c r="AW2011" s="498">
        <f t="shared" si="703"/>
        <v>0</v>
      </c>
      <c r="AX2011" s="498">
        <f t="shared" si="704"/>
        <v>0</v>
      </c>
      <c r="AY2011" s="498">
        <f t="shared" si="705"/>
        <v>0</v>
      </c>
      <c r="BB2011" s="498" t="str">
        <f t="shared" si="706"/>
        <v/>
      </c>
      <c r="BC2011" s="743" t="str">
        <f t="shared" si="707"/>
        <v/>
      </c>
      <c r="BD2011" s="743" t="str">
        <f t="shared" si="708"/>
        <v/>
      </c>
      <c r="BE2011" s="743" t="str">
        <f>IF(D2011="","",VLOOKUP(D2011,'General Basis'!$J$39:$K$46,2,0))</f>
        <v/>
      </c>
      <c r="BF2011" s="744" t="str">
        <f>IF(D2011="","",VLOOKUP(D2011,'General Basis'!$J$39:$L$46,3,0))</f>
        <v/>
      </c>
      <c r="BG2011" s="744" t="str">
        <f t="shared" si="715"/>
        <v/>
      </c>
      <c r="BH2011" s="744" t="str">
        <f>IF(G2011="","",IF(BF2011="Abu Dhabi",IF(G2011&lt;18,'General Basis'!$C$39,IF(G2011&lt;41,'General Basis'!$C$40,IF(G2011&lt;60,'General Basis'!$C$41,IF(G2011&lt;65,'General Basis'!$C$42,'General Basis'!$C$43)))),IF(G2011&lt;11,'General Basis'!$B$39,IF(G2011&lt;18,'General Basis'!$B$40,IF(G2011&lt;26,'General Basis'!$B$41,IF(G2011&lt;31,'General Basis'!$B$42,IF(G2011&lt;36,'General Basis'!$B$43,IF(G2011&lt;41,'General Basis'!$B$44,IF(G2011&lt;46,'General Basis'!$B$45,IF(G2011&lt;51,'General Basis'!$B$46,IF(G2011&lt;56,'General Basis'!$B$47,IF(G2011&lt;60,'General Basis'!$B$48,IF(G2011&lt;65,'General Basis'!$B$49,'General Basis'!$B$50)))))))))))))</f>
        <v/>
      </c>
      <c r="BI2011" s="744" t="str">
        <f t="shared" si="709"/>
        <v/>
      </c>
      <c r="BJ2011" s="747" t="str">
        <f t="shared" si="716"/>
        <v/>
      </c>
      <c r="BK2011" s="498" t="str">
        <f t="shared" si="710"/>
        <v/>
      </c>
      <c r="BL2011" s="498" t="str">
        <f t="shared" si="711"/>
        <v/>
      </c>
    </row>
    <row r="2012" spans="1:64" x14ac:dyDescent="0.25">
      <c r="A2012" s="762">
        <f t="shared" si="712"/>
        <v>2007</v>
      </c>
      <c r="B2012" s="229"/>
      <c r="C2012" s="223"/>
      <c r="D2012" s="224"/>
      <c r="E2012" s="225"/>
      <c r="F2012" s="1036" t="str">
        <f t="shared" si="718"/>
        <v/>
      </c>
      <c r="G2012" s="1037" t="str">
        <f t="shared" si="713"/>
        <v/>
      </c>
      <c r="H2012" s="225"/>
      <c r="I2012" s="1013"/>
      <c r="J2012" s="1013"/>
      <c r="K2012" s="1028"/>
      <c r="L2012" s="1035" t="str">
        <f t="shared" si="717"/>
        <v/>
      </c>
      <c r="S2012" s="498"/>
      <c r="AJ2012" s="498"/>
      <c r="AM2012" s="498">
        <f t="shared" si="698"/>
        <v>0</v>
      </c>
      <c r="AN2012" s="498">
        <f t="shared" si="699"/>
        <v>0</v>
      </c>
      <c r="AO2012" s="498">
        <f t="shared" si="700"/>
        <v>0</v>
      </c>
      <c r="AP2012" s="498">
        <f t="shared" si="719"/>
        <v>0</v>
      </c>
      <c r="AQ2012" s="498">
        <f t="shared" si="714"/>
        <v>0</v>
      </c>
      <c r="AU2012" s="498">
        <f t="shared" si="701"/>
        <v>0</v>
      </c>
      <c r="AV2012" s="498">
        <f t="shared" si="702"/>
        <v>0</v>
      </c>
      <c r="AW2012" s="498">
        <f t="shared" si="703"/>
        <v>0</v>
      </c>
      <c r="AX2012" s="498">
        <f t="shared" si="704"/>
        <v>0</v>
      </c>
      <c r="AY2012" s="498">
        <f t="shared" si="705"/>
        <v>0</v>
      </c>
      <c r="BB2012" s="498" t="str">
        <f t="shared" si="706"/>
        <v/>
      </c>
      <c r="BC2012" s="743" t="str">
        <f t="shared" si="707"/>
        <v/>
      </c>
      <c r="BD2012" s="743" t="str">
        <f t="shared" si="708"/>
        <v/>
      </c>
      <c r="BE2012" s="743" t="str">
        <f>IF(D2012="","",VLOOKUP(D2012,'General Basis'!$J$39:$K$46,2,0))</f>
        <v/>
      </c>
      <c r="BF2012" s="744" t="str">
        <f>IF(D2012="","",VLOOKUP(D2012,'General Basis'!$J$39:$L$46,3,0))</f>
        <v/>
      </c>
      <c r="BG2012" s="744" t="str">
        <f t="shared" si="715"/>
        <v/>
      </c>
      <c r="BH2012" s="744" t="str">
        <f>IF(G2012="","",IF(BF2012="Abu Dhabi",IF(G2012&lt;18,'General Basis'!$C$39,IF(G2012&lt;41,'General Basis'!$C$40,IF(G2012&lt;60,'General Basis'!$C$41,IF(G2012&lt;65,'General Basis'!$C$42,'General Basis'!$C$43)))),IF(G2012&lt;11,'General Basis'!$B$39,IF(G2012&lt;18,'General Basis'!$B$40,IF(G2012&lt;26,'General Basis'!$B$41,IF(G2012&lt;31,'General Basis'!$B$42,IF(G2012&lt;36,'General Basis'!$B$43,IF(G2012&lt;41,'General Basis'!$B$44,IF(G2012&lt;46,'General Basis'!$B$45,IF(G2012&lt;51,'General Basis'!$B$46,IF(G2012&lt;56,'General Basis'!$B$47,IF(G2012&lt;60,'General Basis'!$B$48,IF(G2012&lt;65,'General Basis'!$B$49,'General Basis'!$B$50)))))))))))))</f>
        <v/>
      </c>
      <c r="BI2012" s="744" t="str">
        <f t="shared" si="709"/>
        <v/>
      </c>
      <c r="BJ2012" s="747" t="str">
        <f t="shared" si="716"/>
        <v/>
      </c>
      <c r="BK2012" s="498" t="str">
        <f t="shared" si="710"/>
        <v/>
      </c>
      <c r="BL2012" s="498" t="str">
        <f t="shared" si="711"/>
        <v/>
      </c>
    </row>
    <row r="2013" spans="1:64" x14ac:dyDescent="0.25">
      <c r="A2013" s="762">
        <f t="shared" si="712"/>
        <v>2008</v>
      </c>
      <c r="B2013" s="229"/>
      <c r="C2013" s="223"/>
      <c r="D2013" s="224"/>
      <c r="E2013" s="225"/>
      <c r="F2013" s="1036" t="str">
        <f t="shared" si="718"/>
        <v/>
      </c>
      <c r="G2013" s="1037" t="str">
        <f t="shared" si="713"/>
        <v/>
      </c>
      <c r="H2013" s="225"/>
      <c r="I2013" s="1013"/>
      <c r="J2013" s="1013"/>
      <c r="K2013" s="1028"/>
      <c r="L2013" s="1035" t="str">
        <f t="shared" si="717"/>
        <v/>
      </c>
      <c r="S2013" s="498"/>
      <c r="AJ2013" s="498"/>
      <c r="AM2013" s="498">
        <f t="shared" si="698"/>
        <v>0</v>
      </c>
      <c r="AN2013" s="498">
        <f t="shared" si="699"/>
        <v>0</v>
      </c>
      <c r="AO2013" s="498">
        <f t="shared" si="700"/>
        <v>0</v>
      </c>
      <c r="AP2013" s="498">
        <f t="shared" si="719"/>
        <v>0</v>
      </c>
      <c r="AQ2013" s="498">
        <f t="shared" si="714"/>
        <v>0</v>
      </c>
      <c r="AU2013" s="498">
        <f t="shared" si="701"/>
        <v>0</v>
      </c>
      <c r="AV2013" s="498">
        <f t="shared" si="702"/>
        <v>0</v>
      </c>
      <c r="AW2013" s="498">
        <f t="shared" si="703"/>
        <v>0</v>
      </c>
      <c r="AX2013" s="498">
        <f t="shared" si="704"/>
        <v>0</v>
      </c>
      <c r="AY2013" s="498">
        <f t="shared" si="705"/>
        <v>0</v>
      </c>
      <c r="BB2013" s="498" t="str">
        <f t="shared" si="706"/>
        <v/>
      </c>
      <c r="BC2013" s="743" t="str">
        <f t="shared" si="707"/>
        <v/>
      </c>
      <c r="BD2013" s="743" t="str">
        <f t="shared" si="708"/>
        <v/>
      </c>
      <c r="BE2013" s="743" t="str">
        <f>IF(D2013="","",VLOOKUP(D2013,'General Basis'!$J$39:$K$46,2,0))</f>
        <v/>
      </c>
      <c r="BF2013" s="744" t="str">
        <f>IF(D2013="","",VLOOKUP(D2013,'General Basis'!$J$39:$L$46,3,0))</f>
        <v/>
      </c>
      <c r="BG2013" s="744" t="str">
        <f t="shared" si="715"/>
        <v/>
      </c>
      <c r="BH2013" s="744" t="str">
        <f>IF(G2013="","",IF(BF2013="Abu Dhabi",IF(G2013&lt;18,'General Basis'!$C$39,IF(G2013&lt;41,'General Basis'!$C$40,IF(G2013&lt;60,'General Basis'!$C$41,IF(G2013&lt;65,'General Basis'!$C$42,'General Basis'!$C$43)))),IF(G2013&lt;11,'General Basis'!$B$39,IF(G2013&lt;18,'General Basis'!$B$40,IF(G2013&lt;26,'General Basis'!$B$41,IF(G2013&lt;31,'General Basis'!$B$42,IF(G2013&lt;36,'General Basis'!$B$43,IF(G2013&lt;41,'General Basis'!$B$44,IF(G2013&lt;46,'General Basis'!$B$45,IF(G2013&lt;51,'General Basis'!$B$46,IF(G2013&lt;56,'General Basis'!$B$47,IF(G2013&lt;60,'General Basis'!$B$48,IF(G2013&lt;65,'General Basis'!$B$49,'General Basis'!$B$50)))))))))))))</f>
        <v/>
      </c>
      <c r="BI2013" s="744" t="str">
        <f t="shared" si="709"/>
        <v/>
      </c>
      <c r="BJ2013" s="747" t="str">
        <f t="shared" si="716"/>
        <v/>
      </c>
      <c r="BK2013" s="498" t="str">
        <f t="shared" si="710"/>
        <v/>
      </c>
      <c r="BL2013" s="498" t="str">
        <f t="shared" si="711"/>
        <v/>
      </c>
    </row>
    <row r="2014" spans="1:64" x14ac:dyDescent="0.25">
      <c r="A2014" s="762">
        <f t="shared" si="712"/>
        <v>2009</v>
      </c>
      <c r="B2014" s="229"/>
      <c r="C2014" s="223"/>
      <c r="D2014" s="224"/>
      <c r="E2014" s="225"/>
      <c r="F2014" s="1036" t="str">
        <f t="shared" si="718"/>
        <v/>
      </c>
      <c r="G2014" s="1037" t="str">
        <f t="shared" si="713"/>
        <v/>
      </c>
      <c r="H2014" s="225"/>
      <c r="I2014" s="1013"/>
      <c r="J2014" s="1013"/>
      <c r="K2014" s="1028"/>
      <c r="L2014" s="1035" t="str">
        <f t="shared" si="717"/>
        <v/>
      </c>
      <c r="S2014" s="498"/>
      <c r="AJ2014" s="498"/>
      <c r="AM2014" s="498">
        <f t="shared" si="698"/>
        <v>0</v>
      </c>
      <c r="AN2014" s="498">
        <f t="shared" si="699"/>
        <v>0</v>
      </c>
      <c r="AO2014" s="498">
        <f t="shared" si="700"/>
        <v>0</v>
      </c>
      <c r="AP2014" s="498">
        <f t="shared" si="719"/>
        <v>0</v>
      </c>
      <c r="AQ2014" s="498">
        <f t="shared" si="714"/>
        <v>0</v>
      </c>
      <c r="AU2014" s="498">
        <f t="shared" si="701"/>
        <v>0</v>
      </c>
      <c r="AV2014" s="498">
        <f t="shared" si="702"/>
        <v>0</v>
      </c>
      <c r="AW2014" s="498">
        <f t="shared" si="703"/>
        <v>0</v>
      </c>
      <c r="AX2014" s="498">
        <f t="shared" si="704"/>
        <v>0</v>
      </c>
      <c r="AY2014" s="498">
        <f t="shared" si="705"/>
        <v>0</v>
      </c>
      <c r="BB2014" s="498" t="str">
        <f t="shared" si="706"/>
        <v/>
      </c>
      <c r="BC2014" s="743" t="str">
        <f t="shared" si="707"/>
        <v/>
      </c>
      <c r="BD2014" s="743" t="str">
        <f t="shared" si="708"/>
        <v/>
      </c>
      <c r="BE2014" s="743" t="str">
        <f>IF(D2014="","",VLOOKUP(D2014,'General Basis'!$J$39:$K$46,2,0))</f>
        <v/>
      </c>
      <c r="BF2014" s="744" t="str">
        <f>IF(D2014="","",VLOOKUP(D2014,'General Basis'!$J$39:$L$46,3,0))</f>
        <v/>
      </c>
      <c r="BG2014" s="744" t="str">
        <f t="shared" si="715"/>
        <v/>
      </c>
      <c r="BH2014" s="744" t="str">
        <f>IF(G2014="","",IF(BF2014="Abu Dhabi",IF(G2014&lt;18,'General Basis'!$C$39,IF(G2014&lt;41,'General Basis'!$C$40,IF(G2014&lt;60,'General Basis'!$C$41,IF(G2014&lt;65,'General Basis'!$C$42,'General Basis'!$C$43)))),IF(G2014&lt;11,'General Basis'!$B$39,IF(G2014&lt;18,'General Basis'!$B$40,IF(G2014&lt;26,'General Basis'!$B$41,IF(G2014&lt;31,'General Basis'!$B$42,IF(G2014&lt;36,'General Basis'!$B$43,IF(G2014&lt;41,'General Basis'!$B$44,IF(G2014&lt;46,'General Basis'!$B$45,IF(G2014&lt;51,'General Basis'!$B$46,IF(G2014&lt;56,'General Basis'!$B$47,IF(G2014&lt;60,'General Basis'!$B$48,IF(G2014&lt;65,'General Basis'!$B$49,'General Basis'!$B$50)))))))))))))</f>
        <v/>
      </c>
      <c r="BI2014" s="744" t="str">
        <f t="shared" si="709"/>
        <v/>
      </c>
      <c r="BJ2014" s="747" t="str">
        <f t="shared" si="716"/>
        <v/>
      </c>
      <c r="BK2014" s="498" t="str">
        <f t="shared" si="710"/>
        <v/>
      </c>
      <c r="BL2014" s="498" t="str">
        <f t="shared" si="711"/>
        <v/>
      </c>
    </row>
    <row r="2015" spans="1:64" x14ac:dyDescent="0.25">
      <c r="A2015" s="762">
        <f t="shared" si="712"/>
        <v>2010</v>
      </c>
      <c r="B2015" s="229"/>
      <c r="C2015" s="223"/>
      <c r="D2015" s="224"/>
      <c r="E2015" s="225"/>
      <c r="F2015" s="1036" t="str">
        <f t="shared" si="718"/>
        <v/>
      </c>
      <c r="G2015" s="1037" t="str">
        <f t="shared" si="713"/>
        <v/>
      </c>
      <c r="H2015" s="225"/>
      <c r="I2015" s="1013"/>
      <c r="J2015" s="1013"/>
      <c r="K2015" s="1028"/>
      <c r="L2015" s="1035" t="str">
        <f t="shared" si="717"/>
        <v/>
      </c>
      <c r="S2015" s="498"/>
      <c r="AJ2015" s="498"/>
      <c r="AM2015" s="498">
        <f t="shared" si="698"/>
        <v>0</v>
      </c>
      <c r="AN2015" s="498">
        <f t="shared" si="699"/>
        <v>0</v>
      </c>
      <c r="AO2015" s="498">
        <f t="shared" si="700"/>
        <v>0</v>
      </c>
      <c r="AP2015" s="498">
        <f t="shared" si="719"/>
        <v>0</v>
      </c>
      <c r="AQ2015" s="498">
        <f t="shared" si="714"/>
        <v>0</v>
      </c>
      <c r="AU2015" s="498">
        <f t="shared" si="701"/>
        <v>0</v>
      </c>
      <c r="AV2015" s="498">
        <f t="shared" si="702"/>
        <v>0</v>
      </c>
      <c r="AW2015" s="498">
        <f t="shared" si="703"/>
        <v>0</v>
      </c>
      <c r="AX2015" s="498">
        <f t="shared" si="704"/>
        <v>0</v>
      </c>
      <c r="AY2015" s="498">
        <f t="shared" si="705"/>
        <v>0</v>
      </c>
      <c r="BB2015" s="498" t="str">
        <f t="shared" si="706"/>
        <v/>
      </c>
      <c r="BC2015" s="743" t="str">
        <f t="shared" si="707"/>
        <v/>
      </c>
      <c r="BD2015" s="743" t="str">
        <f t="shared" si="708"/>
        <v/>
      </c>
      <c r="BE2015" s="743" t="str">
        <f>IF(D2015="","",VLOOKUP(D2015,'General Basis'!$J$39:$K$46,2,0))</f>
        <v/>
      </c>
      <c r="BF2015" s="744" t="str">
        <f>IF(D2015="","",VLOOKUP(D2015,'General Basis'!$J$39:$L$46,3,0))</f>
        <v/>
      </c>
      <c r="BG2015" s="744" t="str">
        <f t="shared" si="715"/>
        <v/>
      </c>
      <c r="BH2015" s="744" t="str">
        <f>IF(G2015="","",IF(BF2015="Abu Dhabi",IF(G2015&lt;18,'General Basis'!$C$39,IF(G2015&lt;41,'General Basis'!$C$40,IF(G2015&lt;60,'General Basis'!$C$41,IF(G2015&lt;65,'General Basis'!$C$42,'General Basis'!$C$43)))),IF(G2015&lt;11,'General Basis'!$B$39,IF(G2015&lt;18,'General Basis'!$B$40,IF(G2015&lt;26,'General Basis'!$B$41,IF(G2015&lt;31,'General Basis'!$B$42,IF(G2015&lt;36,'General Basis'!$B$43,IF(G2015&lt;41,'General Basis'!$B$44,IF(G2015&lt;46,'General Basis'!$B$45,IF(G2015&lt;51,'General Basis'!$B$46,IF(G2015&lt;56,'General Basis'!$B$47,IF(G2015&lt;60,'General Basis'!$B$48,IF(G2015&lt;65,'General Basis'!$B$49,'General Basis'!$B$50)))))))))))))</f>
        <v/>
      </c>
      <c r="BI2015" s="744" t="str">
        <f t="shared" si="709"/>
        <v/>
      </c>
      <c r="BJ2015" s="747" t="str">
        <f t="shared" si="716"/>
        <v/>
      </c>
      <c r="BK2015" s="498" t="str">
        <f t="shared" si="710"/>
        <v/>
      </c>
      <c r="BL2015" s="498" t="str">
        <f t="shared" si="711"/>
        <v/>
      </c>
    </row>
    <row r="2016" spans="1:64" x14ac:dyDescent="0.25">
      <c r="A2016" s="762">
        <f t="shared" si="712"/>
        <v>2011</v>
      </c>
      <c r="B2016" s="229"/>
      <c r="C2016" s="223"/>
      <c r="D2016" s="224"/>
      <c r="E2016" s="225"/>
      <c r="F2016" s="1036" t="str">
        <f t="shared" si="718"/>
        <v/>
      </c>
      <c r="G2016" s="1037" t="str">
        <f t="shared" si="713"/>
        <v/>
      </c>
      <c r="H2016" s="225"/>
      <c r="I2016" s="1013"/>
      <c r="J2016" s="1013"/>
      <c r="K2016" s="1028"/>
      <c r="L2016" s="1035" t="str">
        <f t="shared" si="717"/>
        <v/>
      </c>
      <c r="S2016" s="498"/>
      <c r="AJ2016" s="498"/>
      <c r="AM2016" s="498">
        <f t="shared" si="698"/>
        <v>0</v>
      </c>
      <c r="AN2016" s="498">
        <f t="shared" si="699"/>
        <v>0</v>
      </c>
      <c r="AO2016" s="498">
        <f t="shared" si="700"/>
        <v>0</v>
      </c>
      <c r="AP2016" s="498">
        <f t="shared" si="719"/>
        <v>0</v>
      </c>
      <c r="AQ2016" s="498">
        <f t="shared" si="714"/>
        <v>0</v>
      </c>
      <c r="AU2016" s="498">
        <f t="shared" si="701"/>
        <v>0</v>
      </c>
      <c r="AV2016" s="498">
        <f t="shared" si="702"/>
        <v>0</v>
      </c>
      <c r="AW2016" s="498">
        <f t="shared" si="703"/>
        <v>0</v>
      </c>
      <c r="AX2016" s="498">
        <f t="shared" si="704"/>
        <v>0</v>
      </c>
      <c r="AY2016" s="498">
        <f t="shared" si="705"/>
        <v>0</v>
      </c>
      <c r="BB2016" s="498" t="str">
        <f t="shared" si="706"/>
        <v/>
      </c>
      <c r="BC2016" s="743" t="str">
        <f t="shared" si="707"/>
        <v/>
      </c>
      <c r="BD2016" s="743" t="str">
        <f t="shared" si="708"/>
        <v/>
      </c>
      <c r="BE2016" s="743" t="str">
        <f>IF(D2016="","",VLOOKUP(D2016,'General Basis'!$J$39:$K$46,2,0))</f>
        <v/>
      </c>
      <c r="BF2016" s="744" t="str">
        <f>IF(D2016="","",VLOOKUP(D2016,'General Basis'!$J$39:$L$46,3,0))</f>
        <v/>
      </c>
      <c r="BG2016" s="744" t="str">
        <f t="shared" si="715"/>
        <v/>
      </c>
      <c r="BH2016" s="744" t="str">
        <f>IF(G2016="","",IF(BF2016="Abu Dhabi",IF(G2016&lt;18,'General Basis'!$C$39,IF(G2016&lt;41,'General Basis'!$C$40,IF(G2016&lt;60,'General Basis'!$C$41,IF(G2016&lt;65,'General Basis'!$C$42,'General Basis'!$C$43)))),IF(G2016&lt;11,'General Basis'!$B$39,IF(G2016&lt;18,'General Basis'!$B$40,IF(G2016&lt;26,'General Basis'!$B$41,IF(G2016&lt;31,'General Basis'!$B$42,IF(G2016&lt;36,'General Basis'!$B$43,IF(G2016&lt;41,'General Basis'!$B$44,IF(G2016&lt;46,'General Basis'!$B$45,IF(G2016&lt;51,'General Basis'!$B$46,IF(G2016&lt;56,'General Basis'!$B$47,IF(G2016&lt;60,'General Basis'!$B$48,IF(G2016&lt;65,'General Basis'!$B$49,'General Basis'!$B$50)))))))))))))</f>
        <v/>
      </c>
      <c r="BI2016" s="744" t="str">
        <f t="shared" si="709"/>
        <v/>
      </c>
      <c r="BJ2016" s="747" t="str">
        <f t="shared" si="716"/>
        <v/>
      </c>
      <c r="BK2016" s="498" t="str">
        <f t="shared" si="710"/>
        <v/>
      </c>
      <c r="BL2016" s="498" t="str">
        <f t="shared" si="711"/>
        <v/>
      </c>
    </row>
    <row r="2017" spans="1:64" x14ac:dyDescent="0.25">
      <c r="A2017" s="762">
        <f t="shared" si="712"/>
        <v>2012</v>
      </c>
      <c r="B2017" s="229"/>
      <c r="C2017" s="223"/>
      <c r="D2017" s="224"/>
      <c r="E2017" s="225"/>
      <c r="F2017" s="1036" t="str">
        <f t="shared" si="718"/>
        <v/>
      </c>
      <c r="G2017" s="1037" t="str">
        <f t="shared" si="713"/>
        <v/>
      </c>
      <c r="H2017" s="225"/>
      <c r="I2017" s="1013"/>
      <c r="J2017" s="1013"/>
      <c r="K2017" s="1028"/>
      <c r="L2017" s="1035" t="str">
        <f t="shared" si="717"/>
        <v/>
      </c>
      <c r="S2017" s="498"/>
      <c r="AJ2017" s="498"/>
      <c r="AM2017" s="498">
        <f t="shared" si="698"/>
        <v>0</v>
      </c>
      <c r="AN2017" s="498">
        <f t="shared" si="699"/>
        <v>0</v>
      </c>
      <c r="AO2017" s="498">
        <f t="shared" si="700"/>
        <v>0</v>
      </c>
      <c r="AP2017" s="498">
        <f t="shared" si="719"/>
        <v>0</v>
      </c>
      <c r="AQ2017" s="498">
        <f t="shared" si="714"/>
        <v>0</v>
      </c>
      <c r="AU2017" s="498">
        <f t="shared" si="701"/>
        <v>0</v>
      </c>
      <c r="AV2017" s="498">
        <f t="shared" si="702"/>
        <v>0</v>
      </c>
      <c r="AW2017" s="498">
        <f t="shared" si="703"/>
        <v>0</v>
      </c>
      <c r="AX2017" s="498">
        <f t="shared" si="704"/>
        <v>0</v>
      </c>
      <c r="AY2017" s="498">
        <f t="shared" si="705"/>
        <v>0</v>
      </c>
      <c r="BB2017" s="498" t="str">
        <f t="shared" si="706"/>
        <v/>
      </c>
      <c r="BC2017" s="743" t="str">
        <f t="shared" si="707"/>
        <v/>
      </c>
      <c r="BD2017" s="743" t="str">
        <f t="shared" si="708"/>
        <v/>
      </c>
      <c r="BE2017" s="743" t="str">
        <f>IF(D2017="","",VLOOKUP(D2017,'General Basis'!$J$39:$K$46,2,0))</f>
        <v/>
      </c>
      <c r="BF2017" s="744" t="str">
        <f>IF(D2017="","",VLOOKUP(D2017,'General Basis'!$J$39:$L$46,3,0))</f>
        <v/>
      </c>
      <c r="BG2017" s="744" t="str">
        <f t="shared" si="715"/>
        <v/>
      </c>
      <c r="BH2017" s="744" t="str">
        <f>IF(G2017="","",IF(BF2017="Abu Dhabi",IF(G2017&lt;18,'General Basis'!$C$39,IF(G2017&lt;41,'General Basis'!$C$40,IF(G2017&lt;60,'General Basis'!$C$41,IF(G2017&lt;65,'General Basis'!$C$42,'General Basis'!$C$43)))),IF(G2017&lt;11,'General Basis'!$B$39,IF(G2017&lt;18,'General Basis'!$B$40,IF(G2017&lt;26,'General Basis'!$B$41,IF(G2017&lt;31,'General Basis'!$B$42,IF(G2017&lt;36,'General Basis'!$B$43,IF(G2017&lt;41,'General Basis'!$B$44,IF(G2017&lt;46,'General Basis'!$B$45,IF(G2017&lt;51,'General Basis'!$B$46,IF(G2017&lt;56,'General Basis'!$B$47,IF(G2017&lt;60,'General Basis'!$B$48,IF(G2017&lt;65,'General Basis'!$B$49,'General Basis'!$B$50)))))))))))))</f>
        <v/>
      </c>
      <c r="BI2017" s="744" t="str">
        <f t="shared" si="709"/>
        <v/>
      </c>
      <c r="BJ2017" s="747" t="str">
        <f t="shared" si="716"/>
        <v/>
      </c>
      <c r="BK2017" s="498" t="str">
        <f t="shared" si="710"/>
        <v/>
      </c>
      <c r="BL2017" s="498" t="str">
        <f t="shared" si="711"/>
        <v/>
      </c>
    </row>
    <row r="2018" spans="1:64" x14ac:dyDescent="0.25">
      <c r="A2018" s="762">
        <f t="shared" si="712"/>
        <v>2013</v>
      </c>
      <c r="B2018" s="229"/>
      <c r="C2018" s="223"/>
      <c r="D2018" s="224"/>
      <c r="E2018" s="225"/>
      <c r="F2018" s="1036" t="str">
        <f t="shared" si="718"/>
        <v/>
      </c>
      <c r="G2018" s="1037" t="str">
        <f t="shared" si="713"/>
        <v/>
      </c>
      <c r="H2018" s="225"/>
      <c r="I2018" s="1013"/>
      <c r="J2018" s="1013"/>
      <c r="K2018" s="1028"/>
      <c r="L2018" s="1035" t="str">
        <f t="shared" si="717"/>
        <v/>
      </c>
      <c r="S2018" s="498"/>
      <c r="AJ2018" s="498"/>
      <c r="AM2018" s="498">
        <f t="shared" si="698"/>
        <v>0</v>
      </c>
      <c r="AN2018" s="498">
        <f t="shared" si="699"/>
        <v>0</v>
      </c>
      <c r="AO2018" s="498">
        <f t="shared" si="700"/>
        <v>0</v>
      </c>
      <c r="AP2018" s="498">
        <f t="shared" si="719"/>
        <v>0</v>
      </c>
      <c r="AQ2018" s="498">
        <f t="shared" si="714"/>
        <v>0</v>
      </c>
      <c r="AU2018" s="498">
        <f t="shared" si="701"/>
        <v>0</v>
      </c>
      <c r="AV2018" s="498">
        <f t="shared" si="702"/>
        <v>0</v>
      </c>
      <c r="AW2018" s="498">
        <f t="shared" si="703"/>
        <v>0</v>
      </c>
      <c r="AX2018" s="498">
        <f t="shared" si="704"/>
        <v>0</v>
      </c>
      <c r="AY2018" s="498">
        <f t="shared" si="705"/>
        <v>0</v>
      </c>
      <c r="BB2018" s="498" t="str">
        <f t="shared" si="706"/>
        <v/>
      </c>
      <c r="BC2018" s="743" t="str">
        <f t="shared" si="707"/>
        <v/>
      </c>
      <c r="BD2018" s="743" t="str">
        <f t="shared" si="708"/>
        <v/>
      </c>
      <c r="BE2018" s="743" t="str">
        <f>IF(D2018="","",VLOOKUP(D2018,'General Basis'!$J$39:$K$46,2,0))</f>
        <v/>
      </c>
      <c r="BF2018" s="744" t="str">
        <f>IF(D2018="","",VLOOKUP(D2018,'General Basis'!$J$39:$L$46,3,0))</f>
        <v/>
      </c>
      <c r="BG2018" s="744" t="str">
        <f t="shared" si="715"/>
        <v/>
      </c>
      <c r="BH2018" s="744" t="str">
        <f>IF(G2018="","",IF(BF2018="Abu Dhabi",IF(G2018&lt;18,'General Basis'!$C$39,IF(G2018&lt;41,'General Basis'!$C$40,IF(G2018&lt;60,'General Basis'!$C$41,IF(G2018&lt;65,'General Basis'!$C$42,'General Basis'!$C$43)))),IF(G2018&lt;11,'General Basis'!$B$39,IF(G2018&lt;18,'General Basis'!$B$40,IF(G2018&lt;26,'General Basis'!$B$41,IF(G2018&lt;31,'General Basis'!$B$42,IF(G2018&lt;36,'General Basis'!$B$43,IF(G2018&lt;41,'General Basis'!$B$44,IF(G2018&lt;46,'General Basis'!$B$45,IF(G2018&lt;51,'General Basis'!$B$46,IF(G2018&lt;56,'General Basis'!$B$47,IF(G2018&lt;60,'General Basis'!$B$48,IF(G2018&lt;65,'General Basis'!$B$49,'General Basis'!$B$50)))))))))))))</f>
        <v/>
      </c>
      <c r="BI2018" s="744" t="str">
        <f t="shared" si="709"/>
        <v/>
      </c>
      <c r="BJ2018" s="747" t="str">
        <f t="shared" si="716"/>
        <v/>
      </c>
      <c r="BK2018" s="498" t="str">
        <f t="shared" si="710"/>
        <v/>
      </c>
      <c r="BL2018" s="498" t="str">
        <f t="shared" si="711"/>
        <v/>
      </c>
    </row>
    <row r="2019" spans="1:64" x14ac:dyDescent="0.25">
      <c r="A2019" s="762">
        <f t="shared" si="712"/>
        <v>2014</v>
      </c>
      <c r="B2019" s="229"/>
      <c r="C2019" s="223"/>
      <c r="D2019" s="224"/>
      <c r="E2019" s="225"/>
      <c r="F2019" s="1036" t="str">
        <f t="shared" si="718"/>
        <v/>
      </c>
      <c r="G2019" s="1037" t="str">
        <f t="shared" si="713"/>
        <v/>
      </c>
      <c r="H2019" s="225"/>
      <c r="I2019" s="1013"/>
      <c r="J2019" s="1013"/>
      <c r="K2019" s="1028"/>
      <c r="L2019" s="1035" t="str">
        <f t="shared" si="717"/>
        <v/>
      </c>
      <c r="S2019" s="498"/>
      <c r="AJ2019" s="498"/>
      <c r="AM2019" s="498">
        <f t="shared" si="698"/>
        <v>0</v>
      </c>
      <c r="AN2019" s="498">
        <f t="shared" si="699"/>
        <v>0</v>
      </c>
      <c r="AO2019" s="498">
        <f t="shared" si="700"/>
        <v>0</v>
      </c>
      <c r="AP2019" s="498">
        <f t="shared" si="719"/>
        <v>0</v>
      </c>
      <c r="AQ2019" s="498">
        <f t="shared" si="714"/>
        <v>0</v>
      </c>
      <c r="AU2019" s="498">
        <f t="shared" si="701"/>
        <v>0</v>
      </c>
      <c r="AV2019" s="498">
        <f t="shared" si="702"/>
        <v>0</v>
      </c>
      <c r="AW2019" s="498">
        <f t="shared" si="703"/>
        <v>0</v>
      </c>
      <c r="AX2019" s="498">
        <f t="shared" si="704"/>
        <v>0</v>
      </c>
      <c r="AY2019" s="498">
        <f t="shared" si="705"/>
        <v>0</v>
      </c>
      <c r="BB2019" s="498" t="str">
        <f t="shared" si="706"/>
        <v/>
      </c>
      <c r="BC2019" s="743" t="str">
        <f t="shared" si="707"/>
        <v/>
      </c>
      <c r="BD2019" s="743" t="str">
        <f t="shared" si="708"/>
        <v/>
      </c>
      <c r="BE2019" s="743" t="str">
        <f>IF(D2019="","",VLOOKUP(D2019,'General Basis'!$J$39:$K$46,2,0))</f>
        <v/>
      </c>
      <c r="BF2019" s="744" t="str">
        <f>IF(D2019="","",VLOOKUP(D2019,'General Basis'!$J$39:$L$46,3,0))</f>
        <v/>
      </c>
      <c r="BG2019" s="744" t="str">
        <f t="shared" si="715"/>
        <v/>
      </c>
      <c r="BH2019" s="744" t="str">
        <f>IF(G2019="","",IF(BF2019="Abu Dhabi",IF(G2019&lt;18,'General Basis'!$C$39,IF(G2019&lt;41,'General Basis'!$C$40,IF(G2019&lt;60,'General Basis'!$C$41,IF(G2019&lt;65,'General Basis'!$C$42,'General Basis'!$C$43)))),IF(G2019&lt;11,'General Basis'!$B$39,IF(G2019&lt;18,'General Basis'!$B$40,IF(G2019&lt;26,'General Basis'!$B$41,IF(G2019&lt;31,'General Basis'!$B$42,IF(G2019&lt;36,'General Basis'!$B$43,IF(G2019&lt;41,'General Basis'!$B$44,IF(G2019&lt;46,'General Basis'!$B$45,IF(G2019&lt;51,'General Basis'!$B$46,IF(G2019&lt;56,'General Basis'!$B$47,IF(G2019&lt;60,'General Basis'!$B$48,IF(G2019&lt;65,'General Basis'!$B$49,'General Basis'!$B$50)))))))))))))</f>
        <v/>
      </c>
      <c r="BI2019" s="744" t="str">
        <f t="shared" si="709"/>
        <v/>
      </c>
      <c r="BJ2019" s="747" t="str">
        <f t="shared" si="716"/>
        <v/>
      </c>
      <c r="BK2019" s="498" t="str">
        <f t="shared" si="710"/>
        <v/>
      </c>
      <c r="BL2019" s="498" t="str">
        <f t="shared" si="711"/>
        <v/>
      </c>
    </row>
    <row r="2020" spans="1:64" x14ac:dyDescent="0.25">
      <c r="A2020" s="762">
        <f t="shared" si="712"/>
        <v>2015</v>
      </c>
      <c r="B2020" s="229"/>
      <c r="C2020" s="223"/>
      <c r="D2020" s="224"/>
      <c r="E2020" s="225"/>
      <c r="F2020" s="1036" t="str">
        <f t="shared" si="718"/>
        <v/>
      </c>
      <c r="G2020" s="1037" t="str">
        <f t="shared" si="713"/>
        <v/>
      </c>
      <c r="H2020" s="225"/>
      <c r="I2020" s="1013"/>
      <c r="J2020" s="1013"/>
      <c r="K2020" s="1028"/>
      <c r="L2020" s="1035" t="str">
        <f t="shared" si="717"/>
        <v/>
      </c>
      <c r="S2020" s="498"/>
      <c r="AJ2020" s="498"/>
      <c r="AM2020" s="498">
        <f t="shared" si="698"/>
        <v>0</v>
      </c>
      <c r="AN2020" s="498">
        <f t="shared" si="699"/>
        <v>0</v>
      </c>
      <c r="AO2020" s="498">
        <f t="shared" si="700"/>
        <v>0</v>
      </c>
      <c r="AP2020" s="498">
        <f t="shared" si="719"/>
        <v>0</v>
      </c>
      <c r="AQ2020" s="498">
        <f t="shared" si="714"/>
        <v>0</v>
      </c>
      <c r="AU2020" s="498">
        <f t="shared" si="701"/>
        <v>0</v>
      </c>
      <c r="AV2020" s="498">
        <f t="shared" si="702"/>
        <v>0</v>
      </c>
      <c r="AW2020" s="498">
        <f t="shared" si="703"/>
        <v>0</v>
      </c>
      <c r="AX2020" s="498">
        <f t="shared" si="704"/>
        <v>0</v>
      </c>
      <c r="AY2020" s="498">
        <f t="shared" si="705"/>
        <v>0</v>
      </c>
      <c r="BB2020" s="498" t="str">
        <f t="shared" si="706"/>
        <v/>
      </c>
      <c r="BC2020" s="743" t="str">
        <f t="shared" si="707"/>
        <v/>
      </c>
      <c r="BD2020" s="743" t="str">
        <f t="shared" si="708"/>
        <v/>
      </c>
      <c r="BE2020" s="743" t="str">
        <f>IF(D2020="","",VLOOKUP(D2020,'General Basis'!$J$39:$K$46,2,0))</f>
        <v/>
      </c>
      <c r="BF2020" s="744" t="str">
        <f>IF(D2020="","",VLOOKUP(D2020,'General Basis'!$J$39:$L$46,3,0))</f>
        <v/>
      </c>
      <c r="BG2020" s="744" t="str">
        <f t="shared" si="715"/>
        <v/>
      </c>
      <c r="BH2020" s="744" t="str">
        <f>IF(G2020="","",IF(BF2020="Abu Dhabi",IF(G2020&lt;18,'General Basis'!$C$39,IF(G2020&lt;41,'General Basis'!$C$40,IF(G2020&lt;60,'General Basis'!$C$41,IF(G2020&lt;65,'General Basis'!$C$42,'General Basis'!$C$43)))),IF(G2020&lt;11,'General Basis'!$B$39,IF(G2020&lt;18,'General Basis'!$B$40,IF(G2020&lt;26,'General Basis'!$B$41,IF(G2020&lt;31,'General Basis'!$B$42,IF(G2020&lt;36,'General Basis'!$B$43,IF(G2020&lt;41,'General Basis'!$B$44,IF(G2020&lt;46,'General Basis'!$B$45,IF(G2020&lt;51,'General Basis'!$B$46,IF(G2020&lt;56,'General Basis'!$B$47,IF(G2020&lt;60,'General Basis'!$B$48,IF(G2020&lt;65,'General Basis'!$B$49,'General Basis'!$B$50)))))))))))))</f>
        <v/>
      </c>
      <c r="BI2020" s="744" t="str">
        <f t="shared" si="709"/>
        <v/>
      </c>
      <c r="BJ2020" s="747" t="str">
        <f t="shared" si="716"/>
        <v/>
      </c>
      <c r="BK2020" s="498" t="str">
        <f t="shared" si="710"/>
        <v/>
      </c>
      <c r="BL2020" s="498" t="str">
        <f t="shared" si="711"/>
        <v/>
      </c>
    </row>
    <row r="2021" spans="1:64" x14ac:dyDescent="0.25">
      <c r="A2021" s="762">
        <f t="shared" si="712"/>
        <v>2016</v>
      </c>
      <c r="B2021" s="229"/>
      <c r="C2021" s="223"/>
      <c r="D2021" s="224"/>
      <c r="E2021" s="225"/>
      <c r="F2021" s="1036" t="str">
        <f t="shared" si="718"/>
        <v/>
      </c>
      <c r="G2021" s="1037" t="str">
        <f t="shared" si="713"/>
        <v/>
      </c>
      <c r="H2021" s="225"/>
      <c r="I2021" s="1013"/>
      <c r="J2021" s="1013"/>
      <c r="K2021" s="1028"/>
      <c r="L2021" s="1035" t="str">
        <f t="shared" si="717"/>
        <v/>
      </c>
      <c r="S2021" s="498"/>
      <c r="AJ2021" s="498"/>
      <c r="AM2021" s="498">
        <f t="shared" si="698"/>
        <v>0</v>
      </c>
      <c r="AN2021" s="498">
        <f t="shared" si="699"/>
        <v>0</v>
      </c>
      <c r="AO2021" s="498">
        <f t="shared" si="700"/>
        <v>0</v>
      </c>
      <c r="AP2021" s="498">
        <f t="shared" si="719"/>
        <v>0</v>
      </c>
      <c r="AQ2021" s="498">
        <f t="shared" si="714"/>
        <v>0</v>
      </c>
      <c r="AU2021" s="498">
        <f t="shared" si="701"/>
        <v>0</v>
      </c>
      <c r="AV2021" s="498">
        <f t="shared" si="702"/>
        <v>0</v>
      </c>
      <c r="AW2021" s="498">
        <f t="shared" si="703"/>
        <v>0</v>
      </c>
      <c r="AX2021" s="498">
        <f t="shared" si="704"/>
        <v>0</v>
      </c>
      <c r="AY2021" s="498">
        <f t="shared" si="705"/>
        <v>0</v>
      </c>
      <c r="BB2021" s="498" t="str">
        <f t="shared" si="706"/>
        <v/>
      </c>
      <c r="BC2021" s="743" t="str">
        <f t="shared" si="707"/>
        <v/>
      </c>
      <c r="BD2021" s="743" t="str">
        <f t="shared" si="708"/>
        <v/>
      </c>
      <c r="BE2021" s="743" t="str">
        <f>IF(D2021="","",VLOOKUP(D2021,'General Basis'!$J$39:$K$46,2,0))</f>
        <v/>
      </c>
      <c r="BF2021" s="744" t="str">
        <f>IF(D2021="","",VLOOKUP(D2021,'General Basis'!$J$39:$L$46,3,0))</f>
        <v/>
      </c>
      <c r="BG2021" s="744" t="str">
        <f t="shared" si="715"/>
        <v/>
      </c>
      <c r="BH2021" s="744" t="str">
        <f>IF(G2021="","",IF(BF2021="Abu Dhabi",IF(G2021&lt;18,'General Basis'!$C$39,IF(G2021&lt;41,'General Basis'!$C$40,IF(G2021&lt;60,'General Basis'!$C$41,IF(G2021&lt;65,'General Basis'!$C$42,'General Basis'!$C$43)))),IF(G2021&lt;11,'General Basis'!$B$39,IF(G2021&lt;18,'General Basis'!$B$40,IF(G2021&lt;26,'General Basis'!$B$41,IF(G2021&lt;31,'General Basis'!$B$42,IF(G2021&lt;36,'General Basis'!$B$43,IF(G2021&lt;41,'General Basis'!$B$44,IF(G2021&lt;46,'General Basis'!$B$45,IF(G2021&lt;51,'General Basis'!$B$46,IF(G2021&lt;56,'General Basis'!$B$47,IF(G2021&lt;60,'General Basis'!$B$48,IF(G2021&lt;65,'General Basis'!$B$49,'General Basis'!$B$50)))))))))))))</f>
        <v/>
      </c>
      <c r="BI2021" s="744" t="str">
        <f t="shared" si="709"/>
        <v/>
      </c>
      <c r="BJ2021" s="747" t="str">
        <f t="shared" si="716"/>
        <v/>
      </c>
      <c r="BK2021" s="498" t="str">
        <f t="shared" si="710"/>
        <v/>
      </c>
      <c r="BL2021" s="498" t="str">
        <f t="shared" si="711"/>
        <v/>
      </c>
    </row>
    <row r="2022" spans="1:64" x14ac:dyDescent="0.25">
      <c r="A2022" s="762">
        <f t="shared" si="712"/>
        <v>2017</v>
      </c>
      <c r="B2022" s="229"/>
      <c r="C2022" s="223"/>
      <c r="D2022" s="224"/>
      <c r="E2022" s="225"/>
      <c r="F2022" s="1036" t="str">
        <f t="shared" si="718"/>
        <v/>
      </c>
      <c r="G2022" s="1037" t="str">
        <f t="shared" si="713"/>
        <v/>
      </c>
      <c r="H2022" s="225"/>
      <c r="I2022" s="1013"/>
      <c r="J2022" s="1013"/>
      <c r="K2022" s="1028"/>
      <c r="L2022" s="1035" t="str">
        <f t="shared" si="717"/>
        <v/>
      </c>
      <c r="S2022" s="498"/>
      <c r="AJ2022" s="498"/>
      <c r="AM2022" s="498">
        <f t="shared" si="698"/>
        <v>0</v>
      </c>
      <c r="AN2022" s="498">
        <f t="shared" si="699"/>
        <v>0</v>
      </c>
      <c r="AO2022" s="498">
        <f t="shared" si="700"/>
        <v>0</v>
      </c>
      <c r="AP2022" s="498">
        <f t="shared" si="719"/>
        <v>0</v>
      </c>
      <c r="AQ2022" s="498">
        <f t="shared" si="714"/>
        <v>0</v>
      </c>
      <c r="AU2022" s="498">
        <f t="shared" si="701"/>
        <v>0</v>
      </c>
      <c r="AV2022" s="498">
        <f t="shared" si="702"/>
        <v>0</v>
      </c>
      <c r="AW2022" s="498">
        <f t="shared" si="703"/>
        <v>0</v>
      </c>
      <c r="AX2022" s="498">
        <f t="shared" si="704"/>
        <v>0</v>
      </c>
      <c r="AY2022" s="498">
        <f t="shared" si="705"/>
        <v>0</v>
      </c>
      <c r="BB2022" s="498" t="str">
        <f t="shared" si="706"/>
        <v/>
      </c>
      <c r="BC2022" s="743" t="str">
        <f t="shared" si="707"/>
        <v/>
      </c>
      <c r="BD2022" s="743" t="str">
        <f t="shared" si="708"/>
        <v/>
      </c>
      <c r="BE2022" s="743" t="str">
        <f>IF(D2022="","",VLOOKUP(D2022,'General Basis'!$J$39:$K$46,2,0))</f>
        <v/>
      </c>
      <c r="BF2022" s="744" t="str">
        <f>IF(D2022="","",VLOOKUP(D2022,'General Basis'!$J$39:$L$46,3,0))</f>
        <v/>
      </c>
      <c r="BG2022" s="744" t="str">
        <f t="shared" si="715"/>
        <v/>
      </c>
      <c r="BH2022" s="744" t="str">
        <f>IF(G2022="","",IF(BF2022="Abu Dhabi",IF(G2022&lt;18,'General Basis'!$C$39,IF(G2022&lt;41,'General Basis'!$C$40,IF(G2022&lt;60,'General Basis'!$C$41,IF(G2022&lt;65,'General Basis'!$C$42,'General Basis'!$C$43)))),IF(G2022&lt;11,'General Basis'!$B$39,IF(G2022&lt;18,'General Basis'!$B$40,IF(G2022&lt;26,'General Basis'!$B$41,IF(G2022&lt;31,'General Basis'!$B$42,IF(G2022&lt;36,'General Basis'!$B$43,IF(G2022&lt;41,'General Basis'!$B$44,IF(G2022&lt;46,'General Basis'!$B$45,IF(G2022&lt;51,'General Basis'!$B$46,IF(G2022&lt;56,'General Basis'!$B$47,IF(G2022&lt;60,'General Basis'!$B$48,IF(G2022&lt;65,'General Basis'!$B$49,'General Basis'!$B$50)))))))))))))</f>
        <v/>
      </c>
      <c r="BI2022" s="744" t="str">
        <f t="shared" si="709"/>
        <v/>
      </c>
      <c r="BJ2022" s="747" t="str">
        <f t="shared" si="716"/>
        <v/>
      </c>
      <c r="BK2022" s="498" t="str">
        <f t="shared" si="710"/>
        <v/>
      </c>
      <c r="BL2022" s="498" t="str">
        <f t="shared" si="711"/>
        <v/>
      </c>
    </row>
    <row r="2023" spans="1:64" x14ac:dyDescent="0.25">
      <c r="A2023" s="762">
        <f t="shared" si="712"/>
        <v>2018</v>
      </c>
      <c r="B2023" s="229"/>
      <c r="C2023" s="223"/>
      <c r="D2023" s="224"/>
      <c r="E2023" s="225"/>
      <c r="F2023" s="1036" t="str">
        <f t="shared" si="718"/>
        <v/>
      </c>
      <c r="G2023" s="1037" t="str">
        <f t="shared" si="713"/>
        <v/>
      </c>
      <c r="H2023" s="225"/>
      <c r="I2023" s="1013"/>
      <c r="J2023" s="1013"/>
      <c r="K2023" s="1028"/>
      <c r="L2023" s="1035" t="str">
        <f t="shared" si="717"/>
        <v/>
      </c>
      <c r="S2023" s="498"/>
      <c r="AJ2023" s="498"/>
      <c r="AM2023" s="498">
        <f t="shared" si="698"/>
        <v>0</v>
      </c>
      <c r="AN2023" s="498">
        <f t="shared" si="699"/>
        <v>0</v>
      </c>
      <c r="AO2023" s="498">
        <f t="shared" si="700"/>
        <v>0</v>
      </c>
      <c r="AP2023" s="498">
        <f t="shared" si="719"/>
        <v>0</v>
      </c>
      <c r="AQ2023" s="498">
        <f t="shared" si="714"/>
        <v>0</v>
      </c>
      <c r="AU2023" s="498">
        <f t="shared" si="701"/>
        <v>0</v>
      </c>
      <c r="AV2023" s="498">
        <f t="shared" si="702"/>
        <v>0</v>
      </c>
      <c r="AW2023" s="498">
        <f t="shared" si="703"/>
        <v>0</v>
      </c>
      <c r="AX2023" s="498">
        <f t="shared" si="704"/>
        <v>0</v>
      </c>
      <c r="AY2023" s="498">
        <f t="shared" si="705"/>
        <v>0</v>
      </c>
      <c r="BB2023" s="498" t="str">
        <f t="shared" si="706"/>
        <v/>
      </c>
      <c r="BC2023" s="743" t="str">
        <f t="shared" si="707"/>
        <v/>
      </c>
      <c r="BD2023" s="743" t="str">
        <f t="shared" si="708"/>
        <v/>
      </c>
      <c r="BE2023" s="743" t="str">
        <f>IF(D2023="","",VLOOKUP(D2023,'General Basis'!$J$39:$K$46,2,0))</f>
        <v/>
      </c>
      <c r="BF2023" s="744" t="str">
        <f>IF(D2023="","",VLOOKUP(D2023,'General Basis'!$J$39:$L$46,3,0))</f>
        <v/>
      </c>
      <c r="BG2023" s="744" t="str">
        <f t="shared" si="715"/>
        <v/>
      </c>
      <c r="BH2023" s="744" t="str">
        <f>IF(G2023="","",IF(BF2023="Abu Dhabi",IF(G2023&lt;18,'General Basis'!$C$39,IF(G2023&lt;41,'General Basis'!$C$40,IF(G2023&lt;60,'General Basis'!$C$41,IF(G2023&lt;65,'General Basis'!$C$42,'General Basis'!$C$43)))),IF(G2023&lt;11,'General Basis'!$B$39,IF(G2023&lt;18,'General Basis'!$B$40,IF(G2023&lt;26,'General Basis'!$B$41,IF(G2023&lt;31,'General Basis'!$B$42,IF(G2023&lt;36,'General Basis'!$B$43,IF(G2023&lt;41,'General Basis'!$B$44,IF(G2023&lt;46,'General Basis'!$B$45,IF(G2023&lt;51,'General Basis'!$B$46,IF(G2023&lt;56,'General Basis'!$B$47,IF(G2023&lt;60,'General Basis'!$B$48,IF(G2023&lt;65,'General Basis'!$B$49,'General Basis'!$B$50)))))))))))))</f>
        <v/>
      </c>
      <c r="BI2023" s="744" t="str">
        <f t="shared" si="709"/>
        <v/>
      </c>
      <c r="BJ2023" s="747" t="str">
        <f t="shared" si="716"/>
        <v/>
      </c>
      <c r="BK2023" s="498" t="str">
        <f t="shared" si="710"/>
        <v/>
      </c>
      <c r="BL2023" s="498" t="str">
        <f t="shared" si="711"/>
        <v/>
      </c>
    </row>
    <row r="2024" spans="1:64" x14ac:dyDescent="0.25">
      <c r="A2024" s="762">
        <f t="shared" si="712"/>
        <v>2019</v>
      </c>
      <c r="B2024" s="229"/>
      <c r="C2024" s="223"/>
      <c r="D2024" s="224"/>
      <c r="E2024" s="225"/>
      <c r="F2024" s="1036" t="str">
        <f t="shared" si="718"/>
        <v/>
      </c>
      <c r="G2024" s="1037" t="str">
        <f t="shared" si="713"/>
        <v/>
      </c>
      <c r="H2024" s="225"/>
      <c r="I2024" s="1013"/>
      <c r="J2024" s="1013"/>
      <c r="K2024" s="1028"/>
      <c r="L2024" s="1035" t="str">
        <f t="shared" si="717"/>
        <v/>
      </c>
      <c r="S2024" s="498"/>
      <c r="AJ2024" s="498"/>
      <c r="AM2024" s="498">
        <f t="shared" si="698"/>
        <v>0</v>
      </c>
      <c r="AN2024" s="498">
        <f t="shared" si="699"/>
        <v>0</v>
      </c>
      <c r="AO2024" s="498">
        <f t="shared" si="700"/>
        <v>0</v>
      </c>
      <c r="AP2024" s="498">
        <f t="shared" si="719"/>
        <v>0</v>
      </c>
      <c r="AQ2024" s="498">
        <f t="shared" si="714"/>
        <v>0</v>
      </c>
      <c r="AU2024" s="498">
        <f t="shared" si="701"/>
        <v>0</v>
      </c>
      <c r="AV2024" s="498">
        <f t="shared" si="702"/>
        <v>0</v>
      </c>
      <c r="AW2024" s="498">
        <f t="shared" si="703"/>
        <v>0</v>
      </c>
      <c r="AX2024" s="498">
        <f t="shared" si="704"/>
        <v>0</v>
      </c>
      <c r="AY2024" s="498">
        <f t="shared" si="705"/>
        <v>0</v>
      </c>
      <c r="BB2024" s="498" t="str">
        <f t="shared" si="706"/>
        <v/>
      </c>
      <c r="BC2024" s="743" t="str">
        <f t="shared" si="707"/>
        <v/>
      </c>
      <c r="BD2024" s="743" t="str">
        <f t="shared" si="708"/>
        <v/>
      </c>
      <c r="BE2024" s="743" t="str">
        <f>IF(D2024="","",VLOOKUP(D2024,'General Basis'!$J$39:$K$46,2,0))</f>
        <v/>
      </c>
      <c r="BF2024" s="744" t="str">
        <f>IF(D2024="","",VLOOKUP(D2024,'General Basis'!$J$39:$L$46,3,0))</f>
        <v/>
      </c>
      <c r="BG2024" s="744" t="str">
        <f t="shared" si="715"/>
        <v/>
      </c>
      <c r="BH2024" s="744" t="str">
        <f>IF(G2024="","",IF(BF2024="Abu Dhabi",IF(G2024&lt;18,'General Basis'!$C$39,IF(G2024&lt;41,'General Basis'!$C$40,IF(G2024&lt;60,'General Basis'!$C$41,IF(G2024&lt;65,'General Basis'!$C$42,'General Basis'!$C$43)))),IF(G2024&lt;11,'General Basis'!$B$39,IF(G2024&lt;18,'General Basis'!$B$40,IF(G2024&lt;26,'General Basis'!$B$41,IF(G2024&lt;31,'General Basis'!$B$42,IF(G2024&lt;36,'General Basis'!$B$43,IF(G2024&lt;41,'General Basis'!$B$44,IF(G2024&lt;46,'General Basis'!$B$45,IF(G2024&lt;51,'General Basis'!$B$46,IF(G2024&lt;56,'General Basis'!$B$47,IF(G2024&lt;60,'General Basis'!$B$48,IF(G2024&lt;65,'General Basis'!$B$49,'General Basis'!$B$50)))))))))))))</f>
        <v/>
      </c>
      <c r="BI2024" s="744" t="str">
        <f t="shared" si="709"/>
        <v/>
      </c>
      <c r="BJ2024" s="747" t="str">
        <f t="shared" si="716"/>
        <v/>
      </c>
      <c r="BK2024" s="498" t="str">
        <f t="shared" si="710"/>
        <v/>
      </c>
      <c r="BL2024" s="498" t="str">
        <f t="shared" si="711"/>
        <v/>
      </c>
    </row>
    <row r="2025" spans="1:64" x14ac:dyDescent="0.25">
      <c r="A2025" s="762">
        <f t="shared" si="712"/>
        <v>2020</v>
      </c>
      <c r="B2025" s="229"/>
      <c r="C2025" s="223"/>
      <c r="D2025" s="224"/>
      <c r="E2025" s="225"/>
      <c r="F2025" s="1036" t="str">
        <f t="shared" si="718"/>
        <v/>
      </c>
      <c r="G2025" s="1037" t="str">
        <f t="shared" si="713"/>
        <v/>
      </c>
      <c r="H2025" s="225"/>
      <c r="I2025" s="1013"/>
      <c r="J2025" s="1013"/>
      <c r="K2025" s="1028"/>
      <c r="L2025" s="1035" t="str">
        <f t="shared" si="717"/>
        <v/>
      </c>
      <c r="S2025" s="498"/>
      <c r="AJ2025" s="498"/>
      <c r="AM2025" s="498">
        <f t="shared" si="698"/>
        <v>0</v>
      </c>
      <c r="AN2025" s="498">
        <f t="shared" si="699"/>
        <v>0</v>
      </c>
      <c r="AO2025" s="498">
        <f t="shared" si="700"/>
        <v>0</v>
      </c>
      <c r="AP2025" s="498">
        <f t="shared" si="719"/>
        <v>0</v>
      </c>
      <c r="AQ2025" s="498">
        <f t="shared" si="714"/>
        <v>0</v>
      </c>
      <c r="AU2025" s="498">
        <f t="shared" si="701"/>
        <v>0</v>
      </c>
      <c r="AV2025" s="498">
        <f t="shared" si="702"/>
        <v>0</v>
      </c>
      <c r="AW2025" s="498">
        <f t="shared" si="703"/>
        <v>0</v>
      </c>
      <c r="AX2025" s="498">
        <f t="shared" si="704"/>
        <v>0</v>
      </c>
      <c r="AY2025" s="498">
        <f t="shared" si="705"/>
        <v>0</v>
      </c>
      <c r="BB2025" s="498" t="str">
        <f t="shared" si="706"/>
        <v/>
      </c>
      <c r="BC2025" s="743" t="str">
        <f t="shared" si="707"/>
        <v/>
      </c>
      <c r="BD2025" s="743" t="str">
        <f t="shared" si="708"/>
        <v/>
      </c>
      <c r="BE2025" s="743" t="str">
        <f>IF(D2025="","",VLOOKUP(D2025,'General Basis'!$J$39:$K$46,2,0))</f>
        <v/>
      </c>
      <c r="BF2025" s="744" t="str">
        <f>IF(D2025="","",VLOOKUP(D2025,'General Basis'!$J$39:$L$46,3,0))</f>
        <v/>
      </c>
      <c r="BG2025" s="744" t="str">
        <f t="shared" si="715"/>
        <v/>
      </c>
      <c r="BH2025" s="744" t="str">
        <f>IF(G2025="","",IF(BF2025="Abu Dhabi",IF(G2025&lt;18,'General Basis'!$C$39,IF(G2025&lt;41,'General Basis'!$C$40,IF(G2025&lt;60,'General Basis'!$C$41,IF(G2025&lt;65,'General Basis'!$C$42,'General Basis'!$C$43)))),IF(G2025&lt;11,'General Basis'!$B$39,IF(G2025&lt;18,'General Basis'!$B$40,IF(G2025&lt;26,'General Basis'!$B$41,IF(G2025&lt;31,'General Basis'!$B$42,IF(G2025&lt;36,'General Basis'!$B$43,IF(G2025&lt;41,'General Basis'!$B$44,IF(G2025&lt;46,'General Basis'!$B$45,IF(G2025&lt;51,'General Basis'!$B$46,IF(G2025&lt;56,'General Basis'!$B$47,IF(G2025&lt;60,'General Basis'!$B$48,IF(G2025&lt;65,'General Basis'!$B$49,'General Basis'!$B$50)))))))))))))</f>
        <v/>
      </c>
      <c r="BI2025" s="744" t="str">
        <f t="shared" si="709"/>
        <v/>
      </c>
      <c r="BJ2025" s="747" t="str">
        <f t="shared" si="716"/>
        <v/>
      </c>
      <c r="BK2025" s="498" t="str">
        <f t="shared" si="710"/>
        <v/>
      </c>
      <c r="BL2025" s="498" t="str">
        <f t="shared" si="711"/>
        <v/>
      </c>
    </row>
    <row r="2026" spans="1:64" x14ac:dyDescent="0.25">
      <c r="A2026" s="762">
        <f t="shared" si="712"/>
        <v>2021</v>
      </c>
      <c r="B2026" s="229"/>
      <c r="C2026" s="223"/>
      <c r="D2026" s="224"/>
      <c r="E2026" s="225"/>
      <c r="F2026" s="1036" t="str">
        <f t="shared" si="718"/>
        <v/>
      </c>
      <c r="G2026" s="1037" t="str">
        <f t="shared" si="713"/>
        <v/>
      </c>
      <c r="H2026" s="225"/>
      <c r="I2026" s="1013"/>
      <c r="J2026" s="1013"/>
      <c r="K2026" s="1028"/>
      <c r="L2026" s="1035" t="str">
        <f t="shared" si="717"/>
        <v/>
      </c>
      <c r="S2026" s="498"/>
      <c r="AJ2026" s="498"/>
      <c r="AM2026" s="498">
        <f t="shared" si="698"/>
        <v>0</v>
      </c>
      <c r="AN2026" s="498">
        <f t="shared" si="699"/>
        <v>0</v>
      </c>
      <c r="AO2026" s="498">
        <f t="shared" si="700"/>
        <v>0</v>
      </c>
      <c r="AP2026" s="498">
        <f t="shared" si="719"/>
        <v>0</v>
      </c>
      <c r="AQ2026" s="498">
        <f t="shared" si="714"/>
        <v>0</v>
      </c>
      <c r="AU2026" s="498">
        <f t="shared" si="701"/>
        <v>0</v>
      </c>
      <c r="AV2026" s="498">
        <f t="shared" si="702"/>
        <v>0</v>
      </c>
      <c r="AW2026" s="498">
        <f t="shared" si="703"/>
        <v>0</v>
      </c>
      <c r="AX2026" s="498">
        <f t="shared" si="704"/>
        <v>0</v>
      </c>
      <c r="AY2026" s="498">
        <f t="shared" si="705"/>
        <v>0</v>
      </c>
      <c r="BB2026" s="498" t="str">
        <f t="shared" si="706"/>
        <v/>
      </c>
      <c r="BC2026" s="743" t="str">
        <f t="shared" si="707"/>
        <v/>
      </c>
      <c r="BD2026" s="743" t="str">
        <f t="shared" si="708"/>
        <v/>
      </c>
      <c r="BE2026" s="743" t="str">
        <f>IF(D2026="","",VLOOKUP(D2026,'General Basis'!$J$39:$K$46,2,0))</f>
        <v/>
      </c>
      <c r="BF2026" s="744" t="str">
        <f>IF(D2026="","",VLOOKUP(D2026,'General Basis'!$J$39:$L$46,3,0))</f>
        <v/>
      </c>
      <c r="BG2026" s="744" t="str">
        <f t="shared" si="715"/>
        <v/>
      </c>
      <c r="BH2026" s="744" t="str">
        <f>IF(G2026="","",IF(BF2026="Abu Dhabi",IF(G2026&lt;18,'General Basis'!$C$39,IF(G2026&lt;41,'General Basis'!$C$40,IF(G2026&lt;60,'General Basis'!$C$41,IF(G2026&lt;65,'General Basis'!$C$42,'General Basis'!$C$43)))),IF(G2026&lt;11,'General Basis'!$B$39,IF(G2026&lt;18,'General Basis'!$B$40,IF(G2026&lt;26,'General Basis'!$B$41,IF(G2026&lt;31,'General Basis'!$B$42,IF(G2026&lt;36,'General Basis'!$B$43,IF(G2026&lt;41,'General Basis'!$B$44,IF(G2026&lt;46,'General Basis'!$B$45,IF(G2026&lt;51,'General Basis'!$B$46,IF(G2026&lt;56,'General Basis'!$B$47,IF(G2026&lt;60,'General Basis'!$B$48,IF(G2026&lt;65,'General Basis'!$B$49,'General Basis'!$B$50)))))))))))))</f>
        <v/>
      </c>
      <c r="BI2026" s="744" t="str">
        <f t="shared" si="709"/>
        <v/>
      </c>
      <c r="BJ2026" s="747" t="str">
        <f t="shared" si="716"/>
        <v/>
      </c>
      <c r="BK2026" s="498" t="str">
        <f t="shared" si="710"/>
        <v/>
      </c>
      <c r="BL2026" s="498" t="str">
        <f t="shared" si="711"/>
        <v/>
      </c>
    </row>
    <row r="2027" spans="1:64" x14ac:dyDescent="0.25">
      <c r="A2027" s="762">
        <f t="shared" si="712"/>
        <v>2022</v>
      </c>
      <c r="B2027" s="229"/>
      <c r="C2027" s="223"/>
      <c r="D2027" s="224"/>
      <c r="E2027" s="225"/>
      <c r="F2027" s="1036" t="str">
        <f t="shared" si="718"/>
        <v/>
      </c>
      <c r="G2027" s="1037" t="str">
        <f t="shared" si="713"/>
        <v/>
      </c>
      <c r="H2027" s="225"/>
      <c r="I2027" s="1013"/>
      <c r="J2027" s="1013"/>
      <c r="K2027" s="1028"/>
      <c r="L2027" s="1035" t="str">
        <f t="shared" si="717"/>
        <v/>
      </c>
      <c r="S2027" s="498"/>
      <c r="AJ2027" s="498"/>
      <c r="AM2027" s="498">
        <f t="shared" si="698"/>
        <v>0</v>
      </c>
      <c r="AN2027" s="498">
        <f t="shared" si="699"/>
        <v>0</v>
      </c>
      <c r="AO2027" s="498">
        <f t="shared" si="700"/>
        <v>0</v>
      </c>
      <c r="AP2027" s="498">
        <f t="shared" si="719"/>
        <v>0</v>
      </c>
      <c r="AQ2027" s="498">
        <f t="shared" si="714"/>
        <v>0</v>
      </c>
      <c r="AU2027" s="498">
        <f t="shared" si="701"/>
        <v>0</v>
      </c>
      <c r="AV2027" s="498">
        <f t="shared" si="702"/>
        <v>0</v>
      </c>
      <c r="AW2027" s="498">
        <f t="shared" si="703"/>
        <v>0</v>
      </c>
      <c r="AX2027" s="498">
        <f t="shared" si="704"/>
        <v>0</v>
      </c>
      <c r="AY2027" s="498">
        <f t="shared" si="705"/>
        <v>0</v>
      </c>
      <c r="BB2027" s="498" t="str">
        <f t="shared" si="706"/>
        <v/>
      </c>
      <c r="BC2027" s="743" t="str">
        <f t="shared" si="707"/>
        <v/>
      </c>
      <c r="BD2027" s="743" t="str">
        <f t="shared" si="708"/>
        <v/>
      </c>
      <c r="BE2027" s="743" t="str">
        <f>IF(D2027="","",VLOOKUP(D2027,'General Basis'!$J$39:$K$46,2,0))</f>
        <v/>
      </c>
      <c r="BF2027" s="744" t="str">
        <f>IF(D2027="","",VLOOKUP(D2027,'General Basis'!$J$39:$L$46,3,0))</f>
        <v/>
      </c>
      <c r="BG2027" s="744" t="str">
        <f t="shared" si="715"/>
        <v/>
      </c>
      <c r="BH2027" s="744" t="str">
        <f>IF(G2027="","",IF(BF2027="Abu Dhabi",IF(G2027&lt;18,'General Basis'!$C$39,IF(G2027&lt;41,'General Basis'!$C$40,IF(G2027&lt;60,'General Basis'!$C$41,IF(G2027&lt;65,'General Basis'!$C$42,'General Basis'!$C$43)))),IF(G2027&lt;11,'General Basis'!$B$39,IF(G2027&lt;18,'General Basis'!$B$40,IF(G2027&lt;26,'General Basis'!$B$41,IF(G2027&lt;31,'General Basis'!$B$42,IF(G2027&lt;36,'General Basis'!$B$43,IF(G2027&lt;41,'General Basis'!$B$44,IF(G2027&lt;46,'General Basis'!$B$45,IF(G2027&lt;51,'General Basis'!$B$46,IF(G2027&lt;56,'General Basis'!$B$47,IF(G2027&lt;60,'General Basis'!$B$48,IF(G2027&lt;65,'General Basis'!$B$49,'General Basis'!$B$50)))))))))))))</f>
        <v/>
      </c>
      <c r="BI2027" s="744" t="str">
        <f t="shared" si="709"/>
        <v/>
      </c>
      <c r="BJ2027" s="747" t="str">
        <f t="shared" si="716"/>
        <v/>
      </c>
      <c r="BK2027" s="498" t="str">
        <f t="shared" si="710"/>
        <v/>
      </c>
      <c r="BL2027" s="498" t="str">
        <f t="shared" si="711"/>
        <v/>
      </c>
    </row>
    <row r="2028" spans="1:64" x14ac:dyDescent="0.25">
      <c r="A2028" s="762">
        <f t="shared" si="712"/>
        <v>2023</v>
      </c>
      <c r="B2028" s="229"/>
      <c r="C2028" s="223"/>
      <c r="D2028" s="224"/>
      <c r="E2028" s="225"/>
      <c r="F2028" s="1036" t="str">
        <f t="shared" si="718"/>
        <v/>
      </c>
      <c r="G2028" s="1037" t="str">
        <f t="shared" si="713"/>
        <v/>
      </c>
      <c r="H2028" s="225"/>
      <c r="I2028" s="1013"/>
      <c r="J2028" s="1013"/>
      <c r="K2028" s="1028"/>
      <c r="L2028" s="1035" t="str">
        <f t="shared" si="717"/>
        <v/>
      </c>
      <c r="S2028" s="498"/>
      <c r="AJ2028" s="498"/>
      <c r="AM2028" s="498">
        <f t="shared" si="698"/>
        <v>0</v>
      </c>
      <c r="AN2028" s="498">
        <f t="shared" si="699"/>
        <v>0</v>
      </c>
      <c r="AO2028" s="498">
        <f t="shared" si="700"/>
        <v>0</v>
      </c>
      <c r="AP2028" s="498">
        <f t="shared" si="719"/>
        <v>0</v>
      </c>
      <c r="AQ2028" s="498">
        <f t="shared" si="714"/>
        <v>0</v>
      </c>
      <c r="AU2028" s="498">
        <f t="shared" si="701"/>
        <v>0</v>
      </c>
      <c r="AV2028" s="498">
        <f t="shared" si="702"/>
        <v>0</v>
      </c>
      <c r="AW2028" s="498">
        <f t="shared" si="703"/>
        <v>0</v>
      </c>
      <c r="AX2028" s="498">
        <f t="shared" si="704"/>
        <v>0</v>
      </c>
      <c r="AY2028" s="498">
        <f t="shared" si="705"/>
        <v>0</v>
      </c>
      <c r="BB2028" s="498" t="str">
        <f t="shared" si="706"/>
        <v/>
      </c>
      <c r="BC2028" s="743" t="str">
        <f t="shared" si="707"/>
        <v/>
      </c>
      <c r="BD2028" s="743" t="str">
        <f t="shared" si="708"/>
        <v/>
      </c>
      <c r="BE2028" s="743" t="str">
        <f>IF(D2028="","",VLOOKUP(D2028,'General Basis'!$J$39:$K$46,2,0))</f>
        <v/>
      </c>
      <c r="BF2028" s="744" t="str">
        <f>IF(D2028="","",VLOOKUP(D2028,'General Basis'!$J$39:$L$46,3,0))</f>
        <v/>
      </c>
      <c r="BG2028" s="744" t="str">
        <f t="shared" si="715"/>
        <v/>
      </c>
      <c r="BH2028" s="744" t="str">
        <f>IF(G2028="","",IF(BF2028="Abu Dhabi",IF(G2028&lt;18,'General Basis'!$C$39,IF(G2028&lt;41,'General Basis'!$C$40,IF(G2028&lt;60,'General Basis'!$C$41,IF(G2028&lt;65,'General Basis'!$C$42,'General Basis'!$C$43)))),IF(G2028&lt;11,'General Basis'!$B$39,IF(G2028&lt;18,'General Basis'!$B$40,IF(G2028&lt;26,'General Basis'!$B$41,IF(G2028&lt;31,'General Basis'!$B$42,IF(G2028&lt;36,'General Basis'!$B$43,IF(G2028&lt;41,'General Basis'!$B$44,IF(G2028&lt;46,'General Basis'!$B$45,IF(G2028&lt;51,'General Basis'!$B$46,IF(G2028&lt;56,'General Basis'!$B$47,IF(G2028&lt;60,'General Basis'!$B$48,IF(G2028&lt;65,'General Basis'!$B$49,'General Basis'!$B$50)))))))))))))</f>
        <v/>
      </c>
      <c r="BI2028" s="744" t="str">
        <f t="shared" si="709"/>
        <v/>
      </c>
      <c r="BJ2028" s="747" t="str">
        <f t="shared" si="716"/>
        <v/>
      </c>
      <c r="BK2028" s="498" t="str">
        <f t="shared" si="710"/>
        <v/>
      </c>
      <c r="BL2028" s="498" t="str">
        <f t="shared" si="711"/>
        <v/>
      </c>
    </row>
    <row r="2029" spans="1:64" x14ac:dyDescent="0.25">
      <c r="A2029" s="762">
        <f t="shared" si="712"/>
        <v>2024</v>
      </c>
      <c r="B2029" s="229"/>
      <c r="C2029" s="223"/>
      <c r="D2029" s="224"/>
      <c r="E2029" s="225"/>
      <c r="F2029" s="1036" t="str">
        <f t="shared" si="718"/>
        <v/>
      </c>
      <c r="G2029" s="1037" t="str">
        <f t="shared" si="713"/>
        <v/>
      </c>
      <c r="H2029" s="225"/>
      <c r="I2029" s="1013"/>
      <c r="J2029" s="1013"/>
      <c r="K2029" s="1028"/>
      <c r="L2029" s="1035" t="str">
        <f t="shared" si="717"/>
        <v/>
      </c>
      <c r="S2029" s="498"/>
      <c r="AJ2029" s="498"/>
      <c r="AM2029" s="498">
        <f t="shared" si="698"/>
        <v>0</v>
      </c>
      <c r="AN2029" s="498">
        <f t="shared" si="699"/>
        <v>0</v>
      </c>
      <c r="AO2029" s="498">
        <f t="shared" si="700"/>
        <v>0</v>
      </c>
      <c r="AP2029" s="498">
        <f t="shared" si="719"/>
        <v>0</v>
      </c>
      <c r="AQ2029" s="498">
        <f t="shared" si="714"/>
        <v>0</v>
      </c>
      <c r="AU2029" s="498">
        <f t="shared" si="701"/>
        <v>0</v>
      </c>
      <c r="AV2029" s="498">
        <f t="shared" si="702"/>
        <v>0</v>
      </c>
      <c r="AW2029" s="498">
        <f t="shared" si="703"/>
        <v>0</v>
      </c>
      <c r="AX2029" s="498">
        <f t="shared" si="704"/>
        <v>0</v>
      </c>
      <c r="AY2029" s="498">
        <f t="shared" si="705"/>
        <v>0</v>
      </c>
      <c r="BB2029" s="498" t="str">
        <f t="shared" si="706"/>
        <v/>
      </c>
      <c r="BC2029" s="743" t="str">
        <f t="shared" si="707"/>
        <v/>
      </c>
      <c r="BD2029" s="743" t="str">
        <f t="shared" si="708"/>
        <v/>
      </c>
      <c r="BE2029" s="743" t="str">
        <f>IF(D2029="","",VLOOKUP(D2029,'General Basis'!$J$39:$K$46,2,0))</f>
        <v/>
      </c>
      <c r="BF2029" s="744" t="str">
        <f>IF(D2029="","",VLOOKUP(D2029,'General Basis'!$J$39:$L$46,3,0))</f>
        <v/>
      </c>
      <c r="BG2029" s="744" t="str">
        <f t="shared" si="715"/>
        <v/>
      </c>
      <c r="BH2029" s="744" t="str">
        <f>IF(G2029="","",IF(BF2029="Abu Dhabi",IF(G2029&lt;18,'General Basis'!$C$39,IF(G2029&lt;41,'General Basis'!$C$40,IF(G2029&lt;60,'General Basis'!$C$41,IF(G2029&lt;65,'General Basis'!$C$42,'General Basis'!$C$43)))),IF(G2029&lt;11,'General Basis'!$B$39,IF(G2029&lt;18,'General Basis'!$B$40,IF(G2029&lt;26,'General Basis'!$B$41,IF(G2029&lt;31,'General Basis'!$B$42,IF(G2029&lt;36,'General Basis'!$B$43,IF(G2029&lt;41,'General Basis'!$B$44,IF(G2029&lt;46,'General Basis'!$B$45,IF(G2029&lt;51,'General Basis'!$B$46,IF(G2029&lt;56,'General Basis'!$B$47,IF(G2029&lt;60,'General Basis'!$B$48,IF(G2029&lt;65,'General Basis'!$B$49,'General Basis'!$B$50)))))))))))))</f>
        <v/>
      </c>
      <c r="BI2029" s="744" t="str">
        <f t="shared" si="709"/>
        <v/>
      </c>
      <c r="BJ2029" s="747" t="str">
        <f t="shared" si="716"/>
        <v/>
      </c>
      <c r="BK2029" s="498" t="str">
        <f t="shared" si="710"/>
        <v/>
      </c>
      <c r="BL2029" s="498" t="str">
        <f t="shared" si="711"/>
        <v/>
      </c>
    </row>
    <row r="2030" spans="1:64" x14ac:dyDescent="0.25">
      <c r="A2030" s="762">
        <f t="shared" si="712"/>
        <v>2025</v>
      </c>
      <c r="B2030" s="229"/>
      <c r="C2030" s="223"/>
      <c r="D2030" s="224"/>
      <c r="E2030" s="225"/>
      <c r="F2030" s="1036" t="str">
        <f t="shared" si="718"/>
        <v/>
      </c>
      <c r="G2030" s="1037" t="str">
        <f t="shared" si="713"/>
        <v/>
      </c>
      <c r="H2030" s="225"/>
      <c r="I2030" s="1013"/>
      <c r="J2030" s="1013"/>
      <c r="K2030" s="1028"/>
      <c r="L2030" s="1035" t="str">
        <f t="shared" si="717"/>
        <v/>
      </c>
      <c r="S2030" s="498"/>
      <c r="AJ2030" s="498"/>
      <c r="AM2030" s="498">
        <f t="shared" si="698"/>
        <v>0</v>
      </c>
      <c r="AN2030" s="498">
        <f t="shared" si="699"/>
        <v>0</v>
      </c>
      <c r="AO2030" s="498">
        <f t="shared" si="700"/>
        <v>0</v>
      </c>
      <c r="AP2030" s="498">
        <f t="shared" si="719"/>
        <v>0</v>
      </c>
      <c r="AQ2030" s="498">
        <f t="shared" si="714"/>
        <v>0</v>
      </c>
      <c r="AU2030" s="498">
        <f t="shared" si="701"/>
        <v>0</v>
      </c>
      <c r="AV2030" s="498">
        <f t="shared" si="702"/>
        <v>0</v>
      </c>
      <c r="AW2030" s="498">
        <f t="shared" si="703"/>
        <v>0</v>
      </c>
      <c r="AX2030" s="498">
        <f t="shared" si="704"/>
        <v>0</v>
      </c>
      <c r="AY2030" s="498">
        <f t="shared" si="705"/>
        <v>0</v>
      </c>
      <c r="BB2030" s="498" t="str">
        <f t="shared" si="706"/>
        <v/>
      </c>
      <c r="BC2030" s="743" t="str">
        <f t="shared" si="707"/>
        <v/>
      </c>
      <c r="BD2030" s="743" t="str">
        <f t="shared" si="708"/>
        <v/>
      </c>
      <c r="BE2030" s="743" t="str">
        <f>IF(D2030="","",VLOOKUP(D2030,'General Basis'!$J$39:$K$46,2,0))</f>
        <v/>
      </c>
      <c r="BF2030" s="744" t="str">
        <f>IF(D2030="","",VLOOKUP(D2030,'General Basis'!$J$39:$L$46,3,0))</f>
        <v/>
      </c>
      <c r="BG2030" s="744" t="str">
        <f t="shared" si="715"/>
        <v/>
      </c>
      <c r="BH2030" s="744" t="str">
        <f>IF(G2030="","",IF(BF2030="Abu Dhabi",IF(G2030&lt;18,'General Basis'!$C$39,IF(G2030&lt;41,'General Basis'!$C$40,IF(G2030&lt;60,'General Basis'!$C$41,IF(G2030&lt;65,'General Basis'!$C$42,'General Basis'!$C$43)))),IF(G2030&lt;11,'General Basis'!$B$39,IF(G2030&lt;18,'General Basis'!$B$40,IF(G2030&lt;26,'General Basis'!$B$41,IF(G2030&lt;31,'General Basis'!$B$42,IF(G2030&lt;36,'General Basis'!$B$43,IF(G2030&lt;41,'General Basis'!$B$44,IF(G2030&lt;46,'General Basis'!$B$45,IF(G2030&lt;51,'General Basis'!$B$46,IF(G2030&lt;56,'General Basis'!$B$47,IF(G2030&lt;60,'General Basis'!$B$48,IF(G2030&lt;65,'General Basis'!$B$49,'General Basis'!$B$50)))))))))))))</f>
        <v/>
      </c>
      <c r="BI2030" s="744" t="str">
        <f t="shared" si="709"/>
        <v/>
      </c>
      <c r="BJ2030" s="747" t="str">
        <f t="shared" si="716"/>
        <v/>
      </c>
      <c r="BK2030" s="498" t="str">
        <f t="shared" si="710"/>
        <v/>
      </c>
      <c r="BL2030" s="498" t="str">
        <f t="shared" si="711"/>
        <v/>
      </c>
    </row>
    <row r="2031" spans="1:64" x14ac:dyDescent="0.25">
      <c r="A2031" s="762">
        <f t="shared" si="712"/>
        <v>2026</v>
      </c>
      <c r="B2031" s="229"/>
      <c r="C2031" s="223"/>
      <c r="D2031" s="224"/>
      <c r="E2031" s="225"/>
      <c r="F2031" s="1036" t="str">
        <f t="shared" si="718"/>
        <v/>
      </c>
      <c r="G2031" s="1037" t="str">
        <f t="shared" si="713"/>
        <v/>
      </c>
      <c r="H2031" s="225"/>
      <c r="I2031" s="1013"/>
      <c r="J2031" s="1013"/>
      <c r="K2031" s="1028"/>
      <c r="L2031" s="1035" t="str">
        <f t="shared" si="717"/>
        <v/>
      </c>
      <c r="S2031" s="498"/>
      <c r="AJ2031" s="498"/>
      <c r="AM2031" s="498">
        <f t="shared" si="698"/>
        <v>0</v>
      </c>
      <c r="AN2031" s="498">
        <f t="shared" si="699"/>
        <v>0</v>
      </c>
      <c r="AO2031" s="498">
        <f t="shared" si="700"/>
        <v>0</v>
      </c>
      <c r="AP2031" s="498">
        <f t="shared" si="719"/>
        <v>0</v>
      </c>
      <c r="AQ2031" s="498">
        <f t="shared" si="714"/>
        <v>0</v>
      </c>
      <c r="AU2031" s="498">
        <f t="shared" si="701"/>
        <v>0</v>
      </c>
      <c r="AV2031" s="498">
        <f t="shared" si="702"/>
        <v>0</v>
      </c>
      <c r="AW2031" s="498">
        <f t="shared" si="703"/>
        <v>0</v>
      </c>
      <c r="AX2031" s="498">
        <f t="shared" si="704"/>
        <v>0</v>
      </c>
      <c r="AY2031" s="498">
        <f t="shared" si="705"/>
        <v>0</v>
      </c>
      <c r="BB2031" s="498" t="str">
        <f t="shared" si="706"/>
        <v/>
      </c>
      <c r="BC2031" s="743" t="str">
        <f t="shared" si="707"/>
        <v/>
      </c>
      <c r="BD2031" s="743" t="str">
        <f t="shared" si="708"/>
        <v/>
      </c>
      <c r="BE2031" s="743" t="str">
        <f>IF(D2031="","",VLOOKUP(D2031,'General Basis'!$J$39:$K$46,2,0))</f>
        <v/>
      </c>
      <c r="BF2031" s="744" t="str">
        <f>IF(D2031="","",VLOOKUP(D2031,'General Basis'!$J$39:$L$46,3,0))</f>
        <v/>
      </c>
      <c r="BG2031" s="744" t="str">
        <f t="shared" si="715"/>
        <v/>
      </c>
      <c r="BH2031" s="744" t="str">
        <f>IF(G2031="","",IF(BF2031="Abu Dhabi",IF(G2031&lt;18,'General Basis'!$C$39,IF(G2031&lt;41,'General Basis'!$C$40,IF(G2031&lt;60,'General Basis'!$C$41,IF(G2031&lt;65,'General Basis'!$C$42,'General Basis'!$C$43)))),IF(G2031&lt;11,'General Basis'!$B$39,IF(G2031&lt;18,'General Basis'!$B$40,IF(G2031&lt;26,'General Basis'!$B$41,IF(G2031&lt;31,'General Basis'!$B$42,IF(G2031&lt;36,'General Basis'!$B$43,IF(G2031&lt;41,'General Basis'!$B$44,IF(G2031&lt;46,'General Basis'!$B$45,IF(G2031&lt;51,'General Basis'!$B$46,IF(G2031&lt;56,'General Basis'!$B$47,IF(G2031&lt;60,'General Basis'!$B$48,IF(G2031&lt;65,'General Basis'!$B$49,'General Basis'!$B$50)))))))))))))</f>
        <v/>
      </c>
      <c r="BI2031" s="744" t="str">
        <f t="shared" si="709"/>
        <v/>
      </c>
      <c r="BJ2031" s="747" t="str">
        <f t="shared" si="716"/>
        <v/>
      </c>
      <c r="BK2031" s="498" t="str">
        <f t="shared" si="710"/>
        <v/>
      </c>
      <c r="BL2031" s="498" t="str">
        <f t="shared" si="711"/>
        <v/>
      </c>
    </row>
    <row r="2032" spans="1:64" x14ac:dyDescent="0.25">
      <c r="A2032" s="762">
        <f t="shared" si="712"/>
        <v>2027</v>
      </c>
      <c r="B2032" s="229"/>
      <c r="C2032" s="223"/>
      <c r="D2032" s="224"/>
      <c r="E2032" s="225"/>
      <c r="F2032" s="1036" t="str">
        <f t="shared" si="718"/>
        <v/>
      </c>
      <c r="G2032" s="1037" t="str">
        <f t="shared" si="713"/>
        <v/>
      </c>
      <c r="H2032" s="225"/>
      <c r="I2032" s="1013"/>
      <c r="J2032" s="1013"/>
      <c r="K2032" s="1028"/>
      <c r="L2032" s="1035" t="str">
        <f t="shared" si="717"/>
        <v/>
      </c>
      <c r="S2032" s="498"/>
      <c r="AJ2032" s="498"/>
      <c r="AM2032" s="498">
        <f t="shared" si="698"/>
        <v>0</v>
      </c>
      <c r="AN2032" s="498">
        <f t="shared" si="699"/>
        <v>0</v>
      </c>
      <c r="AO2032" s="498">
        <f t="shared" si="700"/>
        <v>0</v>
      </c>
      <c r="AP2032" s="498">
        <f t="shared" si="719"/>
        <v>0</v>
      </c>
      <c r="AQ2032" s="498">
        <f t="shared" si="714"/>
        <v>0</v>
      </c>
      <c r="AU2032" s="498">
        <f t="shared" si="701"/>
        <v>0</v>
      </c>
      <c r="AV2032" s="498">
        <f t="shared" si="702"/>
        <v>0</v>
      </c>
      <c r="AW2032" s="498">
        <f t="shared" si="703"/>
        <v>0</v>
      </c>
      <c r="AX2032" s="498">
        <f t="shared" si="704"/>
        <v>0</v>
      </c>
      <c r="AY2032" s="498">
        <f t="shared" si="705"/>
        <v>0</v>
      </c>
      <c r="BB2032" s="498" t="str">
        <f t="shared" si="706"/>
        <v/>
      </c>
      <c r="BC2032" s="743" t="str">
        <f t="shared" si="707"/>
        <v/>
      </c>
      <c r="BD2032" s="743" t="str">
        <f t="shared" si="708"/>
        <v/>
      </c>
      <c r="BE2032" s="743" t="str">
        <f>IF(D2032="","",VLOOKUP(D2032,'General Basis'!$J$39:$K$46,2,0))</f>
        <v/>
      </c>
      <c r="BF2032" s="744" t="str">
        <f>IF(D2032="","",VLOOKUP(D2032,'General Basis'!$J$39:$L$46,3,0))</f>
        <v/>
      </c>
      <c r="BG2032" s="744" t="str">
        <f t="shared" si="715"/>
        <v/>
      </c>
      <c r="BH2032" s="744" t="str">
        <f>IF(G2032="","",IF(BF2032="Abu Dhabi",IF(G2032&lt;18,'General Basis'!$C$39,IF(G2032&lt;41,'General Basis'!$C$40,IF(G2032&lt;60,'General Basis'!$C$41,IF(G2032&lt;65,'General Basis'!$C$42,'General Basis'!$C$43)))),IF(G2032&lt;11,'General Basis'!$B$39,IF(G2032&lt;18,'General Basis'!$B$40,IF(G2032&lt;26,'General Basis'!$B$41,IF(G2032&lt;31,'General Basis'!$B$42,IF(G2032&lt;36,'General Basis'!$B$43,IF(G2032&lt;41,'General Basis'!$B$44,IF(G2032&lt;46,'General Basis'!$B$45,IF(G2032&lt;51,'General Basis'!$B$46,IF(G2032&lt;56,'General Basis'!$B$47,IF(G2032&lt;60,'General Basis'!$B$48,IF(G2032&lt;65,'General Basis'!$B$49,'General Basis'!$B$50)))))))))))))</f>
        <v/>
      </c>
      <c r="BI2032" s="744" t="str">
        <f t="shared" si="709"/>
        <v/>
      </c>
      <c r="BJ2032" s="747" t="str">
        <f t="shared" si="716"/>
        <v/>
      </c>
      <c r="BK2032" s="498" t="str">
        <f t="shared" si="710"/>
        <v/>
      </c>
      <c r="BL2032" s="498" t="str">
        <f t="shared" si="711"/>
        <v/>
      </c>
    </row>
    <row r="2033" spans="1:64" x14ac:dyDescent="0.25">
      <c r="A2033" s="762">
        <f t="shared" si="712"/>
        <v>2028</v>
      </c>
      <c r="B2033" s="229"/>
      <c r="C2033" s="223"/>
      <c r="D2033" s="224"/>
      <c r="E2033" s="225"/>
      <c r="F2033" s="1036" t="str">
        <f t="shared" si="718"/>
        <v/>
      </c>
      <c r="G2033" s="1037" t="str">
        <f t="shared" si="713"/>
        <v/>
      </c>
      <c r="H2033" s="225"/>
      <c r="I2033" s="1013"/>
      <c r="J2033" s="1013"/>
      <c r="K2033" s="1028"/>
      <c r="L2033" s="1035" t="str">
        <f t="shared" si="717"/>
        <v/>
      </c>
      <c r="S2033" s="498"/>
      <c r="AJ2033" s="498"/>
      <c r="AM2033" s="498">
        <f t="shared" si="698"/>
        <v>0</v>
      </c>
      <c r="AN2033" s="498">
        <f t="shared" si="699"/>
        <v>0</v>
      </c>
      <c r="AO2033" s="498">
        <f t="shared" si="700"/>
        <v>0</v>
      </c>
      <c r="AP2033" s="498">
        <f t="shared" si="719"/>
        <v>0</v>
      </c>
      <c r="AQ2033" s="498">
        <f t="shared" si="714"/>
        <v>0</v>
      </c>
      <c r="AU2033" s="498">
        <f t="shared" si="701"/>
        <v>0</v>
      </c>
      <c r="AV2033" s="498">
        <f t="shared" si="702"/>
        <v>0</v>
      </c>
      <c r="AW2033" s="498">
        <f t="shared" si="703"/>
        <v>0</v>
      </c>
      <c r="AX2033" s="498">
        <f t="shared" si="704"/>
        <v>0</v>
      </c>
      <c r="AY2033" s="498">
        <f t="shared" si="705"/>
        <v>0</v>
      </c>
      <c r="BB2033" s="498" t="str">
        <f t="shared" si="706"/>
        <v/>
      </c>
      <c r="BC2033" s="743" t="str">
        <f t="shared" si="707"/>
        <v/>
      </c>
      <c r="BD2033" s="743" t="str">
        <f t="shared" si="708"/>
        <v/>
      </c>
      <c r="BE2033" s="743" t="str">
        <f>IF(D2033="","",VLOOKUP(D2033,'General Basis'!$J$39:$K$46,2,0))</f>
        <v/>
      </c>
      <c r="BF2033" s="744" t="str">
        <f>IF(D2033="","",VLOOKUP(D2033,'General Basis'!$J$39:$L$46,3,0))</f>
        <v/>
      </c>
      <c r="BG2033" s="744" t="str">
        <f t="shared" si="715"/>
        <v/>
      </c>
      <c r="BH2033" s="744" t="str">
        <f>IF(G2033="","",IF(BF2033="Abu Dhabi",IF(G2033&lt;18,'General Basis'!$C$39,IF(G2033&lt;41,'General Basis'!$C$40,IF(G2033&lt;60,'General Basis'!$C$41,IF(G2033&lt;65,'General Basis'!$C$42,'General Basis'!$C$43)))),IF(G2033&lt;11,'General Basis'!$B$39,IF(G2033&lt;18,'General Basis'!$B$40,IF(G2033&lt;26,'General Basis'!$B$41,IF(G2033&lt;31,'General Basis'!$B$42,IF(G2033&lt;36,'General Basis'!$B$43,IF(G2033&lt;41,'General Basis'!$B$44,IF(G2033&lt;46,'General Basis'!$B$45,IF(G2033&lt;51,'General Basis'!$B$46,IF(G2033&lt;56,'General Basis'!$B$47,IF(G2033&lt;60,'General Basis'!$B$48,IF(G2033&lt;65,'General Basis'!$B$49,'General Basis'!$B$50)))))))))))))</f>
        <v/>
      </c>
      <c r="BI2033" s="744" t="str">
        <f t="shared" si="709"/>
        <v/>
      </c>
      <c r="BJ2033" s="747" t="str">
        <f t="shared" si="716"/>
        <v/>
      </c>
      <c r="BK2033" s="498" t="str">
        <f t="shared" si="710"/>
        <v/>
      </c>
      <c r="BL2033" s="498" t="str">
        <f t="shared" si="711"/>
        <v/>
      </c>
    </row>
    <row r="2034" spans="1:64" x14ac:dyDescent="0.25">
      <c r="A2034" s="762">
        <f t="shared" si="712"/>
        <v>2029</v>
      </c>
      <c r="B2034" s="229"/>
      <c r="C2034" s="223"/>
      <c r="D2034" s="224"/>
      <c r="E2034" s="225"/>
      <c r="F2034" s="1036" t="str">
        <f t="shared" si="718"/>
        <v/>
      </c>
      <c r="G2034" s="1037" t="str">
        <f t="shared" si="713"/>
        <v/>
      </c>
      <c r="H2034" s="225"/>
      <c r="I2034" s="1013"/>
      <c r="J2034" s="1013"/>
      <c r="K2034" s="1028"/>
      <c r="L2034" s="1035" t="str">
        <f t="shared" si="717"/>
        <v/>
      </c>
      <c r="S2034" s="498"/>
      <c r="AJ2034" s="498"/>
      <c r="AM2034" s="498">
        <f t="shared" si="698"/>
        <v>0</v>
      </c>
      <c r="AN2034" s="498">
        <f t="shared" si="699"/>
        <v>0</v>
      </c>
      <c r="AO2034" s="498">
        <f t="shared" si="700"/>
        <v>0</v>
      </c>
      <c r="AP2034" s="498">
        <f t="shared" si="719"/>
        <v>0</v>
      </c>
      <c r="AQ2034" s="498">
        <f t="shared" si="714"/>
        <v>0</v>
      </c>
      <c r="AU2034" s="498">
        <f t="shared" si="701"/>
        <v>0</v>
      </c>
      <c r="AV2034" s="498">
        <f t="shared" si="702"/>
        <v>0</v>
      </c>
      <c r="AW2034" s="498">
        <f t="shared" si="703"/>
        <v>0</v>
      </c>
      <c r="AX2034" s="498">
        <f t="shared" si="704"/>
        <v>0</v>
      </c>
      <c r="AY2034" s="498">
        <f t="shared" si="705"/>
        <v>0</v>
      </c>
      <c r="BB2034" s="498" t="str">
        <f t="shared" si="706"/>
        <v/>
      </c>
      <c r="BC2034" s="743" t="str">
        <f t="shared" si="707"/>
        <v/>
      </c>
      <c r="BD2034" s="743" t="str">
        <f t="shared" si="708"/>
        <v/>
      </c>
      <c r="BE2034" s="743" t="str">
        <f>IF(D2034="","",VLOOKUP(D2034,'General Basis'!$J$39:$K$46,2,0))</f>
        <v/>
      </c>
      <c r="BF2034" s="744" t="str">
        <f>IF(D2034="","",VLOOKUP(D2034,'General Basis'!$J$39:$L$46,3,0))</f>
        <v/>
      </c>
      <c r="BG2034" s="744" t="str">
        <f t="shared" si="715"/>
        <v/>
      </c>
      <c r="BH2034" s="744" t="str">
        <f>IF(G2034="","",IF(BF2034="Abu Dhabi",IF(G2034&lt;18,'General Basis'!$C$39,IF(G2034&lt;41,'General Basis'!$C$40,IF(G2034&lt;60,'General Basis'!$C$41,IF(G2034&lt;65,'General Basis'!$C$42,'General Basis'!$C$43)))),IF(G2034&lt;11,'General Basis'!$B$39,IF(G2034&lt;18,'General Basis'!$B$40,IF(G2034&lt;26,'General Basis'!$B$41,IF(G2034&lt;31,'General Basis'!$B$42,IF(G2034&lt;36,'General Basis'!$B$43,IF(G2034&lt;41,'General Basis'!$B$44,IF(G2034&lt;46,'General Basis'!$B$45,IF(G2034&lt;51,'General Basis'!$B$46,IF(G2034&lt;56,'General Basis'!$B$47,IF(G2034&lt;60,'General Basis'!$B$48,IF(G2034&lt;65,'General Basis'!$B$49,'General Basis'!$B$50)))))))))))))</f>
        <v/>
      </c>
      <c r="BI2034" s="744" t="str">
        <f t="shared" si="709"/>
        <v/>
      </c>
      <c r="BJ2034" s="747" t="str">
        <f t="shared" si="716"/>
        <v/>
      </c>
      <c r="BK2034" s="498" t="str">
        <f t="shared" si="710"/>
        <v/>
      </c>
      <c r="BL2034" s="498" t="str">
        <f t="shared" si="711"/>
        <v/>
      </c>
    </row>
    <row r="2035" spans="1:64" x14ac:dyDescent="0.25">
      <c r="A2035" s="762">
        <f t="shared" si="712"/>
        <v>2030</v>
      </c>
      <c r="B2035" s="229"/>
      <c r="C2035" s="223"/>
      <c r="D2035" s="224"/>
      <c r="E2035" s="225"/>
      <c r="F2035" s="1036" t="str">
        <f t="shared" si="718"/>
        <v/>
      </c>
      <c r="G2035" s="1037" t="str">
        <f t="shared" si="713"/>
        <v/>
      </c>
      <c r="H2035" s="225"/>
      <c r="I2035" s="1013"/>
      <c r="J2035" s="1013"/>
      <c r="K2035" s="1028"/>
      <c r="L2035" s="1035" t="str">
        <f t="shared" si="717"/>
        <v/>
      </c>
      <c r="S2035" s="498"/>
      <c r="AJ2035" s="498"/>
      <c r="AM2035" s="498">
        <f t="shared" si="698"/>
        <v>0</v>
      </c>
      <c r="AN2035" s="498">
        <f t="shared" si="699"/>
        <v>0</v>
      </c>
      <c r="AO2035" s="498">
        <f t="shared" si="700"/>
        <v>0</v>
      </c>
      <c r="AP2035" s="498">
        <f t="shared" si="719"/>
        <v>0</v>
      </c>
      <c r="AQ2035" s="498">
        <f t="shared" si="714"/>
        <v>0</v>
      </c>
      <c r="AU2035" s="498">
        <f t="shared" si="701"/>
        <v>0</v>
      </c>
      <c r="AV2035" s="498">
        <f t="shared" si="702"/>
        <v>0</v>
      </c>
      <c r="AW2035" s="498">
        <f t="shared" si="703"/>
        <v>0</v>
      </c>
      <c r="AX2035" s="498">
        <f t="shared" si="704"/>
        <v>0</v>
      </c>
      <c r="AY2035" s="498">
        <f t="shared" si="705"/>
        <v>0</v>
      </c>
      <c r="BB2035" s="498" t="str">
        <f t="shared" si="706"/>
        <v/>
      </c>
      <c r="BC2035" s="743" t="str">
        <f t="shared" si="707"/>
        <v/>
      </c>
      <c r="BD2035" s="743" t="str">
        <f t="shared" si="708"/>
        <v/>
      </c>
      <c r="BE2035" s="743" t="str">
        <f>IF(D2035="","",VLOOKUP(D2035,'General Basis'!$J$39:$K$46,2,0))</f>
        <v/>
      </c>
      <c r="BF2035" s="744" t="str">
        <f>IF(D2035="","",VLOOKUP(D2035,'General Basis'!$J$39:$L$46,3,0))</f>
        <v/>
      </c>
      <c r="BG2035" s="744" t="str">
        <f t="shared" si="715"/>
        <v/>
      </c>
      <c r="BH2035" s="744" t="str">
        <f>IF(G2035="","",IF(BF2035="Abu Dhabi",IF(G2035&lt;18,'General Basis'!$C$39,IF(G2035&lt;41,'General Basis'!$C$40,IF(G2035&lt;60,'General Basis'!$C$41,IF(G2035&lt;65,'General Basis'!$C$42,'General Basis'!$C$43)))),IF(G2035&lt;11,'General Basis'!$B$39,IF(G2035&lt;18,'General Basis'!$B$40,IF(G2035&lt;26,'General Basis'!$B$41,IF(G2035&lt;31,'General Basis'!$B$42,IF(G2035&lt;36,'General Basis'!$B$43,IF(G2035&lt;41,'General Basis'!$B$44,IF(G2035&lt;46,'General Basis'!$B$45,IF(G2035&lt;51,'General Basis'!$B$46,IF(G2035&lt;56,'General Basis'!$B$47,IF(G2035&lt;60,'General Basis'!$B$48,IF(G2035&lt;65,'General Basis'!$B$49,'General Basis'!$B$50)))))))))))))</f>
        <v/>
      </c>
      <c r="BI2035" s="744" t="str">
        <f t="shared" si="709"/>
        <v/>
      </c>
      <c r="BJ2035" s="747" t="str">
        <f t="shared" si="716"/>
        <v/>
      </c>
      <c r="BK2035" s="498" t="str">
        <f t="shared" si="710"/>
        <v/>
      </c>
      <c r="BL2035" s="498" t="str">
        <f t="shared" si="711"/>
        <v/>
      </c>
    </row>
    <row r="2036" spans="1:64" x14ac:dyDescent="0.25">
      <c r="A2036" s="762">
        <f t="shared" si="712"/>
        <v>2031</v>
      </c>
      <c r="B2036" s="229"/>
      <c r="C2036" s="223"/>
      <c r="D2036" s="224"/>
      <c r="E2036" s="225"/>
      <c r="F2036" s="1036" t="str">
        <f t="shared" si="718"/>
        <v/>
      </c>
      <c r="G2036" s="1037" t="str">
        <f t="shared" si="713"/>
        <v/>
      </c>
      <c r="H2036" s="225"/>
      <c r="I2036" s="1013"/>
      <c r="J2036" s="1013"/>
      <c r="K2036" s="1028"/>
      <c r="L2036" s="1035" t="str">
        <f t="shared" si="717"/>
        <v/>
      </c>
      <c r="S2036" s="498"/>
      <c r="AJ2036" s="498"/>
      <c r="AM2036" s="498">
        <f t="shared" si="698"/>
        <v>0</v>
      </c>
      <c r="AN2036" s="498">
        <f t="shared" si="699"/>
        <v>0</v>
      </c>
      <c r="AO2036" s="498">
        <f t="shared" si="700"/>
        <v>0</v>
      </c>
      <c r="AP2036" s="498">
        <f t="shared" si="719"/>
        <v>0</v>
      </c>
      <c r="AQ2036" s="498">
        <f t="shared" si="714"/>
        <v>0</v>
      </c>
      <c r="AU2036" s="498">
        <f t="shared" si="701"/>
        <v>0</v>
      </c>
      <c r="AV2036" s="498">
        <f t="shared" si="702"/>
        <v>0</v>
      </c>
      <c r="AW2036" s="498">
        <f t="shared" si="703"/>
        <v>0</v>
      </c>
      <c r="AX2036" s="498">
        <f t="shared" si="704"/>
        <v>0</v>
      </c>
      <c r="AY2036" s="498">
        <f t="shared" si="705"/>
        <v>0</v>
      </c>
      <c r="BB2036" s="498" t="str">
        <f t="shared" si="706"/>
        <v/>
      </c>
      <c r="BC2036" s="743" t="str">
        <f t="shared" si="707"/>
        <v/>
      </c>
      <c r="BD2036" s="743" t="str">
        <f t="shared" si="708"/>
        <v/>
      </c>
      <c r="BE2036" s="743" t="str">
        <f>IF(D2036="","",VLOOKUP(D2036,'General Basis'!$J$39:$K$46,2,0))</f>
        <v/>
      </c>
      <c r="BF2036" s="744" t="str">
        <f>IF(D2036="","",VLOOKUP(D2036,'General Basis'!$J$39:$L$46,3,0))</f>
        <v/>
      </c>
      <c r="BG2036" s="744" t="str">
        <f t="shared" si="715"/>
        <v/>
      </c>
      <c r="BH2036" s="744" t="str">
        <f>IF(G2036="","",IF(BF2036="Abu Dhabi",IF(G2036&lt;18,'General Basis'!$C$39,IF(G2036&lt;41,'General Basis'!$C$40,IF(G2036&lt;60,'General Basis'!$C$41,IF(G2036&lt;65,'General Basis'!$C$42,'General Basis'!$C$43)))),IF(G2036&lt;11,'General Basis'!$B$39,IF(G2036&lt;18,'General Basis'!$B$40,IF(G2036&lt;26,'General Basis'!$B$41,IF(G2036&lt;31,'General Basis'!$B$42,IF(G2036&lt;36,'General Basis'!$B$43,IF(G2036&lt;41,'General Basis'!$B$44,IF(G2036&lt;46,'General Basis'!$B$45,IF(G2036&lt;51,'General Basis'!$B$46,IF(G2036&lt;56,'General Basis'!$B$47,IF(G2036&lt;60,'General Basis'!$B$48,IF(G2036&lt;65,'General Basis'!$B$49,'General Basis'!$B$50)))))))))))))</f>
        <v/>
      </c>
      <c r="BI2036" s="744" t="str">
        <f t="shared" si="709"/>
        <v/>
      </c>
      <c r="BJ2036" s="747" t="str">
        <f t="shared" si="716"/>
        <v/>
      </c>
      <c r="BK2036" s="498" t="str">
        <f t="shared" si="710"/>
        <v/>
      </c>
      <c r="BL2036" s="498" t="str">
        <f t="shared" si="711"/>
        <v/>
      </c>
    </row>
    <row r="2037" spans="1:64" x14ac:dyDescent="0.25">
      <c r="A2037" s="762">
        <f t="shared" si="712"/>
        <v>2032</v>
      </c>
      <c r="B2037" s="229"/>
      <c r="C2037" s="223"/>
      <c r="D2037" s="224"/>
      <c r="E2037" s="225"/>
      <c r="F2037" s="1036" t="str">
        <f t="shared" si="718"/>
        <v/>
      </c>
      <c r="G2037" s="1037" t="str">
        <f t="shared" si="713"/>
        <v/>
      </c>
      <c r="H2037" s="225"/>
      <c r="I2037" s="1013"/>
      <c r="J2037" s="1013"/>
      <c r="K2037" s="1028"/>
      <c r="L2037" s="1035" t="str">
        <f t="shared" si="717"/>
        <v/>
      </c>
      <c r="S2037" s="498"/>
      <c r="AJ2037" s="498"/>
      <c r="AM2037" s="498">
        <f t="shared" si="698"/>
        <v>0</v>
      </c>
      <c r="AN2037" s="498">
        <f t="shared" si="699"/>
        <v>0</v>
      </c>
      <c r="AO2037" s="498">
        <f t="shared" si="700"/>
        <v>0</v>
      </c>
      <c r="AP2037" s="498">
        <f t="shared" si="719"/>
        <v>0</v>
      </c>
      <c r="AQ2037" s="498">
        <f t="shared" si="714"/>
        <v>0</v>
      </c>
      <c r="AU2037" s="498">
        <f t="shared" si="701"/>
        <v>0</v>
      </c>
      <c r="AV2037" s="498">
        <f t="shared" si="702"/>
        <v>0</v>
      </c>
      <c r="AW2037" s="498">
        <f t="shared" si="703"/>
        <v>0</v>
      </c>
      <c r="AX2037" s="498">
        <f t="shared" si="704"/>
        <v>0</v>
      </c>
      <c r="AY2037" s="498">
        <f t="shared" si="705"/>
        <v>0</v>
      </c>
      <c r="BB2037" s="498" t="str">
        <f t="shared" si="706"/>
        <v/>
      </c>
      <c r="BC2037" s="743" t="str">
        <f t="shared" si="707"/>
        <v/>
      </c>
      <c r="BD2037" s="743" t="str">
        <f t="shared" si="708"/>
        <v/>
      </c>
      <c r="BE2037" s="743" t="str">
        <f>IF(D2037="","",VLOOKUP(D2037,'General Basis'!$J$39:$K$46,2,0))</f>
        <v/>
      </c>
      <c r="BF2037" s="744" t="str">
        <f>IF(D2037="","",VLOOKUP(D2037,'General Basis'!$J$39:$L$46,3,0))</f>
        <v/>
      </c>
      <c r="BG2037" s="744" t="str">
        <f t="shared" si="715"/>
        <v/>
      </c>
      <c r="BH2037" s="744" t="str">
        <f>IF(G2037="","",IF(BF2037="Abu Dhabi",IF(G2037&lt;18,'General Basis'!$C$39,IF(G2037&lt;41,'General Basis'!$C$40,IF(G2037&lt;60,'General Basis'!$C$41,IF(G2037&lt;65,'General Basis'!$C$42,'General Basis'!$C$43)))),IF(G2037&lt;11,'General Basis'!$B$39,IF(G2037&lt;18,'General Basis'!$B$40,IF(G2037&lt;26,'General Basis'!$B$41,IF(G2037&lt;31,'General Basis'!$B$42,IF(G2037&lt;36,'General Basis'!$B$43,IF(G2037&lt;41,'General Basis'!$B$44,IF(G2037&lt;46,'General Basis'!$B$45,IF(G2037&lt;51,'General Basis'!$B$46,IF(G2037&lt;56,'General Basis'!$B$47,IF(G2037&lt;60,'General Basis'!$B$48,IF(G2037&lt;65,'General Basis'!$B$49,'General Basis'!$B$50)))))))))))))</f>
        <v/>
      </c>
      <c r="BI2037" s="744" t="str">
        <f t="shared" si="709"/>
        <v/>
      </c>
      <c r="BJ2037" s="747" t="str">
        <f t="shared" si="716"/>
        <v/>
      </c>
      <c r="BK2037" s="498" t="str">
        <f t="shared" si="710"/>
        <v/>
      </c>
      <c r="BL2037" s="498" t="str">
        <f t="shared" si="711"/>
        <v/>
      </c>
    </row>
    <row r="2038" spans="1:64" x14ac:dyDescent="0.25">
      <c r="A2038" s="762">
        <f t="shared" si="712"/>
        <v>2033</v>
      </c>
      <c r="B2038" s="229"/>
      <c r="C2038" s="223"/>
      <c r="D2038" s="224"/>
      <c r="E2038" s="225"/>
      <c r="F2038" s="1036" t="str">
        <f t="shared" si="718"/>
        <v/>
      </c>
      <c r="G2038" s="1037" t="str">
        <f t="shared" si="713"/>
        <v/>
      </c>
      <c r="H2038" s="225"/>
      <c r="I2038" s="1013"/>
      <c r="J2038" s="1013"/>
      <c r="K2038" s="1028"/>
      <c r="L2038" s="1035" t="str">
        <f t="shared" si="717"/>
        <v/>
      </c>
      <c r="S2038" s="498"/>
      <c r="AJ2038" s="498"/>
      <c r="AM2038" s="498">
        <f t="shared" si="698"/>
        <v>0</v>
      </c>
      <c r="AN2038" s="498">
        <f t="shared" si="699"/>
        <v>0</v>
      </c>
      <c r="AO2038" s="498">
        <f t="shared" si="700"/>
        <v>0</v>
      </c>
      <c r="AP2038" s="498">
        <f t="shared" si="719"/>
        <v>0</v>
      </c>
      <c r="AQ2038" s="498">
        <f t="shared" si="714"/>
        <v>0</v>
      </c>
      <c r="AU2038" s="498">
        <f t="shared" si="701"/>
        <v>0</v>
      </c>
      <c r="AV2038" s="498">
        <f t="shared" si="702"/>
        <v>0</v>
      </c>
      <c r="AW2038" s="498">
        <f t="shared" si="703"/>
        <v>0</v>
      </c>
      <c r="AX2038" s="498">
        <f t="shared" si="704"/>
        <v>0</v>
      </c>
      <c r="AY2038" s="498">
        <f t="shared" si="705"/>
        <v>0</v>
      </c>
      <c r="BB2038" s="498" t="str">
        <f t="shared" si="706"/>
        <v/>
      </c>
      <c r="BC2038" s="743" t="str">
        <f t="shared" si="707"/>
        <v/>
      </c>
      <c r="BD2038" s="743" t="str">
        <f t="shared" si="708"/>
        <v/>
      </c>
      <c r="BE2038" s="743" t="str">
        <f>IF(D2038="","",VLOOKUP(D2038,'General Basis'!$J$39:$K$46,2,0))</f>
        <v/>
      </c>
      <c r="BF2038" s="744" t="str">
        <f>IF(D2038="","",VLOOKUP(D2038,'General Basis'!$J$39:$L$46,3,0))</f>
        <v/>
      </c>
      <c r="BG2038" s="744" t="str">
        <f t="shared" si="715"/>
        <v/>
      </c>
      <c r="BH2038" s="744" t="str">
        <f>IF(G2038="","",IF(BF2038="Abu Dhabi",IF(G2038&lt;18,'General Basis'!$C$39,IF(G2038&lt;41,'General Basis'!$C$40,IF(G2038&lt;60,'General Basis'!$C$41,IF(G2038&lt;65,'General Basis'!$C$42,'General Basis'!$C$43)))),IF(G2038&lt;11,'General Basis'!$B$39,IF(G2038&lt;18,'General Basis'!$B$40,IF(G2038&lt;26,'General Basis'!$B$41,IF(G2038&lt;31,'General Basis'!$B$42,IF(G2038&lt;36,'General Basis'!$B$43,IF(G2038&lt;41,'General Basis'!$B$44,IF(G2038&lt;46,'General Basis'!$B$45,IF(G2038&lt;51,'General Basis'!$B$46,IF(G2038&lt;56,'General Basis'!$B$47,IF(G2038&lt;60,'General Basis'!$B$48,IF(G2038&lt;65,'General Basis'!$B$49,'General Basis'!$B$50)))))))))))))</f>
        <v/>
      </c>
      <c r="BI2038" s="744" t="str">
        <f t="shared" si="709"/>
        <v/>
      </c>
      <c r="BJ2038" s="747" t="str">
        <f t="shared" si="716"/>
        <v/>
      </c>
      <c r="BK2038" s="498" t="str">
        <f t="shared" si="710"/>
        <v/>
      </c>
      <c r="BL2038" s="498" t="str">
        <f t="shared" si="711"/>
        <v/>
      </c>
    </row>
    <row r="2039" spans="1:64" x14ac:dyDescent="0.25">
      <c r="A2039" s="762">
        <f t="shared" si="712"/>
        <v>2034</v>
      </c>
      <c r="B2039" s="229"/>
      <c r="C2039" s="223"/>
      <c r="D2039" s="224"/>
      <c r="E2039" s="225"/>
      <c r="F2039" s="1036" t="str">
        <f t="shared" si="718"/>
        <v/>
      </c>
      <c r="G2039" s="1037" t="str">
        <f t="shared" si="713"/>
        <v/>
      </c>
      <c r="H2039" s="225"/>
      <c r="I2039" s="1013"/>
      <c r="J2039" s="1013"/>
      <c r="K2039" s="1028"/>
      <c r="L2039" s="1035" t="str">
        <f t="shared" si="717"/>
        <v/>
      </c>
      <c r="S2039" s="498"/>
      <c r="AJ2039" s="498"/>
      <c r="AM2039" s="498">
        <f t="shared" si="698"/>
        <v>0</v>
      </c>
      <c r="AN2039" s="498">
        <f t="shared" si="699"/>
        <v>0</v>
      </c>
      <c r="AO2039" s="498">
        <f t="shared" si="700"/>
        <v>0</v>
      </c>
      <c r="AP2039" s="498">
        <f t="shared" si="719"/>
        <v>0</v>
      </c>
      <c r="AQ2039" s="498">
        <f t="shared" si="714"/>
        <v>0</v>
      </c>
      <c r="AU2039" s="498">
        <f t="shared" si="701"/>
        <v>0</v>
      </c>
      <c r="AV2039" s="498">
        <f t="shared" si="702"/>
        <v>0</v>
      </c>
      <c r="AW2039" s="498">
        <f t="shared" si="703"/>
        <v>0</v>
      </c>
      <c r="AX2039" s="498">
        <f t="shared" si="704"/>
        <v>0</v>
      </c>
      <c r="AY2039" s="498">
        <f t="shared" si="705"/>
        <v>0</v>
      </c>
      <c r="BB2039" s="498" t="str">
        <f t="shared" si="706"/>
        <v/>
      </c>
      <c r="BC2039" s="743" t="str">
        <f t="shared" si="707"/>
        <v/>
      </c>
      <c r="BD2039" s="743" t="str">
        <f t="shared" si="708"/>
        <v/>
      </c>
      <c r="BE2039" s="743" t="str">
        <f>IF(D2039="","",VLOOKUP(D2039,'General Basis'!$J$39:$K$46,2,0))</f>
        <v/>
      </c>
      <c r="BF2039" s="744" t="str">
        <f>IF(D2039="","",VLOOKUP(D2039,'General Basis'!$J$39:$L$46,3,0))</f>
        <v/>
      </c>
      <c r="BG2039" s="744" t="str">
        <f t="shared" si="715"/>
        <v/>
      </c>
      <c r="BH2039" s="744" t="str">
        <f>IF(G2039="","",IF(BF2039="Abu Dhabi",IF(G2039&lt;18,'General Basis'!$C$39,IF(G2039&lt;41,'General Basis'!$C$40,IF(G2039&lt;60,'General Basis'!$C$41,IF(G2039&lt;65,'General Basis'!$C$42,'General Basis'!$C$43)))),IF(G2039&lt;11,'General Basis'!$B$39,IF(G2039&lt;18,'General Basis'!$B$40,IF(G2039&lt;26,'General Basis'!$B$41,IF(G2039&lt;31,'General Basis'!$B$42,IF(G2039&lt;36,'General Basis'!$B$43,IF(G2039&lt;41,'General Basis'!$B$44,IF(G2039&lt;46,'General Basis'!$B$45,IF(G2039&lt;51,'General Basis'!$B$46,IF(G2039&lt;56,'General Basis'!$B$47,IF(G2039&lt;60,'General Basis'!$B$48,IF(G2039&lt;65,'General Basis'!$B$49,'General Basis'!$B$50)))))))))))))</f>
        <v/>
      </c>
      <c r="BI2039" s="744" t="str">
        <f t="shared" si="709"/>
        <v/>
      </c>
      <c r="BJ2039" s="747" t="str">
        <f t="shared" si="716"/>
        <v/>
      </c>
      <c r="BK2039" s="498" t="str">
        <f t="shared" si="710"/>
        <v/>
      </c>
      <c r="BL2039" s="498" t="str">
        <f t="shared" si="711"/>
        <v/>
      </c>
    </row>
    <row r="2040" spans="1:64" x14ac:dyDescent="0.25">
      <c r="A2040" s="762">
        <f t="shared" si="712"/>
        <v>2035</v>
      </c>
      <c r="B2040" s="229"/>
      <c r="C2040" s="223"/>
      <c r="D2040" s="224"/>
      <c r="E2040" s="225"/>
      <c r="F2040" s="1036" t="str">
        <f t="shared" si="718"/>
        <v/>
      </c>
      <c r="G2040" s="1037" t="str">
        <f t="shared" si="713"/>
        <v/>
      </c>
      <c r="H2040" s="225"/>
      <c r="I2040" s="1013"/>
      <c r="J2040" s="1013"/>
      <c r="K2040" s="1028"/>
      <c r="L2040" s="1035" t="str">
        <f t="shared" si="717"/>
        <v/>
      </c>
      <c r="S2040" s="498"/>
      <c r="AJ2040" s="498"/>
      <c r="AM2040" s="498">
        <f t="shared" si="698"/>
        <v>0</v>
      </c>
      <c r="AN2040" s="498">
        <f t="shared" si="699"/>
        <v>0</v>
      </c>
      <c r="AO2040" s="498">
        <f t="shared" si="700"/>
        <v>0</v>
      </c>
      <c r="AP2040" s="498">
        <f t="shared" si="719"/>
        <v>0</v>
      </c>
      <c r="AQ2040" s="498">
        <f t="shared" si="714"/>
        <v>0</v>
      </c>
      <c r="AU2040" s="498">
        <f t="shared" si="701"/>
        <v>0</v>
      </c>
      <c r="AV2040" s="498">
        <f t="shared" si="702"/>
        <v>0</v>
      </c>
      <c r="AW2040" s="498">
        <f t="shared" si="703"/>
        <v>0</v>
      </c>
      <c r="AX2040" s="498">
        <f t="shared" si="704"/>
        <v>0</v>
      </c>
      <c r="AY2040" s="498">
        <f t="shared" si="705"/>
        <v>0</v>
      </c>
      <c r="BB2040" s="498" t="str">
        <f t="shared" si="706"/>
        <v/>
      </c>
      <c r="BC2040" s="743" t="str">
        <f t="shared" si="707"/>
        <v/>
      </c>
      <c r="BD2040" s="743" t="str">
        <f t="shared" si="708"/>
        <v/>
      </c>
      <c r="BE2040" s="743" t="str">
        <f>IF(D2040="","",VLOOKUP(D2040,'General Basis'!$J$39:$K$46,2,0))</f>
        <v/>
      </c>
      <c r="BF2040" s="744" t="str">
        <f>IF(D2040="","",VLOOKUP(D2040,'General Basis'!$J$39:$L$46,3,0))</f>
        <v/>
      </c>
      <c r="BG2040" s="744" t="str">
        <f t="shared" si="715"/>
        <v/>
      </c>
      <c r="BH2040" s="744" t="str">
        <f>IF(G2040="","",IF(BF2040="Abu Dhabi",IF(G2040&lt;18,'General Basis'!$C$39,IF(G2040&lt;41,'General Basis'!$C$40,IF(G2040&lt;60,'General Basis'!$C$41,IF(G2040&lt;65,'General Basis'!$C$42,'General Basis'!$C$43)))),IF(G2040&lt;11,'General Basis'!$B$39,IF(G2040&lt;18,'General Basis'!$B$40,IF(G2040&lt;26,'General Basis'!$B$41,IF(G2040&lt;31,'General Basis'!$B$42,IF(G2040&lt;36,'General Basis'!$B$43,IF(G2040&lt;41,'General Basis'!$B$44,IF(G2040&lt;46,'General Basis'!$B$45,IF(G2040&lt;51,'General Basis'!$B$46,IF(G2040&lt;56,'General Basis'!$B$47,IF(G2040&lt;60,'General Basis'!$B$48,IF(G2040&lt;65,'General Basis'!$B$49,'General Basis'!$B$50)))))))))))))</f>
        <v/>
      </c>
      <c r="BI2040" s="744" t="str">
        <f t="shared" si="709"/>
        <v/>
      </c>
      <c r="BJ2040" s="747" t="str">
        <f t="shared" si="716"/>
        <v/>
      </c>
      <c r="BK2040" s="498" t="str">
        <f t="shared" si="710"/>
        <v/>
      </c>
      <c r="BL2040" s="498" t="str">
        <f t="shared" si="711"/>
        <v/>
      </c>
    </row>
    <row r="2041" spans="1:64" x14ac:dyDescent="0.25">
      <c r="A2041" s="762">
        <f t="shared" si="712"/>
        <v>2036</v>
      </c>
      <c r="B2041" s="229"/>
      <c r="C2041" s="223"/>
      <c r="D2041" s="224"/>
      <c r="E2041" s="225"/>
      <c r="F2041" s="1036" t="str">
        <f t="shared" si="718"/>
        <v/>
      </c>
      <c r="G2041" s="1037" t="str">
        <f t="shared" si="713"/>
        <v/>
      </c>
      <c r="H2041" s="225"/>
      <c r="I2041" s="1013"/>
      <c r="J2041" s="1013"/>
      <c r="K2041" s="1028"/>
      <c r="L2041" s="1035" t="str">
        <f t="shared" si="717"/>
        <v/>
      </c>
      <c r="S2041" s="498"/>
      <c r="AJ2041" s="498"/>
      <c r="AM2041" s="498">
        <f t="shared" si="698"/>
        <v>0</v>
      </c>
      <c r="AN2041" s="498">
        <f t="shared" si="699"/>
        <v>0</v>
      </c>
      <c r="AO2041" s="498">
        <f t="shared" si="700"/>
        <v>0</v>
      </c>
      <c r="AP2041" s="498">
        <f t="shared" si="719"/>
        <v>0</v>
      </c>
      <c r="AQ2041" s="498">
        <f t="shared" si="714"/>
        <v>0</v>
      </c>
      <c r="AU2041" s="498">
        <f t="shared" si="701"/>
        <v>0</v>
      </c>
      <c r="AV2041" s="498">
        <f t="shared" si="702"/>
        <v>0</v>
      </c>
      <c r="AW2041" s="498">
        <f t="shared" si="703"/>
        <v>0</v>
      </c>
      <c r="AX2041" s="498">
        <f t="shared" si="704"/>
        <v>0</v>
      </c>
      <c r="AY2041" s="498">
        <f t="shared" si="705"/>
        <v>0</v>
      </c>
      <c r="BB2041" s="498" t="str">
        <f t="shared" si="706"/>
        <v/>
      </c>
      <c r="BC2041" s="743" t="str">
        <f t="shared" si="707"/>
        <v/>
      </c>
      <c r="BD2041" s="743" t="str">
        <f t="shared" si="708"/>
        <v/>
      </c>
      <c r="BE2041" s="743" t="str">
        <f>IF(D2041="","",VLOOKUP(D2041,'General Basis'!$J$39:$K$46,2,0))</f>
        <v/>
      </c>
      <c r="BF2041" s="744" t="str">
        <f>IF(D2041="","",VLOOKUP(D2041,'General Basis'!$J$39:$L$46,3,0))</f>
        <v/>
      </c>
      <c r="BG2041" s="744" t="str">
        <f t="shared" si="715"/>
        <v/>
      </c>
      <c r="BH2041" s="744" t="str">
        <f>IF(G2041="","",IF(BF2041="Abu Dhabi",IF(G2041&lt;18,'General Basis'!$C$39,IF(G2041&lt;41,'General Basis'!$C$40,IF(G2041&lt;60,'General Basis'!$C$41,IF(G2041&lt;65,'General Basis'!$C$42,'General Basis'!$C$43)))),IF(G2041&lt;11,'General Basis'!$B$39,IF(G2041&lt;18,'General Basis'!$B$40,IF(G2041&lt;26,'General Basis'!$B$41,IF(G2041&lt;31,'General Basis'!$B$42,IF(G2041&lt;36,'General Basis'!$B$43,IF(G2041&lt;41,'General Basis'!$B$44,IF(G2041&lt;46,'General Basis'!$B$45,IF(G2041&lt;51,'General Basis'!$B$46,IF(G2041&lt;56,'General Basis'!$B$47,IF(G2041&lt;60,'General Basis'!$B$48,IF(G2041&lt;65,'General Basis'!$B$49,'General Basis'!$B$50)))))))))))))</f>
        <v/>
      </c>
      <c r="BI2041" s="744" t="str">
        <f t="shared" si="709"/>
        <v/>
      </c>
      <c r="BJ2041" s="747" t="str">
        <f t="shared" si="716"/>
        <v/>
      </c>
      <c r="BK2041" s="498" t="str">
        <f t="shared" si="710"/>
        <v/>
      </c>
      <c r="BL2041" s="498" t="str">
        <f t="shared" si="711"/>
        <v/>
      </c>
    </row>
    <row r="2042" spans="1:64" x14ac:dyDescent="0.25">
      <c r="A2042" s="762">
        <f t="shared" si="712"/>
        <v>2037</v>
      </c>
      <c r="B2042" s="229"/>
      <c r="C2042" s="223"/>
      <c r="D2042" s="224"/>
      <c r="E2042" s="225"/>
      <c r="F2042" s="1036" t="str">
        <f t="shared" si="718"/>
        <v/>
      </c>
      <c r="G2042" s="1037" t="str">
        <f t="shared" si="713"/>
        <v/>
      </c>
      <c r="H2042" s="225"/>
      <c r="I2042" s="1013"/>
      <c r="J2042" s="1013"/>
      <c r="K2042" s="1028"/>
      <c r="L2042" s="1035" t="str">
        <f t="shared" si="717"/>
        <v/>
      </c>
      <c r="S2042" s="498"/>
      <c r="AJ2042" s="498"/>
      <c r="AM2042" s="498">
        <f t="shared" si="698"/>
        <v>0</v>
      </c>
      <c r="AN2042" s="498">
        <f t="shared" si="699"/>
        <v>0</v>
      </c>
      <c r="AO2042" s="498">
        <f t="shared" si="700"/>
        <v>0</v>
      </c>
      <c r="AP2042" s="498">
        <f t="shared" si="719"/>
        <v>0</v>
      </c>
      <c r="AQ2042" s="498">
        <f t="shared" si="714"/>
        <v>0</v>
      </c>
      <c r="AU2042" s="498">
        <f t="shared" si="701"/>
        <v>0</v>
      </c>
      <c r="AV2042" s="498">
        <f t="shared" si="702"/>
        <v>0</v>
      </c>
      <c r="AW2042" s="498">
        <f t="shared" si="703"/>
        <v>0</v>
      </c>
      <c r="AX2042" s="498">
        <f t="shared" si="704"/>
        <v>0</v>
      </c>
      <c r="AY2042" s="498">
        <f t="shared" si="705"/>
        <v>0</v>
      </c>
      <c r="BB2042" s="498" t="str">
        <f t="shared" si="706"/>
        <v/>
      </c>
      <c r="BC2042" s="743" t="str">
        <f t="shared" si="707"/>
        <v/>
      </c>
      <c r="BD2042" s="743" t="str">
        <f t="shared" si="708"/>
        <v/>
      </c>
      <c r="BE2042" s="743" t="str">
        <f>IF(D2042="","",VLOOKUP(D2042,'General Basis'!$J$39:$K$46,2,0))</f>
        <v/>
      </c>
      <c r="BF2042" s="744" t="str">
        <f>IF(D2042="","",VLOOKUP(D2042,'General Basis'!$J$39:$L$46,3,0))</f>
        <v/>
      </c>
      <c r="BG2042" s="744" t="str">
        <f t="shared" si="715"/>
        <v/>
      </c>
      <c r="BH2042" s="744" t="str">
        <f>IF(G2042="","",IF(BF2042="Abu Dhabi",IF(G2042&lt;18,'General Basis'!$C$39,IF(G2042&lt;41,'General Basis'!$C$40,IF(G2042&lt;60,'General Basis'!$C$41,IF(G2042&lt;65,'General Basis'!$C$42,'General Basis'!$C$43)))),IF(G2042&lt;11,'General Basis'!$B$39,IF(G2042&lt;18,'General Basis'!$B$40,IF(G2042&lt;26,'General Basis'!$B$41,IF(G2042&lt;31,'General Basis'!$B$42,IF(G2042&lt;36,'General Basis'!$B$43,IF(G2042&lt;41,'General Basis'!$B$44,IF(G2042&lt;46,'General Basis'!$B$45,IF(G2042&lt;51,'General Basis'!$B$46,IF(G2042&lt;56,'General Basis'!$B$47,IF(G2042&lt;60,'General Basis'!$B$48,IF(G2042&lt;65,'General Basis'!$B$49,'General Basis'!$B$50)))))))))))))</f>
        <v/>
      </c>
      <c r="BI2042" s="744" t="str">
        <f t="shared" si="709"/>
        <v/>
      </c>
      <c r="BJ2042" s="747" t="str">
        <f t="shared" si="716"/>
        <v/>
      </c>
      <c r="BK2042" s="498" t="str">
        <f t="shared" si="710"/>
        <v/>
      </c>
      <c r="BL2042" s="498" t="str">
        <f t="shared" si="711"/>
        <v/>
      </c>
    </row>
    <row r="2043" spans="1:64" x14ac:dyDescent="0.25">
      <c r="A2043" s="762">
        <f t="shared" si="712"/>
        <v>2038</v>
      </c>
      <c r="B2043" s="229"/>
      <c r="C2043" s="223"/>
      <c r="D2043" s="224"/>
      <c r="E2043" s="225"/>
      <c r="F2043" s="1036" t="str">
        <f t="shared" si="718"/>
        <v/>
      </c>
      <c r="G2043" s="1037" t="str">
        <f t="shared" si="713"/>
        <v/>
      </c>
      <c r="H2043" s="225"/>
      <c r="I2043" s="1013"/>
      <c r="J2043" s="1013"/>
      <c r="K2043" s="1028"/>
      <c r="L2043" s="1035" t="str">
        <f t="shared" si="717"/>
        <v/>
      </c>
      <c r="S2043" s="498"/>
      <c r="AJ2043" s="498"/>
      <c r="AM2043" s="498">
        <f t="shared" si="698"/>
        <v>0</v>
      </c>
      <c r="AN2043" s="498">
        <f t="shared" si="699"/>
        <v>0</v>
      </c>
      <c r="AO2043" s="498">
        <f t="shared" si="700"/>
        <v>0</v>
      </c>
      <c r="AP2043" s="498">
        <f t="shared" si="719"/>
        <v>0</v>
      </c>
      <c r="AQ2043" s="498">
        <f t="shared" si="714"/>
        <v>0</v>
      </c>
      <c r="AU2043" s="498">
        <f t="shared" si="701"/>
        <v>0</v>
      </c>
      <c r="AV2043" s="498">
        <f t="shared" si="702"/>
        <v>0</v>
      </c>
      <c r="AW2043" s="498">
        <f t="shared" si="703"/>
        <v>0</v>
      </c>
      <c r="AX2043" s="498">
        <f t="shared" si="704"/>
        <v>0</v>
      </c>
      <c r="AY2043" s="498">
        <f t="shared" si="705"/>
        <v>0</v>
      </c>
      <c r="BB2043" s="498" t="str">
        <f t="shared" si="706"/>
        <v/>
      </c>
      <c r="BC2043" s="743" t="str">
        <f t="shared" si="707"/>
        <v/>
      </c>
      <c r="BD2043" s="743" t="str">
        <f t="shared" si="708"/>
        <v/>
      </c>
      <c r="BE2043" s="743" t="str">
        <f>IF(D2043="","",VLOOKUP(D2043,'General Basis'!$J$39:$K$46,2,0))</f>
        <v/>
      </c>
      <c r="BF2043" s="744" t="str">
        <f>IF(D2043="","",VLOOKUP(D2043,'General Basis'!$J$39:$L$46,3,0))</f>
        <v/>
      </c>
      <c r="BG2043" s="744" t="str">
        <f t="shared" si="715"/>
        <v/>
      </c>
      <c r="BH2043" s="744" t="str">
        <f>IF(G2043="","",IF(BF2043="Abu Dhabi",IF(G2043&lt;18,'General Basis'!$C$39,IF(G2043&lt;41,'General Basis'!$C$40,IF(G2043&lt;60,'General Basis'!$C$41,IF(G2043&lt;65,'General Basis'!$C$42,'General Basis'!$C$43)))),IF(G2043&lt;11,'General Basis'!$B$39,IF(G2043&lt;18,'General Basis'!$B$40,IF(G2043&lt;26,'General Basis'!$B$41,IF(G2043&lt;31,'General Basis'!$B$42,IF(G2043&lt;36,'General Basis'!$B$43,IF(G2043&lt;41,'General Basis'!$B$44,IF(G2043&lt;46,'General Basis'!$B$45,IF(G2043&lt;51,'General Basis'!$B$46,IF(G2043&lt;56,'General Basis'!$B$47,IF(G2043&lt;60,'General Basis'!$B$48,IF(G2043&lt;65,'General Basis'!$B$49,'General Basis'!$B$50)))))))))))))</f>
        <v/>
      </c>
      <c r="BI2043" s="744" t="str">
        <f t="shared" si="709"/>
        <v/>
      </c>
      <c r="BJ2043" s="747" t="str">
        <f t="shared" si="716"/>
        <v/>
      </c>
      <c r="BK2043" s="498" t="str">
        <f t="shared" si="710"/>
        <v/>
      </c>
      <c r="BL2043" s="498" t="str">
        <f t="shared" si="711"/>
        <v/>
      </c>
    </row>
    <row r="2044" spans="1:64" x14ac:dyDescent="0.25">
      <c r="A2044" s="762">
        <f t="shared" si="712"/>
        <v>2039</v>
      </c>
      <c r="B2044" s="229"/>
      <c r="C2044" s="223"/>
      <c r="D2044" s="224"/>
      <c r="E2044" s="225"/>
      <c r="F2044" s="1036" t="str">
        <f t="shared" si="718"/>
        <v/>
      </c>
      <c r="G2044" s="1037" t="str">
        <f t="shared" si="713"/>
        <v/>
      </c>
      <c r="H2044" s="225"/>
      <c r="I2044" s="1013"/>
      <c r="J2044" s="1013"/>
      <c r="K2044" s="1028"/>
      <c r="L2044" s="1035" t="str">
        <f t="shared" si="717"/>
        <v/>
      </c>
      <c r="S2044" s="498"/>
      <c r="AJ2044" s="498"/>
      <c r="AM2044" s="498">
        <f t="shared" si="698"/>
        <v>0</v>
      </c>
      <c r="AN2044" s="498">
        <f t="shared" si="699"/>
        <v>0</v>
      </c>
      <c r="AO2044" s="498">
        <f t="shared" si="700"/>
        <v>0</v>
      </c>
      <c r="AP2044" s="498">
        <f t="shared" si="719"/>
        <v>0</v>
      </c>
      <c r="AQ2044" s="498">
        <f t="shared" si="714"/>
        <v>0</v>
      </c>
      <c r="AU2044" s="498">
        <f t="shared" si="701"/>
        <v>0</v>
      </c>
      <c r="AV2044" s="498">
        <f t="shared" si="702"/>
        <v>0</v>
      </c>
      <c r="AW2044" s="498">
        <f t="shared" si="703"/>
        <v>0</v>
      </c>
      <c r="AX2044" s="498">
        <f t="shared" si="704"/>
        <v>0</v>
      </c>
      <c r="AY2044" s="498">
        <f t="shared" si="705"/>
        <v>0</v>
      </c>
      <c r="BB2044" s="498" t="str">
        <f t="shared" si="706"/>
        <v/>
      </c>
      <c r="BC2044" s="743" t="str">
        <f t="shared" si="707"/>
        <v/>
      </c>
      <c r="BD2044" s="743" t="str">
        <f t="shared" si="708"/>
        <v/>
      </c>
      <c r="BE2044" s="743" t="str">
        <f>IF(D2044="","",VLOOKUP(D2044,'General Basis'!$J$39:$K$46,2,0))</f>
        <v/>
      </c>
      <c r="BF2044" s="744" t="str">
        <f>IF(D2044="","",VLOOKUP(D2044,'General Basis'!$J$39:$L$46,3,0))</f>
        <v/>
      </c>
      <c r="BG2044" s="744" t="str">
        <f t="shared" si="715"/>
        <v/>
      </c>
      <c r="BH2044" s="744" t="str">
        <f>IF(G2044="","",IF(BF2044="Abu Dhabi",IF(G2044&lt;18,'General Basis'!$C$39,IF(G2044&lt;41,'General Basis'!$C$40,IF(G2044&lt;60,'General Basis'!$C$41,IF(G2044&lt;65,'General Basis'!$C$42,'General Basis'!$C$43)))),IF(G2044&lt;11,'General Basis'!$B$39,IF(G2044&lt;18,'General Basis'!$B$40,IF(G2044&lt;26,'General Basis'!$B$41,IF(G2044&lt;31,'General Basis'!$B$42,IF(G2044&lt;36,'General Basis'!$B$43,IF(G2044&lt;41,'General Basis'!$B$44,IF(G2044&lt;46,'General Basis'!$B$45,IF(G2044&lt;51,'General Basis'!$B$46,IF(G2044&lt;56,'General Basis'!$B$47,IF(G2044&lt;60,'General Basis'!$B$48,IF(G2044&lt;65,'General Basis'!$B$49,'General Basis'!$B$50)))))))))))))</f>
        <v/>
      </c>
      <c r="BI2044" s="744" t="str">
        <f t="shared" si="709"/>
        <v/>
      </c>
      <c r="BJ2044" s="747" t="str">
        <f t="shared" si="716"/>
        <v/>
      </c>
      <c r="BK2044" s="498" t="str">
        <f t="shared" si="710"/>
        <v/>
      </c>
      <c r="BL2044" s="498" t="str">
        <f t="shared" si="711"/>
        <v/>
      </c>
    </row>
    <row r="2045" spans="1:64" x14ac:dyDescent="0.25">
      <c r="A2045" s="762">
        <f t="shared" si="712"/>
        <v>2040</v>
      </c>
      <c r="B2045" s="229"/>
      <c r="C2045" s="223"/>
      <c r="D2045" s="224"/>
      <c r="E2045" s="225"/>
      <c r="F2045" s="1036" t="str">
        <f t="shared" si="718"/>
        <v/>
      </c>
      <c r="G2045" s="1037" t="str">
        <f t="shared" si="713"/>
        <v/>
      </c>
      <c r="H2045" s="225"/>
      <c r="I2045" s="1013"/>
      <c r="J2045" s="1013"/>
      <c r="K2045" s="1028"/>
      <c r="L2045" s="1035" t="str">
        <f t="shared" si="717"/>
        <v/>
      </c>
      <c r="S2045" s="498"/>
      <c r="AJ2045" s="498"/>
      <c r="AM2045" s="498">
        <f t="shared" si="698"/>
        <v>0</v>
      </c>
      <c r="AN2045" s="498">
        <f t="shared" si="699"/>
        <v>0</v>
      </c>
      <c r="AO2045" s="498">
        <f t="shared" si="700"/>
        <v>0</v>
      </c>
      <c r="AP2045" s="498">
        <f t="shared" si="719"/>
        <v>0</v>
      </c>
      <c r="AQ2045" s="498">
        <f t="shared" si="714"/>
        <v>0</v>
      </c>
      <c r="AU2045" s="498">
        <f t="shared" si="701"/>
        <v>0</v>
      </c>
      <c r="AV2045" s="498">
        <f t="shared" si="702"/>
        <v>0</v>
      </c>
      <c r="AW2045" s="498">
        <f t="shared" si="703"/>
        <v>0</v>
      </c>
      <c r="AX2045" s="498">
        <f t="shared" si="704"/>
        <v>0</v>
      </c>
      <c r="AY2045" s="498">
        <f t="shared" si="705"/>
        <v>0</v>
      </c>
      <c r="BB2045" s="498" t="str">
        <f t="shared" si="706"/>
        <v/>
      </c>
      <c r="BC2045" s="743" t="str">
        <f t="shared" si="707"/>
        <v/>
      </c>
      <c r="BD2045" s="743" t="str">
        <f t="shared" si="708"/>
        <v/>
      </c>
      <c r="BE2045" s="743" t="str">
        <f>IF(D2045="","",VLOOKUP(D2045,'General Basis'!$J$39:$K$46,2,0))</f>
        <v/>
      </c>
      <c r="BF2045" s="744" t="str">
        <f>IF(D2045="","",VLOOKUP(D2045,'General Basis'!$J$39:$L$46,3,0))</f>
        <v/>
      </c>
      <c r="BG2045" s="744" t="str">
        <f t="shared" si="715"/>
        <v/>
      </c>
      <c r="BH2045" s="744" t="str">
        <f>IF(G2045="","",IF(BF2045="Abu Dhabi",IF(G2045&lt;18,'General Basis'!$C$39,IF(G2045&lt;41,'General Basis'!$C$40,IF(G2045&lt;60,'General Basis'!$C$41,IF(G2045&lt;65,'General Basis'!$C$42,'General Basis'!$C$43)))),IF(G2045&lt;11,'General Basis'!$B$39,IF(G2045&lt;18,'General Basis'!$B$40,IF(G2045&lt;26,'General Basis'!$B$41,IF(G2045&lt;31,'General Basis'!$B$42,IF(G2045&lt;36,'General Basis'!$B$43,IF(G2045&lt;41,'General Basis'!$B$44,IF(G2045&lt;46,'General Basis'!$B$45,IF(G2045&lt;51,'General Basis'!$B$46,IF(G2045&lt;56,'General Basis'!$B$47,IF(G2045&lt;60,'General Basis'!$B$48,IF(G2045&lt;65,'General Basis'!$B$49,'General Basis'!$B$50)))))))))))))</f>
        <v/>
      </c>
      <c r="BI2045" s="744" t="str">
        <f t="shared" si="709"/>
        <v/>
      </c>
      <c r="BJ2045" s="747" t="str">
        <f t="shared" si="716"/>
        <v/>
      </c>
      <c r="BK2045" s="498" t="str">
        <f t="shared" si="710"/>
        <v/>
      </c>
      <c r="BL2045" s="498" t="str">
        <f t="shared" si="711"/>
        <v/>
      </c>
    </row>
    <row r="2046" spans="1:64" x14ac:dyDescent="0.25">
      <c r="A2046" s="762">
        <f t="shared" si="712"/>
        <v>2041</v>
      </c>
      <c r="B2046" s="229"/>
      <c r="C2046" s="223"/>
      <c r="D2046" s="224"/>
      <c r="E2046" s="225"/>
      <c r="F2046" s="1036" t="str">
        <f t="shared" si="718"/>
        <v/>
      </c>
      <c r="G2046" s="1037" t="str">
        <f t="shared" si="713"/>
        <v/>
      </c>
      <c r="H2046" s="225"/>
      <c r="I2046" s="1013"/>
      <c r="J2046" s="1013"/>
      <c r="K2046" s="1028"/>
      <c r="L2046" s="1035" t="str">
        <f t="shared" si="717"/>
        <v/>
      </c>
      <c r="S2046" s="498"/>
      <c r="AJ2046" s="498"/>
      <c r="AM2046" s="498">
        <f t="shared" si="698"/>
        <v>0</v>
      </c>
      <c r="AN2046" s="498">
        <f t="shared" si="699"/>
        <v>0</v>
      </c>
      <c r="AO2046" s="498">
        <f t="shared" si="700"/>
        <v>0</v>
      </c>
      <c r="AP2046" s="498">
        <f t="shared" si="719"/>
        <v>0</v>
      </c>
      <c r="AQ2046" s="498">
        <f t="shared" si="714"/>
        <v>0</v>
      </c>
      <c r="AU2046" s="498">
        <f t="shared" si="701"/>
        <v>0</v>
      </c>
      <c r="AV2046" s="498">
        <f t="shared" si="702"/>
        <v>0</v>
      </c>
      <c r="AW2046" s="498">
        <f t="shared" si="703"/>
        <v>0</v>
      </c>
      <c r="AX2046" s="498">
        <f t="shared" si="704"/>
        <v>0</v>
      </c>
      <c r="AY2046" s="498">
        <f t="shared" si="705"/>
        <v>0</v>
      </c>
      <c r="BB2046" s="498" t="str">
        <f t="shared" si="706"/>
        <v/>
      </c>
      <c r="BC2046" s="743" t="str">
        <f t="shared" si="707"/>
        <v/>
      </c>
      <c r="BD2046" s="743" t="str">
        <f t="shared" si="708"/>
        <v/>
      </c>
      <c r="BE2046" s="743" t="str">
        <f>IF(D2046="","",VLOOKUP(D2046,'General Basis'!$J$39:$K$46,2,0))</f>
        <v/>
      </c>
      <c r="BF2046" s="744" t="str">
        <f>IF(D2046="","",VLOOKUP(D2046,'General Basis'!$J$39:$L$46,3,0))</f>
        <v/>
      </c>
      <c r="BG2046" s="744" t="str">
        <f t="shared" si="715"/>
        <v/>
      </c>
      <c r="BH2046" s="744" t="str">
        <f>IF(G2046="","",IF(BF2046="Abu Dhabi",IF(G2046&lt;18,'General Basis'!$C$39,IF(G2046&lt;41,'General Basis'!$C$40,IF(G2046&lt;60,'General Basis'!$C$41,IF(G2046&lt;65,'General Basis'!$C$42,'General Basis'!$C$43)))),IF(G2046&lt;11,'General Basis'!$B$39,IF(G2046&lt;18,'General Basis'!$B$40,IF(G2046&lt;26,'General Basis'!$B$41,IF(G2046&lt;31,'General Basis'!$B$42,IF(G2046&lt;36,'General Basis'!$B$43,IF(G2046&lt;41,'General Basis'!$B$44,IF(G2046&lt;46,'General Basis'!$B$45,IF(G2046&lt;51,'General Basis'!$B$46,IF(G2046&lt;56,'General Basis'!$B$47,IF(G2046&lt;60,'General Basis'!$B$48,IF(G2046&lt;65,'General Basis'!$B$49,'General Basis'!$B$50)))))))))))))</f>
        <v/>
      </c>
      <c r="BI2046" s="744" t="str">
        <f t="shared" si="709"/>
        <v/>
      </c>
      <c r="BJ2046" s="747" t="str">
        <f t="shared" si="716"/>
        <v/>
      </c>
      <c r="BK2046" s="498" t="str">
        <f t="shared" si="710"/>
        <v/>
      </c>
      <c r="BL2046" s="498" t="str">
        <f t="shared" si="711"/>
        <v/>
      </c>
    </row>
    <row r="2047" spans="1:64" x14ac:dyDescent="0.25">
      <c r="A2047" s="762">
        <f t="shared" si="712"/>
        <v>2042</v>
      </c>
      <c r="B2047" s="229"/>
      <c r="C2047" s="223"/>
      <c r="D2047" s="224"/>
      <c r="E2047" s="225"/>
      <c r="F2047" s="1036" t="str">
        <f t="shared" si="718"/>
        <v/>
      </c>
      <c r="G2047" s="1037" t="str">
        <f t="shared" si="713"/>
        <v/>
      </c>
      <c r="H2047" s="225"/>
      <c r="I2047" s="1013"/>
      <c r="J2047" s="1013"/>
      <c r="K2047" s="1028"/>
      <c r="L2047" s="1035" t="str">
        <f t="shared" si="717"/>
        <v/>
      </c>
      <c r="S2047" s="498"/>
      <c r="AJ2047" s="498"/>
      <c r="AM2047" s="498">
        <f t="shared" si="698"/>
        <v>0</v>
      </c>
      <c r="AN2047" s="498">
        <f t="shared" si="699"/>
        <v>0</v>
      </c>
      <c r="AO2047" s="498">
        <f t="shared" si="700"/>
        <v>0</v>
      </c>
      <c r="AP2047" s="498">
        <f t="shared" si="719"/>
        <v>0</v>
      </c>
      <c r="AQ2047" s="498">
        <f t="shared" si="714"/>
        <v>0</v>
      </c>
      <c r="AU2047" s="498">
        <f t="shared" si="701"/>
        <v>0</v>
      </c>
      <c r="AV2047" s="498">
        <f t="shared" si="702"/>
        <v>0</v>
      </c>
      <c r="AW2047" s="498">
        <f t="shared" si="703"/>
        <v>0</v>
      </c>
      <c r="AX2047" s="498">
        <f t="shared" si="704"/>
        <v>0</v>
      </c>
      <c r="AY2047" s="498">
        <f t="shared" si="705"/>
        <v>0</v>
      </c>
      <c r="BB2047" s="498" t="str">
        <f t="shared" si="706"/>
        <v/>
      </c>
      <c r="BC2047" s="743" t="str">
        <f t="shared" si="707"/>
        <v/>
      </c>
      <c r="BD2047" s="743" t="str">
        <f t="shared" si="708"/>
        <v/>
      </c>
      <c r="BE2047" s="743" t="str">
        <f>IF(D2047="","",VLOOKUP(D2047,'General Basis'!$J$39:$K$46,2,0))</f>
        <v/>
      </c>
      <c r="BF2047" s="744" t="str">
        <f>IF(D2047="","",VLOOKUP(D2047,'General Basis'!$J$39:$L$46,3,0))</f>
        <v/>
      </c>
      <c r="BG2047" s="744" t="str">
        <f t="shared" si="715"/>
        <v/>
      </c>
      <c r="BH2047" s="744" t="str">
        <f>IF(G2047="","",IF(BF2047="Abu Dhabi",IF(G2047&lt;18,'General Basis'!$C$39,IF(G2047&lt;41,'General Basis'!$C$40,IF(G2047&lt;60,'General Basis'!$C$41,IF(G2047&lt;65,'General Basis'!$C$42,'General Basis'!$C$43)))),IF(G2047&lt;11,'General Basis'!$B$39,IF(G2047&lt;18,'General Basis'!$B$40,IF(G2047&lt;26,'General Basis'!$B$41,IF(G2047&lt;31,'General Basis'!$B$42,IF(G2047&lt;36,'General Basis'!$B$43,IF(G2047&lt;41,'General Basis'!$B$44,IF(G2047&lt;46,'General Basis'!$B$45,IF(G2047&lt;51,'General Basis'!$B$46,IF(G2047&lt;56,'General Basis'!$B$47,IF(G2047&lt;60,'General Basis'!$B$48,IF(G2047&lt;65,'General Basis'!$B$49,'General Basis'!$B$50)))))))))))))</f>
        <v/>
      </c>
      <c r="BI2047" s="744" t="str">
        <f t="shared" si="709"/>
        <v/>
      </c>
      <c r="BJ2047" s="747" t="str">
        <f t="shared" si="716"/>
        <v/>
      </c>
      <c r="BK2047" s="498" t="str">
        <f t="shared" si="710"/>
        <v/>
      </c>
      <c r="BL2047" s="498" t="str">
        <f t="shared" si="711"/>
        <v/>
      </c>
    </row>
    <row r="2048" spans="1:64" x14ac:dyDescent="0.25">
      <c r="A2048" s="762">
        <f t="shared" si="712"/>
        <v>2043</v>
      </c>
      <c r="B2048" s="229"/>
      <c r="C2048" s="223"/>
      <c r="D2048" s="224"/>
      <c r="E2048" s="225"/>
      <c r="F2048" s="1036" t="str">
        <f t="shared" si="718"/>
        <v/>
      </c>
      <c r="G2048" s="1037" t="str">
        <f t="shared" si="713"/>
        <v/>
      </c>
      <c r="H2048" s="225"/>
      <c r="I2048" s="1013"/>
      <c r="J2048" s="1013"/>
      <c r="K2048" s="1028"/>
      <c r="L2048" s="1035" t="str">
        <f t="shared" si="717"/>
        <v/>
      </c>
      <c r="S2048" s="498"/>
      <c r="AJ2048" s="498"/>
      <c r="AM2048" s="498">
        <f t="shared" si="698"/>
        <v>0</v>
      </c>
      <c r="AN2048" s="498">
        <f t="shared" si="699"/>
        <v>0</v>
      </c>
      <c r="AO2048" s="498">
        <f t="shared" si="700"/>
        <v>0</v>
      </c>
      <c r="AP2048" s="498">
        <f t="shared" si="719"/>
        <v>0</v>
      </c>
      <c r="AQ2048" s="498">
        <f t="shared" si="714"/>
        <v>0</v>
      </c>
      <c r="AU2048" s="498">
        <f t="shared" si="701"/>
        <v>0</v>
      </c>
      <c r="AV2048" s="498">
        <f t="shared" si="702"/>
        <v>0</v>
      </c>
      <c r="AW2048" s="498">
        <f t="shared" si="703"/>
        <v>0</v>
      </c>
      <c r="AX2048" s="498">
        <f t="shared" si="704"/>
        <v>0</v>
      </c>
      <c r="AY2048" s="498">
        <f t="shared" si="705"/>
        <v>0</v>
      </c>
      <c r="BB2048" s="498" t="str">
        <f t="shared" si="706"/>
        <v/>
      </c>
      <c r="BC2048" s="743" t="str">
        <f t="shared" si="707"/>
        <v/>
      </c>
      <c r="BD2048" s="743" t="str">
        <f t="shared" si="708"/>
        <v/>
      </c>
      <c r="BE2048" s="743" t="str">
        <f>IF(D2048="","",VLOOKUP(D2048,'General Basis'!$J$39:$K$46,2,0))</f>
        <v/>
      </c>
      <c r="BF2048" s="744" t="str">
        <f>IF(D2048="","",VLOOKUP(D2048,'General Basis'!$J$39:$L$46,3,0))</f>
        <v/>
      </c>
      <c r="BG2048" s="744" t="str">
        <f t="shared" si="715"/>
        <v/>
      </c>
      <c r="BH2048" s="744" t="str">
        <f>IF(G2048="","",IF(BF2048="Abu Dhabi",IF(G2048&lt;18,'General Basis'!$C$39,IF(G2048&lt;41,'General Basis'!$C$40,IF(G2048&lt;60,'General Basis'!$C$41,IF(G2048&lt;65,'General Basis'!$C$42,'General Basis'!$C$43)))),IF(G2048&lt;11,'General Basis'!$B$39,IF(G2048&lt;18,'General Basis'!$B$40,IF(G2048&lt;26,'General Basis'!$B$41,IF(G2048&lt;31,'General Basis'!$B$42,IF(G2048&lt;36,'General Basis'!$B$43,IF(G2048&lt;41,'General Basis'!$B$44,IF(G2048&lt;46,'General Basis'!$B$45,IF(G2048&lt;51,'General Basis'!$B$46,IF(G2048&lt;56,'General Basis'!$B$47,IF(G2048&lt;60,'General Basis'!$B$48,IF(G2048&lt;65,'General Basis'!$B$49,'General Basis'!$B$50)))))))))))))</f>
        <v/>
      </c>
      <c r="BI2048" s="744" t="str">
        <f t="shared" si="709"/>
        <v/>
      </c>
      <c r="BJ2048" s="747" t="str">
        <f t="shared" si="716"/>
        <v/>
      </c>
      <c r="BK2048" s="498" t="str">
        <f t="shared" si="710"/>
        <v/>
      </c>
      <c r="BL2048" s="498" t="str">
        <f t="shared" si="711"/>
        <v/>
      </c>
    </row>
    <row r="2049" spans="1:64" x14ac:dyDescent="0.25">
      <c r="A2049" s="762">
        <f t="shared" si="712"/>
        <v>2044</v>
      </c>
      <c r="B2049" s="229"/>
      <c r="C2049" s="223"/>
      <c r="D2049" s="224"/>
      <c r="E2049" s="225"/>
      <c r="F2049" s="1036" t="str">
        <f t="shared" si="718"/>
        <v/>
      </c>
      <c r="G2049" s="1037" t="str">
        <f t="shared" si="713"/>
        <v/>
      </c>
      <c r="H2049" s="225"/>
      <c r="I2049" s="1013"/>
      <c r="J2049" s="1013"/>
      <c r="K2049" s="1028"/>
      <c r="L2049" s="1035" t="str">
        <f t="shared" si="717"/>
        <v/>
      </c>
      <c r="S2049" s="498"/>
      <c r="AJ2049" s="498"/>
      <c r="AM2049" s="498">
        <f t="shared" si="698"/>
        <v>0</v>
      </c>
      <c r="AN2049" s="498">
        <f t="shared" si="699"/>
        <v>0</v>
      </c>
      <c r="AO2049" s="498">
        <f t="shared" si="700"/>
        <v>0</v>
      </c>
      <c r="AP2049" s="498">
        <f t="shared" si="719"/>
        <v>0</v>
      </c>
      <c r="AQ2049" s="498">
        <f t="shared" si="714"/>
        <v>0</v>
      </c>
      <c r="AU2049" s="498">
        <f t="shared" si="701"/>
        <v>0</v>
      </c>
      <c r="AV2049" s="498">
        <f t="shared" si="702"/>
        <v>0</v>
      </c>
      <c r="AW2049" s="498">
        <f t="shared" si="703"/>
        <v>0</v>
      </c>
      <c r="AX2049" s="498">
        <f t="shared" si="704"/>
        <v>0</v>
      </c>
      <c r="AY2049" s="498">
        <f t="shared" si="705"/>
        <v>0</v>
      </c>
      <c r="BB2049" s="498" t="str">
        <f t="shared" si="706"/>
        <v/>
      </c>
      <c r="BC2049" s="743" t="str">
        <f t="shared" si="707"/>
        <v/>
      </c>
      <c r="BD2049" s="743" t="str">
        <f t="shared" si="708"/>
        <v/>
      </c>
      <c r="BE2049" s="743" t="str">
        <f>IF(D2049="","",VLOOKUP(D2049,'General Basis'!$J$39:$K$46,2,0))</f>
        <v/>
      </c>
      <c r="BF2049" s="744" t="str">
        <f>IF(D2049="","",VLOOKUP(D2049,'General Basis'!$J$39:$L$46,3,0))</f>
        <v/>
      </c>
      <c r="BG2049" s="744" t="str">
        <f t="shared" si="715"/>
        <v/>
      </c>
      <c r="BH2049" s="744" t="str">
        <f>IF(G2049="","",IF(BF2049="Abu Dhabi",IF(G2049&lt;18,'General Basis'!$C$39,IF(G2049&lt;41,'General Basis'!$C$40,IF(G2049&lt;60,'General Basis'!$C$41,IF(G2049&lt;65,'General Basis'!$C$42,'General Basis'!$C$43)))),IF(G2049&lt;11,'General Basis'!$B$39,IF(G2049&lt;18,'General Basis'!$B$40,IF(G2049&lt;26,'General Basis'!$B$41,IF(G2049&lt;31,'General Basis'!$B$42,IF(G2049&lt;36,'General Basis'!$B$43,IF(G2049&lt;41,'General Basis'!$B$44,IF(G2049&lt;46,'General Basis'!$B$45,IF(G2049&lt;51,'General Basis'!$B$46,IF(G2049&lt;56,'General Basis'!$B$47,IF(G2049&lt;60,'General Basis'!$B$48,IF(G2049&lt;65,'General Basis'!$B$49,'General Basis'!$B$50)))))))))))))</f>
        <v/>
      </c>
      <c r="BI2049" s="744" t="str">
        <f t="shared" si="709"/>
        <v/>
      </c>
      <c r="BJ2049" s="747" t="str">
        <f t="shared" si="716"/>
        <v/>
      </c>
      <c r="BK2049" s="498" t="str">
        <f t="shared" si="710"/>
        <v/>
      </c>
      <c r="BL2049" s="498" t="str">
        <f t="shared" si="711"/>
        <v/>
      </c>
    </row>
    <row r="2050" spans="1:64" x14ac:dyDescent="0.25">
      <c r="A2050" s="762">
        <f t="shared" si="712"/>
        <v>2045</v>
      </c>
      <c r="B2050" s="229"/>
      <c r="C2050" s="223"/>
      <c r="D2050" s="224"/>
      <c r="E2050" s="225"/>
      <c r="F2050" s="1036" t="str">
        <f t="shared" si="718"/>
        <v/>
      </c>
      <c r="G2050" s="1037" t="str">
        <f t="shared" si="713"/>
        <v/>
      </c>
      <c r="H2050" s="225"/>
      <c r="I2050" s="1013"/>
      <c r="J2050" s="1013"/>
      <c r="K2050" s="1028"/>
      <c r="L2050" s="1035" t="str">
        <f t="shared" si="717"/>
        <v/>
      </c>
      <c r="S2050" s="498"/>
      <c r="AJ2050" s="498"/>
      <c r="AM2050" s="498">
        <f t="shared" si="698"/>
        <v>0</v>
      </c>
      <c r="AN2050" s="498">
        <f t="shared" si="699"/>
        <v>0</v>
      </c>
      <c r="AO2050" s="498">
        <f t="shared" si="700"/>
        <v>0</v>
      </c>
      <c r="AP2050" s="498">
        <f t="shared" si="719"/>
        <v>0</v>
      </c>
      <c r="AQ2050" s="498">
        <f t="shared" si="714"/>
        <v>0</v>
      </c>
      <c r="AU2050" s="498">
        <f t="shared" si="701"/>
        <v>0</v>
      </c>
      <c r="AV2050" s="498">
        <f t="shared" si="702"/>
        <v>0</v>
      </c>
      <c r="AW2050" s="498">
        <f t="shared" si="703"/>
        <v>0</v>
      </c>
      <c r="AX2050" s="498">
        <f t="shared" si="704"/>
        <v>0</v>
      </c>
      <c r="AY2050" s="498">
        <f t="shared" si="705"/>
        <v>0</v>
      </c>
      <c r="BB2050" s="498" t="str">
        <f t="shared" si="706"/>
        <v/>
      </c>
      <c r="BC2050" s="743" t="str">
        <f t="shared" si="707"/>
        <v/>
      </c>
      <c r="BD2050" s="743" t="str">
        <f t="shared" si="708"/>
        <v/>
      </c>
      <c r="BE2050" s="743" t="str">
        <f>IF(D2050="","",VLOOKUP(D2050,'General Basis'!$J$39:$K$46,2,0))</f>
        <v/>
      </c>
      <c r="BF2050" s="744" t="str">
        <f>IF(D2050="","",VLOOKUP(D2050,'General Basis'!$J$39:$L$46,3,0))</f>
        <v/>
      </c>
      <c r="BG2050" s="744" t="str">
        <f t="shared" si="715"/>
        <v/>
      </c>
      <c r="BH2050" s="744" t="str">
        <f>IF(G2050="","",IF(BF2050="Abu Dhabi",IF(G2050&lt;18,'General Basis'!$C$39,IF(G2050&lt;41,'General Basis'!$C$40,IF(G2050&lt;60,'General Basis'!$C$41,IF(G2050&lt;65,'General Basis'!$C$42,'General Basis'!$C$43)))),IF(G2050&lt;11,'General Basis'!$B$39,IF(G2050&lt;18,'General Basis'!$B$40,IF(G2050&lt;26,'General Basis'!$B$41,IF(G2050&lt;31,'General Basis'!$B$42,IF(G2050&lt;36,'General Basis'!$B$43,IF(G2050&lt;41,'General Basis'!$B$44,IF(G2050&lt;46,'General Basis'!$B$45,IF(G2050&lt;51,'General Basis'!$B$46,IF(G2050&lt;56,'General Basis'!$B$47,IF(G2050&lt;60,'General Basis'!$B$48,IF(G2050&lt;65,'General Basis'!$B$49,'General Basis'!$B$50)))))))))))))</f>
        <v/>
      </c>
      <c r="BI2050" s="744" t="str">
        <f t="shared" si="709"/>
        <v/>
      </c>
      <c r="BJ2050" s="747" t="str">
        <f t="shared" si="716"/>
        <v/>
      </c>
      <c r="BK2050" s="498" t="str">
        <f t="shared" si="710"/>
        <v/>
      </c>
      <c r="BL2050" s="498" t="str">
        <f t="shared" si="711"/>
        <v/>
      </c>
    </row>
    <row r="2051" spans="1:64" x14ac:dyDescent="0.25">
      <c r="A2051" s="762">
        <f t="shared" si="712"/>
        <v>2046</v>
      </c>
      <c r="B2051" s="229"/>
      <c r="C2051" s="223"/>
      <c r="D2051" s="224"/>
      <c r="E2051" s="225"/>
      <c r="F2051" s="1036" t="str">
        <f t="shared" si="718"/>
        <v/>
      </c>
      <c r="G2051" s="1037" t="str">
        <f t="shared" si="713"/>
        <v/>
      </c>
      <c r="H2051" s="225"/>
      <c r="I2051" s="1013"/>
      <c r="J2051" s="1013"/>
      <c r="K2051" s="1028"/>
      <c r="L2051" s="1035" t="str">
        <f t="shared" si="717"/>
        <v/>
      </c>
      <c r="S2051" s="498"/>
      <c r="AJ2051" s="498"/>
      <c r="AM2051" s="498">
        <f t="shared" si="698"/>
        <v>0</v>
      </c>
      <c r="AN2051" s="498">
        <f t="shared" si="699"/>
        <v>0</v>
      </c>
      <c r="AO2051" s="498">
        <f t="shared" si="700"/>
        <v>0</v>
      </c>
      <c r="AP2051" s="498">
        <f t="shared" si="719"/>
        <v>0</v>
      </c>
      <c r="AQ2051" s="498">
        <f t="shared" si="714"/>
        <v>0</v>
      </c>
      <c r="AU2051" s="498">
        <f t="shared" si="701"/>
        <v>0</v>
      </c>
      <c r="AV2051" s="498">
        <f t="shared" si="702"/>
        <v>0</v>
      </c>
      <c r="AW2051" s="498">
        <f t="shared" si="703"/>
        <v>0</v>
      </c>
      <c r="AX2051" s="498">
        <f t="shared" si="704"/>
        <v>0</v>
      </c>
      <c r="AY2051" s="498">
        <f t="shared" si="705"/>
        <v>0</v>
      </c>
      <c r="BB2051" s="498" t="str">
        <f t="shared" si="706"/>
        <v/>
      </c>
      <c r="BC2051" s="743" t="str">
        <f t="shared" si="707"/>
        <v/>
      </c>
      <c r="BD2051" s="743" t="str">
        <f t="shared" si="708"/>
        <v/>
      </c>
      <c r="BE2051" s="743" t="str">
        <f>IF(D2051="","",VLOOKUP(D2051,'General Basis'!$J$39:$K$46,2,0))</f>
        <v/>
      </c>
      <c r="BF2051" s="744" t="str">
        <f>IF(D2051="","",VLOOKUP(D2051,'General Basis'!$J$39:$L$46,3,0))</f>
        <v/>
      </c>
      <c r="BG2051" s="744" t="str">
        <f t="shared" si="715"/>
        <v/>
      </c>
      <c r="BH2051" s="744" t="str">
        <f>IF(G2051="","",IF(BF2051="Abu Dhabi",IF(G2051&lt;18,'General Basis'!$C$39,IF(G2051&lt;41,'General Basis'!$C$40,IF(G2051&lt;60,'General Basis'!$C$41,IF(G2051&lt;65,'General Basis'!$C$42,'General Basis'!$C$43)))),IF(G2051&lt;11,'General Basis'!$B$39,IF(G2051&lt;18,'General Basis'!$B$40,IF(G2051&lt;26,'General Basis'!$B$41,IF(G2051&lt;31,'General Basis'!$B$42,IF(G2051&lt;36,'General Basis'!$B$43,IF(G2051&lt;41,'General Basis'!$B$44,IF(G2051&lt;46,'General Basis'!$B$45,IF(G2051&lt;51,'General Basis'!$B$46,IF(G2051&lt;56,'General Basis'!$B$47,IF(G2051&lt;60,'General Basis'!$B$48,IF(G2051&lt;65,'General Basis'!$B$49,'General Basis'!$B$50)))))))))))))</f>
        <v/>
      </c>
      <c r="BI2051" s="744" t="str">
        <f t="shared" si="709"/>
        <v/>
      </c>
      <c r="BJ2051" s="747" t="str">
        <f t="shared" si="716"/>
        <v/>
      </c>
      <c r="BK2051" s="498" t="str">
        <f t="shared" si="710"/>
        <v/>
      </c>
      <c r="BL2051" s="498" t="str">
        <f t="shared" si="711"/>
        <v/>
      </c>
    </row>
    <row r="2052" spans="1:64" x14ac:dyDescent="0.25">
      <c r="A2052" s="762">
        <f t="shared" si="712"/>
        <v>2047</v>
      </c>
      <c r="B2052" s="229"/>
      <c r="C2052" s="223"/>
      <c r="D2052" s="224"/>
      <c r="E2052" s="225"/>
      <c r="F2052" s="1036" t="str">
        <f t="shared" si="718"/>
        <v/>
      </c>
      <c r="G2052" s="1037" t="str">
        <f t="shared" si="713"/>
        <v/>
      </c>
      <c r="H2052" s="225"/>
      <c r="I2052" s="1013"/>
      <c r="J2052" s="1013"/>
      <c r="K2052" s="1028"/>
      <c r="L2052" s="1035" t="str">
        <f t="shared" si="717"/>
        <v/>
      </c>
      <c r="S2052" s="498"/>
      <c r="AJ2052" s="498"/>
      <c r="AM2052" s="498">
        <f t="shared" si="698"/>
        <v>0</v>
      </c>
      <c r="AN2052" s="498">
        <f t="shared" si="699"/>
        <v>0</v>
      </c>
      <c r="AO2052" s="498">
        <f t="shared" si="700"/>
        <v>0</v>
      </c>
      <c r="AP2052" s="498">
        <f t="shared" si="719"/>
        <v>0</v>
      </c>
      <c r="AQ2052" s="498">
        <f t="shared" si="714"/>
        <v>0</v>
      </c>
      <c r="AU2052" s="498">
        <f t="shared" si="701"/>
        <v>0</v>
      </c>
      <c r="AV2052" s="498">
        <f t="shared" si="702"/>
        <v>0</v>
      </c>
      <c r="AW2052" s="498">
        <f t="shared" si="703"/>
        <v>0</v>
      </c>
      <c r="AX2052" s="498">
        <f t="shared" si="704"/>
        <v>0</v>
      </c>
      <c r="AY2052" s="498">
        <f t="shared" si="705"/>
        <v>0</v>
      </c>
      <c r="BB2052" s="498" t="str">
        <f t="shared" si="706"/>
        <v/>
      </c>
      <c r="BC2052" s="743" t="str">
        <f t="shared" si="707"/>
        <v/>
      </c>
      <c r="BD2052" s="743" t="str">
        <f t="shared" si="708"/>
        <v/>
      </c>
      <c r="BE2052" s="743" t="str">
        <f>IF(D2052="","",VLOOKUP(D2052,'General Basis'!$J$39:$K$46,2,0))</f>
        <v/>
      </c>
      <c r="BF2052" s="744" t="str">
        <f>IF(D2052="","",VLOOKUP(D2052,'General Basis'!$J$39:$L$46,3,0))</f>
        <v/>
      </c>
      <c r="BG2052" s="744" t="str">
        <f t="shared" si="715"/>
        <v/>
      </c>
      <c r="BH2052" s="744" t="str">
        <f>IF(G2052="","",IF(BF2052="Abu Dhabi",IF(G2052&lt;18,'General Basis'!$C$39,IF(G2052&lt;41,'General Basis'!$C$40,IF(G2052&lt;60,'General Basis'!$C$41,IF(G2052&lt;65,'General Basis'!$C$42,'General Basis'!$C$43)))),IF(G2052&lt;11,'General Basis'!$B$39,IF(G2052&lt;18,'General Basis'!$B$40,IF(G2052&lt;26,'General Basis'!$B$41,IF(G2052&lt;31,'General Basis'!$B$42,IF(G2052&lt;36,'General Basis'!$B$43,IF(G2052&lt;41,'General Basis'!$B$44,IF(G2052&lt;46,'General Basis'!$B$45,IF(G2052&lt;51,'General Basis'!$B$46,IF(G2052&lt;56,'General Basis'!$B$47,IF(G2052&lt;60,'General Basis'!$B$48,IF(G2052&lt;65,'General Basis'!$B$49,'General Basis'!$B$50)))))))))))))</f>
        <v/>
      </c>
      <c r="BI2052" s="744" t="str">
        <f t="shared" si="709"/>
        <v/>
      </c>
      <c r="BJ2052" s="747" t="str">
        <f t="shared" si="716"/>
        <v/>
      </c>
      <c r="BK2052" s="498" t="str">
        <f t="shared" si="710"/>
        <v/>
      </c>
      <c r="BL2052" s="498" t="str">
        <f t="shared" si="711"/>
        <v/>
      </c>
    </row>
    <row r="2053" spans="1:64" x14ac:dyDescent="0.25">
      <c r="A2053" s="762">
        <f t="shared" si="712"/>
        <v>2048</v>
      </c>
      <c r="B2053" s="229"/>
      <c r="C2053" s="223"/>
      <c r="D2053" s="224"/>
      <c r="E2053" s="225"/>
      <c r="F2053" s="1036" t="str">
        <f t="shared" si="718"/>
        <v/>
      </c>
      <c r="G2053" s="1037" t="str">
        <f t="shared" si="713"/>
        <v/>
      </c>
      <c r="H2053" s="225"/>
      <c r="I2053" s="1013"/>
      <c r="J2053" s="1013"/>
      <c r="K2053" s="1028"/>
      <c r="L2053" s="1035" t="str">
        <f t="shared" si="717"/>
        <v/>
      </c>
      <c r="S2053" s="498"/>
      <c r="AJ2053" s="498"/>
      <c r="AM2053" s="498">
        <f t="shared" si="698"/>
        <v>0</v>
      </c>
      <c r="AN2053" s="498">
        <f t="shared" si="699"/>
        <v>0</v>
      </c>
      <c r="AO2053" s="498">
        <f t="shared" si="700"/>
        <v>0</v>
      </c>
      <c r="AP2053" s="498">
        <f t="shared" si="719"/>
        <v>0</v>
      </c>
      <c r="AQ2053" s="498">
        <f t="shared" si="714"/>
        <v>0</v>
      </c>
      <c r="AU2053" s="498">
        <f t="shared" si="701"/>
        <v>0</v>
      </c>
      <c r="AV2053" s="498">
        <f t="shared" si="702"/>
        <v>0</v>
      </c>
      <c r="AW2053" s="498">
        <f t="shared" si="703"/>
        <v>0</v>
      </c>
      <c r="AX2053" s="498">
        <f t="shared" si="704"/>
        <v>0</v>
      </c>
      <c r="AY2053" s="498">
        <f t="shared" si="705"/>
        <v>0</v>
      </c>
      <c r="BB2053" s="498" t="str">
        <f t="shared" si="706"/>
        <v/>
      </c>
      <c r="BC2053" s="743" t="str">
        <f t="shared" si="707"/>
        <v/>
      </c>
      <c r="BD2053" s="743" t="str">
        <f t="shared" si="708"/>
        <v/>
      </c>
      <c r="BE2053" s="743" t="str">
        <f>IF(D2053="","",VLOOKUP(D2053,'General Basis'!$J$39:$K$46,2,0))</f>
        <v/>
      </c>
      <c r="BF2053" s="744" t="str">
        <f>IF(D2053="","",VLOOKUP(D2053,'General Basis'!$J$39:$L$46,3,0))</f>
        <v/>
      </c>
      <c r="BG2053" s="744" t="str">
        <f t="shared" si="715"/>
        <v/>
      </c>
      <c r="BH2053" s="744" t="str">
        <f>IF(G2053="","",IF(BF2053="Abu Dhabi",IF(G2053&lt;18,'General Basis'!$C$39,IF(G2053&lt;41,'General Basis'!$C$40,IF(G2053&lt;60,'General Basis'!$C$41,IF(G2053&lt;65,'General Basis'!$C$42,'General Basis'!$C$43)))),IF(G2053&lt;11,'General Basis'!$B$39,IF(G2053&lt;18,'General Basis'!$B$40,IF(G2053&lt;26,'General Basis'!$B$41,IF(G2053&lt;31,'General Basis'!$B$42,IF(G2053&lt;36,'General Basis'!$B$43,IF(G2053&lt;41,'General Basis'!$B$44,IF(G2053&lt;46,'General Basis'!$B$45,IF(G2053&lt;51,'General Basis'!$B$46,IF(G2053&lt;56,'General Basis'!$B$47,IF(G2053&lt;60,'General Basis'!$B$48,IF(G2053&lt;65,'General Basis'!$B$49,'General Basis'!$B$50)))))))))))))</f>
        <v/>
      </c>
      <c r="BI2053" s="744" t="str">
        <f t="shared" si="709"/>
        <v/>
      </c>
      <c r="BJ2053" s="747" t="str">
        <f t="shared" si="716"/>
        <v/>
      </c>
      <c r="BK2053" s="498" t="str">
        <f t="shared" si="710"/>
        <v/>
      </c>
      <c r="BL2053" s="498" t="str">
        <f t="shared" si="711"/>
        <v/>
      </c>
    </row>
    <row r="2054" spans="1:64" x14ac:dyDescent="0.25">
      <c r="A2054" s="762">
        <f t="shared" si="712"/>
        <v>2049</v>
      </c>
      <c r="B2054" s="229"/>
      <c r="C2054" s="223"/>
      <c r="D2054" s="224"/>
      <c r="E2054" s="225"/>
      <c r="F2054" s="1036" t="str">
        <f t="shared" si="718"/>
        <v/>
      </c>
      <c r="G2054" s="1037" t="str">
        <f t="shared" si="713"/>
        <v/>
      </c>
      <c r="H2054" s="225"/>
      <c r="I2054" s="1013"/>
      <c r="J2054" s="1013"/>
      <c r="K2054" s="1028"/>
      <c r="L2054" s="1035" t="str">
        <f t="shared" si="717"/>
        <v/>
      </c>
      <c r="S2054" s="498"/>
      <c r="AJ2054" s="498"/>
      <c r="AM2054" s="498">
        <f t="shared" ref="AM2054:AM2117" si="720">IF(ISTEXT(B2054),1,0)</f>
        <v>0</v>
      </c>
      <c r="AN2054" s="498">
        <f t="shared" ref="AN2054:AN2117" si="721">IF(ISBLANK(B2054),0,IF(B2054&lt;$AK$6,1,0))</f>
        <v>0</v>
      </c>
      <c r="AO2054" s="498">
        <f t="shared" ref="AO2054:AO2117" si="722">IF(ISBLANK(B2054),0,IF(B2054&gt;$AK$7,1,0))</f>
        <v>0</v>
      </c>
      <c r="AP2054" s="498">
        <f t="shared" si="719"/>
        <v>0</v>
      </c>
      <c r="AQ2054" s="498">
        <f t="shared" si="714"/>
        <v>0</v>
      </c>
      <c r="AU2054" s="498">
        <f t="shared" ref="AU2054:AU2117" si="723">IF(ISBLANK(B2054),0,1)</f>
        <v>0</v>
      </c>
      <c r="AV2054" s="498">
        <f t="shared" ref="AV2054:AV2117" si="724">IF(ISBLANK(C2054),0,1)</f>
        <v>0</v>
      </c>
      <c r="AW2054" s="498">
        <f t="shared" ref="AW2054:AW2117" si="725">IF(ISBLANK(D2054),0,1)</f>
        <v>0</v>
      </c>
      <c r="AX2054" s="498">
        <f t="shared" ref="AX2054:AX2117" si="726">IF(ISBLANK(E2054),0,1)</f>
        <v>0</v>
      </c>
      <c r="AY2054" s="498">
        <f t="shared" ref="AY2054:AY2117" si="727">IF(ISBLANK(H2054),0,1)</f>
        <v>0</v>
      </c>
      <c r="BB2054" s="498" t="str">
        <f t="shared" ref="BB2054:BB2117" si="728">IF(E2054="Principal","Principal",IF(E2054="","","Other"))</f>
        <v/>
      </c>
      <c r="BC2054" s="743" t="str">
        <f t="shared" ref="BC2054:BC2117" si="729">IF(D2054="","",D2054)</f>
        <v/>
      </c>
      <c r="BD2054" s="743" t="str">
        <f t="shared" ref="BD2054:BD2117" si="730">IF(E2054="Principal","Employee",IF(E2054="","","Dependent"))</f>
        <v/>
      </c>
      <c r="BE2054" s="743" t="str">
        <f>IF(D2054="","",VLOOKUP(D2054,'General Basis'!$J$39:$K$46,2,0))</f>
        <v/>
      </c>
      <c r="BF2054" s="744" t="str">
        <f>IF(D2054="","",VLOOKUP(D2054,'General Basis'!$J$39:$L$46,3,0))</f>
        <v/>
      </c>
      <c r="BG2054" s="744" t="str">
        <f t="shared" si="715"/>
        <v/>
      </c>
      <c r="BH2054" s="744" t="str">
        <f>IF(G2054="","",IF(BF2054="Abu Dhabi",IF(G2054&lt;18,'General Basis'!$C$39,IF(G2054&lt;41,'General Basis'!$C$40,IF(G2054&lt;60,'General Basis'!$C$41,IF(G2054&lt;65,'General Basis'!$C$42,'General Basis'!$C$43)))),IF(G2054&lt;11,'General Basis'!$B$39,IF(G2054&lt;18,'General Basis'!$B$40,IF(G2054&lt;26,'General Basis'!$B$41,IF(G2054&lt;31,'General Basis'!$B$42,IF(G2054&lt;36,'General Basis'!$B$43,IF(G2054&lt;41,'General Basis'!$B$44,IF(G2054&lt;46,'General Basis'!$B$45,IF(G2054&lt;51,'General Basis'!$B$46,IF(G2054&lt;56,'General Basis'!$B$47,IF(G2054&lt;60,'General Basis'!$B$48,IF(G2054&lt;65,'General Basis'!$B$49,'General Basis'!$B$50)))))))))))))</f>
        <v/>
      </c>
      <c r="BI2054" s="744" t="str">
        <f t="shared" ref="BI2054:BI2117" si="731">IF(C2054="","",IF(C2054="M","Male","Female"))</f>
        <v/>
      </c>
      <c r="BJ2054" s="747" t="str">
        <f t="shared" si="716"/>
        <v/>
      </c>
      <c r="BK2054" s="498" t="str">
        <f t="shared" ref="BK2054:BK2117" si="732">IF(BD2054="","",IF(AND(BD2054="Employee",BI2054="Male",BF2054="Abu Dhabi",BE2054=GN_Plus),VLOOKUP(BH2054,AUH_MALE_EMP,2,0),IF(AND(BD2054="Employee",BI2054="Male",BF2054="Abu Dhabi",BE2054=GN),VLOOKUP(BH2054,AUH_MALE_EMP,3,0),IF(AND(BD2054="Employee",BI2054="Male",BF2054="Abu Dhabi",BE2054=RN_Plus),VLOOKUP(BH2054,AUH_MALE_EMP,4,0),IF(AND(BD2054="Employee",BI2054="Male",BF2054="Abu Dhabi",BE2054=RN),VLOOKUP(BH2054,AUH_MALE_EMP,5,0),IF(AND(BD2054="Employee",BI2054="Male",BF2054="Abu Dhabi",BE2054=RN_2),VLOOKUP(BH2054,AUH_MALE_EMP,6,0),IF(AND(BD2054="Employee",BI2054="Male",BF2054="Abu Dhabi",BE2054=RN2_minus),VLOOKUP(BH2054,AUH_MALE_EMP,7,0),IF(AND(BD2054="Employee",BI2054="Male",BF2054="Abu Dhabi",BE2054=RN_3),VLOOKUP(BH2054,AUH_MALE_EMP,8,0),IF(AND(BD2054="Employee",BI2054="Male",BF2054="Abu Dhabi",BE2054=VN),VLOOKUP(BH2054,AUH_MALE_EMP,9,0),IF(BD2054="","",IF(AND(BD2054="Employee",BI2054="Female",BF2054="Abu Dhabi",BE2054=GN_Plus),VLOOKUP(BH2054,AUH_FEMALE_EMP,2,0),IF(AND(BD2054="Employee",BI2054="Female",BF2054="Abu Dhabi",BE2054=GN),VLOOKUP(BH2054,AUH_FEMALE_EMP,3,0),IF(AND(BD2054="Employee",BI2054="Female",BF2054="Abu Dhabi",BE2054=RN_Plus),VLOOKUP(BH2054,AUH_FEMALE_EMP,4,0),IF(AND(BD2054="Employee",BI2054="Female",BF2054="Abu Dhabi",BE2054=RN),VLOOKUP(BH2054,AUH_FEMALE_EMP,5,0),IF(AND(BD2054="Employee",BI2054="Female",BF2054="Abu Dhabi",BE2054=RN_2),VLOOKUP(BH2054,AUH_FEMALE_EMP,6,0),IF(AND(BD2054="Employee",BI2054="Female",BF2054="Abu Dhabi",BE2054=RN2_minus),VLOOKUP(BH2054,AUH_FEMALE_EMP,7,0),IF(AND(BD2054="Employee",BI2054="Female",BF2054="Abu Dhabi",BE2054=RN_3),VLOOKUP(BH2054,AUH_FEMALE_EMP,8,0),IF(AND(BD2054="Employee",BI2054="Female",BF2054="Abu Dhabi",BE2054=VN),VLOOKUP(BH2054,AUH_FEMALE_EMP,9,0),IF(BD2054="","",IF(AND(BD2054="Dependent",BI2054="Male",BF2054="Abu Dhabi",BE2054=GN_Plus),VLOOKUP(BH2054,AUH_MALE_DEP,2,0),IF(AND(BD2054="Dependent",BI2054="Male",BF2054="Abu Dhabi",BE2054=GN),VLOOKUP(BH2054,AUH_MALE_DEP,3,0),IF(AND(BD2054="Dependent",BI2054="Male",BF2054="Abu Dhabi",BE2054=RN_Plus),VLOOKUP(BH2054,AUH_MALE_DEP,4,0),IF(AND(BD2054="Dependent",BI2054="Male",BF2054="Abu Dhabi",BE2054=RN),VLOOKUP(BH2054,AUH_MALE_DEP,5,0),IF(AND(BD2054="Dependent",BI2054="Male",BF2054="Abu Dhabi",BE2054=RN_2),VLOOKUP(BH2054,AUH_MALE_DEP,6,0),IF(AND(BD2054="Dependent",BI2054="Male",BF2054="Abu Dhabi",BE2054=RN2_minus),VLOOKUP(BH2054,AUH_MALE_DEP,7,0),IF(AND(BD2054="Dependent",BI2054="Male",BF2054="Abu Dhabi",BE2054=RN_3),VLOOKUP(BH2054,AUH_MALE_DEP,8,0),IF(AND(BD2054="Dependent",BI2054="Male",BF2054="Abu Dhabi",BE2054=VN),VLOOKUP(BH2054,AUH_MALE_DEP,9,0),IF(BD2054="","",IF(AND(BD2054="Dependent",BI2054="Female",BF2054="Abu Dhabi",BE2054=GN_Plus),VLOOKUP(BH2054,AUH_FEMALE_DEP,2,0),IF(AND(BD2054="Dependent",BI2054="Female",BF2054="Abu Dhabi",BE2054=GN),VLOOKUP(BH2054,AUH_FEMALE_DEP,3,0),IF(AND(BD2054="Dependent",BI2054="Female",BF2054="Abu Dhabi",BE2054=RN_Plus),VLOOKUP(BH2054,AUH_FEMALE_DEP,4,0),IF(AND(BD2054="Dependent",BI2054="Female",BF2054="Abu Dhabi",BE2054=RN),VLOOKUP(BH2054,AUH_FEMALE_DEP,5,0),IF(AND(BD2054="Dependent",BI2054="Female",BF2054="Abu Dhabi",BE2054=RN_2),VLOOKUP(BH2054,AUH_FEMALE_DEP,6,0),IF(AND(BD2054="Dependent",BI2054="Female",BF2054="Abu Dhabi",BE2054=RN2_minus),VLOOKUP(BH2054,AUH_FEMALE_DEP,7,0),IF(AND(BD2054="Dependent",BI2054="Female",BF2054="Abu Dhabi",BE2054=RN_3),VLOOKUP(BH2054,AUH_FEMALE_DEP,8,0),IF(AND(BD2054="Dependent",BI2054="Female",BF2054="Abu Dhabi",BE2054=VN),VLOOKUP(BH2054,AUH_FEMALE_DEP,9,0),"ABC"))))))))))))))))))))))))))))))))))))</f>
        <v/>
      </c>
      <c r="BL2054" s="498" t="str">
        <f t="shared" ref="BL2054:BL2117" si="733">IF(BD2054="","",IF(AND(BD2054="Employee",BI2054="Male",BF2054="Dubai",BE2054=GN_Plus),VLOOKUP(BH2054,DXB_MALE_EMP,2,0),IF(AND(BD2054="Employee",BI2054="Male",BF2054="Dubai",BE2054=GN),VLOOKUP(BH2054,DXB_MALE_EMP,3,0),IF(AND(BD2054="Employee",BI2054="Male",BF2054="Dubai",BE2054=RN_Plus),VLOOKUP(BH2054,DXB_MALE_EMP,4,0),IF(AND(BD2054="Employee",BI2054="Male",BF2054="Dubai",BE2054=RN),VLOOKUP(BH2054,DXB_MALE_EMP,5,0),IF(AND(BD2054="Employee",BI2054="Male",BF2054="Dubai",BE2054=RN_2),VLOOKUP(BH2054,DXB_MALE_EMP,6,0),IF(AND(BD2054="Employee",BI2054="Male",BF2054="Dubai",BE2054=RN2_minus),VLOOKUP(BH2054,DXB_MALE_EMP,7,0),IF(AND(BD2054="Employee",BI2054="Male",BF2054="Dubai",BE2054=RN_3),VLOOKUP(BH2054,DXB_MALE_EMP,8,0),IF(AND(BD2054="Employee",BI2054="Male",BF2054="Dubai",BE2054=VN),VLOOKUP(BH2054,DXB_MALE_EMP,9,0),IF(BD2054="","",IF(AND(BD2054="Employee",BI2054="Female",BF2054="Dubai",BE2054=GN_Plus),VLOOKUP(BH2054,DXB_FEMALE_EMP,2,0),IF(AND(BD2054="Employee",BI2054="Female",BF2054="Dubai",BE2054=GN),VLOOKUP(BH2054,DXB_FEMALE_EMP,3,0),IF(AND(BD2054="Employee",BI2054="Female",BF2054="Dubai",BE2054=RN_Plus),VLOOKUP(BH2054,DXB_FEMALE_EMP,4,0),IF(AND(BD2054="Employee",BI2054="Female",BF2054="Dubai",BE2054=RN),VLOOKUP(BH2054,DXB_FEMALE_EMP,5,0),IF(AND(BD2054="Employee",BI2054="Female",BF2054="Dubai",BE2054=RN_2),VLOOKUP(BH2054,DXB_FEMALE_EMP,6,0),IF(AND(BD2054="Employee",BI2054="Female",BF2054="Dubai",BE2054=RN2_minus),VLOOKUP(BH2054,DXB_FEMALE_EMP,7,0),IF(AND(BD2054="Employee",BI2054="Female",BF2054="Dubai",BE2054=RN_3),VLOOKUP(BH2054,DXB_FEMALE_EMP,8,0),IF(AND(BD2054="Employee",BI2054="Female",BF2054="Dubai",BE2054=VN),VLOOKUP(BH2054,DXB_FEMALE_EMP,9,0),IF(BD2054="","",IF(AND(BD2054="Dependent",BI2054="Male",BF2054="Dubai",BE2054=GN_Plus),VLOOKUP(BH2054,DXB_MALE_DEP,2,0),IF(AND(BD2054="Dependent",BI2054="Male",BF2054="Dubai",BE2054=GN),VLOOKUP(BH2054,DXB_MALE_DEP,3,0),IF(AND(BD2054="Dependent",BI2054="Male",BF2054="Dubai",BE2054=RN_Plus),VLOOKUP(BH2054,DXB_MALE_DEP,4,0),IF(AND(BD2054="Dependent",BI2054="Male",BF2054="Dubai",BE2054=RN),VLOOKUP(BH2054,DXB_MALE_DEP,5,0),IF(AND(BD2054="Dependent",BI2054="Male",BF2054="Dubai",BE2054=RN_2),VLOOKUP(BH2054,DXB_MALE_DEP,6,0),IF(AND(BD2054="Dependent",BI2054="Male",BF2054="Dubai",BE2054=RN2_minus),VLOOKUP(BH2054,DXB_MALE_DEP,7,0),IF(AND(BD2054="Dependent",BI2054="Male",BF2054="Dubai",BE2054=RN_3),VLOOKUP(BH2054,DXB_MALE_DEP,8,0),IF(AND(BD2054="Dependent",BI2054="Male",BF2054="Dubai",BE2054=VN),VLOOKUP(BH2054,DXB_MALE_DEP,9,0),IF(BD2054="","",IF(AND(BD2054="Dependent",BI2054="Female",BF2054="Dubai",BE2054=GN_Plus),VLOOKUP(BH2054,DXB_FEMALE_DEP,2,0),IF(AND(BD2054="Dependent",BI2054="Female",BF2054="Dubai",BE2054=GN),VLOOKUP(BH2054,DXB_FEMALE_DEP,3,0),IF(AND(BD2054="Dependent",BI2054="Female",BF2054="Dubai",BE2054=RN_Plus),VLOOKUP(BH2054,DXB_FEMALE_DEP,4,0),IF(AND(BD2054="Dependent",BI2054="Female",BF2054="Dubai",BE2054=RN),VLOOKUP(BH2054,DXB_FEMALE_DEP,5,0),IF(AND(BD2054="Dependent",BI2054="Female",BF2054="Dubai",BE2054=RN_2),VLOOKUP(BH2054,DXB_FEMALE_DEP,6,0),IF(AND(BD2054="Dependent",BI2054="Female",BF2054="Dubai",BE2054=RN2_minus),VLOOKUP(BH2054,DXB_FEMALE_DEP,7,0),IF(AND(BD2054="Dependent",BI2054="Female",BF2054="Dubai",BE2054=RN_3),VLOOKUP(BH2054,DXB_FEMALE_DEP,8,0),IF(AND(BD2054="Dependent",BI2054="Female",BF2054="Dubai",BE2054=VN),VLOOKUP(BH2054,DXB_FEMALE_DEP,9,0),"ABC"))))))))))))))))))))))))))))))))))))</f>
        <v/>
      </c>
    </row>
    <row r="2055" spans="1:64" x14ac:dyDescent="0.25">
      <c r="A2055" s="762">
        <f t="shared" ref="A2055:A2118" si="734">+A2054+1</f>
        <v>2050</v>
      </c>
      <c r="B2055" s="229"/>
      <c r="C2055" s="223"/>
      <c r="D2055" s="224"/>
      <c r="E2055" s="225"/>
      <c r="F2055" s="1036" t="str">
        <f t="shared" si="718"/>
        <v/>
      </c>
      <c r="G2055" s="1037" t="str">
        <f t="shared" ref="G2055:G2118" si="735">IF(D2055="","",MAX(0,ROUNDUP(F2055,0)))</f>
        <v/>
      </c>
      <c r="H2055" s="225"/>
      <c r="I2055" s="1013"/>
      <c r="J2055" s="1013"/>
      <c r="K2055" s="1028"/>
      <c r="L2055" s="1035" t="str">
        <f t="shared" si="717"/>
        <v/>
      </c>
      <c r="S2055" s="498"/>
      <c r="AJ2055" s="498"/>
      <c r="AM2055" s="498">
        <f t="shared" si="720"/>
        <v>0</v>
      </c>
      <c r="AN2055" s="498">
        <f t="shared" si="721"/>
        <v>0</v>
      </c>
      <c r="AO2055" s="498">
        <f t="shared" si="722"/>
        <v>0</v>
      </c>
      <c r="AP2055" s="498">
        <f t="shared" si="719"/>
        <v>0</v>
      </c>
      <c r="AQ2055" s="498">
        <f t="shared" ref="AQ2055:AQ2118" si="736">IF(ISBLANK($B2055),0,IF(OR($H2055="Single",$H2055="Married"),0,1))</f>
        <v>0</v>
      </c>
      <c r="AU2055" s="498">
        <f t="shared" si="723"/>
        <v>0</v>
      </c>
      <c r="AV2055" s="498">
        <f t="shared" si="724"/>
        <v>0</v>
      </c>
      <c r="AW2055" s="498">
        <f t="shared" si="725"/>
        <v>0</v>
      </c>
      <c r="AX2055" s="498">
        <f t="shared" si="726"/>
        <v>0</v>
      </c>
      <c r="AY2055" s="498">
        <f t="shared" si="727"/>
        <v>0</v>
      </c>
      <c r="BB2055" s="498" t="str">
        <f t="shared" si="728"/>
        <v/>
      </c>
      <c r="BC2055" s="743" t="str">
        <f t="shared" si="729"/>
        <v/>
      </c>
      <c r="BD2055" s="743" t="str">
        <f t="shared" si="730"/>
        <v/>
      </c>
      <c r="BE2055" s="743" t="str">
        <f>IF(D2055="","",VLOOKUP(D2055,'General Basis'!$J$39:$K$46,2,0))</f>
        <v/>
      </c>
      <c r="BF2055" s="744" t="str">
        <f>IF(D2055="","",VLOOKUP(D2055,'General Basis'!$J$39:$L$46,3,0))</f>
        <v/>
      </c>
      <c r="BG2055" s="744" t="str">
        <f t="shared" ref="BG2055:BG2118" si="737">BC2055&amp;BI2055</f>
        <v/>
      </c>
      <c r="BH2055" s="744" t="str">
        <f>IF(G2055="","",IF(BF2055="Abu Dhabi",IF(G2055&lt;18,'General Basis'!$C$39,IF(G2055&lt;41,'General Basis'!$C$40,IF(G2055&lt;60,'General Basis'!$C$41,IF(G2055&lt;65,'General Basis'!$C$42,'General Basis'!$C$43)))),IF(G2055&lt;11,'General Basis'!$B$39,IF(G2055&lt;18,'General Basis'!$B$40,IF(G2055&lt;26,'General Basis'!$B$41,IF(G2055&lt;31,'General Basis'!$B$42,IF(G2055&lt;36,'General Basis'!$B$43,IF(G2055&lt;41,'General Basis'!$B$44,IF(G2055&lt;46,'General Basis'!$B$45,IF(G2055&lt;51,'General Basis'!$B$46,IF(G2055&lt;56,'General Basis'!$B$47,IF(G2055&lt;60,'General Basis'!$B$48,IF(G2055&lt;65,'General Basis'!$B$49,'General Basis'!$B$50)))))))))))))</f>
        <v/>
      </c>
      <c r="BI2055" s="744" t="str">
        <f t="shared" si="731"/>
        <v/>
      </c>
      <c r="BJ2055" s="747" t="str">
        <f t="shared" ref="BJ2055:BJ2118" si="738">IF(BD2055="","",IF(BF2055="Abu Dhabi",BK2055,BL2055))</f>
        <v/>
      </c>
      <c r="BK2055" s="498" t="str">
        <f t="shared" si="732"/>
        <v/>
      </c>
      <c r="BL2055" s="498" t="str">
        <f t="shared" si="733"/>
        <v/>
      </c>
    </row>
    <row r="2056" spans="1:64" x14ac:dyDescent="0.25">
      <c r="A2056" s="762">
        <f t="shared" si="734"/>
        <v>2051</v>
      </c>
      <c r="B2056" s="229"/>
      <c r="C2056" s="223"/>
      <c r="D2056" s="224"/>
      <c r="E2056" s="225"/>
      <c r="F2056" s="1036" t="str">
        <f t="shared" si="718"/>
        <v/>
      </c>
      <c r="G2056" s="1037" t="str">
        <f t="shared" si="735"/>
        <v/>
      </c>
      <c r="H2056" s="225"/>
      <c r="I2056" s="1013"/>
      <c r="J2056" s="1013"/>
      <c r="K2056" s="1028"/>
      <c r="L2056" s="1035" t="str">
        <f t="shared" ref="L2056:L2119" si="739">IF(AND(E2056="Child",H2056="Married"),"Check the Marital Status of the Child. ",IF(AND(E2056="Child",F2056&gt;18),"Child Age exceed 18 years. ",IF(AND(E2056="Spouse",H2056="Single"),"Spouse is selected as Single. ","")))&amp;IF(K2056&gt;0,"UW Loading has been Applied","")</f>
        <v/>
      </c>
      <c r="S2056" s="498"/>
      <c r="AJ2056" s="498"/>
      <c r="AM2056" s="498">
        <f t="shared" si="720"/>
        <v>0</v>
      </c>
      <c r="AN2056" s="498">
        <f t="shared" si="721"/>
        <v>0</v>
      </c>
      <c r="AO2056" s="498">
        <f t="shared" si="722"/>
        <v>0</v>
      </c>
      <c r="AP2056" s="498">
        <f t="shared" si="719"/>
        <v>0</v>
      </c>
      <c r="AQ2056" s="498">
        <f t="shared" si="736"/>
        <v>0</v>
      </c>
      <c r="AU2056" s="498">
        <f t="shared" si="723"/>
        <v>0</v>
      </c>
      <c r="AV2056" s="498">
        <f t="shared" si="724"/>
        <v>0</v>
      </c>
      <c r="AW2056" s="498">
        <f t="shared" si="725"/>
        <v>0</v>
      </c>
      <c r="AX2056" s="498">
        <f t="shared" si="726"/>
        <v>0</v>
      </c>
      <c r="AY2056" s="498">
        <f t="shared" si="727"/>
        <v>0</v>
      </c>
      <c r="BB2056" s="498" t="str">
        <f t="shared" si="728"/>
        <v/>
      </c>
      <c r="BC2056" s="743" t="str">
        <f t="shared" si="729"/>
        <v/>
      </c>
      <c r="BD2056" s="743" t="str">
        <f t="shared" si="730"/>
        <v/>
      </c>
      <c r="BE2056" s="743" t="str">
        <f>IF(D2056="","",VLOOKUP(D2056,'General Basis'!$J$39:$K$46,2,0))</f>
        <v/>
      </c>
      <c r="BF2056" s="744" t="str">
        <f>IF(D2056="","",VLOOKUP(D2056,'General Basis'!$J$39:$L$46,3,0))</f>
        <v/>
      </c>
      <c r="BG2056" s="744" t="str">
        <f t="shared" si="737"/>
        <v/>
      </c>
      <c r="BH2056" s="744" t="str">
        <f>IF(G2056="","",IF(BF2056="Abu Dhabi",IF(G2056&lt;18,'General Basis'!$C$39,IF(G2056&lt;41,'General Basis'!$C$40,IF(G2056&lt;60,'General Basis'!$C$41,IF(G2056&lt;65,'General Basis'!$C$42,'General Basis'!$C$43)))),IF(G2056&lt;11,'General Basis'!$B$39,IF(G2056&lt;18,'General Basis'!$B$40,IF(G2056&lt;26,'General Basis'!$B$41,IF(G2056&lt;31,'General Basis'!$B$42,IF(G2056&lt;36,'General Basis'!$B$43,IF(G2056&lt;41,'General Basis'!$B$44,IF(G2056&lt;46,'General Basis'!$B$45,IF(G2056&lt;51,'General Basis'!$B$46,IF(G2056&lt;56,'General Basis'!$B$47,IF(G2056&lt;60,'General Basis'!$B$48,IF(G2056&lt;65,'General Basis'!$B$49,'General Basis'!$B$50)))))))))))))</f>
        <v/>
      </c>
      <c r="BI2056" s="744" t="str">
        <f t="shared" si="731"/>
        <v/>
      </c>
      <c r="BJ2056" s="747" t="str">
        <f t="shared" si="738"/>
        <v/>
      </c>
      <c r="BK2056" s="498" t="str">
        <f t="shared" si="732"/>
        <v/>
      </c>
      <c r="BL2056" s="498" t="str">
        <f t="shared" si="733"/>
        <v/>
      </c>
    </row>
    <row r="2057" spans="1:64" x14ac:dyDescent="0.25">
      <c r="A2057" s="762">
        <f t="shared" si="734"/>
        <v>2052</v>
      </c>
      <c r="B2057" s="229"/>
      <c r="C2057" s="223"/>
      <c r="D2057" s="224"/>
      <c r="E2057" s="225"/>
      <c r="F2057" s="1036" t="str">
        <f t="shared" si="718"/>
        <v/>
      </c>
      <c r="G2057" s="1037" t="str">
        <f t="shared" si="735"/>
        <v/>
      </c>
      <c r="H2057" s="225"/>
      <c r="I2057" s="1013"/>
      <c r="J2057" s="1013"/>
      <c r="K2057" s="1028"/>
      <c r="L2057" s="1035" t="str">
        <f t="shared" si="739"/>
        <v/>
      </c>
      <c r="S2057" s="498"/>
      <c r="AJ2057" s="498"/>
      <c r="AM2057" s="498">
        <f t="shared" si="720"/>
        <v>0</v>
      </c>
      <c r="AN2057" s="498">
        <f t="shared" si="721"/>
        <v>0</v>
      </c>
      <c r="AO2057" s="498">
        <f t="shared" si="722"/>
        <v>0</v>
      </c>
      <c r="AP2057" s="498">
        <f t="shared" si="719"/>
        <v>0</v>
      </c>
      <c r="AQ2057" s="498">
        <f t="shared" si="736"/>
        <v>0</v>
      </c>
      <c r="AU2057" s="498">
        <f t="shared" si="723"/>
        <v>0</v>
      </c>
      <c r="AV2057" s="498">
        <f t="shared" si="724"/>
        <v>0</v>
      </c>
      <c r="AW2057" s="498">
        <f t="shared" si="725"/>
        <v>0</v>
      </c>
      <c r="AX2057" s="498">
        <f t="shared" si="726"/>
        <v>0</v>
      </c>
      <c r="AY2057" s="498">
        <f t="shared" si="727"/>
        <v>0</v>
      </c>
      <c r="BB2057" s="498" t="str">
        <f t="shared" si="728"/>
        <v/>
      </c>
      <c r="BC2057" s="743" t="str">
        <f t="shared" si="729"/>
        <v/>
      </c>
      <c r="BD2057" s="743" t="str">
        <f t="shared" si="730"/>
        <v/>
      </c>
      <c r="BE2057" s="743" t="str">
        <f>IF(D2057="","",VLOOKUP(D2057,'General Basis'!$J$39:$K$46,2,0))</f>
        <v/>
      </c>
      <c r="BF2057" s="744" t="str">
        <f>IF(D2057="","",VLOOKUP(D2057,'General Basis'!$J$39:$L$46,3,0))</f>
        <v/>
      </c>
      <c r="BG2057" s="744" t="str">
        <f t="shared" si="737"/>
        <v/>
      </c>
      <c r="BH2057" s="744" t="str">
        <f>IF(G2057="","",IF(BF2057="Abu Dhabi",IF(G2057&lt;18,'General Basis'!$C$39,IF(G2057&lt;41,'General Basis'!$C$40,IF(G2057&lt;60,'General Basis'!$C$41,IF(G2057&lt;65,'General Basis'!$C$42,'General Basis'!$C$43)))),IF(G2057&lt;11,'General Basis'!$B$39,IF(G2057&lt;18,'General Basis'!$B$40,IF(G2057&lt;26,'General Basis'!$B$41,IF(G2057&lt;31,'General Basis'!$B$42,IF(G2057&lt;36,'General Basis'!$B$43,IF(G2057&lt;41,'General Basis'!$B$44,IF(G2057&lt;46,'General Basis'!$B$45,IF(G2057&lt;51,'General Basis'!$B$46,IF(G2057&lt;56,'General Basis'!$B$47,IF(G2057&lt;60,'General Basis'!$B$48,IF(G2057&lt;65,'General Basis'!$B$49,'General Basis'!$B$50)))))))))))))</f>
        <v/>
      </c>
      <c r="BI2057" s="744" t="str">
        <f t="shared" si="731"/>
        <v/>
      </c>
      <c r="BJ2057" s="747" t="str">
        <f t="shared" si="738"/>
        <v/>
      </c>
      <c r="BK2057" s="498" t="str">
        <f t="shared" si="732"/>
        <v/>
      </c>
      <c r="BL2057" s="498" t="str">
        <f t="shared" si="733"/>
        <v/>
      </c>
    </row>
    <row r="2058" spans="1:64" x14ac:dyDescent="0.25">
      <c r="A2058" s="762">
        <f t="shared" si="734"/>
        <v>2053</v>
      </c>
      <c r="B2058" s="229"/>
      <c r="C2058" s="223"/>
      <c r="D2058" s="224"/>
      <c r="E2058" s="225"/>
      <c r="F2058" s="1036" t="str">
        <f t="shared" si="718"/>
        <v/>
      </c>
      <c r="G2058" s="1037" t="str">
        <f t="shared" si="735"/>
        <v/>
      </c>
      <c r="H2058" s="225"/>
      <c r="I2058" s="1013"/>
      <c r="J2058" s="1013"/>
      <c r="K2058" s="1028"/>
      <c r="L2058" s="1035" t="str">
        <f t="shared" si="739"/>
        <v/>
      </c>
      <c r="S2058" s="498"/>
      <c r="AJ2058" s="498"/>
      <c r="AM2058" s="498">
        <f t="shared" si="720"/>
        <v>0</v>
      </c>
      <c r="AN2058" s="498">
        <f t="shared" si="721"/>
        <v>0</v>
      </c>
      <c r="AO2058" s="498">
        <f t="shared" si="722"/>
        <v>0</v>
      </c>
      <c r="AP2058" s="498">
        <f t="shared" si="719"/>
        <v>0</v>
      </c>
      <c r="AQ2058" s="498">
        <f t="shared" si="736"/>
        <v>0</v>
      </c>
      <c r="AU2058" s="498">
        <f t="shared" si="723"/>
        <v>0</v>
      </c>
      <c r="AV2058" s="498">
        <f t="shared" si="724"/>
        <v>0</v>
      </c>
      <c r="AW2058" s="498">
        <f t="shared" si="725"/>
        <v>0</v>
      </c>
      <c r="AX2058" s="498">
        <f t="shared" si="726"/>
        <v>0</v>
      </c>
      <c r="AY2058" s="498">
        <f t="shared" si="727"/>
        <v>0</v>
      </c>
      <c r="BB2058" s="498" t="str">
        <f t="shared" si="728"/>
        <v/>
      </c>
      <c r="BC2058" s="743" t="str">
        <f t="shared" si="729"/>
        <v/>
      </c>
      <c r="BD2058" s="743" t="str">
        <f t="shared" si="730"/>
        <v/>
      </c>
      <c r="BE2058" s="743" t="str">
        <f>IF(D2058="","",VLOOKUP(D2058,'General Basis'!$J$39:$K$46,2,0))</f>
        <v/>
      </c>
      <c r="BF2058" s="744" t="str">
        <f>IF(D2058="","",VLOOKUP(D2058,'General Basis'!$J$39:$L$46,3,0))</f>
        <v/>
      </c>
      <c r="BG2058" s="744" t="str">
        <f t="shared" si="737"/>
        <v/>
      </c>
      <c r="BH2058" s="744" t="str">
        <f>IF(G2058="","",IF(BF2058="Abu Dhabi",IF(G2058&lt;18,'General Basis'!$C$39,IF(G2058&lt;41,'General Basis'!$C$40,IF(G2058&lt;60,'General Basis'!$C$41,IF(G2058&lt;65,'General Basis'!$C$42,'General Basis'!$C$43)))),IF(G2058&lt;11,'General Basis'!$B$39,IF(G2058&lt;18,'General Basis'!$B$40,IF(G2058&lt;26,'General Basis'!$B$41,IF(G2058&lt;31,'General Basis'!$B$42,IF(G2058&lt;36,'General Basis'!$B$43,IF(G2058&lt;41,'General Basis'!$B$44,IF(G2058&lt;46,'General Basis'!$B$45,IF(G2058&lt;51,'General Basis'!$B$46,IF(G2058&lt;56,'General Basis'!$B$47,IF(G2058&lt;60,'General Basis'!$B$48,IF(G2058&lt;65,'General Basis'!$B$49,'General Basis'!$B$50)))))))))))))</f>
        <v/>
      </c>
      <c r="BI2058" s="744" t="str">
        <f t="shared" si="731"/>
        <v/>
      </c>
      <c r="BJ2058" s="747" t="str">
        <f t="shared" si="738"/>
        <v/>
      </c>
      <c r="BK2058" s="498" t="str">
        <f t="shared" si="732"/>
        <v/>
      </c>
      <c r="BL2058" s="498" t="str">
        <f t="shared" si="733"/>
        <v/>
      </c>
    </row>
    <row r="2059" spans="1:64" x14ac:dyDescent="0.25">
      <c r="A2059" s="762">
        <f t="shared" si="734"/>
        <v>2054</v>
      </c>
      <c r="B2059" s="229"/>
      <c r="C2059" s="223"/>
      <c r="D2059" s="224"/>
      <c r="E2059" s="225"/>
      <c r="F2059" s="1036" t="str">
        <f t="shared" si="718"/>
        <v/>
      </c>
      <c r="G2059" s="1037" t="str">
        <f t="shared" si="735"/>
        <v/>
      </c>
      <c r="H2059" s="225"/>
      <c r="I2059" s="1013"/>
      <c r="J2059" s="1013"/>
      <c r="K2059" s="1028"/>
      <c r="L2059" s="1035" t="str">
        <f t="shared" si="739"/>
        <v/>
      </c>
      <c r="S2059" s="498"/>
      <c r="AJ2059" s="498"/>
      <c r="AM2059" s="498">
        <f t="shared" si="720"/>
        <v>0</v>
      </c>
      <c r="AN2059" s="498">
        <f t="shared" si="721"/>
        <v>0</v>
      </c>
      <c r="AO2059" s="498">
        <f t="shared" si="722"/>
        <v>0</v>
      </c>
      <c r="AP2059" s="498">
        <f t="shared" si="719"/>
        <v>0</v>
      </c>
      <c r="AQ2059" s="498">
        <f t="shared" si="736"/>
        <v>0</v>
      </c>
      <c r="AU2059" s="498">
        <f t="shared" si="723"/>
        <v>0</v>
      </c>
      <c r="AV2059" s="498">
        <f t="shared" si="724"/>
        <v>0</v>
      </c>
      <c r="AW2059" s="498">
        <f t="shared" si="725"/>
        <v>0</v>
      </c>
      <c r="AX2059" s="498">
        <f t="shared" si="726"/>
        <v>0</v>
      </c>
      <c r="AY2059" s="498">
        <f t="shared" si="727"/>
        <v>0</v>
      </c>
      <c r="BB2059" s="498" t="str">
        <f t="shared" si="728"/>
        <v/>
      </c>
      <c r="BC2059" s="743" t="str">
        <f t="shared" si="729"/>
        <v/>
      </c>
      <c r="BD2059" s="743" t="str">
        <f t="shared" si="730"/>
        <v/>
      </c>
      <c r="BE2059" s="743" t="str">
        <f>IF(D2059="","",VLOOKUP(D2059,'General Basis'!$J$39:$K$46,2,0))</f>
        <v/>
      </c>
      <c r="BF2059" s="744" t="str">
        <f>IF(D2059="","",VLOOKUP(D2059,'General Basis'!$J$39:$L$46,3,0))</f>
        <v/>
      </c>
      <c r="BG2059" s="744" t="str">
        <f t="shared" si="737"/>
        <v/>
      </c>
      <c r="BH2059" s="744" t="str">
        <f>IF(G2059="","",IF(BF2059="Abu Dhabi",IF(G2059&lt;18,'General Basis'!$C$39,IF(G2059&lt;41,'General Basis'!$C$40,IF(G2059&lt;60,'General Basis'!$C$41,IF(G2059&lt;65,'General Basis'!$C$42,'General Basis'!$C$43)))),IF(G2059&lt;11,'General Basis'!$B$39,IF(G2059&lt;18,'General Basis'!$B$40,IF(G2059&lt;26,'General Basis'!$B$41,IF(G2059&lt;31,'General Basis'!$B$42,IF(G2059&lt;36,'General Basis'!$B$43,IF(G2059&lt;41,'General Basis'!$B$44,IF(G2059&lt;46,'General Basis'!$B$45,IF(G2059&lt;51,'General Basis'!$B$46,IF(G2059&lt;56,'General Basis'!$B$47,IF(G2059&lt;60,'General Basis'!$B$48,IF(G2059&lt;65,'General Basis'!$B$49,'General Basis'!$B$50)))))))))))))</f>
        <v/>
      </c>
      <c r="BI2059" s="744" t="str">
        <f t="shared" si="731"/>
        <v/>
      </c>
      <c r="BJ2059" s="747" t="str">
        <f t="shared" si="738"/>
        <v/>
      </c>
      <c r="BK2059" s="498" t="str">
        <f t="shared" si="732"/>
        <v/>
      </c>
      <c r="BL2059" s="498" t="str">
        <f t="shared" si="733"/>
        <v/>
      </c>
    </row>
    <row r="2060" spans="1:64" x14ac:dyDescent="0.25">
      <c r="A2060" s="762">
        <f t="shared" si="734"/>
        <v>2055</v>
      </c>
      <c r="B2060" s="229"/>
      <c r="C2060" s="223"/>
      <c r="D2060" s="224"/>
      <c r="E2060" s="225"/>
      <c r="F2060" s="1036" t="str">
        <f t="shared" si="718"/>
        <v/>
      </c>
      <c r="G2060" s="1037" t="str">
        <f t="shared" si="735"/>
        <v/>
      </c>
      <c r="H2060" s="225"/>
      <c r="I2060" s="1013"/>
      <c r="J2060" s="1013"/>
      <c r="K2060" s="1028"/>
      <c r="L2060" s="1035" t="str">
        <f t="shared" si="739"/>
        <v/>
      </c>
      <c r="S2060" s="498"/>
      <c r="AJ2060" s="498"/>
      <c r="AM2060" s="498">
        <f t="shared" si="720"/>
        <v>0</v>
      </c>
      <c r="AN2060" s="498">
        <f t="shared" si="721"/>
        <v>0</v>
      </c>
      <c r="AO2060" s="498">
        <f t="shared" si="722"/>
        <v>0</v>
      </c>
      <c r="AP2060" s="498">
        <f t="shared" si="719"/>
        <v>0</v>
      </c>
      <c r="AQ2060" s="498">
        <f t="shared" si="736"/>
        <v>0</v>
      </c>
      <c r="AU2060" s="498">
        <f t="shared" si="723"/>
        <v>0</v>
      </c>
      <c r="AV2060" s="498">
        <f t="shared" si="724"/>
        <v>0</v>
      </c>
      <c r="AW2060" s="498">
        <f t="shared" si="725"/>
        <v>0</v>
      </c>
      <c r="AX2060" s="498">
        <f t="shared" si="726"/>
        <v>0</v>
      </c>
      <c r="AY2060" s="498">
        <f t="shared" si="727"/>
        <v>0</v>
      </c>
      <c r="BB2060" s="498" t="str">
        <f t="shared" si="728"/>
        <v/>
      </c>
      <c r="BC2060" s="743" t="str">
        <f t="shared" si="729"/>
        <v/>
      </c>
      <c r="BD2060" s="743" t="str">
        <f t="shared" si="730"/>
        <v/>
      </c>
      <c r="BE2060" s="743" t="str">
        <f>IF(D2060="","",VLOOKUP(D2060,'General Basis'!$J$39:$K$46,2,0))</f>
        <v/>
      </c>
      <c r="BF2060" s="744" t="str">
        <f>IF(D2060="","",VLOOKUP(D2060,'General Basis'!$J$39:$L$46,3,0))</f>
        <v/>
      </c>
      <c r="BG2060" s="744" t="str">
        <f t="shared" si="737"/>
        <v/>
      </c>
      <c r="BH2060" s="744" t="str">
        <f>IF(G2060="","",IF(BF2060="Abu Dhabi",IF(G2060&lt;18,'General Basis'!$C$39,IF(G2060&lt;41,'General Basis'!$C$40,IF(G2060&lt;60,'General Basis'!$C$41,IF(G2060&lt;65,'General Basis'!$C$42,'General Basis'!$C$43)))),IF(G2060&lt;11,'General Basis'!$B$39,IF(G2060&lt;18,'General Basis'!$B$40,IF(G2060&lt;26,'General Basis'!$B$41,IF(G2060&lt;31,'General Basis'!$B$42,IF(G2060&lt;36,'General Basis'!$B$43,IF(G2060&lt;41,'General Basis'!$B$44,IF(G2060&lt;46,'General Basis'!$B$45,IF(G2060&lt;51,'General Basis'!$B$46,IF(G2060&lt;56,'General Basis'!$B$47,IF(G2060&lt;60,'General Basis'!$B$48,IF(G2060&lt;65,'General Basis'!$B$49,'General Basis'!$B$50)))))))))))))</f>
        <v/>
      </c>
      <c r="BI2060" s="744" t="str">
        <f t="shared" si="731"/>
        <v/>
      </c>
      <c r="BJ2060" s="747" t="str">
        <f t="shared" si="738"/>
        <v/>
      </c>
      <c r="BK2060" s="498" t="str">
        <f t="shared" si="732"/>
        <v/>
      </c>
      <c r="BL2060" s="498" t="str">
        <f t="shared" si="733"/>
        <v/>
      </c>
    </row>
    <row r="2061" spans="1:64" x14ac:dyDescent="0.25">
      <c r="A2061" s="762">
        <f t="shared" si="734"/>
        <v>2056</v>
      </c>
      <c r="B2061" s="229"/>
      <c r="C2061" s="223"/>
      <c r="D2061" s="224"/>
      <c r="E2061" s="225"/>
      <c r="F2061" s="1036" t="str">
        <f t="shared" si="718"/>
        <v/>
      </c>
      <c r="G2061" s="1037" t="str">
        <f t="shared" si="735"/>
        <v/>
      </c>
      <c r="H2061" s="225"/>
      <c r="I2061" s="1013"/>
      <c r="J2061" s="1013"/>
      <c r="K2061" s="1028"/>
      <c r="L2061" s="1035" t="str">
        <f t="shared" si="739"/>
        <v/>
      </c>
      <c r="S2061" s="498"/>
      <c r="AJ2061" s="498"/>
      <c r="AM2061" s="498">
        <f t="shared" si="720"/>
        <v>0</v>
      </c>
      <c r="AN2061" s="498">
        <f t="shared" si="721"/>
        <v>0</v>
      </c>
      <c r="AO2061" s="498">
        <f t="shared" si="722"/>
        <v>0</v>
      </c>
      <c r="AP2061" s="498">
        <f t="shared" si="719"/>
        <v>0</v>
      </c>
      <c r="AQ2061" s="498">
        <f t="shared" si="736"/>
        <v>0</v>
      </c>
      <c r="AU2061" s="498">
        <f t="shared" si="723"/>
        <v>0</v>
      </c>
      <c r="AV2061" s="498">
        <f t="shared" si="724"/>
        <v>0</v>
      </c>
      <c r="AW2061" s="498">
        <f t="shared" si="725"/>
        <v>0</v>
      </c>
      <c r="AX2061" s="498">
        <f t="shared" si="726"/>
        <v>0</v>
      </c>
      <c r="AY2061" s="498">
        <f t="shared" si="727"/>
        <v>0</v>
      </c>
      <c r="BB2061" s="498" t="str">
        <f t="shared" si="728"/>
        <v/>
      </c>
      <c r="BC2061" s="743" t="str">
        <f t="shared" si="729"/>
        <v/>
      </c>
      <c r="BD2061" s="743" t="str">
        <f t="shared" si="730"/>
        <v/>
      </c>
      <c r="BE2061" s="743" t="str">
        <f>IF(D2061="","",VLOOKUP(D2061,'General Basis'!$J$39:$K$46,2,0))</f>
        <v/>
      </c>
      <c r="BF2061" s="744" t="str">
        <f>IF(D2061="","",VLOOKUP(D2061,'General Basis'!$J$39:$L$46,3,0))</f>
        <v/>
      </c>
      <c r="BG2061" s="744" t="str">
        <f t="shared" si="737"/>
        <v/>
      </c>
      <c r="BH2061" s="744" t="str">
        <f>IF(G2061="","",IF(BF2061="Abu Dhabi",IF(G2061&lt;18,'General Basis'!$C$39,IF(G2061&lt;41,'General Basis'!$C$40,IF(G2061&lt;60,'General Basis'!$C$41,IF(G2061&lt;65,'General Basis'!$C$42,'General Basis'!$C$43)))),IF(G2061&lt;11,'General Basis'!$B$39,IF(G2061&lt;18,'General Basis'!$B$40,IF(G2061&lt;26,'General Basis'!$B$41,IF(G2061&lt;31,'General Basis'!$B$42,IF(G2061&lt;36,'General Basis'!$B$43,IF(G2061&lt;41,'General Basis'!$B$44,IF(G2061&lt;46,'General Basis'!$B$45,IF(G2061&lt;51,'General Basis'!$B$46,IF(G2061&lt;56,'General Basis'!$B$47,IF(G2061&lt;60,'General Basis'!$B$48,IF(G2061&lt;65,'General Basis'!$B$49,'General Basis'!$B$50)))))))))))))</f>
        <v/>
      </c>
      <c r="BI2061" s="744" t="str">
        <f t="shared" si="731"/>
        <v/>
      </c>
      <c r="BJ2061" s="747" t="str">
        <f t="shared" si="738"/>
        <v/>
      </c>
      <c r="BK2061" s="498" t="str">
        <f t="shared" si="732"/>
        <v/>
      </c>
      <c r="BL2061" s="498" t="str">
        <f t="shared" si="733"/>
        <v/>
      </c>
    </row>
    <row r="2062" spans="1:64" x14ac:dyDescent="0.25">
      <c r="A2062" s="762">
        <f t="shared" si="734"/>
        <v>2057</v>
      </c>
      <c r="B2062" s="229"/>
      <c r="C2062" s="223"/>
      <c r="D2062" s="224"/>
      <c r="E2062" s="225"/>
      <c r="F2062" s="1036" t="str">
        <f t="shared" si="718"/>
        <v/>
      </c>
      <c r="G2062" s="1037" t="str">
        <f t="shared" si="735"/>
        <v/>
      </c>
      <c r="H2062" s="225"/>
      <c r="I2062" s="1013"/>
      <c r="J2062" s="1013"/>
      <c r="K2062" s="1028"/>
      <c r="L2062" s="1035" t="str">
        <f t="shared" si="739"/>
        <v/>
      </c>
      <c r="S2062" s="498"/>
      <c r="AJ2062" s="498"/>
      <c r="AM2062" s="498">
        <f t="shared" si="720"/>
        <v>0</v>
      </c>
      <c r="AN2062" s="498">
        <f t="shared" si="721"/>
        <v>0</v>
      </c>
      <c r="AO2062" s="498">
        <f t="shared" si="722"/>
        <v>0</v>
      </c>
      <c r="AP2062" s="498">
        <f t="shared" si="719"/>
        <v>0</v>
      </c>
      <c r="AQ2062" s="498">
        <f t="shared" si="736"/>
        <v>0</v>
      </c>
      <c r="AU2062" s="498">
        <f t="shared" si="723"/>
        <v>0</v>
      </c>
      <c r="AV2062" s="498">
        <f t="shared" si="724"/>
        <v>0</v>
      </c>
      <c r="AW2062" s="498">
        <f t="shared" si="725"/>
        <v>0</v>
      </c>
      <c r="AX2062" s="498">
        <f t="shared" si="726"/>
        <v>0</v>
      </c>
      <c r="AY2062" s="498">
        <f t="shared" si="727"/>
        <v>0</v>
      </c>
      <c r="BB2062" s="498" t="str">
        <f t="shared" si="728"/>
        <v/>
      </c>
      <c r="BC2062" s="743" t="str">
        <f t="shared" si="729"/>
        <v/>
      </c>
      <c r="BD2062" s="743" t="str">
        <f t="shared" si="730"/>
        <v/>
      </c>
      <c r="BE2062" s="743" t="str">
        <f>IF(D2062="","",VLOOKUP(D2062,'General Basis'!$J$39:$K$46,2,0))</f>
        <v/>
      </c>
      <c r="BF2062" s="744" t="str">
        <f>IF(D2062="","",VLOOKUP(D2062,'General Basis'!$J$39:$L$46,3,0))</f>
        <v/>
      </c>
      <c r="BG2062" s="744" t="str">
        <f t="shared" si="737"/>
        <v/>
      </c>
      <c r="BH2062" s="744" t="str">
        <f>IF(G2062="","",IF(BF2062="Abu Dhabi",IF(G2062&lt;18,'General Basis'!$C$39,IF(G2062&lt;41,'General Basis'!$C$40,IF(G2062&lt;60,'General Basis'!$C$41,IF(G2062&lt;65,'General Basis'!$C$42,'General Basis'!$C$43)))),IF(G2062&lt;11,'General Basis'!$B$39,IF(G2062&lt;18,'General Basis'!$B$40,IF(G2062&lt;26,'General Basis'!$B$41,IF(G2062&lt;31,'General Basis'!$B$42,IF(G2062&lt;36,'General Basis'!$B$43,IF(G2062&lt;41,'General Basis'!$B$44,IF(G2062&lt;46,'General Basis'!$B$45,IF(G2062&lt;51,'General Basis'!$B$46,IF(G2062&lt;56,'General Basis'!$B$47,IF(G2062&lt;60,'General Basis'!$B$48,IF(G2062&lt;65,'General Basis'!$B$49,'General Basis'!$B$50)))))))))))))</f>
        <v/>
      </c>
      <c r="BI2062" s="744" t="str">
        <f t="shared" si="731"/>
        <v/>
      </c>
      <c r="BJ2062" s="747" t="str">
        <f t="shared" si="738"/>
        <v/>
      </c>
      <c r="BK2062" s="498" t="str">
        <f t="shared" si="732"/>
        <v/>
      </c>
      <c r="BL2062" s="498" t="str">
        <f t="shared" si="733"/>
        <v/>
      </c>
    </row>
    <row r="2063" spans="1:64" x14ac:dyDescent="0.25">
      <c r="A2063" s="762">
        <f t="shared" si="734"/>
        <v>2058</v>
      </c>
      <c r="B2063" s="229"/>
      <c r="C2063" s="223"/>
      <c r="D2063" s="224"/>
      <c r="E2063" s="225"/>
      <c r="F2063" s="1036" t="str">
        <f t="shared" si="718"/>
        <v/>
      </c>
      <c r="G2063" s="1037" t="str">
        <f t="shared" si="735"/>
        <v/>
      </c>
      <c r="H2063" s="225"/>
      <c r="I2063" s="1013"/>
      <c r="J2063" s="1013"/>
      <c r="K2063" s="1028"/>
      <c r="L2063" s="1035" t="str">
        <f t="shared" si="739"/>
        <v/>
      </c>
      <c r="S2063" s="498"/>
      <c r="AJ2063" s="498"/>
      <c r="AM2063" s="498">
        <f t="shared" si="720"/>
        <v>0</v>
      </c>
      <c r="AN2063" s="498">
        <f t="shared" si="721"/>
        <v>0</v>
      </c>
      <c r="AO2063" s="498">
        <f t="shared" si="722"/>
        <v>0</v>
      </c>
      <c r="AP2063" s="498">
        <f t="shared" si="719"/>
        <v>0</v>
      </c>
      <c r="AQ2063" s="498">
        <f t="shared" si="736"/>
        <v>0</v>
      </c>
      <c r="AU2063" s="498">
        <f t="shared" si="723"/>
        <v>0</v>
      </c>
      <c r="AV2063" s="498">
        <f t="shared" si="724"/>
        <v>0</v>
      </c>
      <c r="AW2063" s="498">
        <f t="shared" si="725"/>
        <v>0</v>
      </c>
      <c r="AX2063" s="498">
        <f t="shared" si="726"/>
        <v>0</v>
      </c>
      <c r="AY2063" s="498">
        <f t="shared" si="727"/>
        <v>0</v>
      </c>
      <c r="BB2063" s="498" t="str">
        <f t="shared" si="728"/>
        <v/>
      </c>
      <c r="BC2063" s="743" t="str">
        <f t="shared" si="729"/>
        <v/>
      </c>
      <c r="BD2063" s="743" t="str">
        <f t="shared" si="730"/>
        <v/>
      </c>
      <c r="BE2063" s="743" t="str">
        <f>IF(D2063="","",VLOOKUP(D2063,'General Basis'!$J$39:$K$46,2,0))</f>
        <v/>
      </c>
      <c r="BF2063" s="744" t="str">
        <f>IF(D2063="","",VLOOKUP(D2063,'General Basis'!$J$39:$L$46,3,0))</f>
        <v/>
      </c>
      <c r="BG2063" s="744" t="str">
        <f t="shared" si="737"/>
        <v/>
      </c>
      <c r="BH2063" s="744" t="str">
        <f>IF(G2063="","",IF(BF2063="Abu Dhabi",IF(G2063&lt;18,'General Basis'!$C$39,IF(G2063&lt;41,'General Basis'!$C$40,IF(G2063&lt;60,'General Basis'!$C$41,IF(G2063&lt;65,'General Basis'!$C$42,'General Basis'!$C$43)))),IF(G2063&lt;11,'General Basis'!$B$39,IF(G2063&lt;18,'General Basis'!$B$40,IF(G2063&lt;26,'General Basis'!$B$41,IF(G2063&lt;31,'General Basis'!$B$42,IF(G2063&lt;36,'General Basis'!$B$43,IF(G2063&lt;41,'General Basis'!$B$44,IF(G2063&lt;46,'General Basis'!$B$45,IF(G2063&lt;51,'General Basis'!$B$46,IF(G2063&lt;56,'General Basis'!$B$47,IF(G2063&lt;60,'General Basis'!$B$48,IF(G2063&lt;65,'General Basis'!$B$49,'General Basis'!$B$50)))))))))))))</f>
        <v/>
      </c>
      <c r="BI2063" s="744" t="str">
        <f t="shared" si="731"/>
        <v/>
      </c>
      <c r="BJ2063" s="747" t="str">
        <f t="shared" si="738"/>
        <v/>
      </c>
      <c r="BK2063" s="498" t="str">
        <f t="shared" si="732"/>
        <v/>
      </c>
      <c r="BL2063" s="498" t="str">
        <f t="shared" si="733"/>
        <v/>
      </c>
    </row>
    <row r="2064" spans="1:64" x14ac:dyDescent="0.25">
      <c r="A2064" s="762">
        <f t="shared" si="734"/>
        <v>2059</v>
      </c>
      <c r="B2064" s="229"/>
      <c r="C2064" s="223"/>
      <c r="D2064" s="224"/>
      <c r="E2064" s="225"/>
      <c r="F2064" s="1036" t="str">
        <f t="shared" ref="F2064:F2127" si="740">IF(C2064="","",IF($B2064="","",((YEAR($F$3)-YEAR($B2064))+(MONTH($F$3)-MONTH($B2064))/12+(DAY($F$3)-DAY($B2064))/(DATE(YEAR($F$3),12,31)-DATE(YEAR($F$3),1,1)+1))))</f>
        <v/>
      </c>
      <c r="G2064" s="1037" t="str">
        <f t="shared" si="735"/>
        <v/>
      </c>
      <c r="H2064" s="225"/>
      <c r="I2064" s="1013"/>
      <c r="J2064" s="1013"/>
      <c r="K2064" s="1028"/>
      <c r="L2064" s="1035" t="str">
        <f t="shared" si="739"/>
        <v/>
      </c>
      <c r="S2064" s="498"/>
      <c r="AJ2064" s="498"/>
      <c r="AM2064" s="498">
        <f t="shared" si="720"/>
        <v>0</v>
      </c>
      <c r="AN2064" s="498">
        <f t="shared" si="721"/>
        <v>0</v>
      </c>
      <c r="AO2064" s="498">
        <f t="shared" si="722"/>
        <v>0</v>
      </c>
      <c r="AP2064" s="498">
        <f t="shared" si="719"/>
        <v>0</v>
      </c>
      <c r="AQ2064" s="498">
        <f t="shared" si="736"/>
        <v>0</v>
      </c>
      <c r="AU2064" s="498">
        <f t="shared" si="723"/>
        <v>0</v>
      </c>
      <c r="AV2064" s="498">
        <f t="shared" si="724"/>
        <v>0</v>
      </c>
      <c r="AW2064" s="498">
        <f t="shared" si="725"/>
        <v>0</v>
      </c>
      <c r="AX2064" s="498">
        <f t="shared" si="726"/>
        <v>0</v>
      </c>
      <c r="AY2064" s="498">
        <f t="shared" si="727"/>
        <v>0</v>
      </c>
      <c r="BB2064" s="498" t="str">
        <f t="shared" si="728"/>
        <v/>
      </c>
      <c r="BC2064" s="743" t="str">
        <f t="shared" si="729"/>
        <v/>
      </c>
      <c r="BD2064" s="743" t="str">
        <f t="shared" si="730"/>
        <v/>
      </c>
      <c r="BE2064" s="743" t="str">
        <f>IF(D2064="","",VLOOKUP(D2064,'General Basis'!$J$39:$K$46,2,0))</f>
        <v/>
      </c>
      <c r="BF2064" s="744" t="str">
        <f>IF(D2064="","",VLOOKUP(D2064,'General Basis'!$J$39:$L$46,3,0))</f>
        <v/>
      </c>
      <c r="BG2064" s="744" t="str">
        <f t="shared" si="737"/>
        <v/>
      </c>
      <c r="BH2064" s="744" t="str">
        <f>IF(G2064="","",IF(BF2064="Abu Dhabi",IF(G2064&lt;18,'General Basis'!$C$39,IF(G2064&lt;41,'General Basis'!$C$40,IF(G2064&lt;60,'General Basis'!$C$41,IF(G2064&lt;65,'General Basis'!$C$42,'General Basis'!$C$43)))),IF(G2064&lt;11,'General Basis'!$B$39,IF(G2064&lt;18,'General Basis'!$B$40,IF(G2064&lt;26,'General Basis'!$B$41,IF(G2064&lt;31,'General Basis'!$B$42,IF(G2064&lt;36,'General Basis'!$B$43,IF(G2064&lt;41,'General Basis'!$B$44,IF(G2064&lt;46,'General Basis'!$B$45,IF(G2064&lt;51,'General Basis'!$B$46,IF(G2064&lt;56,'General Basis'!$B$47,IF(G2064&lt;60,'General Basis'!$B$48,IF(G2064&lt;65,'General Basis'!$B$49,'General Basis'!$B$50)))))))))))))</f>
        <v/>
      </c>
      <c r="BI2064" s="744" t="str">
        <f t="shared" si="731"/>
        <v/>
      </c>
      <c r="BJ2064" s="747" t="str">
        <f t="shared" si="738"/>
        <v/>
      </c>
      <c r="BK2064" s="498" t="str">
        <f t="shared" si="732"/>
        <v/>
      </c>
      <c r="BL2064" s="498" t="str">
        <f t="shared" si="733"/>
        <v/>
      </c>
    </row>
    <row r="2065" spans="1:64" x14ac:dyDescent="0.25">
      <c r="A2065" s="762">
        <f t="shared" si="734"/>
        <v>2060</v>
      </c>
      <c r="B2065" s="229"/>
      <c r="C2065" s="223"/>
      <c r="D2065" s="224"/>
      <c r="E2065" s="225"/>
      <c r="F2065" s="1036" t="str">
        <f t="shared" si="740"/>
        <v/>
      </c>
      <c r="G2065" s="1037" t="str">
        <f t="shared" si="735"/>
        <v/>
      </c>
      <c r="H2065" s="225"/>
      <c r="I2065" s="1013"/>
      <c r="J2065" s="1013"/>
      <c r="K2065" s="1028"/>
      <c r="L2065" s="1035" t="str">
        <f t="shared" si="739"/>
        <v/>
      </c>
      <c r="S2065" s="498"/>
      <c r="AJ2065" s="498"/>
      <c r="AM2065" s="498">
        <f t="shared" si="720"/>
        <v>0</v>
      </c>
      <c r="AN2065" s="498">
        <f t="shared" si="721"/>
        <v>0</v>
      </c>
      <c r="AO2065" s="498">
        <f t="shared" si="722"/>
        <v>0</v>
      </c>
      <c r="AP2065" s="498">
        <f t="shared" si="719"/>
        <v>0</v>
      </c>
      <c r="AQ2065" s="498">
        <f t="shared" si="736"/>
        <v>0</v>
      </c>
      <c r="AU2065" s="498">
        <f t="shared" si="723"/>
        <v>0</v>
      </c>
      <c r="AV2065" s="498">
        <f t="shared" si="724"/>
        <v>0</v>
      </c>
      <c r="AW2065" s="498">
        <f t="shared" si="725"/>
        <v>0</v>
      </c>
      <c r="AX2065" s="498">
        <f t="shared" si="726"/>
        <v>0</v>
      </c>
      <c r="AY2065" s="498">
        <f t="shared" si="727"/>
        <v>0</v>
      </c>
      <c r="BB2065" s="498" t="str">
        <f t="shared" si="728"/>
        <v/>
      </c>
      <c r="BC2065" s="743" t="str">
        <f t="shared" si="729"/>
        <v/>
      </c>
      <c r="BD2065" s="743" t="str">
        <f t="shared" si="730"/>
        <v/>
      </c>
      <c r="BE2065" s="743" t="str">
        <f>IF(D2065="","",VLOOKUP(D2065,'General Basis'!$J$39:$K$46,2,0))</f>
        <v/>
      </c>
      <c r="BF2065" s="744" t="str">
        <f>IF(D2065="","",VLOOKUP(D2065,'General Basis'!$J$39:$L$46,3,0))</f>
        <v/>
      </c>
      <c r="BG2065" s="744" t="str">
        <f t="shared" si="737"/>
        <v/>
      </c>
      <c r="BH2065" s="744" t="str">
        <f>IF(G2065="","",IF(BF2065="Abu Dhabi",IF(G2065&lt;18,'General Basis'!$C$39,IF(G2065&lt;41,'General Basis'!$C$40,IF(G2065&lt;60,'General Basis'!$C$41,IF(G2065&lt;65,'General Basis'!$C$42,'General Basis'!$C$43)))),IF(G2065&lt;11,'General Basis'!$B$39,IF(G2065&lt;18,'General Basis'!$B$40,IF(G2065&lt;26,'General Basis'!$B$41,IF(G2065&lt;31,'General Basis'!$B$42,IF(G2065&lt;36,'General Basis'!$B$43,IF(G2065&lt;41,'General Basis'!$B$44,IF(G2065&lt;46,'General Basis'!$B$45,IF(G2065&lt;51,'General Basis'!$B$46,IF(G2065&lt;56,'General Basis'!$B$47,IF(G2065&lt;60,'General Basis'!$B$48,IF(G2065&lt;65,'General Basis'!$B$49,'General Basis'!$B$50)))))))))))))</f>
        <v/>
      </c>
      <c r="BI2065" s="744" t="str">
        <f t="shared" si="731"/>
        <v/>
      </c>
      <c r="BJ2065" s="747" t="str">
        <f t="shared" si="738"/>
        <v/>
      </c>
      <c r="BK2065" s="498" t="str">
        <f t="shared" si="732"/>
        <v/>
      </c>
      <c r="BL2065" s="498" t="str">
        <f t="shared" si="733"/>
        <v/>
      </c>
    </row>
    <row r="2066" spans="1:64" x14ac:dyDescent="0.25">
      <c r="A2066" s="762">
        <f t="shared" si="734"/>
        <v>2061</v>
      </c>
      <c r="B2066" s="229"/>
      <c r="C2066" s="223"/>
      <c r="D2066" s="224"/>
      <c r="E2066" s="225"/>
      <c r="F2066" s="1036" t="str">
        <f t="shared" si="740"/>
        <v/>
      </c>
      <c r="G2066" s="1037" t="str">
        <f t="shared" si="735"/>
        <v/>
      </c>
      <c r="H2066" s="225"/>
      <c r="I2066" s="1013"/>
      <c r="J2066" s="1013"/>
      <c r="K2066" s="1028"/>
      <c r="L2066" s="1035" t="str">
        <f t="shared" si="739"/>
        <v/>
      </c>
      <c r="S2066" s="498"/>
      <c r="AJ2066" s="498"/>
      <c r="AM2066" s="498">
        <f t="shared" si="720"/>
        <v>0</v>
      </c>
      <c r="AN2066" s="498">
        <f t="shared" si="721"/>
        <v>0</v>
      </c>
      <c r="AO2066" s="498">
        <f t="shared" si="722"/>
        <v>0</v>
      </c>
      <c r="AP2066" s="498">
        <f t="shared" si="719"/>
        <v>0</v>
      </c>
      <c r="AQ2066" s="498">
        <f t="shared" si="736"/>
        <v>0</v>
      </c>
      <c r="AU2066" s="498">
        <f t="shared" si="723"/>
        <v>0</v>
      </c>
      <c r="AV2066" s="498">
        <f t="shared" si="724"/>
        <v>0</v>
      </c>
      <c r="AW2066" s="498">
        <f t="shared" si="725"/>
        <v>0</v>
      </c>
      <c r="AX2066" s="498">
        <f t="shared" si="726"/>
        <v>0</v>
      </c>
      <c r="AY2066" s="498">
        <f t="shared" si="727"/>
        <v>0</v>
      </c>
      <c r="BB2066" s="498" t="str">
        <f t="shared" si="728"/>
        <v/>
      </c>
      <c r="BC2066" s="743" t="str">
        <f t="shared" si="729"/>
        <v/>
      </c>
      <c r="BD2066" s="743" t="str">
        <f t="shared" si="730"/>
        <v/>
      </c>
      <c r="BE2066" s="743" t="str">
        <f>IF(D2066="","",VLOOKUP(D2066,'General Basis'!$J$39:$K$46,2,0))</f>
        <v/>
      </c>
      <c r="BF2066" s="744" t="str">
        <f>IF(D2066="","",VLOOKUP(D2066,'General Basis'!$J$39:$L$46,3,0))</f>
        <v/>
      </c>
      <c r="BG2066" s="744" t="str">
        <f t="shared" si="737"/>
        <v/>
      </c>
      <c r="BH2066" s="744" t="str">
        <f>IF(G2066="","",IF(BF2066="Abu Dhabi",IF(G2066&lt;18,'General Basis'!$C$39,IF(G2066&lt;41,'General Basis'!$C$40,IF(G2066&lt;60,'General Basis'!$C$41,IF(G2066&lt;65,'General Basis'!$C$42,'General Basis'!$C$43)))),IF(G2066&lt;11,'General Basis'!$B$39,IF(G2066&lt;18,'General Basis'!$B$40,IF(G2066&lt;26,'General Basis'!$B$41,IF(G2066&lt;31,'General Basis'!$B$42,IF(G2066&lt;36,'General Basis'!$B$43,IF(G2066&lt;41,'General Basis'!$B$44,IF(G2066&lt;46,'General Basis'!$B$45,IF(G2066&lt;51,'General Basis'!$B$46,IF(G2066&lt;56,'General Basis'!$B$47,IF(G2066&lt;60,'General Basis'!$B$48,IF(G2066&lt;65,'General Basis'!$B$49,'General Basis'!$B$50)))))))))))))</f>
        <v/>
      </c>
      <c r="BI2066" s="744" t="str">
        <f t="shared" si="731"/>
        <v/>
      </c>
      <c r="BJ2066" s="747" t="str">
        <f t="shared" si="738"/>
        <v/>
      </c>
      <c r="BK2066" s="498" t="str">
        <f t="shared" si="732"/>
        <v/>
      </c>
      <c r="BL2066" s="498" t="str">
        <f t="shared" si="733"/>
        <v/>
      </c>
    </row>
    <row r="2067" spans="1:64" x14ac:dyDescent="0.25">
      <c r="A2067" s="762">
        <f t="shared" si="734"/>
        <v>2062</v>
      </c>
      <c r="B2067" s="229"/>
      <c r="C2067" s="223"/>
      <c r="D2067" s="224"/>
      <c r="E2067" s="225"/>
      <c r="F2067" s="1036" t="str">
        <f t="shared" si="740"/>
        <v/>
      </c>
      <c r="G2067" s="1037" t="str">
        <f t="shared" si="735"/>
        <v/>
      </c>
      <c r="H2067" s="225"/>
      <c r="I2067" s="1013"/>
      <c r="J2067" s="1013"/>
      <c r="K2067" s="1028"/>
      <c r="L2067" s="1035" t="str">
        <f t="shared" si="739"/>
        <v/>
      </c>
      <c r="S2067" s="498"/>
      <c r="AJ2067" s="498"/>
      <c r="AM2067" s="498">
        <f t="shared" si="720"/>
        <v>0</v>
      </c>
      <c r="AN2067" s="498">
        <f t="shared" si="721"/>
        <v>0</v>
      </c>
      <c r="AO2067" s="498">
        <f t="shared" si="722"/>
        <v>0</v>
      </c>
      <c r="AP2067" s="498">
        <f t="shared" ref="AP2067:AP2130" si="741">IF(ISBLANK($B2067),0,IF(OR($C2067="M",$C2067="F"),0,1))</f>
        <v>0</v>
      </c>
      <c r="AQ2067" s="498">
        <f t="shared" si="736"/>
        <v>0</v>
      </c>
      <c r="AU2067" s="498">
        <f t="shared" si="723"/>
        <v>0</v>
      </c>
      <c r="AV2067" s="498">
        <f t="shared" si="724"/>
        <v>0</v>
      </c>
      <c r="AW2067" s="498">
        <f t="shared" si="725"/>
        <v>0</v>
      </c>
      <c r="AX2067" s="498">
        <f t="shared" si="726"/>
        <v>0</v>
      </c>
      <c r="AY2067" s="498">
        <f t="shared" si="727"/>
        <v>0</v>
      </c>
      <c r="BB2067" s="498" t="str">
        <f t="shared" si="728"/>
        <v/>
      </c>
      <c r="BC2067" s="743" t="str">
        <f t="shared" si="729"/>
        <v/>
      </c>
      <c r="BD2067" s="743" t="str">
        <f t="shared" si="730"/>
        <v/>
      </c>
      <c r="BE2067" s="743" t="str">
        <f>IF(D2067="","",VLOOKUP(D2067,'General Basis'!$J$39:$K$46,2,0))</f>
        <v/>
      </c>
      <c r="BF2067" s="744" t="str">
        <f>IF(D2067="","",VLOOKUP(D2067,'General Basis'!$J$39:$L$46,3,0))</f>
        <v/>
      </c>
      <c r="BG2067" s="744" t="str">
        <f t="shared" si="737"/>
        <v/>
      </c>
      <c r="BH2067" s="744" t="str">
        <f>IF(G2067="","",IF(BF2067="Abu Dhabi",IF(G2067&lt;18,'General Basis'!$C$39,IF(G2067&lt;41,'General Basis'!$C$40,IF(G2067&lt;60,'General Basis'!$C$41,IF(G2067&lt;65,'General Basis'!$C$42,'General Basis'!$C$43)))),IF(G2067&lt;11,'General Basis'!$B$39,IF(G2067&lt;18,'General Basis'!$B$40,IF(G2067&lt;26,'General Basis'!$B$41,IF(G2067&lt;31,'General Basis'!$B$42,IF(G2067&lt;36,'General Basis'!$B$43,IF(G2067&lt;41,'General Basis'!$B$44,IF(G2067&lt;46,'General Basis'!$B$45,IF(G2067&lt;51,'General Basis'!$B$46,IF(G2067&lt;56,'General Basis'!$B$47,IF(G2067&lt;60,'General Basis'!$B$48,IF(G2067&lt;65,'General Basis'!$B$49,'General Basis'!$B$50)))))))))))))</f>
        <v/>
      </c>
      <c r="BI2067" s="744" t="str">
        <f t="shared" si="731"/>
        <v/>
      </c>
      <c r="BJ2067" s="747" t="str">
        <f t="shared" si="738"/>
        <v/>
      </c>
      <c r="BK2067" s="498" t="str">
        <f t="shared" si="732"/>
        <v/>
      </c>
      <c r="BL2067" s="498" t="str">
        <f t="shared" si="733"/>
        <v/>
      </c>
    </row>
    <row r="2068" spans="1:64" x14ac:dyDescent="0.25">
      <c r="A2068" s="762">
        <f t="shared" si="734"/>
        <v>2063</v>
      </c>
      <c r="B2068" s="229"/>
      <c r="C2068" s="223"/>
      <c r="D2068" s="224"/>
      <c r="E2068" s="225"/>
      <c r="F2068" s="1036" t="str">
        <f t="shared" si="740"/>
        <v/>
      </c>
      <c r="G2068" s="1037" t="str">
        <f t="shared" si="735"/>
        <v/>
      </c>
      <c r="H2068" s="225"/>
      <c r="I2068" s="1013"/>
      <c r="J2068" s="1013"/>
      <c r="K2068" s="1028"/>
      <c r="L2068" s="1035" t="str">
        <f t="shared" si="739"/>
        <v/>
      </c>
      <c r="S2068" s="498"/>
      <c r="AJ2068" s="498"/>
      <c r="AM2068" s="498">
        <f t="shared" si="720"/>
        <v>0</v>
      </c>
      <c r="AN2068" s="498">
        <f t="shared" si="721"/>
        <v>0</v>
      </c>
      <c r="AO2068" s="498">
        <f t="shared" si="722"/>
        <v>0</v>
      </c>
      <c r="AP2068" s="498">
        <f t="shared" si="741"/>
        <v>0</v>
      </c>
      <c r="AQ2068" s="498">
        <f t="shared" si="736"/>
        <v>0</v>
      </c>
      <c r="AU2068" s="498">
        <f t="shared" si="723"/>
        <v>0</v>
      </c>
      <c r="AV2068" s="498">
        <f t="shared" si="724"/>
        <v>0</v>
      </c>
      <c r="AW2068" s="498">
        <f t="shared" si="725"/>
        <v>0</v>
      </c>
      <c r="AX2068" s="498">
        <f t="shared" si="726"/>
        <v>0</v>
      </c>
      <c r="AY2068" s="498">
        <f t="shared" si="727"/>
        <v>0</v>
      </c>
      <c r="BB2068" s="498" t="str">
        <f t="shared" si="728"/>
        <v/>
      </c>
      <c r="BC2068" s="743" t="str">
        <f t="shared" si="729"/>
        <v/>
      </c>
      <c r="BD2068" s="743" t="str">
        <f t="shared" si="730"/>
        <v/>
      </c>
      <c r="BE2068" s="743" t="str">
        <f>IF(D2068="","",VLOOKUP(D2068,'General Basis'!$J$39:$K$46,2,0))</f>
        <v/>
      </c>
      <c r="BF2068" s="744" t="str">
        <f>IF(D2068="","",VLOOKUP(D2068,'General Basis'!$J$39:$L$46,3,0))</f>
        <v/>
      </c>
      <c r="BG2068" s="744" t="str">
        <f t="shared" si="737"/>
        <v/>
      </c>
      <c r="BH2068" s="744" t="str">
        <f>IF(G2068="","",IF(BF2068="Abu Dhabi",IF(G2068&lt;18,'General Basis'!$C$39,IF(G2068&lt;41,'General Basis'!$C$40,IF(G2068&lt;60,'General Basis'!$C$41,IF(G2068&lt;65,'General Basis'!$C$42,'General Basis'!$C$43)))),IF(G2068&lt;11,'General Basis'!$B$39,IF(G2068&lt;18,'General Basis'!$B$40,IF(G2068&lt;26,'General Basis'!$B$41,IF(G2068&lt;31,'General Basis'!$B$42,IF(G2068&lt;36,'General Basis'!$B$43,IF(G2068&lt;41,'General Basis'!$B$44,IF(G2068&lt;46,'General Basis'!$B$45,IF(G2068&lt;51,'General Basis'!$B$46,IF(G2068&lt;56,'General Basis'!$B$47,IF(G2068&lt;60,'General Basis'!$B$48,IF(G2068&lt;65,'General Basis'!$B$49,'General Basis'!$B$50)))))))))))))</f>
        <v/>
      </c>
      <c r="BI2068" s="744" t="str">
        <f t="shared" si="731"/>
        <v/>
      </c>
      <c r="BJ2068" s="747" t="str">
        <f t="shared" si="738"/>
        <v/>
      </c>
      <c r="BK2068" s="498" t="str">
        <f t="shared" si="732"/>
        <v/>
      </c>
      <c r="BL2068" s="498" t="str">
        <f t="shared" si="733"/>
        <v/>
      </c>
    </row>
    <row r="2069" spans="1:64" x14ac:dyDescent="0.25">
      <c r="A2069" s="762">
        <f t="shared" si="734"/>
        <v>2064</v>
      </c>
      <c r="B2069" s="229"/>
      <c r="C2069" s="223"/>
      <c r="D2069" s="224"/>
      <c r="E2069" s="225"/>
      <c r="F2069" s="1036" t="str">
        <f t="shared" si="740"/>
        <v/>
      </c>
      <c r="G2069" s="1037" t="str">
        <f t="shared" si="735"/>
        <v/>
      </c>
      <c r="H2069" s="225"/>
      <c r="I2069" s="1013"/>
      <c r="J2069" s="1013"/>
      <c r="K2069" s="1028"/>
      <c r="L2069" s="1035" t="str">
        <f t="shared" si="739"/>
        <v/>
      </c>
      <c r="S2069" s="498"/>
      <c r="AJ2069" s="498"/>
      <c r="AM2069" s="498">
        <f t="shared" si="720"/>
        <v>0</v>
      </c>
      <c r="AN2069" s="498">
        <f t="shared" si="721"/>
        <v>0</v>
      </c>
      <c r="AO2069" s="498">
        <f t="shared" si="722"/>
        <v>0</v>
      </c>
      <c r="AP2069" s="498">
        <f t="shared" si="741"/>
        <v>0</v>
      </c>
      <c r="AQ2069" s="498">
        <f t="shared" si="736"/>
        <v>0</v>
      </c>
      <c r="AU2069" s="498">
        <f t="shared" si="723"/>
        <v>0</v>
      </c>
      <c r="AV2069" s="498">
        <f t="shared" si="724"/>
        <v>0</v>
      </c>
      <c r="AW2069" s="498">
        <f t="shared" si="725"/>
        <v>0</v>
      </c>
      <c r="AX2069" s="498">
        <f t="shared" si="726"/>
        <v>0</v>
      </c>
      <c r="AY2069" s="498">
        <f t="shared" si="727"/>
        <v>0</v>
      </c>
      <c r="BB2069" s="498" t="str">
        <f t="shared" si="728"/>
        <v/>
      </c>
      <c r="BC2069" s="743" t="str">
        <f t="shared" si="729"/>
        <v/>
      </c>
      <c r="BD2069" s="743" t="str">
        <f t="shared" si="730"/>
        <v/>
      </c>
      <c r="BE2069" s="743" t="str">
        <f>IF(D2069="","",VLOOKUP(D2069,'General Basis'!$J$39:$K$46,2,0))</f>
        <v/>
      </c>
      <c r="BF2069" s="744" t="str">
        <f>IF(D2069="","",VLOOKUP(D2069,'General Basis'!$J$39:$L$46,3,0))</f>
        <v/>
      </c>
      <c r="BG2069" s="744" t="str">
        <f t="shared" si="737"/>
        <v/>
      </c>
      <c r="BH2069" s="744" t="str">
        <f>IF(G2069="","",IF(BF2069="Abu Dhabi",IF(G2069&lt;18,'General Basis'!$C$39,IF(G2069&lt;41,'General Basis'!$C$40,IF(G2069&lt;60,'General Basis'!$C$41,IF(G2069&lt;65,'General Basis'!$C$42,'General Basis'!$C$43)))),IF(G2069&lt;11,'General Basis'!$B$39,IF(G2069&lt;18,'General Basis'!$B$40,IF(G2069&lt;26,'General Basis'!$B$41,IF(G2069&lt;31,'General Basis'!$B$42,IF(G2069&lt;36,'General Basis'!$B$43,IF(G2069&lt;41,'General Basis'!$B$44,IF(G2069&lt;46,'General Basis'!$B$45,IF(G2069&lt;51,'General Basis'!$B$46,IF(G2069&lt;56,'General Basis'!$B$47,IF(G2069&lt;60,'General Basis'!$B$48,IF(G2069&lt;65,'General Basis'!$B$49,'General Basis'!$B$50)))))))))))))</f>
        <v/>
      </c>
      <c r="BI2069" s="744" t="str">
        <f t="shared" si="731"/>
        <v/>
      </c>
      <c r="BJ2069" s="747" t="str">
        <f t="shared" si="738"/>
        <v/>
      </c>
      <c r="BK2069" s="498" t="str">
        <f t="shared" si="732"/>
        <v/>
      </c>
      <c r="BL2069" s="498" t="str">
        <f t="shared" si="733"/>
        <v/>
      </c>
    </row>
    <row r="2070" spans="1:64" x14ac:dyDescent="0.25">
      <c r="A2070" s="762">
        <f t="shared" si="734"/>
        <v>2065</v>
      </c>
      <c r="B2070" s="229"/>
      <c r="C2070" s="223"/>
      <c r="D2070" s="224"/>
      <c r="E2070" s="225"/>
      <c r="F2070" s="1036" t="str">
        <f t="shared" si="740"/>
        <v/>
      </c>
      <c r="G2070" s="1037" t="str">
        <f t="shared" si="735"/>
        <v/>
      </c>
      <c r="H2070" s="225"/>
      <c r="I2070" s="1013"/>
      <c r="J2070" s="1013"/>
      <c r="K2070" s="1028"/>
      <c r="L2070" s="1035" t="str">
        <f t="shared" si="739"/>
        <v/>
      </c>
      <c r="S2070" s="498"/>
      <c r="AJ2070" s="498"/>
      <c r="AM2070" s="498">
        <f t="shared" si="720"/>
        <v>0</v>
      </c>
      <c r="AN2070" s="498">
        <f t="shared" si="721"/>
        <v>0</v>
      </c>
      <c r="AO2070" s="498">
        <f t="shared" si="722"/>
        <v>0</v>
      </c>
      <c r="AP2070" s="498">
        <f t="shared" si="741"/>
        <v>0</v>
      </c>
      <c r="AQ2070" s="498">
        <f t="shared" si="736"/>
        <v>0</v>
      </c>
      <c r="AU2070" s="498">
        <f t="shared" si="723"/>
        <v>0</v>
      </c>
      <c r="AV2070" s="498">
        <f t="shared" si="724"/>
        <v>0</v>
      </c>
      <c r="AW2070" s="498">
        <f t="shared" si="725"/>
        <v>0</v>
      </c>
      <c r="AX2070" s="498">
        <f t="shared" si="726"/>
        <v>0</v>
      </c>
      <c r="AY2070" s="498">
        <f t="shared" si="727"/>
        <v>0</v>
      </c>
      <c r="BB2070" s="498" t="str">
        <f t="shared" si="728"/>
        <v/>
      </c>
      <c r="BC2070" s="743" t="str">
        <f t="shared" si="729"/>
        <v/>
      </c>
      <c r="BD2070" s="743" t="str">
        <f t="shared" si="730"/>
        <v/>
      </c>
      <c r="BE2070" s="743" t="str">
        <f>IF(D2070="","",VLOOKUP(D2070,'General Basis'!$J$39:$K$46,2,0))</f>
        <v/>
      </c>
      <c r="BF2070" s="744" t="str">
        <f>IF(D2070="","",VLOOKUP(D2070,'General Basis'!$J$39:$L$46,3,0))</f>
        <v/>
      </c>
      <c r="BG2070" s="744" t="str">
        <f t="shared" si="737"/>
        <v/>
      </c>
      <c r="BH2070" s="744" t="str">
        <f>IF(G2070="","",IF(BF2070="Abu Dhabi",IF(G2070&lt;18,'General Basis'!$C$39,IF(G2070&lt;41,'General Basis'!$C$40,IF(G2070&lt;60,'General Basis'!$C$41,IF(G2070&lt;65,'General Basis'!$C$42,'General Basis'!$C$43)))),IF(G2070&lt;11,'General Basis'!$B$39,IF(G2070&lt;18,'General Basis'!$B$40,IF(G2070&lt;26,'General Basis'!$B$41,IF(G2070&lt;31,'General Basis'!$B$42,IF(G2070&lt;36,'General Basis'!$B$43,IF(G2070&lt;41,'General Basis'!$B$44,IF(G2070&lt;46,'General Basis'!$B$45,IF(G2070&lt;51,'General Basis'!$B$46,IF(G2070&lt;56,'General Basis'!$B$47,IF(G2070&lt;60,'General Basis'!$B$48,IF(G2070&lt;65,'General Basis'!$B$49,'General Basis'!$B$50)))))))))))))</f>
        <v/>
      </c>
      <c r="BI2070" s="744" t="str">
        <f t="shared" si="731"/>
        <v/>
      </c>
      <c r="BJ2070" s="747" t="str">
        <f t="shared" si="738"/>
        <v/>
      </c>
      <c r="BK2070" s="498" t="str">
        <f t="shared" si="732"/>
        <v/>
      </c>
      <c r="BL2070" s="498" t="str">
        <f t="shared" si="733"/>
        <v/>
      </c>
    </row>
    <row r="2071" spans="1:64" x14ac:dyDescent="0.25">
      <c r="A2071" s="762">
        <f t="shared" si="734"/>
        <v>2066</v>
      </c>
      <c r="B2071" s="229"/>
      <c r="C2071" s="223"/>
      <c r="D2071" s="224"/>
      <c r="E2071" s="225"/>
      <c r="F2071" s="1036" t="str">
        <f t="shared" si="740"/>
        <v/>
      </c>
      <c r="G2071" s="1037" t="str">
        <f t="shared" si="735"/>
        <v/>
      </c>
      <c r="H2071" s="225"/>
      <c r="I2071" s="1013"/>
      <c r="J2071" s="1013"/>
      <c r="K2071" s="1028"/>
      <c r="L2071" s="1035" t="str">
        <f t="shared" si="739"/>
        <v/>
      </c>
      <c r="S2071" s="498"/>
      <c r="AJ2071" s="498"/>
      <c r="AM2071" s="498">
        <f t="shared" si="720"/>
        <v>0</v>
      </c>
      <c r="AN2071" s="498">
        <f t="shared" si="721"/>
        <v>0</v>
      </c>
      <c r="AO2071" s="498">
        <f t="shared" si="722"/>
        <v>0</v>
      </c>
      <c r="AP2071" s="498">
        <f t="shared" si="741"/>
        <v>0</v>
      </c>
      <c r="AQ2071" s="498">
        <f t="shared" si="736"/>
        <v>0</v>
      </c>
      <c r="AU2071" s="498">
        <f t="shared" si="723"/>
        <v>0</v>
      </c>
      <c r="AV2071" s="498">
        <f t="shared" si="724"/>
        <v>0</v>
      </c>
      <c r="AW2071" s="498">
        <f t="shared" si="725"/>
        <v>0</v>
      </c>
      <c r="AX2071" s="498">
        <f t="shared" si="726"/>
        <v>0</v>
      </c>
      <c r="AY2071" s="498">
        <f t="shared" si="727"/>
        <v>0</v>
      </c>
      <c r="BB2071" s="498" t="str">
        <f t="shared" si="728"/>
        <v/>
      </c>
      <c r="BC2071" s="743" t="str">
        <f t="shared" si="729"/>
        <v/>
      </c>
      <c r="BD2071" s="743" t="str">
        <f t="shared" si="730"/>
        <v/>
      </c>
      <c r="BE2071" s="743" t="str">
        <f>IF(D2071="","",VLOOKUP(D2071,'General Basis'!$J$39:$K$46,2,0))</f>
        <v/>
      </c>
      <c r="BF2071" s="744" t="str">
        <f>IF(D2071="","",VLOOKUP(D2071,'General Basis'!$J$39:$L$46,3,0))</f>
        <v/>
      </c>
      <c r="BG2071" s="744" t="str">
        <f t="shared" si="737"/>
        <v/>
      </c>
      <c r="BH2071" s="744" t="str">
        <f>IF(G2071="","",IF(BF2071="Abu Dhabi",IF(G2071&lt;18,'General Basis'!$C$39,IF(G2071&lt;41,'General Basis'!$C$40,IF(G2071&lt;60,'General Basis'!$C$41,IF(G2071&lt;65,'General Basis'!$C$42,'General Basis'!$C$43)))),IF(G2071&lt;11,'General Basis'!$B$39,IF(G2071&lt;18,'General Basis'!$B$40,IF(G2071&lt;26,'General Basis'!$B$41,IF(G2071&lt;31,'General Basis'!$B$42,IF(G2071&lt;36,'General Basis'!$B$43,IF(G2071&lt;41,'General Basis'!$B$44,IF(G2071&lt;46,'General Basis'!$B$45,IF(G2071&lt;51,'General Basis'!$B$46,IF(G2071&lt;56,'General Basis'!$B$47,IF(G2071&lt;60,'General Basis'!$B$48,IF(G2071&lt;65,'General Basis'!$B$49,'General Basis'!$B$50)))))))))))))</f>
        <v/>
      </c>
      <c r="BI2071" s="744" t="str">
        <f t="shared" si="731"/>
        <v/>
      </c>
      <c r="BJ2071" s="747" t="str">
        <f t="shared" si="738"/>
        <v/>
      </c>
      <c r="BK2071" s="498" t="str">
        <f t="shared" si="732"/>
        <v/>
      </c>
      <c r="BL2071" s="498" t="str">
        <f t="shared" si="733"/>
        <v/>
      </c>
    </row>
    <row r="2072" spans="1:64" x14ac:dyDescent="0.25">
      <c r="A2072" s="762">
        <f t="shared" si="734"/>
        <v>2067</v>
      </c>
      <c r="B2072" s="229"/>
      <c r="C2072" s="223"/>
      <c r="D2072" s="224"/>
      <c r="E2072" s="225"/>
      <c r="F2072" s="1036" t="str">
        <f t="shared" si="740"/>
        <v/>
      </c>
      <c r="G2072" s="1037" t="str">
        <f t="shared" si="735"/>
        <v/>
      </c>
      <c r="H2072" s="225"/>
      <c r="I2072" s="1013"/>
      <c r="J2072" s="1013"/>
      <c r="K2072" s="1028"/>
      <c r="L2072" s="1035" t="str">
        <f t="shared" si="739"/>
        <v/>
      </c>
      <c r="S2072" s="498"/>
      <c r="AJ2072" s="498"/>
      <c r="AM2072" s="498">
        <f t="shared" si="720"/>
        <v>0</v>
      </c>
      <c r="AN2072" s="498">
        <f t="shared" si="721"/>
        <v>0</v>
      </c>
      <c r="AO2072" s="498">
        <f t="shared" si="722"/>
        <v>0</v>
      </c>
      <c r="AP2072" s="498">
        <f t="shared" si="741"/>
        <v>0</v>
      </c>
      <c r="AQ2072" s="498">
        <f t="shared" si="736"/>
        <v>0</v>
      </c>
      <c r="AU2072" s="498">
        <f t="shared" si="723"/>
        <v>0</v>
      </c>
      <c r="AV2072" s="498">
        <f t="shared" si="724"/>
        <v>0</v>
      </c>
      <c r="AW2072" s="498">
        <f t="shared" si="725"/>
        <v>0</v>
      </c>
      <c r="AX2072" s="498">
        <f t="shared" si="726"/>
        <v>0</v>
      </c>
      <c r="AY2072" s="498">
        <f t="shared" si="727"/>
        <v>0</v>
      </c>
      <c r="BB2072" s="498" t="str">
        <f t="shared" si="728"/>
        <v/>
      </c>
      <c r="BC2072" s="743" t="str">
        <f t="shared" si="729"/>
        <v/>
      </c>
      <c r="BD2072" s="743" t="str">
        <f t="shared" si="730"/>
        <v/>
      </c>
      <c r="BE2072" s="743" t="str">
        <f>IF(D2072="","",VLOOKUP(D2072,'General Basis'!$J$39:$K$46,2,0))</f>
        <v/>
      </c>
      <c r="BF2072" s="744" t="str">
        <f>IF(D2072="","",VLOOKUP(D2072,'General Basis'!$J$39:$L$46,3,0))</f>
        <v/>
      </c>
      <c r="BG2072" s="744" t="str">
        <f t="shared" si="737"/>
        <v/>
      </c>
      <c r="BH2072" s="744" t="str">
        <f>IF(G2072="","",IF(BF2072="Abu Dhabi",IF(G2072&lt;18,'General Basis'!$C$39,IF(G2072&lt;41,'General Basis'!$C$40,IF(G2072&lt;60,'General Basis'!$C$41,IF(G2072&lt;65,'General Basis'!$C$42,'General Basis'!$C$43)))),IF(G2072&lt;11,'General Basis'!$B$39,IF(G2072&lt;18,'General Basis'!$B$40,IF(G2072&lt;26,'General Basis'!$B$41,IF(G2072&lt;31,'General Basis'!$B$42,IF(G2072&lt;36,'General Basis'!$B$43,IF(G2072&lt;41,'General Basis'!$B$44,IF(G2072&lt;46,'General Basis'!$B$45,IF(G2072&lt;51,'General Basis'!$B$46,IF(G2072&lt;56,'General Basis'!$B$47,IF(G2072&lt;60,'General Basis'!$B$48,IF(G2072&lt;65,'General Basis'!$B$49,'General Basis'!$B$50)))))))))))))</f>
        <v/>
      </c>
      <c r="BI2072" s="744" t="str">
        <f t="shared" si="731"/>
        <v/>
      </c>
      <c r="BJ2072" s="747" t="str">
        <f t="shared" si="738"/>
        <v/>
      </c>
      <c r="BK2072" s="498" t="str">
        <f t="shared" si="732"/>
        <v/>
      </c>
      <c r="BL2072" s="498" t="str">
        <f t="shared" si="733"/>
        <v/>
      </c>
    </row>
    <row r="2073" spans="1:64" x14ac:dyDescent="0.25">
      <c r="A2073" s="762">
        <f t="shared" si="734"/>
        <v>2068</v>
      </c>
      <c r="B2073" s="229"/>
      <c r="C2073" s="223"/>
      <c r="D2073" s="224"/>
      <c r="E2073" s="225"/>
      <c r="F2073" s="1036" t="str">
        <f t="shared" si="740"/>
        <v/>
      </c>
      <c r="G2073" s="1037" t="str">
        <f t="shared" si="735"/>
        <v/>
      </c>
      <c r="H2073" s="225"/>
      <c r="I2073" s="1013"/>
      <c r="J2073" s="1013"/>
      <c r="K2073" s="1028"/>
      <c r="L2073" s="1035" t="str">
        <f t="shared" si="739"/>
        <v/>
      </c>
      <c r="S2073" s="498"/>
      <c r="AJ2073" s="498"/>
      <c r="AM2073" s="498">
        <f t="shared" si="720"/>
        <v>0</v>
      </c>
      <c r="AN2073" s="498">
        <f t="shared" si="721"/>
        <v>0</v>
      </c>
      <c r="AO2073" s="498">
        <f t="shared" si="722"/>
        <v>0</v>
      </c>
      <c r="AP2073" s="498">
        <f t="shared" si="741"/>
        <v>0</v>
      </c>
      <c r="AQ2073" s="498">
        <f t="shared" si="736"/>
        <v>0</v>
      </c>
      <c r="AU2073" s="498">
        <f t="shared" si="723"/>
        <v>0</v>
      </c>
      <c r="AV2073" s="498">
        <f t="shared" si="724"/>
        <v>0</v>
      </c>
      <c r="AW2073" s="498">
        <f t="shared" si="725"/>
        <v>0</v>
      </c>
      <c r="AX2073" s="498">
        <f t="shared" si="726"/>
        <v>0</v>
      </c>
      <c r="AY2073" s="498">
        <f t="shared" si="727"/>
        <v>0</v>
      </c>
      <c r="BB2073" s="498" t="str">
        <f t="shared" si="728"/>
        <v/>
      </c>
      <c r="BC2073" s="743" t="str">
        <f t="shared" si="729"/>
        <v/>
      </c>
      <c r="BD2073" s="743" t="str">
        <f t="shared" si="730"/>
        <v/>
      </c>
      <c r="BE2073" s="743" t="str">
        <f>IF(D2073="","",VLOOKUP(D2073,'General Basis'!$J$39:$K$46,2,0))</f>
        <v/>
      </c>
      <c r="BF2073" s="744" t="str">
        <f>IF(D2073="","",VLOOKUP(D2073,'General Basis'!$J$39:$L$46,3,0))</f>
        <v/>
      </c>
      <c r="BG2073" s="744" t="str">
        <f t="shared" si="737"/>
        <v/>
      </c>
      <c r="BH2073" s="744" t="str">
        <f>IF(G2073="","",IF(BF2073="Abu Dhabi",IF(G2073&lt;18,'General Basis'!$C$39,IF(G2073&lt;41,'General Basis'!$C$40,IF(G2073&lt;60,'General Basis'!$C$41,IF(G2073&lt;65,'General Basis'!$C$42,'General Basis'!$C$43)))),IF(G2073&lt;11,'General Basis'!$B$39,IF(G2073&lt;18,'General Basis'!$B$40,IF(G2073&lt;26,'General Basis'!$B$41,IF(G2073&lt;31,'General Basis'!$B$42,IF(G2073&lt;36,'General Basis'!$B$43,IF(G2073&lt;41,'General Basis'!$B$44,IF(G2073&lt;46,'General Basis'!$B$45,IF(G2073&lt;51,'General Basis'!$B$46,IF(G2073&lt;56,'General Basis'!$B$47,IF(G2073&lt;60,'General Basis'!$B$48,IF(G2073&lt;65,'General Basis'!$B$49,'General Basis'!$B$50)))))))))))))</f>
        <v/>
      </c>
      <c r="BI2073" s="744" t="str">
        <f t="shared" si="731"/>
        <v/>
      </c>
      <c r="BJ2073" s="747" t="str">
        <f t="shared" si="738"/>
        <v/>
      </c>
      <c r="BK2073" s="498" t="str">
        <f t="shared" si="732"/>
        <v/>
      </c>
      <c r="BL2073" s="498" t="str">
        <f t="shared" si="733"/>
        <v/>
      </c>
    </row>
    <row r="2074" spans="1:64" x14ac:dyDescent="0.25">
      <c r="A2074" s="762">
        <f t="shared" si="734"/>
        <v>2069</v>
      </c>
      <c r="B2074" s="229"/>
      <c r="C2074" s="223"/>
      <c r="D2074" s="224"/>
      <c r="E2074" s="225"/>
      <c r="F2074" s="1036" t="str">
        <f t="shared" si="740"/>
        <v/>
      </c>
      <c r="G2074" s="1037" t="str">
        <f t="shared" si="735"/>
        <v/>
      </c>
      <c r="H2074" s="225"/>
      <c r="I2074" s="1013"/>
      <c r="J2074" s="1013"/>
      <c r="K2074" s="1028"/>
      <c r="L2074" s="1035" t="str">
        <f t="shared" si="739"/>
        <v/>
      </c>
      <c r="S2074" s="498"/>
      <c r="AJ2074" s="498"/>
      <c r="AM2074" s="498">
        <f t="shared" si="720"/>
        <v>0</v>
      </c>
      <c r="AN2074" s="498">
        <f t="shared" si="721"/>
        <v>0</v>
      </c>
      <c r="AO2074" s="498">
        <f t="shared" si="722"/>
        <v>0</v>
      </c>
      <c r="AP2074" s="498">
        <f t="shared" si="741"/>
        <v>0</v>
      </c>
      <c r="AQ2074" s="498">
        <f t="shared" si="736"/>
        <v>0</v>
      </c>
      <c r="AU2074" s="498">
        <f t="shared" si="723"/>
        <v>0</v>
      </c>
      <c r="AV2074" s="498">
        <f t="shared" si="724"/>
        <v>0</v>
      </c>
      <c r="AW2074" s="498">
        <f t="shared" si="725"/>
        <v>0</v>
      </c>
      <c r="AX2074" s="498">
        <f t="shared" si="726"/>
        <v>0</v>
      </c>
      <c r="AY2074" s="498">
        <f t="shared" si="727"/>
        <v>0</v>
      </c>
      <c r="BB2074" s="498" t="str">
        <f t="shared" si="728"/>
        <v/>
      </c>
      <c r="BC2074" s="743" t="str">
        <f t="shared" si="729"/>
        <v/>
      </c>
      <c r="BD2074" s="743" t="str">
        <f t="shared" si="730"/>
        <v/>
      </c>
      <c r="BE2074" s="743" t="str">
        <f>IF(D2074="","",VLOOKUP(D2074,'General Basis'!$J$39:$K$46,2,0))</f>
        <v/>
      </c>
      <c r="BF2074" s="744" t="str">
        <f>IF(D2074="","",VLOOKUP(D2074,'General Basis'!$J$39:$L$46,3,0))</f>
        <v/>
      </c>
      <c r="BG2074" s="744" t="str">
        <f t="shared" si="737"/>
        <v/>
      </c>
      <c r="BH2074" s="744" t="str">
        <f>IF(G2074="","",IF(BF2074="Abu Dhabi",IF(G2074&lt;18,'General Basis'!$C$39,IF(G2074&lt;41,'General Basis'!$C$40,IF(G2074&lt;60,'General Basis'!$C$41,IF(G2074&lt;65,'General Basis'!$C$42,'General Basis'!$C$43)))),IF(G2074&lt;11,'General Basis'!$B$39,IF(G2074&lt;18,'General Basis'!$B$40,IF(G2074&lt;26,'General Basis'!$B$41,IF(G2074&lt;31,'General Basis'!$B$42,IF(G2074&lt;36,'General Basis'!$B$43,IF(G2074&lt;41,'General Basis'!$B$44,IF(G2074&lt;46,'General Basis'!$B$45,IF(G2074&lt;51,'General Basis'!$B$46,IF(G2074&lt;56,'General Basis'!$B$47,IF(G2074&lt;60,'General Basis'!$B$48,IF(G2074&lt;65,'General Basis'!$B$49,'General Basis'!$B$50)))))))))))))</f>
        <v/>
      </c>
      <c r="BI2074" s="744" t="str">
        <f t="shared" si="731"/>
        <v/>
      </c>
      <c r="BJ2074" s="747" t="str">
        <f t="shared" si="738"/>
        <v/>
      </c>
      <c r="BK2074" s="498" t="str">
        <f t="shared" si="732"/>
        <v/>
      </c>
      <c r="BL2074" s="498" t="str">
        <f t="shared" si="733"/>
        <v/>
      </c>
    </row>
    <row r="2075" spans="1:64" x14ac:dyDescent="0.25">
      <c r="A2075" s="762">
        <f t="shared" si="734"/>
        <v>2070</v>
      </c>
      <c r="B2075" s="229"/>
      <c r="C2075" s="223"/>
      <c r="D2075" s="224"/>
      <c r="E2075" s="225"/>
      <c r="F2075" s="1036" t="str">
        <f t="shared" si="740"/>
        <v/>
      </c>
      <c r="G2075" s="1037" t="str">
        <f t="shared" si="735"/>
        <v/>
      </c>
      <c r="H2075" s="225"/>
      <c r="I2075" s="1013"/>
      <c r="J2075" s="1013"/>
      <c r="K2075" s="1028"/>
      <c r="L2075" s="1035" t="str">
        <f t="shared" si="739"/>
        <v/>
      </c>
      <c r="S2075" s="498"/>
      <c r="AJ2075" s="498"/>
      <c r="AM2075" s="498">
        <f t="shared" si="720"/>
        <v>0</v>
      </c>
      <c r="AN2075" s="498">
        <f t="shared" si="721"/>
        <v>0</v>
      </c>
      <c r="AO2075" s="498">
        <f t="shared" si="722"/>
        <v>0</v>
      </c>
      <c r="AP2075" s="498">
        <f t="shared" si="741"/>
        <v>0</v>
      </c>
      <c r="AQ2075" s="498">
        <f t="shared" si="736"/>
        <v>0</v>
      </c>
      <c r="AU2075" s="498">
        <f t="shared" si="723"/>
        <v>0</v>
      </c>
      <c r="AV2075" s="498">
        <f t="shared" si="724"/>
        <v>0</v>
      </c>
      <c r="AW2075" s="498">
        <f t="shared" si="725"/>
        <v>0</v>
      </c>
      <c r="AX2075" s="498">
        <f t="shared" si="726"/>
        <v>0</v>
      </c>
      <c r="AY2075" s="498">
        <f t="shared" si="727"/>
        <v>0</v>
      </c>
      <c r="BB2075" s="498" t="str">
        <f t="shared" si="728"/>
        <v/>
      </c>
      <c r="BC2075" s="743" t="str">
        <f t="shared" si="729"/>
        <v/>
      </c>
      <c r="BD2075" s="743" t="str">
        <f t="shared" si="730"/>
        <v/>
      </c>
      <c r="BE2075" s="743" t="str">
        <f>IF(D2075="","",VLOOKUP(D2075,'General Basis'!$J$39:$K$46,2,0))</f>
        <v/>
      </c>
      <c r="BF2075" s="744" t="str">
        <f>IF(D2075="","",VLOOKUP(D2075,'General Basis'!$J$39:$L$46,3,0))</f>
        <v/>
      </c>
      <c r="BG2075" s="744" t="str">
        <f t="shared" si="737"/>
        <v/>
      </c>
      <c r="BH2075" s="744" t="str">
        <f>IF(G2075="","",IF(BF2075="Abu Dhabi",IF(G2075&lt;18,'General Basis'!$C$39,IF(G2075&lt;41,'General Basis'!$C$40,IF(G2075&lt;60,'General Basis'!$C$41,IF(G2075&lt;65,'General Basis'!$C$42,'General Basis'!$C$43)))),IF(G2075&lt;11,'General Basis'!$B$39,IF(G2075&lt;18,'General Basis'!$B$40,IF(G2075&lt;26,'General Basis'!$B$41,IF(G2075&lt;31,'General Basis'!$B$42,IF(G2075&lt;36,'General Basis'!$B$43,IF(G2075&lt;41,'General Basis'!$B$44,IF(G2075&lt;46,'General Basis'!$B$45,IF(G2075&lt;51,'General Basis'!$B$46,IF(G2075&lt;56,'General Basis'!$B$47,IF(G2075&lt;60,'General Basis'!$B$48,IF(G2075&lt;65,'General Basis'!$B$49,'General Basis'!$B$50)))))))))))))</f>
        <v/>
      </c>
      <c r="BI2075" s="744" t="str">
        <f t="shared" si="731"/>
        <v/>
      </c>
      <c r="BJ2075" s="747" t="str">
        <f t="shared" si="738"/>
        <v/>
      </c>
      <c r="BK2075" s="498" t="str">
        <f t="shared" si="732"/>
        <v/>
      </c>
      <c r="BL2075" s="498" t="str">
        <f t="shared" si="733"/>
        <v/>
      </c>
    </row>
    <row r="2076" spans="1:64" x14ac:dyDescent="0.25">
      <c r="A2076" s="762">
        <f t="shared" si="734"/>
        <v>2071</v>
      </c>
      <c r="B2076" s="229"/>
      <c r="C2076" s="223"/>
      <c r="D2076" s="224"/>
      <c r="E2076" s="225"/>
      <c r="F2076" s="1036" t="str">
        <f t="shared" si="740"/>
        <v/>
      </c>
      <c r="G2076" s="1037" t="str">
        <f t="shared" si="735"/>
        <v/>
      </c>
      <c r="H2076" s="225"/>
      <c r="I2076" s="1013"/>
      <c r="J2076" s="1013"/>
      <c r="K2076" s="1028"/>
      <c r="L2076" s="1035" t="str">
        <f t="shared" si="739"/>
        <v/>
      </c>
      <c r="S2076" s="498"/>
      <c r="AJ2076" s="498"/>
      <c r="AM2076" s="498">
        <f t="shared" si="720"/>
        <v>0</v>
      </c>
      <c r="AN2076" s="498">
        <f t="shared" si="721"/>
        <v>0</v>
      </c>
      <c r="AO2076" s="498">
        <f t="shared" si="722"/>
        <v>0</v>
      </c>
      <c r="AP2076" s="498">
        <f t="shared" si="741"/>
        <v>0</v>
      </c>
      <c r="AQ2076" s="498">
        <f t="shared" si="736"/>
        <v>0</v>
      </c>
      <c r="AU2076" s="498">
        <f t="shared" si="723"/>
        <v>0</v>
      </c>
      <c r="AV2076" s="498">
        <f t="shared" si="724"/>
        <v>0</v>
      </c>
      <c r="AW2076" s="498">
        <f t="shared" si="725"/>
        <v>0</v>
      </c>
      <c r="AX2076" s="498">
        <f t="shared" si="726"/>
        <v>0</v>
      </c>
      <c r="AY2076" s="498">
        <f t="shared" si="727"/>
        <v>0</v>
      </c>
      <c r="BB2076" s="498" t="str">
        <f t="shared" si="728"/>
        <v/>
      </c>
      <c r="BC2076" s="743" t="str">
        <f t="shared" si="729"/>
        <v/>
      </c>
      <c r="BD2076" s="743" t="str">
        <f t="shared" si="730"/>
        <v/>
      </c>
      <c r="BE2076" s="743" t="str">
        <f>IF(D2076="","",VLOOKUP(D2076,'General Basis'!$J$39:$K$46,2,0))</f>
        <v/>
      </c>
      <c r="BF2076" s="744" t="str">
        <f>IF(D2076="","",VLOOKUP(D2076,'General Basis'!$J$39:$L$46,3,0))</f>
        <v/>
      </c>
      <c r="BG2076" s="744" t="str">
        <f t="shared" si="737"/>
        <v/>
      </c>
      <c r="BH2076" s="744" t="str">
        <f>IF(G2076="","",IF(BF2076="Abu Dhabi",IF(G2076&lt;18,'General Basis'!$C$39,IF(G2076&lt;41,'General Basis'!$C$40,IF(G2076&lt;60,'General Basis'!$C$41,IF(G2076&lt;65,'General Basis'!$C$42,'General Basis'!$C$43)))),IF(G2076&lt;11,'General Basis'!$B$39,IF(G2076&lt;18,'General Basis'!$B$40,IF(G2076&lt;26,'General Basis'!$B$41,IF(G2076&lt;31,'General Basis'!$B$42,IF(G2076&lt;36,'General Basis'!$B$43,IF(G2076&lt;41,'General Basis'!$B$44,IF(G2076&lt;46,'General Basis'!$B$45,IF(G2076&lt;51,'General Basis'!$B$46,IF(G2076&lt;56,'General Basis'!$B$47,IF(G2076&lt;60,'General Basis'!$B$48,IF(G2076&lt;65,'General Basis'!$B$49,'General Basis'!$B$50)))))))))))))</f>
        <v/>
      </c>
      <c r="BI2076" s="744" t="str">
        <f t="shared" si="731"/>
        <v/>
      </c>
      <c r="BJ2076" s="747" t="str">
        <f t="shared" si="738"/>
        <v/>
      </c>
      <c r="BK2076" s="498" t="str">
        <f t="shared" si="732"/>
        <v/>
      </c>
      <c r="BL2076" s="498" t="str">
        <f t="shared" si="733"/>
        <v/>
      </c>
    </row>
    <row r="2077" spans="1:64" x14ac:dyDescent="0.25">
      <c r="A2077" s="762">
        <f t="shared" si="734"/>
        <v>2072</v>
      </c>
      <c r="B2077" s="229"/>
      <c r="C2077" s="223"/>
      <c r="D2077" s="224"/>
      <c r="E2077" s="225"/>
      <c r="F2077" s="1036" t="str">
        <f t="shared" si="740"/>
        <v/>
      </c>
      <c r="G2077" s="1037" t="str">
        <f t="shared" si="735"/>
        <v/>
      </c>
      <c r="H2077" s="225"/>
      <c r="I2077" s="1013"/>
      <c r="J2077" s="1013"/>
      <c r="K2077" s="1028"/>
      <c r="L2077" s="1035" t="str">
        <f t="shared" si="739"/>
        <v/>
      </c>
      <c r="S2077" s="498"/>
      <c r="AJ2077" s="498"/>
      <c r="AM2077" s="498">
        <f t="shared" si="720"/>
        <v>0</v>
      </c>
      <c r="AN2077" s="498">
        <f t="shared" si="721"/>
        <v>0</v>
      </c>
      <c r="AO2077" s="498">
        <f t="shared" si="722"/>
        <v>0</v>
      </c>
      <c r="AP2077" s="498">
        <f t="shared" si="741"/>
        <v>0</v>
      </c>
      <c r="AQ2077" s="498">
        <f t="shared" si="736"/>
        <v>0</v>
      </c>
      <c r="AU2077" s="498">
        <f t="shared" si="723"/>
        <v>0</v>
      </c>
      <c r="AV2077" s="498">
        <f t="shared" si="724"/>
        <v>0</v>
      </c>
      <c r="AW2077" s="498">
        <f t="shared" si="725"/>
        <v>0</v>
      </c>
      <c r="AX2077" s="498">
        <f t="shared" si="726"/>
        <v>0</v>
      </c>
      <c r="AY2077" s="498">
        <f t="shared" si="727"/>
        <v>0</v>
      </c>
      <c r="BB2077" s="498" t="str">
        <f t="shared" si="728"/>
        <v/>
      </c>
      <c r="BC2077" s="743" t="str">
        <f t="shared" si="729"/>
        <v/>
      </c>
      <c r="BD2077" s="743" t="str">
        <f t="shared" si="730"/>
        <v/>
      </c>
      <c r="BE2077" s="743" t="str">
        <f>IF(D2077="","",VLOOKUP(D2077,'General Basis'!$J$39:$K$46,2,0))</f>
        <v/>
      </c>
      <c r="BF2077" s="744" t="str">
        <f>IF(D2077="","",VLOOKUP(D2077,'General Basis'!$J$39:$L$46,3,0))</f>
        <v/>
      </c>
      <c r="BG2077" s="744" t="str">
        <f t="shared" si="737"/>
        <v/>
      </c>
      <c r="BH2077" s="744" t="str">
        <f>IF(G2077="","",IF(BF2077="Abu Dhabi",IF(G2077&lt;18,'General Basis'!$C$39,IF(G2077&lt;41,'General Basis'!$C$40,IF(G2077&lt;60,'General Basis'!$C$41,IF(G2077&lt;65,'General Basis'!$C$42,'General Basis'!$C$43)))),IF(G2077&lt;11,'General Basis'!$B$39,IF(G2077&lt;18,'General Basis'!$B$40,IF(G2077&lt;26,'General Basis'!$B$41,IF(G2077&lt;31,'General Basis'!$B$42,IF(G2077&lt;36,'General Basis'!$B$43,IF(G2077&lt;41,'General Basis'!$B$44,IF(G2077&lt;46,'General Basis'!$B$45,IF(G2077&lt;51,'General Basis'!$B$46,IF(G2077&lt;56,'General Basis'!$B$47,IF(G2077&lt;60,'General Basis'!$B$48,IF(G2077&lt;65,'General Basis'!$B$49,'General Basis'!$B$50)))))))))))))</f>
        <v/>
      </c>
      <c r="BI2077" s="744" t="str">
        <f t="shared" si="731"/>
        <v/>
      </c>
      <c r="BJ2077" s="747" t="str">
        <f t="shared" si="738"/>
        <v/>
      </c>
      <c r="BK2077" s="498" t="str">
        <f t="shared" si="732"/>
        <v/>
      </c>
      <c r="BL2077" s="498" t="str">
        <f t="shared" si="733"/>
        <v/>
      </c>
    </row>
    <row r="2078" spans="1:64" x14ac:dyDescent="0.25">
      <c r="A2078" s="762">
        <f t="shared" si="734"/>
        <v>2073</v>
      </c>
      <c r="B2078" s="229"/>
      <c r="C2078" s="223"/>
      <c r="D2078" s="224"/>
      <c r="E2078" s="225"/>
      <c r="F2078" s="1036" t="str">
        <f t="shared" si="740"/>
        <v/>
      </c>
      <c r="G2078" s="1037" t="str">
        <f t="shared" si="735"/>
        <v/>
      </c>
      <c r="H2078" s="225"/>
      <c r="I2078" s="1013"/>
      <c r="J2078" s="1013"/>
      <c r="K2078" s="1028"/>
      <c r="L2078" s="1035" t="str">
        <f t="shared" si="739"/>
        <v/>
      </c>
      <c r="S2078" s="498"/>
      <c r="AJ2078" s="498"/>
      <c r="AM2078" s="498">
        <f t="shared" si="720"/>
        <v>0</v>
      </c>
      <c r="AN2078" s="498">
        <f t="shared" si="721"/>
        <v>0</v>
      </c>
      <c r="AO2078" s="498">
        <f t="shared" si="722"/>
        <v>0</v>
      </c>
      <c r="AP2078" s="498">
        <f t="shared" si="741"/>
        <v>0</v>
      </c>
      <c r="AQ2078" s="498">
        <f t="shared" si="736"/>
        <v>0</v>
      </c>
      <c r="AU2078" s="498">
        <f t="shared" si="723"/>
        <v>0</v>
      </c>
      <c r="AV2078" s="498">
        <f t="shared" si="724"/>
        <v>0</v>
      </c>
      <c r="AW2078" s="498">
        <f t="shared" si="725"/>
        <v>0</v>
      </c>
      <c r="AX2078" s="498">
        <f t="shared" si="726"/>
        <v>0</v>
      </c>
      <c r="AY2078" s="498">
        <f t="shared" si="727"/>
        <v>0</v>
      </c>
      <c r="BB2078" s="498" t="str">
        <f t="shared" si="728"/>
        <v/>
      </c>
      <c r="BC2078" s="743" t="str">
        <f t="shared" si="729"/>
        <v/>
      </c>
      <c r="BD2078" s="743" t="str">
        <f t="shared" si="730"/>
        <v/>
      </c>
      <c r="BE2078" s="743" t="str">
        <f>IF(D2078="","",VLOOKUP(D2078,'General Basis'!$J$39:$K$46,2,0))</f>
        <v/>
      </c>
      <c r="BF2078" s="744" t="str">
        <f>IF(D2078="","",VLOOKUP(D2078,'General Basis'!$J$39:$L$46,3,0))</f>
        <v/>
      </c>
      <c r="BG2078" s="744" t="str">
        <f t="shared" si="737"/>
        <v/>
      </c>
      <c r="BH2078" s="744" t="str">
        <f>IF(G2078="","",IF(BF2078="Abu Dhabi",IF(G2078&lt;18,'General Basis'!$C$39,IF(G2078&lt;41,'General Basis'!$C$40,IF(G2078&lt;60,'General Basis'!$C$41,IF(G2078&lt;65,'General Basis'!$C$42,'General Basis'!$C$43)))),IF(G2078&lt;11,'General Basis'!$B$39,IF(G2078&lt;18,'General Basis'!$B$40,IF(G2078&lt;26,'General Basis'!$B$41,IF(G2078&lt;31,'General Basis'!$B$42,IF(G2078&lt;36,'General Basis'!$B$43,IF(G2078&lt;41,'General Basis'!$B$44,IF(G2078&lt;46,'General Basis'!$B$45,IF(G2078&lt;51,'General Basis'!$B$46,IF(G2078&lt;56,'General Basis'!$B$47,IF(G2078&lt;60,'General Basis'!$B$48,IF(G2078&lt;65,'General Basis'!$B$49,'General Basis'!$B$50)))))))))))))</f>
        <v/>
      </c>
      <c r="BI2078" s="744" t="str">
        <f t="shared" si="731"/>
        <v/>
      </c>
      <c r="BJ2078" s="747" t="str">
        <f t="shared" si="738"/>
        <v/>
      </c>
      <c r="BK2078" s="498" t="str">
        <f t="shared" si="732"/>
        <v/>
      </c>
      <c r="BL2078" s="498" t="str">
        <f t="shared" si="733"/>
        <v/>
      </c>
    </row>
    <row r="2079" spans="1:64" x14ac:dyDescent="0.25">
      <c r="A2079" s="762">
        <f t="shared" si="734"/>
        <v>2074</v>
      </c>
      <c r="B2079" s="229"/>
      <c r="C2079" s="223"/>
      <c r="D2079" s="224"/>
      <c r="E2079" s="225"/>
      <c r="F2079" s="1036" t="str">
        <f t="shared" si="740"/>
        <v/>
      </c>
      <c r="G2079" s="1037" t="str">
        <f t="shared" si="735"/>
        <v/>
      </c>
      <c r="H2079" s="225"/>
      <c r="I2079" s="1013"/>
      <c r="J2079" s="1013"/>
      <c r="K2079" s="1028"/>
      <c r="L2079" s="1035" t="str">
        <f t="shared" si="739"/>
        <v/>
      </c>
      <c r="S2079" s="498"/>
      <c r="AJ2079" s="498"/>
      <c r="AM2079" s="498">
        <f t="shared" si="720"/>
        <v>0</v>
      </c>
      <c r="AN2079" s="498">
        <f t="shared" si="721"/>
        <v>0</v>
      </c>
      <c r="AO2079" s="498">
        <f t="shared" si="722"/>
        <v>0</v>
      </c>
      <c r="AP2079" s="498">
        <f t="shared" si="741"/>
        <v>0</v>
      </c>
      <c r="AQ2079" s="498">
        <f t="shared" si="736"/>
        <v>0</v>
      </c>
      <c r="AU2079" s="498">
        <f t="shared" si="723"/>
        <v>0</v>
      </c>
      <c r="AV2079" s="498">
        <f t="shared" si="724"/>
        <v>0</v>
      </c>
      <c r="AW2079" s="498">
        <f t="shared" si="725"/>
        <v>0</v>
      </c>
      <c r="AX2079" s="498">
        <f t="shared" si="726"/>
        <v>0</v>
      </c>
      <c r="AY2079" s="498">
        <f t="shared" si="727"/>
        <v>0</v>
      </c>
      <c r="BB2079" s="498" t="str">
        <f t="shared" si="728"/>
        <v/>
      </c>
      <c r="BC2079" s="743" t="str">
        <f t="shared" si="729"/>
        <v/>
      </c>
      <c r="BD2079" s="743" t="str">
        <f t="shared" si="730"/>
        <v/>
      </c>
      <c r="BE2079" s="743" t="str">
        <f>IF(D2079="","",VLOOKUP(D2079,'General Basis'!$J$39:$K$46,2,0))</f>
        <v/>
      </c>
      <c r="BF2079" s="744" t="str">
        <f>IF(D2079="","",VLOOKUP(D2079,'General Basis'!$J$39:$L$46,3,0))</f>
        <v/>
      </c>
      <c r="BG2079" s="744" t="str">
        <f t="shared" si="737"/>
        <v/>
      </c>
      <c r="BH2079" s="744" t="str">
        <f>IF(G2079="","",IF(BF2079="Abu Dhabi",IF(G2079&lt;18,'General Basis'!$C$39,IF(G2079&lt;41,'General Basis'!$C$40,IF(G2079&lt;60,'General Basis'!$C$41,IF(G2079&lt;65,'General Basis'!$C$42,'General Basis'!$C$43)))),IF(G2079&lt;11,'General Basis'!$B$39,IF(G2079&lt;18,'General Basis'!$B$40,IF(G2079&lt;26,'General Basis'!$B$41,IF(G2079&lt;31,'General Basis'!$B$42,IF(G2079&lt;36,'General Basis'!$B$43,IF(G2079&lt;41,'General Basis'!$B$44,IF(G2079&lt;46,'General Basis'!$B$45,IF(G2079&lt;51,'General Basis'!$B$46,IF(G2079&lt;56,'General Basis'!$B$47,IF(G2079&lt;60,'General Basis'!$B$48,IF(G2079&lt;65,'General Basis'!$B$49,'General Basis'!$B$50)))))))))))))</f>
        <v/>
      </c>
      <c r="BI2079" s="744" t="str">
        <f t="shared" si="731"/>
        <v/>
      </c>
      <c r="BJ2079" s="747" t="str">
        <f t="shared" si="738"/>
        <v/>
      </c>
      <c r="BK2079" s="498" t="str">
        <f t="shared" si="732"/>
        <v/>
      </c>
      <c r="BL2079" s="498" t="str">
        <f t="shared" si="733"/>
        <v/>
      </c>
    </row>
    <row r="2080" spans="1:64" x14ac:dyDescent="0.25">
      <c r="A2080" s="762">
        <f t="shared" si="734"/>
        <v>2075</v>
      </c>
      <c r="B2080" s="229"/>
      <c r="C2080" s="223"/>
      <c r="D2080" s="224"/>
      <c r="E2080" s="225"/>
      <c r="F2080" s="1036" t="str">
        <f t="shared" si="740"/>
        <v/>
      </c>
      <c r="G2080" s="1037" t="str">
        <f t="shared" si="735"/>
        <v/>
      </c>
      <c r="H2080" s="225"/>
      <c r="I2080" s="1013"/>
      <c r="J2080" s="1013"/>
      <c r="K2080" s="1028"/>
      <c r="L2080" s="1035" t="str">
        <f t="shared" si="739"/>
        <v/>
      </c>
      <c r="S2080" s="498"/>
      <c r="AJ2080" s="498"/>
      <c r="AM2080" s="498">
        <f t="shared" si="720"/>
        <v>0</v>
      </c>
      <c r="AN2080" s="498">
        <f t="shared" si="721"/>
        <v>0</v>
      </c>
      <c r="AO2080" s="498">
        <f t="shared" si="722"/>
        <v>0</v>
      </c>
      <c r="AP2080" s="498">
        <f t="shared" si="741"/>
        <v>0</v>
      </c>
      <c r="AQ2080" s="498">
        <f t="shared" si="736"/>
        <v>0</v>
      </c>
      <c r="AU2080" s="498">
        <f t="shared" si="723"/>
        <v>0</v>
      </c>
      <c r="AV2080" s="498">
        <f t="shared" si="724"/>
        <v>0</v>
      </c>
      <c r="AW2080" s="498">
        <f t="shared" si="725"/>
        <v>0</v>
      </c>
      <c r="AX2080" s="498">
        <f t="shared" si="726"/>
        <v>0</v>
      </c>
      <c r="AY2080" s="498">
        <f t="shared" si="727"/>
        <v>0</v>
      </c>
      <c r="BB2080" s="498" t="str">
        <f t="shared" si="728"/>
        <v/>
      </c>
      <c r="BC2080" s="743" t="str">
        <f t="shared" si="729"/>
        <v/>
      </c>
      <c r="BD2080" s="743" t="str">
        <f t="shared" si="730"/>
        <v/>
      </c>
      <c r="BE2080" s="743" t="str">
        <f>IF(D2080="","",VLOOKUP(D2080,'General Basis'!$J$39:$K$46,2,0))</f>
        <v/>
      </c>
      <c r="BF2080" s="744" t="str">
        <f>IF(D2080="","",VLOOKUP(D2080,'General Basis'!$J$39:$L$46,3,0))</f>
        <v/>
      </c>
      <c r="BG2080" s="744" t="str">
        <f t="shared" si="737"/>
        <v/>
      </c>
      <c r="BH2080" s="744" t="str">
        <f>IF(G2080="","",IF(BF2080="Abu Dhabi",IF(G2080&lt;18,'General Basis'!$C$39,IF(G2080&lt;41,'General Basis'!$C$40,IF(G2080&lt;60,'General Basis'!$C$41,IF(G2080&lt;65,'General Basis'!$C$42,'General Basis'!$C$43)))),IF(G2080&lt;11,'General Basis'!$B$39,IF(G2080&lt;18,'General Basis'!$B$40,IF(G2080&lt;26,'General Basis'!$B$41,IF(G2080&lt;31,'General Basis'!$B$42,IF(G2080&lt;36,'General Basis'!$B$43,IF(G2080&lt;41,'General Basis'!$B$44,IF(G2080&lt;46,'General Basis'!$B$45,IF(G2080&lt;51,'General Basis'!$B$46,IF(G2080&lt;56,'General Basis'!$B$47,IF(G2080&lt;60,'General Basis'!$B$48,IF(G2080&lt;65,'General Basis'!$B$49,'General Basis'!$B$50)))))))))))))</f>
        <v/>
      </c>
      <c r="BI2080" s="744" t="str">
        <f t="shared" si="731"/>
        <v/>
      </c>
      <c r="BJ2080" s="747" t="str">
        <f t="shared" si="738"/>
        <v/>
      </c>
      <c r="BK2080" s="498" t="str">
        <f t="shared" si="732"/>
        <v/>
      </c>
      <c r="BL2080" s="498" t="str">
        <f t="shared" si="733"/>
        <v/>
      </c>
    </row>
    <row r="2081" spans="1:64" x14ac:dyDescent="0.25">
      <c r="A2081" s="762">
        <f t="shared" si="734"/>
        <v>2076</v>
      </c>
      <c r="B2081" s="229"/>
      <c r="C2081" s="223"/>
      <c r="D2081" s="224"/>
      <c r="E2081" s="225"/>
      <c r="F2081" s="1036" t="str">
        <f t="shared" si="740"/>
        <v/>
      </c>
      <c r="G2081" s="1037" t="str">
        <f t="shared" si="735"/>
        <v/>
      </c>
      <c r="H2081" s="225"/>
      <c r="I2081" s="1013"/>
      <c r="J2081" s="1013"/>
      <c r="K2081" s="1028"/>
      <c r="L2081" s="1035" t="str">
        <f t="shared" si="739"/>
        <v/>
      </c>
      <c r="S2081" s="498"/>
      <c r="AJ2081" s="498"/>
      <c r="AM2081" s="498">
        <f t="shared" si="720"/>
        <v>0</v>
      </c>
      <c r="AN2081" s="498">
        <f t="shared" si="721"/>
        <v>0</v>
      </c>
      <c r="AO2081" s="498">
        <f t="shared" si="722"/>
        <v>0</v>
      </c>
      <c r="AP2081" s="498">
        <f t="shared" si="741"/>
        <v>0</v>
      </c>
      <c r="AQ2081" s="498">
        <f t="shared" si="736"/>
        <v>0</v>
      </c>
      <c r="AU2081" s="498">
        <f t="shared" si="723"/>
        <v>0</v>
      </c>
      <c r="AV2081" s="498">
        <f t="shared" si="724"/>
        <v>0</v>
      </c>
      <c r="AW2081" s="498">
        <f t="shared" si="725"/>
        <v>0</v>
      </c>
      <c r="AX2081" s="498">
        <f t="shared" si="726"/>
        <v>0</v>
      </c>
      <c r="AY2081" s="498">
        <f t="shared" si="727"/>
        <v>0</v>
      </c>
      <c r="BB2081" s="498" t="str">
        <f t="shared" si="728"/>
        <v/>
      </c>
      <c r="BC2081" s="743" t="str">
        <f t="shared" si="729"/>
        <v/>
      </c>
      <c r="BD2081" s="743" t="str">
        <f t="shared" si="730"/>
        <v/>
      </c>
      <c r="BE2081" s="743" t="str">
        <f>IF(D2081="","",VLOOKUP(D2081,'General Basis'!$J$39:$K$46,2,0))</f>
        <v/>
      </c>
      <c r="BF2081" s="744" t="str">
        <f>IF(D2081="","",VLOOKUP(D2081,'General Basis'!$J$39:$L$46,3,0))</f>
        <v/>
      </c>
      <c r="BG2081" s="744" t="str">
        <f t="shared" si="737"/>
        <v/>
      </c>
      <c r="BH2081" s="744" t="str">
        <f>IF(G2081="","",IF(BF2081="Abu Dhabi",IF(G2081&lt;18,'General Basis'!$C$39,IF(G2081&lt;41,'General Basis'!$C$40,IF(G2081&lt;60,'General Basis'!$C$41,IF(G2081&lt;65,'General Basis'!$C$42,'General Basis'!$C$43)))),IF(G2081&lt;11,'General Basis'!$B$39,IF(G2081&lt;18,'General Basis'!$B$40,IF(G2081&lt;26,'General Basis'!$B$41,IF(G2081&lt;31,'General Basis'!$B$42,IF(G2081&lt;36,'General Basis'!$B$43,IF(G2081&lt;41,'General Basis'!$B$44,IF(G2081&lt;46,'General Basis'!$B$45,IF(G2081&lt;51,'General Basis'!$B$46,IF(G2081&lt;56,'General Basis'!$B$47,IF(G2081&lt;60,'General Basis'!$B$48,IF(G2081&lt;65,'General Basis'!$B$49,'General Basis'!$B$50)))))))))))))</f>
        <v/>
      </c>
      <c r="BI2081" s="744" t="str">
        <f t="shared" si="731"/>
        <v/>
      </c>
      <c r="BJ2081" s="747" t="str">
        <f t="shared" si="738"/>
        <v/>
      </c>
      <c r="BK2081" s="498" t="str">
        <f t="shared" si="732"/>
        <v/>
      </c>
      <c r="BL2081" s="498" t="str">
        <f t="shared" si="733"/>
        <v/>
      </c>
    </row>
    <row r="2082" spans="1:64" x14ac:dyDescent="0.25">
      <c r="A2082" s="762">
        <f t="shared" si="734"/>
        <v>2077</v>
      </c>
      <c r="B2082" s="229"/>
      <c r="C2082" s="223"/>
      <c r="D2082" s="224"/>
      <c r="E2082" s="225"/>
      <c r="F2082" s="1036" t="str">
        <f t="shared" si="740"/>
        <v/>
      </c>
      <c r="G2082" s="1037" t="str">
        <f t="shared" si="735"/>
        <v/>
      </c>
      <c r="H2082" s="225"/>
      <c r="I2082" s="1013"/>
      <c r="J2082" s="1013"/>
      <c r="K2082" s="1028"/>
      <c r="L2082" s="1035" t="str">
        <f t="shared" si="739"/>
        <v/>
      </c>
      <c r="S2082" s="498"/>
      <c r="AJ2082" s="498"/>
      <c r="AM2082" s="498">
        <f t="shared" si="720"/>
        <v>0</v>
      </c>
      <c r="AN2082" s="498">
        <f t="shared" si="721"/>
        <v>0</v>
      </c>
      <c r="AO2082" s="498">
        <f t="shared" si="722"/>
        <v>0</v>
      </c>
      <c r="AP2082" s="498">
        <f t="shared" si="741"/>
        <v>0</v>
      </c>
      <c r="AQ2082" s="498">
        <f t="shared" si="736"/>
        <v>0</v>
      </c>
      <c r="AU2082" s="498">
        <f t="shared" si="723"/>
        <v>0</v>
      </c>
      <c r="AV2082" s="498">
        <f t="shared" si="724"/>
        <v>0</v>
      </c>
      <c r="AW2082" s="498">
        <f t="shared" si="725"/>
        <v>0</v>
      </c>
      <c r="AX2082" s="498">
        <f t="shared" si="726"/>
        <v>0</v>
      </c>
      <c r="AY2082" s="498">
        <f t="shared" si="727"/>
        <v>0</v>
      </c>
      <c r="BB2082" s="498" t="str">
        <f t="shared" si="728"/>
        <v/>
      </c>
      <c r="BC2082" s="743" t="str">
        <f t="shared" si="729"/>
        <v/>
      </c>
      <c r="BD2082" s="743" t="str">
        <f t="shared" si="730"/>
        <v/>
      </c>
      <c r="BE2082" s="743" t="str">
        <f>IF(D2082="","",VLOOKUP(D2082,'General Basis'!$J$39:$K$46,2,0))</f>
        <v/>
      </c>
      <c r="BF2082" s="744" t="str">
        <f>IF(D2082="","",VLOOKUP(D2082,'General Basis'!$J$39:$L$46,3,0))</f>
        <v/>
      </c>
      <c r="BG2082" s="744" t="str">
        <f t="shared" si="737"/>
        <v/>
      </c>
      <c r="BH2082" s="744" t="str">
        <f>IF(G2082="","",IF(BF2082="Abu Dhabi",IF(G2082&lt;18,'General Basis'!$C$39,IF(G2082&lt;41,'General Basis'!$C$40,IF(G2082&lt;60,'General Basis'!$C$41,IF(G2082&lt;65,'General Basis'!$C$42,'General Basis'!$C$43)))),IF(G2082&lt;11,'General Basis'!$B$39,IF(G2082&lt;18,'General Basis'!$B$40,IF(G2082&lt;26,'General Basis'!$B$41,IF(G2082&lt;31,'General Basis'!$B$42,IF(G2082&lt;36,'General Basis'!$B$43,IF(G2082&lt;41,'General Basis'!$B$44,IF(G2082&lt;46,'General Basis'!$B$45,IF(G2082&lt;51,'General Basis'!$B$46,IF(G2082&lt;56,'General Basis'!$B$47,IF(G2082&lt;60,'General Basis'!$B$48,IF(G2082&lt;65,'General Basis'!$B$49,'General Basis'!$B$50)))))))))))))</f>
        <v/>
      </c>
      <c r="BI2082" s="744" t="str">
        <f t="shared" si="731"/>
        <v/>
      </c>
      <c r="BJ2082" s="747" t="str">
        <f t="shared" si="738"/>
        <v/>
      </c>
      <c r="BK2082" s="498" t="str">
        <f t="shared" si="732"/>
        <v/>
      </c>
      <c r="BL2082" s="498" t="str">
        <f t="shared" si="733"/>
        <v/>
      </c>
    </row>
    <row r="2083" spans="1:64" x14ac:dyDescent="0.25">
      <c r="A2083" s="762">
        <f t="shared" si="734"/>
        <v>2078</v>
      </c>
      <c r="B2083" s="229"/>
      <c r="C2083" s="223"/>
      <c r="D2083" s="224"/>
      <c r="E2083" s="225"/>
      <c r="F2083" s="1036" t="str">
        <f t="shared" si="740"/>
        <v/>
      </c>
      <c r="G2083" s="1037" t="str">
        <f t="shared" si="735"/>
        <v/>
      </c>
      <c r="H2083" s="225"/>
      <c r="I2083" s="1013"/>
      <c r="J2083" s="1013"/>
      <c r="K2083" s="1028"/>
      <c r="L2083" s="1035" t="str">
        <f t="shared" si="739"/>
        <v/>
      </c>
      <c r="S2083" s="498"/>
      <c r="AJ2083" s="498"/>
      <c r="AM2083" s="498">
        <f t="shared" si="720"/>
        <v>0</v>
      </c>
      <c r="AN2083" s="498">
        <f t="shared" si="721"/>
        <v>0</v>
      </c>
      <c r="AO2083" s="498">
        <f t="shared" si="722"/>
        <v>0</v>
      </c>
      <c r="AP2083" s="498">
        <f t="shared" si="741"/>
        <v>0</v>
      </c>
      <c r="AQ2083" s="498">
        <f t="shared" si="736"/>
        <v>0</v>
      </c>
      <c r="AU2083" s="498">
        <f t="shared" si="723"/>
        <v>0</v>
      </c>
      <c r="AV2083" s="498">
        <f t="shared" si="724"/>
        <v>0</v>
      </c>
      <c r="AW2083" s="498">
        <f t="shared" si="725"/>
        <v>0</v>
      </c>
      <c r="AX2083" s="498">
        <f t="shared" si="726"/>
        <v>0</v>
      </c>
      <c r="AY2083" s="498">
        <f t="shared" si="727"/>
        <v>0</v>
      </c>
      <c r="BB2083" s="498" t="str">
        <f t="shared" si="728"/>
        <v/>
      </c>
      <c r="BC2083" s="743" t="str">
        <f t="shared" si="729"/>
        <v/>
      </c>
      <c r="BD2083" s="743" t="str">
        <f t="shared" si="730"/>
        <v/>
      </c>
      <c r="BE2083" s="743" t="str">
        <f>IF(D2083="","",VLOOKUP(D2083,'General Basis'!$J$39:$K$46,2,0))</f>
        <v/>
      </c>
      <c r="BF2083" s="744" t="str">
        <f>IF(D2083="","",VLOOKUP(D2083,'General Basis'!$J$39:$L$46,3,0))</f>
        <v/>
      </c>
      <c r="BG2083" s="744" t="str">
        <f t="shared" si="737"/>
        <v/>
      </c>
      <c r="BH2083" s="744" t="str">
        <f>IF(G2083="","",IF(BF2083="Abu Dhabi",IF(G2083&lt;18,'General Basis'!$C$39,IF(G2083&lt;41,'General Basis'!$C$40,IF(G2083&lt;60,'General Basis'!$C$41,IF(G2083&lt;65,'General Basis'!$C$42,'General Basis'!$C$43)))),IF(G2083&lt;11,'General Basis'!$B$39,IF(G2083&lt;18,'General Basis'!$B$40,IF(G2083&lt;26,'General Basis'!$B$41,IF(G2083&lt;31,'General Basis'!$B$42,IF(G2083&lt;36,'General Basis'!$B$43,IF(G2083&lt;41,'General Basis'!$B$44,IF(G2083&lt;46,'General Basis'!$B$45,IF(G2083&lt;51,'General Basis'!$B$46,IF(G2083&lt;56,'General Basis'!$B$47,IF(G2083&lt;60,'General Basis'!$B$48,IF(G2083&lt;65,'General Basis'!$B$49,'General Basis'!$B$50)))))))))))))</f>
        <v/>
      </c>
      <c r="BI2083" s="744" t="str">
        <f t="shared" si="731"/>
        <v/>
      </c>
      <c r="BJ2083" s="747" t="str">
        <f t="shared" si="738"/>
        <v/>
      </c>
      <c r="BK2083" s="498" t="str">
        <f t="shared" si="732"/>
        <v/>
      </c>
      <c r="BL2083" s="498" t="str">
        <f t="shared" si="733"/>
        <v/>
      </c>
    </row>
    <row r="2084" spans="1:64" x14ac:dyDescent="0.25">
      <c r="A2084" s="762">
        <f t="shared" si="734"/>
        <v>2079</v>
      </c>
      <c r="B2084" s="229"/>
      <c r="C2084" s="223"/>
      <c r="D2084" s="224"/>
      <c r="E2084" s="225"/>
      <c r="F2084" s="1036" t="str">
        <f t="shared" si="740"/>
        <v/>
      </c>
      <c r="G2084" s="1037" t="str">
        <f t="shared" si="735"/>
        <v/>
      </c>
      <c r="H2084" s="225"/>
      <c r="I2084" s="1013"/>
      <c r="J2084" s="1013"/>
      <c r="K2084" s="1028"/>
      <c r="L2084" s="1035" t="str">
        <f t="shared" si="739"/>
        <v/>
      </c>
      <c r="S2084" s="498"/>
      <c r="AJ2084" s="498"/>
      <c r="AM2084" s="498">
        <f t="shared" si="720"/>
        <v>0</v>
      </c>
      <c r="AN2084" s="498">
        <f t="shared" si="721"/>
        <v>0</v>
      </c>
      <c r="AO2084" s="498">
        <f t="shared" si="722"/>
        <v>0</v>
      </c>
      <c r="AP2084" s="498">
        <f t="shared" si="741"/>
        <v>0</v>
      </c>
      <c r="AQ2084" s="498">
        <f t="shared" si="736"/>
        <v>0</v>
      </c>
      <c r="AU2084" s="498">
        <f t="shared" si="723"/>
        <v>0</v>
      </c>
      <c r="AV2084" s="498">
        <f t="shared" si="724"/>
        <v>0</v>
      </c>
      <c r="AW2084" s="498">
        <f t="shared" si="725"/>
        <v>0</v>
      </c>
      <c r="AX2084" s="498">
        <f t="shared" si="726"/>
        <v>0</v>
      </c>
      <c r="AY2084" s="498">
        <f t="shared" si="727"/>
        <v>0</v>
      </c>
      <c r="BB2084" s="498" t="str">
        <f t="shared" si="728"/>
        <v/>
      </c>
      <c r="BC2084" s="743" t="str">
        <f t="shared" si="729"/>
        <v/>
      </c>
      <c r="BD2084" s="743" t="str">
        <f t="shared" si="730"/>
        <v/>
      </c>
      <c r="BE2084" s="743" t="str">
        <f>IF(D2084="","",VLOOKUP(D2084,'General Basis'!$J$39:$K$46,2,0))</f>
        <v/>
      </c>
      <c r="BF2084" s="744" t="str">
        <f>IF(D2084="","",VLOOKUP(D2084,'General Basis'!$J$39:$L$46,3,0))</f>
        <v/>
      </c>
      <c r="BG2084" s="744" t="str">
        <f t="shared" si="737"/>
        <v/>
      </c>
      <c r="BH2084" s="744" t="str">
        <f>IF(G2084="","",IF(BF2084="Abu Dhabi",IF(G2084&lt;18,'General Basis'!$C$39,IF(G2084&lt;41,'General Basis'!$C$40,IF(G2084&lt;60,'General Basis'!$C$41,IF(G2084&lt;65,'General Basis'!$C$42,'General Basis'!$C$43)))),IF(G2084&lt;11,'General Basis'!$B$39,IF(G2084&lt;18,'General Basis'!$B$40,IF(G2084&lt;26,'General Basis'!$B$41,IF(G2084&lt;31,'General Basis'!$B$42,IF(G2084&lt;36,'General Basis'!$B$43,IF(G2084&lt;41,'General Basis'!$B$44,IF(G2084&lt;46,'General Basis'!$B$45,IF(G2084&lt;51,'General Basis'!$B$46,IF(G2084&lt;56,'General Basis'!$B$47,IF(G2084&lt;60,'General Basis'!$B$48,IF(G2084&lt;65,'General Basis'!$B$49,'General Basis'!$B$50)))))))))))))</f>
        <v/>
      </c>
      <c r="BI2084" s="744" t="str">
        <f t="shared" si="731"/>
        <v/>
      </c>
      <c r="BJ2084" s="747" t="str">
        <f t="shared" si="738"/>
        <v/>
      </c>
      <c r="BK2084" s="498" t="str">
        <f t="shared" si="732"/>
        <v/>
      </c>
      <c r="BL2084" s="498" t="str">
        <f t="shared" si="733"/>
        <v/>
      </c>
    </row>
    <row r="2085" spans="1:64" x14ac:dyDescent="0.25">
      <c r="A2085" s="762">
        <f t="shared" si="734"/>
        <v>2080</v>
      </c>
      <c r="B2085" s="229"/>
      <c r="C2085" s="223"/>
      <c r="D2085" s="224"/>
      <c r="E2085" s="225"/>
      <c r="F2085" s="1036" t="str">
        <f t="shared" si="740"/>
        <v/>
      </c>
      <c r="G2085" s="1037" t="str">
        <f t="shared" si="735"/>
        <v/>
      </c>
      <c r="H2085" s="225"/>
      <c r="I2085" s="1013"/>
      <c r="J2085" s="1013"/>
      <c r="K2085" s="1028"/>
      <c r="L2085" s="1035" t="str">
        <f t="shared" si="739"/>
        <v/>
      </c>
      <c r="S2085" s="498"/>
      <c r="AJ2085" s="498"/>
      <c r="AM2085" s="498">
        <f t="shared" si="720"/>
        <v>0</v>
      </c>
      <c r="AN2085" s="498">
        <f t="shared" si="721"/>
        <v>0</v>
      </c>
      <c r="AO2085" s="498">
        <f t="shared" si="722"/>
        <v>0</v>
      </c>
      <c r="AP2085" s="498">
        <f t="shared" si="741"/>
        <v>0</v>
      </c>
      <c r="AQ2085" s="498">
        <f t="shared" si="736"/>
        <v>0</v>
      </c>
      <c r="AU2085" s="498">
        <f t="shared" si="723"/>
        <v>0</v>
      </c>
      <c r="AV2085" s="498">
        <f t="shared" si="724"/>
        <v>0</v>
      </c>
      <c r="AW2085" s="498">
        <f t="shared" si="725"/>
        <v>0</v>
      </c>
      <c r="AX2085" s="498">
        <f t="shared" si="726"/>
        <v>0</v>
      </c>
      <c r="AY2085" s="498">
        <f t="shared" si="727"/>
        <v>0</v>
      </c>
      <c r="BB2085" s="498" t="str">
        <f t="shared" si="728"/>
        <v/>
      </c>
      <c r="BC2085" s="743" t="str">
        <f t="shared" si="729"/>
        <v/>
      </c>
      <c r="BD2085" s="743" t="str">
        <f t="shared" si="730"/>
        <v/>
      </c>
      <c r="BE2085" s="743" t="str">
        <f>IF(D2085="","",VLOOKUP(D2085,'General Basis'!$J$39:$K$46,2,0))</f>
        <v/>
      </c>
      <c r="BF2085" s="744" t="str">
        <f>IF(D2085="","",VLOOKUP(D2085,'General Basis'!$J$39:$L$46,3,0))</f>
        <v/>
      </c>
      <c r="BG2085" s="744" t="str">
        <f t="shared" si="737"/>
        <v/>
      </c>
      <c r="BH2085" s="744" t="str">
        <f>IF(G2085="","",IF(BF2085="Abu Dhabi",IF(G2085&lt;18,'General Basis'!$C$39,IF(G2085&lt;41,'General Basis'!$C$40,IF(G2085&lt;60,'General Basis'!$C$41,IF(G2085&lt;65,'General Basis'!$C$42,'General Basis'!$C$43)))),IF(G2085&lt;11,'General Basis'!$B$39,IF(G2085&lt;18,'General Basis'!$B$40,IF(G2085&lt;26,'General Basis'!$B$41,IF(G2085&lt;31,'General Basis'!$B$42,IF(G2085&lt;36,'General Basis'!$B$43,IF(G2085&lt;41,'General Basis'!$B$44,IF(G2085&lt;46,'General Basis'!$B$45,IF(G2085&lt;51,'General Basis'!$B$46,IF(G2085&lt;56,'General Basis'!$B$47,IF(G2085&lt;60,'General Basis'!$B$48,IF(G2085&lt;65,'General Basis'!$B$49,'General Basis'!$B$50)))))))))))))</f>
        <v/>
      </c>
      <c r="BI2085" s="744" t="str">
        <f t="shared" si="731"/>
        <v/>
      </c>
      <c r="BJ2085" s="747" t="str">
        <f t="shared" si="738"/>
        <v/>
      </c>
      <c r="BK2085" s="498" t="str">
        <f t="shared" si="732"/>
        <v/>
      </c>
      <c r="BL2085" s="498" t="str">
        <f t="shared" si="733"/>
        <v/>
      </c>
    </row>
    <row r="2086" spans="1:64" x14ac:dyDescent="0.25">
      <c r="A2086" s="762">
        <f t="shared" si="734"/>
        <v>2081</v>
      </c>
      <c r="B2086" s="229"/>
      <c r="C2086" s="223"/>
      <c r="D2086" s="224"/>
      <c r="E2086" s="225"/>
      <c r="F2086" s="1036" t="str">
        <f t="shared" si="740"/>
        <v/>
      </c>
      <c r="G2086" s="1037" t="str">
        <f t="shared" si="735"/>
        <v/>
      </c>
      <c r="H2086" s="225"/>
      <c r="I2086" s="1013"/>
      <c r="J2086" s="1013"/>
      <c r="K2086" s="1028"/>
      <c r="L2086" s="1035" t="str">
        <f t="shared" si="739"/>
        <v/>
      </c>
      <c r="S2086" s="498"/>
      <c r="AJ2086" s="498"/>
      <c r="AM2086" s="498">
        <f t="shared" si="720"/>
        <v>0</v>
      </c>
      <c r="AN2086" s="498">
        <f t="shared" si="721"/>
        <v>0</v>
      </c>
      <c r="AO2086" s="498">
        <f t="shared" si="722"/>
        <v>0</v>
      </c>
      <c r="AP2086" s="498">
        <f t="shared" si="741"/>
        <v>0</v>
      </c>
      <c r="AQ2086" s="498">
        <f t="shared" si="736"/>
        <v>0</v>
      </c>
      <c r="AU2086" s="498">
        <f t="shared" si="723"/>
        <v>0</v>
      </c>
      <c r="AV2086" s="498">
        <f t="shared" si="724"/>
        <v>0</v>
      </c>
      <c r="AW2086" s="498">
        <f t="shared" si="725"/>
        <v>0</v>
      </c>
      <c r="AX2086" s="498">
        <f t="shared" si="726"/>
        <v>0</v>
      </c>
      <c r="AY2086" s="498">
        <f t="shared" si="727"/>
        <v>0</v>
      </c>
      <c r="BB2086" s="498" t="str">
        <f t="shared" si="728"/>
        <v/>
      </c>
      <c r="BC2086" s="743" t="str">
        <f t="shared" si="729"/>
        <v/>
      </c>
      <c r="BD2086" s="743" t="str">
        <f t="shared" si="730"/>
        <v/>
      </c>
      <c r="BE2086" s="743" t="str">
        <f>IF(D2086="","",VLOOKUP(D2086,'General Basis'!$J$39:$K$46,2,0))</f>
        <v/>
      </c>
      <c r="BF2086" s="744" t="str">
        <f>IF(D2086="","",VLOOKUP(D2086,'General Basis'!$J$39:$L$46,3,0))</f>
        <v/>
      </c>
      <c r="BG2086" s="744" t="str">
        <f t="shared" si="737"/>
        <v/>
      </c>
      <c r="BH2086" s="744" t="str">
        <f>IF(G2086="","",IF(BF2086="Abu Dhabi",IF(G2086&lt;18,'General Basis'!$C$39,IF(G2086&lt;41,'General Basis'!$C$40,IF(G2086&lt;60,'General Basis'!$C$41,IF(G2086&lt;65,'General Basis'!$C$42,'General Basis'!$C$43)))),IF(G2086&lt;11,'General Basis'!$B$39,IF(G2086&lt;18,'General Basis'!$B$40,IF(G2086&lt;26,'General Basis'!$B$41,IF(G2086&lt;31,'General Basis'!$B$42,IF(G2086&lt;36,'General Basis'!$B$43,IF(G2086&lt;41,'General Basis'!$B$44,IF(G2086&lt;46,'General Basis'!$B$45,IF(G2086&lt;51,'General Basis'!$B$46,IF(G2086&lt;56,'General Basis'!$B$47,IF(G2086&lt;60,'General Basis'!$B$48,IF(G2086&lt;65,'General Basis'!$B$49,'General Basis'!$B$50)))))))))))))</f>
        <v/>
      </c>
      <c r="BI2086" s="744" t="str">
        <f t="shared" si="731"/>
        <v/>
      </c>
      <c r="BJ2086" s="747" t="str">
        <f t="shared" si="738"/>
        <v/>
      </c>
      <c r="BK2086" s="498" t="str">
        <f t="shared" si="732"/>
        <v/>
      </c>
      <c r="BL2086" s="498" t="str">
        <f t="shared" si="733"/>
        <v/>
      </c>
    </row>
    <row r="2087" spans="1:64" x14ac:dyDescent="0.25">
      <c r="A2087" s="762">
        <f t="shared" si="734"/>
        <v>2082</v>
      </c>
      <c r="B2087" s="229"/>
      <c r="C2087" s="223"/>
      <c r="D2087" s="224"/>
      <c r="E2087" s="225"/>
      <c r="F2087" s="1036" t="str">
        <f t="shared" si="740"/>
        <v/>
      </c>
      <c r="G2087" s="1037" t="str">
        <f t="shared" si="735"/>
        <v/>
      </c>
      <c r="H2087" s="225"/>
      <c r="I2087" s="1013"/>
      <c r="J2087" s="1013"/>
      <c r="K2087" s="1028"/>
      <c r="L2087" s="1035" t="str">
        <f t="shared" si="739"/>
        <v/>
      </c>
      <c r="S2087" s="498"/>
      <c r="AJ2087" s="498"/>
      <c r="AM2087" s="498">
        <f t="shared" si="720"/>
        <v>0</v>
      </c>
      <c r="AN2087" s="498">
        <f t="shared" si="721"/>
        <v>0</v>
      </c>
      <c r="AO2087" s="498">
        <f t="shared" si="722"/>
        <v>0</v>
      </c>
      <c r="AP2087" s="498">
        <f t="shared" si="741"/>
        <v>0</v>
      </c>
      <c r="AQ2087" s="498">
        <f t="shared" si="736"/>
        <v>0</v>
      </c>
      <c r="AU2087" s="498">
        <f t="shared" si="723"/>
        <v>0</v>
      </c>
      <c r="AV2087" s="498">
        <f t="shared" si="724"/>
        <v>0</v>
      </c>
      <c r="AW2087" s="498">
        <f t="shared" si="725"/>
        <v>0</v>
      </c>
      <c r="AX2087" s="498">
        <f t="shared" si="726"/>
        <v>0</v>
      </c>
      <c r="AY2087" s="498">
        <f t="shared" si="727"/>
        <v>0</v>
      </c>
      <c r="BB2087" s="498" t="str">
        <f t="shared" si="728"/>
        <v/>
      </c>
      <c r="BC2087" s="743" t="str">
        <f t="shared" si="729"/>
        <v/>
      </c>
      <c r="BD2087" s="743" t="str">
        <f t="shared" si="730"/>
        <v/>
      </c>
      <c r="BE2087" s="743" t="str">
        <f>IF(D2087="","",VLOOKUP(D2087,'General Basis'!$J$39:$K$46,2,0))</f>
        <v/>
      </c>
      <c r="BF2087" s="744" t="str">
        <f>IF(D2087="","",VLOOKUP(D2087,'General Basis'!$J$39:$L$46,3,0))</f>
        <v/>
      </c>
      <c r="BG2087" s="744" t="str">
        <f t="shared" si="737"/>
        <v/>
      </c>
      <c r="BH2087" s="744" t="str">
        <f>IF(G2087="","",IF(BF2087="Abu Dhabi",IF(G2087&lt;18,'General Basis'!$C$39,IF(G2087&lt;41,'General Basis'!$C$40,IF(G2087&lt;60,'General Basis'!$C$41,IF(G2087&lt;65,'General Basis'!$C$42,'General Basis'!$C$43)))),IF(G2087&lt;11,'General Basis'!$B$39,IF(G2087&lt;18,'General Basis'!$B$40,IF(G2087&lt;26,'General Basis'!$B$41,IF(G2087&lt;31,'General Basis'!$B$42,IF(G2087&lt;36,'General Basis'!$B$43,IF(G2087&lt;41,'General Basis'!$B$44,IF(G2087&lt;46,'General Basis'!$B$45,IF(G2087&lt;51,'General Basis'!$B$46,IF(G2087&lt;56,'General Basis'!$B$47,IF(G2087&lt;60,'General Basis'!$B$48,IF(G2087&lt;65,'General Basis'!$B$49,'General Basis'!$B$50)))))))))))))</f>
        <v/>
      </c>
      <c r="BI2087" s="744" t="str">
        <f t="shared" si="731"/>
        <v/>
      </c>
      <c r="BJ2087" s="747" t="str">
        <f t="shared" si="738"/>
        <v/>
      </c>
      <c r="BK2087" s="498" t="str">
        <f t="shared" si="732"/>
        <v/>
      </c>
      <c r="BL2087" s="498" t="str">
        <f t="shared" si="733"/>
        <v/>
      </c>
    </row>
    <row r="2088" spans="1:64" x14ac:dyDescent="0.25">
      <c r="A2088" s="762">
        <f t="shared" si="734"/>
        <v>2083</v>
      </c>
      <c r="B2088" s="229"/>
      <c r="C2088" s="223"/>
      <c r="D2088" s="224"/>
      <c r="E2088" s="225"/>
      <c r="F2088" s="1036" t="str">
        <f t="shared" si="740"/>
        <v/>
      </c>
      <c r="G2088" s="1037" t="str">
        <f t="shared" si="735"/>
        <v/>
      </c>
      <c r="H2088" s="225"/>
      <c r="I2088" s="1013"/>
      <c r="J2088" s="1013"/>
      <c r="K2088" s="1028"/>
      <c r="L2088" s="1035" t="str">
        <f t="shared" si="739"/>
        <v/>
      </c>
      <c r="S2088" s="498"/>
      <c r="AJ2088" s="498"/>
      <c r="AM2088" s="498">
        <f t="shared" si="720"/>
        <v>0</v>
      </c>
      <c r="AN2088" s="498">
        <f t="shared" si="721"/>
        <v>0</v>
      </c>
      <c r="AO2088" s="498">
        <f t="shared" si="722"/>
        <v>0</v>
      </c>
      <c r="AP2088" s="498">
        <f t="shared" si="741"/>
        <v>0</v>
      </c>
      <c r="AQ2088" s="498">
        <f t="shared" si="736"/>
        <v>0</v>
      </c>
      <c r="AU2088" s="498">
        <f t="shared" si="723"/>
        <v>0</v>
      </c>
      <c r="AV2088" s="498">
        <f t="shared" si="724"/>
        <v>0</v>
      </c>
      <c r="AW2088" s="498">
        <f t="shared" si="725"/>
        <v>0</v>
      </c>
      <c r="AX2088" s="498">
        <f t="shared" si="726"/>
        <v>0</v>
      </c>
      <c r="AY2088" s="498">
        <f t="shared" si="727"/>
        <v>0</v>
      </c>
      <c r="BB2088" s="498" t="str">
        <f t="shared" si="728"/>
        <v/>
      </c>
      <c r="BC2088" s="743" t="str">
        <f t="shared" si="729"/>
        <v/>
      </c>
      <c r="BD2088" s="743" t="str">
        <f t="shared" si="730"/>
        <v/>
      </c>
      <c r="BE2088" s="743" t="str">
        <f>IF(D2088="","",VLOOKUP(D2088,'General Basis'!$J$39:$K$46,2,0))</f>
        <v/>
      </c>
      <c r="BF2088" s="744" t="str">
        <f>IF(D2088="","",VLOOKUP(D2088,'General Basis'!$J$39:$L$46,3,0))</f>
        <v/>
      </c>
      <c r="BG2088" s="744" t="str">
        <f t="shared" si="737"/>
        <v/>
      </c>
      <c r="BH2088" s="744" t="str">
        <f>IF(G2088="","",IF(BF2088="Abu Dhabi",IF(G2088&lt;18,'General Basis'!$C$39,IF(G2088&lt;41,'General Basis'!$C$40,IF(G2088&lt;60,'General Basis'!$C$41,IF(G2088&lt;65,'General Basis'!$C$42,'General Basis'!$C$43)))),IF(G2088&lt;11,'General Basis'!$B$39,IF(G2088&lt;18,'General Basis'!$B$40,IF(G2088&lt;26,'General Basis'!$B$41,IF(G2088&lt;31,'General Basis'!$B$42,IF(G2088&lt;36,'General Basis'!$B$43,IF(G2088&lt;41,'General Basis'!$B$44,IF(G2088&lt;46,'General Basis'!$B$45,IF(G2088&lt;51,'General Basis'!$B$46,IF(G2088&lt;56,'General Basis'!$B$47,IF(G2088&lt;60,'General Basis'!$B$48,IF(G2088&lt;65,'General Basis'!$B$49,'General Basis'!$B$50)))))))))))))</f>
        <v/>
      </c>
      <c r="BI2088" s="744" t="str">
        <f t="shared" si="731"/>
        <v/>
      </c>
      <c r="BJ2088" s="747" t="str">
        <f t="shared" si="738"/>
        <v/>
      </c>
      <c r="BK2088" s="498" t="str">
        <f t="shared" si="732"/>
        <v/>
      </c>
      <c r="BL2088" s="498" t="str">
        <f t="shared" si="733"/>
        <v/>
      </c>
    </row>
    <row r="2089" spans="1:64" x14ac:dyDescent="0.25">
      <c r="A2089" s="762">
        <f t="shared" si="734"/>
        <v>2084</v>
      </c>
      <c r="B2089" s="229"/>
      <c r="C2089" s="223"/>
      <c r="D2089" s="224"/>
      <c r="E2089" s="225"/>
      <c r="F2089" s="1036" t="str">
        <f t="shared" si="740"/>
        <v/>
      </c>
      <c r="G2089" s="1037" t="str">
        <f t="shared" si="735"/>
        <v/>
      </c>
      <c r="H2089" s="225"/>
      <c r="I2089" s="1013"/>
      <c r="J2089" s="1013"/>
      <c r="K2089" s="1028"/>
      <c r="L2089" s="1035" t="str">
        <f t="shared" si="739"/>
        <v/>
      </c>
      <c r="S2089" s="498"/>
      <c r="AJ2089" s="498"/>
      <c r="AM2089" s="498">
        <f t="shared" si="720"/>
        <v>0</v>
      </c>
      <c r="AN2089" s="498">
        <f t="shared" si="721"/>
        <v>0</v>
      </c>
      <c r="AO2089" s="498">
        <f t="shared" si="722"/>
        <v>0</v>
      </c>
      <c r="AP2089" s="498">
        <f t="shared" si="741"/>
        <v>0</v>
      </c>
      <c r="AQ2089" s="498">
        <f t="shared" si="736"/>
        <v>0</v>
      </c>
      <c r="AU2089" s="498">
        <f t="shared" si="723"/>
        <v>0</v>
      </c>
      <c r="AV2089" s="498">
        <f t="shared" si="724"/>
        <v>0</v>
      </c>
      <c r="AW2089" s="498">
        <f t="shared" si="725"/>
        <v>0</v>
      </c>
      <c r="AX2089" s="498">
        <f t="shared" si="726"/>
        <v>0</v>
      </c>
      <c r="AY2089" s="498">
        <f t="shared" si="727"/>
        <v>0</v>
      </c>
      <c r="BB2089" s="498" t="str">
        <f t="shared" si="728"/>
        <v/>
      </c>
      <c r="BC2089" s="743" t="str">
        <f t="shared" si="729"/>
        <v/>
      </c>
      <c r="BD2089" s="743" t="str">
        <f t="shared" si="730"/>
        <v/>
      </c>
      <c r="BE2089" s="743" t="str">
        <f>IF(D2089="","",VLOOKUP(D2089,'General Basis'!$J$39:$K$46,2,0))</f>
        <v/>
      </c>
      <c r="BF2089" s="744" t="str">
        <f>IF(D2089="","",VLOOKUP(D2089,'General Basis'!$J$39:$L$46,3,0))</f>
        <v/>
      </c>
      <c r="BG2089" s="744" t="str">
        <f t="shared" si="737"/>
        <v/>
      </c>
      <c r="BH2089" s="744" t="str">
        <f>IF(G2089="","",IF(BF2089="Abu Dhabi",IF(G2089&lt;18,'General Basis'!$C$39,IF(G2089&lt;41,'General Basis'!$C$40,IF(G2089&lt;60,'General Basis'!$C$41,IF(G2089&lt;65,'General Basis'!$C$42,'General Basis'!$C$43)))),IF(G2089&lt;11,'General Basis'!$B$39,IF(G2089&lt;18,'General Basis'!$B$40,IF(G2089&lt;26,'General Basis'!$B$41,IF(G2089&lt;31,'General Basis'!$B$42,IF(G2089&lt;36,'General Basis'!$B$43,IF(G2089&lt;41,'General Basis'!$B$44,IF(G2089&lt;46,'General Basis'!$B$45,IF(G2089&lt;51,'General Basis'!$B$46,IF(G2089&lt;56,'General Basis'!$B$47,IF(G2089&lt;60,'General Basis'!$B$48,IF(G2089&lt;65,'General Basis'!$B$49,'General Basis'!$B$50)))))))))))))</f>
        <v/>
      </c>
      <c r="BI2089" s="744" t="str">
        <f t="shared" si="731"/>
        <v/>
      </c>
      <c r="BJ2089" s="747" t="str">
        <f t="shared" si="738"/>
        <v/>
      </c>
      <c r="BK2089" s="498" t="str">
        <f t="shared" si="732"/>
        <v/>
      </c>
      <c r="BL2089" s="498" t="str">
        <f t="shared" si="733"/>
        <v/>
      </c>
    </row>
    <row r="2090" spans="1:64" x14ac:dyDescent="0.25">
      <c r="A2090" s="762">
        <f t="shared" si="734"/>
        <v>2085</v>
      </c>
      <c r="B2090" s="229"/>
      <c r="C2090" s="223"/>
      <c r="D2090" s="224"/>
      <c r="E2090" s="225"/>
      <c r="F2090" s="1036" t="str">
        <f t="shared" si="740"/>
        <v/>
      </c>
      <c r="G2090" s="1037" t="str">
        <f t="shared" si="735"/>
        <v/>
      </c>
      <c r="H2090" s="225"/>
      <c r="I2090" s="1013"/>
      <c r="J2090" s="1013"/>
      <c r="K2090" s="1028"/>
      <c r="L2090" s="1035" t="str">
        <f t="shared" si="739"/>
        <v/>
      </c>
      <c r="S2090" s="498"/>
      <c r="AJ2090" s="498"/>
      <c r="AM2090" s="498">
        <f t="shared" si="720"/>
        <v>0</v>
      </c>
      <c r="AN2090" s="498">
        <f t="shared" si="721"/>
        <v>0</v>
      </c>
      <c r="AO2090" s="498">
        <f t="shared" si="722"/>
        <v>0</v>
      </c>
      <c r="AP2090" s="498">
        <f t="shared" si="741"/>
        <v>0</v>
      </c>
      <c r="AQ2090" s="498">
        <f t="shared" si="736"/>
        <v>0</v>
      </c>
      <c r="AU2090" s="498">
        <f t="shared" si="723"/>
        <v>0</v>
      </c>
      <c r="AV2090" s="498">
        <f t="shared" si="724"/>
        <v>0</v>
      </c>
      <c r="AW2090" s="498">
        <f t="shared" si="725"/>
        <v>0</v>
      </c>
      <c r="AX2090" s="498">
        <f t="shared" si="726"/>
        <v>0</v>
      </c>
      <c r="AY2090" s="498">
        <f t="shared" si="727"/>
        <v>0</v>
      </c>
      <c r="BB2090" s="498" t="str">
        <f t="shared" si="728"/>
        <v/>
      </c>
      <c r="BC2090" s="743" t="str">
        <f t="shared" si="729"/>
        <v/>
      </c>
      <c r="BD2090" s="743" t="str">
        <f t="shared" si="730"/>
        <v/>
      </c>
      <c r="BE2090" s="743" t="str">
        <f>IF(D2090="","",VLOOKUP(D2090,'General Basis'!$J$39:$K$46,2,0))</f>
        <v/>
      </c>
      <c r="BF2090" s="744" t="str">
        <f>IF(D2090="","",VLOOKUP(D2090,'General Basis'!$J$39:$L$46,3,0))</f>
        <v/>
      </c>
      <c r="BG2090" s="744" t="str">
        <f t="shared" si="737"/>
        <v/>
      </c>
      <c r="BH2090" s="744" t="str">
        <f>IF(G2090="","",IF(BF2090="Abu Dhabi",IF(G2090&lt;18,'General Basis'!$C$39,IF(G2090&lt;41,'General Basis'!$C$40,IF(G2090&lt;60,'General Basis'!$C$41,IF(G2090&lt;65,'General Basis'!$C$42,'General Basis'!$C$43)))),IF(G2090&lt;11,'General Basis'!$B$39,IF(G2090&lt;18,'General Basis'!$B$40,IF(G2090&lt;26,'General Basis'!$B$41,IF(G2090&lt;31,'General Basis'!$B$42,IF(G2090&lt;36,'General Basis'!$B$43,IF(G2090&lt;41,'General Basis'!$B$44,IF(G2090&lt;46,'General Basis'!$B$45,IF(G2090&lt;51,'General Basis'!$B$46,IF(G2090&lt;56,'General Basis'!$B$47,IF(G2090&lt;60,'General Basis'!$B$48,IF(G2090&lt;65,'General Basis'!$B$49,'General Basis'!$B$50)))))))))))))</f>
        <v/>
      </c>
      <c r="BI2090" s="744" t="str">
        <f t="shared" si="731"/>
        <v/>
      </c>
      <c r="BJ2090" s="747" t="str">
        <f t="shared" si="738"/>
        <v/>
      </c>
      <c r="BK2090" s="498" t="str">
        <f t="shared" si="732"/>
        <v/>
      </c>
      <c r="BL2090" s="498" t="str">
        <f t="shared" si="733"/>
        <v/>
      </c>
    </row>
    <row r="2091" spans="1:64" x14ac:dyDescent="0.25">
      <c r="A2091" s="762">
        <f t="shared" si="734"/>
        <v>2086</v>
      </c>
      <c r="B2091" s="229"/>
      <c r="C2091" s="223"/>
      <c r="D2091" s="224"/>
      <c r="E2091" s="225"/>
      <c r="F2091" s="1036" t="str">
        <f t="shared" si="740"/>
        <v/>
      </c>
      <c r="G2091" s="1037" t="str">
        <f t="shared" si="735"/>
        <v/>
      </c>
      <c r="H2091" s="225"/>
      <c r="I2091" s="1013"/>
      <c r="J2091" s="1013"/>
      <c r="K2091" s="1028"/>
      <c r="L2091" s="1035" t="str">
        <f t="shared" si="739"/>
        <v/>
      </c>
      <c r="S2091" s="498"/>
      <c r="AJ2091" s="498"/>
      <c r="AM2091" s="498">
        <f t="shared" si="720"/>
        <v>0</v>
      </c>
      <c r="AN2091" s="498">
        <f t="shared" si="721"/>
        <v>0</v>
      </c>
      <c r="AO2091" s="498">
        <f t="shared" si="722"/>
        <v>0</v>
      </c>
      <c r="AP2091" s="498">
        <f t="shared" si="741"/>
        <v>0</v>
      </c>
      <c r="AQ2091" s="498">
        <f t="shared" si="736"/>
        <v>0</v>
      </c>
      <c r="AU2091" s="498">
        <f t="shared" si="723"/>
        <v>0</v>
      </c>
      <c r="AV2091" s="498">
        <f t="shared" si="724"/>
        <v>0</v>
      </c>
      <c r="AW2091" s="498">
        <f t="shared" si="725"/>
        <v>0</v>
      </c>
      <c r="AX2091" s="498">
        <f t="shared" si="726"/>
        <v>0</v>
      </c>
      <c r="AY2091" s="498">
        <f t="shared" si="727"/>
        <v>0</v>
      </c>
      <c r="BB2091" s="498" t="str">
        <f t="shared" si="728"/>
        <v/>
      </c>
      <c r="BC2091" s="743" t="str">
        <f t="shared" si="729"/>
        <v/>
      </c>
      <c r="BD2091" s="743" t="str">
        <f t="shared" si="730"/>
        <v/>
      </c>
      <c r="BE2091" s="743" t="str">
        <f>IF(D2091="","",VLOOKUP(D2091,'General Basis'!$J$39:$K$46,2,0))</f>
        <v/>
      </c>
      <c r="BF2091" s="744" t="str">
        <f>IF(D2091="","",VLOOKUP(D2091,'General Basis'!$J$39:$L$46,3,0))</f>
        <v/>
      </c>
      <c r="BG2091" s="744" t="str">
        <f t="shared" si="737"/>
        <v/>
      </c>
      <c r="BH2091" s="744" t="str">
        <f>IF(G2091="","",IF(BF2091="Abu Dhabi",IF(G2091&lt;18,'General Basis'!$C$39,IF(G2091&lt;41,'General Basis'!$C$40,IF(G2091&lt;60,'General Basis'!$C$41,IF(G2091&lt;65,'General Basis'!$C$42,'General Basis'!$C$43)))),IF(G2091&lt;11,'General Basis'!$B$39,IF(G2091&lt;18,'General Basis'!$B$40,IF(G2091&lt;26,'General Basis'!$B$41,IF(G2091&lt;31,'General Basis'!$B$42,IF(G2091&lt;36,'General Basis'!$B$43,IF(G2091&lt;41,'General Basis'!$B$44,IF(G2091&lt;46,'General Basis'!$B$45,IF(G2091&lt;51,'General Basis'!$B$46,IF(G2091&lt;56,'General Basis'!$B$47,IF(G2091&lt;60,'General Basis'!$B$48,IF(G2091&lt;65,'General Basis'!$B$49,'General Basis'!$B$50)))))))))))))</f>
        <v/>
      </c>
      <c r="BI2091" s="744" t="str">
        <f t="shared" si="731"/>
        <v/>
      </c>
      <c r="BJ2091" s="747" t="str">
        <f t="shared" si="738"/>
        <v/>
      </c>
      <c r="BK2091" s="498" t="str">
        <f t="shared" si="732"/>
        <v/>
      </c>
      <c r="BL2091" s="498" t="str">
        <f t="shared" si="733"/>
        <v/>
      </c>
    </row>
    <row r="2092" spans="1:64" x14ac:dyDescent="0.25">
      <c r="A2092" s="762">
        <f t="shared" si="734"/>
        <v>2087</v>
      </c>
      <c r="B2092" s="229"/>
      <c r="C2092" s="223"/>
      <c r="D2092" s="224"/>
      <c r="E2092" s="225"/>
      <c r="F2092" s="1036" t="str">
        <f t="shared" si="740"/>
        <v/>
      </c>
      <c r="G2092" s="1037" t="str">
        <f t="shared" si="735"/>
        <v/>
      </c>
      <c r="H2092" s="225"/>
      <c r="I2092" s="1013"/>
      <c r="J2092" s="1013"/>
      <c r="K2092" s="1028"/>
      <c r="L2092" s="1035" t="str">
        <f t="shared" si="739"/>
        <v/>
      </c>
      <c r="S2092" s="498"/>
      <c r="AJ2092" s="498"/>
      <c r="AM2092" s="498">
        <f t="shared" si="720"/>
        <v>0</v>
      </c>
      <c r="AN2092" s="498">
        <f t="shared" si="721"/>
        <v>0</v>
      </c>
      <c r="AO2092" s="498">
        <f t="shared" si="722"/>
        <v>0</v>
      </c>
      <c r="AP2092" s="498">
        <f t="shared" si="741"/>
        <v>0</v>
      </c>
      <c r="AQ2092" s="498">
        <f t="shared" si="736"/>
        <v>0</v>
      </c>
      <c r="AU2092" s="498">
        <f t="shared" si="723"/>
        <v>0</v>
      </c>
      <c r="AV2092" s="498">
        <f t="shared" si="724"/>
        <v>0</v>
      </c>
      <c r="AW2092" s="498">
        <f t="shared" si="725"/>
        <v>0</v>
      </c>
      <c r="AX2092" s="498">
        <f t="shared" si="726"/>
        <v>0</v>
      </c>
      <c r="AY2092" s="498">
        <f t="shared" si="727"/>
        <v>0</v>
      </c>
      <c r="BB2092" s="498" t="str">
        <f t="shared" si="728"/>
        <v/>
      </c>
      <c r="BC2092" s="743" t="str">
        <f t="shared" si="729"/>
        <v/>
      </c>
      <c r="BD2092" s="743" t="str">
        <f t="shared" si="730"/>
        <v/>
      </c>
      <c r="BE2092" s="743" t="str">
        <f>IF(D2092="","",VLOOKUP(D2092,'General Basis'!$J$39:$K$46,2,0))</f>
        <v/>
      </c>
      <c r="BF2092" s="744" t="str">
        <f>IF(D2092="","",VLOOKUP(D2092,'General Basis'!$J$39:$L$46,3,0))</f>
        <v/>
      </c>
      <c r="BG2092" s="744" t="str">
        <f t="shared" si="737"/>
        <v/>
      </c>
      <c r="BH2092" s="744" t="str">
        <f>IF(G2092="","",IF(BF2092="Abu Dhabi",IF(G2092&lt;18,'General Basis'!$C$39,IF(G2092&lt;41,'General Basis'!$C$40,IF(G2092&lt;60,'General Basis'!$C$41,IF(G2092&lt;65,'General Basis'!$C$42,'General Basis'!$C$43)))),IF(G2092&lt;11,'General Basis'!$B$39,IF(G2092&lt;18,'General Basis'!$B$40,IF(G2092&lt;26,'General Basis'!$B$41,IF(G2092&lt;31,'General Basis'!$B$42,IF(G2092&lt;36,'General Basis'!$B$43,IF(G2092&lt;41,'General Basis'!$B$44,IF(G2092&lt;46,'General Basis'!$B$45,IF(G2092&lt;51,'General Basis'!$B$46,IF(G2092&lt;56,'General Basis'!$B$47,IF(G2092&lt;60,'General Basis'!$B$48,IF(G2092&lt;65,'General Basis'!$B$49,'General Basis'!$B$50)))))))))))))</f>
        <v/>
      </c>
      <c r="BI2092" s="744" t="str">
        <f t="shared" si="731"/>
        <v/>
      </c>
      <c r="BJ2092" s="747" t="str">
        <f t="shared" si="738"/>
        <v/>
      </c>
      <c r="BK2092" s="498" t="str">
        <f t="shared" si="732"/>
        <v/>
      </c>
      <c r="BL2092" s="498" t="str">
        <f t="shared" si="733"/>
        <v/>
      </c>
    </row>
    <row r="2093" spans="1:64" x14ac:dyDescent="0.25">
      <c r="A2093" s="762">
        <f t="shared" si="734"/>
        <v>2088</v>
      </c>
      <c r="B2093" s="229"/>
      <c r="C2093" s="223"/>
      <c r="D2093" s="224"/>
      <c r="E2093" s="225"/>
      <c r="F2093" s="1036" t="str">
        <f t="shared" si="740"/>
        <v/>
      </c>
      <c r="G2093" s="1037" t="str">
        <f t="shared" si="735"/>
        <v/>
      </c>
      <c r="H2093" s="225"/>
      <c r="I2093" s="1013"/>
      <c r="J2093" s="1013"/>
      <c r="K2093" s="1028"/>
      <c r="L2093" s="1035" t="str">
        <f t="shared" si="739"/>
        <v/>
      </c>
      <c r="S2093" s="498"/>
      <c r="AJ2093" s="498"/>
      <c r="AM2093" s="498">
        <f t="shared" si="720"/>
        <v>0</v>
      </c>
      <c r="AN2093" s="498">
        <f t="shared" si="721"/>
        <v>0</v>
      </c>
      <c r="AO2093" s="498">
        <f t="shared" si="722"/>
        <v>0</v>
      </c>
      <c r="AP2093" s="498">
        <f t="shared" si="741"/>
        <v>0</v>
      </c>
      <c r="AQ2093" s="498">
        <f t="shared" si="736"/>
        <v>0</v>
      </c>
      <c r="AU2093" s="498">
        <f t="shared" si="723"/>
        <v>0</v>
      </c>
      <c r="AV2093" s="498">
        <f t="shared" si="724"/>
        <v>0</v>
      </c>
      <c r="AW2093" s="498">
        <f t="shared" si="725"/>
        <v>0</v>
      </c>
      <c r="AX2093" s="498">
        <f t="shared" si="726"/>
        <v>0</v>
      </c>
      <c r="AY2093" s="498">
        <f t="shared" si="727"/>
        <v>0</v>
      </c>
      <c r="BB2093" s="498" t="str">
        <f t="shared" si="728"/>
        <v/>
      </c>
      <c r="BC2093" s="743" t="str">
        <f t="shared" si="729"/>
        <v/>
      </c>
      <c r="BD2093" s="743" t="str">
        <f t="shared" si="730"/>
        <v/>
      </c>
      <c r="BE2093" s="743" t="str">
        <f>IF(D2093="","",VLOOKUP(D2093,'General Basis'!$J$39:$K$46,2,0))</f>
        <v/>
      </c>
      <c r="BF2093" s="744" t="str">
        <f>IF(D2093="","",VLOOKUP(D2093,'General Basis'!$J$39:$L$46,3,0))</f>
        <v/>
      </c>
      <c r="BG2093" s="744" t="str">
        <f t="shared" si="737"/>
        <v/>
      </c>
      <c r="BH2093" s="744" t="str">
        <f>IF(G2093="","",IF(BF2093="Abu Dhabi",IF(G2093&lt;18,'General Basis'!$C$39,IF(G2093&lt;41,'General Basis'!$C$40,IF(G2093&lt;60,'General Basis'!$C$41,IF(G2093&lt;65,'General Basis'!$C$42,'General Basis'!$C$43)))),IF(G2093&lt;11,'General Basis'!$B$39,IF(G2093&lt;18,'General Basis'!$B$40,IF(G2093&lt;26,'General Basis'!$B$41,IF(G2093&lt;31,'General Basis'!$B$42,IF(G2093&lt;36,'General Basis'!$B$43,IF(G2093&lt;41,'General Basis'!$B$44,IF(G2093&lt;46,'General Basis'!$B$45,IF(G2093&lt;51,'General Basis'!$B$46,IF(G2093&lt;56,'General Basis'!$B$47,IF(G2093&lt;60,'General Basis'!$B$48,IF(G2093&lt;65,'General Basis'!$B$49,'General Basis'!$B$50)))))))))))))</f>
        <v/>
      </c>
      <c r="BI2093" s="744" t="str">
        <f t="shared" si="731"/>
        <v/>
      </c>
      <c r="BJ2093" s="747" t="str">
        <f t="shared" si="738"/>
        <v/>
      </c>
      <c r="BK2093" s="498" t="str">
        <f t="shared" si="732"/>
        <v/>
      </c>
      <c r="BL2093" s="498" t="str">
        <f t="shared" si="733"/>
        <v/>
      </c>
    </row>
    <row r="2094" spans="1:64" x14ac:dyDescent="0.25">
      <c r="A2094" s="762">
        <f t="shared" si="734"/>
        <v>2089</v>
      </c>
      <c r="B2094" s="229"/>
      <c r="C2094" s="223"/>
      <c r="D2094" s="224"/>
      <c r="E2094" s="225"/>
      <c r="F2094" s="1036" t="str">
        <f t="shared" si="740"/>
        <v/>
      </c>
      <c r="G2094" s="1037" t="str">
        <f t="shared" si="735"/>
        <v/>
      </c>
      <c r="H2094" s="225"/>
      <c r="I2094" s="1013"/>
      <c r="J2094" s="1013"/>
      <c r="K2094" s="1028"/>
      <c r="L2094" s="1035" t="str">
        <f t="shared" si="739"/>
        <v/>
      </c>
      <c r="S2094" s="498"/>
      <c r="AJ2094" s="498"/>
      <c r="AM2094" s="498">
        <f t="shared" si="720"/>
        <v>0</v>
      </c>
      <c r="AN2094" s="498">
        <f t="shared" si="721"/>
        <v>0</v>
      </c>
      <c r="AO2094" s="498">
        <f t="shared" si="722"/>
        <v>0</v>
      </c>
      <c r="AP2094" s="498">
        <f t="shared" si="741"/>
        <v>0</v>
      </c>
      <c r="AQ2094" s="498">
        <f t="shared" si="736"/>
        <v>0</v>
      </c>
      <c r="AU2094" s="498">
        <f t="shared" si="723"/>
        <v>0</v>
      </c>
      <c r="AV2094" s="498">
        <f t="shared" si="724"/>
        <v>0</v>
      </c>
      <c r="AW2094" s="498">
        <f t="shared" si="725"/>
        <v>0</v>
      </c>
      <c r="AX2094" s="498">
        <f t="shared" si="726"/>
        <v>0</v>
      </c>
      <c r="AY2094" s="498">
        <f t="shared" si="727"/>
        <v>0</v>
      </c>
      <c r="BB2094" s="498" t="str">
        <f t="shared" si="728"/>
        <v/>
      </c>
      <c r="BC2094" s="743" t="str">
        <f t="shared" si="729"/>
        <v/>
      </c>
      <c r="BD2094" s="743" t="str">
        <f t="shared" si="730"/>
        <v/>
      </c>
      <c r="BE2094" s="743" t="str">
        <f>IF(D2094="","",VLOOKUP(D2094,'General Basis'!$J$39:$K$46,2,0))</f>
        <v/>
      </c>
      <c r="BF2094" s="744" t="str">
        <f>IF(D2094="","",VLOOKUP(D2094,'General Basis'!$J$39:$L$46,3,0))</f>
        <v/>
      </c>
      <c r="BG2094" s="744" t="str">
        <f t="shared" si="737"/>
        <v/>
      </c>
      <c r="BH2094" s="744" t="str">
        <f>IF(G2094="","",IF(BF2094="Abu Dhabi",IF(G2094&lt;18,'General Basis'!$C$39,IF(G2094&lt;41,'General Basis'!$C$40,IF(G2094&lt;60,'General Basis'!$C$41,IF(G2094&lt;65,'General Basis'!$C$42,'General Basis'!$C$43)))),IF(G2094&lt;11,'General Basis'!$B$39,IF(G2094&lt;18,'General Basis'!$B$40,IF(G2094&lt;26,'General Basis'!$B$41,IF(G2094&lt;31,'General Basis'!$B$42,IF(G2094&lt;36,'General Basis'!$B$43,IF(G2094&lt;41,'General Basis'!$B$44,IF(G2094&lt;46,'General Basis'!$B$45,IF(G2094&lt;51,'General Basis'!$B$46,IF(G2094&lt;56,'General Basis'!$B$47,IF(G2094&lt;60,'General Basis'!$B$48,IF(G2094&lt;65,'General Basis'!$B$49,'General Basis'!$B$50)))))))))))))</f>
        <v/>
      </c>
      <c r="BI2094" s="744" t="str">
        <f t="shared" si="731"/>
        <v/>
      </c>
      <c r="BJ2094" s="747" t="str">
        <f t="shared" si="738"/>
        <v/>
      </c>
      <c r="BK2094" s="498" t="str">
        <f t="shared" si="732"/>
        <v/>
      </c>
      <c r="BL2094" s="498" t="str">
        <f t="shared" si="733"/>
        <v/>
      </c>
    </row>
    <row r="2095" spans="1:64" x14ac:dyDescent="0.25">
      <c r="A2095" s="762">
        <f t="shared" si="734"/>
        <v>2090</v>
      </c>
      <c r="B2095" s="229"/>
      <c r="C2095" s="223"/>
      <c r="D2095" s="224"/>
      <c r="E2095" s="225"/>
      <c r="F2095" s="1036" t="str">
        <f t="shared" si="740"/>
        <v/>
      </c>
      <c r="G2095" s="1037" t="str">
        <f t="shared" si="735"/>
        <v/>
      </c>
      <c r="H2095" s="225"/>
      <c r="I2095" s="1013"/>
      <c r="J2095" s="1013"/>
      <c r="K2095" s="1028"/>
      <c r="L2095" s="1035" t="str">
        <f t="shared" si="739"/>
        <v/>
      </c>
      <c r="S2095" s="498"/>
      <c r="AJ2095" s="498"/>
      <c r="AM2095" s="498">
        <f t="shared" si="720"/>
        <v>0</v>
      </c>
      <c r="AN2095" s="498">
        <f t="shared" si="721"/>
        <v>0</v>
      </c>
      <c r="AO2095" s="498">
        <f t="shared" si="722"/>
        <v>0</v>
      </c>
      <c r="AP2095" s="498">
        <f t="shared" si="741"/>
        <v>0</v>
      </c>
      <c r="AQ2095" s="498">
        <f t="shared" si="736"/>
        <v>0</v>
      </c>
      <c r="AU2095" s="498">
        <f t="shared" si="723"/>
        <v>0</v>
      </c>
      <c r="AV2095" s="498">
        <f t="shared" si="724"/>
        <v>0</v>
      </c>
      <c r="AW2095" s="498">
        <f t="shared" si="725"/>
        <v>0</v>
      </c>
      <c r="AX2095" s="498">
        <f t="shared" si="726"/>
        <v>0</v>
      </c>
      <c r="AY2095" s="498">
        <f t="shared" si="727"/>
        <v>0</v>
      </c>
      <c r="BB2095" s="498" t="str">
        <f t="shared" si="728"/>
        <v/>
      </c>
      <c r="BC2095" s="743" t="str">
        <f t="shared" si="729"/>
        <v/>
      </c>
      <c r="BD2095" s="743" t="str">
        <f t="shared" si="730"/>
        <v/>
      </c>
      <c r="BE2095" s="743" t="str">
        <f>IF(D2095="","",VLOOKUP(D2095,'General Basis'!$J$39:$K$46,2,0))</f>
        <v/>
      </c>
      <c r="BF2095" s="744" t="str">
        <f>IF(D2095="","",VLOOKUP(D2095,'General Basis'!$J$39:$L$46,3,0))</f>
        <v/>
      </c>
      <c r="BG2095" s="744" t="str">
        <f t="shared" si="737"/>
        <v/>
      </c>
      <c r="BH2095" s="744" t="str">
        <f>IF(G2095="","",IF(BF2095="Abu Dhabi",IF(G2095&lt;18,'General Basis'!$C$39,IF(G2095&lt;41,'General Basis'!$C$40,IF(G2095&lt;60,'General Basis'!$C$41,IF(G2095&lt;65,'General Basis'!$C$42,'General Basis'!$C$43)))),IF(G2095&lt;11,'General Basis'!$B$39,IF(G2095&lt;18,'General Basis'!$B$40,IF(G2095&lt;26,'General Basis'!$B$41,IF(G2095&lt;31,'General Basis'!$B$42,IF(G2095&lt;36,'General Basis'!$B$43,IF(G2095&lt;41,'General Basis'!$B$44,IF(G2095&lt;46,'General Basis'!$B$45,IF(G2095&lt;51,'General Basis'!$B$46,IF(G2095&lt;56,'General Basis'!$B$47,IF(G2095&lt;60,'General Basis'!$B$48,IF(G2095&lt;65,'General Basis'!$B$49,'General Basis'!$B$50)))))))))))))</f>
        <v/>
      </c>
      <c r="BI2095" s="744" t="str">
        <f t="shared" si="731"/>
        <v/>
      </c>
      <c r="BJ2095" s="747" t="str">
        <f t="shared" si="738"/>
        <v/>
      </c>
      <c r="BK2095" s="498" t="str">
        <f t="shared" si="732"/>
        <v/>
      </c>
      <c r="BL2095" s="498" t="str">
        <f t="shared" si="733"/>
        <v/>
      </c>
    </row>
    <row r="2096" spans="1:64" x14ac:dyDescent="0.25">
      <c r="A2096" s="762">
        <f t="shared" si="734"/>
        <v>2091</v>
      </c>
      <c r="B2096" s="229"/>
      <c r="C2096" s="223"/>
      <c r="D2096" s="224"/>
      <c r="E2096" s="225"/>
      <c r="F2096" s="1036" t="str">
        <f t="shared" si="740"/>
        <v/>
      </c>
      <c r="G2096" s="1037" t="str">
        <f t="shared" si="735"/>
        <v/>
      </c>
      <c r="H2096" s="225"/>
      <c r="I2096" s="1013"/>
      <c r="J2096" s="1013"/>
      <c r="K2096" s="1028"/>
      <c r="L2096" s="1035" t="str">
        <f t="shared" si="739"/>
        <v/>
      </c>
      <c r="S2096" s="498"/>
      <c r="AJ2096" s="498"/>
      <c r="AM2096" s="498">
        <f t="shared" si="720"/>
        <v>0</v>
      </c>
      <c r="AN2096" s="498">
        <f t="shared" si="721"/>
        <v>0</v>
      </c>
      <c r="AO2096" s="498">
        <f t="shared" si="722"/>
        <v>0</v>
      </c>
      <c r="AP2096" s="498">
        <f t="shared" si="741"/>
        <v>0</v>
      </c>
      <c r="AQ2096" s="498">
        <f t="shared" si="736"/>
        <v>0</v>
      </c>
      <c r="AU2096" s="498">
        <f t="shared" si="723"/>
        <v>0</v>
      </c>
      <c r="AV2096" s="498">
        <f t="shared" si="724"/>
        <v>0</v>
      </c>
      <c r="AW2096" s="498">
        <f t="shared" si="725"/>
        <v>0</v>
      </c>
      <c r="AX2096" s="498">
        <f t="shared" si="726"/>
        <v>0</v>
      </c>
      <c r="AY2096" s="498">
        <f t="shared" si="727"/>
        <v>0</v>
      </c>
      <c r="BB2096" s="498" t="str">
        <f t="shared" si="728"/>
        <v/>
      </c>
      <c r="BC2096" s="743" t="str">
        <f t="shared" si="729"/>
        <v/>
      </c>
      <c r="BD2096" s="743" t="str">
        <f t="shared" si="730"/>
        <v/>
      </c>
      <c r="BE2096" s="743" t="str">
        <f>IF(D2096="","",VLOOKUP(D2096,'General Basis'!$J$39:$K$46,2,0))</f>
        <v/>
      </c>
      <c r="BF2096" s="744" t="str">
        <f>IF(D2096="","",VLOOKUP(D2096,'General Basis'!$J$39:$L$46,3,0))</f>
        <v/>
      </c>
      <c r="BG2096" s="744" t="str">
        <f t="shared" si="737"/>
        <v/>
      </c>
      <c r="BH2096" s="744" t="str">
        <f>IF(G2096="","",IF(BF2096="Abu Dhabi",IF(G2096&lt;18,'General Basis'!$C$39,IF(G2096&lt;41,'General Basis'!$C$40,IF(G2096&lt;60,'General Basis'!$C$41,IF(G2096&lt;65,'General Basis'!$C$42,'General Basis'!$C$43)))),IF(G2096&lt;11,'General Basis'!$B$39,IF(G2096&lt;18,'General Basis'!$B$40,IF(G2096&lt;26,'General Basis'!$B$41,IF(G2096&lt;31,'General Basis'!$B$42,IF(G2096&lt;36,'General Basis'!$B$43,IF(G2096&lt;41,'General Basis'!$B$44,IF(G2096&lt;46,'General Basis'!$B$45,IF(G2096&lt;51,'General Basis'!$B$46,IF(G2096&lt;56,'General Basis'!$B$47,IF(G2096&lt;60,'General Basis'!$B$48,IF(G2096&lt;65,'General Basis'!$B$49,'General Basis'!$B$50)))))))))))))</f>
        <v/>
      </c>
      <c r="BI2096" s="744" t="str">
        <f t="shared" si="731"/>
        <v/>
      </c>
      <c r="BJ2096" s="747" t="str">
        <f t="shared" si="738"/>
        <v/>
      </c>
      <c r="BK2096" s="498" t="str">
        <f t="shared" si="732"/>
        <v/>
      </c>
      <c r="BL2096" s="498" t="str">
        <f t="shared" si="733"/>
        <v/>
      </c>
    </row>
    <row r="2097" spans="1:64" x14ac:dyDescent="0.25">
      <c r="A2097" s="762">
        <f t="shared" si="734"/>
        <v>2092</v>
      </c>
      <c r="B2097" s="229"/>
      <c r="C2097" s="223"/>
      <c r="D2097" s="224"/>
      <c r="E2097" s="225"/>
      <c r="F2097" s="1036" t="str">
        <f t="shared" si="740"/>
        <v/>
      </c>
      <c r="G2097" s="1037" t="str">
        <f t="shared" si="735"/>
        <v/>
      </c>
      <c r="H2097" s="225"/>
      <c r="I2097" s="1013"/>
      <c r="J2097" s="1013"/>
      <c r="K2097" s="1028"/>
      <c r="L2097" s="1035" t="str">
        <f t="shared" si="739"/>
        <v/>
      </c>
      <c r="S2097" s="498"/>
      <c r="AJ2097" s="498"/>
      <c r="AM2097" s="498">
        <f t="shared" si="720"/>
        <v>0</v>
      </c>
      <c r="AN2097" s="498">
        <f t="shared" si="721"/>
        <v>0</v>
      </c>
      <c r="AO2097" s="498">
        <f t="shared" si="722"/>
        <v>0</v>
      </c>
      <c r="AP2097" s="498">
        <f t="shared" si="741"/>
        <v>0</v>
      </c>
      <c r="AQ2097" s="498">
        <f t="shared" si="736"/>
        <v>0</v>
      </c>
      <c r="AU2097" s="498">
        <f t="shared" si="723"/>
        <v>0</v>
      </c>
      <c r="AV2097" s="498">
        <f t="shared" si="724"/>
        <v>0</v>
      </c>
      <c r="AW2097" s="498">
        <f t="shared" si="725"/>
        <v>0</v>
      </c>
      <c r="AX2097" s="498">
        <f t="shared" si="726"/>
        <v>0</v>
      </c>
      <c r="AY2097" s="498">
        <f t="shared" si="727"/>
        <v>0</v>
      </c>
      <c r="BB2097" s="498" t="str">
        <f t="shared" si="728"/>
        <v/>
      </c>
      <c r="BC2097" s="743" t="str">
        <f t="shared" si="729"/>
        <v/>
      </c>
      <c r="BD2097" s="743" t="str">
        <f t="shared" si="730"/>
        <v/>
      </c>
      <c r="BE2097" s="743" t="str">
        <f>IF(D2097="","",VLOOKUP(D2097,'General Basis'!$J$39:$K$46,2,0))</f>
        <v/>
      </c>
      <c r="BF2097" s="744" t="str">
        <f>IF(D2097="","",VLOOKUP(D2097,'General Basis'!$J$39:$L$46,3,0))</f>
        <v/>
      </c>
      <c r="BG2097" s="744" t="str">
        <f t="shared" si="737"/>
        <v/>
      </c>
      <c r="BH2097" s="744" t="str">
        <f>IF(G2097="","",IF(BF2097="Abu Dhabi",IF(G2097&lt;18,'General Basis'!$C$39,IF(G2097&lt;41,'General Basis'!$C$40,IF(G2097&lt;60,'General Basis'!$C$41,IF(G2097&lt;65,'General Basis'!$C$42,'General Basis'!$C$43)))),IF(G2097&lt;11,'General Basis'!$B$39,IF(G2097&lt;18,'General Basis'!$B$40,IF(G2097&lt;26,'General Basis'!$B$41,IF(G2097&lt;31,'General Basis'!$B$42,IF(G2097&lt;36,'General Basis'!$B$43,IF(G2097&lt;41,'General Basis'!$B$44,IF(G2097&lt;46,'General Basis'!$B$45,IF(G2097&lt;51,'General Basis'!$B$46,IF(G2097&lt;56,'General Basis'!$B$47,IF(G2097&lt;60,'General Basis'!$B$48,IF(G2097&lt;65,'General Basis'!$B$49,'General Basis'!$B$50)))))))))))))</f>
        <v/>
      </c>
      <c r="BI2097" s="744" t="str">
        <f t="shared" si="731"/>
        <v/>
      </c>
      <c r="BJ2097" s="747" t="str">
        <f t="shared" si="738"/>
        <v/>
      </c>
      <c r="BK2097" s="498" t="str">
        <f t="shared" si="732"/>
        <v/>
      </c>
      <c r="BL2097" s="498" t="str">
        <f t="shared" si="733"/>
        <v/>
      </c>
    </row>
    <row r="2098" spans="1:64" x14ac:dyDescent="0.25">
      <c r="A2098" s="762">
        <f t="shared" si="734"/>
        <v>2093</v>
      </c>
      <c r="B2098" s="229"/>
      <c r="C2098" s="223"/>
      <c r="D2098" s="224"/>
      <c r="E2098" s="225"/>
      <c r="F2098" s="1036" t="str">
        <f t="shared" si="740"/>
        <v/>
      </c>
      <c r="G2098" s="1037" t="str">
        <f t="shared" si="735"/>
        <v/>
      </c>
      <c r="H2098" s="225"/>
      <c r="I2098" s="1013"/>
      <c r="J2098" s="1013"/>
      <c r="K2098" s="1028"/>
      <c r="L2098" s="1035" t="str">
        <f t="shared" si="739"/>
        <v/>
      </c>
      <c r="S2098" s="498"/>
      <c r="AJ2098" s="498"/>
      <c r="AM2098" s="498">
        <f t="shared" si="720"/>
        <v>0</v>
      </c>
      <c r="AN2098" s="498">
        <f t="shared" si="721"/>
        <v>0</v>
      </c>
      <c r="AO2098" s="498">
        <f t="shared" si="722"/>
        <v>0</v>
      </c>
      <c r="AP2098" s="498">
        <f t="shared" si="741"/>
        <v>0</v>
      </c>
      <c r="AQ2098" s="498">
        <f t="shared" si="736"/>
        <v>0</v>
      </c>
      <c r="AU2098" s="498">
        <f t="shared" si="723"/>
        <v>0</v>
      </c>
      <c r="AV2098" s="498">
        <f t="shared" si="724"/>
        <v>0</v>
      </c>
      <c r="AW2098" s="498">
        <f t="shared" si="725"/>
        <v>0</v>
      </c>
      <c r="AX2098" s="498">
        <f t="shared" si="726"/>
        <v>0</v>
      </c>
      <c r="AY2098" s="498">
        <f t="shared" si="727"/>
        <v>0</v>
      </c>
      <c r="BB2098" s="498" t="str">
        <f t="shared" si="728"/>
        <v/>
      </c>
      <c r="BC2098" s="743" t="str">
        <f t="shared" si="729"/>
        <v/>
      </c>
      <c r="BD2098" s="743" t="str">
        <f t="shared" si="730"/>
        <v/>
      </c>
      <c r="BE2098" s="743" t="str">
        <f>IF(D2098="","",VLOOKUP(D2098,'General Basis'!$J$39:$K$46,2,0))</f>
        <v/>
      </c>
      <c r="BF2098" s="744" t="str">
        <f>IF(D2098="","",VLOOKUP(D2098,'General Basis'!$J$39:$L$46,3,0))</f>
        <v/>
      </c>
      <c r="BG2098" s="744" t="str">
        <f t="shared" si="737"/>
        <v/>
      </c>
      <c r="BH2098" s="744" t="str">
        <f>IF(G2098="","",IF(BF2098="Abu Dhabi",IF(G2098&lt;18,'General Basis'!$C$39,IF(G2098&lt;41,'General Basis'!$C$40,IF(G2098&lt;60,'General Basis'!$C$41,IF(G2098&lt;65,'General Basis'!$C$42,'General Basis'!$C$43)))),IF(G2098&lt;11,'General Basis'!$B$39,IF(G2098&lt;18,'General Basis'!$B$40,IF(G2098&lt;26,'General Basis'!$B$41,IF(G2098&lt;31,'General Basis'!$B$42,IF(G2098&lt;36,'General Basis'!$B$43,IF(G2098&lt;41,'General Basis'!$B$44,IF(G2098&lt;46,'General Basis'!$B$45,IF(G2098&lt;51,'General Basis'!$B$46,IF(G2098&lt;56,'General Basis'!$B$47,IF(G2098&lt;60,'General Basis'!$B$48,IF(G2098&lt;65,'General Basis'!$B$49,'General Basis'!$B$50)))))))))))))</f>
        <v/>
      </c>
      <c r="BI2098" s="744" t="str">
        <f t="shared" si="731"/>
        <v/>
      </c>
      <c r="BJ2098" s="747" t="str">
        <f t="shared" si="738"/>
        <v/>
      </c>
      <c r="BK2098" s="498" t="str">
        <f t="shared" si="732"/>
        <v/>
      </c>
      <c r="BL2098" s="498" t="str">
        <f t="shared" si="733"/>
        <v/>
      </c>
    </row>
    <row r="2099" spans="1:64" x14ac:dyDescent="0.25">
      <c r="A2099" s="762">
        <f t="shared" si="734"/>
        <v>2094</v>
      </c>
      <c r="B2099" s="229"/>
      <c r="C2099" s="223"/>
      <c r="D2099" s="224"/>
      <c r="E2099" s="225"/>
      <c r="F2099" s="1036" t="str">
        <f t="shared" si="740"/>
        <v/>
      </c>
      <c r="G2099" s="1037" t="str">
        <f t="shared" si="735"/>
        <v/>
      </c>
      <c r="H2099" s="225"/>
      <c r="I2099" s="1013"/>
      <c r="J2099" s="1013"/>
      <c r="K2099" s="1028"/>
      <c r="L2099" s="1035" t="str">
        <f t="shared" si="739"/>
        <v/>
      </c>
      <c r="S2099" s="498"/>
      <c r="AJ2099" s="498"/>
      <c r="AM2099" s="498">
        <f t="shared" si="720"/>
        <v>0</v>
      </c>
      <c r="AN2099" s="498">
        <f t="shared" si="721"/>
        <v>0</v>
      </c>
      <c r="AO2099" s="498">
        <f t="shared" si="722"/>
        <v>0</v>
      </c>
      <c r="AP2099" s="498">
        <f t="shared" si="741"/>
        <v>0</v>
      </c>
      <c r="AQ2099" s="498">
        <f t="shared" si="736"/>
        <v>0</v>
      </c>
      <c r="AU2099" s="498">
        <f t="shared" si="723"/>
        <v>0</v>
      </c>
      <c r="AV2099" s="498">
        <f t="shared" si="724"/>
        <v>0</v>
      </c>
      <c r="AW2099" s="498">
        <f t="shared" si="725"/>
        <v>0</v>
      </c>
      <c r="AX2099" s="498">
        <f t="shared" si="726"/>
        <v>0</v>
      </c>
      <c r="AY2099" s="498">
        <f t="shared" si="727"/>
        <v>0</v>
      </c>
      <c r="BB2099" s="498" t="str">
        <f t="shared" si="728"/>
        <v/>
      </c>
      <c r="BC2099" s="743" t="str">
        <f t="shared" si="729"/>
        <v/>
      </c>
      <c r="BD2099" s="743" t="str">
        <f t="shared" si="730"/>
        <v/>
      </c>
      <c r="BE2099" s="743" t="str">
        <f>IF(D2099="","",VLOOKUP(D2099,'General Basis'!$J$39:$K$46,2,0))</f>
        <v/>
      </c>
      <c r="BF2099" s="744" t="str">
        <f>IF(D2099="","",VLOOKUP(D2099,'General Basis'!$J$39:$L$46,3,0))</f>
        <v/>
      </c>
      <c r="BG2099" s="744" t="str">
        <f t="shared" si="737"/>
        <v/>
      </c>
      <c r="BH2099" s="744" t="str">
        <f>IF(G2099="","",IF(BF2099="Abu Dhabi",IF(G2099&lt;18,'General Basis'!$C$39,IF(G2099&lt;41,'General Basis'!$C$40,IF(G2099&lt;60,'General Basis'!$C$41,IF(G2099&lt;65,'General Basis'!$C$42,'General Basis'!$C$43)))),IF(G2099&lt;11,'General Basis'!$B$39,IF(G2099&lt;18,'General Basis'!$B$40,IF(G2099&lt;26,'General Basis'!$B$41,IF(G2099&lt;31,'General Basis'!$B$42,IF(G2099&lt;36,'General Basis'!$B$43,IF(G2099&lt;41,'General Basis'!$B$44,IF(G2099&lt;46,'General Basis'!$B$45,IF(G2099&lt;51,'General Basis'!$B$46,IF(G2099&lt;56,'General Basis'!$B$47,IF(G2099&lt;60,'General Basis'!$B$48,IF(G2099&lt;65,'General Basis'!$B$49,'General Basis'!$B$50)))))))))))))</f>
        <v/>
      </c>
      <c r="BI2099" s="744" t="str">
        <f t="shared" si="731"/>
        <v/>
      </c>
      <c r="BJ2099" s="747" t="str">
        <f t="shared" si="738"/>
        <v/>
      </c>
      <c r="BK2099" s="498" t="str">
        <f t="shared" si="732"/>
        <v/>
      </c>
      <c r="BL2099" s="498" t="str">
        <f t="shared" si="733"/>
        <v/>
      </c>
    </row>
    <row r="2100" spans="1:64" x14ac:dyDescent="0.25">
      <c r="A2100" s="762">
        <f t="shared" si="734"/>
        <v>2095</v>
      </c>
      <c r="B2100" s="229"/>
      <c r="C2100" s="223"/>
      <c r="D2100" s="224"/>
      <c r="E2100" s="225"/>
      <c r="F2100" s="1036" t="str">
        <f t="shared" si="740"/>
        <v/>
      </c>
      <c r="G2100" s="1037" t="str">
        <f t="shared" si="735"/>
        <v/>
      </c>
      <c r="H2100" s="225"/>
      <c r="I2100" s="1013"/>
      <c r="J2100" s="1013"/>
      <c r="K2100" s="1028"/>
      <c r="L2100" s="1035" t="str">
        <f t="shared" si="739"/>
        <v/>
      </c>
      <c r="S2100" s="498"/>
      <c r="AJ2100" s="498"/>
      <c r="AM2100" s="498">
        <f t="shared" si="720"/>
        <v>0</v>
      </c>
      <c r="AN2100" s="498">
        <f t="shared" si="721"/>
        <v>0</v>
      </c>
      <c r="AO2100" s="498">
        <f t="shared" si="722"/>
        <v>0</v>
      </c>
      <c r="AP2100" s="498">
        <f t="shared" si="741"/>
        <v>0</v>
      </c>
      <c r="AQ2100" s="498">
        <f t="shared" si="736"/>
        <v>0</v>
      </c>
      <c r="AU2100" s="498">
        <f t="shared" si="723"/>
        <v>0</v>
      </c>
      <c r="AV2100" s="498">
        <f t="shared" si="724"/>
        <v>0</v>
      </c>
      <c r="AW2100" s="498">
        <f t="shared" si="725"/>
        <v>0</v>
      </c>
      <c r="AX2100" s="498">
        <f t="shared" si="726"/>
        <v>0</v>
      </c>
      <c r="AY2100" s="498">
        <f t="shared" si="727"/>
        <v>0</v>
      </c>
      <c r="BB2100" s="498" t="str">
        <f t="shared" si="728"/>
        <v/>
      </c>
      <c r="BC2100" s="743" t="str">
        <f t="shared" si="729"/>
        <v/>
      </c>
      <c r="BD2100" s="743" t="str">
        <f t="shared" si="730"/>
        <v/>
      </c>
      <c r="BE2100" s="743" t="str">
        <f>IF(D2100="","",VLOOKUP(D2100,'General Basis'!$J$39:$K$46,2,0))</f>
        <v/>
      </c>
      <c r="BF2100" s="744" t="str">
        <f>IF(D2100="","",VLOOKUP(D2100,'General Basis'!$J$39:$L$46,3,0))</f>
        <v/>
      </c>
      <c r="BG2100" s="744" t="str">
        <f t="shared" si="737"/>
        <v/>
      </c>
      <c r="BH2100" s="744" t="str">
        <f>IF(G2100="","",IF(BF2100="Abu Dhabi",IF(G2100&lt;18,'General Basis'!$C$39,IF(G2100&lt;41,'General Basis'!$C$40,IF(G2100&lt;60,'General Basis'!$C$41,IF(G2100&lt;65,'General Basis'!$C$42,'General Basis'!$C$43)))),IF(G2100&lt;11,'General Basis'!$B$39,IF(G2100&lt;18,'General Basis'!$B$40,IF(G2100&lt;26,'General Basis'!$B$41,IF(G2100&lt;31,'General Basis'!$B$42,IF(G2100&lt;36,'General Basis'!$B$43,IF(G2100&lt;41,'General Basis'!$B$44,IF(G2100&lt;46,'General Basis'!$B$45,IF(G2100&lt;51,'General Basis'!$B$46,IF(G2100&lt;56,'General Basis'!$B$47,IF(G2100&lt;60,'General Basis'!$B$48,IF(G2100&lt;65,'General Basis'!$B$49,'General Basis'!$B$50)))))))))))))</f>
        <v/>
      </c>
      <c r="BI2100" s="744" t="str">
        <f t="shared" si="731"/>
        <v/>
      </c>
      <c r="BJ2100" s="747" t="str">
        <f t="shared" si="738"/>
        <v/>
      </c>
      <c r="BK2100" s="498" t="str">
        <f t="shared" si="732"/>
        <v/>
      </c>
      <c r="BL2100" s="498" t="str">
        <f t="shared" si="733"/>
        <v/>
      </c>
    </row>
    <row r="2101" spans="1:64" x14ac:dyDescent="0.25">
      <c r="A2101" s="762">
        <f t="shared" si="734"/>
        <v>2096</v>
      </c>
      <c r="B2101" s="229"/>
      <c r="C2101" s="223"/>
      <c r="D2101" s="224"/>
      <c r="E2101" s="225"/>
      <c r="F2101" s="1036" t="str">
        <f t="shared" si="740"/>
        <v/>
      </c>
      <c r="G2101" s="1037" t="str">
        <f t="shared" si="735"/>
        <v/>
      </c>
      <c r="H2101" s="225"/>
      <c r="I2101" s="1013"/>
      <c r="J2101" s="1013"/>
      <c r="K2101" s="1028"/>
      <c r="L2101" s="1035" t="str">
        <f t="shared" si="739"/>
        <v/>
      </c>
      <c r="S2101" s="498"/>
      <c r="AJ2101" s="498"/>
      <c r="AM2101" s="498">
        <f t="shared" si="720"/>
        <v>0</v>
      </c>
      <c r="AN2101" s="498">
        <f t="shared" si="721"/>
        <v>0</v>
      </c>
      <c r="AO2101" s="498">
        <f t="shared" si="722"/>
        <v>0</v>
      </c>
      <c r="AP2101" s="498">
        <f t="shared" si="741"/>
        <v>0</v>
      </c>
      <c r="AQ2101" s="498">
        <f t="shared" si="736"/>
        <v>0</v>
      </c>
      <c r="AU2101" s="498">
        <f t="shared" si="723"/>
        <v>0</v>
      </c>
      <c r="AV2101" s="498">
        <f t="shared" si="724"/>
        <v>0</v>
      </c>
      <c r="AW2101" s="498">
        <f t="shared" si="725"/>
        <v>0</v>
      </c>
      <c r="AX2101" s="498">
        <f t="shared" si="726"/>
        <v>0</v>
      </c>
      <c r="AY2101" s="498">
        <f t="shared" si="727"/>
        <v>0</v>
      </c>
      <c r="BB2101" s="498" t="str">
        <f t="shared" si="728"/>
        <v/>
      </c>
      <c r="BC2101" s="743" t="str">
        <f t="shared" si="729"/>
        <v/>
      </c>
      <c r="BD2101" s="743" t="str">
        <f t="shared" si="730"/>
        <v/>
      </c>
      <c r="BE2101" s="743" t="str">
        <f>IF(D2101="","",VLOOKUP(D2101,'General Basis'!$J$39:$K$46,2,0))</f>
        <v/>
      </c>
      <c r="BF2101" s="744" t="str">
        <f>IF(D2101="","",VLOOKUP(D2101,'General Basis'!$J$39:$L$46,3,0))</f>
        <v/>
      </c>
      <c r="BG2101" s="744" t="str">
        <f t="shared" si="737"/>
        <v/>
      </c>
      <c r="BH2101" s="744" t="str">
        <f>IF(G2101="","",IF(BF2101="Abu Dhabi",IF(G2101&lt;18,'General Basis'!$C$39,IF(G2101&lt;41,'General Basis'!$C$40,IF(G2101&lt;60,'General Basis'!$C$41,IF(G2101&lt;65,'General Basis'!$C$42,'General Basis'!$C$43)))),IF(G2101&lt;11,'General Basis'!$B$39,IF(G2101&lt;18,'General Basis'!$B$40,IF(G2101&lt;26,'General Basis'!$B$41,IF(G2101&lt;31,'General Basis'!$B$42,IF(G2101&lt;36,'General Basis'!$B$43,IF(G2101&lt;41,'General Basis'!$B$44,IF(G2101&lt;46,'General Basis'!$B$45,IF(G2101&lt;51,'General Basis'!$B$46,IF(G2101&lt;56,'General Basis'!$B$47,IF(G2101&lt;60,'General Basis'!$B$48,IF(G2101&lt;65,'General Basis'!$B$49,'General Basis'!$B$50)))))))))))))</f>
        <v/>
      </c>
      <c r="BI2101" s="744" t="str">
        <f t="shared" si="731"/>
        <v/>
      </c>
      <c r="BJ2101" s="747" t="str">
        <f t="shared" si="738"/>
        <v/>
      </c>
      <c r="BK2101" s="498" t="str">
        <f t="shared" si="732"/>
        <v/>
      </c>
      <c r="BL2101" s="498" t="str">
        <f t="shared" si="733"/>
        <v/>
      </c>
    </row>
    <row r="2102" spans="1:64" x14ac:dyDescent="0.25">
      <c r="A2102" s="762">
        <f t="shared" si="734"/>
        <v>2097</v>
      </c>
      <c r="B2102" s="229"/>
      <c r="C2102" s="223"/>
      <c r="D2102" s="224"/>
      <c r="E2102" s="225"/>
      <c r="F2102" s="1036" t="str">
        <f t="shared" si="740"/>
        <v/>
      </c>
      <c r="G2102" s="1037" t="str">
        <f t="shared" si="735"/>
        <v/>
      </c>
      <c r="H2102" s="225"/>
      <c r="I2102" s="1013"/>
      <c r="J2102" s="1013"/>
      <c r="K2102" s="1028"/>
      <c r="L2102" s="1035" t="str">
        <f t="shared" si="739"/>
        <v/>
      </c>
      <c r="S2102" s="498"/>
      <c r="AJ2102" s="498"/>
      <c r="AM2102" s="498">
        <f t="shared" si="720"/>
        <v>0</v>
      </c>
      <c r="AN2102" s="498">
        <f t="shared" si="721"/>
        <v>0</v>
      </c>
      <c r="AO2102" s="498">
        <f t="shared" si="722"/>
        <v>0</v>
      </c>
      <c r="AP2102" s="498">
        <f t="shared" si="741"/>
        <v>0</v>
      </c>
      <c r="AQ2102" s="498">
        <f t="shared" si="736"/>
        <v>0</v>
      </c>
      <c r="AU2102" s="498">
        <f t="shared" si="723"/>
        <v>0</v>
      </c>
      <c r="AV2102" s="498">
        <f t="shared" si="724"/>
        <v>0</v>
      </c>
      <c r="AW2102" s="498">
        <f t="shared" si="725"/>
        <v>0</v>
      </c>
      <c r="AX2102" s="498">
        <f t="shared" si="726"/>
        <v>0</v>
      </c>
      <c r="AY2102" s="498">
        <f t="shared" si="727"/>
        <v>0</v>
      </c>
      <c r="BB2102" s="498" t="str">
        <f t="shared" si="728"/>
        <v/>
      </c>
      <c r="BC2102" s="743" t="str">
        <f t="shared" si="729"/>
        <v/>
      </c>
      <c r="BD2102" s="743" t="str">
        <f t="shared" si="730"/>
        <v/>
      </c>
      <c r="BE2102" s="743" t="str">
        <f>IF(D2102="","",VLOOKUP(D2102,'General Basis'!$J$39:$K$46,2,0))</f>
        <v/>
      </c>
      <c r="BF2102" s="744" t="str">
        <f>IF(D2102="","",VLOOKUP(D2102,'General Basis'!$J$39:$L$46,3,0))</f>
        <v/>
      </c>
      <c r="BG2102" s="744" t="str">
        <f t="shared" si="737"/>
        <v/>
      </c>
      <c r="BH2102" s="744" t="str">
        <f>IF(G2102="","",IF(BF2102="Abu Dhabi",IF(G2102&lt;18,'General Basis'!$C$39,IF(G2102&lt;41,'General Basis'!$C$40,IF(G2102&lt;60,'General Basis'!$C$41,IF(G2102&lt;65,'General Basis'!$C$42,'General Basis'!$C$43)))),IF(G2102&lt;11,'General Basis'!$B$39,IF(G2102&lt;18,'General Basis'!$B$40,IF(G2102&lt;26,'General Basis'!$B$41,IF(G2102&lt;31,'General Basis'!$B$42,IF(G2102&lt;36,'General Basis'!$B$43,IF(G2102&lt;41,'General Basis'!$B$44,IF(G2102&lt;46,'General Basis'!$B$45,IF(G2102&lt;51,'General Basis'!$B$46,IF(G2102&lt;56,'General Basis'!$B$47,IF(G2102&lt;60,'General Basis'!$B$48,IF(G2102&lt;65,'General Basis'!$B$49,'General Basis'!$B$50)))))))))))))</f>
        <v/>
      </c>
      <c r="BI2102" s="744" t="str">
        <f t="shared" si="731"/>
        <v/>
      </c>
      <c r="BJ2102" s="747" t="str">
        <f t="shared" si="738"/>
        <v/>
      </c>
      <c r="BK2102" s="498" t="str">
        <f t="shared" si="732"/>
        <v/>
      </c>
      <c r="BL2102" s="498" t="str">
        <f t="shared" si="733"/>
        <v/>
      </c>
    </row>
    <row r="2103" spans="1:64" x14ac:dyDescent="0.25">
      <c r="A2103" s="762">
        <f t="shared" si="734"/>
        <v>2098</v>
      </c>
      <c r="B2103" s="229"/>
      <c r="C2103" s="223"/>
      <c r="D2103" s="224"/>
      <c r="E2103" s="225"/>
      <c r="F2103" s="1036" t="str">
        <f t="shared" si="740"/>
        <v/>
      </c>
      <c r="G2103" s="1037" t="str">
        <f t="shared" si="735"/>
        <v/>
      </c>
      <c r="H2103" s="225"/>
      <c r="I2103" s="1013"/>
      <c r="J2103" s="1013"/>
      <c r="K2103" s="1028"/>
      <c r="L2103" s="1035" t="str">
        <f t="shared" si="739"/>
        <v/>
      </c>
      <c r="S2103" s="498"/>
      <c r="AJ2103" s="498"/>
      <c r="AM2103" s="498">
        <f t="shared" si="720"/>
        <v>0</v>
      </c>
      <c r="AN2103" s="498">
        <f t="shared" si="721"/>
        <v>0</v>
      </c>
      <c r="AO2103" s="498">
        <f t="shared" si="722"/>
        <v>0</v>
      </c>
      <c r="AP2103" s="498">
        <f t="shared" si="741"/>
        <v>0</v>
      </c>
      <c r="AQ2103" s="498">
        <f t="shared" si="736"/>
        <v>0</v>
      </c>
      <c r="AU2103" s="498">
        <f t="shared" si="723"/>
        <v>0</v>
      </c>
      <c r="AV2103" s="498">
        <f t="shared" si="724"/>
        <v>0</v>
      </c>
      <c r="AW2103" s="498">
        <f t="shared" si="725"/>
        <v>0</v>
      </c>
      <c r="AX2103" s="498">
        <f t="shared" si="726"/>
        <v>0</v>
      </c>
      <c r="AY2103" s="498">
        <f t="shared" si="727"/>
        <v>0</v>
      </c>
      <c r="BB2103" s="498" t="str">
        <f t="shared" si="728"/>
        <v/>
      </c>
      <c r="BC2103" s="743" t="str">
        <f t="shared" si="729"/>
        <v/>
      </c>
      <c r="BD2103" s="743" t="str">
        <f t="shared" si="730"/>
        <v/>
      </c>
      <c r="BE2103" s="743" t="str">
        <f>IF(D2103="","",VLOOKUP(D2103,'General Basis'!$J$39:$K$46,2,0))</f>
        <v/>
      </c>
      <c r="BF2103" s="744" t="str">
        <f>IF(D2103="","",VLOOKUP(D2103,'General Basis'!$J$39:$L$46,3,0))</f>
        <v/>
      </c>
      <c r="BG2103" s="744" t="str">
        <f t="shared" si="737"/>
        <v/>
      </c>
      <c r="BH2103" s="744" t="str">
        <f>IF(G2103="","",IF(BF2103="Abu Dhabi",IF(G2103&lt;18,'General Basis'!$C$39,IF(G2103&lt;41,'General Basis'!$C$40,IF(G2103&lt;60,'General Basis'!$C$41,IF(G2103&lt;65,'General Basis'!$C$42,'General Basis'!$C$43)))),IF(G2103&lt;11,'General Basis'!$B$39,IF(G2103&lt;18,'General Basis'!$B$40,IF(G2103&lt;26,'General Basis'!$B$41,IF(G2103&lt;31,'General Basis'!$B$42,IF(G2103&lt;36,'General Basis'!$B$43,IF(G2103&lt;41,'General Basis'!$B$44,IF(G2103&lt;46,'General Basis'!$B$45,IF(G2103&lt;51,'General Basis'!$B$46,IF(G2103&lt;56,'General Basis'!$B$47,IF(G2103&lt;60,'General Basis'!$B$48,IF(G2103&lt;65,'General Basis'!$B$49,'General Basis'!$B$50)))))))))))))</f>
        <v/>
      </c>
      <c r="BI2103" s="744" t="str">
        <f t="shared" si="731"/>
        <v/>
      </c>
      <c r="BJ2103" s="747" t="str">
        <f t="shared" si="738"/>
        <v/>
      </c>
      <c r="BK2103" s="498" t="str">
        <f t="shared" si="732"/>
        <v/>
      </c>
      <c r="BL2103" s="498" t="str">
        <f t="shared" si="733"/>
        <v/>
      </c>
    </row>
    <row r="2104" spans="1:64" x14ac:dyDescent="0.25">
      <c r="A2104" s="762">
        <f t="shared" si="734"/>
        <v>2099</v>
      </c>
      <c r="B2104" s="229"/>
      <c r="C2104" s="223"/>
      <c r="D2104" s="224"/>
      <c r="E2104" s="225"/>
      <c r="F2104" s="1036" t="str">
        <f t="shared" si="740"/>
        <v/>
      </c>
      <c r="G2104" s="1037" t="str">
        <f t="shared" si="735"/>
        <v/>
      </c>
      <c r="H2104" s="225"/>
      <c r="I2104" s="1013"/>
      <c r="J2104" s="1013"/>
      <c r="K2104" s="1028"/>
      <c r="L2104" s="1035" t="str">
        <f t="shared" si="739"/>
        <v/>
      </c>
      <c r="S2104" s="498"/>
      <c r="AJ2104" s="498"/>
      <c r="AM2104" s="498">
        <f t="shared" si="720"/>
        <v>0</v>
      </c>
      <c r="AN2104" s="498">
        <f t="shared" si="721"/>
        <v>0</v>
      </c>
      <c r="AO2104" s="498">
        <f t="shared" si="722"/>
        <v>0</v>
      </c>
      <c r="AP2104" s="498">
        <f t="shared" si="741"/>
        <v>0</v>
      </c>
      <c r="AQ2104" s="498">
        <f t="shared" si="736"/>
        <v>0</v>
      </c>
      <c r="AU2104" s="498">
        <f t="shared" si="723"/>
        <v>0</v>
      </c>
      <c r="AV2104" s="498">
        <f t="shared" si="724"/>
        <v>0</v>
      </c>
      <c r="AW2104" s="498">
        <f t="shared" si="725"/>
        <v>0</v>
      </c>
      <c r="AX2104" s="498">
        <f t="shared" si="726"/>
        <v>0</v>
      </c>
      <c r="AY2104" s="498">
        <f t="shared" si="727"/>
        <v>0</v>
      </c>
      <c r="BB2104" s="498" t="str">
        <f t="shared" si="728"/>
        <v/>
      </c>
      <c r="BC2104" s="743" t="str">
        <f t="shared" si="729"/>
        <v/>
      </c>
      <c r="BD2104" s="743" t="str">
        <f t="shared" si="730"/>
        <v/>
      </c>
      <c r="BE2104" s="743" t="str">
        <f>IF(D2104="","",VLOOKUP(D2104,'General Basis'!$J$39:$K$46,2,0))</f>
        <v/>
      </c>
      <c r="BF2104" s="744" t="str">
        <f>IF(D2104="","",VLOOKUP(D2104,'General Basis'!$J$39:$L$46,3,0))</f>
        <v/>
      </c>
      <c r="BG2104" s="744" t="str">
        <f t="shared" si="737"/>
        <v/>
      </c>
      <c r="BH2104" s="744" t="str">
        <f>IF(G2104="","",IF(BF2104="Abu Dhabi",IF(G2104&lt;18,'General Basis'!$C$39,IF(G2104&lt;41,'General Basis'!$C$40,IF(G2104&lt;60,'General Basis'!$C$41,IF(G2104&lt;65,'General Basis'!$C$42,'General Basis'!$C$43)))),IF(G2104&lt;11,'General Basis'!$B$39,IF(G2104&lt;18,'General Basis'!$B$40,IF(G2104&lt;26,'General Basis'!$B$41,IF(G2104&lt;31,'General Basis'!$B$42,IF(G2104&lt;36,'General Basis'!$B$43,IF(G2104&lt;41,'General Basis'!$B$44,IF(G2104&lt;46,'General Basis'!$B$45,IF(G2104&lt;51,'General Basis'!$B$46,IF(G2104&lt;56,'General Basis'!$B$47,IF(G2104&lt;60,'General Basis'!$B$48,IF(G2104&lt;65,'General Basis'!$B$49,'General Basis'!$B$50)))))))))))))</f>
        <v/>
      </c>
      <c r="BI2104" s="744" t="str">
        <f t="shared" si="731"/>
        <v/>
      </c>
      <c r="BJ2104" s="747" t="str">
        <f t="shared" si="738"/>
        <v/>
      </c>
      <c r="BK2104" s="498" t="str">
        <f t="shared" si="732"/>
        <v/>
      </c>
      <c r="BL2104" s="498" t="str">
        <f t="shared" si="733"/>
        <v/>
      </c>
    </row>
    <row r="2105" spans="1:64" x14ac:dyDescent="0.25">
      <c r="A2105" s="762">
        <f t="shared" si="734"/>
        <v>2100</v>
      </c>
      <c r="B2105" s="229"/>
      <c r="C2105" s="223"/>
      <c r="D2105" s="224"/>
      <c r="E2105" s="225"/>
      <c r="F2105" s="1036" t="str">
        <f t="shared" si="740"/>
        <v/>
      </c>
      <c r="G2105" s="1037" t="str">
        <f t="shared" si="735"/>
        <v/>
      </c>
      <c r="H2105" s="225"/>
      <c r="I2105" s="1013"/>
      <c r="J2105" s="1013"/>
      <c r="K2105" s="1028"/>
      <c r="L2105" s="1035" t="str">
        <f t="shared" si="739"/>
        <v/>
      </c>
      <c r="S2105" s="498"/>
      <c r="AJ2105" s="498"/>
      <c r="AM2105" s="498">
        <f t="shared" si="720"/>
        <v>0</v>
      </c>
      <c r="AN2105" s="498">
        <f t="shared" si="721"/>
        <v>0</v>
      </c>
      <c r="AO2105" s="498">
        <f t="shared" si="722"/>
        <v>0</v>
      </c>
      <c r="AP2105" s="498">
        <f t="shared" si="741"/>
        <v>0</v>
      </c>
      <c r="AQ2105" s="498">
        <f t="shared" si="736"/>
        <v>0</v>
      </c>
      <c r="AU2105" s="498">
        <f t="shared" si="723"/>
        <v>0</v>
      </c>
      <c r="AV2105" s="498">
        <f t="shared" si="724"/>
        <v>0</v>
      </c>
      <c r="AW2105" s="498">
        <f t="shared" si="725"/>
        <v>0</v>
      </c>
      <c r="AX2105" s="498">
        <f t="shared" si="726"/>
        <v>0</v>
      </c>
      <c r="AY2105" s="498">
        <f t="shared" si="727"/>
        <v>0</v>
      </c>
      <c r="BB2105" s="498" t="str">
        <f t="shared" si="728"/>
        <v/>
      </c>
      <c r="BC2105" s="743" t="str">
        <f t="shared" si="729"/>
        <v/>
      </c>
      <c r="BD2105" s="743" t="str">
        <f t="shared" si="730"/>
        <v/>
      </c>
      <c r="BE2105" s="743" t="str">
        <f>IF(D2105="","",VLOOKUP(D2105,'General Basis'!$J$39:$K$46,2,0))</f>
        <v/>
      </c>
      <c r="BF2105" s="744" t="str">
        <f>IF(D2105="","",VLOOKUP(D2105,'General Basis'!$J$39:$L$46,3,0))</f>
        <v/>
      </c>
      <c r="BG2105" s="744" t="str">
        <f t="shared" si="737"/>
        <v/>
      </c>
      <c r="BH2105" s="744" t="str">
        <f>IF(G2105="","",IF(BF2105="Abu Dhabi",IF(G2105&lt;18,'General Basis'!$C$39,IF(G2105&lt;41,'General Basis'!$C$40,IF(G2105&lt;60,'General Basis'!$C$41,IF(G2105&lt;65,'General Basis'!$C$42,'General Basis'!$C$43)))),IF(G2105&lt;11,'General Basis'!$B$39,IF(G2105&lt;18,'General Basis'!$B$40,IF(G2105&lt;26,'General Basis'!$B$41,IF(G2105&lt;31,'General Basis'!$B$42,IF(G2105&lt;36,'General Basis'!$B$43,IF(G2105&lt;41,'General Basis'!$B$44,IF(G2105&lt;46,'General Basis'!$B$45,IF(G2105&lt;51,'General Basis'!$B$46,IF(G2105&lt;56,'General Basis'!$B$47,IF(G2105&lt;60,'General Basis'!$B$48,IF(G2105&lt;65,'General Basis'!$B$49,'General Basis'!$B$50)))))))))))))</f>
        <v/>
      </c>
      <c r="BI2105" s="744" t="str">
        <f t="shared" si="731"/>
        <v/>
      </c>
      <c r="BJ2105" s="747" t="str">
        <f t="shared" si="738"/>
        <v/>
      </c>
      <c r="BK2105" s="498" t="str">
        <f t="shared" si="732"/>
        <v/>
      </c>
      <c r="BL2105" s="498" t="str">
        <f t="shared" si="733"/>
        <v/>
      </c>
    </row>
    <row r="2106" spans="1:64" x14ac:dyDescent="0.25">
      <c r="A2106" s="762">
        <f t="shared" si="734"/>
        <v>2101</v>
      </c>
      <c r="B2106" s="229"/>
      <c r="C2106" s="223"/>
      <c r="D2106" s="224"/>
      <c r="E2106" s="225"/>
      <c r="F2106" s="1036" t="str">
        <f t="shared" si="740"/>
        <v/>
      </c>
      <c r="G2106" s="1037" t="str">
        <f t="shared" si="735"/>
        <v/>
      </c>
      <c r="H2106" s="225"/>
      <c r="I2106" s="1013"/>
      <c r="J2106" s="1013"/>
      <c r="K2106" s="1028"/>
      <c r="L2106" s="1035" t="str">
        <f t="shared" si="739"/>
        <v/>
      </c>
      <c r="S2106" s="498"/>
      <c r="AJ2106" s="498"/>
      <c r="AM2106" s="498">
        <f t="shared" si="720"/>
        <v>0</v>
      </c>
      <c r="AN2106" s="498">
        <f t="shared" si="721"/>
        <v>0</v>
      </c>
      <c r="AO2106" s="498">
        <f t="shared" si="722"/>
        <v>0</v>
      </c>
      <c r="AP2106" s="498">
        <f t="shared" si="741"/>
        <v>0</v>
      </c>
      <c r="AQ2106" s="498">
        <f t="shared" si="736"/>
        <v>0</v>
      </c>
      <c r="AU2106" s="498">
        <f t="shared" si="723"/>
        <v>0</v>
      </c>
      <c r="AV2106" s="498">
        <f t="shared" si="724"/>
        <v>0</v>
      </c>
      <c r="AW2106" s="498">
        <f t="shared" si="725"/>
        <v>0</v>
      </c>
      <c r="AX2106" s="498">
        <f t="shared" si="726"/>
        <v>0</v>
      </c>
      <c r="AY2106" s="498">
        <f t="shared" si="727"/>
        <v>0</v>
      </c>
      <c r="BB2106" s="498" t="str">
        <f t="shared" si="728"/>
        <v/>
      </c>
      <c r="BC2106" s="743" t="str">
        <f t="shared" si="729"/>
        <v/>
      </c>
      <c r="BD2106" s="743" t="str">
        <f t="shared" si="730"/>
        <v/>
      </c>
      <c r="BE2106" s="743" t="str">
        <f>IF(D2106="","",VLOOKUP(D2106,'General Basis'!$J$39:$K$46,2,0))</f>
        <v/>
      </c>
      <c r="BF2106" s="744" t="str">
        <f>IF(D2106="","",VLOOKUP(D2106,'General Basis'!$J$39:$L$46,3,0))</f>
        <v/>
      </c>
      <c r="BG2106" s="744" t="str">
        <f t="shared" si="737"/>
        <v/>
      </c>
      <c r="BH2106" s="744" t="str">
        <f>IF(G2106="","",IF(BF2106="Abu Dhabi",IF(G2106&lt;18,'General Basis'!$C$39,IF(G2106&lt;41,'General Basis'!$C$40,IF(G2106&lt;60,'General Basis'!$C$41,IF(G2106&lt;65,'General Basis'!$C$42,'General Basis'!$C$43)))),IF(G2106&lt;11,'General Basis'!$B$39,IF(G2106&lt;18,'General Basis'!$B$40,IF(G2106&lt;26,'General Basis'!$B$41,IF(G2106&lt;31,'General Basis'!$B$42,IF(G2106&lt;36,'General Basis'!$B$43,IF(G2106&lt;41,'General Basis'!$B$44,IF(G2106&lt;46,'General Basis'!$B$45,IF(G2106&lt;51,'General Basis'!$B$46,IF(G2106&lt;56,'General Basis'!$B$47,IF(G2106&lt;60,'General Basis'!$B$48,IF(G2106&lt;65,'General Basis'!$B$49,'General Basis'!$B$50)))))))))))))</f>
        <v/>
      </c>
      <c r="BI2106" s="744" t="str">
        <f t="shared" si="731"/>
        <v/>
      </c>
      <c r="BJ2106" s="747" t="str">
        <f t="shared" si="738"/>
        <v/>
      </c>
      <c r="BK2106" s="498" t="str">
        <f t="shared" si="732"/>
        <v/>
      </c>
      <c r="BL2106" s="498" t="str">
        <f t="shared" si="733"/>
        <v/>
      </c>
    </row>
    <row r="2107" spans="1:64" x14ac:dyDescent="0.25">
      <c r="A2107" s="762">
        <f t="shared" si="734"/>
        <v>2102</v>
      </c>
      <c r="B2107" s="229"/>
      <c r="C2107" s="223"/>
      <c r="D2107" s="224"/>
      <c r="E2107" s="225"/>
      <c r="F2107" s="1036" t="str">
        <f t="shared" si="740"/>
        <v/>
      </c>
      <c r="G2107" s="1037" t="str">
        <f t="shared" si="735"/>
        <v/>
      </c>
      <c r="H2107" s="225"/>
      <c r="I2107" s="1013"/>
      <c r="J2107" s="1013"/>
      <c r="K2107" s="1028"/>
      <c r="L2107" s="1035" t="str">
        <f t="shared" si="739"/>
        <v/>
      </c>
      <c r="S2107" s="498"/>
      <c r="AJ2107" s="498"/>
      <c r="AM2107" s="498">
        <f t="shared" si="720"/>
        <v>0</v>
      </c>
      <c r="AN2107" s="498">
        <f t="shared" si="721"/>
        <v>0</v>
      </c>
      <c r="AO2107" s="498">
        <f t="shared" si="722"/>
        <v>0</v>
      </c>
      <c r="AP2107" s="498">
        <f t="shared" si="741"/>
        <v>0</v>
      </c>
      <c r="AQ2107" s="498">
        <f t="shared" si="736"/>
        <v>0</v>
      </c>
      <c r="AU2107" s="498">
        <f t="shared" si="723"/>
        <v>0</v>
      </c>
      <c r="AV2107" s="498">
        <f t="shared" si="724"/>
        <v>0</v>
      </c>
      <c r="AW2107" s="498">
        <f t="shared" si="725"/>
        <v>0</v>
      </c>
      <c r="AX2107" s="498">
        <f t="shared" si="726"/>
        <v>0</v>
      </c>
      <c r="AY2107" s="498">
        <f t="shared" si="727"/>
        <v>0</v>
      </c>
      <c r="BB2107" s="498" t="str">
        <f t="shared" si="728"/>
        <v/>
      </c>
      <c r="BC2107" s="743" t="str">
        <f t="shared" si="729"/>
        <v/>
      </c>
      <c r="BD2107" s="743" t="str">
        <f t="shared" si="730"/>
        <v/>
      </c>
      <c r="BE2107" s="743" t="str">
        <f>IF(D2107="","",VLOOKUP(D2107,'General Basis'!$J$39:$K$46,2,0))</f>
        <v/>
      </c>
      <c r="BF2107" s="744" t="str">
        <f>IF(D2107="","",VLOOKUP(D2107,'General Basis'!$J$39:$L$46,3,0))</f>
        <v/>
      </c>
      <c r="BG2107" s="744" t="str">
        <f t="shared" si="737"/>
        <v/>
      </c>
      <c r="BH2107" s="744" t="str">
        <f>IF(G2107="","",IF(BF2107="Abu Dhabi",IF(G2107&lt;18,'General Basis'!$C$39,IF(G2107&lt;41,'General Basis'!$C$40,IF(G2107&lt;60,'General Basis'!$C$41,IF(G2107&lt;65,'General Basis'!$C$42,'General Basis'!$C$43)))),IF(G2107&lt;11,'General Basis'!$B$39,IF(G2107&lt;18,'General Basis'!$B$40,IF(G2107&lt;26,'General Basis'!$B$41,IF(G2107&lt;31,'General Basis'!$B$42,IF(G2107&lt;36,'General Basis'!$B$43,IF(G2107&lt;41,'General Basis'!$B$44,IF(G2107&lt;46,'General Basis'!$B$45,IF(G2107&lt;51,'General Basis'!$B$46,IF(G2107&lt;56,'General Basis'!$B$47,IF(G2107&lt;60,'General Basis'!$B$48,IF(G2107&lt;65,'General Basis'!$B$49,'General Basis'!$B$50)))))))))))))</f>
        <v/>
      </c>
      <c r="BI2107" s="744" t="str">
        <f t="shared" si="731"/>
        <v/>
      </c>
      <c r="BJ2107" s="747" t="str">
        <f t="shared" si="738"/>
        <v/>
      </c>
      <c r="BK2107" s="498" t="str">
        <f t="shared" si="732"/>
        <v/>
      </c>
      <c r="BL2107" s="498" t="str">
        <f t="shared" si="733"/>
        <v/>
      </c>
    </row>
    <row r="2108" spans="1:64" x14ac:dyDescent="0.25">
      <c r="A2108" s="762">
        <f t="shared" si="734"/>
        <v>2103</v>
      </c>
      <c r="B2108" s="229"/>
      <c r="C2108" s="223"/>
      <c r="D2108" s="224"/>
      <c r="E2108" s="225"/>
      <c r="F2108" s="1036" t="str">
        <f t="shared" si="740"/>
        <v/>
      </c>
      <c r="G2108" s="1037" t="str">
        <f t="shared" si="735"/>
        <v/>
      </c>
      <c r="H2108" s="225"/>
      <c r="I2108" s="1013"/>
      <c r="J2108" s="1013"/>
      <c r="K2108" s="1028"/>
      <c r="L2108" s="1035" t="str">
        <f t="shared" si="739"/>
        <v/>
      </c>
      <c r="S2108" s="498"/>
      <c r="AJ2108" s="498"/>
      <c r="AM2108" s="498">
        <f t="shared" si="720"/>
        <v>0</v>
      </c>
      <c r="AN2108" s="498">
        <f t="shared" si="721"/>
        <v>0</v>
      </c>
      <c r="AO2108" s="498">
        <f t="shared" si="722"/>
        <v>0</v>
      </c>
      <c r="AP2108" s="498">
        <f t="shared" si="741"/>
        <v>0</v>
      </c>
      <c r="AQ2108" s="498">
        <f t="shared" si="736"/>
        <v>0</v>
      </c>
      <c r="AU2108" s="498">
        <f t="shared" si="723"/>
        <v>0</v>
      </c>
      <c r="AV2108" s="498">
        <f t="shared" si="724"/>
        <v>0</v>
      </c>
      <c r="AW2108" s="498">
        <f t="shared" si="725"/>
        <v>0</v>
      </c>
      <c r="AX2108" s="498">
        <f t="shared" si="726"/>
        <v>0</v>
      </c>
      <c r="AY2108" s="498">
        <f t="shared" si="727"/>
        <v>0</v>
      </c>
      <c r="BB2108" s="498" t="str">
        <f t="shared" si="728"/>
        <v/>
      </c>
      <c r="BC2108" s="743" t="str">
        <f t="shared" si="729"/>
        <v/>
      </c>
      <c r="BD2108" s="743" t="str">
        <f t="shared" si="730"/>
        <v/>
      </c>
      <c r="BE2108" s="743" t="str">
        <f>IF(D2108="","",VLOOKUP(D2108,'General Basis'!$J$39:$K$46,2,0))</f>
        <v/>
      </c>
      <c r="BF2108" s="744" t="str">
        <f>IF(D2108="","",VLOOKUP(D2108,'General Basis'!$J$39:$L$46,3,0))</f>
        <v/>
      </c>
      <c r="BG2108" s="744" t="str">
        <f t="shared" si="737"/>
        <v/>
      </c>
      <c r="BH2108" s="744" t="str">
        <f>IF(G2108="","",IF(BF2108="Abu Dhabi",IF(G2108&lt;18,'General Basis'!$C$39,IF(G2108&lt;41,'General Basis'!$C$40,IF(G2108&lt;60,'General Basis'!$C$41,IF(G2108&lt;65,'General Basis'!$C$42,'General Basis'!$C$43)))),IF(G2108&lt;11,'General Basis'!$B$39,IF(G2108&lt;18,'General Basis'!$B$40,IF(G2108&lt;26,'General Basis'!$B$41,IF(G2108&lt;31,'General Basis'!$B$42,IF(G2108&lt;36,'General Basis'!$B$43,IF(G2108&lt;41,'General Basis'!$B$44,IF(G2108&lt;46,'General Basis'!$B$45,IF(G2108&lt;51,'General Basis'!$B$46,IF(G2108&lt;56,'General Basis'!$B$47,IF(G2108&lt;60,'General Basis'!$B$48,IF(G2108&lt;65,'General Basis'!$B$49,'General Basis'!$B$50)))))))))))))</f>
        <v/>
      </c>
      <c r="BI2108" s="744" t="str">
        <f t="shared" si="731"/>
        <v/>
      </c>
      <c r="BJ2108" s="747" t="str">
        <f t="shared" si="738"/>
        <v/>
      </c>
      <c r="BK2108" s="498" t="str">
        <f t="shared" si="732"/>
        <v/>
      </c>
      <c r="BL2108" s="498" t="str">
        <f t="shared" si="733"/>
        <v/>
      </c>
    </row>
    <row r="2109" spans="1:64" x14ac:dyDescent="0.25">
      <c r="A2109" s="762">
        <f t="shared" si="734"/>
        <v>2104</v>
      </c>
      <c r="B2109" s="229"/>
      <c r="C2109" s="223"/>
      <c r="D2109" s="224"/>
      <c r="E2109" s="225"/>
      <c r="F2109" s="1036" t="str">
        <f t="shared" si="740"/>
        <v/>
      </c>
      <c r="G2109" s="1037" t="str">
        <f t="shared" si="735"/>
        <v/>
      </c>
      <c r="H2109" s="225"/>
      <c r="I2109" s="1013"/>
      <c r="J2109" s="1013"/>
      <c r="K2109" s="1028"/>
      <c r="L2109" s="1035" t="str">
        <f t="shared" si="739"/>
        <v/>
      </c>
      <c r="S2109" s="498"/>
      <c r="AJ2109" s="498"/>
      <c r="AM2109" s="498">
        <f t="shared" si="720"/>
        <v>0</v>
      </c>
      <c r="AN2109" s="498">
        <f t="shared" si="721"/>
        <v>0</v>
      </c>
      <c r="AO2109" s="498">
        <f t="shared" si="722"/>
        <v>0</v>
      </c>
      <c r="AP2109" s="498">
        <f t="shared" si="741"/>
        <v>0</v>
      </c>
      <c r="AQ2109" s="498">
        <f t="shared" si="736"/>
        <v>0</v>
      </c>
      <c r="AU2109" s="498">
        <f t="shared" si="723"/>
        <v>0</v>
      </c>
      <c r="AV2109" s="498">
        <f t="shared" si="724"/>
        <v>0</v>
      </c>
      <c r="AW2109" s="498">
        <f t="shared" si="725"/>
        <v>0</v>
      </c>
      <c r="AX2109" s="498">
        <f t="shared" si="726"/>
        <v>0</v>
      </c>
      <c r="AY2109" s="498">
        <f t="shared" si="727"/>
        <v>0</v>
      </c>
      <c r="BB2109" s="498" t="str">
        <f t="shared" si="728"/>
        <v/>
      </c>
      <c r="BC2109" s="743" t="str">
        <f t="shared" si="729"/>
        <v/>
      </c>
      <c r="BD2109" s="743" t="str">
        <f t="shared" si="730"/>
        <v/>
      </c>
      <c r="BE2109" s="743" t="str">
        <f>IF(D2109="","",VLOOKUP(D2109,'General Basis'!$J$39:$K$46,2,0))</f>
        <v/>
      </c>
      <c r="BF2109" s="744" t="str">
        <f>IF(D2109="","",VLOOKUP(D2109,'General Basis'!$J$39:$L$46,3,0))</f>
        <v/>
      </c>
      <c r="BG2109" s="744" t="str">
        <f t="shared" si="737"/>
        <v/>
      </c>
      <c r="BH2109" s="744" t="str">
        <f>IF(G2109="","",IF(BF2109="Abu Dhabi",IF(G2109&lt;18,'General Basis'!$C$39,IF(G2109&lt;41,'General Basis'!$C$40,IF(G2109&lt;60,'General Basis'!$C$41,IF(G2109&lt;65,'General Basis'!$C$42,'General Basis'!$C$43)))),IF(G2109&lt;11,'General Basis'!$B$39,IF(G2109&lt;18,'General Basis'!$B$40,IF(G2109&lt;26,'General Basis'!$B$41,IF(G2109&lt;31,'General Basis'!$B$42,IF(G2109&lt;36,'General Basis'!$B$43,IF(G2109&lt;41,'General Basis'!$B$44,IF(G2109&lt;46,'General Basis'!$B$45,IF(G2109&lt;51,'General Basis'!$B$46,IF(G2109&lt;56,'General Basis'!$B$47,IF(G2109&lt;60,'General Basis'!$B$48,IF(G2109&lt;65,'General Basis'!$B$49,'General Basis'!$B$50)))))))))))))</f>
        <v/>
      </c>
      <c r="BI2109" s="744" t="str">
        <f t="shared" si="731"/>
        <v/>
      </c>
      <c r="BJ2109" s="747" t="str">
        <f t="shared" si="738"/>
        <v/>
      </c>
      <c r="BK2109" s="498" t="str">
        <f t="shared" si="732"/>
        <v/>
      </c>
      <c r="BL2109" s="498" t="str">
        <f t="shared" si="733"/>
        <v/>
      </c>
    </row>
    <row r="2110" spans="1:64" x14ac:dyDescent="0.25">
      <c r="A2110" s="762">
        <f t="shared" si="734"/>
        <v>2105</v>
      </c>
      <c r="B2110" s="229"/>
      <c r="C2110" s="223"/>
      <c r="D2110" s="224"/>
      <c r="E2110" s="225"/>
      <c r="F2110" s="1036" t="str">
        <f t="shared" si="740"/>
        <v/>
      </c>
      <c r="G2110" s="1037" t="str">
        <f t="shared" si="735"/>
        <v/>
      </c>
      <c r="H2110" s="225"/>
      <c r="I2110" s="1013"/>
      <c r="J2110" s="1013"/>
      <c r="K2110" s="1028"/>
      <c r="L2110" s="1035" t="str">
        <f t="shared" si="739"/>
        <v/>
      </c>
      <c r="S2110" s="498"/>
      <c r="AJ2110" s="498"/>
      <c r="AM2110" s="498">
        <f t="shared" si="720"/>
        <v>0</v>
      </c>
      <c r="AN2110" s="498">
        <f t="shared" si="721"/>
        <v>0</v>
      </c>
      <c r="AO2110" s="498">
        <f t="shared" si="722"/>
        <v>0</v>
      </c>
      <c r="AP2110" s="498">
        <f t="shared" si="741"/>
        <v>0</v>
      </c>
      <c r="AQ2110" s="498">
        <f t="shared" si="736"/>
        <v>0</v>
      </c>
      <c r="AU2110" s="498">
        <f t="shared" si="723"/>
        <v>0</v>
      </c>
      <c r="AV2110" s="498">
        <f t="shared" si="724"/>
        <v>0</v>
      </c>
      <c r="AW2110" s="498">
        <f t="shared" si="725"/>
        <v>0</v>
      </c>
      <c r="AX2110" s="498">
        <f t="shared" si="726"/>
        <v>0</v>
      </c>
      <c r="AY2110" s="498">
        <f t="shared" si="727"/>
        <v>0</v>
      </c>
      <c r="BB2110" s="498" t="str">
        <f t="shared" si="728"/>
        <v/>
      </c>
      <c r="BC2110" s="743" t="str">
        <f t="shared" si="729"/>
        <v/>
      </c>
      <c r="BD2110" s="743" t="str">
        <f t="shared" si="730"/>
        <v/>
      </c>
      <c r="BE2110" s="743" t="str">
        <f>IF(D2110="","",VLOOKUP(D2110,'General Basis'!$J$39:$K$46,2,0))</f>
        <v/>
      </c>
      <c r="BF2110" s="744" t="str">
        <f>IF(D2110="","",VLOOKUP(D2110,'General Basis'!$J$39:$L$46,3,0))</f>
        <v/>
      </c>
      <c r="BG2110" s="744" t="str">
        <f t="shared" si="737"/>
        <v/>
      </c>
      <c r="BH2110" s="744" t="str">
        <f>IF(G2110="","",IF(BF2110="Abu Dhabi",IF(G2110&lt;18,'General Basis'!$C$39,IF(G2110&lt;41,'General Basis'!$C$40,IF(G2110&lt;60,'General Basis'!$C$41,IF(G2110&lt;65,'General Basis'!$C$42,'General Basis'!$C$43)))),IF(G2110&lt;11,'General Basis'!$B$39,IF(G2110&lt;18,'General Basis'!$B$40,IF(G2110&lt;26,'General Basis'!$B$41,IF(G2110&lt;31,'General Basis'!$B$42,IF(G2110&lt;36,'General Basis'!$B$43,IF(G2110&lt;41,'General Basis'!$B$44,IF(G2110&lt;46,'General Basis'!$B$45,IF(G2110&lt;51,'General Basis'!$B$46,IF(G2110&lt;56,'General Basis'!$B$47,IF(G2110&lt;60,'General Basis'!$B$48,IF(G2110&lt;65,'General Basis'!$B$49,'General Basis'!$B$50)))))))))))))</f>
        <v/>
      </c>
      <c r="BI2110" s="744" t="str">
        <f t="shared" si="731"/>
        <v/>
      </c>
      <c r="BJ2110" s="747" t="str">
        <f t="shared" si="738"/>
        <v/>
      </c>
      <c r="BK2110" s="498" t="str">
        <f t="shared" si="732"/>
        <v/>
      </c>
      <c r="BL2110" s="498" t="str">
        <f t="shared" si="733"/>
        <v/>
      </c>
    </row>
    <row r="2111" spans="1:64" x14ac:dyDescent="0.25">
      <c r="A2111" s="762">
        <f t="shared" si="734"/>
        <v>2106</v>
      </c>
      <c r="B2111" s="229"/>
      <c r="C2111" s="223"/>
      <c r="D2111" s="224"/>
      <c r="E2111" s="225"/>
      <c r="F2111" s="1036" t="str">
        <f t="shared" si="740"/>
        <v/>
      </c>
      <c r="G2111" s="1037" t="str">
        <f t="shared" si="735"/>
        <v/>
      </c>
      <c r="H2111" s="225"/>
      <c r="I2111" s="1013"/>
      <c r="J2111" s="1013"/>
      <c r="K2111" s="1028"/>
      <c r="L2111" s="1035" t="str">
        <f t="shared" si="739"/>
        <v/>
      </c>
      <c r="S2111" s="498"/>
      <c r="AJ2111" s="498"/>
      <c r="AM2111" s="498">
        <f t="shared" si="720"/>
        <v>0</v>
      </c>
      <c r="AN2111" s="498">
        <f t="shared" si="721"/>
        <v>0</v>
      </c>
      <c r="AO2111" s="498">
        <f t="shared" si="722"/>
        <v>0</v>
      </c>
      <c r="AP2111" s="498">
        <f t="shared" si="741"/>
        <v>0</v>
      </c>
      <c r="AQ2111" s="498">
        <f t="shared" si="736"/>
        <v>0</v>
      </c>
      <c r="AU2111" s="498">
        <f t="shared" si="723"/>
        <v>0</v>
      </c>
      <c r="AV2111" s="498">
        <f t="shared" si="724"/>
        <v>0</v>
      </c>
      <c r="AW2111" s="498">
        <f t="shared" si="725"/>
        <v>0</v>
      </c>
      <c r="AX2111" s="498">
        <f t="shared" si="726"/>
        <v>0</v>
      </c>
      <c r="AY2111" s="498">
        <f t="shared" si="727"/>
        <v>0</v>
      </c>
      <c r="BB2111" s="498" t="str">
        <f t="shared" si="728"/>
        <v/>
      </c>
      <c r="BC2111" s="743" t="str">
        <f t="shared" si="729"/>
        <v/>
      </c>
      <c r="BD2111" s="743" t="str">
        <f t="shared" si="730"/>
        <v/>
      </c>
      <c r="BE2111" s="743" t="str">
        <f>IF(D2111="","",VLOOKUP(D2111,'General Basis'!$J$39:$K$46,2,0))</f>
        <v/>
      </c>
      <c r="BF2111" s="744" t="str">
        <f>IF(D2111="","",VLOOKUP(D2111,'General Basis'!$J$39:$L$46,3,0))</f>
        <v/>
      </c>
      <c r="BG2111" s="744" t="str">
        <f t="shared" si="737"/>
        <v/>
      </c>
      <c r="BH2111" s="744" t="str">
        <f>IF(G2111="","",IF(BF2111="Abu Dhabi",IF(G2111&lt;18,'General Basis'!$C$39,IF(G2111&lt;41,'General Basis'!$C$40,IF(G2111&lt;60,'General Basis'!$C$41,IF(G2111&lt;65,'General Basis'!$C$42,'General Basis'!$C$43)))),IF(G2111&lt;11,'General Basis'!$B$39,IF(G2111&lt;18,'General Basis'!$B$40,IF(G2111&lt;26,'General Basis'!$B$41,IF(G2111&lt;31,'General Basis'!$B$42,IF(G2111&lt;36,'General Basis'!$B$43,IF(G2111&lt;41,'General Basis'!$B$44,IF(G2111&lt;46,'General Basis'!$B$45,IF(G2111&lt;51,'General Basis'!$B$46,IF(G2111&lt;56,'General Basis'!$B$47,IF(G2111&lt;60,'General Basis'!$B$48,IF(G2111&lt;65,'General Basis'!$B$49,'General Basis'!$B$50)))))))))))))</f>
        <v/>
      </c>
      <c r="BI2111" s="744" t="str">
        <f t="shared" si="731"/>
        <v/>
      </c>
      <c r="BJ2111" s="747" t="str">
        <f t="shared" si="738"/>
        <v/>
      </c>
      <c r="BK2111" s="498" t="str">
        <f t="shared" si="732"/>
        <v/>
      </c>
      <c r="BL2111" s="498" t="str">
        <f t="shared" si="733"/>
        <v/>
      </c>
    </row>
    <row r="2112" spans="1:64" x14ac:dyDescent="0.25">
      <c r="A2112" s="762">
        <f t="shared" si="734"/>
        <v>2107</v>
      </c>
      <c r="B2112" s="229"/>
      <c r="C2112" s="223"/>
      <c r="D2112" s="224"/>
      <c r="E2112" s="225"/>
      <c r="F2112" s="1036" t="str">
        <f t="shared" si="740"/>
        <v/>
      </c>
      <c r="G2112" s="1037" t="str">
        <f t="shared" si="735"/>
        <v/>
      </c>
      <c r="H2112" s="225"/>
      <c r="I2112" s="1013"/>
      <c r="J2112" s="1013"/>
      <c r="K2112" s="1028"/>
      <c r="L2112" s="1035" t="str">
        <f t="shared" si="739"/>
        <v/>
      </c>
      <c r="S2112" s="498"/>
      <c r="AJ2112" s="498"/>
      <c r="AM2112" s="498">
        <f t="shared" si="720"/>
        <v>0</v>
      </c>
      <c r="AN2112" s="498">
        <f t="shared" si="721"/>
        <v>0</v>
      </c>
      <c r="AO2112" s="498">
        <f t="shared" si="722"/>
        <v>0</v>
      </c>
      <c r="AP2112" s="498">
        <f t="shared" si="741"/>
        <v>0</v>
      </c>
      <c r="AQ2112" s="498">
        <f t="shared" si="736"/>
        <v>0</v>
      </c>
      <c r="AU2112" s="498">
        <f t="shared" si="723"/>
        <v>0</v>
      </c>
      <c r="AV2112" s="498">
        <f t="shared" si="724"/>
        <v>0</v>
      </c>
      <c r="AW2112" s="498">
        <f t="shared" si="725"/>
        <v>0</v>
      </c>
      <c r="AX2112" s="498">
        <f t="shared" si="726"/>
        <v>0</v>
      </c>
      <c r="AY2112" s="498">
        <f t="shared" si="727"/>
        <v>0</v>
      </c>
      <c r="BB2112" s="498" t="str">
        <f t="shared" si="728"/>
        <v/>
      </c>
      <c r="BC2112" s="743" t="str">
        <f t="shared" si="729"/>
        <v/>
      </c>
      <c r="BD2112" s="743" t="str">
        <f t="shared" si="730"/>
        <v/>
      </c>
      <c r="BE2112" s="743" t="str">
        <f>IF(D2112="","",VLOOKUP(D2112,'General Basis'!$J$39:$K$46,2,0))</f>
        <v/>
      </c>
      <c r="BF2112" s="744" t="str">
        <f>IF(D2112="","",VLOOKUP(D2112,'General Basis'!$J$39:$L$46,3,0))</f>
        <v/>
      </c>
      <c r="BG2112" s="744" t="str">
        <f t="shared" si="737"/>
        <v/>
      </c>
      <c r="BH2112" s="744" t="str">
        <f>IF(G2112="","",IF(BF2112="Abu Dhabi",IF(G2112&lt;18,'General Basis'!$C$39,IF(G2112&lt;41,'General Basis'!$C$40,IF(G2112&lt;60,'General Basis'!$C$41,IF(G2112&lt;65,'General Basis'!$C$42,'General Basis'!$C$43)))),IF(G2112&lt;11,'General Basis'!$B$39,IF(G2112&lt;18,'General Basis'!$B$40,IF(G2112&lt;26,'General Basis'!$B$41,IF(G2112&lt;31,'General Basis'!$B$42,IF(G2112&lt;36,'General Basis'!$B$43,IF(G2112&lt;41,'General Basis'!$B$44,IF(G2112&lt;46,'General Basis'!$B$45,IF(G2112&lt;51,'General Basis'!$B$46,IF(G2112&lt;56,'General Basis'!$B$47,IF(G2112&lt;60,'General Basis'!$B$48,IF(G2112&lt;65,'General Basis'!$B$49,'General Basis'!$B$50)))))))))))))</f>
        <v/>
      </c>
      <c r="BI2112" s="744" t="str">
        <f t="shared" si="731"/>
        <v/>
      </c>
      <c r="BJ2112" s="747" t="str">
        <f t="shared" si="738"/>
        <v/>
      </c>
      <c r="BK2112" s="498" t="str">
        <f t="shared" si="732"/>
        <v/>
      </c>
      <c r="BL2112" s="498" t="str">
        <f t="shared" si="733"/>
        <v/>
      </c>
    </row>
    <row r="2113" spans="1:64" x14ac:dyDescent="0.25">
      <c r="A2113" s="762">
        <f t="shared" si="734"/>
        <v>2108</v>
      </c>
      <c r="B2113" s="229"/>
      <c r="C2113" s="223"/>
      <c r="D2113" s="224"/>
      <c r="E2113" s="225"/>
      <c r="F2113" s="1036" t="str">
        <f t="shared" si="740"/>
        <v/>
      </c>
      <c r="G2113" s="1037" t="str">
        <f t="shared" si="735"/>
        <v/>
      </c>
      <c r="H2113" s="225"/>
      <c r="I2113" s="1013"/>
      <c r="J2113" s="1013"/>
      <c r="K2113" s="1028"/>
      <c r="L2113" s="1035" t="str">
        <f t="shared" si="739"/>
        <v/>
      </c>
      <c r="S2113" s="498"/>
      <c r="AJ2113" s="498"/>
      <c r="AM2113" s="498">
        <f t="shared" si="720"/>
        <v>0</v>
      </c>
      <c r="AN2113" s="498">
        <f t="shared" si="721"/>
        <v>0</v>
      </c>
      <c r="AO2113" s="498">
        <f t="shared" si="722"/>
        <v>0</v>
      </c>
      <c r="AP2113" s="498">
        <f t="shared" si="741"/>
        <v>0</v>
      </c>
      <c r="AQ2113" s="498">
        <f t="shared" si="736"/>
        <v>0</v>
      </c>
      <c r="AU2113" s="498">
        <f t="shared" si="723"/>
        <v>0</v>
      </c>
      <c r="AV2113" s="498">
        <f t="shared" si="724"/>
        <v>0</v>
      </c>
      <c r="AW2113" s="498">
        <f t="shared" si="725"/>
        <v>0</v>
      </c>
      <c r="AX2113" s="498">
        <f t="shared" si="726"/>
        <v>0</v>
      </c>
      <c r="AY2113" s="498">
        <f t="shared" si="727"/>
        <v>0</v>
      </c>
      <c r="BB2113" s="498" t="str">
        <f t="shared" si="728"/>
        <v/>
      </c>
      <c r="BC2113" s="743" t="str">
        <f t="shared" si="729"/>
        <v/>
      </c>
      <c r="BD2113" s="743" t="str">
        <f t="shared" si="730"/>
        <v/>
      </c>
      <c r="BE2113" s="743" t="str">
        <f>IF(D2113="","",VLOOKUP(D2113,'General Basis'!$J$39:$K$46,2,0))</f>
        <v/>
      </c>
      <c r="BF2113" s="744" t="str">
        <f>IF(D2113="","",VLOOKUP(D2113,'General Basis'!$J$39:$L$46,3,0))</f>
        <v/>
      </c>
      <c r="BG2113" s="744" t="str">
        <f t="shared" si="737"/>
        <v/>
      </c>
      <c r="BH2113" s="744" t="str">
        <f>IF(G2113="","",IF(BF2113="Abu Dhabi",IF(G2113&lt;18,'General Basis'!$C$39,IF(G2113&lt;41,'General Basis'!$C$40,IF(G2113&lt;60,'General Basis'!$C$41,IF(G2113&lt;65,'General Basis'!$C$42,'General Basis'!$C$43)))),IF(G2113&lt;11,'General Basis'!$B$39,IF(G2113&lt;18,'General Basis'!$B$40,IF(G2113&lt;26,'General Basis'!$B$41,IF(G2113&lt;31,'General Basis'!$B$42,IF(G2113&lt;36,'General Basis'!$B$43,IF(G2113&lt;41,'General Basis'!$B$44,IF(G2113&lt;46,'General Basis'!$B$45,IF(G2113&lt;51,'General Basis'!$B$46,IF(G2113&lt;56,'General Basis'!$B$47,IF(G2113&lt;60,'General Basis'!$B$48,IF(G2113&lt;65,'General Basis'!$B$49,'General Basis'!$B$50)))))))))))))</f>
        <v/>
      </c>
      <c r="BI2113" s="744" t="str">
        <f t="shared" si="731"/>
        <v/>
      </c>
      <c r="BJ2113" s="747" t="str">
        <f t="shared" si="738"/>
        <v/>
      </c>
      <c r="BK2113" s="498" t="str">
        <f t="shared" si="732"/>
        <v/>
      </c>
      <c r="BL2113" s="498" t="str">
        <f t="shared" si="733"/>
        <v/>
      </c>
    </row>
    <row r="2114" spans="1:64" x14ac:dyDescent="0.25">
      <c r="A2114" s="762">
        <f t="shared" si="734"/>
        <v>2109</v>
      </c>
      <c r="B2114" s="229"/>
      <c r="C2114" s="223"/>
      <c r="D2114" s="224"/>
      <c r="E2114" s="225"/>
      <c r="F2114" s="1036" t="str">
        <f t="shared" si="740"/>
        <v/>
      </c>
      <c r="G2114" s="1037" t="str">
        <f t="shared" si="735"/>
        <v/>
      </c>
      <c r="H2114" s="225"/>
      <c r="I2114" s="1013"/>
      <c r="J2114" s="1013"/>
      <c r="K2114" s="1028"/>
      <c r="L2114" s="1035" t="str">
        <f t="shared" si="739"/>
        <v/>
      </c>
      <c r="S2114" s="498"/>
      <c r="AJ2114" s="498"/>
      <c r="AM2114" s="498">
        <f t="shared" si="720"/>
        <v>0</v>
      </c>
      <c r="AN2114" s="498">
        <f t="shared" si="721"/>
        <v>0</v>
      </c>
      <c r="AO2114" s="498">
        <f t="shared" si="722"/>
        <v>0</v>
      </c>
      <c r="AP2114" s="498">
        <f t="shared" si="741"/>
        <v>0</v>
      </c>
      <c r="AQ2114" s="498">
        <f t="shared" si="736"/>
        <v>0</v>
      </c>
      <c r="AU2114" s="498">
        <f t="shared" si="723"/>
        <v>0</v>
      </c>
      <c r="AV2114" s="498">
        <f t="shared" si="724"/>
        <v>0</v>
      </c>
      <c r="AW2114" s="498">
        <f t="shared" si="725"/>
        <v>0</v>
      </c>
      <c r="AX2114" s="498">
        <f t="shared" si="726"/>
        <v>0</v>
      </c>
      <c r="AY2114" s="498">
        <f t="shared" si="727"/>
        <v>0</v>
      </c>
      <c r="BB2114" s="498" t="str">
        <f t="shared" si="728"/>
        <v/>
      </c>
      <c r="BC2114" s="743" t="str">
        <f t="shared" si="729"/>
        <v/>
      </c>
      <c r="BD2114" s="743" t="str">
        <f t="shared" si="730"/>
        <v/>
      </c>
      <c r="BE2114" s="743" t="str">
        <f>IF(D2114="","",VLOOKUP(D2114,'General Basis'!$J$39:$K$46,2,0))</f>
        <v/>
      </c>
      <c r="BF2114" s="744" t="str">
        <f>IF(D2114="","",VLOOKUP(D2114,'General Basis'!$J$39:$L$46,3,0))</f>
        <v/>
      </c>
      <c r="BG2114" s="744" t="str">
        <f t="shared" si="737"/>
        <v/>
      </c>
      <c r="BH2114" s="744" t="str">
        <f>IF(G2114="","",IF(BF2114="Abu Dhabi",IF(G2114&lt;18,'General Basis'!$C$39,IF(G2114&lt;41,'General Basis'!$C$40,IF(G2114&lt;60,'General Basis'!$C$41,IF(G2114&lt;65,'General Basis'!$C$42,'General Basis'!$C$43)))),IF(G2114&lt;11,'General Basis'!$B$39,IF(G2114&lt;18,'General Basis'!$B$40,IF(G2114&lt;26,'General Basis'!$B$41,IF(G2114&lt;31,'General Basis'!$B$42,IF(G2114&lt;36,'General Basis'!$B$43,IF(G2114&lt;41,'General Basis'!$B$44,IF(G2114&lt;46,'General Basis'!$B$45,IF(G2114&lt;51,'General Basis'!$B$46,IF(G2114&lt;56,'General Basis'!$B$47,IF(G2114&lt;60,'General Basis'!$B$48,IF(G2114&lt;65,'General Basis'!$B$49,'General Basis'!$B$50)))))))))))))</f>
        <v/>
      </c>
      <c r="BI2114" s="744" t="str">
        <f t="shared" si="731"/>
        <v/>
      </c>
      <c r="BJ2114" s="747" t="str">
        <f t="shared" si="738"/>
        <v/>
      </c>
      <c r="BK2114" s="498" t="str">
        <f t="shared" si="732"/>
        <v/>
      </c>
      <c r="BL2114" s="498" t="str">
        <f t="shared" si="733"/>
        <v/>
      </c>
    </row>
    <row r="2115" spans="1:64" x14ac:dyDescent="0.25">
      <c r="A2115" s="762">
        <f t="shared" si="734"/>
        <v>2110</v>
      </c>
      <c r="B2115" s="229"/>
      <c r="C2115" s="223"/>
      <c r="D2115" s="224"/>
      <c r="E2115" s="225"/>
      <c r="F2115" s="1036" t="str">
        <f t="shared" si="740"/>
        <v/>
      </c>
      <c r="G2115" s="1037" t="str">
        <f t="shared" si="735"/>
        <v/>
      </c>
      <c r="H2115" s="225"/>
      <c r="I2115" s="1013"/>
      <c r="J2115" s="1013"/>
      <c r="K2115" s="1028"/>
      <c r="L2115" s="1035" t="str">
        <f t="shared" si="739"/>
        <v/>
      </c>
      <c r="S2115" s="498"/>
      <c r="AJ2115" s="498"/>
      <c r="AM2115" s="498">
        <f t="shared" si="720"/>
        <v>0</v>
      </c>
      <c r="AN2115" s="498">
        <f t="shared" si="721"/>
        <v>0</v>
      </c>
      <c r="AO2115" s="498">
        <f t="shared" si="722"/>
        <v>0</v>
      </c>
      <c r="AP2115" s="498">
        <f t="shared" si="741"/>
        <v>0</v>
      </c>
      <c r="AQ2115" s="498">
        <f t="shared" si="736"/>
        <v>0</v>
      </c>
      <c r="AU2115" s="498">
        <f t="shared" si="723"/>
        <v>0</v>
      </c>
      <c r="AV2115" s="498">
        <f t="shared" si="724"/>
        <v>0</v>
      </c>
      <c r="AW2115" s="498">
        <f t="shared" si="725"/>
        <v>0</v>
      </c>
      <c r="AX2115" s="498">
        <f t="shared" si="726"/>
        <v>0</v>
      </c>
      <c r="AY2115" s="498">
        <f t="shared" si="727"/>
        <v>0</v>
      </c>
      <c r="BB2115" s="498" t="str">
        <f t="shared" si="728"/>
        <v/>
      </c>
      <c r="BC2115" s="743" t="str">
        <f t="shared" si="729"/>
        <v/>
      </c>
      <c r="BD2115" s="743" t="str">
        <f t="shared" si="730"/>
        <v/>
      </c>
      <c r="BE2115" s="743" t="str">
        <f>IF(D2115="","",VLOOKUP(D2115,'General Basis'!$J$39:$K$46,2,0))</f>
        <v/>
      </c>
      <c r="BF2115" s="744" t="str">
        <f>IF(D2115="","",VLOOKUP(D2115,'General Basis'!$J$39:$L$46,3,0))</f>
        <v/>
      </c>
      <c r="BG2115" s="744" t="str">
        <f t="shared" si="737"/>
        <v/>
      </c>
      <c r="BH2115" s="744" t="str">
        <f>IF(G2115="","",IF(BF2115="Abu Dhabi",IF(G2115&lt;18,'General Basis'!$C$39,IF(G2115&lt;41,'General Basis'!$C$40,IF(G2115&lt;60,'General Basis'!$C$41,IF(G2115&lt;65,'General Basis'!$C$42,'General Basis'!$C$43)))),IF(G2115&lt;11,'General Basis'!$B$39,IF(G2115&lt;18,'General Basis'!$B$40,IF(G2115&lt;26,'General Basis'!$B$41,IF(G2115&lt;31,'General Basis'!$B$42,IF(G2115&lt;36,'General Basis'!$B$43,IF(G2115&lt;41,'General Basis'!$B$44,IF(G2115&lt;46,'General Basis'!$B$45,IF(G2115&lt;51,'General Basis'!$B$46,IF(G2115&lt;56,'General Basis'!$B$47,IF(G2115&lt;60,'General Basis'!$B$48,IF(G2115&lt;65,'General Basis'!$B$49,'General Basis'!$B$50)))))))))))))</f>
        <v/>
      </c>
      <c r="BI2115" s="744" t="str">
        <f t="shared" si="731"/>
        <v/>
      </c>
      <c r="BJ2115" s="747" t="str">
        <f t="shared" si="738"/>
        <v/>
      </c>
      <c r="BK2115" s="498" t="str">
        <f t="shared" si="732"/>
        <v/>
      </c>
      <c r="BL2115" s="498" t="str">
        <f t="shared" si="733"/>
        <v/>
      </c>
    </row>
    <row r="2116" spans="1:64" x14ac:dyDescent="0.25">
      <c r="A2116" s="762">
        <f t="shared" si="734"/>
        <v>2111</v>
      </c>
      <c r="B2116" s="229"/>
      <c r="C2116" s="223"/>
      <c r="D2116" s="224"/>
      <c r="E2116" s="225"/>
      <c r="F2116" s="1036" t="str">
        <f t="shared" si="740"/>
        <v/>
      </c>
      <c r="G2116" s="1037" t="str">
        <f t="shared" si="735"/>
        <v/>
      </c>
      <c r="H2116" s="225"/>
      <c r="I2116" s="1013"/>
      <c r="J2116" s="1013"/>
      <c r="K2116" s="1028"/>
      <c r="L2116" s="1035" t="str">
        <f t="shared" si="739"/>
        <v/>
      </c>
      <c r="S2116" s="498"/>
      <c r="AJ2116" s="498"/>
      <c r="AM2116" s="498">
        <f t="shared" si="720"/>
        <v>0</v>
      </c>
      <c r="AN2116" s="498">
        <f t="shared" si="721"/>
        <v>0</v>
      </c>
      <c r="AO2116" s="498">
        <f t="shared" si="722"/>
        <v>0</v>
      </c>
      <c r="AP2116" s="498">
        <f t="shared" si="741"/>
        <v>0</v>
      </c>
      <c r="AQ2116" s="498">
        <f t="shared" si="736"/>
        <v>0</v>
      </c>
      <c r="AU2116" s="498">
        <f t="shared" si="723"/>
        <v>0</v>
      </c>
      <c r="AV2116" s="498">
        <f t="shared" si="724"/>
        <v>0</v>
      </c>
      <c r="AW2116" s="498">
        <f t="shared" si="725"/>
        <v>0</v>
      </c>
      <c r="AX2116" s="498">
        <f t="shared" si="726"/>
        <v>0</v>
      </c>
      <c r="AY2116" s="498">
        <f t="shared" si="727"/>
        <v>0</v>
      </c>
      <c r="BB2116" s="498" t="str">
        <f t="shared" si="728"/>
        <v/>
      </c>
      <c r="BC2116" s="743" t="str">
        <f t="shared" si="729"/>
        <v/>
      </c>
      <c r="BD2116" s="743" t="str">
        <f t="shared" si="730"/>
        <v/>
      </c>
      <c r="BE2116" s="743" t="str">
        <f>IF(D2116="","",VLOOKUP(D2116,'General Basis'!$J$39:$K$46,2,0))</f>
        <v/>
      </c>
      <c r="BF2116" s="744" t="str">
        <f>IF(D2116="","",VLOOKUP(D2116,'General Basis'!$J$39:$L$46,3,0))</f>
        <v/>
      </c>
      <c r="BG2116" s="744" t="str">
        <f t="shared" si="737"/>
        <v/>
      </c>
      <c r="BH2116" s="744" t="str">
        <f>IF(G2116="","",IF(BF2116="Abu Dhabi",IF(G2116&lt;18,'General Basis'!$C$39,IF(G2116&lt;41,'General Basis'!$C$40,IF(G2116&lt;60,'General Basis'!$C$41,IF(G2116&lt;65,'General Basis'!$C$42,'General Basis'!$C$43)))),IF(G2116&lt;11,'General Basis'!$B$39,IF(G2116&lt;18,'General Basis'!$B$40,IF(G2116&lt;26,'General Basis'!$B$41,IF(G2116&lt;31,'General Basis'!$B$42,IF(G2116&lt;36,'General Basis'!$B$43,IF(G2116&lt;41,'General Basis'!$B$44,IF(G2116&lt;46,'General Basis'!$B$45,IF(G2116&lt;51,'General Basis'!$B$46,IF(G2116&lt;56,'General Basis'!$B$47,IF(G2116&lt;60,'General Basis'!$B$48,IF(G2116&lt;65,'General Basis'!$B$49,'General Basis'!$B$50)))))))))))))</f>
        <v/>
      </c>
      <c r="BI2116" s="744" t="str">
        <f t="shared" si="731"/>
        <v/>
      </c>
      <c r="BJ2116" s="747" t="str">
        <f t="shared" si="738"/>
        <v/>
      </c>
      <c r="BK2116" s="498" t="str">
        <f t="shared" si="732"/>
        <v/>
      </c>
      <c r="BL2116" s="498" t="str">
        <f t="shared" si="733"/>
        <v/>
      </c>
    </row>
    <row r="2117" spans="1:64" x14ac:dyDescent="0.25">
      <c r="A2117" s="762">
        <f t="shared" si="734"/>
        <v>2112</v>
      </c>
      <c r="B2117" s="229"/>
      <c r="C2117" s="223"/>
      <c r="D2117" s="224"/>
      <c r="E2117" s="225"/>
      <c r="F2117" s="1036" t="str">
        <f t="shared" si="740"/>
        <v/>
      </c>
      <c r="G2117" s="1037" t="str">
        <f t="shared" si="735"/>
        <v/>
      </c>
      <c r="H2117" s="225"/>
      <c r="I2117" s="1013"/>
      <c r="J2117" s="1013"/>
      <c r="K2117" s="1028"/>
      <c r="L2117" s="1035" t="str">
        <f t="shared" si="739"/>
        <v/>
      </c>
      <c r="S2117" s="498"/>
      <c r="AJ2117" s="498"/>
      <c r="AM2117" s="498">
        <f t="shared" si="720"/>
        <v>0</v>
      </c>
      <c r="AN2117" s="498">
        <f t="shared" si="721"/>
        <v>0</v>
      </c>
      <c r="AO2117" s="498">
        <f t="shared" si="722"/>
        <v>0</v>
      </c>
      <c r="AP2117" s="498">
        <f t="shared" si="741"/>
        <v>0</v>
      </c>
      <c r="AQ2117" s="498">
        <f t="shared" si="736"/>
        <v>0</v>
      </c>
      <c r="AU2117" s="498">
        <f t="shared" si="723"/>
        <v>0</v>
      </c>
      <c r="AV2117" s="498">
        <f t="shared" si="724"/>
        <v>0</v>
      </c>
      <c r="AW2117" s="498">
        <f t="shared" si="725"/>
        <v>0</v>
      </c>
      <c r="AX2117" s="498">
        <f t="shared" si="726"/>
        <v>0</v>
      </c>
      <c r="AY2117" s="498">
        <f t="shared" si="727"/>
        <v>0</v>
      </c>
      <c r="BB2117" s="498" t="str">
        <f t="shared" si="728"/>
        <v/>
      </c>
      <c r="BC2117" s="743" t="str">
        <f t="shared" si="729"/>
        <v/>
      </c>
      <c r="BD2117" s="743" t="str">
        <f t="shared" si="730"/>
        <v/>
      </c>
      <c r="BE2117" s="743" t="str">
        <f>IF(D2117="","",VLOOKUP(D2117,'General Basis'!$J$39:$K$46,2,0))</f>
        <v/>
      </c>
      <c r="BF2117" s="744" t="str">
        <f>IF(D2117="","",VLOOKUP(D2117,'General Basis'!$J$39:$L$46,3,0))</f>
        <v/>
      </c>
      <c r="BG2117" s="744" t="str">
        <f t="shared" si="737"/>
        <v/>
      </c>
      <c r="BH2117" s="744" t="str">
        <f>IF(G2117="","",IF(BF2117="Abu Dhabi",IF(G2117&lt;18,'General Basis'!$C$39,IF(G2117&lt;41,'General Basis'!$C$40,IF(G2117&lt;60,'General Basis'!$C$41,IF(G2117&lt;65,'General Basis'!$C$42,'General Basis'!$C$43)))),IF(G2117&lt;11,'General Basis'!$B$39,IF(G2117&lt;18,'General Basis'!$B$40,IF(G2117&lt;26,'General Basis'!$B$41,IF(G2117&lt;31,'General Basis'!$B$42,IF(G2117&lt;36,'General Basis'!$B$43,IF(G2117&lt;41,'General Basis'!$B$44,IF(G2117&lt;46,'General Basis'!$B$45,IF(G2117&lt;51,'General Basis'!$B$46,IF(G2117&lt;56,'General Basis'!$B$47,IF(G2117&lt;60,'General Basis'!$B$48,IF(G2117&lt;65,'General Basis'!$B$49,'General Basis'!$B$50)))))))))))))</f>
        <v/>
      </c>
      <c r="BI2117" s="744" t="str">
        <f t="shared" si="731"/>
        <v/>
      </c>
      <c r="BJ2117" s="747" t="str">
        <f t="shared" si="738"/>
        <v/>
      </c>
      <c r="BK2117" s="498" t="str">
        <f t="shared" si="732"/>
        <v/>
      </c>
      <c r="BL2117" s="498" t="str">
        <f t="shared" si="733"/>
        <v/>
      </c>
    </row>
    <row r="2118" spans="1:64" x14ac:dyDescent="0.25">
      <c r="A2118" s="762">
        <f t="shared" si="734"/>
        <v>2113</v>
      </c>
      <c r="B2118" s="229"/>
      <c r="C2118" s="223"/>
      <c r="D2118" s="224"/>
      <c r="E2118" s="225"/>
      <c r="F2118" s="1036" t="str">
        <f t="shared" si="740"/>
        <v/>
      </c>
      <c r="G2118" s="1037" t="str">
        <f t="shared" si="735"/>
        <v/>
      </c>
      <c r="H2118" s="225"/>
      <c r="I2118" s="1013"/>
      <c r="J2118" s="1013"/>
      <c r="K2118" s="1028"/>
      <c r="L2118" s="1035" t="str">
        <f t="shared" si="739"/>
        <v/>
      </c>
      <c r="S2118" s="498"/>
      <c r="AJ2118" s="498"/>
      <c r="AM2118" s="498">
        <f t="shared" ref="AM2118:AM2181" si="742">IF(ISTEXT(B2118),1,0)</f>
        <v>0</v>
      </c>
      <c r="AN2118" s="498">
        <f t="shared" ref="AN2118:AN2181" si="743">IF(ISBLANK(B2118),0,IF(B2118&lt;$AK$6,1,0))</f>
        <v>0</v>
      </c>
      <c r="AO2118" s="498">
        <f t="shared" ref="AO2118:AO2181" si="744">IF(ISBLANK(B2118),0,IF(B2118&gt;$AK$7,1,0))</f>
        <v>0</v>
      </c>
      <c r="AP2118" s="498">
        <f t="shared" si="741"/>
        <v>0</v>
      </c>
      <c r="AQ2118" s="498">
        <f t="shared" si="736"/>
        <v>0</v>
      </c>
      <c r="AU2118" s="498">
        <f t="shared" ref="AU2118:AU2181" si="745">IF(ISBLANK(B2118),0,1)</f>
        <v>0</v>
      </c>
      <c r="AV2118" s="498">
        <f t="shared" ref="AV2118:AV2181" si="746">IF(ISBLANK(C2118),0,1)</f>
        <v>0</v>
      </c>
      <c r="AW2118" s="498">
        <f t="shared" ref="AW2118:AW2181" si="747">IF(ISBLANK(D2118),0,1)</f>
        <v>0</v>
      </c>
      <c r="AX2118" s="498">
        <f t="shared" ref="AX2118:AX2181" si="748">IF(ISBLANK(E2118),0,1)</f>
        <v>0</v>
      </c>
      <c r="AY2118" s="498">
        <f t="shared" ref="AY2118:AY2181" si="749">IF(ISBLANK(H2118),0,1)</f>
        <v>0</v>
      </c>
      <c r="BB2118" s="498" t="str">
        <f t="shared" ref="BB2118:BB2181" si="750">IF(E2118="Principal","Principal",IF(E2118="","","Other"))</f>
        <v/>
      </c>
      <c r="BC2118" s="743" t="str">
        <f t="shared" ref="BC2118:BC2181" si="751">IF(D2118="","",D2118)</f>
        <v/>
      </c>
      <c r="BD2118" s="743" t="str">
        <f t="shared" ref="BD2118:BD2181" si="752">IF(E2118="Principal","Employee",IF(E2118="","","Dependent"))</f>
        <v/>
      </c>
      <c r="BE2118" s="743" t="str">
        <f>IF(D2118="","",VLOOKUP(D2118,'General Basis'!$J$39:$K$46,2,0))</f>
        <v/>
      </c>
      <c r="BF2118" s="744" t="str">
        <f>IF(D2118="","",VLOOKUP(D2118,'General Basis'!$J$39:$L$46,3,0))</f>
        <v/>
      </c>
      <c r="BG2118" s="744" t="str">
        <f t="shared" si="737"/>
        <v/>
      </c>
      <c r="BH2118" s="744" t="str">
        <f>IF(G2118="","",IF(BF2118="Abu Dhabi",IF(G2118&lt;18,'General Basis'!$C$39,IF(G2118&lt;41,'General Basis'!$C$40,IF(G2118&lt;60,'General Basis'!$C$41,IF(G2118&lt;65,'General Basis'!$C$42,'General Basis'!$C$43)))),IF(G2118&lt;11,'General Basis'!$B$39,IF(G2118&lt;18,'General Basis'!$B$40,IF(G2118&lt;26,'General Basis'!$B$41,IF(G2118&lt;31,'General Basis'!$B$42,IF(G2118&lt;36,'General Basis'!$B$43,IF(G2118&lt;41,'General Basis'!$B$44,IF(G2118&lt;46,'General Basis'!$B$45,IF(G2118&lt;51,'General Basis'!$B$46,IF(G2118&lt;56,'General Basis'!$B$47,IF(G2118&lt;60,'General Basis'!$B$48,IF(G2118&lt;65,'General Basis'!$B$49,'General Basis'!$B$50)))))))))))))</f>
        <v/>
      </c>
      <c r="BI2118" s="744" t="str">
        <f t="shared" ref="BI2118:BI2181" si="753">IF(C2118="","",IF(C2118="M","Male","Female"))</f>
        <v/>
      </c>
      <c r="BJ2118" s="747" t="str">
        <f t="shared" si="738"/>
        <v/>
      </c>
      <c r="BK2118" s="498" t="str">
        <f t="shared" ref="BK2118:BK2181" si="754">IF(BD2118="","",IF(AND(BD2118="Employee",BI2118="Male",BF2118="Abu Dhabi",BE2118=GN_Plus),VLOOKUP(BH2118,AUH_MALE_EMP,2,0),IF(AND(BD2118="Employee",BI2118="Male",BF2118="Abu Dhabi",BE2118=GN),VLOOKUP(BH2118,AUH_MALE_EMP,3,0),IF(AND(BD2118="Employee",BI2118="Male",BF2118="Abu Dhabi",BE2118=RN_Plus),VLOOKUP(BH2118,AUH_MALE_EMP,4,0),IF(AND(BD2118="Employee",BI2118="Male",BF2118="Abu Dhabi",BE2118=RN),VLOOKUP(BH2118,AUH_MALE_EMP,5,0),IF(AND(BD2118="Employee",BI2118="Male",BF2118="Abu Dhabi",BE2118=RN_2),VLOOKUP(BH2118,AUH_MALE_EMP,6,0),IF(AND(BD2118="Employee",BI2118="Male",BF2118="Abu Dhabi",BE2118=RN2_minus),VLOOKUP(BH2118,AUH_MALE_EMP,7,0),IF(AND(BD2118="Employee",BI2118="Male",BF2118="Abu Dhabi",BE2118=RN_3),VLOOKUP(BH2118,AUH_MALE_EMP,8,0),IF(AND(BD2118="Employee",BI2118="Male",BF2118="Abu Dhabi",BE2118=VN),VLOOKUP(BH2118,AUH_MALE_EMP,9,0),IF(BD2118="","",IF(AND(BD2118="Employee",BI2118="Female",BF2118="Abu Dhabi",BE2118=GN_Plus),VLOOKUP(BH2118,AUH_FEMALE_EMP,2,0),IF(AND(BD2118="Employee",BI2118="Female",BF2118="Abu Dhabi",BE2118=GN),VLOOKUP(BH2118,AUH_FEMALE_EMP,3,0),IF(AND(BD2118="Employee",BI2118="Female",BF2118="Abu Dhabi",BE2118=RN_Plus),VLOOKUP(BH2118,AUH_FEMALE_EMP,4,0),IF(AND(BD2118="Employee",BI2118="Female",BF2118="Abu Dhabi",BE2118=RN),VLOOKUP(BH2118,AUH_FEMALE_EMP,5,0),IF(AND(BD2118="Employee",BI2118="Female",BF2118="Abu Dhabi",BE2118=RN_2),VLOOKUP(BH2118,AUH_FEMALE_EMP,6,0),IF(AND(BD2118="Employee",BI2118="Female",BF2118="Abu Dhabi",BE2118=RN2_minus),VLOOKUP(BH2118,AUH_FEMALE_EMP,7,0),IF(AND(BD2118="Employee",BI2118="Female",BF2118="Abu Dhabi",BE2118=RN_3),VLOOKUP(BH2118,AUH_FEMALE_EMP,8,0),IF(AND(BD2118="Employee",BI2118="Female",BF2118="Abu Dhabi",BE2118=VN),VLOOKUP(BH2118,AUH_FEMALE_EMP,9,0),IF(BD2118="","",IF(AND(BD2118="Dependent",BI2118="Male",BF2118="Abu Dhabi",BE2118=GN_Plus),VLOOKUP(BH2118,AUH_MALE_DEP,2,0),IF(AND(BD2118="Dependent",BI2118="Male",BF2118="Abu Dhabi",BE2118=GN),VLOOKUP(BH2118,AUH_MALE_DEP,3,0),IF(AND(BD2118="Dependent",BI2118="Male",BF2118="Abu Dhabi",BE2118=RN_Plus),VLOOKUP(BH2118,AUH_MALE_DEP,4,0),IF(AND(BD2118="Dependent",BI2118="Male",BF2118="Abu Dhabi",BE2118=RN),VLOOKUP(BH2118,AUH_MALE_DEP,5,0),IF(AND(BD2118="Dependent",BI2118="Male",BF2118="Abu Dhabi",BE2118=RN_2),VLOOKUP(BH2118,AUH_MALE_DEP,6,0),IF(AND(BD2118="Dependent",BI2118="Male",BF2118="Abu Dhabi",BE2118=RN2_minus),VLOOKUP(BH2118,AUH_MALE_DEP,7,0),IF(AND(BD2118="Dependent",BI2118="Male",BF2118="Abu Dhabi",BE2118=RN_3),VLOOKUP(BH2118,AUH_MALE_DEP,8,0),IF(AND(BD2118="Dependent",BI2118="Male",BF2118="Abu Dhabi",BE2118=VN),VLOOKUP(BH2118,AUH_MALE_DEP,9,0),IF(BD2118="","",IF(AND(BD2118="Dependent",BI2118="Female",BF2118="Abu Dhabi",BE2118=GN_Plus),VLOOKUP(BH2118,AUH_FEMALE_DEP,2,0),IF(AND(BD2118="Dependent",BI2118="Female",BF2118="Abu Dhabi",BE2118=GN),VLOOKUP(BH2118,AUH_FEMALE_DEP,3,0),IF(AND(BD2118="Dependent",BI2118="Female",BF2118="Abu Dhabi",BE2118=RN_Plus),VLOOKUP(BH2118,AUH_FEMALE_DEP,4,0),IF(AND(BD2118="Dependent",BI2118="Female",BF2118="Abu Dhabi",BE2118=RN),VLOOKUP(BH2118,AUH_FEMALE_DEP,5,0),IF(AND(BD2118="Dependent",BI2118="Female",BF2118="Abu Dhabi",BE2118=RN_2),VLOOKUP(BH2118,AUH_FEMALE_DEP,6,0),IF(AND(BD2118="Dependent",BI2118="Female",BF2118="Abu Dhabi",BE2118=RN2_minus),VLOOKUP(BH2118,AUH_FEMALE_DEP,7,0),IF(AND(BD2118="Dependent",BI2118="Female",BF2118="Abu Dhabi",BE2118=RN_3),VLOOKUP(BH2118,AUH_FEMALE_DEP,8,0),IF(AND(BD2118="Dependent",BI2118="Female",BF2118="Abu Dhabi",BE2118=VN),VLOOKUP(BH2118,AUH_FEMALE_DEP,9,0),"ABC"))))))))))))))))))))))))))))))))))))</f>
        <v/>
      </c>
      <c r="BL2118" s="498" t="str">
        <f t="shared" ref="BL2118:BL2181" si="755">IF(BD2118="","",IF(AND(BD2118="Employee",BI2118="Male",BF2118="Dubai",BE2118=GN_Plus),VLOOKUP(BH2118,DXB_MALE_EMP,2,0),IF(AND(BD2118="Employee",BI2118="Male",BF2118="Dubai",BE2118=GN),VLOOKUP(BH2118,DXB_MALE_EMP,3,0),IF(AND(BD2118="Employee",BI2118="Male",BF2118="Dubai",BE2118=RN_Plus),VLOOKUP(BH2118,DXB_MALE_EMP,4,0),IF(AND(BD2118="Employee",BI2118="Male",BF2118="Dubai",BE2118=RN),VLOOKUP(BH2118,DXB_MALE_EMP,5,0),IF(AND(BD2118="Employee",BI2118="Male",BF2118="Dubai",BE2118=RN_2),VLOOKUP(BH2118,DXB_MALE_EMP,6,0),IF(AND(BD2118="Employee",BI2118="Male",BF2118="Dubai",BE2118=RN2_minus),VLOOKUP(BH2118,DXB_MALE_EMP,7,0),IF(AND(BD2118="Employee",BI2118="Male",BF2118="Dubai",BE2118=RN_3),VLOOKUP(BH2118,DXB_MALE_EMP,8,0),IF(AND(BD2118="Employee",BI2118="Male",BF2118="Dubai",BE2118=VN),VLOOKUP(BH2118,DXB_MALE_EMP,9,0),IF(BD2118="","",IF(AND(BD2118="Employee",BI2118="Female",BF2118="Dubai",BE2118=GN_Plus),VLOOKUP(BH2118,DXB_FEMALE_EMP,2,0),IF(AND(BD2118="Employee",BI2118="Female",BF2118="Dubai",BE2118=GN),VLOOKUP(BH2118,DXB_FEMALE_EMP,3,0),IF(AND(BD2118="Employee",BI2118="Female",BF2118="Dubai",BE2118=RN_Plus),VLOOKUP(BH2118,DXB_FEMALE_EMP,4,0),IF(AND(BD2118="Employee",BI2118="Female",BF2118="Dubai",BE2118=RN),VLOOKUP(BH2118,DXB_FEMALE_EMP,5,0),IF(AND(BD2118="Employee",BI2118="Female",BF2118="Dubai",BE2118=RN_2),VLOOKUP(BH2118,DXB_FEMALE_EMP,6,0),IF(AND(BD2118="Employee",BI2118="Female",BF2118="Dubai",BE2118=RN2_minus),VLOOKUP(BH2118,DXB_FEMALE_EMP,7,0),IF(AND(BD2118="Employee",BI2118="Female",BF2118="Dubai",BE2118=RN_3),VLOOKUP(BH2118,DXB_FEMALE_EMP,8,0),IF(AND(BD2118="Employee",BI2118="Female",BF2118="Dubai",BE2118=VN),VLOOKUP(BH2118,DXB_FEMALE_EMP,9,0),IF(BD2118="","",IF(AND(BD2118="Dependent",BI2118="Male",BF2118="Dubai",BE2118=GN_Plus),VLOOKUP(BH2118,DXB_MALE_DEP,2,0),IF(AND(BD2118="Dependent",BI2118="Male",BF2118="Dubai",BE2118=GN),VLOOKUP(BH2118,DXB_MALE_DEP,3,0),IF(AND(BD2118="Dependent",BI2118="Male",BF2118="Dubai",BE2118=RN_Plus),VLOOKUP(BH2118,DXB_MALE_DEP,4,0),IF(AND(BD2118="Dependent",BI2118="Male",BF2118="Dubai",BE2118=RN),VLOOKUP(BH2118,DXB_MALE_DEP,5,0),IF(AND(BD2118="Dependent",BI2118="Male",BF2118="Dubai",BE2118=RN_2),VLOOKUP(BH2118,DXB_MALE_DEP,6,0),IF(AND(BD2118="Dependent",BI2118="Male",BF2118="Dubai",BE2118=RN2_minus),VLOOKUP(BH2118,DXB_MALE_DEP,7,0),IF(AND(BD2118="Dependent",BI2118="Male",BF2118="Dubai",BE2118=RN_3),VLOOKUP(BH2118,DXB_MALE_DEP,8,0),IF(AND(BD2118="Dependent",BI2118="Male",BF2118="Dubai",BE2118=VN),VLOOKUP(BH2118,DXB_MALE_DEP,9,0),IF(BD2118="","",IF(AND(BD2118="Dependent",BI2118="Female",BF2118="Dubai",BE2118=GN_Plus),VLOOKUP(BH2118,DXB_FEMALE_DEP,2,0),IF(AND(BD2118="Dependent",BI2118="Female",BF2118="Dubai",BE2118=GN),VLOOKUP(BH2118,DXB_FEMALE_DEP,3,0),IF(AND(BD2118="Dependent",BI2118="Female",BF2118="Dubai",BE2118=RN_Plus),VLOOKUP(BH2118,DXB_FEMALE_DEP,4,0),IF(AND(BD2118="Dependent",BI2118="Female",BF2118="Dubai",BE2118=RN),VLOOKUP(BH2118,DXB_FEMALE_DEP,5,0),IF(AND(BD2118="Dependent",BI2118="Female",BF2118="Dubai",BE2118=RN_2),VLOOKUP(BH2118,DXB_FEMALE_DEP,6,0),IF(AND(BD2118="Dependent",BI2118="Female",BF2118="Dubai",BE2118=RN2_minus),VLOOKUP(BH2118,DXB_FEMALE_DEP,7,0),IF(AND(BD2118="Dependent",BI2118="Female",BF2118="Dubai",BE2118=RN_3),VLOOKUP(BH2118,DXB_FEMALE_DEP,8,0),IF(AND(BD2118="Dependent",BI2118="Female",BF2118="Dubai",BE2118=VN),VLOOKUP(BH2118,DXB_FEMALE_DEP,9,0),"ABC"))))))))))))))))))))))))))))))))))))</f>
        <v/>
      </c>
    </row>
    <row r="2119" spans="1:64" x14ac:dyDescent="0.25">
      <c r="A2119" s="762">
        <f t="shared" ref="A2119:A2182" si="756">+A2118+1</f>
        <v>2114</v>
      </c>
      <c r="B2119" s="229"/>
      <c r="C2119" s="223"/>
      <c r="D2119" s="224"/>
      <c r="E2119" s="225"/>
      <c r="F2119" s="1036" t="str">
        <f t="shared" si="740"/>
        <v/>
      </c>
      <c r="G2119" s="1037" t="str">
        <f t="shared" ref="G2119:G2182" si="757">IF(D2119="","",MAX(0,ROUNDUP(F2119,0)))</f>
        <v/>
      </c>
      <c r="H2119" s="225"/>
      <c r="I2119" s="1013"/>
      <c r="J2119" s="1013"/>
      <c r="K2119" s="1028"/>
      <c r="L2119" s="1035" t="str">
        <f t="shared" si="739"/>
        <v/>
      </c>
      <c r="S2119" s="498"/>
      <c r="AJ2119" s="498"/>
      <c r="AM2119" s="498">
        <f t="shared" si="742"/>
        <v>0</v>
      </c>
      <c r="AN2119" s="498">
        <f t="shared" si="743"/>
        <v>0</v>
      </c>
      <c r="AO2119" s="498">
        <f t="shared" si="744"/>
        <v>0</v>
      </c>
      <c r="AP2119" s="498">
        <f t="shared" si="741"/>
        <v>0</v>
      </c>
      <c r="AQ2119" s="498">
        <f t="shared" ref="AQ2119:AQ2182" si="758">IF(ISBLANK($B2119),0,IF(OR($H2119="Single",$H2119="Married"),0,1))</f>
        <v>0</v>
      </c>
      <c r="AU2119" s="498">
        <f t="shared" si="745"/>
        <v>0</v>
      </c>
      <c r="AV2119" s="498">
        <f t="shared" si="746"/>
        <v>0</v>
      </c>
      <c r="AW2119" s="498">
        <f t="shared" si="747"/>
        <v>0</v>
      </c>
      <c r="AX2119" s="498">
        <f t="shared" si="748"/>
        <v>0</v>
      </c>
      <c r="AY2119" s="498">
        <f t="shared" si="749"/>
        <v>0</v>
      </c>
      <c r="BB2119" s="498" t="str">
        <f t="shared" si="750"/>
        <v/>
      </c>
      <c r="BC2119" s="743" t="str">
        <f t="shared" si="751"/>
        <v/>
      </c>
      <c r="BD2119" s="743" t="str">
        <f t="shared" si="752"/>
        <v/>
      </c>
      <c r="BE2119" s="743" t="str">
        <f>IF(D2119="","",VLOOKUP(D2119,'General Basis'!$J$39:$K$46,2,0))</f>
        <v/>
      </c>
      <c r="BF2119" s="744" t="str">
        <f>IF(D2119="","",VLOOKUP(D2119,'General Basis'!$J$39:$L$46,3,0))</f>
        <v/>
      </c>
      <c r="BG2119" s="744" t="str">
        <f t="shared" ref="BG2119:BG2182" si="759">BC2119&amp;BI2119</f>
        <v/>
      </c>
      <c r="BH2119" s="744" t="str">
        <f>IF(G2119="","",IF(BF2119="Abu Dhabi",IF(G2119&lt;18,'General Basis'!$C$39,IF(G2119&lt;41,'General Basis'!$C$40,IF(G2119&lt;60,'General Basis'!$C$41,IF(G2119&lt;65,'General Basis'!$C$42,'General Basis'!$C$43)))),IF(G2119&lt;11,'General Basis'!$B$39,IF(G2119&lt;18,'General Basis'!$B$40,IF(G2119&lt;26,'General Basis'!$B$41,IF(G2119&lt;31,'General Basis'!$B$42,IF(G2119&lt;36,'General Basis'!$B$43,IF(G2119&lt;41,'General Basis'!$B$44,IF(G2119&lt;46,'General Basis'!$B$45,IF(G2119&lt;51,'General Basis'!$B$46,IF(G2119&lt;56,'General Basis'!$B$47,IF(G2119&lt;60,'General Basis'!$B$48,IF(G2119&lt;65,'General Basis'!$B$49,'General Basis'!$B$50)))))))))))))</f>
        <v/>
      </c>
      <c r="BI2119" s="744" t="str">
        <f t="shared" si="753"/>
        <v/>
      </c>
      <c r="BJ2119" s="747" t="str">
        <f t="shared" ref="BJ2119:BJ2182" si="760">IF(BD2119="","",IF(BF2119="Abu Dhabi",BK2119,BL2119))</f>
        <v/>
      </c>
      <c r="BK2119" s="498" t="str">
        <f t="shared" si="754"/>
        <v/>
      </c>
      <c r="BL2119" s="498" t="str">
        <f t="shared" si="755"/>
        <v/>
      </c>
    </row>
    <row r="2120" spans="1:64" x14ac:dyDescent="0.25">
      <c r="A2120" s="762">
        <f t="shared" si="756"/>
        <v>2115</v>
      </c>
      <c r="B2120" s="229"/>
      <c r="C2120" s="223"/>
      <c r="D2120" s="224"/>
      <c r="E2120" s="225"/>
      <c r="F2120" s="1036" t="str">
        <f t="shared" si="740"/>
        <v/>
      </c>
      <c r="G2120" s="1037" t="str">
        <f t="shared" si="757"/>
        <v/>
      </c>
      <c r="H2120" s="225"/>
      <c r="I2120" s="1013"/>
      <c r="J2120" s="1013"/>
      <c r="K2120" s="1028"/>
      <c r="L2120" s="1035" t="str">
        <f t="shared" ref="L2120:L2183" si="761">IF(AND(E2120="Child",H2120="Married"),"Check the Marital Status of the Child. ",IF(AND(E2120="Child",F2120&gt;18),"Child Age exceed 18 years. ",IF(AND(E2120="Spouse",H2120="Single"),"Spouse is selected as Single. ","")))&amp;IF(K2120&gt;0,"UW Loading has been Applied","")</f>
        <v/>
      </c>
      <c r="S2120" s="498"/>
      <c r="AJ2120" s="498"/>
      <c r="AM2120" s="498">
        <f t="shared" si="742"/>
        <v>0</v>
      </c>
      <c r="AN2120" s="498">
        <f t="shared" si="743"/>
        <v>0</v>
      </c>
      <c r="AO2120" s="498">
        <f t="shared" si="744"/>
        <v>0</v>
      </c>
      <c r="AP2120" s="498">
        <f t="shared" si="741"/>
        <v>0</v>
      </c>
      <c r="AQ2120" s="498">
        <f t="shared" si="758"/>
        <v>0</v>
      </c>
      <c r="AU2120" s="498">
        <f t="shared" si="745"/>
        <v>0</v>
      </c>
      <c r="AV2120" s="498">
        <f t="shared" si="746"/>
        <v>0</v>
      </c>
      <c r="AW2120" s="498">
        <f t="shared" si="747"/>
        <v>0</v>
      </c>
      <c r="AX2120" s="498">
        <f t="shared" si="748"/>
        <v>0</v>
      </c>
      <c r="AY2120" s="498">
        <f t="shared" si="749"/>
        <v>0</v>
      </c>
      <c r="BB2120" s="498" t="str">
        <f t="shared" si="750"/>
        <v/>
      </c>
      <c r="BC2120" s="743" t="str">
        <f t="shared" si="751"/>
        <v/>
      </c>
      <c r="BD2120" s="743" t="str">
        <f t="shared" si="752"/>
        <v/>
      </c>
      <c r="BE2120" s="743" t="str">
        <f>IF(D2120="","",VLOOKUP(D2120,'General Basis'!$J$39:$K$46,2,0))</f>
        <v/>
      </c>
      <c r="BF2120" s="744" t="str">
        <f>IF(D2120="","",VLOOKUP(D2120,'General Basis'!$J$39:$L$46,3,0))</f>
        <v/>
      </c>
      <c r="BG2120" s="744" t="str">
        <f t="shared" si="759"/>
        <v/>
      </c>
      <c r="BH2120" s="744" t="str">
        <f>IF(G2120="","",IF(BF2120="Abu Dhabi",IF(G2120&lt;18,'General Basis'!$C$39,IF(G2120&lt;41,'General Basis'!$C$40,IF(G2120&lt;60,'General Basis'!$C$41,IF(G2120&lt;65,'General Basis'!$C$42,'General Basis'!$C$43)))),IF(G2120&lt;11,'General Basis'!$B$39,IF(G2120&lt;18,'General Basis'!$B$40,IF(G2120&lt;26,'General Basis'!$B$41,IF(G2120&lt;31,'General Basis'!$B$42,IF(G2120&lt;36,'General Basis'!$B$43,IF(G2120&lt;41,'General Basis'!$B$44,IF(G2120&lt;46,'General Basis'!$B$45,IF(G2120&lt;51,'General Basis'!$B$46,IF(G2120&lt;56,'General Basis'!$B$47,IF(G2120&lt;60,'General Basis'!$B$48,IF(G2120&lt;65,'General Basis'!$B$49,'General Basis'!$B$50)))))))))))))</f>
        <v/>
      </c>
      <c r="BI2120" s="744" t="str">
        <f t="shared" si="753"/>
        <v/>
      </c>
      <c r="BJ2120" s="747" t="str">
        <f t="shared" si="760"/>
        <v/>
      </c>
      <c r="BK2120" s="498" t="str">
        <f t="shared" si="754"/>
        <v/>
      </c>
      <c r="BL2120" s="498" t="str">
        <f t="shared" si="755"/>
        <v/>
      </c>
    </row>
    <row r="2121" spans="1:64" x14ac:dyDescent="0.25">
      <c r="A2121" s="762">
        <f t="shared" si="756"/>
        <v>2116</v>
      </c>
      <c r="B2121" s="229"/>
      <c r="C2121" s="223"/>
      <c r="D2121" s="224"/>
      <c r="E2121" s="225"/>
      <c r="F2121" s="1036" t="str">
        <f t="shared" si="740"/>
        <v/>
      </c>
      <c r="G2121" s="1037" t="str">
        <f t="shared" si="757"/>
        <v/>
      </c>
      <c r="H2121" s="225"/>
      <c r="I2121" s="1013"/>
      <c r="J2121" s="1013"/>
      <c r="K2121" s="1028"/>
      <c r="L2121" s="1035" t="str">
        <f t="shared" si="761"/>
        <v/>
      </c>
      <c r="S2121" s="498"/>
      <c r="AJ2121" s="498"/>
      <c r="AM2121" s="498">
        <f t="shared" si="742"/>
        <v>0</v>
      </c>
      <c r="AN2121" s="498">
        <f t="shared" si="743"/>
        <v>0</v>
      </c>
      <c r="AO2121" s="498">
        <f t="shared" si="744"/>
        <v>0</v>
      </c>
      <c r="AP2121" s="498">
        <f t="shared" si="741"/>
        <v>0</v>
      </c>
      <c r="AQ2121" s="498">
        <f t="shared" si="758"/>
        <v>0</v>
      </c>
      <c r="AU2121" s="498">
        <f t="shared" si="745"/>
        <v>0</v>
      </c>
      <c r="AV2121" s="498">
        <f t="shared" si="746"/>
        <v>0</v>
      </c>
      <c r="AW2121" s="498">
        <f t="shared" si="747"/>
        <v>0</v>
      </c>
      <c r="AX2121" s="498">
        <f t="shared" si="748"/>
        <v>0</v>
      </c>
      <c r="AY2121" s="498">
        <f t="shared" si="749"/>
        <v>0</v>
      </c>
      <c r="BB2121" s="498" t="str">
        <f t="shared" si="750"/>
        <v/>
      </c>
      <c r="BC2121" s="743" t="str">
        <f t="shared" si="751"/>
        <v/>
      </c>
      <c r="BD2121" s="743" t="str">
        <f t="shared" si="752"/>
        <v/>
      </c>
      <c r="BE2121" s="743" t="str">
        <f>IF(D2121="","",VLOOKUP(D2121,'General Basis'!$J$39:$K$46,2,0))</f>
        <v/>
      </c>
      <c r="BF2121" s="744" t="str">
        <f>IF(D2121="","",VLOOKUP(D2121,'General Basis'!$J$39:$L$46,3,0))</f>
        <v/>
      </c>
      <c r="BG2121" s="744" t="str">
        <f t="shared" si="759"/>
        <v/>
      </c>
      <c r="BH2121" s="744" t="str">
        <f>IF(G2121="","",IF(BF2121="Abu Dhabi",IF(G2121&lt;18,'General Basis'!$C$39,IF(G2121&lt;41,'General Basis'!$C$40,IF(G2121&lt;60,'General Basis'!$C$41,IF(G2121&lt;65,'General Basis'!$C$42,'General Basis'!$C$43)))),IF(G2121&lt;11,'General Basis'!$B$39,IF(G2121&lt;18,'General Basis'!$B$40,IF(G2121&lt;26,'General Basis'!$B$41,IF(G2121&lt;31,'General Basis'!$B$42,IF(G2121&lt;36,'General Basis'!$B$43,IF(G2121&lt;41,'General Basis'!$B$44,IF(G2121&lt;46,'General Basis'!$B$45,IF(G2121&lt;51,'General Basis'!$B$46,IF(G2121&lt;56,'General Basis'!$B$47,IF(G2121&lt;60,'General Basis'!$B$48,IF(G2121&lt;65,'General Basis'!$B$49,'General Basis'!$B$50)))))))))))))</f>
        <v/>
      </c>
      <c r="BI2121" s="744" t="str">
        <f t="shared" si="753"/>
        <v/>
      </c>
      <c r="BJ2121" s="747" t="str">
        <f t="shared" si="760"/>
        <v/>
      </c>
      <c r="BK2121" s="498" t="str">
        <f t="shared" si="754"/>
        <v/>
      </c>
      <c r="BL2121" s="498" t="str">
        <f t="shared" si="755"/>
        <v/>
      </c>
    </row>
    <row r="2122" spans="1:64" x14ac:dyDescent="0.25">
      <c r="A2122" s="762">
        <f t="shared" si="756"/>
        <v>2117</v>
      </c>
      <c r="B2122" s="229"/>
      <c r="C2122" s="223"/>
      <c r="D2122" s="224"/>
      <c r="E2122" s="225"/>
      <c r="F2122" s="1036" t="str">
        <f t="shared" si="740"/>
        <v/>
      </c>
      <c r="G2122" s="1037" t="str">
        <f t="shared" si="757"/>
        <v/>
      </c>
      <c r="H2122" s="225"/>
      <c r="I2122" s="1013"/>
      <c r="J2122" s="1013"/>
      <c r="K2122" s="1028"/>
      <c r="L2122" s="1035" t="str">
        <f t="shared" si="761"/>
        <v/>
      </c>
      <c r="S2122" s="498"/>
      <c r="AJ2122" s="498"/>
      <c r="AM2122" s="498">
        <f t="shared" si="742"/>
        <v>0</v>
      </c>
      <c r="AN2122" s="498">
        <f t="shared" si="743"/>
        <v>0</v>
      </c>
      <c r="AO2122" s="498">
        <f t="shared" si="744"/>
        <v>0</v>
      </c>
      <c r="AP2122" s="498">
        <f t="shared" si="741"/>
        <v>0</v>
      </c>
      <c r="AQ2122" s="498">
        <f t="shared" si="758"/>
        <v>0</v>
      </c>
      <c r="AU2122" s="498">
        <f t="shared" si="745"/>
        <v>0</v>
      </c>
      <c r="AV2122" s="498">
        <f t="shared" si="746"/>
        <v>0</v>
      </c>
      <c r="AW2122" s="498">
        <f t="shared" si="747"/>
        <v>0</v>
      </c>
      <c r="AX2122" s="498">
        <f t="shared" si="748"/>
        <v>0</v>
      </c>
      <c r="AY2122" s="498">
        <f t="shared" si="749"/>
        <v>0</v>
      </c>
      <c r="BB2122" s="498" t="str">
        <f t="shared" si="750"/>
        <v/>
      </c>
      <c r="BC2122" s="743" t="str">
        <f t="shared" si="751"/>
        <v/>
      </c>
      <c r="BD2122" s="743" t="str">
        <f t="shared" si="752"/>
        <v/>
      </c>
      <c r="BE2122" s="743" t="str">
        <f>IF(D2122="","",VLOOKUP(D2122,'General Basis'!$J$39:$K$46,2,0))</f>
        <v/>
      </c>
      <c r="BF2122" s="744" t="str">
        <f>IF(D2122="","",VLOOKUP(D2122,'General Basis'!$J$39:$L$46,3,0))</f>
        <v/>
      </c>
      <c r="BG2122" s="744" t="str">
        <f t="shared" si="759"/>
        <v/>
      </c>
      <c r="BH2122" s="744" t="str">
        <f>IF(G2122="","",IF(BF2122="Abu Dhabi",IF(G2122&lt;18,'General Basis'!$C$39,IF(G2122&lt;41,'General Basis'!$C$40,IF(G2122&lt;60,'General Basis'!$C$41,IF(G2122&lt;65,'General Basis'!$C$42,'General Basis'!$C$43)))),IF(G2122&lt;11,'General Basis'!$B$39,IF(G2122&lt;18,'General Basis'!$B$40,IF(G2122&lt;26,'General Basis'!$B$41,IF(G2122&lt;31,'General Basis'!$B$42,IF(G2122&lt;36,'General Basis'!$B$43,IF(G2122&lt;41,'General Basis'!$B$44,IF(G2122&lt;46,'General Basis'!$B$45,IF(G2122&lt;51,'General Basis'!$B$46,IF(G2122&lt;56,'General Basis'!$B$47,IF(G2122&lt;60,'General Basis'!$B$48,IF(G2122&lt;65,'General Basis'!$B$49,'General Basis'!$B$50)))))))))))))</f>
        <v/>
      </c>
      <c r="BI2122" s="744" t="str">
        <f t="shared" si="753"/>
        <v/>
      </c>
      <c r="BJ2122" s="747" t="str">
        <f t="shared" si="760"/>
        <v/>
      </c>
      <c r="BK2122" s="498" t="str">
        <f t="shared" si="754"/>
        <v/>
      </c>
      <c r="BL2122" s="498" t="str">
        <f t="shared" si="755"/>
        <v/>
      </c>
    </row>
    <row r="2123" spans="1:64" x14ac:dyDescent="0.25">
      <c r="A2123" s="762">
        <f t="shared" si="756"/>
        <v>2118</v>
      </c>
      <c r="B2123" s="229"/>
      <c r="C2123" s="223"/>
      <c r="D2123" s="224"/>
      <c r="E2123" s="225"/>
      <c r="F2123" s="1036" t="str">
        <f t="shared" si="740"/>
        <v/>
      </c>
      <c r="G2123" s="1037" t="str">
        <f t="shared" si="757"/>
        <v/>
      </c>
      <c r="H2123" s="225"/>
      <c r="I2123" s="1013"/>
      <c r="J2123" s="1013"/>
      <c r="K2123" s="1028"/>
      <c r="L2123" s="1035" t="str">
        <f t="shared" si="761"/>
        <v/>
      </c>
      <c r="S2123" s="498"/>
      <c r="AJ2123" s="498"/>
      <c r="AM2123" s="498">
        <f t="shared" si="742"/>
        <v>0</v>
      </c>
      <c r="AN2123" s="498">
        <f t="shared" si="743"/>
        <v>0</v>
      </c>
      <c r="AO2123" s="498">
        <f t="shared" si="744"/>
        <v>0</v>
      </c>
      <c r="AP2123" s="498">
        <f t="shared" si="741"/>
        <v>0</v>
      </c>
      <c r="AQ2123" s="498">
        <f t="shared" si="758"/>
        <v>0</v>
      </c>
      <c r="AU2123" s="498">
        <f t="shared" si="745"/>
        <v>0</v>
      </c>
      <c r="AV2123" s="498">
        <f t="shared" si="746"/>
        <v>0</v>
      </c>
      <c r="AW2123" s="498">
        <f t="shared" si="747"/>
        <v>0</v>
      </c>
      <c r="AX2123" s="498">
        <f t="shared" si="748"/>
        <v>0</v>
      </c>
      <c r="AY2123" s="498">
        <f t="shared" si="749"/>
        <v>0</v>
      </c>
      <c r="BB2123" s="498" t="str">
        <f t="shared" si="750"/>
        <v/>
      </c>
      <c r="BC2123" s="743" t="str">
        <f t="shared" si="751"/>
        <v/>
      </c>
      <c r="BD2123" s="743" t="str">
        <f t="shared" si="752"/>
        <v/>
      </c>
      <c r="BE2123" s="743" t="str">
        <f>IF(D2123="","",VLOOKUP(D2123,'General Basis'!$J$39:$K$46,2,0))</f>
        <v/>
      </c>
      <c r="BF2123" s="744" t="str">
        <f>IF(D2123="","",VLOOKUP(D2123,'General Basis'!$J$39:$L$46,3,0))</f>
        <v/>
      </c>
      <c r="BG2123" s="744" t="str">
        <f t="shared" si="759"/>
        <v/>
      </c>
      <c r="BH2123" s="744" t="str">
        <f>IF(G2123="","",IF(BF2123="Abu Dhabi",IF(G2123&lt;18,'General Basis'!$C$39,IF(G2123&lt;41,'General Basis'!$C$40,IF(G2123&lt;60,'General Basis'!$C$41,IF(G2123&lt;65,'General Basis'!$C$42,'General Basis'!$C$43)))),IF(G2123&lt;11,'General Basis'!$B$39,IF(G2123&lt;18,'General Basis'!$B$40,IF(G2123&lt;26,'General Basis'!$B$41,IF(G2123&lt;31,'General Basis'!$B$42,IF(G2123&lt;36,'General Basis'!$B$43,IF(G2123&lt;41,'General Basis'!$B$44,IF(G2123&lt;46,'General Basis'!$B$45,IF(G2123&lt;51,'General Basis'!$B$46,IF(G2123&lt;56,'General Basis'!$B$47,IF(G2123&lt;60,'General Basis'!$B$48,IF(G2123&lt;65,'General Basis'!$B$49,'General Basis'!$B$50)))))))))))))</f>
        <v/>
      </c>
      <c r="BI2123" s="744" t="str">
        <f t="shared" si="753"/>
        <v/>
      </c>
      <c r="BJ2123" s="747" t="str">
        <f t="shared" si="760"/>
        <v/>
      </c>
      <c r="BK2123" s="498" t="str">
        <f t="shared" si="754"/>
        <v/>
      </c>
      <c r="BL2123" s="498" t="str">
        <f t="shared" si="755"/>
        <v/>
      </c>
    </row>
    <row r="2124" spans="1:64" x14ac:dyDescent="0.25">
      <c r="A2124" s="762">
        <f t="shared" si="756"/>
        <v>2119</v>
      </c>
      <c r="B2124" s="229"/>
      <c r="C2124" s="223"/>
      <c r="D2124" s="224"/>
      <c r="E2124" s="225"/>
      <c r="F2124" s="1036" t="str">
        <f t="shared" si="740"/>
        <v/>
      </c>
      <c r="G2124" s="1037" t="str">
        <f t="shared" si="757"/>
        <v/>
      </c>
      <c r="H2124" s="225"/>
      <c r="I2124" s="1013"/>
      <c r="J2124" s="1013"/>
      <c r="K2124" s="1028"/>
      <c r="L2124" s="1035" t="str">
        <f t="shared" si="761"/>
        <v/>
      </c>
      <c r="S2124" s="498"/>
      <c r="AJ2124" s="498"/>
      <c r="AM2124" s="498">
        <f t="shared" si="742"/>
        <v>0</v>
      </c>
      <c r="AN2124" s="498">
        <f t="shared" si="743"/>
        <v>0</v>
      </c>
      <c r="AO2124" s="498">
        <f t="shared" si="744"/>
        <v>0</v>
      </c>
      <c r="AP2124" s="498">
        <f t="shared" si="741"/>
        <v>0</v>
      </c>
      <c r="AQ2124" s="498">
        <f t="shared" si="758"/>
        <v>0</v>
      </c>
      <c r="AU2124" s="498">
        <f t="shared" si="745"/>
        <v>0</v>
      </c>
      <c r="AV2124" s="498">
        <f t="shared" si="746"/>
        <v>0</v>
      </c>
      <c r="AW2124" s="498">
        <f t="shared" si="747"/>
        <v>0</v>
      </c>
      <c r="AX2124" s="498">
        <f t="shared" si="748"/>
        <v>0</v>
      </c>
      <c r="AY2124" s="498">
        <f t="shared" si="749"/>
        <v>0</v>
      </c>
      <c r="BB2124" s="498" t="str">
        <f t="shared" si="750"/>
        <v/>
      </c>
      <c r="BC2124" s="743" t="str">
        <f t="shared" si="751"/>
        <v/>
      </c>
      <c r="BD2124" s="743" t="str">
        <f t="shared" si="752"/>
        <v/>
      </c>
      <c r="BE2124" s="743" t="str">
        <f>IF(D2124="","",VLOOKUP(D2124,'General Basis'!$J$39:$K$46,2,0))</f>
        <v/>
      </c>
      <c r="BF2124" s="744" t="str">
        <f>IF(D2124="","",VLOOKUP(D2124,'General Basis'!$J$39:$L$46,3,0))</f>
        <v/>
      </c>
      <c r="BG2124" s="744" t="str">
        <f t="shared" si="759"/>
        <v/>
      </c>
      <c r="BH2124" s="744" t="str">
        <f>IF(G2124="","",IF(BF2124="Abu Dhabi",IF(G2124&lt;18,'General Basis'!$C$39,IF(G2124&lt;41,'General Basis'!$C$40,IF(G2124&lt;60,'General Basis'!$C$41,IF(G2124&lt;65,'General Basis'!$C$42,'General Basis'!$C$43)))),IF(G2124&lt;11,'General Basis'!$B$39,IF(G2124&lt;18,'General Basis'!$B$40,IF(G2124&lt;26,'General Basis'!$B$41,IF(G2124&lt;31,'General Basis'!$B$42,IF(G2124&lt;36,'General Basis'!$B$43,IF(G2124&lt;41,'General Basis'!$B$44,IF(G2124&lt;46,'General Basis'!$B$45,IF(G2124&lt;51,'General Basis'!$B$46,IF(G2124&lt;56,'General Basis'!$B$47,IF(G2124&lt;60,'General Basis'!$B$48,IF(G2124&lt;65,'General Basis'!$B$49,'General Basis'!$B$50)))))))))))))</f>
        <v/>
      </c>
      <c r="BI2124" s="744" t="str">
        <f t="shared" si="753"/>
        <v/>
      </c>
      <c r="BJ2124" s="747" t="str">
        <f t="shared" si="760"/>
        <v/>
      </c>
      <c r="BK2124" s="498" t="str">
        <f t="shared" si="754"/>
        <v/>
      </c>
      <c r="BL2124" s="498" t="str">
        <f t="shared" si="755"/>
        <v/>
      </c>
    </row>
    <row r="2125" spans="1:64" x14ac:dyDescent="0.25">
      <c r="A2125" s="762">
        <f t="shared" si="756"/>
        <v>2120</v>
      </c>
      <c r="B2125" s="229"/>
      <c r="C2125" s="223"/>
      <c r="D2125" s="224"/>
      <c r="E2125" s="225"/>
      <c r="F2125" s="1036" t="str">
        <f t="shared" si="740"/>
        <v/>
      </c>
      <c r="G2125" s="1037" t="str">
        <f t="shared" si="757"/>
        <v/>
      </c>
      <c r="H2125" s="225"/>
      <c r="I2125" s="1013"/>
      <c r="J2125" s="1013"/>
      <c r="K2125" s="1028"/>
      <c r="L2125" s="1035" t="str">
        <f t="shared" si="761"/>
        <v/>
      </c>
      <c r="S2125" s="498"/>
      <c r="AJ2125" s="498"/>
      <c r="AM2125" s="498">
        <f t="shared" si="742"/>
        <v>0</v>
      </c>
      <c r="AN2125" s="498">
        <f t="shared" si="743"/>
        <v>0</v>
      </c>
      <c r="AO2125" s="498">
        <f t="shared" si="744"/>
        <v>0</v>
      </c>
      <c r="AP2125" s="498">
        <f t="shared" si="741"/>
        <v>0</v>
      </c>
      <c r="AQ2125" s="498">
        <f t="shared" si="758"/>
        <v>0</v>
      </c>
      <c r="AU2125" s="498">
        <f t="shared" si="745"/>
        <v>0</v>
      </c>
      <c r="AV2125" s="498">
        <f t="shared" si="746"/>
        <v>0</v>
      </c>
      <c r="AW2125" s="498">
        <f t="shared" si="747"/>
        <v>0</v>
      </c>
      <c r="AX2125" s="498">
        <f t="shared" si="748"/>
        <v>0</v>
      </c>
      <c r="AY2125" s="498">
        <f t="shared" si="749"/>
        <v>0</v>
      </c>
      <c r="BB2125" s="498" t="str">
        <f t="shared" si="750"/>
        <v/>
      </c>
      <c r="BC2125" s="743" t="str">
        <f t="shared" si="751"/>
        <v/>
      </c>
      <c r="BD2125" s="743" t="str">
        <f t="shared" si="752"/>
        <v/>
      </c>
      <c r="BE2125" s="743" t="str">
        <f>IF(D2125="","",VLOOKUP(D2125,'General Basis'!$J$39:$K$46,2,0))</f>
        <v/>
      </c>
      <c r="BF2125" s="744" t="str">
        <f>IF(D2125="","",VLOOKUP(D2125,'General Basis'!$J$39:$L$46,3,0))</f>
        <v/>
      </c>
      <c r="BG2125" s="744" t="str">
        <f t="shared" si="759"/>
        <v/>
      </c>
      <c r="BH2125" s="744" t="str">
        <f>IF(G2125="","",IF(BF2125="Abu Dhabi",IF(G2125&lt;18,'General Basis'!$C$39,IF(G2125&lt;41,'General Basis'!$C$40,IF(G2125&lt;60,'General Basis'!$C$41,IF(G2125&lt;65,'General Basis'!$C$42,'General Basis'!$C$43)))),IF(G2125&lt;11,'General Basis'!$B$39,IF(G2125&lt;18,'General Basis'!$B$40,IF(G2125&lt;26,'General Basis'!$B$41,IF(G2125&lt;31,'General Basis'!$B$42,IF(G2125&lt;36,'General Basis'!$B$43,IF(G2125&lt;41,'General Basis'!$B$44,IF(G2125&lt;46,'General Basis'!$B$45,IF(G2125&lt;51,'General Basis'!$B$46,IF(G2125&lt;56,'General Basis'!$B$47,IF(G2125&lt;60,'General Basis'!$B$48,IF(G2125&lt;65,'General Basis'!$B$49,'General Basis'!$B$50)))))))))))))</f>
        <v/>
      </c>
      <c r="BI2125" s="744" t="str">
        <f t="shared" si="753"/>
        <v/>
      </c>
      <c r="BJ2125" s="747" t="str">
        <f t="shared" si="760"/>
        <v/>
      </c>
      <c r="BK2125" s="498" t="str">
        <f t="shared" si="754"/>
        <v/>
      </c>
      <c r="BL2125" s="498" t="str">
        <f t="shared" si="755"/>
        <v/>
      </c>
    </row>
    <row r="2126" spans="1:64" x14ac:dyDescent="0.25">
      <c r="A2126" s="762">
        <f t="shared" si="756"/>
        <v>2121</v>
      </c>
      <c r="B2126" s="229"/>
      <c r="C2126" s="223"/>
      <c r="D2126" s="224"/>
      <c r="E2126" s="225"/>
      <c r="F2126" s="1036" t="str">
        <f t="shared" si="740"/>
        <v/>
      </c>
      <c r="G2126" s="1037" t="str">
        <f t="shared" si="757"/>
        <v/>
      </c>
      <c r="H2126" s="225"/>
      <c r="I2126" s="1013"/>
      <c r="J2126" s="1013"/>
      <c r="K2126" s="1028"/>
      <c r="L2126" s="1035" t="str">
        <f t="shared" si="761"/>
        <v/>
      </c>
      <c r="S2126" s="498"/>
      <c r="AJ2126" s="498"/>
      <c r="AM2126" s="498">
        <f t="shared" si="742"/>
        <v>0</v>
      </c>
      <c r="AN2126" s="498">
        <f t="shared" si="743"/>
        <v>0</v>
      </c>
      <c r="AO2126" s="498">
        <f t="shared" si="744"/>
        <v>0</v>
      </c>
      <c r="AP2126" s="498">
        <f t="shared" si="741"/>
        <v>0</v>
      </c>
      <c r="AQ2126" s="498">
        <f t="shared" si="758"/>
        <v>0</v>
      </c>
      <c r="AU2126" s="498">
        <f t="shared" si="745"/>
        <v>0</v>
      </c>
      <c r="AV2126" s="498">
        <f t="shared" si="746"/>
        <v>0</v>
      </c>
      <c r="AW2126" s="498">
        <f t="shared" si="747"/>
        <v>0</v>
      </c>
      <c r="AX2126" s="498">
        <f t="shared" si="748"/>
        <v>0</v>
      </c>
      <c r="AY2126" s="498">
        <f t="shared" si="749"/>
        <v>0</v>
      </c>
      <c r="BB2126" s="498" t="str">
        <f t="shared" si="750"/>
        <v/>
      </c>
      <c r="BC2126" s="743" t="str">
        <f t="shared" si="751"/>
        <v/>
      </c>
      <c r="BD2126" s="743" t="str">
        <f t="shared" si="752"/>
        <v/>
      </c>
      <c r="BE2126" s="743" t="str">
        <f>IF(D2126="","",VLOOKUP(D2126,'General Basis'!$J$39:$K$46,2,0))</f>
        <v/>
      </c>
      <c r="BF2126" s="744" t="str">
        <f>IF(D2126="","",VLOOKUP(D2126,'General Basis'!$J$39:$L$46,3,0))</f>
        <v/>
      </c>
      <c r="BG2126" s="744" t="str">
        <f t="shared" si="759"/>
        <v/>
      </c>
      <c r="BH2126" s="744" t="str">
        <f>IF(G2126="","",IF(BF2126="Abu Dhabi",IF(G2126&lt;18,'General Basis'!$C$39,IF(G2126&lt;41,'General Basis'!$C$40,IF(G2126&lt;60,'General Basis'!$C$41,IF(G2126&lt;65,'General Basis'!$C$42,'General Basis'!$C$43)))),IF(G2126&lt;11,'General Basis'!$B$39,IF(G2126&lt;18,'General Basis'!$B$40,IF(G2126&lt;26,'General Basis'!$B$41,IF(G2126&lt;31,'General Basis'!$B$42,IF(G2126&lt;36,'General Basis'!$B$43,IF(G2126&lt;41,'General Basis'!$B$44,IF(G2126&lt;46,'General Basis'!$B$45,IF(G2126&lt;51,'General Basis'!$B$46,IF(G2126&lt;56,'General Basis'!$B$47,IF(G2126&lt;60,'General Basis'!$B$48,IF(G2126&lt;65,'General Basis'!$B$49,'General Basis'!$B$50)))))))))))))</f>
        <v/>
      </c>
      <c r="BI2126" s="744" t="str">
        <f t="shared" si="753"/>
        <v/>
      </c>
      <c r="BJ2126" s="747" t="str">
        <f t="shared" si="760"/>
        <v/>
      </c>
      <c r="BK2126" s="498" t="str">
        <f t="shared" si="754"/>
        <v/>
      </c>
      <c r="BL2126" s="498" t="str">
        <f t="shared" si="755"/>
        <v/>
      </c>
    </row>
    <row r="2127" spans="1:64" x14ac:dyDescent="0.25">
      <c r="A2127" s="762">
        <f t="shared" si="756"/>
        <v>2122</v>
      </c>
      <c r="B2127" s="229"/>
      <c r="C2127" s="223"/>
      <c r="D2127" s="224"/>
      <c r="E2127" s="225"/>
      <c r="F2127" s="1036" t="str">
        <f t="shared" si="740"/>
        <v/>
      </c>
      <c r="G2127" s="1037" t="str">
        <f t="shared" si="757"/>
        <v/>
      </c>
      <c r="H2127" s="225"/>
      <c r="I2127" s="1013"/>
      <c r="J2127" s="1013"/>
      <c r="K2127" s="1028"/>
      <c r="L2127" s="1035" t="str">
        <f t="shared" si="761"/>
        <v/>
      </c>
      <c r="S2127" s="498"/>
      <c r="AJ2127" s="498"/>
      <c r="AM2127" s="498">
        <f t="shared" si="742"/>
        <v>0</v>
      </c>
      <c r="AN2127" s="498">
        <f t="shared" si="743"/>
        <v>0</v>
      </c>
      <c r="AO2127" s="498">
        <f t="shared" si="744"/>
        <v>0</v>
      </c>
      <c r="AP2127" s="498">
        <f t="shared" si="741"/>
        <v>0</v>
      </c>
      <c r="AQ2127" s="498">
        <f t="shared" si="758"/>
        <v>0</v>
      </c>
      <c r="AU2127" s="498">
        <f t="shared" si="745"/>
        <v>0</v>
      </c>
      <c r="AV2127" s="498">
        <f t="shared" si="746"/>
        <v>0</v>
      </c>
      <c r="AW2127" s="498">
        <f t="shared" si="747"/>
        <v>0</v>
      </c>
      <c r="AX2127" s="498">
        <f t="shared" si="748"/>
        <v>0</v>
      </c>
      <c r="AY2127" s="498">
        <f t="shared" si="749"/>
        <v>0</v>
      </c>
      <c r="BB2127" s="498" t="str">
        <f t="shared" si="750"/>
        <v/>
      </c>
      <c r="BC2127" s="743" t="str">
        <f t="shared" si="751"/>
        <v/>
      </c>
      <c r="BD2127" s="743" t="str">
        <f t="shared" si="752"/>
        <v/>
      </c>
      <c r="BE2127" s="743" t="str">
        <f>IF(D2127="","",VLOOKUP(D2127,'General Basis'!$J$39:$K$46,2,0))</f>
        <v/>
      </c>
      <c r="BF2127" s="744" t="str">
        <f>IF(D2127="","",VLOOKUP(D2127,'General Basis'!$J$39:$L$46,3,0))</f>
        <v/>
      </c>
      <c r="BG2127" s="744" t="str">
        <f t="shared" si="759"/>
        <v/>
      </c>
      <c r="BH2127" s="744" t="str">
        <f>IF(G2127="","",IF(BF2127="Abu Dhabi",IF(G2127&lt;18,'General Basis'!$C$39,IF(G2127&lt;41,'General Basis'!$C$40,IF(G2127&lt;60,'General Basis'!$C$41,IF(G2127&lt;65,'General Basis'!$C$42,'General Basis'!$C$43)))),IF(G2127&lt;11,'General Basis'!$B$39,IF(G2127&lt;18,'General Basis'!$B$40,IF(G2127&lt;26,'General Basis'!$B$41,IF(G2127&lt;31,'General Basis'!$B$42,IF(G2127&lt;36,'General Basis'!$B$43,IF(G2127&lt;41,'General Basis'!$B$44,IF(G2127&lt;46,'General Basis'!$B$45,IF(G2127&lt;51,'General Basis'!$B$46,IF(G2127&lt;56,'General Basis'!$B$47,IF(G2127&lt;60,'General Basis'!$B$48,IF(G2127&lt;65,'General Basis'!$B$49,'General Basis'!$B$50)))))))))))))</f>
        <v/>
      </c>
      <c r="BI2127" s="744" t="str">
        <f t="shared" si="753"/>
        <v/>
      </c>
      <c r="BJ2127" s="747" t="str">
        <f t="shared" si="760"/>
        <v/>
      </c>
      <c r="BK2127" s="498" t="str">
        <f t="shared" si="754"/>
        <v/>
      </c>
      <c r="BL2127" s="498" t="str">
        <f t="shared" si="755"/>
        <v/>
      </c>
    </row>
    <row r="2128" spans="1:64" x14ac:dyDescent="0.25">
      <c r="A2128" s="762">
        <f t="shared" si="756"/>
        <v>2123</v>
      </c>
      <c r="B2128" s="229"/>
      <c r="C2128" s="223"/>
      <c r="D2128" s="224"/>
      <c r="E2128" s="225"/>
      <c r="F2128" s="1036" t="str">
        <f t="shared" ref="F2128:F2191" si="762">IF(C2128="","",IF($B2128="","",((YEAR($F$3)-YEAR($B2128))+(MONTH($F$3)-MONTH($B2128))/12+(DAY($F$3)-DAY($B2128))/(DATE(YEAR($F$3),12,31)-DATE(YEAR($F$3),1,1)+1))))</f>
        <v/>
      </c>
      <c r="G2128" s="1037" t="str">
        <f t="shared" si="757"/>
        <v/>
      </c>
      <c r="H2128" s="225"/>
      <c r="I2128" s="1013"/>
      <c r="J2128" s="1013"/>
      <c r="K2128" s="1028"/>
      <c r="L2128" s="1035" t="str">
        <f t="shared" si="761"/>
        <v/>
      </c>
      <c r="S2128" s="498"/>
      <c r="AJ2128" s="498"/>
      <c r="AM2128" s="498">
        <f t="shared" si="742"/>
        <v>0</v>
      </c>
      <c r="AN2128" s="498">
        <f t="shared" si="743"/>
        <v>0</v>
      </c>
      <c r="AO2128" s="498">
        <f t="shared" si="744"/>
        <v>0</v>
      </c>
      <c r="AP2128" s="498">
        <f t="shared" si="741"/>
        <v>0</v>
      </c>
      <c r="AQ2128" s="498">
        <f t="shared" si="758"/>
        <v>0</v>
      </c>
      <c r="AU2128" s="498">
        <f t="shared" si="745"/>
        <v>0</v>
      </c>
      <c r="AV2128" s="498">
        <f t="shared" si="746"/>
        <v>0</v>
      </c>
      <c r="AW2128" s="498">
        <f t="shared" si="747"/>
        <v>0</v>
      </c>
      <c r="AX2128" s="498">
        <f t="shared" si="748"/>
        <v>0</v>
      </c>
      <c r="AY2128" s="498">
        <f t="shared" si="749"/>
        <v>0</v>
      </c>
      <c r="BB2128" s="498" t="str">
        <f t="shared" si="750"/>
        <v/>
      </c>
      <c r="BC2128" s="743" t="str">
        <f t="shared" si="751"/>
        <v/>
      </c>
      <c r="BD2128" s="743" t="str">
        <f t="shared" si="752"/>
        <v/>
      </c>
      <c r="BE2128" s="743" t="str">
        <f>IF(D2128="","",VLOOKUP(D2128,'General Basis'!$J$39:$K$46,2,0))</f>
        <v/>
      </c>
      <c r="BF2128" s="744" t="str">
        <f>IF(D2128="","",VLOOKUP(D2128,'General Basis'!$J$39:$L$46,3,0))</f>
        <v/>
      </c>
      <c r="BG2128" s="744" t="str">
        <f t="shared" si="759"/>
        <v/>
      </c>
      <c r="BH2128" s="744" t="str">
        <f>IF(G2128="","",IF(BF2128="Abu Dhabi",IF(G2128&lt;18,'General Basis'!$C$39,IF(G2128&lt;41,'General Basis'!$C$40,IF(G2128&lt;60,'General Basis'!$C$41,IF(G2128&lt;65,'General Basis'!$C$42,'General Basis'!$C$43)))),IF(G2128&lt;11,'General Basis'!$B$39,IF(G2128&lt;18,'General Basis'!$B$40,IF(G2128&lt;26,'General Basis'!$B$41,IF(G2128&lt;31,'General Basis'!$B$42,IF(G2128&lt;36,'General Basis'!$B$43,IF(G2128&lt;41,'General Basis'!$B$44,IF(G2128&lt;46,'General Basis'!$B$45,IF(G2128&lt;51,'General Basis'!$B$46,IF(G2128&lt;56,'General Basis'!$B$47,IF(G2128&lt;60,'General Basis'!$B$48,IF(G2128&lt;65,'General Basis'!$B$49,'General Basis'!$B$50)))))))))))))</f>
        <v/>
      </c>
      <c r="BI2128" s="744" t="str">
        <f t="shared" si="753"/>
        <v/>
      </c>
      <c r="BJ2128" s="747" t="str">
        <f t="shared" si="760"/>
        <v/>
      </c>
      <c r="BK2128" s="498" t="str">
        <f t="shared" si="754"/>
        <v/>
      </c>
      <c r="BL2128" s="498" t="str">
        <f t="shared" si="755"/>
        <v/>
      </c>
    </row>
    <row r="2129" spans="1:64" x14ac:dyDescent="0.25">
      <c r="A2129" s="762">
        <f t="shared" si="756"/>
        <v>2124</v>
      </c>
      <c r="B2129" s="229"/>
      <c r="C2129" s="223"/>
      <c r="D2129" s="224"/>
      <c r="E2129" s="225"/>
      <c r="F2129" s="1036" t="str">
        <f t="shared" si="762"/>
        <v/>
      </c>
      <c r="G2129" s="1037" t="str">
        <f t="shared" si="757"/>
        <v/>
      </c>
      <c r="H2129" s="225"/>
      <c r="I2129" s="1013"/>
      <c r="J2129" s="1013"/>
      <c r="K2129" s="1028"/>
      <c r="L2129" s="1035" t="str">
        <f t="shared" si="761"/>
        <v/>
      </c>
      <c r="S2129" s="498"/>
      <c r="AJ2129" s="498"/>
      <c r="AM2129" s="498">
        <f t="shared" si="742"/>
        <v>0</v>
      </c>
      <c r="AN2129" s="498">
        <f t="shared" si="743"/>
        <v>0</v>
      </c>
      <c r="AO2129" s="498">
        <f t="shared" si="744"/>
        <v>0</v>
      </c>
      <c r="AP2129" s="498">
        <f t="shared" si="741"/>
        <v>0</v>
      </c>
      <c r="AQ2129" s="498">
        <f t="shared" si="758"/>
        <v>0</v>
      </c>
      <c r="AU2129" s="498">
        <f t="shared" si="745"/>
        <v>0</v>
      </c>
      <c r="AV2129" s="498">
        <f t="shared" si="746"/>
        <v>0</v>
      </c>
      <c r="AW2129" s="498">
        <f t="shared" si="747"/>
        <v>0</v>
      </c>
      <c r="AX2129" s="498">
        <f t="shared" si="748"/>
        <v>0</v>
      </c>
      <c r="AY2129" s="498">
        <f t="shared" si="749"/>
        <v>0</v>
      </c>
      <c r="BB2129" s="498" t="str">
        <f t="shared" si="750"/>
        <v/>
      </c>
      <c r="BC2129" s="743" t="str">
        <f t="shared" si="751"/>
        <v/>
      </c>
      <c r="BD2129" s="743" t="str">
        <f t="shared" si="752"/>
        <v/>
      </c>
      <c r="BE2129" s="743" t="str">
        <f>IF(D2129="","",VLOOKUP(D2129,'General Basis'!$J$39:$K$46,2,0))</f>
        <v/>
      </c>
      <c r="BF2129" s="744" t="str">
        <f>IF(D2129="","",VLOOKUP(D2129,'General Basis'!$J$39:$L$46,3,0))</f>
        <v/>
      </c>
      <c r="BG2129" s="744" t="str">
        <f t="shared" si="759"/>
        <v/>
      </c>
      <c r="BH2129" s="744" t="str">
        <f>IF(G2129="","",IF(BF2129="Abu Dhabi",IF(G2129&lt;18,'General Basis'!$C$39,IF(G2129&lt;41,'General Basis'!$C$40,IF(G2129&lt;60,'General Basis'!$C$41,IF(G2129&lt;65,'General Basis'!$C$42,'General Basis'!$C$43)))),IF(G2129&lt;11,'General Basis'!$B$39,IF(G2129&lt;18,'General Basis'!$B$40,IF(G2129&lt;26,'General Basis'!$B$41,IF(G2129&lt;31,'General Basis'!$B$42,IF(G2129&lt;36,'General Basis'!$B$43,IF(G2129&lt;41,'General Basis'!$B$44,IF(G2129&lt;46,'General Basis'!$B$45,IF(G2129&lt;51,'General Basis'!$B$46,IF(G2129&lt;56,'General Basis'!$B$47,IF(G2129&lt;60,'General Basis'!$B$48,IF(G2129&lt;65,'General Basis'!$B$49,'General Basis'!$B$50)))))))))))))</f>
        <v/>
      </c>
      <c r="BI2129" s="744" t="str">
        <f t="shared" si="753"/>
        <v/>
      </c>
      <c r="BJ2129" s="747" t="str">
        <f t="shared" si="760"/>
        <v/>
      </c>
      <c r="BK2129" s="498" t="str">
        <f t="shared" si="754"/>
        <v/>
      </c>
      <c r="BL2129" s="498" t="str">
        <f t="shared" si="755"/>
        <v/>
      </c>
    </row>
    <row r="2130" spans="1:64" x14ac:dyDescent="0.25">
      <c r="A2130" s="762">
        <f t="shared" si="756"/>
        <v>2125</v>
      </c>
      <c r="B2130" s="229"/>
      <c r="C2130" s="223"/>
      <c r="D2130" s="224"/>
      <c r="E2130" s="225"/>
      <c r="F2130" s="1036" t="str">
        <f t="shared" si="762"/>
        <v/>
      </c>
      <c r="G2130" s="1037" t="str">
        <f t="shared" si="757"/>
        <v/>
      </c>
      <c r="H2130" s="225"/>
      <c r="I2130" s="1013"/>
      <c r="J2130" s="1013"/>
      <c r="K2130" s="1028"/>
      <c r="L2130" s="1035" t="str">
        <f t="shared" si="761"/>
        <v/>
      </c>
      <c r="S2130" s="498"/>
      <c r="AJ2130" s="498"/>
      <c r="AM2130" s="498">
        <f t="shared" si="742"/>
        <v>0</v>
      </c>
      <c r="AN2130" s="498">
        <f t="shared" si="743"/>
        <v>0</v>
      </c>
      <c r="AO2130" s="498">
        <f t="shared" si="744"/>
        <v>0</v>
      </c>
      <c r="AP2130" s="498">
        <f t="shared" si="741"/>
        <v>0</v>
      </c>
      <c r="AQ2130" s="498">
        <f t="shared" si="758"/>
        <v>0</v>
      </c>
      <c r="AU2130" s="498">
        <f t="shared" si="745"/>
        <v>0</v>
      </c>
      <c r="AV2130" s="498">
        <f t="shared" si="746"/>
        <v>0</v>
      </c>
      <c r="AW2130" s="498">
        <f t="shared" si="747"/>
        <v>0</v>
      </c>
      <c r="AX2130" s="498">
        <f t="shared" si="748"/>
        <v>0</v>
      </c>
      <c r="AY2130" s="498">
        <f t="shared" si="749"/>
        <v>0</v>
      </c>
      <c r="BB2130" s="498" t="str">
        <f t="shared" si="750"/>
        <v/>
      </c>
      <c r="BC2130" s="743" t="str">
        <f t="shared" si="751"/>
        <v/>
      </c>
      <c r="BD2130" s="743" t="str">
        <f t="shared" si="752"/>
        <v/>
      </c>
      <c r="BE2130" s="743" t="str">
        <f>IF(D2130="","",VLOOKUP(D2130,'General Basis'!$J$39:$K$46,2,0))</f>
        <v/>
      </c>
      <c r="BF2130" s="744" t="str">
        <f>IF(D2130="","",VLOOKUP(D2130,'General Basis'!$J$39:$L$46,3,0))</f>
        <v/>
      </c>
      <c r="BG2130" s="744" t="str">
        <f t="shared" si="759"/>
        <v/>
      </c>
      <c r="BH2130" s="744" t="str">
        <f>IF(G2130="","",IF(BF2130="Abu Dhabi",IF(G2130&lt;18,'General Basis'!$C$39,IF(G2130&lt;41,'General Basis'!$C$40,IF(G2130&lt;60,'General Basis'!$C$41,IF(G2130&lt;65,'General Basis'!$C$42,'General Basis'!$C$43)))),IF(G2130&lt;11,'General Basis'!$B$39,IF(G2130&lt;18,'General Basis'!$B$40,IF(G2130&lt;26,'General Basis'!$B$41,IF(G2130&lt;31,'General Basis'!$B$42,IF(G2130&lt;36,'General Basis'!$B$43,IF(G2130&lt;41,'General Basis'!$B$44,IF(G2130&lt;46,'General Basis'!$B$45,IF(G2130&lt;51,'General Basis'!$B$46,IF(G2130&lt;56,'General Basis'!$B$47,IF(G2130&lt;60,'General Basis'!$B$48,IF(G2130&lt;65,'General Basis'!$B$49,'General Basis'!$B$50)))))))))))))</f>
        <v/>
      </c>
      <c r="BI2130" s="744" t="str">
        <f t="shared" si="753"/>
        <v/>
      </c>
      <c r="BJ2130" s="747" t="str">
        <f t="shared" si="760"/>
        <v/>
      </c>
      <c r="BK2130" s="498" t="str">
        <f t="shared" si="754"/>
        <v/>
      </c>
      <c r="BL2130" s="498" t="str">
        <f t="shared" si="755"/>
        <v/>
      </c>
    </row>
    <row r="2131" spans="1:64" x14ac:dyDescent="0.25">
      <c r="A2131" s="762">
        <f t="shared" si="756"/>
        <v>2126</v>
      </c>
      <c r="B2131" s="229"/>
      <c r="C2131" s="223"/>
      <c r="D2131" s="224"/>
      <c r="E2131" s="225"/>
      <c r="F2131" s="1036" t="str">
        <f t="shared" si="762"/>
        <v/>
      </c>
      <c r="G2131" s="1037" t="str">
        <f t="shared" si="757"/>
        <v/>
      </c>
      <c r="H2131" s="225"/>
      <c r="I2131" s="1013"/>
      <c r="J2131" s="1013"/>
      <c r="K2131" s="1028"/>
      <c r="L2131" s="1035" t="str">
        <f t="shared" si="761"/>
        <v/>
      </c>
      <c r="S2131" s="498"/>
      <c r="AJ2131" s="498"/>
      <c r="AM2131" s="498">
        <f t="shared" si="742"/>
        <v>0</v>
      </c>
      <c r="AN2131" s="498">
        <f t="shared" si="743"/>
        <v>0</v>
      </c>
      <c r="AO2131" s="498">
        <f t="shared" si="744"/>
        <v>0</v>
      </c>
      <c r="AP2131" s="498">
        <f t="shared" ref="AP2131:AP2194" si="763">IF(ISBLANK($B2131),0,IF(OR($C2131="M",$C2131="F"),0,1))</f>
        <v>0</v>
      </c>
      <c r="AQ2131" s="498">
        <f t="shared" si="758"/>
        <v>0</v>
      </c>
      <c r="AU2131" s="498">
        <f t="shared" si="745"/>
        <v>0</v>
      </c>
      <c r="AV2131" s="498">
        <f t="shared" si="746"/>
        <v>0</v>
      </c>
      <c r="AW2131" s="498">
        <f t="shared" si="747"/>
        <v>0</v>
      </c>
      <c r="AX2131" s="498">
        <f t="shared" si="748"/>
        <v>0</v>
      </c>
      <c r="AY2131" s="498">
        <f t="shared" si="749"/>
        <v>0</v>
      </c>
      <c r="BB2131" s="498" t="str">
        <f t="shared" si="750"/>
        <v/>
      </c>
      <c r="BC2131" s="743" t="str">
        <f t="shared" si="751"/>
        <v/>
      </c>
      <c r="BD2131" s="743" t="str">
        <f t="shared" si="752"/>
        <v/>
      </c>
      <c r="BE2131" s="743" t="str">
        <f>IF(D2131="","",VLOOKUP(D2131,'General Basis'!$J$39:$K$46,2,0))</f>
        <v/>
      </c>
      <c r="BF2131" s="744" t="str">
        <f>IF(D2131="","",VLOOKUP(D2131,'General Basis'!$J$39:$L$46,3,0))</f>
        <v/>
      </c>
      <c r="BG2131" s="744" t="str">
        <f t="shared" si="759"/>
        <v/>
      </c>
      <c r="BH2131" s="744" t="str">
        <f>IF(G2131="","",IF(BF2131="Abu Dhabi",IF(G2131&lt;18,'General Basis'!$C$39,IF(G2131&lt;41,'General Basis'!$C$40,IF(G2131&lt;60,'General Basis'!$C$41,IF(G2131&lt;65,'General Basis'!$C$42,'General Basis'!$C$43)))),IF(G2131&lt;11,'General Basis'!$B$39,IF(G2131&lt;18,'General Basis'!$B$40,IF(G2131&lt;26,'General Basis'!$B$41,IF(G2131&lt;31,'General Basis'!$B$42,IF(G2131&lt;36,'General Basis'!$B$43,IF(G2131&lt;41,'General Basis'!$B$44,IF(G2131&lt;46,'General Basis'!$B$45,IF(G2131&lt;51,'General Basis'!$B$46,IF(G2131&lt;56,'General Basis'!$B$47,IF(G2131&lt;60,'General Basis'!$B$48,IF(G2131&lt;65,'General Basis'!$B$49,'General Basis'!$B$50)))))))))))))</f>
        <v/>
      </c>
      <c r="BI2131" s="744" t="str">
        <f t="shared" si="753"/>
        <v/>
      </c>
      <c r="BJ2131" s="747" t="str">
        <f t="shared" si="760"/>
        <v/>
      </c>
      <c r="BK2131" s="498" t="str">
        <f t="shared" si="754"/>
        <v/>
      </c>
      <c r="BL2131" s="498" t="str">
        <f t="shared" si="755"/>
        <v/>
      </c>
    </row>
    <row r="2132" spans="1:64" x14ac:dyDescent="0.25">
      <c r="A2132" s="762">
        <f t="shared" si="756"/>
        <v>2127</v>
      </c>
      <c r="B2132" s="229"/>
      <c r="C2132" s="223"/>
      <c r="D2132" s="224"/>
      <c r="E2132" s="225"/>
      <c r="F2132" s="1036" t="str">
        <f t="shared" si="762"/>
        <v/>
      </c>
      <c r="G2132" s="1037" t="str">
        <f t="shared" si="757"/>
        <v/>
      </c>
      <c r="H2132" s="225"/>
      <c r="I2132" s="1013"/>
      <c r="J2132" s="1013"/>
      <c r="K2132" s="1028"/>
      <c r="L2132" s="1035" t="str">
        <f t="shared" si="761"/>
        <v/>
      </c>
      <c r="S2132" s="498"/>
      <c r="AJ2132" s="498"/>
      <c r="AM2132" s="498">
        <f t="shared" si="742"/>
        <v>0</v>
      </c>
      <c r="AN2132" s="498">
        <f t="shared" si="743"/>
        <v>0</v>
      </c>
      <c r="AO2132" s="498">
        <f t="shared" si="744"/>
        <v>0</v>
      </c>
      <c r="AP2132" s="498">
        <f t="shared" si="763"/>
        <v>0</v>
      </c>
      <c r="AQ2132" s="498">
        <f t="shared" si="758"/>
        <v>0</v>
      </c>
      <c r="AU2132" s="498">
        <f t="shared" si="745"/>
        <v>0</v>
      </c>
      <c r="AV2132" s="498">
        <f t="shared" si="746"/>
        <v>0</v>
      </c>
      <c r="AW2132" s="498">
        <f t="shared" si="747"/>
        <v>0</v>
      </c>
      <c r="AX2132" s="498">
        <f t="shared" si="748"/>
        <v>0</v>
      </c>
      <c r="AY2132" s="498">
        <f t="shared" si="749"/>
        <v>0</v>
      </c>
      <c r="BB2132" s="498" t="str">
        <f t="shared" si="750"/>
        <v/>
      </c>
      <c r="BC2132" s="743" t="str">
        <f t="shared" si="751"/>
        <v/>
      </c>
      <c r="BD2132" s="743" t="str">
        <f t="shared" si="752"/>
        <v/>
      </c>
      <c r="BE2132" s="743" t="str">
        <f>IF(D2132="","",VLOOKUP(D2132,'General Basis'!$J$39:$K$46,2,0))</f>
        <v/>
      </c>
      <c r="BF2132" s="744" t="str">
        <f>IF(D2132="","",VLOOKUP(D2132,'General Basis'!$J$39:$L$46,3,0))</f>
        <v/>
      </c>
      <c r="BG2132" s="744" t="str">
        <f t="shared" si="759"/>
        <v/>
      </c>
      <c r="BH2132" s="744" t="str">
        <f>IF(G2132="","",IF(BF2132="Abu Dhabi",IF(G2132&lt;18,'General Basis'!$C$39,IF(G2132&lt;41,'General Basis'!$C$40,IF(G2132&lt;60,'General Basis'!$C$41,IF(G2132&lt;65,'General Basis'!$C$42,'General Basis'!$C$43)))),IF(G2132&lt;11,'General Basis'!$B$39,IF(G2132&lt;18,'General Basis'!$B$40,IF(G2132&lt;26,'General Basis'!$B$41,IF(G2132&lt;31,'General Basis'!$B$42,IF(G2132&lt;36,'General Basis'!$B$43,IF(G2132&lt;41,'General Basis'!$B$44,IF(G2132&lt;46,'General Basis'!$B$45,IF(G2132&lt;51,'General Basis'!$B$46,IF(G2132&lt;56,'General Basis'!$B$47,IF(G2132&lt;60,'General Basis'!$B$48,IF(G2132&lt;65,'General Basis'!$B$49,'General Basis'!$B$50)))))))))))))</f>
        <v/>
      </c>
      <c r="BI2132" s="744" t="str">
        <f t="shared" si="753"/>
        <v/>
      </c>
      <c r="BJ2132" s="747" t="str">
        <f t="shared" si="760"/>
        <v/>
      </c>
      <c r="BK2132" s="498" t="str">
        <f t="shared" si="754"/>
        <v/>
      </c>
      <c r="BL2132" s="498" t="str">
        <f t="shared" si="755"/>
        <v/>
      </c>
    </row>
    <row r="2133" spans="1:64" x14ac:dyDescent="0.25">
      <c r="A2133" s="762">
        <f t="shared" si="756"/>
        <v>2128</v>
      </c>
      <c r="B2133" s="229"/>
      <c r="C2133" s="223"/>
      <c r="D2133" s="224"/>
      <c r="E2133" s="225"/>
      <c r="F2133" s="1036" t="str">
        <f t="shared" si="762"/>
        <v/>
      </c>
      <c r="G2133" s="1037" t="str">
        <f t="shared" si="757"/>
        <v/>
      </c>
      <c r="H2133" s="225"/>
      <c r="I2133" s="1013"/>
      <c r="J2133" s="1013"/>
      <c r="K2133" s="1028"/>
      <c r="L2133" s="1035" t="str">
        <f t="shared" si="761"/>
        <v/>
      </c>
      <c r="S2133" s="498"/>
      <c r="AJ2133" s="498"/>
      <c r="AM2133" s="498">
        <f t="shared" si="742"/>
        <v>0</v>
      </c>
      <c r="AN2133" s="498">
        <f t="shared" si="743"/>
        <v>0</v>
      </c>
      <c r="AO2133" s="498">
        <f t="shared" si="744"/>
        <v>0</v>
      </c>
      <c r="AP2133" s="498">
        <f t="shared" si="763"/>
        <v>0</v>
      </c>
      <c r="AQ2133" s="498">
        <f t="shared" si="758"/>
        <v>0</v>
      </c>
      <c r="AU2133" s="498">
        <f t="shared" si="745"/>
        <v>0</v>
      </c>
      <c r="AV2133" s="498">
        <f t="shared" si="746"/>
        <v>0</v>
      </c>
      <c r="AW2133" s="498">
        <f t="shared" si="747"/>
        <v>0</v>
      </c>
      <c r="AX2133" s="498">
        <f t="shared" si="748"/>
        <v>0</v>
      </c>
      <c r="AY2133" s="498">
        <f t="shared" si="749"/>
        <v>0</v>
      </c>
      <c r="BB2133" s="498" t="str">
        <f t="shared" si="750"/>
        <v/>
      </c>
      <c r="BC2133" s="743" t="str">
        <f t="shared" si="751"/>
        <v/>
      </c>
      <c r="BD2133" s="743" t="str">
        <f t="shared" si="752"/>
        <v/>
      </c>
      <c r="BE2133" s="743" t="str">
        <f>IF(D2133="","",VLOOKUP(D2133,'General Basis'!$J$39:$K$46,2,0))</f>
        <v/>
      </c>
      <c r="BF2133" s="744" t="str">
        <f>IF(D2133="","",VLOOKUP(D2133,'General Basis'!$J$39:$L$46,3,0))</f>
        <v/>
      </c>
      <c r="BG2133" s="744" t="str">
        <f t="shared" si="759"/>
        <v/>
      </c>
      <c r="BH2133" s="744" t="str">
        <f>IF(G2133="","",IF(BF2133="Abu Dhabi",IF(G2133&lt;18,'General Basis'!$C$39,IF(G2133&lt;41,'General Basis'!$C$40,IF(G2133&lt;60,'General Basis'!$C$41,IF(G2133&lt;65,'General Basis'!$C$42,'General Basis'!$C$43)))),IF(G2133&lt;11,'General Basis'!$B$39,IF(G2133&lt;18,'General Basis'!$B$40,IF(G2133&lt;26,'General Basis'!$B$41,IF(G2133&lt;31,'General Basis'!$B$42,IF(G2133&lt;36,'General Basis'!$B$43,IF(G2133&lt;41,'General Basis'!$B$44,IF(G2133&lt;46,'General Basis'!$B$45,IF(G2133&lt;51,'General Basis'!$B$46,IF(G2133&lt;56,'General Basis'!$B$47,IF(G2133&lt;60,'General Basis'!$B$48,IF(G2133&lt;65,'General Basis'!$B$49,'General Basis'!$B$50)))))))))))))</f>
        <v/>
      </c>
      <c r="BI2133" s="744" t="str">
        <f t="shared" si="753"/>
        <v/>
      </c>
      <c r="BJ2133" s="747" t="str">
        <f t="shared" si="760"/>
        <v/>
      </c>
      <c r="BK2133" s="498" t="str">
        <f t="shared" si="754"/>
        <v/>
      </c>
      <c r="BL2133" s="498" t="str">
        <f t="shared" si="755"/>
        <v/>
      </c>
    </row>
    <row r="2134" spans="1:64" x14ac:dyDescent="0.25">
      <c r="A2134" s="762">
        <f t="shared" si="756"/>
        <v>2129</v>
      </c>
      <c r="B2134" s="229"/>
      <c r="C2134" s="223"/>
      <c r="D2134" s="224"/>
      <c r="E2134" s="225"/>
      <c r="F2134" s="1036" t="str">
        <f t="shared" si="762"/>
        <v/>
      </c>
      <c r="G2134" s="1037" t="str">
        <f t="shared" si="757"/>
        <v/>
      </c>
      <c r="H2134" s="225"/>
      <c r="I2134" s="1013"/>
      <c r="J2134" s="1013"/>
      <c r="K2134" s="1028"/>
      <c r="L2134" s="1035" t="str">
        <f t="shared" si="761"/>
        <v/>
      </c>
      <c r="S2134" s="498"/>
      <c r="AJ2134" s="498"/>
      <c r="AM2134" s="498">
        <f t="shared" si="742"/>
        <v>0</v>
      </c>
      <c r="AN2134" s="498">
        <f t="shared" si="743"/>
        <v>0</v>
      </c>
      <c r="AO2134" s="498">
        <f t="shared" si="744"/>
        <v>0</v>
      </c>
      <c r="AP2134" s="498">
        <f t="shared" si="763"/>
        <v>0</v>
      </c>
      <c r="AQ2134" s="498">
        <f t="shared" si="758"/>
        <v>0</v>
      </c>
      <c r="AU2134" s="498">
        <f t="shared" si="745"/>
        <v>0</v>
      </c>
      <c r="AV2134" s="498">
        <f t="shared" si="746"/>
        <v>0</v>
      </c>
      <c r="AW2134" s="498">
        <f t="shared" si="747"/>
        <v>0</v>
      </c>
      <c r="AX2134" s="498">
        <f t="shared" si="748"/>
        <v>0</v>
      </c>
      <c r="AY2134" s="498">
        <f t="shared" si="749"/>
        <v>0</v>
      </c>
      <c r="BB2134" s="498" t="str">
        <f t="shared" si="750"/>
        <v/>
      </c>
      <c r="BC2134" s="743" t="str">
        <f t="shared" si="751"/>
        <v/>
      </c>
      <c r="BD2134" s="743" t="str">
        <f t="shared" si="752"/>
        <v/>
      </c>
      <c r="BE2134" s="743" t="str">
        <f>IF(D2134="","",VLOOKUP(D2134,'General Basis'!$J$39:$K$46,2,0))</f>
        <v/>
      </c>
      <c r="BF2134" s="744" t="str">
        <f>IF(D2134="","",VLOOKUP(D2134,'General Basis'!$J$39:$L$46,3,0))</f>
        <v/>
      </c>
      <c r="BG2134" s="744" t="str">
        <f t="shared" si="759"/>
        <v/>
      </c>
      <c r="BH2134" s="744" t="str">
        <f>IF(G2134="","",IF(BF2134="Abu Dhabi",IF(G2134&lt;18,'General Basis'!$C$39,IF(G2134&lt;41,'General Basis'!$C$40,IF(G2134&lt;60,'General Basis'!$C$41,IF(G2134&lt;65,'General Basis'!$C$42,'General Basis'!$C$43)))),IF(G2134&lt;11,'General Basis'!$B$39,IF(G2134&lt;18,'General Basis'!$B$40,IF(G2134&lt;26,'General Basis'!$B$41,IF(G2134&lt;31,'General Basis'!$B$42,IF(G2134&lt;36,'General Basis'!$B$43,IF(G2134&lt;41,'General Basis'!$B$44,IF(G2134&lt;46,'General Basis'!$B$45,IF(G2134&lt;51,'General Basis'!$B$46,IF(G2134&lt;56,'General Basis'!$B$47,IF(G2134&lt;60,'General Basis'!$B$48,IF(G2134&lt;65,'General Basis'!$B$49,'General Basis'!$B$50)))))))))))))</f>
        <v/>
      </c>
      <c r="BI2134" s="744" t="str">
        <f t="shared" si="753"/>
        <v/>
      </c>
      <c r="BJ2134" s="747" t="str">
        <f t="shared" si="760"/>
        <v/>
      </c>
      <c r="BK2134" s="498" t="str">
        <f t="shared" si="754"/>
        <v/>
      </c>
      <c r="BL2134" s="498" t="str">
        <f t="shared" si="755"/>
        <v/>
      </c>
    </row>
    <row r="2135" spans="1:64" x14ac:dyDescent="0.25">
      <c r="A2135" s="762">
        <f t="shared" si="756"/>
        <v>2130</v>
      </c>
      <c r="B2135" s="229"/>
      <c r="C2135" s="223"/>
      <c r="D2135" s="224"/>
      <c r="E2135" s="225"/>
      <c r="F2135" s="1036" t="str">
        <f t="shared" si="762"/>
        <v/>
      </c>
      <c r="G2135" s="1037" t="str">
        <f t="shared" si="757"/>
        <v/>
      </c>
      <c r="H2135" s="225"/>
      <c r="I2135" s="1013"/>
      <c r="J2135" s="1013"/>
      <c r="K2135" s="1028"/>
      <c r="L2135" s="1035" t="str">
        <f t="shared" si="761"/>
        <v/>
      </c>
      <c r="S2135" s="498"/>
      <c r="AJ2135" s="498"/>
      <c r="AM2135" s="498">
        <f t="shared" si="742"/>
        <v>0</v>
      </c>
      <c r="AN2135" s="498">
        <f t="shared" si="743"/>
        <v>0</v>
      </c>
      <c r="AO2135" s="498">
        <f t="shared" si="744"/>
        <v>0</v>
      </c>
      <c r="AP2135" s="498">
        <f t="shared" si="763"/>
        <v>0</v>
      </c>
      <c r="AQ2135" s="498">
        <f t="shared" si="758"/>
        <v>0</v>
      </c>
      <c r="AU2135" s="498">
        <f t="shared" si="745"/>
        <v>0</v>
      </c>
      <c r="AV2135" s="498">
        <f t="shared" si="746"/>
        <v>0</v>
      </c>
      <c r="AW2135" s="498">
        <f t="shared" si="747"/>
        <v>0</v>
      </c>
      <c r="AX2135" s="498">
        <f t="shared" si="748"/>
        <v>0</v>
      </c>
      <c r="AY2135" s="498">
        <f t="shared" si="749"/>
        <v>0</v>
      </c>
      <c r="BB2135" s="498" t="str">
        <f t="shared" si="750"/>
        <v/>
      </c>
      <c r="BC2135" s="743" t="str">
        <f t="shared" si="751"/>
        <v/>
      </c>
      <c r="BD2135" s="743" t="str">
        <f t="shared" si="752"/>
        <v/>
      </c>
      <c r="BE2135" s="743" t="str">
        <f>IF(D2135="","",VLOOKUP(D2135,'General Basis'!$J$39:$K$46,2,0))</f>
        <v/>
      </c>
      <c r="BF2135" s="744" t="str">
        <f>IF(D2135="","",VLOOKUP(D2135,'General Basis'!$J$39:$L$46,3,0))</f>
        <v/>
      </c>
      <c r="BG2135" s="744" t="str">
        <f t="shared" si="759"/>
        <v/>
      </c>
      <c r="BH2135" s="744" t="str">
        <f>IF(G2135="","",IF(BF2135="Abu Dhabi",IF(G2135&lt;18,'General Basis'!$C$39,IF(G2135&lt;41,'General Basis'!$C$40,IF(G2135&lt;60,'General Basis'!$C$41,IF(G2135&lt;65,'General Basis'!$C$42,'General Basis'!$C$43)))),IF(G2135&lt;11,'General Basis'!$B$39,IF(G2135&lt;18,'General Basis'!$B$40,IF(G2135&lt;26,'General Basis'!$B$41,IF(G2135&lt;31,'General Basis'!$B$42,IF(G2135&lt;36,'General Basis'!$B$43,IF(G2135&lt;41,'General Basis'!$B$44,IF(G2135&lt;46,'General Basis'!$B$45,IF(G2135&lt;51,'General Basis'!$B$46,IF(G2135&lt;56,'General Basis'!$B$47,IF(G2135&lt;60,'General Basis'!$B$48,IF(G2135&lt;65,'General Basis'!$B$49,'General Basis'!$B$50)))))))))))))</f>
        <v/>
      </c>
      <c r="BI2135" s="744" t="str">
        <f t="shared" si="753"/>
        <v/>
      </c>
      <c r="BJ2135" s="747" t="str">
        <f t="shared" si="760"/>
        <v/>
      </c>
      <c r="BK2135" s="498" t="str">
        <f t="shared" si="754"/>
        <v/>
      </c>
      <c r="BL2135" s="498" t="str">
        <f t="shared" si="755"/>
        <v/>
      </c>
    </row>
    <row r="2136" spans="1:64" x14ac:dyDescent="0.25">
      <c r="A2136" s="762">
        <f t="shared" si="756"/>
        <v>2131</v>
      </c>
      <c r="B2136" s="229"/>
      <c r="C2136" s="223"/>
      <c r="D2136" s="224"/>
      <c r="E2136" s="225"/>
      <c r="F2136" s="1036" t="str">
        <f t="shared" si="762"/>
        <v/>
      </c>
      <c r="G2136" s="1037" t="str">
        <f t="shared" si="757"/>
        <v/>
      </c>
      <c r="H2136" s="225"/>
      <c r="I2136" s="1013"/>
      <c r="J2136" s="1013"/>
      <c r="K2136" s="1028"/>
      <c r="L2136" s="1035" t="str">
        <f t="shared" si="761"/>
        <v/>
      </c>
      <c r="S2136" s="498"/>
      <c r="AJ2136" s="498"/>
      <c r="AM2136" s="498">
        <f t="shared" si="742"/>
        <v>0</v>
      </c>
      <c r="AN2136" s="498">
        <f t="shared" si="743"/>
        <v>0</v>
      </c>
      <c r="AO2136" s="498">
        <f t="shared" si="744"/>
        <v>0</v>
      </c>
      <c r="AP2136" s="498">
        <f t="shared" si="763"/>
        <v>0</v>
      </c>
      <c r="AQ2136" s="498">
        <f t="shared" si="758"/>
        <v>0</v>
      </c>
      <c r="AU2136" s="498">
        <f t="shared" si="745"/>
        <v>0</v>
      </c>
      <c r="AV2136" s="498">
        <f t="shared" si="746"/>
        <v>0</v>
      </c>
      <c r="AW2136" s="498">
        <f t="shared" si="747"/>
        <v>0</v>
      </c>
      <c r="AX2136" s="498">
        <f t="shared" si="748"/>
        <v>0</v>
      </c>
      <c r="AY2136" s="498">
        <f t="shared" si="749"/>
        <v>0</v>
      </c>
      <c r="BB2136" s="498" t="str">
        <f t="shared" si="750"/>
        <v/>
      </c>
      <c r="BC2136" s="743" t="str">
        <f t="shared" si="751"/>
        <v/>
      </c>
      <c r="BD2136" s="743" t="str">
        <f t="shared" si="752"/>
        <v/>
      </c>
      <c r="BE2136" s="743" t="str">
        <f>IF(D2136="","",VLOOKUP(D2136,'General Basis'!$J$39:$K$46,2,0))</f>
        <v/>
      </c>
      <c r="BF2136" s="744" t="str">
        <f>IF(D2136="","",VLOOKUP(D2136,'General Basis'!$J$39:$L$46,3,0))</f>
        <v/>
      </c>
      <c r="BG2136" s="744" t="str">
        <f t="shared" si="759"/>
        <v/>
      </c>
      <c r="BH2136" s="744" t="str">
        <f>IF(G2136="","",IF(BF2136="Abu Dhabi",IF(G2136&lt;18,'General Basis'!$C$39,IF(G2136&lt;41,'General Basis'!$C$40,IF(G2136&lt;60,'General Basis'!$C$41,IF(G2136&lt;65,'General Basis'!$C$42,'General Basis'!$C$43)))),IF(G2136&lt;11,'General Basis'!$B$39,IF(G2136&lt;18,'General Basis'!$B$40,IF(G2136&lt;26,'General Basis'!$B$41,IF(G2136&lt;31,'General Basis'!$B$42,IF(G2136&lt;36,'General Basis'!$B$43,IF(G2136&lt;41,'General Basis'!$B$44,IF(G2136&lt;46,'General Basis'!$B$45,IF(G2136&lt;51,'General Basis'!$B$46,IF(G2136&lt;56,'General Basis'!$B$47,IF(G2136&lt;60,'General Basis'!$B$48,IF(G2136&lt;65,'General Basis'!$B$49,'General Basis'!$B$50)))))))))))))</f>
        <v/>
      </c>
      <c r="BI2136" s="744" t="str">
        <f t="shared" si="753"/>
        <v/>
      </c>
      <c r="BJ2136" s="747" t="str">
        <f t="shared" si="760"/>
        <v/>
      </c>
      <c r="BK2136" s="498" t="str">
        <f t="shared" si="754"/>
        <v/>
      </c>
      <c r="BL2136" s="498" t="str">
        <f t="shared" si="755"/>
        <v/>
      </c>
    </row>
    <row r="2137" spans="1:64" x14ac:dyDescent="0.25">
      <c r="A2137" s="762">
        <f t="shared" si="756"/>
        <v>2132</v>
      </c>
      <c r="B2137" s="229"/>
      <c r="C2137" s="223"/>
      <c r="D2137" s="224"/>
      <c r="E2137" s="225"/>
      <c r="F2137" s="1036" t="str">
        <f t="shared" si="762"/>
        <v/>
      </c>
      <c r="G2137" s="1037" t="str">
        <f t="shared" si="757"/>
        <v/>
      </c>
      <c r="H2137" s="225"/>
      <c r="I2137" s="1013"/>
      <c r="J2137" s="1013"/>
      <c r="K2137" s="1028"/>
      <c r="L2137" s="1035" t="str">
        <f t="shared" si="761"/>
        <v/>
      </c>
      <c r="S2137" s="498"/>
      <c r="AJ2137" s="498"/>
      <c r="AM2137" s="498">
        <f t="shared" si="742"/>
        <v>0</v>
      </c>
      <c r="AN2137" s="498">
        <f t="shared" si="743"/>
        <v>0</v>
      </c>
      <c r="AO2137" s="498">
        <f t="shared" si="744"/>
        <v>0</v>
      </c>
      <c r="AP2137" s="498">
        <f t="shared" si="763"/>
        <v>0</v>
      </c>
      <c r="AQ2137" s="498">
        <f t="shared" si="758"/>
        <v>0</v>
      </c>
      <c r="AU2137" s="498">
        <f t="shared" si="745"/>
        <v>0</v>
      </c>
      <c r="AV2137" s="498">
        <f t="shared" si="746"/>
        <v>0</v>
      </c>
      <c r="AW2137" s="498">
        <f t="shared" si="747"/>
        <v>0</v>
      </c>
      <c r="AX2137" s="498">
        <f t="shared" si="748"/>
        <v>0</v>
      </c>
      <c r="AY2137" s="498">
        <f t="shared" si="749"/>
        <v>0</v>
      </c>
      <c r="BB2137" s="498" t="str">
        <f t="shared" si="750"/>
        <v/>
      </c>
      <c r="BC2137" s="743" t="str">
        <f t="shared" si="751"/>
        <v/>
      </c>
      <c r="BD2137" s="743" t="str">
        <f t="shared" si="752"/>
        <v/>
      </c>
      <c r="BE2137" s="743" t="str">
        <f>IF(D2137="","",VLOOKUP(D2137,'General Basis'!$J$39:$K$46,2,0))</f>
        <v/>
      </c>
      <c r="BF2137" s="744" t="str">
        <f>IF(D2137="","",VLOOKUP(D2137,'General Basis'!$J$39:$L$46,3,0))</f>
        <v/>
      </c>
      <c r="BG2137" s="744" t="str">
        <f t="shared" si="759"/>
        <v/>
      </c>
      <c r="BH2137" s="744" t="str">
        <f>IF(G2137="","",IF(BF2137="Abu Dhabi",IF(G2137&lt;18,'General Basis'!$C$39,IF(G2137&lt;41,'General Basis'!$C$40,IF(G2137&lt;60,'General Basis'!$C$41,IF(G2137&lt;65,'General Basis'!$C$42,'General Basis'!$C$43)))),IF(G2137&lt;11,'General Basis'!$B$39,IF(G2137&lt;18,'General Basis'!$B$40,IF(G2137&lt;26,'General Basis'!$B$41,IF(G2137&lt;31,'General Basis'!$B$42,IF(G2137&lt;36,'General Basis'!$B$43,IF(G2137&lt;41,'General Basis'!$B$44,IF(G2137&lt;46,'General Basis'!$B$45,IF(G2137&lt;51,'General Basis'!$B$46,IF(G2137&lt;56,'General Basis'!$B$47,IF(G2137&lt;60,'General Basis'!$B$48,IF(G2137&lt;65,'General Basis'!$B$49,'General Basis'!$B$50)))))))))))))</f>
        <v/>
      </c>
      <c r="BI2137" s="744" t="str">
        <f t="shared" si="753"/>
        <v/>
      </c>
      <c r="BJ2137" s="747" t="str">
        <f t="shared" si="760"/>
        <v/>
      </c>
      <c r="BK2137" s="498" t="str">
        <f t="shared" si="754"/>
        <v/>
      </c>
      <c r="BL2137" s="498" t="str">
        <f t="shared" si="755"/>
        <v/>
      </c>
    </row>
    <row r="2138" spans="1:64" x14ac:dyDescent="0.25">
      <c r="A2138" s="762">
        <f t="shared" si="756"/>
        <v>2133</v>
      </c>
      <c r="B2138" s="229"/>
      <c r="C2138" s="223"/>
      <c r="D2138" s="224"/>
      <c r="E2138" s="225"/>
      <c r="F2138" s="1036" t="str">
        <f t="shared" si="762"/>
        <v/>
      </c>
      <c r="G2138" s="1037" t="str">
        <f t="shared" si="757"/>
        <v/>
      </c>
      <c r="H2138" s="225"/>
      <c r="I2138" s="1013"/>
      <c r="J2138" s="1013"/>
      <c r="K2138" s="1028"/>
      <c r="L2138" s="1035" t="str">
        <f t="shared" si="761"/>
        <v/>
      </c>
      <c r="S2138" s="498"/>
      <c r="AJ2138" s="498"/>
      <c r="AM2138" s="498">
        <f t="shared" si="742"/>
        <v>0</v>
      </c>
      <c r="AN2138" s="498">
        <f t="shared" si="743"/>
        <v>0</v>
      </c>
      <c r="AO2138" s="498">
        <f t="shared" si="744"/>
        <v>0</v>
      </c>
      <c r="AP2138" s="498">
        <f t="shared" si="763"/>
        <v>0</v>
      </c>
      <c r="AQ2138" s="498">
        <f t="shared" si="758"/>
        <v>0</v>
      </c>
      <c r="AU2138" s="498">
        <f t="shared" si="745"/>
        <v>0</v>
      </c>
      <c r="AV2138" s="498">
        <f t="shared" si="746"/>
        <v>0</v>
      </c>
      <c r="AW2138" s="498">
        <f t="shared" si="747"/>
        <v>0</v>
      </c>
      <c r="AX2138" s="498">
        <f t="shared" si="748"/>
        <v>0</v>
      </c>
      <c r="AY2138" s="498">
        <f t="shared" si="749"/>
        <v>0</v>
      </c>
      <c r="BB2138" s="498" t="str">
        <f t="shared" si="750"/>
        <v/>
      </c>
      <c r="BC2138" s="743" t="str">
        <f t="shared" si="751"/>
        <v/>
      </c>
      <c r="BD2138" s="743" t="str">
        <f t="shared" si="752"/>
        <v/>
      </c>
      <c r="BE2138" s="743" t="str">
        <f>IF(D2138="","",VLOOKUP(D2138,'General Basis'!$J$39:$K$46,2,0))</f>
        <v/>
      </c>
      <c r="BF2138" s="744" t="str">
        <f>IF(D2138="","",VLOOKUP(D2138,'General Basis'!$J$39:$L$46,3,0))</f>
        <v/>
      </c>
      <c r="BG2138" s="744" t="str">
        <f t="shared" si="759"/>
        <v/>
      </c>
      <c r="BH2138" s="744" t="str">
        <f>IF(G2138="","",IF(BF2138="Abu Dhabi",IF(G2138&lt;18,'General Basis'!$C$39,IF(G2138&lt;41,'General Basis'!$C$40,IF(G2138&lt;60,'General Basis'!$C$41,IF(G2138&lt;65,'General Basis'!$C$42,'General Basis'!$C$43)))),IF(G2138&lt;11,'General Basis'!$B$39,IF(G2138&lt;18,'General Basis'!$B$40,IF(G2138&lt;26,'General Basis'!$B$41,IF(G2138&lt;31,'General Basis'!$B$42,IF(G2138&lt;36,'General Basis'!$B$43,IF(G2138&lt;41,'General Basis'!$B$44,IF(G2138&lt;46,'General Basis'!$B$45,IF(G2138&lt;51,'General Basis'!$B$46,IF(G2138&lt;56,'General Basis'!$B$47,IF(G2138&lt;60,'General Basis'!$B$48,IF(G2138&lt;65,'General Basis'!$B$49,'General Basis'!$B$50)))))))))))))</f>
        <v/>
      </c>
      <c r="BI2138" s="744" t="str">
        <f t="shared" si="753"/>
        <v/>
      </c>
      <c r="BJ2138" s="747" t="str">
        <f t="shared" si="760"/>
        <v/>
      </c>
      <c r="BK2138" s="498" t="str">
        <f t="shared" si="754"/>
        <v/>
      </c>
      <c r="BL2138" s="498" t="str">
        <f t="shared" si="755"/>
        <v/>
      </c>
    </row>
    <row r="2139" spans="1:64" x14ac:dyDescent="0.25">
      <c r="A2139" s="762">
        <f t="shared" si="756"/>
        <v>2134</v>
      </c>
      <c r="B2139" s="229"/>
      <c r="C2139" s="223"/>
      <c r="D2139" s="224"/>
      <c r="E2139" s="225"/>
      <c r="F2139" s="1036" t="str">
        <f t="shared" si="762"/>
        <v/>
      </c>
      <c r="G2139" s="1037" t="str">
        <f t="shared" si="757"/>
        <v/>
      </c>
      <c r="H2139" s="225"/>
      <c r="I2139" s="1013"/>
      <c r="J2139" s="1013"/>
      <c r="K2139" s="1028"/>
      <c r="L2139" s="1035" t="str">
        <f t="shared" si="761"/>
        <v/>
      </c>
      <c r="S2139" s="498"/>
      <c r="AJ2139" s="498"/>
      <c r="AM2139" s="498">
        <f t="shared" si="742"/>
        <v>0</v>
      </c>
      <c r="AN2139" s="498">
        <f t="shared" si="743"/>
        <v>0</v>
      </c>
      <c r="AO2139" s="498">
        <f t="shared" si="744"/>
        <v>0</v>
      </c>
      <c r="AP2139" s="498">
        <f t="shared" si="763"/>
        <v>0</v>
      </c>
      <c r="AQ2139" s="498">
        <f t="shared" si="758"/>
        <v>0</v>
      </c>
      <c r="AU2139" s="498">
        <f t="shared" si="745"/>
        <v>0</v>
      </c>
      <c r="AV2139" s="498">
        <f t="shared" si="746"/>
        <v>0</v>
      </c>
      <c r="AW2139" s="498">
        <f t="shared" si="747"/>
        <v>0</v>
      </c>
      <c r="AX2139" s="498">
        <f t="shared" si="748"/>
        <v>0</v>
      </c>
      <c r="AY2139" s="498">
        <f t="shared" si="749"/>
        <v>0</v>
      </c>
      <c r="BB2139" s="498" t="str">
        <f t="shared" si="750"/>
        <v/>
      </c>
      <c r="BC2139" s="743" t="str">
        <f t="shared" si="751"/>
        <v/>
      </c>
      <c r="BD2139" s="743" t="str">
        <f t="shared" si="752"/>
        <v/>
      </c>
      <c r="BE2139" s="743" t="str">
        <f>IF(D2139="","",VLOOKUP(D2139,'General Basis'!$J$39:$K$46,2,0))</f>
        <v/>
      </c>
      <c r="BF2139" s="744" t="str">
        <f>IF(D2139="","",VLOOKUP(D2139,'General Basis'!$J$39:$L$46,3,0))</f>
        <v/>
      </c>
      <c r="BG2139" s="744" t="str">
        <f t="shared" si="759"/>
        <v/>
      </c>
      <c r="BH2139" s="744" t="str">
        <f>IF(G2139="","",IF(BF2139="Abu Dhabi",IF(G2139&lt;18,'General Basis'!$C$39,IF(G2139&lt;41,'General Basis'!$C$40,IF(G2139&lt;60,'General Basis'!$C$41,IF(G2139&lt;65,'General Basis'!$C$42,'General Basis'!$C$43)))),IF(G2139&lt;11,'General Basis'!$B$39,IF(G2139&lt;18,'General Basis'!$B$40,IF(G2139&lt;26,'General Basis'!$B$41,IF(G2139&lt;31,'General Basis'!$B$42,IF(G2139&lt;36,'General Basis'!$B$43,IF(G2139&lt;41,'General Basis'!$B$44,IF(G2139&lt;46,'General Basis'!$B$45,IF(G2139&lt;51,'General Basis'!$B$46,IF(G2139&lt;56,'General Basis'!$B$47,IF(G2139&lt;60,'General Basis'!$B$48,IF(G2139&lt;65,'General Basis'!$B$49,'General Basis'!$B$50)))))))))))))</f>
        <v/>
      </c>
      <c r="BI2139" s="744" t="str">
        <f t="shared" si="753"/>
        <v/>
      </c>
      <c r="BJ2139" s="747" t="str">
        <f t="shared" si="760"/>
        <v/>
      </c>
      <c r="BK2139" s="498" t="str">
        <f t="shared" si="754"/>
        <v/>
      </c>
      <c r="BL2139" s="498" t="str">
        <f t="shared" si="755"/>
        <v/>
      </c>
    </row>
    <row r="2140" spans="1:64" x14ac:dyDescent="0.25">
      <c r="A2140" s="762">
        <f t="shared" si="756"/>
        <v>2135</v>
      </c>
      <c r="B2140" s="229"/>
      <c r="C2140" s="223"/>
      <c r="D2140" s="224"/>
      <c r="E2140" s="225"/>
      <c r="F2140" s="1036" t="str">
        <f t="shared" si="762"/>
        <v/>
      </c>
      <c r="G2140" s="1037" t="str">
        <f t="shared" si="757"/>
        <v/>
      </c>
      <c r="H2140" s="225"/>
      <c r="I2140" s="1013"/>
      <c r="J2140" s="1013"/>
      <c r="K2140" s="1028"/>
      <c r="L2140" s="1035" t="str">
        <f t="shared" si="761"/>
        <v/>
      </c>
      <c r="S2140" s="498"/>
      <c r="AJ2140" s="498"/>
      <c r="AM2140" s="498">
        <f t="shared" si="742"/>
        <v>0</v>
      </c>
      <c r="AN2140" s="498">
        <f t="shared" si="743"/>
        <v>0</v>
      </c>
      <c r="AO2140" s="498">
        <f t="shared" si="744"/>
        <v>0</v>
      </c>
      <c r="AP2140" s="498">
        <f t="shared" si="763"/>
        <v>0</v>
      </c>
      <c r="AQ2140" s="498">
        <f t="shared" si="758"/>
        <v>0</v>
      </c>
      <c r="AU2140" s="498">
        <f t="shared" si="745"/>
        <v>0</v>
      </c>
      <c r="AV2140" s="498">
        <f t="shared" si="746"/>
        <v>0</v>
      </c>
      <c r="AW2140" s="498">
        <f t="shared" si="747"/>
        <v>0</v>
      </c>
      <c r="AX2140" s="498">
        <f t="shared" si="748"/>
        <v>0</v>
      </c>
      <c r="AY2140" s="498">
        <f t="shared" si="749"/>
        <v>0</v>
      </c>
      <c r="BB2140" s="498" t="str">
        <f t="shared" si="750"/>
        <v/>
      </c>
      <c r="BC2140" s="743" t="str">
        <f t="shared" si="751"/>
        <v/>
      </c>
      <c r="BD2140" s="743" t="str">
        <f t="shared" si="752"/>
        <v/>
      </c>
      <c r="BE2140" s="743" t="str">
        <f>IF(D2140="","",VLOOKUP(D2140,'General Basis'!$J$39:$K$46,2,0))</f>
        <v/>
      </c>
      <c r="BF2140" s="744" t="str">
        <f>IF(D2140="","",VLOOKUP(D2140,'General Basis'!$J$39:$L$46,3,0))</f>
        <v/>
      </c>
      <c r="BG2140" s="744" t="str">
        <f t="shared" si="759"/>
        <v/>
      </c>
      <c r="BH2140" s="744" t="str">
        <f>IF(G2140="","",IF(BF2140="Abu Dhabi",IF(G2140&lt;18,'General Basis'!$C$39,IF(G2140&lt;41,'General Basis'!$C$40,IF(G2140&lt;60,'General Basis'!$C$41,IF(G2140&lt;65,'General Basis'!$C$42,'General Basis'!$C$43)))),IF(G2140&lt;11,'General Basis'!$B$39,IF(G2140&lt;18,'General Basis'!$B$40,IF(G2140&lt;26,'General Basis'!$B$41,IF(G2140&lt;31,'General Basis'!$B$42,IF(G2140&lt;36,'General Basis'!$B$43,IF(G2140&lt;41,'General Basis'!$B$44,IF(G2140&lt;46,'General Basis'!$B$45,IF(G2140&lt;51,'General Basis'!$B$46,IF(G2140&lt;56,'General Basis'!$B$47,IF(G2140&lt;60,'General Basis'!$B$48,IF(G2140&lt;65,'General Basis'!$B$49,'General Basis'!$B$50)))))))))))))</f>
        <v/>
      </c>
      <c r="BI2140" s="744" t="str">
        <f t="shared" si="753"/>
        <v/>
      </c>
      <c r="BJ2140" s="747" t="str">
        <f t="shared" si="760"/>
        <v/>
      </c>
      <c r="BK2140" s="498" t="str">
        <f t="shared" si="754"/>
        <v/>
      </c>
      <c r="BL2140" s="498" t="str">
        <f t="shared" si="755"/>
        <v/>
      </c>
    </row>
    <row r="2141" spans="1:64" x14ac:dyDescent="0.25">
      <c r="A2141" s="762">
        <f t="shared" si="756"/>
        <v>2136</v>
      </c>
      <c r="B2141" s="229"/>
      <c r="C2141" s="223"/>
      <c r="D2141" s="224"/>
      <c r="E2141" s="225"/>
      <c r="F2141" s="1036" t="str">
        <f t="shared" si="762"/>
        <v/>
      </c>
      <c r="G2141" s="1037" t="str">
        <f t="shared" si="757"/>
        <v/>
      </c>
      <c r="H2141" s="225"/>
      <c r="I2141" s="1013"/>
      <c r="J2141" s="1013"/>
      <c r="K2141" s="1028"/>
      <c r="L2141" s="1035" t="str">
        <f t="shared" si="761"/>
        <v/>
      </c>
      <c r="S2141" s="498"/>
      <c r="AJ2141" s="498"/>
      <c r="AM2141" s="498">
        <f t="shared" si="742"/>
        <v>0</v>
      </c>
      <c r="AN2141" s="498">
        <f t="shared" si="743"/>
        <v>0</v>
      </c>
      <c r="AO2141" s="498">
        <f t="shared" si="744"/>
        <v>0</v>
      </c>
      <c r="AP2141" s="498">
        <f t="shared" si="763"/>
        <v>0</v>
      </c>
      <c r="AQ2141" s="498">
        <f t="shared" si="758"/>
        <v>0</v>
      </c>
      <c r="AU2141" s="498">
        <f t="shared" si="745"/>
        <v>0</v>
      </c>
      <c r="AV2141" s="498">
        <f t="shared" si="746"/>
        <v>0</v>
      </c>
      <c r="AW2141" s="498">
        <f t="shared" si="747"/>
        <v>0</v>
      </c>
      <c r="AX2141" s="498">
        <f t="shared" si="748"/>
        <v>0</v>
      </c>
      <c r="AY2141" s="498">
        <f t="shared" si="749"/>
        <v>0</v>
      </c>
      <c r="BB2141" s="498" t="str">
        <f t="shared" si="750"/>
        <v/>
      </c>
      <c r="BC2141" s="743" t="str">
        <f t="shared" si="751"/>
        <v/>
      </c>
      <c r="BD2141" s="743" t="str">
        <f t="shared" si="752"/>
        <v/>
      </c>
      <c r="BE2141" s="743" t="str">
        <f>IF(D2141="","",VLOOKUP(D2141,'General Basis'!$J$39:$K$46,2,0))</f>
        <v/>
      </c>
      <c r="BF2141" s="744" t="str">
        <f>IF(D2141="","",VLOOKUP(D2141,'General Basis'!$J$39:$L$46,3,0))</f>
        <v/>
      </c>
      <c r="BG2141" s="744" t="str">
        <f t="shared" si="759"/>
        <v/>
      </c>
      <c r="BH2141" s="744" t="str">
        <f>IF(G2141="","",IF(BF2141="Abu Dhabi",IF(G2141&lt;18,'General Basis'!$C$39,IF(G2141&lt;41,'General Basis'!$C$40,IF(G2141&lt;60,'General Basis'!$C$41,IF(G2141&lt;65,'General Basis'!$C$42,'General Basis'!$C$43)))),IF(G2141&lt;11,'General Basis'!$B$39,IF(G2141&lt;18,'General Basis'!$B$40,IF(G2141&lt;26,'General Basis'!$B$41,IF(G2141&lt;31,'General Basis'!$B$42,IF(G2141&lt;36,'General Basis'!$B$43,IF(G2141&lt;41,'General Basis'!$B$44,IF(G2141&lt;46,'General Basis'!$B$45,IF(G2141&lt;51,'General Basis'!$B$46,IF(G2141&lt;56,'General Basis'!$B$47,IF(G2141&lt;60,'General Basis'!$B$48,IF(G2141&lt;65,'General Basis'!$B$49,'General Basis'!$B$50)))))))))))))</f>
        <v/>
      </c>
      <c r="BI2141" s="744" t="str">
        <f t="shared" si="753"/>
        <v/>
      </c>
      <c r="BJ2141" s="747" t="str">
        <f t="shared" si="760"/>
        <v/>
      </c>
      <c r="BK2141" s="498" t="str">
        <f t="shared" si="754"/>
        <v/>
      </c>
      <c r="BL2141" s="498" t="str">
        <f t="shared" si="755"/>
        <v/>
      </c>
    </row>
    <row r="2142" spans="1:64" x14ac:dyDescent="0.25">
      <c r="A2142" s="762">
        <f t="shared" si="756"/>
        <v>2137</v>
      </c>
      <c r="B2142" s="229"/>
      <c r="C2142" s="223"/>
      <c r="D2142" s="224"/>
      <c r="E2142" s="225"/>
      <c r="F2142" s="1036" t="str">
        <f t="shared" si="762"/>
        <v/>
      </c>
      <c r="G2142" s="1037" t="str">
        <f t="shared" si="757"/>
        <v/>
      </c>
      <c r="H2142" s="225"/>
      <c r="I2142" s="1013"/>
      <c r="J2142" s="1013"/>
      <c r="K2142" s="1028"/>
      <c r="L2142" s="1035" t="str">
        <f t="shared" si="761"/>
        <v/>
      </c>
      <c r="S2142" s="498"/>
      <c r="AJ2142" s="498"/>
      <c r="AM2142" s="498">
        <f t="shared" si="742"/>
        <v>0</v>
      </c>
      <c r="AN2142" s="498">
        <f t="shared" si="743"/>
        <v>0</v>
      </c>
      <c r="AO2142" s="498">
        <f t="shared" si="744"/>
        <v>0</v>
      </c>
      <c r="AP2142" s="498">
        <f t="shared" si="763"/>
        <v>0</v>
      </c>
      <c r="AQ2142" s="498">
        <f t="shared" si="758"/>
        <v>0</v>
      </c>
      <c r="AU2142" s="498">
        <f t="shared" si="745"/>
        <v>0</v>
      </c>
      <c r="AV2142" s="498">
        <f t="shared" si="746"/>
        <v>0</v>
      </c>
      <c r="AW2142" s="498">
        <f t="shared" si="747"/>
        <v>0</v>
      </c>
      <c r="AX2142" s="498">
        <f t="shared" si="748"/>
        <v>0</v>
      </c>
      <c r="AY2142" s="498">
        <f t="shared" si="749"/>
        <v>0</v>
      </c>
      <c r="BB2142" s="498" t="str">
        <f t="shared" si="750"/>
        <v/>
      </c>
      <c r="BC2142" s="743" t="str">
        <f t="shared" si="751"/>
        <v/>
      </c>
      <c r="BD2142" s="743" t="str">
        <f t="shared" si="752"/>
        <v/>
      </c>
      <c r="BE2142" s="743" t="str">
        <f>IF(D2142="","",VLOOKUP(D2142,'General Basis'!$J$39:$K$46,2,0))</f>
        <v/>
      </c>
      <c r="BF2142" s="744" t="str">
        <f>IF(D2142="","",VLOOKUP(D2142,'General Basis'!$J$39:$L$46,3,0))</f>
        <v/>
      </c>
      <c r="BG2142" s="744" t="str">
        <f t="shared" si="759"/>
        <v/>
      </c>
      <c r="BH2142" s="744" t="str">
        <f>IF(G2142="","",IF(BF2142="Abu Dhabi",IF(G2142&lt;18,'General Basis'!$C$39,IF(G2142&lt;41,'General Basis'!$C$40,IF(G2142&lt;60,'General Basis'!$C$41,IF(G2142&lt;65,'General Basis'!$C$42,'General Basis'!$C$43)))),IF(G2142&lt;11,'General Basis'!$B$39,IF(G2142&lt;18,'General Basis'!$B$40,IF(G2142&lt;26,'General Basis'!$B$41,IF(G2142&lt;31,'General Basis'!$B$42,IF(G2142&lt;36,'General Basis'!$B$43,IF(G2142&lt;41,'General Basis'!$B$44,IF(G2142&lt;46,'General Basis'!$B$45,IF(G2142&lt;51,'General Basis'!$B$46,IF(G2142&lt;56,'General Basis'!$B$47,IF(G2142&lt;60,'General Basis'!$B$48,IF(G2142&lt;65,'General Basis'!$B$49,'General Basis'!$B$50)))))))))))))</f>
        <v/>
      </c>
      <c r="BI2142" s="744" t="str">
        <f t="shared" si="753"/>
        <v/>
      </c>
      <c r="BJ2142" s="747" t="str">
        <f t="shared" si="760"/>
        <v/>
      </c>
      <c r="BK2142" s="498" t="str">
        <f t="shared" si="754"/>
        <v/>
      </c>
      <c r="BL2142" s="498" t="str">
        <f t="shared" si="755"/>
        <v/>
      </c>
    </row>
    <row r="2143" spans="1:64" x14ac:dyDescent="0.25">
      <c r="A2143" s="762">
        <f t="shared" si="756"/>
        <v>2138</v>
      </c>
      <c r="B2143" s="229"/>
      <c r="C2143" s="223"/>
      <c r="D2143" s="224"/>
      <c r="E2143" s="225"/>
      <c r="F2143" s="1036" t="str">
        <f t="shared" si="762"/>
        <v/>
      </c>
      <c r="G2143" s="1037" t="str">
        <f t="shared" si="757"/>
        <v/>
      </c>
      <c r="H2143" s="225"/>
      <c r="I2143" s="1013"/>
      <c r="J2143" s="1013"/>
      <c r="K2143" s="1028"/>
      <c r="L2143" s="1035" t="str">
        <f t="shared" si="761"/>
        <v/>
      </c>
      <c r="S2143" s="498"/>
      <c r="AJ2143" s="498"/>
      <c r="AM2143" s="498">
        <f t="shared" si="742"/>
        <v>0</v>
      </c>
      <c r="AN2143" s="498">
        <f t="shared" si="743"/>
        <v>0</v>
      </c>
      <c r="AO2143" s="498">
        <f t="shared" si="744"/>
        <v>0</v>
      </c>
      <c r="AP2143" s="498">
        <f t="shared" si="763"/>
        <v>0</v>
      </c>
      <c r="AQ2143" s="498">
        <f t="shared" si="758"/>
        <v>0</v>
      </c>
      <c r="AU2143" s="498">
        <f t="shared" si="745"/>
        <v>0</v>
      </c>
      <c r="AV2143" s="498">
        <f t="shared" si="746"/>
        <v>0</v>
      </c>
      <c r="AW2143" s="498">
        <f t="shared" si="747"/>
        <v>0</v>
      </c>
      <c r="AX2143" s="498">
        <f t="shared" si="748"/>
        <v>0</v>
      </c>
      <c r="AY2143" s="498">
        <f t="shared" si="749"/>
        <v>0</v>
      </c>
      <c r="BB2143" s="498" t="str">
        <f t="shared" si="750"/>
        <v/>
      </c>
      <c r="BC2143" s="743" t="str">
        <f t="shared" si="751"/>
        <v/>
      </c>
      <c r="BD2143" s="743" t="str">
        <f t="shared" si="752"/>
        <v/>
      </c>
      <c r="BE2143" s="743" t="str">
        <f>IF(D2143="","",VLOOKUP(D2143,'General Basis'!$J$39:$K$46,2,0))</f>
        <v/>
      </c>
      <c r="BF2143" s="744" t="str">
        <f>IF(D2143="","",VLOOKUP(D2143,'General Basis'!$J$39:$L$46,3,0))</f>
        <v/>
      </c>
      <c r="BG2143" s="744" t="str">
        <f t="shared" si="759"/>
        <v/>
      </c>
      <c r="BH2143" s="744" t="str">
        <f>IF(G2143="","",IF(BF2143="Abu Dhabi",IF(G2143&lt;18,'General Basis'!$C$39,IF(G2143&lt;41,'General Basis'!$C$40,IF(G2143&lt;60,'General Basis'!$C$41,IF(G2143&lt;65,'General Basis'!$C$42,'General Basis'!$C$43)))),IF(G2143&lt;11,'General Basis'!$B$39,IF(G2143&lt;18,'General Basis'!$B$40,IF(G2143&lt;26,'General Basis'!$B$41,IF(G2143&lt;31,'General Basis'!$B$42,IF(G2143&lt;36,'General Basis'!$B$43,IF(G2143&lt;41,'General Basis'!$B$44,IF(G2143&lt;46,'General Basis'!$B$45,IF(G2143&lt;51,'General Basis'!$B$46,IF(G2143&lt;56,'General Basis'!$B$47,IF(G2143&lt;60,'General Basis'!$B$48,IF(G2143&lt;65,'General Basis'!$B$49,'General Basis'!$B$50)))))))))))))</f>
        <v/>
      </c>
      <c r="BI2143" s="744" t="str">
        <f t="shared" si="753"/>
        <v/>
      </c>
      <c r="BJ2143" s="747" t="str">
        <f t="shared" si="760"/>
        <v/>
      </c>
      <c r="BK2143" s="498" t="str">
        <f t="shared" si="754"/>
        <v/>
      </c>
      <c r="BL2143" s="498" t="str">
        <f t="shared" si="755"/>
        <v/>
      </c>
    </row>
    <row r="2144" spans="1:64" x14ac:dyDescent="0.25">
      <c r="A2144" s="762">
        <f t="shared" si="756"/>
        <v>2139</v>
      </c>
      <c r="B2144" s="229"/>
      <c r="C2144" s="223"/>
      <c r="D2144" s="224"/>
      <c r="E2144" s="225"/>
      <c r="F2144" s="1036" t="str">
        <f t="shared" si="762"/>
        <v/>
      </c>
      <c r="G2144" s="1037" t="str">
        <f t="shared" si="757"/>
        <v/>
      </c>
      <c r="H2144" s="225"/>
      <c r="I2144" s="1013"/>
      <c r="J2144" s="1013"/>
      <c r="K2144" s="1028"/>
      <c r="L2144" s="1035" t="str">
        <f t="shared" si="761"/>
        <v/>
      </c>
      <c r="S2144" s="498"/>
      <c r="AJ2144" s="498"/>
      <c r="AM2144" s="498">
        <f t="shared" si="742"/>
        <v>0</v>
      </c>
      <c r="AN2144" s="498">
        <f t="shared" si="743"/>
        <v>0</v>
      </c>
      <c r="AO2144" s="498">
        <f t="shared" si="744"/>
        <v>0</v>
      </c>
      <c r="AP2144" s="498">
        <f t="shared" si="763"/>
        <v>0</v>
      </c>
      <c r="AQ2144" s="498">
        <f t="shared" si="758"/>
        <v>0</v>
      </c>
      <c r="AU2144" s="498">
        <f t="shared" si="745"/>
        <v>0</v>
      </c>
      <c r="AV2144" s="498">
        <f t="shared" si="746"/>
        <v>0</v>
      </c>
      <c r="AW2144" s="498">
        <f t="shared" si="747"/>
        <v>0</v>
      </c>
      <c r="AX2144" s="498">
        <f t="shared" si="748"/>
        <v>0</v>
      </c>
      <c r="AY2144" s="498">
        <f t="shared" si="749"/>
        <v>0</v>
      </c>
      <c r="BB2144" s="498" t="str">
        <f t="shared" si="750"/>
        <v/>
      </c>
      <c r="BC2144" s="743" t="str">
        <f t="shared" si="751"/>
        <v/>
      </c>
      <c r="BD2144" s="743" t="str">
        <f t="shared" si="752"/>
        <v/>
      </c>
      <c r="BE2144" s="743" t="str">
        <f>IF(D2144="","",VLOOKUP(D2144,'General Basis'!$J$39:$K$46,2,0))</f>
        <v/>
      </c>
      <c r="BF2144" s="744" t="str">
        <f>IF(D2144="","",VLOOKUP(D2144,'General Basis'!$J$39:$L$46,3,0))</f>
        <v/>
      </c>
      <c r="BG2144" s="744" t="str">
        <f t="shared" si="759"/>
        <v/>
      </c>
      <c r="BH2144" s="744" t="str">
        <f>IF(G2144="","",IF(BF2144="Abu Dhabi",IF(G2144&lt;18,'General Basis'!$C$39,IF(G2144&lt;41,'General Basis'!$C$40,IF(G2144&lt;60,'General Basis'!$C$41,IF(G2144&lt;65,'General Basis'!$C$42,'General Basis'!$C$43)))),IF(G2144&lt;11,'General Basis'!$B$39,IF(G2144&lt;18,'General Basis'!$B$40,IF(G2144&lt;26,'General Basis'!$B$41,IF(G2144&lt;31,'General Basis'!$B$42,IF(G2144&lt;36,'General Basis'!$B$43,IF(G2144&lt;41,'General Basis'!$B$44,IF(G2144&lt;46,'General Basis'!$B$45,IF(G2144&lt;51,'General Basis'!$B$46,IF(G2144&lt;56,'General Basis'!$B$47,IF(G2144&lt;60,'General Basis'!$B$48,IF(G2144&lt;65,'General Basis'!$B$49,'General Basis'!$B$50)))))))))))))</f>
        <v/>
      </c>
      <c r="BI2144" s="744" t="str">
        <f t="shared" si="753"/>
        <v/>
      </c>
      <c r="BJ2144" s="747" t="str">
        <f t="shared" si="760"/>
        <v/>
      </c>
      <c r="BK2144" s="498" t="str">
        <f t="shared" si="754"/>
        <v/>
      </c>
      <c r="BL2144" s="498" t="str">
        <f t="shared" si="755"/>
        <v/>
      </c>
    </row>
    <row r="2145" spans="1:64" x14ac:dyDescent="0.25">
      <c r="A2145" s="762">
        <f t="shared" si="756"/>
        <v>2140</v>
      </c>
      <c r="B2145" s="229"/>
      <c r="C2145" s="223"/>
      <c r="D2145" s="224"/>
      <c r="E2145" s="225"/>
      <c r="F2145" s="1036" t="str">
        <f t="shared" si="762"/>
        <v/>
      </c>
      <c r="G2145" s="1037" t="str">
        <f t="shared" si="757"/>
        <v/>
      </c>
      <c r="H2145" s="225"/>
      <c r="I2145" s="1013"/>
      <c r="J2145" s="1013"/>
      <c r="K2145" s="1028"/>
      <c r="L2145" s="1035" t="str">
        <f t="shared" si="761"/>
        <v/>
      </c>
      <c r="S2145" s="498"/>
      <c r="AJ2145" s="498"/>
      <c r="AM2145" s="498">
        <f t="shared" si="742"/>
        <v>0</v>
      </c>
      <c r="AN2145" s="498">
        <f t="shared" si="743"/>
        <v>0</v>
      </c>
      <c r="AO2145" s="498">
        <f t="shared" si="744"/>
        <v>0</v>
      </c>
      <c r="AP2145" s="498">
        <f t="shared" si="763"/>
        <v>0</v>
      </c>
      <c r="AQ2145" s="498">
        <f t="shared" si="758"/>
        <v>0</v>
      </c>
      <c r="AU2145" s="498">
        <f t="shared" si="745"/>
        <v>0</v>
      </c>
      <c r="AV2145" s="498">
        <f t="shared" si="746"/>
        <v>0</v>
      </c>
      <c r="AW2145" s="498">
        <f t="shared" si="747"/>
        <v>0</v>
      </c>
      <c r="AX2145" s="498">
        <f t="shared" si="748"/>
        <v>0</v>
      </c>
      <c r="AY2145" s="498">
        <f t="shared" si="749"/>
        <v>0</v>
      </c>
      <c r="BB2145" s="498" t="str">
        <f t="shared" si="750"/>
        <v/>
      </c>
      <c r="BC2145" s="743" t="str">
        <f t="shared" si="751"/>
        <v/>
      </c>
      <c r="BD2145" s="743" t="str">
        <f t="shared" si="752"/>
        <v/>
      </c>
      <c r="BE2145" s="743" t="str">
        <f>IF(D2145="","",VLOOKUP(D2145,'General Basis'!$J$39:$K$46,2,0))</f>
        <v/>
      </c>
      <c r="BF2145" s="744" t="str">
        <f>IF(D2145="","",VLOOKUP(D2145,'General Basis'!$J$39:$L$46,3,0))</f>
        <v/>
      </c>
      <c r="BG2145" s="744" t="str">
        <f t="shared" si="759"/>
        <v/>
      </c>
      <c r="BH2145" s="744" t="str">
        <f>IF(G2145="","",IF(BF2145="Abu Dhabi",IF(G2145&lt;18,'General Basis'!$C$39,IF(G2145&lt;41,'General Basis'!$C$40,IF(G2145&lt;60,'General Basis'!$C$41,IF(G2145&lt;65,'General Basis'!$C$42,'General Basis'!$C$43)))),IF(G2145&lt;11,'General Basis'!$B$39,IF(G2145&lt;18,'General Basis'!$B$40,IF(G2145&lt;26,'General Basis'!$B$41,IF(G2145&lt;31,'General Basis'!$B$42,IF(G2145&lt;36,'General Basis'!$B$43,IF(G2145&lt;41,'General Basis'!$B$44,IF(G2145&lt;46,'General Basis'!$B$45,IF(G2145&lt;51,'General Basis'!$B$46,IF(G2145&lt;56,'General Basis'!$B$47,IF(G2145&lt;60,'General Basis'!$B$48,IF(G2145&lt;65,'General Basis'!$B$49,'General Basis'!$B$50)))))))))))))</f>
        <v/>
      </c>
      <c r="BI2145" s="744" t="str">
        <f t="shared" si="753"/>
        <v/>
      </c>
      <c r="BJ2145" s="747" t="str">
        <f t="shared" si="760"/>
        <v/>
      </c>
      <c r="BK2145" s="498" t="str">
        <f t="shared" si="754"/>
        <v/>
      </c>
      <c r="BL2145" s="498" t="str">
        <f t="shared" si="755"/>
        <v/>
      </c>
    </row>
    <row r="2146" spans="1:64" x14ac:dyDescent="0.25">
      <c r="A2146" s="762">
        <f t="shared" si="756"/>
        <v>2141</v>
      </c>
      <c r="B2146" s="229"/>
      <c r="C2146" s="223"/>
      <c r="D2146" s="224"/>
      <c r="E2146" s="225"/>
      <c r="F2146" s="1036" t="str">
        <f t="shared" si="762"/>
        <v/>
      </c>
      <c r="G2146" s="1037" t="str">
        <f t="shared" si="757"/>
        <v/>
      </c>
      <c r="H2146" s="225"/>
      <c r="I2146" s="1013"/>
      <c r="J2146" s="1013"/>
      <c r="K2146" s="1028"/>
      <c r="L2146" s="1035" t="str">
        <f t="shared" si="761"/>
        <v/>
      </c>
      <c r="S2146" s="498"/>
      <c r="AJ2146" s="498"/>
      <c r="AM2146" s="498">
        <f t="shared" si="742"/>
        <v>0</v>
      </c>
      <c r="AN2146" s="498">
        <f t="shared" si="743"/>
        <v>0</v>
      </c>
      <c r="AO2146" s="498">
        <f t="shared" si="744"/>
        <v>0</v>
      </c>
      <c r="AP2146" s="498">
        <f t="shared" si="763"/>
        <v>0</v>
      </c>
      <c r="AQ2146" s="498">
        <f t="shared" si="758"/>
        <v>0</v>
      </c>
      <c r="AU2146" s="498">
        <f t="shared" si="745"/>
        <v>0</v>
      </c>
      <c r="AV2146" s="498">
        <f t="shared" si="746"/>
        <v>0</v>
      </c>
      <c r="AW2146" s="498">
        <f t="shared" si="747"/>
        <v>0</v>
      </c>
      <c r="AX2146" s="498">
        <f t="shared" si="748"/>
        <v>0</v>
      </c>
      <c r="AY2146" s="498">
        <f t="shared" si="749"/>
        <v>0</v>
      </c>
      <c r="BB2146" s="498" t="str">
        <f t="shared" si="750"/>
        <v/>
      </c>
      <c r="BC2146" s="743" t="str">
        <f t="shared" si="751"/>
        <v/>
      </c>
      <c r="BD2146" s="743" t="str">
        <f t="shared" si="752"/>
        <v/>
      </c>
      <c r="BE2146" s="743" t="str">
        <f>IF(D2146="","",VLOOKUP(D2146,'General Basis'!$J$39:$K$46,2,0))</f>
        <v/>
      </c>
      <c r="BF2146" s="744" t="str">
        <f>IF(D2146="","",VLOOKUP(D2146,'General Basis'!$J$39:$L$46,3,0))</f>
        <v/>
      </c>
      <c r="BG2146" s="744" t="str">
        <f t="shared" si="759"/>
        <v/>
      </c>
      <c r="BH2146" s="744" t="str">
        <f>IF(G2146="","",IF(BF2146="Abu Dhabi",IF(G2146&lt;18,'General Basis'!$C$39,IF(G2146&lt;41,'General Basis'!$C$40,IF(G2146&lt;60,'General Basis'!$C$41,IF(G2146&lt;65,'General Basis'!$C$42,'General Basis'!$C$43)))),IF(G2146&lt;11,'General Basis'!$B$39,IF(G2146&lt;18,'General Basis'!$B$40,IF(G2146&lt;26,'General Basis'!$B$41,IF(G2146&lt;31,'General Basis'!$B$42,IF(G2146&lt;36,'General Basis'!$B$43,IF(G2146&lt;41,'General Basis'!$B$44,IF(G2146&lt;46,'General Basis'!$B$45,IF(G2146&lt;51,'General Basis'!$B$46,IF(G2146&lt;56,'General Basis'!$B$47,IF(G2146&lt;60,'General Basis'!$B$48,IF(G2146&lt;65,'General Basis'!$B$49,'General Basis'!$B$50)))))))))))))</f>
        <v/>
      </c>
      <c r="BI2146" s="744" t="str">
        <f t="shared" si="753"/>
        <v/>
      </c>
      <c r="BJ2146" s="747" t="str">
        <f t="shared" si="760"/>
        <v/>
      </c>
      <c r="BK2146" s="498" t="str">
        <f t="shared" si="754"/>
        <v/>
      </c>
      <c r="BL2146" s="498" t="str">
        <f t="shared" si="755"/>
        <v/>
      </c>
    </row>
    <row r="2147" spans="1:64" x14ac:dyDescent="0.25">
      <c r="A2147" s="762">
        <f t="shared" si="756"/>
        <v>2142</v>
      </c>
      <c r="B2147" s="229"/>
      <c r="C2147" s="223"/>
      <c r="D2147" s="224"/>
      <c r="E2147" s="225"/>
      <c r="F2147" s="1036" t="str">
        <f t="shared" si="762"/>
        <v/>
      </c>
      <c r="G2147" s="1037" t="str">
        <f t="shared" si="757"/>
        <v/>
      </c>
      <c r="H2147" s="225"/>
      <c r="I2147" s="1013"/>
      <c r="J2147" s="1013"/>
      <c r="K2147" s="1028"/>
      <c r="L2147" s="1035" t="str">
        <f t="shared" si="761"/>
        <v/>
      </c>
      <c r="S2147" s="498"/>
      <c r="AJ2147" s="498"/>
      <c r="AM2147" s="498">
        <f t="shared" si="742"/>
        <v>0</v>
      </c>
      <c r="AN2147" s="498">
        <f t="shared" si="743"/>
        <v>0</v>
      </c>
      <c r="AO2147" s="498">
        <f t="shared" si="744"/>
        <v>0</v>
      </c>
      <c r="AP2147" s="498">
        <f t="shared" si="763"/>
        <v>0</v>
      </c>
      <c r="AQ2147" s="498">
        <f t="shared" si="758"/>
        <v>0</v>
      </c>
      <c r="AU2147" s="498">
        <f t="shared" si="745"/>
        <v>0</v>
      </c>
      <c r="AV2147" s="498">
        <f t="shared" si="746"/>
        <v>0</v>
      </c>
      <c r="AW2147" s="498">
        <f t="shared" si="747"/>
        <v>0</v>
      </c>
      <c r="AX2147" s="498">
        <f t="shared" si="748"/>
        <v>0</v>
      </c>
      <c r="AY2147" s="498">
        <f t="shared" si="749"/>
        <v>0</v>
      </c>
      <c r="BB2147" s="498" t="str">
        <f t="shared" si="750"/>
        <v/>
      </c>
      <c r="BC2147" s="743" t="str">
        <f t="shared" si="751"/>
        <v/>
      </c>
      <c r="BD2147" s="743" t="str">
        <f t="shared" si="752"/>
        <v/>
      </c>
      <c r="BE2147" s="743" t="str">
        <f>IF(D2147="","",VLOOKUP(D2147,'General Basis'!$J$39:$K$46,2,0))</f>
        <v/>
      </c>
      <c r="BF2147" s="744" t="str">
        <f>IF(D2147="","",VLOOKUP(D2147,'General Basis'!$J$39:$L$46,3,0))</f>
        <v/>
      </c>
      <c r="BG2147" s="744" t="str">
        <f t="shared" si="759"/>
        <v/>
      </c>
      <c r="BH2147" s="744" t="str">
        <f>IF(G2147="","",IF(BF2147="Abu Dhabi",IF(G2147&lt;18,'General Basis'!$C$39,IF(G2147&lt;41,'General Basis'!$C$40,IF(G2147&lt;60,'General Basis'!$C$41,IF(G2147&lt;65,'General Basis'!$C$42,'General Basis'!$C$43)))),IF(G2147&lt;11,'General Basis'!$B$39,IF(G2147&lt;18,'General Basis'!$B$40,IF(G2147&lt;26,'General Basis'!$B$41,IF(G2147&lt;31,'General Basis'!$B$42,IF(G2147&lt;36,'General Basis'!$B$43,IF(G2147&lt;41,'General Basis'!$B$44,IF(G2147&lt;46,'General Basis'!$B$45,IF(G2147&lt;51,'General Basis'!$B$46,IF(G2147&lt;56,'General Basis'!$B$47,IF(G2147&lt;60,'General Basis'!$B$48,IF(G2147&lt;65,'General Basis'!$B$49,'General Basis'!$B$50)))))))))))))</f>
        <v/>
      </c>
      <c r="BI2147" s="744" t="str">
        <f t="shared" si="753"/>
        <v/>
      </c>
      <c r="BJ2147" s="747" t="str">
        <f t="shared" si="760"/>
        <v/>
      </c>
      <c r="BK2147" s="498" t="str">
        <f t="shared" si="754"/>
        <v/>
      </c>
      <c r="BL2147" s="498" t="str">
        <f t="shared" si="755"/>
        <v/>
      </c>
    </row>
    <row r="2148" spans="1:64" x14ac:dyDescent="0.25">
      <c r="A2148" s="762">
        <f t="shared" si="756"/>
        <v>2143</v>
      </c>
      <c r="B2148" s="229"/>
      <c r="C2148" s="223"/>
      <c r="D2148" s="224"/>
      <c r="E2148" s="225"/>
      <c r="F2148" s="1036" t="str">
        <f t="shared" si="762"/>
        <v/>
      </c>
      <c r="G2148" s="1037" t="str">
        <f t="shared" si="757"/>
        <v/>
      </c>
      <c r="H2148" s="225"/>
      <c r="I2148" s="1013"/>
      <c r="J2148" s="1013"/>
      <c r="K2148" s="1028"/>
      <c r="L2148" s="1035" t="str">
        <f t="shared" si="761"/>
        <v/>
      </c>
      <c r="S2148" s="498"/>
      <c r="AJ2148" s="498"/>
      <c r="AM2148" s="498">
        <f t="shared" si="742"/>
        <v>0</v>
      </c>
      <c r="AN2148" s="498">
        <f t="shared" si="743"/>
        <v>0</v>
      </c>
      <c r="AO2148" s="498">
        <f t="shared" si="744"/>
        <v>0</v>
      </c>
      <c r="AP2148" s="498">
        <f t="shared" si="763"/>
        <v>0</v>
      </c>
      <c r="AQ2148" s="498">
        <f t="shared" si="758"/>
        <v>0</v>
      </c>
      <c r="AU2148" s="498">
        <f t="shared" si="745"/>
        <v>0</v>
      </c>
      <c r="AV2148" s="498">
        <f t="shared" si="746"/>
        <v>0</v>
      </c>
      <c r="AW2148" s="498">
        <f t="shared" si="747"/>
        <v>0</v>
      </c>
      <c r="AX2148" s="498">
        <f t="shared" si="748"/>
        <v>0</v>
      </c>
      <c r="AY2148" s="498">
        <f t="shared" si="749"/>
        <v>0</v>
      </c>
      <c r="BB2148" s="498" t="str">
        <f t="shared" si="750"/>
        <v/>
      </c>
      <c r="BC2148" s="743" t="str">
        <f t="shared" si="751"/>
        <v/>
      </c>
      <c r="BD2148" s="743" t="str">
        <f t="shared" si="752"/>
        <v/>
      </c>
      <c r="BE2148" s="743" t="str">
        <f>IF(D2148="","",VLOOKUP(D2148,'General Basis'!$J$39:$K$46,2,0))</f>
        <v/>
      </c>
      <c r="BF2148" s="744" t="str">
        <f>IF(D2148="","",VLOOKUP(D2148,'General Basis'!$J$39:$L$46,3,0))</f>
        <v/>
      </c>
      <c r="BG2148" s="744" t="str">
        <f t="shared" si="759"/>
        <v/>
      </c>
      <c r="BH2148" s="744" t="str">
        <f>IF(G2148="","",IF(BF2148="Abu Dhabi",IF(G2148&lt;18,'General Basis'!$C$39,IF(G2148&lt;41,'General Basis'!$C$40,IF(G2148&lt;60,'General Basis'!$C$41,IF(G2148&lt;65,'General Basis'!$C$42,'General Basis'!$C$43)))),IF(G2148&lt;11,'General Basis'!$B$39,IF(G2148&lt;18,'General Basis'!$B$40,IF(G2148&lt;26,'General Basis'!$B$41,IF(G2148&lt;31,'General Basis'!$B$42,IF(G2148&lt;36,'General Basis'!$B$43,IF(G2148&lt;41,'General Basis'!$B$44,IF(G2148&lt;46,'General Basis'!$B$45,IF(G2148&lt;51,'General Basis'!$B$46,IF(G2148&lt;56,'General Basis'!$B$47,IF(G2148&lt;60,'General Basis'!$B$48,IF(G2148&lt;65,'General Basis'!$B$49,'General Basis'!$B$50)))))))))))))</f>
        <v/>
      </c>
      <c r="BI2148" s="744" t="str">
        <f t="shared" si="753"/>
        <v/>
      </c>
      <c r="BJ2148" s="747" t="str">
        <f t="shared" si="760"/>
        <v/>
      </c>
      <c r="BK2148" s="498" t="str">
        <f t="shared" si="754"/>
        <v/>
      </c>
      <c r="BL2148" s="498" t="str">
        <f t="shared" si="755"/>
        <v/>
      </c>
    </row>
    <row r="2149" spans="1:64" x14ac:dyDescent="0.25">
      <c r="A2149" s="762">
        <f t="shared" si="756"/>
        <v>2144</v>
      </c>
      <c r="B2149" s="229"/>
      <c r="C2149" s="223"/>
      <c r="D2149" s="224"/>
      <c r="E2149" s="225"/>
      <c r="F2149" s="1036" t="str">
        <f t="shared" si="762"/>
        <v/>
      </c>
      <c r="G2149" s="1037" t="str">
        <f t="shared" si="757"/>
        <v/>
      </c>
      <c r="H2149" s="225"/>
      <c r="I2149" s="1013"/>
      <c r="J2149" s="1013"/>
      <c r="K2149" s="1028"/>
      <c r="L2149" s="1035" t="str">
        <f t="shared" si="761"/>
        <v/>
      </c>
      <c r="S2149" s="498"/>
      <c r="AJ2149" s="498"/>
      <c r="AM2149" s="498">
        <f t="shared" si="742"/>
        <v>0</v>
      </c>
      <c r="AN2149" s="498">
        <f t="shared" si="743"/>
        <v>0</v>
      </c>
      <c r="AO2149" s="498">
        <f t="shared" si="744"/>
        <v>0</v>
      </c>
      <c r="AP2149" s="498">
        <f t="shared" si="763"/>
        <v>0</v>
      </c>
      <c r="AQ2149" s="498">
        <f t="shared" si="758"/>
        <v>0</v>
      </c>
      <c r="AU2149" s="498">
        <f t="shared" si="745"/>
        <v>0</v>
      </c>
      <c r="AV2149" s="498">
        <f t="shared" si="746"/>
        <v>0</v>
      </c>
      <c r="AW2149" s="498">
        <f t="shared" si="747"/>
        <v>0</v>
      </c>
      <c r="AX2149" s="498">
        <f t="shared" si="748"/>
        <v>0</v>
      </c>
      <c r="AY2149" s="498">
        <f t="shared" si="749"/>
        <v>0</v>
      </c>
      <c r="BB2149" s="498" t="str">
        <f t="shared" si="750"/>
        <v/>
      </c>
      <c r="BC2149" s="743" t="str">
        <f t="shared" si="751"/>
        <v/>
      </c>
      <c r="BD2149" s="743" t="str">
        <f t="shared" si="752"/>
        <v/>
      </c>
      <c r="BE2149" s="743" t="str">
        <f>IF(D2149="","",VLOOKUP(D2149,'General Basis'!$J$39:$K$46,2,0))</f>
        <v/>
      </c>
      <c r="BF2149" s="744" t="str">
        <f>IF(D2149="","",VLOOKUP(D2149,'General Basis'!$J$39:$L$46,3,0))</f>
        <v/>
      </c>
      <c r="BG2149" s="744" t="str">
        <f t="shared" si="759"/>
        <v/>
      </c>
      <c r="BH2149" s="744" t="str">
        <f>IF(G2149="","",IF(BF2149="Abu Dhabi",IF(G2149&lt;18,'General Basis'!$C$39,IF(G2149&lt;41,'General Basis'!$C$40,IF(G2149&lt;60,'General Basis'!$C$41,IF(G2149&lt;65,'General Basis'!$C$42,'General Basis'!$C$43)))),IF(G2149&lt;11,'General Basis'!$B$39,IF(G2149&lt;18,'General Basis'!$B$40,IF(G2149&lt;26,'General Basis'!$B$41,IF(G2149&lt;31,'General Basis'!$B$42,IF(G2149&lt;36,'General Basis'!$B$43,IF(G2149&lt;41,'General Basis'!$B$44,IF(G2149&lt;46,'General Basis'!$B$45,IF(G2149&lt;51,'General Basis'!$B$46,IF(G2149&lt;56,'General Basis'!$B$47,IF(G2149&lt;60,'General Basis'!$B$48,IF(G2149&lt;65,'General Basis'!$B$49,'General Basis'!$B$50)))))))))))))</f>
        <v/>
      </c>
      <c r="BI2149" s="744" t="str">
        <f t="shared" si="753"/>
        <v/>
      </c>
      <c r="BJ2149" s="747" t="str">
        <f t="shared" si="760"/>
        <v/>
      </c>
      <c r="BK2149" s="498" t="str">
        <f t="shared" si="754"/>
        <v/>
      </c>
      <c r="BL2149" s="498" t="str">
        <f t="shared" si="755"/>
        <v/>
      </c>
    </row>
    <row r="2150" spans="1:64" x14ac:dyDescent="0.25">
      <c r="A2150" s="762">
        <f t="shared" si="756"/>
        <v>2145</v>
      </c>
      <c r="B2150" s="229"/>
      <c r="C2150" s="223"/>
      <c r="D2150" s="224"/>
      <c r="E2150" s="225"/>
      <c r="F2150" s="1036" t="str">
        <f t="shared" si="762"/>
        <v/>
      </c>
      <c r="G2150" s="1037" t="str">
        <f t="shared" si="757"/>
        <v/>
      </c>
      <c r="H2150" s="225"/>
      <c r="I2150" s="1013"/>
      <c r="J2150" s="1013"/>
      <c r="K2150" s="1028"/>
      <c r="L2150" s="1035" t="str">
        <f t="shared" si="761"/>
        <v/>
      </c>
      <c r="S2150" s="498"/>
      <c r="AJ2150" s="498"/>
      <c r="AM2150" s="498">
        <f t="shared" si="742"/>
        <v>0</v>
      </c>
      <c r="AN2150" s="498">
        <f t="shared" si="743"/>
        <v>0</v>
      </c>
      <c r="AO2150" s="498">
        <f t="shared" si="744"/>
        <v>0</v>
      </c>
      <c r="AP2150" s="498">
        <f t="shared" si="763"/>
        <v>0</v>
      </c>
      <c r="AQ2150" s="498">
        <f t="shared" si="758"/>
        <v>0</v>
      </c>
      <c r="AU2150" s="498">
        <f t="shared" si="745"/>
        <v>0</v>
      </c>
      <c r="AV2150" s="498">
        <f t="shared" si="746"/>
        <v>0</v>
      </c>
      <c r="AW2150" s="498">
        <f t="shared" si="747"/>
        <v>0</v>
      </c>
      <c r="AX2150" s="498">
        <f t="shared" si="748"/>
        <v>0</v>
      </c>
      <c r="AY2150" s="498">
        <f t="shared" si="749"/>
        <v>0</v>
      </c>
      <c r="BB2150" s="498" t="str">
        <f t="shared" si="750"/>
        <v/>
      </c>
      <c r="BC2150" s="743" t="str">
        <f t="shared" si="751"/>
        <v/>
      </c>
      <c r="BD2150" s="743" t="str">
        <f t="shared" si="752"/>
        <v/>
      </c>
      <c r="BE2150" s="743" t="str">
        <f>IF(D2150="","",VLOOKUP(D2150,'General Basis'!$J$39:$K$46,2,0))</f>
        <v/>
      </c>
      <c r="BF2150" s="744" t="str">
        <f>IF(D2150="","",VLOOKUP(D2150,'General Basis'!$J$39:$L$46,3,0))</f>
        <v/>
      </c>
      <c r="BG2150" s="744" t="str">
        <f t="shared" si="759"/>
        <v/>
      </c>
      <c r="BH2150" s="744" t="str">
        <f>IF(G2150="","",IF(BF2150="Abu Dhabi",IF(G2150&lt;18,'General Basis'!$C$39,IF(G2150&lt;41,'General Basis'!$C$40,IF(G2150&lt;60,'General Basis'!$C$41,IF(G2150&lt;65,'General Basis'!$C$42,'General Basis'!$C$43)))),IF(G2150&lt;11,'General Basis'!$B$39,IF(G2150&lt;18,'General Basis'!$B$40,IF(G2150&lt;26,'General Basis'!$B$41,IF(G2150&lt;31,'General Basis'!$B$42,IF(G2150&lt;36,'General Basis'!$B$43,IF(G2150&lt;41,'General Basis'!$B$44,IF(G2150&lt;46,'General Basis'!$B$45,IF(G2150&lt;51,'General Basis'!$B$46,IF(G2150&lt;56,'General Basis'!$B$47,IF(G2150&lt;60,'General Basis'!$B$48,IF(G2150&lt;65,'General Basis'!$B$49,'General Basis'!$B$50)))))))))))))</f>
        <v/>
      </c>
      <c r="BI2150" s="744" t="str">
        <f t="shared" si="753"/>
        <v/>
      </c>
      <c r="BJ2150" s="747" t="str">
        <f t="shared" si="760"/>
        <v/>
      </c>
      <c r="BK2150" s="498" t="str">
        <f t="shared" si="754"/>
        <v/>
      </c>
      <c r="BL2150" s="498" t="str">
        <f t="shared" si="755"/>
        <v/>
      </c>
    </row>
    <row r="2151" spans="1:64" x14ac:dyDescent="0.25">
      <c r="A2151" s="762">
        <f t="shared" si="756"/>
        <v>2146</v>
      </c>
      <c r="B2151" s="229"/>
      <c r="C2151" s="223"/>
      <c r="D2151" s="224"/>
      <c r="E2151" s="225"/>
      <c r="F2151" s="1036" t="str">
        <f t="shared" si="762"/>
        <v/>
      </c>
      <c r="G2151" s="1037" t="str">
        <f t="shared" si="757"/>
        <v/>
      </c>
      <c r="H2151" s="225"/>
      <c r="I2151" s="1013"/>
      <c r="J2151" s="1013"/>
      <c r="K2151" s="1028"/>
      <c r="L2151" s="1035" t="str">
        <f t="shared" si="761"/>
        <v/>
      </c>
      <c r="S2151" s="498"/>
      <c r="AJ2151" s="498"/>
      <c r="AM2151" s="498">
        <f t="shared" si="742"/>
        <v>0</v>
      </c>
      <c r="AN2151" s="498">
        <f t="shared" si="743"/>
        <v>0</v>
      </c>
      <c r="AO2151" s="498">
        <f t="shared" si="744"/>
        <v>0</v>
      </c>
      <c r="AP2151" s="498">
        <f t="shared" si="763"/>
        <v>0</v>
      </c>
      <c r="AQ2151" s="498">
        <f t="shared" si="758"/>
        <v>0</v>
      </c>
      <c r="AU2151" s="498">
        <f t="shared" si="745"/>
        <v>0</v>
      </c>
      <c r="AV2151" s="498">
        <f t="shared" si="746"/>
        <v>0</v>
      </c>
      <c r="AW2151" s="498">
        <f t="shared" si="747"/>
        <v>0</v>
      </c>
      <c r="AX2151" s="498">
        <f t="shared" si="748"/>
        <v>0</v>
      </c>
      <c r="AY2151" s="498">
        <f t="shared" si="749"/>
        <v>0</v>
      </c>
      <c r="BB2151" s="498" t="str">
        <f t="shared" si="750"/>
        <v/>
      </c>
      <c r="BC2151" s="743" t="str">
        <f t="shared" si="751"/>
        <v/>
      </c>
      <c r="BD2151" s="743" t="str">
        <f t="shared" si="752"/>
        <v/>
      </c>
      <c r="BE2151" s="743" t="str">
        <f>IF(D2151="","",VLOOKUP(D2151,'General Basis'!$J$39:$K$46,2,0))</f>
        <v/>
      </c>
      <c r="BF2151" s="744" t="str">
        <f>IF(D2151="","",VLOOKUP(D2151,'General Basis'!$J$39:$L$46,3,0))</f>
        <v/>
      </c>
      <c r="BG2151" s="744" t="str">
        <f t="shared" si="759"/>
        <v/>
      </c>
      <c r="BH2151" s="744" t="str">
        <f>IF(G2151="","",IF(BF2151="Abu Dhabi",IF(G2151&lt;18,'General Basis'!$C$39,IF(G2151&lt;41,'General Basis'!$C$40,IF(G2151&lt;60,'General Basis'!$C$41,IF(G2151&lt;65,'General Basis'!$C$42,'General Basis'!$C$43)))),IF(G2151&lt;11,'General Basis'!$B$39,IF(G2151&lt;18,'General Basis'!$B$40,IF(G2151&lt;26,'General Basis'!$B$41,IF(G2151&lt;31,'General Basis'!$B$42,IF(G2151&lt;36,'General Basis'!$B$43,IF(G2151&lt;41,'General Basis'!$B$44,IF(G2151&lt;46,'General Basis'!$B$45,IF(G2151&lt;51,'General Basis'!$B$46,IF(G2151&lt;56,'General Basis'!$B$47,IF(G2151&lt;60,'General Basis'!$B$48,IF(G2151&lt;65,'General Basis'!$B$49,'General Basis'!$B$50)))))))))))))</f>
        <v/>
      </c>
      <c r="BI2151" s="744" t="str">
        <f t="shared" si="753"/>
        <v/>
      </c>
      <c r="BJ2151" s="747" t="str">
        <f t="shared" si="760"/>
        <v/>
      </c>
      <c r="BK2151" s="498" t="str">
        <f t="shared" si="754"/>
        <v/>
      </c>
      <c r="BL2151" s="498" t="str">
        <f t="shared" si="755"/>
        <v/>
      </c>
    </row>
    <row r="2152" spans="1:64" x14ac:dyDescent="0.25">
      <c r="A2152" s="762">
        <f t="shared" si="756"/>
        <v>2147</v>
      </c>
      <c r="B2152" s="229"/>
      <c r="C2152" s="223"/>
      <c r="D2152" s="224"/>
      <c r="E2152" s="225"/>
      <c r="F2152" s="1036" t="str">
        <f t="shared" si="762"/>
        <v/>
      </c>
      <c r="G2152" s="1037" t="str">
        <f t="shared" si="757"/>
        <v/>
      </c>
      <c r="H2152" s="225"/>
      <c r="I2152" s="1013"/>
      <c r="J2152" s="1013"/>
      <c r="K2152" s="1028"/>
      <c r="L2152" s="1035" t="str">
        <f t="shared" si="761"/>
        <v/>
      </c>
      <c r="S2152" s="498"/>
      <c r="AJ2152" s="498"/>
      <c r="AM2152" s="498">
        <f t="shared" si="742"/>
        <v>0</v>
      </c>
      <c r="AN2152" s="498">
        <f t="shared" si="743"/>
        <v>0</v>
      </c>
      <c r="AO2152" s="498">
        <f t="shared" si="744"/>
        <v>0</v>
      </c>
      <c r="AP2152" s="498">
        <f t="shared" si="763"/>
        <v>0</v>
      </c>
      <c r="AQ2152" s="498">
        <f t="shared" si="758"/>
        <v>0</v>
      </c>
      <c r="AU2152" s="498">
        <f t="shared" si="745"/>
        <v>0</v>
      </c>
      <c r="AV2152" s="498">
        <f t="shared" si="746"/>
        <v>0</v>
      </c>
      <c r="AW2152" s="498">
        <f t="shared" si="747"/>
        <v>0</v>
      </c>
      <c r="AX2152" s="498">
        <f t="shared" si="748"/>
        <v>0</v>
      </c>
      <c r="AY2152" s="498">
        <f t="shared" si="749"/>
        <v>0</v>
      </c>
      <c r="BB2152" s="498" t="str">
        <f t="shared" si="750"/>
        <v/>
      </c>
      <c r="BC2152" s="743" t="str">
        <f t="shared" si="751"/>
        <v/>
      </c>
      <c r="BD2152" s="743" t="str">
        <f t="shared" si="752"/>
        <v/>
      </c>
      <c r="BE2152" s="743" t="str">
        <f>IF(D2152="","",VLOOKUP(D2152,'General Basis'!$J$39:$K$46,2,0))</f>
        <v/>
      </c>
      <c r="BF2152" s="744" t="str">
        <f>IF(D2152="","",VLOOKUP(D2152,'General Basis'!$J$39:$L$46,3,0))</f>
        <v/>
      </c>
      <c r="BG2152" s="744" t="str">
        <f t="shared" si="759"/>
        <v/>
      </c>
      <c r="BH2152" s="744" t="str">
        <f>IF(G2152="","",IF(BF2152="Abu Dhabi",IF(G2152&lt;18,'General Basis'!$C$39,IF(G2152&lt;41,'General Basis'!$C$40,IF(G2152&lt;60,'General Basis'!$C$41,IF(G2152&lt;65,'General Basis'!$C$42,'General Basis'!$C$43)))),IF(G2152&lt;11,'General Basis'!$B$39,IF(G2152&lt;18,'General Basis'!$B$40,IF(G2152&lt;26,'General Basis'!$B$41,IF(G2152&lt;31,'General Basis'!$B$42,IF(G2152&lt;36,'General Basis'!$B$43,IF(G2152&lt;41,'General Basis'!$B$44,IF(G2152&lt;46,'General Basis'!$B$45,IF(G2152&lt;51,'General Basis'!$B$46,IF(G2152&lt;56,'General Basis'!$B$47,IF(G2152&lt;60,'General Basis'!$B$48,IF(G2152&lt;65,'General Basis'!$B$49,'General Basis'!$B$50)))))))))))))</f>
        <v/>
      </c>
      <c r="BI2152" s="744" t="str">
        <f t="shared" si="753"/>
        <v/>
      </c>
      <c r="BJ2152" s="747" t="str">
        <f t="shared" si="760"/>
        <v/>
      </c>
      <c r="BK2152" s="498" t="str">
        <f t="shared" si="754"/>
        <v/>
      </c>
      <c r="BL2152" s="498" t="str">
        <f t="shared" si="755"/>
        <v/>
      </c>
    </row>
    <row r="2153" spans="1:64" x14ac:dyDescent="0.25">
      <c r="A2153" s="762">
        <f t="shared" si="756"/>
        <v>2148</v>
      </c>
      <c r="B2153" s="229"/>
      <c r="C2153" s="223"/>
      <c r="D2153" s="224"/>
      <c r="E2153" s="225"/>
      <c r="F2153" s="1036" t="str">
        <f t="shared" si="762"/>
        <v/>
      </c>
      <c r="G2153" s="1037" t="str">
        <f t="shared" si="757"/>
        <v/>
      </c>
      <c r="H2153" s="225"/>
      <c r="I2153" s="1013"/>
      <c r="J2153" s="1013"/>
      <c r="K2153" s="1028"/>
      <c r="L2153" s="1035" t="str">
        <f t="shared" si="761"/>
        <v/>
      </c>
      <c r="S2153" s="498"/>
      <c r="AJ2153" s="498"/>
      <c r="AM2153" s="498">
        <f t="shared" si="742"/>
        <v>0</v>
      </c>
      <c r="AN2153" s="498">
        <f t="shared" si="743"/>
        <v>0</v>
      </c>
      <c r="AO2153" s="498">
        <f t="shared" si="744"/>
        <v>0</v>
      </c>
      <c r="AP2153" s="498">
        <f t="shared" si="763"/>
        <v>0</v>
      </c>
      <c r="AQ2153" s="498">
        <f t="shared" si="758"/>
        <v>0</v>
      </c>
      <c r="AU2153" s="498">
        <f t="shared" si="745"/>
        <v>0</v>
      </c>
      <c r="AV2153" s="498">
        <f t="shared" si="746"/>
        <v>0</v>
      </c>
      <c r="AW2153" s="498">
        <f t="shared" si="747"/>
        <v>0</v>
      </c>
      <c r="AX2153" s="498">
        <f t="shared" si="748"/>
        <v>0</v>
      </c>
      <c r="AY2153" s="498">
        <f t="shared" si="749"/>
        <v>0</v>
      </c>
      <c r="BB2153" s="498" t="str">
        <f t="shared" si="750"/>
        <v/>
      </c>
      <c r="BC2153" s="743" t="str">
        <f t="shared" si="751"/>
        <v/>
      </c>
      <c r="BD2153" s="743" t="str">
        <f t="shared" si="752"/>
        <v/>
      </c>
      <c r="BE2153" s="743" t="str">
        <f>IF(D2153="","",VLOOKUP(D2153,'General Basis'!$J$39:$K$46,2,0))</f>
        <v/>
      </c>
      <c r="BF2153" s="744" t="str">
        <f>IF(D2153="","",VLOOKUP(D2153,'General Basis'!$J$39:$L$46,3,0))</f>
        <v/>
      </c>
      <c r="BG2153" s="744" t="str">
        <f t="shared" si="759"/>
        <v/>
      </c>
      <c r="BH2153" s="744" t="str">
        <f>IF(G2153="","",IF(BF2153="Abu Dhabi",IF(G2153&lt;18,'General Basis'!$C$39,IF(G2153&lt;41,'General Basis'!$C$40,IF(G2153&lt;60,'General Basis'!$C$41,IF(G2153&lt;65,'General Basis'!$C$42,'General Basis'!$C$43)))),IF(G2153&lt;11,'General Basis'!$B$39,IF(G2153&lt;18,'General Basis'!$B$40,IF(G2153&lt;26,'General Basis'!$B$41,IF(G2153&lt;31,'General Basis'!$B$42,IF(G2153&lt;36,'General Basis'!$B$43,IF(G2153&lt;41,'General Basis'!$B$44,IF(G2153&lt;46,'General Basis'!$B$45,IF(G2153&lt;51,'General Basis'!$B$46,IF(G2153&lt;56,'General Basis'!$B$47,IF(G2153&lt;60,'General Basis'!$B$48,IF(G2153&lt;65,'General Basis'!$B$49,'General Basis'!$B$50)))))))))))))</f>
        <v/>
      </c>
      <c r="BI2153" s="744" t="str">
        <f t="shared" si="753"/>
        <v/>
      </c>
      <c r="BJ2153" s="747" t="str">
        <f t="shared" si="760"/>
        <v/>
      </c>
      <c r="BK2153" s="498" t="str">
        <f t="shared" si="754"/>
        <v/>
      </c>
      <c r="BL2153" s="498" t="str">
        <f t="shared" si="755"/>
        <v/>
      </c>
    </row>
    <row r="2154" spans="1:64" x14ac:dyDescent="0.25">
      <c r="A2154" s="762">
        <f t="shared" si="756"/>
        <v>2149</v>
      </c>
      <c r="B2154" s="229"/>
      <c r="C2154" s="223"/>
      <c r="D2154" s="224"/>
      <c r="E2154" s="225"/>
      <c r="F2154" s="1036" t="str">
        <f t="shared" si="762"/>
        <v/>
      </c>
      <c r="G2154" s="1037" t="str">
        <f t="shared" si="757"/>
        <v/>
      </c>
      <c r="H2154" s="225"/>
      <c r="I2154" s="1013"/>
      <c r="J2154" s="1013"/>
      <c r="K2154" s="1028"/>
      <c r="L2154" s="1035" t="str">
        <f t="shared" si="761"/>
        <v/>
      </c>
      <c r="S2154" s="498"/>
      <c r="AJ2154" s="498"/>
      <c r="AM2154" s="498">
        <f t="shared" si="742"/>
        <v>0</v>
      </c>
      <c r="AN2154" s="498">
        <f t="shared" si="743"/>
        <v>0</v>
      </c>
      <c r="AO2154" s="498">
        <f t="shared" si="744"/>
        <v>0</v>
      </c>
      <c r="AP2154" s="498">
        <f t="shared" si="763"/>
        <v>0</v>
      </c>
      <c r="AQ2154" s="498">
        <f t="shared" si="758"/>
        <v>0</v>
      </c>
      <c r="AU2154" s="498">
        <f t="shared" si="745"/>
        <v>0</v>
      </c>
      <c r="AV2154" s="498">
        <f t="shared" si="746"/>
        <v>0</v>
      </c>
      <c r="AW2154" s="498">
        <f t="shared" si="747"/>
        <v>0</v>
      </c>
      <c r="AX2154" s="498">
        <f t="shared" si="748"/>
        <v>0</v>
      </c>
      <c r="AY2154" s="498">
        <f t="shared" si="749"/>
        <v>0</v>
      </c>
      <c r="BB2154" s="498" t="str">
        <f t="shared" si="750"/>
        <v/>
      </c>
      <c r="BC2154" s="743" t="str">
        <f t="shared" si="751"/>
        <v/>
      </c>
      <c r="BD2154" s="743" t="str">
        <f t="shared" si="752"/>
        <v/>
      </c>
      <c r="BE2154" s="743" t="str">
        <f>IF(D2154="","",VLOOKUP(D2154,'General Basis'!$J$39:$K$46,2,0))</f>
        <v/>
      </c>
      <c r="BF2154" s="744" t="str">
        <f>IF(D2154="","",VLOOKUP(D2154,'General Basis'!$J$39:$L$46,3,0))</f>
        <v/>
      </c>
      <c r="BG2154" s="744" t="str">
        <f t="shared" si="759"/>
        <v/>
      </c>
      <c r="BH2154" s="744" t="str">
        <f>IF(G2154="","",IF(BF2154="Abu Dhabi",IF(G2154&lt;18,'General Basis'!$C$39,IF(G2154&lt;41,'General Basis'!$C$40,IF(G2154&lt;60,'General Basis'!$C$41,IF(G2154&lt;65,'General Basis'!$C$42,'General Basis'!$C$43)))),IF(G2154&lt;11,'General Basis'!$B$39,IF(G2154&lt;18,'General Basis'!$B$40,IF(G2154&lt;26,'General Basis'!$B$41,IF(G2154&lt;31,'General Basis'!$B$42,IF(G2154&lt;36,'General Basis'!$B$43,IF(G2154&lt;41,'General Basis'!$B$44,IF(G2154&lt;46,'General Basis'!$B$45,IF(G2154&lt;51,'General Basis'!$B$46,IF(G2154&lt;56,'General Basis'!$B$47,IF(G2154&lt;60,'General Basis'!$B$48,IF(G2154&lt;65,'General Basis'!$B$49,'General Basis'!$B$50)))))))))))))</f>
        <v/>
      </c>
      <c r="BI2154" s="744" t="str">
        <f t="shared" si="753"/>
        <v/>
      </c>
      <c r="BJ2154" s="747" t="str">
        <f t="shared" si="760"/>
        <v/>
      </c>
      <c r="BK2154" s="498" t="str">
        <f t="shared" si="754"/>
        <v/>
      </c>
      <c r="BL2154" s="498" t="str">
        <f t="shared" si="755"/>
        <v/>
      </c>
    </row>
    <row r="2155" spans="1:64" x14ac:dyDescent="0.25">
      <c r="A2155" s="762">
        <f t="shared" si="756"/>
        <v>2150</v>
      </c>
      <c r="B2155" s="229"/>
      <c r="C2155" s="223"/>
      <c r="D2155" s="224"/>
      <c r="E2155" s="225"/>
      <c r="F2155" s="1036" t="str">
        <f t="shared" si="762"/>
        <v/>
      </c>
      <c r="G2155" s="1037" t="str">
        <f t="shared" si="757"/>
        <v/>
      </c>
      <c r="H2155" s="225"/>
      <c r="I2155" s="1013"/>
      <c r="J2155" s="1013"/>
      <c r="K2155" s="1028"/>
      <c r="L2155" s="1035" t="str">
        <f t="shared" si="761"/>
        <v/>
      </c>
      <c r="S2155" s="498"/>
      <c r="AJ2155" s="498"/>
      <c r="AM2155" s="498">
        <f t="shared" si="742"/>
        <v>0</v>
      </c>
      <c r="AN2155" s="498">
        <f t="shared" si="743"/>
        <v>0</v>
      </c>
      <c r="AO2155" s="498">
        <f t="shared" si="744"/>
        <v>0</v>
      </c>
      <c r="AP2155" s="498">
        <f t="shared" si="763"/>
        <v>0</v>
      </c>
      <c r="AQ2155" s="498">
        <f t="shared" si="758"/>
        <v>0</v>
      </c>
      <c r="AU2155" s="498">
        <f t="shared" si="745"/>
        <v>0</v>
      </c>
      <c r="AV2155" s="498">
        <f t="shared" si="746"/>
        <v>0</v>
      </c>
      <c r="AW2155" s="498">
        <f t="shared" si="747"/>
        <v>0</v>
      </c>
      <c r="AX2155" s="498">
        <f t="shared" si="748"/>
        <v>0</v>
      </c>
      <c r="AY2155" s="498">
        <f t="shared" si="749"/>
        <v>0</v>
      </c>
      <c r="BB2155" s="498" t="str">
        <f t="shared" si="750"/>
        <v/>
      </c>
      <c r="BC2155" s="743" t="str">
        <f t="shared" si="751"/>
        <v/>
      </c>
      <c r="BD2155" s="743" t="str">
        <f t="shared" si="752"/>
        <v/>
      </c>
      <c r="BE2155" s="743" t="str">
        <f>IF(D2155="","",VLOOKUP(D2155,'General Basis'!$J$39:$K$46,2,0))</f>
        <v/>
      </c>
      <c r="BF2155" s="744" t="str">
        <f>IF(D2155="","",VLOOKUP(D2155,'General Basis'!$J$39:$L$46,3,0))</f>
        <v/>
      </c>
      <c r="BG2155" s="744" t="str">
        <f t="shared" si="759"/>
        <v/>
      </c>
      <c r="BH2155" s="744" t="str">
        <f>IF(G2155="","",IF(BF2155="Abu Dhabi",IF(G2155&lt;18,'General Basis'!$C$39,IF(G2155&lt;41,'General Basis'!$C$40,IF(G2155&lt;60,'General Basis'!$C$41,IF(G2155&lt;65,'General Basis'!$C$42,'General Basis'!$C$43)))),IF(G2155&lt;11,'General Basis'!$B$39,IF(G2155&lt;18,'General Basis'!$B$40,IF(G2155&lt;26,'General Basis'!$B$41,IF(G2155&lt;31,'General Basis'!$B$42,IF(G2155&lt;36,'General Basis'!$B$43,IF(G2155&lt;41,'General Basis'!$B$44,IF(G2155&lt;46,'General Basis'!$B$45,IF(G2155&lt;51,'General Basis'!$B$46,IF(G2155&lt;56,'General Basis'!$B$47,IF(G2155&lt;60,'General Basis'!$B$48,IF(G2155&lt;65,'General Basis'!$B$49,'General Basis'!$B$50)))))))))))))</f>
        <v/>
      </c>
      <c r="BI2155" s="744" t="str">
        <f t="shared" si="753"/>
        <v/>
      </c>
      <c r="BJ2155" s="747" t="str">
        <f t="shared" si="760"/>
        <v/>
      </c>
      <c r="BK2155" s="498" t="str">
        <f t="shared" si="754"/>
        <v/>
      </c>
      <c r="BL2155" s="498" t="str">
        <f t="shared" si="755"/>
        <v/>
      </c>
    </row>
    <row r="2156" spans="1:64" x14ac:dyDescent="0.25">
      <c r="A2156" s="762">
        <f t="shared" si="756"/>
        <v>2151</v>
      </c>
      <c r="B2156" s="229"/>
      <c r="C2156" s="223"/>
      <c r="D2156" s="224"/>
      <c r="E2156" s="225"/>
      <c r="F2156" s="1036" t="str">
        <f t="shared" si="762"/>
        <v/>
      </c>
      <c r="G2156" s="1037" t="str">
        <f t="shared" si="757"/>
        <v/>
      </c>
      <c r="H2156" s="225"/>
      <c r="I2156" s="1013"/>
      <c r="J2156" s="1013"/>
      <c r="K2156" s="1028"/>
      <c r="L2156" s="1035" t="str">
        <f t="shared" si="761"/>
        <v/>
      </c>
      <c r="S2156" s="498"/>
      <c r="AJ2156" s="498"/>
      <c r="AM2156" s="498">
        <f t="shared" si="742"/>
        <v>0</v>
      </c>
      <c r="AN2156" s="498">
        <f t="shared" si="743"/>
        <v>0</v>
      </c>
      <c r="AO2156" s="498">
        <f t="shared" si="744"/>
        <v>0</v>
      </c>
      <c r="AP2156" s="498">
        <f t="shared" si="763"/>
        <v>0</v>
      </c>
      <c r="AQ2156" s="498">
        <f t="shared" si="758"/>
        <v>0</v>
      </c>
      <c r="AU2156" s="498">
        <f t="shared" si="745"/>
        <v>0</v>
      </c>
      <c r="AV2156" s="498">
        <f t="shared" si="746"/>
        <v>0</v>
      </c>
      <c r="AW2156" s="498">
        <f t="shared" si="747"/>
        <v>0</v>
      </c>
      <c r="AX2156" s="498">
        <f t="shared" si="748"/>
        <v>0</v>
      </c>
      <c r="AY2156" s="498">
        <f t="shared" si="749"/>
        <v>0</v>
      </c>
      <c r="BB2156" s="498" t="str">
        <f t="shared" si="750"/>
        <v/>
      </c>
      <c r="BC2156" s="743" t="str">
        <f t="shared" si="751"/>
        <v/>
      </c>
      <c r="BD2156" s="743" t="str">
        <f t="shared" si="752"/>
        <v/>
      </c>
      <c r="BE2156" s="743" t="str">
        <f>IF(D2156="","",VLOOKUP(D2156,'General Basis'!$J$39:$K$46,2,0))</f>
        <v/>
      </c>
      <c r="BF2156" s="744" t="str">
        <f>IF(D2156="","",VLOOKUP(D2156,'General Basis'!$J$39:$L$46,3,0))</f>
        <v/>
      </c>
      <c r="BG2156" s="744" t="str">
        <f t="shared" si="759"/>
        <v/>
      </c>
      <c r="BH2156" s="744" t="str">
        <f>IF(G2156="","",IF(BF2156="Abu Dhabi",IF(G2156&lt;18,'General Basis'!$C$39,IF(G2156&lt;41,'General Basis'!$C$40,IF(G2156&lt;60,'General Basis'!$C$41,IF(G2156&lt;65,'General Basis'!$C$42,'General Basis'!$C$43)))),IF(G2156&lt;11,'General Basis'!$B$39,IF(G2156&lt;18,'General Basis'!$B$40,IF(G2156&lt;26,'General Basis'!$B$41,IF(G2156&lt;31,'General Basis'!$B$42,IF(G2156&lt;36,'General Basis'!$B$43,IF(G2156&lt;41,'General Basis'!$B$44,IF(G2156&lt;46,'General Basis'!$B$45,IF(G2156&lt;51,'General Basis'!$B$46,IF(G2156&lt;56,'General Basis'!$B$47,IF(G2156&lt;60,'General Basis'!$B$48,IF(G2156&lt;65,'General Basis'!$B$49,'General Basis'!$B$50)))))))))))))</f>
        <v/>
      </c>
      <c r="BI2156" s="744" t="str">
        <f t="shared" si="753"/>
        <v/>
      </c>
      <c r="BJ2156" s="747" t="str">
        <f t="shared" si="760"/>
        <v/>
      </c>
      <c r="BK2156" s="498" t="str">
        <f t="shared" si="754"/>
        <v/>
      </c>
      <c r="BL2156" s="498" t="str">
        <f t="shared" si="755"/>
        <v/>
      </c>
    </row>
    <row r="2157" spans="1:64" x14ac:dyDescent="0.25">
      <c r="A2157" s="762">
        <f t="shared" si="756"/>
        <v>2152</v>
      </c>
      <c r="B2157" s="229"/>
      <c r="C2157" s="223"/>
      <c r="D2157" s="224"/>
      <c r="E2157" s="225"/>
      <c r="F2157" s="1036" t="str">
        <f t="shared" si="762"/>
        <v/>
      </c>
      <c r="G2157" s="1037" t="str">
        <f t="shared" si="757"/>
        <v/>
      </c>
      <c r="H2157" s="225"/>
      <c r="I2157" s="1013"/>
      <c r="J2157" s="1013"/>
      <c r="K2157" s="1028"/>
      <c r="L2157" s="1035" t="str">
        <f t="shared" si="761"/>
        <v/>
      </c>
      <c r="S2157" s="498"/>
      <c r="AJ2157" s="498"/>
      <c r="AM2157" s="498">
        <f t="shared" si="742"/>
        <v>0</v>
      </c>
      <c r="AN2157" s="498">
        <f t="shared" si="743"/>
        <v>0</v>
      </c>
      <c r="AO2157" s="498">
        <f t="shared" si="744"/>
        <v>0</v>
      </c>
      <c r="AP2157" s="498">
        <f t="shared" si="763"/>
        <v>0</v>
      </c>
      <c r="AQ2157" s="498">
        <f t="shared" si="758"/>
        <v>0</v>
      </c>
      <c r="AU2157" s="498">
        <f t="shared" si="745"/>
        <v>0</v>
      </c>
      <c r="AV2157" s="498">
        <f t="shared" si="746"/>
        <v>0</v>
      </c>
      <c r="AW2157" s="498">
        <f t="shared" si="747"/>
        <v>0</v>
      </c>
      <c r="AX2157" s="498">
        <f t="shared" si="748"/>
        <v>0</v>
      </c>
      <c r="AY2157" s="498">
        <f t="shared" si="749"/>
        <v>0</v>
      </c>
      <c r="BB2157" s="498" t="str">
        <f t="shared" si="750"/>
        <v/>
      </c>
      <c r="BC2157" s="743" t="str">
        <f t="shared" si="751"/>
        <v/>
      </c>
      <c r="BD2157" s="743" t="str">
        <f t="shared" si="752"/>
        <v/>
      </c>
      <c r="BE2157" s="743" t="str">
        <f>IF(D2157="","",VLOOKUP(D2157,'General Basis'!$J$39:$K$46,2,0))</f>
        <v/>
      </c>
      <c r="BF2157" s="744" t="str">
        <f>IF(D2157="","",VLOOKUP(D2157,'General Basis'!$J$39:$L$46,3,0))</f>
        <v/>
      </c>
      <c r="BG2157" s="744" t="str">
        <f t="shared" si="759"/>
        <v/>
      </c>
      <c r="BH2157" s="744" t="str">
        <f>IF(G2157="","",IF(BF2157="Abu Dhabi",IF(G2157&lt;18,'General Basis'!$C$39,IF(G2157&lt;41,'General Basis'!$C$40,IF(G2157&lt;60,'General Basis'!$C$41,IF(G2157&lt;65,'General Basis'!$C$42,'General Basis'!$C$43)))),IF(G2157&lt;11,'General Basis'!$B$39,IF(G2157&lt;18,'General Basis'!$B$40,IF(G2157&lt;26,'General Basis'!$B$41,IF(G2157&lt;31,'General Basis'!$B$42,IF(G2157&lt;36,'General Basis'!$B$43,IF(G2157&lt;41,'General Basis'!$B$44,IF(G2157&lt;46,'General Basis'!$B$45,IF(G2157&lt;51,'General Basis'!$B$46,IF(G2157&lt;56,'General Basis'!$B$47,IF(G2157&lt;60,'General Basis'!$B$48,IF(G2157&lt;65,'General Basis'!$B$49,'General Basis'!$B$50)))))))))))))</f>
        <v/>
      </c>
      <c r="BI2157" s="744" t="str">
        <f t="shared" si="753"/>
        <v/>
      </c>
      <c r="BJ2157" s="747" t="str">
        <f t="shared" si="760"/>
        <v/>
      </c>
      <c r="BK2157" s="498" t="str">
        <f t="shared" si="754"/>
        <v/>
      </c>
      <c r="BL2157" s="498" t="str">
        <f t="shared" si="755"/>
        <v/>
      </c>
    </row>
    <row r="2158" spans="1:64" x14ac:dyDescent="0.25">
      <c r="A2158" s="762">
        <f t="shared" si="756"/>
        <v>2153</v>
      </c>
      <c r="B2158" s="229"/>
      <c r="C2158" s="223"/>
      <c r="D2158" s="224"/>
      <c r="E2158" s="225"/>
      <c r="F2158" s="1036" t="str">
        <f t="shared" si="762"/>
        <v/>
      </c>
      <c r="G2158" s="1037" t="str">
        <f t="shared" si="757"/>
        <v/>
      </c>
      <c r="H2158" s="225"/>
      <c r="I2158" s="1013"/>
      <c r="J2158" s="1013"/>
      <c r="K2158" s="1028"/>
      <c r="L2158" s="1035" t="str">
        <f t="shared" si="761"/>
        <v/>
      </c>
      <c r="S2158" s="498"/>
      <c r="AJ2158" s="498"/>
      <c r="AM2158" s="498">
        <f t="shared" si="742"/>
        <v>0</v>
      </c>
      <c r="AN2158" s="498">
        <f t="shared" si="743"/>
        <v>0</v>
      </c>
      <c r="AO2158" s="498">
        <f t="shared" si="744"/>
        <v>0</v>
      </c>
      <c r="AP2158" s="498">
        <f t="shared" si="763"/>
        <v>0</v>
      </c>
      <c r="AQ2158" s="498">
        <f t="shared" si="758"/>
        <v>0</v>
      </c>
      <c r="AU2158" s="498">
        <f t="shared" si="745"/>
        <v>0</v>
      </c>
      <c r="AV2158" s="498">
        <f t="shared" si="746"/>
        <v>0</v>
      </c>
      <c r="AW2158" s="498">
        <f t="shared" si="747"/>
        <v>0</v>
      </c>
      <c r="AX2158" s="498">
        <f t="shared" si="748"/>
        <v>0</v>
      </c>
      <c r="AY2158" s="498">
        <f t="shared" si="749"/>
        <v>0</v>
      </c>
      <c r="BB2158" s="498" t="str">
        <f t="shared" si="750"/>
        <v/>
      </c>
      <c r="BC2158" s="743" t="str">
        <f t="shared" si="751"/>
        <v/>
      </c>
      <c r="BD2158" s="743" t="str">
        <f t="shared" si="752"/>
        <v/>
      </c>
      <c r="BE2158" s="743" t="str">
        <f>IF(D2158="","",VLOOKUP(D2158,'General Basis'!$J$39:$K$46,2,0))</f>
        <v/>
      </c>
      <c r="BF2158" s="744" t="str">
        <f>IF(D2158="","",VLOOKUP(D2158,'General Basis'!$J$39:$L$46,3,0))</f>
        <v/>
      </c>
      <c r="BG2158" s="744" t="str">
        <f t="shared" si="759"/>
        <v/>
      </c>
      <c r="BH2158" s="744" t="str">
        <f>IF(G2158="","",IF(BF2158="Abu Dhabi",IF(G2158&lt;18,'General Basis'!$C$39,IF(G2158&lt;41,'General Basis'!$C$40,IF(G2158&lt;60,'General Basis'!$C$41,IF(G2158&lt;65,'General Basis'!$C$42,'General Basis'!$C$43)))),IF(G2158&lt;11,'General Basis'!$B$39,IF(G2158&lt;18,'General Basis'!$B$40,IF(G2158&lt;26,'General Basis'!$B$41,IF(G2158&lt;31,'General Basis'!$B$42,IF(G2158&lt;36,'General Basis'!$B$43,IF(G2158&lt;41,'General Basis'!$B$44,IF(G2158&lt;46,'General Basis'!$B$45,IF(G2158&lt;51,'General Basis'!$B$46,IF(G2158&lt;56,'General Basis'!$B$47,IF(G2158&lt;60,'General Basis'!$B$48,IF(G2158&lt;65,'General Basis'!$B$49,'General Basis'!$B$50)))))))))))))</f>
        <v/>
      </c>
      <c r="BI2158" s="744" t="str">
        <f t="shared" si="753"/>
        <v/>
      </c>
      <c r="BJ2158" s="747" t="str">
        <f t="shared" si="760"/>
        <v/>
      </c>
      <c r="BK2158" s="498" t="str">
        <f t="shared" si="754"/>
        <v/>
      </c>
      <c r="BL2158" s="498" t="str">
        <f t="shared" si="755"/>
        <v/>
      </c>
    </row>
    <row r="2159" spans="1:64" x14ac:dyDescent="0.25">
      <c r="A2159" s="762">
        <f t="shared" si="756"/>
        <v>2154</v>
      </c>
      <c r="B2159" s="229"/>
      <c r="C2159" s="223"/>
      <c r="D2159" s="224"/>
      <c r="E2159" s="225"/>
      <c r="F2159" s="1036" t="str">
        <f t="shared" si="762"/>
        <v/>
      </c>
      <c r="G2159" s="1037" t="str">
        <f t="shared" si="757"/>
        <v/>
      </c>
      <c r="H2159" s="225"/>
      <c r="I2159" s="1013"/>
      <c r="J2159" s="1013"/>
      <c r="K2159" s="1028"/>
      <c r="L2159" s="1035" t="str">
        <f t="shared" si="761"/>
        <v/>
      </c>
      <c r="S2159" s="498"/>
      <c r="AJ2159" s="498"/>
      <c r="AM2159" s="498">
        <f t="shared" si="742"/>
        <v>0</v>
      </c>
      <c r="AN2159" s="498">
        <f t="shared" si="743"/>
        <v>0</v>
      </c>
      <c r="AO2159" s="498">
        <f t="shared" si="744"/>
        <v>0</v>
      </c>
      <c r="AP2159" s="498">
        <f t="shared" si="763"/>
        <v>0</v>
      </c>
      <c r="AQ2159" s="498">
        <f t="shared" si="758"/>
        <v>0</v>
      </c>
      <c r="AU2159" s="498">
        <f t="shared" si="745"/>
        <v>0</v>
      </c>
      <c r="AV2159" s="498">
        <f t="shared" si="746"/>
        <v>0</v>
      </c>
      <c r="AW2159" s="498">
        <f t="shared" si="747"/>
        <v>0</v>
      </c>
      <c r="AX2159" s="498">
        <f t="shared" si="748"/>
        <v>0</v>
      </c>
      <c r="AY2159" s="498">
        <f t="shared" si="749"/>
        <v>0</v>
      </c>
      <c r="BB2159" s="498" t="str">
        <f t="shared" si="750"/>
        <v/>
      </c>
      <c r="BC2159" s="743" t="str">
        <f t="shared" si="751"/>
        <v/>
      </c>
      <c r="BD2159" s="743" t="str">
        <f t="shared" si="752"/>
        <v/>
      </c>
      <c r="BE2159" s="743" t="str">
        <f>IF(D2159="","",VLOOKUP(D2159,'General Basis'!$J$39:$K$46,2,0))</f>
        <v/>
      </c>
      <c r="BF2159" s="744" t="str">
        <f>IF(D2159="","",VLOOKUP(D2159,'General Basis'!$J$39:$L$46,3,0))</f>
        <v/>
      </c>
      <c r="BG2159" s="744" t="str">
        <f t="shared" si="759"/>
        <v/>
      </c>
      <c r="BH2159" s="744" t="str">
        <f>IF(G2159="","",IF(BF2159="Abu Dhabi",IF(G2159&lt;18,'General Basis'!$C$39,IF(G2159&lt;41,'General Basis'!$C$40,IF(G2159&lt;60,'General Basis'!$C$41,IF(G2159&lt;65,'General Basis'!$C$42,'General Basis'!$C$43)))),IF(G2159&lt;11,'General Basis'!$B$39,IF(G2159&lt;18,'General Basis'!$B$40,IF(G2159&lt;26,'General Basis'!$B$41,IF(G2159&lt;31,'General Basis'!$B$42,IF(G2159&lt;36,'General Basis'!$B$43,IF(G2159&lt;41,'General Basis'!$B$44,IF(G2159&lt;46,'General Basis'!$B$45,IF(G2159&lt;51,'General Basis'!$B$46,IF(G2159&lt;56,'General Basis'!$B$47,IF(G2159&lt;60,'General Basis'!$B$48,IF(G2159&lt;65,'General Basis'!$B$49,'General Basis'!$B$50)))))))))))))</f>
        <v/>
      </c>
      <c r="BI2159" s="744" t="str">
        <f t="shared" si="753"/>
        <v/>
      </c>
      <c r="BJ2159" s="747" t="str">
        <f t="shared" si="760"/>
        <v/>
      </c>
      <c r="BK2159" s="498" t="str">
        <f t="shared" si="754"/>
        <v/>
      </c>
      <c r="BL2159" s="498" t="str">
        <f t="shared" si="755"/>
        <v/>
      </c>
    </row>
    <row r="2160" spans="1:64" x14ac:dyDescent="0.25">
      <c r="A2160" s="762">
        <f t="shared" si="756"/>
        <v>2155</v>
      </c>
      <c r="B2160" s="229"/>
      <c r="C2160" s="223"/>
      <c r="D2160" s="224"/>
      <c r="E2160" s="225"/>
      <c r="F2160" s="1036" t="str">
        <f t="shared" si="762"/>
        <v/>
      </c>
      <c r="G2160" s="1037" t="str">
        <f t="shared" si="757"/>
        <v/>
      </c>
      <c r="H2160" s="225"/>
      <c r="I2160" s="1013"/>
      <c r="J2160" s="1013"/>
      <c r="K2160" s="1028"/>
      <c r="L2160" s="1035" t="str">
        <f t="shared" si="761"/>
        <v/>
      </c>
      <c r="S2160" s="498"/>
      <c r="AJ2160" s="498"/>
      <c r="AM2160" s="498">
        <f t="shared" si="742"/>
        <v>0</v>
      </c>
      <c r="AN2160" s="498">
        <f t="shared" si="743"/>
        <v>0</v>
      </c>
      <c r="AO2160" s="498">
        <f t="shared" si="744"/>
        <v>0</v>
      </c>
      <c r="AP2160" s="498">
        <f t="shared" si="763"/>
        <v>0</v>
      </c>
      <c r="AQ2160" s="498">
        <f t="shared" si="758"/>
        <v>0</v>
      </c>
      <c r="AU2160" s="498">
        <f t="shared" si="745"/>
        <v>0</v>
      </c>
      <c r="AV2160" s="498">
        <f t="shared" si="746"/>
        <v>0</v>
      </c>
      <c r="AW2160" s="498">
        <f t="shared" si="747"/>
        <v>0</v>
      </c>
      <c r="AX2160" s="498">
        <f t="shared" si="748"/>
        <v>0</v>
      </c>
      <c r="AY2160" s="498">
        <f t="shared" si="749"/>
        <v>0</v>
      </c>
      <c r="BB2160" s="498" t="str">
        <f t="shared" si="750"/>
        <v/>
      </c>
      <c r="BC2160" s="743" t="str">
        <f t="shared" si="751"/>
        <v/>
      </c>
      <c r="BD2160" s="743" t="str">
        <f t="shared" si="752"/>
        <v/>
      </c>
      <c r="BE2160" s="743" t="str">
        <f>IF(D2160="","",VLOOKUP(D2160,'General Basis'!$J$39:$K$46,2,0))</f>
        <v/>
      </c>
      <c r="BF2160" s="744" t="str">
        <f>IF(D2160="","",VLOOKUP(D2160,'General Basis'!$J$39:$L$46,3,0))</f>
        <v/>
      </c>
      <c r="BG2160" s="744" t="str">
        <f t="shared" si="759"/>
        <v/>
      </c>
      <c r="BH2160" s="744" t="str">
        <f>IF(G2160="","",IF(BF2160="Abu Dhabi",IF(G2160&lt;18,'General Basis'!$C$39,IF(G2160&lt;41,'General Basis'!$C$40,IF(G2160&lt;60,'General Basis'!$C$41,IF(G2160&lt;65,'General Basis'!$C$42,'General Basis'!$C$43)))),IF(G2160&lt;11,'General Basis'!$B$39,IF(G2160&lt;18,'General Basis'!$B$40,IF(G2160&lt;26,'General Basis'!$B$41,IF(G2160&lt;31,'General Basis'!$B$42,IF(G2160&lt;36,'General Basis'!$B$43,IF(G2160&lt;41,'General Basis'!$B$44,IF(G2160&lt;46,'General Basis'!$B$45,IF(G2160&lt;51,'General Basis'!$B$46,IF(G2160&lt;56,'General Basis'!$B$47,IF(G2160&lt;60,'General Basis'!$B$48,IF(G2160&lt;65,'General Basis'!$B$49,'General Basis'!$B$50)))))))))))))</f>
        <v/>
      </c>
      <c r="BI2160" s="744" t="str">
        <f t="shared" si="753"/>
        <v/>
      </c>
      <c r="BJ2160" s="747" t="str">
        <f t="shared" si="760"/>
        <v/>
      </c>
      <c r="BK2160" s="498" t="str">
        <f t="shared" si="754"/>
        <v/>
      </c>
      <c r="BL2160" s="498" t="str">
        <f t="shared" si="755"/>
        <v/>
      </c>
    </row>
    <row r="2161" spans="1:64" x14ac:dyDescent="0.25">
      <c r="A2161" s="762">
        <f t="shared" si="756"/>
        <v>2156</v>
      </c>
      <c r="B2161" s="229"/>
      <c r="C2161" s="223"/>
      <c r="D2161" s="224"/>
      <c r="E2161" s="225"/>
      <c r="F2161" s="1036" t="str">
        <f t="shared" si="762"/>
        <v/>
      </c>
      <c r="G2161" s="1037" t="str">
        <f t="shared" si="757"/>
        <v/>
      </c>
      <c r="H2161" s="225"/>
      <c r="I2161" s="1013"/>
      <c r="J2161" s="1013"/>
      <c r="K2161" s="1028"/>
      <c r="L2161" s="1035" t="str">
        <f t="shared" si="761"/>
        <v/>
      </c>
      <c r="S2161" s="498"/>
      <c r="AJ2161" s="498"/>
      <c r="AM2161" s="498">
        <f t="shared" si="742"/>
        <v>0</v>
      </c>
      <c r="AN2161" s="498">
        <f t="shared" si="743"/>
        <v>0</v>
      </c>
      <c r="AO2161" s="498">
        <f t="shared" si="744"/>
        <v>0</v>
      </c>
      <c r="AP2161" s="498">
        <f t="shared" si="763"/>
        <v>0</v>
      </c>
      <c r="AQ2161" s="498">
        <f t="shared" si="758"/>
        <v>0</v>
      </c>
      <c r="AU2161" s="498">
        <f t="shared" si="745"/>
        <v>0</v>
      </c>
      <c r="AV2161" s="498">
        <f t="shared" si="746"/>
        <v>0</v>
      </c>
      <c r="AW2161" s="498">
        <f t="shared" si="747"/>
        <v>0</v>
      </c>
      <c r="AX2161" s="498">
        <f t="shared" si="748"/>
        <v>0</v>
      </c>
      <c r="AY2161" s="498">
        <f t="shared" si="749"/>
        <v>0</v>
      </c>
      <c r="BB2161" s="498" t="str">
        <f t="shared" si="750"/>
        <v/>
      </c>
      <c r="BC2161" s="743" t="str">
        <f t="shared" si="751"/>
        <v/>
      </c>
      <c r="BD2161" s="743" t="str">
        <f t="shared" si="752"/>
        <v/>
      </c>
      <c r="BE2161" s="743" t="str">
        <f>IF(D2161="","",VLOOKUP(D2161,'General Basis'!$J$39:$K$46,2,0))</f>
        <v/>
      </c>
      <c r="BF2161" s="744" t="str">
        <f>IF(D2161="","",VLOOKUP(D2161,'General Basis'!$J$39:$L$46,3,0))</f>
        <v/>
      </c>
      <c r="BG2161" s="744" t="str">
        <f t="shared" si="759"/>
        <v/>
      </c>
      <c r="BH2161" s="744" t="str">
        <f>IF(G2161="","",IF(BF2161="Abu Dhabi",IF(G2161&lt;18,'General Basis'!$C$39,IF(G2161&lt;41,'General Basis'!$C$40,IF(G2161&lt;60,'General Basis'!$C$41,IF(G2161&lt;65,'General Basis'!$C$42,'General Basis'!$C$43)))),IF(G2161&lt;11,'General Basis'!$B$39,IF(G2161&lt;18,'General Basis'!$B$40,IF(G2161&lt;26,'General Basis'!$B$41,IF(G2161&lt;31,'General Basis'!$B$42,IF(G2161&lt;36,'General Basis'!$B$43,IF(G2161&lt;41,'General Basis'!$B$44,IF(G2161&lt;46,'General Basis'!$B$45,IF(G2161&lt;51,'General Basis'!$B$46,IF(G2161&lt;56,'General Basis'!$B$47,IF(G2161&lt;60,'General Basis'!$B$48,IF(G2161&lt;65,'General Basis'!$B$49,'General Basis'!$B$50)))))))))))))</f>
        <v/>
      </c>
      <c r="BI2161" s="744" t="str">
        <f t="shared" si="753"/>
        <v/>
      </c>
      <c r="BJ2161" s="747" t="str">
        <f t="shared" si="760"/>
        <v/>
      </c>
      <c r="BK2161" s="498" t="str">
        <f t="shared" si="754"/>
        <v/>
      </c>
      <c r="BL2161" s="498" t="str">
        <f t="shared" si="755"/>
        <v/>
      </c>
    </row>
    <row r="2162" spans="1:64" x14ac:dyDescent="0.25">
      <c r="A2162" s="762">
        <f t="shared" si="756"/>
        <v>2157</v>
      </c>
      <c r="B2162" s="229"/>
      <c r="C2162" s="223"/>
      <c r="D2162" s="224"/>
      <c r="E2162" s="225"/>
      <c r="F2162" s="1036" t="str">
        <f t="shared" si="762"/>
        <v/>
      </c>
      <c r="G2162" s="1037" t="str">
        <f t="shared" si="757"/>
        <v/>
      </c>
      <c r="H2162" s="225"/>
      <c r="I2162" s="1013"/>
      <c r="J2162" s="1013"/>
      <c r="K2162" s="1028"/>
      <c r="L2162" s="1035" t="str">
        <f t="shared" si="761"/>
        <v/>
      </c>
      <c r="S2162" s="498"/>
      <c r="AJ2162" s="498"/>
      <c r="AM2162" s="498">
        <f t="shared" si="742"/>
        <v>0</v>
      </c>
      <c r="AN2162" s="498">
        <f t="shared" si="743"/>
        <v>0</v>
      </c>
      <c r="AO2162" s="498">
        <f t="shared" si="744"/>
        <v>0</v>
      </c>
      <c r="AP2162" s="498">
        <f t="shared" si="763"/>
        <v>0</v>
      </c>
      <c r="AQ2162" s="498">
        <f t="shared" si="758"/>
        <v>0</v>
      </c>
      <c r="AU2162" s="498">
        <f t="shared" si="745"/>
        <v>0</v>
      </c>
      <c r="AV2162" s="498">
        <f t="shared" si="746"/>
        <v>0</v>
      </c>
      <c r="AW2162" s="498">
        <f t="shared" si="747"/>
        <v>0</v>
      </c>
      <c r="AX2162" s="498">
        <f t="shared" si="748"/>
        <v>0</v>
      </c>
      <c r="AY2162" s="498">
        <f t="shared" si="749"/>
        <v>0</v>
      </c>
      <c r="BB2162" s="498" t="str">
        <f t="shared" si="750"/>
        <v/>
      </c>
      <c r="BC2162" s="743" t="str">
        <f t="shared" si="751"/>
        <v/>
      </c>
      <c r="BD2162" s="743" t="str">
        <f t="shared" si="752"/>
        <v/>
      </c>
      <c r="BE2162" s="743" t="str">
        <f>IF(D2162="","",VLOOKUP(D2162,'General Basis'!$J$39:$K$46,2,0))</f>
        <v/>
      </c>
      <c r="BF2162" s="744" t="str">
        <f>IF(D2162="","",VLOOKUP(D2162,'General Basis'!$J$39:$L$46,3,0))</f>
        <v/>
      </c>
      <c r="BG2162" s="744" t="str">
        <f t="shared" si="759"/>
        <v/>
      </c>
      <c r="BH2162" s="744" t="str">
        <f>IF(G2162="","",IF(BF2162="Abu Dhabi",IF(G2162&lt;18,'General Basis'!$C$39,IF(G2162&lt;41,'General Basis'!$C$40,IF(G2162&lt;60,'General Basis'!$C$41,IF(G2162&lt;65,'General Basis'!$C$42,'General Basis'!$C$43)))),IF(G2162&lt;11,'General Basis'!$B$39,IF(G2162&lt;18,'General Basis'!$B$40,IF(G2162&lt;26,'General Basis'!$B$41,IF(G2162&lt;31,'General Basis'!$B$42,IF(G2162&lt;36,'General Basis'!$B$43,IF(G2162&lt;41,'General Basis'!$B$44,IF(G2162&lt;46,'General Basis'!$B$45,IF(G2162&lt;51,'General Basis'!$B$46,IF(G2162&lt;56,'General Basis'!$B$47,IF(G2162&lt;60,'General Basis'!$B$48,IF(G2162&lt;65,'General Basis'!$B$49,'General Basis'!$B$50)))))))))))))</f>
        <v/>
      </c>
      <c r="BI2162" s="744" t="str">
        <f t="shared" si="753"/>
        <v/>
      </c>
      <c r="BJ2162" s="747" t="str">
        <f t="shared" si="760"/>
        <v/>
      </c>
      <c r="BK2162" s="498" t="str">
        <f t="shared" si="754"/>
        <v/>
      </c>
      <c r="BL2162" s="498" t="str">
        <f t="shared" si="755"/>
        <v/>
      </c>
    </row>
    <row r="2163" spans="1:64" x14ac:dyDescent="0.25">
      <c r="A2163" s="762">
        <f t="shared" si="756"/>
        <v>2158</v>
      </c>
      <c r="B2163" s="229"/>
      <c r="C2163" s="223"/>
      <c r="D2163" s="224"/>
      <c r="E2163" s="225"/>
      <c r="F2163" s="1036" t="str">
        <f t="shared" si="762"/>
        <v/>
      </c>
      <c r="G2163" s="1037" t="str">
        <f t="shared" si="757"/>
        <v/>
      </c>
      <c r="H2163" s="225"/>
      <c r="I2163" s="1013"/>
      <c r="J2163" s="1013"/>
      <c r="K2163" s="1028"/>
      <c r="L2163" s="1035" t="str">
        <f t="shared" si="761"/>
        <v/>
      </c>
      <c r="S2163" s="498"/>
      <c r="AJ2163" s="498"/>
      <c r="AM2163" s="498">
        <f t="shared" si="742"/>
        <v>0</v>
      </c>
      <c r="AN2163" s="498">
        <f t="shared" si="743"/>
        <v>0</v>
      </c>
      <c r="AO2163" s="498">
        <f t="shared" si="744"/>
        <v>0</v>
      </c>
      <c r="AP2163" s="498">
        <f t="shared" si="763"/>
        <v>0</v>
      </c>
      <c r="AQ2163" s="498">
        <f t="shared" si="758"/>
        <v>0</v>
      </c>
      <c r="AU2163" s="498">
        <f t="shared" si="745"/>
        <v>0</v>
      </c>
      <c r="AV2163" s="498">
        <f t="shared" si="746"/>
        <v>0</v>
      </c>
      <c r="AW2163" s="498">
        <f t="shared" si="747"/>
        <v>0</v>
      </c>
      <c r="AX2163" s="498">
        <f t="shared" si="748"/>
        <v>0</v>
      </c>
      <c r="AY2163" s="498">
        <f t="shared" si="749"/>
        <v>0</v>
      </c>
      <c r="BB2163" s="498" t="str">
        <f t="shared" si="750"/>
        <v/>
      </c>
      <c r="BC2163" s="743" t="str">
        <f t="shared" si="751"/>
        <v/>
      </c>
      <c r="BD2163" s="743" t="str">
        <f t="shared" si="752"/>
        <v/>
      </c>
      <c r="BE2163" s="743" t="str">
        <f>IF(D2163="","",VLOOKUP(D2163,'General Basis'!$J$39:$K$46,2,0))</f>
        <v/>
      </c>
      <c r="BF2163" s="744" t="str">
        <f>IF(D2163="","",VLOOKUP(D2163,'General Basis'!$J$39:$L$46,3,0))</f>
        <v/>
      </c>
      <c r="BG2163" s="744" t="str">
        <f t="shared" si="759"/>
        <v/>
      </c>
      <c r="BH2163" s="744" t="str">
        <f>IF(G2163="","",IF(BF2163="Abu Dhabi",IF(G2163&lt;18,'General Basis'!$C$39,IF(G2163&lt;41,'General Basis'!$C$40,IF(G2163&lt;60,'General Basis'!$C$41,IF(G2163&lt;65,'General Basis'!$C$42,'General Basis'!$C$43)))),IF(G2163&lt;11,'General Basis'!$B$39,IF(G2163&lt;18,'General Basis'!$B$40,IF(G2163&lt;26,'General Basis'!$B$41,IF(G2163&lt;31,'General Basis'!$B$42,IF(G2163&lt;36,'General Basis'!$B$43,IF(G2163&lt;41,'General Basis'!$B$44,IF(G2163&lt;46,'General Basis'!$B$45,IF(G2163&lt;51,'General Basis'!$B$46,IF(G2163&lt;56,'General Basis'!$B$47,IF(G2163&lt;60,'General Basis'!$B$48,IF(G2163&lt;65,'General Basis'!$B$49,'General Basis'!$B$50)))))))))))))</f>
        <v/>
      </c>
      <c r="BI2163" s="744" t="str">
        <f t="shared" si="753"/>
        <v/>
      </c>
      <c r="BJ2163" s="747" t="str">
        <f t="shared" si="760"/>
        <v/>
      </c>
      <c r="BK2163" s="498" t="str">
        <f t="shared" si="754"/>
        <v/>
      </c>
      <c r="BL2163" s="498" t="str">
        <f t="shared" si="755"/>
        <v/>
      </c>
    </row>
    <row r="2164" spans="1:64" x14ac:dyDescent="0.25">
      <c r="A2164" s="762">
        <f t="shared" si="756"/>
        <v>2159</v>
      </c>
      <c r="B2164" s="229"/>
      <c r="C2164" s="223"/>
      <c r="D2164" s="224"/>
      <c r="E2164" s="225"/>
      <c r="F2164" s="1036" t="str">
        <f t="shared" si="762"/>
        <v/>
      </c>
      <c r="G2164" s="1037" t="str">
        <f t="shared" si="757"/>
        <v/>
      </c>
      <c r="H2164" s="225"/>
      <c r="I2164" s="1013"/>
      <c r="J2164" s="1013"/>
      <c r="K2164" s="1028"/>
      <c r="L2164" s="1035" t="str">
        <f t="shared" si="761"/>
        <v/>
      </c>
      <c r="S2164" s="498"/>
      <c r="AJ2164" s="498"/>
      <c r="AM2164" s="498">
        <f t="shared" si="742"/>
        <v>0</v>
      </c>
      <c r="AN2164" s="498">
        <f t="shared" si="743"/>
        <v>0</v>
      </c>
      <c r="AO2164" s="498">
        <f t="shared" si="744"/>
        <v>0</v>
      </c>
      <c r="AP2164" s="498">
        <f t="shared" si="763"/>
        <v>0</v>
      </c>
      <c r="AQ2164" s="498">
        <f t="shared" si="758"/>
        <v>0</v>
      </c>
      <c r="AU2164" s="498">
        <f t="shared" si="745"/>
        <v>0</v>
      </c>
      <c r="AV2164" s="498">
        <f t="shared" si="746"/>
        <v>0</v>
      </c>
      <c r="AW2164" s="498">
        <f t="shared" si="747"/>
        <v>0</v>
      </c>
      <c r="AX2164" s="498">
        <f t="shared" si="748"/>
        <v>0</v>
      </c>
      <c r="AY2164" s="498">
        <f t="shared" si="749"/>
        <v>0</v>
      </c>
      <c r="BB2164" s="498" t="str">
        <f t="shared" si="750"/>
        <v/>
      </c>
      <c r="BC2164" s="743" t="str">
        <f t="shared" si="751"/>
        <v/>
      </c>
      <c r="BD2164" s="743" t="str">
        <f t="shared" si="752"/>
        <v/>
      </c>
      <c r="BE2164" s="743" t="str">
        <f>IF(D2164="","",VLOOKUP(D2164,'General Basis'!$J$39:$K$46,2,0))</f>
        <v/>
      </c>
      <c r="BF2164" s="744" t="str">
        <f>IF(D2164="","",VLOOKUP(D2164,'General Basis'!$J$39:$L$46,3,0))</f>
        <v/>
      </c>
      <c r="BG2164" s="744" t="str">
        <f t="shared" si="759"/>
        <v/>
      </c>
      <c r="BH2164" s="744" t="str">
        <f>IF(G2164="","",IF(BF2164="Abu Dhabi",IF(G2164&lt;18,'General Basis'!$C$39,IF(G2164&lt;41,'General Basis'!$C$40,IF(G2164&lt;60,'General Basis'!$C$41,IF(G2164&lt;65,'General Basis'!$C$42,'General Basis'!$C$43)))),IF(G2164&lt;11,'General Basis'!$B$39,IF(G2164&lt;18,'General Basis'!$B$40,IF(G2164&lt;26,'General Basis'!$B$41,IF(G2164&lt;31,'General Basis'!$B$42,IF(G2164&lt;36,'General Basis'!$B$43,IF(G2164&lt;41,'General Basis'!$B$44,IF(G2164&lt;46,'General Basis'!$B$45,IF(G2164&lt;51,'General Basis'!$B$46,IF(G2164&lt;56,'General Basis'!$B$47,IF(G2164&lt;60,'General Basis'!$B$48,IF(G2164&lt;65,'General Basis'!$B$49,'General Basis'!$B$50)))))))))))))</f>
        <v/>
      </c>
      <c r="BI2164" s="744" t="str">
        <f t="shared" si="753"/>
        <v/>
      </c>
      <c r="BJ2164" s="747" t="str">
        <f t="shared" si="760"/>
        <v/>
      </c>
      <c r="BK2164" s="498" t="str">
        <f t="shared" si="754"/>
        <v/>
      </c>
      <c r="BL2164" s="498" t="str">
        <f t="shared" si="755"/>
        <v/>
      </c>
    </row>
    <row r="2165" spans="1:64" x14ac:dyDescent="0.25">
      <c r="A2165" s="762">
        <f t="shared" si="756"/>
        <v>2160</v>
      </c>
      <c r="B2165" s="229"/>
      <c r="C2165" s="223"/>
      <c r="D2165" s="224"/>
      <c r="E2165" s="225"/>
      <c r="F2165" s="1036" t="str">
        <f t="shared" si="762"/>
        <v/>
      </c>
      <c r="G2165" s="1037" t="str">
        <f t="shared" si="757"/>
        <v/>
      </c>
      <c r="H2165" s="225"/>
      <c r="I2165" s="1013"/>
      <c r="J2165" s="1013"/>
      <c r="K2165" s="1028"/>
      <c r="L2165" s="1035" t="str">
        <f t="shared" si="761"/>
        <v/>
      </c>
      <c r="S2165" s="498"/>
      <c r="AJ2165" s="498"/>
      <c r="AM2165" s="498">
        <f t="shared" si="742"/>
        <v>0</v>
      </c>
      <c r="AN2165" s="498">
        <f t="shared" si="743"/>
        <v>0</v>
      </c>
      <c r="AO2165" s="498">
        <f t="shared" si="744"/>
        <v>0</v>
      </c>
      <c r="AP2165" s="498">
        <f t="shared" si="763"/>
        <v>0</v>
      </c>
      <c r="AQ2165" s="498">
        <f t="shared" si="758"/>
        <v>0</v>
      </c>
      <c r="AU2165" s="498">
        <f t="shared" si="745"/>
        <v>0</v>
      </c>
      <c r="AV2165" s="498">
        <f t="shared" si="746"/>
        <v>0</v>
      </c>
      <c r="AW2165" s="498">
        <f t="shared" si="747"/>
        <v>0</v>
      </c>
      <c r="AX2165" s="498">
        <f t="shared" si="748"/>
        <v>0</v>
      </c>
      <c r="AY2165" s="498">
        <f t="shared" si="749"/>
        <v>0</v>
      </c>
      <c r="BB2165" s="498" t="str">
        <f t="shared" si="750"/>
        <v/>
      </c>
      <c r="BC2165" s="743" t="str">
        <f t="shared" si="751"/>
        <v/>
      </c>
      <c r="BD2165" s="743" t="str">
        <f t="shared" si="752"/>
        <v/>
      </c>
      <c r="BE2165" s="743" t="str">
        <f>IF(D2165="","",VLOOKUP(D2165,'General Basis'!$J$39:$K$46,2,0))</f>
        <v/>
      </c>
      <c r="BF2165" s="744" t="str">
        <f>IF(D2165="","",VLOOKUP(D2165,'General Basis'!$J$39:$L$46,3,0))</f>
        <v/>
      </c>
      <c r="BG2165" s="744" t="str">
        <f t="shared" si="759"/>
        <v/>
      </c>
      <c r="BH2165" s="744" t="str">
        <f>IF(G2165="","",IF(BF2165="Abu Dhabi",IF(G2165&lt;18,'General Basis'!$C$39,IF(G2165&lt;41,'General Basis'!$C$40,IF(G2165&lt;60,'General Basis'!$C$41,IF(G2165&lt;65,'General Basis'!$C$42,'General Basis'!$C$43)))),IF(G2165&lt;11,'General Basis'!$B$39,IF(G2165&lt;18,'General Basis'!$B$40,IF(G2165&lt;26,'General Basis'!$B$41,IF(G2165&lt;31,'General Basis'!$B$42,IF(G2165&lt;36,'General Basis'!$B$43,IF(G2165&lt;41,'General Basis'!$B$44,IF(G2165&lt;46,'General Basis'!$B$45,IF(G2165&lt;51,'General Basis'!$B$46,IF(G2165&lt;56,'General Basis'!$B$47,IF(G2165&lt;60,'General Basis'!$B$48,IF(G2165&lt;65,'General Basis'!$B$49,'General Basis'!$B$50)))))))))))))</f>
        <v/>
      </c>
      <c r="BI2165" s="744" t="str">
        <f t="shared" si="753"/>
        <v/>
      </c>
      <c r="BJ2165" s="747" t="str">
        <f t="shared" si="760"/>
        <v/>
      </c>
      <c r="BK2165" s="498" t="str">
        <f t="shared" si="754"/>
        <v/>
      </c>
      <c r="BL2165" s="498" t="str">
        <f t="shared" si="755"/>
        <v/>
      </c>
    </row>
    <row r="2166" spans="1:64" x14ac:dyDescent="0.25">
      <c r="A2166" s="762">
        <f t="shared" si="756"/>
        <v>2161</v>
      </c>
      <c r="B2166" s="229"/>
      <c r="C2166" s="223"/>
      <c r="D2166" s="224"/>
      <c r="E2166" s="225"/>
      <c r="F2166" s="1036" t="str">
        <f t="shared" si="762"/>
        <v/>
      </c>
      <c r="G2166" s="1037" t="str">
        <f t="shared" si="757"/>
        <v/>
      </c>
      <c r="H2166" s="225"/>
      <c r="I2166" s="1013"/>
      <c r="J2166" s="1013"/>
      <c r="K2166" s="1028"/>
      <c r="L2166" s="1035" t="str">
        <f t="shared" si="761"/>
        <v/>
      </c>
      <c r="S2166" s="498"/>
      <c r="AJ2166" s="498"/>
      <c r="AM2166" s="498">
        <f t="shared" si="742"/>
        <v>0</v>
      </c>
      <c r="AN2166" s="498">
        <f t="shared" si="743"/>
        <v>0</v>
      </c>
      <c r="AO2166" s="498">
        <f t="shared" si="744"/>
        <v>0</v>
      </c>
      <c r="AP2166" s="498">
        <f t="shared" si="763"/>
        <v>0</v>
      </c>
      <c r="AQ2166" s="498">
        <f t="shared" si="758"/>
        <v>0</v>
      </c>
      <c r="AU2166" s="498">
        <f t="shared" si="745"/>
        <v>0</v>
      </c>
      <c r="AV2166" s="498">
        <f t="shared" si="746"/>
        <v>0</v>
      </c>
      <c r="AW2166" s="498">
        <f t="shared" si="747"/>
        <v>0</v>
      </c>
      <c r="AX2166" s="498">
        <f t="shared" si="748"/>
        <v>0</v>
      </c>
      <c r="AY2166" s="498">
        <f t="shared" si="749"/>
        <v>0</v>
      </c>
      <c r="BB2166" s="498" t="str">
        <f t="shared" si="750"/>
        <v/>
      </c>
      <c r="BC2166" s="743" t="str">
        <f t="shared" si="751"/>
        <v/>
      </c>
      <c r="BD2166" s="743" t="str">
        <f t="shared" si="752"/>
        <v/>
      </c>
      <c r="BE2166" s="743" t="str">
        <f>IF(D2166="","",VLOOKUP(D2166,'General Basis'!$J$39:$K$46,2,0))</f>
        <v/>
      </c>
      <c r="BF2166" s="744" t="str">
        <f>IF(D2166="","",VLOOKUP(D2166,'General Basis'!$J$39:$L$46,3,0))</f>
        <v/>
      </c>
      <c r="BG2166" s="744" t="str">
        <f t="shared" si="759"/>
        <v/>
      </c>
      <c r="BH2166" s="744" t="str">
        <f>IF(G2166="","",IF(BF2166="Abu Dhabi",IF(G2166&lt;18,'General Basis'!$C$39,IF(G2166&lt;41,'General Basis'!$C$40,IF(G2166&lt;60,'General Basis'!$C$41,IF(G2166&lt;65,'General Basis'!$C$42,'General Basis'!$C$43)))),IF(G2166&lt;11,'General Basis'!$B$39,IF(G2166&lt;18,'General Basis'!$B$40,IF(G2166&lt;26,'General Basis'!$B$41,IF(G2166&lt;31,'General Basis'!$B$42,IF(G2166&lt;36,'General Basis'!$B$43,IF(G2166&lt;41,'General Basis'!$B$44,IF(G2166&lt;46,'General Basis'!$B$45,IF(G2166&lt;51,'General Basis'!$B$46,IF(G2166&lt;56,'General Basis'!$B$47,IF(G2166&lt;60,'General Basis'!$B$48,IF(G2166&lt;65,'General Basis'!$B$49,'General Basis'!$B$50)))))))))))))</f>
        <v/>
      </c>
      <c r="BI2166" s="744" t="str">
        <f t="shared" si="753"/>
        <v/>
      </c>
      <c r="BJ2166" s="747" t="str">
        <f t="shared" si="760"/>
        <v/>
      </c>
      <c r="BK2166" s="498" t="str">
        <f t="shared" si="754"/>
        <v/>
      </c>
      <c r="BL2166" s="498" t="str">
        <f t="shared" si="755"/>
        <v/>
      </c>
    </row>
    <row r="2167" spans="1:64" x14ac:dyDescent="0.25">
      <c r="A2167" s="762">
        <f t="shared" si="756"/>
        <v>2162</v>
      </c>
      <c r="B2167" s="229"/>
      <c r="C2167" s="223"/>
      <c r="D2167" s="224"/>
      <c r="E2167" s="225"/>
      <c r="F2167" s="1036" t="str">
        <f t="shared" si="762"/>
        <v/>
      </c>
      <c r="G2167" s="1037" t="str">
        <f t="shared" si="757"/>
        <v/>
      </c>
      <c r="H2167" s="225"/>
      <c r="I2167" s="1013"/>
      <c r="J2167" s="1013"/>
      <c r="K2167" s="1028"/>
      <c r="L2167" s="1035" t="str">
        <f t="shared" si="761"/>
        <v/>
      </c>
      <c r="S2167" s="498"/>
      <c r="AJ2167" s="498"/>
      <c r="AM2167" s="498">
        <f t="shared" si="742"/>
        <v>0</v>
      </c>
      <c r="AN2167" s="498">
        <f t="shared" si="743"/>
        <v>0</v>
      </c>
      <c r="AO2167" s="498">
        <f t="shared" si="744"/>
        <v>0</v>
      </c>
      <c r="AP2167" s="498">
        <f t="shared" si="763"/>
        <v>0</v>
      </c>
      <c r="AQ2167" s="498">
        <f t="shared" si="758"/>
        <v>0</v>
      </c>
      <c r="AU2167" s="498">
        <f t="shared" si="745"/>
        <v>0</v>
      </c>
      <c r="AV2167" s="498">
        <f t="shared" si="746"/>
        <v>0</v>
      </c>
      <c r="AW2167" s="498">
        <f t="shared" si="747"/>
        <v>0</v>
      </c>
      <c r="AX2167" s="498">
        <f t="shared" si="748"/>
        <v>0</v>
      </c>
      <c r="AY2167" s="498">
        <f t="shared" si="749"/>
        <v>0</v>
      </c>
      <c r="BB2167" s="498" t="str">
        <f t="shared" si="750"/>
        <v/>
      </c>
      <c r="BC2167" s="743" t="str">
        <f t="shared" si="751"/>
        <v/>
      </c>
      <c r="BD2167" s="743" t="str">
        <f t="shared" si="752"/>
        <v/>
      </c>
      <c r="BE2167" s="743" t="str">
        <f>IF(D2167="","",VLOOKUP(D2167,'General Basis'!$J$39:$K$46,2,0))</f>
        <v/>
      </c>
      <c r="BF2167" s="744" t="str">
        <f>IF(D2167="","",VLOOKUP(D2167,'General Basis'!$J$39:$L$46,3,0))</f>
        <v/>
      </c>
      <c r="BG2167" s="744" t="str">
        <f t="shared" si="759"/>
        <v/>
      </c>
      <c r="BH2167" s="744" t="str">
        <f>IF(G2167="","",IF(BF2167="Abu Dhabi",IF(G2167&lt;18,'General Basis'!$C$39,IF(G2167&lt;41,'General Basis'!$C$40,IF(G2167&lt;60,'General Basis'!$C$41,IF(G2167&lt;65,'General Basis'!$C$42,'General Basis'!$C$43)))),IF(G2167&lt;11,'General Basis'!$B$39,IF(G2167&lt;18,'General Basis'!$B$40,IF(G2167&lt;26,'General Basis'!$B$41,IF(G2167&lt;31,'General Basis'!$B$42,IF(G2167&lt;36,'General Basis'!$B$43,IF(G2167&lt;41,'General Basis'!$B$44,IF(G2167&lt;46,'General Basis'!$B$45,IF(G2167&lt;51,'General Basis'!$B$46,IF(G2167&lt;56,'General Basis'!$B$47,IF(G2167&lt;60,'General Basis'!$B$48,IF(G2167&lt;65,'General Basis'!$B$49,'General Basis'!$B$50)))))))))))))</f>
        <v/>
      </c>
      <c r="BI2167" s="744" t="str">
        <f t="shared" si="753"/>
        <v/>
      </c>
      <c r="BJ2167" s="747" t="str">
        <f t="shared" si="760"/>
        <v/>
      </c>
      <c r="BK2167" s="498" t="str">
        <f t="shared" si="754"/>
        <v/>
      </c>
      <c r="BL2167" s="498" t="str">
        <f t="shared" si="755"/>
        <v/>
      </c>
    </row>
    <row r="2168" spans="1:64" x14ac:dyDescent="0.25">
      <c r="A2168" s="762">
        <f t="shared" si="756"/>
        <v>2163</v>
      </c>
      <c r="B2168" s="229"/>
      <c r="C2168" s="223"/>
      <c r="D2168" s="224"/>
      <c r="E2168" s="225"/>
      <c r="F2168" s="1036" t="str">
        <f t="shared" si="762"/>
        <v/>
      </c>
      <c r="G2168" s="1037" t="str">
        <f t="shared" si="757"/>
        <v/>
      </c>
      <c r="H2168" s="225"/>
      <c r="I2168" s="1013"/>
      <c r="J2168" s="1013"/>
      <c r="K2168" s="1028"/>
      <c r="L2168" s="1035" t="str">
        <f t="shared" si="761"/>
        <v/>
      </c>
      <c r="S2168" s="498"/>
      <c r="AJ2168" s="498"/>
      <c r="AM2168" s="498">
        <f t="shared" si="742"/>
        <v>0</v>
      </c>
      <c r="AN2168" s="498">
        <f t="shared" si="743"/>
        <v>0</v>
      </c>
      <c r="AO2168" s="498">
        <f t="shared" si="744"/>
        <v>0</v>
      </c>
      <c r="AP2168" s="498">
        <f t="shared" si="763"/>
        <v>0</v>
      </c>
      <c r="AQ2168" s="498">
        <f t="shared" si="758"/>
        <v>0</v>
      </c>
      <c r="AU2168" s="498">
        <f t="shared" si="745"/>
        <v>0</v>
      </c>
      <c r="AV2168" s="498">
        <f t="shared" si="746"/>
        <v>0</v>
      </c>
      <c r="AW2168" s="498">
        <f t="shared" si="747"/>
        <v>0</v>
      </c>
      <c r="AX2168" s="498">
        <f t="shared" si="748"/>
        <v>0</v>
      </c>
      <c r="AY2168" s="498">
        <f t="shared" si="749"/>
        <v>0</v>
      </c>
      <c r="BB2168" s="498" t="str">
        <f t="shared" si="750"/>
        <v/>
      </c>
      <c r="BC2168" s="743" t="str">
        <f t="shared" si="751"/>
        <v/>
      </c>
      <c r="BD2168" s="743" t="str">
        <f t="shared" si="752"/>
        <v/>
      </c>
      <c r="BE2168" s="743" t="str">
        <f>IF(D2168="","",VLOOKUP(D2168,'General Basis'!$J$39:$K$46,2,0))</f>
        <v/>
      </c>
      <c r="BF2168" s="744" t="str">
        <f>IF(D2168="","",VLOOKUP(D2168,'General Basis'!$J$39:$L$46,3,0))</f>
        <v/>
      </c>
      <c r="BG2168" s="744" t="str">
        <f t="shared" si="759"/>
        <v/>
      </c>
      <c r="BH2168" s="744" t="str">
        <f>IF(G2168="","",IF(BF2168="Abu Dhabi",IF(G2168&lt;18,'General Basis'!$C$39,IF(G2168&lt;41,'General Basis'!$C$40,IF(G2168&lt;60,'General Basis'!$C$41,IF(G2168&lt;65,'General Basis'!$C$42,'General Basis'!$C$43)))),IF(G2168&lt;11,'General Basis'!$B$39,IF(G2168&lt;18,'General Basis'!$B$40,IF(G2168&lt;26,'General Basis'!$B$41,IF(G2168&lt;31,'General Basis'!$B$42,IF(G2168&lt;36,'General Basis'!$B$43,IF(G2168&lt;41,'General Basis'!$B$44,IF(G2168&lt;46,'General Basis'!$B$45,IF(G2168&lt;51,'General Basis'!$B$46,IF(G2168&lt;56,'General Basis'!$B$47,IF(G2168&lt;60,'General Basis'!$B$48,IF(G2168&lt;65,'General Basis'!$B$49,'General Basis'!$B$50)))))))))))))</f>
        <v/>
      </c>
      <c r="BI2168" s="744" t="str">
        <f t="shared" si="753"/>
        <v/>
      </c>
      <c r="BJ2168" s="747" t="str">
        <f t="shared" si="760"/>
        <v/>
      </c>
      <c r="BK2168" s="498" t="str">
        <f t="shared" si="754"/>
        <v/>
      </c>
      <c r="BL2168" s="498" t="str">
        <f t="shared" si="755"/>
        <v/>
      </c>
    </row>
    <row r="2169" spans="1:64" x14ac:dyDescent="0.25">
      <c r="A2169" s="762">
        <f t="shared" si="756"/>
        <v>2164</v>
      </c>
      <c r="B2169" s="229"/>
      <c r="C2169" s="223"/>
      <c r="D2169" s="224"/>
      <c r="E2169" s="225"/>
      <c r="F2169" s="1036" t="str">
        <f t="shared" si="762"/>
        <v/>
      </c>
      <c r="G2169" s="1037" t="str">
        <f t="shared" si="757"/>
        <v/>
      </c>
      <c r="H2169" s="225"/>
      <c r="I2169" s="1013"/>
      <c r="J2169" s="1013"/>
      <c r="K2169" s="1028"/>
      <c r="L2169" s="1035" t="str">
        <f t="shared" si="761"/>
        <v/>
      </c>
      <c r="S2169" s="498"/>
      <c r="AJ2169" s="498"/>
      <c r="AM2169" s="498">
        <f t="shared" si="742"/>
        <v>0</v>
      </c>
      <c r="AN2169" s="498">
        <f t="shared" si="743"/>
        <v>0</v>
      </c>
      <c r="AO2169" s="498">
        <f t="shared" si="744"/>
        <v>0</v>
      </c>
      <c r="AP2169" s="498">
        <f t="shared" si="763"/>
        <v>0</v>
      </c>
      <c r="AQ2169" s="498">
        <f t="shared" si="758"/>
        <v>0</v>
      </c>
      <c r="AU2169" s="498">
        <f t="shared" si="745"/>
        <v>0</v>
      </c>
      <c r="AV2169" s="498">
        <f t="shared" si="746"/>
        <v>0</v>
      </c>
      <c r="AW2169" s="498">
        <f t="shared" si="747"/>
        <v>0</v>
      </c>
      <c r="AX2169" s="498">
        <f t="shared" si="748"/>
        <v>0</v>
      </c>
      <c r="AY2169" s="498">
        <f t="shared" si="749"/>
        <v>0</v>
      </c>
      <c r="BB2169" s="498" t="str">
        <f t="shared" si="750"/>
        <v/>
      </c>
      <c r="BC2169" s="743" t="str">
        <f t="shared" si="751"/>
        <v/>
      </c>
      <c r="BD2169" s="743" t="str">
        <f t="shared" si="752"/>
        <v/>
      </c>
      <c r="BE2169" s="743" t="str">
        <f>IF(D2169="","",VLOOKUP(D2169,'General Basis'!$J$39:$K$46,2,0))</f>
        <v/>
      </c>
      <c r="BF2169" s="744" t="str">
        <f>IF(D2169="","",VLOOKUP(D2169,'General Basis'!$J$39:$L$46,3,0))</f>
        <v/>
      </c>
      <c r="BG2169" s="744" t="str">
        <f t="shared" si="759"/>
        <v/>
      </c>
      <c r="BH2169" s="744" t="str">
        <f>IF(G2169="","",IF(BF2169="Abu Dhabi",IF(G2169&lt;18,'General Basis'!$C$39,IF(G2169&lt;41,'General Basis'!$C$40,IF(G2169&lt;60,'General Basis'!$C$41,IF(G2169&lt;65,'General Basis'!$C$42,'General Basis'!$C$43)))),IF(G2169&lt;11,'General Basis'!$B$39,IF(G2169&lt;18,'General Basis'!$B$40,IF(G2169&lt;26,'General Basis'!$B$41,IF(G2169&lt;31,'General Basis'!$B$42,IF(G2169&lt;36,'General Basis'!$B$43,IF(G2169&lt;41,'General Basis'!$B$44,IF(G2169&lt;46,'General Basis'!$B$45,IF(G2169&lt;51,'General Basis'!$B$46,IF(G2169&lt;56,'General Basis'!$B$47,IF(G2169&lt;60,'General Basis'!$B$48,IF(G2169&lt;65,'General Basis'!$B$49,'General Basis'!$B$50)))))))))))))</f>
        <v/>
      </c>
      <c r="BI2169" s="744" t="str">
        <f t="shared" si="753"/>
        <v/>
      </c>
      <c r="BJ2169" s="747" t="str">
        <f t="shared" si="760"/>
        <v/>
      </c>
      <c r="BK2169" s="498" t="str">
        <f t="shared" si="754"/>
        <v/>
      </c>
      <c r="BL2169" s="498" t="str">
        <f t="shared" si="755"/>
        <v/>
      </c>
    </row>
    <row r="2170" spans="1:64" x14ac:dyDescent="0.25">
      <c r="A2170" s="762">
        <f t="shared" si="756"/>
        <v>2165</v>
      </c>
      <c r="B2170" s="229"/>
      <c r="C2170" s="223"/>
      <c r="D2170" s="224"/>
      <c r="E2170" s="225"/>
      <c r="F2170" s="1036" t="str">
        <f t="shared" si="762"/>
        <v/>
      </c>
      <c r="G2170" s="1037" t="str">
        <f t="shared" si="757"/>
        <v/>
      </c>
      <c r="H2170" s="225"/>
      <c r="I2170" s="1013"/>
      <c r="J2170" s="1013"/>
      <c r="K2170" s="1028"/>
      <c r="L2170" s="1035" t="str">
        <f t="shared" si="761"/>
        <v/>
      </c>
      <c r="S2170" s="498"/>
      <c r="AJ2170" s="498"/>
      <c r="AM2170" s="498">
        <f t="shared" si="742"/>
        <v>0</v>
      </c>
      <c r="AN2170" s="498">
        <f t="shared" si="743"/>
        <v>0</v>
      </c>
      <c r="AO2170" s="498">
        <f t="shared" si="744"/>
        <v>0</v>
      </c>
      <c r="AP2170" s="498">
        <f t="shared" si="763"/>
        <v>0</v>
      </c>
      <c r="AQ2170" s="498">
        <f t="shared" si="758"/>
        <v>0</v>
      </c>
      <c r="AU2170" s="498">
        <f t="shared" si="745"/>
        <v>0</v>
      </c>
      <c r="AV2170" s="498">
        <f t="shared" si="746"/>
        <v>0</v>
      </c>
      <c r="AW2170" s="498">
        <f t="shared" si="747"/>
        <v>0</v>
      </c>
      <c r="AX2170" s="498">
        <f t="shared" si="748"/>
        <v>0</v>
      </c>
      <c r="AY2170" s="498">
        <f t="shared" si="749"/>
        <v>0</v>
      </c>
      <c r="BB2170" s="498" t="str">
        <f t="shared" si="750"/>
        <v/>
      </c>
      <c r="BC2170" s="743" t="str">
        <f t="shared" si="751"/>
        <v/>
      </c>
      <c r="BD2170" s="743" t="str">
        <f t="shared" si="752"/>
        <v/>
      </c>
      <c r="BE2170" s="743" t="str">
        <f>IF(D2170="","",VLOOKUP(D2170,'General Basis'!$J$39:$K$46,2,0))</f>
        <v/>
      </c>
      <c r="BF2170" s="744" t="str">
        <f>IF(D2170="","",VLOOKUP(D2170,'General Basis'!$J$39:$L$46,3,0))</f>
        <v/>
      </c>
      <c r="BG2170" s="744" t="str">
        <f t="shared" si="759"/>
        <v/>
      </c>
      <c r="BH2170" s="744" t="str">
        <f>IF(G2170="","",IF(BF2170="Abu Dhabi",IF(G2170&lt;18,'General Basis'!$C$39,IF(G2170&lt;41,'General Basis'!$C$40,IF(G2170&lt;60,'General Basis'!$C$41,IF(G2170&lt;65,'General Basis'!$C$42,'General Basis'!$C$43)))),IF(G2170&lt;11,'General Basis'!$B$39,IF(G2170&lt;18,'General Basis'!$B$40,IF(G2170&lt;26,'General Basis'!$B$41,IF(G2170&lt;31,'General Basis'!$B$42,IF(G2170&lt;36,'General Basis'!$B$43,IF(G2170&lt;41,'General Basis'!$B$44,IF(G2170&lt;46,'General Basis'!$B$45,IF(G2170&lt;51,'General Basis'!$B$46,IF(G2170&lt;56,'General Basis'!$B$47,IF(G2170&lt;60,'General Basis'!$B$48,IF(G2170&lt;65,'General Basis'!$B$49,'General Basis'!$B$50)))))))))))))</f>
        <v/>
      </c>
      <c r="BI2170" s="744" t="str">
        <f t="shared" si="753"/>
        <v/>
      </c>
      <c r="BJ2170" s="747" t="str">
        <f t="shared" si="760"/>
        <v/>
      </c>
      <c r="BK2170" s="498" t="str">
        <f t="shared" si="754"/>
        <v/>
      </c>
      <c r="BL2170" s="498" t="str">
        <f t="shared" si="755"/>
        <v/>
      </c>
    </row>
    <row r="2171" spans="1:64" x14ac:dyDescent="0.25">
      <c r="A2171" s="762">
        <f t="shared" si="756"/>
        <v>2166</v>
      </c>
      <c r="B2171" s="229"/>
      <c r="C2171" s="223"/>
      <c r="D2171" s="224"/>
      <c r="E2171" s="225"/>
      <c r="F2171" s="1036" t="str">
        <f t="shared" si="762"/>
        <v/>
      </c>
      <c r="G2171" s="1037" t="str">
        <f t="shared" si="757"/>
        <v/>
      </c>
      <c r="H2171" s="225"/>
      <c r="I2171" s="1013"/>
      <c r="J2171" s="1013"/>
      <c r="K2171" s="1028"/>
      <c r="L2171" s="1035" t="str">
        <f t="shared" si="761"/>
        <v/>
      </c>
      <c r="S2171" s="498"/>
      <c r="AJ2171" s="498"/>
      <c r="AM2171" s="498">
        <f t="shared" si="742"/>
        <v>0</v>
      </c>
      <c r="AN2171" s="498">
        <f t="shared" si="743"/>
        <v>0</v>
      </c>
      <c r="AO2171" s="498">
        <f t="shared" si="744"/>
        <v>0</v>
      </c>
      <c r="AP2171" s="498">
        <f t="shared" si="763"/>
        <v>0</v>
      </c>
      <c r="AQ2171" s="498">
        <f t="shared" si="758"/>
        <v>0</v>
      </c>
      <c r="AU2171" s="498">
        <f t="shared" si="745"/>
        <v>0</v>
      </c>
      <c r="AV2171" s="498">
        <f t="shared" si="746"/>
        <v>0</v>
      </c>
      <c r="AW2171" s="498">
        <f t="shared" si="747"/>
        <v>0</v>
      </c>
      <c r="AX2171" s="498">
        <f t="shared" si="748"/>
        <v>0</v>
      </c>
      <c r="AY2171" s="498">
        <f t="shared" si="749"/>
        <v>0</v>
      </c>
      <c r="BB2171" s="498" t="str">
        <f t="shared" si="750"/>
        <v/>
      </c>
      <c r="BC2171" s="743" t="str">
        <f t="shared" si="751"/>
        <v/>
      </c>
      <c r="BD2171" s="743" t="str">
        <f t="shared" si="752"/>
        <v/>
      </c>
      <c r="BE2171" s="743" t="str">
        <f>IF(D2171="","",VLOOKUP(D2171,'General Basis'!$J$39:$K$46,2,0))</f>
        <v/>
      </c>
      <c r="BF2171" s="744" t="str">
        <f>IF(D2171="","",VLOOKUP(D2171,'General Basis'!$J$39:$L$46,3,0))</f>
        <v/>
      </c>
      <c r="BG2171" s="744" t="str">
        <f t="shared" si="759"/>
        <v/>
      </c>
      <c r="BH2171" s="744" t="str">
        <f>IF(G2171="","",IF(BF2171="Abu Dhabi",IF(G2171&lt;18,'General Basis'!$C$39,IF(G2171&lt;41,'General Basis'!$C$40,IF(G2171&lt;60,'General Basis'!$C$41,IF(G2171&lt;65,'General Basis'!$C$42,'General Basis'!$C$43)))),IF(G2171&lt;11,'General Basis'!$B$39,IF(G2171&lt;18,'General Basis'!$B$40,IF(G2171&lt;26,'General Basis'!$B$41,IF(G2171&lt;31,'General Basis'!$B$42,IF(G2171&lt;36,'General Basis'!$B$43,IF(G2171&lt;41,'General Basis'!$B$44,IF(G2171&lt;46,'General Basis'!$B$45,IF(G2171&lt;51,'General Basis'!$B$46,IF(G2171&lt;56,'General Basis'!$B$47,IF(G2171&lt;60,'General Basis'!$B$48,IF(G2171&lt;65,'General Basis'!$B$49,'General Basis'!$B$50)))))))))))))</f>
        <v/>
      </c>
      <c r="BI2171" s="744" t="str">
        <f t="shared" si="753"/>
        <v/>
      </c>
      <c r="BJ2171" s="747" t="str">
        <f t="shared" si="760"/>
        <v/>
      </c>
      <c r="BK2171" s="498" t="str">
        <f t="shared" si="754"/>
        <v/>
      </c>
      <c r="BL2171" s="498" t="str">
        <f t="shared" si="755"/>
        <v/>
      </c>
    </row>
    <row r="2172" spans="1:64" x14ac:dyDescent="0.25">
      <c r="A2172" s="762">
        <f t="shared" si="756"/>
        <v>2167</v>
      </c>
      <c r="B2172" s="229"/>
      <c r="C2172" s="223"/>
      <c r="D2172" s="224"/>
      <c r="E2172" s="225"/>
      <c r="F2172" s="1036" t="str">
        <f t="shared" si="762"/>
        <v/>
      </c>
      <c r="G2172" s="1037" t="str">
        <f t="shared" si="757"/>
        <v/>
      </c>
      <c r="H2172" s="225"/>
      <c r="I2172" s="1013"/>
      <c r="J2172" s="1013"/>
      <c r="K2172" s="1028"/>
      <c r="L2172" s="1035" t="str">
        <f t="shared" si="761"/>
        <v/>
      </c>
      <c r="S2172" s="498"/>
      <c r="AJ2172" s="498"/>
      <c r="AM2172" s="498">
        <f t="shared" si="742"/>
        <v>0</v>
      </c>
      <c r="AN2172" s="498">
        <f t="shared" si="743"/>
        <v>0</v>
      </c>
      <c r="AO2172" s="498">
        <f t="shared" si="744"/>
        <v>0</v>
      </c>
      <c r="AP2172" s="498">
        <f t="shared" si="763"/>
        <v>0</v>
      </c>
      <c r="AQ2172" s="498">
        <f t="shared" si="758"/>
        <v>0</v>
      </c>
      <c r="AU2172" s="498">
        <f t="shared" si="745"/>
        <v>0</v>
      </c>
      <c r="AV2172" s="498">
        <f t="shared" si="746"/>
        <v>0</v>
      </c>
      <c r="AW2172" s="498">
        <f t="shared" si="747"/>
        <v>0</v>
      </c>
      <c r="AX2172" s="498">
        <f t="shared" si="748"/>
        <v>0</v>
      </c>
      <c r="AY2172" s="498">
        <f t="shared" si="749"/>
        <v>0</v>
      </c>
      <c r="BB2172" s="498" t="str">
        <f t="shared" si="750"/>
        <v/>
      </c>
      <c r="BC2172" s="743" t="str">
        <f t="shared" si="751"/>
        <v/>
      </c>
      <c r="BD2172" s="743" t="str">
        <f t="shared" si="752"/>
        <v/>
      </c>
      <c r="BE2172" s="743" t="str">
        <f>IF(D2172="","",VLOOKUP(D2172,'General Basis'!$J$39:$K$46,2,0))</f>
        <v/>
      </c>
      <c r="BF2172" s="744" t="str">
        <f>IF(D2172="","",VLOOKUP(D2172,'General Basis'!$J$39:$L$46,3,0))</f>
        <v/>
      </c>
      <c r="BG2172" s="744" t="str">
        <f t="shared" si="759"/>
        <v/>
      </c>
      <c r="BH2172" s="744" t="str">
        <f>IF(G2172="","",IF(BF2172="Abu Dhabi",IF(G2172&lt;18,'General Basis'!$C$39,IF(G2172&lt;41,'General Basis'!$C$40,IF(G2172&lt;60,'General Basis'!$C$41,IF(G2172&lt;65,'General Basis'!$C$42,'General Basis'!$C$43)))),IF(G2172&lt;11,'General Basis'!$B$39,IF(G2172&lt;18,'General Basis'!$B$40,IF(G2172&lt;26,'General Basis'!$B$41,IF(G2172&lt;31,'General Basis'!$B$42,IF(G2172&lt;36,'General Basis'!$B$43,IF(G2172&lt;41,'General Basis'!$B$44,IF(G2172&lt;46,'General Basis'!$B$45,IF(G2172&lt;51,'General Basis'!$B$46,IF(G2172&lt;56,'General Basis'!$B$47,IF(G2172&lt;60,'General Basis'!$B$48,IF(G2172&lt;65,'General Basis'!$B$49,'General Basis'!$B$50)))))))))))))</f>
        <v/>
      </c>
      <c r="BI2172" s="744" t="str">
        <f t="shared" si="753"/>
        <v/>
      </c>
      <c r="BJ2172" s="747" t="str">
        <f t="shared" si="760"/>
        <v/>
      </c>
      <c r="BK2172" s="498" t="str">
        <f t="shared" si="754"/>
        <v/>
      </c>
      <c r="BL2172" s="498" t="str">
        <f t="shared" si="755"/>
        <v/>
      </c>
    </row>
    <row r="2173" spans="1:64" x14ac:dyDescent="0.25">
      <c r="A2173" s="762">
        <f t="shared" si="756"/>
        <v>2168</v>
      </c>
      <c r="B2173" s="229"/>
      <c r="C2173" s="223"/>
      <c r="D2173" s="224"/>
      <c r="E2173" s="225"/>
      <c r="F2173" s="1036" t="str">
        <f t="shared" si="762"/>
        <v/>
      </c>
      <c r="G2173" s="1037" t="str">
        <f t="shared" si="757"/>
        <v/>
      </c>
      <c r="H2173" s="225"/>
      <c r="I2173" s="1013"/>
      <c r="J2173" s="1013"/>
      <c r="K2173" s="1028"/>
      <c r="L2173" s="1035" t="str">
        <f t="shared" si="761"/>
        <v/>
      </c>
      <c r="S2173" s="498"/>
      <c r="AJ2173" s="498"/>
      <c r="AM2173" s="498">
        <f t="shared" si="742"/>
        <v>0</v>
      </c>
      <c r="AN2173" s="498">
        <f t="shared" si="743"/>
        <v>0</v>
      </c>
      <c r="AO2173" s="498">
        <f t="shared" si="744"/>
        <v>0</v>
      </c>
      <c r="AP2173" s="498">
        <f t="shared" si="763"/>
        <v>0</v>
      </c>
      <c r="AQ2173" s="498">
        <f t="shared" si="758"/>
        <v>0</v>
      </c>
      <c r="AU2173" s="498">
        <f t="shared" si="745"/>
        <v>0</v>
      </c>
      <c r="AV2173" s="498">
        <f t="shared" si="746"/>
        <v>0</v>
      </c>
      <c r="AW2173" s="498">
        <f t="shared" si="747"/>
        <v>0</v>
      </c>
      <c r="AX2173" s="498">
        <f t="shared" si="748"/>
        <v>0</v>
      </c>
      <c r="AY2173" s="498">
        <f t="shared" si="749"/>
        <v>0</v>
      </c>
      <c r="BB2173" s="498" t="str">
        <f t="shared" si="750"/>
        <v/>
      </c>
      <c r="BC2173" s="743" t="str">
        <f t="shared" si="751"/>
        <v/>
      </c>
      <c r="BD2173" s="743" t="str">
        <f t="shared" si="752"/>
        <v/>
      </c>
      <c r="BE2173" s="743" t="str">
        <f>IF(D2173="","",VLOOKUP(D2173,'General Basis'!$J$39:$K$46,2,0))</f>
        <v/>
      </c>
      <c r="BF2173" s="744" t="str">
        <f>IF(D2173="","",VLOOKUP(D2173,'General Basis'!$J$39:$L$46,3,0))</f>
        <v/>
      </c>
      <c r="BG2173" s="744" t="str">
        <f t="shared" si="759"/>
        <v/>
      </c>
      <c r="BH2173" s="744" t="str">
        <f>IF(G2173="","",IF(BF2173="Abu Dhabi",IF(G2173&lt;18,'General Basis'!$C$39,IF(G2173&lt;41,'General Basis'!$C$40,IF(G2173&lt;60,'General Basis'!$C$41,IF(G2173&lt;65,'General Basis'!$C$42,'General Basis'!$C$43)))),IF(G2173&lt;11,'General Basis'!$B$39,IF(G2173&lt;18,'General Basis'!$B$40,IF(G2173&lt;26,'General Basis'!$B$41,IF(G2173&lt;31,'General Basis'!$B$42,IF(G2173&lt;36,'General Basis'!$B$43,IF(G2173&lt;41,'General Basis'!$B$44,IF(G2173&lt;46,'General Basis'!$B$45,IF(G2173&lt;51,'General Basis'!$B$46,IF(G2173&lt;56,'General Basis'!$B$47,IF(G2173&lt;60,'General Basis'!$B$48,IF(G2173&lt;65,'General Basis'!$B$49,'General Basis'!$B$50)))))))))))))</f>
        <v/>
      </c>
      <c r="BI2173" s="744" t="str">
        <f t="shared" si="753"/>
        <v/>
      </c>
      <c r="BJ2173" s="747" t="str">
        <f t="shared" si="760"/>
        <v/>
      </c>
      <c r="BK2173" s="498" t="str">
        <f t="shared" si="754"/>
        <v/>
      </c>
      <c r="BL2173" s="498" t="str">
        <f t="shared" si="755"/>
        <v/>
      </c>
    </row>
    <row r="2174" spans="1:64" x14ac:dyDescent="0.25">
      <c r="A2174" s="762">
        <f t="shared" si="756"/>
        <v>2169</v>
      </c>
      <c r="B2174" s="229"/>
      <c r="C2174" s="223"/>
      <c r="D2174" s="224"/>
      <c r="E2174" s="225"/>
      <c r="F2174" s="1036" t="str">
        <f t="shared" si="762"/>
        <v/>
      </c>
      <c r="G2174" s="1037" t="str">
        <f t="shared" si="757"/>
        <v/>
      </c>
      <c r="H2174" s="225"/>
      <c r="I2174" s="1013"/>
      <c r="J2174" s="1013"/>
      <c r="K2174" s="1028"/>
      <c r="L2174" s="1035" t="str">
        <f t="shared" si="761"/>
        <v/>
      </c>
      <c r="S2174" s="498"/>
      <c r="AJ2174" s="498"/>
      <c r="AM2174" s="498">
        <f t="shared" si="742"/>
        <v>0</v>
      </c>
      <c r="AN2174" s="498">
        <f t="shared" si="743"/>
        <v>0</v>
      </c>
      <c r="AO2174" s="498">
        <f t="shared" si="744"/>
        <v>0</v>
      </c>
      <c r="AP2174" s="498">
        <f t="shared" si="763"/>
        <v>0</v>
      </c>
      <c r="AQ2174" s="498">
        <f t="shared" si="758"/>
        <v>0</v>
      </c>
      <c r="AU2174" s="498">
        <f t="shared" si="745"/>
        <v>0</v>
      </c>
      <c r="AV2174" s="498">
        <f t="shared" si="746"/>
        <v>0</v>
      </c>
      <c r="AW2174" s="498">
        <f t="shared" si="747"/>
        <v>0</v>
      </c>
      <c r="AX2174" s="498">
        <f t="shared" si="748"/>
        <v>0</v>
      </c>
      <c r="AY2174" s="498">
        <f t="shared" si="749"/>
        <v>0</v>
      </c>
      <c r="BB2174" s="498" t="str">
        <f t="shared" si="750"/>
        <v/>
      </c>
      <c r="BC2174" s="743" t="str">
        <f t="shared" si="751"/>
        <v/>
      </c>
      <c r="BD2174" s="743" t="str">
        <f t="shared" si="752"/>
        <v/>
      </c>
      <c r="BE2174" s="743" t="str">
        <f>IF(D2174="","",VLOOKUP(D2174,'General Basis'!$J$39:$K$46,2,0))</f>
        <v/>
      </c>
      <c r="BF2174" s="744" t="str">
        <f>IF(D2174="","",VLOOKUP(D2174,'General Basis'!$J$39:$L$46,3,0))</f>
        <v/>
      </c>
      <c r="BG2174" s="744" t="str">
        <f t="shared" si="759"/>
        <v/>
      </c>
      <c r="BH2174" s="744" t="str">
        <f>IF(G2174="","",IF(BF2174="Abu Dhabi",IF(G2174&lt;18,'General Basis'!$C$39,IF(G2174&lt;41,'General Basis'!$C$40,IF(G2174&lt;60,'General Basis'!$C$41,IF(G2174&lt;65,'General Basis'!$C$42,'General Basis'!$C$43)))),IF(G2174&lt;11,'General Basis'!$B$39,IF(G2174&lt;18,'General Basis'!$B$40,IF(G2174&lt;26,'General Basis'!$B$41,IF(G2174&lt;31,'General Basis'!$B$42,IF(G2174&lt;36,'General Basis'!$B$43,IF(G2174&lt;41,'General Basis'!$B$44,IF(G2174&lt;46,'General Basis'!$B$45,IF(G2174&lt;51,'General Basis'!$B$46,IF(G2174&lt;56,'General Basis'!$B$47,IF(G2174&lt;60,'General Basis'!$B$48,IF(G2174&lt;65,'General Basis'!$B$49,'General Basis'!$B$50)))))))))))))</f>
        <v/>
      </c>
      <c r="BI2174" s="744" t="str">
        <f t="shared" si="753"/>
        <v/>
      </c>
      <c r="BJ2174" s="747" t="str">
        <f t="shared" si="760"/>
        <v/>
      </c>
      <c r="BK2174" s="498" t="str">
        <f t="shared" si="754"/>
        <v/>
      </c>
      <c r="BL2174" s="498" t="str">
        <f t="shared" si="755"/>
        <v/>
      </c>
    </row>
    <row r="2175" spans="1:64" x14ac:dyDescent="0.25">
      <c r="A2175" s="762">
        <f t="shared" si="756"/>
        <v>2170</v>
      </c>
      <c r="B2175" s="229"/>
      <c r="C2175" s="223"/>
      <c r="D2175" s="224"/>
      <c r="E2175" s="225"/>
      <c r="F2175" s="1036" t="str">
        <f t="shared" si="762"/>
        <v/>
      </c>
      <c r="G2175" s="1037" t="str">
        <f t="shared" si="757"/>
        <v/>
      </c>
      <c r="H2175" s="225"/>
      <c r="I2175" s="1013"/>
      <c r="J2175" s="1013"/>
      <c r="K2175" s="1028"/>
      <c r="L2175" s="1035" t="str">
        <f t="shared" si="761"/>
        <v/>
      </c>
      <c r="S2175" s="498"/>
      <c r="AJ2175" s="498"/>
      <c r="AM2175" s="498">
        <f t="shared" si="742"/>
        <v>0</v>
      </c>
      <c r="AN2175" s="498">
        <f t="shared" si="743"/>
        <v>0</v>
      </c>
      <c r="AO2175" s="498">
        <f t="shared" si="744"/>
        <v>0</v>
      </c>
      <c r="AP2175" s="498">
        <f t="shared" si="763"/>
        <v>0</v>
      </c>
      <c r="AQ2175" s="498">
        <f t="shared" si="758"/>
        <v>0</v>
      </c>
      <c r="AU2175" s="498">
        <f t="shared" si="745"/>
        <v>0</v>
      </c>
      <c r="AV2175" s="498">
        <f t="shared" si="746"/>
        <v>0</v>
      </c>
      <c r="AW2175" s="498">
        <f t="shared" si="747"/>
        <v>0</v>
      </c>
      <c r="AX2175" s="498">
        <f t="shared" si="748"/>
        <v>0</v>
      </c>
      <c r="AY2175" s="498">
        <f t="shared" si="749"/>
        <v>0</v>
      </c>
      <c r="BB2175" s="498" t="str">
        <f t="shared" si="750"/>
        <v/>
      </c>
      <c r="BC2175" s="743" t="str">
        <f t="shared" si="751"/>
        <v/>
      </c>
      <c r="BD2175" s="743" t="str">
        <f t="shared" si="752"/>
        <v/>
      </c>
      <c r="BE2175" s="743" t="str">
        <f>IF(D2175="","",VLOOKUP(D2175,'General Basis'!$J$39:$K$46,2,0))</f>
        <v/>
      </c>
      <c r="BF2175" s="744" t="str">
        <f>IF(D2175="","",VLOOKUP(D2175,'General Basis'!$J$39:$L$46,3,0))</f>
        <v/>
      </c>
      <c r="BG2175" s="744" t="str">
        <f t="shared" si="759"/>
        <v/>
      </c>
      <c r="BH2175" s="744" t="str">
        <f>IF(G2175="","",IF(BF2175="Abu Dhabi",IF(G2175&lt;18,'General Basis'!$C$39,IF(G2175&lt;41,'General Basis'!$C$40,IF(G2175&lt;60,'General Basis'!$C$41,IF(G2175&lt;65,'General Basis'!$C$42,'General Basis'!$C$43)))),IF(G2175&lt;11,'General Basis'!$B$39,IF(G2175&lt;18,'General Basis'!$B$40,IF(G2175&lt;26,'General Basis'!$B$41,IF(G2175&lt;31,'General Basis'!$B$42,IF(G2175&lt;36,'General Basis'!$B$43,IF(G2175&lt;41,'General Basis'!$B$44,IF(G2175&lt;46,'General Basis'!$B$45,IF(G2175&lt;51,'General Basis'!$B$46,IF(G2175&lt;56,'General Basis'!$B$47,IF(G2175&lt;60,'General Basis'!$B$48,IF(G2175&lt;65,'General Basis'!$B$49,'General Basis'!$B$50)))))))))))))</f>
        <v/>
      </c>
      <c r="BI2175" s="744" t="str">
        <f t="shared" si="753"/>
        <v/>
      </c>
      <c r="BJ2175" s="747" t="str">
        <f t="shared" si="760"/>
        <v/>
      </c>
      <c r="BK2175" s="498" t="str">
        <f t="shared" si="754"/>
        <v/>
      </c>
      <c r="BL2175" s="498" t="str">
        <f t="shared" si="755"/>
        <v/>
      </c>
    </row>
    <row r="2176" spans="1:64" x14ac:dyDescent="0.25">
      <c r="A2176" s="762">
        <f t="shared" si="756"/>
        <v>2171</v>
      </c>
      <c r="B2176" s="229"/>
      <c r="C2176" s="223"/>
      <c r="D2176" s="224"/>
      <c r="E2176" s="225"/>
      <c r="F2176" s="1036" t="str">
        <f t="shared" si="762"/>
        <v/>
      </c>
      <c r="G2176" s="1037" t="str">
        <f t="shared" si="757"/>
        <v/>
      </c>
      <c r="H2176" s="225"/>
      <c r="I2176" s="1013"/>
      <c r="J2176" s="1013"/>
      <c r="K2176" s="1028"/>
      <c r="L2176" s="1035" t="str">
        <f t="shared" si="761"/>
        <v/>
      </c>
      <c r="S2176" s="498"/>
      <c r="AJ2176" s="498"/>
      <c r="AM2176" s="498">
        <f t="shared" si="742"/>
        <v>0</v>
      </c>
      <c r="AN2176" s="498">
        <f t="shared" si="743"/>
        <v>0</v>
      </c>
      <c r="AO2176" s="498">
        <f t="shared" si="744"/>
        <v>0</v>
      </c>
      <c r="AP2176" s="498">
        <f t="shared" si="763"/>
        <v>0</v>
      </c>
      <c r="AQ2176" s="498">
        <f t="shared" si="758"/>
        <v>0</v>
      </c>
      <c r="AU2176" s="498">
        <f t="shared" si="745"/>
        <v>0</v>
      </c>
      <c r="AV2176" s="498">
        <f t="shared" si="746"/>
        <v>0</v>
      </c>
      <c r="AW2176" s="498">
        <f t="shared" si="747"/>
        <v>0</v>
      </c>
      <c r="AX2176" s="498">
        <f t="shared" si="748"/>
        <v>0</v>
      </c>
      <c r="AY2176" s="498">
        <f t="shared" si="749"/>
        <v>0</v>
      </c>
      <c r="BB2176" s="498" t="str">
        <f t="shared" si="750"/>
        <v/>
      </c>
      <c r="BC2176" s="743" t="str">
        <f t="shared" si="751"/>
        <v/>
      </c>
      <c r="BD2176" s="743" t="str">
        <f t="shared" si="752"/>
        <v/>
      </c>
      <c r="BE2176" s="743" t="str">
        <f>IF(D2176="","",VLOOKUP(D2176,'General Basis'!$J$39:$K$46,2,0))</f>
        <v/>
      </c>
      <c r="BF2176" s="744" t="str">
        <f>IF(D2176="","",VLOOKUP(D2176,'General Basis'!$J$39:$L$46,3,0))</f>
        <v/>
      </c>
      <c r="BG2176" s="744" t="str">
        <f t="shared" si="759"/>
        <v/>
      </c>
      <c r="BH2176" s="744" t="str">
        <f>IF(G2176="","",IF(BF2176="Abu Dhabi",IF(G2176&lt;18,'General Basis'!$C$39,IF(G2176&lt;41,'General Basis'!$C$40,IF(G2176&lt;60,'General Basis'!$C$41,IF(G2176&lt;65,'General Basis'!$C$42,'General Basis'!$C$43)))),IF(G2176&lt;11,'General Basis'!$B$39,IF(G2176&lt;18,'General Basis'!$B$40,IF(G2176&lt;26,'General Basis'!$B$41,IF(G2176&lt;31,'General Basis'!$B$42,IF(G2176&lt;36,'General Basis'!$B$43,IF(G2176&lt;41,'General Basis'!$B$44,IF(G2176&lt;46,'General Basis'!$B$45,IF(G2176&lt;51,'General Basis'!$B$46,IF(G2176&lt;56,'General Basis'!$B$47,IF(G2176&lt;60,'General Basis'!$B$48,IF(G2176&lt;65,'General Basis'!$B$49,'General Basis'!$B$50)))))))))))))</f>
        <v/>
      </c>
      <c r="BI2176" s="744" t="str">
        <f t="shared" si="753"/>
        <v/>
      </c>
      <c r="BJ2176" s="747" t="str">
        <f t="shared" si="760"/>
        <v/>
      </c>
      <c r="BK2176" s="498" t="str">
        <f t="shared" si="754"/>
        <v/>
      </c>
      <c r="BL2176" s="498" t="str">
        <f t="shared" si="755"/>
        <v/>
      </c>
    </row>
    <row r="2177" spans="1:64" x14ac:dyDescent="0.25">
      <c r="A2177" s="762">
        <f t="shared" si="756"/>
        <v>2172</v>
      </c>
      <c r="B2177" s="229"/>
      <c r="C2177" s="223"/>
      <c r="D2177" s="224"/>
      <c r="E2177" s="225"/>
      <c r="F2177" s="1036" t="str">
        <f t="shared" si="762"/>
        <v/>
      </c>
      <c r="G2177" s="1037" t="str">
        <f t="shared" si="757"/>
        <v/>
      </c>
      <c r="H2177" s="225"/>
      <c r="I2177" s="1013"/>
      <c r="J2177" s="1013"/>
      <c r="K2177" s="1028"/>
      <c r="L2177" s="1035" t="str">
        <f t="shared" si="761"/>
        <v/>
      </c>
      <c r="S2177" s="498"/>
      <c r="AJ2177" s="498"/>
      <c r="AM2177" s="498">
        <f t="shared" si="742"/>
        <v>0</v>
      </c>
      <c r="AN2177" s="498">
        <f t="shared" si="743"/>
        <v>0</v>
      </c>
      <c r="AO2177" s="498">
        <f t="shared" si="744"/>
        <v>0</v>
      </c>
      <c r="AP2177" s="498">
        <f t="shared" si="763"/>
        <v>0</v>
      </c>
      <c r="AQ2177" s="498">
        <f t="shared" si="758"/>
        <v>0</v>
      </c>
      <c r="AU2177" s="498">
        <f t="shared" si="745"/>
        <v>0</v>
      </c>
      <c r="AV2177" s="498">
        <f t="shared" si="746"/>
        <v>0</v>
      </c>
      <c r="AW2177" s="498">
        <f t="shared" si="747"/>
        <v>0</v>
      </c>
      <c r="AX2177" s="498">
        <f t="shared" si="748"/>
        <v>0</v>
      </c>
      <c r="AY2177" s="498">
        <f t="shared" si="749"/>
        <v>0</v>
      </c>
      <c r="BB2177" s="498" t="str">
        <f t="shared" si="750"/>
        <v/>
      </c>
      <c r="BC2177" s="743" t="str">
        <f t="shared" si="751"/>
        <v/>
      </c>
      <c r="BD2177" s="743" t="str">
        <f t="shared" si="752"/>
        <v/>
      </c>
      <c r="BE2177" s="743" t="str">
        <f>IF(D2177="","",VLOOKUP(D2177,'General Basis'!$J$39:$K$46,2,0))</f>
        <v/>
      </c>
      <c r="BF2177" s="744" t="str">
        <f>IF(D2177="","",VLOOKUP(D2177,'General Basis'!$J$39:$L$46,3,0))</f>
        <v/>
      </c>
      <c r="BG2177" s="744" t="str">
        <f t="shared" si="759"/>
        <v/>
      </c>
      <c r="BH2177" s="744" t="str">
        <f>IF(G2177="","",IF(BF2177="Abu Dhabi",IF(G2177&lt;18,'General Basis'!$C$39,IF(G2177&lt;41,'General Basis'!$C$40,IF(G2177&lt;60,'General Basis'!$C$41,IF(G2177&lt;65,'General Basis'!$C$42,'General Basis'!$C$43)))),IF(G2177&lt;11,'General Basis'!$B$39,IF(G2177&lt;18,'General Basis'!$B$40,IF(G2177&lt;26,'General Basis'!$B$41,IF(G2177&lt;31,'General Basis'!$B$42,IF(G2177&lt;36,'General Basis'!$B$43,IF(G2177&lt;41,'General Basis'!$B$44,IF(G2177&lt;46,'General Basis'!$B$45,IF(G2177&lt;51,'General Basis'!$B$46,IF(G2177&lt;56,'General Basis'!$B$47,IF(G2177&lt;60,'General Basis'!$B$48,IF(G2177&lt;65,'General Basis'!$B$49,'General Basis'!$B$50)))))))))))))</f>
        <v/>
      </c>
      <c r="BI2177" s="744" t="str">
        <f t="shared" si="753"/>
        <v/>
      </c>
      <c r="BJ2177" s="747" t="str">
        <f t="shared" si="760"/>
        <v/>
      </c>
      <c r="BK2177" s="498" t="str">
        <f t="shared" si="754"/>
        <v/>
      </c>
      <c r="BL2177" s="498" t="str">
        <f t="shared" si="755"/>
        <v/>
      </c>
    </row>
    <row r="2178" spans="1:64" x14ac:dyDescent="0.25">
      <c r="A2178" s="762">
        <f t="shared" si="756"/>
        <v>2173</v>
      </c>
      <c r="B2178" s="229"/>
      <c r="C2178" s="223"/>
      <c r="D2178" s="224"/>
      <c r="E2178" s="225"/>
      <c r="F2178" s="1036" t="str">
        <f t="shared" si="762"/>
        <v/>
      </c>
      <c r="G2178" s="1037" t="str">
        <f t="shared" si="757"/>
        <v/>
      </c>
      <c r="H2178" s="225"/>
      <c r="I2178" s="1013"/>
      <c r="J2178" s="1013"/>
      <c r="K2178" s="1028"/>
      <c r="L2178" s="1035" t="str">
        <f t="shared" si="761"/>
        <v/>
      </c>
      <c r="S2178" s="498"/>
      <c r="AJ2178" s="498"/>
      <c r="AM2178" s="498">
        <f t="shared" si="742"/>
        <v>0</v>
      </c>
      <c r="AN2178" s="498">
        <f t="shared" si="743"/>
        <v>0</v>
      </c>
      <c r="AO2178" s="498">
        <f t="shared" si="744"/>
        <v>0</v>
      </c>
      <c r="AP2178" s="498">
        <f t="shared" si="763"/>
        <v>0</v>
      </c>
      <c r="AQ2178" s="498">
        <f t="shared" si="758"/>
        <v>0</v>
      </c>
      <c r="AU2178" s="498">
        <f t="shared" si="745"/>
        <v>0</v>
      </c>
      <c r="AV2178" s="498">
        <f t="shared" si="746"/>
        <v>0</v>
      </c>
      <c r="AW2178" s="498">
        <f t="shared" si="747"/>
        <v>0</v>
      </c>
      <c r="AX2178" s="498">
        <f t="shared" si="748"/>
        <v>0</v>
      </c>
      <c r="AY2178" s="498">
        <f t="shared" si="749"/>
        <v>0</v>
      </c>
      <c r="BB2178" s="498" t="str">
        <f t="shared" si="750"/>
        <v/>
      </c>
      <c r="BC2178" s="743" t="str">
        <f t="shared" si="751"/>
        <v/>
      </c>
      <c r="BD2178" s="743" t="str">
        <f t="shared" si="752"/>
        <v/>
      </c>
      <c r="BE2178" s="743" t="str">
        <f>IF(D2178="","",VLOOKUP(D2178,'General Basis'!$J$39:$K$46,2,0))</f>
        <v/>
      </c>
      <c r="BF2178" s="744" t="str">
        <f>IF(D2178="","",VLOOKUP(D2178,'General Basis'!$J$39:$L$46,3,0))</f>
        <v/>
      </c>
      <c r="BG2178" s="744" t="str">
        <f t="shared" si="759"/>
        <v/>
      </c>
      <c r="BH2178" s="744" t="str">
        <f>IF(G2178="","",IF(BF2178="Abu Dhabi",IF(G2178&lt;18,'General Basis'!$C$39,IF(G2178&lt;41,'General Basis'!$C$40,IF(G2178&lt;60,'General Basis'!$C$41,IF(G2178&lt;65,'General Basis'!$C$42,'General Basis'!$C$43)))),IF(G2178&lt;11,'General Basis'!$B$39,IF(G2178&lt;18,'General Basis'!$B$40,IF(G2178&lt;26,'General Basis'!$B$41,IF(G2178&lt;31,'General Basis'!$B$42,IF(G2178&lt;36,'General Basis'!$B$43,IF(G2178&lt;41,'General Basis'!$B$44,IF(G2178&lt;46,'General Basis'!$B$45,IF(G2178&lt;51,'General Basis'!$B$46,IF(G2178&lt;56,'General Basis'!$B$47,IF(G2178&lt;60,'General Basis'!$B$48,IF(G2178&lt;65,'General Basis'!$B$49,'General Basis'!$B$50)))))))))))))</f>
        <v/>
      </c>
      <c r="BI2178" s="744" t="str">
        <f t="shared" si="753"/>
        <v/>
      </c>
      <c r="BJ2178" s="747" t="str">
        <f t="shared" si="760"/>
        <v/>
      </c>
      <c r="BK2178" s="498" t="str">
        <f t="shared" si="754"/>
        <v/>
      </c>
      <c r="BL2178" s="498" t="str">
        <f t="shared" si="755"/>
        <v/>
      </c>
    </row>
    <row r="2179" spans="1:64" x14ac:dyDescent="0.25">
      <c r="A2179" s="762">
        <f t="shared" si="756"/>
        <v>2174</v>
      </c>
      <c r="B2179" s="229"/>
      <c r="C2179" s="223"/>
      <c r="D2179" s="224"/>
      <c r="E2179" s="225"/>
      <c r="F2179" s="1036" t="str">
        <f t="shared" si="762"/>
        <v/>
      </c>
      <c r="G2179" s="1037" t="str">
        <f t="shared" si="757"/>
        <v/>
      </c>
      <c r="H2179" s="225"/>
      <c r="I2179" s="1013"/>
      <c r="J2179" s="1013"/>
      <c r="K2179" s="1028"/>
      <c r="L2179" s="1035" t="str">
        <f t="shared" si="761"/>
        <v/>
      </c>
      <c r="S2179" s="498"/>
      <c r="AJ2179" s="498"/>
      <c r="AM2179" s="498">
        <f t="shared" si="742"/>
        <v>0</v>
      </c>
      <c r="AN2179" s="498">
        <f t="shared" si="743"/>
        <v>0</v>
      </c>
      <c r="AO2179" s="498">
        <f t="shared" si="744"/>
        <v>0</v>
      </c>
      <c r="AP2179" s="498">
        <f t="shared" si="763"/>
        <v>0</v>
      </c>
      <c r="AQ2179" s="498">
        <f t="shared" si="758"/>
        <v>0</v>
      </c>
      <c r="AU2179" s="498">
        <f t="shared" si="745"/>
        <v>0</v>
      </c>
      <c r="AV2179" s="498">
        <f t="shared" si="746"/>
        <v>0</v>
      </c>
      <c r="AW2179" s="498">
        <f t="shared" si="747"/>
        <v>0</v>
      </c>
      <c r="AX2179" s="498">
        <f t="shared" si="748"/>
        <v>0</v>
      </c>
      <c r="AY2179" s="498">
        <f t="shared" si="749"/>
        <v>0</v>
      </c>
      <c r="BB2179" s="498" t="str">
        <f t="shared" si="750"/>
        <v/>
      </c>
      <c r="BC2179" s="743" t="str">
        <f t="shared" si="751"/>
        <v/>
      </c>
      <c r="BD2179" s="743" t="str">
        <f t="shared" si="752"/>
        <v/>
      </c>
      <c r="BE2179" s="743" t="str">
        <f>IF(D2179="","",VLOOKUP(D2179,'General Basis'!$J$39:$K$46,2,0))</f>
        <v/>
      </c>
      <c r="BF2179" s="744" t="str">
        <f>IF(D2179="","",VLOOKUP(D2179,'General Basis'!$J$39:$L$46,3,0))</f>
        <v/>
      </c>
      <c r="BG2179" s="744" t="str">
        <f t="shared" si="759"/>
        <v/>
      </c>
      <c r="BH2179" s="744" t="str">
        <f>IF(G2179="","",IF(BF2179="Abu Dhabi",IF(G2179&lt;18,'General Basis'!$C$39,IF(G2179&lt;41,'General Basis'!$C$40,IF(G2179&lt;60,'General Basis'!$C$41,IF(G2179&lt;65,'General Basis'!$C$42,'General Basis'!$C$43)))),IF(G2179&lt;11,'General Basis'!$B$39,IF(G2179&lt;18,'General Basis'!$B$40,IF(G2179&lt;26,'General Basis'!$B$41,IF(G2179&lt;31,'General Basis'!$B$42,IF(G2179&lt;36,'General Basis'!$B$43,IF(G2179&lt;41,'General Basis'!$B$44,IF(G2179&lt;46,'General Basis'!$B$45,IF(G2179&lt;51,'General Basis'!$B$46,IF(G2179&lt;56,'General Basis'!$B$47,IF(G2179&lt;60,'General Basis'!$B$48,IF(G2179&lt;65,'General Basis'!$B$49,'General Basis'!$B$50)))))))))))))</f>
        <v/>
      </c>
      <c r="BI2179" s="744" t="str">
        <f t="shared" si="753"/>
        <v/>
      </c>
      <c r="BJ2179" s="747" t="str">
        <f t="shared" si="760"/>
        <v/>
      </c>
      <c r="BK2179" s="498" t="str">
        <f t="shared" si="754"/>
        <v/>
      </c>
      <c r="BL2179" s="498" t="str">
        <f t="shared" si="755"/>
        <v/>
      </c>
    </row>
    <row r="2180" spans="1:64" x14ac:dyDescent="0.25">
      <c r="A2180" s="762">
        <f t="shared" si="756"/>
        <v>2175</v>
      </c>
      <c r="B2180" s="229"/>
      <c r="C2180" s="223"/>
      <c r="D2180" s="224"/>
      <c r="E2180" s="225"/>
      <c r="F2180" s="1036" t="str">
        <f t="shared" si="762"/>
        <v/>
      </c>
      <c r="G2180" s="1037" t="str">
        <f t="shared" si="757"/>
        <v/>
      </c>
      <c r="H2180" s="225"/>
      <c r="I2180" s="1013"/>
      <c r="J2180" s="1013"/>
      <c r="K2180" s="1028"/>
      <c r="L2180" s="1035" t="str">
        <f t="shared" si="761"/>
        <v/>
      </c>
      <c r="S2180" s="498"/>
      <c r="AJ2180" s="498"/>
      <c r="AM2180" s="498">
        <f t="shared" si="742"/>
        <v>0</v>
      </c>
      <c r="AN2180" s="498">
        <f t="shared" si="743"/>
        <v>0</v>
      </c>
      <c r="AO2180" s="498">
        <f t="shared" si="744"/>
        <v>0</v>
      </c>
      <c r="AP2180" s="498">
        <f t="shared" si="763"/>
        <v>0</v>
      </c>
      <c r="AQ2180" s="498">
        <f t="shared" si="758"/>
        <v>0</v>
      </c>
      <c r="AU2180" s="498">
        <f t="shared" si="745"/>
        <v>0</v>
      </c>
      <c r="AV2180" s="498">
        <f t="shared" si="746"/>
        <v>0</v>
      </c>
      <c r="AW2180" s="498">
        <f t="shared" si="747"/>
        <v>0</v>
      </c>
      <c r="AX2180" s="498">
        <f t="shared" si="748"/>
        <v>0</v>
      </c>
      <c r="AY2180" s="498">
        <f t="shared" si="749"/>
        <v>0</v>
      </c>
      <c r="BB2180" s="498" t="str">
        <f t="shared" si="750"/>
        <v/>
      </c>
      <c r="BC2180" s="743" t="str">
        <f t="shared" si="751"/>
        <v/>
      </c>
      <c r="BD2180" s="743" t="str">
        <f t="shared" si="752"/>
        <v/>
      </c>
      <c r="BE2180" s="743" t="str">
        <f>IF(D2180="","",VLOOKUP(D2180,'General Basis'!$J$39:$K$46,2,0))</f>
        <v/>
      </c>
      <c r="BF2180" s="744" t="str">
        <f>IF(D2180="","",VLOOKUP(D2180,'General Basis'!$J$39:$L$46,3,0))</f>
        <v/>
      </c>
      <c r="BG2180" s="744" t="str">
        <f t="shared" si="759"/>
        <v/>
      </c>
      <c r="BH2180" s="744" t="str">
        <f>IF(G2180="","",IF(BF2180="Abu Dhabi",IF(G2180&lt;18,'General Basis'!$C$39,IF(G2180&lt;41,'General Basis'!$C$40,IF(G2180&lt;60,'General Basis'!$C$41,IF(G2180&lt;65,'General Basis'!$C$42,'General Basis'!$C$43)))),IF(G2180&lt;11,'General Basis'!$B$39,IF(G2180&lt;18,'General Basis'!$B$40,IF(G2180&lt;26,'General Basis'!$B$41,IF(G2180&lt;31,'General Basis'!$B$42,IF(G2180&lt;36,'General Basis'!$B$43,IF(G2180&lt;41,'General Basis'!$B$44,IF(G2180&lt;46,'General Basis'!$B$45,IF(G2180&lt;51,'General Basis'!$B$46,IF(G2180&lt;56,'General Basis'!$B$47,IF(G2180&lt;60,'General Basis'!$B$48,IF(G2180&lt;65,'General Basis'!$B$49,'General Basis'!$B$50)))))))))))))</f>
        <v/>
      </c>
      <c r="BI2180" s="744" t="str">
        <f t="shared" si="753"/>
        <v/>
      </c>
      <c r="BJ2180" s="747" t="str">
        <f t="shared" si="760"/>
        <v/>
      </c>
      <c r="BK2180" s="498" t="str">
        <f t="shared" si="754"/>
        <v/>
      </c>
      <c r="BL2180" s="498" t="str">
        <f t="shared" si="755"/>
        <v/>
      </c>
    </row>
    <row r="2181" spans="1:64" x14ac:dyDescent="0.25">
      <c r="A2181" s="762">
        <f t="shared" si="756"/>
        <v>2176</v>
      </c>
      <c r="B2181" s="229"/>
      <c r="C2181" s="223"/>
      <c r="D2181" s="224"/>
      <c r="E2181" s="225"/>
      <c r="F2181" s="1036" t="str">
        <f t="shared" si="762"/>
        <v/>
      </c>
      <c r="G2181" s="1037" t="str">
        <f t="shared" si="757"/>
        <v/>
      </c>
      <c r="H2181" s="225"/>
      <c r="I2181" s="1013"/>
      <c r="J2181" s="1013"/>
      <c r="K2181" s="1028"/>
      <c r="L2181" s="1035" t="str">
        <f t="shared" si="761"/>
        <v/>
      </c>
      <c r="S2181" s="498"/>
      <c r="AJ2181" s="498"/>
      <c r="AM2181" s="498">
        <f t="shared" si="742"/>
        <v>0</v>
      </c>
      <c r="AN2181" s="498">
        <f t="shared" si="743"/>
        <v>0</v>
      </c>
      <c r="AO2181" s="498">
        <f t="shared" si="744"/>
        <v>0</v>
      </c>
      <c r="AP2181" s="498">
        <f t="shared" si="763"/>
        <v>0</v>
      </c>
      <c r="AQ2181" s="498">
        <f t="shared" si="758"/>
        <v>0</v>
      </c>
      <c r="AU2181" s="498">
        <f t="shared" si="745"/>
        <v>0</v>
      </c>
      <c r="AV2181" s="498">
        <f t="shared" si="746"/>
        <v>0</v>
      </c>
      <c r="AW2181" s="498">
        <f t="shared" si="747"/>
        <v>0</v>
      </c>
      <c r="AX2181" s="498">
        <f t="shared" si="748"/>
        <v>0</v>
      </c>
      <c r="AY2181" s="498">
        <f t="shared" si="749"/>
        <v>0</v>
      </c>
      <c r="BB2181" s="498" t="str">
        <f t="shared" si="750"/>
        <v/>
      </c>
      <c r="BC2181" s="743" t="str">
        <f t="shared" si="751"/>
        <v/>
      </c>
      <c r="BD2181" s="743" t="str">
        <f t="shared" si="752"/>
        <v/>
      </c>
      <c r="BE2181" s="743" t="str">
        <f>IF(D2181="","",VLOOKUP(D2181,'General Basis'!$J$39:$K$46,2,0))</f>
        <v/>
      </c>
      <c r="BF2181" s="744" t="str">
        <f>IF(D2181="","",VLOOKUP(D2181,'General Basis'!$J$39:$L$46,3,0))</f>
        <v/>
      </c>
      <c r="BG2181" s="744" t="str">
        <f t="shared" si="759"/>
        <v/>
      </c>
      <c r="BH2181" s="744" t="str">
        <f>IF(G2181="","",IF(BF2181="Abu Dhabi",IF(G2181&lt;18,'General Basis'!$C$39,IF(G2181&lt;41,'General Basis'!$C$40,IF(G2181&lt;60,'General Basis'!$C$41,IF(G2181&lt;65,'General Basis'!$C$42,'General Basis'!$C$43)))),IF(G2181&lt;11,'General Basis'!$B$39,IF(G2181&lt;18,'General Basis'!$B$40,IF(G2181&lt;26,'General Basis'!$B$41,IF(G2181&lt;31,'General Basis'!$B$42,IF(G2181&lt;36,'General Basis'!$B$43,IF(G2181&lt;41,'General Basis'!$B$44,IF(G2181&lt;46,'General Basis'!$B$45,IF(G2181&lt;51,'General Basis'!$B$46,IF(G2181&lt;56,'General Basis'!$B$47,IF(G2181&lt;60,'General Basis'!$B$48,IF(G2181&lt;65,'General Basis'!$B$49,'General Basis'!$B$50)))))))))))))</f>
        <v/>
      </c>
      <c r="BI2181" s="744" t="str">
        <f t="shared" si="753"/>
        <v/>
      </c>
      <c r="BJ2181" s="747" t="str">
        <f t="shared" si="760"/>
        <v/>
      </c>
      <c r="BK2181" s="498" t="str">
        <f t="shared" si="754"/>
        <v/>
      </c>
      <c r="BL2181" s="498" t="str">
        <f t="shared" si="755"/>
        <v/>
      </c>
    </row>
    <row r="2182" spans="1:64" x14ac:dyDescent="0.25">
      <c r="A2182" s="762">
        <f t="shared" si="756"/>
        <v>2177</v>
      </c>
      <c r="B2182" s="229"/>
      <c r="C2182" s="223"/>
      <c r="D2182" s="224"/>
      <c r="E2182" s="225"/>
      <c r="F2182" s="1036" t="str">
        <f t="shared" si="762"/>
        <v/>
      </c>
      <c r="G2182" s="1037" t="str">
        <f t="shared" si="757"/>
        <v/>
      </c>
      <c r="H2182" s="225"/>
      <c r="I2182" s="1013"/>
      <c r="J2182" s="1013"/>
      <c r="K2182" s="1028"/>
      <c r="L2182" s="1035" t="str">
        <f t="shared" si="761"/>
        <v/>
      </c>
      <c r="S2182" s="498"/>
      <c r="AJ2182" s="498"/>
      <c r="AM2182" s="498">
        <f t="shared" ref="AM2182:AM2245" si="764">IF(ISTEXT(B2182),1,0)</f>
        <v>0</v>
      </c>
      <c r="AN2182" s="498">
        <f t="shared" ref="AN2182:AN2245" si="765">IF(ISBLANK(B2182),0,IF(B2182&lt;$AK$6,1,0))</f>
        <v>0</v>
      </c>
      <c r="AO2182" s="498">
        <f t="shared" ref="AO2182:AO2245" si="766">IF(ISBLANK(B2182),0,IF(B2182&gt;$AK$7,1,0))</f>
        <v>0</v>
      </c>
      <c r="AP2182" s="498">
        <f t="shared" si="763"/>
        <v>0</v>
      </c>
      <c r="AQ2182" s="498">
        <f t="shared" si="758"/>
        <v>0</v>
      </c>
      <c r="AU2182" s="498">
        <f t="shared" ref="AU2182:AU2245" si="767">IF(ISBLANK(B2182),0,1)</f>
        <v>0</v>
      </c>
      <c r="AV2182" s="498">
        <f t="shared" ref="AV2182:AV2245" si="768">IF(ISBLANK(C2182),0,1)</f>
        <v>0</v>
      </c>
      <c r="AW2182" s="498">
        <f t="shared" ref="AW2182:AW2245" si="769">IF(ISBLANK(D2182),0,1)</f>
        <v>0</v>
      </c>
      <c r="AX2182" s="498">
        <f t="shared" ref="AX2182:AX2245" si="770">IF(ISBLANK(E2182),0,1)</f>
        <v>0</v>
      </c>
      <c r="AY2182" s="498">
        <f t="shared" ref="AY2182:AY2245" si="771">IF(ISBLANK(H2182),0,1)</f>
        <v>0</v>
      </c>
      <c r="BB2182" s="498" t="str">
        <f t="shared" ref="BB2182:BB2245" si="772">IF(E2182="Principal","Principal",IF(E2182="","","Other"))</f>
        <v/>
      </c>
      <c r="BC2182" s="743" t="str">
        <f t="shared" ref="BC2182:BC2245" si="773">IF(D2182="","",D2182)</f>
        <v/>
      </c>
      <c r="BD2182" s="743" t="str">
        <f t="shared" ref="BD2182:BD2245" si="774">IF(E2182="Principal","Employee",IF(E2182="","","Dependent"))</f>
        <v/>
      </c>
      <c r="BE2182" s="743" t="str">
        <f>IF(D2182="","",VLOOKUP(D2182,'General Basis'!$J$39:$K$46,2,0))</f>
        <v/>
      </c>
      <c r="BF2182" s="744" t="str">
        <f>IF(D2182="","",VLOOKUP(D2182,'General Basis'!$J$39:$L$46,3,0))</f>
        <v/>
      </c>
      <c r="BG2182" s="744" t="str">
        <f t="shared" si="759"/>
        <v/>
      </c>
      <c r="BH2182" s="744" t="str">
        <f>IF(G2182="","",IF(BF2182="Abu Dhabi",IF(G2182&lt;18,'General Basis'!$C$39,IF(G2182&lt;41,'General Basis'!$C$40,IF(G2182&lt;60,'General Basis'!$C$41,IF(G2182&lt;65,'General Basis'!$C$42,'General Basis'!$C$43)))),IF(G2182&lt;11,'General Basis'!$B$39,IF(G2182&lt;18,'General Basis'!$B$40,IF(G2182&lt;26,'General Basis'!$B$41,IF(G2182&lt;31,'General Basis'!$B$42,IF(G2182&lt;36,'General Basis'!$B$43,IF(G2182&lt;41,'General Basis'!$B$44,IF(G2182&lt;46,'General Basis'!$B$45,IF(G2182&lt;51,'General Basis'!$B$46,IF(G2182&lt;56,'General Basis'!$B$47,IF(G2182&lt;60,'General Basis'!$B$48,IF(G2182&lt;65,'General Basis'!$B$49,'General Basis'!$B$50)))))))))))))</f>
        <v/>
      </c>
      <c r="BI2182" s="744" t="str">
        <f t="shared" ref="BI2182:BI2245" si="775">IF(C2182="","",IF(C2182="M","Male","Female"))</f>
        <v/>
      </c>
      <c r="BJ2182" s="747" t="str">
        <f t="shared" si="760"/>
        <v/>
      </c>
      <c r="BK2182" s="498" t="str">
        <f t="shared" ref="BK2182:BK2245" si="776">IF(BD2182="","",IF(AND(BD2182="Employee",BI2182="Male",BF2182="Abu Dhabi",BE2182=GN_Plus),VLOOKUP(BH2182,AUH_MALE_EMP,2,0),IF(AND(BD2182="Employee",BI2182="Male",BF2182="Abu Dhabi",BE2182=GN),VLOOKUP(BH2182,AUH_MALE_EMP,3,0),IF(AND(BD2182="Employee",BI2182="Male",BF2182="Abu Dhabi",BE2182=RN_Plus),VLOOKUP(BH2182,AUH_MALE_EMP,4,0),IF(AND(BD2182="Employee",BI2182="Male",BF2182="Abu Dhabi",BE2182=RN),VLOOKUP(BH2182,AUH_MALE_EMP,5,0),IF(AND(BD2182="Employee",BI2182="Male",BF2182="Abu Dhabi",BE2182=RN_2),VLOOKUP(BH2182,AUH_MALE_EMP,6,0),IF(AND(BD2182="Employee",BI2182="Male",BF2182="Abu Dhabi",BE2182=RN2_minus),VLOOKUP(BH2182,AUH_MALE_EMP,7,0),IF(AND(BD2182="Employee",BI2182="Male",BF2182="Abu Dhabi",BE2182=RN_3),VLOOKUP(BH2182,AUH_MALE_EMP,8,0),IF(AND(BD2182="Employee",BI2182="Male",BF2182="Abu Dhabi",BE2182=VN),VLOOKUP(BH2182,AUH_MALE_EMP,9,0),IF(BD2182="","",IF(AND(BD2182="Employee",BI2182="Female",BF2182="Abu Dhabi",BE2182=GN_Plus),VLOOKUP(BH2182,AUH_FEMALE_EMP,2,0),IF(AND(BD2182="Employee",BI2182="Female",BF2182="Abu Dhabi",BE2182=GN),VLOOKUP(BH2182,AUH_FEMALE_EMP,3,0),IF(AND(BD2182="Employee",BI2182="Female",BF2182="Abu Dhabi",BE2182=RN_Plus),VLOOKUP(BH2182,AUH_FEMALE_EMP,4,0),IF(AND(BD2182="Employee",BI2182="Female",BF2182="Abu Dhabi",BE2182=RN),VLOOKUP(BH2182,AUH_FEMALE_EMP,5,0),IF(AND(BD2182="Employee",BI2182="Female",BF2182="Abu Dhabi",BE2182=RN_2),VLOOKUP(BH2182,AUH_FEMALE_EMP,6,0),IF(AND(BD2182="Employee",BI2182="Female",BF2182="Abu Dhabi",BE2182=RN2_minus),VLOOKUP(BH2182,AUH_FEMALE_EMP,7,0),IF(AND(BD2182="Employee",BI2182="Female",BF2182="Abu Dhabi",BE2182=RN_3),VLOOKUP(BH2182,AUH_FEMALE_EMP,8,0),IF(AND(BD2182="Employee",BI2182="Female",BF2182="Abu Dhabi",BE2182=VN),VLOOKUP(BH2182,AUH_FEMALE_EMP,9,0),IF(BD2182="","",IF(AND(BD2182="Dependent",BI2182="Male",BF2182="Abu Dhabi",BE2182=GN_Plus),VLOOKUP(BH2182,AUH_MALE_DEP,2,0),IF(AND(BD2182="Dependent",BI2182="Male",BF2182="Abu Dhabi",BE2182=GN),VLOOKUP(BH2182,AUH_MALE_DEP,3,0),IF(AND(BD2182="Dependent",BI2182="Male",BF2182="Abu Dhabi",BE2182=RN_Plus),VLOOKUP(BH2182,AUH_MALE_DEP,4,0),IF(AND(BD2182="Dependent",BI2182="Male",BF2182="Abu Dhabi",BE2182=RN),VLOOKUP(BH2182,AUH_MALE_DEP,5,0),IF(AND(BD2182="Dependent",BI2182="Male",BF2182="Abu Dhabi",BE2182=RN_2),VLOOKUP(BH2182,AUH_MALE_DEP,6,0),IF(AND(BD2182="Dependent",BI2182="Male",BF2182="Abu Dhabi",BE2182=RN2_minus),VLOOKUP(BH2182,AUH_MALE_DEP,7,0),IF(AND(BD2182="Dependent",BI2182="Male",BF2182="Abu Dhabi",BE2182=RN_3),VLOOKUP(BH2182,AUH_MALE_DEP,8,0),IF(AND(BD2182="Dependent",BI2182="Male",BF2182="Abu Dhabi",BE2182=VN),VLOOKUP(BH2182,AUH_MALE_DEP,9,0),IF(BD2182="","",IF(AND(BD2182="Dependent",BI2182="Female",BF2182="Abu Dhabi",BE2182=GN_Plus),VLOOKUP(BH2182,AUH_FEMALE_DEP,2,0),IF(AND(BD2182="Dependent",BI2182="Female",BF2182="Abu Dhabi",BE2182=GN),VLOOKUP(BH2182,AUH_FEMALE_DEP,3,0),IF(AND(BD2182="Dependent",BI2182="Female",BF2182="Abu Dhabi",BE2182=RN_Plus),VLOOKUP(BH2182,AUH_FEMALE_DEP,4,0),IF(AND(BD2182="Dependent",BI2182="Female",BF2182="Abu Dhabi",BE2182=RN),VLOOKUP(BH2182,AUH_FEMALE_DEP,5,0),IF(AND(BD2182="Dependent",BI2182="Female",BF2182="Abu Dhabi",BE2182=RN_2),VLOOKUP(BH2182,AUH_FEMALE_DEP,6,0),IF(AND(BD2182="Dependent",BI2182="Female",BF2182="Abu Dhabi",BE2182=RN2_minus),VLOOKUP(BH2182,AUH_FEMALE_DEP,7,0),IF(AND(BD2182="Dependent",BI2182="Female",BF2182="Abu Dhabi",BE2182=RN_3),VLOOKUP(BH2182,AUH_FEMALE_DEP,8,0),IF(AND(BD2182="Dependent",BI2182="Female",BF2182="Abu Dhabi",BE2182=VN),VLOOKUP(BH2182,AUH_FEMALE_DEP,9,0),"ABC"))))))))))))))))))))))))))))))))))))</f>
        <v/>
      </c>
      <c r="BL2182" s="498" t="str">
        <f t="shared" ref="BL2182:BL2245" si="777">IF(BD2182="","",IF(AND(BD2182="Employee",BI2182="Male",BF2182="Dubai",BE2182=GN_Plus),VLOOKUP(BH2182,DXB_MALE_EMP,2,0),IF(AND(BD2182="Employee",BI2182="Male",BF2182="Dubai",BE2182=GN),VLOOKUP(BH2182,DXB_MALE_EMP,3,0),IF(AND(BD2182="Employee",BI2182="Male",BF2182="Dubai",BE2182=RN_Plus),VLOOKUP(BH2182,DXB_MALE_EMP,4,0),IF(AND(BD2182="Employee",BI2182="Male",BF2182="Dubai",BE2182=RN),VLOOKUP(BH2182,DXB_MALE_EMP,5,0),IF(AND(BD2182="Employee",BI2182="Male",BF2182="Dubai",BE2182=RN_2),VLOOKUP(BH2182,DXB_MALE_EMP,6,0),IF(AND(BD2182="Employee",BI2182="Male",BF2182="Dubai",BE2182=RN2_minus),VLOOKUP(BH2182,DXB_MALE_EMP,7,0),IF(AND(BD2182="Employee",BI2182="Male",BF2182="Dubai",BE2182=RN_3),VLOOKUP(BH2182,DXB_MALE_EMP,8,0),IF(AND(BD2182="Employee",BI2182="Male",BF2182="Dubai",BE2182=VN),VLOOKUP(BH2182,DXB_MALE_EMP,9,0),IF(BD2182="","",IF(AND(BD2182="Employee",BI2182="Female",BF2182="Dubai",BE2182=GN_Plus),VLOOKUP(BH2182,DXB_FEMALE_EMP,2,0),IF(AND(BD2182="Employee",BI2182="Female",BF2182="Dubai",BE2182=GN),VLOOKUP(BH2182,DXB_FEMALE_EMP,3,0),IF(AND(BD2182="Employee",BI2182="Female",BF2182="Dubai",BE2182=RN_Plus),VLOOKUP(BH2182,DXB_FEMALE_EMP,4,0),IF(AND(BD2182="Employee",BI2182="Female",BF2182="Dubai",BE2182=RN),VLOOKUP(BH2182,DXB_FEMALE_EMP,5,0),IF(AND(BD2182="Employee",BI2182="Female",BF2182="Dubai",BE2182=RN_2),VLOOKUP(BH2182,DXB_FEMALE_EMP,6,0),IF(AND(BD2182="Employee",BI2182="Female",BF2182="Dubai",BE2182=RN2_minus),VLOOKUP(BH2182,DXB_FEMALE_EMP,7,0),IF(AND(BD2182="Employee",BI2182="Female",BF2182="Dubai",BE2182=RN_3),VLOOKUP(BH2182,DXB_FEMALE_EMP,8,0),IF(AND(BD2182="Employee",BI2182="Female",BF2182="Dubai",BE2182=VN),VLOOKUP(BH2182,DXB_FEMALE_EMP,9,0),IF(BD2182="","",IF(AND(BD2182="Dependent",BI2182="Male",BF2182="Dubai",BE2182=GN_Plus),VLOOKUP(BH2182,DXB_MALE_DEP,2,0),IF(AND(BD2182="Dependent",BI2182="Male",BF2182="Dubai",BE2182=GN),VLOOKUP(BH2182,DXB_MALE_DEP,3,0),IF(AND(BD2182="Dependent",BI2182="Male",BF2182="Dubai",BE2182=RN_Plus),VLOOKUP(BH2182,DXB_MALE_DEP,4,0),IF(AND(BD2182="Dependent",BI2182="Male",BF2182="Dubai",BE2182=RN),VLOOKUP(BH2182,DXB_MALE_DEP,5,0),IF(AND(BD2182="Dependent",BI2182="Male",BF2182="Dubai",BE2182=RN_2),VLOOKUP(BH2182,DXB_MALE_DEP,6,0),IF(AND(BD2182="Dependent",BI2182="Male",BF2182="Dubai",BE2182=RN2_minus),VLOOKUP(BH2182,DXB_MALE_DEP,7,0),IF(AND(BD2182="Dependent",BI2182="Male",BF2182="Dubai",BE2182=RN_3),VLOOKUP(BH2182,DXB_MALE_DEP,8,0),IF(AND(BD2182="Dependent",BI2182="Male",BF2182="Dubai",BE2182=VN),VLOOKUP(BH2182,DXB_MALE_DEP,9,0),IF(BD2182="","",IF(AND(BD2182="Dependent",BI2182="Female",BF2182="Dubai",BE2182=GN_Plus),VLOOKUP(BH2182,DXB_FEMALE_DEP,2,0),IF(AND(BD2182="Dependent",BI2182="Female",BF2182="Dubai",BE2182=GN),VLOOKUP(BH2182,DXB_FEMALE_DEP,3,0),IF(AND(BD2182="Dependent",BI2182="Female",BF2182="Dubai",BE2182=RN_Plus),VLOOKUP(BH2182,DXB_FEMALE_DEP,4,0),IF(AND(BD2182="Dependent",BI2182="Female",BF2182="Dubai",BE2182=RN),VLOOKUP(BH2182,DXB_FEMALE_DEP,5,0),IF(AND(BD2182="Dependent",BI2182="Female",BF2182="Dubai",BE2182=RN_2),VLOOKUP(BH2182,DXB_FEMALE_DEP,6,0),IF(AND(BD2182="Dependent",BI2182="Female",BF2182="Dubai",BE2182=RN2_minus),VLOOKUP(BH2182,DXB_FEMALE_DEP,7,0),IF(AND(BD2182="Dependent",BI2182="Female",BF2182="Dubai",BE2182=RN_3),VLOOKUP(BH2182,DXB_FEMALE_DEP,8,0),IF(AND(BD2182="Dependent",BI2182="Female",BF2182="Dubai",BE2182=VN),VLOOKUP(BH2182,DXB_FEMALE_DEP,9,0),"ABC"))))))))))))))))))))))))))))))))))))</f>
        <v/>
      </c>
    </row>
    <row r="2183" spans="1:64" x14ac:dyDescent="0.25">
      <c r="A2183" s="762">
        <f t="shared" ref="A2183:A2246" si="778">+A2182+1</f>
        <v>2178</v>
      </c>
      <c r="B2183" s="229"/>
      <c r="C2183" s="223"/>
      <c r="D2183" s="224"/>
      <c r="E2183" s="225"/>
      <c r="F2183" s="1036" t="str">
        <f t="shared" si="762"/>
        <v/>
      </c>
      <c r="G2183" s="1037" t="str">
        <f t="shared" ref="G2183:G2246" si="779">IF(D2183="","",MAX(0,ROUNDUP(F2183,0)))</f>
        <v/>
      </c>
      <c r="H2183" s="225"/>
      <c r="I2183" s="1013"/>
      <c r="J2183" s="1013"/>
      <c r="K2183" s="1028"/>
      <c r="L2183" s="1035" t="str">
        <f t="shared" si="761"/>
        <v/>
      </c>
      <c r="S2183" s="498"/>
      <c r="AJ2183" s="498"/>
      <c r="AM2183" s="498">
        <f t="shared" si="764"/>
        <v>0</v>
      </c>
      <c r="AN2183" s="498">
        <f t="shared" si="765"/>
        <v>0</v>
      </c>
      <c r="AO2183" s="498">
        <f t="shared" si="766"/>
        <v>0</v>
      </c>
      <c r="AP2183" s="498">
        <f t="shared" si="763"/>
        <v>0</v>
      </c>
      <c r="AQ2183" s="498">
        <f t="shared" ref="AQ2183:AQ2246" si="780">IF(ISBLANK($B2183),0,IF(OR($H2183="Single",$H2183="Married"),0,1))</f>
        <v>0</v>
      </c>
      <c r="AU2183" s="498">
        <f t="shared" si="767"/>
        <v>0</v>
      </c>
      <c r="AV2183" s="498">
        <f t="shared" si="768"/>
        <v>0</v>
      </c>
      <c r="AW2183" s="498">
        <f t="shared" si="769"/>
        <v>0</v>
      </c>
      <c r="AX2183" s="498">
        <f t="shared" si="770"/>
        <v>0</v>
      </c>
      <c r="AY2183" s="498">
        <f t="shared" si="771"/>
        <v>0</v>
      </c>
      <c r="BB2183" s="498" t="str">
        <f t="shared" si="772"/>
        <v/>
      </c>
      <c r="BC2183" s="743" t="str">
        <f t="shared" si="773"/>
        <v/>
      </c>
      <c r="BD2183" s="743" t="str">
        <f t="shared" si="774"/>
        <v/>
      </c>
      <c r="BE2183" s="743" t="str">
        <f>IF(D2183="","",VLOOKUP(D2183,'General Basis'!$J$39:$K$46,2,0))</f>
        <v/>
      </c>
      <c r="BF2183" s="744" t="str">
        <f>IF(D2183="","",VLOOKUP(D2183,'General Basis'!$J$39:$L$46,3,0))</f>
        <v/>
      </c>
      <c r="BG2183" s="744" t="str">
        <f t="shared" ref="BG2183:BG2246" si="781">BC2183&amp;BI2183</f>
        <v/>
      </c>
      <c r="BH2183" s="744" t="str">
        <f>IF(G2183="","",IF(BF2183="Abu Dhabi",IF(G2183&lt;18,'General Basis'!$C$39,IF(G2183&lt;41,'General Basis'!$C$40,IF(G2183&lt;60,'General Basis'!$C$41,IF(G2183&lt;65,'General Basis'!$C$42,'General Basis'!$C$43)))),IF(G2183&lt;11,'General Basis'!$B$39,IF(G2183&lt;18,'General Basis'!$B$40,IF(G2183&lt;26,'General Basis'!$B$41,IF(G2183&lt;31,'General Basis'!$B$42,IF(G2183&lt;36,'General Basis'!$B$43,IF(G2183&lt;41,'General Basis'!$B$44,IF(G2183&lt;46,'General Basis'!$B$45,IF(G2183&lt;51,'General Basis'!$B$46,IF(G2183&lt;56,'General Basis'!$B$47,IF(G2183&lt;60,'General Basis'!$B$48,IF(G2183&lt;65,'General Basis'!$B$49,'General Basis'!$B$50)))))))))))))</f>
        <v/>
      </c>
      <c r="BI2183" s="744" t="str">
        <f t="shared" si="775"/>
        <v/>
      </c>
      <c r="BJ2183" s="747" t="str">
        <f t="shared" ref="BJ2183:BJ2246" si="782">IF(BD2183="","",IF(BF2183="Abu Dhabi",BK2183,BL2183))</f>
        <v/>
      </c>
      <c r="BK2183" s="498" t="str">
        <f t="shared" si="776"/>
        <v/>
      </c>
      <c r="BL2183" s="498" t="str">
        <f t="shared" si="777"/>
        <v/>
      </c>
    </row>
    <row r="2184" spans="1:64" x14ac:dyDescent="0.25">
      <c r="A2184" s="762">
        <f t="shared" si="778"/>
        <v>2179</v>
      </c>
      <c r="B2184" s="229"/>
      <c r="C2184" s="223"/>
      <c r="D2184" s="224"/>
      <c r="E2184" s="225"/>
      <c r="F2184" s="1036" t="str">
        <f t="shared" si="762"/>
        <v/>
      </c>
      <c r="G2184" s="1037" t="str">
        <f t="shared" si="779"/>
        <v/>
      </c>
      <c r="H2184" s="225"/>
      <c r="I2184" s="1013"/>
      <c r="J2184" s="1013"/>
      <c r="K2184" s="1028"/>
      <c r="L2184" s="1035" t="str">
        <f t="shared" ref="L2184:L2247" si="783">IF(AND(E2184="Child",H2184="Married"),"Check the Marital Status of the Child. ",IF(AND(E2184="Child",F2184&gt;18),"Child Age exceed 18 years. ",IF(AND(E2184="Spouse",H2184="Single"),"Spouse is selected as Single. ","")))&amp;IF(K2184&gt;0,"UW Loading has been Applied","")</f>
        <v/>
      </c>
      <c r="S2184" s="498"/>
      <c r="AJ2184" s="498"/>
      <c r="AM2184" s="498">
        <f t="shared" si="764"/>
        <v>0</v>
      </c>
      <c r="AN2184" s="498">
        <f t="shared" si="765"/>
        <v>0</v>
      </c>
      <c r="AO2184" s="498">
        <f t="shared" si="766"/>
        <v>0</v>
      </c>
      <c r="AP2184" s="498">
        <f t="shared" si="763"/>
        <v>0</v>
      </c>
      <c r="AQ2184" s="498">
        <f t="shared" si="780"/>
        <v>0</v>
      </c>
      <c r="AU2184" s="498">
        <f t="shared" si="767"/>
        <v>0</v>
      </c>
      <c r="AV2184" s="498">
        <f t="shared" si="768"/>
        <v>0</v>
      </c>
      <c r="AW2184" s="498">
        <f t="shared" si="769"/>
        <v>0</v>
      </c>
      <c r="AX2184" s="498">
        <f t="shared" si="770"/>
        <v>0</v>
      </c>
      <c r="AY2184" s="498">
        <f t="shared" si="771"/>
        <v>0</v>
      </c>
      <c r="BB2184" s="498" t="str">
        <f t="shared" si="772"/>
        <v/>
      </c>
      <c r="BC2184" s="743" t="str">
        <f t="shared" si="773"/>
        <v/>
      </c>
      <c r="BD2184" s="743" t="str">
        <f t="shared" si="774"/>
        <v/>
      </c>
      <c r="BE2184" s="743" t="str">
        <f>IF(D2184="","",VLOOKUP(D2184,'General Basis'!$J$39:$K$46,2,0))</f>
        <v/>
      </c>
      <c r="BF2184" s="744" t="str">
        <f>IF(D2184="","",VLOOKUP(D2184,'General Basis'!$J$39:$L$46,3,0))</f>
        <v/>
      </c>
      <c r="BG2184" s="744" t="str">
        <f t="shared" si="781"/>
        <v/>
      </c>
      <c r="BH2184" s="744" t="str">
        <f>IF(G2184="","",IF(BF2184="Abu Dhabi",IF(G2184&lt;18,'General Basis'!$C$39,IF(G2184&lt;41,'General Basis'!$C$40,IF(G2184&lt;60,'General Basis'!$C$41,IF(G2184&lt;65,'General Basis'!$C$42,'General Basis'!$C$43)))),IF(G2184&lt;11,'General Basis'!$B$39,IF(G2184&lt;18,'General Basis'!$B$40,IF(G2184&lt;26,'General Basis'!$B$41,IF(G2184&lt;31,'General Basis'!$B$42,IF(G2184&lt;36,'General Basis'!$B$43,IF(G2184&lt;41,'General Basis'!$B$44,IF(G2184&lt;46,'General Basis'!$B$45,IF(G2184&lt;51,'General Basis'!$B$46,IF(G2184&lt;56,'General Basis'!$B$47,IF(G2184&lt;60,'General Basis'!$B$48,IF(G2184&lt;65,'General Basis'!$B$49,'General Basis'!$B$50)))))))))))))</f>
        <v/>
      </c>
      <c r="BI2184" s="744" t="str">
        <f t="shared" si="775"/>
        <v/>
      </c>
      <c r="BJ2184" s="747" t="str">
        <f t="shared" si="782"/>
        <v/>
      </c>
      <c r="BK2184" s="498" t="str">
        <f t="shared" si="776"/>
        <v/>
      </c>
      <c r="BL2184" s="498" t="str">
        <f t="shared" si="777"/>
        <v/>
      </c>
    </row>
    <row r="2185" spans="1:64" x14ac:dyDescent="0.25">
      <c r="A2185" s="762">
        <f t="shared" si="778"/>
        <v>2180</v>
      </c>
      <c r="B2185" s="229"/>
      <c r="C2185" s="223"/>
      <c r="D2185" s="224"/>
      <c r="E2185" s="225"/>
      <c r="F2185" s="1036" t="str">
        <f t="shared" si="762"/>
        <v/>
      </c>
      <c r="G2185" s="1037" t="str">
        <f t="shared" si="779"/>
        <v/>
      </c>
      <c r="H2185" s="225"/>
      <c r="I2185" s="1013"/>
      <c r="J2185" s="1013"/>
      <c r="K2185" s="1028"/>
      <c r="L2185" s="1035" t="str">
        <f t="shared" si="783"/>
        <v/>
      </c>
      <c r="S2185" s="498"/>
      <c r="AJ2185" s="498"/>
      <c r="AM2185" s="498">
        <f t="shared" si="764"/>
        <v>0</v>
      </c>
      <c r="AN2185" s="498">
        <f t="shared" si="765"/>
        <v>0</v>
      </c>
      <c r="AO2185" s="498">
        <f t="shared" si="766"/>
        <v>0</v>
      </c>
      <c r="AP2185" s="498">
        <f t="shared" si="763"/>
        <v>0</v>
      </c>
      <c r="AQ2185" s="498">
        <f t="shared" si="780"/>
        <v>0</v>
      </c>
      <c r="AU2185" s="498">
        <f t="shared" si="767"/>
        <v>0</v>
      </c>
      <c r="AV2185" s="498">
        <f t="shared" si="768"/>
        <v>0</v>
      </c>
      <c r="AW2185" s="498">
        <f t="shared" si="769"/>
        <v>0</v>
      </c>
      <c r="AX2185" s="498">
        <f t="shared" si="770"/>
        <v>0</v>
      </c>
      <c r="AY2185" s="498">
        <f t="shared" si="771"/>
        <v>0</v>
      </c>
      <c r="BB2185" s="498" t="str">
        <f t="shared" si="772"/>
        <v/>
      </c>
      <c r="BC2185" s="743" t="str">
        <f t="shared" si="773"/>
        <v/>
      </c>
      <c r="BD2185" s="743" t="str">
        <f t="shared" si="774"/>
        <v/>
      </c>
      <c r="BE2185" s="743" t="str">
        <f>IF(D2185="","",VLOOKUP(D2185,'General Basis'!$J$39:$K$46,2,0))</f>
        <v/>
      </c>
      <c r="BF2185" s="744" t="str">
        <f>IF(D2185="","",VLOOKUP(D2185,'General Basis'!$J$39:$L$46,3,0))</f>
        <v/>
      </c>
      <c r="BG2185" s="744" t="str">
        <f t="shared" si="781"/>
        <v/>
      </c>
      <c r="BH2185" s="744" t="str">
        <f>IF(G2185="","",IF(BF2185="Abu Dhabi",IF(G2185&lt;18,'General Basis'!$C$39,IF(G2185&lt;41,'General Basis'!$C$40,IF(G2185&lt;60,'General Basis'!$C$41,IF(G2185&lt;65,'General Basis'!$C$42,'General Basis'!$C$43)))),IF(G2185&lt;11,'General Basis'!$B$39,IF(G2185&lt;18,'General Basis'!$B$40,IF(G2185&lt;26,'General Basis'!$B$41,IF(G2185&lt;31,'General Basis'!$B$42,IF(G2185&lt;36,'General Basis'!$B$43,IF(G2185&lt;41,'General Basis'!$B$44,IF(G2185&lt;46,'General Basis'!$B$45,IF(G2185&lt;51,'General Basis'!$B$46,IF(G2185&lt;56,'General Basis'!$B$47,IF(G2185&lt;60,'General Basis'!$B$48,IF(G2185&lt;65,'General Basis'!$B$49,'General Basis'!$B$50)))))))))))))</f>
        <v/>
      </c>
      <c r="BI2185" s="744" t="str">
        <f t="shared" si="775"/>
        <v/>
      </c>
      <c r="BJ2185" s="747" t="str">
        <f t="shared" si="782"/>
        <v/>
      </c>
      <c r="BK2185" s="498" t="str">
        <f t="shared" si="776"/>
        <v/>
      </c>
      <c r="BL2185" s="498" t="str">
        <f t="shared" si="777"/>
        <v/>
      </c>
    </row>
    <row r="2186" spans="1:64" x14ac:dyDescent="0.25">
      <c r="A2186" s="762">
        <f t="shared" si="778"/>
        <v>2181</v>
      </c>
      <c r="B2186" s="229"/>
      <c r="C2186" s="223"/>
      <c r="D2186" s="224"/>
      <c r="E2186" s="225"/>
      <c r="F2186" s="1036" t="str">
        <f t="shared" si="762"/>
        <v/>
      </c>
      <c r="G2186" s="1037" t="str">
        <f t="shared" si="779"/>
        <v/>
      </c>
      <c r="H2186" s="225"/>
      <c r="I2186" s="1013"/>
      <c r="J2186" s="1013"/>
      <c r="K2186" s="1028"/>
      <c r="L2186" s="1035" t="str">
        <f t="shared" si="783"/>
        <v/>
      </c>
      <c r="S2186" s="498"/>
      <c r="AJ2186" s="498"/>
      <c r="AM2186" s="498">
        <f t="shared" si="764"/>
        <v>0</v>
      </c>
      <c r="AN2186" s="498">
        <f t="shared" si="765"/>
        <v>0</v>
      </c>
      <c r="AO2186" s="498">
        <f t="shared" si="766"/>
        <v>0</v>
      </c>
      <c r="AP2186" s="498">
        <f t="shared" si="763"/>
        <v>0</v>
      </c>
      <c r="AQ2186" s="498">
        <f t="shared" si="780"/>
        <v>0</v>
      </c>
      <c r="AU2186" s="498">
        <f t="shared" si="767"/>
        <v>0</v>
      </c>
      <c r="AV2186" s="498">
        <f t="shared" si="768"/>
        <v>0</v>
      </c>
      <c r="AW2186" s="498">
        <f t="shared" si="769"/>
        <v>0</v>
      </c>
      <c r="AX2186" s="498">
        <f t="shared" si="770"/>
        <v>0</v>
      </c>
      <c r="AY2186" s="498">
        <f t="shared" si="771"/>
        <v>0</v>
      </c>
      <c r="BB2186" s="498" t="str">
        <f t="shared" si="772"/>
        <v/>
      </c>
      <c r="BC2186" s="743" t="str">
        <f t="shared" si="773"/>
        <v/>
      </c>
      <c r="BD2186" s="743" t="str">
        <f t="shared" si="774"/>
        <v/>
      </c>
      <c r="BE2186" s="743" t="str">
        <f>IF(D2186="","",VLOOKUP(D2186,'General Basis'!$J$39:$K$46,2,0))</f>
        <v/>
      </c>
      <c r="BF2186" s="744" t="str">
        <f>IF(D2186="","",VLOOKUP(D2186,'General Basis'!$J$39:$L$46,3,0))</f>
        <v/>
      </c>
      <c r="BG2186" s="744" t="str">
        <f t="shared" si="781"/>
        <v/>
      </c>
      <c r="BH2186" s="744" t="str">
        <f>IF(G2186="","",IF(BF2186="Abu Dhabi",IF(G2186&lt;18,'General Basis'!$C$39,IF(G2186&lt;41,'General Basis'!$C$40,IF(G2186&lt;60,'General Basis'!$C$41,IF(G2186&lt;65,'General Basis'!$C$42,'General Basis'!$C$43)))),IF(G2186&lt;11,'General Basis'!$B$39,IF(G2186&lt;18,'General Basis'!$B$40,IF(G2186&lt;26,'General Basis'!$B$41,IF(G2186&lt;31,'General Basis'!$B$42,IF(G2186&lt;36,'General Basis'!$B$43,IF(G2186&lt;41,'General Basis'!$B$44,IF(G2186&lt;46,'General Basis'!$B$45,IF(G2186&lt;51,'General Basis'!$B$46,IF(G2186&lt;56,'General Basis'!$B$47,IF(G2186&lt;60,'General Basis'!$B$48,IF(G2186&lt;65,'General Basis'!$B$49,'General Basis'!$B$50)))))))))))))</f>
        <v/>
      </c>
      <c r="BI2186" s="744" t="str">
        <f t="shared" si="775"/>
        <v/>
      </c>
      <c r="BJ2186" s="747" t="str">
        <f t="shared" si="782"/>
        <v/>
      </c>
      <c r="BK2186" s="498" t="str">
        <f t="shared" si="776"/>
        <v/>
      </c>
      <c r="BL2186" s="498" t="str">
        <f t="shared" si="777"/>
        <v/>
      </c>
    </row>
    <row r="2187" spans="1:64" x14ac:dyDescent="0.25">
      <c r="A2187" s="762">
        <f t="shared" si="778"/>
        <v>2182</v>
      </c>
      <c r="B2187" s="229"/>
      <c r="C2187" s="223"/>
      <c r="D2187" s="224"/>
      <c r="E2187" s="225"/>
      <c r="F2187" s="1036" t="str">
        <f t="shared" si="762"/>
        <v/>
      </c>
      <c r="G2187" s="1037" t="str">
        <f t="shared" si="779"/>
        <v/>
      </c>
      <c r="H2187" s="225"/>
      <c r="I2187" s="1013"/>
      <c r="J2187" s="1013"/>
      <c r="K2187" s="1028"/>
      <c r="L2187" s="1035" t="str">
        <f t="shared" si="783"/>
        <v/>
      </c>
      <c r="S2187" s="498"/>
      <c r="AJ2187" s="498"/>
      <c r="AM2187" s="498">
        <f t="shared" si="764"/>
        <v>0</v>
      </c>
      <c r="AN2187" s="498">
        <f t="shared" si="765"/>
        <v>0</v>
      </c>
      <c r="AO2187" s="498">
        <f t="shared" si="766"/>
        <v>0</v>
      </c>
      <c r="AP2187" s="498">
        <f t="shared" si="763"/>
        <v>0</v>
      </c>
      <c r="AQ2187" s="498">
        <f t="shared" si="780"/>
        <v>0</v>
      </c>
      <c r="AU2187" s="498">
        <f t="shared" si="767"/>
        <v>0</v>
      </c>
      <c r="AV2187" s="498">
        <f t="shared" si="768"/>
        <v>0</v>
      </c>
      <c r="AW2187" s="498">
        <f t="shared" si="769"/>
        <v>0</v>
      </c>
      <c r="AX2187" s="498">
        <f t="shared" si="770"/>
        <v>0</v>
      </c>
      <c r="AY2187" s="498">
        <f t="shared" si="771"/>
        <v>0</v>
      </c>
      <c r="BB2187" s="498" t="str">
        <f t="shared" si="772"/>
        <v/>
      </c>
      <c r="BC2187" s="743" t="str">
        <f t="shared" si="773"/>
        <v/>
      </c>
      <c r="BD2187" s="743" t="str">
        <f t="shared" si="774"/>
        <v/>
      </c>
      <c r="BE2187" s="743" t="str">
        <f>IF(D2187="","",VLOOKUP(D2187,'General Basis'!$J$39:$K$46,2,0))</f>
        <v/>
      </c>
      <c r="BF2187" s="744" t="str">
        <f>IF(D2187="","",VLOOKUP(D2187,'General Basis'!$J$39:$L$46,3,0))</f>
        <v/>
      </c>
      <c r="BG2187" s="744" t="str">
        <f t="shared" si="781"/>
        <v/>
      </c>
      <c r="BH2187" s="744" t="str">
        <f>IF(G2187="","",IF(BF2187="Abu Dhabi",IF(G2187&lt;18,'General Basis'!$C$39,IF(G2187&lt;41,'General Basis'!$C$40,IF(G2187&lt;60,'General Basis'!$C$41,IF(G2187&lt;65,'General Basis'!$C$42,'General Basis'!$C$43)))),IF(G2187&lt;11,'General Basis'!$B$39,IF(G2187&lt;18,'General Basis'!$B$40,IF(G2187&lt;26,'General Basis'!$B$41,IF(G2187&lt;31,'General Basis'!$B$42,IF(G2187&lt;36,'General Basis'!$B$43,IF(G2187&lt;41,'General Basis'!$B$44,IF(G2187&lt;46,'General Basis'!$B$45,IF(G2187&lt;51,'General Basis'!$B$46,IF(G2187&lt;56,'General Basis'!$B$47,IF(G2187&lt;60,'General Basis'!$B$48,IF(G2187&lt;65,'General Basis'!$B$49,'General Basis'!$B$50)))))))))))))</f>
        <v/>
      </c>
      <c r="BI2187" s="744" t="str">
        <f t="shared" si="775"/>
        <v/>
      </c>
      <c r="BJ2187" s="747" t="str">
        <f t="shared" si="782"/>
        <v/>
      </c>
      <c r="BK2187" s="498" t="str">
        <f t="shared" si="776"/>
        <v/>
      </c>
      <c r="BL2187" s="498" t="str">
        <f t="shared" si="777"/>
        <v/>
      </c>
    </row>
    <row r="2188" spans="1:64" x14ac:dyDescent="0.25">
      <c r="A2188" s="762">
        <f t="shared" si="778"/>
        <v>2183</v>
      </c>
      <c r="B2188" s="229"/>
      <c r="C2188" s="223"/>
      <c r="D2188" s="224"/>
      <c r="E2188" s="225"/>
      <c r="F2188" s="1036" t="str">
        <f t="shared" si="762"/>
        <v/>
      </c>
      <c r="G2188" s="1037" t="str">
        <f t="shared" si="779"/>
        <v/>
      </c>
      <c r="H2188" s="225"/>
      <c r="I2188" s="1013"/>
      <c r="J2188" s="1013"/>
      <c r="K2188" s="1028"/>
      <c r="L2188" s="1035" t="str">
        <f t="shared" si="783"/>
        <v/>
      </c>
      <c r="S2188" s="498"/>
      <c r="AJ2188" s="498"/>
      <c r="AM2188" s="498">
        <f t="shared" si="764"/>
        <v>0</v>
      </c>
      <c r="AN2188" s="498">
        <f t="shared" si="765"/>
        <v>0</v>
      </c>
      <c r="AO2188" s="498">
        <f t="shared" si="766"/>
        <v>0</v>
      </c>
      <c r="AP2188" s="498">
        <f t="shared" si="763"/>
        <v>0</v>
      </c>
      <c r="AQ2188" s="498">
        <f t="shared" si="780"/>
        <v>0</v>
      </c>
      <c r="AU2188" s="498">
        <f t="shared" si="767"/>
        <v>0</v>
      </c>
      <c r="AV2188" s="498">
        <f t="shared" si="768"/>
        <v>0</v>
      </c>
      <c r="AW2188" s="498">
        <f t="shared" si="769"/>
        <v>0</v>
      </c>
      <c r="AX2188" s="498">
        <f t="shared" si="770"/>
        <v>0</v>
      </c>
      <c r="AY2188" s="498">
        <f t="shared" si="771"/>
        <v>0</v>
      </c>
      <c r="BB2188" s="498" t="str">
        <f t="shared" si="772"/>
        <v/>
      </c>
      <c r="BC2188" s="743" t="str">
        <f t="shared" si="773"/>
        <v/>
      </c>
      <c r="BD2188" s="743" t="str">
        <f t="shared" si="774"/>
        <v/>
      </c>
      <c r="BE2188" s="743" t="str">
        <f>IF(D2188="","",VLOOKUP(D2188,'General Basis'!$J$39:$K$46,2,0))</f>
        <v/>
      </c>
      <c r="BF2188" s="744" t="str">
        <f>IF(D2188="","",VLOOKUP(D2188,'General Basis'!$J$39:$L$46,3,0))</f>
        <v/>
      </c>
      <c r="BG2188" s="744" t="str">
        <f t="shared" si="781"/>
        <v/>
      </c>
      <c r="BH2188" s="744" t="str">
        <f>IF(G2188="","",IF(BF2188="Abu Dhabi",IF(G2188&lt;18,'General Basis'!$C$39,IF(G2188&lt;41,'General Basis'!$C$40,IF(G2188&lt;60,'General Basis'!$C$41,IF(G2188&lt;65,'General Basis'!$C$42,'General Basis'!$C$43)))),IF(G2188&lt;11,'General Basis'!$B$39,IF(G2188&lt;18,'General Basis'!$B$40,IF(G2188&lt;26,'General Basis'!$B$41,IF(G2188&lt;31,'General Basis'!$B$42,IF(G2188&lt;36,'General Basis'!$B$43,IF(G2188&lt;41,'General Basis'!$B$44,IF(G2188&lt;46,'General Basis'!$B$45,IF(G2188&lt;51,'General Basis'!$B$46,IF(G2188&lt;56,'General Basis'!$B$47,IF(G2188&lt;60,'General Basis'!$B$48,IF(G2188&lt;65,'General Basis'!$B$49,'General Basis'!$B$50)))))))))))))</f>
        <v/>
      </c>
      <c r="BI2188" s="744" t="str">
        <f t="shared" si="775"/>
        <v/>
      </c>
      <c r="BJ2188" s="747" t="str">
        <f t="shared" si="782"/>
        <v/>
      </c>
      <c r="BK2188" s="498" t="str">
        <f t="shared" si="776"/>
        <v/>
      </c>
      <c r="BL2188" s="498" t="str">
        <f t="shared" si="777"/>
        <v/>
      </c>
    </row>
    <row r="2189" spans="1:64" x14ac:dyDescent="0.25">
      <c r="A2189" s="762">
        <f t="shared" si="778"/>
        <v>2184</v>
      </c>
      <c r="B2189" s="229"/>
      <c r="C2189" s="223"/>
      <c r="D2189" s="224"/>
      <c r="E2189" s="225"/>
      <c r="F2189" s="1036" t="str">
        <f t="shared" si="762"/>
        <v/>
      </c>
      <c r="G2189" s="1037" t="str">
        <f t="shared" si="779"/>
        <v/>
      </c>
      <c r="H2189" s="225"/>
      <c r="I2189" s="1013"/>
      <c r="J2189" s="1013"/>
      <c r="K2189" s="1028"/>
      <c r="L2189" s="1035" t="str">
        <f t="shared" si="783"/>
        <v/>
      </c>
      <c r="S2189" s="498"/>
      <c r="AJ2189" s="498"/>
      <c r="AM2189" s="498">
        <f t="shared" si="764"/>
        <v>0</v>
      </c>
      <c r="AN2189" s="498">
        <f t="shared" si="765"/>
        <v>0</v>
      </c>
      <c r="AO2189" s="498">
        <f t="shared" si="766"/>
        <v>0</v>
      </c>
      <c r="AP2189" s="498">
        <f t="shared" si="763"/>
        <v>0</v>
      </c>
      <c r="AQ2189" s="498">
        <f t="shared" si="780"/>
        <v>0</v>
      </c>
      <c r="AU2189" s="498">
        <f t="shared" si="767"/>
        <v>0</v>
      </c>
      <c r="AV2189" s="498">
        <f t="shared" si="768"/>
        <v>0</v>
      </c>
      <c r="AW2189" s="498">
        <f t="shared" si="769"/>
        <v>0</v>
      </c>
      <c r="AX2189" s="498">
        <f t="shared" si="770"/>
        <v>0</v>
      </c>
      <c r="AY2189" s="498">
        <f t="shared" si="771"/>
        <v>0</v>
      </c>
      <c r="BB2189" s="498" t="str">
        <f t="shared" si="772"/>
        <v/>
      </c>
      <c r="BC2189" s="743" t="str">
        <f t="shared" si="773"/>
        <v/>
      </c>
      <c r="BD2189" s="743" t="str">
        <f t="shared" si="774"/>
        <v/>
      </c>
      <c r="BE2189" s="743" t="str">
        <f>IF(D2189="","",VLOOKUP(D2189,'General Basis'!$J$39:$K$46,2,0))</f>
        <v/>
      </c>
      <c r="BF2189" s="744" t="str">
        <f>IF(D2189="","",VLOOKUP(D2189,'General Basis'!$J$39:$L$46,3,0))</f>
        <v/>
      </c>
      <c r="BG2189" s="744" t="str">
        <f t="shared" si="781"/>
        <v/>
      </c>
      <c r="BH2189" s="744" t="str">
        <f>IF(G2189="","",IF(BF2189="Abu Dhabi",IF(G2189&lt;18,'General Basis'!$C$39,IF(G2189&lt;41,'General Basis'!$C$40,IF(G2189&lt;60,'General Basis'!$C$41,IF(G2189&lt;65,'General Basis'!$C$42,'General Basis'!$C$43)))),IF(G2189&lt;11,'General Basis'!$B$39,IF(G2189&lt;18,'General Basis'!$B$40,IF(G2189&lt;26,'General Basis'!$B$41,IF(G2189&lt;31,'General Basis'!$B$42,IF(G2189&lt;36,'General Basis'!$B$43,IF(G2189&lt;41,'General Basis'!$B$44,IF(G2189&lt;46,'General Basis'!$B$45,IF(G2189&lt;51,'General Basis'!$B$46,IF(G2189&lt;56,'General Basis'!$B$47,IF(G2189&lt;60,'General Basis'!$B$48,IF(G2189&lt;65,'General Basis'!$B$49,'General Basis'!$B$50)))))))))))))</f>
        <v/>
      </c>
      <c r="BI2189" s="744" t="str">
        <f t="shared" si="775"/>
        <v/>
      </c>
      <c r="BJ2189" s="747" t="str">
        <f t="shared" si="782"/>
        <v/>
      </c>
      <c r="BK2189" s="498" t="str">
        <f t="shared" si="776"/>
        <v/>
      </c>
      <c r="BL2189" s="498" t="str">
        <f t="shared" si="777"/>
        <v/>
      </c>
    </row>
    <row r="2190" spans="1:64" x14ac:dyDescent="0.25">
      <c r="A2190" s="762">
        <f t="shared" si="778"/>
        <v>2185</v>
      </c>
      <c r="B2190" s="229"/>
      <c r="C2190" s="223"/>
      <c r="D2190" s="224"/>
      <c r="E2190" s="225"/>
      <c r="F2190" s="1036" t="str">
        <f t="shared" si="762"/>
        <v/>
      </c>
      <c r="G2190" s="1037" t="str">
        <f t="shared" si="779"/>
        <v/>
      </c>
      <c r="H2190" s="225"/>
      <c r="I2190" s="1013"/>
      <c r="J2190" s="1013"/>
      <c r="K2190" s="1028"/>
      <c r="L2190" s="1035" t="str">
        <f t="shared" si="783"/>
        <v/>
      </c>
      <c r="S2190" s="498"/>
      <c r="AJ2190" s="498"/>
      <c r="AM2190" s="498">
        <f t="shared" si="764"/>
        <v>0</v>
      </c>
      <c r="AN2190" s="498">
        <f t="shared" si="765"/>
        <v>0</v>
      </c>
      <c r="AO2190" s="498">
        <f t="shared" si="766"/>
        <v>0</v>
      </c>
      <c r="AP2190" s="498">
        <f t="shared" si="763"/>
        <v>0</v>
      </c>
      <c r="AQ2190" s="498">
        <f t="shared" si="780"/>
        <v>0</v>
      </c>
      <c r="AU2190" s="498">
        <f t="shared" si="767"/>
        <v>0</v>
      </c>
      <c r="AV2190" s="498">
        <f t="shared" si="768"/>
        <v>0</v>
      </c>
      <c r="AW2190" s="498">
        <f t="shared" si="769"/>
        <v>0</v>
      </c>
      <c r="AX2190" s="498">
        <f t="shared" si="770"/>
        <v>0</v>
      </c>
      <c r="AY2190" s="498">
        <f t="shared" si="771"/>
        <v>0</v>
      </c>
      <c r="BB2190" s="498" t="str">
        <f t="shared" si="772"/>
        <v/>
      </c>
      <c r="BC2190" s="743" t="str">
        <f t="shared" si="773"/>
        <v/>
      </c>
      <c r="BD2190" s="743" t="str">
        <f t="shared" si="774"/>
        <v/>
      </c>
      <c r="BE2190" s="743" t="str">
        <f>IF(D2190="","",VLOOKUP(D2190,'General Basis'!$J$39:$K$46,2,0))</f>
        <v/>
      </c>
      <c r="BF2190" s="744" t="str">
        <f>IF(D2190="","",VLOOKUP(D2190,'General Basis'!$J$39:$L$46,3,0))</f>
        <v/>
      </c>
      <c r="BG2190" s="744" t="str">
        <f t="shared" si="781"/>
        <v/>
      </c>
      <c r="BH2190" s="744" t="str">
        <f>IF(G2190="","",IF(BF2190="Abu Dhabi",IF(G2190&lt;18,'General Basis'!$C$39,IF(G2190&lt;41,'General Basis'!$C$40,IF(G2190&lt;60,'General Basis'!$C$41,IF(G2190&lt;65,'General Basis'!$C$42,'General Basis'!$C$43)))),IF(G2190&lt;11,'General Basis'!$B$39,IF(G2190&lt;18,'General Basis'!$B$40,IF(G2190&lt;26,'General Basis'!$B$41,IF(G2190&lt;31,'General Basis'!$B$42,IF(G2190&lt;36,'General Basis'!$B$43,IF(G2190&lt;41,'General Basis'!$B$44,IF(G2190&lt;46,'General Basis'!$B$45,IF(G2190&lt;51,'General Basis'!$B$46,IF(G2190&lt;56,'General Basis'!$B$47,IF(G2190&lt;60,'General Basis'!$B$48,IF(G2190&lt;65,'General Basis'!$B$49,'General Basis'!$B$50)))))))))))))</f>
        <v/>
      </c>
      <c r="BI2190" s="744" t="str">
        <f t="shared" si="775"/>
        <v/>
      </c>
      <c r="BJ2190" s="747" t="str">
        <f t="shared" si="782"/>
        <v/>
      </c>
      <c r="BK2190" s="498" t="str">
        <f t="shared" si="776"/>
        <v/>
      </c>
      <c r="BL2190" s="498" t="str">
        <f t="shared" si="777"/>
        <v/>
      </c>
    </row>
    <row r="2191" spans="1:64" x14ac:dyDescent="0.25">
      <c r="A2191" s="762">
        <f t="shared" si="778"/>
        <v>2186</v>
      </c>
      <c r="B2191" s="229"/>
      <c r="C2191" s="223"/>
      <c r="D2191" s="224"/>
      <c r="E2191" s="225"/>
      <c r="F2191" s="1036" t="str">
        <f t="shared" si="762"/>
        <v/>
      </c>
      <c r="G2191" s="1037" t="str">
        <f t="shared" si="779"/>
        <v/>
      </c>
      <c r="H2191" s="225"/>
      <c r="I2191" s="1013"/>
      <c r="J2191" s="1013"/>
      <c r="K2191" s="1028"/>
      <c r="L2191" s="1035" t="str">
        <f t="shared" si="783"/>
        <v/>
      </c>
      <c r="S2191" s="498"/>
      <c r="AJ2191" s="498"/>
      <c r="AM2191" s="498">
        <f t="shared" si="764"/>
        <v>0</v>
      </c>
      <c r="AN2191" s="498">
        <f t="shared" si="765"/>
        <v>0</v>
      </c>
      <c r="AO2191" s="498">
        <f t="shared" si="766"/>
        <v>0</v>
      </c>
      <c r="AP2191" s="498">
        <f t="shared" si="763"/>
        <v>0</v>
      </c>
      <c r="AQ2191" s="498">
        <f t="shared" si="780"/>
        <v>0</v>
      </c>
      <c r="AU2191" s="498">
        <f t="shared" si="767"/>
        <v>0</v>
      </c>
      <c r="AV2191" s="498">
        <f t="shared" si="768"/>
        <v>0</v>
      </c>
      <c r="AW2191" s="498">
        <f t="shared" si="769"/>
        <v>0</v>
      </c>
      <c r="AX2191" s="498">
        <f t="shared" si="770"/>
        <v>0</v>
      </c>
      <c r="AY2191" s="498">
        <f t="shared" si="771"/>
        <v>0</v>
      </c>
      <c r="BB2191" s="498" t="str">
        <f t="shared" si="772"/>
        <v/>
      </c>
      <c r="BC2191" s="743" t="str">
        <f t="shared" si="773"/>
        <v/>
      </c>
      <c r="BD2191" s="743" t="str">
        <f t="shared" si="774"/>
        <v/>
      </c>
      <c r="BE2191" s="743" t="str">
        <f>IF(D2191="","",VLOOKUP(D2191,'General Basis'!$J$39:$K$46,2,0))</f>
        <v/>
      </c>
      <c r="BF2191" s="744" t="str">
        <f>IF(D2191="","",VLOOKUP(D2191,'General Basis'!$J$39:$L$46,3,0))</f>
        <v/>
      </c>
      <c r="BG2191" s="744" t="str">
        <f t="shared" si="781"/>
        <v/>
      </c>
      <c r="BH2191" s="744" t="str">
        <f>IF(G2191="","",IF(BF2191="Abu Dhabi",IF(G2191&lt;18,'General Basis'!$C$39,IF(G2191&lt;41,'General Basis'!$C$40,IF(G2191&lt;60,'General Basis'!$C$41,IF(G2191&lt;65,'General Basis'!$C$42,'General Basis'!$C$43)))),IF(G2191&lt;11,'General Basis'!$B$39,IF(G2191&lt;18,'General Basis'!$B$40,IF(G2191&lt;26,'General Basis'!$B$41,IF(G2191&lt;31,'General Basis'!$B$42,IF(G2191&lt;36,'General Basis'!$B$43,IF(G2191&lt;41,'General Basis'!$B$44,IF(G2191&lt;46,'General Basis'!$B$45,IF(G2191&lt;51,'General Basis'!$B$46,IF(G2191&lt;56,'General Basis'!$B$47,IF(G2191&lt;60,'General Basis'!$B$48,IF(G2191&lt;65,'General Basis'!$B$49,'General Basis'!$B$50)))))))))))))</f>
        <v/>
      </c>
      <c r="BI2191" s="744" t="str">
        <f t="shared" si="775"/>
        <v/>
      </c>
      <c r="BJ2191" s="747" t="str">
        <f t="shared" si="782"/>
        <v/>
      </c>
      <c r="BK2191" s="498" t="str">
        <f t="shared" si="776"/>
        <v/>
      </c>
      <c r="BL2191" s="498" t="str">
        <f t="shared" si="777"/>
        <v/>
      </c>
    </row>
    <row r="2192" spans="1:64" x14ac:dyDescent="0.25">
      <c r="A2192" s="762">
        <f t="shared" si="778"/>
        <v>2187</v>
      </c>
      <c r="B2192" s="229"/>
      <c r="C2192" s="223"/>
      <c r="D2192" s="224"/>
      <c r="E2192" s="225"/>
      <c r="F2192" s="1036" t="str">
        <f t="shared" ref="F2192:F2255" si="784">IF(C2192="","",IF($B2192="","",((YEAR($F$3)-YEAR($B2192))+(MONTH($F$3)-MONTH($B2192))/12+(DAY($F$3)-DAY($B2192))/(DATE(YEAR($F$3),12,31)-DATE(YEAR($F$3),1,1)+1))))</f>
        <v/>
      </c>
      <c r="G2192" s="1037" t="str">
        <f t="shared" si="779"/>
        <v/>
      </c>
      <c r="H2192" s="225"/>
      <c r="I2192" s="1013"/>
      <c r="J2192" s="1013"/>
      <c r="K2192" s="1028"/>
      <c r="L2192" s="1035" t="str">
        <f t="shared" si="783"/>
        <v/>
      </c>
      <c r="S2192" s="498"/>
      <c r="AJ2192" s="498"/>
      <c r="AM2192" s="498">
        <f t="shared" si="764"/>
        <v>0</v>
      </c>
      <c r="AN2192" s="498">
        <f t="shared" si="765"/>
        <v>0</v>
      </c>
      <c r="AO2192" s="498">
        <f t="shared" si="766"/>
        <v>0</v>
      </c>
      <c r="AP2192" s="498">
        <f t="shared" si="763"/>
        <v>0</v>
      </c>
      <c r="AQ2192" s="498">
        <f t="shared" si="780"/>
        <v>0</v>
      </c>
      <c r="AU2192" s="498">
        <f t="shared" si="767"/>
        <v>0</v>
      </c>
      <c r="AV2192" s="498">
        <f t="shared" si="768"/>
        <v>0</v>
      </c>
      <c r="AW2192" s="498">
        <f t="shared" si="769"/>
        <v>0</v>
      </c>
      <c r="AX2192" s="498">
        <f t="shared" si="770"/>
        <v>0</v>
      </c>
      <c r="AY2192" s="498">
        <f t="shared" si="771"/>
        <v>0</v>
      </c>
      <c r="BB2192" s="498" t="str">
        <f t="shared" si="772"/>
        <v/>
      </c>
      <c r="BC2192" s="743" t="str">
        <f t="shared" si="773"/>
        <v/>
      </c>
      <c r="BD2192" s="743" t="str">
        <f t="shared" si="774"/>
        <v/>
      </c>
      <c r="BE2192" s="743" t="str">
        <f>IF(D2192="","",VLOOKUP(D2192,'General Basis'!$J$39:$K$46,2,0))</f>
        <v/>
      </c>
      <c r="BF2192" s="744" t="str">
        <f>IF(D2192="","",VLOOKUP(D2192,'General Basis'!$J$39:$L$46,3,0))</f>
        <v/>
      </c>
      <c r="BG2192" s="744" t="str">
        <f t="shared" si="781"/>
        <v/>
      </c>
      <c r="BH2192" s="744" t="str">
        <f>IF(G2192="","",IF(BF2192="Abu Dhabi",IF(G2192&lt;18,'General Basis'!$C$39,IF(G2192&lt;41,'General Basis'!$C$40,IF(G2192&lt;60,'General Basis'!$C$41,IF(G2192&lt;65,'General Basis'!$C$42,'General Basis'!$C$43)))),IF(G2192&lt;11,'General Basis'!$B$39,IF(G2192&lt;18,'General Basis'!$B$40,IF(G2192&lt;26,'General Basis'!$B$41,IF(G2192&lt;31,'General Basis'!$B$42,IF(G2192&lt;36,'General Basis'!$B$43,IF(G2192&lt;41,'General Basis'!$B$44,IF(G2192&lt;46,'General Basis'!$B$45,IF(G2192&lt;51,'General Basis'!$B$46,IF(G2192&lt;56,'General Basis'!$B$47,IF(G2192&lt;60,'General Basis'!$B$48,IF(G2192&lt;65,'General Basis'!$B$49,'General Basis'!$B$50)))))))))))))</f>
        <v/>
      </c>
      <c r="BI2192" s="744" t="str">
        <f t="shared" si="775"/>
        <v/>
      </c>
      <c r="BJ2192" s="747" t="str">
        <f t="shared" si="782"/>
        <v/>
      </c>
      <c r="BK2192" s="498" t="str">
        <f t="shared" si="776"/>
        <v/>
      </c>
      <c r="BL2192" s="498" t="str">
        <f t="shared" si="777"/>
        <v/>
      </c>
    </row>
    <row r="2193" spans="1:64" x14ac:dyDescent="0.25">
      <c r="A2193" s="762">
        <f t="shared" si="778"/>
        <v>2188</v>
      </c>
      <c r="B2193" s="229"/>
      <c r="C2193" s="223"/>
      <c r="D2193" s="224"/>
      <c r="E2193" s="225"/>
      <c r="F2193" s="1036" t="str">
        <f t="shared" si="784"/>
        <v/>
      </c>
      <c r="G2193" s="1037" t="str">
        <f t="shared" si="779"/>
        <v/>
      </c>
      <c r="H2193" s="225"/>
      <c r="I2193" s="1013"/>
      <c r="J2193" s="1013"/>
      <c r="K2193" s="1028"/>
      <c r="L2193" s="1035" t="str">
        <f t="shared" si="783"/>
        <v/>
      </c>
      <c r="S2193" s="498"/>
      <c r="AJ2193" s="498"/>
      <c r="AM2193" s="498">
        <f t="shared" si="764"/>
        <v>0</v>
      </c>
      <c r="AN2193" s="498">
        <f t="shared" si="765"/>
        <v>0</v>
      </c>
      <c r="AO2193" s="498">
        <f t="shared" si="766"/>
        <v>0</v>
      </c>
      <c r="AP2193" s="498">
        <f t="shared" si="763"/>
        <v>0</v>
      </c>
      <c r="AQ2193" s="498">
        <f t="shared" si="780"/>
        <v>0</v>
      </c>
      <c r="AU2193" s="498">
        <f t="shared" si="767"/>
        <v>0</v>
      </c>
      <c r="AV2193" s="498">
        <f t="shared" si="768"/>
        <v>0</v>
      </c>
      <c r="AW2193" s="498">
        <f t="shared" si="769"/>
        <v>0</v>
      </c>
      <c r="AX2193" s="498">
        <f t="shared" si="770"/>
        <v>0</v>
      </c>
      <c r="AY2193" s="498">
        <f t="shared" si="771"/>
        <v>0</v>
      </c>
      <c r="BB2193" s="498" t="str">
        <f t="shared" si="772"/>
        <v/>
      </c>
      <c r="BC2193" s="743" t="str">
        <f t="shared" si="773"/>
        <v/>
      </c>
      <c r="BD2193" s="743" t="str">
        <f t="shared" si="774"/>
        <v/>
      </c>
      <c r="BE2193" s="743" t="str">
        <f>IF(D2193="","",VLOOKUP(D2193,'General Basis'!$J$39:$K$46,2,0))</f>
        <v/>
      </c>
      <c r="BF2193" s="744" t="str">
        <f>IF(D2193="","",VLOOKUP(D2193,'General Basis'!$J$39:$L$46,3,0))</f>
        <v/>
      </c>
      <c r="BG2193" s="744" t="str">
        <f t="shared" si="781"/>
        <v/>
      </c>
      <c r="BH2193" s="744" t="str">
        <f>IF(G2193="","",IF(BF2193="Abu Dhabi",IF(G2193&lt;18,'General Basis'!$C$39,IF(G2193&lt;41,'General Basis'!$C$40,IF(G2193&lt;60,'General Basis'!$C$41,IF(G2193&lt;65,'General Basis'!$C$42,'General Basis'!$C$43)))),IF(G2193&lt;11,'General Basis'!$B$39,IF(G2193&lt;18,'General Basis'!$B$40,IF(G2193&lt;26,'General Basis'!$B$41,IF(G2193&lt;31,'General Basis'!$B$42,IF(G2193&lt;36,'General Basis'!$B$43,IF(G2193&lt;41,'General Basis'!$B$44,IF(G2193&lt;46,'General Basis'!$B$45,IF(G2193&lt;51,'General Basis'!$B$46,IF(G2193&lt;56,'General Basis'!$B$47,IF(G2193&lt;60,'General Basis'!$B$48,IF(G2193&lt;65,'General Basis'!$B$49,'General Basis'!$B$50)))))))))))))</f>
        <v/>
      </c>
      <c r="BI2193" s="744" t="str">
        <f t="shared" si="775"/>
        <v/>
      </c>
      <c r="BJ2193" s="747" t="str">
        <f t="shared" si="782"/>
        <v/>
      </c>
      <c r="BK2193" s="498" t="str">
        <f t="shared" si="776"/>
        <v/>
      </c>
      <c r="BL2193" s="498" t="str">
        <f t="shared" si="777"/>
        <v/>
      </c>
    </row>
    <row r="2194" spans="1:64" x14ac:dyDescent="0.25">
      <c r="A2194" s="762">
        <f t="shared" si="778"/>
        <v>2189</v>
      </c>
      <c r="B2194" s="229"/>
      <c r="C2194" s="223"/>
      <c r="D2194" s="224"/>
      <c r="E2194" s="225"/>
      <c r="F2194" s="1036" t="str">
        <f t="shared" si="784"/>
        <v/>
      </c>
      <c r="G2194" s="1037" t="str">
        <f t="shared" si="779"/>
        <v/>
      </c>
      <c r="H2194" s="225"/>
      <c r="I2194" s="1013"/>
      <c r="J2194" s="1013"/>
      <c r="K2194" s="1028"/>
      <c r="L2194" s="1035" t="str">
        <f t="shared" si="783"/>
        <v/>
      </c>
      <c r="S2194" s="498"/>
      <c r="AJ2194" s="498"/>
      <c r="AM2194" s="498">
        <f t="shared" si="764"/>
        <v>0</v>
      </c>
      <c r="AN2194" s="498">
        <f t="shared" si="765"/>
        <v>0</v>
      </c>
      <c r="AO2194" s="498">
        <f t="shared" si="766"/>
        <v>0</v>
      </c>
      <c r="AP2194" s="498">
        <f t="shared" si="763"/>
        <v>0</v>
      </c>
      <c r="AQ2194" s="498">
        <f t="shared" si="780"/>
        <v>0</v>
      </c>
      <c r="AU2194" s="498">
        <f t="shared" si="767"/>
        <v>0</v>
      </c>
      <c r="AV2194" s="498">
        <f t="shared" si="768"/>
        <v>0</v>
      </c>
      <c r="AW2194" s="498">
        <f t="shared" si="769"/>
        <v>0</v>
      </c>
      <c r="AX2194" s="498">
        <f t="shared" si="770"/>
        <v>0</v>
      </c>
      <c r="AY2194" s="498">
        <f t="shared" si="771"/>
        <v>0</v>
      </c>
      <c r="BB2194" s="498" t="str">
        <f t="shared" si="772"/>
        <v/>
      </c>
      <c r="BC2194" s="743" t="str">
        <f t="shared" si="773"/>
        <v/>
      </c>
      <c r="BD2194" s="743" t="str">
        <f t="shared" si="774"/>
        <v/>
      </c>
      <c r="BE2194" s="743" t="str">
        <f>IF(D2194="","",VLOOKUP(D2194,'General Basis'!$J$39:$K$46,2,0))</f>
        <v/>
      </c>
      <c r="BF2194" s="744" t="str">
        <f>IF(D2194="","",VLOOKUP(D2194,'General Basis'!$J$39:$L$46,3,0))</f>
        <v/>
      </c>
      <c r="BG2194" s="744" t="str">
        <f t="shared" si="781"/>
        <v/>
      </c>
      <c r="BH2194" s="744" t="str">
        <f>IF(G2194="","",IF(BF2194="Abu Dhabi",IF(G2194&lt;18,'General Basis'!$C$39,IF(G2194&lt;41,'General Basis'!$C$40,IF(G2194&lt;60,'General Basis'!$C$41,IF(G2194&lt;65,'General Basis'!$C$42,'General Basis'!$C$43)))),IF(G2194&lt;11,'General Basis'!$B$39,IF(G2194&lt;18,'General Basis'!$B$40,IF(G2194&lt;26,'General Basis'!$B$41,IF(G2194&lt;31,'General Basis'!$B$42,IF(G2194&lt;36,'General Basis'!$B$43,IF(G2194&lt;41,'General Basis'!$B$44,IF(G2194&lt;46,'General Basis'!$B$45,IF(G2194&lt;51,'General Basis'!$B$46,IF(G2194&lt;56,'General Basis'!$B$47,IF(G2194&lt;60,'General Basis'!$B$48,IF(G2194&lt;65,'General Basis'!$B$49,'General Basis'!$B$50)))))))))))))</f>
        <v/>
      </c>
      <c r="BI2194" s="744" t="str">
        <f t="shared" si="775"/>
        <v/>
      </c>
      <c r="BJ2194" s="747" t="str">
        <f t="shared" si="782"/>
        <v/>
      </c>
      <c r="BK2194" s="498" t="str">
        <f t="shared" si="776"/>
        <v/>
      </c>
      <c r="BL2194" s="498" t="str">
        <f t="shared" si="777"/>
        <v/>
      </c>
    </row>
    <row r="2195" spans="1:64" x14ac:dyDescent="0.25">
      <c r="A2195" s="762">
        <f t="shared" si="778"/>
        <v>2190</v>
      </c>
      <c r="B2195" s="229"/>
      <c r="C2195" s="223"/>
      <c r="D2195" s="224"/>
      <c r="E2195" s="225"/>
      <c r="F2195" s="1036" t="str">
        <f t="shared" si="784"/>
        <v/>
      </c>
      <c r="G2195" s="1037" t="str">
        <f t="shared" si="779"/>
        <v/>
      </c>
      <c r="H2195" s="225"/>
      <c r="I2195" s="1013"/>
      <c r="J2195" s="1013"/>
      <c r="K2195" s="1028"/>
      <c r="L2195" s="1035" t="str">
        <f t="shared" si="783"/>
        <v/>
      </c>
      <c r="S2195" s="498"/>
      <c r="AJ2195" s="498"/>
      <c r="AM2195" s="498">
        <f t="shared" si="764"/>
        <v>0</v>
      </c>
      <c r="AN2195" s="498">
        <f t="shared" si="765"/>
        <v>0</v>
      </c>
      <c r="AO2195" s="498">
        <f t="shared" si="766"/>
        <v>0</v>
      </c>
      <c r="AP2195" s="498">
        <f t="shared" ref="AP2195:AP2258" si="785">IF(ISBLANK($B2195),0,IF(OR($C2195="M",$C2195="F"),0,1))</f>
        <v>0</v>
      </c>
      <c r="AQ2195" s="498">
        <f t="shared" si="780"/>
        <v>0</v>
      </c>
      <c r="AU2195" s="498">
        <f t="shared" si="767"/>
        <v>0</v>
      </c>
      <c r="AV2195" s="498">
        <f t="shared" si="768"/>
        <v>0</v>
      </c>
      <c r="AW2195" s="498">
        <f t="shared" si="769"/>
        <v>0</v>
      </c>
      <c r="AX2195" s="498">
        <f t="shared" si="770"/>
        <v>0</v>
      </c>
      <c r="AY2195" s="498">
        <f t="shared" si="771"/>
        <v>0</v>
      </c>
      <c r="BB2195" s="498" t="str">
        <f t="shared" si="772"/>
        <v/>
      </c>
      <c r="BC2195" s="743" t="str">
        <f t="shared" si="773"/>
        <v/>
      </c>
      <c r="BD2195" s="743" t="str">
        <f t="shared" si="774"/>
        <v/>
      </c>
      <c r="BE2195" s="743" t="str">
        <f>IF(D2195="","",VLOOKUP(D2195,'General Basis'!$J$39:$K$46,2,0))</f>
        <v/>
      </c>
      <c r="BF2195" s="744" t="str">
        <f>IF(D2195="","",VLOOKUP(D2195,'General Basis'!$J$39:$L$46,3,0))</f>
        <v/>
      </c>
      <c r="BG2195" s="744" t="str">
        <f t="shared" si="781"/>
        <v/>
      </c>
      <c r="BH2195" s="744" t="str">
        <f>IF(G2195="","",IF(BF2195="Abu Dhabi",IF(G2195&lt;18,'General Basis'!$C$39,IF(G2195&lt;41,'General Basis'!$C$40,IF(G2195&lt;60,'General Basis'!$C$41,IF(G2195&lt;65,'General Basis'!$C$42,'General Basis'!$C$43)))),IF(G2195&lt;11,'General Basis'!$B$39,IF(G2195&lt;18,'General Basis'!$B$40,IF(G2195&lt;26,'General Basis'!$B$41,IF(G2195&lt;31,'General Basis'!$B$42,IF(G2195&lt;36,'General Basis'!$B$43,IF(G2195&lt;41,'General Basis'!$B$44,IF(G2195&lt;46,'General Basis'!$B$45,IF(G2195&lt;51,'General Basis'!$B$46,IF(G2195&lt;56,'General Basis'!$B$47,IF(G2195&lt;60,'General Basis'!$B$48,IF(G2195&lt;65,'General Basis'!$B$49,'General Basis'!$B$50)))))))))))))</f>
        <v/>
      </c>
      <c r="BI2195" s="744" t="str">
        <f t="shared" si="775"/>
        <v/>
      </c>
      <c r="BJ2195" s="747" t="str">
        <f t="shared" si="782"/>
        <v/>
      </c>
      <c r="BK2195" s="498" t="str">
        <f t="shared" si="776"/>
        <v/>
      </c>
      <c r="BL2195" s="498" t="str">
        <f t="shared" si="777"/>
        <v/>
      </c>
    </row>
    <row r="2196" spans="1:64" x14ac:dyDescent="0.25">
      <c r="A2196" s="762">
        <f t="shared" si="778"/>
        <v>2191</v>
      </c>
      <c r="B2196" s="229"/>
      <c r="C2196" s="223"/>
      <c r="D2196" s="224"/>
      <c r="E2196" s="225"/>
      <c r="F2196" s="1036" t="str">
        <f t="shared" si="784"/>
        <v/>
      </c>
      <c r="G2196" s="1037" t="str">
        <f t="shared" si="779"/>
        <v/>
      </c>
      <c r="H2196" s="225"/>
      <c r="I2196" s="1013"/>
      <c r="J2196" s="1013"/>
      <c r="K2196" s="1028"/>
      <c r="L2196" s="1035" t="str">
        <f t="shared" si="783"/>
        <v/>
      </c>
      <c r="S2196" s="498"/>
      <c r="AJ2196" s="498"/>
      <c r="AM2196" s="498">
        <f t="shared" si="764"/>
        <v>0</v>
      </c>
      <c r="AN2196" s="498">
        <f t="shared" si="765"/>
        <v>0</v>
      </c>
      <c r="AO2196" s="498">
        <f t="shared" si="766"/>
        <v>0</v>
      </c>
      <c r="AP2196" s="498">
        <f t="shared" si="785"/>
        <v>0</v>
      </c>
      <c r="AQ2196" s="498">
        <f t="shared" si="780"/>
        <v>0</v>
      </c>
      <c r="AU2196" s="498">
        <f t="shared" si="767"/>
        <v>0</v>
      </c>
      <c r="AV2196" s="498">
        <f t="shared" si="768"/>
        <v>0</v>
      </c>
      <c r="AW2196" s="498">
        <f t="shared" si="769"/>
        <v>0</v>
      </c>
      <c r="AX2196" s="498">
        <f t="shared" si="770"/>
        <v>0</v>
      </c>
      <c r="AY2196" s="498">
        <f t="shared" si="771"/>
        <v>0</v>
      </c>
      <c r="BB2196" s="498" t="str">
        <f t="shared" si="772"/>
        <v/>
      </c>
      <c r="BC2196" s="743" t="str">
        <f t="shared" si="773"/>
        <v/>
      </c>
      <c r="BD2196" s="743" t="str">
        <f t="shared" si="774"/>
        <v/>
      </c>
      <c r="BE2196" s="743" t="str">
        <f>IF(D2196="","",VLOOKUP(D2196,'General Basis'!$J$39:$K$46,2,0))</f>
        <v/>
      </c>
      <c r="BF2196" s="744" t="str">
        <f>IF(D2196="","",VLOOKUP(D2196,'General Basis'!$J$39:$L$46,3,0))</f>
        <v/>
      </c>
      <c r="BG2196" s="744" t="str">
        <f t="shared" si="781"/>
        <v/>
      </c>
      <c r="BH2196" s="744" t="str">
        <f>IF(G2196="","",IF(BF2196="Abu Dhabi",IF(G2196&lt;18,'General Basis'!$C$39,IF(G2196&lt;41,'General Basis'!$C$40,IF(G2196&lt;60,'General Basis'!$C$41,IF(G2196&lt;65,'General Basis'!$C$42,'General Basis'!$C$43)))),IF(G2196&lt;11,'General Basis'!$B$39,IF(G2196&lt;18,'General Basis'!$B$40,IF(G2196&lt;26,'General Basis'!$B$41,IF(G2196&lt;31,'General Basis'!$B$42,IF(G2196&lt;36,'General Basis'!$B$43,IF(G2196&lt;41,'General Basis'!$B$44,IF(G2196&lt;46,'General Basis'!$B$45,IF(G2196&lt;51,'General Basis'!$B$46,IF(G2196&lt;56,'General Basis'!$B$47,IF(G2196&lt;60,'General Basis'!$B$48,IF(G2196&lt;65,'General Basis'!$B$49,'General Basis'!$B$50)))))))))))))</f>
        <v/>
      </c>
      <c r="BI2196" s="744" t="str">
        <f t="shared" si="775"/>
        <v/>
      </c>
      <c r="BJ2196" s="747" t="str">
        <f t="shared" si="782"/>
        <v/>
      </c>
      <c r="BK2196" s="498" t="str">
        <f t="shared" si="776"/>
        <v/>
      </c>
      <c r="BL2196" s="498" t="str">
        <f t="shared" si="777"/>
        <v/>
      </c>
    </row>
    <row r="2197" spans="1:64" x14ac:dyDescent="0.25">
      <c r="A2197" s="762">
        <f t="shared" si="778"/>
        <v>2192</v>
      </c>
      <c r="B2197" s="229"/>
      <c r="C2197" s="223"/>
      <c r="D2197" s="224"/>
      <c r="E2197" s="225"/>
      <c r="F2197" s="1036" t="str">
        <f t="shared" si="784"/>
        <v/>
      </c>
      <c r="G2197" s="1037" t="str">
        <f t="shared" si="779"/>
        <v/>
      </c>
      <c r="H2197" s="225"/>
      <c r="I2197" s="1013"/>
      <c r="J2197" s="1013"/>
      <c r="K2197" s="1028"/>
      <c r="L2197" s="1035" t="str">
        <f t="shared" si="783"/>
        <v/>
      </c>
      <c r="S2197" s="498"/>
      <c r="AJ2197" s="498"/>
      <c r="AM2197" s="498">
        <f t="shared" si="764"/>
        <v>0</v>
      </c>
      <c r="AN2197" s="498">
        <f t="shared" si="765"/>
        <v>0</v>
      </c>
      <c r="AO2197" s="498">
        <f t="shared" si="766"/>
        <v>0</v>
      </c>
      <c r="AP2197" s="498">
        <f t="shared" si="785"/>
        <v>0</v>
      </c>
      <c r="AQ2197" s="498">
        <f t="shared" si="780"/>
        <v>0</v>
      </c>
      <c r="AU2197" s="498">
        <f t="shared" si="767"/>
        <v>0</v>
      </c>
      <c r="AV2197" s="498">
        <f t="shared" si="768"/>
        <v>0</v>
      </c>
      <c r="AW2197" s="498">
        <f t="shared" si="769"/>
        <v>0</v>
      </c>
      <c r="AX2197" s="498">
        <f t="shared" si="770"/>
        <v>0</v>
      </c>
      <c r="AY2197" s="498">
        <f t="shared" si="771"/>
        <v>0</v>
      </c>
      <c r="BB2197" s="498" t="str">
        <f t="shared" si="772"/>
        <v/>
      </c>
      <c r="BC2197" s="743" t="str">
        <f t="shared" si="773"/>
        <v/>
      </c>
      <c r="BD2197" s="743" t="str">
        <f t="shared" si="774"/>
        <v/>
      </c>
      <c r="BE2197" s="743" t="str">
        <f>IF(D2197="","",VLOOKUP(D2197,'General Basis'!$J$39:$K$46,2,0))</f>
        <v/>
      </c>
      <c r="BF2197" s="744" t="str">
        <f>IF(D2197="","",VLOOKUP(D2197,'General Basis'!$J$39:$L$46,3,0))</f>
        <v/>
      </c>
      <c r="BG2197" s="744" t="str">
        <f t="shared" si="781"/>
        <v/>
      </c>
      <c r="BH2197" s="744" t="str">
        <f>IF(G2197="","",IF(BF2197="Abu Dhabi",IF(G2197&lt;18,'General Basis'!$C$39,IF(G2197&lt;41,'General Basis'!$C$40,IF(G2197&lt;60,'General Basis'!$C$41,IF(G2197&lt;65,'General Basis'!$C$42,'General Basis'!$C$43)))),IF(G2197&lt;11,'General Basis'!$B$39,IF(G2197&lt;18,'General Basis'!$B$40,IF(G2197&lt;26,'General Basis'!$B$41,IF(G2197&lt;31,'General Basis'!$B$42,IF(G2197&lt;36,'General Basis'!$B$43,IF(G2197&lt;41,'General Basis'!$B$44,IF(G2197&lt;46,'General Basis'!$B$45,IF(G2197&lt;51,'General Basis'!$B$46,IF(G2197&lt;56,'General Basis'!$B$47,IF(G2197&lt;60,'General Basis'!$B$48,IF(G2197&lt;65,'General Basis'!$B$49,'General Basis'!$B$50)))))))))))))</f>
        <v/>
      </c>
      <c r="BI2197" s="744" t="str">
        <f t="shared" si="775"/>
        <v/>
      </c>
      <c r="BJ2197" s="747" t="str">
        <f t="shared" si="782"/>
        <v/>
      </c>
      <c r="BK2197" s="498" t="str">
        <f t="shared" si="776"/>
        <v/>
      </c>
      <c r="BL2197" s="498" t="str">
        <f t="shared" si="777"/>
        <v/>
      </c>
    </row>
    <row r="2198" spans="1:64" x14ac:dyDescent="0.25">
      <c r="A2198" s="762">
        <f t="shared" si="778"/>
        <v>2193</v>
      </c>
      <c r="B2198" s="229"/>
      <c r="C2198" s="223"/>
      <c r="D2198" s="224"/>
      <c r="E2198" s="225"/>
      <c r="F2198" s="1036" t="str">
        <f t="shared" si="784"/>
        <v/>
      </c>
      <c r="G2198" s="1037" t="str">
        <f t="shared" si="779"/>
        <v/>
      </c>
      <c r="H2198" s="225"/>
      <c r="I2198" s="1013"/>
      <c r="J2198" s="1013"/>
      <c r="K2198" s="1028"/>
      <c r="L2198" s="1035" t="str">
        <f t="shared" si="783"/>
        <v/>
      </c>
      <c r="S2198" s="498"/>
      <c r="AJ2198" s="498"/>
      <c r="AM2198" s="498">
        <f t="shared" si="764"/>
        <v>0</v>
      </c>
      <c r="AN2198" s="498">
        <f t="shared" si="765"/>
        <v>0</v>
      </c>
      <c r="AO2198" s="498">
        <f t="shared" si="766"/>
        <v>0</v>
      </c>
      <c r="AP2198" s="498">
        <f t="shared" si="785"/>
        <v>0</v>
      </c>
      <c r="AQ2198" s="498">
        <f t="shared" si="780"/>
        <v>0</v>
      </c>
      <c r="AU2198" s="498">
        <f t="shared" si="767"/>
        <v>0</v>
      </c>
      <c r="AV2198" s="498">
        <f t="shared" si="768"/>
        <v>0</v>
      </c>
      <c r="AW2198" s="498">
        <f t="shared" si="769"/>
        <v>0</v>
      </c>
      <c r="AX2198" s="498">
        <f t="shared" si="770"/>
        <v>0</v>
      </c>
      <c r="AY2198" s="498">
        <f t="shared" si="771"/>
        <v>0</v>
      </c>
      <c r="BB2198" s="498" t="str">
        <f t="shared" si="772"/>
        <v/>
      </c>
      <c r="BC2198" s="743" t="str">
        <f t="shared" si="773"/>
        <v/>
      </c>
      <c r="BD2198" s="743" t="str">
        <f t="shared" si="774"/>
        <v/>
      </c>
      <c r="BE2198" s="743" t="str">
        <f>IF(D2198="","",VLOOKUP(D2198,'General Basis'!$J$39:$K$46,2,0))</f>
        <v/>
      </c>
      <c r="BF2198" s="744" t="str">
        <f>IF(D2198="","",VLOOKUP(D2198,'General Basis'!$J$39:$L$46,3,0))</f>
        <v/>
      </c>
      <c r="BG2198" s="744" t="str">
        <f t="shared" si="781"/>
        <v/>
      </c>
      <c r="BH2198" s="744" t="str">
        <f>IF(G2198="","",IF(BF2198="Abu Dhabi",IF(G2198&lt;18,'General Basis'!$C$39,IF(G2198&lt;41,'General Basis'!$C$40,IF(G2198&lt;60,'General Basis'!$C$41,IF(G2198&lt;65,'General Basis'!$C$42,'General Basis'!$C$43)))),IF(G2198&lt;11,'General Basis'!$B$39,IF(G2198&lt;18,'General Basis'!$B$40,IF(G2198&lt;26,'General Basis'!$B$41,IF(G2198&lt;31,'General Basis'!$B$42,IF(G2198&lt;36,'General Basis'!$B$43,IF(G2198&lt;41,'General Basis'!$B$44,IF(G2198&lt;46,'General Basis'!$B$45,IF(G2198&lt;51,'General Basis'!$B$46,IF(G2198&lt;56,'General Basis'!$B$47,IF(G2198&lt;60,'General Basis'!$B$48,IF(G2198&lt;65,'General Basis'!$B$49,'General Basis'!$B$50)))))))))))))</f>
        <v/>
      </c>
      <c r="BI2198" s="744" t="str">
        <f t="shared" si="775"/>
        <v/>
      </c>
      <c r="BJ2198" s="747" t="str">
        <f t="shared" si="782"/>
        <v/>
      </c>
      <c r="BK2198" s="498" t="str">
        <f t="shared" si="776"/>
        <v/>
      </c>
      <c r="BL2198" s="498" t="str">
        <f t="shared" si="777"/>
        <v/>
      </c>
    </row>
    <row r="2199" spans="1:64" x14ac:dyDescent="0.25">
      <c r="A2199" s="762">
        <f t="shared" si="778"/>
        <v>2194</v>
      </c>
      <c r="B2199" s="229"/>
      <c r="C2199" s="223"/>
      <c r="D2199" s="224"/>
      <c r="E2199" s="225"/>
      <c r="F2199" s="1036" t="str">
        <f t="shared" si="784"/>
        <v/>
      </c>
      <c r="G2199" s="1037" t="str">
        <f t="shared" si="779"/>
        <v/>
      </c>
      <c r="H2199" s="225"/>
      <c r="I2199" s="1013"/>
      <c r="J2199" s="1013"/>
      <c r="K2199" s="1028"/>
      <c r="L2199" s="1035" t="str">
        <f t="shared" si="783"/>
        <v/>
      </c>
      <c r="S2199" s="498"/>
      <c r="AJ2199" s="498"/>
      <c r="AM2199" s="498">
        <f t="shared" si="764"/>
        <v>0</v>
      </c>
      <c r="AN2199" s="498">
        <f t="shared" si="765"/>
        <v>0</v>
      </c>
      <c r="AO2199" s="498">
        <f t="shared" si="766"/>
        <v>0</v>
      </c>
      <c r="AP2199" s="498">
        <f t="shared" si="785"/>
        <v>0</v>
      </c>
      <c r="AQ2199" s="498">
        <f t="shared" si="780"/>
        <v>0</v>
      </c>
      <c r="AU2199" s="498">
        <f t="shared" si="767"/>
        <v>0</v>
      </c>
      <c r="AV2199" s="498">
        <f t="shared" si="768"/>
        <v>0</v>
      </c>
      <c r="AW2199" s="498">
        <f t="shared" si="769"/>
        <v>0</v>
      </c>
      <c r="AX2199" s="498">
        <f t="shared" si="770"/>
        <v>0</v>
      </c>
      <c r="AY2199" s="498">
        <f t="shared" si="771"/>
        <v>0</v>
      </c>
      <c r="BB2199" s="498" t="str">
        <f t="shared" si="772"/>
        <v/>
      </c>
      <c r="BC2199" s="743" t="str">
        <f t="shared" si="773"/>
        <v/>
      </c>
      <c r="BD2199" s="743" t="str">
        <f t="shared" si="774"/>
        <v/>
      </c>
      <c r="BE2199" s="743" t="str">
        <f>IF(D2199="","",VLOOKUP(D2199,'General Basis'!$J$39:$K$46,2,0))</f>
        <v/>
      </c>
      <c r="BF2199" s="744" t="str">
        <f>IF(D2199="","",VLOOKUP(D2199,'General Basis'!$J$39:$L$46,3,0))</f>
        <v/>
      </c>
      <c r="BG2199" s="744" t="str">
        <f t="shared" si="781"/>
        <v/>
      </c>
      <c r="BH2199" s="744" t="str">
        <f>IF(G2199="","",IF(BF2199="Abu Dhabi",IF(G2199&lt;18,'General Basis'!$C$39,IF(G2199&lt;41,'General Basis'!$C$40,IF(G2199&lt;60,'General Basis'!$C$41,IF(G2199&lt;65,'General Basis'!$C$42,'General Basis'!$C$43)))),IF(G2199&lt;11,'General Basis'!$B$39,IF(G2199&lt;18,'General Basis'!$B$40,IF(G2199&lt;26,'General Basis'!$B$41,IF(G2199&lt;31,'General Basis'!$B$42,IF(G2199&lt;36,'General Basis'!$B$43,IF(G2199&lt;41,'General Basis'!$B$44,IF(G2199&lt;46,'General Basis'!$B$45,IF(G2199&lt;51,'General Basis'!$B$46,IF(G2199&lt;56,'General Basis'!$B$47,IF(G2199&lt;60,'General Basis'!$B$48,IF(G2199&lt;65,'General Basis'!$B$49,'General Basis'!$B$50)))))))))))))</f>
        <v/>
      </c>
      <c r="BI2199" s="744" t="str">
        <f t="shared" si="775"/>
        <v/>
      </c>
      <c r="BJ2199" s="747" t="str">
        <f t="shared" si="782"/>
        <v/>
      </c>
      <c r="BK2199" s="498" t="str">
        <f t="shared" si="776"/>
        <v/>
      </c>
      <c r="BL2199" s="498" t="str">
        <f t="shared" si="777"/>
        <v/>
      </c>
    </row>
    <row r="2200" spans="1:64" x14ac:dyDescent="0.25">
      <c r="A2200" s="762">
        <f t="shared" si="778"/>
        <v>2195</v>
      </c>
      <c r="B2200" s="229"/>
      <c r="C2200" s="223"/>
      <c r="D2200" s="224"/>
      <c r="E2200" s="225"/>
      <c r="F2200" s="1036" t="str">
        <f t="shared" si="784"/>
        <v/>
      </c>
      <c r="G2200" s="1037" t="str">
        <f t="shared" si="779"/>
        <v/>
      </c>
      <c r="H2200" s="225"/>
      <c r="I2200" s="1013"/>
      <c r="J2200" s="1013"/>
      <c r="K2200" s="1028"/>
      <c r="L2200" s="1035" t="str">
        <f t="shared" si="783"/>
        <v/>
      </c>
      <c r="S2200" s="498"/>
      <c r="AJ2200" s="498"/>
      <c r="AM2200" s="498">
        <f t="shared" si="764"/>
        <v>0</v>
      </c>
      <c r="AN2200" s="498">
        <f t="shared" si="765"/>
        <v>0</v>
      </c>
      <c r="AO2200" s="498">
        <f t="shared" si="766"/>
        <v>0</v>
      </c>
      <c r="AP2200" s="498">
        <f t="shared" si="785"/>
        <v>0</v>
      </c>
      <c r="AQ2200" s="498">
        <f t="shared" si="780"/>
        <v>0</v>
      </c>
      <c r="AU2200" s="498">
        <f t="shared" si="767"/>
        <v>0</v>
      </c>
      <c r="AV2200" s="498">
        <f t="shared" si="768"/>
        <v>0</v>
      </c>
      <c r="AW2200" s="498">
        <f t="shared" si="769"/>
        <v>0</v>
      </c>
      <c r="AX2200" s="498">
        <f t="shared" si="770"/>
        <v>0</v>
      </c>
      <c r="AY2200" s="498">
        <f t="shared" si="771"/>
        <v>0</v>
      </c>
      <c r="BB2200" s="498" t="str">
        <f t="shared" si="772"/>
        <v/>
      </c>
      <c r="BC2200" s="743" t="str">
        <f t="shared" si="773"/>
        <v/>
      </c>
      <c r="BD2200" s="743" t="str">
        <f t="shared" si="774"/>
        <v/>
      </c>
      <c r="BE2200" s="743" t="str">
        <f>IF(D2200="","",VLOOKUP(D2200,'General Basis'!$J$39:$K$46,2,0))</f>
        <v/>
      </c>
      <c r="BF2200" s="744" t="str">
        <f>IF(D2200="","",VLOOKUP(D2200,'General Basis'!$J$39:$L$46,3,0))</f>
        <v/>
      </c>
      <c r="BG2200" s="744" t="str">
        <f t="shared" si="781"/>
        <v/>
      </c>
      <c r="BH2200" s="744" t="str">
        <f>IF(G2200="","",IF(BF2200="Abu Dhabi",IF(G2200&lt;18,'General Basis'!$C$39,IF(G2200&lt;41,'General Basis'!$C$40,IF(G2200&lt;60,'General Basis'!$C$41,IF(G2200&lt;65,'General Basis'!$C$42,'General Basis'!$C$43)))),IF(G2200&lt;11,'General Basis'!$B$39,IF(G2200&lt;18,'General Basis'!$B$40,IF(G2200&lt;26,'General Basis'!$B$41,IF(G2200&lt;31,'General Basis'!$B$42,IF(G2200&lt;36,'General Basis'!$B$43,IF(G2200&lt;41,'General Basis'!$B$44,IF(G2200&lt;46,'General Basis'!$B$45,IF(G2200&lt;51,'General Basis'!$B$46,IF(G2200&lt;56,'General Basis'!$B$47,IF(G2200&lt;60,'General Basis'!$B$48,IF(G2200&lt;65,'General Basis'!$B$49,'General Basis'!$B$50)))))))))))))</f>
        <v/>
      </c>
      <c r="BI2200" s="744" t="str">
        <f t="shared" si="775"/>
        <v/>
      </c>
      <c r="BJ2200" s="747" t="str">
        <f t="shared" si="782"/>
        <v/>
      </c>
      <c r="BK2200" s="498" t="str">
        <f t="shared" si="776"/>
        <v/>
      </c>
      <c r="BL2200" s="498" t="str">
        <f t="shared" si="777"/>
        <v/>
      </c>
    </row>
    <row r="2201" spans="1:64" x14ac:dyDescent="0.25">
      <c r="A2201" s="762">
        <f t="shared" si="778"/>
        <v>2196</v>
      </c>
      <c r="B2201" s="229"/>
      <c r="C2201" s="223"/>
      <c r="D2201" s="224"/>
      <c r="E2201" s="225"/>
      <c r="F2201" s="1036" t="str">
        <f t="shared" si="784"/>
        <v/>
      </c>
      <c r="G2201" s="1037" t="str">
        <f t="shared" si="779"/>
        <v/>
      </c>
      <c r="H2201" s="225"/>
      <c r="I2201" s="1013"/>
      <c r="J2201" s="1013"/>
      <c r="K2201" s="1028"/>
      <c r="L2201" s="1035" t="str">
        <f t="shared" si="783"/>
        <v/>
      </c>
      <c r="S2201" s="498"/>
      <c r="AJ2201" s="498"/>
      <c r="AM2201" s="498">
        <f t="shared" si="764"/>
        <v>0</v>
      </c>
      <c r="AN2201" s="498">
        <f t="shared" si="765"/>
        <v>0</v>
      </c>
      <c r="AO2201" s="498">
        <f t="shared" si="766"/>
        <v>0</v>
      </c>
      <c r="AP2201" s="498">
        <f t="shared" si="785"/>
        <v>0</v>
      </c>
      <c r="AQ2201" s="498">
        <f t="shared" si="780"/>
        <v>0</v>
      </c>
      <c r="AU2201" s="498">
        <f t="shared" si="767"/>
        <v>0</v>
      </c>
      <c r="AV2201" s="498">
        <f t="shared" si="768"/>
        <v>0</v>
      </c>
      <c r="AW2201" s="498">
        <f t="shared" si="769"/>
        <v>0</v>
      </c>
      <c r="AX2201" s="498">
        <f t="shared" si="770"/>
        <v>0</v>
      </c>
      <c r="AY2201" s="498">
        <f t="shared" si="771"/>
        <v>0</v>
      </c>
      <c r="BB2201" s="498" t="str">
        <f t="shared" si="772"/>
        <v/>
      </c>
      <c r="BC2201" s="743" t="str">
        <f t="shared" si="773"/>
        <v/>
      </c>
      <c r="BD2201" s="743" t="str">
        <f t="shared" si="774"/>
        <v/>
      </c>
      <c r="BE2201" s="743" t="str">
        <f>IF(D2201="","",VLOOKUP(D2201,'General Basis'!$J$39:$K$46,2,0))</f>
        <v/>
      </c>
      <c r="BF2201" s="744" t="str">
        <f>IF(D2201="","",VLOOKUP(D2201,'General Basis'!$J$39:$L$46,3,0))</f>
        <v/>
      </c>
      <c r="BG2201" s="744" t="str">
        <f t="shared" si="781"/>
        <v/>
      </c>
      <c r="BH2201" s="744" t="str">
        <f>IF(G2201="","",IF(BF2201="Abu Dhabi",IF(G2201&lt;18,'General Basis'!$C$39,IF(G2201&lt;41,'General Basis'!$C$40,IF(G2201&lt;60,'General Basis'!$C$41,IF(G2201&lt;65,'General Basis'!$C$42,'General Basis'!$C$43)))),IF(G2201&lt;11,'General Basis'!$B$39,IF(G2201&lt;18,'General Basis'!$B$40,IF(G2201&lt;26,'General Basis'!$B$41,IF(G2201&lt;31,'General Basis'!$B$42,IF(G2201&lt;36,'General Basis'!$B$43,IF(G2201&lt;41,'General Basis'!$B$44,IF(G2201&lt;46,'General Basis'!$B$45,IF(G2201&lt;51,'General Basis'!$B$46,IF(G2201&lt;56,'General Basis'!$B$47,IF(G2201&lt;60,'General Basis'!$B$48,IF(G2201&lt;65,'General Basis'!$B$49,'General Basis'!$B$50)))))))))))))</f>
        <v/>
      </c>
      <c r="BI2201" s="744" t="str">
        <f t="shared" si="775"/>
        <v/>
      </c>
      <c r="BJ2201" s="747" t="str">
        <f t="shared" si="782"/>
        <v/>
      </c>
      <c r="BK2201" s="498" t="str">
        <f t="shared" si="776"/>
        <v/>
      </c>
      <c r="BL2201" s="498" t="str">
        <f t="shared" si="777"/>
        <v/>
      </c>
    </row>
    <row r="2202" spans="1:64" x14ac:dyDescent="0.25">
      <c r="A2202" s="762">
        <f t="shared" si="778"/>
        <v>2197</v>
      </c>
      <c r="B2202" s="229"/>
      <c r="C2202" s="223"/>
      <c r="D2202" s="224"/>
      <c r="E2202" s="225"/>
      <c r="F2202" s="1036" t="str">
        <f t="shared" si="784"/>
        <v/>
      </c>
      <c r="G2202" s="1037" t="str">
        <f t="shared" si="779"/>
        <v/>
      </c>
      <c r="H2202" s="225"/>
      <c r="I2202" s="1013"/>
      <c r="J2202" s="1013"/>
      <c r="K2202" s="1028"/>
      <c r="L2202" s="1035" t="str">
        <f t="shared" si="783"/>
        <v/>
      </c>
      <c r="S2202" s="498"/>
      <c r="AJ2202" s="498"/>
      <c r="AM2202" s="498">
        <f t="shared" si="764"/>
        <v>0</v>
      </c>
      <c r="AN2202" s="498">
        <f t="shared" si="765"/>
        <v>0</v>
      </c>
      <c r="AO2202" s="498">
        <f t="shared" si="766"/>
        <v>0</v>
      </c>
      <c r="AP2202" s="498">
        <f t="shared" si="785"/>
        <v>0</v>
      </c>
      <c r="AQ2202" s="498">
        <f t="shared" si="780"/>
        <v>0</v>
      </c>
      <c r="AU2202" s="498">
        <f t="shared" si="767"/>
        <v>0</v>
      </c>
      <c r="AV2202" s="498">
        <f t="shared" si="768"/>
        <v>0</v>
      </c>
      <c r="AW2202" s="498">
        <f t="shared" si="769"/>
        <v>0</v>
      </c>
      <c r="AX2202" s="498">
        <f t="shared" si="770"/>
        <v>0</v>
      </c>
      <c r="AY2202" s="498">
        <f t="shared" si="771"/>
        <v>0</v>
      </c>
      <c r="BB2202" s="498" t="str">
        <f t="shared" si="772"/>
        <v/>
      </c>
      <c r="BC2202" s="743" t="str">
        <f t="shared" si="773"/>
        <v/>
      </c>
      <c r="BD2202" s="743" t="str">
        <f t="shared" si="774"/>
        <v/>
      </c>
      <c r="BE2202" s="743" t="str">
        <f>IF(D2202="","",VLOOKUP(D2202,'General Basis'!$J$39:$K$46,2,0))</f>
        <v/>
      </c>
      <c r="BF2202" s="744" t="str">
        <f>IF(D2202="","",VLOOKUP(D2202,'General Basis'!$J$39:$L$46,3,0))</f>
        <v/>
      </c>
      <c r="BG2202" s="744" t="str">
        <f t="shared" si="781"/>
        <v/>
      </c>
      <c r="BH2202" s="744" t="str">
        <f>IF(G2202="","",IF(BF2202="Abu Dhabi",IF(G2202&lt;18,'General Basis'!$C$39,IF(G2202&lt;41,'General Basis'!$C$40,IF(G2202&lt;60,'General Basis'!$C$41,IF(G2202&lt;65,'General Basis'!$C$42,'General Basis'!$C$43)))),IF(G2202&lt;11,'General Basis'!$B$39,IF(G2202&lt;18,'General Basis'!$B$40,IF(G2202&lt;26,'General Basis'!$B$41,IF(G2202&lt;31,'General Basis'!$B$42,IF(G2202&lt;36,'General Basis'!$B$43,IF(G2202&lt;41,'General Basis'!$B$44,IF(G2202&lt;46,'General Basis'!$B$45,IF(G2202&lt;51,'General Basis'!$B$46,IF(G2202&lt;56,'General Basis'!$B$47,IF(G2202&lt;60,'General Basis'!$B$48,IF(G2202&lt;65,'General Basis'!$B$49,'General Basis'!$B$50)))))))))))))</f>
        <v/>
      </c>
      <c r="BI2202" s="744" t="str">
        <f t="shared" si="775"/>
        <v/>
      </c>
      <c r="BJ2202" s="747" t="str">
        <f t="shared" si="782"/>
        <v/>
      </c>
      <c r="BK2202" s="498" t="str">
        <f t="shared" si="776"/>
        <v/>
      </c>
      <c r="BL2202" s="498" t="str">
        <f t="shared" si="777"/>
        <v/>
      </c>
    </row>
    <row r="2203" spans="1:64" x14ac:dyDescent="0.25">
      <c r="A2203" s="762">
        <f t="shared" si="778"/>
        <v>2198</v>
      </c>
      <c r="B2203" s="229"/>
      <c r="C2203" s="223"/>
      <c r="D2203" s="224"/>
      <c r="E2203" s="225"/>
      <c r="F2203" s="1036" t="str">
        <f t="shared" si="784"/>
        <v/>
      </c>
      <c r="G2203" s="1037" t="str">
        <f t="shared" si="779"/>
        <v/>
      </c>
      <c r="H2203" s="225"/>
      <c r="I2203" s="1013"/>
      <c r="J2203" s="1013"/>
      <c r="K2203" s="1028"/>
      <c r="L2203" s="1035" t="str">
        <f t="shared" si="783"/>
        <v/>
      </c>
      <c r="S2203" s="498"/>
      <c r="AJ2203" s="498"/>
      <c r="AM2203" s="498">
        <f t="shared" si="764"/>
        <v>0</v>
      </c>
      <c r="AN2203" s="498">
        <f t="shared" si="765"/>
        <v>0</v>
      </c>
      <c r="AO2203" s="498">
        <f t="shared" si="766"/>
        <v>0</v>
      </c>
      <c r="AP2203" s="498">
        <f t="shared" si="785"/>
        <v>0</v>
      </c>
      <c r="AQ2203" s="498">
        <f t="shared" si="780"/>
        <v>0</v>
      </c>
      <c r="AU2203" s="498">
        <f t="shared" si="767"/>
        <v>0</v>
      </c>
      <c r="AV2203" s="498">
        <f t="shared" si="768"/>
        <v>0</v>
      </c>
      <c r="AW2203" s="498">
        <f t="shared" si="769"/>
        <v>0</v>
      </c>
      <c r="AX2203" s="498">
        <f t="shared" si="770"/>
        <v>0</v>
      </c>
      <c r="AY2203" s="498">
        <f t="shared" si="771"/>
        <v>0</v>
      </c>
      <c r="BB2203" s="498" t="str">
        <f t="shared" si="772"/>
        <v/>
      </c>
      <c r="BC2203" s="743" t="str">
        <f t="shared" si="773"/>
        <v/>
      </c>
      <c r="BD2203" s="743" t="str">
        <f t="shared" si="774"/>
        <v/>
      </c>
      <c r="BE2203" s="743" t="str">
        <f>IF(D2203="","",VLOOKUP(D2203,'General Basis'!$J$39:$K$46,2,0))</f>
        <v/>
      </c>
      <c r="BF2203" s="744" t="str">
        <f>IF(D2203="","",VLOOKUP(D2203,'General Basis'!$J$39:$L$46,3,0))</f>
        <v/>
      </c>
      <c r="BG2203" s="744" t="str">
        <f t="shared" si="781"/>
        <v/>
      </c>
      <c r="BH2203" s="744" t="str">
        <f>IF(G2203="","",IF(BF2203="Abu Dhabi",IF(G2203&lt;18,'General Basis'!$C$39,IF(G2203&lt;41,'General Basis'!$C$40,IF(G2203&lt;60,'General Basis'!$C$41,IF(G2203&lt;65,'General Basis'!$C$42,'General Basis'!$C$43)))),IF(G2203&lt;11,'General Basis'!$B$39,IF(G2203&lt;18,'General Basis'!$B$40,IF(G2203&lt;26,'General Basis'!$B$41,IF(G2203&lt;31,'General Basis'!$B$42,IF(G2203&lt;36,'General Basis'!$B$43,IF(G2203&lt;41,'General Basis'!$B$44,IF(G2203&lt;46,'General Basis'!$B$45,IF(G2203&lt;51,'General Basis'!$B$46,IF(G2203&lt;56,'General Basis'!$B$47,IF(G2203&lt;60,'General Basis'!$B$48,IF(G2203&lt;65,'General Basis'!$B$49,'General Basis'!$B$50)))))))))))))</f>
        <v/>
      </c>
      <c r="BI2203" s="744" t="str">
        <f t="shared" si="775"/>
        <v/>
      </c>
      <c r="BJ2203" s="747" t="str">
        <f t="shared" si="782"/>
        <v/>
      </c>
      <c r="BK2203" s="498" t="str">
        <f t="shared" si="776"/>
        <v/>
      </c>
      <c r="BL2203" s="498" t="str">
        <f t="shared" si="777"/>
        <v/>
      </c>
    </row>
    <row r="2204" spans="1:64" x14ac:dyDescent="0.25">
      <c r="A2204" s="762">
        <f t="shared" si="778"/>
        <v>2199</v>
      </c>
      <c r="B2204" s="229"/>
      <c r="C2204" s="223"/>
      <c r="D2204" s="224"/>
      <c r="E2204" s="225"/>
      <c r="F2204" s="1036" t="str">
        <f t="shared" si="784"/>
        <v/>
      </c>
      <c r="G2204" s="1037" t="str">
        <f t="shared" si="779"/>
        <v/>
      </c>
      <c r="H2204" s="225"/>
      <c r="I2204" s="1013"/>
      <c r="J2204" s="1013"/>
      <c r="K2204" s="1028"/>
      <c r="L2204" s="1035" t="str">
        <f t="shared" si="783"/>
        <v/>
      </c>
      <c r="S2204" s="498"/>
      <c r="AJ2204" s="498"/>
      <c r="AM2204" s="498">
        <f t="shared" si="764"/>
        <v>0</v>
      </c>
      <c r="AN2204" s="498">
        <f t="shared" si="765"/>
        <v>0</v>
      </c>
      <c r="AO2204" s="498">
        <f t="shared" si="766"/>
        <v>0</v>
      </c>
      <c r="AP2204" s="498">
        <f t="shared" si="785"/>
        <v>0</v>
      </c>
      <c r="AQ2204" s="498">
        <f t="shared" si="780"/>
        <v>0</v>
      </c>
      <c r="AU2204" s="498">
        <f t="shared" si="767"/>
        <v>0</v>
      </c>
      <c r="AV2204" s="498">
        <f t="shared" si="768"/>
        <v>0</v>
      </c>
      <c r="AW2204" s="498">
        <f t="shared" si="769"/>
        <v>0</v>
      </c>
      <c r="AX2204" s="498">
        <f t="shared" si="770"/>
        <v>0</v>
      </c>
      <c r="AY2204" s="498">
        <f t="shared" si="771"/>
        <v>0</v>
      </c>
      <c r="BB2204" s="498" t="str">
        <f t="shared" si="772"/>
        <v/>
      </c>
      <c r="BC2204" s="743" t="str">
        <f t="shared" si="773"/>
        <v/>
      </c>
      <c r="BD2204" s="743" t="str">
        <f t="shared" si="774"/>
        <v/>
      </c>
      <c r="BE2204" s="743" t="str">
        <f>IF(D2204="","",VLOOKUP(D2204,'General Basis'!$J$39:$K$46,2,0))</f>
        <v/>
      </c>
      <c r="BF2204" s="744" t="str">
        <f>IF(D2204="","",VLOOKUP(D2204,'General Basis'!$J$39:$L$46,3,0))</f>
        <v/>
      </c>
      <c r="BG2204" s="744" t="str">
        <f t="shared" si="781"/>
        <v/>
      </c>
      <c r="BH2204" s="744" t="str">
        <f>IF(G2204="","",IF(BF2204="Abu Dhabi",IF(G2204&lt;18,'General Basis'!$C$39,IF(G2204&lt;41,'General Basis'!$C$40,IF(G2204&lt;60,'General Basis'!$C$41,IF(G2204&lt;65,'General Basis'!$C$42,'General Basis'!$C$43)))),IF(G2204&lt;11,'General Basis'!$B$39,IF(G2204&lt;18,'General Basis'!$B$40,IF(G2204&lt;26,'General Basis'!$B$41,IF(G2204&lt;31,'General Basis'!$B$42,IF(G2204&lt;36,'General Basis'!$B$43,IF(G2204&lt;41,'General Basis'!$B$44,IF(G2204&lt;46,'General Basis'!$B$45,IF(G2204&lt;51,'General Basis'!$B$46,IF(G2204&lt;56,'General Basis'!$B$47,IF(G2204&lt;60,'General Basis'!$B$48,IF(G2204&lt;65,'General Basis'!$B$49,'General Basis'!$B$50)))))))))))))</f>
        <v/>
      </c>
      <c r="BI2204" s="744" t="str">
        <f t="shared" si="775"/>
        <v/>
      </c>
      <c r="BJ2204" s="747" t="str">
        <f t="shared" si="782"/>
        <v/>
      </c>
      <c r="BK2204" s="498" t="str">
        <f t="shared" si="776"/>
        <v/>
      </c>
      <c r="BL2204" s="498" t="str">
        <f t="shared" si="777"/>
        <v/>
      </c>
    </row>
    <row r="2205" spans="1:64" x14ac:dyDescent="0.25">
      <c r="A2205" s="762">
        <f t="shared" si="778"/>
        <v>2200</v>
      </c>
      <c r="B2205" s="229"/>
      <c r="C2205" s="223"/>
      <c r="D2205" s="224"/>
      <c r="E2205" s="225"/>
      <c r="F2205" s="1036" t="str">
        <f t="shared" si="784"/>
        <v/>
      </c>
      <c r="G2205" s="1037" t="str">
        <f t="shared" si="779"/>
        <v/>
      </c>
      <c r="H2205" s="225"/>
      <c r="I2205" s="1013"/>
      <c r="J2205" s="1013"/>
      <c r="K2205" s="1028"/>
      <c r="L2205" s="1035" t="str">
        <f t="shared" si="783"/>
        <v/>
      </c>
      <c r="S2205" s="498"/>
      <c r="AJ2205" s="498"/>
      <c r="AM2205" s="498">
        <f t="shared" si="764"/>
        <v>0</v>
      </c>
      <c r="AN2205" s="498">
        <f t="shared" si="765"/>
        <v>0</v>
      </c>
      <c r="AO2205" s="498">
        <f t="shared" si="766"/>
        <v>0</v>
      </c>
      <c r="AP2205" s="498">
        <f t="shared" si="785"/>
        <v>0</v>
      </c>
      <c r="AQ2205" s="498">
        <f t="shared" si="780"/>
        <v>0</v>
      </c>
      <c r="AU2205" s="498">
        <f t="shared" si="767"/>
        <v>0</v>
      </c>
      <c r="AV2205" s="498">
        <f t="shared" si="768"/>
        <v>0</v>
      </c>
      <c r="AW2205" s="498">
        <f t="shared" si="769"/>
        <v>0</v>
      </c>
      <c r="AX2205" s="498">
        <f t="shared" si="770"/>
        <v>0</v>
      </c>
      <c r="AY2205" s="498">
        <f t="shared" si="771"/>
        <v>0</v>
      </c>
      <c r="BB2205" s="498" t="str">
        <f t="shared" si="772"/>
        <v/>
      </c>
      <c r="BC2205" s="743" t="str">
        <f t="shared" si="773"/>
        <v/>
      </c>
      <c r="BD2205" s="743" t="str">
        <f t="shared" si="774"/>
        <v/>
      </c>
      <c r="BE2205" s="743" t="str">
        <f>IF(D2205="","",VLOOKUP(D2205,'General Basis'!$J$39:$K$46,2,0))</f>
        <v/>
      </c>
      <c r="BF2205" s="744" t="str">
        <f>IF(D2205="","",VLOOKUP(D2205,'General Basis'!$J$39:$L$46,3,0))</f>
        <v/>
      </c>
      <c r="BG2205" s="744" t="str">
        <f t="shared" si="781"/>
        <v/>
      </c>
      <c r="BH2205" s="744" t="str">
        <f>IF(G2205="","",IF(BF2205="Abu Dhabi",IF(G2205&lt;18,'General Basis'!$C$39,IF(G2205&lt;41,'General Basis'!$C$40,IF(G2205&lt;60,'General Basis'!$C$41,IF(G2205&lt;65,'General Basis'!$C$42,'General Basis'!$C$43)))),IF(G2205&lt;11,'General Basis'!$B$39,IF(G2205&lt;18,'General Basis'!$B$40,IF(G2205&lt;26,'General Basis'!$B$41,IF(G2205&lt;31,'General Basis'!$B$42,IF(G2205&lt;36,'General Basis'!$B$43,IF(G2205&lt;41,'General Basis'!$B$44,IF(G2205&lt;46,'General Basis'!$B$45,IF(G2205&lt;51,'General Basis'!$B$46,IF(G2205&lt;56,'General Basis'!$B$47,IF(G2205&lt;60,'General Basis'!$B$48,IF(G2205&lt;65,'General Basis'!$B$49,'General Basis'!$B$50)))))))))))))</f>
        <v/>
      </c>
      <c r="BI2205" s="744" t="str">
        <f t="shared" si="775"/>
        <v/>
      </c>
      <c r="BJ2205" s="747" t="str">
        <f t="shared" si="782"/>
        <v/>
      </c>
      <c r="BK2205" s="498" t="str">
        <f t="shared" si="776"/>
        <v/>
      </c>
      <c r="BL2205" s="498" t="str">
        <f t="shared" si="777"/>
        <v/>
      </c>
    </row>
    <row r="2206" spans="1:64" x14ac:dyDescent="0.25">
      <c r="A2206" s="762">
        <f t="shared" si="778"/>
        <v>2201</v>
      </c>
      <c r="B2206" s="229"/>
      <c r="C2206" s="223"/>
      <c r="D2206" s="224"/>
      <c r="E2206" s="225"/>
      <c r="F2206" s="1036" t="str">
        <f t="shared" si="784"/>
        <v/>
      </c>
      <c r="G2206" s="1037" t="str">
        <f t="shared" si="779"/>
        <v/>
      </c>
      <c r="H2206" s="225"/>
      <c r="I2206" s="1013"/>
      <c r="J2206" s="1013"/>
      <c r="K2206" s="1028"/>
      <c r="L2206" s="1035" t="str">
        <f t="shared" si="783"/>
        <v/>
      </c>
      <c r="S2206" s="498"/>
      <c r="AJ2206" s="498"/>
      <c r="AM2206" s="498">
        <f t="shared" si="764"/>
        <v>0</v>
      </c>
      <c r="AN2206" s="498">
        <f t="shared" si="765"/>
        <v>0</v>
      </c>
      <c r="AO2206" s="498">
        <f t="shared" si="766"/>
        <v>0</v>
      </c>
      <c r="AP2206" s="498">
        <f t="shared" si="785"/>
        <v>0</v>
      </c>
      <c r="AQ2206" s="498">
        <f t="shared" si="780"/>
        <v>0</v>
      </c>
      <c r="AU2206" s="498">
        <f t="shared" si="767"/>
        <v>0</v>
      </c>
      <c r="AV2206" s="498">
        <f t="shared" si="768"/>
        <v>0</v>
      </c>
      <c r="AW2206" s="498">
        <f t="shared" si="769"/>
        <v>0</v>
      </c>
      <c r="AX2206" s="498">
        <f t="shared" si="770"/>
        <v>0</v>
      </c>
      <c r="AY2206" s="498">
        <f t="shared" si="771"/>
        <v>0</v>
      </c>
      <c r="BB2206" s="498" t="str">
        <f t="shared" si="772"/>
        <v/>
      </c>
      <c r="BC2206" s="743" t="str">
        <f t="shared" si="773"/>
        <v/>
      </c>
      <c r="BD2206" s="743" t="str">
        <f t="shared" si="774"/>
        <v/>
      </c>
      <c r="BE2206" s="743" t="str">
        <f>IF(D2206="","",VLOOKUP(D2206,'General Basis'!$J$39:$K$46,2,0))</f>
        <v/>
      </c>
      <c r="BF2206" s="744" t="str">
        <f>IF(D2206="","",VLOOKUP(D2206,'General Basis'!$J$39:$L$46,3,0))</f>
        <v/>
      </c>
      <c r="BG2206" s="744" t="str">
        <f t="shared" si="781"/>
        <v/>
      </c>
      <c r="BH2206" s="744" t="str">
        <f>IF(G2206="","",IF(BF2206="Abu Dhabi",IF(G2206&lt;18,'General Basis'!$C$39,IF(G2206&lt;41,'General Basis'!$C$40,IF(G2206&lt;60,'General Basis'!$C$41,IF(G2206&lt;65,'General Basis'!$C$42,'General Basis'!$C$43)))),IF(G2206&lt;11,'General Basis'!$B$39,IF(G2206&lt;18,'General Basis'!$B$40,IF(G2206&lt;26,'General Basis'!$B$41,IF(G2206&lt;31,'General Basis'!$B$42,IF(G2206&lt;36,'General Basis'!$B$43,IF(G2206&lt;41,'General Basis'!$B$44,IF(G2206&lt;46,'General Basis'!$B$45,IF(G2206&lt;51,'General Basis'!$B$46,IF(G2206&lt;56,'General Basis'!$B$47,IF(G2206&lt;60,'General Basis'!$B$48,IF(G2206&lt;65,'General Basis'!$B$49,'General Basis'!$B$50)))))))))))))</f>
        <v/>
      </c>
      <c r="BI2206" s="744" t="str">
        <f t="shared" si="775"/>
        <v/>
      </c>
      <c r="BJ2206" s="747" t="str">
        <f t="shared" si="782"/>
        <v/>
      </c>
      <c r="BK2206" s="498" t="str">
        <f t="shared" si="776"/>
        <v/>
      </c>
      <c r="BL2206" s="498" t="str">
        <f t="shared" si="777"/>
        <v/>
      </c>
    </row>
    <row r="2207" spans="1:64" x14ac:dyDescent="0.25">
      <c r="A2207" s="762">
        <f t="shared" si="778"/>
        <v>2202</v>
      </c>
      <c r="B2207" s="229"/>
      <c r="C2207" s="223"/>
      <c r="D2207" s="224"/>
      <c r="E2207" s="225"/>
      <c r="F2207" s="1036" t="str">
        <f t="shared" si="784"/>
        <v/>
      </c>
      <c r="G2207" s="1037" t="str">
        <f t="shared" si="779"/>
        <v/>
      </c>
      <c r="H2207" s="225"/>
      <c r="I2207" s="1013"/>
      <c r="J2207" s="1013"/>
      <c r="K2207" s="1028"/>
      <c r="L2207" s="1035" t="str">
        <f t="shared" si="783"/>
        <v/>
      </c>
      <c r="S2207" s="498"/>
      <c r="AJ2207" s="498"/>
      <c r="AM2207" s="498">
        <f t="shared" si="764"/>
        <v>0</v>
      </c>
      <c r="AN2207" s="498">
        <f t="shared" si="765"/>
        <v>0</v>
      </c>
      <c r="AO2207" s="498">
        <f t="shared" si="766"/>
        <v>0</v>
      </c>
      <c r="AP2207" s="498">
        <f t="shared" si="785"/>
        <v>0</v>
      </c>
      <c r="AQ2207" s="498">
        <f t="shared" si="780"/>
        <v>0</v>
      </c>
      <c r="AU2207" s="498">
        <f t="shared" si="767"/>
        <v>0</v>
      </c>
      <c r="AV2207" s="498">
        <f t="shared" si="768"/>
        <v>0</v>
      </c>
      <c r="AW2207" s="498">
        <f t="shared" si="769"/>
        <v>0</v>
      </c>
      <c r="AX2207" s="498">
        <f t="shared" si="770"/>
        <v>0</v>
      </c>
      <c r="AY2207" s="498">
        <f t="shared" si="771"/>
        <v>0</v>
      </c>
      <c r="BB2207" s="498" t="str">
        <f t="shared" si="772"/>
        <v/>
      </c>
      <c r="BC2207" s="743" t="str">
        <f t="shared" si="773"/>
        <v/>
      </c>
      <c r="BD2207" s="743" t="str">
        <f t="shared" si="774"/>
        <v/>
      </c>
      <c r="BE2207" s="743" t="str">
        <f>IF(D2207="","",VLOOKUP(D2207,'General Basis'!$J$39:$K$46,2,0))</f>
        <v/>
      </c>
      <c r="BF2207" s="744" t="str">
        <f>IF(D2207="","",VLOOKUP(D2207,'General Basis'!$J$39:$L$46,3,0))</f>
        <v/>
      </c>
      <c r="BG2207" s="744" t="str">
        <f t="shared" si="781"/>
        <v/>
      </c>
      <c r="BH2207" s="744" t="str">
        <f>IF(G2207="","",IF(BF2207="Abu Dhabi",IF(G2207&lt;18,'General Basis'!$C$39,IF(G2207&lt;41,'General Basis'!$C$40,IF(G2207&lt;60,'General Basis'!$C$41,IF(G2207&lt;65,'General Basis'!$C$42,'General Basis'!$C$43)))),IF(G2207&lt;11,'General Basis'!$B$39,IF(G2207&lt;18,'General Basis'!$B$40,IF(G2207&lt;26,'General Basis'!$B$41,IF(G2207&lt;31,'General Basis'!$B$42,IF(G2207&lt;36,'General Basis'!$B$43,IF(G2207&lt;41,'General Basis'!$B$44,IF(G2207&lt;46,'General Basis'!$B$45,IF(G2207&lt;51,'General Basis'!$B$46,IF(G2207&lt;56,'General Basis'!$B$47,IF(G2207&lt;60,'General Basis'!$B$48,IF(G2207&lt;65,'General Basis'!$B$49,'General Basis'!$B$50)))))))))))))</f>
        <v/>
      </c>
      <c r="BI2207" s="744" t="str">
        <f t="shared" si="775"/>
        <v/>
      </c>
      <c r="BJ2207" s="747" t="str">
        <f t="shared" si="782"/>
        <v/>
      </c>
      <c r="BK2207" s="498" t="str">
        <f t="shared" si="776"/>
        <v/>
      </c>
      <c r="BL2207" s="498" t="str">
        <f t="shared" si="777"/>
        <v/>
      </c>
    </row>
    <row r="2208" spans="1:64" x14ac:dyDescent="0.25">
      <c r="A2208" s="762">
        <f t="shared" si="778"/>
        <v>2203</v>
      </c>
      <c r="B2208" s="229"/>
      <c r="C2208" s="223"/>
      <c r="D2208" s="224"/>
      <c r="E2208" s="225"/>
      <c r="F2208" s="1036" t="str">
        <f t="shared" si="784"/>
        <v/>
      </c>
      <c r="G2208" s="1037" t="str">
        <f t="shared" si="779"/>
        <v/>
      </c>
      <c r="H2208" s="225"/>
      <c r="I2208" s="1013"/>
      <c r="J2208" s="1013"/>
      <c r="K2208" s="1028"/>
      <c r="L2208" s="1035" t="str">
        <f t="shared" si="783"/>
        <v/>
      </c>
      <c r="S2208" s="498"/>
      <c r="AJ2208" s="498"/>
      <c r="AM2208" s="498">
        <f t="shared" si="764"/>
        <v>0</v>
      </c>
      <c r="AN2208" s="498">
        <f t="shared" si="765"/>
        <v>0</v>
      </c>
      <c r="AO2208" s="498">
        <f t="shared" si="766"/>
        <v>0</v>
      </c>
      <c r="AP2208" s="498">
        <f t="shared" si="785"/>
        <v>0</v>
      </c>
      <c r="AQ2208" s="498">
        <f t="shared" si="780"/>
        <v>0</v>
      </c>
      <c r="AU2208" s="498">
        <f t="shared" si="767"/>
        <v>0</v>
      </c>
      <c r="AV2208" s="498">
        <f t="shared" si="768"/>
        <v>0</v>
      </c>
      <c r="AW2208" s="498">
        <f t="shared" si="769"/>
        <v>0</v>
      </c>
      <c r="AX2208" s="498">
        <f t="shared" si="770"/>
        <v>0</v>
      </c>
      <c r="AY2208" s="498">
        <f t="shared" si="771"/>
        <v>0</v>
      </c>
      <c r="BB2208" s="498" t="str">
        <f t="shared" si="772"/>
        <v/>
      </c>
      <c r="BC2208" s="743" t="str">
        <f t="shared" si="773"/>
        <v/>
      </c>
      <c r="BD2208" s="743" t="str">
        <f t="shared" si="774"/>
        <v/>
      </c>
      <c r="BE2208" s="743" t="str">
        <f>IF(D2208="","",VLOOKUP(D2208,'General Basis'!$J$39:$K$46,2,0))</f>
        <v/>
      </c>
      <c r="BF2208" s="744" t="str">
        <f>IF(D2208="","",VLOOKUP(D2208,'General Basis'!$J$39:$L$46,3,0))</f>
        <v/>
      </c>
      <c r="BG2208" s="744" t="str">
        <f t="shared" si="781"/>
        <v/>
      </c>
      <c r="BH2208" s="744" t="str">
        <f>IF(G2208="","",IF(BF2208="Abu Dhabi",IF(G2208&lt;18,'General Basis'!$C$39,IF(G2208&lt;41,'General Basis'!$C$40,IF(G2208&lt;60,'General Basis'!$C$41,IF(G2208&lt;65,'General Basis'!$C$42,'General Basis'!$C$43)))),IF(G2208&lt;11,'General Basis'!$B$39,IF(G2208&lt;18,'General Basis'!$B$40,IF(G2208&lt;26,'General Basis'!$B$41,IF(G2208&lt;31,'General Basis'!$B$42,IF(G2208&lt;36,'General Basis'!$B$43,IF(G2208&lt;41,'General Basis'!$B$44,IF(G2208&lt;46,'General Basis'!$B$45,IF(G2208&lt;51,'General Basis'!$B$46,IF(G2208&lt;56,'General Basis'!$B$47,IF(G2208&lt;60,'General Basis'!$B$48,IF(G2208&lt;65,'General Basis'!$B$49,'General Basis'!$B$50)))))))))))))</f>
        <v/>
      </c>
      <c r="BI2208" s="744" t="str">
        <f t="shared" si="775"/>
        <v/>
      </c>
      <c r="BJ2208" s="747" t="str">
        <f t="shared" si="782"/>
        <v/>
      </c>
      <c r="BK2208" s="498" t="str">
        <f t="shared" si="776"/>
        <v/>
      </c>
      <c r="BL2208" s="498" t="str">
        <f t="shared" si="777"/>
        <v/>
      </c>
    </row>
    <row r="2209" spans="1:64" x14ac:dyDescent="0.25">
      <c r="A2209" s="762">
        <f t="shared" si="778"/>
        <v>2204</v>
      </c>
      <c r="B2209" s="229"/>
      <c r="C2209" s="223"/>
      <c r="D2209" s="224"/>
      <c r="E2209" s="225"/>
      <c r="F2209" s="1036" t="str">
        <f t="shared" si="784"/>
        <v/>
      </c>
      <c r="G2209" s="1037" t="str">
        <f t="shared" si="779"/>
        <v/>
      </c>
      <c r="H2209" s="225"/>
      <c r="I2209" s="1013"/>
      <c r="J2209" s="1013"/>
      <c r="K2209" s="1028"/>
      <c r="L2209" s="1035" t="str">
        <f t="shared" si="783"/>
        <v/>
      </c>
      <c r="S2209" s="498"/>
      <c r="AJ2209" s="498"/>
      <c r="AM2209" s="498">
        <f t="shared" si="764"/>
        <v>0</v>
      </c>
      <c r="AN2209" s="498">
        <f t="shared" si="765"/>
        <v>0</v>
      </c>
      <c r="AO2209" s="498">
        <f t="shared" si="766"/>
        <v>0</v>
      </c>
      <c r="AP2209" s="498">
        <f t="shared" si="785"/>
        <v>0</v>
      </c>
      <c r="AQ2209" s="498">
        <f t="shared" si="780"/>
        <v>0</v>
      </c>
      <c r="AU2209" s="498">
        <f t="shared" si="767"/>
        <v>0</v>
      </c>
      <c r="AV2209" s="498">
        <f t="shared" si="768"/>
        <v>0</v>
      </c>
      <c r="AW2209" s="498">
        <f t="shared" si="769"/>
        <v>0</v>
      </c>
      <c r="AX2209" s="498">
        <f t="shared" si="770"/>
        <v>0</v>
      </c>
      <c r="AY2209" s="498">
        <f t="shared" si="771"/>
        <v>0</v>
      </c>
      <c r="BB2209" s="498" t="str">
        <f t="shared" si="772"/>
        <v/>
      </c>
      <c r="BC2209" s="743" t="str">
        <f t="shared" si="773"/>
        <v/>
      </c>
      <c r="BD2209" s="743" t="str">
        <f t="shared" si="774"/>
        <v/>
      </c>
      <c r="BE2209" s="743" t="str">
        <f>IF(D2209="","",VLOOKUP(D2209,'General Basis'!$J$39:$K$46,2,0))</f>
        <v/>
      </c>
      <c r="BF2209" s="744" t="str">
        <f>IF(D2209="","",VLOOKUP(D2209,'General Basis'!$J$39:$L$46,3,0))</f>
        <v/>
      </c>
      <c r="BG2209" s="744" t="str">
        <f t="shared" si="781"/>
        <v/>
      </c>
      <c r="BH2209" s="744" t="str">
        <f>IF(G2209="","",IF(BF2209="Abu Dhabi",IF(G2209&lt;18,'General Basis'!$C$39,IF(G2209&lt;41,'General Basis'!$C$40,IF(G2209&lt;60,'General Basis'!$C$41,IF(G2209&lt;65,'General Basis'!$C$42,'General Basis'!$C$43)))),IF(G2209&lt;11,'General Basis'!$B$39,IF(G2209&lt;18,'General Basis'!$B$40,IF(G2209&lt;26,'General Basis'!$B$41,IF(G2209&lt;31,'General Basis'!$B$42,IF(G2209&lt;36,'General Basis'!$B$43,IF(G2209&lt;41,'General Basis'!$B$44,IF(G2209&lt;46,'General Basis'!$B$45,IF(G2209&lt;51,'General Basis'!$B$46,IF(G2209&lt;56,'General Basis'!$B$47,IF(G2209&lt;60,'General Basis'!$B$48,IF(G2209&lt;65,'General Basis'!$B$49,'General Basis'!$B$50)))))))))))))</f>
        <v/>
      </c>
      <c r="BI2209" s="744" t="str">
        <f t="shared" si="775"/>
        <v/>
      </c>
      <c r="BJ2209" s="747" t="str">
        <f t="shared" si="782"/>
        <v/>
      </c>
      <c r="BK2209" s="498" t="str">
        <f t="shared" si="776"/>
        <v/>
      </c>
      <c r="BL2209" s="498" t="str">
        <f t="shared" si="777"/>
        <v/>
      </c>
    </row>
    <row r="2210" spans="1:64" x14ac:dyDescent="0.25">
      <c r="A2210" s="762">
        <f t="shared" si="778"/>
        <v>2205</v>
      </c>
      <c r="B2210" s="229"/>
      <c r="C2210" s="223"/>
      <c r="D2210" s="224"/>
      <c r="E2210" s="225"/>
      <c r="F2210" s="1036" t="str">
        <f t="shared" si="784"/>
        <v/>
      </c>
      <c r="G2210" s="1037" t="str">
        <f t="shared" si="779"/>
        <v/>
      </c>
      <c r="H2210" s="225"/>
      <c r="I2210" s="1013"/>
      <c r="J2210" s="1013"/>
      <c r="K2210" s="1028"/>
      <c r="L2210" s="1035" t="str">
        <f t="shared" si="783"/>
        <v/>
      </c>
      <c r="S2210" s="498"/>
      <c r="AJ2210" s="498"/>
      <c r="AM2210" s="498">
        <f t="shared" si="764"/>
        <v>0</v>
      </c>
      <c r="AN2210" s="498">
        <f t="shared" si="765"/>
        <v>0</v>
      </c>
      <c r="AO2210" s="498">
        <f t="shared" si="766"/>
        <v>0</v>
      </c>
      <c r="AP2210" s="498">
        <f t="shared" si="785"/>
        <v>0</v>
      </c>
      <c r="AQ2210" s="498">
        <f t="shared" si="780"/>
        <v>0</v>
      </c>
      <c r="AU2210" s="498">
        <f t="shared" si="767"/>
        <v>0</v>
      </c>
      <c r="AV2210" s="498">
        <f t="shared" si="768"/>
        <v>0</v>
      </c>
      <c r="AW2210" s="498">
        <f t="shared" si="769"/>
        <v>0</v>
      </c>
      <c r="AX2210" s="498">
        <f t="shared" si="770"/>
        <v>0</v>
      </c>
      <c r="AY2210" s="498">
        <f t="shared" si="771"/>
        <v>0</v>
      </c>
      <c r="BB2210" s="498" t="str">
        <f t="shared" si="772"/>
        <v/>
      </c>
      <c r="BC2210" s="743" t="str">
        <f t="shared" si="773"/>
        <v/>
      </c>
      <c r="BD2210" s="743" t="str">
        <f t="shared" si="774"/>
        <v/>
      </c>
      <c r="BE2210" s="743" t="str">
        <f>IF(D2210="","",VLOOKUP(D2210,'General Basis'!$J$39:$K$46,2,0))</f>
        <v/>
      </c>
      <c r="BF2210" s="744" t="str">
        <f>IF(D2210="","",VLOOKUP(D2210,'General Basis'!$J$39:$L$46,3,0))</f>
        <v/>
      </c>
      <c r="BG2210" s="744" t="str">
        <f t="shared" si="781"/>
        <v/>
      </c>
      <c r="BH2210" s="744" t="str">
        <f>IF(G2210="","",IF(BF2210="Abu Dhabi",IF(G2210&lt;18,'General Basis'!$C$39,IF(G2210&lt;41,'General Basis'!$C$40,IF(G2210&lt;60,'General Basis'!$C$41,IF(G2210&lt;65,'General Basis'!$C$42,'General Basis'!$C$43)))),IF(G2210&lt;11,'General Basis'!$B$39,IF(G2210&lt;18,'General Basis'!$B$40,IF(G2210&lt;26,'General Basis'!$B$41,IF(G2210&lt;31,'General Basis'!$B$42,IF(G2210&lt;36,'General Basis'!$B$43,IF(G2210&lt;41,'General Basis'!$B$44,IF(G2210&lt;46,'General Basis'!$B$45,IF(G2210&lt;51,'General Basis'!$B$46,IF(G2210&lt;56,'General Basis'!$B$47,IF(G2210&lt;60,'General Basis'!$B$48,IF(G2210&lt;65,'General Basis'!$B$49,'General Basis'!$B$50)))))))))))))</f>
        <v/>
      </c>
      <c r="BI2210" s="744" t="str">
        <f t="shared" si="775"/>
        <v/>
      </c>
      <c r="BJ2210" s="747" t="str">
        <f t="shared" si="782"/>
        <v/>
      </c>
      <c r="BK2210" s="498" t="str">
        <f t="shared" si="776"/>
        <v/>
      </c>
      <c r="BL2210" s="498" t="str">
        <f t="shared" si="777"/>
        <v/>
      </c>
    </row>
    <row r="2211" spans="1:64" x14ac:dyDescent="0.25">
      <c r="A2211" s="762">
        <f t="shared" si="778"/>
        <v>2206</v>
      </c>
      <c r="B2211" s="229"/>
      <c r="C2211" s="223"/>
      <c r="D2211" s="224"/>
      <c r="E2211" s="225"/>
      <c r="F2211" s="1036" t="str">
        <f t="shared" si="784"/>
        <v/>
      </c>
      <c r="G2211" s="1037" t="str">
        <f t="shared" si="779"/>
        <v/>
      </c>
      <c r="H2211" s="225"/>
      <c r="I2211" s="1013"/>
      <c r="J2211" s="1013"/>
      <c r="K2211" s="1028"/>
      <c r="L2211" s="1035" t="str">
        <f t="shared" si="783"/>
        <v/>
      </c>
      <c r="S2211" s="498"/>
      <c r="AJ2211" s="498"/>
      <c r="AM2211" s="498">
        <f t="shared" si="764"/>
        <v>0</v>
      </c>
      <c r="AN2211" s="498">
        <f t="shared" si="765"/>
        <v>0</v>
      </c>
      <c r="AO2211" s="498">
        <f t="shared" si="766"/>
        <v>0</v>
      </c>
      <c r="AP2211" s="498">
        <f t="shared" si="785"/>
        <v>0</v>
      </c>
      <c r="AQ2211" s="498">
        <f t="shared" si="780"/>
        <v>0</v>
      </c>
      <c r="AU2211" s="498">
        <f t="shared" si="767"/>
        <v>0</v>
      </c>
      <c r="AV2211" s="498">
        <f t="shared" si="768"/>
        <v>0</v>
      </c>
      <c r="AW2211" s="498">
        <f t="shared" si="769"/>
        <v>0</v>
      </c>
      <c r="AX2211" s="498">
        <f t="shared" si="770"/>
        <v>0</v>
      </c>
      <c r="AY2211" s="498">
        <f t="shared" si="771"/>
        <v>0</v>
      </c>
      <c r="BB2211" s="498" t="str">
        <f t="shared" si="772"/>
        <v/>
      </c>
      <c r="BC2211" s="743" t="str">
        <f t="shared" si="773"/>
        <v/>
      </c>
      <c r="BD2211" s="743" t="str">
        <f t="shared" si="774"/>
        <v/>
      </c>
      <c r="BE2211" s="743" t="str">
        <f>IF(D2211="","",VLOOKUP(D2211,'General Basis'!$J$39:$K$46,2,0))</f>
        <v/>
      </c>
      <c r="BF2211" s="744" t="str">
        <f>IF(D2211="","",VLOOKUP(D2211,'General Basis'!$J$39:$L$46,3,0))</f>
        <v/>
      </c>
      <c r="BG2211" s="744" t="str">
        <f t="shared" si="781"/>
        <v/>
      </c>
      <c r="BH2211" s="744" t="str">
        <f>IF(G2211="","",IF(BF2211="Abu Dhabi",IF(G2211&lt;18,'General Basis'!$C$39,IF(G2211&lt;41,'General Basis'!$C$40,IF(G2211&lt;60,'General Basis'!$C$41,IF(G2211&lt;65,'General Basis'!$C$42,'General Basis'!$C$43)))),IF(G2211&lt;11,'General Basis'!$B$39,IF(G2211&lt;18,'General Basis'!$B$40,IF(G2211&lt;26,'General Basis'!$B$41,IF(G2211&lt;31,'General Basis'!$B$42,IF(G2211&lt;36,'General Basis'!$B$43,IF(G2211&lt;41,'General Basis'!$B$44,IF(G2211&lt;46,'General Basis'!$B$45,IF(G2211&lt;51,'General Basis'!$B$46,IF(G2211&lt;56,'General Basis'!$B$47,IF(G2211&lt;60,'General Basis'!$B$48,IF(G2211&lt;65,'General Basis'!$B$49,'General Basis'!$B$50)))))))))))))</f>
        <v/>
      </c>
      <c r="BI2211" s="744" t="str">
        <f t="shared" si="775"/>
        <v/>
      </c>
      <c r="BJ2211" s="747" t="str">
        <f t="shared" si="782"/>
        <v/>
      </c>
      <c r="BK2211" s="498" t="str">
        <f t="shared" si="776"/>
        <v/>
      </c>
      <c r="BL2211" s="498" t="str">
        <f t="shared" si="777"/>
        <v/>
      </c>
    </row>
    <row r="2212" spans="1:64" x14ac:dyDescent="0.25">
      <c r="A2212" s="762">
        <f t="shared" si="778"/>
        <v>2207</v>
      </c>
      <c r="B2212" s="229"/>
      <c r="C2212" s="223"/>
      <c r="D2212" s="224"/>
      <c r="E2212" s="225"/>
      <c r="F2212" s="1036" t="str">
        <f t="shared" si="784"/>
        <v/>
      </c>
      <c r="G2212" s="1037" t="str">
        <f t="shared" si="779"/>
        <v/>
      </c>
      <c r="H2212" s="225"/>
      <c r="I2212" s="1013"/>
      <c r="J2212" s="1013"/>
      <c r="K2212" s="1028"/>
      <c r="L2212" s="1035" t="str">
        <f t="shared" si="783"/>
        <v/>
      </c>
      <c r="S2212" s="498"/>
      <c r="AJ2212" s="498"/>
      <c r="AM2212" s="498">
        <f t="shared" si="764"/>
        <v>0</v>
      </c>
      <c r="AN2212" s="498">
        <f t="shared" si="765"/>
        <v>0</v>
      </c>
      <c r="AO2212" s="498">
        <f t="shared" si="766"/>
        <v>0</v>
      </c>
      <c r="AP2212" s="498">
        <f t="shared" si="785"/>
        <v>0</v>
      </c>
      <c r="AQ2212" s="498">
        <f t="shared" si="780"/>
        <v>0</v>
      </c>
      <c r="AU2212" s="498">
        <f t="shared" si="767"/>
        <v>0</v>
      </c>
      <c r="AV2212" s="498">
        <f t="shared" si="768"/>
        <v>0</v>
      </c>
      <c r="AW2212" s="498">
        <f t="shared" si="769"/>
        <v>0</v>
      </c>
      <c r="AX2212" s="498">
        <f t="shared" si="770"/>
        <v>0</v>
      </c>
      <c r="AY2212" s="498">
        <f t="shared" si="771"/>
        <v>0</v>
      </c>
      <c r="BB2212" s="498" t="str">
        <f t="shared" si="772"/>
        <v/>
      </c>
      <c r="BC2212" s="743" t="str">
        <f t="shared" si="773"/>
        <v/>
      </c>
      <c r="BD2212" s="743" t="str">
        <f t="shared" si="774"/>
        <v/>
      </c>
      <c r="BE2212" s="743" t="str">
        <f>IF(D2212="","",VLOOKUP(D2212,'General Basis'!$J$39:$K$46,2,0))</f>
        <v/>
      </c>
      <c r="BF2212" s="744" t="str">
        <f>IF(D2212="","",VLOOKUP(D2212,'General Basis'!$J$39:$L$46,3,0))</f>
        <v/>
      </c>
      <c r="BG2212" s="744" t="str">
        <f t="shared" si="781"/>
        <v/>
      </c>
      <c r="BH2212" s="744" t="str">
        <f>IF(G2212="","",IF(BF2212="Abu Dhabi",IF(G2212&lt;18,'General Basis'!$C$39,IF(G2212&lt;41,'General Basis'!$C$40,IF(G2212&lt;60,'General Basis'!$C$41,IF(G2212&lt;65,'General Basis'!$C$42,'General Basis'!$C$43)))),IF(G2212&lt;11,'General Basis'!$B$39,IF(G2212&lt;18,'General Basis'!$B$40,IF(G2212&lt;26,'General Basis'!$B$41,IF(G2212&lt;31,'General Basis'!$B$42,IF(G2212&lt;36,'General Basis'!$B$43,IF(G2212&lt;41,'General Basis'!$B$44,IF(G2212&lt;46,'General Basis'!$B$45,IF(G2212&lt;51,'General Basis'!$B$46,IF(G2212&lt;56,'General Basis'!$B$47,IF(G2212&lt;60,'General Basis'!$B$48,IF(G2212&lt;65,'General Basis'!$B$49,'General Basis'!$B$50)))))))))))))</f>
        <v/>
      </c>
      <c r="BI2212" s="744" t="str">
        <f t="shared" si="775"/>
        <v/>
      </c>
      <c r="BJ2212" s="747" t="str">
        <f t="shared" si="782"/>
        <v/>
      </c>
      <c r="BK2212" s="498" t="str">
        <f t="shared" si="776"/>
        <v/>
      </c>
      <c r="BL2212" s="498" t="str">
        <f t="shared" si="777"/>
        <v/>
      </c>
    </row>
    <row r="2213" spans="1:64" x14ac:dyDescent="0.25">
      <c r="A2213" s="762">
        <f t="shared" si="778"/>
        <v>2208</v>
      </c>
      <c r="B2213" s="229"/>
      <c r="C2213" s="223"/>
      <c r="D2213" s="224"/>
      <c r="E2213" s="225"/>
      <c r="F2213" s="1036" t="str">
        <f t="shared" si="784"/>
        <v/>
      </c>
      <c r="G2213" s="1037" t="str">
        <f t="shared" si="779"/>
        <v/>
      </c>
      <c r="H2213" s="225"/>
      <c r="I2213" s="1013"/>
      <c r="J2213" s="1013"/>
      <c r="K2213" s="1028"/>
      <c r="L2213" s="1035" t="str">
        <f t="shared" si="783"/>
        <v/>
      </c>
      <c r="S2213" s="498"/>
      <c r="AJ2213" s="498"/>
      <c r="AM2213" s="498">
        <f t="shared" si="764"/>
        <v>0</v>
      </c>
      <c r="AN2213" s="498">
        <f t="shared" si="765"/>
        <v>0</v>
      </c>
      <c r="AO2213" s="498">
        <f t="shared" si="766"/>
        <v>0</v>
      </c>
      <c r="AP2213" s="498">
        <f t="shared" si="785"/>
        <v>0</v>
      </c>
      <c r="AQ2213" s="498">
        <f t="shared" si="780"/>
        <v>0</v>
      </c>
      <c r="AU2213" s="498">
        <f t="shared" si="767"/>
        <v>0</v>
      </c>
      <c r="AV2213" s="498">
        <f t="shared" si="768"/>
        <v>0</v>
      </c>
      <c r="AW2213" s="498">
        <f t="shared" si="769"/>
        <v>0</v>
      </c>
      <c r="AX2213" s="498">
        <f t="shared" si="770"/>
        <v>0</v>
      </c>
      <c r="AY2213" s="498">
        <f t="shared" si="771"/>
        <v>0</v>
      </c>
      <c r="BB2213" s="498" t="str">
        <f t="shared" si="772"/>
        <v/>
      </c>
      <c r="BC2213" s="743" t="str">
        <f t="shared" si="773"/>
        <v/>
      </c>
      <c r="BD2213" s="743" t="str">
        <f t="shared" si="774"/>
        <v/>
      </c>
      <c r="BE2213" s="743" t="str">
        <f>IF(D2213="","",VLOOKUP(D2213,'General Basis'!$J$39:$K$46,2,0))</f>
        <v/>
      </c>
      <c r="BF2213" s="744" t="str">
        <f>IF(D2213="","",VLOOKUP(D2213,'General Basis'!$J$39:$L$46,3,0))</f>
        <v/>
      </c>
      <c r="BG2213" s="744" t="str">
        <f t="shared" si="781"/>
        <v/>
      </c>
      <c r="BH2213" s="744" t="str">
        <f>IF(G2213="","",IF(BF2213="Abu Dhabi",IF(G2213&lt;18,'General Basis'!$C$39,IF(G2213&lt;41,'General Basis'!$C$40,IF(G2213&lt;60,'General Basis'!$C$41,IF(G2213&lt;65,'General Basis'!$C$42,'General Basis'!$C$43)))),IF(G2213&lt;11,'General Basis'!$B$39,IF(G2213&lt;18,'General Basis'!$B$40,IF(G2213&lt;26,'General Basis'!$B$41,IF(G2213&lt;31,'General Basis'!$B$42,IF(G2213&lt;36,'General Basis'!$B$43,IF(G2213&lt;41,'General Basis'!$B$44,IF(G2213&lt;46,'General Basis'!$B$45,IF(G2213&lt;51,'General Basis'!$B$46,IF(G2213&lt;56,'General Basis'!$B$47,IF(G2213&lt;60,'General Basis'!$B$48,IF(G2213&lt;65,'General Basis'!$B$49,'General Basis'!$B$50)))))))))))))</f>
        <v/>
      </c>
      <c r="BI2213" s="744" t="str">
        <f t="shared" si="775"/>
        <v/>
      </c>
      <c r="BJ2213" s="747" t="str">
        <f t="shared" si="782"/>
        <v/>
      </c>
      <c r="BK2213" s="498" t="str">
        <f t="shared" si="776"/>
        <v/>
      </c>
      <c r="BL2213" s="498" t="str">
        <f t="shared" si="777"/>
        <v/>
      </c>
    </row>
    <row r="2214" spans="1:64" x14ac:dyDescent="0.25">
      <c r="A2214" s="762">
        <f t="shared" si="778"/>
        <v>2209</v>
      </c>
      <c r="B2214" s="229"/>
      <c r="C2214" s="223"/>
      <c r="D2214" s="224"/>
      <c r="E2214" s="225"/>
      <c r="F2214" s="1036" t="str">
        <f t="shared" si="784"/>
        <v/>
      </c>
      <c r="G2214" s="1037" t="str">
        <f t="shared" si="779"/>
        <v/>
      </c>
      <c r="H2214" s="225"/>
      <c r="I2214" s="1013"/>
      <c r="J2214" s="1013"/>
      <c r="K2214" s="1028"/>
      <c r="L2214" s="1035" t="str">
        <f t="shared" si="783"/>
        <v/>
      </c>
      <c r="S2214" s="498"/>
      <c r="AJ2214" s="498"/>
      <c r="AM2214" s="498">
        <f t="shared" si="764"/>
        <v>0</v>
      </c>
      <c r="AN2214" s="498">
        <f t="shared" si="765"/>
        <v>0</v>
      </c>
      <c r="AO2214" s="498">
        <f t="shared" si="766"/>
        <v>0</v>
      </c>
      <c r="AP2214" s="498">
        <f t="shared" si="785"/>
        <v>0</v>
      </c>
      <c r="AQ2214" s="498">
        <f t="shared" si="780"/>
        <v>0</v>
      </c>
      <c r="AU2214" s="498">
        <f t="shared" si="767"/>
        <v>0</v>
      </c>
      <c r="AV2214" s="498">
        <f t="shared" si="768"/>
        <v>0</v>
      </c>
      <c r="AW2214" s="498">
        <f t="shared" si="769"/>
        <v>0</v>
      </c>
      <c r="AX2214" s="498">
        <f t="shared" si="770"/>
        <v>0</v>
      </c>
      <c r="AY2214" s="498">
        <f t="shared" si="771"/>
        <v>0</v>
      </c>
      <c r="BB2214" s="498" t="str">
        <f t="shared" si="772"/>
        <v/>
      </c>
      <c r="BC2214" s="743" t="str">
        <f t="shared" si="773"/>
        <v/>
      </c>
      <c r="BD2214" s="743" t="str">
        <f t="shared" si="774"/>
        <v/>
      </c>
      <c r="BE2214" s="743" t="str">
        <f>IF(D2214="","",VLOOKUP(D2214,'General Basis'!$J$39:$K$46,2,0))</f>
        <v/>
      </c>
      <c r="BF2214" s="744" t="str">
        <f>IF(D2214="","",VLOOKUP(D2214,'General Basis'!$J$39:$L$46,3,0))</f>
        <v/>
      </c>
      <c r="BG2214" s="744" t="str">
        <f t="shared" si="781"/>
        <v/>
      </c>
      <c r="BH2214" s="744" t="str">
        <f>IF(G2214="","",IF(BF2214="Abu Dhabi",IF(G2214&lt;18,'General Basis'!$C$39,IF(G2214&lt;41,'General Basis'!$C$40,IF(G2214&lt;60,'General Basis'!$C$41,IF(G2214&lt;65,'General Basis'!$C$42,'General Basis'!$C$43)))),IF(G2214&lt;11,'General Basis'!$B$39,IF(G2214&lt;18,'General Basis'!$B$40,IF(G2214&lt;26,'General Basis'!$B$41,IF(G2214&lt;31,'General Basis'!$B$42,IF(G2214&lt;36,'General Basis'!$B$43,IF(G2214&lt;41,'General Basis'!$B$44,IF(G2214&lt;46,'General Basis'!$B$45,IF(G2214&lt;51,'General Basis'!$B$46,IF(G2214&lt;56,'General Basis'!$B$47,IF(G2214&lt;60,'General Basis'!$B$48,IF(G2214&lt;65,'General Basis'!$B$49,'General Basis'!$B$50)))))))))))))</f>
        <v/>
      </c>
      <c r="BI2214" s="744" t="str">
        <f t="shared" si="775"/>
        <v/>
      </c>
      <c r="BJ2214" s="747" t="str">
        <f t="shared" si="782"/>
        <v/>
      </c>
      <c r="BK2214" s="498" t="str">
        <f t="shared" si="776"/>
        <v/>
      </c>
      <c r="BL2214" s="498" t="str">
        <f t="shared" si="777"/>
        <v/>
      </c>
    </row>
    <row r="2215" spans="1:64" x14ac:dyDescent="0.25">
      <c r="A2215" s="762">
        <f t="shared" si="778"/>
        <v>2210</v>
      </c>
      <c r="B2215" s="229"/>
      <c r="C2215" s="223"/>
      <c r="D2215" s="224"/>
      <c r="E2215" s="225"/>
      <c r="F2215" s="1036" t="str">
        <f t="shared" si="784"/>
        <v/>
      </c>
      <c r="G2215" s="1037" t="str">
        <f t="shared" si="779"/>
        <v/>
      </c>
      <c r="H2215" s="225"/>
      <c r="I2215" s="1013"/>
      <c r="J2215" s="1013"/>
      <c r="K2215" s="1028"/>
      <c r="L2215" s="1035" t="str">
        <f t="shared" si="783"/>
        <v/>
      </c>
      <c r="S2215" s="498"/>
      <c r="AJ2215" s="498"/>
      <c r="AM2215" s="498">
        <f t="shared" si="764"/>
        <v>0</v>
      </c>
      <c r="AN2215" s="498">
        <f t="shared" si="765"/>
        <v>0</v>
      </c>
      <c r="AO2215" s="498">
        <f t="shared" si="766"/>
        <v>0</v>
      </c>
      <c r="AP2215" s="498">
        <f t="shared" si="785"/>
        <v>0</v>
      </c>
      <c r="AQ2215" s="498">
        <f t="shared" si="780"/>
        <v>0</v>
      </c>
      <c r="AU2215" s="498">
        <f t="shared" si="767"/>
        <v>0</v>
      </c>
      <c r="AV2215" s="498">
        <f t="shared" si="768"/>
        <v>0</v>
      </c>
      <c r="AW2215" s="498">
        <f t="shared" si="769"/>
        <v>0</v>
      </c>
      <c r="AX2215" s="498">
        <f t="shared" si="770"/>
        <v>0</v>
      </c>
      <c r="AY2215" s="498">
        <f t="shared" si="771"/>
        <v>0</v>
      </c>
      <c r="BB2215" s="498" t="str">
        <f t="shared" si="772"/>
        <v/>
      </c>
      <c r="BC2215" s="743" t="str">
        <f t="shared" si="773"/>
        <v/>
      </c>
      <c r="BD2215" s="743" t="str">
        <f t="shared" si="774"/>
        <v/>
      </c>
      <c r="BE2215" s="743" t="str">
        <f>IF(D2215="","",VLOOKUP(D2215,'General Basis'!$J$39:$K$46,2,0))</f>
        <v/>
      </c>
      <c r="BF2215" s="744" t="str">
        <f>IF(D2215="","",VLOOKUP(D2215,'General Basis'!$J$39:$L$46,3,0))</f>
        <v/>
      </c>
      <c r="BG2215" s="744" t="str">
        <f t="shared" si="781"/>
        <v/>
      </c>
      <c r="BH2215" s="744" t="str">
        <f>IF(G2215="","",IF(BF2215="Abu Dhabi",IF(G2215&lt;18,'General Basis'!$C$39,IF(G2215&lt;41,'General Basis'!$C$40,IF(G2215&lt;60,'General Basis'!$C$41,IF(G2215&lt;65,'General Basis'!$C$42,'General Basis'!$C$43)))),IF(G2215&lt;11,'General Basis'!$B$39,IF(G2215&lt;18,'General Basis'!$B$40,IF(G2215&lt;26,'General Basis'!$B$41,IF(G2215&lt;31,'General Basis'!$B$42,IF(G2215&lt;36,'General Basis'!$B$43,IF(G2215&lt;41,'General Basis'!$B$44,IF(G2215&lt;46,'General Basis'!$B$45,IF(G2215&lt;51,'General Basis'!$B$46,IF(G2215&lt;56,'General Basis'!$B$47,IF(G2215&lt;60,'General Basis'!$B$48,IF(G2215&lt;65,'General Basis'!$B$49,'General Basis'!$B$50)))))))))))))</f>
        <v/>
      </c>
      <c r="BI2215" s="744" t="str">
        <f t="shared" si="775"/>
        <v/>
      </c>
      <c r="BJ2215" s="747" t="str">
        <f t="shared" si="782"/>
        <v/>
      </c>
      <c r="BK2215" s="498" t="str">
        <f t="shared" si="776"/>
        <v/>
      </c>
      <c r="BL2215" s="498" t="str">
        <f t="shared" si="777"/>
        <v/>
      </c>
    </row>
    <row r="2216" spans="1:64" x14ac:dyDescent="0.25">
      <c r="A2216" s="762">
        <f t="shared" si="778"/>
        <v>2211</v>
      </c>
      <c r="B2216" s="229"/>
      <c r="C2216" s="223"/>
      <c r="D2216" s="224"/>
      <c r="E2216" s="225"/>
      <c r="F2216" s="1036" t="str">
        <f t="shared" si="784"/>
        <v/>
      </c>
      <c r="G2216" s="1037" t="str">
        <f t="shared" si="779"/>
        <v/>
      </c>
      <c r="H2216" s="225"/>
      <c r="I2216" s="1013"/>
      <c r="J2216" s="1013"/>
      <c r="K2216" s="1028"/>
      <c r="L2216" s="1035" t="str">
        <f t="shared" si="783"/>
        <v/>
      </c>
      <c r="S2216" s="498"/>
      <c r="AJ2216" s="498"/>
      <c r="AM2216" s="498">
        <f t="shared" si="764"/>
        <v>0</v>
      </c>
      <c r="AN2216" s="498">
        <f t="shared" si="765"/>
        <v>0</v>
      </c>
      <c r="AO2216" s="498">
        <f t="shared" si="766"/>
        <v>0</v>
      </c>
      <c r="AP2216" s="498">
        <f t="shared" si="785"/>
        <v>0</v>
      </c>
      <c r="AQ2216" s="498">
        <f t="shared" si="780"/>
        <v>0</v>
      </c>
      <c r="AU2216" s="498">
        <f t="shared" si="767"/>
        <v>0</v>
      </c>
      <c r="AV2216" s="498">
        <f t="shared" si="768"/>
        <v>0</v>
      </c>
      <c r="AW2216" s="498">
        <f t="shared" si="769"/>
        <v>0</v>
      </c>
      <c r="AX2216" s="498">
        <f t="shared" si="770"/>
        <v>0</v>
      </c>
      <c r="AY2216" s="498">
        <f t="shared" si="771"/>
        <v>0</v>
      </c>
      <c r="BB2216" s="498" t="str">
        <f t="shared" si="772"/>
        <v/>
      </c>
      <c r="BC2216" s="743" t="str">
        <f t="shared" si="773"/>
        <v/>
      </c>
      <c r="BD2216" s="743" t="str">
        <f t="shared" si="774"/>
        <v/>
      </c>
      <c r="BE2216" s="743" t="str">
        <f>IF(D2216="","",VLOOKUP(D2216,'General Basis'!$J$39:$K$46,2,0))</f>
        <v/>
      </c>
      <c r="BF2216" s="744" t="str">
        <f>IF(D2216="","",VLOOKUP(D2216,'General Basis'!$J$39:$L$46,3,0))</f>
        <v/>
      </c>
      <c r="BG2216" s="744" t="str">
        <f t="shared" si="781"/>
        <v/>
      </c>
      <c r="BH2216" s="744" t="str">
        <f>IF(G2216="","",IF(BF2216="Abu Dhabi",IF(G2216&lt;18,'General Basis'!$C$39,IF(G2216&lt;41,'General Basis'!$C$40,IF(G2216&lt;60,'General Basis'!$C$41,IF(G2216&lt;65,'General Basis'!$C$42,'General Basis'!$C$43)))),IF(G2216&lt;11,'General Basis'!$B$39,IF(G2216&lt;18,'General Basis'!$B$40,IF(G2216&lt;26,'General Basis'!$B$41,IF(G2216&lt;31,'General Basis'!$B$42,IF(G2216&lt;36,'General Basis'!$B$43,IF(G2216&lt;41,'General Basis'!$B$44,IF(G2216&lt;46,'General Basis'!$B$45,IF(G2216&lt;51,'General Basis'!$B$46,IF(G2216&lt;56,'General Basis'!$B$47,IF(G2216&lt;60,'General Basis'!$B$48,IF(G2216&lt;65,'General Basis'!$B$49,'General Basis'!$B$50)))))))))))))</f>
        <v/>
      </c>
      <c r="BI2216" s="744" t="str">
        <f t="shared" si="775"/>
        <v/>
      </c>
      <c r="BJ2216" s="747" t="str">
        <f t="shared" si="782"/>
        <v/>
      </c>
      <c r="BK2216" s="498" t="str">
        <f t="shared" si="776"/>
        <v/>
      </c>
      <c r="BL2216" s="498" t="str">
        <f t="shared" si="777"/>
        <v/>
      </c>
    </row>
    <row r="2217" spans="1:64" x14ac:dyDescent="0.25">
      <c r="A2217" s="762">
        <f t="shared" si="778"/>
        <v>2212</v>
      </c>
      <c r="B2217" s="229"/>
      <c r="C2217" s="223"/>
      <c r="D2217" s="224"/>
      <c r="E2217" s="225"/>
      <c r="F2217" s="1036" t="str">
        <f t="shared" si="784"/>
        <v/>
      </c>
      <c r="G2217" s="1037" t="str">
        <f t="shared" si="779"/>
        <v/>
      </c>
      <c r="H2217" s="225"/>
      <c r="I2217" s="1013"/>
      <c r="J2217" s="1013"/>
      <c r="K2217" s="1028"/>
      <c r="L2217" s="1035" t="str">
        <f t="shared" si="783"/>
        <v/>
      </c>
      <c r="S2217" s="498"/>
      <c r="AJ2217" s="498"/>
      <c r="AM2217" s="498">
        <f t="shared" si="764"/>
        <v>0</v>
      </c>
      <c r="AN2217" s="498">
        <f t="shared" si="765"/>
        <v>0</v>
      </c>
      <c r="AO2217" s="498">
        <f t="shared" si="766"/>
        <v>0</v>
      </c>
      <c r="AP2217" s="498">
        <f t="shared" si="785"/>
        <v>0</v>
      </c>
      <c r="AQ2217" s="498">
        <f t="shared" si="780"/>
        <v>0</v>
      </c>
      <c r="AU2217" s="498">
        <f t="shared" si="767"/>
        <v>0</v>
      </c>
      <c r="AV2217" s="498">
        <f t="shared" si="768"/>
        <v>0</v>
      </c>
      <c r="AW2217" s="498">
        <f t="shared" si="769"/>
        <v>0</v>
      </c>
      <c r="AX2217" s="498">
        <f t="shared" si="770"/>
        <v>0</v>
      </c>
      <c r="AY2217" s="498">
        <f t="shared" si="771"/>
        <v>0</v>
      </c>
      <c r="BB2217" s="498" t="str">
        <f t="shared" si="772"/>
        <v/>
      </c>
      <c r="BC2217" s="743" t="str">
        <f t="shared" si="773"/>
        <v/>
      </c>
      <c r="BD2217" s="743" t="str">
        <f t="shared" si="774"/>
        <v/>
      </c>
      <c r="BE2217" s="743" t="str">
        <f>IF(D2217="","",VLOOKUP(D2217,'General Basis'!$J$39:$K$46,2,0))</f>
        <v/>
      </c>
      <c r="BF2217" s="744" t="str">
        <f>IF(D2217="","",VLOOKUP(D2217,'General Basis'!$J$39:$L$46,3,0))</f>
        <v/>
      </c>
      <c r="BG2217" s="744" t="str">
        <f t="shared" si="781"/>
        <v/>
      </c>
      <c r="BH2217" s="744" t="str">
        <f>IF(G2217="","",IF(BF2217="Abu Dhabi",IF(G2217&lt;18,'General Basis'!$C$39,IF(G2217&lt;41,'General Basis'!$C$40,IF(G2217&lt;60,'General Basis'!$C$41,IF(G2217&lt;65,'General Basis'!$C$42,'General Basis'!$C$43)))),IF(G2217&lt;11,'General Basis'!$B$39,IF(G2217&lt;18,'General Basis'!$B$40,IF(G2217&lt;26,'General Basis'!$B$41,IF(G2217&lt;31,'General Basis'!$B$42,IF(G2217&lt;36,'General Basis'!$B$43,IF(G2217&lt;41,'General Basis'!$B$44,IF(G2217&lt;46,'General Basis'!$B$45,IF(G2217&lt;51,'General Basis'!$B$46,IF(G2217&lt;56,'General Basis'!$B$47,IF(G2217&lt;60,'General Basis'!$B$48,IF(G2217&lt;65,'General Basis'!$B$49,'General Basis'!$B$50)))))))))))))</f>
        <v/>
      </c>
      <c r="BI2217" s="744" t="str">
        <f t="shared" si="775"/>
        <v/>
      </c>
      <c r="BJ2217" s="747" t="str">
        <f t="shared" si="782"/>
        <v/>
      </c>
      <c r="BK2217" s="498" t="str">
        <f t="shared" si="776"/>
        <v/>
      </c>
      <c r="BL2217" s="498" t="str">
        <f t="shared" si="777"/>
        <v/>
      </c>
    </row>
    <row r="2218" spans="1:64" x14ac:dyDescent="0.25">
      <c r="A2218" s="762">
        <f t="shared" si="778"/>
        <v>2213</v>
      </c>
      <c r="B2218" s="229"/>
      <c r="C2218" s="223"/>
      <c r="D2218" s="224"/>
      <c r="E2218" s="225"/>
      <c r="F2218" s="1036" t="str">
        <f t="shared" si="784"/>
        <v/>
      </c>
      <c r="G2218" s="1037" t="str">
        <f t="shared" si="779"/>
        <v/>
      </c>
      <c r="H2218" s="225"/>
      <c r="I2218" s="1013"/>
      <c r="J2218" s="1013"/>
      <c r="K2218" s="1028"/>
      <c r="L2218" s="1035" t="str">
        <f t="shared" si="783"/>
        <v/>
      </c>
      <c r="S2218" s="498"/>
      <c r="AJ2218" s="498"/>
      <c r="AM2218" s="498">
        <f t="shared" si="764"/>
        <v>0</v>
      </c>
      <c r="AN2218" s="498">
        <f t="shared" si="765"/>
        <v>0</v>
      </c>
      <c r="AO2218" s="498">
        <f t="shared" si="766"/>
        <v>0</v>
      </c>
      <c r="AP2218" s="498">
        <f t="shared" si="785"/>
        <v>0</v>
      </c>
      <c r="AQ2218" s="498">
        <f t="shared" si="780"/>
        <v>0</v>
      </c>
      <c r="AU2218" s="498">
        <f t="shared" si="767"/>
        <v>0</v>
      </c>
      <c r="AV2218" s="498">
        <f t="shared" si="768"/>
        <v>0</v>
      </c>
      <c r="AW2218" s="498">
        <f t="shared" si="769"/>
        <v>0</v>
      </c>
      <c r="AX2218" s="498">
        <f t="shared" si="770"/>
        <v>0</v>
      </c>
      <c r="AY2218" s="498">
        <f t="shared" si="771"/>
        <v>0</v>
      </c>
      <c r="BB2218" s="498" t="str">
        <f t="shared" si="772"/>
        <v/>
      </c>
      <c r="BC2218" s="743" t="str">
        <f t="shared" si="773"/>
        <v/>
      </c>
      <c r="BD2218" s="743" t="str">
        <f t="shared" si="774"/>
        <v/>
      </c>
      <c r="BE2218" s="743" t="str">
        <f>IF(D2218="","",VLOOKUP(D2218,'General Basis'!$J$39:$K$46,2,0))</f>
        <v/>
      </c>
      <c r="BF2218" s="744" t="str">
        <f>IF(D2218="","",VLOOKUP(D2218,'General Basis'!$J$39:$L$46,3,0))</f>
        <v/>
      </c>
      <c r="BG2218" s="744" t="str">
        <f t="shared" si="781"/>
        <v/>
      </c>
      <c r="BH2218" s="744" t="str">
        <f>IF(G2218="","",IF(BF2218="Abu Dhabi",IF(G2218&lt;18,'General Basis'!$C$39,IF(G2218&lt;41,'General Basis'!$C$40,IF(G2218&lt;60,'General Basis'!$C$41,IF(G2218&lt;65,'General Basis'!$C$42,'General Basis'!$C$43)))),IF(G2218&lt;11,'General Basis'!$B$39,IF(G2218&lt;18,'General Basis'!$B$40,IF(G2218&lt;26,'General Basis'!$B$41,IF(G2218&lt;31,'General Basis'!$B$42,IF(G2218&lt;36,'General Basis'!$B$43,IF(G2218&lt;41,'General Basis'!$B$44,IF(G2218&lt;46,'General Basis'!$B$45,IF(G2218&lt;51,'General Basis'!$B$46,IF(G2218&lt;56,'General Basis'!$B$47,IF(G2218&lt;60,'General Basis'!$B$48,IF(G2218&lt;65,'General Basis'!$B$49,'General Basis'!$B$50)))))))))))))</f>
        <v/>
      </c>
      <c r="BI2218" s="744" t="str">
        <f t="shared" si="775"/>
        <v/>
      </c>
      <c r="BJ2218" s="747" t="str">
        <f t="shared" si="782"/>
        <v/>
      </c>
      <c r="BK2218" s="498" t="str">
        <f t="shared" si="776"/>
        <v/>
      </c>
      <c r="BL2218" s="498" t="str">
        <f t="shared" si="777"/>
        <v/>
      </c>
    </row>
    <row r="2219" spans="1:64" x14ac:dyDescent="0.25">
      <c r="A2219" s="762">
        <f t="shared" si="778"/>
        <v>2214</v>
      </c>
      <c r="B2219" s="229"/>
      <c r="C2219" s="223"/>
      <c r="D2219" s="224"/>
      <c r="E2219" s="225"/>
      <c r="F2219" s="1036" t="str">
        <f t="shared" si="784"/>
        <v/>
      </c>
      <c r="G2219" s="1037" t="str">
        <f t="shared" si="779"/>
        <v/>
      </c>
      <c r="H2219" s="225"/>
      <c r="I2219" s="1013"/>
      <c r="J2219" s="1013"/>
      <c r="K2219" s="1028"/>
      <c r="L2219" s="1035" t="str">
        <f t="shared" si="783"/>
        <v/>
      </c>
      <c r="S2219" s="498"/>
      <c r="AJ2219" s="498"/>
      <c r="AM2219" s="498">
        <f t="shared" si="764"/>
        <v>0</v>
      </c>
      <c r="AN2219" s="498">
        <f t="shared" si="765"/>
        <v>0</v>
      </c>
      <c r="AO2219" s="498">
        <f t="shared" si="766"/>
        <v>0</v>
      </c>
      <c r="AP2219" s="498">
        <f t="shared" si="785"/>
        <v>0</v>
      </c>
      <c r="AQ2219" s="498">
        <f t="shared" si="780"/>
        <v>0</v>
      </c>
      <c r="AU2219" s="498">
        <f t="shared" si="767"/>
        <v>0</v>
      </c>
      <c r="AV2219" s="498">
        <f t="shared" si="768"/>
        <v>0</v>
      </c>
      <c r="AW2219" s="498">
        <f t="shared" si="769"/>
        <v>0</v>
      </c>
      <c r="AX2219" s="498">
        <f t="shared" si="770"/>
        <v>0</v>
      </c>
      <c r="AY2219" s="498">
        <f t="shared" si="771"/>
        <v>0</v>
      </c>
      <c r="BB2219" s="498" t="str">
        <f t="shared" si="772"/>
        <v/>
      </c>
      <c r="BC2219" s="743" t="str">
        <f t="shared" si="773"/>
        <v/>
      </c>
      <c r="BD2219" s="743" t="str">
        <f t="shared" si="774"/>
        <v/>
      </c>
      <c r="BE2219" s="743" t="str">
        <f>IF(D2219="","",VLOOKUP(D2219,'General Basis'!$J$39:$K$46,2,0))</f>
        <v/>
      </c>
      <c r="BF2219" s="744" t="str">
        <f>IF(D2219="","",VLOOKUP(D2219,'General Basis'!$J$39:$L$46,3,0))</f>
        <v/>
      </c>
      <c r="BG2219" s="744" t="str">
        <f t="shared" si="781"/>
        <v/>
      </c>
      <c r="BH2219" s="744" t="str">
        <f>IF(G2219="","",IF(BF2219="Abu Dhabi",IF(G2219&lt;18,'General Basis'!$C$39,IF(G2219&lt;41,'General Basis'!$C$40,IF(G2219&lt;60,'General Basis'!$C$41,IF(G2219&lt;65,'General Basis'!$C$42,'General Basis'!$C$43)))),IF(G2219&lt;11,'General Basis'!$B$39,IF(G2219&lt;18,'General Basis'!$B$40,IF(G2219&lt;26,'General Basis'!$B$41,IF(G2219&lt;31,'General Basis'!$B$42,IF(G2219&lt;36,'General Basis'!$B$43,IF(G2219&lt;41,'General Basis'!$B$44,IF(G2219&lt;46,'General Basis'!$B$45,IF(G2219&lt;51,'General Basis'!$B$46,IF(G2219&lt;56,'General Basis'!$B$47,IF(G2219&lt;60,'General Basis'!$B$48,IF(G2219&lt;65,'General Basis'!$B$49,'General Basis'!$B$50)))))))))))))</f>
        <v/>
      </c>
      <c r="BI2219" s="744" t="str">
        <f t="shared" si="775"/>
        <v/>
      </c>
      <c r="BJ2219" s="747" t="str">
        <f t="shared" si="782"/>
        <v/>
      </c>
      <c r="BK2219" s="498" t="str">
        <f t="shared" si="776"/>
        <v/>
      </c>
      <c r="BL2219" s="498" t="str">
        <f t="shared" si="777"/>
        <v/>
      </c>
    </row>
    <row r="2220" spans="1:64" x14ac:dyDescent="0.25">
      <c r="A2220" s="762">
        <f t="shared" si="778"/>
        <v>2215</v>
      </c>
      <c r="B2220" s="229"/>
      <c r="C2220" s="223"/>
      <c r="D2220" s="224"/>
      <c r="E2220" s="225"/>
      <c r="F2220" s="1036" t="str">
        <f t="shared" si="784"/>
        <v/>
      </c>
      <c r="G2220" s="1037" t="str">
        <f t="shared" si="779"/>
        <v/>
      </c>
      <c r="H2220" s="225"/>
      <c r="I2220" s="1013"/>
      <c r="J2220" s="1013"/>
      <c r="K2220" s="1028"/>
      <c r="L2220" s="1035" t="str">
        <f t="shared" si="783"/>
        <v/>
      </c>
      <c r="S2220" s="498"/>
      <c r="AJ2220" s="498"/>
      <c r="AM2220" s="498">
        <f t="shared" si="764"/>
        <v>0</v>
      </c>
      <c r="AN2220" s="498">
        <f t="shared" si="765"/>
        <v>0</v>
      </c>
      <c r="AO2220" s="498">
        <f t="shared" si="766"/>
        <v>0</v>
      </c>
      <c r="AP2220" s="498">
        <f t="shared" si="785"/>
        <v>0</v>
      </c>
      <c r="AQ2220" s="498">
        <f t="shared" si="780"/>
        <v>0</v>
      </c>
      <c r="AU2220" s="498">
        <f t="shared" si="767"/>
        <v>0</v>
      </c>
      <c r="AV2220" s="498">
        <f t="shared" si="768"/>
        <v>0</v>
      </c>
      <c r="AW2220" s="498">
        <f t="shared" si="769"/>
        <v>0</v>
      </c>
      <c r="AX2220" s="498">
        <f t="shared" si="770"/>
        <v>0</v>
      </c>
      <c r="AY2220" s="498">
        <f t="shared" si="771"/>
        <v>0</v>
      </c>
      <c r="BB2220" s="498" t="str">
        <f t="shared" si="772"/>
        <v/>
      </c>
      <c r="BC2220" s="743" t="str">
        <f t="shared" si="773"/>
        <v/>
      </c>
      <c r="BD2220" s="743" t="str">
        <f t="shared" si="774"/>
        <v/>
      </c>
      <c r="BE2220" s="743" t="str">
        <f>IF(D2220="","",VLOOKUP(D2220,'General Basis'!$J$39:$K$46,2,0))</f>
        <v/>
      </c>
      <c r="BF2220" s="744" t="str">
        <f>IF(D2220="","",VLOOKUP(D2220,'General Basis'!$J$39:$L$46,3,0))</f>
        <v/>
      </c>
      <c r="BG2220" s="744" t="str">
        <f t="shared" si="781"/>
        <v/>
      </c>
      <c r="BH2220" s="744" t="str">
        <f>IF(G2220="","",IF(BF2220="Abu Dhabi",IF(G2220&lt;18,'General Basis'!$C$39,IF(G2220&lt;41,'General Basis'!$C$40,IF(G2220&lt;60,'General Basis'!$C$41,IF(G2220&lt;65,'General Basis'!$C$42,'General Basis'!$C$43)))),IF(G2220&lt;11,'General Basis'!$B$39,IF(G2220&lt;18,'General Basis'!$B$40,IF(G2220&lt;26,'General Basis'!$B$41,IF(G2220&lt;31,'General Basis'!$B$42,IF(G2220&lt;36,'General Basis'!$B$43,IF(G2220&lt;41,'General Basis'!$B$44,IF(G2220&lt;46,'General Basis'!$B$45,IF(G2220&lt;51,'General Basis'!$B$46,IF(G2220&lt;56,'General Basis'!$B$47,IF(G2220&lt;60,'General Basis'!$B$48,IF(G2220&lt;65,'General Basis'!$B$49,'General Basis'!$B$50)))))))))))))</f>
        <v/>
      </c>
      <c r="BI2220" s="744" t="str">
        <f t="shared" si="775"/>
        <v/>
      </c>
      <c r="BJ2220" s="747" t="str">
        <f t="shared" si="782"/>
        <v/>
      </c>
      <c r="BK2220" s="498" t="str">
        <f t="shared" si="776"/>
        <v/>
      </c>
      <c r="BL2220" s="498" t="str">
        <f t="shared" si="777"/>
        <v/>
      </c>
    </row>
    <row r="2221" spans="1:64" x14ac:dyDescent="0.25">
      <c r="A2221" s="762">
        <f t="shared" si="778"/>
        <v>2216</v>
      </c>
      <c r="B2221" s="229"/>
      <c r="C2221" s="223"/>
      <c r="D2221" s="224"/>
      <c r="E2221" s="225"/>
      <c r="F2221" s="1036" t="str">
        <f t="shared" si="784"/>
        <v/>
      </c>
      <c r="G2221" s="1037" t="str">
        <f t="shared" si="779"/>
        <v/>
      </c>
      <c r="H2221" s="225"/>
      <c r="I2221" s="1013"/>
      <c r="J2221" s="1013"/>
      <c r="K2221" s="1028"/>
      <c r="L2221" s="1035" t="str">
        <f t="shared" si="783"/>
        <v/>
      </c>
      <c r="S2221" s="498"/>
      <c r="AJ2221" s="498"/>
      <c r="AM2221" s="498">
        <f t="shared" si="764"/>
        <v>0</v>
      </c>
      <c r="AN2221" s="498">
        <f t="shared" si="765"/>
        <v>0</v>
      </c>
      <c r="AO2221" s="498">
        <f t="shared" si="766"/>
        <v>0</v>
      </c>
      <c r="AP2221" s="498">
        <f t="shared" si="785"/>
        <v>0</v>
      </c>
      <c r="AQ2221" s="498">
        <f t="shared" si="780"/>
        <v>0</v>
      </c>
      <c r="AU2221" s="498">
        <f t="shared" si="767"/>
        <v>0</v>
      </c>
      <c r="AV2221" s="498">
        <f t="shared" si="768"/>
        <v>0</v>
      </c>
      <c r="AW2221" s="498">
        <f t="shared" si="769"/>
        <v>0</v>
      </c>
      <c r="AX2221" s="498">
        <f t="shared" si="770"/>
        <v>0</v>
      </c>
      <c r="AY2221" s="498">
        <f t="shared" si="771"/>
        <v>0</v>
      </c>
      <c r="BB2221" s="498" t="str">
        <f t="shared" si="772"/>
        <v/>
      </c>
      <c r="BC2221" s="743" t="str">
        <f t="shared" si="773"/>
        <v/>
      </c>
      <c r="BD2221" s="743" t="str">
        <f t="shared" si="774"/>
        <v/>
      </c>
      <c r="BE2221" s="743" t="str">
        <f>IF(D2221="","",VLOOKUP(D2221,'General Basis'!$J$39:$K$46,2,0))</f>
        <v/>
      </c>
      <c r="BF2221" s="744" t="str">
        <f>IF(D2221="","",VLOOKUP(D2221,'General Basis'!$J$39:$L$46,3,0))</f>
        <v/>
      </c>
      <c r="BG2221" s="744" t="str">
        <f t="shared" si="781"/>
        <v/>
      </c>
      <c r="BH2221" s="744" t="str">
        <f>IF(G2221="","",IF(BF2221="Abu Dhabi",IF(G2221&lt;18,'General Basis'!$C$39,IF(G2221&lt;41,'General Basis'!$C$40,IF(G2221&lt;60,'General Basis'!$C$41,IF(G2221&lt;65,'General Basis'!$C$42,'General Basis'!$C$43)))),IF(G2221&lt;11,'General Basis'!$B$39,IF(G2221&lt;18,'General Basis'!$B$40,IF(G2221&lt;26,'General Basis'!$B$41,IF(G2221&lt;31,'General Basis'!$B$42,IF(G2221&lt;36,'General Basis'!$B$43,IF(G2221&lt;41,'General Basis'!$B$44,IF(G2221&lt;46,'General Basis'!$B$45,IF(G2221&lt;51,'General Basis'!$B$46,IF(G2221&lt;56,'General Basis'!$B$47,IF(G2221&lt;60,'General Basis'!$B$48,IF(G2221&lt;65,'General Basis'!$B$49,'General Basis'!$B$50)))))))))))))</f>
        <v/>
      </c>
      <c r="BI2221" s="744" t="str">
        <f t="shared" si="775"/>
        <v/>
      </c>
      <c r="BJ2221" s="747" t="str">
        <f t="shared" si="782"/>
        <v/>
      </c>
      <c r="BK2221" s="498" t="str">
        <f t="shared" si="776"/>
        <v/>
      </c>
      <c r="BL2221" s="498" t="str">
        <f t="shared" si="777"/>
        <v/>
      </c>
    </row>
    <row r="2222" spans="1:64" x14ac:dyDescent="0.25">
      <c r="A2222" s="762">
        <f t="shared" si="778"/>
        <v>2217</v>
      </c>
      <c r="B2222" s="229"/>
      <c r="C2222" s="223"/>
      <c r="D2222" s="224"/>
      <c r="E2222" s="225"/>
      <c r="F2222" s="1036" t="str">
        <f t="shared" si="784"/>
        <v/>
      </c>
      <c r="G2222" s="1037" t="str">
        <f t="shared" si="779"/>
        <v/>
      </c>
      <c r="H2222" s="225"/>
      <c r="I2222" s="1013"/>
      <c r="J2222" s="1013"/>
      <c r="K2222" s="1028"/>
      <c r="L2222" s="1035" t="str">
        <f t="shared" si="783"/>
        <v/>
      </c>
      <c r="S2222" s="498"/>
      <c r="AJ2222" s="498"/>
      <c r="AM2222" s="498">
        <f t="shared" si="764"/>
        <v>0</v>
      </c>
      <c r="AN2222" s="498">
        <f t="shared" si="765"/>
        <v>0</v>
      </c>
      <c r="AO2222" s="498">
        <f t="shared" si="766"/>
        <v>0</v>
      </c>
      <c r="AP2222" s="498">
        <f t="shared" si="785"/>
        <v>0</v>
      </c>
      <c r="AQ2222" s="498">
        <f t="shared" si="780"/>
        <v>0</v>
      </c>
      <c r="AU2222" s="498">
        <f t="shared" si="767"/>
        <v>0</v>
      </c>
      <c r="AV2222" s="498">
        <f t="shared" si="768"/>
        <v>0</v>
      </c>
      <c r="AW2222" s="498">
        <f t="shared" si="769"/>
        <v>0</v>
      </c>
      <c r="AX2222" s="498">
        <f t="shared" si="770"/>
        <v>0</v>
      </c>
      <c r="AY2222" s="498">
        <f t="shared" si="771"/>
        <v>0</v>
      </c>
      <c r="BB2222" s="498" t="str">
        <f t="shared" si="772"/>
        <v/>
      </c>
      <c r="BC2222" s="743" t="str">
        <f t="shared" si="773"/>
        <v/>
      </c>
      <c r="BD2222" s="743" t="str">
        <f t="shared" si="774"/>
        <v/>
      </c>
      <c r="BE2222" s="743" t="str">
        <f>IF(D2222="","",VLOOKUP(D2222,'General Basis'!$J$39:$K$46,2,0))</f>
        <v/>
      </c>
      <c r="BF2222" s="744" t="str">
        <f>IF(D2222="","",VLOOKUP(D2222,'General Basis'!$J$39:$L$46,3,0))</f>
        <v/>
      </c>
      <c r="BG2222" s="744" t="str">
        <f t="shared" si="781"/>
        <v/>
      </c>
      <c r="BH2222" s="744" t="str">
        <f>IF(G2222="","",IF(BF2222="Abu Dhabi",IF(G2222&lt;18,'General Basis'!$C$39,IF(G2222&lt;41,'General Basis'!$C$40,IF(G2222&lt;60,'General Basis'!$C$41,IF(G2222&lt;65,'General Basis'!$C$42,'General Basis'!$C$43)))),IF(G2222&lt;11,'General Basis'!$B$39,IF(G2222&lt;18,'General Basis'!$B$40,IF(G2222&lt;26,'General Basis'!$B$41,IF(G2222&lt;31,'General Basis'!$B$42,IF(G2222&lt;36,'General Basis'!$B$43,IF(G2222&lt;41,'General Basis'!$B$44,IF(G2222&lt;46,'General Basis'!$B$45,IF(G2222&lt;51,'General Basis'!$B$46,IF(G2222&lt;56,'General Basis'!$B$47,IF(G2222&lt;60,'General Basis'!$B$48,IF(G2222&lt;65,'General Basis'!$B$49,'General Basis'!$B$50)))))))))))))</f>
        <v/>
      </c>
      <c r="BI2222" s="744" t="str">
        <f t="shared" si="775"/>
        <v/>
      </c>
      <c r="BJ2222" s="747" t="str">
        <f t="shared" si="782"/>
        <v/>
      </c>
      <c r="BK2222" s="498" t="str">
        <f t="shared" si="776"/>
        <v/>
      </c>
      <c r="BL2222" s="498" t="str">
        <f t="shared" si="777"/>
        <v/>
      </c>
    </row>
    <row r="2223" spans="1:64" x14ac:dyDescent="0.25">
      <c r="A2223" s="762">
        <f t="shared" si="778"/>
        <v>2218</v>
      </c>
      <c r="B2223" s="229"/>
      <c r="C2223" s="223"/>
      <c r="D2223" s="224"/>
      <c r="E2223" s="225"/>
      <c r="F2223" s="1036" t="str">
        <f t="shared" si="784"/>
        <v/>
      </c>
      <c r="G2223" s="1037" t="str">
        <f t="shared" si="779"/>
        <v/>
      </c>
      <c r="H2223" s="225"/>
      <c r="I2223" s="1013"/>
      <c r="J2223" s="1013"/>
      <c r="K2223" s="1028"/>
      <c r="L2223" s="1035" t="str">
        <f t="shared" si="783"/>
        <v/>
      </c>
      <c r="S2223" s="498"/>
      <c r="AJ2223" s="498"/>
      <c r="AM2223" s="498">
        <f t="shared" si="764"/>
        <v>0</v>
      </c>
      <c r="AN2223" s="498">
        <f t="shared" si="765"/>
        <v>0</v>
      </c>
      <c r="AO2223" s="498">
        <f t="shared" si="766"/>
        <v>0</v>
      </c>
      <c r="AP2223" s="498">
        <f t="shared" si="785"/>
        <v>0</v>
      </c>
      <c r="AQ2223" s="498">
        <f t="shared" si="780"/>
        <v>0</v>
      </c>
      <c r="AU2223" s="498">
        <f t="shared" si="767"/>
        <v>0</v>
      </c>
      <c r="AV2223" s="498">
        <f t="shared" si="768"/>
        <v>0</v>
      </c>
      <c r="AW2223" s="498">
        <f t="shared" si="769"/>
        <v>0</v>
      </c>
      <c r="AX2223" s="498">
        <f t="shared" si="770"/>
        <v>0</v>
      </c>
      <c r="AY2223" s="498">
        <f t="shared" si="771"/>
        <v>0</v>
      </c>
      <c r="BB2223" s="498" t="str">
        <f t="shared" si="772"/>
        <v/>
      </c>
      <c r="BC2223" s="743" t="str">
        <f t="shared" si="773"/>
        <v/>
      </c>
      <c r="BD2223" s="743" t="str">
        <f t="shared" si="774"/>
        <v/>
      </c>
      <c r="BE2223" s="743" t="str">
        <f>IF(D2223="","",VLOOKUP(D2223,'General Basis'!$J$39:$K$46,2,0))</f>
        <v/>
      </c>
      <c r="BF2223" s="744" t="str">
        <f>IF(D2223="","",VLOOKUP(D2223,'General Basis'!$J$39:$L$46,3,0))</f>
        <v/>
      </c>
      <c r="BG2223" s="744" t="str">
        <f t="shared" si="781"/>
        <v/>
      </c>
      <c r="BH2223" s="744" t="str">
        <f>IF(G2223="","",IF(BF2223="Abu Dhabi",IF(G2223&lt;18,'General Basis'!$C$39,IF(G2223&lt;41,'General Basis'!$C$40,IF(G2223&lt;60,'General Basis'!$C$41,IF(G2223&lt;65,'General Basis'!$C$42,'General Basis'!$C$43)))),IF(G2223&lt;11,'General Basis'!$B$39,IF(G2223&lt;18,'General Basis'!$B$40,IF(G2223&lt;26,'General Basis'!$B$41,IF(G2223&lt;31,'General Basis'!$B$42,IF(G2223&lt;36,'General Basis'!$B$43,IF(G2223&lt;41,'General Basis'!$B$44,IF(G2223&lt;46,'General Basis'!$B$45,IF(G2223&lt;51,'General Basis'!$B$46,IF(G2223&lt;56,'General Basis'!$B$47,IF(G2223&lt;60,'General Basis'!$B$48,IF(G2223&lt;65,'General Basis'!$B$49,'General Basis'!$B$50)))))))))))))</f>
        <v/>
      </c>
      <c r="BI2223" s="744" t="str">
        <f t="shared" si="775"/>
        <v/>
      </c>
      <c r="BJ2223" s="747" t="str">
        <f t="shared" si="782"/>
        <v/>
      </c>
      <c r="BK2223" s="498" t="str">
        <f t="shared" si="776"/>
        <v/>
      </c>
      <c r="BL2223" s="498" t="str">
        <f t="shared" si="777"/>
        <v/>
      </c>
    </row>
    <row r="2224" spans="1:64" x14ac:dyDescent="0.25">
      <c r="A2224" s="762">
        <f t="shared" si="778"/>
        <v>2219</v>
      </c>
      <c r="B2224" s="229"/>
      <c r="C2224" s="223"/>
      <c r="D2224" s="224"/>
      <c r="E2224" s="225"/>
      <c r="F2224" s="1036" t="str">
        <f t="shared" si="784"/>
        <v/>
      </c>
      <c r="G2224" s="1037" t="str">
        <f t="shared" si="779"/>
        <v/>
      </c>
      <c r="H2224" s="225"/>
      <c r="I2224" s="1013"/>
      <c r="J2224" s="1013"/>
      <c r="K2224" s="1028"/>
      <c r="L2224" s="1035" t="str">
        <f t="shared" si="783"/>
        <v/>
      </c>
      <c r="S2224" s="498"/>
      <c r="AJ2224" s="498"/>
      <c r="AM2224" s="498">
        <f t="shared" si="764"/>
        <v>0</v>
      </c>
      <c r="AN2224" s="498">
        <f t="shared" si="765"/>
        <v>0</v>
      </c>
      <c r="AO2224" s="498">
        <f t="shared" si="766"/>
        <v>0</v>
      </c>
      <c r="AP2224" s="498">
        <f t="shared" si="785"/>
        <v>0</v>
      </c>
      <c r="AQ2224" s="498">
        <f t="shared" si="780"/>
        <v>0</v>
      </c>
      <c r="AU2224" s="498">
        <f t="shared" si="767"/>
        <v>0</v>
      </c>
      <c r="AV2224" s="498">
        <f t="shared" si="768"/>
        <v>0</v>
      </c>
      <c r="AW2224" s="498">
        <f t="shared" si="769"/>
        <v>0</v>
      </c>
      <c r="AX2224" s="498">
        <f t="shared" si="770"/>
        <v>0</v>
      </c>
      <c r="AY2224" s="498">
        <f t="shared" si="771"/>
        <v>0</v>
      </c>
      <c r="BB2224" s="498" t="str">
        <f t="shared" si="772"/>
        <v/>
      </c>
      <c r="BC2224" s="743" t="str">
        <f t="shared" si="773"/>
        <v/>
      </c>
      <c r="BD2224" s="743" t="str">
        <f t="shared" si="774"/>
        <v/>
      </c>
      <c r="BE2224" s="743" t="str">
        <f>IF(D2224="","",VLOOKUP(D2224,'General Basis'!$J$39:$K$46,2,0))</f>
        <v/>
      </c>
      <c r="BF2224" s="744" t="str">
        <f>IF(D2224="","",VLOOKUP(D2224,'General Basis'!$J$39:$L$46,3,0))</f>
        <v/>
      </c>
      <c r="BG2224" s="744" t="str">
        <f t="shared" si="781"/>
        <v/>
      </c>
      <c r="BH2224" s="744" t="str">
        <f>IF(G2224="","",IF(BF2224="Abu Dhabi",IF(G2224&lt;18,'General Basis'!$C$39,IF(G2224&lt;41,'General Basis'!$C$40,IF(G2224&lt;60,'General Basis'!$C$41,IF(G2224&lt;65,'General Basis'!$C$42,'General Basis'!$C$43)))),IF(G2224&lt;11,'General Basis'!$B$39,IF(G2224&lt;18,'General Basis'!$B$40,IF(G2224&lt;26,'General Basis'!$B$41,IF(G2224&lt;31,'General Basis'!$B$42,IF(G2224&lt;36,'General Basis'!$B$43,IF(G2224&lt;41,'General Basis'!$B$44,IF(G2224&lt;46,'General Basis'!$B$45,IF(G2224&lt;51,'General Basis'!$B$46,IF(G2224&lt;56,'General Basis'!$B$47,IF(G2224&lt;60,'General Basis'!$B$48,IF(G2224&lt;65,'General Basis'!$B$49,'General Basis'!$B$50)))))))))))))</f>
        <v/>
      </c>
      <c r="BI2224" s="744" t="str">
        <f t="shared" si="775"/>
        <v/>
      </c>
      <c r="BJ2224" s="747" t="str">
        <f t="shared" si="782"/>
        <v/>
      </c>
      <c r="BK2224" s="498" t="str">
        <f t="shared" si="776"/>
        <v/>
      </c>
      <c r="BL2224" s="498" t="str">
        <f t="shared" si="777"/>
        <v/>
      </c>
    </row>
    <row r="2225" spans="1:64" x14ac:dyDescent="0.25">
      <c r="A2225" s="762">
        <f t="shared" si="778"/>
        <v>2220</v>
      </c>
      <c r="B2225" s="229"/>
      <c r="C2225" s="223"/>
      <c r="D2225" s="224"/>
      <c r="E2225" s="225"/>
      <c r="F2225" s="1036" t="str">
        <f t="shared" si="784"/>
        <v/>
      </c>
      <c r="G2225" s="1037" t="str">
        <f t="shared" si="779"/>
        <v/>
      </c>
      <c r="H2225" s="225"/>
      <c r="I2225" s="1013"/>
      <c r="J2225" s="1013"/>
      <c r="K2225" s="1028"/>
      <c r="L2225" s="1035" t="str">
        <f t="shared" si="783"/>
        <v/>
      </c>
      <c r="S2225" s="498"/>
      <c r="AJ2225" s="498"/>
      <c r="AM2225" s="498">
        <f t="shared" si="764"/>
        <v>0</v>
      </c>
      <c r="AN2225" s="498">
        <f t="shared" si="765"/>
        <v>0</v>
      </c>
      <c r="AO2225" s="498">
        <f t="shared" si="766"/>
        <v>0</v>
      </c>
      <c r="AP2225" s="498">
        <f t="shared" si="785"/>
        <v>0</v>
      </c>
      <c r="AQ2225" s="498">
        <f t="shared" si="780"/>
        <v>0</v>
      </c>
      <c r="AU2225" s="498">
        <f t="shared" si="767"/>
        <v>0</v>
      </c>
      <c r="AV2225" s="498">
        <f t="shared" si="768"/>
        <v>0</v>
      </c>
      <c r="AW2225" s="498">
        <f t="shared" si="769"/>
        <v>0</v>
      </c>
      <c r="AX2225" s="498">
        <f t="shared" si="770"/>
        <v>0</v>
      </c>
      <c r="AY2225" s="498">
        <f t="shared" si="771"/>
        <v>0</v>
      </c>
      <c r="BB2225" s="498" t="str">
        <f t="shared" si="772"/>
        <v/>
      </c>
      <c r="BC2225" s="743" t="str">
        <f t="shared" si="773"/>
        <v/>
      </c>
      <c r="BD2225" s="743" t="str">
        <f t="shared" si="774"/>
        <v/>
      </c>
      <c r="BE2225" s="743" t="str">
        <f>IF(D2225="","",VLOOKUP(D2225,'General Basis'!$J$39:$K$46,2,0))</f>
        <v/>
      </c>
      <c r="BF2225" s="744" t="str">
        <f>IF(D2225="","",VLOOKUP(D2225,'General Basis'!$J$39:$L$46,3,0))</f>
        <v/>
      </c>
      <c r="BG2225" s="744" t="str">
        <f t="shared" si="781"/>
        <v/>
      </c>
      <c r="BH2225" s="744" t="str">
        <f>IF(G2225="","",IF(BF2225="Abu Dhabi",IF(G2225&lt;18,'General Basis'!$C$39,IF(G2225&lt;41,'General Basis'!$C$40,IF(G2225&lt;60,'General Basis'!$C$41,IF(G2225&lt;65,'General Basis'!$C$42,'General Basis'!$C$43)))),IF(G2225&lt;11,'General Basis'!$B$39,IF(G2225&lt;18,'General Basis'!$B$40,IF(G2225&lt;26,'General Basis'!$B$41,IF(G2225&lt;31,'General Basis'!$B$42,IF(G2225&lt;36,'General Basis'!$B$43,IF(G2225&lt;41,'General Basis'!$B$44,IF(G2225&lt;46,'General Basis'!$B$45,IF(G2225&lt;51,'General Basis'!$B$46,IF(G2225&lt;56,'General Basis'!$B$47,IF(G2225&lt;60,'General Basis'!$B$48,IF(G2225&lt;65,'General Basis'!$B$49,'General Basis'!$B$50)))))))))))))</f>
        <v/>
      </c>
      <c r="BI2225" s="744" t="str">
        <f t="shared" si="775"/>
        <v/>
      </c>
      <c r="BJ2225" s="747" t="str">
        <f t="shared" si="782"/>
        <v/>
      </c>
      <c r="BK2225" s="498" t="str">
        <f t="shared" si="776"/>
        <v/>
      </c>
      <c r="BL2225" s="498" t="str">
        <f t="shared" si="777"/>
        <v/>
      </c>
    </row>
    <row r="2226" spans="1:64" x14ac:dyDescent="0.25">
      <c r="A2226" s="762">
        <f t="shared" si="778"/>
        <v>2221</v>
      </c>
      <c r="B2226" s="229"/>
      <c r="C2226" s="223"/>
      <c r="D2226" s="224"/>
      <c r="E2226" s="225"/>
      <c r="F2226" s="1036" t="str">
        <f t="shared" si="784"/>
        <v/>
      </c>
      <c r="G2226" s="1037" t="str">
        <f t="shared" si="779"/>
        <v/>
      </c>
      <c r="H2226" s="225"/>
      <c r="I2226" s="1013"/>
      <c r="J2226" s="1013"/>
      <c r="K2226" s="1028"/>
      <c r="L2226" s="1035" t="str">
        <f t="shared" si="783"/>
        <v/>
      </c>
      <c r="S2226" s="498"/>
      <c r="AJ2226" s="498"/>
      <c r="AM2226" s="498">
        <f t="shared" si="764"/>
        <v>0</v>
      </c>
      <c r="AN2226" s="498">
        <f t="shared" si="765"/>
        <v>0</v>
      </c>
      <c r="AO2226" s="498">
        <f t="shared" si="766"/>
        <v>0</v>
      </c>
      <c r="AP2226" s="498">
        <f t="shared" si="785"/>
        <v>0</v>
      </c>
      <c r="AQ2226" s="498">
        <f t="shared" si="780"/>
        <v>0</v>
      </c>
      <c r="AU2226" s="498">
        <f t="shared" si="767"/>
        <v>0</v>
      </c>
      <c r="AV2226" s="498">
        <f t="shared" si="768"/>
        <v>0</v>
      </c>
      <c r="AW2226" s="498">
        <f t="shared" si="769"/>
        <v>0</v>
      </c>
      <c r="AX2226" s="498">
        <f t="shared" si="770"/>
        <v>0</v>
      </c>
      <c r="AY2226" s="498">
        <f t="shared" si="771"/>
        <v>0</v>
      </c>
      <c r="BB2226" s="498" t="str">
        <f t="shared" si="772"/>
        <v/>
      </c>
      <c r="BC2226" s="743" t="str">
        <f t="shared" si="773"/>
        <v/>
      </c>
      <c r="BD2226" s="743" t="str">
        <f t="shared" si="774"/>
        <v/>
      </c>
      <c r="BE2226" s="743" t="str">
        <f>IF(D2226="","",VLOOKUP(D2226,'General Basis'!$J$39:$K$46,2,0))</f>
        <v/>
      </c>
      <c r="BF2226" s="744" t="str">
        <f>IF(D2226="","",VLOOKUP(D2226,'General Basis'!$J$39:$L$46,3,0))</f>
        <v/>
      </c>
      <c r="BG2226" s="744" t="str">
        <f t="shared" si="781"/>
        <v/>
      </c>
      <c r="BH2226" s="744" t="str">
        <f>IF(G2226="","",IF(BF2226="Abu Dhabi",IF(G2226&lt;18,'General Basis'!$C$39,IF(G2226&lt;41,'General Basis'!$C$40,IF(G2226&lt;60,'General Basis'!$C$41,IF(G2226&lt;65,'General Basis'!$C$42,'General Basis'!$C$43)))),IF(G2226&lt;11,'General Basis'!$B$39,IF(G2226&lt;18,'General Basis'!$B$40,IF(G2226&lt;26,'General Basis'!$B$41,IF(G2226&lt;31,'General Basis'!$B$42,IF(G2226&lt;36,'General Basis'!$B$43,IF(G2226&lt;41,'General Basis'!$B$44,IF(G2226&lt;46,'General Basis'!$B$45,IF(G2226&lt;51,'General Basis'!$B$46,IF(G2226&lt;56,'General Basis'!$B$47,IF(G2226&lt;60,'General Basis'!$B$48,IF(G2226&lt;65,'General Basis'!$B$49,'General Basis'!$B$50)))))))))))))</f>
        <v/>
      </c>
      <c r="BI2226" s="744" t="str">
        <f t="shared" si="775"/>
        <v/>
      </c>
      <c r="BJ2226" s="747" t="str">
        <f t="shared" si="782"/>
        <v/>
      </c>
      <c r="BK2226" s="498" t="str">
        <f t="shared" si="776"/>
        <v/>
      </c>
      <c r="BL2226" s="498" t="str">
        <f t="shared" si="777"/>
        <v/>
      </c>
    </row>
    <row r="2227" spans="1:64" x14ac:dyDescent="0.25">
      <c r="A2227" s="762">
        <f t="shared" si="778"/>
        <v>2222</v>
      </c>
      <c r="B2227" s="229"/>
      <c r="C2227" s="223"/>
      <c r="D2227" s="224"/>
      <c r="E2227" s="225"/>
      <c r="F2227" s="1036" t="str">
        <f t="shared" si="784"/>
        <v/>
      </c>
      <c r="G2227" s="1037" t="str">
        <f t="shared" si="779"/>
        <v/>
      </c>
      <c r="H2227" s="225"/>
      <c r="I2227" s="1013"/>
      <c r="J2227" s="1013"/>
      <c r="K2227" s="1028"/>
      <c r="L2227" s="1035" t="str">
        <f t="shared" si="783"/>
        <v/>
      </c>
      <c r="S2227" s="498"/>
      <c r="AJ2227" s="498"/>
      <c r="AM2227" s="498">
        <f t="shared" si="764"/>
        <v>0</v>
      </c>
      <c r="AN2227" s="498">
        <f t="shared" si="765"/>
        <v>0</v>
      </c>
      <c r="AO2227" s="498">
        <f t="shared" si="766"/>
        <v>0</v>
      </c>
      <c r="AP2227" s="498">
        <f t="shared" si="785"/>
        <v>0</v>
      </c>
      <c r="AQ2227" s="498">
        <f t="shared" si="780"/>
        <v>0</v>
      </c>
      <c r="AU2227" s="498">
        <f t="shared" si="767"/>
        <v>0</v>
      </c>
      <c r="AV2227" s="498">
        <f t="shared" si="768"/>
        <v>0</v>
      </c>
      <c r="AW2227" s="498">
        <f t="shared" si="769"/>
        <v>0</v>
      </c>
      <c r="AX2227" s="498">
        <f t="shared" si="770"/>
        <v>0</v>
      </c>
      <c r="AY2227" s="498">
        <f t="shared" si="771"/>
        <v>0</v>
      </c>
      <c r="BB2227" s="498" t="str">
        <f t="shared" si="772"/>
        <v/>
      </c>
      <c r="BC2227" s="743" t="str">
        <f t="shared" si="773"/>
        <v/>
      </c>
      <c r="BD2227" s="743" t="str">
        <f t="shared" si="774"/>
        <v/>
      </c>
      <c r="BE2227" s="743" t="str">
        <f>IF(D2227="","",VLOOKUP(D2227,'General Basis'!$J$39:$K$46,2,0))</f>
        <v/>
      </c>
      <c r="BF2227" s="744" t="str">
        <f>IF(D2227="","",VLOOKUP(D2227,'General Basis'!$J$39:$L$46,3,0))</f>
        <v/>
      </c>
      <c r="BG2227" s="744" t="str">
        <f t="shared" si="781"/>
        <v/>
      </c>
      <c r="BH2227" s="744" t="str">
        <f>IF(G2227="","",IF(BF2227="Abu Dhabi",IF(G2227&lt;18,'General Basis'!$C$39,IF(G2227&lt;41,'General Basis'!$C$40,IF(G2227&lt;60,'General Basis'!$C$41,IF(G2227&lt;65,'General Basis'!$C$42,'General Basis'!$C$43)))),IF(G2227&lt;11,'General Basis'!$B$39,IF(G2227&lt;18,'General Basis'!$B$40,IF(G2227&lt;26,'General Basis'!$B$41,IF(G2227&lt;31,'General Basis'!$B$42,IF(G2227&lt;36,'General Basis'!$B$43,IF(G2227&lt;41,'General Basis'!$B$44,IF(G2227&lt;46,'General Basis'!$B$45,IF(G2227&lt;51,'General Basis'!$B$46,IF(G2227&lt;56,'General Basis'!$B$47,IF(G2227&lt;60,'General Basis'!$B$48,IF(G2227&lt;65,'General Basis'!$B$49,'General Basis'!$B$50)))))))))))))</f>
        <v/>
      </c>
      <c r="BI2227" s="744" t="str">
        <f t="shared" si="775"/>
        <v/>
      </c>
      <c r="BJ2227" s="747" t="str">
        <f t="shared" si="782"/>
        <v/>
      </c>
      <c r="BK2227" s="498" t="str">
        <f t="shared" si="776"/>
        <v/>
      </c>
      <c r="BL2227" s="498" t="str">
        <f t="shared" si="777"/>
        <v/>
      </c>
    </row>
    <row r="2228" spans="1:64" x14ac:dyDescent="0.25">
      <c r="A2228" s="762">
        <f t="shared" si="778"/>
        <v>2223</v>
      </c>
      <c r="B2228" s="229"/>
      <c r="C2228" s="223"/>
      <c r="D2228" s="224"/>
      <c r="E2228" s="225"/>
      <c r="F2228" s="1036" t="str">
        <f t="shared" si="784"/>
        <v/>
      </c>
      <c r="G2228" s="1037" t="str">
        <f t="shared" si="779"/>
        <v/>
      </c>
      <c r="H2228" s="225"/>
      <c r="I2228" s="1013"/>
      <c r="J2228" s="1013"/>
      <c r="K2228" s="1028"/>
      <c r="L2228" s="1035" t="str">
        <f t="shared" si="783"/>
        <v/>
      </c>
      <c r="S2228" s="498"/>
      <c r="AJ2228" s="498"/>
      <c r="AM2228" s="498">
        <f t="shared" si="764"/>
        <v>0</v>
      </c>
      <c r="AN2228" s="498">
        <f t="shared" si="765"/>
        <v>0</v>
      </c>
      <c r="AO2228" s="498">
        <f t="shared" si="766"/>
        <v>0</v>
      </c>
      <c r="AP2228" s="498">
        <f t="shared" si="785"/>
        <v>0</v>
      </c>
      <c r="AQ2228" s="498">
        <f t="shared" si="780"/>
        <v>0</v>
      </c>
      <c r="AU2228" s="498">
        <f t="shared" si="767"/>
        <v>0</v>
      </c>
      <c r="AV2228" s="498">
        <f t="shared" si="768"/>
        <v>0</v>
      </c>
      <c r="AW2228" s="498">
        <f t="shared" si="769"/>
        <v>0</v>
      </c>
      <c r="AX2228" s="498">
        <f t="shared" si="770"/>
        <v>0</v>
      </c>
      <c r="AY2228" s="498">
        <f t="shared" si="771"/>
        <v>0</v>
      </c>
      <c r="BB2228" s="498" t="str">
        <f t="shared" si="772"/>
        <v/>
      </c>
      <c r="BC2228" s="743" t="str">
        <f t="shared" si="773"/>
        <v/>
      </c>
      <c r="BD2228" s="743" t="str">
        <f t="shared" si="774"/>
        <v/>
      </c>
      <c r="BE2228" s="743" t="str">
        <f>IF(D2228="","",VLOOKUP(D2228,'General Basis'!$J$39:$K$46,2,0))</f>
        <v/>
      </c>
      <c r="BF2228" s="744" t="str">
        <f>IF(D2228="","",VLOOKUP(D2228,'General Basis'!$J$39:$L$46,3,0))</f>
        <v/>
      </c>
      <c r="BG2228" s="744" t="str">
        <f t="shared" si="781"/>
        <v/>
      </c>
      <c r="BH2228" s="744" t="str">
        <f>IF(G2228="","",IF(BF2228="Abu Dhabi",IF(G2228&lt;18,'General Basis'!$C$39,IF(G2228&lt;41,'General Basis'!$C$40,IF(G2228&lt;60,'General Basis'!$C$41,IF(G2228&lt;65,'General Basis'!$C$42,'General Basis'!$C$43)))),IF(G2228&lt;11,'General Basis'!$B$39,IF(G2228&lt;18,'General Basis'!$B$40,IF(G2228&lt;26,'General Basis'!$B$41,IF(G2228&lt;31,'General Basis'!$B$42,IF(G2228&lt;36,'General Basis'!$B$43,IF(G2228&lt;41,'General Basis'!$B$44,IF(G2228&lt;46,'General Basis'!$B$45,IF(G2228&lt;51,'General Basis'!$B$46,IF(G2228&lt;56,'General Basis'!$B$47,IF(G2228&lt;60,'General Basis'!$B$48,IF(G2228&lt;65,'General Basis'!$B$49,'General Basis'!$B$50)))))))))))))</f>
        <v/>
      </c>
      <c r="BI2228" s="744" t="str">
        <f t="shared" si="775"/>
        <v/>
      </c>
      <c r="BJ2228" s="747" t="str">
        <f t="shared" si="782"/>
        <v/>
      </c>
      <c r="BK2228" s="498" t="str">
        <f t="shared" si="776"/>
        <v/>
      </c>
      <c r="BL2228" s="498" t="str">
        <f t="shared" si="777"/>
        <v/>
      </c>
    </row>
    <row r="2229" spans="1:64" x14ac:dyDescent="0.25">
      <c r="A2229" s="762">
        <f t="shared" si="778"/>
        <v>2224</v>
      </c>
      <c r="B2229" s="229"/>
      <c r="C2229" s="223"/>
      <c r="D2229" s="224"/>
      <c r="E2229" s="225"/>
      <c r="F2229" s="1036" t="str">
        <f t="shared" si="784"/>
        <v/>
      </c>
      <c r="G2229" s="1037" t="str">
        <f t="shared" si="779"/>
        <v/>
      </c>
      <c r="H2229" s="225"/>
      <c r="I2229" s="1013"/>
      <c r="J2229" s="1013"/>
      <c r="K2229" s="1028"/>
      <c r="L2229" s="1035" t="str">
        <f t="shared" si="783"/>
        <v/>
      </c>
      <c r="S2229" s="498"/>
      <c r="AJ2229" s="498"/>
      <c r="AM2229" s="498">
        <f t="shared" si="764"/>
        <v>0</v>
      </c>
      <c r="AN2229" s="498">
        <f t="shared" si="765"/>
        <v>0</v>
      </c>
      <c r="AO2229" s="498">
        <f t="shared" si="766"/>
        <v>0</v>
      </c>
      <c r="AP2229" s="498">
        <f t="shared" si="785"/>
        <v>0</v>
      </c>
      <c r="AQ2229" s="498">
        <f t="shared" si="780"/>
        <v>0</v>
      </c>
      <c r="AU2229" s="498">
        <f t="shared" si="767"/>
        <v>0</v>
      </c>
      <c r="AV2229" s="498">
        <f t="shared" si="768"/>
        <v>0</v>
      </c>
      <c r="AW2229" s="498">
        <f t="shared" si="769"/>
        <v>0</v>
      </c>
      <c r="AX2229" s="498">
        <f t="shared" si="770"/>
        <v>0</v>
      </c>
      <c r="AY2229" s="498">
        <f t="shared" si="771"/>
        <v>0</v>
      </c>
      <c r="BB2229" s="498" t="str">
        <f t="shared" si="772"/>
        <v/>
      </c>
      <c r="BC2229" s="743" t="str">
        <f t="shared" si="773"/>
        <v/>
      </c>
      <c r="BD2229" s="743" t="str">
        <f t="shared" si="774"/>
        <v/>
      </c>
      <c r="BE2229" s="743" t="str">
        <f>IF(D2229="","",VLOOKUP(D2229,'General Basis'!$J$39:$K$46,2,0))</f>
        <v/>
      </c>
      <c r="BF2229" s="744" t="str">
        <f>IF(D2229="","",VLOOKUP(D2229,'General Basis'!$J$39:$L$46,3,0))</f>
        <v/>
      </c>
      <c r="BG2229" s="744" t="str">
        <f t="shared" si="781"/>
        <v/>
      </c>
      <c r="BH2229" s="744" t="str">
        <f>IF(G2229="","",IF(BF2229="Abu Dhabi",IF(G2229&lt;18,'General Basis'!$C$39,IF(G2229&lt;41,'General Basis'!$C$40,IF(G2229&lt;60,'General Basis'!$C$41,IF(G2229&lt;65,'General Basis'!$C$42,'General Basis'!$C$43)))),IF(G2229&lt;11,'General Basis'!$B$39,IF(G2229&lt;18,'General Basis'!$B$40,IF(G2229&lt;26,'General Basis'!$B$41,IF(G2229&lt;31,'General Basis'!$B$42,IF(G2229&lt;36,'General Basis'!$B$43,IF(G2229&lt;41,'General Basis'!$B$44,IF(G2229&lt;46,'General Basis'!$B$45,IF(G2229&lt;51,'General Basis'!$B$46,IF(G2229&lt;56,'General Basis'!$B$47,IF(G2229&lt;60,'General Basis'!$B$48,IF(G2229&lt;65,'General Basis'!$B$49,'General Basis'!$B$50)))))))))))))</f>
        <v/>
      </c>
      <c r="BI2229" s="744" t="str">
        <f t="shared" si="775"/>
        <v/>
      </c>
      <c r="BJ2229" s="747" t="str">
        <f t="shared" si="782"/>
        <v/>
      </c>
      <c r="BK2229" s="498" t="str">
        <f t="shared" si="776"/>
        <v/>
      </c>
      <c r="BL2229" s="498" t="str">
        <f t="shared" si="777"/>
        <v/>
      </c>
    </row>
    <row r="2230" spans="1:64" x14ac:dyDescent="0.25">
      <c r="A2230" s="762">
        <f t="shared" si="778"/>
        <v>2225</v>
      </c>
      <c r="B2230" s="229"/>
      <c r="C2230" s="223"/>
      <c r="D2230" s="224"/>
      <c r="E2230" s="225"/>
      <c r="F2230" s="1036" t="str">
        <f t="shared" si="784"/>
        <v/>
      </c>
      <c r="G2230" s="1037" t="str">
        <f t="shared" si="779"/>
        <v/>
      </c>
      <c r="H2230" s="225"/>
      <c r="I2230" s="1013"/>
      <c r="J2230" s="1013"/>
      <c r="K2230" s="1028"/>
      <c r="L2230" s="1035" t="str">
        <f t="shared" si="783"/>
        <v/>
      </c>
      <c r="S2230" s="498"/>
      <c r="AJ2230" s="498"/>
      <c r="AM2230" s="498">
        <f t="shared" si="764"/>
        <v>0</v>
      </c>
      <c r="AN2230" s="498">
        <f t="shared" si="765"/>
        <v>0</v>
      </c>
      <c r="AO2230" s="498">
        <f t="shared" si="766"/>
        <v>0</v>
      </c>
      <c r="AP2230" s="498">
        <f t="shared" si="785"/>
        <v>0</v>
      </c>
      <c r="AQ2230" s="498">
        <f t="shared" si="780"/>
        <v>0</v>
      </c>
      <c r="AU2230" s="498">
        <f t="shared" si="767"/>
        <v>0</v>
      </c>
      <c r="AV2230" s="498">
        <f t="shared" si="768"/>
        <v>0</v>
      </c>
      <c r="AW2230" s="498">
        <f t="shared" si="769"/>
        <v>0</v>
      </c>
      <c r="AX2230" s="498">
        <f t="shared" si="770"/>
        <v>0</v>
      </c>
      <c r="AY2230" s="498">
        <f t="shared" si="771"/>
        <v>0</v>
      </c>
      <c r="BB2230" s="498" t="str">
        <f t="shared" si="772"/>
        <v/>
      </c>
      <c r="BC2230" s="743" t="str">
        <f t="shared" si="773"/>
        <v/>
      </c>
      <c r="BD2230" s="743" t="str">
        <f t="shared" si="774"/>
        <v/>
      </c>
      <c r="BE2230" s="743" t="str">
        <f>IF(D2230="","",VLOOKUP(D2230,'General Basis'!$J$39:$K$46,2,0))</f>
        <v/>
      </c>
      <c r="BF2230" s="744" t="str">
        <f>IF(D2230="","",VLOOKUP(D2230,'General Basis'!$J$39:$L$46,3,0))</f>
        <v/>
      </c>
      <c r="BG2230" s="744" t="str">
        <f t="shared" si="781"/>
        <v/>
      </c>
      <c r="BH2230" s="744" t="str">
        <f>IF(G2230="","",IF(BF2230="Abu Dhabi",IF(G2230&lt;18,'General Basis'!$C$39,IF(G2230&lt;41,'General Basis'!$C$40,IF(G2230&lt;60,'General Basis'!$C$41,IF(G2230&lt;65,'General Basis'!$C$42,'General Basis'!$C$43)))),IF(G2230&lt;11,'General Basis'!$B$39,IF(G2230&lt;18,'General Basis'!$B$40,IF(G2230&lt;26,'General Basis'!$B$41,IF(G2230&lt;31,'General Basis'!$B$42,IF(G2230&lt;36,'General Basis'!$B$43,IF(G2230&lt;41,'General Basis'!$B$44,IF(G2230&lt;46,'General Basis'!$B$45,IF(G2230&lt;51,'General Basis'!$B$46,IF(G2230&lt;56,'General Basis'!$B$47,IF(G2230&lt;60,'General Basis'!$B$48,IF(G2230&lt;65,'General Basis'!$B$49,'General Basis'!$B$50)))))))))))))</f>
        <v/>
      </c>
      <c r="BI2230" s="744" t="str">
        <f t="shared" si="775"/>
        <v/>
      </c>
      <c r="BJ2230" s="747" t="str">
        <f t="shared" si="782"/>
        <v/>
      </c>
      <c r="BK2230" s="498" t="str">
        <f t="shared" si="776"/>
        <v/>
      </c>
      <c r="BL2230" s="498" t="str">
        <f t="shared" si="777"/>
        <v/>
      </c>
    </row>
    <row r="2231" spans="1:64" x14ac:dyDescent="0.25">
      <c r="A2231" s="762">
        <f t="shared" si="778"/>
        <v>2226</v>
      </c>
      <c r="B2231" s="229"/>
      <c r="C2231" s="223"/>
      <c r="D2231" s="224"/>
      <c r="E2231" s="225"/>
      <c r="F2231" s="1036" t="str">
        <f t="shared" si="784"/>
        <v/>
      </c>
      <c r="G2231" s="1037" t="str">
        <f t="shared" si="779"/>
        <v/>
      </c>
      <c r="H2231" s="225"/>
      <c r="I2231" s="1013"/>
      <c r="J2231" s="1013"/>
      <c r="K2231" s="1028"/>
      <c r="L2231" s="1035" t="str">
        <f t="shared" si="783"/>
        <v/>
      </c>
      <c r="S2231" s="498"/>
      <c r="AJ2231" s="498"/>
      <c r="AM2231" s="498">
        <f t="shared" si="764"/>
        <v>0</v>
      </c>
      <c r="AN2231" s="498">
        <f t="shared" si="765"/>
        <v>0</v>
      </c>
      <c r="AO2231" s="498">
        <f t="shared" si="766"/>
        <v>0</v>
      </c>
      <c r="AP2231" s="498">
        <f t="shared" si="785"/>
        <v>0</v>
      </c>
      <c r="AQ2231" s="498">
        <f t="shared" si="780"/>
        <v>0</v>
      </c>
      <c r="AU2231" s="498">
        <f t="shared" si="767"/>
        <v>0</v>
      </c>
      <c r="AV2231" s="498">
        <f t="shared" si="768"/>
        <v>0</v>
      </c>
      <c r="AW2231" s="498">
        <f t="shared" si="769"/>
        <v>0</v>
      </c>
      <c r="AX2231" s="498">
        <f t="shared" si="770"/>
        <v>0</v>
      </c>
      <c r="AY2231" s="498">
        <f t="shared" si="771"/>
        <v>0</v>
      </c>
      <c r="BB2231" s="498" t="str">
        <f t="shared" si="772"/>
        <v/>
      </c>
      <c r="BC2231" s="743" t="str">
        <f t="shared" si="773"/>
        <v/>
      </c>
      <c r="BD2231" s="743" t="str">
        <f t="shared" si="774"/>
        <v/>
      </c>
      <c r="BE2231" s="743" t="str">
        <f>IF(D2231="","",VLOOKUP(D2231,'General Basis'!$J$39:$K$46,2,0))</f>
        <v/>
      </c>
      <c r="BF2231" s="744" t="str">
        <f>IF(D2231="","",VLOOKUP(D2231,'General Basis'!$J$39:$L$46,3,0))</f>
        <v/>
      </c>
      <c r="BG2231" s="744" t="str">
        <f t="shared" si="781"/>
        <v/>
      </c>
      <c r="BH2231" s="744" t="str">
        <f>IF(G2231="","",IF(BF2231="Abu Dhabi",IF(G2231&lt;18,'General Basis'!$C$39,IF(G2231&lt;41,'General Basis'!$C$40,IF(G2231&lt;60,'General Basis'!$C$41,IF(G2231&lt;65,'General Basis'!$C$42,'General Basis'!$C$43)))),IF(G2231&lt;11,'General Basis'!$B$39,IF(G2231&lt;18,'General Basis'!$B$40,IF(G2231&lt;26,'General Basis'!$B$41,IF(G2231&lt;31,'General Basis'!$B$42,IF(G2231&lt;36,'General Basis'!$B$43,IF(G2231&lt;41,'General Basis'!$B$44,IF(G2231&lt;46,'General Basis'!$B$45,IF(G2231&lt;51,'General Basis'!$B$46,IF(G2231&lt;56,'General Basis'!$B$47,IF(G2231&lt;60,'General Basis'!$B$48,IF(G2231&lt;65,'General Basis'!$B$49,'General Basis'!$B$50)))))))))))))</f>
        <v/>
      </c>
      <c r="BI2231" s="744" t="str">
        <f t="shared" si="775"/>
        <v/>
      </c>
      <c r="BJ2231" s="747" t="str">
        <f t="shared" si="782"/>
        <v/>
      </c>
      <c r="BK2231" s="498" t="str">
        <f t="shared" si="776"/>
        <v/>
      </c>
      <c r="BL2231" s="498" t="str">
        <f t="shared" si="777"/>
        <v/>
      </c>
    </row>
    <row r="2232" spans="1:64" x14ac:dyDescent="0.25">
      <c r="A2232" s="762">
        <f t="shared" si="778"/>
        <v>2227</v>
      </c>
      <c r="B2232" s="229"/>
      <c r="C2232" s="223"/>
      <c r="D2232" s="224"/>
      <c r="E2232" s="225"/>
      <c r="F2232" s="1036" t="str">
        <f t="shared" si="784"/>
        <v/>
      </c>
      <c r="G2232" s="1037" t="str">
        <f t="shared" si="779"/>
        <v/>
      </c>
      <c r="H2232" s="225"/>
      <c r="I2232" s="1013"/>
      <c r="J2232" s="1013"/>
      <c r="K2232" s="1028"/>
      <c r="L2232" s="1035" t="str">
        <f t="shared" si="783"/>
        <v/>
      </c>
      <c r="S2232" s="498"/>
      <c r="AJ2232" s="498"/>
      <c r="AM2232" s="498">
        <f t="shared" si="764"/>
        <v>0</v>
      </c>
      <c r="AN2232" s="498">
        <f t="shared" si="765"/>
        <v>0</v>
      </c>
      <c r="AO2232" s="498">
        <f t="shared" si="766"/>
        <v>0</v>
      </c>
      <c r="AP2232" s="498">
        <f t="shared" si="785"/>
        <v>0</v>
      </c>
      <c r="AQ2232" s="498">
        <f t="shared" si="780"/>
        <v>0</v>
      </c>
      <c r="AU2232" s="498">
        <f t="shared" si="767"/>
        <v>0</v>
      </c>
      <c r="AV2232" s="498">
        <f t="shared" si="768"/>
        <v>0</v>
      </c>
      <c r="AW2232" s="498">
        <f t="shared" si="769"/>
        <v>0</v>
      </c>
      <c r="AX2232" s="498">
        <f t="shared" si="770"/>
        <v>0</v>
      </c>
      <c r="AY2232" s="498">
        <f t="shared" si="771"/>
        <v>0</v>
      </c>
      <c r="BB2232" s="498" t="str">
        <f t="shared" si="772"/>
        <v/>
      </c>
      <c r="BC2232" s="743" t="str">
        <f t="shared" si="773"/>
        <v/>
      </c>
      <c r="BD2232" s="743" t="str">
        <f t="shared" si="774"/>
        <v/>
      </c>
      <c r="BE2232" s="743" t="str">
        <f>IF(D2232="","",VLOOKUP(D2232,'General Basis'!$J$39:$K$46,2,0))</f>
        <v/>
      </c>
      <c r="BF2232" s="744" t="str">
        <f>IF(D2232="","",VLOOKUP(D2232,'General Basis'!$J$39:$L$46,3,0))</f>
        <v/>
      </c>
      <c r="BG2232" s="744" t="str">
        <f t="shared" si="781"/>
        <v/>
      </c>
      <c r="BH2232" s="744" t="str">
        <f>IF(G2232="","",IF(BF2232="Abu Dhabi",IF(G2232&lt;18,'General Basis'!$C$39,IF(G2232&lt;41,'General Basis'!$C$40,IF(G2232&lt;60,'General Basis'!$C$41,IF(G2232&lt;65,'General Basis'!$C$42,'General Basis'!$C$43)))),IF(G2232&lt;11,'General Basis'!$B$39,IF(G2232&lt;18,'General Basis'!$B$40,IF(G2232&lt;26,'General Basis'!$B$41,IF(G2232&lt;31,'General Basis'!$B$42,IF(G2232&lt;36,'General Basis'!$B$43,IF(G2232&lt;41,'General Basis'!$B$44,IF(G2232&lt;46,'General Basis'!$B$45,IF(G2232&lt;51,'General Basis'!$B$46,IF(G2232&lt;56,'General Basis'!$B$47,IF(G2232&lt;60,'General Basis'!$B$48,IF(G2232&lt;65,'General Basis'!$B$49,'General Basis'!$B$50)))))))))))))</f>
        <v/>
      </c>
      <c r="BI2232" s="744" t="str">
        <f t="shared" si="775"/>
        <v/>
      </c>
      <c r="BJ2232" s="747" t="str">
        <f t="shared" si="782"/>
        <v/>
      </c>
      <c r="BK2232" s="498" t="str">
        <f t="shared" si="776"/>
        <v/>
      </c>
      <c r="BL2232" s="498" t="str">
        <f t="shared" si="777"/>
        <v/>
      </c>
    </row>
    <row r="2233" spans="1:64" x14ac:dyDescent="0.25">
      <c r="A2233" s="762">
        <f t="shared" si="778"/>
        <v>2228</v>
      </c>
      <c r="B2233" s="229"/>
      <c r="C2233" s="223"/>
      <c r="D2233" s="224"/>
      <c r="E2233" s="225"/>
      <c r="F2233" s="1036" t="str">
        <f t="shared" si="784"/>
        <v/>
      </c>
      <c r="G2233" s="1037" t="str">
        <f t="shared" si="779"/>
        <v/>
      </c>
      <c r="H2233" s="225"/>
      <c r="I2233" s="1013"/>
      <c r="J2233" s="1013"/>
      <c r="K2233" s="1028"/>
      <c r="L2233" s="1035" t="str">
        <f t="shared" si="783"/>
        <v/>
      </c>
      <c r="S2233" s="498"/>
      <c r="AJ2233" s="498"/>
      <c r="AM2233" s="498">
        <f t="shared" si="764"/>
        <v>0</v>
      </c>
      <c r="AN2233" s="498">
        <f t="shared" si="765"/>
        <v>0</v>
      </c>
      <c r="AO2233" s="498">
        <f t="shared" si="766"/>
        <v>0</v>
      </c>
      <c r="AP2233" s="498">
        <f t="shared" si="785"/>
        <v>0</v>
      </c>
      <c r="AQ2233" s="498">
        <f t="shared" si="780"/>
        <v>0</v>
      </c>
      <c r="AU2233" s="498">
        <f t="shared" si="767"/>
        <v>0</v>
      </c>
      <c r="AV2233" s="498">
        <f t="shared" si="768"/>
        <v>0</v>
      </c>
      <c r="AW2233" s="498">
        <f t="shared" si="769"/>
        <v>0</v>
      </c>
      <c r="AX2233" s="498">
        <f t="shared" si="770"/>
        <v>0</v>
      </c>
      <c r="AY2233" s="498">
        <f t="shared" si="771"/>
        <v>0</v>
      </c>
      <c r="BB2233" s="498" t="str">
        <f t="shared" si="772"/>
        <v/>
      </c>
      <c r="BC2233" s="743" t="str">
        <f t="shared" si="773"/>
        <v/>
      </c>
      <c r="BD2233" s="743" t="str">
        <f t="shared" si="774"/>
        <v/>
      </c>
      <c r="BE2233" s="743" t="str">
        <f>IF(D2233="","",VLOOKUP(D2233,'General Basis'!$J$39:$K$46,2,0))</f>
        <v/>
      </c>
      <c r="BF2233" s="744" t="str">
        <f>IF(D2233="","",VLOOKUP(D2233,'General Basis'!$J$39:$L$46,3,0))</f>
        <v/>
      </c>
      <c r="BG2233" s="744" t="str">
        <f t="shared" si="781"/>
        <v/>
      </c>
      <c r="BH2233" s="744" t="str">
        <f>IF(G2233="","",IF(BF2233="Abu Dhabi",IF(G2233&lt;18,'General Basis'!$C$39,IF(G2233&lt;41,'General Basis'!$C$40,IF(G2233&lt;60,'General Basis'!$C$41,IF(G2233&lt;65,'General Basis'!$C$42,'General Basis'!$C$43)))),IF(G2233&lt;11,'General Basis'!$B$39,IF(G2233&lt;18,'General Basis'!$B$40,IF(G2233&lt;26,'General Basis'!$B$41,IF(G2233&lt;31,'General Basis'!$B$42,IF(G2233&lt;36,'General Basis'!$B$43,IF(G2233&lt;41,'General Basis'!$B$44,IF(G2233&lt;46,'General Basis'!$B$45,IF(G2233&lt;51,'General Basis'!$B$46,IF(G2233&lt;56,'General Basis'!$B$47,IF(G2233&lt;60,'General Basis'!$B$48,IF(G2233&lt;65,'General Basis'!$B$49,'General Basis'!$B$50)))))))))))))</f>
        <v/>
      </c>
      <c r="BI2233" s="744" t="str">
        <f t="shared" si="775"/>
        <v/>
      </c>
      <c r="BJ2233" s="747" t="str">
        <f t="shared" si="782"/>
        <v/>
      </c>
      <c r="BK2233" s="498" t="str">
        <f t="shared" si="776"/>
        <v/>
      </c>
      <c r="BL2233" s="498" t="str">
        <f t="shared" si="777"/>
        <v/>
      </c>
    </row>
    <row r="2234" spans="1:64" x14ac:dyDescent="0.25">
      <c r="A2234" s="762">
        <f t="shared" si="778"/>
        <v>2229</v>
      </c>
      <c r="B2234" s="229"/>
      <c r="C2234" s="223"/>
      <c r="D2234" s="224"/>
      <c r="E2234" s="225"/>
      <c r="F2234" s="1036" t="str">
        <f t="shared" si="784"/>
        <v/>
      </c>
      <c r="G2234" s="1037" t="str">
        <f t="shared" si="779"/>
        <v/>
      </c>
      <c r="H2234" s="225"/>
      <c r="I2234" s="1013"/>
      <c r="J2234" s="1013"/>
      <c r="K2234" s="1028"/>
      <c r="L2234" s="1035" t="str">
        <f t="shared" si="783"/>
        <v/>
      </c>
      <c r="S2234" s="498"/>
      <c r="AJ2234" s="498"/>
      <c r="AM2234" s="498">
        <f t="shared" si="764"/>
        <v>0</v>
      </c>
      <c r="AN2234" s="498">
        <f t="shared" si="765"/>
        <v>0</v>
      </c>
      <c r="AO2234" s="498">
        <f t="shared" si="766"/>
        <v>0</v>
      </c>
      <c r="AP2234" s="498">
        <f t="shared" si="785"/>
        <v>0</v>
      </c>
      <c r="AQ2234" s="498">
        <f t="shared" si="780"/>
        <v>0</v>
      </c>
      <c r="AU2234" s="498">
        <f t="shared" si="767"/>
        <v>0</v>
      </c>
      <c r="AV2234" s="498">
        <f t="shared" si="768"/>
        <v>0</v>
      </c>
      <c r="AW2234" s="498">
        <f t="shared" si="769"/>
        <v>0</v>
      </c>
      <c r="AX2234" s="498">
        <f t="shared" si="770"/>
        <v>0</v>
      </c>
      <c r="AY2234" s="498">
        <f t="shared" si="771"/>
        <v>0</v>
      </c>
      <c r="BB2234" s="498" t="str">
        <f t="shared" si="772"/>
        <v/>
      </c>
      <c r="BC2234" s="743" t="str">
        <f t="shared" si="773"/>
        <v/>
      </c>
      <c r="BD2234" s="743" t="str">
        <f t="shared" si="774"/>
        <v/>
      </c>
      <c r="BE2234" s="743" t="str">
        <f>IF(D2234="","",VLOOKUP(D2234,'General Basis'!$J$39:$K$46,2,0))</f>
        <v/>
      </c>
      <c r="BF2234" s="744" t="str">
        <f>IF(D2234="","",VLOOKUP(D2234,'General Basis'!$J$39:$L$46,3,0))</f>
        <v/>
      </c>
      <c r="BG2234" s="744" t="str">
        <f t="shared" si="781"/>
        <v/>
      </c>
      <c r="BH2234" s="744" t="str">
        <f>IF(G2234="","",IF(BF2234="Abu Dhabi",IF(G2234&lt;18,'General Basis'!$C$39,IF(G2234&lt;41,'General Basis'!$C$40,IF(G2234&lt;60,'General Basis'!$C$41,IF(G2234&lt;65,'General Basis'!$C$42,'General Basis'!$C$43)))),IF(G2234&lt;11,'General Basis'!$B$39,IF(G2234&lt;18,'General Basis'!$B$40,IF(G2234&lt;26,'General Basis'!$B$41,IF(G2234&lt;31,'General Basis'!$B$42,IF(G2234&lt;36,'General Basis'!$B$43,IF(G2234&lt;41,'General Basis'!$B$44,IF(G2234&lt;46,'General Basis'!$B$45,IF(G2234&lt;51,'General Basis'!$B$46,IF(G2234&lt;56,'General Basis'!$B$47,IF(G2234&lt;60,'General Basis'!$B$48,IF(G2234&lt;65,'General Basis'!$B$49,'General Basis'!$B$50)))))))))))))</f>
        <v/>
      </c>
      <c r="BI2234" s="744" t="str">
        <f t="shared" si="775"/>
        <v/>
      </c>
      <c r="BJ2234" s="747" t="str">
        <f t="shared" si="782"/>
        <v/>
      </c>
      <c r="BK2234" s="498" t="str">
        <f t="shared" si="776"/>
        <v/>
      </c>
      <c r="BL2234" s="498" t="str">
        <f t="shared" si="777"/>
        <v/>
      </c>
    </row>
    <row r="2235" spans="1:64" x14ac:dyDescent="0.25">
      <c r="A2235" s="762">
        <f t="shared" si="778"/>
        <v>2230</v>
      </c>
      <c r="B2235" s="229"/>
      <c r="C2235" s="223"/>
      <c r="D2235" s="224"/>
      <c r="E2235" s="225"/>
      <c r="F2235" s="1036" t="str">
        <f t="shared" si="784"/>
        <v/>
      </c>
      <c r="G2235" s="1037" t="str">
        <f t="shared" si="779"/>
        <v/>
      </c>
      <c r="H2235" s="225"/>
      <c r="I2235" s="1013"/>
      <c r="J2235" s="1013"/>
      <c r="K2235" s="1028"/>
      <c r="L2235" s="1035" t="str">
        <f t="shared" si="783"/>
        <v/>
      </c>
      <c r="S2235" s="498"/>
      <c r="AJ2235" s="498"/>
      <c r="AM2235" s="498">
        <f t="shared" si="764"/>
        <v>0</v>
      </c>
      <c r="AN2235" s="498">
        <f t="shared" si="765"/>
        <v>0</v>
      </c>
      <c r="AO2235" s="498">
        <f t="shared" si="766"/>
        <v>0</v>
      </c>
      <c r="AP2235" s="498">
        <f t="shared" si="785"/>
        <v>0</v>
      </c>
      <c r="AQ2235" s="498">
        <f t="shared" si="780"/>
        <v>0</v>
      </c>
      <c r="AU2235" s="498">
        <f t="shared" si="767"/>
        <v>0</v>
      </c>
      <c r="AV2235" s="498">
        <f t="shared" si="768"/>
        <v>0</v>
      </c>
      <c r="AW2235" s="498">
        <f t="shared" si="769"/>
        <v>0</v>
      </c>
      <c r="AX2235" s="498">
        <f t="shared" si="770"/>
        <v>0</v>
      </c>
      <c r="AY2235" s="498">
        <f t="shared" si="771"/>
        <v>0</v>
      </c>
      <c r="BB2235" s="498" t="str">
        <f t="shared" si="772"/>
        <v/>
      </c>
      <c r="BC2235" s="743" t="str">
        <f t="shared" si="773"/>
        <v/>
      </c>
      <c r="BD2235" s="743" t="str">
        <f t="shared" si="774"/>
        <v/>
      </c>
      <c r="BE2235" s="743" t="str">
        <f>IF(D2235="","",VLOOKUP(D2235,'General Basis'!$J$39:$K$46,2,0))</f>
        <v/>
      </c>
      <c r="BF2235" s="744" t="str">
        <f>IF(D2235="","",VLOOKUP(D2235,'General Basis'!$J$39:$L$46,3,0))</f>
        <v/>
      </c>
      <c r="BG2235" s="744" t="str">
        <f t="shared" si="781"/>
        <v/>
      </c>
      <c r="BH2235" s="744" t="str">
        <f>IF(G2235="","",IF(BF2235="Abu Dhabi",IF(G2235&lt;18,'General Basis'!$C$39,IF(G2235&lt;41,'General Basis'!$C$40,IF(G2235&lt;60,'General Basis'!$C$41,IF(G2235&lt;65,'General Basis'!$C$42,'General Basis'!$C$43)))),IF(G2235&lt;11,'General Basis'!$B$39,IF(G2235&lt;18,'General Basis'!$B$40,IF(G2235&lt;26,'General Basis'!$B$41,IF(G2235&lt;31,'General Basis'!$B$42,IF(G2235&lt;36,'General Basis'!$B$43,IF(G2235&lt;41,'General Basis'!$B$44,IF(G2235&lt;46,'General Basis'!$B$45,IF(G2235&lt;51,'General Basis'!$B$46,IF(G2235&lt;56,'General Basis'!$B$47,IF(G2235&lt;60,'General Basis'!$B$48,IF(G2235&lt;65,'General Basis'!$B$49,'General Basis'!$B$50)))))))))))))</f>
        <v/>
      </c>
      <c r="BI2235" s="744" t="str">
        <f t="shared" si="775"/>
        <v/>
      </c>
      <c r="BJ2235" s="747" t="str">
        <f t="shared" si="782"/>
        <v/>
      </c>
      <c r="BK2235" s="498" t="str">
        <f t="shared" si="776"/>
        <v/>
      </c>
      <c r="BL2235" s="498" t="str">
        <f t="shared" si="777"/>
        <v/>
      </c>
    </row>
    <row r="2236" spans="1:64" x14ac:dyDescent="0.25">
      <c r="A2236" s="762">
        <f t="shared" si="778"/>
        <v>2231</v>
      </c>
      <c r="B2236" s="229"/>
      <c r="C2236" s="223"/>
      <c r="D2236" s="224"/>
      <c r="E2236" s="225"/>
      <c r="F2236" s="1036" t="str">
        <f t="shared" si="784"/>
        <v/>
      </c>
      <c r="G2236" s="1037" t="str">
        <f t="shared" si="779"/>
        <v/>
      </c>
      <c r="H2236" s="225"/>
      <c r="I2236" s="1013"/>
      <c r="J2236" s="1013"/>
      <c r="K2236" s="1028"/>
      <c r="L2236" s="1035" t="str">
        <f t="shared" si="783"/>
        <v/>
      </c>
      <c r="S2236" s="498"/>
      <c r="AJ2236" s="498"/>
      <c r="AM2236" s="498">
        <f t="shared" si="764"/>
        <v>0</v>
      </c>
      <c r="AN2236" s="498">
        <f t="shared" si="765"/>
        <v>0</v>
      </c>
      <c r="AO2236" s="498">
        <f t="shared" si="766"/>
        <v>0</v>
      </c>
      <c r="AP2236" s="498">
        <f t="shared" si="785"/>
        <v>0</v>
      </c>
      <c r="AQ2236" s="498">
        <f t="shared" si="780"/>
        <v>0</v>
      </c>
      <c r="AU2236" s="498">
        <f t="shared" si="767"/>
        <v>0</v>
      </c>
      <c r="AV2236" s="498">
        <f t="shared" si="768"/>
        <v>0</v>
      </c>
      <c r="AW2236" s="498">
        <f t="shared" si="769"/>
        <v>0</v>
      </c>
      <c r="AX2236" s="498">
        <f t="shared" si="770"/>
        <v>0</v>
      </c>
      <c r="AY2236" s="498">
        <f t="shared" si="771"/>
        <v>0</v>
      </c>
      <c r="BB2236" s="498" t="str">
        <f t="shared" si="772"/>
        <v/>
      </c>
      <c r="BC2236" s="743" t="str">
        <f t="shared" si="773"/>
        <v/>
      </c>
      <c r="BD2236" s="743" t="str">
        <f t="shared" si="774"/>
        <v/>
      </c>
      <c r="BE2236" s="743" t="str">
        <f>IF(D2236="","",VLOOKUP(D2236,'General Basis'!$J$39:$K$46,2,0))</f>
        <v/>
      </c>
      <c r="BF2236" s="744" t="str">
        <f>IF(D2236="","",VLOOKUP(D2236,'General Basis'!$J$39:$L$46,3,0))</f>
        <v/>
      </c>
      <c r="BG2236" s="744" t="str">
        <f t="shared" si="781"/>
        <v/>
      </c>
      <c r="BH2236" s="744" t="str">
        <f>IF(G2236="","",IF(BF2236="Abu Dhabi",IF(G2236&lt;18,'General Basis'!$C$39,IF(G2236&lt;41,'General Basis'!$C$40,IF(G2236&lt;60,'General Basis'!$C$41,IF(G2236&lt;65,'General Basis'!$C$42,'General Basis'!$C$43)))),IF(G2236&lt;11,'General Basis'!$B$39,IF(G2236&lt;18,'General Basis'!$B$40,IF(G2236&lt;26,'General Basis'!$B$41,IF(G2236&lt;31,'General Basis'!$B$42,IF(G2236&lt;36,'General Basis'!$B$43,IF(G2236&lt;41,'General Basis'!$B$44,IF(G2236&lt;46,'General Basis'!$B$45,IF(G2236&lt;51,'General Basis'!$B$46,IF(G2236&lt;56,'General Basis'!$B$47,IF(G2236&lt;60,'General Basis'!$B$48,IF(G2236&lt;65,'General Basis'!$B$49,'General Basis'!$B$50)))))))))))))</f>
        <v/>
      </c>
      <c r="BI2236" s="744" t="str">
        <f t="shared" si="775"/>
        <v/>
      </c>
      <c r="BJ2236" s="747" t="str">
        <f t="shared" si="782"/>
        <v/>
      </c>
      <c r="BK2236" s="498" t="str">
        <f t="shared" si="776"/>
        <v/>
      </c>
      <c r="BL2236" s="498" t="str">
        <f t="shared" si="777"/>
        <v/>
      </c>
    </row>
    <row r="2237" spans="1:64" x14ac:dyDescent="0.25">
      <c r="A2237" s="762">
        <f t="shared" si="778"/>
        <v>2232</v>
      </c>
      <c r="B2237" s="229"/>
      <c r="C2237" s="223"/>
      <c r="D2237" s="224"/>
      <c r="E2237" s="225"/>
      <c r="F2237" s="1036" t="str">
        <f t="shared" si="784"/>
        <v/>
      </c>
      <c r="G2237" s="1037" t="str">
        <f t="shared" si="779"/>
        <v/>
      </c>
      <c r="H2237" s="225"/>
      <c r="I2237" s="1013"/>
      <c r="J2237" s="1013"/>
      <c r="K2237" s="1028"/>
      <c r="L2237" s="1035" t="str">
        <f t="shared" si="783"/>
        <v/>
      </c>
      <c r="S2237" s="498"/>
      <c r="AJ2237" s="498"/>
      <c r="AM2237" s="498">
        <f t="shared" si="764"/>
        <v>0</v>
      </c>
      <c r="AN2237" s="498">
        <f t="shared" si="765"/>
        <v>0</v>
      </c>
      <c r="AO2237" s="498">
        <f t="shared" si="766"/>
        <v>0</v>
      </c>
      <c r="AP2237" s="498">
        <f t="shared" si="785"/>
        <v>0</v>
      </c>
      <c r="AQ2237" s="498">
        <f t="shared" si="780"/>
        <v>0</v>
      </c>
      <c r="AU2237" s="498">
        <f t="shared" si="767"/>
        <v>0</v>
      </c>
      <c r="AV2237" s="498">
        <f t="shared" si="768"/>
        <v>0</v>
      </c>
      <c r="AW2237" s="498">
        <f t="shared" si="769"/>
        <v>0</v>
      </c>
      <c r="AX2237" s="498">
        <f t="shared" si="770"/>
        <v>0</v>
      </c>
      <c r="AY2237" s="498">
        <f t="shared" si="771"/>
        <v>0</v>
      </c>
      <c r="BB2237" s="498" t="str">
        <f t="shared" si="772"/>
        <v/>
      </c>
      <c r="BC2237" s="743" t="str">
        <f t="shared" si="773"/>
        <v/>
      </c>
      <c r="BD2237" s="743" t="str">
        <f t="shared" si="774"/>
        <v/>
      </c>
      <c r="BE2237" s="743" t="str">
        <f>IF(D2237="","",VLOOKUP(D2237,'General Basis'!$J$39:$K$46,2,0))</f>
        <v/>
      </c>
      <c r="BF2237" s="744" t="str">
        <f>IF(D2237="","",VLOOKUP(D2237,'General Basis'!$J$39:$L$46,3,0))</f>
        <v/>
      </c>
      <c r="BG2237" s="744" t="str">
        <f t="shared" si="781"/>
        <v/>
      </c>
      <c r="BH2237" s="744" t="str">
        <f>IF(G2237="","",IF(BF2237="Abu Dhabi",IF(G2237&lt;18,'General Basis'!$C$39,IF(G2237&lt;41,'General Basis'!$C$40,IF(G2237&lt;60,'General Basis'!$C$41,IF(G2237&lt;65,'General Basis'!$C$42,'General Basis'!$C$43)))),IF(G2237&lt;11,'General Basis'!$B$39,IF(G2237&lt;18,'General Basis'!$B$40,IF(G2237&lt;26,'General Basis'!$B$41,IF(G2237&lt;31,'General Basis'!$B$42,IF(G2237&lt;36,'General Basis'!$B$43,IF(G2237&lt;41,'General Basis'!$B$44,IF(G2237&lt;46,'General Basis'!$B$45,IF(G2237&lt;51,'General Basis'!$B$46,IF(G2237&lt;56,'General Basis'!$B$47,IF(G2237&lt;60,'General Basis'!$B$48,IF(G2237&lt;65,'General Basis'!$B$49,'General Basis'!$B$50)))))))))))))</f>
        <v/>
      </c>
      <c r="BI2237" s="744" t="str">
        <f t="shared" si="775"/>
        <v/>
      </c>
      <c r="BJ2237" s="747" t="str">
        <f t="shared" si="782"/>
        <v/>
      </c>
      <c r="BK2237" s="498" t="str">
        <f t="shared" si="776"/>
        <v/>
      </c>
      <c r="BL2237" s="498" t="str">
        <f t="shared" si="777"/>
        <v/>
      </c>
    </row>
    <row r="2238" spans="1:64" x14ac:dyDescent="0.25">
      <c r="A2238" s="762">
        <f t="shared" si="778"/>
        <v>2233</v>
      </c>
      <c r="B2238" s="229"/>
      <c r="C2238" s="223"/>
      <c r="D2238" s="224"/>
      <c r="E2238" s="225"/>
      <c r="F2238" s="1036" t="str">
        <f t="shared" si="784"/>
        <v/>
      </c>
      <c r="G2238" s="1037" t="str">
        <f t="shared" si="779"/>
        <v/>
      </c>
      <c r="H2238" s="225"/>
      <c r="I2238" s="1013"/>
      <c r="J2238" s="1013"/>
      <c r="K2238" s="1028"/>
      <c r="L2238" s="1035" t="str">
        <f t="shared" si="783"/>
        <v/>
      </c>
      <c r="S2238" s="498"/>
      <c r="AJ2238" s="498"/>
      <c r="AM2238" s="498">
        <f t="shared" si="764"/>
        <v>0</v>
      </c>
      <c r="AN2238" s="498">
        <f t="shared" si="765"/>
        <v>0</v>
      </c>
      <c r="AO2238" s="498">
        <f t="shared" si="766"/>
        <v>0</v>
      </c>
      <c r="AP2238" s="498">
        <f t="shared" si="785"/>
        <v>0</v>
      </c>
      <c r="AQ2238" s="498">
        <f t="shared" si="780"/>
        <v>0</v>
      </c>
      <c r="AU2238" s="498">
        <f t="shared" si="767"/>
        <v>0</v>
      </c>
      <c r="AV2238" s="498">
        <f t="shared" si="768"/>
        <v>0</v>
      </c>
      <c r="AW2238" s="498">
        <f t="shared" si="769"/>
        <v>0</v>
      </c>
      <c r="AX2238" s="498">
        <f t="shared" si="770"/>
        <v>0</v>
      </c>
      <c r="AY2238" s="498">
        <f t="shared" si="771"/>
        <v>0</v>
      </c>
      <c r="BB2238" s="498" t="str">
        <f t="shared" si="772"/>
        <v/>
      </c>
      <c r="BC2238" s="743" t="str">
        <f t="shared" si="773"/>
        <v/>
      </c>
      <c r="BD2238" s="743" t="str">
        <f t="shared" si="774"/>
        <v/>
      </c>
      <c r="BE2238" s="743" t="str">
        <f>IF(D2238="","",VLOOKUP(D2238,'General Basis'!$J$39:$K$46,2,0))</f>
        <v/>
      </c>
      <c r="BF2238" s="744" t="str">
        <f>IF(D2238="","",VLOOKUP(D2238,'General Basis'!$J$39:$L$46,3,0))</f>
        <v/>
      </c>
      <c r="BG2238" s="744" t="str">
        <f t="shared" si="781"/>
        <v/>
      </c>
      <c r="BH2238" s="744" t="str">
        <f>IF(G2238="","",IF(BF2238="Abu Dhabi",IF(G2238&lt;18,'General Basis'!$C$39,IF(G2238&lt;41,'General Basis'!$C$40,IF(G2238&lt;60,'General Basis'!$C$41,IF(G2238&lt;65,'General Basis'!$C$42,'General Basis'!$C$43)))),IF(G2238&lt;11,'General Basis'!$B$39,IF(G2238&lt;18,'General Basis'!$B$40,IF(G2238&lt;26,'General Basis'!$B$41,IF(G2238&lt;31,'General Basis'!$B$42,IF(G2238&lt;36,'General Basis'!$B$43,IF(G2238&lt;41,'General Basis'!$B$44,IF(G2238&lt;46,'General Basis'!$B$45,IF(G2238&lt;51,'General Basis'!$B$46,IF(G2238&lt;56,'General Basis'!$B$47,IF(G2238&lt;60,'General Basis'!$B$48,IF(G2238&lt;65,'General Basis'!$B$49,'General Basis'!$B$50)))))))))))))</f>
        <v/>
      </c>
      <c r="BI2238" s="744" t="str">
        <f t="shared" si="775"/>
        <v/>
      </c>
      <c r="BJ2238" s="747" t="str">
        <f t="shared" si="782"/>
        <v/>
      </c>
      <c r="BK2238" s="498" t="str">
        <f t="shared" si="776"/>
        <v/>
      </c>
      <c r="BL2238" s="498" t="str">
        <f t="shared" si="777"/>
        <v/>
      </c>
    </row>
    <row r="2239" spans="1:64" x14ac:dyDescent="0.25">
      <c r="A2239" s="762">
        <f t="shared" si="778"/>
        <v>2234</v>
      </c>
      <c r="B2239" s="229"/>
      <c r="C2239" s="223"/>
      <c r="D2239" s="224"/>
      <c r="E2239" s="225"/>
      <c r="F2239" s="1036" t="str">
        <f t="shared" si="784"/>
        <v/>
      </c>
      <c r="G2239" s="1037" t="str">
        <f t="shared" si="779"/>
        <v/>
      </c>
      <c r="H2239" s="225"/>
      <c r="I2239" s="1013"/>
      <c r="J2239" s="1013"/>
      <c r="K2239" s="1028"/>
      <c r="L2239" s="1035" t="str">
        <f t="shared" si="783"/>
        <v/>
      </c>
      <c r="S2239" s="498"/>
      <c r="AJ2239" s="498"/>
      <c r="AM2239" s="498">
        <f t="shared" si="764"/>
        <v>0</v>
      </c>
      <c r="AN2239" s="498">
        <f t="shared" si="765"/>
        <v>0</v>
      </c>
      <c r="AO2239" s="498">
        <f t="shared" si="766"/>
        <v>0</v>
      </c>
      <c r="AP2239" s="498">
        <f t="shared" si="785"/>
        <v>0</v>
      </c>
      <c r="AQ2239" s="498">
        <f t="shared" si="780"/>
        <v>0</v>
      </c>
      <c r="AU2239" s="498">
        <f t="shared" si="767"/>
        <v>0</v>
      </c>
      <c r="AV2239" s="498">
        <f t="shared" si="768"/>
        <v>0</v>
      </c>
      <c r="AW2239" s="498">
        <f t="shared" si="769"/>
        <v>0</v>
      </c>
      <c r="AX2239" s="498">
        <f t="shared" si="770"/>
        <v>0</v>
      </c>
      <c r="AY2239" s="498">
        <f t="shared" si="771"/>
        <v>0</v>
      </c>
      <c r="BB2239" s="498" t="str">
        <f t="shared" si="772"/>
        <v/>
      </c>
      <c r="BC2239" s="743" t="str">
        <f t="shared" si="773"/>
        <v/>
      </c>
      <c r="BD2239" s="743" t="str">
        <f t="shared" si="774"/>
        <v/>
      </c>
      <c r="BE2239" s="743" t="str">
        <f>IF(D2239="","",VLOOKUP(D2239,'General Basis'!$J$39:$K$46,2,0))</f>
        <v/>
      </c>
      <c r="BF2239" s="744" t="str">
        <f>IF(D2239="","",VLOOKUP(D2239,'General Basis'!$J$39:$L$46,3,0))</f>
        <v/>
      </c>
      <c r="BG2239" s="744" t="str">
        <f t="shared" si="781"/>
        <v/>
      </c>
      <c r="BH2239" s="744" t="str">
        <f>IF(G2239="","",IF(BF2239="Abu Dhabi",IF(G2239&lt;18,'General Basis'!$C$39,IF(G2239&lt;41,'General Basis'!$C$40,IF(G2239&lt;60,'General Basis'!$C$41,IF(G2239&lt;65,'General Basis'!$C$42,'General Basis'!$C$43)))),IF(G2239&lt;11,'General Basis'!$B$39,IF(G2239&lt;18,'General Basis'!$B$40,IF(G2239&lt;26,'General Basis'!$B$41,IF(G2239&lt;31,'General Basis'!$B$42,IF(G2239&lt;36,'General Basis'!$B$43,IF(G2239&lt;41,'General Basis'!$B$44,IF(G2239&lt;46,'General Basis'!$B$45,IF(G2239&lt;51,'General Basis'!$B$46,IF(G2239&lt;56,'General Basis'!$B$47,IF(G2239&lt;60,'General Basis'!$B$48,IF(G2239&lt;65,'General Basis'!$B$49,'General Basis'!$B$50)))))))))))))</f>
        <v/>
      </c>
      <c r="BI2239" s="744" t="str">
        <f t="shared" si="775"/>
        <v/>
      </c>
      <c r="BJ2239" s="747" t="str">
        <f t="shared" si="782"/>
        <v/>
      </c>
      <c r="BK2239" s="498" t="str">
        <f t="shared" si="776"/>
        <v/>
      </c>
      <c r="BL2239" s="498" t="str">
        <f t="shared" si="777"/>
        <v/>
      </c>
    </row>
    <row r="2240" spans="1:64" x14ac:dyDescent="0.25">
      <c r="A2240" s="762">
        <f t="shared" si="778"/>
        <v>2235</v>
      </c>
      <c r="B2240" s="229"/>
      <c r="C2240" s="223"/>
      <c r="D2240" s="224"/>
      <c r="E2240" s="225"/>
      <c r="F2240" s="1036" t="str">
        <f t="shared" si="784"/>
        <v/>
      </c>
      <c r="G2240" s="1037" t="str">
        <f t="shared" si="779"/>
        <v/>
      </c>
      <c r="H2240" s="225"/>
      <c r="I2240" s="1013"/>
      <c r="J2240" s="1013"/>
      <c r="K2240" s="1028"/>
      <c r="L2240" s="1035" t="str">
        <f t="shared" si="783"/>
        <v/>
      </c>
      <c r="S2240" s="498"/>
      <c r="AJ2240" s="498"/>
      <c r="AM2240" s="498">
        <f t="shared" si="764"/>
        <v>0</v>
      </c>
      <c r="AN2240" s="498">
        <f t="shared" si="765"/>
        <v>0</v>
      </c>
      <c r="AO2240" s="498">
        <f t="shared" si="766"/>
        <v>0</v>
      </c>
      <c r="AP2240" s="498">
        <f t="shared" si="785"/>
        <v>0</v>
      </c>
      <c r="AQ2240" s="498">
        <f t="shared" si="780"/>
        <v>0</v>
      </c>
      <c r="AU2240" s="498">
        <f t="shared" si="767"/>
        <v>0</v>
      </c>
      <c r="AV2240" s="498">
        <f t="shared" si="768"/>
        <v>0</v>
      </c>
      <c r="AW2240" s="498">
        <f t="shared" si="769"/>
        <v>0</v>
      </c>
      <c r="AX2240" s="498">
        <f t="shared" si="770"/>
        <v>0</v>
      </c>
      <c r="AY2240" s="498">
        <f t="shared" si="771"/>
        <v>0</v>
      </c>
      <c r="BB2240" s="498" t="str">
        <f t="shared" si="772"/>
        <v/>
      </c>
      <c r="BC2240" s="743" t="str">
        <f t="shared" si="773"/>
        <v/>
      </c>
      <c r="BD2240" s="743" t="str">
        <f t="shared" si="774"/>
        <v/>
      </c>
      <c r="BE2240" s="743" t="str">
        <f>IF(D2240="","",VLOOKUP(D2240,'General Basis'!$J$39:$K$46,2,0))</f>
        <v/>
      </c>
      <c r="BF2240" s="744" t="str">
        <f>IF(D2240="","",VLOOKUP(D2240,'General Basis'!$J$39:$L$46,3,0))</f>
        <v/>
      </c>
      <c r="BG2240" s="744" t="str">
        <f t="shared" si="781"/>
        <v/>
      </c>
      <c r="BH2240" s="744" t="str">
        <f>IF(G2240="","",IF(BF2240="Abu Dhabi",IF(G2240&lt;18,'General Basis'!$C$39,IF(G2240&lt;41,'General Basis'!$C$40,IF(G2240&lt;60,'General Basis'!$C$41,IF(G2240&lt;65,'General Basis'!$C$42,'General Basis'!$C$43)))),IF(G2240&lt;11,'General Basis'!$B$39,IF(G2240&lt;18,'General Basis'!$B$40,IF(G2240&lt;26,'General Basis'!$B$41,IF(G2240&lt;31,'General Basis'!$B$42,IF(G2240&lt;36,'General Basis'!$B$43,IF(G2240&lt;41,'General Basis'!$B$44,IF(G2240&lt;46,'General Basis'!$B$45,IF(G2240&lt;51,'General Basis'!$B$46,IF(G2240&lt;56,'General Basis'!$B$47,IF(G2240&lt;60,'General Basis'!$B$48,IF(G2240&lt;65,'General Basis'!$B$49,'General Basis'!$B$50)))))))))))))</f>
        <v/>
      </c>
      <c r="BI2240" s="744" t="str">
        <f t="shared" si="775"/>
        <v/>
      </c>
      <c r="BJ2240" s="747" t="str">
        <f t="shared" si="782"/>
        <v/>
      </c>
      <c r="BK2240" s="498" t="str">
        <f t="shared" si="776"/>
        <v/>
      </c>
      <c r="BL2240" s="498" t="str">
        <f t="shared" si="777"/>
        <v/>
      </c>
    </row>
    <row r="2241" spans="1:64" x14ac:dyDescent="0.25">
      <c r="A2241" s="762">
        <f t="shared" si="778"/>
        <v>2236</v>
      </c>
      <c r="B2241" s="229"/>
      <c r="C2241" s="223"/>
      <c r="D2241" s="224"/>
      <c r="E2241" s="225"/>
      <c r="F2241" s="1036" t="str">
        <f t="shared" si="784"/>
        <v/>
      </c>
      <c r="G2241" s="1037" t="str">
        <f t="shared" si="779"/>
        <v/>
      </c>
      <c r="H2241" s="225"/>
      <c r="I2241" s="1013"/>
      <c r="J2241" s="1013"/>
      <c r="K2241" s="1028"/>
      <c r="L2241" s="1035" t="str">
        <f t="shared" si="783"/>
        <v/>
      </c>
      <c r="S2241" s="498"/>
      <c r="AJ2241" s="498"/>
      <c r="AM2241" s="498">
        <f t="shared" si="764"/>
        <v>0</v>
      </c>
      <c r="AN2241" s="498">
        <f t="shared" si="765"/>
        <v>0</v>
      </c>
      <c r="AO2241" s="498">
        <f t="shared" si="766"/>
        <v>0</v>
      </c>
      <c r="AP2241" s="498">
        <f t="shared" si="785"/>
        <v>0</v>
      </c>
      <c r="AQ2241" s="498">
        <f t="shared" si="780"/>
        <v>0</v>
      </c>
      <c r="AU2241" s="498">
        <f t="shared" si="767"/>
        <v>0</v>
      </c>
      <c r="AV2241" s="498">
        <f t="shared" si="768"/>
        <v>0</v>
      </c>
      <c r="AW2241" s="498">
        <f t="shared" si="769"/>
        <v>0</v>
      </c>
      <c r="AX2241" s="498">
        <f t="shared" si="770"/>
        <v>0</v>
      </c>
      <c r="AY2241" s="498">
        <f t="shared" si="771"/>
        <v>0</v>
      </c>
      <c r="BB2241" s="498" t="str">
        <f t="shared" si="772"/>
        <v/>
      </c>
      <c r="BC2241" s="743" t="str">
        <f t="shared" si="773"/>
        <v/>
      </c>
      <c r="BD2241" s="743" t="str">
        <f t="shared" si="774"/>
        <v/>
      </c>
      <c r="BE2241" s="743" t="str">
        <f>IF(D2241="","",VLOOKUP(D2241,'General Basis'!$J$39:$K$46,2,0))</f>
        <v/>
      </c>
      <c r="BF2241" s="744" t="str">
        <f>IF(D2241="","",VLOOKUP(D2241,'General Basis'!$J$39:$L$46,3,0))</f>
        <v/>
      </c>
      <c r="BG2241" s="744" t="str">
        <f t="shared" si="781"/>
        <v/>
      </c>
      <c r="BH2241" s="744" t="str">
        <f>IF(G2241="","",IF(BF2241="Abu Dhabi",IF(G2241&lt;18,'General Basis'!$C$39,IF(G2241&lt;41,'General Basis'!$C$40,IF(G2241&lt;60,'General Basis'!$C$41,IF(G2241&lt;65,'General Basis'!$C$42,'General Basis'!$C$43)))),IF(G2241&lt;11,'General Basis'!$B$39,IF(G2241&lt;18,'General Basis'!$B$40,IF(G2241&lt;26,'General Basis'!$B$41,IF(G2241&lt;31,'General Basis'!$B$42,IF(G2241&lt;36,'General Basis'!$B$43,IF(G2241&lt;41,'General Basis'!$B$44,IF(G2241&lt;46,'General Basis'!$B$45,IF(G2241&lt;51,'General Basis'!$B$46,IF(G2241&lt;56,'General Basis'!$B$47,IF(G2241&lt;60,'General Basis'!$B$48,IF(G2241&lt;65,'General Basis'!$B$49,'General Basis'!$B$50)))))))))))))</f>
        <v/>
      </c>
      <c r="BI2241" s="744" t="str">
        <f t="shared" si="775"/>
        <v/>
      </c>
      <c r="BJ2241" s="747" t="str">
        <f t="shared" si="782"/>
        <v/>
      </c>
      <c r="BK2241" s="498" t="str">
        <f t="shared" si="776"/>
        <v/>
      </c>
      <c r="BL2241" s="498" t="str">
        <f t="shared" si="777"/>
        <v/>
      </c>
    </row>
    <row r="2242" spans="1:64" x14ac:dyDescent="0.25">
      <c r="A2242" s="762">
        <f t="shared" si="778"/>
        <v>2237</v>
      </c>
      <c r="B2242" s="229"/>
      <c r="C2242" s="223"/>
      <c r="D2242" s="224"/>
      <c r="E2242" s="225"/>
      <c r="F2242" s="1036" t="str">
        <f t="shared" si="784"/>
        <v/>
      </c>
      <c r="G2242" s="1037" t="str">
        <f t="shared" si="779"/>
        <v/>
      </c>
      <c r="H2242" s="225"/>
      <c r="I2242" s="1013"/>
      <c r="J2242" s="1013"/>
      <c r="K2242" s="1028"/>
      <c r="L2242" s="1035" t="str">
        <f t="shared" si="783"/>
        <v/>
      </c>
      <c r="S2242" s="498"/>
      <c r="AJ2242" s="498"/>
      <c r="AM2242" s="498">
        <f t="shared" si="764"/>
        <v>0</v>
      </c>
      <c r="AN2242" s="498">
        <f t="shared" si="765"/>
        <v>0</v>
      </c>
      <c r="AO2242" s="498">
        <f t="shared" si="766"/>
        <v>0</v>
      </c>
      <c r="AP2242" s="498">
        <f t="shared" si="785"/>
        <v>0</v>
      </c>
      <c r="AQ2242" s="498">
        <f t="shared" si="780"/>
        <v>0</v>
      </c>
      <c r="AU2242" s="498">
        <f t="shared" si="767"/>
        <v>0</v>
      </c>
      <c r="AV2242" s="498">
        <f t="shared" si="768"/>
        <v>0</v>
      </c>
      <c r="AW2242" s="498">
        <f t="shared" si="769"/>
        <v>0</v>
      </c>
      <c r="AX2242" s="498">
        <f t="shared" si="770"/>
        <v>0</v>
      </c>
      <c r="AY2242" s="498">
        <f t="shared" si="771"/>
        <v>0</v>
      </c>
      <c r="BB2242" s="498" t="str">
        <f t="shared" si="772"/>
        <v/>
      </c>
      <c r="BC2242" s="743" t="str">
        <f t="shared" si="773"/>
        <v/>
      </c>
      <c r="BD2242" s="743" t="str">
        <f t="shared" si="774"/>
        <v/>
      </c>
      <c r="BE2242" s="743" t="str">
        <f>IF(D2242="","",VLOOKUP(D2242,'General Basis'!$J$39:$K$46,2,0))</f>
        <v/>
      </c>
      <c r="BF2242" s="744" t="str">
        <f>IF(D2242="","",VLOOKUP(D2242,'General Basis'!$J$39:$L$46,3,0))</f>
        <v/>
      </c>
      <c r="BG2242" s="744" t="str">
        <f t="shared" si="781"/>
        <v/>
      </c>
      <c r="BH2242" s="744" t="str">
        <f>IF(G2242="","",IF(BF2242="Abu Dhabi",IF(G2242&lt;18,'General Basis'!$C$39,IF(G2242&lt;41,'General Basis'!$C$40,IF(G2242&lt;60,'General Basis'!$C$41,IF(G2242&lt;65,'General Basis'!$C$42,'General Basis'!$C$43)))),IF(G2242&lt;11,'General Basis'!$B$39,IF(G2242&lt;18,'General Basis'!$B$40,IF(G2242&lt;26,'General Basis'!$B$41,IF(G2242&lt;31,'General Basis'!$B$42,IF(G2242&lt;36,'General Basis'!$B$43,IF(G2242&lt;41,'General Basis'!$B$44,IF(G2242&lt;46,'General Basis'!$B$45,IF(G2242&lt;51,'General Basis'!$B$46,IF(G2242&lt;56,'General Basis'!$B$47,IF(G2242&lt;60,'General Basis'!$B$48,IF(G2242&lt;65,'General Basis'!$B$49,'General Basis'!$B$50)))))))))))))</f>
        <v/>
      </c>
      <c r="BI2242" s="744" t="str">
        <f t="shared" si="775"/>
        <v/>
      </c>
      <c r="BJ2242" s="747" t="str">
        <f t="shared" si="782"/>
        <v/>
      </c>
      <c r="BK2242" s="498" t="str">
        <f t="shared" si="776"/>
        <v/>
      </c>
      <c r="BL2242" s="498" t="str">
        <f t="shared" si="777"/>
        <v/>
      </c>
    </row>
    <row r="2243" spans="1:64" x14ac:dyDescent="0.25">
      <c r="A2243" s="762">
        <f t="shared" si="778"/>
        <v>2238</v>
      </c>
      <c r="B2243" s="229"/>
      <c r="C2243" s="223"/>
      <c r="D2243" s="224"/>
      <c r="E2243" s="225"/>
      <c r="F2243" s="1036" t="str">
        <f t="shared" si="784"/>
        <v/>
      </c>
      <c r="G2243" s="1037" t="str">
        <f t="shared" si="779"/>
        <v/>
      </c>
      <c r="H2243" s="225"/>
      <c r="I2243" s="1013"/>
      <c r="J2243" s="1013"/>
      <c r="K2243" s="1028"/>
      <c r="L2243" s="1035" t="str">
        <f t="shared" si="783"/>
        <v/>
      </c>
      <c r="S2243" s="498"/>
      <c r="AJ2243" s="498"/>
      <c r="AM2243" s="498">
        <f t="shared" si="764"/>
        <v>0</v>
      </c>
      <c r="AN2243" s="498">
        <f t="shared" si="765"/>
        <v>0</v>
      </c>
      <c r="AO2243" s="498">
        <f t="shared" si="766"/>
        <v>0</v>
      </c>
      <c r="AP2243" s="498">
        <f t="shared" si="785"/>
        <v>0</v>
      </c>
      <c r="AQ2243" s="498">
        <f t="shared" si="780"/>
        <v>0</v>
      </c>
      <c r="AU2243" s="498">
        <f t="shared" si="767"/>
        <v>0</v>
      </c>
      <c r="AV2243" s="498">
        <f t="shared" si="768"/>
        <v>0</v>
      </c>
      <c r="AW2243" s="498">
        <f t="shared" si="769"/>
        <v>0</v>
      </c>
      <c r="AX2243" s="498">
        <f t="shared" si="770"/>
        <v>0</v>
      </c>
      <c r="AY2243" s="498">
        <f t="shared" si="771"/>
        <v>0</v>
      </c>
      <c r="BB2243" s="498" t="str">
        <f t="shared" si="772"/>
        <v/>
      </c>
      <c r="BC2243" s="743" t="str">
        <f t="shared" si="773"/>
        <v/>
      </c>
      <c r="BD2243" s="743" t="str">
        <f t="shared" si="774"/>
        <v/>
      </c>
      <c r="BE2243" s="743" t="str">
        <f>IF(D2243="","",VLOOKUP(D2243,'General Basis'!$J$39:$K$46,2,0))</f>
        <v/>
      </c>
      <c r="BF2243" s="744" t="str">
        <f>IF(D2243="","",VLOOKUP(D2243,'General Basis'!$J$39:$L$46,3,0))</f>
        <v/>
      </c>
      <c r="BG2243" s="744" t="str">
        <f t="shared" si="781"/>
        <v/>
      </c>
      <c r="BH2243" s="744" t="str">
        <f>IF(G2243="","",IF(BF2243="Abu Dhabi",IF(G2243&lt;18,'General Basis'!$C$39,IF(G2243&lt;41,'General Basis'!$C$40,IF(G2243&lt;60,'General Basis'!$C$41,IF(G2243&lt;65,'General Basis'!$C$42,'General Basis'!$C$43)))),IF(G2243&lt;11,'General Basis'!$B$39,IF(G2243&lt;18,'General Basis'!$B$40,IF(G2243&lt;26,'General Basis'!$B$41,IF(G2243&lt;31,'General Basis'!$B$42,IF(G2243&lt;36,'General Basis'!$B$43,IF(G2243&lt;41,'General Basis'!$B$44,IF(G2243&lt;46,'General Basis'!$B$45,IF(G2243&lt;51,'General Basis'!$B$46,IF(G2243&lt;56,'General Basis'!$B$47,IF(G2243&lt;60,'General Basis'!$B$48,IF(G2243&lt;65,'General Basis'!$B$49,'General Basis'!$B$50)))))))))))))</f>
        <v/>
      </c>
      <c r="BI2243" s="744" t="str">
        <f t="shared" si="775"/>
        <v/>
      </c>
      <c r="BJ2243" s="747" t="str">
        <f t="shared" si="782"/>
        <v/>
      </c>
      <c r="BK2243" s="498" t="str">
        <f t="shared" si="776"/>
        <v/>
      </c>
      <c r="BL2243" s="498" t="str">
        <f t="shared" si="777"/>
        <v/>
      </c>
    </row>
    <row r="2244" spans="1:64" x14ac:dyDescent="0.25">
      <c r="A2244" s="762">
        <f t="shared" si="778"/>
        <v>2239</v>
      </c>
      <c r="B2244" s="229"/>
      <c r="C2244" s="223"/>
      <c r="D2244" s="224"/>
      <c r="E2244" s="225"/>
      <c r="F2244" s="1036" t="str">
        <f t="shared" si="784"/>
        <v/>
      </c>
      <c r="G2244" s="1037" t="str">
        <f t="shared" si="779"/>
        <v/>
      </c>
      <c r="H2244" s="225"/>
      <c r="I2244" s="1013"/>
      <c r="J2244" s="1013"/>
      <c r="K2244" s="1028"/>
      <c r="L2244" s="1035" t="str">
        <f t="shared" si="783"/>
        <v/>
      </c>
      <c r="S2244" s="498"/>
      <c r="AJ2244" s="498"/>
      <c r="AM2244" s="498">
        <f t="shared" si="764"/>
        <v>0</v>
      </c>
      <c r="AN2244" s="498">
        <f t="shared" si="765"/>
        <v>0</v>
      </c>
      <c r="AO2244" s="498">
        <f t="shared" si="766"/>
        <v>0</v>
      </c>
      <c r="AP2244" s="498">
        <f t="shared" si="785"/>
        <v>0</v>
      </c>
      <c r="AQ2244" s="498">
        <f t="shared" si="780"/>
        <v>0</v>
      </c>
      <c r="AU2244" s="498">
        <f t="shared" si="767"/>
        <v>0</v>
      </c>
      <c r="AV2244" s="498">
        <f t="shared" si="768"/>
        <v>0</v>
      </c>
      <c r="AW2244" s="498">
        <f t="shared" si="769"/>
        <v>0</v>
      </c>
      <c r="AX2244" s="498">
        <f t="shared" si="770"/>
        <v>0</v>
      </c>
      <c r="AY2244" s="498">
        <f t="shared" si="771"/>
        <v>0</v>
      </c>
      <c r="BB2244" s="498" t="str">
        <f t="shared" si="772"/>
        <v/>
      </c>
      <c r="BC2244" s="743" t="str">
        <f t="shared" si="773"/>
        <v/>
      </c>
      <c r="BD2244" s="743" t="str">
        <f t="shared" si="774"/>
        <v/>
      </c>
      <c r="BE2244" s="743" t="str">
        <f>IF(D2244="","",VLOOKUP(D2244,'General Basis'!$J$39:$K$46,2,0))</f>
        <v/>
      </c>
      <c r="BF2244" s="744" t="str">
        <f>IF(D2244="","",VLOOKUP(D2244,'General Basis'!$J$39:$L$46,3,0))</f>
        <v/>
      </c>
      <c r="BG2244" s="744" t="str">
        <f t="shared" si="781"/>
        <v/>
      </c>
      <c r="BH2244" s="744" t="str">
        <f>IF(G2244="","",IF(BF2244="Abu Dhabi",IF(G2244&lt;18,'General Basis'!$C$39,IF(G2244&lt;41,'General Basis'!$C$40,IF(G2244&lt;60,'General Basis'!$C$41,IF(G2244&lt;65,'General Basis'!$C$42,'General Basis'!$C$43)))),IF(G2244&lt;11,'General Basis'!$B$39,IF(G2244&lt;18,'General Basis'!$B$40,IF(G2244&lt;26,'General Basis'!$B$41,IF(G2244&lt;31,'General Basis'!$B$42,IF(G2244&lt;36,'General Basis'!$B$43,IF(G2244&lt;41,'General Basis'!$B$44,IF(G2244&lt;46,'General Basis'!$B$45,IF(G2244&lt;51,'General Basis'!$B$46,IF(G2244&lt;56,'General Basis'!$B$47,IF(G2244&lt;60,'General Basis'!$B$48,IF(G2244&lt;65,'General Basis'!$B$49,'General Basis'!$B$50)))))))))))))</f>
        <v/>
      </c>
      <c r="BI2244" s="744" t="str">
        <f t="shared" si="775"/>
        <v/>
      </c>
      <c r="BJ2244" s="747" t="str">
        <f t="shared" si="782"/>
        <v/>
      </c>
      <c r="BK2244" s="498" t="str">
        <f t="shared" si="776"/>
        <v/>
      </c>
      <c r="BL2244" s="498" t="str">
        <f t="shared" si="777"/>
        <v/>
      </c>
    </row>
    <row r="2245" spans="1:64" x14ac:dyDescent="0.25">
      <c r="A2245" s="762">
        <f t="shared" si="778"/>
        <v>2240</v>
      </c>
      <c r="B2245" s="229"/>
      <c r="C2245" s="223"/>
      <c r="D2245" s="224"/>
      <c r="E2245" s="225"/>
      <c r="F2245" s="1036" t="str">
        <f t="shared" si="784"/>
        <v/>
      </c>
      <c r="G2245" s="1037" t="str">
        <f t="shared" si="779"/>
        <v/>
      </c>
      <c r="H2245" s="225"/>
      <c r="I2245" s="1013"/>
      <c r="J2245" s="1013"/>
      <c r="K2245" s="1028"/>
      <c r="L2245" s="1035" t="str">
        <f t="shared" si="783"/>
        <v/>
      </c>
      <c r="S2245" s="498"/>
      <c r="AJ2245" s="498"/>
      <c r="AM2245" s="498">
        <f t="shared" si="764"/>
        <v>0</v>
      </c>
      <c r="AN2245" s="498">
        <f t="shared" si="765"/>
        <v>0</v>
      </c>
      <c r="AO2245" s="498">
        <f t="shared" si="766"/>
        <v>0</v>
      </c>
      <c r="AP2245" s="498">
        <f t="shared" si="785"/>
        <v>0</v>
      </c>
      <c r="AQ2245" s="498">
        <f t="shared" si="780"/>
        <v>0</v>
      </c>
      <c r="AU2245" s="498">
        <f t="shared" si="767"/>
        <v>0</v>
      </c>
      <c r="AV2245" s="498">
        <f t="shared" si="768"/>
        <v>0</v>
      </c>
      <c r="AW2245" s="498">
        <f t="shared" si="769"/>
        <v>0</v>
      </c>
      <c r="AX2245" s="498">
        <f t="shared" si="770"/>
        <v>0</v>
      </c>
      <c r="AY2245" s="498">
        <f t="shared" si="771"/>
        <v>0</v>
      </c>
      <c r="BB2245" s="498" t="str">
        <f t="shared" si="772"/>
        <v/>
      </c>
      <c r="BC2245" s="743" t="str">
        <f t="shared" si="773"/>
        <v/>
      </c>
      <c r="BD2245" s="743" t="str">
        <f t="shared" si="774"/>
        <v/>
      </c>
      <c r="BE2245" s="743" t="str">
        <f>IF(D2245="","",VLOOKUP(D2245,'General Basis'!$J$39:$K$46,2,0))</f>
        <v/>
      </c>
      <c r="BF2245" s="744" t="str">
        <f>IF(D2245="","",VLOOKUP(D2245,'General Basis'!$J$39:$L$46,3,0))</f>
        <v/>
      </c>
      <c r="BG2245" s="744" t="str">
        <f t="shared" si="781"/>
        <v/>
      </c>
      <c r="BH2245" s="744" t="str">
        <f>IF(G2245="","",IF(BF2245="Abu Dhabi",IF(G2245&lt;18,'General Basis'!$C$39,IF(G2245&lt;41,'General Basis'!$C$40,IF(G2245&lt;60,'General Basis'!$C$41,IF(G2245&lt;65,'General Basis'!$C$42,'General Basis'!$C$43)))),IF(G2245&lt;11,'General Basis'!$B$39,IF(G2245&lt;18,'General Basis'!$B$40,IF(G2245&lt;26,'General Basis'!$B$41,IF(G2245&lt;31,'General Basis'!$B$42,IF(G2245&lt;36,'General Basis'!$B$43,IF(G2245&lt;41,'General Basis'!$B$44,IF(G2245&lt;46,'General Basis'!$B$45,IF(G2245&lt;51,'General Basis'!$B$46,IF(G2245&lt;56,'General Basis'!$B$47,IF(G2245&lt;60,'General Basis'!$B$48,IF(G2245&lt;65,'General Basis'!$B$49,'General Basis'!$B$50)))))))))))))</f>
        <v/>
      </c>
      <c r="BI2245" s="744" t="str">
        <f t="shared" si="775"/>
        <v/>
      </c>
      <c r="BJ2245" s="747" t="str">
        <f t="shared" si="782"/>
        <v/>
      </c>
      <c r="BK2245" s="498" t="str">
        <f t="shared" si="776"/>
        <v/>
      </c>
      <c r="BL2245" s="498" t="str">
        <f t="shared" si="777"/>
        <v/>
      </c>
    </row>
    <row r="2246" spans="1:64" x14ac:dyDescent="0.25">
      <c r="A2246" s="762">
        <f t="shared" si="778"/>
        <v>2241</v>
      </c>
      <c r="B2246" s="229"/>
      <c r="C2246" s="223"/>
      <c r="D2246" s="224"/>
      <c r="E2246" s="225"/>
      <c r="F2246" s="1036" t="str">
        <f t="shared" si="784"/>
        <v/>
      </c>
      <c r="G2246" s="1037" t="str">
        <f t="shared" si="779"/>
        <v/>
      </c>
      <c r="H2246" s="225"/>
      <c r="I2246" s="1013"/>
      <c r="J2246" s="1013"/>
      <c r="K2246" s="1028"/>
      <c r="L2246" s="1035" t="str">
        <f t="shared" si="783"/>
        <v/>
      </c>
      <c r="S2246" s="498"/>
      <c r="AJ2246" s="498"/>
      <c r="AM2246" s="498">
        <f t="shared" ref="AM2246:AM2309" si="786">IF(ISTEXT(B2246),1,0)</f>
        <v>0</v>
      </c>
      <c r="AN2246" s="498">
        <f t="shared" ref="AN2246:AN2309" si="787">IF(ISBLANK(B2246),0,IF(B2246&lt;$AK$6,1,0))</f>
        <v>0</v>
      </c>
      <c r="AO2246" s="498">
        <f t="shared" ref="AO2246:AO2309" si="788">IF(ISBLANK(B2246),0,IF(B2246&gt;$AK$7,1,0))</f>
        <v>0</v>
      </c>
      <c r="AP2246" s="498">
        <f t="shared" si="785"/>
        <v>0</v>
      </c>
      <c r="AQ2246" s="498">
        <f t="shared" si="780"/>
        <v>0</v>
      </c>
      <c r="AU2246" s="498">
        <f t="shared" ref="AU2246:AU2309" si="789">IF(ISBLANK(B2246),0,1)</f>
        <v>0</v>
      </c>
      <c r="AV2246" s="498">
        <f t="shared" ref="AV2246:AV2309" si="790">IF(ISBLANK(C2246),0,1)</f>
        <v>0</v>
      </c>
      <c r="AW2246" s="498">
        <f t="shared" ref="AW2246:AW2309" si="791">IF(ISBLANK(D2246),0,1)</f>
        <v>0</v>
      </c>
      <c r="AX2246" s="498">
        <f t="shared" ref="AX2246:AX2309" si="792">IF(ISBLANK(E2246),0,1)</f>
        <v>0</v>
      </c>
      <c r="AY2246" s="498">
        <f t="shared" ref="AY2246:AY2309" si="793">IF(ISBLANK(H2246),0,1)</f>
        <v>0</v>
      </c>
      <c r="BB2246" s="498" t="str">
        <f t="shared" ref="BB2246:BB2309" si="794">IF(E2246="Principal","Principal",IF(E2246="","","Other"))</f>
        <v/>
      </c>
      <c r="BC2246" s="743" t="str">
        <f t="shared" ref="BC2246:BC2309" si="795">IF(D2246="","",D2246)</f>
        <v/>
      </c>
      <c r="BD2246" s="743" t="str">
        <f t="shared" ref="BD2246:BD2309" si="796">IF(E2246="Principal","Employee",IF(E2246="","","Dependent"))</f>
        <v/>
      </c>
      <c r="BE2246" s="743" t="str">
        <f>IF(D2246="","",VLOOKUP(D2246,'General Basis'!$J$39:$K$46,2,0))</f>
        <v/>
      </c>
      <c r="BF2246" s="744" t="str">
        <f>IF(D2246="","",VLOOKUP(D2246,'General Basis'!$J$39:$L$46,3,0))</f>
        <v/>
      </c>
      <c r="BG2246" s="744" t="str">
        <f t="shared" si="781"/>
        <v/>
      </c>
      <c r="BH2246" s="744" t="str">
        <f>IF(G2246="","",IF(BF2246="Abu Dhabi",IF(G2246&lt;18,'General Basis'!$C$39,IF(G2246&lt;41,'General Basis'!$C$40,IF(G2246&lt;60,'General Basis'!$C$41,IF(G2246&lt;65,'General Basis'!$C$42,'General Basis'!$C$43)))),IF(G2246&lt;11,'General Basis'!$B$39,IF(G2246&lt;18,'General Basis'!$B$40,IF(G2246&lt;26,'General Basis'!$B$41,IF(G2246&lt;31,'General Basis'!$B$42,IF(G2246&lt;36,'General Basis'!$B$43,IF(G2246&lt;41,'General Basis'!$B$44,IF(G2246&lt;46,'General Basis'!$B$45,IF(G2246&lt;51,'General Basis'!$B$46,IF(G2246&lt;56,'General Basis'!$B$47,IF(G2246&lt;60,'General Basis'!$B$48,IF(G2246&lt;65,'General Basis'!$B$49,'General Basis'!$B$50)))))))))))))</f>
        <v/>
      </c>
      <c r="BI2246" s="744" t="str">
        <f t="shared" ref="BI2246:BI2309" si="797">IF(C2246="","",IF(C2246="M","Male","Female"))</f>
        <v/>
      </c>
      <c r="BJ2246" s="747" t="str">
        <f t="shared" si="782"/>
        <v/>
      </c>
      <c r="BK2246" s="498" t="str">
        <f t="shared" ref="BK2246:BK2309" si="798">IF(BD2246="","",IF(AND(BD2246="Employee",BI2246="Male",BF2246="Abu Dhabi",BE2246=GN_Plus),VLOOKUP(BH2246,AUH_MALE_EMP,2,0),IF(AND(BD2246="Employee",BI2246="Male",BF2246="Abu Dhabi",BE2246=GN),VLOOKUP(BH2246,AUH_MALE_EMP,3,0),IF(AND(BD2246="Employee",BI2246="Male",BF2246="Abu Dhabi",BE2246=RN_Plus),VLOOKUP(BH2246,AUH_MALE_EMP,4,0),IF(AND(BD2246="Employee",BI2246="Male",BF2246="Abu Dhabi",BE2246=RN),VLOOKUP(BH2246,AUH_MALE_EMP,5,0),IF(AND(BD2246="Employee",BI2246="Male",BF2246="Abu Dhabi",BE2246=RN_2),VLOOKUP(BH2246,AUH_MALE_EMP,6,0),IF(AND(BD2246="Employee",BI2246="Male",BF2246="Abu Dhabi",BE2246=RN2_minus),VLOOKUP(BH2246,AUH_MALE_EMP,7,0),IF(AND(BD2246="Employee",BI2246="Male",BF2246="Abu Dhabi",BE2246=RN_3),VLOOKUP(BH2246,AUH_MALE_EMP,8,0),IF(AND(BD2246="Employee",BI2246="Male",BF2246="Abu Dhabi",BE2246=VN),VLOOKUP(BH2246,AUH_MALE_EMP,9,0),IF(BD2246="","",IF(AND(BD2246="Employee",BI2246="Female",BF2246="Abu Dhabi",BE2246=GN_Plus),VLOOKUP(BH2246,AUH_FEMALE_EMP,2,0),IF(AND(BD2246="Employee",BI2246="Female",BF2246="Abu Dhabi",BE2246=GN),VLOOKUP(BH2246,AUH_FEMALE_EMP,3,0),IF(AND(BD2246="Employee",BI2246="Female",BF2246="Abu Dhabi",BE2246=RN_Plus),VLOOKUP(BH2246,AUH_FEMALE_EMP,4,0),IF(AND(BD2246="Employee",BI2246="Female",BF2246="Abu Dhabi",BE2246=RN),VLOOKUP(BH2246,AUH_FEMALE_EMP,5,0),IF(AND(BD2246="Employee",BI2246="Female",BF2246="Abu Dhabi",BE2246=RN_2),VLOOKUP(BH2246,AUH_FEMALE_EMP,6,0),IF(AND(BD2246="Employee",BI2246="Female",BF2246="Abu Dhabi",BE2246=RN2_minus),VLOOKUP(BH2246,AUH_FEMALE_EMP,7,0),IF(AND(BD2246="Employee",BI2246="Female",BF2246="Abu Dhabi",BE2246=RN_3),VLOOKUP(BH2246,AUH_FEMALE_EMP,8,0),IF(AND(BD2246="Employee",BI2246="Female",BF2246="Abu Dhabi",BE2246=VN),VLOOKUP(BH2246,AUH_FEMALE_EMP,9,0),IF(BD2246="","",IF(AND(BD2246="Dependent",BI2246="Male",BF2246="Abu Dhabi",BE2246=GN_Plus),VLOOKUP(BH2246,AUH_MALE_DEP,2,0),IF(AND(BD2246="Dependent",BI2246="Male",BF2246="Abu Dhabi",BE2246=GN),VLOOKUP(BH2246,AUH_MALE_DEP,3,0),IF(AND(BD2246="Dependent",BI2246="Male",BF2246="Abu Dhabi",BE2246=RN_Plus),VLOOKUP(BH2246,AUH_MALE_DEP,4,0),IF(AND(BD2246="Dependent",BI2246="Male",BF2246="Abu Dhabi",BE2246=RN),VLOOKUP(BH2246,AUH_MALE_DEP,5,0),IF(AND(BD2246="Dependent",BI2246="Male",BF2246="Abu Dhabi",BE2246=RN_2),VLOOKUP(BH2246,AUH_MALE_DEP,6,0),IF(AND(BD2246="Dependent",BI2246="Male",BF2246="Abu Dhabi",BE2246=RN2_minus),VLOOKUP(BH2246,AUH_MALE_DEP,7,0),IF(AND(BD2246="Dependent",BI2246="Male",BF2246="Abu Dhabi",BE2246=RN_3),VLOOKUP(BH2246,AUH_MALE_DEP,8,0),IF(AND(BD2246="Dependent",BI2246="Male",BF2246="Abu Dhabi",BE2246=VN),VLOOKUP(BH2246,AUH_MALE_DEP,9,0),IF(BD2246="","",IF(AND(BD2246="Dependent",BI2246="Female",BF2246="Abu Dhabi",BE2246=GN_Plus),VLOOKUP(BH2246,AUH_FEMALE_DEP,2,0),IF(AND(BD2246="Dependent",BI2246="Female",BF2246="Abu Dhabi",BE2246=GN),VLOOKUP(BH2246,AUH_FEMALE_DEP,3,0),IF(AND(BD2246="Dependent",BI2246="Female",BF2246="Abu Dhabi",BE2246=RN_Plus),VLOOKUP(BH2246,AUH_FEMALE_DEP,4,0),IF(AND(BD2246="Dependent",BI2246="Female",BF2246="Abu Dhabi",BE2246=RN),VLOOKUP(BH2246,AUH_FEMALE_DEP,5,0),IF(AND(BD2246="Dependent",BI2246="Female",BF2246="Abu Dhabi",BE2246=RN_2),VLOOKUP(BH2246,AUH_FEMALE_DEP,6,0),IF(AND(BD2246="Dependent",BI2246="Female",BF2246="Abu Dhabi",BE2246=RN2_minus),VLOOKUP(BH2246,AUH_FEMALE_DEP,7,0),IF(AND(BD2246="Dependent",BI2246="Female",BF2246="Abu Dhabi",BE2246=RN_3),VLOOKUP(BH2246,AUH_FEMALE_DEP,8,0),IF(AND(BD2246="Dependent",BI2246="Female",BF2246="Abu Dhabi",BE2246=VN),VLOOKUP(BH2246,AUH_FEMALE_DEP,9,0),"ABC"))))))))))))))))))))))))))))))))))))</f>
        <v/>
      </c>
      <c r="BL2246" s="498" t="str">
        <f t="shared" ref="BL2246:BL2309" si="799">IF(BD2246="","",IF(AND(BD2246="Employee",BI2246="Male",BF2246="Dubai",BE2246=GN_Plus),VLOOKUP(BH2246,DXB_MALE_EMP,2,0),IF(AND(BD2246="Employee",BI2246="Male",BF2246="Dubai",BE2246=GN),VLOOKUP(BH2246,DXB_MALE_EMP,3,0),IF(AND(BD2246="Employee",BI2246="Male",BF2246="Dubai",BE2246=RN_Plus),VLOOKUP(BH2246,DXB_MALE_EMP,4,0),IF(AND(BD2246="Employee",BI2246="Male",BF2246="Dubai",BE2246=RN),VLOOKUP(BH2246,DXB_MALE_EMP,5,0),IF(AND(BD2246="Employee",BI2246="Male",BF2246="Dubai",BE2246=RN_2),VLOOKUP(BH2246,DXB_MALE_EMP,6,0),IF(AND(BD2246="Employee",BI2246="Male",BF2246="Dubai",BE2246=RN2_minus),VLOOKUP(BH2246,DXB_MALE_EMP,7,0),IF(AND(BD2246="Employee",BI2246="Male",BF2246="Dubai",BE2246=RN_3),VLOOKUP(BH2246,DXB_MALE_EMP,8,0),IF(AND(BD2246="Employee",BI2246="Male",BF2246="Dubai",BE2246=VN),VLOOKUP(BH2246,DXB_MALE_EMP,9,0),IF(BD2246="","",IF(AND(BD2246="Employee",BI2246="Female",BF2246="Dubai",BE2246=GN_Plus),VLOOKUP(BH2246,DXB_FEMALE_EMP,2,0),IF(AND(BD2246="Employee",BI2246="Female",BF2246="Dubai",BE2246=GN),VLOOKUP(BH2246,DXB_FEMALE_EMP,3,0),IF(AND(BD2246="Employee",BI2246="Female",BF2246="Dubai",BE2246=RN_Plus),VLOOKUP(BH2246,DXB_FEMALE_EMP,4,0),IF(AND(BD2246="Employee",BI2246="Female",BF2246="Dubai",BE2246=RN),VLOOKUP(BH2246,DXB_FEMALE_EMP,5,0),IF(AND(BD2246="Employee",BI2246="Female",BF2246="Dubai",BE2246=RN_2),VLOOKUP(BH2246,DXB_FEMALE_EMP,6,0),IF(AND(BD2246="Employee",BI2246="Female",BF2246="Dubai",BE2246=RN2_minus),VLOOKUP(BH2246,DXB_FEMALE_EMP,7,0),IF(AND(BD2246="Employee",BI2246="Female",BF2246="Dubai",BE2246=RN_3),VLOOKUP(BH2246,DXB_FEMALE_EMP,8,0),IF(AND(BD2246="Employee",BI2246="Female",BF2246="Dubai",BE2246=VN),VLOOKUP(BH2246,DXB_FEMALE_EMP,9,0),IF(BD2246="","",IF(AND(BD2246="Dependent",BI2246="Male",BF2246="Dubai",BE2246=GN_Plus),VLOOKUP(BH2246,DXB_MALE_DEP,2,0),IF(AND(BD2246="Dependent",BI2246="Male",BF2246="Dubai",BE2246=GN),VLOOKUP(BH2246,DXB_MALE_DEP,3,0),IF(AND(BD2246="Dependent",BI2246="Male",BF2246="Dubai",BE2246=RN_Plus),VLOOKUP(BH2246,DXB_MALE_DEP,4,0),IF(AND(BD2246="Dependent",BI2246="Male",BF2246="Dubai",BE2246=RN),VLOOKUP(BH2246,DXB_MALE_DEP,5,0),IF(AND(BD2246="Dependent",BI2246="Male",BF2246="Dubai",BE2246=RN_2),VLOOKUP(BH2246,DXB_MALE_DEP,6,0),IF(AND(BD2246="Dependent",BI2246="Male",BF2246="Dubai",BE2246=RN2_minus),VLOOKUP(BH2246,DXB_MALE_DEP,7,0),IF(AND(BD2246="Dependent",BI2246="Male",BF2246="Dubai",BE2246=RN_3),VLOOKUP(BH2246,DXB_MALE_DEP,8,0),IF(AND(BD2246="Dependent",BI2246="Male",BF2246="Dubai",BE2246=VN),VLOOKUP(BH2246,DXB_MALE_DEP,9,0),IF(BD2246="","",IF(AND(BD2246="Dependent",BI2246="Female",BF2246="Dubai",BE2246=GN_Plus),VLOOKUP(BH2246,DXB_FEMALE_DEP,2,0),IF(AND(BD2246="Dependent",BI2246="Female",BF2246="Dubai",BE2246=GN),VLOOKUP(BH2246,DXB_FEMALE_DEP,3,0),IF(AND(BD2246="Dependent",BI2246="Female",BF2246="Dubai",BE2246=RN_Plus),VLOOKUP(BH2246,DXB_FEMALE_DEP,4,0),IF(AND(BD2246="Dependent",BI2246="Female",BF2246="Dubai",BE2246=RN),VLOOKUP(BH2246,DXB_FEMALE_DEP,5,0),IF(AND(BD2246="Dependent",BI2246="Female",BF2246="Dubai",BE2246=RN_2),VLOOKUP(BH2246,DXB_FEMALE_DEP,6,0),IF(AND(BD2246="Dependent",BI2246="Female",BF2246="Dubai",BE2246=RN2_minus),VLOOKUP(BH2246,DXB_FEMALE_DEP,7,0),IF(AND(BD2246="Dependent",BI2246="Female",BF2246="Dubai",BE2246=RN_3),VLOOKUP(BH2246,DXB_FEMALE_DEP,8,0),IF(AND(BD2246="Dependent",BI2246="Female",BF2246="Dubai",BE2246=VN),VLOOKUP(BH2246,DXB_FEMALE_DEP,9,0),"ABC"))))))))))))))))))))))))))))))))))))</f>
        <v/>
      </c>
    </row>
    <row r="2247" spans="1:64" x14ac:dyDescent="0.25">
      <c r="A2247" s="762">
        <f t="shared" ref="A2247:A2310" si="800">+A2246+1</f>
        <v>2242</v>
      </c>
      <c r="B2247" s="229"/>
      <c r="C2247" s="223"/>
      <c r="D2247" s="224"/>
      <c r="E2247" s="225"/>
      <c r="F2247" s="1036" t="str">
        <f t="shared" si="784"/>
        <v/>
      </c>
      <c r="G2247" s="1037" t="str">
        <f t="shared" ref="G2247:G2310" si="801">IF(D2247="","",MAX(0,ROUNDUP(F2247,0)))</f>
        <v/>
      </c>
      <c r="H2247" s="225"/>
      <c r="I2247" s="1013"/>
      <c r="J2247" s="1013"/>
      <c r="K2247" s="1028"/>
      <c r="L2247" s="1035" t="str">
        <f t="shared" si="783"/>
        <v/>
      </c>
      <c r="S2247" s="498"/>
      <c r="AJ2247" s="498"/>
      <c r="AM2247" s="498">
        <f t="shared" si="786"/>
        <v>0</v>
      </c>
      <c r="AN2247" s="498">
        <f t="shared" si="787"/>
        <v>0</v>
      </c>
      <c r="AO2247" s="498">
        <f t="shared" si="788"/>
        <v>0</v>
      </c>
      <c r="AP2247" s="498">
        <f t="shared" si="785"/>
        <v>0</v>
      </c>
      <c r="AQ2247" s="498">
        <f t="shared" ref="AQ2247:AQ2310" si="802">IF(ISBLANK($B2247),0,IF(OR($H2247="Single",$H2247="Married"),0,1))</f>
        <v>0</v>
      </c>
      <c r="AU2247" s="498">
        <f t="shared" si="789"/>
        <v>0</v>
      </c>
      <c r="AV2247" s="498">
        <f t="shared" si="790"/>
        <v>0</v>
      </c>
      <c r="AW2247" s="498">
        <f t="shared" si="791"/>
        <v>0</v>
      </c>
      <c r="AX2247" s="498">
        <f t="shared" si="792"/>
        <v>0</v>
      </c>
      <c r="AY2247" s="498">
        <f t="shared" si="793"/>
        <v>0</v>
      </c>
      <c r="BB2247" s="498" t="str">
        <f t="shared" si="794"/>
        <v/>
      </c>
      <c r="BC2247" s="743" t="str">
        <f t="shared" si="795"/>
        <v/>
      </c>
      <c r="BD2247" s="743" t="str">
        <f t="shared" si="796"/>
        <v/>
      </c>
      <c r="BE2247" s="743" t="str">
        <f>IF(D2247="","",VLOOKUP(D2247,'General Basis'!$J$39:$K$46,2,0))</f>
        <v/>
      </c>
      <c r="BF2247" s="744" t="str">
        <f>IF(D2247="","",VLOOKUP(D2247,'General Basis'!$J$39:$L$46,3,0))</f>
        <v/>
      </c>
      <c r="BG2247" s="744" t="str">
        <f t="shared" ref="BG2247:BG2310" si="803">BC2247&amp;BI2247</f>
        <v/>
      </c>
      <c r="BH2247" s="744" t="str">
        <f>IF(G2247="","",IF(BF2247="Abu Dhabi",IF(G2247&lt;18,'General Basis'!$C$39,IF(G2247&lt;41,'General Basis'!$C$40,IF(G2247&lt;60,'General Basis'!$C$41,IF(G2247&lt;65,'General Basis'!$C$42,'General Basis'!$C$43)))),IF(G2247&lt;11,'General Basis'!$B$39,IF(G2247&lt;18,'General Basis'!$B$40,IF(G2247&lt;26,'General Basis'!$B$41,IF(G2247&lt;31,'General Basis'!$B$42,IF(G2247&lt;36,'General Basis'!$B$43,IF(G2247&lt;41,'General Basis'!$B$44,IF(G2247&lt;46,'General Basis'!$B$45,IF(G2247&lt;51,'General Basis'!$B$46,IF(G2247&lt;56,'General Basis'!$B$47,IF(G2247&lt;60,'General Basis'!$B$48,IF(G2247&lt;65,'General Basis'!$B$49,'General Basis'!$B$50)))))))))))))</f>
        <v/>
      </c>
      <c r="BI2247" s="744" t="str">
        <f t="shared" si="797"/>
        <v/>
      </c>
      <c r="BJ2247" s="747" t="str">
        <f t="shared" ref="BJ2247:BJ2310" si="804">IF(BD2247="","",IF(BF2247="Abu Dhabi",BK2247,BL2247))</f>
        <v/>
      </c>
      <c r="BK2247" s="498" t="str">
        <f t="shared" si="798"/>
        <v/>
      </c>
      <c r="BL2247" s="498" t="str">
        <f t="shared" si="799"/>
        <v/>
      </c>
    </row>
    <row r="2248" spans="1:64" x14ac:dyDescent="0.25">
      <c r="A2248" s="762">
        <f t="shared" si="800"/>
        <v>2243</v>
      </c>
      <c r="B2248" s="229"/>
      <c r="C2248" s="223"/>
      <c r="D2248" s="224"/>
      <c r="E2248" s="225"/>
      <c r="F2248" s="1036" t="str">
        <f t="shared" si="784"/>
        <v/>
      </c>
      <c r="G2248" s="1037" t="str">
        <f t="shared" si="801"/>
        <v/>
      </c>
      <c r="H2248" s="225"/>
      <c r="I2248" s="1013"/>
      <c r="J2248" s="1013"/>
      <c r="K2248" s="1028"/>
      <c r="L2248" s="1035" t="str">
        <f t="shared" ref="L2248:L2311" si="805">IF(AND(E2248="Child",H2248="Married"),"Check the Marital Status of the Child. ",IF(AND(E2248="Child",F2248&gt;18),"Child Age exceed 18 years. ",IF(AND(E2248="Spouse",H2248="Single"),"Spouse is selected as Single. ","")))&amp;IF(K2248&gt;0,"UW Loading has been Applied","")</f>
        <v/>
      </c>
      <c r="S2248" s="498"/>
      <c r="AJ2248" s="498"/>
      <c r="AM2248" s="498">
        <f t="shared" si="786"/>
        <v>0</v>
      </c>
      <c r="AN2248" s="498">
        <f t="shared" si="787"/>
        <v>0</v>
      </c>
      <c r="AO2248" s="498">
        <f t="shared" si="788"/>
        <v>0</v>
      </c>
      <c r="AP2248" s="498">
        <f t="shared" si="785"/>
        <v>0</v>
      </c>
      <c r="AQ2248" s="498">
        <f t="shared" si="802"/>
        <v>0</v>
      </c>
      <c r="AU2248" s="498">
        <f t="shared" si="789"/>
        <v>0</v>
      </c>
      <c r="AV2248" s="498">
        <f t="shared" si="790"/>
        <v>0</v>
      </c>
      <c r="AW2248" s="498">
        <f t="shared" si="791"/>
        <v>0</v>
      </c>
      <c r="AX2248" s="498">
        <f t="shared" si="792"/>
        <v>0</v>
      </c>
      <c r="AY2248" s="498">
        <f t="shared" si="793"/>
        <v>0</v>
      </c>
      <c r="BB2248" s="498" t="str">
        <f t="shared" si="794"/>
        <v/>
      </c>
      <c r="BC2248" s="743" t="str">
        <f t="shared" si="795"/>
        <v/>
      </c>
      <c r="BD2248" s="743" t="str">
        <f t="shared" si="796"/>
        <v/>
      </c>
      <c r="BE2248" s="743" t="str">
        <f>IF(D2248="","",VLOOKUP(D2248,'General Basis'!$J$39:$K$46,2,0))</f>
        <v/>
      </c>
      <c r="BF2248" s="744" t="str">
        <f>IF(D2248="","",VLOOKUP(D2248,'General Basis'!$J$39:$L$46,3,0))</f>
        <v/>
      </c>
      <c r="BG2248" s="744" t="str">
        <f t="shared" si="803"/>
        <v/>
      </c>
      <c r="BH2248" s="744" t="str">
        <f>IF(G2248="","",IF(BF2248="Abu Dhabi",IF(G2248&lt;18,'General Basis'!$C$39,IF(G2248&lt;41,'General Basis'!$C$40,IF(G2248&lt;60,'General Basis'!$C$41,IF(G2248&lt;65,'General Basis'!$C$42,'General Basis'!$C$43)))),IF(G2248&lt;11,'General Basis'!$B$39,IF(G2248&lt;18,'General Basis'!$B$40,IF(G2248&lt;26,'General Basis'!$B$41,IF(G2248&lt;31,'General Basis'!$B$42,IF(G2248&lt;36,'General Basis'!$B$43,IF(G2248&lt;41,'General Basis'!$B$44,IF(G2248&lt;46,'General Basis'!$B$45,IF(G2248&lt;51,'General Basis'!$B$46,IF(G2248&lt;56,'General Basis'!$B$47,IF(G2248&lt;60,'General Basis'!$B$48,IF(G2248&lt;65,'General Basis'!$B$49,'General Basis'!$B$50)))))))))))))</f>
        <v/>
      </c>
      <c r="BI2248" s="744" t="str">
        <f t="shared" si="797"/>
        <v/>
      </c>
      <c r="BJ2248" s="747" t="str">
        <f t="shared" si="804"/>
        <v/>
      </c>
      <c r="BK2248" s="498" t="str">
        <f t="shared" si="798"/>
        <v/>
      </c>
      <c r="BL2248" s="498" t="str">
        <f t="shared" si="799"/>
        <v/>
      </c>
    </row>
    <row r="2249" spans="1:64" x14ac:dyDescent="0.25">
      <c r="A2249" s="762">
        <f t="shared" si="800"/>
        <v>2244</v>
      </c>
      <c r="B2249" s="229"/>
      <c r="C2249" s="223"/>
      <c r="D2249" s="224"/>
      <c r="E2249" s="225"/>
      <c r="F2249" s="1036" t="str">
        <f t="shared" si="784"/>
        <v/>
      </c>
      <c r="G2249" s="1037" t="str">
        <f t="shared" si="801"/>
        <v/>
      </c>
      <c r="H2249" s="225"/>
      <c r="I2249" s="1013"/>
      <c r="J2249" s="1013"/>
      <c r="K2249" s="1028"/>
      <c r="L2249" s="1035" t="str">
        <f t="shared" si="805"/>
        <v/>
      </c>
      <c r="S2249" s="498"/>
      <c r="AJ2249" s="498"/>
      <c r="AM2249" s="498">
        <f t="shared" si="786"/>
        <v>0</v>
      </c>
      <c r="AN2249" s="498">
        <f t="shared" si="787"/>
        <v>0</v>
      </c>
      <c r="AO2249" s="498">
        <f t="shared" si="788"/>
        <v>0</v>
      </c>
      <c r="AP2249" s="498">
        <f t="shared" si="785"/>
        <v>0</v>
      </c>
      <c r="AQ2249" s="498">
        <f t="shared" si="802"/>
        <v>0</v>
      </c>
      <c r="AU2249" s="498">
        <f t="shared" si="789"/>
        <v>0</v>
      </c>
      <c r="AV2249" s="498">
        <f t="shared" si="790"/>
        <v>0</v>
      </c>
      <c r="AW2249" s="498">
        <f t="shared" si="791"/>
        <v>0</v>
      </c>
      <c r="AX2249" s="498">
        <f t="shared" si="792"/>
        <v>0</v>
      </c>
      <c r="AY2249" s="498">
        <f t="shared" si="793"/>
        <v>0</v>
      </c>
      <c r="BB2249" s="498" t="str">
        <f t="shared" si="794"/>
        <v/>
      </c>
      <c r="BC2249" s="743" t="str">
        <f t="shared" si="795"/>
        <v/>
      </c>
      <c r="BD2249" s="743" t="str">
        <f t="shared" si="796"/>
        <v/>
      </c>
      <c r="BE2249" s="743" t="str">
        <f>IF(D2249="","",VLOOKUP(D2249,'General Basis'!$J$39:$K$46,2,0))</f>
        <v/>
      </c>
      <c r="BF2249" s="744" t="str">
        <f>IF(D2249="","",VLOOKUP(D2249,'General Basis'!$J$39:$L$46,3,0))</f>
        <v/>
      </c>
      <c r="BG2249" s="744" t="str">
        <f t="shared" si="803"/>
        <v/>
      </c>
      <c r="BH2249" s="744" t="str">
        <f>IF(G2249="","",IF(BF2249="Abu Dhabi",IF(G2249&lt;18,'General Basis'!$C$39,IF(G2249&lt;41,'General Basis'!$C$40,IF(G2249&lt;60,'General Basis'!$C$41,IF(G2249&lt;65,'General Basis'!$C$42,'General Basis'!$C$43)))),IF(G2249&lt;11,'General Basis'!$B$39,IF(G2249&lt;18,'General Basis'!$B$40,IF(G2249&lt;26,'General Basis'!$B$41,IF(G2249&lt;31,'General Basis'!$B$42,IF(G2249&lt;36,'General Basis'!$B$43,IF(G2249&lt;41,'General Basis'!$B$44,IF(G2249&lt;46,'General Basis'!$B$45,IF(G2249&lt;51,'General Basis'!$B$46,IF(G2249&lt;56,'General Basis'!$B$47,IF(G2249&lt;60,'General Basis'!$B$48,IF(G2249&lt;65,'General Basis'!$B$49,'General Basis'!$B$50)))))))))))))</f>
        <v/>
      </c>
      <c r="BI2249" s="744" t="str">
        <f t="shared" si="797"/>
        <v/>
      </c>
      <c r="BJ2249" s="747" t="str">
        <f t="shared" si="804"/>
        <v/>
      </c>
      <c r="BK2249" s="498" t="str">
        <f t="shared" si="798"/>
        <v/>
      </c>
      <c r="BL2249" s="498" t="str">
        <f t="shared" si="799"/>
        <v/>
      </c>
    </row>
    <row r="2250" spans="1:64" x14ac:dyDescent="0.25">
      <c r="A2250" s="762">
        <f t="shared" si="800"/>
        <v>2245</v>
      </c>
      <c r="B2250" s="229"/>
      <c r="C2250" s="223"/>
      <c r="D2250" s="224"/>
      <c r="E2250" s="225"/>
      <c r="F2250" s="1036" t="str">
        <f t="shared" si="784"/>
        <v/>
      </c>
      <c r="G2250" s="1037" t="str">
        <f t="shared" si="801"/>
        <v/>
      </c>
      <c r="H2250" s="225"/>
      <c r="I2250" s="1013"/>
      <c r="J2250" s="1013"/>
      <c r="K2250" s="1028"/>
      <c r="L2250" s="1035" t="str">
        <f t="shared" si="805"/>
        <v/>
      </c>
      <c r="S2250" s="498"/>
      <c r="AJ2250" s="498"/>
      <c r="AM2250" s="498">
        <f t="shared" si="786"/>
        <v>0</v>
      </c>
      <c r="AN2250" s="498">
        <f t="shared" si="787"/>
        <v>0</v>
      </c>
      <c r="AO2250" s="498">
        <f t="shared" si="788"/>
        <v>0</v>
      </c>
      <c r="AP2250" s="498">
        <f t="shared" si="785"/>
        <v>0</v>
      </c>
      <c r="AQ2250" s="498">
        <f t="shared" si="802"/>
        <v>0</v>
      </c>
      <c r="AU2250" s="498">
        <f t="shared" si="789"/>
        <v>0</v>
      </c>
      <c r="AV2250" s="498">
        <f t="shared" si="790"/>
        <v>0</v>
      </c>
      <c r="AW2250" s="498">
        <f t="shared" si="791"/>
        <v>0</v>
      </c>
      <c r="AX2250" s="498">
        <f t="shared" si="792"/>
        <v>0</v>
      </c>
      <c r="AY2250" s="498">
        <f t="shared" si="793"/>
        <v>0</v>
      </c>
      <c r="BB2250" s="498" t="str">
        <f t="shared" si="794"/>
        <v/>
      </c>
      <c r="BC2250" s="743" t="str">
        <f t="shared" si="795"/>
        <v/>
      </c>
      <c r="BD2250" s="743" t="str">
        <f t="shared" si="796"/>
        <v/>
      </c>
      <c r="BE2250" s="743" t="str">
        <f>IF(D2250="","",VLOOKUP(D2250,'General Basis'!$J$39:$K$46,2,0))</f>
        <v/>
      </c>
      <c r="BF2250" s="744" t="str">
        <f>IF(D2250="","",VLOOKUP(D2250,'General Basis'!$J$39:$L$46,3,0))</f>
        <v/>
      </c>
      <c r="BG2250" s="744" t="str">
        <f t="shared" si="803"/>
        <v/>
      </c>
      <c r="BH2250" s="744" t="str">
        <f>IF(G2250="","",IF(BF2250="Abu Dhabi",IF(G2250&lt;18,'General Basis'!$C$39,IF(G2250&lt;41,'General Basis'!$C$40,IF(G2250&lt;60,'General Basis'!$C$41,IF(G2250&lt;65,'General Basis'!$C$42,'General Basis'!$C$43)))),IF(G2250&lt;11,'General Basis'!$B$39,IF(G2250&lt;18,'General Basis'!$B$40,IF(G2250&lt;26,'General Basis'!$B$41,IF(G2250&lt;31,'General Basis'!$B$42,IF(G2250&lt;36,'General Basis'!$B$43,IF(G2250&lt;41,'General Basis'!$B$44,IF(G2250&lt;46,'General Basis'!$B$45,IF(G2250&lt;51,'General Basis'!$B$46,IF(G2250&lt;56,'General Basis'!$B$47,IF(G2250&lt;60,'General Basis'!$B$48,IF(G2250&lt;65,'General Basis'!$B$49,'General Basis'!$B$50)))))))))))))</f>
        <v/>
      </c>
      <c r="BI2250" s="744" t="str">
        <f t="shared" si="797"/>
        <v/>
      </c>
      <c r="BJ2250" s="747" t="str">
        <f t="shared" si="804"/>
        <v/>
      </c>
      <c r="BK2250" s="498" t="str">
        <f t="shared" si="798"/>
        <v/>
      </c>
      <c r="BL2250" s="498" t="str">
        <f t="shared" si="799"/>
        <v/>
      </c>
    </row>
    <row r="2251" spans="1:64" x14ac:dyDescent="0.25">
      <c r="A2251" s="762">
        <f t="shared" si="800"/>
        <v>2246</v>
      </c>
      <c r="B2251" s="229"/>
      <c r="C2251" s="223"/>
      <c r="D2251" s="224"/>
      <c r="E2251" s="225"/>
      <c r="F2251" s="1036" t="str">
        <f t="shared" si="784"/>
        <v/>
      </c>
      <c r="G2251" s="1037" t="str">
        <f t="shared" si="801"/>
        <v/>
      </c>
      <c r="H2251" s="225"/>
      <c r="I2251" s="1013"/>
      <c r="J2251" s="1013"/>
      <c r="K2251" s="1028"/>
      <c r="L2251" s="1035" t="str">
        <f t="shared" si="805"/>
        <v/>
      </c>
      <c r="S2251" s="498"/>
      <c r="AJ2251" s="498"/>
      <c r="AM2251" s="498">
        <f t="shared" si="786"/>
        <v>0</v>
      </c>
      <c r="AN2251" s="498">
        <f t="shared" si="787"/>
        <v>0</v>
      </c>
      <c r="AO2251" s="498">
        <f t="shared" si="788"/>
        <v>0</v>
      </c>
      <c r="AP2251" s="498">
        <f t="shared" si="785"/>
        <v>0</v>
      </c>
      <c r="AQ2251" s="498">
        <f t="shared" si="802"/>
        <v>0</v>
      </c>
      <c r="AU2251" s="498">
        <f t="shared" si="789"/>
        <v>0</v>
      </c>
      <c r="AV2251" s="498">
        <f t="shared" si="790"/>
        <v>0</v>
      </c>
      <c r="AW2251" s="498">
        <f t="shared" si="791"/>
        <v>0</v>
      </c>
      <c r="AX2251" s="498">
        <f t="shared" si="792"/>
        <v>0</v>
      </c>
      <c r="AY2251" s="498">
        <f t="shared" si="793"/>
        <v>0</v>
      </c>
      <c r="BB2251" s="498" t="str">
        <f t="shared" si="794"/>
        <v/>
      </c>
      <c r="BC2251" s="743" t="str">
        <f t="shared" si="795"/>
        <v/>
      </c>
      <c r="BD2251" s="743" t="str">
        <f t="shared" si="796"/>
        <v/>
      </c>
      <c r="BE2251" s="743" t="str">
        <f>IF(D2251="","",VLOOKUP(D2251,'General Basis'!$J$39:$K$46,2,0))</f>
        <v/>
      </c>
      <c r="BF2251" s="744" t="str">
        <f>IF(D2251="","",VLOOKUP(D2251,'General Basis'!$J$39:$L$46,3,0))</f>
        <v/>
      </c>
      <c r="BG2251" s="744" t="str">
        <f t="shared" si="803"/>
        <v/>
      </c>
      <c r="BH2251" s="744" t="str">
        <f>IF(G2251="","",IF(BF2251="Abu Dhabi",IF(G2251&lt;18,'General Basis'!$C$39,IF(G2251&lt;41,'General Basis'!$C$40,IF(G2251&lt;60,'General Basis'!$C$41,IF(G2251&lt;65,'General Basis'!$C$42,'General Basis'!$C$43)))),IF(G2251&lt;11,'General Basis'!$B$39,IF(G2251&lt;18,'General Basis'!$B$40,IF(G2251&lt;26,'General Basis'!$B$41,IF(G2251&lt;31,'General Basis'!$B$42,IF(G2251&lt;36,'General Basis'!$B$43,IF(G2251&lt;41,'General Basis'!$B$44,IF(G2251&lt;46,'General Basis'!$B$45,IF(G2251&lt;51,'General Basis'!$B$46,IF(G2251&lt;56,'General Basis'!$B$47,IF(G2251&lt;60,'General Basis'!$B$48,IF(G2251&lt;65,'General Basis'!$B$49,'General Basis'!$B$50)))))))))))))</f>
        <v/>
      </c>
      <c r="BI2251" s="744" t="str">
        <f t="shared" si="797"/>
        <v/>
      </c>
      <c r="BJ2251" s="747" t="str">
        <f t="shared" si="804"/>
        <v/>
      </c>
      <c r="BK2251" s="498" t="str">
        <f t="shared" si="798"/>
        <v/>
      </c>
      <c r="BL2251" s="498" t="str">
        <f t="shared" si="799"/>
        <v/>
      </c>
    </row>
    <row r="2252" spans="1:64" x14ac:dyDescent="0.25">
      <c r="A2252" s="762">
        <f t="shared" si="800"/>
        <v>2247</v>
      </c>
      <c r="B2252" s="229"/>
      <c r="C2252" s="223"/>
      <c r="D2252" s="224"/>
      <c r="E2252" s="225"/>
      <c r="F2252" s="1036" t="str">
        <f t="shared" si="784"/>
        <v/>
      </c>
      <c r="G2252" s="1037" t="str">
        <f t="shared" si="801"/>
        <v/>
      </c>
      <c r="H2252" s="225"/>
      <c r="I2252" s="1013"/>
      <c r="J2252" s="1013"/>
      <c r="K2252" s="1028"/>
      <c r="L2252" s="1035" t="str">
        <f t="shared" si="805"/>
        <v/>
      </c>
      <c r="S2252" s="498"/>
      <c r="AJ2252" s="498"/>
      <c r="AM2252" s="498">
        <f t="shared" si="786"/>
        <v>0</v>
      </c>
      <c r="AN2252" s="498">
        <f t="shared" si="787"/>
        <v>0</v>
      </c>
      <c r="AO2252" s="498">
        <f t="shared" si="788"/>
        <v>0</v>
      </c>
      <c r="AP2252" s="498">
        <f t="shared" si="785"/>
        <v>0</v>
      </c>
      <c r="AQ2252" s="498">
        <f t="shared" si="802"/>
        <v>0</v>
      </c>
      <c r="AU2252" s="498">
        <f t="shared" si="789"/>
        <v>0</v>
      </c>
      <c r="AV2252" s="498">
        <f t="shared" si="790"/>
        <v>0</v>
      </c>
      <c r="AW2252" s="498">
        <f t="shared" si="791"/>
        <v>0</v>
      </c>
      <c r="AX2252" s="498">
        <f t="shared" si="792"/>
        <v>0</v>
      </c>
      <c r="AY2252" s="498">
        <f t="shared" si="793"/>
        <v>0</v>
      </c>
      <c r="BB2252" s="498" t="str">
        <f t="shared" si="794"/>
        <v/>
      </c>
      <c r="BC2252" s="743" t="str">
        <f t="shared" si="795"/>
        <v/>
      </c>
      <c r="BD2252" s="743" t="str">
        <f t="shared" si="796"/>
        <v/>
      </c>
      <c r="BE2252" s="743" t="str">
        <f>IF(D2252="","",VLOOKUP(D2252,'General Basis'!$J$39:$K$46,2,0))</f>
        <v/>
      </c>
      <c r="BF2252" s="744" t="str">
        <f>IF(D2252="","",VLOOKUP(D2252,'General Basis'!$J$39:$L$46,3,0))</f>
        <v/>
      </c>
      <c r="BG2252" s="744" t="str">
        <f t="shared" si="803"/>
        <v/>
      </c>
      <c r="BH2252" s="744" t="str">
        <f>IF(G2252="","",IF(BF2252="Abu Dhabi",IF(G2252&lt;18,'General Basis'!$C$39,IF(G2252&lt;41,'General Basis'!$C$40,IF(G2252&lt;60,'General Basis'!$C$41,IF(G2252&lt;65,'General Basis'!$C$42,'General Basis'!$C$43)))),IF(G2252&lt;11,'General Basis'!$B$39,IF(G2252&lt;18,'General Basis'!$B$40,IF(G2252&lt;26,'General Basis'!$B$41,IF(G2252&lt;31,'General Basis'!$B$42,IF(G2252&lt;36,'General Basis'!$B$43,IF(G2252&lt;41,'General Basis'!$B$44,IF(G2252&lt;46,'General Basis'!$B$45,IF(G2252&lt;51,'General Basis'!$B$46,IF(G2252&lt;56,'General Basis'!$B$47,IF(G2252&lt;60,'General Basis'!$B$48,IF(G2252&lt;65,'General Basis'!$B$49,'General Basis'!$B$50)))))))))))))</f>
        <v/>
      </c>
      <c r="BI2252" s="744" t="str">
        <f t="shared" si="797"/>
        <v/>
      </c>
      <c r="BJ2252" s="747" t="str">
        <f t="shared" si="804"/>
        <v/>
      </c>
      <c r="BK2252" s="498" t="str">
        <f t="shared" si="798"/>
        <v/>
      </c>
      <c r="BL2252" s="498" t="str">
        <f t="shared" si="799"/>
        <v/>
      </c>
    </row>
    <row r="2253" spans="1:64" x14ac:dyDescent="0.25">
      <c r="A2253" s="762">
        <f t="shared" si="800"/>
        <v>2248</v>
      </c>
      <c r="B2253" s="229"/>
      <c r="C2253" s="223"/>
      <c r="D2253" s="224"/>
      <c r="E2253" s="225"/>
      <c r="F2253" s="1036" t="str">
        <f t="shared" si="784"/>
        <v/>
      </c>
      <c r="G2253" s="1037" t="str">
        <f t="shared" si="801"/>
        <v/>
      </c>
      <c r="H2253" s="225"/>
      <c r="I2253" s="1013"/>
      <c r="J2253" s="1013"/>
      <c r="K2253" s="1028"/>
      <c r="L2253" s="1035" t="str">
        <f t="shared" si="805"/>
        <v/>
      </c>
      <c r="S2253" s="498"/>
      <c r="AJ2253" s="498"/>
      <c r="AM2253" s="498">
        <f t="shared" si="786"/>
        <v>0</v>
      </c>
      <c r="AN2253" s="498">
        <f t="shared" si="787"/>
        <v>0</v>
      </c>
      <c r="AO2253" s="498">
        <f t="shared" si="788"/>
        <v>0</v>
      </c>
      <c r="AP2253" s="498">
        <f t="shared" si="785"/>
        <v>0</v>
      </c>
      <c r="AQ2253" s="498">
        <f t="shared" si="802"/>
        <v>0</v>
      </c>
      <c r="AU2253" s="498">
        <f t="shared" si="789"/>
        <v>0</v>
      </c>
      <c r="AV2253" s="498">
        <f t="shared" si="790"/>
        <v>0</v>
      </c>
      <c r="AW2253" s="498">
        <f t="shared" si="791"/>
        <v>0</v>
      </c>
      <c r="AX2253" s="498">
        <f t="shared" si="792"/>
        <v>0</v>
      </c>
      <c r="AY2253" s="498">
        <f t="shared" si="793"/>
        <v>0</v>
      </c>
      <c r="BB2253" s="498" t="str">
        <f t="shared" si="794"/>
        <v/>
      </c>
      <c r="BC2253" s="743" t="str">
        <f t="shared" si="795"/>
        <v/>
      </c>
      <c r="BD2253" s="743" t="str">
        <f t="shared" si="796"/>
        <v/>
      </c>
      <c r="BE2253" s="743" t="str">
        <f>IF(D2253="","",VLOOKUP(D2253,'General Basis'!$J$39:$K$46,2,0))</f>
        <v/>
      </c>
      <c r="BF2253" s="744" t="str">
        <f>IF(D2253="","",VLOOKUP(D2253,'General Basis'!$J$39:$L$46,3,0))</f>
        <v/>
      </c>
      <c r="BG2253" s="744" t="str">
        <f t="shared" si="803"/>
        <v/>
      </c>
      <c r="BH2253" s="744" t="str">
        <f>IF(G2253="","",IF(BF2253="Abu Dhabi",IF(G2253&lt;18,'General Basis'!$C$39,IF(G2253&lt;41,'General Basis'!$C$40,IF(G2253&lt;60,'General Basis'!$C$41,IF(G2253&lt;65,'General Basis'!$C$42,'General Basis'!$C$43)))),IF(G2253&lt;11,'General Basis'!$B$39,IF(G2253&lt;18,'General Basis'!$B$40,IF(G2253&lt;26,'General Basis'!$B$41,IF(G2253&lt;31,'General Basis'!$B$42,IF(G2253&lt;36,'General Basis'!$B$43,IF(G2253&lt;41,'General Basis'!$B$44,IF(G2253&lt;46,'General Basis'!$B$45,IF(G2253&lt;51,'General Basis'!$B$46,IF(G2253&lt;56,'General Basis'!$B$47,IF(G2253&lt;60,'General Basis'!$B$48,IF(G2253&lt;65,'General Basis'!$B$49,'General Basis'!$B$50)))))))))))))</f>
        <v/>
      </c>
      <c r="BI2253" s="744" t="str">
        <f t="shared" si="797"/>
        <v/>
      </c>
      <c r="BJ2253" s="747" t="str">
        <f t="shared" si="804"/>
        <v/>
      </c>
      <c r="BK2253" s="498" t="str">
        <f t="shared" si="798"/>
        <v/>
      </c>
      <c r="BL2253" s="498" t="str">
        <f t="shared" si="799"/>
        <v/>
      </c>
    </row>
    <row r="2254" spans="1:64" x14ac:dyDescent="0.25">
      <c r="A2254" s="762">
        <f t="shared" si="800"/>
        <v>2249</v>
      </c>
      <c r="B2254" s="229"/>
      <c r="C2254" s="223"/>
      <c r="D2254" s="224"/>
      <c r="E2254" s="225"/>
      <c r="F2254" s="1036" t="str">
        <f t="shared" si="784"/>
        <v/>
      </c>
      <c r="G2254" s="1037" t="str">
        <f t="shared" si="801"/>
        <v/>
      </c>
      <c r="H2254" s="225"/>
      <c r="I2254" s="1013"/>
      <c r="J2254" s="1013"/>
      <c r="K2254" s="1028"/>
      <c r="L2254" s="1035" t="str">
        <f t="shared" si="805"/>
        <v/>
      </c>
      <c r="S2254" s="498"/>
      <c r="AJ2254" s="498"/>
      <c r="AM2254" s="498">
        <f t="shared" si="786"/>
        <v>0</v>
      </c>
      <c r="AN2254" s="498">
        <f t="shared" si="787"/>
        <v>0</v>
      </c>
      <c r="AO2254" s="498">
        <f t="shared" si="788"/>
        <v>0</v>
      </c>
      <c r="AP2254" s="498">
        <f t="shared" si="785"/>
        <v>0</v>
      </c>
      <c r="AQ2254" s="498">
        <f t="shared" si="802"/>
        <v>0</v>
      </c>
      <c r="AU2254" s="498">
        <f t="shared" si="789"/>
        <v>0</v>
      </c>
      <c r="AV2254" s="498">
        <f t="shared" si="790"/>
        <v>0</v>
      </c>
      <c r="AW2254" s="498">
        <f t="shared" si="791"/>
        <v>0</v>
      </c>
      <c r="AX2254" s="498">
        <f t="shared" si="792"/>
        <v>0</v>
      </c>
      <c r="AY2254" s="498">
        <f t="shared" si="793"/>
        <v>0</v>
      </c>
      <c r="BB2254" s="498" t="str">
        <f t="shared" si="794"/>
        <v/>
      </c>
      <c r="BC2254" s="743" t="str">
        <f t="shared" si="795"/>
        <v/>
      </c>
      <c r="BD2254" s="743" t="str">
        <f t="shared" si="796"/>
        <v/>
      </c>
      <c r="BE2254" s="743" t="str">
        <f>IF(D2254="","",VLOOKUP(D2254,'General Basis'!$J$39:$K$46,2,0))</f>
        <v/>
      </c>
      <c r="BF2254" s="744" t="str">
        <f>IF(D2254="","",VLOOKUP(D2254,'General Basis'!$J$39:$L$46,3,0))</f>
        <v/>
      </c>
      <c r="BG2254" s="744" t="str">
        <f t="shared" si="803"/>
        <v/>
      </c>
      <c r="BH2254" s="744" t="str">
        <f>IF(G2254="","",IF(BF2254="Abu Dhabi",IF(G2254&lt;18,'General Basis'!$C$39,IF(G2254&lt;41,'General Basis'!$C$40,IF(G2254&lt;60,'General Basis'!$C$41,IF(G2254&lt;65,'General Basis'!$C$42,'General Basis'!$C$43)))),IF(G2254&lt;11,'General Basis'!$B$39,IF(G2254&lt;18,'General Basis'!$B$40,IF(G2254&lt;26,'General Basis'!$B$41,IF(G2254&lt;31,'General Basis'!$B$42,IF(G2254&lt;36,'General Basis'!$B$43,IF(G2254&lt;41,'General Basis'!$B$44,IF(G2254&lt;46,'General Basis'!$B$45,IF(G2254&lt;51,'General Basis'!$B$46,IF(G2254&lt;56,'General Basis'!$B$47,IF(G2254&lt;60,'General Basis'!$B$48,IF(G2254&lt;65,'General Basis'!$B$49,'General Basis'!$B$50)))))))))))))</f>
        <v/>
      </c>
      <c r="BI2254" s="744" t="str">
        <f t="shared" si="797"/>
        <v/>
      </c>
      <c r="BJ2254" s="747" t="str">
        <f t="shared" si="804"/>
        <v/>
      </c>
      <c r="BK2254" s="498" t="str">
        <f t="shared" si="798"/>
        <v/>
      </c>
      <c r="BL2254" s="498" t="str">
        <f t="shared" si="799"/>
        <v/>
      </c>
    </row>
    <row r="2255" spans="1:64" x14ac:dyDescent="0.25">
      <c r="A2255" s="762">
        <f t="shared" si="800"/>
        <v>2250</v>
      </c>
      <c r="B2255" s="229"/>
      <c r="C2255" s="223"/>
      <c r="D2255" s="224"/>
      <c r="E2255" s="225"/>
      <c r="F2255" s="1036" t="str">
        <f t="shared" si="784"/>
        <v/>
      </c>
      <c r="G2255" s="1037" t="str">
        <f t="shared" si="801"/>
        <v/>
      </c>
      <c r="H2255" s="225"/>
      <c r="I2255" s="1013"/>
      <c r="J2255" s="1013"/>
      <c r="K2255" s="1028"/>
      <c r="L2255" s="1035" t="str">
        <f t="shared" si="805"/>
        <v/>
      </c>
      <c r="S2255" s="498"/>
      <c r="AJ2255" s="498"/>
      <c r="AM2255" s="498">
        <f t="shared" si="786"/>
        <v>0</v>
      </c>
      <c r="AN2255" s="498">
        <f t="shared" si="787"/>
        <v>0</v>
      </c>
      <c r="AO2255" s="498">
        <f t="shared" si="788"/>
        <v>0</v>
      </c>
      <c r="AP2255" s="498">
        <f t="shared" si="785"/>
        <v>0</v>
      </c>
      <c r="AQ2255" s="498">
        <f t="shared" si="802"/>
        <v>0</v>
      </c>
      <c r="AU2255" s="498">
        <f t="shared" si="789"/>
        <v>0</v>
      </c>
      <c r="AV2255" s="498">
        <f t="shared" si="790"/>
        <v>0</v>
      </c>
      <c r="AW2255" s="498">
        <f t="shared" si="791"/>
        <v>0</v>
      </c>
      <c r="AX2255" s="498">
        <f t="shared" si="792"/>
        <v>0</v>
      </c>
      <c r="AY2255" s="498">
        <f t="shared" si="793"/>
        <v>0</v>
      </c>
      <c r="BB2255" s="498" t="str">
        <f t="shared" si="794"/>
        <v/>
      </c>
      <c r="BC2255" s="743" t="str">
        <f t="shared" si="795"/>
        <v/>
      </c>
      <c r="BD2255" s="743" t="str">
        <f t="shared" si="796"/>
        <v/>
      </c>
      <c r="BE2255" s="743" t="str">
        <f>IF(D2255="","",VLOOKUP(D2255,'General Basis'!$J$39:$K$46,2,0))</f>
        <v/>
      </c>
      <c r="BF2255" s="744" t="str">
        <f>IF(D2255="","",VLOOKUP(D2255,'General Basis'!$J$39:$L$46,3,0))</f>
        <v/>
      </c>
      <c r="BG2255" s="744" t="str">
        <f t="shared" si="803"/>
        <v/>
      </c>
      <c r="BH2255" s="744" t="str">
        <f>IF(G2255="","",IF(BF2255="Abu Dhabi",IF(G2255&lt;18,'General Basis'!$C$39,IF(G2255&lt;41,'General Basis'!$C$40,IF(G2255&lt;60,'General Basis'!$C$41,IF(G2255&lt;65,'General Basis'!$C$42,'General Basis'!$C$43)))),IF(G2255&lt;11,'General Basis'!$B$39,IF(G2255&lt;18,'General Basis'!$B$40,IF(G2255&lt;26,'General Basis'!$B$41,IF(G2255&lt;31,'General Basis'!$B$42,IF(G2255&lt;36,'General Basis'!$B$43,IF(G2255&lt;41,'General Basis'!$B$44,IF(G2255&lt;46,'General Basis'!$B$45,IF(G2255&lt;51,'General Basis'!$B$46,IF(G2255&lt;56,'General Basis'!$B$47,IF(G2255&lt;60,'General Basis'!$B$48,IF(G2255&lt;65,'General Basis'!$B$49,'General Basis'!$B$50)))))))))))))</f>
        <v/>
      </c>
      <c r="BI2255" s="744" t="str">
        <f t="shared" si="797"/>
        <v/>
      </c>
      <c r="BJ2255" s="747" t="str">
        <f t="shared" si="804"/>
        <v/>
      </c>
      <c r="BK2255" s="498" t="str">
        <f t="shared" si="798"/>
        <v/>
      </c>
      <c r="BL2255" s="498" t="str">
        <f t="shared" si="799"/>
        <v/>
      </c>
    </row>
    <row r="2256" spans="1:64" x14ac:dyDescent="0.25">
      <c r="A2256" s="762">
        <f t="shared" si="800"/>
        <v>2251</v>
      </c>
      <c r="B2256" s="229"/>
      <c r="C2256" s="223"/>
      <c r="D2256" s="224"/>
      <c r="E2256" s="225"/>
      <c r="F2256" s="1036" t="str">
        <f t="shared" ref="F2256:F2319" si="806">IF(C2256="","",IF($B2256="","",((YEAR($F$3)-YEAR($B2256))+(MONTH($F$3)-MONTH($B2256))/12+(DAY($F$3)-DAY($B2256))/(DATE(YEAR($F$3),12,31)-DATE(YEAR($F$3),1,1)+1))))</f>
        <v/>
      </c>
      <c r="G2256" s="1037" t="str">
        <f t="shared" si="801"/>
        <v/>
      </c>
      <c r="H2256" s="225"/>
      <c r="I2256" s="1013"/>
      <c r="J2256" s="1013"/>
      <c r="K2256" s="1028"/>
      <c r="L2256" s="1035" t="str">
        <f t="shared" si="805"/>
        <v/>
      </c>
      <c r="S2256" s="498"/>
      <c r="AJ2256" s="498"/>
      <c r="AM2256" s="498">
        <f t="shared" si="786"/>
        <v>0</v>
      </c>
      <c r="AN2256" s="498">
        <f t="shared" si="787"/>
        <v>0</v>
      </c>
      <c r="AO2256" s="498">
        <f t="shared" si="788"/>
        <v>0</v>
      </c>
      <c r="AP2256" s="498">
        <f t="shared" si="785"/>
        <v>0</v>
      </c>
      <c r="AQ2256" s="498">
        <f t="shared" si="802"/>
        <v>0</v>
      </c>
      <c r="AU2256" s="498">
        <f t="shared" si="789"/>
        <v>0</v>
      </c>
      <c r="AV2256" s="498">
        <f t="shared" si="790"/>
        <v>0</v>
      </c>
      <c r="AW2256" s="498">
        <f t="shared" si="791"/>
        <v>0</v>
      </c>
      <c r="AX2256" s="498">
        <f t="shared" si="792"/>
        <v>0</v>
      </c>
      <c r="AY2256" s="498">
        <f t="shared" si="793"/>
        <v>0</v>
      </c>
      <c r="BB2256" s="498" t="str">
        <f t="shared" si="794"/>
        <v/>
      </c>
      <c r="BC2256" s="743" t="str">
        <f t="shared" si="795"/>
        <v/>
      </c>
      <c r="BD2256" s="743" t="str">
        <f t="shared" si="796"/>
        <v/>
      </c>
      <c r="BE2256" s="743" t="str">
        <f>IF(D2256="","",VLOOKUP(D2256,'General Basis'!$J$39:$K$46,2,0))</f>
        <v/>
      </c>
      <c r="BF2256" s="744" t="str">
        <f>IF(D2256="","",VLOOKUP(D2256,'General Basis'!$J$39:$L$46,3,0))</f>
        <v/>
      </c>
      <c r="BG2256" s="744" t="str">
        <f t="shared" si="803"/>
        <v/>
      </c>
      <c r="BH2256" s="744" t="str">
        <f>IF(G2256="","",IF(BF2256="Abu Dhabi",IF(G2256&lt;18,'General Basis'!$C$39,IF(G2256&lt;41,'General Basis'!$C$40,IF(G2256&lt;60,'General Basis'!$C$41,IF(G2256&lt;65,'General Basis'!$C$42,'General Basis'!$C$43)))),IF(G2256&lt;11,'General Basis'!$B$39,IF(G2256&lt;18,'General Basis'!$B$40,IF(G2256&lt;26,'General Basis'!$B$41,IF(G2256&lt;31,'General Basis'!$B$42,IF(G2256&lt;36,'General Basis'!$B$43,IF(G2256&lt;41,'General Basis'!$B$44,IF(G2256&lt;46,'General Basis'!$B$45,IF(G2256&lt;51,'General Basis'!$B$46,IF(G2256&lt;56,'General Basis'!$B$47,IF(G2256&lt;60,'General Basis'!$B$48,IF(G2256&lt;65,'General Basis'!$B$49,'General Basis'!$B$50)))))))))))))</f>
        <v/>
      </c>
      <c r="BI2256" s="744" t="str">
        <f t="shared" si="797"/>
        <v/>
      </c>
      <c r="BJ2256" s="747" t="str">
        <f t="shared" si="804"/>
        <v/>
      </c>
      <c r="BK2256" s="498" t="str">
        <f t="shared" si="798"/>
        <v/>
      </c>
      <c r="BL2256" s="498" t="str">
        <f t="shared" si="799"/>
        <v/>
      </c>
    </row>
    <row r="2257" spans="1:64" x14ac:dyDescent="0.25">
      <c r="A2257" s="762">
        <f t="shared" si="800"/>
        <v>2252</v>
      </c>
      <c r="B2257" s="229"/>
      <c r="C2257" s="223"/>
      <c r="D2257" s="224"/>
      <c r="E2257" s="225"/>
      <c r="F2257" s="1036" t="str">
        <f t="shared" si="806"/>
        <v/>
      </c>
      <c r="G2257" s="1037" t="str">
        <f t="shared" si="801"/>
        <v/>
      </c>
      <c r="H2257" s="225"/>
      <c r="I2257" s="1013"/>
      <c r="J2257" s="1013"/>
      <c r="K2257" s="1028"/>
      <c r="L2257" s="1035" t="str">
        <f t="shared" si="805"/>
        <v/>
      </c>
      <c r="S2257" s="498"/>
      <c r="AJ2257" s="498"/>
      <c r="AM2257" s="498">
        <f t="shared" si="786"/>
        <v>0</v>
      </c>
      <c r="AN2257" s="498">
        <f t="shared" si="787"/>
        <v>0</v>
      </c>
      <c r="AO2257" s="498">
        <f t="shared" si="788"/>
        <v>0</v>
      </c>
      <c r="AP2257" s="498">
        <f t="shared" si="785"/>
        <v>0</v>
      </c>
      <c r="AQ2257" s="498">
        <f t="shared" si="802"/>
        <v>0</v>
      </c>
      <c r="AU2257" s="498">
        <f t="shared" si="789"/>
        <v>0</v>
      </c>
      <c r="AV2257" s="498">
        <f t="shared" si="790"/>
        <v>0</v>
      </c>
      <c r="AW2257" s="498">
        <f t="shared" si="791"/>
        <v>0</v>
      </c>
      <c r="AX2257" s="498">
        <f t="shared" si="792"/>
        <v>0</v>
      </c>
      <c r="AY2257" s="498">
        <f t="shared" si="793"/>
        <v>0</v>
      </c>
      <c r="BB2257" s="498" t="str">
        <f t="shared" si="794"/>
        <v/>
      </c>
      <c r="BC2257" s="743" t="str">
        <f t="shared" si="795"/>
        <v/>
      </c>
      <c r="BD2257" s="743" t="str">
        <f t="shared" si="796"/>
        <v/>
      </c>
      <c r="BE2257" s="743" t="str">
        <f>IF(D2257="","",VLOOKUP(D2257,'General Basis'!$J$39:$K$46,2,0))</f>
        <v/>
      </c>
      <c r="BF2257" s="744" t="str">
        <f>IF(D2257="","",VLOOKUP(D2257,'General Basis'!$J$39:$L$46,3,0))</f>
        <v/>
      </c>
      <c r="BG2257" s="744" t="str">
        <f t="shared" si="803"/>
        <v/>
      </c>
      <c r="BH2257" s="744" t="str">
        <f>IF(G2257="","",IF(BF2257="Abu Dhabi",IF(G2257&lt;18,'General Basis'!$C$39,IF(G2257&lt;41,'General Basis'!$C$40,IF(G2257&lt;60,'General Basis'!$C$41,IF(G2257&lt;65,'General Basis'!$C$42,'General Basis'!$C$43)))),IF(G2257&lt;11,'General Basis'!$B$39,IF(G2257&lt;18,'General Basis'!$B$40,IF(G2257&lt;26,'General Basis'!$B$41,IF(G2257&lt;31,'General Basis'!$B$42,IF(G2257&lt;36,'General Basis'!$B$43,IF(G2257&lt;41,'General Basis'!$B$44,IF(G2257&lt;46,'General Basis'!$B$45,IF(G2257&lt;51,'General Basis'!$B$46,IF(G2257&lt;56,'General Basis'!$B$47,IF(G2257&lt;60,'General Basis'!$B$48,IF(G2257&lt;65,'General Basis'!$B$49,'General Basis'!$B$50)))))))))))))</f>
        <v/>
      </c>
      <c r="BI2257" s="744" t="str">
        <f t="shared" si="797"/>
        <v/>
      </c>
      <c r="BJ2257" s="747" t="str">
        <f t="shared" si="804"/>
        <v/>
      </c>
      <c r="BK2257" s="498" t="str">
        <f t="shared" si="798"/>
        <v/>
      </c>
      <c r="BL2257" s="498" t="str">
        <f t="shared" si="799"/>
        <v/>
      </c>
    </row>
    <row r="2258" spans="1:64" x14ac:dyDescent="0.25">
      <c r="A2258" s="762">
        <f t="shared" si="800"/>
        <v>2253</v>
      </c>
      <c r="B2258" s="229"/>
      <c r="C2258" s="223"/>
      <c r="D2258" s="224"/>
      <c r="E2258" s="225"/>
      <c r="F2258" s="1036" t="str">
        <f t="shared" si="806"/>
        <v/>
      </c>
      <c r="G2258" s="1037" t="str">
        <f t="shared" si="801"/>
        <v/>
      </c>
      <c r="H2258" s="225"/>
      <c r="I2258" s="1013"/>
      <c r="J2258" s="1013"/>
      <c r="K2258" s="1028"/>
      <c r="L2258" s="1035" t="str">
        <f t="shared" si="805"/>
        <v/>
      </c>
      <c r="S2258" s="498"/>
      <c r="AJ2258" s="498"/>
      <c r="AM2258" s="498">
        <f t="shared" si="786"/>
        <v>0</v>
      </c>
      <c r="AN2258" s="498">
        <f t="shared" si="787"/>
        <v>0</v>
      </c>
      <c r="AO2258" s="498">
        <f t="shared" si="788"/>
        <v>0</v>
      </c>
      <c r="AP2258" s="498">
        <f t="shared" si="785"/>
        <v>0</v>
      </c>
      <c r="AQ2258" s="498">
        <f t="shared" si="802"/>
        <v>0</v>
      </c>
      <c r="AU2258" s="498">
        <f t="shared" si="789"/>
        <v>0</v>
      </c>
      <c r="AV2258" s="498">
        <f t="shared" si="790"/>
        <v>0</v>
      </c>
      <c r="AW2258" s="498">
        <f t="shared" si="791"/>
        <v>0</v>
      </c>
      <c r="AX2258" s="498">
        <f t="shared" si="792"/>
        <v>0</v>
      </c>
      <c r="AY2258" s="498">
        <f t="shared" si="793"/>
        <v>0</v>
      </c>
      <c r="BB2258" s="498" t="str">
        <f t="shared" si="794"/>
        <v/>
      </c>
      <c r="BC2258" s="743" t="str">
        <f t="shared" si="795"/>
        <v/>
      </c>
      <c r="BD2258" s="743" t="str">
        <f t="shared" si="796"/>
        <v/>
      </c>
      <c r="BE2258" s="743" t="str">
        <f>IF(D2258="","",VLOOKUP(D2258,'General Basis'!$J$39:$K$46,2,0))</f>
        <v/>
      </c>
      <c r="BF2258" s="744" t="str">
        <f>IF(D2258="","",VLOOKUP(D2258,'General Basis'!$J$39:$L$46,3,0))</f>
        <v/>
      </c>
      <c r="BG2258" s="744" t="str">
        <f t="shared" si="803"/>
        <v/>
      </c>
      <c r="BH2258" s="744" t="str">
        <f>IF(G2258="","",IF(BF2258="Abu Dhabi",IF(G2258&lt;18,'General Basis'!$C$39,IF(G2258&lt;41,'General Basis'!$C$40,IF(G2258&lt;60,'General Basis'!$C$41,IF(G2258&lt;65,'General Basis'!$C$42,'General Basis'!$C$43)))),IF(G2258&lt;11,'General Basis'!$B$39,IF(G2258&lt;18,'General Basis'!$B$40,IF(G2258&lt;26,'General Basis'!$B$41,IF(G2258&lt;31,'General Basis'!$B$42,IF(G2258&lt;36,'General Basis'!$B$43,IF(G2258&lt;41,'General Basis'!$B$44,IF(G2258&lt;46,'General Basis'!$B$45,IF(G2258&lt;51,'General Basis'!$B$46,IF(G2258&lt;56,'General Basis'!$B$47,IF(G2258&lt;60,'General Basis'!$B$48,IF(G2258&lt;65,'General Basis'!$B$49,'General Basis'!$B$50)))))))))))))</f>
        <v/>
      </c>
      <c r="BI2258" s="744" t="str">
        <f t="shared" si="797"/>
        <v/>
      </c>
      <c r="BJ2258" s="747" t="str">
        <f t="shared" si="804"/>
        <v/>
      </c>
      <c r="BK2258" s="498" t="str">
        <f t="shared" si="798"/>
        <v/>
      </c>
      <c r="BL2258" s="498" t="str">
        <f t="shared" si="799"/>
        <v/>
      </c>
    </row>
    <row r="2259" spans="1:64" x14ac:dyDescent="0.25">
      <c r="A2259" s="762">
        <f t="shared" si="800"/>
        <v>2254</v>
      </c>
      <c r="B2259" s="229"/>
      <c r="C2259" s="223"/>
      <c r="D2259" s="224"/>
      <c r="E2259" s="225"/>
      <c r="F2259" s="1036" t="str">
        <f t="shared" si="806"/>
        <v/>
      </c>
      <c r="G2259" s="1037" t="str">
        <f t="shared" si="801"/>
        <v/>
      </c>
      <c r="H2259" s="225"/>
      <c r="I2259" s="1013"/>
      <c r="J2259" s="1013"/>
      <c r="K2259" s="1028"/>
      <c r="L2259" s="1035" t="str">
        <f t="shared" si="805"/>
        <v/>
      </c>
      <c r="S2259" s="498"/>
      <c r="AJ2259" s="498"/>
      <c r="AM2259" s="498">
        <f t="shared" si="786"/>
        <v>0</v>
      </c>
      <c r="AN2259" s="498">
        <f t="shared" si="787"/>
        <v>0</v>
      </c>
      <c r="AO2259" s="498">
        <f t="shared" si="788"/>
        <v>0</v>
      </c>
      <c r="AP2259" s="498">
        <f t="shared" ref="AP2259:AP2322" si="807">IF(ISBLANK($B2259),0,IF(OR($C2259="M",$C2259="F"),0,1))</f>
        <v>0</v>
      </c>
      <c r="AQ2259" s="498">
        <f t="shared" si="802"/>
        <v>0</v>
      </c>
      <c r="AU2259" s="498">
        <f t="shared" si="789"/>
        <v>0</v>
      </c>
      <c r="AV2259" s="498">
        <f t="shared" si="790"/>
        <v>0</v>
      </c>
      <c r="AW2259" s="498">
        <f t="shared" si="791"/>
        <v>0</v>
      </c>
      <c r="AX2259" s="498">
        <f t="shared" si="792"/>
        <v>0</v>
      </c>
      <c r="AY2259" s="498">
        <f t="shared" si="793"/>
        <v>0</v>
      </c>
      <c r="BB2259" s="498" t="str">
        <f t="shared" si="794"/>
        <v/>
      </c>
      <c r="BC2259" s="743" t="str">
        <f t="shared" si="795"/>
        <v/>
      </c>
      <c r="BD2259" s="743" t="str">
        <f t="shared" si="796"/>
        <v/>
      </c>
      <c r="BE2259" s="743" t="str">
        <f>IF(D2259="","",VLOOKUP(D2259,'General Basis'!$J$39:$K$46,2,0))</f>
        <v/>
      </c>
      <c r="BF2259" s="744" t="str">
        <f>IF(D2259="","",VLOOKUP(D2259,'General Basis'!$J$39:$L$46,3,0))</f>
        <v/>
      </c>
      <c r="BG2259" s="744" t="str">
        <f t="shared" si="803"/>
        <v/>
      </c>
      <c r="BH2259" s="744" t="str">
        <f>IF(G2259="","",IF(BF2259="Abu Dhabi",IF(G2259&lt;18,'General Basis'!$C$39,IF(G2259&lt;41,'General Basis'!$C$40,IF(G2259&lt;60,'General Basis'!$C$41,IF(G2259&lt;65,'General Basis'!$C$42,'General Basis'!$C$43)))),IF(G2259&lt;11,'General Basis'!$B$39,IF(G2259&lt;18,'General Basis'!$B$40,IF(G2259&lt;26,'General Basis'!$B$41,IF(G2259&lt;31,'General Basis'!$B$42,IF(G2259&lt;36,'General Basis'!$B$43,IF(G2259&lt;41,'General Basis'!$B$44,IF(G2259&lt;46,'General Basis'!$B$45,IF(G2259&lt;51,'General Basis'!$B$46,IF(G2259&lt;56,'General Basis'!$B$47,IF(G2259&lt;60,'General Basis'!$B$48,IF(G2259&lt;65,'General Basis'!$B$49,'General Basis'!$B$50)))))))))))))</f>
        <v/>
      </c>
      <c r="BI2259" s="744" t="str">
        <f t="shared" si="797"/>
        <v/>
      </c>
      <c r="BJ2259" s="747" t="str">
        <f t="shared" si="804"/>
        <v/>
      </c>
      <c r="BK2259" s="498" t="str">
        <f t="shared" si="798"/>
        <v/>
      </c>
      <c r="BL2259" s="498" t="str">
        <f t="shared" si="799"/>
        <v/>
      </c>
    </row>
    <row r="2260" spans="1:64" x14ac:dyDescent="0.25">
      <c r="A2260" s="762">
        <f t="shared" si="800"/>
        <v>2255</v>
      </c>
      <c r="B2260" s="229"/>
      <c r="C2260" s="223"/>
      <c r="D2260" s="224"/>
      <c r="E2260" s="225"/>
      <c r="F2260" s="1036" t="str">
        <f t="shared" si="806"/>
        <v/>
      </c>
      <c r="G2260" s="1037" t="str">
        <f t="shared" si="801"/>
        <v/>
      </c>
      <c r="H2260" s="225"/>
      <c r="I2260" s="1013"/>
      <c r="J2260" s="1013"/>
      <c r="K2260" s="1028"/>
      <c r="L2260" s="1035" t="str">
        <f t="shared" si="805"/>
        <v/>
      </c>
      <c r="S2260" s="498"/>
      <c r="AJ2260" s="498"/>
      <c r="AM2260" s="498">
        <f t="shared" si="786"/>
        <v>0</v>
      </c>
      <c r="AN2260" s="498">
        <f t="shared" si="787"/>
        <v>0</v>
      </c>
      <c r="AO2260" s="498">
        <f t="shared" si="788"/>
        <v>0</v>
      </c>
      <c r="AP2260" s="498">
        <f t="shared" si="807"/>
        <v>0</v>
      </c>
      <c r="AQ2260" s="498">
        <f t="shared" si="802"/>
        <v>0</v>
      </c>
      <c r="AU2260" s="498">
        <f t="shared" si="789"/>
        <v>0</v>
      </c>
      <c r="AV2260" s="498">
        <f t="shared" si="790"/>
        <v>0</v>
      </c>
      <c r="AW2260" s="498">
        <f t="shared" si="791"/>
        <v>0</v>
      </c>
      <c r="AX2260" s="498">
        <f t="shared" si="792"/>
        <v>0</v>
      </c>
      <c r="AY2260" s="498">
        <f t="shared" si="793"/>
        <v>0</v>
      </c>
      <c r="BB2260" s="498" t="str">
        <f t="shared" si="794"/>
        <v/>
      </c>
      <c r="BC2260" s="743" t="str">
        <f t="shared" si="795"/>
        <v/>
      </c>
      <c r="BD2260" s="743" t="str">
        <f t="shared" si="796"/>
        <v/>
      </c>
      <c r="BE2260" s="743" t="str">
        <f>IF(D2260="","",VLOOKUP(D2260,'General Basis'!$J$39:$K$46,2,0))</f>
        <v/>
      </c>
      <c r="BF2260" s="744" t="str">
        <f>IF(D2260="","",VLOOKUP(D2260,'General Basis'!$J$39:$L$46,3,0))</f>
        <v/>
      </c>
      <c r="BG2260" s="744" t="str">
        <f t="shared" si="803"/>
        <v/>
      </c>
      <c r="BH2260" s="744" t="str">
        <f>IF(G2260="","",IF(BF2260="Abu Dhabi",IF(G2260&lt;18,'General Basis'!$C$39,IF(G2260&lt;41,'General Basis'!$C$40,IF(G2260&lt;60,'General Basis'!$C$41,IF(G2260&lt;65,'General Basis'!$C$42,'General Basis'!$C$43)))),IF(G2260&lt;11,'General Basis'!$B$39,IF(G2260&lt;18,'General Basis'!$B$40,IF(G2260&lt;26,'General Basis'!$B$41,IF(G2260&lt;31,'General Basis'!$B$42,IF(G2260&lt;36,'General Basis'!$B$43,IF(G2260&lt;41,'General Basis'!$B$44,IF(G2260&lt;46,'General Basis'!$B$45,IF(G2260&lt;51,'General Basis'!$B$46,IF(G2260&lt;56,'General Basis'!$B$47,IF(G2260&lt;60,'General Basis'!$B$48,IF(G2260&lt;65,'General Basis'!$B$49,'General Basis'!$B$50)))))))))))))</f>
        <v/>
      </c>
      <c r="BI2260" s="744" t="str">
        <f t="shared" si="797"/>
        <v/>
      </c>
      <c r="BJ2260" s="747" t="str">
        <f t="shared" si="804"/>
        <v/>
      </c>
      <c r="BK2260" s="498" t="str">
        <f t="shared" si="798"/>
        <v/>
      </c>
      <c r="BL2260" s="498" t="str">
        <f t="shared" si="799"/>
        <v/>
      </c>
    </row>
    <row r="2261" spans="1:64" x14ac:dyDescent="0.25">
      <c r="A2261" s="762">
        <f t="shared" si="800"/>
        <v>2256</v>
      </c>
      <c r="B2261" s="229"/>
      <c r="C2261" s="223"/>
      <c r="D2261" s="224"/>
      <c r="E2261" s="225"/>
      <c r="F2261" s="1036" t="str">
        <f t="shared" si="806"/>
        <v/>
      </c>
      <c r="G2261" s="1037" t="str">
        <f t="shared" si="801"/>
        <v/>
      </c>
      <c r="H2261" s="225"/>
      <c r="I2261" s="1013"/>
      <c r="J2261" s="1013"/>
      <c r="K2261" s="1028"/>
      <c r="L2261" s="1035" t="str">
        <f t="shared" si="805"/>
        <v/>
      </c>
      <c r="S2261" s="498"/>
      <c r="AJ2261" s="498"/>
      <c r="AM2261" s="498">
        <f t="shared" si="786"/>
        <v>0</v>
      </c>
      <c r="AN2261" s="498">
        <f t="shared" si="787"/>
        <v>0</v>
      </c>
      <c r="AO2261" s="498">
        <f t="shared" si="788"/>
        <v>0</v>
      </c>
      <c r="AP2261" s="498">
        <f t="shared" si="807"/>
        <v>0</v>
      </c>
      <c r="AQ2261" s="498">
        <f t="shared" si="802"/>
        <v>0</v>
      </c>
      <c r="AU2261" s="498">
        <f t="shared" si="789"/>
        <v>0</v>
      </c>
      <c r="AV2261" s="498">
        <f t="shared" si="790"/>
        <v>0</v>
      </c>
      <c r="AW2261" s="498">
        <f t="shared" si="791"/>
        <v>0</v>
      </c>
      <c r="AX2261" s="498">
        <f t="shared" si="792"/>
        <v>0</v>
      </c>
      <c r="AY2261" s="498">
        <f t="shared" si="793"/>
        <v>0</v>
      </c>
      <c r="BB2261" s="498" t="str">
        <f t="shared" si="794"/>
        <v/>
      </c>
      <c r="BC2261" s="743" t="str">
        <f t="shared" si="795"/>
        <v/>
      </c>
      <c r="BD2261" s="743" t="str">
        <f t="shared" si="796"/>
        <v/>
      </c>
      <c r="BE2261" s="743" t="str">
        <f>IF(D2261="","",VLOOKUP(D2261,'General Basis'!$J$39:$K$46,2,0))</f>
        <v/>
      </c>
      <c r="BF2261" s="744" t="str">
        <f>IF(D2261="","",VLOOKUP(D2261,'General Basis'!$J$39:$L$46,3,0))</f>
        <v/>
      </c>
      <c r="BG2261" s="744" t="str">
        <f t="shared" si="803"/>
        <v/>
      </c>
      <c r="BH2261" s="744" t="str">
        <f>IF(G2261="","",IF(BF2261="Abu Dhabi",IF(G2261&lt;18,'General Basis'!$C$39,IF(G2261&lt;41,'General Basis'!$C$40,IF(G2261&lt;60,'General Basis'!$C$41,IF(G2261&lt;65,'General Basis'!$C$42,'General Basis'!$C$43)))),IF(G2261&lt;11,'General Basis'!$B$39,IF(G2261&lt;18,'General Basis'!$B$40,IF(G2261&lt;26,'General Basis'!$B$41,IF(G2261&lt;31,'General Basis'!$B$42,IF(G2261&lt;36,'General Basis'!$B$43,IF(G2261&lt;41,'General Basis'!$B$44,IF(G2261&lt;46,'General Basis'!$B$45,IF(G2261&lt;51,'General Basis'!$B$46,IF(G2261&lt;56,'General Basis'!$B$47,IF(G2261&lt;60,'General Basis'!$B$48,IF(G2261&lt;65,'General Basis'!$B$49,'General Basis'!$B$50)))))))))))))</f>
        <v/>
      </c>
      <c r="BI2261" s="744" t="str">
        <f t="shared" si="797"/>
        <v/>
      </c>
      <c r="BJ2261" s="747" t="str">
        <f t="shared" si="804"/>
        <v/>
      </c>
      <c r="BK2261" s="498" t="str">
        <f t="shared" si="798"/>
        <v/>
      </c>
      <c r="BL2261" s="498" t="str">
        <f t="shared" si="799"/>
        <v/>
      </c>
    </row>
    <row r="2262" spans="1:64" x14ac:dyDescent="0.25">
      <c r="A2262" s="762">
        <f t="shared" si="800"/>
        <v>2257</v>
      </c>
      <c r="B2262" s="229"/>
      <c r="C2262" s="223"/>
      <c r="D2262" s="224"/>
      <c r="E2262" s="225"/>
      <c r="F2262" s="1036" t="str">
        <f t="shared" si="806"/>
        <v/>
      </c>
      <c r="G2262" s="1037" t="str">
        <f t="shared" si="801"/>
        <v/>
      </c>
      <c r="H2262" s="225"/>
      <c r="I2262" s="1013"/>
      <c r="J2262" s="1013"/>
      <c r="K2262" s="1028"/>
      <c r="L2262" s="1035" t="str">
        <f t="shared" si="805"/>
        <v/>
      </c>
      <c r="S2262" s="498"/>
      <c r="AJ2262" s="498"/>
      <c r="AM2262" s="498">
        <f t="shared" si="786"/>
        <v>0</v>
      </c>
      <c r="AN2262" s="498">
        <f t="shared" si="787"/>
        <v>0</v>
      </c>
      <c r="AO2262" s="498">
        <f t="shared" si="788"/>
        <v>0</v>
      </c>
      <c r="AP2262" s="498">
        <f t="shared" si="807"/>
        <v>0</v>
      </c>
      <c r="AQ2262" s="498">
        <f t="shared" si="802"/>
        <v>0</v>
      </c>
      <c r="AU2262" s="498">
        <f t="shared" si="789"/>
        <v>0</v>
      </c>
      <c r="AV2262" s="498">
        <f t="shared" si="790"/>
        <v>0</v>
      </c>
      <c r="AW2262" s="498">
        <f t="shared" si="791"/>
        <v>0</v>
      </c>
      <c r="AX2262" s="498">
        <f t="shared" si="792"/>
        <v>0</v>
      </c>
      <c r="AY2262" s="498">
        <f t="shared" si="793"/>
        <v>0</v>
      </c>
      <c r="BB2262" s="498" t="str">
        <f t="shared" si="794"/>
        <v/>
      </c>
      <c r="BC2262" s="743" t="str">
        <f t="shared" si="795"/>
        <v/>
      </c>
      <c r="BD2262" s="743" t="str">
        <f t="shared" si="796"/>
        <v/>
      </c>
      <c r="BE2262" s="743" t="str">
        <f>IF(D2262="","",VLOOKUP(D2262,'General Basis'!$J$39:$K$46,2,0))</f>
        <v/>
      </c>
      <c r="BF2262" s="744" t="str">
        <f>IF(D2262="","",VLOOKUP(D2262,'General Basis'!$J$39:$L$46,3,0))</f>
        <v/>
      </c>
      <c r="BG2262" s="744" t="str">
        <f t="shared" si="803"/>
        <v/>
      </c>
      <c r="BH2262" s="744" t="str">
        <f>IF(G2262="","",IF(BF2262="Abu Dhabi",IF(G2262&lt;18,'General Basis'!$C$39,IF(G2262&lt;41,'General Basis'!$C$40,IF(G2262&lt;60,'General Basis'!$C$41,IF(G2262&lt;65,'General Basis'!$C$42,'General Basis'!$C$43)))),IF(G2262&lt;11,'General Basis'!$B$39,IF(G2262&lt;18,'General Basis'!$B$40,IF(G2262&lt;26,'General Basis'!$B$41,IF(G2262&lt;31,'General Basis'!$B$42,IF(G2262&lt;36,'General Basis'!$B$43,IF(G2262&lt;41,'General Basis'!$B$44,IF(G2262&lt;46,'General Basis'!$B$45,IF(G2262&lt;51,'General Basis'!$B$46,IF(G2262&lt;56,'General Basis'!$B$47,IF(G2262&lt;60,'General Basis'!$B$48,IF(G2262&lt;65,'General Basis'!$B$49,'General Basis'!$B$50)))))))))))))</f>
        <v/>
      </c>
      <c r="BI2262" s="744" t="str">
        <f t="shared" si="797"/>
        <v/>
      </c>
      <c r="BJ2262" s="747" t="str">
        <f t="shared" si="804"/>
        <v/>
      </c>
      <c r="BK2262" s="498" t="str">
        <f t="shared" si="798"/>
        <v/>
      </c>
      <c r="BL2262" s="498" t="str">
        <f t="shared" si="799"/>
        <v/>
      </c>
    </row>
    <row r="2263" spans="1:64" x14ac:dyDescent="0.25">
      <c r="A2263" s="762">
        <f t="shared" si="800"/>
        <v>2258</v>
      </c>
      <c r="B2263" s="229"/>
      <c r="C2263" s="223"/>
      <c r="D2263" s="224"/>
      <c r="E2263" s="225"/>
      <c r="F2263" s="1036" t="str">
        <f t="shared" si="806"/>
        <v/>
      </c>
      <c r="G2263" s="1037" t="str">
        <f t="shared" si="801"/>
        <v/>
      </c>
      <c r="H2263" s="225"/>
      <c r="I2263" s="1013"/>
      <c r="J2263" s="1013"/>
      <c r="K2263" s="1028"/>
      <c r="L2263" s="1035" t="str">
        <f t="shared" si="805"/>
        <v/>
      </c>
      <c r="S2263" s="498"/>
      <c r="AJ2263" s="498"/>
      <c r="AM2263" s="498">
        <f t="shared" si="786"/>
        <v>0</v>
      </c>
      <c r="AN2263" s="498">
        <f t="shared" si="787"/>
        <v>0</v>
      </c>
      <c r="AO2263" s="498">
        <f t="shared" si="788"/>
        <v>0</v>
      </c>
      <c r="AP2263" s="498">
        <f t="shared" si="807"/>
        <v>0</v>
      </c>
      <c r="AQ2263" s="498">
        <f t="shared" si="802"/>
        <v>0</v>
      </c>
      <c r="AU2263" s="498">
        <f t="shared" si="789"/>
        <v>0</v>
      </c>
      <c r="AV2263" s="498">
        <f t="shared" si="790"/>
        <v>0</v>
      </c>
      <c r="AW2263" s="498">
        <f t="shared" si="791"/>
        <v>0</v>
      </c>
      <c r="AX2263" s="498">
        <f t="shared" si="792"/>
        <v>0</v>
      </c>
      <c r="AY2263" s="498">
        <f t="shared" si="793"/>
        <v>0</v>
      </c>
      <c r="BB2263" s="498" t="str">
        <f t="shared" si="794"/>
        <v/>
      </c>
      <c r="BC2263" s="743" t="str">
        <f t="shared" si="795"/>
        <v/>
      </c>
      <c r="BD2263" s="743" t="str">
        <f t="shared" si="796"/>
        <v/>
      </c>
      <c r="BE2263" s="743" t="str">
        <f>IF(D2263="","",VLOOKUP(D2263,'General Basis'!$J$39:$K$46,2,0))</f>
        <v/>
      </c>
      <c r="BF2263" s="744" t="str">
        <f>IF(D2263="","",VLOOKUP(D2263,'General Basis'!$J$39:$L$46,3,0))</f>
        <v/>
      </c>
      <c r="BG2263" s="744" t="str">
        <f t="shared" si="803"/>
        <v/>
      </c>
      <c r="BH2263" s="744" t="str">
        <f>IF(G2263="","",IF(BF2263="Abu Dhabi",IF(G2263&lt;18,'General Basis'!$C$39,IF(G2263&lt;41,'General Basis'!$C$40,IF(G2263&lt;60,'General Basis'!$C$41,IF(G2263&lt;65,'General Basis'!$C$42,'General Basis'!$C$43)))),IF(G2263&lt;11,'General Basis'!$B$39,IF(G2263&lt;18,'General Basis'!$B$40,IF(G2263&lt;26,'General Basis'!$B$41,IF(G2263&lt;31,'General Basis'!$B$42,IF(G2263&lt;36,'General Basis'!$B$43,IF(G2263&lt;41,'General Basis'!$B$44,IF(G2263&lt;46,'General Basis'!$B$45,IF(G2263&lt;51,'General Basis'!$B$46,IF(G2263&lt;56,'General Basis'!$B$47,IF(G2263&lt;60,'General Basis'!$B$48,IF(G2263&lt;65,'General Basis'!$B$49,'General Basis'!$B$50)))))))))))))</f>
        <v/>
      </c>
      <c r="BI2263" s="744" t="str">
        <f t="shared" si="797"/>
        <v/>
      </c>
      <c r="BJ2263" s="747" t="str">
        <f t="shared" si="804"/>
        <v/>
      </c>
      <c r="BK2263" s="498" t="str">
        <f t="shared" si="798"/>
        <v/>
      </c>
      <c r="BL2263" s="498" t="str">
        <f t="shared" si="799"/>
        <v/>
      </c>
    </row>
    <row r="2264" spans="1:64" x14ac:dyDescent="0.25">
      <c r="A2264" s="762">
        <f t="shared" si="800"/>
        <v>2259</v>
      </c>
      <c r="B2264" s="229"/>
      <c r="C2264" s="223"/>
      <c r="D2264" s="224"/>
      <c r="E2264" s="225"/>
      <c r="F2264" s="1036" t="str">
        <f t="shared" si="806"/>
        <v/>
      </c>
      <c r="G2264" s="1037" t="str">
        <f t="shared" si="801"/>
        <v/>
      </c>
      <c r="H2264" s="225"/>
      <c r="I2264" s="1013"/>
      <c r="J2264" s="1013"/>
      <c r="K2264" s="1028"/>
      <c r="L2264" s="1035" t="str">
        <f t="shared" si="805"/>
        <v/>
      </c>
      <c r="S2264" s="498"/>
      <c r="AJ2264" s="498"/>
      <c r="AM2264" s="498">
        <f t="shared" si="786"/>
        <v>0</v>
      </c>
      <c r="AN2264" s="498">
        <f t="shared" si="787"/>
        <v>0</v>
      </c>
      <c r="AO2264" s="498">
        <f t="shared" si="788"/>
        <v>0</v>
      </c>
      <c r="AP2264" s="498">
        <f t="shared" si="807"/>
        <v>0</v>
      </c>
      <c r="AQ2264" s="498">
        <f t="shared" si="802"/>
        <v>0</v>
      </c>
      <c r="AU2264" s="498">
        <f t="shared" si="789"/>
        <v>0</v>
      </c>
      <c r="AV2264" s="498">
        <f t="shared" si="790"/>
        <v>0</v>
      </c>
      <c r="AW2264" s="498">
        <f t="shared" si="791"/>
        <v>0</v>
      </c>
      <c r="AX2264" s="498">
        <f t="shared" si="792"/>
        <v>0</v>
      </c>
      <c r="AY2264" s="498">
        <f t="shared" si="793"/>
        <v>0</v>
      </c>
      <c r="BB2264" s="498" t="str">
        <f t="shared" si="794"/>
        <v/>
      </c>
      <c r="BC2264" s="743" t="str">
        <f t="shared" si="795"/>
        <v/>
      </c>
      <c r="BD2264" s="743" t="str">
        <f t="shared" si="796"/>
        <v/>
      </c>
      <c r="BE2264" s="743" t="str">
        <f>IF(D2264="","",VLOOKUP(D2264,'General Basis'!$J$39:$K$46,2,0))</f>
        <v/>
      </c>
      <c r="BF2264" s="744" t="str">
        <f>IF(D2264="","",VLOOKUP(D2264,'General Basis'!$J$39:$L$46,3,0))</f>
        <v/>
      </c>
      <c r="BG2264" s="744" t="str">
        <f t="shared" si="803"/>
        <v/>
      </c>
      <c r="BH2264" s="744" t="str">
        <f>IF(G2264="","",IF(BF2264="Abu Dhabi",IF(G2264&lt;18,'General Basis'!$C$39,IF(G2264&lt;41,'General Basis'!$C$40,IF(G2264&lt;60,'General Basis'!$C$41,IF(G2264&lt;65,'General Basis'!$C$42,'General Basis'!$C$43)))),IF(G2264&lt;11,'General Basis'!$B$39,IF(G2264&lt;18,'General Basis'!$B$40,IF(G2264&lt;26,'General Basis'!$B$41,IF(G2264&lt;31,'General Basis'!$B$42,IF(G2264&lt;36,'General Basis'!$B$43,IF(G2264&lt;41,'General Basis'!$B$44,IF(G2264&lt;46,'General Basis'!$B$45,IF(G2264&lt;51,'General Basis'!$B$46,IF(G2264&lt;56,'General Basis'!$B$47,IF(G2264&lt;60,'General Basis'!$B$48,IF(G2264&lt;65,'General Basis'!$B$49,'General Basis'!$B$50)))))))))))))</f>
        <v/>
      </c>
      <c r="BI2264" s="744" t="str">
        <f t="shared" si="797"/>
        <v/>
      </c>
      <c r="BJ2264" s="747" t="str">
        <f t="shared" si="804"/>
        <v/>
      </c>
      <c r="BK2264" s="498" t="str">
        <f t="shared" si="798"/>
        <v/>
      </c>
      <c r="BL2264" s="498" t="str">
        <f t="shared" si="799"/>
        <v/>
      </c>
    </row>
    <row r="2265" spans="1:64" x14ac:dyDescent="0.25">
      <c r="A2265" s="762">
        <f t="shared" si="800"/>
        <v>2260</v>
      </c>
      <c r="B2265" s="229"/>
      <c r="C2265" s="223"/>
      <c r="D2265" s="224"/>
      <c r="E2265" s="225"/>
      <c r="F2265" s="1036" t="str">
        <f t="shared" si="806"/>
        <v/>
      </c>
      <c r="G2265" s="1037" t="str">
        <f t="shared" si="801"/>
        <v/>
      </c>
      <c r="H2265" s="225"/>
      <c r="I2265" s="1013"/>
      <c r="J2265" s="1013"/>
      <c r="K2265" s="1028"/>
      <c r="L2265" s="1035" t="str">
        <f t="shared" si="805"/>
        <v/>
      </c>
      <c r="S2265" s="498"/>
      <c r="AJ2265" s="498"/>
      <c r="AM2265" s="498">
        <f t="shared" si="786"/>
        <v>0</v>
      </c>
      <c r="AN2265" s="498">
        <f t="shared" si="787"/>
        <v>0</v>
      </c>
      <c r="AO2265" s="498">
        <f t="shared" si="788"/>
        <v>0</v>
      </c>
      <c r="AP2265" s="498">
        <f t="shared" si="807"/>
        <v>0</v>
      </c>
      <c r="AQ2265" s="498">
        <f t="shared" si="802"/>
        <v>0</v>
      </c>
      <c r="AU2265" s="498">
        <f t="shared" si="789"/>
        <v>0</v>
      </c>
      <c r="AV2265" s="498">
        <f t="shared" si="790"/>
        <v>0</v>
      </c>
      <c r="AW2265" s="498">
        <f t="shared" si="791"/>
        <v>0</v>
      </c>
      <c r="AX2265" s="498">
        <f t="shared" si="792"/>
        <v>0</v>
      </c>
      <c r="AY2265" s="498">
        <f t="shared" si="793"/>
        <v>0</v>
      </c>
      <c r="BB2265" s="498" t="str">
        <f t="shared" si="794"/>
        <v/>
      </c>
      <c r="BC2265" s="743" t="str">
        <f t="shared" si="795"/>
        <v/>
      </c>
      <c r="BD2265" s="743" t="str">
        <f t="shared" si="796"/>
        <v/>
      </c>
      <c r="BE2265" s="743" t="str">
        <f>IF(D2265="","",VLOOKUP(D2265,'General Basis'!$J$39:$K$46,2,0))</f>
        <v/>
      </c>
      <c r="BF2265" s="744" t="str">
        <f>IF(D2265="","",VLOOKUP(D2265,'General Basis'!$J$39:$L$46,3,0))</f>
        <v/>
      </c>
      <c r="BG2265" s="744" t="str">
        <f t="shared" si="803"/>
        <v/>
      </c>
      <c r="BH2265" s="744" t="str">
        <f>IF(G2265="","",IF(BF2265="Abu Dhabi",IF(G2265&lt;18,'General Basis'!$C$39,IF(G2265&lt;41,'General Basis'!$C$40,IF(G2265&lt;60,'General Basis'!$C$41,IF(G2265&lt;65,'General Basis'!$C$42,'General Basis'!$C$43)))),IF(G2265&lt;11,'General Basis'!$B$39,IF(G2265&lt;18,'General Basis'!$B$40,IF(G2265&lt;26,'General Basis'!$B$41,IF(G2265&lt;31,'General Basis'!$B$42,IF(G2265&lt;36,'General Basis'!$B$43,IF(G2265&lt;41,'General Basis'!$B$44,IF(G2265&lt;46,'General Basis'!$B$45,IF(G2265&lt;51,'General Basis'!$B$46,IF(G2265&lt;56,'General Basis'!$B$47,IF(G2265&lt;60,'General Basis'!$B$48,IF(G2265&lt;65,'General Basis'!$B$49,'General Basis'!$B$50)))))))))))))</f>
        <v/>
      </c>
      <c r="BI2265" s="744" t="str">
        <f t="shared" si="797"/>
        <v/>
      </c>
      <c r="BJ2265" s="747" t="str">
        <f t="shared" si="804"/>
        <v/>
      </c>
      <c r="BK2265" s="498" t="str">
        <f t="shared" si="798"/>
        <v/>
      </c>
      <c r="BL2265" s="498" t="str">
        <f t="shared" si="799"/>
        <v/>
      </c>
    </row>
    <row r="2266" spans="1:64" x14ac:dyDescent="0.25">
      <c r="A2266" s="762">
        <f t="shared" si="800"/>
        <v>2261</v>
      </c>
      <c r="B2266" s="229"/>
      <c r="C2266" s="223"/>
      <c r="D2266" s="224"/>
      <c r="E2266" s="225"/>
      <c r="F2266" s="1036" t="str">
        <f t="shared" si="806"/>
        <v/>
      </c>
      <c r="G2266" s="1037" t="str">
        <f t="shared" si="801"/>
        <v/>
      </c>
      <c r="H2266" s="225"/>
      <c r="I2266" s="1013"/>
      <c r="J2266" s="1013"/>
      <c r="K2266" s="1028"/>
      <c r="L2266" s="1035" t="str">
        <f t="shared" si="805"/>
        <v/>
      </c>
      <c r="S2266" s="498"/>
      <c r="AJ2266" s="498"/>
      <c r="AM2266" s="498">
        <f t="shared" si="786"/>
        <v>0</v>
      </c>
      <c r="AN2266" s="498">
        <f t="shared" si="787"/>
        <v>0</v>
      </c>
      <c r="AO2266" s="498">
        <f t="shared" si="788"/>
        <v>0</v>
      </c>
      <c r="AP2266" s="498">
        <f t="shared" si="807"/>
        <v>0</v>
      </c>
      <c r="AQ2266" s="498">
        <f t="shared" si="802"/>
        <v>0</v>
      </c>
      <c r="AU2266" s="498">
        <f t="shared" si="789"/>
        <v>0</v>
      </c>
      <c r="AV2266" s="498">
        <f t="shared" si="790"/>
        <v>0</v>
      </c>
      <c r="AW2266" s="498">
        <f t="shared" si="791"/>
        <v>0</v>
      </c>
      <c r="AX2266" s="498">
        <f t="shared" si="792"/>
        <v>0</v>
      </c>
      <c r="AY2266" s="498">
        <f t="shared" si="793"/>
        <v>0</v>
      </c>
      <c r="BB2266" s="498" t="str">
        <f t="shared" si="794"/>
        <v/>
      </c>
      <c r="BC2266" s="743" t="str">
        <f t="shared" si="795"/>
        <v/>
      </c>
      <c r="BD2266" s="743" t="str">
        <f t="shared" si="796"/>
        <v/>
      </c>
      <c r="BE2266" s="743" t="str">
        <f>IF(D2266="","",VLOOKUP(D2266,'General Basis'!$J$39:$K$46,2,0))</f>
        <v/>
      </c>
      <c r="BF2266" s="744" t="str">
        <f>IF(D2266="","",VLOOKUP(D2266,'General Basis'!$J$39:$L$46,3,0))</f>
        <v/>
      </c>
      <c r="BG2266" s="744" t="str">
        <f t="shared" si="803"/>
        <v/>
      </c>
      <c r="BH2266" s="744" t="str">
        <f>IF(G2266="","",IF(BF2266="Abu Dhabi",IF(G2266&lt;18,'General Basis'!$C$39,IF(G2266&lt;41,'General Basis'!$C$40,IF(G2266&lt;60,'General Basis'!$C$41,IF(G2266&lt;65,'General Basis'!$C$42,'General Basis'!$C$43)))),IF(G2266&lt;11,'General Basis'!$B$39,IF(G2266&lt;18,'General Basis'!$B$40,IF(G2266&lt;26,'General Basis'!$B$41,IF(G2266&lt;31,'General Basis'!$B$42,IF(G2266&lt;36,'General Basis'!$B$43,IF(G2266&lt;41,'General Basis'!$B$44,IF(G2266&lt;46,'General Basis'!$B$45,IF(G2266&lt;51,'General Basis'!$B$46,IF(G2266&lt;56,'General Basis'!$B$47,IF(G2266&lt;60,'General Basis'!$B$48,IF(G2266&lt;65,'General Basis'!$B$49,'General Basis'!$B$50)))))))))))))</f>
        <v/>
      </c>
      <c r="BI2266" s="744" t="str">
        <f t="shared" si="797"/>
        <v/>
      </c>
      <c r="BJ2266" s="747" t="str">
        <f t="shared" si="804"/>
        <v/>
      </c>
      <c r="BK2266" s="498" t="str">
        <f t="shared" si="798"/>
        <v/>
      </c>
      <c r="BL2266" s="498" t="str">
        <f t="shared" si="799"/>
        <v/>
      </c>
    </row>
    <row r="2267" spans="1:64" x14ac:dyDescent="0.25">
      <c r="A2267" s="762">
        <f t="shared" si="800"/>
        <v>2262</v>
      </c>
      <c r="B2267" s="229"/>
      <c r="C2267" s="223"/>
      <c r="D2267" s="224"/>
      <c r="E2267" s="225"/>
      <c r="F2267" s="1036" t="str">
        <f t="shared" si="806"/>
        <v/>
      </c>
      <c r="G2267" s="1037" t="str">
        <f t="shared" si="801"/>
        <v/>
      </c>
      <c r="H2267" s="225"/>
      <c r="I2267" s="1013"/>
      <c r="J2267" s="1013"/>
      <c r="K2267" s="1028"/>
      <c r="L2267" s="1035" t="str">
        <f t="shared" si="805"/>
        <v/>
      </c>
      <c r="S2267" s="498"/>
      <c r="AJ2267" s="498"/>
      <c r="AM2267" s="498">
        <f t="shared" si="786"/>
        <v>0</v>
      </c>
      <c r="AN2267" s="498">
        <f t="shared" si="787"/>
        <v>0</v>
      </c>
      <c r="AO2267" s="498">
        <f t="shared" si="788"/>
        <v>0</v>
      </c>
      <c r="AP2267" s="498">
        <f t="shared" si="807"/>
        <v>0</v>
      </c>
      <c r="AQ2267" s="498">
        <f t="shared" si="802"/>
        <v>0</v>
      </c>
      <c r="AU2267" s="498">
        <f t="shared" si="789"/>
        <v>0</v>
      </c>
      <c r="AV2267" s="498">
        <f t="shared" si="790"/>
        <v>0</v>
      </c>
      <c r="AW2267" s="498">
        <f t="shared" si="791"/>
        <v>0</v>
      </c>
      <c r="AX2267" s="498">
        <f t="shared" si="792"/>
        <v>0</v>
      </c>
      <c r="AY2267" s="498">
        <f t="shared" si="793"/>
        <v>0</v>
      </c>
      <c r="BB2267" s="498" t="str">
        <f t="shared" si="794"/>
        <v/>
      </c>
      <c r="BC2267" s="743" t="str">
        <f t="shared" si="795"/>
        <v/>
      </c>
      <c r="BD2267" s="743" t="str">
        <f t="shared" si="796"/>
        <v/>
      </c>
      <c r="BE2267" s="743" t="str">
        <f>IF(D2267="","",VLOOKUP(D2267,'General Basis'!$J$39:$K$46,2,0))</f>
        <v/>
      </c>
      <c r="BF2267" s="744" t="str">
        <f>IF(D2267="","",VLOOKUP(D2267,'General Basis'!$J$39:$L$46,3,0))</f>
        <v/>
      </c>
      <c r="BG2267" s="744" t="str">
        <f t="shared" si="803"/>
        <v/>
      </c>
      <c r="BH2267" s="744" t="str">
        <f>IF(G2267="","",IF(BF2267="Abu Dhabi",IF(G2267&lt;18,'General Basis'!$C$39,IF(G2267&lt;41,'General Basis'!$C$40,IF(G2267&lt;60,'General Basis'!$C$41,IF(G2267&lt;65,'General Basis'!$C$42,'General Basis'!$C$43)))),IF(G2267&lt;11,'General Basis'!$B$39,IF(G2267&lt;18,'General Basis'!$B$40,IF(G2267&lt;26,'General Basis'!$B$41,IF(G2267&lt;31,'General Basis'!$B$42,IF(G2267&lt;36,'General Basis'!$B$43,IF(G2267&lt;41,'General Basis'!$B$44,IF(G2267&lt;46,'General Basis'!$B$45,IF(G2267&lt;51,'General Basis'!$B$46,IF(G2267&lt;56,'General Basis'!$B$47,IF(G2267&lt;60,'General Basis'!$B$48,IF(G2267&lt;65,'General Basis'!$B$49,'General Basis'!$B$50)))))))))))))</f>
        <v/>
      </c>
      <c r="BI2267" s="744" t="str">
        <f t="shared" si="797"/>
        <v/>
      </c>
      <c r="BJ2267" s="747" t="str">
        <f t="shared" si="804"/>
        <v/>
      </c>
      <c r="BK2267" s="498" t="str">
        <f t="shared" si="798"/>
        <v/>
      </c>
      <c r="BL2267" s="498" t="str">
        <f t="shared" si="799"/>
        <v/>
      </c>
    </row>
    <row r="2268" spans="1:64" x14ac:dyDescent="0.25">
      <c r="A2268" s="762">
        <f t="shared" si="800"/>
        <v>2263</v>
      </c>
      <c r="B2268" s="229"/>
      <c r="C2268" s="223"/>
      <c r="D2268" s="224"/>
      <c r="E2268" s="225"/>
      <c r="F2268" s="1036" t="str">
        <f t="shared" si="806"/>
        <v/>
      </c>
      <c r="G2268" s="1037" t="str">
        <f t="shared" si="801"/>
        <v/>
      </c>
      <c r="H2268" s="225"/>
      <c r="I2268" s="1013"/>
      <c r="J2268" s="1013"/>
      <c r="K2268" s="1028"/>
      <c r="L2268" s="1035" t="str">
        <f t="shared" si="805"/>
        <v/>
      </c>
      <c r="S2268" s="498"/>
      <c r="AJ2268" s="498"/>
      <c r="AM2268" s="498">
        <f t="shared" si="786"/>
        <v>0</v>
      </c>
      <c r="AN2268" s="498">
        <f t="shared" si="787"/>
        <v>0</v>
      </c>
      <c r="AO2268" s="498">
        <f t="shared" si="788"/>
        <v>0</v>
      </c>
      <c r="AP2268" s="498">
        <f t="shared" si="807"/>
        <v>0</v>
      </c>
      <c r="AQ2268" s="498">
        <f t="shared" si="802"/>
        <v>0</v>
      </c>
      <c r="AU2268" s="498">
        <f t="shared" si="789"/>
        <v>0</v>
      </c>
      <c r="AV2268" s="498">
        <f t="shared" si="790"/>
        <v>0</v>
      </c>
      <c r="AW2268" s="498">
        <f t="shared" si="791"/>
        <v>0</v>
      </c>
      <c r="AX2268" s="498">
        <f t="shared" si="792"/>
        <v>0</v>
      </c>
      <c r="AY2268" s="498">
        <f t="shared" si="793"/>
        <v>0</v>
      </c>
      <c r="BB2268" s="498" t="str">
        <f t="shared" si="794"/>
        <v/>
      </c>
      <c r="BC2268" s="743" t="str">
        <f t="shared" si="795"/>
        <v/>
      </c>
      <c r="BD2268" s="743" t="str">
        <f t="shared" si="796"/>
        <v/>
      </c>
      <c r="BE2268" s="743" t="str">
        <f>IF(D2268="","",VLOOKUP(D2268,'General Basis'!$J$39:$K$46,2,0))</f>
        <v/>
      </c>
      <c r="BF2268" s="744" t="str">
        <f>IF(D2268="","",VLOOKUP(D2268,'General Basis'!$J$39:$L$46,3,0))</f>
        <v/>
      </c>
      <c r="BG2268" s="744" t="str">
        <f t="shared" si="803"/>
        <v/>
      </c>
      <c r="BH2268" s="744" t="str">
        <f>IF(G2268="","",IF(BF2268="Abu Dhabi",IF(G2268&lt;18,'General Basis'!$C$39,IF(G2268&lt;41,'General Basis'!$C$40,IF(G2268&lt;60,'General Basis'!$C$41,IF(G2268&lt;65,'General Basis'!$C$42,'General Basis'!$C$43)))),IF(G2268&lt;11,'General Basis'!$B$39,IF(G2268&lt;18,'General Basis'!$B$40,IF(G2268&lt;26,'General Basis'!$B$41,IF(G2268&lt;31,'General Basis'!$B$42,IF(G2268&lt;36,'General Basis'!$B$43,IF(G2268&lt;41,'General Basis'!$B$44,IF(G2268&lt;46,'General Basis'!$B$45,IF(G2268&lt;51,'General Basis'!$B$46,IF(G2268&lt;56,'General Basis'!$B$47,IF(G2268&lt;60,'General Basis'!$B$48,IF(G2268&lt;65,'General Basis'!$B$49,'General Basis'!$B$50)))))))))))))</f>
        <v/>
      </c>
      <c r="BI2268" s="744" t="str">
        <f t="shared" si="797"/>
        <v/>
      </c>
      <c r="BJ2268" s="747" t="str">
        <f t="shared" si="804"/>
        <v/>
      </c>
      <c r="BK2268" s="498" t="str">
        <f t="shared" si="798"/>
        <v/>
      </c>
      <c r="BL2268" s="498" t="str">
        <f t="shared" si="799"/>
        <v/>
      </c>
    </row>
    <row r="2269" spans="1:64" x14ac:dyDescent="0.25">
      <c r="A2269" s="762">
        <f t="shared" si="800"/>
        <v>2264</v>
      </c>
      <c r="B2269" s="229"/>
      <c r="C2269" s="223"/>
      <c r="D2269" s="224"/>
      <c r="E2269" s="225"/>
      <c r="F2269" s="1036" t="str">
        <f t="shared" si="806"/>
        <v/>
      </c>
      <c r="G2269" s="1037" t="str">
        <f t="shared" si="801"/>
        <v/>
      </c>
      <c r="H2269" s="225"/>
      <c r="I2269" s="1013"/>
      <c r="J2269" s="1013"/>
      <c r="K2269" s="1028"/>
      <c r="L2269" s="1035" t="str">
        <f t="shared" si="805"/>
        <v/>
      </c>
      <c r="S2269" s="498"/>
      <c r="AJ2269" s="498"/>
      <c r="AM2269" s="498">
        <f t="shared" si="786"/>
        <v>0</v>
      </c>
      <c r="AN2269" s="498">
        <f t="shared" si="787"/>
        <v>0</v>
      </c>
      <c r="AO2269" s="498">
        <f t="shared" si="788"/>
        <v>0</v>
      </c>
      <c r="AP2269" s="498">
        <f t="shared" si="807"/>
        <v>0</v>
      </c>
      <c r="AQ2269" s="498">
        <f t="shared" si="802"/>
        <v>0</v>
      </c>
      <c r="AU2269" s="498">
        <f t="shared" si="789"/>
        <v>0</v>
      </c>
      <c r="AV2269" s="498">
        <f t="shared" si="790"/>
        <v>0</v>
      </c>
      <c r="AW2269" s="498">
        <f t="shared" si="791"/>
        <v>0</v>
      </c>
      <c r="AX2269" s="498">
        <f t="shared" si="792"/>
        <v>0</v>
      </c>
      <c r="AY2269" s="498">
        <f t="shared" si="793"/>
        <v>0</v>
      </c>
      <c r="BB2269" s="498" t="str">
        <f t="shared" si="794"/>
        <v/>
      </c>
      <c r="BC2269" s="743" t="str">
        <f t="shared" si="795"/>
        <v/>
      </c>
      <c r="BD2269" s="743" t="str">
        <f t="shared" si="796"/>
        <v/>
      </c>
      <c r="BE2269" s="743" t="str">
        <f>IF(D2269="","",VLOOKUP(D2269,'General Basis'!$J$39:$K$46,2,0))</f>
        <v/>
      </c>
      <c r="BF2269" s="744" t="str">
        <f>IF(D2269="","",VLOOKUP(D2269,'General Basis'!$J$39:$L$46,3,0))</f>
        <v/>
      </c>
      <c r="BG2269" s="744" t="str">
        <f t="shared" si="803"/>
        <v/>
      </c>
      <c r="BH2269" s="744" t="str">
        <f>IF(G2269="","",IF(BF2269="Abu Dhabi",IF(G2269&lt;18,'General Basis'!$C$39,IF(G2269&lt;41,'General Basis'!$C$40,IF(G2269&lt;60,'General Basis'!$C$41,IF(G2269&lt;65,'General Basis'!$C$42,'General Basis'!$C$43)))),IF(G2269&lt;11,'General Basis'!$B$39,IF(G2269&lt;18,'General Basis'!$B$40,IF(G2269&lt;26,'General Basis'!$B$41,IF(G2269&lt;31,'General Basis'!$B$42,IF(G2269&lt;36,'General Basis'!$B$43,IF(G2269&lt;41,'General Basis'!$B$44,IF(G2269&lt;46,'General Basis'!$B$45,IF(G2269&lt;51,'General Basis'!$B$46,IF(G2269&lt;56,'General Basis'!$B$47,IF(G2269&lt;60,'General Basis'!$B$48,IF(G2269&lt;65,'General Basis'!$B$49,'General Basis'!$B$50)))))))))))))</f>
        <v/>
      </c>
      <c r="BI2269" s="744" t="str">
        <f t="shared" si="797"/>
        <v/>
      </c>
      <c r="BJ2269" s="747" t="str">
        <f t="shared" si="804"/>
        <v/>
      </c>
      <c r="BK2269" s="498" t="str">
        <f t="shared" si="798"/>
        <v/>
      </c>
      <c r="BL2269" s="498" t="str">
        <f t="shared" si="799"/>
        <v/>
      </c>
    </row>
    <row r="2270" spans="1:64" x14ac:dyDescent="0.25">
      <c r="A2270" s="762">
        <f t="shared" si="800"/>
        <v>2265</v>
      </c>
      <c r="B2270" s="229"/>
      <c r="C2270" s="223"/>
      <c r="D2270" s="224"/>
      <c r="E2270" s="225"/>
      <c r="F2270" s="1036" t="str">
        <f t="shared" si="806"/>
        <v/>
      </c>
      <c r="G2270" s="1037" t="str">
        <f t="shared" si="801"/>
        <v/>
      </c>
      <c r="H2270" s="225"/>
      <c r="I2270" s="1013"/>
      <c r="J2270" s="1013"/>
      <c r="K2270" s="1028"/>
      <c r="L2270" s="1035" t="str">
        <f t="shared" si="805"/>
        <v/>
      </c>
      <c r="S2270" s="498"/>
      <c r="AJ2270" s="498"/>
      <c r="AM2270" s="498">
        <f t="shared" si="786"/>
        <v>0</v>
      </c>
      <c r="AN2270" s="498">
        <f t="shared" si="787"/>
        <v>0</v>
      </c>
      <c r="AO2270" s="498">
        <f t="shared" si="788"/>
        <v>0</v>
      </c>
      <c r="AP2270" s="498">
        <f t="shared" si="807"/>
        <v>0</v>
      </c>
      <c r="AQ2270" s="498">
        <f t="shared" si="802"/>
        <v>0</v>
      </c>
      <c r="AU2270" s="498">
        <f t="shared" si="789"/>
        <v>0</v>
      </c>
      <c r="AV2270" s="498">
        <f t="shared" si="790"/>
        <v>0</v>
      </c>
      <c r="AW2270" s="498">
        <f t="shared" si="791"/>
        <v>0</v>
      </c>
      <c r="AX2270" s="498">
        <f t="shared" si="792"/>
        <v>0</v>
      </c>
      <c r="AY2270" s="498">
        <f t="shared" si="793"/>
        <v>0</v>
      </c>
      <c r="BB2270" s="498" t="str">
        <f t="shared" si="794"/>
        <v/>
      </c>
      <c r="BC2270" s="743" t="str">
        <f t="shared" si="795"/>
        <v/>
      </c>
      <c r="BD2270" s="743" t="str">
        <f t="shared" si="796"/>
        <v/>
      </c>
      <c r="BE2270" s="743" t="str">
        <f>IF(D2270="","",VLOOKUP(D2270,'General Basis'!$J$39:$K$46,2,0))</f>
        <v/>
      </c>
      <c r="BF2270" s="744" t="str">
        <f>IF(D2270="","",VLOOKUP(D2270,'General Basis'!$J$39:$L$46,3,0))</f>
        <v/>
      </c>
      <c r="BG2270" s="744" t="str">
        <f t="shared" si="803"/>
        <v/>
      </c>
      <c r="BH2270" s="744" t="str">
        <f>IF(G2270="","",IF(BF2270="Abu Dhabi",IF(G2270&lt;18,'General Basis'!$C$39,IF(G2270&lt;41,'General Basis'!$C$40,IF(G2270&lt;60,'General Basis'!$C$41,IF(G2270&lt;65,'General Basis'!$C$42,'General Basis'!$C$43)))),IF(G2270&lt;11,'General Basis'!$B$39,IF(G2270&lt;18,'General Basis'!$B$40,IF(G2270&lt;26,'General Basis'!$B$41,IF(G2270&lt;31,'General Basis'!$B$42,IF(G2270&lt;36,'General Basis'!$B$43,IF(G2270&lt;41,'General Basis'!$B$44,IF(G2270&lt;46,'General Basis'!$B$45,IF(G2270&lt;51,'General Basis'!$B$46,IF(G2270&lt;56,'General Basis'!$B$47,IF(G2270&lt;60,'General Basis'!$B$48,IF(G2270&lt;65,'General Basis'!$B$49,'General Basis'!$B$50)))))))))))))</f>
        <v/>
      </c>
      <c r="BI2270" s="744" t="str">
        <f t="shared" si="797"/>
        <v/>
      </c>
      <c r="BJ2270" s="747" t="str">
        <f t="shared" si="804"/>
        <v/>
      </c>
      <c r="BK2270" s="498" t="str">
        <f t="shared" si="798"/>
        <v/>
      </c>
      <c r="BL2270" s="498" t="str">
        <f t="shared" si="799"/>
        <v/>
      </c>
    </row>
    <row r="2271" spans="1:64" x14ac:dyDescent="0.25">
      <c r="A2271" s="762">
        <f t="shared" si="800"/>
        <v>2266</v>
      </c>
      <c r="B2271" s="229"/>
      <c r="C2271" s="223"/>
      <c r="D2271" s="224"/>
      <c r="E2271" s="225"/>
      <c r="F2271" s="1036" t="str">
        <f t="shared" si="806"/>
        <v/>
      </c>
      <c r="G2271" s="1037" t="str">
        <f t="shared" si="801"/>
        <v/>
      </c>
      <c r="H2271" s="225"/>
      <c r="I2271" s="1013"/>
      <c r="J2271" s="1013"/>
      <c r="K2271" s="1028"/>
      <c r="L2271" s="1035" t="str">
        <f t="shared" si="805"/>
        <v/>
      </c>
      <c r="S2271" s="498"/>
      <c r="AJ2271" s="498"/>
      <c r="AM2271" s="498">
        <f t="shared" si="786"/>
        <v>0</v>
      </c>
      <c r="AN2271" s="498">
        <f t="shared" si="787"/>
        <v>0</v>
      </c>
      <c r="AO2271" s="498">
        <f t="shared" si="788"/>
        <v>0</v>
      </c>
      <c r="AP2271" s="498">
        <f t="shared" si="807"/>
        <v>0</v>
      </c>
      <c r="AQ2271" s="498">
        <f t="shared" si="802"/>
        <v>0</v>
      </c>
      <c r="AU2271" s="498">
        <f t="shared" si="789"/>
        <v>0</v>
      </c>
      <c r="AV2271" s="498">
        <f t="shared" si="790"/>
        <v>0</v>
      </c>
      <c r="AW2271" s="498">
        <f t="shared" si="791"/>
        <v>0</v>
      </c>
      <c r="AX2271" s="498">
        <f t="shared" si="792"/>
        <v>0</v>
      </c>
      <c r="AY2271" s="498">
        <f t="shared" si="793"/>
        <v>0</v>
      </c>
      <c r="BB2271" s="498" t="str">
        <f t="shared" si="794"/>
        <v/>
      </c>
      <c r="BC2271" s="743" t="str">
        <f t="shared" si="795"/>
        <v/>
      </c>
      <c r="BD2271" s="743" t="str">
        <f t="shared" si="796"/>
        <v/>
      </c>
      <c r="BE2271" s="743" t="str">
        <f>IF(D2271="","",VLOOKUP(D2271,'General Basis'!$J$39:$K$46,2,0))</f>
        <v/>
      </c>
      <c r="BF2271" s="744" t="str">
        <f>IF(D2271="","",VLOOKUP(D2271,'General Basis'!$J$39:$L$46,3,0))</f>
        <v/>
      </c>
      <c r="BG2271" s="744" t="str">
        <f t="shared" si="803"/>
        <v/>
      </c>
      <c r="BH2271" s="744" t="str">
        <f>IF(G2271="","",IF(BF2271="Abu Dhabi",IF(G2271&lt;18,'General Basis'!$C$39,IF(G2271&lt;41,'General Basis'!$C$40,IF(G2271&lt;60,'General Basis'!$C$41,IF(G2271&lt;65,'General Basis'!$C$42,'General Basis'!$C$43)))),IF(G2271&lt;11,'General Basis'!$B$39,IF(G2271&lt;18,'General Basis'!$B$40,IF(G2271&lt;26,'General Basis'!$B$41,IF(G2271&lt;31,'General Basis'!$B$42,IF(G2271&lt;36,'General Basis'!$B$43,IF(G2271&lt;41,'General Basis'!$B$44,IF(G2271&lt;46,'General Basis'!$B$45,IF(G2271&lt;51,'General Basis'!$B$46,IF(G2271&lt;56,'General Basis'!$B$47,IF(G2271&lt;60,'General Basis'!$B$48,IF(G2271&lt;65,'General Basis'!$B$49,'General Basis'!$B$50)))))))))))))</f>
        <v/>
      </c>
      <c r="BI2271" s="744" t="str">
        <f t="shared" si="797"/>
        <v/>
      </c>
      <c r="BJ2271" s="747" t="str">
        <f t="shared" si="804"/>
        <v/>
      </c>
      <c r="BK2271" s="498" t="str">
        <f t="shared" si="798"/>
        <v/>
      </c>
      <c r="BL2271" s="498" t="str">
        <f t="shared" si="799"/>
        <v/>
      </c>
    </row>
    <row r="2272" spans="1:64" x14ac:dyDescent="0.25">
      <c r="A2272" s="762">
        <f t="shared" si="800"/>
        <v>2267</v>
      </c>
      <c r="B2272" s="229"/>
      <c r="C2272" s="223"/>
      <c r="D2272" s="224"/>
      <c r="E2272" s="225"/>
      <c r="F2272" s="1036" t="str">
        <f t="shared" si="806"/>
        <v/>
      </c>
      <c r="G2272" s="1037" t="str">
        <f t="shared" si="801"/>
        <v/>
      </c>
      <c r="H2272" s="225"/>
      <c r="I2272" s="1013"/>
      <c r="J2272" s="1013"/>
      <c r="K2272" s="1028"/>
      <c r="L2272" s="1035" t="str">
        <f t="shared" si="805"/>
        <v/>
      </c>
      <c r="S2272" s="498"/>
      <c r="AJ2272" s="498"/>
      <c r="AM2272" s="498">
        <f t="shared" si="786"/>
        <v>0</v>
      </c>
      <c r="AN2272" s="498">
        <f t="shared" si="787"/>
        <v>0</v>
      </c>
      <c r="AO2272" s="498">
        <f t="shared" si="788"/>
        <v>0</v>
      </c>
      <c r="AP2272" s="498">
        <f t="shared" si="807"/>
        <v>0</v>
      </c>
      <c r="AQ2272" s="498">
        <f t="shared" si="802"/>
        <v>0</v>
      </c>
      <c r="AU2272" s="498">
        <f t="shared" si="789"/>
        <v>0</v>
      </c>
      <c r="AV2272" s="498">
        <f t="shared" si="790"/>
        <v>0</v>
      </c>
      <c r="AW2272" s="498">
        <f t="shared" si="791"/>
        <v>0</v>
      </c>
      <c r="AX2272" s="498">
        <f t="shared" si="792"/>
        <v>0</v>
      </c>
      <c r="AY2272" s="498">
        <f t="shared" si="793"/>
        <v>0</v>
      </c>
      <c r="BB2272" s="498" t="str">
        <f t="shared" si="794"/>
        <v/>
      </c>
      <c r="BC2272" s="743" t="str">
        <f t="shared" si="795"/>
        <v/>
      </c>
      <c r="BD2272" s="743" t="str">
        <f t="shared" si="796"/>
        <v/>
      </c>
      <c r="BE2272" s="743" t="str">
        <f>IF(D2272="","",VLOOKUP(D2272,'General Basis'!$J$39:$K$46,2,0))</f>
        <v/>
      </c>
      <c r="BF2272" s="744" t="str">
        <f>IF(D2272="","",VLOOKUP(D2272,'General Basis'!$J$39:$L$46,3,0))</f>
        <v/>
      </c>
      <c r="BG2272" s="744" t="str">
        <f t="shared" si="803"/>
        <v/>
      </c>
      <c r="BH2272" s="744" t="str">
        <f>IF(G2272="","",IF(BF2272="Abu Dhabi",IF(G2272&lt;18,'General Basis'!$C$39,IF(G2272&lt;41,'General Basis'!$C$40,IF(G2272&lt;60,'General Basis'!$C$41,IF(G2272&lt;65,'General Basis'!$C$42,'General Basis'!$C$43)))),IF(G2272&lt;11,'General Basis'!$B$39,IF(G2272&lt;18,'General Basis'!$B$40,IF(G2272&lt;26,'General Basis'!$B$41,IF(G2272&lt;31,'General Basis'!$B$42,IF(G2272&lt;36,'General Basis'!$B$43,IF(G2272&lt;41,'General Basis'!$B$44,IF(G2272&lt;46,'General Basis'!$B$45,IF(G2272&lt;51,'General Basis'!$B$46,IF(G2272&lt;56,'General Basis'!$B$47,IF(G2272&lt;60,'General Basis'!$B$48,IF(G2272&lt;65,'General Basis'!$B$49,'General Basis'!$B$50)))))))))))))</f>
        <v/>
      </c>
      <c r="BI2272" s="744" t="str">
        <f t="shared" si="797"/>
        <v/>
      </c>
      <c r="BJ2272" s="747" t="str">
        <f t="shared" si="804"/>
        <v/>
      </c>
      <c r="BK2272" s="498" t="str">
        <f t="shared" si="798"/>
        <v/>
      </c>
      <c r="BL2272" s="498" t="str">
        <f t="shared" si="799"/>
        <v/>
      </c>
    </row>
    <row r="2273" spans="1:64" x14ac:dyDescent="0.25">
      <c r="A2273" s="762">
        <f t="shared" si="800"/>
        <v>2268</v>
      </c>
      <c r="B2273" s="229"/>
      <c r="C2273" s="223"/>
      <c r="D2273" s="224"/>
      <c r="E2273" s="225"/>
      <c r="F2273" s="1036" t="str">
        <f t="shared" si="806"/>
        <v/>
      </c>
      <c r="G2273" s="1037" t="str">
        <f t="shared" si="801"/>
        <v/>
      </c>
      <c r="H2273" s="225"/>
      <c r="I2273" s="1013"/>
      <c r="J2273" s="1013"/>
      <c r="K2273" s="1028"/>
      <c r="L2273" s="1035" t="str">
        <f t="shared" si="805"/>
        <v/>
      </c>
      <c r="S2273" s="498"/>
      <c r="AJ2273" s="498"/>
      <c r="AM2273" s="498">
        <f t="shared" si="786"/>
        <v>0</v>
      </c>
      <c r="AN2273" s="498">
        <f t="shared" si="787"/>
        <v>0</v>
      </c>
      <c r="AO2273" s="498">
        <f t="shared" si="788"/>
        <v>0</v>
      </c>
      <c r="AP2273" s="498">
        <f t="shared" si="807"/>
        <v>0</v>
      </c>
      <c r="AQ2273" s="498">
        <f t="shared" si="802"/>
        <v>0</v>
      </c>
      <c r="AU2273" s="498">
        <f t="shared" si="789"/>
        <v>0</v>
      </c>
      <c r="AV2273" s="498">
        <f t="shared" si="790"/>
        <v>0</v>
      </c>
      <c r="AW2273" s="498">
        <f t="shared" si="791"/>
        <v>0</v>
      </c>
      <c r="AX2273" s="498">
        <f t="shared" si="792"/>
        <v>0</v>
      </c>
      <c r="AY2273" s="498">
        <f t="shared" si="793"/>
        <v>0</v>
      </c>
      <c r="BB2273" s="498" t="str">
        <f t="shared" si="794"/>
        <v/>
      </c>
      <c r="BC2273" s="743" t="str">
        <f t="shared" si="795"/>
        <v/>
      </c>
      <c r="BD2273" s="743" t="str">
        <f t="shared" si="796"/>
        <v/>
      </c>
      <c r="BE2273" s="743" t="str">
        <f>IF(D2273="","",VLOOKUP(D2273,'General Basis'!$J$39:$K$46,2,0))</f>
        <v/>
      </c>
      <c r="BF2273" s="744" t="str">
        <f>IF(D2273="","",VLOOKUP(D2273,'General Basis'!$J$39:$L$46,3,0))</f>
        <v/>
      </c>
      <c r="BG2273" s="744" t="str">
        <f t="shared" si="803"/>
        <v/>
      </c>
      <c r="BH2273" s="744" t="str">
        <f>IF(G2273="","",IF(BF2273="Abu Dhabi",IF(G2273&lt;18,'General Basis'!$C$39,IF(G2273&lt;41,'General Basis'!$C$40,IF(G2273&lt;60,'General Basis'!$C$41,IF(G2273&lt;65,'General Basis'!$C$42,'General Basis'!$C$43)))),IF(G2273&lt;11,'General Basis'!$B$39,IF(G2273&lt;18,'General Basis'!$B$40,IF(G2273&lt;26,'General Basis'!$B$41,IF(G2273&lt;31,'General Basis'!$B$42,IF(G2273&lt;36,'General Basis'!$B$43,IF(G2273&lt;41,'General Basis'!$B$44,IF(G2273&lt;46,'General Basis'!$B$45,IF(G2273&lt;51,'General Basis'!$B$46,IF(G2273&lt;56,'General Basis'!$B$47,IF(G2273&lt;60,'General Basis'!$B$48,IF(G2273&lt;65,'General Basis'!$B$49,'General Basis'!$B$50)))))))))))))</f>
        <v/>
      </c>
      <c r="BI2273" s="744" t="str">
        <f t="shared" si="797"/>
        <v/>
      </c>
      <c r="BJ2273" s="747" t="str">
        <f t="shared" si="804"/>
        <v/>
      </c>
      <c r="BK2273" s="498" t="str">
        <f t="shared" si="798"/>
        <v/>
      </c>
      <c r="BL2273" s="498" t="str">
        <f t="shared" si="799"/>
        <v/>
      </c>
    </row>
    <row r="2274" spans="1:64" x14ac:dyDescent="0.25">
      <c r="A2274" s="762">
        <f t="shared" si="800"/>
        <v>2269</v>
      </c>
      <c r="B2274" s="229"/>
      <c r="C2274" s="223"/>
      <c r="D2274" s="224"/>
      <c r="E2274" s="225"/>
      <c r="F2274" s="1036" t="str">
        <f t="shared" si="806"/>
        <v/>
      </c>
      <c r="G2274" s="1037" t="str">
        <f t="shared" si="801"/>
        <v/>
      </c>
      <c r="H2274" s="225"/>
      <c r="I2274" s="1013"/>
      <c r="J2274" s="1013"/>
      <c r="K2274" s="1028"/>
      <c r="L2274" s="1035" t="str">
        <f t="shared" si="805"/>
        <v/>
      </c>
      <c r="S2274" s="498"/>
      <c r="AJ2274" s="498"/>
      <c r="AM2274" s="498">
        <f t="shared" si="786"/>
        <v>0</v>
      </c>
      <c r="AN2274" s="498">
        <f t="shared" si="787"/>
        <v>0</v>
      </c>
      <c r="AO2274" s="498">
        <f t="shared" si="788"/>
        <v>0</v>
      </c>
      <c r="AP2274" s="498">
        <f t="shared" si="807"/>
        <v>0</v>
      </c>
      <c r="AQ2274" s="498">
        <f t="shared" si="802"/>
        <v>0</v>
      </c>
      <c r="AU2274" s="498">
        <f t="shared" si="789"/>
        <v>0</v>
      </c>
      <c r="AV2274" s="498">
        <f t="shared" si="790"/>
        <v>0</v>
      </c>
      <c r="AW2274" s="498">
        <f t="shared" si="791"/>
        <v>0</v>
      </c>
      <c r="AX2274" s="498">
        <f t="shared" si="792"/>
        <v>0</v>
      </c>
      <c r="AY2274" s="498">
        <f t="shared" si="793"/>
        <v>0</v>
      </c>
      <c r="BB2274" s="498" t="str">
        <f t="shared" si="794"/>
        <v/>
      </c>
      <c r="BC2274" s="743" t="str">
        <f t="shared" si="795"/>
        <v/>
      </c>
      <c r="BD2274" s="743" t="str">
        <f t="shared" si="796"/>
        <v/>
      </c>
      <c r="BE2274" s="743" t="str">
        <f>IF(D2274="","",VLOOKUP(D2274,'General Basis'!$J$39:$K$46,2,0))</f>
        <v/>
      </c>
      <c r="BF2274" s="744" t="str">
        <f>IF(D2274="","",VLOOKUP(D2274,'General Basis'!$J$39:$L$46,3,0))</f>
        <v/>
      </c>
      <c r="BG2274" s="744" t="str">
        <f t="shared" si="803"/>
        <v/>
      </c>
      <c r="BH2274" s="744" t="str">
        <f>IF(G2274="","",IF(BF2274="Abu Dhabi",IF(G2274&lt;18,'General Basis'!$C$39,IF(G2274&lt;41,'General Basis'!$C$40,IF(G2274&lt;60,'General Basis'!$C$41,IF(G2274&lt;65,'General Basis'!$C$42,'General Basis'!$C$43)))),IF(G2274&lt;11,'General Basis'!$B$39,IF(G2274&lt;18,'General Basis'!$B$40,IF(G2274&lt;26,'General Basis'!$B$41,IF(G2274&lt;31,'General Basis'!$B$42,IF(G2274&lt;36,'General Basis'!$B$43,IF(G2274&lt;41,'General Basis'!$B$44,IF(G2274&lt;46,'General Basis'!$B$45,IF(G2274&lt;51,'General Basis'!$B$46,IF(G2274&lt;56,'General Basis'!$B$47,IF(G2274&lt;60,'General Basis'!$B$48,IF(G2274&lt;65,'General Basis'!$B$49,'General Basis'!$B$50)))))))))))))</f>
        <v/>
      </c>
      <c r="BI2274" s="744" t="str">
        <f t="shared" si="797"/>
        <v/>
      </c>
      <c r="BJ2274" s="747" t="str">
        <f t="shared" si="804"/>
        <v/>
      </c>
      <c r="BK2274" s="498" t="str">
        <f t="shared" si="798"/>
        <v/>
      </c>
      <c r="BL2274" s="498" t="str">
        <f t="shared" si="799"/>
        <v/>
      </c>
    </row>
    <row r="2275" spans="1:64" x14ac:dyDescent="0.25">
      <c r="A2275" s="762">
        <f t="shared" si="800"/>
        <v>2270</v>
      </c>
      <c r="B2275" s="229"/>
      <c r="C2275" s="223"/>
      <c r="D2275" s="224"/>
      <c r="E2275" s="225"/>
      <c r="F2275" s="1036" t="str">
        <f t="shared" si="806"/>
        <v/>
      </c>
      <c r="G2275" s="1037" t="str">
        <f t="shared" si="801"/>
        <v/>
      </c>
      <c r="H2275" s="225"/>
      <c r="I2275" s="1013"/>
      <c r="J2275" s="1013"/>
      <c r="K2275" s="1028"/>
      <c r="L2275" s="1035" t="str">
        <f t="shared" si="805"/>
        <v/>
      </c>
      <c r="S2275" s="498"/>
      <c r="AJ2275" s="498"/>
      <c r="AM2275" s="498">
        <f t="shared" si="786"/>
        <v>0</v>
      </c>
      <c r="AN2275" s="498">
        <f t="shared" si="787"/>
        <v>0</v>
      </c>
      <c r="AO2275" s="498">
        <f t="shared" si="788"/>
        <v>0</v>
      </c>
      <c r="AP2275" s="498">
        <f t="shared" si="807"/>
        <v>0</v>
      </c>
      <c r="AQ2275" s="498">
        <f t="shared" si="802"/>
        <v>0</v>
      </c>
      <c r="AU2275" s="498">
        <f t="shared" si="789"/>
        <v>0</v>
      </c>
      <c r="AV2275" s="498">
        <f t="shared" si="790"/>
        <v>0</v>
      </c>
      <c r="AW2275" s="498">
        <f t="shared" si="791"/>
        <v>0</v>
      </c>
      <c r="AX2275" s="498">
        <f t="shared" si="792"/>
        <v>0</v>
      </c>
      <c r="AY2275" s="498">
        <f t="shared" si="793"/>
        <v>0</v>
      </c>
      <c r="BB2275" s="498" t="str">
        <f t="shared" si="794"/>
        <v/>
      </c>
      <c r="BC2275" s="743" t="str">
        <f t="shared" si="795"/>
        <v/>
      </c>
      <c r="BD2275" s="743" t="str">
        <f t="shared" si="796"/>
        <v/>
      </c>
      <c r="BE2275" s="743" t="str">
        <f>IF(D2275="","",VLOOKUP(D2275,'General Basis'!$J$39:$K$46,2,0))</f>
        <v/>
      </c>
      <c r="BF2275" s="744" t="str">
        <f>IF(D2275="","",VLOOKUP(D2275,'General Basis'!$J$39:$L$46,3,0))</f>
        <v/>
      </c>
      <c r="BG2275" s="744" t="str">
        <f t="shared" si="803"/>
        <v/>
      </c>
      <c r="BH2275" s="744" t="str">
        <f>IF(G2275="","",IF(BF2275="Abu Dhabi",IF(G2275&lt;18,'General Basis'!$C$39,IF(G2275&lt;41,'General Basis'!$C$40,IF(G2275&lt;60,'General Basis'!$C$41,IF(G2275&lt;65,'General Basis'!$C$42,'General Basis'!$C$43)))),IF(G2275&lt;11,'General Basis'!$B$39,IF(G2275&lt;18,'General Basis'!$B$40,IF(G2275&lt;26,'General Basis'!$B$41,IF(G2275&lt;31,'General Basis'!$B$42,IF(G2275&lt;36,'General Basis'!$B$43,IF(G2275&lt;41,'General Basis'!$B$44,IF(G2275&lt;46,'General Basis'!$B$45,IF(G2275&lt;51,'General Basis'!$B$46,IF(G2275&lt;56,'General Basis'!$B$47,IF(G2275&lt;60,'General Basis'!$B$48,IF(G2275&lt;65,'General Basis'!$B$49,'General Basis'!$B$50)))))))))))))</f>
        <v/>
      </c>
      <c r="BI2275" s="744" t="str">
        <f t="shared" si="797"/>
        <v/>
      </c>
      <c r="BJ2275" s="747" t="str">
        <f t="shared" si="804"/>
        <v/>
      </c>
      <c r="BK2275" s="498" t="str">
        <f t="shared" si="798"/>
        <v/>
      </c>
      <c r="BL2275" s="498" t="str">
        <f t="shared" si="799"/>
        <v/>
      </c>
    </row>
    <row r="2276" spans="1:64" x14ac:dyDescent="0.25">
      <c r="A2276" s="762">
        <f t="shared" si="800"/>
        <v>2271</v>
      </c>
      <c r="B2276" s="229"/>
      <c r="C2276" s="223"/>
      <c r="D2276" s="224"/>
      <c r="E2276" s="225"/>
      <c r="F2276" s="1036" t="str">
        <f t="shared" si="806"/>
        <v/>
      </c>
      <c r="G2276" s="1037" t="str">
        <f t="shared" si="801"/>
        <v/>
      </c>
      <c r="H2276" s="225"/>
      <c r="I2276" s="1013"/>
      <c r="J2276" s="1013"/>
      <c r="K2276" s="1028"/>
      <c r="L2276" s="1035" t="str">
        <f t="shared" si="805"/>
        <v/>
      </c>
      <c r="S2276" s="498"/>
      <c r="AJ2276" s="498"/>
      <c r="AM2276" s="498">
        <f t="shared" si="786"/>
        <v>0</v>
      </c>
      <c r="AN2276" s="498">
        <f t="shared" si="787"/>
        <v>0</v>
      </c>
      <c r="AO2276" s="498">
        <f t="shared" si="788"/>
        <v>0</v>
      </c>
      <c r="AP2276" s="498">
        <f t="shared" si="807"/>
        <v>0</v>
      </c>
      <c r="AQ2276" s="498">
        <f t="shared" si="802"/>
        <v>0</v>
      </c>
      <c r="AU2276" s="498">
        <f t="shared" si="789"/>
        <v>0</v>
      </c>
      <c r="AV2276" s="498">
        <f t="shared" si="790"/>
        <v>0</v>
      </c>
      <c r="AW2276" s="498">
        <f t="shared" si="791"/>
        <v>0</v>
      </c>
      <c r="AX2276" s="498">
        <f t="shared" si="792"/>
        <v>0</v>
      </c>
      <c r="AY2276" s="498">
        <f t="shared" si="793"/>
        <v>0</v>
      </c>
      <c r="BB2276" s="498" t="str">
        <f t="shared" si="794"/>
        <v/>
      </c>
      <c r="BC2276" s="743" t="str">
        <f t="shared" si="795"/>
        <v/>
      </c>
      <c r="BD2276" s="743" t="str">
        <f t="shared" si="796"/>
        <v/>
      </c>
      <c r="BE2276" s="743" t="str">
        <f>IF(D2276="","",VLOOKUP(D2276,'General Basis'!$J$39:$K$46,2,0))</f>
        <v/>
      </c>
      <c r="BF2276" s="744" t="str">
        <f>IF(D2276="","",VLOOKUP(D2276,'General Basis'!$J$39:$L$46,3,0))</f>
        <v/>
      </c>
      <c r="BG2276" s="744" t="str">
        <f t="shared" si="803"/>
        <v/>
      </c>
      <c r="BH2276" s="744" t="str">
        <f>IF(G2276="","",IF(BF2276="Abu Dhabi",IF(G2276&lt;18,'General Basis'!$C$39,IF(G2276&lt;41,'General Basis'!$C$40,IF(G2276&lt;60,'General Basis'!$C$41,IF(G2276&lt;65,'General Basis'!$C$42,'General Basis'!$C$43)))),IF(G2276&lt;11,'General Basis'!$B$39,IF(G2276&lt;18,'General Basis'!$B$40,IF(G2276&lt;26,'General Basis'!$B$41,IF(G2276&lt;31,'General Basis'!$B$42,IF(G2276&lt;36,'General Basis'!$B$43,IF(G2276&lt;41,'General Basis'!$B$44,IF(G2276&lt;46,'General Basis'!$B$45,IF(G2276&lt;51,'General Basis'!$B$46,IF(G2276&lt;56,'General Basis'!$B$47,IF(G2276&lt;60,'General Basis'!$B$48,IF(G2276&lt;65,'General Basis'!$B$49,'General Basis'!$B$50)))))))))))))</f>
        <v/>
      </c>
      <c r="BI2276" s="744" t="str">
        <f t="shared" si="797"/>
        <v/>
      </c>
      <c r="BJ2276" s="747" t="str">
        <f t="shared" si="804"/>
        <v/>
      </c>
      <c r="BK2276" s="498" t="str">
        <f t="shared" si="798"/>
        <v/>
      </c>
      <c r="BL2276" s="498" t="str">
        <f t="shared" si="799"/>
        <v/>
      </c>
    </row>
    <row r="2277" spans="1:64" x14ac:dyDescent="0.25">
      <c r="A2277" s="762">
        <f t="shared" si="800"/>
        <v>2272</v>
      </c>
      <c r="B2277" s="229"/>
      <c r="C2277" s="223"/>
      <c r="D2277" s="224"/>
      <c r="E2277" s="225"/>
      <c r="F2277" s="1036" t="str">
        <f t="shared" si="806"/>
        <v/>
      </c>
      <c r="G2277" s="1037" t="str">
        <f t="shared" si="801"/>
        <v/>
      </c>
      <c r="H2277" s="225"/>
      <c r="I2277" s="1013"/>
      <c r="J2277" s="1013"/>
      <c r="K2277" s="1028"/>
      <c r="L2277" s="1035" t="str">
        <f t="shared" si="805"/>
        <v/>
      </c>
      <c r="S2277" s="498"/>
      <c r="AJ2277" s="498"/>
      <c r="AM2277" s="498">
        <f t="shared" si="786"/>
        <v>0</v>
      </c>
      <c r="AN2277" s="498">
        <f t="shared" si="787"/>
        <v>0</v>
      </c>
      <c r="AO2277" s="498">
        <f t="shared" si="788"/>
        <v>0</v>
      </c>
      <c r="AP2277" s="498">
        <f t="shared" si="807"/>
        <v>0</v>
      </c>
      <c r="AQ2277" s="498">
        <f t="shared" si="802"/>
        <v>0</v>
      </c>
      <c r="AU2277" s="498">
        <f t="shared" si="789"/>
        <v>0</v>
      </c>
      <c r="AV2277" s="498">
        <f t="shared" si="790"/>
        <v>0</v>
      </c>
      <c r="AW2277" s="498">
        <f t="shared" si="791"/>
        <v>0</v>
      </c>
      <c r="AX2277" s="498">
        <f t="shared" si="792"/>
        <v>0</v>
      </c>
      <c r="AY2277" s="498">
        <f t="shared" si="793"/>
        <v>0</v>
      </c>
      <c r="BB2277" s="498" t="str">
        <f t="shared" si="794"/>
        <v/>
      </c>
      <c r="BC2277" s="743" t="str">
        <f t="shared" si="795"/>
        <v/>
      </c>
      <c r="BD2277" s="743" t="str">
        <f t="shared" si="796"/>
        <v/>
      </c>
      <c r="BE2277" s="743" t="str">
        <f>IF(D2277="","",VLOOKUP(D2277,'General Basis'!$J$39:$K$46,2,0))</f>
        <v/>
      </c>
      <c r="BF2277" s="744" t="str">
        <f>IF(D2277="","",VLOOKUP(D2277,'General Basis'!$J$39:$L$46,3,0))</f>
        <v/>
      </c>
      <c r="BG2277" s="744" t="str">
        <f t="shared" si="803"/>
        <v/>
      </c>
      <c r="BH2277" s="744" t="str">
        <f>IF(G2277="","",IF(BF2277="Abu Dhabi",IF(G2277&lt;18,'General Basis'!$C$39,IF(G2277&lt;41,'General Basis'!$C$40,IF(G2277&lt;60,'General Basis'!$C$41,IF(G2277&lt;65,'General Basis'!$C$42,'General Basis'!$C$43)))),IF(G2277&lt;11,'General Basis'!$B$39,IF(G2277&lt;18,'General Basis'!$B$40,IF(G2277&lt;26,'General Basis'!$B$41,IF(G2277&lt;31,'General Basis'!$B$42,IF(G2277&lt;36,'General Basis'!$B$43,IF(G2277&lt;41,'General Basis'!$B$44,IF(G2277&lt;46,'General Basis'!$B$45,IF(G2277&lt;51,'General Basis'!$B$46,IF(G2277&lt;56,'General Basis'!$B$47,IF(G2277&lt;60,'General Basis'!$B$48,IF(G2277&lt;65,'General Basis'!$B$49,'General Basis'!$B$50)))))))))))))</f>
        <v/>
      </c>
      <c r="BI2277" s="744" t="str">
        <f t="shared" si="797"/>
        <v/>
      </c>
      <c r="BJ2277" s="747" t="str">
        <f t="shared" si="804"/>
        <v/>
      </c>
      <c r="BK2277" s="498" t="str">
        <f t="shared" si="798"/>
        <v/>
      </c>
      <c r="BL2277" s="498" t="str">
        <f t="shared" si="799"/>
        <v/>
      </c>
    </row>
    <row r="2278" spans="1:64" x14ac:dyDescent="0.25">
      <c r="A2278" s="762">
        <f t="shared" si="800"/>
        <v>2273</v>
      </c>
      <c r="B2278" s="229"/>
      <c r="C2278" s="223"/>
      <c r="D2278" s="224"/>
      <c r="E2278" s="225"/>
      <c r="F2278" s="1036" t="str">
        <f t="shared" si="806"/>
        <v/>
      </c>
      <c r="G2278" s="1037" t="str">
        <f t="shared" si="801"/>
        <v/>
      </c>
      <c r="H2278" s="225"/>
      <c r="I2278" s="1013"/>
      <c r="J2278" s="1013"/>
      <c r="K2278" s="1028"/>
      <c r="L2278" s="1035" t="str">
        <f t="shared" si="805"/>
        <v/>
      </c>
      <c r="S2278" s="498"/>
      <c r="AJ2278" s="498"/>
      <c r="AM2278" s="498">
        <f t="shared" si="786"/>
        <v>0</v>
      </c>
      <c r="AN2278" s="498">
        <f t="shared" si="787"/>
        <v>0</v>
      </c>
      <c r="AO2278" s="498">
        <f t="shared" si="788"/>
        <v>0</v>
      </c>
      <c r="AP2278" s="498">
        <f t="shared" si="807"/>
        <v>0</v>
      </c>
      <c r="AQ2278" s="498">
        <f t="shared" si="802"/>
        <v>0</v>
      </c>
      <c r="AU2278" s="498">
        <f t="shared" si="789"/>
        <v>0</v>
      </c>
      <c r="AV2278" s="498">
        <f t="shared" si="790"/>
        <v>0</v>
      </c>
      <c r="AW2278" s="498">
        <f t="shared" si="791"/>
        <v>0</v>
      </c>
      <c r="AX2278" s="498">
        <f t="shared" si="792"/>
        <v>0</v>
      </c>
      <c r="AY2278" s="498">
        <f t="shared" si="793"/>
        <v>0</v>
      </c>
      <c r="BB2278" s="498" t="str">
        <f t="shared" si="794"/>
        <v/>
      </c>
      <c r="BC2278" s="743" t="str">
        <f t="shared" si="795"/>
        <v/>
      </c>
      <c r="BD2278" s="743" t="str">
        <f t="shared" si="796"/>
        <v/>
      </c>
      <c r="BE2278" s="743" t="str">
        <f>IF(D2278="","",VLOOKUP(D2278,'General Basis'!$J$39:$K$46,2,0))</f>
        <v/>
      </c>
      <c r="BF2278" s="744" t="str">
        <f>IF(D2278="","",VLOOKUP(D2278,'General Basis'!$J$39:$L$46,3,0))</f>
        <v/>
      </c>
      <c r="BG2278" s="744" t="str">
        <f t="shared" si="803"/>
        <v/>
      </c>
      <c r="BH2278" s="744" t="str">
        <f>IF(G2278="","",IF(BF2278="Abu Dhabi",IF(G2278&lt;18,'General Basis'!$C$39,IF(G2278&lt;41,'General Basis'!$C$40,IF(G2278&lt;60,'General Basis'!$C$41,IF(G2278&lt;65,'General Basis'!$C$42,'General Basis'!$C$43)))),IF(G2278&lt;11,'General Basis'!$B$39,IF(G2278&lt;18,'General Basis'!$B$40,IF(G2278&lt;26,'General Basis'!$B$41,IF(G2278&lt;31,'General Basis'!$B$42,IF(G2278&lt;36,'General Basis'!$B$43,IF(G2278&lt;41,'General Basis'!$B$44,IF(G2278&lt;46,'General Basis'!$B$45,IF(G2278&lt;51,'General Basis'!$B$46,IF(G2278&lt;56,'General Basis'!$B$47,IF(G2278&lt;60,'General Basis'!$B$48,IF(G2278&lt;65,'General Basis'!$B$49,'General Basis'!$B$50)))))))))))))</f>
        <v/>
      </c>
      <c r="BI2278" s="744" t="str">
        <f t="shared" si="797"/>
        <v/>
      </c>
      <c r="BJ2278" s="747" t="str">
        <f t="shared" si="804"/>
        <v/>
      </c>
      <c r="BK2278" s="498" t="str">
        <f t="shared" si="798"/>
        <v/>
      </c>
      <c r="BL2278" s="498" t="str">
        <f t="shared" si="799"/>
        <v/>
      </c>
    </row>
    <row r="2279" spans="1:64" x14ac:dyDescent="0.25">
      <c r="A2279" s="762">
        <f t="shared" si="800"/>
        <v>2274</v>
      </c>
      <c r="B2279" s="229"/>
      <c r="C2279" s="223"/>
      <c r="D2279" s="224"/>
      <c r="E2279" s="225"/>
      <c r="F2279" s="1036" t="str">
        <f t="shared" si="806"/>
        <v/>
      </c>
      <c r="G2279" s="1037" t="str">
        <f t="shared" si="801"/>
        <v/>
      </c>
      <c r="H2279" s="225"/>
      <c r="I2279" s="1013"/>
      <c r="J2279" s="1013"/>
      <c r="K2279" s="1028"/>
      <c r="L2279" s="1035" t="str">
        <f t="shared" si="805"/>
        <v/>
      </c>
      <c r="S2279" s="498"/>
      <c r="AJ2279" s="498"/>
      <c r="AM2279" s="498">
        <f t="shared" si="786"/>
        <v>0</v>
      </c>
      <c r="AN2279" s="498">
        <f t="shared" si="787"/>
        <v>0</v>
      </c>
      <c r="AO2279" s="498">
        <f t="shared" si="788"/>
        <v>0</v>
      </c>
      <c r="AP2279" s="498">
        <f t="shared" si="807"/>
        <v>0</v>
      </c>
      <c r="AQ2279" s="498">
        <f t="shared" si="802"/>
        <v>0</v>
      </c>
      <c r="AU2279" s="498">
        <f t="shared" si="789"/>
        <v>0</v>
      </c>
      <c r="AV2279" s="498">
        <f t="shared" si="790"/>
        <v>0</v>
      </c>
      <c r="AW2279" s="498">
        <f t="shared" si="791"/>
        <v>0</v>
      </c>
      <c r="AX2279" s="498">
        <f t="shared" si="792"/>
        <v>0</v>
      </c>
      <c r="AY2279" s="498">
        <f t="shared" si="793"/>
        <v>0</v>
      </c>
      <c r="BB2279" s="498" t="str">
        <f t="shared" si="794"/>
        <v/>
      </c>
      <c r="BC2279" s="743" t="str">
        <f t="shared" si="795"/>
        <v/>
      </c>
      <c r="BD2279" s="743" t="str">
        <f t="shared" si="796"/>
        <v/>
      </c>
      <c r="BE2279" s="743" t="str">
        <f>IF(D2279="","",VLOOKUP(D2279,'General Basis'!$J$39:$K$46,2,0))</f>
        <v/>
      </c>
      <c r="BF2279" s="744" t="str">
        <f>IF(D2279="","",VLOOKUP(D2279,'General Basis'!$J$39:$L$46,3,0))</f>
        <v/>
      </c>
      <c r="BG2279" s="744" t="str">
        <f t="shared" si="803"/>
        <v/>
      </c>
      <c r="BH2279" s="744" t="str">
        <f>IF(G2279="","",IF(BF2279="Abu Dhabi",IF(G2279&lt;18,'General Basis'!$C$39,IF(G2279&lt;41,'General Basis'!$C$40,IF(G2279&lt;60,'General Basis'!$C$41,IF(G2279&lt;65,'General Basis'!$C$42,'General Basis'!$C$43)))),IF(G2279&lt;11,'General Basis'!$B$39,IF(G2279&lt;18,'General Basis'!$B$40,IF(G2279&lt;26,'General Basis'!$B$41,IF(G2279&lt;31,'General Basis'!$B$42,IF(G2279&lt;36,'General Basis'!$B$43,IF(G2279&lt;41,'General Basis'!$B$44,IF(G2279&lt;46,'General Basis'!$B$45,IF(G2279&lt;51,'General Basis'!$B$46,IF(G2279&lt;56,'General Basis'!$B$47,IF(G2279&lt;60,'General Basis'!$B$48,IF(G2279&lt;65,'General Basis'!$B$49,'General Basis'!$B$50)))))))))))))</f>
        <v/>
      </c>
      <c r="BI2279" s="744" t="str">
        <f t="shared" si="797"/>
        <v/>
      </c>
      <c r="BJ2279" s="747" t="str">
        <f t="shared" si="804"/>
        <v/>
      </c>
      <c r="BK2279" s="498" t="str">
        <f t="shared" si="798"/>
        <v/>
      </c>
      <c r="BL2279" s="498" t="str">
        <f t="shared" si="799"/>
        <v/>
      </c>
    </row>
    <row r="2280" spans="1:64" x14ac:dyDescent="0.25">
      <c r="A2280" s="762">
        <f t="shared" si="800"/>
        <v>2275</v>
      </c>
      <c r="B2280" s="229"/>
      <c r="C2280" s="223"/>
      <c r="D2280" s="224"/>
      <c r="E2280" s="225"/>
      <c r="F2280" s="1036" t="str">
        <f t="shared" si="806"/>
        <v/>
      </c>
      <c r="G2280" s="1037" t="str">
        <f t="shared" si="801"/>
        <v/>
      </c>
      <c r="H2280" s="225"/>
      <c r="I2280" s="1013"/>
      <c r="J2280" s="1013"/>
      <c r="K2280" s="1028"/>
      <c r="L2280" s="1035" t="str">
        <f t="shared" si="805"/>
        <v/>
      </c>
      <c r="S2280" s="498"/>
      <c r="AJ2280" s="498"/>
      <c r="AM2280" s="498">
        <f t="shared" si="786"/>
        <v>0</v>
      </c>
      <c r="AN2280" s="498">
        <f t="shared" si="787"/>
        <v>0</v>
      </c>
      <c r="AO2280" s="498">
        <f t="shared" si="788"/>
        <v>0</v>
      </c>
      <c r="AP2280" s="498">
        <f t="shared" si="807"/>
        <v>0</v>
      </c>
      <c r="AQ2280" s="498">
        <f t="shared" si="802"/>
        <v>0</v>
      </c>
      <c r="AU2280" s="498">
        <f t="shared" si="789"/>
        <v>0</v>
      </c>
      <c r="AV2280" s="498">
        <f t="shared" si="790"/>
        <v>0</v>
      </c>
      <c r="AW2280" s="498">
        <f t="shared" si="791"/>
        <v>0</v>
      </c>
      <c r="AX2280" s="498">
        <f t="shared" si="792"/>
        <v>0</v>
      </c>
      <c r="AY2280" s="498">
        <f t="shared" si="793"/>
        <v>0</v>
      </c>
      <c r="BB2280" s="498" t="str">
        <f t="shared" si="794"/>
        <v/>
      </c>
      <c r="BC2280" s="743" t="str">
        <f t="shared" si="795"/>
        <v/>
      </c>
      <c r="BD2280" s="743" t="str">
        <f t="shared" si="796"/>
        <v/>
      </c>
      <c r="BE2280" s="743" t="str">
        <f>IF(D2280="","",VLOOKUP(D2280,'General Basis'!$J$39:$K$46,2,0))</f>
        <v/>
      </c>
      <c r="BF2280" s="744" t="str">
        <f>IF(D2280="","",VLOOKUP(D2280,'General Basis'!$J$39:$L$46,3,0))</f>
        <v/>
      </c>
      <c r="BG2280" s="744" t="str">
        <f t="shared" si="803"/>
        <v/>
      </c>
      <c r="BH2280" s="744" t="str">
        <f>IF(G2280="","",IF(BF2280="Abu Dhabi",IF(G2280&lt;18,'General Basis'!$C$39,IF(G2280&lt;41,'General Basis'!$C$40,IF(G2280&lt;60,'General Basis'!$C$41,IF(G2280&lt;65,'General Basis'!$C$42,'General Basis'!$C$43)))),IF(G2280&lt;11,'General Basis'!$B$39,IF(G2280&lt;18,'General Basis'!$B$40,IF(G2280&lt;26,'General Basis'!$B$41,IF(G2280&lt;31,'General Basis'!$B$42,IF(G2280&lt;36,'General Basis'!$B$43,IF(G2280&lt;41,'General Basis'!$B$44,IF(G2280&lt;46,'General Basis'!$B$45,IF(G2280&lt;51,'General Basis'!$B$46,IF(G2280&lt;56,'General Basis'!$B$47,IF(G2280&lt;60,'General Basis'!$B$48,IF(G2280&lt;65,'General Basis'!$B$49,'General Basis'!$B$50)))))))))))))</f>
        <v/>
      </c>
      <c r="BI2280" s="744" t="str">
        <f t="shared" si="797"/>
        <v/>
      </c>
      <c r="BJ2280" s="747" t="str">
        <f t="shared" si="804"/>
        <v/>
      </c>
      <c r="BK2280" s="498" t="str">
        <f t="shared" si="798"/>
        <v/>
      </c>
      <c r="BL2280" s="498" t="str">
        <f t="shared" si="799"/>
        <v/>
      </c>
    </row>
    <row r="2281" spans="1:64" x14ac:dyDescent="0.25">
      <c r="A2281" s="762">
        <f t="shared" si="800"/>
        <v>2276</v>
      </c>
      <c r="B2281" s="229"/>
      <c r="C2281" s="223"/>
      <c r="D2281" s="224"/>
      <c r="E2281" s="225"/>
      <c r="F2281" s="1036" t="str">
        <f t="shared" si="806"/>
        <v/>
      </c>
      <c r="G2281" s="1037" t="str">
        <f t="shared" si="801"/>
        <v/>
      </c>
      <c r="H2281" s="225"/>
      <c r="I2281" s="1013"/>
      <c r="J2281" s="1013"/>
      <c r="K2281" s="1028"/>
      <c r="L2281" s="1035" t="str">
        <f t="shared" si="805"/>
        <v/>
      </c>
      <c r="S2281" s="498"/>
      <c r="AJ2281" s="498"/>
      <c r="AM2281" s="498">
        <f t="shared" si="786"/>
        <v>0</v>
      </c>
      <c r="AN2281" s="498">
        <f t="shared" si="787"/>
        <v>0</v>
      </c>
      <c r="AO2281" s="498">
        <f t="shared" si="788"/>
        <v>0</v>
      </c>
      <c r="AP2281" s="498">
        <f t="shared" si="807"/>
        <v>0</v>
      </c>
      <c r="AQ2281" s="498">
        <f t="shared" si="802"/>
        <v>0</v>
      </c>
      <c r="AU2281" s="498">
        <f t="shared" si="789"/>
        <v>0</v>
      </c>
      <c r="AV2281" s="498">
        <f t="shared" si="790"/>
        <v>0</v>
      </c>
      <c r="AW2281" s="498">
        <f t="shared" si="791"/>
        <v>0</v>
      </c>
      <c r="AX2281" s="498">
        <f t="shared" si="792"/>
        <v>0</v>
      </c>
      <c r="AY2281" s="498">
        <f t="shared" si="793"/>
        <v>0</v>
      </c>
      <c r="BB2281" s="498" t="str">
        <f t="shared" si="794"/>
        <v/>
      </c>
      <c r="BC2281" s="743" t="str">
        <f t="shared" si="795"/>
        <v/>
      </c>
      <c r="BD2281" s="743" t="str">
        <f t="shared" si="796"/>
        <v/>
      </c>
      <c r="BE2281" s="743" t="str">
        <f>IF(D2281="","",VLOOKUP(D2281,'General Basis'!$J$39:$K$46,2,0))</f>
        <v/>
      </c>
      <c r="BF2281" s="744" t="str">
        <f>IF(D2281="","",VLOOKUP(D2281,'General Basis'!$J$39:$L$46,3,0))</f>
        <v/>
      </c>
      <c r="BG2281" s="744" t="str">
        <f t="shared" si="803"/>
        <v/>
      </c>
      <c r="BH2281" s="744" t="str">
        <f>IF(G2281="","",IF(BF2281="Abu Dhabi",IF(G2281&lt;18,'General Basis'!$C$39,IF(G2281&lt;41,'General Basis'!$C$40,IF(G2281&lt;60,'General Basis'!$C$41,IF(G2281&lt;65,'General Basis'!$C$42,'General Basis'!$C$43)))),IF(G2281&lt;11,'General Basis'!$B$39,IF(G2281&lt;18,'General Basis'!$B$40,IF(G2281&lt;26,'General Basis'!$B$41,IF(G2281&lt;31,'General Basis'!$B$42,IF(G2281&lt;36,'General Basis'!$B$43,IF(G2281&lt;41,'General Basis'!$B$44,IF(G2281&lt;46,'General Basis'!$B$45,IF(G2281&lt;51,'General Basis'!$B$46,IF(G2281&lt;56,'General Basis'!$B$47,IF(G2281&lt;60,'General Basis'!$B$48,IF(G2281&lt;65,'General Basis'!$B$49,'General Basis'!$B$50)))))))))))))</f>
        <v/>
      </c>
      <c r="BI2281" s="744" t="str">
        <f t="shared" si="797"/>
        <v/>
      </c>
      <c r="BJ2281" s="747" t="str">
        <f t="shared" si="804"/>
        <v/>
      </c>
      <c r="BK2281" s="498" t="str">
        <f t="shared" si="798"/>
        <v/>
      </c>
      <c r="BL2281" s="498" t="str">
        <f t="shared" si="799"/>
        <v/>
      </c>
    </row>
    <row r="2282" spans="1:64" x14ac:dyDescent="0.25">
      <c r="A2282" s="762">
        <f t="shared" si="800"/>
        <v>2277</v>
      </c>
      <c r="B2282" s="229"/>
      <c r="C2282" s="223"/>
      <c r="D2282" s="224"/>
      <c r="E2282" s="225"/>
      <c r="F2282" s="1036" t="str">
        <f t="shared" si="806"/>
        <v/>
      </c>
      <c r="G2282" s="1037" t="str">
        <f t="shared" si="801"/>
        <v/>
      </c>
      <c r="H2282" s="225"/>
      <c r="I2282" s="1013"/>
      <c r="J2282" s="1013"/>
      <c r="K2282" s="1028"/>
      <c r="L2282" s="1035" t="str">
        <f t="shared" si="805"/>
        <v/>
      </c>
      <c r="S2282" s="498"/>
      <c r="AJ2282" s="498"/>
      <c r="AM2282" s="498">
        <f t="shared" si="786"/>
        <v>0</v>
      </c>
      <c r="AN2282" s="498">
        <f t="shared" si="787"/>
        <v>0</v>
      </c>
      <c r="AO2282" s="498">
        <f t="shared" si="788"/>
        <v>0</v>
      </c>
      <c r="AP2282" s="498">
        <f t="shared" si="807"/>
        <v>0</v>
      </c>
      <c r="AQ2282" s="498">
        <f t="shared" si="802"/>
        <v>0</v>
      </c>
      <c r="AU2282" s="498">
        <f t="shared" si="789"/>
        <v>0</v>
      </c>
      <c r="AV2282" s="498">
        <f t="shared" si="790"/>
        <v>0</v>
      </c>
      <c r="AW2282" s="498">
        <f t="shared" si="791"/>
        <v>0</v>
      </c>
      <c r="AX2282" s="498">
        <f t="shared" si="792"/>
        <v>0</v>
      </c>
      <c r="AY2282" s="498">
        <f t="shared" si="793"/>
        <v>0</v>
      </c>
      <c r="BB2282" s="498" t="str">
        <f t="shared" si="794"/>
        <v/>
      </c>
      <c r="BC2282" s="743" t="str">
        <f t="shared" si="795"/>
        <v/>
      </c>
      <c r="BD2282" s="743" t="str">
        <f t="shared" si="796"/>
        <v/>
      </c>
      <c r="BE2282" s="743" t="str">
        <f>IF(D2282="","",VLOOKUP(D2282,'General Basis'!$J$39:$K$46,2,0))</f>
        <v/>
      </c>
      <c r="BF2282" s="744" t="str">
        <f>IF(D2282="","",VLOOKUP(D2282,'General Basis'!$J$39:$L$46,3,0))</f>
        <v/>
      </c>
      <c r="BG2282" s="744" t="str">
        <f t="shared" si="803"/>
        <v/>
      </c>
      <c r="BH2282" s="744" t="str">
        <f>IF(G2282="","",IF(BF2282="Abu Dhabi",IF(G2282&lt;18,'General Basis'!$C$39,IF(G2282&lt;41,'General Basis'!$C$40,IF(G2282&lt;60,'General Basis'!$C$41,IF(G2282&lt;65,'General Basis'!$C$42,'General Basis'!$C$43)))),IF(G2282&lt;11,'General Basis'!$B$39,IF(G2282&lt;18,'General Basis'!$B$40,IF(G2282&lt;26,'General Basis'!$B$41,IF(G2282&lt;31,'General Basis'!$B$42,IF(G2282&lt;36,'General Basis'!$B$43,IF(G2282&lt;41,'General Basis'!$B$44,IF(G2282&lt;46,'General Basis'!$B$45,IF(G2282&lt;51,'General Basis'!$B$46,IF(G2282&lt;56,'General Basis'!$B$47,IF(G2282&lt;60,'General Basis'!$B$48,IF(G2282&lt;65,'General Basis'!$B$49,'General Basis'!$B$50)))))))))))))</f>
        <v/>
      </c>
      <c r="BI2282" s="744" t="str">
        <f t="shared" si="797"/>
        <v/>
      </c>
      <c r="BJ2282" s="747" t="str">
        <f t="shared" si="804"/>
        <v/>
      </c>
      <c r="BK2282" s="498" t="str">
        <f t="shared" si="798"/>
        <v/>
      </c>
      <c r="BL2282" s="498" t="str">
        <f t="shared" si="799"/>
        <v/>
      </c>
    </row>
    <row r="2283" spans="1:64" x14ac:dyDescent="0.25">
      <c r="A2283" s="762">
        <f t="shared" si="800"/>
        <v>2278</v>
      </c>
      <c r="B2283" s="229"/>
      <c r="C2283" s="223"/>
      <c r="D2283" s="224"/>
      <c r="E2283" s="225"/>
      <c r="F2283" s="1036" t="str">
        <f t="shared" si="806"/>
        <v/>
      </c>
      <c r="G2283" s="1037" t="str">
        <f t="shared" si="801"/>
        <v/>
      </c>
      <c r="H2283" s="225"/>
      <c r="I2283" s="1013"/>
      <c r="J2283" s="1013"/>
      <c r="K2283" s="1028"/>
      <c r="L2283" s="1035" t="str">
        <f t="shared" si="805"/>
        <v/>
      </c>
      <c r="S2283" s="498"/>
      <c r="AJ2283" s="498"/>
      <c r="AM2283" s="498">
        <f t="shared" si="786"/>
        <v>0</v>
      </c>
      <c r="AN2283" s="498">
        <f t="shared" si="787"/>
        <v>0</v>
      </c>
      <c r="AO2283" s="498">
        <f t="shared" si="788"/>
        <v>0</v>
      </c>
      <c r="AP2283" s="498">
        <f t="shared" si="807"/>
        <v>0</v>
      </c>
      <c r="AQ2283" s="498">
        <f t="shared" si="802"/>
        <v>0</v>
      </c>
      <c r="AU2283" s="498">
        <f t="shared" si="789"/>
        <v>0</v>
      </c>
      <c r="AV2283" s="498">
        <f t="shared" si="790"/>
        <v>0</v>
      </c>
      <c r="AW2283" s="498">
        <f t="shared" si="791"/>
        <v>0</v>
      </c>
      <c r="AX2283" s="498">
        <f t="shared" si="792"/>
        <v>0</v>
      </c>
      <c r="AY2283" s="498">
        <f t="shared" si="793"/>
        <v>0</v>
      </c>
      <c r="BB2283" s="498" t="str">
        <f t="shared" si="794"/>
        <v/>
      </c>
      <c r="BC2283" s="743" t="str">
        <f t="shared" si="795"/>
        <v/>
      </c>
      <c r="BD2283" s="743" t="str">
        <f t="shared" si="796"/>
        <v/>
      </c>
      <c r="BE2283" s="743" t="str">
        <f>IF(D2283="","",VLOOKUP(D2283,'General Basis'!$J$39:$K$46,2,0))</f>
        <v/>
      </c>
      <c r="BF2283" s="744" t="str">
        <f>IF(D2283="","",VLOOKUP(D2283,'General Basis'!$J$39:$L$46,3,0))</f>
        <v/>
      </c>
      <c r="BG2283" s="744" t="str">
        <f t="shared" si="803"/>
        <v/>
      </c>
      <c r="BH2283" s="744" t="str">
        <f>IF(G2283="","",IF(BF2283="Abu Dhabi",IF(G2283&lt;18,'General Basis'!$C$39,IF(G2283&lt;41,'General Basis'!$C$40,IF(G2283&lt;60,'General Basis'!$C$41,IF(G2283&lt;65,'General Basis'!$C$42,'General Basis'!$C$43)))),IF(G2283&lt;11,'General Basis'!$B$39,IF(G2283&lt;18,'General Basis'!$B$40,IF(G2283&lt;26,'General Basis'!$B$41,IF(G2283&lt;31,'General Basis'!$B$42,IF(G2283&lt;36,'General Basis'!$B$43,IF(G2283&lt;41,'General Basis'!$B$44,IF(G2283&lt;46,'General Basis'!$B$45,IF(G2283&lt;51,'General Basis'!$B$46,IF(G2283&lt;56,'General Basis'!$B$47,IF(G2283&lt;60,'General Basis'!$B$48,IF(G2283&lt;65,'General Basis'!$B$49,'General Basis'!$B$50)))))))))))))</f>
        <v/>
      </c>
      <c r="BI2283" s="744" t="str">
        <f t="shared" si="797"/>
        <v/>
      </c>
      <c r="BJ2283" s="747" t="str">
        <f t="shared" si="804"/>
        <v/>
      </c>
      <c r="BK2283" s="498" t="str">
        <f t="shared" si="798"/>
        <v/>
      </c>
      <c r="BL2283" s="498" t="str">
        <f t="shared" si="799"/>
        <v/>
      </c>
    </row>
    <row r="2284" spans="1:64" x14ac:dyDescent="0.25">
      <c r="A2284" s="762">
        <f t="shared" si="800"/>
        <v>2279</v>
      </c>
      <c r="B2284" s="229"/>
      <c r="C2284" s="223"/>
      <c r="D2284" s="224"/>
      <c r="E2284" s="225"/>
      <c r="F2284" s="1036" t="str">
        <f t="shared" si="806"/>
        <v/>
      </c>
      <c r="G2284" s="1037" t="str">
        <f t="shared" si="801"/>
        <v/>
      </c>
      <c r="H2284" s="225"/>
      <c r="I2284" s="1013"/>
      <c r="J2284" s="1013"/>
      <c r="K2284" s="1028"/>
      <c r="L2284" s="1035" t="str">
        <f t="shared" si="805"/>
        <v/>
      </c>
      <c r="S2284" s="498"/>
      <c r="AJ2284" s="498"/>
      <c r="AM2284" s="498">
        <f t="shared" si="786"/>
        <v>0</v>
      </c>
      <c r="AN2284" s="498">
        <f t="shared" si="787"/>
        <v>0</v>
      </c>
      <c r="AO2284" s="498">
        <f t="shared" si="788"/>
        <v>0</v>
      </c>
      <c r="AP2284" s="498">
        <f t="shared" si="807"/>
        <v>0</v>
      </c>
      <c r="AQ2284" s="498">
        <f t="shared" si="802"/>
        <v>0</v>
      </c>
      <c r="AU2284" s="498">
        <f t="shared" si="789"/>
        <v>0</v>
      </c>
      <c r="AV2284" s="498">
        <f t="shared" si="790"/>
        <v>0</v>
      </c>
      <c r="AW2284" s="498">
        <f t="shared" si="791"/>
        <v>0</v>
      </c>
      <c r="AX2284" s="498">
        <f t="shared" si="792"/>
        <v>0</v>
      </c>
      <c r="AY2284" s="498">
        <f t="shared" si="793"/>
        <v>0</v>
      </c>
      <c r="BB2284" s="498" t="str">
        <f t="shared" si="794"/>
        <v/>
      </c>
      <c r="BC2284" s="743" t="str">
        <f t="shared" si="795"/>
        <v/>
      </c>
      <c r="BD2284" s="743" t="str">
        <f t="shared" si="796"/>
        <v/>
      </c>
      <c r="BE2284" s="743" t="str">
        <f>IF(D2284="","",VLOOKUP(D2284,'General Basis'!$J$39:$K$46,2,0))</f>
        <v/>
      </c>
      <c r="BF2284" s="744" t="str">
        <f>IF(D2284="","",VLOOKUP(D2284,'General Basis'!$J$39:$L$46,3,0))</f>
        <v/>
      </c>
      <c r="BG2284" s="744" t="str">
        <f t="shared" si="803"/>
        <v/>
      </c>
      <c r="BH2284" s="744" t="str">
        <f>IF(G2284="","",IF(BF2284="Abu Dhabi",IF(G2284&lt;18,'General Basis'!$C$39,IF(G2284&lt;41,'General Basis'!$C$40,IF(G2284&lt;60,'General Basis'!$C$41,IF(G2284&lt;65,'General Basis'!$C$42,'General Basis'!$C$43)))),IF(G2284&lt;11,'General Basis'!$B$39,IF(G2284&lt;18,'General Basis'!$B$40,IF(G2284&lt;26,'General Basis'!$B$41,IF(G2284&lt;31,'General Basis'!$B$42,IF(G2284&lt;36,'General Basis'!$B$43,IF(G2284&lt;41,'General Basis'!$B$44,IF(G2284&lt;46,'General Basis'!$B$45,IF(G2284&lt;51,'General Basis'!$B$46,IF(G2284&lt;56,'General Basis'!$B$47,IF(G2284&lt;60,'General Basis'!$B$48,IF(G2284&lt;65,'General Basis'!$B$49,'General Basis'!$B$50)))))))))))))</f>
        <v/>
      </c>
      <c r="BI2284" s="744" t="str">
        <f t="shared" si="797"/>
        <v/>
      </c>
      <c r="BJ2284" s="747" t="str">
        <f t="shared" si="804"/>
        <v/>
      </c>
      <c r="BK2284" s="498" t="str">
        <f t="shared" si="798"/>
        <v/>
      </c>
      <c r="BL2284" s="498" t="str">
        <f t="shared" si="799"/>
        <v/>
      </c>
    </row>
    <row r="2285" spans="1:64" x14ac:dyDescent="0.25">
      <c r="A2285" s="762">
        <f t="shared" si="800"/>
        <v>2280</v>
      </c>
      <c r="B2285" s="229"/>
      <c r="C2285" s="223"/>
      <c r="D2285" s="224"/>
      <c r="E2285" s="225"/>
      <c r="F2285" s="1036" t="str">
        <f t="shared" si="806"/>
        <v/>
      </c>
      <c r="G2285" s="1037" t="str">
        <f t="shared" si="801"/>
        <v/>
      </c>
      <c r="H2285" s="225"/>
      <c r="I2285" s="1013"/>
      <c r="J2285" s="1013"/>
      <c r="K2285" s="1028"/>
      <c r="L2285" s="1035" t="str">
        <f t="shared" si="805"/>
        <v/>
      </c>
      <c r="S2285" s="498"/>
      <c r="AJ2285" s="498"/>
      <c r="AM2285" s="498">
        <f t="shared" si="786"/>
        <v>0</v>
      </c>
      <c r="AN2285" s="498">
        <f t="shared" si="787"/>
        <v>0</v>
      </c>
      <c r="AO2285" s="498">
        <f t="shared" si="788"/>
        <v>0</v>
      </c>
      <c r="AP2285" s="498">
        <f t="shared" si="807"/>
        <v>0</v>
      </c>
      <c r="AQ2285" s="498">
        <f t="shared" si="802"/>
        <v>0</v>
      </c>
      <c r="AU2285" s="498">
        <f t="shared" si="789"/>
        <v>0</v>
      </c>
      <c r="AV2285" s="498">
        <f t="shared" si="790"/>
        <v>0</v>
      </c>
      <c r="AW2285" s="498">
        <f t="shared" si="791"/>
        <v>0</v>
      </c>
      <c r="AX2285" s="498">
        <f t="shared" si="792"/>
        <v>0</v>
      </c>
      <c r="AY2285" s="498">
        <f t="shared" si="793"/>
        <v>0</v>
      </c>
      <c r="BB2285" s="498" t="str">
        <f t="shared" si="794"/>
        <v/>
      </c>
      <c r="BC2285" s="743" t="str">
        <f t="shared" si="795"/>
        <v/>
      </c>
      <c r="BD2285" s="743" t="str">
        <f t="shared" si="796"/>
        <v/>
      </c>
      <c r="BE2285" s="743" t="str">
        <f>IF(D2285="","",VLOOKUP(D2285,'General Basis'!$J$39:$K$46,2,0))</f>
        <v/>
      </c>
      <c r="BF2285" s="744" t="str">
        <f>IF(D2285="","",VLOOKUP(D2285,'General Basis'!$J$39:$L$46,3,0))</f>
        <v/>
      </c>
      <c r="BG2285" s="744" t="str">
        <f t="shared" si="803"/>
        <v/>
      </c>
      <c r="BH2285" s="744" t="str">
        <f>IF(G2285="","",IF(BF2285="Abu Dhabi",IF(G2285&lt;18,'General Basis'!$C$39,IF(G2285&lt;41,'General Basis'!$C$40,IF(G2285&lt;60,'General Basis'!$C$41,IF(G2285&lt;65,'General Basis'!$C$42,'General Basis'!$C$43)))),IF(G2285&lt;11,'General Basis'!$B$39,IF(G2285&lt;18,'General Basis'!$B$40,IF(G2285&lt;26,'General Basis'!$B$41,IF(G2285&lt;31,'General Basis'!$B$42,IF(G2285&lt;36,'General Basis'!$B$43,IF(G2285&lt;41,'General Basis'!$B$44,IF(G2285&lt;46,'General Basis'!$B$45,IF(G2285&lt;51,'General Basis'!$B$46,IF(G2285&lt;56,'General Basis'!$B$47,IF(G2285&lt;60,'General Basis'!$B$48,IF(G2285&lt;65,'General Basis'!$B$49,'General Basis'!$B$50)))))))))))))</f>
        <v/>
      </c>
      <c r="BI2285" s="744" t="str">
        <f t="shared" si="797"/>
        <v/>
      </c>
      <c r="BJ2285" s="747" t="str">
        <f t="shared" si="804"/>
        <v/>
      </c>
      <c r="BK2285" s="498" t="str">
        <f t="shared" si="798"/>
        <v/>
      </c>
      <c r="BL2285" s="498" t="str">
        <f t="shared" si="799"/>
        <v/>
      </c>
    </row>
    <row r="2286" spans="1:64" x14ac:dyDescent="0.25">
      <c r="A2286" s="762">
        <f t="shared" si="800"/>
        <v>2281</v>
      </c>
      <c r="B2286" s="229"/>
      <c r="C2286" s="223"/>
      <c r="D2286" s="224"/>
      <c r="E2286" s="225"/>
      <c r="F2286" s="1036" t="str">
        <f t="shared" si="806"/>
        <v/>
      </c>
      <c r="G2286" s="1037" t="str">
        <f t="shared" si="801"/>
        <v/>
      </c>
      <c r="H2286" s="225"/>
      <c r="I2286" s="1013"/>
      <c r="J2286" s="1013"/>
      <c r="K2286" s="1028"/>
      <c r="L2286" s="1035" t="str">
        <f t="shared" si="805"/>
        <v/>
      </c>
      <c r="S2286" s="498"/>
      <c r="AJ2286" s="498"/>
      <c r="AM2286" s="498">
        <f t="shared" si="786"/>
        <v>0</v>
      </c>
      <c r="AN2286" s="498">
        <f t="shared" si="787"/>
        <v>0</v>
      </c>
      <c r="AO2286" s="498">
        <f t="shared" si="788"/>
        <v>0</v>
      </c>
      <c r="AP2286" s="498">
        <f t="shared" si="807"/>
        <v>0</v>
      </c>
      <c r="AQ2286" s="498">
        <f t="shared" si="802"/>
        <v>0</v>
      </c>
      <c r="AU2286" s="498">
        <f t="shared" si="789"/>
        <v>0</v>
      </c>
      <c r="AV2286" s="498">
        <f t="shared" si="790"/>
        <v>0</v>
      </c>
      <c r="AW2286" s="498">
        <f t="shared" si="791"/>
        <v>0</v>
      </c>
      <c r="AX2286" s="498">
        <f t="shared" si="792"/>
        <v>0</v>
      </c>
      <c r="AY2286" s="498">
        <f t="shared" si="793"/>
        <v>0</v>
      </c>
      <c r="BB2286" s="498" t="str">
        <f t="shared" si="794"/>
        <v/>
      </c>
      <c r="BC2286" s="743" t="str">
        <f t="shared" si="795"/>
        <v/>
      </c>
      <c r="BD2286" s="743" t="str">
        <f t="shared" si="796"/>
        <v/>
      </c>
      <c r="BE2286" s="743" t="str">
        <f>IF(D2286="","",VLOOKUP(D2286,'General Basis'!$J$39:$K$46,2,0))</f>
        <v/>
      </c>
      <c r="BF2286" s="744" t="str">
        <f>IF(D2286="","",VLOOKUP(D2286,'General Basis'!$J$39:$L$46,3,0))</f>
        <v/>
      </c>
      <c r="BG2286" s="744" t="str">
        <f t="shared" si="803"/>
        <v/>
      </c>
      <c r="BH2286" s="744" t="str">
        <f>IF(G2286="","",IF(BF2286="Abu Dhabi",IF(G2286&lt;18,'General Basis'!$C$39,IF(G2286&lt;41,'General Basis'!$C$40,IF(G2286&lt;60,'General Basis'!$C$41,IF(G2286&lt;65,'General Basis'!$C$42,'General Basis'!$C$43)))),IF(G2286&lt;11,'General Basis'!$B$39,IF(G2286&lt;18,'General Basis'!$B$40,IF(G2286&lt;26,'General Basis'!$B$41,IF(G2286&lt;31,'General Basis'!$B$42,IF(G2286&lt;36,'General Basis'!$B$43,IF(G2286&lt;41,'General Basis'!$B$44,IF(G2286&lt;46,'General Basis'!$B$45,IF(G2286&lt;51,'General Basis'!$B$46,IF(G2286&lt;56,'General Basis'!$B$47,IF(G2286&lt;60,'General Basis'!$B$48,IF(G2286&lt;65,'General Basis'!$B$49,'General Basis'!$B$50)))))))))))))</f>
        <v/>
      </c>
      <c r="BI2286" s="744" t="str">
        <f t="shared" si="797"/>
        <v/>
      </c>
      <c r="BJ2286" s="747" t="str">
        <f t="shared" si="804"/>
        <v/>
      </c>
      <c r="BK2286" s="498" t="str">
        <f t="shared" si="798"/>
        <v/>
      </c>
      <c r="BL2286" s="498" t="str">
        <f t="shared" si="799"/>
        <v/>
      </c>
    </row>
    <row r="2287" spans="1:64" x14ac:dyDescent="0.25">
      <c r="A2287" s="762">
        <f t="shared" si="800"/>
        <v>2282</v>
      </c>
      <c r="B2287" s="229"/>
      <c r="C2287" s="223"/>
      <c r="D2287" s="224"/>
      <c r="E2287" s="225"/>
      <c r="F2287" s="1036" t="str">
        <f t="shared" si="806"/>
        <v/>
      </c>
      <c r="G2287" s="1037" t="str">
        <f t="shared" si="801"/>
        <v/>
      </c>
      <c r="H2287" s="225"/>
      <c r="I2287" s="1013"/>
      <c r="J2287" s="1013"/>
      <c r="K2287" s="1028"/>
      <c r="L2287" s="1035" t="str">
        <f t="shared" si="805"/>
        <v/>
      </c>
      <c r="S2287" s="498"/>
      <c r="AJ2287" s="498"/>
      <c r="AM2287" s="498">
        <f t="shared" si="786"/>
        <v>0</v>
      </c>
      <c r="AN2287" s="498">
        <f t="shared" si="787"/>
        <v>0</v>
      </c>
      <c r="AO2287" s="498">
        <f t="shared" si="788"/>
        <v>0</v>
      </c>
      <c r="AP2287" s="498">
        <f t="shared" si="807"/>
        <v>0</v>
      </c>
      <c r="AQ2287" s="498">
        <f t="shared" si="802"/>
        <v>0</v>
      </c>
      <c r="AU2287" s="498">
        <f t="shared" si="789"/>
        <v>0</v>
      </c>
      <c r="AV2287" s="498">
        <f t="shared" si="790"/>
        <v>0</v>
      </c>
      <c r="AW2287" s="498">
        <f t="shared" si="791"/>
        <v>0</v>
      </c>
      <c r="AX2287" s="498">
        <f t="shared" si="792"/>
        <v>0</v>
      </c>
      <c r="AY2287" s="498">
        <f t="shared" si="793"/>
        <v>0</v>
      </c>
      <c r="BB2287" s="498" t="str">
        <f t="shared" si="794"/>
        <v/>
      </c>
      <c r="BC2287" s="743" t="str">
        <f t="shared" si="795"/>
        <v/>
      </c>
      <c r="BD2287" s="743" t="str">
        <f t="shared" si="796"/>
        <v/>
      </c>
      <c r="BE2287" s="743" t="str">
        <f>IF(D2287="","",VLOOKUP(D2287,'General Basis'!$J$39:$K$46,2,0))</f>
        <v/>
      </c>
      <c r="BF2287" s="744" t="str">
        <f>IF(D2287="","",VLOOKUP(D2287,'General Basis'!$J$39:$L$46,3,0))</f>
        <v/>
      </c>
      <c r="BG2287" s="744" t="str">
        <f t="shared" si="803"/>
        <v/>
      </c>
      <c r="BH2287" s="744" t="str">
        <f>IF(G2287="","",IF(BF2287="Abu Dhabi",IF(G2287&lt;18,'General Basis'!$C$39,IF(G2287&lt;41,'General Basis'!$C$40,IF(G2287&lt;60,'General Basis'!$C$41,IF(G2287&lt;65,'General Basis'!$C$42,'General Basis'!$C$43)))),IF(G2287&lt;11,'General Basis'!$B$39,IF(G2287&lt;18,'General Basis'!$B$40,IF(G2287&lt;26,'General Basis'!$B$41,IF(G2287&lt;31,'General Basis'!$B$42,IF(G2287&lt;36,'General Basis'!$B$43,IF(G2287&lt;41,'General Basis'!$B$44,IF(G2287&lt;46,'General Basis'!$B$45,IF(G2287&lt;51,'General Basis'!$B$46,IF(G2287&lt;56,'General Basis'!$B$47,IF(G2287&lt;60,'General Basis'!$B$48,IF(G2287&lt;65,'General Basis'!$B$49,'General Basis'!$B$50)))))))))))))</f>
        <v/>
      </c>
      <c r="BI2287" s="744" t="str">
        <f t="shared" si="797"/>
        <v/>
      </c>
      <c r="BJ2287" s="747" t="str">
        <f t="shared" si="804"/>
        <v/>
      </c>
      <c r="BK2287" s="498" t="str">
        <f t="shared" si="798"/>
        <v/>
      </c>
      <c r="BL2287" s="498" t="str">
        <f t="shared" si="799"/>
        <v/>
      </c>
    </row>
    <row r="2288" spans="1:64" x14ac:dyDescent="0.25">
      <c r="A2288" s="762">
        <f t="shared" si="800"/>
        <v>2283</v>
      </c>
      <c r="B2288" s="229"/>
      <c r="C2288" s="223"/>
      <c r="D2288" s="224"/>
      <c r="E2288" s="225"/>
      <c r="F2288" s="1036" t="str">
        <f t="shared" si="806"/>
        <v/>
      </c>
      <c r="G2288" s="1037" t="str">
        <f t="shared" si="801"/>
        <v/>
      </c>
      <c r="H2288" s="225"/>
      <c r="I2288" s="1013"/>
      <c r="J2288" s="1013"/>
      <c r="K2288" s="1028"/>
      <c r="L2288" s="1035" t="str">
        <f t="shared" si="805"/>
        <v/>
      </c>
      <c r="S2288" s="498"/>
      <c r="AJ2288" s="498"/>
      <c r="AM2288" s="498">
        <f t="shared" si="786"/>
        <v>0</v>
      </c>
      <c r="AN2288" s="498">
        <f t="shared" si="787"/>
        <v>0</v>
      </c>
      <c r="AO2288" s="498">
        <f t="shared" si="788"/>
        <v>0</v>
      </c>
      <c r="AP2288" s="498">
        <f t="shared" si="807"/>
        <v>0</v>
      </c>
      <c r="AQ2288" s="498">
        <f t="shared" si="802"/>
        <v>0</v>
      </c>
      <c r="AU2288" s="498">
        <f t="shared" si="789"/>
        <v>0</v>
      </c>
      <c r="AV2288" s="498">
        <f t="shared" si="790"/>
        <v>0</v>
      </c>
      <c r="AW2288" s="498">
        <f t="shared" si="791"/>
        <v>0</v>
      </c>
      <c r="AX2288" s="498">
        <f t="shared" si="792"/>
        <v>0</v>
      </c>
      <c r="AY2288" s="498">
        <f t="shared" si="793"/>
        <v>0</v>
      </c>
      <c r="BB2288" s="498" t="str">
        <f t="shared" si="794"/>
        <v/>
      </c>
      <c r="BC2288" s="743" t="str">
        <f t="shared" si="795"/>
        <v/>
      </c>
      <c r="BD2288" s="743" t="str">
        <f t="shared" si="796"/>
        <v/>
      </c>
      <c r="BE2288" s="743" t="str">
        <f>IF(D2288="","",VLOOKUP(D2288,'General Basis'!$J$39:$K$46,2,0))</f>
        <v/>
      </c>
      <c r="BF2288" s="744" t="str">
        <f>IF(D2288="","",VLOOKUP(D2288,'General Basis'!$J$39:$L$46,3,0))</f>
        <v/>
      </c>
      <c r="BG2288" s="744" t="str">
        <f t="shared" si="803"/>
        <v/>
      </c>
      <c r="BH2288" s="744" t="str">
        <f>IF(G2288="","",IF(BF2288="Abu Dhabi",IF(G2288&lt;18,'General Basis'!$C$39,IF(G2288&lt;41,'General Basis'!$C$40,IF(G2288&lt;60,'General Basis'!$C$41,IF(G2288&lt;65,'General Basis'!$C$42,'General Basis'!$C$43)))),IF(G2288&lt;11,'General Basis'!$B$39,IF(G2288&lt;18,'General Basis'!$B$40,IF(G2288&lt;26,'General Basis'!$B$41,IF(G2288&lt;31,'General Basis'!$B$42,IF(G2288&lt;36,'General Basis'!$B$43,IF(G2288&lt;41,'General Basis'!$B$44,IF(G2288&lt;46,'General Basis'!$B$45,IF(G2288&lt;51,'General Basis'!$B$46,IF(G2288&lt;56,'General Basis'!$B$47,IF(G2288&lt;60,'General Basis'!$B$48,IF(G2288&lt;65,'General Basis'!$B$49,'General Basis'!$B$50)))))))))))))</f>
        <v/>
      </c>
      <c r="BI2288" s="744" t="str">
        <f t="shared" si="797"/>
        <v/>
      </c>
      <c r="BJ2288" s="747" t="str">
        <f t="shared" si="804"/>
        <v/>
      </c>
      <c r="BK2288" s="498" t="str">
        <f t="shared" si="798"/>
        <v/>
      </c>
      <c r="BL2288" s="498" t="str">
        <f t="shared" si="799"/>
        <v/>
      </c>
    </row>
    <row r="2289" spans="1:64" x14ac:dyDescent="0.25">
      <c r="A2289" s="762">
        <f t="shared" si="800"/>
        <v>2284</v>
      </c>
      <c r="B2289" s="229"/>
      <c r="C2289" s="223"/>
      <c r="D2289" s="224"/>
      <c r="E2289" s="225"/>
      <c r="F2289" s="1036" t="str">
        <f t="shared" si="806"/>
        <v/>
      </c>
      <c r="G2289" s="1037" t="str">
        <f t="shared" si="801"/>
        <v/>
      </c>
      <c r="H2289" s="225"/>
      <c r="I2289" s="1013"/>
      <c r="J2289" s="1013"/>
      <c r="K2289" s="1028"/>
      <c r="L2289" s="1035" t="str">
        <f t="shared" si="805"/>
        <v/>
      </c>
      <c r="S2289" s="498"/>
      <c r="AJ2289" s="498"/>
      <c r="AM2289" s="498">
        <f t="shared" si="786"/>
        <v>0</v>
      </c>
      <c r="AN2289" s="498">
        <f t="shared" si="787"/>
        <v>0</v>
      </c>
      <c r="AO2289" s="498">
        <f t="shared" si="788"/>
        <v>0</v>
      </c>
      <c r="AP2289" s="498">
        <f t="shared" si="807"/>
        <v>0</v>
      </c>
      <c r="AQ2289" s="498">
        <f t="shared" si="802"/>
        <v>0</v>
      </c>
      <c r="AU2289" s="498">
        <f t="shared" si="789"/>
        <v>0</v>
      </c>
      <c r="AV2289" s="498">
        <f t="shared" si="790"/>
        <v>0</v>
      </c>
      <c r="AW2289" s="498">
        <f t="shared" si="791"/>
        <v>0</v>
      </c>
      <c r="AX2289" s="498">
        <f t="shared" si="792"/>
        <v>0</v>
      </c>
      <c r="AY2289" s="498">
        <f t="shared" si="793"/>
        <v>0</v>
      </c>
      <c r="BB2289" s="498" t="str">
        <f t="shared" si="794"/>
        <v/>
      </c>
      <c r="BC2289" s="743" t="str">
        <f t="shared" si="795"/>
        <v/>
      </c>
      <c r="BD2289" s="743" t="str">
        <f t="shared" si="796"/>
        <v/>
      </c>
      <c r="BE2289" s="743" t="str">
        <f>IF(D2289="","",VLOOKUP(D2289,'General Basis'!$J$39:$K$46,2,0))</f>
        <v/>
      </c>
      <c r="BF2289" s="744" t="str">
        <f>IF(D2289="","",VLOOKUP(D2289,'General Basis'!$J$39:$L$46,3,0))</f>
        <v/>
      </c>
      <c r="BG2289" s="744" t="str">
        <f t="shared" si="803"/>
        <v/>
      </c>
      <c r="BH2289" s="744" t="str">
        <f>IF(G2289="","",IF(BF2289="Abu Dhabi",IF(G2289&lt;18,'General Basis'!$C$39,IF(G2289&lt;41,'General Basis'!$C$40,IF(G2289&lt;60,'General Basis'!$C$41,IF(G2289&lt;65,'General Basis'!$C$42,'General Basis'!$C$43)))),IF(G2289&lt;11,'General Basis'!$B$39,IF(G2289&lt;18,'General Basis'!$B$40,IF(G2289&lt;26,'General Basis'!$B$41,IF(G2289&lt;31,'General Basis'!$B$42,IF(G2289&lt;36,'General Basis'!$B$43,IF(G2289&lt;41,'General Basis'!$B$44,IF(G2289&lt;46,'General Basis'!$B$45,IF(G2289&lt;51,'General Basis'!$B$46,IF(G2289&lt;56,'General Basis'!$B$47,IF(G2289&lt;60,'General Basis'!$B$48,IF(G2289&lt;65,'General Basis'!$B$49,'General Basis'!$B$50)))))))))))))</f>
        <v/>
      </c>
      <c r="BI2289" s="744" t="str">
        <f t="shared" si="797"/>
        <v/>
      </c>
      <c r="BJ2289" s="747" t="str">
        <f t="shared" si="804"/>
        <v/>
      </c>
      <c r="BK2289" s="498" t="str">
        <f t="shared" si="798"/>
        <v/>
      </c>
      <c r="BL2289" s="498" t="str">
        <f t="shared" si="799"/>
        <v/>
      </c>
    </row>
    <row r="2290" spans="1:64" x14ac:dyDescent="0.25">
      <c r="A2290" s="762">
        <f t="shared" si="800"/>
        <v>2285</v>
      </c>
      <c r="B2290" s="229"/>
      <c r="C2290" s="223"/>
      <c r="D2290" s="224"/>
      <c r="E2290" s="225"/>
      <c r="F2290" s="1036" t="str">
        <f t="shared" si="806"/>
        <v/>
      </c>
      <c r="G2290" s="1037" t="str">
        <f t="shared" si="801"/>
        <v/>
      </c>
      <c r="H2290" s="225"/>
      <c r="I2290" s="1013"/>
      <c r="J2290" s="1013"/>
      <c r="K2290" s="1028"/>
      <c r="L2290" s="1035" t="str">
        <f t="shared" si="805"/>
        <v/>
      </c>
      <c r="S2290" s="498"/>
      <c r="AJ2290" s="498"/>
      <c r="AM2290" s="498">
        <f t="shared" si="786"/>
        <v>0</v>
      </c>
      <c r="AN2290" s="498">
        <f t="shared" si="787"/>
        <v>0</v>
      </c>
      <c r="AO2290" s="498">
        <f t="shared" si="788"/>
        <v>0</v>
      </c>
      <c r="AP2290" s="498">
        <f t="shared" si="807"/>
        <v>0</v>
      </c>
      <c r="AQ2290" s="498">
        <f t="shared" si="802"/>
        <v>0</v>
      </c>
      <c r="AU2290" s="498">
        <f t="shared" si="789"/>
        <v>0</v>
      </c>
      <c r="AV2290" s="498">
        <f t="shared" si="790"/>
        <v>0</v>
      </c>
      <c r="AW2290" s="498">
        <f t="shared" si="791"/>
        <v>0</v>
      </c>
      <c r="AX2290" s="498">
        <f t="shared" si="792"/>
        <v>0</v>
      </c>
      <c r="AY2290" s="498">
        <f t="shared" si="793"/>
        <v>0</v>
      </c>
      <c r="BB2290" s="498" t="str">
        <f t="shared" si="794"/>
        <v/>
      </c>
      <c r="BC2290" s="743" t="str">
        <f t="shared" si="795"/>
        <v/>
      </c>
      <c r="BD2290" s="743" t="str">
        <f t="shared" si="796"/>
        <v/>
      </c>
      <c r="BE2290" s="743" t="str">
        <f>IF(D2290="","",VLOOKUP(D2290,'General Basis'!$J$39:$K$46,2,0))</f>
        <v/>
      </c>
      <c r="BF2290" s="744" t="str">
        <f>IF(D2290="","",VLOOKUP(D2290,'General Basis'!$J$39:$L$46,3,0))</f>
        <v/>
      </c>
      <c r="BG2290" s="744" t="str">
        <f t="shared" si="803"/>
        <v/>
      </c>
      <c r="BH2290" s="744" t="str">
        <f>IF(G2290="","",IF(BF2290="Abu Dhabi",IF(G2290&lt;18,'General Basis'!$C$39,IF(G2290&lt;41,'General Basis'!$C$40,IF(G2290&lt;60,'General Basis'!$C$41,IF(G2290&lt;65,'General Basis'!$C$42,'General Basis'!$C$43)))),IF(G2290&lt;11,'General Basis'!$B$39,IF(G2290&lt;18,'General Basis'!$B$40,IF(G2290&lt;26,'General Basis'!$B$41,IF(G2290&lt;31,'General Basis'!$B$42,IF(G2290&lt;36,'General Basis'!$B$43,IF(G2290&lt;41,'General Basis'!$B$44,IF(G2290&lt;46,'General Basis'!$B$45,IF(G2290&lt;51,'General Basis'!$B$46,IF(G2290&lt;56,'General Basis'!$B$47,IF(G2290&lt;60,'General Basis'!$B$48,IF(G2290&lt;65,'General Basis'!$B$49,'General Basis'!$B$50)))))))))))))</f>
        <v/>
      </c>
      <c r="BI2290" s="744" t="str">
        <f t="shared" si="797"/>
        <v/>
      </c>
      <c r="BJ2290" s="747" t="str">
        <f t="shared" si="804"/>
        <v/>
      </c>
      <c r="BK2290" s="498" t="str">
        <f t="shared" si="798"/>
        <v/>
      </c>
      <c r="BL2290" s="498" t="str">
        <f t="shared" si="799"/>
        <v/>
      </c>
    </row>
    <row r="2291" spans="1:64" x14ac:dyDescent="0.25">
      <c r="A2291" s="762">
        <f t="shared" si="800"/>
        <v>2286</v>
      </c>
      <c r="B2291" s="229"/>
      <c r="C2291" s="223"/>
      <c r="D2291" s="224"/>
      <c r="E2291" s="225"/>
      <c r="F2291" s="1036" t="str">
        <f t="shared" si="806"/>
        <v/>
      </c>
      <c r="G2291" s="1037" t="str">
        <f t="shared" si="801"/>
        <v/>
      </c>
      <c r="H2291" s="225"/>
      <c r="I2291" s="1013"/>
      <c r="J2291" s="1013"/>
      <c r="K2291" s="1028"/>
      <c r="L2291" s="1035" t="str">
        <f t="shared" si="805"/>
        <v/>
      </c>
      <c r="S2291" s="498"/>
      <c r="AJ2291" s="498"/>
      <c r="AM2291" s="498">
        <f t="shared" si="786"/>
        <v>0</v>
      </c>
      <c r="AN2291" s="498">
        <f t="shared" si="787"/>
        <v>0</v>
      </c>
      <c r="AO2291" s="498">
        <f t="shared" si="788"/>
        <v>0</v>
      </c>
      <c r="AP2291" s="498">
        <f t="shared" si="807"/>
        <v>0</v>
      </c>
      <c r="AQ2291" s="498">
        <f t="shared" si="802"/>
        <v>0</v>
      </c>
      <c r="AU2291" s="498">
        <f t="shared" si="789"/>
        <v>0</v>
      </c>
      <c r="AV2291" s="498">
        <f t="shared" si="790"/>
        <v>0</v>
      </c>
      <c r="AW2291" s="498">
        <f t="shared" si="791"/>
        <v>0</v>
      </c>
      <c r="AX2291" s="498">
        <f t="shared" si="792"/>
        <v>0</v>
      </c>
      <c r="AY2291" s="498">
        <f t="shared" si="793"/>
        <v>0</v>
      </c>
      <c r="BB2291" s="498" t="str">
        <f t="shared" si="794"/>
        <v/>
      </c>
      <c r="BC2291" s="743" t="str">
        <f t="shared" si="795"/>
        <v/>
      </c>
      <c r="BD2291" s="743" t="str">
        <f t="shared" si="796"/>
        <v/>
      </c>
      <c r="BE2291" s="743" t="str">
        <f>IF(D2291="","",VLOOKUP(D2291,'General Basis'!$J$39:$K$46,2,0))</f>
        <v/>
      </c>
      <c r="BF2291" s="744" t="str">
        <f>IF(D2291="","",VLOOKUP(D2291,'General Basis'!$J$39:$L$46,3,0))</f>
        <v/>
      </c>
      <c r="BG2291" s="744" t="str">
        <f t="shared" si="803"/>
        <v/>
      </c>
      <c r="BH2291" s="744" t="str">
        <f>IF(G2291="","",IF(BF2291="Abu Dhabi",IF(G2291&lt;18,'General Basis'!$C$39,IF(G2291&lt;41,'General Basis'!$C$40,IF(G2291&lt;60,'General Basis'!$C$41,IF(G2291&lt;65,'General Basis'!$C$42,'General Basis'!$C$43)))),IF(G2291&lt;11,'General Basis'!$B$39,IF(G2291&lt;18,'General Basis'!$B$40,IF(G2291&lt;26,'General Basis'!$B$41,IF(G2291&lt;31,'General Basis'!$B$42,IF(G2291&lt;36,'General Basis'!$B$43,IF(G2291&lt;41,'General Basis'!$B$44,IF(G2291&lt;46,'General Basis'!$B$45,IF(G2291&lt;51,'General Basis'!$B$46,IF(G2291&lt;56,'General Basis'!$B$47,IF(G2291&lt;60,'General Basis'!$B$48,IF(G2291&lt;65,'General Basis'!$B$49,'General Basis'!$B$50)))))))))))))</f>
        <v/>
      </c>
      <c r="BI2291" s="744" t="str">
        <f t="shared" si="797"/>
        <v/>
      </c>
      <c r="BJ2291" s="747" t="str">
        <f t="shared" si="804"/>
        <v/>
      </c>
      <c r="BK2291" s="498" t="str">
        <f t="shared" si="798"/>
        <v/>
      </c>
      <c r="BL2291" s="498" t="str">
        <f t="shared" si="799"/>
        <v/>
      </c>
    </row>
    <row r="2292" spans="1:64" x14ac:dyDescent="0.25">
      <c r="A2292" s="762">
        <f t="shared" si="800"/>
        <v>2287</v>
      </c>
      <c r="B2292" s="229"/>
      <c r="C2292" s="223"/>
      <c r="D2292" s="224"/>
      <c r="E2292" s="225"/>
      <c r="F2292" s="1036" t="str">
        <f t="shared" si="806"/>
        <v/>
      </c>
      <c r="G2292" s="1037" t="str">
        <f t="shared" si="801"/>
        <v/>
      </c>
      <c r="H2292" s="225"/>
      <c r="I2292" s="1013"/>
      <c r="J2292" s="1013"/>
      <c r="K2292" s="1028"/>
      <c r="L2292" s="1035" t="str">
        <f t="shared" si="805"/>
        <v/>
      </c>
      <c r="S2292" s="498"/>
      <c r="AJ2292" s="498"/>
      <c r="AM2292" s="498">
        <f t="shared" si="786"/>
        <v>0</v>
      </c>
      <c r="AN2292" s="498">
        <f t="shared" si="787"/>
        <v>0</v>
      </c>
      <c r="AO2292" s="498">
        <f t="shared" si="788"/>
        <v>0</v>
      </c>
      <c r="AP2292" s="498">
        <f t="shared" si="807"/>
        <v>0</v>
      </c>
      <c r="AQ2292" s="498">
        <f t="shared" si="802"/>
        <v>0</v>
      </c>
      <c r="AU2292" s="498">
        <f t="shared" si="789"/>
        <v>0</v>
      </c>
      <c r="AV2292" s="498">
        <f t="shared" si="790"/>
        <v>0</v>
      </c>
      <c r="AW2292" s="498">
        <f t="shared" si="791"/>
        <v>0</v>
      </c>
      <c r="AX2292" s="498">
        <f t="shared" si="792"/>
        <v>0</v>
      </c>
      <c r="AY2292" s="498">
        <f t="shared" si="793"/>
        <v>0</v>
      </c>
      <c r="BB2292" s="498" t="str">
        <f t="shared" si="794"/>
        <v/>
      </c>
      <c r="BC2292" s="743" t="str">
        <f t="shared" si="795"/>
        <v/>
      </c>
      <c r="BD2292" s="743" t="str">
        <f t="shared" si="796"/>
        <v/>
      </c>
      <c r="BE2292" s="743" t="str">
        <f>IF(D2292="","",VLOOKUP(D2292,'General Basis'!$J$39:$K$46,2,0))</f>
        <v/>
      </c>
      <c r="BF2292" s="744" t="str">
        <f>IF(D2292="","",VLOOKUP(D2292,'General Basis'!$J$39:$L$46,3,0))</f>
        <v/>
      </c>
      <c r="BG2292" s="744" t="str">
        <f t="shared" si="803"/>
        <v/>
      </c>
      <c r="BH2292" s="744" t="str">
        <f>IF(G2292="","",IF(BF2292="Abu Dhabi",IF(G2292&lt;18,'General Basis'!$C$39,IF(G2292&lt;41,'General Basis'!$C$40,IF(G2292&lt;60,'General Basis'!$C$41,IF(G2292&lt;65,'General Basis'!$C$42,'General Basis'!$C$43)))),IF(G2292&lt;11,'General Basis'!$B$39,IF(G2292&lt;18,'General Basis'!$B$40,IF(G2292&lt;26,'General Basis'!$B$41,IF(G2292&lt;31,'General Basis'!$B$42,IF(G2292&lt;36,'General Basis'!$B$43,IF(G2292&lt;41,'General Basis'!$B$44,IF(G2292&lt;46,'General Basis'!$B$45,IF(G2292&lt;51,'General Basis'!$B$46,IF(G2292&lt;56,'General Basis'!$B$47,IF(G2292&lt;60,'General Basis'!$B$48,IF(G2292&lt;65,'General Basis'!$B$49,'General Basis'!$B$50)))))))))))))</f>
        <v/>
      </c>
      <c r="BI2292" s="744" t="str">
        <f t="shared" si="797"/>
        <v/>
      </c>
      <c r="BJ2292" s="747" t="str">
        <f t="shared" si="804"/>
        <v/>
      </c>
      <c r="BK2292" s="498" t="str">
        <f t="shared" si="798"/>
        <v/>
      </c>
      <c r="BL2292" s="498" t="str">
        <f t="shared" si="799"/>
        <v/>
      </c>
    </row>
    <row r="2293" spans="1:64" x14ac:dyDescent="0.25">
      <c r="A2293" s="762">
        <f t="shared" si="800"/>
        <v>2288</v>
      </c>
      <c r="B2293" s="229"/>
      <c r="C2293" s="223"/>
      <c r="D2293" s="224"/>
      <c r="E2293" s="225"/>
      <c r="F2293" s="1036" t="str">
        <f t="shared" si="806"/>
        <v/>
      </c>
      <c r="G2293" s="1037" t="str">
        <f t="shared" si="801"/>
        <v/>
      </c>
      <c r="H2293" s="225"/>
      <c r="I2293" s="1013"/>
      <c r="J2293" s="1013"/>
      <c r="K2293" s="1028"/>
      <c r="L2293" s="1035" t="str">
        <f t="shared" si="805"/>
        <v/>
      </c>
      <c r="S2293" s="498"/>
      <c r="AJ2293" s="498"/>
      <c r="AM2293" s="498">
        <f t="shared" si="786"/>
        <v>0</v>
      </c>
      <c r="AN2293" s="498">
        <f t="shared" si="787"/>
        <v>0</v>
      </c>
      <c r="AO2293" s="498">
        <f t="shared" si="788"/>
        <v>0</v>
      </c>
      <c r="AP2293" s="498">
        <f t="shared" si="807"/>
        <v>0</v>
      </c>
      <c r="AQ2293" s="498">
        <f t="shared" si="802"/>
        <v>0</v>
      </c>
      <c r="AU2293" s="498">
        <f t="shared" si="789"/>
        <v>0</v>
      </c>
      <c r="AV2293" s="498">
        <f t="shared" si="790"/>
        <v>0</v>
      </c>
      <c r="AW2293" s="498">
        <f t="shared" si="791"/>
        <v>0</v>
      </c>
      <c r="AX2293" s="498">
        <f t="shared" si="792"/>
        <v>0</v>
      </c>
      <c r="AY2293" s="498">
        <f t="shared" si="793"/>
        <v>0</v>
      </c>
      <c r="BB2293" s="498" t="str">
        <f t="shared" si="794"/>
        <v/>
      </c>
      <c r="BC2293" s="743" t="str">
        <f t="shared" si="795"/>
        <v/>
      </c>
      <c r="BD2293" s="743" t="str">
        <f t="shared" si="796"/>
        <v/>
      </c>
      <c r="BE2293" s="743" t="str">
        <f>IF(D2293="","",VLOOKUP(D2293,'General Basis'!$J$39:$K$46,2,0))</f>
        <v/>
      </c>
      <c r="BF2293" s="744" t="str">
        <f>IF(D2293="","",VLOOKUP(D2293,'General Basis'!$J$39:$L$46,3,0))</f>
        <v/>
      </c>
      <c r="BG2293" s="744" t="str">
        <f t="shared" si="803"/>
        <v/>
      </c>
      <c r="BH2293" s="744" t="str">
        <f>IF(G2293="","",IF(BF2293="Abu Dhabi",IF(G2293&lt;18,'General Basis'!$C$39,IF(G2293&lt;41,'General Basis'!$C$40,IF(G2293&lt;60,'General Basis'!$C$41,IF(G2293&lt;65,'General Basis'!$C$42,'General Basis'!$C$43)))),IF(G2293&lt;11,'General Basis'!$B$39,IF(G2293&lt;18,'General Basis'!$B$40,IF(G2293&lt;26,'General Basis'!$B$41,IF(G2293&lt;31,'General Basis'!$B$42,IF(G2293&lt;36,'General Basis'!$B$43,IF(G2293&lt;41,'General Basis'!$B$44,IF(G2293&lt;46,'General Basis'!$B$45,IF(G2293&lt;51,'General Basis'!$B$46,IF(G2293&lt;56,'General Basis'!$B$47,IF(G2293&lt;60,'General Basis'!$B$48,IF(G2293&lt;65,'General Basis'!$B$49,'General Basis'!$B$50)))))))))))))</f>
        <v/>
      </c>
      <c r="BI2293" s="744" t="str">
        <f t="shared" si="797"/>
        <v/>
      </c>
      <c r="BJ2293" s="747" t="str">
        <f t="shared" si="804"/>
        <v/>
      </c>
      <c r="BK2293" s="498" t="str">
        <f t="shared" si="798"/>
        <v/>
      </c>
      <c r="BL2293" s="498" t="str">
        <f t="shared" si="799"/>
        <v/>
      </c>
    </row>
    <row r="2294" spans="1:64" x14ac:dyDescent="0.25">
      <c r="A2294" s="762">
        <f t="shared" si="800"/>
        <v>2289</v>
      </c>
      <c r="B2294" s="229"/>
      <c r="C2294" s="223"/>
      <c r="D2294" s="224"/>
      <c r="E2294" s="225"/>
      <c r="F2294" s="1036" t="str">
        <f t="shared" si="806"/>
        <v/>
      </c>
      <c r="G2294" s="1037" t="str">
        <f t="shared" si="801"/>
        <v/>
      </c>
      <c r="H2294" s="225"/>
      <c r="I2294" s="1013"/>
      <c r="J2294" s="1013"/>
      <c r="K2294" s="1028"/>
      <c r="L2294" s="1035" t="str">
        <f t="shared" si="805"/>
        <v/>
      </c>
      <c r="S2294" s="498"/>
      <c r="AJ2294" s="498"/>
      <c r="AM2294" s="498">
        <f t="shared" si="786"/>
        <v>0</v>
      </c>
      <c r="AN2294" s="498">
        <f t="shared" si="787"/>
        <v>0</v>
      </c>
      <c r="AO2294" s="498">
        <f t="shared" si="788"/>
        <v>0</v>
      </c>
      <c r="AP2294" s="498">
        <f t="shared" si="807"/>
        <v>0</v>
      </c>
      <c r="AQ2294" s="498">
        <f t="shared" si="802"/>
        <v>0</v>
      </c>
      <c r="AU2294" s="498">
        <f t="shared" si="789"/>
        <v>0</v>
      </c>
      <c r="AV2294" s="498">
        <f t="shared" si="790"/>
        <v>0</v>
      </c>
      <c r="AW2294" s="498">
        <f t="shared" si="791"/>
        <v>0</v>
      </c>
      <c r="AX2294" s="498">
        <f t="shared" si="792"/>
        <v>0</v>
      </c>
      <c r="AY2294" s="498">
        <f t="shared" si="793"/>
        <v>0</v>
      </c>
      <c r="BB2294" s="498" t="str">
        <f t="shared" si="794"/>
        <v/>
      </c>
      <c r="BC2294" s="743" t="str">
        <f t="shared" si="795"/>
        <v/>
      </c>
      <c r="BD2294" s="743" t="str">
        <f t="shared" si="796"/>
        <v/>
      </c>
      <c r="BE2294" s="743" t="str">
        <f>IF(D2294="","",VLOOKUP(D2294,'General Basis'!$J$39:$K$46,2,0))</f>
        <v/>
      </c>
      <c r="BF2294" s="744" t="str">
        <f>IF(D2294="","",VLOOKUP(D2294,'General Basis'!$J$39:$L$46,3,0))</f>
        <v/>
      </c>
      <c r="BG2294" s="744" t="str">
        <f t="shared" si="803"/>
        <v/>
      </c>
      <c r="BH2294" s="744" t="str">
        <f>IF(G2294="","",IF(BF2294="Abu Dhabi",IF(G2294&lt;18,'General Basis'!$C$39,IF(G2294&lt;41,'General Basis'!$C$40,IF(G2294&lt;60,'General Basis'!$C$41,IF(G2294&lt;65,'General Basis'!$C$42,'General Basis'!$C$43)))),IF(G2294&lt;11,'General Basis'!$B$39,IF(G2294&lt;18,'General Basis'!$B$40,IF(G2294&lt;26,'General Basis'!$B$41,IF(G2294&lt;31,'General Basis'!$B$42,IF(G2294&lt;36,'General Basis'!$B$43,IF(G2294&lt;41,'General Basis'!$B$44,IF(G2294&lt;46,'General Basis'!$B$45,IF(G2294&lt;51,'General Basis'!$B$46,IF(G2294&lt;56,'General Basis'!$B$47,IF(G2294&lt;60,'General Basis'!$B$48,IF(G2294&lt;65,'General Basis'!$B$49,'General Basis'!$B$50)))))))))))))</f>
        <v/>
      </c>
      <c r="BI2294" s="744" t="str">
        <f t="shared" si="797"/>
        <v/>
      </c>
      <c r="BJ2294" s="747" t="str">
        <f t="shared" si="804"/>
        <v/>
      </c>
      <c r="BK2294" s="498" t="str">
        <f t="shared" si="798"/>
        <v/>
      </c>
      <c r="BL2294" s="498" t="str">
        <f t="shared" si="799"/>
        <v/>
      </c>
    </row>
    <row r="2295" spans="1:64" x14ac:dyDescent="0.25">
      <c r="A2295" s="762">
        <f t="shared" si="800"/>
        <v>2290</v>
      </c>
      <c r="B2295" s="229"/>
      <c r="C2295" s="223"/>
      <c r="D2295" s="224"/>
      <c r="E2295" s="225"/>
      <c r="F2295" s="1036" t="str">
        <f t="shared" si="806"/>
        <v/>
      </c>
      <c r="G2295" s="1037" t="str">
        <f t="shared" si="801"/>
        <v/>
      </c>
      <c r="H2295" s="225"/>
      <c r="I2295" s="1013"/>
      <c r="J2295" s="1013"/>
      <c r="K2295" s="1028"/>
      <c r="L2295" s="1035" t="str">
        <f t="shared" si="805"/>
        <v/>
      </c>
      <c r="S2295" s="498"/>
      <c r="AJ2295" s="498"/>
      <c r="AM2295" s="498">
        <f t="shared" si="786"/>
        <v>0</v>
      </c>
      <c r="AN2295" s="498">
        <f t="shared" si="787"/>
        <v>0</v>
      </c>
      <c r="AO2295" s="498">
        <f t="shared" si="788"/>
        <v>0</v>
      </c>
      <c r="AP2295" s="498">
        <f t="shared" si="807"/>
        <v>0</v>
      </c>
      <c r="AQ2295" s="498">
        <f t="shared" si="802"/>
        <v>0</v>
      </c>
      <c r="AU2295" s="498">
        <f t="shared" si="789"/>
        <v>0</v>
      </c>
      <c r="AV2295" s="498">
        <f t="shared" si="790"/>
        <v>0</v>
      </c>
      <c r="AW2295" s="498">
        <f t="shared" si="791"/>
        <v>0</v>
      </c>
      <c r="AX2295" s="498">
        <f t="shared" si="792"/>
        <v>0</v>
      </c>
      <c r="AY2295" s="498">
        <f t="shared" si="793"/>
        <v>0</v>
      </c>
      <c r="BB2295" s="498" t="str">
        <f t="shared" si="794"/>
        <v/>
      </c>
      <c r="BC2295" s="743" t="str">
        <f t="shared" si="795"/>
        <v/>
      </c>
      <c r="BD2295" s="743" t="str">
        <f t="shared" si="796"/>
        <v/>
      </c>
      <c r="BE2295" s="743" t="str">
        <f>IF(D2295="","",VLOOKUP(D2295,'General Basis'!$J$39:$K$46,2,0))</f>
        <v/>
      </c>
      <c r="BF2295" s="744" t="str">
        <f>IF(D2295="","",VLOOKUP(D2295,'General Basis'!$J$39:$L$46,3,0))</f>
        <v/>
      </c>
      <c r="BG2295" s="744" t="str">
        <f t="shared" si="803"/>
        <v/>
      </c>
      <c r="BH2295" s="744" t="str">
        <f>IF(G2295="","",IF(BF2295="Abu Dhabi",IF(G2295&lt;18,'General Basis'!$C$39,IF(G2295&lt;41,'General Basis'!$C$40,IF(G2295&lt;60,'General Basis'!$C$41,IF(G2295&lt;65,'General Basis'!$C$42,'General Basis'!$C$43)))),IF(G2295&lt;11,'General Basis'!$B$39,IF(G2295&lt;18,'General Basis'!$B$40,IF(G2295&lt;26,'General Basis'!$B$41,IF(G2295&lt;31,'General Basis'!$B$42,IF(G2295&lt;36,'General Basis'!$B$43,IF(G2295&lt;41,'General Basis'!$B$44,IF(G2295&lt;46,'General Basis'!$B$45,IF(G2295&lt;51,'General Basis'!$B$46,IF(G2295&lt;56,'General Basis'!$B$47,IF(G2295&lt;60,'General Basis'!$B$48,IF(G2295&lt;65,'General Basis'!$B$49,'General Basis'!$B$50)))))))))))))</f>
        <v/>
      </c>
      <c r="BI2295" s="744" t="str">
        <f t="shared" si="797"/>
        <v/>
      </c>
      <c r="BJ2295" s="747" t="str">
        <f t="shared" si="804"/>
        <v/>
      </c>
      <c r="BK2295" s="498" t="str">
        <f t="shared" si="798"/>
        <v/>
      </c>
      <c r="BL2295" s="498" t="str">
        <f t="shared" si="799"/>
        <v/>
      </c>
    </row>
    <row r="2296" spans="1:64" x14ac:dyDescent="0.25">
      <c r="A2296" s="762">
        <f t="shared" si="800"/>
        <v>2291</v>
      </c>
      <c r="B2296" s="229"/>
      <c r="C2296" s="223"/>
      <c r="D2296" s="224"/>
      <c r="E2296" s="225"/>
      <c r="F2296" s="1036" t="str">
        <f t="shared" si="806"/>
        <v/>
      </c>
      <c r="G2296" s="1037" t="str">
        <f t="shared" si="801"/>
        <v/>
      </c>
      <c r="H2296" s="225"/>
      <c r="I2296" s="1013"/>
      <c r="J2296" s="1013"/>
      <c r="K2296" s="1028"/>
      <c r="L2296" s="1035" t="str">
        <f t="shared" si="805"/>
        <v/>
      </c>
      <c r="S2296" s="498"/>
      <c r="AJ2296" s="498"/>
      <c r="AM2296" s="498">
        <f t="shared" si="786"/>
        <v>0</v>
      </c>
      <c r="AN2296" s="498">
        <f t="shared" si="787"/>
        <v>0</v>
      </c>
      <c r="AO2296" s="498">
        <f t="shared" si="788"/>
        <v>0</v>
      </c>
      <c r="AP2296" s="498">
        <f t="shared" si="807"/>
        <v>0</v>
      </c>
      <c r="AQ2296" s="498">
        <f t="shared" si="802"/>
        <v>0</v>
      </c>
      <c r="AU2296" s="498">
        <f t="shared" si="789"/>
        <v>0</v>
      </c>
      <c r="AV2296" s="498">
        <f t="shared" si="790"/>
        <v>0</v>
      </c>
      <c r="AW2296" s="498">
        <f t="shared" si="791"/>
        <v>0</v>
      </c>
      <c r="AX2296" s="498">
        <f t="shared" si="792"/>
        <v>0</v>
      </c>
      <c r="AY2296" s="498">
        <f t="shared" si="793"/>
        <v>0</v>
      </c>
      <c r="BB2296" s="498" t="str">
        <f t="shared" si="794"/>
        <v/>
      </c>
      <c r="BC2296" s="743" t="str">
        <f t="shared" si="795"/>
        <v/>
      </c>
      <c r="BD2296" s="743" t="str">
        <f t="shared" si="796"/>
        <v/>
      </c>
      <c r="BE2296" s="743" t="str">
        <f>IF(D2296="","",VLOOKUP(D2296,'General Basis'!$J$39:$K$46,2,0))</f>
        <v/>
      </c>
      <c r="BF2296" s="744" t="str">
        <f>IF(D2296="","",VLOOKUP(D2296,'General Basis'!$J$39:$L$46,3,0))</f>
        <v/>
      </c>
      <c r="BG2296" s="744" t="str">
        <f t="shared" si="803"/>
        <v/>
      </c>
      <c r="BH2296" s="744" t="str">
        <f>IF(G2296="","",IF(BF2296="Abu Dhabi",IF(G2296&lt;18,'General Basis'!$C$39,IF(G2296&lt;41,'General Basis'!$C$40,IF(G2296&lt;60,'General Basis'!$C$41,IF(G2296&lt;65,'General Basis'!$C$42,'General Basis'!$C$43)))),IF(G2296&lt;11,'General Basis'!$B$39,IF(G2296&lt;18,'General Basis'!$B$40,IF(G2296&lt;26,'General Basis'!$B$41,IF(G2296&lt;31,'General Basis'!$B$42,IF(G2296&lt;36,'General Basis'!$B$43,IF(G2296&lt;41,'General Basis'!$B$44,IF(G2296&lt;46,'General Basis'!$B$45,IF(G2296&lt;51,'General Basis'!$B$46,IF(G2296&lt;56,'General Basis'!$B$47,IF(G2296&lt;60,'General Basis'!$B$48,IF(G2296&lt;65,'General Basis'!$B$49,'General Basis'!$B$50)))))))))))))</f>
        <v/>
      </c>
      <c r="BI2296" s="744" t="str">
        <f t="shared" si="797"/>
        <v/>
      </c>
      <c r="BJ2296" s="747" t="str">
        <f t="shared" si="804"/>
        <v/>
      </c>
      <c r="BK2296" s="498" t="str">
        <f t="shared" si="798"/>
        <v/>
      </c>
      <c r="BL2296" s="498" t="str">
        <f t="shared" si="799"/>
        <v/>
      </c>
    </row>
    <row r="2297" spans="1:64" x14ac:dyDescent="0.25">
      <c r="A2297" s="762">
        <f t="shared" si="800"/>
        <v>2292</v>
      </c>
      <c r="B2297" s="229"/>
      <c r="C2297" s="223"/>
      <c r="D2297" s="224"/>
      <c r="E2297" s="225"/>
      <c r="F2297" s="1036" t="str">
        <f t="shared" si="806"/>
        <v/>
      </c>
      <c r="G2297" s="1037" t="str">
        <f t="shared" si="801"/>
        <v/>
      </c>
      <c r="H2297" s="225"/>
      <c r="I2297" s="1013"/>
      <c r="J2297" s="1013"/>
      <c r="K2297" s="1028"/>
      <c r="L2297" s="1035" t="str">
        <f t="shared" si="805"/>
        <v/>
      </c>
      <c r="S2297" s="498"/>
      <c r="AJ2297" s="498"/>
      <c r="AM2297" s="498">
        <f t="shared" si="786"/>
        <v>0</v>
      </c>
      <c r="AN2297" s="498">
        <f t="shared" si="787"/>
        <v>0</v>
      </c>
      <c r="AO2297" s="498">
        <f t="shared" si="788"/>
        <v>0</v>
      </c>
      <c r="AP2297" s="498">
        <f t="shared" si="807"/>
        <v>0</v>
      </c>
      <c r="AQ2297" s="498">
        <f t="shared" si="802"/>
        <v>0</v>
      </c>
      <c r="AU2297" s="498">
        <f t="shared" si="789"/>
        <v>0</v>
      </c>
      <c r="AV2297" s="498">
        <f t="shared" si="790"/>
        <v>0</v>
      </c>
      <c r="AW2297" s="498">
        <f t="shared" si="791"/>
        <v>0</v>
      </c>
      <c r="AX2297" s="498">
        <f t="shared" si="792"/>
        <v>0</v>
      </c>
      <c r="AY2297" s="498">
        <f t="shared" si="793"/>
        <v>0</v>
      </c>
      <c r="BB2297" s="498" t="str">
        <f t="shared" si="794"/>
        <v/>
      </c>
      <c r="BC2297" s="743" t="str">
        <f t="shared" si="795"/>
        <v/>
      </c>
      <c r="BD2297" s="743" t="str">
        <f t="shared" si="796"/>
        <v/>
      </c>
      <c r="BE2297" s="743" t="str">
        <f>IF(D2297="","",VLOOKUP(D2297,'General Basis'!$J$39:$K$46,2,0))</f>
        <v/>
      </c>
      <c r="BF2297" s="744" t="str">
        <f>IF(D2297="","",VLOOKUP(D2297,'General Basis'!$J$39:$L$46,3,0))</f>
        <v/>
      </c>
      <c r="BG2297" s="744" t="str">
        <f t="shared" si="803"/>
        <v/>
      </c>
      <c r="BH2297" s="744" t="str">
        <f>IF(G2297="","",IF(BF2297="Abu Dhabi",IF(G2297&lt;18,'General Basis'!$C$39,IF(G2297&lt;41,'General Basis'!$C$40,IF(G2297&lt;60,'General Basis'!$C$41,IF(G2297&lt;65,'General Basis'!$C$42,'General Basis'!$C$43)))),IF(G2297&lt;11,'General Basis'!$B$39,IF(G2297&lt;18,'General Basis'!$B$40,IF(G2297&lt;26,'General Basis'!$B$41,IF(G2297&lt;31,'General Basis'!$B$42,IF(G2297&lt;36,'General Basis'!$B$43,IF(G2297&lt;41,'General Basis'!$B$44,IF(G2297&lt;46,'General Basis'!$B$45,IF(G2297&lt;51,'General Basis'!$B$46,IF(G2297&lt;56,'General Basis'!$B$47,IF(G2297&lt;60,'General Basis'!$B$48,IF(G2297&lt;65,'General Basis'!$B$49,'General Basis'!$B$50)))))))))))))</f>
        <v/>
      </c>
      <c r="BI2297" s="744" t="str">
        <f t="shared" si="797"/>
        <v/>
      </c>
      <c r="BJ2297" s="747" t="str">
        <f t="shared" si="804"/>
        <v/>
      </c>
      <c r="BK2297" s="498" t="str">
        <f t="shared" si="798"/>
        <v/>
      </c>
      <c r="BL2297" s="498" t="str">
        <f t="shared" si="799"/>
        <v/>
      </c>
    </row>
    <row r="2298" spans="1:64" x14ac:dyDescent="0.25">
      <c r="A2298" s="762">
        <f t="shared" si="800"/>
        <v>2293</v>
      </c>
      <c r="B2298" s="229"/>
      <c r="C2298" s="223"/>
      <c r="D2298" s="224"/>
      <c r="E2298" s="225"/>
      <c r="F2298" s="1036" t="str">
        <f t="shared" si="806"/>
        <v/>
      </c>
      <c r="G2298" s="1037" t="str">
        <f t="shared" si="801"/>
        <v/>
      </c>
      <c r="H2298" s="225"/>
      <c r="I2298" s="1013"/>
      <c r="J2298" s="1013"/>
      <c r="K2298" s="1028"/>
      <c r="L2298" s="1035" t="str">
        <f t="shared" si="805"/>
        <v/>
      </c>
      <c r="S2298" s="498"/>
      <c r="AJ2298" s="498"/>
      <c r="AM2298" s="498">
        <f t="shared" si="786"/>
        <v>0</v>
      </c>
      <c r="AN2298" s="498">
        <f t="shared" si="787"/>
        <v>0</v>
      </c>
      <c r="AO2298" s="498">
        <f t="shared" si="788"/>
        <v>0</v>
      </c>
      <c r="AP2298" s="498">
        <f t="shared" si="807"/>
        <v>0</v>
      </c>
      <c r="AQ2298" s="498">
        <f t="shared" si="802"/>
        <v>0</v>
      </c>
      <c r="AU2298" s="498">
        <f t="shared" si="789"/>
        <v>0</v>
      </c>
      <c r="AV2298" s="498">
        <f t="shared" si="790"/>
        <v>0</v>
      </c>
      <c r="AW2298" s="498">
        <f t="shared" si="791"/>
        <v>0</v>
      </c>
      <c r="AX2298" s="498">
        <f t="shared" si="792"/>
        <v>0</v>
      </c>
      <c r="AY2298" s="498">
        <f t="shared" si="793"/>
        <v>0</v>
      </c>
      <c r="BB2298" s="498" t="str">
        <f t="shared" si="794"/>
        <v/>
      </c>
      <c r="BC2298" s="743" t="str">
        <f t="shared" si="795"/>
        <v/>
      </c>
      <c r="BD2298" s="743" t="str">
        <f t="shared" si="796"/>
        <v/>
      </c>
      <c r="BE2298" s="743" t="str">
        <f>IF(D2298="","",VLOOKUP(D2298,'General Basis'!$J$39:$K$46,2,0))</f>
        <v/>
      </c>
      <c r="BF2298" s="744" t="str">
        <f>IF(D2298="","",VLOOKUP(D2298,'General Basis'!$J$39:$L$46,3,0))</f>
        <v/>
      </c>
      <c r="BG2298" s="744" t="str">
        <f t="shared" si="803"/>
        <v/>
      </c>
      <c r="BH2298" s="744" t="str">
        <f>IF(G2298="","",IF(BF2298="Abu Dhabi",IF(G2298&lt;18,'General Basis'!$C$39,IF(G2298&lt;41,'General Basis'!$C$40,IF(G2298&lt;60,'General Basis'!$C$41,IF(G2298&lt;65,'General Basis'!$C$42,'General Basis'!$C$43)))),IF(G2298&lt;11,'General Basis'!$B$39,IF(G2298&lt;18,'General Basis'!$B$40,IF(G2298&lt;26,'General Basis'!$B$41,IF(G2298&lt;31,'General Basis'!$B$42,IF(G2298&lt;36,'General Basis'!$B$43,IF(G2298&lt;41,'General Basis'!$B$44,IF(G2298&lt;46,'General Basis'!$B$45,IF(G2298&lt;51,'General Basis'!$B$46,IF(G2298&lt;56,'General Basis'!$B$47,IF(G2298&lt;60,'General Basis'!$B$48,IF(G2298&lt;65,'General Basis'!$B$49,'General Basis'!$B$50)))))))))))))</f>
        <v/>
      </c>
      <c r="BI2298" s="744" t="str">
        <f t="shared" si="797"/>
        <v/>
      </c>
      <c r="BJ2298" s="747" t="str">
        <f t="shared" si="804"/>
        <v/>
      </c>
      <c r="BK2298" s="498" t="str">
        <f t="shared" si="798"/>
        <v/>
      </c>
      <c r="BL2298" s="498" t="str">
        <f t="shared" si="799"/>
        <v/>
      </c>
    </row>
    <row r="2299" spans="1:64" x14ac:dyDescent="0.25">
      <c r="A2299" s="762">
        <f t="shared" si="800"/>
        <v>2294</v>
      </c>
      <c r="B2299" s="229"/>
      <c r="C2299" s="223"/>
      <c r="D2299" s="224"/>
      <c r="E2299" s="225"/>
      <c r="F2299" s="1036" t="str">
        <f t="shared" si="806"/>
        <v/>
      </c>
      <c r="G2299" s="1037" t="str">
        <f t="shared" si="801"/>
        <v/>
      </c>
      <c r="H2299" s="225"/>
      <c r="I2299" s="1013"/>
      <c r="J2299" s="1013"/>
      <c r="K2299" s="1028"/>
      <c r="L2299" s="1035" t="str">
        <f t="shared" si="805"/>
        <v/>
      </c>
      <c r="S2299" s="498"/>
      <c r="AJ2299" s="498"/>
      <c r="AM2299" s="498">
        <f t="shared" si="786"/>
        <v>0</v>
      </c>
      <c r="AN2299" s="498">
        <f t="shared" si="787"/>
        <v>0</v>
      </c>
      <c r="AO2299" s="498">
        <f t="shared" si="788"/>
        <v>0</v>
      </c>
      <c r="AP2299" s="498">
        <f t="shared" si="807"/>
        <v>0</v>
      </c>
      <c r="AQ2299" s="498">
        <f t="shared" si="802"/>
        <v>0</v>
      </c>
      <c r="AU2299" s="498">
        <f t="shared" si="789"/>
        <v>0</v>
      </c>
      <c r="AV2299" s="498">
        <f t="shared" si="790"/>
        <v>0</v>
      </c>
      <c r="AW2299" s="498">
        <f t="shared" si="791"/>
        <v>0</v>
      </c>
      <c r="AX2299" s="498">
        <f t="shared" si="792"/>
        <v>0</v>
      </c>
      <c r="AY2299" s="498">
        <f t="shared" si="793"/>
        <v>0</v>
      </c>
      <c r="BB2299" s="498" t="str">
        <f t="shared" si="794"/>
        <v/>
      </c>
      <c r="BC2299" s="743" t="str">
        <f t="shared" si="795"/>
        <v/>
      </c>
      <c r="BD2299" s="743" t="str">
        <f t="shared" si="796"/>
        <v/>
      </c>
      <c r="BE2299" s="743" t="str">
        <f>IF(D2299="","",VLOOKUP(D2299,'General Basis'!$J$39:$K$46,2,0))</f>
        <v/>
      </c>
      <c r="BF2299" s="744" t="str">
        <f>IF(D2299="","",VLOOKUP(D2299,'General Basis'!$J$39:$L$46,3,0))</f>
        <v/>
      </c>
      <c r="BG2299" s="744" t="str">
        <f t="shared" si="803"/>
        <v/>
      </c>
      <c r="BH2299" s="744" t="str">
        <f>IF(G2299="","",IF(BF2299="Abu Dhabi",IF(G2299&lt;18,'General Basis'!$C$39,IF(G2299&lt;41,'General Basis'!$C$40,IF(G2299&lt;60,'General Basis'!$C$41,IF(G2299&lt;65,'General Basis'!$C$42,'General Basis'!$C$43)))),IF(G2299&lt;11,'General Basis'!$B$39,IF(G2299&lt;18,'General Basis'!$B$40,IF(G2299&lt;26,'General Basis'!$B$41,IF(G2299&lt;31,'General Basis'!$B$42,IF(G2299&lt;36,'General Basis'!$B$43,IF(G2299&lt;41,'General Basis'!$B$44,IF(G2299&lt;46,'General Basis'!$B$45,IF(G2299&lt;51,'General Basis'!$B$46,IF(G2299&lt;56,'General Basis'!$B$47,IF(G2299&lt;60,'General Basis'!$B$48,IF(G2299&lt;65,'General Basis'!$B$49,'General Basis'!$B$50)))))))))))))</f>
        <v/>
      </c>
      <c r="BI2299" s="744" t="str">
        <f t="shared" si="797"/>
        <v/>
      </c>
      <c r="BJ2299" s="747" t="str">
        <f t="shared" si="804"/>
        <v/>
      </c>
      <c r="BK2299" s="498" t="str">
        <f t="shared" si="798"/>
        <v/>
      </c>
      <c r="BL2299" s="498" t="str">
        <f t="shared" si="799"/>
        <v/>
      </c>
    </row>
    <row r="2300" spans="1:64" x14ac:dyDescent="0.25">
      <c r="A2300" s="762">
        <f t="shared" si="800"/>
        <v>2295</v>
      </c>
      <c r="B2300" s="229"/>
      <c r="C2300" s="223"/>
      <c r="D2300" s="224"/>
      <c r="E2300" s="225"/>
      <c r="F2300" s="1036" t="str">
        <f t="shared" si="806"/>
        <v/>
      </c>
      <c r="G2300" s="1037" t="str">
        <f t="shared" si="801"/>
        <v/>
      </c>
      <c r="H2300" s="225"/>
      <c r="I2300" s="1013"/>
      <c r="J2300" s="1013"/>
      <c r="K2300" s="1028"/>
      <c r="L2300" s="1035" t="str">
        <f t="shared" si="805"/>
        <v/>
      </c>
      <c r="S2300" s="498"/>
      <c r="AJ2300" s="498"/>
      <c r="AM2300" s="498">
        <f t="shared" si="786"/>
        <v>0</v>
      </c>
      <c r="AN2300" s="498">
        <f t="shared" si="787"/>
        <v>0</v>
      </c>
      <c r="AO2300" s="498">
        <f t="shared" si="788"/>
        <v>0</v>
      </c>
      <c r="AP2300" s="498">
        <f t="shared" si="807"/>
        <v>0</v>
      </c>
      <c r="AQ2300" s="498">
        <f t="shared" si="802"/>
        <v>0</v>
      </c>
      <c r="AU2300" s="498">
        <f t="shared" si="789"/>
        <v>0</v>
      </c>
      <c r="AV2300" s="498">
        <f t="shared" si="790"/>
        <v>0</v>
      </c>
      <c r="AW2300" s="498">
        <f t="shared" si="791"/>
        <v>0</v>
      </c>
      <c r="AX2300" s="498">
        <f t="shared" si="792"/>
        <v>0</v>
      </c>
      <c r="AY2300" s="498">
        <f t="shared" si="793"/>
        <v>0</v>
      </c>
      <c r="BB2300" s="498" t="str">
        <f t="shared" si="794"/>
        <v/>
      </c>
      <c r="BC2300" s="743" t="str">
        <f t="shared" si="795"/>
        <v/>
      </c>
      <c r="BD2300" s="743" t="str">
        <f t="shared" si="796"/>
        <v/>
      </c>
      <c r="BE2300" s="743" t="str">
        <f>IF(D2300="","",VLOOKUP(D2300,'General Basis'!$J$39:$K$46,2,0))</f>
        <v/>
      </c>
      <c r="BF2300" s="744" t="str">
        <f>IF(D2300="","",VLOOKUP(D2300,'General Basis'!$J$39:$L$46,3,0))</f>
        <v/>
      </c>
      <c r="BG2300" s="744" t="str">
        <f t="shared" si="803"/>
        <v/>
      </c>
      <c r="BH2300" s="744" t="str">
        <f>IF(G2300="","",IF(BF2300="Abu Dhabi",IF(G2300&lt;18,'General Basis'!$C$39,IF(G2300&lt;41,'General Basis'!$C$40,IF(G2300&lt;60,'General Basis'!$C$41,IF(G2300&lt;65,'General Basis'!$C$42,'General Basis'!$C$43)))),IF(G2300&lt;11,'General Basis'!$B$39,IF(G2300&lt;18,'General Basis'!$B$40,IF(G2300&lt;26,'General Basis'!$B$41,IF(G2300&lt;31,'General Basis'!$B$42,IF(G2300&lt;36,'General Basis'!$B$43,IF(G2300&lt;41,'General Basis'!$B$44,IF(G2300&lt;46,'General Basis'!$B$45,IF(G2300&lt;51,'General Basis'!$B$46,IF(G2300&lt;56,'General Basis'!$B$47,IF(G2300&lt;60,'General Basis'!$B$48,IF(G2300&lt;65,'General Basis'!$B$49,'General Basis'!$B$50)))))))))))))</f>
        <v/>
      </c>
      <c r="BI2300" s="744" t="str">
        <f t="shared" si="797"/>
        <v/>
      </c>
      <c r="BJ2300" s="747" t="str">
        <f t="shared" si="804"/>
        <v/>
      </c>
      <c r="BK2300" s="498" t="str">
        <f t="shared" si="798"/>
        <v/>
      </c>
      <c r="BL2300" s="498" t="str">
        <f t="shared" si="799"/>
        <v/>
      </c>
    </row>
    <row r="2301" spans="1:64" x14ac:dyDescent="0.25">
      <c r="A2301" s="762">
        <f t="shared" si="800"/>
        <v>2296</v>
      </c>
      <c r="B2301" s="229"/>
      <c r="C2301" s="223"/>
      <c r="D2301" s="224"/>
      <c r="E2301" s="225"/>
      <c r="F2301" s="1036" t="str">
        <f t="shared" si="806"/>
        <v/>
      </c>
      <c r="G2301" s="1037" t="str">
        <f t="shared" si="801"/>
        <v/>
      </c>
      <c r="H2301" s="225"/>
      <c r="I2301" s="1013"/>
      <c r="J2301" s="1013"/>
      <c r="K2301" s="1028"/>
      <c r="L2301" s="1035" t="str">
        <f t="shared" si="805"/>
        <v/>
      </c>
      <c r="S2301" s="498"/>
      <c r="AJ2301" s="498"/>
      <c r="AM2301" s="498">
        <f t="shared" si="786"/>
        <v>0</v>
      </c>
      <c r="AN2301" s="498">
        <f t="shared" si="787"/>
        <v>0</v>
      </c>
      <c r="AO2301" s="498">
        <f t="shared" si="788"/>
        <v>0</v>
      </c>
      <c r="AP2301" s="498">
        <f t="shared" si="807"/>
        <v>0</v>
      </c>
      <c r="AQ2301" s="498">
        <f t="shared" si="802"/>
        <v>0</v>
      </c>
      <c r="AU2301" s="498">
        <f t="shared" si="789"/>
        <v>0</v>
      </c>
      <c r="AV2301" s="498">
        <f t="shared" si="790"/>
        <v>0</v>
      </c>
      <c r="AW2301" s="498">
        <f t="shared" si="791"/>
        <v>0</v>
      </c>
      <c r="AX2301" s="498">
        <f t="shared" si="792"/>
        <v>0</v>
      </c>
      <c r="AY2301" s="498">
        <f t="shared" si="793"/>
        <v>0</v>
      </c>
      <c r="BB2301" s="498" t="str">
        <f t="shared" si="794"/>
        <v/>
      </c>
      <c r="BC2301" s="743" t="str">
        <f t="shared" si="795"/>
        <v/>
      </c>
      <c r="BD2301" s="743" t="str">
        <f t="shared" si="796"/>
        <v/>
      </c>
      <c r="BE2301" s="743" t="str">
        <f>IF(D2301="","",VLOOKUP(D2301,'General Basis'!$J$39:$K$46,2,0))</f>
        <v/>
      </c>
      <c r="BF2301" s="744" t="str">
        <f>IF(D2301="","",VLOOKUP(D2301,'General Basis'!$J$39:$L$46,3,0))</f>
        <v/>
      </c>
      <c r="BG2301" s="744" t="str">
        <f t="shared" si="803"/>
        <v/>
      </c>
      <c r="BH2301" s="744" t="str">
        <f>IF(G2301="","",IF(BF2301="Abu Dhabi",IF(G2301&lt;18,'General Basis'!$C$39,IF(G2301&lt;41,'General Basis'!$C$40,IF(G2301&lt;60,'General Basis'!$C$41,IF(G2301&lt;65,'General Basis'!$C$42,'General Basis'!$C$43)))),IF(G2301&lt;11,'General Basis'!$B$39,IF(G2301&lt;18,'General Basis'!$B$40,IF(G2301&lt;26,'General Basis'!$B$41,IF(G2301&lt;31,'General Basis'!$B$42,IF(G2301&lt;36,'General Basis'!$B$43,IF(G2301&lt;41,'General Basis'!$B$44,IF(G2301&lt;46,'General Basis'!$B$45,IF(G2301&lt;51,'General Basis'!$B$46,IF(G2301&lt;56,'General Basis'!$B$47,IF(G2301&lt;60,'General Basis'!$B$48,IF(G2301&lt;65,'General Basis'!$B$49,'General Basis'!$B$50)))))))))))))</f>
        <v/>
      </c>
      <c r="BI2301" s="744" t="str">
        <f t="shared" si="797"/>
        <v/>
      </c>
      <c r="BJ2301" s="747" t="str">
        <f t="shared" si="804"/>
        <v/>
      </c>
      <c r="BK2301" s="498" t="str">
        <f t="shared" si="798"/>
        <v/>
      </c>
      <c r="BL2301" s="498" t="str">
        <f t="shared" si="799"/>
        <v/>
      </c>
    </row>
    <row r="2302" spans="1:64" x14ac:dyDescent="0.25">
      <c r="A2302" s="762">
        <f t="shared" si="800"/>
        <v>2297</v>
      </c>
      <c r="B2302" s="229"/>
      <c r="C2302" s="223"/>
      <c r="D2302" s="224"/>
      <c r="E2302" s="225"/>
      <c r="F2302" s="1036" t="str">
        <f t="shared" si="806"/>
        <v/>
      </c>
      <c r="G2302" s="1037" t="str">
        <f t="shared" si="801"/>
        <v/>
      </c>
      <c r="H2302" s="225"/>
      <c r="I2302" s="1013"/>
      <c r="J2302" s="1013"/>
      <c r="K2302" s="1028"/>
      <c r="L2302" s="1035" t="str">
        <f t="shared" si="805"/>
        <v/>
      </c>
      <c r="S2302" s="498"/>
      <c r="AJ2302" s="498"/>
      <c r="AM2302" s="498">
        <f t="shared" si="786"/>
        <v>0</v>
      </c>
      <c r="AN2302" s="498">
        <f t="shared" si="787"/>
        <v>0</v>
      </c>
      <c r="AO2302" s="498">
        <f t="shared" si="788"/>
        <v>0</v>
      </c>
      <c r="AP2302" s="498">
        <f t="shared" si="807"/>
        <v>0</v>
      </c>
      <c r="AQ2302" s="498">
        <f t="shared" si="802"/>
        <v>0</v>
      </c>
      <c r="AU2302" s="498">
        <f t="shared" si="789"/>
        <v>0</v>
      </c>
      <c r="AV2302" s="498">
        <f t="shared" si="790"/>
        <v>0</v>
      </c>
      <c r="AW2302" s="498">
        <f t="shared" si="791"/>
        <v>0</v>
      </c>
      <c r="AX2302" s="498">
        <f t="shared" si="792"/>
        <v>0</v>
      </c>
      <c r="AY2302" s="498">
        <f t="shared" si="793"/>
        <v>0</v>
      </c>
      <c r="BB2302" s="498" t="str">
        <f t="shared" si="794"/>
        <v/>
      </c>
      <c r="BC2302" s="743" t="str">
        <f t="shared" si="795"/>
        <v/>
      </c>
      <c r="BD2302" s="743" t="str">
        <f t="shared" si="796"/>
        <v/>
      </c>
      <c r="BE2302" s="743" t="str">
        <f>IF(D2302="","",VLOOKUP(D2302,'General Basis'!$J$39:$K$46,2,0))</f>
        <v/>
      </c>
      <c r="BF2302" s="744" t="str">
        <f>IF(D2302="","",VLOOKUP(D2302,'General Basis'!$J$39:$L$46,3,0))</f>
        <v/>
      </c>
      <c r="BG2302" s="744" t="str">
        <f t="shared" si="803"/>
        <v/>
      </c>
      <c r="BH2302" s="744" t="str">
        <f>IF(G2302="","",IF(BF2302="Abu Dhabi",IF(G2302&lt;18,'General Basis'!$C$39,IF(G2302&lt;41,'General Basis'!$C$40,IF(G2302&lt;60,'General Basis'!$C$41,IF(G2302&lt;65,'General Basis'!$C$42,'General Basis'!$C$43)))),IF(G2302&lt;11,'General Basis'!$B$39,IF(G2302&lt;18,'General Basis'!$B$40,IF(G2302&lt;26,'General Basis'!$B$41,IF(G2302&lt;31,'General Basis'!$B$42,IF(G2302&lt;36,'General Basis'!$B$43,IF(G2302&lt;41,'General Basis'!$B$44,IF(G2302&lt;46,'General Basis'!$B$45,IF(G2302&lt;51,'General Basis'!$B$46,IF(G2302&lt;56,'General Basis'!$B$47,IF(G2302&lt;60,'General Basis'!$B$48,IF(G2302&lt;65,'General Basis'!$B$49,'General Basis'!$B$50)))))))))))))</f>
        <v/>
      </c>
      <c r="BI2302" s="744" t="str">
        <f t="shared" si="797"/>
        <v/>
      </c>
      <c r="BJ2302" s="747" t="str">
        <f t="shared" si="804"/>
        <v/>
      </c>
      <c r="BK2302" s="498" t="str">
        <f t="shared" si="798"/>
        <v/>
      </c>
      <c r="BL2302" s="498" t="str">
        <f t="shared" si="799"/>
        <v/>
      </c>
    </row>
    <row r="2303" spans="1:64" x14ac:dyDescent="0.25">
      <c r="A2303" s="762">
        <f t="shared" si="800"/>
        <v>2298</v>
      </c>
      <c r="B2303" s="229"/>
      <c r="C2303" s="223"/>
      <c r="D2303" s="224"/>
      <c r="E2303" s="225"/>
      <c r="F2303" s="1036" t="str">
        <f t="shared" si="806"/>
        <v/>
      </c>
      <c r="G2303" s="1037" t="str">
        <f t="shared" si="801"/>
        <v/>
      </c>
      <c r="H2303" s="225"/>
      <c r="I2303" s="1013"/>
      <c r="J2303" s="1013"/>
      <c r="K2303" s="1028"/>
      <c r="L2303" s="1035" t="str">
        <f t="shared" si="805"/>
        <v/>
      </c>
      <c r="S2303" s="498"/>
      <c r="AJ2303" s="498"/>
      <c r="AM2303" s="498">
        <f t="shared" si="786"/>
        <v>0</v>
      </c>
      <c r="AN2303" s="498">
        <f t="shared" si="787"/>
        <v>0</v>
      </c>
      <c r="AO2303" s="498">
        <f t="shared" si="788"/>
        <v>0</v>
      </c>
      <c r="AP2303" s="498">
        <f t="shared" si="807"/>
        <v>0</v>
      </c>
      <c r="AQ2303" s="498">
        <f t="shared" si="802"/>
        <v>0</v>
      </c>
      <c r="AU2303" s="498">
        <f t="shared" si="789"/>
        <v>0</v>
      </c>
      <c r="AV2303" s="498">
        <f t="shared" si="790"/>
        <v>0</v>
      </c>
      <c r="AW2303" s="498">
        <f t="shared" si="791"/>
        <v>0</v>
      </c>
      <c r="AX2303" s="498">
        <f t="shared" si="792"/>
        <v>0</v>
      </c>
      <c r="AY2303" s="498">
        <f t="shared" si="793"/>
        <v>0</v>
      </c>
      <c r="BB2303" s="498" t="str">
        <f t="shared" si="794"/>
        <v/>
      </c>
      <c r="BC2303" s="743" t="str">
        <f t="shared" si="795"/>
        <v/>
      </c>
      <c r="BD2303" s="743" t="str">
        <f t="shared" si="796"/>
        <v/>
      </c>
      <c r="BE2303" s="743" t="str">
        <f>IF(D2303="","",VLOOKUP(D2303,'General Basis'!$J$39:$K$46,2,0))</f>
        <v/>
      </c>
      <c r="BF2303" s="744" t="str">
        <f>IF(D2303="","",VLOOKUP(D2303,'General Basis'!$J$39:$L$46,3,0))</f>
        <v/>
      </c>
      <c r="BG2303" s="744" t="str">
        <f t="shared" si="803"/>
        <v/>
      </c>
      <c r="BH2303" s="744" t="str">
        <f>IF(G2303="","",IF(BF2303="Abu Dhabi",IF(G2303&lt;18,'General Basis'!$C$39,IF(G2303&lt;41,'General Basis'!$C$40,IF(G2303&lt;60,'General Basis'!$C$41,IF(G2303&lt;65,'General Basis'!$C$42,'General Basis'!$C$43)))),IF(G2303&lt;11,'General Basis'!$B$39,IF(G2303&lt;18,'General Basis'!$B$40,IF(G2303&lt;26,'General Basis'!$B$41,IF(G2303&lt;31,'General Basis'!$B$42,IF(G2303&lt;36,'General Basis'!$B$43,IF(G2303&lt;41,'General Basis'!$B$44,IF(G2303&lt;46,'General Basis'!$B$45,IF(G2303&lt;51,'General Basis'!$B$46,IF(G2303&lt;56,'General Basis'!$B$47,IF(G2303&lt;60,'General Basis'!$B$48,IF(G2303&lt;65,'General Basis'!$B$49,'General Basis'!$B$50)))))))))))))</f>
        <v/>
      </c>
      <c r="BI2303" s="744" t="str">
        <f t="shared" si="797"/>
        <v/>
      </c>
      <c r="BJ2303" s="747" t="str">
        <f t="shared" si="804"/>
        <v/>
      </c>
      <c r="BK2303" s="498" t="str">
        <f t="shared" si="798"/>
        <v/>
      </c>
      <c r="BL2303" s="498" t="str">
        <f t="shared" si="799"/>
        <v/>
      </c>
    </row>
    <row r="2304" spans="1:64" x14ac:dyDescent="0.25">
      <c r="A2304" s="762">
        <f t="shared" si="800"/>
        <v>2299</v>
      </c>
      <c r="B2304" s="229"/>
      <c r="C2304" s="223"/>
      <c r="D2304" s="224"/>
      <c r="E2304" s="225"/>
      <c r="F2304" s="1036" t="str">
        <f t="shared" si="806"/>
        <v/>
      </c>
      <c r="G2304" s="1037" t="str">
        <f t="shared" si="801"/>
        <v/>
      </c>
      <c r="H2304" s="225"/>
      <c r="I2304" s="1013"/>
      <c r="J2304" s="1013"/>
      <c r="K2304" s="1028"/>
      <c r="L2304" s="1035" t="str">
        <f t="shared" si="805"/>
        <v/>
      </c>
      <c r="S2304" s="498"/>
      <c r="AJ2304" s="498"/>
      <c r="AM2304" s="498">
        <f t="shared" si="786"/>
        <v>0</v>
      </c>
      <c r="AN2304" s="498">
        <f t="shared" si="787"/>
        <v>0</v>
      </c>
      <c r="AO2304" s="498">
        <f t="shared" si="788"/>
        <v>0</v>
      </c>
      <c r="AP2304" s="498">
        <f t="shared" si="807"/>
        <v>0</v>
      </c>
      <c r="AQ2304" s="498">
        <f t="shared" si="802"/>
        <v>0</v>
      </c>
      <c r="AU2304" s="498">
        <f t="shared" si="789"/>
        <v>0</v>
      </c>
      <c r="AV2304" s="498">
        <f t="shared" si="790"/>
        <v>0</v>
      </c>
      <c r="AW2304" s="498">
        <f t="shared" si="791"/>
        <v>0</v>
      </c>
      <c r="AX2304" s="498">
        <f t="shared" si="792"/>
        <v>0</v>
      </c>
      <c r="AY2304" s="498">
        <f t="shared" si="793"/>
        <v>0</v>
      </c>
      <c r="BB2304" s="498" t="str">
        <f t="shared" si="794"/>
        <v/>
      </c>
      <c r="BC2304" s="743" t="str">
        <f t="shared" si="795"/>
        <v/>
      </c>
      <c r="BD2304" s="743" t="str">
        <f t="shared" si="796"/>
        <v/>
      </c>
      <c r="BE2304" s="743" t="str">
        <f>IF(D2304="","",VLOOKUP(D2304,'General Basis'!$J$39:$K$46,2,0))</f>
        <v/>
      </c>
      <c r="BF2304" s="744" t="str">
        <f>IF(D2304="","",VLOOKUP(D2304,'General Basis'!$J$39:$L$46,3,0))</f>
        <v/>
      </c>
      <c r="BG2304" s="744" t="str">
        <f t="shared" si="803"/>
        <v/>
      </c>
      <c r="BH2304" s="744" t="str">
        <f>IF(G2304="","",IF(BF2304="Abu Dhabi",IF(G2304&lt;18,'General Basis'!$C$39,IF(G2304&lt;41,'General Basis'!$C$40,IF(G2304&lt;60,'General Basis'!$C$41,IF(G2304&lt;65,'General Basis'!$C$42,'General Basis'!$C$43)))),IF(G2304&lt;11,'General Basis'!$B$39,IF(G2304&lt;18,'General Basis'!$B$40,IF(G2304&lt;26,'General Basis'!$B$41,IF(G2304&lt;31,'General Basis'!$B$42,IF(G2304&lt;36,'General Basis'!$B$43,IF(G2304&lt;41,'General Basis'!$B$44,IF(G2304&lt;46,'General Basis'!$B$45,IF(G2304&lt;51,'General Basis'!$B$46,IF(G2304&lt;56,'General Basis'!$B$47,IF(G2304&lt;60,'General Basis'!$B$48,IF(G2304&lt;65,'General Basis'!$B$49,'General Basis'!$B$50)))))))))))))</f>
        <v/>
      </c>
      <c r="BI2304" s="744" t="str">
        <f t="shared" si="797"/>
        <v/>
      </c>
      <c r="BJ2304" s="747" t="str">
        <f t="shared" si="804"/>
        <v/>
      </c>
      <c r="BK2304" s="498" t="str">
        <f t="shared" si="798"/>
        <v/>
      </c>
      <c r="BL2304" s="498" t="str">
        <f t="shared" si="799"/>
        <v/>
      </c>
    </row>
    <row r="2305" spans="1:64" x14ac:dyDescent="0.25">
      <c r="A2305" s="762">
        <f t="shared" si="800"/>
        <v>2300</v>
      </c>
      <c r="B2305" s="229"/>
      <c r="C2305" s="223"/>
      <c r="D2305" s="224"/>
      <c r="E2305" s="225"/>
      <c r="F2305" s="1036" t="str">
        <f t="shared" si="806"/>
        <v/>
      </c>
      <c r="G2305" s="1037" t="str">
        <f t="shared" si="801"/>
        <v/>
      </c>
      <c r="H2305" s="225"/>
      <c r="I2305" s="1013"/>
      <c r="J2305" s="1013"/>
      <c r="K2305" s="1028"/>
      <c r="L2305" s="1035" t="str">
        <f t="shared" si="805"/>
        <v/>
      </c>
      <c r="S2305" s="498"/>
      <c r="AJ2305" s="498"/>
      <c r="AM2305" s="498">
        <f t="shared" si="786"/>
        <v>0</v>
      </c>
      <c r="AN2305" s="498">
        <f t="shared" si="787"/>
        <v>0</v>
      </c>
      <c r="AO2305" s="498">
        <f t="shared" si="788"/>
        <v>0</v>
      </c>
      <c r="AP2305" s="498">
        <f t="shared" si="807"/>
        <v>0</v>
      </c>
      <c r="AQ2305" s="498">
        <f t="shared" si="802"/>
        <v>0</v>
      </c>
      <c r="AU2305" s="498">
        <f t="shared" si="789"/>
        <v>0</v>
      </c>
      <c r="AV2305" s="498">
        <f t="shared" si="790"/>
        <v>0</v>
      </c>
      <c r="AW2305" s="498">
        <f t="shared" si="791"/>
        <v>0</v>
      </c>
      <c r="AX2305" s="498">
        <f t="shared" si="792"/>
        <v>0</v>
      </c>
      <c r="AY2305" s="498">
        <f t="shared" si="793"/>
        <v>0</v>
      </c>
      <c r="BB2305" s="498" t="str">
        <f t="shared" si="794"/>
        <v/>
      </c>
      <c r="BC2305" s="743" t="str">
        <f t="shared" si="795"/>
        <v/>
      </c>
      <c r="BD2305" s="743" t="str">
        <f t="shared" si="796"/>
        <v/>
      </c>
      <c r="BE2305" s="743" t="str">
        <f>IF(D2305="","",VLOOKUP(D2305,'General Basis'!$J$39:$K$46,2,0))</f>
        <v/>
      </c>
      <c r="BF2305" s="744" t="str">
        <f>IF(D2305="","",VLOOKUP(D2305,'General Basis'!$J$39:$L$46,3,0))</f>
        <v/>
      </c>
      <c r="BG2305" s="744" t="str">
        <f t="shared" si="803"/>
        <v/>
      </c>
      <c r="BH2305" s="744" t="str">
        <f>IF(G2305="","",IF(BF2305="Abu Dhabi",IF(G2305&lt;18,'General Basis'!$C$39,IF(G2305&lt;41,'General Basis'!$C$40,IF(G2305&lt;60,'General Basis'!$C$41,IF(G2305&lt;65,'General Basis'!$C$42,'General Basis'!$C$43)))),IF(G2305&lt;11,'General Basis'!$B$39,IF(G2305&lt;18,'General Basis'!$B$40,IF(G2305&lt;26,'General Basis'!$B$41,IF(G2305&lt;31,'General Basis'!$B$42,IF(G2305&lt;36,'General Basis'!$B$43,IF(G2305&lt;41,'General Basis'!$B$44,IF(G2305&lt;46,'General Basis'!$B$45,IF(G2305&lt;51,'General Basis'!$B$46,IF(G2305&lt;56,'General Basis'!$B$47,IF(G2305&lt;60,'General Basis'!$B$48,IF(G2305&lt;65,'General Basis'!$B$49,'General Basis'!$B$50)))))))))))))</f>
        <v/>
      </c>
      <c r="BI2305" s="744" t="str">
        <f t="shared" si="797"/>
        <v/>
      </c>
      <c r="BJ2305" s="747" t="str">
        <f t="shared" si="804"/>
        <v/>
      </c>
      <c r="BK2305" s="498" t="str">
        <f t="shared" si="798"/>
        <v/>
      </c>
      <c r="BL2305" s="498" t="str">
        <f t="shared" si="799"/>
        <v/>
      </c>
    </row>
    <row r="2306" spans="1:64" x14ac:dyDescent="0.25">
      <c r="A2306" s="762">
        <f t="shared" si="800"/>
        <v>2301</v>
      </c>
      <c r="B2306" s="229"/>
      <c r="C2306" s="223"/>
      <c r="D2306" s="224"/>
      <c r="E2306" s="225"/>
      <c r="F2306" s="1036" t="str">
        <f t="shared" si="806"/>
        <v/>
      </c>
      <c r="G2306" s="1037" t="str">
        <f t="shared" si="801"/>
        <v/>
      </c>
      <c r="H2306" s="225"/>
      <c r="I2306" s="1013"/>
      <c r="J2306" s="1013"/>
      <c r="K2306" s="1028"/>
      <c r="L2306" s="1035" t="str">
        <f t="shared" si="805"/>
        <v/>
      </c>
      <c r="S2306" s="498"/>
      <c r="AJ2306" s="498"/>
      <c r="AM2306" s="498">
        <f t="shared" si="786"/>
        <v>0</v>
      </c>
      <c r="AN2306" s="498">
        <f t="shared" si="787"/>
        <v>0</v>
      </c>
      <c r="AO2306" s="498">
        <f t="shared" si="788"/>
        <v>0</v>
      </c>
      <c r="AP2306" s="498">
        <f t="shared" si="807"/>
        <v>0</v>
      </c>
      <c r="AQ2306" s="498">
        <f t="shared" si="802"/>
        <v>0</v>
      </c>
      <c r="AU2306" s="498">
        <f t="shared" si="789"/>
        <v>0</v>
      </c>
      <c r="AV2306" s="498">
        <f t="shared" si="790"/>
        <v>0</v>
      </c>
      <c r="AW2306" s="498">
        <f t="shared" si="791"/>
        <v>0</v>
      </c>
      <c r="AX2306" s="498">
        <f t="shared" si="792"/>
        <v>0</v>
      </c>
      <c r="AY2306" s="498">
        <f t="shared" si="793"/>
        <v>0</v>
      </c>
      <c r="BB2306" s="498" t="str">
        <f t="shared" si="794"/>
        <v/>
      </c>
      <c r="BC2306" s="743" t="str">
        <f t="shared" si="795"/>
        <v/>
      </c>
      <c r="BD2306" s="743" t="str">
        <f t="shared" si="796"/>
        <v/>
      </c>
      <c r="BE2306" s="743" t="str">
        <f>IF(D2306="","",VLOOKUP(D2306,'General Basis'!$J$39:$K$46,2,0))</f>
        <v/>
      </c>
      <c r="BF2306" s="744" t="str">
        <f>IF(D2306="","",VLOOKUP(D2306,'General Basis'!$J$39:$L$46,3,0))</f>
        <v/>
      </c>
      <c r="BG2306" s="744" t="str">
        <f t="shared" si="803"/>
        <v/>
      </c>
      <c r="BH2306" s="744" t="str">
        <f>IF(G2306="","",IF(BF2306="Abu Dhabi",IF(G2306&lt;18,'General Basis'!$C$39,IF(G2306&lt;41,'General Basis'!$C$40,IF(G2306&lt;60,'General Basis'!$C$41,IF(G2306&lt;65,'General Basis'!$C$42,'General Basis'!$C$43)))),IF(G2306&lt;11,'General Basis'!$B$39,IF(G2306&lt;18,'General Basis'!$B$40,IF(G2306&lt;26,'General Basis'!$B$41,IF(G2306&lt;31,'General Basis'!$B$42,IF(G2306&lt;36,'General Basis'!$B$43,IF(G2306&lt;41,'General Basis'!$B$44,IF(G2306&lt;46,'General Basis'!$B$45,IF(G2306&lt;51,'General Basis'!$B$46,IF(G2306&lt;56,'General Basis'!$B$47,IF(G2306&lt;60,'General Basis'!$B$48,IF(G2306&lt;65,'General Basis'!$B$49,'General Basis'!$B$50)))))))))))))</f>
        <v/>
      </c>
      <c r="BI2306" s="744" t="str">
        <f t="shared" si="797"/>
        <v/>
      </c>
      <c r="BJ2306" s="747" t="str">
        <f t="shared" si="804"/>
        <v/>
      </c>
      <c r="BK2306" s="498" t="str">
        <f t="shared" si="798"/>
        <v/>
      </c>
      <c r="BL2306" s="498" t="str">
        <f t="shared" si="799"/>
        <v/>
      </c>
    </row>
    <row r="2307" spans="1:64" x14ac:dyDescent="0.25">
      <c r="A2307" s="762">
        <f t="shared" si="800"/>
        <v>2302</v>
      </c>
      <c r="B2307" s="229"/>
      <c r="C2307" s="223"/>
      <c r="D2307" s="224"/>
      <c r="E2307" s="225"/>
      <c r="F2307" s="1036" t="str">
        <f t="shared" si="806"/>
        <v/>
      </c>
      <c r="G2307" s="1037" t="str">
        <f t="shared" si="801"/>
        <v/>
      </c>
      <c r="H2307" s="225"/>
      <c r="I2307" s="1013"/>
      <c r="J2307" s="1013"/>
      <c r="K2307" s="1028"/>
      <c r="L2307" s="1035" t="str">
        <f t="shared" si="805"/>
        <v/>
      </c>
      <c r="S2307" s="498"/>
      <c r="AJ2307" s="498"/>
      <c r="AM2307" s="498">
        <f t="shared" si="786"/>
        <v>0</v>
      </c>
      <c r="AN2307" s="498">
        <f t="shared" si="787"/>
        <v>0</v>
      </c>
      <c r="AO2307" s="498">
        <f t="shared" si="788"/>
        <v>0</v>
      </c>
      <c r="AP2307" s="498">
        <f t="shared" si="807"/>
        <v>0</v>
      </c>
      <c r="AQ2307" s="498">
        <f t="shared" si="802"/>
        <v>0</v>
      </c>
      <c r="AU2307" s="498">
        <f t="shared" si="789"/>
        <v>0</v>
      </c>
      <c r="AV2307" s="498">
        <f t="shared" si="790"/>
        <v>0</v>
      </c>
      <c r="AW2307" s="498">
        <f t="shared" si="791"/>
        <v>0</v>
      </c>
      <c r="AX2307" s="498">
        <f t="shared" si="792"/>
        <v>0</v>
      </c>
      <c r="AY2307" s="498">
        <f t="shared" si="793"/>
        <v>0</v>
      </c>
      <c r="BB2307" s="498" t="str">
        <f t="shared" si="794"/>
        <v/>
      </c>
      <c r="BC2307" s="743" t="str">
        <f t="shared" si="795"/>
        <v/>
      </c>
      <c r="BD2307" s="743" t="str">
        <f t="shared" si="796"/>
        <v/>
      </c>
      <c r="BE2307" s="743" t="str">
        <f>IF(D2307="","",VLOOKUP(D2307,'General Basis'!$J$39:$K$46,2,0))</f>
        <v/>
      </c>
      <c r="BF2307" s="744" t="str">
        <f>IF(D2307="","",VLOOKUP(D2307,'General Basis'!$J$39:$L$46,3,0))</f>
        <v/>
      </c>
      <c r="BG2307" s="744" t="str">
        <f t="shared" si="803"/>
        <v/>
      </c>
      <c r="BH2307" s="744" t="str">
        <f>IF(G2307="","",IF(BF2307="Abu Dhabi",IF(G2307&lt;18,'General Basis'!$C$39,IF(G2307&lt;41,'General Basis'!$C$40,IF(G2307&lt;60,'General Basis'!$C$41,IF(G2307&lt;65,'General Basis'!$C$42,'General Basis'!$C$43)))),IF(G2307&lt;11,'General Basis'!$B$39,IF(G2307&lt;18,'General Basis'!$B$40,IF(G2307&lt;26,'General Basis'!$B$41,IF(G2307&lt;31,'General Basis'!$B$42,IF(G2307&lt;36,'General Basis'!$B$43,IF(G2307&lt;41,'General Basis'!$B$44,IF(G2307&lt;46,'General Basis'!$B$45,IF(G2307&lt;51,'General Basis'!$B$46,IF(G2307&lt;56,'General Basis'!$B$47,IF(G2307&lt;60,'General Basis'!$B$48,IF(G2307&lt;65,'General Basis'!$B$49,'General Basis'!$B$50)))))))))))))</f>
        <v/>
      </c>
      <c r="BI2307" s="744" t="str">
        <f t="shared" si="797"/>
        <v/>
      </c>
      <c r="BJ2307" s="747" t="str">
        <f t="shared" si="804"/>
        <v/>
      </c>
      <c r="BK2307" s="498" t="str">
        <f t="shared" si="798"/>
        <v/>
      </c>
      <c r="BL2307" s="498" t="str">
        <f t="shared" si="799"/>
        <v/>
      </c>
    </row>
    <row r="2308" spans="1:64" x14ac:dyDescent="0.25">
      <c r="A2308" s="762">
        <f t="shared" si="800"/>
        <v>2303</v>
      </c>
      <c r="B2308" s="229"/>
      <c r="C2308" s="223"/>
      <c r="D2308" s="224"/>
      <c r="E2308" s="225"/>
      <c r="F2308" s="1036" t="str">
        <f t="shared" si="806"/>
        <v/>
      </c>
      <c r="G2308" s="1037" t="str">
        <f t="shared" si="801"/>
        <v/>
      </c>
      <c r="H2308" s="225"/>
      <c r="I2308" s="1013"/>
      <c r="J2308" s="1013"/>
      <c r="K2308" s="1028"/>
      <c r="L2308" s="1035" t="str">
        <f t="shared" si="805"/>
        <v/>
      </c>
      <c r="S2308" s="498"/>
      <c r="AJ2308" s="498"/>
      <c r="AM2308" s="498">
        <f t="shared" si="786"/>
        <v>0</v>
      </c>
      <c r="AN2308" s="498">
        <f t="shared" si="787"/>
        <v>0</v>
      </c>
      <c r="AO2308" s="498">
        <f t="shared" si="788"/>
        <v>0</v>
      </c>
      <c r="AP2308" s="498">
        <f t="shared" si="807"/>
        <v>0</v>
      </c>
      <c r="AQ2308" s="498">
        <f t="shared" si="802"/>
        <v>0</v>
      </c>
      <c r="AU2308" s="498">
        <f t="shared" si="789"/>
        <v>0</v>
      </c>
      <c r="AV2308" s="498">
        <f t="shared" si="790"/>
        <v>0</v>
      </c>
      <c r="AW2308" s="498">
        <f t="shared" si="791"/>
        <v>0</v>
      </c>
      <c r="AX2308" s="498">
        <f t="shared" si="792"/>
        <v>0</v>
      </c>
      <c r="AY2308" s="498">
        <f t="shared" si="793"/>
        <v>0</v>
      </c>
      <c r="BB2308" s="498" t="str">
        <f t="shared" si="794"/>
        <v/>
      </c>
      <c r="BC2308" s="743" t="str">
        <f t="shared" si="795"/>
        <v/>
      </c>
      <c r="BD2308" s="743" t="str">
        <f t="shared" si="796"/>
        <v/>
      </c>
      <c r="BE2308" s="743" t="str">
        <f>IF(D2308="","",VLOOKUP(D2308,'General Basis'!$J$39:$K$46,2,0))</f>
        <v/>
      </c>
      <c r="BF2308" s="744" t="str">
        <f>IF(D2308="","",VLOOKUP(D2308,'General Basis'!$J$39:$L$46,3,0))</f>
        <v/>
      </c>
      <c r="BG2308" s="744" t="str">
        <f t="shared" si="803"/>
        <v/>
      </c>
      <c r="BH2308" s="744" t="str">
        <f>IF(G2308="","",IF(BF2308="Abu Dhabi",IF(G2308&lt;18,'General Basis'!$C$39,IF(G2308&lt;41,'General Basis'!$C$40,IF(G2308&lt;60,'General Basis'!$C$41,IF(G2308&lt;65,'General Basis'!$C$42,'General Basis'!$C$43)))),IF(G2308&lt;11,'General Basis'!$B$39,IF(G2308&lt;18,'General Basis'!$B$40,IF(G2308&lt;26,'General Basis'!$B$41,IF(G2308&lt;31,'General Basis'!$B$42,IF(G2308&lt;36,'General Basis'!$B$43,IF(G2308&lt;41,'General Basis'!$B$44,IF(G2308&lt;46,'General Basis'!$B$45,IF(G2308&lt;51,'General Basis'!$B$46,IF(G2308&lt;56,'General Basis'!$B$47,IF(G2308&lt;60,'General Basis'!$B$48,IF(G2308&lt;65,'General Basis'!$B$49,'General Basis'!$B$50)))))))))))))</f>
        <v/>
      </c>
      <c r="BI2308" s="744" t="str">
        <f t="shared" si="797"/>
        <v/>
      </c>
      <c r="BJ2308" s="747" t="str">
        <f t="shared" si="804"/>
        <v/>
      </c>
      <c r="BK2308" s="498" t="str">
        <f t="shared" si="798"/>
        <v/>
      </c>
      <c r="BL2308" s="498" t="str">
        <f t="shared" si="799"/>
        <v/>
      </c>
    </row>
    <row r="2309" spans="1:64" x14ac:dyDescent="0.25">
      <c r="A2309" s="762">
        <f t="shared" si="800"/>
        <v>2304</v>
      </c>
      <c r="B2309" s="229"/>
      <c r="C2309" s="223"/>
      <c r="D2309" s="224"/>
      <c r="E2309" s="225"/>
      <c r="F2309" s="1036" t="str">
        <f t="shared" si="806"/>
        <v/>
      </c>
      <c r="G2309" s="1037" t="str">
        <f t="shared" si="801"/>
        <v/>
      </c>
      <c r="H2309" s="225"/>
      <c r="I2309" s="1013"/>
      <c r="J2309" s="1013"/>
      <c r="K2309" s="1028"/>
      <c r="L2309" s="1035" t="str">
        <f t="shared" si="805"/>
        <v/>
      </c>
      <c r="S2309" s="498"/>
      <c r="AJ2309" s="498"/>
      <c r="AM2309" s="498">
        <f t="shared" si="786"/>
        <v>0</v>
      </c>
      <c r="AN2309" s="498">
        <f t="shared" si="787"/>
        <v>0</v>
      </c>
      <c r="AO2309" s="498">
        <f t="shared" si="788"/>
        <v>0</v>
      </c>
      <c r="AP2309" s="498">
        <f t="shared" si="807"/>
        <v>0</v>
      </c>
      <c r="AQ2309" s="498">
        <f t="shared" si="802"/>
        <v>0</v>
      </c>
      <c r="AU2309" s="498">
        <f t="shared" si="789"/>
        <v>0</v>
      </c>
      <c r="AV2309" s="498">
        <f t="shared" si="790"/>
        <v>0</v>
      </c>
      <c r="AW2309" s="498">
        <f t="shared" si="791"/>
        <v>0</v>
      </c>
      <c r="AX2309" s="498">
        <f t="shared" si="792"/>
        <v>0</v>
      </c>
      <c r="AY2309" s="498">
        <f t="shared" si="793"/>
        <v>0</v>
      </c>
      <c r="BB2309" s="498" t="str">
        <f t="shared" si="794"/>
        <v/>
      </c>
      <c r="BC2309" s="743" t="str">
        <f t="shared" si="795"/>
        <v/>
      </c>
      <c r="BD2309" s="743" t="str">
        <f t="shared" si="796"/>
        <v/>
      </c>
      <c r="BE2309" s="743" t="str">
        <f>IF(D2309="","",VLOOKUP(D2309,'General Basis'!$J$39:$K$46,2,0))</f>
        <v/>
      </c>
      <c r="BF2309" s="744" t="str">
        <f>IF(D2309="","",VLOOKUP(D2309,'General Basis'!$J$39:$L$46,3,0))</f>
        <v/>
      </c>
      <c r="BG2309" s="744" t="str">
        <f t="shared" si="803"/>
        <v/>
      </c>
      <c r="BH2309" s="744" t="str">
        <f>IF(G2309="","",IF(BF2309="Abu Dhabi",IF(G2309&lt;18,'General Basis'!$C$39,IF(G2309&lt;41,'General Basis'!$C$40,IF(G2309&lt;60,'General Basis'!$C$41,IF(G2309&lt;65,'General Basis'!$C$42,'General Basis'!$C$43)))),IF(G2309&lt;11,'General Basis'!$B$39,IF(G2309&lt;18,'General Basis'!$B$40,IF(G2309&lt;26,'General Basis'!$B$41,IF(G2309&lt;31,'General Basis'!$B$42,IF(G2309&lt;36,'General Basis'!$B$43,IF(G2309&lt;41,'General Basis'!$B$44,IF(G2309&lt;46,'General Basis'!$B$45,IF(G2309&lt;51,'General Basis'!$B$46,IF(G2309&lt;56,'General Basis'!$B$47,IF(G2309&lt;60,'General Basis'!$B$48,IF(G2309&lt;65,'General Basis'!$B$49,'General Basis'!$B$50)))))))))))))</f>
        <v/>
      </c>
      <c r="BI2309" s="744" t="str">
        <f t="shared" si="797"/>
        <v/>
      </c>
      <c r="BJ2309" s="747" t="str">
        <f t="shared" si="804"/>
        <v/>
      </c>
      <c r="BK2309" s="498" t="str">
        <f t="shared" si="798"/>
        <v/>
      </c>
      <c r="BL2309" s="498" t="str">
        <f t="shared" si="799"/>
        <v/>
      </c>
    </row>
    <row r="2310" spans="1:64" x14ac:dyDescent="0.25">
      <c r="A2310" s="762">
        <f t="shared" si="800"/>
        <v>2305</v>
      </c>
      <c r="B2310" s="229"/>
      <c r="C2310" s="223"/>
      <c r="D2310" s="224"/>
      <c r="E2310" s="225"/>
      <c r="F2310" s="1036" t="str">
        <f t="shared" si="806"/>
        <v/>
      </c>
      <c r="G2310" s="1037" t="str">
        <f t="shared" si="801"/>
        <v/>
      </c>
      <c r="H2310" s="225"/>
      <c r="I2310" s="1013"/>
      <c r="J2310" s="1013"/>
      <c r="K2310" s="1028"/>
      <c r="L2310" s="1035" t="str">
        <f t="shared" si="805"/>
        <v/>
      </c>
      <c r="S2310" s="498"/>
      <c r="AJ2310" s="498"/>
      <c r="AM2310" s="498">
        <f t="shared" ref="AM2310:AM2373" si="808">IF(ISTEXT(B2310),1,0)</f>
        <v>0</v>
      </c>
      <c r="AN2310" s="498">
        <f t="shared" ref="AN2310:AN2373" si="809">IF(ISBLANK(B2310),0,IF(B2310&lt;$AK$6,1,0))</f>
        <v>0</v>
      </c>
      <c r="AO2310" s="498">
        <f t="shared" ref="AO2310:AO2373" si="810">IF(ISBLANK(B2310),0,IF(B2310&gt;$AK$7,1,0))</f>
        <v>0</v>
      </c>
      <c r="AP2310" s="498">
        <f t="shared" si="807"/>
        <v>0</v>
      </c>
      <c r="AQ2310" s="498">
        <f t="shared" si="802"/>
        <v>0</v>
      </c>
      <c r="AU2310" s="498">
        <f t="shared" ref="AU2310:AU2373" si="811">IF(ISBLANK(B2310),0,1)</f>
        <v>0</v>
      </c>
      <c r="AV2310" s="498">
        <f t="shared" ref="AV2310:AV2373" si="812">IF(ISBLANK(C2310),0,1)</f>
        <v>0</v>
      </c>
      <c r="AW2310" s="498">
        <f t="shared" ref="AW2310:AW2373" si="813">IF(ISBLANK(D2310),0,1)</f>
        <v>0</v>
      </c>
      <c r="AX2310" s="498">
        <f t="shared" ref="AX2310:AX2373" si="814">IF(ISBLANK(E2310),0,1)</f>
        <v>0</v>
      </c>
      <c r="AY2310" s="498">
        <f t="shared" ref="AY2310:AY2373" si="815">IF(ISBLANK(H2310),0,1)</f>
        <v>0</v>
      </c>
      <c r="BB2310" s="498" t="str">
        <f t="shared" ref="BB2310:BB2373" si="816">IF(E2310="Principal","Principal",IF(E2310="","","Other"))</f>
        <v/>
      </c>
      <c r="BC2310" s="743" t="str">
        <f t="shared" ref="BC2310:BC2373" si="817">IF(D2310="","",D2310)</f>
        <v/>
      </c>
      <c r="BD2310" s="743" t="str">
        <f t="shared" ref="BD2310:BD2373" si="818">IF(E2310="Principal","Employee",IF(E2310="","","Dependent"))</f>
        <v/>
      </c>
      <c r="BE2310" s="743" t="str">
        <f>IF(D2310="","",VLOOKUP(D2310,'General Basis'!$J$39:$K$46,2,0))</f>
        <v/>
      </c>
      <c r="BF2310" s="744" t="str">
        <f>IF(D2310="","",VLOOKUP(D2310,'General Basis'!$J$39:$L$46,3,0))</f>
        <v/>
      </c>
      <c r="BG2310" s="744" t="str">
        <f t="shared" si="803"/>
        <v/>
      </c>
      <c r="BH2310" s="744" t="str">
        <f>IF(G2310="","",IF(BF2310="Abu Dhabi",IF(G2310&lt;18,'General Basis'!$C$39,IF(G2310&lt;41,'General Basis'!$C$40,IF(G2310&lt;60,'General Basis'!$C$41,IF(G2310&lt;65,'General Basis'!$C$42,'General Basis'!$C$43)))),IF(G2310&lt;11,'General Basis'!$B$39,IF(G2310&lt;18,'General Basis'!$B$40,IF(G2310&lt;26,'General Basis'!$B$41,IF(G2310&lt;31,'General Basis'!$B$42,IF(G2310&lt;36,'General Basis'!$B$43,IF(G2310&lt;41,'General Basis'!$B$44,IF(G2310&lt;46,'General Basis'!$B$45,IF(G2310&lt;51,'General Basis'!$B$46,IF(G2310&lt;56,'General Basis'!$B$47,IF(G2310&lt;60,'General Basis'!$B$48,IF(G2310&lt;65,'General Basis'!$B$49,'General Basis'!$B$50)))))))))))))</f>
        <v/>
      </c>
      <c r="BI2310" s="744" t="str">
        <f t="shared" ref="BI2310:BI2373" si="819">IF(C2310="","",IF(C2310="M","Male","Female"))</f>
        <v/>
      </c>
      <c r="BJ2310" s="747" t="str">
        <f t="shared" si="804"/>
        <v/>
      </c>
      <c r="BK2310" s="498" t="str">
        <f t="shared" ref="BK2310:BK2373" si="820">IF(BD2310="","",IF(AND(BD2310="Employee",BI2310="Male",BF2310="Abu Dhabi",BE2310=GN_Plus),VLOOKUP(BH2310,AUH_MALE_EMP,2,0),IF(AND(BD2310="Employee",BI2310="Male",BF2310="Abu Dhabi",BE2310=GN),VLOOKUP(BH2310,AUH_MALE_EMP,3,0),IF(AND(BD2310="Employee",BI2310="Male",BF2310="Abu Dhabi",BE2310=RN_Plus),VLOOKUP(BH2310,AUH_MALE_EMP,4,0),IF(AND(BD2310="Employee",BI2310="Male",BF2310="Abu Dhabi",BE2310=RN),VLOOKUP(BH2310,AUH_MALE_EMP,5,0),IF(AND(BD2310="Employee",BI2310="Male",BF2310="Abu Dhabi",BE2310=RN_2),VLOOKUP(BH2310,AUH_MALE_EMP,6,0),IF(AND(BD2310="Employee",BI2310="Male",BF2310="Abu Dhabi",BE2310=RN2_minus),VLOOKUP(BH2310,AUH_MALE_EMP,7,0),IF(AND(BD2310="Employee",BI2310="Male",BF2310="Abu Dhabi",BE2310=RN_3),VLOOKUP(BH2310,AUH_MALE_EMP,8,0),IF(AND(BD2310="Employee",BI2310="Male",BF2310="Abu Dhabi",BE2310=VN),VLOOKUP(BH2310,AUH_MALE_EMP,9,0),IF(BD2310="","",IF(AND(BD2310="Employee",BI2310="Female",BF2310="Abu Dhabi",BE2310=GN_Plus),VLOOKUP(BH2310,AUH_FEMALE_EMP,2,0),IF(AND(BD2310="Employee",BI2310="Female",BF2310="Abu Dhabi",BE2310=GN),VLOOKUP(BH2310,AUH_FEMALE_EMP,3,0),IF(AND(BD2310="Employee",BI2310="Female",BF2310="Abu Dhabi",BE2310=RN_Plus),VLOOKUP(BH2310,AUH_FEMALE_EMP,4,0),IF(AND(BD2310="Employee",BI2310="Female",BF2310="Abu Dhabi",BE2310=RN),VLOOKUP(BH2310,AUH_FEMALE_EMP,5,0),IF(AND(BD2310="Employee",BI2310="Female",BF2310="Abu Dhabi",BE2310=RN_2),VLOOKUP(BH2310,AUH_FEMALE_EMP,6,0),IF(AND(BD2310="Employee",BI2310="Female",BF2310="Abu Dhabi",BE2310=RN2_minus),VLOOKUP(BH2310,AUH_FEMALE_EMP,7,0),IF(AND(BD2310="Employee",BI2310="Female",BF2310="Abu Dhabi",BE2310=RN_3),VLOOKUP(BH2310,AUH_FEMALE_EMP,8,0),IF(AND(BD2310="Employee",BI2310="Female",BF2310="Abu Dhabi",BE2310=VN),VLOOKUP(BH2310,AUH_FEMALE_EMP,9,0),IF(BD2310="","",IF(AND(BD2310="Dependent",BI2310="Male",BF2310="Abu Dhabi",BE2310=GN_Plus),VLOOKUP(BH2310,AUH_MALE_DEP,2,0),IF(AND(BD2310="Dependent",BI2310="Male",BF2310="Abu Dhabi",BE2310=GN),VLOOKUP(BH2310,AUH_MALE_DEP,3,0),IF(AND(BD2310="Dependent",BI2310="Male",BF2310="Abu Dhabi",BE2310=RN_Plus),VLOOKUP(BH2310,AUH_MALE_DEP,4,0),IF(AND(BD2310="Dependent",BI2310="Male",BF2310="Abu Dhabi",BE2310=RN),VLOOKUP(BH2310,AUH_MALE_DEP,5,0),IF(AND(BD2310="Dependent",BI2310="Male",BF2310="Abu Dhabi",BE2310=RN_2),VLOOKUP(BH2310,AUH_MALE_DEP,6,0),IF(AND(BD2310="Dependent",BI2310="Male",BF2310="Abu Dhabi",BE2310=RN2_minus),VLOOKUP(BH2310,AUH_MALE_DEP,7,0),IF(AND(BD2310="Dependent",BI2310="Male",BF2310="Abu Dhabi",BE2310=RN_3),VLOOKUP(BH2310,AUH_MALE_DEP,8,0),IF(AND(BD2310="Dependent",BI2310="Male",BF2310="Abu Dhabi",BE2310=VN),VLOOKUP(BH2310,AUH_MALE_DEP,9,0),IF(BD2310="","",IF(AND(BD2310="Dependent",BI2310="Female",BF2310="Abu Dhabi",BE2310=GN_Plus),VLOOKUP(BH2310,AUH_FEMALE_DEP,2,0),IF(AND(BD2310="Dependent",BI2310="Female",BF2310="Abu Dhabi",BE2310=GN),VLOOKUP(BH2310,AUH_FEMALE_DEP,3,0),IF(AND(BD2310="Dependent",BI2310="Female",BF2310="Abu Dhabi",BE2310=RN_Plus),VLOOKUP(BH2310,AUH_FEMALE_DEP,4,0),IF(AND(BD2310="Dependent",BI2310="Female",BF2310="Abu Dhabi",BE2310=RN),VLOOKUP(BH2310,AUH_FEMALE_DEP,5,0),IF(AND(BD2310="Dependent",BI2310="Female",BF2310="Abu Dhabi",BE2310=RN_2),VLOOKUP(BH2310,AUH_FEMALE_DEP,6,0),IF(AND(BD2310="Dependent",BI2310="Female",BF2310="Abu Dhabi",BE2310=RN2_minus),VLOOKUP(BH2310,AUH_FEMALE_DEP,7,0),IF(AND(BD2310="Dependent",BI2310="Female",BF2310="Abu Dhabi",BE2310=RN_3),VLOOKUP(BH2310,AUH_FEMALE_DEP,8,0),IF(AND(BD2310="Dependent",BI2310="Female",BF2310="Abu Dhabi",BE2310=VN),VLOOKUP(BH2310,AUH_FEMALE_DEP,9,0),"ABC"))))))))))))))))))))))))))))))))))))</f>
        <v/>
      </c>
      <c r="BL2310" s="498" t="str">
        <f t="shared" ref="BL2310:BL2373" si="821">IF(BD2310="","",IF(AND(BD2310="Employee",BI2310="Male",BF2310="Dubai",BE2310=GN_Plus),VLOOKUP(BH2310,DXB_MALE_EMP,2,0),IF(AND(BD2310="Employee",BI2310="Male",BF2310="Dubai",BE2310=GN),VLOOKUP(BH2310,DXB_MALE_EMP,3,0),IF(AND(BD2310="Employee",BI2310="Male",BF2310="Dubai",BE2310=RN_Plus),VLOOKUP(BH2310,DXB_MALE_EMP,4,0),IF(AND(BD2310="Employee",BI2310="Male",BF2310="Dubai",BE2310=RN),VLOOKUP(BH2310,DXB_MALE_EMP,5,0),IF(AND(BD2310="Employee",BI2310="Male",BF2310="Dubai",BE2310=RN_2),VLOOKUP(BH2310,DXB_MALE_EMP,6,0),IF(AND(BD2310="Employee",BI2310="Male",BF2310="Dubai",BE2310=RN2_minus),VLOOKUP(BH2310,DXB_MALE_EMP,7,0),IF(AND(BD2310="Employee",BI2310="Male",BF2310="Dubai",BE2310=RN_3),VLOOKUP(BH2310,DXB_MALE_EMP,8,0),IF(AND(BD2310="Employee",BI2310="Male",BF2310="Dubai",BE2310=VN),VLOOKUP(BH2310,DXB_MALE_EMP,9,0),IF(BD2310="","",IF(AND(BD2310="Employee",BI2310="Female",BF2310="Dubai",BE2310=GN_Plus),VLOOKUP(BH2310,DXB_FEMALE_EMP,2,0),IF(AND(BD2310="Employee",BI2310="Female",BF2310="Dubai",BE2310=GN),VLOOKUP(BH2310,DXB_FEMALE_EMP,3,0),IF(AND(BD2310="Employee",BI2310="Female",BF2310="Dubai",BE2310=RN_Plus),VLOOKUP(BH2310,DXB_FEMALE_EMP,4,0),IF(AND(BD2310="Employee",BI2310="Female",BF2310="Dubai",BE2310=RN),VLOOKUP(BH2310,DXB_FEMALE_EMP,5,0),IF(AND(BD2310="Employee",BI2310="Female",BF2310="Dubai",BE2310=RN_2),VLOOKUP(BH2310,DXB_FEMALE_EMP,6,0),IF(AND(BD2310="Employee",BI2310="Female",BF2310="Dubai",BE2310=RN2_minus),VLOOKUP(BH2310,DXB_FEMALE_EMP,7,0),IF(AND(BD2310="Employee",BI2310="Female",BF2310="Dubai",BE2310=RN_3),VLOOKUP(BH2310,DXB_FEMALE_EMP,8,0),IF(AND(BD2310="Employee",BI2310="Female",BF2310="Dubai",BE2310=VN),VLOOKUP(BH2310,DXB_FEMALE_EMP,9,0),IF(BD2310="","",IF(AND(BD2310="Dependent",BI2310="Male",BF2310="Dubai",BE2310=GN_Plus),VLOOKUP(BH2310,DXB_MALE_DEP,2,0),IF(AND(BD2310="Dependent",BI2310="Male",BF2310="Dubai",BE2310=GN),VLOOKUP(BH2310,DXB_MALE_DEP,3,0),IF(AND(BD2310="Dependent",BI2310="Male",BF2310="Dubai",BE2310=RN_Plus),VLOOKUP(BH2310,DXB_MALE_DEP,4,0),IF(AND(BD2310="Dependent",BI2310="Male",BF2310="Dubai",BE2310=RN),VLOOKUP(BH2310,DXB_MALE_DEP,5,0),IF(AND(BD2310="Dependent",BI2310="Male",BF2310="Dubai",BE2310=RN_2),VLOOKUP(BH2310,DXB_MALE_DEP,6,0),IF(AND(BD2310="Dependent",BI2310="Male",BF2310="Dubai",BE2310=RN2_minus),VLOOKUP(BH2310,DXB_MALE_DEP,7,0),IF(AND(BD2310="Dependent",BI2310="Male",BF2310="Dubai",BE2310=RN_3),VLOOKUP(BH2310,DXB_MALE_DEP,8,0),IF(AND(BD2310="Dependent",BI2310="Male",BF2310="Dubai",BE2310=VN),VLOOKUP(BH2310,DXB_MALE_DEP,9,0),IF(BD2310="","",IF(AND(BD2310="Dependent",BI2310="Female",BF2310="Dubai",BE2310=GN_Plus),VLOOKUP(BH2310,DXB_FEMALE_DEP,2,0),IF(AND(BD2310="Dependent",BI2310="Female",BF2310="Dubai",BE2310=GN),VLOOKUP(BH2310,DXB_FEMALE_DEP,3,0),IF(AND(BD2310="Dependent",BI2310="Female",BF2310="Dubai",BE2310=RN_Plus),VLOOKUP(BH2310,DXB_FEMALE_DEP,4,0),IF(AND(BD2310="Dependent",BI2310="Female",BF2310="Dubai",BE2310=RN),VLOOKUP(BH2310,DXB_FEMALE_DEP,5,0),IF(AND(BD2310="Dependent",BI2310="Female",BF2310="Dubai",BE2310=RN_2),VLOOKUP(BH2310,DXB_FEMALE_DEP,6,0),IF(AND(BD2310="Dependent",BI2310="Female",BF2310="Dubai",BE2310=RN2_minus),VLOOKUP(BH2310,DXB_FEMALE_DEP,7,0),IF(AND(BD2310="Dependent",BI2310="Female",BF2310="Dubai",BE2310=RN_3),VLOOKUP(BH2310,DXB_FEMALE_DEP,8,0),IF(AND(BD2310="Dependent",BI2310="Female",BF2310="Dubai",BE2310=VN),VLOOKUP(BH2310,DXB_FEMALE_DEP,9,0),"ABC"))))))))))))))))))))))))))))))))))))</f>
        <v/>
      </c>
    </row>
    <row r="2311" spans="1:64" x14ac:dyDescent="0.25">
      <c r="A2311" s="762">
        <f t="shared" ref="A2311:A2374" si="822">+A2310+1</f>
        <v>2306</v>
      </c>
      <c r="B2311" s="229"/>
      <c r="C2311" s="223"/>
      <c r="D2311" s="224"/>
      <c r="E2311" s="225"/>
      <c r="F2311" s="1036" t="str">
        <f t="shared" si="806"/>
        <v/>
      </c>
      <c r="G2311" s="1037" t="str">
        <f t="shared" ref="G2311:G2374" si="823">IF(D2311="","",MAX(0,ROUNDUP(F2311,0)))</f>
        <v/>
      </c>
      <c r="H2311" s="225"/>
      <c r="I2311" s="1013"/>
      <c r="J2311" s="1013"/>
      <c r="K2311" s="1028"/>
      <c r="L2311" s="1035" t="str">
        <f t="shared" si="805"/>
        <v/>
      </c>
      <c r="S2311" s="498"/>
      <c r="AJ2311" s="498"/>
      <c r="AM2311" s="498">
        <f t="shared" si="808"/>
        <v>0</v>
      </c>
      <c r="AN2311" s="498">
        <f t="shared" si="809"/>
        <v>0</v>
      </c>
      <c r="AO2311" s="498">
        <f t="shared" si="810"/>
        <v>0</v>
      </c>
      <c r="AP2311" s="498">
        <f t="shared" si="807"/>
        <v>0</v>
      </c>
      <c r="AQ2311" s="498">
        <f t="shared" ref="AQ2311:AQ2374" si="824">IF(ISBLANK($B2311),0,IF(OR($H2311="Single",$H2311="Married"),0,1))</f>
        <v>0</v>
      </c>
      <c r="AU2311" s="498">
        <f t="shared" si="811"/>
        <v>0</v>
      </c>
      <c r="AV2311" s="498">
        <f t="shared" si="812"/>
        <v>0</v>
      </c>
      <c r="AW2311" s="498">
        <f t="shared" si="813"/>
        <v>0</v>
      </c>
      <c r="AX2311" s="498">
        <f t="shared" si="814"/>
        <v>0</v>
      </c>
      <c r="AY2311" s="498">
        <f t="shared" si="815"/>
        <v>0</v>
      </c>
      <c r="BB2311" s="498" t="str">
        <f t="shared" si="816"/>
        <v/>
      </c>
      <c r="BC2311" s="743" t="str">
        <f t="shared" si="817"/>
        <v/>
      </c>
      <c r="BD2311" s="743" t="str">
        <f t="shared" si="818"/>
        <v/>
      </c>
      <c r="BE2311" s="743" t="str">
        <f>IF(D2311="","",VLOOKUP(D2311,'General Basis'!$J$39:$K$46,2,0))</f>
        <v/>
      </c>
      <c r="BF2311" s="744" t="str">
        <f>IF(D2311="","",VLOOKUP(D2311,'General Basis'!$J$39:$L$46,3,0))</f>
        <v/>
      </c>
      <c r="BG2311" s="744" t="str">
        <f t="shared" ref="BG2311:BG2374" si="825">BC2311&amp;BI2311</f>
        <v/>
      </c>
      <c r="BH2311" s="744" t="str">
        <f>IF(G2311="","",IF(BF2311="Abu Dhabi",IF(G2311&lt;18,'General Basis'!$C$39,IF(G2311&lt;41,'General Basis'!$C$40,IF(G2311&lt;60,'General Basis'!$C$41,IF(G2311&lt;65,'General Basis'!$C$42,'General Basis'!$C$43)))),IF(G2311&lt;11,'General Basis'!$B$39,IF(G2311&lt;18,'General Basis'!$B$40,IF(G2311&lt;26,'General Basis'!$B$41,IF(G2311&lt;31,'General Basis'!$B$42,IF(G2311&lt;36,'General Basis'!$B$43,IF(G2311&lt;41,'General Basis'!$B$44,IF(G2311&lt;46,'General Basis'!$B$45,IF(G2311&lt;51,'General Basis'!$B$46,IF(G2311&lt;56,'General Basis'!$B$47,IF(G2311&lt;60,'General Basis'!$B$48,IF(G2311&lt;65,'General Basis'!$B$49,'General Basis'!$B$50)))))))))))))</f>
        <v/>
      </c>
      <c r="BI2311" s="744" t="str">
        <f t="shared" si="819"/>
        <v/>
      </c>
      <c r="BJ2311" s="747" t="str">
        <f t="shared" ref="BJ2311:BJ2374" si="826">IF(BD2311="","",IF(BF2311="Abu Dhabi",BK2311,BL2311))</f>
        <v/>
      </c>
      <c r="BK2311" s="498" t="str">
        <f t="shared" si="820"/>
        <v/>
      </c>
      <c r="BL2311" s="498" t="str">
        <f t="shared" si="821"/>
        <v/>
      </c>
    </row>
    <row r="2312" spans="1:64" x14ac:dyDescent="0.25">
      <c r="A2312" s="762">
        <f t="shared" si="822"/>
        <v>2307</v>
      </c>
      <c r="B2312" s="229"/>
      <c r="C2312" s="223"/>
      <c r="D2312" s="224"/>
      <c r="E2312" s="225"/>
      <c r="F2312" s="1036" t="str">
        <f t="shared" si="806"/>
        <v/>
      </c>
      <c r="G2312" s="1037" t="str">
        <f t="shared" si="823"/>
        <v/>
      </c>
      <c r="H2312" s="225"/>
      <c r="I2312" s="1013"/>
      <c r="J2312" s="1013"/>
      <c r="K2312" s="1028"/>
      <c r="L2312" s="1035" t="str">
        <f t="shared" ref="L2312:L2375" si="827">IF(AND(E2312="Child",H2312="Married"),"Check the Marital Status of the Child. ",IF(AND(E2312="Child",F2312&gt;18),"Child Age exceed 18 years. ",IF(AND(E2312="Spouse",H2312="Single"),"Spouse is selected as Single. ","")))&amp;IF(K2312&gt;0,"UW Loading has been Applied","")</f>
        <v/>
      </c>
      <c r="S2312" s="498"/>
      <c r="AJ2312" s="498"/>
      <c r="AM2312" s="498">
        <f t="shared" si="808"/>
        <v>0</v>
      </c>
      <c r="AN2312" s="498">
        <f t="shared" si="809"/>
        <v>0</v>
      </c>
      <c r="AO2312" s="498">
        <f t="shared" si="810"/>
        <v>0</v>
      </c>
      <c r="AP2312" s="498">
        <f t="shared" si="807"/>
        <v>0</v>
      </c>
      <c r="AQ2312" s="498">
        <f t="shared" si="824"/>
        <v>0</v>
      </c>
      <c r="AU2312" s="498">
        <f t="shared" si="811"/>
        <v>0</v>
      </c>
      <c r="AV2312" s="498">
        <f t="shared" si="812"/>
        <v>0</v>
      </c>
      <c r="AW2312" s="498">
        <f t="shared" si="813"/>
        <v>0</v>
      </c>
      <c r="AX2312" s="498">
        <f t="shared" si="814"/>
        <v>0</v>
      </c>
      <c r="AY2312" s="498">
        <f t="shared" si="815"/>
        <v>0</v>
      </c>
      <c r="BB2312" s="498" t="str">
        <f t="shared" si="816"/>
        <v/>
      </c>
      <c r="BC2312" s="743" t="str">
        <f t="shared" si="817"/>
        <v/>
      </c>
      <c r="BD2312" s="743" t="str">
        <f t="shared" si="818"/>
        <v/>
      </c>
      <c r="BE2312" s="743" t="str">
        <f>IF(D2312="","",VLOOKUP(D2312,'General Basis'!$J$39:$K$46,2,0))</f>
        <v/>
      </c>
      <c r="BF2312" s="744" t="str">
        <f>IF(D2312="","",VLOOKUP(D2312,'General Basis'!$J$39:$L$46,3,0))</f>
        <v/>
      </c>
      <c r="BG2312" s="744" t="str">
        <f t="shared" si="825"/>
        <v/>
      </c>
      <c r="BH2312" s="744" t="str">
        <f>IF(G2312="","",IF(BF2312="Abu Dhabi",IF(G2312&lt;18,'General Basis'!$C$39,IF(G2312&lt;41,'General Basis'!$C$40,IF(G2312&lt;60,'General Basis'!$C$41,IF(G2312&lt;65,'General Basis'!$C$42,'General Basis'!$C$43)))),IF(G2312&lt;11,'General Basis'!$B$39,IF(G2312&lt;18,'General Basis'!$B$40,IF(G2312&lt;26,'General Basis'!$B$41,IF(G2312&lt;31,'General Basis'!$B$42,IF(G2312&lt;36,'General Basis'!$B$43,IF(G2312&lt;41,'General Basis'!$B$44,IF(G2312&lt;46,'General Basis'!$B$45,IF(G2312&lt;51,'General Basis'!$B$46,IF(G2312&lt;56,'General Basis'!$B$47,IF(G2312&lt;60,'General Basis'!$B$48,IF(G2312&lt;65,'General Basis'!$B$49,'General Basis'!$B$50)))))))))))))</f>
        <v/>
      </c>
      <c r="BI2312" s="744" t="str">
        <f t="shared" si="819"/>
        <v/>
      </c>
      <c r="BJ2312" s="747" t="str">
        <f t="shared" si="826"/>
        <v/>
      </c>
      <c r="BK2312" s="498" t="str">
        <f t="shared" si="820"/>
        <v/>
      </c>
      <c r="BL2312" s="498" t="str">
        <f t="shared" si="821"/>
        <v/>
      </c>
    </row>
    <row r="2313" spans="1:64" x14ac:dyDescent="0.25">
      <c r="A2313" s="762">
        <f t="shared" si="822"/>
        <v>2308</v>
      </c>
      <c r="B2313" s="229"/>
      <c r="C2313" s="223"/>
      <c r="D2313" s="224"/>
      <c r="E2313" s="225"/>
      <c r="F2313" s="1036" t="str">
        <f t="shared" si="806"/>
        <v/>
      </c>
      <c r="G2313" s="1037" t="str">
        <f t="shared" si="823"/>
        <v/>
      </c>
      <c r="H2313" s="225"/>
      <c r="I2313" s="1013"/>
      <c r="J2313" s="1013"/>
      <c r="K2313" s="1028"/>
      <c r="L2313" s="1035" t="str">
        <f t="shared" si="827"/>
        <v/>
      </c>
      <c r="S2313" s="498"/>
      <c r="AJ2313" s="498"/>
      <c r="AM2313" s="498">
        <f t="shared" si="808"/>
        <v>0</v>
      </c>
      <c r="AN2313" s="498">
        <f t="shared" si="809"/>
        <v>0</v>
      </c>
      <c r="AO2313" s="498">
        <f t="shared" si="810"/>
        <v>0</v>
      </c>
      <c r="AP2313" s="498">
        <f t="shared" si="807"/>
        <v>0</v>
      </c>
      <c r="AQ2313" s="498">
        <f t="shared" si="824"/>
        <v>0</v>
      </c>
      <c r="AU2313" s="498">
        <f t="shared" si="811"/>
        <v>0</v>
      </c>
      <c r="AV2313" s="498">
        <f t="shared" si="812"/>
        <v>0</v>
      </c>
      <c r="AW2313" s="498">
        <f t="shared" si="813"/>
        <v>0</v>
      </c>
      <c r="AX2313" s="498">
        <f t="shared" si="814"/>
        <v>0</v>
      </c>
      <c r="AY2313" s="498">
        <f t="shared" si="815"/>
        <v>0</v>
      </c>
      <c r="BB2313" s="498" t="str">
        <f t="shared" si="816"/>
        <v/>
      </c>
      <c r="BC2313" s="743" t="str">
        <f t="shared" si="817"/>
        <v/>
      </c>
      <c r="BD2313" s="743" t="str">
        <f t="shared" si="818"/>
        <v/>
      </c>
      <c r="BE2313" s="743" t="str">
        <f>IF(D2313="","",VLOOKUP(D2313,'General Basis'!$J$39:$K$46,2,0))</f>
        <v/>
      </c>
      <c r="BF2313" s="744" t="str">
        <f>IF(D2313="","",VLOOKUP(D2313,'General Basis'!$J$39:$L$46,3,0))</f>
        <v/>
      </c>
      <c r="BG2313" s="744" t="str">
        <f t="shared" si="825"/>
        <v/>
      </c>
      <c r="BH2313" s="744" t="str">
        <f>IF(G2313="","",IF(BF2313="Abu Dhabi",IF(G2313&lt;18,'General Basis'!$C$39,IF(G2313&lt;41,'General Basis'!$C$40,IF(G2313&lt;60,'General Basis'!$C$41,IF(G2313&lt;65,'General Basis'!$C$42,'General Basis'!$C$43)))),IF(G2313&lt;11,'General Basis'!$B$39,IF(G2313&lt;18,'General Basis'!$B$40,IF(G2313&lt;26,'General Basis'!$B$41,IF(G2313&lt;31,'General Basis'!$B$42,IF(G2313&lt;36,'General Basis'!$B$43,IF(G2313&lt;41,'General Basis'!$B$44,IF(G2313&lt;46,'General Basis'!$B$45,IF(G2313&lt;51,'General Basis'!$B$46,IF(G2313&lt;56,'General Basis'!$B$47,IF(G2313&lt;60,'General Basis'!$B$48,IF(G2313&lt;65,'General Basis'!$B$49,'General Basis'!$B$50)))))))))))))</f>
        <v/>
      </c>
      <c r="BI2313" s="744" t="str">
        <f t="shared" si="819"/>
        <v/>
      </c>
      <c r="BJ2313" s="747" t="str">
        <f t="shared" si="826"/>
        <v/>
      </c>
      <c r="BK2313" s="498" t="str">
        <f t="shared" si="820"/>
        <v/>
      </c>
      <c r="BL2313" s="498" t="str">
        <f t="shared" si="821"/>
        <v/>
      </c>
    </row>
    <row r="2314" spans="1:64" x14ac:dyDescent="0.25">
      <c r="A2314" s="762">
        <f t="shared" si="822"/>
        <v>2309</v>
      </c>
      <c r="B2314" s="229"/>
      <c r="C2314" s="223"/>
      <c r="D2314" s="224"/>
      <c r="E2314" s="225"/>
      <c r="F2314" s="1036" t="str">
        <f t="shared" si="806"/>
        <v/>
      </c>
      <c r="G2314" s="1037" t="str">
        <f t="shared" si="823"/>
        <v/>
      </c>
      <c r="H2314" s="225"/>
      <c r="I2314" s="1013"/>
      <c r="J2314" s="1013"/>
      <c r="K2314" s="1028"/>
      <c r="L2314" s="1035" t="str">
        <f t="shared" si="827"/>
        <v/>
      </c>
      <c r="S2314" s="498"/>
      <c r="AJ2314" s="498"/>
      <c r="AM2314" s="498">
        <f t="shared" si="808"/>
        <v>0</v>
      </c>
      <c r="AN2314" s="498">
        <f t="shared" si="809"/>
        <v>0</v>
      </c>
      <c r="AO2314" s="498">
        <f t="shared" si="810"/>
        <v>0</v>
      </c>
      <c r="AP2314" s="498">
        <f t="shared" si="807"/>
        <v>0</v>
      </c>
      <c r="AQ2314" s="498">
        <f t="shared" si="824"/>
        <v>0</v>
      </c>
      <c r="AU2314" s="498">
        <f t="shared" si="811"/>
        <v>0</v>
      </c>
      <c r="AV2314" s="498">
        <f t="shared" si="812"/>
        <v>0</v>
      </c>
      <c r="AW2314" s="498">
        <f t="shared" si="813"/>
        <v>0</v>
      </c>
      <c r="AX2314" s="498">
        <f t="shared" si="814"/>
        <v>0</v>
      </c>
      <c r="AY2314" s="498">
        <f t="shared" si="815"/>
        <v>0</v>
      </c>
      <c r="BB2314" s="498" t="str">
        <f t="shared" si="816"/>
        <v/>
      </c>
      <c r="BC2314" s="743" t="str">
        <f t="shared" si="817"/>
        <v/>
      </c>
      <c r="BD2314" s="743" t="str">
        <f t="shared" si="818"/>
        <v/>
      </c>
      <c r="BE2314" s="743" t="str">
        <f>IF(D2314="","",VLOOKUP(D2314,'General Basis'!$J$39:$K$46,2,0))</f>
        <v/>
      </c>
      <c r="BF2314" s="744" t="str">
        <f>IF(D2314="","",VLOOKUP(D2314,'General Basis'!$J$39:$L$46,3,0))</f>
        <v/>
      </c>
      <c r="BG2314" s="744" t="str">
        <f t="shared" si="825"/>
        <v/>
      </c>
      <c r="BH2314" s="744" t="str">
        <f>IF(G2314="","",IF(BF2314="Abu Dhabi",IF(G2314&lt;18,'General Basis'!$C$39,IF(G2314&lt;41,'General Basis'!$C$40,IF(G2314&lt;60,'General Basis'!$C$41,IF(G2314&lt;65,'General Basis'!$C$42,'General Basis'!$C$43)))),IF(G2314&lt;11,'General Basis'!$B$39,IF(G2314&lt;18,'General Basis'!$B$40,IF(G2314&lt;26,'General Basis'!$B$41,IF(G2314&lt;31,'General Basis'!$B$42,IF(G2314&lt;36,'General Basis'!$B$43,IF(G2314&lt;41,'General Basis'!$B$44,IF(G2314&lt;46,'General Basis'!$B$45,IF(G2314&lt;51,'General Basis'!$B$46,IF(G2314&lt;56,'General Basis'!$B$47,IF(G2314&lt;60,'General Basis'!$B$48,IF(G2314&lt;65,'General Basis'!$B$49,'General Basis'!$B$50)))))))))))))</f>
        <v/>
      </c>
      <c r="BI2314" s="744" t="str">
        <f t="shared" si="819"/>
        <v/>
      </c>
      <c r="BJ2314" s="747" t="str">
        <f t="shared" si="826"/>
        <v/>
      </c>
      <c r="BK2314" s="498" t="str">
        <f t="shared" si="820"/>
        <v/>
      </c>
      <c r="BL2314" s="498" t="str">
        <f t="shared" si="821"/>
        <v/>
      </c>
    </row>
    <row r="2315" spans="1:64" x14ac:dyDescent="0.25">
      <c r="A2315" s="762">
        <f t="shared" si="822"/>
        <v>2310</v>
      </c>
      <c r="B2315" s="229"/>
      <c r="C2315" s="223"/>
      <c r="D2315" s="224"/>
      <c r="E2315" s="225"/>
      <c r="F2315" s="1036" t="str">
        <f t="shared" si="806"/>
        <v/>
      </c>
      <c r="G2315" s="1037" t="str">
        <f t="shared" si="823"/>
        <v/>
      </c>
      <c r="H2315" s="225"/>
      <c r="I2315" s="1013"/>
      <c r="J2315" s="1013"/>
      <c r="K2315" s="1028"/>
      <c r="L2315" s="1035" t="str">
        <f t="shared" si="827"/>
        <v/>
      </c>
      <c r="S2315" s="498"/>
      <c r="AJ2315" s="498"/>
      <c r="AM2315" s="498">
        <f t="shared" si="808"/>
        <v>0</v>
      </c>
      <c r="AN2315" s="498">
        <f t="shared" si="809"/>
        <v>0</v>
      </c>
      <c r="AO2315" s="498">
        <f t="shared" si="810"/>
        <v>0</v>
      </c>
      <c r="AP2315" s="498">
        <f t="shared" si="807"/>
        <v>0</v>
      </c>
      <c r="AQ2315" s="498">
        <f t="shared" si="824"/>
        <v>0</v>
      </c>
      <c r="AU2315" s="498">
        <f t="shared" si="811"/>
        <v>0</v>
      </c>
      <c r="AV2315" s="498">
        <f t="shared" si="812"/>
        <v>0</v>
      </c>
      <c r="AW2315" s="498">
        <f t="shared" si="813"/>
        <v>0</v>
      </c>
      <c r="AX2315" s="498">
        <f t="shared" si="814"/>
        <v>0</v>
      </c>
      <c r="AY2315" s="498">
        <f t="shared" si="815"/>
        <v>0</v>
      </c>
      <c r="BB2315" s="498" t="str">
        <f t="shared" si="816"/>
        <v/>
      </c>
      <c r="BC2315" s="743" t="str">
        <f t="shared" si="817"/>
        <v/>
      </c>
      <c r="BD2315" s="743" t="str">
        <f t="shared" si="818"/>
        <v/>
      </c>
      <c r="BE2315" s="743" t="str">
        <f>IF(D2315="","",VLOOKUP(D2315,'General Basis'!$J$39:$K$46,2,0))</f>
        <v/>
      </c>
      <c r="BF2315" s="744" t="str">
        <f>IF(D2315="","",VLOOKUP(D2315,'General Basis'!$J$39:$L$46,3,0))</f>
        <v/>
      </c>
      <c r="BG2315" s="744" t="str">
        <f t="shared" si="825"/>
        <v/>
      </c>
      <c r="BH2315" s="744" t="str">
        <f>IF(G2315="","",IF(BF2315="Abu Dhabi",IF(G2315&lt;18,'General Basis'!$C$39,IF(G2315&lt;41,'General Basis'!$C$40,IF(G2315&lt;60,'General Basis'!$C$41,IF(G2315&lt;65,'General Basis'!$C$42,'General Basis'!$C$43)))),IF(G2315&lt;11,'General Basis'!$B$39,IF(G2315&lt;18,'General Basis'!$B$40,IF(G2315&lt;26,'General Basis'!$B$41,IF(G2315&lt;31,'General Basis'!$B$42,IF(G2315&lt;36,'General Basis'!$B$43,IF(G2315&lt;41,'General Basis'!$B$44,IF(G2315&lt;46,'General Basis'!$B$45,IF(G2315&lt;51,'General Basis'!$B$46,IF(G2315&lt;56,'General Basis'!$B$47,IF(G2315&lt;60,'General Basis'!$B$48,IF(G2315&lt;65,'General Basis'!$B$49,'General Basis'!$B$50)))))))))))))</f>
        <v/>
      </c>
      <c r="BI2315" s="744" t="str">
        <f t="shared" si="819"/>
        <v/>
      </c>
      <c r="BJ2315" s="747" t="str">
        <f t="shared" si="826"/>
        <v/>
      </c>
      <c r="BK2315" s="498" t="str">
        <f t="shared" si="820"/>
        <v/>
      </c>
      <c r="BL2315" s="498" t="str">
        <f t="shared" si="821"/>
        <v/>
      </c>
    </row>
    <row r="2316" spans="1:64" x14ac:dyDescent="0.25">
      <c r="A2316" s="762">
        <f t="shared" si="822"/>
        <v>2311</v>
      </c>
      <c r="B2316" s="229"/>
      <c r="C2316" s="223"/>
      <c r="D2316" s="224"/>
      <c r="E2316" s="225"/>
      <c r="F2316" s="1036" t="str">
        <f t="shared" si="806"/>
        <v/>
      </c>
      <c r="G2316" s="1037" t="str">
        <f t="shared" si="823"/>
        <v/>
      </c>
      <c r="H2316" s="225"/>
      <c r="I2316" s="1013"/>
      <c r="J2316" s="1013"/>
      <c r="K2316" s="1028"/>
      <c r="L2316" s="1035" t="str">
        <f t="shared" si="827"/>
        <v/>
      </c>
      <c r="S2316" s="498"/>
      <c r="AJ2316" s="498"/>
      <c r="AM2316" s="498">
        <f t="shared" si="808"/>
        <v>0</v>
      </c>
      <c r="AN2316" s="498">
        <f t="shared" si="809"/>
        <v>0</v>
      </c>
      <c r="AO2316" s="498">
        <f t="shared" si="810"/>
        <v>0</v>
      </c>
      <c r="AP2316" s="498">
        <f t="shared" si="807"/>
        <v>0</v>
      </c>
      <c r="AQ2316" s="498">
        <f t="shared" si="824"/>
        <v>0</v>
      </c>
      <c r="AU2316" s="498">
        <f t="shared" si="811"/>
        <v>0</v>
      </c>
      <c r="AV2316" s="498">
        <f t="shared" si="812"/>
        <v>0</v>
      </c>
      <c r="AW2316" s="498">
        <f t="shared" si="813"/>
        <v>0</v>
      </c>
      <c r="AX2316" s="498">
        <f t="shared" si="814"/>
        <v>0</v>
      </c>
      <c r="AY2316" s="498">
        <f t="shared" si="815"/>
        <v>0</v>
      </c>
      <c r="BB2316" s="498" t="str">
        <f t="shared" si="816"/>
        <v/>
      </c>
      <c r="BC2316" s="743" t="str">
        <f t="shared" si="817"/>
        <v/>
      </c>
      <c r="BD2316" s="743" t="str">
        <f t="shared" si="818"/>
        <v/>
      </c>
      <c r="BE2316" s="743" t="str">
        <f>IF(D2316="","",VLOOKUP(D2316,'General Basis'!$J$39:$K$46,2,0))</f>
        <v/>
      </c>
      <c r="BF2316" s="744" t="str">
        <f>IF(D2316="","",VLOOKUP(D2316,'General Basis'!$J$39:$L$46,3,0))</f>
        <v/>
      </c>
      <c r="BG2316" s="744" t="str">
        <f t="shared" si="825"/>
        <v/>
      </c>
      <c r="BH2316" s="744" t="str">
        <f>IF(G2316="","",IF(BF2316="Abu Dhabi",IF(G2316&lt;18,'General Basis'!$C$39,IF(G2316&lt;41,'General Basis'!$C$40,IF(G2316&lt;60,'General Basis'!$C$41,IF(G2316&lt;65,'General Basis'!$C$42,'General Basis'!$C$43)))),IF(G2316&lt;11,'General Basis'!$B$39,IF(G2316&lt;18,'General Basis'!$B$40,IF(G2316&lt;26,'General Basis'!$B$41,IF(G2316&lt;31,'General Basis'!$B$42,IF(G2316&lt;36,'General Basis'!$B$43,IF(G2316&lt;41,'General Basis'!$B$44,IF(G2316&lt;46,'General Basis'!$B$45,IF(G2316&lt;51,'General Basis'!$B$46,IF(G2316&lt;56,'General Basis'!$B$47,IF(G2316&lt;60,'General Basis'!$B$48,IF(G2316&lt;65,'General Basis'!$B$49,'General Basis'!$B$50)))))))))))))</f>
        <v/>
      </c>
      <c r="BI2316" s="744" t="str">
        <f t="shared" si="819"/>
        <v/>
      </c>
      <c r="BJ2316" s="747" t="str">
        <f t="shared" si="826"/>
        <v/>
      </c>
      <c r="BK2316" s="498" t="str">
        <f t="shared" si="820"/>
        <v/>
      </c>
      <c r="BL2316" s="498" t="str">
        <f t="shared" si="821"/>
        <v/>
      </c>
    </row>
    <row r="2317" spans="1:64" x14ac:dyDescent="0.25">
      <c r="A2317" s="762">
        <f t="shared" si="822"/>
        <v>2312</v>
      </c>
      <c r="B2317" s="229"/>
      <c r="C2317" s="223"/>
      <c r="D2317" s="224"/>
      <c r="E2317" s="225"/>
      <c r="F2317" s="1036" t="str">
        <f t="shared" si="806"/>
        <v/>
      </c>
      <c r="G2317" s="1037" t="str">
        <f t="shared" si="823"/>
        <v/>
      </c>
      <c r="H2317" s="225"/>
      <c r="I2317" s="1013"/>
      <c r="J2317" s="1013"/>
      <c r="K2317" s="1028"/>
      <c r="L2317" s="1035" t="str">
        <f t="shared" si="827"/>
        <v/>
      </c>
      <c r="S2317" s="498"/>
      <c r="AJ2317" s="498"/>
      <c r="AM2317" s="498">
        <f t="shared" si="808"/>
        <v>0</v>
      </c>
      <c r="AN2317" s="498">
        <f t="shared" si="809"/>
        <v>0</v>
      </c>
      <c r="AO2317" s="498">
        <f t="shared" si="810"/>
        <v>0</v>
      </c>
      <c r="AP2317" s="498">
        <f t="shared" si="807"/>
        <v>0</v>
      </c>
      <c r="AQ2317" s="498">
        <f t="shared" si="824"/>
        <v>0</v>
      </c>
      <c r="AU2317" s="498">
        <f t="shared" si="811"/>
        <v>0</v>
      </c>
      <c r="AV2317" s="498">
        <f t="shared" si="812"/>
        <v>0</v>
      </c>
      <c r="AW2317" s="498">
        <f t="shared" si="813"/>
        <v>0</v>
      </c>
      <c r="AX2317" s="498">
        <f t="shared" si="814"/>
        <v>0</v>
      </c>
      <c r="AY2317" s="498">
        <f t="shared" si="815"/>
        <v>0</v>
      </c>
      <c r="BB2317" s="498" t="str">
        <f t="shared" si="816"/>
        <v/>
      </c>
      <c r="BC2317" s="743" t="str">
        <f t="shared" si="817"/>
        <v/>
      </c>
      <c r="BD2317" s="743" t="str">
        <f t="shared" si="818"/>
        <v/>
      </c>
      <c r="BE2317" s="743" t="str">
        <f>IF(D2317="","",VLOOKUP(D2317,'General Basis'!$J$39:$K$46,2,0))</f>
        <v/>
      </c>
      <c r="BF2317" s="744" t="str">
        <f>IF(D2317="","",VLOOKUP(D2317,'General Basis'!$J$39:$L$46,3,0))</f>
        <v/>
      </c>
      <c r="BG2317" s="744" t="str">
        <f t="shared" si="825"/>
        <v/>
      </c>
      <c r="BH2317" s="744" t="str">
        <f>IF(G2317="","",IF(BF2317="Abu Dhabi",IF(G2317&lt;18,'General Basis'!$C$39,IF(G2317&lt;41,'General Basis'!$C$40,IF(G2317&lt;60,'General Basis'!$C$41,IF(G2317&lt;65,'General Basis'!$C$42,'General Basis'!$C$43)))),IF(G2317&lt;11,'General Basis'!$B$39,IF(G2317&lt;18,'General Basis'!$B$40,IF(G2317&lt;26,'General Basis'!$B$41,IF(G2317&lt;31,'General Basis'!$B$42,IF(G2317&lt;36,'General Basis'!$B$43,IF(G2317&lt;41,'General Basis'!$B$44,IF(G2317&lt;46,'General Basis'!$B$45,IF(G2317&lt;51,'General Basis'!$B$46,IF(G2317&lt;56,'General Basis'!$B$47,IF(G2317&lt;60,'General Basis'!$B$48,IF(G2317&lt;65,'General Basis'!$B$49,'General Basis'!$B$50)))))))))))))</f>
        <v/>
      </c>
      <c r="BI2317" s="744" t="str">
        <f t="shared" si="819"/>
        <v/>
      </c>
      <c r="BJ2317" s="747" t="str">
        <f t="shared" si="826"/>
        <v/>
      </c>
      <c r="BK2317" s="498" t="str">
        <f t="shared" si="820"/>
        <v/>
      </c>
      <c r="BL2317" s="498" t="str">
        <f t="shared" si="821"/>
        <v/>
      </c>
    </row>
    <row r="2318" spans="1:64" x14ac:dyDescent="0.25">
      <c r="A2318" s="762">
        <f t="shared" si="822"/>
        <v>2313</v>
      </c>
      <c r="B2318" s="229"/>
      <c r="C2318" s="223"/>
      <c r="D2318" s="224"/>
      <c r="E2318" s="225"/>
      <c r="F2318" s="1036" t="str">
        <f t="shared" si="806"/>
        <v/>
      </c>
      <c r="G2318" s="1037" t="str">
        <f t="shared" si="823"/>
        <v/>
      </c>
      <c r="H2318" s="225"/>
      <c r="I2318" s="1013"/>
      <c r="J2318" s="1013"/>
      <c r="K2318" s="1028"/>
      <c r="L2318" s="1035" t="str">
        <f t="shared" si="827"/>
        <v/>
      </c>
      <c r="S2318" s="498"/>
      <c r="AJ2318" s="498"/>
      <c r="AM2318" s="498">
        <f t="shared" si="808"/>
        <v>0</v>
      </c>
      <c r="AN2318" s="498">
        <f t="shared" si="809"/>
        <v>0</v>
      </c>
      <c r="AO2318" s="498">
        <f t="shared" si="810"/>
        <v>0</v>
      </c>
      <c r="AP2318" s="498">
        <f t="shared" si="807"/>
        <v>0</v>
      </c>
      <c r="AQ2318" s="498">
        <f t="shared" si="824"/>
        <v>0</v>
      </c>
      <c r="AU2318" s="498">
        <f t="shared" si="811"/>
        <v>0</v>
      </c>
      <c r="AV2318" s="498">
        <f t="shared" si="812"/>
        <v>0</v>
      </c>
      <c r="AW2318" s="498">
        <f t="shared" si="813"/>
        <v>0</v>
      </c>
      <c r="AX2318" s="498">
        <f t="shared" si="814"/>
        <v>0</v>
      </c>
      <c r="AY2318" s="498">
        <f t="shared" si="815"/>
        <v>0</v>
      </c>
      <c r="BB2318" s="498" t="str">
        <f t="shared" si="816"/>
        <v/>
      </c>
      <c r="BC2318" s="743" t="str">
        <f t="shared" si="817"/>
        <v/>
      </c>
      <c r="BD2318" s="743" t="str">
        <f t="shared" si="818"/>
        <v/>
      </c>
      <c r="BE2318" s="743" t="str">
        <f>IF(D2318="","",VLOOKUP(D2318,'General Basis'!$J$39:$K$46,2,0))</f>
        <v/>
      </c>
      <c r="BF2318" s="744" t="str">
        <f>IF(D2318="","",VLOOKUP(D2318,'General Basis'!$J$39:$L$46,3,0))</f>
        <v/>
      </c>
      <c r="BG2318" s="744" t="str">
        <f t="shared" si="825"/>
        <v/>
      </c>
      <c r="BH2318" s="744" t="str">
        <f>IF(G2318="","",IF(BF2318="Abu Dhabi",IF(G2318&lt;18,'General Basis'!$C$39,IF(G2318&lt;41,'General Basis'!$C$40,IF(G2318&lt;60,'General Basis'!$C$41,IF(G2318&lt;65,'General Basis'!$C$42,'General Basis'!$C$43)))),IF(G2318&lt;11,'General Basis'!$B$39,IF(G2318&lt;18,'General Basis'!$B$40,IF(G2318&lt;26,'General Basis'!$B$41,IF(G2318&lt;31,'General Basis'!$B$42,IF(G2318&lt;36,'General Basis'!$B$43,IF(G2318&lt;41,'General Basis'!$B$44,IF(G2318&lt;46,'General Basis'!$B$45,IF(G2318&lt;51,'General Basis'!$B$46,IF(G2318&lt;56,'General Basis'!$B$47,IF(G2318&lt;60,'General Basis'!$B$48,IF(G2318&lt;65,'General Basis'!$B$49,'General Basis'!$B$50)))))))))))))</f>
        <v/>
      </c>
      <c r="BI2318" s="744" t="str">
        <f t="shared" si="819"/>
        <v/>
      </c>
      <c r="BJ2318" s="747" t="str">
        <f t="shared" si="826"/>
        <v/>
      </c>
      <c r="BK2318" s="498" t="str">
        <f t="shared" si="820"/>
        <v/>
      </c>
      <c r="BL2318" s="498" t="str">
        <f t="shared" si="821"/>
        <v/>
      </c>
    </row>
    <row r="2319" spans="1:64" x14ac:dyDescent="0.25">
      <c r="A2319" s="762">
        <f t="shared" si="822"/>
        <v>2314</v>
      </c>
      <c r="B2319" s="229"/>
      <c r="C2319" s="223"/>
      <c r="D2319" s="224"/>
      <c r="E2319" s="225"/>
      <c r="F2319" s="1036" t="str">
        <f t="shared" si="806"/>
        <v/>
      </c>
      <c r="G2319" s="1037" t="str">
        <f t="shared" si="823"/>
        <v/>
      </c>
      <c r="H2319" s="225"/>
      <c r="I2319" s="1013"/>
      <c r="J2319" s="1013"/>
      <c r="K2319" s="1028"/>
      <c r="L2319" s="1035" t="str">
        <f t="shared" si="827"/>
        <v/>
      </c>
      <c r="S2319" s="498"/>
      <c r="AJ2319" s="498"/>
      <c r="AM2319" s="498">
        <f t="shared" si="808"/>
        <v>0</v>
      </c>
      <c r="AN2319" s="498">
        <f t="shared" si="809"/>
        <v>0</v>
      </c>
      <c r="AO2319" s="498">
        <f t="shared" si="810"/>
        <v>0</v>
      </c>
      <c r="AP2319" s="498">
        <f t="shared" si="807"/>
        <v>0</v>
      </c>
      <c r="AQ2319" s="498">
        <f t="shared" si="824"/>
        <v>0</v>
      </c>
      <c r="AU2319" s="498">
        <f t="shared" si="811"/>
        <v>0</v>
      </c>
      <c r="AV2319" s="498">
        <f t="shared" si="812"/>
        <v>0</v>
      </c>
      <c r="AW2319" s="498">
        <f t="shared" si="813"/>
        <v>0</v>
      </c>
      <c r="AX2319" s="498">
        <f t="shared" si="814"/>
        <v>0</v>
      </c>
      <c r="AY2319" s="498">
        <f t="shared" si="815"/>
        <v>0</v>
      </c>
      <c r="BB2319" s="498" t="str">
        <f t="shared" si="816"/>
        <v/>
      </c>
      <c r="BC2319" s="743" t="str">
        <f t="shared" si="817"/>
        <v/>
      </c>
      <c r="BD2319" s="743" t="str">
        <f t="shared" si="818"/>
        <v/>
      </c>
      <c r="BE2319" s="743" t="str">
        <f>IF(D2319="","",VLOOKUP(D2319,'General Basis'!$J$39:$K$46,2,0))</f>
        <v/>
      </c>
      <c r="BF2319" s="744" t="str">
        <f>IF(D2319="","",VLOOKUP(D2319,'General Basis'!$J$39:$L$46,3,0))</f>
        <v/>
      </c>
      <c r="BG2319" s="744" t="str">
        <f t="shared" si="825"/>
        <v/>
      </c>
      <c r="BH2319" s="744" t="str">
        <f>IF(G2319="","",IF(BF2319="Abu Dhabi",IF(G2319&lt;18,'General Basis'!$C$39,IF(G2319&lt;41,'General Basis'!$C$40,IF(G2319&lt;60,'General Basis'!$C$41,IF(G2319&lt;65,'General Basis'!$C$42,'General Basis'!$C$43)))),IF(G2319&lt;11,'General Basis'!$B$39,IF(G2319&lt;18,'General Basis'!$B$40,IF(G2319&lt;26,'General Basis'!$B$41,IF(G2319&lt;31,'General Basis'!$B$42,IF(G2319&lt;36,'General Basis'!$B$43,IF(G2319&lt;41,'General Basis'!$B$44,IF(G2319&lt;46,'General Basis'!$B$45,IF(G2319&lt;51,'General Basis'!$B$46,IF(G2319&lt;56,'General Basis'!$B$47,IF(G2319&lt;60,'General Basis'!$B$48,IF(G2319&lt;65,'General Basis'!$B$49,'General Basis'!$B$50)))))))))))))</f>
        <v/>
      </c>
      <c r="BI2319" s="744" t="str">
        <f t="shared" si="819"/>
        <v/>
      </c>
      <c r="BJ2319" s="747" t="str">
        <f t="shared" si="826"/>
        <v/>
      </c>
      <c r="BK2319" s="498" t="str">
        <f t="shared" si="820"/>
        <v/>
      </c>
      <c r="BL2319" s="498" t="str">
        <f t="shared" si="821"/>
        <v/>
      </c>
    </row>
    <row r="2320" spans="1:64" x14ac:dyDescent="0.25">
      <c r="A2320" s="762">
        <f t="shared" si="822"/>
        <v>2315</v>
      </c>
      <c r="B2320" s="229"/>
      <c r="C2320" s="223"/>
      <c r="D2320" s="224"/>
      <c r="E2320" s="225"/>
      <c r="F2320" s="1036" t="str">
        <f t="shared" ref="F2320:F2383" si="828">IF(C2320="","",IF($B2320="","",((YEAR($F$3)-YEAR($B2320))+(MONTH($F$3)-MONTH($B2320))/12+(DAY($F$3)-DAY($B2320))/(DATE(YEAR($F$3),12,31)-DATE(YEAR($F$3),1,1)+1))))</f>
        <v/>
      </c>
      <c r="G2320" s="1037" t="str">
        <f t="shared" si="823"/>
        <v/>
      </c>
      <c r="H2320" s="225"/>
      <c r="I2320" s="1013"/>
      <c r="J2320" s="1013"/>
      <c r="K2320" s="1028"/>
      <c r="L2320" s="1035" t="str">
        <f t="shared" si="827"/>
        <v/>
      </c>
      <c r="S2320" s="498"/>
      <c r="AJ2320" s="498"/>
      <c r="AM2320" s="498">
        <f t="shared" si="808"/>
        <v>0</v>
      </c>
      <c r="AN2320" s="498">
        <f t="shared" si="809"/>
        <v>0</v>
      </c>
      <c r="AO2320" s="498">
        <f t="shared" si="810"/>
        <v>0</v>
      </c>
      <c r="AP2320" s="498">
        <f t="shared" si="807"/>
        <v>0</v>
      </c>
      <c r="AQ2320" s="498">
        <f t="shared" si="824"/>
        <v>0</v>
      </c>
      <c r="AU2320" s="498">
        <f t="shared" si="811"/>
        <v>0</v>
      </c>
      <c r="AV2320" s="498">
        <f t="shared" si="812"/>
        <v>0</v>
      </c>
      <c r="AW2320" s="498">
        <f t="shared" si="813"/>
        <v>0</v>
      </c>
      <c r="AX2320" s="498">
        <f t="shared" si="814"/>
        <v>0</v>
      </c>
      <c r="AY2320" s="498">
        <f t="shared" si="815"/>
        <v>0</v>
      </c>
      <c r="BB2320" s="498" t="str">
        <f t="shared" si="816"/>
        <v/>
      </c>
      <c r="BC2320" s="743" t="str">
        <f t="shared" si="817"/>
        <v/>
      </c>
      <c r="BD2320" s="743" t="str">
        <f t="shared" si="818"/>
        <v/>
      </c>
      <c r="BE2320" s="743" t="str">
        <f>IF(D2320="","",VLOOKUP(D2320,'General Basis'!$J$39:$K$46,2,0))</f>
        <v/>
      </c>
      <c r="BF2320" s="744" t="str">
        <f>IF(D2320="","",VLOOKUP(D2320,'General Basis'!$J$39:$L$46,3,0))</f>
        <v/>
      </c>
      <c r="BG2320" s="744" t="str">
        <f t="shared" si="825"/>
        <v/>
      </c>
      <c r="BH2320" s="744" t="str">
        <f>IF(G2320="","",IF(BF2320="Abu Dhabi",IF(G2320&lt;18,'General Basis'!$C$39,IF(G2320&lt;41,'General Basis'!$C$40,IF(G2320&lt;60,'General Basis'!$C$41,IF(G2320&lt;65,'General Basis'!$C$42,'General Basis'!$C$43)))),IF(G2320&lt;11,'General Basis'!$B$39,IF(G2320&lt;18,'General Basis'!$B$40,IF(G2320&lt;26,'General Basis'!$B$41,IF(G2320&lt;31,'General Basis'!$B$42,IF(G2320&lt;36,'General Basis'!$B$43,IF(G2320&lt;41,'General Basis'!$B$44,IF(G2320&lt;46,'General Basis'!$B$45,IF(G2320&lt;51,'General Basis'!$B$46,IF(G2320&lt;56,'General Basis'!$B$47,IF(G2320&lt;60,'General Basis'!$B$48,IF(G2320&lt;65,'General Basis'!$B$49,'General Basis'!$B$50)))))))))))))</f>
        <v/>
      </c>
      <c r="BI2320" s="744" t="str">
        <f t="shared" si="819"/>
        <v/>
      </c>
      <c r="BJ2320" s="747" t="str">
        <f t="shared" si="826"/>
        <v/>
      </c>
      <c r="BK2320" s="498" t="str">
        <f t="shared" si="820"/>
        <v/>
      </c>
      <c r="BL2320" s="498" t="str">
        <f t="shared" si="821"/>
        <v/>
      </c>
    </row>
    <row r="2321" spans="1:64" x14ac:dyDescent="0.25">
      <c r="A2321" s="762">
        <f t="shared" si="822"/>
        <v>2316</v>
      </c>
      <c r="B2321" s="229"/>
      <c r="C2321" s="223"/>
      <c r="D2321" s="224"/>
      <c r="E2321" s="225"/>
      <c r="F2321" s="1036" t="str">
        <f t="shared" si="828"/>
        <v/>
      </c>
      <c r="G2321" s="1037" t="str">
        <f t="shared" si="823"/>
        <v/>
      </c>
      <c r="H2321" s="225"/>
      <c r="I2321" s="1013"/>
      <c r="J2321" s="1013"/>
      <c r="K2321" s="1028"/>
      <c r="L2321" s="1035" t="str">
        <f t="shared" si="827"/>
        <v/>
      </c>
      <c r="S2321" s="498"/>
      <c r="AJ2321" s="498"/>
      <c r="AM2321" s="498">
        <f t="shared" si="808"/>
        <v>0</v>
      </c>
      <c r="AN2321" s="498">
        <f t="shared" si="809"/>
        <v>0</v>
      </c>
      <c r="AO2321" s="498">
        <f t="shared" si="810"/>
        <v>0</v>
      </c>
      <c r="AP2321" s="498">
        <f t="shared" si="807"/>
        <v>0</v>
      </c>
      <c r="AQ2321" s="498">
        <f t="shared" si="824"/>
        <v>0</v>
      </c>
      <c r="AU2321" s="498">
        <f t="shared" si="811"/>
        <v>0</v>
      </c>
      <c r="AV2321" s="498">
        <f t="shared" si="812"/>
        <v>0</v>
      </c>
      <c r="AW2321" s="498">
        <f t="shared" si="813"/>
        <v>0</v>
      </c>
      <c r="AX2321" s="498">
        <f t="shared" si="814"/>
        <v>0</v>
      </c>
      <c r="AY2321" s="498">
        <f t="shared" si="815"/>
        <v>0</v>
      </c>
      <c r="BB2321" s="498" t="str">
        <f t="shared" si="816"/>
        <v/>
      </c>
      <c r="BC2321" s="743" t="str">
        <f t="shared" si="817"/>
        <v/>
      </c>
      <c r="BD2321" s="743" t="str">
        <f t="shared" si="818"/>
        <v/>
      </c>
      <c r="BE2321" s="743" t="str">
        <f>IF(D2321="","",VLOOKUP(D2321,'General Basis'!$J$39:$K$46,2,0))</f>
        <v/>
      </c>
      <c r="BF2321" s="744" t="str">
        <f>IF(D2321="","",VLOOKUP(D2321,'General Basis'!$J$39:$L$46,3,0))</f>
        <v/>
      </c>
      <c r="BG2321" s="744" t="str">
        <f t="shared" si="825"/>
        <v/>
      </c>
      <c r="BH2321" s="744" t="str">
        <f>IF(G2321="","",IF(BF2321="Abu Dhabi",IF(G2321&lt;18,'General Basis'!$C$39,IF(G2321&lt;41,'General Basis'!$C$40,IF(G2321&lt;60,'General Basis'!$C$41,IF(G2321&lt;65,'General Basis'!$C$42,'General Basis'!$C$43)))),IF(G2321&lt;11,'General Basis'!$B$39,IF(G2321&lt;18,'General Basis'!$B$40,IF(G2321&lt;26,'General Basis'!$B$41,IF(G2321&lt;31,'General Basis'!$B$42,IF(G2321&lt;36,'General Basis'!$B$43,IF(G2321&lt;41,'General Basis'!$B$44,IF(G2321&lt;46,'General Basis'!$B$45,IF(G2321&lt;51,'General Basis'!$B$46,IF(G2321&lt;56,'General Basis'!$B$47,IF(G2321&lt;60,'General Basis'!$B$48,IF(G2321&lt;65,'General Basis'!$B$49,'General Basis'!$B$50)))))))))))))</f>
        <v/>
      </c>
      <c r="BI2321" s="744" t="str">
        <f t="shared" si="819"/>
        <v/>
      </c>
      <c r="BJ2321" s="747" t="str">
        <f t="shared" si="826"/>
        <v/>
      </c>
      <c r="BK2321" s="498" t="str">
        <f t="shared" si="820"/>
        <v/>
      </c>
      <c r="BL2321" s="498" t="str">
        <f t="shared" si="821"/>
        <v/>
      </c>
    </row>
    <row r="2322" spans="1:64" x14ac:dyDescent="0.25">
      <c r="A2322" s="762">
        <f t="shared" si="822"/>
        <v>2317</v>
      </c>
      <c r="B2322" s="229"/>
      <c r="C2322" s="223"/>
      <c r="D2322" s="224"/>
      <c r="E2322" s="225"/>
      <c r="F2322" s="1036" t="str">
        <f t="shared" si="828"/>
        <v/>
      </c>
      <c r="G2322" s="1037" t="str">
        <f t="shared" si="823"/>
        <v/>
      </c>
      <c r="H2322" s="225"/>
      <c r="I2322" s="1013"/>
      <c r="J2322" s="1013"/>
      <c r="K2322" s="1028"/>
      <c r="L2322" s="1035" t="str">
        <f t="shared" si="827"/>
        <v/>
      </c>
      <c r="S2322" s="498"/>
      <c r="AJ2322" s="498"/>
      <c r="AM2322" s="498">
        <f t="shared" si="808"/>
        <v>0</v>
      </c>
      <c r="AN2322" s="498">
        <f t="shared" si="809"/>
        <v>0</v>
      </c>
      <c r="AO2322" s="498">
        <f t="shared" si="810"/>
        <v>0</v>
      </c>
      <c r="AP2322" s="498">
        <f t="shared" si="807"/>
        <v>0</v>
      </c>
      <c r="AQ2322" s="498">
        <f t="shared" si="824"/>
        <v>0</v>
      </c>
      <c r="AU2322" s="498">
        <f t="shared" si="811"/>
        <v>0</v>
      </c>
      <c r="AV2322" s="498">
        <f t="shared" si="812"/>
        <v>0</v>
      </c>
      <c r="AW2322" s="498">
        <f t="shared" si="813"/>
        <v>0</v>
      </c>
      <c r="AX2322" s="498">
        <f t="shared" si="814"/>
        <v>0</v>
      </c>
      <c r="AY2322" s="498">
        <f t="shared" si="815"/>
        <v>0</v>
      </c>
      <c r="BB2322" s="498" t="str">
        <f t="shared" si="816"/>
        <v/>
      </c>
      <c r="BC2322" s="743" t="str">
        <f t="shared" si="817"/>
        <v/>
      </c>
      <c r="BD2322" s="743" t="str">
        <f t="shared" si="818"/>
        <v/>
      </c>
      <c r="BE2322" s="743" t="str">
        <f>IF(D2322="","",VLOOKUP(D2322,'General Basis'!$J$39:$K$46,2,0))</f>
        <v/>
      </c>
      <c r="BF2322" s="744" t="str">
        <f>IF(D2322="","",VLOOKUP(D2322,'General Basis'!$J$39:$L$46,3,0))</f>
        <v/>
      </c>
      <c r="BG2322" s="744" t="str">
        <f t="shared" si="825"/>
        <v/>
      </c>
      <c r="BH2322" s="744" t="str">
        <f>IF(G2322="","",IF(BF2322="Abu Dhabi",IF(G2322&lt;18,'General Basis'!$C$39,IF(G2322&lt;41,'General Basis'!$C$40,IF(G2322&lt;60,'General Basis'!$C$41,IF(G2322&lt;65,'General Basis'!$C$42,'General Basis'!$C$43)))),IF(G2322&lt;11,'General Basis'!$B$39,IF(G2322&lt;18,'General Basis'!$B$40,IF(G2322&lt;26,'General Basis'!$B$41,IF(G2322&lt;31,'General Basis'!$B$42,IF(G2322&lt;36,'General Basis'!$B$43,IF(G2322&lt;41,'General Basis'!$B$44,IF(G2322&lt;46,'General Basis'!$B$45,IF(G2322&lt;51,'General Basis'!$B$46,IF(G2322&lt;56,'General Basis'!$B$47,IF(G2322&lt;60,'General Basis'!$B$48,IF(G2322&lt;65,'General Basis'!$B$49,'General Basis'!$B$50)))))))))))))</f>
        <v/>
      </c>
      <c r="BI2322" s="744" t="str">
        <f t="shared" si="819"/>
        <v/>
      </c>
      <c r="BJ2322" s="747" t="str">
        <f t="shared" si="826"/>
        <v/>
      </c>
      <c r="BK2322" s="498" t="str">
        <f t="shared" si="820"/>
        <v/>
      </c>
      <c r="BL2322" s="498" t="str">
        <f t="shared" si="821"/>
        <v/>
      </c>
    </row>
    <row r="2323" spans="1:64" x14ac:dyDescent="0.25">
      <c r="A2323" s="762">
        <f t="shared" si="822"/>
        <v>2318</v>
      </c>
      <c r="B2323" s="229"/>
      <c r="C2323" s="223"/>
      <c r="D2323" s="224"/>
      <c r="E2323" s="225"/>
      <c r="F2323" s="1036" t="str">
        <f t="shared" si="828"/>
        <v/>
      </c>
      <c r="G2323" s="1037" t="str">
        <f t="shared" si="823"/>
        <v/>
      </c>
      <c r="H2323" s="225"/>
      <c r="I2323" s="1013"/>
      <c r="J2323" s="1013"/>
      <c r="K2323" s="1028"/>
      <c r="L2323" s="1035" t="str">
        <f t="shared" si="827"/>
        <v/>
      </c>
      <c r="S2323" s="498"/>
      <c r="AJ2323" s="498"/>
      <c r="AM2323" s="498">
        <f t="shared" si="808"/>
        <v>0</v>
      </c>
      <c r="AN2323" s="498">
        <f t="shared" si="809"/>
        <v>0</v>
      </c>
      <c r="AO2323" s="498">
        <f t="shared" si="810"/>
        <v>0</v>
      </c>
      <c r="AP2323" s="498">
        <f t="shared" ref="AP2323:AP2386" si="829">IF(ISBLANK($B2323),0,IF(OR($C2323="M",$C2323="F"),0,1))</f>
        <v>0</v>
      </c>
      <c r="AQ2323" s="498">
        <f t="shared" si="824"/>
        <v>0</v>
      </c>
      <c r="AU2323" s="498">
        <f t="shared" si="811"/>
        <v>0</v>
      </c>
      <c r="AV2323" s="498">
        <f t="shared" si="812"/>
        <v>0</v>
      </c>
      <c r="AW2323" s="498">
        <f t="shared" si="813"/>
        <v>0</v>
      </c>
      <c r="AX2323" s="498">
        <f t="shared" si="814"/>
        <v>0</v>
      </c>
      <c r="AY2323" s="498">
        <f t="shared" si="815"/>
        <v>0</v>
      </c>
      <c r="BB2323" s="498" t="str">
        <f t="shared" si="816"/>
        <v/>
      </c>
      <c r="BC2323" s="743" t="str">
        <f t="shared" si="817"/>
        <v/>
      </c>
      <c r="BD2323" s="743" t="str">
        <f t="shared" si="818"/>
        <v/>
      </c>
      <c r="BE2323" s="743" t="str">
        <f>IF(D2323="","",VLOOKUP(D2323,'General Basis'!$J$39:$K$46,2,0))</f>
        <v/>
      </c>
      <c r="BF2323" s="744" t="str">
        <f>IF(D2323="","",VLOOKUP(D2323,'General Basis'!$J$39:$L$46,3,0))</f>
        <v/>
      </c>
      <c r="BG2323" s="744" t="str">
        <f t="shared" si="825"/>
        <v/>
      </c>
      <c r="BH2323" s="744" t="str">
        <f>IF(G2323="","",IF(BF2323="Abu Dhabi",IF(G2323&lt;18,'General Basis'!$C$39,IF(G2323&lt;41,'General Basis'!$C$40,IF(G2323&lt;60,'General Basis'!$C$41,IF(G2323&lt;65,'General Basis'!$C$42,'General Basis'!$C$43)))),IF(G2323&lt;11,'General Basis'!$B$39,IF(G2323&lt;18,'General Basis'!$B$40,IF(G2323&lt;26,'General Basis'!$B$41,IF(G2323&lt;31,'General Basis'!$B$42,IF(G2323&lt;36,'General Basis'!$B$43,IF(G2323&lt;41,'General Basis'!$B$44,IF(G2323&lt;46,'General Basis'!$B$45,IF(G2323&lt;51,'General Basis'!$B$46,IF(G2323&lt;56,'General Basis'!$B$47,IF(G2323&lt;60,'General Basis'!$B$48,IF(G2323&lt;65,'General Basis'!$B$49,'General Basis'!$B$50)))))))))))))</f>
        <v/>
      </c>
      <c r="BI2323" s="744" t="str">
        <f t="shared" si="819"/>
        <v/>
      </c>
      <c r="BJ2323" s="747" t="str">
        <f t="shared" si="826"/>
        <v/>
      </c>
      <c r="BK2323" s="498" t="str">
        <f t="shared" si="820"/>
        <v/>
      </c>
      <c r="BL2323" s="498" t="str">
        <f t="shared" si="821"/>
        <v/>
      </c>
    </row>
    <row r="2324" spans="1:64" x14ac:dyDescent="0.25">
      <c r="A2324" s="762">
        <f t="shared" si="822"/>
        <v>2319</v>
      </c>
      <c r="B2324" s="229"/>
      <c r="C2324" s="223"/>
      <c r="D2324" s="224"/>
      <c r="E2324" s="225"/>
      <c r="F2324" s="1036" t="str">
        <f t="shared" si="828"/>
        <v/>
      </c>
      <c r="G2324" s="1037" t="str">
        <f t="shared" si="823"/>
        <v/>
      </c>
      <c r="H2324" s="225"/>
      <c r="I2324" s="1013"/>
      <c r="J2324" s="1013"/>
      <c r="K2324" s="1028"/>
      <c r="L2324" s="1035" t="str">
        <f t="shared" si="827"/>
        <v/>
      </c>
      <c r="S2324" s="498"/>
      <c r="AJ2324" s="498"/>
      <c r="AM2324" s="498">
        <f t="shared" si="808"/>
        <v>0</v>
      </c>
      <c r="AN2324" s="498">
        <f t="shared" si="809"/>
        <v>0</v>
      </c>
      <c r="AO2324" s="498">
        <f t="shared" si="810"/>
        <v>0</v>
      </c>
      <c r="AP2324" s="498">
        <f t="shared" si="829"/>
        <v>0</v>
      </c>
      <c r="AQ2324" s="498">
        <f t="shared" si="824"/>
        <v>0</v>
      </c>
      <c r="AU2324" s="498">
        <f t="shared" si="811"/>
        <v>0</v>
      </c>
      <c r="AV2324" s="498">
        <f t="shared" si="812"/>
        <v>0</v>
      </c>
      <c r="AW2324" s="498">
        <f t="shared" si="813"/>
        <v>0</v>
      </c>
      <c r="AX2324" s="498">
        <f t="shared" si="814"/>
        <v>0</v>
      </c>
      <c r="AY2324" s="498">
        <f t="shared" si="815"/>
        <v>0</v>
      </c>
      <c r="BB2324" s="498" t="str">
        <f t="shared" si="816"/>
        <v/>
      </c>
      <c r="BC2324" s="743" t="str">
        <f t="shared" si="817"/>
        <v/>
      </c>
      <c r="BD2324" s="743" t="str">
        <f t="shared" si="818"/>
        <v/>
      </c>
      <c r="BE2324" s="743" t="str">
        <f>IF(D2324="","",VLOOKUP(D2324,'General Basis'!$J$39:$K$46,2,0))</f>
        <v/>
      </c>
      <c r="BF2324" s="744" t="str">
        <f>IF(D2324="","",VLOOKUP(D2324,'General Basis'!$J$39:$L$46,3,0))</f>
        <v/>
      </c>
      <c r="BG2324" s="744" t="str">
        <f t="shared" si="825"/>
        <v/>
      </c>
      <c r="BH2324" s="744" t="str">
        <f>IF(G2324="","",IF(BF2324="Abu Dhabi",IF(G2324&lt;18,'General Basis'!$C$39,IF(G2324&lt;41,'General Basis'!$C$40,IF(G2324&lt;60,'General Basis'!$C$41,IF(G2324&lt;65,'General Basis'!$C$42,'General Basis'!$C$43)))),IF(G2324&lt;11,'General Basis'!$B$39,IF(G2324&lt;18,'General Basis'!$B$40,IF(G2324&lt;26,'General Basis'!$B$41,IF(G2324&lt;31,'General Basis'!$B$42,IF(G2324&lt;36,'General Basis'!$B$43,IF(G2324&lt;41,'General Basis'!$B$44,IF(G2324&lt;46,'General Basis'!$B$45,IF(G2324&lt;51,'General Basis'!$B$46,IF(G2324&lt;56,'General Basis'!$B$47,IF(G2324&lt;60,'General Basis'!$B$48,IF(G2324&lt;65,'General Basis'!$B$49,'General Basis'!$B$50)))))))))))))</f>
        <v/>
      </c>
      <c r="BI2324" s="744" t="str">
        <f t="shared" si="819"/>
        <v/>
      </c>
      <c r="BJ2324" s="747" t="str">
        <f t="shared" si="826"/>
        <v/>
      </c>
      <c r="BK2324" s="498" t="str">
        <f t="shared" si="820"/>
        <v/>
      </c>
      <c r="BL2324" s="498" t="str">
        <f t="shared" si="821"/>
        <v/>
      </c>
    </row>
    <row r="2325" spans="1:64" x14ac:dyDescent="0.25">
      <c r="A2325" s="762">
        <f t="shared" si="822"/>
        <v>2320</v>
      </c>
      <c r="B2325" s="229"/>
      <c r="C2325" s="223"/>
      <c r="D2325" s="224"/>
      <c r="E2325" s="225"/>
      <c r="F2325" s="1036" t="str">
        <f t="shared" si="828"/>
        <v/>
      </c>
      <c r="G2325" s="1037" t="str">
        <f t="shared" si="823"/>
        <v/>
      </c>
      <c r="H2325" s="225"/>
      <c r="I2325" s="1013"/>
      <c r="J2325" s="1013"/>
      <c r="K2325" s="1028"/>
      <c r="L2325" s="1035" t="str">
        <f t="shared" si="827"/>
        <v/>
      </c>
      <c r="S2325" s="498"/>
      <c r="AJ2325" s="498"/>
      <c r="AM2325" s="498">
        <f t="shared" si="808"/>
        <v>0</v>
      </c>
      <c r="AN2325" s="498">
        <f t="shared" si="809"/>
        <v>0</v>
      </c>
      <c r="AO2325" s="498">
        <f t="shared" si="810"/>
        <v>0</v>
      </c>
      <c r="AP2325" s="498">
        <f t="shared" si="829"/>
        <v>0</v>
      </c>
      <c r="AQ2325" s="498">
        <f t="shared" si="824"/>
        <v>0</v>
      </c>
      <c r="AU2325" s="498">
        <f t="shared" si="811"/>
        <v>0</v>
      </c>
      <c r="AV2325" s="498">
        <f t="shared" si="812"/>
        <v>0</v>
      </c>
      <c r="AW2325" s="498">
        <f t="shared" si="813"/>
        <v>0</v>
      </c>
      <c r="AX2325" s="498">
        <f t="shared" si="814"/>
        <v>0</v>
      </c>
      <c r="AY2325" s="498">
        <f t="shared" si="815"/>
        <v>0</v>
      </c>
      <c r="BB2325" s="498" t="str">
        <f t="shared" si="816"/>
        <v/>
      </c>
      <c r="BC2325" s="743" t="str">
        <f t="shared" si="817"/>
        <v/>
      </c>
      <c r="BD2325" s="743" t="str">
        <f t="shared" si="818"/>
        <v/>
      </c>
      <c r="BE2325" s="743" t="str">
        <f>IF(D2325="","",VLOOKUP(D2325,'General Basis'!$J$39:$K$46,2,0))</f>
        <v/>
      </c>
      <c r="BF2325" s="744" t="str">
        <f>IF(D2325="","",VLOOKUP(D2325,'General Basis'!$J$39:$L$46,3,0))</f>
        <v/>
      </c>
      <c r="BG2325" s="744" t="str">
        <f t="shared" si="825"/>
        <v/>
      </c>
      <c r="BH2325" s="744" t="str">
        <f>IF(G2325="","",IF(BF2325="Abu Dhabi",IF(G2325&lt;18,'General Basis'!$C$39,IF(G2325&lt;41,'General Basis'!$C$40,IF(G2325&lt;60,'General Basis'!$C$41,IF(G2325&lt;65,'General Basis'!$C$42,'General Basis'!$C$43)))),IF(G2325&lt;11,'General Basis'!$B$39,IF(G2325&lt;18,'General Basis'!$B$40,IF(G2325&lt;26,'General Basis'!$B$41,IF(G2325&lt;31,'General Basis'!$B$42,IF(G2325&lt;36,'General Basis'!$B$43,IF(G2325&lt;41,'General Basis'!$B$44,IF(G2325&lt;46,'General Basis'!$B$45,IF(G2325&lt;51,'General Basis'!$B$46,IF(G2325&lt;56,'General Basis'!$B$47,IF(G2325&lt;60,'General Basis'!$B$48,IF(G2325&lt;65,'General Basis'!$B$49,'General Basis'!$B$50)))))))))))))</f>
        <v/>
      </c>
      <c r="BI2325" s="744" t="str">
        <f t="shared" si="819"/>
        <v/>
      </c>
      <c r="BJ2325" s="747" t="str">
        <f t="shared" si="826"/>
        <v/>
      </c>
      <c r="BK2325" s="498" t="str">
        <f t="shared" si="820"/>
        <v/>
      </c>
      <c r="BL2325" s="498" t="str">
        <f t="shared" si="821"/>
        <v/>
      </c>
    </row>
    <row r="2326" spans="1:64" x14ac:dyDescent="0.25">
      <c r="A2326" s="762">
        <f t="shared" si="822"/>
        <v>2321</v>
      </c>
      <c r="B2326" s="229"/>
      <c r="C2326" s="223"/>
      <c r="D2326" s="224"/>
      <c r="E2326" s="225"/>
      <c r="F2326" s="1036" t="str">
        <f t="shared" si="828"/>
        <v/>
      </c>
      <c r="G2326" s="1037" t="str">
        <f t="shared" si="823"/>
        <v/>
      </c>
      <c r="H2326" s="225"/>
      <c r="I2326" s="1013"/>
      <c r="J2326" s="1013"/>
      <c r="K2326" s="1028"/>
      <c r="L2326" s="1035" t="str">
        <f t="shared" si="827"/>
        <v/>
      </c>
      <c r="S2326" s="498"/>
      <c r="AJ2326" s="498"/>
      <c r="AM2326" s="498">
        <f t="shared" si="808"/>
        <v>0</v>
      </c>
      <c r="AN2326" s="498">
        <f t="shared" si="809"/>
        <v>0</v>
      </c>
      <c r="AO2326" s="498">
        <f t="shared" si="810"/>
        <v>0</v>
      </c>
      <c r="AP2326" s="498">
        <f t="shared" si="829"/>
        <v>0</v>
      </c>
      <c r="AQ2326" s="498">
        <f t="shared" si="824"/>
        <v>0</v>
      </c>
      <c r="AU2326" s="498">
        <f t="shared" si="811"/>
        <v>0</v>
      </c>
      <c r="AV2326" s="498">
        <f t="shared" si="812"/>
        <v>0</v>
      </c>
      <c r="AW2326" s="498">
        <f t="shared" si="813"/>
        <v>0</v>
      </c>
      <c r="AX2326" s="498">
        <f t="shared" si="814"/>
        <v>0</v>
      </c>
      <c r="AY2326" s="498">
        <f t="shared" si="815"/>
        <v>0</v>
      </c>
      <c r="BB2326" s="498" t="str">
        <f t="shared" si="816"/>
        <v/>
      </c>
      <c r="BC2326" s="743" t="str">
        <f t="shared" si="817"/>
        <v/>
      </c>
      <c r="BD2326" s="743" t="str">
        <f t="shared" si="818"/>
        <v/>
      </c>
      <c r="BE2326" s="743" t="str">
        <f>IF(D2326="","",VLOOKUP(D2326,'General Basis'!$J$39:$K$46,2,0))</f>
        <v/>
      </c>
      <c r="BF2326" s="744" t="str">
        <f>IF(D2326="","",VLOOKUP(D2326,'General Basis'!$J$39:$L$46,3,0))</f>
        <v/>
      </c>
      <c r="BG2326" s="744" t="str">
        <f t="shared" si="825"/>
        <v/>
      </c>
      <c r="BH2326" s="744" t="str">
        <f>IF(G2326="","",IF(BF2326="Abu Dhabi",IF(G2326&lt;18,'General Basis'!$C$39,IF(G2326&lt;41,'General Basis'!$C$40,IF(G2326&lt;60,'General Basis'!$C$41,IF(G2326&lt;65,'General Basis'!$C$42,'General Basis'!$C$43)))),IF(G2326&lt;11,'General Basis'!$B$39,IF(G2326&lt;18,'General Basis'!$B$40,IF(G2326&lt;26,'General Basis'!$B$41,IF(G2326&lt;31,'General Basis'!$B$42,IF(G2326&lt;36,'General Basis'!$B$43,IF(G2326&lt;41,'General Basis'!$B$44,IF(G2326&lt;46,'General Basis'!$B$45,IF(G2326&lt;51,'General Basis'!$B$46,IF(G2326&lt;56,'General Basis'!$B$47,IF(G2326&lt;60,'General Basis'!$B$48,IF(G2326&lt;65,'General Basis'!$B$49,'General Basis'!$B$50)))))))))))))</f>
        <v/>
      </c>
      <c r="BI2326" s="744" t="str">
        <f t="shared" si="819"/>
        <v/>
      </c>
      <c r="BJ2326" s="747" t="str">
        <f t="shared" si="826"/>
        <v/>
      </c>
      <c r="BK2326" s="498" t="str">
        <f t="shared" si="820"/>
        <v/>
      </c>
      <c r="BL2326" s="498" t="str">
        <f t="shared" si="821"/>
        <v/>
      </c>
    </row>
    <row r="2327" spans="1:64" x14ac:dyDescent="0.25">
      <c r="A2327" s="762">
        <f t="shared" si="822"/>
        <v>2322</v>
      </c>
      <c r="B2327" s="229"/>
      <c r="C2327" s="223"/>
      <c r="D2327" s="224"/>
      <c r="E2327" s="225"/>
      <c r="F2327" s="1036" t="str">
        <f t="shared" si="828"/>
        <v/>
      </c>
      <c r="G2327" s="1037" t="str">
        <f t="shared" si="823"/>
        <v/>
      </c>
      <c r="H2327" s="225"/>
      <c r="I2327" s="1013"/>
      <c r="J2327" s="1013"/>
      <c r="K2327" s="1028"/>
      <c r="L2327" s="1035" t="str">
        <f t="shared" si="827"/>
        <v/>
      </c>
      <c r="S2327" s="498"/>
      <c r="AJ2327" s="498"/>
      <c r="AM2327" s="498">
        <f t="shared" si="808"/>
        <v>0</v>
      </c>
      <c r="AN2327" s="498">
        <f t="shared" si="809"/>
        <v>0</v>
      </c>
      <c r="AO2327" s="498">
        <f t="shared" si="810"/>
        <v>0</v>
      </c>
      <c r="AP2327" s="498">
        <f t="shared" si="829"/>
        <v>0</v>
      </c>
      <c r="AQ2327" s="498">
        <f t="shared" si="824"/>
        <v>0</v>
      </c>
      <c r="AU2327" s="498">
        <f t="shared" si="811"/>
        <v>0</v>
      </c>
      <c r="AV2327" s="498">
        <f t="shared" si="812"/>
        <v>0</v>
      </c>
      <c r="AW2327" s="498">
        <f t="shared" si="813"/>
        <v>0</v>
      </c>
      <c r="AX2327" s="498">
        <f t="shared" si="814"/>
        <v>0</v>
      </c>
      <c r="AY2327" s="498">
        <f t="shared" si="815"/>
        <v>0</v>
      </c>
      <c r="BB2327" s="498" t="str">
        <f t="shared" si="816"/>
        <v/>
      </c>
      <c r="BC2327" s="743" t="str">
        <f t="shared" si="817"/>
        <v/>
      </c>
      <c r="BD2327" s="743" t="str">
        <f t="shared" si="818"/>
        <v/>
      </c>
      <c r="BE2327" s="743" t="str">
        <f>IF(D2327="","",VLOOKUP(D2327,'General Basis'!$J$39:$K$46,2,0))</f>
        <v/>
      </c>
      <c r="BF2327" s="744" t="str">
        <f>IF(D2327="","",VLOOKUP(D2327,'General Basis'!$J$39:$L$46,3,0))</f>
        <v/>
      </c>
      <c r="BG2327" s="744" t="str">
        <f t="shared" si="825"/>
        <v/>
      </c>
      <c r="BH2327" s="744" t="str">
        <f>IF(G2327="","",IF(BF2327="Abu Dhabi",IF(G2327&lt;18,'General Basis'!$C$39,IF(G2327&lt;41,'General Basis'!$C$40,IF(G2327&lt;60,'General Basis'!$C$41,IF(G2327&lt;65,'General Basis'!$C$42,'General Basis'!$C$43)))),IF(G2327&lt;11,'General Basis'!$B$39,IF(G2327&lt;18,'General Basis'!$B$40,IF(G2327&lt;26,'General Basis'!$B$41,IF(G2327&lt;31,'General Basis'!$B$42,IF(G2327&lt;36,'General Basis'!$B$43,IF(G2327&lt;41,'General Basis'!$B$44,IF(G2327&lt;46,'General Basis'!$B$45,IF(G2327&lt;51,'General Basis'!$B$46,IF(G2327&lt;56,'General Basis'!$B$47,IF(G2327&lt;60,'General Basis'!$B$48,IF(G2327&lt;65,'General Basis'!$B$49,'General Basis'!$B$50)))))))))))))</f>
        <v/>
      </c>
      <c r="BI2327" s="744" t="str">
        <f t="shared" si="819"/>
        <v/>
      </c>
      <c r="BJ2327" s="747" t="str">
        <f t="shared" si="826"/>
        <v/>
      </c>
      <c r="BK2327" s="498" t="str">
        <f t="shared" si="820"/>
        <v/>
      </c>
      <c r="BL2327" s="498" t="str">
        <f t="shared" si="821"/>
        <v/>
      </c>
    </row>
    <row r="2328" spans="1:64" x14ac:dyDescent="0.25">
      <c r="A2328" s="762">
        <f t="shared" si="822"/>
        <v>2323</v>
      </c>
      <c r="B2328" s="229"/>
      <c r="C2328" s="223"/>
      <c r="D2328" s="224"/>
      <c r="E2328" s="225"/>
      <c r="F2328" s="1036" t="str">
        <f t="shared" si="828"/>
        <v/>
      </c>
      <c r="G2328" s="1037" t="str">
        <f t="shared" si="823"/>
        <v/>
      </c>
      <c r="H2328" s="225"/>
      <c r="I2328" s="1013"/>
      <c r="J2328" s="1013"/>
      <c r="K2328" s="1028"/>
      <c r="L2328" s="1035" t="str">
        <f t="shared" si="827"/>
        <v/>
      </c>
      <c r="S2328" s="498"/>
      <c r="AJ2328" s="498"/>
      <c r="AM2328" s="498">
        <f t="shared" si="808"/>
        <v>0</v>
      </c>
      <c r="AN2328" s="498">
        <f t="shared" si="809"/>
        <v>0</v>
      </c>
      <c r="AO2328" s="498">
        <f t="shared" si="810"/>
        <v>0</v>
      </c>
      <c r="AP2328" s="498">
        <f t="shared" si="829"/>
        <v>0</v>
      </c>
      <c r="AQ2328" s="498">
        <f t="shared" si="824"/>
        <v>0</v>
      </c>
      <c r="AU2328" s="498">
        <f t="shared" si="811"/>
        <v>0</v>
      </c>
      <c r="AV2328" s="498">
        <f t="shared" si="812"/>
        <v>0</v>
      </c>
      <c r="AW2328" s="498">
        <f t="shared" si="813"/>
        <v>0</v>
      </c>
      <c r="AX2328" s="498">
        <f t="shared" si="814"/>
        <v>0</v>
      </c>
      <c r="AY2328" s="498">
        <f t="shared" si="815"/>
        <v>0</v>
      </c>
      <c r="BB2328" s="498" t="str">
        <f t="shared" si="816"/>
        <v/>
      </c>
      <c r="BC2328" s="743" t="str">
        <f t="shared" si="817"/>
        <v/>
      </c>
      <c r="BD2328" s="743" t="str">
        <f t="shared" si="818"/>
        <v/>
      </c>
      <c r="BE2328" s="743" t="str">
        <f>IF(D2328="","",VLOOKUP(D2328,'General Basis'!$J$39:$K$46,2,0))</f>
        <v/>
      </c>
      <c r="BF2328" s="744" t="str">
        <f>IF(D2328="","",VLOOKUP(D2328,'General Basis'!$J$39:$L$46,3,0))</f>
        <v/>
      </c>
      <c r="BG2328" s="744" t="str">
        <f t="shared" si="825"/>
        <v/>
      </c>
      <c r="BH2328" s="744" t="str">
        <f>IF(G2328="","",IF(BF2328="Abu Dhabi",IF(G2328&lt;18,'General Basis'!$C$39,IF(G2328&lt;41,'General Basis'!$C$40,IF(G2328&lt;60,'General Basis'!$C$41,IF(G2328&lt;65,'General Basis'!$C$42,'General Basis'!$C$43)))),IF(G2328&lt;11,'General Basis'!$B$39,IF(G2328&lt;18,'General Basis'!$B$40,IF(G2328&lt;26,'General Basis'!$B$41,IF(G2328&lt;31,'General Basis'!$B$42,IF(G2328&lt;36,'General Basis'!$B$43,IF(G2328&lt;41,'General Basis'!$B$44,IF(G2328&lt;46,'General Basis'!$B$45,IF(G2328&lt;51,'General Basis'!$B$46,IF(G2328&lt;56,'General Basis'!$B$47,IF(G2328&lt;60,'General Basis'!$B$48,IF(G2328&lt;65,'General Basis'!$B$49,'General Basis'!$B$50)))))))))))))</f>
        <v/>
      </c>
      <c r="BI2328" s="744" t="str">
        <f t="shared" si="819"/>
        <v/>
      </c>
      <c r="BJ2328" s="747" t="str">
        <f t="shared" si="826"/>
        <v/>
      </c>
      <c r="BK2328" s="498" t="str">
        <f t="shared" si="820"/>
        <v/>
      </c>
      <c r="BL2328" s="498" t="str">
        <f t="shared" si="821"/>
        <v/>
      </c>
    </row>
    <row r="2329" spans="1:64" x14ac:dyDescent="0.25">
      <c r="A2329" s="762">
        <f t="shared" si="822"/>
        <v>2324</v>
      </c>
      <c r="B2329" s="229"/>
      <c r="C2329" s="223"/>
      <c r="D2329" s="224"/>
      <c r="E2329" s="225"/>
      <c r="F2329" s="1036" t="str">
        <f t="shared" si="828"/>
        <v/>
      </c>
      <c r="G2329" s="1037" t="str">
        <f t="shared" si="823"/>
        <v/>
      </c>
      <c r="H2329" s="225"/>
      <c r="I2329" s="1013"/>
      <c r="J2329" s="1013"/>
      <c r="K2329" s="1028"/>
      <c r="L2329" s="1035" t="str">
        <f t="shared" si="827"/>
        <v/>
      </c>
      <c r="S2329" s="498"/>
      <c r="AJ2329" s="498"/>
      <c r="AM2329" s="498">
        <f t="shared" si="808"/>
        <v>0</v>
      </c>
      <c r="AN2329" s="498">
        <f t="shared" si="809"/>
        <v>0</v>
      </c>
      <c r="AO2329" s="498">
        <f t="shared" si="810"/>
        <v>0</v>
      </c>
      <c r="AP2329" s="498">
        <f t="shared" si="829"/>
        <v>0</v>
      </c>
      <c r="AQ2329" s="498">
        <f t="shared" si="824"/>
        <v>0</v>
      </c>
      <c r="AU2329" s="498">
        <f t="shared" si="811"/>
        <v>0</v>
      </c>
      <c r="AV2329" s="498">
        <f t="shared" si="812"/>
        <v>0</v>
      </c>
      <c r="AW2329" s="498">
        <f t="shared" si="813"/>
        <v>0</v>
      </c>
      <c r="AX2329" s="498">
        <f t="shared" si="814"/>
        <v>0</v>
      </c>
      <c r="AY2329" s="498">
        <f t="shared" si="815"/>
        <v>0</v>
      </c>
      <c r="BB2329" s="498" t="str">
        <f t="shared" si="816"/>
        <v/>
      </c>
      <c r="BC2329" s="743" t="str">
        <f t="shared" si="817"/>
        <v/>
      </c>
      <c r="BD2329" s="743" t="str">
        <f t="shared" si="818"/>
        <v/>
      </c>
      <c r="BE2329" s="743" t="str">
        <f>IF(D2329="","",VLOOKUP(D2329,'General Basis'!$J$39:$K$46,2,0))</f>
        <v/>
      </c>
      <c r="BF2329" s="744" t="str">
        <f>IF(D2329="","",VLOOKUP(D2329,'General Basis'!$J$39:$L$46,3,0))</f>
        <v/>
      </c>
      <c r="BG2329" s="744" t="str">
        <f t="shared" si="825"/>
        <v/>
      </c>
      <c r="BH2329" s="744" t="str">
        <f>IF(G2329="","",IF(BF2329="Abu Dhabi",IF(G2329&lt;18,'General Basis'!$C$39,IF(G2329&lt;41,'General Basis'!$C$40,IF(G2329&lt;60,'General Basis'!$C$41,IF(G2329&lt;65,'General Basis'!$C$42,'General Basis'!$C$43)))),IF(G2329&lt;11,'General Basis'!$B$39,IF(G2329&lt;18,'General Basis'!$B$40,IF(G2329&lt;26,'General Basis'!$B$41,IF(G2329&lt;31,'General Basis'!$B$42,IF(G2329&lt;36,'General Basis'!$B$43,IF(G2329&lt;41,'General Basis'!$B$44,IF(G2329&lt;46,'General Basis'!$B$45,IF(G2329&lt;51,'General Basis'!$B$46,IF(G2329&lt;56,'General Basis'!$B$47,IF(G2329&lt;60,'General Basis'!$B$48,IF(G2329&lt;65,'General Basis'!$B$49,'General Basis'!$B$50)))))))))))))</f>
        <v/>
      </c>
      <c r="BI2329" s="744" t="str">
        <f t="shared" si="819"/>
        <v/>
      </c>
      <c r="BJ2329" s="747" t="str">
        <f t="shared" si="826"/>
        <v/>
      </c>
      <c r="BK2329" s="498" t="str">
        <f t="shared" si="820"/>
        <v/>
      </c>
      <c r="BL2329" s="498" t="str">
        <f t="shared" si="821"/>
        <v/>
      </c>
    </row>
    <row r="2330" spans="1:64" x14ac:dyDescent="0.25">
      <c r="A2330" s="762">
        <f t="shared" si="822"/>
        <v>2325</v>
      </c>
      <c r="B2330" s="229"/>
      <c r="C2330" s="223"/>
      <c r="D2330" s="224"/>
      <c r="E2330" s="225"/>
      <c r="F2330" s="1036" t="str">
        <f t="shared" si="828"/>
        <v/>
      </c>
      <c r="G2330" s="1037" t="str">
        <f t="shared" si="823"/>
        <v/>
      </c>
      <c r="H2330" s="225"/>
      <c r="I2330" s="1013"/>
      <c r="J2330" s="1013"/>
      <c r="K2330" s="1028"/>
      <c r="L2330" s="1035" t="str">
        <f t="shared" si="827"/>
        <v/>
      </c>
      <c r="S2330" s="498"/>
      <c r="AJ2330" s="498"/>
      <c r="AM2330" s="498">
        <f t="shared" si="808"/>
        <v>0</v>
      </c>
      <c r="AN2330" s="498">
        <f t="shared" si="809"/>
        <v>0</v>
      </c>
      <c r="AO2330" s="498">
        <f t="shared" si="810"/>
        <v>0</v>
      </c>
      <c r="AP2330" s="498">
        <f t="shared" si="829"/>
        <v>0</v>
      </c>
      <c r="AQ2330" s="498">
        <f t="shared" si="824"/>
        <v>0</v>
      </c>
      <c r="AU2330" s="498">
        <f t="shared" si="811"/>
        <v>0</v>
      </c>
      <c r="AV2330" s="498">
        <f t="shared" si="812"/>
        <v>0</v>
      </c>
      <c r="AW2330" s="498">
        <f t="shared" si="813"/>
        <v>0</v>
      </c>
      <c r="AX2330" s="498">
        <f t="shared" si="814"/>
        <v>0</v>
      </c>
      <c r="AY2330" s="498">
        <f t="shared" si="815"/>
        <v>0</v>
      </c>
      <c r="BB2330" s="498" t="str">
        <f t="shared" si="816"/>
        <v/>
      </c>
      <c r="BC2330" s="743" t="str">
        <f t="shared" si="817"/>
        <v/>
      </c>
      <c r="BD2330" s="743" t="str">
        <f t="shared" si="818"/>
        <v/>
      </c>
      <c r="BE2330" s="743" t="str">
        <f>IF(D2330="","",VLOOKUP(D2330,'General Basis'!$J$39:$K$46,2,0))</f>
        <v/>
      </c>
      <c r="BF2330" s="744" t="str">
        <f>IF(D2330="","",VLOOKUP(D2330,'General Basis'!$J$39:$L$46,3,0))</f>
        <v/>
      </c>
      <c r="BG2330" s="744" t="str">
        <f t="shared" si="825"/>
        <v/>
      </c>
      <c r="BH2330" s="744" t="str">
        <f>IF(G2330="","",IF(BF2330="Abu Dhabi",IF(G2330&lt;18,'General Basis'!$C$39,IF(G2330&lt;41,'General Basis'!$C$40,IF(G2330&lt;60,'General Basis'!$C$41,IF(G2330&lt;65,'General Basis'!$C$42,'General Basis'!$C$43)))),IF(G2330&lt;11,'General Basis'!$B$39,IF(G2330&lt;18,'General Basis'!$B$40,IF(G2330&lt;26,'General Basis'!$B$41,IF(G2330&lt;31,'General Basis'!$B$42,IF(G2330&lt;36,'General Basis'!$B$43,IF(G2330&lt;41,'General Basis'!$B$44,IF(G2330&lt;46,'General Basis'!$B$45,IF(G2330&lt;51,'General Basis'!$B$46,IF(G2330&lt;56,'General Basis'!$B$47,IF(G2330&lt;60,'General Basis'!$B$48,IF(G2330&lt;65,'General Basis'!$B$49,'General Basis'!$B$50)))))))))))))</f>
        <v/>
      </c>
      <c r="BI2330" s="744" t="str">
        <f t="shared" si="819"/>
        <v/>
      </c>
      <c r="BJ2330" s="747" t="str">
        <f t="shared" si="826"/>
        <v/>
      </c>
      <c r="BK2330" s="498" t="str">
        <f t="shared" si="820"/>
        <v/>
      </c>
      <c r="BL2330" s="498" t="str">
        <f t="shared" si="821"/>
        <v/>
      </c>
    </row>
    <row r="2331" spans="1:64" x14ac:dyDescent="0.25">
      <c r="A2331" s="762">
        <f t="shared" si="822"/>
        <v>2326</v>
      </c>
      <c r="B2331" s="229"/>
      <c r="C2331" s="223"/>
      <c r="D2331" s="224"/>
      <c r="E2331" s="225"/>
      <c r="F2331" s="1036" t="str">
        <f t="shared" si="828"/>
        <v/>
      </c>
      <c r="G2331" s="1037" t="str">
        <f t="shared" si="823"/>
        <v/>
      </c>
      <c r="H2331" s="225"/>
      <c r="I2331" s="1013"/>
      <c r="J2331" s="1013"/>
      <c r="K2331" s="1028"/>
      <c r="L2331" s="1035" t="str">
        <f t="shared" si="827"/>
        <v/>
      </c>
      <c r="S2331" s="498"/>
      <c r="AJ2331" s="498"/>
      <c r="AM2331" s="498">
        <f t="shared" si="808"/>
        <v>0</v>
      </c>
      <c r="AN2331" s="498">
        <f t="shared" si="809"/>
        <v>0</v>
      </c>
      <c r="AO2331" s="498">
        <f t="shared" si="810"/>
        <v>0</v>
      </c>
      <c r="AP2331" s="498">
        <f t="shared" si="829"/>
        <v>0</v>
      </c>
      <c r="AQ2331" s="498">
        <f t="shared" si="824"/>
        <v>0</v>
      </c>
      <c r="AU2331" s="498">
        <f t="shared" si="811"/>
        <v>0</v>
      </c>
      <c r="AV2331" s="498">
        <f t="shared" si="812"/>
        <v>0</v>
      </c>
      <c r="AW2331" s="498">
        <f t="shared" si="813"/>
        <v>0</v>
      </c>
      <c r="AX2331" s="498">
        <f t="shared" si="814"/>
        <v>0</v>
      </c>
      <c r="AY2331" s="498">
        <f t="shared" si="815"/>
        <v>0</v>
      </c>
      <c r="BB2331" s="498" t="str">
        <f t="shared" si="816"/>
        <v/>
      </c>
      <c r="BC2331" s="743" t="str">
        <f t="shared" si="817"/>
        <v/>
      </c>
      <c r="BD2331" s="743" t="str">
        <f t="shared" si="818"/>
        <v/>
      </c>
      <c r="BE2331" s="743" t="str">
        <f>IF(D2331="","",VLOOKUP(D2331,'General Basis'!$J$39:$K$46,2,0))</f>
        <v/>
      </c>
      <c r="BF2331" s="744" t="str">
        <f>IF(D2331="","",VLOOKUP(D2331,'General Basis'!$J$39:$L$46,3,0))</f>
        <v/>
      </c>
      <c r="BG2331" s="744" t="str">
        <f t="shared" si="825"/>
        <v/>
      </c>
      <c r="BH2331" s="744" t="str">
        <f>IF(G2331="","",IF(BF2331="Abu Dhabi",IF(G2331&lt;18,'General Basis'!$C$39,IF(G2331&lt;41,'General Basis'!$C$40,IF(G2331&lt;60,'General Basis'!$C$41,IF(G2331&lt;65,'General Basis'!$C$42,'General Basis'!$C$43)))),IF(G2331&lt;11,'General Basis'!$B$39,IF(G2331&lt;18,'General Basis'!$B$40,IF(G2331&lt;26,'General Basis'!$B$41,IF(G2331&lt;31,'General Basis'!$B$42,IF(G2331&lt;36,'General Basis'!$B$43,IF(G2331&lt;41,'General Basis'!$B$44,IF(G2331&lt;46,'General Basis'!$B$45,IF(G2331&lt;51,'General Basis'!$B$46,IF(G2331&lt;56,'General Basis'!$B$47,IF(G2331&lt;60,'General Basis'!$B$48,IF(G2331&lt;65,'General Basis'!$B$49,'General Basis'!$B$50)))))))))))))</f>
        <v/>
      </c>
      <c r="BI2331" s="744" t="str">
        <f t="shared" si="819"/>
        <v/>
      </c>
      <c r="BJ2331" s="747" t="str">
        <f t="shared" si="826"/>
        <v/>
      </c>
      <c r="BK2331" s="498" t="str">
        <f t="shared" si="820"/>
        <v/>
      </c>
      <c r="BL2331" s="498" t="str">
        <f t="shared" si="821"/>
        <v/>
      </c>
    </row>
    <row r="2332" spans="1:64" x14ac:dyDescent="0.25">
      <c r="A2332" s="762">
        <f t="shared" si="822"/>
        <v>2327</v>
      </c>
      <c r="B2332" s="229"/>
      <c r="C2332" s="223"/>
      <c r="D2332" s="224"/>
      <c r="E2332" s="225"/>
      <c r="F2332" s="1036" t="str">
        <f t="shared" si="828"/>
        <v/>
      </c>
      <c r="G2332" s="1037" t="str">
        <f t="shared" si="823"/>
        <v/>
      </c>
      <c r="H2332" s="225"/>
      <c r="I2332" s="1013"/>
      <c r="J2332" s="1013"/>
      <c r="K2332" s="1028"/>
      <c r="L2332" s="1035" t="str">
        <f t="shared" si="827"/>
        <v/>
      </c>
      <c r="S2332" s="498"/>
      <c r="AJ2332" s="498"/>
      <c r="AM2332" s="498">
        <f t="shared" si="808"/>
        <v>0</v>
      </c>
      <c r="AN2332" s="498">
        <f t="shared" si="809"/>
        <v>0</v>
      </c>
      <c r="AO2332" s="498">
        <f t="shared" si="810"/>
        <v>0</v>
      </c>
      <c r="AP2332" s="498">
        <f t="shared" si="829"/>
        <v>0</v>
      </c>
      <c r="AQ2332" s="498">
        <f t="shared" si="824"/>
        <v>0</v>
      </c>
      <c r="AU2332" s="498">
        <f t="shared" si="811"/>
        <v>0</v>
      </c>
      <c r="AV2332" s="498">
        <f t="shared" si="812"/>
        <v>0</v>
      </c>
      <c r="AW2332" s="498">
        <f t="shared" si="813"/>
        <v>0</v>
      </c>
      <c r="AX2332" s="498">
        <f t="shared" si="814"/>
        <v>0</v>
      </c>
      <c r="AY2332" s="498">
        <f t="shared" si="815"/>
        <v>0</v>
      </c>
      <c r="BB2332" s="498" t="str">
        <f t="shared" si="816"/>
        <v/>
      </c>
      <c r="BC2332" s="743" t="str">
        <f t="shared" si="817"/>
        <v/>
      </c>
      <c r="BD2332" s="743" t="str">
        <f t="shared" si="818"/>
        <v/>
      </c>
      <c r="BE2332" s="743" t="str">
        <f>IF(D2332="","",VLOOKUP(D2332,'General Basis'!$J$39:$K$46,2,0))</f>
        <v/>
      </c>
      <c r="BF2332" s="744" t="str">
        <f>IF(D2332="","",VLOOKUP(D2332,'General Basis'!$J$39:$L$46,3,0))</f>
        <v/>
      </c>
      <c r="BG2332" s="744" t="str">
        <f t="shared" si="825"/>
        <v/>
      </c>
      <c r="BH2332" s="744" t="str">
        <f>IF(G2332="","",IF(BF2332="Abu Dhabi",IF(G2332&lt;18,'General Basis'!$C$39,IF(G2332&lt;41,'General Basis'!$C$40,IF(G2332&lt;60,'General Basis'!$C$41,IF(G2332&lt;65,'General Basis'!$C$42,'General Basis'!$C$43)))),IF(G2332&lt;11,'General Basis'!$B$39,IF(G2332&lt;18,'General Basis'!$B$40,IF(G2332&lt;26,'General Basis'!$B$41,IF(G2332&lt;31,'General Basis'!$B$42,IF(G2332&lt;36,'General Basis'!$B$43,IF(G2332&lt;41,'General Basis'!$B$44,IF(G2332&lt;46,'General Basis'!$B$45,IF(G2332&lt;51,'General Basis'!$B$46,IF(G2332&lt;56,'General Basis'!$B$47,IF(G2332&lt;60,'General Basis'!$B$48,IF(G2332&lt;65,'General Basis'!$B$49,'General Basis'!$B$50)))))))))))))</f>
        <v/>
      </c>
      <c r="BI2332" s="744" t="str">
        <f t="shared" si="819"/>
        <v/>
      </c>
      <c r="BJ2332" s="747" t="str">
        <f t="shared" si="826"/>
        <v/>
      </c>
      <c r="BK2332" s="498" t="str">
        <f t="shared" si="820"/>
        <v/>
      </c>
      <c r="BL2332" s="498" t="str">
        <f t="shared" si="821"/>
        <v/>
      </c>
    </row>
    <row r="2333" spans="1:64" x14ac:dyDescent="0.25">
      <c r="A2333" s="762">
        <f t="shared" si="822"/>
        <v>2328</v>
      </c>
      <c r="B2333" s="229"/>
      <c r="C2333" s="223"/>
      <c r="D2333" s="224"/>
      <c r="E2333" s="225"/>
      <c r="F2333" s="1036" t="str">
        <f t="shared" si="828"/>
        <v/>
      </c>
      <c r="G2333" s="1037" t="str">
        <f t="shared" si="823"/>
        <v/>
      </c>
      <c r="H2333" s="225"/>
      <c r="I2333" s="1013"/>
      <c r="J2333" s="1013"/>
      <c r="K2333" s="1028"/>
      <c r="L2333" s="1035" t="str">
        <f t="shared" si="827"/>
        <v/>
      </c>
      <c r="S2333" s="498"/>
      <c r="AJ2333" s="498"/>
      <c r="AM2333" s="498">
        <f t="shared" si="808"/>
        <v>0</v>
      </c>
      <c r="AN2333" s="498">
        <f t="shared" si="809"/>
        <v>0</v>
      </c>
      <c r="AO2333" s="498">
        <f t="shared" si="810"/>
        <v>0</v>
      </c>
      <c r="AP2333" s="498">
        <f t="shared" si="829"/>
        <v>0</v>
      </c>
      <c r="AQ2333" s="498">
        <f t="shared" si="824"/>
        <v>0</v>
      </c>
      <c r="AU2333" s="498">
        <f t="shared" si="811"/>
        <v>0</v>
      </c>
      <c r="AV2333" s="498">
        <f t="shared" si="812"/>
        <v>0</v>
      </c>
      <c r="AW2333" s="498">
        <f t="shared" si="813"/>
        <v>0</v>
      </c>
      <c r="AX2333" s="498">
        <f t="shared" si="814"/>
        <v>0</v>
      </c>
      <c r="AY2333" s="498">
        <f t="shared" si="815"/>
        <v>0</v>
      </c>
      <c r="BB2333" s="498" t="str">
        <f t="shared" si="816"/>
        <v/>
      </c>
      <c r="BC2333" s="743" t="str">
        <f t="shared" si="817"/>
        <v/>
      </c>
      <c r="BD2333" s="743" t="str">
        <f t="shared" si="818"/>
        <v/>
      </c>
      <c r="BE2333" s="743" t="str">
        <f>IF(D2333="","",VLOOKUP(D2333,'General Basis'!$J$39:$K$46,2,0))</f>
        <v/>
      </c>
      <c r="BF2333" s="744" t="str">
        <f>IF(D2333="","",VLOOKUP(D2333,'General Basis'!$J$39:$L$46,3,0))</f>
        <v/>
      </c>
      <c r="BG2333" s="744" t="str">
        <f t="shared" si="825"/>
        <v/>
      </c>
      <c r="BH2333" s="744" t="str">
        <f>IF(G2333="","",IF(BF2333="Abu Dhabi",IF(G2333&lt;18,'General Basis'!$C$39,IF(G2333&lt;41,'General Basis'!$C$40,IF(G2333&lt;60,'General Basis'!$C$41,IF(G2333&lt;65,'General Basis'!$C$42,'General Basis'!$C$43)))),IF(G2333&lt;11,'General Basis'!$B$39,IF(G2333&lt;18,'General Basis'!$B$40,IF(G2333&lt;26,'General Basis'!$B$41,IF(G2333&lt;31,'General Basis'!$B$42,IF(G2333&lt;36,'General Basis'!$B$43,IF(G2333&lt;41,'General Basis'!$B$44,IF(G2333&lt;46,'General Basis'!$B$45,IF(G2333&lt;51,'General Basis'!$B$46,IF(G2333&lt;56,'General Basis'!$B$47,IF(G2333&lt;60,'General Basis'!$B$48,IF(G2333&lt;65,'General Basis'!$B$49,'General Basis'!$B$50)))))))))))))</f>
        <v/>
      </c>
      <c r="BI2333" s="744" t="str">
        <f t="shared" si="819"/>
        <v/>
      </c>
      <c r="BJ2333" s="747" t="str">
        <f t="shared" si="826"/>
        <v/>
      </c>
      <c r="BK2333" s="498" t="str">
        <f t="shared" si="820"/>
        <v/>
      </c>
      <c r="BL2333" s="498" t="str">
        <f t="shared" si="821"/>
        <v/>
      </c>
    </row>
    <row r="2334" spans="1:64" x14ac:dyDescent="0.25">
      <c r="A2334" s="762">
        <f t="shared" si="822"/>
        <v>2329</v>
      </c>
      <c r="B2334" s="229"/>
      <c r="C2334" s="223"/>
      <c r="D2334" s="224"/>
      <c r="E2334" s="225"/>
      <c r="F2334" s="1036" t="str">
        <f t="shared" si="828"/>
        <v/>
      </c>
      <c r="G2334" s="1037" t="str">
        <f t="shared" si="823"/>
        <v/>
      </c>
      <c r="H2334" s="225"/>
      <c r="I2334" s="1013"/>
      <c r="J2334" s="1013"/>
      <c r="K2334" s="1028"/>
      <c r="L2334" s="1035" t="str">
        <f t="shared" si="827"/>
        <v/>
      </c>
      <c r="S2334" s="498"/>
      <c r="AJ2334" s="498"/>
      <c r="AM2334" s="498">
        <f t="shared" si="808"/>
        <v>0</v>
      </c>
      <c r="AN2334" s="498">
        <f t="shared" si="809"/>
        <v>0</v>
      </c>
      <c r="AO2334" s="498">
        <f t="shared" si="810"/>
        <v>0</v>
      </c>
      <c r="AP2334" s="498">
        <f t="shared" si="829"/>
        <v>0</v>
      </c>
      <c r="AQ2334" s="498">
        <f t="shared" si="824"/>
        <v>0</v>
      </c>
      <c r="AU2334" s="498">
        <f t="shared" si="811"/>
        <v>0</v>
      </c>
      <c r="AV2334" s="498">
        <f t="shared" si="812"/>
        <v>0</v>
      </c>
      <c r="AW2334" s="498">
        <f t="shared" si="813"/>
        <v>0</v>
      </c>
      <c r="AX2334" s="498">
        <f t="shared" si="814"/>
        <v>0</v>
      </c>
      <c r="AY2334" s="498">
        <f t="shared" si="815"/>
        <v>0</v>
      </c>
      <c r="BB2334" s="498" t="str">
        <f t="shared" si="816"/>
        <v/>
      </c>
      <c r="BC2334" s="743" t="str">
        <f t="shared" si="817"/>
        <v/>
      </c>
      <c r="BD2334" s="743" t="str">
        <f t="shared" si="818"/>
        <v/>
      </c>
      <c r="BE2334" s="743" t="str">
        <f>IF(D2334="","",VLOOKUP(D2334,'General Basis'!$J$39:$K$46,2,0))</f>
        <v/>
      </c>
      <c r="BF2334" s="744" t="str">
        <f>IF(D2334="","",VLOOKUP(D2334,'General Basis'!$J$39:$L$46,3,0))</f>
        <v/>
      </c>
      <c r="BG2334" s="744" t="str">
        <f t="shared" si="825"/>
        <v/>
      </c>
      <c r="BH2334" s="744" t="str">
        <f>IF(G2334="","",IF(BF2334="Abu Dhabi",IF(G2334&lt;18,'General Basis'!$C$39,IF(G2334&lt;41,'General Basis'!$C$40,IF(G2334&lt;60,'General Basis'!$C$41,IF(G2334&lt;65,'General Basis'!$C$42,'General Basis'!$C$43)))),IF(G2334&lt;11,'General Basis'!$B$39,IF(G2334&lt;18,'General Basis'!$B$40,IF(G2334&lt;26,'General Basis'!$B$41,IF(G2334&lt;31,'General Basis'!$B$42,IF(G2334&lt;36,'General Basis'!$B$43,IF(G2334&lt;41,'General Basis'!$B$44,IF(G2334&lt;46,'General Basis'!$B$45,IF(G2334&lt;51,'General Basis'!$B$46,IF(G2334&lt;56,'General Basis'!$B$47,IF(G2334&lt;60,'General Basis'!$B$48,IF(G2334&lt;65,'General Basis'!$B$49,'General Basis'!$B$50)))))))))))))</f>
        <v/>
      </c>
      <c r="BI2334" s="744" t="str">
        <f t="shared" si="819"/>
        <v/>
      </c>
      <c r="BJ2334" s="747" t="str">
        <f t="shared" si="826"/>
        <v/>
      </c>
      <c r="BK2334" s="498" t="str">
        <f t="shared" si="820"/>
        <v/>
      </c>
      <c r="BL2334" s="498" t="str">
        <f t="shared" si="821"/>
        <v/>
      </c>
    </row>
    <row r="2335" spans="1:64" x14ac:dyDescent="0.25">
      <c r="A2335" s="762">
        <f t="shared" si="822"/>
        <v>2330</v>
      </c>
      <c r="B2335" s="229"/>
      <c r="C2335" s="223"/>
      <c r="D2335" s="224"/>
      <c r="E2335" s="225"/>
      <c r="F2335" s="1036" t="str">
        <f t="shared" si="828"/>
        <v/>
      </c>
      <c r="G2335" s="1037" t="str">
        <f t="shared" si="823"/>
        <v/>
      </c>
      <c r="H2335" s="225"/>
      <c r="I2335" s="1013"/>
      <c r="J2335" s="1013"/>
      <c r="K2335" s="1028"/>
      <c r="L2335" s="1035" t="str">
        <f t="shared" si="827"/>
        <v/>
      </c>
      <c r="S2335" s="498"/>
      <c r="AJ2335" s="498"/>
      <c r="AM2335" s="498">
        <f t="shared" si="808"/>
        <v>0</v>
      </c>
      <c r="AN2335" s="498">
        <f t="shared" si="809"/>
        <v>0</v>
      </c>
      <c r="AO2335" s="498">
        <f t="shared" si="810"/>
        <v>0</v>
      </c>
      <c r="AP2335" s="498">
        <f t="shared" si="829"/>
        <v>0</v>
      </c>
      <c r="AQ2335" s="498">
        <f t="shared" si="824"/>
        <v>0</v>
      </c>
      <c r="AU2335" s="498">
        <f t="shared" si="811"/>
        <v>0</v>
      </c>
      <c r="AV2335" s="498">
        <f t="shared" si="812"/>
        <v>0</v>
      </c>
      <c r="AW2335" s="498">
        <f t="shared" si="813"/>
        <v>0</v>
      </c>
      <c r="AX2335" s="498">
        <f t="shared" si="814"/>
        <v>0</v>
      </c>
      <c r="AY2335" s="498">
        <f t="shared" si="815"/>
        <v>0</v>
      </c>
      <c r="BB2335" s="498" t="str">
        <f t="shared" si="816"/>
        <v/>
      </c>
      <c r="BC2335" s="743" t="str">
        <f t="shared" si="817"/>
        <v/>
      </c>
      <c r="BD2335" s="743" t="str">
        <f t="shared" si="818"/>
        <v/>
      </c>
      <c r="BE2335" s="743" t="str">
        <f>IF(D2335="","",VLOOKUP(D2335,'General Basis'!$J$39:$K$46,2,0))</f>
        <v/>
      </c>
      <c r="BF2335" s="744" t="str">
        <f>IF(D2335="","",VLOOKUP(D2335,'General Basis'!$J$39:$L$46,3,0))</f>
        <v/>
      </c>
      <c r="BG2335" s="744" t="str">
        <f t="shared" si="825"/>
        <v/>
      </c>
      <c r="BH2335" s="744" t="str">
        <f>IF(G2335="","",IF(BF2335="Abu Dhabi",IF(G2335&lt;18,'General Basis'!$C$39,IF(G2335&lt;41,'General Basis'!$C$40,IF(G2335&lt;60,'General Basis'!$C$41,IF(G2335&lt;65,'General Basis'!$C$42,'General Basis'!$C$43)))),IF(G2335&lt;11,'General Basis'!$B$39,IF(G2335&lt;18,'General Basis'!$B$40,IF(G2335&lt;26,'General Basis'!$B$41,IF(G2335&lt;31,'General Basis'!$B$42,IF(G2335&lt;36,'General Basis'!$B$43,IF(G2335&lt;41,'General Basis'!$B$44,IF(G2335&lt;46,'General Basis'!$B$45,IF(G2335&lt;51,'General Basis'!$B$46,IF(G2335&lt;56,'General Basis'!$B$47,IF(G2335&lt;60,'General Basis'!$B$48,IF(G2335&lt;65,'General Basis'!$B$49,'General Basis'!$B$50)))))))))))))</f>
        <v/>
      </c>
      <c r="BI2335" s="744" t="str">
        <f t="shared" si="819"/>
        <v/>
      </c>
      <c r="BJ2335" s="747" t="str">
        <f t="shared" si="826"/>
        <v/>
      </c>
      <c r="BK2335" s="498" t="str">
        <f t="shared" si="820"/>
        <v/>
      </c>
      <c r="BL2335" s="498" t="str">
        <f t="shared" si="821"/>
        <v/>
      </c>
    </row>
    <row r="2336" spans="1:64" x14ac:dyDescent="0.25">
      <c r="A2336" s="762">
        <f t="shared" si="822"/>
        <v>2331</v>
      </c>
      <c r="B2336" s="229"/>
      <c r="C2336" s="223"/>
      <c r="D2336" s="224"/>
      <c r="E2336" s="225"/>
      <c r="F2336" s="1036" t="str">
        <f t="shared" si="828"/>
        <v/>
      </c>
      <c r="G2336" s="1037" t="str">
        <f t="shared" si="823"/>
        <v/>
      </c>
      <c r="H2336" s="225"/>
      <c r="I2336" s="1013"/>
      <c r="J2336" s="1013"/>
      <c r="K2336" s="1028"/>
      <c r="L2336" s="1035" t="str">
        <f t="shared" si="827"/>
        <v/>
      </c>
      <c r="S2336" s="498"/>
      <c r="AJ2336" s="498"/>
      <c r="AM2336" s="498">
        <f t="shared" si="808"/>
        <v>0</v>
      </c>
      <c r="AN2336" s="498">
        <f t="shared" si="809"/>
        <v>0</v>
      </c>
      <c r="AO2336" s="498">
        <f t="shared" si="810"/>
        <v>0</v>
      </c>
      <c r="AP2336" s="498">
        <f t="shared" si="829"/>
        <v>0</v>
      </c>
      <c r="AQ2336" s="498">
        <f t="shared" si="824"/>
        <v>0</v>
      </c>
      <c r="AU2336" s="498">
        <f t="shared" si="811"/>
        <v>0</v>
      </c>
      <c r="AV2336" s="498">
        <f t="shared" si="812"/>
        <v>0</v>
      </c>
      <c r="AW2336" s="498">
        <f t="shared" si="813"/>
        <v>0</v>
      </c>
      <c r="AX2336" s="498">
        <f t="shared" si="814"/>
        <v>0</v>
      </c>
      <c r="AY2336" s="498">
        <f t="shared" si="815"/>
        <v>0</v>
      </c>
      <c r="BB2336" s="498" t="str">
        <f t="shared" si="816"/>
        <v/>
      </c>
      <c r="BC2336" s="743" t="str">
        <f t="shared" si="817"/>
        <v/>
      </c>
      <c r="BD2336" s="743" t="str">
        <f t="shared" si="818"/>
        <v/>
      </c>
      <c r="BE2336" s="743" t="str">
        <f>IF(D2336="","",VLOOKUP(D2336,'General Basis'!$J$39:$K$46,2,0))</f>
        <v/>
      </c>
      <c r="BF2336" s="744" t="str">
        <f>IF(D2336="","",VLOOKUP(D2336,'General Basis'!$J$39:$L$46,3,0))</f>
        <v/>
      </c>
      <c r="BG2336" s="744" t="str">
        <f t="shared" si="825"/>
        <v/>
      </c>
      <c r="BH2336" s="744" t="str">
        <f>IF(G2336="","",IF(BF2336="Abu Dhabi",IF(G2336&lt;18,'General Basis'!$C$39,IF(G2336&lt;41,'General Basis'!$C$40,IF(G2336&lt;60,'General Basis'!$C$41,IF(G2336&lt;65,'General Basis'!$C$42,'General Basis'!$C$43)))),IF(G2336&lt;11,'General Basis'!$B$39,IF(G2336&lt;18,'General Basis'!$B$40,IF(G2336&lt;26,'General Basis'!$B$41,IF(G2336&lt;31,'General Basis'!$B$42,IF(G2336&lt;36,'General Basis'!$B$43,IF(G2336&lt;41,'General Basis'!$B$44,IF(G2336&lt;46,'General Basis'!$B$45,IF(G2336&lt;51,'General Basis'!$B$46,IF(G2336&lt;56,'General Basis'!$B$47,IF(G2336&lt;60,'General Basis'!$B$48,IF(G2336&lt;65,'General Basis'!$B$49,'General Basis'!$B$50)))))))))))))</f>
        <v/>
      </c>
      <c r="BI2336" s="744" t="str">
        <f t="shared" si="819"/>
        <v/>
      </c>
      <c r="BJ2336" s="747" t="str">
        <f t="shared" si="826"/>
        <v/>
      </c>
      <c r="BK2336" s="498" t="str">
        <f t="shared" si="820"/>
        <v/>
      </c>
      <c r="BL2336" s="498" t="str">
        <f t="shared" si="821"/>
        <v/>
      </c>
    </row>
    <row r="2337" spans="1:64" x14ac:dyDescent="0.25">
      <c r="A2337" s="762">
        <f t="shared" si="822"/>
        <v>2332</v>
      </c>
      <c r="B2337" s="229"/>
      <c r="C2337" s="223"/>
      <c r="D2337" s="224"/>
      <c r="E2337" s="225"/>
      <c r="F2337" s="1036" t="str">
        <f t="shared" si="828"/>
        <v/>
      </c>
      <c r="G2337" s="1037" t="str">
        <f t="shared" si="823"/>
        <v/>
      </c>
      <c r="H2337" s="225"/>
      <c r="I2337" s="1013"/>
      <c r="J2337" s="1013"/>
      <c r="K2337" s="1028"/>
      <c r="L2337" s="1035" t="str">
        <f t="shared" si="827"/>
        <v/>
      </c>
      <c r="S2337" s="498"/>
      <c r="AJ2337" s="498"/>
      <c r="AM2337" s="498">
        <f t="shared" si="808"/>
        <v>0</v>
      </c>
      <c r="AN2337" s="498">
        <f t="shared" si="809"/>
        <v>0</v>
      </c>
      <c r="AO2337" s="498">
        <f t="shared" si="810"/>
        <v>0</v>
      </c>
      <c r="AP2337" s="498">
        <f t="shared" si="829"/>
        <v>0</v>
      </c>
      <c r="AQ2337" s="498">
        <f t="shared" si="824"/>
        <v>0</v>
      </c>
      <c r="AU2337" s="498">
        <f t="shared" si="811"/>
        <v>0</v>
      </c>
      <c r="AV2337" s="498">
        <f t="shared" si="812"/>
        <v>0</v>
      </c>
      <c r="AW2337" s="498">
        <f t="shared" si="813"/>
        <v>0</v>
      </c>
      <c r="AX2337" s="498">
        <f t="shared" si="814"/>
        <v>0</v>
      </c>
      <c r="AY2337" s="498">
        <f t="shared" si="815"/>
        <v>0</v>
      </c>
      <c r="BB2337" s="498" t="str">
        <f t="shared" si="816"/>
        <v/>
      </c>
      <c r="BC2337" s="743" t="str">
        <f t="shared" si="817"/>
        <v/>
      </c>
      <c r="BD2337" s="743" t="str">
        <f t="shared" si="818"/>
        <v/>
      </c>
      <c r="BE2337" s="743" t="str">
        <f>IF(D2337="","",VLOOKUP(D2337,'General Basis'!$J$39:$K$46,2,0))</f>
        <v/>
      </c>
      <c r="BF2337" s="744" t="str">
        <f>IF(D2337="","",VLOOKUP(D2337,'General Basis'!$J$39:$L$46,3,0))</f>
        <v/>
      </c>
      <c r="BG2337" s="744" t="str">
        <f t="shared" si="825"/>
        <v/>
      </c>
      <c r="BH2337" s="744" t="str">
        <f>IF(G2337="","",IF(BF2337="Abu Dhabi",IF(G2337&lt;18,'General Basis'!$C$39,IF(G2337&lt;41,'General Basis'!$C$40,IF(G2337&lt;60,'General Basis'!$C$41,IF(G2337&lt;65,'General Basis'!$C$42,'General Basis'!$C$43)))),IF(G2337&lt;11,'General Basis'!$B$39,IF(G2337&lt;18,'General Basis'!$B$40,IF(G2337&lt;26,'General Basis'!$B$41,IF(G2337&lt;31,'General Basis'!$B$42,IF(G2337&lt;36,'General Basis'!$B$43,IF(G2337&lt;41,'General Basis'!$B$44,IF(G2337&lt;46,'General Basis'!$B$45,IF(G2337&lt;51,'General Basis'!$B$46,IF(G2337&lt;56,'General Basis'!$B$47,IF(G2337&lt;60,'General Basis'!$B$48,IF(G2337&lt;65,'General Basis'!$B$49,'General Basis'!$B$50)))))))))))))</f>
        <v/>
      </c>
      <c r="BI2337" s="744" t="str">
        <f t="shared" si="819"/>
        <v/>
      </c>
      <c r="BJ2337" s="747" t="str">
        <f t="shared" si="826"/>
        <v/>
      </c>
      <c r="BK2337" s="498" t="str">
        <f t="shared" si="820"/>
        <v/>
      </c>
      <c r="BL2337" s="498" t="str">
        <f t="shared" si="821"/>
        <v/>
      </c>
    </row>
    <row r="2338" spans="1:64" x14ac:dyDescent="0.25">
      <c r="A2338" s="762">
        <f t="shared" si="822"/>
        <v>2333</v>
      </c>
      <c r="B2338" s="229"/>
      <c r="C2338" s="223"/>
      <c r="D2338" s="224"/>
      <c r="E2338" s="225"/>
      <c r="F2338" s="1036" t="str">
        <f t="shared" si="828"/>
        <v/>
      </c>
      <c r="G2338" s="1037" t="str">
        <f t="shared" si="823"/>
        <v/>
      </c>
      <c r="H2338" s="225"/>
      <c r="I2338" s="1013"/>
      <c r="J2338" s="1013"/>
      <c r="K2338" s="1028"/>
      <c r="L2338" s="1035" t="str">
        <f t="shared" si="827"/>
        <v/>
      </c>
      <c r="S2338" s="498"/>
      <c r="AJ2338" s="498"/>
      <c r="AM2338" s="498">
        <f t="shared" si="808"/>
        <v>0</v>
      </c>
      <c r="AN2338" s="498">
        <f t="shared" si="809"/>
        <v>0</v>
      </c>
      <c r="AO2338" s="498">
        <f t="shared" si="810"/>
        <v>0</v>
      </c>
      <c r="AP2338" s="498">
        <f t="shared" si="829"/>
        <v>0</v>
      </c>
      <c r="AQ2338" s="498">
        <f t="shared" si="824"/>
        <v>0</v>
      </c>
      <c r="AU2338" s="498">
        <f t="shared" si="811"/>
        <v>0</v>
      </c>
      <c r="AV2338" s="498">
        <f t="shared" si="812"/>
        <v>0</v>
      </c>
      <c r="AW2338" s="498">
        <f t="shared" si="813"/>
        <v>0</v>
      </c>
      <c r="AX2338" s="498">
        <f t="shared" si="814"/>
        <v>0</v>
      </c>
      <c r="AY2338" s="498">
        <f t="shared" si="815"/>
        <v>0</v>
      </c>
      <c r="BB2338" s="498" t="str">
        <f t="shared" si="816"/>
        <v/>
      </c>
      <c r="BC2338" s="743" t="str">
        <f t="shared" si="817"/>
        <v/>
      </c>
      <c r="BD2338" s="743" t="str">
        <f t="shared" si="818"/>
        <v/>
      </c>
      <c r="BE2338" s="743" t="str">
        <f>IF(D2338="","",VLOOKUP(D2338,'General Basis'!$J$39:$K$46,2,0))</f>
        <v/>
      </c>
      <c r="BF2338" s="744" t="str">
        <f>IF(D2338="","",VLOOKUP(D2338,'General Basis'!$J$39:$L$46,3,0))</f>
        <v/>
      </c>
      <c r="BG2338" s="744" t="str">
        <f t="shared" si="825"/>
        <v/>
      </c>
      <c r="BH2338" s="744" t="str">
        <f>IF(G2338="","",IF(BF2338="Abu Dhabi",IF(G2338&lt;18,'General Basis'!$C$39,IF(G2338&lt;41,'General Basis'!$C$40,IF(G2338&lt;60,'General Basis'!$C$41,IF(G2338&lt;65,'General Basis'!$C$42,'General Basis'!$C$43)))),IF(G2338&lt;11,'General Basis'!$B$39,IF(G2338&lt;18,'General Basis'!$B$40,IF(G2338&lt;26,'General Basis'!$B$41,IF(G2338&lt;31,'General Basis'!$B$42,IF(G2338&lt;36,'General Basis'!$B$43,IF(G2338&lt;41,'General Basis'!$B$44,IF(G2338&lt;46,'General Basis'!$B$45,IF(G2338&lt;51,'General Basis'!$B$46,IF(G2338&lt;56,'General Basis'!$B$47,IF(G2338&lt;60,'General Basis'!$B$48,IF(G2338&lt;65,'General Basis'!$B$49,'General Basis'!$B$50)))))))))))))</f>
        <v/>
      </c>
      <c r="BI2338" s="744" t="str">
        <f t="shared" si="819"/>
        <v/>
      </c>
      <c r="BJ2338" s="747" t="str">
        <f t="shared" si="826"/>
        <v/>
      </c>
      <c r="BK2338" s="498" t="str">
        <f t="shared" si="820"/>
        <v/>
      </c>
      <c r="BL2338" s="498" t="str">
        <f t="shared" si="821"/>
        <v/>
      </c>
    </row>
    <row r="2339" spans="1:64" x14ac:dyDescent="0.25">
      <c r="A2339" s="762">
        <f t="shared" si="822"/>
        <v>2334</v>
      </c>
      <c r="B2339" s="229"/>
      <c r="C2339" s="223"/>
      <c r="D2339" s="224"/>
      <c r="E2339" s="225"/>
      <c r="F2339" s="1036" t="str">
        <f t="shared" si="828"/>
        <v/>
      </c>
      <c r="G2339" s="1037" t="str">
        <f t="shared" si="823"/>
        <v/>
      </c>
      <c r="H2339" s="225"/>
      <c r="I2339" s="1013"/>
      <c r="J2339" s="1013"/>
      <c r="K2339" s="1028"/>
      <c r="L2339" s="1035" t="str">
        <f t="shared" si="827"/>
        <v/>
      </c>
      <c r="S2339" s="498"/>
      <c r="AJ2339" s="498"/>
      <c r="AM2339" s="498">
        <f t="shared" si="808"/>
        <v>0</v>
      </c>
      <c r="AN2339" s="498">
        <f t="shared" si="809"/>
        <v>0</v>
      </c>
      <c r="AO2339" s="498">
        <f t="shared" si="810"/>
        <v>0</v>
      </c>
      <c r="AP2339" s="498">
        <f t="shared" si="829"/>
        <v>0</v>
      </c>
      <c r="AQ2339" s="498">
        <f t="shared" si="824"/>
        <v>0</v>
      </c>
      <c r="AU2339" s="498">
        <f t="shared" si="811"/>
        <v>0</v>
      </c>
      <c r="AV2339" s="498">
        <f t="shared" si="812"/>
        <v>0</v>
      </c>
      <c r="AW2339" s="498">
        <f t="shared" si="813"/>
        <v>0</v>
      </c>
      <c r="AX2339" s="498">
        <f t="shared" si="814"/>
        <v>0</v>
      </c>
      <c r="AY2339" s="498">
        <f t="shared" si="815"/>
        <v>0</v>
      </c>
      <c r="BB2339" s="498" t="str">
        <f t="shared" si="816"/>
        <v/>
      </c>
      <c r="BC2339" s="743" t="str">
        <f t="shared" si="817"/>
        <v/>
      </c>
      <c r="BD2339" s="743" t="str">
        <f t="shared" si="818"/>
        <v/>
      </c>
      <c r="BE2339" s="743" t="str">
        <f>IF(D2339="","",VLOOKUP(D2339,'General Basis'!$J$39:$K$46,2,0))</f>
        <v/>
      </c>
      <c r="BF2339" s="744" t="str">
        <f>IF(D2339="","",VLOOKUP(D2339,'General Basis'!$J$39:$L$46,3,0))</f>
        <v/>
      </c>
      <c r="BG2339" s="744" t="str">
        <f t="shared" si="825"/>
        <v/>
      </c>
      <c r="BH2339" s="744" t="str">
        <f>IF(G2339="","",IF(BF2339="Abu Dhabi",IF(G2339&lt;18,'General Basis'!$C$39,IF(G2339&lt;41,'General Basis'!$C$40,IF(G2339&lt;60,'General Basis'!$C$41,IF(G2339&lt;65,'General Basis'!$C$42,'General Basis'!$C$43)))),IF(G2339&lt;11,'General Basis'!$B$39,IF(G2339&lt;18,'General Basis'!$B$40,IF(G2339&lt;26,'General Basis'!$B$41,IF(G2339&lt;31,'General Basis'!$B$42,IF(G2339&lt;36,'General Basis'!$B$43,IF(G2339&lt;41,'General Basis'!$B$44,IF(G2339&lt;46,'General Basis'!$B$45,IF(G2339&lt;51,'General Basis'!$B$46,IF(G2339&lt;56,'General Basis'!$B$47,IF(G2339&lt;60,'General Basis'!$B$48,IF(G2339&lt;65,'General Basis'!$B$49,'General Basis'!$B$50)))))))))))))</f>
        <v/>
      </c>
      <c r="BI2339" s="744" t="str">
        <f t="shared" si="819"/>
        <v/>
      </c>
      <c r="BJ2339" s="747" t="str">
        <f t="shared" si="826"/>
        <v/>
      </c>
      <c r="BK2339" s="498" t="str">
        <f t="shared" si="820"/>
        <v/>
      </c>
      <c r="BL2339" s="498" t="str">
        <f t="shared" si="821"/>
        <v/>
      </c>
    </row>
    <row r="2340" spans="1:64" x14ac:dyDescent="0.25">
      <c r="A2340" s="762">
        <f t="shared" si="822"/>
        <v>2335</v>
      </c>
      <c r="B2340" s="229"/>
      <c r="C2340" s="223"/>
      <c r="D2340" s="224"/>
      <c r="E2340" s="225"/>
      <c r="F2340" s="1036" t="str">
        <f t="shared" si="828"/>
        <v/>
      </c>
      <c r="G2340" s="1037" t="str">
        <f t="shared" si="823"/>
        <v/>
      </c>
      <c r="H2340" s="225"/>
      <c r="I2340" s="1013"/>
      <c r="J2340" s="1013"/>
      <c r="K2340" s="1028"/>
      <c r="L2340" s="1035" t="str">
        <f t="shared" si="827"/>
        <v/>
      </c>
      <c r="S2340" s="498"/>
      <c r="AJ2340" s="498"/>
      <c r="AM2340" s="498">
        <f t="shared" si="808"/>
        <v>0</v>
      </c>
      <c r="AN2340" s="498">
        <f t="shared" si="809"/>
        <v>0</v>
      </c>
      <c r="AO2340" s="498">
        <f t="shared" si="810"/>
        <v>0</v>
      </c>
      <c r="AP2340" s="498">
        <f t="shared" si="829"/>
        <v>0</v>
      </c>
      <c r="AQ2340" s="498">
        <f t="shared" si="824"/>
        <v>0</v>
      </c>
      <c r="AU2340" s="498">
        <f t="shared" si="811"/>
        <v>0</v>
      </c>
      <c r="AV2340" s="498">
        <f t="shared" si="812"/>
        <v>0</v>
      </c>
      <c r="AW2340" s="498">
        <f t="shared" si="813"/>
        <v>0</v>
      </c>
      <c r="AX2340" s="498">
        <f t="shared" si="814"/>
        <v>0</v>
      </c>
      <c r="AY2340" s="498">
        <f t="shared" si="815"/>
        <v>0</v>
      </c>
      <c r="BB2340" s="498" t="str">
        <f t="shared" si="816"/>
        <v/>
      </c>
      <c r="BC2340" s="743" t="str">
        <f t="shared" si="817"/>
        <v/>
      </c>
      <c r="BD2340" s="743" t="str">
        <f t="shared" si="818"/>
        <v/>
      </c>
      <c r="BE2340" s="743" t="str">
        <f>IF(D2340="","",VLOOKUP(D2340,'General Basis'!$J$39:$K$46,2,0))</f>
        <v/>
      </c>
      <c r="BF2340" s="744" t="str">
        <f>IF(D2340="","",VLOOKUP(D2340,'General Basis'!$J$39:$L$46,3,0))</f>
        <v/>
      </c>
      <c r="BG2340" s="744" t="str">
        <f t="shared" si="825"/>
        <v/>
      </c>
      <c r="BH2340" s="744" t="str">
        <f>IF(G2340="","",IF(BF2340="Abu Dhabi",IF(G2340&lt;18,'General Basis'!$C$39,IF(G2340&lt;41,'General Basis'!$C$40,IF(G2340&lt;60,'General Basis'!$C$41,IF(G2340&lt;65,'General Basis'!$C$42,'General Basis'!$C$43)))),IF(G2340&lt;11,'General Basis'!$B$39,IF(G2340&lt;18,'General Basis'!$B$40,IF(G2340&lt;26,'General Basis'!$B$41,IF(G2340&lt;31,'General Basis'!$B$42,IF(G2340&lt;36,'General Basis'!$B$43,IF(G2340&lt;41,'General Basis'!$B$44,IF(G2340&lt;46,'General Basis'!$B$45,IF(G2340&lt;51,'General Basis'!$B$46,IF(G2340&lt;56,'General Basis'!$B$47,IF(G2340&lt;60,'General Basis'!$B$48,IF(G2340&lt;65,'General Basis'!$B$49,'General Basis'!$B$50)))))))))))))</f>
        <v/>
      </c>
      <c r="BI2340" s="744" t="str">
        <f t="shared" si="819"/>
        <v/>
      </c>
      <c r="BJ2340" s="747" t="str">
        <f t="shared" si="826"/>
        <v/>
      </c>
      <c r="BK2340" s="498" t="str">
        <f t="shared" si="820"/>
        <v/>
      </c>
      <c r="BL2340" s="498" t="str">
        <f t="shared" si="821"/>
        <v/>
      </c>
    </row>
    <row r="2341" spans="1:64" x14ac:dyDescent="0.25">
      <c r="A2341" s="762">
        <f t="shared" si="822"/>
        <v>2336</v>
      </c>
      <c r="B2341" s="229"/>
      <c r="C2341" s="223"/>
      <c r="D2341" s="224"/>
      <c r="E2341" s="225"/>
      <c r="F2341" s="1036" t="str">
        <f t="shared" si="828"/>
        <v/>
      </c>
      <c r="G2341" s="1037" t="str">
        <f t="shared" si="823"/>
        <v/>
      </c>
      <c r="H2341" s="225"/>
      <c r="I2341" s="1013"/>
      <c r="J2341" s="1013"/>
      <c r="K2341" s="1028"/>
      <c r="L2341" s="1035" t="str">
        <f t="shared" si="827"/>
        <v/>
      </c>
      <c r="S2341" s="498"/>
      <c r="AJ2341" s="498"/>
      <c r="AM2341" s="498">
        <f t="shared" si="808"/>
        <v>0</v>
      </c>
      <c r="AN2341" s="498">
        <f t="shared" si="809"/>
        <v>0</v>
      </c>
      <c r="AO2341" s="498">
        <f t="shared" si="810"/>
        <v>0</v>
      </c>
      <c r="AP2341" s="498">
        <f t="shared" si="829"/>
        <v>0</v>
      </c>
      <c r="AQ2341" s="498">
        <f t="shared" si="824"/>
        <v>0</v>
      </c>
      <c r="AU2341" s="498">
        <f t="shared" si="811"/>
        <v>0</v>
      </c>
      <c r="AV2341" s="498">
        <f t="shared" si="812"/>
        <v>0</v>
      </c>
      <c r="AW2341" s="498">
        <f t="shared" si="813"/>
        <v>0</v>
      </c>
      <c r="AX2341" s="498">
        <f t="shared" si="814"/>
        <v>0</v>
      </c>
      <c r="AY2341" s="498">
        <f t="shared" si="815"/>
        <v>0</v>
      </c>
      <c r="BB2341" s="498" t="str">
        <f t="shared" si="816"/>
        <v/>
      </c>
      <c r="BC2341" s="743" t="str">
        <f t="shared" si="817"/>
        <v/>
      </c>
      <c r="BD2341" s="743" t="str">
        <f t="shared" si="818"/>
        <v/>
      </c>
      <c r="BE2341" s="743" t="str">
        <f>IF(D2341="","",VLOOKUP(D2341,'General Basis'!$J$39:$K$46,2,0))</f>
        <v/>
      </c>
      <c r="BF2341" s="744" t="str">
        <f>IF(D2341="","",VLOOKUP(D2341,'General Basis'!$J$39:$L$46,3,0))</f>
        <v/>
      </c>
      <c r="BG2341" s="744" t="str">
        <f t="shared" si="825"/>
        <v/>
      </c>
      <c r="BH2341" s="744" t="str">
        <f>IF(G2341="","",IF(BF2341="Abu Dhabi",IF(G2341&lt;18,'General Basis'!$C$39,IF(G2341&lt;41,'General Basis'!$C$40,IF(G2341&lt;60,'General Basis'!$C$41,IF(G2341&lt;65,'General Basis'!$C$42,'General Basis'!$C$43)))),IF(G2341&lt;11,'General Basis'!$B$39,IF(G2341&lt;18,'General Basis'!$B$40,IF(G2341&lt;26,'General Basis'!$B$41,IF(G2341&lt;31,'General Basis'!$B$42,IF(G2341&lt;36,'General Basis'!$B$43,IF(G2341&lt;41,'General Basis'!$B$44,IF(G2341&lt;46,'General Basis'!$B$45,IF(G2341&lt;51,'General Basis'!$B$46,IF(G2341&lt;56,'General Basis'!$B$47,IF(G2341&lt;60,'General Basis'!$B$48,IF(G2341&lt;65,'General Basis'!$B$49,'General Basis'!$B$50)))))))))))))</f>
        <v/>
      </c>
      <c r="BI2341" s="744" t="str">
        <f t="shared" si="819"/>
        <v/>
      </c>
      <c r="BJ2341" s="747" t="str">
        <f t="shared" si="826"/>
        <v/>
      </c>
      <c r="BK2341" s="498" t="str">
        <f t="shared" si="820"/>
        <v/>
      </c>
      <c r="BL2341" s="498" t="str">
        <f t="shared" si="821"/>
        <v/>
      </c>
    </row>
    <row r="2342" spans="1:64" x14ac:dyDescent="0.25">
      <c r="A2342" s="762">
        <f t="shared" si="822"/>
        <v>2337</v>
      </c>
      <c r="B2342" s="229"/>
      <c r="C2342" s="223"/>
      <c r="D2342" s="224"/>
      <c r="E2342" s="225"/>
      <c r="F2342" s="1036" t="str">
        <f t="shared" si="828"/>
        <v/>
      </c>
      <c r="G2342" s="1037" t="str">
        <f t="shared" si="823"/>
        <v/>
      </c>
      <c r="H2342" s="225"/>
      <c r="I2342" s="1013"/>
      <c r="J2342" s="1013"/>
      <c r="K2342" s="1028"/>
      <c r="L2342" s="1035" t="str">
        <f t="shared" si="827"/>
        <v/>
      </c>
      <c r="S2342" s="498"/>
      <c r="AJ2342" s="498"/>
      <c r="AM2342" s="498">
        <f t="shared" si="808"/>
        <v>0</v>
      </c>
      <c r="AN2342" s="498">
        <f t="shared" si="809"/>
        <v>0</v>
      </c>
      <c r="AO2342" s="498">
        <f t="shared" si="810"/>
        <v>0</v>
      </c>
      <c r="AP2342" s="498">
        <f t="shared" si="829"/>
        <v>0</v>
      </c>
      <c r="AQ2342" s="498">
        <f t="shared" si="824"/>
        <v>0</v>
      </c>
      <c r="AU2342" s="498">
        <f t="shared" si="811"/>
        <v>0</v>
      </c>
      <c r="AV2342" s="498">
        <f t="shared" si="812"/>
        <v>0</v>
      </c>
      <c r="AW2342" s="498">
        <f t="shared" si="813"/>
        <v>0</v>
      </c>
      <c r="AX2342" s="498">
        <f t="shared" si="814"/>
        <v>0</v>
      </c>
      <c r="AY2342" s="498">
        <f t="shared" si="815"/>
        <v>0</v>
      </c>
      <c r="BB2342" s="498" t="str">
        <f t="shared" si="816"/>
        <v/>
      </c>
      <c r="BC2342" s="743" t="str">
        <f t="shared" si="817"/>
        <v/>
      </c>
      <c r="BD2342" s="743" t="str">
        <f t="shared" si="818"/>
        <v/>
      </c>
      <c r="BE2342" s="743" t="str">
        <f>IF(D2342="","",VLOOKUP(D2342,'General Basis'!$J$39:$K$46,2,0))</f>
        <v/>
      </c>
      <c r="BF2342" s="744" t="str">
        <f>IF(D2342="","",VLOOKUP(D2342,'General Basis'!$J$39:$L$46,3,0))</f>
        <v/>
      </c>
      <c r="BG2342" s="744" t="str">
        <f t="shared" si="825"/>
        <v/>
      </c>
      <c r="BH2342" s="744" t="str">
        <f>IF(G2342="","",IF(BF2342="Abu Dhabi",IF(G2342&lt;18,'General Basis'!$C$39,IF(G2342&lt;41,'General Basis'!$C$40,IF(G2342&lt;60,'General Basis'!$C$41,IF(G2342&lt;65,'General Basis'!$C$42,'General Basis'!$C$43)))),IF(G2342&lt;11,'General Basis'!$B$39,IF(G2342&lt;18,'General Basis'!$B$40,IF(G2342&lt;26,'General Basis'!$B$41,IF(G2342&lt;31,'General Basis'!$B$42,IF(G2342&lt;36,'General Basis'!$B$43,IF(G2342&lt;41,'General Basis'!$B$44,IF(G2342&lt;46,'General Basis'!$B$45,IF(G2342&lt;51,'General Basis'!$B$46,IF(G2342&lt;56,'General Basis'!$B$47,IF(G2342&lt;60,'General Basis'!$B$48,IF(G2342&lt;65,'General Basis'!$B$49,'General Basis'!$B$50)))))))))))))</f>
        <v/>
      </c>
      <c r="BI2342" s="744" t="str">
        <f t="shared" si="819"/>
        <v/>
      </c>
      <c r="BJ2342" s="747" t="str">
        <f t="shared" si="826"/>
        <v/>
      </c>
      <c r="BK2342" s="498" t="str">
        <f t="shared" si="820"/>
        <v/>
      </c>
      <c r="BL2342" s="498" t="str">
        <f t="shared" si="821"/>
        <v/>
      </c>
    </row>
    <row r="2343" spans="1:64" x14ac:dyDescent="0.25">
      <c r="A2343" s="762">
        <f t="shared" si="822"/>
        <v>2338</v>
      </c>
      <c r="B2343" s="229"/>
      <c r="C2343" s="223"/>
      <c r="D2343" s="224"/>
      <c r="E2343" s="225"/>
      <c r="F2343" s="1036" t="str">
        <f t="shared" si="828"/>
        <v/>
      </c>
      <c r="G2343" s="1037" t="str">
        <f t="shared" si="823"/>
        <v/>
      </c>
      <c r="H2343" s="225"/>
      <c r="I2343" s="1013"/>
      <c r="J2343" s="1013"/>
      <c r="K2343" s="1028"/>
      <c r="L2343" s="1035" t="str">
        <f t="shared" si="827"/>
        <v/>
      </c>
      <c r="S2343" s="498"/>
      <c r="AJ2343" s="498"/>
      <c r="AM2343" s="498">
        <f t="shared" si="808"/>
        <v>0</v>
      </c>
      <c r="AN2343" s="498">
        <f t="shared" si="809"/>
        <v>0</v>
      </c>
      <c r="AO2343" s="498">
        <f t="shared" si="810"/>
        <v>0</v>
      </c>
      <c r="AP2343" s="498">
        <f t="shared" si="829"/>
        <v>0</v>
      </c>
      <c r="AQ2343" s="498">
        <f t="shared" si="824"/>
        <v>0</v>
      </c>
      <c r="AU2343" s="498">
        <f t="shared" si="811"/>
        <v>0</v>
      </c>
      <c r="AV2343" s="498">
        <f t="shared" si="812"/>
        <v>0</v>
      </c>
      <c r="AW2343" s="498">
        <f t="shared" si="813"/>
        <v>0</v>
      </c>
      <c r="AX2343" s="498">
        <f t="shared" si="814"/>
        <v>0</v>
      </c>
      <c r="AY2343" s="498">
        <f t="shared" si="815"/>
        <v>0</v>
      </c>
      <c r="BB2343" s="498" t="str">
        <f t="shared" si="816"/>
        <v/>
      </c>
      <c r="BC2343" s="743" t="str">
        <f t="shared" si="817"/>
        <v/>
      </c>
      <c r="BD2343" s="743" t="str">
        <f t="shared" si="818"/>
        <v/>
      </c>
      <c r="BE2343" s="743" t="str">
        <f>IF(D2343="","",VLOOKUP(D2343,'General Basis'!$J$39:$K$46,2,0))</f>
        <v/>
      </c>
      <c r="BF2343" s="744" t="str">
        <f>IF(D2343="","",VLOOKUP(D2343,'General Basis'!$J$39:$L$46,3,0))</f>
        <v/>
      </c>
      <c r="BG2343" s="744" t="str">
        <f t="shared" si="825"/>
        <v/>
      </c>
      <c r="BH2343" s="744" t="str">
        <f>IF(G2343="","",IF(BF2343="Abu Dhabi",IF(G2343&lt;18,'General Basis'!$C$39,IF(G2343&lt;41,'General Basis'!$C$40,IF(G2343&lt;60,'General Basis'!$C$41,IF(G2343&lt;65,'General Basis'!$C$42,'General Basis'!$C$43)))),IF(G2343&lt;11,'General Basis'!$B$39,IF(G2343&lt;18,'General Basis'!$B$40,IF(G2343&lt;26,'General Basis'!$B$41,IF(G2343&lt;31,'General Basis'!$B$42,IF(G2343&lt;36,'General Basis'!$B$43,IF(G2343&lt;41,'General Basis'!$B$44,IF(G2343&lt;46,'General Basis'!$B$45,IF(G2343&lt;51,'General Basis'!$B$46,IF(G2343&lt;56,'General Basis'!$B$47,IF(G2343&lt;60,'General Basis'!$B$48,IF(G2343&lt;65,'General Basis'!$B$49,'General Basis'!$B$50)))))))))))))</f>
        <v/>
      </c>
      <c r="BI2343" s="744" t="str">
        <f t="shared" si="819"/>
        <v/>
      </c>
      <c r="BJ2343" s="747" t="str">
        <f t="shared" si="826"/>
        <v/>
      </c>
      <c r="BK2343" s="498" t="str">
        <f t="shared" si="820"/>
        <v/>
      </c>
      <c r="BL2343" s="498" t="str">
        <f t="shared" si="821"/>
        <v/>
      </c>
    </row>
    <row r="2344" spans="1:64" x14ac:dyDescent="0.25">
      <c r="A2344" s="762">
        <f t="shared" si="822"/>
        <v>2339</v>
      </c>
      <c r="B2344" s="229"/>
      <c r="C2344" s="223"/>
      <c r="D2344" s="224"/>
      <c r="E2344" s="225"/>
      <c r="F2344" s="1036" t="str">
        <f t="shared" si="828"/>
        <v/>
      </c>
      <c r="G2344" s="1037" t="str">
        <f t="shared" si="823"/>
        <v/>
      </c>
      <c r="H2344" s="225"/>
      <c r="I2344" s="1013"/>
      <c r="J2344" s="1013"/>
      <c r="K2344" s="1028"/>
      <c r="L2344" s="1035" t="str">
        <f t="shared" si="827"/>
        <v/>
      </c>
      <c r="S2344" s="498"/>
      <c r="AJ2344" s="498"/>
      <c r="AM2344" s="498">
        <f t="shared" si="808"/>
        <v>0</v>
      </c>
      <c r="AN2344" s="498">
        <f t="shared" si="809"/>
        <v>0</v>
      </c>
      <c r="AO2344" s="498">
        <f t="shared" si="810"/>
        <v>0</v>
      </c>
      <c r="AP2344" s="498">
        <f t="shared" si="829"/>
        <v>0</v>
      </c>
      <c r="AQ2344" s="498">
        <f t="shared" si="824"/>
        <v>0</v>
      </c>
      <c r="AU2344" s="498">
        <f t="shared" si="811"/>
        <v>0</v>
      </c>
      <c r="AV2344" s="498">
        <f t="shared" si="812"/>
        <v>0</v>
      </c>
      <c r="AW2344" s="498">
        <f t="shared" si="813"/>
        <v>0</v>
      </c>
      <c r="AX2344" s="498">
        <f t="shared" si="814"/>
        <v>0</v>
      </c>
      <c r="AY2344" s="498">
        <f t="shared" si="815"/>
        <v>0</v>
      </c>
      <c r="BB2344" s="498" t="str">
        <f t="shared" si="816"/>
        <v/>
      </c>
      <c r="BC2344" s="743" t="str">
        <f t="shared" si="817"/>
        <v/>
      </c>
      <c r="BD2344" s="743" t="str">
        <f t="shared" si="818"/>
        <v/>
      </c>
      <c r="BE2344" s="743" t="str">
        <f>IF(D2344="","",VLOOKUP(D2344,'General Basis'!$J$39:$K$46,2,0))</f>
        <v/>
      </c>
      <c r="BF2344" s="744" t="str">
        <f>IF(D2344="","",VLOOKUP(D2344,'General Basis'!$J$39:$L$46,3,0))</f>
        <v/>
      </c>
      <c r="BG2344" s="744" t="str">
        <f t="shared" si="825"/>
        <v/>
      </c>
      <c r="BH2344" s="744" t="str">
        <f>IF(G2344="","",IF(BF2344="Abu Dhabi",IF(G2344&lt;18,'General Basis'!$C$39,IF(G2344&lt;41,'General Basis'!$C$40,IF(G2344&lt;60,'General Basis'!$C$41,IF(G2344&lt;65,'General Basis'!$C$42,'General Basis'!$C$43)))),IF(G2344&lt;11,'General Basis'!$B$39,IF(G2344&lt;18,'General Basis'!$B$40,IF(G2344&lt;26,'General Basis'!$B$41,IF(G2344&lt;31,'General Basis'!$B$42,IF(G2344&lt;36,'General Basis'!$B$43,IF(G2344&lt;41,'General Basis'!$B$44,IF(G2344&lt;46,'General Basis'!$B$45,IF(G2344&lt;51,'General Basis'!$B$46,IF(G2344&lt;56,'General Basis'!$B$47,IF(G2344&lt;60,'General Basis'!$B$48,IF(G2344&lt;65,'General Basis'!$B$49,'General Basis'!$B$50)))))))))))))</f>
        <v/>
      </c>
      <c r="BI2344" s="744" t="str">
        <f t="shared" si="819"/>
        <v/>
      </c>
      <c r="BJ2344" s="747" t="str">
        <f t="shared" si="826"/>
        <v/>
      </c>
      <c r="BK2344" s="498" t="str">
        <f t="shared" si="820"/>
        <v/>
      </c>
      <c r="BL2344" s="498" t="str">
        <f t="shared" si="821"/>
        <v/>
      </c>
    </row>
    <row r="2345" spans="1:64" x14ac:dyDescent="0.25">
      <c r="A2345" s="762">
        <f t="shared" si="822"/>
        <v>2340</v>
      </c>
      <c r="B2345" s="229"/>
      <c r="C2345" s="223"/>
      <c r="D2345" s="224"/>
      <c r="E2345" s="225"/>
      <c r="F2345" s="1036" t="str">
        <f t="shared" si="828"/>
        <v/>
      </c>
      <c r="G2345" s="1037" t="str">
        <f t="shared" si="823"/>
        <v/>
      </c>
      <c r="H2345" s="225"/>
      <c r="I2345" s="1013"/>
      <c r="J2345" s="1013"/>
      <c r="K2345" s="1028"/>
      <c r="L2345" s="1035" t="str">
        <f t="shared" si="827"/>
        <v/>
      </c>
      <c r="S2345" s="498"/>
      <c r="AJ2345" s="498"/>
      <c r="AM2345" s="498">
        <f t="shared" si="808"/>
        <v>0</v>
      </c>
      <c r="AN2345" s="498">
        <f t="shared" si="809"/>
        <v>0</v>
      </c>
      <c r="AO2345" s="498">
        <f t="shared" si="810"/>
        <v>0</v>
      </c>
      <c r="AP2345" s="498">
        <f t="shared" si="829"/>
        <v>0</v>
      </c>
      <c r="AQ2345" s="498">
        <f t="shared" si="824"/>
        <v>0</v>
      </c>
      <c r="AU2345" s="498">
        <f t="shared" si="811"/>
        <v>0</v>
      </c>
      <c r="AV2345" s="498">
        <f t="shared" si="812"/>
        <v>0</v>
      </c>
      <c r="AW2345" s="498">
        <f t="shared" si="813"/>
        <v>0</v>
      </c>
      <c r="AX2345" s="498">
        <f t="shared" si="814"/>
        <v>0</v>
      </c>
      <c r="AY2345" s="498">
        <f t="shared" si="815"/>
        <v>0</v>
      </c>
      <c r="BB2345" s="498" t="str">
        <f t="shared" si="816"/>
        <v/>
      </c>
      <c r="BC2345" s="743" t="str">
        <f t="shared" si="817"/>
        <v/>
      </c>
      <c r="BD2345" s="743" t="str">
        <f t="shared" si="818"/>
        <v/>
      </c>
      <c r="BE2345" s="743" t="str">
        <f>IF(D2345="","",VLOOKUP(D2345,'General Basis'!$J$39:$K$46,2,0))</f>
        <v/>
      </c>
      <c r="BF2345" s="744" t="str">
        <f>IF(D2345="","",VLOOKUP(D2345,'General Basis'!$J$39:$L$46,3,0))</f>
        <v/>
      </c>
      <c r="BG2345" s="744" t="str">
        <f t="shared" si="825"/>
        <v/>
      </c>
      <c r="BH2345" s="744" t="str">
        <f>IF(G2345="","",IF(BF2345="Abu Dhabi",IF(G2345&lt;18,'General Basis'!$C$39,IF(G2345&lt;41,'General Basis'!$C$40,IF(G2345&lt;60,'General Basis'!$C$41,IF(G2345&lt;65,'General Basis'!$C$42,'General Basis'!$C$43)))),IF(G2345&lt;11,'General Basis'!$B$39,IF(G2345&lt;18,'General Basis'!$B$40,IF(G2345&lt;26,'General Basis'!$B$41,IF(G2345&lt;31,'General Basis'!$B$42,IF(G2345&lt;36,'General Basis'!$B$43,IF(G2345&lt;41,'General Basis'!$B$44,IF(G2345&lt;46,'General Basis'!$B$45,IF(G2345&lt;51,'General Basis'!$B$46,IF(G2345&lt;56,'General Basis'!$B$47,IF(G2345&lt;60,'General Basis'!$B$48,IF(G2345&lt;65,'General Basis'!$B$49,'General Basis'!$B$50)))))))))))))</f>
        <v/>
      </c>
      <c r="BI2345" s="744" t="str">
        <f t="shared" si="819"/>
        <v/>
      </c>
      <c r="BJ2345" s="747" t="str">
        <f t="shared" si="826"/>
        <v/>
      </c>
      <c r="BK2345" s="498" t="str">
        <f t="shared" si="820"/>
        <v/>
      </c>
      <c r="BL2345" s="498" t="str">
        <f t="shared" si="821"/>
        <v/>
      </c>
    </row>
    <row r="2346" spans="1:64" x14ac:dyDescent="0.25">
      <c r="A2346" s="762">
        <f t="shared" si="822"/>
        <v>2341</v>
      </c>
      <c r="B2346" s="229"/>
      <c r="C2346" s="223"/>
      <c r="D2346" s="224"/>
      <c r="E2346" s="225"/>
      <c r="F2346" s="1036" t="str">
        <f t="shared" si="828"/>
        <v/>
      </c>
      <c r="G2346" s="1037" t="str">
        <f t="shared" si="823"/>
        <v/>
      </c>
      <c r="H2346" s="225"/>
      <c r="I2346" s="1013"/>
      <c r="J2346" s="1013"/>
      <c r="K2346" s="1028"/>
      <c r="L2346" s="1035" t="str">
        <f t="shared" si="827"/>
        <v/>
      </c>
      <c r="S2346" s="498"/>
      <c r="AJ2346" s="498"/>
      <c r="AM2346" s="498">
        <f t="shared" si="808"/>
        <v>0</v>
      </c>
      <c r="AN2346" s="498">
        <f t="shared" si="809"/>
        <v>0</v>
      </c>
      <c r="AO2346" s="498">
        <f t="shared" si="810"/>
        <v>0</v>
      </c>
      <c r="AP2346" s="498">
        <f t="shared" si="829"/>
        <v>0</v>
      </c>
      <c r="AQ2346" s="498">
        <f t="shared" si="824"/>
        <v>0</v>
      </c>
      <c r="AU2346" s="498">
        <f t="shared" si="811"/>
        <v>0</v>
      </c>
      <c r="AV2346" s="498">
        <f t="shared" si="812"/>
        <v>0</v>
      </c>
      <c r="AW2346" s="498">
        <f t="shared" si="813"/>
        <v>0</v>
      </c>
      <c r="AX2346" s="498">
        <f t="shared" si="814"/>
        <v>0</v>
      </c>
      <c r="AY2346" s="498">
        <f t="shared" si="815"/>
        <v>0</v>
      </c>
      <c r="BB2346" s="498" t="str">
        <f t="shared" si="816"/>
        <v/>
      </c>
      <c r="BC2346" s="743" t="str">
        <f t="shared" si="817"/>
        <v/>
      </c>
      <c r="BD2346" s="743" t="str">
        <f t="shared" si="818"/>
        <v/>
      </c>
      <c r="BE2346" s="743" t="str">
        <f>IF(D2346="","",VLOOKUP(D2346,'General Basis'!$J$39:$K$46,2,0))</f>
        <v/>
      </c>
      <c r="BF2346" s="744" t="str">
        <f>IF(D2346="","",VLOOKUP(D2346,'General Basis'!$J$39:$L$46,3,0))</f>
        <v/>
      </c>
      <c r="BG2346" s="744" t="str">
        <f t="shared" si="825"/>
        <v/>
      </c>
      <c r="BH2346" s="744" t="str">
        <f>IF(G2346="","",IF(BF2346="Abu Dhabi",IF(G2346&lt;18,'General Basis'!$C$39,IF(G2346&lt;41,'General Basis'!$C$40,IF(G2346&lt;60,'General Basis'!$C$41,IF(G2346&lt;65,'General Basis'!$C$42,'General Basis'!$C$43)))),IF(G2346&lt;11,'General Basis'!$B$39,IF(G2346&lt;18,'General Basis'!$B$40,IF(G2346&lt;26,'General Basis'!$B$41,IF(G2346&lt;31,'General Basis'!$B$42,IF(G2346&lt;36,'General Basis'!$B$43,IF(G2346&lt;41,'General Basis'!$B$44,IF(G2346&lt;46,'General Basis'!$B$45,IF(G2346&lt;51,'General Basis'!$B$46,IF(G2346&lt;56,'General Basis'!$B$47,IF(G2346&lt;60,'General Basis'!$B$48,IF(G2346&lt;65,'General Basis'!$B$49,'General Basis'!$B$50)))))))))))))</f>
        <v/>
      </c>
      <c r="BI2346" s="744" t="str">
        <f t="shared" si="819"/>
        <v/>
      </c>
      <c r="BJ2346" s="747" t="str">
        <f t="shared" si="826"/>
        <v/>
      </c>
      <c r="BK2346" s="498" t="str">
        <f t="shared" si="820"/>
        <v/>
      </c>
      <c r="BL2346" s="498" t="str">
        <f t="shared" si="821"/>
        <v/>
      </c>
    </row>
    <row r="2347" spans="1:64" x14ac:dyDescent="0.25">
      <c r="A2347" s="762">
        <f t="shared" si="822"/>
        <v>2342</v>
      </c>
      <c r="B2347" s="229"/>
      <c r="C2347" s="223"/>
      <c r="D2347" s="224"/>
      <c r="E2347" s="225"/>
      <c r="F2347" s="1036" t="str">
        <f t="shared" si="828"/>
        <v/>
      </c>
      <c r="G2347" s="1037" t="str">
        <f t="shared" si="823"/>
        <v/>
      </c>
      <c r="H2347" s="225"/>
      <c r="I2347" s="1013"/>
      <c r="J2347" s="1013"/>
      <c r="K2347" s="1028"/>
      <c r="L2347" s="1035" t="str">
        <f t="shared" si="827"/>
        <v/>
      </c>
      <c r="S2347" s="498"/>
      <c r="AJ2347" s="498"/>
      <c r="AM2347" s="498">
        <f t="shared" si="808"/>
        <v>0</v>
      </c>
      <c r="AN2347" s="498">
        <f t="shared" si="809"/>
        <v>0</v>
      </c>
      <c r="AO2347" s="498">
        <f t="shared" si="810"/>
        <v>0</v>
      </c>
      <c r="AP2347" s="498">
        <f t="shared" si="829"/>
        <v>0</v>
      </c>
      <c r="AQ2347" s="498">
        <f t="shared" si="824"/>
        <v>0</v>
      </c>
      <c r="AU2347" s="498">
        <f t="shared" si="811"/>
        <v>0</v>
      </c>
      <c r="AV2347" s="498">
        <f t="shared" si="812"/>
        <v>0</v>
      </c>
      <c r="AW2347" s="498">
        <f t="shared" si="813"/>
        <v>0</v>
      </c>
      <c r="AX2347" s="498">
        <f t="shared" si="814"/>
        <v>0</v>
      </c>
      <c r="AY2347" s="498">
        <f t="shared" si="815"/>
        <v>0</v>
      </c>
      <c r="BB2347" s="498" t="str">
        <f t="shared" si="816"/>
        <v/>
      </c>
      <c r="BC2347" s="743" t="str">
        <f t="shared" si="817"/>
        <v/>
      </c>
      <c r="BD2347" s="743" t="str">
        <f t="shared" si="818"/>
        <v/>
      </c>
      <c r="BE2347" s="743" t="str">
        <f>IF(D2347="","",VLOOKUP(D2347,'General Basis'!$J$39:$K$46,2,0))</f>
        <v/>
      </c>
      <c r="BF2347" s="744" t="str">
        <f>IF(D2347="","",VLOOKUP(D2347,'General Basis'!$J$39:$L$46,3,0))</f>
        <v/>
      </c>
      <c r="BG2347" s="744" t="str">
        <f t="shared" si="825"/>
        <v/>
      </c>
      <c r="BH2347" s="744" t="str">
        <f>IF(G2347="","",IF(BF2347="Abu Dhabi",IF(G2347&lt;18,'General Basis'!$C$39,IF(G2347&lt;41,'General Basis'!$C$40,IF(G2347&lt;60,'General Basis'!$C$41,IF(G2347&lt;65,'General Basis'!$C$42,'General Basis'!$C$43)))),IF(G2347&lt;11,'General Basis'!$B$39,IF(G2347&lt;18,'General Basis'!$B$40,IF(G2347&lt;26,'General Basis'!$B$41,IF(G2347&lt;31,'General Basis'!$B$42,IF(G2347&lt;36,'General Basis'!$B$43,IF(G2347&lt;41,'General Basis'!$B$44,IF(G2347&lt;46,'General Basis'!$B$45,IF(G2347&lt;51,'General Basis'!$B$46,IF(G2347&lt;56,'General Basis'!$B$47,IF(G2347&lt;60,'General Basis'!$B$48,IF(G2347&lt;65,'General Basis'!$B$49,'General Basis'!$B$50)))))))))))))</f>
        <v/>
      </c>
      <c r="BI2347" s="744" t="str">
        <f t="shared" si="819"/>
        <v/>
      </c>
      <c r="BJ2347" s="747" t="str">
        <f t="shared" si="826"/>
        <v/>
      </c>
      <c r="BK2347" s="498" t="str">
        <f t="shared" si="820"/>
        <v/>
      </c>
      <c r="BL2347" s="498" t="str">
        <f t="shared" si="821"/>
        <v/>
      </c>
    </row>
    <row r="2348" spans="1:64" x14ac:dyDescent="0.25">
      <c r="A2348" s="762">
        <f t="shared" si="822"/>
        <v>2343</v>
      </c>
      <c r="B2348" s="229"/>
      <c r="C2348" s="223"/>
      <c r="D2348" s="224"/>
      <c r="E2348" s="225"/>
      <c r="F2348" s="1036" t="str">
        <f t="shared" si="828"/>
        <v/>
      </c>
      <c r="G2348" s="1037" t="str">
        <f t="shared" si="823"/>
        <v/>
      </c>
      <c r="H2348" s="225"/>
      <c r="I2348" s="1013"/>
      <c r="J2348" s="1013"/>
      <c r="K2348" s="1028"/>
      <c r="L2348" s="1035" t="str">
        <f t="shared" si="827"/>
        <v/>
      </c>
      <c r="S2348" s="498"/>
      <c r="AJ2348" s="498"/>
      <c r="AM2348" s="498">
        <f t="shared" si="808"/>
        <v>0</v>
      </c>
      <c r="AN2348" s="498">
        <f t="shared" si="809"/>
        <v>0</v>
      </c>
      <c r="AO2348" s="498">
        <f t="shared" si="810"/>
        <v>0</v>
      </c>
      <c r="AP2348" s="498">
        <f t="shared" si="829"/>
        <v>0</v>
      </c>
      <c r="AQ2348" s="498">
        <f t="shared" si="824"/>
        <v>0</v>
      </c>
      <c r="AU2348" s="498">
        <f t="shared" si="811"/>
        <v>0</v>
      </c>
      <c r="AV2348" s="498">
        <f t="shared" si="812"/>
        <v>0</v>
      </c>
      <c r="AW2348" s="498">
        <f t="shared" si="813"/>
        <v>0</v>
      </c>
      <c r="AX2348" s="498">
        <f t="shared" si="814"/>
        <v>0</v>
      </c>
      <c r="AY2348" s="498">
        <f t="shared" si="815"/>
        <v>0</v>
      </c>
      <c r="BB2348" s="498" t="str">
        <f t="shared" si="816"/>
        <v/>
      </c>
      <c r="BC2348" s="743" t="str">
        <f t="shared" si="817"/>
        <v/>
      </c>
      <c r="BD2348" s="743" t="str">
        <f t="shared" si="818"/>
        <v/>
      </c>
      <c r="BE2348" s="743" t="str">
        <f>IF(D2348="","",VLOOKUP(D2348,'General Basis'!$J$39:$K$46,2,0))</f>
        <v/>
      </c>
      <c r="BF2348" s="744" t="str">
        <f>IF(D2348="","",VLOOKUP(D2348,'General Basis'!$J$39:$L$46,3,0))</f>
        <v/>
      </c>
      <c r="BG2348" s="744" t="str">
        <f t="shared" si="825"/>
        <v/>
      </c>
      <c r="BH2348" s="744" t="str">
        <f>IF(G2348="","",IF(BF2348="Abu Dhabi",IF(G2348&lt;18,'General Basis'!$C$39,IF(G2348&lt;41,'General Basis'!$C$40,IF(G2348&lt;60,'General Basis'!$C$41,IF(G2348&lt;65,'General Basis'!$C$42,'General Basis'!$C$43)))),IF(G2348&lt;11,'General Basis'!$B$39,IF(G2348&lt;18,'General Basis'!$B$40,IF(G2348&lt;26,'General Basis'!$B$41,IF(G2348&lt;31,'General Basis'!$B$42,IF(G2348&lt;36,'General Basis'!$B$43,IF(G2348&lt;41,'General Basis'!$B$44,IF(G2348&lt;46,'General Basis'!$B$45,IF(G2348&lt;51,'General Basis'!$B$46,IF(G2348&lt;56,'General Basis'!$B$47,IF(G2348&lt;60,'General Basis'!$B$48,IF(G2348&lt;65,'General Basis'!$B$49,'General Basis'!$B$50)))))))))))))</f>
        <v/>
      </c>
      <c r="BI2348" s="744" t="str">
        <f t="shared" si="819"/>
        <v/>
      </c>
      <c r="BJ2348" s="747" t="str">
        <f t="shared" si="826"/>
        <v/>
      </c>
      <c r="BK2348" s="498" t="str">
        <f t="shared" si="820"/>
        <v/>
      </c>
      <c r="BL2348" s="498" t="str">
        <f t="shared" si="821"/>
        <v/>
      </c>
    </row>
    <row r="2349" spans="1:64" x14ac:dyDescent="0.25">
      <c r="A2349" s="762">
        <f t="shared" si="822"/>
        <v>2344</v>
      </c>
      <c r="B2349" s="229"/>
      <c r="C2349" s="223"/>
      <c r="D2349" s="224"/>
      <c r="E2349" s="225"/>
      <c r="F2349" s="1036" t="str">
        <f t="shared" si="828"/>
        <v/>
      </c>
      <c r="G2349" s="1037" t="str">
        <f t="shared" si="823"/>
        <v/>
      </c>
      <c r="H2349" s="225"/>
      <c r="I2349" s="1013"/>
      <c r="J2349" s="1013"/>
      <c r="K2349" s="1028"/>
      <c r="L2349" s="1035" t="str">
        <f t="shared" si="827"/>
        <v/>
      </c>
      <c r="S2349" s="498"/>
      <c r="AJ2349" s="498"/>
      <c r="AM2349" s="498">
        <f t="shared" si="808"/>
        <v>0</v>
      </c>
      <c r="AN2349" s="498">
        <f t="shared" si="809"/>
        <v>0</v>
      </c>
      <c r="AO2349" s="498">
        <f t="shared" si="810"/>
        <v>0</v>
      </c>
      <c r="AP2349" s="498">
        <f t="shared" si="829"/>
        <v>0</v>
      </c>
      <c r="AQ2349" s="498">
        <f t="shared" si="824"/>
        <v>0</v>
      </c>
      <c r="AU2349" s="498">
        <f t="shared" si="811"/>
        <v>0</v>
      </c>
      <c r="AV2349" s="498">
        <f t="shared" si="812"/>
        <v>0</v>
      </c>
      <c r="AW2349" s="498">
        <f t="shared" si="813"/>
        <v>0</v>
      </c>
      <c r="AX2349" s="498">
        <f t="shared" si="814"/>
        <v>0</v>
      </c>
      <c r="AY2349" s="498">
        <f t="shared" si="815"/>
        <v>0</v>
      </c>
      <c r="BB2349" s="498" t="str">
        <f t="shared" si="816"/>
        <v/>
      </c>
      <c r="BC2349" s="743" t="str">
        <f t="shared" si="817"/>
        <v/>
      </c>
      <c r="BD2349" s="743" t="str">
        <f t="shared" si="818"/>
        <v/>
      </c>
      <c r="BE2349" s="743" t="str">
        <f>IF(D2349="","",VLOOKUP(D2349,'General Basis'!$J$39:$K$46,2,0))</f>
        <v/>
      </c>
      <c r="BF2349" s="744" t="str">
        <f>IF(D2349="","",VLOOKUP(D2349,'General Basis'!$J$39:$L$46,3,0))</f>
        <v/>
      </c>
      <c r="BG2349" s="744" t="str">
        <f t="shared" si="825"/>
        <v/>
      </c>
      <c r="BH2349" s="744" t="str">
        <f>IF(G2349="","",IF(BF2349="Abu Dhabi",IF(G2349&lt;18,'General Basis'!$C$39,IF(G2349&lt;41,'General Basis'!$C$40,IF(G2349&lt;60,'General Basis'!$C$41,IF(G2349&lt;65,'General Basis'!$C$42,'General Basis'!$C$43)))),IF(G2349&lt;11,'General Basis'!$B$39,IF(G2349&lt;18,'General Basis'!$B$40,IF(G2349&lt;26,'General Basis'!$B$41,IF(G2349&lt;31,'General Basis'!$B$42,IF(G2349&lt;36,'General Basis'!$B$43,IF(G2349&lt;41,'General Basis'!$B$44,IF(G2349&lt;46,'General Basis'!$B$45,IF(G2349&lt;51,'General Basis'!$B$46,IF(G2349&lt;56,'General Basis'!$B$47,IF(G2349&lt;60,'General Basis'!$B$48,IF(G2349&lt;65,'General Basis'!$B$49,'General Basis'!$B$50)))))))))))))</f>
        <v/>
      </c>
      <c r="BI2349" s="744" t="str">
        <f t="shared" si="819"/>
        <v/>
      </c>
      <c r="BJ2349" s="747" t="str">
        <f t="shared" si="826"/>
        <v/>
      </c>
      <c r="BK2349" s="498" t="str">
        <f t="shared" si="820"/>
        <v/>
      </c>
      <c r="BL2349" s="498" t="str">
        <f t="shared" si="821"/>
        <v/>
      </c>
    </row>
    <row r="2350" spans="1:64" x14ac:dyDescent="0.25">
      <c r="A2350" s="762">
        <f t="shared" si="822"/>
        <v>2345</v>
      </c>
      <c r="B2350" s="229"/>
      <c r="C2350" s="223"/>
      <c r="D2350" s="224"/>
      <c r="E2350" s="225"/>
      <c r="F2350" s="1036" t="str">
        <f t="shared" si="828"/>
        <v/>
      </c>
      <c r="G2350" s="1037" t="str">
        <f t="shared" si="823"/>
        <v/>
      </c>
      <c r="H2350" s="225"/>
      <c r="I2350" s="1013"/>
      <c r="J2350" s="1013"/>
      <c r="K2350" s="1028"/>
      <c r="L2350" s="1035" t="str">
        <f t="shared" si="827"/>
        <v/>
      </c>
      <c r="S2350" s="498"/>
      <c r="AJ2350" s="498"/>
      <c r="AM2350" s="498">
        <f t="shared" si="808"/>
        <v>0</v>
      </c>
      <c r="AN2350" s="498">
        <f t="shared" si="809"/>
        <v>0</v>
      </c>
      <c r="AO2350" s="498">
        <f t="shared" si="810"/>
        <v>0</v>
      </c>
      <c r="AP2350" s="498">
        <f t="shared" si="829"/>
        <v>0</v>
      </c>
      <c r="AQ2350" s="498">
        <f t="shared" si="824"/>
        <v>0</v>
      </c>
      <c r="AU2350" s="498">
        <f t="shared" si="811"/>
        <v>0</v>
      </c>
      <c r="AV2350" s="498">
        <f t="shared" si="812"/>
        <v>0</v>
      </c>
      <c r="AW2350" s="498">
        <f t="shared" si="813"/>
        <v>0</v>
      </c>
      <c r="AX2350" s="498">
        <f t="shared" si="814"/>
        <v>0</v>
      </c>
      <c r="AY2350" s="498">
        <f t="shared" si="815"/>
        <v>0</v>
      </c>
      <c r="BB2350" s="498" t="str">
        <f t="shared" si="816"/>
        <v/>
      </c>
      <c r="BC2350" s="743" t="str">
        <f t="shared" si="817"/>
        <v/>
      </c>
      <c r="BD2350" s="743" t="str">
        <f t="shared" si="818"/>
        <v/>
      </c>
      <c r="BE2350" s="743" t="str">
        <f>IF(D2350="","",VLOOKUP(D2350,'General Basis'!$J$39:$K$46,2,0))</f>
        <v/>
      </c>
      <c r="BF2350" s="744" t="str">
        <f>IF(D2350="","",VLOOKUP(D2350,'General Basis'!$J$39:$L$46,3,0))</f>
        <v/>
      </c>
      <c r="BG2350" s="744" t="str">
        <f t="shared" si="825"/>
        <v/>
      </c>
      <c r="BH2350" s="744" t="str">
        <f>IF(G2350="","",IF(BF2350="Abu Dhabi",IF(G2350&lt;18,'General Basis'!$C$39,IF(G2350&lt;41,'General Basis'!$C$40,IF(G2350&lt;60,'General Basis'!$C$41,IF(G2350&lt;65,'General Basis'!$C$42,'General Basis'!$C$43)))),IF(G2350&lt;11,'General Basis'!$B$39,IF(G2350&lt;18,'General Basis'!$B$40,IF(G2350&lt;26,'General Basis'!$B$41,IF(G2350&lt;31,'General Basis'!$B$42,IF(G2350&lt;36,'General Basis'!$B$43,IF(G2350&lt;41,'General Basis'!$B$44,IF(G2350&lt;46,'General Basis'!$B$45,IF(G2350&lt;51,'General Basis'!$B$46,IF(G2350&lt;56,'General Basis'!$B$47,IF(G2350&lt;60,'General Basis'!$B$48,IF(G2350&lt;65,'General Basis'!$B$49,'General Basis'!$B$50)))))))))))))</f>
        <v/>
      </c>
      <c r="BI2350" s="744" t="str">
        <f t="shared" si="819"/>
        <v/>
      </c>
      <c r="BJ2350" s="747" t="str">
        <f t="shared" si="826"/>
        <v/>
      </c>
      <c r="BK2350" s="498" t="str">
        <f t="shared" si="820"/>
        <v/>
      </c>
      <c r="BL2350" s="498" t="str">
        <f t="shared" si="821"/>
        <v/>
      </c>
    </row>
    <row r="2351" spans="1:64" x14ac:dyDescent="0.25">
      <c r="A2351" s="762">
        <f t="shared" si="822"/>
        <v>2346</v>
      </c>
      <c r="B2351" s="229"/>
      <c r="C2351" s="223"/>
      <c r="D2351" s="224"/>
      <c r="E2351" s="225"/>
      <c r="F2351" s="1036" t="str">
        <f t="shared" si="828"/>
        <v/>
      </c>
      <c r="G2351" s="1037" t="str">
        <f t="shared" si="823"/>
        <v/>
      </c>
      <c r="H2351" s="225"/>
      <c r="I2351" s="1013"/>
      <c r="J2351" s="1013"/>
      <c r="K2351" s="1028"/>
      <c r="L2351" s="1035" t="str">
        <f t="shared" si="827"/>
        <v/>
      </c>
      <c r="S2351" s="498"/>
      <c r="AJ2351" s="498"/>
      <c r="AM2351" s="498">
        <f t="shared" si="808"/>
        <v>0</v>
      </c>
      <c r="AN2351" s="498">
        <f t="shared" si="809"/>
        <v>0</v>
      </c>
      <c r="AO2351" s="498">
        <f t="shared" si="810"/>
        <v>0</v>
      </c>
      <c r="AP2351" s="498">
        <f t="shared" si="829"/>
        <v>0</v>
      </c>
      <c r="AQ2351" s="498">
        <f t="shared" si="824"/>
        <v>0</v>
      </c>
      <c r="AU2351" s="498">
        <f t="shared" si="811"/>
        <v>0</v>
      </c>
      <c r="AV2351" s="498">
        <f t="shared" si="812"/>
        <v>0</v>
      </c>
      <c r="AW2351" s="498">
        <f t="shared" si="813"/>
        <v>0</v>
      </c>
      <c r="AX2351" s="498">
        <f t="shared" si="814"/>
        <v>0</v>
      </c>
      <c r="AY2351" s="498">
        <f t="shared" si="815"/>
        <v>0</v>
      </c>
      <c r="BB2351" s="498" t="str">
        <f t="shared" si="816"/>
        <v/>
      </c>
      <c r="BC2351" s="743" t="str">
        <f t="shared" si="817"/>
        <v/>
      </c>
      <c r="BD2351" s="743" t="str">
        <f t="shared" si="818"/>
        <v/>
      </c>
      <c r="BE2351" s="743" t="str">
        <f>IF(D2351="","",VLOOKUP(D2351,'General Basis'!$J$39:$K$46,2,0))</f>
        <v/>
      </c>
      <c r="BF2351" s="744" t="str">
        <f>IF(D2351="","",VLOOKUP(D2351,'General Basis'!$J$39:$L$46,3,0))</f>
        <v/>
      </c>
      <c r="BG2351" s="744" t="str">
        <f t="shared" si="825"/>
        <v/>
      </c>
      <c r="BH2351" s="744" t="str">
        <f>IF(G2351="","",IF(BF2351="Abu Dhabi",IF(G2351&lt;18,'General Basis'!$C$39,IF(G2351&lt;41,'General Basis'!$C$40,IF(G2351&lt;60,'General Basis'!$C$41,IF(G2351&lt;65,'General Basis'!$C$42,'General Basis'!$C$43)))),IF(G2351&lt;11,'General Basis'!$B$39,IF(G2351&lt;18,'General Basis'!$B$40,IF(G2351&lt;26,'General Basis'!$B$41,IF(G2351&lt;31,'General Basis'!$B$42,IF(G2351&lt;36,'General Basis'!$B$43,IF(G2351&lt;41,'General Basis'!$B$44,IF(G2351&lt;46,'General Basis'!$B$45,IF(G2351&lt;51,'General Basis'!$B$46,IF(G2351&lt;56,'General Basis'!$B$47,IF(G2351&lt;60,'General Basis'!$B$48,IF(G2351&lt;65,'General Basis'!$B$49,'General Basis'!$B$50)))))))))))))</f>
        <v/>
      </c>
      <c r="BI2351" s="744" t="str">
        <f t="shared" si="819"/>
        <v/>
      </c>
      <c r="BJ2351" s="747" t="str">
        <f t="shared" si="826"/>
        <v/>
      </c>
      <c r="BK2351" s="498" t="str">
        <f t="shared" si="820"/>
        <v/>
      </c>
      <c r="BL2351" s="498" t="str">
        <f t="shared" si="821"/>
        <v/>
      </c>
    </row>
    <row r="2352" spans="1:64" x14ac:dyDescent="0.25">
      <c r="A2352" s="762">
        <f t="shared" si="822"/>
        <v>2347</v>
      </c>
      <c r="B2352" s="229"/>
      <c r="C2352" s="223"/>
      <c r="D2352" s="224"/>
      <c r="E2352" s="225"/>
      <c r="F2352" s="1036" t="str">
        <f t="shared" si="828"/>
        <v/>
      </c>
      <c r="G2352" s="1037" t="str">
        <f t="shared" si="823"/>
        <v/>
      </c>
      <c r="H2352" s="225"/>
      <c r="I2352" s="1013"/>
      <c r="J2352" s="1013"/>
      <c r="K2352" s="1028"/>
      <c r="L2352" s="1035" t="str">
        <f t="shared" si="827"/>
        <v/>
      </c>
      <c r="S2352" s="498"/>
      <c r="AJ2352" s="498"/>
      <c r="AM2352" s="498">
        <f t="shared" si="808"/>
        <v>0</v>
      </c>
      <c r="AN2352" s="498">
        <f t="shared" si="809"/>
        <v>0</v>
      </c>
      <c r="AO2352" s="498">
        <f t="shared" si="810"/>
        <v>0</v>
      </c>
      <c r="AP2352" s="498">
        <f t="shared" si="829"/>
        <v>0</v>
      </c>
      <c r="AQ2352" s="498">
        <f t="shared" si="824"/>
        <v>0</v>
      </c>
      <c r="AU2352" s="498">
        <f t="shared" si="811"/>
        <v>0</v>
      </c>
      <c r="AV2352" s="498">
        <f t="shared" si="812"/>
        <v>0</v>
      </c>
      <c r="AW2352" s="498">
        <f t="shared" si="813"/>
        <v>0</v>
      </c>
      <c r="AX2352" s="498">
        <f t="shared" si="814"/>
        <v>0</v>
      </c>
      <c r="AY2352" s="498">
        <f t="shared" si="815"/>
        <v>0</v>
      </c>
      <c r="BB2352" s="498" t="str">
        <f t="shared" si="816"/>
        <v/>
      </c>
      <c r="BC2352" s="743" t="str">
        <f t="shared" si="817"/>
        <v/>
      </c>
      <c r="BD2352" s="743" t="str">
        <f t="shared" si="818"/>
        <v/>
      </c>
      <c r="BE2352" s="743" t="str">
        <f>IF(D2352="","",VLOOKUP(D2352,'General Basis'!$J$39:$K$46,2,0))</f>
        <v/>
      </c>
      <c r="BF2352" s="744" t="str">
        <f>IF(D2352="","",VLOOKUP(D2352,'General Basis'!$J$39:$L$46,3,0))</f>
        <v/>
      </c>
      <c r="BG2352" s="744" t="str">
        <f t="shared" si="825"/>
        <v/>
      </c>
      <c r="BH2352" s="744" t="str">
        <f>IF(G2352="","",IF(BF2352="Abu Dhabi",IF(G2352&lt;18,'General Basis'!$C$39,IF(G2352&lt;41,'General Basis'!$C$40,IF(G2352&lt;60,'General Basis'!$C$41,IF(G2352&lt;65,'General Basis'!$C$42,'General Basis'!$C$43)))),IF(G2352&lt;11,'General Basis'!$B$39,IF(G2352&lt;18,'General Basis'!$B$40,IF(G2352&lt;26,'General Basis'!$B$41,IF(G2352&lt;31,'General Basis'!$B$42,IF(G2352&lt;36,'General Basis'!$B$43,IF(G2352&lt;41,'General Basis'!$B$44,IF(G2352&lt;46,'General Basis'!$B$45,IF(G2352&lt;51,'General Basis'!$B$46,IF(G2352&lt;56,'General Basis'!$B$47,IF(G2352&lt;60,'General Basis'!$B$48,IF(G2352&lt;65,'General Basis'!$B$49,'General Basis'!$B$50)))))))))))))</f>
        <v/>
      </c>
      <c r="BI2352" s="744" t="str">
        <f t="shared" si="819"/>
        <v/>
      </c>
      <c r="BJ2352" s="747" t="str">
        <f t="shared" si="826"/>
        <v/>
      </c>
      <c r="BK2352" s="498" t="str">
        <f t="shared" si="820"/>
        <v/>
      </c>
      <c r="BL2352" s="498" t="str">
        <f t="shared" si="821"/>
        <v/>
      </c>
    </row>
    <row r="2353" spans="1:64" x14ac:dyDescent="0.25">
      <c r="A2353" s="762">
        <f t="shared" si="822"/>
        <v>2348</v>
      </c>
      <c r="B2353" s="229"/>
      <c r="C2353" s="223"/>
      <c r="D2353" s="224"/>
      <c r="E2353" s="225"/>
      <c r="F2353" s="1036" t="str">
        <f t="shared" si="828"/>
        <v/>
      </c>
      <c r="G2353" s="1037" t="str">
        <f t="shared" si="823"/>
        <v/>
      </c>
      <c r="H2353" s="225"/>
      <c r="I2353" s="1013"/>
      <c r="J2353" s="1013"/>
      <c r="K2353" s="1028"/>
      <c r="L2353" s="1035" t="str">
        <f t="shared" si="827"/>
        <v/>
      </c>
      <c r="S2353" s="498"/>
      <c r="AJ2353" s="498"/>
      <c r="AM2353" s="498">
        <f t="shared" si="808"/>
        <v>0</v>
      </c>
      <c r="AN2353" s="498">
        <f t="shared" si="809"/>
        <v>0</v>
      </c>
      <c r="AO2353" s="498">
        <f t="shared" si="810"/>
        <v>0</v>
      </c>
      <c r="AP2353" s="498">
        <f t="shared" si="829"/>
        <v>0</v>
      </c>
      <c r="AQ2353" s="498">
        <f t="shared" si="824"/>
        <v>0</v>
      </c>
      <c r="AU2353" s="498">
        <f t="shared" si="811"/>
        <v>0</v>
      </c>
      <c r="AV2353" s="498">
        <f t="shared" si="812"/>
        <v>0</v>
      </c>
      <c r="AW2353" s="498">
        <f t="shared" si="813"/>
        <v>0</v>
      </c>
      <c r="AX2353" s="498">
        <f t="shared" si="814"/>
        <v>0</v>
      </c>
      <c r="AY2353" s="498">
        <f t="shared" si="815"/>
        <v>0</v>
      </c>
      <c r="BB2353" s="498" t="str">
        <f t="shared" si="816"/>
        <v/>
      </c>
      <c r="BC2353" s="743" t="str">
        <f t="shared" si="817"/>
        <v/>
      </c>
      <c r="BD2353" s="743" t="str">
        <f t="shared" si="818"/>
        <v/>
      </c>
      <c r="BE2353" s="743" t="str">
        <f>IF(D2353="","",VLOOKUP(D2353,'General Basis'!$J$39:$K$46,2,0))</f>
        <v/>
      </c>
      <c r="BF2353" s="744" t="str">
        <f>IF(D2353="","",VLOOKUP(D2353,'General Basis'!$J$39:$L$46,3,0))</f>
        <v/>
      </c>
      <c r="BG2353" s="744" t="str">
        <f t="shared" si="825"/>
        <v/>
      </c>
      <c r="BH2353" s="744" t="str">
        <f>IF(G2353="","",IF(BF2353="Abu Dhabi",IF(G2353&lt;18,'General Basis'!$C$39,IF(G2353&lt;41,'General Basis'!$C$40,IF(G2353&lt;60,'General Basis'!$C$41,IF(G2353&lt;65,'General Basis'!$C$42,'General Basis'!$C$43)))),IF(G2353&lt;11,'General Basis'!$B$39,IF(G2353&lt;18,'General Basis'!$B$40,IF(G2353&lt;26,'General Basis'!$B$41,IF(G2353&lt;31,'General Basis'!$B$42,IF(G2353&lt;36,'General Basis'!$B$43,IF(G2353&lt;41,'General Basis'!$B$44,IF(G2353&lt;46,'General Basis'!$B$45,IF(G2353&lt;51,'General Basis'!$B$46,IF(G2353&lt;56,'General Basis'!$B$47,IF(G2353&lt;60,'General Basis'!$B$48,IF(G2353&lt;65,'General Basis'!$B$49,'General Basis'!$B$50)))))))))))))</f>
        <v/>
      </c>
      <c r="BI2353" s="744" t="str">
        <f t="shared" si="819"/>
        <v/>
      </c>
      <c r="BJ2353" s="747" t="str">
        <f t="shared" si="826"/>
        <v/>
      </c>
      <c r="BK2353" s="498" t="str">
        <f t="shared" si="820"/>
        <v/>
      </c>
      <c r="BL2353" s="498" t="str">
        <f t="shared" si="821"/>
        <v/>
      </c>
    </row>
    <row r="2354" spans="1:64" x14ac:dyDescent="0.25">
      <c r="A2354" s="762">
        <f t="shared" si="822"/>
        <v>2349</v>
      </c>
      <c r="B2354" s="229"/>
      <c r="C2354" s="223"/>
      <c r="D2354" s="224"/>
      <c r="E2354" s="225"/>
      <c r="F2354" s="1036" t="str">
        <f t="shared" si="828"/>
        <v/>
      </c>
      <c r="G2354" s="1037" t="str">
        <f t="shared" si="823"/>
        <v/>
      </c>
      <c r="H2354" s="225"/>
      <c r="I2354" s="1013"/>
      <c r="J2354" s="1013"/>
      <c r="K2354" s="1028"/>
      <c r="L2354" s="1035" t="str">
        <f t="shared" si="827"/>
        <v/>
      </c>
      <c r="S2354" s="498"/>
      <c r="AJ2354" s="498"/>
      <c r="AM2354" s="498">
        <f t="shared" si="808"/>
        <v>0</v>
      </c>
      <c r="AN2354" s="498">
        <f t="shared" si="809"/>
        <v>0</v>
      </c>
      <c r="AO2354" s="498">
        <f t="shared" si="810"/>
        <v>0</v>
      </c>
      <c r="AP2354" s="498">
        <f t="shared" si="829"/>
        <v>0</v>
      </c>
      <c r="AQ2354" s="498">
        <f t="shared" si="824"/>
        <v>0</v>
      </c>
      <c r="AU2354" s="498">
        <f t="shared" si="811"/>
        <v>0</v>
      </c>
      <c r="AV2354" s="498">
        <f t="shared" si="812"/>
        <v>0</v>
      </c>
      <c r="AW2354" s="498">
        <f t="shared" si="813"/>
        <v>0</v>
      </c>
      <c r="AX2354" s="498">
        <f t="shared" si="814"/>
        <v>0</v>
      </c>
      <c r="AY2354" s="498">
        <f t="shared" si="815"/>
        <v>0</v>
      </c>
      <c r="BB2354" s="498" t="str">
        <f t="shared" si="816"/>
        <v/>
      </c>
      <c r="BC2354" s="743" t="str">
        <f t="shared" si="817"/>
        <v/>
      </c>
      <c r="BD2354" s="743" t="str">
        <f t="shared" si="818"/>
        <v/>
      </c>
      <c r="BE2354" s="743" t="str">
        <f>IF(D2354="","",VLOOKUP(D2354,'General Basis'!$J$39:$K$46,2,0))</f>
        <v/>
      </c>
      <c r="BF2354" s="744" t="str">
        <f>IF(D2354="","",VLOOKUP(D2354,'General Basis'!$J$39:$L$46,3,0))</f>
        <v/>
      </c>
      <c r="BG2354" s="744" t="str">
        <f t="shared" si="825"/>
        <v/>
      </c>
      <c r="BH2354" s="744" t="str">
        <f>IF(G2354="","",IF(BF2354="Abu Dhabi",IF(G2354&lt;18,'General Basis'!$C$39,IF(G2354&lt;41,'General Basis'!$C$40,IF(G2354&lt;60,'General Basis'!$C$41,IF(G2354&lt;65,'General Basis'!$C$42,'General Basis'!$C$43)))),IF(G2354&lt;11,'General Basis'!$B$39,IF(G2354&lt;18,'General Basis'!$B$40,IF(G2354&lt;26,'General Basis'!$B$41,IF(G2354&lt;31,'General Basis'!$B$42,IF(G2354&lt;36,'General Basis'!$B$43,IF(G2354&lt;41,'General Basis'!$B$44,IF(G2354&lt;46,'General Basis'!$B$45,IF(G2354&lt;51,'General Basis'!$B$46,IF(G2354&lt;56,'General Basis'!$B$47,IF(G2354&lt;60,'General Basis'!$B$48,IF(G2354&lt;65,'General Basis'!$B$49,'General Basis'!$B$50)))))))))))))</f>
        <v/>
      </c>
      <c r="BI2354" s="744" t="str">
        <f t="shared" si="819"/>
        <v/>
      </c>
      <c r="BJ2354" s="747" t="str">
        <f t="shared" si="826"/>
        <v/>
      </c>
      <c r="BK2354" s="498" t="str">
        <f t="shared" si="820"/>
        <v/>
      </c>
      <c r="BL2354" s="498" t="str">
        <f t="shared" si="821"/>
        <v/>
      </c>
    </row>
    <row r="2355" spans="1:64" x14ac:dyDescent="0.25">
      <c r="A2355" s="762">
        <f t="shared" si="822"/>
        <v>2350</v>
      </c>
      <c r="B2355" s="229"/>
      <c r="C2355" s="223"/>
      <c r="D2355" s="224"/>
      <c r="E2355" s="225"/>
      <c r="F2355" s="1036" t="str">
        <f t="shared" si="828"/>
        <v/>
      </c>
      <c r="G2355" s="1037" t="str">
        <f t="shared" si="823"/>
        <v/>
      </c>
      <c r="H2355" s="225"/>
      <c r="I2355" s="1013"/>
      <c r="J2355" s="1013"/>
      <c r="K2355" s="1028"/>
      <c r="L2355" s="1035" t="str">
        <f t="shared" si="827"/>
        <v/>
      </c>
      <c r="S2355" s="498"/>
      <c r="AJ2355" s="498"/>
      <c r="AM2355" s="498">
        <f t="shared" si="808"/>
        <v>0</v>
      </c>
      <c r="AN2355" s="498">
        <f t="shared" si="809"/>
        <v>0</v>
      </c>
      <c r="AO2355" s="498">
        <f t="shared" si="810"/>
        <v>0</v>
      </c>
      <c r="AP2355" s="498">
        <f t="shared" si="829"/>
        <v>0</v>
      </c>
      <c r="AQ2355" s="498">
        <f t="shared" si="824"/>
        <v>0</v>
      </c>
      <c r="AU2355" s="498">
        <f t="shared" si="811"/>
        <v>0</v>
      </c>
      <c r="AV2355" s="498">
        <f t="shared" si="812"/>
        <v>0</v>
      </c>
      <c r="AW2355" s="498">
        <f t="shared" si="813"/>
        <v>0</v>
      </c>
      <c r="AX2355" s="498">
        <f t="shared" si="814"/>
        <v>0</v>
      </c>
      <c r="AY2355" s="498">
        <f t="shared" si="815"/>
        <v>0</v>
      </c>
      <c r="BB2355" s="498" t="str">
        <f t="shared" si="816"/>
        <v/>
      </c>
      <c r="BC2355" s="743" t="str">
        <f t="shared" si="817"/>
        <v/>
      </c>
      <c r="BD2355" s="743" t="str">
        <f t="shared" si="818"/>
        <v/>
      </c>
      <c r="BE2355" s="743" t="str">
        <f>IF(D2355="","",VLOOKUP(D2355,'General Basis'!$J$39:$K$46,2,0))</f>
        <v/>
      </c>
      <c r="BF2355" s="744" t="str">
        <f>IF(D2355="","",VLOOKUP(D2355,'General Basis'!$J$39:$L$46,3,0))</f>
        <v/>
      </c>
      <c r="BG2355" s="744" t="str">
        <f t="shared" si="825"/>
        <v/>
      </c>
      <c r="BH2355" s="744" t="str">
        <f>IF(G2355="","",IF(BF2355="Abu Dhabi",IF(G2355&lt;18,'General Basis'!$C$39,IF(G2355&lt;41,'General Basis'!$C$40,IF(G2355&lt;60,'General Basis'!$C$41,IF(G2355&lt;65,'General Basis'!$C$42,'General Basis'!$C$43)))),IF(G2355&lt;11,'General Basis'!$B$39,IF(G2355&lt;18,'General Basis'!$B$40,IF(G2355&lt;26,'General Basis'!$B$41,IF(G2355&lt;31,'General Basis'!$B$42,IF(G2355&lt;36,'General Basis'!$B$43,IF(G2355&lt;41,'General Basis'!$B$44,IF(G2355&lt;46,'General Basis'!$B$45,IF(G2355&lt;51,'General Basis'!$B$46,IF(G2355&lt;56,'General Basis'!$B$47,IF(G2355&lt;60,'General Basis'!$B$48,IF(G2355&lt;65,'General Basis'!$B$49,'General Basis'!$B$50)))))))))))))</f>
        <v/>
      </c>
      <c r="BI2355" s="744" t="str">
        <f t="shared" si="819"/>
        <v/>
      </c>
      <c r="BJ2355" s="747" t="str">
        <f t="shared" si="826"/>
        <v/>
      </c>
      <c r="BK2355" s="498" t="str">
        <f t="shared" si="820"/>
        <v/>
      </c>
      <c r="BL2355" s="498" t="str">
        <f t="shared" si="821"/>
        <v/>
      </c>
    </row>
    <row r="2356" spans="1:64" x14ac:dyDescent="0.25">
      <c r="A2356" s="762">
        <f t="shared" si="822"/>
        <v>2351</v>
      </c>
      <c r="B2356" s="229"/>
      <c r="C2356" s="223"/>
      <c r="D2356" s="224"/>
      <c r="E2356" s="225"/>
      <c r="F2356" s="1036" t="str">
        <f t="shared" si="828"/>
        <v/>
      </c>
      <c r="G2356" s="1037" t="str">
        <f t="shared" si="823"/>
        <v/>
      </c>
      <c r="H2356" s="225"/>
      <c r="I2356" s="1013"/>
      <c r="J2356" s="1013"/>
      <c r="K2356" s="1028"/>
      <c r="L2356" s="1035" t="str">
        <f t="shared" si="827"/>
        <v/>
      </c>
      <c r="S2356" s="498"/>
      <c r="AJ2356" s="498"/>
      <c r="AM2356" s="498">
        <f t="shared" si="808"/>
        <v>0</v>
      </c>
      <c r="AN2356" s="498">
        <f t="shared" si="809"/>
        <v>0</v>
      </c>
      <c r="AO2356" s="498">
        <f t="shared" si="810"/>
        <v>0</v>
      </c>
      <c r="AP2356" s="498">
        <f t="shared" si="829"/>
        <v>0</v>
      </c>
      <c r="AQ2356" s="498">
        <f t="shared" si="824"/>
        <v>0</v>
      </c>
      <c r="AU2356" s="498">
        <f t="shared" si="811"/>
        <v>0</v>
      </c>
      <c r="AV2356" s="498">
        <f t="shared" si="812"/>
        <v>0</v>
      </c>
      <c r="AW2356" s="498">
        <f t="shared" si="813"/>
        <v>0</v>
      </c>
      <c r="AX2356" s="498">
        <f t="shared" si="814"/>
        <v>0</v>
      </c>
      <c r="AY2356" s="498">
        <f t="shared" si="815"/>
        <v>0</v>
      </c>
      <c r="BB2356" s="498" t="str">
        <f t="shared" si="816"/>
        <v/>
      </c>
      <c r="BC2356" s="743" t="str">
        <f t="shared" si="817"/>
        <v/>
      </c>
      <c r="BD2356" s="743" t="str">
        <f t="shared" si="818"/>
        <v/>
      </c>
      <c r="BE2356" s="743" t="str">
        <f>IF(D2356="","",VLOOKUP(D2356,'General Basis'!$J$39:$K$46,2,0))</f>
        <v/>
      </c>
      <c r="BF2356" s="744" t="str">
        <f>IF(D2356="","",VLOOKUP(D2356,'General Basis'!$J$39:$L$46,3,0))</f>
        <v/>
      </c>
      <c r="BG2356" s="744" t="str">
        <f t="shared" si="825"/>
        <v/>
      </c>
      <c r="BH2356" s="744" t="str">
        <f>IF(G2356="","",IF(BF2356="Abu Dhabi",IF(G2356&lt;18,'General Basis'!$C$39,IF(G2356&lt;41,'General Basis'!$C$40,IF(G2356&lt;60,'General Basis'!$C$41,IF(G2356&lt;65,'General Basis'!$C$42,'General Basis'!$C$43)))),IF(G2356&lt;11,'General Basis'!$B$39,IF(G2356&lt;18,'General Basis'!$B$40,IF(G2356&lt;26,'General Basis'!$B$41,IF(G2356&lt;31,'General Basis'!$B$42,IF(G2356&lt;36,'General Basis'!$B$43,IF(G2356&lt;41,'General Basis'!$B$44,IF(G2356&lt;46,'General Basis'!$B$45,IF(G2356&lt;51,'General Basis'!$B$46,IF(G2356&lt;56,'General Basis'!$B$47,IF(G2356&lt;60,'General Basis'!$B$48,IF(G2356&lt;65,'General Basis'!$B$49,'General Basis'!$B$50)))))))))))))</f>
        <v/>
      </c>
      <c r="BI2356" s="744" t="str">
        <f t="shared" si="819"/>
        <v/>
      </c>
      <c r="BJ2356" s="747" t="str">
        <f t="shared" si="826"/>
        <v/>
      </c>
      <c r="BK2356" s="498" t="str">
        <f t="shared" si="820"/>
        <v/>
      </c>
      <c r="BL2356" s="498" t="str">
        <f t="shared" si="821"/>
        <v/>
      </c>
    </row>
    <row r="2357" spans="1:64" x14ac:dyDescent="0.25">
      <c r="A2357" s="762">
        <f t="shared" si="822"/>
        <v>2352</v>
      </c>
      <c r="B2357" s="229"/>
      <c r="C2357" s="223"/>
      <c r="D2357" s="224"/>
      <c r="E2357" s="225"/>
      <c r="F2357" s="1036" t="str">
        <f t="shared" si="828"/>
        <v/>
      </c>
      <c r="G2357" s="1037" t="str">
        <f t="shared" si="823"/>
        <v/>
      </c>
      <c r="H2357" s="225"/>
      <c r="I2357" s="1013"/>
      <c r="J2357" s="1013"/>
      <c r="K2357" s="1028"/>
      <c r="L2357" s="1035" t="str">
        <f t="shared" si="827"/>
        <v/>
      </c>
      <c r="S2357" s="498"/>
      <c r="AJ2357" s="498"/>
      <c r="AM2357" s="498">
        <f t="shared" si="808"/>
        <v>0</v>
      </c>
      <c r="AN2357" s="498">
        <f t="shared" si="809"/>
        <v>0</v>
      </c>
      <c r="AO2357" s="498">
        <f t="shared" si="810"/>
        <v>0</v>
      </c>
      <c r="AP2357" s="498">
        <f t="shared" si="829"/>
        <v>0</v>
      </c>
      <c r="AQ2357" s="498">
        <f t="shared" si="824"/>
        <v>0</v>
      </c>
      <c r="AU2357" s="498">
        <f t="shared" si="811"/>
        <v>0</v>
      </c>
      <c r="AV2357" s="498">
        <f t="shared" si="812"/>
        <v>0</v>
      </c>
      <c r="AW2357" s="498">
        <f t="shared" si="813"/>
        <v>0</v>
      </c>
      <c r="AX2357" s="498">
        <f t="shared" si="814"/>
        <v>0</v>
      </c>
      <c r="AY2357" s="498">
        <f t="shared" si="815"/>
        <v>0</v>
      </c>
      <c r="BB2357" s="498" t="str">
        <f t="shared" si="816"/>
        <v/>
      </c>
      <c r="BC2357" s="743" t="str">
        <f t="shared" si="817"/>
        <v/>
      </c>
      <c r="BD2357" s="743" t="str">
        <f t="shared" si="818"/>
        <v/>
      </c>
      <c r="BE2357" s="743" t="str">
        <f>IF(D2357="","",VLOOKUP(D2357,'General Basis'!$J$39:$K$46,2,0))</f>
        <v/>
      </c>
      <c r="BF2357" s="744" t="str">
        <f>IF(D2357="","",VLOOKUP(D2357,'General Basis'!$J$39:$L$46,3,0))</f>
        <v/>
      </c>
      <c r="BG2357" s="744" t="str">
        <f t="shared" si="825"/>
        <v/>
      </c>
      <c r="BH2357" s="744" t="str">
        <f>IF(G2357="","",IF(BF2357="Abu Dhabi",IF(G2357&lt;18,'General Basis'!$C$39,IF(G2357&lt;41,'General Basis'!$C$40,IF(G2357&lt;60,'General Basis'!$C$41,IF(G2357&lt;65,'General Basis'!$C$42,'General Basis'!$C$43)))),IF(G2357&lt;11,'General Basis'!$B$39,IF(G2357&lt;18,'General Basis'!$B$40,IF(G2357&lt;26,'General Basis'!$B$41,IF(G2357&lt;31,'General Basis'!$B$42,IF(G2357&lt;36,'General Basis'!$B$43,IF(G2357&lt;41,'General Basis'!$B$44,IF(G2357&lt;46,'General Basis'!$B$45,IF(G2357&lt;51,'General Basis'!$B$46,IF(G2357&lt;56,'General Basis'!$B$47,IF(G2357&lt;60,'General Basis'!$B$48,IF(G2357&lt;65,'General Basis'!$B$49,'General Basis'!$B$50)))))))))))))</f>
        <v/>
      </c>
      <c r="BI2357" s="744" t="str">
        <f t="shared" si="819"/>
        <v/>
      </c>
      <c r="BJ2357" s="747" t="str">
        <f t="shared" si="826"/>
        <v/>
      </c>
      <c r="BK2357" s="498" t="str">
        <f t="shared" si="820"/>
        <v/>
      </c>
      <c r="BL2357" s="498" t="str">
        <f t="shared" si="821"/>
        <v/>
      </c>
    </row>
    <row r="2358" spans="1:64" x14ac:dyDescent="0.25">
      <c r="A2358" s="762">
        <f t="shared" si="822"/>
        <v>2353</v>
      </c>
      <c r="B2358" s="229"/>
      <c r="C2358" s="223"/>
      <c r="D2358" s="224"/>
      <c r="E2358" s="225"/>
      <c r="F2358" s="1036" t="str">
        <f t="shared" si="828"/>
        <v/>
      </c>
      <c r="G2358" s="1037" t="str">
        <f t="shared" si="823"/>
        <v/>
      </c>
      <c r="H2358" s="225"/>
      <c r="I2358" s="1013"/>
      <c r="J2358" s="1013"/>
      <c r="K2358" s="1028"/>
      <c r="L2358" s="1035" t="str">
        <f t="shared" si="827"/>
        <v/>
      </c>
      <c r="S2358" s="498"/>
      <c r="AJ2358" s="498"/>
      <c r="AM2358" s="498">
        <f t="shared" si="808"/>
        <v>0</v>
      </c>
      <c r="AN2358" s="498">
        <f t="shared" si="809"/>
        <v>0</v>
      </c>
      <c r="AO2358" s="498">
        <f t="shared" si="810"/>
        <v>0</v>
      </c>
      <c r="AP2358" s="498">
        <f t="shared" si="829"/>
        <v>0</v>
      </c>
      <c r="AQ2358" s="498">
        <f t="shared" si="824"/>
        <v>0</v>
      </c>
      <c r="AU2358" s="498">
        <f t="shared" si="811"/>
        <v>0</v>
      </c>
      <c r="AV2358" s="498">
        <f t="shared" si="812"/>
        <v>0</v>
      </c>
      <c r="AW2358" s="498">
        <f t="shared" si="813"/>
        <v>0</v>
      </c>
      <c r="AX2358" s="498">
        <f t="shared" si="814"/>
        <v>0</v>
      </c>
      <c r="AY2358" s="498">
        <f t="shared" si="815"/>
        <v>0</v>
      </c>
      <c r="BB2358" s="498" t="str">
        <f t="shared" si="816"/>
        <v/>
      </c>
      <c r="BC2358" s="743" t="str">
        <f t="shared" si="817"/>
        <v/>
      </c>
      <c r="BD2358" s="743" t="str">
        <f t="shared" si="818"/>
        <v/>
      </c>
      <c r="BE2358" s="743" t="str">
        <f>IF(D2358="","",VLOOKUP(D2358,'General Basis'!$J$39:$K$46,2,0))</f>
        <v/>
      </c>
      <c r="BF2358" s="744" t="str">
        <f>IF(D2358="","",VLOOKUP(D2358,'General Basis'!$J$39:$L$46,3,0))</f>
        <v/>
      </c>
      <c r="BG2358" s="744" t="str">
        <f t="shared" si="825"/>
        <v/>
      </c>
      <c r="BH2358" s="744" t="str">
        <f>IF(G2358="","",IF(BF2358="Abu Dhabi",IF(G2358&lt;18,'General Basis'!$C$39,IF(G2358&lt;41,'General Basis'!$C$40,IF(G2358&lt;60,'General Basis'!$C$41,IF(G2358&lt;65,'General Basis'!$C$42,'General Basis'!$C$43)))),IF(G2358&lt;11,'General Basis'!$B$39,IF(G2358&lt;18,'General Basis'!$B$40,IF(G2358&lt;26,'General Basis'!$B$41,IF(G2358&lt;31,'General Basis'!$B$42,IF(G2358&lt;36,'General Basis'!$B$43,IF(G2358&lt;41,'General Basis'!$B$44,IF(G2358&lt;46,'General Basis'!$B$45,IF(G2358&lt;51,'General Basis'!$B$46,IF(G2358&lt;56,'General Basis'!$B$47,IF(G2358&lt;60,'General Basis'!$B$48,IF(G2358&lt;65,'General Basis'!$B$49,'General Basis'!$B$50)))))))))))))</f>
        <v/>
      </c>
      <c r="BI2358" s="744" t="str">
        <f t="shared" si="819"/>
        <v/>
      </c>
      <c r="BJ2358" s="747" t="str">
        <f t="shared" si="826"/>
        <v/>
      </c>
      <c r="BK2358" s="498" t="str">
        <f t="shared" si="820"/>
        <v/>
      </c>
      <c r="BL2358" s="498" t="str">
        <f t="shared" si="821"/>
        <v/>
      </c>
    </row>
    <row r="2359" spans="1:64" x14ac:dyDescent="0.25">
      <c r="A2359" s="762">
        <f t="shared" si="822"/>
        <v>2354</v>
      </c>
      <c r="B2359" s="229"/>
      <c r="C2359" s="223"/>
      <c r="D2359" s="224"/>
      <c r="E2359" s="225"/>
      <c r="F2359" s="1036" t="str">
        <f t="shared" si="828"/>
        <v/>
      </c>
      <c r="G2359" s="1037" t="str">
        <f t="shared" si="823"/>
        <v/>
      </c>
      <c r="H2359" s="225"/>
      <c r="I2359" s="1013"/>
      <c r="J2359" s="1013"/>
      <c r="K2359" s="1028"/>
      <c r="L2359" s="1035" t="str">
        <f t="shared" si="827"/>
        <v/>
      </c>
      <c r="S2359" s="498"/>
      <c r="AJ2359" s="498"/>
      <c r="AM2359" s="498">
        <f t="shared" si="808"/>
        <v>0</v>
      </c>
      <c r="AN2359" s="498">
        <f t="shared" si="809"/>
        <v>0</v>
      </c>
      <c r="AO2359" s="498">
        <f t="shared" si="810"/>
        <v>0</v>
      </c>
      <c r="AP2359" s="498">
        <f t="shared" si="829"/>
        <v>0</v>
      </c>
      <c r="AQ2359" s="498">
        <f t="shared" si="824"/>
        <v>0</v>
      </c>
      <c r="AU2359" s="498">
        <f t="shared" si="811"/>
        <v>0</v>
      </c>
      <c r="AV2359" s="498">
        <f t="shared" si="812"/>
        <v>0</v>
      </c>
      <c r="AW2359" s="498">
        <f t="shared" si="813"/>
        <v>0</v>
      </c>
      <c r="AX2359" s="498">
        <f t="shared" si="814"/>
        <v>0</v>
      </c>
      <c r="AY2359" s="498">
        <f t="shared" si="815"/>
        <v>0</v>
      </c>
      <c r="BB2359" s="498" t="str">
        <f t="shared" si="816"/>
        <v/>
      </c>
      <c r="BC2359" s="743" t="str">
        <f t="shared" si="817"/>
        <v/>
      </c>
      <c r="BD2359" s="743" t="str">
        <f t="shared" si="818"/>
        <v/>
      </c>
      <c r="BE2359" s="743" t="str">
        <f>IF(D2359="","",VLOOKUP(D2359,'General Basis'!$J$39:$K$46,2,0))</f>
        <v/>
      </c>
      <c r="BF2359" s="744" t="str">
        <f>IF(D2359="","",VLOOKUP(D2359,'General Basis'!$J$39:$L$46,3,0))</f>
        <v/>
      </c>
      <c r="BG2359" s="744" t="str">
        <f t="shared" si="825"/>
        <v/>
      </c>
      <c r="BH2359" s="744" t="str">
        <f>IF(G2359="","",IF(BF2359="Abu Dhabi",IF(G2359&lt;18,'General Basis'!$C$39,IF(G2359&lt;41,'General Basis'!$C$40,IF(G2359&lt;60,'General Basis'!$C$41,IF(G2359&lt;65,'General Basis'!$C$42,'General Basis'!$C$43)))),IF(G2359&lt;11,'General Basis'!$B$39,IF(G2359&lt;18,'General Basis'!$B$40,IF(G2359&lt;26,'General Basis'!$B$41,IF(G2359&lt;31,'General Basis'!$B$42,IF(G2359&lt;36,'General Basis'!$B$43,IF(G2359&lt;41,'General Basis'!$B$44,IF(G2359&lt;46,'General Basis'!$B$45,IF(G2359&lt;51,'General Basis'!$B$46,IF(G2359&lt;56,'General Basis'!$B$47,IF(G2359&lt;60,'General Basis'!$B$48,IF(G2359&lt;65,'General Basis'!$B$49,'General Basis'!$B$50)))))))))))))</f>
        <v/>
      </c>
      <c r="BI2359" s="744" t="str">
        <f t="shared" si="819"/>
        <v/>
      </c>
      <c r="BJ2359" s="747" t="str">
        <f t="shared" si="826"/>
        <v/>
      </c>
      <c r="BK2359" s="498" t="str">
        <f t="shared" si="820"/>
        <v/>
      </c>
      <c r="BL2359" s="498" t="str">
        <f t="shared" si="821"/>
        <v/>
      </c>
    </row>
    <row r="2360" spans="1:64" x14ac:dyDescent="0.25">
      <c r="A2360" s="762">
        <f t="shared" si="822"/>
        <v>2355</v>
      </c>
      <c r="B2360" s="229"/>
      <c r="C2360" s="223"/>
      <c r="D2360" s="224"/>
      <c r="E2360" s="225"/>
      <c r="F2360" s="1036" t="str">
        <f t="shared" si="828"/>
        <v/>
      </c>
      <c r="G2360" s="1037" t="str">
        <f t="shared" si="823"/>
        <v/>
      </c>
      <c r="H2360" s="225"/>
      <c r="I2360" s="1013"/>
      <c r="J2360" s="1013"/>
      <c r="K2360" s="1028"/>
      <c r="L2360" s="1035" t="str">
        <f t="shared" si="827"/>
        <v/>
      </c>
      <c r="S2360" s="498"/>
      <c r="AJ2360" s="498"/>
      <c r="AM2360" s="498">
        <f t="shared" si="808"/>
        <v>0</v>
      </c>
      <c r="AN2360" s="498">
        <f t="shared" si="809"/>
        <v>0</v>
      </c>
      <c r="AO2360" s="498">
        <f t="shared" si="810"/>
        <v>0</v>
      </c>
      <c r="AP2360" s="498">
        <f t="shared" si="829"/>
        <v>0</v>
      </c>
      <c r="AQ2360" s="498">
        <f t="shared" si="824"/>
        <v>0</v>
      </c>
      <c r="AU2360" s="498">
        <f t="shared" si="811"/>
        <v>0</v>
      </c>
      <c r="AV2360" s="498">
        <f t="shared" si="812"/>
        <v>0</v>
      </c>
      <c r="AW2360" s="498">
        <f t="shared" si="813"/>
        <v>0</v>
      </c>
      <c r="AX2360" s="498">
        <f t="shared" si="814"/>
        <v>0</v>
      </c>
      <c r="AY2360" s="498">
        <f t="shared" si="815"/>
        <v>0</v>
      </c>
      <c r="BB2360" s="498" t="str">
        <f t="shared" si="816"/>
        <v/>
      </c>
      <c r="BC2360" s="743" t="str">
        <f t="shared" si="817"/>
        <v/>
      </c>
      <c r="BD2360" s="743" t="str">
        <f t="shared" si="818"/>
        <v/>
      </c>
      <c r="BE2360" s="743" t="str">
        <f>IF(D2360="","",VLOOKUP(D2360,'General Basis'!$J$39:$K$46,2,0))</f>
        <v/>
      </c>
      <c r="BF2360" s="744" t="str">
        <f>IF(D2360="","",VLOOKUP(D2360,'General Basis'!$J$39:$L$46,3,0))</f>
        <v/>
      </c>
      <c r="BG2360" s="744" t="str">
        <f t="shared" si="825"/>
        <v/>
      </c>
      <c r="BH2360" s="744" t="str">
        <f>IF(G2360="","",IF(BF2360="Abu Dhabi",IF(G2360&lt;18,'General Basis'!$C$39,IF(G2360&lt;41,'General Basis'!$C$40,IF(G2360&lt;60,'General Basis'!$C$41,IF(G2360&lt;65,'General Basis'!$C$42,'General Basis'!$C$43)))),IF(G2360&lt;11,'General Basis'!$B$39,IF(G2360&lt;18,'General Basis'!$B$40,IF(G2360&lt;26,'General Basis'!$B$41,IF(G2360&lt;31,'General Basis'!$B$42,IF(G2360&lt;36,'General Basis'!$B$43,IF(G2360&lt;41,'General Basis'!$B$44,IF(G2360&lt;46,'General Basis'!$B$45,IF(G2360&lt;51,'General Basis'!$B$46,IF(G2360&lt;56,'General Basis'!$B$47,IF(G2360&lt;60,'General Basis'!$B$48,IF(G2360&lt;65,'General Basis'!$B$49,'General Basis'!$B$50)))))))))))))</f>
        <v/>
      </c>
      <c r="BI2360" s="744" t="str">
        <f t="shared" si="819"/>
        <v/>
      </c>
      <c r="BJ2360" s="747" t="str">
        <f t="shared" si="826"/>
        <v/>
      </c>
      <c r="BK2360" s="498" t="str">
        <f t="shared" si="820"/>
        <v/>
      </c>
      <c r="BL2360" s="498" t="str">
        <f t="shared" si="821"/>
        <v/>
      </c>
    </row>
    <row r="2361" spans="1:64" x14ac:dyDescent="0.25">
      <c r="A2361" s="762">
        <f t="shared" si="822"/>
        <v>2356</v>
      </c>
      <c r="B2361" s="229"/>
      <c r="C2361" s="223"/>
      <c r="D2361" s="224"/>
      <c r="E2361" s="225"/>
      <c r="F2361" s="1036" t="str">
        <f t="shared" si="828"/>
        <v/>
      </c>
      <c r="G2361" s="1037" t="str">
        <f t="shared" si="823"/>
        <v/>
      </c>
      <c r="H2361" s="225"/>
      <c r="I2361" s="1013"/>
      <c r="J2361" s="1013"/>
      <c r="K2361" s="1028"/>
      <c r="L2361" s="1035" t="str">
        <f t="shared" si="827"/>
        <v/>
      </c>
      <c r="S2361" s="498"/>
      <c r="AJ2361" s="498"/>
      <c r="AM2361" s="498">
        <f t="shared" si="808"/>
        <v>0</v>
      </c>
      <c r="AN2361" s="498">
        <f t="shared" si="809"/>
        <v>0</v>
      </c>
      <c r="AO2361" s="498">
        <f t="shared" si="810"/>
        <v>0</v>
      </c>
      <c r="AP2361" s="498">
        <f t="shared" si="829"/>
        <v>0</v>
      </c>
      <c r="AQ2361" s="498">
        <f t="shared" si="824"/>
        <v>0</v>
      </c>
      <c r="AU2361" s="498">
        <f t="shared" si="811"/>
        <v>0</v>
      </c>
      <c r="AV2361" s="498">
        <f t="shared" si="812"/>
        <v>0</v>
      </c>
      <c r="AW2361" s="498">
        <f t="shared" si="813"/>
        <v>0</v>
      </c>
      <c r="AX2361" s="498">
        <f t="shared" si="814"/>
        <v>0</v>
      </c>
      <c r="AY2361" s="498">
        <f t="shared" si="815"/>
        <v>0</v>
      </c>
      <c r="BB2361" s="498" t="str">
        <f t="shared" si="816"/>
        <v/>
      </c>
      <c r="BC2361" s="743" t="str">
        <f t="shared" si="817"/>
        <v/>
      </c>
      <c r="BD2361" s="743" t="str">
        <f t="shared" si="818"/>
        <v/>
      </c>
      <c r="BE2361" s="743" t="str">
        <f>IF(D2361="","",VLOOKUP(D2361,'General Basis'!$J$39:$K$46,2,0))</f>
        <v/>
      </c>
      <c r="BF2361" s="744" t="str">
        <f>IF(D2361="","",VLOOKUP(D2361,'General Basis'!$J$39:$L$46,3,0))</f>
        <v/>
      </c>
      <c r="BG2361" s="744" t="str">
        <f t="shared" si="825"/>
        <v/>
      </c>
      <c r="BH2361" s="744" t="str">
        <f>IF(G2361="","",IF(BF2361="Abu Dhabi",IF(G2361&lt;18,'General Basis'!$C$39,IF(G2361&lt;41,'General Basis'!$C$40,IF(G2361&lt;60,'General Basis'!$C$41,IF(G2361&lt;65,'General Basis'!$C$42,'General Basis'!$C$43)))),IF(G2361&lt;11,'General Basis'!$B$39,IF(G2361&lt;18,'General Basis'!$B$40,IF(G2361&lt;26,'General Basis'!$B$41,IF(G2361&lt;31,'General Basis'!$B$42,IF(G2361&lt;36,'General Basis'!$B$43,IF(G2361&lt;41,'General Basis'!$B$44,IF(G2361&lt;46,'General Basis'!$B$45,IF(G2361&lt;51,'General Basis'!$B$46,IF(G2361&lt;56,'General Basis'!$B$47,IF(G2361&lt;60,'General Basis'!$B$48,IF(G2361&lt;65,'General Basis'!$B$49,'General Basis'!$B$50)))))))))))))</f>
        <v/>
      </c>
      <c r="BI2361" s="744" t="str">
        <f t="shared" si="819"/>
        <v/>
      </c>
      <c r="BJ2361" s="747" t="str">
        <f t="shared" si="826"/>
        <v/>
      </c>
      <c r="BK2361" s="498" t="str">
        <f t="shared" si="820"/>
        <v/>
      </c>
      <c r="BL2361" s="498" t="str">
        <f t="shared" si="821"/>
        <v/>
      </c>
    </row>
    <row r="2362" spans="1:64" x14ac:dyDescent="0.25">
      <c r="A2362" s="762">
        <f t="shared" si="822"/>
        <v>2357</v>
      </c>
      <c r="B2362" s="229"/>
      <c r="C2362" s="223"/>
      <c r="D2362" s="224"/>
      <c r="E2362" s="225"/>
      <c r="F2362" s="1036" t="str">
        <f t="shared" si="828"/>
        <v/>
      </c>
      <c r="G2362" s="1037" t="str">
        <f t="shared" si="823"/>
        <v/>
      </c>
      <c r="H2362" s="225"/>
      <c r="I2362" s="1013"/>
      <c r="J2362" s="1013"/>
      <c r="K2362" s="1028"/>
      <c r="L2362" s="1035" t="str">
        <f t="shared" si="827"/>
        <v/>
      </c>
      <c r="S2362" s="498"/>
      <c r="AJ2362" s="498"/>
      <c r="AM2362" s="498">
        <f t="shared" si="808"/>
        <v>0</v>
      </c>
      <c r="AN2362" s="498">
        <f t="shared" si="809"/>
        <v>0</v>
      </c>
      <c r="AO2362" s="498">
        <f t="shared" si="810"/>
        <v>0</v>
      </c>
      <c r="AP2362" s="498">
        <f t="shared" si="829"/>
        <v>0</v>
      </c>
      <c r="AQ2362" s="498">
        <f t="shared" si="824"/>
        <v>0</v>
      </c>
      <c r="AU2362" s="498">
        <f t="shared" si="811"/>
        <v>0</v>
      </c>
      <c r="AV2362" s="498">
        <f t="shared" si="812"/>
        <v>0</v>
      </c>
      <c r="AW2362" s="498">
        <f t="shared" si="813"/>
        <v>0</v>
      </c>
      <c r="AX2362" s="498">
        <f t="shared" si="814"/>
        <v>0</v>
      </c>
      <c r="AY2362" s="498">
        <f t="shared" si="815"/>
        <v>0</v>
      </c>
      <c r="BB2362" s="498" t="str">
        <f t="shared" si="816"/>
        <v/>
      </c>
      <c r="BC2362" s="743" t="str">
        <f t="shared" si="817"/>
        <v/>
      </c>
      <c r="BD2362" s="743" t="str">
        <f t="shared" si="818"/>
        <v/>
      </c>
      <c r="BE2362" s="743" t="str">
        <f>IF(D2362="","",VLOOKUP(D2362,'General Basis'!$J$39:$K$46,2,0))</f>
        <v/>
      </c>
      <c r="BF2362" s="744" t="str">
        <f>IF(D2362="","",VLOOKUP(D2362,'General Basis'!$J$39:$L$46,3,0))</f>
        <v/>
      </c>
      <c r="BG2362" s="744" t="str">
        <f t="shared" si="825"/>
        <v/>
      </c>
      <c r="BH2362" s="744" t="str">
        <f>IF(G2362="","",IF(BF2362="Abu Dhabi",IF(G2362&lt;18,'General Basis'!$C$39,IF(G2362&lt;41,'General Basis'!$C$40,IF(G2362&lt;60,'General Basis'!$C$41,IF(G2362&lt;65,'General Basis'!$C$42,'General Basis'!$C$43)))),IF(G2362&lt;11,'General Basis'!$B$39,IF(G2362&lt;18,'General Basis'!$B$40,IF(G2362&lt;26,'General Basis'!$B$41,IF(G2362&lt;31,'General Basis'!$B$42,IF(G2362&lt;36,'General Basis'!$B$43,IF(G2362&lt;41,'General Basis'!$B$44,IF(G2362&lt;46,'General Basis'!$B$45,IF(G2362&lt;51,'General Basis'!$B$46,IF(G2362&lt;56,'General Basis'!$B$47,IF(G2362&lt;60,'General Basis'!$B$48,IF(G2362&lt;65,'General Basis'!$B$49,'General Basis'!$B$50)))))))))))))</f>
        <v/>
      </c>
      <c r="BI2362" s="744" t="str">
        <f t="shared" si="819"/>
        <v/>
      </c>
      <c r="BJ2362" s="747" t="str">
        <f t="shared" si="826"/>
        <v/>
      </c>
      <c r="BK2362" s="498" t="str">
        <f t="shared" si="820"/>
        <v/>
      </c>
      <c r="BL2362" s="498" t="str">
        <f t="shared" si="821"/>
        <v/>
      </c>
    </row>
    <row r="2363" spans="1:64" x14ac:dyDescent="0.25">
      <c r="A2363" s="762">
        <f t="shared" si="822"/>
        <v>2358</v>
      </c>
      <c r="B2363" s="229"/>
      <c r="C2363" s="223"/>
      <c r="D2363" s="224"/>
      <c r="E2363" s="225"/>
      <c r="F2363" s="1036" t="str">
        <f t="shared" si="828"/>
        <v/>
      </c>
      <c r="G2363" s="1037" t="str">
        <f t="shared" si="823"/>
        <v/>
      </c>
      <c r="H2363" s="225"/>
      <c r="I2363" s="1013"/>
      <c r="J2363" s="1013"/>
      <c r="K2363" s="1028"/>
      <c r="L2363" s="1035" t="str">
        <f t="shared" si="827"/>
        <v/>
      </c>
      <c r="S2363" s="498"/>
      <c r="AJ2363" s="498"/>
      <c r="AM2363" s="498">
        <f t="shared" si="808"/>
        <v>0</v>
      </c>
      <c r="AN2363" s="498">
        <f t="shared" si="809"/>
        <v>0</v>
      </c>
      <c r="AO2363" s="498">
        <f t="shared" si="810"/>
        <v>0</v>
      </c>
      <c r="AP2363" s="498">
        <f t="shared" si="829"/>
        <v>0</v>
      </c>
      <c r="AQ2363" s="498">
        <f t="shared" si="824"/>
        <v>0</v>
      </c>
      <c r="AU2363" s="498">
        <f t="shared" si="811"/>
        <v>0</v>
      </c>
      <c r="AV2363" s="498">
        <f t="shared" si="812"/>
        <v>0</v>
      </c>
      <c r="AW2363" s="498">
        <f t="shared" si="813"/>
        <v>0</v>
      </c>
      <c r="AX2363" s="498">
        <f t="shared" si="814"/>
        <v>0</v>
      </c>
      <c r="AY2363" s="498">
        <f t="shared" si="815"/>
        <v>0</v>
      </c>
      <c r="BB2363" s="498" t="str">
        <f t="shared" si="816"/>
        <v/>
      </c>
      <c r="BC2363" s="743" t="str">
        <f t="shared" si="817"/>
        <v/>
      </c>
      <c r="BD2363" s="743" t="str">
        <f t="shared" si="818"/>
        <v/>
      </c>
      <c r="BE2363" s="743" t="str">
        <f>IF(D2363="","",VLOOKUP(D2363,'General Basis'!$J$39:$K$46,2,0))</f>
        <v/>
      </c>
      <c r="BF2363" s="744" t="str">
        <f>IF(D2363="","",VLOOKUP(D2363,'General Basis'!$J$39:$L$46,3,0))</f>
        <v/>
      </c>
      <c r="BG2363" s="744" t="str">
        <f t="shared" si="825"/>
        <v/>
      </c>
      <c r="BH2363" s="744" t="str">
        <f>IF(G2363="","",IF(BF2363="Abu Dhabi",IF(G2363&lt;18,'General Basis'!$C$39,IF(G2363&lt;41,'General Basis'!$C$40,IF(G2363&lt;60,'General Basis'!$C$41,IF(G2363&lt;65,'General Basis'!$C$42,'General Basis'!$C$43)))),IF(G2363&lt;11,'General Basis'!$B$39,IF(G2363&lt;18,'General Basis'!$B$40,IF(G2363&lt;26,'General Basis'!$B$41,IF(G2363&lt;31,'General Basis'!$B$42,IF(G2363&lt;36,'General Basis'!$B$43,IF(G2363&lt;41,'General Basis'!$B$44,IF(G2363&lt;46,'General Basis'!$B$45,IF(G2363&lt;51,'General Basis'!$B$46,IF(G2363&lt;56,'General Basis'!$B$47,IF(G2363&lt;60,'General Basis'!$B$48,IF(G2363&lt;65,'General Basis'!$B$49,'General Basis'!$B$50)))))))))))))</f>
        <v/>
      </c>
      <c r="BI2363" s="744" t="str">
        <f t="shared" si="819"/>
        <v/>
      </c>
      <c r="BJ2363" s="747" t="str">
        <f t="shared" si="826"/>
        <v/>
      </c>
      <c r="BK2363" s="498" t="str">
        <f t="shared" si="820"/>
        <v/>
      </c>
      <c r="BL2363" s="498" t="str">
        <f t="shared" si="821"/>
        <v/>
      </c>
    </row>
    <row r="2364" spans="1:64" x14ac:dyDescent="0.25">
      <c r="A2364" s="762">
        <f t="shared" si="822"/>
        <v>2359</v>
      </c>
      <c r="B2364" s="229"/>
      <c r="C2364" s="223"/>
      <c r="D2364" s="224"/>
      <c r="E2364" s="225"/>
      <c r="F2364" s="1036" t="str">
        <f t="shared" si="828"/>
        <v/>
      </c>
      <c r="G2364" s="1037" t="str">
        <f t="shared" si="823"/>
        <v/>
      </c>
      <c r="H2364" s="225"/>
      <c r="I2364" s="1013"/>
      <c r="J2364" s="1013"/>
      <c r="K2364" s="1028"/>
      <c r="L2364" s="1035" t="str">
        <f t="shared" si="827"/>
        <v/>
      </c>
      <c r="S2364" s="498"/>
      <c r="AJ2364" s="498"/>
      <c r="AM2364" s="498">
        <f t="shared" si="808"/>
        <v>0</v>
      </c>
      <c r="AN2364" s="498">
        <f t="shared" si="809"/>
        <v>0</v>
      </c>
      <c r="AO2364" s="498">
        <f t="shared" si="810"/>
        <v>0</v>
      </c>
      <c r="AP2364" s="498">
        <f t="shared" si="829"/>
        <v>0</v>
      </c>
      <c r="AQ2364" s="498">
        <f t="shared" si="824"/>
        <v>0</v>
      </c>
      <c r="AU2364" s="498">
        <f t="shared" si="811"/>
        <v>0</v>
      </c>
      <c r="AV2364" s="498">
        <f t="shared" si="812"/>
        <v>0</v>
      </c>
      <c r="AW2364" s="498">
        <f t="shared" si="813"/>
        <v>0</v>
      </c>
      <c r="AX2364" s="498">
        <f t="shared" si="814"/>
        <v>0</v>
      </c>
      <c r="AY2364" s="498">
        <f t="shared" si="815"/>
        <v>0</v>
      </c>
      <c r="BB2364" s="498" t="str">
        <f t="shared" si="816"/>
        <v/>
      </c>
      <c r="BC2364" s="743" t="str">
        <f t="shared" si="817"/>
        <v/>
      </c>
      <c r="BD2364" s="743" t="str">
        <f t="shared" si="818"/>
        <v/>
      </c>
      <c r="BE2364" s="743" t="str">
        <f>IF(D2364="","",VLOOKUP(D2364,'General Basis'!$J$39:$K$46,2,0))</f>
        <v/>
      </c>
      <c r="BF2364" s="744" t="str">
        <f>IF(D2364="","",VLOOKUP(D2364,'General Basis'!$J$39:$L$46,3,0))</f>
        <v/>
      </c>
      <c r="BG2364" s="744" t="str">
        <f t="shared" si="825"/>
        <v/>
      </c>
      <c r="BH2364" s="744" t="str">
        <f>IF(G2364="","",IF(BF2364="Abu Dhabi",IF(G2364&lt;18,'General Basis'!$C$39,IF(G2364&lt;41,'General Basis'!$C$40,IF(G2364&lt;60,'General Basis'!$C$41,IF(G2364&lt;65,'General Basis'!$C$42,'General Basis'!$C$43)))),IF(G2364&lt;11,'General Basis'!$B$39,IF(G2364&lt;18,'General Basis'!$B$40,IF(G2364&lt;26,'General Basis'!$B$41,IF(G2364&lt;31,'General Basis'!$B$42,IF(G2364&lt;36,'General Basis'!$B$43,IF(G2364&lt;41,'General Basis'!$B$44,IF(G2364&lt;46,'General Basis'!$B$45,IF(G2364&lt;51,'General Basis'!$B$46,IF(G2364&lt;56,'General Basis'!$B$47,IF(G2364&lt;60,'General Basis'!$B$48,IF(G2364&lt;65,'General Basis'!$B$49,'General Basis'!$B$50)))))))))))))</f>
        <v/>
      </c>
      <c r="BI2364" s="744" t="str">
        <f t="shared" si="819"/>
        <v/>
      </c>
      <c r="BJ2364" s="747" t="str">
        <f t="shared" si="826"/>
        <v/>
      </c>
      <c r="BK2364" s="498" t="str">
        <f t="shared" si="820"/>
        <v/>
      </c>
      <c r="BL2364" s="498" t="str">
        <f t="shared" si="821"/>
        <v/>
      </c>
    </row>
    <row r="2365" spans="1:64" x14ac:dyDescent="0.25">
      <c r="A2365" s="762">
        <f t="shared" si="822"/>
        <v>2360</v>
      </c>
      <c r="B2365" s="229"/>
      <c r="C2365" s="223"/>
      <c r="D2365" s="224"/>
      <c r="E2365" s="225"/>
      <c r="F2365" s="1036" t="str">
        <f t="shared" si="828"/>
        <v/>
      </c>
      <c r="G2365" s="1037" t="str">
        <f t="shared" si="823"/>
        <v/>
      </c>
      <c r="H2365" s="225"/>
      <c r="I2365" s="1013"/>
      <c r="J2365" s="1013"/>
      <c r="K2365" s="1028"/>
      <c r="L2365" s="1035" t="str">
        <f t="shared" si="827"/>
        <v/>
      </c>
      <c r="S2365" s="498"/>
      <c r="AJ2365" s="498"/>
      <c r="AM2365" s="498">
        <f t="shared" si="808"/>
        <v>0</v>
      </c>
      <c r="AN2365" s="498">
        <f t="shared" si="809"/>
        <v>0</v>
      </c>
      <c r="AO2365" s="498">
        <f t="shared" si="810"/>
        <v>0</v>
      </c>
      <c r="AP2365" s="498">
        <f t="shared" si="829"/>
        <v>0</v>
      </c>
      <c r="AQ2365" s="498">
        <f t="shared" si="824"/>
        <v>0</v>
      </c>
      <c r="AU2365" s="498">
        <f t="shared" si="811"/>
        <v>0</v>
      </c>
      <c r="AV2365" s="498">
        <f t="shared" si="812"/>
        <v>0</v>
      </c>
      <c r="AW2365" s="498">
        <f t="shared" si="813"/>
        <v>0</v>
      </c>
      <c r="AX2365" s="498">
        <f t="shared" si="814"/>
        <v>0</v>
      </c>
      <c r="AY2365" s="498">
        <f t="shared" si="815"/>
        <v>0</v>
      </c>
      <c r="BB2365" s="498" t="str">
        <f t="shared" si="816"/>
        <v/>
      </c>
      <c r="BC2365" s="743" t="str">
        <f t="shared" si="817"/>
        <v/>
      </c>
      <c r="BD2365" s="743" t="str">
        <f t="shared" si="818"/>
        <v/>
      </c>
      <c r="BE2365" s="743" t="str">
        <f>IF(D2365="","",VLOOKUP(D2365,'General Basis'!$J$39:$K$46,2,0))</f>
        <v/>
      </c>
      <c r="BF2365" s="744" t="str">
        <f>IF(D2365="","",VLOOKUP(D2365,'General Basis'!$J$39:$L$46,3,0))</f>
        <v/>
      </c>
      <c r="BG2365" s="744" t="str">
        <f t="shared" si="825"/>
        <v/>
      </c>
      <c r="BH2365" s="744" t="str">
        <f>IF(G2365="","",IF(BF2365="Abu Dhabi",IF(G2365&lt;18,'General Basis'!$C$39,IF(G2365&lt;41,'General Basis'!$C$40,IF(G2365&lt;60,'General Basis'!$C$41,IF(G2365&lt;65,'General Basis'!$C$42,'General Basis'!$C$43)))),IF(G2365&lt;11,'General Basis'!$B$39,IF(G2365&lt;18,'General Basis'!$B$40,IF(G2365&lt;26,'General Basis'!$B$41,IF(G2365&lt;31,'General Basis'!$B$42,IF(G2365&lt;36,'General Basis'!$B$43,IF(G2365&lt;41,'General Basis'!$B$44,IF(G2365&lt;46,'General Basis'!$B$45,IF(G2365&lt;51,'General Basis'!$B$46,IF(G2365&lt;56,'General Basis'!$B$47,IF(G2365&lt;60,'General Basis'!$B$48,IF(G2365&lt;65,'General Basis'!$B$49,'General Basis'!$B$50)))))))))))))</f>
        <v/>
      </c>
      <c r="BI2365" s="744" t="str">
        <f t="shared" si="819"/>
        <v/>
      </c>
      <c r="BJ2365" s="747" t="str">
        <f t="shared" si="826"/>
        <v/>
      </c>
      <c r="BK2365" s="498" t="str">
        <f t="shared" si="820"/>
        <v/>
      </c>
      <c r="BL2365" s="498" t="str">
        <f t="shared" si="821"/>
        <v/>
      </c>
    </row>
    <row r="2366" spans="1:64" x14ac:dyDescent="0.25">
      <c r="A2366" s="762">
        <f t="shared" si="822"/>
        <v>2361</v>
      </c>
      <c r="B2366" s="229"/>
      <c r="C2366" s="223"/>
      <c r="D2366" s="224"/>
      <c r="E2366" s="225"/>
      <c r="F2366" s="1036" t="str">
        <f t="shared" si="828"/>
        <v/>
      </c>
      <c r="G2366" s="1037" t="str">
        <f t="shared" si="823"/>
        <v/>
      </c>
      <c r="H2366" s="225"/>
      <c r="I2366" s="1013"/>
      <c r="J2366" s="1013"/>
      <c r="K2366" s="1028"/>
      <c r="L2366" s="1035" t="str">
        <f t="shared" si="827"/>
        <v/>
      </c>
      <c r="S2366" s="498"/>
      <c r="AJ2366" s="498"/>
      <c r="AM2366" s="498">
        <f t="shared" si="808"/>
        <v>0</v>
      </c>
      <c r="AN2366" s="498">
        <f t="shared" si="809"/>
        <v>0</v>
      </c>
      <c r="AO2366" s="498">
        <f t="shared" si="810"/>
        <v>0</v>
      </c>
      <c r="AP2366" s="498">
        <f t="shared" si="829"/>
        <v>0</v>
      </c>
      <c r="AQ2366" s="498">
        <f t="shared" si="824"/>
        <v>0</v>
      </c>
      <c r="AU2366" s="498">
        <f t="shared" si="811"/>
        <v>0</v>
      </c>
      <c r="AV2366" s="498">
        <f t="shared" si="812"/>
        <v>0</v>
      </c>
      <c r="AW2366" s="498">
        <f t="shared" si="813"/>
        <v>0</v>
      </c>
      <c r="AX2366" s="498">
        <f t="shared" si="814"/>
        <v>0</v>
      </c>
      <c r="AY2366" s="498">
        <f t="shared" si="815"/>
        <v>0</v>
      </c>
      <c r="BB2366" s="498" t="str">
        <f t="shared" si="816"/>
        <v/>
      </c>
      <c r="BC2366" s="743" t="str">
        <f t="shared" si="817"/>
        <v/>
      </c>
      <c r="BD2366" s="743" t="str">
        <f t="shared" si="818"/>
        <v/>
      </c>
      <c r="BE2366" s="743" t="str">
        <f>IF(D2366="","",VLOOKUP(D2366,'General Basis'!$J$39:$K$46,2,0))</f>
        <v/>
      </c>
      <c r="BF2366" s="744" t="str">
        <f>IF(D2366="","",VLOOKUP(D2366,'General Basis'!$J$39:$L$46,3,0))</f>
        <v/>
      </c>
      <c r="BG2366" s="744" t="str">
        <f t="shared" si="825"/>
        <v/>
      </c>
      <c r="BH2366" s="744" t="str">
        <f>IF(G2366="","",IF(BF2366="Abu Dhabi",IF(G2366&lt;18,'General Basis'!$C$39,IF(G2366&lt;41,'General Basis'!$C$40,IF(G2366&lt;60,'General Basis'!$C$41,IF(G2366&lt;65,'General Basis'!$C$42,'General Basis'!$C$43)))),IF(G2366&lt;11,'General Basis'!$B$39,IF(G2366&lt;18,'General Basis'!$B$40,IF(G2366&lt;26,'General Basis'!$B$41,IF(G2366&lt;31,'General Basis'!$B$42,IF(G2366&lt;36,'General Basis'!$B$43,IF(G2366&lt;41,'General Basis'!$B$44,IF(G2366&lt;46,'General Basis'!$B$45,IF(G2366&lt;51,'General Basis'!$B$46,IF(G2366&lt;56,'General Basis'!$B$47,IF(G2366&lt;60,'General Basis'!$B$48,IF(G2366&lt;65,'General Basis'!$B$49,'General Basis'!$B$50)))))))))))))</f>
        <v/>
      </c>
      <c r="BI2366" s="744" t="str">
        <f t="shared" si="819"/>
        <v/>
      </c>
      <c r="BJ2366" s="747" t="str">
        <f t="shared" si="826"/>
        <v/>
      </c>
      <c r="BK2366" s="498" t="str">
        <f t="shared" si="820"/>
        <v/>
      </c>
      <c r="BL2366" s="498" t="str">
        <f t="shared" si="821"/>
        <v/>
      </c>
    </row>
    <row r="2367" spans="1:64" x14ac:dyDescent="0.25">
      <c r="A2367" s="762">
        <f t="shared" si="822"/>
        <v>2362</v>
      </c>
      <c r="B2367" s="229"/>
      <c r="C2367" s="223"/>
      <c r="D2367" s="224"/>
      <c r="E2367" s="225"/>
      <c r="F2367" s="1036" t="str">
        <f t="shared" si="828"/>
        <v/>
      </c>
      <c r="G2367" s="1037" t="str">
        <f t="shared" si="823"/>
        <v/>
      </c>
      <c r="H2367" s="225"/>
      <c r="I2367" s="1013"/>
      <c r="J2367" s="1013"/>
      <c r="K2367" s="1028"/>
      <c r="L2367" s="1035" t="str">
        <f t="shared" si="827"/>
        <v/>
      </c>
      <c r="S2367" s="498"/>
      <c r="AJ2367" s="498"/>
      <c r="AM2367" s="498">
        <f t="shared" si="808"/>
        <v>0</v>
      </c>
      <c r="AN2367" s="498">
        <f t="shared" si="809"/>
        <v>0</v>
      </c>
      <c r="AO2367" s="498">
        <f t="shared" si="810"/>
        <v>0</v>
      </c>
      <c r="AP2367" s="498">
        <f t="shared" si="829"/>
        <v>0</v>
      </c>
      <c r="AQ2367" s="498">
        <f t="shared" si="824"/>
        <v>0</v>
      </c>
      <c r="AU2367" s="498">
        <f t="shared" si="811"/>
        <v>0</v>
      </c>
      <c r="AV2367" s="498">
        <f t="shared" si="812"/>
        <v>0</v>
      </c>
      <c r="AW2367" s="498">
        <f t="shared" si="813"/>
        <v>0</v>
      </c>
      <c r="AX2367" s="498">
        <f t="shared" si="814"/>
        <v>0</v>
      </c>
      <c r="AY2367" s="498">
        <f t="shared" si="815"/>
        <v>0</v>
      </c>
      <c r="BB2367" s="498" t="str">
        <f t="shared" si="816"/>
        <v/>
      </c>
      <c r="BC2367" s="743" t="str">
        <f t="shared" si="817"/>
        <v/>
      </c>
      <c r="BD2367" s="743" t="str">
        <f t="shared" si="818"/>
        <v/>
      </c>
      <c r="BE2367" s="743" t="str">
        <f>IF(D2367="","",VLOOKUP(D2367,'General Basis'!$J$39:$K$46,2,0))</f>
        <v/>
      </c>
      <c r="BF2367" s="744" t="str">
        <f>IF(D2367="","",VLOOKUP(D2367,'General Basis'!$J$39:$L$46,3,0))</f>
        <v/>
      </c>
      <c r="BG2367" s="744" t="str">
        <f t="shared" si="825"/>
        <v/>
      </c>
      <c r="BH2367" s="744" t="str">
        <f>IF(G2367="","",IF(BF2367="Abu Dhabi",IF(G2367&lt;18,'General Basis'!$C$39,IF(G2367&lt;41,'General Basis'!$C$40,IF(G2367&lt;60,'General Basis'!$C$41,IF(G2367&lt;65,'General Basis'!$C$42,'General Basis'!$C$43)))),IF(G2367&lt;11,'General Basis'!$B$39,IF(G2367&lt;18,'General Basis'!$B$40,IF(G2367&lt;26,'General Basis'!$B$41,IF(G2367&lt;31,'General Basis'!$B$42,IF(G2367&lt;36,'General Basis'!$B$43,IF(G2367&lt;41,'General Basis'!$B$44,IF(G2367&lt;46,'General Basis'!$B$45,IF(G2367&lt;51,'General Basis'!$B$46,IF(G2367&lt;56,'General Basis'!$B$47,IF(G2367&lt;60,'General Basis'!$B$48,IF(G2367&lt;65,'General Basis'!$B$49,'General Basis'!$B$50)))))))))))))</f>
        <v/>
      </c>
      <c r="BI2367" s="744" t="str">
        <f t="shared" si="819"/>
        <v/>
      </c>
      <c r="BJ2367" s="747" t="str">
        <f t="shared" si="826"/>
        <v/>
      </c>
      <c r="BK2367" s="498" t="str">
        <f t="shared" si="820"/>
        <v/>
      </c>
      <c r="BL2367" s="498" t="str">
        <f t="shared" si="821"/>
        <v/>
      </c>
    </row>
    <row r="2368" spans="1:64" x14ac:dyDescent="0.25">
      <c r="A2368" s="762">
        <f t="shared" si="822"/>
        <v>2363</v>
      </c>
      <c r="B2368" s="229"/>
      <c r="C2368" s="223"/>
      <c r="D2368" s="224"/>
      <c r="E2368" s="225"/>
      <c r="F2368" s="1036" t="str">
        <f t="shared" si="828"/>
        <v/>
      </c>
      <c r="G2368" s="1037" t="str">
        <f t="shared" si="823"/>
        <v/>
      </c>
      <c r="H2368" s="225"/>
      <c r="I2368" s="1013"/>
      <c r="J2368" s="1013"/>
      <c r="K2368" s="1028"/>
      <c r="L2368" s="1035" t="str">
        <f t="shared" si="827"/>
        <v/>
      </c>
      <c r="S2368" s="498"/>
      <c r="AJ2368" s="498"/>
      <c r="AM2368" s="498">
        <f t="shared" si="808"/>
        <v>0</v>
      </c>
      <c r="AN2368" s="498">
        <f t="shared" si="809"/>
        <v>0</v>
      </c>
      <c r="AO2368" s="498">
        <f t="shared" si="810"/>
        <v>0</v>
      </c>
      <c r="AP2368" s="498">
        <f t="shared" si="829"/>
        <v>0</v>
      </c>
      <c r="AQ2368" s="498">
        <f t="shared" si="824"/>
        <v>0</v>
      </c>
      <c r="AU2368" s="498">
        <f t="shared" si="811"/>
        <v>0</v>
      </c>
      <c r="AV2368" s="498">
        <f t="shared" si="812"/>
        <v>0</v>
      </c>
      <c r="AW2368" s="498">
        <f t="shared" si="813"/>
        <v>0</v>
      </c>
      <c r="AX2368" s="498">
        <f t="shared" si="814"/>
        <v>0</v>
      </c>
      <c r="AY2368" s="498">
        <f t="shared" si="815"/>
        <v>0</v>
      </c>
      <c r="BB2368" s="498" t="str">
        <f t="shared" si="816"/>
        <v/>
      </c>
      <c r="BC2368" s="743" t="str">
        <f t="shared" si="817"/>
        <v/>
      </c>
      <c r="BD2368" s="743" t="str">
        <f t="shared" si="818"/>
        <v/>
      </c>
      <c r="BE2368" s="743" t="str">
        <f>IF(D2368="","",VLOOKUP(D2368,'General Basis'!$J$39:$K$46,2,0))</f>
        <v/>
      </c>
      <c r="BF2368" s="744" t="str">
        <f>IF(D2368="","",VLOOKUP(D2368,'General Basis'!$J$39:$L$46,3,0))</f>
        <v/>
      </c>
      <c r="BG2368" s="744" t="str">
        <f t="shared" si="825"/>
        <v/>
      </c>
      <c r="BH2368" s="744" t="str">
        <f>IF(G2368="","",IF(BF2368="Abu Dhabi",IF(G2368&lt;18,'General Basis'!$C$39,IF(G2368&lt;41,'General Basis'!$C$40,IF(G2368&lt;60,'General Basis'!$C$41,IF(G2368&lt;65,'General Basis'!$C$42,'General Basis'!$C$43)))),IF(G2368&lt;11,'General Basis'!$B$39,IF(G2368&lt;18,'General Basis'!$B$40,IF(G2368&lt;26,'General Basis'!$B$41,IF(G2368&lt;31,'General Basis'!$B$42,IF(G2368&lt;36,'General Basis'!$B$43,IF(G2368&lt;41,'General Basis'!$B$44,IF(G2368&lt;46,'General Basis'!$B$45,IF(G2368&lt;51,'General Basis'!$B$46,IF(G2368&lt;56,'General Basis'!$B$47,IF(G2368&lt;60,'General Basis'!$B$48,IF(G2368&lt;65,'General Basis'!$B$49,'General Basis'!$B$50)))))))))))))</f>
        <v/>
      </c>
      <c r="BI2368" s="744" t="str">
        <f t="shared" si="819"/>
        <v/>
      </c>
      <c r="BJ2368" s="747" t="str">
        <f t="shared" si="826"/>
        <v/>
      </c>
      <c r="BK2368" s="498" t="str">
        <f t="shared" si="820"/>
        <v/>
      </c>
      <c r="BL2368" s="498" t="str">
        <f t="shared" si="821"/>
        <v/>
      </c>
    </row>
    <row r="2369" spans="1:64" x14ac:dyDescent="0.25">
      <c r="A2369" s="762">
        <f t="shared" si="822"/>
        <v>2364</v>
      </c>
      <c r="B2369" s="229"/>
      <c r="C2369" s="223"/>
      <c r="D2369" s="224"/>
      <c r="E2369" s="225"/>
      <c r="F2369" s="1036" t="str">
        <f t="shared" si="828"/>
        <v/>
      </c>
      <c r="G2369" s="1037" t="str">
        <f t="shared" si="823"/>
        <v/>
      </c>
      <c r="H2369" s="225"/>
      <c r="I2369" s="1013"/>
      <c r="J2369" s="1013"/>
      <c r="K2369" s="1028"/>
      <c r="L2369" s="1035" t="str">
        <f t="shared" si="827"/>
        <v/>
      </c>
      <c r="S2369" s="498"/>
      <c r="AJ2369" s="498"/>
      <c r="AM2369" s="498">
        <f t="shared" si="808"/>
        <v>0</v>
      </c>
      <c r="AN2369" s="498">
        <f t="shared" si="809"/>
        <v>0</v>
      </c>
      <c r="AO2369" s="498">
        <f t="shared" si="810"/>
        <v>0</v>
      </c>
      <c r="AP2369" s="498">
        <f t="shared" si="829"/>
        <v>0</v>
      </c>
      <c r="AQ2369" s="498">
        <f t="shared" si="824"/>
        <v>0</v>
      </c>
      <c r="AU2369" s="498">
        <f t="shared" si="811"/>
        <v>0</v>
      </c>
      <c r="AV2369" s="498">
        <f t="shared" si="812"/>
        <v>0</v>
      </c>
      <c r="AW2369" s="498">
        <f t="shared" si="813"/>
        <v>0</v>
      </c>
      <c r="AX2369" s="498">
        <f t="shared" si="814"/>
        <v>0</v>
      </c>
      <c r="AY2369" s="498">
        <f t="shared" si="815"/>
        <v>0</v>
      </c>
      <c r="BB2369" s="498" t="str">
        <f t="shared" si="816"/>
        <v/>
      </c>
      <c r="BC2369" s="743" t="str">
        <f t="shared" si="817"/>
        <v/>
      </c>
      <c r="BD2369" s="743" t="str">
        <f t="shared" si="818"/>
        <v/>
      </c>
      <c r="BE2369" s="743" t="str">
        <f>IF(D2369="","",VLOOKUP(D2369,'General Basis'!$J$39:$K$46,2,0))</f>
        <v/>
      </c>
      <c r="BF2369" s="744" t="str">
        <f>IF(D2369="","",VLOOKUP(D2369,'General Basis'!$J$39:$L$46,3,0))</f>
        <v/>
      </c>
      <c r="BG2369" s="744" t="str">
        <f t="shared" si="825"/>
        <v/>
      </c>
      <c r="BH2369" s="744" t="str">
        <f>IF(G2369="","",IF(BF2369="Abu Dhabi",IF(G2369&lt;18,'General Basis'!$C$39,IF(G2369&lt;41,'General Basis'!$C$40,IF(G2369&lt;60,'General Basis'!$C$41,IF(G2369&lt;65,'General Basis'!$C$42,'General Basis'!$C$43)))),IF(G2369&lt;11,'General Basis'!$B$39,IF(G2369&lt;18,'General Basis'!$B$40,IF(G2369&lt;26,'General Basis'!$B$41,IF(G2369&lt;31,'General Basis'!$B$42,IF(G2369&lt;36,'General Basis'!$B$43,IF(G2369&lt;41,'General Basis'!$B$44,IF(G2369&lt;46,'General Basis'!$B$45,IF(G2369&lt;51,'General Basis'!$B$46,IF(G2369&lt;56,'General Basis'!$B$47,IF(G2369&lt;60,'General Basis'!$B$48,IF(G2369&lt;65,'General Basis'!$B$49,'General Basis'!$B$50)))))))))))))</f>
        <v/>
      </c>
      <c r="BI2369" s="744" t="str">
        <f t="shared" si="819"/>
        <v/>
      </c>
      <c r="BJ2369" s="747" t="str">
        <f t="shared" si="826"/>
        <v/>
      </c>
      <c r="BK2369" s="498" t="str">
        <f t="shared" si="820"/>
        <v/>
      </c>
      <c r="BL2369" s="498" t="str">
        <f t="shared" si="821"/>
        <v/>
      </c>
    </row>
    <row r="2370" spans="1:64" x14ac:dyDescent="0.25">
      <c r="A2370" s="762">
        <f t="shared" si="822"/>
        <v>2365</v>
      </c>
      <c r="B2370" s="229"/>
      <c r="C2370" s="223"/>
      <c r="D2370" s="224"/>
      <c r="E2370" s="225"/>
      <c r="F2370" s="1036" t="str">
        <f t="shared" si="828"/>
        <v/>
      </c>
      <c r="G2370" s="1037" t="str">
        <f t="shared" si="823"/>
        <v/>
      </c>
      <c r="H2370" s="225"/>
      <c r="I2370" s="1013"/>
      <c r="J2370" s="1013"/>
      <c r="K2370" s="1028"/>
      <c r="L2370" s="1035" t="str">
        <f t="shared" si="827"/>
        <v/>
      </c>
      <c r="S2370" s="498"/>
      <c r="AJ2370" s="498"/>
      <c r="AM2370" s="498">
        <f t="shared" si="808"/>
        <v>0</v>
      </c>
      <c r="AN2370" s="498">
        <f t="shared" si="809"/>
        <v>0</v>
      </c>
      <c r="AO2370" s="498">
        <f t="shared" si="810"/>
        <v>0</v>
      </c>
      <c r="AP2370" s="498">
        <f t="shared" si="829"/>
        <v>0</v>
      </c>
      <c r="AQ2370" s="498">
        <f t="shared" si="824"/>
        <v>0</v>
      </c>
      <c r="AU2370" s="498">
        <f t="shared" si="811"/>
        <v>0</v>
      </c>
      <c r="AV2370" s="498">
        <f t="shared" si="812"/>
        <v>0</v>
      </c>
      <c r="AW2370" s="498">
        <f t="shared" si="813"/>
        <v>0</v>
      </c>
      <c r="AX2370" s="498">
        <f t="shared" si="814"/>
        <v>0</v>
      </c>
      <c r="AY2370" s="498">
        <f t="shared" si="815"/>
        <v>0</v>
      </c>
      <c r="BB2370" s="498" t="str">
        <f t="shared" si="816"/>
        <v/>
      </c>
      <c r="BC2370" s="743" t="str">
        <f t="shared" si="817"/>
        <v/>
      </c>
      <c r="BD2370" s="743" t="str">
        <f t="shared" si="818"/>
        <v/>
      </c>
      <c r="BE2370" s="743" t="str">
        <f>IF(D2370="","",VLOOKUP(D2370,'General Basis'!$J$39:$K$46,2,0))</f>
        <v/>
      </c>
      <c r="BF2370" s="744" t="str">
        <f>IF(D2370="","",VLOOKUP(D2370,'General Basis'!$J$39:$L$46,3,0))</f>
        <v/>
      </c>
      <c r="BG2370" s="744" t="str">
        <f t="shared" si="825"/>
        <v/>
      </c>
      <c r="BH2370" s="744" t="str">
        <f>IF(G2370="","",IF(BF2370="Abu Dhabi",IF(G2370&lt;18,'General Basis'!$C$39,IF(G2370&lt;41,'General Basis'!$C$40,IF(G2370&lt;60,'General Basis'!$C$41,IF(G2370&lt;65,'General Basis'!$C$42,'General Basis'!$C$43)))),IF(G2370&lt;11,'General Basis'!$B$39,IF(G2370&lt;18,'General Basis'!$B$40,IF(G2370&lt;26,'General Basis'!$B$41,IF(G2370&lt;31,'General Basis'!$B$42,IF(G2370&lt;36,'General Basis'!$B$43,IF(G2370&lt;41,'General Basis'!$B$44,IF(G2370&lt;46,'General Basis'!$B$45,IF(G2370&lt;51,'General Basis'!$B$46,IF(G2370&lt;56,'General Basis'!$B$47,IF(G2370&lt;60,'General Basis'!$B$48,IF(G2370&lt;65,'General Basis'!$B$49,'General Basis'!$B$50)))))))))))))</f>
        <v/>
      </c>
      <c r="BI2370" s="744" t="str">
        <f t="shared" si="819"/>
        <v/>
      </c>
      <c r="BJ2370" s="747" t="str">
        <f t="shared" si="826"/>
        <v/>
      </c>
      <c r="BK2370" s="498" t="str">
        <f t="shared" si="820"/>
        <v/>
      </c>
      <c r="BL2370" s="498" t="str">
        <f t="shared" si="821"/>
        <v/>
      </c>
    </row>
    <row r="2371" spans="1:64" x14ac:dyDescent="0.25">
      <c r="A2371" s="762">
        <f t="shared" si="822"/>
        <v>2366</v>
      </c>
      <c r="B2371" s="229"/>
      <c r="C2371" s="223"/>
      <c r="D2371" s="224"/>
      <c r="E2371" s="225"/>
      <c r="F2371" s="1036" t="str">
        <f t="shared" si="828"/>
        <v/>
      </c>
      <c r="G2371" s="1037" t="str">
        <f t="shared" si="823"/>
        <v/>
      </c>
      <c r="H2371" s="225"/>
      <c r="I2371" s="1013"/>
      <c r="J2371" s="1013"/>
      <c r="K2371" s="1028"/>
      <c r="L2371" s="1035" t="str">
        <f t="shared" si="827"/>
        <v/>
      </c>
      <c r="S2371" s="498"/>
      <c r="AJ2371" s="498"/>
      <c r="AM2371" s="498">
        <f t="shared" si="808"/>
        <v>0</v>
      </c>
      <c r="AN2371" s="498">
        <f t="shared" si="809"/>
        <v>0</v>
      </c>
      <c r="AO2371" s="498">
        <f t="shared" si="810"/>
        <v>0</v>
      </c>
      <c r="AP2371" s="498">
        <f t="shared" si="829"/>
        <v>0</v>
      </c>
      <c r="AQ2371" s="498">
        <f t="shared" si="824"/>
        <v>0</v>
      </c>
      <c r="AU2371" s="498">
        <f t="shared" si="811"/>
        <v>0</v>
      </c>
      <c r="AV2371" s="498">
        <f t="shared" si="812"/>
        <v>0</v>
      </c>
      <c r="AW2371" s="498">
        <f t="shared" si="813"/>
        <v>0</v>
      </c>
      <c r="AX2371" s="498">
        <f t="shared" si="814"/>
        <v>0</v>
      </c>
      <c r="AY2371" s="498">
        <f t="shared" si="815"/>
        <v>0</v>
      </c>
      <c r="BB2371" s="498" t="str">
        <f t="shared" si="816"/>
        <v/>
      </c>
      <c r="BC2371" s="743" t="str">
        <f t="shared" si="817"/>
        <v/>
      </c>
      <c r="BD2371" s="743" t="str">
        <f t="shared" si="818"/>
        <v/>
      </c>
      <c r="BE2371" s="743" t="str">
        <f>IF(D2371="","",VLOOKUP(D2371,'General Basis'!$J$39:$K$46,2,0))</f>
        <v/>
      </c>
      <c r="BF2371" s="744" t="str">
        <f>IF(D2371="","",VLOOKUP(D2371,'General Basis'!$J$39:$L$46,3,0))</f>
        <v/>
      </c>
      <c r="BG2371" s="744" t="str">
        <f t="shared" si="825"/>
        <v/>
      </c>
      <c r="BH2371" s="744" t="str">
        <f>IF(G2371="","",IF(BF2371="Abu Dhabi",IF(G2371&lt;18,'General Basis'!$C$39,IF(G2371&lt;41,'General Basis'!$C$40,IF(G2371&lt;60,'General Basis'!$C$41,IF(G2371&lt;65,'General Basis'!$C$42,'General Basis'!$C$43)))),IF(G2371&lt;11,'General Basis'!$B$39,IF(G2371&lt;18,'General Basis'!$B$40,IF(G2371&lt;26,'General Basis'!$B$41,IF(G2371&lt;31,'General Basis'!$B$42,IF(G2371&lt;36,'General Basis'!$B$43,IF(G2371&lt;41,'General Basis'!$B$44,IF(G2371&lt;46,'General Basis'!$B$45,IF(G2371&lt;51,'General Basis'!$B$46,IF(G2371&lt;56,'General Basis'!$B$47,IF(G2371&lt;60,'General Basis'!$B$48,IF(G2371&lt;65,'General Basis'!$B$49,'General Basis'!$B$50)))))))))))))</f>
        <v/>
      </c>
      <c r="BI2371" s="744" t="str">
        <f t="shared" si="819"/>
        <v/>
      </c>
      <c r="BJ2371" s="747" t="str">
        <f t="shared" si="826"/>
        <v/>
      </c>
      <c r="BK2371" s="498" t="str">
        <f t="shared" si="820"/>
        <v/>
      </c>
      <c r="BL2371" s="498" t="str">
        <f t="shared" si="821"/>
        <v/>
      </c>
    </row>
    <row r="2372" spans="1:64" x14ac:dyDescent="0.25">
      <c r="A2372" s="762">
        <f t="shared" si="822"/>
        <v>2367</v>
      </c>
      <c r="B2372" s="229"/>
      <c r="C2372" s="223"/>
      <c r="D2372" s="224"/>
      <c r="E2372" s="225"/>
      <c r="F2372" s="1036" t="str">
        <f t="shared" si="828"/>
        <v/>
      </c>
      <c r="G2372" s="1037" t="str">
        <f t="shared" si="823"/>
        <v/>
      </c>
      <c r="H2372" s="225"/>
      <c r="I2372" s="1013"/>
      <c r="J2372" s="1013"/>
      <c r="K2372" s="1028"/>
      <c r="L2372" s="1035" t="str">
        <f t="shared" si="827"/>
        <v/>
      </c>
      <c r="S2372" s="498"/>
      <c r="AJ2372" s="498"/>
      <c r="AM2372" s="498">
        <f t="shared" si="808"/>
        <v>0</v>
      </c>
      <c r="AN2372" s="498">
        <f t="shared" si="809"/>
        <v>0</v>
      </c>
      <c r="AO2372" s="498">
        <f t="shared" si="810"/>
        <v>0</v>
      </c>
      <c r="AP2372" s="498">
        <f t="shared" si="829"/>
        <v>0</v>
      </c>
      <c r="AQ2372" s="498">
        <f t="shared" si="824"/>
        <v>0</v>
      </c>
      <c r="AU2372" s="498">
        <f t="shared" si="811"/>
        <v>0</v>
      </c>
      <c r="AV2372" s="498">
        <f t="shared" si="812"/>
        <v>0</v>
      </c>
      <c r="AW2372" s="498">
        <f t="shared" si="813"/>
        <v>0</v>
      </c>
      <c r="AX2372" s="498">
        <f t="shared" si="814"/>
        <v>0</v>
      </c>
      <c r="AY2372" s="498">
        <f t="shared" si="815"/>
        <v>0</v>
      </c>
      <c r="BB2372" s="498" t="str">
        <f t="shared" si="816"/>
        <v/>
      </c>
      <c r="BC2372" s="743" t="str">
        <f t="shared" si="817"/>
        <v/>
      </c>
      <c r="BD2372" s="743" t="str">
        <f t="shared" si="818"/>
        <v/>
      </c>
      <c r="BE2372" s="743" t="str">
        <f>IF(D2372="","",VLOOKUP(D2372,'General Basis'!$J$39:$K$46,2,0))</f>
        <v/>
      </c>
      <c r="BF2372" s="744" t="str">
        <f>IF(D2372="","",VLOOKUP(D2372,'General Basis'!$J$39:$L$46,3,0))</f>
        <v/>
      </c>
      <c r="BG2372" s="744" t="str">
        <f t="shared" si="825"/>
        <v/>
      </c>
      <c r="BH2372" s="744" t="str">
        <f>IF(G2372="","",IF(BF2372="Abu Dhabi",IF(G2372&lt;18,'General Basis'!$C$39,IF(G2372&lt;41,'General Basis'!$C$40,IF(G2372&lt;60,'General Basis'!$C$41,IF(G2372&lt;65,'General Basis'!$C$42,'General Basis'!$C$43)))),IF(G2372&lt;11,'General Basis'!$B$39,IF(G2372&lt;18,'General Basis'!$B$40,IF(G2372&lt;26,'General Basis'!$B$41,IF(G2372&lt;31,'General Basis'!$B$42,IF(G2372&lt;36,'General Basis'!$B$43,IF(G2372&lt;41,'General Basis'!$B$44,IF(G2372&lt;46,'General Basis'!$B$45,IF(G2372&lt;51,'General Basis'!$B$46,IF(G2372&lt;56,'General Basis'!$B$47,IF(G2372&lt;60,'General Basis'!$B$48,IF(G2372&lt;65,'General Basis'!$B$49,'General Basis'!$B$50)))))))))))))</f>
        <v/>
      </c>
      <c r="BI2372" s="744" t="str">
        <f t="shared" si="819"/>
        <v/>
      </c>
      <c r="BJ2372" s="747" t="str">
        <f t="shared" si="826"/>
        <v/>
      </c>
      <c r="BK2372" s="498" t="str">
        <f t="shared" si="820"/>
        <v/>
      </c>
      <c r="BL2372" s="498" t="str">
        <f t="shared" si="821"/>
        <v/>
      </c>
    </row>
    <row r="2373" spans="1:64" x14ac:dyDescent="0.25">
      <c r="A2373" s="762">
        <f t="shared" si="822"/>
        <v>2368</v>
      </c>
      <c r="B2373" s="229"/>
      <c r="C2373" s="223"/>
      <c r="D2373" s="224"/>
      <c r="E2373" s="225"/>
      <c r="F2373" s="1036" t="str">
        <f t="shared" si="828"/>
        <v/>
      </c>
      <c r="G2373" s="1037" t="str">
        <f t="shared" si="823"/>
        <v/>
      </c>
      <c r="H2373" s="225"/>
      <c r="I2373" s="1013"/>
      <c r="J2373" s="1013"/>
      <c r="K2373" s="1028"/>
      <c r="L2373" s="1035" t="str">
        <f t="shared" si="827"/>
        <v/>
      </c>
      <c r="S2373" s="498"/>
      <c r="AJ2373" s="498"/>
      <c r="AM2373" s="498">
        <f t="shared" si="808"/>
        <v>0</v>
      </c>
      <c r="AN2373" s="498">
        <f t="shared" si="809"/>
        <v>0</v>
      </c>
      <c r="AO2373" s="498">
        <f t="shared" si="810"/>
        <v>0</v>
      </c>
      <c r="AP2373" s="498">
        <f t="shared" si="829"/>
        <v>0</v>
      </c>
      <c r="AQ2373" s="498">
        <f t="shared" si="824"/>
        <v>0</v>
      </c>
      <c r="AU2373" s="498">
        <f t="shared" si="811"/>
        <v>0</v>
      </c>
      <c r="AV2373" s="498">
        <f t="shared" si="812"/>
        <v>0</v>
      </c>
      <c r="AW2373" s="498">
        <f t="shared" si="813"/>
        <v>0</v>
      </c>
      <c r="AX2373" s="498">
        <f t="shared" si="814"/>
        <v>0</v>
      </c>
      <c r="AY2373" s="498">
        <f t="shared" si="815"/>
        <v>0</v>
      </c>
      <c r="BB2373" s="498" t="str">
        <f t="shared" si="816"/>
        <v/>
      </c>
      <c r="BC2373" s="743" t="str">
        <f t="shared" si="817"/>
        <v/>
      </c>
      <c r="BD2373" s="743" t="str">
        <f t="shared" si="818"/>
        <v/>
      </c>
      <c r="BE2373" s="743" t="str">
        <f>IF(D2373="","",VLOOKUP(D2373,'General Basis'!$J$39:$K$46,2,0))</f>
        <v/>
      </c>
      <c r="BF2373" s="744" t="str">
        <f>IF(D2373="","",VLOOKUP(D2373,'General Basis'!$J$39:$L$46,3,0))</f>
        <v/>
      </c>
      <c r="BG2373" s="744" t="str">
        <f t="shared" si="825"/>
        <v/>
      </c>
      <c r="BH2373" s="744" t="str">
        <f>IF(G2373="","",IF(BF2373="Abu Dhabi",IF(G2373&lt;18,'General Basis'!$C$39,IF(G2373&lt;41,'General Basis'!$C$40,IF(G2373&lt;60,'General Basis'!$C$41,IF(G2373&lt;65,'General Basis'!$C$42,'General Basis'!$C$43)))),IF(G2373&lt;11,'General Basis'!$B$39,IF(G2373&lt;18,'General Basis'!$B$40,IF(G2373&lt;26,'General Basis'!$B$41,IF(G2373&lt;31,'General Basis'!$B$42,IF(G2373&lt;36,'General Basis'!$B$43,IF(G2373&lt;41,'General Basis'!$B$44,IF(G2373&lt;46,'General Basis'!$B$45,IF(G2373&lt;51,'General Basis'!$B$46,IF(G2373&lt;56,'General Basis'!$B$47,IF(G2373&lt;60,'General Basis'!$B$48,IF(G2373&lt;65,'General Basis'!$B$49,'General Basis'!$B$50)))))))))))))</f>
        <v/>
      </c>
      <c r="BI2373" s="744" t="str">
        <f t="shared" si="819"/>
        <v/>
      </c>
      <c r="BJ2373" s="747" t="str">
        <f t="shared" si="826"/>
        <v/>
      </c>
      <c r="BK2373" s="498" t="str">
        <f t="shared" si="820"/>
        <v/>
      </c>
      <c r="BL2373" s="498" t="str">
        <f t="shared" si="821"/>
        <v/>
      </c>
    </row>
    <row r="2374" spans="1:64" x14ac:dyDescent="0.25">
      <c r="A2374" s="762">
        <f t="shared" si="822"/>
        <v>2369</v>
      </c>
      <c r="B2374" s="229"/>
      <c r="C2374" s="223"/>
      <c r="D2374" s="224"/>
      <c r="E2374" s="225"/>
      <c r="F2374" s="1036" t="str">
        <f t="shared" si="828"/>
        <v/>
      </c>
      <c r="G2374" s="1037" t="str">
        <f t="shared" si="823"/>
        <v/>
      </c>
      <c r="H2374" s="225"/>
      <c r="I2374" s="1013"/>
      <c r="J2374" s="1013"/>
      <c r="K2374" s="1028"/>
      <c r="L2374" s="1035" t="str">
        <f t="shared" si="827"/>
        <v/>
      </c>
      <c r="S2374" s="498"/>
      <c r="AJ2374" s="498"/>
      <c r="AM2374" s="498">
        <f t="shared" ref="AM2374:AM2437" si="830">IF(ISTEXT(B2374),1,0)</f>
        <v>0</v>
      </c>
      <c r="AN2374" s="498">
        <f t="shared" ref="AN2374:AN2437" si="831">IF(ISBLANK(B2374),0,IF(B2374&lt;$AK$6,1,0))</f>
        <v>0</v>
      </c>
      <c r="AO2374" s="498">
        <f t="shared" ref="AO2374:AO2437" si="832">IF(ISBLANK(B2374),0,IF(B2374&gt;$AK$7,1,0))</f>
        <v>0</v>
      </c>
      <c r="AP2374" s="498">
        <f t="shared" si="829"/>
        <v>0</v>
      </c>
      <c r="AQ2374" s="498">
        <f t="shared" si="824"/>
        <v>0</v>
      </c>
      <c r="AU2374" s="498">
        <f t="shared" ref="AU2374:AU2437" si="833">IF(ISBLANK(B2374),0,1)</f>
        <v>0</v>
      </c>
      <c r="AV2374" s="498">
        <f t="shared" ref="AV2374:AV2437" si="834">IF(ISBLANK(C2374),0,1)</f>
        <v>0</v>
      </c>
      <c r="AW2374" s="498">
        <f t="shared" ref="AW2374:AW2437" si="835">IF(ISBLANK(D2374),0,1)</f>
        <v>0</v>
      </c>
      <c r="AX2374" s="498">
        <f t="shared" ref="AX2374:AX2437" si="836">IF(ISBLANK(E2374),0,1)</f>
        <v>0</v>
      </c>
      <c r="AY2374" s="498">
        <f t="shared" ref="AY2374:AY2437" si="837">IF(ISBLANK(H2374),0,1)</f>
        <v>0</v>
      </c>
      <c r="BB2374" s="498" t="str">
        <f t="shared" ref="BB2374:BB2437" si="838">IF(E2374="Principal","Principal",IF(E2374="","","Other"))</f>
        <v/>
      </c>
      <c r="BC2374" s="743" t="str">
        <f t="shared" ref="BC2374:BC2437" si="839">IF(D2374="","",D2374)</f>
        <v/>
      </c>
      <c r="BD2374" s="743" t="str">
        <f t="shared" ref="BD2374:BD2437" si="840">IF(E2374="Principal","Employee",IF(E2374="","","Dependent"))</f>
        <v/>
      </c>
      <c r="BE2374" s="743" t="str">
        <f>IF(D2374="","",VLOOKUP(D2374,'General Basis'!$J$39:$K$46,2,0))</f>
        <v/>
      </c>
      <c r="BF2374" s="744" t="str">
        <f>IF(D2374="","",VLOOKUP(D2374,'General Basis'!$J$39:$L$46,3,0))</f>
        <v/>
      </c>
      <c r="BG2374" s="744" t="str">
        <f t="shared" si="825"/>
        <v/>
      </c>
      <c r="BH2374" s="744" t="str">
        <f>IF(G2374="","",IF(BF2374="Abu Dhabi",IF(G2374&lt;18,'General Basis'!$C$39,IF(G2374&lt;41,'General Basis'!$C$40,IF(G2374&lt;60,'General Basis'!$C$41,IF(G2374&lt;65,'General Basis'!$C$42,'General Basis'!$C$43)))),IF(G2374&lt;11,'General Basis'!$B$39,IF(G2374&lt;18,'General Basis'!$B$40,IF(G2374&lt;26,'General Basis'!$B$41,IF(G2374&lt;31,'General Basis'!$B$42,IF(G2374&lt;36,'General Basis'!$B$43,IF(G2374&lt;41,'General Basis'!$B$44,IF(G2374&lt;46,'General Basis'!$B$45,IF(G2374&lt;51,'General Basis'!$B$46,IF(G2374&lt;56,'General Basis'!$B$47,IF(G2374&lt;60,'General Basis'!$B$48,IF(G2374&lt;65,'General Basis'!$B$49,'General Basis'!$B$50)))))))))))))</f>
        <v/>
      </c>
      <c r="BI2374" s="744" t="str">
        <f t="shared" ref="BI2374:BI2437" si="841">IF(C2374="","",IF(C2374="M","Male","Female"))</f>
        <v/>
      </c>
      <c r="BJ2374" s="747" t="str">
        <f t="shared" si="826"/>
        <v/>
      </c>
      <c r="BK2374" s="498" t="str">
        <f t="shared" ref="BK2374:BK2437" si="842">IF(BD2374="","",IF(AND(BD2374="Employee",BI2374="Male",BF2374="Abu Dhabi",BE2374=GN_Plus),VLOOKUP(BH2374,AUH_MALE_EMP,2,0),IF(AND(BD2374="Employee",BI2374="Male",BF2374="Abu Dhabi",BE2374=GN),VLOOKUP(BH2374,AUH_MALE_EMP,3,0),IF(AND(BD2374="Employee",BI2374="Male",BF2374="Abu Dhabi",BE2374=RN_Plus),VLOOKUP(BH2374,AUH_MALE_EMP,4,0),IF(AND(BD2374="Employee",BI2374="Male",BF2374="Abu Dhabi",BE2374=RN),VLOOKUP(BH2374,AUH_MALE_EMP,5,0),IF(AND(BD2374="Employee",BI2374="Male",BF2374="Abu Dhabi",BE2374=RN_2),VLOOKUP(BH2374,AUH_MALE_EMP,6,0),IF(AND(BD2374="Employee",BI2374="Male",BF2374="Abu Dhabi",BE2374=RN2_minus),VLOOKUP(BH2374,AUH_MALE_EMP,7,0),IF(AND(BD2374="Employee",BI2374="Male",BF2374="Abu Dhabi",BE2374=RN_3),VLOOKUP(BH2374,AUH_MALE_EMP,8,0),IF(AND(BD2374="Employee",BI2374="Male",BF2374="Abu Dhabi",BE2374=VN),VLOOKUP(BH2374,AUH_MALE_EMP,9,0),IF(BD2374="","",IF(AND(BD2374="Employee",BI2374="Female",BF2374="Abu Dhabi",BE2374=GN_Plus),VLOOKUP(BH2374,AUH_FEMALE_EMP,2,0),IF(AND(BD2374="Employee",BI2374="Female",BF2374="Abu Dhabi",BE2374=GN),VLOOKUP(BH2374,AUH_FEMALE_EMP,3,0),IF(AND(BD2374="Employee",BI2374="Female",BF2374="Abu Dhabi",BE2374=RN_Plus),VLOOKUP(BH2374,AUH_FEMALE_EMP,4,0),IF(AND(BD2374="Employee",BI2374="Female",BF2374="Abu Dhabi",BE2374=RN),VLOOKUP(BH2374,AUH_FEMALE_EMP,5,0),IF(AND(BD2374="Employee",BI2374="Female",BF2374="Abu Dhabi",BE2374=RN_2),VLOOKUP(BH2374,AUH_FEMALE_EMP,6,0),IF(AND(BD2374="Employee",BI2374="Female",BF2374="Abu Dhabi",BE2374=RN2_minus),VLOOKUP(BH2374,AUH_FEMALE_EMP,7,0),IF(AND(BD2374="Employee",BI2374="Female",BF2374="Abu Dhabi",BE2374=RN_3),VLOOKUP(BH2374,AUH_FEMALE_EMP,8,0),IF(AND(BD2374="Employee",BI2374="Female",BF2374="Abu Dhabi",BE2374=VN),VLOOKUP(BH2374,AUH_FEMALE_EMP,9,0),IF(BD2374="","",IF(AND(BD2374="Dependent",BI2374="Male",BF2374="Abu Dhabi",BE2374=GN_Plus),VLOOKUP(BH2374,AUH_MALE_DEP,2,0),IF(AND(BD2374="Dependent",BI2374="Male",BF2374="Abu Dhabi",BE2374=GN),VLOOKUP(BH2374,AUH_MALE_DEP,3,0),IF(AND(BD2374="Dependent",BI2374="Male",BF2374="Abu Dhabi",BE2374=RN_Plus),VLOOKUP(BH2374,AUH_MALE_DEP,4,0),IF(AND(BD2374="Dependent",BI2374="Male",BF2374="Abu Dhabi",BE2374=RN),VLOOKUP(BH2374,AUH_MALE_DEP,5,0),IF(AND(BD2374="Dependent",BI2374="Male",BF2374="Abu Dhabi",BE2374=RN_2),VLOOKUP(BH2374,AUH_MALE_DEP,6,0),IF(AND(BD2374="Dependent",BI2374="Male",BF2374="Abu Dhabi",BE2374=RN2_minus),VLOOKUP(BH2374,AUH_MALE_DEP,7,0),IF(AND(BD2374="Dependent",BI2374="Male",BF2374="Abu Dhabi",BE2374=RN_3),VLOOKUP(BH2374,AUH_MALE_DEP,8,0),IF(AND(BD2374="Dependent",BI2374="Male",BF2374="Abu Dhabi",BE2374=VN),VLOOKUP(BH2374,AUH_MALE_DEP,9,0),IF(BD2374="","",IF(AND(BD2374="Dependent",BI2374="Female",BF2374="Abu Dhabi",BE2374=GN_Plus),VLOOKUP(BH2374,AUH_FEMALE_DEP,2,0),IF(AND(BD2374="Dependent",BI2374="Female",BF2374="Abu Dhabi",BE2374=GN),VLOOKUP(BH2374,AUH_FEMALE_DEP,3,0),IF(AND(BD2374="Dependent",BI2374="Female",BF2374="Abu Dhabi",BE2374=RN_Plus),VLOOKUP(BH2374,AUH_FEMALE_DEP,4,0),IF(AND(BD2374="Dependent",BI2374="Female",BF2374="Abu Dhabi",BE2374=RN),VLOOKUP(BH2374,AUH_FEMALE_DEP,5,0),IF(AND(BD2374="Dependent",BI2374="Female",BF2374="Abu Dhabi",BE2374=RN_2),VLOOKUP(BH2374,AUH_FEMALE_DEP,6,0),IF(AND(BD2374="Dependent",BI2374="Female",BF2374="Abu Dhabi",BE2374=RN2_minus),VLOOKUP(BH2374,AUH_FEMALE_DEP,7,0),IF(AND(BD2374="Dependent",BI2374="Female",BF2374="Abu Dhabi",BE2374=RN_3),VLOOKUP(BH2374,AUH_FEMALE_DEP,8,0),IF(AND(BD2374="Dependent",BI2374="Female",BF2374="Abu Dhabi",BE2374=VN),VLOOKUP(BH2374,AUH_FEMALE_DEP,9,0),"ABC"))))))))))))))))))))))))))))))))))))</f>
        <v/>
      </c>
      <c r="BL2374" s="498" t="str">
        <f t="shared" ref="BL2374:BL2437" si="843">IF(BD2374="","",IF(AND(BD2374="Employee",BI2374="Male",BF2374="Dubai",BE2374=GN_Plus),VLOOKUP(BH2374,DXB_MALE_EMP,2,0),IF(AND(BD2374="Employee",BI2374="Male",BF2374="Dubai",BE2374=GN),VLOOKUP(BH2374,DXB_MALE_EMP,3,0),IF(AND(BD2374="Employee",BI2374="Male",BF2374="Dubai",BE2374=RN_Plus),VLOOKUP(BH2374,DXB_MALE_EMP,4,0),IF(AND(BD2374="Employee",BI2374="Male",BF2374="Dubai",BE2374=RN),VLOOKUP(BH2374,DXB_MALE_EMP,5,0),IF(AND(BD2374="Employee",BI2374="Male",BF2374="Dubai",BE2374=RN_2),VLOOKUP(BH2374,DXB_MALE_EMP,6,0),IF(AND(BD2374="Employee",BI2374="Male",BF2374="Dubai",BE2374=RN2_minus),VLOOKUP(BH2374,DXB_MALE_EMP,7,0),IF(AND(BD2374="Employee",BI2374="Male",BF2374="Dubai",BE2374=RN_3),VLOOKUP(BH2374,DXB_MALE_EMP,8,0),IF(AND(BD2374="Employee",BI2374="Male",BF2374="Dubai",BE2374=VN),VLOOKUP(BH2374,DXB_MALE_EMP,9,0),IF(BD2374="","",IF(AND(BD2374="Employee",BI2374="Female",BF2374="Dubai",BE2374=GN_Plus),VLOOKUP(BH2374,DXB_FEMALE_EMP,2,0),IF(AND(BD2374="Employee",BI2374="Female",BF2374="Dubai",BE2374=GN),VLOOKUP(BH2374,DXB_FEMALE_EMP,3,0),IF(AND(BD2374="Employee",BI2374="Female",BF2374="Dubai",BE2374=RN_Plus),VLOOKUP(BH2374,DXB_FEMALE_EMP,4,0),IF(AND(BD2374="Employee",BI2374="Female",BF2374="Dubai",BE2374=RN),VLOOKUP(BH2374,DXB_FEMALE_EMP,5,0),IF(AND(BD2374="Employee",BI2374="Female",BF2374="Dubai",BE2374=RN_2),VLOOKUP(BH2374,DXB_FEMALE_EMP,6,0),IF(AND(BD2374="Employee",BI2374="Female",BF2374="Dubai",BE2374=RN2_minus),VLOOKUP(BH2374,DXB_FEMALE_EMP,7,0),IF(AND(BD2374="Employee",BI2374="Female",BF2374="Dubai",BE2374=RN_3),VLOOKUP(BH2374,DXB_FEMALE_EMP,8,0),IF(AND(BD2374="Employee",BI2374="Female",BF2374="Dubai",BE2374=VN),VLOOKUP(BH2374,DXB_FEMALE_EMP,9,0),IF(BD2374="","",IF(AND(BD2374="Dependent",BI2374="Male",BF2374="Dubai",BE2374=GN_Plus),VLOOKUP(BH2374,DXB_MALE_DEP,2,0),IF(AND(BD2374="Dependent",BI2374="Male",BF2374="Dubai",BE2374=GN),VLOOKUP(BH2374,DXB_MALE_DEP,3,0),IF(AND(BD2374="Dependent",BI2374="Male",BF2374="Dubai",BE2374=RN_Plus),VLOOKUP(BH2374,DXB_MALE_DEP,4,0),IF(AND(BD2374="Dependent",BI2374="Male",BF2374="Dubai",BE2374=RN),VLOOKUP(BH2374,DXB_MALE_DEP,5,0),IF(AND(BD2374="Dependent",BI2374="Male",BF2374="Dubai",BE2374=RN_2),VLOOKUP(BH2374,DXB_MALE_DEP,6,0),IF(AND(BD2374="Dependent",BI2374="Male",BF2374="Dubai",BE2374=RN2_minus),VLOOKUP(BH2374,DXB_MALE_DEP,7,0),IF(AND(BD2374="Dependent",BI2374="Male",BF2374="Dubai",BE2374=RN_3),VLOOKUP(BH2374,DXB_MALE_DEP,8,0),IF(AND(BD2374="Dependent",BI2374="Male",BF2374="Dubai",BE2374=VN),VLOOKUP(BH2374,DXB_MALE_DEP,9,0),IF(BD2374="","",IF(AND(BD2374="Dependent",BI2374="Female",BF2374="Dubai",BE2374=GN_Plus),VLOOKUP(BH2374,DXB_FEMALE_DEP,2,0),IF(AND(BD2374="Dependent",BI2374="Female",BF2374="Dubai",BE2374=GN),VLOOKUP(BH2374,DXB_FEMALE_DEP,3,0),IF(AND(BD2374="Dependent",BI2374="Female",BF2374="Dubai",BE2374=RN_Plus),VLOOKUP(BH2374,DXB_FEMALE_DEP,4,0),IF(AND(BD2374="Dependent",BI2374="Female",BF2374="Dubai",BE2374=RN),VLOOKUP(BH2374,DXB_FEMALE_DEP,5,0),IF(AND(BD2374="Dependent",BI2374="Female",BF2374="Dubai",BE2374=RN_2),VLOOKUP(BH2374,DXB_FEMALE_DEP,6,0),IF(AND(BD2374="Dependent",BI2374="Female",BF2374="Dubai",BE2374=RN2_minus),VLOOKUP(BH2374,DXB_FEMALE_DEP,7,0),IF(AND(BD2374="Dependent",BI2374="Female",BF2374="Dubai",BE2374=RN_3),VLOOKUP(BH2374,DXB_FEMALE_DEP,8,0),IF(AND(BD2374="Dependent",BI2374="Female",BF2374="Dubai",BE2374=VN),VLOOKUP(BH2374,DXB_FEMALE_DEP,9,0),"ABC"))))))))))))))))))))))))))))))))))))</f>
        <v/>
      </c>
    </row>
    <row r="2375" spans="1:64" x14ac:dyDescent="0.25">
      <c r="A2375" s="762">
        <f t="shared" ref="A2375:A2438" si="844">+A2374+1</f>
        <v>2370</v>
      </c>
      <c r="B2375" s="229"/>
      <c r="C2375" s="223"/>
      <c r="D2375" s="224"/>
      <c r="E2375" s="225"/>
      <c r="F2375" s="1036" t="str">
        <f t="shared" si="828"/>
        <v/>
      </c>
      <c r="G2375" s="1037" t="str">
        <f t="shared" ref="G2375:G2438" si="845">IF(D2375="","",MAX(0,ROUNDUP(F2375,0)))</f>
        <v/>
      </c>
      <c r="H2375" s="225"/>
      <c r="I2375" s="1013"/>
      <c r="J2375" s="1013"/>
      <c r="K2375" s="1028"/>
      <c r="L2375" s="1035" t="str">
        <f t="shared" si="827"/>
        <v/>
      </c>
      <c r="S2375" s="498"/>
      <c r="AJ2375" s="498"/>
      <c r="AM2375" s="498">
        <f t="shared" si="830"/>
        <v>0</v>
      </c>
      <c r="AN2375" s="498">
        <f t="shared" si="831"/>
        <v>0</v>
      </c>
      <c r="AO2375" s="498">
        <f t="shared" si="832"/>
        <v>0</v>
      </c>
      <c r="AP2375" s="498">
        <f t="shared" si="829"/>
        <v>0</v>
      </c>
      <c r="AQ2375" s="498">
        <f t="shared" ref="AQ2375:AQ2438" si="846">IF(ISBLANK($B2375),0,IF(OR($H2375="Single",$H2375="Married"),0,1))</f>
        <v>0</v>
      </c>
      <c r="AU2375" s="498">
        <f t="shared" si="833"/>
        <v>0</v>
      </c>
      <c r="AV2375" s="498">
        <f t="shared" si="834"/>
        <v>0</v>
      </c>
      <c r="AW2375" s="498">
        <f t="shared" si="835"/>
        <v>0</v>
      </c>
      <c r="AX2375" s="498">
        <f t="shared" si="836"/>
        <v>0</v>
      </c>
      <c r="AY2375" s="498">
        <f t="shared" si="837"/>
        <v>0</v>
      </c>
      <c r="BB2375" s="498" t="str">
        <f t="shared" si="838"/>
        <v/>
      </c>
      <c r="BC2375" s="743" t="str">
        <f t="shared" si="839"/>
        <v/>
      </c>
      <c r="BD2375" s="743" t="str">
        <f t="shared" si="840"/>
        <v/>
      </c>
      <c r="BE2375" s="743" t="str">
        <f>IF(D2375="","",VLOOKUP(D2375,'General Basis'!$J$39:$K$46,2,0))</f>
        <v/>
      </c>
      <c r="BF2375" s="744" t="str">
        <f>IF(D2375="","",VLOOKUP(D2375,'General Basis'!$J$39:$L$46,3,0))</f>
        <v/>
      </c>
      <c r="BG2375" s="744" t="str">
        <f t="shared" ref="BG2375:BG2438" si="847">BC2375&amp;BI2375</f>
        <v/>
      </c>
      <c r="BH2375" s="744" t="str">
        <f>IF(G2375="","",IF(BF2375="Abu Dhabi",IF(G2375&lt;18,'General Basis'!$C$39,IF(G2375&lt;41,'General Basis'!$C$40,IF(G2375&lt;60,'General Basis'!$C$41,IF(G2375&lt;65,'General Basis'!$C$42,'General Basis'!$C$43)))),IF(G2375&lt;11,'General Basis'!$B$39,IF(G2375&lt;18,'General Basis'!$B$40,IF(G2375&lt;26,'General Basis'!$B$41,IF(G2375&lt;31,'General Basis'!$B$42,IF(G2375&lt;36,'General Basis'!$B$43,IF(G2375&lt;41,'General Basis'!$B$44,IF(G2375&lt;46,'General Basis'!$B$45,IF(G2375&lt;51,'General Basis'!$B$46,IF(G2375&lt;56,'General Basis'!$B$47,IF(G2375&lt;60,'General Basis'!$B$48,IF(G2375&lt;65,'General Basis'!$B$49,'General Basis'!$B$50)))))))))))))</f>
        <v/>
      </c>
      <c r="BI2375" s="744" t="str">
        <f t="shared" si="841"/>
        <v/>
      </c>
      <c r="BJ2375" s="747" t="str">
        <f t="shared" ref="BJ2375:BJ2438" si="848">IF(BD2375="","",IF(BF2375="Abu Dhabi",BK2375,BL2375))</f>
        <v/>
      </c>
      <c r="BK2375" s="498" t="str">
        <f t="shared" si="842"/>
        <v/>
      </c>
      <c r="BL2375" s="498" t="str">
        <f t="shared" si="843"/>
        <v/>
      </c>
    </row>
    <row r="2376" spans="1:64" x14ac:dyDescent="0.25">
      <c r="A2376" s="762">
        <f t="shared" si="844"/>
        <v>2371</v>
      </c>
      <c r="B2376" s="229"/>
      <c r="C2376" s="223"/>
      <c r="D2376" s="224"/>
      <c r="E2376" s="225"/>
      <c r="F2376" s="1036" t="str">
        <f t="shared" si="828"/>
        <v/>
      </c>
      <c r="G2376" s="1037" t="str">
        <f t="shared" si="845"/>
        <v/>
      </c>
      <c r="H2376" s="225"/>
      <c r="I2376" s="1013"/>
      <c r="J2376" s="1013"/>
      <c r="K2376" s="1028"/>
      <c r="L2376" s="1035" t="str">
        <f t="shared" ref="L2376:L2439" si="849">IF(AND(E2376="Child",H2376="Married"),"Check the Marital Status of the Child. ",IF(AND(E2376="Child",F2376&gt;18),"Child Age exceed 18 years. ",IF(AND(E2376="Spouse",H2376="Single"),"Spouse is selected as Single. ","")))&amp;IF(K2376&gt;0,"UW Loading has been Applied","")</f>
        <v/>
      </c>
      <c r="S2376" s="498"/>
      <c r="AJ2376" s="498"/>
      <c r="AM2376" s="498">
        <f t="shared" si="830"/>
        <v>0</v>
      </c>
      <c r="AN2376" s="498">
        <f t="shared" si="831"/>
        <v>0</v>
      </c>
      <c r="AO2376" s="498">
        <f t="shared" si="832"/>
        <v>0</v>
      </c>
      <c r="AP2376" s="498">
        <f t="shared" si="829"/>
        <v>0</v>
      </c>
      <c r="AQ2376" s="498">
        <f t="shared" si="846"/>
        <v>0</v>
      </c>
      <c r="AU2376" s="498">
        <f t="shared" si="833"/>
        <v>0</v>
      </c>
      <c r="AV2376" s="498">
        <f t="shared" si="834"/>
        <v>0</v>
      </c>
      <c r="AW2376" s="498">
        <f t="shared" si="835"/>
        <v>0</v>
      </c>
      <c r="AX2376" s="498">
        <f t="shared" si="836"/>
        <v>0</v>
      </c>
      <c r="AY2376" s="498">
        <f t="shared" si="837"/>
        <v>0</v>
      </c>
      <c r="BB2376" s="498" t="str">
        <f t="shared" si="838"/>
        <v/>
      </c>
      <c r="BC2376" s="743" t="str">
        <f t="shared" si="839"/>
        <v/>
      </c>
      <c r="BD2376" s="743" t="str">
        <f t="shared" si="840"/>
        <v/>
      </c>
      <c r="BE2376" s="743" t="str">
        <f>IF(D2376="","",VLOOKUP(D2376,'General Basis'!$J$39:$K$46,2,0))</f>
        <v/>
      </c>
      <c r="BF2376" s="744" t="str">
        <f>IF(D2376="","",VLOOKUP(D2376,'General Basis'!$J$39:$L$46,3,0))</f>
        <v/>
      </c>
      <c r="BG2376" s="744" t="str">
        <f t="shared" si="847"/>
        <v/>
      </c>
      <c r="BH2376" s="744" t="str">
        <f>IF(G2376="","",IF(BF2376="Abu Dhabi",IF(G2376&lt;18,'General Basis'!$C$39,IF(G2376&lt;41,'General Basis'!$C$40,IF(G2376&lt;60,'General Basis'!$C$41,IF(G2376&lt;65,'General Basis'!$C$42,'General Basis'!$C$43)))),IF(G2376&lt;11,'General Basis'!$B$39,IF(G2376&lt;18,'General Basis'!$B$40,IF(G2376&lt;26,'General Basis'!$B$41,IF(G2376&lt;31,'General Basis'!$B$42,IF(G2376&lt;36,'General Basis'!$B$43,IF(G2376&lt;41,'General Basis'!$B$44,IF(G2376&lt;46,'General Basis'!$B$45,IF(G2376&lt;51,'General Basis'!$B$46,IF(G2376&lt;56,'General Basis'!$B$47,IF(G2376&lt;60,'General Basis'!$B$48,IF(G2376&lt;65,'General Basis'!$B$49,'General Basis'!$B$50)))))))))))))</f>
        <v/>
      </c>
      <c r="BI2376" s="744" t="str">
        <f t="shared" si="841"/>
        <v/>
      </c>
      <c r="BJ2376" s="747" t="str">
        <f t="shared" si="848"/>
        <v/>
      </c>
      <c r="BK2376" s="498" t="str">
        <f t="shared" si="842"/>
        <v/>
      </c>
      <c r="BL2376" s="498" t="str">
        <f t="shared" si="843"/>
        <v/>
      </c>
    </row>
    <row r="2377" spans="1:64" x14ac:dyDescent="0.25">
      <c r="A2377" s="762">
        <f t="shared" si="844"/>
        <v>2372</v>
      </c>
      <c r="B2377" s="229"/>
      <c r="C2377" s="223"/>
      <c r="D2377" s="224"/>
      <c r="E2377" s="225"/>
      <c r="F2377" s="1036" t="str">
        <f t="shared" si="828"/>
        <v/>
      </c>
      <c r="G2377" s="1037" t="str">
        <f t="shared" si="845"/>
        <v/>
      </c>
      <c r="H2377" s="225"/>
      <c r="I2377" s="1013"/>
      <c r="J2377" s="1013"/>
      <c r="K2377" s="1028"/>
      <c r="L2377" s="1035" t="str">
        <f t="shared" si="849"/>
        <v/>
      </c>
      <c r="S2377" s="498"/>
      <c r="AJ2377" s="498"/>
      <c r="AM2377" s="498">
        <f t="shared" si="830"/>
        <v>0</v>
      </c>
      <c r="AN2377" s="498">
        <f t="shared" si="831"/>
        <v>0</v>
      </c>
      <c r="AO2377" s="498">
        <f t="shared" si="832"/>
        <v>0</v>
      </c>
      <c r="AP2377" s="498">
        <f t="shared" si="829"/>
        <v>0</v>
      </c>
      <c r="AQ2377" s="498">
        <f t="shared" si="846"/>
        <v>0</v>
      </c>
      <c r="AU2377" s="498">
        <f t="shared" si="833"/>
        <v>0</v>
      </c>
      <c r="AV2377" s="498">
        <f t="shared" si="834"/>
        <v>0</v>
      </c>
      <c r="AW2377" s="498">
        <f t="shared" si="835"/>
        <v>0</v>
      </c>
      <c r="AX2377" s="498">
        <f t="shared" si="836"/>
        <v>0</v>
      </c>
      <c r="AY2377" s="498">
        <f t="shared" si="837"/>
        <v>0</v>
      </c>
      <c r="BB2377" s="498" t="str">
        <f t="shared" si="838"/>
        <v/>
      </c>
      <c r="BC2377" s="743" t="str">
        <f t="shared" si="839"/>
        <v/>
      </c>
      <c r="BD2377" s="743" t="str">
        <f t="shared" si="840"/>
        <v/>
      </c>
      <c r="BE2377" s="743" t="str">
        <f>IF(D2377="","",VLOOKUP(D2377,'General Basis'!$J$39:$K$46,2,0))</f>
        <v/>
      </c>
      <c r="BF2377" s="744" t="str">
        <f>IF(D2377="","",VLOOKUP(D2377,'General Basis'!$J$39:$L$46,3,0))</f>
        <v/>
      </c>
      <c r="BG2377" s="744" t="str">
        <f t="shared" si="847"/>
        <v/>
      </c>
      <c r="BH2377" s="744" t="str">
        <f>IF(G2377="","",IF(BF2377="Abu Dhabi",IF(G2377&lt;18,'General Basis'!$C$39,IF(G2377&lt;41,'General Basis'!$C$40,IF(G2377&lt;60,'General Basis'!$C$41,IF(G2377&lt;65,'General Basis'!$C$42,'General Basis'!$C$43)))),IF(G2377&lt;11,'General Basis'!$B$39,IF(G2377&lt;18,'General Basis'!$B$40,IF(G2377&lt;26,'General Basis'!$B$41,IF(G2377&lt;31,'General Basis'!$B$42,IF(G2377&lt;36,'General Basis'!$B$43,IF(G2377&lt;41,'General Basis'!$B$44,IF(G2377&lt;46,'General Basis'!$B$45,IF(G2377&lt;51,'General Basis'!$B$46,IF(G2377&lt;56,'General Basis'!$B$47,IF(G2377&lt;60,'General Basis'!$B$48,IF(G2377&lt;65,'General Basis'!$B$49,'General Basis'!$B$50)))))))))))))</f>
        <v/>
      </c>
      <c r="BI2377" s="744" t="str">
        <f t="shared" si="841"/>
        <v/>
      </c>
      <c r="BJ2377" s="747" t="str">
        <f t="shared" si="848"/>
        <v/>
      </c>
      <c r="BK2377" s="498" t="str">
        <f t="shared" si="842"/>
        <v/>
      </c>
      <c r="BL2377" s="498" t="str">
        <f t="shared" si="843"/>
        <v/>
      </c>
    </row>
    <row r="2378" spans="1:64" x14ac:dyDescent="0.25">
      <c r="A2378" s="762">
        <f t="shared" si="844"/>
        <v>2373</v>
      </c>
      <c r="B2378" s="229"/>
      <c r="C2378" s="223"/>
      <c r="D2378" s="224"/>
      <c r="E2378" s="225"/>
      <c r="F2378" s="1036" t="str">
        <f t="shared" si="828"/>
        <v/>
      </c>
      <c r="G2378" s="1037" t="str">
        <f t="shared" si="845"/>
        <v/>
      </c>
      <c r="H2378" s="225"/>
      <c r="I2378" s="1013"/>
      <c r="J2378" s="1013"/>
      <c r="K2378" s="1028"/>
      <c r="L2378" s="1035" t="str">
        <f t="shared" si="849"/>
        <v/>
      </c>
      <c r="S2378" s="498"/>
      <c r="AJ2378" s="498"/>
      <c r="AM2378" s="498">
        <f t="shared" si="830"/>
        <v>0</v>
      </c>
      <c r="AN2378" s="498">
        <f t="shared" si="831"/>
        <v>0</v>
      </c>
      <c r="AO2378" s="498">
        <f t="shared" si="832"/>
        <v>0</v>
      </c>
      <c r="AP2378" s="498">
        <f t="shared" si="829"/>
        <v>0</v>
      </c>
      <c r="AQ2378" s="498">
        <f t="shared" si="846"/>
        <v>0</v>
      </c>
      <c r="AU2378" s="498">
        <f t="shared" si="833"/>
        <v>0</v>
      </c>
      <c r="AV2378" s="498">
        <f t="shared" si="834"/>
        <v>0</v>
      </c>
      <c r="AW2378" s="498">
        <f t="shared" si="835"/>
        <v>0</v>
      </c>
      <c r="AX2378" s="498">
        <f t="shared" si="836"/>
        <v>0</v>
      </c>
      <c r="AY2378" s="498">
        <f t="shared" si="837"/>
        <v>0</v>
      </c>
      <c r="BB2378" s="498" t="str">
        <f t="shared" si="838"/>
        <v/>
      </c>
      <c r="BC2378" s="743" t="str">
        <f t="shared" si="839"/>
        <v/>
      </c>
      <c r="BD2378" s="743" t="str">
        <f t="shared" si="840"/>
        <v/>
      </c>
      <c r="BE2378" s="743" t="str">
        <f>IF(D2378="","",VLOOKUP(D2378,'General Basis'!$J$39:$K$46,2,0))</f>
        <v/>
      </c>
      <c r="BF2378" s="744" t="str">
        <f>IF(D2378="","",VLOOKUP(D2378,'General Basis'!$J$39:$L$46,3,0))</f>
        <v/>
      </c>
      <c r="BG2378" s="744" t="str">
        <f t="shared" si="847"/>
        <v/>
      </c>
      <c r="BH2378" s="744" t="str">
        <f>IF(G2378="","",IF(BF2378="Abu Dhabi",IF(G2378&lt;18,'General Basis'!$C$39,IF(G2378&lt;41,'General Basis'!$C$40,IF(G2378&lt;60,'General Basis'!$C$41,IF(G2378&lt;65,'General Basis'!$C$42,'General Basis'!$C$43)))),IF(G2378&lt;11,'General Basis'!$B$39,IF(G2378&lt;18,'General Basis'!$B$40,IF(G2378&lt;26,'General Basis'!$B$41,IF(G2378&lt;31,'General Basis'!$B$42,IF(G2378&lt;36,'General Basis'!$B$43,IF(G2378&lt;41,'General Basis'!$B$44,IF(G2378&lt;46,'General Basis'!$B$45,IF(G2378&lt;51,'General Basis'!$B$46,IF(G2378&lt;56,'General Basis'!$B$47,IF(G2378&lt;60,'General Basis'!$B$48,IF(G2378&lt;65,'General Basis'!$B$49,'General Basis'!$B$50)))))))))))))</f>
        <v/>
      </c>
      <c r="BI2378" s="744" t="str">
        <f t="shared" si="841"/>
        <v/>
      </c>
      <c r="BJ2378" s="747" t="str">
        <f t="shared" si="848"/>
        <v/>
      </c>
      <c r="BK2378" s="498" t="str">
        <f t="shared" si="842"/>
        <v/>
      </c>
      <c r="BL2378" s="498" t="str">
        <f t="shared" si="843"/>
        <v/>
      </c>
    </row>
    <row r="2379" spans="1:64" x14ac:dyDescent="0.25">
      <c r="A2379" s="762">
        <f t="shared" si="844"/>
        <v>2374</v>
      </c>
      <c r="B2379" s="229"/>
      <c r="C2379" s="223"/>
      <c r="D2379" s="224"/>
      <c r="E2379" s="225"/>
      <c r="F2379" s="1036" t="str">
        <f t="shared" si="828"/>
        <v/>
      </c>
      <c r="G2379" s="1037" t="str">
        <f t="shared" si="845"/>
        <v/>
      </c>
      <c r="H2379" s="225"/>
      <c r="I2379" s="1013"/>
      <c r="J2379" s="1013"/>
      <c r="K2379" s="1028"/>
      <c r="L2379" s="1035" t="str">
        <f t="shared" si="849"/>
        <v/>
      </c>
      <c r="S2379" s="498"/>
      <c r="AJ2379" s="498"/>
      <c r="AM2379" s="498">
        <f t="shared" si="830"/>
        <v>0</v>
      </c>
      <c r="AN2379" s="498">
        <f t="shared" si="831"/>
        <v>0</v>
      </c>
      <c r="AO2379" s="498">
        <f t="shared" si="832"/>
        <v>0</v>
      </c>
      <c r="AP2379" s="498">
        <f t="shared" si="829"/>
        <v>0</v>
      </c>
      <c r="AQ2379" s="498">
        <f t="shared" si="846"/>
        <v>0</v>
      </c>
      <c r="AU2379" s="498">
        <f t="shared" si="833"/>
        <v>0</v>
      </c>
      <c r="AV2379" s="498">
        <f t="shared" si="834"/>
        <v>0</v>
      </c>
      <c r="AW2379" s="498">
        <f t="shared" si="835"/>
        <v>0</v>
      </c>
      <c r="AX2379" s="498">
        <f t="shared" si="836"/>
        <v>0</v>
      </c>
      <c r="AY2379" s="498">
        <f t="shared" si="837"/>
        <v>0</v>
      </c>
      <c r="BB2379" s="498" t="str">
        <f t="shared" si="838"/>
        <v/>
      </c>
      <c r="BC2379" s="743" t="str">
        <f t="shared" si="839"/>
        <v/>
      </c>
      <c r="BD2379" s="743" t="str">
        <f t="shared" si="840"/>
        <v/>
      </c>
      <c r="BE2379" s="743" t="str">
        <f>IF(D2379="","",VLOOKUP(D2379,'General Basis'!$J$39:$K$46,2,0))</f>
        <v/>
      </c>
      <c r="BF2379" s="744" t="str">
        <f>IF(D2379="","",VLOOKUP(D2379,'General Basis'!$J$39:$L$46,3,0))</f>
        <v/>
      </c>
      <c r="BG2379" s="744" t="str">
        <f t="shared" si="847"/>
        <v/>
      </c>
      <c r="BH2379" s="744" t="str">
        <f>IF(G2379="","",IF(BF2379="Abu Dhabi",IF(G2379&lt;18,'General Basis'!$C$39,IF(G2379&lt;41,'General Basis'!$C$40,IF(G2379&lt;60,'General Basis'!$C$41,IF(G2379&lt;65,'General Basis'!$C$42,'General Basis'!$C$43)))),IF(G2379&lt;11,'General Basis'!$B$39,IF(G2379&lt;18,'General Basis'!$B$40,IF(G2379&lt;26,'General Basis'!$B$41,IF(G2379&lt;31,'General Basis'!$B$42,IF(G2379&lt;36,'General Basis'!$B$43,IF(G2379&lt;41,'General Basis'!$B$44,IF(G2379&lt;46,'General Basis'!$B$45,IF(G2379&lt;51,'General Basis'!$B$46,IF(G2379&lt;56,'General Basis'!$B$47,IF(G2379&lt;60,'General Basis'!$B$48,IF(G2379&lt;65,'General Basis'!$B$49,'General Basis'!$B$50)))))))))))))</f>
        <v/>
      </c>
      <c r="BI2379" s="744" t="str">
        <f t="shared" si="841"/>
        <v/>
      </c>
      <c r="BJ2379" s="747" t="str">
        <f t="shared" si="848"/>
        <v/>
      </c>
      <c r="BK2379" s="498" t="str">
        <f t="shared" si="842"/>
        <v/>
      </c>
      <c r="BL2379" s="498" t="str">
        <f t="shared" si="843"/>
        <v/>
      </c>
    </row>
    <row r="2380" spans="1:64" x14ac:dyDescent="0.25">
      <c r="A2380" s="762">
        <f t="shared" si="844"/>
        <v>2375</v>
      </c>
      <c r="B2380" s="229"/>
      <c r="C2380" s="223"/>
      <c r="D2380" s="224"/>
      <c r="E2380" s="225"/>
      <c r="F2380" s="1036" t="str">
        <f t="shared" si="828"/>
        <v/>
      </c>
      <c r="G2380" s="1037" t="str">
        <f t="shared" si="845"/>
        <v/>
      </c>
      <c r="H2380" s="225"/>
      <c r="I2380" s="1013"/>
      <c r="J2380" s="1013"/>
      <c r="K2380" s="1028"/>
      <c r="L2380" s="1035" t="str">
        <f t="shared" si="849"/>
        <v/>
      </c>
      <c r="S2380" s="498"/>
      <c r="AJ2380" s="498"/>
      <c r="AM2380" s="498">
        <f t="shared" si="830"/>
        <v>0</v>
      </c>
      <c r="AN2380" s="498">
        <f t="shared" si="831"/>
        <v>0</v>
      </c>
      <c r="AO2380" s="498">
        <f t="shared" si="832"/>
        <v>0</v>
      </c>
      <c r="AP2380" s="498">
        <f t="shared" si="829"/>
        <v>0</v>
      </c>
      <c r="AQ2380" s="498">
        <f t="shared" si="846"/>
        <v>0</v>
      </c>
      <c r="AU2380" s="498">
        <f t="shared" si="833"/>
        <v>0</v>
      </c>
      <c r="AV2380" s="498">
        <f t="shared" si="834"/>
        <v>0</v>
      </c>
      <c r="AW2380" s="498">
        <f t="shared" si="835"/>
        <v>0</v>
      </c>
      <c r="AX2380" s="498">
        <f t="shared" si="836"/>
        <v>0</v>
      </c>
      <c r="AY2380" s="498">
        <f t="shared" si="837"/>
        <v>0</v>
      </c>
      <c r="BB2380" s="498" t="str">
        <f t="shared" si="838"/>
        <v/>
      </c>
      <c r="BC2380" s="743" t="str">
        <f t="shared" si="839"/>
        <v/>
      </c>
      <c r="BD2380" s="743" t="str">
        <f t="shared" si="840"/>
        <v/>
      </c>
      <c r="BE2380" s="743" t="str">
        <f>IF(D2380="","",VLOOKUP(D2380,'General Basis'!$J$39:$K$46,2,0))</f>
        <v/>
      </c>
      <c r="BF2380" s="744" t="str">
        <f>IF(D2380="","",VLOOKUP(D2380,'General Basis'!$J$39:$L$46,3,0))</f>
        <v/>
      </c>
      <c r="BG2380" s="744" t="str">
        <f t="shared" si="847"/>
        <v/>
      </c>
      <c r="BH2380" s="744" t="str">
        <f>IF(G2380="","",IF(BF2380="Abu Dhabi",IF(G2380&lt;18,'General Basis'!$C$39,IF(G2380&lt;41,'General Basis'!$C$40,IF(G2380&lt;60,'General Basis'!$C$41,IF(G2380&lt;65,'General Basis'!$C$42,'General Basis'!$C$43)))),IF(G2380&lt;11,'General Basis'!$B$39,IF(G2380&lt;18,'General Basis'!$B$40,IF(G2380&lt;26,'General Basis'!$B$41,IF(G2380&lt;31,'General Basis'!$B$42,IF(G2380&lt;36,'General Basis'!$B$43,IF(G2380&lt;41,'General Basis'!$B$44,IF(G2380&lt;46,'General Basis'!$B$45,IF(G2380&lt;51,'General Basis'!$B$46,IF(G2380&lt;56,'General Basis'!$B$47,IF(G2380&lt;60,'General Basis'!$B$48,IF(G2380&lt;65,'General Basis'!$B$49,'General Basis'!$B$50)))))))))))))</f>
        <v/>
      </c>
      <c r="BI2380" s="744" t="str">
        <f t="shared" si="841"/>
        <v/>
      </c>
      <c r="BJ2380" s="747" t="str">
        <f t="shared" si="848"/>
        <v/>
      </c>
      <c r="BK2380" s="498" t="str">
        <f t="shared" si="842"/>
        <v/>
      </c>
      <c r="BL2380" s="498" t="str">
        <f t="shared" si="843"/>
        <v/>
      </c>
    </row>
    <row r="2381" spans="1:64" x14ac:dyDescent="0.25">
      <c r="A2381" s="762">
        <f t="shared" si="844"/>
        <v>2376</v>
      </c>
      <c r="B2381" s="229"/>
      <c r="C2381" s="223"/>
      <c r="D2381" s="224"/>
      <c r="E2381" s="225"/>
      <c r="F2381" s="1036" t="str">
        <f t="shared" si="828"/>
        <v/>
      </c>
      <c r="G2381" s="1037" t="str">
        <f t="shared" si="845"/>
        <v/>
      </c>
      <c r="H2381" s="225"/>
      <c r="I2381" s="1013"/>
      <c r="J2381" s="1013"/>
      <c r="K2381" s="1028"/>
      <c r="L2381" s="1035" t="str">
        <f t="shared" si="849"/>
        <v/>
      </c>
      <c r="S2381" s="498"/>
      <c r="AJ2381" s="498"/>
      <c r="AM2381" s="498">
        <f t="shared" si="830"/>
        <v>0</v>
      </c>
      <c r="AN2381" s="498">
        <f t="shared" si="831"/>
        <v>0</v>
      </c>
      <c r="AO2381" s="498">
        <f t="shared" si="832"/>
        <v>0</v>
      </c>
      <c r="AP2381" s="498">
        <f t="shared" si="829"/>
        <v>0</v>
      </c>
      <c r="AQ2381" s="498">
        <f t="shared" si="846"/>
        <v>0</v>
      </c>
      <c r="AU2381" s="498">
        <f t="shared" si="833"/>
        <v>0</v>
      </c>
      <c r="AV2381" s="498">
        <f t="shared" si="834"/>
        <v>0</v>
      </c>
      <c r="AW2381" s="498">
        <f t="shared" si="835"/>
        <v>0</v>
      </c>
      <c r="AX2381" s="498">
        <f t="shared" si="836"/>
        <v>0</v>
      </c>
      <c r="AY2381" s="498">
        <f t="shared" si="837"/>
        <v>0</v>
      </c>
      <c r="BB2381" s="498" t="str">
        <f t="shared" si="838"/>
        <v/>
      </c>
      <c r="BC2381" s="743" t="str">
        <f t="shared" si="839"/>
        <v/>
      </c>
      <c r="BD2381" s="743" t="str">
        <f t="shared" si="840"/>
        <v/>
      </c>
      <c r="BE2381" s="743" t="str">
        <f>IF(D2381="","",VLOOKUP(D2381,'General Basis'!$J$39:$K$46,2,0))</f>
        <v/>
      </c>
      <c r="BF2381" s="744" t="str">
        <f>IF(D2381="","",VLOOKUP(D2381,'General Basis'!$J$39:$L$46,3,0))</f>
        <v/>
      </c>
      <c r="BG2381" s="744" t="str">
        <f t="shared" si="847"/>
        <v/>
      </c>
      <c r="BH2381" s="744" t="str">
        <f>IF(G2381="","",IF(BF2381="Abu Dhabi",IF(G2381&lt;18,'General Basis'!$C$39,IF(G2381&lt;41,'General Basis'!$C$40,IF(G2381&lt;60,'General Basis'!$C$41,IF(G2381&lt;65,'General Basis'!$C$42,'General Basis'!$C$43)))),IF(G2381&lt;11,'General Basis'!$B$39,IF(G2381&lt;18,'General Basis'!$B$40,IF(G2381&lt;26,'General Basis'!$B$41,IF(G2381&lt;31,'General Basis'!$B$42,IF(G2381&lt;36,'General Basis'!$B$43,IF(G2381&lt;41,'General Basis'!$B$44,IF(G2381&lt;46,'General Basis'!$B$45,IF(G2381&lt;51,'General Basis'!$B$46,IF(G2381&lt;56,'General Basis'!$B$47,IF(G2381&lt;60,'General Basis'!$B$48,IF(G2381&lt;65,'General Basis'!$B$49,'General Basis'!$B$50)))))))))))))</f>
        <v/>
      </c>
      <c r="BI2381" s="744" t="str">
        <f t="shared" si="841"/>
        <v/>
      </c>
      <c r="BJ2381" s="747" t="str">
        <f t="shared" si="848"/>
        <v/>
      </c>
      <c r="BK2381" s="498" t="str">
        <f t="shared" si="842"/>
        <v/>
      </c>
      <c r="BL2381" s="498" t="str">
        <f t="shared" si="843"/>
        <v/>
      </c>
    </row>
    <row r="2382" spans="1:64" x14ac:dyDescent="0.25">
      <c r="A2382" s="762">
        <f t="shared" si="844"/>
        <v>2377</v>
      </c>
      <c r="B2382" s="229"/>
      <c r="C2382" s="223"/>
      <c r="D2382" s="224"/>
      <c r="E2382" s="225"/>
      <c r="F2382" s="1036" t="str">
        <f t="shared" si="828"/>
        <v/>
      </c>
      <c r="G2382" s="1037" t="str">
        <f t="shared" si="845"/>
        <v/>
      </c>
      <c r="H2382" s="225"/>
      <c r="I2382" s="1013"/>
      <c r="J2382" s="1013"/>
      <c r="K2382" s="1028"/>
      <c r="L2382" s="1035" t="str">
        <f t="shared" si="849"/>
        <v/>
      </c>
      <c r="S2382" s="498"/>
      <c r="AJ2382" s="498"/>
      <c r="AM2382" s="498">
        <f t="shared" si="830"/>
        <v>0</v>
      </c>
      <c r="AN2382" s="498">
        <f t="shared" si="831"/>
        <v>0</v>
      </c>
      <c r="AO2382" s="498">
        <f t="shared" si="832"/>
        <v>0</v>
      </c>
      <c r="AP2382" s="498">
        <f t="shared" si="829"/>
        <v>0</v>
      </c>
      <c r="AQ2382" s="498">
        <f t="shared" si="846"/>
        <v>0</v>
      </c>
      <c r="AU2382" s="498">
        <f t="shared" si="833"/>
        <v>0</v>
      </c>
      <c r="AV2382" s="498">
        <f t="shared" si="834"/>
        <v>0</v>
      </c>
      <c r="AW2382" s="498">
        <f t="shared" si="835"/>
        <v>0</v>
      </c>
      <c r="AX2382" s="498">
        <f t="shared" si="836"/>
        <v>0</v>
      </c>
      <c r="AY2382" s="498">
        <f t="shared" si="837"/>
        <v>0</v>
      </c>
      <c r="BB2382" s="498" t="str">
        <f t="shared" si="838"/>
        <v/>
      </c>
      <c r="BC2382" s="743" t="str">
        <f t="shared" si="839"/>
        <v/>
      </c>
      <c r="BD2382" s="743" t="str">
        <f t="shared" si="840"/>
        <v/>
      </c>
      <c r="BE2382" s="743" t="str">
        <f>IF(D2382="","",VLOOKUP(D2382,'General Basis'!$J$39:$K$46,2,0))</f>
        <v/>
      </c>
      <c r="BF2382" s="744" t="str">
        <f>IF(D2382="","",VLOOKUP(D2382,'General Basis'!$J$39:$L$46,3,0))</f>
        <v/>
      </c>
      <c r="BG2382" s="744" t="str">
        <f t="shared" si="847"/>
        <v/>
      </c>
      <c r="BH2382" s="744" t="str">
        <f>IF(G2382="","",IF(BF2382="Abu Dhabi",IF(G2382&lt;18,'General Basis'!$C$39,IF(G2382&lt;41,'General Basis'!$C$40,IF(G2382&lt;60,'General Basis'!$C$41,IF(G2382&lt;65,'General Basis'!$C$42,'General Basis'!$C$43)))),IF(G2382&lt;11,'General Basis'!$B$39,IF(G2382&lt;18,'General Basis'!$B$40,IF(G2382&lt;26,'General Basis'!$B$41,IF(G2382&lt;31,'General Basis'!$B$42,IF(G2382&lt;36,'General Basis'!$B$43,IF(G2382&lt;41,'General Basis'!$B$44,IF(G2382&lt;46,'General Basis'!$B$45,IF(G2382&lt;51,'General Basis'!$B$46,IF(G2382&lt;56,'General Basis'!$B$47,IF(G2382&lt;60,'General Basis'!$B$48,IF(G2382&lt;65,'General Basis'!$B$49,'General Basis'!$B$50)))))))))))))</f>
        <v/>
      </c>
      <c r="BI2382" s="744" t="str">
        <f t="shared" si="841"/>
        <v/>
      </c>
      <c r="BJ2382" s="747" t="str">
        <f t="shared" si="848"/>
        <v/>
      </c>
      <c r="BK2382" s="498" t="str">
        <f t="shared" si="842"/>
        <v/>
      </c>
      <c r="BL2382" s="498" t="str">
        <f t="shared" si="843"/>
        <v/>
      </c>
    </row>
    <row r="2383" spans="1:64" x14ac:dyDescent="0.25">
      <c r="A2383" s="762">
        <f t="shared" si="844"/>
        <v>2378</v>
      </c>
      <c r="B2383" s="229"/>
      <c r="C2383" s="223"/>
      <c r="D2383" s="224"/>
      <c r="E2383" s="225"/>
      <c r="F2383" s="1036" t="str">
        <f t="shared" si="828"/>
        <v/>
      </c>
      <c r="G2383" s="1037" t="str">
        <f t="shared" si="845"/>
        <v/>
      </c>
      <c r="H2383" s="225"/>
      <c r="I2383" s="1013"/>
      <c r="J2383" s="1013"/>
      <c r="K2383" s="1028"/>
      <c r="L2383" s="1035" t="str">
        <f t="shared" si="849"/>
        <v/>
      </c>
      <c r="S2383" s="498"/>
      <c r="AJ2383" s="498"/>
      <c r="AM2383" s="498">
        <f t="shared" si="830"/>
        <v>0</v>
      </c>
      <c r="AN2383" s="498">
        <f t="shared" si="831"/>
        <v>0</v>
      </c>
      <c r="AO2383" s="498">
        <f t="shared" si="832"/>
        <v>0</v>
      </c>
      <c r="AP2383" s="498">
        <f t="shared" si="829"/>
        <v>0</v>
      </c>
      <c r="AQ2383" s="498">
        <f t="shared" si="846"/>
        <v>0</v>
      </c>
      <c r="AU2383" s="498">
        <f t="shared" si="833"/>
        <v>0</v>
      </c>
      <c r="AV2383" s="498">
        <f t="shared" si="834"/>
        <v>0</v>
      </c>
      <c r="AW2383" s="498">
        <f t="shared" si="835"/>
        <v>0</v>
      </c>
      <c r="AX2383" s="498">
        <f t="shared" si="836"/>
        <v>0</v>
      </c>
      <c r="AY2383" s="498">
        <f t="shared" si="837"/>
        <v>0</v>
      </c>
      <c r="BB2383" s="498" t="str">
        <f t="shared" si="838"/>
        <v/>
      </c>
      <c r="BC2383" s="743" t="str">
        <f t="shared" si="839"/>
        <v/>
      </c>
      <c r="BD2383" s="743" t="str">
        <f t="shared" si="840"/>
        <v/>
      </c>
      <c r="BE2383" s="743" t="str">
        <f>IF(D2383="","",VLOOKUP(D2383,'General Basis'!$J$39:$K$46,2,0))</f>
        <v/>
      </c>
      <c r="BF2383" s="744" t="str">
        <f>IF(D2383="","",VLOOKUP(D2383,'General Basis'!$J$39:$L$46,3,0))</f>
        <v/>
      </c>
      <c r="BG2383" s="744" t="str">
        <f t="shared" si="847"/>
        <v/>
      </c>
      <c r="BH2383" s="744" t="str">
        <f>IF(G2383="","",IF(BF2383="Abu Dhabi",IF(G2383&lt;18,'General Basis'!$C$39,IF(G2383&lt;41,'General Basis'!$C$40,IF(G2383&lt;60,'General Basis'!$C$41,IF(G2383&lt;65,'General Basis'!$C$42,'General Basis'!$C$43)))),IF(G2383&lt;11,'General Basis'!$B$39,IF(G2383&lt;18,'General Basis'!$B$40,IF(G2383&lt;26,'General Basis'!$B$41,IF(G2383&lt;31,'General Basis'!$B$42,IF(G2383&lt;36,'General Basis'!$B$43,IF(G2383&lt;41,'General Basis'!$B$44,IF(G2383&lt;46,'General Basis'!$B$45,IF(G2383&lt;51,'General Basis'!$B$46,IF(G2383&lt;56,'General Basis'!$B$47,IF(G2383&lt;60,'General Basis'!$B$48,IF(G2383&lt;65,'General Basis'!$B$49,'General Basis'!$B$50)))))))))))))</f>
        <v/>
      </c>
      <c r="BI2383" s="744" t="str">
        <f t="shared" si="841"/>
        <v/>
      </c>
      <c r="BJ2383" s="747" t="str">
        <f t="shared" si="848"/>
        <v/>
      </c>
      <c r="BK2383" s="498" t="str">
        <f t="shared" si="842"/>
        <v/>
      </c>
      <c r="BL2383" s="498" t="str">
        <f t="shared" si="843"/>
        <v/>
      </c>
    </row>
    <row r="2384" spans="1:64" x14ac:dyDescent="0.25">
      <c r="A2384" s="762">
        <f t="shared" si="844"/>
        <v>2379</v>
      </c>
      <c r="B2384" s="229"/>
      <c r="C2384" s="223"/>
      <c r="D2384" s="224"/>
      <c r="E2384" s="225"/>
      <c r="F2384" s="1036" t="str">
        <f t="shared" ref="F2384:F2447" si="850">IF(C2384="","",IF($B2384="","",((YEAR($F$3)-YEAR($B2384))+(MONTH($F$3)-MONTH($B2384))/12+(DAY($F$3)-DAY($B2384))/(DATE(YEAR($F$3),12,31)-DATE(YEAR($F$3),1,1)+1))))</f>
        <v/>
      </c>
      <c r="G2384" s="1037" t="str">
        <f t="shared" si="845"/>
        <v/>
      </c>
      <c r="H2384" s="225"/>
      <c r="I2384" s="1013"/>
      <c r="J2384" s="1013"/>
      <c r="K2384" s="1028"/>
      <c r="L2384" s="1035" t="str">
        <f t="shared" si="849"/>
        <v/>
      </c>
      <c r="S2384" s="498"/>
      <c r="AJ2384" s="498"/>
      <c r="AM2384" s="498">
        <f t="shared" si="830"/>
        <v>0</v>
      </c>
      <c r="AN2384" s="498">
        <f t="shared" si="831"/>
        <v>0</v>
      </c>
      <c r="AO2384" s="498">
        <f t="shared" si="832"/>
        <v>0</v>
      </c>
      <c r="AP2384" s="498">
        <f t="shared" si="829"/>
        <v>0</v>
      </c>
      <c r="AQ2384" s="498">
        <f t="shared" si="846"/>
        <v>0</v>
      </c>
      <c r="AU2384" s="498">
        <f t="shared" si="833"/>
        <v>0</v>
      </c>
      <c r="AV2384" s="498">
        <f t="shared" si="834"/>
        <v>0</v>
      </c>
      <c r="AW2384" s="498">
        <f t="shared" si="835"/>
        <v>0</v>
      </c>
      <c r="AX2384" s="498">
        <f t="shared" si="836"/>
        <v>0</v>
      </c>
      <c r="AY2384" s="498">
        <f t="shared" si="837"/>
        <v>0</v>
      </c>
      <c r="BB2384" s="498" t="str">
        <f t="shared" si="838"/>
        <v/>
      </c>
      <c r="BC2384" s="743" t="str">
        <f t="shared" si="839"/>
        <v/>
      </c>
      <c r="BD2384" s="743" t="str">
        <f t="shared" si="840"/>
        <v/>
      </c>
      <c r="BE2384" s="743" t="str">
        <f>IF(D2384="","",VLOOKUP(D2384,'General Basis'!$J$39:$K$46,2,0))</f>
        <v/>
      </c>
      <c r="BF2384" s="744" t="str">
        <f>IF(D2384="","",VLOOKUP(D2384,'General Basis'!$J$39:$L$46,3,0))</f>
        <v/>
      </c>
      <c r="BG2384" s="744" t="str">
        <f t="shared" si="847"/>
        <v/>
      </c>
      <c r="BH2384" s="744" t="str">
        <f>IF(G2384="","",IF(BF2384="Abu Dhabi",IF(G2384&lt;18,'General Basis'!$C$39,IF(G2384&lt;41,'General Basis'!$C$40,IF(G2384&lt;60,'General Basis'!$C$41,IF(G2384&lt;65,'General Basis'!$C$42,'General Basis'!$C$43)))),IF(G2384&lt;11,'General Basis'!$B$39,IF(G2384&lt;18,'General Basis'!$B$40,IF(G2384&lt;26,'General Basis'!$B$41,IF(G2384&lt;31,'General Basis'!$B$42,IF(G2384&lt;36,'General Basis'!$B$43,IF(G2384&lt;41,'General Basis'!$B$44,IF(G2384&lt;46,'General Basis'!$B$45,IF(G2384&lt;51,'General Basis'!$B$46,IF(G2384&lt;56,'General Basis'!$B$47,IF(G2384&lt;60,'General Basis'!$B$48,IF(G2384&lt;65,'General Basis'!$B$49,'General Basis'!$B$50)))))))))))))</f>
        <v/>
      </c>
      <c r="BI2384" s="744" t="str">
        <f t="shared" si="841"/>
        <v/>
      </c>
      <c r="BJ2384" s="747" t="str">
        <f t="shared" si="848"/>
        <v/>
      </c>
      <c r="BK2384" s="498" t="str">
        <f t="shared" si="842"/>
        <v/>
      </c>
      <c r="BL2384" s="498" t="str">
        <f t="shared" si="843"/>
        <v/>
      </c>
    </row>
    <row r="2385" spans="1:64" x14ac:dyDescent="0.25">
      <c r="A2385" s="762">
        <f t="shared" si="844"/>
        <v>2380</v>
      </c>
      <c r="B2385" s="229"/>
      <c r="C2385" s="223"/>
      <c r="D2385" s="224"/>
      <c r="E2385" s="225"/>
      <c r="F2385" s="1036" t="str">
        <f t="shared" si="850"/>
        <v/>
      </c>
      <c r="G2385" s="1037" t="str">
        <f t="shared" si="845"/>
        <v/>
      </c>
      <c r="H2385" s="225"/>
      <c r="I2385" s="1013"/>
      <c r="J2385" s="1013"/>
      <c r="K2385" s="1028"/>
      <c r="L2385" s="1035" t="str">
        <f t="shared" si="849"/>
        <v/>
      </c>
      <c r="S2385" s="498"/>
      <c r="AJ2385" s="498"/>
      <c r="AM2385" s="498">
        <f t="shared" si="830"/>
        <v>0</v>
      </c>
      <c r="AN2385" s="498">
        <f t="shared" si="831"/>
        <v>0</v>
      </c>
      <c r="AO2385" s="498">
        <f t="shared" si="832"/>
        <v>0</v>
      </c>
      <c r="AP2385" s="498">
        <f t="shared" si="829"/>
        <v>0</v>
      </c>
      <c r="AQ2385" s="498">
        <f t="shared" si="846"/>
        <v>0</v>
      </c>
      <c r="AU2385" s="498">
        <f t="shared" si="833"/>
        <v>0</v>
      </c>
      <c r="AV2385" s="498">
        <f t="shared" si="834"/>
        <v>0</v>
      </c>
      <c r="AW2385" s="498">
        <f t="shared" si="835"/>
        <v>0</v>
      </c>
      <c r="AX2385" s="498">
        <f t="shared" si="836"/>
        <v>0</v>
      </c>
      <c r="AY2385" s="498">
        <f t="shared" si="837"/>
        <v>0</v>
      </c>
      <c r="BB2385" s="498" t="str">
        <f t="shared" si="838"/>
        <v/>
      </c>
      <c r="BC2385" s="743" t="str">
        <f t="shared" si="839"/>
        <v/>
      </c>
      <c r="BD2385" s="743" t="str">
        <f t="shared" si="840"/>
        <v/>
      </c>
      <c r="BE2385" s="743" t="str">
        <f>IF(D2385="","",VLOOKUP(D2385,'General Basis'!$J$39:$K$46,2,0))</f>
        <v/>
      </c>
      <c r="BF2385" s="744" t="str">
        <f>IF(D2385="","",VLOOKUP(D2385,'General Basis'!$J$39:$L$46,3,0))</f>
        <v/>
      </c>
      <c r="BG2385" s="744" t="str">
        <f t="shared" si="847"/>
        <v/>
      </c>
      <c r="BH2385" s="744" t="str">
        <f>IF(G2385="","",IF(BF2385="Abu Dhabi",IF(G2385&lt;18,'General Basis'!$C$39,IF(G2385&lt;41,'General Basis'!$C$40,IF(G2385&lt;60,'General Basis'!$C$41,IF(G2385&lt;65,'General Basis'!$C$42,'General Basis'!$C$43)))),IF(G2385&lt;11,'General Basis'!$B$39,IF(G2385&lt;18,'General Basis'!$B$40,IF(G2385&lt;26,'General Basis'!$B$41,IF(G2385&lt;31,'General Basis'!$B$42,IF(G2385&lt;36,'General Basis'!$B$43,IF(G2385&lt;41,'General Basis'!$B$44,IF(G2385&lt;46,'General Basis'!$B$45,IF(G2385&lt;51,'General Basis'!$B$46,IF(G2385&lt;56,'General Basis'!$B$47,IF(G2385&lt;60,'General Basis'!$B$48,IF(G2385&lt;65,'General Basis'!$B$49,'General Basis'!$B$50)))))))))))))</f>
        <v/>
      </c>
      <c r="BI2385" s="744" t="str">
        <f t="shared" si="841"/>
        <v/>
      </c>
      <c r="BJ2385" s="747" t="str">
        <f t="shared" si="848"/>
        <v/>
      </c>
      <c r="BK2385" s="498" t="str">
        <f t="shared" si="842"/>
        <v/>
      </c>
      <c r="BL2385" s="498" t="str">
        <f t="shared" si="843"/>
        <v/>
      </c>
    </row>
    <row r="2386" spans="1:64" x14ac:dyDescent="0.25">
      <c r="A2386" s="762">
        <f t="shared" si="844"/>
        <v>2381</v>
      </c>
      <c r="B2386" s="229"/>
      <c r="C2386" s="223"/>
      <c r="D2386" s="224"/>
      <c r="E2386" s="225"/>
      <c r="F2386" s="1036" t="str">
        <f t="shared" si="850"/>
        <v/>
      </c>
      <c r="G2386" s="1037" t="str">
        <f t="shared" si="845"/>
        <v/>
      </c>
      <c r="H2386" s="225"/>
      <c r="I2386" s="1013"/>
      <c r="J2386" s="1013"/>
      <c r="K2386" s="1028"/>
      <c r="L2386" s="1035" t="str">
        <f t="shared" si="849"/>
        <v/>
      </c>
      <c r="S2386" s="498"/>
      <c r="AJ2386" s="498"/>
      <c r="AM2386" s="498">
        <f t="shared" si="830"/>
        <v>0</v>
      </c>
      <c r="AN2386" s="498">
        <f t="shared" si="831"/>
        <v>0</v>
      </c>
      <c r="AO2386" s="498">
        <f t="shared" si="832"/>
        <v>0</v>
      </c>
      <c r="AP2386" s="498">
        <f t="shared" si="829"/>
        <v>0</v>
      </c>
      <c r="AQ2386" s="498">
        <f t="shared" si="846"/>
        <v>0</v>
      </c>
      <c r="AU2386" s="498">
        <f t="shared" si="833"/>
        <v>0</v>
      </c>
      <c r="AV2386" s="498">
        <f t="shared" si="834"/>
        <v>0</v>
      </c>
      <c r="AW2386" s="498">
        <f t="shared" si="835"/>
        <v>0</v>
      </c>
      <c r="AX2386" s="498">
        <f t="shared" si="836"/>
        <v>0</v>
      </c>
      <c r="AY2386" s="498">
        <f t="shared" si="837"/>
        <v>0</v>
      </c>
      <c r="BB2386" s="498" t="str">
        <f t="shared" si="838"/>
        <v/>
      </c>
      <c r="BC2386" s="743" t="str">
        <f t="shared" si="839"/>
        <v/>
      </c>
      <c r="BD2386" s="743" t="str">
        <f t="shared" si="840"/>
        <v/>
      </c>
      <c r="BE2386" s="743" t="str">
        <f>IF(D2386="","",VLOOKUP(D2386,'General Basis'!$J$39:$K$46,2,0))</f>
        <v/>
      </c>
      <c r="BF2386" s="744" t="str">
        <f>IF(D2386="","",VLOOKUP(D2386,'General Basis'!$J$39:$L$46,3,0))</f>
        <v/>
      </c>
      <c r="BG2386" s="744" t="str">
        <f t="shared" si="847"/>
        <v/>
      </c>
      <c r="BH2386" s="744" t="str">
        <f>IF(G2386="","",IF(BF2386="Abu Dhabi",IF(G2386&lt;18,'General Basis'!$C$39,IF(G2386&lt;41,'General Basis'!$C$40,IF(G2386&lt;60,'General Basis'!$C$41,IF(G2386&lt;65,'General Basis'!$C$42,'General Basis'!$C$43)))),IF(G2386&lt;11,'General Basis'!$B$39,IF(G2386&lt;18,'General Basis'!$B$40,IF(G2386&lt;26,'General Basis'!$B$41,IF(G2386&lt;31,'General Basis'!$B$42,IF(G2386&lt;36,'General Basis'!$B$43,IF(G2386&lt;41,'General Basis'!$B$44,IF(G2386&lt;46,'General Basis'!$B$45,IF(G2386&lt;51,'General Basis'!$B$46,IF(G2386&lt;56,'General Basis'!$B$47,IF(G2386&lt;60,'General Basis'!$B$48,IF(G2386&lt;65,'General Basis'!$B$49,'General Basis'!$B$50)))))))))))))</f>
        <v/>
      </c>
      <c r="BI2386" s="744" t="str">
        <f t="shared" si="841"/>
        <v/>
      </c>
      <c r="BJ2386" s="747" t="str">
        <f t="shared" si="848"/>
        <v/>
      </c>
      <c r="BK2386" s="498" t="str">
        <f t="shared" si="842"/>
        <v/>
      </c>
      <c r="BL2386" s="498" t="str">
        <f t="shared" si="843"/>
        <v/>
      </c>
    </row>
    <row r="2387" spans="1:64" x14ac:dyDescent="0.25">
      <c r="A2387" s="762">
        <f t="shared" si="844"/>
        <v>2382</v>
      </c>
      <c r="B2387" s="229"/>
      <c r="C2387" s="223"/>
      <c r="D2387" s="224"/>
      <c r="E2387" s="225"/>
      <c r="F2387" s="1036" t="str">
        <f t="shared" si="850"/>
        <v/>
      </c>
      <c r="G2387" s="1037" t="str">
        <f t="shared" si="845"/>
        <v/>
      </c>
      <c r="H2387" s="225"/>
      <c r="I2387" s="1013"/>
      <c r="J2387" s="1013"/>
      <c r="K2387" s="1028"/>
      <c r="L2387" s="1035" t="str">
        <f t="shared" si="849"/>
        <v/>
      </c>
      <c r="S2387" s="498"/>
      <c r="AJ2387" s="498"/>
      <c r="AM2387" s="498">
        <f t="shared" si="830"/>
        <v>0</v>
      </c>
      <c r="AN2387" s="498">
        <f t="shared" si="831"/>
        <v>0</v>
      </c>
      <c r="AO2387" s="498">
        <f t="shared" si="832"/>
        <v>0</v>
      </c>
      <c r="AP2387" s="498">
        <f t="shared" ref="AP2387:AP2450" si="851">IF(ISBLANK($B2387),0,IF(OR($C2387="M",$C2387="F"),0,1))</f>
        <v>0</v>
      </c>
      <c r="AQ2387" s="498">
        <f t="shared" si="846"/>
        <v>0</v>
      </c>
      <c r="AU2387" s="498">
        <f t="shared" si="833"/>
        <v>0</v>
      </c>
      <c r="AV2387" s="498">
        <f t="shared" si="834"/>
        <v>0</v>
      </c>
      <c r="AW2387" s="498">
        <f t="shared" si="835"/>
        <v>0</v>
      </c>
      <c r="AX2387" s="498">
        <f t="shared" si="836"/>
        <v>0</v>
      </c>
      <c r="AY2387" s="498">
        <f t="shared" si="837"/>
        <v>0</v>
      </c>
      <c r="BB2387" s="498" t="str">
        <f t="shared" si="838"/>
        <v/>
      </c>
      <c r="BC2387" s="743" t="str">
        <f t="shared" si="839"/>
        <v/>
      </c>
      <c r="BD2387" s="743" t="str">
        <f t="shared" si="840"/>
        <v/>
      </c>
      <c r="BE2387" s="743" t="str">
        <f>IF(D2387="","",VLOOKUP(D2387,'General Basis'!$J$39:$K$46,2,0))</f>
        <v/>
      </c>
      <c r="BF2387" s="744" t="str">
        <f>IF(D2387="","",VLOOKUP(D2387,'General Basis'!$J$39:$L$46,3,0))</f>
        <v/>
      </c>
      <c r="BG2387" s="744" t="str">
        <f t="shared" si="847"/>
        <v/>
      </c>
      <c r="BH2387" s="744" t="str">
        <f>IF(G2387="","",IF(BF2387="Abu Dhabi",IF(G2387&lt;18,'General Basis'!$C$39,IF(G2387&lt;41,'General Basis'!$C$40,IF(G2387&lt;60,'General Basis'!$C$41,IF(G2387&lt;65,'General Basis'!$C$42,'General Basis'!$C$43)))),IF(G2387&lt;11,'General Basis'!$B$39,IF(G2387&lt;18,'General Basis'!$B$40,IF(G2387&lt;26,'General Basis'!$B$41,IF(G2387&lt;31,'General Basis'!$B$42,IF(G2387&lt;36,'General Basis'!$B$43,IF(G2387&lt;41,'General Basis'!$B$44,IF(G2387&lt;46,'General Basis'!$B$45,IF(G2387&lt;51,'General Basis'!$B$46,IF(G2387&lt;56,'General Basis'!$B$47,IF(G2387&lt;60,'General Basis'!$B$48,IF(G2387&lt;65,'General Basis'!$B$49,'General Basis'!$B$50)))))))))))))</f>
        <v/>
      </c>
      <c r="BI2387" s="744" t="str">
        <f t="shared" si="841"/>
        <v/>
      </c>
      <c r="BJ2387" s="747" t="str">
        <f t="shared" si="848"/>
        <v/>
      </c>
      <c r="BK2387" s="498" t="str">
        <f t="shared" si="842"/>
        <v/>
      </c>
      <c r="BL2387" s="498" t="str">
        <f t="shared" si="843"/>
        <v/>
      </c>
    </row>
    <row r="2388" spans="1:64" x14ac:dyDescent="0.25">
      <c r="A2388" s="762">
        <f t="shared" si="844"/>
        <v>2383</v>
      </c>
      <c r="B2388" s="229"/>
      <c r="C2388" s="223"/>
      <c r="D2388" s="224"/>
      <c r="E2388" s="225"/>
      <c r="F2388" s="1036" t="str">
        <f t="shared" si="850"/>
        <v/>
      </c>
      <c r="G2388" s="1037" t="str">
        <f t="shared" si="845"/>
        <v/>
      </c>
      <c r="H2388" s="225"/>
      <c r="I2388" s="1013"/>
      <c r="J2388" s="1013"/>
      <c r="K2388" s="1028"/>
      <c r="L2388" s="1035" t="str">
        <f t="shared" si="849"/>
        <v/>
      </c>
      <c r="S2388" s="498"/>
      <c r="AJ2388" s="498"/>
      <c r="AM2388" s="498">
        <f t="shared" si="830"/>
        <v>0</v>
      </c>
      <c r="AN2388" s="498">
        <f t="shared" si="831"/>
        <v>0</v>
      </c>
      <c r="AO2388" s="498">
        <f t="shared" si="832"/>
        <v>0</v>
      </c>
      <c r="AP2388" s="498">
        <f t="shared" si="851"/>
        <v>0</v>
      </c>
      <c r="AQ2388" s="498">
        <f t="shared" si="846"/>
        <v>0</v>
      </c>
      <c r="AU2388" s="498">
        <f t="shared" si="833"/>
        <v>0</v>
      </c>
      <c r="AV2388" s="498">
        <f t="shared" si="834"/>
        <v>0</v>
      </c>
      <c r="AW2388" s="498">
        <f t="shared" si="835"/>
        <v>0</v>
      </c>
      <c r="AX2388" s="498">
        <f t="shared" si="836"/>
        <v>0</v>
      </c>
      <c r="AY2388" s="498">
        <f t="shared" si="837"/>
        <v>0</v>
      </c>
      <c r="BB2388" s="498" t="str">
        <f t="shared" si="838"/>
        <v/>
      </c>
      <c r="BC2388" s="743" t="str">
        <f t="shared" si="839"/>
        <v/>
      </c>
      <c r="BD2388" s="743" t="str">
        <f t="shared" si="840"/>
        <v/>
      </c>
      <c r="BE2388" s="743" t="str">
        <f>IF(D2388="","",VLOOKUP(D2388,'General Basis'!$J$39:$K$46,2,0))</f>
        <v/>
      </c>
      <c r="BF2388" s="744" t="str">
        <f>IF(D2388="","",VLOOKUP(D2388,'General Basis'!$J$39:$L$46,3,0))</f>
        <v/>
      </c>
      <c r="BG2388" s="744" t="str">
        <f t="shared" si="847"/>
        <v/>
      </c>
      <c r="BH2388" s="744" t="str">
        <f>IF(G2388="","",IF(BF2388="Abu Dhabi",IF(G2388&lt;18,'General Basis'!$C$39,IF(G2388&lt;41,'General Basis'!$C$40,IF(G2388&lt;60,'General Basis'!$C$41,IF(G2388&lt;65,'General Basis'!$C$42,'General Basis'!$C$43)))),IF(G2388&lt;11,'General Basis'!$B$39,IF(G2388&lt;18,'General Basis'!$B$40,IF(G2388&lt;26,'General Basis'!$B$41,IF(G2388&lt;31,'General Basis'!$B$42,IF(G2388&lt;36,'General Basis'!$B$43,IF(G2388&lt;41,'General Basis'!$B$44,IF(G2388&lt;46,'General Basis'!$B$45,IF(G2388&lt;51,'General Basis'!$B$46,IF(G2388&lt;56,'General Basis'!$B$47,IF(G2388&lt;60,'General Basis'!$B$48,IF(G2388&lt;65,'General Basis'!$B$49,'General Basis'!$B$50)))))))))))))</f>
        <v/>
      </c>
      <c r="BI2388" s="744" t="str">
        <f t="shared" si="841"/>
        <v/>
      </c>
      <c r="BJ2388" s="747" t="str">
        <f t="shared" si="848"/>
        <v/>
      </c>
      <c r="BK2388" s="498" t="str">
        <f t="shared" si="842"/>
        <v/>
      </c>
      <c r="BL2388" s="498" t="str">
        <f t="shared" si="843"/>
        <v/>
      </c>
    </row>
    <row r="2389" spans="1:64" x14ac:dyDescent="0.25">
      <c r="A2389" s="762">
        <f t="shared" si="844"/>
        <v>2384</v>
      </c>
      <c r="B2389" s="229"/>
      <c r="C2389" s="223"/>
      <c r="D2389" s="224"/>
      <c r="E2389" s="225"/>
      <c r="F2389" s="1036" t="str">
        <f t="shared" si="850"/>
        <v/>
      </c>
      <c r="G2389" s="1037" t="str">
        <f t="shared" si="845"/>
        <v/>
      </c>
      <c r="H2389" s="225"/>
      <c r="I2389" s="1013"/>
      <c r="J2389" s="1013"/>
      <c r="K2389" s="1028"/>
      <c r="L2389" s="1035" t="str">
        <f t="shared" si="849"/>
        <v/>
      </c>
      <c r="S2389" s="498"/>
      <c r="AJ2389" s="498"/>
      <c r="AM2389" s="498">
        <f t="shared" si="830"/>
        <v>0</v>
      </c>
      <c r="AN2389" s="498">
        <f t="shared" si="831"/>
        <v>0</v>
      </c>
      <c r="AO2389" s="498">
        <f t="shared" si="832"/>
        <v>0</v>
      </c>
      <c r="AP2389" s="498">
        <f t="shared" si="851"/>
        <v>0</v>
      </c>
      <c r="AQ2389" s="498">
        <f t="shared" si="846"/>
        <v>0</v>
      </c>
      <c r="AU2389" s="498">
        <f t="shared" si="833"/>
        <v>0</v>
      </c>
      <c r="AV2389" s="498">
        <f t="shared" si="834"/>
        <v>0</v>
      </c>
      <c r="AW2389" s="498">
        <f t="shared" si="835"/>
        <v>0</v>
      </c>
      <c r="AX2389" s="498">
        <f t="shared" si="836"/>
        <v>0</v>
      </c>
      <c r="AY2389" s="498">
        <f t="shared" si="837"/>
        <v>0</v>
      </c>
      <c r="BB2389" s="498" t="str">
        <f t="shared" si="838"/>
        <v/>
      </c>
      <c r="BC2389" s="743" t="str">
        <f t="shared" si="839"/>
        <v/>
      </c>
      <c r="BD2389" s="743" t="str">
        <f t="shared" si="840"/>
        <v/>
      </c>
      <c r="BE2389" s="743" t="str">
        <f>IF(D2389="","",VLOOKUP(D2389,'General Basis'!$J$39:$K$46,2,0))</f>
        <v/>
      </c>
      <c r="BF2389" s="744" t="str">
        <f>IF(D2389="","",VLOOKUP(D2389,'General Basis'!$J$39:$L$46,3,0))</f>
        <v/>
      </c>
      <c r="BG2389" s="744" t="str">
        <f t="shared" si="847"/>
        <v/>
      </c>
      <c r="BH2389" s="744" t="str">
        <f>IF(G2389="","",IF(BF2389="Abu Dhabi",IF(G2389&lt;18,'General Basis'!$C$39,IF(G2389&lt;41,'General Basis'!$C$40,IF(G2389&lt;60,'General Basis'!$C$41,IF(G2389&lt;65,'General Basis'!$C$42,'General Basis'!$C$43)))),IF(G2389&lt;11,'General Basis'!$B$39,IF(G2389&lt;18,'General Basis'!$B$40,IF(G2389&lt;26,'General Basis'!$B$41,IF(G2389&lt;31,'General Basis'!$B$42,IF(G2389&lt;36,'General Basis'!$B$43,IF(G2389&lt;41,'General Basis'!$B$44,IF(G2389&lt;46,'General Basis'!$B$45,IF(G2389&lt;51,'General Basis'!$B$46,IF(G2389&lt;56,'General Basis'!$B$47,IF(G2389&lt;60,'General Basis'!$B$48,IF(G2389&lt;65,'General Basis'!$B$49,'General Basis'!$B$50)))))))))))))</f>
        <v/>
      </c>
      <c r="BI2389" s="744" t="str">
        <f t="shared" si="841"/>
        <v/>
      </c>
      <c r="BJ2389" s="747" t="str">
        <f t="shared" si="848"/>
        <v/>
      </c>
      <c r="BK2389" s="498" t="str">
        <f t="shared" si="842"/>
        <v/>
      </c>
      <c r="BL2389" s="498" t="str">
        <f t="shared" si="843"/>
        <v/>
      </c>
    </row>
    <row r="2390" spans="1:64" x14ac:dyDescent="0.25">
      <c r="A2390" s="762">
        <f t="shared" si="844"/>
        <v>2385</v>
      </c>
      <c r="B2390" s="229"/>
      <c r="C2390" s="223"/>
      <c r="D2390" s="224"/>
      <c r="E2390" s="225"/>
      <c r="F2390" s="1036" t="str">
        <f t="shared" si="850"/>
        <v/>
      </c>
      <c r="G2390" s="1037" t="str">
        <f t="shared" si="845"/>
        <v/>
      </c>
      <c r="H2390" s="225"/>
      <c r="I2390" s="1013"/>
      <c r="J2390" s="1013"/>
      <c r="K2390" s="1028"/>
      <c r="L2390" s="1035" t="str">
        <f t="shared" si="849"/>
        <v/>
      </c>
      <c r="S2390" s="498"/>
      <c r="AJ2390" s="498"/>
      <c r="AM2390" s="498">
        <f t="shared" si="830"/>
        <v>0</v>
      </c>
      <c r="AN2390" s="498">
        <f t="shared" si="831"/>
        <v>0</v>
      </c>
      <c r="AO2390" s="498">
        <f t="shared" si="832"/>
        <v>0</v>
      </c>
      <c r="AP2390" s="498">
        <f t="shared" si="851"/>
        <v>0</v>
      </c>
      <c r="AQ2390" s="498">
        <f t="shared" si="846"/>
        <v>0</v>
      </c>
      <c r="AU2390" s="498">
        <f t="shared" si="833"/>
        <v>0</v>
      </c>
      <c r="AV2390" s="498">
        <f t="shared" si="834"/>
        <v>0</v>
      </c>
      <c r="AW2390" s="498">
        <f t="shared" si="835"/>
        <v>0</v>
      </c>
      <c r="AX2390" s="498">
        <f t="shared" si="836"/>
        <v>0</v>
      </c>
      <c r="AY2390" s="498">
        <f t="shared" si="837"/>
        <v>0</v>
      </c>
      <c r="BB2390" s="498" t="str">
        <f t="shared" si="838"/>
        <v/>
      </c>
      <c r="BC2390" s="743" t="str">
        <f t="shared" si="839"/>
        <v/>
      </c>
      <c r="BD2390" s="743" t="str">
        <f t="shared" si="840"/>
        <v/>
      </c>
      <c r="BE2390" s="743" t="str">
        <f>IF(D2390="","",VLOOKUP(D2390,'General Basis'!$J$39:$K$46,2,0))</f>
        <v/>
      </c>
      <c r="BF2390" s="744" t="str">
        <f>IF(D2390="","",VLOOKUP(D2390,'General Basis'!$J$39:$L$46,3,0))</f>
        <v/>
      </c>
      <c r="BG2390" s="744" t="str">
        <f t="shared" si="847"/>
        <v/>
      </c>
      <c r="BH2390" s="744" t="str">
        <f>IF(G2390="","",IF(BF2390="Abu Dhabi",IF(G2390&lt;18,'General Basis'!$C$39,IF(G2390&lt;41,'General Basis'!$C$40,IF(G2390&lt;60,'General Basis'!$C$41,IF(G2390&lt;65,'General Basis'!$C$42,'General Basis'!$C$43)))),IF(G2390&lt;11,'General Basis'!$B$39,IF(G2390&lt;18,'General Basis'!$B$40,IF(G2390&lt;26,'General Basis'!$B$41,IF(G2390&lt;31,'General Basis'!$B$42,IF(G2390&lt;36,'General Basis'!$B$43,IF(G2390&lt;41,'General Basis'!$B$44,IF(G2390&lt;46,'General Basis'!$B$45,IF(G2390&lt;51,'General Basis'!$B$46,IF(G2390&lt;56,'General Basis'!$B$47,IF(G2390&lt;60,'General Basis'!$B$48,IF(G2390&lt;65,'General Basis'!$B$49,'General Basis'!$B$50)))))))))))))</f>
        <v/>
      </c>
      <c r="BI2390" s="744" t="str">
        <f t="shared" si="841"/>
        <v/>
      </c>
      <c r="BJ2390" s="747" t="str">
        <f t="shared" si="848"/>
        <v/>
      </c>
      <c r="BK2390" s="498" t="str">
        <f t="shared" si="842"/>
        <v/>
      </c>
      <c r="BL2390" s="498" t="str">
        <f t="shared" si="843"/>
        <v/>
      </c>
    </row>
    <row r="2391" spans="1:64" x14ac:dyDescent="0.25">
      <c r="A2391" s="762">
        <f t="shared" si="844"/>
        <v>2386</v>
      </c>
      <c r="B2391" s="229"/>
      <c r="C2391" s="223"/>
      <c r="D2391" s="224"/>
      <c r="E2391" s="225"/>
      <c r="F2391" s="1036" t="str">
        <f t="shared" si="850"/>
        <v/>
      </c>
      <c r="G2391" s="1037" t="str">
        <f t="shared" si="845"/>
        <v/>
      </c>
      <c r="H2391" s="225"/>
      <c r="I2391" s="1013"/>
      <c r="J2391" s="1013"/>
      <c r="K2391" s="1028"/>
      <c r="L2391" s="1035" t="str">
        <f t="shared" si="849"/>
        <v/>
      </c>
      <c r="S2391" s="498"/>
      <c r="AJ2391" s="498"/>
      <c r="AM2391" s="498">
        <f t="shared" si="830"/>
        <v>0</v>
      </c>
      <c r="AN2391" s="498">
        <f t="shared" si="831"/>
        <v>0</v>
      </c>
      <c r="AO2391" s="498">
        <f t="shared" si="832"/>
        <v>0</v>
      </c>
      <c r="AP2391" s="498">
        <f t="shared" si="851"/>
        <v>0</v>
      </c>
      <c r="AQ2391" s="498">
        <f t="shared" si="846"/>
        <v>0</v>
      </c>
      <c r="AU2391" s="498">
        <f t="shared" si="833"/>
        <v>0</v>
      </c>
      <c r="AV2391" s="498">
        <f t="shared" si="834"/>
        <v>0</v>
      </c>
      <c r="AW2391" s="498">
        <f t="shared" si="835"/>
        <v>0</v>
      </c>
      <c r="AX2391" s="498">
        <f t="shared" si="836"/>
        <v>0</v>
      </c>
      <c r="AY2391" s="498">
        <f t="shared" si="837"/>
        <v>0</v>
      </c>
      <c r="BB2391" s="498" t="str">
        <f t="shared" si="838"/>
        <v/>
      </c>
      <c r="BC2391" s="743" t="str">
        <f t="shared" si="839"/>
        <v/>
      </c>
      <c r="BD2391" s="743" t="str">
        <f t="shared" si="840"/>
        <v/>
      </c>
      <c r="BE2391" s="743" t="str">
        <f>IF(D2391="","",VLOOKUP(D2391,'General Basis'!$J$39:$K$46,2,0))</f>
        <v/>
      </c>
      <c r="BF2391" s="744" t="str">
        <f>IF(D2391="","",VLOOKUP(D2391,'General Basis'!$J$39:$L$46,3,0))</f>
        <v/>
      </c>
      <c r="BG2391" s="744" t="str">
        <f t="shared" si="847"/>
        <v/>
      </c>
      <c r="BH2391" s="744" t="str">
        <f>IF(G2391="","",IF(BF2391="Abu Dhabi",IF(G2391&lt;18,'General Basis'!$C$39,IF(G2391&lt;41,'General Basis'!$C$40,IF(G2391&lt;60,'General Basis'!$C$41,IF(G2391&lt;65,'General Basis'!$C$42,'General Basis'!$C$43)))),IF(G2391&lt;11,'General Basis'!$B$39,IF(G2391&lt;18,'General Basis'!$B$40,IF(G2391&lt;26,'General Basis'!$B$41,IF(G2391&lt;31,'General Basis'!$B$42,IF(G2391&lt;36,'General Basis'!$B$43,IF(G2391&lt;41,'General Basis'!$B$44,IF(G2391&lt;46,'General Basis'!$B$45,IF(G2391&lt;51,'General Basis'!$B$46,IF(G2391&lt;56,'General Basis'!$B$47,IF(G2391&lt;60,'General Basis'!$B$48,IF(G2391&lt;65,'General Basis'!$B$49,'General Basis'!$B$50)))))))))))))</f>
        <v/>
      </c>
      <c r="BI2391" s="744" t="str">
        <f t="shared" si="841"/>
        <v/>
      </c>
      <c r="BJ2391" s="747" t="str">
        <f t="shared" si="848"/>
        <v/>
      </c>
      <c r="BK2391" s="498" t="str">
        <f t="shared" si="842"/>
        <v/>
      </c>
      <c r="BL2391" s="498" t="str">
        <f t="shared" si="843"/>
        <v/>
      </c>
    </row>
    <row r="2392" spans="1:64" x14ac:dyDescent="0.25">
      <c r="A2392" s="762">
        <f t="shared" si="844"/>
        <v>2387</v>
      </c>
      <c r="B2392" s="229"/>
      <c r="C2392" s="223"/>
      <c r="D2392" s="224"/>
      <c r="E2392" s="225"/>
      <c r="F2392" s="1036" t="str">
        <f t="shared" si="850"/>
        <v/>
      </c>
      <c r="G2392" s="1037" t="str">
        <f t="shared" si="845"/>
        <v/>
      </c>
      <c r="H2392" s="225"/>
      <c r="I2392" s="1013"/>
      <c r="J2392" s="1013"/>
      <c r="K2392" s="1028"/>
      <c r="L2392" s="1035" t="str">
        <f t="shared" si="849"/>
        <v/>
      </c>
      <c r="S2392" s="498"/>
      <c r="AJ2392" s="498"/>
      <c r="AM2392" s="498">
        <f t="shared" si="830"/>
        <v>0</v>
      </c>
      <c r="AN2392" s="498">
        <f t="shared" si="831"/>
        <v>0</v>
      </c>
      <c r="AO2392" s="498">
        <f t="shared" si="832"/>
        <v>0</v>
      </c>
      <c r="AP2392" s="498">
        <f t="shared" si="851"/>
        <v>0</v>
      </c>
      <c r="AQ2392" s="498">
        <f t="shared" si="846"/>
        <v>0</v>
      </c>
      <c r="AU2392" s="498">
        <f t="shared" si="833"/>
        <v>0</v>
      </c>
      <c r="AV2392" s="498">
        <f t="shared" si="834"/>
        <v>0</v>
      </c>
      <c r="AW2392" s="498">
        <f t="shared" si="835"/>
        <v>0</v>
      </c>
      <c r="AX2392" s="498">
        <f t="shared" si="836"/>
        <v>0</v>
      </c>
      <c r="AY2392" s="498">
        <f t="shared" si="837"/>
        <v>0</v>
      </c>
      <c r="BB2392" s="498" t="str">
        <f t="shared" si="838"/>
        <v/>
      </c>
      <c r="BC2392" s="743" t="str">
        <f t="shared" si="839"/>
        <v/>
      </c>
      <c r="BD2392" s="743" t="str">
        <f t="shared" si="840"/>
        <v/>
      </c>
      <c r="BE2392" s="743" t="str">
        <f>IF(D2392="","",VLOOKUP(D2392,'General Basis'!$J$39:$K$46,2,0))</f>
        <v/>
      </c>
      <c r="BF2392" s="744" t="str">
        <f>IF(D2392="","",VLOOKUP(D2392,'General Basis'!$J$39:$L$46,3,0))</f>
        <v/>
      </c>
      <c r="BG2392" s="744" t="str">
        <f t="shared" si="847"/>
        <v/>
      </c>
      <c r="BH2392" s="744" t="str">
        <f>IF(G2392="","",IF(BF2392="Abu Dhabi",IF(G2392&lt;18,'General Basis'!$C$39,IF(G2392&lt;41,'General Basis'!$C$40,IF(G2392&lt;60,'General Basis'!$C$41,IF(G2392&lt;65,'General Basis'!$C$42,'General Basis'!$C$43)))),IF(G2392&lt;11,'General Basis'!$B$39,IF(G2392&lt;18,'General Basis'!$B$40,IF(G2392&lt;26,'General Basis'!$B$41,IF(G2392&lt;31,'General Basis'!$B$42,IF(G2392&lt;36,'General Basis'!$B$43,IF(G2392&lt;41,'General Basis'!$B$44,IF(G2392&lt;46,'General Basis'!$B$45,IF(G2392&lt;51,'General Basis'!$B$46,IF(G2392&lt;56,'General Basis'!$B$47,IF(G2392&lt;60,'General Basis'!$B$48,IF(G2392&lt;65,'General Basis'!$B$49,'General Basis'!$B$50)))))))))))))</f>
        <v/>
      </c>
      <c r="BI2392" s="744" t="str">
        <f t="shared" si="841"/>
        <v/>
      </c>
      <c r="BJ2392" s="747" t="str">
        <f t="shared" si="848"/>
        <v/>
      </c>
      <c r="BK2392" s="498" t="str">
        <f t="shared" si="842"/>
        <v/>
      </c>
      <c r="BL2392" s="498" t="str">
        <f t="shared" si="843"/>
        <v/>
      </c>
    </row>
    <row r="2393" spans="1:64" x14ac:dyDescent="0.25">
      <c r="A2393" s="762">
        <f t="shared" si="844"/>
        <v>2388</v>
      </c>
      <c r="B2393" s="229"/>
      <c r="C2393" s="223"/>
      <c r="D2393" s="224"/>
      <c r="E2393" s="225"/>
      <c r="F2393" s="1036" t="str">
        <f t="shared" si="850"/>
        <v/>
      </c>
      <c r="G2393" s="1037" t="str">
        <f t="shared" si="845"/>
        <v/>
      </c>
      <c r="H2393" s="225"/>
      <c r="I2393" s="1013"/>
      <c r="J2393" s="1013"/>
      <c r="K2393" s="1028"/>
      <c r="L2393" s="1035" t="str">
        <f t="shared" si="849"/>
        <v/>
      </c>
      <c r="S2393" s="498"/>
      <c r="AJ2393" s="498"/>
      <c r="AM2393" s="498">
        <f t="shared" si="830"/>
        <v>0</v>
      </c>
      <c r="AN2393" s="498">
        <f t="shared" si="831"/>
        <v>0</v>
      </c>
      <c r="AO2393" s="498">
        <f t="shared" si="832"/>
        <v>0</v>
      </c>
      <c r="AP2393" s="498">
        <f t="shared" si="851"/>
        <v>0</v>
      </c>
      <c r="AQ2393" s="498">
        <f t="shared" si="846"/>
        <v>0</v>
      </c>
      <c r="AU2393" s="498">
        <f t="shared" si="833"/>
        <v>0</v>
      </c>
      <c r="AV2393" s="498">
        <f t="shared" si="834"/>
        <v>0</v>
      </c>
      <c r="AW2393" s="498">
        <f t="shared" si="835"/>
        <v>0</v>
      </c>
      <c r="AX2393" s="498">
        <f t="shared" si="836"/>
        <v>0</v>
      </c>
      <c r="AY2393" s="498">
        <f t="shared" si="837"/>
        <v>0</v>
      </c>
      <c r="BB2393" s="498" t="str">
        <f t="shared" si="838"/>
        <v/>
      </c>
      <c r="BC2393" s="743" t="str">
        <f t="shared" si="839"/>
        <v/>
      </c>
      <c r="BD2393" s="743" t="str">
        <f t="shared" si="840"/>
        <v/>
      </c>
      <c r="BE2393" s="743" t="str">
        <f>IF(D2393="","",VLOOKUP(D2393,'General Basis'!$J$39:$K$46,2,0))</f>
        <v/>
      </c>
      <c r="BF2393" s="744" t="str">
        <f>IF(D2393="","",VLOOKUP(D2393,'General Basis'!$J$39:$L$46,3,0))</f>
        <v/>
      </c>
      <c r="BG2393" s="744" t="str">
        <f t="shared" si="847"/>
        <v/>
      </c>
      <c r="BH2393" s="744" t="str">
        <f>IF(G2393="","",IF(BF2393="Abu Dhabi",IF(G2393&lt;18,'General Basis'!$C$39,IF(G2393&lt;41,'General Basis'!$C$40,IF(G2393&lt;60,'General Basis'!$C$41,IF(G2393&lt;65,'General Basis'!$C$42,'General Basis'!$C$43)))),IF(G2393&lt;11,'General Basis'!$B$39,IF(G2393&lt;18,'General Basis'!$B$40,IF(G2393&lt;26,'General Basis'!$B$41,IF(G2393&lt;31,'General Basis'!$B$42,IF(G2393&lt;36,'General Basis'!$B$43,IF(G2393&lt;41,'General Basis'!$B$44,IF(G2393&lt;46,'General Basis'!$B$45,IF(G2393&lt;51,'General Basis'!$B$46,IF(G2393&lt;56,'General Basis'!$B$47,IF(G2393&lt;60,'General Basis'!$B$48,IF(G2393&lt;65,'General Basis'!$B$49,'General Basis'!$B$50)))))))))))))</f>
        <v/>
      </c>
      <c r="BI2393" s="744" t="str">
        <f t="shared" si="841"/>
        <v/>
      </c>
      <c r="BJ2393" s="747" t="str">
        <f t="shared" si="848"/>
        <v/>
      </c>
      <c r="BK2393" s="498" t="str">
        <f t="shared" si="842"/>
        <v/>
      </c>
      <c r="BL2393" s="498" t="str">
        <f t="shared" si="843"/>
        <v/>
      </c>
    </row>
    <row r="2394" spans="1:64" x14ac:dyDescent="0.25">
      <c r="A2394" s="762">
        <f t="shared" si="844"/>
        <v>2389</v>
      </c>
      <c r="B2394" s="229"/>
      <c r="C2394" s="223"/>
      <c r="D2394" s="224"/>
      <c r="E2394" s="225"/>
      <c r="F2394" s="1036" t="str">
        <f t="shared" si="850"/>
        <v/>
      </c>
      <c r="G2394" s="1037" t="str">
        <f t="shared" si="845"/>
        <v/>
      </c>
      <c r="H2394" s="225"/>
      <c r="I2394" s="1013"/>
      <c r="J2394" s="1013"/>
      <c r="K2394" s="1028"/>
      <c r="L2394" s="1035" t="str">
        <f t="shared" si="849"/>
        <v/>
      </c>
      <c r="S2394" s="498"/>
      <c r="AJ2394" s="498"/>
      <c r="AM2394" s="498">
        <f t="shared" si="830"/>
        <v>0</v>
      </c>
      <c r="AN2394" s="498">
        <f t="shared" si="831"/>
        <v>0</v>
      </c>
      <c r="AO2394" s="498">
        <f t="shared" si="832"/>
        <v>0</v>
      </c>
      <c r="AP2394" s="498">
        <f t="shared" si="851"/>
        <v>0</v>
      </c>
      <c r="AQ2394" s="498">
        <f t="shared" si="846"/>
        <v>0</v>
      </c>
      <c r="AU2394" s="498">
        <f t="shared" si="833"/>
        <v>0</v>
      </c>
      <c r="AV2394" s="498">
        <f t="shared" si="834"/>
        <v>0</v>
      </c>
      <c r="AW2394" s="498">
        <f t="shared" si="835"/>
        <v>0</v>
      </c>
      <c r="AX2394" s="498">
        <f t="shared" si="836"/>
        <v>0</v>
      </c>
      <c r="AY2394" s="498">
        <f t="shared" si="837"/>
        <v>0</v>
      </c>
      <c r="BB2394" s="498" t="str">
        <f t="shared" si="838"/>
        <v/>
      </c>
      <c r="BC2394" s="743" t="str">
        <f t="shared" si="839"/>
        <v/>
      </c>
      <c r="BD2394" s="743" t="str">
        <f t="shared" si="840"/>
        <v/>
      </c>
      <c r="BE2394" s="743" t="str">
        <f>IF(D2394="","",VLOOKUP(D2394,'General Basis'!$J$39:$K$46,2,0))</f>
        <v/>
      </c>
      <c r="BF2394" s="744" t="str">
        <f>IF(D2394="","",VLOOKUP(D2394,'General Basis'!$J$39:$L$46,3,0))</f>
        <v/>
      </c>
      <c r="BG2394" s="744" t="str">
        <f t="shared" si="847"/>
        <v/>
      </c>
      <c r="BH2394" s="744" t="str">
        <f>IF(G2394="","",IF(BF2394="Abu Dhabi",IF(G2394&lt;18,'General Basis'!$C$39,IF(G2394&lt;41,'General Basis'!$C$40,IF(G2394&lt;60,'General Basis'!$C$41,IF(G2394&lt;65,'General Basis'!$C$42,'General Basis'!$C$43)))),IF(G2394&lt;11,'General Basis'!$B$39,IF(G2394&lt;18,'General Basis'!$B$40,IF(G2394&lt;26,'General Basis'!$B$41,IF(G2394&lt;31,'General Basis'!$B$42,IF(G2394&lt;36,'General Basis'!$B$43,IF(G2394&lt;41,'General Basis'!$B$44,IF(G2394&lt;46,'General Basis'!$B$45,IF(G2394&lt;51,'General Basis'!$B$46,IF(G2394&lt;56,'General Basis'!$B$47,IF(G2394&lt;60,'General Basis'!$B$48,IF(G2394&lt;65,'General Basis'!$B$49,'General Basis'!$B$50)))))))))))))</f>
        <v/>
      </c>
      <c r="BI2394" s="744" t="str">
        <f t="shared" si="841"/>
        <v/>
      </c>
      <c r="BJ2394" s="747" t="str">
        <f t="shared" si="848"/>
        <v/>
      </c>
      <c r="BK2394" s="498" t="str">
        <f t="shared" si="842"/>
        <v/>
      </c>
      <c r="BL2394" s="498" t="str">
        <f t="shared" si="843"/>
        <v/>
      </c>
    </row>
    <row r="2395" spans="1:64" x14ac:dyDescent="0.25">
      <c r="A2395" s="762">
        <f t="shared" si="844"/>
        <v>2390</v>
      </c>
      <c r="B2395" s="229"/>
      <c r="C2395" s="223"/>
      <c r="D2395" s="224"/>
      <c r="E2395" s="225"/>
      <c r="F2395" s="1036" t="str">
        <f t="shared" si="850"/>
        <v/>
      </c>
      <c r="G2395" s="1037" t="str">
        <f t="shared" si="845"/>
        <v/>
      </c>
      <c r="H2395" s="225"/>
      <c r="I2395" s="1013"/>
      <c r="J2395" s="1013"/>
      <c r="K2395" s="1028"/>
      <c r="L2395" s="1035" t="str">
        <f t="shared" si="849"/>
        <v/>
      </c>
      <c r="S2395" s="498"/>
      <c r="AJ2395" s="498"/>
      <c r="AM2395" s="498">
        <f t="shared" si="830"/>
        <v>0</v>
      </c>
      <c r="AN2395" s="498">
        <f t="shared" si="831"/>
        <v>0</v>
      </c>
      <c r="AO2395" s="498">
        <f t="shared" si="832"/>
        <v>0</v>
      </c>
      <c r="AP2395" s="498">
        <f t="shared" si="851"/>
        <v>0</v>
      </c>
      <c r="AQ2395" s="498">
        <f t="shared" si="846"/>
        <v>0</v>
      </c>
      <c r="AU2395" s="498">
        <f t="shared" si="833"/>
        <v>0</v>
      </c>
      <c r="AV2395" s="498">
        <f t="shared" si="834"/>
        <v>0</v>
      </c>
      <c r="AW2395" s="498">
        <f t="shared" si="835"/>
        <v>0</v>
      </c>
      <c r="AX2395" s="498">
        <f t="shared" si="836"/>
        <v>0</v>
      </c>
      <c r="AY2395" s="498">
        <f t="shared" si="837"/>
        <v>0</v>
      </c>
      <c r="BB2395" s="498" t="str">
        <f t="shared" si="838"/>
        <v/>
      </c>
      <c r="BC2395" s="743" t="str">
        <f t="shared" si="839"/>
        <v/>
      </c>
      <c r="BD2395" s="743" t="str">
        <f t="shared" si="840"/>
        <v/>
      </c>
      <c r="BE2395" s="743" t="str">
        <f>IF(D2395="","",VLOOKUP(D2395,'General Basis'!$J$39:$K$46,2,0))</f>
        <v/>
      </c>
      <c r="BF2395" s="744" t="str">
        <f>IF(D2395="","",VLOOKUP(D2395,'General Basis'!$J$39:$L$46,3,0))</f>
        <v/>
      </c>
      <c r="BG2395" s="744" t="str">
        <f t="shared" si="847"/>
        <v/>
      </c>
      <c r="BH2395" s="744" t="str">
        <f>IF(G2395="","",IF(BF2395="Abu Dhabi",IF(G2395&lt;18,'General Basis'!$C$39,IF(G2395&lt;41,'General Basis'!$C$40,IF(G2395&lt;60,'General Basis'!$C$41,IF(G2395&lt;65,'General Basis'!$C$42,'General Basis'!$C$43)))),IF(G2395&lt;11,'General Basis'!$B$39,IF(G2395&lt;18,'General Basis'!$B$40,IF(G2395&lt;26,'General Basis'!$B$41,IF(G2395&lt;31,'General Basis'!$B$42,IF(G2395&lt;36,'General Basis'!$B$43,IF(G2395&lt;41,'General Basis'!$B$44,IF(G2395&lt;46,'General Basis'!$B$45,IF(G2395&lt;51,'General Basis'!$B$46,IF(G2395&lt;56,'General Basis'!$B$47,IF(G2395&lt;60,'General Basis'!$B$48,IF(G2395&lt;65,'General Basis'!$B$49,'General Basis'!$B$50)))))))))))))</f>
        <v/>
      </c>
      <c r="BI2395" s="744" t="str">
        <f t="shared" si="841"/>
        <v/>
      </c>
      <c r="BJ2395" s="747" t="str">
        <f t="shared" si="848"/>
        <v/>
      </c>
      <c r="BK2395" s="498" t="str">
        <f t="shared" si="842"/>
        <v/>
      </c>
      <c r="BL2395" s="498" t="str">
        <f t="shared" si="843"/>
        <v/>
      </c>
    </row>
    <row r="2396" spans="1:64" x14ac:dyDescent="0.25">
      <c r="A2396" s="762">
        <f t="shared" si="844"/>
        <v>2391</v>
      </c>
      <c r="B2396" s="229"/>
      <c r="C2396" s="223"/>
      <c r="D2396" s="224"/>
      <c r="E2396" s="225"/>
      <c r="F2396" s="1036" t="str">
        <f t="shared" si="850"/>
        <v/>
      </c>
      <c r="G2396" s="1037" t="str">
        <f t="shared" si="845"/>
        <v/>
      </c>
      <c r="H2396" s="225"/>
      <c r="I2396" s="1013"/>
      <c r="J2396" s="1013"/>
      <c r="K2396" s="1028"/>
      <c r="L2396" s="1035" t="str">
        <f t="shared" si="849"/>
        <v/>
      </c>
      <c r="S2396" s="498"/>
      <c r="AJ2396" s="498"/>
      <c r="AM2396" s="498">
        <f t="shared" si="830"/>
        <v>0</v>
      </c>
      <c r="AN2396" s="498">
        <f t="shared" si="831"/>
        <v>0</v>
      </c>
      <c r="AO2396" s="498">
        <f t="shared" si="832"/>
        <v>0</v>
      </c>
      <c r="AP2396" s="498">
        <f t="shared" si="851"/>
        <v>0</v>
      </c>
      <c r="AQ2396" s="498">
        <f t="shared" si="846"/>
        <v>0</v>
      </c>
      <c r="AU2396" s="498">
        <f t="shared" si="833"/>
        <v>0</v>
      </c>
      <c r="AV2396" s="498">
        <f t="shared" si="834"/>
        <v>0</v>
      </c>
      <c r="AW2396" s="498">
        <f t="shared" si="835"/>
        <v>0</v>
      </c>
      <c r="AX2396" s="498">
        <f t="shared" si="836"/>
        <v>0</v>
      </c>
      <c r="AY2396" s="498">
        <f t="shared" si="837"/>
        <v>0</v>
      </c>
      <c r="BB2396" s="498" t="str">
        <f t="shared" si="838"/>
        <v/>
      </c>
      <c r="BC2396" s="743" t="str">
        <f t="shared" si="839"/>
        <v/>
      </c>
      <c r="BD2396" s="743" t="str">
        <f t="shared" si="840"/>
        <v/>
      </c>
      <c r="BE2396" s="743" t="str">
        <f>IF(D2396="","",VLOOKUP(D2396,'General Basis'!$J$39:$K$46,2,0))</f>
        <v/>
      </c>
      <c r="BF2396" s="744" t="str">
        <f>IF(D2396="","",VLOOKUP(D2396,'General Basis'!$J$39:$L$46,3,0))</f>
        <v/>
      </c>
      <c r="BG2396" s="744" t="str">
        <f t="shared" si="847"/>
        <v/>
      </c>
      <c r="BH2396" s="744" t="str">
        <f>IF(G2396="","",IF(BF2396="Abu Dhabi",IF(G2396&lt;18,'General Basis'!$C$39,IF(G2396&lt;41,'General Basis'!$C$40,IF(G2396&lt;60,'General Basis'!$C$41,IF(G2396&lt;65,'General Basis'!$C$42,'General Basis'!$C$43)))),IF(G2396&lt;11,'General Basis'!$B$39,IF(G2396&lt;18,'General Basis'!$B$40,IF(G2396&lt;26,'General Basis'!$B$41,IF(G2396&lt;31,'General Basis'!$B$42,IF(G2396&lt;36,'General Basis'!$B$43,IF(G2396&lt;41,'General Basis'!$B$44,IF(G2396&lt;46,'General Basis'!$B$45,IF(G2396&lt;51,'General Basis'!$B$46,IF(G2396&lt;56,'General Basis'!$B$47,IF(G2396&lt;60,'General Basis'!$B$48,IF(G2396&lt;65,'General Basis'!$B$49,'General Basis'!$B$50)))))))))))))</f>
        <v/>
      </c>
      <c r="BI2396" s="744" t="str">
        <f t="shared" si="841"/>
        <v/>
      </c>
      <c r="BJ2396" s="747" t="str">
        <f t="shared" si="848"/>
        <v/>
      </c>
      <c r="BK2396" s="498" t="str">
        <f t="shared" si="842"/>
        <v/>
      </c>
      <c r="BL2396" s="498" t="str">
        <f t="shared" si="843"/>
        <v/>
      </c>
    </row>
    <row r="2397" spans="1:64" x14ac:dyDescent="0.25">
      <c r="A2397" s="762">
        <f t="shared" si="844"/>
        <v>2392</v>
      </c>
      <c r="B2397" s="229"/>
      <c r="C2397" s="223"/>
      <c r="D2397" s="224"/>
      <c r="E2397" s="225"/>
      <c r="F2397" s="1036" t="str">
        <f t="shared" si="850"/>
        <v/>
      </c>
      <c r="G2397" s="1037" t="str">
        <f t="shared" si="845"/>
        <v/>
      </c>
      <c r="H2397" s="225"/>
      <c r="I2397" s="1013"/>
      <c r="J2397" s="1013"/>
      <c r="K2397" s="1028"/>
      <c r="L2397" s="1035" t="str">
        <f t="shared" si="849"/>
        <v/>
      </c>
      <c r="S2397" s="498"/>
      <c r="AJ2397" s="498"/>
      <c r="AM2397" s="498">
        <f t="shared" si="830"/>
        <v>0</v>
      </c>
      <c r="AN2397" s="498">
        <f t="shared" si="831"/>
        <v>0</v>
      </c>
      <c r="AO2397" s="498">
        <f t="shared" si="832"/>
        <v>0</v>
      </c>
      <c r="AP2397" s="498">
        <f t="shared" si="851"/>
        <v>0</v>
      </c>
      <c r="AQ2397" s="498">
        <f t="shared" si="846"/>
        <v>0</v>
      </c>
      <c r="AU2397" s="498">
        <f t="shared" si="833"/>
        <v>0</v>
      </c>
      <c r="AV2397" s="498">
        <f t="shared" si="834"/>
        <v>0</v>
      </c>
      <c r="AW2397" s="498">
        <f t="shared" si="835"/>
        <v>0</v>
      </c>
      <c r="AX2397" s="498">
        <f t="shared" si="836"/>
        <v>0</v>
      </c>
      <c r="AY2397" s="498">
        <f t="shared" si="837"/>
        <v>0</v>
      </c>
      <c r="BB2397" s="498" t="str">
        <f t="shared" si="838"/>
        <v/>
      </c>
      <c r="BC2397" s="743" t="str">
        <f t="shared" si="839"/>
        <v/>
      </c>
      <c r="BD2397" s="743" t="str">
        <f t="shared" si="840"/>
        <v/>
      </c>
      <c r="BE2397" s="743" t="str">
        <f>IF(D2397="","",VLOOKUP(D2397,'General Basis'!$J$39:$K$46,2,0))</f>
        <v/>
      </c>
      <c r="BF2397" s="744" t="str">
        <f>IF(D2397="","",VLOOKUP(D2397,'General Basis'!$J$39:$L$46,3,0))</f>
        <v/>
      </c>
      <c r="BG2397" s="744" t="str">
        <f t="shared" si="847"/>
        <v/>
      </c>
      <c r="BH2397" s="744" t="str">
        <f>IF(G2397="","",IF(BF2397="Abu Dhabi",IF(G2397&lt;18,'General Basis'!$C$39,IF(G2397&lt;41,'General Basis'!$C$40,IF(G2397&lt;60,'General Basis'!$C$41,IF(G2397&lt;65,'General Basis'!$C$42,'General Basis'!$C$43)))),IF(G2397&lt;11,'General Basis'!$B$39,IF(G2397&lt;18,'General Basis'!$B$40,IF(G2397&lt;26,'General Basis'!$B$41,IF(G2397&lt;31,'General Basis'!$B$42,IF(G2397&lt;36,'General Basis'!$B$43,IF(G2397&lt;41,'General Basis'!$B$44,IF(G2397&lt;46,'General Basis'!$B$45,IF(G2397&lt;51,'General Basis'!$B$46,IF(G2397&lt;56,'General Basis'!$B$47,IF(G2397&lt;60,'General Basis'!$B$48,IF(G2397&lt;65,'General Basis'!$B$49,'General Basis'!$B$50)))))))))))))</f>
        <v/>
      </c>
      <c r="BI2397" s="744" t="str">
        <f t="shared" si="841"/>
        <v/>
      </c>
      <c r="BJ2397" s="747" t="str">
        <f t="shared" si="848"/>
        <v/>
      </c>
      <c r="BK2397" s="498" t="str">
        <f t="shared" si="842"/>
        <v/>
      </c>
      <c r="BL2397" s="498" t="str">
        <f t="shared" si="843"/>
        <v/>
      </c>
    </row>
    <row r="2398" spans="1:64" x14ac:dyDescent="0.25">
      <c r="A2398" s="762">
        <f t="shared" si="844"/>
        <v>2393</v>
      </c>
      <c r="B2398" s="229"/>
      <c r="C2398" s="223"/>
      <c r="D2398" s="224"/>
      <c r="E2398" s="225"/>
      <c r="F2398" s="1036" t="str">
        <f t="shared" si="850"/>
        <v/>
      </c>
      <c r="G2398" s="1037" t="str">
        <f t="shared" si="845"/>
        <v/>
      </c>
      <c r="H2398" s="225"/>
      <c r="I2398" s="1013"/>
      <c r="J2398" s="1013"/>
      <c r="K2398" s="1028"/>
      <c r="L2398" s="1035" t="str">
        <f t="shared" si="849"/>
        <v/>
      </c>
      <c r="S2398" s="498"/>
      <c r="AJ2398" s="498"/>
      <c r="AM2398" s="498">
        <f t="shared" si="830"/>
        <v>0</v>
      </c>
      <c r="AN2398" s="498">
        <f t="shared" si="831"/>
        <v>0</v>
      </c>
      <c r="AO2398" s="498">
        <f t="shared" si="832"/>
        <v>0</v>
      </c>
      <c r="AP2398" s="498">
        <f t="shared" si="851"/>
        <v>0</v>
      </c>
      <c r="AQ2398" s="498">
        <f t="shared" si="846"/>
        <v>0</v>
      </c>
      <c r="AU2398" s="498">
        <f t="shared" si="833"/>
        <v>0</v>
      </c>
      <c r="AV2398" s="498">
        <f t="shared" si="834"/>
        <v>0</v>
      </c>
      <c r="AW2398" s="498">
        <f t="shared" si="835"/>
        <v>0</v>
      </c>
      <c r="AX2398" s="498">
        <f t="shared" si="836"/>
        <v>0</v>
      </c>
      <c r="AY2398" s="498">
        <f t="shared" si="837"/>
        <v>0</v>
      </c>
      <c r="BB2398" s="498" t="str">
        <f t="shared" si="838"/>
        <v/>
      </c>
      <c r="BC2398" s="743" t="str">
        <f t="shared" si="839"/>
        <v/>
      </c>
      <c r="BD2398" s="743" t="str">
        <f t="shared" si="840"/>
        <v/>
      </c>
      <c r="BE2398" s="743" t="str">
        <f>IF(D2398="","",VLOOKUP(D2398,'General Basis'!$J$39:$K$46,2,0))</f>
        <v/>
      </c>
      <c r="BF2398" s="744" t="str">
        <f>IF(D2398="","",VLOOKUP(D2398,'General Basis'!$J$39:$L$46,3,0))</f>
        <v/>
      </c>
      <c r="BG2398" s="744" t="str">
        <f t="shared" si="847"/>
        <v/>
      </c>
      <c r="BH2398" s="744" t="str">
        <f>IF(G2398="","",IF(BF2398="Abu Dhabi",IF(G2398&lt;18,'General Basis'!$C$39,IF(G2398&lt;41,'General Basis'!$C$40,IF(G2398&lt;60,'General Basis'!$C$41,IF(G2398&lt;65,'General Basis'!$C$42,'General Basis'!$C$43)))),IF(G2398&lt;11,'General Basis'!$B$39,IF(G2398&lt;18,'General Basis'!$B$40,IF(G2398&lt;26,'General Basis'!$B$41,IF(G2398&lt;31,'General Basis'!$B$42,IF(G2398&lt;36,'General Basis'!$B$43,IF(G2398&lt;41,'General Basis'!$B$44,IF(G2398&lt;46,'General Basis'!$B$45,IF(G2398&lt;51,'General Basis'!$B$46,IF(G2398&lt;56,'General Basis'!$B$47,IF(G2398&lt;60,'General Basis'!$B$48,IF(G2398&lt;65,'General Basis'!$B$49,'General Basis'!$B$50)))))))))))))</f>
        <v/>
      </c>
      <c r="BI2398" s="744" t="str">
        <f t="shared" si="841"/>
        <v/>
      </c>
      <c r="BJ2398" s="747" t="str">
        <f t="shared" si="848"/>
        <v/>
      </c>
      <c r="BK2398" s="498" t="str">
        <f t="shared" si="842"/>
        <v/>
      </c>
      <c r="BL2398" s="498" t="str">
        <f t="shared" si="843"/>
        <v/>
      </c>
    </row>
    <row r="2399" spans="1:64" x14ac:dyDescent="0.25">
      <c r="A2399" s="762">
        <f t="shared" si="844"/>
        <v>2394</v>
      </c>
      <c r="B2399" s="229"/>
      <c r="C2399" s="223"/>
      <c r="D2399" s="224"/>
      <c r="E2399" s="225"/>
      <c r="F2399" s="1036" t="str">
        <f t="shared" si="850"/>
        <v/>
      </c>
      <c r="G2399" s="1037" t="str">
        <f t="shared" si="845"/>
        <v/>
      </c>
      <c r="H2399" s="225"/>
      <c r="I2399" s="1013"/>
      <c r="J2399" s="1013"/>
      <c r="K2399" s="1028"/>
      <c r="L2399" s="1035" t="str">
        <f t="shared" si="849"/>
        <v/>
      </c>
      <c r="S2399" s="498"/>
      <c r="AJ2399" s="498"/>
      <c r="AM2399" s="498">
        <f t="shared" si="830"/>
        <v>0</v>
      </c>
      <c r="AN2399" s="498">
        <f t="shared" si="831"/>
        <v>0</v>
      </c>
      <c r="AO2399" s="498">
        <f t="shared" si="832"/>
        <v>0</v>
      </c>
      <c r="AP2399" s="498">
        <f t="shared" si="851"/>
        <v>0</v>
      </c>
      <c r="AQ2399" s="498">
        <f t="shared" si="846"/>
        <v>0</v>
      </c>
      <c r="AU2399" s="498">
        <f t="shared" si="833"/>
        <v>0</v>
      </c>
      <c r="AV2399" s="498">
        <f t="shared" si="834"/>
        <v>0</v>
      </c>
      <c r="AW2399" s="498">
        <f t="shared" si="835"/>
        <v>0</v>
      </c>
      <c r="AX2399" s="498">
        <f t="shared" si="836"/>
        <v>0</v>
      </c>
      <c r="AY2399" s="498">
        <f t="shared" si="837"/>
        <v>0</v>
      </c>
      <c r="BB2399" s="498" t="str">
        <f t="shared" si="838"/>
        <v/>
      </c>
      <c r="BC2399" s="743" t="str">
        <f t="shared" si="839"/>
        <v/>
      </c>
      <c r="BD2399" s="743" t="str">
        <f t="shared" si="840"/>
        <v/>
      </c>
      <c r="BE2399" s="743" t="str">
        <f>IF(D2399="","",VLOOKUP(D2399,'General Basis'!$J$39:$K$46,2,0))</f>
        <v/>
      </c>
      <c r="BF2399" s="744" t="str">
        <f>IF(D2399="","",VLOOKUP(D2399,'General Basis'!$J$39:$L$46,3,0))</f>
        <v/>
      </c>
      <c r="BG2399" s="744" t="str">
        <f t="shared" si="847"/>
        <v/>
      </c>
      <c r="BH2399" s="744" t="str">
        <f>IF(G2399="","",IF(BF2399="Abu Dhabi",IF(G2399&lt;18,'General Basis'!$C$39,IF(G2399&lt;41,'General Basis'!$C$40,IF(G2399&lt;60,'General Basis'!$C$41,IF(G2399&lt;65,'General Basis'!$C$42,'General Basis'!$C$43)))),IF(G2399&lt;11,'General Basis'!$B$39,IF(G2399&lt;18,'General Basis'!$B$40,IF(G2399&lt;26,'General Basis'!$B$41,IF(G2399&lt;31,'General Basis'!$B$42,IF(G2399&lt;36,'General Basis'!$B$43,IF(G2399&lt;41,'General Basis'!$B$44,IF(G2399&lt;46,'General Basis'!$B$45,IF(G2399&lt;51,'General Basis'!$B$46,IF(G2399&lt;56,'General Basis'!$B$47,IF(G2399&lt;60,'General Basis'!$B$48,IF(G2399&lt;65,'General Basis'!$B$49,'General Basis'!$B$50)))))))))))))</f>
        <v/>
      </c>
      <c r="BI2399" s="744" t="str">
        <f t="shared" si="841"/>
        <v/>
      </c>
      <c r="BJ2399" s="747" t="str">
        <f t="shared" si="848"/>
        <v/>
      </c>
      <c r="BK2399" s="498" t="str">
        <f t="shared" si="842"/>
        <v/>
      </c>
      <c r="BL2399" s="498" t="str">
        <f t="shared" si="843"/>
        <v/>
      </c>
    </row>
    <row r="2400" spans="1:64" x14ac:dyDescent="0.25">
      <c r="A2400" s="762">
        <f t="shared" si="844"/>
        <v>2395</v>
      </c>
      <c r="B2400" s="229"/>
      <c r="C2400" s="223"/>
      <c r="D2400" s="224"/>
      <c r="E2400" s="225"/>
      <c r="F2400" s="1036" t="str">
        <f t="shared" si="850"/>
        <v/>
      </c>
      <c r="G2400" s="1037" t="str">
        <f t="shared" si="845"/>
        <v/>
      </c>
      <c r="H2400" s="225"/>
      <c r="I2400" s="1013"/>
      <c r="J2400" s="1013"/>
      <c r="K2400" s="1028"/>
      <c r="L2400" s="1035" t="str">
        <f t="shared" si="849"/>
        <v/>
      </c>
      <c r="S2400" s="498"/>
      <c r="AJ2400" s="498"/>
      <c r="AM2400" s="498">
        <f t="shared" si="830"/>
        <v>0</v>
      </c>
      <c r="AN2400" s="498">
        <f t="shared" si="831"/>
        <v>0</v>
      </c>
      <c r="AO2400" s="498">
        <f t="shared" si="832"/>
        <v>0</v>
      </c>
      <c r="AP2400" s="498">
        <f t="shared" si="851"/>
        <v>0</v>
      </c>
      <c r="AQ2400" s="498">
        <f t="shared" si="846"/>
        <v>0</v>
      </c>
      <c r="AU2400" s="498">
        <f t="shared" si="833"/>
        <v>0</v>
      </c>
      <c r="AV2400" s="498">
        <f t="shared" si="834"/>
        <v>0</v>
      </c>
      <c r="AW2400" s="498">
        <f t="shared" si="835"/>
        <v>0</v>
      </c>
      <c r="AX2400" s="498">
        <f t="shared" si="836"/>
        <v>0</v>
      </c>
      <c r="AY2400" s="498">
        <f t="shared" si="837"/>
        <v>0</v>
      </c>
      <c r="BB2400" s="498" t="str">
        <f t="shared" si="838"/>
        <v/>
      </c>
      <c r="BC2400" s="743" t="str">
        <f t="shared" si="839"/>
        <v/>
      </c>
      <c r="BD2400" s="743" t="str">
        <f t="shared" si="840"/>
        <v/>
      </c>
      <c r="BE2400" s="743" t="str">
        <f>IF(D2400="","",VLOOKUP(D2400,'General Basis'!$J$39:$K$46,2,0))</f>
        <v/>
      </c>
      <c r="BF2400" s="744" t="str">
        <f>IF(D2400="","",VLOOKUP(D2400,'General Basis'!$J$39:$L$46,3,0))</f>
        <v/>
      </c>
      <c r="BG2400" s="744" t="str">
        <f t="shared" si="847"/>
        <v/>
      </c>
      <c r="BH2400" s="744" t="str">
        <f>IF(G2400="","",IF(BF2400="Abu Dhabi",IF(G2400&lt;18,'General Basis'!$C$39,IF(G2400&lt;41,'General Basis'!$C$40,IF(G2400&lt;60,'General Basis'!$C$41,IF(G2400&lt;65,'General Basis'!$C$42,'General Basis'!$C$43)))),IF(G2400&lt;11,'General Basis'!$B$39,IF(G2400&lt;18,'General Basis'!$B$40,IF(G2400&lt;26,'General Basis'!$B$41,IF(G2400&lt;31,'General Basis'!$B$42,IF(G2400&lt;36,'General Basis'!$B$43,IF(G2400&lt;41,'General Basis'!$B$44,IF(G2400&lt;46,'General Basis'!$B$45,IF(G2400&lt;51,'General Basis'!$B$46,IF(G2400&lt;56,'General Basis'!$B$47,IF(G2400&lt;60,'General Basis'!$B$48,IF(G2400&lt;65,'General Basis'!$B$49,'General Basis'!$B$50)))))))))))))</f>
        <v/>
      </c>
      <c r="BI2400" s="744" t="str">
        <f t="shared" si="841"/>
        <v/>
      </c>
      <c r="BJ2400" s="747" t="str">
        <f t="shared" si="848"/>
        <v/>
      </c>
      <c r="BK2400" s="498" t="str">
        <f t="shared" si="842"/>
        <v/>
      </c>
      <c r="BL2400" s="498" t="str">
        <f t="shared" si="843"/>
        <v/>
      </c>
    </row>
    <row r="2401" spans="1:64" x14ac:dyDescent="0.25">
      <c r="A2401" s="762">
        <f t="shared" si="844"/>
        <v>2396</v>
      </c>
      <c r="B2401" s="229"/>
      <c r="C2401" s="223"/>
      <c r="D2401" s="224"/>
      <c r="E2401" s="225"/>
      <c r="F2401" s="1036" t="str">
        <f t="shared" si="850"/>
        <v/>
      </c>
      <c r="G2401" s="1037" t="str">
        <f t="shared" si="845"/>
        <v/>
      </c>
      <c r="H2401" s="225"/>
      <c r="I2401" s="1013"/>
      <c r="J2401" s="1013"/>
      <c r="K2401" s="1028"/>
      <c r="L2401" s="1035" t="str">
        <f t="shared" si="849"/>
        <v/>
      </c>
      <c r="S2401" s="498"/>
      <c r="AJ2401" s="498"/>
      <c r="AM2401" s="498">
        <f t="shared" si="830"/>
        <v>0</v>
      </c>
      <c r="AN2401" s="498">
        <f t="shared" si="831"/>
        <v>0</v>
      </c>
      <c r="AO2401" s="498">
        <f t="shared" si="832"/>
        <v>0</v>
      </c>
      <c r="AP2401" s="498">
        <f t="shared" si="851"/>
        <v>0</v>
      </c>
      <c r="AQ2401" s="498">
        <f t="shared" si="846"/>
        <v>0</v>
      </c>
      <c r="AU2401" s="498">
        <f t="shared" si="833"/>
        <v>0</v>
      </c>
      <c r="AV2401" s="498">
        <f t="shared" si="834"/>
        <v>0</v>
      </c>
      <c r="AW2401" s="498">
        <f t="shared" si="835"/>
        <v>0</v>
      </c>
      <c r="AX2401" s="498">
        <f t="shared" si="836"/>
        <v>0</v>
      </c>
      <c r="AY2401" s="498">
        <f t="shared" si="837"/>
        <v>0</v>
      </c>
      <c r="BB2401" s="498" t="str">
        <f t="shared" si="838"/>
        <v/>
      </c>
      <c r="BC2401" s="743" t="str">
        <f t="shared" si="839"/>
        <v/>
      </c>
      <c r="BD2401" s="743" t="str">
        <f t="shared" si="840"/>
        <v/>
      </c>
      <c r="BE2401" s="743" t="str">
        <f>IF(D2401="","",VLOOKUP(D2401,'General Basis'!$J$39:$K$46,2,0))</f>
        <v/>
      </c>
      <c r="BF2401" s="744" t="str">
        <f>IF(D2401="","",VLOOKUP(D2401,'General Basis'!$J$39:$L$46,3,0))</f>
        <v/>
      </c>
      <c r="BG2401" s="744" t="str">
        <f t="shared" si="847"/>
        <v/>
      </c>
      <c r="BH2401" s="744" t="str">
        <f>IF(G2401="","",IF(BF2401="Abu Dhabi",IF(G2401&lt;18,'General Basis'!$C$39,IF(G2401&lt;41,'General Basis'!$C$40,IF(G2401&lt;60,'General Basis'!$C$41,IF(G2401&lt;65,'General Basis'!$C$42,'General Basis'!$C$43)))),IF(G2401&lt;11,'General Basis'!$B$39,IF(G2401&lt;18,'General Basis'!$B$40,IF(G2401&lt;26,'General Basis'!$B$41,IF(G2401&lt;31,'General Basis'!$B$42,IF(G2401&lt;36,'General Basis'!$B$43,IF(G2401&lt;41,'General Basis'!$B$44,IF(G2401&lt;46,'General Basis'!$B$45,IF(G2401&lt;51,'General Basis'!$B$46,IF(G2401&lt;56,'General Basis'!$B$47,IF(G2401&lt;60,'General Basis'!$B$48,IF(G2401&lt;65,'General Basis'!$B$49,'General Basis'!$B$50)))))))))))))</f>
        <v/>
      </c>
      <c r="BI2401" s="744" t="str">
        <f t="shared" si="841"/>
        <v/>
      </c>
      <c r="BJ2401" s="747" t="str">
        <f t="shared" si="848"/>
        <v/>
      </c>
      <c r="BK2401" s="498" t="str">
        <f t="shared" si="842"/>
        <v/>
      </c>
      <c r="BL2401" s="498" t="str">
        <f t="shared" si="843"/>
        <v/>
      </c>
    </row>
    <row r="2402" spans="1:64" x14ac:dyDescent="0.25">
      <c r="A2402" s="762">
        <f t="shared" si="844"/>
        <v>2397</v>
      </c>
      <c r="B2402" s="229"/>
      <c r="C2402" s="223"/>
      <c r="D2402" s="224"/>
      <c r="E2402" s="225"/>
      <c r="F2402" s="1036" t="str">
        <f t="shared" si="850"/>
        <v/>
      </c>
      <c r="G2402" s="1037" t="str">
        <f t="shared" si="845"/>
        <v/>
      </c>
      <c r="H2402" s="225"/>
      <c r="I2402" s="1013"/>
      <c r="J2402" s="1013"/>
      <c r="K2402" s="1028"/>
      <c r="L2402" s="1035" t="str">
        <f t="shared" si="849"/>
        <v/>
      </c>
      <c r="S2402" s="498"/>
      <c r="AJ2402" s="498"/>
      <c r="AM2402" s="498">
        <f t="shared" si="830"/>
        <v>0</v>
      </c>
      <c r="AN2402" s="498">
        <f t="shared" si="831"/>
        <v>0</v>
      </c>
      <c r="AO2402" s="498">
        <f t="shared" si="832"/>
        <v>0</v>
      </c>
      <c r="AP2402" s="498">
        <f t="shared" si="851"/>
        <v>0</v>
      </c>
      <c r="AQ2402" s="498">
        <f t="shared" si="846"/>
        <v>0</v>
      </c>
      <c r="AU2402" s="498">
        <f t="shared" si="833"/>
        <v>0</v>
      </c>
      <c r="AV2402" s="498">
        <f t="shared" si="834"/>
        <v>0</v>
      </c>
      <c r="AW2402" s="498">
        <f t="shared" si="835"/>
        <v>0</v>
      </c>
      <c r="AX2402" s="498">
        <f t="shared" si="836"/>
        <v>0</v>
      </c>
      <c r="AY2402" s="498">
        <f t="shared" si="837"/>
        <v>0</v>
      </c>
      <c r="BB2402" s="498" t="str">
        <f t="shared" si="838"/>
        <v/>
      </c>
      <c r="BC2402" s="743" t="str">
        <f t="shared" si="839"/>
        <v/>
      </c>
      <c r="BD2402" s="743" t="str">
        <f t="shared" si="840"/>
        <v/>
      </c>
      <c r="BE2402" s="743" t="str">
        <f>IF(D2402="","",VLOOKUP(D2402,'General Basis'!$J$39:$K$46,2,0))</f>
        <v/>
      </c>
      <c r="BF2402" s="744" t="str">
        <f>IF(D2402="","",VLOOKUP(D2402,'General Basis'!$J$39:$L$46,3,0))</f>
        <v/>
      </c>
      <c r="BG2402" s="744" t="str">
        <f t="shared" si="847"/>
        <v/>
      </c>
      <c r="BH2402" s="744" t="str">
        <f>IF(G2402="","",IF(BF2402="Abu Dhabi",IF(G2402&lt;18,'General Basis'!$C$39,IF(G2402&lt;41,'General Basis'!$C$40,IF(G2402&lt;60,'General Basis'!$C$41,IF(G2402&lt;65,'General Basis'!$C$42,'General Basis'!$C$43)))),IF(G2402&lt;11,'General Basis'!$B$39,IF(G2402&lt;18,'General Basis'!$B$40,IF(G2402&lt;26,'General Basis'!$B$41,IF(G2402&lt;31,'General Basis'!$B$42,IF(G2402&lt;36,'General Basis'!$B$43,IF(G2402&lt;41,'General Basis'!$B$44,IF(G2402&lt;46,'General Basis'!$B$45,IF(G2402&lt;51,'General Basis'!$B$46,IF(G2402&lt;56,'General Basis'!$B$47,IF(G2402&lt;60,'General Basis'!$B$48,IF(G2402&lt;65,'General Basis'!$B$49,'General Basis'!$B$50)))))))))))))</f>
        <v/>
      </c>
      <c r="BI2402" s="744" t="str">
        <f t="shared" si="841"/>
        <v/>
      </c>
      <c r="BJ2402" s="747" t="str">
        <f t="shared" si="848"/>
        <v/>
      </c>
      <c r="BK2402" s="498" t="str">
        <f t="shared" si="842"/>
        <v/>
      </c>
      <c r="BL2402" s="498" t="str">
        <f t="shared" si="843"/>
        <v/>
      </c>
    </row>
    <row r="2403" spans="1:64" x14ac:dyDescent="0.25">
      <c r="A2403" s="762">
        <f t="shared" si="844"/>
        <v>2398</v>
      </c>
      <c r="B2403" s="229"/>
      <c r="C2403" s="223"/>
      <c r="D2403" s="224"/>
      <c r="E2403" s="225"/>
      <c r="F2403" s="1036" t="str">
        <f t="shared" si="850"/>
        <v/>
      </c>
      <c r="G2403" s="1037" t="str">
        <f t="shared" si="845"/>
        <v/>
      </c>
      <c r="H2403" s="225"/>
      <c r="I2403" s="1013"/>
      <c r="J2403" s="1013"/>
      <c r="K2403" s="1028"/>
      <c r="L2403" s="1035" t="str">
        <f t="shared" si="849"/>
        <v/>
      </c>
      <c r="S2403" s="498"/>
      <c r="AJ2403" s="498"/>
      <c r="AM2403" s="498">
        <f t="shared" si="830"/>
        <v>0</v>
      </c>
      <c r="AN2403" s="498">
        <f t="shared" si="831"/>
        <v>0</v>
      </c>
      <c r="AO2403" s="498">
        <f t="shared" si="832"/>
        <v>0</v>
      </c>
      <c r="AP2403" s="498">
        <f t="shared" si="851"/>
        <v>0</v>
      </c>
      <c r="AQ2403" s="498">
        <f t="shared" si="846"/>
        <v>0</v>
      </c>
      <c r="AU2403" s="498">
        <f t="shared" si="833"/>
        <v>0</v>
      </c>
      <c r="AV2403" s="498">
        <f t="shared" si="834"/>
        <v>0</v>
      </c>
      <c r="AW2403" s="498">
        <f t="shared" si="835"/>
        <v>0</v>
      </c>
      <c r="AX2403" s="498">
        <f t="shared" si="836"/>
        <v>0</v>
      </c>
      <c r="AY2403" s="498">
        <f t="shared" si="837"/>
        <v>0</v>
      </c>
      <c r="BB2403" s="498" t="str">
        <f t="shared" si="838"/>
        <v/>
      </c>
      <c r="BC2403" s="743" t="str">
        <f t="shared" si="839"/>
        <v/>
      </c>
      <c r="BD2403" s="743" t="str">
        <f t="shared" si="840"/>
        <v/>
      </c>
      <c r="BE2403" s="743" t="str">
        <f>IF(D2403="","",VLOOKUP(D2403,'General Basis'!$J$39:$K$46,2,0))</f>
        <v/>
      </c>
      <c r="BF2403" s="744" t="str">
        <f>IF(D2403="","",VLOOKUP(D2403,'General Basis'!$J$39:$L$46,3,0))</f>
        <v/>
      </c>
      <c r="BG2403" s="744" t="str">
        <f t="shared" si="847"/>
        <v/>
      </c>
      <c r="BH2403" s="744" t="str">
        <f>IF(G2403="","",IF(BF2403="Abu Dhabi",IF(G2403&lt;18,'General Basis'!$C$39,IF(G2403&lt;41,'General Basis'!$C$40,IF(G2403&lt;60,'General Basis'!$C$41,IF(G2403&lt;65,'General Basis'!$C$42,'General Basis'!$C$43)))),IF(G2403&lt;11,'General Basis'!$B$39,IF(G2403&lt;18,'General Basis'!$B$40,IF(G2403&lt;26,'General Basis'!$B$41,IF(G2403&lt;31,'General Basis'!$B$42,IF(G2403&lt;36,'General Basis'!$B$43,IF(G2403&lt;41,'General Basis'!$B$44,IF(G2403&lt;46,'General Basis'!$B$45,IF(G2403&lt;51,'General Basis'!$B$46,IF(G2403&lt;56,'General Basis'!$B$47,IF(G2403&lt;60,'General Basis'!$B$48,IF(G2403&lt;65,'General Basis'!$B$49,'General Basis'!$B$50)))))))))))))</f>
        <v/>
      </c>
      <c r="BI2403" s="744" t="str">
        <f t="shared" si="841"/>
        <v/>
      </c>
      <c r="BJ2403" s="747" t="str">
        <f t="shared" si="848"/>
        <v/>
      </c>
      <c r="BK2403" s="498" t="str">
        <f t="shared" si="842"/>
        <v/>
      </c>
      <c r="BL2403" s="498" t="str">
        <f t="shared" si="843"/>
        <v/>
      </c>
    </row>
    <row r="2404" spans="1:64" x14ac:dyDescent="0.25">
      <c r="A2404" s="762">
        <f t="shared" si="844"/>
        <v>2399</v>
      </c>
      <c r="B2404" s="229"/>
      <c r="C2404" s="223"/>
      <c r="D2404" s="224"/>
      <c r="E2404" s="225"/>
      <c r="F2404" s="1036" t="str">
        <f t="shared" si="850"/>
        <v/>
      </c>
      <c r="G2404" s="1037" t="str">
        <f t="shared" si="845"/>
        <v/>
      </c>
      <c r="H2404" s="225"/>
      <c r="I2404" s="1013"/>
      <c r="J2404" s="1013"/>
      <c r="K2404" s="1028"/>
      <c r="L2404" s="1035" t="str">
        <f t="shared" si="849"/>
        <v/>
      </c>
      <c r="S2404" s="498"/>
      <c r="AJ2404" s="498"/>
      <c r="AM2404" s="498">
        <f t="shared" si="830"/>
        <v>0</v>
      </c>
      <c r="AN2404" s="498">
        <f t="shared" si="831"/>
        <v>0</v>
      </c>
      <c r="AO2404" s="498">
        <f t="shared" si="832"/>
        <v>0</v>
      </c>
      <c r="AP2404" s="498">
        <f t="shared" si="851"/>
        <v>0</v>
      </c>
      <c r="AQ2404" s="498">
        <f t="shared" si="846"/>
        <v>0</v>
      </c>
      <c r="AU2404" s="498">
        <f t="shared" si="833"/>
        <v>0</v>
      </c>
      <c r="AV2404" s="498">
        <f t="shared" si="834"/>
        <v>0</v>
      </c>
      <c r="AW2404" s="498">
        <f t="shared" si="835"/>
        <v>0</v>
      </c>
      <c r="AX2404" s="498">
        <f t="shared" si="836"/>
        <v>0</v>
      </c>
      <c r="AY2404" s="498">
        <f t="shared" si="837"/>
        <v>0</v>
      </c>
      <c r="BB2404" s="498" t="str">
        <f t="shared" si="838"/>
        <v/>
      </c>
      <c r="BC2404" s="743" t="str">
        <f t="shared" si="839"/>
        <v/>
      </c>
      <c r="BD2404" s="743" t="str">
        <f t="shared" si="840"/>
        <v/>
      </c>
      <c r="BE2404" s="743" t="str">
        <f>IF(D2404="","",VLOOKUP(D2404,'General Basis'!$J$39:$K$46,2,0))</f>
        <v/>
      </c>
      <c r="BF2404" s="744" t="str">
        <f>IF(D2404="","",VLOOKUP(D2404,'General Basis'!$J$39:$L$46,3,0))</f>
        <v/>
      </c>
      <c r="BG2404" s="744" t="str">
        <f t="shared" si="847"/>
        <v/>
      </c>
      <c r="BH2404" s="744" t="str">
        <f>IF(G2404="","",IF(BF2404="Abu Dhabi",IF(G2404&lt;18,'General Basis'!$C$39,IF(G2404&lt;41,'General Basis'!$C$40,IF(G2404&lt;60,'General Basis'!$C$41,IF(G2404&lt;65,'General Basis'!$C$42,'General Basis'!$C$43)))),IF(G2404&lt;11,'General Basis'!$B$39,IF(G2404&lt;18,'General Basis'!$B$40,IF(G2404&lt;26,'General Basis'!$B$41,IF(G2404&lt;31,'General Basis'!$B$42,IF(G2404&lt;36,'General Basis'!$B$43,IF(G2404&lt;41,'General Basis'!$B$44,IF(G2404&lt;46,'General Basis'!$B$45,IF(G2404&lt;51,'General Basis'!$B$46,IF(G2404&lt;56,'General Basis'!$B$47,IF(G2404&lt;60,'General Basis'!$B$48,IF(G2404&lt;65,'General Basis'!$B$49,'General Basis'!$B$50)))))))))))))</f>
        <v/>
      </c>
      <c r="BI2404" s="744" t="str">
        <f t="shared" si="841"/>
        <v/>
      </c>
      <c r="BJ2404" s="747" t="str">
        <f t="shared" si="848"/>
        <v/>
      </c>
      <c r="BK2404" s="498" t="str">
        <f t="shared" si="842"/>
        <v/>
      </c>
      <c r="BL2404" s="498" t="str">
        <f t="shared" si="843"/>
        <v/>
      </c>
    </row>
    <row r="2405" spans="1:64" x14ac:dyDescent="0.25">
      <c r="A2405" s="762">
        <f t="shared" si="844"/>
        <v>2400</v>
      </c>
      <c r="B2405" s="229"/>
      <c r="C2405" s="223"/>
      <c r="D2405" s="224"/>
      <c r="E2405" s="225"/>
      <c r="F2405" s="1036" t="str">
        <f t="shared" si="850"/>
        <v/>
      </c>
      <c r="G2405" s="1037" t="str">
        <f t="shared" si="845"/>
        <v/>
      </c>
      <c r="H2405" s="225"/>
      <c r="I2405" s="1013"/>
      <c r="J2405" s="1013"/>
      <c r="K2405" s="1028"/>
      <c r="L2405" s="1035" t="str">
        <f t="shared" si="849"/>
        <v/>
      </c>
      <c r="S2405" s="498"/>
      <c r="AJ2405" s="498"/>
      <c r="AM2405" s="498">
        <f t="shared" si="830"/>
        <v>0</v>
      </c>
      <c r="AN2405" s="498">
        <f t="shared" si="831"/>
        <v>0</v>
      </c>
      <c r="AO2405" s="498">
        <f t="shared" si="832"/>
        <v>0</v>
      </c>
      <c r="AP2405" s="498">
        <f t="shared" si="851"/>
        <v>0</v>
      </c>
      <c r="AQ2405" s="498">
        <f t="shared" si="846"/>
        <v>0</v>
      </c>
      <c r="AU2405" s="498">
        <f t="shared" si="833"/>
        <v>0</v>
      </c>
      <c r="AV2405" s="498">
        <f t="shared" si="834"/>
        <v>0</v>
      </c>
      <c r="AW2405" s="498">
        <f t="shared" si="835"/>
        <v>0</v>
      </c>
      <c r="AX2405" s="498">
        <f t="shared" si="836"/>
        <v>0</v>
      </c>
      <c r="AY2405" s="498">
        <f t="shared" si="837"/>
        <v>0</v>
      </c>
      <c r="BB2405" s="498" t="str">
        <f t="shared" si="838"/>
        <v/>
      </c>
      <c r="BC2405" s="743" t="str">
        <f t="shared" si="839"/>
        <v/>
      </c>
      <c r="BD2405" s="743" t="str">
        <f t="shared" si="840"/>
        <v/>
      </c>
      <c r="BE2405" s="743" t="str">
        <f>IF(D2405="","",VLOOKUP(D2405,'General Basis'!$J$39:$K$46,2,0))</f>
        <v/>
      </c>
      <c r="BF2405" s="744" t="str">
        <f>IF(D2405="","",VLOOKUP(D2405,'General Basis'!$J$39:$L$46,3,0))</f>
        <v/>
      </c>
      <c r="BG2405" s="744" t="str">
        <f t="shared" si="847"/>
        <v/>
      </c>
      <c r="BH2405" s="744" t="str">
        <f>IF(G2405="","",IF(BF2405="Abu Dhabi",IF(G2405&lt;18,'General Basis'!$C$39,IF(G2405&lt;41,'General Basis'!$C$40,IF(G2405&lt;60,'General Basis'!$C$41,IF(G2405&lt;65,'General Basis'!$C$42,'General Basis'!$C$43)))),IF(G2405&lt;11,'General Basis'!$B$39,IF(G2405&lt;18,'General Basis'!$B$40,IF(G2405&lt;26,'General Basis'!$B$41,IF(G2405&lt;31,'General Basis'!$B$42,IF(G2405&lt;36,'General Basis'!$B$43,IF(G2405&lt;41,'General Basis'!$B$44,IF(G2405&lt;46,'General Basis'!$B$45,IF(G2405&lt;51,'General Basis'!$B$46,IF(G2405&lt;56,'General Basis'!$B$47,IF(G2405&lt;60,'General Basis'!$B$48,IF(G2405&lt;65,'General Basis'!$B$49,'General Basis'!$B$50)))))))))))))</f>
        <v/>
      </c>
      <c r="BI2405" s="744" t="str">
        <f t="shared" si="841"/>
        <v/>
      </c>
      <c r="BJ2405" s="747" t="str">
        <f t="shared" si="848"/>
        <v/>
      </c>
      <c r="BK2405" s="498" t="str">
        <f t="shared" si="842"/>
        <v/>
      </c>
      <c r="BL2405" s="498" t="str">
        <f t="shared" si="843"/>
        <v/>
      </c>
    </row>
    <row r="2406" spans="1:64" x14ac:dyDescent="0.25">
      <c r="A2406" s="762">
        <f t="shared" si="844"/>
        <v>2401</v>
      </c>
      <c r="B2406" s="229"/>
      <c r="C2406" s="223"/>
      <c r="D2406" s="224"/>
      <c r="E2406" s="225"/>
      <c r="F2406" s="1036" t="str">
        <f t="shared" si="850"/>
        <v/>
      </c>
      <c r="G2406" s="1037" t="str">
        <f t="shared" si="845"/>
        <v/>
      </c>
      <c r="H2406" s="225"/>
      <c r="I2406" s="1013"/>
      <c r="J2406" s="1013"/>
      <c r="K2406" s="1028"/>
      <c r="L2406" s="1035" t="str">
        <f t="shared" si="849"/>
        <v/>
      </c>
      <c r="S2406" s="498"/>
      <c r="AJ2406" s="498"/>
      <c r="AM2406" s="498">
        <f t="shared" si="830"/>
        <v>0</v>
      </c>
      <c r="AN2406" s="498">
        <f t="shared" si="831"/>
        <v>0</v>
      </c>
      <c r="AO2406" s="498">
        <f t="shared" si="832"/>
        <v>0</v>
      </c>
      <c r="AP2406" s="498">
        <f t="shared" si="851"/>
        <v>0</v>
      </c>
      <c r="AQ2406" s="498">
        <f t="shared" si="846"/>
        <v>0</v>
      </c>
      <c r="AU2406" s="498">
        <f t="shared" si="833"/>
        <v>0</v>
      </c>
      <c r="AV2406" s="498">
        <f t="shared" si="834"/>
        <v>0</v>
      </c>
      <c r="AW2406" s="498">
        <f t="shared" si="835"/>
        <v>0</v>
      </c>
      <c r="AX2406" s="498">
        <f t="shared" si="836"/>
        <v>0</v>
      </c>
      <c r="AY2406" s="498">
        <f t="shared" si="837"/>
        <v>0</v>
      </c>
      <c r="BB2406" s="498" t="str">
        <f t="shared" si="838"/>
        <v/>
      </c>
      <c r="BC2406" s="743" t="str">
        <f t="shared" si="839"/>
        <v/>
      </c>
      <c r="BD2406" s="743" t="str">
        <f t="shared" si="840"/>
        <v/>
      </c>
      <c r="BE2406" s="743" t="str">
        <f>IF(D2406="","",VLOOKUP(D2406,'General Basis'!$J$39:$K$46,2,0))</f>
        <v/>
      </c>
      <c r="BF2406" s="744" t="str">
        <f>IF(D2406="","",VLOOKUP(D2406,'General Basis'!$J$39:$L$46,3,0))</f>
        <v/>
      </c>
      <c r="BG2406" s="744" t="str">
        <f t="shared" si="847"/>
        <v/>
      </c>
      <c r="BH2406" s="744" t="str">
        <f>IF(G2406="","",IF(BF2406="Abu Dhabi",IF(G2406&lt;18,'General Basis'!$C$39,IF(G2406&lt;41,'General Basis'!$C$40,IF(G2406&lt;60,'General Basis'!$C$41,IF(G2406&lt;65,'General Basis'!$C$42,'General Basis'!$C$43)))),IF(G2406&lt;11,'General Basis'!$B$39,IF(G2406&lt;18,'General Basis'!$B$40,IF(G2406&lt;26,'General Basis'!$B$41,IF(G2406&lt;31,'General Basis'!$B$42,IF(G2406&lt;36,'General Basis'!$B$43,IF(G2406&lt;41,'General Basis'!$B$44,IF(G2406&lt;46,'General Basis'!$B$45,IF(G2406&lt;51,'General Basis'!$B$46,IF(G2406&lt;56,'General Basis'!$B$47,IF(G2406&lt;60,'General Basis'!$B$48,IF(G2406&lt;65,'General Basis'!$B$49,'General Basis'!$B$50)))))))))))))</f>
        <v/>
      </c>
      <c r="BI2406" s="744" t="str">
        <f t="shared" si="841"/>
        <v/>
      </c>
      <c r="BJ2406" s="747" t="str">
        <f t="shared" si="848"/>
        <v/>
      </c>
      <c r="BK2406" s="498" t="str">
        <f t="shared" si="842"/>
        <v/>
      </c>
      <c r="BL2406" s="498" t="str">
        <f t="shared" si="843"/>
        <v/>
      </c>
    </row>
    <row r="2407" spans="1:64" x14ac:dyDescent="0.25">
      <c r="A2407" s="762">
        <f t="shared" si="844"/>
        <v>2402</v>
      </c>
      <c r="B2407" s="229"/>
      <c r="C2407" s="223"/>
      <c r="D2407" s="224"/>
      <c r="E2407" s="225"/>
      <c r="F2407" s="1036" t="str">
        <f t="shared" si="850"/>
        <v/>
      </c>
      <c r="G2407" s="1037" t="str">
        <f t="shared" si="845"/>
        <v/>
      </c>
      <c r="H2407" s="225"/>
      <c r="I2407" s="1013"/>
      <c r="J2407" s="1013"/>
      <c r="K2407" s="1028"/>
      <c r="L2407" s="1035" t="str">
        <f t="shared" si="849"/>
        <v/>
      </c>
      <c r="S2407" s="498"/>
      <c r="AJ2407" s="498"/>
      <c r="AM2407" s="498">
        <f t="shared" si="830"/>
        <v>0</v>
      </c>
      <c r="AN2407" s="498">
        <f t="shared" si="831"/>
        <v>0</v>
      </c>
      <c r="AO2407" s="498">
        <f t="shared" si="832"/>
        <v>0</v>
      </c>
      <c r="AP2407" s="498">
        <f t="shared" si="851"/>
        <v>0</v>
      </c>
      <c r="AQ2407" s="498">
        <f t="shared" si="846"/>
        <v>0</v>
      </c>
      <c r="AU2407" s="498">
        <f t="shared" si="833"/>
        <v>0</v>
      </c>
      <c r="AV2407" s="498">
        <f t="shared" si="834"/>
        <v>0</v>
      </c>
      <c r="AW2407" s="498">
        <f t="shared" si="835"/>
        <v>0</v>
      </c>
      <c r="AX2407" s="498">
        <f t="shared" si="836"/>
        <v>0</v>
      </c>
      <c r="AY2407" s="498">
        <f t="shared" si="837"/>
        <v>0</v>
      </c>
      <c r="BB2407" s="498" t="str">
        <f t="shared" si="838"/>
        <v/>
      </c>
      <c r="BC2407" s="743" t="str">
        <f t="shared" si="839"/>
        <v/>
      </c>
      <c r="BD2407" s="743" t="str">
        <f t="shared" si="840"/>
        <v/>
      </c>
      <c r="BE2407" s="743" t="str">
        <f>IF(D2407="","",VLOOKUP(D2407,'General Basis'!$J$39:$K$46,2,0))</f>
        <v/>
      </c>
      <c r="BF2407" s="744" t="str">
        <f>IF(D2407="","",VLOOKUP(D2407,'General Basis'!$J$39:$L$46,3,0))</f>
        <v/>
      </c>
      <c r="BG2407" s="744" t="str">
        <f t="shared" si="847"/>
        <v/>
      </c>
      <c r="BH2407" s="744" t="str">
        <f>IF(G2407="","",IF(BF2407="Abu Dhabi",IF(G2407&lt;18,'General Basis'!$C$39,IF(G2407&lt;41,'General Basis'!$C$40,IF(G2407&lt;60,'General Basis'!$C$41,IF(G2407&lt;65,'General Basis'!$C$42,'General Basis'!$C$43)))),IF(G2407&lt;11,'General Basis'!$B$39,IF(G2407&lt;18,'General Basis'!$B$40,IF(G2407&lt;26,'General Basis'!$B$41,IF(G2407&lt;31,'General Basis'!$B$42,IF(G2407&lt;36,'General Basis'!$B$43,IF(G2407&lt;41,'General Basis'!$B$44,IF(G2407&lt;46,'General Basis'!$B$45,IF(G2407&lt;51,'General Basis'!$B$46,IF(G2407&lt;56,'General Basis'!$B$47,IF(G2407&lt;60,'General Basis'!$B$48,IF(G2407&lt;65,'General Basis'!$B$49,'General Basis'!$B$50)))))))))))))</f>
        <v/>
      </c>
      <c r="BI2407" s="744" t="str">
        <f t="shared" si="841"/>
        <v/>
      </c>
      <c r="BJ2407" s="747" t="str">
        <f t="shared" si="848"/>
        <v/>
      </c>
      <c r="BK2407" s="498" t="str">
        <f t="shared" si="842"/>
        <v/>
      </c>
      <c r="BL2407" s="498" t="str">
        <f t="shared" si="843"/>
        <v/>
      </c>
    </row>
    <row r="2408" spans="1:64" x14ac:dyDescent="0.25">
      <c r="A2408" s="762">
        <f t="shared" si="844"/>
        <v>2403</v>
      </c>
      <c r="B2408" s="229"/>
      <c r="C2408" s="223"/>
      <c r="D2408" s="224"/>
      <c r="E2408" s="225"/>
      <c r="F2408" s="1036" t="str">
        <f t="shared" si="850"/>
        <v/>
      </c>
      <c r="G2408" s="1037" t="str">
        <f t="shared" si="845"/>
        <v/>
      </c>
      <c r="H2408" s="225"/>
      <c r="I2408" s="1013"/>
      <c r="J2408" s="1013"/>
      <c r="K2408" s="1028"/>
      <c r="L2408" s="1035" t="str">
        <f t="shared" si="849"/>
        <v/>
      </c>
      <c r="S2408" s="498"/>
      <c r="AJ2408" s="498"/>
      <c r="AM2408" s="498">
        <f t="shared" si="830"/>
        <v>0</v>
      </c>
      <c r="AN2408" s="498">
        <f t="shared" si="831"/>
        <v>0</v>
      </c>
      <c r="AO2408" s="498">
        <f t="shared" si="832"/>
        <v>0</v>
      </c>
      <c r="AP2408" s="498">
        <f t="shared" si="851"/>
        <v>0</v>
      </c>
      <c r="AQ2408" s="498">
        <f t="shared" si="846"/>
        <v>0</v>
      </c>
      <c r="AU2408" s="498">
        <f t="shared" si="833"/>
        <v>0</v>
      </c>
      <c r="AV2408" s="498">
        <f t="shared" si="834"/>
        <v>0</v>
      </c>
      <c r="AW2408" s="498">
        <f t="shared" si="835"/>
        <v>0</v>
      </c>
      <c r="AX2408" s="498">
        <f t="shared" si="836"/>
        <v>0</v>
      </c>
      <c r="AY2408" s="498">
        <f t="shared" si="837"/>
        <v>0</v>
      </c>
      <c r="BB2408" s="498" t="str">
        <f t="shared" si="838"/>
        <v/>
      </c>
      <c r="BC2408" s="743" t="str">
        <f t="shared" si="839"/>
        <v/>
      </c>
      <c r="BD2408" s="743" t="str">
        <f t="shared" si="840"/>
        <v/>
      </c>
      <c r="BE2408" s="743" t="str">
        <f>IF(D2408="","",VLOOKUP(D2408,'General Basis'!$J$39:$K$46,2,0))</f>
        <v/>
      </c>
      <c r="BF2408" s="744" t="str">
        <f>IF(D2408="","",VLOOKUP(D2408,'General Basis'!$J$39:$L$46,3,0))</f>
        <v/>
      </c>
      <c r="BG2408" s="744" t="str">
        <f t="shared" si="847"/>
        <v/>
      </c>
      <c r="BH2408" s="744" t="str">
        <f>IF(G2408="","",IF(BF2408="Abu Dhabi",IF(G2408&lt;18,'General Basis'!$C$39,IF(G2408&lt;41,'General Basis'!$C$40,IF(G2408&lt;60,'General Basis'!$C$41,IF(G2408&lt;65,'General Basis'!$C$42,'General Basis'!$C$43)))),IF(G2408&lt;11,'General Basis'!$B$39,IF(G2408&lt;18,'General Basis'!$B$40,IF(G2408&lt;26,'General Basis'!$B$41,IF(G2408&lt;31,'General Basis'!$B$42,IF(G2408&lt;36,'General Basis'!$B$43,IF(G2408&lt;41,'General Basis'!$B$44,IF(G2408&lt;46,'General Basis'!$B$45,IF(G2408&lt;51,'General Basis'!$B$46,IF(G2408&lt;56,'General Basis'!$B$47,IF(G2408&lt;60,'General Basis'!$B$48,IF(G2408&lt;65,'General Basis'!$B$49,'General Basis'!$B$50)))))))))))))</f>
        <v/>
      </c>
      <c r="BI2408" s="744" t="str">
        <f t="shared" si="841"/>
        <v/>
      </c>
      <c r="BJ2408" s="747" t="str">
        <f t="shared" si="848"/>
        <v/>
      </c>
      <c r="BK2408" s="498" t="str">
        <f t="shared" si="842"/>
        <v/>
      </c>
      <c r="BL2408" s="498" t="str">
        <f t="shared" si="843"/>
        <v/>
      </c>
    </row>
    <row r="2409" spans="1:64" x14ac:dyDescent="0.25">
      <c r="A2409" s="762">
        <f t="shared" si="844"/>
        <v>2404</v>
      </c>
      <c r="B2409" s="229"/>
      <c r="C2409" s="223"/>
      <c r="D2409" s="224"/>
      <c r="E2409" s="225"/>
      <c r="F2409" s="1036" t="str">
        <f t="shared" si="850"/>
        <v/>
      </c>
      <c r="G2409" s="1037" t="str">
        <f t="shared" si="845"/>
        <v/>
      </c>
      <c r="H2409" s="225"/>
      <c r="I2409" s="1013"/>
      <c r="J2409" s="1013"/>
      <c r="K2409" s="1028"/>
      <c r="L2409" s="1035" t="str">
        <f t="shared" si="849"/>
        <v/>
      </c>
      <c r="S2409" s="498"/>
      <c r="AJ2409" s="498"/>
      <c r="AM2409" s="498">
        <f t="shared" si="830"/>
        <v>0</v>
      </c>
      <c r="AN2409" s="498">
        <f t="shared" si="831"/>
        <v>0</v>
      </c>
      <c r="AO2409" s="498">
        <f t="shared" si="832"/>
        <v>0</v>
      </c>
      <c r="AP2409" s="498">
        <f t="shared" si="851"/>
        <v>0</v>
      </c>
      <c r="AQ2409" s="498">
        <f t="shared" si="846"/>
        <v>0</v>
      </c>
      <c r="AU2409" s="498">
        <f t="shared" si="833"/>
        <v>0</v>
      </c>
      <c r="AV2409" s="498">
        <f t="shared" si="834"/>
        <v>0</v>
      </c>
      <c r="AW2409" s="498">
        <f t="shared" si="835"/>
        <v>0</v>
      </c>
      <c r="AX2409" s="498">
        <f t="shared" si="836"/>
        <v>0</v>
      </c>
      <c r="AY2409" s="498">
        <f t="shared" si="837"/>
        <v>0</v>
      </c>
      <c r="BB2409" s="498" t="str">
        <f t="shared" si="838"/>
        <v/>
      </c>
      <c r="BC2409" s="743" t="str">
        <f t="shared" si="839"/>
        <v/>
      </c>
      <c r="BD2409" s="743" t="str">
        <f t="shared" si="840"/>
        <v/>
      </c>
      <c r="BE2409" s="743" t="str">
        <f>IF(D2409="","",VLOOKUP(D2409,'General Basis'!$J$39:$K$46,2,0))</f>
        <v/>
      </c>
      <c r="BF2409" s="744" t="str">
        <f>IF(D2409="","",VLOOKUP(D2409,'General Basis'!$J$39:$L$46,3,0))</f>
        <v/>
      </c>
      <c r="BG2409" s="744" t="str">
        <f t="shared" si="847"/>
        <v/>
      </c>
      <c r="BH2409" s="744" t="str">
        <f>IF(G2409="","",IF(BF2409="Abu Dhabi",IF(G2409&lt;18,'General Basis'!$C$39,IF(G2409&lt;41,'General Basis'!$C$40,IF(G2409&lt;60,'General Basis'!$C$41,IF(G2409&lt;65,'General Basis'!$C$42,'General Basis'!$C$43)))),IF(G2409&lt;11,'General Basis'!$B$39,IF(G2409&lt;18,'General Basis'!$B$40,IF(G2409&lt;26,'General Basis'!$B$41,IF(G2409&lt;31,'General Basis'!$B$42,IF(G2409&lt;36,'General Basis'!$B$43,IF(G2409&lt;41,'General Basis'!$B$44,IF(G2409&lt;46,'General Basis'!$B$45,IF(G2409&lt;51,'General Basis'!$B$46,IF(G2409&lt;56,'General Basis'!$B$47,IF(G2409&lt;60,'General Basis'!$B$48,IF(G2409&lt;65,'General Basis'!$B$49,'General Basis'!$B$50)))))))))))))</f>
        <v/>
      </c>
      <c r="BI2409" s="744" t="str">
        <f t="shared" si="841"/>
        <v/>
      </c>
      <c r="BJ2409" s="747" t="str">
        <f t="shared" si="848"/>
        <v/>
      </c>
      <c r="BK2409" s="498" t="str">
        <f t="shared" si="842"/>
        <v/>
      </c>
      <c r="BL2409" s="498" t="str">
        <f t="shared" si="843"/>
        <v/>
      </c>
    </row>
    <row r="2410" spans="1:64" x14ac:dyDescent="0.25">
      <c r="A2410" s="762">
        <f t="shared" si="844"/>
        <v>2405</v>
      </c>
      <c r="B2410" s="229"/>
      <c r="C2410" s="223"/>
      <c r="D2410" s="224"/>
      <c r="E2410" s="225"/>
      <c r="F2410" s="1036" t="str">
        <f t="shared" si="850"/>
        <v/>
      </c>
      <c r="G2410" s="1037" t="str">
        <f t="shared" si="845"/>
        <v/>
      </c>
      <c r="H2410" s="225"/>
      <c r="I2410" s="1013"/>
      <c r="J2410" s="1013"/>
      <c r="K2410" s="1028"/>
      <c r="L2410" s="1035" t="str">
        <f t="shared" si="849"/>
        <v/>
      </c>
      <c r="S2410" s="498"/>
      <c r="AJ2410" s="498"/>
      <c r="AM2410" s="498">
        <f t="shared" si="830"/>
        <v>0</v>
      </c>
      <c r="AN2410" s="498">
        <f t="shared" si="831"/>
        <v>0</v>
      </c>
      <c r="AO2410" s="498">
        <f t="shared" si="832"/>
        <v>0</v>
      </c>
      <c r="AP2410" s="498">
        <f t="shared" si="851"/>
        <v>0</v>
      </c>
      <c r="AQ2410" s="498">
        <f t="shared" si="846"/>
        <v>0</v>
      </c>
      <c r="AU2410" s="498">
        <f t="shared" si="833"/>
        <v>0</v>
      </c>
      <c r="AV2410" s="498">
        <f t="shared" si="834"/>
        <v>0</v>
      </c>
      <c r="AW2410" s="498">
        <f t="shared" si="835"/>
        <v>0</v>
      </c>
      <c r="AX2410" s="498">
        <f t="shared" si="836"/>
        <v>0</v>
      </c>
      <c r="AY2410" s="498">
        <f t="shared" si="837"/>
        <v>0</v>
      </c>
      <c r="BB2410" s="498" t="str">
        <f t="shared" si="838"/>
        <v/>
      </c>
      <c r="BC2410" s="743" t="str">
        <f t="shared" si="839"/>
        <v/>
      </c>
      <c r="BD2410" s="743" t="str">
        <f t="shared" si="840"/>
        <v/>
      </c>
      <c r="BE2410" s="743" t="str">
        <f>IF(D2410="","",VLOOKUP(D2410,'General Basis'!$J$39:$K$46,2,0))</f>
        <v/>
      </c>
      <c r="BF2410" s="744" t="str">
        <f>IF(D2410="","",VLOOKUP(D2410,'General Basis'!$J$39:$L$46,3,0))</f>
        <v/>
      </c>
      <c r="BG2410" s="744" t="str">
        <f t="shared" si="847"/>
        <v/>
      </c>
      <c r="BH2410" s="744" t="str">
        <f>IF(G2410="","",IF(BF2410="Abu Dhabi",IF(G2410&lt;18,'General Basis'!$C$39,IF(G2410&lt;41,'General Basis'!$C$40,IF(G2410&lt;60,'General Basis'!$C$41,IF(G2410&lt;65,'General Basis'!$C$42,'General Basis'!$C$43)))),IF(G2410&lt;11,'General Basis'!$B$39,IF(G2410&lt;18,'General Basis'!$B$40,IF(G2410&lt;26,'General Basis'!$B$41,IF(G2410&lt;31,'General Basis'!$B$42,IF(G2410&lt;36,'General Basis'!$B$43,IF(G2410&lt;41,'General Basis'!$B$44,IF(G2410&lt;46,'General Basis'!$B$45,IF(G2410&lt;51,'General Basis'!$B$46,IF(G2410&lt;56,'General Basis'!$B$47,IF(G2410&lt;60,'General Basis'!$B$48,IF(G2410&lt;65,'General Basis'!$B$49,'General Basis'!$B$50)))))))))))))</f>
        <v/>
      </c>
      <c r="BI2410" s="744" t="str">
        <f t="shared" si="841"/>
        <v/>
      </c>
      <c r="BJ2410" s="747" t="str">
        <f t="shared" si="848"/>
        <v/>
      </c>
      <c r="BK2410" s="498" t="str">
        <f t="shared" si="842"/>
        <v/>
      </c>
      <c r="BL2410" s="498" t="str">
        <f t="shared" si="843"/>
        <v/>
      </c>
    </row>
    <row r="2411" spans="1:64" x14ac:dyDescent="0.25">
      <c r="A2411" s="762">
        <f t="shared" si="844"/>
        <v>2406</v>
      </c>
      <c r="B2411" s="229"/>
      <c r="C2411" s="223"/>
      <c r="D2411" s="224"/>
      <c r="E2411" s="225"/>
      <c r="F2411" s="1036" t="str">
        <f t="shared" si="850"/>
        <v/>
      </c>
      <c r="G2411" s="1037" t="str">
        <f t="shared" si="845"/>
        <v/>
      </c>
      <c r="H2411" s="225"/>
      <c r="I2411" s="1013"/>
      <c r="J2411" s="1013"/>
      <c r="K2411" s="1028"/>
      <c r="L2411" s="1035" t="str">
        <f t="shared" si="849"/>
        <v/>
      </c>
      <c r="S2411" s="498"/>
      <c r="AJ2411" s="498"/>
      <c r="AM2411" s="498">
        <f t="shared" si="830"/>
        <v>0</v>
      </c>
      <c r="AN2411" s="498">
        <f t="shared" si="831"/>
        <v>0</v>
      </c>
      <c r="AO2411" s="498">
        <f t="shared" si="832"/>
        <v>0</v>
      </c>
      <c r="AP2411" s="498">
        <f t="shared" si="851"/>
        <v>0</v>
      </c>
      <c r="AQ2411" s="498">
        <f t="shared" si="846"/>
        <v>0</v>
      </c>
      <c r="AU2411" s="498">
        <f t="shared" si="833"/>
        <v>0</v>
      </c>
      <c r="AV2411" s="498">
        <f t="shared" si="834"/>
        <v>0</v>
      </c>
      <c r="AW2411" s="498">
        <f t="shared" si="835"/>
        <v>0</v>
      </c>
      <c r="AX2411" s="498">
        <f t="shared" si="836"/>
        <v>0</v>
      </c>
      <c r="AY2411" s="498">
        <f t="shared" si="837"/>
        <v>0</v>
      </c>
      <c r="BB2411" s="498" t="str">
        <f t="shared" si="838"/>
        <v/>
      </c>
      <c r="BC2411" s="743" t="str">
        <f t="shared" si="839"/>
        <v/>
      </c>
      <c r="BD2411" s="743" t="str">
        <f t="shared" si="840"/>
        <v/>
      </c>
      <c r="BE2411" s="743" t="str">
        <f>IF(D2411="","",VLOOKUP(D2411,'General Basis'!$J$39:$K$46,2,0))</f>
        <v/>
      </c>
      <c r="BF2411" s="744" t="str">
        <f>IF(D2411="","",VLOOKUP(D2411,'General Basis'!$J$39:$L$46,3,0))</f>
        <v/>
      </c>
      <c r="BG2411" s="744" t="str">
        <f t="shared" si="847"/>
        <v/>
      </c>
      <c r="BH2411" s="744" t="str">
        <f>IF(G2411="","",IF(BF2411="Abu Dhabi",IF(G2411&lt;18,'General Basis'!$C$39,IF(G2411&lt;41,'General Basis'!$C$40,IF(G2411&lt;60,'General Basis'!$C$41,IF(G2411&lt;65,'General Basis'!$C$42,'General Basis'!$C$43)))),IF(G2411&lt;11,'General Basis'!$B$39,IF(G2411&lt;18,'General Basis'!$B$40,IF(G2411&lt;26,'General Basis'!$B$41,IF(G2411&lt;31,'General Basis'!$B$42,IF(G2411&lt;36,'General Basis'!$B$43,IF(G2411&lt;41,'General Basis'!$B$44,IF(G2411&lt;46,'General Basis'!$B$45,IF(G2411&lt;51,'General Basis'!$B$46,IF(G2411&lt;56,'General Basis'!$B$47,IF(G2411&lt;60,'General Basis'!$B$48,IF(G2411&lt;65,'General Basis'!$B$49,'General Basis'!$B$50)))))))))))))</f>
        <v/>
      </c>
      <c r="BI2411" s="744" t="str">
        <f t="shared" si="841"/>
        <v/>
      </c>
      <c r="BJ2411" s="747" t="str">
        <f t="shared" si="848"/>
        <v/>
      </c>
      <c r="BK2411" s="498" t="str">
        <f t="shared" si="842"/>
        <v/>
      </c>
      <c r="BL2411" s="498" t="str">
        <f t="shared" si="843"/>
        <v/>
      </c>
    </row>
    <row r="2412" spans="1:64" x14ac:dyDescent="0.25">
      <c r="A2412" s="762">
        <f t="shared" si="844"/>
        <v>2407</v>
      </c>
      <c r="B2412" s="229"/>
      <c r="C2412" s="223"/>
      <c r="D2412" s="224"/>
      <c r="E2412" s="225"/>
      <c r="F2412" s="1036" t="str">
        <f t="shared" si="850"/>
        <v/>
      </c>
      <c r="G2412" s="1037" t="str">
        <f t="shared" si="845"/>
        <v/>
      </c>
      <c r="H2412" s="225"/>
      <c r="I2412" s="1013"/>
      <c r="J2412" s="1013"/>
      <c r="K2412" s="1028"/>
      <c r="L2412" s="1035" t="str">
        <f t="shared" si="849"/>
        <v/>
      </c>
      <c r="S2412" s="498"/>
      <c r="AJ2412" s="498"/>
      <c r="AM2412" s="498">
        <f t="shared" si="830"/>
        <v>0</v>
      </c>
      <c r="AN2412" s="498">
        <f t="shared" si="831"/>
        <v>0</v>
      </c>
      <c r="AO2412" s="498">
        <f t="shared" si="832"/>
        <v>0</v>
      </c>
      <c r="AP2412" s="498">
        <f t="shared" si="851"/>
        <v>0</v>
      </c>
      <c r="AQ2412" s="498">
        <f t="shared" si="846"/>
        <v>0</v>
      </c>
      <c r="AU2412" s="498">
        <f t="shared" si="833"/>
        <v>0</v>
      </c>
      <c r="AV2412" s="498">
        <f t="shared" si="834"/>
        <v>0</v>
      </c>
      <c r="AW2412" s="498">
        <f t="shared" si="835"/>
        <v>0</v>
      </c>
      <c r="AX2412" s="498">
        <f t="shared" si="836"/>
        <v>0</v>
      </c>
      <c r="AY2412" s="498">
        <f t="shared" si="837"/>
        <v>0</v>
      </c>
      <c r="BB2412" s="498" t="str">
        <f t="shared" si="838"/>
        <v/>
      </c>
      <c r="BC2412" s="743" t="str">
        <f t="shared" si="839"/>
        <v/>
      </c>
      <c r="BD2412" s="743" t="str">
        <f t="shared" si="840"/>
        <v/>
      </c>
      <c r="BE2412" s="743" t="str">
        <f>IF(D2412="","",VLOOKUP(D2412,'General Basis'!$J$39:$K$46,2,0))</f>
        <v/>
      </c>
      <c r="BF2412" s="744" t="str">
        <f>IF(D2412="","",VLOOKUP(D2412,'General Basis'!$J$39:$L$46,3,0))</f>
        <v/>
      </c>
      <c r="BG2412" s="744" t="str">
        <f t="shared" si="847"/>
        <v/>
      </c>
      <c r="BH2412" s="744" t="str">
        <f>IF(G2412="","",IF(BF2412="Abu Dhabi",IF(G2412&lt;18,'General Basis'!$C$39,IF(G2412&lt;41,'General Basis'!$C$40,IF(G2412&lt;60,'General Basis'!$C$41,IF(G2412&lt;65,'General Basis'!$C$42,'General Basis'!$C$43)))),IF(G2412&lt;11,'General Basis'!$B$39,IF(G2412&lt;18,'General Basis'!$B$40,IF(G2412&lt;26,'General Basis'!$B$41,IF(G2412&lt;31,'General Basis'!$B$42,IF(G2412&lt;36,'General Basis'!$B$43,IF(G2412&lt;41,'General Basis'!$B$44,IF(G2412&lt;46,'General Basis'!$B$45,IF(G2412&lt;51,'General Basis'!$B$46,IF(G2412&lt;56,'General Basis'!$B$47,IF(G2412&lt;60,'General Basis'!$B$48,IF(G2412&lt;65,'General Basis'!$B$49,'General Basis'!$B$50)))))))))))))</f>
        <v/>
      </c>
      <c r="BI2412" s="744" t="str">
        <f t="shared" si="841"/>
        <v/>
      </c>
      <c r="BJ2412" s="747" t="str">
        <f t="shared" si="848"/>
        <v/>
      </c>
      <c r="BK2412" s="498" t="str">
        <f t="shared" si="842"/>
        <v/>
      </c>
      <c r="BL2412" s="498" t="str">
        <f t="shared" si="843"/>
        <v/>
      </c>
    </row>
    <row r="2413" spans="1:64" x14ac:dyDescent="0.25">
      <c r="A2413" s="762">
        <f t="shared" si="844"/>
        <v>2408</v>
      </c>
      <c r="B2413" s="229"/>
      <c r="C2413" s="223"/>
      <c r="D2413" s="224"/>
      <c r="E2413" s="225"/>
      <c r="F2413" s="1036" t="str">
        <f t="shared" si="850"/>
        <v/>
      </c>
      <c r="G2413" s="1037" t="str">
        <f t="shared" si="845"/>
        <v/>
      </c>
      <c r="H2413" s="225"/>
      <c r="I2413" s="1013"/>
      <c r="J2413" s="1013"/>
      <c r="K2413" s="1028"/>
      <c r="L2413" s="1035" t="str">
        <f t="shared" si="849"/>
        <v/>
      </c>
      <c r="S2413" s="498"/>
      <c r="AJ2413" s="498"/>
      <c r="AM2413" s="498">
        <f t="shared" si="830"/>
        <v>0</v>
      </c>
      <c r="AN2413" s="498">
        <f t="shared" si="831"/>
        <v>0</v>
      </c>
      <c r="AO2413" s="498">
        <f t="shared" si="832"/>
        <v>0</v>
      </c>
      <c r="AP2413" s="498">
        <f t="shared" si="851"/>
        <v>0</v>
      </c>
      <c r="AQ2413" s="498">
        <f t="shared" si="846"/>
        <v>0</v>
      </c>
      <c r="AU2413" s="498">
        <f t="shared" si="833"/>
        <v>0</v>
      </c>
      <c r="AV2413" s="498">
        <f t="shared" si="834"/>
        <v>0</v>
      </c>
      <c r="AW2413" s="498">
        <f t="shared" si="835"/>
        <v>0</v>
      </c>
      <c r="AX2413" s="498">
        <f t="shared" si="836"/>
        <v>0</v>
      </c>
      <c r="AY2413" s="498">
        <f t="shared" si="837"/>
        <v>0</v>
      </c>
      <c r="BB2413" s="498" t="str">
        <f t="shared" si="838"/>
        <v/>
      </c>
      <c r="BC2413" s="743" t="str">
        <f t="shared" si="839"/>
        <v/>
      </c>
      <c r="BD2413" s="743" t="str">
        <f t="shared" si="840"/>
        <v/>
      </c>
      <c r="BE2413" s="743" t="str">
        <f>IF(D2413="","",VLOOKUP(D2413,'General Basis'!$J$39:$K$46,2,0))</f>
        <v/>
      </c>
      <c r="BF2413" s="744" t="str">
        <f>IF(D2413="","",VLOOKUP(D2413,'General Basis'!$J$39:$L$46,3,0))</f>
        <v/>
      </c>
      <c r="BG2413" s="744" t="str">
        <f t="shared" si="847"/>
        <v/>
      </c>
      <c r="BH2413" s="744" t="str">
        <f>IF(G2413="","",IF(BF2413="Abu Dhabi",IF(G2413&lt;18,'General Basis'!$C$39,IF(G2413&lt;41,'General Basis'!$C$40,IF(G2413&lt;60,'General Basis'!$C$41,IF(G2413&lt;65,'General Basis'!$C$42,'General Basis'!$C$43)))),IF(G2413&lt;11,'General Basis'!$B$39,IF(G2413&lt;18,'General Basis'!$B$40,IF(G2413&lt;26,'General Basis'!$B$41,IF(G2413&lt;31,'General Basis'!$B$42,IF(G2413&lt;36,'General Basis'!$B$43,IF(G2413&lt;41,'General Basis'!$B$44,IF(G2413&lt;46,'General Basis'!$B$45,IF(G2413&lt;51,'General Basis'!$B$46,IF(G2413&lt;56,'General Basis'!$B$47,IF(G2413&lt;60,'General Basis'!$B$48,IF(G2413&lt;65,'General Basis'!$B$49,'General Basis'!$B$50)))))))))))))</f>
        <v/>
      </c>
      <c r="BI2413" s="744" t="str">
        <f t="shared" si="841"/>
        <v/>
      </c>
      <c r="BJ2413" s="747" t="str">
        <f t="shared" si="848"/>
        <v/>
      </c>
      <c r="BK2413" s="498" t="str">
        <f t="shared" si="842"/>
        <v/>
      </c>
      <c r="BL2413" s="498" t="str">
        <f t="shared" si="843"/>
        <v/>
      </c>
    </row>
    <row r="2414" spans="1:64" x14ac:dyDescent="0.25">
      <c r="A2414" s="762">
        <f t="shared" si="844"/>
        <v>2409</v>
      </c>
      <c r="B2414" s="229"/>
      <c r="C2414" s="223"/>
      <c r="D2414" s="224"/>
      <c r="E2414" s="225"/>
      <c r="F2414" s="1036" t="str">
        <f t="shared" si="850"/>
        <v/>
      </c>
      <c r="G2414" s="1037" t="str">
        <f t="shared" si="845"/>
        <v/>
      </c>
      <c r="H2414" s="225"/>
      <c r="I2414" s="1013"/>
      <c r="J2414" s="1013"/>
      <c r="K2414" s="1028"/>
      <c r="L2414" s="1035" t="str">
        <f t="shared" si="849"/>
        <v/>
      </c>
      <c r="S2414" s="498"/>
      <c r="AJ2414" s="498"/>
      <c r="AM2414" s="498">
        <f t="shared" si="830"/>
        <v>0</v>
      </c>
      <c r="AN2414" s="498">
        <f t="shared" si="831"/>
        <v>0</v>
      </c>
      <c r="AO2414" s="498">
        <f t="shared" si="832"/>
        <v>0</v>
      </c>
      <c r="AP2414" s="498">
        <f t="shared" si="851"/>
        <v>0</v>
      </c>
      <c r="AQ2414" s="498">
        <f t="shared" si="846"/>
        <v>0</v>
      </c>
      <c r="AU2414" s="498">
        <f t="shared" si="833"/>
        <v>0</v>
      </c>
      <c r="AV2414" s="498">
        <f t="shared" si="834"/>
        <v>0</v>
      </c>
      <c r="AW2414" s="498">
        <f t="shared" si="835"/>
        <v>0</v>
      </c>
      <c r="AX2414" s="498">
        <f t="shared" si="836"/>
        <v>0</v>
      </c>
      <c r="AY2414" s="498">
        <f t="shared" si="837"/>
        <v>0</v>
      </c>
      <c r="BB2414" s="498" t="str">
        <f t="shared" si="838"/>
        <v/>
      </c>
      <c r="BC2414" s="743" t="str">
        <f t="shared" si="839"/>
        <v/>
      </c>
      <c r="BD2414" s="743" t="str">
        <f t="shared" si="840"/>
        <v/>
      </c>
      <c r="BE2414" s="743" t="str">
        <f>IF(D2414="","",VLOOKUP(D2414,'General Basis'!$J$39:$K$46,2,0))</f>
        <v/>
      </c>
      <c r="BF2414" s="744" t="str">
        <f>IF(D2414="","",VLOOKUP(D2414,'General Basis'!$J$39:$L$46,3,0))</f>
        <v/>
      </c>
      <c r="BG2414" s="744" t="str">
        <f t="shared" si="847"/>
        <v/>
      </c>
      <c r="BH2414" s="744" t="str">
        <f>IF(G2414="","",IF(BF2414="Abu Dhabi",IF(G2414&lt;18,'General Basis'!$C$39,IF(G2414&lt;41,'General Basis'!$C$40,IF(G2414&lt;60,'General Basis'!$C$41,IF(G2414&lt;65,'General Basis'!$C$42,'General Basis'!$C$43)))),IF(G2414&lt;11,'General Basis'!$B$39,IF(G2414&lt;18,'General Basis'!$B$40,IF(G2414&lt;26,'General Basis'!$B$41,IF(G2414&lt;31,'General Basis'!$B$42,IF(G2414&lt;36,'General Basis'!$B$43,IF(G2414&lt;41,'General Basis'!$B$44,IF(G2414&lt;46,'General Basis'!$B$45,IF(G2414&lt;51,'General Basis'!$B$46,IF(G2414&lt;56,'General Basis'!$B$47,IF(G2414&lt;60,'General Basis'!$B$48,IF(G2414&lt;65,'General Basis'!$B$49,'General Basis'!$B$50)))))))))))))</f>
        <v/>
      </c>
      <c r="BI2414" s="744" t="str">
        <f t="shared" si="841"/>
        <v/>
      </c>
      <c r="BJ2414" s="747" t="str">
        <f t="shared" si="848"/>
        <v/>
      </c>
      <c r="BK2414" s="498" t="str">
        <f t="shared" si="842"/>
        <v/>
      </c>
      <c r="BL2414" s="498" t="str">
        <f t="shared" si="843"/>
        <v/>
      </c>
    </row>
    <row r="2415" spans="1:64" x14ac:dyDescent="0.25">
      <c r="A2415" s="762">
        <f t="shared" si="844"/>
        <v>2410</v>
      </c>
      <c r="B2415" s="229"/>
      <c r="C2415" s="223"/>
      <c r="D2415" s="224"/>
      <c r="E2415" s="225"/>
      <c r="F2415" s="1036" t="str">
        <f t="shared" si="850"/>
        <v/>
      </c>
      <c r="G2415" s="1037" t="str">
        <f t="shared" si="845"/>
        <v/>
      </c>
      <c r="H2415" s="225"/>
      <c r="I2415" s="1013"/>
      <c r="J2415" s="1013"/>
      <c r="K2415" s="1028"/>
      <c r="L2415" s="1035" t="str">
        <f t="shared" si="849"/>
        <v/>
      </c>
      <c r="S2415" s="498"/>
      <c r="AJ2415" s="498"/>
      <c r="AM2415" s="498">
        <f t="shared" si="830"/>
        <v>0</v>
      </c>
      <c r="AN2415" s="498">
        <f t="shared" si="831"/>
        <v>0</v>
      </c>
      <c r="AO2415" s="498">
        <f t="shared" si="832"/>
        <v>0</v>
      </c>
      <c r="AP2415" s="498">
        <f t="shared" si="851"/>
        <v>0</v>
      </c>
      <c r="AQ2415" s="498">
        <f t="shared" si="846"/>
        <v>0</v>
      </c>
      <c r="AU2415" s="498">
        <f t="shared" si="833"/>
        <v>0</v>
      </c>
      <c r="AV2415" s="498">
        <f t="shared" si="834"/>
        <v>0</v>
      </c>
      <c r="AW2415" s="498">
        <f t="shared" si="835"/>
        <v>0</v>
      </c>
      <c r="AX2415" s="498">
        <f t="shared" si="836"/>
        <v>0</v>
      </c>
      <c r="AY2415" s="498">
        <f t="shared" si="837"/>
        <v>0</v>
      </c>
      <c r="BB2415" s="498" t="str">
        <f t="shared" si="838"/>
        <v/>
      </c>
      <c r="BC2415" s="743" t="str">
        <f t="shared" si="839"/>
        <v/>
      </c>
      <c r="BD2415" s="743" t="str">
        <f t="shared" si="840"/>
        <v/>
      </c>
      <c r="BE2415" s="743" t="str">
        <f>IF(D2415="","",VLOOKUP(D2415,'General Basis'!$J$39:$K$46,2,0))</f>
        <v/>
      </c>
      <c r="BF2415" s="744" t="str">
        <f>IF(D2415="","",VLOOKUP(D2415,'General Basis'!$J$39:$L$46,3,0))</f>
        <v/>
      </c>
      <c r="BG2415" s="744" t="str">
        <f t="shared" si="847"/>
        <v/>
      </c>
      <c r="BH2415" s="744" t="str">
        <f>IF(G2415="","",IF(BF2415="Abu Dhabi",IF(G2415&lt;18,'General Basis'!$C$39,IF(G2415&lt;41,'General Basis'!$C$40,IF(G2415&lt;60,'General Basis'!$C$41,IF(G2415&lt;65,'General Basis'!$C$42,'General Basis'!$C$43)))),IF(G2415&lt;11,'General Basis'!$B$39,IF(G2415&lt;18,'General Basis'!$B$40,IF(G2415&lt;26,'General Basis'!$B$41,IF(G2415&lt;31,'General Basis'!$B$42,IF(G2415&lt;36,'General Basis'!$B$43,IF(G2415&lt;41,'General Basis'!$B$44,IF(G2415&lt;46,'General Basis'!$B$45,IF(G2415&lt;51,'General Basis'!$B$46,IF(G2415&lt;56,'General Basis'!$B$47,IF(G2415&lt;60,'General Basis'!$B$48,IF(G2415&lt;65,'General Basis'!$B$49,'General Basis'!$B$50)))))))))))))</f>
        <v/>
      </c>
      <c r="BI2415" s="744" t="str">
        <f t="shared" si="841"/>
        <v/>
      </c>
      <c r="BJ2415" s="747" t="str">
        <f t="shared" si="848"/>
        <v/>
      </c>
      <c r="BK2415" s="498" t="str">
        <f t="shared" si="842"/>
        <v/>
      </c>
      <c r="BL2415" s="498" t="str">
        <f t="shared" si="843"/>
        <v/>
      </c>
    </row>
    <row r="2416" spans="1:64" x14ac:dyDescent="0.25">
      <c r="A2416" s="762">
        <f t="shared" si="844"/>
        <v>2411</v>
      </c>
      <c r="B2416" s="229"/>
      <c r="C2416" s="223"/>
      <c r="D2416" s="224"/>
      <c r="E2416" s="225"/>
      <c r="F2416" s="1036" t="str">
        <f t="shared" si="850"/>
        <v/>
      </c>
      <c r="G2416" s="1037" t="str">
        <f t="shared" si="845"/>
        <v/>
      </c>
      <c r="H2416" s="225"/>
      <c r="I2416" s="1013"/>
      <c r="J2416" s="1013"/>
      <c r="K2416" s="1028"/>
      <c r="L2416" s="1035" t="str">
        <f t="shared" si="849"/>
        <v/>
      </c>
      <c r="S2416" s="498"/>
      <c r="AJ2416" s="498"/>
      <c r="AM2416" s="498">
        <f t="shared" si="830"/>
        <v>0</v>
      </c>
      <c r="AN2416" s="498">
        <f t="shared" si="831"/>
        <v>0</v>
      </c>
      <c r="AO2416" s="498">
        <f t="shared" si="832"/>
        <v>0</v>
      </c>
      <c r="AP2416" s="498">
        <f t="shared" si="851"/>
        <v>0</v>
      </c>
      <c r="AQ2416" s="498">
        <f t="shared" si="846"/>
        <v>0</v>
      </c>
      <c r="AU2416" s="498">
        <f t="shared" si="833"/>
        <v>0</v>
      </c>
      <c r="AV2416" s="498">
        <f t="shared" si="834"/>
        <v>0</v>
      </c>
      <c r="AW2416" s="498">
        <f t="shared" si="835"/>
        <v>0</v>
      </c>
      <c r="AX2416" s="498">
        <f t="shared" si="836"/>
        <v>0</v>
      </c>
      <c r="AY2416" s="498">
        <f t="shared" si="837"/>
        <v>0</v>
      </c>
      <c r="BB2416" s="498" t="str">
        <f t="shared" si="838"/>
        <v/>
      </c>
      <c r="BC2416" s="743" t="str">
        <f t="shared" si="839"/>
        <v/>
      </c>
      <c r="BD2416" s="743" t="str">
        <f t="shared" si="840"/>
        <v/>
      </c>
      <c r="BE2416" s="743" t="str">
        <f>IF(D2416="","",VLOOKUP(D2416,'General Basis'!$J$39:$K$46,2,0))</f>
        <v/>
      </c>
      <c r="BF2416" s="744" t="str">
        <f>IF(D2416="","",VLOOKUP(D2416,'General Basis'!$J$39:$L$46,3,0))</f>
        <v/>
      </c>
      <c r="BG2416" s="744" t="str">
        <f t="shared" si="847"/>
        <v/>
      </c>
      <c r="BH2416" s="744" t="str">
        <f>IF(G2416="","",IF(BF2416="Abu Dhabi",IF(G2416&lt;18,'General Basis'!$C$39,IF(G2416&lt;41,'General Basis'!$C$40,IF(G2416&lt;60,'General Basis'!$C$41,IF(G2416&lt;65,'General Basis'!$C$42,'General Basis'!$C$43)))),IF(G2416&lt;11,'General Basis'!$B$39,IF(G2416&lt;18,'General Basis'!$B$40,IF(G2416&lt;26,'General Basis'!$B$41,IF(G2416&lt;31,'General Basis'!$B$42,IF(G2416&lt;36,'General Basis'!$B$43,IF(G2416&lt;41,'General Basis'!$B$44,IF(G2416&lt;46,'General Basis'!$B$45,IF(G2416&lt;51,'General Basis'!$B$46,IF(G2416&lt;56,'General Basis'!$B$47,IF(G2416&lt;60,'General Basis'!$B$48,IF(G2416&lt;65,'General Basis'!$B$49,'General Basis'!$B$50)))))))))))))</f>
        <v/>
      </c>
      <c r="BI2416" s="744" t="str">
        <f t="shared" si="841"/>
        <v/>
      </c>
      <c r="BJ2416" s="747" t="str">
        <f t="shared" si="848"/>
        <v/>
      </c>
      <c r="BK2416" s="498" t="str">
        <f t="shared" si="842"/>
        <v/>
      </c>
      <c r="BL2416" s="498" t="str">
        <f t="shared" si="843"/>
        <v/>
      </c>
    </row>
    <row r="2417" spans="1:64" x14ac:dyDescent="0.25">
      <c r="A2417" s="762">
        <f t="shared" si="844"/>
        <v>2412</v>
      </c>
      <c r="B2417" s="229"/>
      <c r="C2417" s="223"/>
      <c r="D2417" s="224"/>
      <c r="E2417" s="225"/>
      <c r="F2417" s="1036" t="str">
        <f t="shared" si="850"/>
        <v/>
      </c>
      <c r="G2417" s="1037" t="str">
        <f t="shared" si="845"/>
        <v/>
      </c>
      <c r="H2417" s="225"/>
      <c r="I2417" s="1013"/>
      <c r="J2417" s="1013"/>
      <c r="K2417" s="1028"/>
      <c r="L2417" s="1035" t="str">
        <f t="shared" si="849"/>
        <v/>
      </c>
      <c r="S2417" s="498"/>
      <c r="AJ2417" s="498"/>
      <c r="AM2417" s="498">
        <f t="shared" si="830"/>
        <v>0</v>
      </c>
      <c r="AN2417" s="498">
        <f t="shared" si="831"/>
        <v>0</v>
      </c>
      <c r="AO2417" s="498">
        <f t="shared" si="832"/>
        <v>0</v>
      </c>
      <c r="AP2417" s="498">
        <f t="shared" si="851"/>
        <v>0</v>
      </c>
      <c r="AQ2417" s="498">
        <f t="shared" si="846"/>
        <v>0</v>
      </c>
      <c r="AU2417" s="498">
        <f t="shared" si="833"/>
        <v>0</v>
      </c>
      <c r="AV2417" s="498">
        <f t="shared" si="834"/>
        <v>0</v>
      </c>
      <c r="AW2417" s="498">
        <f t="shared" si="835"/>
        <v>0</v>
      </c>
      <c r="AX2417" s="498">
        <f t="shared" si="836"/>
        <v>0</v>
      </c>
      <c r="AY2417" s="498">
        <f t="shared" si="837"/>
        <v>0</v>
      </c>
      <c r="BB2417" s="498" t="str">
        <f t="shared" si="838"/>
        <v/>
      </c>
      <c r="BC2417" s="743" t="str">
        <f t="shared" si="839"/>
        <v/>
      </c>
      <c r="BD2417" s="743" t="str">
        <f t="shared" si="840"/>
        <v/>
      </c>
      <c r="BE2417" s="743" t="str">
        <f>IF(D2417="","",VLOOKUP(D2417,'General Basis'!$J$39:$K$46,2,0))</f>
        <v/>
      </c>
      <c r="BF2417" s="744" t="str">
        <f>IF(D2417="","",VLOOKUP(D2417,'General Basis'!$J$39:$L$46,3,0))</f>
        <v/>
      </c>
      <c r="BG2417" s="744" t="str">
        <f t="shared" si="847"/>
        <v/>
      </c>
      <c r="BH2417" s="744" t="str">
        <f>IF(G2417="","",IF(BF2417="Abu Dhabi",IF(G2417&lt;18,'General Basis'!$C$39,IF(G2417&lt;41,'General Basis'!$C$40,IF(G2417&lt;60,'General Basis'!$C$41,IF(G2417&lt;65,'General Basis'!$C$42,'General Basis'!$C$43)))),IF(G2417&lt;11,'General Basis'!$B$39,IF(G2417&lt;18,'General Basis'!$B$40,IF(G2417&lt;26,'General Basis'!$B$41,IF(G2417&lt;31,'General Basis'!$B$42,IF(G2417&lt;36,'General Basis'!$B$43,IF(G2417&lt;41,'General Basis'!$B$44,IF(G2417&lt;46,'General Basis'!$B$45,IF(G2417&lt;51,'General Basis'!$B$46,IF(G2417&lt;56,'General Basis'!$B$47,IF(G2417&lt;60,'General Basis'!$B$48,IF(G2417&lt;65,'General Basis'!$B$49,'General Basis'!$B$50)))))))))))))</f>
        <v/>
      </c>
      <c r="BI2417" s="744" t="str">
        <f t="shared" si="841"/>
        <v/>
      </c>
      <c r="BJ2417" s="747" t="str">
        <f t="shared" si="848"/>
        <v/>
      </c>
      <c r="BK2417" s="498" t="str">
        <f t="shared" si="842"/>
        <v/>
      </c>
      <c r="BL2417" s="498" t="str">
        <f t="shared" si="843"/>
        <v/>
      </c>
    </row>
    <row r="2418" spans="1:64" x14ac:dyDescent="0.25">
      <c r="A2418" s="762">
        <f t="shared" si="844"/>
        <v>2413</v>
      </c>
      <c r="B2418" s="229"/>
      <c r="C2418" s="223"/>
      <c r="D2418" s="224"/>
      <c r="E2418" s="225"/>
      <c r="F2418" s="1036" t="str">
        <f t="shared" si="850"/>
        <v/>
      </c>
      <c r="G2418" s="1037" t="str">
        <f t="shared" si="845"/>
        <v/>
      </c>
      <c r="H2418" s="225"/>
      <c r="I2418" s="1013"/>
      <c r="J2418" s="1013"/>
      <c r="K2418" s="1028"/>
      <c r="L2418" s="1035" t="str">
        <f t="shared" si="849"/>
        <v/>
      </c>
      <c r="S2418" s="498"/>
      <c r="AJ2418" s="498"/>
      <c r="AM2418" s="498">
        <f t="shared" si="830"/>
        <v>0</v>
      </c>
      <c r="AN2418" s="498">
        <f t="shared" si="831"/>
        <v>0</v>
      </c>
      <c r="AO2418" s="498">
        <f t="shared" si="832"/>
        <v>0</v>
      </c>
      <c r="AP2418" s="498">
        <f t="shared" si="851"/>
        <v>0</v>
      </c>
      <c r="AQ2418" s="498">
        <f t="shared" si="846"/>
        <v>0</v>
      </c>
      <c r="AU2418" s="498">
        <f t="shared" si="833"/>
        <v>0</v>
      </c>
      <c r="AV2418" s="498">
        <f t="shared" si="834"/>
        <v>0</v>
      </c>
      <c r="AW2418" s="498">
        <f t="shared" si="835"/>
        <v>0</v>
      </c>
      <c r="AX2418" s="498">
        <f t="shared" si="836"/>
        <v>0</v>
      </c>
      <c r="AY2418" s="498">
        <f t="shared" si="837"/>
        <v>0</v>
      </c>
      <c r="BB2418" s="498" t="str">
        <f t="shared" si="838"/>
        <v/>
      </c>
      <c r="BC2418" s="743" t="str">
        <f t="shared" si="839"/>
        <v/>
      </c>
      <c r="BD2418" s="743" t="str">
        <f t="shared" si="840"/>
        <v/>
      </c>
      <c r="BE2418" s="743" t="str">
        <f>IF(D2418="","",VLOOKUP(D2418,'General Basis'!$J$39:$K$46,2,0))</f>
        <v/>
      </c>
      <c r="BF2418" s="744" t="str">
        <f>IF(D2418="","",VLOOKUP(D2418,'General Basis'!$J$39:$L$46,3,0))</f>
        <v/>
      </c>
      <c r="BG2418" s="744" t="str">
        <f t="shared" si="847"/>
        <v/>
      </c>
      <c r="BH2418" s="744" t="str">
        <f>IF(G2418="","",IF(BF2418="Abu Dhabi",IF(G2418&lt;18,'General Basis'!$C$39,IF(G2418&lt;41,'General Basis'!$C$40,IF(G2418&lt;60,'General Basis'!$C$41,IF(G2418&lt;65,'General Basis'!$C$42,'General Basis'!$C$43)))),IF(G2418&lt;11,'General Basis'!$B$39,IF(G2418&lt;18,'General Basis'!$B$40,IF(G2418&lt;26,'General Basis'!$B$41,IF(G2418&lt;31,'General Basis'!$B$42,IF(G2418&lt;36,'General Basis'!$B$43,IF(G2418&lt;41,'General Basis'!$B$44,IF(G2418&lt;46,'General Basis'!$B$45,IF(G2418&lt;51,'General Basis'!$B$46,IF(G2418&lt;56,'General Basis'!$B$47,IF(G2418&lt;60,'General Basis'!$B$48,IF(G2418&lt;65,'General Basis'!$B$49,'General Basis'!$B$50)))))))))))))</f>
        <v/>
      </c>
      <c r="BI2418" s="744" t="str">
        <f t="shared" si="841"/>
        <v/>
      </c>
      <c r="BJ2418" s="747" t="str">
        <f t="shared" si="848"/>
        <v/>
      </c>
      <c r="BK2418" s="498" t="str">
        <f t="shared" si="842"/>
        <v/>
      </c>
      <c r="BL2418" s="498" t="str">
        <f t="shared" si="843"/>
        <v/>
      </c>
    </row>
    <row r="2419" spans="1:64" x14ac:dyDescent="0.25">
      <c r="A2419" s="762">
        <f t="shared" si="844"/>
        <v>2414</v>
      </c>
      <c r="B2419" s="229"/>
      <c r="C2419" s="223"/>
      <c r="D2419" s="224"/>
      <c r="E2419" s="225"/>
      <c r="F2419" s="1036" t="str">
        <f t="shared" si="850"/>
        <v/>
      </c>
      <c r="G2419" s="1037" t="str">
        <f t="shared" si="845"/>
        <v/>
      </c>
      <c r="H2419" s="225"/>
      <c r="I2419" s="1013"/>
      <c r="J2419" s="1013"/>
      <c r="K2419" s="1028"/>
      <c r="L2419" s="1035" t="str">
        <f t="shared" si="849"/>
        <v/>
      </c>
      <c r="S2419" s="498"/>
      <c r="AJ2419" s="498"/>
      <c r="AM2419" s="498">
        <f t="shared" si="830"/>
        <v>0</v>
      </c>
      <c r="AN2419" s="498">
        <f t="shared" si="831"/>
        <v>0</v>
      </c>
      <c r="AO2419" s="498">
        <f t="shared" si="832"/>
        <v>0</v>
      </c>
      <c r="AP2419" s="498">
        <f t="shared" si="851"/>
        <v>0</v>
      </c>
      <c r="AQ2419" s="498">
        <f t="shared" si="846"/>
        <v>0</v>
      </c>
      <c r="AU2419" s="498">
        <f t="shared" si="833"/>
        <v>0</v>
      </c>
      <c r="AV2419" s="498">
        <f t="shared" si="834"/>
        <v>0</v>
      </c>
      <c r="AW2419" s="498">
        <f t="shared" si="835"/>
        <v>0</v>
      </c>
      <c r="AX2419" s="498">
        <f t="shared" si="836"/>
        <v>0</v>
      </c>
      <c r="AY2419" s="498">
        <f t="shared" si="837"/>
        <v>0</v>
      </c>
      <c r="BB2419" s="498" t="str">
        <f t="shared" si="838"/>
        <v/>
      </c>
      <c r="BC2419" s="743" t="str">
        <f t="shared" si="839"/>
        <v/>
      </c>
      <c r="BD2419" s="743" t="str">
        <f t="shared" si="840"/>
        <v/>
      </c>
      <c r="BE2419" s="743" t="str">
        <f>IF(D2419="","",VLOOKUP(D2419,'General Basis'!$J$39:$K$46,2,0))</f>
        <v/>
      </c>
      <c r="BF2419" s="744" t="str">
        <f>IF(D2419="","",VLOOKUP(D2419,'General Basis'!$J$39:$L$46,3,0))</f>
        <v/>
      </c>
      <c r="BG2419" s="744" t="str">
        <f t="shared" si="847"/>
        <v/>
      </c>
      <c r="BH2419" s="744" t="str">
        <f>IF(G2419="","",IF(BF2419="Abu Dhabi",IF(G2419&lt;18,'General Basis'!$C$39,IF(G2419&lt;41,'General Basis'!$C$40,IF(G2419&lt;60,'General Basis'!$C$41,IF(G2419&lt;65,'General Basis'!$C$42,'General Basis'!$C$43)))),IF(G2419&lt;11,'General Basis'!$B$39,IF(G2419&lt;18,'General Basis'!$B$40,IF(G2419&lt;26,'General Basis'!$B$41,IF(G2419&lt;31,'General Basis'!$B$42,IF(G2419&lt;36,'General Basis'!$B$43,IF(G2419&lt;41,'General Basis'!$B$44,IF(G2419&lt;46,'General Basis'!$B$45,IF(G2419&lt;51,'General Basis'!$B$46,IF(G2419&lt;56,'General Basis'!$B$47,IF(G2419&lt;60,'General Basis'!$B$48,IF(G2419&lt;65,'General Basis'!$B$49,'General Basis'!$B$50)))))))))))))</f>
        <v/>
      </c>
      <c r="BI2419" s="744" t="str">
        <f t="shared" si="841"/>
        <v/>
      </c>
      <c r="BJ2419" s="747" t="str">
        <f t="shared" si="848"/>
        <v/>
      </c>
      <c r="BK2419" s="498" t="str">
        <f t="shared" si="842"/>
        <v/>
      </c>
      <c r="BL2419" s="498" t="str">
        <f t="shared" si="843"/>
        <v/>
      </c>
    </row>
    <row r="2420" spans="1:64" x14ac:dyDescent="0.25">
      <c r="A2420" s="762">
        <f t="shared" si="844"/>
        <v>2415</v>
      </c>
      <c r="B2420" s="229"/>
      <c r="C2420" s="223"/>
      <c r="D2420" s="224"/>
      <c r="E2420" s="225"/>
      <c r="F2420" s="1036" t="str">
        <f t="shared" si="850"/>
        <v/>
      </c>
      <c r="G2420" s="1037" t="str">
        <f t="shared" si="845"/>
        <v/>
      </c>
      <c r="H2420" s="225"/>
      <c r="I2420" s="1013"/>
      <c r="J2420" s="1013"/>
      <c r="K2420" s="1028"/>
      <c r="L2420" s="1035" t="str">
        <f t="shared" si="849"/>
        <v/>
      </c>
      <c r="S2420" s="498"/>
      <c r="AJ2420" s="498"/>
      <c r="AM2420" s="498">
        <f t="shared" si="830"/>
        <v>0</v>
      </c>
      <c r="AN2420" s="498">
        <f t="shared" si="831"/>
        <v>0</v>
      </c>
      <c r="AO2420" s="498">
        <f t="shared" si="832"/>
        <v>0</v>
      </c>
      <c r="AP2420" s="498">
        <f t="shared" si="851"/>
        <v>0</v>
      </c>
      <c r="AQ2420" s="498">
        <f t="shared" si="846"/>
        <v>0</v>
      </c>
      <c r="AU2420" s="498">
        <f t="shared" si="833"/>
        <v>0</v>
      </c>
      <c r="AV2420" s="498">
        <f t="shared" si="834"/>
        <v>0</v>
      </c>
      <c r="AW2420" s="498">
        <f t="shared" si="835"/>
        <v>0</v>
      </c>
      <c r="AX2420" s="498">
        <f t="shared" si="836"/>
        <v>0</v>
      </c>
      <c r="AY2420" s="498">
        <f t="shared" si="837"/>
        <v>0</v>
      </c>
      <c r="BB2420" s="498" t="str">
        <f t="shared" si="838"/>
        <v/>
      </c>
      <c r="BC2420" s="743" t="str">
        <f t="shared" si="839"/>
        <v/>
      </c>
      <c r="BD2420" s="743" t="str">
        <f t="shared" si="840"/>
        <v/>
      </c>
      <c r="BE2420" s="743" t="str">
        <f>IF(D2420="","",VLOOKUP(D2420,'General Basis'!$J$39:$K$46,2,0))</f>
        <v/>
      </c>
      <c r="BF2420" s="744" t="str">
        <f>IF(D2420="","",VLOOKUP(D2420,'General Basis'!$J$39:$L$46,3,0))</f>
        <v/>
      </c>
      <c r="BG2420" s="744" t="str">
        <f t="shared" si="847"/>
        <v/>
      </c>
      <c r="BH2420" s="744" t="str">
        <f>IF(G2420="","",IF(BF2420="Abu Dhabi",IF(G2420&lt;18,'General Basis'!$C$39,IF(G2420&lt;41,'General Basis'!$C$40,IF(G2420&lt;60,'General Basis'!$C$41,IF(G2420&lt;65,'General Basis'!$C$42,'General Basis'!$C$43)))),IF(G2420&lt;11,'General Basis'!$B$39,IF(G2420&lt;18,'General Basis'!$B$40,IF(G2420&lt;26,'General Basis'!$B$41,IF(G2420&lt;31,'General Basis'!$B$42,IF(G2420&lt;36,'General Basis'!$B$43,IF(G2420&lt;41,'General Basis'!$B$44,IF(G2420&lt;46,'General Basis'!$B$45,IF(G2420&lt;51,'General Basis'!$B$46,IF(G2420&lt;56,'General Basis'!$B$47,IF(G2420&lt;60,'General Basis'!$B$48,IF(G2420&lt;65,'General Basis'!$B$49,'General Basis'!$B$50)))))))))))))</f>
        <v/>
      </c>
      <c r="BI2420" s="744" t="str">
        <f t="shared" si="841"/>
        <v/>
      </c>
      <c r="BJ2420" s="747" t="str">
        <f t="shared" si="848"/>
        <v/>
      </c>
      <c r="BK2420" s="498" t="str">
        <f t="shared" si="842"/>
        <v/>
      </c>
      <c r="BL2420" s="498" t="str">
        <f t="shared" si="843"/>
        <v/>
      </c>
    </row>
    <row r="2421" spans="1:64" x14ac:dyDescent="0.25">
      <c r="A2421" s="762">
        <f t="shared" si="844"/>
        <v>2416</v>
      </c>
      <c r="B2421" s="229"/>
      <c r="C2421" s="223"/>
      <c r="D2421" s="224"/>
      <c r="E2421" s="225"/>
      <c r="F2421" s="1036" t="str">
        <f t="shared" si="850"/>
        <v/>
      </c>
      <c r="G2421" s="1037" t="str">
        <f t="shared" si="845"/>
        <v/>
      </c>
      <c r="H2421" s="225"/>
      <c r="I2421" s="1013"/>
      <c r="J2421" s="1013"/>
      <c r="K2421" s="1028"/>
      <c r="L2421" s="1035" t="str">
        <f t="shared" si="849"/>
        <v/>
      </c>
      <c r="S2421" s="498"/>
      <c r="AJ2421" s="498"/>
      <c r="AM2421" s="498">
        <f t="shared" si="830"/>
        <v>0</v>
      </c>
      <c r="AN2421" s="498">
        <f t="shared" si="831"/>
        <v>0</v>
      </c>
      <c r="AO2421" s="498">
        <f t="shared" si="832"/>
        <v>0</v>
      </c>
      <c r="AP2421" s="498">
        <f t="shared" si="851"/>
        <v>0</v>
      </c>
      <c r="AQ2421" s="498">
        <f t="shared" si="846"/>
        <v>0</v>
      </c>
      <c r="AU2421" s="498">
        <f t="shared" si="833"/>
        <v>0</v>
      </c>
      <c r="AV2421" s="498">
        <f t="shared" si="834"/>
        <v>0</v>
      </c>
      <c r="AW2421" s="498">
        <f t="shared" si="835"/>
        <v>0</v>
      </c>
      <c r="AX2421" s="498">
        <f t="shared" si="836"/>
        <v>0</v>
      </c>
      <c r="AY2421" s="498">
        <f t="shared" si="837"/>
        <v>0</v>
      </c>
      <c r="BB2421" s="498" t="str">
        <f t="shared" si="838"/>
        <v/>
      </c>
      <c r="BC2421" s="743" t="str">
        <f t="shared" si="839"/>
        <v/>
      </c>
      <c r="BD2421" s="743" t="str">
        <f t="shared" si="840"/>
        <v/>
      </c>
      <c r="BE2421" s="743" t="str">
        <f>IF(D2421="","",VLOOKUP(D2421,'General Basis'!$J$39:$K$46,2,0))</f>
        <v/>
      </c>
      <c r="BF2421" s="744" t="str">
        <f>IF(D2421="","",VLOOKUP(D2421,'General Basis'!$J$39:$L$46,3,0))</f>
        <v/>
      </c>
      <c r="BG2421" s="744" t="str">
        <f t="shared" si="847"/>
        <v/>
      </c>
      <c r="BH2421" s="744" t="str">
        <f>IF(G2421="","",IF(BF2421="Abu Dhabi",IF(G2421&lt;18,'General Basis'!$C$39,IF(G2421&lt;41,'General Basis'!$C$40,IF(G2421&lt;60,'General Basis'!$C$41,IF(G2421&lt;65,'General Basis'!$C$42,'General Basis'!$C$43)))),IF(G2421&lt;11,'General Basis'!$B$39,IF(G2421&lt;18,'General Basis'!$B$40,IF(G2421&lt;26,'General Basis'!$B$41,IF(G2421&lt;31,'General Basis'!$B$42,IF(G2421&lt;36,'General Basis'!$B$43,IF(G2421&lt;41,'General Basis'!$B$44,IF(G2421&lt;46,'General Basis'!$B$45,IF(G2421&lt;51,'General Basis'!$B$46,IF(G2421&lt;56,'General Basis'!$B$47,IF(G2421&lt;60,'General Basis'!$B$48,IF(G2421&lt;65,'General Basis'!$B$49,'General Basis'!$B$50)))))))))))))</f>
        <v/>
      </c>
      <c r="BI2421" s="744" t="str">
        <f t="shared" si="841"/>
        <v/>
      </c>
      <c r="BJ2421" s="747" t="str">
        <f t="shared" si="848"/>
        <v/>
      </c>
      <c r="BK2421" s="498" t="str">
        <f t="shared" si="842"/>
        <v/>
      </c>
      <c r="BL2421" s="498" t="str">
        <f t="shared" si="843"/>
        <v/>
      </c>
    </row>
    <row r="2422" spans="1:64" x14ac:dyDescent="0.25">
      <c r="A2422" s="762">
        <f t="shared" si="844"/>
        <v>2417</v>
      </c>
      <c r="B2422" s="229"/>
      <c r="C2422" s="223"/>
      <c r="D2422" s="224"/>
      <c r="E2422" s="225"/>
      <c r="F2422" s="1036" t="str">
        <f t="shared" si="850"/>
        <v/>
      </c>
      <c r="G2422" s="1037" t="str">
        <f t="shared" si="845"/>
        <v/>
      </c>
      <c r="H2422" s="225"/>
      <c r="I2422" s="1013"/>
      <c r="J2422" s="1013"/>
      <c r="K2422" s="1028"/>
      <c r="L2422" s="1035" t="str">
        <f t="shared" si="849"/>
        <v/>
      </c>
      <c r="S2422" s="498"/>
      <c r="AJ2422" s="498"/>
      <c r="AM2422" s="498">
        <f t="shared" si="830"/>
        <v>0</v>
      </c>
      <c r="AN2422" s="498">
        <f t="shared" si="831"/>
        <v>0</v>
      </c>
      <c r="AO2422" s="498">
        <f t="shared" si="832"/>
        <v>0</v>
      </c>
      <c r="AP2422" s="498">
        <f t="shared" si="851"/>
        <v>0</v>
      </c>
      <c r="AQ2422" s="498">
        <f t="shared" si="846"/>
        <v>0</v>
      </c>
      <c r="AU2422" s="498">
        <f t="shared" si="833"/>
        <v>0</v>
      </c>
      <c r="AV2422" s="498">
        <f t="shared" si="834"/>
        <v>0</v>
      </c>
      <c r="AW2422" s="498">
        <f t="shared" si="835"/>
        <v>0</v>
      </c>
      <c r="AX2422" s="498">
        <f t="shared" si="836"/>
        <v>0</v>
      </c>
      <c r="AY2422" s="498">
        <f t="shared" si="837"/>
        <v>0</v>
      </c>
      <c r="BB2422" s="498" t="str">
        <f t="shared" si="838"/>
        <v/>
      </c>
      <c r="BC2422" s="743" t="str">
        <f t="shared" si="839"/>
        <v/>
      </c>
      <c r="BD2422" s="743" t="str">
        <f t="shared" si="840"/>
        <v/>
      </c>
      <c r="BE2422" s="743" t="str">
        <f>IF(D2422="","",VLOOKUP(D2422,'General Basis'!$J$39:$K$46,2,0))</f>
        <v/>
      </c>
      <c r="BF2422" s="744" t="str">
        <f>IF(D2422="","",VLOOKUP(D2422,'General Basis'!$J$39:$L$46,3,0))</f>
        <v/>
      </c>
      <c r="BG2422" s="744" t="str">
        <f t="shared" si="847"/>
        <v/>
      </c>
      <c r="BH2422" s="744" t="str">
        <f>IF(G2422="","",IF(BF2422="Abu Dhabi",IF(G2422&lt;18,'General Basis'!$C$39,IF(G2422&lt;41,'General Basis'!$C$40,IF(G2422&lt;60,'General Basis'!$C$41,IF(G2422&lt;65,'General Basis'!$C$42,'General Basis'!$C$43)))),IF(G2422&lt;11,'General Basis'!$B$39,IF(G2422&lt;18,'General Basis'!$B$40,IF(G2422&lt;26,'General Basis'!$B$41,IF(G2422&lt;31,'General Basis'!$B$42,IF(G2422&lt;36,'General Basis'!$B$43,IF(G2422&lt;41,'General Basis'!$B$44,IF(G2422&lt;46,'General Basis'!$B$45,IF(G2422&lt;51,'General Basis'!$B$46,IF(G2422&lt;56,'General Basis'!$B$47,IF(G2422&lt;60,'General Basis'!$B$48,IF(G2422&lt;65,'General Basis'!$B$49,'General Basis'!$B$50)))))))))))))</f>
        <v/>
      </c>
      <c r="BI2422" s="744" t="str">
        <f t="shared" si="841"/>
        <v/>
      </c>
      <c r="BJ2422" s="747" t="str">
        <f t="shared" si="848"/>
        <v/>
      </c>
      <c r="BK2422" s="498" t="str">
        <f t="shared" si="842"/>
        <v/>
      </c>
      <c r="BL2422" s="498" t="str">
        <f t="shared" si="843"/>
        <v/>
      </c>
    </row>
    <row r="2423" spans="1:64" x14ac:dyDescent="0.25">
      <c r="A2423" s="762">
        <f t="shared" si="844"/>
        <v>2418</v>
      </c>
      <c r="B2423" s="229"/>
      <c r="C2423" s="223"/>
      <c r="D2423" s="224"/>
      <c r="E2423" s="225"/>
      <c r="F2423" s="1036" t="str">
        <f t="shared" si="850"/>
        <v/>
      </c>
      <c r="G2423" s="1037" t="str">
        <f t="shared" si="845"/>
        <v/>
      </c>
      <c r="H2423" s="225"/>
      <c r="I2423" s="1013"/>
      <c r="J2423" s="1013"/>
      <c r="K2423" s="1028"/>
      <c r="L2423" s="1035" t="str">
        <f t="shared" si="849"/>
        <v/>
      </c>
      <c r="S2423" s="498"/>
      <c r="AJ2423" s="498"/>
      <c r="AM2423" s="498">
        <f t="shared" si="830"/>
        <v>0</v>
      </c>
      <c r="AN2423" s="498">
        <f t="shared" si="831"/>
        <v>0</v>
      </c>
      <c r="AO2423" s="498">
        <f t="shared" si="832"/>
        <v>0</v>
      </c>
      <c r="AP2423" s="498">
        <f t="shared" si="851"/>
        <v>0</v>
      </c>
      <c r="AQ2423" s="498">
        <f t="shared" si="846"/>
        <v>0</v>
      </c>
      <c r="AU2423" s="498">
        <f t="shared" si="833"/>
        <v>0</v>
      </c>
      <c r="AV2423" s="498">
        <f t="shared" si="834"/>
        <v>0</v>
      </c>
      <c r="AW2423" s="498">
        <f t="shared" si="835"/>
        <v>0</v>
      </c>
      <c r="AX2423" s="498">
        <f t="shared" si="836"/>
        <v>0</v>
      </c>
      <c r="AY2423" s="498">
        <f t="shared" si="837"/>
        <v>0</v>
      </c>
      <c r="BB2423" s="498" t="str">
        <f t="shared" si="838"/>
        <v/>
      </c>
      <c r="BC2423" s="743" t="str">
        <f t="shared" si="839"/>
        <v/>
      </c>
      <c r="BD2423" s="743" t="str">
        <f t="shared" si="840"/>
        <v/>
      </c>
      <c r="BE2423" s="743" t="str">
        <f>IF(D2423="","",VLOOKUP(D2423,'General Basis'!$J$39:$K$46,2,0))</f>
        <v/>
      </c>
      <c r="BF2423" s="744" t="str">
        <f>IF(D2423="","",VLOOKUP(D2423,'General Basis'!$J$39:$L$46,3,0))</f>
        <v/>
      </c>
      <c r="BG2423" s="744" t="str">
        <f t="shared" si="847"/>
        <v/>
      </c>
      <c r="BH2423" s="744" t="str">
        <f>IF(G2423="","",IF(BF2423="Abu Dhabi",IF(G2423&lt;18,'General Basis'!$C$39,IF(G2423&lt;41,'General Basis'!$C$40,IF(G2423&lt;60,'General Basis'!$C$41,IF(G2423&lt;65,'General Basis'!$C$42,'General Basis'!$C$43)))),IF(G2423&lt;11,'General Basis'!$B$39,IF(G2423&lt;18,'General Basis'!$B$40,IF(G2423&lt;26,'General Basis'!$B$41,IF(G2423&lt;31,'General Basis'!$B$42,IF(G2423&lt;36,'General Basis'!$B$43,IF(G2423&lt;41,'General Basis'!$B$44,IF(G2423&lt;46,'General Basis'!$B$45,IF(G2423&lt;51,'General Basis'!$B$46,IF(G2423&lt;56,'General Basis'!$B$47,IF(G2423&lt;60,'General Basis'!$B$48,IF(G2423&lt;65,'General Basis'!$B$49,'General Basis'!$B$50)))))))))))))</f>
        <v/>
      </c>
      <c r="BI2423" s="744" t="str">
        <f t="shared" si="841"/>
        <v/>
      </c>
      <c r="BJ2423" s="747" t="str">
        <f t="shared" si="848"/>
        <v/>
      </c>
      <c r="BK2423" s="498" t="str">
        <f t="shared" si="842"/>
        <v/>
      </c>
      <c r="BL2423" s="498" t="str">
        <f t="shared" si="843"/>
        <v/>
      </c>
    </row>
    <row r="2424" spans="1:64" x14ac:dyDescent="0.25">
      <c r="A2424" s="762">
        <f t="shared" si="844"/>
        <v>2419</v>
      </c>
      <c r="B2424" s="229"/>
      <c r="C2424" s="223"/>
      <c r="D2424" s="224"/>
      <c r="E2424" s="225"/>
      <c r="F2424" s="1036" t="str">
        <f t="shared" si="850"/>
        <v/>
      </c>
      <c r="G2424" s="1037" t="str">
        <f t="shared" si="845"/>
        <v/>
      </c>
      <c r="H2424" s="225"/>
      <c r="I2424" s="1013"/>
      <c r="J2424" s="1013"/>
      <c r="K2424" s="1028"/>
      <c r="L2424" s="1035" t="str">
        <f t="shared" si="849"/>
        <v/>
      </c>
      <c r="S2424" s="498"/>
      <c r="AJ2424" s="498"/>
      <c r="AM2424" s="498">
        <f t="shared" si="830"/>
        <v>0</v>
      </c>
      <c r="AN2424" s="498">
        <f t="shared" si="831"/>
        <v>0</v>
      </c>
      <c r="AO2424" s="498">
        <f t="shared" si="832"/>
        <v>0</v>
      </c>
      <c r="AP2424" s="498">
        <f t="shared" si="851"/>
        <v>0</v>
      </c>
      <c r="AQ2424" s="498">
        <f t="shared" si="846"/>
        <v>0</v>
      </c>
      <c r="AU2424" s="498">
        <f t="shared" si="833"/>
        <v>0</v>
      </c>
      <c r="AV2424" s="498">
        <f t="shared" si="834"/>
        <v>0</v>
      </c>
      <c r="AW2424" s="498">
        <f t="shared" si="835"/>
        <v>0</v>
      </c>
      <c r="AX2424" s="498">
        <f t="shared" si="836"/>
        <v>0</v>
      </c>
      <c r="AY2424" s="498">
        <f t="shared" si="837"/>
        <v>0</v>
      </c>
      <c r="BB2424" s="498" t="str">
        <f t="shared" si="838"/>
        <v/>
      </c>
      <c r="BC2424" s="743" t="str">
        <f t="shared" si="839"/>
        <v/>
      </c>
      <c r="BD2424" s="743" t="str">
        <f t="shared" si="840"/>
        <v/>
      </c>
      <c r="BE2424" s="743" t="str">
        <f>IF(D2424="","",VLOOKUP(D2424,'General Basis'!$J$39:$K$46,2,0))</f>
        <v/>
      </c>
      <c r="BF2424" s="744" t="str">
        <f>IF(D2424="","",VLOOKUP(D2424,'General Basis'!$J$39:$L$46,3,0))</f>
        <v/>
      </c>
      <c r="BG2424" s="744" t="str">
        <f t="shared" si="847"/>
        <v/>
      </c>
      <c r="BH2424" s="744" t="str">
        <f>IF(G2424="","",IF(BF2424="Abu Dhabi",IF(G2424&lt;18,'General Basis'!$C$39,IF(G2424&lt;41,'General Basis'!$C$40,IF(G2424&lt;60,'General Basis'!$C$41,IF(G2424&lt;65,'General Basis'!$C$42,'General Basis'!$C$43)))),IF(G2424&lt;11,'General Basis'!$B$39,IF(G2424&lt;18,'General Basis'!$B$40,IF(G2424&lt;26,'General Basis'!$B$41,IF(G2424&lt;31,'General Basis'!$B$42,IF(G2424&lt;36,'General Basis'!$B$43,IF(G2424&lt;41,'General Basis'!$B$44,IF(G2424&lt;46,'General Basis'!$B$45,IF(G2424&lt;51,'General Basis'!$B$46,IF(G2424&lt;56,'General Basis'!$B$47,IF(G2424&lt;60,'General Basis'!$B$48,IF(G2424&lt;65,'General Basis'!$B$49,'General Basis'!$B$50)))))))))))))</f>
        <v/>
      </c>
      <c r="BI2424" s="744" t="str">
        <f t="shared" si="841"/>
        <v/>
      </c>
      <c r="BJ2424" s="747" t="str">
        <f t="shared" si="848"/>
        <v/>
      </c>
      <c r="BK2424" s="498" t="str">
        <f t="shared" si="842"/>
        <v/>
      </c>
      <c r="BL2424" s="498" t="str">
        <f t="shared" si="843"/>
        <v/>
      </c>
    </row>
    <row r="2425" spans="1:64" x14ac:dyDescent="0.25">
      <c r="A2425" s="762">
        <f t="shared" si="844"/>
        <v>2420</v>
      </c>
      <c r="B2425" s="229"/>
      <c r="C2425" s="223"/>
      <c r="D2425" s="224"/>
      <c r="E2425" s="225"/>
      <c r="F2425" s="1036" t="str">
        <f t="shared" si="850"/>
        <v/>
      </c>
      <c r="G2425" s="1037" t="str">
        <f t="shared" si="845"/>
        <v/>
      </c>
      <c r="H2425" s="225"/>
      <c r="I2425" s="1013"/>
      <c r="J2425" s="1013"/>
      <c r="K2425" s="1028"/>
      <c r="L2425" s="1035" t="str">
        <f t="shared" si="849"/>
        <v/>
      </c>
      <c r="S2425" s="498"/>
      <c r="AJ2425" s="498"/>
      <c r="AM2425" s="498">
        <f t="shared" si="830"/>
        <v>0</v>
      </c>
      <c r="AN2425" s="498">
        <f t="shared" si="831"/>
        <v>0</v>
      </c>
      <c r="AO2425" s="498">
        <f t="shared" si="832"/>
        <v>0</v>
      </c>
      <c r="AP2425" s="498">
        <f t="shared" si="851"/>
        <v>0</v>
      </c>
      <c r="AQ2425" s="498">
        <f t="shared" si="846"/>
        <v>0</v>
      </c>
      <c r="AU2425" s="498">
        <f t="shared" si="833"/>
        <v>0</v>
      </c>
      <c r="AV2425" s="498">
        <f t="shared" si="834"/>
        <v>0</v>
      </c>
      <c r="AW2425" s="498">
        <f t="shared" si="835"/>
        <v>0</v>
      </c>
      <c r="AX2425" s="498">
        <f t="shared" si="836"/>
        <v>0</v>
      </c>
      <c r="AY2425" s="498">
        <f t="shared" si="837"/>
        <v>0</v>
      </c>
      <c r="BB2425" s="498" t="str">
        <f t="shared" si="838"/>
        <v/>
      </c>
      <c r="BC2425" s="743" t="str">
        <f t="shared" si="839"/>
        <v/>
      </c>
      <c r="BD2425" s="743" t="str">
        <f t="shared" si="840"/>
        <v/>
      </c>
      <c r="BE2425" s="743" t="str">
        <f>IF(D2425="","",VLOOKUP(D2425,'General Basis'!$J$39:$K$46,2,0))</f>
        <v/>
      </c>
      <c r="BF2425" s="744" t="str">
        <f>IF(D2425="","",VLOOKUP(D2425,'General Basis'!$J$39:$L$46,3,0))</f>
        <v/>
      </c>
      <c r="BG2425" s="744" t="str">
        <f t="shared" si="847"/>
        <v/>
      </c>
      <c r="BH2425" s="744" t="str">
        <f>IF(G2425="","",IF(BF2425="Abu Dhabi",IF(G2425&lt;18,'General Basis'!$C$39,IF(G2425&lt;41,'General Basis'!$C$40,IF(G2425&lt;60,'General Basis'!$C$41,IF(G2425&lt;65,'General Basis'!$C$42,'General Basis'!$C$43)))),IF(G2425&lt;11,'General Basis'!$B$39,IF(G2425&lt;18,'General Basis'!$B$40,IF(G2425&lt;26,'General Basis'!$B$41,IF(G2425&lt;31,'General Basis'!$B$42,IF(G2425&lt;36,'General Basis'!$B$43,IF(G2425&lt;41,'General Basis'!$B$44,IF(G2425&lt;46,'General Basis'!$B$45,IF(G2425&lt;51,'General Basis'!$B$46,IF(G2425&lt;56,'General Basis'!$B$47,IF(G2425&lt;60,'General Basis'!$B$48,IF(G2425&lt;65,'General Basis'!$B$49,'General Basis'!$B$50)))))))))))))</f>
        <v/>
      </c>
      <c r="BI2425" s="744" t="str">
        <f t="shared" si="841"/>
        <v/>
      </c>
      <c r="BJ2425" s="747" t="str">
        <f t="shared" si="848"/>
        <v/>
      </c>
      <c r="BK2425" s="498" t="str">
        <f t="shared" si="842"/>
        <v/>
      </c>
      <c r="BL2425" s="498" t="str">
        <f t="shared" si="843"/>
        <v/>
      </c>
    </row>
    <row r="2426" spans="1:64" x14ac:dyDescent="0.25">
      <c r="A2426" s="762">
        <f t="shared" si="844"/>
        <v>2421</v>
      </c>
      <c r="B2426" s="229"/>
      <c r="C2426" s="223"/>
      <c r="D2426" s="224"/>
      <c r="E2426" s="225"/>
      <c r="F2426" s="1036" t="str">
        <f t="shared" si="850"/>
        <v/>
      </c>
      <c r="G2426" s="1037" t="str">
        <f t="shared" si="845"/>
        <v/>
      </c>
      <c r="H2426" s="225"/>
      <c r="I2426" s="1013"/>
      <c r="J2426" s="1013"/>
      <c r="K2426" s="1028"/>
      <c r="L2426" s="1035" t="str">
        <f t="shared" si="849"/>
        <v/>
      </c>
      <c r="S2426" s="498"/>
      <c r="AJ2426" s="498"/>
      <c r="AM2426" s="498">
        <f t="shared" si="830"/>
        <v>0</v>
      </c>
      <c r="AN2426" s="498">
        <f t="shared" si="831"/>
        <v>0</v>
      </c>
      <c r="AO2426" s="498">
        <f t="shared" si="832"/>
        <v>0</v>
      </c>
      <c r="AP2426" s="498">
        <f t="shared" si="851"/>
        <v>0</v>
      </c>
      <c r="AQ2426" s="498">
        <f t="shared" si="846"/>
        <v>0</v>
      </c>
      <c r="AU2426" s="498">
        <f t="shared" si="833"/>
        <v>0</v>
      </c>
      <c r="AV2426" s="498">
        <f t="shared" si="834"/>
        <v>0</v>
      </c>
      <c r="AW2426" s="498">
        <f t="shared" si="835"/>
        <v>0</v>
      </c>
      <c r="AX2426" s="498">
        <f t="shared" si="836"/>
        <v>0</v>
      </c>
      <c r="AY2426" s="498">
        <f t="shared" si="837"/>
        <v>0</v>
      </c>
      <c r="BB2426" s="498" t="str">
        <f t="shared" si="838"/>
        <v/>
      </c>
      <c r="BC2426" s="743" t="str">
        <f t="shared" si="839"/>
        <v/>
      </c>
      <c r="BD2426" s="743" t="str">
        <f t="shared" si="840"/>
        <v/>
      </c>
      <c r="BE2426" s="743" t="str">
        <f>IF(D2426="","",VLOOKUP(D2426,'General Basis'!$J$39:$K$46,2,0))</f>
        <v/>
      </c>
      <c r="BF2426" s="744" t="str">
        <f>IF(D2426="","",VLOOKUP(D2426,'General Basis'!$J$39:$L$46,3,0))</f>
        <v/>
      </c>
      <c r="BG2426" s="744" t="str">
        <f t="shared" si="847"/>
        <v/>
      </c>
      <c r="BH2426" s="744" t="str">
        <f>IF(G2426="","",IF(BF2426="Abu Dhabi",IF(G2426&lt;18,'General Basis'!$C$39,IF(G2426&lt;41,'General Basis'!$C$40,IF(G2426&lt;60,'General Basis'!$C$41,IF(G2426&lt;65,'General Basis'!$C$42,'General Basis'!$C$43)))),IF(G2426&lt;11,'General Basis'!$B$39,IF(G2426&lt;18,'General Basis'!$B$40,IF(G2426&lt;26,'General Basis'!$B$41,IF(G2426&lt;31,'General Basis'!$B$42,IF(G2426&lt;36,'General Basis'!$B$43,IF(G2426&lt;41,'General Basis'!$B$44,IF(G2426&lt;46,'General Basis'!$B$45,IF(G2426&lt;51,'General Basis'!$B$46,IF(G2426&lt;56,'General Basis'!$B$47,IF(G2426&lt;60,'General Basis'!$B$48,IF(G2426&lt;65,'General Basis'!$B$49,'General Basis'!$B$50)))))))))))))</f>
        <v/>
      </c>
      <c r="BI2426" s="744" t="str">
        <f t="shared" si="841"/>
        <v/>
      </c>
      <c r="BJ2426" s="747" t="str">
        <f t="shared" si="848"/>
        <v/>
      </c>
      <c r="BK2426" s="498" t="str">
        <f t="shared" si="842"/>
        <v/>
      </c>
      <c r="BL2426" s="498" t="str">
        <f t="shared" si="843"/>
        <v/>
      </c>
    </row>
    <row r="2427" spans="1:64" x14ac:dyDescent="0.25">
      <c r="A2427" s="762">
        <f t="shared" si="844"/>
        <v>2422</v>
      </c>
      <c r="B2427" s="229"/>
      <c r="C2427" s="223"/>
      <c r="D2427" s="224"/>
      <c r="E2427" s="225"/>
      <c r="F2427" s="1036" t="str">
        <f t="shared" si="850"/>
        <v/>
      </c>
      <c r="G2427" s="1037" t="str">
        <f t="shared" si="845"/>
        <v/>
      </c>
      <c r="H2427" s="225"/>
      <c r="I2427" s="1013"/>
      <c r="J2427" s="1013"/>
      <c r="K2427" s="1028"/>
      <c r="L2427" s="1035" t="str">
        <f t="shared" si="849"/>
        <v/>
      </c>
      <c r="S2427" s="498"/>
      <c r="AJ2427" s="498"/>
      <c r="AM2427" s="498">
        <f t="shared" si="830"/>
        <v>0</v>
      </c>
      <c r="AN2427" s="498">
        <f t="shared" si="831"/>
        <v>0</v>
      </c>
      <c r="AO2427" s="498">
        <f t="shared" si="832"/>
        <v>0</v>
      </c>
      <c r="AP2427" s="498">
        <f t="shared" si="851"/>
        <v>0</v>
      </c>
      <c r="AQ2427" s="498">
        <f t="shared" si="846"/>
        <v>0</v>
      </c>
      <c r="AU2427" s="498">
        <f t="shared" si="833"/>
        <v>0</v>
      </c>
      <c r="AV2427" s="498">
        <f t="shared" si="834"/>
        <v>0</v>
      </c>
      <c r="AW2427" s="498">
        <f t="shared" si="835"/>
        <v>0</v>
      </c>
      <c r="AX2427" s="498">
        <f t="shared" si="836"/>
        <v>0</v>
      </c>
      <c r="AY2427" s="498">
        <f t="shared" si="837"/>
        <v>0</v>
      </c>
      <c r="BB2427" s="498" t="str">
        <f t="shared" si="838"/>
        <v/>
      </c>
      <c r="BC2427" s="743" t="str">
        <f t="shared" si="839"/>
        <v/>
      </c>
      <c r="BD2427" s="743" t="str">
        <f t="shared" si="840"/>
        <v/>
      </c>
      <c r="BE2427" s="743" t="str">
        <f>IF(D2427="","",VLOOKUP(D2427,'General Basis'!$J$39:$K$46,2,0))</f>
        <v/>
      </c>
      <c r="BF2427" s="744" t="str">
        <f>IF(D2427="","",VLOOKUP(D2427,'General Basis'!$J$39:$L$46,3,0))</f>
        <v/>
      </c>
      <c r="BG2427" s="744" t="str">
        <f t="shared" si="847"/>
        <v/>
      </c>
      <c r="BH2427" s="744" t="str">
        <f>IF(G2427="","",IF(BF2427="Abu Dhabi",IF(G2427&lt;18,'General Basis'!$C$39,IF(G2427&lt;41,'General Basis'!$C$40,IF(G2427&lt;60,'General Basis'!$C$41,IF(G2427&lt;65,'General Basis'!$C$42,'General Basis'!$C$43)))),IF(G2427&lt;11,'General Basis'!$B$39,IF(G2427&lt;18,'General Basis'!$B$40,IF(G2427&lt;26,'General Basis'!$B$41,IF(G2427&lt;31,'General Basis'!$B$42,IF(G2427&lt;36,'General Basis'!$B$43,IF(G2427&lt;41,'General Basis'!$B$44,IF(G2427&lt;46,'General Basis'!$B$45,IF(G2427&lt;51,'General Basis'!$B$46,IF(G2427&lt;56,'General Basis'!$B$47,IF(G2427&lt;60,'General Basis'!$B$48,IF(G2427&lt;65,'General Basis'!$B$49,'General Basis'!$B$50)))))))))))))</f>
        <v/>
      </c>
      <c r="BI2427" s="744" t="str">
        <f t="shared" si="841"/>
        <v/>
      </c>
      <c r="BJ2427" s="747" t="str">
        <f t="shared" si="848"/>
        <v/>
      </c>
      <c r="BK2427" s="498" t="str">
        <f t="shared" si="842"/>
        <v/>
      </c>
      <c r="BL2427" s="498" t="str">
        <f t="shared" si="843"/>
        <v/>
      </c>
    </row>
    <row r="2428" spans="1:64" x14ac:dyDescent="0.25">
      <c r="A2428" s="762">
        <f t="shared" si="844"/>
        <v>2423</v>
      </c>
      <c r="B2428" s="229"/>
      <c r="C2428" s="223"/>
      <c r="D2428" s="224"/>
      <c r="E2428" s="225"/>
      <c r="F2428" s="1036" t="str">
        <f t="shared" si="850"/>
        <v/>
      </c>
      <c r="G2428" s="1037" t="str">
        <f t="shared" si="845"/>
        <v/>
      </c>
      <c r="H2428" s="225"/>
      <c r="I2428" s="1013"/>
      <c r="J2428" s="1013"/>
      <c r="K2428" s="1028"/>
      <c r="L2428" s="1035" t="str">
        <f t="shared" si="849"/>
        <v/>
      </c>
      <c r="S2428" s="498"/>
      <c r="AJ2428" s="498"/>
      <c r="AM2428" s="498">
        <f t="shared" si="830"/>
        <v>0</v>
      </c>
      <c r="AN2428" s="498">
        <f t="shared" si="831"/>
        <v>0</v>
      </c>
      <c r="AO2428" s="498">
        <f t="shared" si="832"/>
        <v>0</v>
      </c>
      <c r="AP2428" s="498">
        <f t="shared" si="851"/>
        <v>0</v>
      </c>
      <c r="AQ2428" s="498">
        <f t="shared" si="846"/>
        <v>0</v>
      </c>
      <c r="AU2428" s="498">
        <f t="shared" si="833"/>
        <v>0</v>
      </c>
      <c r="AV2428" s="498">
        <f t="shared" si="834"/>
        <v>0</v>
      </c>
      <c r="AW2428" s="498">
        <f t="shared" si="835"/>
        <v>0</v>
      </c>
      <c r="AX2428" s="498">
        <f t="shared" si="836"/>
        <v>0</v>
      </c>
      <c r="AY2428" s="498">
        <f t="shared" si="837"/>
        <v>0</v>
      </c>
      <c r="BB2428" s="498" t="str">
        <f t="shared" si="838"/>
        <v/>
      </c>
      <c r="BC2428" s="743" t="str">
        <f t="shared" si="839"/>
        <v/>
      </c>
      <c r="BD2428" s="743" t="str">
        <f t="shared" si="840"/>
        <v/>
      </c>
      <c r="BE2428" s="743" t="str">
        <f>IF(D2428="","",VLOOKUP(D2428,'General Basis'!$J$39:$K$46,2,0))</f>
        <v/>
      </c>
      <c r="BF2428" s="744" t="str">
        <f>IF(D2428="","",VLOOKUP(D2428,'General Basis'!$J$39:$L$46,3,0))</f>
        <v/>
      </c>
      <c r="BG2428" s="744" t="str">
        <f t="shared" si="847"/>
        <v/>
      </c>
      <c r="BH2428" s="744" t="str">
        <f>IF(G2428="","",IF(BF2428="Abu Dhabi",IF(G2428&lt;18,'General Basis'!$C$39,IF(G2428&lt;41,'General Basis'!$C$40,IF(G2428&lt;60,'General Basis'!$C$41,IF(G2428&lt;65,'General Basis'!$C$42,'General Basis'!$C$43)))),IF(G2428&lt;11,'General Basis'!$B$39,IF(G2428&lt;18,'General Basis'!$B$40,IF(G2428&lt;26,'General Basis'!$B$41,IF(G2428&lt;31,'General Basis'!$B$42,IF(G2428&lt;36,'General Basis'!$B$43,IF(G2428&lt;41,'General Basis'!$B$44,IF(G2428&lt;46,'General Basis'!$B$45,IF(G2428&lt;51,'General Basis'!$B$46,IF(G2428&lt;56,'General Basis'!$B$47,IF(G2428&lt;60,'General Basis'!$B$48,IF(G2428&lt;65,'General Basis'!$B$49,'General Basis'!$B$50)))))))))))))</f>
        <v/>
      </c>
      <c r="BI2428" s="744" t="str">
        <f t="shared" si="841"/>
        <v/>
      </c>
      <c r="BJ2428" s="747" t="str">
        <f t="shared" si="848"/>
        <v/>
      </c>
      <c r="BK2428" s="498" t="str">
        <f t="shared" si="842"/>
        <v/>
      </c>
      <c r="BL2428" s="498" t="str">
        <f t="shared" si="843"/>
        <v/>
      </c>
    </row>
    <row r="2429" spans="1:64" x14ac:dyDescent="0.25">
      <c r="A2429" s="762">
        <f t="shared" si="844"/>
        <v>2424</v>
      </c>
      <c r="B2429" s="229"/>
      <c r="C2429" s="223"/>
      <c r="D2429" s="224"/>
      <c r="E2429" s="225"/>
      <c r="F2429" s="1036" t="str">
        <f t="shared" si="850"/>
        <v/>
      </c>
      <c r="G2429" s="1037" t="str">
        <f t="shared" si="845"/>
        <v/>
      </c>
      <c r="H2429" s="225"/>
      <c r="I2429" s="1013"/>
      <c r="J2429" s="1013"/>
      <c r="K2429" s="1028"/>
      <c r="L2429" s="1035" t="str">
        <f t="shared" si="849"/>
        <v/>
      </c>
      <c r="S2429" s="498"/>
      <c r="AJ2429" s="498"/>
      <c r="AM2429" s="498">
        <f t="shared" si="830"/>
        <v>0</v>
      </c>
      <c r="AN2429" s="498">
        <f t="shared" si="831"/>
        <v>0</v>
      </c>
      <c r="AO2429" s="498">
        <f t="shared" si="832"/>
        <v>0</v>
      </c>
      <c r="AP2429" s="498">
        <f t="shared" si="851"/>
        <v>0</v>
      </c>
      <c r="AQ2429" s="498">
        <f t="shared" si="846"/>
        <v>0</v>
      </c>
      <c r="AU2429" s="498">
        <f t="shared" si="833"/>
        <v>0</v>
      </c>
      <c r="AV2429" s="498">
        <f t="shared" si="834"/>
        <v>0</v>
      </c>
      <c r="AW2429" s="498">
        <f t="shared" si="835"/>
        <v>0</v>
      </c>
      <c r="AX2429" s="498">
        <f t="shared" si="836"/>
        <v>0</v>
      </c>
      <c r="AY2429" s="498">
        <f t="shared" si="837"/>
        <v>0</v>
      </c>
      <c r="BB2429" s="498" t="str">
        <f t="shared" si="838"/>
        <v/>
      </c>
      <c r="BC2429" s="743" t="str">
        <f t="shared" si="839"/>
        <v/>
      </c>
      <c r="BD2429" s="743" t="str">
        <f t="shared" si="840"/>
        <v/>
      </c>
      <c r="BE2429" s="743" t="str">
        <f>IF(D2429="","",VLOOKUP(D2429,'General Basis'!$J$39:$K$46,2,0))</f>
        <v/>
      </c>
      <c r="BF2429" s="744" t="str">
        <f>IF(D2429="","",VLOOKUP(D2429,'General Basis'!$J$39:$L$46,3,0))</f>
        <v/>
      </c>
      <c r="BG2429" s="744" t="str">
        <f t="shared" si="847"/>
        <v/>
      </c>
      <c r="BH2429" s="744" t="str">
        <f>IF(G2429="","",IF(BF2429="Abu Dhabi",IF(G2429&lt;18,'General Basis'!$C$39,IF(G2429&lt;41,'General Basis'!$C$40,IF(G2429&lt;60,'General Basis'!$C$41,IF(G2429&lt;65,'General Basis'!$C$42,'General Basis'!$C$43)))),IF(G2429&lt;11,'General Basis'!$B$39,IF(G2429&lt;18,'General Basis'!$B$40,IF(G2429&lt;26,'General Basis'!$B$41,IF(G2429&lt;31,'General Basis'!$B$42,IF(G2429&lt;36,'General Basis'!$B$43,IF(G2429&lt;41,'General Basis'!$B$44,IF(G2429&lt;46,'General Basis'!$B$45,IF(G2429&lt;51,'General Basis'!$B$46,IF(G2429&lt;56,'General Basis'!$B$47,IF(G2429&lt;60,'General Basis'!$B$48,IF(G2429&lt;65,'General Basis'!$B$49,'General Basis'!$B$50)))))))))))))</f>
        <v/>
      </c>
      <c r="BI2429" s="744" t="str">
        <f t="shared" si="841"/>
        <v/>
      </c>
      <c r="BJ2429" s="747" t="str">
        <f t="shared" si="848"/>
        <v/>
      </c>
      <c r="BK2429" s="498" t="str">
        <f t="shared" si="842"/>
        <v/>
      </c>
      <c r="BL2429" s="498" t="str">
        <f t="shared" si="843"/>
        <v/>
      </c>
    </row>
    <row r="2430" spans="1:64" x14ac:dyDescent="0.25">
      <c r="A2430" s="762">
        <f t="shared" si="844"/>
        <v>2425</v>
      </c>
      <c r="B2430" s="229"/>
      <c r="C2430" s="223"/>
      <c r="D2430" s="224"/>
      <c r="E2430" s="225"/>
      <c r="F2430" s="1036" t="str">
        <f t="shared" si="850"/>
        <v/>
      </c>
      <c r="G2430" s="1037" t="str">
        <f t="shared" si="845"/>
        <v/>
      </c>
      <c r="H2430" s="225"/>
      <c r="I2430" s="1013"/>
      <c r="J2430" s="1013"/>
      <c r="K2430" s="1028"/>
      <c r="L2430" s="1035" t="str">
        <f t="shared" si="849"/>
        <v/>
      </c>
      <c r="S2430" s="498"/>
      <c r="AJ2430" s="498"/>
      <c r="AM2430" s="498">
        <f t="shared" si="830"/>
        <v>0</v>
      </c>
      <c r="AN2430" s="498">
        <f t="shared" si="831"/>
        <v>0</v>
      </c>
      <c r="AO2430" s="498">
        <f t="shared" si="832"/>
        <v>0</v>
      </c>
      <c r="AP2430" s="498">
        <f t="shared" si="851"/>
        <v>0</v>
      </c>
      <c r="AQ2430" s="498">
        <f t="shared" si="846"/>
        <v>0</v>
      </c>
      <c r="AU2430" s="498">
        <f t="shared" si="833"/>
        <v>0</v>
      </c>
      <c r="AV2430" s="498">
        <f t="shared" si="834"/>
        <v>0</v>
      </c>
      <c r="AW2430" s="498">
        <f t="shared" si="835"/>
        <v>0</v>
      </c>
      <c r="AX2430" s="498">
        <f t="shared" si="836"/>
        <v>0</v>
      </c>
      <c r="AY2430" s="498">
        <f t="shared" si="837"/>
        <v>0</v>
      </c>
      <c r="BB2430" s="498" t="str">
        <f t="shared" si="838"/>
        <v/>
      </c>
      <c r="BC2430" s="743" t="str">
        <f t="shared" si="839"/>
        <v/>
      </c>
      <c r="BD2430" s="743" t="str">
        <f t="shared" si="840"/>
        <v/>
      </c>
      <c r="BE2430" s="743" t="str">
        <f>IF(D2430="","",VLOOKUP(D2430,'General Basis'!$J$39:$K$46,2,0))</f>
        <v/>
      </c>
      <c r="BF2430" s="744" t="str">
        <f>IF(D2430="","",VLOOKUP(D2430,'General Basis'!$J$39:$L$46,3,0))</f>
        <v/>
      </c>
      <c r="BG2430" s="744" t="str">
        <f t="shared" si="847"/>
        <v/>
      </c>
      <c r="BH2430" s="744" t="str">
        <f>IF(G2430="","",IF(BF2430="Abu Dhabi",IF(G2430&lt;18,'General Basis'!$C$39,IF(G2430&lt;41,'General Basis'!$C$40,IF(G2430&lt;60,'General Basis'!$C$41,IF(G2430&lt;65,'General Basis'!$C$42,'General Basis'!$C$43)))),IF(G2430&lt;11,'General Basis'!$B$39,IF(G2430&lt;18,'General Basis'!$B$40,IF(G2430&lt;26,'General Basis'!$B$41,IF(G2430&lt;31,'General Basis'!$B$42,IF(G2430&lt;36,'General Basis'!$B$43,IF(G2430&lt;41,'General Basis'!$B$44,IF(G2430&lt;46,'General Basis'!$B$45,IF(G2430&lt;51,'General Basis'!$B$46,IF(G2430&lt;56,'General Basis'!$B$47,IF(G2430&lt;60,'General Basis'!$B$48,IF(G2430&lt;65,'General Basis'!$B$49,'General Basis'!$B$50)))))))))))))</f>
        <v/>
      </c>
      <c r="BI2430" s="744" t="str">
        <f t="shared" si="841"/>
        <v/>
      </c>
      <c r="BJ2430" s="747" t="str">
        <f t="shared" si="848"/>
        <v/>
      </c>
      <c r="BK2430" s="498" t="str">
        <f t="shared" si="842"/>
        <v/>
      </c>
      <c r="BL2430" s="498" t="str">
        <f t="shared" si="843"/>
        <v/>
      </c>
    </row>
    <row r="2431" spans="1:64" x14ac:dyDescent="0.25">
      <c r="A2431" s="762">
        <f t="shared" si="844"/>
        <v>2426</v>
      </c>
      <c r="B2431" s="229"/>
      <c r="C2431" s="223"/>
      <c r="D2431" s="224"/>
      <c r="E2431" s="225"/>
      <c r="F2431" s="1036" t="str">
        <f t="shared" si="850"/>
        <v/>
      </c>
      <c r="G2431" s="1037" t="str">
        <f t="shared" si="845"/>
        <v/>
      </c>
      <c r="H2431" s="225"/>
      <c r="I2431" s="1013"/>
      <c r="J2431" s="1013"/>
      <c r="K2431" s="1028"/>
      <c r="L2431" s="1035" t="str">
        <f t="shared" si="849"/>
        <v/>
      </c>
      <c r="S2431" s="498"/>
      <c r="AJ2431" s="498"/>
      <c r="AM2431" s="498">
        <f t="shared" si="830"/>
        <v>0</v>
      </c>
      <c r="AN2431" s="498">
        <f t="shared" si="831"/>
        <v>0</v>
      </c>
      <c r="AO2431" s="498">
        <f t="shared" si="832"/>
        <v>0</v>
      </c>
      <c r="AP2431" s="498">
        <f t="shared" si="851"/>
        <v>0</v>
      </c>
      <c r="AQ2431" s="498">
        <f t="shared" si="846"/>
        <v>0</v>
      </c>
      <c r="AU2431" s="498">
        <f t="shared" si="833"/>
        <v>0</v>
      </c>
      <c r="AV2431" s="498">
        <f t="shared" si="834"/>
        <v>0</v>
      </c>
      <c r="AW2431" s="498">
        <f t="shared" si="835"/>
        <v>0</v>
      </c>
      <c r="AX2431" s="498">
        <f t="shared" si="836"/>
        <v>0</v>
      </c>
      <c r="AY2431" s="498">
        <f t="shared" si="837"/>
        <v>0</v>
      </c>
      <c r="BB2431" s="498" t="str">
        <f t="shared" si="838"/>
        <v/>
      </c>
      <c r="BC2431" s="743" t="str">
        <f t="shared" si="839"/>
        <v/>
      </c>
      <c r="BD2431" s="743" t="str">
        <f t="shared" si="840"/>
        <v/>
      </c>
      <c r="BE2431" s="743" t="str">
        <f>IF(D2431="","",VLOOKUP(D2431,'General Basis'!$J$39:$K$46,2,0))</f>
        <v/>
      </c>
      <c r="BF2431" s="744" t="str">
        <f>IF(D2431="","",VLOOKUP(D2431,'General Basis'!$J$39:$L$46,3,0))</f>
        <v/>
      </c>
      <c r="BG2431" s="744" t="str">
        <f t="shared" si="847"/>
        <v/>
      </c>
      <c r="BH2431" s="744" t="str">
        <f>IF(G2431="","",IF(BF2431="Abu Dhabi",IF(G2431&lt;18,'General Basis'!$C$39,IF(G2431&lt;41,'General Basis'!$C$40,IF(G2431&lt;60,'General Basis'!$C$41,IF(G2431&lt;65,'General Basis'!$C$42,'General Basis'!$C$43)))),IF(G2431&lt;11,'General Basis'!$B$39,IF(G2431&lt;18,'General Basis'!$B$40,IF(G2431&lt;26,'General Basis'!$B$41,IF(G2431&lt;31,'General Basis'!$B$42,IF(G2431&lt;36,'General Basis'!$B$43,IF(G2431&lt;41,'General Basis'!$B$44,IF(G2431&lt;46,'General Basis'!$B$45,IF(G2431&lt;51,'General Basis'!$B$46,IF(G2431&lt;56,'General Basis'!$B$47,IF(G2431&lt;60,'General Basis'!$B$48,IF(G2431&lt;65,'General Basis'!$B$49,'General Basis'!$B$50)))))))))))))</f>
        <v/>
      </c>
      <c r="BI2431" s="744" t="str">
        <f t="shared" si="841"/>
        <v/>
      </c>
      <c r="BJ2431" s="747" t="str">
        <f t="shared" si="848"/>
        <v/>
      </c>
      <c r="BK2431" s="498" t="str">
        <f t="shared" si="842"/>
        <v/>
      </c>
      <c r="BL2431" s="498" t="str">
        <f t="shared" si="843"/>
        <v/>
      </c>
    </row>
    <row r="2432" spans="1:64" x14ac:dyDescent="0.25">
      <c r="A2432" s="762">
        <f t="shared" si="844"/>
        <v>2427</v>
      </c>
      <c r="B2432" s="229"/>
      <c r="C2432" s="223"/>
      <c r="D2432" s="224"/>
      <c r="E2432" s="225"/>
      <c r="F2432" s="1036" t="str">
        <f t="shared" si="850"/>
        <v/>
      </c>
      <c r="G2432" s="1037" t="str">
        <f t="shared" si="845"/>
        <v/>
      </c>
      <c r="H2432" s="225"/>
      <c r="I2432" s="1013"/>
      <c r="J2432" s="1013"/>
      <c r="K2432" s="1028"/>
      <c r="L2432" s="1035" t="str">
        <f t="shared" si="849"/>
        <v/>
      </c>
      <c r="S2432" s="498"/>
      <c r="AJ2432" s="498"/>
      <c r="AM2432" s="498">
        <f t="shared" si="830"/>
        <v>0</v>
      </c>
      <c r="AN2432" s="498">
        <f t="shared" si="831"/>
        <v>0</v>
      </c>
      <c r="AO2432" s="498">
        <f t="shared" si="832"/>
        <v>0</v>
      </c>
      <c r="AP2432" s="498">
        <f t="shared" si="851"/>
        <v>0</v>
      </c>
      <c r="AQ2432" s="498">
        <f t="shared" si="846"/>
        <v>0</v>
      </c>
      <c r="AU2432" s="498">
        <f t="shared" si="833"/>
        <v>0</v>
      </c>
      <c r="AV2432" s="498">
        <f t="shared" si="834"/>
        <v>0</v>
      </c>
      <c r="AW2432" s="498">
        <f t="shared" si="835"/>
        <v>0</v>
      </c>
      <c r="AX2432" s="498">
        <f t="shared" si="836"/>
        <v>0</v>
      </c>
      <c r="AY2432" s="498">
        <f t="shared" si="837"/>
        <v>0</v>
      </c>
      <c r="BB2432" s="498" t="str">
        <f t="shared" si="838"/>
        <v/>
      </c>
      <c r="BC2432" s="743" t="str">
        <f t="shared" si="839"/>
        <v/>
      </c>
      <c r="BD2432" s="743" t="str">
        <f t="shared" si="840"/>
        <v/>
      </c>
      <c r="BE2432" s="743" t="str">
        <f>IF(D2432="","",VLOOKUP(D2432,'General Basis'!$J$39:$K$46,2,0))</f>
        <v/>
      </c>
      <c r="BF2432" s="744" t="str">
        <f>IF(D2432="","",VLOOKUP(D2432,'General Basis'!$J$39:$L$46,3,0))</f>
        <v/>
      </c>
      <c r="BG2432" s="744" t="str">
        <f t="shared" si="847"/>
        <v/>
      </c>
      <c r="BH2432" s="744" t="str">
        <f>IF(G2432="","",IF(BF2432="Abu Dhabi",IF(G2432&lt;18,'General Basis'!$C$39,IF(G2432&lt;41,'General Basis'!$C$40,IF(G2432&lt;60,'General Basis'!$C$41,IF(G2432&lt;65,'General Basis'!$C$42,'General Basis'!$C$43)))),IF(G2432&lt;11,'General Basis'!$B$39,IF(G2432&lt;18,'General Basis'!$B$40,IF(G2432&lt;26,'General Basis'!$B$41,IF(G2432&lt;31,'General Basis'!$B$42,IF(G2432&lt;36,'General Basis'!$B$43,IF(G2432&lt;41,'General Basis'!$B$44,IF(G2432&lt;46,'General Basis'!$B$45,IF(G2432&lt;51,'General Basis'!$B$46,IF(G2432&lt;56,'General Basis'!$B$47,IF(G2432&lt;60,'General Basis'!$B$48,IF(G2432&lt;65,'General Basis'!$B$49,'General Basis'!$B$50)))))))))))))</f>
        <v/>
      </c>
      <c r="BI2432" s="744" t="str">
        <f t="shared" si="841"/>
        <v/>
      </c>
      <c r="BJ2432" s="747" t="str">
        <f t="shared" si="848"/>
        <v/>
      </c>
      <c r="BK2432" s="498" t="str">
        <f t="shared" si="842"/>
        <v/>
      </c>
      <c r="BL2432" s="498" t="str">
        <f t="shared" si="843"/>
        <v/>
      </c>
    </row>
    <row r="2433" spans="1:64" x14ac:dyDescent="0.25">
      <c r="A2433" s="762">
        <f t="shared" si="844"/>
        <v>2428</v>
      </c>
      <c r="B2433" s="229"/>
      <c r="C2433" s="223"/>
      <c r="D2433" s="224"/>
      <c r="E2433" s="225"/>
      <c r="F2433" s="1036" t="str">
        <f t="shared" si="850"/>
        <v/>
      </c>
      <c r="G2433" s="1037" t="str">
        <f t="shared" si="845"/>
        <v/>
      </c>
      <c r="H2433" s="225"/>
      <c r="I2433" s="1013"/>
      <c r="J2433" s="1013"/>
      <c r="K2433" s="1028"/>
      <c r="L2433" s="1035" t="str">
        <f t="shared" si="849"/>
        <v/>
      </c>
      <c r="S2433" s="498"/>
      <c r="AJ2433" s="498"/>
      <c r="AM2433" s="498">
        <f t="shared" si="830"/>
        <v>0</v>
      </c>
      <c r="AN2433" s="498">
        <f t="shared" si="831"/>
        <v>0</v>
      </c>
      <c r="AO2433" s="498">
        <f t="shared" si="832"/>
        <v>0</v>
      </c>
      <c r="AP2433" s="498">
        <f t="shared" si="851"/>
        <v>0</v>
      </c>
      <c r="AQ2433" s="498">
        <f t="shared" si="846"/>
        <v>0</v>
      </c>
      <c r="AU2433" s="498">
        <f t="shared" si="833"/>
        <v>0</v>
      </c>
      <c r="AV2433" s="498">
        <f t="shared" si="834"/>
        <v>0</v>
      </c>
      <c r="AW2433" s="498">
        <f t="shared" si="835"/>
        <v>0</v>
      </c>
      <c r="AX2433" s="498">
        <f t="shared" si="836"/>
        <v>0</v>
      </c>
      <c r="AY2433" s="498">
        <f t="shared" si="837"/>
        <v>0</v>
      </c>
      <c r="BB2433" s="498" t="str">
        <f t="shared" si="838"/>
        <v/>
      </c>
      <c r="BC2433" s="743" t="str">
        <f t="shared" si="839"/>
        <v/>
      </c>
      <c r="BD2433" s="743" t="str">
        <f t="shared" si="840"/>
        <v/>
      </c>
      <c r="BE2433" s="743" t="str">
        <f>IF(D2433="","",VLOOKUP(D2433,'General Basis'!$J$39:$K$46,2,0))</f>
        <v/>
      </c>
      <c r="BF2433" s="744" t="str">
        <f>IF(D2433="","",VLOOKUP(D2433,'General Basis'!$J$39:$L$46,3,0))</f>
        <v/>
      </c>
      <c r="BG2433" s="744" t="str">
        <f t="shared" si="847"/>
        <v/>
      </c>
      <c r="BH2433" s="744" t="str">
        <f>IF(G2433="","",IF(BF2433="Abu Dhabi",IF(G2433&lt;18,'General Basis'!$C$39,IF(G2433&lt;41,'General Basis'!$C$40,IF(G2433&lt;60,'General Basis'!$C$41,IF(G2433&lt;65,'General Basis'!$C$42,'General Basis'!$C$43)))),IF(G2433&lt;11,'General Basis'!$B$39,IF(G2433&lt;18,'General Basis'!$B$40,IF(G2433&lt;26,'General Basis'!$B$41,IF(G2433&lt;31,'General Basis'!$B$42,IF(G2433&lt;36,'General Basis'!$B$43,IF(G2433&lt;41,'General Basis'!$B$44,IF(G2433&lt;46,'General Basis'!$B$45,IF(G2433&lt;51,'General Basis'!$B$46,IF(G2433&lt;56,'General Basis'!$B$47,IF(G2433&lt;60,'General Basis'!$B$48,IF(G2433&lt;65,'General Basis'!$B$49,'General Basis'!$B$50)))))))))))))</f>
        <v/>
      </c>
      <c r="BI2433" s="744" t="str">
        <f t="shared" si="841"/>
        <v/>
      </c>
      <c r="BJ2433" s="747" t="str">
        <f t="shared" si="848"/>
        <v/>
      </c>
      <c r="BK2433" s="498" t="str">
        <f t="shared" si="842"/>
        <v/>
      </c>
      <c r="BL2433" s="498" t="str">
        <f t="shared" si="843"/>
        <v/>
      </c>
    </row>
    <row r="2434" spans="1:64" x14ac:dyDescent="0.25">
      <c r="A2434" s="762">
        <f t="shared" si="844"/>
        <v>2429</v>
      </c>
      <c r="B2434" s="229"/>
      <c r="C2434" s="223"/>
      <c r="D2434" s="224"/>
      <c r="E2434" s="225"/>
      <c r="F2434" s="1036" t="str">
        <f t="shared" si="850"/>
        <v/>
      </c>
      <c r="G2434" s="1037" t="str">
        <f t="shared" si="845"/>
        <v/>
      </c>
      <c r="H2434" s="225"/>
      <c r="I2434" s="1013"/>
      <c r="J2434" s="1013"/>
      <c r="K2434" s="1028"/>
      <c r="L2434" s="1035" t="str">
        <f t="shared" si="849"/>
        <v/>
      </c>
      <c r="S2434" s="498"/>
      <c r="AJ2434" s="498"/>
      <c r="AM2434" s="498">
        <f t="shared" si="830"/>
        <v>0</v>
      </c>
      <c r="AN2434" s="498">
        <f t="shared" si="831"/>
        <v>0</v>
      </c>
      <c r="AO2434" s="498">
        <f t="shared" si="832"/>
        <v>0</v>
      </c>
      <c r="AP2434" s="498">
        <f t="shared" si="851"/>
        <v>0</v>
      </c>
      <c r="AQ2434" s="498">
        <f t="shared" si="846"/>
        <v>0</v>
      </c>
      <c r="AU2434" s="498">
        <f t="shared" si="833"/>
        <v>0</v>
      </c>
      <c r="AV2434" s="498">
        <f t="shared" si="834"/>
        <v>0</v>
      </c>
      <c r="AW2434" s="498">
        <f t="shared" si="835"/>
        <v>0</v>
      </c>
      <c r="AX2434" s="498">
        <f t="shared" si="836"/>
        <v>0</v>
      </c>
      <c r="AY2434" s="498">
        <f t="shared" si="837"/>
        <v>0</v>
      </c>
      <c r="BB2434" s="498" t="str">
        <f t="shared" si="838"/>
        <v/>
      </c>
      <c r="BC2434" s="743" t="str">
        <f t="shared" si="839"/>
        <v/>
      </c>
      <c r="BD2434" s="743" t="str">
        <f t="shared" si="840"/>
        <v/>
      </c>
      <c r="BE2434" s="743" t="str">
        <f>IF(D2434="","",VLOOKUP(D2434,'General Basis'!$J$39:$K$46,2,0))</f>
        <v/>
      </c>
      <c r="BF2434" s="744" t="str">
        <f>IF(D2434="","",VLOOKUP(D2434,'General Basis'!$J$39:$L$46,3,0))</f>
        <v/>
      </c>
      <c r="BG2434" s="744" t="str">
        <f t="shared" si="847"/>
        <v/>
      </c>
      <c r="BH2434" s="744" t="str">
        <f>IF(G2434="","",IF(BF2434="Abu Dhabi",IF(G2434&lt;18,'General Basis'!$C$39,IF(G2434&lt;41,'General Basis'!$C$40,IF(G2434&lt;60,'General Basis'!$C$41,IF(G2434&lt;65,'General Basis'!$C$42,'General Basis'!$C$43)))),IF(G2434&lt;11,'General Basis'!$B$39,IF(G2434&lt;18,'General Basis'!$B$40,IF(G2434&lt;26,'General Basis'!$B$41,IF(G2434&lt;31,'General Basis'!$B$42,IF(G2434&lt;36,'General Basis'!$B$43,IF(G2434&lt;41,'General Basis'!$B$44,IF(G2434&lt;46,'General Basis'!$B$45,IF(G2434&lt;51,'General Basis'!$B$46,IF(G2434&lt;56,'General Basis'!$B$47,IF(G2434&lt;60,'General Basis'!$B$48,IF(G2434&lt;65,'General Basis'!$B$49,'General Basis'!$B$50)))))))))))))</f>
        <v/>
      </c>
      <c r="BI2434" s="744" t="str">
        <f t="shared" si="841"/>
        <v/>
      </c>
      <c r="BJ2434" s="747" t="str">
        <f t="shared" si="848"/>
        <v/>
      </c>
      <c r="BK2434" s="498" t="str">
        <f t="shared" si="842"/>
        <v/>
      </c>
      <c r="BL2434" s="498" t="str">
        <f t="shared" si="843"/>
        <v/>
      </c>
    </row>
    <row r="2435" spans="1:64" x14ac:dyDescent="0.25">
      <c r="A2435" s="762">
        <f t="shared" si="844"/>
        <v>2430</v>
      </c>
      <c r="B2435" s="229"/>
      <c r="C2435" s="223"/>
      <c r="D2435" s="224"/>
      <c r="E2435" s="225"/>
      <c r="F2435" s="1036" t="str">
        <f t="shared" si="850"/>
        <v/>
      </c>
      <c r="G2435" s="1037" t="str">
        <f t="shared" si="845"/>
        <v/>
      </c>
      <c r="H2435" s="225"/>
      <c r="I2435" s="1013"/>
      <c r="J2435" s="1013"/>
      <c r="K2435" s="1028"/>
      <c r="L2435" s="1035" t="str">
        <f t="shared" si="849"/>
        <v/>
      </c>
      <c r="S2435" s="498"/>
      <c r="AJ2435" s="498"/>
      <c r="AM2435" s="498">
        <f t="shared" si="830"/>
        <v>0</v>
      </c>
      <c r="AN2435" s="498">
        <f t="shared" si="831"/>
        <v>0</v>
      </c>
      <c r="AO2435" s="498">
        <f t="shared" si="832"/>
        <v>0</v>
      </c>
      <c r="AP2435" s="498">
        <f t="shared" si="851"/>
        <v>0</v>
      </c>
      <c r="AQ2435" s="498">
        <f t="shared" si="846"/>
        <v>0</v>
      </c>
      <c r="AU2435" s="498">
        <f t="shared" si="833"/>
        <v>0</v>
      </c>
      <c r="AV2435" s="498">
        <f t="shared" si="834"/>
        <v>0</v>
      </c>
      <c r="AW2435" s="498">
        <f t="shared" si="835"/>
        <v>0</v>
      </c>
      <c r="AX2435" s="498">
        <f t="shared" si="836"/>
        <v>0</v>
      </c>
      <c r="AY2435" s="498">
        <f t="shared" si="837"/>
        <v>0</v>
      </c>
      <c r="BB2435" s="498" t="str">
        <f t="shared" si="838"/>
        <v/>
      </c>
      <c r="BC2435" s="743" t="str">
        <f t="shared" si="839"/>
        <v/>
      </c>
      <c r="BD2435" s="743" t="str">
        <f t="shared" si="840"/>
        <v/>
      </c>
      <c r="BE2435" s="743" t="str">
        <f>IF(D2435="","",VLOOKUP(D2435,'General Basis'!$J$39:$K$46,2,0))</f>
        <v/>
      </c>
      <c r="BF2435" s="744" t="str">
        <f>IF(D2435="","",VLOOKUP(D2435,'General Basis'!$J$39:$L$46,3,0))</f>
        <v/>
      </c>
      <c r="BG2435" s="744" t="str">
        <f t="shared" si="847"/>
        <v/>
      </c>
      <c r="BH2435" s="744" t="str">
        <f>IF(G2435="","",IF(BF2435="Abu Dhabi",IF(G2435&lt;18,'General Basis'!$C$39,IF(G2435&lt;41,'General Basis'!$C$40,IF(G2435&lt;60,'General Basis'!$C$41,IF(G2435&lt;65,'General Basis'!$C$42,'General Basis'!$C$43)))),IF(G2435&lt;11,'General Basis'!$B$39,IF(G2435&lt;18,'General Basis'!$B$40,IF(G2435&lt;26,'General Basis'!$B$41,IF(G2435&lt;31,'General Basis'!$B$42,IF(G2435&lt;36,'General Basis'!$B$43,IF(G2435&lt;41,'General Basis'!$B$44,IF(G2435&lt;46,'General Basis'!$B$45,IF(G2435&lt;51,'General Basis'!$B$46,IF(G2435&lt;56,'General Basis'!$B$47,IF(G2435&lt;60,'General Basis'!$B$48,IF(G2435&lt;65,'General Basis'!$B$49,'General Basis'!$B$50)))))))))))))</f>
        <v/>
      </c>
      <c r="BI2435" s="744" t="str">
        <f t="shared" si="841"/>
        <v/>
      </c>
      <c r="BJ2435" s="747" t="str">
        <f t="shared" si="848"/>
        <v/>
      </c>
      <c r="BK2435" s="498" t="str">
        <f t="shared" si="842"/>
        <v/>
      </c>
      <c r="BL2435" s="498" t="str">
        <f t="shared" si="843"/>
        <v/>
      </c>
    </row>
    <row r="2436" spans="1:64" x14ac:dyDescent="0.25">
      <c r="A2436" s="762">
        <f t="shared" si="844"/>
        <v>2431</v>
      </c>
      <c r="B2436" s="229"/>
      <c r="C2436" s="223"/>
      <c r="D2436" s="224"/>
      <c r="E2436" s="225"/>
      <c r="F2436" s="1036" t="str">
        <f t="shared" si="850"/>
        <v/>
      </c>
      <c r="G2436" s="1037" t="str">
        <f t="shared" si="845"/>
        <v/>
      </c>
      <c r="H2436" s="225"/>
      <c r="I2436" s="1013"/>
      <c r="J2436" s="1013"/>
      <c r="K2436" s="1028"/>
      <c r="L2436" s="1035" t="str">
        <f t="shared" si="849"/>
        <v/>
      </c>
      <c r="S2436" s="498"/>
      <c r="AJ2436" s="498"/>
      <c r="AM2436" s="498">
        <f t="shared" si="830"/>
        <v>0</v>
      </c>
      <c r="AN2436" s="498">
        <f t="shared" si="831"/>
        <v>0</v>
      </c>
      <c r="AO2436" s="498">
        <f t="shared" si="832"/>
        <v>0</v>
      </c>
      <c r="AP2436" s="498">
        <f t="shared" si="851"/>
        <v>0</v>
      </c>
      <c r="AQ2436" s="498">
        <f t="shared" si="846"/>
        <v>0</v>
      </c>
      <c r="AU2436" s="498">
        <f t="shared" si="833"/>
        <v>0</v>
      </c>
      <c r="AV2436" s="498">
        <f t="shared" si="834"/>
        <v>0</v>
      </c>
      <c r="AW2436" s="498">
        <f t="shared" si="835"/>
        <v>0</v>
      </c>
      <c r="AX2436" s="498">
        <f t="shared" si="836"/>
        <v>0</v>
      </c>
      <c r="AY2436" s="498">
        <f t="shared" si="837"/>
        <v>0</v>
      </c>
      <c r="BB2436" s="498" t="str">
        <f t="shared" si="838"/>
        <v/>
      </c>
      <c r="BC2436" s="743" t="str">
        <f t="shared" si="839"/>
        <v/>
      </c>
      <c r="BD2436" s="743" t="str">
        <f t="shared" si="840"/>
        <v/>
      </c>
      <c r="BE2436" s="743" t="str">
        <f>IF(D2436="","",VLOOKUP(D2436,'General Basis'!$J$39:$K$46,2,0))</f>
        <v/>
      </c>
      <c r="BF2436" s="744" t="str">
        <f>IF(D2436="","",VLOOKUP(D2436,'General Basis'!$J$39:$L$46,3,0))</f>
        <v/>
      </c>
      <c r="BG2436" s="744" t="str">
        <f t="shared" si="847"/>
        <v/>
      </c>
      <c r="BH2436" s="744" t="str">
        <f>IF(G2436="","",IF(BF2436="Abu Dhabi",IF(G2436&lt;18,'General Basis'!$C$39,IF(G2436&lt;41,'General Basis'!$C$40,IF(G2436&lt;60,'General Basis'!$C$41,IF(G2436&lt;65,'General Basis'!$C$42,'General Basis'!$C$43)))),IF(G2436&lt;11,'General Basis'!$B$39,IF(G2436&lt;18,'General Basis'!$B$40,IF(G2436&lt;26,'General Basis'!$B$41,IF(G2436&lt;31,'General Basis'!$B$42,IF(G2436&lt;36,'General Basis'!$B$43,IF(G2436&lt;41,'General Basis'!$B$44,IF(G2436&lt;46,'General Basis'!$B$45,IF(G2436&lt;51,'General Basis'!$B$46,IF(G2436&lt;56,'General Basis'!$B$47,IF(G2436&lt;60,'General Basis'!$B$48,IF(G2436&lt;65,'General Basis'!$B$49,'General Basis'!$B$50)))))))))))))</f>
        <v/>
      </c>
      <c r="BI2436" s="744" t="str">
        <f t="shared" si="841"/>
        <v/>
      </c>
      <c r="BJ2436" s="747" t="str">
        <f t="shared" si="848"/>
        <v/>
      </c>
      <c r="BK2436" s="498" t="str">
        <f t="shared" si="842"/>
        <v/>
      </c>
      <c r="BL2436" s="498" t="str">
        <f t="shared" si="843"/>
        <v/>
      </c>
    </row>
    <row r="2437" spans="1:64" x14ac:dyDescent="0.25">
      <c r="A2437" s="762">
        <f t="shared" si="844"/>
        <v>2432</v>
      </c>
      <c r="B2437" s="229"/>
      <c r="C2437" s="223"/>
      <c r="D2437" s="224"/>
      <c r="E2437" s="225"/>
      <c r="F2437" s="1036" t="str">
        <f t="shared" si="850"/>
        <v/>
      </c>
      <c r="G2437" s="1037" t="str">
        <f t="shared" si="845"/>
        <v/>
      </c>
      <c r="H2437" s="225"/>
      <c r="I2437" s="1013"/>
      <c r="J2437" s="1013"/>
      <c r="K2437" s="1028"/>
      <c r="L2437" s="1035" t="str">
        <f t="shared" si="849"/>
        <v/>
      </c>
      <c r="S2437" s="498"/>
      <c r="AJ2437" s="498"/>
      <c r="AM2437" s="498">
        <f t="shared" si="830"/>
        <v>0</v>
      </c>
      <c r="AN2437" s="498">
        <f t="shared" si="831"/>
        <v>0</v>
      </c>
      <c r="AO2437" s="498">
        <f t="shared" si="832"/>
        <v>0</v>
      </c>
      <c r="AP2437" s="498">
        <f t="shared" si="851"/>
        <v>0</v>
      </c>
      <c r="AQ2437" s="498">
        <f t="shared" si="846"/>
        <v>0</v>
      </c>
      <c r="AU2437" s="498">
        <f t="shared" si="833"/>
        <v>0</v>
      </c>
      <c r="AV2437" s="498">
        <f t="shared" si="834"/>
        <v>0</v>
      </c>
      <c r="AW2437" s="498">
        <f t="shared" si="835"/>
        <v>0</v>
      </c>
      <c r="AX2437" s="498">
        <f t="shared" si="836"/>
        <v>0</v>
      </c>
      <c r="AY2437" s="498">
        <f t="shared" si="837"/>
        <v>0</v>
      </c>
      <c r="BB2437" s="498" t="str">
        <f t="shared" si="838"/>
        <v/>
      </c>
      <c r="BC2437" s="743" t="str">
        <f t="shared" si="839"/>
        <v/>
      </c>
      <c r="BD2437" s="743" t="str">
        <f t="shared" si="840"/>
        <v/>
      </c>
      <c r="BE2437" s="743" t="str">
        <f>IF(D2437="","",VLOOKUP(D2437,'General Basis'!$J$39:$K$46,2,0))</f>
        <v/>
      </c>
      <c r="BF2437" s="744" t="str">
        <f>IF(D2437="","",VLOOKUP(D2437,'General Basis'!$J$39:$L$46,3,0))</f>
        <v/>
      </c>
      <c r="BG2437" s="744" t="str">
        <f t="shared" si="847"/>
        <v/>
      </c>
      <c r="BH2437" s="744" t="str">
        <f>IF(G2437="","",IF(BF2437="Abu Dhabi",IF(G2437&lt;18,'General Basis'!$C$39,IF(G2437&lt;41,'General Basis'!$C$40,IF(G2437&lt;60,'General Basis'!$C$41,IF(G2437&lt;65,'General Basis'!$C$42,'General Basis'!$C$43)))),IF(G2437&lt;11,'General Basis'!$B$39,IF(G2437&lt;18,'General Basis'!$B$40,IF(G2437&lt;26,'General Basis'!$B$41,IF(G2437&lt;31,'General Basis'!$B$42,IF(G2437&lt;36,'General Basis'!$B$43,IF(G2437&lt;41,'General Basis'!$B$44,IF(G2437&lt;46,'General Basis'!$B$45,IF(G2437&lt;51,'General Basis'!$B$46,IF(G2437&lt;56,'General Basis'!$B$47,IF(G2437&lt;60,'General Basis'!$B$48,IF(G2437&lt;65,'General Basis'!$B$49,'General Basis'!$B$50)))))))))))))</f>
        <v/>
      </c>
      <c r="BI2437" s="744" t="str">
        <f t="shared" si="841"/>
        <v/>
      </c>
      <c r="BJ2437" s="747" t="str">
        <f t="shared" si="848"/>
        <v/>
      </c>
      <c r="BK2437" s="498" t="str">
        <f t="shared" si="842"/>
        <v/>
      </c>
      <c r="BL2437" s="498" t="str">
        <f t="shared" si="843"/>
        <v/>
      </c>
    </row>
    <row r="2438" spans="1:64" x14ac:dyDescent="0.25">
      <c r="A2438" s="762">
        <f t="shared" si="844"/>
        <v>2433</v>
      </c>
      <c r="B2438" s="229"/>
      <c r="C2438" s="223"/>
      <c r="D2438" s="224"/>
      <c r="E2438" s="225"/>
      <c r="F2438" s="1036" t="str">
        <f t="shared" si="850"/>
        <v/>
      </c>
      <c r="G2438" s="1037" t="str">
        <f t="shared" si="845"/>
        <v/>
      </c>
      <c r="H2438" s="225"/>
      <c r="I2438" s="1013"/>
      <c r="J2438" s="1013"/>
      <c r="K2438" s="1028"/>
      <c r="L2438" s="1035" t="str">
        <f t="shared" si="849"/>
        <v/>
      </c>
      <c r="S2438" s="498"/>
      <c r="AJ2438" s="498"/>
      <c r="AM2438" s="498">
        <f t="shared" ref="AM2438:AM2501" si="852">IF(ISTEXT(B2438),1,0)</f>
        <v>0</v>
      </c>
      <c r="AN2438" s="498">
        <f t="shared" ref="AN2438:AN2501" si="853">IF(ISBLANK(B2438),0,IF(B2438&lt;$AK$6,1,0))</f>
        <v>0</v>
      </c>
      <c r="AO2438" s="498">
        <f t="shared" ref="AO2438:AO2501" si="854">IF(ISBLANK(B2438),0,IF(B2438&gt;$AK$7,1,0))</f>
        <v>0</v>
      </c>
      <c r="AP2438" s="498">
        <f t="shared" si="851"/>
        <v>0</v>
      </c>
      <c r="AQ2438" s="498">
        <f t="shared" si="846"/>
        <v>0</v>
      </c>
      <c r="AU2438" s="498">
        <f t="shared" ref="AU2438:AU2501" si="855">IF(ISBLANK(B2438),0,1)</f>
        <v>0</v>
      </c>
      <c r="AV2438" s="498">
        <f t="shared" ref="AV2438:AV2501" si="856">IF(ISBLANK(C2438),0,1)</f>
        <v>0</v>
      </c>
      <c r="AW2438" s="498">
        <f t="shared" ref="AW2438:AW2501" si="857">IF(ISBLANK(D2438),0,1)</f>
        <v>0</v>
      </c>
      <c r="AX2438" s="498">
        <f t="shared" ref="AX2438:AX2501" si="858">IF(ISBLANK(E2438),0,1)</f>
        <v>0</v>
      </c>
      <c r="AY2438" s="498">
        <f t="shared" ref="AY2438:AY2501" si="859">IF(ISBLANK(H2438),0,1)</f>
        <v>0</v>
      </c>
      <c r="BB2438" s="498" t="str">
        <f t="shared" ref="BB2438:BB2501" si="860">IF(E2438="Principal","Principal",IF(E2438="","","Other"))</f>
        <v/>
      </c>
      <c r="BC2438" s="743" t="str">
        <f t="shared" ref="BC2438:BC2501" si="861">IF(D2438="","",D2438)</f>
        <v/>
      </c>
      <c r="BD2438" s="743" t="str">
        <f t="shared" ref="BD2438:BD2501" si="862">IF(E2438="Principal","Employee",IF(E2438="","","Dependent"))</f>
        <v/>
      </c>
      <c r="BE2438" s="743" t="str">
        <f>IF(D2438="","",VLOOKUP(D2438,'General Basis'!$J$39:$K$46,2,0))</f>
        <v/>
      </c>
      <c r="BF2438" s="744" t="str">
        <f>IF(D2438="","",VLOOKUP(D2438,'General Basis'!$J$39:$L$46,3,0))</f>
        <v/>
      </c>
      <c r="BG2438" s="744" t="str">
        <f t="shared" si="847"/>
        <v/>
      </c>
      <c r="BH2438" s="744" t="str">
        <f>IF(G2438="","",IF(BF2438="Abu Dhabi",IF(G2438&lt;18,'General Basis'!$C$39,IF(G2438&lt;41,'General Basis'!$C$40,IF(G2438&lt;60,'General Basis'!$C$41,IF(G2438&lt;65,'General Basis'!$C$42,'General Basis'!$C$43)))),IF(G2438&lt;11,'General Basis'!$B$39,IF(G2438&lt;18,'General Basis'!$B$40,IF(G2438&lt;26,'General Basis'!$B$41,IF(G2438&lt;31,'General Basis'!$B$42,IF(G2438&lt;36,'General Basis'!$B$43,IF(G2438&lt;41,'General Basis'!$B$44,IF(G2438&lt;46,'General Basis'!$B$45,IF(G2438&lt;51,'General Basis'!$B$46,IF(G2438&lt;56,'General Basis'!$B$47,IF(G2438&lt;60,'General Basis'!$B$48,IF(G2438&lt;65,'General Basis'!$B$49,'General Basis'!$B$50)))))))))))))</f>
        <v/>
      </c>
      <c r="BI2438" s="744" t="str">
        <f t="shared" ref="BI2438:BI2501" si="863">IF(C2438="","",IF(C2438="M","Male","Female"))</f>
        <v/>
      </c>
      <c r="BJ2438" s="747" t="str">
        <f t="shared" si="848"/>
        <v/>
      </c>
      <c r="BK2438" s="498" t="str">
        <f t="shared" ref="BK2438:BK2501" si="864">IF(BD2438="","",IF(AND(BD2438="Employee",BI2438="Male",BF2438="Abu Dhabi",BE2438=GN_Plus),VLOOKUP(BH2438,AUH_MALE_EMP,2,0),IF(AND(BD2438="Employee",BI2438="Male",BF2438="Abu Dhabi",BE2438=GN),VLOOKUP(BH2438,AUH_MALE_EMP,3,0),IF(AND(BD2438="Employee",BI2438="Male",BF2438="Abu Dhabi",BE2438=RN_Plus),VLOOKUP(BH2438,AUH_MALE_EMP,4,0),IF(AND(BD2438="Employee",BI2438="Male",BF2438="Abu Dhabi",BE2438=RN),VLOOKUP(BH2438,AUH_MALE_EMP,5,0),IF(AND(BD2438="Employee",BI2438="Male",BF2438="Abu Dhabi",BE2438=RN_2),VLOOKUP(BH2438,AUH_MALE_EMP,6,0),IF(AND(BD2438="Employee",BI2438="Male",BF2438="Abu Dhabi",BE2438=RN2_minus),VLOOKUP(BH2438,AUH_MALE_EMP,7,0),IF(AND(BD2438="Employee",BI2438="Male",BF2438="Abu Dhabi",BE2438=RN_3),VLOOKUP(BH2438,AUH_MALE_EMP,8,0),IF(AND(BD2438="Employee",BI2438="Male",BF2438="Abu Dhabi",BE2438=VN),VLOOKUP(BH2438,AUH_MALE_EMP,9,0),IF(BD2438="","",IF(AND(BD2438="Employee",BI2438="Female",BF2438="Abu Dhabi",BE2438=GN_Plus),VLOOKUP(BH2438,AUH_FEMALE_EMP,2,0),IF(AND(BD2438="Employee",BI2438="Female",BF2438="Abu Dhabi",BE2438=GN),VLOOKUP(BH2438,AUH_FEMALE_EMP,3,0),IF(AND(BD2438="Employee",BI2438="Female",BF2438="Abu Dhabi",BE2438=RN_Plus),VLOOKUP(BH2438,AUH_FEMALE_EMP,4,0),IF(AND(BD2438="Employee",BI2438="Female",BF2438="Abu Dhabi",BE2438=RN),VLOOKUP(BH2438,AUH_FEMALE_EMP,5,0),IF(AND(BD2438="Employee",BI2438="Female",BF2438="Abu Dhabi",BE2438=RN_2),VLOOKUP(BH2438,AUH_FEMALE_EMP,6,0),IF(AND(BD2438="Employee",BI2438="Female",BF2438="Abu Dhabi",BE2438=RN2_minus),VLOOKUP(BH2438,AUH_FEMALE_EMP,7,0),IF(AND(BD2438="Employee",BI2438="Female",BF2438="Abu Dhabi",BE2438=RN_3),VLOOKUP(BH2438,AUH_FEMALE_EMP,8,0),IF(AND(BD2438="Employee",BI2438="Female",BF2438="Abu Dhabi",BE2438=VN),VLOOKUP(BH2438,AUH_FEMALE_EMP,9,0),IF(BD2438="","",IF(AND(BD2438="Dependent",BI2438="Male",BF2438="Abu Dhabi",BE2438=GN_Plus),VLOOKUP(BH2438,AUH_MALE_DEP,2,0),IF(AND(BD2438="Dependent",BI2438="Male",BF2438="Abu Dhabi",BE2438=GN),VLOOKUP(BH2438,AUH_MALE_DEP,3,0),IF(AND(BD2438="Dependent",BI2438="Male",BF2438="Abu Dhabi",BE2438=RN_Plus),VLOOKUP(BH2438,AUH_MALE_DEP,4,0),IF(AND(BD2438="Dependent",BI2438="Male",BF2438="Abu Dhabi",BE2438=RN),VLOOKUP(BH2438,AUH_MALE_DEP,5,0),IF(AND(BD2438="Dependent",BI2438="Male",BF2438="Abu Dhabi",BE2438=RN_2),VLOOKUP(BH2438,AUH_MALE_DEP,6,0),IF(AND(BD2438="Dependent",BI2438="Male",BF2438="Abu Dhabi",BE2438=RN2_minus),VLOOKUP(BH2438,AUH_MALE_DEP,7,0),IF(AND(BD2438="Dependent",BI2438="Male",BF2438="Abu Dhabi",BE2438=RN_3),VLOOKUP(BH2438,AUH_MALE_DEP,8,0),IF(AND(BD2438="Dependent",BI2438="Male",BF2438="Abu Dhabi",BE2438=VN),VLOOKUP(BH2438,AUH_MALE_DEP,9,0),IF(BD2438="","",IF(AND(BD2438="Dependent",BI2438="Female",BF2438="Abu Dhabi",BE2438=GN_Plus),VLOOKUP(BH2438,AUH_FEMALE_DEP,2,0),IF(AND(BD2438="Dependent",BI2438="Female",BF2438="Abu Dhabi",BE2438=GN),VLOOKUP(BH2438,AUH_FEMALE_DEP,3,0),IF(AND(BD2438="Dependent",BI2438="Female",BF2438="Abu Dhabi",BE2438=RN_Plus),VLOOKUP(BH2438,AUH_FEMALE_DEP,4,0),IF(AND(BD2438="Dependent",BI2438="Female",BF2438="Abu Dhabi",BE2438=RN),VLOOKUP(BH2438,AUH_FEMALE_DEP,5,0),IF(AND(BD2438="Dependent",BI2438="Female",BF2438="Abu Dhabi",BE2438=RN_2),VLOOKUP(BH2438,AUH_FEMALE_DEP,6,0),IF(AND(BD2438="Dependent",BI2438="Female",BF2438="Abu Dhabi",BE2438=RN2_minus),VLOOKUP(BH2438,AUH_FEMALE_DEP,7,0),IF(AND(BD2438="Dependent",BI2438="Female",BF2438="Abu Dhabi",BE2438=RN_3),VLOOKUP(BH2438,AUH_FEMALE_DEP,8,0),IF(AND(BD2438="Dependent",BI2438="Female",BF2438="Abu Dhabi",BE2438=VN),VLOOKUP(BH2438,AUH_FEMALE_DEP,9,0),"ABC"))))))))))))))))))))))))))))))))))))</f>
        <v/>
      </c>
      <c r="BL2438" s="498" t="str">
        <f t="shared" ref="BL2438:BL2501" si="865">IF(BD2438="","",IF(AND(BD2438="Employee",BI2438="Male",BF2438="Dubai",BE2438=GN_Plus),VLOOKUP(BH2438,DXB_MALE_EMP,2,0),IF(AND(BD2438="Employee",BI2438="Male",BF2438="Dubai",BE2438=GN),VLOOKUP(BH2438,DXB_MALE_EMP,3,0),IF(AND(BD2438="Employee",BI2438="Male",BF2438="Dubai",BE2438=RN_Plus),VLOOKUP(BH2438,DXB_MALE_EMP,4,0),IF(AND(BD2438="Employee",BI2438="Male",BF2438="Dubai",BE2438=RN),VLOOKUP(BH2438,DXB_MALE_EMP,5,0),IF(AND(BD2438="Employee",BI2438="Male",BF2438="Dubai",BE2438=RN_2),VLOOKUP(BH2438,DXB_MALE_EMP,6,0),IF(AND(BD2438="Employee",BI2438="Male",BF2438="Dubai",BE2438=RN2_minus),VLOOKUP(BH2438,DXB_MALE_EMP,7,0),IF(AND(BD2438="Employee",BI2438="Male",BF2438="Dubai",BE2438=RN_3),VLOOKUP(BH2438,DXB_MALE_EMP,8,0),IF(AND(BD2438="Employee",BI2438="Male",BF2438="Dubai",BE2438=VN),VLOOKUP(BH2438,DXB_MALE_EMP,9,0),IF(BD2438="","",IF(AND(BD2438="Employee",BI2438="Female",BF2438="Dubai",BE2438=GN_Plus),VLOOKUP(BH2438,DXB_FEMALE_EMP,2,0),IF(AND(BD2438="Employee",BI2438="Female",BF2438="Dubai",BE2438=GN),VLOOKUP(BH2438,DXB_FEMALE_EMP,3,0),IF(AND(BD2438="Employee",BI2438="Female",BF2438="Dubai",BE2438=RN_Plus),VLOOKUP(BH2438,DXB_FEMALE_EMP,4,0),IF(AND(BD2438="Employee",BI2438="Female",BF2438="Dubai",BE2438=RN),VLOOKUP(BH2438,DXB_FEMALE_EMP,5,0),IF(AND(BD2438="Employee",BI2438="Female",BF2438="Dubai",BE2438=RN_2),VLOOKUP(BH2438,DXB_FEMALE_EMP,6,0),IF(AND(BD2438="Employee",BI2438="Female",BF2438="Dubai",BE2438=RN2_minus),VLOOKUP(BH2438,DXB_FEMALE_EMP,7,0),IF(AND(BD2438="Employee",BI2438="Female",BF2438="Dubai",BE2438=RN_3),VLOOKUP(BH2438,DXB_FEMALE_EMP,8,0),IF(AND(BD2438="Employee",BI2438="Female",BF2438="Dubai",BE2438=VN),VLOOKUP(BH2438,DXB_FEMALE_EMP,9,0),IF(BD2438="","",IF(AND(BD2438="Dependent",BI2438="Male",BF2438="Dubai",BE2438=GN_Plus),VLOOKUP(BH2438,DXB_MALE_DEP,2,0),IF(AND(BD2438="Dependent",BI2438="Male",BF2438="Dubai",BE2438=GN),VLOOKUP(BH2438,DXB_MALE_DEP,3,0),IF(AND(BD2438="Dependent",BI2438="Male",BF2438="Dubai",BE2438=RN_Plus),VLOOKUP(BH2438,DXB_MALE_DEP,4,0),IF(AND(BD2438="Dependent",BI2438="Male",BF2438="Dubai",BE2438=RN),VLOOKUP(BH2438,DXB_MALE_DEP,5,0),IF(AND(BD2438="Dependent",BI2438="Male",BF2438="Dubai",BE2438=RN_2),VLOOKUP(BH2438,DXB_MALE_DEP,6,0),IF(AND(BD2438="Dependent",BI2438="Male",BF2438="Dubai",BE2438=RN2_minus),VLOOKUP(BH2438,DXB_MALE_DEP,7,0),IF(AND(BD2438="Dependent",BI2438="Male",BF2438="Dubai",BE2438=RN_3),VLOOKUP(BH2438,DXB_MALE_DEP,8,0),IF(AND(BD2438="Dependent",BI2438="Male",BF2438="Dubai",BE2438=VN),VLOOKUP(BH2438,DXB_MALE_DEP,9,0),IF(BD2438="","",IF(AND(BD2438="Dependent",BI2438="Female",BF2438="Dubai",BE2438=GN_Plus),VLOOKUP(BH2438,DXB_FEMALE_DEP,2,0),IF(AND(BD2438="Dependent",BI2438="Female",BF2438="Dubai",BE2438=GN),VLOOKUP(BH2438,DXB_FEMALE_DEP,3,0),IF(AND(BD2438="Dependent",BI2438="Female",BF2438="Dubai",BE2438=RN_Plus),VLOOKUP(BH2438,DXB_FEMALE_DEP,4,0),IF(AND(BD2438="Dependent",BI2438="Female",BF2438="Dubai",BE2438=RN),VLOOKUP(BH2438,DXB_FEMALE_DEP,5,0),IF(AND(BD2438="Dependent",BI2438="Female",BF2438="Dubai",BE2438=RN_2),VLOOKUP(BH2438,DXB_FEMALE_DEP,6,0),IF(AND(BD2438="Dependent",BI2438="Female",BF2438="Dubai",BE2438=RN2_minus),VLOOKUP(BH2438,DXB_FEMALE_DEP,7,0),IF(AND(BD2438="Dependent",BI2438="Female",BF2438="Dubai",BE2438=RN_3),VLOOKUP(BH2438,DXB_FEMALE_DEP,8,0),IF(AND(BD2438="Dependent",BI2438="Female",BF2438="Dubai",BE2438=VN),VLOOKUP(BH2438,DXB_FEMALE_DEP,9,0),"ABC"))))))))))))))))))))))))))))))))))))</f>
        <v/>
      </c>
    </row>
    <row r="2439" spans="1:64" x14ac:dyDescent="0.25">
      <c r="A2439" s="762">
        <f t="shared" ref="A2439:A2502" si="866">+A2438+1</f>
        <v>2434</v>
      </c>
      <c r="B2439" s="229"/>
      <c r="C2439" s="223"/>
      <c r="D2439" s="224"/>
      <c r="E2439" s="225"/>
      <c r="F2439" s="1036" t="str">
        <f t="shared" si="850"/>
        <v/>
      </c>
      <c r="G2439" s="1037" t="str">
        <f t="shared" ref="G2439:G2502" si="867">IF(D2439="","",MAX(0,ROUNDUP(F2439,0)))</f>
        <v/>
      </c>
      <c r="H2439" s="225"/>
      <c r="I2439" s="1013"/>
      <c r="J2439" s="1013"/>
      <c r="K2439" s="1028"/>
      <c r="L2439" s="1035" t="str">
        <f t="shared" si="849"/>
        <v/>
      </c>
      <c r="S2439" s="498"/>
      <c r="AJ2439" s="498"/>
      <c r="AM2439" s="498">
        <f t="shared" si="852"/>
        <v>0</v>
      </c>
      <c r="AN2439" s="498">
        <f t="shared" si="853"/>
        <v>0</v>
      </c>
      <c r="AO2439" s="498">
        <f t="shared" si="854"/>
        <v>0</v>
      </c>
      <c r="AP2439" s="498">
        <f t="shared" si="851"/>
        <v>0</v>
      </c>
      <c r="AQ2439" s="498">
        <f t="shared" ref="AQ2439:AQ2502" si="868">IF(ISBLANK($B2439),0,IF(OR($H2439="Single",$H2439="Married"),0,1))</f>
        <v>0</v>
      </c>
      <c r="AU2439" s="498">
        <f t="shared" si="855"/>
        <v>0</v>
      </c>
      <c r="AV2439" s="498">
        <f t="shared" si="856"/>
        <v>0</v>
      </c>
      <c r="AW2439" s="498">
        <f t="shared" si="857"/>
        <v>0</v>
      </c>
      <c r="AX2439" s="498">
        <f t="shared" si="858"/>
        <v>0</v>
      </c>
      <c r="AY2439" s="498">
        <f t="shared" si="859"/>
        <v>0</v>
      </c>
      <c r="BB2439" s="498" t="str">
        <f t="shared" si="860"/>
        <v/>
      </c>
      <c r="BC2439" s="743" t="str">
        <f t="shared" si="861"/>
        <v/>
      </c>
      <c r="BD2439" s="743" t="str">
        <f t="shared" si="862"/>
        <v/>
      </c>
      <c r="BE2439" s="743" t="str">
        <f>IF(D2439="","",VLOOKUP(D2439,'General Basis'!$J$39:$K$46,2,0))</f>
        <v/>
      </c>
      <c r="BF2439" s="744" t="str">
        <f>IF(D2439="","",VLOOKUP(D2439,'General Basis'!$J$39:$L$46,3,0))</f>
        <v/>
      </c>
      <c r="BG2439" s="744" t="str">
        <f t="shared" ref="BG2439:BG2502" si="869">BC2439&amp;BI2439</f>
        <v/>
      </c>
      <c r="BH2439" s="744" t="str">
        <f>IF(G2439="","",IF(BF2439="Abu Dhabi",IF(G2439&lt;18,'General Basis'!$C$39,IF(G2439&lt;41,'General Basis'!$C$40,IF(G2439&lt;60,'General Basis'!$C$41,IF(G2439&lt;65,'General Basis'!$C$42,'General Basis'!$C$43)))),IF(G2439&lt;11,'General Basis'!$B$39,IF(G2439&lt;18,'General Basis'!$B$40,IF(G2439&lt;26,'General Basis'!$B$41,IF(G2439&lt;31,'General Basis'!$B$42,IF(G2439&lt;36,'General Basis'!$B$43,IF(G2439&lt;41,'General Basis'!$B$44,IF(G2439&lt;46,'General Basis'!$B$45,IF(G2439&lt;51,'General Basis'!$B$46,IF(G2439&lt;56,'General Basis'!$B$47,IF(G2439&lt;60,'General Basis'!$B$48,IF(G2439&lt;65,'General Basis'!$B$49,'General Basis'!$B$50)))))))))))))</f>
        <v/>
      </c>
      <c r="BI2439" s="744" t="str">
        <f t="shared" si="863"/>
        <v/>
      </c>
      <c r="BJ2439" s="747" t="str">
        <f t="shared" ref="BJ2439:BJ2502" si="870">IF(BD2439="","",IF(BF2439="Abu Dhabi",BK2439,BL2439))</f>
        <v/>
      </c>
      <c r="BK2439" s="498" t="str">
        <f t="shared" si="864"/>
        <v/>
      </c>
      <c r="BL2439" s="498" t="str">
        <f t="shared" si="865"/>
        <v/>
      </c>
    </row>
    <row r="2440" spans="1:64" x14ac:dyDescent="0.25">
      <c r="A2440" s="762">
        <f t="shared" si="866"/>
        <v>2435</v>
      </c>
      <c r="B2440" s="229"/>
      <c r="C2440" s="223"/>
      <c r="D2440" s="224"/>
      <c r="E2440" s="225"/>
      <c r="F2440" s="1036" t="str">
        <f t="shared" si="850"/>
        <v/>
      </c>
      <c r="G2440" s="1037" t="str">
        <f t="shared" si="867"/>
        <v/>
      </c>
      <c r="H2440" s="225"/>
      <c r="I2440" s="1013"/>
      <c r="J2440" s="1013"/>
      <c r="K2440" s="1028"/>
      <c r="L2440" s="1035" t="str">
        <f t="shared" ref="L2440:L2503" si="871">IF(AND(E2440="Child",H2440="Married"),"Check the Marital Status of the Child. ",IF(AND(E2440="Child",F2440&gt;18),"Child Age exceed 18 years. ",IF(AND(E2440="Spouse",H2440="Single"),"Spouse is selected as Single. ","")))&amp;IF(K2440&gt;0,"UW Loading has been Applied","")</f>
        <v/>
      </c>
      <c r="S2440" s="498"/>
      <c r="AJ2440" s="498"/>
      <c r="AM2440" s="498">
        <f t="shared" si="852"/>
        <v>0</v>
      </c>
      <c r="AN2440" s="498">
        <f t="shared" si="853"/>
        <v>0</v>
      </c>
      <c r="AO2440" s="498">
        <f t="shared" si="854"/>
        <v>0</v>
      </c>
      <c r="AP2440" s="498">
        <f t="shared" si="851"/>
        <v>0</v>
      </c>
      <c r="AQ2440" s="498">
        <f t="shared" si="868"/>
        <v>0</v>
      </c>
      <c r="AU2440" s="498">
        <f t="shared" si="855"/>
        <v>0</v>
      </c>
      <c r="AV2440" s="498">
        <f t="shared" si="856"/>
        <v>0</v>
      </c>
      <c r="AW2440" s="498">
        <f t="shared" si="857"/>
        <v>0</v>
      </c>
      <c r="AX2440" s="498">
        <f t="shared" si="858"/>
        <v>0</v>
      </c>
      <c r="AY2440" s="498">
        <f t="shared" si="859"/>
        <v>0</v>
      </c>
      <c r="BB2440" s="498" t="str">
        <f t="shared" si="860"/>
        <v/>
      </c>
      <c r="BC2440" s="743" t="str">
        <f t="shared" si="861"/>
        <v/>
      </c>
      <c r="BD2440" s="743" t="str">
        <f t="shared" si="862"/>
        <v/>
      </c>
      <c r="BE2440" s="743" t="str">
        <f>IF(D2440="","",VLOOKUP(D2440,'General Basis'!$J$39:$K$46,2,0))</f>
        <v/>
      </c>
      <c r="BF2440" s="744" t="str">
        <f>IF(D2440="","",VLOOKUP(D2440,'General Basis'!$J$39:$L$46,3,0))</f>
        <v/>
      </c>
      <c r="BG2440" s="744" t="str">
        <f t="shared" si="869"/>
        <v/>
      </c>
      <c r="BH2440" s="744" t="str">
        <f>IF(G2440="","",IF(BF2440="Abu Dhabi",IF(G2440&lt;18,'General Basis'!$C$39,IF(G2440&lt;41,'General Basis'!$C$40,IF(G2440&lt;60,'General Basis'!$C$41,IF(G2440&lt;65,'General Basis'!$C$42,'General Basis'!$C$43)))),IF(G2440&lt;11,'General Basis'!$B$39,IF(G2440&lt;18,'General Basis'!$B$40,IF(G2440&lt;26,'General Basis'!$B$41,IF(G2440&lt;31,'General Basis'!$B$42,IF(G2440&lt;36,'General Basis'!$B$43,IF(G2440&lt;41,'General Basis'!$B$44,IF(G2440&lt;46,'General Basis'!$B$45,IF(G2440&lt;51,'General Basis'!$B$46,IF(G2440&lt;56,'General Basis'!$B$47,IF(G2440&lt;60,'General Basis'!$B$48,IF(G2440&lt;65,'General Basis'!$B$49,'General Basis'!$B$50)))))))))))))</f>
        <v/>
      </c>
      <c r="BI2440" s="744" t="str">
        <f t="shared" si="863"/>
        <v/>
      </c>
      <c r="BJ2440" s="747" t="str">
        <f t="shared" si="870"/>
        <v/>
      </c>
      <c r="BK2440" s="498" t="str">
        <f t="shared" si="864"/>
        <v/>
      </c>
      <c r="BL2440" s="498" t="str">
        <f t="shared" si="865"/>
        <v/>
      </c>
    </row>
    <row r="2441" spans="1:64" x14ac:dyDescent="0.25">
      <c r="A2441" s="762">
        <f t="shared" si="866"/>
        <v>2436</v>
      </c>
      <c r="B2441" s="229"/>
      <c r="C2441" s="223"/>
      <c r="D2441" s="224"/>
      <c r="E2441" s="225"/>
      <c r="F2441" s="1036" t="str">
        <f t="shared" si="850"/>
        <v/>
      </c>
      <c r="G2441" s="1037" t="str">
        <f t="shared" si="867"/>
        <v/>
      </c>
      <c r="H2441" s="225"/>
      <c r="I2441" s="1013"/>
      <c r="J2441" s="1013"/>
      <c r="K2441" s="1028"/>
      <c r="L2441" s="1035" t="str">
        <f t="shared" si="871"/>
        <v/>
      </c>
      <c r="S2441" s="498"/>
      <c r="AJ2441" s="498"/>
      <c r="AM2441" s="498">
        <f t="shared" si="852"/>
        <v>0</v>
      </c>
      <c r="AN2441" s="498">
        <f t="shared" si="853"/>
        <v>0</v>
      </c>
      <c r="AO2441" s="498">
        <f t="shared" si="854"/>
        <v>0</v>
      </c>
      <c r="AP2441" s="498">
        <f t="shared" si="851"/>
        <v>0</v>
      </c>
      <c r="AQ2441" s="498">
        <f t="shared" si="868"/>
        <v>0</v>
      </c>
      <c r="AU2441" s="498">
        <f t="shared" si="855"/>
        <v>0</v>
      </c>
      <c r="AV2441" s="498">
        <f t="shared" si="856"/>
        <v>0</v>
      </c>
      <c r="AW2441" s="498">
        <f t="shared" si="857"/>
        <v>0</v>
      </c>
      <c r="AX2441" s="498">
        <f t="shared" si="858"/>
        <v>0</v>
      </c>
      <c r="AY2441" s="498">
        <f t="shared" si="859"/>
        <v>0</v>
      </c>
      <c r="BB2441" s="498" t="str">
        <f t="shared" si="860"/>
        <v/>
      </c>
      <c r="BC2441" s="743" t="str">
        <f t="shared" si="861"/>
        <v/>
      </c>
      <c r="BD2441" s="743" t="str">
        <f t="shared" si="862"/>
        <v/>
      </c>
      <c r="BE2441" s="743" t="str">
        <f>IF(D2441="","",VLOOKUP(D2441,'General Basis'!$J$39:$K$46,2,0))</f>
        <v/>
      </c>
      <c r="BF2441" s="744" t="str">
        <f>IF(D2441="","",VLOOKUP(D2441,'General Basis'!$J$39:$L$46,3,0))</f>
        <v/>
      </c>
      <c r="BG2441" s="744" t="str">
        <f t="shared" si="869"/>
        <v/>
      </c>
      <c r="BH2441" s="744" t="str">
        <f>IF(G2441="","",IF(BF2441="Abu Dhabi",IF(G2441&lt;18,'General Basis'!$C$39,IF(G2441&lt;41,'General Basis'!$C$40,IF(G2441&lt;60,'General Basis'!$C$41,IF(G2441&lt;65,'General Basis'!$C$42,'General Basis'!$C$43)))),IF(G2441&lt;11,'General Basis'!$B$39,IF(G2441&lt;18,'General Basis'!$B$40,IF(G2441&lt;26,'General Basis'!$B$41,IF(G2441&lt;31,'General Basis'!$B$42,IF(G2441&lt;36,'General Basis'!$B$43,IF(G2441&lt;41,'General Basis'!$B$44,IF(G2441&lt;46,'General Basis'!$B$45,IF(G2441&lt;51,'General Basis'!$B$46,IF(G2441&lt;56,'General Basis'!$B$47,IF(G2441&lt;60,'General Basis'!$B$48,IF(G2441&lt;65,'General Basis'!$B$49,'General Basis'!$B$50)))))))))))))</f>
        <v/>
      </c>
      <c r="BI2441" s="744" t="str">
        <f t="shared" si="863"/>
        <v/>
      </c>
      <c r="BJ2441" s="747" t="str">
        <f t="shared" si="870"/>
        <v/>
      </c>
      <c r="BK2441" s="498" t="str">
        <f t="shared" si="864"/>
        <v/>
      </c>
      <c r="BL2441" s="498" t="str">
        <f t="shared" si="865"/>
        <v/>
      </c>
    </row>
    <row r="2442" spans="1:64" x14ac:dyDescent="0.25">
      <c r="A2442" s="762">
        <f t="shared" si="866"/>
        <v>2437</v>
      </c>
      <c r="B2442" s="229"/>
      <c r="C2442" s="223"/>
      <c r="D2442" s="224"/>
      <c r="E2442" s="225"/>
      <c r="F2442" s="1036" t="str">
        <f t="shared" si="850"/>
        <v/>
      </c>
      <c r="G2442" s="1037" t="str">
        <f t="shared" si="867"/>
        <v/>
      </c>
      <c r="H2442" s="225"/>
      <c r="I2442" s="1013"/>
      <c r="J2442" s="1013"/>
      <c r="K2442" s="1028"/>
      <c r="L2442" s="1035" t="str">
        <f t="shared" si="871"/>
        <v/>
      </c>
      <c r="S2442" s="498"/>
      <c r="AJ2442" s="498"/>
      <c r="AM2442" s="498">
        <f t="shared" si="852"/>
        <v>0</v>
      </c>
      <c r="AN2442" s="498">
        <f t="shared" si="853"/>
        <v>0</v>
      </c>
      <c r="AO2442" s="498">
        <f t="shared" si="854"/>
        <v>0</v>
      </c>
      <c r="AP2442" s="498">
        <f t="shared" si="851"/>
        <v>0</v>
      </c>
      <c r="AQ2442" s="498">
        <f t="shared" si="868"/>
        <v>0</v>
      </c>
      <c r="AU2442" s="498">
        <f t="shared" si="855"/>
        <v>0</v>
      </c>
      <c r="AV2442" s="498">
        <f t="shared" si="856"/>
        <v>0</v>
      </c>
      <c r="AW2442" s="498">
        <f t="shared" si="857"/>
        <v>0</v>
      </c>
      <c r="AX2442" s="498">
        <f t="shared" si="858"/>
        <v>0</v>
      </c>
      <c r="AY2442" s="498">
        <f t="shared" si="859"/>
        <v>0</v>
      </c>
      <c r="BB2442" s="498" t="str">
        <f t="shared" si="860"/>
        <v/>
      </c>
      <c r="BC2442" s="743" t="str">
        <f t="shared" si="861"/>
        <v/>
      </c>
      <c r="BD2442" s="743" t="str">
        <f t="shared" si="862"/>
        <v/>
      </c>
      <c r="BE2442" s="743" t="str">
        <f>IF(D2442="","",VLOOKUP(D2442,'General Basis'!$J$39:$K$46,2,0))</f>
        <v/>
      </c>
      <c r="BF2442" s="744" t="str">
        <f>IF(D2442="","",VLOOKUP(D2442,'General Basis'!$J$39:$L$46,3,0))</f>
        <v/>
      </c>
      <c r="BG2442" s="744" t="str">
        <f t="shared" si="869"/>
        <v/>
      </c>
      <c r="BH2442" s="744" t="str">
        <f>IF(G2442="","",IF(BF2442="Abu Dhabi",IF(G2442&lt;18,'General Basis'!$C$39,IF(G2442&lt;41,'General Basis'!$C$40,IF(G2442&lt;60,'General Basis'!$C$41,IF(G2442&lt;65,'General Basis'!$C$42,'General Basis'!$C$43)))),IF(G2442&lt;11,'General Basis'!$B$39,IF(G2442&lt;18,'General Basis'!$B$40,IF(G2442&lt;26,'General Basis'!$B$41,IF(G2442&lt;31,'General Basis'!$B$42,IF(G2442&lt;36,'General Basis'!$B$43,IF(G2442&lt;41,'General Basis'!$B$44,IF(G2442&lt;46,'General Basis'!$B$45,IF(G2442&lt;51,'General Basis'!$B$46,IF(G2442&lt;56,'General Basis'!$B$47,IF(G2442&lt;60,'General Basis'!$B$48,IF(G2442&lt;65,'General Basis'!$B$49,'General Basis'!$B$50)))))))))))))</f>
        <v/>
      </c>
      <c r="BI2442" s="744" t="str">
        <f t="shared" si="863"/>
        <v/>
      </c>
      <c r="BJ2442" s="747" t="str">
        <f t="shared" si="870"/>
        <v/>
      </c>
      <c r="BK2442" s="498" t="str">
        <f t="shared" si="864"/>
        <v/>
      </c>
      <c r="BL2442" s="498" t="str">
        <f t="shared" si="865"/>
        <v/>
      </c>
    </row>
    <row r="2443" spans="1:64" x14ac:dyDescent="0.25">
      <c r="A2443" s="762">
        <f t="shared" si="866"/>
        <v>2438</v>
      </c>
      <c r="B2443" s="229"/>
      <c r="C2443" s="223"/>
      <c r="D2443" s="224"/>
      <c r="E2443" s="225"/>
      <c r="F2443" s="1036" t="str">
        <f t="shared" si="850"/>
        <v/>
      </c>
      <c r="G2443" s="1037" t="str">
        <f t="shared" si="867"/>
        <v/>
      </c>
      <c r="H2443" s="225"/>
      <c r="I2443" s="1013"/>
      <c r="J2443" s="1013"/>
      <c r="K2443" s="1028"/>
      <c r="L2443" s="1035" t="str">
        <f t="shared" si="871"/>
        <v/>
      </c>
      <c r="S2443" s="498"/>
      <c r="AJ2443" s="498"/>
      <c r="AM2443" s="498">
        <f t="shared" si="852"/>
        <v>0</v>
      </c>
      <c r="AN2443" s="498">
        <f t="shared" si="853"/>
        <v>0</v>
      </c>
      <c r="AO2443" s="498">
        <f t="shared" si="854"/>
        <v>0</v>
      </c>
      <c r="AP2443" s="498">
        <f t="shared" si="851"/>
        <v>0</v>
      </c>
      <c r="AQ2443" s="498">
        <f t="shared" si="868"/>
        <v>0</v>
      </c>
      <c r="AU2443" s="498">
        <f t="shared" si="855"/>
        <v>0</v>
      </c>
      <c r="AV2443" s="498">
        <f t="shared" si="856"/>
        <v>0</v>
      </c>
      <c r="AW2443" s="498">
        <f t="shared" si="857"/>
        <v>0</v>
      </c>
      <c r="AX2443" s="498">
        <f t="shared" si="858"/>
        <v>0</v>
      </c>
      <c r="AY2443" s="498">
        <f t="shared" si="859"/>
        <v>0</v>
      </c>
      <c r="BB2443" s="498" t="str">
        <f t="shared" si="860"/>
        <v/>
      </c>
      <c r="BC2443" s="743" t="str">
        <f t="shared" si="861"/>
        <v/>
      </c>
      <c r="BD2443" s="743" t="str">
        <f t="shared" si="862"/>
        <v/>
      </c>
      <c r="BE2443" s="743" t="str">
        <f>IF(D2443="","",VLOOKUP(D2443,'General Basis'!$J$39:$K$46,2,0))</f>
        <v/>
      </c>
      <c r="BF2443" s="744" t="str">
        <f>IF(D2443="","",VLOOKUP(D2443,'General Basis'!$J$39:$L$46,3,0))</f>
        <v/>
      </c>
      <c r="BG2443" s="744" t="str">
        <f t="shared" si="869"/>
        <v/>
      </c>
      <c r="BH2443" s="744" t="str">
        <f>IF(G2443="","",IF(BF2443="Abu Dhabi",IF(G2443&lt;18,'General Basis'!$C$39,IF(G2443&lt;41,'General Basis'!$C$40,IF(G2443&lt;60,'General Basis'!$C$41,IF(G2443&lt;65,'General Basis'!$C$42,'General Basis'!$C$43)))),IF(G2443&lt;11,'General Basis'!$B$39,IF(G2443&lt;18,'General Basis'!$B$40,IF(G2443&lt;26,'General Basis'!$B$41,IF(G2443&lt;31,'General Basis'!$B$42,IF(G2443&lt;36,'General Basis'!$B$43,IF(G2443&lt;41,'General Basis'!$B$44,IF(G2443&lt;46,'General Basis'!$B$45,IF(G2443&lt;51,'General Basis'!$B$46,IF(G2443&lt;56,'General Basis'!$B$47,IF(G2443&lt;60,'General Basis'!$B$48,IF(G2443&lt;65,'General Basis'!$B$49,'General Basis'!$B$50)))))))))))))</f>
        <v/>
      </c>
      <c r="BI2443" s="744" t="str">
        <f t="shared" si="863"/>
        <v/>
      </c>
      <c r="BJ2443" s="747" t="str">
        <f t="shared" si="870"/>
        <v/>
      </c>
      <c r="BK2443" s="498" t="str">
        <f t="shared" si="864"/>
        <v/>
      </c>
      <c r="BL2443" s="498" t="str">
        <f t="shared" si="865"/>
        <v/>
      </c>
    </row>
    <row r="2444" spans="1:64" x14ac:dyDescent="0.25">
      <c r="A2444" s="762">
        <f t="shared" si="866"/>
        <v>2439</v>
      </c>
      <c r="B2444" s="229"/>
      <c r="C2444" s="223"/>
      <c r="D2444" s="224"/>
      <c r="E2444" s="225"/>
      <c r="F2444" s="1036" t="str">
        <f t="shared" si="850"/>
        <v/>
      </c>
      <c r="G2444" s="1037" t="str">
        <f t="shared" si="867"/>
        <v/>
      </c>
      <c r="H2444" s="225"/>
      <c r="I2444" s="1013"/>
      <c r="J2444" s="1013"/>
      <c r="K2444" s="1028"/>
      <c r="L2444" s="1035" t="str">
        <f t="shared" si="871"/>
        <v/>
      </c>
      <c r="S2444" s="498"/>
      <c r="AJ2444" s="498"/>
      <c r="AM2444" s="498">
        <f t="shared" si="852"/>
        <v>0</v>
      </c>
      <c r="AN2444" s="498">
        <f t="shared" si="853"/>
        <v>0</v>
      </c>
      <c r="AO2444" s="498">
        <f t="shared" si="854"/>
        <v>0</v>
      </c>
      <c r="AP2444" s="498">
        <f t="shared" si="851"/>
        <v>0</v>
      </c>
      <c r="AQ2444" s="498">
        <f t="shared" si="868"/>
        <v>0</v>
      </c>
      <c r="AU2444" s="498">
        <f t="shared" si="855"/>
        <v>0</v>
      </c>
      <c r="AV2444" s="498">
        <f t="shared" si="856"/>
        <v>0</v>
      </c>
      <c r="AW2444" s="498">
        <f t="shared" si="857"/>
        <v>0</v>
      </c>
      <c r="AX2444" s="498">
        <f t="shared" si="858"/>
        <v>0</v>
      </c>
      <c r="AY2444" s="498">
        <f t="shared" si="859"/>
        <v>0</v>
      </c>
      <c r="BB2444" s="498" t="str">
        <f t="shared" si="860"/>
        <v/>
      </c>
      <c r="BC2444" s="743" t="str">
        <f t="shared" si="861"/>
        <v/>
      </c>
      <c r="BD2444" s="743" t="str">
        <f t="shared" si="862"/>
        <v/>
      </c>
      <c r="BE2444" s="743" t="str">
        <f>IF(D2444="","",VLOOKUP(D2444,'General Basis'!$J$39:$K$46,2,0))</f>
        <v/>
      </c>
      <c r="BF2444" s="744" t="str">
        <f>IF(D2444="","",VLOOKUP(D2444,'General Basis'!$J$39:$L$46,3,0))</f>
        <v/>
      </c>
      <c r="BG2444" s="744" t="str">
        <f t="shared" si="869"/>
        <v/>
      </c>
      <c r="BH2444" s="744" t="str">
        <f>IF(G2444="","",IF(BF2444="Abu Dhabi",IF(G2444&lt;18,'General Basis'!$C$39,IF(G2444&lt;41,'General Basis'!$C$40,IF(G2444&lt;60,'General Basis'!$C$41,IF(G2444&lt;65,'General Basis'!$C$42,'General Basis'!$C$43)))),IF(G2444&lt;11,'General Basis'!$B$39,IF(G2444&lt;18,'General Basis'!$B$40,IF(G2444&lt;26,'General Basis'!$B$41,IF(G2444&lt;31,'General Basis'!$B$42,IF(G2444&lt;36,'General Basis'!$B$43,IF(G2444&lt;41,'General Basis'!$B$44,IF(G2444&lt;46,'General Basis'!$B$45,IF(G2444&lt;51,'General Basis'!$B$46,IF(G2444&lt;56,'General Basis'!$B$47,IF(G2444&lt;60,'General Basis'!$B$48,IF(G2444&lt;65,'General Basis'!$B$49,'General Basis'!$B$50)))))))))))))</f>
        <v/>
      </c>
      <c r="BI2444" s="744" t="str">
        <f t="shared" si="863"/>
        <v/>
      </c>
      <c r="BJ2444" s="747" t="str">
        <f t="shared" si="870"/>
        <v/>
      </c>
      <c r="BK2444" s="498" t="str">
        <f t="shared" si="864"/>
        <v/>
      </c>
      <c r="BL2444" s="498" t="str">
        <f t="shared" si="865"/>
        <v/>
      </c>
    </row>
    <row r="2445" spans="1:64" x14ac:dyDescent="0.25">
      <c r="A2445" s="762">
        <f t="shared" si="866"/>
        <v>2440</v>
      </c>
      <c r="B2445" s="229"/>
      <c r="C2445" s="223"/>
      <c r="D2445" s="224"/>
      <c r="E2445" s="225"/>
      <c r="F2445" s="1036" t="str">
        <f t="shared" si="850"/>
        <v/>
      </c>
      <c r="G2445" s="1037" t="str">
        <f t="shared" si="867"/>
        <v/>
      </c>
      <c r="H2445" s="225"/>
      <c r="I2445" s="1013"/>
      <c r="J2445" s="1013"/>
      <c r="K2445" s="1028"/>
      <c r="L2445" s="1035" t="str">
        <f t="shared" si="871"/>
        <v/>
      </c>
      <c r="S2445" s="498"/>
      <c r="AJ2445" s="498"/>
      <c r="AM2445" s="498">
        <f t="shared" si="852"/>
        <v>0</v>
      </c>
      <c r="AN2445" s="498">
        <f t="shared" si="853"/>
        <v>0</v>
      </c>
      <c r="AO2445" s="498">
        <f t="shared" si="854"/>
        <v>0</v>
      </c>
      <c r="AP2445" s="498">
        <f t="shared" si="851"/>
        <v>0</v>
      </c>
      <c r="AQ2445" s="498">
        <f t="shared" si="868"/>
        <v>0</v>
      </c>
      <c r="AU2445" s="498">
        <f t="shared" si="855"/>
        <v>0</v>
      </c>
      <c r="AV2445" s="498">
        <f t="shared" si="856"/>
        <v>0</v>
      </c>
      <c r="AW2445" s="498">
        <f t="shared" si="857"/>
        <v>0</v>
      </c>
      <c r="AX2445" s="498">
        <f t="shared" si="858"/>
        <v>0</v>
      </c>
      <c r="AY2445" s="498">
        <f t="shared" si="859"/>
        <v>0</v>
      </c>
      <c r="BB2445" s="498" t="str">
        <f t="shared" si="860"/>
        <v/>
      </c>
      <c r="BC2445" s="743" t="str">
        <f t="shared" si="861"/>
        <v/>
      </c>
      <c r="BD2445" s="743" t="str">
        <f t="shared" si="862"/>
        <v/>
      </c>
      <c r="BE2445" s="743" t="str">
        <f>IF(D2445="","",VLOOKUP(D2445,'General Basis'!$J$39:$K$46,2,0))</f>
        <v/>
      </c>
      <c r="BF2445" s="744" t="str">
        <f>IF(D2445="","",VLOOKUP(D2445,'General Basis'!$J$39:$L$46,3,0))</f>
        <v/>
      </c>
      <c r="BG2445" s="744" t="str">
        <f t="shared" si="869"/>
        <v/>
      </c>
      <c r="BH2445" s="744" t="str">
        <f>IF(G2445="","",IF(BF2445="Abu Dhabi",IF(G2445&lt;18,'General Basis'!$C$39,IF(G2445&lt;41,'General Basis'!$C$40,IF(G2445&lt;60,'General Basis'!$C$41,IF(G2445&lt;65,'General Basis'!$C$42,'General Basis'!$C$43)))),IF(G2445&lt;11,'General Basis'!$B$39,IF(G2445&lt;18,'General Basis'!$B$40,IF(G2445&lt;26,'General Basis'!$B$41,IF(G2445&lt;31,'General Basis'!$B$42,IF(G2445&lt;36,'General Basis'!$B$43,IF(G2445&lt;41,'General Basis'!$B$44,IF(G2445&lt;46,'General Basis'!$B$45,IF(G2445&lt;51,'General Basis'!$B$46,IF(G2445&lt;56,'General Basis'!$B$47,IF(G2445&lt;60,'General Basis'!$B$48,IF(G2445&lt;65,'General Basis'!$B$49,'General Basis'!$B$50)))))))))))))</f>
        <v/>
      </c>
      <c r="BI2445" s="744" t="str">
        <f t="shared" si="863"/>
        <v/>
      </c>
      <c r="BJ2445" s="747" t="str">
        <f t="shared" si="870"/>
        <v/>
      </c>
      <c r="BK2445" s="498" t="str">
        <f t="shared" si="864"/>
        <v/>
      </c>
      <c r="BL2445" s="498" t="str">
        <f t="shared" si="865"/>
        <v/>
      </c>
    </row>
    <row r="2446" spans="1:64" x14ac:dyDescent="0.25">
      <c r="A2446" s="762">
        <f t="shared" si="866"/>
        <v>2441</v>
      </c>
      <c r="B2446" s="229"/>
      <c r="C2446" s="223"/>
      <c r="D2446" s="224"/>
      <c r="E2446" s="225"/>
      <c r="F2446" s="1036" t="str">
        <f t="shared" si="850"/>
        <v/>
      </c>
      <c r="G2446" s="1037" t="str">
        <f t="shared" si="867"/>
        <v/>
      </c>
      <c r="H2446" s="225"/>
      <c r="I2446" s="1013"/>
      <c r="J2446" s="1013"/>
      <c r="K2446" s="1028"/>
      <c r="L2446" s="1035" t="str">
        <f t="shared" si="871"/>
        <v/>
      </c>
      <c r="S2446" s="498"/>
      <c r="AJ2446" s="498"/>
      <c r="AM2446" s="498">
        <f t="shared" si="852"/>
        <v>0</v>
      </c>
      <c r="AN2446" s="498">
        <f t="shared" si="853"/>
        <v>0</v>
      </c>
      <c r="AO2446" s="498">
        <f t="shared" si="854"/>
        <v>0</v>
      </c>
      <c r="AP2446" s="498">
        <f t="shared" si="851"/>
        <v>0</v>
      </c>
      <c r="AQ2446" s="498">
        <f t="shared" si="868"/>
        <v>0</v>
      </c>
      <c r="AU2446" s="498">
        <f t="shared" si="855"/>
        <v>0</v>
      </c>
      <c r="AV2446" s="498">
        <f t="shared" si="856"/>
        <v>0</v>
      </c>
      <c r="AW2446" s="498">
        <f t="shared" si="857"/>
        <v>0</v>
      </c>
      <c r="AX2446" s="498">
        <f t="shared" si="858"/>
        <v>0</v>
      </c>
      <c r="AY2446" s="498">
        <f t="shared" si="859"/>
        <v>0</v>
      </c>
      <c r="BB2446" s="498" t="str">
        <f t="shared" si="860"/>
        <v/>
      </c>
      <c r="BC2446" s="743" t="str">
        <f t="shared" si="861"/>
        <v/>
      </c>
      <c r="BD2446" s="743" t="str">
        <f t="shared" si="862"/>
        <v/>
      </c>
      <c r="BE2446" s="743" t="str">
        <f>IF(D2446="","",VLOOKUP(D2446,'General Basis'!$J$39:$K$46,2,0))</f>
        <v/>
      </c>
      <c r="BF2446" s="744" t="str">
        <f>IF(D2446="","",VLOOKUP(D2446,'General Basis'!$J$39:$L$46,3,0))</f>
        <v/>
      </c>
      <c r="BG2446" s="744" t="str">
        <f t="shared" si="869"/>
        <v/>
      </c>
      <c r="BH2446" s="744" t="str">
        <f>IF(G2446="","",IF(BF2446="Abu Dhabi",IF(G2446&lt;18,'General Basis'!$C$39,IF(G2446&lt;41,'General Basis'!$C$40,IF(G2446&lt;60,'General Basis'!$C$41,IF(G2446&lt;65,'General Basis'!$C$42,'General Basis'!$C$43)))),IF(G2446&lt;11,'General Basis'!$B$39,IF(G2446&lt;18,'General Basis'!$B$40,IF(G2446&lt;26,'General Basis'!$B$41,IF(G2446&lt;31,'General Basis'!$B$42,IF(G2446&lt;36,'General Basis'!$B$43,IF(G2446&lt;41,'General Basis'!$B$44,IF(G2446&lt;46,'General Basis'!$B$45,IF(G2446&lt;51,'General Basis'!$B$46,IF(G2446&lt;56,'General Basis'!$B$47,IF(G2446&lt;60,'General Basis'!$B$48,IF(G2446&lt;65,'General Basis'!$B$49,'General Basis'!$B$50)))))))))))))</f>
        <v/>
      </c>
      <c r="BI2446" s="744" t="str">
        <f t="shared" si="863"/>
        <v/>
      </c>
      <c r="BJ2446" s="747" t="str">
        <f t="shared" si="870"/>
        <v/>
      </c>
      <c r="BK2446" s="498" t="str">
        <f t="shared" si="864"/>
        <v/>
      </c>
      <c r="BL2446" s="498" t="str">
        <f t="shared" si="865"/>
        <v/>
      </c>
    </row>
    <row r="2447" spans="1:64" x14ac:dyDescent="0.25">
      <c r="A2447" s="762">
        <f t="shared" si="866"/>
        <v>2442</v>
      </c>
      <c r="B2447" s="229"/>
      <c r="C2447" s="223"/>
      <c r="D2447" s="224"/>
      <c r="E2447" s="225"/>
      <c r="F2447" s="1036" t="str">
        <f t="shared" si="850"/>
        <v/>
      </c>
      <c r="G2447" s="1037" t="str">
        <f t="shared" si="867"/>
        <v/>
      </c>
      <c r="H2447" s="225"/>
      <c r="I2447" s="1013"/>
      <c r="J2447" s="1013"/>
      <c r="K2447" s="1028"/>
      <c r="L2447" s="1035" t="str">
        <f t="shared" si="871"/>
        <v/>
      </c>
      <c r="S2447" s="498"/>
      <c r="AJ2447" s="498"/>
      <c r="AM2447" s="498">
        <f t="shared" si="852"/>
        <v>0</v>
      </c>
      <c r="AN2447" s="498">
        <f t="shared" si="853"/>
        <v>0</v>
      </c>
      <c r="AO2447" s="498">
        <f t="shared" si="854"/>
        <v>0</v>
      </c>
      <c r="AP2447" s="498">
        <f t="shared" si="851"/>
        <v>0</v>
      </c>
      <c r="AQ2447" s="498">
        <f t="shared" si="868"/>
        <v>0</v>
      </c>
      <c r="AU2447" s="498">
        <f t="shared" si="855"/>
        <v>0</v>
      </c>
      <c r="AV2447" s="498">
        <f t="shared" si="856"/>
        <v>0</v>
      </c>
      <c r="AW2447" s="498">
        <f t="shared" si="857"/>
        <v>0</v>
      </c>
      <c r="AX2447" s="498">
        <f t="shared" si="858"/>
        <v>0</v>
      </c>
      <c r="AY2447" s="498">
        <f t="shared" si="859"/>
        <v>0</v>
      </c>
      <c r="BB2447" s="498" t="str">
        <f t="shared" si="860"/>
        <v/>
      </c>
      <c r="BC2447" s="743" t="str">
        <f t="shared" si="861"/>
        <v/>
      </c>
      <c r="BD2447" s="743" t="str">
        <f t="shared" si="862"/>
        <v/>
      </c>
      <c r="BE2447" s="743" t="str">
        <f>IF(D2447="","",VLOOKUP(D2447,'General Basis'!$J$39:$K$46,2,0))</f>
        <v/>
      </c>
      <c r="BF2447" s="744" t="str">
        <f>IF(D2447="","",VLOOKUP(D2447,'General Basis'!$J$39:$L$46,3,0))</f>
        <v/>
      </c>
      <c r="BG2447" s="744" t="str">
        <f t="shared" si="869"/>
        <v/>
      </c>
      <c r="BH2447" s="744" t="str">
        <f>IF(G2447="","",IF(BF2447="Abu Dhabi",IF(G2447&lt;18,'General Basis'!$C$39,IF(G2447&lt;41,'General Basis'!$C$40,IF(G2447&lt;60,'General Basis'!$C$41,IF(G2447&lt;65,'General Basis'!$C$42,'General Basis'!$C$43)))),IF(G2447&lt;11,'General Basis'!$B$39,IF(G2447&lt;18,'General Basis'!$B$40,IF(G2447&lt;26,'General Basis'!$B$41,IF(G2447&lt;31,'General Basis'!$B$42,IF(G2447&lt;36,'General Basis'!$B$43,IF(G2447&lt;41,'General Basis'!$B$44,IF(G2447&lt;46,'General Basis'!$B$45,IF(G2447&lt;51,'General Basis'!$B$46,IF(G2447&lt;56,'General Basis'!$B$47,IF(G2447&lt;60,'General Basis'!$B$48,IF(G2447&lt;65,'General Basis'!$B$49,'General Basis'!$B$50)))))))))))))</f>
        <v/>
      </c>
      <c r="BI2447" s="744" t="str">
        <f t="shared" si="863"/>
        <v/>
      </c>
      <c r="BJ2447" s="747" t="str">
        <f t="shared" si="870"/>
        <v/>
      </c>
      <c r="BK2447" s="498" t="str">
        <f t="shared" si="864"/>
        <v/>
      </c>
      <c r="BL2447" s="498" t="str">
        <f t="shared" si="865"/>
        <v/>
      </c>
    </row>
    <row r="2448" spans="1:64" x14ac:dyDescent="0.25">
      <c r="A2448" s="762">
        <f t="shared" si="866"/>
        <v>2443</v>
      </c>
      <c r="B2448" s="229"/>
      <c r="C2448" s="223"/>
      <c r="D2448" s="224"/>
      <c r="E2448" s="225"/>
      <c r="F2448" s="1036" t="str">
        <f t="shared" ref="F2448:F2511" si="872">IF(C2448="","",IF($B2448="","",((YEAR($F$3)-YEAR($B2448))+(MONTH($F$3)-MONTH($B2448))/12+(DAY($F$3)-DAY($B2448))/(DATE(YEAR($F$3),12,31)-DATE(YEAR($F$3),1,1)+1))))</f>
        <v/>
      </c>
      <c r="G2448" s="1037" t="str">
        <f t="shared" si="867"/>
        <v/>
      </c>
      <c r="H2448" s="225"/>
      <c r="I2448" s="1013"/>
      <c r="J2448" s="1013"/>
      <c r="K2448" s="1028"/>
      <c r="L2448" s="1035" t="str">
        <f t="shared" si="871"/>
        <v/>
      </c>
      <c r="S2448" s="498"/>
      <c r="AJ2448" s="498"/>
      <c r="AM2448" s="498">
        <f t="shared" si="852"/>
        <v>0</v>
      </c>
      <c r="AN2448" s="498">
        <f t="shared" si="853"/>
        <v>0</v>
      </c>
      <c r="AO2448" s="498">
        <f t="shared" si="854"/>
        <v>0</v>
      </c>
      <c r="AP2448" s="498">
        <f t="shared" si="851"/>
        <v>0</v>
      </c>
      <c r="AQ2448" s="498">
        <f t="shared" si="868"/>
        <v>0</v>
      </c>
      <c r="AU2448" s="498">
        <f t="shared" si="855"/>
        <v>0</v>
      </c>
      <c r="AV2448" s="498">
        <f t="shared" si="856"/>
        <v>0</v>
      </c>
      <c r="AW2448" s="498">
        <f t="shared" si="857"/>
        <v>0</v>
      </c>
      <c r="AX2448" s="498">
        <f t="shared" si="858"/>
        <v>0</v>
      </c>
      <c r="AY2448" s="498">
        <f t="shared" si="859"/>
        <v>0</v>
      </c>
      <c r="BB2448" s="498" t="str">
        <f t="shared" si="860"/>
        <v/>
      </c>
      <c r="BC2448" s="743" t="str">
        <f t="shared" si="861"/>
        <v/>
      </c>
      <c r="BD2448" s="743" t="str">
        <f t="shared" si="862"/>
        <v/>
      </c>
      <c r="BE2448" s="743" t="str">
        <f>IF(D2448="","",VLOOKUP(D2448,'General Basis'!$J$39:$K$46,2,0))</f>
        <v/>
      </c>
      <c r="BF2448" s="744" t="str">
        <f>IF(D2448="","",VLOOKUP(D2448,'General Basis'!$J$39:$L$46,3,0))</f>
        <v/>
      </c>
      <c r="BG2448" s="744" t="str">
        <f t="shared" si="869"/>
        <v/>
      </c>
      <c r="BH2448" s="744" t="str">
        <f>IF(G2448="","",IF(BF2448="Abu Dhabi",IF(G2448&lt;18,'General Basis'!$C$39,IF(G2448&lt;41,'General Basis'!$C$40,IF(G2448&lt;60,'General Basis'!$C$41,IF(G2448&lt;65,'General Basis'!$C$42,'General Basis'!$C$43)))),IF(G2448&lt;11,'General Basis'!$B$39,IF(G2448&lt;18,'General Basis'!$B$40,IF(G2448&lt;26,'General Basis'!$B$41,IF(G2448&lt;31,'General Basis'!$B$42,IF(G2448&lt;36,'General Basis'!$B$43,IF(G2448&lt;41,'General Basis'!$B$44,IF(G2448&lt;46,'General Basis'!$B$45,IF(G2448&lt;51,'General Basis'!$B$46,IF(G2448&lt;56,'General Basis'!$B$47,IF(G2448&lt;60,'General Basis'!$B$48,IF(G2448&lt;65,'General Basis'!$B$49,'General Basis'!$B$50)))))))))))))</f>
        <v/>
      </c>
      <c r="BI2448" s="744" t="str">
        <f t="shared" si="863"/>
        <v/>
      </c>
      <c r="BJ2448" s="747" t="str">
        <f t="shared" si="870"/>
        <v/>
      </c>
      <c r="BK2448" s="498" t="str">
        <f t="shared" si="864"/>
        <v/>
      </c>
      <c r="BL2448" s="498" t="str">
        <f t="shared" si="865"/>
        <v/>
      </c>
    </row>
    <row r="2449" spans="1:64" x14ac:dyDescent="0.25">
      <c r="A2449" s="762">
        <f t="shared" si="866"/>
        <v>2444</v>
      </c>
      <c r="B2449" s="229"/>
      <c r="C2449" s="223"/>
      <c r="D2449" s="224"/>
      <c r="E2449" s="225"/>
      <c r="F2449" s="1036" t="str">
        <f t="shared" si="872"/>
        <v/>
      </c>
      <c r="G2449" s="1037" t="str">
        <f t="shared" si="867"/>
        <v/>
      </c>
      <c r="H2449" s="225"/>
      <c r="I2449" s="1013"/>
      <c r="J2449" s="1013"/>
      <c r="K2449" s="1028"/>
      <c r="L2449" s="1035" t="str">
        <f t="shared" si="871"/>
        <v/>
      </c>
      <c r="S2449" s="498"/>
      <c r="AJ2449" s="498"/>
      <c r="AM2449" s="498">
        <f t="shared" si="852"/>
        <v>0</v>
      </c>
      <c r="AN2449" s="498">
        <f t="shared" si="853"/>
        <v>0</v>
      </c>
      <c r="AO2449" s="498">
        <f t="shared" si="854"/>
        <v>0</v>
      </c>
      <c r="AP2449" s="498">
        <f t="shared" si="851"/>
        <v>0</v>
      </c>
      <c r="AQ2449" s="498">
        <f t="shared" si="868"/>
        <v>0</v>
      </c>
      <c r="AU2449" s="498">
        <f t="shared" si="855"/>
        <v>0</v>
      </c>
      <c r="AV2449" s="498">
        <f t="shared" si="856"/>
        <v>0</v>
      </c>
      <c r="AW2449" s="498">
        <f t="shared" si="857"/>
        <v>0</v>
      </c>
      <c r="AX2449" s="498">
        <f t="shared" si="858"/>
        <v>0</v>
      </c>
      <c r="AY2449" s="498">
        <f t="shared" si="859"/>
        <v>0</v>
      </c>
      <c r="BB2449" s="498" t="str">
        <f t="shared" si="860"/>
        <v/>
      </c>
      <c r="BC2449" s="743" t="str">
        <f t="shared" si="861"/>
        <v/>
      </c>
      <c r="BD2449" s="743" t="str">
        <f t="shared" si="862"/>
        <v/>
      </c>
      <c r="BE2449" s="743" t="str">
        <f>IF(D2449="","",VLOOKUP(D2449,'General Basis'!$J$39:$K$46,2,0))</f>
        <v/>
      </c>
      <c r="BF2449" s="744" t="str">
        <f>IF(D2449="","",VLOOKUP(D2449,'General Basis'!$J$39:$L$46,3,0))</f>
        <v/>
      </c>
      <c r="BG2449" s="744" t="str">
        <f t="shared" si="869"/>
        <v/>
      </c>
      <c r="BH2449" s="744" t="str">
        <f>IF(G2449="","",IF(BF2449="Abu Dhabi",IF(G2449&lt;18,'General Basis'!$C$39,IF(G2449&lt;41,'General Basis'!$C$40,IF(G2449&lt;60,'General Basis'!$C$41,IF(G2449&lt;65,'General Basis'!$C$42,'General Basis'!$C$43)))),IF(G2449&lt;11,'General Basis'!$B$39,IF(G2449&lt;18,'General Basis'!$B$40,IF(G2449&lt;26,'General Basis'!$B$41,IF(G2449&lt;31,'General Basis'!$B$42,IF(G2449&lt;36,'General Basis'!$B$43,IF(G2449&lt;41,'General Basis'!$B$44,IF(G2449&lt;46,'General Basis'!$B$45,IF(G2449&lt;51,'General Basis'!$B$46,IF(G2449&lt;56,'General Basis'!$B$47,IF(G2449&lt;60,'General Basis'!$B$48,IF(G2449&lt;65,'General Basis'!$B$49,'General Basis'!$B$50)))))))))))))</f>
        <v/>
      </c>
      <c r="BI2449" s="744" t="str">
        <f t="shared" si="863"/>
        <v/>
      </c>
      <c r="BJ2449" s="747" t="str">
        <f t="shared" si="870"/>
        <v/>
      </c>
      <c r="BK2449" s="498" t="str">
        <f t="shared" si="864"/>
        <v/>
      </c>
      <c r="BL2449" s="498" t="str">
        <f t="shared" si="865"/>
        <v/>
      </c>
    </row>
    <row r="2450" spans="1:64" x14ac:dyDescent="0.25">
      <c r="A2450" s="762">
        <f t="shared" si="866"/>
        <v>2445</v>
      </c>
      <c r="B2450" s="229"/>
      <c r="C2450" s="223"/>
      <c r="D2450" s="224"/>
      <c r="E2450" s="225"/>
      <c r="F2450" s="1036" t="str">
        <f t="shared" si="872"/>
        <v/>
      </c>
      <c r="G2450" s="1037" t="str">
        <f t="shared" si="867"/>
        <v/>
      </c>
      <c r="H2450" s="225"/>
      <c r="I2450" s="1013"/>
      <c r="J2450" s="1013"/>
      <c r="K2450" s="1028"/>
      <c r="L2450" s="1035" t="str">
        <f t="shared" si="871"/>
        <v/>
      </c>
      <c r="S2450" s="498"/>
      <c r="AJ2450" s="498"/>
      <c r="AM2450" s="498">
        <f t="shared" si="852"/>
        <v>0</v>
      </c>
      <c r="AN2450" s="498">
        <f t="shared" si="853"/>
        <v>0</v>
      </c>
      <c r="AO2450" s="498">
        <f t="shared" si="854"/>
        <v>0</v>
      </c>
      <c r="AP2450" s="498">
        <f t="shared" si="851"/>
        <v>0</v>
      </c>
      <c r="AQ2450" s="498">
        <f t="shared" si="868"/>
        <v>0</v>
      </c>
      <c r="AU2450" s="498">
        <f t="shared" si="855"/>
        <v>0</v>
      </c>
      <c r="AV2450" s="498">
        <f t="shared" si="856"/>
        <v>0</v>
      </c>
      <c r="AW2450" s="498">
        <f t="shared" si="857"/>
        <v>0</v>
      </c>
      <c r="AX2450" s="498">
        <f t="shared" si="858"/>
        <v>0</v>
      </c>
      <c r="AY2450" s="498">
        <f t="shared" si="859"/>
        <v>0</v>
      </c>
      <c r="BB2450" s="498" t="str">
        <f t="shared" si="860"/>
        <v/>
      </c>
      <c r="BC2450" s="743" t="str">
        <f t="shared" si="861"/>
        <v/>
      </c>
      <c r="BD2450" s="743" t="str">
        <f t="shared" si="862"/>
        <v/>
      </c>
      <c r="BE2450" s="743" t="str">
        <f>IF(D2450="","",VLOOKUP(D2450,'General Basis'!$J$39:$K$46,2,0))</f>
        <v/>
      </c>
      <c r="BF2450" s="744" t="str">
        <f>IF(D2450="","",VLOOKUP(D2450,'General Basis'!$J$39:$L$46,3,0))</f>
        <v/>
      </c>
      <c r="BG2450" s="744" t="str">
        <f t="shared" si="869"/>
        <v/>
      </c>
      <c r="BH2450" s="744" t="str">
        <f>IF(G2450="","",IF(BF2450="Abu Dhabi",IF(G2450&lt;18,'General Basis'!$C$39,IF(G2450&lt;41,'General Basis'!$C$40,IF(G2450&lt;60,'General Basis'!$C$41,IF(G2450&lt;65,'General Basis'!$C$42,'General Basis'!$C$43)))),IF(G2450&lt;11,'General Basis'!$B$39,IF(G2450&lt;18,'General Basis'!$B$40,IF(G2450&lt;26,'General Basis'!$B$41,IF(G2450&lt;31,'General Basis'!$B$42,IF(G2450&lt;36,'General Basis'!$B$43,IF(G2450&lt;41,'General Basis'!$B$44,IF(G2450&lt;46,'General Basis'!$B$45,IF(G2450&lt;51,'General Basis'!$B$46,IF(G2450&lt;56,'General Basis'!$B$47,IF(G2450&lt;60,'General Basis'!$B$48,IF(G2450&lt;65,'General Basis'!$B$49,'General Basis'!$B$50)))))))))))))</f>
        <v/>
      </c>
      <c r="BI2450" s="744" t="str">
        <f t="shared" si="863"/>
        <v/>
      </c>
      <c r="BJ2450" s="747" t="str">
        <f t="shared" si="870"/>
        <v/>
      </c>
      <c r="BK2450" s="498" t="str">
        <f t="shared" si="864"/>
        <v/>
      </c>
      <c r="BL2450" s="498" t="str">
        <f t="shared" si="865"/>
        <v/>
      </c>
    </row>
    <row r="2451" spans="1:64" x14ac:dyDescent="0.25">
      <c r="A2451" s="762">
        <f t="shared" si="866"/>
        <v>2446</v>
      </c>
      <c r="B2451" s="229"/>
      <c r="C2451" s="223"/>
      <c r="D2451" s="224"/>
      <c r="E2451" s="225"/>
      <c r="F2451" s="1036" t="str">
        <f t="shared" si="872"/>
        <v/>
      </c>
      <c r="G2451" s="1037" t="str">
        <f t="shared" si="867"/>
        <v/>
      </c>
      <c r="H2451" s="225"/>
      <c r="I2451" s="1013"/>
      <c r="J2451" s="1013"/>
      <c r="K2451" s="1028"/>
      <c r="L2451" s="1035" t="str">
        <f t="shared" si="871"/>
        <v/>
      </c>
      <c r="S2451" s="498"/>
      <c r="AJ2451" s="498"/>
      <c r="AM2451" s="498">
        <f t="shared" si="852"/>
        <v>0</v>
      </c>
      <c r="AN2451" s="498">
        <f t="shared" si="853"/>
        <v>0</v>
      </c>
      <c r="AO2451" s="498">
        <f t="shared" si="854"/>
        <v>0</v>
      </c>
      <c r="AP2451" s="498">
        <f t="shared" ref="AP2451:AP2514" si="873">IF(ISBLANK($B2451),0,IF(OR($C2451="M",$C2451="F"),0,1))</f>
        <v>0</v>
      </c>
      <c r="AQ2451" s="498">
        <f t="shared" si="868"/>
        <v>0</v>
      </c>
      <c r="AU2451" s="498">
        <f t="shared" si="855"/>
        <v>0</v>
      </c>
      <c r="AV2451" s="498">
        <f t="shared" si="856"/>
        <v>0</v>
      </c>
      <c r="AW2451" s="498">
        <f t="shared" si="857"/>
        <v>0</v>
      </c>
      <c r="AX2451" s="498">
        <f t="shared" si="858"/>
        <v>0</v>
      </c>
      <c r="AY2451" s="498">
        <f t="shared" si="859"/>
        <v>0</v>
      </c>
      <c r="BB2451" s="498" t="str">
        <f t="shared" si="860"/>
        <v/>
      </c>
      <c r="BC2451" s="743" t="str">
        <f t="shared" si="861"/>
        <v/>
      </c>
      <c r="BD2451" s="743" t="str">
        <f t="shared" si="862"/>
        <v/>
      </c>
      <c r="BE2451" s="743" t="str">
        <f>IF(D2451="","",VLOOKUP(D2451,'General Basis'!$J$39:$K$46,2,0))</f>
        <v/>
      </c>
      <c r="BF2451" s="744" t="str">
        <f>IF(D2451="","",VLOOKUP(D2451,'General Basis'!$J$39:$L$46,3,0))</f>
        <v/>
      </c>
      <c r="BG2451" s="744" t="str">
        <f t="shared" si="869"/>
        <v/>
      </c>
      <c r="BH2451" s="744" t="str">
        <f>IF(G2451="","",IF(BF2451="Abu Dhabi",IF(G2451&lt;18,'General Basis'!$C$39,IF(G2451&lt;41,'General Basis'!$C$40,IF(G2451&lt;60,'General Basis'!$C$41,IF(G2451&lt;65,'General Basis'!$C$42,'General Basis'!$C$43)))),IF(G2451&lt;11,'General Basis'!$B$39,IF(G2451&lt;18,'General Basis'!$B$40,IF(G2451&lt;26,'General Basis'!$B$41,IF(G2451&lt;31,'General Basis'!$B$42,IF(G2451&lt;36,'General Basis'!$B$43,IF(G2451&lt;41,'General Basis'!$B$44,IF(G2451&lt;46,'General Basis'!$B$45,IF(G2451&lt;51,'General Basis'!$B$46,IF(G2451&lt;56,'General Basis'!$B$47,IF(G2451&lt;60,'General Basis'!$B$48,IF(G2451&lt;65,'General Basis'!$B$49,'General Basis'!$B$50)))))))))))))</f>
        <v/>
      </c>
      <c r="BI2451" s="744" t="str">
        <f t="shared" si="863"/>
        <v/>
      </c>
      <c r="BJ2451" s="747" t="str">
        <f t="shared" si="870"/>
        <v/>
      </c>
      <c r="BK2451" s="498" t="str">
        <f t="shared" si="864"/>
        <v/>
      </c>
      <c r="BL2451" s="498" t="str">
        <f t="shared" si="865"/>
        <v/>
      </c>
    </row>
    <row r="2452" spans="1:64" x14ac:dyDescent="0.25">
      <c r="A2452" s="762">
        <f t="shared" si="866"/>
        <v>2447</v>
      </c>
      <c r="B2452" s="229"/>
      <c r="C2452" s="223"/>
      <c r="D2452" s="224"/>
      <c r="E2452" s="225"/>
      <c r="F2452" s="1036" t="str">
        <f t="shared" si="872"/>
        <v/>
      </c>
      <c r="G2452" s="1037" t="str">
        <f t="shared" si="867"/>
        <v/>
      </c>
      <c r="H2452" s="225"/>
      <c r="I2452" s="1013"/>
      <c r="J2452" s="1013"/>
      <c r="K2452" s="1028"/>
      <c r="L2452" s="1035" t="str">
        <f t="shared" si="871"/>
        <v/>
      </c>
      <c r="S2452" s="498"/>
      <c r="AJ2452" s="498"/>
      <c r="AM2452" s="498">
        <f t="shared" si="852"/>
        <v>0</v>
      </c>
      <c r="AN2452" s="498">
        <f t="shared" si="853"/>
        <v>0</v>
      </c>
      <c r="AO2452" s="498">
        <f t="shared" si="854"/>
        <v>0</v>
      </c>
      <c r="AP2452" s="498">
        <f t="shared" si="873"/>
        <v>0</v>
      </c>
      <c r="AQ2452" s="498">
        <f t="shared" si="868"/>
        <v>0</v>
      </c>
      <c r="AU2452" s="498">
        <f t="shared" si="855"/>
        <v>0</v>
      </c>
      <c r="AV2452" s="498">
        <f t="shared" si="856"/>
        <v>0</v>
      </c>
      <c r="AW2452" s="498">
        <f t="shared" si="857"/>
        <v>0</v>
      </c>
      <c r="AX2452" s="498">
        <f t="shared" si="858"/>
        <v>0</v>
      </c>
      <c r="AY2452" s="498">
        <f t="shared" si="859"/>
        <v>0</v>
      </c>
      <c r="BB2452" s="498" t="str">
        <f t="shared" si="860"/>
        <v/>
      </c>
      <c r="BC2452" s="743" t="str">
        <f t="shared" si="861"/>
        <v/>
      </c>
      <c r="BD2452" s="743" t="str">
        <f t="shared" si="862"/>
        <v/>
      </c>
      <c r="BE2452" s="743" t="str">
        <f>IF(D2452="","",VLOOKUP(D2452,'General Basis'!$J$39:$K$46,2,0))</f>
        <v/>
      </c>
      <c r="BF2452" s="744" t="str">
        <f>IF(D2452="","",VLOOKUP(D2452,'General Basis'!$J$39:$L$46,3,0))</f>
        <v/>
      </c>
      <c r="BG2452" s="744" t="str">
        <f t="shared" si="869"/>
        <v/>
      </c>
      <c r="BH2452" s="744" t="str">
        <f>IF(G2452="","",IF(BF2452="Abu Dhabi",IF(G2452&lt;18,'General Basis'!$C$39,IF(G2452&lt;41,'General Basis'!$C$40,IF(G2452&lt;60,'General Basis'!$C$41,IF(G2452&lt;65,'General Basis'!$C$42,'General Basis'!$C$43)))),IF(G2452&lt;11,'General Basis'!$B$39,IF(G2452&lt;18,'General Basis'!$B$40,IF(G2452&lt;26,'General Basis'!$B$41,IF(G2452&lt;31,'General Basis'!$B$42,IF(G2452&lt;36,'General Basis'!$B$43,IF(G2452&lt;41,'General Basis'!$B$44,IF(G2452&lt;46,'General Basis'!$B$45,IF(G2452&lt;51,'General Basis'!$B$46,IF(G2452&lt;56,'General Basis'!$B$47,IF(G2452&lt;60,'General Basis'!$B$48,IF(G2452&lt;65,'General Basis'!$B$49,'General Basis'!$B$50)))))))))))))</f>
        <v/>
      </c>
      <c r="BI2452" s="744" t="str">
        <f t="shared" si="863"/>
        <v/>
      </c>
      <c r="BJ2452" s="747" t="str">
        <f t="shared" si="870"/>
        <v/>
      </c>
      <c r="BK2452" s="498" t="str">
        <f t="shared" si="864"/>
        <v/>
      </c>
      <c r="BL2452" s="498" t="str">
        <f t="shared" si="865"/>
        <v/>
      </c>
    </row>
    <row r="2453" spans="1:64" x14ac:dyDescent="0.25">
      <c r="A2453" s="762">
        <f t="shared" si="866"/>
        <v>2448</v>
      </c>
      <c r="B2453" s="229"/>
      <c r="C2453" s="223"/>
      <c r="D2453" s="224"/>
      <c r="E2453" s="225"/>
      <c r="F2453" s="1036" t="str">
        <f t="shared" si="872"/>
        <v/>
      </c>
      <c r="G2453" s="1037" t="str">
        <f t="shared" si="867"/>
        <v/>
      </c>
      <c r="H2453" s="225"/>
      <c r="I2453" s="1013"/>
      <c r="J2453" s="1013"/>
      <c r="K2453" s="1028"/>
      <c r="L2453" s="1035" t="str">
        <f t="shared" si="871"/>
        <v/>
      </c>
      <c r="S2453" s="498"/>
      <c r="AJ2453" s="498"/>
      <c r="AM2453" s="498">
        <f t="shared" si="852"/>
        <v>0</v>
      </c>
      <c r="AN2453" s="498">
        <f t="shared" si="853"/>
        <v>0</v>
      </c>
      <c r="AO2453" s="498">
        <f t="shared" si="854"/>
        <v>0</v>
      </c>
      <c r="AP2453" s="498">
        <f t="shared" si="873"/>
        <v>0</v>
      </c>
      <c r="AQ2453" s="498">
        <f t="shared" si="868"/>
        <v>0</v>
      </c>
      <c r="AU2453" s="498">
        <f t="shared" si="855"/>
        <v>0</v>
      </c>
      <c r="AV2453" s="498">
        <f t="shared" si="856"/>
        <v>0</v>
      </c>
      <c r="AW2453" s="498">
        <f t="shared" si="857"/>
        <v>0</v>
      </c>
      <c r="AX2453" s="498">
        <f t="shared" si="858"/>
        <v>0</v>
      </c>
      <c r="AY2453" s="498">
        <f t="shared" si="859"/>
        <v>0</v>
      </c>
      <c r="BB2453" s="498" t="str">
        <f t="shared" si="860"/>
        <v/>
      </c>
      <c r="BC2453" s="743" t="str">
        <f t="shared" si="861"/>
        <v/>
      </c>
      <c r="BD2453" s="743" t="str">
        <f t="shared" si="862"/>
        <v/>
      </c>
      <c r="BE2453" s="743" t="str">
        <f>IF(D2453="","",VLOOKUP(D2453,'General Basis'!$J$39:$K$46,2,0))</f>
        <v/>
      </c>
      <c r="BF2453" s="744" t="str">
        <f>IF(D2453="","",VLOOKUP(D2453,'General Basis'!$J$39:$L$46,3,0))</f>
        <v/>
      </c>
      <c r="BG2453" s="744" t="str">
        <f t="shared" si="869"/>
        <v/>
      </c>
      <c r="BH2453" s="744" t="str">
        <f>IF(G2453="","",IF(BF2453="Abu Dhabi",IF(G2453&lt;18,'General Basis'!$C$39,IF(G2453&lt;41,'General Basis'!$C$40,IF(G2453&lt;60,'General Basis'!$C$41,IF(G2453&lt;65,'General Basis'!$C$42,'General Basis'!$C$43)))),IF(G2453&lt;11,'General Basis'!$B$39,IF(G2453&lt;18,'General Basis'!$B$40,IF(G2453&lt;26,'General Basis'!$B$41,IF(G2453&lt;31,'General Basis'!$B$42,IF(G2453&lt;36,'General Basis'!$B$43,IF(G2453&lt;41,'General Basis'!$B$44,IF(G2453&lt;46,'General Basis'!$B$45,IF(G2453&lt;51,'General Basis'!$B$46,IF(G2453&lt;56,'General Basis'!$B$47,IF(G2453&lt;60,'General Basis'!$B$48,IF(G2453&lt;65,'General Basis'!$B$49,'General Basis'!$B$50)))))))))))))</f>
        <v/>
      </c>
      <c r="BI2453" s="744" t="str">
        <f t="shared" si="863"/>
        <v/>
      </c>
      <c r="BJ2453" s="747" t="str">
        <f t="shared" si="870"/>
        <v/>
      </c>
      <c r="BK2453" s="498" t="str">
        <f t="shared" si="864"/>
        <v/>
      </c>
      <c r="BL2453" s="498" t="str">
        <f t="shared" si="865"/>
        <v/>
      </c>
    </row>
    <row r="2454" spans="1:64" x14ac:dyDescent="0.25">
      <c r="A2454" s="762">
        <f t="shared" si="866"/>
        <v>2449</v>
      </c>
      <c r="B2454" s="229"/>
      <c r="C2454" s="223"/>
      <c r="D2454" s="224"/>
      <c r="E2454" s="225"/>
      <c r="F2454" s="1036" t="str">
        <f t="shared" si="872"/>
        <v/>
      </c>
      <c r="G2454" s="1037" t="str">
        <f t="shared" si="867"/>
        <v/>
      </c>
      <c r="H2454" s="225"/>
      <c r="I2454" s="1013"/>
      <c r="J2454" s="1013"/>
      <c r="K2454" s="1028"/>
      <c r="L2454" s="1035" t="str">
        <f t="shared" si="871"/>
        <v/>
      </c>
      <c r="S2454" s="498"/>
      <c r="AJ2454" s="498"/>
      <c r="AM2454" s="498">
        <f t="shared" si="852"/>
        <v>0</v>
      </c>
      <c r="AN2454" s="498">
        <f t="shared" si="853"/>
        <v>0</v>
      </c>
      <c r="AO2454" s="498">
        <f t="shared" si="854"/>
        <v>0</v>
      </c>
      <c r="AP2454" s="498">
        <f t="shared" si="873"/>
        <v>0</v>
      </c>
      <c r="AQ2454" s="498">
        <f t="shared" si="868"/>
        <v>0</v>
      </c>
      <c r="AU2454" s="498">
        <f t="shared" si="855"/>
        <v>0</v>
      </c>
      <c r="AV2454" s="498">
        <f t="shared" si="856"/>
        <v>0</v>
      </c>
      <c r="AW2454" s="498">
        <f t="shared" si="857"/>
        <v>0</v>
      </c>
      <c r="AX2454" s="498">
        <f t="shared" si="858"/>
        <v>0</v>
      </c>
      <c r="AY2454" s="498">
        <f t="shared" si="859"/>
        <v>0</v>
      </c>
      <c r="BB2454" s="498" t="str">
        <f t="shared" si="860"/>
        <v/>
      </c>
      <c r="BC2454" s="743" t="str">
        <f t="shared" si="861"/>
        <v/>
      </c>
      <c r="BD2454" s="743" t="str">
        <f t="shared" si="862"/>
        <v/>
      </c>
      <c r="BE2454" s="743" t="str">
        <f>IF(D2454="","",VLOOKUP(D2454,'General Basis'!$J$39:$K$46,2,0))</f>
        <v/>
      </c>
      <c r="BF2454" s="744" t="str">
        <f>IF(D2454="","",VLOOKUP(D2454,'General Basis'!$J$39:$L$46,3,0))</f>
        <v/>
      </c>
      <c r="BG2454" s="744" t="str">
        <f t="shared" si="869"/>
        <v/>
      </c>
      <c r="BH2454" s="744" t="str">
        <f>IF(G2454="","",IF(BF2454="Abu Dhabi",IF(G2454&lt;18,'General Basis'!$C$39,IF(G2454&lt;41,'General Basis'!$C$40,IF(G2454&lt;60,'General Basis'!$C$41,IF(G2454&lt;65,'General Basis'!$C$42,'General Basis'!$C$43)))),IF(G2454&lt;11,'General Basis'!$B$39,IF(G2454&lt;18,'General Basis'!$B$40,IF(G2454&lt;26,'General Basis'!$B$41,IF(G2454&lt;31,'General Basis'!$B$42,IF(G2454&lt;36,'General Basis'!$B$43,IF(G2454&lt;41,'General Basis'!$B$44,IF(G2454&lt;46,'General Basis'!$B$45,IF(G2454&lt;51,'General Basis'!$B$46,IF(G2454&lt;56,'General Basis'!$B$47,IF(G2454&lt;60,'General Basis'!$B$48,IF(G2454&lt;65,'General Basis'!$B$49,'General Basis'!$B$50)))))))))))))</f>
        <v/>
      </c>
      <c r="BI2454" s="744" t="str">
        <f t="shared" si="863"/>
        <v/>
      </c>
      <c r="BJ2454" s="747" t="str">
        <f t="shared" si="870"/>
        <v/>
      </c>
      <c r="BK2454" s="498" t="str">
        <f t="shared" si="864"/>
        <v/>
      </c>
      <c r="BL2454" s="498" t="str">
        <f t="shared" si="865"/>
        <v/>
      </c>
    </row>
    <row r="2455" spans="1:64" x14ac:dyDescent="0.25">
      <c r="A2455" s="762">
        <f t="shared" si="866"/>
        <v>2450</v>
      </c>
      <c r="B2455" s="229"/>
      <c r="C2455" s="223"/>
      <c r="D2455" s="224"/>
      <c r="E2455" s="225"/>
      <c r="F2455" s="1036" t="str">
        <f t="shared" si="872"/>
        <v/>
      </c>
      <c r="G2455" s="1037" t="str">
        <f t="shared" si="867"/>
        <v/>
      </c>
      <c r="H2455" s="225"/>
      <c r="I2455" s="1013"/>
      <c r="J2455" s="1013"/>
      <c r="K2455" s="1028"/>
      <c r="L2455" s="1035" t="str">
        <f t="shared" si="871"/>
        <v/>
      </c>
      <c r="S2455" s="498"/>
      <c r="AJ2455" s="498"/>
      <c r="AM2455" s="498">
        <f t="shared" si="852"/>
        <v>0</v>
      </c>
      <c r="AN2455" s="498">
        <f t="shared" si="853"/>
        <v>0</v>
      </c>
      <c r="AO2455" s="498">
        <f t="shared" si="854"/>
        <v>0</v>
      </c>
      <c r="AP2455" s="498">
        <f t="shared" si="873"/>
        <v>0</v>
      </c>
      <c r="AQ2455" s="498">
        <f t="shared" si="868"/>
        <v>0</v>
      </c>
      <c r="AU2455" s="498">
        <f t="shared" si="855"/>
        <v>0</v>
      </c>
      <c r="AV2455" s="498">
        <f t="shared" si="856"/>
        <v>0</v>
      </c>
      <c r="AW2455" s="498">
        <f t="shared" si="857"/>
        <v>0</v>
      </c>
      <c r="AX2455" s="498">
        <f t="shared" si="858"/>
        <v>0</v>
      </c>
      <c r="AY2455" s="498">
        <f t="shared" si="859"/>
        <v>0</v>
      </c>
      <c r="BB2455" s="498" t="str">
        <f t="shared" si="860"/>
        <v/>
      </c>
      <c r="BC2455" s="743" t="str">
        <f t="shared" si="861"/>
        <v/>
      </c>
      <c r="BD2455" s="743" t="str">
        <f t="shared" si="862"/>
        <v/>
      </c>
      <c r="BE2455" s="743" t="str">
        <f>IF(D2455="","",VLOOKUP(D2455,'General Basis'!$J$39:$K$46,2,0))</f>
        <v/>
      </c>
      <c r="BF2455" s="744" t="str">
        <f>IF(D2455="","",VLOOKUP(D2455,'General Basis'!$J$39:$L$46,3,0))</f>
        <v/>
      </c>
      <c r="BG2455" s="744" t="str">
        <f t="shared" si="869"/>
        <v/>
      </c>
      <c r="BH2455" s="744" t="str">
        <f>IF(G2455="","",IF(BF2455="Abu Dhabi",IF(G2455&lt;18,'General Basis'!$C$39,IF(G2455&lt;41,'General Basis'!$C$40,IF(G2455&lt;60,'General Basis'!$C$41,IF(G2455&lt;65,'General Basis'!$C$42,'General Basis'!$C$43)))),IF(G2455&lt;11,'General Basis'!$B$39,IF(G2455&lt;18,'General Basis'!$B$40,IF(G2455&lt;26,'General Basis'!$B$41,IF(G2455&lt;31,'General Basis'!$B$42,IF(G2455&lt;36,'General Basis'!$B$43,IF(G2455&lt;41,'General Basis'!$B$44,IF(G2455&lt;46,'General Basis'!$B$45,IF(G2455&lt;51,'General Basis'!$B$46,IF(G2455&lt;56,'General Basis'!$B$47,IF(G2455&lt;60,'General Basis'!$B$48,IF(G2455&lt;65,'General Basis'!$B$49,'General Basis'!$B$50)))))))))))))</f>
        <v/>
      </c>
      <c r="BI2455" s="744" t="str">
        <f t="shared" si="863"/>
        <v/>
      </c>
      <c r="BJ2455" s="747" t="str">
        <f t="shared" si="870"/>
        <v/>
      </c>
      <c r="BK2455" s="498" t="str">
        <f t="shared" si="864"/>
        <v/>
      </c>
      <c r="BL2455" s="498" t="str">
        <f t="shared" si="865"/>
        <v/>
      </c>
    </row>
    <row r="2456" spans="1:64" x14ac:dyDescent="0.25">
      <c r="A2456" s="762">
        <f t="shared" si="866"/>
        <v>2451</v>
      </c>
      <c r="B2456" s="229"/>
      <c r="C2456" s="223"/>
      <c r="D2456" s="224"/>
      <c r="E2456" s="225"/>
      <c r="F2456" s="1036" t="str">
        <f t="shared" si="872"/>
        <v/>
      </c>
      <c r="G2456" s="1037" t="str">
        <f t="shared" si="867"/>
        <v/>
      </c>
      <c r="H2456" s="225"/>
      <c r="I2456" s="1013"/>
      <c r="J2456" s="1013"/>
      <c r="K2456" s="1028"/>
      <c r="L2456" s="1035" t="str">
        <f t="shared" si="871"/>
        <v/>
      </c>
      <c r="S2456" s="498"/>
      <c r="AJ2456" s="498"/>
      <c r="AM2456" s="498">
        <f t="shared" si="852"/>
        <v>0</v>
      </c>
      <c r="AN2456" s="498">
        <f t="shared" si="853"/>
        <v>0</v>
      </c>
      <c r="AO2456" s="498">
        <f t="shared" si="854"/>
        <v>0</v>
      </c>
      <c r="AP2456" s="498">
        <f t="shared" si="873"/>
        <v>0</v>
      </c>
      <c r="AQ2456" s="498">
        <f t="shared" si="868"/>
        <v>0</v>
      </c>
      <c r="AU2456" s="498">
        <f t="shared" si="855"/>
        <v>0</v>
      </c>
      <c r="AV2456" s="498">
        <f t="shared" si="856"/>
        <v>0</v>
      </c>
      <c r="AW2456" s="498">
        <f t="shared" si="857"/>
        <v>0</v>
      </c>
      <c r="AX2456" s="498">
        <f t="shared" si="858"/>
        <v>0</v>
      </c>
      <c r="AY2456" s="498">
        <f t="shared" si="859"/>
        <v>0</v>
      </c>
      <c r="BB2456" s="498" t="str">
        <f t="shared" si="860"/>
        <v/>
      </c>
      <c r="BC2456" s="743" t="str">
        <f t="shared" si="861"/>
        <v/>
      </c>
      <c r="BD2456" s="743" t="str">
        <f t="shared" si="862"/>
        <v/>
      </c>
      <c r="BE2456" s="743" t="str">
        <f>IF(D2456="","",VLOOKUP(D2456,'General Basis'!$J$39:$K$46,2,0))</f>
        <v/>
      </c>
      <c r="BF2456" s="744" t="str">
        <f>IF(D2456="","",VLOOKUP(D2456,'General Basis'!$J$39:$L$46,3,0))</f>
        <v/>
      </c>
      <c r="BG2456" s="744" t="str">
        <f t="shared" si="869"/>
        <v/>
      </c>
      <c r="BH2456" s="744" t="str">
        <f>IF(G2456="","",IF(BF2456="Abu Dhabi",IF(G2456&lt;18,'General Basis'!$C$39,IF(G2456&lt;41,'General Basis'!$C$40,IF(G2456&lt;60,'General Basis'!$C$41,IF(G2456&lt;65,'General Basis'!$C$42,'General Basis'!$C$43)))),IF(G2456&lt;11,'General Basis'!$B$39,IF(G2456&lt;18,'General Basis'!$B$40,IF(G2456&lt;26,'General Basis'!$B$41,IF(G2456&lt;31,'General Basis'!$B$42,IF(G2456&lt;36,'General Basis'!$B$43,IF(G2456&lt;41,'General Basis'!$B$44,IF(G2456&lt;46,'General Basis'!$B$45,IF(G2456&lt;51,'General Basis'!$B$46,IF(G2456&lt;56,'General Basis'!$B$47,IF(G2456&lt;60,'General Basis'!$B$48,IF(G2456&lt;65,'General Basis'!$B$49,'General Basis'!$B$50)))))))))))))</f>
        <v/>
      </c>
      <c r="BI2456" s="744" t="str">
        <f t="shared" si="863"/>
        <v/>
      </c>
      <c r="BJ2456" s="747" t="str">
        <f t="shared" si="870"/>
        <v/>
      </c>
      <c r="BK2456" s="498" t="str">
        <f t="shared" si="864"/>
        <v/>
      </c>
      <c r="BL2456" s="498" t="str">
        <f t="shared" si="865"/>
        <v/>
      </c>
    </row>
    <row r="2457" spans="1:64" x14ac:dyDescent="0.25">
      <c r="A2457" s="762">
        <f t="shared" si="866"/>
        <v>2452</v>
      </c>
      <c r="B2457" s="229"/>
      <c r="C2457" s="223"/>
      <c r="D2457" s="224"/>
      <c r="E2457" s="225"/>
      <c r="F2457" s="1036" t="str">
        <f t="shared" si="872"/>
        <v/>
      </c>
      <c r="G2457" s="1037" t="str">
        <f t="shared" si="867"/>
        <v/>
      </c>
      <c r="H2457" s="225"/>
      <c r="I2457" s="1013"/>
      <c r="J2457" s="1013"/>
      <c r="K2457" s="1028"/>
      <c r="L2457" s="1035" t="str">
        <f t="shared" si="871"/>
        <v/>
      </c>
      <c r="S2457" s="498"/>
      <c r="AJ2457" s="498"/>
      <c r="AM2457" s="498">
        <f t="shared" si="852"/>
        <v>0</v>
      </c>
      <c r="AN2457" s="498">
        <f t="shared" si="853"/>
        <v>0</v>
      </c>
      <c r="AO2457" s="498">
        <f t="shared" si="854"/>
        <v>0</v>
      </c>
      <c r="AP2457" s="498">
        <f t="shared" si="873"/>
        <v>0</v>
      </c>
      <c r="AQ2457" s="498">
        <f t="shared" si="868"/>
        <v>0</v>
      </c>
      <c r="AU2457" s="498">
        <f t="shared" si="855"/>
        <v>0</v>
      </c>
      <c r="AV2457" s="498">
        <f t="shared" si="856"/>
        <v>0</v>
      </c>
      <c r="AW2457" s="498">
        <f t="shared" si="857"/>
        <v>0</v>
      </c>
      <c r="AX2457" s="498">
        <f t="shared" si="858"/>
        <v>0</v>
      </c>
      <c r="AY2457" s="498">
        <f t="shared" si="859"/>
        <v>0</v>
      </c>
      <c r="BB2457" s="498" t="str">
        <f t="shared" si="860"/>
        <v/>
      </c>
      <c r="BC2457" s="743" t="str">
        <f t="shared" si="861"/>
        <v/>
      </c>
      <c r="BD2457" s="743" t="str">
        <f t="shared" si="862"/>
        <v/>
      </c>
      <c r="BE2457" s="743" t="str">
        <f>IF(D2457="","",VLOOKUP(D2457,'General Basis'!$J$39:$K$46,2,0))</f>
        <v/>
      </c>
      <c r="BF2457" s="744" t="str">
        <f>IF(D2457="","",VLOOKUP(D2457,'General Basis'!$J$39:$L$46,3,0))</f>
        <v/>
      </c>
      <c r="BG2457" s="744" t="str">
        <f t="shared" si="869"/>
        <v/>
      </c>
      <c r="BH2457" s="744" t="str">
        <f>IF(G2457="","",IF(BF2457="Abu Dhabi",IF(G2457&lt;18,'General Basis'!$C$39,IF(G2457&lt;41,'General Basis'!$C$40,IF(G2457&lt;60,'General Basis'!$C$41,IF(G2457&lt;65,'General Basis'!$C$42,'General Basis'!$C$43)))),IF(G2457&lt;11,'General Basis'!$B$39,IF(G2457&lt;18,'General Basis'!$B$40,IF(G2457&lt;26,'General Basis'!$B$41,IF(G2457&lt;31,'General Basis'!$B$42,IF(G2457&lt;36,'General Basis'!$B$43,IF(G2457&lt;41,'General Basis'!$B$44,IF(G2457&lt;46,'General Basis'!$B$45,IF(G2457&lt;51,'General Basis'!$B$46,IF(G2457&lt;56,'General Basis'!$B$47,IF(G2457&lt;60,'General Basis'!$B$48,IF(G2457&lt;65,'General Basis'!$B$49,'General Basis'!$B$50)))))))))))))</f>
        <v/>
      </c>
      <c r="BI2457" s="744" t="str">
        <f t="shared" si="863"/>
        <v/>
      </c>
      <c r="BJ2457" s="747" t="str">
        <f t="shared" si="870"/>
        <v/>
      </c>
      <c r="BK2457" s="498" t="str">
        <f t="shared" si="864"/>
        <v/>
      </c>
      <c r="BL2457" s="498" t="str">
        <f t="shared" si="865"/>
        <v/>
      </c>
    </row>
    <row r="2458" spans="1:64" x14ac:dyDescent="0.25">
      <c r="A2458" s="762">
        <f t="shared" si="866"/>
        <v>2453</v>
      </c>
      <c r="B2458" s="229"/>
      <c r="C2458" s="223"/>
      <c r="D2458" s="224"/>
      <c r="E2458" s="225"/>
      <c r="F2458" s="1036" t="str">
        <f t="shared" si="872"/>
        <v/>
      </c>
      <c r="G2458" s="1037" t="str">
        <f t="shared" si="867"/>
        <v/>
      </c>
      <c r="H2458" s="225"/>
      <c r="I2458" s="1013"/>
      <c r="J2458" s="1013"/>
      <c r="K2458" s="1028"/>
      <c r="L2458" s="1035" t="str">
        <f t="shared" si="871"/>
        <v/>
      </c>
      <c r="S2458" s="498"/>
      <c r="AJ2458" s="498"/>
      <c r="AM2458" s="498">
        <f t="shared" si="852"/>
        <v>0</v>
      </c>
      <c r="AN2458" s="498">
        <f t="shared" si="853"/>
        <v>0</v>
      </c>
      <c r="AO2458" s="498">
        <f t="shared" si="854"/>
        <v>0</v>
      </c>
      <c r="AP2458" s="498">
        <f t="shared" si="873"/>
        <v>0</v>
      </c>
      <c r="AQ2458" s="498">
        <f t="shared" si="868"/>
        <v>0</v>
      </c>
      <c r="AU2458" s="498">
        <f t="shared" si="855"/>
        <v>0</v>
      </c>
      <c r="AV2458" s="498">
        <f t="shared" si="856"/>
        <v>0</v>
      </c>
      <c r="AW2458" s="498">
        <f t="shared" si="857"/>
        <v>0</v>
      </c>
      <c r="AX2458" s="498">
        <f t="shared" si="858"/>
        <v>0</v>
      </c>
      <c r="AY2458" s="498">
        <f t="shared" si="859"/>
        <v>0</v>
      </c>
      <c r="BB2458" s="498" t="str">
        <f t="shared" si="860"/>
        <v/>
      </c>
      <c r="BC2458" s="743" t="str">
        <f t="shared" si="861"/>
        <v/>
      </c>
      <c r="BD2458" s="743" t="str">
        <f t="shared" si="862"/>
        <v/>
      </c>
      <c r="BE2458" s="743" t="str">
        <f>IF(D2458="","",VLOOKUP(D2458,'General Basis'!$J$39:$K$46,2,0))</f>
        <v/>
      </c>
      <c r="BF2458" s="744" t="str">
        <f>IF(D2458="","",VLOOKUP(D2458,'General Basis'!$J$39:$L$46,3,0))</f>
        <v/>
      </c>
      <c r="BG2458" s="744" t="str">
        <f t="shared" si="869"/>
        <v/>
      </c>
      <c r="BH2458" s="744" t="str">
        <f>IF(G2458="","",IF(BF2458="Abu Dhabi",IF(G2458&lt;18,'General Basis'!$C$39,IF(G2458&lt;41,'General Basis'!$C$40,IF(G2458&lt;60,'General Basis'!$C$41,IF(G2458&lt;65,'General Basis'!$C$42,'General Basis'!$C$43)))),IF(G2458&lt;11,'General Basis'!$B$39,IF(G2458&lt;18,'General Basis'!$B$40,IF(G2458&lt;26,'General Basis'!$B$41,IF(G2458&lt;31,'General Basis'!$B$42,IF(G2458&lt;36,'General Basis'!$B$43,IF(G2458&lt;41,'General Basis'!$B$44,IF(G2458&lt;46,'General Basis'!$B$45,IF(G2458&lt;51,'General Basis'!$B$46,IF(G2458&lt;56,'General Basis'!$B$47,IF(G2458&lt;60,'General Basis'!$B$48,IF(G2458&lt;65,'General Basis'!$B$49,'General Basis'!$B$50)))))))))))))</f>
        <v/>
      </c>
      <c r="BI2458" s="744" t="str">
        <f t="shared" si="863"/>
        <v/>
      </c>
      <c r="BJ2458" s="747" t="str">
        <f t="shared" si="870"/>
        <v/>
      </c>
      <c r="BK2458" s="498" t="str">
        <f t="shared" si="864"/>
        <v/>
      </c>
      <c r="BL2458" s="498" t="str">
        <f t="shared" si="865"/>
        <v/>
      </c>
    </row>
    <row r="2459" spans="1:64" x14ac:dyDescent="0.25">
      <c r="A2459" s="762">
        <f t="shared" si="866"/>
        <v>2454</v>
      </c>
      <c r="B2459" s="229"/>
      <c r="C2459" s="223"/>
      <c r="D2459" s="224"/>
      <c r="E2459" s="225"/>
      <c r="F2459" s="1036" t="str">
        <f t="shared" si="872"/>
        <v/>
      </c>
      <c r="G2459" s="1037" t="str">
        <f t="shared" si="867"/>
        <v/>
      </c>
      <c r="H2459" s="225"/>
      <c r="I2459" s="1013"/>
      <c r="J2459" s="1013"/>
      <c r="K2459" s="1028"/>
      <c r="L2459" s="1035" t="str">
        <f t="shared" si="871"/>
        <v/>
      </c>
      <c r="S2459" s="498"/>
      <c r="AJ2459" s="498"/>
      <c r="AM2459" s="498">
        <f t="shared" si="852"/>
        <v>0</v>
      </c>
      <c r="AN2459" s="498">
        <f t="shared" si="853"/>
        <v>0</v>
      </c>
      <c r="AO2459" s="498">
        <f t="shared" si="854"/>
        <v>0</v>
      </c>
      <c r="AP2459" s="498">
        <f t="shared" si="873"/>
        <v>0</v>
      </c>
      <c r="AQ2459" s="498">
        <f t="shared" si="868"/>
        <v>0</v>
      </c>
      <c r="AU2459" s="498">
        <f t="shared" si="855"/>
        <v>0</v>
      </c>
      <c r="AV2459" s="498">
        <f t="shared" si="856"/>
        <v>0</v>
      </c>
      <c r="AW2459" s="498">
        <f t="shared" si="857"/>
        <v>0</v>
      </c>
      <c r="AX2459" s="498">
        <f t="shared" si="858"/>
        <v>0</v>
      </c>
      <c r="AY2459" s="498">
        <f t="shared" si="859"/>
        <v>0</v>
      </c>
      <c r="BB2459" s="498" t="str">
        <f t="shared" si="860"/>
        <v/>
      </c>
      <c r="BC2459" s="743" t="str">
        <f t="shared" si="861"/>
        <v/>
      </c>
      <c r="BD2459" s="743" t="str">
        <f t="shared" si="862"/>
        <v/>
      </c>
      <c r="BE2459" s="743" t="str">
        <f>IF(D2459="","",VLOOKUP(D2459,'General Basis'!$J$39:$K$46,2,0))</f>
        <v/>
      </c>
      <c r="BF2459" s="744" t="str">
        <f>IF(D2459="","",VLOOKUP(D2459,'General Basis'!$J$39:$L$46,3,0))</f>
        <v/>
      </c>
      <c r="BG2459" s="744" t="str">
        <f t="shared" si="869"/>
        <v/>
      </c>
      <c r="BH2459" s="744" t="str">
        <f>IF(G2459="","",IF(BF2459="Abu Dhabi",IF(G2459&lt;18,'General Basis'!$C$39,IF(G2459&lt;41,'General Basis'!$C$40,IF(G2459&lt;60,'General Basis'!$C$41,IF(G2459&lt;65,'General Basis'!$C$42,'General Basis'!$C$43)))),IF(G2459&lt;11,'General Basis'!$B$39,IF(G2459&lt;18,'General Basis'!$B$40,IF(G2459&lt;26,'General Basis'!$B$41,IF(G2459&lt;31,'General Basis'!$B$42,IF(G2459&lt;36,'General Basis'!$B$43,IF(G2459&lt;41,'General Basis'!$B$44,IF(G2459&lt;46,'General Basis'!$B$45,IF(G2459&lt;51,'General Basis'!$B$46,IF(G2459&lt;56,'General Basis'!$B$47,IF(G2459&lt;60,'General Basis'!$B$48,IF(G2459&lt;65,'General Basis'!$B$49,'General Basis'!$B$50)))))))))))))</f>
        <v/>
      </c>
      <c r="BI2459" s="744" t="str">
        <f t="shared" si="863"/>
        <v/>
      </c>
      <c r="BJ2459" s="747" t="str">
        <f t="shared" si="870"/>
        <v/>
      </c>
      <c r="BK2459" s="498" t="str">
        <f t="shared" si="864"/>
        <v/>
      </c>
      <c r="BL2459" s="498" t="str">
        <f t="shared" si="865"/>
        <v/>
      </c>
    </row>
    <row r="2460" spans="1:64" x14ac:dyDescent="0.25">
      <c r="A2460" s="762">
        <f t="shared" si="866"/>
        <v>2455</v>
      </c>
      <c r="B2460" s="229"/>
      <c r="C2460" s="223"/>
      <c r="D2460" s="224"/>
      <c r="E2460" s="225"/>
      <c r="F2460" s="1036" t="str">
        <f t="shared" si="872"/>
        <v/>
      </c>
      <c r="G2460" s="1037" t="str">
        <f t="shared" si="867"/>
        <v/>
      </c>
      <c r="H2460" s="225"/>
      <c r="I2460" s="1013"/>
      <c r="J2460" s="1013"/>
      <c r="K2460" s="1028"/>
      <c r="L2460" s="1035" t="str">
        <f t="shared" si="871"/>
        <v/>
      </c>
      <c r="S2460" s="498"/>
      <c r="AJ2460" s="498"/>
      <c r="AM2460" s="498">
        <f t="shared" si="852"/>
        <v>0</v>
      </c>
      <c r="AN2460" s="498">
        <f t="shared" si="853"/>
        <v>0</v>
      </c>
      <c r="AO2460" s="498">
        <f t="shared" si="854"/>
        <v>0</v>
      </c>
      <c r="AP2460" s="498">
        <f t="shared" si="873"/>
        <v>0</v>
      </c>
      <c r="AQ2460" s="498">
        <f t="shared" si="868"/>
        <v>0</v>
      </c>
      <c r="AU2460" s="498">
        <f t="shared" si="855"/>
        <v>0</v>
      </c>
      <c r="AV2460" s="498">
        <f t="shared" si="856"/>
        <v>0</v>
      </c>
      <c r="AW2460" s="498">
        <f t="shared" si="857"/>
        <v>0</v>
      </c>
      <c r="AX2460" s="498">
        <f t="shared" si="858"/>
        <v>0</v>
      </c>
      <c r="AY2460" s="498">
        <f t="shared" si="859"/>
        <v>0</v>
      </c>
      <c r="BB2460" s="498" t="str">
        <f t="shared" si="860"/>
        <v/>
      </c>
      <c r="BC2460" s="743" t="str">
        <f t="shared" si="861"/>
        <v/>
      </c>
      <c r="BD2460" s="743" t="str">
        <f t="shared" si="862"/>
        <v/>
      </c>
      <c r="BE2460" s="743" t="str">
        <f>IF(D2460="","",VLOOKUP(D2460,'General Basis'!$J$39:$K$46,2,0))</f>
        <v/>
      </c>
      <c r="BF2460" s="744" t="str">
        <f>IF(D2460="","",VLOOKUP(D2460,'General Basis'!$J$39:$L$46,3,0))</f>
        <v/>
      </c>
      <c r="BG2460" s="744" t="str">
        <f t="shared" si="869"/>
        <v/>
      </c>
      <c r="BH2460" s="744" t="str">
        <f>IF(G2460="","",IF(BF2460="Abu Dhabi",IF(G2460&lt;18,'General Basis'!$C$39,IF(G2460&lt;41,'General Basis'!$C$40,IF(G2460&lt;60,'General Basis'!$C$41,IF(G2460&lt;65,'General Basis'!$C$42,'General Basis'!$C$43)))),IF(G2460&lt;11,'General Basis'!$B$39,IF(G2460&lt;18,'General Basis'!$B$40,IF(G2460&lt;26,'General Basis'!$B$41,IF(G2460&lt;31,'General Basis'!$B$42,IF(G2460&lt;36,'General Basis'!$B$43,IF(G2460&lt;41,'General Basis'!$B$44,IF(G2460&lt;46,'General Basis'!$B$45,IF(G2460&lt;51,'General Basis'!$B$46,IF(G2460&lt;56,'General Basis'!$B$47,IF(G2460&lt;60,'General Basis'!$B$48,IF(G2460&lt;65,'General Basis'!$B$49,'General Basis'!$B$50)))))))))))))</f>
        <v/>
      </c>
      <c r="BI2460" s="744" t="str">
        <f t="shared" si="863"/>
        <v/>
      </c>
      <c r="BJ2460" s="747" t="str">
        <f t="shared" si="870"/>
        <v/>
      </c>
      <c r="BK2460" s="498" t="str">
        <f t="shared" si="864"/>
        <v/>
      </c>
      <c r="BL2460" s="498" t="str">
        <f t="shared" si="865"/>
        <v/>
      </c>
    </row>
    <row r="2461" spans="1:64" x14ac:dyDescent="0.25">
      <c r="A2461" s="762">
        <f t="shared" si="866"/>
        <v>2456</v>
      </c>
      <c r="B2461" s="229"/>
      <c r="C2461" s="223"/>
      <c r="D2461" s="224"/>
      <c r="E2461" s="225"/>
      <c r="F2461" s="1036" t="str">
        <f t="shared" si="872"/>
        <v/>
      </c>
      <c r="G2461" s="1037" t="str">
        <f t="shared" si="867"/>
        <v/>
      </c>
      <c r="H2461" s="225"/>
      <c r="I2461" s="1013"/>
      <c r="J2461" s="1013"/>
      <c r="K2461" s="1028"/>
      <c r="L2461" s="1035" t="str">
        <f t="shared" si="871"/>
        <v/>
      </c>
      <c r="S2461" s="498"/>
      <c r="AJ2461" s="498"/>
      <c r="AM2461" s="498">
        <f t="shared" si="852"/>
        <v>0</v>
      </c>
      <c r="AN2461" s="498">
        <f t="shared" si="853"/>
        <v>0</v>
      </c>
      <c r="AO2461" s="498">
        <f t="shared" si="854"/>
        <v>0</v>
      </c>
      <c r="AP2461" s="498">
        <f t="shared" si="873"/>
        <v>0</v>
      </c>
      <c r="AQ2461" s="498">
        <f t="shared" si="868"/>
        <v>0</v>
      </c>
      <c r="AU2461" s="498">
        <f t="shared" si="855"/>
        <v>0</v>
      </c>
      <c r="AV2461" s="498">
        <f t="shared" si="856"/>
        <v>0</v>
      </c>
      <c r="AW2461" s="498">
        <f t="shared" si="857"/>
        <v>0</v>
      </c>
      <c r="AX2461" s="498">
        <f t="shared" si="858"/>
        <v>0</v>
      </c>
      <c r="AY2461" s="498">
        <f t="shared" si="859"/>
        <v>0</v>
      </c>
      <c r="BB2461" s="498" t="str">
        <f t="shared" si="860"/>
        <v/>
      </c>
      <c r="BC2461" s="743" t="str">
        <f t="shared" si="861"/>
        <v/>
      </c>
      <c r="BD2461" s="743" t="str">
        <f t="shared" si="862"/>
        <v/>
      </c>
      <c r="BE2461" s="743" t="str">
        <f>IF(D2461="","",VLOOKUP(D2461,'General Basis'!$J$39:$K$46,2,0))</f>
        <v/>
      </c>
      <c r="BF2461" s="744" t="str">
        <f>IF(D2461="","",VLOOKUP(D2461,'General Basis'!$J$39:$L$46,3,0))</f>
        <v/>
      </c>
      <c r="BG2461" s="744" t="str">
        <f t="shared" si="869"/>
        <v/>
      </c>
      <c r="BH2461" s="744" t="str">
        <f>IF(G2461="","",IF(BF2461="Abu Dhabi",IF(G2461&lt;18,'General Basis'!$C$39,IF(G2461&lt;41,'General Basis'!$C$40,IF(G2461&lt;60,'General Basis'!$C$41,IF(G2461&lt;65,'General Basis'!$C$42,'General Basis'!$C$43)))),IF(G2461&lt;11,'General Basis'!$B$39,IF(G2461&lt;18,'General Basis'!$B$40,IF(G2461&lt;26,'General Basis'!$B$41,IF(G2461&lt;31,'General Basis'!$B$42,IF(G2461&lt;36,'General Basis'!$B$43,IF(G2461&lt;41,'General Basis'!$B$44,IF(G2461&lt;46,'General Basis'!$B$45,IF(G2461&lt;51,'General Basis'!$B$46,IF(G2461&lt;56,'General Basis'!$B$47,IF(G2461&lt;60,'General Basis'!$B$48,IF(G2461&lt;65,'General Basis'!$B$49,'General Basis'!$B$50)))))))))))))</f>
        <v/>
      </c>
      <c r="BI2461" s="744" t="str">
        <f t="shared" si="863"/>
        <v/>
      </c>
      <c r="BJ2461" s="747" t="str">
        <f t="shared" si="870"/>
        <v/>
      </c>
      <c r="BK2461" s="498" t="str">
        <f t="shared" si="864"/>
        <v/>
      </c>
      <c r="BL2461" s="498" t="str">
        <f t="shared" si="865"/>
        <v/>
      </c>
    </row>
    <row r="2462" spans="1:64" x14ac:dyDescent="0.25">
      <c r="A2462" s="762">
        <f t="shared" si="866"/>
        <v>2457</v>
      </c>
      <c r="B2462" s="229"/>
      <c r="C2462" s="223"/>
      <c r="D2462" s="224"/>
      <c r="E2462" s="225"/>
      <c r="F2462" s="1036" t="str">
        <f t="shared" si="872"/>
        <v/>
      </c>
      <c r="G2462" s="1037" t="str">
        <f t="shared" si="867"/>
        <v/>
      </c>
      <c r="H2462" s="225"/>
      <c r="I2462" s="1013"/>
      <c r="J2462" s="1013"/>
      <c r="K2462" s="1028"/>
      <c r="L2462" s="1035" t="str">
        <f t="shared" si="871"/>
        <v/>
      </c>
      <c r="S2462" s="498"/>
      <c r="AJ2462" s="498"/>
      <c r="AM2462" s="498">
        <f t="shared" si="852"/>
        <v>0</v>
      </c>
      <c r="AN2462" s="498">
        <f t="shared" si="853"/>
        <v>0</v>
      </c>
      <c r="AO2462" s="498">
        <f t="shared" si="854"/>
        <v>0</v>
      </c>
      <c r="AP2462" s="498">
        <f t="shared" si="873"/>
        <v>0</v>
      </c>
      <c r="AQ2462" s="498">
        <f t="shared" si="868"/>
        <v>0</v>
      </c>
      <c r="AU2462" s="498">
        <f t="shared" si="855"/>
        <v>0</v>
      </c>
      <c r="AV2462" s="498">
        <f t="shared" si="856"/>
        <v>0</v>
      </c>
      <c r="AW2462" s="498">
        <f t="shared" si="857"/>
        <v>0</v>
      </c>
      <c r="AX2462" s="498">
        <f t="shared" si="858"/>
        <v>0</v>
      </c>
      <c r="AY2462" s="498">
        <f t="shared" si="859"/>
        <v>0</v>
      </c>
      <c r="BB2462" s="498" t="str">
        <f t="shared" si="860"/>
        <v/>
      </c>
      <c r="BC2462" s="743" t="str">
        <f t="shared" si="861"/>
        <v/>
      </c>
      <c r="BD2462" s="743" t="str">
        <f t="shared" si="862"/>
        <v/>
      </c>
      <c r="BE2462" s="743" t="str">
        <f>IF(D2462="","",VLOOKUP(D2462,'General Basis'!$J$39:$K$46,2,0))</f>
        <v/>
      </c>
      <c r="BF2462" s="744" t="str">
        <f>IF(D2462="","",VLOOKUP(D2462,'General Basis'!$J$39:$L$46,3,0))</f>
        <v/>
      </c>
      <c r="BG2462" s="744" t="str">
        <f t="shared" si="869"/>
        <v/>
      </c>
      <c r="BH2462" s="744" t="str">
        <f>IF(G2462="","",IF(BF2462="Abu Dhabi",IF(G2462&lt;18,'General Basis'!$C$39,IF(G2462&lt;41,'General Basis'!$C$40,IF(G2462&lt;60,'General Basis'!$C$41,IF(G2462&lt;65,'General Basis'!$C$42,'General Basis'!$C$43)))),IF(G2462&lt;11,'General Basis'!$B$39,IF(G2462&lt;18,'General Basis'!$B$40,IF(G2462&lt;26,'General Basis'!$B$41,IF(G2462&lt;31,'General Basis'!$B$42,IF(G2462&lt;36,'General Basis'!$B$43,IF(G2462&lt;41,'General Basis'!$B$44,IF(G2462&lt;46,'General Basis'!$B$45,IF(G2462&lt;51,'General Basis'!$B$46,IF(G2462&lt;56,'General Basis'!$B$47,IF(G2462&lt;60,'General Basis'!$B$48,IF(G2462&lt;65,'General Basis'!$B$49,'General Basis'!$B$50)))))))))))))</f>
        <v/>
      </c>
      <c r="BI2462" s="744" t="str">
        <f t="shared" si="863"/>
        <v/>
      </c>
      <c r="BJ2462" s="747" t="str">
        <f t="shared" si="870"/>
        <v/>
      </c>
      <c r="BK2462" s="498" t="str">
        <f t="shared" si="864"/>
        <v/>
      </c>
      <c r="BL2462" s="498" t="str">
        <f t="shared" si="865"/>
        <v/>
      </c>
    </row>
    <row r="2463" spans="1:64" x14ac:dyDescent="0.25">
      <c r="A2463" s="762">
        <f t="shared" si="866"/>
        <v>2458</v>
      </c>
      <c r="B2463" s="229"/>
      <c r="C2463" s="223"/>
      <c r="D2463" s="224"/>
      <c r="E2463" s="225"/>
      <c r="F2463" s="1036" t="str">
        <f t="shared" si="872"/>
        <v/>
      </c>
      <c r="G2463" s="1037" t="str">
        <f t="shared" si="867"/>
        <v/>
      </c>
      <c r="H2463" s="225"/>
      <c r="I2463" s="1013"/>
      <c r="J2463" s="1013"/>
      <c r="K2463" s="1028"/>
      <c r="L2463" s="1035" t="str">
        <f t="shared" si="871"/>
        <v/>
      </c>
      <c r="S2463" s="498"/>
      <c r="AJ2463" s="498"/>
      <c r="AM2463" s="498">
        <f t="shared" si="852"/>
        <v>0</v>
      </c>
      <c r="AN2463" s="498">
        <f t="shared" si="853"/>
        <v>0</v>
      </c>
      <c r="AO2463" s="498">
        <f t="shared" si="854"/>
        <v>0</v>
      </c>
      <c r="AP2463" s="498">
        <f t="shared" si="873"/>
        <v>0</v>
      </c>
      <c r="AQ2463" s="498">
        <f t="shared" si="868"/>
        <v>0</v>
      </c>
      <c r="AU2463" s="498">
        <f t="shared" si="855"/>
        <v>0</v>
      </c>
      <c r="AV2463" s="498">
        <f t="shared" si="856"/>
        <v>0</v>
      </c>
      <c r="AW2463" s="498">
        <f t="shared" si="857"/>
        <v>0</v>
      </c>
      <c r="AX2463" s="498">
        <f t="shared" si="858"/>
        <v>0</v>
      </c>
      <c r="AY2463" s="498">
        <f t="shared" si="859"/>
        <v>0</v>
      </c>
      <c r="BB2463" s="498" t="str">
        <f t="shared" si="860"/>
        <v/>
      </c>
      <c r="BC2463" s="743" t="str">
        <f t="shared" si="861"/>
        <v/>
      </c>
      <c r="BD2463" s="743" t="str">
        <f t="shared" si="862"/>
        <v/>
      </c>
      <c r="BE2463" s="743" t="str">
        <f>IF(D2463="","",VLOOKUP(D2463,'General Basis'!$J$39:$K$46,2,0))</f>
        <v/>
      </c>
      <c r="BF2463" s="744" t="str">
        <f>IF(D2463="","",VLOOKUP(D2463,'General Basis'!$J$39:$L$46,3,0))</f>
        <v/>
      </c>
      <c r="BG2463" s="744" t="str">
        <f t="shared" si="869"/>
        <v/>
      </c>
      <c r="BH2463" s="744" t="str">
        <f>IF(G2463="","",IF(BF2463="Abu Dhabi",IF(G2463&lt;18,'General Basis'!$C$39,IF(G2463&lt;41,'General Basis'!$C$40,IF(G2463&lt;60,'General Basis'!$C$41,IF(G2463&lt;65,'General Basis'!$C$42,'General Basis'!$C$43)))),IF(G2463&lt;11,'General Basis'!$B$39,IF(G2463&lt;18,'General Basis'!$B$40,IF(G2463&lt;26,'General Basis'!$B$41,IF(G2463&lt;31,'General Basis'!$B$42,IF(G2463&lt;36,'General Basis'!$B$43,IF(G2463&lt;41,'General Basis'!$B$44,IF(G2463&lt;46,'General Basis'!$B$45,IF(G2463&lt;51,'General Basis'!$B$46,IF(G2463&lt;56,'General Basis'!$B$47,IF(G2463&lt;60,'General Basis'!$B$48,IF(G2463&lt;65,'General Basis'!$B$49,'General Basis'!$B$50)))))))))))))</f>
        <v/>
      </c>
      <c r="BI2463" s="744" t="str">
        <f t="shared" si="863"/>
        <v/>
      </c>
      <c r="BJ2463" s="747" t="str">
        <f t="shared" si="870"/>
        <v/>
      </c>
      <c r="BK2463" s="498" t="str">
        <f t="shared" si="864"/>
        <v/>
      </c>
      <c r="BL2463" s="498" t="str">
        <f t="shared" si="865"/>
        <v/>
      </c>
    </row>
    <row r="2464" spans="1:64" x14ac:dyDescent="0.25">
      <c r="A2464" s="762">
        <f t="shared" si="866"/>
        <v>2459</v>
      </c>
      <c r="B2464" s="229"/>
      <c r="C2464" s="223"/>
      <c r="D2464" s="224"/>
      <c r="E2464" s="225"/>
      <c r="F2464" s="1036" t="str">
        <f t="shared" si="872"/>
        <v/>
      </c>
      <c r="G2464" s="1037" t="str">
        <f t="shared" si="867"/>
        <v/>
      </c>
      <c r="H2464" s="225"/>
      <c r="I2464" s="1013"/>
      <c r="J2464" s="1013"/>
      <c r="K2464" s="1028"/>
      <c r="L2464" s="1035" t="str">
        <f t="shared" si="871"/>
        <v/>
      </c>
      <c r="S2464" s="498"/>
      <c r="AJ2464" s="498"/>
      <c r="AM2464" s="498">
        <f t="shared" si="852"/>
        <v>0</v>
      </c>
      <c r="AN2464" s="498">
        <f t="shared" si="853"/>
        <v>0</v>
      </c>
      <c r="AO2464" s="498">
        <f t="shared" si="854"/>
        <v>0</v>
      </c>
      <c r="AP2464" s="498">
        <f t="shared" si="873"/>
        <v>0</v>
      </c>
      <c r="AQ2464" s="498">
        <f t="shared" si="868"/>
        <v>0</v>
      </c>
      <c r="AU2464" s="498">
        <f t="shared" si="855"/>
        <v>0</v>
      </c>
      <c r="AV2464" s="498">
        <f t="shared" si="856"/>
        <v>0</v>
      </c>
      <c r="AW2464" s="498">
        <f t="shared" si="857"/>
        <v>0</v>
      </c>
      <c r="AX2464" s="498">
        <f t="shared" si="858"/>
        <v>0</v>
      </c>
      <c r="AY2464" s="498">
        <f t="shared" si="859"/>
        <v>0</v>
      </c>
      <c r="BB2464" s="498" t="str">
        <f t="shared" si="860"/>
        <v/>
      </c>
      <c r="BC2464" s="743" t="str">
        <f t="shared" si="861"/>
        <v/>
      </c>
      <c r="BD2464" s="743" t="str">
        <f t="shared" si="862"/>
        <v/>
      </c>
      <c r="BE2464" s="743" t="str">
        <f>IF(D2464="","",VLOOKUP(D2464,'General Basis'!$J$39:$K$46,2,0))</f>
        <v/>
      </c>
      <c r="BF2464" s="744" t="str">
        <f>IF(D2464="","",VLOOKUP(D2464,'General Basis'!$J$39:$L$46,3,0))</f>
        <v/>
      </c>
      <c r="BG2464" s="744" t="str">
        <f t="shared" si="869"/>
        <v/>
      </c>
      <c r="BH2464" s="744" t="str">
        <f>IF(G2464="","",IF(BF2464="Abu Dhabi",IF(G2464&lt;18,'General Basis'!$C$39,IF(G2464&lt;41,'General Basis'!$C$40,IF(G2464&lt;60,'General Basis'!$C$41,IF(G2464&lt;65,'General Basis'!$C$42,'General Basis'!$C$43)))),IF(G2464&lt;11,'General Basis'!$B$39,IF(G2464&lt;18,'General Basis'!$B$40,IF(G2464&lt;26,'General Basis'!$B$41,IF(G2464&lt;31,'General Basis'!$B$42,IF(G2464&lt;36,'General Basis'!$B$43,IF(G2464&lt;41,'General Basis'!$B$44,IF(G2464&lt;46,'General Basis'!$B$45,IF(G2464&lt;51,'General Basis'!$B$46,IF(G2464&lt;56,'General Basis'!$B$47,IF(G2464&lt;60,'General Basis'!$B$48,IF(G2464&lt;65,'General Basis'!$B$49,'General Basis'!$B$50)))))))))))))</f>
        <v/>
      </c>
      <c r="BI2464" s="744" t="str">
        <f t="shared" si="863"/>
        <v/>
      </c>
      <c r="BJ2464" s="747" t="str">
        <f t="shared" si="870"/>
        <v/>
      </c>
      <c r="BK2464" s="498" t="str">
        <f t="shared" si="864"/>
        <v/>
      </c>
      <c r="BL2464" s="498" t="str">
        <f t="shared" si="865"/>
        <v/>
      </c>
    </row>
    <row r="2465" spans="1:64" x14ac:dyDescent="0.25">
      <c r="A2465" s="762">
        <f t="shared" si="866"/>
        <v>2460</v>
      </c>
      <c r="B2465" s="229"/>
      <c r="C2465" s="223"/>
      <c r="D2465" s="224"/>
      <c r="E2465" s="225"/>
      <c r="F2465" s="1036" t="str">
        <f t="shared" si="872"/>
        <v/>
      </c>
      <c r="G2465" s="1037" t="str">
        <f t="shared" si="867"/>
        <v/>
      </c>
      <c r="H2465" s="225"/>
      <c r="I2465" s="1013"/>
      <c r="J2465" s="1013"/>
      <c r="K2465" s="1028"/>
      <c r="L2465" s="1035" t="str">
        <f t="shared" si="871"/>
        <v/>
      </c>
      <c r="S2465" s="498"/>
      <c r="AJ2465" s="498"/>
      <c r="AM2465" s="498">
        <f t="shared" si="852"/>
        <v>0</v>
      </c>
      <c r="AN2465" s="498">
        <f t="shared" si="853"/>
        <v>0</v>
      </c>
      <c r="AO2465" s="498">
        <f t="shared" si="854"/>
        <v>0</v>
      </c>
      <c r="AP2465" s="498">
        <f t="shared" si="873"/>
        <v>0</v>
      </c>
      <c r="AQ2465" s="498">
        <f t="shared" si="868"/>
        <v>0</v>
      </c>
      <c r="AU2465" s="498">
        <f t="shared" si="855"/>
        <v>0</v>
      </c>
      <c r="AV2465" s="498">
        <f t="shared" si="856"/>
        <v>0</v>
      </c>
      <c r="AW2465" s="498">
        <f t="shared" si="857"/>
        <v>0</v>
      </c>
      <c r="AX2465" s="498">
        <f t="shared" si="858"/>
        <v>0</v>
      </c>
      <c r="AY2465" s="498">
        <f t="shared" si="859"/>
        <v>0</v>
      </c>
      <c r="BB2465" s="498" t="str">
        <f t="shared" si="860"/>
        <v/>
      </c>
      <c r="BC2465" s="743" t="str">
        <f t="shared" si="861"/>
        <v/>
      </c>
      <c r="BD2465" s="743" t="str">
        <f t="shared" si="862"/>
        <v/>
      </c>
      <c r="BE2465" s="743" t="str">
        <f>IF(D2465="","",VLOOKUP(D2465,'General Basis'!$J$39:$K$46,2,0))</f>
        <v/>
      </c>
      <c r="BF2465" s="744" t="str">
        <f>IF(D2465="","",VLOOKUP(D2465,'General Basis'!$J$39:$L$46,3,0))</f>
        <v/>
      </c>
      <c r="BG2465" s="744" t="str">
        <f t="shared" si="869"/>
        <v/>
      </c>
      <c r="BH2465" s="744" t="str">
        <f>IF(G2465="","",IF(BF2465="Abu Dhabi",IF(G2465&lt;18,'General Basis'!$C$39,IF(G2465&lt;41,'General Basis'!$C$40,IF(G2465&lt;60,'General Basis'!$C$41,IF(G2465&lt;65,'General Basis'!$C$42,'General Basis'!$C$43)))),IF(G2465&lt;11,'General Basis'!$B$39,IF(G2465&lt;18,'General Basis'!$B$40,IF(G2465&lt;26,'General Basis'!$B$41,IF(G2465&lt;31,'General Basis'!$B$42,IF(G2465&lt;36,'General Basis'!$B$43,IF(G2465&lt;41,'General Basis'!$B$44,IF(G2465&lt;46,'General Basis'!$B$45,IF(G2465&lt;51,'General Basis'!$B$46,IF(G2465&lt;56,'General Basis'!$B$47,IF(G2465&lt;60,'General Basis'!$B$48,IF(G2465&lt;65,'General Basis'!$B$49,'General Basis'!$B$50)))))))))))))</f>
        <v/>
      </c>
      <c r="BI2465" s="744" t="str">
        <f t="shared" si="863"/>
        <v/>
      </c>
      <c r="BJ2465" s="747" t="str">
        <f t="shared" si="870"/>
        <v/>
      </c>
      <c r="BK2465" s="498" t="str">
        <f t="shared" si="864"/>
        <v/>
      </c>
      <c r="BL2465" s="498" t="str">
        <f t="shared" si="865"/>
        <v/>
      </c>
    </row>
    <row r="2466" spans="1:64" x14ac:dyDescent="0.25">
      <c r="A2466" s="762">
        <f t="shared" si="866"/>
        <v>2461</v>
      </c>
      <c r="B2466" s="229"/>
      <c r="C2466" s="223"/>
      <c r="D2466" s="224"/>
      <c r="E2466" s="225"/>
      <c r="F2466" s="1036" t="str">
        <f t="shared" si="872"/>
        <v/>
      </c>
      <c r="G2466" s="1037" t="str">
        <f t="shared" si="867"/>
        <v/>
      </c>
      <c r="H2466" s="225"/>
      <c r="I2466" s="1013"/>
      <c r="J2466" s="1013"/>
      <c r="K2466" s="1028"/>
      <c r="L2466" s="1035" t="str">
        <f t="shared" si="871"/>
        <v/>
      </c>
      <c r="S2466" s="498"/>
      <c r="AJ2466" s="498"/>
      <c r="AM2466" s="498">
        <f t="shared" si="852"/>
        <v>0</v>
      </c>
      <c r="AN2466" s="498">
        <f t="shared" si="853"/>
        <v>0</v>
      </c>
      <c r="AO2466" s="498">
        <f t="shared" si="854"/>
        <v>0</v>
      </c>
      <c r="AP2466" s="498">
        <f t="shared" si="873"/>
        <v>0</v>
      </c>
      <c r="AQ2466" s="498">
        <f t="shared" si="868"/>
        <v>0</v>
      </c>
      <c r="AU2466" s="498">
        <f t="shared" si="855"/>
        <v>0</v>
      </c>
      <c r="AV2466" s="498">
        <f t="shared" si="856"/>
        <v>0</v>
      </c>
      <c r="AW2466" s="498">
        <f t="shared" si="857"/>
        <v>0</v>
      </c>
      <c r="AX2466" s="498">
        <f t="shared" si="858"/>
        <v>0</v>
      </c>
      <c r="AY2466" s="498">
        <f t="shared" si="859"/>
        <v>0</v>
      </c>
      <c r="BB2466" s="498" t="str">
        <f t="shared" si="860"/>
        <v/>
      </c>
      <c r="BC2466" s="743" t="str">
        <f t="shared" si="861"/>
        <v/>
      </c>
      <c r="BD2466" s="743" t="str">
        <f t="shared" si="862"/>
        <v/>
      </c>
      <c r="BE2466" s="743" t="str">
        <f>IF(D2466="","",VLOOKUP(D2466,'General Basis'!$J$39:$K$46,2,0))</f>
        <v/>
      </c>
      <c r="BF2466" s="744" t="str">
        <f>IF(D2466="","",VLOOKUP(D2466,'General Basis'!$J$39:$L$46,3,0))</f>
        <v/>
      </c>
      <c r="BG2466" s="744" t="str">
        <f t="shared" si="869"/>
        <v/>
      </c>
      <c r="BH2466" s="744" t="str">
        <f>IF(G2466="","",IF(BF2466="Abu Dhabi",IF(G2466&lt;18,'General Basis'!$C$39,IF(G2466&lt;41,'General Basis'!$C$40,IF(G2466&lt;60,'General Basis'!$C$41,IF(G2466&lt;65,'General Basis'!$C$42,'General Basis'!$C$43)))),IF(G2466&lt;11,'General Basis'!$B$39,IF(G2466&lt;18,'General Basis'!$B$40,IF(G2466&lt;26,'General Basis'!$B$41,IF(G2466&lt;31,'General Basis'!$B$42,IF(G2466&lt;36,'General Basis'!$B$43,IF(G2466&lt;41,'General Basis'!$B$44,IF(G2466&lt;46,'General Basis'!$B$45,IF(G2466&lt;51,'General Basis'!$B$46,IF(G2466&lt;56,'General Basis'!$B$47,IF(G2466&lt;60,'General Basis'!$B$48,IF(G2466&lt;65,'General Basis'!$B$49,'General Basis'!$B$50)))))))))))))</f>
        <v/>
      </c>
      <c r="BI2466" s="744" t="str">
        <f t="shared" si="863"/>
        <v/>
      </c>
      <c r="BJ2466" s="747" t="str">
        <f t="shared" si="870"/>
        <v/>
      </c>
      <c r="BK2466" s="498" t="str">
        <f t="shared" si="864"/>
        <v/>
      </c>
      <c r="BL2466" s="498" t="str">
        <f t="shared" si="865"/>
        <v/>
      </c>
    </row>
    <row r="2467" spans="1:64" x14ac:dyDescent="0.25">
      <c r="A2467" s="762">
        <f t="shared" si="866"/>
        <v>2462</v>
      </c>
      <c r="B2467" s="229"/>
      <c r="C2467" s="223"/>
      <c r="D2467" s="224"/>
      <c r="E2467" s="225"/>
      <c r="F2467" s="1036" t="str">
        <f t="shared" si="872"/>
        <v/>
      </c>
      <c r="G2467" s="1037" t="str">
        <f t="shared" si="867"/>
        <v/>
      </c>
      <c r="H2467" s="225"/>
      <c r="I2467" s="1013"/>
      <c r="J2467" s="1013"/>
      <c r="K2467" s="1028"/>
      <c r="L2467" s="1035" t="str">
        <f t="shared" si="871"/>
        <v/>
      </c>
      <c r="S2467" s="498"/>
      <c r="AJ2467" s="498"/>
      <c r="AM2467" s="498">
        <f t="shared" si="852"/>
        <v>0</v>
      </c>
      <c r="AN2467" s="498">
        <f t="shared" si="853"/>
        <v>0</v>
      </c>
      <c r="AO2467" s="498">
        <f t="shared" si="854"/>
        <v>0</v>
      </c>
      <c r="AP2467" s="498">
        <f t="shared" si="873"/>
        <v>0</v>
      </c>
      <c r="AQ2467" s="498">
        <f t="shared" si="868"/>
        <v>0</v>
      </c>
      <c r="AU2467" s="498">
        <f t="shared" si="855"/>
        <v>0</v>
      </c>
      <c r="AV2467" s="498">
        <f t="shared" si="856"/>
        <v>0</v>
      </c>
      <c r="AW2467" s="498">
        <f t="shared" si="857"/>
        <v>0</v>
      </c>
      <c r="AX2467" s="498">
        <f t="shared" si="858"/>
        <v>0</v>
      </c>
      <c r="AY2467" s="498">
        <f t="shared" si="859"/>
        <v>0</v>
      </c>
      <c r="BB2467" s="498" t="str">
        <f t="shared" si="860"/>
        <v/>
      </c>
      <c r="BC2467" s="743" t="str">
        <f t="shared" si="861"/>
        <v/>
      </c>
      <c r="BD2467" s="743" t="str">
        <f t="shared" si="862"/>
        <v/>
      </c>
      <c r="BE2467" s="743" t="str">
        <f>IF(D2467="","",VLOOKUP(D2467,'General Basis'!$J$39:$K$46,2,0))</f>
        <v/>
      </c>
      <c r="BF2467" s="744" t="str">
        <f>IF(D2467="","",VLOOKUP(D2467,'General Basis'!$J$39:$L$46,3,0))</f>
        <v/>
      </c>
      <c r="BG2467" s="744" t="str">
        <f t="shared" si="869"/>
        <v/>
      </c>
      <c r="BH2467" s="744" t="str">
        <f>IF(G2467="","",IF(BF2467="Abu Dhabi",IF(G2467&lt;18,'General Basis'!$C$39,IF(G2467&lt;41,'General Basis'!$C$40,IF(G2467&lt;60,'General Basis'!$C$41,IF(G2467&lt;65,'General Basis'!$C$42,'General Basis'!$C$43)))),IF(G2467&lt;11,'General Basis'!$B$39,IF(G2467&lt;18,'General Basis'!$B$40,IF(G2467&lt;26,'General Basis'!$B$41,IF(G2467&lt;31,'General Basis'!$B$42,IF(G2467&lt;36,'General Basis'!$B$43,IF(G2467&lt;41,'General Basis'!$B$44,IF(G2467&lt;46,'General Basis'!$B$45,IF(G2467&lt;51,'General Basis'!$B$46,IF(G2467&lt;56,'General Basis'!$B$47,IF(G2467&lt;60,'General Basis'!$B$48,IF(G2467&lt;65,'General Basis'!$B$49,'General Basis'!$B$50)))))))))))))</f>
        <v/>
      </c>
      <c r="BI2467" s="744" t="str">
        <f t="shared" si="863"/>
        <v/>
      </c>
      <c r="BJ2467" s="747" t="str">
        <f t="shared" si="870"/>
        <v/>
      </c>
      <c r="BK2467" s="498" t="str">
        <f t="shared" si="864"/>
        <v/>
      </c>
      <c r="BL2467" s="498" t="str">
        <f t="shared" si="865"/>
        <v/>
      </c>
    </row>
    <row r="2468" spans="1:64" x14ac:dyDescent="0.25">
      <c r="A2468" s="762">
        <f t="shared" si="866"/>
        <v>2463</v>
      </c>
      <c r="B2468" s="229"/>
      <c r="C2468" s="223"/>
      <c r="D2468" s="224"/>
      <c r="E2468" s="225"/>
      <c r="F2468" s="1036" t="str">
        <f t="shared" si="872"/>
        <v/>
      </c>
      <c r="G2468" s="1037" t="str">
        <f t="shared" si="867"/>
        <v/>
      </c>
      <c r="H2468" s="225"/>
      <c r="I2468" s="1013"/>
      <c r="J2468" s="1013"/>
      <c r="K2468" s="1028"/>
      <c r="L2468" s="1035" t="str">
        <f t="shared" si="871"/>
        <v/>
      </c>
      <c r="S2468" s="498"/>
      <c r="AJ2468" s="498"/>
      <c r="AM2468" s="498">
        <f t="shared" si="852"/>
        <v>0</v>
      </c>
      <c r="AN2468" s="498">
        <f t="shared" si="853"/>
        <v>0</v>
      </c>
      <c r="AO2468" s="498">
        <f t="shared" si="854"/>
        <v>0</v>
      </c>
      <c r="AP2468" s="498">
        <f t="shared" si="873"/>
        <v>0</v>
      </c>
      <c r="AQ2468" s="498">
        <f t="shared" si="868"/>
        <v>0</v>
      </c>
      <c r="AU2468" s="498">
        <f t="shared" si="855"/>
        <v>0</v>
      </c>
      <c r="AV2468" s="498">
        <f t="shared" si="856"/>
        <v>0</v>
      </c>
      <c r="AW2468" s="498">
        <f t="shared" si="857"/>
        <v>0</v>
      </c>
      <c r="AX2468" s="498">
        <f t="shared" si="858"/>
        <v>0</v>
      </c>
      <c r="AY2468" s="498">
        <f t="shared" si="859"/>
        <v>0</v>
      </c>
      <c r="BB2468" s="498" t="str">
        <f t="shared" si="860"/>
        <v/>
      </c>
      <c r="BC2468" s="743" t="str">
        <f t="shared" si="861"/>
        <v/>
      </c>
      <c r="BD2468" s="743" t="str">
        <f t="shared" si="862"/>
        <v/>
      </c>
      <c r="BE2468" s="743" t="str">
        <f>IF(D2468="","",VLOOKUP(D2468,'General Basis'!$J$39:$K$46,2,0))</f>
        <v/>
      </c>
      <c r="BF2468" s="744" t="str">
        <f>IF(D2468="","",VLOOKUP(D2468,'General Basis'!$J$39:$L$46,3,0))</f>
        <v/>
      </c>
      <c r="BG2468" s="744" t="str">
        <f t="shared" si="869"/>
        <v/>
      </c>
      <c r="BH2468" s="744" t="str">
        <f>IF(G2468="","",IF(BF2468="Abu Dhabi",IF(G2468&lt;18,'General Basis'!$C$39,IF(G2468&lt;41,'General Basis'!$C$40,IF(G2468&lt;60,'General Basis'!$C$41,IF(G2468&lt;65,'General Basis'!$C$42,'General Basis'!$C$43)))),IF(G2468&lt;11,'General Basis'!$B$39,IF(G2468&lt;18,'General Basis'!$B$40,IF(G2468&lt;26,'General Basis'!$B$41,IF(G2468&lt;31,'General Basis'!$B$42,IF(G2468&lt;36,'General Basis'!$B$43,IF(G2468&lt;41,'General Basis'!$B$44,IF(G2468&lt;46,'General Basis'!$B$45,IF(G2468&lt;51,'General Basis'!$B$46,IF(G2468&lt;56,'General Basis'!$B$47,IF(G2468&lt;60,'General Basis'!$B$48,IF(G2468&lt;65,'General Basis'!$B$49,'General Basis'!$B$50)))))))))))))</f>
        <v/>
      </c>
      <c r="BI2468" s="744" t="str">
        <f t="shared" si="863"/>
        <v/>
      </c>
      <c r="BJ2468" s="747" t="str">
        <f t="shared" si="870"/>
        <v/>
      </c>
      <c r="BK2468" s="498" t="str">
        <f t="shared" si="864"/>
        <v/>
      </c>
      <c r="BL2468" s="498" t="str">
        <f t="shared" si="865"/>
        <v/>
      </c>
    </row>
    <row r="2469" spans="1:64" x14ac:dyDescent="0.25">
      <c r="A2469" s="762">
        <f t="shared" si="866"/>
        <v>2464</v>
      </c>
      <c r="B2469" s="229"/>
      <c r="C2469" s="223"/>
      <c r="D2469" s="224"/>
      <c r="E2469" s="225"/>
      <c r="F2469" s="1036" t="str">
        <f t="shared" si="872"/>
        <v/>
      </c>
      <c r="G2469" s="1037" t="str">
        <f t="shared" si="867"/>
        <v/>
      </c>
      <c r="H2469" s="225"/>
      <c r="I2469" s="1013"/>
      <c r="J2469" s="1013"/>
      <c r="K2469" s="1028"/>
      <c r="L2469" s="1035" t="str">
        <f t="shared" si="871"/>
        <v/>
      </c>
      <c r="S2469" s="498"/>
      <c r="AJ2469" s="498"/>
      <c r="AM2469" s="498">
        <f t="shared" si="852"/>
        <v>0</v>
      </c>
      <c r="AN2469" s="498">
        <f t="shared" si="853"/>
        <v>0</v>
      </c>
      <c r="AO2469" s="498">
        <f t="shared" si="854"/>
        <v>0</v>
      </c>
      <c r="AP2469" s="498">
        <f t="shared" si="873"/>
        <v>0</v>
      </c>
      <c r="AQ2469" s="498">
        <f t="shared" si="868"/>
        <v>0</v>
      </c>
      <c r="AU2469" s="498">
        <f t="shared" si="855"/>
        <v>0</v>
      </c>
      <c r="AV2469" s="498">
        <f t="shared" si="856"/>
        <v>0</v>
      </c>
      <c r="AW2469" s="498">
        <f t="shared" si="857"/>
        <v>0</v>
      </c>
      <c r="AX2469" s="498">
        <f t="shared" si="858"/>
        <v>0</v>
      </c>
      <c r="AY2469" s="498">
        <f t="shared" si="859"/>
        <v>0</v>
      </c>
      <c r="BB2469" s="498" t="str">
        <f t="shared" si="860"/>
        <v/>
      </c>
      <c r="BC2469" s="743" t="str">
        <f t="shared" si="861"/>
        <v/>
      </c>
      <c r="BD2469" s="743" t="str">
        <f t="shared" si="862"/>
        <v/>
      </c>
      <c r="BE2469" s="743" t="str">
        <f>IF(D2469="","",VLOOKUP(D2469,'General Basis'!$J$39:$K$46,2,0))</f>
        <v/>
      </c>
      <c r="BF2469" s="744" t="str">
        <f>IF(D2469="","",VLOOKUP(D2469,'General Basis'!$J$39:$L$46,3,0))</f>
        <v/>
      </c>
      <c r="BG2469" s="744" t="str">
        <f t="shared" si="869"/>
        <v/>
      </c>
      <c r="BH2469" s="744" t="str">
        <f>IF(G2469="","",IF(BF2469="Abu Dhabi",IF(G2469&lt;18,'General Basis'!$C$39,IF(G2469&lt;41,'General Basis'!$C$40,IF(G2469&lt;60,'General Basis'!$C$41,IF(G2469&lt;65,'General Basis'!$C$42,'General Basis'!$C$43)))),IF(G2469&lt;11,'General Basis'!$B$39,IF(G2469&lt;18,'General Basis'!$B$40,IF(G2469&lt;26,'General Basis'!$B$41,IF(G2469&lt;31,'General Basis'!$B$42,IF(G2469&lt;36,'General Basis'!$B$43,IF(G2469&lt;41,'General Basis'!$B$44,IF(G2469&lt;46,'General Basis'!$B$45,IF(G2469&lt;51,'General Basis'!$B$46,IF(G2469&lt;56,'General Basis'!$B$47,IF(G2469&lt;60,'General Basis'!$B$48,IF(G2469&lt;65,'General Basis'!$B$49,'General Basis'!$B$50)))))))))))))</f>
        <v/>
      </c>
      <c r="BI2469" s="744" t="str">
        <f t="shared" si="863"/>
        <v/>
      </c>
      <c r="BJ2469" s="747" t="str">
        <f t="shared" si="870"/>
        <v/>
      </c>
      <c r="BK2469" s="498" t="str">
        <f t="shared" si="864"/>
        <v/>
      </c>
      <c r="BL2469" s="498" t="str">
        <f t="shared" si="865"/>
        <v/>
      </c>
    </row>
    <row r="2470" spans="1:64" x14ac:dyDescent="0.25">
      <c r="A2470" s="762">
        <f t="shared" si="866"/>
        <v>2465</v>
      </c>
      <c r="B2470" s="229"/>
      <c r="C2470" s="223"/>
      <c r="D2470" s="224"/>
      <c r="E2470" s="225"/>
      <c r="F2470" s="1036" t="str">
        <f t="shared" si="872"/>
        <v/>
      </c>
      <c r="G2470" s="1037" t="str">
        <f t="shared" si="867"/>
        <v/>
      </c>
      <c r="H2470" s="225"/>
      <c r="I2470" s="1013"/>
      <c r="J2470" s="1013"/>
      <c r="K2470" s="1028"/>
      <c r="L2470" s="1035" t="str">
        <f t="shared" si="871"/>
        <v/>
      </c>
      <c r="S2470" s="498"/>
      <c r="AJ2470" s="498"/>
      <c r="AM2470" s="498">
        <f t="shared" si="852"/>
        <v>0</v>
      </c>
      <c r="AN2470" s="498">
        <f t="shared" si="853"/>
        <v>0</v>
      </c>
      <c r="AO2470" s="498">
        <f t="shared" si="854"/>
        <v>0</v>
      </c>
      <c r="AP2470" s="498">
        <f t="shared" si="873"/>
        <v>0</v>
      </c>
      <c r="AQ2470" s="498">
        <f t="shared" si="868"/>
        <v>0</v>
      </c>
      <c r="AU2470" s="498">
        <f t="shared" si="855"/>
        <v>0</v>
      </c>
      <c r="AV2470" s="498">
        <f t="shared" si="856"/>
        <v>0</v>
      </c>
      <c r="AW2470" s="498">
        <f t="shared" si="857"/>
        <v>0</v>
      </c>
      <c r="AX2470" s="498">
        <f t="shared" si="858"/>
        <v>0</v>
      </c>
      <c r="AY2470" s="498">
        <f t="shared" si="859"/>
        <v>0</v>
      </c>
      <c r="BB2470" s="498" t="str">
        <f t="shared" si="860"/>
        <v/>
      </c>
      <c r="BC2470" s="743" t="str">
        <f t="shared" si="861"/>
        <v/>
      </c>
      <c r="BD2470" s="743" t="str">
        <f t="shared" si="862"/>
        <v/>
      </c>
      <c r="BE2470" s="743" t="str">
        <f>IF(D2470="","",VLOOKUP(D2470,'General Basis'!$J$39:$K$46,2,0))</f>
        <v/>
      </c>
      <c r="BF2470" s="744" t="str">
        <f>IF(D2470="","",VLOOKUP(D2470,'General Basis'!$J$39:$L$46,3,0))</f>
        <v/>
      </c>
      <c r="BG2470" s="744" t="str">
        <f t="shared" si="869"/>
        <v/>
      </c>
      <c r="BH2470" s="744" t="str">
        <f>IF(G2470="","",IF(BF2470="Abu Dhabi",IF(G2470&lt;18,'General Basis'!$C$39,IF(G2470&lt;41,'General Basis'!$C$40,IF(G2470&lt;60,'General Basis'!$C$41,IF(G2470&lt;65,'General Basis'!$C$42,'General Basis'!$C$43)))),IF(G2470&lt;11,'General Basis'!$B$39,IF(G2470&lt;18,'General Basis'!$B$40,IF(G2470&lt;26,'General Basis'!$B$41,IF(G2470&lt;31,'General Basis'!$B$42,IF(G2470&lt;36,'General Basis'!$B$43,IF(G2470&lt;41,'General Basis'!$B$44,IF(G2470&lt;46,'General Basis'!$B$45,IF(G2470&lt;51,'General Basis'!$B$46,IF(G2470&lt;56,'General Basis'!$B$47,IF(G2470&lt;60,'General Basis'!$B$48,IF(G2470&lt;65,'General Basis'!$B$49,'General Basis'!$B$50)))))))))))))</f>
        <v/>
      </c>
      <c r="BI2470" s="744" t="str">
        <f t="shared" si="863"/>
        <v/>
      </c>
      <c r="BJ2470" s="747" t="str">
        <f t="shared" si="870"/>
        <v/>
      </c>
      <c r="BK2470" s="498" t="str">
        <f t="shared" si="864"/>
        <v/>
      </c>
      <c r="BL2470" s="498" t="str">
        <f t="shared" si="865"/>
        <v/>
      </c>
    </row>
    <row r="2471" spans="1:64" x14ac:dyDescent="0.25">
      <c r="A2471" s="762">
        <f t="shared" si="866"/>
        <v>2466</v>
      </c>
      <c r="B2471" s="229"/>
      <c r="C2471" s="223"/>
      <c r="D2471" s="224"/>
      <c r="E2471" s="225"/>
      <c r="F2471" s="1036" t="str">
        <f t="shared" si="872"/>
        <v/>
      </c>
      <c r="G2471" s="1037" t="str">
        <f t="shared" si="867"/>
        <v/>
      </c>
      <c r="H2471" s="225"/>
      <c r="I2471" s="1013"/>
      <c r="J2471" s="1013"/>
      <c r="K2471" s="1028"/>
      <c r="L2471" s="1035" t="str">
        <f t="shared" si="871"/>
        <v/>
      </c>
      <c r="S2471" s="498"/>
      <c r="AJ2471" s="498"/>
      <c r="AM2471" s="498">
        <f t="shared" si="852"/>
        <v>0</v>
      </c>
      <c r="AN2471" s="498">
        <f t="shared" si="853"/>
        <v>0</v>
      </c>
      <c r="AO2471" s="498">
        <f t="shared" si="854"/>
        <v>0</v>
      </c>
      <c r="AP2471" s="498">
        <f t="shared" si="873"/>
        <v>0</v>
      </c>
      <c r="AQ2471" s="498">
        <f t="shared" si="868"/>
        <v>0</v>
      </c>
      <c r="AU2471" s="498">
        <f t="shared" si="855"/>
        <v>0</v>
      </c>
      <c r="AV2471" s="498">
        <f t="shared" si="856"/>
        <v>0</v>
      </c>
      <c r="AW2471" s="498">
        <f t="shared" si="857"/>
        <v>0</v>
      </c>
      <c r="AX2471" s="498">
        <f t="shared" si="858"/>
        <v>0</v>
      </c>
      <c r="AY2471" s="498">
        <f t="shared" si="859"/>
        <v>0</v>
      </c>
      <c r="BB2471" s="498" t="str">
        <f t="shared" si="860"/>
        <v/>
      </c>
      <c r="BC2471" s="743" t="str">
        <f t="shared" si="861"/>
        <v/>
      </c>
      <c r="BD2471" s="743" t="str">
        <f t="shared" si="862"/>
        <v/>
      </c>
      <c r="BE2471" s="743" t="str">
        <f>IF(D2471="","",VLOOKUP(D2471,'General Basis'!$J$39:$K$46,2,0))</f>
        <v/>
      </c>
      <c r="BF2471" s="744" t="str">
        <f>IF(D2471="","",VLOOKUP(D2471,'General Basis'!$J$39:$L$46,3,0))</f>
        <v/>
      </c>
      <c r="BG2471" s="744" t="str">
        <f t="shared" si="869"/>
        <v/>
      </c>
      <c r="BH2471" s="744" t="str">
        <f>IF(G2471="","",IF(BF2471="Abu Dhabi",IF(G2471&lt;18,'General Basis'!$C$39,IF(G2471&lt;41,'General Basis'!$C$40,IF(G2471&lt;60,'General Basis'!$C$41,IF(G2471&lt;65,'General Basis'!$C$42,'General Basis'!$C$43)))),IF(G2471&lt;11,'General Basis'!$B$39,IF(G2471&lt;18,'General Basis'!$B$40,IF(G2471&lt;26,'General Basis'!$B$41,IF(G2471&lt;31,'General Basis'!$B$42,IF(G2471&lt;36,'General Basis'!$B$43,IF(G2471&lt;41,'General Basis'!$B$44,IF(G2471&lt;46,'General Basis'!$B$45,IF(G2471&lt;51,'General Basis'!$B$46,IF(G2471&lt;56,'General Basis'!$B$47,IF(G2471&lt;60,'General Basis'!$B$48,IF(G2471&lt;65,'General Basis'!$B$49,'General Basis'!$B$50)))))))))))))</f>
        <v/>
      </c>
      <c r="BI2471" s="744" t="str">
        <f t="shared" si="863"/>
        <v/>
      </c>
      <c r="BJ2471" s="747" t="str">
        <f t="shared" si="870"/>
        <v/>
      </c>
      <c r="BK2471" s="498" t="str">
        <f t="shared" si="864"/>
        <v/>
      </c>
      <c r="BL2471" s="498" t="str">
        <f t="shared" si="865"/>
        <v/>
      </c>
    </row>
    <row r="2472" spans="1:64" x14ac:dyDescent="0.25">
      <c r="A2472" s="762">
        <f t="shared" si="866"/>
        <v>2467</v>
      </c>
      <c r="B2472" s="229"/>
      <c r="C2472" s="223"/>
      <c r="D2472" s="224"/>
      <c r="E2472" s="225"/>
      <c r="F2472" s="1036" t="str">
        <f t="shared" si="872"/>
        <v/>
      </c>
      <c r="G2472" s="1037" t="str">
        <f t="shared" si="867"/>
        <v/>
      </c>
      <c r="H2472" s="225"/>
      <c r="I2472" s="1013"/>
      <c r="J2472" s="1013"/>
      <c r="K2472" s="1028"/>
      <c r="L2472" s="1035" t="str">
        <f t="shared" si="871"/>
        <v/>
      </c>
      <c r="S2472" s="498"/>
      <c r="AJ2472" s="498"/>
      <c r="AM2472" s="498">
        <f t="shared" si="852"/>
        <v>0</v>
      </c>
      <c r="AN2472" s="498">
        <f t="shared" si="853"/>
        <v>0</v>
      </c>
      <c r="AO2472" s="498">
        <f t="shared" si="854"/>
        <v>0</v>
      </c>
      <c r="AP2472" s="498">
        <f t="shared" si="873"/>
        <v>0</v>
      </c>
      <c r="AQ2472" s="498">
        <f t="shared" si="868"/>
        <v>0</v>
      </c>
      <c r="AU2472" s="498">
        <f t="shared" si="855"/>
        <v>0</v>
      </c>
      <c r="AV2472" s="498">
        <f t="shared" si="856"/>
        <v>0</v>
      </c>
      <c r="AW2472" s="498">
        <f t="shared" si="857"/>
        <v>0</v>
      </c>
      <c r="AX2472" s="498">
        <f t="shared" si="858"/>
        <v>0</v>
      </c>
      <c r="AY2472" s="498">
        <f t="shared" si="859"/>
        <v>0</v>
      </c>
      <c r="BB2472" s="498" t="str">
        <f t="shared" si="860"/>
        <v/>
      </c>
      <c r="BC2472" s="743" t="str">
        <f t="shared" si="861"/>
        <v/>
      </c>
      <c r="BD2472" s="743" t="str">
        <f t="shared" si="862"/>
        <v/>
      </c>
      <c r="BE2472" s="743" t="str">
        <f>IF(D2472="","",VLOOKUP(D2472,'General Basis'!$J$39:$K$46,2,0))</f>
        <v/>
      </c>
      <c r="BF2472" s="744" t="str">
        <f>IF(D2472="","",VLOOKUP(D2472,'General Basis'!$J$39:$L$46,3,0))</f>
        <v/>
      </c>
      <c r="BG2472" s="744" t="str">
        <f t="shared" si="869"/>
        <v/>
      </c>
      <c r="BH2472" s="744" t="str">
        <f>IF(G2472="","",IF(BF2472="Abu Dhabi",IF(G2472&lt;18,'General Basis'!$C$39,IF(G2472&lt;41,'General Basis'!$C$40,IF(G2472&lt;60,'General Basis'!$C$41,IF(G2472&lt;65,'General Basis'!$C$42,'General Basis'!$C$43)))),IF(G2472&lt;11,'General Basis'!$B$39,IF(G2472&lt;18,'General Basis'!$B$40,IF(G2472&lt;26,'General Basis'!$B$41,IF(G2472&lt;31,'General Basis'!$B$42,IF(G2472&lt;36,'General Basis'!$B$43,IF(G2472&lt;41,'General Basis'!$B$44,IF(G2472&lt;46,'General Basis'!$B$45,IF(G2472&lt;51,'General Basis'!$B$46,IF(G2472&lt;56,'General Basis'!$B$47,IF(G2472&lt;60,'General Basis'!$B$48,IF(G2472&lt;65,'General Basis'!$B$49,'General Basis'!$B$50)))))))))))))</f>
        <v/>
      </c>
      <c r="BI2472" s="744" t="str">
        <f t="shared" si="863"/>
        <v/>
      </c>
      <c r="BJ2472" s="747" t="str">
        <f t="shared" si="870"/>
        <v/>
      </c>
      <c r="BK2472" s="498" t="str">
        <f t="shared" si="864"/>
        <v/>
      </c>
      <c r="BL2472" s="498" t="str">
        <f t="shared" si="865"/>
        <v/>
      </c>
    </row>
    <row r="2473" spans="1:64" x14ac:dyDescent="0.25">
      <c r="A2473" s="762">
        <f t="shared" si="866"/>
        <v>2468</v>
      </c>
      <c r="B2473" s="229"/>
      <c r="C2473" s="223"/>
      <c r="D2473" s="224"/>
      <c r="E2473" s="225"/>
      <c r="F2473" s="1036" t="str">
        <f t="shared" si="872"/>
        <v/>
      </c>
      <c r="G2473" s="1037" t="str">
        <f t="shared" si="867"/>
        <v/>
      </c>
      <c r="H2473" s="225"/>
      <c r="I2473" s="1013"/>
      <c r="J2473" s="1013"/>
      <c r="K2473" s="1028"/>
      <c r="L2473" s="1035" t="str">
        <f t="shared" si="871"/>
        <v/>
      </c>
      <c r="S2473" s="498"/>
      <c r="AJ2473" s="498"/>
      <c r="AM2473" s="498">
        <f t="shared" si="852"/>
        <v>0</v>
      </c>
      <c r="AN2473" s="498">
        <f t="shared" si="853"/>
        <v>0</v>
      </c>
      <c r="AO2473" s="498">
        <f t="shared" si="854"/>
        <v>0</v>
      </c>
      <c r="AP2473" s="498">
        <f t="shared" si="873"/>
        <v>0</v>
      </c>
      <c r="AQ2473" s="498">
        <f t="shared" si="868"/>
        <v>0</v>
      </c>
      <c r="AU2473" s="498">
        <f t="shared" si="855"/>
        <v>0</v>
      </c>
      <c r="AV2473" s="498">
        <f t="shared" si="856"/>
        <v>0</v>
      </c>
      <c r="AW2473" s="498">
        <f t="shared" si="857"/>
        <v>0</v>
      </c>
      <c r="AX2473" s="498">
        <f t="shared" si="858"/>
        <v>0</v>
      </c>
      <c r="AY2473" s="498">
        <f t="shared" si="859"/>
        <v>0</v>
      </c>
      <c r="BB2473" s="498" t="str">
        <f t="shared" si="860"/>
        <v/>
      </c>
      <c r="BC2473" s="743" t="str">
        <f t="shared" si="861"/>
        <v/>
      </c>
      <c r="BD2473" s="743" t="str">
        <f t="shared" si="862"/>
        <v/>
      </c>
      <c r="BE2473" s="743" t="str">
        <f>IF(D2473="","",VLOOKUP(D2473,'General Basis'!$J$39:$K$46,2,0))</f>
        <v/>
      </c>
      <c r="BF2473" s="744" t="str">
        <f>IF(D2473="","",VLOOKUP(D2473,'General Basis'!$J$39:$L$46,3,0))</f>
        <v/>
      </c>
      <c r="BG2473" s="744" t="str">
        <f t="shared" si="869"/>
        <v/>
      </c>
      <c r="BH2473" s="744" t="str">
        <f>IF(G2473="","",IF(BF2473="Abu Dhabi",IF(G2473&lt;18,'General Basis'!$C$39,IF(G2473&lt;41,'General Basis'!$C$40,IF(G2473&lt;60,'General Basis'!$C$41,IF(G2473&lt;65,'General Basis'!$C$42,'General Basis'!$C$43)))),IF(G2473&lt;11,'General Basis'!$B$39,IF(G2473&lt;18,'General Basis'!$B$40,IF(G2473&lt;26,'General Basis'!$B$41,IF(G2473&lt;31,'General Basis'!$B$42,IF(G2473&lt;36,'General Basis'!$B$43,IF(G2473&lt;41,'General Basis'!$B$44,IF(G2473&lt;46,'General Basis'!$B$45,IF(G2473&lt;51,'General Basis'!$B$46,IF(G2473&lt;56,'General Basis'!$B$47,IF(G2473&lt;60,'General Basis'!$B$48,IF(G2473&lt;65,'General Basis'!$B$49,'General Basis'!$B$50)))))))))))))</f>
        <v/>
      </c>
      <c r="BI2473" s="744" t="str">
        <f t="shared" si="863"/>
        <v/>
      </c>
      <c r="BJ2473" s="747" t="str">
        <f t="shared" si="870"/>
        <v/>
      </c>
      <c r="BK2473" s="498" t="str">
        <f t="shared" si="864"/>
        <v/>
      </c>
      <c r="BL2473" s="498" t="str">
        <f t="shared" si="865"/>
        <v/>
      </c>
    </row>
    <row r="2474" spans="1:64" x14ac:dyDescent="0.25">
      <c r="A2474" s="762">
        <f t="shared" si="866"/>
        <v>2469</v>
      </c>
      <c r="B2474" s="229"/>
      <c r="C2474" s="223"/>
      <c r="D2474" s="224"/>
      <c r="E2474" s="225"/>
      <c r="F2474" s="1036" t="str">
        <f t="shared" si="872"/>
        <v/>
      </c>
      <c r="G2474" s="1037" t="str">
        <f t="shared" si="867"/>
        <v/>
      </c>
      <c r="H2474" s="225"/>
      <c r="I2474" s="1013"/>
      <c r="J2474" s="1013"/>
      <c r="K2474" s="1028"/>
      <c r="L2474" s="1035" t="str">
        <f t="shared" si="871"/>
        <v/>
      </c>
      <c r="S2474" s="498"/>
      <c r="AJ2474" s="498"/>
      <c r="AM2474" s="498">
        <f t="shared" si="852"/>
        <v>0</v>
      </c>
      <c r="AN2474" s="498">
        <f t="shared" si="853"/>
        <v>0</v>
      </c>
      <c r="AO2474" s="498">
        <f t="shared" si="854"/>
        <v>0</v>
      </c>
      <c r="AP2474" s="498">
        <f t="shared" si="873"/>
        <v>0</v>
      </c>
      <c r="AQ2474" s="498">
        <f t="shared" si="868"/>
        <v>0</v>
      </c>
      <c r="AU2474" s="498">
        <f t="shared" si="855"/>
        <v>0</v>
      </c>
      <c r="AV2474" s="498">
        <f t="shared" si="856"/>
        <v>0</v>
      </c>
      <c r="AW2474" s="498">
        <f t="shared" si="857"/>
        <v>0</v>
      </c>
      <c r="AX2474" s="498">
        <f t="shared" si="858"/>
        <v>0</v>
      </c>
      <c r="AY2474" s="498">
        <f t="shared" si="859"/>
        <v>0</v>
      </c>
      <c r="BB2474" s="498" t="str">
        <f t="shared" si="860"/>
        <v/>
      </c>
      <c r="BC2474" s="743" t="str">
        <f t="shared" si="861"/>
        <v/>
      </c>
      <c r="BD2474" s="743" t="str">
        <f t="shared" si="862"/>
        <v/>
      </c>
      <c r="BE2474" s="743" t="str">
        <f>IF(D2474="","",VLOOKUP(D2474,'General Basis'!$J$39:$K$46,2,0))</f>
        <v/>
      </c>
      <c r="BF2474" s="744" t="str">
        <f>IF(D2474="","",VLOOKUP(D2474,'General Basis'!$J$39:$L$46,3,0))</f>
        <v/>
      </c>
      <c r="BG2474" s="744" t="str">
        <f t="shared" si="869"/>
        <v/>
      </c>
      <c r="BH2474" s="744" t="str">
        <f>IF(G2474="","",IF(BF2474="Abu Dhabi",IF(G2474&lt;18,'General Basis'!$C$39,IF(G2474&lt;41,'General Basis'!$C$40,IF(G2474&lt;60,'General Basis'!$C$41,IF(G2474&lt;65,'General Basis'!$C$42,'General Basis'!$C$43)))),IF(G2474&lt;11,'General Basis'!$B$39,IF(G2474&lt;18,'General Basis'!$B$40,IF(G2474&lt;26,'General Basis'!$B$41,IF(G2474&lt;31,'General Basis'!$B$42,IF(G2474&lt;36,'General Basis'!$B$43,IF(G2474&lt;41,'General Basis'!$B$44,IF(G2474&lt;46,'General Basis'!$B$45,IF(G2474&lt;51,'General Basis'!$B$46,IF(G2474&lt;56,'General Basis'!$B$47,IF(G2474&lt;60,'General Basis'!$B$48,IF(G2474&lt;65,'General Basis'!$B$49,'General Basis'!$B$50)))))))))))))</f>
        <v/>
      </c>
      <c r="BI2474" s="744" t="str">
        <f t="shared" si="863"/>
        <v/>
      </c>
      <c r="BJ2474" s="747" t="str">
        <f t="shared" si="870"/>
        <v/>
      </c>
      <c r="BK2474" s="498" t="str">
        <f t="shared" si="864"/>
        <v/>
      </c>
      <c r="BL2474" s="498" t="str">
        <f t="shared" si="865"/>
        <v/>
      </c>
    </row>
    <row r="2475" spans="1:64" x14ac:dyDescent="0.25">
      <c r="A2475" s="762">
        <f t="shared" si="866"/>
        <v>2470</v>
      </c>
      <c r="B2475" s="229"/>
      <c r="C2475" s="223"/>
      <c r="D2475" s="224"/>
      <c r="E2475" s="225"/>
      <c r="F2475" s="1036" t="str">
        <f t="shared" si="872"/>
        <v/>
      </c>
      <c r="G2475" s="1037" t="str">
        <f t="shared" si="867"/>
        <v/>
      </c>
      <c r="H2475" s="225"/>
      <c r="I2475" s="1013"/>
      <c r="J2475" s="1013"/>
      <c r="K2475" s="1028"/>
      <c r="L2475" s="1035" t="str">
        <f t="shared" si="871"/>
        <v/>
      </c>
      <c r="S2475" s="498"/>
      <c r="AJ2475" s="498"/>
      <c r="AM2475" s="498">
        <f t="shared" si="852"/>
        <v>0</v>
      </c>
      <c r="AN2475" s="498">
        <f t="shared" si="853"/>
        <v>0</v>
      </c>
      <c r="AO2475" s="498">
        <f t="shared" si="854"/>
        <v>0</v>
      </c>
      <c r="AP2475" s="498">
        <f t="shared" si="873"/>
        <v>0</v>
      </c>
      <c r="AQ2475" s="498">
        <f t="shared" si="868"/>
        <v>0</v>
      </c>
      <c r="AU2475" s="498">
        <f t="shared" si="855"/>
        <v>0</v>
      </c>
      <c r="AV2475" s="498">
        <f t="shared" si="856"/>
        <v>0</v>
      </c>
      <c r="AW2475" s="498">
        <f t="shared" si="857"/>
        <v>0</v>
      </c>
      <c r="AX2475" s="498">
        <f t="shared" si="858"/>
        <v>0</v>
      </c>
      <c r="AY2475" s="498">
        <f t="shared" si="859"/>
        <v>0</v>
      </c>
      <c r="BB2475" s="498" t="str">
        <f t="shared" si="860"/>
        <v/>
      </c>
      <c r="BC2475" s="743" t="str">
        <f t="shared" si="861"/>
        <v/>
      </c>
      <c r="BD2475" s="743" t="str">
        <f t="shared" si="862"/>
        <v/>
      </c>
      <c r="BE2475" s="743" t="str">
        <f>IF(D2475="","",VLOOKUP(D2475,'General Basis'!$J$39:$K$46,2,0))</f>
        <v/>
      </c>
      <c r="BF2475" s="744" t="str">
        <f>IF(D2475="","",VLOOKUP(D2475,'General Basis'!$J$39:$L$46,3,0))</f>
        <v/>
      </c>
      <c r="BG2475" s="744" t="str">
        <f t="shared" si="869"/>
        <v/>
      </c>
      <c r="BH2475" s="744" t="str">
        <f>IF(G2475="","",IF(BF2475="Abu Dhabi",IF(G2475&lt;18,'General Basis'!$C$39,IF(G2475&lt;41,'General Basis'!$C$40,IF(G2475&lt;60,'General Basis'!$C$41,IF(G2475&lt;65,'General Basis'!$C$42,'General Basis'!$C$43)))),IF(G2475&lt;11,'General Basis'!$B$39,IF(G2475&lt;18,'General Basis'!$B$40,IF(G2475&lt;26,'General Basis'!$B$41,IF(G2475&lt;31,'General Basis'!$B$42,IF(G2475&lt;36,'General Basis'!$B$43,IF(G2475&lt;41,'General Basis'!$B$44,IF(G2475&lt;46,'General Basis'!$B$45,IF(G2475&lt;51,'General Basis'!$B$46,IF(G2475&lt;56,'General Basis'!$B$47,IF(G2475&lt;60,'General Basis'!$B$48,IF(G2475&lt;65,'General Basis'!$B$49,'General Basis'!$B$50)))))))))))))</f>
        <v/>
      </c>
      <c r="BI2475" s="744" t="str">
        <f t="shared" si="863"/>
        <v/>
      </c>
      <c r="BJ2475" s="747" t="str">
        <f t="shared" si="870"/>
        <v/>
      </c>
      <c r="BK2475" s="498" t="str">
        <f t="shared" si="864"/>
        <v/>
      </c>
      <c r="BL2475" s="498" t="str">
        <f t="shared" si="865"/>
        <v/>
      </c>
    </row>
    <row r="2476" spans="1:64" x14ac:dyDescent="0.25">
      <c r="A2476" s="762">
        <f t="shared" si="866"/>
        <v>2471</v>
      </c>
      <c r="B2476" s="229"/>
      <c r="C2476" s="223"/>
      <c r="D2476" s="224"/>
      <c r="E2476" s="225"/>
      <c r="F2476" s="1036" t="str">
        <f t="shared" si="872"/>
        <v/>
      </c>
      <c r="G2476" s="1037" t="str">
        <f t="shared" si="867"/>
        <v/>
      </c>
      <c r="H2476" s="225"/>
      <c r="I2476" s="1013"/>
      <c r="J2476" s="1013"/>
      <c r="K2476" s="1028"/>
      <c r="L2476" s="1035" t="str">
        <f t="shared" si="871"/>
        <v/>
      </c>
      <c r="S2476" s="498"/>
      <c r="AJ2476" s="498"/>
      <c r="AM2476" s="498">
        <f t="shared" si="852"/>
        <v>0</v>
      </c>
      <c r="AN2476" s="498">
        <f t="shared" si="853"/>
        <v>0</v>
      </c>
      <c r="AO2476" s="498">
        <f t="shared" si="854"/>
        <v>0</v>
      </c>
      <c r="AP2476" s="498">
        <f t="shared" si="873"/>
        <v>0</v>
      </c>
      <c r="AQ2476" s="498">
        <f t="shared" si="868"/>
        <v>0</v>
      </c>
      <c r="AU2476" s="498">
        <f t="shared" si="855"/>
        <v>0</v>
      </c>
      <c r="AV2476" s="498">
        <f t="shared" si="856"/>
        <v>0</v>
      </c>
      <c r="AW2476" s="498">
        <f t="shared" si="857"/>
        <v>0</v>
      </c>
      <c r="AX2476" s="498">
        <f t="shared" si="858"/>
        <v>0</v>
      </c>
      <c r="AY2476" s="498">
        <f t="shared" si="859"/>
        <v>0</v>
      </c>
      <c r="BB2476" s="498" t="str">
        <f t="shared" si="860"/>
        <v/>
      </c>
      <c r="BC2476" s="743" t="str">
        <f t="shared" si="861"/>
        <v/>
      </c>
      <c r="BD2476" s="743" t="str">
        <f t="shared" si="862"/>
        <v/>
      </c>
      <c r="BE2476" s="743" t="str">
        <f>IF(D2476="","",VLOOKUP(D2476,'General Basis'!$J$39:$K$46,2,0))</f>
        <v/>
      </c>
      <c r="BF2476" s="744" t="str">
        <f>IF(D2476="","",VLOOKUP(D2476,'General Basis'!$J$39:$L$46,3,0))</f>
        <v/>
      </c>
      <c r="BG2476" s="744" t="str">
        <f t="shared" si="869"/>
        <v/>
      </c>
      <c r="BH2476" s="744" t="str">
        <f>IF(G2476="","",IF(BF2476="Abu Dhabi",IF(G2476&lt;18,'General Basis'!$C$39,IF(G2476&lt;41,'General Basis'!$C$40,IF(G2476&lt;60,'General Basis'!$C$41,IF(G2476&lt;65,'General Basis'!$C$42,'General Basis'!$C$43)))),IF(G2476&lt;11,'General Basis'!$B$39,IF(G2476&lt;18,'General Basis'!$B$40,IF(G2476&lt;26,'General Basis'!$B$41,IF(G2476&lt;31,'General Basis'!$B$42,IF(G2476&lt;36,'General Basis'!$B$43,IF(G2476&lt;41,'General Basis'!$B$44,IF(G2476&lt;46,'General Basis'!$B$45,IF(G2476&lt;51,'General Basis'!$B$46,IF(G2476&lt;56,'General Basis'!$B$47,IF(G2476&lt;60,'General Basis'!$B$48,IF(G2476&lt;65,'General Basis'!$B$49,'General Basis'!$B$50)))))))))))))</f>
        <v/>
      </c>
      <c r="BI2476" s="744" t="str">
        <f t="shared" si="863"/>
        <v/>
      </c>
      <c r="BJ2476" s="747" t="str">
        <f t="shared" si="870"/>
        <v/>
      </c>
      <c r="BK2476" s="498" t="str">
        <f t="shared" si="864"/>
        <v/>
      </c>
      <c r="BL2476" s="498" t="str">
        <f t="shared" si="865"/>
        <v/>
      </c>
    </row>
    <row r="2477" spans="1:64" x14ac:dyDescent="0.25">
      <c r="A2477" s="762">
        <f t="shared" si="866"/>
        <v>2472</v>
      </c>
      <c r="B2477" s="229"/>
      <c r="C2477" s="223"/>
      <c r="D2477" s="224"/>
      <c r="E2477" s="225"/>
      <c r="F2477" s="1036" t="str">
        <f t="shared" si="872"/>
        <v/>
      </c>
      <c r="G2477" s="1037" t="str">
        <f t="shared" si="867"/>
        <v/>
      </c>
      <c r="H2477" s="225"/>
      <c r="I2477" s="1013"/>
      <c r="J2477" s="1013"/>
      <c r="K2477" s="1028"/>
      <c r="L2477" s="1035" t="str">
        <f t="shared" si="871"/>
        <v/>
      </c>
      <c r="S2477" s="498"/>
      <c r="AJ2477" s="498"/>
      <c r="AM2477" s="498">
        <f t="shared" si="852"/>
        <v>0</v>
      </c>
      <c r="AN2477" s="498">
        <f t="shared" si="853"/>
        <v>0</v>
      </c>
      <c r="AO2477" s="498">
        <f t="shared" si="854"/>
        <v>0</v>
      </c>
      <c r="AP2477" s="498">
        <f t="shared" si="873"/>
        <v>0</v>
      </c>
      <c r="AQ2477" s="498">
        <f t="shared" si="868"/>
        <v>0</v>
      </c>
      <c r="AU2477" s="498">
        <f t="shared" si="855"/>
        <v>0</v>
      </c>
      <c r="AV2477" s="498">
        <f t="shared" si="856"/>
        <v>0</v>
      </c>
      <c r="AW2477" s="498">
        <f t="shared" si="857"/>
        <v>0</v>
      </c>
      <c r="AX2477" s="498">
        <f t="shared" si="858"/>
        <v>0</v>
      </c>
      <c r="AY2477" s="498">
        <f t="shared" si="859"/>
        <v>0</v>
      </c>
      <c r="BB2477" s="498" t="str">
        <f t="shared" si="860"/>
        <v/>
      </c>
      <c r="BC2477" s="743" t="str">
        <f t="shared" si="861"/>
        <v/>
      </c>
      <c r="BD2477" s="743" t="str">
        <f t="shared" si="862"/>
        <v/>
      </c>
      <c r="BE2477" s="743" t="str">
        <f>IF(D2477="","",VLOOKUP(D2477,'General Basis'!$J$39:$K$46,2,0))</f>
        <v/>
      </c>
      <c r="BF2477" s="744" t="str">
        <f>IF(D2477="","",VLOOKUP(D2477,'General Basis'!$J$39:$L$46,3,0))</f>
        <v/>
      </c>
      <c r="BG2477" s="744" t="str">
        <f t="shared" si="869"/>
        <v/>
      </c>
      <c r="BH2477" s="744" t="str">
        <f>IF(G2477="","",IF(BF2477="Abu Dhabi",IF(G2477&lt;18,'General Basis'!$C$39,IF(G2477&lt;41,'General Basis'!$C$40,IF(G2477&lt;60,'General Basis'!$C$41,IF(G2477&lt;65,'General Basis'!$C$42,'General Basis'!$C$43)))),IF(G2477&lt;11,'General Basis'!$B$39,IF(G2477&lt;18,'General Basis'!$B$40,IF(G2477&lt;26,'General Basis'!$B$41,IF(G2477&lt;31,'General Basis'!$B$42,IF(G2477&lt;36,'General Basis'!$B$43,IF(G2477&lt;41,'General Basis'!$B$44,IF(G2477&lt;46,'General Basis'!$B$45,IF(G2477&lt;51,'General Basis'!$B$46,IF(G2477&lt;56,'General Basis'!$B$47,IF(G2477&lt;60,'General Basis'!$B$48,IF(G2477&lt;65,'General Basis'!$B$49,'General Basis'!$B$50)))))))))))))</f>
        <v/>
      </c>
      <c r="BI2477" s="744" t="str">
        <f t="shared" si="863"/>
        <v/>
      </c>
      <c r="BJ2477" s="747" t="str">
        <f t="shared" si="870"/>
        <v/>
      </c>
      <c r="BK2477" s="498" t="str">
        <f t="shared" si="864"/>
        <v/>
      </c>
      <c r="BL2477" s="498" t="str">
        <f t="shared" si="865"/>
        <v/>
      </c>
    </row>
    <row r="2478" spans="1:64" x14ac:dyDescent="0.25">
      <c r="A2478" s="762">
        <f t="shared" si="866"/>
        <v>2473</v>
      </c>
      <c r="B2478" s="229"/>
      <c r="C2478" s="223"/>
      <c r="D2478" s="224"/>
      <c r="E2478" s="225"/>
      <c r="F2478" s="1036" t="str">
        <f t="shared" si="872"/>
        <v/>
      </c>
      <c r="G2478" s="1037" t="str">
        <f t="shared" si="867"/>
        <v/>
      </c>
      <c r="H2478" s="225"/>
      <c r="I2478" s="1013"/>
      <c r="J2478" s="1013"/>
      <c r="K2478" s="1028"/>
      <c r="L2478" s="1035" t="str">
        <f t="shared" si="871"/>
        <v/>
      </c>
      <c r="S2478" s="498"/>
      <c r="AJ2478" s="498"/>
      <c r="AM2478" s="498">
        <f t="shared" si="852"/>
        <v>0</v>
      </c>
      <c r="AN2478" s="498">
        <f t="shared" si="853"/>
        <v>0</v>
      </c>
      <c r="AO2478" s="498">
        <f t="shared" si="854"/>
        <v>0</v>
      </c>
      <c r="AP2478" s="498">
        <f t="shared" si="873"/>
        <v>0</v>
      </c>
      <c r="AQ2478" s="498">
        <f t="shared" si="868"/>
        <v>0</v>
      </c>
      <c r="AU2478" s="498">
        <f t="shared" si="855"/>
        <v>0</v>
      </c>
      <c r="AV2478" s="498">
        <f t="shared" si="856"/>
        <v>0</v>
      </c>
      <c r="AW2478" s="498">
        <f t="shared" si="857"/>
        <v>0</v>
      </c>
      <c r="AX2478" s="498">
        <f t="shared" si="858"/>
        <v>0</v>
      </c>
      <c r="AY2478" s="498">
        <f t="shared" si="859"/>
        <v>0</v>
      </c>
      <c r="BB2478" s="498" t="str">
        <f t="shared" si="860"/>
        <v/>
      </c>
      <c r="BC2478" s="743" t="str">
        <f t="shared" si="861"/>
        <v/>
      </c>
      <c r="BD2478" s="743" t="str">
        <f t="shared" si="862"/>
        <v/>
      </c>
      <c r="BE2478" s="743" t="str">
        <f>IF(D2478="","",VLOOKUP(D2478,'General Basis'!$J$39:$K$46,2,0))</f>
        <v/>
      </c>
      <c r="BF2478" s="744" t="str">
        <f>IF(D2478="","",VLOOKUP(D2478,'General Basis'!$J$39:$L$46,3,0))</f>
        <v/>
      </c>
      <c r="BG2478" s="744" t="str">
        <f t="shared" si="869"/>
        <v/>
      </c>
      <c r="BH2478" s="744" t="str">
        <f>IF(G2478="","",IF(BF2478="Abu Dhabi",IF(G2478&lt;18,'General Basis'!$C$39,IF(G2478&lt;41,'General Basis'!$C$40,IF(G2478&lt;60,'General Basis'!$C$41,IF(G2478&lt;65,'General Basis'!$C$42,'General Basis'!$C$43)))),IF(G2478&lt;11,'General Basis'!$B$39,IF(G2478&lt;18,'General Basis'!$B$40,IF(G2478&lt;26,'General Basis'!$B$41,IF(G2478&lt;31,'General Basis'!$B$42,IF(G2478&lt;36,'General Basis'!$B$43,IF(G2478&lt;41,'General Basis'!$B$44,IF(G2478&lt;46,'General Basis'!$B$45,IF(G2478&lt;51,'General Basis'!$B$46,IF(G2478&lt;56,'General Basis'!$B$47,IF(G2478&lt;60,'General Basis'!$B$48,IF(G2478&lt;65,'General Basis'!$B$49,'General Basis'!$B$50)))))))))))))</f>
        <v/>
      </c>
      <c r="BI2478" s="744" t="str">
        <f t="shared" si="863"/>
        <v/>
      </c>
      <c r="BJ2478" s="747" t="str">
        <f t="shared" si="870"/>
        <v/>
      </c>
      <c r="BK2478" s="498" t="str">
        <f t="shared" si="864"/>
        <v/>
      </c>
      <c r="BL2478" s="498" t="str">
        <f t="shared" si="865"/>
        <v/>
      </c>
    </row>
    <row r="2479" spans="1:64" x14ac:dyDescent="0.25">
      <c r="A2479" s="762">
        <f t="shared" si="866"/>
        <v>2474</v>
      </c>
      <c r="B2479" s="229"/>
      <c r="C2479" s="223"/>
      <c r="D2479" s="224"/>
      <c r="E2479" s="225"/>
      <c r="F2479" s="1036" t="str">
        <f t="shared" si="872"/>
        <v/>
      </c>
      <c r="G2479" s="1037" t="str">
        <f t="shared" si="867"/>
        <v/>
      </c>
      <c r="H2479" s="225"/>
      <c r="I2479" s="1013"/>
      <c r="J2479" s="1013"/>
      <c r="K2479" s="1028"/>
      <c r="L2479" s="1035" t="str">
        <f t="shared" si="871"/>
        <v/>
      </c>
      <c r="S2479" s="498"/>
      <c r="AJ2479" s="498"/>
      <c r="AM2479" s="498">
        <f t="shared" si="852"/>
        <v>0</v>
      </c>
      <c r="AN2479" s="498">
        <f t="shared" si="853"/>
        <v>0</v>
      </c>
      <c r="AO2479" s="498">
        <f t="shared" si="854"/>
        <v>0</v>
      </c>
      <c r="AP2479" s="498">
        <f t="shared" si="873"/>
        <v>0</v>
      </c>
      <c r="AQ2479" s="498">
        <f t="shared" si="868"/>
        <v>0</v>
      </c>
      <c r="AU2479" s="498">
        <f t="shared" si="855"/>
        <v>0</v>
      </c>
      <c r="AV2479" s="498">
        <f t="shared" si="856"/>
        <v>0</v>
      </c>
      <c r="AW2479" s="498">
        <f t="shared" si="857"/>
        <v>0</v>
      </c>
      <c r="AX2479" s="498">
        <f t="shared" si="858"/>
        <v>0</v>
      </c>
      <c r="AY2479" s="498">
        <f t="shared" si="859"/>
        <v>0</v>
      </c>
      <c r="BB2479" s="498" t="str">
        <f t="shared" si="860"/>
        <v/>
      </c>
      <c r="BC2479" s="743" t="str">
        <f t="shared" si="861"/>
        <v/>
      </c>
      <c r="BD2479" s="743" t="str">
        <f t="shared" si="862"/>
        <v/>
      </c>
      <c r="BE2479" s="743" t="str">
        <f>IF(D2479="","",VLOOKUP(D2479,'General Basis'!$J$39:$K$46,2,0))</f>
        <v/>
      </c>
      <c r="BF2479" s="744" t="str">
        <f>IF(D2479="","",VLOOKUP(D2479,'General Basis'!$J$39:$L$46,3,0))</f>
        <v/>
      </c>
      <c r="BG2479" s="744" t="str">
        <f t="shared" si="869"/>
        <v/>
      </c>
      <c r="BH2479" s="744" t="str">
        <f>IF(G2479="","",IF(BF2479="Abu Dhabi",IF(G2479&lt;18,'General Basis'!$C$39,IF(G2479&lt;41,'General Basis'!$C$40,IF(G2479&lt;60,'General Basis'!$C$41,IF(G2479&lt;65,'General Basis'!$C$42,'General Basis'!$C$43)))),IF(G2479&lt;11,'General Basis'!$B$39,IF(G2479&lt;18,'General Basis'!$B$40,IF(G2479&lt;26,'General Basis'!$B$41,IF(G2479&lt;31,'General Basis'!$B$42,IF(G2479&lt;36,'General Basis'!$B$43,IF(G2479&lt;41,'General Basis'!$B$44,IF(G2479&lt;46,'General Basis'!$B$45,IF(G2479&lt;51,'General Basis'!$B$46,IF(G2479&lt;56,'General Basis'!$B$47,IF(G2479&lt;60,'General Basis'!$B$48,IF(G2479&lt;65,'General Basis'!$B$49,'General Basis'!$B$50)))))))))))))</f>
        <v/>
      </c>
      <c r="BI2479" s="744" t="str">
        <f t="shared" si="863"/>
        <v/>
      </c>
      <c r="BJ2479" s="747" t="str">
        <f t="shared" si="870"/>
        <v/>
      </c>
      <c r="BK2479" s="498" t="str">
        <f t="shared" si="864"/>
        <v/>
      </c>
      <c r="BL2479" s="498" t="str">
        <f t="shared" si="865"/>
        <v/>
      </c>
    </row>
    <row r="2480" spans="1:64" x14ac:dyDescent="0.25">
      <c r="A2480" s="762">
        <f t="shared" si="866"/>
        <v>2475</v>
      </c>
      <c r="B2480" s="229"/>
      <c r="C2480" s="223"/>
      <c r="D2480" s="224"/>
      <c r="E2480" s="225"/>
      <c r="F2480" s="1036" t="str">
        <f t="shared" si="872"/>
        <v/>
      </c>
      <c r="G2480" s="1037" t="str">
        <f t="shared" si="867"/>
        <v/>
      </c>
      <c r="H2480" s="225"/>
      <c r="I2480" s="1013"/>
      <c r="J2480" s="1013"/>
      <c r="K2480" s="1028"/>
      <c r="L2480" s="1035" t="str">
        <f t="shared" si="871"/>
        <v/>
      </c>
      <c r="S2480" s="498"/>
      <c r="AJ2480" s="498"/>
      <c r="AM2480" s="498">
        <f t="shared" si="852"/>
        <v>0</v>
      </c>
      <c r="AN2480" s="498">
        <f t="shared" si="853"/>
        <v>0</v>
      </c>
      <c r="AO2480" s="498">
        <f t="shared" si="854"/>
        <v>0</v>
      </c>
      <c r="AP2480" s="498">
        <f t="shared" si="873"/>
        <v>0</v>
      </c>
      <c r="AQ2480" s="498">
        <f t="shared" si="868"/>
        <v>0</v>
      </c>
      <c r="AU2480" s="498">
        <f t="shared" si="855"/>
        <v>0</v>
      </c>
      <c r="AV2480" s="498">
        <f t="shared" si="856"/>
        <v>0</v>
      </c>
      <c r="AW2480" s="498">
        <f t="shared" si="857"/>
        <v>0</v>
      </c>
      <c r="AX2480" s="498">
        <f t="shared" si="858"/>
        <v>0</v>
      </c>
      <c r="AY2480" s="498">
        <f t="shared" si="859"/>
        <v>0</v>
      </c>
      <c r="BB2480" s="498" t="str">
        <f t="shared" si="860"/>
        <v/>
      </c>
      <c r="BC2480" s="743" t="str">
        <f t="shared" si="861"/>
        <v/>
      </c>
      <c r="BD2480" s="743" t="str">
        <f t="shared" si="862"/>
        <v/>
      </c>
      <c r="BE2480" s="743" t="str">
        <f>IF(D2480="","",VLOOKUP(D2480,'General Basis'!$J$39:$K$46,2,0))</f>
        <v/>
      </c>
      <c r="BF2480" s="744" t="str">
        <f>IF(D2480="","",VLOOKUP(D2480,'General Basis'!$J$39:$L$46,3,0))</f>
        <v/>
      </c>
      <c r="BG2480" s="744" t="str">
        <f t="shared" si="869"/>
        <v/>
      </c>
      <c r="BH2480" s="744" t="str">
        <f>IF(G2480="","",IF(BF2480="Abu Dhabi",IF(G2480&lt;18,'General Basis'!$C$39,IF(G2480&lt;41,'General Basis'!$C$40,IF(G2480&lt;60,'General Basis'!$C$41,IF(G2480&lt;65,'General Basis'!$C$42,'General Basis'!$C$43)))),IF(G2480&lt;11,'General Basis'!$B$39,IF(G2480&lt;18,'General Basis'!$B$40,IF(G2480&lt;26,'General Basis'!$B$41,IF(G2480&lt;31,'General Basis'!$B$42,IF(G2480&lt;36,'General Basis'!$B$43,IF(G2480&lt;41,'General Basis'!$B$44,IF(G2480&lt;46,'General Basis'!$B$45,IF(G2480&lt;51,'General Basis'!$B$46,IF(G2480&lt;56,'General Basis'!$B$47,IF(G2480&lt;60,'General Basis'!$B$48,IF(G2480&lt;65,'General Basis'!$B$49,'General Basis'!$B$50)))))))))))))</f>
        <v/>
      </c>
      <c r="BI2480" s="744" t="str">
        <f t="shared" si="863"/>
        <v/>
      </c>
      <c r="BJ2480" s="747" t="str">
        <f t="shared" si="870"/>
        <v/>
      </c>
      <c r="BK2480" s="498" t="str">
        <f t="shared" si="864"/>
        <v/>
      </c>
      <c r="BL2480" s="498" t="str">
        <f t="shared" si="865"/>
        <v/>
      </c>
    </row>
    <row r="2481" spans="1:64" x14ac:dyDescent="0.25">
      <c r="A2481" s="762">
        <f t="shared" si="866"/>
        <v>2476</v>
      </c>
      <c r="B2481" s="229"/>
      <c r="C2481" s="223"/>
      <c r="D2481" s="224"/>
      <c r="E2481" s="225"/>
      <c r="F2481" s="1036" t="str">
        <f t="shared" si="872"/>
        <v/>
      </c>
      <c r="G2481" s="1037" t="str">
        <f t="shared" si="867"/>
        <v/>
      </c>
      <c r="H2481" s="225"/>
      <c r="I2481" s="1013"/>
      <c r="J2481" s="1013"/>
      <c r="K2481" s="1028"/>
      <c r="L2481" s="1035" t="str">
        <f t="shared" si="871"/>
        <v/>
      </c>
      <c r="S2481" s="498"/>
      <c r="AJ2481" s="498"/>
      <c r="AM2481" s="498">
        <f t="shared" si="852"/>
        <v>0</v>
      </c>
      <c r="AN2481" s="498">
        <f t="shared" si="853"/>
        <v>0</v>
      </c>
      <c r="AO2481" s="498">
        <f t="shared" si="854"/>
        <v>0</v>
      </c>
      <c r="AP2481" s="498">
        <f t="shared" si="873"/>
        <v>0</v>
      </c>
      <c r="AQ2481" s="498">
        <f t="shared" si="868"/>
        <v>0</v>
      </c>
      <c r="AU2481" s="498">
        <f t="shared" si="855"/>
        <v>0</v>
      </c>
      <c r="AV2481" s="498">
        <f t="shared" si="856"/>
        <v>0</v>
      </c>
      <c r="AW2481" s="498">
        <f t="shared" si="857"/>
        <v>0</v>
      </c>
      <c r="AX2481" s="498">
        <f t="shared" si="858"/>
        <v>0</v>
      </c>
      <c r="AY2481" s="498">
        <f t="shared" si="859"/>
        <v>0</v>
      </c>
      <c r="BB2481" s="498" t="str">
        <f t="shared" si="860"/>
        <v/>
      </c>
      <c r="BC2481" s="743" t="str">
        <f t="shared" si="861"/>
        <v/>
      </c>
      <c r="BD2481" s="743" t="str">
        <f t="shared" si="862"/>
        <v/>
      </c>
      <c r="BE2481" s="743" t="str">
        <f>IF(D2481="","",VLOOKUP(D2481,'General Basis'!$J$39:$K$46,2,0))</f>
        <v/>
      </c>
      <c r="BF2481" s="744" t="str">
        <f>IF(D2481="","",VLOOKUP(D2481,'General Basis'!$J$39:$L$46,3,0))</f>
        <v/>
      </c>
      <c r="BG2481" s="744" t="str">
        <f t="shared" si="869"/>
        <v/>
      </c>
      <c r="BH2481" s="744" t="str">
        <f>IF(G2481="","",IF(BF2481="Abu Dhabi",IF(G2481&lt;18,'General Basis'!$C$39,IF(G2481&lt;41,'General Basis'!$C$40,IF(G2481&lt;60,'General Basis'!$C$41,IF(G2481&lt;65,'General Basis'!$C$42,'General Basis'!$C$43)))),IF(G2481&lt;11,'General Basis'!$B$39,IF(G2481&lt;18,'General Basis'!$B$40,IF(G2481&lt;26,'General Basis'!$B$41,IF(G2481&lt;31,'General Basis'!$B$42,IF(G2481&lt;36,'General Basis'!$B$43,IF(G2481&lt;41,'General Basis'!$B$44,IF(G2481&lt;46,'General Basis'!$B$45,IF(G2481&lt;51,'General Basis'!$B$46,IF(G2481&lt;56,'General Basis'!$B$47,IF(G2481&lt;60,'General Basis'!$B$48,IF(G2481&lt;65,'General Basis'!$B$49,'General Basis'!$B$50)))))))))))))</f>
        <v/>
      </c>
      <c r="BI2481" s="744" t="str">
        <f t="shared" si="863"/>
        <v/>
      </c>
      <c r="BJ2481" s="747" t="str">
        <f t="shared" si="870"/>
        <v/>
      </c>
      <c r="BK2481" s="498" t="str">
        <f t="shared" si="864"/>
        <v/>
      </c>
      <c r="BL2481" s="498" t="str">
        <f t="shared" si="865"/>
        <v/>
      </c>
    </row>
    <row r="2482" spans="1:64" x14ac:dyDescent="0.25">
      <c r="A2482" s="762">
        <f t="shared" si="866"/>
        <v>2477</v>
      </c>
      <c r="B2482" s="229"/>
      <c r="C2482" s="223"/>
      <c r="D2482" s="224"/>
      <c r="E2482" s="225"/>
      <c r="F2482" s="1036" t="str">
        <f t="shared" si="872"/>
        <v/>
      </c>
      <c r="G2482" s="1037" t="str">
        <f t="shared" si="867"/>
        <v/>
      </c>
      <c r="H2482" s="225"/>
      <c r="I2482" s="1013"/>
      <c r="J2482" s="1013"/>
      <c r="K2482" s="1028"/>
      <c r="L2482" s="1035" t="str">
        <f t="shared" si="871"/>
        <v/>
      </c>
      <c r="S2482" s="498"/>
      <c r="AJ2482" s="498"/>
      <c r="AM2482" s="498">
        <f t="shared" si="852"/>
        <v>0</v>
      </c>
      <c r="AN2482" s="498">
        <f t="shared" si="853"/>
        <v>0</v>
      </c>
      <c r="AO2482" s="498">
        <f t="shared" si="854"/>
        <v>0</v>
      </c>
      <c r="AP2482" s="498">
        <f t="shared" si="873"/>
        <v>0</v>
      </c>
      <c r="AQ2482" s="498">
        <f t="shared" si="868"/>
        <v>0</v>
      </c>
      <c r="AU2482" s="498">
        <f t="shared" si="855"/>
        <v>0</v>
      </c>
      <c r="AV2482" s="498">
        <f t="shared" si="856"/>
        <v>0</v>
      </c>
      <c r="AW2482" s="498">
        <f t="shared" si="857"/>
        <v>0</v>
      </c>
      <c r="AX2482" s="498">
        <f t="shared" si="858"/>
        <v>0</v>
      </c>
      <c r="AY2482" s="498">
        <f t="shared" si="859"/>
        <v>0</v>
      </c>
      <c r="BB2482" s="498" t="str">
        <f t="shared" si="860"/>
        <v/>
      </c>
      <c r="BC2482" s="743" t="str">
        <f t="shared" si="861"/>
        <v/>
      </c>
      <c r="BD2482" s="743" t="str">
        <f t="shared" si="862"/>
        <v/>
      </c>
      <c r="BE2482" s="743" t="str">
        <f>IF(D2482="","",VLOOKUP(D2482,'General Basis'!$J$39:$K$46,2,0))</f>
        <v/>
      </c>
      <c r="BF2482" s="744" t="str">
        <f>IF(D2482="","",VLOOKUP(D2482,'General Basis'!$J$39:$L$46,3,0))</f>
        <v/>
      </c>
      <c r="BG2482" s="744" t="str">
        <f t="shared" si="869"/>
        <v/>
      </c>
      <c r="BH2482" s="744" t="str">
        <f>IF(G2482="","",IF(BF2482="Abu Dhabi",IF(G2482&lt;18,'General Basis'!$C$39,IF(G2482&lt;41,'General Basis'!$C$40,IF(G2482&lt;60,'General Basis'!$C$41,IF(G2482&lt;65,'General Basis'!$C$42,'General Basis'!$C$43)))),IF(G2482&lt;11,'General Basis'!$B$39,IF(G2482&lt;18,'General Basis'!$B$40,IF(G2482&lt;26,'General Basis'!$B$41,IF(G2482&lt;31,'General Basis'!$B$42,IF(G2482&lt;36,'General Basis'!$B$43,IF(G2482&lt;41,'General Basis'!$B$44,IF(G2482&lt;46,'General Basis'!$B$45,IF(G2482&lt;51,'General Basis'!$B$46,IF(G2482&lt;56,'General Basis'!$B$47,IF(G2482&lt;60,'General Basis'!$B$48,IF(G2482&lt;65,'General Basis'!$B$49,'General Basis'!$B$50)))))))))))))</f>
        <v/>
      </c>
      <c r="BI2482" s="744" t="str">
        <f t="shared" si="863"/>
        <v/>
      </c>
      <c r="BJ2482" s="747" t="str">
        <f t="shared" si="870"/>
        <v/>
      </c>
      <c r="BK2482" s="498" t="str">
        <f t="shared" si="864"/>
        <v/>
      </c>
      <c r="BL2482" s="498" t="str">
        <f t="shared" si="865"/>
        <v/>
      </c>
    </row>
    <row r="2483" spans="1:64" x14ac:dyDescent="0.25">
      <c r="A2483" s="762">
        <f t="shared" si="866"/>
        <v>2478</v>
      </c>
      <c r="B2483" s="229"/>
      <c r="C2483" s="223"/>
      <c r="D2483" s="224"/>
      <c r="E2483" s="225"/>
      <c r="F2483" s="1036" t="str">
        <f t="shared" si="872"/>
        <v/>
      </c>
      <c r="G2483" s="1037" t="str">
        <f t="shared" si="867"/>
        <v/>
      </c>
      <c r="H2483" s="225"/>
      <c r="I2483" s="1013"/>
      <c r="J2483" s="1013"/>
      <c r="K2483" s="1028"/>
      <c r="L2483" s="1035" t="str">
        <f t="shared" si="871"/>
        <v/>
      </c>
      <c r="S2483" s="498"/>
      <c r="AJ2483" s="498"/>
      <c r="AM2483" s="498">
        <f t="shared" si="852"/>
        <v>0</v>
      </c>
      <c r="AN2483" s="498">
        <f t="shared" si="853"/>
        <v>0</v>
      </c>
      <c r="AO2483" s="498">
        <f t="shared" si="854"/>
        <v>0</v>
      </c>
      <c r="AP2483" s="498">
        <f t="shared" si="873"/>
        <v>0</v>
      </c>
      <c r="AQ2483" s="498">
        <f t="shared" si="868"/>
        <v>0</v>
      </c>
      <c r="AU2483" s="498">
        <f t="shared" si="855"/>
        <v>0</v>
      </c>
      <c r="AV2483" s="498">
        <f t="shared" si="856"/>
        <v>0</v>
      </c>
      <c r="AW2483" s="498">
        <f t="shared" si="857"/>
        <v>0</v>
      </c>
      <c r="AX2483" s="498">
        <f t="shared" si="858"/>
        <v>0</v>
      </c>
      <c r="AY2483" s="498">
        <f t="shared" si="859"/>
        <v>0</v>
      </c>
      <c r="BB2483" s="498" t="str">
        <f t="shared" si="860"/>
        <v/>
      </c>
      <c r="BC2483" s="743" t="str">
        <f t="shared" si="861"/>
        <v/>
      </c>
      <c r="BD2483" s="743" t="str">
        <f t="shared" si="862"/>
        <v/>
      </c>
      <c r="BE2483" s="743" t="str">
        <f>IF(D2483="","",VLOOKUP(D2483,'General Basis'!$J$39:$K$46,2,0))</f>
        <v/>
      </c>
      <c r="BF2483" s="744" t="str">
        <f>IF(D2483="","",VLOOKUP(D2483,'General Basis'!$J$39:$L$46,3,0))</f>
        <v/>
      </c>
      <c r="BG2483" s="744" t="str">
        <f t="shared" si="869"/>
        <v/>
      </c>
      <c r="BH2483" s="744" t="str">
        <f>IF(G2483="","",IF(BF2483="Abu Dhabi",IF(G2483&lt;18,'General Basis'!$C$39,IF(G2483&lt;41,'General Basis'!$C$40,IF(G2483&lt;60,'General Basis'!$C$41,IF(G2483&lt;65,'General Basis'!$C$42,'General Basis'!$C$43)))),IF(G2483&lt;11,'General Basis'!$B$39,IF(G2483&lt;18,'General Basis'!$B$40,IF(G2483&lt;26,'General Basis'!$B$41,IF(G2483&lt;31,'General Basis'!$B$42,IF(G2483&lt;36,'General Basis'!$B$43,IF(G2483&lt;41,'General Basis'!$B$44,IF(G2483&lt;46,'General Basis'!$B$45,IF(G2483&lt;51,'General Basis'!$B$46,IF(G2483&lt;56,'General Basis'!$B$47,IF(G2483&lt;60,'General Basis'!$B$48,IF(G2483&lt;65,'General Basis'!$B$49,'General Basis'!$B$50)))))))))))))</f>
        <v/>
      </c>
      <c r="BI2483" s="744" t="str">
        <f t="shared" si="863"/>
        <v/>
      </c>
      <c r="BJ2483" s="747" t="str">
        <f t="shared" si="870"/>
        <v/>
      </c>
      <c r="BK2483" s="498" t="str">
        <f t="shared" si="864"/>
        <v/>
      </c>
      <c r="BL2483" s="498" t="str">
        <f t="shared" si="865"/>
        <v/>
      </c>
    </row>
    <row r="2484" spans="1:64" x14ac:dyDescent="0.25">
      <c r="A2484" s="762">
        <f t="shared" si="866"/>
        <v>2479</v>
      </c>
      <c r="B2484" s="229"/>
      <c r="C2484" s="223"/>
      <c r="D2484" s="224"/>
      <c r="E2484" s="225"/>
      <c r="F2484" s="1036" t="str">
        <f t="shared" si="872"/>
        <v/>
      </c>
      <c r="G2484" s="1037" t="str">
        <f t="shared" si="867"/>
        <v/>
      </c>
      <c r="H2484" s="225"/>
      <c r="I2484" s="1013"/>
      <c r="J2484" s="1013"/>
      <c r="K2484" s="1028"/>
      <c r="L2484" s="1035" t="str">
        <f t="shared" si="871"/>
        <v/>
      </c>
      <c r="S2484" s="498"/>
      <c r="AJ2484" s="498"/>
      <c r="AM2484" s="498">
        <f t="shared" si="852"/>
        <v>0</v>
      </c>
      <c r="AN2484" s="498">
        <f t="shared" si="853"/>
        <v>0</v>
      </c>
      <c r="AO2484" s="498">
        <f t="shared" si="854"/>
        <v>0</v>
      </c>
      <c r="AP2484" s="498">
        <f t="shared" si="873"/>
        <v>0</v>
      </c>
      <c r="AQ2484" s="498">
        <f t="shared" si="868"/>
        <v>0</v>
      </c>
      <c r="AU2484" s="498">
        <f t="shared" si="855"/>
        <v>0</v>
      </c>
      <c r="AV2484" s="498">
        <f t="shared" si="856"/>
        <v>0</v>
      </c>
      <c r="AW2484" s="498">
        <f t="shared" si="857"/>
        <v>0</v>
      </c>
      <c r="AX2484" s="498">
        <f t="shared" si="858"/>
        <v>0</v>
      </c>
      <c r="AY2484" s="498">
        <f t="shared" si="859"/>
        <v>0</v>
      </c>
      <c r="BB2484" s="498" t="str">
        <f t="shared" si="860"/>
        <v/>
      </c>
      <c r="BC2484" s="743" t="str">
        <f t="shared" si="861"/>
        <v/>
      </c>
      <c r="BD2484" s="743" t="str">
        <f t="shared" si="862"/>
        <v/>
      </c>
      <c r="BE2484" s="743" t="str">
        <f>IF(D2484="","",VLOOKUP(D2484,'General Basis'!$J$39:$K$46,2,0))</f>
        <v/>
      </c>
      <c r="BF2484" s="744" t="str">
        <f>IF(D2484="","",VLOOKUP(D2484,'General Basis'!$J$39:$L$46,3,0))</f>
        <v/>
      </c>
      <c r="BG2484" s="744" t="str">
        <f t="shared" si="869"/>
        <v/>
      </c>
      <c r="BH2484" s="744" t="str">
        <f>IF(G2484="","",IF(BF2484="Abu Dhabi",IF(G2484&lt;18,'General Basis'!$C$39,IF(G2484&lt;41,'General Basis'!$C$40,IF(G2484&lt;60,'General Basis'!$C$41,IF(G2484&lt;65,'General Basis'!$C$42,'General Basis'!$C$43)))),IF(G2484&lt;11,'General Basis'!$B$39,IF(G2484&lt;18,'General Basis'!$B$40,IF(G2484&lt;26,'General Basis'!$B$41,IF(G2484&lt;31,'General Basis'!$B$42,IF(G2484&lt;36,'General Basis'!$B$43,IF(G2484&lt;41,'General Basis'!$B$44,IF(G2484&lt;46,'General Basis'!$B$45,IF(G2484&lt;51,'General Basis'!$B$46,IF(G2484&lt;56,'General Basis'!$B$47,IF(G2484&lt;60,'General Basis'!$B$48,IF(G2484&lt;65,'General Basis'!$B$49,'General Basis'!$B$50)))))))))))))</f>
        <v/>
      </c>
      <c r="BI2484" s="744" t="str">
        <f t="shared" si="863"/>
        <v/>
      </c>
      <c r="BJ2484" s="747" t="str">
        <f t="shared" si="870"/>
        <v/>
      </c>
      <c r="BK2484" s="498" t="str">
        <f t="shared" si="864"/>
        <v/>
      </c>
      <c r="BL2484" s="498" t="str">
        <f t="shared" si="865"/>
        <v/>
      </c>
    </row>
    <row r="2485" spans="1:64" x14ac:dyDescent="0.25">
      <c r="A2485" s="762">
        <f t="shared" si="866"/>
        <v>2480</v>
      </c>
      <c r="B2485" s="229"/>
      <c r="C2485" s="223"/>
      <c r="D2485" s="224"/>
      <c r="E2485" s="225"/>
      <c r="F2485" s="1036" t="str">
        <f t="shared" si="872"/>
        <v/>
      </c>
      <c r="G2485" s="1037" t="str">
        <f t="shared" si="867"/>
        <v/>
      </c>
      <c r="H2485" s="225"/>
      <c r="I2485" s="1013"/>
      <c r="J2485" s="1013"/>
      <c r="K2485" s="1028"/>
      <c r="L2485" s="1035" t="str">
        <f t="shared" si="871"/>
        <v/>
      </c>
      <c r="S2485" s="498"/>
      <c r="AJ2485" s="498"/>
      <c r="AM2485" s="498">
        <f t="shared" si="852"/>
        <v>0</v>
      </c>
      <c r="AN2485" s="498">
        <f t="shared" si="853"/>
        <v>0</v>
      </c>
      <c r="AO2485" s="498">
        <f t="shared" si="854"/>
        <v>0</v>
      </c>
      <c r="AP2485" s="498">
        <f t="shared" si="873"/>
        <v>0</v>
      </c>
      <c r="AQ2485" s="498">
        <f t="shared" si="868"/>
        <v>0</v>
      </c>
      <c r="AU2485" s="498">
        <f t="shared" si="855"/>
        <v>0</v>
      </c>
      <c r="AV2485" s="498">
        <f t="shared" si="856"/>
        <v>0</v>
      </c>
      <c r="AW2485" s="498">
        <f t="shared" si="857"/>
        <v>0</v>
      </c>
      <c r="AX2485" s="498">
        <f t="shared" si="858"/>
        <v>0</v>
      </c>
      <c r="AY2485" s="498">
        <f t="shared" si="859"/>
        <v>0</v>
      </c>
      <c r="BB2485" s="498" t="str">
        <f t="shared" si="860"/>
        <v/>
      </c>
      <c r="BC2485" s="743" t="str">
        <f t="shared" si="861"/>
        <v/>
      </c>
      <c r="BD2485" s="743" t="str">
        <f t="shared" si="862"/>
        <v/>
      </c>
      <c r="BE2485" s="743" t="str">
        <f>IF(D2485="","",VLOOKUP(D2485,'General Basis'!$J$39:$K$46,2,0))</f>
        <v/>
      </c>
      <c r="BF2485" s="744" t="str">
        <f>IF(D2485="","",VLOOKUP(D2485,'General Basis'!$J$39:$L$46,3,0))</f>
        <v/>
      </c>
      <c r="BG2485" s="744" t="str">
        <f t="shared" si="869"/>
        <v/>
      </c>
      <c r="BH2485" s="744" t="str">
        <f>IF(G2485="","",IF(BF2485="Abu Dhabi",IF(G2485&lt;18,'General Basis'!$C$39,IF(G2485&lt;41,'General Basis'!$C$40,IF(G2485&lt;60,'General Basis'!$C$41,IF(G2485&lt;65,'General Basis'!$C$42,'General Basis'!$C$43)))),IF(G2485&lt;11,'General Basis'!$B$39,IF(G2485&lt;18,'General Basis'!$B$40,IF(G2485&lt;26,'General Basis'!$B$41,IF(G2485&lt;31,'General Basis'!$B$42,IF(G2485&lt;36,'General Basis'!$B$43,IF(G2485&lt;41,'General Basis'!$B$44,IF(G2485&lt;46,'General Basis'!$B$45,IF(G2485&lt;51,'General Basis'!$B$46,IF(G2485&lt;56,'General Basis'!$B$47,IF(G2485&lt;60,'General Basis'!$B$48,IF(G2485&lt;65,'General Basis'!$B$49,'General Basis'!$B$50)))))))))))))</f>
        <v/>
      </c>
      <c r="BI2485" s="744" t="str">
        <f t="shared" si="863"/>
        <v/>
      </c>
      <c r="BJ2485" s="747" t="str">
        <f t="shared" si="870"/>
        <v/>
      </c>
      <c r="BK2485" s="498" t="str">
        <f t="shared" si="864"/>
        <v/>
      </c>
      <c r="BL2485" s="498" t="str">
        <f t="shared" si="865"/>
        <v/>
      </c>
    </row>
    <row r="2486" spans="1:64" x14ac:dyDescent="0.25">
      <c r="A2486" s="762">
        <f t="shared" si="866"/>
        <v>2481</v>
      </c>
      <c r="B2486" s="229"/>
      <c r="C2486" s="223"/>
      <c r="D2486" s="224"/>
      <c r="E2486" s="225"/>
      <c r="F2486" s="1036" t="str">
        <f t="shared" si="872"/>
        <v/>
      </c>
      <c r="G2486" s="1037" t="str">
        <f t="shared" si="867"/>
        <v/>
      </c>
      <c r="H2486" s="225"/>
      <c r="I2486" s="1013"/>
      <c r="J2486" s="1013"/>
      <c r="K2486" s="1028"/>
      <c r="L2486" s="1035" t="str">
        <f t="shared" si="871"/>
        <v/>
      </c>
      <c r="S2486" s="498"/>
      <c r="AJ2486" s="498"/>
      <c r="AM2486" s="498">
        <f t="shared" si="852"/>
        <v>0</v>
      </c>
      <c r="AN2486" s="498">
        <f t="shared" si="853"/>
        <v>0</v>
      </c>
      <c r="AO2486" s="498">
        <f t="shared" si="854"/>
        <v>0</v>
      </c>
      <c r="AP2486" s="498">
        <f t="shared" si="873"/>
        <v>0</v>
      </c>
      <c r="AQ2486" s="498">
        <f t="shared" si="868"/>
        <v>0</v>
      </c>
      <c r="AU2486" s="498">
        <f t="shared" si="855"/>
        <v>0</v>
      </c>
      <c r="AV2486" s="498">
        <f t="shared" si="856"/>
        <v>0</v>
      </c>
      <c r="AW2486" s="498">
        <f t="shared" si="857"/>
        <v>0</v>
      </c>
      <c r="AX2486" s="498">
        <f t="shared" si="858"/>
        <v>0</v>
      </c>
      <c r="AY2486" s="498">
        <f t="shared" si="859"/>
        <v>0</v>
      </c>
      <c r="BB2486" s="498" t="str">
        <f t="shared" si="860"/>
        <v/>
      </c>
      <c r="BC2486" s="743" t="str">
        <f t="shared" si="861"/>
        <v/>
      </c>
      <c r="BD2486" s="743" t="str">
        <f t="shared" si="862"/>
        <v/>
      </c>
      <c r="BE2486" s="743" t="str">
        <f>IF(D2486="","",VLOOKUP(D2486,'General Basis'!$J$39:$K$46,2,0))</f>
        <v/>
      </c>
      <c r="BF2486" s="744" t="str">
        <f>IF(D2486="","",VLOOKUP(D2486,'General Basis'!$J$39:$L$46,3,0))</f>
        <v/>
      </c>
      <c r="BG2486" s="744" t="str">
        <f t="shared" si="869"/>
        <v/>
      </c>
      <c r="BH2486" s="744" t="str">
        <f>IF(G2486="","",IF(BF2486="Abu Dhabi",IF(G2486&lt;18,'General Basis'!$C$39,IF(G2486&lt;41,'General Basis'!$C$40,IF(G2486&lt;60,'General Basis'!$C$41,IF(G2486&lt;65,'General Basis'!$C$42,'General Basis'!$C$43)))),IF(G2486&lt;11,'General Basis'!$B$39,IF(G2486&lt;18,'General Basis'!$B$40,IF(G2486&lt;26,'General Basis'!$B$41,IF(G2486&lt;31,'General Basis'!$B$42,IF(G2486&lt;36,'General Basis'!$B$43,IF(G2486&lt;41,'General Basis'!$B$44,IF(G2486&lt;46,'General Basis'!$B$45,IF(G2486&lt;51,'General Basis'!$B$46,IF(G2486&lt;56,'General Basis'!$B$47,IF(G2486&lt;60,'General Basis'!$B$48,IF(G2486&lt;65,'General Basis'!$B$49,'General Basis'!$B$50)))))))))))))</f>
        <v/>
      </c>
      <c r="BI2486" s="744" t="str">
        <f t="shared" si="863"/>
        <v/>
      </c>
      <c r="BJ2486" s="747" t="str">
        <f t="shared" si="870"/>
        <v/>
      </c>
      <c r="BK2486" s="498" t="str">
        <f t="shared" si="864"/>
        <v/>
      </c>
      <c r="BL2486" s="498" t="str">
        <f t="shared" si="865"/>
        <v/>
      </c>
    </row>
    <row r="2487" spans="1:64" x14ac:dyDescent="0.25">
      <c r="A2487" s="762">
        <f t="shared" si="866"/>
        <v>2482</v>
      </c>
      <c r="B2487" s="229"/>
      <c r="C2487" s="223"/>
      <c r="D2487" s="224"/>
      <c r="E2487" s="225"/>
      <c r="F2487" s="1036" t="str">
        <f t="shared" si="872"/>
        <v/>
      </c>
      <c r="G2487" s="1037" t="str">
        <f t="shared" si="867"/>
        <v/>
      </c>
      <c r="H2487" s="225"/>
      <c r="I2487" s="1013"/>
      <c r="J2487" s="1013"/>
      <c r="K2487" s="1028"/>
      <c r="L2487" s="1035" t="str">
        <f t="shared" si="871"/>
        <v/>
      </c>
      <c r="S2487" s="498"/>
      <c r="AJ2487" s="498"/>
      <c r="AM2487" s="498">
        <f t="shared" si="852"/>
        <v>0</v>
      </c>
      <c r="AN2487" s="498">
        <f t="shared" si="853"/>
        <v>0</v>
      </c>
      <c r="AO2487" s="498">
        <f t="shared" si="854"/>
        <v>0</v>
      </c>
      <c r="AP2487" s="498">
        <f t="shared" si="873"/>
        <v>0</v>
      </c>
      <c r="AQ2487" s="498">
        <f t="shared" si="868"/>
        <v>0</v>
      </c>
      <c r="AU2487" s="498">
        <f t="shared" si="855"/>
        <v>0</v>
      </c>
      <c r="AV2487" s="498">
        <f t="shared" si="856"/>
        <v>0</v>
      </c>
      <c r="AW2487" s="498">
        <f t="shared" si="857"/>
        <v>0</v>
      </c>
      <c r="AX2487" s="498">
        <f t="shared" si="858"/>
        <v>0</v>
      </c>
      <c r="AY2487" s="498">
        <f t="shared" si="859"/>
        <v>0</v>
      </c>
      <c r="BB2487" s="498" t="str">
        <f t="shared" si="860"/>
        <v/>
      </c>
      <c r="BC2487" s="743" t="str">
        <f t="shared" si="861"/>
        <v/>
      </c>
      <c r="BD2487" s="743" t="str">
        <f t="shared" si="862"/>
        <v/>
      </c>
      <c r="BE2487" s="743" t="str">
        <f>IF(D2487="","",VLOOKUP(D2487,'General Basis'!$J$39:$K$46,2,0))</f>
        <v/>
      </c>
      <c r="BF2487" s="744" t="str">
        <f>IF(D2487="","",VLOOKUP(D2487,'General Basis'!$J$39:$L$46,3,0))</f>
        <v/>
      </c>
      <c r="BG2487" s="744" t="str">
        <f t="shared" si="869"/>
        <v/>
      </c>
      <c r="BH2487" s="744" t="str">
        <f>IF(G2487="","",IF(BF2487="Abu Dhabi",IF(G2487&lt;18,'General Basis'!$C$39,IF(G2487&lt;41,'General Basis'!$C$40,IF(G2487&lt;60,'General Basis'!$C$41,IF(G2487&lt;65,'General Basis'!$C$42,'General Basis'!$C$43)))),IF(G2487&lt;11,'General Basis'!$B$39,IF(G2487&lt;18,'General Basis'!$B$40,IF(G2487&lt;26,'General Basis'!$B$41,IF(G2487&lt;31,'General Basis'!$B$42,IF(G2487&lt;36,'General Basis'!$B$43,IF(G2487&lt;41,'General Basis'!$B$44,IF(G2487&lt;46,'General Basis'!$B$45,IF(G2487&lt;51,'General Basis'!$B$46,IF(G2487&lt;56,'General Basis'!$B$47,IF(G2487&lt;60,'General Basis'!$B$48,IF(G2487&lt;65,'General Basis'!$B$49,'General Basis'!$B$50)))))))))))))</f>
        <v/>
      </c>
      <c r="BI2487" s="744" t="str">
        <f t="shared" si="863"/>
        <v/>
      </c>
      <c r="BJ2487" s="747" t="str">
        <f t="shared" si="870"/>
        <v/>
      </c>
      <c r="BK2487" s="498" t="str">
        <f t="shared" si="864"/>
        <v/>
      </c>
      <c r="BL2487" s="498" t="str">
        <f t="shared" si="865"/>
        <v/>
      </c>
    </row>
    <row r="2488" spans="1:64" x14ac:dyDescent="0.25">
      <c r="A2488" s="762">
        <f t="shared" si="866"/>
        <v>2483</v>
      </c>
      <c r="B2488" s="229"/>
      <c r="C2488" s="223"/>
      <c r="D2488" s="224"/>
      <c r="E2488" s="225"/>
      <c r="F2488" s="1036" t="str">
        <f t="shared" si="872"/>
        <v/>
      </c>
      <c r="G2488" s="1037" t="str">
        <f t="shared" si="867"/>
        <v/>
      </c>
      <c r="H2488" s="225"/>
      <c r="I2488" s="1013"/>
      <c r="J2488" s="1013"/>
      <c r="K2488" s="1028"/>
      <c r="L2488" s="1035" t="str">
        <f t="shared" si="871"/>
        <v/>
      </c>
      <c r="S2488" s="498"/>
      <c r="AJ2488" s="498"/>
      <c r="AM2488" s="498">
        <f t="shared" si="852"/>
        <v>0</v>
      </c>
      <c r="AN2488" s="498">
        <f t="shared" si="853"/>
        <v>0</v>
      </c>
      <c r="AO2488" s="498">
        <f t="shared" si="854"/>
        <v>0</v>
      </c>
      <c r="AP2488" s="498">
        <f t="shared" si="873"/>
        <v>0</v>
      </c>
      <c r="AQ2488" s="498">
        <f t="shared" si="868"/>
        <v>0</v>
      </c>
      <c r="AU2488" s="498">
        <f t="shared" si="855"/>
        <v>0</v>
      </c>
      <c r="AV2488" s="498">
        <f t="shared" si="856"/>
        <v>0</v>
      </c>
      <c r="AW2488" s="498">
        <f t="shared" si="857"/>
        <v>0</v>
      </c>
      <c r="AX2488" s="498">
        <f t="shared" si="858"/>
        <v>0</v>
      </c>
      <c r="AY2488" s="498">
        <f t="shared" si="859"/>
        <v>0</v>
      </c>
      <c r="BB2488" s="498" t="str">
        <f t="shared" si="860"/>
        <v/>
      </c>
      <c r="BC2488" s="743" t="str">
        <f t="shared" si="861"/>
        <v/>
      </c>
      <c r="BD2488" s="743" t="str">
        <f t="shared" si="862"/>
        <v/>
      </c>
      <c r="BE2488" s="743" t="str">
        <f>IF(D2488="","",VLOOKUP(D2488,'General Basis'!$J$39:$K$46,2,0))</f>
        <v/>
      </c>
      <c r="BF2488" s="744" t="str">
        <f>IF(D2488="","",VLOOKUP(D2488,'General Basis'!$J$39:$L$46,3,0))</f>
        <v/>
      </c>
      <c r="BG2488" s="744" t="str">
        <f t="shared" si="869"/>
        <v/>
      </c>
      <c r="BH2488" s="744" t="str">
        <f>IF(G2488="","",IF(BF2488="Abu Dhabi",IF(G2488&lt;18,'General Basis'!$C$39,IF(G2488&lt;41,'General Basis'!$C$40,IF(G2488&lt;60,'General Basis'!$C$41,IF(G2488&lt;65,'General Basis'!$C$42,'General Basis'!$C$43)))),IF(G2488&lt;11,'General Basis'!$B$39,IF(G2488&lt;18,'General Basis'!$B$40,IF(G2488&lt;26,'General Basis'!$B$41,IF(G2488&lt;31,'General Basis'!$B$42,IF(G2488&lt;36,'General Basis'!$B$43,IF(G2488&lt;41,'General Basis'!$B$44,IF(G2488&lt;46,'General Basis'!$B$45,IF(G2488&lt;51,'General Basis'!$B$46,IF(G2488&lt;56,'General Basis'!$B$47,IF(G2488&lt;60,'General Basis'!$B$48,IF(G2488&lt;65,'General Basis'!$B$49,'General Basis'!$B$50)))))))))))))</f>
        <v/>
      </c>
      <c r="BI2488" s="744" t="str">
        <f t="shared" si="863"/>
        <v/>
      </c>
      <c r="BJ2488" s="747" t="str">
        <f t="shared" si="870"/>
        <v/>
      </c>
      <c r="BK2488" s="498" t="str">
        <f t="shared" si="864"/>
        <v/>
      </c>
      <c r="BL2488" s="498" t="str">
        <f t="shared" si="865"/>
        <v/>
      </c>
    </row>
    <row r="2489" spans="1:64" x14ac:dyDescent="0.25">
      <c r="A2489" s="762">
        <f t="shared" si="866"/>
        <v>2484</v>
      </c>
      <c r="B2489" s="229"/>
      <c r="C2489" s="223"/>
      <c r="D2489" s="224"/>
      <c r="E2489" s="225"/>
      <c r="F2489" s="1036" t="str">
        <f t="shared" si="872"/>
        <v/>
      </c>
      <c r="G2489" s="1037" t="str">
        <f t="shared" si="867"/>
        <v/>
      </c>
      <c r="H2489" s="225"/>
      <c r="I2489" s="1013"/>
      <c r="J2489" s="1013"/>
      <c r="K2489" s="1028"/>
      <c r="L2489" s="1035" t="str">
        <f t="shared" si="871"/>
        <v/>
      </c>
      <c r="S2489" s="498"/>
      <c r="AJ2489" s="498"/>
      <c r="AM2489" s="498">
        <f t="shared" si="852"/>
        <v>0</v>
      </c>
      <c r="AN2489" s="498">
        <f t="shared" si="853"/>
        <v>0</v>
      </c>
      <c r="AO2489" s="498">
        <f t="shared" si="854"/>
        <v>0</v>
      </c>
      <c r="AP2489" s="498">
        <f t="shared" si="873"/>
        <v>0</v>
      </c>
      <c r="AQ2489" s="498">
        <f t="shared" si="868"/>
        <v>0</v>
      </c>
      <c r="AU2489" s="498">
        <f t="shared" si="855"/>
        <v>0</v>
      </c>
      <c r="AV2489" s="498">
        <f t="shared" si="856"/>
        <v>0</v>
      </c>
      <c r="AW2489" s="498">
        <f t="shared" si="857"/>
        <v>0</v>
      </c>
      <c r="AX2489" s="498">
        <f t="shared" si="858"/>
        <v>0</v>
      </c>
      <c r="AY2489" s="498">
        <f t="shared" si="859"/>
        <v>0</v>
      </c>
      <c r="BB2489" s="498" t="str">
        <f t="shared" si="860"/>
        <v/>
      </c>
      <c r="BC2489" s="743" t="str">
        <f t="shared" si="861"/>
        <v/>
      </c>
      <c r="BD2489" s="743" t="str">
        <f t="shared" si="862"/>
        <v/>
      </c>
      <c r="BE2489" s="743" t="str">
        <f>IF(D2489="","",VLOOKUP(D2489,'General Basis'!$J$39:$K$46,2,0))</f>
        <v/>
      </c>
      <c r="BF2489" s="744" t="str">
        <f>IF(D2489="","",VLOOKUP(D2489,'General Basis'!$J$39:$L$46,3,0))</f>
        <v/>
      </c>
      <c r="BG2489" s="744" t="str">
        <f t="shared" si="869"/>
        <v/>
      </c>
      <c r="BH2489" s="744" t="str">
        <f>IF(G2489="","",IF(BF2489="Abu Dhabi",IF(G2489&lt;18,'General Basis'!$C$39,IF(G2489&lt;41,'General Basis'!$C$40,IF(G2489&lt;60,'General Basis'!$C$41,IF(G2489&lt;65,'General Basis'!$C$42,'General Basis'!$C$43)))),IF(G2489&lt;11,'General Basis'!$B$39,IF(G2489&lt;18,'General Basis'!$B$40,IF(G2489&lt;26,'General Basis'!$B$41,IF(G2489&lt;31,'General Basis'!$B$42,IF(G2489&lt;36,'General Basis'!$B$43,IF(G2489&lt;41,'General Basis'!$B$44,IF(G2489&lt;46,'General Basis'!$B$45,IF(G2489&lt;51,'General Basis'!$B$46,IF(G2489&lt;56,'General Basis'!$B$47,IF(G2489&lt;60,'General Basis'!$B$48,IF(G2489&lt;65,'General Basis'!$B$49,'General Basis'!$B$50)))))))))))))</f>
        <v/>
      </c>
      <c r="BI2489" s="744" t="str">
        <f t="shared" si="863"/>
        <v/>
      </c>
      <c r="BJ2489" s="747" t="str">
        <f t="shared" si="870"/>
        <v/>
      </c>
      <c r="BK2489" s="498" t="str">
        <f t="shared" si="864"/>
        <v/>
      </c>
      <c r="BL2489" s="498" t="str">
        <f t="shared" si="865"/>
        <v/>
      </c>
    </row>
    <row r="2490" spans="1:64" x14ac:dyDescent="0.25">
      <c r="A2490" s="762">
        <f t="shared" si="866"/>
        <v>2485</v>
      </c>
      <c r="B2490" s="229"/>
      <c r="C2490" s="223"/>
      <c r="D2490" s="224"/>
      <c r="E2490" s="225"/>
      <c r="F2490" s="1036" t="str">
        <f t="shared" si="872"/>
        <v/>
      </c>
      <c r="G2490" s="1037" t="str">
        <f t="shared" si="867"/>
        <v/>
      </c>
      <c r="H2490" s="225"/>
      <c r="I2490" s="1013"/>
      <c r="J2490" s="1013"/>
      <c r="K2490" s="1028"/>
      <c r="L2490" s="1035" t="str">
        <f t="shared" si="871"/>
        <v/>
      </c>
      <c r="S2490" s="498"/>
      <c r="AJ2490" s="498"/>
      <c r="AM2490" s="498">
        <f t="shared" si="852"/>
        <v>0</v>
      </c>
      <c r="AN2490" s="498">
        <f t="shared" si="853"/>
        <v>0</v>
      </c>
      <c r="AO2490" s="498">
        <f t="shared" si="854"/>
        <v>0</v>
      </c>
      <c r="AP2490" s="498">
        <f t="shared" si="873"/>
        <v>0</v>
      </c>
      <c r="AQ2490" s="498">
        <f t="shared" si="868"/>
        <v>0</v>
      </c>
      <c r="AU2490" s="498">
        <f t="shared" si="855"/>
        <v>0</v>
      </c>
      <c r="AV2490" s="498">
        <f t="shared" si="856"/>
        <v>0</v>
      </c>
      <c r="AW2490" s="498">
        <f t="shared" si="857"/>
        <v>0</v>
      </c>
      <c r="AX2490" s="498">
        <f t="shared" si="858"/>
        <v>0</v>
      </c>
      <c r="AY2490" s="498">
        <f t="shared" si="859"/>
        <v>0</v>
      </c>
      <c r="BB2490" s="498" t="str">
        <f t="shared" si="860"/>
        <v/>
      </c>
      <c r="BC2490" s="743" t="str">
        <f t="shared" si="861"/>
        <v/>
      </c>
      <c r="BD2490" s="743" t="str">
        <f t="shared" si="862"/>
        <v/>
      </c>
      <c r="BE2490" s="743" t="str">
        <f>IF(D2490="","",VLOOKUP(D2490,'General Basis'!$J$39:$K$46,2,0))</f>
        <v/>
      </c>
      <c r="BF2490" s="744" t="str">
        <f>IF(D2490="","",VLOOKUP(D2490,'General Basis'!$J$39:$L$46,3,0))</f>
        <v/>
      </c>
      <c r="BG2490" s="744" t="str">
        <f t="shared" si="869"/>
        <v/>
      </c>
      <c r="BH2490" s="744" t="str">
        <f>IF(G2490="","",IF(BF2490="Abu Dhabi",IF(G2490&lt;18,'General Basis'!$C$39,IF(G2490&lt;41,'General Basis'!$C$40,IF(G2490&lt;60,'General Basis'!$C$41,IF(G2490&lt;65,'General Basis'!$C$42,'General Basis'!$C$43)))),IF(G2490&lt;11,'General Basis'!$B$39,IF(G2490&lt;18,'General Basis'!$B$40,IF(G2490&lt;26,'General Basis'!$B$41,IF(G2490&lt;31,'General Basis'!$B$42,IF(G2490&lt;36,'General Basis'!$B$43,IF(G2490&lt;41,'General Basis'!$B$44,IF(G2490&lt;46,'General Basis'!$B$45,IF(G2490&lt;51,'General Basis'!$B$46,IF(G2490&lt;56,'General Basis'!$B$47,IF(G2490&lt;60,'General Basis'!$B$48,IF(G2490&lt;65,'General Basis'!$B$49,'General Basis'!$B$50)))))))))))))</f>
        <v/>
      </c>
      <c r="BI2490" s="744" t="str">
        <f t="shared" si="863"/>
        <v/>
      </c>
      <c r="BJ2490" s="747" t="str">
        <f t="shared" si="870"/>
        <v/>
      </c>
      <c r="BK2490" s="498" t="str">
        <f t="shared" si="864"/>
        <v/>
      </c>
      <c r="BL2490" s="498" t="str">
        <f t="shared" si="865"/>
        <v/>
      </c>
    </row>
    <row r="2491" spans="1:64" x14ac:dyDescent="0.25">
      <c r="A2491" s="762">
        <f t="shared" si="866"/>
        <v>2486</v>
      </c>
      <c r="B2491" s="229"/>
      <c r="C2491" s="223"/>
      <c r="D2491" s="224"/>
      <c r="E2491" s="225"/>
      <c r="F2491" s="1036" t="str">
        <f t="shared" si="872"/>
        <v/>
      </c>
      <c r="G2491" s="1037" t="str">
        <f t="shared" si="867"/>
        <v/>
      </c>
      <c r="H2491" s="225"/>
      <c r="I2491" s="1013"/>
      <c r="J2491" s="1013"/>
      <c r="K2491" s="1028"/>
      <c r="L2491" s="1035" t="str">
        <f t="shared" si="871"/>
        <v/>
      </c>
      <c r="S2491" s="498"/>
      <c r="AJ2491" s="498"/>
      <c r="AM2491" s="498">
        <f t="shared" si="852"/>
        <v>0</v>
      </c>
      <c r="AN2491" s="498">
        <f t="shared" si="853"/>
        <v>0</v>
      </c>
      <c r="AO2491" s="498">
        <f t="shared" si="854"/>
        <v>0</v>
      </c>
      <c r="AP2491" s="498">
        <f t="shared" si="873"/>
        <v>0</v>
      </c>
      <c r="AQ2491" s="498">
        <f t="shared" si="868"/>
        <v>0</v>
      </c>
      <c r="AU2491" s="498">
        <f t="shared" si="855"/>
        <v>0</v>
      </c>
      <c r="AV2491" s="498">
        <f t="shared" si="856"/>
        <v>0</v>
      </c>
      <c r="AW2491" s="498">
        <f t="shared" si="857"/>
        <v>0</v>
      </c>
      <c r="AX2491" s="498">
        <f t="shared" si="858"/>
        <v>0</v>
      </c>
      <c r="AY2491" s="498">
        <f t="shared" si="859"/>
        <v>0</v>
      </c>
      <c r="BB2491" s="498" t="str">
        <f t="shared" si="860"/>
        <v/>
      </c>
      <c r="BC2491" s="743" t="str">
        <f t="shared" si="861"/>
        <v/>
      </c>
      <c r="BD2491" s="743" t="str">
        <f t="shared" si="862"/>
        <v/>
      </c>
      <c r="BE2491" s="743" t="str">
        <f>IF(D2491="","",VLOOKUP(D2491,'General Basis'!$J$39:$K$46,2,0))</f>
        <v/>
      </c>
      <c r="BF2491" s="744" t="str">
        <f>IF(D2491="","",VLOOKUP(D2491,'General Basis'!$J$39:$L$46,3,0))</f>
        <v/>
      </c>
      <c r="BG2491" s="744" t="str">
        <f t="shared" si="869"/>
        <v/>
      </c>
      <c r="BH2491" s="744" t="str">
        <f>IF(G2491="","",IF(BF2491="Abu Dhabi",IF(G2491&lt;18,'General Basis'!$C$39,IF(G2491&lt;41,'General Basis'!$C$40,IF(G2491&lt;60,'General Basis'!$C$41,IF(G2491&lt;65,'General Basis'!$C$42,'General Basis'!$C$43)))),IF(G2491&lt;11,'General Basis'!$B$39,IF(G2491&lt;18,'General Basis'!$B$40,IF(G2491&lt;26,'General Basis'!$B$41,IF(G2491&lt;31,'General Basis'!$B$42,IF(G2491&lt;36,'General Basis'!$B$43,IF(G2491&lt;41,'General Basis'!$B$44,IF(G2491&lt;46,'General Basis'!$B$45,IF(G2491&lt;51,'General Basis'!$B$46,IF(G2491&lt;56,'General Basis'!$B$47,IF(G2491&lt;60,'General Basis'!$B$48,IF(G2491&lt;65,'General Basis'!$B$49,'General Basis'!$B$50)))))))))))))</f>
        <v/>
      </c>
      <c r="BI2491" s="744" t="str">
        <f t="shared" si="863"/>
        <v/>
      </c>
      <c r="BJ2491" s="747" t="str">
        <f t="shared" si="870"/>
        <v/>
      </c>
      <c r="BK2491" s="498" t="str">
        <f t="shared" si="864"/>
        <v/>
      </c>
      <c r="BL2491" s="498" t="str">
        <f t="shared" si="865"/>
        <v/>
      </c>
    </row>
    <row r="2492" spans="1:64" x14ac:dyDescent="0.25">
      <c r="A2492" s="762">
        <f t="shared" si="866"/>
        <v>2487</v>
      </c>
      <c r="B2492" s="229"/>
      <c r="C2492" s="223"/>
      <c r="D2492" s="224"/>
      <c r="E2492" s="225"/>
      <c r="F2492" s="1036" t="str">
        <f t="shared" si="872"/>
        <v/>
      </c>
      <c r="G2492" s="1037" t="str">
        <f t="shared" si="867"/>
        <v/>
      </c>
      <c r="H2492" s="225"/>
      <c r="I2492" s="1013"/>
      <c r="J2492" s="1013"/>
      <c r="K2492" s="1028"/>
      <c r="L2492" s="1035" t="str">
        <f t="shared" si="871"/>
        <v/>
      </c>
      <c r="S2492" s="498"/>
      <c r="AJ2492" s="498"/>
      <c r="AM2492" s="498">
        <f t="shared" si="852"/>
        <v>0</v>
      </c>
      <c r="AN2492" s="498">
        <f t="shared" si="853"/>
        <v>0</v>
      </c>
      <c r="AO2492" s="498">
        <f t="shared" si="854"/>
        <v>0</v>
      </c>
      <c r="AP2492" s="498">
        <f t="shared" si="873"/>
        <v>0</v>
      </c>
      <c r="AQ2492" s="498">
        <f t="shared" si="868"/>
        <v>0</v>
      </c>
      <c r="AU2492" s="498">
        <f t="shared" si="855"/>
        <v>0</v>
      </c>
      <c r="AV2492" s="498">
        <f t="shared" si="856"/>
        <v>0</v>
      </c>
      <c r="AW2492" s="498">
        <f t="shared" si="857"/>
        <v>0</v>
      </c>
      <c r="AX2492" s="498">
        <f t="shared" si="858"/>
        <v>0</v>
      </c>
      <c r="AY2492" s="498">
        <f t="shared" si="859"/>
        <v>0</v>
      </c>
      <c r="BB2492" s="498" t="str">
        <f t="shared" si="860"/>
        <v/>
      </c>
      <c r="BC2492" s="743" t="str">
        <f t="shared" si="861"/>
        <v/>
      </c>
      <c r="BD2492" s="743" t="str">
        <f t="shared" si="862"/>
        <v/>
      </c>
      <c r="BE2492" s="743" t="str">
        <f>IF(D2492="","",VLOOKUP(D2492,'General Basis'!$J$39:$K$46,2,0))</f>
        <v/>
      </c>
      <c r="BF2492" s="744" t="str">
        <f>IF(D2492="","",VLOOKUP(D2492,'General Basis'!$J$39:$L$46,3,0))</f>
        <v/>
      </c>
      <c r="BG2492" s="744" t="str">
        <f t="shared" si="869"/>
        <v/>
      </c>
      <c r="BH2492" s="744" t="str">
        <f>IF(G2492="","",IF(BF2492="Abu Dhabi",IF(G2492&lt;18,'General Basis'!$C$39,IF(G2492&lt;41,'General Basis'!$C$40,IF(G2492&lt;60,'General Basis'!$C$41,IF(G2492&lt;65,'General Basis'!$C$42,'General Basis'!$C$43)))),IF(G2492&lt;11,'General Basis'!$B$39,IF(G2492&lt;18,'General Basis'!$B$40,IF(G2492&lt;26,'General Basis'!$B$41,IF(G2492&lt;31,'General Basis'!$B$42,IF(G2492&lt;36,'General Basis'!$B$43,IF(G2492&lt;41,'General Basis'!$B$44,IF(G2492&lt;46,'General Basis'!$B$45,IF(G2492&lt;51,'General Basis'!$B$46,IF(G2492&lt;56,'General Basis'!$B$47,IF(G2492&lt;60,'General Basis'!$B$48,IF(G2492&lt;65,'General Basis'!$B$49,'General Basis'!$B$50)))))))))))))</f>
        <v/>
      </c>
      <c r="BI2492" s="744" t="str">
        <f t="shared" si="863"/>
        <v/>
      </c>
      <c r="BJ2492" s="747" t="str">
        <f t="shared" si="870"/>
        <v/>
      </c>
      <c r="BK2492" s="498" t="str">
        <f t="shared" si="864"/>
        <v/>
      </c>
      <c r="BL2492" s="498" t="str">
        <f t="shared" si="865"/>
        <v/>
      </c>
    </row>
    <row r="2493" spans="1:64" x14ac:dyDescent="0.25">
      <c r="A2493" s="762">
        <f t="shared" si="866"/>
        <v>2488</v>
      </c>
      <c r="B2493" s="229"/>
      <c r="C2493" s="223"/>
      <c r="D2493" s="224"/>
      <c r="E2493" s="225"/>
      <c r="F2493" s="1036" t="str">
        <f t="shared" si="872"/>
        <v/>
      </c>
      <c r="G2493" s="1037" t="str">
        <f t="shared" si="867"/>
        <v/>
      </c>
      <c r="H2493" s="225"/>
      <c r="I2493" s="1013"/>
      <c r="J2493" s="1013"/>
      <c r="K2493" s="1028"/>
      <c r="L2493" s="1035" t="str">
        <f t="shared" si="871"/>
        <v/>
      </c>
      <c r="S2493" s="498"/>
      <c r="AJ2493" s="498"/>
      <c r="AM2493" s="498">
        <f t="shared" si="852"/>
        <v>0</v>
      </c>
      <c r="AN2493" s="498">
        <f t="shared" si="853"/>
        <v>0</v>
      </c>
      <c r="AO2493" s="498">
        <f t="shared" si="854"/>
        <v>0</v>
      </c>
      <c r="AP2493" s="498">
        <f t="shared" si="873"/>
        <v>0</v>
      </c>
      <c r="AQ2493" s="498">
        <f t="shared" si="868"/>
        <v>0</v>
      </c>
      <c r="AU2493" s="498">
        <f t="shared" si="855"/>
        <v>0</v>
      </c>
      <c r="AV2493" s="498">
        <f t="shared" si="856"/>
        <v>0</v>
      </c>
      <c r="AW2493" s="498">
        <f t="shared" si="857"/>
        <v>0</v>
      </c>
      <c r="AX2493" s="498">
        <f t="shared" si="858"/>
        <v>0</v>
      </c>
      <c r="AY2493" s="498">
        <f t="shared" si="859"/>
        <v>0</v>
      </c>
      <c r="BB2493" s="498" t="str">
        <f t="shared" si="860"/>
        <v/>
      </c>
      <c r="BC2493" s="743" t="str">
        <f t="shared" si="861"/>
        <v/>
      </c>
      <c r="BD2493" s="743" t="str">
        <f t="shared" si="862"/>
        <v/>
      </c>
      <c r="BE2493" s="743" t="str">
        <f>IF(D2493="","",VLOOKUP(D2493,'General Basis'!$J$39:$K$46,2,0))</f>
        <v/>
      </c>
      <c r="BF2493" s="744" t="str">
        <f>IF(D2493="","",VLOOKUP(D2493,'General Basis'!$J$39:$L$46,3,0))</f>
        <v/>
      </c>
      <c r="BG2493" s="744" t="str">
        <f t="shared" si="869"/>
        <v/>
      </c>
      <c r="BH2493" s="744" t="str">
        <f>IF(G2493="","",IF(BF2493="Abu Dhabi",IF(G2493&lt;18,'General Basis'!$C$39,IF(G2493&lt;41,'General Basis'!$C$40,IF(G2493&lt;60,'General Basis'!$C$41,IF(G2493&lt;65,'General Basis'!$C$42,'General Basis'!$C$43)))),IF(G2493&lt;11,'General Basis'!$B$39,IF(G2493&lt;18,'General Basis'!$B$40,IF(G2493&lt;26,'General Basis'!$B$41,IF(G2493&lt;31,'General Basis'!$B$42,IF(G2493&lt;36,'General Basis'!$B$43,IF(G2493&lt;41,'General Basis'!$B$44,IF(G2493&lt;46,'General Basis'!$B$45,IF(G2493&lt;51,'General Basis'!$B$46,IF(G2493&lt;56,'General Basis'!$B$47,IF(G2493&lt;60,'General Basis'!$B$48,IF(G2493&lt;65,'General Basis'!$B$49,'General Basis'!$B$50)))))))))))))</f>
        <v/>
      </c>
      <c r="BI2493" s="744" t="str">
        <f t="shared" si="863"/>
        <v/>
      </c>
      <c r="BJ2493" s="747" t="str">
        <f t="shared" si="870"/>
        <v/>
      </c>
      <c r="BK2493" s="498" t="str">
        <f t="shared" si="864"/>
        <v/>
      </c>
      <c r="BL2493" s="498" t="str">
        <f t="shared" si="865"/>
        <v/>
      </c>
    </row>
    <row r="2494" spans="1:64" x14ac:dyDescent="0.25">
      <c r="A2494" s="762">
        <f t="shared" si="866"/>
        <v>2489</v>
      </c>
      <c r="B2494" s="229"/>
      <c r="C2494" s="223"/>
      <c r="D2494" s="224"/>
      <c r="E2494" s="225"/>
      <c r="F2494" s="1036" t="str">
        <f t="shared" si="872"/>
        <v/>
      </c>
      <c r="G2494" s="1037" t="str">
        <f t="shared" si="867"/>
        <v/>
      </c>
      <c r="H2494" s="225"/>
      <c r="I2494" s="1013"/>
      <c r="J2494" s="1013"/>
      <c r="K2494" s="1028"/>
      <c r="L2494" s="1035" t="str">
        <f t="shared" si="871"/>
        <v/>
      </c>
      <c r="S2494" s="498"/>
      <c r="AJ2494" s="498"/>
      <c r="AM2494" s="498">
        <f t="shared" si="852"/>
        <v>0</v>
      </c>
      <c r="AN2494" s="498">
        <f t="shared" si="853"/>
        <v>0</v>
      </c>
      <c r="AO2494" s="498">
        <f t="shared" si="854"/>
        <v>0</v>
      </c>
      <c r="AP2494" s="498">
        <f t="shared" si="873"/>
        <v>0</v>
      </c>
      <c r="AQ2494" s="498">
        <f t="shared" si="868"/>
        <v>0</v>
      </c>
      <c r="AU2494" s="498">
        <f t="shared" si="855"/>
        <v>0</v>
      </c>
      <c r="AV2494" s="498">
        <f t="shared" si="856"/>
        <v>0</v>
      </c>
      <c r="AW2494" s="498">
        <f t="shared" si="857"/>
        <v>0</v>
      </c>
      <c r="AX2494" s="498">
        <f t="shared" si="858"/>
        <v>0</v>
      </c>
      <c r="AY2494" s="498">
        <f t="shared" si="859"/>
        <v>0</v>
      </c>
      <c r="BB2494" s="498" t="str">
        <f t="shared" si="860"/>
        <v/>
      </c>
      <c r="BC2494" s="743" t="str">
        <f t="shared" si="861"/>
        <v/>
      </c>
      <c r="BD2494" s="743" t="str">
        <f t="shared" si="862"/>
        <v/>
      </c>
      <c r="BE2494" s="743" t="str">
        <f>IF(D2494="","",VLOOKUP(D2494,'General Basis'!$J$39:$K$46,2,0))</f>
        <v/>
      </c>
      <c r="BF2494" s="744" t="str">
        <f>IF(D2494="","",VLOOKUP(D2494,'General Basis'!$J$39:$L$46,3,0))</f>
        <v/>
      </c>
      <c r="BG2494" s="744" t="str">
        <f t="shared" si="869"/>
        <v/>
      </c>
      <c r="BH2494" s="744" t="str">
        <f>IF(G2494="","",IF(BF2494="Abu Dhabi",IF(G2494&lt;18,'General Basis'!$C$39,IF(G2494&lt;41,'General Basis'!$C$40,IF(G2494&lt;60,'General Basis'!$C$41,IF(G2494&lt;65,'General Basis'!$C$42,'General Basis'!$C$43)))),IF(G2494&lt;11,'General Basis'!$B$39,IF(G2494&lt;18,'General Basis'!$B$40,IF(G2494&lt;26,'General Basis'!$B$41,IF(G2494&lt;31,'General Basis'!$B$42,IF(G2494&lt;36,'General Basis'!$B$43,IF(G2494&lt;41,'General Basis'!$B$44,IF(G2494&lt;46,'General Basis'!$B$45,IF(G2494&lt;51,'General Basis'!$B$46,IF(G2494&lt;56,'General Basis'!$B$47,IF(G2494&lt;60,'General Basis'!$B$48,IF(G2494&lt;65,'General Basis'!$B$49,'General Basis'!$B$50)))))))))))))</f>
        <v/>
      </c>
      <c r="BI2494" s="744" t="str">
        <f t="shared" si="863"/>
        <v/>
      </c>
      <c r="BJ2494" s="747" t="str">
        <f t="shared" si="870"/>
        <v/>
      </c>
      <c r="BK2494" s="498" t="str">
        <f t="shared" si="864"/>
        <v/>
      </c>
      <c r="BL2494" s="498" t="str">
        <f t="shared" si="865"/>
        <v/>
      </c>
    </row>
    <row r="2495" spans="1:64" x14ac:dyDescent="0.25">
      <c r="A2495" s="762">
        <f t="shared" si="866"/>
        <v>2490</v>
      </c>
      <c r="B2495" s="229"/>
      <c r="C2495" s="223"/>
      <c r="D2495" s="224"/>
      <c r="E2495" s="225"/>
      <c r="F2495" s="1036" t="str">
        <f t="shared" si="872"/>
        <v/>
      </c>
      <c r="G2495" s="1037" t="str">
        <f t="shared" si="867"/>
        <v/>
      </c>
      <c r="H2495" s="225"/>
      <c r="I2495" s="1013"/>
      <c r="J2495" s="1013"/>
      <c r="K2495" s="1028"/>
      <c r="L2495" s="1035" t="str">
        <f t="shared" si="871"/>
        <v/>
      </c>
      <c r="S2495" s="498"/>
      <c r="AJ2495" s="498"/>
      <c r="AM2495" s="498">
        <f t="shared" si="852"/>
        <v>0</v>
      </c>
      <c r="AN2495" s="498">
        <f t="shared" si="853"/>
        <v>0</v>
      </c>
      <c r="AO2495" s="498">
        <f t="shared" si="854"/>
        <v>0</v>
      </c>
      <c r="AP2495" s="498">
        <f t="shared" si="873"/>
        <v>0</v>
      </c>
      <c r="AQ2495" s="498">
        <f t="shared" si="868"/>
        <v>0</v>
      </c>
      <c r="AU2495" s="498">
        <f t="shared" si="855"/>
        <v>0</v>
      </c>
      <c r="AV2495" s="498">
        <f t="shared" si="856"/>
        <v>0</v>
      </c>
      <c r="AW2495" s="498">
        <f t="shared" si="857"/>
        <v>0</v>
      </c>
      <c r="AX2495" s="498">
        <f t="shared" si="858"/>
        <v>0</v>
      </c>
      <c r="AY2495" s="498">
        <f t="shared" si="859"/>
        <v>0</v>
      </c>
      <c r="BB2495" s="498" t="str">
        <f t="shared" si="860"/>
        <v/>
      </c>
      <c r="BC2495" s="743" t="str">
        <f t="shared" si="861"/>
        <v/>
      </c>
      <c r="BD2495" s="743" t="str">
        <f t="shared" si="862"/>
        <v/>
      </c>
      <c r="BE2495" s="743" t="str">
        <f>IF(D2495="","",VLOOKUP(D2495,'General Basis'!$J$39:$K$46,2,0))</f>
        <v/>
      </c>
      <c r="BF2495" s="744" t="str">
        <f>IF(D2495="","",VLOOKUP(D2495,'General Basis'!$J$39:$L$46,3,0))</f>
        <v/>
      </c>
      <c r="BG2495" s="744" t="str">
        <f t="shared" si="869"/>
        <v/>
      </c>
      <c r="BH2495" s="744" t="str">
        <f>IF(G2495="","",IF(BF2495="Abu Dhabi",IF(G2495&lt;18,'General Basis'!$C$39,IF(G2495&lt;41,'General Basis'!$C$40,IF(G2495&lt;60,'General Basis'!$C$41,IF(G2495&lt;65,'General Basis'!$C$42,'General Basis'!$C$43)))),IF(G2495&lt;11,'General Basis'!$B$39,IF(G2495&lt;18,'General Basis'!$B$40,IF(G2495&lt;26,'General Basis'!$B$41,IF(G2495&lt;31,'General Basis'!$B$42,IF(G2495&lt;36,'General Basis'!$B$43,IF(G2495&lt;41,'General Basis'!$B$44,IF(G2495&lt;46,'General Basis'!$B$45,IF(G2495&lt;51,'General Basis'!$B$46,IF(G2495&lt;56,'General Basis'!$B$47,IF(G2495&lt;60,'General Basis'!$B$48,IF(G2495&lt;65,'General Basis'!$B$49,'General Basis'!$B$50)))))))))))))</f>
        <v/>
      </c>
      <c r="BI2495" s="744" t="str">
        <f t="shared" si="863"/>
        <v/>
      </c>
      <c r="BJ2495" s="747" t="str">
        <f t="shared" si="870"/>
        <v/>
      </c>
      <c r="BK2495" s="498" t="str">
        <f t="shared" si="864"/>
        <v/>
      </c>
      <c r="BL2495" s="498" t="str">
        <f t="shared" si="865"/>
        <v/>
      </c>
    </row>
    <row r="2496" spans="1:64" x14ac:dyDescent="0.25">
      <c r="A2496" s="762">
        <f t="shared" si="866"/>
        <v>2491</v>
      </c>
      <c r="B2496" s="229"/>
      <c r="C2496" s="223"/>
      <c r="D2496" s="224"/>
      <c r="E2496" s="225"/>
      <c r="F2496" s="1036" t="str">
        <f t="shared" si="872"/>
        <v/>
      </c>
      <c r="G2496" s="1037" t="str">
        <f t="shared" si="867"/>
        <v/>
      </c>
      <c r="H2496" s="225"/>
      <c r="I2496" s="1013"/>
      <c r="J2496" s="1013"/>
      <c r="K2496" s="1028"/>
      <c r="L2496" s="1035" t="str">
        <f t="shared" si="871"/>
        <v/>
      </c>
      <c r="S2496" s="498"/>
      <c r="AJ2496" s="498"/>
      <c r="AM2496" s="498">
        <f t="shared" si="852"/>
        <v>0</v>
      </c>
      <c r="AN2496" s="498">
        <f t="shared" si="853"/>
        <v>0</v>
      </c>
      <c r="AO2496" s="498">
        <f t="shared" si="854"/>
        <v>0</v>
      </c>
      <c r="AP2496" s="498">
        <f t="shared" si="873"/>
        <v>0</v>
      </c>
      <c r="AQ2496" s="498">
        <f t="shared" si="868"/>
        <v>0</v>
      </c>
      <c r="AU2496" s="498">
        <f t="shared" si="855"/>
        <v>0</v>
      </c>
      <c r="AV2496" s="498">
        <f t="shared" si="856"/>
        <v>0</v>
      </c>
      <c r="AW2496" s="498">
        <f t="shared" si="857"/>
        <v>0</v>
      </c>
      <c r="AX2496" s="498">
        <f t="shared" si="858"/>
        <v>0</v>
      </c>
      <c r="AY2496" s="498">
        <f t="shared" si="859"/>
        <v>0</v>
      </c>
      <c r="BB2496" s="498" t="str">
        <f t="shared" si="860"/>
        <v/>
      </c>
      <c r="BC2496" s="743" t="str">
        <f t="shared" si="861"/>
        <v/>
      </c>
      <c r="BD2496" s="743" t="str">
        <f t="shared" si="862"/>
        <v/>
      </c>
      <c r="BE2496" s="743" t="str">
        <f>IF(D2496="","",VLOOKUP(D2496,'General Basis'!$J$39:$K$46,2,0))</f>
        <v/>
      </c>
      <c r="BF2496" s="744" t="str">
        <f>IF(D2496="","",VLOOKUP(D2496,'General Basis'!$J$39:$L$46,3,0))</f>
        <v/>
      </c>
      <c r="BG2496" s="744" t="str">
        <f t="shared" si="869"/>
        <v/>
      </c>
      <c r="BH2496" s="744" t="str">
        <f>IF(G2496="","",IF(BF2496="Abu Dhabi",IF(G2496&lt;18,'General Basis'!$C$39,IF(G2496&lt;41,'General Basis'!$C$40,IF(G2496&lt;60,'General Basis'!$C$41,IF(G2496&lt;65,'General Basis'!$C$42,'General Basis'!$C$43)))),IF(G2496&lt;11,'General Basis'!$B$39,IF(G2496&lt;18,'General Basis'!$B$40,IF(G2496&lt;26,'General Basis'!$B$41,IF(G2496&lt;31,'General Basis'!$B$42,IF(G2496&lt;36,'General Basis'!$B$43,IF(G2496&lt;41,'General Basis'!$B$44,IF(G2496&lt;46,'General Basis'!$B$45,IF(G2496&lt;51,'General Basis'!$B$46,IF(G2496&lt;56,'General Basis'!$B$47,IF(G2496&lt;60,'General Basis'!$B$48,IF(G2496&lt;65,'General Basis'!$B$49,'General Basis'!$B$50)))))))))))))</f>
        <v/>
      </c>
      <c r="BI2496" s="744" t="str">
        <f t="shared" si="863"/>
        <v/>
      </c>
      <c r="BJ2496" s="747" t="str">
        <f t="shared" si="870"/>
        <v/>
      </c>
      <c r="BK2496" s="498" t="str">
        <f t="shared" si="864"/>
        <v/>
      </c>
      <c r="BL2496" s="498" t="str">
        <f t="shared" si="865"/>
        <v/>
      </c>
    </row>
    <row r="2497" spans="1:64" x14ac:dyDescent="0.25">
      <c r="A2497" s="762">
        <f t="shared" si="866"/>
        <v>2492</v>
      </c>
      <c r="B2497" s="229"/>
      <c r="C2497" s="223"/>
      <c r="D2497" s="224"/>
      <c r="E2497" s="225"/>
      <c r="F2497" s="1036" t="str">
        <f t="shared" si="872"/>
        <v/>
      </c>
      <c r="G2497" s="1037" t="str">
        <f t="shared" si="867"/>
        <v/>
      </c>
      <c r="H2497" s="225"/>
      <c r="I2497" s="1013"/>
      <c r="J2497" s="1013"/>
      <c r="K2497" s="1028"/>
      <c r="L2497" s="1035" t="str">
        <f t="shared" si="871"/>
        <v/>
      </c>
      <c r="S2497" s="498"/>
      <c r="AJ2497" s="498"/>
      <c r="AM2497" s="498">
        <f t="shared" si="852"/>
        <v>0</v>
      </c>
      <c r="AN2497" s="498">
        <f t="shared" si="853"/>
        <v>0</v>
      </c>
      <c r="AO2497" s="498">
        <f t="shared" si="854"/>
        <v>0</v>
      </c>
      <c r="AP2497" s="498">
        <f t="shared" si="873"/>
        <v>0</v>
      </c>
      <c r="AQ2497" s="498">
        <f t="shared" si="868"/>
        <v>0</v>
      </c>
      <c r="AU2497" s="498">
        <f t="shared" si="855"/>
        <v>0</v>
      </c>
      <c r="AV2497" s="498">
        <f t="shared" si="856"/>
        <v>0</v>
      </c>
      <c r="AW2497" s="498">
        <f t="shared" si="857"/>
        <v>0</v>
      </c>
      <c r="AX2497" s="498">
        <f t="shared" si="858"/>
        <v>0</v>
      </c>
      <c r="AY2497" s="498">
        <f t="shared" si="859"/>
        <v>0</v>
      </c>
      <c r="BB2497" s="498" t="str">
        <f t="shared" si="860"/>
        <v/>
      </c>
      <c r="BC2497" s="743" t="str">
        <f t="shared" si="861"/>
        <v/>
      </c>
      <c r="BD2497" s="743" t="str">
        <f t="shared" si="862"/>
        <v/>
      </c>
      <c r="BE2497" s="743" t="str">
        <f>IF(D2497="","",VLOOKUP(D2497,'General Basis'!$J$39:$K$46,2,0))</f>
        <v/>
      </c>
      <c r="BF2497" s="744" t="str">
        <f>IF(D2497="","",VLOOKUP(D2497,'General Basis'!$J$39:$L$46,3,0))</f>
        <v/>
      </c>
      <c r="BG2497" s="744" t="str">
        <f t="shared" si="869"/>
        <v/>
      </c>
      <c r="BH2497" s="744" t="str">
        <f>IF(G2497="","",IF(BF2497="Abu Dhabi",IF(G2497&lt;18,'General Basis'!$C$39,IF(G2497&lt;41,'General Basis'!$C$40,IF(G2497&lt;60,'General Basis'!$C$41,IF(G2497&lt;65,'General Basis'!$C$42,'General Basis'!$C$43)))),IF(G2497&lt;11,'General Basis'!$B$39,IF(G2497&lt;18,'General Basis'!$B$40,IF(G2497&lt;26,'General Basis'!$B$41,IF(G2497&lt;31,'General Basis'!$B$42,IF(G2497&lt;36,'General Basis'!$B$43,IF(G2497&lt;41,'General Basis'!$B$44,IF(G2497&lt;46,'General Basis'!$B$45,IF(G2497&lt;51,'General Basis'!$B$46,IF(G2497&lt;56,'General Basis'!$B$47,IF(G2497&lt;60,'General Basis'!$B$48,IF(G2497&lt;65,'General Basis'!$B$49,'General Basis'!$B$50)))))))))))))</f>
        <v/>
      </c>
      <c r="BI2497" s="744" t="str">
        <f t="shared" si="863"/>
        <v/>
      </c>
      <c r="BJ2497" s="747" t="str">
        <f t="shared" si="870"/>
        <v/>
      </c>
      <c r="BK2497" s="498" t="str">
        <f t="shared" si="864"/>
        <v/>
      </c>
      <c r="BL2497" s="498" t="str">
        <f t="shared" si="865"/>
        <v/>
      </c>
    </row>
    <row r="2498" spans="1:64" x14ac:dyDescent="0.25">
      <c r="A2498" s="762">
        <f t="shared" si="866"/>
        <v>2493</v>
      </c>
      <c r="B2498" s="229"/>
      <c r="C2498" s="223"/>
      <c r="D2498" s="224"/>
      <c r="E2498" s="225"/>
      <c r="F2498" s="1036" t="str">
        <f t="shared" si="872"/>
        <v/>
      </c>
      <c r="G2498" s="1037" t="str">
        <f t="shared" si="867"/>
        <v/>
      </c>
      <c r="H2498" s="225"/>
      <c r="I2498" s="1013"/>
      <c r="J2498" s="1013"/>
      <c r="K2498" s="1028"/>
      <c r="L2498" s="1035" t="str">
        <f t="shared" si="871"/>
        <v/>
      </c>
      <c r="S2498" s="498"/>
      <c r="AJ2498" s="498"/>
      <c r="AM2498" s="498">
        <f t="shared" si="852"/>
        <v>0</v>
      </c>
      <c r="AN2498" s="498">
        <f t="shared" si="853"/>
        <v>0</v>
      </c>
      <c r="AO2498" s="498">
        <f t="shared" si="854"/>
        <v>0</v>
      </c>
      <c r="AP2498" s="498">
        <f t="shared" si="873"/>
        <v>0</v>
      </c>
      <c r="AQ2498" s="498">
        <f t="shared" si="868"/>
        <v>0</v>
      </c>
      <c r="AU2498" s="498">
        <f t="shared" si="855"/>
        <v>0</v>
      </c>
      <c r="AV2498" s="498">
        <f t="shared" si="856"/>
        <v>0</v>
      </c>
      <c r="AW2498" s="498">
        <f t="shared" si="857"/>
        <v>0</v>
      </c>
      <c r="AX2498" s="498">
        <f t="shared" si="858"/>
        <v>0</v>
      </c>
      <c r="AY2498" s="498">
        <f t="shared" si="859"/>
        <v>0</v>
      </c>
      <c r="BB2498" s="498" t="str">
        <f t="shared" si="860"/>
        <v/>
      </c>
      <c r="BC2498" s="743" t="str">
        <f t="shared" si="861"/>
        <v/>
      </c>
      <c r="BD2498" s="743" t="str">
        <f t="shared" si="862"/>
        <v/>
      </c>
      <c r="BE2498" s="743" t="str">
        <f>IF(D2498="","",VLOOKUP(D2498,'General Basis'!$J$39:$K$46,2,0))</f>
        <v/>
      </c>
      <c r="BF2498" s="744" t="str">
        <f>IF(D2498="","",VLOOKUP(D2498,'General Basis'!$J$39:$L$46,3,0))</f>
        <v/>
      </c>
      <c r="BG2498" s="744" t="str">
        <f t="shared" si="869"/>
        <v/>
      </c>
      <c r="BH2498" s="744" t="str">
        <f>IF(G2498="","",IF(BF2498="Abu Dhabi",IF(G2498&lt;18,'General Basis'!$C$39,IF(G2498&lt;41,'General Basis'!$C$40,IF(G2498&lt;60,'General Basis'!$C$41,IF(G2498&lt;65,'General Basis'!$C$42,'General Basis'!$C$43)))),IF(G2498&lt;11,'General Basis'!$B$39,IF(G2498&lt;18,'General Basis'!$B$40,IF(G2498&lt;26,'General Basis'!$B$41,IF(G2498&lt;31,'General Basis'!$B$42,IF(G2498&lt;36,'General Basis'!$B$43,IF(G2498&lt;41,'General Basis'!$B$44,IF(G2498&lt;46,'General Basis'!$B$45,IF(G2498&lt;51,'General Basis'!$B$46,IF(G2498&lt;56,'General Basis'!$B$47,IF(G2498&lt;60,'General Basis'!$B$48,IF(G2498&lt;65,'General Basis'!$B$49,'General Basis'!$B$50)))))))))))))</f>
        <v/>
      </c>
      <c r="BI2498" s="744" t="str">
        <f t="shared" si="863"/>
        <v/>
      </c>
      <c r="BJ2498" s="747" t="str">
        <f t="shared" si="870"/>
        <v/>
      </c>
      <c r="BK2498" s="498" t="str">
        <f t="shared" si="864"/>
        <v/>
      </c>
      <c r="BL2498" s="498" t="str">
        <f t="shared" si="865"/>
        <v/>
      </c>
    </row>
    <row r="2499" spans="1:64" x14ac:dyDescent="0.25">
      <c r="A2499" s="762">
        <f t="shared" si="866"/>
        <v>2494</v>
      </c>
      <c r="B2499" s="229"/>
      <c r="C2499" s="223"/>
      <c r="D2499" s="224"/>
      <c r="E2499" s="225"/>
      <c r="F2499" s="1036" t="str">
        <f t="shared" si="872"/>
        <v/>
      </c>
      <c r="G2499" s="1037" t="str">
        <f t="shared" si="867"/>
        <v/>
      </c>
      <c r="H2499" s="225"/>
      <c r="I2499" s="1013"/>
      <c r="J2499" s="1013"/>
      <c r="K2499" s="1028"/>
      <c r="L2499" s="1035" t="str">
        <f t="shared" si="871"/>
        <v/>
      </c>
      <c r="S2499" s="498"/>
      <c r="AJ2499" s="498"/>
      <c r="AM2499" s="498">
        <f t="shared" si="852"/>
        <v>0</v>
      </c>
      <c r="AN2499" s="498">
        <f t="shared" si="853"/>
        <v>0</v>
      </c>
      <c r="AO2499" s="498">
        <f t="shared" si="854"/>
        <v>0</v>
      </c>
      <c r="AP2499" s="498">
        <f t="shared" si="873"/>
        <v>0</v>
      </c>
      <c r="AQ2499" s="498">
        <f t="shared" si="868"/>
        <v>0</v>
      </c>
      <c r="AU2499" s="498">
        <f t="shared" si="855"/>
        <v>0</v>
      </c>
      <c r="AV2499" s="498">
        <f t="shared" si="856"/>
        <v>0</v>
      </c>
      <c r="AW2499" s="498">
        <f t="shared" si="857"/>
        <v>0</v>
      </c>
      <c r="AX2499" s="498">
        <f t="shared" si="858"/>
        <v>0</v>
      </c>
      <c r="AY2499" s="498">
        <f t="shared" si="859"/>
        <v>0</v>
      </c>
      <c r="BB2499" s="498" t="str">
        <f t="shared" si="860"/>
        <v/>
      </c>
      <c r="BC2499" s="743" t="str">
        <f t="shared" si="861"/>
        <v/>
      </c>
      <c r="BD2499" s="743" t="str">
        <f t="shared" si="862"/>
        <v/>
      </c>
      <c r="BE2499" s="743" t="str">
        <f>IF(D2499="","",VLOOKUP(D2499,'General Basis'!$J$39:$K$46,2,0))</f>
        <v/>
      </c>
      <c r="BF2499" s="744" t="str">
        <f>IF(D2499="","",VLOOKUP(D2499,'General Basis'!$J$39:$L$46,3,0))</f>
        <v/>
      </c>
      <c r="BG2499" s="744" t="str">
        <f t="shared" si="869"/>
        <v/>
      </c>
      <c r="BH2499" s="744" t="str">
        <f>IF(G2499="","",IF(BF2499="Abu Dhabi",IF(G2499&lt;18,'General Basis'!$C$39,IF(G2499&lt;41,'General Basis'!$C$40,IF(G2499&lt;60,'General Basis'!$C$41,IF(G2499&lt;65,'General Basis'!$C$42,'General Basis'!$C$43)))),IF(G2499&lt;11,'General Basis'!$B$39,IF(G2499&lt;18,'General Basis'!$B$40,IF(G2499&lt;26,'General Basis'!$B$41,IF(G2499&lt;31,'General Basis'!$B$42,IF(G2499&lt;36,'General Basis'!$B$43,IF(G2499&lt;41,'General Basis'!$B$44,IF(G2499&lt;46,'General Basis'!$B$45,IF(G2499&lt;51,'General Basis'!$B$46,IF(G2499&lt;56,'General Basis'!$B$47,IF(G2499&lt;60,'General Basis'!$B$48,IF(G2499&lt;65,'General Basis'!$B$49,'General Basis'!$B$50)))))))))))))</f>
        <v/>
      </c>
      <c r="BI2499" s="744" t="str">
        <f t="shared" si="863"/>
        <v/>
      </c>
      <c r="BJ2499" s="747" t="str">
        <f t="shared" si="870"/>
        <v/>
      </c>
      <c r="BK2499" s="498" t="str">
        <f t="shared" si="864"/>
        <v/>
      </c>
      <c r="BL2499" s="498" t="str">
        <f t="shared" si="865"/>
        <v/>
      </c>
    </row>
    <row r="2500" spans="1:64" x14ac:dyDescent="0.25">
      <c r="A2500" s="762">
        <f t="shared" si="866"/>
        <v>2495</v>
      </c>
      <c r="B2500" s="229"/>
      <c r="C2500" s="223"/>
      <c r="D2500" s="224"/>
      <c r="E2500" s="225"/>
      <c r="F2500" s="1036" t="str">
        <f t="shared" si="872"/>
        <v/>
      </c>
      <c r="G2500" s="1037" t="str">
        <f t="shared" si="867"/>
        <v/>
      </c>
      <c r="H2500" s="225"/>
      <c r="I2500" s="1013"/>
      <c r="J2500" s="1013"/>
      <c r="K2500" s="1028"/>
      <c r="L2500" s="1035" t="str">
        <f t="shared" si="871"/>
        <v/>
      </c>
      <c r="S2500" s="498"/>
      <c r="AJ2500" s="498"/>
      <c r="AM2500" s="498">
        <f t="shared" si="852"/>
        <v>0</v>
      </c>
      <c r="AN2500" s="498">
        <f t="shared" si="853"/>
        <v>0</v>
      </c>
      <c r="AO2500" s="498">
        <f t="shared" si="854"/>
        <v>0</v>
      </c>
      <c r="AP2500" s="498">
        <f t="shared" si="873"/>
        <v>0</v>
      </c>
      <c r="AQ2500" s="498">
        <f t="shared" si="868"/>
        <v>0</v>
      </c>
      <c r="AU2500" s="498">
        <f t="shared" si="855"/>
        <v>0</v>
      </c>
      <c r="AV2500" s="498">
        <f t="shared" si="856"/>
        <v>0</v>
      </c>
      <c r="AW2500" s="498">
        <f t="shared" si="857"/>
        <v>0</v>
      </c>
      <c r="AX2500" s="498">
        <f t="shared" si="858"/>
        <v>0</v>
      </c>
      <c r="AY2500" s="498">
        <f t="shared" si="859"/>
        <v>0</v>
      </c>
      <c r="BB2500" s="498" t="str">
        <f t="shared" si="860"/>
        <v/>
      </c>
      <c r="BC2500" s="743" t="str">
        <f t="shared" si="861"/>
        <v/>
      </c>
      <c r="BD2500" s="743" t="str">
        <f t="shared" si="862"/>
        <v/>
      </c>
      <c r="BE2500" s="743" t="str">
        <f>IF(D2500="","",VLOOKUP(D2500,'General Basis'!$J$39:$K$46,2,0))</f>
        <v/>
      </c>
      <c r="BF2500" s="744" t="str">
        <f>IF(D2500="","",VLOOKUP(D2500,'General Basis'!$J$39:$L$46,3,0))</f>
        <v/>
      </c>
      <c r="BG2500" s="744" t="str">
        <f t="shared" si="869"/>
        <v/>
      </c>
      <c r="BH2500" s="744" t="str">
        <f>IF(G2500="","",IF(BF2500="Abu Dhabi",IF(G2500&lt;18,'General Basis'!$C$39,IF(G2500&lt;41,'General Basis'!$C$40,IF(G2500&lt;60,'General Basis'!$C$41,IF(G2500&lt;65,'General Basis'!$C$42,'General Basis'!$C$43)))),IF(G2500&lt;11,'General Basis'!$B$39,IF(G2500&lt;18,'General Basis'!$B$40,IF(G2500&lt;26,'General Basis'!$B$41,IF(G2500&lt;31,'General Basis'!$B$42,IF(G2500&lt;36,'General Basis'!$B$43,IF(G2500&lt;41,'General Basis'!$B$44,IF(G2500&lt;46,'General Basis'!$B$45,IF(G2500&lt;51,'General Basis'!$B$46,IF(G2500&lt;56,'General Basis'!$B$47,IF(G2500&lt;60,'General Basis'!$B$48,IF(G2500&lt;65,'General Basis'!$B$49,'General Basis'!$B$50)))))))))))))</f>
        <v/>
      </c>
      <c r="BI2500" s="744" t="str">
        <f t="shared" si="863"/>
        <v/>
      </c>
      <c r="BJ2500" s="747" t="str">
        <f t="shared" si="870"/>
        <v/>
      </c>
      <c r="BK2500" s="498" t="str">
        <f t="shared" si="864"/>
        <v/>
      </c>
      <c r="BL2500" s="498" t="str">
        <f t="shared" si="865"/>
        <v/>
      </c>
    </row>
    <row r="2501" spans="1:64" x14ac:dyDescent="0.25">
      <c r="A2501" s="762">
        <f t="shared" si="866"/>
        <v>2496</v>
      </c>
      <c r="B2501" s="229"/>
      <c r="C2501" s="223"/>
      <c r="D2501" s="224"/>
      <c r="E2501" s="225"/>
      <c r="F2501" s="1036" t="str">
        <f t="shared" si="872"/>
        <v/>
      </c>
      <c r="G2501" s="1037" t="str">
        <f t="shared" si="867"/>
        <v/>
      </c>
      <c r="H2501" s="225"/>
      <c r="I2501" s="1013"/>
      <c r="J2501" s="1013"/>
      <c r="K2501" s="1028"/>
      <c r="L2501" s="1035" t="str">
        <f t="shared" si="871"/>
        <v/>
      </c>
      <c r="S2501" s="498"/>
      <c r="AJ2501" s="498"/>
      <c r="AM2501" s="498">
        <f t="shared" si="852"/>
        <v>0</v>
      </c>
      <c r="AN2501" s="498">
        <f t="shared" si="853"/>
        <v>0</v>
      </c>
      <c r="AO2501" s="498">
        <f t="shared" si="854"/>
        <v>0</v>
      </c>
      <c r="AP2501" s="498">
        <f t="shared" si="873"/>
        <v>0</v>
      </c>
      <c r="AQ2501" s="498">
        <f t="shared" si="868"/>
        <v>0</v>
      </c>
      <c r="AU2501" s="498">
        <f t="shared" si="855"/>
        <v>0</v>
      </c>
      <c r="AV2501" s="498">
        <f t="shared" si="856"/>
        <v>0</v>
      </c>
      <c r="AW2501" s="498">
        <f t="shared" si="857"/>
        <v>0</v>
      </c>
      <c r="AX2501" s="498">
        <f t="shared" si="858"/>
        <v>0</v>
      </c>
      <c r="AY2501" s="498">
        <f t="shared" si="859"/>
        <v>0</v>
      </c>
      <c r="BB2501" s="498" t="str">
        <f t="shared" si="860"/>
        <v/>
      </c>
      <c r="BC2501" s="743" t="str">
        <f t="shared" si="861"/>
        <v/>
      </c>
      <c r="BD2501" s="743" t="str">
        <f t="shared" si="862"/>
        <v/>
      </c>
      <c r="BE2501" s="743" t="str">
        <f>IF(D2501="","",VLOOKUP(D2501,'General Basis'!$J$39:$K$46,2,0))</f>
        <v/>
      </c>
      <c r="BF2501" s="744" t="str">
        <f>IF(D2501="","",VLOOKUP(D2501,'General Basis'!$J$39:$L$46,3,0))</f>
        <v/>
      </c>
      <c r="BG2501" s="744" t="str">
        <f t="shared" si="869"/>
        <v/>
      </c>
      <c r="BH2501" s="744" t="str">
        <f>IF(G2501="","",IF(BF2501="Abu Dhabi",IF(G2501&lt;18,'General Basis'!$C$39,IF(G2501&lt;41,'General Basis'!$C$40,IF(G2501&lt;60,'General Basis'!$C$41,IF(G2501&lt;65,'General Basis'!$C$42,'General Basis'!$C$43)))),IF(G2501&lt;11,'General Basis'!$B$39,IF(G2501&lt;18,'General Basis'!$B$40,IF(G2501&lt;26,'General Basis'!$B$41,IF(G2501&lt;31,'General Basis'!$B$42,IF(G2501&lt;36,'General Basis'!$B$43,IF(G2501&lt;41,'General Basis'!$B$44,IF(G2501&lt;46,'General Basis'!$B$45,IF(G2501&lt;51,'General Basis'!$B$46,IF(G2501&lt;56,'General Basis'!$B$47,IF(G2501&lt;60,'General Basis'!$B$48,IF(G2501&lt;65,'General Basis'!$B$49,'General Basis'!$B$50)))))))))))))</f>
        <v/>
      </c>
      <c r="BI2501" s="744" t="str">
        <f t="shared" si="863"/>
        <v/>
      </c>
      <c r="BJ2501" s="747" t="str">
        <f t="shared" si="870"/>
        <v/>
      </c>
      <c r="BK2501" s="498" t="str">
        <f t="shared" si="864"/>
        <v/>
      </c>
      <c r="BL2501" s="498" t="str">
        <f t="shared" si="865"/>
        <v/>
      </c>
    </row>
    <row r="2502" spans="1:64" x14ac:dyDescent="0.25">
      <c r="A2502" s="762">
        <f t="shared" si="866"/>
        <v>2497</v>
      </c>
      <c r="B2502" s="229"/>
      <c r="C2502" s="223"/>
      <c r="D2502" s="224"/>
      <c r="E2502" s="225"/>
      <c r="F2502" s="1036" t="str">
        <f t="shared" si="872"/>
        <v/>
      </c>
      <c r="G2502" s="1037" t="str">
        <f t="shared" si="867"/>
        <v/>
      </c>
      <c r="H2502" s="225"/>
      <c r="I2502" s="1013"/>
      <c r="J2502" s="1013"/>
      <c r="K2502" s="1028"/>
      <c r="L2502" s="1035" t="str">
        <f t="shared" si="871"/>
        <v/>
      </c>
      <c r="S2502" s="498"/>
      <c r="AJ2502" s="498"/>
      <c r="AM2502" s="498">
        <f t="shared" ref="AM2502:AM2565" si="874">IF(ISTEXT(B2502),1,0)</f>
        <v>0</v>
      </c>
      <c r="AN2502" s="498">
        <f t="shared" ref="AN2502:AN2565" si="875">IF(ISBLANK(B2502),0,IF(B2502&lt;$AK$6,1,0))</f>
        <v>0</v>
      </c>
      <c r="AO2502" s="498">
        <f t="shared" ref="AO2502:AO2565" si="876">IF(ISBLANK(B2502),0,IF(B2502&gt;$AK$7,1,0))</f>
        <v>0</v>
      </c>
      <c r="AP2502" s="498">
        <f t="shared" si="873"/>
        <v>0</v>
      </c>
      <c r="AQ2502" s="498">
        <f t="shared" si="868"/>
        <v>0</v>
      </c>
      <c r="AU2502" s="498">
        <f t="shared" ref="AU2502:AU2565" si="877">IF(ISBLANK(B2502),0,1)</f>
        <v>0</v>
      </c>
      <c r="AV2502" s="498">
        <f t="shared" ref="AV2502:AV2565" si="878">IF(ISBLANK(C2502),0,1)</f>
        <v>0</v>
      </c>
      <c r="AW2502" s="498">
        <f t="shared" ref="AW2502:AW2565" si="879">IF(ISBLANK(D2502),0,1)</f>
        <v>0</v>
      </c>
      <c r="AX2502" s="498">
        <f t="shared" ref="AX2502:AX2565" si="880">IF(ISBLANK(E2502),0,1)</f>
        <v>0</v>
      </c>
      <c r="AY2502" s="498">
        <f t="shared" ref="AY2502:AY2565" si="881">IF(ISBLANK(H2502),0,1)</f>
        <v>0</v>
      </c>
      <c r="BB2502" s="498" t="str">
        <f t="shared" ref="BB2502:BB2565" si="882">IF(E2502="Principal","Principal",IF(E2502="","","Other"))</f>
        <v/>
      </c>
      <c r="BC2502" s="743" t="str">
        <f t="shared" ref="BC2502:BC2565" si="883">IF(D2502="","",D2502)</f>
        <v/>
      </c>
      <c r="BD2502" s="743" t="str">
        <f t="shared" ref="BD2502:BD2565" si="884">IF(E2502="Principal","Employee",IF(E2502="","","Dependent"))</f>
        <v/>
      </c>
      <c r="BE2502" s="743" t="str">
        <f>IF(D2502="","",VLOOKUP(D2502,'General Basis'!$J$39:$K$46,2,0))</f>
        <v/>
      </c>
      <c r="BF2502" s="744" t="str">
        <f>IF(D2502="","",VLOOKUP(D2502,'General Basis'!$J$39:$L$46,3,0))</f>
        <v/>
      </c>
      <c r="BG2502" s="744" t="str">
        <f t="shared" si="869"/>
        <v/>
      </c>
      <c r="BH2502" s="744" t="str">
        <f>IF(G2502="","",IF(BF2502="Abu Dhabi",IF(G2502&lt;18,'General Basis'!$C$39,IF(G2502&lt;41,'General Basis'!$C$40,IF(G2502&lt;60,'General Basis'!$C$41,IF(G2502&lt;65,'General Basis'!$C$42,'General Basis'!$C$43)))),IF(G2502&lt;11,'General Basis'!$B$39,IF(G2502&lt;18,'General Basis'!$B$40,IF(G2502&lt;26,'General Basis'!$B$41,IF(G2502&lt;31,'General Basis'!$B$42,IF(G2502&lt;36,'General Basis'!$B$43,IF(G2502&lt;41,'General Basis'!$B$44,IF(G2502&lt;46,'General Basis'!$B$45,IF(G2502&lt;51,'General Basis'!$B$46,IF(G2502&lt;56,'General Basis'!$B$47,IF(G2502&lt;60,'General Basis'!$B$48,IF(G2502&lt;65,'General Basis'!$B$49,'General Basis'!$B$50)))))))))))))</f>
        <v/>
      </c>
      <c r="BI2502" s="744" t="str">
        <f t="shared" ref="BI2502:BI2565" si="885">IF(C2502="","",IF(C2502="M","Male","Female"))</f>
        <v/>
      </c>
      <c r="BJ2502" s="747" t="str">
        <f t="shared" si="870"/>
        <v/>
      </c>
      <c r="BK2502" s="498" t="str">
        <f t="shared" ref="BK2502:BK2565" si="886">IF(BD2502="","",IF(AND(BD2502="Employee",BI2502="Male",BF2502="Abu Dhabi",BE2502=GN_Plus),VLOOKUP(BH2502,AUH_MALE_EMP,2,0),IF(AND(BD2502="Employee",BI2502="Male",BF2502="Abu Dhabi",BE2502=GN),VLOOKUP(BH2502,AUH_MALE_EMP,3,0),IF(AND(BD2502="Employee",BI2502="Male",BF2502="Abu Dhabi",BE2502=RN_Plus),VLOOKUP(BH2502,AUH_MALE_EMP,4,0),IF(AND(BD2502="Employee",BI2502="Male",BF2502="Abu Dhabi",BE2502=RN),VLOOKUP(BH2502,AUH_MALE_EMP,5,0),IF(AND(BD2502="Employee",BI2502="Male",BF2502="Abu Dhabi",BE2502=RN_2),VLOOKUP(BH2502,AUH_MALE_EMP,6,0),IF(AND(BD2502="Employee",BI2502="Male",BF2502="Abu Dhabi",BE2502=RN2_minus),VLOOKUP(BH2502,AUH_MALE_EMP,7,0),IF(AND(BD2502="Employee",BI2502="Male",BF2502="Abu Dhabi",BE2502=RN_3),VLOOKUP(BH2502,AUH_MALE_EMP,8,0),IF(AND(BD2502="Employee",BI2502="Male",BF2502="Abu Dhabi",BE2502=VN),VLOOKUP(BH2502,AUH_MALE_EMP,9,0),IF(BD2502="","",IF(AND(BD2502="Employee",BI2502="Female",BF2502="Abu Dhabi",BE2502=GN_Plus),VLOOKUP(BH2502,AUH_FEMALE_EMP,2,0),IF(AND(BD2502="Employee",BI2502="Female",BF2502="Abu Dhabi",BE2502=GN),VLOOKUP(BH2502,AUH_FEMALE_EMP,3,0),IF(AND(BD2502="Employee",BI2502="Female",BF2502="Abu Dhabi",BE2502=RN_Plus),VLOOKUP(BH2502,AUH_FEMALE_EMP,4,0),IF(AND(BD2502="Employee",BI2502="Female",BF2502="Abu Dhabi",BE2502=RN),VLOOKUP(BH2502,AUH_FEMALE_EMP,5,0),IF(AND(BD2502="Employee",BI2502="Female",BF2502="Abu Dhabi",BE2502=RN_2),VLOOKUP(BH2502,AUH_FEMALE_EMP,6,0),IF(AND(BD2502="Employee",BI2502="Female",BF2502="Abu Dhabi",BE2502=RN2_minus),VLOOKUP(BH2502,AUH_FEMALE_EMP,7,0),IF(AND(BD2502="Employee",BI2502="Female",BF2502="Abu Dhabi",BE2502=RN_3),VLOOKUP(BH2502,AUH_FEMALE_EMP,8,0),IF(AND(BD2502="Employee",BI2502="Female",BF2502="Abu Dhabi",BE2502=VN),VLOOKUP(BH2502,AUH_FEMALE_EMP,9,0),IF(BD2502="","",IF(AND(BD2502="Dependent",BI2502="Male",BF2502="Abu Dhabi",BE2502=GN_Plus),VLOOKUP(BH2502,AUH_MALE_DEP,2,0),IF(AND(BD2502="Dependent",BI2502="Male",BF2502="Abu Dhabi",BE2502=GN),VLOOKUP(BH2502,AUH_MALE_DEP,3,0),IF(AND(BD2502="Dependent",BI2502="Male",BF2502="Abu Dhabi",BE2502=RN_Plus),VLOOKUP(BH2502,AUH_MALE_DEP,4,0),IF(AND(BD2502="Dependent",BI2502="Male",BF2502="Abu Dhabi",BE2502=RN),VLOOKUP(BH2502,AUH_MALE_DEP,5,0),IF(AND(BD2502="Dependent",BI2502="Male",BF2502="Abu Dhabi",BE2502=RN_2),VLOOKUP(BH2502,AUH_MALE_DEP,6,0),IF(AND(BD2502="Dependent",BI2502="Male",BF2502="Abu Dhabi",BE2502=RN2_minus),VLOOKUP(BH2502,AUH_MALE_DEP,7,0),IF(AND(BD2502="Dependent",BI2502="Male",BF2502="Abu Dhabi",BE2502=RN_3),VLOOKUP(BH2502,AUH_MALE_DEP,8,0),IF(AND(BD2502="Dependent",BI2502="Male",BF2502="Abu Dhabi",BE2502=VN),VLOOKUP(BH2502,AUH_MALE_DEP,9,0),IF(BD2502="","",IF(AND(BD2502="Dependent",BI2502="Female",BF2502="Abu Dhabi",BE2502=GN_Plus),VLOOKUP(BH2502,AUH_FEMALE_DEP,2,0),IF(AND(BD2502="Dependent",BI2502="Female",BF2502="Abu Dhabi",BE2502=GN),VLOOKUP(BH2502,AUH_FEMALE_DEP,3,0),IF(AND(BD2502="Dependent",BI2502="Female",BF2502="Abu Dhabi",BE2502=RN_Plus),VLOOKUP(BH2502,AUH_FEMALE_DEP,4,0),IF(AND(BD2502="Dependent",BI2502="Female",BF2502="Abu Dhabi",BE2502=RN),VLOOKUP(BH2502,AUH_FEMALE_DEP,5,0),IF(AND(BD2502="Dependent",BI2502="Female",BF2502="Abu Dhabi",BE2502=RN_2),VLOOKUP(BH2502,AUH_FEMALE_DEP,6,0),IF(AND(BD2502="Dependent",BI2502="Female",BF2502="Abu Dhabi",BE2502=RN2_minus),VLOOKUP(BH2502,AUH_FEMALE_DEP,7,0),IF(AND(BD2502="Dependent",BI2502="Female",BF2502="Abu Dhabi",BE2502=RN_3),VLOOKUP(BH2502,AUH_FEMALE_DEP,8,0),IF(AND(BD2502="Dependent",BI2502="Female",BF2502="Abu Dhabi",BE2502=VN),VLOOKUP(BH2502,AUH_FEMALE_DEP,9,0),"ABC"))))))))))))))))))))))))))))))))))))</f>
        <v/>
      </c>
      <c r="BL2502" s="498" t="str">
        <f t="shared" ref="BL2502:BL2565" si="887">IF(BD2502="","",IF(AND(BD2502="Employee",BI2502="Male",BF2502="Dubai",BE2502=GN_Plus),VLOOKUP(BH2502,DXB_MALE_EMP,2,0),IF(AND(BD2502="Employee",BI2502="Male",BF2502="Dubai",BE2502=GN),VLOOKUP(BH2502,DXB_MALE_EMP,3,0),IF(AND(BD2502="Employee",BI2502="Male",BF2502="Dubai",BE2502=RN_Plus),VLOOKUP(BH2502,DXB_MALE_EMP,4,0),IF(AND(BD2502="Employee",BI2502="Male",BF2502="Dubai",BE2502=RN),VLOOKUP(BH2502,DXB_MALE_EMP,5,0),IF(AND(BD2502="Employee",BI2502="Male",BF2502="Dubai",BE2502=RN_2),VLOOKUP(BH2502,DXB_MALE_EMP,6,0),IF(AND(BD2502="Employee",BI2502="Male",BF2502="Dubai",BE2502=RN2_minus),VLOOKUP(BH2502,DXB_MALE_EMP,7,0),IF(AND(BD2502="Employee",BI2502="Male",BF2502="Dubai",BE2502=RN_3),VLOOKUP(BH2502,DXB_MALE_EMP,8,0),IF(AND(BD2502="Employee",BI2502="Male",BF2502="Dubai",BE2502=VN),VLOOKUP(BH2502,DXB_MALE_EMP,9,0),IF(BD2502="","",IF(AND(BD2502="Employee",BI2502="Female",BF2502="Dubai",BE2502=GN_Plus),VLOOKUP(BH2502,DXB_FEMALE_EMP,2,0),IF(AND(BD2502="Employee",BI2502="Female",BF2502="Dubai",BE2502=GN),VLOOKUP(BH2502,DXB_FEMALE_EMP,3,0),IF(AND(BD2502="Employee",BI2502="Female",BF2502="Dubai",BE2502=RN_Plus),VLOOKUP(BH2502,DXB_FEMALE_EMP,4,0),IF(AND(BD2502="Employee",BI2502="Female",BF2502="Dubai",BE2502=RN),VLOOKUP(BH2502,DXB_FEMALE_EMP,5,0),IF(AND(BD2502="Employee",BI2502="Female",BF2502="Dubai",BE2502=RN_2),VLOOKUP(BH2502,DXB_FEMALE_EMP,6,0),IF(AND(BD2502="Employee",BI2502="Female",BF2502="Dubai",BE2502=RN2_minus),VLOOKUP(BH2502,DXB_FEMALE_EMP,7,0),IF(AND(BD2502="Employee",BI2502="Female",BF2502="Dubai",BE2502=RN_3),VLOOKUP(BH2502,DXB_FEMALE_EMP,8,0),IF(AND(BD2502="Employee",BI2502="Female",BF2502="Dubai",BE2502=VN),VLOOKUP(BH2502,DXB_FEMALE_EMP,9,0),IF(BD2502="","",IF(AND(BD2502="Dependent",BI2502="Male",BF2502="Dubai",BE2502=GN_Plus),VLOOKUP(BH2502,DXB_MALE_DEP,2,0),IF(AND(BD2502="Dependent",BI2502="Male",BF2502="Dubai",BE2502=GN),VLOOKUP(BH2502,DXB_MALE_DEP,3,0),IF(AND(BD2502="Dependent",BI2502="Male",BF2502="Dubai",BE2502=RN_Plus),VLOOKUP(BH2502,DXB_MALE_DEP,4,0),IF(AND(BD2502="Dependent",BI2502="Male",BF2502="Dubai",BE2502=RN),VLOOKUP(BH2502,DXB_MALE_DEP,5,0),IF(AND(BD2502="Dependent",BI2502="Male",BF2502="Dubai",BE2502=RN_2),VLOOKUP(BH2502,DXB_MALE_DEP,6,0),IF(AND(BD2502="Dependent",BI2502="Male",BF2502="Dubai",BE2502=RN2_minus),VLOOKUP(BH2502,DXB_MALE_DEP,7,0),IF(AND(BD2502="Dependent",BI2502="Male",BF2502="Dubai",BE2502=RN_3),VLOOKUP(BH2502,DXB_MALE_DEP,8,0),IF(AND(BD2502="Dependent",BI2502="Male",BF2502="Dubai",BE2502=VN),VLOOKUP(BH2502,DXB_MALE_DEP,9,0),IF(BD2502="","",IF(AND(BD2502="Dependent",BI2502="Female",BF2502="Dubai",BE2502=GN_Plus),VLOOKUP(BH2502,DXB_FEMALE_DEP,2,0),IF(AND(BD2502="Dependent",BI2502="Female",BF2502="Dubai",BE2502=GN),VLOOKUP(BH2502,DXB_FEMALE_DEP,3,0),IF(AND(BD2502="Dependent",BI2502="Female",BF2502="Dubai",BE2502=RN_Plus),VLOOKUP(BH2502,DXB_FEMALE_DEP,4,0),IF(AND(BD2502="Dependent",BI2502="Female",BF2502="Dubai",BE2502=RN),VLOOKUP(BH2502,DXB_FEMALE_DEP,5,0),IF(AND(BD2502="Dependent",BI2502="Female",BF2502="Dubai",BE2502=RN_2),VLOOKUP(BH2502,DXB_FEMALE_DEP,6,0),IF(AND(BD2502="Dependent",BI2502="Female",BF2502="Dubai",BE2502=RN2_minus),VLOOKUP(BH2502,DXB_FEMALE_DEP,7,0),IF(AND(BD2502="Dependent",BI2502="Female",BF2502="Dubai",BE2502=RN_3),VLOOKUP(BH2502,DXB_FEMALE_DEP,8,0),IF(AND(BD2502="Dependent",BI2502="Female",BF2502="Dubai",BE2502=VN),VLOOKUP(BH2502,DXB_FEMALE_DEP,9,0),"ABC"))))))))))))))))))))))))))))))))))))</f>
        <v/>
      </c>
    </row>
    <row r="2503" spans="1:64" x14ac:dyDescent="0.25">
      <c r="A2503" s="762">
        <f t="shared" ref="A2503:A2566" si="888">+A2502+1</f>
        <v>2498</v>
      </c>
      <c r="B2503" s="229"/>
      <c r="C2503" s="223"/>
      <c r="D2503" s="224"/>
      <c r="E2503" s="225"/>
      <c r="F2503" s="1036" t="str">
        <f t="shared" si="872"/>
        <v/>
      </c>
      <c r="G2503" s="1037" t="str">
        <f t="shared" ref="G2503:G2566" si="889">IF(D2503="","",MAX(0,ROUNDUP(F2503,0)))</f>
        <v/>
      </c>
      <c r="H2503" s="225"/>
      <c r="I2503" s="1013"/>
      <c r="J2503" s="1013"/>
      <c r="K2503" s="1028"/>
      <c r="L2503" s="1035" t="str">
        <f t="shared" si="871"/>
        <v/>
      </c>
      <c r="S2503" s="498"/>
      <c r="AJ2503" s="498"/>
      <c r="AM2503" s="498">
        <f t="shared" si="874"/>
        <v>0</v>
      </c>
      <c r="AN2503" s="498">
        <f t="shared" si="875"/>
        <v>0</v>
      </c>
      <c r="AO2503" s="498">
        <f t="shared" si="876"/>
        <v>0</v>
      </c>
      <c r="AP2503" s="498">
        <f t="shared" si="873"/>
        <v>0</v>
      </c>
      <c r="AQ2503" s="498">
        <f t="shared" ref="AQ2503:AQ2566" si="890">IF(ISBLANK($B2503),0,IF(OR($H2503="Single",$H2503="Married"),0,1))</f>
        <v>0</v>
      </c>
      <c r="AU2503" s="498">
        <f t="shared" si="877"/>
        <v>0</v>
      </c>
      <c r="AV2503" s="498">
        <f t="shared" si="878"/>
        <v>0</v>
      </c>
      <c r="AW2503" s="498">
        <f t="shared" si="879"/>
        <v>0</v>
      </c>
      <c r="AX2503" s="498">
        <f t="shared" si="880"/>
        <v>0</v>
      </c>
      <c r="AY2503" s="498">
        <f t="shared" si="881"/>
        <v>0</v>
      </c>
      <c r="BB2503" s="498" t="str">
        <f t="shared" si="882"/>
        <v/>
      </c>
      <c r="BC2503" s="743" t="str">
        <f t="shared" si="883"/>
        <v/>
      </c>
      <c r="BD2503" s="743" t="str">
        <f t="shared" si="884"/>
        <v/>
      </c>
      <c r="BE2503" s="743" t="str">
        <f>IF(D2503="","",VLOOKUP(D2503,'General Basis'!$J$39:$K$46,2,0))</f>
        <v/>
      </c>
      <c r="BF2503" s="744" t="str">
        <f>IF(D2503="","",VLOOKUP(D2503,'General Basis'!$J$39:$L$46,3,0))</f>
        <v/>
      </c>
      <c r="BG2503" s="744" t="str">
        <f t="shared" ref="BG2503:BG2566" si="891">BC2503&amp;BI2503</f>
        <v/>
      </c>
      <c r="BH2503" s="744" t="str">
        <f>IF(G2503="","",IF(BF2503="Abu Dhabi",IF(G2503&lt;18,'General Basis'!$C$39,IF(G2503&lt;41,'General Basis'!$C$40,IF(G2503&lt;60,'General Basis'!$C$41,IF(G2503&lt;65,'General Basis'!$C$42,'General Basis'!$C$43)))),IF(G2503&lt;11,'General Basis'!$B$39,IF(G2503&lt;18,'General Basis'!$B$40,IF(G2503&lt;26,'General Basis'!$B$41,IF(G2503&lt;31,'General Basis'!$B$42,IF(G2503&lt;36,'General Basis'!$B$43,IF(G2503&lt;41,'General Basis'!$B$44,IF(G2503&lt;46,'General Basis'!$B$45,IF(G2503&lt;51,'General Basis'!$B$46,IF(G2503&lt;56,'General Basis'!$B$47,IF(G2503&lt;60,'General Basis'!$B$48,IF(G2503&lt;65,'General Basis'!$B$49,'General Basis'!$B$50)))))))))))))</f>
        <v/>
      </c>
      <c r="BI2503" s="744" t="str">
        <f t="shared" si="885"/>
        <v/>
      </c>
      <c r="BJ2503" s="747" t="str">
        <f t="shared" ref="BJ2503:BJ2566" si="892">IF(BD2503="","",IF(BF2503="Abu Dhabi",BK2503,BL2503))</f>
        <v/>
      </c>
      <c r="BK2503" s="498" t="str">
        <f t="shared" si="886"/>
        <v/>
      </c>
      <c r="BL2503" s="498" t="str">
        <f t="shared" si="887"/>
        <v/>
      </c>
    </row>
    <row r="2504" spans="1:64" x14ac:dyDescent="0.25">
      <c r="A2504" s="762">
        <f t="shared" si="888"/>
        <v>2499</v>
      </c>
      <c r="B2504" s="229"/>
      <c r="C2504" s="223"/>
      <c r="D2504" s="224"/>
      <c r="E2504" s="225"/>
      <c r="F2504" s="1036" t="str">
        <f t="shared" si="872"/>
        <v/>
      </c>
      <c r="G2504" s="1037" t="str">
        <f t="shared" si="889"/>
        <v/>
      </c>
      <c r="H2504" s="225"/>
      <c r="I2504" s="1013"/>
      <c r="J2504" s="1013"/>
      <c r="K2504" s="1028"/>
      <c r="L2504" s="1035" t="str">
        <f t="shared" ref="L2504:L2567" si="893">IF(AND(E2504="Child",H2504="Married"),"Check the Marital Status of the Child. ",IF(AND(E2504="Child",F2504&gt;18),"Child Age exceed 18 years. ",IF(AND(E2504="Spouse",H2504="Single"),"Spouse is selected as Single. ","")))&amp;IF(K2504&gt;0,"UW Loading has been Applied","")</f>
        <v/>
      </c>
      <c r="S2504" s="498"/>
      <c r="AJ2504" s="498"/>
      <c r="AM2504" s="498">
        <f t="shared" si="874"/>
        <v>0</v>
      </c>
      <c r="AN2504" s="498">
        <f t="shared" si="875"/>
        <v>0</v>
      </c>
      <c r="AO2504" s="498">
        <f t="shared" si="876"/>
        <v>0</v>
      </c>
      <c r="AP2504" s="498">
        <f t="shared" si="873"/>
        <v>0</v>
      </c>
      <c r="AQ2504" s="498">
        <f t="shared" si="890"/>
        <v>0</v>
      </c>
      <c r="AU2504" s="498">
        <f t="shared" si="877"/>
        <v>0</v>
      </c>
      <c r="AV2504" s="498">
        <f t="shared" si="878"/>
        <v>0</v>
      </c>
      <c r="AW2504" s="498">
        <f t="shared" si="879"/>
        <v>0</v>
      </c>
      <c r="AX2504" s="498">
        <f t="shared" si="880"/>
        <v>0</v>
      </c>
      <c r="AY2504" s="498">
        <f t="shared" si="881"/>
        <v>0</v>
      </c>
      <c r="BB2504" s="498" t="str">
        <f t="shared" si="882"/>
        <v/>
      </c>
      <c r="BC2504" s="743" t="str">
        <f t="shared" si="883"/>
        <v/>
      </c>
      <c r="BD2504" s="743" t="str">
        <f t="shared" si="884"/>
        <v/>
      </c>
      <c r="BE2504" s="743" t="str">
        <f>IF(D2504="","",VLOOKUP(D2504,'General Basis'!$J$39:$K$46,2,0))</f>
        <v/>
      </c>
      <c r="BF2504" s="744" t="str">
        <f>IF(D2504="","",VLOOKUP(D2504,'General Basis'!$J$39:$L$46,3,0))</f>
        <v/>
      </c>
      <c r="BG2504" s="744" t="str">
        <f t="shared" si="891"/>
        <v/>
      </c>
      <c r="BH2504" s="744" t="str">
        <f>IF(G2504="","",IF(BF2504="Abu Dhabi",IF(G2504&lt;18,'General Basis'!$C$39,IF(G2504&lt;41,'General Basis'!$C$40,IF(G2504&lt;60,'General Basis'!$C$41,IF(G2504&lt;65,'General Basis'!$C$42,'General Basis'!$C$43)))),IF(G2504&lt;11,'General Basis'!$B$39,IF(G2504&lt;18,'General Basis'!$B$40,IF(G2504&lt;26,'General Basis'!$B$41,IF(G2504&lt;31,'General Basis'!$B$42,IF(G2504&lt;36,'General Basis'!$B$43,IF(G2504&lt;41,'General Basis'!$B$44,IF(G2504&lt;46,'General Basis'!$B$45,IF(G2504&lt;51,'General Basis'!$B$46,IF(G2504&lt;56,'General Basis'!$B$47,IF(G2504&lt;60,'General Basis'!$B$48,IF(G2504&lt;65,'General Basis'!$B$49,'General Basis'!$B$50)))))))))))))</f>
        <v/>
      </c>
      <c r="BI2504" s="744" t="str">
        <f t="shared" si="885"/>
        <v/>
      </c>
      <c r="BJ2504" s="747" t="str">
        <f t="shared" si="892"/>
        <v/>
      </c>
      <c r="BK2504" s="498" t="str">
        <f t="shared" si="886"/>
        <v/>
      </c>
      <c r="BL2504" s="498" t="str">
        <f t="shared" si="887"/>
        <v/>
      </c>
    </row>
    <row r="2505" spans="1:64" x14ac:dyDescent="0.25">
      <c r="A2505" s="762">
        <f t="shared" si="888"/>
        <v>2500</v>
      </c>
      <c r="B2505" s="229"/>
      <c r="C2505" s="223"/>
      <c r="D2505" s="224"/>
      <c r="E2505" s="225"/>
      <c r="F2505" s="1036" t="str">
        <f t="shared" si="872"/>
        <v/>
      </c>
      <c r="G2505" s="1037" t="str">
        <f t="shared" si="889"/>
        <v/>
      </c>
      <c r="H2505" s="225"/>
      <c r="I2505" s="1013"/>
      <c r="J2505" s="1013"/>
      <c r="K2505" s="1028"/>
      <c r="L2505" s="1035" t="str">
        <f t="shared" si="893"/>
        <v/>
      </c>
      <c r="S2505" s="498"/>
      <c r="AJ2505" s="498"/>
      <c r="AM2505" s="498">
        <f t="shared" si="874"/>
        <v>0</v>
      </c>
      <c r="AN2505" s="498">
        <f t="shared" si="875"/>
        <v>0</v>
      </c>
      <c r="AO2505" s="498">
        <f t="shared" si="876"/>
        <v>0</v>
      </c>
      <c r="AP2505" s="498">
        <f t="shared" si="873"/>
        <v>0</v>
      </c>
      <c r="AQ2505" s="498">
        <f t="shared" si="890"/>
        <v>0</v>
      </c>
      <c r="AU2505" s="498">
        <f t="shared" si="877"/>
        <v>0</v>
      </c>
      <c r="AV2505" s="498">
        <f t="shared" si="878"/>
        <v>0</v>
      </c>
      <c r="AW2505" s="498">
        <f t="shared" si="879"/>
        <v>0</v>
      </c>
      <c r="AX2505" s="498">
        <f t="shared" si="880"/>
        <v>0</v>
      </c>
      <c r="AY2505" s="498">
        <f t="shared" si="881"/>
        <v>0</v>
      </c>
      <c r="BB2505" s="498" t="str">
        <f t="shared" si="882"/>
        <v/>
      </c>
      <c r="BC2505" s="743" t="str">
        <f t="shared" si="883"/>
        <v/>
      </c>
      <c r="BD2505" s="743" t="str">
        <f t="shared" si="884"/>
        <v/>
      </c>
      <c r="BE2505" s="743" t="str">
        <f>IF(D2505="","",VLOOKUP(D2505,'General Basis'!$J$39:$K$46,2,0))</f>
        <v/>
      </c>
      <c r="BF2505" s="744" t="str">
        <f>IF(D2505="","",VLOOKUP(D2505,'General Basis'!$J$39:$L$46,3,0))</f>
        <v/>
      </c>
      <c r="BG2505" s="744" t="str">
        <f t="shared" si="891"/>
        <v/>
      </c>
      <c r="BH2505" s="744" t="str">
        <f>IF(G2505="","",IF(BF2505="Abu Dhabi",IF(G2505&lt;18,'General Basis'!$C$39,IF(G2505&lt;41,'General Basis'!$C$40,IF(G2505&lt;60,'General Basis'!$C$41,IF(G2505&lt;65,'General Basis'!$C$42,'General Basis'!$C$43)))),IF(G2505&lt;11,'General Basis'!$B$39,IF(G2505&lt;18,'General Basis'!$B$40,IF(G2505&lt;26,'General Basis'!$B$41,IF(G2505&lt;31,'General Basis'!$B$42,IF(G2505&lt;36,'General Basis'!$B$43,IF(G2505&lt;41,'General Basis'!$B$44,IF(G2505&lt;46,'General Basis'!$B$45,IF(G2505&lt;51,'General Basis'!$B$46,IF(G2505&lt;56,'General Basis'!$B$47,IF(G2505&lt;60,'General Basis'!$B$48,IF(G2505&lt;65,'General Basis'!$B$49,'General Basis'!$B$50)))))))))))))</f>
        <v/>
      </c>
      <c r="BI2505" s="744" t="str">
        <f t="shared" si="885"/>
        <v/>
      </c>
      <c r="BJ2505" s="747" t="str">
        <f t="shared" si="892"/>
        <v/>
      </c>
      <c r="BK2505" s="498" t="str">
        <f t="shared" si="886"/>
        <v/>
      </c>
      <c r="BL2505" s="498" t="str">
        <f t="shared" si="887"/>
        <v/>
      </c>
    </row>
    <row r="2506" spans="1:64" x14ac:dyDescent="0.25">
      <c r="A2506" s="762">
        <f t="shared" si="888"/>
        <v>2501</v>
      </c>
      <c r="B2506" s="229"/>
      <c r="C2506" s="223"/>
      <c r="D2506" s="224"/>
      <c r="E2506" s="225"/>
      <c r="F2506" s="1036" t="str">
        <f t="shared" si="872"/>
        <v/>
      </c>
      <c r="G2506" s="1037" t="str">
        <f t="shared" si="889"/>
        <v/>
      </c>
      <c r="H2506" s="225"/>
      <c r="I2506" s="1013"/>
      <c r="J2506" s="1013"/>
      <c r="K2506" s="1028"/>
      <c r="L2506" s="1035" t="str">
        <f t="shared" si="893"/>
        <v/>
      </c>
      <c r="S2506" s="498"/>
      <c r="AJ2506" s="498"/>
      <c r="AM2506" s="498">
        <f t="shared" si="874"/>
        <v>0</v>
      </c>
      <c r="AN2506" s="498">
        <f t="shared" si="875"/>
        <v>0</v>
      </c>
      <c r="AO2506" s="498">
        <f t="shared" si="876"/>
        <v>0</v>
      </c>
      <c r="AP2506" s="498">
        <f t="shared" si="873"/>
        <v>0</v>
      </c>
      <c r="AQ2506" s="498">
        <f t="shared" si="890"/>
        <v>0</v>
      </c>
      <c r="AU2506" s="498">
        <f t="shared" si="877"/>
        <v>0</v>
      </c>
      <c r="AV2506" s="498">
        <f t="shared" si="878"/>
        <v>0</v>
      </c>
      <c r="AW2506" s="498">
        <f t="shared" si="879"/>
        <v>0</v>
      </c>
      <c r="AX2506" s="498">
        <f t="shared" si="880"/>
        <v>0</v>
      </c>
      <c r="AY2506" s="498">
        <f t="shared" si="881"/>
        <v>0</v>
      </c>
      <c r="BB2506" s="498" t="str">
        <f t="shared" si="882"/>
        <v/>
      </c>
      <c r="BC2506" s="743" t="str">
        <f t="shared" si="883"/>
        <v/>
      </c>
      <c r="BD2506" s="743" t="str">
        <f t="shared" si="884"/>
        <v/>
      </c>
      <c r="BE2506" s="743" t="str">
        <f>IF(D2506="","",VLOOKUP(D2506,'General Basis'!$J$39:$K$46,2,0))</f>
        <v/>
      </c>
      <c r="BF2506" s="744" t="str">
        <f>IF(D2506="","",VLOOKUP(D2506,'General Basis'!$J$39:$L$46,3,0))</f>
        <v/>
      </c>
      <c r="BG2506" s="744" t="str">
        <f t="shared" si="891"/>
        <v/>
      </c>
      <c r="BH2506" s="744" t="str">
        <f>IF(G2506="","",IF(BF2506="Abu Dhabi",IF(G2506&lt;18,'General Basis'!$C$39,IF(G2506&lt;41,'General Basis'!$C$40,IF(G2506&lt;60,'General Basis'!$C$41,IF(G2506&lt;65,'General Basis'!$C$42,'General Basis'!$C$43)))),IF(G2506&lt;11,'General Basis'!$B$39,IF(G2506&lt;18,'General Basis'!$B$40,IF(G2506&lt;26,'General Basis'!$B$41,IF(G2506&lt;31,'General Basis'!$B$42,IF(G2506&lt;36,'General Basis'!$B$43,IF(G2506&lt;41,'General Basis'!$B$44,IF(G2506&lt;46,'General Basis'!$B$45,IF(G2506&lt;51,'General Basis'!$B$46,IF(G2506&lt;56,'General Basis'!$B$47,IF(G2506&lt;60,'General Basis'!$B$48,IF(G2506&lt;65,'General Basis'!$B$49,'General Basis'!$B$50)))))))))))))</f>
        <v/>
      </c>
      <c r="BI2506" s="744" t="str">
        <f t="shared" si="885"/>
        <v/>
      </c>
      <c r="BJ2506" s="747" t="str">
        <f t="shared" si="892"/>
        <v/>
      </c>
      <c r="BK2506" s="498" t="str">
        <f t="shared" si="886"/>
        <v/>
      </c>
      <c r="BL2506" s="498" t="str">
        <f t="shared" si="887"/>
        <v/>
      </c>
    </row>
    <row r="2507" spans="1:64" x14ac:dyDescent="0.25">
      <c r="A2507" s="762">
        <f t="shared" si="888"/>
        <v>2502</v>
      </c>
      <c r="B2507" s="229"/>
      <c r="C2507" s="223"/>
      <c r="D2507" s="224"/>
      <c r="E2507" s="225"/>
      <c r="F2507" s="1036" t="str">
        <f t="shared" si="872"/>
        <v/>
      </c>
      <c r="G2507" s="1037" t="str">
        <f t="shared" si="889"/>
        <v/>
      </c>
      <c r="H2507" s="225"/>
      <c r="I2507" s="1013"/>
      <c r="J2507" s="1013"/>
      <c r="K2507" s="1028"/>
      <c r="L2507" s="1035" t="str">
        <f t="shared" si="893"/>
        <v/>
      </c>
      <c r="S2507" s="498"/>
      <c r="AJ2507" s="498"/>
      <c r="AM2507" s="498">
        <f t="shared" si="874"/>
        <v>0</v>
      </c>
      <c r="AN2507" s="498">
        <f t="shared" si="875"/>
        <v>0</v>
      </c>
      <c r="AO2507" s="498">
        <f t="shared" si="876"/>
        <v>0</v>
      </c>
      <c r="AP2507" s="498">
        <f t="shared" si="873"/>
        <v>0</v>
      </c>
      <c r="AQ2507" s="498">
        <f t="shared" si="890"/>
        <v>0</v>
      </c>
      <c r="AU2507" s="498">
        <f t="shared" si="877"/>
        <v>0</v>
      </c>
      <c r="AV2507" s="498">
        <f t="shared" si="878"/>
        <v>0</v>
      </c>
      <c r="AW2507" s="498">
        <f t="shared" si="879"/>
        <v>0</v>
      </c>
      <c r="AX2507" s="498">
        <f t="shared" si="880"/>
        <v>0</v>
      </c>
      <c r="AY2507" s="498">
        <f t="shared" si="881"/>
        <v>0</v>
      </c>
      <c r="BB2507" s="498" t="str">
        <f t="shared" si="882"/>
        <v/>
      </c>
      <c r="BC2507" s="743" t="str">
        <f t="shared" si="883"/>
        <v/>
      </c>
      <c r="BD2507" s="743" t="str">
        <f t="shared" si="884"/>
        <v/>
      </c>
      <c r="BE2507" s="743" t="str">
        <f>IF(D2507="","",VLOOKUP(D2507,'General Basis'!$J$39:$K$46,2,0))</f>
        <v/>
      </c>
      <c r="BF2507" s="744" t="str">
        <f>IF(D2507="","",VLOOKUP(D2507,'General Basis'!$J$39:$L$46,3,0))</f>
        <v/>
      </c>
      <c r="BG2507" s="744" t="str">
        <f t="shared" si="891"/>
        <v/>
      </c>
      <c r="BH2507" s="744" t="str">
        <f>IF(G2507="","",IF(BF2507="Abu Dhabi",IF(G2507&lt;18,'General Basis'!$C$39,IF(G2507&lt;41,'General Basis'!$C$40,IF(G2507&lt;60,'General Basis'!$C$41,IF(G2507&lt;65,'General Basis'!$C$42,'General Basis'!$C$43)))),IF(G2507&lt;11,'General Basis'!$B$39,IF(G2507&lt;18,'General Basis'!$B$40,IF(G2507&lt;26,'General Basis'!$B$41,IF(G2507&lt;31,'General Basis'!$B$42,IF(G2507&lt;36,'General Basis'!$B$43,IF(G2507&lt;41,'General Basis'!$B$44,IF(G2507&lt;46,'General Basis'!$B$45,IF(G2507&lt;51,'General Basis'!$B$46,IF(G2507&lt;56,'General Basis'!$B$47,IF(G2507&lt;60,'General Basis'!$B$48,IF(G2507&lt;65,'General Basis'!$B$49,'General Basis'!$B$50)))))))))))))</f>
        <v/>
      </c>
      <c r="BI2507" s="744" t="str">
        <f t="shared" si="885"/>
        <v/>
      </c>
      <c r="BJ2507" s="747" t="str">
        <f t="shared" si="892"/>
        <v/>
      </c>
      <c r="BK2507" s="498" t="str">
        <f t="shared" si="886"/>
        <v/>
      </c>
      <c r="BL2507" s="498" t="str">
        <f t="shared" si="887"/>
        <v/>
      </c>
    </row>
    <row r="2508" spans="1:64" x14ac:dyDescent="0.25">
      <c r="A2508" s="762">
        <f t="shared" si="888"/>
        <v>2503</v>
      </c>
      <c r="B2508" s="229"/>
      <c r="C2508" s="223"/>
      <c r="D2508" s="224"/>
      <c r="E2508" s="225"/>
      <c r="F2508" s="1036" t="str">
        <f t="shared" si="872"/>
        <v/>
      </c>
      <c r="G2508" s="1037" t="str">
        <f t="shared" si="889"/>
        <v/>
      </c>
      <c r="H2508" s="225"/>
      <c r="I2508" s="1013"/>
      <c r="J2508" s="1013"/>
      <c r="K2508" s="1028"/>
      <c r="L2508" s="1035" t="str">
        <f t="shared" si="893"/>
        <v/>
      </c>
      <c r="S2508" s="498"/>
      <c r="AJ2508" s="498"/>
      <c r="AM2508" s="498">
        <f t="shared" si="874"/>
        <v>0</v>
      </c>
      <c r="AN2508" s="498">
        <f t="shared" si="875"/>
        <v>0</v>
      </c>
      <c r="AO2508" s="498">
        <f t="shared" si="876"/>
        <v>0</v>
      </c>
      <c r="AP2508" s="498">
        <f t="shared" si="873"/>
        <v>0</v>
      </c>
      <c r="AQ2508" s="498">
        <f t="shared" si="890"/>
        <v>0</v>
      </c>
      <c r="AU2508" s="498">
        <f t="shared" si="877"/>
        <v>0</v>
      </c>
      <c r="AV2508" s="498">
        <f t="shared" si="878"/>
        <v>0</v>
      </c>
      <c r="AW2508" s="498">
        <f t="shared" si="879"/>
        <v>0</v>
      </c>
      <c r="AX2508" s="498">
        <f t="shared" si="880"/>
        <v>0</v>
      </c>
      <c r="AY2508" s="498">
        <f t="shared" si="881"/>
        <v>0</v>
      </c>
      <c r="BB2508" s="498" t="str">
        <f t="shared" si="882"/>
        <v/>
      </c>
      <c r="BC2508" s="743" t="str">
        <f t="shared" si="883"/>
        <v/>
      </c>
      <c r="BD2508" s="743" t="str">
        <f t="shared" si="884"/>
        <v/>
      </c>
      <c r="BE2508" s="743" t="str">
        <f>IF(D2508="","",VLOOKUP(D2508,'General Basis'!$J$39:$K$46,2,0))</f>
        <v/>
      </c>
      <c r="BF2508" s="744" t="str">
        <f>IF(D2508="","",VLOOKUP(D2508,'General Basis'!$J$39:$L$46,3,0))</f>
        <v/>
      </c>
      <c r="BG2508" s="744" t="str">
        <f t="shared" si="891"/>
        <v/>
      </c>
      <c r="BH2508" s="744" t="str">
        <f>IF(G2508="","",IF(BF2508="Abu Dhabi",IF(G2508&lt;18,'General Basis'!$C$39,IF(G2508&lt;41,'General Basis'!$C$40,IF(G2508&lt;60,'General Basis'!$C$41,IF(G2508&lt;65,'General Basis'!$C$42,'General Basis'!$C$43)))),IF(G2508&lt;11,'General Basis'!$B$39,IF(G2508&lt;18,'General Basis'!$B$40,IF(G2508&lt;26,'General Basis'!$B$41,IF(G2508&lt;31,'General Basis'!$B$42,IF(G2508&lt;36,'General Basis'!$B$43,IF(G2508&lt;41,'General Basis'!$B$44,IF(G2508&lt;46,'General Basis'!$B$45,IF(G2508&lt;51,'General Basis'!$B$46,IF(G2508&lt;56,'General Basis'!$B$47,IF(G2508&lt;60,'General Basis'!$B$48,IF(G2508&lt;65,'General Basis'!$B$49,'General Basis'!$B$50)))))))))))))</f>
        <v/>
      </c>
      <c r="BI2508" s="744" t="str">
        <f t="shared" si="885"/>
        <v/>
      </c>
      <c r="BJ2508" s="747" t="str">
        <f t="shared" si="892"/>
        <v/>
      </c>
      <c r="BK2508" s="498" t="str">
        <f t="shared" si="886"/>
        <v/>
      </c>
      <c r="BL2508" s="498" t="str">
        <f t="shared" si="887"/>
        <v/>
      </c>
    </row>
    <row r="2509" spans="1:64" x14ac:dyDescent="0.25">
      <c r="A2509" s="762">
        <f t="shared" si="888"/>
        <v>2504</v>
      </c>
      <c r="B2509" s="229"/>
      <c r="C2509" s="223"/>
      <c r="D2509" s="224"/>
      <c r="E2509" s="225"/>
      <c r="F2509" s="1036" t="str">
        <f t="shared" si="872"/>
        <v/>
      </c>
      <c r="G2509" s="1037" t="str">
        <f t="shared" si="889"/>
        <v/>
      </c>
      <c r="H2509" s="225"/>
      <c r="I2509" s="1013"/>
      <c r="J2509" s="1013"/>
      <c r="K2509" s="1028"/>
      <c r="L2509" s="1035" t="str">
        <f t="shared" si="893"/>
        <v/>
      </c>
      <c r="S2509" s="498"/>
      <c r="AJ2509" s="498"/>
      <c r="AM2509" s="498">
        <f t="shared" si="874"/>
        <v>0</v>
      </c>
      <c r="AN2509" s="498">
        <f t="shared" si="875"/>
        <v>0</v>
      </c>
      <c r="AO2509" s="498">
        <f t="shared" si="876"/>
        <v>0</v>
      </c>
      <c r="AP2509" s="498">
        <f t="shared" si="873"/>
        <v>0</v>
      </c>
      <c r="AQ2509" s="498">
        <f t="shared" si="890"/>
        <v>0</v>
      </c>
      <c r="AU2509" s="498">
        <f t="shared" si="877"/>
        <v>0</v>
      </c>
      <c r="AV2509" s="498">
        <f t="shared" si="878"/>
        <v>0</v>
      </c>
      <c r="AW2509" s="498">
        <f t="shared" si="879"/>
        <v>0</v>
      </c>
      <c r="AX2509" s="498">
        <f t="shared" si="880"/>
        <v>0</v>
      </c>
      <c r="AY2509" s="498">
        <f t="shared" si="881"/>
        <v>0</v>
      </c>
      <c r="BB2509" s="498" t="str">
        <f t="shared" si="882"/>
        <v/>
      </c>
      <c r="BC2509" s="743" t="str">
        <f t="shared" si="883"/>
        <v/>
      </c>
      <c r="BD2509" s="743" t="str">
        <f t="shared" si="884"/>
        <v/>
      </c>
      <c r="BE2509" s="743" t="str">
        <f>IF(D2509="","",VLOOKUP(D2509,'General Basis'!$J$39:$K$46,2,0))</f>
        <v/>
      </c>
      <c r="BF2509" s="744" t="str">
        <f>IF(D2509="","",VLOOKUP(D2509,'General Basis'!$J$39:$L$46,3,0))</f>
        <v/>
      </c>
      <c r="BG2509" s="744" t="str">
        <f t="shared" si="891"/>
        <v/>
      </c>
      <c r="BH2509" s="744" t="str">
        <f>IF(G2509="","",IF(BF2509="Abu Dhabi",IF(G2509&lt;18,'General Basis'!$C$39,IF(G2509&lt;41,'General Basis'!$C$40,IF(G2509&lt;60,'General Basis'!$C$41,IF(G2509&lt;65,'General Basis'!$C$42,'General Basis'!$C$43)))),IF(G2509&lt;11,'General Basis'!$B$39,IF(G2509&lt;18,'General Basis'!$B$40,IF(G2509&lt;26,'General Basis'!$B$41,IF(G2509&lt;31,'General Basis'!$B$42,IF(G2509&lt;36,'General Basis'!$B$43,IF(G2509&lt;41,'General Basis'!$B$44,IF(G2509&lt;46,'General Basis'!$B$45,IF(G2509&lt;51,'General Basis'!$B$46,IF(G2509&lt;56,'General Basis'!$B$47,IF(G2509&lt;60,'General Basis'!$B$48,IF(G2509&lt;65,'General Basis'!$B$49,'General Basis'!$B$50)))))))))))))</f>
        <v/>
      </c>
      <c r="BI2509" s="744" t="str">
        <f t="shared" si="885"/>
        <v/>
      </c>
      <c r="BJ2509" s="747" t="str">
        <f t="shared" si="892"/>
        <v/>
      </c>
      <c r="BK2509" s="498" t="str">
        <f t="shared" si="886"/>
        <v/>
      </c>
      <c r="BL2509" s="498" t="str">
        <f t="shared" si="887"/>
        <v/>
      </c>
    </row>
    <row r="2510" spans="1:64" x14ac:dyDescent="0.25">
      <c r="A2510" s="762">
        <f t="shared" si="888"/>
        <v>2505</v>
      </c>
      <c r="B2510" s="229"/>
      <c r="C2510" s="223"/>
      <c r="D2510" s="224"/>
      <c r="E2510" s="225"/>
      <c r="F2510" s="1036" t="str">
        <f t="shared" si="872"/>
        <v/>
      </c>
      <c r="G2510" s="1037" t="str">
        <f t="shared" si="889"/>
        <v/>
      </c>
      <c r="H2510" s="225"/>
      <c r="I2510" s="1013"/>
      <c r="J2510" s="1013"/>
      <c r="K2510" s="1028"/>
      <c r="L2510" s="1035" t="str">
        <f t="shared" si="893"/>
        <v/>
      </c>
      <c r="S2510" s="498"/>
      <c r="AJ2510" s="498"/>
      <c r="AM2510" s="498">
        <f t="shared" si="874"/>
        <v>0</v>
      </c>
      <c r="AN2510" s="498">
        <f t="shared" si="875"/>
        <v>0</v>
      </c>
      <c r="AO2510" s="498">
        <f t="shared" si="876"/>
        <v>0</v>
      </c>
      <c r="AP2510" s="498">
        <f t="shared" si="873"/>
        <v>0</v>
      </c>
      <c r="AQ2510" s="498">
        <f t="shared" si="890"/>
        <v>0</v>
      </c>
      <c r="AU2510" s="498">
        <f t="shared" si="877"/>
        <v>0</v>
      </c>
      <c r="AV2510" s="498">
        <f t="shared" si="878"/>
        <v>0</v>
      </c>
      <c r="AW2510" s="498">
        <f t="shared" si="879"/>
        <v>0</v>
      </c>
      <c r="AX2510" s="498">
        <f t="shared" si="880"/>
        <v>0</v>
      </c>
      <c r="AY2510" s="498">
        <f t="shared" si="881"/>
        <v>0</v>
      </c>
      <c r="BB2510" s="498" t="str">
        <f t="shared" si="882"/>
        <v/>
      </c>
      <c r="BC2510" s="743" t="str">
        <f t="shared" si="883"/>
        <v/>
      </c>
      <c r="BD2510" s="743" t="str">
        <f t="shared" si="884"/>
        <v/>
      </c>
      <c r="BE2510" s="743" t="str">
        <f>IF(D2510="","",VLOOKUP(D2510,'General Basis'!$J$39:$K$46,2,0))</f>
        <v/>
      </c>
      <c r="BF2510" s="744" t="str">
        <f>IF(D2510="","",VLOOKUP(D2510,'General Basis'!$J$39:$L$46,3,0))</f>
        <v/>
      </c>
      <c r="BG2510" s="744" t="str">
        <f t="shared" si="891"/>
        <v/>
      </c>
      <c r="BH2510" s="744" t="str">
        <f>IF(G2510="","",IF(BF2510="Abu Dhabi",IF(G2510&lt;18,'General Basis'!$C$39,IF(G2510&lt;41,'General Basis'!$C$40,IF(G2510&lt;60,'General Basis'!$C$41,IF(G2510&lt;65,'General Basis'!$C$42,'General Basis'!$C$43)))),IF(G2510&lt;11,'General Basis'!$B$39,IF(G2510&lt;18,'General Basis'!$B$40,IF(G2510&lt;26,'General Basis'!$B$41,IF(G2510&lt;31,'General Basis'!$B$42,IF(G2510&lt;36,'General Basis'!$B$43,IF(G2510&lt;41,'General Basis'!$B$44,IF(G2510&lt;46,'General Basis'!$B$45,IF(G2510&lt;51,'General Basis'!$B$46,IF(G2510&lt;56,'General Basis'!$B$47,IF(G2510&lt;60,'General Basis'!$B$48,IF(G2510&lt;65,'General Basis'!$B$49,'General Basis'!$B$50)))))))))))))</f>
        <v/>
      </c>
      <c r="BI2510" s="744" t="str">
        <f t="shared" si="885"/>
        <v/>
      </c>
      <c r="BJ2510" s="747" t="str">
        <f t="shared" si="892"/>
        <v/>
      </c>
      <c r="BK2510" s="498" t="str">
        <f t="shared" si="886"/>
        <v/>
      </c>
      <c r="BL2510" s="498" t="str">
        <f t="shared" si="887"/>
        <v/>
      </c>
    </row>
    <row r="2511" spans="1:64" x14ac:dyDescent="0.25">
      <c r="A2511" s="762">
        <f t="shared" si="888"/>
        <v>2506</v>
      </c>
      <c r="B2511" s="229"/>
      <c r="C2511" s="223"/>
      <c r="D2511" s="224"/>
      <c r="E2511" s="225"/>
      <c r="F2511" s="1036" t="str">
        <f t="shared" si="872"/>
        <v/>
      </c>
      <c r="G2511" s="1037" t="str">
        <f t="shared" si="889"/>
        <v/>
      </c>
      <c r="H2511" s="225"/>
      <c r="I2511" s="1013"/>
      <c r="J2511" s="1013"/>
      <c r="K2511" s="1028"/>
      <c r="L2511" s="1035" t="str">
        <f t="shared" si="893"/>
        <v/>
      </c>
      <c r="S2511" s="498"/>
      <c r="AJ2511" s="498"/>
      <c r="AM2511" s="498">
        <f t="shared" si="874"/>
        <v>0</v>
      </c>
      <c r="AN2511" s="498">
        <f t="shared" si="875"/>
        <v>0</v>
      </c>
      <c r="AO2511" s="498">
        <f t="shared" si="876"/>
        <v>0</v>
      </c>
      <c r="AP2511" s="498">
        <f t="shared" si="873"/>
        <v>0</v>
      </c>
      <c r="AQ2511" s="498">
        <f t="shared" si="890"/>
        <v>0</v>
      </c>
      <c r="AU2511" s="498">
        <f t="shared" si="877"/>
        <v>0</v>
      </c>
      <c r="AV2511" s="498">
        <f t="shared" si="878"/>
        <v>0</v>
      </c>
      <c r="AW2511" s="498">
        <f t="shared" si="879"/>
        <v>0</v>
      </c>
      <c r="AX2511" s="498">
        <f t="shared" si="880"/>
        <v>0</v>
      </c>
      <c r="AY2511" s="498">
        <f t="shared" si="881"/>
        <v>0</v>
      </c>
      <c r="BB2511" s="498" t="str">
        <f t="shared" si="882"/>
        <v/>
      </c>
      <c r="BC2511" s="743" t="str">
        <f t="shared" si="883"/>
        <v/>
      </c>
      <c r="BD2511" s="743" t="str">
        <f t="shared" si="884"/>
        <v/>
      </c>
      <c r="BE2511" s="743" t="str">
        <f>IF(D2511="","",VLOOKUP(D2511,'General Basis'!$J$39:$K$46,2,0))</f>
        <v/>
      </c>
      <c r="BF2511" s="744" t="str">
        <f>IF(D2511="","",VLOOKUP(D2511,'General Basis'!$J$39:$L$46,3,0))</f>
        <v/>
      </c>
      <c r="BG2511" s="744" t="str">
        <f t="shared" si="891"/>
        <v/>
      </c>
      <c r="BH2511" s="744" t="str">
        <f>IF(G2511="","",IF(BF2511="Abu Dhabi",IF(G2511&lt;18,'General Basis'!$C$39,IF(G2511&lt;41,'General Basis'!$C$40,IF(G2511&lt;60,'General Basis'!$C$41,IF(G2511&lt;65,'General Basis'!$C$42,'General Basis'!$C$43)))),IF(G2511&lt;11,'General Basis'!$B$39,IF(G2511&lt;18,'General Basis'!$B$40,IF(G2511&lt;26,'General Basis'!$B$41,IF(G2511&lt;31,'General Basis'!$B$42,IF(G2511&lt;36,'General Basis'!$B$43,IF(G2511&lt;41,'General Basis'!$B$44,IF(G2511&lt;46,'General Basis'!$B$45,IF(G2511&lt;51,'General Basis'!$B$46,IF(G2511&lt;56,'General Basis'!$B$47,IF(G2511&lt;60,'General Basis'!$B$48,IF(G2511&lt;65,'General Basis'!$B$49,'General Basis'!$B$50)))))))))))))</f>
        <v/>
      </c>
      <c r="BI2511" s="744" t="str">
        <f t="shared" si="885"/>
        <v/>
      </c>
      <c r="BJ2511" s="747" t="str">
        <f t="shared" si="892"/>
        <v/>
      </c>
      <c r="BK2511" s="498" t="str">
        <f t="shared" si="886"/>
        <v/>
      </c>
      <c r="BL2511" s="498" t="str">
        <f t="shared" si="887"/>
        <v/>
      </c>
    </row>
    <row r="2512" spans="1:64" x14ac:dyDescent="0.25">
      <c r="A2512" s="762">
        <f t="shared" si="888"/>
        <v>2507</v>
      </c>
      <c r="B2512" s="229"/>
      <c r="C2512" s="223"/>
      <c r="D2512" s="224"/>
      <c r="E2512" s="225"/>
      <c r="F2512" s="1036" t="str">
        <f t="shared" ref="F2512:F2575" si="894">IF(C2512="","",IF($B2512="","",((YEAR($F$3)-YEAR($B2512))+(MONTH($F$3)-MONTH($B2512))/12+(DAY($F$3)-DAY($B2512))/(DATE(YEAR($F$3),12,31)-DATE(YEAR($F$3),1,1)+1))))</f>
        <v/>
      </c>
      <c r="G2512" s="1037" t="str">
        <f t="shared" si="889"/>
        <v/>
      </c>
      <c r="H2512" s="225"/>
      <c r="I2512" s="1013"/>
      <c r="J2512" s="1013"/>
      <c r="K2512" s="1028"/>
      <c r="L2512" s="1035" t="str">
        <f t="shared" si="893"/>
        <v/>
      </c>
      <c r="S2512" s="498"/>
      <c r="AJ2512" s="498"/>
      <c r="AM2512" s="498">
        <f t="shared" si="874"/>
        <v>0</v>
      </c>
      <c r="AN2512" s="498">
        <f t="shared" si="875"/>
        <v>0</v>
      </c>
      <c r="AO2512" s="498">
        <f t="shared" si="876"/>
        <v>0</v>
      </c>
      <c r="AP2512" s="498">
        <f t="shared" si="873"/>
        <v>0</v>
      </c>
      <c r="AQ2512" s="498">
        <f t="shared" si="890"/>
        <v>0</v>
      </c>
      <c r="AU2512" s="498">
        <f t="shared" si="877"/>
        <v>0</v>
      </c>
      <c r="AV2512" s="498">
        <f t="shared" si="878"/>
        <v>0</v>
      </c>
      <c r="AW2512" s="498">
        <f t="shared" si="879"/>
        <v>0</v>
      </c>
      <c r="AX2512" s="498">
        <f t="shared" si="880"/>
        <v>0</v>
      </c>
      <c r="AY2512" s="498">
        <f t="shared" si="881"/>
        <v>0</v>
      </c>
      <c r="BB2512" s="498" t="str">
        <f t="shared" si="882"/>
        <v/>
      </c>
      <c r="BC2512" s="743" t="str">
        <f t="shared" si="883"/>
        <v/>
      </c>
      <c r="BD2512" s="743" t="str">
        <f t="shared" si="884"/>
        <v/>
      </c>
      <c r="BE2512" s="743" t="str">
        <f>IF(D2512="","",VLOOKUP(D2512,'General Basis'!$J$39:$K$46,2,0))</f>
        <v/>
      </c>
      <c r="BF2512" s="744" t="str">
        <f>IF(D2512="","",VLOOKUP(D2512,'General Basis'!$J$39:$L$46,3,0))</f>
        <v/>
      </c>
      <c r="BG2512" s="744" t="str">
        <f t="shared" si="891"/>
        <v/>
      </c>
      <c r="BH2512" s="744" t="str">
        <f>IF(G2512="","",IF(BF2512="Abu Dhabi",IF(G2512&lt;18,'General Basis'!$C$39,IF(G2512&lt;41,'General Basis'!$C$40,IF(G2512&lt;60,'General Basis'!$C$41,IF(G2512&lt;65,'General Basis'!$C$42,'General Basis'!$C$43)))),IF(G2512&lt;11,'General Basis'!$B$39,IF(G2512&lt;18,'General Basis'!$B$40,IF(G2512&lt;26,'General Basis'!$B$41,IF(G2512&lt;31,'General Basis'!$B$42,IF(G2512&lt;36,'General Basis'!$B$43,IF(G2512&lt;41,'General Basis'!$B$44,IF(G2512&lt;46,'General Basis'!$B$45,IF(G2512&lt;51,'General Basis'!$B$46,IF(G2512&lt;56,'General Basis'!$B$47,IF(G2512&lt;60,'General Basis'!$B$48,IF(G2512&lt;65,'General Basis'!$B$49,'General Basis'!$B$50)))))))))))))</f>
        <v/>
      </c>
      <c r="BI2512" s="744" t="str">
        <f t="shared" si="885"/>
        <v/>
      </c>
      <c r="BJ2512" s="747" t="str">
        <f t="shared" si="892"/>
        <v/>
      </c>
      <c r="BK2512" s="498" t="str">
        <f t="shared" si="886"/>
        <v/>
      </c>
      <c r="BL2512" s="498" t="str">
        <f t="shared" si="887"/>
        <v/>
      </c>
    </row>
    <row r="2513" spans="1:64" x14ac:dyDescent="0.25">
      <c r="A2513" s="762">
        <f t="shared" si="888"/>
        <v>2508</v>
      </c>
      <c r="B2513" s="229"/>
      <c r="C2513" s="223"/>
      <c r="D2513" s="224"/>
      <c r="E2513" s="225"/>
      <c r="F2513" s="1036" t="str">
        <f t="shared" si="894"/>
        <v/>
      </c>
      <c r="G2513" s="1037" t="str">
        <f t="shared" si="889"/>
        <v/>
      </c>
      <c r="H2513" s="225"/>
      <c r="I2513" s="1013"/>
      <c r="J2513" s="1013"/>
      <c r="K2513" s="1028"/>
      <c r="L2513" s="1035" t="str">
        <f t="shared" si="893"/>
        <v/>
      </c>
      <c r="S2513" s="498"/>
      <c r="AJ2513" s="498"/>
      <c r="AM2513" s="498">
        <f t="shared" si="874"/>
        <v>0</v>
      </c>
      <c r="AN2513" s="498">
        <f t="shared" si="875"/>
        <v>0</v>
      </c>
      <c r="AO2513" s="498">
        <f t="shared" si="876"/>
        <v>0</v>
      </c>
      <c r="AP2513" s="498">
        <f t="shared" si="873"/>
        <v>0</v>
      </c>
      <c r="AQ2513" s="498">
        <f t="shared" si="890"/>
        <v>0</v>
      </c>
      <c r="AU2513" s="498">
        <f t="shared" si="877"/>
        <v>0</v>
      </c>
      <c r="AV2513" s="498">
        <f t="shared" si="878"/>
        <v>0</v>
      </c>
      <c r="AW2513" s="498">
        <f t="shared" si="879"/>
        <v>0</v>
      </c>
      <c r="AX2513" s="498">
        <f t="shared" si="880"/>
        <v>0</v>
      </c>
      <c r="AY2513" s="498">
        <f t="shared" si="881"/>
        <v>0</v>
      </c>
      <c r="BB2513" s="498" t="str">
        <f t="shared" si="882"/>
        <v/>
      </c>
      <c r="BC2513" s="743" t="str">
        <f t="shared" si="883"/>
        <v/>
      </c>
      <c r="BD2513" s="743" t="str">
        <f t="shared" si="884"/>
        <v/>
      </c>
      <c r="BE2513" s="743" t="str">
        <f>IF(D2513="","",VLOOKUP(D2513,'General Basis'!$J$39:$K$46,2,0))</f>
        <v/>
      </c>
      <c r="BF2513" s="744" t="str">
        <f>IF(D2513="","",VLOOKUP(D2513,'General Basis'!$J$39:$L$46,3,0))</f>
        <v/>
      </c>
      <c r="BG2513" s="744" t="str">
        <f t="shared" si="891"/>
        <v/>
      </c>
      <c r="BH2513" s="744" t="str">
        <f>IF(G2513="","",IF(BF2513="Abu Dhabi",IF(G2513&lt;18,'General Basis'!$C$39,IF(G2513&lt;41,'General Basis'!$C$40,IF(G2513&lt;60,'General Basis'!$C$41,IF(G2513&lt;65,'General Basis'!$C$42,'General Basis'!$C$43)))),IF(G2513&lt;11,'General Basis'!$B$39,IF(G2513&lt;18,'General Basis'!$B$40,IF(G2513&lt;26,'General Basis'!$B$41,IF(G2513&lt;31,'General Basis'!$B$42,IF(G2513&lt;36,'General Basis'!$B$43,IF(G2513&lt;41,'General Basis'!$B$44,IF(G2513&lt;46,'General Basis'!$B$45,IF(G2513&lt;51,'General Basis'!$B$46,IF(G2513&lt;56,'General Basis'!$B$47,IF(G2513&lt;60,'General Basis'!$B$48,IF(G2513&lt;65,'General Basis'!$B$49,'General Basis'!$B$50)))))))))))))</f>
        <v/>
      </c>
      <c r="BI2513" s="744" t="str">
        <f t="shared" si="885"/>
        <v/>
      </c>
      <c r="BJ2513" s="747" t="str">
        <f t="shared" si="892"/>
        <v/>
      </c>
      <c r="BK2513" s="498" t="str">
        <f t="shared" si="886"/>
        <v/>
      </c>
      <c r="BL2513" s="498" t="str">
        <f t="shared" si="887"/>
        <v/>
      </c>
    </row>
    <row r="2514" spans="1:64" x14ac:dyDescent="0.25">
      <c r="A2514" s="762">
        <f t="shared" si="888"/>
        <v>2509</v>
      </c>
      <c r="B2514" s="229"/>
      <c r="C2514" s="223"/>
      <c r="D2514" s="224"/>
      <c r="E2514" s="225"/>
      <c r="F2514" s="1036" t="str">
        <f t="shared" si="894"/>
        <v/>
      </c>
      <c r="G2514" s="1037" t="str">
        <f t="shared" si="889"/>
        <v/>
      </c>
      <c r="H2514" s="225"/>
      <c r="I2514" s="1013"/>
      <c r="J2514" s="1013"/>
      <c r="K2514" s="1028"/>
      <c r="L2514" s="1035" t="str">
        <f t="shared" si="893"/>
        <v/>
      </c>
      <c r="S2514" s="498"/>
      <c r="AJ2514" s="498"/>
      <c r="AM2514" s="498">
        <f t="shared" si="874"/>
        <v>0</v>
      </c>
      <c r="AN2514" s="498">
        <f t="shared" si="875"/>
        <v>0</v>
      </c>
      <c r="AO2514" s="498">
        <f t="shared" si="876"/>
        <v>0</v>
      </c>
      <c r="AP2514" s="498">
        <f t="shared" si="873"/>
        <v>0</v>
      </c>
      <c r="AQ2514" s="498">
        <f t="shared" si="890"/>
        <v>0</v>
      </c>
      <c r="AU2514" s="498">
        <f t="shared" si="877"/>
        <v>0</v>
      </c>
      <c r="AV2514" s="498">
        <f t="shared" si="878"/>
        <v>0</v>
      </c>
      <c r="AW2514" s="498">
        <f t="shared" si="879"/>
        <v>0</v>
      </c>
      <c r="AX2514" s="498">
        <f t="shared" si="880"/>
        <v>0</v>
      </c>
      <c r="AY2514" s="498">
        <f t="shared" si="881"/>
        <v>0</v>
      </c>
      <c r="BB2514" s="498" t="str">
        <f t="shared" si="882"/>
        <v/>
      </c>
      <c r="BC2514" s="743" t="str">
        <f t="shared" si="883"/>
        <v/>
      </c>
      <c r="BD2514" s="743" t="str">
        <f t="shared" si="884"/>
        <v/>
      </c>
      <c r="BE2514" s="743" t="str">
        <f>IF(D2514="","",VLOOKUP(D2514,'General Basis'!$J$39:$K$46,2,0))</f>
        <v/>
      </c>
      <c r="BF2514" s="744" t="str">
        <f>IF(D2514="","",VLOOKUP(D2514,'General Basis'!$J$39:$L$46,3,0))</f>
        <v/>
      </c>
      <c r="BG2514" s="744" t="str">
        <f t="shared" si="891"/>
        <v/>
      </c>
      <c r="BH2514" s="744" t="str">
        <f>IF(G2514="","",IF(BF2514="Abu Dhabi",IF(G2514&lt;18,'General Basis'!$C$39,IF(G2514&lt;41,'General Basis'!$C$40,IF(G2514&lt;60,'General Basis'!$C$41,IF(G2514&lt;65,'General Basis'!$C$42,'General Basis'!$C$43)))),IF(G2514&lt;11,'General Basis'!$B$39,IF(G2514&lt;18,'General Basis'!$B$40,IF(G2514&lt;26,'General Basis'!$B$41,IF(G2514&lt;31,'General Basis'!$B$42,IF(G2514&lt;36,'General Basis'!$B$43,IF(G2514&lt;41,'General Basis'!$B$44,IF(G2514&lt;46,'General Basis'!$B$45,IF(G2514&lt;51,'General Basis'!$B$46,IF(G2514&lt;56,'General Basis'!$B$47,IF(G2514&lt;60,'General Basis'!$B$48,IF(G2514&lt;65,'General Basis'!$B$49,'General Basis'!$B$50)))))))))))))</f>
        <v/>
      </c>
      <c r="BI2514" s="744" t="str">
        <f t="shared" si="885"/>
        <v/>
      </c>
      <c r="BJ2514" s="747" t="str">
        <f t="shared" si="892"/>
        <v/>
      </c>
      <c r="BK2514" s="498" t="str">
        <f t="shared" si="886"/>
        <v/>
      </c>
      <c r="BL2514" s="498" t="str">
        <f t="shared" si="887"/>
        <v/>
      </c>
    </row>
    <row r="2515" spans="1:64" x14ac:dyDescent="0.25">
      <c r="A2515" s="762">
        <f t="shared" si="888"/>
        <v>2510</v>
      </c>
      <c r="B2515" s="229"/>
      <c r="C2515" s="223"/>
      <c r="D2515" s="224"/>
      <c r="E2515" s="225"/>
      <c r="F2515" s="1036" t="str">
        <f t="shared" si="894"/>
        <v/>
      </c>
      <c r="G2515" s="1037" t="str">
        <f t="shared" si="889"/>
        <v/>
      </c>
      <c r="H2515" s="225"/>
      <c r="I2515" s="1013"/>
      <c r="J2515" s="1013"/>
      <c r="K2515" s="1028"/>
      <c r="L2515" s="1035" t="str">
        <f t="shared" si="893"/>
        <v/>
      </c>
      <c r="S2515" s="498"/>
      <c r="AJ2515" s="498"/>
      <c r="AM2515" s="498">
        <f t="shared" si="874"/>
        <v>0</v>
      </c>
      <c r="AN2515" s="498">
        <f t="shared" si="875"/>
        <v>0</v>
      </c>
      <c r="AO2515" s="498">
        <f t="shared" si="876"/>
        <v>0</v>
      </c>
      <c r="AP2515" s="498">
        <f t="shared" ref="AP2515:AP2578" si="895">IF(ISBLANK($B2515),0,IF(OR($C2515="M",$C2515="F"),0,1))</f>
        <v>0</v>
      </c>
      <c r="AQ2515" s="498">
        <f t="shared" si="890"/>
        <v>0</v>
      </c>
      <c r="AU2515" s="498">
        <f t="shared" si="877"/>
        <v>0</v>
      </c>
      <c r="AV2515" s="498">
        <f t="shared" si="878"/>
        <v>0</v>
      </c>
      <c r="AW2515" s="498">
        <f t="shared" si="879"/>
        <v>0</v>
      </c>
      <c r="AX2515" s="498">
        <f t="shared" si="880"/>
        <v>0</v>
      </c>
      <c r="AY2515" s="498">
        <f t="shared" si="881"/>
        <v>0</v>
      </c>
      <c r="BB2515" s="498" t="str">
        <f t="shared" si="882"/>
        <v/>
      </c>
      <c r="BC2515" s="743" t="str">
        <f t="shared" si="883"/>
        <v/>
      </c>
      <c r="BD2515" s="743" t="str">
        <f t="shared" si="884"/>
        <v/>
      </c>
      <c r="BE2515" s="743" t="str">
        <f>IF(D2515="","",VLOOKUP(D2515,'General Basis'!$J$39:$K$46,2,0))</f>
        <v/>
      </c>
      <c r="BF2515" s="744" t="str">
        <f>IF(D2515="","",VLOOKUP(D2515,'General Basis'!$J$39:$L$46,3,0))</f>
        <v/>
      </c>
      <c r="BG2515" s="744" t="str">
        <f t="shared" si="891"/>
        <v/>
      </c>
      <c r="BH2515" s="744" t="str">
        <f>IF(G2515="","",IF(BF2515="Abu Dhabi",IF(G2515&lt;18,'General Basis'!$C$39,IF(G2515&lt;41,'General Basis'!$C$40,IF(G2515&lt;60,'General Basis'!$C$41,IF(G2515&lt;65,'General Basis'!$C$42,'General Basis'!$C$43)))),IF(G2515&lt;11,'General Basis'!$B$39,IF(G2515&lt;18,'General Basis'!$B$40,IF(G2515&lt;26,'General Basis'!$B$41,IF(G2515&lt;31,'General Basis'!$B$42,IF(G2515&lt;36,'General Basis'!$B$43,IF(G2515&lt;41,'General Basis'!$B$44,IF(G2515&lt;46,'General Basis'!$B$45,IF(G2515&lt;51,'General Basis'!$B$46,IF(G2515&lt;56,'General Basis'!$B$47,IF(G2515&lt;60,'General Basis'!$B$48,IF(G2515&lt;65,'General Basis'!$B$49,'General Basis'!$B$50)))))))))))))</f>
        <v/>
      </c>
      <c r="BI2515" s="744" t="str">
        <f t="shared" si="885"/>
        <v/>
      </c>
      <c r="BJ2515" s="747" t="str">
        <f t="shared" si="892"/>
        <v/>
      </c>
      <c r="BK2515" s="498" t="str">
        <f t="shared" si="886"/>
        <v/>
      </c>
      <c r="BL2515" s="498" t="str">
        <f t="shared" si="887"/>
        <v/>
      </c>
    </row>
    <row r="2516" spans="1:64" x14ac:dyDescent="0.25">
      <c r="A2516" s="762">
        <f t="shared" si="888"/>
        <v>2511</v>
      </c>
      <c r="B2516" s="229"/>
      <c r="C2516" s="223"/>
      <c r="D2516" s="224"/>
      <c r="E2516" s="225"/>
      <c r="F2516" s="1036" t="str">
        <f t="shared" si="894"/>
        <v/>
      </c>
      <c r="G2516" s="1037" t="str">
        <f t="shared" si="889"/>
        <v/>
      </c>
      <c r="H2516" s="225"/>
      <c r="I2516" s="1013"/>
      <c r="J2516" s="1013"/>
      <c r="K2516" s="1028"/>
      <c r="L2516" s="1035" t="str">
        <f t="shared" si="893"/>
        <v/>
      </c>
      <c r="S2516" s="498"/>
      <c r="AJ2516" s="498"/>
      <c r="AM2516" s="498">
        <f t="shared" si="874"/>
        <v>0</v>
      </c>
      <c r="AN2516" s="498">
        <f t="shared" si="875"/>
        <v>0</v>
      </c>
      <c r="AO2516" s="498">
        <f t="shared" si="876"/>
        <v>0</v>
      </c>
      <c r="AP2516" s="498">
        <f t="shared" si="895"/>
        <v>0</v>
      </c>
      <c r="AQ2516" s="498">
        <f t="shared" si="890"/>
        <v>0</v>
      </c>
      <c r="AU2516" s="498">
        <f t="shared" si="877"/>
        <v>0</v>
      </c>
      <c r="AV2516" s="498">
        <f t="shared" si="878"/>
        <v>0</v>
      </c>
      <c r="AW2516" s="498">
        <f t="shared" si="879"/>
        <v>0</v>
      </c>
      <c r="AX2516" s="498">
        <f t="shared" si="880"/>
        <v>0</v>
      </c>
      <c r="AY2516" s="498">
        <f t="shared" si="881"/>
        <v>0</v>
      </c>
      <c r="BB2516" s="498" t="str">
        <f t="shared" si="882"/>
        <v/>
      </c>
      <c r="BC2516" s="743" t="str">
        <f t="shared" si="883"/>
        <v/>
      </c>
      <c r="BD2516" s="743" t="str">
        <f t="shared" si="884"/>
        <v/>
      </c>
      <c r="BE2516" s="743" t="str">
        <f>IF(D2516="","",VLOOKUP(D2516,'General Basis'!$J$39:$K$46,2,0))</f>
        <v/>
      </c>
      <c r="BF2516" s="744" t="str">
        <f>IF(D2516="","",VLOOKUP(D2516,'General Basis'!$J$39:$L$46,3,0))</f>
        <v/>
      </c>
      <c r="BG2516" s="744" t="str">
        <f t="shared" si="891"/>
        <v/>
      </c>
      <c r="BH2516" s="744" t="str">
        <f>IF(G2516="","",IF(BF2516="Abu Dhabi",IF(G2516&lt;18,'General Basis'!$C$39,IF(G2516&lt;41,'General Basis'!$C$40,IF(G2516&lt;60,'General Basis'!$C$41,IF(G2516&lt;65,'General Basis'!$C$42,'General Basis'!$C$43)))),IF(G2516&lt;11,'General Basis'!$B$39,IF(G2516&lt;18,'General Basis'!$B$40,IF(G2516&lt;26,'General Basis'!$B$41,IF(G2516&lt;31,'General Basis'!$B$42,IF(G2516&lt;36,'General Basis'!$B$43,IF(G2516&lt;41,'General Basis'!$B$44,IF(G2516&lt;46,'General Basis'!$B$45,IF(G2516&lt;51,'General Basis'!$B$46,IF(G2516&lt;56,'General Basis'!$B$47,IF(G2516&lt;60,'General Basis'!$B$48,IF(G2516&lt;65,'General Basis'!$B$49,'General Basis'!$B$50)))))))))))))</f>
        <v/>
      </c>
      <c r="BI2516" s="744" t="str">
        <f t="shared" si="885"/>
        <v/>
      </c>
      <c r="BJ2516" s="747" t="str">
        <f t="shared" si="892"/>
        <v/>
      </c>
      <c r="BK2516" s="498" t="str">
        <f t="shared" si="886"/>
        <v/>
      </c>
      <c r="BL2516" s="498" t="str">
        <f t="shared" si="887"/>
        <v/>
      </c>
    </row>
    <row r="2517" spans="1:64" x14ac:dyDescent="0.25">
      <c r="A2517" s="762">
        <f t="shared" si="888"/>
        <v>2512</v>
      </c>
      <c r="B2517" s="229"/>
      <c r="C2517" s="223"/>
      <c r="D2517" s="224"/>
      <c r="E2517" s="225"/>
      <c r="F2517" s="1036" t="str">
        <f t="shared" si="894"/>
        <v/>
      </c>
      <c r="G2517" s="1037" t="str">
        <f t="shared" si="889"/>
        <v/>
      </c>
      <c r="H2517" s="225"/>
      <c r="I2517" s="1013"/>
      <c r="J2517" s="1013"/>
      <c r="K2517" s="1028"/>
      <c r="L2517" s="1035" t="str">
        <f t="shared" si="893"/>
        <v/>
      </c>
      <c r="S2517" s="498"/>
      <c r="AJ2517" s="498"/>
      <c r="AM2517" s="498">
        <f t="shared" si="874"/>
        <v>0</v>
      </c>
      <c r="AN2517" s="498">
        <f t="shared" si="875"/>
        <v>0</v>
      </c>
      <c r="AO2517" s="498">
        <f t="shared" si="876"/>
        <v>0</v>
      </c>
      <c r="AP2517" s="498">
        <f t="shared" si="895"/>
        <v>0</v>
      </c>
      <c r="AQ2517" s="498">
        <f t="shared" si="890"/>
        <v>0</v>
      </c>
      <c r="AU2517" s="498">
        <f t="shared" si="877"/>
        <v>0</v>
      </c>
      <c r="AV2517" s="498">
        <f t="shared" si="878"/>
        <v>0</v>
      </c>
      <c r="AW2517" s="498">
        <f t="shared" si="879"/>
        <v>0</v>
      </c>
      <c r="AX2517" s="498">
        <f t="shared" si="880"/>
        <v>0</v>
      </c>
      <c r="AY2517" s="498">
        <f t="shared" si="881"/>
        <v>0</v>
      </c>
      <c r="BB2517" s="498" t="str">
        <f t="shared" si="882"/>
        <v/>
      </c>
      <c r="BC2517" s="743" t="str">
        <f t="shared" si="883"/>
        <v/>
      </c>
      <c r="BD2517" s="743" t="str">
        <f t="shared" si="884"/>
        <v/>
      </c>
      <c r="BE2517" s="743" t="str">
        <f>IF(D2517="","",VLOOKUP(D2517,'General Basis'!$J$39:$K$46,2,0))</f>
        <v/>
      </c>
      <c r="BF2517" s="744" t="str">
        <f>IF(D2517="","",VLOOKUP(D2517,'General Basis'!$J$39:$L$46,3,0))</f>
        <v/>
      </c>
      <c r="BG2517" s="744" t="str">
        <f t="shared" si="891"/>
        <v/>
      </c>
      <c r="BH2517" s="744" t="str">
        <f>IF(G2517="","",IF(BF2517="Abu Dhabi",IF(G2517&lt;18,'General Basis'!$C$39,IF(G2517&lt;41,'General Basis'!$C$40,IF(G2517&lt;60,'General Basis'!$C$41,IF(G2517&lt;65,'General Basis'!$C$42,'General Basis'!$C$43)))),IF(G2517&lt;11,'General Basis'!$B$39,IF(G2517&lt;18,'General Basis'!$B$40,IF(G2517&lt;26,'General Basis'!$B$41,IF(G2517&lt;31,'General Basis'!$B$42,IF(G2517&lt;36,'General Basis'!$B$43,IF(G2517&lt;41,'General Basis'!$B$44,IF(G2517&lt;46,'General Basis'!$B$45,IF(G2517&lt;51,'General Basis'!$B$46,IF(G2517&lt;56,'General Basis'!$B$47,IF(G2517&lt;60,'General Basis'!$B$48,IF(G2517&lt;65,'General Basis'!$B$49,'General Basis'!$B$50)))))))))))))</f>
        <v/>
      </c>
      <c r="BI2517" s="744" t="str">
        <f t="shared" si="885"/>
        <v/>
      </c>
      <c r="BJ2517" s="747" t="str">
        <f t="shared" si="892"/>
        <v/>
      </c>
      <c r="BK2517" s="498" t="str">
        <f t="shared" si="886"/>
        <v/>
      </c>
      <c r="BL2517" s="498" t="str">
        <f t="shared" si="887"/>
        <v/>
      </c>
    </row>
    <row r="2518" spans="1:64" x14ac:dyDescent="0.25">
      <c r="A2518" s="762">
        <f t="shared" si="888"/>
        <v>2513</v>
      </c>
      <c r="B2518" s="229"/>
      <c r="C2518" s="223"/>
      <c r="D2518" s="224"/>
      <c r="E2518" s="225"/>
      <c r="F2518" s="1036" t="str">
        <f t="shared" si="894"/>
        <v/>
      </c>
      <c r="G2518" s="1037" t="str">
        <f t="shared" si="889"/>
        <v/>
      </c>
      <c r="H2518" s="225"/>
      <c r="I2518" s="1013"/>
      <c r="J2518" s="1013"/>
      <c r="K2518" s="1028"/>
      <c r="L2518" s="1035" t="str">
        <f t="shared" si="893"/>
        <v/>
      </c>
      <c r="S2518" s="498"/>
      <c r="AJ2518" s="498"/>
      <c r="AM2518" s="498">
        <f t="shared" si="874"/>
        <v>0</v>
      </c>
      <c r="AN2518" s="498">
        <f t="shared" si="875"/>
        <v>0</v>
      </c>
      <c r="AO2518" s="498">
        <f t="shared" si="876"/>
        <v>0</v>
      </c>
      <c r="AP2518" s="498">
        <f t="shared" si="895"/>
        <v>0</v>
      </c>
      <c r="AQ2518" s="498">
        <f t="shared" si="890"/>
        <v>0</v>
      </c>
      <c r="AU2518" s="498">
        <f t="shared" si="877"/>
        <v>0</v>
      </c>
      <c r="AV2518" s="498">
        <f t="shared" si="878"/>
        <v>0</v>
      </c>
      <c r="AW2518" s="498">
        <f t="shared" si="879"/>
        <v>0</v>
      </c>
      <c r="AX2518" s="498">
        <f t="shared" si="880"/>
        <v>0</v>
      </c>
      <c r="AY2518" s="498">
        <f t="shared" si="881"/>
        <v>0</v>
      </c>
      <c r="BB2518" s="498" t="str">
        <f t="shared" si="882"/>
        <v/>
      </c>
      <c r="BC2518" s="743" t="str">
        <f t="shared" si="883"/>
        <v/>
      </c>
      <c r="BD2518" s="743" t="str">
        <f t="shared" si="884"/>
        <v/>
      </c>
      <c r="BE2518" s="743" t="str">
        <f>IF(D2518="","",VLOOKUP(D2518,'General Basis'!$J$39:$K$46,2,0))</f>
        <v/>
      </c>
      <c r="BF2518" s="744" t="str">
        <f>IF(D2518="","",VLOOKUP(D2518,'General Basis'!$J$39:$L$46,3,0))</f>
        <v/>
      </c>
      <c r="BG2518" s="744" t="str">
        <f t="shared" si="891"/>
        <v/>
      </c>
      <c r="BH2518" s="744" t="str">
        <f>IF(G2518="","",IF(BF2518="Abu Dhabi",IF(G2518&lt;18,'General Basis'!$C$39,IF(G2518&lt;41,'General Basis'!$C$40,IF(G2518&lt;60,'General Basis'!$C$41,IF(G2518&lt;65,'General Basis'!$C$42,'General Basis'!$C$43)))),IF(G2518&lt;11,'General Basis'!$B$39,IF(G2518&lt;18,'General Basis'!$B$40,IF(G2518&lt;26,'General Basis'!$B$41,IF(G2518&lt;31,'General Basis'!$B$42,IF(G2518&lt;36,'General Basis'!$B$43,IF(G2518&lt;41,'General Basis'!$B$44,IF(G2518&lt;46,'General Basis'!$B$45,IF(G2518&lt;51,'General Basis'!$B$46,IF(G2518&lt;56,'General Basis'!$B$47,IF(G2518&lt;60,'General Basis'!$B$48,IF(G2518&lt;65,'General Basis'!$B$49,'General Basis'!$B$50)))))))))))))</f>
        <v/>
      </c>
      <c r="BI2518" s="744" t="str">
        <f t="shared" si="885"/>
        <v/>
      </c>
      <c r="BJ2518" s="747" t="str">
        <f t="shared" si="892"/>
        <v/>
      </c>
      <c r="BK2518" s="498" t="str">
        <f t="shared" si="886"/>
        <v/>
      </c>
      <c r="BL2518" s="498" t="str">
        <f t="shared" si="887"/>
        <v/>
      </c>
    </row>
    <row r="2519" spans="1:64" x14ac:dyDescent="0.25">
      <c r="A2519" s="762">
        <f t="shared" si="888"/>
        <v>2514</v>
      </c>
      <c r="B2519" s="229"/>
      <c r="C2519" s="223"/>
      <c r="D2519" s="224"/>
      <c r="E2519" s="225"/>
      <c r="F2519" s="1036" t="str">
        <f t="shared" si="894"/>
        <v/>
      </c>
      <c r="G2519" s="1037" t="str">
        <f t="shared" si="889"/>
        <v/>
      </c>
      <c r="H2519" s="225"/>
      <c r="I2519" s="1013"/>
      <c r="J2519" s="1013"/>
      <c r="K2519" s="1028"/>
      <c r="L2519" s="1035" t="str">
        <f t="shared" si="893"/>
        <v/>
      </c>
      <c r="S2519" s="498"/>
      <c r="AJ2519" s="498"/>
      <c r="AM2519" s="498">
        <f t="shared" si="874"/>
        <v>0</v>
      </c>
      <c r="AN2519" s="498">
        <f t="shared" si="875"/>
        <v>0</v>
      </c>
      <c r="AO2519" s="498">
        <f t="shared" si="876"/>
        <v>0</v>
      </c>
      <c r="AP2519" s="498">
        <f t="shared" si="895"/>
        <v>0</v>
      </c>
      <c r="AQ2519" s="498">
        <f t="shared" si="890"/>
        <v>0</v>
      </c>
      <c r="AU2519" s="498">
        <f t="shared" si="877"/>
        <v>0</v>
      </c>
      <c r="AV2519" s="498">
        <f t="shared" si="878"/>
        <v>0</v>
      </c>
      <c r="AW2519" s="498">
        <f t="shared" si="879"/>
        <v>0</v>
      </c>
      <c r="AX2519" s="498">
        <f t="shared" si="880"/>
        <v>0</v>
      </c>
      <c r="AY2519" s="498">
        <f t="shared" si="881"/>
        <v>0</v>
      </c>
      <c r="BB2519" s="498" t="str">
        <f t="shared" si="882"/>
        <v/>
      </c>
      <c r="BC2519" s="743" t="str">
        <f t="shared" si="883"/>
        <v/>
      </c>
      <c r="BD2519" s="743" t="str">
        <f t="shared" si="884"/>
        <v/>
      </c>
      <c r="BE2519" s="743" t="str">
        <f>IF(D2519="","",VLOOKUP(D2519,'General Basis'!$J$39:$K$46,2,0))</f>
        <v/>
      </c>
      <c r="BF2519" s="744" t="str">
        <f>IF(D2519="","",VLOOKUP(D2519,'General Basis'!$J$39:$L$46,3,0))</f>
        <v/>
      </c>
      <c r="BG2519" s="744" t="str">
        <f t="shared" si="891"/>
        <v/>
      </c>
      <c r="BH2519" s="744" t="str">
        <f>IF(G2519="","",IF(BF2519="Abu Dhabi",IF(G2519&lt;18,'General Basis'!$C$39,IF(G2519&lt;41,'General Basis'!$C$40,IF(G2519&lt;60,'General Basis'!$C$41,IF(G2519&lt;65,'General Basis'!$C$42,'General Basis'!$C$43)))),IF(G2519&lt;11,'General Basis'!$B$39,IF(G2519&lt;18,'General Basis'!$B$40,IF(G2519&lt;26,'General Basis'!$B$41,IF(G2519&lt;31,'General Basis'!$B$42,IF(G2519&lt;36,'General Basis'!$B$43,IF(G2519&lt;41,'General Basis'!$B$44,IF(G2519&lt;46,'General Basis'!$B$45,IF(G2519&lt;51,'General Basis'!$B$46,IF(G2519&lt;56,'General Basis'!$B$47,IF(G2519&lt;60,'General Basis'!$B$48,IF(G2519&lt;65,'General Basis'!$B$49,'General Basis'!$B$50)))))))))))))</f>
        <v/>
      </c>
      <c r="BI2519" s="744" t="str">
        <f t="shared" si="885"/>
        <v/>
      </c>
      <c r="BJ2519" s="747" t="str">
        <f t="shared" si="892"/>
        <v/>
      </c>
      <c r="BK2519" s="498" t="str">
        <f t="shared" si="886"/>
        <v/>
      </c>
      <c r="BL2519" s="498" t="str">
        <f t="shared" si="887"/>
        <v/>
      </c>
    </row>
    <row r="2520" spans="1:64" x14ac:dyDescent="0.25">
      <c r="A2520" s="762">
        <f t="shared" si="888"/>
        <v>2515</v>
      </c>
      <c r="B2520" s="229"/>
      <c r="C2520" s="223"/>
      <c r="D2520" s="224"/>
      <c r="E2520" s="225"/>
      <c r="F2520" s="1036" t="str">
        <f t="shared" si="894"/>
        <v/>
      </c>
      <c r="G2520" s="1037" t="str">
        <f t="shared" si="889"/>
        <v/>
      </c>
      <c r="H2520" s="225"/>
      <c r="I2520" s="1013"/>
      <c r="J2520" s="1013"/>
      <c r="K2520" s="1028"/>
      <c r="L2520" s="1035" t="str">
        <f t="shared" si="893"/>
        <v/>
      </c>
      <c r="S2520" s="498"/>
      <c r="AJ2520" s="498"/>
      <c r="AM2520" s="498">
        <f t="shared" si="874"/>
        <v>0</v>
      </c>
      <c r="AN2520" s="498">
        <f t="shared" si="875"/>
        <v>0</v>
      </c>
      <c r="AO2520" s="498">
        <f t="shared" si="876"/>
        <v>0</v>
      </c>
      <c r="AP2520" s="498">
        <f t="shared" si="895"/>
        <v>0</v>
      </c>
      <c r="AQ2520" s="498">
        <f t="shared" si="890"/>
        <v>0</v>
      </c>
      <c r="AU2520" s="498">
        <f t="shared" si="877"/>
        <v>0</v>
      </c>
      <c r="AV2520" s="498">
        <f t="shared" si="878"/>
        <v>0</v>
      </c>
      <c r="AW2520" s="498">
        <f t="shared" si="879"/>
        <v>0</v>
      </c>
      <c r="AX2520" s="498">
        <f t="shared" si="880"/>
        <v>0</v>
      </c>
      <c r="AY2520" s="498">
        <f t="shared" si="881"/>
        <v>0</v>
      </c>
      <c r="BB2520" s="498" t="str">
        <f t="shared" si="882"/>
        <v/>
      </c>
      <c r="BC2520" s="743" t="str">
        <f t="shared" si="883"/>
        <v/>
      </c>
      <c r="BD2520" s="743" t="str">
        <f t="shared" si="884"/>
        <v/>
      </c>
      <c r="BE2520" s="743" t="str">
        <f>IF(D2520="","",VLOOKUP(D2520,'General Basis'!$J$39:$K$46,2,0))</f>
        <v/>
      </c>
      <c r="BF2520" s="744" t="str">
        <f>IF(D2520="","",VLOOKUP(D2520,'General Basis'!$J$39:$L$46,3,0))</f>
        <v/>
      </c>
      <c r="BG2520" s="744" t="str">
        <f t="shared" si="891"/>
        <v/>
      </c>
      <c r="BH2520" s="744" t="str">
        <f>IF(G2520="","",IF(BF2520="Abu Dhabi",IF(G2520&lt;18,'General Basis'!$C$39,IF(G2520&lt;41,'General Basis'!$C$40,IF(G2520&lt;60,'General Basis'!$C$41,IF(G2520&lt;65,'General Basis'!$C$42,'General Basis'!$C$43)))),IF(G2520&lt;11,'General Basis'!$B$39,IF(G2520&lt;18,'General Basis'!$B$40,IF(G2520&lt;26,'General Basis'!$B$41,IF(G2520&lt;31,'General Basis'!$B$42,IF(G2520&lt;36,'General Basis'!$B$43,IF(G2520&lt;41,'General Basis'!$B$44,IF(G2520&lt;46,'General Basis'!$B$45,IF(G2520&lt;51,'General Basis'!$B$46,IF(G2520&lt;56,'General Basis'!$B$47,IF(G2520&lt;60,'General Basis'!$B$48,IF(G2520&lt;65,'General Basis'!$B$49,'General Basis'!$B$50)))))))))))))</f>
        <v/>
      </c>
      <c r="BI2520" s="744" t="str">
        <f t="shared" si="885"/>
        <v/>
      </c>
      <c r="BJ2520" s="747" t="str">
        <f t="shared" si="892"/>
        <v/>
      </c>
      <c r="BK2520" s="498" t="str">
        <f t="shared" si="886"/>
        <v/>
      </c>
      <c r="BL2520" s="498" t="str">
        <f t="shared" si="887"/>
        <v/>
      </c>
    </row>
    <row r="2521" spans="1:64" x14ac:dyDescent="0.25">
      <c r="A2521" s="762">
        <f t="shared" si="888"/>
        <v>2516</v>
      </c>
      <c r="B2521" s="229"/>
      <c r="C2521" s="223"/>
      <c r="D2521" s="224"/>
      <c r="E2521" s="225"/>
      <c r="F2521" s="1036" t="str">
        <f t="shared" si="894"/>
        <v/>
      </c>
      <c r="G2521" s="1037" t="str">
        <f t="shared" si="889"/>
        <v/>
      </c>
      <c r="H2521" s="225"/>
      <c r="I2521" s="1013"/>
      <c r="J2521" s="1013"/>
      <c r="K2521" s="1028"/>
      <c r="L2521" s="1035" t="str">
        <f t="shared" si="893"/>
        <v/>
      </c>
      <c r="S2521" s="498"/>
      <c r="AJ2521" s="498"/>
      <c r="AM2521" s="498">
        <f t="shared" si="874"/>
        <v>0</v>
      </c>
      <c r="AN2521" s="498">
        <f t="shared" si="875"/>
        <v>0</v>
      </c>
      <c r="AO2521" s="498">
        <f t="shared" si="876"/>
        <v>0</v>
      </c>
      <c r="AP2521" s="498">
        <f t="shared" si="895"/>
        <v>0</v>
      </c>
      <c r="AQ2521" s="498">
        <f t="shared" si="890"/>
        <v>0</v>
      </c>
      <c r="AU2521" s="498">
        <f t="shared" si="877"/>
        <v>0</v>
      </c>
      <c r="AV2521" s="498">
        <f t="shared" si="878"/>
        <v>0</v>
      </c>
      <c r="AW2521" s="498">
        <f t="shared" si="879"/>
        <v>0</v>
      </c>
      <c r="AX2521" s="498">
        <f t="shared" si="880"/>
        <v>0</v>
      </c>
      <c r="AY2521" s="498">
        <f t="shared" si="881"/>
        <v>0</v>
      </c>
      <c r="BB2521" s="498" t="str">
        <f t="shared" si="882"/>
        <v/>
      </c>
      <c r="BC2521" s="743" t="str">
        <f t="shared" si="883"/>
        <v/>
      </c>
      <c r="BD2521" s="743" t="str">
        <f t="shared" si="884"/>
        <v/>
      </c>
      <c r="BE2521" s="743" t="str">
        <f>IF(D2521="","",VLOOKUP(D2521,'General Basis'!$J$39:$K$46,2,0))</f>
        <v/>
      </c>
      <c r="BF2521" s="744" t="str">
        <f>IF(D2521="","",VLOOKUP(D2521,'General Basis'!$J$39:$L$46,3,0))</f>
        <v/>
      </c>
      <c r="BG2521" s="744" t="str">
        <f t="shared" si="891"/>
        <v/>
      </c>
      <c r="BH2521" s="744" t="str">
        <f>IF(G2521="","",IF(BF2521="Abu Dhabi",IF(G2521&lt;18,'General Basis'!$C$39,IF(G2521&lt;41,'General Basis'!$C$40,IF(G2521&lt;60,'General Basis'!$C$41,IF(G2521&lt;65,'General Basis'!$C$42,'General Basis'!$C$43)))),IF(G2521&lt;11,'General Basis'!$B$39,IF(G2521&lt;18,'General Basis'!$B$40,IF(G2521&lt;26,'General Basis'!$B$41,IF(G2521&lt;31,'General Basis'!$B$42,IF(G2521&lt;36,'General Basis'!$B$43,IF(G2521&lt;41,'General Basis'!$B$44,IF(G2521&lt;46,'General Basis'!$B$45,IF(G2521&lt;51,'General Basis'!$B$46,IF(G2521&lt;56,'General Basis'!$B$47,IF(G2521&lt;60,'General Basis'!$B$48,IF(G2521&lt;65,'General Basis'!$B$49,'General Basis'!$B$50)))))))))))))</f>
        <v/>
      </c>
      <c r="BI2521" s="744" t="str">
        <f t="shared" si="885"/>
        <v/>
      </c>
      <c r="BJ2521" s="747" t="str">
        <f t="shared" si="892"/>
        <v/>
      </c>
      <c r="BK2521" s="498" t="str">
        <f t="shared" si="886"/>
        <v/>
      </c>
      <c r="BL2521" s="498" t="str">
        <f t="shared" si="887"/>
        <v/>
      </c>
    </row>
    <row r="2522" spans="1:64" x14ac:dyDescent="0.25">
      <c r="A2522" s="762">
        <f t="shared" si="888"/>
        <v>2517</v>
      </c>
      <c r="B2522" s="229"/>
      <c r="C2522" s="223"/>
      <c r="D2522" s="224"/>
      <c r="E2522" s="225"/>
      <c r="F2522" s="1036" t="str">
        <f t="shared" si="894"/>
        <v/>
      </c>
      <c r="G2522" s="1037" t="str">
        <f t="shared" si="889"/>
        <v/>
      </c>
      <c r="H2522" s="225"/>
      <c r="I2522" s="1013"/>
      <c r="J2522" s="1013"/>
      <c r="K2522" s="1028"/>
      <c r="L2522" s="1035" t="str">
        <f t="shared" si="893"/>
        <v/>
      </c>
      <c r="S2522" s="498"/>
      <c r="AJ2522" s="498"/>
      <c r="AM2522" s="498">
        <f t="shared" si="874"/>
        <v>0</v>
      </c>
      <c r="AN2522" s="498">
        <f t="shared" si="875"/>
        <v>0</v>
      </c>
      <c r="AO2522" s="498">
        <f t="shared" si="876"/>
        <v>0</v>
      </c>
      <c r="AP2522" s="498">
        <f t="shared" si="895"/>
        <v>0</v>
      </c>
      <c r="AQ2522" s="498">
        <f t="shared" si="890"/>
        <v>0</v>
      </c>
      <c r="AU2522" s="498">
        <f t="shared" si="877"/>
        <v>0</v>
      </c>
      <c r="AV2522" s="498">
        <f t="shared" si="878"/>
        <v>0</v>
      </c>
      <c r="AW2522" s="498">
        <f t="shared" si="879"/>
        <v>0</v>
      </c>
      <c r="AX2522" s="498">
        <f t="shared" si="880"/>
        <v>0</v>
      </c>
      <c r="AY2522" s="498">
        <f t="shared" si="881"/>
        <v>0</v>
      </c>
      <c r="BB2522" s="498" t="str">
        <f t="shared" si="882"/>
        <v/>
      </c>
      <c r="BC2522" s="743" t="str">
        <f t="shared" si="883"/>
        <v/>
      </c>
      <c r="BD2522" s="743" t="str">
        <f t="shared" si="884"/>
        <v/>
      </c>
      <c r="BE2522" s="743" t="str">
        <f>IF(D2522="","",VLOOKUP(D2522,'General Basis'!$J$39:$K$46,2,0))</f>
        <v/>
      </c>
      <c r="BF2522" s="744" t="str">
        <f>IF(D2522="","",VLOOKUP(D2522,'General Basis'!$J$39:$L$46,3,0))</f>
        <v/>
      </c>
      <c r="BG2522" s="744" t="str">
        <f t="shared" si="891"/>
        <v/>
      </c>
      <c r="BH2522" s="744" t="str">
        <f>IF(G2522="","",IF(BF2522="Abu Dhabi",IF(G2522&lt;18,'General Basis'!$C$39,IF(G2522&lt;41,'General Basis'!$C$40,IF(G2522&lt;60,'General Basis'!$C$41,IF(G2522&lt;65,'General Basis'!$C$42,'General Basis'!$C$43)))),IF(G2522&lt;11,'General Basis'!$B$39,IF(G2522&lt;18,'General Basis'!$B$40,IF(G2522&lt;26,'General Basis'!$B$41,IF(G2522&lt;31,'General Basis'!$B$42,IF(G2522&lt;36,'General Basis'!$B$43,IF(G2522&lt;41,'General Basis'!$B$44,IF(G2522&lt;46,'General Basis'!$B$45,IF(G2522&lt;51,'General Basis'!$B$46,IF(G2522&lt;56,'General Basis'!$B$47,IF(G2522&lt;60,'General Basis'!$B$48,IF(G2522&lt;65,'General Basis'!$B$49,'General Basis'!$B$50)))))))))))))</f>
        <v/>
      </c>
      <c r="BI2522" s="744" t="str">
        <f t="shared" si="885"/>
        <v/>
      </c>
      <c r="BJ2522" s="747" t="str">
        <f t="shared" si="892"/>
        <v/>
      </c>
      <c r="BK2522" s="498" t="str">
        <f t="shared" si="886"/>
        <v/>
      </c>
      <c r="BL2522" s="498" t="str">
        <f t="shared" si="887"/>
        <v/>
      </c>
    </row>
    <row r="2523" spans="1:64" x14ac:dyDescent="0.25">
      <c r="A2523" s="762">
        <f t="shared" si="888"/>
        <v>2518</v>
      </c>
      <c r="B2523" s="229"/>
      <c r="C2523" s="223"/>
      <c r="D2523" s="224"/>
      <c r="E2523" s="225"/>
      <c r="F2523" s="1036" t="str">
        <f t="shared" si="894"/>
        <v/>
      </c>
      <c r="G2523" s="1037" t="str">
        <f t="shared" si="889"/>
        <v/>
      </c>
      <c r="H2523" s="225"/>
      <c r="I2523" s="1013"/>
      <c r="J2523" s="1013"/>
      <c r="K2523" s="1028"/>
      <c r="L2523" s="1035" t="str">
        <f t="shared" si="893"/>
        <v/>
      </c>
      <c r="S2523" s="498"/>
      <c r="AJ2523" s="498"/>
      <c r="AM2523" s="498">
        <f t="shared" si="874"/>
        <v>0</v>
      </c>
      <c r="AN2523" s="498">
        <f t="shared" si="875"/>
        <v>0</v>
      </c>
      <c r="AO2523" s="498">
        <f t="shared" si="876"/>
        <v>0</v>
      </c>
      <c r="AP2523" s="498">
        <f t="shared" si="895"/>
        <v>0</v>
      </c>
      <c r="AQ2523" s="498">
        <f t="shared" si="890"/>
        <v>0</v>
      </c>
      <c r="AU2523" s="498">
        <f t="shared" si="877"/>
        <v>0</v>
      </c>
      <c r="AV2523" s="498">
        <f t="shared" si="878"/>
        <v>0</v>
      </c>
      <c r="AW2523" s="498">
        <f t="shared" si="879"/>
        <v>0</v>
      </c>
      <c r="AX2523" s="498">
        <f t="shared" si="880"/>
        <v>0</v>
      </c>
      <c r="AY2523" s="498">
        <f t="shared" si="881"/>
        <v>0</v>
      </c>
      <c r="BB2523" s="498" t="str">
        <f t="shared" si="882"/>
        <v/>
      </c>
      <c r="BC2523" s="743" t="str">
        <f t="shared" si="883"/>
        <v/>
      </c>
      <c r="BD2523" s="743" t="str">
        <f t="shared" si="884"/>
        <v/>
      </c>
      <c r="BE2523" s="743" t="str">
        <f>IF(D2523="","",VLOOKUP(D2523,'General Basis'!$J$39:$K$46,2,0))</f>
        <v/>
      </c>
      <c r="BF2523" s="744" t="str">
        <f>IF(D2523="","",VLOOKUP(D2523,'General Basis'!$J$39:$L$46,3,0))</f>
        <v/>
      </c>
      <c r="BG2523" s="744" t="str">
        <f t="shared" si="891"/>
        <v/>
      </c>
      <c r="BH2523" s="744" t="str">
        <f>IF(G2523="","",IF(BF2523="Abu Dhabi",IF(G2523&lt;18,'General Basis'!$C$39,IF(G2523&lt;41,'General Basis'!$C$40,IF(G2523&lt;60,'General Basis'!$C$41,IF(G2523&lt;65,'General Basis'!$C$42,'General Basis'!$C$43)))),IF(G2523&lt;11,'General Basis'!$B$39,IF(G2523&lt;18,'General Basis'!$B$40,IF(G2523&lt;26,'General Basis'!$B$41,IF(G2523&lt;31,'General Basis'!$B$42,IF(G2523&lt;36,'General Basis'!$B$43,IF(G2523&lt;41,'General Basis'!$B$44,IF(G2523&lt;46,'General Basis'!$B$45,IF(G2523&lt;51,'General Basis'!$B$46,IF(G2523&lt;56,'General Basis'!$B$47,IF(G2523&lt;60,'General Basis'!$B$48,IF(G2523&lt;65,'General Basis'!$B$49,'General Basis'!$B$50)))))))))))))</f>
        <v/>
      </c>
      <c r="BI2523" s="744" t="str">
        <f t="shared" si="885"/>
        <v/>
      </c>
      <c r="BJ2523" s="747" t="str">
        <f t="shared" si="892"/>
        <v/>
      </c>
      <c r="BK2523" s="498" t="str">
        <f t="shared" si="886"/>
        <v/>
      </c>
      <c r="BL2523" s="498" t="str">
        <f t="shared" si="887"/>
        <v/>
      </c>
    </row>
    <row r="2524" spans="1:64" x14ac:dyDescent="0.25">
      <c r="A2524" s="762">
        <f t="shared" si="888"/>
        <v>2519</v>
      </c>
      <c r="B2524" s="229"/>
      <c r="C2524" s="223"/>
      <c r="D2524" s="224"/>
      <c r="E2524" s="225"/>
      <c r="F2524" s="1036" t="str">
        <f t="shared" si="894"/>
        <v/>
      </c>
      <c r="G2524" s="1037" t="str">
        <f t="shared" si="889"/>
        <v/>
      </c>
      <c r="H2524" s="225"/>
      <c r="I2524" s="1013"/>
      <c r="J2524" s="1013"/>
      <c r="K2524" s="1028"/>
      <c r="L2524" s="1035" t="str">
        <f t="shared" si="893"/>
        <v/>
      </c>
      <c r="S2524" s="498"/>
      <c r="AJ2524" s="498"/>
      <c r="AM2524" s="498">
        <f t="shared" si="874"/>
        <v>0</v>
      </c>
      <c r="AN2524" s="498">
        <f t="shared" si="875"/>
        <v>0</v>
      </c>
      <c r="AO2524" s="498">
        <f t="shared" si="876"/>
        <v>0</v>
      </c>
      <c r="AP2524" s="498">
        <f t="shared" si="895"/>
        <v>0</v>
      </c>
      <c r="AQ2524" s="498">
        <f t="shared" si="890"/>
        <v>0</v>
      </c>
      <c r="AU2524" s="498">
        <f t="shared" si="877"/>
        <v>0</v>
      </c>
      <c r="AV2524" s="498">
        <f t="shared" si="878"/>
        <v>0</v>
      </c>
      <c r="AW2524" s="498">
        <f t="shared" si="879"/>
        <v>0</v>
      </c>
      <c r="AX2524" s="498">
        <f t="shared" si="880"/>
        <v>0</v>
      </c>
      <c r="AY2524" s="498">
        <f t="shared" si="881"/>
        <v>0</v>
      </c>
      <c r="BB2524" s="498" t="str">
        <f t="shared" si="882"/>
        <v/>
      </c>
      <c r="BC2524" s="743" t="str">
        <f t="shared" si="883"/>
        <v/>
      </c>
      <c r="BD2524" s="743" t="str">
        <f t="shared" si="884"/>
        <v/>
      </c>
      <c r="BE2524" s="743" t="str">
        <f>IF(D2524="","",VLOOKUP(D2524,'General Basis'!$J$39:$K$46,2,0))</f>
        <v/>
      </c>
      <c r="BF2524" s="744" t="str">
        <f>IF(D2524="","",VLOOKUP(D2524,'General Basis'!$J$39:$L$46,3,0))</f>
        <v/>
      </c>
      <c r="BG2524" s="744" t="str">
        <f t="shared" si="891"/>
        <v/>
      </c>
      <c r="BH2524" s="744" t="str">
        <f>IF(G2524="","",IF(BF2524="Abu Dhabi",IF(G2524&lt;18,'General Basis'!$C$39,IF(G2524&lt;41,'General Basis'!$C$40,IF(G2524&lt;60,'General Basis'!$C$41,IF(G2524&lt;65,'General Basis'!$C$42,'General Basis'!$C$43)))),IF(G2524&lt;11,'General Basis'!$B$39,IF(G2524&lt;18,'General Basis'!$B$40,IF(G2524&lt;26,'General Basis'!$B$41,IF(G2524&lt;31,'General Basis'!$B$42,IF(G2524&lt;36,'General Basis'!$B$43,IF(G2524&lt;41,'General Basis'!$B$44,IF(G2524&lt;46,'General Basis'!$B$45,IF(G2524&lt;51,'General Basis'!$B$46,IF(G2524&lt;56,'General Basis'!$B$47,IF(G2524&lt;60,'General Basis'!$B$48,IF(G2524&lt;65,'General Basis'!$B$49,'General Basis'!$B$50)))))))))))))</f>
        <v/>
      </c>
      <c r="BI2524" s="744" t="str">
        <f t="shared" si="885"/>
        <v/>
      </c>
      <c r="BJ2524" s="747" t="str">
        <f t="shared" si="892"/>
        <v/>
      </c>
      <c r="BK2524" s="498" t="str">
        <f t="shared" si="886"/>
        <v/>
      </c>
      <c r="BL2524" s="498" t="str">
        <f t="shared" si="887"/>
        <v/>
      </c>
    </row>
    <row r="2525" spans="1:64" x14ac:dyDescent="0.25">
      <c r="A2525" s="762">
        <f t="shared" si="888"/>
        <v>2520</v>
      </c>
      <c r="B2525" s="229"/>
      <c r="C2525" s="223"/>
      <c r="D2525" s="224"/>
      <c r="E2525" s="225"/>
      <c r="F2525" s="1036" t="str">
        <f t="shared" si="894"/>
        <v/>
      </c>
      <c r="G2525" s="1037" t="str">
        <f t="shared" si="889"/>
        <v/>
      </c>
      <c r="H2525" s="225"/>
      <c r="I2525" s="1013"/>
      <c r="J2525" s="1013"/>
      <c r="K2525" s="1028"/>
      <c r="L2525" s="1035" t="str">
        <f t="shared" si="893"/>
        <v/>
      </c>
      <c r="S2525" s="498"/>
      <c r="AJ2525" s="498"/>
      <c r="AM2525" s="498">
        <f t="shared" si="874"/>
        <v>0</v>
      </c>
      <c r="AN2525" s="498">
        <f t="shared" si="875"/>
        <v>0</v>
      </c>
      <c r="AO2525" s="498">
        <f t="shared" si="876"/>
        <v>0</v>
      </c>
      <c r="AP2525" s="498">
        <f t="shared" si="895"/>
        <v>0</v>
      </c>
      <c r="AQ2525" s="498">
        <f t="shared" si="890"/>
        <v>0</v>
      </c>
      <c r="AU2525" s="498">
        <f t="shared" si="877"/>
        <v>0</v>
      </c>
      <c r="AV2525" s="498">
        <f t="shared" si="878"/>
        <v>0</v>
      </c>
      <c r="AW2525" s="498">
        <f t="shared" si="879"/>
        <v>0</v>
      </c>
      <c r="AX2525" s="498">
        <f t="shared" si="880"/>
        <v>0</v>
      </c>
      <c r="AY2525" s="498">
        <f t="shared" si="881"/>
        <v>0</v>
      </c>
      <c r="BB2525" s="498" t="str">
        <f t="shared" si="882"/>
        <v/>
      </c>
      <c r="BC2525" s="743" t="str">
        <f t="shared" si="883"/>
        <v/>
      </c>
      <c r="BD2525" s="743" t="str">
        <f t="shared" si="884"/>
        <v/>
      </c>
      <c r="BE2525" s="743" t="str">
        <f>IF(D2525="","",VLOOKUP(D2525,'General Basis'!$J$39:$K$46,2,0))</f>
        <v/>
      </c>
      <c r="BF2525" s="744" t="str">
        <f>IF(D2525="","",VLOOKUP(D2525,'General Basis'!$J$39:$L$46,3,0))</f>
        <v/>
      </c>
      <c r="BG2525" s="744" t="str">
        <f t="shared" si="891"/>
        <v/>
      </c>
      <c r="BH2525" s="744" t="str">
        <f>IF(G2525="","",IF(BF2525="Abu Dhabi",IF(G2525&lt;18,'General Basis'!$C$39,IF(G2525&lt;41,'General Basis'!$C$40,IF(G2525&lt;60,'General Basis'!$C$41,IF(G2525&lt;65,'General Basis'!$C$42,'General Basis'!$C$43)))),IF(G2525&lt;11,'General Basis'!$B$39,IF(G2525&lt;18,'General Basis'!$B$40,IF(G2525&lt;26,'General Basis'!$B$41,IF(G2525&lt;31,'General Basis'!$B$42,IF(G2525&lt;36,'General Basis'!$B$43,IF(G2525&lt;41,'General Basis'!$B$44,IF(G2525&lt;46,'General Basis'!$B$45,IF(G2525&lt;51,'General Basis'!$B$46,IF(G2525&lt;56,'General Basis'!$B$47,IF(G2525&lt;60,'General Basis'!$B$48,IF(G2525&lt;65,'General Basis'!$B$49,'General Basis'!$B$50)))))))))))))</f>
        <v/>
      </c>
      <c r="BI2525" s="744" t="str">
        <f t="shared" si="885"/>
        <v/>
      </c>
      <c r="BJ2525" s="747" t="str">
        <f t="shared" si="892"/>
        <v/>
      </c>
      <c r="BK2525" s="498" t="str">
        <f t="shared" si="886"/>
        <v/>
      </c>
      <c r="BL2525" s="498" t="str">
        <f t="shared" si="887"/>
        <v/>
      </c>
    </row>
    <row r="2526" spans="1:64" x14ac:dyDescent="0.25">
      <c r="A2526" s="762">
        <f t="shared" si="888"/>
        <v>2521</v>
      </c>
      <c r="B2526" s="229"/>
      <c r="C2526" s="223"/>
      <c r="D2526" s="224"/>
      <c r="E2526" s="225"/>
      <c r="F2526" s="1036" t="str">
        <f t="shared" si="894"/>
        <v/>
      </c>
      <c r="G2526" s="1037" t="str">
        <f t="shared" si="889"/>
        <v/>
      </c>
      <c r="H2526" s="225"/>
      <c r="I2526" s="1013"/>
      <c r="J2526" s="1013"/>
      <c r="K2526" s="1028"/>
      <c r="L2526" s="1035" t="str">
        <f t="shared" si="893"/>
        <v/>
      </c>
      <c r="S2526" s="498"/>
      <c r="AJ2526" s="498"/>
      <c r="AM2526" s="498">
        <f t="shared" si="874"/>
        <v>0</v>
      </c>
      <c r="AN2526" s="498">
        <f t="shared" si="875"/>
        <v>0</v>
      </c>
      <c r="AO2526" s="498">
        <f t="shared" si="876"/>
        <v>0</v>
      </c>
      <c r="AP2526" s="498">
        <f t="shared" si="895"/>
        <v>0</v>
      </c>
      <c r="AQ2526" s="498">
        <f t="shared" si="890"/>
        <v>0</v>
      </c>
      <c r="AU2526" s="498">
        <f t="shared" si="877"/>
        <v>0</v>
      </c>
      <c r="AV2526" s="498">
        <f t="shared" si="878"/>
        <v>0</v>
      </c>
      <c r="AW2526" s="498">
        <f t="shared" si="879"/>
        <v>0</v>
      </c>
      <c r="AX2526" s="498">
        <f t="shared" si="880"/>
        <v>0</v>
      </c>
      <c r="AY2526" s="498">
        <f t="shared" si="881"/>
        <v>0</v>
      </c>
      <c r="BB2526" s="498" t="str">
        <f t="shared" si="882"/>
        <v/>
      </c>
      <c r="BC2526" s="743" t="str">
        <f t="shared" si="883"/>
        <v/>
      </c>
      <c r="BD2526" s="743" t="str">
        <f t="shared" si="884"/>
        <v/>
      </c>
      <c r="BE2526" s="743" t="str">
        <f>IF(D2526="","",VLOOKUP(D2526,'General Basis'!$J$39:$K$46,2,0))</f>
        <v/>
      </c>
      <c r="BF2526" s="744" t="str">
        <f>IF(D2526="","",VLOOKUP(D2526,'General Basis'!$J$39:$L$46,3,0))</f>
        <v/>
      </c>
      <c r="BG2526" s="744" t="str">
        <f t="shared" si="891"/>
        <v/>
      </c>
      <c r="BH2526" s="744" t="str">
        <f>IF(G2526="","",IF(BF2526="Abu Dhabi",IF(G2526&lt;18,'General Basis'!$C$39,IF(G2526&lt;41,'General Basis'!$C$40,IF(G2526&lt;60,'General Basis'!$C$41,IF(G2526&lt;65,'General Basis'!$C$42,'General Basis'!$C$43)))),IF(G2526&lt;11,'General Basis'!$B$39,IF(G2526&lt;18,'General Basis'!$B$40,IF(G2526&lt;26,'General Basis'!$B$41,IF(G2526&lt;31,'General Basis'!$B$42,IF(G2526&lt;36,'General Basis'!$B$43,IF(G2526&lt;41,'General Basis'!$B$44,IF(G2526&lt;46,'General Basis'!$B$45,IF(G2526&lt;51,'General Basis'!$B$46,IF(G2526&lt;56,'General Basis'!$B$47,IF(G2526&lt;60,'General Basis'!$B$48,IF(G2526&lt;65,'General Basis'!$B$49,'General Basis'!$B$50)))))))))))))</f>
        <v/>
      </c>
      <c r="BI2526" s="744" t="str">
        <f t="shared" si="885"/>
        <v/>
      </c>
      <c r="BJ2526" s="747" t="str">
        <f t="shared" si="892"/>
        <v/>
      </c>
      <c r="BK2526" s="498" t="str">
        <f t="shared" si="886"/>
        <v/>
      </c>
      <c r="BL2526" s="498" t="str">
        <f t="shared" si="887"/>
        <v/>
      </c>
    </row>
    <row r="2527" spans="1:64" x14ac:dyDescent="0.25">
      <c r="A2527" s="762">
        <f t="shared" si="888"/>
        <v>2522</v>
      </c>
      <c r="B2527" s="229"/>
      <c r="C2527" s="223"/>
      <c r="D2527" s="224"/>
      <c r="E2527" s="225"/>
      <c r="F2527" s="1036" t="str">
        <f t="shared" si="894"/>
        <v/>
      </c>
      <c r="G2527" s="1037" t="str">
        <f t="shared" si="889"/>
        <v/>
      </c>
      <c r="H2527" s="225"/>
      <c r="I2527" s="1013"/>
      <c r="J2527" s="1013"/>
      <c r="K2527" s="1028"/>
      <c r="L2527" s="1035" t="str">
        <f t="shared" si="893"/>
        <v/>
      </c>
      <c r="S2527" s="498"/>
      <c r="AJ2527" s="498"/>
      <c r="AM2527" s="498">
        <f t="shared" si="874"/>
        <v>0</v>
      </c>
      <c r="AN2527" s="498">
        <f t="shared" si="875"/>
        <v>0</v>
      </c>
      <c r="AO2527" s="498">
        <f t="shared" si="876"/>
        <v>0</v>
      </c>
      <c r="AP2527" s="498">
        <f t="shared" si="895"/>
        <v>0</v>
      </c>
      <c r="AQ2527" s="498">
        <f t="shared" si="890"/>
        <v>0</v>
      </c>
      <c r="AU2527" s="498">
        <f t="shared" si="877"/>
        <v>0</v>
      </c>
      <c r="AV2527" s="498">
        <f t="shared" si="878"/>
        <v>0</v>
      </c>
      <c r="AW2527" s="498">
        <f t="shared" si="879"/>
        <v>0</v>
      </c>
      <c r="AX2527" s="498">
        <f t="shared" si="880"/>
        <v>0</v>
      </c>
      <c r="AY2527" s="498">
        <f t="shared" si="881"/>
        <v>0</v>
      </c>
      <c r="BB2527" s="498" t="str">
        <f t="shared" si="882"/>
        <v/>
      </c>
      <c r="BC2527" s="743" t="str">
        <f t="shared" si="883"/>
        <v/>
      </c>
      <c r="BD2527" s="743" t="str">
        <f t="shared" si="884"/>
        <v/>
      </c>
      <c r="BE2527" s="743" t="str">
        <f>IF(D2527="","",VLOOKUP(D2527,'General Basis'!$J$39:$K$46,2,0))</f>
        <v/>
      </c>
      <c r="BF2527" s="744" t="str">
        <f>IF(D2527="","",VLOOKUP(D2527,'General Basis'!$J$39:$L$46,3,0))</f>
        <v/>
      </c>
      <c r="BG2527" s="744" t="str">
        <f t="shared" si="891"/>
        <v/>
      </c>
      <c r="BH2527" s="744" t="str">
        <f>IF(G2527="","",IF(BF2527="Abu Dhabi",IF(G2527&lt;18,'General Basis'!$C$39,IF(G2527&lt;41,'General Basis'!$C$40,IF(G2527&lt;60,'General Basis'!$C$41,IF(G2527&lt;65,'General Basis'!$C$42,'General Basis'!$C$43)))),IF(G2527&lt;11,'General Basis'!$B$39,IF(G2527&lt;18,'General Basis'!$B$40,IF(G2527&lt;26,'General Basis'!$B$41,IF(G2527&lt;31,'General Basis'!$B$42,IF(G2527&lt;36,'General Basis'!$B$43,IF(G2527&lt;41,'General Basis'!$B$44,IF(G2527&lt;46,'General Basis'!$B$45,IF(G2527&lt;51,'General Basis'!$B$46,IF(G2527&lt;56,'General Basis'!$B$47,IF(G2527&lt;60,'General Basis'!$B$48,IF(G2527&lt;65,'General Basis'!$B$49,'General Basis'!$B$50)))))))))))))</f>
        <v/>
      </c>
      <c r="BI2527" s="744" t="str">
        <f t="shared" si="885"/>
        <v/>
      </c>
      <c r="BJ2527" s="747" t="str">
        <f t="shared" si="892"/>
        <v/>
      </c>
      <c r="BK2527" s="498" t="str">
        <f t="shared" si="886"/>
        <v/>
      </c>
      <c r="BL2527" s="498" t="str">
        <f t="shared" si="887"/>
        <v/>
      </c>
    </row>
    <row r="2528" spans="1:64" x14ac:dyDescent="0.25">
      <c r="A2528" s="762">
        <f t="shared" si="888"/>
        <v>2523</v>
      </c>
      <c r="B2528" s="229"/>
      <c r="C2528" s="223"/>
      <c r="D2528" s="224"/>
      <c r="E2528" s="225"/>
      <c r="F2528" s="1036" t="str">
        <f t="shared" si="894"/>
        <v/>
      </c>
      <c r="G2528" s="1037" t="str">
        <f t="shared" si="889"/>
        <v/>
      </c>
      <c r="H2528" s="225"/>
      <c r="I2528" s="1013"/>
      <c r="J2528" s="1013"/>
      <c r="K2528" s="1028"/>
      <c r="L2528" s="1035" t="str">
        <f t="shared" si="893"/>
        <v/>
      </c>
      <c r="S2528" s="498"/>
      <c r="AJ2528" s="498"/>
      <c r="AM2528" s="498">
        <f t="shared" si="874"/>
        <v>0</v>
      </c>
      <c r="AN2528" s="498">
        <f t="shared" si="875"/>
        <v>0</v>
      </c>
      <c r="AO2528" s="498">
        <f t="shared" si="876"/>
        <v>0</v>
      </c>
      <c r="AP2528" s="498">
        <f t="shared" si="895"/>
        <v>0</v>
      </c>
      <c r="AQ2528" s="498">
        <f t="shared" si="890"/>
        <v>0</v>
      </c>
      <c r="AU2528" s="498">
        <f t="shared" si="877"/>
        <v>0</v>
      </c>
      <c r="AV2528" s="498">
        <f t="shared" si="878"/>
        <v>0</v>
      </c>
      <c r="AW2528" s="498">
        <f t="shared" si="879"/>
        <v>0</v>
      </c>
      <c r="AX2528" s="498">
        <f t="shared" si="880"/>
        <v>0</v>
      </c>
      <c r="AY2528" s="498">
        <f t="shared" si="881"/>
        <v>0</v>
      </c>
      <c r="BB2528" s="498" t="str">
        <f t="shared" si="882"/>
        <v/>
      </c>
      <c r="BC2528" s="743" t="str">
        <f t="shared" si="883"/>
        <v/>
      </c>
      <c r="BD2528" s="743" t="str">
        <f t="shared" si="884"/>
        <v/>
      </c>
      <c r="BE2528" s="743" t="str">
        <f>IF(D2528="","",VLOOKUP(D2528,'General Basis'!$J$39:$K$46,2,0))</f>
        <v/>
      </c>
      <c r="BF2528" s="744" t="str">
        <f>IF(D2528="","",VLOOKUP(D2528,'General Basis'!$J$39:$L$46,3,0))</f>
        <v/>
      </c>
      <c r="BG2528" s="744" t="str">
        <f t="shared" si="891"/>
        <v/>
      </c>
      <c r="BH2528" s="744" t="str">
        <f>IF(G2528="","",IF(BF2528="Abu Dhabi",IF(G2528&lt;18,'General Basis'!$C$39,IF(G2528&lt;41,'General Basis'!$C$40,IF(G2528&lt;60,'General Basis'!$C$41,IF(G2528&lt;65,'General Basis'!$C$42,'General Basis'!$C$43)))),IF(G2528&lt;11,'General Basis'!$B$39,IF(G2528&lt;18,'General Basis'!$B$40,IF(G2528&lt;26,'General Basis'!$B$41,IF(G2528&lt;31,'General Basis'!$B$42,IF(G2528&lt;36,'General Basis'!$B$43,IF(G2528&lt;41,'General Basis'!$B$44,IF(G2528&lt;46,'General Basis'!$B$45,IF(G2528&lt;51,'General Basis'!$B$46,IF(G2528&lt;56,'General Basis'!$B$47,IF(G2528&lt;60,'General Basis'!$B$48,IF(G2528&lt;65,'General Basis'!$B$49,'General Basis'!$B$50)))))))))))))</f>
        <v/>
      </c>
      <c r="BI2528" s="744" t="str">
        <f t="shared" si="885"/>
        <v/>
      </c>
      <c r="BJ2528" s="747" t="str">
        <f t="shared" si="892"/>
        <v/>
      </c>
      <c r="BK2528" s="498" t="str">
        <f t="shared" si="886"/>
        <v/>
      </c>
      <c r="BL2528" s="498" t="str">
        <f t="shared" si="887"/>
        <v/>
      </c>
    </row>
    <row r="2529" spans="1:64" x14ac:dyDescent="0.25">
      <c r="A2529" s="762">
        <f t="shared" si="888"/>
        <v>2524</v>
      </c>
      <c r="B2529" s="229"/>
      <c r="C2529" s="223"/>
      <c r="D2529" s="224"/>
      <c r="E2529" s="225"/>
      <c r="F2529" s="1036" t="str">
        <f t="shared" si="894"/>
        <v/>
      </c>
      <c r="G2529" s="1037" t="str">
        <f t="shared" si="889"/>
        <v/>
      </c>
      <c r="H2529" s="225"/>
      <c r="I2529" s="1013"/>
      <c r="J2529" s="1013"/>
      <c r="K2529" s="1028"/>
      <c r="L2529" s="1035" t="str">
        <f t="shared" si="893"/>
        <v/>
      </c>
      <c r="S2529" s="498"/>
      <c r="AJ2529" s="498"/>
      <c r="AM2529" s="498">
        <f t="shared" si="874"/>
        <v>0</v>
      </c>
      <c r="AN2529" s="498">
        <f t="shared" si="875"/>
        <v>0</v>
      </c>
      <c r="AO2529" s="498">
        <f t="shared" si="876"/>
        <v>0</v>
      </c>
      <c r="AP2529" s="498">
        <f t="shared" si="895"/>
        <v>0</v>
      </c>
      <c r="AQ2529" s="498">
        <f t="shared" si="890"/>
        <v>0</v>
      </c>
      <c r="AU2529" s="498">
        <f t="shared" si="877"/>
        <v>0</v>
      </c>
      <c r="AV2529" s="498">
        <f t="shared" si="878"/>
        <v>0</v>
      </c>
      <c r="AW2529" s="498">
        <f t="shared" si="879"/>
        <v>0</v>
      </c>
      <c r="AX2529" s="498">
        <f t="shared" si="880"/>
        <v>0</v>
      </c>
      <c r="AY2529" s="498">
        <f t="shared" si="881"/>
        <v>0</v>
      </c>
      <c r="BB2529" s="498" t="str">
        <f t="shared" si="882"/>
        <v/>
      </c>
      <c r="BC2529" s="743" t="str">
        <f t="shared" si="883"/>
        <v/>
      </c>
      <c r="BD2529" s="743" t="str">
        <f t="shared" si="884"/>
        <v/>
      </c>
      <c r="BE2529" s="743" t="str">
        <f>IF(D2529="","",VLOOKUP(D2529,'General Basis'!$J$39:$K$46,2,0))</f>
        <v/>
      </c>
      <c r="BF2529" s="744" t="str">
        <f>IF(D2529="","",VLOOKUP(D2529,'General Basis'!$J$39:$L$46,3,0))</f>
        <v/>
      </c>
      <c r="BG2529" s="744" t="str">
        <f t="shared" si="891"/>
        <v/>
      </c>
      <c r="BH2529" s="744" t="str">
        <f>IF(G2529="","",IF(BF2529="Abu Dhabi",IF(G2529&lt;18,'General Basis'!$C$39,IF(G2529&lt;41,'General Basis'!$C$40,IF(G2529&lt;60,'General Basis'!$C$41,IF(G2529&lt;65,'General Basis'!$C$42,'General Basis'!$C$43)))),IF(G2529&lt;11,'General Basis'!$B$39,IF(G2529&lt;18,'General Basis'!$B$40,IF(G2529&lt;26,'General Basis'!$B$41,IF(G2529&lt;31,'General Basis'!$B$42,IF(G2529&lt;36,'General Basis'!$B$43,IF(G2529&lt;41,'General Basis'!$B$44,IF(G2529&lt;46,'General Basis'!$B$45,IF(G2529&lt;51,'General Basis'!$B$46,IF(G2529&lt;56,'General Basis'!$B$47,IF(G2529&lt;60,'General Basis'!$B$48,IF(G2529&lt;65,'General Basis'!$B$49,'General Basis'!$B$50)))))))))))))</f>
        <v/>
      </c>
      <c r="BI2529" s="744" t="str">
        <f t="shared" si="885"/>
        <v/>
      </c>
      <c r="BJ2529" s="747" t="str">
        <f t="shared" si="892"/>
        <v/>
      </c>
      <c r="BK2529" s="498" t="str">
        <f t="shared" si="886"/>
        <v/>
      </c>
      <c r="BL2529" s="498" t="str">
        <f t="shared" si="887"/>
        <v/>
      </c>
    </row>
    <row r="2530" spans="1:64" x14ac:dyDescent="0.25">
      <c r="A2530" s="762">
        <f t="shared" si="888"/>
        <v>2525</v>
      </c>
      <c r="B2530" s="229"/>
      <c r="C2530" s="223"/>
      <c r="D2530" s="224"/>
      <c r="E2530" s="225"/>
      <c r="F2530" s="1036" t="str">
        <f t="shared" si="894"/>
        <v/>
      </c>
      <c r="G2530" s="1037" t="str">
        <f t="shared" si="889"/>
        <v/>
      </c>
      <c r="H2530" s="225"/>
      <c r="I2530" s="1013"/>
      <c r="J2530" s="1013"/>
      <c r="K2530" s="1028"/>
      <c r="L2530" s="1035" t="str">
        <f t="shared" si="893"/>
        <v/>
      </c>
      <c r="S2530" s="498"/>
      <c r="AJ2530" s="498"/>
      <c r="AM2530" s="498">
        <f t="shared" si="874"/>
        <v>0</v>
      </c>
      <c r="AN2530" s="498">
        <f t="shared" si="875"/>
        <v>0</v>
      </c>
      <c r="AO2530" s="498">
        <f t="shared" si="876"/>
        <v>0</v>
      </c>
      <c r="AP2530" s="498">
        <f t="shared" si="895"/>
        <v>0</v>
      </c>
      <c r="AQ2530" s="498">
        <f t="shared" si="890"/>
        <v>0</v>
      </c>
      <c r="AU2530" s="498">
        <f t="shared" si="877"/>
        <v>0</v>
      </c>
      <c r="AV2530" s="498">
        <f t="shared" si="878"/>
        <v>0</v>
      </c>
      <c r="AW2530" s="498">
        <f t="shared" si="879"/>
        <v>0</v>
      </c>
      <c r="AX2530" s="498">
        <f t="shared" si="880"/>
        <v>0</v>
      </c>
      <c r="AY2530" s="498">
        <f t="shared" si="881"/>
        <v>0</v>
      </c>
      <c r="BB2530" s="498" t="str">
        <f t="shared" si="882"/>
        <v/>
      </c>
      <c r="BC2530" s="743" t="str">
        <f t="shared" si="883"/>
        <v/>
      </c>
      <c r="BD2530" s="743" t="str">
        <f t="shared" si="884"/>
        <v/>
      </c>
      <c r="BE2530" s="743" t="str">
        <f>IF(D2530="","",VLOOKUP(D2530,'General Basis'!$J$39:$K$46,2,0))</f>
        <v/>
      </c>
      <c r="BF2530" s="744" t="str">
        <f>IF(D2530="","",VLOOKUP(D2530,'General Basis'!$J$39:$L$46,3,0))</f>
        <v/>
      </c>
      <c r="BG2530" s="744" t="str">
        <f t="shared" si="891"/>
        <v/>
      </c>
      <c r="BH2530" s="744" t="str">
        <f>IF(G2530="","",IF(BF2530="Abu Dhabi",IF(G2530&lt;18,'General Basis'!$C$39,IF(G2530&lt;41,'General Basis'!$C$40,IF(G2530&lt;60,'General Basis'!$C$41,IF(G2530&lt;65,'General Basis'!$C$42,'General Basis'!$C$43)))),IF(G2530&lt;11,'General Basis'!$B$39,IF(G2530&lt;18,'General Basis'!$B$40,IF(G2530&lt;26,'General Basis'!$B$41,IF(G2530&lt;31,'General Basis'!$B$42,IF(G2530&lt;36,'General Basis'!$B$43,IF(G2530&lt;41,'General Basis'!$B$44,IF(G2530&lt;46,'General Basis'!$B$45,IF(G2530&lt;51,'General Basis'!$B$46,IF(G2530&lt;56,'General Basis'!$B$47,IF(G2530&lt;60,'General Basis'!$B$48,IF(G2530&lt;65,'General Basis'!$B$49,'General Basis'!$B$50)))))))))))))</f>
        <v/>
      </c>
      <c r="BI2530" s="744" t="str">
        <f t="shared" si="885"/>
        <v/>
      </c>
      <c r="BJ2530" s="747" t="str">
        <f t="shared" si="892"/>
        <v/>
      </c>
      <c r="BK2530" s="498" t="str">
        <f t="shared" si="886"/>
        <v/>
      </c>
      <c r="BL2530" s="498" t="str">
        <f t="shared" si="887"/>
        <v/>
      </c>
    </row>
    <row r="2531" spans="1:64" x14ac:dyDescent="0.25">
      <c r="A2531" s="762">
        <f t="shared" si="888"/>
        <v>2526</v>
      </c>
      <c r="B2531" s="229"/>
      <c r="C2531" s="223"/>
      <c r="D2531" s="224"/>
      <c r="E2531" s="225"/>
      <c r="F2531" s="1036" t="str">
        <f t="shared" si="894"/>
        <v/>
      </c>
      <c r="G2531" s="1037" t="str">
        <f t="shared" si="889"/>
        <v/>
      </c>
      <c r="H2531" s="225"/>
      <c r="I2531" s="1013"/>
      <c r="J2531" s="1013"/>
      <c r="K2531" s="1028"/>
      <c r="L2531" s="1035" t="str">
        <f t="shared" si="893"/>
        <v/>
      </c>
      <c r="S2531" s="498"/>
      <c r="AJ2531" s="498"/>
      <c r="AM2531" s="498">
        <f t="shared" si="874"/>
        <v>0</v>
      </c>
      <c r="AN2531" s="498">
        <f t="shared" si="875"/>
        <v>0</v>
      </c>
      <c r="AO2531" s="498">
        <f t="shared" si="876"/>
        <v>0</v>
      </c>
      <c r="AP2531" s="498">
        <f t="shared" si="895"/>
        <v>0</v>
      </c>
      <c r="AQ2531" s="498">
        <f t="shared" si="890"/>
        <v>0</v>
      </c>
      <c r="AU2531" s="498">
        <f t="shared" si="877"/>
        <v>0</v>
      </c>
      <c r="AV2531" s="498">
        <f t="shared" si="878"/>
        <v>0</v>
      </c>
      <c r="AW2531" s="498">
        <f t="shared" si="879"/>
        <v>0</v>
      </c>
      <c r="AX2531" s="498">
        <f t="shared" si="880"/>
        <v>0</v>
      </c>
      <c r="AY2531" s="498">
        <f t="shared" si="881"/>
        <v>0</v>
      </c>
      <c r="BB2531" s="498" t="str">
        <f t="shared" si="882"/>
        <v/>
      </c>
      <c r="BC2531" s="743" t="str">
        <f t="shared" si="883"/>
        <v/>
      </c>
      <c r="BD2531" s="743" t="str">
        <f t="shared" si="884"/>
        <v/>
      </c>
      <c r="BE2531" s="743" t="str">
        <f>IF(D2531="","",VLOOKUP(D2531,'General Basis'!$J$39:$K$46,2,0))</f>
        <v/>
      </c>
      <c r="BF2531" s="744" t="str">
        <f>IF(D2531="","",VLOOKUP(D2531,'General Basis'!$J$39:$L$46,3,0))</f>
        <v/>
      </c>
      <c r="BG2531" s="744" t="str">
        <f t="shared" si="891"/>
        <v/>
      </c>
      <c r="BH2531" s="744" t="str">
        <f>IF(G2531="","",IF(BF2531="Abu Dhabi",IF(G2531&lt;18,'General Basis'!$C$39,IF(G2531&lt;41,'General Basis'!$C$40,IF(G2531&lt;60,'General Basis'!$C$41,IF(G2531&lt;65,'General Basis'!$C$42,'General Basis'!$C$43)))),IF(G2531&lt;11,'General Basis'!$B$39,IF(G2531&lt;18,'General Basis'!$B$40,IF(G2531&lt;26,'General Basis'!$B$41,IF(G2531&lt;31,'General Basis'!$B$42,IF(G2531&lt;36,'General Basis'!$B$43,IF(G2531&lt;41,'General Basis'!$B$44,IF(G2531&lt;46,'General Basis'!$B$45,IF(G2531&lt;51,'General Basis'!$B$46,IF(G2531&lt;56,'General Basis'!$B$47,IF(G2531&lt;60,'General Basis'!$B$48,IF(G2531&lt;65,'General Basis'!$B$49,'General Basis'!$B$50)))))))))))))</f>
        <v/>
      </c>
      <c r="BI2531" s="744" t="str">
        <f t="shared" si="885"/>
        <v/>
      </c>
      <c r="BJ2531" s="747" t="str">
        <f t="shared" si="892"/>
        <v/>
      </c>
      <c r="BK2531" s="498" t="str">
        <f t="shared" si="886"/>
        <v/>
      </c>
      <c r="BL2531" s="498" t="str">
        <f t="shared" si="887"/>
        <v/>
      </c>
    </row>
    <row r="2532" spans="1:64" x14ac:dyDescent="0.25">
      <c r="A2532" s="762">
        <f t="shared" si="888"/>
        <v>2527</v>
      </c>
      <c r="B2532" s="229"/>
      <c r="C2532" s="223"/>
      <c r="D2532" s="224"/>
      <c r="E2532" s="225"/>
      <c r="F2532" s="1036" t="str">
        <f t="shared" si="894"/>
        <v/>
      </c>
      <c r="G2532" s="1037" t="str">
        <f t="shared" si="889"/>
        <v/>
      </c>
      <c r="H2532" s="225"/>
      <c r="I2532" s="1013"/>
      <c r="J2532" s="1013"/>
      <c r="K2532" s="1028"/>
      <c r="L2532" s="1035" t="str">
        <f t="shared" si="893"/>
        <v/>
      </c>
      <c r="S2532" s="498"/>
      <c r="AJ2532" s="498"/>
      <c r="AM2532" s="498">
        <f t="shared" si="874"/>
        <v>0</v>
      </c>
      <c r="AN2532" s="498">
        <f t="shared" si="875"/>
        <v>0</v>
      </c>
      <c r="AO2532" s="498">
        <f t="shared" si="876"/>
        <v>0</v>
      </c>
      <c r="AP2532" s="498">
        <f t="shared" si="895"/>
        <v>0</v>
      </c>
      <c r="AQ2532" s="498">
        <f t="shared" si="890"/>
        <v>0</v>
      </c>
      <c r="AU2532" s="498">
        <f t="shared" si="877"/>
        <v>0</v>
      </c>
      <c r="AV2532" s="498">
        <f t="shared" si="878"/>
        <v>0</v>
      </c>
      <c r="AW2532" s="498">
        <f t="shared" si="879"/>
        <v>0</v>
      </c>
      <c r="AX2532" s="498">
        <f t="shared" si="880"/>
        <v>0</v>
      </c>
      <c r="AY2532" s="498">
        <f t="shared" si="881"/>
        <v>0</v>
      </c>
      <c r="BB2532" s="498" t="str">
        <f t="shared" si="882"/>
        <v/>
      </c>
      <c r="BC2532" s="743" t="str">
        <f t="shared" si="883"/>
        <v/>
      </c>
      <c r="BD2532" s="743" t="str">
        <f t="shared" si="884"/>
        <v/>
      </c>
      <c r="BE2532" s="743" t="str">
        <f>IF(D2532="","",VLOOKUP(D2532,'General Basis'!$J$39:$K$46,2,0))</f>
        <v/>
      </c>
      <c r="BF2532" s="744" t="str">
        <f>IF(D2532="","",VLOOKUP(D2532,'General Basis'!$J$39:$L$46,3,0))</f>
        <v/>
      </c>
      <c r="BG2532" s="744" t="str">
        <f t="shared" si="891"/>
        <v/>
      </c>
      <c r="BH2532" s="744" t="str">
        <f>IF(G2532="","",IF(BF2532="Abu Dhabi",IF(G2532&lt;18,'General Basis'!$C$39,IF(G2532&lt;41,'General Basis'!$C$40,IF(G2532&lt;60,'General Basis'!$C$41,IF(G2532&lt;65,'General Basis'!$C$42,'General Basis'!$C$43)))),IF(G2532&lt;11,'General Basis'!$B$39,IF(G2532&lt;18,'General Basis'!$B$40,IF(G2532&lt;26,'General Basis'!$B$41,IF(G2532&lt;31,'General Basis'!$B$42,IF(G2532&lt;36,'General Basis'!$B$43,IF(G2532&lt;41,'General Basis'!$B$44,IF(G2532&lt;46,'General Basis'!$B$45,IF(G2532&lt;51,'General Basis'!$B$46,IF(G2532&lt;56,'General Basis'!$B$47,IF(G2532&lt;60,'General Basis'!$B$48,IF(G2532&lt;65,'General Basis'!$B$49,'General Basis'!$B$50)))))))))))))</f>
        <v/>
      </c>
      <c r="BI2532" s="744" t="str">
        <f t="shared" si="885"/>
        <v/>
      </c>
      <c r="BJ2532" s="747" t="str">
        <f t="shared" si="892"/>
        <v/>
      </c>
      <c r="BK2532" s="498" t="str">
        <f t="shared" si="886"/>
        <v/>
      </c>
      <c r="BL2532" s="498" t="str">
        <f t="shared" si="887"/>
        <v/>
      </c>
    </row>
    <row r="2533" spans="1:64" x14ac:dyDescent="0.25">
      <c r="A2533" s="762">
        <f t="shared" si="888"/>
        <v>2528</v>
      </c>
      <c r="B2533" s="229"/>
      <c r="C2533" s="223"/>
      <c r="D2533" s="224"/>
      <c r="E2533" s="225"/>
      <c r="F2533" s="1036" t="str">
        <f t="shared" si="894"/>
        <v/>
      </c>
      <c r="G2533" s="1037" t="str">
        <f t="shared" si="889"/>
        <v/>
      </c>
      <c r="H2533" s="225"/>
      <c r="I2533" s="1013"/>
      <c r="J2533" s="1013"/>
      <c r="K2533" s="1028"/>
      <c r="L2533" s="1035" t="str">
        <f t="shared" si="893"/>
        <v/>
      </c>
      <c r="S2533" s="498"/>
      <c r="AJ2533" s="498"/>
      <c r="AM2533" s="498">
        <f t="shared" si="874"/>
        <v>0</v>
      </c>
      <c r="AN2533" s="498">
        <f t="shared" si="875"/>
        <v>0</v>
      </c>
      <c r="AO2533" s="498">
        <f t="shared" si="876"/>
        <v>0</v>
      </c>
      <c r="AP2533" s="498">
        <f t="shared" si="895"/>
        <v>0</v>
      </c>
      <c r="AQ2533" s="498">
        <f t="shared" si="890"/>
        <v>0</v>
      </c>
      <c r="AU2533" s="498">
        <f t="shared" si="877"/>
        <v>0</v>
      </c>
      <c r="AV2533" s="498">
        <f t="shared" si="878"/>
        <v>0</v>
      </c>
      <c r="AW2533" s="498">
        <f t="shared" si="879"/>
        <v>0</v>
      </c>
      <c r="AX2533" s="498">
        <f t="shared" si="880"/>
        <v>0</v>
      </c>
      <c r="AY2533" s="498">
        <f t="shared" si="881"/>
        <v>0</v>
      </c>
      <c r="BB2533" s="498" t="str">
        <f t="shared" si="882"/>
        <v/>
      </c>
      <c r="BC2533" s="743" t="str">
        <f t="shared" si="883"/>
        <v/>
      </c>
      <c r="BD2533" s="743" t="str">
        <f t="shared" si="884"/>
        <v/>
      </c>
      <c r="BE2533" s="743" t="str">
        <f>IF(D2533="","",VLOOKUP(D2533,'General Basis'!$J$39:$K$46,2,0))</f>
        <v/>
      </c>
      <c r="BF2533" s="744" t="str">
        <f>IF(D2533="","",VLOOKUP(D2533,'General Basis'!$J$39:$L$46,3,0))</f>
        <v/>
      </c>
      <c r="BG2533" s="744" t="str">
        <f t="shared" si="891"/>
        <v/>
      </c>
      <c r="BH2533" s="744" t="str">
        <f>IF(G2533="","",IF(BF2533="Abu Dhabi",IF(G2533&lt;18,'General Basis'!$C$39,IF(G2533&lt;41,'General Basis'!$C$40,IF(G2533&lt;60,'General Basis'!$C$41,IF(G2533&lt;65,'General Basis'!$C$42,'General Basis'!$C$43)))),IF(G2533&lt;11,'General Basis'!$B$39,IF(G2533&lt;18,'General Basis'!$B$40,IF(G2533&lt;26,'General Basis'!$B$41,IF(G2533&lt;31,'General Basis'!$B$42,IF(G2533&lt;36,'General Basis'!$B$43,IF(G2533&lt;41,'General Basis'!$B$44,IF(G2533&lt;46,'General Basis'!$B$45,IF(G2533&lt;51,'General Basis'!$B$46,IF(G2533&lt;56,'General Basis'!$B$47,IF(G2533&lt;60,'General Basis'!$B$48,IF(G2533&lt;65,'General Basis'!$B$49,'General Basis'!$B$50)))))))))))))</f>
        <v/>
      </c>
      <c r="BI2533" s="744" t="str">
        <f t="shared" si="885"/>
        <v/>
      </c>
      <c r="BJ2533" s="747" t="str">
        <f t="shared" si="892"/>
        <v/>
      </c>
      <c r="BK2533" s="498" t="str">
        <f t="shared" si="886"/>
        <v/>
      </c>
      <c r="BL2533" s="498" t="str">
        <f t="shared" si="887"/>
        <v/>
      </c>
    </row>
    <row r="2534" spans="1:64" x14ac:dyDescent="0.25">
      <c r="A2534" s="762">
        <f t="shared" si="888"/>
        <v>2529</v>
      </c>
      <c r="B2534" s="229"/>
      <c r="C2534" s="223"/>
      <c r="D2534" s="224"/>
      <c r="E2534" s="225"/>
      <c r="F2534" s="1036" t="str">
        <f t="shared" si="894"/>
        <v/>
      </c>
      <c r="G2534" s="1037" t="str">
        <f t="shared" si="889"/>
        <v/>
      </c>
      <c r="H2534" s="225"/>
      <c r="I2534" s="1013"/>
      <c r="J2534" s="1013"/>
      <c r="K2534" s="1028"/>
      <c r="L2534" s="1035" t="str">
        <f t="shared" si="893"/>
        <v/>
      </c>
      <c r="S2534" s="498"/>
      <c r="AJ2534" s="498"/>
      <c r="AM2534" s="498">
        <f t="shared" si="874"/>
        <v>0</v>
      </c>
      <c r="AN2534" s="498">
        <f t="shared" si="875"/>
        <v>0</v>
      </c>
      <c r="AO2534" s="498">
        <f t="shared" si="876"/>
        <v>0</v>
      </c>
      <c r="AP2534" s="498">
        <f t="shared" si="895"/>
        <v>0</v>
      </c>
      <c r="AQ2534" s="498">
        <f t="shared" si="890"/>
        <v>0</v>
      </c>
      <c r="AU2534" s="498">
        <f t="shared" si="877"/>
        <v>0</v>
      </c>
      <c r="AV2534" s="498">
        <f t="shared" si="878"/>
        <v>0</v>
      </c>
      <c r="AW2534" s="498">
        <f t="shared" si="879"/>
        <v>0</v>
      </c>
      <c r="AX2534" s="498">
        <f t="shared" si="880"/>
        <v>0</v>
      </c>
      <c r="AY2534" s="498">
        <f t="shared" si="881"/>
        <v>0</v>
      </c>
      <c r="BB2534" s="498" t="str">
        <f t="shared" si="882"/>
        <v/>
      </c>
      <c r="BC2534" s="743" t="str">
        <f t="shared" si="883"/>
        <v/>
      </c>
      <c r="BD2534" s="743" t="str">
        <f t="shared" si="884"/>
        <v/>
      </c>
      <c r="BE2534" s="743" t="str">
        <f>IF(D2534="","",VLOOKUP(D2534,'General Basis'!$J$39:$K$46,2,0))</f>
        <v/>
      </c>
      <c r="BF2534" s="744" t="str">
        <f>IF(D2534="","",VLOOKUP(D2534,'General Basis'!$J$39:$L$46,3,0))</f>
        <v/>
      </c>
      <c r="BG2534" s="744" t="str">
        <f t="shared" si="891"/>
        <v/>
      </c>
      <c r="BH2534" s="744" t="str">
        <f>IF(G2534="","",IF(BF2534="Abu Dhabi",IF(G2534&lt;18,'General Basis'!$C$39,IF(G2534&lt;41,'General Basis'!$C$40,IF(G2534&lt;60,'General Basis'!$C$41,IF(G2534&lt;65,'General Basis'!$C$42,'General Basis'!$C$43)))),IF(G2534&lt;11,'General Basis'!$B$39,IF(G2534&lt;18,'General Basis'!$B$40,IF(G2534&lt;26,'General Basis'!$B$41,IF(G2534&lt;31,'General Basis'!$B$42,IF(G2534&lt;36,'General Basis'!$B$43,IF(G2534&lt;41,'General Basis'!$B$44,IF(G2534&lt;46,'General Basis'!$B$45,IF(G2534&lt;51,'General Basis'!$B$46,IF(G2534&lt;56,'General Basis'!$B$47,IF(G2534&lt;60,'General Basis'!$B$48,IF(G2534&lt;65,'General Basis'!$B$49,'General Basis'!$B$50)))))))))))))</f>
        <v/>
      </c>
      <c r="BI2534" s="744" t="str">
        <f t="shared" si="885"/>
        <v/>
      </c>
      <c r="BJ2534" s="747" t="str">
        <f t="shared" si="892"/>
        <v/>
      </c>
      <c r="BK2534" s="498" t="str">
        <f t="shared" si="886"/>
        <v/>
      </c>
      <c r="BL2534" s="498" t="str">
        <f t="shared" si="887"/>
        <v/>
      </c>
    </row>
    <row r="2535" spans="1:64" x14ac:dyDescent="0.25">
      <c r="A2535" s="762">
        <f t="shared" si="888"/>
        <v>2530</v>
      </c>
      <c r="B2535" s="229"/>
      <c r="C2535" s="223"/>
      <c r="D2535" s="224"/>
      <c r="E2535" s="225"/>
      <c r="F2535" s="1036" t="str">
        <f t="shared" si="894"/>
        <v/>
      </c>
      <c r="G2535" s="1037" t="str">
        <f t="shared" si="889"/>
        <v/>
      </c>
      <c r="H2535" s="225"/>
      <c r="I2535" s="1013"/>
      <c r="J2535" s="1013"/>
      <c r="K2535" s="1028"/>
      <c r="L2535" s="1035" t="str">
        <f t="shared" si="893"/>
        <v/>
      </c>
      <c r="S2535" s="498"/>
      <c r="AJ2535" s="498"/>
      <c r="AM2535" s="498">
        <f t="shared" si="874"/>
        <v>0</v>
      </c>
      <c r="AN2535" s="498">
        <f t="shared" si="875"/>
        <v>0</v>
      </c>
      <c r="AO2535" s="498">
        <f t="shared" si="876"/>
        <v>0</v>
      </c>
      <c r="AP2535" s="498">
        <f t="shared" si="895"/>
        <v>0</v>
      </c>
      <c r="AQ2535" s="498">
        <f t="shared" si="890"/>
        <v>0</v>
      </c>
      <c r="AU2535" s="498">
        <f t="shared" si="877"/>
        <v>0</v>
      </c>
      <c r="AV2535" s="498">
        <f t="shared" si="878"/>
        <v>0</v>
      </c>
      <c r="AW2535" s="498">
        <f t="shared" si="879"/>
        <v>0</v>
      </c>
      <c r="AX2535" s="498">
        <f t="shared" si="880"/>
        <v>0</v>
      </c>
      <c r="AY2535" s="498">
        <f t="shared" si="881"/>
        <v>0</v>
      </c>
      <c r="BB2535" s="498" t="str">
        <f t="shared" si="882"/>
        <v/>
      </c>
      <c r="BC2535" s="743" t="str">
        <f t="shared" si="883"/>
        <v/>
      </c>
      <c r="BD2535" s="743" t="str">
        <f t="shared" si="884"/>
        <v/>
      </c>
      <c r="BE2535" s="743" t="str">
        <f>IF(D2535="","",VLOOKUP(D2535,'General Basis'!$J$39:$K$46,2,0))</f>
        <v/>
      </c>
      <c r="BF2535" s="744" t="str">
        <f>IF(D2535="","",VLOOKUP(D2535,'General Basis'!$J$39:$L$46,3,0))</f>
        <v/>
      </c>
      <c r="BG2535" s="744" t="str">
        <f t="shared" si="891"/>
        <v/>
      </c>
      <c r="BH2535" s="744" t="str">
        <f>IF(G2535="","",IF(BF2535="Abu Dhabi",IF(G2535&lt;18,'General Basis'!$C$39,IF(G2535&lt;41,'General Basis'!$C$40,IF(G2535&lt;60,'General Basis'!$C$41,IF(G2535&lt;65,'General Basis'!$C$42,'General Basis'!$C$43)))),IF(G2535&lt;11,'General Basis'!$B$39,IF(G2535&lt;18,'General Basis'!$B$40,IF(G2535&lt;26,'General Basis'!$B$41,IF(G2535&lt;31,'General Basis'!$B$42,IF(G2535&lt;36,'General Basis'!$B$43,IF(G2535&lt;41,'General Basis'!$B$44,IF(G2535&lt;46,'General Basis'!$B$45,IF(G2535&lt;51,'General Basis'!$B$46,IF(G2535&lt;56,'General Basis'!$B$47,IF(G2535&lt;60,'General Basis'!$B$48,IF(G2535&lt;65,'General Basis'!$B$49,'General Basis'!$B$50)))))))))))))</f>
        <v/>
      </c>
      <c r="BI2535" s="744" t="str">
        <f t="shared" si="885"/>
        <v/>
      </c>
      <c r="BJ2535" s="747" t="str">
        <f t="shared" si="892"/>
        <v/>
      </c>
      <c r="BK2535" s="498" t="str">
        <f t="shared" si="886"/>
        <v/>
      </c>
      <c r="BL2535" s="498" t="str">
        <f t="shared" si="887"/>
        <v/>
      </c>
    </row>
    <row r="2536" spans="1:64" x14ac:dyDescent="0.25">
      <c r="A2536" s="762">
        <f t="shared" si="888"/>
        <v>2531</v>
      </c>
      <c r="B2536" s="229"/>
      <c r="C2536" s="223"/>
      <c r="D2536" s="224"/>
      <c r="E2536" s="225"/>
      <c r="F2536" s="1036" t="str">
        <f t="shared" si="894"/>
        <v/>
      </c>
      <c r="G2536" s="1037" t="str">
        <f t="shared" si="889"/>
        <v/>
      </c>
      <c r="H2536" s="225"/>
      <c r="I2536" s="1013"/>
      <c r="J2536" s="1013"/>
      <c r="K2536" s="1028"/>
      <c r="L2536" s="1035" t="str">
        <f t="shared" si="893"/>
        <v/>
      </c>
      <c r="S2536" s="498"/>
      <c r="AJ2536" s="498"/>
      <c r="AM2536" s="498">
        <f t="shared" si="874"/>
        <v>0</v>
      </c>
      <c r="AN2536" s="498">
        <f t="shared" si="875"/>
        <v>0</v>
      </c>
      <c r="AO2536" s="498">
        <f t="shared" si="876"/>
        <v>0</v>
      </c>
      <c r="AP2536" s="498">
        <f t="shared" si="895"/>
        <v>0</v>
      </c>
      <c r="AQ2536" s="498">
        <f t="shared" si="890"/>
        <v>0</v>
      </c>
      <c r="AU2536" s="498">
        <f t="shared" si="877"/>
        <v>0</v>
      </c>
      <c r="AV2536" s="498">
        <f t="shared" si="878"/>
        <v>0</v>
      </c>
      <c r="AW2536" s="498">
        <f t="shared" si="879"/>
        <v>0</v>
      </c>
      <c r="AX2536" s="498">
        <f t="shared" si="880"/>
        <v>0</v>
      </c>
      <c r="AY2536" s="498">
        <f t="shared" si="881"/>
        <v>0</v>
      </c>
      <c r="BB2536" s="498" t="str">
        <f t="shared" si="882"/>
        <v/>
      </c>
      <c r="BC2536" s="743" t="str">
        <f t="shared" si="883"/>
        <v/>
      </c>
      <c r="BD2536" s="743" t="str">
        <f t="shared" si="884"/>
        <v/>
      </c>
      <c r="BE2536" s="743" t="str">
        <f>IF(D2536="","",VLOOKUP(D2536,'General Basis'!$J$39:$K$46,2,0))</f>
        <v/>
      </c>
      <c r="BF2536" s="744" t="str">
        <f>IF(D2536="","",VLOOKUP(D2536,'General Basis'!$J$39:$L$46,3,0))</f>
        <v/>
      </c>
      <c r="BG2536" s="744" t="str">
        <f t="shared" si="891"/>
        <v/>
      </c>
      <c r="BH2536" s="744" t="str">
        <f>IF(G2536="","",IF(BF2536="Abu Dhabi",IF(G2536&lt;18,'General Basis'!$C$39,IF(G2536&lt;41,'General Basis'!$C$40,IF(G2536&lt;60,'General Basis'!$C$41,IF(G2536&lt;65,'General Basis'!$C$42,'General Basis'!$C$43)))),IF(G2536&lt;11,'General Basis'!$B$39,IF(G2536&lt;18,'General Basis'!$B$40,IF(G2536&lt;26,'General Basis'!$B$41,IF(G2536&lt;31,'General Basis'!$B$42,IF(G2536&lt;36,'General Basis'!$B$43,IF(G2536&lt;41,'General Basis'!$B$44,IF(G2536&lt;46,'General Basis'!$B$45,IF(G2536&lt;51,'General Basis'!$B$46,IF(G2536&lt;56,'General Basis'!$B$47,IF(G2536&lt;60,'General Basis'!$B$48,IF(G2536&lt;65,'General Basis'!$B$49,'General Basis'!$B$50)))))))))))))</f>
        <v/>
      </c>
      <c r="BI2536" s="744" t="str">
        <f t="shared" si="885"/>
        <v/>
      </c>
      <c r="BJ2536" s="747" t="str">
        <f t="shared" si="892"/>
        <v/>
      </c>
      <c r="BK2536" s="498" t="str">
        <f t="shared" si="886"/>
        <v/>
      </c>
      <c r="BL2536" s="498" t="str">
        <f t="shared" si="887"/>
        <v/>
      </c>
    </row>
    <row r="2537" spans="1:64" x14ac:dyDescent="0.25">
      <c r="A2537" s="762">
        <f t="shared" si="888"/>
        <v>2532</v>
      </c>
      <c r="B2537" s="229"/>
      <c r="C2537" s="223"/>
      <c r="D2537" s="224"/>
      <c r="E2537" s="225"/>
      <c r="F2537" s="1036" t="str">
        <f t="shared" si="894"/>
        <v/>
      </c>
      <c r="G2537" s="1037" t="str">
        <f t="shared" si="889"/>
        <v/>
      </c>
      <c r="H2537" s="225"/>
      <c r="I2537" s="1013"/>
      <c r="J2537" s="1013"/>
      <c r="K2537" s="1028"/>
      <c r="L2537" s="1035" t="str">
        <f t="shared" si="893"/>
        <v/>
      </c>
      <c r="S2537" s="498"/>
      <c r="AJ2537" s="498"/>
      <c r="AM2537" s="498">
        <f t="shared" si="874"/>
        <v>0</v>
      </c>
      <c r="AN2537" s="498">
        <f t="shared" si="875"/>
        <v>0</v>
      </c>
      <c r="AO2537" s="498">
        <f t="shared" si="876"/>
        <v>0</v>
      </c>
      <c r="AP2537" s="498">
        <f t="shared" si="895"/>
        <v>0</v>
      </c>
      <c r="AQ2537" s="498">
        <f t="shared" si="890"/>
        <v>0</v>
      </c>
      <c r="AU2537" s="498">
        <f t="shared" si="877"/>
        <v>0</v>
      </c>
      <c r="AV2537" s="498">
        <f t="shared" si="878"/>
        <v>0</v>
      </c>
      <c r="AW2537" s="498">
        <f t="shared" si="879"/>
        <v>0</v>
      </c>
      <c r="AX2537" s="498">
        <f t="shared" si="880"/>
        <v>0</v>
      </c>
      <c r="AY2537" s="498">
        <f t="shared" si="881"/>
        <v>0</v>
      </c>
      <c r="BB2537" s="498" t="str">
        <f t="shared" si="882"/>
        <v/>
      </c>
      <c r="BC2537" s="743" t="str">
        <f t="shared" si="883"/>
        <v/>
      </c>
      <c r="BD2537" s="743" t="str">
        <f t="shared" si="884"/>
        <v/>
      </c>
      <c r="BE2537" s="743" t="str">
        <f>IF(D2537="","",VLOOKUP(D2537,'General Basis'!$J$39:$K$46,2,0))</f>
        <v/>
      </c>
      <c r="BF2537" s="744" t="str">
        <f>IF(D2537="","",VLOOKUP(D2537,'General Basis'!$J$39:$L$46,3,0))</f>
        <v/>
      </c>
      <c r="BG2537" s="744" t="str">
        <f t="shared" si="891"/>
        <v/>
      </c>
      <c r="BH2537" s="744" t="str">
        <f>IF(G2537="","",IF(BF2537="Abu Dhabi",IF(G2537&lt;18,'General Basis'!$C$39,IF(G2537&lt;41,'General Basis'!$C$40,IF(G2537&lt;60,'General Basis'!$C$41,IF(G2537&lt;65,'General Basis'!$C$42,'General Basis'!$C$43)))),IF(G2537&lt;11,'General Basis'!$B$39,IF(G2537&lt;18,'General Basis'!$B$40,IF(G2537&lt;26,'General Basis'!$B$41,IF(G2537&lt;31,'General Basis'!$B$42,IF(G2537&lt;36,'General Basis'!$B$43,IF(G2537&lt;41,'General Basis'!$B$44,IF(G2537&lt;46,'General Basis'!$B$45,IF(G2537&lt;51,'General Basis'!$B$46,IF(G2537&lt;56,'General Basis'!$B$47,IF(G2537&lt;60,'General Basis'!$B$48,IF(G2537&lt;65,'General Basis'!$B$49,'General Basis'!$B$50)))))))))))))</f>
        <v/>
      </c>
      <c r="BI2537" s="744" t="str">
        <f t="shared" si="885"/>
        <v/>
      </c>
      <c r="BJ2537" s="747" t="str">
        <f t="shared" si="892"/>
        <v/>
      </c>
      <c r="BK2537" s="498" t="str">
        <f t="shared" si="886"/>
        <v/>
      </c>
      <c r="BL2537" s="498" t="str">
        <f t="shared" si="887"/>
        <v/>
      </c>
    </row>
    <row r="2538" spans="1:64" x14ac:dyDescent="0.25">
      <c r="A2538" s="762">
        <f t="shared" si="888"/>
        <v>2533</v>
      </c>
      <c r="B2538" s="229"/>
      <c r="C2538" s="223"/>
      <c r="D2538" s="224"/>
      <c r="E2538" s="225"/>
      <c r="F2538" s="1036" t="str">
        <f t="shared" si="894"/>
        <v/>
      </c>
      <c r="G2538" s="1037" t="str">
        <f t="shared" si="889"/>
        <v/>
      </c>
      <c r="H2538" s="225"/>
      <c r="I2538" s="1013"/>
      <c r="J2538" s="1013"/>
      <c r="K2538" s="1028"/>
      <c r="L2538" s="1035" t="str">
        <f t="shared" si="893"/>
        <v/>
      </c>
      <c r="S2538" s="498"/>
      <c r="AJ2538" s="498"/>
      <c r="AM2538" s="498">
        <f t="shared" si="874"/>
        <v>0</v>
      </c>
      <c r="AN2538" s="498">
        <f t="shared" si="875"/>
        <v>0</v>
      </c>
      <c r="AO2538" s="498">
        <f t="shared" si="876"/>
        <v>0</v>
      </c>
      <c r="AP2538" s="498">
        <f t="shared" si="895"/>
        <v>0</v>
      </c>
      <c r="AQ2538" s="498">
        <f t="shared" si="890"/>
        <v>0</v>
      </c>
      <c r="AU2538" s="498">
        <f t="shared" si="877"/>
        <v>0</v>
      </c>
      <c r="AV2538" s="498">
        <f t="shared" si="878"/>
        <v>0</v>
      </c>
      <c r="AW2538" s="498">
        <f t="shared" si="879"/>
        <v>0</v>
      </c>
      <c r="AX2538" s="498">
        <f t="shared" si="880"/>
        <v>0</v>
      </c>
      <c r="AY2538" s="498">
        <f t="shared" si="881"/>
        <v>0</v>
      </c>
      <c r="BB2538" s="498" t="str">
        <f t="shared" si="882"/>
        <v/>
      </c>
      <c r="BC2538" s="743" t="str">
        <f t="shared" si="883"/>
        <v/>
      </c>
      <c r="BD2538" s="743" t="str">
        <f t="shared" si="884"/>
        <v/>
      </c>
      <c r="BE2538" s="743" t="str">
        <f>IF(D2538="","",VLOOKUP(D2538,'General Basis'!$J$39:$K$46,2,0))</f>
        <v/>
      </c>
      <c r="BF2538" s="744" t="str">
        <f>IF(D2538="","",VLOOKUP(D2538,'General Basis'!$J$39:$L$46,3,0))</f>
        <v/>
      </c>
      <c r="BG2538" s="744" t="str">
        <f t="shared" si="891"/>
        <v/>
      </c>
      <c r="BH2538" s="744" t="str">
        <f>IF(G2538="","",IF(BF2538="Abu Dhabi",IF(G2538&lt;18,'General Basis'!$C$39,IF(G2538&lt;41,'General Basis'!$C$40,IF(G2538&lt;60,'General Basis'!$C$41,IF(G2538&lt;65,'General Basis'!$C$42,'General Basis'!$C$43)))),IF(G2538&lt;11,'General Basis'!$B$39,IF(G2538&lt;18,'General Basis'!$B$40,IF(G2538&lt;26,'General Basis'!$B$41,IF(G2538&lt;31,'General Basis'!$B$42,IF(G2538&lt;36,'General Basis'!$B$43,IF(G2538&lt;41,'General Basis'!$B$44,IF(G2538&lt;46,'General Basis'!$B$45,IF(G2538&lt;51,'General Basis'!$B$46,IF(G2538&lt;56,'General Basis'!$B$47,IF(G2538&lt;60,'General Basis'!$B$48,IF(G2538&lt;65,'General Basis'!$B$49,'General Basis'!$B$50)))))))))))))</f>
        <v/>
      </c>
      <c r="BI2538" s="744" t="str">
        <f t="shared" si="885"/>
        <v/>
      </c>
      <c r="BJ2538" s="747" t="str">
        <f t="shared" si="892"/>
        <v/>
      </c>
      <c r="BK2538" s="498" t="str">
        <f t="shared" si="886"/>
        <v/>
      </c>
      <c r="BL2538" s="498" t="str">
        <f t="shared" si="887"/>
        <v/>
      </c>
    </row>
    <row r="2539" spans="1:64" x14ac:dyDescent="0.25">
      <c r="A2539" s="762">
        <f t="shared" si="888"/>
        <v>2534</v>
      </c>
      <c r="B2539" s="229"/>
      <c r="C2539" s="223"/>
      <c r="D2539" s="224"/>
      <c r="E2539" s="225"/>
      <c r="F2539" s="1036" t="str">
        <f t="shared" si="894"/>
        <v/>
      </c>
      <c r="G2539" s="1037" t="str">
        <f t="shared" si="889"/>
        <v/>
      </c>
      <c r="H2539" s="225"/>
      <c r="I2539" s="1013"/>
      <c r="J2539" s="1013"/>
      <c r="K2539" s="1028"/>
      <c r="L2539" s="1035" t="str">
        <f t="shared" si="893"/>
        <v/>
      </c>
      <c r="S2539" s="498"/>
      <c r="AJ2539" s="498"/>
      <c r="AM2539" s="498">
        <f t="shared" si="874"/>
        <v>0</v>
      </c>
      <c r="AN2539" s="498">
        <f t="shared" si="875"/>
        <v>0</v>
      </c>
      <c r="AO2539" s="498">
        <f t="shared" si="876"/>
        <v>0</v>
      </c>
      <c r="AP2539" s="498">
        <f t="shared" si="895"/>
        <v>0</v>
      </c>
      <c r="AQ2539" s="498">
        <f t="shared" si="890"/>
        <v>0</v>
      </c>
      <c r="AU2539" s="498">
        <f t="shared" si="877"/>
        <v>0</v>
      </c>
      <c r="AV2539" s="498">
        <f t="shared" si="878"/>
        <v>0</v>
      </c>
      <c r="AW2539" s="498">
        <f t="shared" si="879"/>
        <v>0</v>
      </c>
      <c r="AX2539" s="498">
        <f t="shared" si="880"/>
        <v>0</v>
      </c>
      <c r="AY2539" s="498">
        <f t="shared" si="881"/>
        <v>0</v>
      </c>
      <c r="BB2539" s="498" t="str">
        <f t="shared" si="882"/>
        <v/>
      </c>
      <c r="BC2539" s="743" t="str">
        <f t="shared" si="883"/>
        <v/>
      </c>
      <c r="BD2539" s="743" t="str">
        <f t="shared" si="884"/>
        <v/>
      </c>
      <c r="BE2539" s="743" t="str">
        <f>IF(D2539="","",VLOOKUP(D2539,'General Basis'!$J$39:$K$46,2,0))</f>
        <v/>
      </c>
      <c r="BF2539" s="744" t="str">
        <f>IF(D2539="","",VLOOKUP(D2539,'General Basis'!$J$39:$L$46,3,0))</f>
        <v/>
      </c>
      <c r="BG2539" s="744" t="str">
        <f t="shared" si="891"/>
        <v/>
      </c>
      <c r="BH2539" s="744" t="str">
        <f>IF(G2539="","",IF(BF2539="Abu Dhabi",IF(G2539&lt;18,'General Basis'!$C$39,IF(G2539&lt;41,'General Basis'!$C$40,IF(G2539&lt;60,'General Basis'!$C$41,IF(G2539&lt;65,'General Basis'!$C$42,'General Basis'!$C$43)))),IF(G2539&lt;11,'General Basis'!$B$39,IF(G2539&lt;18,'General Basis'!$B$40,IF(G2539&lt;26,'General Basis'!$B$41,IF(G2539&lt;31,'General Basis'!$B$42,IF(G2539&lt;36,'General Basis'!$B$43,IF(G2539&lt;41,'General Basis'!$B$44,IF(G2539&lt;46,'General Basis'!$B$45,IF(G2539&lt;51,'General Basis'!$B$46,IF(G2539&lt;56,'General Basis'!$B$47,IF(G2539&lt;60,'General Basis'!$B$48,IF(G2539&lt;65,'General Basis'!$B$49,'General Basis'!$B$50)))))))))))))</f>
        <v/>
      </c>
      <c r="BI2539" s="744" t="str">
        <f t="shared" si="885"/>
        <v/>
      </c>
      <c r="BJ2539" s="747" t="str">
        <f t="shared" si="892"/>
        <v/>
      </c>
      <c r="BK2539" s="498" t="str">
        <f t="shared" si="886"/>
        <v/>
      </c>
      <c r="BL2539" s="498" t="str">
        <f t="shared" si="887"/>
        <v/>
      </c>
    </row>
    <row r="2540" spans="1:64" x14ac:dyDescent="0.25">
      <c r="A2540" s="762">
        <f t="shared" si="888"/>
        <v>2535</v>
      </c>
      <c r="B2540" s="229"/>
      <c r="C2540" s="223"/>
      <c r="D2540" s="224"/>
      <c r="E2540" s="225"/>
      <c r="F2540" s="1036" t="str">
        <f t="shared" si="894"/>
        <v/>
      </c>
      <c r="G2540" s="1037" t="str">
        <f t="shared" si="889"/>
        <v/>
      </c>
      <c r="H2540" s="225"/>
      <c r="I2540" s="1013"/>
      <c r="J2540" s="1013"/>
      <c r="K2540" s="1028"/>
      <c r="L2540" s="1035" t="str">
        <f t="shared" si="893"/>
        <v/>
      </c>
      <c r="S2540" s="498"/>
      <c r="AJ2540" s="498"/>
      <c r="AM2540" s="498">
        <f t="shared" si="874"/>
        <v>0</v>
      </c>
      <c r="AN2540" s="498">
        <f t="shared" si="875"/>
        <v>0</v>
      </c>
      <c r="AO2540" s="498">
        <f t="shared" si="876"/>
        <v>0</v>
      </c>
      <c r="AP2540" s="498">
        <f t="shared" si="895"/>
        <v>0</v>
      </c>
      <c r="AQ2540" s="498">
        <f t="shared" si="890"/>
        <v>0</v>
      </c>
      <c r="AU2540" s="498">
        <f t="shared" si="877"/>
        <v>0</v>
      </c>
      <c r="AV2540" s="498">
        <f t="shared" si="878"/>
        <v>0</v>
      </c>
      <c r="AW2540" s="498">
        <f t="shared" si="879"/>
        <v>0</v>
      </c>
      <c r="AX2540" s="498">
        <f t="shared" si="880"/>
        <v>0</v>
      </c>
      <c r="AY2540" s="498">
        <f t="shared" si="881"/>
        <v>0</v>
      </c>
      <c r="BB2540" s="498" t="str">
        <f t="shared" si="882"/>
        <v/>
      </c>
      <c r="BC2540" s="743" t="str">
        <f t="shared" si="883"/>
        <v/>
      </c>
      <c r="BD2540" s="743" t="str">
        <f t="shared" si="884"/>
        <v/>
      </c>
      <c r="BE2540" s="743" t="str">
        <f>IF(D2540="","",VLOOKUP(D2540,'General Basis'!$J$39:$K$46,2,0))</f>
        <v/>
      </c>
      <c r="BF2540" s="744" t="str">
        <f>IF(D2540="","",VLOOKUP(D2540,'General Basis'!$J$39:$L$46,3,0))</f>
        <v/>
      </c>
      <c r="BG2540" s="744" t="str">
        <f t="shared" si="891"/>
        <v/>
      </c>
      <c r="BH2540" s="744" t="str">
        <f>IF(G2540="","",IF(BF2540="Abu Dhabi",IF(G2540&lt;18,'General Basis'!$C$39,IF(G2540&lt;41,'General Basis'!$C$40,IF(G2540&lt;60,'General Basis'!$C$41,IF(G2540&lt;65,'General Basis'!$C$42,'General Basis'!$C$43)))),IF(G2540&lt;11,'General Basis'!$B$39,IF(G2540&lt;18,'General Basis'!$B$40,IF(G2540&lt;26,'General Basis'!$B$41,IF(G2540&lt;31,'General Basis'!$B$42,IF(G2540&lt;36,'General Basis'!$B$43,IF(G2540&lt;41,'General Basis'!$B$44,IF(G2540&lt;46,'General Basis'!$B$45,IF(G2540&lt;51,'General Basis'!$B$46,IF(G2540&lt;56,'General Basis'!$B$47,IF(G2540&lt;60,'General Basis'!$B$48,IF(G2540&lt;65,'General Basis'!$B$49,'General Basis'!$B$50)))))))))))))</f>
        <v/>
      </c>
      <c r="BI2540" s="744" t="str">
        <f t="shared" si="885"/>
        <v/>
      </c>
      <c r="BJ2540" s="747" t="str">
        <f t="shared" si="892"/>
        <v/>
      </c>
      <c r="BK2540" s="498" t="str">
        <f t="shared" si="886"/>
        <v/>
      </c>
      <c r="BL2540" s="498" t="str">
        <f t="shared" si="887"/>
        <v/>
      </c>
    </row>
    <row r="2541" spans="1:64" x14ac:dyDescent="0.25">
      <c r="A2541" s="762">
        <f t="shared" si="888"/>
        <v>2536</v>
      </c>
      <c r="B2541" s="229"/>
      <c r="C2541" s="223"/>
      <c r="D2541" s="224"/>
      <c r="E2541" s="225"/>
      <c r="F2541" s="1036" t="str">
        <f t="shared" si="894"/>
        <v/>
      </c>
      <c r="G2541" s="1037" t="str">
        <f t="shared" si="889"/>
        <v/>
      </c>
      <c r="H2541" s="225"/>
      <c r="I2541" s="1013"/>
      <c r="J2541" s="1013"/>
      <c r="K2541" s="1028"/>
      <c r="L2541" s="1035" t="str">
        <f t="shared" si="893"/>
        <v/>
      </c>
      <c r="S2541" s="498"/>
      <c r="AJ2541" s="498"/>
      <c r="AM2541" s="498">
        <f t="shared" si="874"/>
        <v>0</v>
      </c>
      <c r="AN2541" s="498">
        <f t="shared" si="875"/>
        <v>0</v>
      </c>
      <c r="AO2541" s="498">
        <f t="shared" si="876"/>
        <v>0</v>
      </c>
      <c r="AP2541" s="498">
        <f t="shared" si="895"/>
        <v>0</v>
      </c>
      <c r="AQ2541" s="498">
        <f t="shared" si="890"/>
        <v>0</v>
      </c>
      <c r="AU2541" s="498">
        <f t="shared" si="877"/>
        <v>0</v>
      </c>
      <c r="AV2541" s="498">
        <f t="shared" si="878"/>
        <v>0</v>
      </c>
      <c r="AW2541" s="498">
        <f t="shared" si="879"/>
        <v>0</v>
      </c>
      <c r="AX2541" s="498">
        <f t="shared" si="880"/>
        <v>0</v>
      </c>
      <c r="AY2541" s="498">
        <f t="shared" si="881"/>
        <v>0</v>
      </c>
      <c r="BB2541" s="498" t="str">
        <f t="shared" si="882"/>
        <v/>
      </c>
      <c r="BC2541" s="743" t="str">
        <f t="shared" si="883"/>
        <v/>
      </c>
      <c r="BD2541" s="743" t="str">
        <f t="shared" si="884"/>
        <v/>
      </c>
      <c r="BE2541" s="743" t="str">
        <f>IF(D2541="","",VLOOKUP(D2541,'General Basis'!$J$39:$K$46,2,0))</f>
        <v/>
      </c>
      <c r="BF2541" s="744" t="str">
        <f>IF(D2541="","",VLOOKUP(D2541,'General Basis'!$J$39:$L$46,3,0))</f>
        <v/>
      </c>
      <c r="BG2541" s="744" t="str">
        <f t="shared" si="891"/>
        <v/>
      </c>
      <c r="BH2541" s="744" t="str">
        <f>IF(G2541="","",IF(BF2541="Abu Dhabi",IF(G2541&lt;18,'General Basis'!$C$39,IF(G2541&lt;41,'General Basis'!$C$40,IF(G2541&lt;60,'General Basis'!$C$41,IF(G2541&lt;65,'General Basis'!$C$42,'General Basis'!$C$43)))),IF(G2541&lt;11,'General Basis'!$B$39,IF(G2541&lt;18,'General Basis'!$B$40,IF(G2541&lt;26,'General Basis'!$B$41,IF(G2541&lt;31,'General Basis'!$B$42,IF(G2541&lt;36,'General Basis'!$B$43,IF(G2541&lt;41,'General Basis'!$B$44,IF(G2541&lt;46,'General Basis'!$B$45,IF(G2541&lt;51,'General Basis'!$B$46,IF(G2541&lt;56,'General Basis'!$B$47,IF(G2541&lt;60,'General Basis'!$B$48,IF(G2541&lt;65,'General Basis'!$B$49,'General Basis'!$B$50)))))))))))))</f>
        <v/>
      </c>
      <c r="BI2541" s="744" t="str">
        <f t="shared" si="885"/>
        <v/>
      </c>
      <c r="BJ2541" s="747" t="str">
        <f t="shared" si="892"/>
        <v/>
      </c>
      <c r="BK2541" s="498" t="str">
        <f t="shared" si="886"/>
        <v/>
      </c>
      <c r="BL2541" s="498" t="str">
        <f t="shared" si="887"/>
        <v/>
      </c>
    </row>
    <row r="2542" spans="1:64" x14ac:dyDescent="0.25">
      <c r="A2542" s="762">
        <f t="shared" si="888"/>
        <v>2537</v>
      </c>
      <c r="B2542" s="229"/>
      <c r="C2542" s="223"/>
      <c r="D2542" s="224"/>
      <c r="E2542" s="225"/>
      <c r="F2542" s="1036" t="str">
        <f t="shared" si="894"/>
        <v/>
      </c>
      <c r="G2542" s="1037" t="str">
        <f t="shared" si="889"/>
        <v/>
      </c>
      <c r="H2542" s="225"/>
      <c r="I2542" s="1013"/>
      <c r="J2542" s="1013"/>
      <c r="K2542" s="1028"/>
      <c r="L2542" s="1035" t="str">
        <f t="shared" si="893"/>
        <v/>
      </c>
      <c r="S2542" s="498"/>
      <c r="AJ2542" s="498"/>
      <c r="AM2542" s="498">
        <f t="shared" si="874"/>
        <v>0</v>
      </c>
      <c r="AN2542" s="498">
        <f t="shared" si="875"/>
        <v>0</v>
      </c>
      <c r="AO2542" s="498">
        <f t="shared" si="876"/>
        <v>0</v>
      </c>
      <c r="AP2542" s="498">
        <f t="shared" si="895"/>
        <v>0</v>
      </c>
      <c r="AQ2542" s="498">
        <f t="shared" si="890"/>
        <v>0</v>
      </c>
      <c r="AU2542" s="498">
        <f t="shared" si="877"/>
        <v>0</v>
      </c>
      <c r="AV2542" s="498">
        <f t="shared" si="878"/>
        <v>0</v>
      </c>
      <c r="AW2542" s="498">
        <f t="shared" si="879"/>
        <v>0</v>
      </c>
      <c r="AX2542" s="498">
        <f t="shared" si="880"/>
        <v>0</v>
      </c>
      <c r="AY2542" s="498">
        <f t="shared" si="881"/>
        <v>0</v>
      </c>
      <c r="BB2542" s="498" t="str">
        <f t="shared" si="882"/>
        <v/>
      </c>
      <c r="BC2542" s="743" t="str">
        <f t="shared" si="883"/>
        <v/>
      </c>
      <c r="BD2542" s="743" t="str">
        <f t="shared" si="884"/>
        <v/>
      </c>
      <c r="BE2542" s="743" t="str">
        <f>IF(D2542="","",VLOOKUP(D2542,'General Basis'!$J$39:$K$46,2,0))</f>
        <v/>
      </c>
      <c r="BF2542" s="744" t="str">
        <f>IF(D2542="","",VLOOKUP(D2542,'General Basis'!$J$39:$L$46,3,0))</f>
        <v/>
      </c>
      <c r="BG2542" s="744" t="str">
        <f t="shared" si="891"/>
        <v/>
      </c>
      <c r="BH2542" s="744" t="str">
        <f>IF(G2542="","",IF(BF2542="Abu Dhabi",IF(G2542&lt;18,'General Basis'!$C$39,IF(G2542&lt;41,'General Basis'!$C$40,IF(G2542&lt;60,'General Basis'!$C$41,IF(G2542&lt;65,'General Basis'!$C$42,'General Basis'!$C$43)))),IF(G2542&lt;11,'General Basis'!$B$39,IF(G2542&lt;18,'General Basis'!$B$40,IF(G2542&lt;26,'General Basis'!$B$41,IF(G2542&lt;31,'General Basis'!$B$42,IF(G2542&lt;36,'General Basis'!$B$43,IF(G2542&lt;41,'General Basis'!$B$44,IF(G2542&lt;46,'General Basis'!$B$45,IF(G2542&lt;51,'General Basis'!$B$46,IF(G2542&lt;56,'General Basis'!$B$47,IF(G2542&lt;60,'General Basis'!$B$48,IF(G2542&lt;65,'General Basis'!$B$49,'General Basis'!$B$50)))))))))))))</f>
        <v/>
      </c>
      <c r="BI2542" s="744" t="str">
        <f t="shared" si="885"/>
        <v/>
      </c>
      <c r="BJ2542" s="747" t="str">
        <f t="shared" si="892"/>
        <v/>
      </c>
      <c r="BK2542" s="498" t="str">
        <f t="shared" si="886"/>
        <v/>
      </c>
      <c r="BL2542" s="498" t="str">
        <f t="shared" si="887"/>
        <v/>
      </c>
    </row>
    <row r="2543" spans="1:64" x14ac:dyDescent="0.25">
      <c r="A2543" s="762">
        <f t="shared" si="888"/>
        <v>2538</v>
      </c>
      <c r="B2543" s="229"/>
      <c r="C2543" s="223"/>
      <c r="D2543" s="224"/>
      <c r="E2543" s="225"/>
      <c r="F2543" s="1036" t="str">
        <f t="shared" si="894"/>
        <v/>
      </c>
      <c r="G2543" s="1037" t="str">
        <f t="shared" si="889"/>
        <v/>
      </c>
      <c r="H2543" s="225"/>
      <c r="I2543" s="1013"/>
      <c r="J2543" s="1013"/>
      <c r="K2543" s="1028"/>
      <c r="L2543" s="1035" t="str">
        <f t="shared" si="893"/>
        <v/>
      </c>
      <c r="S2543" s="498"/>
      <c r="AJ2543" s="498"/>
      <c r="AM2543" s="498">
        <f t="shared" si="874"/>
        <v>0</v>
      </c>
      <c r="AN2543" s="498">
        <f t="shared" si="875"/>
        <v>0</v>
      </c>
      <c r="AO2543" s="498">
        <f t="shared" si="876"/>
        <v>0</v>
      </c>
      <c r="AP2543" s="498">
        <f t="shared" si="895"/>
        <v>0</v>
      </c>
      <c r="AQ2543" s="498">
        <f t="shared" si="890"/>
        <v>0</v>
      </c>
      <c r="AU2543" s="498">
        <f t="shared" si="877"/>
        <v>0</v>
      </c>
      <c r="AV2543" s="498">
        <f t="shared" si="878"/>
        <v>0</v>
      </c>
      <c r="AW2543" s="498">
        <f t="shared" si="879"/>
        <v>0</v>
      </c>
      <c r="AX2543" s="498">
        <f t="shared" si="880"/>
        <v>0</v>
      </c>
      <c r="AY2543" s="498">
        <f t="shared" si="881"/>
        <v>0</v>
      </c>
      <c r="BB2543" s="498" t="str">
        <f t="shared" si="882"/>
        <v/>
      </c>
      <c r="BC2543" s="743" t="str">
        <f t="shared" si="883"/>
        <v/>
      </c>
      <c r="BD2543" s="743" t="str">
        <f t="shared" si="884"/>
        <v/>
      </c>
      <c r="BE2543" s="743" t="str">
        <f>IF(D2543="","",VLOOKUP(D2543,'General Basis'!$J$39:$K$46,2,0))</f>
        <v/>
      </c>
      <c r="BF2543" s="744" t="str">
        <f>IF(D2543="","",VLOOKUP(D2543,'General Basis'!$J$39:$L$46,3,0))</f>
        <v/>
      </c>
      <c r="BG2543" s="744" t="str">
        <f t="shared" si="891"/>
        <v/>
      </c>
      <c r="BH2543" s="744" t="str">
        <f>IF(G2543="","",IF(BF2543="Abu Dhabi",IF(G2543&lt;18,'General Basis'!$C$39,IF(G2543&lt;41,'General Basis'!$C$40,IF(G2543&lt;60,'General Basis'!$C$41,IF(G2543&lt;65,'General Basis'!$C$42,'General Basis'!$C$43)))),IF(G2543&lt;11,'General Basis'!$B$39,IF(G2543&lt;18,'General Basis'!$B$40,IF(G2543&lt;26,'General Basis'!$B$41,IF(G2543&lt;31,'General Basis'!$B$42,IF(G2543&lt;36,'General Basis'!$B$43,IF(G2543&lt;41,'General Basis'!$B$44,IF(G2543&lt;46,'General Basis'!$B$45,IF(G2543&lt;51,'General Basis'!$B$46,IF(G2543&lt;56,'General Basis'!$B$47,IF(G2543&lt;60,'General Basis'!$B$48,IF(G2543&lt;65,'General Basis'!$B$49,'General Basis'!$B$50)))))))))))))</f>
        <v/>
      </c>
      <c r="BI2543" s="744" t="str">
        <f t="shared" si="885"/>
        <v/>
      </c>
      <c r="BJ2543" s="747" t="str">
        <f t="shared" si="892"/>
        <v/>
      </c>
      <c r="BK2543" s="498" t="str">
        <f t="shared" si="886"/>
        <v/>
      </c>
      <c r="BL2543" s="498" t="str">
        <f t="shared" si="887"/>
        <v/>
      </c>
    </row>
    <row r="2544" spans="1:64" x14ac:dyDescent="0.25">
      <c r="A2544" s="762">
        <f t="shared" si="888"/>
        <v>2539</v>
      </c>
      <c r="B2544" s="229"/>
      <c r="C2544" s="223"/>
      <c r="D2544" s="224"/>
      <c r="E2544" s="225"/>
      <c r="F2544" s="1036" t="str">
        <f t="shared" si="894"/>
        <v/>
      </c>
      <c r="G2544" s="1037" t="str">
        <f t="shared" si="889"/>
        <v/>
      </c>
      <c r="H2544" s="225"/>
      <c r="I2544" s="1013"/>
      <c r="J2544" s="1013"/>
      <c r="K2544" s="1028"/>
      <c r="L2544" s="1035" t="str">
        <f t="shared" si="893"/>
        <v/>
      </c>
      <c r="S2544" s="498"/>
      <c r="AJ2544" s="498"/>
      <c r="AM2544" s="498">
        <f t="shared" si="874"/>
        <v>0</v>
      </c>
      <c r="AN2544" s="498">
        <f t="shared" si="875"/>
        <v>0</v>
      </c>
      <c r="AO2544" s="498">
        <f t="shared" si="876"/>
        <v>0</v>
      </c>
      <c r="AP2544" s="498">
        <f t="shared" si="895"/>
        <v>0</v>
      </c>
      <c r="AQ2544" s="498">
        <f t="shared" si="890"/>
        <v>0</v>
      </c>
      <c r="AU2544" s="498">
        <f t="shared" si="877"/>
        <v>0</v>
      </c>
      <c r="AV2544" s="498">
        <f t="shared" si="878"/>
        <v>0</v>
      </c>
      <c r="AW2544" s="498">
        <f t="shared" si="879"/>
        <v>0</v>
      </c>
      <c r="AX2544" s="498">
        <f t="shared" si="880"/>
        <v>0</v>
      </c>
      <c r="AY2544" s="498">
        <f t="shared" si="881"/>
        <v>0</v>
      </c>
      <c r="BB2544" s="498" t="str">
        <f t="shared" si="882"/>
        <v/>
      </c>
      <c r="BC2544" s="743" t="str">
        <f t="shared" si="883"/>
        <v/>
      </c>
      <c r="BD2544" s="743" t="str">
        <f t="shared" si="884"/>
        <v/>
      </c>
      <c r="BE2544" s="743" t="str">
        <f>IF(D2544="","",VLOOKUP(D2544,'General Basis'!$J$39:$K$46,2,0))</f>
        <v/>
      </c>
      <c r="BF2544" s="744" t="str">
        <f>IF(D2544="","",VLOOKUP(D2544,'General Basis'!$J$39:$L$46,3,0))</f>
        <v/>
      </c>
      <c r="BG2544" s="744" t="str">
        <f t="shared" si="891"/>
        <v/>
      </c>
      <c r="BH2544" s="744" t="str">
        <f>IF(G2544="","",IF(BF2544="Abu Dhabi",IF(G2544&lt;18,'General Basis'!$C$39,IF(G2544&lt;41,'General Basis'!$C$40,IF(G2544&lt;60,'General Basis'!$C$41,IF(G2544&lt;65,'General Basis'!$C$42,'General Basis'!$C$43)))),IF(G2544&lt;11,'General Basis'!$B$39,IF(G2544&lt;18,'General Basis'!$B$40,IF(G2544&lt;26,'General Basis'!$B$41,IF(G2544&lt;31,'General Basis'!$B$42,IF(G2544&lt;36,'General Basis'!$B$43,IF(G2544&lt;41,'General Basis'!$B$44,IF(G2544&lt;46,'General Basis'!$B$45,IF(G2544&lt;51,'General Basis'!$B$46,IF(G2544&lt;56,'General Basis'!$B$47,IF(G2544&lt;60,'General Basis'!$B$48,IF(G2544&lt;65,'General Basis'!$B$49,'General Basis'!$B$50)))))))))))))</f>
        <v/>
      </c>
      <c r="BI2544" s="744" t="str">
        <f t="shared" si="885"/>
        <v/>
      </c>
      <c r="BJ2544" s="747" t="str">
        <f t="shared" si="892"/>
        <v/>
      </c>
      <c r="BK2544" s="498" t="str">
        <f t="shared" si="886"/>
        <v/>
      </c>
      <c r="BL2544" s="498" t="str">
        <f t="shared" si="887"/>
        <v/>
      </c>
    </row>
    <row r="2545" spans="1:64" x14ac:dyDescent="0.25">
      <c r="A2545" s="762">
        <f t="shared" si="888"/>
        <v>2540</v>
      </c>
      <c r="B2545" s="229"/>
      <c r="C2545" s="223"/>
      <c r="D2545" s="224"/>
      <c r="E2545" s="225"/>
      <c r="F2545" s="1036" t="str">
        <f t="shared" si="894"/>
        <v/>
      </c>
      <c r="G2545" s="1037" t="str">
        <f t="shared" si="889"/>
        <v/>
      </c>
      <c r="H2545" s="225"/>
      <c r="I2545" s="1013"/>
      <c r="J2545" s="1013"/>
      <c r="K2545" s="1028"/>
      <c r="L2545" s="1035" t="str">
        <f t="shared" si="893"/>
        <v/>
      </c>
      <c r="S2545" s="498"/>
      <c r="AJ2545" s="498"/>
      <c r="AM2545" s="498">
        <f t="shared" si="874"/>
        <v>0</v>
      </c>
      <c r="AN2545" s="498">
        <f t="shared" si="875"/>
        <v>0</v>
      </c>
      <c r="AO2545" s="498">
        <f t="shared" si="876"/>
        <v>0</v>
      </c>
      <c r="AP2545" s="498">
        <f t="shared" si="895"/>
        <v>0</v>
      </c>
      <c r="AQ2545" s="498">
        <f t="shared" si="890"/>
        <v>0</v>
      </c>
      <c r="AU2545" s="498">
        <f t="shared" si="877"/>
        <v>0</v>
      </c>
      <c r="AV2545" s="498">
        <f t="shared" si="878"/>
        <v>0</v>
      </c>
      <c r="AW2545" s="498">
        <f t="shared" si="879"/>
        <v>0</v>
      </c>
      <c r="AX2545" s="498">
        <f t="shared" si="880"/>
        <v>0</v>
      </c>
      <c r="AY2545" s="498">
        <f t="shared" si="881"/>
        <v>0</v>
      </c>
      <c r="BB2545" s="498" t="str">
        <f t="shared" si="882"/>
        <v/>
      </c>
      <c r="BC2545" s="743" t="str">
        <f t="shared" si="883"/>
        <v/>
      </c>
      <c r="BD2545" s="743" t="str">
        <f t="shared" si="884"/>
        <v/>
      </c>
      <c r="BE2545" s="743" t="str">
        <f>IF(D2545="","",VLOOKUP(D2545,'General Basis'!$J$39:$K$46,2,0))</f>
        <v/>
      </c>
      <c r="BF2545" s="744" t="str">
        <f>IF(D2545="","",VLOOKUP(D2545,'General Basis'!$J$39:$L$46,3,0))</f>
        <v/>
      </c>
      <c r="BG2545" s="744" t="str">
        <f t="shared" si="891"/>
        <v/>
      </c>
      <c r="BH2545" s="744" t="str">
        <f>IF(G2545="","",IF(BF2545="Abu Dhabi",IF(G2545&lt;18,'General Basis'!$C$39,IF(G2545&lt;41,'General Basis'!$C$40,IF(G2545&lt;60,'General Basis'!$C$41,IF(G2545&lt;65,'General Basis'!$C$42,'General Basis'!$C$43)))),IF(G2545&lt;11,'General Basis'!$B$39,IF(G2545&lt;18,'General Basis'!$B$40,IF(G2545&lt;26,'General Basis'!$B$41,IF(G2545&lt;31,'General Basis'!$B$42,IF(G2545&lt;36,'General Basis'!$B$43,IF(G2545&lt;41,'General Basis'!$B$44,IF(G2545&lt;46,'General Basis'!$B$45,IF(G2545&lt;51,'General Basis'!$B$46,IF(G2545&lt;56,'General Basis'!$B$47,IF(G2545&lt;60,'General Basis'!$B$48,IF(G2545&lt;65,'General Basis'!$B$49,'General Basis'!$B$50)))))))))))))</f>
        <v/>
      </c>
      <c r="BI2545" s="744" t="str">
        <f t="shared" si="885"/>
        <v/>
      </c>
      <c r="BJ2545" s="747" t="str">
        <f t="shared" si="892"/>
        <v/>
      </c>
      <c r="BK2545" s="498" t="str">
        <f t="shared" si="886"/>
        <v/>
      </c>
      <c r="BL2545" s="498" t="str">
        <f t="shared" si="887"/>
        <v/>
      </c>
    </row>
    <row r="2546" spans="1:64" x14ac:dyDescent="0.25">
      <c r="A2546" s="762">
        <f t="shared" si="888"/>
        <v>2541</v>
      </c>
      <c r="B2546" s="229"/>
      <c r="C2546" s="223"/>
      <c r="D2546" s="224"/>
      <c r="E2546" s="225"/>
      <c r="F2546" s="1036" t="str">
        <f t="shared" si="894"/>
        <v/>
      </c>
      <c r="G2546" s="1037" t="str">
        <f t="shared" si="889"/>
        <v/>
      </c>
      <c r="H2546" s="225"/>
      <c r="I2546" s="1013"/>
      <c r="J2546" s="1013"/>
      <c r="K2546" s="1028"/>
      <c r="L2546" s="1035" t="str">
        <f t="shared" si="893"/>
        <v/>
      </c>
      <c r="S2546" s="498"/>
      <c r="AJ2546" s="498"/>
      <c r="AM2546" s="498">
        <f t="shared" si="874"/>
        <v>0</v>
      </c>
      <c r="AN2546" s="498">
        <f t="shared" si="875"/>
        <v>0</v>
      </c>
      <c r="AO2546" s="498">
        <f t="shared" si="876"/>
        <v>0</v>
      </c>
      <c r="AP2546" s="498">
        <f t="shared" si="895"/>
        <v>0</v>
      </c>
      <c r="AQ2546" s="498">
        <f t="shared" si="890"/>
        <v>0</v>
      </c>
      <c r="AU2546" s="498">
        <f t="shared" si="877"/>
        <v>0</v>
      </c>
      <c r="AV2546" s="498">
        <f t="shared" si="878"/>
        <v>0</v>
      </c>
      <c r="AW2546" s="498">
        <f t="shared" si="879"/>
        <v>0</v>
      </c>
      <c r="AX2546" s="498">
        <f t="shared" si="880"/>
        <v>0</v>
      </c>
      <c r="AY2546" s="498">
        <f t="shared" si="881"/>
        <v>0</v>
      </c>
      <c r="BB2546" s="498" t="str">
        <f t="shared" si="882"/>
        <v/>
      </c>
      <c r="BC2546" s="743" t="str">
        <f t="shared" si="883"/>
        <v/>
      </c>
      <c r="BD2546" s="743" t="str">
        <f t="shared" si="884"/>
        <v/>
      </c>
      <c r="BE2546" s="743" t="str">
        <f>IF(D2546="","",VLOOKUP(D2546,'General Basis'!$J$39:$K$46,2,0))</f>
        <v/>
      </c>
      <c r="BF2546" s="744" t="str">
        <f>IF(D2546="","",VLOOKUP(D2546,'General Basis'!$J$39:$L$46,3,0))</f>
        <v/>
      </c>
      <c r="BG2546" s="744" t="str">
        <f t="shared" si="891"/>
        <v/>
      </c>
      <c r="BH2546" s="744" t="str">
        <f>IF(G2546="","",IF(BF2546="Abu Dhabi",IF(G2546&lt;18,'General Basis'!$C$39,IF(G2546&lt;41,'General Basis'!$C$40,IF(G2546&lt;60,'General Basis'!$C$41,IF(G2546&lt;65,'General Basis'!$C$42,'General Basis'!$C$43)))),IF(G2546&lt;11,'General Basis'!$B$39,IF(G2546&lt;18,'General Basis'!$B$40,IF(G2546&lt;26,'General Basis'!$B$41,IF(G2546&lt;31,'General Basis'!$B$42,IF(G2546&lt;36,'General Basis'!$B$43,IF(G2546&lt;41,'General Basis'!$B$44,IF(G2546&lt;46,'General Basis'!$B$45,IF(G2546&lt;51,'General Basis'!$B$46,IF(G2546&lt;56,'General Basis'!$B$47,IF(G2546&lt;60,'General Basis'!$B$48,IF(G2546&lt;65,'General Basis'!$B$49,'General Basis'!$B$50)))))))))))))</f>
        <v/>
      </c>
      <c r="BI2546" s="744" t="str">
        <f t="shared" si="885"/>
        <v/>
      </c>
      <c r="BJ2546" s="747" t="str">
        <f t="shared" si="892"/>
        <v/>
      </c>
      <c r="BK2546" s="498" t="str">
        <f t="shared" si="886"/>
        <v/>
      </c>
      <c r="BL2546" s="498" t="str">
        <f t="shared" si="887"/>
        <v/>
      </c>
    </row>
    <row r="2547" spans="1:64" x14ac:dyDescent="0.25">
      <c r="A2547" s="762">
        <f t="shared" si="888"/>
        <v>2542</v>
      </c>
      <c r="B2547" s="229"/>
      <c r="C2547" s="223"/>
      <c r="D2547" s="224"/>
      <c r="E2547" s="225"/>
      <c r="F2547" s="1036" t="str">
        <f t="shared" si="894"/>
        <v/>
      </c>
      <c r="G2547" s="1037" t="str">
        <f t="shared" si="889"/>
        <v/>
      </c>
      <c r="H2547" s="225"/>
      <c r="I2547" s="1013"/>
      <c r="J2547" s="1013"/>
      <c r="K2547" s="1028"/>
      <c r="L2547" s="1035" t="str">
        <f t="shared" si="893"/>
        <v/>
      </c>
      <c r="S2547" s="498"/>
      <c r="AJ2547" s="498"/>
      <c r="AM2547" s="498">
        <f t="shared" si="874"/>
        <v>0</v>
      </c>
      <c r="AN2547" s="498">
        <f t="shared" si="875"/>
        <v>0</v>
      </c>
      <c r="AO2547" s="498">
        <f t="shared" si="876"/>
        <v>0</v>
      </c>
      <c r="AP2547" s="498">
        <f t="shared" si="895"/>
        <v>0</v>
      </c>
      <c r="AQ2547" s="498">
        <f t="shared" si="890"/>
        <v>0</v>
      </c>
      <c r="AU2547" s="498">
        <f t="shared" si="877"/>
        <v>0</v>
      </c>
      <c r="AV2547" s="498">
        <f t="shared" si="878"/>
        <v>0</v>
      </c>
      <c r="AW2547" s="498">
        <f t="shared" si="879"/>
        <v>0</v>
      </c>
      <c r="AX2547" s="498">
        <f t="shared" si="880"/>
        <v>0</v>
      </c>
      <c r="AY2547" s="498">
        <f t="shared" si="881"/>
        <v>0</v>
      </c>
      <c r="BB2547" s="498" t="str">
        <f t="shared" si="882"/>
        <v/>
      </c>
      <c r="BC2547" s="743" t="str">
        <f t="shared" si="883"/>
        <v/>
      </c>
      <c r="BD2547" s="743" t="str">
        <f t="shared" si="884"/>
        <v/>
      </c>
      <c r="BE2547" s="743" t="str">
        <f>IF(D2547="","",VLOOKUP(D2547,'General Basis'!$J$39:$K$46,2,0))</f>
        <v/>
      </c>
      <c r="BF2547" s="744" t="str">
        <f>IF(D2547="","",VLOOKUP(D2547,'General Basis'!$J$39:$L$46,3,0))</f>
        <v/>
      </c>
      <c r="BG2547" s="744" t="str">
        <f t="shared" si="891"/>
        <v/>
      </c>
      <c r="BH2547" s="744" t="str">
        <f>IF(G2547="","",IF(BF2547="Abu Dhabi",IF(G2547&lt;18,'General Basis'!$C$39,IF(G2547&lt;41,'General Basis'!$C$40,IF(G2547&lt;60,'General Basis'!$C$41,IF(G2547&lt;65,'General Basis'!$C$42,'General Basis'!$C$43)))),IF(G2547&lt;11,'General Basis'!$B$39,IF(G2547&lt;18,'General Basis'!$B$40,IF(G2547&lt;26,'General Basis'!$B$41,IF(G2547&lt;31,'General Basis'!$B$42,IF(G2547&lt;36,'General Basis'!$B$43,IF(G2547&lt;41,'General Basis'!$B$44,IF(G2547&lt;46,'General Basis'!$B$45,IF(G2547&lt;51,'General Basis'!$B$46,IF(G2547&lt;56,'General Basis'!$B$47,IF(G2547&lt;60,'General Basis'!$B$48,IF(G2547&lt;65,'General Basis'!$B$49,'General Basis'!$B$50)))))))))))))</f>
        <v/>
      </c>
      <c r="BI2547" s="744" t="str">
        <f t="shared" si="885"/>
        <v/>
      </c>
      <c r="BJ2547" s="747" t="str">
        <f t="shared" si="892"/>
        <v/>
      </c>
      <c r="BK2547" s="498" t="str">
        <f t="shared" si="886"/>
        <v/>
      </c>
      <c r="BL2547" s="498" t="str">
        <f t="shared" si="887"/>
        <v/>
      </c>
    </row>
    <row r="2548" spans="1:64" x14ac:dyDescent="0.25">
      <c r="A2548" s="762">
        <f t="shared" si="888"/>
        <v>2543</v>
      </c>
      <c r="B2548" s="229"/>
      <c r="C2548" s="223"/>
      <c r="D2548" s="224"/>
      <c r="E2548" s="225"/>
      <c r="F2548" s="1036" t="str">
        <f t="shared" si="894"/>
        <v/>
      </c>
      <c r="G2548" s="1037" t="str">
        <f t="shared" si="889"/>
        <v/>
      </c>
      <c r="H2548" s="225"/>
      <c r="I2548" s="1013"/>
      <c r="J2548" s="1013"/>
      <c r="K2548" s="1028"/>
      <c r="L2548" s="1035" t="str">
        <f t="shared" si="893"/>
        <v/>
      </c>
      <c r="S2548" s="498"/>
      <c r="AJ2548" s="498"/>
      <c r="AM2548" s="498">
        <f t="shared" si="874"/>
        <v>0</v>
      </c>
      <c r="AN2548" s="498">
        <f t="shared" si="875"/>
        <v>0</v>
      </c>
      <c r="AO2548" s="498">
        <f t="shared" si="876"/>
        <v>0</v>
      </c>
      <c r="AP2548" s="498">
        <f t="shared" si="895"/>
        <v>0</v>
      </c>
      <c r="AQ2548" s="498">
        <f t="shared" si="890"/>
        <v>0</v>
      </c>
      <c r="AU2548" s="498">
        <f t="shared" si="877"/>
        <v>0</v>
      </c>
      <c r="AV2548" s="498">
        <f t="shared" si="878"/>
        <v>0</v>
      </c>
      <c r="AW2548" s="498">
        <f t="shared" si="879"/>
        <v>0</v>
      </c>
      <c r="AX2548" s="498">
        <f t="shared" si="880"/>
        <v>0</v>
      </c>
      <c r="AY2548" s="498">
        <f t="shared" si="881"/>
        <v>0</v>
      </c>
      <c r="BB2548" s="498" t="str">
        <f t="shared" si="882"/>
        <v/>
      </c>
      <c r="BC2548" s="743" t="str">
        <f t="shared" si="883"/>
        <v/>
      </c>
      <c r="BD2548" s="743" t="str">
        <f t="shared" si="884"/>
        <v/>
      </c>
      <c r="BE2548" s="743" t="str">
        <f>IF(D2548="","",VLOOKUP(D2548,'General Basis'!$J$39:$K$46,2,0))</f>
        <v/>
      </c>
      <c r="BF2548" s="744" t="str">
        <f>IF(D2548="","",VLOOKUP(D2548,'General Basis'!$J$39:$L$46,3,0))</f>
        <v/>
      </c>
      <c r="BG2548" s="744" t="str">
        <f t="shared" si="891"/>
        <v/>
      </c>
      <c r="BH2548" s="744" t="str">
        <f>IF(G2548="","",IF(BF2548="Abu Dhabi",IF(G2548&lt;18,'General Basis'!$C$39,IF(G2548&lt;41,'General Basis'!$C$40,IF(G2548&lt;60,'General Basis'!$C$41,IF(G2548&lt;65,'General Basis'!$C$42,'General Basis'!$C$43)))),IF(G2548&lt;11,'General Basis'!$B$39,IF(G2548&lt;18,'General Basis'!$B$40,IF(G2548&lt;26,'General Basis'!$B$41,IF(G2548&lt;31,'General Basis'!$B$42,IF(G2548&lt;36,'General Basis'!$B$43,IF(G2548&lt;41,'General Basis'!$B$44,IF(G2548&lt;46,'General Basis'!$B$45,IF(G2548&lt;51,'General Basis'!$B$46,IF(G2548&lt;56,'General Basis'!$B$47,IF(G2548&lt;60,'General Basis'!$B$48,IF(G2548&lt;65,'General Basis'!$B$49,'General Basis'!$B$50)))))))))))))</f>
        <v/>
      </c>
      <c r="BI2548" s="744" t="str">
        <f t="shared" si="885"/>
        <v/>
      </c>
      <c r="BJ2548" s="747" t="str">
        <f t="shared" si="892"/>
        <v/>
      </c>
      <c r="BK2548" s="498" t="str">
        <f t="shared" si="886"/>
        <v/>
      </c>
      <c r="BL2548" s="498" t="str">
        <f t="shared" si="887"/>
        <v/>
      </c>
    </row>
    <row r="2549" spans="1:64" x14ac:dyDescent="0.25">
      <c r="A2549" s="762">
        <f t="shared" si="888"/>
        <v>2544</v>
      </c>
      <c r="B2549" s="229"/>
      <c r="C2549" s="223"/>
      <c r="D2549" s="224"/>
      <c r="E2549" s="225"/>
      <c r="F2549" s="1036" t="str">
        <f t="shared" si="894"/>
        <v/>
      </c>
      <c r="G2549" s="1037" t="str">
        <f t="shared" si="889"/>
        <v/>
      </c>
      <c r="H2549" s="225"/>
      <c r="I2549" s="1013"/>
      <c r="J2549" s="1013"/>
      <c r="K2549" s="1028"/>
      <c r="L2549" s="1035" t="str">
        <f t="shared" si="893"/>
        <v/>
      </c>
      <c r="S2549" s="498"/>
      <c r="AJ2549" s="498"/>
      <c r="AM2549" s="498">
        <f t="shared" si="874"/>
        <v>0</v>
      </c>
      <c r="AN2549" s="498">
        <f t="shared" si="875"/>
        <v>0</v>
      </c>
      <c r="AO2549" s="498">
        <f t="shared" si="876"/>
        <v>0</v>
      </c>
      <c r="AP2549" s="498">
        <f t="shared" si="895"/>
        <v>0</v>
      </c>
      <c r="AQ2549" s="498">
        <f t="shared" si="890"/>
        <v>0</v>
      </c>
      <c r="AU2549" s="498">
        <f t="shared" si="877"/>
        <v>0</v>
      </c>
      <c r="AV2549" s="498">
        <f t="shared" si="878"/>
        <v>0</v>
      </c>
      <c r="AW2549" s="498">
        <f t="shared" si="879"/>
        <v>0</v>
      </c>
      <c r="AX2549" s="498">
        <f t="shared" si="880"/>
        <v>0</v>
      </c>
      <c r="AY2549" s="498">
        <f t="shared" si="881"/>
        <v>0</v>
      </c>
      <c r="BB2549" s="498" t="str">
        <f t="shared" si="882"/>
        <v/>
      </c>
      <c r="BC2549" s="743" t="str">
        <f t="shared" si="883"/>
        <v/>
      </c>
      <c r="BD2549" s="743" t="str">
        <f t="shared" si="884"/>
        <v/>
      </c>
      <c r="BE2549" s="743" t="str">
        <f>IF(D2549="","",VLOOKUP(D2549,'General Basis'!$J$39:$K$46,2,0))</f>
        <v/>
      </c>
      <c r="BF2549" s="744" t="str">
        <f>IF(D2549="","",VLOOKUP(D2549,'General Basis'!$J$39:$L$46,3,0))</f>
        <v/>
      </c>
      <c r="BG2549" s="744" t="str">
        <f t="shared" si="891"/>
        <v/>
      </c>
      <c r="BH2549" s="744" t="str">
        <f>IF(G2549="","",IF(BF2549="Abu Dhabi",IF(G2549&lt;18,'General Basis'!$C$39,IF(G2549&lt;41,'General Basis'!$C$40,IF(G2549&lt;60,'General Basis'!$C$41,IF(G2549&lt;65,'General Basis'!$C$42,'General Basis'!$C$43)))),IF(G2549&lt;11,'General Basis'!$B$39,IF(G2549&lt;18,'General Basis'!$B$40,IF(G2549&lt;26,'General Basis'!$B$41,IF(G2549&lt;31,'General Basis'!$B$42,IF(G2549&lt;36,'General Basis'!$B$43,IF(G2549&lt;41,'General Basis'!$B$44,IF(G2549&lt;46,'General Basis'!$B$45,IF(G2549&lt;51,'General Basis'!$B$46,IF(G2549&lt;56,'General Basis'!$B$47,IF(G2549&lt;60,'General Basis'!$B$48,IF(G2549&lt;65,'General Basis'!$B$49,'General Basis'!$B$50)))))))))))))</f>
        <v/>
      </c>
      <c r="BI2549" s="744" t="str">
        <f t="shared" si="885"/>
        <v/>
      </c>
      <c r="BJ2549" s="747" t="str">
        <f t="shared" si="892"/>
        <v/>
      </c>
      <c r="BK2549" s="498" t="str">
        <f t="shared" si="886"/>
        <v/>
      </c>
      <c r="BL2549" s="498" t="str">
        <f t="shared" si="887"/>
        <v/>
      </c>
    </row>
    <row r="2550" spans="1:64" x14ac:dyDescent="0.25">
      <c r="A2550" s="762">
        <f t="shared" si="888"/>
        <v>2545</v>
      </c>
      <c r="B2550" s="229"/>
      <c r="C2550" s="223"/>
      <c r="D2550" s="224"/>
      <c r="E2550" s="225"/>
      <c r="F2550" s="1036" t="str">
        <f t="shared" si="894"/>
        <v/>
      </c>
      <c r="G2550" s="1037" t="str">
        <f t="shared" si="889"/>
        <v/>
      </c>
      <c r="H2550" s="225"/>
      <c r="I2550" s="1013"/>
      <c r="J2550" s="1013"/>
      <c r="K2550" s="1028"/>
      <c r="L2550" s="1035" t="str">
        <f t="shared" si="893"/>
        <v/>
      </c>
      <c r="S2550" s="498"/>
      <c r="AJ2550" s="498"/>
      <c r="AM2550" s="498">
        <f t="shared" si="874"/>
        <v>0</v>
      </c>
      <c r="AN2550" s="498">
        <f t="shared" si="875"/>
        <v>0</v>
      </c>
      <c r="AO2550" s="498">
        <f t="shared" si="876"/>
        <v>0</v>
      </c>
      <c r="AP2550" s="498">
        <f t="shared" si="895"/>
        <v>0</v>
      </c>
      <c r="AQ2550" s="498">
        <f t="shared" si="890"/>
        <v>0</v>
      </c>
      <c r="AU2550" s="498">
        <f t="shared" si="877"/>
        <v>0</v>
      </c>
      <c r="AV2550" s="498">
        <f t="shared" si="878"/>
        <v>0</v>
      </c>
      <c r="AW2550" s="498">
        <f t="shared" si="879"/>
        <v>0</v>
      </c>
      <c r="AX2550" s="498">
        <f t="shared" si="880"/>
        <v>0</v>
      </c>
      <c r="AY2550" s="498">
        <f t="shared" si="881"/>
        <v>0</v>
      </c>
      <c r="BB2550" s="498" t="str">
        <f t="shared" si="882"/>
        <v/>
      </c>
      <c r="BC2550" s="743" t="str">
        <f t="shared" si="883"/>
        <v/>
      </c>
      <c r="BD2550" s="743" t="str">
        <f t="shared" si="884"/>
        <v/>
      </c>
      <c r="BE2550" s="743" t="str">
        <f>IF(D2550="","",VLOOKUP(D2550,'General Basis'!$J$39:$K$46,2,0))</f>
        <v/>
      </c>
      <c r="BF2550" s="744" t="str">
        <f>IF(D2550="","",VLOOKUP(D2550,'General Basis'!$J$39:$L$46,3,0))</f>
        <v/>
      </c>
      <c r="BG2550" s="744" t="str">
        <f t="shared" si="891"/>
        <v/>
      </c>
      <c r="BH2550" s="744" t="str">
        <f>IF(G2550="","",IF(BF2550="Abu Dhabi",IF(G2550&lt;18,'General Basis'!$C$39,IF(G2550&lt;41,'General Basis'!$C$40,IF(G2550&lt;60,'General Basis'!$C$41,IF(G2550&lt;65,'General Basis'!$C$42,'General Basis'!$C$43)))),IF(G2550&lt;11,'General Basis'!$B$39,IF(G2550&lt;18,'General Basis'!$B$40,IF(G2550&lt;26,'General Basis'!$B$41,IF(G2550&lt;31,'General Basis'!$B$42,IF(G2550&lt;36,'General Basis'!$B$43,IF(G2550&lt;41,'General Basis'!$B$44,IF(G2550&lt;46,'General Basis'!$B$45,IF(G2550&lt;51,'General Basis'!$B$46,IF(G2550&lt;56,'General Basis'!$B$47,IF(G2550&lt;60,'General Basis'!$B$48,IF(G2550&lt;65,'General Basis'!$B$49,'General Basis'!$B$50)))))))))))))</f>
        <v/>
      </c>
      <c r="BI2550" s="744" t="str">
        <f t="shared" si="885"/>
        <v/>
      </c>
      <c r="BJ2550" s="747" t="str">
        <f t="shared" si="892"/>
        <v/>
      </c>
      <c r="BK2550" s="498" t="str">
        <f t="shared" si="886"/>
        <v/>
      </c>
      <c r="BL2550" s="498" t="str">
        <f t="shared" si="887"/>
        <v/>
      </c>
    </row>
    <row r="2551" spans="1:64" x14ac:dyDescent="0.25">
      <c r="A2551" s="762">
        <f t="shared" si="888"/>
        <v>2546</v>
      </c>
      <c r="B2551" s="229"/>
      <c r="C2551" s="223"/>
      <c r="D2551" s="224"/>
      <c r="E2551" s="225"/>
      <c r="F2551" s="1036" t="str">
        <f t="shared" si="894"/>
        <v/>
      </c>
      <c r="G2551" s="1037" t="str">
        <f t="shared" si="889"/>
        <v/>
      </c>
      <c r="H2551" s="225"/>
      <c r="I2551" s="1013"/>
      <c r="J2551" s="1013"/>
      <c r="K2551" s="1028"/>
      <c r="L2551" s="1035" t="str">
        <f t="shared" si="893"/>
        <v/>
      </c>
      <c r="S2551" s="498"/>
      <c r="AJ2551" s="498"/>
      <c r="AM2551" s="498">
        <f t="shared" si="874"/>
        <v>0</v>
      </c>
      <c r="AN2551" s="498">
        <f t="shared" si="875"/>
        <v>0</v>
      </c>
      <c r="AO2551" s="498">
        <f t="shared" si="876"/>
        <v>0</v>
      </c>
      <c r="AP2551" s="498">
        <f t="shared" si="895"/>
        <v>0</v>
      </c>
      <c r="AQ2551" s="498">
        <f t="shared" si="890"/>
        <v>0</v>
      </c>
      <c r="AU2551" s="498">
        <f t="shared" si="877"/>
        <v>0</v>
      </c>
      <c r="AV2551" s="498">
        <f t="shared" si="878"/>
        <v>0</v>
      </c>
      <c r="AW2551" s="498">
        <f t="shared" si="879"/>
        <v>0</v>
      </c>
      <c r="AX2551" s="498">
        <f t="shared" si="880"/>
        <v>0</v>
      </c>
      <c r="AY2551" s="498">
        <f t="shared" si="881"/>
        <v>0</v>
      </c>
      <c r="BB2551" s="498" t="str">
        <f t="shared" si="882"/>
        <v/>
      </c>
      <c r="BC2551" s="743" t="str">
        <f t="shared" si="883"/>
        <v/>
      </c>
      <c r="BD2551" s="743" t="str">
        <f t="shared" si="884"/>
        <v/>
      </c>
      <c r="BE2551" s="743" t="str">
        <f>IF(D2551="","",VLOOKUP(D2551,'General Basis'!$J$39:$K$46,2,0))</f>
        <v/>
      </c>
      <c r="BF2551" s="744" t="str">
        <f>IF(D2551="","",VLOOKUP(D2551,'General Basis'!$J$39:$L$46,3,0))</f>
        <v/>
      </c>
      <c r="BG2551" s="744" t="str">
        <f t="shared" si="891"/>
        <v/>
      </c>
      <c r="BH2551" s="744" t="str">
        <f>IF(G2551="","",IF(BF2551="Abu Dhabi",IF(G2551&lt;18,'General Basis'!$C$39,IF(G2551&lt;41,'General Basis'!$C$40,IF(G2551&lt;60,'General Basis'!$C$41,IF(G2551&lt;65,'General Basis'!$C$42,'General Basis'!$C$43)))),IF(G2551&lt;11,'General Basis'!$B$39,IF(G2551&lt;18,'General Basis'!$B$40,IF(G2551&lt;26,'General Basis'!$B$41,IF(G2551&lt;31,'General Basis'!$B$42,IF(G2551&lt;36,'General Basis'!$B$43,IF(G2551&lt;41,'General Basis'!$B$44,IF(G2551&lt;46,'General Basis'!$B$45,IF(G2551&lt;51,'General Basis'!$B$46,IF(G2551&lt;56,'General Basis'!$B$47,IF(G2551&lt;60,'General Basis'!$B$48,IF(G2551&lt;65,'General Basis'!$B$49,'General Basis'!$B$50)))))))))))))</f>
        <v/>
      </c>
      <c r="BI2551" s="744" t="str">
        <f t="shared" si="885"/>
        <v/>
      </c>
      <c r="BJ2551" s="747" t="str">
        <f t="shared" si="892"/>
        <v/>
      </c>
      <c r="BK2551" s="498" t="str">
        <f t="shared" si="886"/>
        <v/>
      </c>
      <c r="BL2551" s="498" t="str">
        <f t="shared" si="887"/>
        <v/>
      </c>
    </row>
    <row r="2552" spans="1:64" x14ac:dyDescent="0.25">
      <c r="A2552" s="762">
        <f t="shared" si="888"/>
        <v>2547</v>
      </c>
      <c r="B2552" s="229"/>
      <c r="C2552" s="223"/>
      <c r="D2552" s="224"/>
      <c r="E2552" s="225"/>
      <c r="F2552" s="1036" t="str">
        <f t="shared" si="894"/>
        <v/>
      </c>
      <c r="G2552" s="1037" t="str">
        <f t="shared" si="889"/>
        <v/>
      </c>
      <c r="H2552" s="225"/>
      <c r="I2552" s="1013"/>
      <c r="J2552" s="1013"/>
      <c r="K2552" s="1028"/>
      <c r="L2552" s="1035" t="str">
        <f t="shared" si="893"/>
        <v/>
      </c>
      <c r="S2552" s="498"/>
      <c r="AJ2552" s="498"/>
      <c r="AM2552" s="498">
        <f t="shared" si="874"/>
        <v>0</v>
      </c>
      <c r="AN2552" s="498">
        <f t="shared" si="875"/>
        <v>0</v>
      </c>
      <c r="AO2552" s="498">
        <f t="shared" si="876"/>
        <v>0</v>
      </c>
      <c r="AP2552" s="498">
        <f t="shared" si="895"/>
        <v>0</v>
      </c>
      <c r="AQ2552" s="498">
        <f t="shared" si="890"/>
        <v>0</v>
      </c>
      <c r="AU2552" s="498">
        <f t="shared" si="877"/>
        <v>0</v>
      </c>
      <c r="AV2552" s="498">
        <f t="shared" si="878"/>
        <v>0</v>
      </c>
      <c r="AW2552" s="498">
        <f t="shared" si="879"/>
        <v>0</v>
      </c>
      <c r="AX2552" s="498">
        <f t="shared" si="880"/>
        <v>0</v>
      </c>
      <c r="AY2552" s="498">
        <f t="shared" si="881"/>
        <v>0</v>
      </c>
      <c r="BB2552" s="498" t="str">
        <f t="shared" si="882"/>
        <v/>
      </c>
      <c r="BC2552" s="743" t="str">
        <f t="shared" si="883"/>
        <v/>
      </c>
      <c r="BD2552" s="743" t="str">
        <f t="shared" si="884"/>
        <v/>
      </c>
      <c r="BE2552" s="743" t="str">
        <f>IF(D2552="","",VLOOKUP(D2552,'General Basis'!$J$39:$K$46,2,0))</f>
        <v/>
      </c>
      <c r="BF2552" s="744" t="str">
        <f>IF(D2552="","",VLOOKUP(D2552,'General Basis'!$J$39:$L$46,3,0))</f>
        <v/>
      </c>
      <c r="BG2552" s="744" t="str">
        <f t="shared" si="891"/>
        <v/>
      </c>
      <c r="BH2552" s="744" t="str">
        <f>IF(G2552="","",IF(BF2552="Abu Dhabi",IF(G2552&lt;18,'General Basis'!$C$39,IF(G2552&lt;41,'General Basis'!$C$40,IF(G2552&lt;60,'General Basis'!$C$41,IF(G2552&lt;65,'General Basis'!$C$42,'General Basis'!$C$43)))),IF(G2552&lt;11,'General Basis'!$B$39,IF(G2552&lt;18,'General Basis'!$B$40,IF(G2552&lt;26,'General Basis'!$B$41,IF(G2552&lt;31,'General Basis'!$B$42,IF(G2552&lt;36,'General Basis'!$B$43,IF(G2552&lt;41,'General Basis'!$B$44,IF(G2552&lt;46,'General Basis'!$B$45,IF(G2552&lt;51,'General Basis'!$B$46,IF(G2552&lt;56,'General Basis'!$B$47,IF(G2552&lt;60,'General Basis'!$B$48,IF(G2552&lt;65,'General Basis'!$B$49,'General Basis'!$B$50)))))))))))))</f>
        <v/>
      </c>
      <c r="BI2552" s="744" t="str">
        <f t="shared" si="885"/>
        <v/>
      </c>
      <c r="BJ2552" s="747" t="str">
        <f t="shared" si="892"/>
        <v/>
      </c>
      <c r="BK2552" s="498" t="str">
        <f t="shared" si="886"/>
        <v/>
      </c>
      <c r="BL2552" s="498" t="str">
        <f t="shared" si="887"/>
        <v/>
      </c>
    </row>
    <row r="2553" spans="1:64" x14ac:dyDescent="0.25">
      <c r="A2553" s="762">
        <f t="shared" si="888"/>
        <v>2548</v>
      </c>
      <c r="B2553" s="229"/>
      <c r="C2553" s="223"/>
      <c r="D2553" s="224"/>
      <c r="E2553" s="225"/>
      <c r="F2553" s="1036" t="str">
        <f t="shared" si="894"/>
        <v/>
      </c>
      <c r="G2553" s="1037" t="str">
        <f t="shared" si="889"/>
        <v/>
      </c>
      <c r="H2553" s="225"/>
      <c r="I2553" s="1013"/>
      <c r="J2553" s="1013"/>
      <c r="K2553" s="1028"/>
      <c r="L2553" s="1035" t="str">
        <f t="shared" si="893"/>
        <v/>
      </c>
      <c r="S2553" s="498"/>
      <c r="AJ2553" s="498"/>
      <c r="AM2553" s="498">
        <f t="shared" si="874"/>
        <v>0</v>
      </c>
      <c r="AN2553" s="498">
        <f t="shared" si="875"/>
        <v>0</v>
      </c>
      <c r="AO2553" s="498">
        <f t="shared" si="876"/>
        <v>0</v>
      </c>
      <c r="AP2553" s="498">
        <f t="shared" si="895"/>
        <v>0</v>
      </c>
      <c r="AQ2553" s="498">
        <f t="shared" si="890"/>
        <v>0</v>
      </c>
      <c r="AU2553" s="498">
        <f t="shared" si="877"/>
        <v>0</v>
      </c>
      <c r="AV2553" s="498">
        <f t="shared" si="878"/>
        <v>0</v>
      </c>
      <c r="AW2553" s="498">
        <f t="shared" si="879"/>
        <v>0</v>
      </c>
      <c r="AX2553" s="498">
        <f t="shared" si="880"/>
        <v>0</v>
      </c>
      <c r="AY2553" s="498">
        <f t="shared" si="881"/>
        <v>0</v>
      </c>
      <c r="BB2553" s="498" t="str">
        <f t="shared" si="882"/>
        <v/>
      </c>
      <c r="BC2553" s="743" t="str">
        <f t="shared" si="883"/>
        <v/>
      </c>
      <c r="BD2553" s="743" t="str">
        <f t="shared" si="884"/>
        <v/>
      </c>
      <c r="BE2553" s="743" t="str">
        <f>IF(D2553="","",VLOOKUP(D2553,'General Basis'!$J$39:$K$46,2,0))</f>
        <v/>
      </c>
      <c r="BF2553" s="744" t="str">
        <f>IF(D2553="","",VLOOKUP(D2553,'General Basis'!$J$39:$L$46,3,0))</f>
        <v/>
      </c>
      <c r="BG2553" s="744" t="str">
        <f t="shared" si="891"/>
        <v/>
      </c>
      <c r="BH2553" s="744" t="str">
        <f>IF(G2553="","",IF(BF2553="Abu Dhabi",IF(G2553&lt;18,'General Basis'!$C$39,IF(G2553&lt;41,'General Basis'!$C$40,IF(G2553&lt;60,'General Basis'!$C$41,IF(G2553&lt;65,'General Basis'!$C$42,'General Basis'!$C$43)))),IF(G2553&lt;11,'General Basis'!$B$39,IF(G2553&lt;18,'General Basis'!$B$40,IF(G2553&lt;26,'General Basis'!$B$41,IF(G2553&lt;31,'General Basis'!$B$42,IF(G2553&lt;36,'General Basis'!$B$43,IF(G2553&lt;41,'General Basis'!$B$44,IF(G2553&lt;46,'General Basis'!$B$45,IF(G2553&lt;51,'General Basis'!$B$46,IF(G2553&lt;56,'General Basis'!$B$47,IF(G2553&lt;60,'General Basis'!$B$48,IF(G2553&lt;65,'General Basis'!$B$49,'General Basis'!$B$50)))))))))))))</f>
        <v/>
      </c>
      <c r="BI2553" s="744" t="str">
        <f t="shared" si="885"/>
        <v/>
      </c>
      <c r="BJ2553" s="747" t="str">
        <f t="shared" si="892"/>
        <v/>
      </c>
      <c r="BK2553" s="498" t="str">
        <f t="shared" si="886"/>
        <v/>
      </c>
      <c r="BL2553" s="498" t="str">
        <f t="shared" si="887"/>
        <v/>
      </c>
    </row>
    <row r="2554" spans="1:64" x14ac:dyDescent="0.25">
      <c r="A2554" s="762">
        <f t="shared" si="888"/>
        <v>2549</v>
      </c>
      <c r="B2554" s="229"/>
      <c r="C2554" s="223"/>
      <c r="D2554" s="224"/>
      <c r="E2554" s="225"/>
      <c r="F2554" s="1036" t="str">
        <f t="shared" si="894"/>
        <v/>
      </c>
      <c r="G2554" s="1037" t="str">
        <f t="shared" si="889"/>
        <v/>
      </c>
      <c r="H2554" s="225"/>
      <c r="I2554" s="1013"/>
      <c r="J2554" s="1013"/>
      <c r="K2554" s="1028"/>
      <c r="L2554" s="1035" t="str">
        <f t="shared" si="893"/>
        <v/>
      </c>
      <c r="S2554" s="498"/>
      <c r="AJ2554" s="498"/>
      <c r="AM2554" s="498">
        <f t="shared" si="874"/>
        <v>0</v>
      </c>
      <c r="AN2554" s="498">
        <f t="shared" si="875"/>
        <v>0</v>
      </c>
      <c r="AO2554" s="498">
        <f t="shared" si="876"/>
        <v>0</v>
      </c>
      <c r="AP2554" s="498">
        <f t="shared" si="895"/>
        <v>0</v>
      </c>
      <c r="AQ2554" s="498">
        <f t="shared" si="890"/>
        <v>0</v>
      </c>
      <c r="AU2554" s="498">
        <f t="shared" si="877"/>
        <v>0</v>
      </c>
      <c r="AV2554" s="498">
        <f t="shared" si="878"/>
        <v>0</v>
      </c>
      <c r="AW2554" s="498">
        <f t="shared" si="879"/>
        <v>0</v>
      </c>
      <c r="AX2554" s="498">
        <f t="shared" si="880"/>
        <v>0</v>
      </c>
      <c r="AY2554" s="498">
        <f t="shared" si="881"/>
        <v>0</v>
      </c>
      <c r="BB2554" s="498" t="str">
        <f t="shared" si="882"/>
        <v/>
      </c>
      <c r="BC2554" s="743" t="str">
        <f t="shared" si="883"/>
        <v/>
      </c>
      <c r="BD2554" s="743" t="str">
        <f t="shared" si="884"/>
        <v/>
      </c>
      <c r="BE2554" s="743" t="str">
        <f>IF(D2554="","",VLOOKUP(D2554,'General Basis'!$J$39:$K$46,2,0))</f>
        <v/>
      </c>
      <c r="BF2554" s="744" t="str">
        <f>IF(D2554="","",VLOOKUP(D2554,'General Basis'!$J$39:$L$46,3,0))</f>
        <v/>
      </c>
      <c r="BG2554" s="744" t="str">
        <f t="shared" si="891"/>
        <v/>
      </c>
      <c r="BH2554" s="744" t="str">
        <f>IF(G2554="","",IF(BF2554="Abu Dhabi",IF(G2554&lt;18,'General Basis'!$C$39,IF(G2554&lt;41,'General Basis'!$C$40,IF(G2554&lt;60,'General Basis'!$C$41,IF(G2554&lt;65,'General Basis'!$C$42,'General Basis'!$C$43)))),IF(G2554&lt;11,'General Basis'!$B$39,IF(G2554&lt;18,'General Basis'!$B$40,IF(G2554&lt;26,'General Basis'!$B$41,IF(G2554&lt;31,'General Basis'!$B$42,IF(G2554&lt;36,'General Basis'!$B$43,IF(G2554&lt;41,'General Basis'!$B$44,IF(G2554&lt;46,'General Basis'!$B$45,IF(G2554&lt;51,'General Basis'!$B$46,IF(G2554&lt;56,'General Basis'!$B$47,IF(G2554&lt;60,'General Basis'!$B$48,IF(G2554&lt;65,'General Basis'!$B$49,'General Basis'!$B$50)))))))))))))</f>
        <v/>
      </c>
      <c r="BI2554" s="744" t="str">
        <f t="shared" si="885"/>
        <v/>
      </c>
      <c r="BJ2554" s="747" t="str">
        <f t="shared" si="892"/>
        <v/>
      </c>
      <c r="BK2554" s="498" t="str">
        <f t="shared" si="886"/>
        <v/>
      </c>
      <c r="BL2554" s="498" t="str">
        <f t="shared" si="887"/>
        <v/>
      </c>
    </row>
    <row r="2555" spans="1:64" x14ac:dyDescent="0.25">
      <c r="A2555" s="762">
        <f t="shared" si="888"/>
        <v>2550</v>
      </c>
      <c r="B2555" s="229"/>
      <c r="C2555" s="223"/>
      <c r="D2555" s="224"/>
      <c r="E2555" s="225"/>
      <c r="F2555" s="1036" t="str">
        <f t="shared" si="894"/>
        <v/>
      </c>
      <c r="G2555" s="1037" t="str">
        <f t="shared" si="889"/>
        <v/>
      </c>
      <c r="H2555" s="225"/>
      <c r="I2555" s="1013"/>
      <c r="J2555" s="1013"/>
      <c r="K2555" s="1028"/>
      <c r="L2555" s="1035" t="str">
        <f t="shared" si="893"/>
        <v/>
      </c>
      <c r="S2555" s="498"/>
      <c r="AJ2555" s="498"/>
      <c r="AM2555" s="498">
        <f t="shared" si="874"/>
        <v>0</v>
      </c>
      <c r="AN2555" s="498">
        <f t="shared" si="875"/>
        <v>0</v>
      </c>
      <c r="AO2555" s="498">
        <f t="shared" si="876"/>
        <v>0</v>
      </c>
      <c r="AP2555" s="498">
        <f t="shared" si="895"/>
        <v>0</v>
      </c>
      <c r="AQ2555" s="498">
        <f t="shared" si="890"/>
        <v>0</v>
      </c>
      <c r="AU2555" s="498">
        <f t="shared" si="877"/>
        <v>0</v>
      </c>
      <c r="AV2555" s="498">
        <f t="shared" si="878"/>
        <v>0</v>
      </c>
      <c r="AW2555" s="498">
        <f t="shared" si="879"/>
        <v>0</v>
      </c>
      <c r="AX2555" s="498">
        <f t="shared" si="880"/>
        <v>0</v>
      </c>
      <c r="AY2555" s="498">
        <f t="shared" si="881"/>
        <v>0</v>
      </c>
      <c r="BB2555" s="498" t="str">
        <f t="shared" si="882"/>
        <v/>
      </c>
      <c r="BC2555" s="743" t="str">
        <f t="shared" si="883"/>
        <v/>
      </c>
      <c r="BD2555" s="743" t="str">
        <f t="shared" si="884"/>
        <v/>
      </c>
      <c r="BE2555" s="743" t="str">
        <f>IF(D2555="","",VLOOKUP(D2555,'General Basis'!$J$39:$K$46,2,0))</f>
        <v/>
      </c>
      <c r="BF2555" s="744" t="str">
        <f>IF(D2555="","",VLOOKUP(D2555,'General Basis'!$J$39:$L$46,3,0))</f>
        <v/>
      </c>
      <c r="BG2555" s="744" t="str">
        <f t="shared" si="891"/>
        <v/>
      </c>
      <c r="BH2555" s="744" t="str">
        <f>IF(G2555="","",IF(BF2555="Abu Dhabi",IF(G2555&lt;18,'General Basis'!$C$39,IF(G2555&lt;41,'General Basis'!$C$40,IF(G2555&lt;60,'General Basis'!$C$41,IF(G2555&lt;65,'General Basis'!$C$42,'General Basis'!$C$43)))),IF(G2555&lt;11,'General Basis'!$B$39,IF(G2555&lt;18,'General Basis'!$B$40,IF(G2555&lt;26,'General Basis'!$B$41,IF(G2555&lt;31,'General Basis'!$B$42,IF(G2555&lt;36,'General Basis'!$B$43,IF(G2555&lt;41,'General Basis'!$B$44,IF(G2555&lt;46,'General Basis'!$B$45,IF(G2555&lt;51,'General Basis'!$B$46,IF(G2555&lt;56,'General Basis'!$B$47,IF(G2555&lt;60,'General Basis'!$B$48,IF(G2555&lt;65,'General Basis'!$B$49,'General Basis'!$B$50)))))))))))))</f>
        <v/>
      </c>
      <c r="BI2555" s="744" t="str">
        <f t="shared" si="885"/>
        <v/>
      </c>
      <c r="BJ2555" s="747" t="str">
        <f t="shared" si="892"/>
        <v/>
      </c>
      <c r="BK2555" s="498" t="str">
        <f t="shared" si="886"/>
        <v/>
      </c>
      <c r="BL2555" s="498" t="str">
        <f t="shared" si="887"/>
        <v/>
      </c>
    </row>
    <row r="2556" spans="1:64" x14ac:dyDescent="0.25">
      <c r="A2556" s="762">
        <f t="shared" si="888"/>
        <v>2551</v>
      </c>
      <c r="B2556" s="229"/>
      <c r="C2556" s="223"/>
      <c r="D2556" s="224"/>
      <c r="E2556" s="225"/>
      <c r="F2556" s="1036" t="str">
        <f t="shared" si="894"/>
        <v/>
      </c>
      <c r="G2556" s="1037" t="str">
        <f t="shared" si="889"/>
        <v/>
      </c>
      <c r="H2556" s="225"/>
      <c r="I2556" s="1013"/>
      <c r="J2556" s="1013"/>
      <c r="K2556" s="1028"/>
      <c r="L2556" s="1035" t="str">
        <f t="shared" si="893"/>
        <v/>
      </c>
      <c r="S2556" s="498"/>
      <c r="AJ2556" s="498"/>
      <c r="AM2556" s="498">
        <f t="shared" si="874"/>
        <v>0</v>
      </c>
      <c r="AN2556" s="498">
        <f t="shared" si="875"/>
        <v>0</v>
      </c>
      <c r="AO2556" s="498">
        <f t="shared" si="876"/>
        <v>0</v>
      </c>
      <c r="AP2556" s="498">
        <f t="shared" si="895"/>
        <v>0</v>
      </c>
      <c r="AQ2556" s="498">
        <f t="shared" si="890"/>
        <v>0</v>
      </c>
      <c r="AU2556" s="498">
        <f t="shared" si="877"/>
        <v>0</v>
      </c>
      <c r="AV2556" s="498">
        <f t="shared" si="878"/>
        <v>0</v>
      </c>
      <c r="AW2556" s="498">
        <f t="shared" si="879"/>
        <v>0</v>
      </c>
      <c r="AX2556" s="498">
        <f t="shared" si="880"/>
        <v>0</v>
      </c>
      <c r="AY2556" s="498">
        <f t="shared" si="881"/>
        <v>0</v>
      </c>
      <c r="BB2556" s="498" t="str">
        <f t="shared" si="882"/>
        <v/>
      </c>
      <c r="BC2556" s="743" t="str">
        <f t="shared" si="883"/>
        <v/>
      </c>
      <c r="BD2556" s="743" t="str">
        <f t="shared" si="884"/>
        <v/>
      </c>
      <c r="BE2556" s="743" t="str">
        <f>IF(D2556="","",VLOOKUP(D2556,'General Basis'!$J$39:$K$46,2,0))</f>
        <v/>
      </c>
      <c r="BF2556" s="744" t="str">
        <f>IF(D2556="","",VLOOKUP(D2556,'General Basis'!$J$39:$L$46,3,0))</f>
        <v/>
      </c>
      <c r="BG2556" s="744" t="str">
        <f t="shared" si="891"/>
        <v/>
      </c>
      <c r="BH2556" s="744" t="str">
        <f>IF(G2556="","",IF(BF2556="Abu Dhabi",IF(G2556&lt;18,'General Basis'!$C$39,IF(G2556&lt;41,'General Basis'!$C$40,IF(G2556&lt;60,'General Basis'!$C$41,IF(G2556&lt;65,'General Basis'!$C$42,'General Basis'!$C$43)))),IF(G2556&lt;11,'General Basis'!$B$39,IF(G2556&lt;18,'General Basis'!$B$40,IF(G2556&lt;26,'General Basis'!$B$41,IF(G2556&lt;31,'General Basis'!$B$42,IF(G2556&lt;36,'General Basis'!$B$43,IF(G2556&lt;41,'General Basis'!$B$44,IF(G2556&lt;46,'General Basis'!$B$45,IF(G2556&lt;51,'General Basis'!$B$46,IF(G2556&lt;56,'General Basis'!$B$47,IF(G2556&lt;60,'General Basis'!$B$48,IF(G2556&lt;65,'General Basis'!$B$49,'General Basis'!$B$50)))))))))))))</f>
        <v/>
      </c>
      <c r="BI2556" s="744" t="str">
        <f t="shared" si="885"/>
        <v/>
      </c>
      <c r="BJ2556" s="747" t="str">
        <f t="shared" si="892"/>
        <v/>
      </c>
      <c r="BK2556" s="498" t="str">
        <f t="shared" si="886"/>
        <v/>
      </c>
      <c r="BL2556" s="498" t="str">
        <f t="shared" si="887"/>
        <v/>
      </c>
    </row>
    <row r="2557" spans="1:64" x14ac:dyDescent="0.25">
      <c r="A2557" s="762">
        <f t="shared" si="888"/>
        <v>2552</v>
      </c>
      <c r="B2557" s="229"/>
      <c r="C2557" s="223"/>
      <c r="D2557" s="224"/>
      <c r="E2557" s="225"/>
      <c r="F2557" s="1036" t="str">
        <f t="shared" si="894"/>
        <v/>
      </c>
      <c r="G2557" s="1037" t="str">
        <f t="shared" si="889"/>
        <v/>
      </c>
      <c r="H2557" s="225"/>
      <c r="I2557" s="1013"/>
      <c r="J2557" s="1013"/>
      <c r="K2557" s="1028"/>
      <c r="L2557" s="1035" t="str">
        <f t="shared" si="893"/>
        <v/>
      </c>
      <c r="S2557" s="498"/>
      <c r="AJ2557" s="498"/>
      <c r="AM2557" s="498">
        <f t="shared" si="874"/>
        <v>0</v>
      </c>
      <c r="AN2557" s="498">
        <f t="shared" si="875"/>
        <v>0</v>
      </c>
      <c r="AO2557" s="498">
        <f t="shared" si="876"/>
        <v>0</v>
      </c>
      <c r="AP2557" s="498">
        <f t="shared" si="895"/>
        <v>0</v>
      </c>
      <c r="AQ2557" s="498">
        <f t="shared" si="890"/>
        <v>0</v>
      </c>
      <c r="AU2557" s="498">
        <f t="shared" si="877"/>
        <v>0</v>
      </c>
      <c r="AV2557" s="498">
        <f t="shared" si="878"/>
        <v>0</v>
      </c>
      <c r="AW2557" s="498">
        <f t="shared" si="879"/>
        <v>0</v>
      </c>
      <c r="AX2557" s="498">
        <f t="shared" si="880"/>
        <v>0</v>
      </c>
      <c r="AY2557" s="498">
        <f t="shared" si="881"/>
        <v>0</v>
      </c>
      <c r="BB2557" s="498" t="str">
        <f t="shared" si="882"/>
        <v/>
      </c>
      <c r="BC2557" s="743" t="str">
        <f t="shared" si="883"/>
        <v/>
      </c>
      <c r="BD2557" s="743" t="str">
        <f t="shared" si="884"/>
        <v/>
      </c>
      <c r="BE2557" s="743" t="str">
        <f>IF(D2557="","",VLOOKUP(D2557,'General Basis'!$J$39:$K$46,2,0))</f>
        <v/>
      </c>
      <c r="BF2557" s="744" t="str">
        <f>IF(D2557="","",VLOOKUP(D2557,'General Basis'!$J$39:$L$46,3,0))</f>
        <v/>
      </c>
      <c r="BG2557" s="744" t="str">
        <f t="shared" si="891"/>
        <v/>
      </c>
      <c r="BH2557" s="744" t="str">
        <f>IF(G2557="","",IF(BF2557="Abu Dhabi",IF(G2557&lt;18,'General Basis'!$C$39,IF(G2557&lt;41,'General Basis'!$C$40,IF(G2557&lt;60,'General Basis'!$C$41,IF(G2557&lt;65,'General Basis'!$C$42,'General Basis'!$C$43)))),IF(G2557&lt;11,'General Basis'!$B$39,IF(G2557&lt;18,'General Basis'!$B$40,IF(G2557&lt;26,'General Basis'!$B$41,IF(G2557&lt;31,'General Basis'!$B$42,IF(G2557&lt;36,'General Basis'!$B$43,IF(G2557&lt;41,'General Basis'!$B$44,IF(G2557&lt;46,'General Basis'!$B$45,IF(G2557&lt;51,'General Basis'!$B$46,IF(G2557&lt;56,'General Basis'!$B$47,IF(G2557&lt;60,'General Basis'!$B$48,IF(G2557&lt;65,'General Basis'!$B$49,'General Basis'!$B$50)))))))))))))</f>
        <v/>
      </c>
      <c r="BI2557" s="744" t="str">
        <f t="shared" si="885"/>
        <v/>
      </c>
      <c r="BJ2557" s="747" t="str">
        <f t="shared" si="892"/>
        <v/>
      </c>
      <c r="BK2557" s="498" t="str">
        <f t="shared" si="886"/>
        <v/>
      </c>
      <c r="BL2557" s="498" t="str">
        <f t="shared" si="887"/>
        <v/>
      </c>
    </row>
    <row r="2558" spans="1:64" x14ac:dyDescent="0.25">
      <c r="A2558" s="762">
        <f t="shared" si="888"/>
        <v>2553</v>
      </c>
      <c r="B2558" s="229"/>
      <c r="C2558" s="223"/>
      <c r="D2558" s="224"/>
      <c r="E2558" s="225"/>
      <c r="F2558" s="1036" t="str">
        <f t="shared" si="894"/>
        <v/>
      </c>
      <c r="G2558" s="1037" t="str">
        <f t="shared" si="889"/>
        <v/>
      </c>
      <c r="H2558" s="225"/>
      <c r="I2558" s="1013"/>
      <c r="J2558" s="1013"/>
      <c r="K2558" s="1028"/>
      <c r="L2558" s="1035" t="str">
        <f t="shared" si="893"/>
        <v/>
      </c>
      <c r="S2558" s="498"/>
      <c r="AJ2558" s="498"/>
      <c r="AM2558" s="498">
        <f t="shared" si="874"/>
        <v>0</v>
      </c>
      <c r="AN2558" s="498">
        <f t="shared" si="875"/>
        <v>0</v>
      </c>
      <c r="AO2558" s="498">
        <f t="shared" si="876"/>
        <v>0</v>
      </c>
      <c r="AP2558" s="498">
        <f t="shared" si="895"/>
        <v>0</v>
      </c>
      <c r="AQ2558" s="498">
        <f t="shared" si="890"/>
        <v>0</v>
      </c>
      <c r="AU2558" s="498">
        <f t="shared" si="877"/>
        <v>0</v>
      </c>
      <c r="AV2558" s="498">
        <f t="shared" si="878"/>
        <v>0</v>
      </c>
      <c r="AW2558" s="498">
        <f t="shared" si="879"/>
        <v>0</v>
      </c>
      <c r="AX2558" s="498">
        <f t="shared" si="880"/>
        <v>0</v>
      </c>
      <c r="AY2558" s="498">
        <f t="shared" si="881"/>
        <v>0</v>
      </c>
      <c r="BB2558" s="498" t="str">
        <f t="shared" si="882"/>
        <v/>
      </c>
      <c r="BC2558" s="743" t="str">
        <f t="shared" si="883"/>
        <v/>
      </c>
      <c r="BD2558" s="743" t="str">
        <f t="shared" si="884"/>
        <v/>
      </c>
      <c r="BE2558" s="743" t="str">
        <f>IF(D2558="","",VLOOKUP(D2558,'General Basis'!$J$39:$K$46,2,0))</f>
        <v/>
      </c>
      <c r="BF2558" s="744" t="str">
        <f>IF(D2558="","",VLOOKUP(D2558,'General Basis'!$J$39:$L$46,3,0))</f>
        <v/>
      </c>
      <c r="BG2558" s="744" t="str">
        <f t="shared" si="891"/>
        <v/>
      </c>
      <c r="BH2558" s="744" t="str">
        <f>IF(G2558="","",IF(BF2558="Abu Dhabi",IF(G2558&lt;18,'General Basis'!$C$39,IF(G2558&lt;41,'General Basis'!$C$40,IF(G2558&lt;60,'General Basis'!$C$41,IF(G2558&lt;65,'General Basis'!$C$42,'General Basis'!$C$43)))),IF(G2558&lt;11,'General Basis'!$B$39,IF(G2558&lt;18,'General Basis'!$B$40,IF(G2558&lt;26,'General Basis'!$B$41,IF(G2558&lt;31,'General Basis'!$B$42,IF(G2558&lt;36,'General Basis'!$B$43,IF(G2558&lt;41,'General Basis'!$B$44,IF(G2558&lt;46,'General Basis'!$B$45,IF(G2558&lt;51,'General Basis'!$B$46,IF(G2558&lt;56,'General Basis'!$B$47,IF(G2558&lt;60,'General Basis'!$B$48,IF(G2558&lt;65,'General Basis'!$B$49,'General Basis'!$B$50)))))))))))))</f>
        <v/>
      </c>
      <c r="BI2558" s="744" t="str">
        <f t="shared" si="885"/>
        <v/>
      </c>
      <c r="BJ2558" s="747" t="str">
        <f t="shared" si="892"/>
        <v/>
      </c>
      <c r="BK2558" s="498" t="str">
        <f t="shared" si="886"/>
        <v/>
      </c>
      <c r="BL2558" s="498" t="str">
        <f t="shared" si="887"/>
        <v/>
      </c>
    </row>
    <row r="2559" spans="1:64" x14ac:dyDescent="0.25">
      <c r="A2559" s="762">
        <f t="shared" si="888"/>
        <v>2554</v>
      </c>
      <c r="B2559" s="229"/>
      <c r="C2559" s="223"/>
      <c r="D2559" s="224"/>
      <c r="E2559" s="225"/>
      <c r="F2559" s="1036" t="str">
        <f t="shared" si="894"/>
        <v/>
      </c>
      <c r="G2559" s="1037" t="str">
        <f t="shared" si="889"/>
        <v/>
      </c>
      <c r="H2559" s="225"/>
      <c r="I2559" s="1013"/>
      <c r="J2559" s="1013"/>
      <c r="K2559" s="1028"/>
      <c r="L2559" s="1035" t="str">
        <f t="shared" si="893"/>
        <v/>
      </c>
      <c r="S2559" s="498"/>
      <c r="AJ2559" s="498"/>
      <c r="AM2559" s="498">
        <f t="shared" si="874"/>
        <v>0</v>
      </c>
      <c r="AN2559" s="498">
        <f t="shared" si="875"/>
        <v>0</v>
      </c>
      <c r="AO2559" s="498">
        <f t="shared" si="876"/>
        <v>0</v>
      </c>
      <c r="AP2559" s="498">
        <f t="shared" si="895"/>
        <v>0</v>
      </c>
      <c r="AQ2559" s="498">
        <f t="shared" si="890"/>
        <v>0</v>
      </c>
      <c r="AU2559" s="498">
        <f t="shared" si="877"/>
        <v>0</v>
      </c>
      <c r="AV2559" s="498">
        <f t="shared" si="878"/>
        <v>0</v>
      </c>
      <c r="AW2559" s="498">
        <f t="shared" si="879"/>
        <v>0</v>
      </c>
      <c r="AX2559" s="498">
        <f t="shared" si="880"/>
        <v>0</v>
      </c>
      <c r="AY2559" s="498">
        <f t="shared" si="881"/>
        <v>0</v>
      </c>
      <c r="BB2559" s="498" t="str">
        <f t="shared" si="882"/>
        <v/>
      </c>
      <c r="BC2559" s="743" t="str">
        <f t="shared" si="883"/>
        <v/>
      </c>
      <c r="BD2559" s="743" t="str">
        <f t="shared" si="884"/>
        <v/>
      </c>
      <c r="BE2559" s="743" t="str">
        <f>IF(D2559="","",VLOOKUP(D2559,'General Basis'!$J$39:$K$46,2,0))</f>
        <v/>
      </c>
      <c r="BF2559" s="744" t="str">
        <f>IF(D2559="","",VLOOKUP(D2559,'General Basis'!$J$39:$L$46,3,0))</f>
        <v/>
      </c>
      <c r="BG2559" s="744" t="str">
        <f t="shared" si="891"/>
        <v/>
      </c>
      <c r="BH2559" s="744" t="str">
        <f>IF(G2559="","",IF(BF2559="Abu Dhabi",IF(G2559&lt;18,'General Basis'!$C$39,IF(G2559&lt;41,'General Basis'!$C$40,IF(G2559&lt;60,'General Basis'!$C$41,IF(G2559&lt;65,'General Basis'!$C$42,'General Basis'!$C$43)))),IF(G2559&lt;11,'General Basis'!$B$39,IF(G2559&lt;18,'General Basis'!$B$40,IF(G2559&lt;26,'General Basis'!$B$41,IF(G2559&lt;31,'General Basis'!$B$42,IF(G2559&lt;36,'General Basis'!$B$43,IF(G2559&lt;41,'General Basis'!$B$44,IF(G2559&lt;46,'General Basis'!$B$45,IF(G2559&lt;51,'General Basis'!$B$46,IF(G2559&lt;56,'General Basis'!$B$47,IF(G2559&lt;60,'General Basis'!$B$48,IF(G2559&lt;65,'General Basis'!$B$49,'General Basis'!$B$50)))))))))))))</f>
        <v/>
      </c>
      <c r="BI2559" s="744" t="str">
        <f t="shared" si="885"/>
        <v/>
      </c>
      <c r="BJ2559" s="747" t="str">
        <f t="shared" si="892"/>
        <v/>
      </c>
      <c r="BK2559" s="498" t="str">
        <f t="shared" si="886"/>
        <v/>
      </c>
      <c r="BL2559" s="498" t="str">
        <f t="shared" si="887"/>
        <v/>
      </c>
    </row>
    <row r="2560" spans="1:64" x14ac:dyDescent="0.25">
      <c r="A2560" s="762">
        <f t="shared" si="888"/>
        <v>2555</v>
      </c>
      <c r="B2560" s="229"/>
      <c r="C2560" s="223"/>
      <c r="D2560" s="224"/>
      <c r="E2560" s="225"/>
      <c r="F2560" s="1036" t="str">
        <f t="shared" si="894"/>
        <v/>
      </c>
      <c r="G2560" s="1037" t="str">
        <f t="shared" si="889"/>
        <v/>
      </c>
      <c r="H2560" s="225"/>
      <c r="I2560" s="1013"/>
      <c r="J2560" s="1013"/>
      <c r="K2560" s="1028"/>
      <c r="L2560" s="1035" t="str">
        <f t="shared" si="893"/>
        <v/>
      </c>
      <c r="S2560" s="498"/>
      <c r="AJ2560" s="498"/>
      <c r="AM2560" s="498">
        <f t="shared" si="874"/>
        <v>0</v>
      </c>
      <c r="AN2560" s="498">
        <f t="shared" si="875"/>
        <v>0</v>
      </c>
      <c r="AO2560" s="498">
        <f t="shared" si="876"/>
        <v>0</v>
      </c>
      <c r="AP2560" s="498">
        <f t="shared" si="895"/>
        <v>0</v>
      </c>
      <c r="AQ2560" s="498">
        <f t="shared" si="890"/>
        <v>0</v>
      </c>
      <c r="AU2560" s="498">
        <f t="shared" si="877"/>
        <v>0</v>
      </c>
      <c r="AV2560" s="498">
        <f t="shared" si="878"/>
        <v>0</v>
      </c>
      <c r="AW2560" s="498">
        <f t="shared" si="879"/>
        <v>0</v>
      </c>
      <c r="AX2560" s="498">
        <f t="shared" si="880"/>
        <v>0</v>
      </c>
      <c r="AY2560" s="498">
        <f t="shared" si="881"/>
        <v>0</v>
      </c>
      <c r="BB2560" s="498" t="str">
        <f t="shared" si="882"/>
        <v/>
      </c>
      <c r="BC2560" s="743" t="str">
        <f t="shared" si="883"/>
        <v/>
      </c>
      <c r="BD2560" s="743" t="str">
        <f t="shared" si="884"/>
        <v/>
      </c>
      <c r="BE2560" s="743" t="str">
        <f>IF(D2560="","",VLOOKUP(D2560,'General Basis'!$J$39:$K$46,2,0))</f>
        <v/>
      </c>
      <c r="BF2560" s="744" t="str">
        <f>IF(D2560="","",VLOOKUP(D2560,'General Basis'!$J$39:$L$46,3,0))</f>
        <v/>
      </c>
      <c r="BG2560" s="744" t="str">
        <f t="shared" si="891"/>
        <v/>
      </c>
      <c r="BH2560" s="744" t="str">
        <f>IF(G2560="","",IF(BF2560="Abu Dhabi",IF(G2560&lt;18,'General Basis'!$C$39,IF(G2560&lt;41,'General Basis'!$C$40,IF(G2560&lt;60,'General Basis'!$C$41,IF(G2560&lt;65,'General Basis'!$C$42,'General Basis'!$C$43)))),IF(G2560&lt;11,'General Basis'!$B$39,IF(G2560&lt;18,'General Basis'!$B$40,IF(G2560&lt;26,'General Basis'!$B$41,IF(G2560&lt;31,'General Basis'!$B$42,IF(G2560&lt;36,'General Basis'!$B$43,IF(G2560&lt;41,'General Basis'!$B$44,IF(G2560&lt;46,'General Basis'!$B$45,IF(G2560&lt;51,'General Basis'!$B$46,IF(G2560&lt;56,'General Basis'!$B$47,IF(G2560&lt;60,'General Basis'!$B$48,IF(G2560&lt;65,'General Basis'!$B$49,'General Basis'!$B$50)))))))))))))</f>
        <v/>
      </c>
      <c r="BI2560" s="744" t="str">
        <f t="shared" si="885"/>
        <v/>
      </c>
      <c r="BJ2560" s="747" t="str">
        <f t="shared" si="892"/>
        <v/>
      </c>
      <c r="BK2560" s="498" t="str">
        <f t="shared" si="886"/>
        <v/>
      </c>
      <c r="BL2560" s="498" t="str">
        <f t="shared" si="887"/>
        <v/>
      </c>
    </row>
    <row r="2561" spans="1:64" x14ac:dyDescent="0.25">
      <c r="A2561" s="762">
        <f t="shared" si="888"/>
        <v>2556</v>
      </c>
      <c r="B2561" s="229"/>
      <c r="C2561" s="223"/>
      <c r="D2561" s="224"/>
      <c r="E2561" s="225"/>
      <c r="F2561" s="1036" t="str">
        <f t="shared" si="894"/>
        <v/>
      </c>
      <c r="G2561" s="1037" t="str">
        <f t="shared" si="889"/>
        <v/>
      </c>
      <c r="H2561" s="225"/>
      <c r="I2561" s="1013"/>
      <c r="J2561" s="1013"/>
      <c r="K2561" s="1028"/>
      <c r="L2561" s="1035" t="str">
        <f t="shared" si="893"/>
        <v/>
      </c>
      <c r="S2561" s="498"/>
      <c r="AJ2561" s="498"/>
      <c r="AM2561" s="498">
        <f t="shared" si="874"/>
        <v>0</v>
      </c>
      <c r="AN2561" s="498">
        <f t="shared" si="875"/>
        <v>0</v>
      </c>
      <c r="AO2561" s="498">
        <f t="shared" si="876"/>
        <v>0</v>
      </c>
      <c r="AP2561" s="498">
        <f t="shared" si="895"/>
        <v>0</v>
      </c>
      <c r="AQ2561" s="498">
        <f t="shared" si="890"/>
        <v>0</v>
      </c>
      <c r="AU2561" s="498">
        <f t="shared" si="877"/>
        <v>0</v>
      </c>
      <c r="AV2561" s="498">
        <f t="shared" si="878"/>
        <v>0</v>
      </c>
      <c r="AW2561" s="498">
        <f t="shared" si="879"/>
        <v>0</v>
      </c>
      <c r="AX2561" s="498">
        <f t="shared" si="880"/>
        <v>0</v>
      </c>
      <c r="AY2561" s="498">
        <f t="shared" si="881"/>
        <v>0</v>
      </c>
      <c r="BB2561" s="498" t="str">
        <f t="shared" si="882"/>
        <v/>
      </c>
      <c r="BC2561" s="743" t="str">
        <f t="shared" si="883"/>
        <v/>
      </c>
      <c r="BD2561" s="743" t="str">
        <f t="shared" si="884"/>
        <v/>
      </c>
      <c r="BE2561" s="743" t="str">
        <f>IF(D2561="","",VLOOKUP(D2561,'General Basis'!$J$39:$K$46,2,0))</f>
        <v/>
      </c>
      <c r="BF2561" s="744" t="str">
        <f>IF(D2561="","",VLOOKUP(D2561,'General Basis'!$J$39:$L$46,3,0))</f>
        <v/>
      </c>
      <c r="BG2561" s="744" t="str">
        <f t="shared" si="891"/>
        <v/>
      </c>
      <c r="BH2561" s="744" t="str">
        <f>IF(G2561="","",IF(BF2561="Abu Dhabi",IF(G2561&lt;18,'General Basis'!$C$39,IF(G2561&lt;41,'General Basis'!$C$40,IF(G2561&lt;60,'General Basis'!$C$41,IF(G2561&lt;65,'General Basis'!$C$42,'General Basis'!$C$43)))),IF(G2561&lt;11,'General Basis'!$B$39,IF(G2561&lt;18,'General Basis'!$B$40,IF(G2561&lt;26,'General Basis'!$B$41,IF(G2561&lt;31,'General Basis'!$B$42,IF(G2561&lt;36,'General Basis'!$B$43,IF(G2561&lt;41,'General Basis'!$B$44,IF(G2561&lt;46,'General Basis'!$B$45,IF(G2561&lt;51,'General Basis'!$B$46,IF(G2561&lt;56,'General Basis'!$B$47,IF(G2561&lt;60,'General Basis'!$B$48,IF(G2561&lt;65,'General Basis'!$B$49,'General Basis'!$B$50)))))))))))))</f>
        <v/>
      </c>
      <c r="BI2561" s="744" t="str">
        <f t="shared" si="885"/>
        <v/>
      </c>
      <c r="BJ2561" s="747" t="str">
        <f t="shared" si="892"/>
        <v/>
      </c>
      <c r="BK2561" s="498" t="str">
        <f t="shared" si="886"/>
        <v/>
      </c>
      <c r="BL2561" s="498" t="str">
        <f t="shared" si="887"/>
        <v/>
      </c>
    </row>
    <row r="2562" spans="1:64" x14ac:dyDescent="0.25">
      <c r="A2562" s="762">
        <f t="shared" si="888"/>
        <v>2557</v>
      </c>
      <c r="B2562" s="229"/>
      <c r="C2562" s="223"/>
      <c r="D2562" s="224"/>
      <c r="E2562" s="225"/>
      <c r="F2562" s="1036" t="str">
        <f t="shared" si="894"/>
        <v/>
      </c>
      <c r="G2562" s="1037" t="str">
        <f t="shared" si="889"/>
        <v/>
      </c>
      <c r="H2562" s="225"/>
      <c r="I2562" s="1013"/>
      <c r="J2562" s="1013"/>
      <c r="K2562" s="1028"/>
      <c r="L2562" s="1035" t="str">
        <f t="shared" si="893"/>
        <v/>
      </c>
      <c r="S2562" s="498"/>
      <c r="AJ2562" s="498"/>
      <c r="AM2562" s="498">
        <f t="shared" si="874"/>
        <v>0</v>
      </c>
      <c r="AN2562" s="498">
        <f t="shared" si="875"/>
        <v>0</v>
      </c>
      <c r="AO2562" s="498">
        <f t="shared" si="876"/>
        <v>0</v>
      </c>
      <c r="AP2562" s="498">
        <f t="shared" si="895"/>
        <v>0</v>
      </c>
      <c r="AQ2562" s="498">
        <f t="shared" si="890"/>
        <v>0</v>
      </c>
      <c r="AU2562" s="498">
        <f t="shared" si="877"/>
        <v>0</v>
      </c>
      <c r="AV2562" s="498">
        <f t="shared" si="878"/>
        <v>0</v>
      </c>
      <c r="AW2562" s="498">
        <f t="shared" si="879"/>
        <v>0</v>
      </c>
      <c r="AX2562" s="498">
        <f t="shared" si="880"/>
        <v>0</v>
      </c>
      <c r="AY2562" s="498">
        <f t="shared" si="881"/>
        <v>0</v>
      </c>
      <c r="BB2562" s="498" t="str">
        <f t="shared" si="882"/>
        <v/>
      </c>
      <c r="BC2562" s="743" t="str">
        <f t="shared" si="883"/>
        <v/>
      </c>
      <c r="BD2562" s="743" t="str">
        <f t="shared" si="884"/>
        <v/>
      </c>
      <c r="BE2562" s="743" t="str">
        <f>IF(D2562="","",VLOOKUP(D2562,'General Basis'!$J$39:$K$46,2,0))</f>
        <v/>
      </c>
      <c r="BF2562" s="744" t="str">
        <f>IF(D2562="","",VLOOKUP(D2562,'General Basis'!$J$39:$L$46,3,0))</f>
        <v/>
      </c>
      <c r="BG2562" s="744" t="str">
        <f t="shared" si="891"/>
        <v/>
      </c>
      <c r="BH2562" s="744" t="str">
        <f>IF(G2562="","",IF(BF2562="Abu Dhabi",IF(G2562&lt;18,'General Basis'!$C$39,IF(G2562&lt;41,'General Basis'!$C$40,IF(G2562&lt;60,'General Basis'!$C$41,IF(G2562&lt;65,'General Basis'!$C$42,'General Basis'!$C$43)))),IF(G2562&lt;11,'General Basis'!$B$39,IF(G2562&lt;18,'General Basis'!$B$40,IF(G2562&lt;26,'General Basis'!$B$41,IF(G2562&lt;31,'General Basis'!$B$42,IF(G2562&lt;36,'General Basis'!$B$43,IF(G2562&lt;41,'General Basis'!$B$44,IF(G2562&lt;46,'General Basis'!$B$45,IF(G2562&lt;51,'General Basis'!$B$46,IF(G2562&lt;56,'General Basis'!$B$47,IF(G2562&lt;60,'General Basis'!$B$48,IF(G2562&lt;65,'General Basis'!$B$49,'General Basis'!$B$50)))))))))))))</f>
        <v/>
      </c>
      <c r="BI2562" s="744" t="str">
        <f t="shared" si="885"/>
        <v/>
      </c>
      <c r="BJ2562" s="747" t="str">
        <f t="shared" si="892"/>
        <v/>
      </c>
      <c r="BK2562" s="498" t="str">
        <f t="shared" si="886"/>
        <v/>
      </c>
      <c r="BL2562" s="498" t="str">
        <f t="shared" si="887"/>
        <v/>
      </c>
    </row>
    <row r="2563" spans="1:64" x14ac:dyDescent="0.25">
      <c r="A2563" s="762">
        <f t="shared" si="888"/>
        <v>2558</v>
      </c>
      <c r="B2563" s="229"/>
      <c r="C2563" s="223"/>
      <c r="D2563" s="224"/>
      <c r="E2563" s="225"/>
      <c r="F2563" s="1036" t="str">
        <f t="shared" si="894"/>
        <v/>
      </c>
      <c r="G2563" s="1037" t="str">
        <f t="shared" si="889"/>
        <v/>
      </c>
      <c r="H2563" s="225"/>
      <c r="I2563" s="1013"/>
      <c r="J2563" s="1013"/>
      <c r="K2563" s="1028"/>
      <c r="L2563" s="1035" t="str">
        <f t="shared" si="893"/>
        <v/>
      </c>
      <c r="S2563" s="498"/>
      <c r="AJ2563" s="498"/>
      <c r="AM2563" s="498">
        <f t="shared" si="874"/>
        <v>0</v>
      </c>
      <c r="AN2563" s="498">
        <f t="shared" si="875"/>
        <v>0</v>
      </c>
      <c r="AO2563" s="498">
        <f t="shared" si="876"/>
        <v>0</v>
      </c>
      <c r="AP2563" s="498">
        <f t="shared" si="895"/>
        <v>0</v>
      </c>
      <c r="AQ2563" s="498">
        <f t="shared" si="890"/>
        <v>0</v>
      </c>
      <c r="AU2563" s="498">
        <f t="shared" si="877"/>
        <v>0</v>
      </c>
      <c r="AV2563" s="498">
        <f t="shared" si="878"/>
        <v>0</v>
      </c>
      <c r="AW2563" s="498">
        <f t="shared" si="879"/>
        <v>0</v>
      </c>
      <c r="AX2563" s="498">
        <f t="shared" si="880"/>
        <v>0</v>
      </c>
      <c r="AY2563" s="498">
        <f t="shared" si="881"/>
        <v>0</v>
      </c>
      <c r="BB2563" s="498" t="str">
        <f t="shared" si="882"/>
        <v/>
      </c>
      <c r="BC2563" s="743" t="str">
        <f t="shared" si="883"/>
        <v/>
      </c>
      <c r="BD2563" s="743" t="str">
        <f t="shared" si="884"/>
        <v/>
      </c>
      <c r="BE2563" s="743" t="str">
        <f>IF(D2563="","",VLOOKUP(D2563,'General Basis'!$J$39:$K$46,2,0))</f>
        <v/>
      </c>
      <c r="BF2563" s="744" t="str">
        <f>IF(D2563="","",VLOOKUP(D2563,'General Basis'!$J$39:$L$46,3,0))</f>
        <v/>
      </c>
      <c r="BG2563" s="744" t="str">
        <f t="shared" si="891"/>
        <v/>
      </c>
      <c r="BH2563" s="744" t="str">
        <f>IF(G2563="","",IF(BF2563="Abu Dhabi",IF(G2563&lt;18,'General Basis'!$C$39,IF(G2563&lt;41,'General Basis'!$C$40,IF(G2563&lt;60,'General Basis'!$C$41,IF(G2563&lt;65,'General Basis'!$C$42,'General Basis'!$C$43)))),IF(G2563&lt;11,'General Basis'!$B$39,IF(G2563&lt;18,'General Basis'!$B$40,IF(G2563&lt;26,'General Basis'!$B$41,IF(G2563&lt;31,'General Basis'!$B$42,IF(G2563&lt;36,'General Basis'!$B$43,IF(G2563&lt;41,'General Basis'!$B$44,IF(G2563&lt;46,'General Basis'!$B$45,IF(G2563&lt;51,'General Basis'!$B$46,IF(G2563&lt;56,'General Basis'!$B$47,IF(G2563&lt;60,'General Basis'!$B$48,IF(G2563&lt;65,'General Basis'!$B$49,'General Basis'!$B$50)))))))))))))</f>
        <v/>
      </c>
      <c r="BI2563" s="744" t="str">
        <f t="shared" si="885"/>
        <v/>
      </c>
      <c r="BJ2563" s="747" t="str">
        <f t="shared" si="892"/>
        <v/>
      </c>
      <c r="BK2563" s="498" t="str">
        <f t="shared" si="886"/>
        <v/>
      </c>
      <c r="BL2563" s="498" t="str">
        <f t="shared" si="887"/>
        <v/>
      </c>
    </row>
    <row r="2564" spans="1:64" x14ac:dyDescent="0.25">
      <c r="A2564" s="762">
        <f t="shared" si="888"/>
        <v>2559</v>
      </c>
      <c r="B2564" s="229"/>
      <c r="C2564" s="223"/>
      <c r="D2564" s="224"/>
      <c r="E2564" s="225"/>
      <c r="F2564" s="1036" t="str">
        <f t="shared" si="894"/>
        <v/>
      </c>
      <c r="G2564" s="1037" t="str">
        <f t="shared" si="889"/>
        <v/>
      </c>
      <c r="H2564" s="225"/>
      <c r="I2564" s="1013"/>
      <c r="J2564" s="1013"/>
      <c r="K2564" s="1028"/>
      <c r="L2564" s="1035" t="str">
        <f t="shared" si="893"/>
        <v/>
      </c>
      <c r="S2564" s="498"/>
      <c r="AJ2564" s="498"/>
      <c r="AM2564" s="498">
        <f t="shared" si="874"/>
        <v>0</v>
      </c>
      <c r="AN2564" s="498">
        <f t="shared" si="875"/>
        <v>0</v>
      </c>
      <c r="AO2564" s="498">
        <f t="shared" si="876"/>
        <v>0</v>
      </c>
      <c r="AP2564" s="498">
        <f t="shared" si="895"/>
        <v>0</v>
      </c>
      <c r="AQ2564" s="498">
        <f t="shared" si="890"/>
        <v>0</v>
      </c>
      <c r="AU2564" s="498">
        <f t="shared" si="877"/>
        <v>0</v>
      </c>
      <c r="AV2564" s="498">
        <f t="shared" si="878"/>
        <v>0</v>
      </c>
      <c r="AW2564" s="498">
        <f t="shared" si="879"/>
        <v>0</v>
      </c>
      <c r="AX2564" s="498">
        <f t="shared" si="880"/>
        <v>0</v>
      </c>
      <c r="AY2564" s="498">
        <f t="shared" si="881"/>
        <v>0</v>
      </c>
      <c r="BB2564" s="498" t="str">
        <f t="shared" si="882"/>
        <v/>
      </c>
      <c r="BC2564" s="743" t="str">
        <f t="shared" si="883"/>
        <v/>
      </c>
      <c r="BD2564" s="743" t="str">
        <f t="shared" si="884"/>
        <v/>
      </c>
      <c r="BE2564" s="743" t="str">
        <f>IF(D2564="","",VLOOKUP(D2564,'General Basis'!$J$39:$K$46,2,0))</f>
        <v/>
      </c>
      <c r="BF2564" s="744" t="str">
        <f>IF(D2564="","",VLOOKUP(D2564,'General Basis'!$J$39:$L$46,3,0))</f>
        <v/>
      </c>
      <c r="BG2564" s="744" t="str">
        <f t="shared" si="891"/>
        <v/>
      </c>
      <c r="BH2564" s="744" t="str">
        <f>IF(G2564="","",IF(BF2564="Abu Dhabi",IF(G2564&lt;18,'General Basis'!$C$39,IF(G2564&lt;41,'General Basis'!$C$40,IF(G2564&lt;60,'General Basis'!$C$41,IF(G2564&lt;65,'General Basis'!$C$42,'General Basis'!$C$43)))),IF(G2564&lt;11,'General Basis'!$B$39,IF(G2564&lt;18,'General Basis'!$B$40,IF(G2564&lt;26,'General Basis'!$B$41,IF(G2564&lt;31,'General Basis'!$B$42,IF(G2564&lt;36,'General Basis'!$B$43,IF(G2564&lt;41,'General Basis'!$B$44,IF(G2564&lt;46,'General Basis'!$B$45,IF(G2564&lt;51,'General Basis'!$B$46,IF(G2564&lt;56,'General Basis'!$B$47,IF(G2564&lt;60,'General Basis'!$B$48,IF(G2564&lt;65,'General Basis'!$B$49,'General Basis'!$B$50)))))))))))))</f>
        <v/>
      </c>
      <c r="BI2564" s="744" t="str">
        <f t="shared" si="885"/>
        <v/>
      </c>
      <c r="BJ2564" s="747" t="str">
        <f t="shared" si="892"/>
        <v/>
      </c>
      <c r="BK2564" s="498" t="str">
        <f t="shared" si="886"/>
        <v/>
      </c>
      <c r="BL2564" s="498" t="str">
        <f t="shared" si="887"/>
        <v/>
      </c>
    </row>
    <row r="2565" spans="1:64" x14ac:dyDescent="0.25">
      <c r="A2565" s="762">
        <f t="shared" si="888"/>
        <v>2560</v>
      </c>
      <c r="B2565" s="229"/>
      <c r="C2565" s="223"/>
      <c r="D2565" s="224"/>
      <c r="E2565" s="225"/>
      <c r="F2565" s="1036" t="str">
        <f t="shared" si="894"/>
        <v/>
      </c>
      <c r="G2565" s="1037" t="str">
        <f t="shared" si="889"/>
        <v/>
      </c>
      <c r="H2565" s="225"/>
      <c r="I2565" s="1013"/>
      <c r="J2565" s="1013"/>
      <c r="K2565" s="1028"/>
      <c r="L2565" s="1035" t="str">
        <f t="shared" si="893"/>
        <v/>
      </c>
      <c r="S2565" s="498"/>
      <c r="AJ2565" s="498"/>
      <c r="AM2565" s="498">
        <f t="shared" si="874"/>
        <v>0</v>
      </c>
      <c r="AN2565" s="498">
        <f t="shared" si="875"/>
        <v>0</v>
      </c>
      <c r="AO2565" s="498">
        <f t="shared" si="876"/>
        <v>0</v>
      </c>
      <c r="AP2565" s="498">
        <f t="shared" si="895"/>
        <v>0</v>
      </c>
      <c r="AQ2565" s="498">
        <f t="shared" si="890"/>
        <v>0</v>
      </c>
      <c r="AU2565" s="498">
        <f t="shared" si="877"/>
        <v>0</v>
      </c>
      <c r="AV2565" s="498">
        <f t="shared" si="878"/>
        <v>0</v>
      </c>
      <c r="AW2565" s="498">
        <f t="shared" si="879"/>
        <v>0</v>
      </c>
      <c r="AX2565" s="498">
        <f t="shared" si="880"/>
        <v>0</v>
      </c>
      <c r="AY2565" s="498">
        <f t="shared" si="881"/>
        <v>0</v>
      </c>
      <c r="BB2565" s="498" t="str">
        <f t="shared" si="882"/>
        <v/>
      </c>
      <c r="BC2565" s="743" t="str">
        <f t="shared" si="883"/>
        <v/>
      </c>
      <c r="BD2565" s="743" t="str">
        <f t="shared" si="884"/>
        <v/>
      </c>
      <c r="BE2565" s="743" t="str">
        <f>IF(D2565="","",VLOOKUP(D2565,'General Basis'!$J$39:$K$46,2,0))</f>
        <v/>
      </c>
      <c r="BF2565" s="744" t="str">
        <f>IF(D2565="","",VLOOKUP(D2565,'General Basis'!$J$39:$L$46,3,0))</f>
        <v/>
      </c>
      <c r="BG2565" s="744" t="str">
        <f t="shared" si="891"/>
        <v/>
      </c>
      <c r="BH2565" s="744" t="str">
        <f>IF(G2565="","",IF(BF2565="Abu Dhabi",IF(G2565&lt;18,'General Basis'!$C$39,IF(G2565&lt;41,'General Basis'!$C$40,IF(G2565&lt;60,'General Basis'!$C$41,IF(G2565&lt;65,'General Basis'!$C$42,'General Basis'!$C$43)))),IF(G2565&lt;11,'General Basis'!$B$39,IF(G2565&lt;18,'General Basis'!$B$40,IF(G2565&lt;26,'General Basis'!$B$41,IF(G2565&lt;31,'General Basis'!$B$42,IF(G2565&lt;36,'General Basis'!$B$43,IF(G2565&lt;41,'General Basis'!$B$44,IF(G2565&lt;46,'General Basis'!$B$45,IF(G2565&lt;51,'General Basis'!$B$46,IF(G2565&lt;56,'General Basis'!$B$47,IF(G2565&lt;60,'General Basis'!$B$48,IF(G2565&lt;65,'General Basis'!$B$49,'General Basis'!$B$50)))))))))))))</f>
        <v/>
      </c>
      <c r="BI2565" s="744" t="str">
        <f t="shared" si="885"/>
        <v/>
      </c>
      <c r="BJ2565" s="747" t="str">
        <f t="shared" si="892"/>
        <v/>
      </c>
      <c r="BK2565" s="498" t="str">
        <f t="shared" si="886"/>
        <v/>
      </c>
      <c r="BL2565" s="498" t="str">
        <f t="shared" si="887"/>
        <v/>
      </c>
    </row>
    <row r="2566" spans="1:64" x14ac:dyDescent="0.25">
      <c r="A2566" s="762">
        <f t="shared" si="888"/>
        <v>2561</v>
      </c>
      <c r="B2566" s="229"/>
      <c r="C2566" s="223"/>
      <c r="D2566" s="224"/>
      <c r="E2566" s="225"/>
      <c r="F2566" s="1036" t="str">
        <f t="shared" si="894"/>
        <v/>
      </c>
      <c r="G2566" s="1037" t="str">
        <f t="shared" si="889"/>
        <v/>
      </c>
      <c r="H2566" s="225"/>
      <c r="I2566" s="1013"/>
      <c r="J2566" s="1013"/>
      <c r="K2566" s="1028"/>
      <c r="L2566" s="1035" t="str">
        <f t="shared" si="893"/>
        <v/>
      </c>
      <c r="S2566" s="498"/>
      <c r="AJ2566" s="498"/>
      <c r="AM2566" s="498">
        <f t="shared" ref="AM2566:AM2629" si="896">IF(ISTEXT(B2566),1,0)</f>
        <v>0</v>
      </c>
      <c r="AN2566" s="498">
        <f t="shared" ref="AN2566:AN2629" si="897">IF(ISBLANK(B2566),0,IF(B2566&lt;$AK$6,1,0))</f>
        <v>0</v>
      </c>
      <c r="AO2566" s="498">
        <f t="shared" ref="AO2566:AO2629" si="898">IF(ISBLANK(B2566),0,IF(B2566&gt;$AK$7,1,0))</f>
        <v>0</v>
      </c>
      <c r="AP2566" s="498">
        <f t="shared" si="895"/>
        <v>0</v>
      </c>
      <c r="AQ2566" s="498">
        <f t="shared" si="890"/>
        <v>0</v>
      </c>
      <c r="AU2566" s="498">
        <f t="shared" ref="AU2566:AU2629" si="899">IF(ISBLANK(B2566),0,1)</f>
        <v>0</v>
      </c>
      <c r="AV2566" s="498">
        <f t="shared" ref="AV2566:AV2629" si="900">IF(ISBLANK(C2566),0,1)</f>
        <v>0</v>
      </c>
      <c r="AW2566" s="498">
        <f t="shared" ref="AW2566:AW2629" si="901">IF(ISBLANK(D2566),0,1)</f>
        <v>0</v>
      </c>
      <c r="AX2566" s="498">
        <f t="shared" ref="AX2566:AX2629" si="902">IF(ISBLANK(E2566),0,1)</f>
        <v>0</v>
      </c>
      <c r="AY2566" s="498">
        <f t="shared" ref="AY2566:AY2629" si="903">IF(ISBLANK(H2566),0,1)</f>
        <v>0</v>
      </c>
      <c r="BB2566" s="498" t="str">
        <f t="shared" ref="BB2566:BB2629" si="904">IF(E2566="Principal","Principal",IF(E2566="","","Other"))</f>
        <v/>
      </c>
      <c r="BC2566" s="743" t="str">
        <f t="shared" ref="BC2566:BC2629" si="905">IF(D2566="","",D2566)</f>
        <v/>
      </c>
      <c r="BD2566" s="743" t="str">
        <f t="shared" ref="BD2566:BD2629" si="906">IF(E2566="Principal","Employee",IF(E2566="","","Dependent"))</f>
        <v/>
      </c>
      <c r="BE2566" s="743" t="str">
        <f>IF(D2566="","",VLOOKUP(D2566,'General Basis'!$J$39:$K$46,2,0))</f>
        <v/>
      </c>
      <c r="BF2566" s="744" t="str">
        <f>IF(D2566="","",VLOOKUP(D2566,'General Basis'!$J$39:$L$46,3,0))</f>
        <v/>
      </c>
      <c r="BG2566" s="744" t="str">
        <f t="shared" si="891"/>
        <v/>
      </c>
      <c r="BH2566" s="744" t="str">
        <f>IF(G2566="","",IF(BF2566="Abu Dhabi",IF(G2566&lt;18,'General Basis'!$C$39,IF(G2566&lt;41,'General Basis'!$C$40,IF(G2566&lt;60,'General Basis'!$C$41,IF(G2566&lt;65,'General Basis'!$C$42,'General Basis'!$C$43)))),IF(G2566&lt;11,'General Basis'!$B$39,IF(G2566&lt;18,'General Basis'!$B$40,IF(G2566&lt;26,'General Basis'!$B$41,IF(G2566&lt;31,'General Basis'!$B$42,IF(G2566&lt;36,'General Basis'!$B$43,IF(G2566&lt;41,'General Basis'!$B$44,IF(G2566&lt;46,'General Basis'!$B$45,IF(G2566&lt;51,'General Basis'!$B$46,IF(G2566&lt;56,'General Basis'!$B$47,IF(G2566&lt;60,'General Basis'!$B$48,IF(G2566&lt;65,'General Basis'!$B$49,'General Basis'!$B$50)))))))))))))</f>
        <v/>
      </c>
      <c r="BI2566" s="744" t="str">
        <f t="shared" ref="BI2566:BI2629" si="907">IF(C2566="","",IF(C2566="M","Male","Female"))</f>
        <v/>
      </c>
      <c r="BJ2566" s="747" t="str">
        <f t="shared" si="892"/>
        <v/>
      </c>
      <c r="BK2566" s="498" t="str">
        <f t="shared" ref="BK2566:BK2629" si="908">IF(BD2566="","",IF(AND(BD2566="Employee",BI2566="Male",BF2566="Abu Dhabi",BE2566=GN_Plus),VLOOKUP(BH2566,AUH_MALE_EMP,2,0),IF(AND(BD2566="Employee",BI2566="Male",BF2566="Abu Dhabi",BE2566=GN),VLOOKUP(BH2566,AUH_MALE_EMP,3,0),IF(AND(BD2566="Employee",BI2566="Male",BF2566="Abu Dhabi",BE2566=RN_Plus),VLOOKUP(BH2566,AUH_MALE_EMP,4,0),IF(AND(BD2566="Employee",BI2566="Male",BF2566="Abu Dhabi",BE2566=RN),VLOOKUP(BH2566,AUH_MALE_EMP,5,0),IF(AND(BD2566="Employee",BI2566="Male",BF2566="Abu Dhabi",BE2566=RN_2),VLOOKUP(BH2566,AUH_MALE_EMP,6,0),IF(AND(BD2566="Employee",BI2566="Male",BF2566="Abu Dhabi",BE2566=RN2_minus),VLOOKUP(BH2566,AUH_MALE_EMP,7,0),IF(AND(BD2566="Employee",BI2566="Male",BF2566="Abu Dhabi",BE2566=RN_3),VLOOKUP(BH2566,AUH_MALE_EMP,8,0),IF(AND(BD2566="Employee",BI2566="Male",BF2566="Abu Dhabi",BE2566=VN),VLOOKUP(BH2566,AUH_MALE_EMP,9,0),IF(BD2566="","",IF(AND(BD2566="Employee",BI2566="Female",BF2566="Abu Dhabi",BE2566=GN_Plus),VLOOKUP(BH2566,AUH_FEMALE_EMP,2,0),IF(AND(BD2566="Employee",BI2566="Female",BF2566="Abu Dhabi",BE2566=GN),VLOOKUP(BH2566,AUH_FEMALE_EMP,3,0),IF(AND(BD2566="Employee",BI2566="Female",BF2566="Abu Dhabi",BE2566=RN_Plus),VLOOKUP(BH2566,AUH_FEMALE_EMP,4,0),IF(AND(BD2566="Employee",BI2566="Female",BF2566="Abu Dhabi",BE2566=RN),VLOOKUP(BH2566,AUH_FEMALE_EMP,5,0),IF(AND(BD2566="Employee",BI2566="Female",BF2566="Abu Dhabi",BE2566=RN_2),VLOOKUP(BH2566,AUH_FEMALE_EMP,6,0),IF(AND(BD2566="Employee",BI2566="Female",BF2566="Abu Dhabi",BE2566=RN2_minus),VLOOKUP(BH2566,AUH_FEMALE_EMP,7,0),IF(AND(BD2566="Employee",BI2566="Female",BF2566="Abu Dhabi",BE2566=RN_3),VLOOKUP(BH2566,AUH_FEMALE_EMP,8,0),IF(AND(BD2566="Employee",BI2566="Female",BF2566="Abu Dhabi",BE2566=VN),VLOOKUP(BH2566,AUH_FEMALE_EMP,9,0),IF(BD2566="","",IF(AND(BD2566="Dependent",BI2566="Male",BF2566="Abu Dhabi",BE2566=GN_Plus),VLOOKUP(BH2566,AUH_MALE_DEP,2,0),IF(AND(BD2566="Dependent",BI2566="Male",BF2566="Abu Dhabi",BE2566=GN),VLOOKUP(BH2566,AUH_MALE_DEP,3,0),IF(AND(BD2566="Dependent",BI2566="Male",BF2566="Abu Dhabi",BE2566=RN_Plus),VLOOKUP(BH2566,AUH_MALE_DEP,4,0),IF(AND(BD2566="Dependent",BI2566="Male",BF2566="Abu Dhabi",BE2566=RN),VLOOKUP(BH2566,AUH_MALE_DEP,5,0),IF(AND(BD2566="Dependent",BI2566="Male",BF2566="Abu Dhabi",BE2566=RN_2),VLOOKUP(BH2566,AUH_MALE_DEP,6,0),IF(AND(BD2566="Dependent",BI2566="Male",BF2566="Abu Dhabi",BE2566=RN2_minus),VLOOKUP(BH2566,AUH_MALE_DEP,7,0),IF(AND(BD2566="Dependent",BI2566="Male",BF2566="Abu Dhabi",BE2566=RN_3),VLOOKUP(BH2566,AUH_MALE_DEP,8,0),IF(AND(BD2566="Dependent",BI2566="Male",BF2566="Abu Dhabi",BE2566=VN),VLOOKUP(BH2566,AUH_MALE_DEP,9,0),IF(BD2566="","",IF(AND(BD2566="Dependent",BI2566="Female",BF2566="Abu Dhabi",BE2566=GN_Plus),VLOOKUP(BH2566,AUH_FEMALE_DEP,2,0),IF(AND(BD2566="Dependent",BI2566="Female",BF2566="Abu Dhabi",BE2566=GN),VLOOKUP(BH2566,AUH_FEMALE_DEP,3,0),IF(AND(BD2566="Dependent",BI2566="Female",BF2566="Abu Dhabi",BE2566=RN_Plus),VLOOKUP(BH2566,AUH_FEMALE_DEP,4,0),IF(AND(BD2566="Dependent",BI2566="Female",BF2566="Abu Dhabi",BE2566=RN),VLOOKUP(BH2566,AUH_FEMALE_DEP,5,0),IF(AND(BD2566="Dependent",BI2566="Female",BF2566="Abu Dhabi",BE2566=RN_2),VLOOKUP(BH2566,AUH_FEMALE_DEP,6,0),IF(AND(BD2566="Dependent",BI2566="Female",BF2566="Abu Dhabi",BE2566=RN2_minus),VLOOKUP(BH2566,AUH_FEMALE_DEP,7,0),IF(AND(BD2566="Dependent",BI2566="Female",BF2566="Abu Dhabi",BE2566=RN_3),VLOOKUP(BH2566,AUH_FEMALE_DEP,8,0),IF(AND(BD2566="Dependent",BI2566="Female",BF2566="Abu Dhabi",BE2566=VN),VLOOKUP(BH2566,AUH_FEMALE_DEP,9,0),"ABC"))))))))))))))))))))))))))))))))))))</f>
        <v/>
      </c>
      <c r="BL2566" s="498" t="str">
        <f t="shared" ref="BL2566:BL2629" si="909">IF(BD2566="","",IF(AND(BD2566="Employee",BI2566="Male",BF2566="Dubai",BE2566=GN_Plus),VLOOKUP(BH2566,DXB_MALE_EMP,2,0),IF(AND(BD2566="Employee",BI2566="Male",BF2566="Dubai",BE2566=GN),VLOOKUP(BH2566,DXB_MALE_EMP,3,0),IF(AND(BD2566="Employee",BI2566="Male",BF2566="Dubai",BE2566=RN_Plus),VLOOKUP(BH2566,DXB_MALE_EMP,4,0),IF(AND(BD2566="Employee",BI2566="Male",BF2566="Dubai",BE2566=RN),VLOOKUP(BH2566,DXB_MALE_EMP,5,0),IF(AND(BD2566="Employee",BI2566="Male",BF2566="Dubai",BE2566=RN_2),VLOOKUP(BH2566,DXB_MALE_EMP,6,0),IF(AND(BD2566="Employee",BI2566="Male",BF2566="Dubai",BE2566=RN2_minus),VLOOKUP(BH2566,DXB_MALE_EMP,7,0),IF(AND(BD2566="Employee",BI2566="Male",BF2566="Dubai",BE2566=RN_3),VLOOKUP(BH2566,DXB_MALE_EMP,8,0),IF(AND(BD2566="Employee",BI2566="Male",BF2566="Dubai",BE2566=VN),VLOOKUP(BH2566,DXB_MALE_EMP,9,0),IF(BD2566="","",IF(AND(BD2566="Employee",BI2566="Female",BF2566="Dubai",BE2566=GN_Plus),VLOOKUP(BH2566,DXB_FEMALE_EMP,2,0),IF(AND(BD2566="Employee",BI2566="Female",BF2566="Dubai",BE2566=GN),VLOOKUP(BH2566,DXB_FEMALE_EMP,3,0),IF(AND(BD2566="Employee",BI2566="Female",BF2566="Dubai",BE2566=RN_Plus),VLOOKUP(BH2566,DXB_FEMALE_EMP,4,0),IF(AND(BD2566="Employee",BI2566="Female",BF2566="Dubai",BE2566=RN),VLOOKUP(BH2566,DXB_FEMALE_EMP,5,0),IF(AND(BD2566="Employee",BI2566="Female",BF2566="Dubai",BE2566=RN_2),VLOOKUP(BH2566,DXB_FEMALE_EMP,6,0),IF(AND(BD2566="Employee",BI2566="Female",BF2566="Dubai",BE2566=RN2_minus),VLOOKUP(BH2566,DXB_FEMALE_EMP,7,0),IF(AND(BD2566="Employee",BI2566="Female",BF2566="Dubai",BE2566=RN_3),VLOOKUP(BH2566,DXB_FEMALE_EMP,8,0),IF(AND(BD2566="Employee",BI2566="Female",BF2566="Dubai",BE2566=VN),VLOOKUP(BH2566,DXB_FEMALE_EMP,9,0),IF(BD2566="","",IF(AND(BD2566="Dependent",BI2566="Male",BF2566="Dubai",BE2566=GN_Plus),VLOOKUP(BH2566,DXB_MALE_DEP,2,0),IF(AND(BD2566="Dependent",BI2566="Male",BF2566="Dubai",BE2566=GN),VLOOKUP(BH2566,DXB_MALE_DEP,3,0),IF(AND(BD2566="Dependent",BI2566="Male",BF2566="Dubai",BE2566=RN_Plus),VLOOKUP(BH2566,DXB_MALE_DEP,4,0),IF(AND(BD2566="Dependent",BI2566="Male",BF2566="Dubai",BE2566=RN),VLOOKUP(BH2566,DXB_MALE_DEP,5,0),IF(AND(BD2566="Dependent",BI2566="Male",BF2566="Dubai",BE2566=RN_2),VLOOKUP(BH2566,DXB_MALE_DEP,6,0),IF(AND(BD2566="Dependent",BI2566="Male",BF2566="Dubai",BE2566=RN2_minus),VLOOKUP(BH2566,DXB_MALE_DEP,7,0),IF(AND(BD2566="Dependent",BI2566="Male",BF2566="Dubai",BE2566=RN_3),VLOOKUP(BH2566,DXB_MALE_DEP,8,0),IF(AND(BD2566="Dependent",BI2566="Male",BF2566="Dubai",BE2566=VN),VLOOKUP(BH2566,DXB_MALE_DEP,9,0),IF(BD2566="","",IF(AND(BD2566="Dependent",BI2566="Female",BF2566="Dubai",BE2566=GN_Plus),VLOOKUP(BH2566,DXB_FEMALE_DEP,2,0),IF(AND(BD2566="Dependent",BI2566="Female",BF2566="Dubai",BE2566=GN),VLOOKUP(BH2566,DXB_FEMALE_DEP,3,0),IF(AND(BD2566="Dependent",BI2566="Female",BF2566="Dubai",BE2566=RN_Plus),VLOOKUP(BH2566,DXB_FEMALE_DEP,4,0),IF(AND(BD2566="Dependent",BI2566="Female",BF2566="Dubai",BE2566=RN),VLOOKUP(BH2566,DXB_FEMALE_DEP,5,0),IF(AND(BD2566="Dependent",BI2566="Female",BF2566="Dubai",BE2566=RN_2),VLOOKUP(BH2566,DXB_FEMALE_DEP,6,0),IF(AND(BD2566="Dependent",BI2566="Female",BF2566="Dubai",BE2566=RN2_minus),VLOOKUP(BH2566,DXB_FEMALE_DEP,7,0),IF(AND(BD2566="Dependent",BI2566="Female",BF2566="Dubai",BE2566=RN_3),VLOOKUP(BH2566,DXB_FEMALE_DEP,8,0),IF(AND(BD2566="Dependent",BI2566="Female",BF2566="Dubai",BE2566=VN),VLOOKUP(BH2566,DXB_FEMALE_DEP,9,0),"ABC"))))))))))))))))))))))))))))))))))))</f>
        <v/>
      </c>
    </row>
    <row r="2567" spans="1:64" x14ac:dyDescent="0.25">
      <c r="A2567" s="762">
        <f t="shared" ref="A2567:A2630" si="910">+A2566+1</f>
        <v>2562</v>
      </c>
      <c r="B2567" s="229"/>
      <c r="C2567" s="223"/>
      <c r="D2567" s="224"/>
      <c r="E2567" s="225"/>
      <c r="F2567" s="1036" t="str">
        <f t="shared" si="894"/>
        <v/>
      </c>
      <c r="G2567" s="1037" t="str">
        <f t="shared" ref="G2567:G2630" si="911">IF(D2567="","",MAX(0,ROUNDUP(F2567,0)))</f>
        <v/>
      </c>
      <c r="H2567" s="225"/>
      <c r="I2567" s="1013"/>
      <c r="J2567" s="1013"/>
      <c r="K2567" s="1028"/>
      <c r="L2567" s="1035" t="str">
        <f t="shared" si="893"/>
        <v/>
      </c>
      <c r="S2567" s="498"/>
      <c r="AJ2567" s="498"/>
      <c r="AM2567" s="498">
        <f t="shared" si="896"/>
        <v>0</v>
      </c>
      <c r="AN2567" s="498">
        <f t="shared" si="897"/>
        <v>0</v>
      </c>
      <c r="AO2567" s="498">
        <f t="shared" si="898"/>
        <v>0</v>
      </c>
      <c r="AP2567" s="498">
        <f t="shared" si="895"/>
        <v>0</v>
      </c>
      <c r="AQ2567" s="498">
        <f t="shared" ref="AQ2567:AQ2630" si="912">IF(ISBLANK($B2567),0,IF(OR($H2567="Single",$H2567="Married"),0,1))</f>
        <v>0</v>
      </c>
      <c r="AU2567" s="498">
        <f t="shared" si="899"/>
        <v>0</v>
      </c>
      <c r="AV2567" s="498">
        <f t="shared" si="900"/>
        <v>0</v>
      </c>
      <c r="AW2567" s="498">
        <f t="shared" si="901"/>
        <v>0</v>
      </c>
      <c r="AX2567" s="498">
        <f t="shared" si="902"/>
        <v>0</v>
      </c>
      <c r="AY2567" s="498">
        <f t="shared" si="903"/>
        <v>0</v>
      </c>
      <c r="BB2567" s="498" t="str">
        <f t="shared" si="904"/>
        <v/>
      </c>
      <c r="BC2567" s="743" t="str">
        <f t="shared" si="905"/>
        <v/>
      </c>
      <c r="BD2567" s="743" t="str">
        <f t="shared" si="906"/>
        <v/>
      </c>
      <c r="BE2567" s="743" t="str">
        <f>IF(D2567="","",VLOOKUP(D2567,'General Basis'!$J$39:$K$46,2,0))</f>
        <v/>
      </c>
      <c r="BF2567" s="744" t="str">
        <f>IF(D2567="","",VLOOKUP(D2567,'General Basis'!$J$39:$L$46,3,0))</f>
        <v/>
      </c>
      <c r="BG2567" s="744" t="str">
        <f t="shared" ref="BG2567:BG2630" si="913">BC2567&amp;BI2567</f>
        <v/>
      </c>
      <c r="BH2567" s="744" t="str">
        <f>IF(G2567="","",IF(BF2567="Abu Dhabi",IF(G2567&lt;18,'General Basis'!$C$39,IF(G2567&lt;41,'General Basis'!$C$40,IF(G2567&lt;60,'General Basis'!$C$41,IF(G2567&lt;65,'General Basis'!$C$42,'General Basis'!$C$43)))),IF(G2567&lt;11,'General Basis'!$B$39,IF(G2567&lt;18,'General Basis'!$B$40,IF(G2567&lt;26,'General Basis'!$B$41,IF(G2567&lt;31,'General Basis'!$B$42,IF(G2567&lt;36,'General Basis'!$B$43,IF(G2567&lt;41,'General Basis'!$B$44,IF(G2567&lt;46,'General Basis'!$B$45,IF(G2567&lt;51,'General Basis'!$B$46,IF(G2567&lt;56,'General Basis'!$B$47,IF(G2567&lt;60,'General Basis'!$B$48,IF(G2567&lt;65,'General Basis'!$B$49,'General Basis'!$B$50)))))))))))))</f>
        <v/>
      </c>
      <c r="BI2567" s="744" t="str">
        <f t="shared" si="907"/>
        <v/>
      </c>
      <c r="BJ2567" s="747" t="str">
        <f t="shared" ref="BJ2567:BJ2630" si="914">IF(BD2567="","",IF(BF2567="Abu Dhabi",BK2567,BL2567))</f>
        <v/>
      </c>
      <c r="BK2567" s="498" t="str">
        <f t="shared" si="908"/>
        <v/>
      </c>
      <c r="BL2567" s="498" t="str">
        <f t="shared" si="909"/>
        <v/>
      </c>
    </row>
    <row r="2568" spans="1:64" x14ac:dyDescent="0.25">
      <c r="A2568" s="762">
        <f t="shared" si="910"/>
        <v>2563</v>
      </c>
      <c r="B2568" s="229"/>
      <c r="C2568" s="223"/>
      <c r="D2568" s="224"/>
      <c r="E2568" s="225"/>
      <c r="F2568" s="1036" t="str">
        <f t="shared" si="894"/>
        <v/>
      </c>
      <c r="G2568" s="1037" t="str">
        <f t="shared" si="911"/>
        <v/>
      </c>
      <c r="H2568" s="225"/>
      <c r="I2568" s="1013"/>
      <c r="J2568" s="1013"/>
      <c r="K2568" s="1028"/>
      <c r="L2568" s="1035" t="str">
        <f t="shared" ref="L2568:L2631" si="915">IF(AND(E2568="Child",H2568="Married"),"Check the Marital Status of the Child. ",IF(AND(E2568="Child",F2568&gt;18),"Child Age exceed 18 years. ",IF(AND(E2568="Spouse",H2568="Single"),"Spouse is selected as Single. ","")))&amp;IF(K2568&gt;0,"UW Loading has been Applied","")</f>
        <v/>
      </c>
      <c r="S2568" s="498"/>
      <c r="AJ2568" s="498"/>
      <c r="AM2568" s="498">
        <f t="shared" si="896"/>
        <v>0</v>
      </c>
      <c r="AN2568" s="498">
        <f t="shared" si="897"/>
        <v>0</v>
      </c>
      <c r="AO2568" s="498">
        <f t="shared" si="898"/>
        <v>0</v>
      </c>
      <c r="AP2568" s="498">
        <f t="shared" si="895"/>
        <v>0</v>
      </c>
      <c r="AQ2568" s="498">
        <f t="shared" si="912"/>
        <v>0</v>
      </c>
      <c r="AU2568" s="498">
        <f t="shared" si="899"/>
        <v>0</v>
      </c>
      <c r="AV2568" s="498">
        <f t="shared" si="900"/>
        <v>0</v>
      </c>
      <c r="AW2568" s="498">
        <f t="shared" si="901"/>
        <v>0</v>
      </c>
      <c r="AX2568" s="498">
        <f t="shared" si="902"/>
        <v>0</v>
      </c>
      <c r="AY2568" s="498">
        <f t="shared" si="903"/>
        <v>0</v>
      </c>
      <c r="BB2568" s="498" t="str">
        <f t="shared" si="904"/>
        <v/>
      </c>
      <c r="BC2568" s="743" t="str">
        <f t="shared" si="905"/>
        <v/>
      </c>
      <c r="BD2568" s="743" t="str">
        <f t="shared" si="906"/>
        <v/>
      </c>
      <c r="BE2568" s="743" t="str">
        <f>IF(D2568="","",VLOOKUP(D2568,'General Basis'!$J$39:$K$46,2,0))</f>
        <v/>
      </c>
      <c r="BF2568" s="744" t="str">
        <f>IF(D2568="","",VLOOKUP(D2568,'General Basis'!$J$39:$L$46,3,0))</f>
        <v/>
      </c>
      <c r="BG2568" s="744" t="str">
        <f t="shared" si="913"/>
        <v/>
      </c>
      <c r="BH2568" s="744" t="str">
        <f>IF(G2568="","",IF(BF2568="Abu Dhabi",IF(G2568&lt;18,'General Basis'!$C$39,IF(G2568&lt;41,'General Basis'!$C$40,IF(G2568&lt;60,'General Basis'!$C$41,IF(G2568&lt;65,'General Basis'!$C$42,'General Basis'!$C$43)))),IF(G2568&lt;11,'General Basis'!$B$39,IF(G2568&lt;18,'General Basis'!$B$40,IF(G2568&lt;26,'General Basis'!$B$41,IF(G2568&lt;31,'General Basis'!$B$42,IF(G2568&lt;36,'General Basis'!$B$43,IF(G2568&lt;41,'General Basis'!$B$44,IF(G2568&lt;46,'General Basis'!$B$45,IF(G2568&lt;51,'General Basis'!$B$46,IF(G2568&lt;56,'General Basis'!$B$47,IF(G2568&lt;60,'General Basis'!$B$48,IF(G2568&lt;65,'General Basis'!$B$49,'General Basis'!$B$50)))))))))))))</f>
        <v/>
      </c>
      <c r="BI2568" s="744" t="str">
        <f t="shared" si="907"/>
        <v/>
      </c>
      <c r="BJ2568" s="747" t="str">
        <f t="shared" si="914"/>
        <v/>
      </c>
      <c r="BK2568" s="498" t="str">
        <f t="shared" si="908"/>
        <v/>
      </c>
      <c r="BL2568" s="498" t="str">
        <f t="shared" si="909"/>
        <v/>
      </c>
    </row>
    <row r="2569" spans="1:64" x14ac:dyDescent="0.25">
      <c r="A2569" s="762">
        <f t="shared" si="910"/>
        <v>2564</v>
      </c>
      <c r="B2569" s="229"/>
      <c r="C2569" s="223"/>
      <c r="D2569" s="224"/>
      <c r="E2569" s="225"/>
      <c r="F2569" s="1036" t="str">
        <f t="shared" si="894"/>
        <v/>
      </c>
      <c r="G2569" s="1037" t="str">
        <f t="shared" si="911"/>
        <v/>
      </c>
      <c r="H2569" s="225"/>
      <c r="I2569" s="1013"/>
      <c r="J2569" s="1013"/>
      <c r="K2569" s="1028"/>
      <c r="L2569" s="1035" t="str">
        <f t="shared" si="915"/>
        <v/>
      </c>
      <c r="S2569" s="498"/>
      <c r="AJ2569" s="498"/>
      <c r="AM2569" s="498">
        <f t="shared" si="896"/>
        <v>0</v>
      </c>
      <c r="AN2569" s="498">
        <f t="shared" si="897"/>
        <v>0</v>
      </c>
      <c r="AO2569" s="498">
        <f t="shared" si="898"/>
        <v>0</v>
      </c>
      <c r="AP2569" s="498">
        <f t="shared" si="895"/>
        <v>0</v>
      </c>
      <c r="AQ2569" s="498">
        <f t="shared" si="912"/>
        <v>0</v>
      </c>
      <c r="AU2569" s="498">
        <f t="shared" si="899"/>
        <v>0</v>
      </c>
      <c r="AV2569" s="498">
        <f t="shared" si="900"/>
        <v>0</v>
      </c>
      <c r="AW2569" s="498">
        <f t="shared" si="901"/>
        <v>0</v>
      </c>
      <c r="AX2569" s="498">
        <f t="shared" si="902"/>
        <v>0</v>
      </c>
      <c r="AY2569" s="498">
        <f t="shared" si="903"/>
        <v>0</v>
      </c>
      <c r="BB2569" s="498" t="str">
        <f t="shared" si="904"/>
        <v/>
      </c>
      <c r="BC2569" s="743" t="str">
        <f t="shared" si="905"/>
        <v/>
      </c>
      <c r="BD2569" s="743" t="str">
        <f t="shared" si="906"/>
        <v/>
      </c>
      <c r="BE2569" s="743" t="str">
        <f>IF(D2569="","",VLOOKUP(D2569,'General Basis'!$J$39:$K$46,2,0))</f>
        <v/>
      </c>
      <c r="BF2569" s="744" t="str">
        <f>IF(D2569="","",VLOOKUP(D2569,'General Basis'!$J$39:$L$46,3,0))</f>
        <v/>
      </c>
      <c r="BG2569" s="744" t="str">
        <f t="shared" si="913"/>
        <v/>
      </c>
      <c r="BH2569" s="744" t="str">
        <f>IF(G2569="","",IF(BF2569="Abu Dhabi",IF(G2569&lt;18,'General Basis'!$C$39,IF(G2569&lt;41,'General Basis'!$C$40,IF(G2569&lt;60,'General Basis'!$C$41,IF(G2569&lt;65,'General Basis'!$C$42,'General Basis'!$C$43)))),IF(G2569&lt;11,'General Basis'!$B$39,IF(G2569&lt;18,'General Basis'!$B$40,IF(G2569&lt;26,'General Basis'!$B$41,IF(G2569&lt;31,'General Basis'!$B$42,IF(G2569&lt;36,'General Basis'!$B$43,IF(G2569&lt;41,'General Basis'!$B$44,IF(G2569&lt;46,'General Basis'!$B$45,IF(G2569&lt;51,'General Basis'!$B$46,IF(G2569&lt;56,'General Basis'!$B$47,IF(G2569&lt;60,'General Basis'!$B$48,IF(G2569&lt;65,'General Basis'!$B$49,'General Basis'!$B$50)))))))))))))</f>
        <v/>
      </c>
      <c r="BI2569" s="744" t="str">
        <f t="shared" si="907"/>
        <v/>
      </c>
      <c r="BJ2569" s="747" t="str">
        <f t="shared" si="914"/>
        <v/>
      </c>
      <c r="BK2569" s="498" t="str">
        <f t="shared" si="908"/>
        <v/>
      </c>
      <c r="BL2569" s="498" t="str">
        <f t="shared" si="909"/>
        <v/>
      </c>
    </row>
    <row r="2570" spans="1:64" x14ac:dyDescent="0.25">
      <c r="A2570" s="762">
        <f t="shared" si="910"/>
        <v>2565</v>
      </c>
      <c r="B2570" s="229"/>
      <c r="C2570" s="223"/>
      <c r="D2570" s="224"/>
      <c r="E2570" s="225"/>
      <c r="F2570" s="1036" t="str">
        <f t="shared" si="894"/>
        <v/>
      </c>
      <c r="G2570" s="1037" t="str">
        <f t="shared" si="911"/>
        <v/>
      </c>
      <c r="H2570" s="225"/>
      <c r="I2570" s="1013"/>
      <c r="J2570" s="1013"/>
      <c r="K2570" s="1028"/>
      <c r="L2570" s="1035" t="str">
        <f t="shared" si="915"/>
        <v/>
      </c>
      <c r="S2570" s="498"/>
      <c r="AJ2570" s="498"/>
      <c r="AM2570" s="498">
        <f t="shared" si="896"/>
        <v>0</v>
      </c>
      <c r="AN2570" s="498">
        <f t="shared" si="897"/>
        <v>0</v>
      </c>
      <c r="AO2570" s="498">
        <f t="shared" si="898"/>
        <v>0</v>
      </c>
      <c r="AP2570" s="498">
        <f t="shared" si="895"/>
        <v>0</v>
      </c>
      <c r="AQ2570" s="498">
        <f t="shared" si="912"/>
        <v>0</v>
      </c>
      <c r="AU2570" s="498">
        <f t="shared" si="899"/>
        <v>0</v>
      </c>
      <c r="AV2570" s="498">
        <f t="shared" si="900"/>
        <v>0</v>
      </c>
      <c r="AW2570" s="498">
        <f t="shared" si="901"/>
        <v>0</v>
      </c>
      <c r="AX2570" s="498">
        <f t="shared" si="902"/>
        <v>0</v>
      </c>
      <c r="AY2570" s="498">
        <f t="shared" si="903"/>
        <v>0</v>
      </c>
      <c r="BB2570" s="498" t="str">
        <f t="shared" si="904"/>
        <v/>
      </c>
      <c r="BC2570" s="743" t="str">
        <f t="shared" si="905"/>
        <v/>
      </c>
      <c r="BD2570" s="743" t="str">
        <f t="shared" si="906"/>
        <v/>
      </c>
      <c r="BE2570" s="743" t="str">
        <f>IF(D2570="","",VLOOKUP(D2570,'General Basis'!$J$39:$K$46,2,0))</f>
        <v/>
      </c>
      <c r="BF2570" s="744" t="str">
        <f>IF(D2570="","",VLOOKUP(D2570,'General Basis'!$J$39:$L$46,3,0))</f>
        <v/>
      </c>
      <c r="BG2570" s="744" t="str">
        <f t="shared" si="913"/>
        <v/>
      </c>
      <c r="BH2570" s="744" t="str">
        <f>IF(G2570="","",IF(BF2570="Abu Dhabi",IF(G2570&lt;18,'General Basis'!$C$39,IF(G2570&lt;41,'General Basis'!$C$40,IF(G2570&lt;60,'General Basis'!$C$41,IF(G2570&lt;65,'General Basis'!$C$42,'General Basis'!$C$43)))),IF(G2570&lt;11,'General Basis'!$B$39,IF(G2570&lt;18,'General Basis'!$B$40,IF(G2570&lt;26,'General Basis'!$B$41,IF(G2570&lt;31,'General Basis'!$B$42,IF(G2570&lt;36,'General Basis'!$B$43,IF(G2570&lt;41,'General Basis'!$B$44,IF(G2570&lt;46,'General Basis'!$B$45,IF(G2570&lt;51,'General Basis'!$B$46,IF(G2570&lt;56,'General Basis'!$B$47,IF(G2570&lt;60,'General Basis'!$B$48,IF(G2570&lt;65,'General Basis'!$B$49,'General Basis'!$B$50)))))))))))))</f>
        <v/>
      </c>
      <c r="BI2570" s="744" t="str">
        <f t="shared" si="907"/>
        <v/>
      </c>
      <c r="BJ2570" s="747" t="str">
        <f t="shared" si="914"/>
        <v/>
      </c>
      <c r="BK2570" s="498" t="str">
        <f t="shared" si="908"/>
        <v/>
      </c>
      <c r="BL2570" s="498" t="str">
        <f t="shared" si="909"/>
        <v/>
      </c>
    </row>
    <row r="2571" spans="1:64" x14ac:dyDescent="0.25">
      <c r="A2571" s="762">
        <f t="shared" si="910"/>
        <v>2566</v>
      </c>
      <c r="B2571" s="229"/>
      <c r="C2571" s="223"/>
      <c r="D2571" s="224"/>
      <c r="E2571" s="225"/>
      <c r="F2571" s="1036" t="str">
        <f t="shared" si="894"/>
        <v/>
      </c>
      <c r="G2571" s="1037" t="str">
        <f t="shared" si="911"/>
        <v/>
      </c>
      <c r="H2571" s="225"/>
      <c r="I2571" s="1013"/>
      <c r="J2571" s="1013"/>
      <c r="K2571" s="1028"/>
      <c r="L2571" s="1035" t="str">
        <f t="shared" si="915"/>
        <v/>
      </c>
      <c r="S2571" s="498"/>
      <c r="AJ2571" s="498"/>
      <c r="AM2571" s="498">
        <f t="shared" si="896"/>
        <v>0</v>
      </c>
      <c r="AN2571" s="498">
        <f t="shared" si="897"/>
        <v>0</v>
      </c>
      <c r="AO2571" s="498">
        <f t="shared" si="898"/>
        <v>0</v>
      </c>
      <c r="AP2571" s="498">
        <f t="shared" si="895"/>
        <v>0</v>
      </c>
      <c r="AQ2571" s="498">
        <f t="shared" si="912"/>
        <v>0</v>
      </c>
      <c r="AU2571" s="498">
        <f t="shared" si="899"/>
        <v>0</v>
      </c>
      <c r="AV2571" s="498">
        <f t="shared" si="900"/>
        <v>0</v>
      </c>
      <c r="AW2571" s="498">
        <f t="shared" si="901"/>
        <v>0</v>
      </c>
      <c r="AX2571" s="498">
        <f t="shared" si="902"/>
        <v>0</v>
      </c>
      <c r="AY2571" s="498">
        <f t="shared" si="903"/>
        <v>0</v>
      </c>
      <c r="BB2571" s="498" t="str">
        <f t="shared" si="904"/>
        <v/>
      </c>
      <c r="BC2571" s="743" t="str">
        <f t="shared" si="905"/>
        <v/>
      </c>
      <c r="BD2571" s="743" t="str">
        <f t="shared" si="906"/>
        <v/>
      </c>
      <c r="BE2571" s="743" t="str">
        <f>IF(D2571="","",VLOOKUP(D2571,'General Basis'!$J$39:$K$46,2,0))</f>
        <v/>
      </c>
      <c r="BF2571" s="744" t="str">
        <f>IF(D2571="","",VLOOKUP(D2571,'General Basis'!$J$39:$L$46,3,0))</f>
        <v/>
      </c>
      <c r="BG2571" s="744" t="str">
        <f t="shared" si="913"/>
        <v/>
      </c>
      <c r="BH2571" s="744" t="str">
        <f>IF(G2571="","",IF(BF2571="Abu Dhabi",IF(G2571&lt;18,'General Basis'!$C$39,IF(G2571&lt;41,'General Basis'!$C$40,IF(G2571&lt;60,'General Basis'!$C$41,IF(G2571&lt;65,'General Basis'!$C$42,'General Basis'!$C$43)))),IF(G2571&lt;11,'General Basis'!$B$39,IF(G2571&lt;18,'General Basis'!$B$40,IF(G2571&lt;26,'General Basis'!$B$41,IF(G2571&lt;31,'General Basis'!$B$42,IF(G2571&lt;36,'General Basis'!$B$43,IF(G2571&lt;41,'General Basis'!$B$44,IF(G2571&lt;46,'General Basis'!$B$45,IF(G2571&lt;51,'General Basis'!$B$46,IF(G2571&lt;56,'General Basis'!$B$47,IF(G2571&lt;60,'General Basis'!$B$48,IF(G2571&lt;65,'General Basis'!$B$49,'General Basis'!$B$50)))))))))))))</f>
        <v/>
      </c>
      <c r="BI2571" s="744" t="str">
        <f t="shared" si="907"/>
        <v/>
      </c>
      <c r="BJ2571" s="747" t="str">
        <f t="shared" si="914"/>
        <v/>
      </c>
      <c r="BK2571" s="498" t="str">
        <f t="shared" si="908"/>
        <v/>
      </c>
      <c r="BL2571" s="498" t="str">
        <f t="shared" si="909"/>
        <v/>
      </c>
    </row>
    <row r="2572" spans="1:64" x14ac:dyDescent="0.25">
      <c r="A2572" s="762">
        <f t="shared" si="910"/>
        <v>2567</v>
      </c>
      <c r="B2572" s="229"/>
      <c r="C2572" s="223"/>
      <c r="D2572" s="224"/>
      <c r="E2572" s="225"/>
      <c r="F2572" s="1036" t="str">
        <f t="shared" si="894"/>
        <v/>
      </c>
      <c r="G2572" s="1037" t="str">
        <f t="shared" si="911"/>
        <v/>
      </c>
      <c r="H2572" s="225"/>
      <c r="I2572" s="1013"/>
      <c r="J2572" s="1013"/>
      <c r="K2572" s="1028"/>
      <c r="L2572" s="1035" t="str">
        <f t="shared" si="915"/>
        <v/>
      </c>
      <c r="S2572" s="498"/>
      <c r="AJ2572" s="498"/>
      <c r="AM2572" s="498">
        <f t="shared" si="896"/>
        <v>0</v>
      </c>
      <c r="AN2572" s="498">
        <f t="shared" si="897"/>
        <v>0</v>
      </c>
      <c r="AO2572" s="498">
        <f t="shared" si="898"/>
        <v>0</v>
      </c>
      <c r="AP2572" s="498">
        <f t="shared" si="895"/>
        <v>0</v>
      </c>
      <c r="AQ2572" s="498">
        <f t="shared" si="912"/>
        <v>0</v>
      </c>
      <c r="AU2572" s="498">
        <f t="shared" si="899"/>
        <v>0</v>
      </c>
      <c r="AV2572" s="498">
        <f t="shared" si="900"/>
        <v>0</v>
      </c>
      <c r="AW2572" s="498">
        <f t="shared" si="901"/>
        <v>0</v>
      </c>
      <c r="AX2572" s="498">
        <f t="shared" si="902"/>
        <v>0</v>
      </c>
      <c r="AY2572" s="498">
        <f t="shared" si="903"/>
        <v>0</v>
      </c>
      <c r="BB2572" s="498" t="str">
        <f t="shared" si="904"/>
        <v/>
      </c>
      <c r="BC2572" s="743" t="str">
        <f t="shared" si="905"/>
        <v/>
      </c>
      <c r="BD2572" s="743" t="str">
        <f t="shared" si="906"/>
        <v/>
      </c>
      <c r="BE2572" s="743" t="str">
        <f>IF(D2572="","",VLOOKUP(D2572,'General Basis'!$J$39:$K$46,2,0))</f>
        <v/>
      </c>
      <c r="BF2572" s="744" t="str">
        <f>IF(D2572="","",VLOOKUP(D2572,'General Basis'!$J$39:$L$46,3,0))</f>
        <v/>
      </c>
      <c r="BG2572" s="744" t="str">
        <f t="shared" si="913"/>
        <v/>
      </c>
      <c r="BH2572" s="744" t="str">
        <f>IF(G2572="","",IF(BF2572="Abu Dhabi",IF(G2572&lt;18,'General Basis'!$C$39,IF(G2572&lt;41,'General Basis'!$C$40,IF(G2572&lt;60,'General Basis'!$C$41,IF(G2572&lt;65,'General Basis'!$C$42,'General Basis'!$C$43)))),IF(G2572&lt;11,'General Basis'!$B$39,IF(G2572&lt;18,'General Basis'!$B$40,IF(G2572&lt;26,'General Basis'!$B$41,IF(G2572&lt;31,'General Basis'!$B$42,IF(G2572&lt;36,'General Basis'!$B$43,IF(G2572&lt;41,'General Basis'!$B$44,IF(G2572&lt;46,'General Basis'!$B$45,IF(G2572&lt;51,'General Basis'!$B$46,IF(G2572&lt;56,'General Basis'!$B$47,IF(G2572&lt;60,'General Basis'!$B$48,IF(G2572&lt;65,'General Basis'!$B$49,'General Basis'!$B$50)))))))))))))</f>
        <v/>
      </c>
      <c r="BI2572" s="744" t="str">
        <f t="shared" si="907"/>
        <v/>
      </c>
      <c r="BJ2572" s="747" t="str">
        <f t="shared" si="914"/>
        <v/>
      </c>
      <c r="BK2572" s="498" t="str">
        <f t="shared" si="908"/>
        <v/>
      </c>
      <c r="BL2572" s="498" t="str">
        <f t="shared" si="909"/>
        <v/>
      </c>
    </row>
    <row r="2573" spans="1:64" x14ac:dyDescent="0.25">
      <c r="A2573" s="762">
        <f t="shared" si="910"/>
        <v>2568</v>
      </c>
      <c r="B2573" s="229"/>
      <c r="C2573" s="223"/>
      <c r="D2573" s="224"/>
      <c r="E2573" s="225"/>
      <c r="F2573" s="1036" t="str">
        <f t="shared" si="894"/>
        <v/>
      </c>
      <c r="G2573" s="1037" t="str">
        <f t="shared" si="911"/>
        <v/>
      </c>
      <c r="H2573" s="225"/>
      <c r="I2573" s="1013"/>
      <c r="J2573" s="1013"/>
      <c r="K2573" s="1028"/>
      <c r="L2573" s="1035" t="str">
        <f t="shared" si="915"/>
        <v/>
      </c>
      <c r="S2573" s="498"/>
      <c r="AJ2573" s="498"/>
      <c r="AM2573" s="498">
        <f t="shared" si="896"/>
        <v>0</v>
      </c>
      <c r="AN2573" s="498">
        <f t="shared" si="897"/>
        <v>0</v>
      </c>
      <c r="AO2573" s="498">
        <f t="shared" si="898"/>
        <v>0</v>
      </c>
      <c r="AP2573" s="498">
        <f t="shared" si="895"/>
        <v>0</v>
      </c>
      <c r="AQ2573" s="498">
        <f t="shared" si="912"/>
        <v>0</v>
      </c>
      <c r="AU2573" s="498">
        <f t="shared" si="899"/>
        <v>0</v>
      </c>
      <c r="AV2573" s="498">
        <f t="shared" si="900"/>
        <v>0</v>
      </c>
      <c r="AW2573" s="498">
        <f t="shared" si="901"/>
        <v>0</v>
      </c>
      <c r="AX2573" s="498">
        <f t="shared" si="902"/>
        <v>0</v>
      </c>
      <c r="AY2573" s="498">
        <f t="shared" si="903"/>
        <v>0</v>
      </c>
      <c r="BB2573" s="498" t="str">
        <f t="shared" si="904"/>
        <v/>
      </c>
      <c r="BC2573" s="743" t="str">
        <f t="shared" si="905"/>
        <v/>
      </c>
      <c r="BD2573" s="743" t="str">
        <f t="shared" si="906"/>
        <v/>
      </c>
      <c r="BE2573" s="743" t="str">
        <f>IF(D2573="","",VLOOKUP(D2573,'General Basis'!$J$39:$K$46,2,0))</f>
        <v/>
      </c>
      <c r="BF2573" s="744" t="str">
        <f>IF(D2573="","",VLOOKUP(D2573,'General Basis'!$J$39:$L$46,3,0))</f>
        <v/>
      </c>
      <c r="BG2573" s="744" t="str">
        <f t="shared" si="913"/>
        <v/>
      </c>
      <c r="BH2573" s="744" t="str">
        <f>IF(G2573="","",IF(BF2573="Abu Dhabi",IF(G2573&lt;18,'General Basis'!$C$39,IF(G2573&lt;41,'General Basis'!$C$40,IF(G2573&lt;60,'General Basis'!$C$41,IF(G2573&lt;65,'General Basis'!$C$42,'General Basis'!$C$43)))),IF(G2573&lt;11,'General Basis'!$B$39,IF(G2573&lt;18,'General Basis'!$B$40,IF(G2573&lt;26,'General Basis'!$B$41,IF(G2573&lt;31,'General Basis'!$B$42,IF(G2573&lt;36,'General Basis'!$B$43,IF(G2573&lt;41,'General Basis'!$B$44,IF(G2573&lt;46,'General Basis'!$B$45,IF(G2573&lt;51,'General Basis'!$B$46,IF(G2573&lt;56,'General Basis'!$B$47,IF(G2573&lt;60,'General Basis'!$B$48,IF(G2573&lt;65,'General Basis'!$B$49,'General Basis'!$B$50)))))))))))))</f>
        <v/>
      </c>
      <c r="BI2573" s="744" t="str">
        <f t="shared" si="907"/>
        <v/>
      </c>
      <c r="BJ2573" s="747" t="str">
        <f t="shared" si="914"/>
        <v/>
      </c>
      <c r="BK2573" s="498" t="str">
        <f t="shared" si="908"/>
        <v/>
      </c>
      <c r="BL2573" s="498" t="str">
        <f t="shared" si="909"/>
        <v/>
      </c>
    </row>
    <row r="2574" spans="1:64" x14ac:dyDescent="0.25">
      <c r="A2574" s="762">
        <f t="shared" si="910"/>
        <v>2569</v>
      </c>
      <c r="B2574" s="229"/>
      <c r="C2574" s="223"/>
      <c r="D2574" s="224"/>
      <c r="E2574" s="225"/>
      <c r="F2574" s="1036" t="str">
        <f t="shared" si="894"/>
        <v/>
      </c>
      <c r="G2574" s="1037" t="str">
        <f t="shared" si="911"/>
        <v/>
      </c>
      <c r="H2574" s="225"/>
      <c r="I2574" s="1013"/>
      <c r="J2574" s="1013"/>
      <c r="K2574" s="1028"/>
      <c r="L2574" s="1035" t="str">
        <f t="shared" si="915"/>
        <v/>
      </c>
      <c r="S2574" s="498"/>
      <c r="AJ2574" s="498"/>
      <c r="AM2574" s="498">
        <f t="shared" si="896"/>
        <v>0</v>
      </c>
      <c r="AN2574" s="498">
        <f t="shared" si="897"/>
        <v>0</v>
      </c>
      <c r="AO2574" s="498">
        <f t="shared" si="898"/>
        <v>0</v>
      </c>
      <c r="AP2574" s="498">
        <f t="shared" si="895"/>
        <v>0</v>
      </c>
      <c r="AQ2574" s="498">
        <f t="shared" si="912"/>
        <v>0</v>
      </c>
      <c r="AU2574" s="498">
        <f t="shared" si="899"/>
        <v>0</v>
      </c>
      <c r="AV2574" s="498">
        <f t="shared" si="900"/>
        <v>0</v>
      </c>
      <c r="AW2574" s="498">
        <f t="shared" si="901"/>
        <v>0</v>
      </c>
      <c r="AX2574" s="498">
        <f t="shared" si="902"/>
        <v>0</v>
      </c>
      <c r="AY2574" s="498">
        <f t="shared" si="903"/>
        <v>0</v>
      </c>
      <c r="BB2574" s="498" t="str">
        <f t="shared" si="904"/>
        <v/>
      </c>
      <c r="BC2574" s="743" t="str">
        <f t="shared" si="905"/>
        <v/>
      </c>
      <c r="BD2574" s="743" t="str">
        <f t="shared" si="906"/>
        <v/>
      </c>
      <c r="BE2574" s="743" t="str">
        <f>IF(D2574="","",VLOOKUP(D2574,'General Basis'!$J$39:$K$46,2,0))</f>
        <v/>
      </c>
      <c r="BF2574" s="744" t="str">
        <f>IF(D2574="","",VLOOKUP(D2574,'General Basis'!$J$39:$L$46,3,0))</f>
        <v/>
      </c>
      <c r="BG2574" s="744" t="str">
        <f t="shared" si="913"/>
        <v/>
      </c>
      <c r="BH2574" s="744" t="str">
        <f>IF(G2574="","",IF(BF2574="Abu Dhabi",IF(G2574&lt;18,'General Basis'!$C$39,IF(G2574&lt;41,'General Basis'!$C$40,IF(G2574&lt;60,'General Basis'!$C$41,IF(G2574&lt;65,'General Basis'!$C$42,'General Basis'!$C$43)))),IF(G2574&lt;11,'General Basis'!$B$39,IF(G2574&lt;18,'General Basis'!$B$40,IF(G2574&lt;26,'General Basis'!$B$41,IF(G2574&lt;31,'General Basis'!$B$42,IF(G2574&lt;36,'General Basis'!$B$43,IF(G2574&lt;41,'General Basis'!$B$44,IF(G2574&lt;46,'General Basis'!$B$45,IF(G2574&lt;51,'General Basis'!$B$46,IF(G2574&lt;56,'General Basis'!$B$47,IF(G2574&lt;60,'General Basis'!$B$48,IF(G2574&lt;65,'General Basis'!$B$49,'General Basis'!$B$50)))))))))))))</f>
        <v/>
      </c>
      <c r="BI2574" s="744" t="str">
        <f t="shared" si="907"/>
        <v/>
      </c>
      <c r="BJ2574" s="747" t="str">
        <f t="shared" si="914"/>
        <v/>
      </c>
      <c r="BK2574" s="498" t="str">
        <f t="shared" si="908"/>
        <v/>
      </c>
      <c r="BL2574" s="498" t="str">
        <f t="shared" si="909"/>
        <v/>
      </c>
    </row>
    <row r="2575" spans="1:64" x14ac:dyDescent="0.25">
      <c r="A2575" s="762">
        <f t="shared" si="910"/>
        <v>2570</v>
      </c>
      <c r="B2575" s="229"/>
      <c r="C2575" s="223"/>
      <c r="D2575" s="224"/>
      <c r="E2575" s="225"/>
      <c r="F2575" s="1036" t="str">
        <f t="shared" si="894"/>
        <v/>
      </c>
      <c r="G2575" s="1037" t="str">
        <f t="shared" si="911"/>
        <v/>
      </c>
      <c r="H2575" s="225"/>
      <c r="I2575" s="1013"/>
      <c r="J2575" s="1013"/>
      <c r="K2575" s="1028"/>
      <c r="L2575" s="1035" t="str">
        <f t="shared" si="915"/>
        <v/>
      </c>
      <c r="S2575" s="498"/>
      <c r="AJ2575" s="498"/>
      <c r="AM2575" s="498">
        <f t="shared" si="896"/>
        <v>0</v>
      </c>
      <c r="AN2575" s="498">
        <f t="shared" si="897"/>
        <v>0</v>
      </c>
      <c r="AO2575" s="498">
        <f t="shared" si="898"/>
        <v>0</v>
      </c>
      <c r="AP2575" s="498">
        <f t="shared" si="895"/>
        <v>0</v>
      </c>
      <c r="AQ2575" s="498">
        <f t="shared" si="912"/>
        <v>0</v>
      </c>
      <c r="AU2575" s="498">
        <f t="shared" si="899"/>
        <v>0</v>
      </c>
      <c r="AV2575" s="498">
        <f t="shared" si="900"/>
        <v>0</v>
      </c>
      <c r="AW2575" s="498">
        <f t="shared" si="901"/>
        <v>0</v>
      </c>
      <c r="AX2575" s="498">
        <f t="shared" si="902"/>
        <v>0</v>
      </c>
      <c r="AY2575" s="498">
        <f t="shared" si="903"/>
        <v>0</v>
      </c>
      <c r="BB2575" s="498" t="str">
        <f t="shared" si="904"/>
        <v/>
      </c>
      <c r="BC2575" s="743" t="str">
        <f t="shared" si="905"/>
        <v/>
      </c>
      <c r="BD2575" s="743" t="str">
        <f t="shared" si="906"/>
        <v/>
      </c>
      <c r="BE2575" s="743" t="str">
        <f>IF(D2575="","",VLOOKUP(D2575,'General Basis'!$J$39:$K$46,2,0))</f>
        <v/>
      </c>
      <c r="BF2575" s="744" t="str">
        <f>IF(D2575="","",VLOOKUP(D2575,'General Basis'!$J$39:$L$46,3,0))</f>
        <v/>
      </c>
      <c r="BG2575" s="744" t="str">
        <f t="shared" si="913"/>
        <v/>
      </c>
      <c r="BH2575" s="744" t="str">
        <f>IF(G2575="","",IF(BF2575="Abu Dhabi",IF(G2575&lt;18,'General Basis'!$C$39,IF(G2575&lt;41,'General Basis'!$C$40,IF(G2575&lt;60,'General Basis'!$C$41,IF(G2575&lt;65,'General Basis'!$C$42,'General Basis'!$C$43)))),IF(G2575&lt;11,'General Basis'!$B$39,IF(G2575&lt;18,'General Basis'!$B$40,IF(G2575&lt;26,'General Basis'!$B$41,IF(G2575&lt;31,'General Basis'!$B$42,IF(G2575&lt;36,'General Basis'!$B$43,IF(G2575&lt;41,'General Basis'!$B$44,IF(G2575&lt;46,'General Basis'!$B$45,IF(G2575&lt;51,'General Basis'!$B$46,IF(G2575&lt;56,'General Basis'!$B$47,IF(G2575&lt;60,'General Basis'!$B$48,IF(G2575&lt;65,'General Basis'!$B$49,'General Basis'!$B$50)))))))))))))</f>
        <v/>
      </c>
      <c r="BI2575" s="744" t="str">
        <f t="shared" si="907"/>
        <v/>
      </c>
      <c r="BJ2575" s="747" t="str">
        <f t="shared" si="914"/>
        <v/>
      </c>
      <c r="BK2575" s="498" t="str">
        <f t="shared" si="908"/>
        <v/>
      </c>
      <c r="BL2575" s="498" t="str">
        <f t="shared" si="909"/>
        <v/>
      </c>
    </row>
    <row r="2576" spans="1:64" x14ac:dyDescent="0.25">
      <c r="A2576" s="762">
        <f t="shared" si="910"/>
        <v>2571</v>
      </c>
      <c r="B2576" s="229"/>
      <c r="C2576" s="223"/>
      <c r="D2576" s="224"/>
      <c r="E2576" s="225"/>
      <c r="F2576" s="1036" t="str">
        <f t="shared" ref="F2576:F2639" si="916">IF(C2576="","",IF($B2576="","",((YEAR($F$3)-YEAR($B2576))+(MONTH($F$3)-MONTH($B2576))/12+(DAY($F$3)-DAY($B2576))/(DATE(YEAR($F$3),12,31)-DATE(YEAR($F$3),1,1)+1))))</f>
        <v/>
      </c>
      <c r="G2576" s="1037" t="str">
        <f t="shared" si="911"/>
        <v/>
      </c>
      <c r="H2576" s="225"/>
      <c r="I2576" s="1013"/>
      <c r="J2576" s="1013"/>
      <c r="K2576" s="1028"/>
      <c r="L2576" s="1035" t="str">
        <f t="shared" si="915"/>
        <v/>
      </c>
      <c r="S2576" s="498"/>
      <c r="AJ2576" s="498"/>
      <c r="AM2576" s="498">
        <f t="shared" si="896"/>
        <v>0</v>
      </c>
      <c r="AN2576" s="498">
        <f t="shared" si="897"/>
        <v>0</v>
      </c>
      <c r="AO2576" s="498">
        <f t="shared" si="898"/>
        <v>0</v>
      </c>
      <c r="AP2576" s="498">
        <f t="shared" si="895"/>
        <v>0</v>
      </c>
      <c r="AQ2576" s="498">
        <f t="shared" si="912"/>
        <v>0</v>
      </c>
      <c r="AU2576" s="498">
        <f t="shared" si="899"/>
        <v>0</v>
      </c>
      <c r="AV2576" s="498">
        <f t="shared" si="900"/>
        <v>0</v>
      </c>
      <c r="AW2576" s="498">
        <f t="shared" si="901"/>
        <v>0</v>
      </c>
      <c r="AX2576" s="498">
        <f t="shared" si="902"/>
        <v>0</v>
      </c>
      <c r="AY2576" s="498">
        <f t="shared" si="903"/>
        <v>0</v>
      </c>
      <c r="BB2576" s="498" t="str">
        <f t="shared" si="904"/>
        <v/>
      </c>
      <c r="BC2576" s="743" t="str">
        <f t="shared" si="905"/>
        <v/>
      </c>
      <c r="BD2576" s="743" t="str">
        <f t="shared" si="906"/>
        <v/>
      </c>
      <c r="BE2576" s="743" t="str">
        <f>IF(D2576="","",VLOOKUP(D2576,'General Basis'!$J$39:$K$46,2,0))</f>
        <v/>
      </c>
      <c r="BF2576" s="744" t="str">
        <f>IF(D2576="","",VLOOKUP(D2576,'General Basis'!$J$39:$L$46,3,0))</f>
        <v/>
      </c>
      <c r="BG2576" s="744" t="str">
        <f t="shared" si="913"/>
        <v/>
      </c>
      <c r="BH2576" s="744" t="str">
        <f>IF(G2576="","",IF(BF2576="Abu Dhabi",IF(G2576&lt;18,'General Basis'!$C$39,IF(G2576&lt;41,'General Basis'!$C$40,IF(G2576&lt;60,'General Basis'!$C$41,IF(G2576&lt;65,'General Basis'!$C$42,'General Basis'!$C$43)))),IF(G2576&lt;11,'General Basis'!$B$39,IF(G2576&lt;18,'General Basis'!$B$40,IF(G2576&lt;26,'General Basis'!$B$41,IF(G2576&lt;31,'General Basis'!$B$42,IF(G2576&lt;36,'General Basis'!$B$43,IF(G2576&lt;41,'General Basis'!$B$44,IF(G2576&lt;46,'General Basis'!$B$45,IF(G2576&lt;51,'General Basis'!$B$46,IF(G2576&lt;56,'General Basis'!$B$47,IF(G2576&lt;60,'General Basis'!$B$48,IF(G2576&lt;65,'General Basis'!$B$49,'General Basis'!$B$50)))))))))))))</f>
        <v/>
      </c>
      <c r="BI2576" s="744" t="str">
        <f t="shared" si="907"/>
        <v/>
      </c>
      <c r="BJ2576" s="747" t="str">
        <f t="shared" si="914"/>
        <v/>
      </c>
      <c r="BK2576" s="498" t="str">
        <f t="shared" si="908"/>
        <v/>
      </c>
      <c r="BL2576" s="498" t="str">
        <f t="shared" si="909"/>
        <v/>
      </c>
    </row>
    <row r="2577" spans="1:64" x14ac:dyDescent="0.25">
      <c r="A2577" s="762">
        <f t="shared" si="910"/>
        <v>2572</v>
      </c>
      <c r="B2577" s="229"/>
      <c r="C2577" s="223"/>
      <c r="D2577" s="224"/>
      <c r="E2577" s="225"/>
      <c r="F2577" s="1036" t="str">
        <f t="shared" si="916"/>
        <v/>
      </c>
      <c r="G2577" s="1037" t="str">
        <f t="shared" si="911"/>
        <v/>
      </c>
      <c r="H2577" s="225"/>
      <c r="I2577" s="1013"/>
      <c r="J2577" s="1013"/>
      <c r="K2577" s="1028"/>
      <c r="L2577" s="1035" t="str">
        <f t="shared" si="915"/>
        <v/>
      </c>
      <c r="S2577" s="498"/>
      <c r="AJ2577" s="498"/>
      <c r="AM2577" s="498">
        <f t="shared" si="896"/>
        <v>0</v>
      </c>
      <c r="AN2577" s="498">
        <f t="shared" si="897"/>
        <v>0</v>
      </c>
      <c r="AO2577" s="498">
        <f t="shared" si="898"/>
        <v>0</v>
      </c>
      <c r="AP2577" s="498">
        <f t="shared" si="895"/>
        <v>0</v>
      </c>
      <c r="AQ2577" s="498">
        <f t="shared" si="912"/>
        <v>0</v>
      </c>
      <c r="AU2577" s="498">
        <f t="shared" si="899"/>
        <v>0</v>
      </c>
      <c r="AV2577" s="498">
        <f t="shared" si="900"/>
        <v>0</v>
      </c>
      <c r="AW2577" s="498">
        <f t="shared" si="901"/>
        <v>0</v>
      </c>
      <c r="AX2577" s="498">
        <f t="shared" si="902"/>
        <v>0</v>
      </c>
      <c r="AY2577" s="498">
        <f t="shared" si="903"/>
        <v>0</v>
      </c>
      <c r="BB2577" s="498" t="str">
        <f t="shared" si="904"/>
        <v/>
      </c>
      <c r="BC2577" s="743" t="str">
        <f t="shared" si="905"/>
        <v/>
      </c>
      <c r="BD2577" s="743" t="str">
        <f t="shared" si="906"/>
        <v/>
      </c>
      <c r="BE2577" s="743" t="str">
        <f>IF(D2577="","",VLOOKUP(D2577,'General Basis'!$J$39:$K$46,2,0))</f>
        <v/>
      </c>
      <c r="BF2577" s="744" t="str">
        <f>IF(D2577="","",VLOOKUP(D2577,'General Basis'!$J$39:$L$46,3,0))</f>
        <v/>
      </c>
      <c r="BG2577" s="744" t="str">
        <f t="shared" si="913"/>
        <v/>
      </c>
      <c r="BH2577" s="744" t="str">
        <f>IF(G2577="","",IF(BF2577="Abu Dhabi",IF(G2577&lt;18,'General Basis'!$C$39,IF(G2577&lt;41,'General Basis'!$C$40,IF(G2577&lt;60,'General Basis'!$C$41,IF(G2577&lt;65,'General Basis'!$C$42,'General Basis'!$C$43)))),IF(G2577&lt;11,'General Basis'!$B$39,IF(G2577&lt;18,'General Basis'!$B$40,IF(G2577&lt;26,'General Basis'!$B$41,IF(G2577&lt;31,'General Basis'!$B$42,IF(G2577&lt;36,'General Basis'!$B$43,IF(G2577&lt;41,'General Basis'!$B$44,IF(G2577&lt;46,'General Basis'!$B$45,IF(G2577&lt;51,'General Basis'!$B$46,IF(G2577&lt;56,'General Basis'!$B$47,IF(G2577&lt;60,'General Basis'!$B$48,IF(G2577&lt;65,'General Basis'!$B$49,'General Basis'!$B$50)))))))))))))</f>
        <v/>
      </c>
      <c r="BI2577" s="744" t="str">
        <f t="shared" si="907"/>
        <v/>
      </c>
      <c r="BJ2577" s="747" t="str">
        <f t="shared" si="914"/>
        <v/>
      </c>
      <c r="BK2577" s="498" t="str">
        <f t="shared" si="908"/>
        <v/>
      </c>
      <c r="BL2577" s="498" t="str">
        <f t="shared" si="909"/>
        <v/>
      </c>
    </row>
    <row r="2578" spans="1:64" x14ac:dyDescent="0.25">
      <c r="A2578" s="762">
        <f t="shared" si="910"/>
        <v>2573</v>
      </c>
      <c r="B2578" s="229"/>
      <c r="C2578" s="223"/>
      <c r="D2578" s="224"/>
      <c r="E2578" s="225"/>
      <c r="F2578" s="1036" t="str">
        <f t="shared" si="916"/>
        <v/>
      </c>
      <c r="G2578" s="1037" t="str">
        <f t="shared" si="911"/>
        <v/>
      </c>
      <c r="H2578" s="225"/>
      <c r="I2578" s="1013"/>
      <c r="J2578" s="1013"/>
      <c r="K2578" s="1028"/>
      <c r="L2578" s="1035" t="str">
        <f t="shared" si="915"/>
        <v/>
      </c>
      <c r="S2578" s="498"/>
      <c r="AJ2578" s="498"/>
      <c r="AM2578" s="498">
        <f t="shared" si="896"/>
        <v>0</v>
      </c>
      <c r="AN2578" s="498">
        <f t="shared" si="897"/>
        <v>0</v>
      </c>
      <c r="AO2578" s="498">
        <f t="shared" si="898"/>
        <v>0</v>
      </c>
      <c r="AP2578" s="498">
        <f t="shared" si="895"/>
        <v>0</v>
      </c>
      <c r="AQ2578" s="498">
        <f t="shared" si="912"/>
        <v>0</v>
      </c>
      <c r="AU2578" s="498">
        <f t="shared" si="899"/>
        <v>0</v>
      </c>
      <c r="AV2578" s="498">
        <f t="shared" si="900"/>
        <v>0</v>
      </c>
      <c r="AW2578" s="498">
        <f t="shared" si="901"/>
        <v>0</v>
      </c>
      <c r="AX2578" s="498">
        <f t="shared" si="902"/>
        <v>0</v>
      </c>
      <c r="AY2578" s="498">
        <f t="shared" si="903"/>
        <v>0</v>
      </c>
      <c r="BB2578" s="498" t="str">
        <f t="shared" si="904"/>
        <v/>
      </c>
      <c r="BC2578" s="743" t="str">
        <f t="shared" si="905"/>
        <v/>
      </c>
      <c r="BD2578" s="743" t="str">
        <f t="shared" si="906"/>
        <v/>
      </c>
      <c r="BE2578" s="743" t="str">
        <f>IF(D2578="","",VLOOKUP(D2578,'General Basis'!$J$39:$K$46,2,0))</f>
        <v/>
      </c>
      <c r="BF2578" s="744" t="str">
        <f>IF(D2578="","",VLOOKUP(D2578,'General Basis'!$J$39:$L$46,3,0))</f>
        <v/>
      </c>
      <c r="BG2578" s="744" t="str">
        <f t="shared" si="913"/>
        <v/>
      </c>
      <c r="BH2578" s="744" t="str">
        <f>IF(G2578="","",IF(BF2578="Abu Dhabi",IF(G2578&lt;18,'General Basis'!$C$39,IF(G2578&lt;41,'General Basis'!$C$40,IF(G2578&lt;60,'General Basis'!$C$41,IF(G2578&lt;65,'General Basis'!$C$42,'General Basis'!$C$43)))),IF(G2578&lt;11,'General Basis'!$B$39,IF(G2578&lt;18,'General Basis'!$B$40,IF(G2578&lt;26,'General Basis'!$B$41,IF(G2578&lt;31,'General Basis'!$B$42,IF(G2578&lt;36,'General Basis'!$B$43,IF(G2578&lt;41,'General Basis'!$B$44,IF(G2578&lt;46,'General Basis'!$B$45,IF(G2578&lt;51,'General Basis'!$B$46,IF(G2578&lt;56,'General Basis'!$B$47,IF(G2578&lt;60,'General Basis'!$B$48,IF(G2578&lt;65,'General Basis'!$B$49,'General Basis'!$B$50)))))))))))))</f>
        <v/>
      </c>
      <c r="BI2578" s="744" t="str">
        <f t="shared" si="907"/>
        <v/>
      </c>
      <c r="BJ2578" s="747" t="str">
        <f t="shared" si="914"/>
        <v/>
      </c>
      <c r="BK2578" s="498" t="str">
        <f t="shared" si="908"/>
        <v/>
      </c>
      <c r="BL2578" s="498" t="str">
        <f t="shared" si="909"/>
        <v/>
      </c>
    </row>
    <row r="2579" spans="1:64" x14ac:dyDescent="0.25">
      <c r="A2579" s="762">
        <f t="shared" si="910"/>
        <v>2574</v>
      </c>
      <c r="B2579" s="229"/>
      <c r="C2579" s="223"/>
      <c r="D2579" s="224"/>
      <c r="E2579" s="225"/>
      <c r="F2579" s="1036" t="str">
        <f t="shared" si="916"/>
        <v/>
      </c>
      <c r="G2579" s="1037" t="str">
        <f t="shared" si="911"/>
        <v/>
      </c>
      <c r="H2579" s="225"/>
      <c r="I2579" s="1013"/>
      <c r="J2579" s="1013"/>
      <c r="K2579" s="1028"/>
      <c r="L2579" s="1035" t="str">
        <f t="shared" si="915"/>
        <v/>
      </c>
      <c r="S2579" s="498"/>
      <c r="AJ2579" s="498"/>
      <c r="AM2579" s="498">
        <f t="shared" si="896"/>
        <v>0</v>
      </c>
      <c r="AN2579" s="498">
        <f t="shared" si="897"/>
        <v>0</v>
      </c>
      <c r="AO2579" s="498">
        <f t="shared" si="898"/>
        <v>0</v>
      </c>
      <c r="AP2579" s="498">
        <f t="shared" ref="AP2579:AP2642" si="917">IF(ISBLANK($B2579),0,IF(OR($C2579="M",$C2579="F"),0,1))</f>
        <v>0</v>
      </c>
      <c r="AQ2579" s="498">
        <f t="shared" si="912"/>
        <v>0</v>
      </c>
      <c r="AU2579" s="498">
        <f t="shared" si="899"/>
        <v>0</v>
      </c>
      <c r="AV2579" s="498">
        <f t="shared" si="900"/>
        <v>0</v>
      </c>
      <c r="AW2579" s="498">
        <f t="shared" si="901"/>
        <v>0</v>
      </c>
      <c r="AX2579" s="498">
        <f t="shared" si="902"/>
        <v>0</v>
      </c>
      <c r="AY2579" s="498">
        <f t="shared" si="903"/>
        <v>0</v>
      </c>
      <c r="BB2579" s="498" t="str">
        <f t="shared" si="904"/>
        <v/>
      </c>
      <c r="BC2579" s="743" t="str">
        <f t="shared" si="905"/>
        <v/>
      </c>
      <c r="BD2579" s="743" t="str">
        <f t="shared" si="906"/>
        <v/>
      </c>
      <c r="BE2579" s="743" t="str">
        <f>IF(D2579="","",VLOOKUP(D2579,'General Basis'!$J$39:$K$46,2,0))</f>
        <v/>
      </c>
      <c r="BF2579" s="744" t="str">
        <f>IF(D2579="","",VLOOKUP(D2579,'General Basis'!$J$39:$L$46,3,0))</f>
        <v/>
      </c>
      <c r="BG2579" s="744" t="str">
        <f t="shared" si="913"/>
        <v/>
      </c>
      <c r="BH2579" s="744" t="str">
        <f>IF(G2579="","",IF(BF2579="Abu Dhabi",IF(G2579&lt;18,'General Basis'!$C$39,IF(G2579&lt;41,'General Basis'!$C$40,IF(G2579&lt;60,'General Basis'!$C$41,IF(G2579&lt;65,'General Basis'!$C$42,'General Basis'!$C$43)))),IF(G2579&lt;11,'General Basis'!$B$39,IF(G2579&lt;18,'General Basis'!$B$40,IF(G2579&lt;26,'General Basis'!$B$41,IF(G2579&lt;31,'General Basis'!$B$42,IF(G2579&lt;36,'General Basis'!$B$43,IF(G2579&lt;41,'General Basis'!$B$44,IF(G2579&lt;46,'General Basis'!$B$45,IF(G2579&lt;51,'General Basis'!$B$46,IF(G2579&lt;56,'General Basis'!$B$47,IF(G2579&lt;60,'General Basis'!$B$48,IF(G2579&lt;65,'General Basis'!$B$49,'General Basis'!$B$50)))))))))))))</f>
        <v/>
      </c>
      <c r="BI2579" s="744" t="str">
        <f t="shared" si="907"/>
        <v/>
      </c>
      <c r="BJ2579" s="747" t="str">
        <f t="shared" si="914"/>
        <v/>
      </c>
      <c r="BK2579" s="498" t="str">
        <f t="shared" si="908"/>
        <v/>
      </c>
      <c r="BL2579" s="498" t="str">
        <f t="shared" si="909"/>
        <v/>
      </c>
    </row>
    <row r="2580" spans="1:64" x14ac:dyDescent="0.25">
      <c r="A2580" s="762">
        <f t="shared" si="910"/>
        <v>2575</v>
      </c>
      <c r="B2580" s="229"/>
      <c r="C2580" s="223"/>
      <c r="D2580" s="224"/>
      <c r="E2580" s="225"/>
      <c r="F2580" s="1036" t="str">
        <f t="shared" si="916"/>
        <v/>
      </c>
      <c r="G2580" s="1037" t="str">
        <f t="shared" si="911"/>
        <v/>
      </c>
      <c r="H2580" s="225"/>
      <c r="I2580" s="1013"/>
      <c r="J2580" s="1013"/>
      <c r="K2580" s="1028"/>
      <c r="L2580" s="1035" t="str">
        <f t="shared" si="915"/>
        <v/>
      </c>
      <c r="S2580" s="498"/>
      <c r="AJ2580" s="498"/>
      <c r="AM2580" s="498">
        <f t="shared" si="896"/>
        <v>0</v>
      </c>
      <c r="AN2580" s="498">
        <f t="shared" si="897"/>
        <v>0</v>
      </c>
      <c r="AO2580" s="498">
        <f t="shared" si="898"/>
        <v>0</v>
      </c>
      <c r="AP2580" s="498">
        <f t="shared" si="917"/>
        <v>0</v>
      </c>
      <c r="AQ2580" s="498">
        <f t="shared" si="912"/>
        <v>0</v>
      </c>
      <c r="AU2580" s="498">
        <f t="shared" si="899"/>
        <v>0</v>
      </c>
      <c r="AV2580" s="498">
        <f t="shared" si="900"/>
        <v>0</v>
      </c>
      <c r="AW2580" s="498">
        <f t="shared" si="901"/>
        <v>0</v>
      </c>
      <c r="AX2580" s="498">
        <f t="shared" si="902"/>
        <v>0</v>
      </c>
      <c r="AY2580" s="498">
        <f t="shared" si="903"/>
        <v>0</v>
      </c>
      <c r="BB2580" s="498" t="str">
        <f t="shared" si="904"/>
        <v/>
      </c>
      <c r="BC2580" s="743" t="str">
        <f t="shared" si="905"/>
        <v/>
      </c>
      <c r="BD2580" s="743" t="str">
        <f t="shared" si="906"/>
        <v/>
      </c>
      <c r="BE2580" s="743" t="str">
        <f>IF(D2580="","",VLOOKUP(D2580,'General Basis'!$J$39:$K$46,2,0))</f>
        <v/>
      </c>
      <c r="BF2580" s="744" t="str">
        <f>IF(D2580="","",VLOOKUP(D2580,'General Basis'!$J$39:$L$46,3,0))</f>
        <v/>
      </c>
      <c r="BG2580" s="744" t="str">
        <f t="shared" si="913"/>
        <v/>
      </c>
      <c r="BH2580" s="744" t="str">
        <f>IF(G2580="","",IF(BF2580="Abu Dhabi",IF(G2580&lt;18,'General Basis'!$C$39,IF(G2580&lt;41,'General Basis'!$C$40,IF(G2580&lt;60,'General Basis'!$C$41,IF(G2580&lt;65,'General Basis'!$C$42,'General Basis'!$C$43)))),IF(G2580&lt;11,'General Basis'!$B$39,IF(G2580&lt;18,'General Basis'!$B$40,IF(G2580&lt;26,'General Basis'!$B$41,IF(G2580&lt;31,'General Basis'!$B$42,IF(G2580&lt;36,'General Basis'!$B$43,IF(G2580&lt;41,'General Basis'!$B$44,IF(G2580&lt;46,'General Basis'!$B$45,IF(G2580&lt;51,'General Basis'!$B$46,IF(G2580&lt;56,'General Basis'!$B$47,IF(G2580&lt;60,'General Basis'!$B$48,IF(G2580&lt;65,'General Basis'!$B$49,'General Basis'!$B$50)))))))))))))</f>
        <v/>
      </c>
      <c r="BI2580" s="744" t="str">
        <f t="shared" si="907"/>
        <v/>
      </c>
      <c r="BJ2580" s="747" t="str">
        <f t="shared" si="914"/>
        <v/>
      </c>
      <c r="BK2580" s="498" t="str">
        <f t="shared" si="908"/>
        <v/>
      </c>
      <c r="BL2580" s="498" t="str">
        <f t="shared" si="909"/>
        <v/>
      </c>
    </row>
    <row r="2581" spans="1:64" x14ac:dyDescent="0.25">
      <c r="A2581" s="762">
        <f t="shared" si="910"/>
        <v>2576</v>
      </c>
      <c r="B2581" s="229"/>
      <c r="C2581" s="223"/>
      <c r="D2581" s="224"/>
      <c r="E2581" s="225"/>
      <c r="F2581" s="1036" t="str">
        <f t="shared" si="916"/>
        <v/>
      </c>
      <c r="G2581" s="1037" t="str">
        <f t="shared" si="911"/>
        <v/>
      </c>
      <c r="H2581" s="225"/>
      <c r="I2581" s="1013"/>
      <c r="J2581" s="1013"/>
      <c r="K2581" s="1028"/>
      <c r="L2581" s="1035" t="str">
        <f t="shared" si="915"/>
        <v/>
      </c>
      <c r="S2581" s="498"/>
      <c r="AJ2581" s="498"/>
      <c r="AM2581" s="498">
        <f t="shared" si="896"/>
        <v>0</v>
      </c>
      <c r="AN2581" s="498">
        <f t="shared" si="897"/>
        <v>0</v>
      </c>
      <c r="AO2581" s="498">
        <f t="shared" si="898"/>
        <v>0</v>
      </c>
      <c r="AP2581" s="498">
        <f t="shared" si="917"/>
        <v>0</v>
      </c>
      <c r="AQ2581" s="498">
        <f t="shared" si="912"/>
        <v>0</v>
      </c>
      <c r="AU2581" s="498">
        <f t="shared" si="899"/>
        <v>0</v>
      </c>
      <c r="AV2581" s="498">
        <f t="shared" si="900"/>
        <v>0</v>
      </c>
      <c r="AW2581" s="498">
        <f t="shared" si="901"/>
        <v>0</v>
      </c>
      <c r="AX2581" s="498">
        <f t="shared" si="902"/>
        <v>0</v>
      </c>
      <c r="AY2581" s="498">
        <f t="shared" si="903"/>
        <v>0</v>
      </c>
      <c r="BB2581" s="498" t="str">
        <f t="shared" si="904"/>
        <v/>
      </c>
      <c r="BC2581" s="743" t="str">
        <f t="shared" si="905"/>
        <v/>
      </c>
      <c r="BD2581" s="743" t="str">
        <f t="shared" si="906"/>
        <v/>
      </c>
      <c r="BE2581" s="743" t="str">
        <f>IF(D2581="","",VLOOKUP(D2581,'General Basis'!$J$39:$K$46,2,0))</f>
        <v/>
      </c>
      <c r="BF2581" s="744" t="str">
        <f>IF(D2581="","",VLOOKUP(D2581,'General Basis'!$J$39:$L$46,3,0))</f>
        <v/>
      </c>
      <c r="BG2581" s="744" t="str">
        <f t="shared" si="913"/>
        <v/>
      </c>
      <c r="BH2581" s="744" t="str">
        <f>IF(G2581="","",IF(BF2581="Abu Dhabi",IF(G2581&lt;18,'General Basis'!$C$39,IF(G2581&lt;41,'General Basis'!$C$40,IF(G2581&lt;60,'General Basis'!$C$41,IF(G2581&lt;65,'General Basis'!$C$42,'General Basis'!$C$43)))),IF(G2581&lt;11,'General Basis'!$B$39,IF(G2581&lt;18,'General Basis'!$B$40,IF(G2581&lt;26,'General Basis'!$B$41,IF(G2581&lt;31,'General Basis'!$B$42,IF(G2581&lt;36,'General Basis'!$B$43,IF(G2581&lt;41,'General Basis'!$B$44,IF(G2581&lt;46,'General Basis'!$B$45,IF(G2581&lt;51,'General Basis'!$B$46,IF(G2581&lt;56,'General Basis'!$B$47,IF(G2581&lt;60,'General Basis'!$B$48,IF(G2581&lt;65,'General Basis'!$B$49,'General Basis'!$B$50)))))))))))))</f>
        <v/>
      </c>
      <c r="BI2581" s="744" t="str">
        <f t="shared" si="907"/>
        <v/>
      </c>
      <c r="BJ2581" s="747" t="str">
        <f t="shared" si="914"/>
        <v/>
      </c>
      <c r="BK2581" s="498" t="str">
        <f t="shared" si="908"/>
        <v/>
      </c>
      <c r="BL2581" s="498" t="str">
        <f t="shared" si="909"/>
        <v/>
      </c>
    </row>
    <row r="2582" spans="1:64" x14ac:dyDescent="0.25">
      <c r="A2582" s="762">
        <f t="shared" si="910"/>
        <v>2577</v>
      </c>
      <c r="B2582" s="229"/>
      <c r="C2582" s="223"/>
      <c r="D2582" s="224"/>
      <c r="E2582" s="225"/>
      <c r="F2582" s="1036" t="str">
        <f t="shared" si="916"/>
        <v/>
      </c>
      <c r="G2582" s="1037" t="str">
        <f t="shared" si="911"/>
        <v/>
      </c>
      <c r="H2582" s="225"/>
      <c r="I2582" s="1013"/>
      <c r="J2582" s="1013"/>
      <c r="K2582" s="1028"/>
      <c r="L2582" s="1035" t="str">
        <f t="shared" si="915"/>
        <v/>
      </c>
      <c r="S2582" s="498"/>
      <c r="AJ2582" s="498"/>
      <c r="AM2582" s="498">
        <f t="shared" si="896"/>
        <v>0</v>
      </c>
      <c r="AN2582" s="498">
        <f t="shared" si="897"/>
        <v>0</v>
      </c>
      <c r="AO2582" s="498">
        <f t="shared" si="898"/>
        <v>0</v>
      </c>
      <c r="AP2582" s="498">
        <f t="shared" si="917"/>
        <v>0</v>
      </c>
      <c r="AQ2582" s="498">
        <f t="shared" si="912"/>
        <v>0</v>
      </c>
      <c r="AU2582" s="498">
        <f t="shared" si="899"/>
        <v>0</v>
      </c>
      <c r="AV2582" s="498">
        <f t="shared" si="900"/>
        <v>0</v>
      </c>
      <c r="AW2582" s="498">
        <f t="shared" si="901"/>
        <v>0</v>
      </c>
      <c r="AX2582" s="498">
        <f t="shared" si="902"/>
        <v>0</v>
      </c>
      <c r="AY2582" s="498">
        <f t="shared" si="903"/>
        <v>0</v>
      </c>
      <c r="BB2582" s="498" t="str">
        <f t="shared" si="904"/>
        <v/>
      </c>
      <c r="BC2582" s="743" t="str">
        <f t="shared" si="905"/>
        <v/>
      </c>
      <c r="BD2582" s="743" t="str">
        <f t="shared" si="906"/>
        <v/>
      </c>
      <c r="BE2582" s="743" t="str">
        <f>IF(D2582="","",VLOOKUP(D2582,'General Basis'!$J$39:$K$46,2,0))</f>
        <v/>
      </c>
      <c r="BF2582" s="744" t="str">
        <f>IF(D2582="","",VLOOKUP(D2582,'General Basis'!$J$39:$L$46,3,0))</f>
        <v/>
      </c>
      <c r="BG2582" s="744" t="str">
        <f t="shared" si="913"/>
        <v/>
      </c>
      <c r="BH2582" s="744" t="str">
        <f>IF(G2582="","",IF(BF2582="Abu Dhabi",IF(G2582&lt;18,'General Basis'!$C$39,IF(G2582&lt;41,'General Basis'!$C$40,IF(G2582&lt;60,'General Basis'!$C$41,IF(G2582&lt;65,'General Basis'!$C$42,'General Basis'!$C$43)))),IF(G2582&lt;11,'General Basis'!$B$39,IF(G2582&lt;18,'General Basis'!$B$40,IF(G2582&lt;26,'General Basis'!$B$41,IF(G2582&lt;31,'General Basis'!$B$42,IF(G2582&lt;36,'General Basis'!$B$43,IF(G2582&lt;41,'General Basis'!$B$44,IF(G2582&lt;46,'General Basis'!$B$45,IF(G2582&lt;51,'General Basis'!$B$46,IF(G2582&lt;56,'General Basis'!$B$47,IF(G2582&lt;60,'General Basis'!$B$48,IF(G2582&lt;65,'General Basis'!$B$49,'General Basis'!$B$50)))))))))))))</f>
        <v/>
      </c>
      <c r="BI2582" s="744" t="str">
        <f t="shared" si="907"/>
        <v/>
      </c>
      <c r="BJ2582" s="747" t="str">
        <f t="shared" si="914"/>
        <v/>
      </c>
      <c r="BK2582" s="498" t="str">
        <f t="shared" si="908"/>
        <v/>
      </c>
      <c r="BL2582" s="498" t="str">
        <f t="shared" si="909"/>
        <v/>
      </c>
    </row>
    <row r="2583" spans="1:64" x14ac:dyDescent="0.25">
      <c r="A2583" s="762">
        <f t="shared" si="910"/>
        <v>2578</v>
      </c>
      <c r="B2583" s="229"/>
      <c r="C2583" s="223"/>
      <c r="D2583" s="224"/>
      <c r="E2583" s="225"/>
      <c r="F2583" s="1036" t="str">
        <f t="shared" si="916"/>
        <v/>
      </c>
      <c r="G2583" s="1037" t="str">
        <f t="shared" si="911"/>
        <v/>
      </c>
      <c r="H2583" s="225"/>
      <c r="I2583" s="1013"/>
      <c r="J2583" s="1013"/>
      <c r="K2583" s="1028"/>
      <c r="L2583" s="1035" t="str">
        <f t="shared" si="915"/>
        <v/>
      </c>
      <c r="S2583" s="498"/>
      <c r="AJ2583" s="498"/>
      <c r="AM2583" s="498">
        <f t="shared" si="896"/>
        <v>0</v>
      </c>
      <c r="AN2583" s="498">
        <f t="shared" si="897"/>
        <v>0</v>
      </c>
      <c r="AO2583" s="498">
        <f t="shared" si="898"/>
        <v>0</v>
      </c>
      <c r="AP2583" s="498">
        <f t="shared" si="917"/>
        <v>0</v>
      </c>
      <c r="AQ2583" s="498">
        <f t="shared" si="912"/>
        <v>0</v>
      </c>
      <c r="AU2583" s="498">
        <f t="shared" si="899"/>
        <v>0</v>
      </c>
      <c r="AV2583" s="498">
        <f t="shared" si="900"/>
        <v>0</v>
      </c>
      <c r="AW2583" s="498">
        <f t="shared" si="901"/>
        <v>0</v>
      </c>
      <c r="AX2583" s="498">
        <f t="shared" si="902"/>
        <v>0</v>
      </c>
      <c r="AY2583" s="498">
        <f t="shared" si="903"/>
        <v>0</v>
      </c>
      <c r="BB2583" s="498" t="str">
        <f t="shared" si="904"/>
        <v/>
      </c>
      <c r="BC2583" s="743" t="str">
        <f t="shared" si="905"/>
        <v/>
      </c>
      <c r="BD2583" s="743" t="str">
        <f t="shared" si="906"/>
        <v/>
      </c>
      <c r="BE2583" s="743" t="str">
        <f>IF(D2583="","",VLOOKUP(D2583,'General Basis'!$J$39:$K$46,2,0))</f>
        <v/>
      </c>
      <c r="BF2583" s="744" t="str">
        <f>IF(D2583="","",VLOOKUP(D2583,'General Basis'!$J$39:$L$46,3,0))</f>
        <v/>
      </c>
      <c r="BG2583" s="744" t="str">
        <f t="shared" si="913"/>
        <v/>
      </c>
      <c r="BH2583" s="744" t="str">
        <f>IF(G2583="","",IF(BF2583="Abu Dhabi",IF(G2583&lt;18,'General Basis'!$C$39,IF(G2583&lt;41,'General Basis'!$C$40,IF(G2583&lt;60,'General Basis'!$C$41,IF(G2583&lt;65,'General Basis'!$C$42,'General Basis'!$C$43)))),IF(G2583&lt;11,'General Basis'!$B$39,IF(G2583&lt;18,'General Basis'!$B$40,IF(G2583&lt;26,'General Basis'!$B$41,IF(G2583&lt;31,'General Basis'!$B$42,IF(G2583&lt;36,'General Basis'!$B$43,IF(G2583&lt;41,'General Basis'!$B$44,IF(G2583&lt;46,'General Basis'!$B$45,IF(G2583&lt;51,'General Basis'!$B$46,IF(G2583&lt;56,'General Basis'!$B$47,IF(G2583&lt;60,'General Basis'!$B$48,IF(G2583&lt;65,'General Basis'!$B$49,'General Basis'!$B$50)))))))))))))</f>
        <v/>
      </c>
      <c r="BI2583" s="744" t="str">
        <f t="shared" si="907"/>
        <v/>
      </c>
      <c r="BJ2583" s="747" t="str">
        <f t="shared" si="914"/>
        <v/>
      </c>
      <c r="BK2583" s="498" t="str">
        <f t="shared" si="908"/>
        <v/>
      </c>
      <c r="BL2583" s="498" t="str">
        <f t="shared" si="909"/>
        <v/>
      </c>
    </row>
    <row r="2584" spans="1:64" x14ac:dyDescent="0.25">
      <c r="A2584" s="762">
        <f t="shared" si="910"/>
        <v>2579</v>
      </c>
      <c r="B2584" s="229"/>
      <c r="C2584" s="223"/>
      <c r="D2584" s="224"/>
      <c r="E2584" s="225"/>
      <c r="F2584" s="1036" t="str">
        <f t="shared" si="916"/>
        <v/>
      </c>
      <c r="G2584" s="1037" t="str">
        <f t="shared" si="911"/>
        <v/>
      </c>
      <c r="H2584" s="225"/>
      <c r="I2584" s="1013"/>
      <c r="J2584" s="1013"/>
      <c r="K2584" s="1028"/>
      <c r="L2584" s="1035" t="str">
        <f t="shared" si="915"/>
        <v/>
      </c>
      <c r="S2584" s="498"/>
      <c r="AJ2584" s="498"/>
      <c r="AM2584" s="498">
        <f t="shared" si="896"/>
        <v>0</v>
      </c>
      <c r="AN2584" s="498">
        <f t="shared" si="897"/>
        <v>0</v>
      </c>
      <c r="AO2584" s="498">
        <f t="shared" si="898"/>
        <v>0</v>
      </c>
      <c r="AP2584" s="498">
        <f t="shared" si="917"/>
        <v>0</v>
      </c>
      <c r="AQ2584" s="498">
        <f t="shared" si="912"/>
        <v>0</v>
      </c>
      <c r="AU2584" s="498">
        <f t="shared" si="899"/>
        <v>0</v>
      </c>
      <c r="AV2584" s="498">
        <f t="shared" si="900"/>
        <v>0</v>
      </c>
      <c r="AW2584" s="498">
        <f t="shared" si="901"/>
        <v>0</v>
      </c>
      <c r="AX2584" s="498">
        <f t="shared" si="902"/>
        <v>0</v>
      </c>
      <c r="AY2584" s="498">
        <f t="shared" si="903"/>
        <v>0</v>
      </c>
      <c r="BB2584" s="498" t="str">
        <f t="shared" si="904"/>
        <v/>
      </c>
      <c r="BC2584" s="743" t="str">
        <f t="shared" si="905"/>
        <v/>
      </c>
      <c r="BD2584" s="743" t="str">
        <f t="shared" si="906"/>
        <v/>
      </c>
      <c r="BE2584" s="743" t="str">
        <f>IF(D2584="","",VLOOKUP(D2584,'General Basis'!$J$39:$K$46,2,0))</f>
        <v/>
      </c>
      <c r="BF2584" s="744" t="str">
        <f>IF(D2584="","",VLOOKUP(D2584,'General Basis'!$J$39:$L$46,3,0))</f>
        <v/>
      </c>
      <c r="BG2584" s="744" t="str">
        <f t="shared" si="913"/>
        <v/>
      </c>
      <c r="BH2584" s="744" t="str">
        <f>IF(G2584="","",IF(BF2584="Abu Dhabi",IF(G2584&lt;18,'General Basis'!$C$39,IF(G2584&lt;41,'General Basis'!$C$40,IF(G2584&lt;60,'General Basis'!$C$41,IF(G2584&lt;65,'General Basis'!$C$42,'General Basis'!$C$43)))),IF(G2584&lt;11,'General Basis'!$B$39,IF(G2584&lt;18,'General Basis'!$B$40,IF(G2584&lt;26,'General Basis'!$B$41,IF(G2584&lt;31,'General Basis'!$B$42,IF(G2584&lt;36,'General Basis'!$B$43,IF(G2584&lt;41,'General Basis'!$B$44,IF(G2584&lt;46,'General Basis'!$B$45,IF(G2584&lt;51,'General Basis'!$B$46,IF(G2584&lt;56,'General Basis'!$B$47,IF(G2584&lt;60,'General Basis'!$B$48,IF(G2584&lt;65,'General Basis'!$B$49,'General Basis'!$B$50)))))))))))))</f>
        <v/>
      </c>
      <c r="BI2584" s="744" t="str">
        <f t="shared" si="907"/>
        <v/>
      </c>
      <c r="BJ2584" s="747" t="str">
        <f t="shared" si="914"/>
        <v/>
      </c>
      <c r="BK2584" s="498" t="str">
        <f t="shared" si="908"/>
        <v/>
      </c>
      <c r="BL2584" s="498" t="str">
        <f t="shared" si="909"/>
        <v/>
      </c>
    </row>
    <row r="2585" spans="1:64" x14ac:dyDescent="0.25">
      <c r="A2585" s="762">
        <f t="shared" si="910"/>
        <v>2580</v>
      </c>
      <c r="B2585" s="229"/>
      <c r="C2585" s="223"/>
      <c r="D2585" s="224"/>
      <c r="E2585" s="225"/>
      <c r="F2585" s="1036" t="str">
        <f t="shared" si="916"/>
        <v/>
      </c>
      <c r="G2585" s="1037" t="str">
        <f t="shared" si="911"/>
        <v/>
      </c>
      <c r="H2585" s="225"/>
      <c r="I2585" s="1013"/>
      <c r="J2585" s="1013"/>
      <c r="K2585" s="1028"/>
      <c r="L2585" s="1035" t="str">
        <f t="shared" si="915"/>
        <v/>
      </c>
      <c r="S2585" s="498"/>
      <c r="AJ2585" s="498"/>
      <c r="AM2585" s="498">
        <f t="shared" si="896"/>
        <v>0</v>
      </c>
      <c r="AN2585" s="498">
        <f t="shared" si="897"/>
        <v>0</v>
      </c>
      <c r="AO2585" s="498">
        <f t="shared" si="898"/>
        <v>0</v>
      </c>
      <c r="AP2585" s="498">
        <f t="shared" si="917"/>
        <v>0</v>
      </c>
      <c r="AQ2585" s="498">
        <f t="shared" si="912"/>
        <v>0</v>
      </c>
      <c r="AU2585" s="498">
        <f t="shared" si="899"/>
        <v>0</v>
      </c>
      <c r="AV2585" s="498">
        <f t="shared" si="900"/>
        <v>0</v>
      </c>
      <c r="AW2585" s="498">
        <f t="shared" si="901"/>
        <v>0</v>
      </c>
      <c r="AX2585" s="498">
        <f t="shared" si="902"/>
        <v>0</v>
      </c>
      <c r="AY2585" s="498">
        <f t="shared" si="903"/>
        <v>0</v>
      </c>
      <c r="BB2585" s="498" t="str">
        <f t="shared" si="904"/>
        <v/>
      </c>
      <c r="BC2585" s="743" t="str">
        <f t="shared" si="905"/>
        <v/>
      </c>
      <c r="BD2585" s="743" t="str">
        <f t="shared" si="906"/>
        <v/>
      </c>
      <c r="BE2585" s="743" t="str">
        <f>IF(D2585="","",VLOOKUP(D2585,'General Basis'!$J$39:$K$46,2,0))</f>
        <v/>
      </c>
      <c r="BF2585" s="744" t="str">
        <f>IF(D2585="","",VLOOKUP(D2585,'General Basis'!$J$39:$L$46,3,0))</f>
        <v/>
      </c>
      <c r="BG2585" s="744" t="str">
        <f t="shared" si="913"/>
        <v/>
      </c>
      <c r="BH2585" s="744" t="str">
        <f>IF(G2585="","",IF(BF2585="Abu Dhabi",IF(G2585&lt;18,'General Basis'!$C$39,IF(G2585&lt;41,'General Basis'!$C$40,IF(G2585&lt;60,'General Basis'!$C$41,IF(G2585&lt;65,'General Basis'!$C$42,'General Basis'!$C$43)))),IF(G2585&lt;11,'General Basis'!$B$39,IF(G2585&lt;18,'General Basis'!$B$40,IF(G2585&lt;26,'General Basis'!$B$41,IF(G2585&lt;31,'General Basis'!$B$42,IF(G2585&lt;36,'General Basis'!$B$43,IF(G2585&lt;41,'General Basis'!$B$44,IF(G2585&lt;46,'General Basis'!$B$45,IF(G2585&lt;51,'General Basis'!$B$46,IF(G2585&lt;56,'General Basis'!$B$47,IF(G2585&lt;60,'General Basis'!$B$48,IF(G2585&lt;65,'General Basis'!$B$49,'General Basis'!$B$50)))))))))))))</f>
        <v/>
      </c>
      <c r="BI2585" s="744" t="str">
        <f t="shared" si="907"/>
        <v/>
      </c>
      <c r="BJ2585" s="747" t="str">
        <f t="shared" si="914"/>
        <v/>
      </c>
      <c r="BK2585" s="498" t="str">
        <f t="shared" si="908"/>
        <v/>
      </c>
      <c r="BL2585" s="498" t="str">
        <f t="shared" si="909"/>
        <v/>
      </c>
    </row>
    <row r="2586" spans="1:64" x14ac:dyDescent="0.25">
      <c r="A2586" s="762">
        <f t="shared" si="910"/>
        <v>2581</v>
      </c>
      <c r="B2586" s="229"/>
      <c r="C2586" s="223"/>
      <c r="D2586" s="224"/>
      <c r="E2586" s="225"/>
      <c r="F2586" s="1036" t="str">
        <f t="shared" si="916"/>
        <v/>
      </c>
      <c r="G2586" s="1037" t="str">
        <f t="shared" si="911"/>
        <v/>
      </c>
      <c r="H2586" s="225"/>
      <c r="I2586" s="1013"/>
      <c r="J2586" s="1013"/>
      <c r="K2586" s="1028"/>
      <c r="L2586" s="1035" t="str">
        <f t="shared" si="915"/>
        <v/>
      </c>
      <c r="S2586" s="498"/>
      <c r="AJ2586" s="498"/>
      <c r="AM2586" s="498">
        <f t="shared" si="896"/>
        <v>0</v>
      </c>
      <c r="AN2586" s="498">
        <f t="shared" si="897"/>
        <v>0</v>
      </c>
      <c r="AO2586" s="498">
        <f t="shared" si="898"/>
        <v>0</v>
      </c>
      <c r="AP2586" s="498">
        <f t="shared" si="917"/>
        <v>0</v>
      </c>
      <c r="AQ2586" s="498">
        <f t="shared" si="912"/>
        <v>0</v>
      </c>
      <c r="AU2586" s="498">
        <f t="shared" si="899"/>
        <v>0</v>
      </c>
      <c r="AV2586" s="498">
        <f t="shared" si="900"/>
        <v>0</v>
      </c>
      <c r="AW2586" s="498">
        <f t="shared" si="901"/>
        <v>0</v>
      </c>
      <c r="AX2586" s="498">
        <f t="shared" si="902"/>
        <v>0</v>
      </c>
      <c r="AY2586" s="498">
        <f t="shared" si="903"/>
        <v>0</v>
      </c>
      <c r="BB2586" s="498" t="str">
        <f t="shared" si="904"/>
        <v/>
      </c>
      <c r="BC2586" s="743" t="str">
        <f t="shared" si="905"/>
        <v/>
      </c>
      <c r="BD2586" s="743" t="str">
        <f t="shared" si="906"/>
        <v/>
      </c>
      <c r="BE2586" s="743" t="str">
        <f>IF(D2586="","",VLOOKUP(D2586,'General Basis'!$J$39:$K$46,2,0))</f>
        <v/>
      </c>
      <c r="BF2586" s="744" t="str">
        <f>IF(D2586="","",VLOOKUP(D2586,'General Basis'!$J$39:$L$46,3,0))</f>
        <v/>
      </c>
      <c r="BG2586" s="744" t="str">
        <f t="shared" si="913"/>
        <v/>
      </c>
      <c r="BH2586" s="744" t="str">
        <f>IF(G2586="","",IF(BF2586="Abu Dhabi",IF(G2586&lt;18,'General Basis'!$C$39,IF(G2586&lt;41,'General Basis'!$C$40,IF(G2586&lt;60,'General Basis'!$C$41,IF(G2586&lt;65,'General Basis'!$C$42,'General Basis'!$C$43)))),IF(G2586&lt;11,'General Basis'!$B$39,IF(G2586&lt;18,'General Basis'!$B$40,IF(G2586&lt;26,'General Basis'!$B$41,IF(G2586&lt;31,'General Basis'!$B$42,IF(G2586&lt;36,'General Basis'!$B$43,IF(G2586&lt;41,'General Basis'!$B$44,IF(G2586&lt;46,'General Basis'!$B$45,IF(G2586&lt;51,'General Basis'!$B$46,IF(G2586&lt;56,'General Basis'!$B$47,IF(G2586&lt;60,'General Basis'!$B$48,IF(G2586&lt;65,'General Basis'!$B$49,'General Basis'!$B$50)))))))))))))</f>
        <v/>
      </c>
      <c r="BI2586" s="744" t="str">
        <f t="shared" si="907"/>
        <v/>
      </c>
      <c r="BJ2586" s="747" t="str">
        <f t="shared" si="914"/>
        <v/>
      </c>
      <c r="BK2586" s="498" t="str">
        <f t="shared" si="908"/>
        <v/>
      </c>
      <c r="BL2586" s="498" t="str">
        <f t="shared" si="909"/>
        <v/>
      </c>
    </row>
    <row r="2587" spans="1:64" x14ac:dyDescent="0.25">
      <c r="A2587" s="762">
        <f t="shared" si="910"/>
        <v>2582</v>
      </c>
      <c r="B2587" s="229"/>
      <c r="C2587" s="223"/>
      <c r="D2587" s="224"/>
      <c r="E2587" s="225"/>
      <c r="F2587" s="1036" t="str">
        <f t="shared" si="916"/>
        <v/>
      </c>
      <c r="G2587" s="1037" t="str">
        <f t="shared" si="911"/>
        <v/>
      </c>
      <c r="H2587" s="225"/>
      <c r="I2587" s="1013"/>
      <c r="J2587" s="1013"/>
      <c r="K2587" s="1028"/>
      <c r="L2587" s="1035" t="str">
        <f t="shared" si="915"/>
        <v/>
      </c>
      <c r="S2587" s="498"/>
      <c r="AJ2587" s="498"/>
      <c r="AM2587" s="498">
        <f t="shared" si="896"/>
        <v>0</v>
      </c>
      <c r="AN2587" s="498">
        <f t="shared" si="897"/>
        <v>0</v>
      </c>
      <c r="AO2587" s="498">
        <f t="shared" si="898"/>
        <v>0</v>
      </c>
      <c r="AP2587" s="498">
        <f t="shared" si="917"/>
        <v>0</v>
      </c>
      <c r="AQ2587" s="498">
        <f t="shared" si="912"/>
        <v>0</v>
      </c>
      <c r="AU2587" s="498">
        <f t="shared" si="899"/>
        <v>0</v>
      </c>
      <c r="AV2587" s="498">
        <f t="shared" si="900"/>
        <v>0</v>
      </c>
      <c r="AW2587" s="498">
        <f t="shared" si="901"/>
        <v>0</v>
      </c>
      <c r="AX2587" s="498">
        <f t="shared" si="902"/>
        <v>0</v>
      </c>
      <c r="AY2587" s="498">
        <f t="shared" si="903"/>
        <v>0</v>
      </c>
      <c r="BB2587" s="498" t="str">
        <f t="shared" si="904"/>
        <v/>
      </c>
      <c r="BC2587" s="743" t="str">
        <f t="shared" si="905"/>
        <v/>
      </c>
      <c r="BD2587" s="743" t="str">
        <f t="shared" si="906"/>
        <v/>
      </c>
      <c r="BE2587" s="743" t="str">
        <f>IF(D2587="","",VLOOKUP(D2587,'General Basis'!$J$39:$K$46,2,0))</f>
        <v/>
      </c>
      <c r="BF2587" s="744" t="str">
        <f>IF(D2587="","",VLOOKUP(D2587,'General Basis'!$J$39:$L$46,3,0))</f>
        <v/>
      </c>
      <c r="BG2587" s="744" t="str">
        <f t="shared" si="913"/>
        <v/>
      </c>
      <c r="BH2587" s="744" t="str">
        <f>IF(G2587="","",IF(BF2587="Abu Dhabi",IF(G2587&lt;18,'General Basis'!$C$39,IF(G2587&lt;41,'General Basis'!$C$40,IF(G2587&lt;60,'General Basis'!$C$41,IF(G2587&lt;65,'General Basis'!$C$42,'General Basis'!$C$43)))),IF(G2587&lt;11,'General Basis'!$B$39,IF(G2587&lt;18,'General Basis'!$B$40,IF(G2587&lt;26,'General Basis'!$B$41,IF(G2587&lt;31,'General Basis'!$B$42,IF(G2587&lt;36,'General Basis'!$B$43,IF(G2587&lt;41,'General Basis'!$B$44,IF(G2587&lt;46,'General Basis'!$B$45,IF(G2587&lt;51,'General Basis'!$B$46,IF(G2587&lt;56,'General Basis'!$B$47,IF(G2587&lt;60,'General Basis'!$B$48,IF(G2587&lt;65,'General Basis'!$B$49,'General Basis'!$B$50)))))))))))))</f>
        <v/>
      </c>
      <c r="BI2587" s="744" t="str">
        <f t="shared" si="907"/>
        <v/>
      </c>
      <c r="BJ2587" s="747" t="str">
        <f t="shared" si="914"/>
        <v/>
      </c>
      <c r="BK2587" s="498" t="str">
        <f t="shared" si="908"/>
        <v/>
      </c>
      <c r="BL2587" s="498" t="str">
        <f t="shared" si="909"/>
        <v/>
      </c>
    </row>
    <row r="2588" spans="1:64" x14ac:dyDescent="0.25">
      <c r="A2588" s="762">
        <f t="shared" si="910"/>
        <v>2583</v>
      </c>
      <c r="B2588" s="229"/>
      <c r="C2588" s="223"/>
      <c r="D2588" s="224"/>
      <c r="E2588" s="225"/>
      <c r="F2588" s="1036" t="str">
        <f t="shared" si="916"/>
        <v/>
      </c>
      <c r="G2588" s="1037" t="str">
        <f t="shared" si="911"/>
        <v/>
      </c>
      <c r="H2588" s="225"/>
      <c r="I2588" s="1013"/>
      <c r="J2588" s="1013"/>
      <c r="K2588" s="1028"/>
      <c r="L2588" s="1035" t="str">
        <f t="shared" si="915"/>
        <v/>
      </c>
      <c r="S2588" s="498"/>
      <c r="AJ2588" s="498"/>
      <c r="AM2588" s="498">
        <f t="shared" si="896"/>
        <v>0</v>
      </c>
      <c r="AN2588" s="498">
        <f t="shared" si="897"/>
        <v>0</v>
      </c>
      <c r="AO2588" s="498">
        <f t="shared" si="898"/>
        <v>0</v>
      </c>
      <c r="AP2588" s="498">
        <f t="shared" si="917"/>
        <v>0</v>
      </c>
      <c r="AQ2588" s="498">
        <f t="shared" si="912"/>
        <v>0</v>
      </c>
      <c r="AU2588" s="498">
        <f t="shared" si="899"/>
        <v>0</v>
      </c>
      <c r="AV2588" s="498">
        <f t="shared" si="900"/>
        <v>0</v>
      </c>
      <c r="AW2588" s="498">
        <f t="shared" si="901"/>
        <v>0</v>
      </c>
      <c r="AX2588" s="498">
        <f t="shared" si="902"/>
        <v>0</v>
      </c>
      <c r="AY2588" s="498">
        <f t="shared" si="903"/>
        <v>0</v>
      </c>
      <c r="BB2588" s="498" t="str">
        <f t="shared" si="904"/>
        <v/>
      </c>
      <c r="BC2588" s="743" t="str">
        <f t="shared" si="905"/>
        <v/>
      </c>
      <c r="BD2588" s="743" t="str">
        <f t="shared" si="906"/>
        <v/>
      </c>
      <c r="BE2588" s="743" t="str">
        <f>IF(D2588="","",VLOOKUP(D2588,'General Basis'!$J$39:$K$46,2,0))</f>
        <v/>
      </c>
      <c r="BF2588" s="744" t="str">
        <f>IF(D2588="","",VLOOKUP(D2588,'General Basis'!$J$39:$L$46,3,0))</f>
        <v/>
      </c>
      <c r="BG2588" s="744" t="str">
        <f t="shared" si="913"/>
        <v/>
      </c>
      <c r="BH2588" s="744" t="str">
        <f>IF(G2588="","",IF(BF2588="Abu Dhabi",IF(G2588&lt;18,'General Basis'!$C$39,IF(G2588&lt;41,'General Basis'!$C$40,IF(G2588&lt;60,'General Basis'!$C$41,IF(G2588&lt;65,'General Basis'!$C$42,'General Basis'!$C$43)))),IF(G2588&lt;11,'General Basis'!$B$39,IF(G2588&lt;18,'General Basis'!$B$40,IF(G2588&lt;26,'General Basis'!$B$41,IF(G2588&lt;31,'General Basis'!$B$42,IF(G2588&lt;36,'General Basis'!$B$43,IF(G2588&lt;41,'General Basis'!$B$44,IF(G2588&lt;46,'General Basis'!$B$45,IF(G2588&lt;51,'General Basis'!$B$46,IF(G2588&lt;56,'General Basis'!$B$47,IF(G2588&lt;60,'General Basis'!$B$48,IF(G2588&lt;65,'General Basis'!$B$49,'General Basis'!$B$50)))))))))))))</f>
        <v/>
      </c>
      <c r="BI2588" s="744" t="str">
        <f t="shared" si="907"/>
        <v/>
      </c>
      <c r="BJ2588" s="747" t="str">
        <f t="shared" si="914"/>
        <v/>
      </c>
      <c r="BK2588" s="498" t="str">
        <f t="shared" si="908"/>
        <v/>
      </c>
      <c r="BL2588" s="498" t="str">
        <f t="shared" si="909"/>
        <v/>
      </c>
    </row>
    <row r="2589" spans="1:64" x14ac:dyDescent="0.25">
      <c r="A2589" s="762">
        <f t="shared" si="910"/>
        <v>2584</v>
      </c>
      <c r="B2589" s="229"/>
      <c r="C2589" s="223"/>
      <c r="D2589" s="224"/>
      <c r="E2589" s="225"/>
      <c r="F2589" s="1036" t="str">
        <f t="shared" si="916"/>
        <v/>
      </c>
      <c r="G2589" s="1037" t="str">
        <f t="shared" si="911"/>
        <v/>
      </c>
      <c r="H2589" s="225"/>
      <c r="I2589" s="1013"/>
      <c r="J2589" s="1013"/>
      <c r="K2589" s="1028"/>
      <c r="L2589" s="1035" t="str">
        <f t="shared" si="915"/>
        <v/>
      </c>
      <c r="S2589" s="498"/>
      <c r="AJ2589" s="498"/>
      <c r="AM2589" s="498">
        <f t="shared" si="896"/>
        <v>0</v>
      </c>
      <c r="AN2589" s="498">
        <f t="shared" si="897"/>
        <v>0</v>
      </c>
      <c r="AO2589" s="498">
        <f t="shared" si="898"/>
        <v>0</v>
      </c>
      <c r="AP2589" s="498">
        <f t="shared" si="917"/>
        <v>0</v>
      </c>
      <c r="AQ2589" s="498">
        <f t="shared" si="912"/>
        <v>0</v>
      </c>
      <c r="AU2589" s="498">
        <f t="shared" si="899"/>
        <v>0</v>
      </c>
      <c r="AV2589" s="498">
        <f t="shared" si="900"/>
        <v>0</v>
      </c>
      <c r="AW2589" s="498">
        <f t="shared" si="901"/>
        <v>0</v>
      </c>
      <c r="AX2589" s="498">
        <f t="shared" si="902"/>
        <v>0</v>
      </c>
      <c r="AY2589" s="498">
        <f t="shared" si="903"/>
        <v>0</v>
      </c>
      <c r="BB2589" s="498" t="str">
        <f t="shared" si="904"/>
        <v/>
      </c>
      <c r="BC2589" s="743" t="str">
        <f t="shared" si="905"/>
        <v/>
      </c>
      <c r="BD2589" s="743" t="str">
        <f t="shared" si="906"/>
        <v/>
      </c>
      <c r="BE2589" s="743" t="str">
        <f>IF(D2589="","",VLOOKUP(D2589,'General Basis'!$J$39:$K$46,2,0))</f>
        <v/>
      </c>
      <c r="BF2589" s="744" t="str">
        <f>IF(D2589="","",VLOOKUP(D2589,'General Basis'!$J$39:$L$46,3,0))</f>
        <v/>
      </c>
      <c r="BG2589" s="744" t="str">
        <f t="shared" si="913"/>
        <v/>
      </c>
      <c r="BH2589" s="744" t="str">
        <f>IF(G2589="","",IF(BF2589="Abu Dhabi",IF(G2589&lt;18,'General Basis'!$C$39,IF(G2589&lt;41,'General Basis'!$C$40,IF(G2589&lt;60,'General Basis'!$C$41,IF(G2589&lt;65,'General Basis'!$C$42,'General Basis'!$C$43)))),IF(G2589&lt;11,'General Basis'!$B$39,IF(G2589&lt;18,'General Basis'!$B$40,IF(G2589&lt;26,'General Basis'!$B$41,IF(G2589&lt;31,'General Basis'!$B$42,IF(G2589&lt;36,'General Basis'!$B$43,IF(G2589&lt;41,'General Basis'!$B$44,IF(G2589&lt;46,'General Basis'!$B$45,IF(G2589&lt;51,'General Basis'!$B$46,IF(G2589&lt;56,'General Basis'!$B$47,IF(G2589&lt;60,'General Basis'!$B$48,IF(G2589&lt;65,'General Basis'!$B$49,'General Basis'!$B$50)))))))))))))</f>
        <v/>
      </c>
      <c r="BI2589" s="744" t="str">
        <f t="shared" si="907"/>
        <v/>
      </c>
      <c r="BJ2589" s="747" t="str">
        <f t="shared" si="914"/>
        <v/>
      </c>
      <c r="BK2589" s="498" t="str">
        <f t="shared" si="908"/>
        <v/>
      </c>
      <c r="BL2589" s="498" t="str">
        <f t="shared" si="909"/>
        <v/>
      </c>
    </row>
    <row r="2590" spans="1:64" x14ac:dyDescent="0.25">
      <c r="A2590" s="762">
        <f t="shared" si="910"/>
        <v>2585</v>
      </c>
      <c r="B2590" s="229"/>
      <c r="C2590" s="223"/>
      <c r="D2590" s="224"/>
      <c r="E2590" s="225"/>
      <c r="F2590" s="1036" t="str">
        <f t="shared" si="916"/>
        <v/>
      </c>
      <c r="G2590" s="1037" t="str">
        <f t="shared" si="911"/>
        <v/>
      </c>
      <c r="H2590" s="225"/>
      <c r="I2590" s="1013"/>
      <c r="J2590" s="1013"/>
      <c r="K2590" s="1028"/>
      <c r="L2590" s="1035" t="str">
        <f t="shared" si="915"/>
        <v/>
      </c>
      <c r="S2590" s="498"/>
      <c r="AJ2590" s="498"/>
      <c r="AM2590" s="498">
        <f t="shared" si="896"/>
        <v>0</v>
      </c>
      <c r="AN2590" s="498">
        <f t="shared" si="897"/>
        <v>0</v>
      </c>
      <c r="AO2590" s="498">
        <f t="shared" si="898"/>
        <v>0</v>
      </c>
      <c r="AP2590" s="498">
        <f t="shared" si="917"/>
        <v>0</v>
      </c>
      <c r="AQ2590" s="498">
        <f t="shared" si="912"/>
        <v>0</v>
      </c>
      <c r="AU2590" s="498">
        <f t="shared" si="899"/>
        <v>0</v>
      </c>
      <c r="AV2590" s="498">
        <f t="shared" si="900"/>
        <v>0</v>
      </c>
      <c r="AW2590" s="498">
        <f t="shared" si="901"/>
        <v>0</v>
      </c>
      <c r="AX2590" s="498">
        <f t="shared" si="902"/>
        <v>0</v>
      </c>
      <c r="AY2590" s="498">
        <f t="shared" si="903"/>
        <v>0</v>
      </c>
      <c r="BB2590" s="498" t="str">
        <f t="shared" si="904"/>
        <v/>
      </c>
      <c r="BC2590" s="743" t="str">
        <f t="shared" si="905"/>
        <v/>
      </c>
      <c r="BD2590" s="743" t="str">
        <f t="shared" si="906"/>
        <v/>
      </c>
      <c r="BE2590" s="743" t="str">
        <f>IF(D2590="","",VLOOKUP(D2590,'General Basis'!$J$39:$K$46,2,0))</f>
        <v/>
      </c>
      <c r="BF2590" s="744" t="str">
        <f>IF(D2590="","",VLOOKUP(D2590,'General Basis'!$J$39:$L$46,3,0))</f>
        <v/>
      </c>
      <c r="BG2590" s="744" t="str">
        <f t="shared" si="913"/>
        <v/>
      </c>
      <c r="BH2590" s="744" t="str">
        <f>IF(G2590="","",IF(BF2590="Abu Dhabi",IF(G2590&lt;18,'General Basis'!$C$39,IF(G2590&lt;41,'General Basis'!$C$40,IF(G2590&lt;60,'General Basis'!$C$41,IF(G2590&lt;65,'General Basis'!$C$42,'General Basis'!$C$43)))),IF(G2590&lt;11,'General Basis'!$B$39,IF(G2590&lt;18,'General Basis'!$B$40,IF(G2590&lt;26,'General Basis'!$B$41,IF(G2590&lt;31,'General Basis'!$B$42,IF(G2590&lt;36,'General Basis'!$B$43,IF(G2590&lt;41,'General Basis'!$B$44,IF(G2590&lt;46,'General Basis'!$B$45,IF(G2590&lt;51,'General Basis'!$B$46,IF(G2590&lt;56,'General Basis'!$B$47,IF(G2590&lt;60,'General Basis'!$B$48,IF(G2590&lt;65,'General Basis'!$B$49,'General Basis'!$B$50)))))))))))))</f>
        <v/>
      </c>
      <c r="BI2590" s="744" t="str">
        <f t="shared" si="907"/>
        <v/>
      </c>
      <c r="BJ2590" s="747" t="str">
        <f t="shared" si="914"/>
        <v/>
      </c>
      <c r="BK2590" s="498" t="str">
        <f t="shared" si="908"/>
        <v/>
      </c>
      <c r="BL2590" s="498" t="str">
        <f t="shared" si="909"/>
        <v/>
      </c>
    </row>
    <row r="2591" spans="1:64" x14ac:dyDescent="0.25">
      <c r="A2591" s="762">
        <f t="shared" si="910"/>
        <v>2586</v>
      </c>
      <c r="B2591" s="229"/>
      <c r="C2591" s="223"/>
      <c r="D2591" s="224"/>
      <c r="E2591" s="225"/>
      <c r="F2591" s="1036" t="str">
        <f t="shared" si="916"/>
        <v/>
      </c>
      <c r="G2591" s="1037" t="str">
        <f t="shared" si="911"/>
        <v/>
      </c>
      <c r="H2591" s="225"/>
      <c r="I2591" s="1013"/>
      <c r="J2591" s="1013"/>
      <c r="K2591" s="1028"/>
      <c r="L2591" s="1035" t="str">
        <f t="shared" si="915"/>
        <v/>
      </c>
      <c r="S2591" s="498"/>
      <c r="AJ2591" s="498"/>
      <c r="AM2591" s="498">
        <f t="shared" si="896"/>
        <v>0</v>
      </c>
      <c r="AN2591" s="498">
        <f t="shared" si="897"/>
        <v>0</v>
      </c>
      <c r="AO2591" s="498">
        <f t="shared" si="898"/>
        <v>0</v>
      </c>
      <c r="AP2591" s="498">
        <f t="shared" si="917"/>
        <v>0</v>
      </c>
      <c r="AQ2591" s="498">
        <f t="shared" si="912"/>
        <v>0</v>
      </c>
      <c r="AU2591" s="498">
        <f t="shared" si="899"/>
        <v>0</v>
      </c>
      <c r="AV2591" s="498">
        <f t="shared" si="900"/>
        <v>0</v>
      </c>
      <c r="AW2591" s="498">
        <f t="shared" si="901"/>
        <v>0</v>
      </c>
      <c r="AX2591" s="498">
        <f t="shared" si="902"/>
        <v>0</v>
      </c>
      <c r="AY2591" s="498">
        <f t="shared" si="903"/>
        <v>0</v>
      </c>
      <c r="BB2591" s="498" t="str">
        <f t="shared" si="904"/>
        <v/>
      </c>
      <c r="BC2591" s="743" t="str">
        <f t="shared" si="905"/>
        <v/>
      </c>
      <c r="BD2591" s="743" t="str">
        <f t="shared" si="906"/>
        <v/>
      </c>
      <c r="BE2591" s="743" t="str">
        <f>IF(D2591="","",VLOOKUP(D2591,'General Basis'!$J$39:$K$46,2,0))</f>
        <v/>
      </c>
      <c r="BF2591" s="744" t="str">
        <f>IF(D2591="","",VLOOKUP(D2591,'General Basis'!$J$39:$L$46,3,0))</f>
        <v/>
      </c>
      <c r="BG2591" s="744" t="str">
        <f t="shared" si="913"/>
        <v/>
      </c>
      <c r="BH2591" s="744" t="str">
        <f>IF(G2591="","",IF(BF2591="Abu Dhabi",IF(G2591&lt;18,'General Basis'!$C$39,IF(G2591&lt;41,'General Basis'!$C$40,IF(G2591&lt;60,'General Basis'!$C$41,IF(G2591&lt;65,'General Basis'!$C$42,'General Basis'!$C$43)))),IF(G2591&lt;11,'General Basis'!$B$39,IF(G2591&lt;18,'General Basis'!$B$40,IF(G2591&lt;26,'General Basis'!$B$41,IF(G2591&lt;31,'General Basis'!$B$42,IF(G2591&lt;36,'General Basis'!$B$43,IF(G2591&lt;41,'General Basis'!$B$44,IF(G2591&lt;46,'General Basis'!$B$45,IF(G2591&lt;51,'General Basis'!$B$46,IF(G2591&lt;56,'General Basis'!$B$47,IF(G2591&lt;60,'General Basis'!$B$48,IF(G2591&lt;65,'General Basis'!$B$49,'General Basis'!$B$50)))))))))))))</f>
        <v/>
      </c>
      <c r="BI2591" s="744" t="str">
        <f t="shared" si="907"/>
        <v/>
      </c>
      <c r="BJ2591" s="747" t="str">
        <f t="shared" si="914"/>
        <v/>
      </c>
      <c r="BK2591" s="498" t="str">
        <f t="shared" si="908"/>
        <v/>
      </c>
      <c r="BL2591" s="498" t="str">
        <f t="shared" si="909"/>
        <v/>
      </c>
    </row>
    <row r="2592" spans="1:64" x14ac:dyDescent="0.25">
      <c r="A2592" s="762">
        <f t="shared" si="910"/>
        <v>2587</v>
      </c>
      <c r="B2592" s="229"/>
      <c r="C2592" s="223"/>
      <c r="D2592" s="224"/>
      <c r="E2592" s="225"/>
      <c r="F2592" s="1036" t="str">
        <f t="shared" si="916"/>
        <v/>
      </c>
      <c r="G2592" s="1037" t="str">
        <f t="shared" si="911"/>
        <v/>
      </c>
      <c r="H2592" s="225"/>
      <c r="I2592" s="1013"/>
      <c r="J2592" s="1013"/>
      <c r="K2592" s="1028"/>
      <c r="L2592" s="1035" t="str">
        <f t="shared" si="915"/>
        <v/>
      </c>
      <c r="S2592" s="498"/>
      <c r="AJ2592" s="498"/>
      <c r="AM2592" s="498">
        <f t="shared" si="896"/>
        <v>0</v>
      </c>
      <c r="AN2592" s="498">
        <f t="shared" si="897"/>
        <v>0</v>
      </c>
      <c r="AO2592" s="498">
        <f t="shared" si="898"/>
        <v>0</v>
      </c>
      <c r="AP2592" s="498">
        <f t="shared" si="917"/>
        <v>0</v>
      </c>
      <c r="AQ2592" s="498">
        <f t="shared" si="912"/>
        <v>0</v>
      </c>
      <c r="AU2592" s="498">
        <f t="shared" si="899"/>
        <v>0</v>
      </c>
      <c r="AV2592" s="498">
        <f t="shared" si="900"/>
        <v>0</v>
      </c>
      <c r="AW2592" s="498">
        <f t="shared" si="901"/>
        <v>0</v>
      </c>
      <c r="AX2592" s="498">
        <f t="shared" si="902"/>
        <v>0</v>
      </c>
      <c r="AY2592" s="498">
        <f t="shared" si="903"/>
        <v>0</v>
      </c>
      <c r="BB2592" s="498" t="str">
        <f t="shared" si="904"/>
        <v/>
      </c>
      <c r="BC2592" s="743" t="str">
        <f t="shared" si="905"/>
        <v/>
      </c>
      <c r="BD2592" s="743" t="str">
        <f t="shared" si="906"/>
        <v/>
      </c>
      <c r="BE2592" s="743" t="str">
        <f>IF(D2592="","",VLOOKUP(D2592,'General Basis'!$J$39:$K$46,2,0))</f>
        <v/>
      </c>
      <c r="BF2592" s="744" t="str">
        <f>IF(D2592="","",VLOOKUP(D2592,'General Basis'!$J$39:$L$46,3,0))</f>
        <v/>
      </c>
      <c r="BG2592" s="744" t="str">
        <f t="shared" si="913"/>
        <v/>
      </c>
      <c r="BH2592" s="744" t="str">
        <f>IF(G2592="","",IF(BF2592="Abu Dhabi",IF(G2592&lt;18,'General Basis'!$C$39,IF(G2592&lt;41,'General Basis'!$C$40,IF(G2592&lt;60,'General Basis'!$C$41,IF(G2592&lt;65,'General Basis'!$C$42,'General Basis'!$C$43)))),IF(G2592&lt;11,'General Basis'!$B$39,IF(G2592&lt;18,'General Basis'!$B$40,IF(G2592&lt;26,'General Basis'!$B$41,IF(G2592&lt;31,'General Basis'!$B$42,IF(G2592&lt;36,'General Basis'!$B$43,IF(G2592&lt;41,'General Basis'!$B$44,IF(G2592&lt;46,'General Basis'!$B$45,IF(G2592&lt;51,'General Basis'!$B$46,IF(G2592&lt;56,'General Basis'!$B$47,IF(G2592&lt;60,'General Basis'!$B$48,IF(G2592&lt;65,'General Basis'!$B$49,'General Basis'!$B$50)))))))))))))</f>
        <v/>
      </c>
      <c r="BI2592" s="744" t="str">
        <f t="shared" si="907"/>
        <v/>
      </c>
      <c r="BJ2592" s="747" t="str">
        <f t="shared" si="914"/>
        <v/>
      </c>
      <c r="BK2592" s="498" t="str">
        <f t="shared" si="908"/>
        <v/>
      </c>
      <c r="BL2592" s="498" t="str">
        <f t="shared" si="909"/>
        <v/>
      </c>
    </row>
    <row r="2593" spans="1:64" x14ac:dyDescent="0.25">
      <c r="A2593" s="762">
        <f t="shared" si="910"/>
        <v>2588</v>
      </c>
      <c r="B2593" s="229"/>
      <c r="C2593" s="223"/>
      <c r="D2593" s="224"/>
      <c r="E2593" s="225"/>
      <c r="F2593" s="1036" t="str">
        <f t="shared" si="916"/>
        <v/>
      </c>
      <c r="G2593" s="1037" t="str">
        <f t="shared" si="911"/>
        <v/>
      </c>
      <c r="H2593" s="225"/>
      <c r="I2593" s="1013"/>
      <c r="J2593" s="1013"/>
      <c r="K2593" s="1028"/>
      <c r="L2593" s="1035" t="str">
        <f t="shared" si="915"/>
        <v/>
      </c>
      <c r="S2593" s="498"/>
      <c r="AJ2593" s="498"/>
      <c r="AM2593" s="498">
        <f t="shared" si="896"/>
        <v>0</v>
      </c>
      <c r="AN2593" s="498">
        <f t="shared" si="897"/>
        <v>0</v>
      </c>
      <c r="AO2593" s="498">
        <f t="shared" si="898"/>
        <v>0</v>
      </c>
      <c r="AP2593" s="498">
        <f t="shared" si="917"/>
        <v>0</v>
      </c>
      <c r="AQ2593" s="498">
        <f t="shared" si="912"/>
        <v>0</v>
      </c>
      <c r="AU2593" s="498">
        <f t="shared" si="899"/>
        <v>0</v>
      </c>
      <c r="AV2593" s="498">
        <f t="shared" si="900"/>
        <v>0</v>
      </c>
      <c r="AW2593" s="498">
        <f t="shared" si="901"/>
        <v>0</v>
      </c>
      <c r="AX2593" s="498">
        <f t="shared" si="902"/>
        <v>0</v>
      </c>
      <c r="AY2593" s="498">
        <f t="shared" si="903"/>
        <v>0</v>
      </c>
      <c r="BB2593" s="498" t="str">
        <f t="shared" si="904"/>
        <v/>
      </c>
      <c r="BC2593" s="743" t="str">
        <f t="shared" si="905"/>
        <v/>
      </c>
      <c r="BD2593" s="743" t="str">
        <f t="shared" si="906"/>
        <v/>
      </c>
      <c r="BE2593" s="743" t="str">
        <f>IF(D2593="","",VLOOKUP(D2593,'General Basis'!$J$39:$K$46,2,0))</f>
        <v/>
      </c>
      <c r="BF2593" s="744" t="str">
        <f>IF(D2593="","",VLOOKUP(D2593,'General Basis'!$J$39:$L$46,3,0))</f>
        <v/>
      </c>
      <c r="BG2593" s="744" t="str">
        <f t="shared" si="913"/>
        <v/>
      </c>
      <c r="BH2593" s="744" t="str">
        <f>IF(G2593="","",IF(BF2593="Abu Dhabi",IF(G2593&lt;18,'General Basis'!$C$39,IF(G2593&lt;41,'General Basis'!$C$40,IF(G2593&lt;60,'General Basis'!$C$41,IF(G2593&lt;65,'General Basis'!$C$42,'General Basis'!$C$43)))),IF(G2593&lt;11,'General Basis'!$B$39,IF(G2593&lt;18,'General Basis'!$B$40,IF(G2593&lt;26,'General Basis'!$B$41,IF(G2593&lt;31,'General Basis'!$B$42,IF(G2593&lt;36,'General Basis'!$B$43,IF(G2593&lt;41,'General Basis'!$B$44,IF(G2593&lt;46,'General Basis'!$B$45,IF(G2593&lt;51,'General Basis'!$B$46,IF(G2593&lt;56,'General Basis'!$B$47,IF(G2593&lt;60,'General Basis'!$B$48,IF(G2593&lt;65,'General Basis'!$B$49,'General Basis'!$B$50)))))))))))))</f>
        <v/>
      </c>
      <c r="BI2593" s="744" t="str">
        <f t="shared" si="907"/>
        <v/>
      </c>
      <c r="BJ2593" s="747" t="str">
        <f t="shared" si="914"/>
        <v/>
      </c>
      <c r="BK2593" s="498" t="str">
        <f t="shared" si="908"/>
        <v/>
      </c>
      <c r="BL2593" s="498" t="str">
        <f t="shared" si="909"/>
        <v/>
      </c>
    </row>
    <row r="2594" spans="1:64" x14ac:dyDescent="0.25">
      <c r="A2594" s="762">
        <f t="shared" si="910"/>
        <v>2589</v>
      </c>
      <c r="B2594" s="229"/>
      <c r="C2594" s="223"/>
      <c r="D2594" s="224"/>
      <c r="E2594" s="225"/>
      <c r="F2594" s="1036" t="str">
        <f t="shared" si="916"/>
        <v/>
      </c>
      <c r="G2594" s="1037" t="str">
        <f t="shared" si="911"/>
        <v/>
      </c>
      <c r="H2594" s="225"/>
      <c r="I2594" s="1013"/>
      <c r="J2594" s="1013"/>
      <c r="K2594" s="1028"/>
      <c r="L2594" s="1035" t="str">
        <f t="shared" si="915"/>
        <v/>
      </c>
      <c r="S2594" s="498"/>
      <c r="AJ2594" s="498"/>
      <c r="AM2594" s="498">
        <f t="shared" si="896"/>
        <v>0</v>
      </c>
      <c r="AN2594" s="498">
        <f t="shared" si="897"/>
        <v>0</v>
      </c>
      <c r="AO2594" s="498">
        <f t="shared" si="898"/>
        <v>0</v>
      </c>
      <c r="AP2594" s="498">
        <f t="shared" si="917"/>
        <v>0</v>
      </c>
      <c r="AQ2594" s="498">
        <f t="shared" si="912"/>
        <v>0</v>
      </c>
      <c r="AU2594" s="498">
        <f t="shared" si="899"/>
        <v>0</v>
      </c>
      <c r="AV2594" s="498">
        <f t="shared" si="900"/>
        <v>0</v>
      </c>
      <c r="AW2594" s="498">
        <f t="shared" si="901"/>
        <v>0</v>
      </c>
      <c r="AX2594" s="498">
        <f t="shared" si="902"/>
        <v>0</v>
      </c>
      <c r="AY2594" s="498">
        <f t="shared" si="903"/>
        <v>0</v>
      </c>
      <c r="BB2594" s="498" t="str">
        <f t="shared" si="904"/>
        <v/>
      </c>
      <c r="BC2594" s="743" t="str">
        <f t="shared" si="905"/>
        <v/>
      </c>
      <c r="BD2594" s="743" t="str">
        <f t="shared" si="906"/>
        <v/>
      </c>
      <c r="BE2594" s="743" t="str">
        <f>IF(D2594="","",VLOOKUP(D2594,'General Basis'!$J$39:$K$46,2,0))</f>
        <v/>
      </c>
      <c r="BF2594" s="744" t="str">
        <f>IF(D2594="","",VLOOKUP(D2594,'General Basis'!$J$39:$L$46,3,0))</f>
        <v/>
      </c>
      <c r="BG2594" s="744" t="str">
        <f t="shared" si="913"/>
        <v/>
      </c>
      <c r="BH2594" s="744" t="str">
        <f>IF(G2594="","",IF(BF2594="Abu Dhabi",IF(G2594&lt;18,'General Basis'!$C$39,IF(G2594&lt;41,'General Basis'!$C$40,IF(G2594&lt;60,'General Basis'!$C$41,IF(G2594&lt;65,'General Basis'!$C$42,'General Basis'!$C$43)))),IF(G2594&lt;11,'General Basis'!$B$39,IF(G2594&lt;18,'General Basis'!$B$40,IF(G2594&lt;26,'General Basis'!$B$41,IF(G2594&lt;31,'General Basis'!$B$42,IF(G2594&lt;36,'General Basis'!$B$43,IF(G2594&lt;41,'General Basis'!$B$44,IF(G2594&lt;46,'General Basis'!$B$45,IF(G2594&lt;51,'General Basis'!$B$46,IF(G2594&lt;56,'General Basis'!$B$47,IF(G2594&lt;60,'General Basis'!$B$48,IF(G2594&lt;65,'General Basis'!$B$49,'General Basis'!$B$50)))))))))))))</f>
        <v/>
      </c>
      <c r="BI2594" s="744" t="str">
        <f t="shared" si="907"/>
        <v/>
      </c>
      <c r="BJ2594" s="747" t="str">
        <f t="shared" si="914"/>
        <v/>
      </c>
      <c r="BK2594" s="498" t="str">
        <f t="shared" si="908"/>
        <v/>
      </c>
      <c r="BL2594" s="498" t="str">
        <f t="shared" si="909"/>
        <v/>
      </c>
    </row>
    <row r="2595" spans="1:64" x14ac:dyDescent="0.25">
      <c r="A2595" s="762">
        <f t="shared" si="910"/>
        <v>2590</v>
      </c>
      <c r="B2595" s="229"/>
      <c r="C2595" s="223"/>
      <c r="D2595" s="224"/>
      <c r="E2595" s="225"/>
      <c r="F2595" s="1036" t="str">
        <f t="shared" si="916"/>
        <v/>
      </c>
      <c r="G2595" s="1037" t="str">
        <f t="shared" si="911"/>
        <v/>
      </c>
      <c r="H2595" s="225"/>
      <c r="I2595" s="1013"/>
      <c r="J2595" s="1013"/>
      <c r="K2595" s="1028"/>
      <c r="L2595" s="1035" t="str">
        <f t="shared" si="915"/>
        <v/>
      </c>
      <c r="S2595" s="498"/>
      <c r="AJ2595" s="498"/>
      <c r="AM2595" s="498">
        <f t="shared" si="896"/>
        <v>0</v>
      </c>
      <c r="AN2595" s="498">
        <f t="shared" si="897"/>
        <v>0</v>
      </c>
      <c r="AO2595" s="498">
        <f t="shared" si="898"/>
        <v>0</v>
      </c>
      <c r="AP2595" s="498">
        <f t="shared" si="917"/>
        <v>0</v>
      </c>
      <c r="AQ2595" s="498">
        <f t="shared" si="912"/>
        <v>0</v>
      </c>
      <c r="AU2595" s="498">
        <f t="shared" si="899"/>
        <v>0</v>
      </c>
      <c r="AV2595" s="498">
        <f t="shared" si="900"/>
        <v>0</v>
      </c>
      <c r="AW2595" s="498">
        <f t="shared" si="901"/>
        <v>0</v>
      </c>
      <c r="AX2595" s="498">
        <f t="shared" si="902"/>
        <v>0</v>
      </c>
      <c r="AY2595" s="498">
        <f t="shared" si="903"/>
        <v>0</v>
      </c>
      <c r="BB2595" s="498" t="str">
        <f t="shared" si="904"/>
        <v/>
      </c>
      <c r="BC2595" s="743" t="str">
        <f t="shared" si="905"/>
        <v/>
      </c>
      <c r="BD2595" s="743" t="str">
        <f t="shared" si="906"/>
        <v/>
      </c>
      <c r="BE2595" s="743" t="str">
        <f>IF(D2595="","",VLOOKUP(D2595,'General Basis'!$J$39:$K$46,2,0))</f>
        <v/>
      </c>
      <c r="BF2595" s="744" t="str">
        <f>IF(D2595="","",VLOOKUP(D2595,'General Basis'!$J$39:$L$46,3,0))</f>
        <v/>
      </c>
      <c r="BG2595" s="744" t="str">
        <f t="shared" si="913"/>
        <v/>
      </c>
      <c r="BH2595" s="744" t="str">
        <f>IF(G2595="","",IF(BF2595="Abu Dhabi",IF(G2595&lt;18,'General Basis'!$C$39,IF(G2595&lt;41,'General Basis'!$C$40,IF(G2595&lt;60,'General Basis'!$C$41,IF(G2595&lt;65,'General Basis'!$C$42,'General Basis'!$C$43)))),IF(G2595&lt;11,'General Basis'!$B$39,IF(G2595&lt;18,'General Basis'!$B$40,IF(G2595&lt;26,'General Basis'!$B$41,IF(G2595&lt;31,'General Basis'!$B$42,IF(G2595&lt;36,'General Basis'!$B$43,IF(G2595&lt;41,'General Basis'!$B$44,IF(G2595&lt;46,'General Basis'!$B$45,IF(G2595&lt;51,'General Basis'!$B$46,IF(G2595&lt;56,'General Basis'!$B$47,IF(G2595&lt;60,'General Basis'!$B$48,IF(G2595&lt;65,'General Basis'!$B$49,'General Basis'!$B$50)))))))))))))</f>
        <v/>
      </c>
      <c r="BI2595" s="744" t="str">
        <f t="shared" si="907"/>
        <v/>
      </c>
      <c r="BJ2595" s="747" t="str">
        <f t="shared" si="914"/>
        <v/>
      </c>
      <c r="BK2595" s="498" t="str">
        <f t="shared" si="908"/>
        <v/>
      </c>
      <c r="BL2595" s="498" t="str">
        <f t="shared" si="909"/>
        <v/>
      </c>
    </row>
    <row r="2596" spans="1:64" x14ac:dyDescent="0.25">
      <c r="A2596" s="762">
        <f t="shared" si="910"/>
        <v>2591</v>
      </c>
      <c r="B2596" s="229"/>
      <c r="C2596" s="223"/>
      <c r="D2596" s="224"/>
      <c r="E2596" s="225"/>
      <c r="F2596" s="1036" t="str">
        <f t="shared" si="916"/>
        <v/>
      </c>
      <c r="G2596" s="1037" t="str">
        <f t="shared" si="911"/>
        <v/>
      </c>
      <c r="H2596" s="225"/>
      <c r="I2596" s="1013"/>
      <c r="J2596" s="1013"/>
      <c r="K2596" s="1028"/>
      <c r="L2596" s="1035" t="str">
        <f t="shared" si="915"/>
        <v/>
      </c>
      <c r="S2596" s="498"/>
      <c r="AJ2596" s="498"/>
      <c r="AM2596" s="498">
        <f t="shared" si="896"/>
        <v>0</v>
      </c>
      <c r="AN2596" s="498">
        <f t="shared" si="897"/>
        <v>0</v>
      </c>
      <c r="AO2596" s="498">
        <f t="shared" si="898"/>
        <v>0</v>
      </c>
      <c r="AP2596" s="498">
        <f t="shared" si="917"/>
        <v>0</v>
      </c>
      <c r="AQ2596" s="498">
        <f t="shared" si="912"/>
        <v>0</v>
      </c>
      <c r="AU2596" s="498">
        <f t="shared" si="899"/>
        <v>0</v>
      </c>
      <c r="AV2596" s="498">
        <f t="shared" si="900"/>
        <v>0</v>
      </c>
      <c r="AW2596" s="498">
        <f t="shared" si="901"/>
        <v>0</v>
      </c>
      <c r="AX2596" s="498">
        <f t="shared" si="902"/>
        <v>0</v>
      </c>
      <c r="AY2596" s="498">
        <f t="shared" si="903"/>
        <v>0</v>
      </c>
      <c r="BB2596" s="498" t="str">
        <f t="shared" si="904"/>
        <v/>
      </c>
      <c r="BC2596" s="743" t="str">
        <f t="shared" si="905"/>
        <v/>
      </c>
      <c r="BD2596" s="743" t="str">
        <f t="shared" si="906"/>
        <v/>
      </c>
      <c r="BE2596" s="743" t="str">
        <f>IF(D2596="","",VLOOKUP(D2596,'General Basis'!$J$39:$K$46,2,0))</f>
        <v/>
      </c>
      <c r="BF2596" s="744" t="str">
        <f>IF(D2596="","",VLOOKUP(D2596,'General Basis'!$J$39:$L$46,3,0))</f>
        <v/>
      </c>
      <c r="BG2596" s="744" t="str">
        <f t="shared" si="913"/>
        <v/>
      </c>
      <c r="BH2596" s="744" t="str">
        <f>IF(G2596="","",IF(BF2596="Abu Dhabi",IF(G2596&lt;18,'General Basis'!$C$39,IF(G2596&lt;41,'General Basis'!$C$40,IF(G2596&lt;60,'General Basis'!$C$41,IF(G2596&lt;65,'General Basis'!$C$42,'General Basis'!$C$43)))),IF(G2596&lt;11,'General Basis'!$B$39,IF(G2596&lt;18,'General Basis'!$B$40,IF(G2596&lt;26,'General Basis'!$B$41,IF(G2596&lt;31,'General Basis'!$B$42,IF(G2596&lt;36,'General Basis'!$B$43,IF(G2596&lt;41,'General Basis'!$B$44,IF(G2596&lt;46,'General Basis'!$B$45,IF(G2596&lt;51,'General Basis'!$B$46,IF(G2596&lt;56,'General Basis'!$B$47,IF(G2596&lt;60,'General Basis'!$B$48,IF(G2596&lt;65,'General Basis'!$B$49,'General Basis'!$B$50)))))))))))))</f>
        <v/>
      </c>
      <c r="BI2596" s="744" t="str">
        <f t="shared" si="907"/>
        <v/>
      </c>
      <c r="BJ2596" s="747" t="str">
        <f t="shared" si="914"/>
        <v/>
      </c>
      <c r="BK2596" s="498" t="str">
        <f t="shared" si="908"/>
        <v/>
      </c>
      <c r="BL2596" s="498" t="str">
        <f t="shared" si="909"/>
        <v/>
      </c>
    </row>
    <row r="2597" spans="1:64" x14ac:dyDescent="0.25">
      <c r="A2597" s="762">
        <f t="shared" si="910"/>
        <v>2592</v>
      </c>
      <c r="B2597" s="229"/>
      <c r="C2597" s="223"/>
      <c r="D2597" s="224"/>
      <c r="E2597" s="225"/>
      <c r="F2597" s="1036" t="str">
        <f t="shared" si="916"/>
        <v/>
      </c>
      <c r="G2597" s="1037" t="str">
        <f t="shared" si="911"/>
        <v/>
      </c>
      <c r="H2597" s="225"/>
      <c r="I2597" s="1013"/>
      <c r="J2597" s="1013"/>
      <c r="K2597" s="1028"/>
      <c r="L2597" s="1035" t="str">
        <f t="shared" si="915"/>
        <v/>
      </c>
      <c r="S2597" s="498"/>
      <c r="AJ2597" s="498"/>
      <c r="AM2597" s="498">
        <f t="shared" si="896"/>
        <v>0</v>
      </c>
      <c r="AN2597" s="498">
        <f t="shared" si="897"/>
        <v>0</v>
      </c>
      <c r="AO2597" s="498">
        <f t="shared" si="898"/>
        <v>0</v>
      </c>
      <c r="AP2597" s="498">
        <f t="shared" si="917"/>
        <v>0</v>
      </c>
      <c r="AQ2597" s="498">
        <f t="shared" si="912"/>
        <v>0</v>
      </c>
      <c r="AU2597" s="498">
        <f t="shared" si="899"/>
        <v>0</v>
      </c>
      <c r="AV2597" s="498">
        <f t="shared" si="900"/>
        <v>0</v>
      </c>
      <c r="AW2597" s="498">
        <f t="shared" si="901"/>
        <v>0</v>
      </c>
      <c r="AX2597" s="498">
        <f t="shared" si="902"/>
        <v>0</v>
      </c>
      <c r="AY2597" s="498">
        <f t="shared" si="903"/>
        <v>0</v>
      </c>
      <c r="BB2597" s="498" t="str">
        <f t="shared" si="904"/>
        <v/>
      </c>
      <c r="BC2597" s="743" t="str">
        <f t="shared" si="905"/>
        <v/>
      </c>
      <c r="BD2597" s="743" t="str">
        <f t="shared" si="906"/>
        <v/>
      </c>
      <c r="BE2597" s="743" t="str">
        <f>IF(D2597="","",VLOOKUP(D2597,'General Basis'!$J$39:$K$46,2,0))</f>
        <v/>
      </c>
      <c r="BF2597" s="744" t="str">
        <f>IF(D2597="","",VLOOKUP(D2597,'General Basis'!$J$39:$L$46,3,0))</f>
        <v/>
      </c>
      <c r="BG2597" s="744" t="str">
        <f t="shared" si="913"/>
        <v/>
      </c>
      <c r="BH2597" s="744" t="str">
        <f>IF(G2597="","",IF(BF2597="Abu Dhabi",IF(G2597&lt;18,'General Basis'!$C$39,IF(G2597&lt;41,'General Basis'!$C$40,IF(G2597&lt;60,'General Basis'!$C$41,IF(G2597&lt;65,'General Basis'!$C$42,'General Basis'!$C$43)))),IF(G2597&lt;11,'General Basis'!$B$39,IF(G2597&lt;18,'General Basis'!$B$40,IF(G2597&lt;26,'General Basis'!$B$41,IF(G2597&lt;31,'General Basis'!$B$42,IF(G2597&lt;36,'General Basis'!$B$43,IF(G2597&lt;41,'General Basis'!$B$44,IF(G2597&lt;46,'General Basis'!$B$45,IF(G2597&lt;51,'General Basis'!$B$46,IF(G2597&lt;56,'General Basis'!$B$47,IF(G2597&lt;60,'General Basis'!$B$48,IF(G2597&lt;65,'General Basis'!$B$49,'General Basis'!$B$50)))))))))))))</f>
        <v/>
      </c>
      <c r="BI2597" s="744" t="str">
        <f t="shared" si="907"/>
        <v/>
      </c>
      <c r="BJ2597" s="747" t="str">
        <f t="shared" si="914"/>
        <v/>
      </c>
      <c r="BK2597" s="498" t="str">
        <f t="shared" si="908"/>
        <v/>
      </c>
      <c r="BL2597" s="498" t="str">
        <f t="shared" si="909"/>
        <v/>
      </c>
    </row>
    <row r="2598" spans="1:64" x14ac:dyDescent="0.25">
      <c r="A2598" s="762">
        <f t="shared" si="910"/>
        <v>2593</v>
      </c>
      <c r="B2598" s="229"/>
      <c r="C2598" s="223"/>
      <c r="D2598" s="224"/>
      <c r="E2598" s="225"/>
      <c r="F2598" s="1036" t="str">
        <f t="shared" si="916"/>
        <v/>
      </c>
      <c r="G2598" s="1037" t="str">
        <f t="shared" si="911"/>
        <v/>
      </c>
      <c r="H2598" s="225"/>
      <c r="I2598" s="1013"/>
      <c r="J2598" s="1013"/>
      <c r="K2598" s="1028"/>
      <c r="L2598" s="1035" t="str">
        <f t="shared" si="915"/>
        <v/>
      </c>
      <c r="S2598" s="498"/>
      <c r="AJ2598" s="498"/>
      <c r="AM2598" s="498">
        <f t="shared" si="896"/>
        <v>0</v>
      </c>
      <c r="AN2598" s="498">
        <f t="shared" si="897"/>
        <v>0</v>
      </c>
      <c r="AO2598" s="498">
        <f t="shared" si="898"/>
        <v>0</v>
      </c>
      <c r="AP2598" s="498">
        <f t="shared" si="917"/>
        <v>0</v>
      </c>
      <c r="AQ2598" s="498">
        <f t="shared" si="912"/>
        <v>0</v>
      </c>
      <c r="AU2598" s="498">
        <f t="shared" si="899"/>
        <v>0</v>
      </c>
      <c r="AV2598" s="498">
        <f t="shared" si="900"/>
        <v>0</v>
      </c>
      <c r="AW2598" s="498">
        <f t="shared" si="901"/>
        <v>0</v>
      </c>
      <c r="AX2598" s="498">
        <f t="shared" si="902"/>
        <v>0</v>
      </c>
      <c r="AY2598" s="498">
        <f t="shared" si="903"/>
        <v>0</v>
      </c>
      <c r="BB2598" s="498" t="str">
        <f t="shared" si="904"/>
        <v/>
      </c>
      <c r="BC2598" s="743" t="str">
        <f t="shared" si="905"/>
        <v/>
      </c>
      <c r="BD2598" s="743" t="str">
        <f t="shared" si="906"/>
        <v/>
      </c>
      <c r="BE2598" s="743" t="str">
        <f>IF(D2598="","",VLOOKUP(D2598,'General Basis'!$J$39:$K$46,2,0))</f>
        <v/>
      </c>
      <c r="BF2598" s="744" t="str">
        <f>IF(D2598="","",VLOOKUP(D2598,'General Basis'!$J$39:$L$46,3,0))</f>
        <v/>
      </c>
      <c r="BG2598" s="744" t="str">
        <f t="shared" si="913"/>
        <v/>
      </c>
      <c r="BH2598" s="744" t="str">
        <f>IF(G2598="","",IF(BF2598="Abu Dhabi",IF(G2598&lt;18,'General Basis'!$C$39,IF(G2598&lt;41,'General Basis'!$C$40,IF(G2598&lt;60,'General Basis'!$C$41,IF(G2598&lt;65,'General Basis'!$C$42,'General Basis'!$C$43)))),IF(G2598&lt;11,'General Basis'!$B$39,IF(G2598&lt;18,'General Basis'!$B$40,IF(G2598&lt;26,'General Basis'!$B$41,IF(G2598&lt;31,'General Basis'!$B$42,IF(G2598&lt;36,'General Basis'!$B$43,IF(G2598&lt;41,'General Basis'!$B$44,IF(G2598&lt;46,'General Basis'!$B$45,IF(G2598&lt;51,'General Basis'!$B$46,IF(G2598&lt;56,'General Basis'!$B$47,IF(G2598&lt;60,'General Basis'!$B$48,IF(G2598&lt;65,'General Basis'!$B$49,'General Basis'!$B$50)))))))))))))</f>
        <v/>
      </c>
      <c r="BI2598" s="744" t="str">
        <f t="shared" si="907"/>
        <v/>
      </c>
      <c r="BJ2598" s="747" t="str">
        <f t="shared" si="914"/>
        <v/>
      </c>
      <c r="BK2598" s="498" t="str">
        <f t="shared" si="908"/>
        <v/>
      </c>
      <c r="BL2598" s="498" t="str">
        <f t="shared" si="909"/>
        <v/>
      </c>
    </row>
    <row r="2599" spans="1:64" x14ac:dyDescent="0.25">
      <c r="A2599" s="762">
        <f t="shared" si="910"/>
        <v>2594</v>
      </c>
      <c r="B2599" s="229"/>
      <c r="C2599" s="223"/>
      <c r="D2599" s="224"/>
      <c r="E2599" s="225"/>
      <c r="F2599" s="1036" t="str">
        <f t="shared" si="916"/>
        <v/>
      </c>
      <c r="G2599" s="1037" t="str">
        <f t="shared" si="911"/>
        <v/>
      </c>
      <c r="H2599" s="225"/>
      <c r="I2599" s="1013"/>
      <c r="J2599" s="1013"/>
      <c r="K2599" s="1028"/>
      <c r="L2599" s="1035" t="str">
        <f t="shared" si="915"/>
        <v/>
      </c>
      <c r="S2599" s="498"/>
      <c r="AJ2599" s="498"/>
      <c r="AM2599" s="498">
        <f t="shared" si="896"/>
        <v>0</v>
      </c>
      <c r="AN2599" s="498">
        <f t="shared" si="897"/>
        <v>0</v>
      </c>
      <c r="AO2599" s="498">
        <f t="shared" si="898"/>
        <v>0</v>
      </c>
      <c r="AP2599" s="498">
        <f t="shared" si="917"/>
        <v>0</v>
      </c>
      <c r="AQ2599" s="498">
        <f t="shared" si="912"/>
        <v>0</v>
      </c>
      <c r="AU2599" s="498">
        <f t="shared" si="899"/>
        <v>0</v>
      </c>
      <c r="AV2599" s="498">
        <f t="shared" si="900"/>
        <v>0</v>
      </c>
      <c r="AW2599" s="498">
        <f t="shared" si="901"/>
        <v>0</v>
      </c>
      <c r="AX2599" s="498">
        <f t="shared" si="902"/>
        <v>0</v>
      </c>
      <c r="AY2599" s="498">
        <f t="shared" si="903"/>
        <v>0</v>
      </c>
      <c r="BB2599" s="498" t="str">
        <f t="shared" si="904"/>
        <v/>
      </c>
      <c r="BC2599" s="743" t="str">
        <f t="shared" si="905"/>
        <v/>
      </c>
      <c r="BD2599" s="743" t="str">
        <f t="shared" si="906"/>
        <v/>
      </c>
      <c r="BE2599" s="743" t="str">
        <f>IF(D2599="","",VLOOKUP(D2599,'General Basis'!$J$39:$K$46,2,0))</f>
        <v/>
      </c>
      <c r="BF2599" s="744" t="str">
        <f>IF(D2599="","",VLOOKUP(D2599,'General Basis'!$J$39:$L$46,3,0))</f>
        <v/>
      </c>
      <c r="BG2599" s="744" t="str">
        <f t="shared" si="913"/>
        <v/>
      </c>
      <c r="BH2599" s="744" t="str">
        <f>IF(G2599="","",IF(BF2599="Abu Dhabi",IF(G2599&lt;18,'General Basis'!$C$39,IF(G2599&lt;41,'General Basis'!$C$40,IF(G2599&lt;60,'General Basis'!$C$41,IF(G2599&lt;65,'General Basis'!$C$42,'General Basis'!$C$43)))),IF(G2599&lt;11,'General Basis'!$B$39,IF(G2599&lt;18,'General Basis'!$B$40,IF(G2599&lt;26,'General Basis'!$B$41,IF(G2599&lt;31,'General Basis'!$B$42,IF(G2599&lt;36,'General Basis'!$B$43,IF(G2599&lt;41,'General Basis'!$B$44,IF(G2599&lt;46,'General Basis'!$B$45,IF(G2599&lt;51,'General Basis'!$B$46,IF(G2599&lt;56,'General Basis'!$B$47,IF(G2599&lt;60,'General Basis'!$B$48,IF(G2599&lt;65,'General Basis'!$B$49,'General Basis'!$B$50)))))))))))))</f>
        <v/>
      </c>
      <c r="BI2599" s="744" t="str">
        <f t="shared" si="907"/>
        <v/>
      </c>
      <c r="BJ2599" s="747" t="str">
        <f t="shared" si="914"/>
        <v/>
      </c>
      <c r="BK2599" s="498" t="str">
        <f t="shared" si="908"/>
        <v/>
      </c>
      <c r="BL2599" s="498" t="str">
        <f t="shared" si="909"/>
        <v/>
      </c>
    </row>
    <row r="2600" spans="1:64" x14ac:dyDescent="0.25">
      <c r="A2600" s="762">
        <f t="shared" si="910"/>
        <v>2595</v>
      </c>
      <c r="B2600" s="229"/>
      <c r="C2600" s="223"/>
      <c r="D2600" s="224"/>
      <c r="E2600" s="225"/>
      <c r="F2600" s="1036" t="str">
        <f t="shared" si="916"/>
        <v/>
      </c>
      <c r="G2600" s="1037" t="str">
        <f t="shared" si="911"/>
        <v/>
      </c>
      <c r="H2600" s="225"/>
      <c r="I2600" s="1013"/>
      <c r="J2600" s="1013"/>
      <c r="K2600" s="1028"/>
      <c r="L2600" s="1035" t="str">
        <f t="shared" si="915"/>
        <v/>
      </c>
      <c r="S2600" s="498"/>
      <c r="AJ2600" s="498"/>
      <c r="AM2600" s="498">
        <f t="shared" si="896"/>
        <v>0</v>
      </c>
      <c r="AN2600" s="498">
        <f t="shared" si="897"/>
        <v>0</v>
      </c>
      <c r="AO2600" s="498">
        <f t="shared" si="898"/>
        <v>0</v>
      </c>
      <c r="AP2600" s="498">
        <f t="shared" si="917"/>
        <v>0</v>
      </c>
      <c r="AQ2600" s="498">
        <f t="shared" si="912"/>
        <v>0</v>
      </c>
      <c r="AU2600" s="498">
        <f t="shared" si="899"/>
        <v>0</v>
      </c>
      <c r="AV2600" s="498">
        <f t="shared" si="900"/>
        <v>0</v>
      </c>
      <c r="AW2600" s="498">
        <f t="shared" si="901"/>
        <v>0</v>
      </c>
      <c r="AX2600" s="498">
        <f t="shared" si="902"/>
        <v>0</v>
      </c>
      <c r="AY2600" s="498">
        <f t="shared" si="903"/>
        <v>0</v>
      </c>
      <c r="BB2600" s="498" t="str">
        <f t="shared" si="904"/>
        <v/>
      </c>
      <c r="BC2600" s="743" t="str">
        <f t="shared" si="905"/>
        <v/>
      </c>
      <c r="BD2600" s="743" t="str">
        <f t="shared" si="906"/>
        <v/>
      </c>
      <c r="BE2600" s="743" t="str">
        <f>IF(D2600="","",VLOOKUP(D2600,'General Basis'!$J$39:$K$46,2,0))</f>
        <v/>
      </c>
      <c r="BF2600" s="744" t="str">
        <f>IF(D2600="","",VLOOKUP(D2600,'General Basis'!$J$39:$L$46,3,0))</f>
        <v/>
      </c>
      <c r="BG2600" s="744" t="str">
        <f t="shared" si="913"/>
        <v/>
      </c>
      <c r="BH2600" s="744" t="str">
        <f>IF(G2600="","",IF(BF2600="Abu Dhabi",IF(G2600&lt;18,'General Basis'!$C$39,IF(G2600&lt;41,'General Basis'!$C$40,IF(G2600&lt;60,'General Basis'!$C$41,IF(G2600&lt;65,'General Basis'!$C$42,'General Basis'!$C$43)))),IF(G2600&lt;11,'General Basis'!$B$39,IF(G2600&lt;18,'General Basis'!$B$40,IF(G2600&lt;26,'General Basis'!$B$41,IF(G2600&lt;31,'General Basis'!$B$42,IF(G2600&lt;36,'General Basis'!$B$43,IF(G2600&lt;41,'General Basis'!$B$44,IF(G2600&lt;46,'General Basis'!$B$45,IF(G2600&lt;51,'General Basis'!$B$46,IF(G2600&lt;56,'General Basis'!$B$47,IF(G2600&lt;60,'General Basis'!$B$48,IF(G2600&lt;65,'General Basis'!$B$49,'General Basis'!$B$50)))))))))))))</f>
        <v/>
      </c>
      <c r="BI2600" s="744" t="str">
        <f t="shared" si="907"/>
        <v/>
      </c>
      <c r="BJ2600" s="747" t="str">
        <f t="shared" si="914"/>
        <v/>
      </c>
      <c r="BK2600" s="498" t="str">
        <f t="shared" si="908"/>
        <v/>
      </c>
      <c r="BL2600" s="498" t="str">
        <f t="shared" si="909"/>
        <v/>
      </c>
    </row>
    <row r="2601" spans="1:64" x14ac:dyDescent="0.25">
      <c r="A2601" s="762">
        <f t="shared" si="910"/>
        <v>2596</v>
      </c>
      <c r="B2601" s="229"/>
      <c r="C2601" s="223"/>
      <c r="D2601" s="224"/>
      <c r="E2601" s="225"/>
      <c r="F2601" s="1036" t="str">
        <f t="shared" si="916"/>
        <v/>
      </c>
      <c r="G2601" s="1037" t="str">
        <f t="shared" si="911"/>
        <v/>
      </c>
      <c r="H2601" s="225"/>
      <c r="I2601" s="1013"/>
      <c r="J2601" s="1013"/>
      <c r="K2601" s="1028"/>
      <c r="L2601" s="1035" t="str">
        <f t="shared" si="915"/>
        <v/>
      </c>
      <c r="S2601" s="498"/>
      <c r="AJ2601" s="498"/>
      <c r="AM2601" s="498">
        <f t="shared" si="896"/>
        <v>0</v>
      </c>
      <c r="AN2601" s="498">
        <f t="shared" si="897"/>
        <v>0</v>
      </c>
      <c r="AO2601" s="498">
        <f t="shared" si="898"/>
        <v>0</v>
      </c>
      <c r="AP2601" s="498">
        <f t="shared" si="917"/>
        <v>0</v>
      </c>
      <c r="AQ2601" s="498">
        <f t="shared" si="912"/>
        <v>0</v>
      </c>
      <c r="AU2601" s="498">
        <f t="shared" si="899"/>
        <v>0</v>
      </c>
      <c r="AV2601" s="498">
        <f t="shared" si="900"/>
        <v>0</v>
      </c>
      <c r="AW2601" s="498">
        <f t="shared" si="901"/>
        <v>0</v>
      </c>
      <c r="AX2601" s="498">
        <f t="shared" si="902"/>
        <v>0</v>
      </c>
      <c r="AY2601" s="498">
        <f t="shared" si="903"/>
        <v>0</v>
      </c>
      <c r="BB2601" s="498" t="str">
        <f t="shared" si="904"/>
        <v/>
      </c>
      <c r="BC2601" s="743" t="str">
        <f t="shared" si="905"/>
        <v/>
      </c>
      <c r="BD2601" s="743" t="str">
        <f t="shared" si="906"/>
        <v/>
      </c>
      <c r="BE2601" s="743" t="str">
        <f>IF(D2601="","",VLOOKUP(D2601,'General Basis'!$J$39:$K$46,2,0))</f>
        <v/>
      </c>
      <c r="BF2601" s="744" t="str">
        <f>IF(D2601="","",VLOOKUP(D2601,'General Basis'!$J$39:$L$46,3,0))</f>
        <v/>
      </c>
      <c r="BG2601" s="744" t="str">
        <f t="shared" si="913"/>
        <v/>
      </c>
      <c r="BH2601" s="744" t="str">
        <f>IF(G2601="","",IF(BF2601="Abu Dhabi",IF(G2601&lt;18,'General Basis'!$C$39,IF(G2601&lt;41,'General Basis'!$C$40,IF(G2601&lt;60,'General Basis'!$C$41,IF(G2601&lt;65,'General Basis'!$C$42,'General Basis'!$C$43)))),IF(G2601&lt;11,'General Basis'!$B$39,IF(G2601&lt;18,'General Basis'!$B$40,IF(G2601&lt;26,'General Basis'!$B$41,IF(G2601&lt;31,'General Basis'!$B$42,IF(G2601&lt;36,'General Basis'!$B$43,IF(G2601&lt;41,'General Basis'!$B$44,IF(G2601&lt;46,'General Basis'!$B$45,IF(G2601&lt;51,'General Basis'!$B$46,IF(G2601&lt;56,'General Basis'!$B$47,IF(G2601&lt;60,'General Basis'!$B$48,IF(G2601&lt;65,'General Basis'!$B$49,'General Basis'!$B$50)))))))))))))</f>
        <v/>
      </c>
      <c r="BI2601" s="744" t="str">
        <f t="shared" si="907"/>
        <v/>
      </c>
      <c r="BJ2601" s="747" t="str">
        <f t="shared" si="914"/>
        <v/>
      </c>
      <c r="BK2601" s="498" t="str">
        <f t="shared" si="908"/>
        <v/>
      </c>
      <c r="BL2601" s="498" t="str">
        <f t="shared" si="909"/>
        <v/>
      </c>
    </row>
    <row r="2602" spans="1:64" x14ac:dyDescent="0.25">
      <c r="A2602" s="762">
        <f t="shared" si="910"/>
        <v>2597</v>
      </c>
      <c r="B2602" s="229"/>
      <c r="C2602" s="223"/>
      <c r="D2602" s="224"/>
      <c r="E2602" s="225"/>
      <c r="F2602" s="1036" t="str">
        <f t="shared" si="916"/>
        <v/>
      </c>
      <c r="G2602" s="1037" t="str">
        <f t="shared" si="911"/>
        <v/>
      </c>
      <c r="H2602" s="225"/>
      <c r="I2602" s="1013"/>
      <c r="J2602" s="1013"/>
      <c r="K2602" s="1028"/>
      <c r="L2602" s="1035" t="str">
        <f t="shared" si="915"/>
        <v/>
      </c>
      <c r="S2602" s="498"/>
      <c r="AJ2602" s="498"/>
      <c r="AM2602" s="498">
        <f t="shared" si="896"/>
        <v>0</v>
      </c>
      <c r="AN2602" s="498">
        <f t="shared" si="897"/>
        <v>0</v>
      </c>
      <c r="AO2602" s="498">
        <f t="shared" si="898"/>
        <v>0</v>
      </c>
      <c r="AP2602" s="498">
        <f t="shared" si="917"/>
        <v>0</v>
      </c>
      <c r="AQ2602" s="498">
        <f t="shared" si="912"/>
        <v>0</v>
      </c>
      <c r="AU2602" s="498">
        <f t="shared" si="899"/>
        <v>0</v>
      </c>
      <c r="AV2602" s="498">
        <f t="shared" si="900"/>
        <v>0</v>
      </c>
      <c r="AW2602" s="498">
        <f t="shared" si="901"/>
        <v>0</v>
      </c>
      <c r="AX2602" s="498">
        <f t="shared" si="902"/>
        <v>0</v>
      </c>
      <c r="AY2602" s="498">
        <f t="shared" si="903"/>
        <v>0</v>
      </c>
      <c r="BB2602" s="498" t="str">
        <f t="shared" si="904"/>
        <v/>
      </c>
      <c r="BC2602" s="743" t="str">
        <f t="shared" si="905"/>
        <v/>
      </c>
      <c r="BD2602" s="743" t="str">
        <f t="shared" si="906"/>
        <v/>
      </c>
      <c r="BE2602" s="743" t="str">
        <f>IF(D2602="","",VLOOKUP(D2602,'General Basis'!$J$39:$K$46,2,0))</f>
        <v/>
      </c>
      <c r="BF2602" s="744" t="str">
        <f>IF(D2602="","",VLOOKUP(D2602,'General Basis'!$J$39:$L$46,3,0))</f>
        <v/>
      </c>
      <c r="BG2602" s="744" t="str">
        <f t="shared" si="913"/>
        <v/>
      </c>
      <c r="BH2602" s="744" t="str">
        <f>IF(G2602="","",IF(BF2602="Abu Dhabi",IF(G2602&lt;18,'General Basis'!$C$39,IF(G2602&lt;41,'General Basis'!$C$40,IF(G2602&lt;60,'General Basis'!$C$41,IF(G2602&lt;65,'General Basis'!$C$42,'General Basis'!$C$43)))),IF(G2602&lt;11,'General Basis'!$B$39,IF(G2602&lt;18,'General Basis'!$B$40,IF(G2602&lt;26,'General Basis'!$B$41,IF(G2602&lt;31,'General Basis'!$B$42,IF(G2602&lt;36,'General Basis'!$B$43,IF(G2602&lt;41,'General Basis'!$B$44,IF(G2602&lt;46,'General Basis'!$B$45,IF(G2602&lt;51,'General Basis'!$B$46,IF(G2602&lt;56,'General Basis'!$B$47,IF(G2602&lt;60,'General Basis'!$B$48,IF(G2602&lt;65,'General Basis'!$B$49,'General Basis'!$B$50)))))))))))))</f>
        <v/>
      </c>
      <c r="BI2602" s="744" t="str">
        <f t="shared" si="907"/>
        <v/>
      </c>
      <c r="BJ2602" s="747" t="str">
        <f t="shared" si="914"/>
        <v/>
      </c>
      <c r="BK2602" s="498" t="str">
        <f t="shared" si="908"/>
        <v/>
      </c>
      <c r="BL2602" s="498" t="str">
        <f t="shared" si="909"/>
        <v/>
      </c>
    </row>
    <row r="2603" spans="1:64" x14ac:dyDescent="0.25">
      <c r="A2603" s="762">
        <f t="shared" si="910"/>
        <v>2598</v>
      </c>
      <c r="B2603" s="229"/>
      <c r="C2603" s="223"/>
      <c r="D2603" s="224"/>
      <c r="E2603" s="225"/>
      <c r="F2603" s="1036" t="str">
        <f t="shared" si="916"/>
        <v/>
      </c>
      <c r="G2603" s="1037" t="str">
        <f t="shared" si="911"/>
        <v/>
      </c>
      <c r="H2603" s="225"/>
      <c r="I2603" s="1013"/>
      <c r="J2603" s="1013"/>
      <c r="K2603" s="1028"/>
      <c r="L2603" s="1035" t="str">
        <f t="shared" si="915"/>
        <v/>
      </c>
      <c r="S2603" s="498"/>
      <c r="AJ2603" s="498"/>
      <c r="AM2603" s="498">
        <f t="shared" si="896"/>
        <v>0</v>
      </c>
      <c r="AN2603" s="498">
        <f t="shared" si="897"/>
        <v>0</v>
      </c>
      <c r="AO2603" s="498">
        <f t="shared" si="898"/>
        <v>0</v>
      </c>
      <c r="AP2603" s="498">
        <f t="shared" si="917"/>
        <v>0</v>
      </c>
      <c r="AQ2603" s="498">
        <f t="shared" si="912"/>
        <v>0</v>
      </c>
      <c r="AU2603" s="498">
        <f t="shared" si="899"/>
        <v>0</v>
      </c>
      <c r="AV2603" s="498">
        <f t="shared" si="900"/>
        <v>0</v>
      </c>
      <c r="AW2603" s="498">
        <f t="shared" si="901"/>
        <v>0</v>
      </c>
      <c r="AX2603" s="498">
        <f t="shared" si="902"/>
        <v>0</v>
      </c>
      <c r="AY2603" s="498">
        <f t="shared" si="903"/>
        <v>0</v>
      </c>
      <c r="BB2603" s="498" t="str">
        <f t="shared" si="904"/>
        <v/>
      </c>
      <c r="BC2603" s="743" t="str">
        <f t="shared" si="905"/>
        <v/>
      </c>
      <c r="BD2603" s="743" t="str">
        <f t="shared" si="906"/>
        <v/>
      </c>
      <c r="BE2603" s="743" t="str">
        <f>IF(D2603="","",VLOOKUP(D2603,'General Basis'!$J$39:$K$46,2,0))</f>
        <v/>
      </c>
      <c r="BF2603" s="744" t="str">
        <f>IF(D2603="","",VLOOKUP(D2603,'General Basis'!$J$39:$L$46,3,0))</f>
        <v/>
      </c>
      <c r="BG2603" s="744" t="str">
        <f t="shared" si="913"/>
        <v/>
      </c>
      <c r="BH2603" s="744" t="str">
        <f>IF(G2603="","",IF(BF2603="Abu Dhabi",IF(G2603&lt;18,'General Basis'!$C$39,IF(G2603&lt;41,'General Basis'!$C$40,IF(G2603&lt;60,'General Basis'!$C$41,IF(G2603&lt;65,'General Basis'!$C$42,'General Basis'!$C$43)))),IF(G2603&lt;11,'General Basis'!$B$39,IF(G2603&lt;18,'General Basis'!$B$40,IF(G2603&lt;26,'General Basis'!$B$41,IF(G2603&lt;31,'General Basis'!$B$42,IF(G2603&lt;36,'General Basis'!$B$43,IF(G2603&lt;41,'General Basis'!$B$44,IF(G2603&lt;46,'General Basis'!$B$45,IF(G2603&lt;51,'General Basis'!$B$46,IF(G2603&lt;56,'General Basis'!$B$47,IF(G2603&lt;60,'General Basis'!$B$48,IF(G2603&lt;65,'General Basis'!$B$49,'General Basis'!$B$50)))))))))))))</f>
        <v/>
      </c>
      <c r="BI2603" s="744" t="str">
        <f t="shared" si="907"/>
        <v/>
      </c>
      <c r="BJ2603" s="747" t="str">
        <f t="shared" si="914"/>
        <v/>
      </c>
      <c r="BK2603" s="498" t="str">
        <f t="shared" si="908"/>
        <v/>
      </c>
      <c r="BL2603" s="498" t="str">
        <f t="shared" si="909"/>
        <v/>
      </c>
    </row>
    <row r="2604" spans="1:64" x14ac:dyDescent="0.25">
      <c r="A2604" s="762">
        <f t="shared" si="910"/>
        <v>2599</v>
      </c>
      <c r="B2604" s="229"/>
      <c r="C2604" s="223"/>
      <c r="D2604" s="224"/>
      <c r="E2604" s="225"/>
      <c r="F2604" s="1036" t="str">
        <f t="shared" si="916"/>
        <v/>
      </c>
      <c r="G2604" s="1037" t="str">
        <f t="shared" si="911"/>
        <v/>
      </c>
      <c r="H2604" s="225"/>
      <c r="I2604" s="1013"/>
      <c r="J2604" s="1013"/>
      <c r="K2604" s="1028"/>
      <c r="L2604" s="1035" t="str">
        <f t="shared" si="915"/>
        <v/>
      </c>
      <c r="S2604" s="498"/>
      <c r="AJ2604" s="498"/>
      <c r="AM2604" s="498">
        <f t="shared" si="896"/>
        <v>0</v>
      </c>
      <c r="AN2604" s="498">
        <f t="shared" si="897"/>
        <v>0</v>
      </c>
      <c r="AO2604" s="498">
        <f t="shared" si="898"/>
        <v>0</v>
      </c>
      <c r="AP2604" s="498">
        <f t="shared" si="917"/>
        <v>0</v>
      </c>
      <c r="AQ2604" s="498">
        <f t="shared" si="912"/>
        <v>0</v>
      </c>
      <c r="AU2604" s="498">
        <f t="shared" si="899"/>
        <v>0</v>
      </c>
      <c r="AV2604" s="498">
        <f t="shared" si="900"/>
        <v>0</v>
      </c>
      <c r="AW2604" s="498">
        <f t="shared" si="901"/>
        <v>0</v>
      </c>
      <c r="AX2604" s="498">
        <f t="shared" si="902"/>
        <v>0</v>
      </c>
      <c r="AY2604" s="498">
        <f t="shared" si="903"/>
        <v>0</v>
      </c>
      <c r="BB2604" s="498" t="str">
        <f t="shared" si="904"/>
        <v/>
      </c>
      <c r="BC2604" s="743" t="str">
        <f t="shared" si="905"/>
        <v/>
      </c>
      <c r="BD2604" s="743" t="str">
        <f t="shared" si="906"/>
        <v/>
      </c>
      <c r="BE2604" s="743" t="str">
        <f>IF(D2604="","",VLOOKUP(D2604,'General Basis'!$J$39:$K$46,2,0))</f>
        <v/>
      </c>
      <c r="BF2604" s="744" t="str">
        <f>IF(D2604="","",VLOOKUP(D2604,'General Basis'!$J$39:$L$46,3,0))</f>
        <v/>
      </c>
      <c r="BG2604" s="744" t="str">
        <f t="shared" si="913"/>
        <v/>
      </c>
      <c r="BH2604" s="744" t="str">
        <f>IF(G2604="","",IF(BF2604="Abu Dhabi",IF(G2604&lt;18,'General Basis'!$C$39,IF(G2604&lt;41,'General Basis'!$C$40,IF(G2604&lt;60,'General Basis'!$C$41,IF(G2604&lt;65,'General Basis'!$C$42,'General Basis'!$C$43)))),IF(G2604&lt;11,'General Basis'!$B$39,IF(G2604&lt;18,'General Basis'!$B$40,IF(G2604&lt;26,'General Basis'!$B$41,IF(G2604&lt;31,'General Basis'!$B$42,IF(G2604&lt;36,'General Basis'!$B$43,IF(G2604&lt;41,'General Basis'!$B$44,IF(G2604&lt;46,'General Basis'!$B$45,IF(G2604&lt;51,'General Basis'!$B$46,IF(G2604&lt;56,'General Basis'!$B$47,IF(G2604&lt;60,'General Basis'!$B$48,IF(G2604&lt;65,'General Basis'!$B$49,'General Basis'!$B$50)))))))))))))</f>
        <v/>
      </c>
      <c r="BI2604" s="744" t="str">
        <f t="shared" si="907"/>
        <v/>
      </c>
      <c r="BJ2604" s="747" t="str">
        <f t="shared" si="914"/>
        <v/>
      </c>
      <c r="BK2604" s="498" t="str">
        <f t="shared" si="908"/>
        <v/>
      </c>
      <c r="BL2604" s="498" t="str">
        <f t="shared" si="909"/>
        <v/>
      </c>
    </row>
    <row r="2605" spans="1:64" x14ac:dyDescent="0.25">
      <c r="A2605" s="762">
        <f t="shared" si="910"/>
        <v>2600</v>
      </c>
      <c r="B2605" s="229"/>
      <c r="C2605" s="223"/>
      <c r="D2605" s="224"/>
      <c r="E2605" s="225"/>
      <c r="F2605" s="1036" t="str">
        <f t="shared" si="916"/>
        <v/>
      </c>
      <c r="G2605" s="1037" t="str">
        <f t="shared" si="911"/>
        <v/>
      </c>
      <c r="H2605" s="225"/>
      <c r="I2605" s="1013"/>
      <c r="J2605" s="1013"/>
      <c r="K2605" s="1028"/>
      <c r="L2605" s="1035" t="str">
        <f t="shared" si="915"/>
        <v/>
      </c>
      <c r="S2605" s="498"/>
      <c r="AJ2605" s="498"/>
      <c r="AM2605" s="498">
        <f t="shared" si="896"/>
        <v>0</v>
      </c>
      <c r="AN2605" s="498">
        <f t="shared" si="897"/>
        <v>0</v>
      </c>
      <c r="AO2605" s="498">
        <f t="shared" si="898"/>
        <v>0</v>
      </c>
      <c r="AP2605" s="498">
        <f t="shared" si="917"/>
        <v>0</v>
      </c>
      <c r="AQ2605" s="498">
        <f t="shared" si="912"/>
        <v>0</v>
      </c>
      <c r="AU2605" s="498">
        <f t="shared" si="899"/>
        <v>0</v>
      </c>
      <c r="AV2605" s="498">
        <f t="shared" si="900"/>
        <v>0</v>
      </c>
      <c r="AW2605" s="498">
        <f t="shared" si="901"/>
        <v>0</v>
      </c>
      <c r="AX2605" s="498">
        <f t="shared" si="902"/>
        <v>0</v>
      </c>
      <c r="AY2605" s="498">
        <f t="shared" si="903"/>
        <v>0</v>
      </c>
      <c r="BB2605" s="498" t="str">
        <f t="shared" si="904"/>
        <v/>
      </c>
      <c r="BC2605" s="743" t="str">
        <f t="shared" si="905"/>
        <v/>
      </c>
      <c r="BD2605" s="743" t="str">
        <f t="shared" si="906"/>
        <v/>
      </c>
      <c r="BE2605" s="743" t="str">
        <f>IF(D2605="","",VLOOKUP(D2605,'General Basis'!$J$39:$K$46,2,0))</f>
        <v/>
      </c>
      <c r="BF2605" s="744" t="str">
        <f>IF(D2605="","",VLOOKUP(D2605,'General Basis'!$J$39:$L$46,3,0))</f>
        <v/>
      </c>
      <c r="BG2605" s="744" t="str">
        <f t="shared" si="913"/>
        <v/>
      </c>
      <c r="BH2605" s="744" t="str">
        <f>IF(G2605="","",IF(BF2605="Abu Dhabi",IF(G2605&lt;18,'General Basis'!$C$39,IF(G2605&lt;41,'General Basis'!$C$40,IF(G2605&lt;60,'General Basis'!$C$41,IF(G2605&lt;65,'General Basis'!$C$42,'General Basis'!$C$43)))),IF(G2605&lt;11,'General Basis'!$B$39,IF(G2605&lt;18,'General Basis'!$B$40,IF(G2605&lt;26,'General Basis'!$B$41,IF(G2605&lt;31,'General Basis'!$B$42,IF(G2605&lt;36,'General Basis'!$B$43,IF(G2605&lt;41,'General Basis'!$B$44,IF(G2605&lt;46,'General Basis'!$B$45,IF(G2605&lt;51,'General Basis'!$B$46,IF(G2605&lt;56,'General Basis'!$B$47,IF(G2605&lt;60,'General Basis'!$B$48,IF(G2605&lt;65,'General Basis'!$B$49,'General Basis'!$B$50)))))))))))))</f>
        <v/>
      </c>
      <c r="BI2605" s="744" t="str">
        <f t="shared" si="907"/>
        <v/>
      </c>
      <c r="BJ2605" s="747" t="str">
        <f t="shared" si="914"/>
        <v/>
      </c>
      <c r="BK2605" s="498" t="str">
        <f t="shared" si="908"/>
        <v/>
      </c>
      <c r="BL2605" s="498" t="str">
        <f t="shared" si="909"/>
        <v/>
      </c>
    </row>
    <row r="2606" spans="1:64" x14ac:dyDescent="0.25">
      <c r="A2606" s="762">
        <f t="shared" si="910"/>
        <v>2601</v>
      </c>
      <c r="B2606" s="229"/>
      <c r="C2606" s="223"/>
      <c r="D2606" s="224"/>
      <c r="E2606" s="225"/>
      <c r="F2606" s="1036" t="str">
        <f t="shared" si="916"/>
        <v/>
      </c>
      <c r="G2606" s="1037" t="str">
        <f t="shared" si="911"/>
        <v/>
      </c>
      <c r="H2606" s="225"/>
      <c r="I2606" s="1013"/>
      <c r="J2606" s="1013"/>
      <c r="K2606" s="1028"/>
      <c r="L2606" s="1035" t="str">
        <f t="shared" si="915"/>
        <v/>
      </c>
      <c r="S2606" s="498"/>
      <c r="AJ2606" s="498"/>
      <c r="AM2606" s="498">
        <f t="shared" si="896"/>
        <v>0</v>
      </c>
      <c r="AN2606" s="498">
        <f t="shared" si="897"/>
        <v>0</v>
      </c>
      <c r="AO2606" s="498">
        <f t="shared" si="898"/>
        <v>0</v>
      </c>
      <c r="AP2606" s="498">
        <f t="shared" si="917"/>
        <v>0</v>
      </c>
      <c r="AQ2606" s="498">
        <f t="shared" si="912"/>
        <v>0</v>
      </c>
      <c r="AU2606" s="498">
        <f t="shared" si="899"/>
        <v>0</v>
      </c>
      <c r="AV2606" s="498">
        <f t="shared" si="900"/>
        <v>0</v>
      </c>
      <c r="AW2606" s="498">
        <f t="shared" si="901"/>
        <v>0</v>
      </c>
      <c r="AX2606" s="498">
        <f t="shared" si="902"/>
        <v>0</v>
      </c>
      <c r="AY2606" s="498">
        <f t="shared" si="903"/>
        <v>0</v>
      </c>
      <c r="BB2606" s="498" t="str">
        <f t="shared" si="904"/>
        <v/>
      </c>
      <c r="BC2606" s="743" t="str">
        <f t="shared" si="905"/>
        <v/>
      </c>
      <c r="BD2606" s="743" t="str">
        <f t="shared" si="906"/>
        <v/>
      </c>
      <c r="BE2606" s="743" t="str">
        <f>IF(D2606="","",VLOOKUP(D2606,'General Basis'!$J$39:$K$46,2,0))</f>
        <v/>
      </c>
      <c r="BF2606" s="744" t="str">
        <f>IF(D2606="","",VLOOKUP(D2606,'General Basis'!$J$39:$L$46,3,0))</f>
        <v/>
      </c>
      <c r="BG2606" s="744" t="str">
        <f t="shared" si="913"/>
        <v/>
      </c>
      <c r="BH2606" s="744" t="str">
        <f>IF(G2606="","",IF(BF2606="Abu Dhabi",IF(G2606&lt;18,'General Basis'!$C$39,IF(G2606&lt;41,'General Basis'!$C$40,IF(G2606&lt;60,'General Basis'!$C$41,IF(G2606&lt;65,'General Basis'!$C$42,'General Basis'!$C$43)))),IF(G2606&lt;11,'General Basis'!$B$39,IF(G2606&lt;18,'General Basis'!$B$40,IF(G2606&lt;26,'General Basis'!$B$41,IF(G2606&lt;31,'General Basis'!$B$42,IF(G2606&lt;36,'General Basis'!$B$43,IF(G2606&lt;41,'General Basis'!$B$44,IF(G2606&lt;46,'General Basis'!$B$45,IF(G2606&lt;51,'General Basis'!$B$46,IF(G2606&lt;56,'General Basis'!$B$47,IF(G2606&lt;60,'General Basis'!$B$48,IF(G2606&lt;65,'General Basis'!$B$49,'General Basis'!$B$50)))))))))))))</f>
        <v/>
      </c>
      <c r="BI2606" s="744" t="str">
        <f t="shared" si="907"/>
        <v/>
      </c>
      <c r="BJ2606" s="747" t="str">
        <f t="shared" si="914"/>
        <v/>
      </c>
      <c r="BK2606" s="498" t="str">
        <f t="shared" si="908"/>
        <v/>
      </c>
      <c r="BL2606" s="498" t="str">
        <f t="shared" si="909"/>
        <v/>
      </c>
    </row>
    <row r="2607" spans="1:64" x14ac:dyDescent="0.25">
      <c r="A2607" s="762">
        <f t="shared" si="910"/>
        <v>2602</v>
      </c>
      <c r="B2607" s="229"/>
      <c r="C2607" s="223"/>
      <c r="D2607" s="224"/>
      <c r="E2607" s="225"/>
      <c r="F2607" s="1036" t="str">
        <f t="shared" si="916"/>
        <v/>
      </c>
      <c r="G2607" s="1037" t="str">
        <f t="shared" si="911"/>
        <v/>
      </c>
      <c r="H2607" s="225"/>
      <c r="I2607" s="1013"/>
      <c r="J2607" s="1013"/>
      <c r="K2607" s="1028"/>
      <c r="L2607" s="1035" t="str">
        <f t="shared" si="915"/>
        <v/>
      </c>
      <c r="S2607" s="498"/>
      <c r="AJ2607" s="498"/>
      <c r="AM2607" s="498">
        <f t="shared" si="896"/>
        <v>0</v>
      </c>
      <c r="AN2607" s="498">
        <f t="shared" si="897"/>
        <v>0</v>
      </c>
      <c r="AO2607" s="498">
        <f t="shared" si="898"/>
        <v>0</v>
      </c>
      <c r="AP2607" s="498">
        <f t="shared" si="917"/>
        <v>0</v>
      </c>
      <c r="AQ2607" s="498">
        <f t="shared" si="912"/>
        <v>0</v>
      </c>
      <c r="AU2607" s="498">
        <f t="shared" si="899"/>
        <v>0</v>
      </c>
      <c r="AV2607" s="498">
        <f t="shared" si="900"/>
        <v>0</v>
      </c>
      <c r="AW2607" s="498">
        <f t="shared" si="901"/>
        <v>0</v>
      </c>
      <c r="AX2607" s="498">
        <f t="shared" si="902"/>
        <v>0</v>
      </c>
      <c r="AY2607" s="498">
        <f t="shared" si="903"/>
        <v>0</v>
      </c>
      <c r="BB2607" s="498" t="str">
        <f t="shared" si="904"/>
        <v/>
      </c>
      <c r="BC2607" s="743" t="str">
        <f t="shared" si="905"/>
        <v/>
      </c>
      <c r="BD2607" s="743" t="str">
        <f t="shared" si="906"/>
        <v/>
      </c>
      <c r="BE2607" s="743" t="str">
        <f>IF(D2607="","",VLOOKUP(D2607,'General Basis'!$J$39:$K$46,2,0))</f>
        <v/>
      </c>
      <c r="BF2607" s="744" t="str">
        <f>IF(D2607="","",VLOOKUP(D2607,'General Basis'!$J$39:$L$46,3,0))</f>
        <v/>
      </c>
      <c r="BG2607" s="744" t="str">
        <f t="shared" si="913"/>
        <v/>
      </c>
      <c r="BH2607" s="744" t="str">
        <f>IF(G2607="","",IF(BF2607="Abu Dhabi",IF(G2607&lt;18,'General Basis'!$C$39,IF(G2607&lt;41,'General Basis'!$C$40,IF(G2607&lt;60,'General Basis'!$C$41,IF(G2607&lt;65,'General Basis'!$C$42,'General Basis'!$C$43)))),IF(G2607&lt;11,'General Basis'!$B$39,IF(G2607&lt;18,'General Basis'!$B$40,IF(G2607&lt;26,'General Basis'!$B$41,IF(G2607&lt;31,'General Basis'!$B$42,IF(G2607&lt;36,'General Basis'!$B$43,IF(G2607&lt;41,'General Basis'!$B$44,IF(G2607&lt;46,'General Basis'!$B$45,IF(G2607&lt;51,'General Basis'!$B$46,IF(G2607&lt;56,'General Basis'!$B$47,IF(G2607&lt;60,'General Basis'!$B$48,IF(G2607&lt;65,'General Basis'!$B$49,'General Basis'!$B$50)))))))))))))</f>
        <v/>
      </c>
      <c r="BI2607" s="744" t="str">
        <f t="shared" si="907"/>
        <v/>
      </c>
      <c r="BJ2607" s="747" t="str">
        <f t="shared" si="914"/>
        <v/>
      </c>
      <c r="BK2607" s="498" t="str">
        <f t="shared" si="908"/>
        <v/>
      </c>
      <c r="BL2607" s="498" t="str">
        <f t="shared" si="909"/>
        <v/>
      </c>
    </row>
    <row r="2608" spans="1:64" x14ac:dyDescent="0.25">
      <c r="A2608" s="762">
        <f t="shared" si="910"/>
        <v>2603</v>
      </c>
      <c r="B2608" s="229"/>
      <c r="C2608" s="223"/>
      <c r="D2608" s="224"/>
      <c r="E2608" s="225"/>
      <c r="F2608" s="1036" t="str">
        <f t="shared" si="916"/>
        <v/>
      </c>
      <c r="G2608" s="1037" t="str">
        <f t="shared" si="911"/>
        <v/>
      </c>
      <c r="H2608" s="225"/>
      <c r="I2608" s="1013"/>
      <c r="J2608" s="1013"/>
      <c r="K2608" s="1028"/>
      <c r="L2608" s="1035" t="str">
        <f t="shared" si="915"/>
        <v/>
      </c>
      <c r="S2608" s="498"/>
      <c r="AJ2608" s="498"/>
      <c r="AM2608" s="498">
        <f t="shared" si="896"/>
        <v>0</v>
      </c>
      <c r="AN2608" s="498">
        <f t="shared" si="897"/>
        <v>0</v>
      </c>
      <c r="AO2608" s="498">
        <f t="shared" si="898"/>
        <v>0</v>
      </c>
      <c r="AP2608" s="498">
        <f t="shared" si="917"/>
        <v>0</v>
      </c>
      <c r="AQ2608" s="498">
        <f t="shared" si="912"/>
        <v>0</v>
      </c>
      <c r="AU2608" s="498">
        <f t="shared" si="899"/>
        <v>0</v>
      </c>
      <c r="AV2608" s="498">
        <f t="shared" si="900"/>
        <v>0</v>
      </c>
      <c r="AW2608" s="498">
        <f t="shared" si="901"/>
        <v>0</v>
      </c>
      <c r="AX2608" s="498">
        <f t="shared" si="902"/>
        <v>0</v>
      </c>
      <c r="AY2608" s="498">
        <f t="shared" si="903"/>
        <v>0</v>
      </c>
      <c r="BB2608" s="498" t="str">
        <f t="shared" si="904"/>
        <v/>
      </c>
      <c r="BC2608" s="743" t="str">
        <f t="shared" si="905"/>
        <v/>
      </c>
      <c r="BD2608" s="743" t="str">
        <f t="shared" si="906"/>
        <v/>
      </c>
      <c r="BE2608" s="743" t="str">
        <f>IF(D2608="","",VLOOKUP(D2608,'General Basis'!$J$39:$K$46,2,0))</f>
        <v/>
      </c>
      <c r="BF2608" s="744" t="str">
        <f>IF(D2608="","",VLOOKUP(D2608,'General Basis'!$J$39:$L$46,3,0))</f>
        <v/>
      </c>
      <c r="BG2608" s="744" t="str">
        <f t="shared" si="913"/>
        <v/>
      </c>
      <c r="BH2608" s="744" t="str">
        <f>IF(G2608="","",IF(BF2608="Abu Dhabi",IF(G2608&lt;18,'General Basis'!$C$39,IF(G2608&lt;41,'General Basis'!$C$40,IF(G2608&lt;60,'General Basis'!$C$41,IF(G2608&lt;65,'General Basis'!$C$42,'General Basis'!$C$43)))),IF(G2608&lt;11,'General Basis'!$B$39,IF(G2608&lt;18,'General Basis'!$B$40,IF(G2608&lt;26,'General Basis'!$B$41,IF(G2608&lt;31,'General Basis'!$B$42,IF(G2608&lt;36,'General Basis'!$B$43,IF(G2608&lt;41,'General Basis'!$B$44,IF(G2608&lt;46,'General Basis'!$B$45,IF(G2608&lt;51,'General Basis'!$B$46,IF(G2608&lt;56,'General Basis'!$B$47,IF(G2608&lt;60,'General Basis'!$B$48,IF(G2608&lt;65,'General Basis'!$B$49,'General Basis'!$B$50)))))))))))))</f>
        <v/>
      </c>
      <c r="BI2608" s="744" t="str">
        <f t="shared" si="907"/>
        <v/>
      </c>
      <c r="BJ2608" s="747" t="str">
        <f t="shared" si="914"/>
        <v/>
      </c>
      <c r="BK2608" s="498" t="str">
        <f t="shared" si="908"/>
        <v/>
      </c>
      <c r="BL2608" s="498" t="str">
        <f t="shared" si="909"/>
        <v/>
      </c>
    </row>
    <row r="2609" spans="1:64" x14ac:dyDescent="0.25">
      <c r="A2609" s="762">
        <f t="shared" si="910"/>
        <v>2604</v>
      </c>
      <c r="B2609" s="229"/>
      <c r="C2609" s="223"/>
      <c r="D2609" s="224"/>
      <c r="E2609" s="225"/>
      <c r="F2609" s="1036" t="str">
        <f t="shared" si="916"/>
        <v/>
      </c>
      <c r="G2609" s="1037" t="str">
        <f t="shared" si="911"/>
        <v/>
      </c>
      <c r="H2609" s="225"/>
      <c r="I2609" s="1013"/>
      <c r="J2609" s="1013"/>
      <c r="K2609" s="1028"/>
      <c r="L2609" s="1035" t="str">
        <f t="shared" si="915"/>
        <v/>
      </c>
      <c r="S2609" s="498"/>
      <c r="AJ2609" s="498"/>
      <c r="AM2609" s="498">
        <f t="shared" si="896"/>
        <v>0</v>
      </c>
      <c r="AN2609" s="498">
        <f t="shared" si="897"/>
        <v>0</v>
      </c>
      <c r="AO2609" s="498">
        <f t="shared" si="898"/>
        <v>0</v>
      </c>
      <c r="AP2609" s="498">
        <f t="shared" si="917"/>
        <v>0</v>
      </c>
      <c r="AQ2609" s="498">
        <f t="shared" si="912"/>
        <v>0</v>
      </c>
      <c r="AU2609" s="498">
        <f t="shared" si="899"/>
        <v>0</v>
      </c>
      <c r="AV2609" s="498">
        <f t="shared" si="900"/>
        <v>0</v>
      </c>
      <c r="AW2609" s="498">
        <f t="shared" si="901"/>
        <v>0</v>
      </c>
      <c r="AX2609" s="498">
        <f t="shared" si="902"/>
        <v>0</v>
      </c>
      <c r="AY2609" s="498">
        <f t="shared" si="903"/>
        <v>0</v>
      </c>
      <c r="BB2609" s="498" t="str">
        <f t="shared" si="904"/>
        <v/>
      </c>
      <c r="BC2609" s="743" t="str">
        <f t="shared" si="905"/>
        <v/>
      </c>
      <c r="BD2609" s="743" t="str">
        <f t="shared" si="906"/>
        <v/>
      </c>
      <c r="BE2609" s="743" t="str">
        <f>IF(D2609="","",VLOOKUP(D2609,'General Basis'!$J$39:$K$46,2,0))</f>
        <v/>
      </c>
      <c r="BF2609" s="744" t="str">
        <f>IF(D2609="","",VLOOKUP(D2609,'General Basis'!$J$39:$L$46,3,0))</f>
        <v/>
      </c>
      <c r="BG2609" s="744" t="str">
        <f t="shared" si="913"/>
        <v/>
      </c>
      <c r="BH2609" s="744" t="str">
        <f>IF(G2609="","",IF(BF2609="Abu Dhabi",IF(G2609&lt;18,'General Basis'!$C$39,IF(G2609&lt;41,'General Basis'!$C$40,IF(G2609&lt;60,'General Basis'!$C$41,IF(G2609&lt;65,'General Basis'!$C$42,'General Basis'!$C$43)))),IF(G2609&lt;11,'General Basis'!$B$39,IF(G2609&lt;18,'General Basis'!$B$40,IF(G2609&lt;26,'General Basis'!$B$41,IF(G2609&lt;31,'General Basis'!$B$42,IF(G2609&lt;36,'General Basis'!$B$43,IF(G2609&lt;41,'General Basis'!$B$44,IF(G2609&lt;46,'General Basis'!$B$45,IF(G2609&lt;51,'General Basis'!$B$46,IF(G2609&lt;56,'General Basis'!$B$47,IF(G2609&lt;60,'General Basis'!$B$48,IF(G2609&lt;65,'General Basis'!$B$49,'General Basis'!$B$50)))))))))))))</f>
        <v/>
      </c>
      <c r="BI2609" s="744" t="str">
        <f t="shared" si="907"/>
        <v/>
      </c>
      <c r="BJ2609" s="747" t="str">
        <f t="shared" si="914"/>
        <v/>
      </c>
      <c r="BK2609" s="498" t="str">
        <f t="shared" si="908"/>
        <v/>
      </c>
      <c r="BL2609" s="498" t="str">
        <f t="shared" si="909"/>
        <v/>
      </c>
    </row>
    <row r="2610" spans="1:64" x14ac:dyDescent="0.25">
      <c r="A2610" s="762">
        <f t="shared" si="910"/>
        <v>2605</v>
      </c>
      <c r="B2610" s="229"/>
      <c r="C2610" s="223"/>
      <c r="D2610" s="224"/>
      <c r="E2610" s="225"/>
      <c r="F2610" s="1036" t="str">
        <f t="shared" si="916"/>
        <v/>
      </c>
      <c r="G2610" s="1037" t="str">
        <f t="shared" si="911"/>
        <v/>
      </c>
      <c r="H2610" s="225"/>
      <c r="I2610" s="1013"/>
      <c r="J2610" s="1013"/>
      <c r="K2610" s="1028"/>
      <c r="L2610" s="1035" t="str">
        <f t="shared" si="915"/>
        <v/>
      </c>
      <c r="S2610" s="498"/>
      <c r="AJ2610" s="498"/>
      <c r="AM2610" s="498">
        <f t="shared" si="896"/>
        <v>0</v>
      </c>
      <c r="AN2610" s="498">
        <f t="shared" si="897"/>
        <v>0</v>
      </c>
      <c r="AO2610" s="498">
        <f t="shared" si="898"/>
        <v>0</v>
      </c>
      <c r="AP2610" s="498">
        <f t="shared" si="917"/>
        <v>0</v>
      </c>
      <c r="AQ2610" s="498">
        <f t="shared" si="912"/>
        <v>0</v>
      </c>
      <c r="AU2610" s="498">
        <f t="shared" si="899"/>
        <v>0</v>
      </c>
      <c r="AV2610" s="498">
        <f t="shared" si="900"/>
        <v>0</v>
      </c>
      <c r="AW2610" s="498">
        <f t="shared" si="901"/>
        <v>0</v>
      </c>
      <c r="AX2610" s="498">
        <f t="shared" si="902"/>
        <v>0</v>
      </c>
      <c r="AY2610" s="498">
        <f t="shared" si="903"/>
        <v>0</v>
      </c>
      <c r="BB2610" s="498" t="str">
        <f t="shared" si="904"/>
        <v/>
      </c>
      <c r="BC2610" s="743" t="str">
        <f t="shared" si="905"/>
        <v/>
      </c>
      <c r="BD2610" s="743" t="str">
        <f t="shared" si="906"/>
        <v/>
      </c>
      <c r="BE2610" s="743" t="str">
        <f>IF(D2610="","",VLOOKUP(D2610,'General Basis'!$J$39:$K$46,2,0))</f>
        <v/>
      </c>
      <c r="BF2610" s="744" t="str">
        <f>IF(D2610="","",VLOOKUP(D2610,'General Basis'!$J$39:$L$46,3,0))</f>
        <v/>
      </c>
      <c r="BG2610" s="744" t="str">
        <f t="shared" si="913"/>
        <v/>
      </c>
      <c r="BH2610" s="744" t="str">
        <f>IF(G2610="","",IF(BF2610="Abu Dhabi",IF(G2610&lt;18,'General Basis'!$C$39,IF(G2610&lt;41,'General Basis'!$C$40,IF(G2610&lt;60,'General Basis'!$C$41,IF(G2610&lt;65,'General Basis'!$C$42,'General Basis'!$C$43)))),IF(G2610&lt;11,'General Basis'!$B$39,IF(G2610&lt;18,'General Basis'!$B$40,IF(G2610&lt;26,'General Basis'!$B$41,IF(G2610&lt;31,'General Basis'!$B$42,IF(G2610&lt;36,'General Basis'!$B$43,IF(G2610&lt;41,'General Basis'!$B$44,IF(G2610&lt;46,'General Basis'!$B$45,IF(G2610&lt;51,'General Basis'!$B$46,IF(G2610&lt;56,'General Basis'!$B$47,IF(G2610&lt;60,'General Basis'!$B$48,IF(G2610&lt;65,'General Basis'!$B$49,'General Basis'!$B$50)))))))))))))</f>
        <v/>
      </c>
      <c r="BI2610" s="744" t="str">
        <f t="shared" si="907"/>
        <v/>
      </c>
      <c r="BJ2610" s="747" t="str">
        <f t="shared" si="914"/>
        <v/>
      </c>
      <c r="BK2610" s="498" t="str">
        <f t="shared" si="908"/>
        <v/>
      </c>
      <c r="BL2610" s="498" t="str">
        <f t="shared" si="909"/>
        <v/>
      </c>
    </row>
    <row r="2611" spans="1:64" x14ac:dyDescent="0.25">
      <c r="A2611" s="762">
        <f t="shared" si="910"/>
        <v>2606</v>
      </c>
      <c r="B2611" s="229"/>
      <c r="C2611" s="223"/>
      <c r="D2611" s="224"/>
      <c r="E2611" s="225"/>
      <c r="F2611" s="1036" t="str">
        <f t="shared" si="916"/>
        <v/>
      </c>
      <c r="G2611" s="1037" t="str">
        <f t="shared" si="911"/>
        <v/>
      </c>
      <c r="H2611" s="225"/>
      <c r="I2611" s="1013"/>
      <c r="J2611" s="1013"/>
      <c r="K2611" s="1028"/>
      <c r="L2611" s="1035" t="str">
        <f t="shared" si="915"/>
        <v/>
      </c>
      <c r="S2611" s="498"/>
      <c r="AJ2611" s="498"/>
      <c r="AM2611" s="498">
        <f t="shared" si="896"/>
        <v>0</v>
      </c>
      <c r="AN2611" s="498">
        <f t="shared" si="897"/>
        <v>0</v>
      </c>
      <c r="AO2611" s="498">
        <f t="shared" si="898"/>
        <v>0</v>
      </c>
      <c r="AP2611" s="498">
        <f t="shared" si="917"/>
        <v>0</v>
      </c>
      <c r="AQ2611" s="498">
        <f t="shared" si="912"/>
        <v>0</v>
      </c>
      <c r="AU2611" s="498">
        <f t="shared" si="899"/>
        <v>0</v>
      </c>
      <c r="AV2611" s="498">
        <f t="shared" si="900"/>
        <v>0</v>
      </c>
      <c r="AW2611" s="498">
        <f t="shared" si="901"/>
        <v>0</v>
      </c>
      <c r="AX2611" s="498">
        <f t="shared" si="902"/>
        <v>0</v>
      </c>
      <c r="AY2611" s="498">
        <f t="shared" si="903"/>
        <v>0</v>
      </c>
      <c r="BB2611" s="498" t="str">
        <f t="shared" si="904"/>
        <v/>
      </c>
      <c r="BC2611" s="743" t="str">
        <f t="shared" si="905"/>
        <v/>
      </c>
      <c r="BD2611" s="743" t="str">
        <f t="shared" si="906"/>
        <v/>
      </c>
      <c r="BE2611" s="743" t="str">
        <f>IF(D2611="","",VLOOKUP(D2611,'General Basis'!$J$39:$K$46,2,0))</f>
        <v/>
      </c>
      <c r="BF2611" s="744" t="str">
        <f>IF(D2611="","",VLOOKUP(D2611,'General Basis'!$J$39:$L$46,3,0))</f>
        <v/>
      </c>
      <c r="BG2611" s="744" t="str">
        <f t="shared" si="913"/>
        <v/>
      </c>
      <c r="BH2611" s="744" t="str">
        <f>IF(G2611="","",IF(BF2611="Abu Dhabi",IF(G2611&lt;18,'General Basis'!$C$39,IF(G2611&lt;41,'General Basis'!$C$40,IF(G2611&lt;60,'General Basis'!$C$41,IF(G2611&lt;65,'General Basis'!$C$42,'General Basis'!$C$43)))),IF(G2611&lt;11,'General Basis'!$B$39,IF(G2611&lt;18,'General Basis'!$B$40,IF(G2611&lt;26,'General Basis'!$B$41,IF(G2611&lt;31,'General Basis'!$B$42,IF(G2611&lt;36,'General Basis'!$B$43,IF(G2611&lt;41,'General Basis'!$B$44,IF(G2611&lt;46,'General Basis'!$B$45,IF(G2611&lt;51,'General Basis'!$B$46,IF(G2611&lt;56,'General Basis'!$B$47,IF(G2611&lt;60,'General Basis'!$B$48,IF(G2611&lt;65,'General Basis'!$B$49,'General Basis'!$B$50)))))))))))))</f>
        <v/>
      </c>
      <c r="BI2611" s="744" t="str">
        <f t="shared" si="907"/>
        <v/>
      </c>
      <c r="BJ2611" s="747" t="str">
        <f t="shared" si="914"/>
        <v/>
      </c>
      <c r="BK2611" s="498" t="str">
        <f t="shared" si="908"/>
        <v/>
      </c>
      <c r="BL2611" s="498" t="str">
        <f t="shared" si="909"/>
        <v/>
      </c>
    </row>
    <row r="2612" spans="1:64" x14ac:dyDescent="0.25">
      <c r="A2612" s="762">
        <f t="shared" si="910"/>
        <v>2607</v>
      </c>
      <c r="B2612" s="229"/>
      <c r="C2612" s="223"/>
      <c r="D2612" s="224"/>
      <c r="E2612" s="225"/>
      <c r="F2612" s="1036" t="str">
        <f t="shared" si="916"/>
        <v/>
      </c>
      <c r="G2612" s="1037" t="str">
        <f t="shared" si="911"/>
        <v/>
      </c>
      <c r="H2612" s="225"/>
      <c r="I2612" s="1013"/>
      <c r="J2612" s="1013"/>
      <c r="K2612" s="1028"/>
      <c r="L2612" s="1035" t="str">
        <f t="shared" si="915"/>
        <v/>
      </c>
      <c r="S2612" s="498"/>
      <c r="AJ2612" s="498"/>
      <c r="AM2612" s="498">
        <f t="shared" si="896"/>
        <v>0</v>
      </c>
      <c r="AN2612" s="498">
        <f t="shared" si="897"/>
        <v>0</v>
      </c>
      <c r="AO2612" s="498">
        <f t="shared" si="898"/>
        <v>0</v>
      </c>
      <c r="AP2612" s="498">
        <f t="shared" si="917"/>
        <v>0</v>
      </c>
      <c r="AQ2612" s="498">
        <f t="shared" si="912"/>
        <v>0</v>
      </c>
      <c r="AU2612" s="498">
        <f t="shared" si="899"/>
        <v>0</v>
      </c>
      <c r="AV2612" s="498">
        <f t="shared" si="900"/>
        <v>0</v>
      </c>
      <c r="AW2612" s="498">
        <f t="shared" si="901"/>
        <v>0</v>
      </c>
      <c r="AX2612" s="498">
        <f t="shared" si="902"/>
        <v>0</v>
      </c>
      <c r="AY2612" s="498">
        <f t="shared" si="903"/>
        <v>0</v>
      </c>
      <c r="BB2612" s="498" t="str">
        <f t="shared" si="904"/>
        <v/>
      </c>
      <c r="BC2612" s="743" t="str">
        <f t="shared" si="905"/>
        <v/>
      </c>
      <c r="BD2612" s="743" t="str">
        <f t="shared" si="906"/>
        <v/>
      </c>
      <c r="BE2612" s="743" t="str">
        <f>IF(D2612="","",VLOOKUP(D2612,'General Basis'!$J$39:$K$46,2,0))</f>
        <v/>
      </c>
      <c r="BF2612" s="744" t="str">
        <f>IF(D2612="","",VLOOKUP(D2612,'General Basis'!$J$39:$L$46,3,0))</f>
        <v/>
      </c>
      <c r="BG2612" s="744" t="str">
        <f t="shared" si="913"/>
        <v/>
      </c>
      <c r="BH2612" s="744" t="str">
        <f>IF(G2612="","",IF(BF2612="Abu Dhabi",IF(G2612&lt;18,'General Basis'!$C$39,IF(G2612&lt;41,'General Basis'!$C$40,IF(G2612&lt;60,'General Basis'!$C$41,IF(G2612&lt;65,'General Basis'!$C$42,'General Basis'!$C$43)))),IF(G2612&lt;11,'General Basis'!$B$39,IF(G2612&lt;18,'General Basis'!$B$40,IF(G2612&lt;26,'General Basis'!$B$41,IF(G2612&lt;31,'General Basis'!$B$42,IF(G2612&lt;36,'General Basis'!$B$43,IF(G2612&lt;41,'General Basis'!$B$44,IF(G2612&lt;46,'General Basis'!$B$45,IF(G2612&lt;51,'General Basis'!$B$46,IF(G2612&lt;56,'General Basis'!$B$47,IF(G2612&lt;60,'General Basis'!$B$48,IF(G2612&lt;65,'General Basis'!$B$49,'General Basis'!$B$50)))))))))))))</f>
        <v/>
      </c>
      <c r="BI2612" s="744" t="str">
        <f t="shared" si="907"/>
        <v/>
      </c>
      <c r="BJ2612" s="747" t="str">
        <f t="shared" si="914"/>
        <v/>
      </c>
      <c r="BK2612" s="498" t="str">
        <f t="shared" si="908"/>
        <v/>
      </c>
      <c r="BL2612" s="498" t="str">
        <f t="shared" si="909"/>
        <v/>
      </c>
    </row>
    <row r="2613" spans="1:64" x14ac:dyDescent="0.25">
      <c r="A2613" s="762">
        <f t="shared" si="910"/>
        <v>2608</v>
      </c>
      <c r="B2613" s="229"/>
      <c r="C2613" s="223"/>
      <c r="D2613" s="224"/>
      <c r="E2613" s="225"/>
      <c r="F2613" s="1036" t="str">
        <f t="shared" si="916"/>
        <v/>
      </c>
      <c r="G2613" s="1037" t="str">
        <f t="shared" si="911"/>
        <v/>
      </c>
      <c r="H2613" s="225"/>
      <c r="I2613" s="1013"/>
      <c r="J2613" s="1013"/>
      <c r="K2613" s="1028"/>
      <c r="L2613" s="1035" t="str">
        <f t="shared" si="915"/>
        <v/>
      </c>
      <c r="S2613" s="498"/>
      <c r="AJ2613" s="498"/>
      <c r="AM2613" s="498">
        <f t="shared" si="896"/>
        <v>0</v>
      </c>
      <c r="AN2613" s="498">
        <f t="shared" si="897"/>
        <v>0</v>
      </c>
      <c r="AO2613" s="498">
        <f t="shared" si="898"/>
        <v>0</v>
      </c>
      <c r="AP2613" s="498">
        <f t="shared" si="917"/>
        <v>0</v>
      </c>
      <c r="AQ2613" s="498">
        <f t="shared" si="912"/>
        <v>0</v>
      </c>
      <c r="AU2613" s="498">
        <f t="shared" si="899"/>
        <v>0</v>
      </c>
      <c r="AV2613" s="498">
        <f t="shared" si="900"/>
        <v>0</v>
      </c>
      <c r="AW2613" s="498">
        <f t="shared" si="901"/>
        <v>0</v>
      </c>
      <c r="AX2613" s="498">
        <f t="shared" si="902"/>
        <v>0</v>
      </c>
      <c r="AY2613" s="498">
        <f t="shared" si="903"/>
        <v>0</v>
      </c>
      <c r="BB2613" s="498" t="str">
        <f t="shared" si="904"/>
        <v/>
      </c>
      <c r="BC2613" s="743" t="str">
        <f t="shared" si="905"/>
        <v/>
      </c>
      <c r="BD2613" s="743" t="str">
        <f t="shared" si="906"/>
        <v/>
      </c>
      <c r="BE2613" s="743" t="str">
        <f>IF(D2613="","",VLOOKUP(D2613,'General Basis'!$J$39:$K$46,2,0))</f>
        <v/>
      </c>
      <c r="BF2613" s="744" t="str">
        <f>IF(D2613="","",VLOOKUP(D2613,'General Basis'!$J$39:$L$46,3,0))</f>
        <v/>
      </c>
      <c r="BG2613" s="744" t="str">
        <f t="shared" si="913"/>
        <v/>
      </c>
      <c r="BH2613" s="744" t="str">
        <f>IF(G2613="","",IF(BF2613="Abu Dhabi",IF(G2613&lt;18,'General Basis'!$C$39,IF(G2613&lt;41,'General Basis'!$C$40,IF(G2613&lt;60,'General Basis'!$C$41,IF(G2613&lt;65,'General Basis'!$C$42,'General Basis'!$C$43)))),IF(G2613&lt;11,'General Basis'!$B$39,IF(G2613&lt;18,'General Basis'!$B$40,IF(G2613&lt;26,'General Basis'!$B$41,IF(G2613&lt;31,'General Basis'!$B$42,IF(G2613&lt;36,'General Basis'!$B$43,IF(G2613&lt;41,'General Basis'!$B$44,IF(G2613&lt;46,'General Basis'!$B$45,IF(G2613&lt;51,'General Basis'!$B$46,IF(G2613&lt;56,'General Basis'!$B$47,IF(G2613&lt;60,'General Basis'!$B$48,IF(G2613&lt;65,'General Basis'!$B$49,'General Basis'!$B$50)))))))))))))</f>
        <v/>
      </c>
      <c r="BI2613" s="744" t="str">
        <f t="shared" si="907"/>
        <v/>
      </c>
      <c r="BJ2613" s="747" t="str">
        <f t="shared" si="914"/>
        <v/>
      </c>
      <c r="BK2613" s="498" t="str">
        <f t="shared" si="908"/>
        <v/>
      </c>
      <c r="BL2613" s="498" t="str">
        <f t="shared" si="909"/>
        <v/>
      </c>
    </row>
    <row r="2614" spans="1:64" x14ac:dyDescent="0.25">
      <c r="A2614" s="762">
        <f t="shared" si="910"/>
        <v>2609</v>
      </c>
      <c r="B2614" s="229"/>
      <c r="C2614" s="223"/>
      <c r="D2614" s="224"/>
      <c r="E2614" s="225"/>
      <c r="F2614" s="1036" t="str">
        <f t="shared" si="916"/>
        <v/>
      </c>
      <c r="G2614" s="1037" t="str">
        <f t="shared" si="911"/>
        <v/>
      </c>
      <c r="H2614" s="225"/>
      <c r="I2614" s="1013"/>
      <c r="J2614" s="1013"/>
      <c r="K2614" s="1028"/>
      <c r="L2614" s="1035" t="str">
        <f t="shared" si="915"/>
        <v/>
      </c>
      <c r="S2614" s="498"/>
      <c r="AJ2614" s="498"/>
      <c r="AM2614" s="498">
        <f t="shared" si="896"/>
        <v>0</v>
      </c>
      <c r="AN2614" s="498">
        <f t="shared" si="897"/>
        <v>0</v>
      </c>
      <c r="AO2614" s="498">
        <f t="shared" si="898"/>
        <v>0</v>
      </c>
      <c r="AP2614" s="498">
        <f t="shared" si="917"/>
        <v>0</v>
      </c>
      <c r="AQ2614" s="498">
        <f t="shared" si="912"/>
        <v>0</v>
      </c>
      <c r="AU2614" s="498">
        <f t="shared" si="899"/>
        <v>0</v>
      </c>
      <c r="AV2614" s="498">
        <f t="shared" si="900"/>
        <v>0</v>
      </c>
      <c r="AW2614" s="498">
        <f t="shared" si="901"/>
        <v>0</v>
      </c>
      <c r="AX2614" s="498">
        <f t="shared" si="902"/>
        <v>0</v>
      </c>
      <c r="AY2614" s="498">
        <f t="shared" si="903"/>
        <v>0</v>
      </c>
      <c r="BB2614" s="498" t="str">
        <f t="shared" si="904"/>
        <v/>
      </c>
      <c r="BC2614" s="743" t="str">
        <f t="shared" si="905"/>
        <v/>
      </c>
      <c r="BD2614" s="743" t="str">
        <f t="shared" si="906"/>
        <v/>
      </c>
      <c r="BE2614" s="743" t="str">
        <f>IF(D2614="","",VLOOKUP(D2614,'General Basis'!$J$39:$K$46,2,0))</f>
        <v/>
      </c>
      <c r="BF2614" s="744" t="str">
        <f>IF(D2614="","",VLOOKUP(D2614,'General Basis'!$J$39:$L$46,3,0))</f>
        <v/>
      </c>
      <c r="BG2614" s="744" t="str">
        <f t="shared" si="913"/>
        <v/>
      </c>
      <c r="BH2614" s="744" t="str">
        <f>IF(G2614="","",IF(BF2614="Abu Dhabi",IF(G2614&lt;18,'General Basis'!$C$39,IF(G2614&lt;41,'General Basis'!$C$40,IF(G2614&lt;60,'General Basis'!$C$41,IF(G2614&lt;65,'General Basis'!$C$42,'General Basis'!$C$43)))),IF(G2614&lt;11,'General Basis'!$B$39,IF(G2614&lt;18,'General Basis'!$B$40,IF(G2614&lt;26,'General Basis'!$B$41,IF(G2614&lt;31,'General Basis'!$B$42,IF(G2614&lt;36,'General Basis'!$B$43,IF(G2614&lt;41,'General Basis'!$B$44,IF(G2614&lt;46,'General Basis'!$B$45,IF(G2614&lt;51,'General Basis'!$B$46,IF(G2614&lt;56,'General Basis'!$B$47,IF(G2614&lt;60,'General Basis'!$B$48,IF(G2614&lt;65,'General Basis'!$B$49,'General Basis'!$B$50)))))))))))))</f>
        <v/>
      </c>
      <c r="BI2614" s="744" t="str">
        <f t="shared" si="907"/>
        <v/>
      </c>
      <c r="BJ2614" s="747" t="str">
        <f t="shared" si="914"/>
        <v/>
      </c>
      <c r="BK2614" s="498" t="str">
        <f t="shared" si="908"/>
        <v/>
      </c>
      <c r="BL2614" s="498" t="str">
        <f t="shared" si="909"/>
        <v/>
      </c>
    </row>
    <row r="2615" spans="1:64" x14ac:dyDescent="0.25">
      <c r="A2615" s="762">
        <f t="shared" si="910"/>
        <v>2610</v>
      </c>
      <c r="B2615" s="229"/>
      <c r="C2615" s="223"/>
      <c r="D2615" s="224"/>
      <c r="E2615" s="225"/>
      <c r="F2615" s="1036" t="str">
        <f t="shared" si="916"/>
        <v/>
      </c>
      <c r="G2615" s="1037" t="str">
        <f t="shared" si="911"/>
        <v/>
      </c>
      <c r="H2615" s="225"/>
      <c r="I2615" s="1013"/>
      <c r="J2615" s="1013"/>
      <c r="K2615" s="1028"/>
      <c r="L2615" s="1035" t="str">
        <f t="shared" si="915"/>
        <v/>
      </c>
      <c r="S2615" s="498"/>
      <c r="AJ2615" s="498"/>
      <c r="AM2615" s="498">
        <f t="shared" si="896"/>
        <v>0</v>
      </c>
      <c r="AN2615" s="498">
        <f t="shared" si="897"/>
        <v>0</v>
      </c>
      <c r="AO2615" s="498">
        <f t="shared" si="898"/>
        <v>0</v>
      </c>
      <c r="AP2615" s="498">
        <f t="shared" si="917"/>
        <v>0</v>
      </c>
      <c r="AQ2615" s="498">
        <f t="shared" si="912"/>
        <v>0</v>
      </c>
      <c r="AU2615" s="498">
        <f t="shared" si="899"/>
        <v>0</v>
      </c>
      <c r="AV2615" s="498">
        <f t="shared" si="900"/>
        <v>0</v>
      </c>
      <c r="AW2615" s="498">
        <f t="shared" si="901"/>
        <v>0</v>
      </c>
      <c r="AX2615" s="498">
        <f t="shared" si="902"/>
        <v>0</v>
      </c>
      <c r="AY2615" s="498">
        <f t="shared" si="903"/>
        <v>0</v>
      </c>
      <c r="BB2615" s="498" t="str">
        <f t="shared" si="904"/>
        <v/>
      </c>
      <c r="BC2615" s="743" t="str">
        <f t="shared" si="905"/>
        <v/>
      </c>
      <c r="BD2615" s="743" t="str">
        <f t="shared" si="906"/>
        <v/>
      </c>
      <c r="BE2615" s="743" t="str">
        <f>IF(D2615="","",VLOOKUP(D2615,'General Basis'!$J$39:$K$46,2,0))</f>
        <v/>
      </c>
      <c r="BF2615" s="744" t="str">
        <f>IF(D2615="","",VLOOKUP(D2615,'General Basis'!$J$39:$L$46,3,0))</f>
        <v/>
      </c>
      <c r="BG2615" s="744" t="str">
        <f t="shared" si="913"/>
        <v/>
      </c>
      <c r="BH2615" s="744" t="str">
        <f>IF(G2615="","",IF(BF2615="Abu Dhabi",IF(G2615&lt;18,'General Basis'!$C$39,IF(G2615&lt;41,'General Basis'!$C$40,IF(G2615&lt;60,'General Basis'!$C$41,IF(G2615&lt;65,'General Basis'!$C$42,'General Basis'!$C$43)))),IF(G2615&lt;11,'General Basis'!$B$39,IF(G2615&lt;18,'General Basis'!$B$40,IF(G2615&lt;26,'General Basis'!$B$41,IF(G2615&lt;31,'General Basis'!$B$42,IF(G2615&lt;36,'General Basis'!$B$43,IF(G2615&lt;41,'General Basis'!$B$44,IF(G2615&lt;46,'General Basis'!$B$45,IF(G2615&lt;51,'General Basis'!$B$46,IF(G2615&lt;56,'General Basis'!$B$47,IF(G2615&lt;60,'General Basis'!$B$48,IF(G2615&lt;65,'General Basis'!$B$49,'General Basis'!$B$50)))))))))))))</f>
        <v/>
      </c>
      <c r="BI2615" s="744" t="str">
        <f t="shared" si="907"/>
        <v/>
      </c>
      <c r="BJ2615" s="747" t="str">
        <f t="shared" si="914"/>
        <v/>
      </c>
      <c r="BK2615" s="498" t="str">
        <f t="shared" si="908"/>
        <v/>
      </c>
      <c r="BL2615" s="498" t="str">
        <f t="shared" si="909"/>
        <v/>
      </c>
    </row>
    <row r="2616" spans="1:64" x14ac:dyDescent="0.25">
      <c r="A2616" s="762">
        <f t="shared" si="910"/>
        <v>2611</v>
      </c>
      <c r="B2616" s="229"/>
      <c r="C2616" s="223"/>
      <c r="D2616" s="224"/>
      <c r="E2616" s="225"/>
      <c r="F2616" s="1036" t="str">
        <f t="shared" si="916"/>
        <v/>
      </c>
      <c r="G2616" s="1037" t="str">
        <f t="shared" si="911"/>
        <v/>
      </c>
      <c r="H2616" s="225"/>
      <c r="I2616" s="1013"/>
      <c r="J2616" s="1013"/>
      <c r="K2616" s="1028"/>
      <c r="L2616" s="1035" t="str">
        <f t="shared" si="915"/>
        <v/>
      </c>
      <c r="S2616" s="498"/>
      <c r="AJ2616" s="498"/>
      <c r="AM2616" s="498">
        <f t="shared" si="896"/>
        <v>0</v>
      </c>
      <c r="AN2616" s="498">
        <f t="shared" si="897"/>
        <v>0</v>
      </c>
      <c r="AO2616" s="498">
        <f t="shared" si="898"/>
        <v>0</v>
      </c>
      <c r="AP2616" s="498">
        <f t="shared" si="917"/>
        <v>0</v>
      </c>
      <c r="AQ2616" s="498">
        <f t="shared" si="912"/>
        <v>0</v>
      </c>
      <c r="AU2616" s="498">
        <f t="shared" si="899"/>
        <v>0</v>
      </c>
      <c r="AV2616" s="498">
        <f t="shared" si="900"/>
        <v>0</v>
      </c>
      <c r="AW2616" s="498">
        <f t="shared" si="901"/>
        <v>0</v>
      </c>
      <c r="AX2616" s="498">
        <f t="shared" si="902"/>
        <v>0</v>
      </c>
      <c r="AY2616" s="498">
        <f t="shared" si="903"/>
        <v>0</v>
      </c>
      <c r="BB2616" s="498" t="str">
        <f t="shared" si="904"/>
        <v/>
      </c>
      <c r="BC2616" s="743" t="str">
        <f t="shared" si="905"/>
        <v/>
      </c>
      <c r="BD2616" s="743" t="str">
        <f t="shared" si="906"/>
        <v/>
      </c>
      <c r="BE2616" s="743" t="str">
        <f>IF(D2616="","",VLOOKUP(D2616,'General Basis'!$J$39:$K$46,2,0))</f>
        <v/>
      </c>
      <c r="BF2616" s="744" t="str">
        <f>IF(D2616="","",VLOOKUP(D2616,'General Basis'!$J$39:$L$46,3,0))</f>
        <v/>
      </c>
      <c r="BG2616" s="744" t="str">
        <f t="shared" si="913"/>
        <v/>
      </c>
      <c r="BH2616" s="744" t="str">
        <f>IF(G2616="","",IF(BF2616="Abu Dhabi",IF(G2616&lt;18,'General Basis'!$C$39,IF(G2616&lt;41,'General Basis'!$C$40,IF(G2616&lt;60,'General Basis'!$C$41,IF(G2616&lt;65,'General Basis'!$C$42,'General Basis'!$C$43)))),IF(G2616&lt;11,'General Basis'!$B$39,IF(G2616&lt;18,'General Basis'!$B$40,IF(G2616&lt;26,'General Basis'!$B$41,IF(G2616&lt;31,'General Basis'!$B$42,IF(G2616&lt;36,'General Basis'!$B$43,IF(G2616&lt;41,'General Basis'!$B$44,IF(G2616&lt;46,'General Basis'!$B$45,IF(G2616&lt;51,'General Basis'!$B$46,IF(G2616&lt;56,'General Basis'!$B$47,IF(G2616&lt;60,'General Basis'!$B$48,IF(G2616&lt;65,'General Basis'!$B$49,'General Basis'!$B$50)))))))))))))</f>
        <v/>
      </c>
      <c r="BI2616" s="744" t="str">
        <f t="shared" si="907"/>
        <v/>
      </c>
      <c r="BJ2616" s="747" t="str">
        <f t="shared" si="914"/>
        <v/>
      </c>
      <c r="BK2616" s="498" t="str">
        <f t="shared" si="908"/>
        <v/>
      </c>
      <c r="BL2616" s="498" t="str">
        <f t="shared" si="909"/>
        <v/>
      </c>
    </row>
    <row r="2617" spans="1:64" x14ac:dyDescent="0.25">
      <c r="A2617" s="762">
        <f t="shared" si="910"/>
        <v>2612</v>
      </c>
      <c r="B2617" s="229"/>
      <c r="C2617" s="223"/>
      <c r="D2617" s="224"/>
      <c r="E2617" s="225"/>
      <c r="F2617" s="1036" t="str">
        <f t="shared" si="916"/>
        <v/>
      </c>
      <c r="G2617" s="1037" t="str">
        <f t="shared" si="911"/>
        <v/>
      </c>
      <c r="H2617" s="225"/>
      <c r="I2617" s="1013"/>
      <c r="J2617" s="1013"/>
      <c r="K2617" s="1028"/>
      <c r="L2617" s="1035" t="str">
        <f t="shared" si="915"/>
        <v/>
      </c>
      <c r="S2617" s="498"/>
      <c r="AJ2617" s="498"/>
      <c r="AM2617" s="498">
        <f t="shared" si="896"/>
        <v>0</v>
      </c>
      <c r="AN2617" s="498">
        <f t="shared" si="897"/>
        <v>0</v>
      </c>
      <c r="AO2617" s="498">
        <f t="shared" si="898"/>
        <v>0</v>
      </c>
      <c r="AP2617" s="498">
        <f t="shared" si="917"/>
        <v>0</v>
      </c>
      <c r="AQ2617" s="498">
        <f t="shared" si="912"/>
        <v>0</v>
      </c>
      <c r="AU2617" s="498">
        <f t="shared" si="899"/>
        <v>0</v>
      </c>
      <c r="AV2617" s="498">
        <f t="shared" si="900"/>
        <v>0</v>
      </c>
      <c r="AW2617" s="498">
        <f t="shared" si="901"/>
        <v>0</v>
      </c>
      <c r="AX2617" s="498">
        <f t="shared" si="902"/>
        <v>0</v>
      </c>
      <c r="AY2617" s="498">
        <f t="shared" si="903"/>
        <v>0</v>
      </c>
      <c r="BB2617" s="498" t="str">
        <f t="shared" si="904"/>
        <v/>
      </c>
      <c r="BC2617" s="743" t="str">
        <f t="shared" si="905"/>
        <v/>
      </c>
      <c r="BD2617" s="743" t="str">
        <f t="shared" si="906"/>
        <v/>
      </c>
      <c r="BE2617" s="743" t="str">
        <f>IF(D2617="","",VLOOKUP(D2617,'General Basis'!$J$39:$K$46,2,0))</f>
        <v/>
      </c>
      <c r="BF2617" s="744" t="str">
        <f>IF(D2617="","",VLOOKUP(D2617,'General Basis'!$J$39:$L$46,3,0))</f>
        <v/>
      </c>
      <c r="BG2617" s="744" t="str">
        <f t="shared" si="913"/>
        <v/>
      </c>
      <c r="BH2617" s="744" t="str">
        <f>IF(G2617="","",IF(BF2617="Abu Dhabi",IF(G2617&lt;18,'General Basis'!$C$39,IF(G2617&lt;41,'General Basis'!$C$40,IF(G2617&lt;60,'General Basis'!$C$41,IF(G2617&lt;65,'General Basis'!$C$42,'General Basis'!$C$43)))),IF(G2617&lt;11,'General Basis'!$B$39,IF(G2617&lt;18,'General Basis'!$B$40,IF(G2617&lt;26,'General Basis'!$B$41,IF(G2617&lt;31,'General Basis'!$B$42,IF(G2617&lt;36,'General Basis'!$B$43,IF(G2617&lt;41,'General Basis'!$B$44,IF(G2617&lt;46,'General Basis'!$B$45,IF(G2617&lt;51,'General Basis'!$B$46,IF(G2617&lt;56,'General Basis'!$B$47,IF(G2617&lt;60,'General Basis'!$B$48,IF(G2617&lt;65,'General Basis'!$B$49,'General Basis'!$B$50)))))))))))))</f>
        <v/>
      </c>
      <c r="BI2617" s="744" t="str">
        <f t="shared" si="907"/>
        <v/>
      </c>
      <c r="BJ2617" s="747" t="str">
        <f t="shared" si="914"/>
        <v/>
      </c>
      <c r="BK2617" s="498" t="str">
        <f t="shared" si="908"/>
        <v/>
      </c>
      <c r="BL2617" s="498" t="str">
        <f t="shared" si="909"/>
        <v/>
      </c>
    </row>
    <row r="2618" spans="1:64" x14ac:dyDescent="0.25">
      <c r="A2618" s="762">
        <f t="shared" si="910"/>
        <v>2613</v>
      </c>
      <c r="B2618" s="229"/>
      <c r="C2618" s="223"/>
      <c r="D2618" s="224"/>
      <c r="E2618" s="225"/>
      <c r="F2618" s="1036" t="str">
        <f t="shared" si="916"/>
        <v/>
      </c>
      <c r="G2618" s="1037" t="str">
        <f t="shared" si="911"/>
        <v/>
      </c>
      <c r="H2618" s="225"/>
      <c r="I2618" s="1013"/>
      <c r="J2618" s="1013"/>
      <c r="K2618" s="1028"/>
      <c r="L2618" s="1035" t="str">
        <f t="shared" si="915"/>
        <v/>
      </c>
      <c r="S2618" s="498"/>
      <c r="AJ2618" s="498"/>
      <c r="AM2618" s="498">
        <f t="shared" si="896"/>
        <v>0</v>
      </c>
      <c r="AN2618" s="498">
        <f t="shared" si="897"/>
        <v>0</v>
      </c>
      <c r="AO2618" s="498">
        <f t="shared" si="898"/>
        <v>0</v>
      </c>
      <c r="AP2618" s="498">
        <f t="shared" si="917"/>
        <v>0</v>
      </c>
      <c r="AQ2618" s="498">
        <f t="shared" si="912"/>
        <v>0</v>
      </c>
      <c r="AU2618" s="498">
        <f t="shared" si="899"/>
        <v>0</v>
      </c>
      <c r="AV2618" s="498">
        <f t="shared" si="900"/>
        <v>0</v>
      </c>
      <c r="AW2618" s="498">
        <f t="shared" si="901"/>
        <v>0</v>
      </c>
      <c r="AX2618" s="498">
        <f t="shared" si="902"/>
        <v>0</v>
      </c>
      <c r="AY2618" s="498">
        <f t="shared" si="903"/>
        <v>0</v>
      </c>
      <c r="BB2618" s="498" t="str">
        <f t="shared" si="904"/>
        <v/>
      </c>
      <c r="BC2618" s="743" t="str">
        <f t="shared" si="905"/>
        <v/>
      </c>
      <c r="BD2618" s="743" t="str">
        <f t="shared" si="906"/>
        <v/>
      </c>
      <c r="BE2618" s="743" t="str">
        <f>IF(D2618="","",VLOOKUP(D2618,'General Basis'!$J$39:$K$46,2,0))</f>
        <v/>
      </c>
      <c r="BF2618" s="744" t="str">
        <f>IF(D2618="","",VLOOKUP(D2618,'General Basis'!$J$39:$L$46,3,0))</f>
        <v/>
      </c>
      <c r="BG2618" s="744" t="str">
        <f t="shared" si="913"/>
        <v/>
      </c>
      <c r="BH2618" s="744" t="str">
        <f>IF(G2618="","",IF(BF2618="Abu Dhabi",IF(G2618&lt;18,'General Basis'!$C$39,IF(G2618&lt;41,'General Basis'!$C$40,IF(G2618&lt;60,'General Basis'!$C$41,IF(G2618&lt;65,'General Basis'!$C$42,'General Basis'!$C$43)))),IF(G2618&lt;11,'General Basis'!$B$39,IF(G2618&lt;18,'General Basis'!$B$40,IF(G2618&lt;26,'General Basis'!$B$41,IF(G2618&lt;31,'General Basis'!$B$42,IF(G2618&lt;36,'General Basis'!$B$43,IF(G2618&lt;41,'General Basis'!$B$44,IF(G2618&lt;46,'General Basis'!$B$45,IF(G2618&lt;51,'General Basis'!$B$46,IF(G2618&lt;56,'General Basis'!$B$47,IF(G2618&lt;60,'General Basis'!$B$48,IF(G2618&lt;65,'General Basis'!$B$49,'General Basis'!$B$50)))))))))))))</f>
        <v/>
      </c>
      <c r="BI2618" s="744" t="str">
        <f t="shared" si="907"/>
        <v/>
      </c>
      <c r="BJ2618" s="747" t="str">
        <f t="shared" si="914"/>
        <v/>
      </c>
      <c r="BK2618" s="498" t="str">
        <f t="shared" si="908"/>
        <v/>
      </c>
      <c r="BL2618" s="498" t="str">
        <f t="shared" si="909"/>
        <v/>
      </c>
    </row>
    <row r="2619" spans="1:64" x14ac:dyDescent="0.25">
      <c r="A2619" s="762">
        <f t="shared" si="910"/>
        <v>2614</v>
      </c>
      <c r="B2619" s="229"/>
      <c r="C2619" s="223"/>
      <c r="D2619" s="224"/>
      <c r="E2619" s="225"/>
      <c r="F2619" s="1036" t="str">
        <f t="shared" si="916"/>
        <v/>
      </c>
      <c r="G2619" s="1037" t="str">
        <f t="shared" si="911"/>
        <v/>
      </c>
      <c r="H2619" s="225"/>
      <c r="I2619" s="1013"/>
      <c r="J2619" s="1013"/>
      <c r="K2619" s="1028"/>
      <c r="L2619" s="1035" t="str">
        <f t="shared" si="915"/>
        <v/>
      </c>
      <c r="S2619" s="498"/>
      <c r="AJ2619" s="498"/>
      <c r="AM2619" s="498">
        <f t="shared" si="896"/>
        <v>0</v>
      </c>
      <c r="AN2619" s="498">
        <f t="shared" si="897"/>
        <v>0</v>
      </c>
      <c r="AO2619" s="498">
        <f t="shared" si="898"/>
        <v>0</v>
      </c>
      <c r="AP2619" s="498">
        <f t="shared" si="917"/>
        <v>0</v>
      </c>
      <c r="AQ2619" s="498">
        <f t="shared" si="912"/>
        <v>0</v>
      </c>
      <c r="AU2619" s="498">
        <f t="shared" si="899"/>
        <v>0</v>
      </c>
      <c r="AV2619" s="498">
        <f t="shared" si="900"/>
        <v>0</v>
      </c>
      <c r="AW2619" s="498">
        <f t="shared" si="901"/>
        <v>0</v>
      </c>
      <c r="AX2619" s="498">
        <f t="shared" si="902"/>
        <v>0</v>
      </c>
      <c r="AY2619" s="498">
        <f t="shared" si="903"/>
        <v>0</v>
      </c>
      <c r="BB2619" s="498" t="str">
        <f t="shared" si="904"/>
        <v/>
      </c>
      <c r="BC2619" s="743" t="str">
        <f t="shared" si="905"/>
        <v/>
      </c>
      <c r="BD2619" s="743" t="str">
        <f t="shared" si="906"/>
        <v/>
      </c>
      <c r="BE2619" s="743" t="str">
        <f>IF(D2619="","",VLOOKUP(D2619,'General Basis'!$J$39:$K$46,2,0))</f>
        <v/>
      </c>
      <c r="BF2619" s="744" t="str">
        <f>IF(D2619="","",VLOOKUP(D2619,'General Basis'!$J$39:$L$46,3,0))</f>
        <v/>
      </c>
      <c r="BG2619" s="744" t="str">
        <f t="shared" si="913"/>
        <v/>
      </c>
      <c r="BH2619" s="744" t="str">
        <f>IF(G2619="","",IF(BF2619="Abu Dhabi",IF(G2619&lt;18,'General Basis'!$C$39,IF(G2619&lt;41,'General Basis'!$C$40,IF(G2619&lt;60,'General Basis'!$C$41,IF(G2619&lt;65,'General Basis'!$C$42,'General Basis'!$C$43)))),IF(G2619&lt;11,'General Basis'!$B$39,IF(G2619&lt;18,'General Basis'!$B$40,IF(G2619&lt;26,'General Basis'!$B$41,IF(G2619&lt;31,'General Basis'!$B$42,IF(G2619&lt;36,'General Basis'!$B$43,IF(G2619&lt;41,'General Basis'!$B$44,IF(G2619&lt;46,'General Basis'!$B$45,IF(G2619&lt;51,'General Basis'!$B$46,IF(G2619&lt;56,'General Basis'!$B$47,IF(G2619&lt;60,'General Basis'!$B$48,IF(G2619&lt;65,'General Basis'!$B$49,'General Basis'!$B$50)))))))))))))</f>
        <v/>
      </c>
      <c r="BI2619" s="744" t="str">
        <f t="shared" si="907"/>
        <v/>
      </c>
      <c r="BJ2619" s="747" t="str">
        <f t="shared" si="914"/>
        <v/>
      </c>
      <c r="BK2619" s="498" t="str">
        <f t="shared" si="908"/>
        <v/>
      </c>
      <c r="BL2619" s="498" t="str">
        <f t="shared" si="909"/>
        <v/>
      </c>
    </row>
    <row r="2620" spans="1:64" x14ac:dyDescent="0.25">
      <c r="A2620" s="762">
        <f t="shared" si="910"/>
        <v>2615</v>
      </c>
      <c r="B2620" s="229"/>
      <c r="C2620" s="223"/>
      <c r="D2620" s="224"/>
      <c r="E2620" s="225"/>
      <c r="F2620" s="1036" t="str">
        <f t="shared" si="916"/>
        <v/>
      </c>
      <c r="G2620" s="1037" t="str">
        <f t="shared" si="911"/>
        <v/>
      </c>
      <c r="H2620" s="225"/>
      <c r="I2620" s="1013"/>
      <c r="J2620" s="1013"/>
      <c r="K2620" s="1028"/>
      <c r="L2620" s="1035" t="str">
        <f t="shared" si="915"/>
        <v/>
      </c>
      <c r="S2620" s="498"/>
      <c r="AJ2620" s="498"/>
      <c r="AM2620" s="498">
        <f t="shared" si="896"/>
        <v>0</v>
      </c>
      <c r="AN2620" s="498">
        <f t="shared" si="897"/>
        <v>0</v>
      </c>
      <c r="AO2620" s="498">
        <f t="shared" si="898"/>
        <v>0</v>
      </c>
      <c r="AP2620" s="498">
        <f t="shared" si="917"/>
        <v>0</v>
      </c>
      <c r="AQ2620" s="498">
        <f t="shared" si="912"/>
        <v>0</v>
      </c>
      <c r="AU2620" s="498">
        <f t="shared" si="899"/>
        <v>0</v>
      </c>
      <c r="AV2620" s="498">
        <f t="shared" si="900"/>
        <v>0</v>
      </c>
      <c r="AW2620" s="498">
        <f t="shared" si="901"/>
        <v>0</v>
      </c>
      <c r="AX2620" s="498">
        <f t="shared" si="902"/>
        <v>0</v>
      </c>
      <c r="AY2620" s="498">
        <f t="shared" si="903"/>
        <v>0</v>
      </c>
      <c r="BB2620" s="498" t="str">
        <f t="shared" si="904"/>
        <v/>
      </c>
      <c r="BC2620" s="743" t="str">
        <f t="shared" si="905"/>
        <v/>
      </c>
      <c r="BD2620" s="743" t="str">
        <f t="shared" si="906"/>
        <v/>
      </c>
      <c r="BE2620" s="743" t="str">
        <f>IF(D2620="","",VLOOKUP(D2620,'General Basis'!$J$39:$K$46,2,0))</f>
        <v/>
      </c>
      <c r="BF2620" s="744" t="str">
        <f>IF(D2620="","",VLOOKUP(D2620,'General Basis'!$J$39:$L$46,3,0))</f>
        <v/>
      </c>
      <c r="BG2620" s="744" t="str">
        <f t="shared" si="913"/>
        <v/>
      </c>
      <c r="BH2620" s="744" t="str">
        <f>IF(G2620="","",IF(BF2620="Abu Dhabi",IF(G2620&lt;18,'General Basis'!$C$39,IF(G2620&lt;41,'General Basis'!$C$40,IF(G2620&lt;60,'General Basis'!$C$41,IF(G2620&lt;65,'General Basis'!$C$42,'General Basis'!$C$43)))),IF(G2620&lt;11,'General Basis'!$B$39,IF(G2620&lt;18,'General Basis'!$B$40,IF(G2620&lt;26,'General Basis'!$B$41,IF(G2620&lt;31,'General Basis'!$B$42,IF(G2620&lt;36,'General Basis'!$B$43,IF(G2620&lt;41,'General Basis'!$B$44,IF(G2620&lt;46,'General Basis'!$B$45,IF(G2620&lt;51,'General Basis'!$B$46,IF(G2620&lt;56,'General Basis'!$B$47,IF(G2620&lt;60,'General Basis'!$B$48,IF(G2620&lt;65,'General Basis'!$B$49,'General Basis'!$B$50)))))))))))))</f>
        <v/>
      </c>
      <c r="BI2620" s="744" t="str">
        <f t="shared" si="907"/>
        <v/>
      </c>
      <c r="BJ2620" s="747" t="str">
        <f t="shared" si="914"/>
        <v/>
      </c>
      <c r="BK2620" s="498" t="str">
        <f t="shared" si="908"/>
        <v/>
      </c>
      <c r="BL2620" s="498" t="str">
        <f t="shared" si="909"/>
        <v/>
      </c>
    </row>
    <row r="2621" spans="1:64" x14ac:dyDescent="0.25">
      <c r="A2621" s="762">
        <f t="shared" si="910"/>
        <v>2616</v>
      </c>
      <c r="B2621" s="229"/>
      <c r="C2621" s="223"/>
      <c r="D2621" s="224"/>
      <c r="E2621" s="225"/>
      <c r="F2621" s="1036" t="str">
        <f t="shared" si="916"/>
        <v/>
      </c>
      <c r="G2621" s="1037" t="str">
        <f t="shared" si="911"/>
        <v/>
      </c>
      <c r="H2621" s="225"/>
      <c r="I2621" s="1013"/>
      <c r="J2621" s="1013"/>
      <c r="K2621" s="1028"/>
      <c r="L2621" s="1035" t="str">
        <f t="shared" si="915"/>
        <v/>
      </c>
      <c r="S2621" s="498"/>
      <c r="AJ2621" s="498"/>
      <c r="AM2621" s="498">
        <f t="shared" si="896"/>
        <v>0</v>
      </c>
      <c r="AN2621" s="498">
        <f t="shared" si="897"/>
        <v>0</v>
      </c>
      <c r="AO2621" s="498">
        <f t="shared" si="898"/>
        <v>0</v>
      </c>
      <c r="AP2621" s="498">
        <f t="shared" si="917"/>
        <v>0</v>
      </c>
      <c r="AQ2621" s="498">
        <f t="shared" si="912"/>
        <v>0</v>
      </c>
      <c r="AU2621" s="498">
        <f t="shared" si="899"/>
        <v>0</v>
      </c>
      <c r="AV2621" s="498">
        <f t="shared" si="900"/>
        <v>0</v>
      </c>
      <c r="AW2621" s="498">
        <f t="shared" si="901"/>
        <v>0</v>
      </c>
      <c r="AX2621" s="498">
        <f t="shared" si="902"/>
        <v>0</v>
      </c>
      <c r="AY2621" s="498">
        <f t="shared" si="903"/>
        <v>0</v>
      </c>
      <c r="BB2621" s="498" t="str">
        <f t="shared" si="904"/>
        <v/>
      </c>
      <c r="BC2621" s="743" t="str">
        <f t="shared" si="905"/>
        <v/>
      </c>
      <c r="BD2621" s="743" t="str">
        <f t="shared" si="906"/>
        <v/>
      </c>
      <c r="BE2621" s="743" t="str">
        <f>IF(D2621="","",VLOOKUP(D2621,'General Basis'!$J$39:$K$46,2,0))</f>
        <v/>
      </c>
      <c r="BF2621" s="744" t="str">
        <f>IF(D2621="","",VLOOKUP(D2621,'General Basis'!$J$39:$L$46,3,0))</f>
        <v/>
      </c>
      <c r="BG2621" s="744" t="str">
        <f t="shared" si="913"/>
        <v/>
      </c>
      <c r="BH2621" s="744" t="str">
        <f>IF(G2621="","",IF(BF2621="Abu Dhabi",IF(G2621&lt;18,'General Basis'!$C$39,IF(G2621&lt;41,'General Basis'!$C$40,IF(G2621&lt;60,'General Basis'!$C$41,IF(G2621&lt;65,'General Basis'!$C$42,'General Basis'!$C$43)))),IF(G2621&lt;11,'General Basis'!$B$39,IF(G2621&lt;18,'General Basis'!$B$40,IF(G2621&lt;26,'General Basis'!$B$41,IF(G2621&lt;31,'General Basis'!$B$42,IF(G2621&lt;36,'General Basis'!$B$43,IF(G2621&lt;41,'General Basis'!$B$44,IF(G2621&lt;46,'General Basis'!$B$45,IF(G2621&lt;51,'General Basis'!$B$46,IF(G2621&lt;56,'General Basis'!$B$47,IF(G2621&lt;60,'General Basis'!$B$48,IF(G2621&lt;65,'General Basis'!$B$49,'General Basis'!$B$50)))))))))))))</f>
        <v/>
      </c>
      <c r="BI2621" s="744" t="str">
        <f t="shared" si="907"/>
        <v/>
      </c>
      <c r="BJ2621" s="747" t="str">
        <f t="shared" si="914"/>
        <v/>
      </c>
      <c r="BK2621" s="498" t="str">
        <f t="shared" si="908"/>
        <v/>
      </c>
      <c r="BL2621" s="498" t="str">
        <f t="shared" si="909"/>
        <v/>
      </c>
    </row>
    <row r="2622" spans="1:64" x14ac:dyDescent="0.25">
      <c r="A2622" s="762">
        <f t="shared" si="910"/>
        <v>2617</v>
      </c>
      <c r="B2622" s="229"/>
      <c r="C2622" s="223"/>
      <c r="D2622" s="224"/>
      <c r="E2622" s="225"/>
      <c r="F2622" s="1036" t="str">
        <f t="shared" si="916"/>
        <v/>
      </c>
      <c r="G2622" s="1037" t="str">
        <f t="shared" si="911"/>
        <v/>
      </c>
      <c r="H2622" s="225"/>
      <c r="I2622" s="1013"/>
      <c r="J2622" s="1013"/>
      <c r="K2622" s="1028"/>
      <c r="L2622" s="1035" t="str">
        <f t="shared" si="915"/>
        <v/>
      </c>
      <c r="S2622" s="498"/>
      <c r="AJ2622" s="498"/>
      <c r="AM2622" s="498">
        <f t="shared" si="896"/>
        <v>0</v>
      </c>
      <c r="AN2622" s="498">
        <f t="shared" si="897"/>
        <v>0</v>
      </c>
      <c r="AO2622" s="498">
        <f t="shared" si="898"/>
        <v>0</v>
      </c>
      <c r="AP2622" s="498">
        <f t="shared" si="917"/>
        <v>0</v>
      </c>
      <c r="AQ2622" s="498">
        <f t="shared" si="912"/>
        <v>0</v>
      </c>
      <c r="AU2622" s="498">
        <f t="shared" si="899"/>
        <v>0</v>
      </c>
      <c r="AV2622" s="498">
        <f t="shared" si="900"/>
        <v>0</v>
      </c>
      <c r="AW2622" s="498">
        <f t="shared" si="901"/>
        <v>0</v>
      </c>
      <c r="AX2622" s="498">
        <f t="shared" si="902"/>
        <v>0</v>
      </c>
      <c r="AY2622" s="498">
        <f t="shared" si="903"/>
        <v>0</v>
      </c>
      <c r="BB2622" s="498" t="str">
        <f t="shared" si="904"/>
        <v/>
      </c>
      <c r="BC2622" s="743" t="str">
        <f t="shared" si="905"/>
        <v/>
      </c>
      <c r="BD2622" s="743" t="str">
        <f t="shared" si="906"/>
        <v/>
      </c>
      <c r="BE2622" s="743" t="str">
        <f>IF(D2622="","",VLOOKUP(D2622,'General Basis'!$J$39:$K$46,2,0))</f>
        <v/>
      </c>
      <c r="BF2622" s="744" t="str">
        <f>IF(D2622="","",VLOOKUP(D2622,'General Basis'!$J$39:$L$46,3,0))</f>
        <v/>
      </c>
      <c r="BG2622" s="744" t="str">
        <f t="shared" si="913"/>
        <v/>
      </c>
      <c r="BH2622" s="744" t="str">
        <f>IF(G2622="","",IF(BF2622="Abu Dhabi",IF(G2622&lt;18,'General Basis'!$C$39,IF(G2622&lt;41,'General Basis'!$C$40,IF(G2622&lt;60,'General Basis'!$C$41,IF(G2622&lt;65,'General Basis'!$C$42,'General Basis'!$C$43)))),IF(G2622&lt;11,'General Basis'!$B$39,IF(G2622&lt;18,'General Basis'!$B$40,IF(G2622&lt;26,'General Basis'!$B$41,IF(G2622&lt;31,'General Basis'!$B$42,IF(G2622&lt;36,'General Basis'!$B$43,IF(G2622&lt;41,'General Basis'!$B$44,IF(G2622&lt;46,'General Basis'!$B$45,IF(G2622&lt;51,'General Basis'!$B$46,IF(G2622&lt;56,'General Basis'!$B$47,IF(G2622&lt;60,'General Basis'!$B$48,IF(G2622&lt;65,'General Basis'!$B$49,'General Basis'!$B$50)))))))))))))</f>
        <v/>
      </c>
      <c r="BI2622" s="744" t="str">
        <f t="shared" si="907"/>
        <v/>
      </c>
      <c r="BJ2622" s="747" t="str">
        <f t="shared" si="914"/>
        <v/>
      </c>
      <c r="BK2622" s="498" t="str">
        <f t="shared" si="908"/>
        <v/>
      </c>
      <c r="BL2622" s="498" t="str">
        <f t="shared" si="909"/>
        <v/>
      </c>
    </row>
    <row r="2623" spans="1:64" x14ac:dyDescent="0.25">
      <c r="A2623" s="762">
        <f t="shared" si="910"/>
        <v>2618</v>
      </c>
      <c r="B2623" s="229"/>
      <c r="C2623" s="223"/>
      <c r="D2623" s="224"/>
      <c r="E2623" s="225"/>
      <c r="F2623" s="1036" t="str">
        <f t="shared" si="916"/>
        <v/>
      </c>
      <c r="G2623" s="1037" t="str">
        <f t="shared" si="911"/>
        <v/>
      </c>
      <c r="H2623" s="225"/>
      <c r="I2623" s="1013"/>
      <c r="J2623" s="1013"/>
      <c r="K2623" s="1028"/>
      <c r="L2623" s="1035" t="str">
        <f t="shared" si="915"/>
        <v/>
      </c>
      <c r="S2623" s="498"/>
      <c r="AJ2623" s="498"/>
      <c r="AM2623" s="498">
        <f t="shared" si="896"/>
        <v>0</v>
      </c>
      <c r="AN2623" s="498">
        <f t="shared" si="897"/>
        <v>0</v>
      </c>
      <c r="AO2623" s="498">
        <f t="shared" si="898"/>
        <v>0</v>
      </c>
      <c r="AP2623" s="498">
        <f t="shared" si="917"/>
        <v>0</v>
      </c>
      <c r="AQ2623" s="498">
        <f t="shared" si="912"/>
        <v>0</v>
      </c>
      <c r="AU2623" s="498">
        <f t="shared" si="899"/>
        <v>0</v>
      </c>
      <c r="AV2623" s="498">
        <f t="shared" si="900"/>
        <v>0</v>
      </c>
      <c r="AW2623" s="498">
        <f t="shared" si="901"/>
        <v>0</v>
      </c>
      <c r="AX2623" s="498">
        <f t="shared" si="902"/>
        <v>0</v>
      </c>
      <c r="AY2623" s="498">
        <f t="shared" si="903"/>
        <v>0</v>
      </c>
      <c r="BB2623" s="498" t="str">
        <f t="shared" si="904"/>
        <v/>
      </c>
      <c r="BC2623" s="743" t="str">
        <f t="shared" si="905"/>
        <v/>
      </c>
      <c r="BD2623" s="743" t="str">
        <f t="shared" si="906"/>
        <v/>
      </c>
      <c r="BE2623" s="743" t="str">
        <f>IF(D2623="","",VLOOKUP(D2623,'General Basis'!$J$39:$K$46,2,0))</f>
        <v/>
      </c>
      <c r="BF2623" s="744" t="str">
        <f>IF(D2623="","",VLOOKUP(D2623,'General Basis'!$J$39:$L$46,3,0))</f>
        <v/>
      </c>
      <c r="BG2623" s="744" t="str">
        <f t="shared" si="913"/>
        <v/>
      </c>
      <c r="BH2623" s="744" t="str">
        <f>IF(G2623="","",IF(BF2623="Abu Dhabi",IF(G2623&lt;18,'General Basis'!$C$39,IF(G2623&lt;41,'General Basis'!$C$40,IF(G2623&lt;60,'General Basis'!$C$41,IF(G2623&lt;65,'General Basis'!$C$42,'General Basis'!$C$43)))),IF(G2623&lt;11,'General Basis'!$B$39,IF(G2623&lt;18,'General Basis'!$B$40,IF(G2623&lt;26,'General Basis'!$B$41,IF(G2623&lt;31,'General Basis'!$B$42,IF(G2623&lt;36,'General Basis'!$B$43,IF(G2623&lt;41,'General Basis'!$B$44,IF(G2623&lt;46,'General Basis'!$B$45,IF(G2623&lt;51,'General Basis'!$B$46,IF(G2623&lt;56,'General Basis'!$B$47,IF(G2623&lt;60,'General Basis'!$B$48,IF(G2623&lt;65,'General Basis'!$B$49,'General Basis'!$B$50)))))))))))))</f>
        <v/>
      </c>
      <c r="BI2623" s="744" t="str">
        <f t="shared" si="907"/>
        <v/>
      </c>
      <c r="BJ2623" s="747" t="str">
        <f t="shared" si="914"/>
        <v/>
      </c>
      <c r="BK2623" s="498" t="str">
        <f t="shared" si="908"/>
        <v/>
      </c>
      <c r="BL2623" s="498" t="str">
        <f t="shared" si="909"/>
        <v/>
      </c>
    </row>
    <row r="2624" spans="1:64" x14ac:dyDescent="0.25">
      <c r="A2624" s="762">
        <f t="shared" si="910"/>
        <v>2619</v>
      </c>
      <c r="B2624" s="229"/>
      <c r="C2624" s="223"/>
      <c r="D2624" s="224"/>
      <c r="E2624" s="225"/>
      <c r="F2624" s="1036" t="str">
        <f t="shared" si="916"/>
        <v/>
      </c>
      <c r="G2624" s="1037" t="str">
        <f t="shared" si="911"/>
        <v/>
      </c>
      <c r="H2624" s="225"/>
      <c r="I2624" s="1013"/>
      <c r="J2624" s="1013"/>
      <c r="K2624" s="1028"/>
      <c r="L2624" s="1035" t="str">
        <f t="shared" si="915"/>
        <v/>
      </c>
      <c r="S2624" s="498"/>
      <c r="AJ2624" s="498"/>
      <c r="AM2624" s="498">
        <f t="shared" si="896"/>
        <v>0</v>
      </c>
      <c r="AN2624" s="498">
        <f t="shared" si="897"/>
        <v>0</v>
      </c>
      <c r="AO2624" s="498">
        <f t="shared" si="898"/>
        <v>0</v>
      </c>
      <c r="AP2624" s="498">
        <f t="shared" si="917"/>
        <v>0</v>
      </c>
      <c r="AQ2624" s="498">
        <f t="shared" si="912"/>
        <v>0</v>
      </c>
      <c r="AU2624" s="498">
        <f t="shared" si="899"/>
        <v>0</v>
      </c>
      <c r="AV2624" s="498">
        <f t="shared" si="900"/>
        <v>0</v>
      </c>
      <c r="AW2624" s="498">
        <f t="shared" si="901"/>
        <v>0</v>
      </c>
      <c r="AX2624" s="498">
        <f t="shared" si="902"/>
        <v>0</v>
      </c>
      <c r="AY2624" s="498">
        <f t="shared" si="903"/>
        <v>0</v>
      </c>
      <c r="BB2624" s="498" t="str">
        <f t="shared" si="904"/>
        <v/>
      </c>
      <c r="BC2624" s="743" t="str">
        <f t="shared" si="905"/>
        <v/>
      </c>
      <c r="BD2624" s="743" t="str">
        <f t="shared" si="906"/>
        <v/>
      </c>
      <c r="BE2624" s="743" t="str">
        <f>IF(D2624="","",VLOOKUP(D2624,'General Basis'!$J$39:$K$46,2,0))</f>
        <v/>
      </c>
      <c r="BF2624" s="744" t="str">
        <f>IF(D2624="","",VLOOKUP(D2624,'General Basis'!$J$39:$L$46,3,0))</f>
        <v/>
      </c>
      <c r="BG2624" s="744" t="str">
        <f t="shared" si="913"/>
        <v/>
      </c>
      <c r="BH2624" s="744" t="str">
        <f>IF(G2624="","",IF(BF2624="Abu Dhabi",IF(G2624&lt;18,'General Basis'!$C$39,IF(G2624&lt;41,'General Basis'!$C$40,IF(G2624&lt;60,'General Basis'!$C$41,IF(G2624&lt;65,'General Basis'!$C$42,'General Basis'!$C$43)))),IF(G2624&lt;11,'General Basis'!$B$39,IF(G2624&lt;18,'General Basis'!$B$40,IF(G2624&lt;26,'General Basis'!$B$41,IF(G2624&lt;31,'General Basis'!$B$42,IF(G2624&lt;36,'General Basis'!$B$43,IF(G2624&lt;41,'General Basis'!$B$44,IF(G2624&lt;46,'General Basis'!$B$45,IF(G2624&lt;51,'General Basis'!$B$46,IF(G2624&lt;56,'General Basis'!$B$47,IF(G2624&lt;60,'General Basis'!$B$48,IF(G2624&lt;65,'General Basis'!$B$49,'General Basis'!$B$50)))))))))))))</f>
        <v/>
      </c>
      <c r="BI2624" s="744" t="str">
        <f t="shared" si="907"/>
        <v/>
      </c>
      <c r="BJ2624" s="747" t="str">
        <f t="shared" si="914"/>
        <v/>
      </c>
      <c r="BK2624" s="498" t="str">
        <f t="shared" si="908"/>
        <v/>
      </c>
      <c r="BL2624" s="498" t="str">
        <f t="shared" si="909"/>
        <v/>
      </c>
    </row>
    <row r="2625" spans="1:64" x14ac:dyDescent="0.25">
      <c r="A2625" s="762">
        <f t="shared" si="910"/>
        <v>2620</v>
      </c>
      <c r="B2625" s="229"/>
      <c r="C2625" s="223"/>
      <c r="D2625" s="224"/>
      <c r="E2625" s="225"/>
      <c r="F2625" s="1036" t="str">
        <f t="shared" si="916"/>
        <v/>
      </c>
      <c r="G2625" s="1037" t="str">
        <f t="shared" si="911"/>
        <v/>
      </c>
      <c r="H2625" s="225"/>
      <c r="I2625" s="1013"/>
      <c r="J2625" s="1013"/>
      <c r="K2625" s="1028"/>
      <c r="L2625" s="1035" t="str">
        <f t="shared" si="915"/>
        <v/>
      </c>
      <c r="S2625" s="498"/>
      <c r="AJ2625" s="498"/>
      <c r="AM2625" s="498">
        <f t="shared" si="896"/>
        <v>0</v>
      </c>
      <c r="AN2625" s="498">
        <f t="shared" si="897"/>
        <v>0</v>
      </c>
      <c r="AO2625" s="498">
        <f t="shared" si="898"/>
        <v>0</v>
      </c>
      <c r="AP2625" s="498">
        <f t="shared" si="917"/>
        <v>0</v>
      </c>
      <c r="AQ2625" s="498">
        <f t="shared" si="912"/>
        <v>0</v>
      </c>
      <c r="AU2625" s="498">
        <f t="shared" si="899"/>
        <v>0</v>
      </c>
      <c r="AV2625" s="498">
        <f t="shared" si="900"/>
        <v>0</v>
      </c>
      <c r="AW2625" s="498">
        <f t="shared" si="901"/>
        <v>0</v>
      </c>
      <c r="AX2625" s="498">
        <f t="shared" si="902"/>
        <v>0</v>
      </c>
      <c r="AY2625" s="498">
        <f t="shared" si="903"/>
        <v>0</v>
      </c>
      <c r="BB2625" s="498" t="str">
        <f t="shared" si="904"/>
        <v/>
      </c>
      <c r="BC2625" s="743" t="str">
        <f t="shared" si="905"/>
        <v/>
      </c>
      <c r="BD2625" s="743" t="str">
        <f t="shared" si="906"/>
        <v/>
      </c>
      <c r="BE2625" s="743" t="str">
        <f>IF(D2625="","",VLOOKUP(D2625,'General Basis'!$J$39:$K$46,2,0))</f>
        <v/>
      </c>
      <c r="BF2625" s="744" t="str">
        <f>IF(D2625="","",VLOOKUP(D2625,'General Basis'!$J$39:$L$46,3,0))</f>
        <v/>
      </c>
      <c r="BG2625" s="744" t="str">
        <f t="shared" si="913"/>
        <v/>
      </c>
      <c r="BH2625" s="744" t="str">
        <f>IF(G2625="","",IF(BF2625="Abu Dhabi",IF(G2625&lt;18,'General Basis'!$C$39,IF(G2625&lt;41,'General Basis'!$C$40,IF(G2625&lt;60,'General Basis'!$C$41,IF(G2625&lt;65,'General Basis'!$C$42,'General Basis'!$C$43)))),IF(G2625&lt;11,'General Basis'!$B$39,IF(G2625&lt;18,'General Basis'!$B$40,IF(G2625&lt;26,'General Basis'!$B$41,IF(G2625&lt;31,'General Basis'!$B$42,IF(G2625&lt;36,'General Basis'!$B$43,IF(G2625&lt;41,'General Basis'!$B$44,IF(G2625&lt;46,'General Basis'!$B$45,IF(G2625&lt;51,'General Basis'!$B$46,IF(G2625&lt;56,'General Basis'!$B$47,IF(G2625&lt;60,'General Basis'!$B$48,IF(G2625&lt;65,'General Basis'!$B$49,'General Basis'!$B$50)))))))))))))</f>
        <v/>
      </c>
      <c r="BI2625" s="744" t="str">
        <f t="shared" si="907"/>
        <v/>
      </c>
      <c r="BJ2625" s="747" t="str">
        <f t="shared" si="914"/>
        <v/>
      </c>
      <c r="BK2625" s="498" t="str">
        <f t="shared" si="908"/>
        <v/>
      </c>
      <c r="BL2625" s="498" t="str">
        <f t="shared" si="909"/>
        <v/>
      </c>
    </row>
    <row r="2626" spans="1:64" x14ac:dyDescent="0.25">
      <c r="A2626" s="762">
        <f t="shared" si="910"/>
        <v>2621</v>
      </c>
      <c r="B2626" s="229"/>
      <c r="C2626" s="223"/>
      <c r="D2626" s="224"/>
      <c r="E2626" s="225"/>
      <c r="F2626" s="1036" t="str">
        <f t="shared" si="916"/>
        <v/>
      </c>
      <c r="G2626" s="1037" t="str">
        <f t="shared" si="911"/>
        <v/>
      </c>
      <c r="H2626" s="225"/>
      <c r="I2626" s="1013"/>
      <c r="J2626" s="1013"/>
      <c r="K2626" s="1028"/>
      <c r="L2626" s="1035" t="str">
        <f t="shared" si="915"/>
        <v/>
      </c>
      <c r="S2626" s="498"/>
      <c r="AJ2626" s="498"/>
      <c r="AM2626" s="498">
        <f t="shared" si="896"/>
        <v>0</v>
      </c>
      <c r="AN2626" s="498">
        <f t="shared" si="897"/>
        <v>0</v>
      </c>
      <c r="AO2626" s="498">
        <f t="shared" si="898"/>
        <v>0</v>
      </c>
      <c r="AP2626" s="498">
        <f t="shared" si="917"/>
        <v>0</v>
      </c>
      <c r="AQ2626" s="498">
        <f t="shared" si="912"/>
        <v>0</v>
      </c>
      <c r="AU2626" s="498">
        <f t="shared" si="899"/>
        <v>0</v>
      </c>
      <c r="AV2626" s="498">
        <f t="shared" si="900"/>
        <v>0</v>
      </c>
      <c r="AW2626" s="498">
        <f t="shared" si="901"/>
        <v>0</v>
      </c>
      <c r="AX2626" s="498">
        <f t="shared" si="902"/>
        <v>0</v>
      </c>
      <c r="AY2626" s="498">
        <f t="shared" si="903"/>
        <v>0</v>
      </c>
      <c r="BB2626" s="498" t="str">
        <f t="shared" si="904"/>
        <v/>
      </c>
      <c r="BC2626" s="743" t="str">
        <f t="shared" si="905"/>
        <v/>
      </c>
      <c r="BD2626" s="743" t="str">
        <f t="shared" si="906"/>
        <v/>
      </c>
      <c r="BE2626" s="743" t="str">
        <f>IF(D2626="","",VLOOKUP(D2626,'General Basis'!$J$39:$K$46,2,0))</f>
        <v/>
      </c>
      <c r="BF2626" s="744" t="str">
        <f>IF(D2626="","",VLOOKUP(D2626,'General Basis'!$J$39:$L$46,3,0))</f>
        <v/>
      </c>
      <c r="BG2626" s="744" t="str">
        <f t="shared" si="913"/>
        <v/>
      </c>
      <c r="BH2626" s="744" t="str">
        <f>IF(G2626="","",IF(BF2626="Abu Dhabi",IF(G2626&lt;18,'General Basis'!$C$39,IF(G2626&lt;41,'General Basis'!$C$40,IF(G2626&lt;60,'General Basis'!$C$41,IF(G2626&lt;65,'General Basis'!$C$42,'General Basis'!$C$43)))),IF(G2626&lt;11,'General Basis'!$B$39,IF(G2626&lt;18,'General Basis'!$B$40,IF(G2626&lt;26,'General Basis'!$B$41,IF(G2626&lt;31,'General Basis'!$B$42,IF(G2626&lt;36,'General Basis'!$B$43,IF(G2626&lt;41,'General Basis'!$B$44,IF(G2626&lt;46,'General Basis'!$B$45,IF(G2626&lt;51,'General Basis'!$B$46,IF(G2626&lt;56,'General Basis'!$B$47,IF(G2626&lt;60,'General Basis'!$B$48,IF(G2626&lt;65,'General Basis'!$B$49,'General Basis'!$B$50)))))))))))))</f>
        <v/>
      </c>
      <c r="BI2626" s="744" t="str">
        <f t="shared" si="907"/>
        <v/>
      </c>
      <c r="BJ2626" s="747" t="str">
        <f t="shared" si="914"/>
        <v/>
      </c>
      <c r="BK2626" s="498" t="str">
        <f t="shared" si="908"/>
        <v/>
      </c>
      <c r="BL2626" s="498" t="str">
        <f t="shared" si="909"/>
        <v/>
      </c>
    </row>
    <row r="2627" spans="1:64" x14ac:dyDescent="0.25">
      <c r="A2627" s="762">
        <f t="shared" si="910"/>
        <v>2622</v>
      </c>
      <c r="B2627" s="229"/>
      <c r="C2627" s="223"/>
      <c r="D2627" s="224"/>
      <c r="E2627" s="225"/>
      <c r="F2627" s="1036" t="str">
        <f t="shared" si="916"/>
        <v/>
      </c>
      <c r="G2627" s="1037" t="str">
        <f t="shared" si="911"/>
        <v/>
      </c>
      <c r="H2627" s="225"/>
      <c r="I2627" s="1013"/>
      <c r="J2627" s="1013"/>
      <c r="K2627" s="1028"/>
      <c r="L2627" s="1035" t="str">
        <f t="shared" si="915"/>
        <v/>
      </c>
      <c r="S2627" s="498"/>
      <c r="AJ2627" s="498"/>
      <c r="AM2627" s="498">
        <f t="shared" si="896"/>
        <v>0</v>
      </c>
      <c r="AN2627" s="498">
        <f t="shared" si="897"/>
        <v>0</v>
      </c>
      <c r="AO2627" s="498">
        <f t="shared" si="898"/>
        <v>0</v>
      </c>
      <c r="AP2627" s="498">
        <f t="shared" si="917"/>
        <v>0</v>
      </c>
      <c r="AQ2627" s="498">
        <f t="shared" si="912"/>
        <v>0</v>
      </c>
      <c r="AU2627" s="498">
        <f t="shared" si="899"/>
        <v>0</v>
      </c>
      <c r="AV2627" s="498">
        <f t="shared" si="900"/>
        <v>0</v>
      </c>
      <c r="AW2627" s="498">
        <f t="shared" si="901"/>
        <v>0</v>
      </c>
      <c r="AX2627" s="498">
        <f t="shared" si="902"/>
        <v>0</v>
      </c>
      <c r="AY2627" s="498">
        <f t="shared" si="903"/>
        <v>0</v>
      </c>
      <c r="BB2627" s="498" t="str">
        <f t="shared" si="904"/>
        <v/>
      </c>
      <c r="BC2627" s="743" t="str">
        <f t="shared" si="905"/>
        <v/>
      </c>
      <c r="BD2627" s="743" t="str">
        <f t="shared" si="906"/>
        <v/>
      </c>
      <c r="BE2627" s="743" t="str">
        <f>IF(D2627="","",VLOOKUP(D2627,'General Basis'!$J$39:$K$46,2,0))</f>
        <v/>
      </c>
      <c r="BF2627" s="744" t="str">
        <f>IF(D2627="","",VLOOKUP(D2627,'General Basis'!$J$39:$L$46,3,0))</f>
        <v/>
      </c>
      <c r="BG2627" s="744" t="str">
        <f t="shared" si="913"/>
        <v/>
      </c>
      <c r="BH2627" s="744" t="str">
        <f>IF(G2627="","",IF(BF2627="Abu Dhabi",IF(G2627&lt;18,'General Basis'!$C$39,IF(G2627&lt;41,'General Basis'!$C$40,IF(G2627&lt;60,'General Basis'!$C$41,IF(G2627&lt;65,'General Basis'!$C$42,'General Basis'!$C$43)))),IF(G2627&lt;11,'General Basis'!$B$39,IF(G2627&lt;18,'General Basis'!$B$40,IF(G2627&lt;26,'General Basis'!$B$41,IF(G2627&lt;31,'General Basis'!$B$42,IF(G2627&lt;36,'General Basis'!$B$43,IF(G2627&lt;41,'General Basis'!$B$44,IF(G2627&lt;46,'General Basis'!$B$45,IF(G2627&lt;51,'General Basis'!$B$46,IF(G2627&lt;56,'General Basis'!$B$47,IF(G2627&lt;60,'General Basis'!$B$48,IF(G2627&lt;65,'General Basis'!$B$49,'General Basis'!$B$50)))))))))))))</f>
        <v/>
      </c>
      <c r="BI2627" s="744" t="str">
        <f t="shared" si="907"/>
        <v/>
      </c>
      <c r="BJ2627" s="747" t="str">
        <f t="shared" si="914"/>
        <v/>
      </c>
      <c r="BK2627" s="498" t="str">
        <f t="shared" si="908"/>
        <v/>
      </c>
      <c r="BL2627" s="498" t="str">
        <f t="shared" si="909"/>
        <v/>
      </c>
    </row>
    <row r="2628" spans="1:64" x14ac:dyDescent="0.25">
      <c r="A2628" s="762">
        <f t="shared" si="910"/>
        <v>2623</v>
      </c>
      <c r="B2628" s="229"/>
      <c r="C2628" s="223"/>
      <c r="D2628" s="224"/>
      <c r="E2628" s="225"/>
      <c r="F2628" s="1036" t="str">
        <f t="shared" si="916"/>
        <v/>
      </c>
      <c r="G2628" s="1037" t="str">
        <f t="shared" si="911"/>
        <v/>
      </c>
      <c r="H2628" s="225"/>
      <c r="I2628" s="1013"/>
      <c r="J2628" s="1013"/>
      <c r="K2628" s="1028"/>
      <c r="L2628" s="1035" t="str">
        <f t="shared" si="915"/>
        <v/>
      </c>
      <c r="S2628" s="498"/>
      <c r="AJ2628" s="498"/>
      <c r="AM2628" s="498">
        <f t="shared" si="896"/>
        <v>0</v>
      </c>
      <c r="AN2628" s="498">
        <f t="shared" si="897"/>
        <v>0</v>
      </c>
      <c r="AO2628" s="498">
        <f t="shared" si="898"/>
        <v>0</v>
      </c>
      <c r="AP2628" s="498">
        <f t="shared" si="917"/>
        <v>0</v>
      </c>
      <c r="AQ2628" s="498">
        <f t="shared" si="912"/>
        <v>0</v>
      </c>
      <c r="AU2628" s="498">
        <f t="shared" si="899"/>
        <v>0</v>
      </c>
      <c r="AV2628" s="498">
        <f t="shared" si="900"/>
        <v>0</v>
      </c>
      <c r="AW2628" s="498">
        <f t="shared" si="901"/>
        <v>0</v>
      </c>
      <c r="AX2628" s="498">
        <f t="shared" si="902"/>
        <v>0</v>
      </c>
      <c r="AY2628" s="498">
        <f t="shared" si="903"/>
        <v>0</v>
      </c>
      <c r="BB2628" s="498" t="str">
        <f t="shared" si="904"/>
        <v/>
      </c>
      <c r="BC2628" s="743" t="str">
        <f t="shared" si="905"/>
        <v/>
      </c>
      <c r="BD2628" s="743" t="str">
        <f t="shared" si="906"/>
        <v/>
      </c>
      <c r="BE2628" s="743" t="str">
        <f>IF(D2628="","",VLOOKUP(D2628,'General Basis'!$J$39:$K$46,2,0))</f>
        <v/>
      </c>
      <c r="BF2628" s="744" t="str">
        <f>IF(D2628="","",VLOOKUP(D2628,'General Basis'!$J$39:$L$46,3,0))</f>
        <v/>
      </c>
      <c r="BG2628" s="744" t="str">
        <f t="shared" si="913"/>
        <v/>
      </c>
      <c r="BH2628" s="744" t="str">
        <f>IF(G2628="","",IF(BF2628="Abu Dhabi",IF(G2628&lt;18,'General Basis'!$C$39,IF(G2628&lt;41,'General Basis'!$C$40,IF(G2628&lt;60,'General Basis'!$C$41,IF(G2628&lt;65,'General Basis'!$C$42,'General Basis'!$C$43)))),IF(G2628&lt;11,'General Basis'!$B$39,IF(G2628&lt;18,'General Basis'!$B$40,IF(G2628&lt;26,'General Basis'!$B$41,IF(G2628&lt;31,'General Basis'!$B$42,IF(G2628&lt;36,'General Basis'!$B$43,IF(G2628&lt;41,'General Basis'!$B$44,IF(G2628&lt;46,'General Basis'!$B$45,IF(G2628&lt;51,'General Basis'!$B$46,IF(G2628&lt;56,'General Basis'!$B$47,IF(G2628&lt;60,'General Basis'!$B$48,IF(G2628&lt;65,'General Basis'!$B$49,'General Basis'!$B$50)))))))))))))</f>
        <v/>
      </c>
      <c r="BI2628" s="744" t="str">
        <f t="shared" si="907"/>
        <v/>
      </c>
      <c r="BJ2628" s="747" t="str">
        <f t="shared" si="914"/>
        <v/>
      </c>
      <c r="BK2628" s="498" t="str">
        <f t="shared" si="908"/>
        <v/>
      </c>
      <c r="BL2628" s="498" t="str">
        <f t="shared" si="909"/>
        <v/>
      </c>
    </row>
    <row r="2629" spans="1:64" x14ac:dyDescent="0.25">
      <c r="A2629" s="762">
        <f t="shared" si="910"/>
        <v>2624</v>
      </c>
      <c r="B2629" s="229"/>
      <c r="C2629" s="223"/>
      <c r="D2629" s="224"/>
      <c r="E2629" s="225"/>
      <c r="F2629" s="1036" t="str">
        <f t="shared" si="916"/>
        <v/>
      </c>
      <c r="G2629" s="1037" t="str">
        <f t="shared" si="911"/>
        <v/>
      </c>
      <c r="H2629" s="225"/>
      <c r="I2629" s="1013"/>
      <c r="J2629" s="1013"/>
      <c r="K2629" s="1028"/>
      <c r="L2629" s="1035" t="str">
        <f t="shared" si="915"/>
        <v/>
      </c>
      <c r="S2629" s="498"/>
      <c r="AJ2629" s="498"/>
      <c r="AM2629" s="498">
        <f t="shared" si="896"/>
        <v>0</v>
      </c>
      <c r="AN2629" s="498">
        <f t="shared" si="897"/>
        <v>0</v>
      </c>
      <c r="AO2629" s="498">
        <f t="shared" si="898"/>
        <v>0</v>
      </c>
      <c r="AP2629" s="498">
        <f t="shared" si="917"/>
        <v>0</v>
      </c>
      <c r="AQ2629" s="498">
        <f t="shared" si="912"/>
        <v>0</v>
      </c>
      <c r="AU2629" s="498">
        <f t="shared" si="899"/>
        <v>0</v>
      </c>
      <c r="AV2629" s="498">
        <f t="shared" si="900"/>
        <v>0</v>
      </c>
      <c r="AW2629" s="498">
        <f t="shared" si="901"/>
        <v>0</v>
      </c>
      <c r="AX2629" s="498">
        <f t="shared" si="902"/>
        <v>0</v>
      </c>
      <c r="AY2629" s="498">
        <f t="shared" si="903"/>
        <v>0</v>
      </c>
      <c r="BB2629" s="498" t="str">
        <f t="shared" si="904"/>
        <v/>
      </c>
      <c r="BC2629" s="743" t="str">
        <f t="shared" si="905"/>
        <v/>
      </c>
      <c r="BD2629" s="743" t="str">
        <f t="shared" si="906"/>
        <v/>
      </c>
      <c r="BE2629" s="743" t="str">
        <f>IF(D2629="","",VLOOKUP(D2629,'General Basis'!$J$39:$K$46,2,0))</f>
        <v/>
      </c>
      <c r="BF2629" s="744" t="str">
        <f>IF(D2629="","",VLOOKUP(D2629,'General Basis'!$J$39:$L$46,3,0))</f>
        <v/>
      </c>
      <c r="BG2629" s="744" t="str">
        <f t="shared" si="913"/>
        <v/>
      </c>
      <c r="BH2629" s="744" t="str">
        <f>IF(G2629="","",IF(BF2629="Abu Dhabi",IF(G2629&lt;18,'General Basis'!$C$39,IF(G2629&lt;41,'General Basis'!$C$40,IF(G2629&lt;60,'General Basis'!$C$41,IF(G2629&lt;65,'General Basis'!$C$42,'General Basis'!$C$43)))),IF(G2629&lt;11,'General Basis'!$B$39,IF(G2629&lt;18,'General Basis'!$B$40,IF(G2629&lt;26,'General Basis'!$B$41,IF(G2629&lt;31,'General Basis'!$B$42,IF(G2629&lt;36,'General Basis'!$B$43,IF(G2629&lt;41,'General Basis'!$B$44,IF(G2629&lt;46,'General Basis'!$B$45,IF(G2629&lt;51,'General Basis'!$B$46,IF(G2629&lt;56,'General Basis'!$B$47,IF(G2629&lt;60,'General Basis'!$B$48,IF(G2629&lt;65,'General Basis'!$B$49,'General Basis'!$B$50)))))))))))))</f>
        <v/>
      </c>
      <c r="BI2629" s="744" t="str">
        <f t="shared" si="907"/>
        <v/>
      </c>
      <c r="BJ2629" s="747" t="str">
        <f t="shared" si="914"/>
        <v/>
      </c>
      <c r="BK2629" s="498" t="str">
        <f t="shared" si="908"/>
        <v/>
      </c>
      <c r="BL2629" s="498" t="str">
        <f t="shared" si="909"/>
        <v/>
      </c>
    </row>
    <row r="2630" spans="1:64" x14ac:dyDescent="0.25">
      <c r="A2630" s="762">
        <f t="shared" si="910"/>
        <v>2625</v>
      </c>
      <c r="B2630" s="229"/>
      <c r="C2630" s="223"/>
      <c r="D2630" s="224"/>
      <c r="E2630" s="225"/>
      <c r="F2630" s="1036" t="str">
        <f t="shared" si="916"/>
        <v/>
      </c>
      <c r="G2630" s="1037" t="str">
        <f t="shared" si="911"/>
        <v/>
      </c>
      <c r="H2630" s="225"/>
      <c r="I2630" s="1013"/>
      <c r="J2630" s="1013"/>
      <c r="K2630" s="1028"/>
      <c r="L2630" s="1035" t="str">
        <f t="shared" si="915"/>
        <v/>
      </c>
      <c r="S2630" s="498"/>
      <c r="AJ2630" s="498"/>
      <c r="AM2630" s="498">
        <f t="shared" ref="AM2630:AM2693" si="918">IF(ISTEXT(B2630),1,0)</f>
        <v>0</v>
      </c>
      <c r="AN2630" s="498">
        <f t="shared" ref="AN2630:AN2693" si="919">IF(ISBLANK(B2630),0,IF(B2630&lt;$AK$6,1,0))</f>
        <v>0</v>
      </c>
      <c r="AO2630" s="498">
        <f t="shared" ref="AO2630:AO2693" si="920">IF(ISBLANK(B2630),0,IF(B2630&gt;$AK$7,1,0))</f>
        <v>0</v>
      </c>
      <c r="AP2630" s="498">
        <f t="shared" si="917"/>
        <v>0</v>
      </c>
      <c r="AQ2630" s="498">
        <f t="shared" si="912"/>
        <v>0</v>
      </c>
      <c r="AU2630" s="498">
        <f t="shared" ref="AU2630:AU2693" si="921">IF(ISBLANK(B2630),0,1)</f>
        <v>0</v>
      </c>
      <c r="AV2630" s="498">
        <f t="shared" ref="AV2630:AV2693" si="922">IF(ISBLANK(C2630),0,1)</f>
        <v>0</v>
      </c>
      <c r="AW2630" s="498">
        <f t="shared" ref="AW2630:AW2693" si="923">IF(ISBLANK(D2630),0,1)</f>
        <v>0</v>
      </c>
      <c r="AX2630" s="498">
        <f t="shared" ref="AX2630:AX2693" si="924">IF(ISBLANK(E2630),0,1)</f>
        <v>0</v>
      </c>
      <c r="AY2630" s="498">
        <f t="shared" ref="AY2630:AY2693" si="925">IF(ISBLANK(H2630),0,1)</f>
        <v>0</v>
      </c>
      <c r="BB2630" s="498" t="str">
        <f t="shared" ref="BB2630:BB2693" si="926">IF(E2630="Principal","Principal",IF(E2630="","","Other"))</f>
        <v/>
      </c>
      <c r="BC2630" s="743" t="str">
        <f t="shared" ref="BC2630:BC2693" si="927">IF(D2630="","",D2630)</f>
        <v/>
      </c>
      <c r="BD2630" s="743" t="str">
        <f t="shared" ref="BD2630:BD2693" si="928">IF(E2630="Principal","Employee",IF(E2630="","","Dependent"))</f>
        <v/>
      </c>
      <c r="BE2630" s="743" t="str">
        <f>IF(D2630="","",VLOOKUP(D2630,'General Basis'!$J$39:$K$46,2,0))</f>
        <v/>
      </c>
      <c r="BF2630" s="744" t="str">
        <f>IF(D2630="","",VLOOKUP(D2630,'General Basis'!$J$39:$L$46,3,0))</f>
        <v/>
      </c>
      <c r="BG2630" s="744" t="str">
        <f t="shared" si="913"/>
        <v/>
      </c>
      <c r="BH2630" s="744" t="str">
        <f>IF(G2630="","",IF(BF2630="Abu Dhabi",IF(G2630&lt;18,'General Basis'!$C$39,IF(G2630&lt;41,'General Basis'!$C$40,IF(G2630&lt;60,'General Basis'!$C$41,IF(G2630&lt;65,'General Basis'!$C$42,'General Basis'!$C$43)))),IF(G2630&lt;11,'General Basis'!$B$39,IF(G2630&lt;18,'General Basis'!$B$40,IF(G2630&lt;26,'General Basis'!$B$41,IF(G2630&lt;31,'General Basis'!$B$42,IF(G2630&lt;36,'General Basis'!$B$43,IF(G2630&lt;41,'General Basis'!$B$44,IF(G2630&lt;46,'General Basis'!$B$45,IF(G2630&lt;51,'General Basis'!$B$46,IF(G2630&lt;56,'General Basis'!$B$47,IF(G2630&lt;60,'General Basis'!$B$48,IF(G2630&lt;65,'General Basis'!$B$49,'General Basis'!$B$50)))))))))))))</f>
        <v/>
      </c>
      <c r="BI2630" s="744" t="str">
        <f t="shared" ref="BI2630:BI2693" si="929">IF(C2630="","",IF(C2630="M","Male","Female"))</f>
        <v/>
      </c>
      <c r="BJ2630" s="747" t="str">
        <f t="shared" si="914"/>
        <v/>
      </c>
      <c r="BK2630" s="498" t="str">
        <f t="shared" ref="BK2630:BK2693" si="930">IF(BD2630="","",IF(AND(BD2630="Employee",BI2630="Male",BF2630="Abu Dhabi",BE2630=GN_Plus),VLOOKUP(BH2630,AUH_MALE_EMP,2,0),IF(AND(BD2630="Employee",BI2630="Male",BF2630="Abu Dhabi",BE2630=GN),VLOOKUP(BH2630,AUH_MALE_EMP,3,0),IF(AND(BD2630="Employee",BI2630="Male",BF2630="Abu Dhabi",BE2630=RN_Plus),VLOOKUP(BH2630,AUH_MALE_EMP,4,0),IF(AND(BD2630="Employee",BI2630="Male",BF2630="Abu Dhabi",BE2630=RN),VLOOKUP(BH2630,AUH_MALE_EMP,5,0),IF(AND(BD2630="Employee",BI2630="Male",BF2630="Abu Dhabi",BE2630=RN_2),VLOOKUP(BH2630,AUH_MALE_EMP,6,0),IF(AND(BD2630="Employee",BI2630="Male",BF2630="Abu Dhabi",BE2630=RN2_minus),VLOOKUP(BH2630,AUH_MALE_EMP,7,0),IF(AND(BD2630="Employee",BI2630="Male",BF2630="Abu Dhabi",BE2630=RN_3),VLOOKUP(BH2630,AUH_MALE_EMP,8,0),IF(AND(BD2630="Employee",BI2630="Male",BF2630="Abu Dhabi",BE2630=VN),VLOOKUP(BH2630,AUH_MALE_EMP,9,0),IF(BD2630="","",IF(AND(BD2630="Employee",BI2630="Female",BF2630="Abu Dhabi",BE2630=GN_Plus),VLOOKUP(BH2630,AUH_FEMALE_EMP,2,0),IF(AND(BD2630="Employee",BI2630="Female",BF2630="Abu Dhabi",BE2630=GN),VLOOKUP(BH2630,AUH_FEMALE_EMP,3,0),IF(AND(BD2630="Employee",BI2630="Female",BF2630="Abu Dhabi",BE2630=RN_Plus),VLOOKUP(BH2630,AUH_FEMALE_EMP,4,0),IF(AND(BD2630="Employee",BI2630="Female",BF2630="Abu Dhabi",BE2630=RN),VLOOKUP(BH2630,AUH_FEMALE_EMP,5,0),IF(AND(BD2630="Employee",BI2630="Female",BF2630="Abu Dhabi",BE2630=RN_2),VLOOKUP(BH2630,AUH_FEMALE_EMP,6,0),IF(AND(BD2630="Employee",BI2630="Female",BF2630="Abu Dhabi",BE2630=RN2_minus),VLOOKUP(BH2630,AUH_FEMALE_EMP,7,0),IF(AND(BD2630="Employee",BI2630="Female",BF2630="Abu Dhabi",BE2630=RN_3),VLOOKUP(BH2630,AUH_FEMALE_EMP,8,0),IF(AND(BD2630="Employee",BI2630="Female",BF2630="Abu Dhabi",BE2630=VN),VLOOKUP(BH2630,AUH_FEMALE_EMP,9,0),IF(BD2630="","",IF(AND(BD2630="Dependent",BI2630="Male",BF2630="Abu Dhabi",BE2630=GN_Plus),VLOOKUP(BH2630,AUH_MALE_DEP,2,0),IF(AND(BD2630="Dependent",BI2630="Male",BF2630="Abu Dhabi",BE2630=GN),VLOOKUP(BH2630,AUH_MALE_DEP,3,0),IF(AND(BD2630="Dependent",BI2630="Male",BF2630="Abu Dhabi",BE2630=RN_Plus),VLOOKUP(BH2630,AUH_MALE_DEP,4,0),IF(AND(BD2630="Dependent",BI2630="Male",BF2630="Abu Dhabi",BE2630=RN),VLOOKUP(BH2630,AUH_MALE_DEP,5,0),IF(AND(BD2630="Dependent",BI2630="Male",BF2630="Abu Dhabi",BE2630=RN_2),VLOOKUP(BH2630,AUH_MALE_DEP,6,0),IF(AND(BD2630="Dependent",BI2630="Male",BF2630="Abu Dhabi",BE2630=RN2_minus),VLOOKUP(BH2630,AUH_MALE_DEP,7,0),IF(AND(BD2630="Dependent",BI2630="Male",BF2630="Abu Dhabi",BE2630=RN_3),VLOOKUP(BH2630,AUH_MALE_DEP,8,0),IF(AND(BD2630="Dependent",BI2630="Male",BF2630="Abu Dhabi",BE2630=VN),VLOOKUP(BH2630,AUH_MALE_DEP,9,0),IF(BD2630="","",IF(AND(BD2630="Dependent",BI2630="Female",BF2630="Abu Dhabi",BE2630=GN_Plus),VLOOKUP(BH2630,AUH_FEMALE_DEP,2,0),IF(AND(BD2630="Dependent",BI2630="Female",BF2630="Abu Dhabi",BE2630=GN),VLOOKUP(BH2630,AUH_FEMALE_DEP,3,0),IF(AND(BD2630="Dependent",BI2630="Female",BF2630="Abu Dhabi",BE2630=RN_Plus),VLOOKUP(BH2630,AUH_FEMALE_DEP,4,0),IF(AND(BD2630="Dependent",BI2630="Female",BF2630="Abu Dhabi",BE2630=RN),VLOOKUP(BH2630,AUH_FEMALE_DEP,5,0),IF(AND(BD2630="Dependent",BI2630="Female",BF2630="Abu Dhabi",BE2630=RN_2),VLOOKUP(BH2630,AUH_FEMALE_DEP,6,0),IF(AND(BD2630="Dependent",BI2630="Female",BF2630="Abu Dhabi",BE2630=RN2_minus),VLOOKUP(BH2630,AUH_FEMALE_DEP,7,0),IF(AND(BD2630="Dependent",BI2630="Female",BF2630="Abu Dhabi",BE2630=RN_3),VLOOKUP(BH2630,AUH_FEMALE_DEP,8,0),IF(AND(BD2630="Dependent",BI2630="Female",BF2630="Abu Dhabi",BE2630=VN),VLOOKUP(BH2630,AUH_FEMALE_DEP,9,0),"ABC"))))))))))))))))))))))))))))))))))))</f>
        <v/>
      </c>
      <c r="BL2630" s="498" t="str">
        <f t="shared" ref="BL2630:BL2693" si="931">IF(BD2630="","",IF(AND(BD2630="Employee",BI2630="Male",BF2630="Dubai",BE2630=GN_Plus),VLOOKUP(BH2630,DXB_MALE_EMP,2,0),IF(AND(BD2630="Employee",BI2630="Male",BF2630="Dubai",BE2630=GN),VLOOKUP(BH2630,DXB_MALE_EMP,3,0),IF(AND(BD2630="Employee",BI2630="Male",BF2630="Dubai",BE2630=RN_Plus),VLOOKUP(BH2630,DXB_MALE_EMP,4,0),IF(AND(BD2630="Employee",BI2630="Male",BF2630="Dubai",BE2630=RN),VLOOKUP(BH2630,DXB_MALE_EMP,5,0),IF(AND(BD2630="Employee",BI2630="Male",BF2630="Dubai",BE2630=RN_2),VLOOKUP(BH2630,DXB_MALE_EMP,6,0),IF(AND(BD2630="Employee",BI2630="Male",BF2630="Dubai",BE2630=RN2_minus),VLOOKUP(BH2630,DXB_MALE_EMP,7,0),IF(AND(BD2630="Employee",BI2630="Male",BF2630="Dubai",BE2630=RN_3),VLOOKUP(BH2630,DXB_MALE_EMP,8,0),IF(AND(BD2630="Employee",BI2630="Male",BF2630="Dubai",BE2630=VN),VLOOKUP(BH2630,DXB_MALE_EMP,9,0),IF(BD2630="","",IF(AND(BD2630="Employee",BI2630="Female",BF2630="Dubai",BE2630=GN_Plus),VLOOKUP(BH2630,DXB_FEMALE_EMP,2,0),IF(AND(BD2630="Employee",BI2630="Female",BF2630="Dubai",BE2630=GN),VLOOKUP(BH2630,DXB_FEMALE_EMP,3,0),IF(AND(BD2630="Employee",BI2630="Female",BF2630="Dubai",BE2630=RN_Plus),VLOOKUP(BH2630,DXB_FEMALE_EMP,4,0),IF(AND(BD2630="Employee",BI2630="Female",BF2630="Dubai",BE2630=RN),VLOOKUP(BH2630,DXB_FEMALE_EMP,5,0),IF(AND(BD2630="Employee",BI2630="Female",BF2630="Dubai",BE2630=RN_2),VLOOKUP(BH2630,DXB_FEMALE_EMP,6,0),IF(AND(BD2630="Employee",BI2630="Female",BF2630="Dubai",BE2630=RN2_minus),VLOOKUP(BH2630,DXB_FEMALE_EMP,7,0),IF(AND(BD2630="Employee",BI2630="Female",BF2630="Dubai",BE2630=RN_3),VLOOKUP(BH2630,DXB_FEMALE_EMP,8,0),IF(AND(BD2630="Employee",BI2630="Female",BF2630="Dubai",BE2630=VN),VLOOKUP(BH2630,DXB_FEMALE_EMP,9,0),IF(BD2630="","",IF(AND(BD2630="Dependent",BI2630="Male",BF2630="Dubai",BE2630=GN_Plus),VLOOKUP(BH2630,DXB_MALE_DEP,2,0),IF(AND(BD2630="Dependent",BI2630="Male",BF2630="Dubai",BE2630=GN),VLOOKUP(BH2630,DXB_MALE_DEP,3,0),IF(AND(BD2630="Dependent",BI2630="Male",BF2630="Dubai",BE2630=RN_Plus),VLOOKUP(BH2630,DXB_MALE_DEP,4,0),IF(AND(BD2630="Dependent",BI2630="Male",BF2630="Dubai",BE2630=RN),VLOOKUP(BH2630,DXB_MALE_DEP,5,0),IF(AND(BD2630="Dependent",BI2630="Male",BF2630="Dubai",BE2630=RN_2),VLOOKUP(BH2630,DXB_MALE_DEP,6,0),IF(AND(BD2630="Dependent",BI2630="Male",BF2630="Dubai",BE2630=RN2_minus),VLOOKUP(BH2630,DXB_MALE_DEP,7,0),IF(AND(BD2630="Dependent",BI2630="Male",BF2630="Dubai",BE2630=RN_3),VLOOKUP(BH2630,DXB_MALE_DEP,8,0),IF(AND(BD2630="Dependent",BI2630="Male",BF2630="Dubai",BE2630=VN),VLOOKUP(BH2630,DXB_MALE_DEP,9,0),IF(BD2630="","",IF(AND(BD2630="Dependent",BI2630="Female",BF2630="Dubai",BE2630=GN_Plus),VLOOKUP(BH2630,DXB_FEMALE_DEP,2,0),IF(AND(BD2630="Dependent",BI2630="Female",BF2630="Dubai",BE2630=GN),VLOOKUP(BH2630,DXB_FEMALE_DEP,3,0),IF(AND(BD2630="Dependent",BI2630="Female",BF2630="Dubai",BE2630=RN_Plus),VLOOKUP(BH2630,DXB_FEMALE_DEP,4,0),IF(AND(BD2630="Dependent",BI2630="Female",BF2630="Dubai",BE2630=RN),VLOOKUP(BH2630,DXB_FEMALE_DEP,5,0),IF(AND(BD2630="Dependent",BI2630="Female",BF2630="Dubai",BE2630=RN_2),VLOOKUP(BH2630,DXB_FEMALE_DEP,6,0),IF(AND(BD2630="Dependent",BI2630="Female",BF2630="Dubai",BE2630=RN2_minus),VLOOKUP(BH2630,DXB_FEMALE_DEP,7,0),IF(AND(BD2630="Dependent",BI2630="Female",BF2630="Dubai",BE2630=RN_3),VLOOKUP(BH2630,DXB_FEMALE_DEP,8,0),IF(AND(BD2630="Dependent",BI2630="Female",BF2630="Dubai",BE2630=VN),VLOOKUP(BH2630,DXB_FEMALE_DEP,9,0),"ABC"))))))))))))))))))))))))))))))))))))</f>
        <v/>
      </c>
    </row>
    <row r="2631" spans="1:64" x14ac:dyDescent="0.25">
      <c r="A2631" s="762">
        <f t="shared" ref="A2631:A2694" si="932">+A2630+1</f>
        <v>2626</v>
      </c>
      <c r="B2631" s="229"/>
      <c r="C2631" s="223"/>
      <c r="D2631" s="224"/>
      <c r="E2631" s="225"/>
      <c r="F2631" s="1036" t="str">
        <f t="shared" si="916"/>
        <v/>
      </c>
      <c r="G2631" s="1037" t="str">
        <f t="shared" ref="G2631:G2694" si="933">IF(D2631="","",MAX(0,ROUNDUP(F2631,0)))</f>
        <v/>
      </c>
      <c r="H2631" s="225"/>
      <c r="I2631" s="1013"/>
      <c r="J2631" s="1013"/>
      <c r="K2631" s="1028"/>
      <c r="L2631" s="1035" t="str">
        <f t="shared" si="915"/>
        <v/>
      </c>
      <c r="S2631" s="498"/>
      <c r="AJ2631" s="498"/>
      <c r="AM2631" s="498">
        <f t="shared" si="918"/>
        <v>0</v>
      </c>
      <c r="AN2631" s="498">
        <f t="shared" si="919"/>
        <v>0</v>
      </c>
      <c r="AO2631" s="498">
        <f t="shared" si="920"/>
        <v>0</v>
      </c>
      <c r="AP2631" s="498">
        <f t="shared" si="917"/>
        <v>0</v>
      </c>
      <c r="AQ2631" s="498">
        <f t="shared" ref="AQ2631:AQ2694" si="934">IF(ISBLANK($B2631),0,IF(OR($H2631="Single",$H2631="Married"),0,1))</f>
        <v>0</v>
      </c>
      <c r="AU2631" s="498">
        <f t="shared" si="921"/>
        <v>0</v>
      </c>
      <c r="AV2631" s="498">
        <f t="shared" si="922"/>
        <v>0</v>
      </c>
      <c r="AW2631" s="498">
        <f t="shared" si="923"/>
        <v>0</v>
      </c>
      <c r="AX2631" s="498">
        <f t="shared" si="924"/>
        <v>0</v>
      </c>
      <c r="AY2631" s="498">
        <f t="shared" si="925"/>
        <v>0</v>
      </c>
      <c r="BB2631" s="498" t="str">
        <f t="shared" si="926"/>
        <v/>
      </c>
      <c r="BC2631" s="743" t="str">
        <f t="shared" si="927"/>
        <v/>
      </c>
      <c r="BD2631" s="743" t="str">
        <f t="shared" si="928"/>
        <v/>
      </c>
      <c r="BE2631" s="743" t="str">
        <f>IF(D2631="","",VLOOKUP(D2631,'General Basis'!$J$39:$K$46,2,0))</f>
        <v/>
      </c>
      <c r="BF2631" s="744" t="str">
        <f>IF(D2631="","",VLOOKUP(D2631,'General Basis'!$J$39:$L$46,3,0))</f>
        <v/>
      </c>
      <c r="BG2631" s="744" t="str">
        <f t="shared" ref="BG2631:BG2694" si="935">BC2631&amp;BI2631</f>
        <v/>
      </c>
      <c r="BH2631" s="744" t="str">
        <f>IF(G2631="","",IF(BF2631="Abu Dhabi",IF(G2631&lt;18,'General Basis'!$C$39,IF(G2631&lt;41,'General Basis'!$C$40,IF(G2631&lt;60,'General Basis'!$C$41,IF(G2631&lt;65,'General Basis'!$C$42,'General Basis'!$C$43)))),IF(G2631&lt;11,'General Basis'!$B$39,IF(G2631&lt;18,'General Basis'!$B$40,IF(G2631&lt;26,'General Basis'!$B$41,IF(G2631&lt;31,'General Basis'!$B$42,IF(G2631&lt;36,'General Basis'!$B$43,IF(G2631&lt;41,'General Basis'!$B$44,IF(G2631&lt;46,'General Basis'!$B$45,IF(G2631&lt;51,'General Basis'!$B$46,IF(G2631&lt;56,'General Basis'!$B$47,IF(G2631&lt;60,'General Basis'!$B$48,IF(G2631&lt;65,'General Basis'!$B$49,'General Basis'!$B$50)))))))))))))</f>
        <v/>
      </c>
      <c r="BI2631" s="744" t="str">
        <f t="shared" si="929"/>
        <v/>
      </c>
      <c r="BJ2631" s="747" t="str">
        <f t="shared" ref="BJ2631:BJ2694" si="936">IF(BD2631="","",IF(BF2631="Abu Dhabi",BK2631,BL2631))</f>
        <v/>
      </c>
      <c r="BK2631" s="498" t="str">
        <f t="shared" si="930"/>
        <v/>
      </c>
      <c r="BL2631" s="498" t="str">
        <f t="shared" si="931"/>
        <v/>
      </c>
    </row>
    <row r="2632" spans="1:64" x14ac:dyDescent="0.25">
      <c r="A2632" s="762">
        <f t="shared" si="932"/>
        <v>2627</v>
      </c>
      <c r="B2632" s="229"/>
      <c r="C2632" s="223"/>
      <c r="D2632" s="224"/>
      <c r="E2632" s="225"/>
      <c r="F2632" s="1036" t="str">
        <f t="shared" si="916"/>
        <v/>
      </c>
      <c r="G2632" s="1037" t="str">
        <f t="shared" si="933"/>
        <v/>
      </c>
      <c r="H2632" s="225"/>
      <c r="I2632" s="1013"/>
      <c r="J2632" s="1013"/>
      <c r="K2632" s="1028"/>
      <c r="L2632" s="1035" t="str">
        <f t="shared" ref="L2632:L2695" si="937">IF(AND(E2632="Child",H2632="Married"),"Check the Marital Status of the Child. ",IF(AND(E2632="Child",F2632&gt;18),"Child Age exceed 18 years. ",IF(AND(E2632="Spouse",H2632="Single"),"Spouse is selected as Single. ","")))&amp;IF(K2632&gt;0,"UW Loading has been Applied","")</f>
        <v/>
      </c>
      <c r="S2632" s="498"/>
      <c r="AJ2632" s="498"/>
      <c r="AM2632" s="498">
        <f t="shared" si="918"/>
        <v>0</v>
      </c>
      <c r="AN2632" s="498">
        <f t="shared" si="919"/>
        <v>0</v>
      </c>
      <c r="AO2632" s="498">
        <f t="shared" si="920"/>
        <v>0</v>
      </c>
      <c r="AP2632" s="498">
        <f t="shared" si="917"/>
        <v>0</v>
      </c>
      <c r="AQ2632" s="498">
        <f t="shared" si="934"/>
        <v>0</v>
      </c>
      <c r="AU2632" s="498">
        <f t="shared" si="921"/>
        <v>0</v>
      </c>
      <c r="AV2632" s="498">
        <f t="shared" si="922"/>
        <v>0</v>
      </c>
      <c r="AW2632" s="498">
        <f t="shared" si="923"/>
        <v>0</v>
      </c>
      <c r="AX2632" s="498">
        <f t="shared" si="924"/>
        <v>0</v>
      </c>
      <c r="AY2632" s="498">
        <f t="shared" si="925"/>
        <v>0</v>
      </c>
      <c r="BB2632" s="498" t="str">
        <f t="shared" si="926"/>
        <v/>
      </c>
      <c r="BC2632" s="743" t="str">
        <f t="shared" si="927"/>
        <v/>
      </c>
      <c r="BD2632" s="743" t="str">
        <f t="shared" si="928"/>
        <v/>
      </c>
      <c r="BE2632" s="743" t="str">
        <f>IF(D2632="","",VLOOKUP(D2632,'General Basis'!$J$39:$K$46,2,0))</f>
        <v/>
      </c>
      <c r="BF2632" s="744" t="str">
        <f>IF(D2632="","",VLOOKUP(D2632,'General Basis'!$J$39:$L$46,3,0))</f>
        <v/>
      </c>
      <c r="BG2632" s="744" t="str">
        <f t="shared" si="935"/>
        <v/>
      </c>
      <c r="BH2632" s="744" t="str">
        <f>IF(G2632="","",IF(BF2632="Abu Dhabi",IF(G2632&lt;18,'General Basis'!$C$39,IF(G2632&lt;41,'General Basis'!$C$40,IF(G2632&lt;60,'General Basis'!$C$41,IF(G2632&lt;65,'General Basis'!$C$42,'General Basis'!$C$43)))),IF(G2632&lt;11,'General Basis'!$B$39,IF(G2632&lt;18,'General Basis'!$B$40,IF(G2632&lt;26,'General Basis'!$B$41,IF(G2632&lt;31,'General Basis'!$B$42,IF(G2632&lt;36,'General Basis'!$B$43,IF(G2632&lt;41,'General Basis'!$B$44,IF(G2632&lt;46,'General Basis'!$B$45,IF(G2632&lt;51,'General Basis'!$B$46,IF(G2632&lt;56,'General Basis'!$B$47,IF(G2632&lt;60,'General Basis'!$B$48,IF(G2632&lt;65,'General Basis'!$B$49,'General Basis'!$B$50)))))))))))))</f>
        <v/>
      </c>
      <c r="BI2632" s="744" t="str">
        <f t="shared" si="929"/>
        <v/>
      </c>
      <c r="BJ2632" s="747" t="str">
        <f t="shared" si="936"/>
        <v/>
      </c>
      <c r="BK2632" s="498" t="str">
        <f t="shared" si="930"/>
        <v/>
      </c>
      <c r="BL2632" s="498" t="str">
        <f t="shared" si="931"/>
        <v/>
      </c>
    </row>
    <row r="2633" spans="1:64" x14ac:dyDescent="0.25">
      <c r="A2633" s="762">
        <f t="shared" si="932"/>
        <v>2628</v>
      </c>
      <c r="B2633" s="229"/>
      <c r="C2633" s="223"/>
      <c r="D2633" s="224"/>
      <c r="E2633" s="225"/>
      <c r="F2633" s="1036" t="str">
        <f t="shared" si="916"/>
        <v/>
      </c>
      <c r="G2633" s="1037" t="str">
        <f t="shared" si="933"/>
        <v/>
      </c>
      <c r="H2633" s="225"/>
      <c r="I2633" s="1013"/>
      <c r="J2633" s="1013"/>
      <c r="K2633" s="1028"/>
      <c r="L2633" s="1035" t="str">
        <f t="shared" si="937"/>
        <v/>
      </c>
      <c r="S2633" s="498"/>
      <c r="AJ2633" s="498"/>
      <c r="AM2633" s="498">
        <f t="shared" si="918"/>
        <v>0</v>
      </c>
      <c r="AN2633" s="498">
        <f t="shared" si="919"/>
        <v>0</v>
      </c>
      <c r="AO2633" s="498">
        <f t="shared" si="920"/>
        <v>0</v>
      </c>
      <c r="AP2633" s="498">
        <f t="shared" si="917"/>
        <v>0</v>
      </c>
      <c r="AQ2633" s="498">
        <f t="shared" si="934"/>
        <v>0</v>
      </c>
      <c r="AU2633" s="498">
        <f t="shared" si="921"/>
        <v>0</v>
      </c>
      <c r="AV2633" s="498">
        <f t="shared" si="922"/>
        <v>0</v>
      </c>
      <c r="AW2633" s="498">
        <f t="shared" si="923"/>
        <v>0</v>
      </c>
      <c r="AX2633" s="498">
        <f t="shared" si="924"/>
        <v>0</v>
      </c>
      <c r="AY2633" s="498">
        <f t="shared" si="925"/>
        <v>0</v>
      </c>
      <c r="BB2633" s="498" t="str">
        <f t="shared" si="926"/>
        <v/>
      </c>
      <c r="BC2633" s="743" t="str">
        <f t="shared" si="927"/>
        <v/>
      </c>
      <c r="BD2633" s="743" t="str">
        <f t="shared" si="928"/>
        <v/>
      </c>
      <c r="BE2633" s="743" t="str">
        <f>IF(D2633="","",VLOOKUP(D2633,'General Basis'!$J$39:$K$46,2,0))</f>
        <v/>
      </c>
      <c r="BF2633" s="744" t="str">
        <f>IF(D2633="","",VLOOKUP(D2633,'General Basis'!$J$39:$L$46,3,0))</f>
        <v/>
      </c>
      <c r="BG2633" s="744" t="str">
        <f t="shared" si="935"/>
        <v/>
      </c>
      <c r="BH2633" s="744" t="str">
        <f>IF(G2633="","",IF(BF2633="Abu Dhabi",IF(G2633&lt;18,'General Basis'!$C$39,IF(G2633&lt;41,'General Basis'!$C$40,IF(G2633&lt;60,'General Basis'!$C$41,IF(G2633&lt;65,'General Basis'!$C$42,'General Basis'!$C$43)))),IF(G2633&lt;11,'General Basis'!$B$39,IF(G2633&lt;18,'General Basis'!$B$40,IF(G2633&lt;26,'General Basis'!$B$41,IF(G2633&lt;31,'General Basis'!$B$42,IF(G2633&lt;36,'General Basis'!$B$43,IF(G2633&lt;41,'General Basis'!$B$44,IF(G2633&lt;46,'General Basis'!$B$45,IF(G2633&lt;51,'General Basis'!$B$46,IF(G2633&lt;56,'General Basis'!$B$47,IF(G2633&lt;60,'General Basis'!$B$48,IF(G2633&lt;65,'General Basis'!$B$49,'General Basis'!$B$50)))))))))))))</f>
        <v/>
      </c>
      <c r="BI2633" s="744" t="str">
        <f t="shared" si="929"/>
        <v/>
      </c>
      <c r="BJ2633" s="747" t="str">
        <f t="shared" si="936"/>
        <v/>
      </c>
      <c r="BK2633" s="498" t="str">
        <f t="shared" si="930"/>
        <v/>
      </c>
      <c r="BL2633" s="498" t="str">
        <f t="shared" si="931"/>
        <v/>
      </c>
    </row>
    <row r="2634" spans="1:64" x14ac:dyDescent="0.25">
      <c r="A2634" s="762">
        <f t="shared" si="932"/>
        <v>2629</v>
      </c>
      <c r="B2634" s="229"/>
      <c r="C2634" s="223"/>
      <c r="D2634" s="224"/>
      <c r="E2634" s="225"/>
      <c r="F2634" s="1036" t="str">
        <f t="shared" si="916"/>
        <v/>
      </c>
      <c r="G2634" s="1037" t="str">
        <f t="shared" si="933"/>
        <v/>
      </c>
      <c r="H2634" s="225"/>
      <c r="I2634" s="1013"/>
      <c r="J2634" s="1013"/>
      <c r="K2634" s="1028"/>
      <c r="L2634" s="1035" t="str">
        <f t="shared" si="937"/>
        <v/>
      </c>
      <c r="S2634" s="498"/>
      <c r="AJ2634" s="498"/>
      <c r="AM2634" s="498">
        <f t="shared" si="918"/>
        <v>0</v>
      </c>
      <c r="AN2634" s="498">
        <f t="shared" si="919"/>
        <v>0</v>
      </c>
      <c r="AO2634" s="498">
        <f t="shared" si="920"/>
        <v>0</v>
      </c>
      <c r="AP2634" s="498">
        <f t="shared" si="917"/>
        <v>0</v>
      </c>
      <c r="AQ2634" s="498">
        <f t="shared" si="934"/>
        <v>0</v>
      </c>
      <c r="AU2634" s="498">
        <f t="shared" si="921"/>
        <v>0</v>
      </c>
      <c r="AV2634" s="498">
        <f t="shared" si="922"/>
        <v>0</v>
      </c>
      <c r="AW2634" s="498">
        <f t="shared" si="923"/>
        <v>0</v>
      </c>
      <c r="AX2634" s="498">
        <f t="shared" si="924"/>
        <v>0</v>
      </c>
      <c r="AY2634" s="498">
        <f t="shared" si="925"/>
        <v>0</v>
      </c>
      <c r="BB2634" s="498" t="str">
        <f t="shared" si="926"/>
        <v/>
      </c>
      <c r="BC2634" s="743" t="str">
        <f t="shared" si="927"/>
        <v/>
      </c>
      <c r="BD2634" s="743" t="str">
        <f t="shared" si="928"/>
        <v/>
      </c>
      <c r="BE2634" s="743" t="str">
        <f>IF(D2634="","",VLOOKUP(D2634,'General Basis'!$J$39:$K$46,2,0))</f>
        <v/>
      </c>
      <c r="BF2634" s="744" t="str">
        <f>IF(D2634="","",VLOOKUP(D2634,'General Basis'!$J$39:$L$46,3,0))</f>
        <v/>
      </c>
      <c r="BG2634" s="744" t="str">
        <f t="shared" si="935"/>
        <v/>
      </c>
      <c r="BH2634" s="744" t="str">
        <f>IF(G2634="","",IF(BF2634="Abu Dhabi",IF(G2634&lt;18,'General Basis'!$C$39,IF(G2634&lt;41,'General Basis'!$C$40,IF(G2634&lt;60,'General Basis'!$C$41,IF(G2634&lt;65,'General Basis'!$C$42,'General Basis'!$C$43)))),IF(G2634&lt;11,'General Basis'!$B$39,IF(G2634&lt;18,'General Basis'!$B$40,IF(G2634&lt;26,'General Basis'!$B$41,IF(G2634&lt;31,'General Basis'!$B$42,IF(G2634&lt;36,'General Basis'!$B$43,IF(G2634&lt;41,'General Basis'!$B$44,IF(G2634&lt;46,'General Basis'!$B$45,IF(G2634&lt;51,'General Basis'!$B$46,IF(G2634&lt;56,'General Basis'!$B$47,IF(G2634&lt;60,'General Basis'!$B$48,IF(G2634&lt;65,'General Basis'!$B$49,'General Basis'!$B$50)))))))))))))</f>
        <v/>
      </c>
      <c r="BI2634" s="744" t="str">
        <f t="shared" si="929"/>
        <v/>
      </c>
      <c r="BJ2634" s="747" t="str">
        <f t="shared" si="936"/>
        <v/>
      </c>
      <c r="BK2634" s="498" t="str">
        <f t="shared" si="930"/>
        <v/>
      </c>
      <c r="BL2634" s="498" t="str">
        <f t="shared" si="931"/>
        <v/>
      </c>
    </row>
    <row r="2635" spans="1:64" x14ac:dyDescent="0.25">
      <c r="A2635" s="762">
        <f t="shared" si="932"/>
        <v>2630</v>
      </c>
      <c r="B2635" s="229"/>
      <c r="C2635" s="223"/>
      <c r="D2635" s="224"/>
      <c r="E2635" s="225"/>
      <c r="F2635" s="1036" t="str">
        <f t="shared" si="916"/>
        <v/>
      </c>
      <c r="G2635" s="1037" t="str">
        <f t="shared" si="933"/>
        <v/>
      </c>
      <c r="H2635" s="225"/>
      <c r="I2635" s="1013"/>
      <c r="J2635" s="1013"/>
      <c r="K2635" s="1028"/>
      <c r="L2635" s="1035" t="str">
        <f t="shared" si="937"/>
        <v/>
      </c>
      <c r="S2635" s="498"/>
      <c r="AJ2635" s="498"/>
      <c r="AM2635" s="498">
        <f t="shared" si="918"/>
        <v>0</v>
      </c>
      <c r="AN2635" s="498">
        <f t="shared" si="919"/>
        <v>0</v>
      </c>
      <c r="AO2635" s="498">
        <f t="shared" si="920"/>
        <v>0</v>
      </c>
      <c r="AP2635" s="498">
        <f t="shared" si="917"/>
        <v>0</v>
      </c>
      <c r="AQ2635" s="498">
        <f t="shared" si="934"/>
        <v>0</v>
      </c>
      <c r="AU2635" s="498">
        <f t="shared" si="921"/>
        <v>0</v>
      </c>
      <c r="AV2635" s="498">
        <f t="shared" si="922"/>
        <v>0</v>
      </c>
      <c r="AW2635" s="498">
        <f t="shared" si="923"/>
        <v>0</v>
      </c>
      <c r="AX2635" s="498">
        <f t="shared" si="924"/>
        <v>0</v>
      </c>
      <c r="AY2635" s="498">
        <f t="shared" si="925"/>
        <v>0</v>
      </c>
      <c r="BB2635" s="498" t="str">
        <f t="shared" si="926"/>
        <v/>
      </c>
      <c r="BC2635" s="743" t="str">
        <f t="shared" si="927"/>
        <v/>
      </c>
      <c r="BD2635" s="743" t="str">
        <f t="shared" si="928"/>
        <v/>
      </c>
      <c r="BE2635" s="743" t="str">
        <f>IF(D2635="","",VLOOKUP(D2635,'General Basis'!$J$39:$K$46,2,0))</f>
        <v/>
      </c>
      <c r="BF2635" s="744" t="str">
        <f>IF(D2635="","",VLOOKUP(D2635,'General Basis'!$J$39:$L$46,3,0))</f>
        <v/>
      </c>
      <c r="BG2635" s="744" t="str">
        <f t="shared" si="935"/>
        <v/>
      </c>
      <c r="BH2635" s="744" t="str">
        <f>IF(G2635="","",IF(BF2635="Abu Dhabi",IF(G2635&lt;18,'General Basis'!$C$39,IF(G2635&lt;41,'General Basis'!$C$40,IF(G2635&lt;60,'General Basis'!$C$41,IF(G2635&lt;65,'General Basis'!$C$42,'General Basis'!$C$43)))),IF(G2635&lt;11,'General Basis'!$B$39,IF(G2635&lt;18,'General Basis'!$B$40,IF(G2635&lt;26,'General Basis'!$B$41,IF(G2635&lt;31,'General Basis'!$B$42,IF(G2635&lt;36,'General Basis'!$B$43,IF(G2635&lt;41,'General Basis'!$B$44,IF(G2635&lt;46,'General Basis'!$B$45,IF(G2635&lt;51,'General Basis'!$B$46,IF(G2635&lt;56,'General Basis'!$B$47,IF(G2635&lt;60,'General Basis'!$B$48,IF(G2635&lt;65,'General Basis'!$B$49,'General Basis'!$B$50)))))))))))))</f>
        <v/>
      </c>
      <c r="BI2635" s="744" t="str">
        <f t="shared" si="929"/>
        <v/>
      </c>
      <c r="BJ2635" s="747" t="str">
        <f t="shared" si="936"/>
        <v/>
      </c>
      <c r="BK2635" s="498" t="str">
        <f t="shared" si="930"/>
        <v/>
      </c>
      <c r="BL2635" s="498" t="str">
        <f t="shared" si="931"/>
        <v/>
      </c>
    </row>
    <row r="2636" spans="1:64" x14ac:dyDescent="0.25">
      <c r="A2636" s="762">
        <f t="shared" si="932"/>
        <v>2631</v>
      </c>
      <c r="B2636" s="229"/>
      <c r="C2636" s="223"/>
      <c r="D2636" s="224"/>
      <c r="E2636" s="225"/>
      <c r="F2636" s="1036" t="str">
        <f t="shared" si="916"/>
        <v/>
      </c>
      <c r="G2636" s="1037" t="str">
        <f t="shared" si="933"/>
        <v/>
      </c>
      <c r="H2636" s="225"/>
      <c r="I2636" s="1013"/>
      <c r="J2636" s="1013"/>
      <c r="K2636" s="1028"/>
      <c r="L2636" s="1035" t="str">
        <f t="shared" si="937"/>
        <v/>
      </c>
      <c r="S2636" s="498"/>
      <c r="AJ2636" s="498"/>
      <c r="AM2636" s="498">
        <f t="shared" si="918"/>
        <v>0</v>
      </c>
      <c r="AN2636" s="498">
        <f t="shared" si="919"/>
        <v>0</v>
      </c>
      <c r="AO2636" s="498">
        <f t="shared" si="920"/>
        <v>0</v>
      </c>
      <c r="AP2636" s="498">
        <f t="shared" si="917"/>
        <v>0</v>
      </c>
      <c r="AQ2636" s="498">
        <f t="shared" si="934"/>
        <v>0</v>
      </c>
      <c r="AU2636" s="498">
        <f t="shared" si="921"/>
        <v>0</v>
      </c>
      <c r="AV2636" s="498">
        <f t="shared" si="922"/>
        <v>0</v>
      </c>
      <c r="AW2636" s="498">
        <f t="shared" si="923"/>
        <v>0</v>
      </c>
      <c r="AX2636" s="498">
        <f t="shared" si="924"/>
        <v>0</v>
      </c>
      <c r="AY2636" s="498">
        <f t="shared" si="925"/>
        <v>0</v>
      </c>
      <c r="BB2636" s="498" t="str">
        <f t="shared" si="926"/>
        <v/>
      </c>
      <c r="BC2636" s="743" t="str">
        <f t="shared" si="927"/>
        <v/>
      </c>
      <c r="BD2636" s="743" t="str">
        <f t="shared" si="928"/>
        <v/>
      </c>
      <c r="BE2636" s="743" t="str">
        <f>IF(D2636="","",VLOOKUP(D2636,'General Basis'!$J$39:$K$46,2,0))</f>
        <v/>
      </c>
      <c r="BF2636" s="744" t="str">
        <f>IF(D2636="","",VLOOKUP(D2636,'General Basis'!$J$39:$L$46,3,0))</f>
        <v/>
      </c>
      <c r="BG2636" s="744" t="str">
        <f t="shared" si="935"/>
        <v/>
      </c>
      <c r="BH2636" s="744" t="str">
        <f>IF(G2636="","",IF(BF2636="Abu Dhabi",IF(G2636&lt;18,'General Basis'!$C$39,IF(G2636&lt;41,'General Basis'!$C$40,IF(G2636&lt;60,'General Basis'!$C$41,IF(G2636&lt;65,'General Basis'!$C$42,'General Basis'!$C$43)))),IF(G2636&lt;11,'General Basis'!$B$39,IF(G2636&lt;18,'General Basis'!$B$40,IF(G2636&lt;26,'General Basis'!$B$41,IF(G2636&lt;31,'General Basis'!$B$42,IF(G2636&lt;36,'General Basis'!$B$43,IF(G2636&lt;41,'General Basis'!$B$44,IF(G2636&lt;46,'General Basis'!$B$45,IF(G2636&lt;51,'General Basis'!$B$46,IF(G2636&lt;56,'General Basis'!$B$47,IF(G2636&lt;60,'General Basis'!$B$48,IF(G2636&lt;65,'General Basis'!$B$49,'General Basis'!$B$50)))))))))))))</f>
        <v/>
      </c>
      <c r="BI2636" s="744" t="str">
        <f t="shared" si="929"/>
        <v/>
      </c>
      <c r="BJ2636" s="747" t="str">
        <f t="shared" si="936"/>
        <v/>
      </c>
      <c r="BK2636" s="498" t="str">
        <f t="shared" si="930"/>
        <v/>
      </c>
      <c r="BL2636" s="498" t="str">
        <f t="shared" si="931"/>
        <v/>
      </c>
    </row>
    <row r="2637" spans="1:64" x14ac:dyDescent="0.25">
      <c r="A2637" s="762">
        <f t="shared" si="932"/>
        <v>2632</v>
      </c>
      <c r="B2637" s="229"/>
      <c r="C2637" s="223"/>
      <c r="D2637" s="224"/>
      <c r="E2637" s="225"/>
      <c r="F2637" s="1036" t="str">
        <f t="shared" si="916"/>
        <v/>
      </c>
      <c r="G2637" s="1037" t="str">
        <f t="shared" si="933"/>
        <v/>
      </c>
      <c r="H2637" s="225"/>
      <c r="I2637" s="1013"/>
      <c r="J2637" s="1013"/>
      <c r="K2637" s="1028"/>
      <c r="L2637" s="1035" t="str">
        <f t="shared" si="937"/>
        <v/>
      </c>
      <c r="S2637" s="498"/>
      <c r="AJ2637" s="498"/>
      <c r="AM2637" s="498">
        <f t="shared" si="918"/>
        <v>0</v>
      </c>
      <c r="AN2637" s="498">
        <f t="shared" si="919"/>
        <v>0</v>
      </c>
      <c r="AO2637" s="498">
        <f t="shared" si="920"/>
        <v>0</v>
      </c>
      <c r="AP2637" s="498">
        <f t="shared" si="917"/>
        <v>0</v>
      </c>
      <c r="AQ2637" s="498">
        <f t="shared" si="934"/>
        <v>0</v>
      </c>
      <c r="AU2637" s="498">
        <f t="shared" si="921"/>
        <v>0</v>
      </c>
      <c r="AV2637" s="498">
        <f t="shared" si="922"/>
        <v>0</v>
      </c>
      <c r="AW2637" s="498">
        <f t="shared" si="923"/>
        <v>0</v>
      </c>
      <c r="AX2637" s="498">
        <f t="shared" si="924"/>
        <v>0</v>
      </c>
      <c r="AY2637" s="498">
        <f t="shared" si="925"/>
        <v>0</v>
      </c>
      <c r="BB2637" s="498" t="str">
        <f t="shared" si="926"/>
        <v/>
      </c>
      <c r="BC2637" s="743" t="str">
        <f t="shared" si="927"/>
        <v/>
      </c>
      <c r="BD2637" s="743" t="str">
        <f t="shared" si="928"/>
        <v/>
      </c>
      <c r="BE2637" s="743" t="str">
        <f>IF(D2637="","",VLOOKUP(D2637,'General Basis'!$J$39:$K$46,2,0))</f>
        <v/>
      </c>
      <c r="BF2637" s="744" t="str">
        <f>IF(D2637="","",VLOOKUP(D2637,'General Basis'!$J$39:$L$46,3,0))</f>
        <v/>
      </c>
      <c r="BG2637" s="744" t="str">
        <f t="shared" si="935"/>
        <v/>
      </c>
      <c r="BH2637" s="744" t="str">
        <f>IF(G2637="","",IF(BF2637="Abu Dhabi",IF(G2637&lt;18,'General Basis'!$C$39,IF(G2637&lt;41,'General Basis'!$C$40,IF(G2637&lt;60,'General Basis'!$C$41,IF(G2637&lt;65,'General Basis'!$C$42,'General Basis'!$C$43)))),IF(G2637&lt;11,'General Basis'!$B$39,IF(G2637&lt;18,'General Basis'!$B$40,IF(G2637&lt;26,'General Basis'!$B$41,IF(G2637&lt;31,'General Basis'!$B$42,IF(G2637&lt;36,'General Basis'!$B$43,IF(G2637&lt;41,'General Basis'!$B$44,IF(G2637&lt;46,'General Basis'!$B$45,IF(G2637&lt;51,'General Basis'!$B$46,IF(G2637&lt;56,'General Basis'!$B$47,IF(G2637&lt;60,'General Basis'!$B$48,IF(G2637&lt;65,'General Basis'!$B$49,'General Basis'!$B$50)))))))))))))</f>
        <v/>
      </c>
      <c r="BI2637" s="744" t="str">
        <f t="shared" si="929"/>
        <v/>
      </c>
      <c r="BJ2637" s="747" t="str">
        <f t="shared" si="936"/>
        <v/>
      </c>
      <c r="BK2637" s="498" t="str">
        <f t="shared" si="930"/>
        <v/>
      </c>
      <c r="BL2637" s="498" t="str">
        <f t="shared" si="931"/>
        <v/>
      </c>
    </row>
    <row r="2638" spans="1:64" x14ac:dyDescent="0.25">
      <c r="A2638" s="762">
        <f t="shared" si="932"/>
        <v>2633</v>
      </c>
      <c r="B2638" s="229"/>
      <c r="C2638" s="223"/>
      <c r="D2638" s="224"/>
      <c r="E2638" s="225"/>
      <c r="F2638" s="1036" t="str">
        <f t="shared" si="916"/>
        <v/>
      </c>
      <c r="G2638" s="1037" t="str">
        <f t="shared" si="933"/>
        <v/>
      </c>
      <c r="H2638" s="225"/>
      <c r="I2638" s="1013"/>
      <c r="J2638" s="1013"/>
      <c r="K2638" s="1028"/>
      <c r="L2638" s="1035" t="str">
        <f t="shared" si="937"/>
        <v/>
      </c>
      <c r="S2638" s="498"/>
      <c r="AJ2638" s="498"/>
      <c r="AM2638" s="498">
        <f t="shared" si="918"/>
        <v>0</v>
      </c>
      <c r="AN2638" s="498">
        <f t="shared" si="919"/>
        <v>0</v>
      </c>
      <c r="AO2638" s="498">
        <f t="shared" si="920"/>
        <v>0</v>
      </c>
      <c r="AP2638" s="498">
        <f t="shared" si="917"/>
        <v>0</v>
      </c>
      <c r="AQ2638" s="498">
        <f t="shared" si="934"/>
        <v>0</v>
      </c>
      <c r="AU2638" s="498">
        <f t="shared" si="921"/>
        <v>0</v>
      </c>
      <c r="AV2638" s="498">
        <f t="shared" si="922"/>
        <v>0</v>
      </c>
      <c r="AW2638" s="498">
        <f t="shared" si="923"/>
        <v>0</v>
      </c>
      <c r="AX2638" s="498">
        <f t="shared" si="924"/>
        <v>0</v>
      </c>
      <c r="AY2638" s="498">
        <f t="shared" si="925"/>
        <v>0</v>
      </c>
      <c r="BB2638" s="498" t="str">
        <f t="shared" si="926"/>
        <v/>
      </c>
      <c r="BC2638" s="743" t="str">
        <f t="shared" si="927"/>
        <v/>
      </c>
      <c r="BD2638" s="743" t="str">
        <f t="shared" si="928"/>
        <v/>
      </c>
      <c r="BE2638" s="743" t="str">
        <f>IF(D2638="","",VLOOKUP(D2638,'General Basis'!$J$39:$K$46,2,0))</f>
        <v/>
      </c>
      <c r="BF2638" s="744" t="str">
        <f>IF(D2638="","",VLOOKUP(D2638,'General Basis'!$J$39:$L$46,3,0))</f>
        <v/>
      </c>
      <c r="BG2638" s="744" t="str">
        <f t="shared" si="935"/>
        <v/>
      </c>
      <c r="BH2638" s="744" t="str">
        <f>IF(G2638="","",IF(BF2638="Abu Dhabi",IF(G2638&lt;18,'General Basis'!$C$39,IF(G2638&lt;41,'General Basis'!$C$40,IF(G2638&lt;60,'General Basis'!$C$41,IF(G2638&lt;65,'General Basis'!$C$42,'General Basis'!$C$43)))),IF(G2638&lt;11,'General Basis'!$B$39,IF(G2638&lt;18,'General Basis'!$B$40,IF(G2638&lt;26,'General Basis'!$B$41,IF(G2638&lt;31,'General Basis'!$B$42,IF(G2638&lt;36,'General Basis'!$B$43,IF(G2638&lt;41,'General Basis'!$B$44,IF(G2638&lt;46,'General Basis'!$B$45,IF(G2638&lt;51,'General Basis'!$B$46,IF(G2638&lt;56,'General Basis'!$B$47,IF(G2638&lt;60,'General Basis'!$B$48,IF(G2638&lt;65,'General Basis'!$B$49,'General Basis'!$B$50)))))))))))))</f>
        <v/>
      </c>
      <c r="BI2638" s="744" t="str">
        <f t="shared" si="929"/>
        <v/>
      </c>
      <c r="BJ2638" s="747" t="str">
        <f t="shared" si="936"/>
        <v/>
      </c>
      <c r="BK2638" s="498" t="str">
        <f t="shared" si="930"/>
        <v/>
      </c>
      <c r="BL2638" s="498" t="str">
        <f t="shared" si="931"/>
        <v/>
      </c>
    </row>
    <row r="2639" spans="1:64" x14ac:dyDescent="0.25">
      <c r="A2639" s="762">
        <f t="shared" si="932"/>
        <v>2634</v>
      </c>
      <c r="B2639" s="229"/>
      <c r="C2639" s="223"/>
      <c r="D2639" s="224"/>
      <c r="E2639" s="225"/>
      <c r="F2639" s="1036" t="str">
        <f t="shared" si="916"/>
        <v/>
      </c>
      <c r="G2639" s="1037" t="str">
        <f t="shared" si="933"/>
        <v/>
      </c>
      <c r="H2639" s="225"/>
      <c r="I2639" s="1013"/>
      <c r="J2639" s="1013"/>
      <c r="K2639" s="1028"/>
      <c r="L2639" s="1035" t="str">
        <f t="shared" si="937"/>
        <v/>
      </c>
      <c r="S2639" s="498"/>
      <c r="AJ2639" s="498"/>
      <c r="AM2639" s="498">
        <f t="shared" si="918"/>
        <v>0</v>
      </c>
      <c r="AN2639" s="498">
        <f t="shared" si="919"/>
        <v>0</v>
      </c>
      <c r="AO2639" s="498">
        <f t="shared" si="920"/>
        <v>0</v>
      </c>
      <c r="AP2639" s="498">
        <f t="shared" si="917"/>
        <v>0</v>
      </c>
      <c r="AQ2639" s="498">
        <f t="shared" si="934"/>
        <v>0</v>
      </c>
      <c r="AU2639" s="498">
        <f t="shared" si="921"/>
        <v>0</v>
      </c>
      <c r="AV2639" s="498">
        <f t="shared" si="922"/>
        <v>0</v>
      </c>
      <c r="AW2639" s="498">
        <f t="shared" si="923"/>
        <v>0</v>
      </c>
      <c r="AX2639" s="498">
        <f t="shared" si="924"/>
        <v>0</v>
      </c>
      <c r="AY2639" s="498">
        <f t="shared" si="925"/>
        <v>0</v>
      </c>
      <c r="BB2639" s="498" t="str">
        <f t="shared" si="926"/>
        <v/>
      </c>
      <c r="BC2639" s="743" t="str">
        <f t="shared" si="927"/>
        <v/>
      </c>
      <c r="BD2639" s="743" t="str">
        <f t="shared" si="928"/>
        <v/>
      </c>
      <c r="BE2639" s="743" t="str">
        <f>IF(D2639="","",VLOOKUP(D2639,'General Basis'!$J$39:$K$46,2,0))</f>
        <v/>
      </c>
      <c r="BF2639" s="744" t="str">
        <f>IF(D2639="","",VLOOKUP(D2639,'General Basis'!$J$39:$L$46,3,0))</f>
        <v/>
      </c>
      <c r="BG2639" s="744" t="str">
        <f t="shared" si="935"/>
        <v/>
      </c>
      <c r="BH2639" s="744" t="str">
        <f>IF(G2639="","",IF(BF2639="Abu Dhabi",IF(G2639&lt;18,'General Basis'!$C$39,IF(G2639&lt;41,'General Basis'!$C$40,IF(G2639&lt;60,'General Basis'!$C$41,IF(G2639&lt;65,'General Basis'!$C$42,'General Basis'!$C$43)))),IF(G2639&lt;11,'General Basis'!$B$39,IF(G2639&lt;18,'General Basis'!$B$40,IF(G2639&lt;26,'General Basis'!$B$41,IF(G2639&lt;31,'General Basis'!$B$42,IF(G2639&lt;36,'General Basis'!$B$43,IF(G2639&lt;41,'General Basis'!$B$44,IF(G2639&lt;46,'General Basis'!$B$45,IF(G2639&lt;51,'General Basis'!$B$46,IF(G2639&lt;56,'General Basis'!$B$47,IF(G2639&lt;60,'General Basis'!$B$48,IF(G2639&lt;65,'General Basis'!$B$49,'General Basis'!$B$50)))))))))))))</f>
        <v/>
      </c>
      <c r="BI2639" s="744" t="str">
        <f t="shared" si="929"/>
        <v/>
      </c>
      <c r="BJ2639" s="747" t="str">
        <f t="shared" si="936"/>
        <v/>
      </c>
      <c r="BK2639" s="498" t="str">
        <f t="shared" si="930"/>
        <v/>
      </c>
      <c r="BL2639" s="498" t="str">
        <f t="shared" si="931"/>
        <v/>
      </c>
    </row>
    <row r="2640" spans="1:64" x14ac:dyDescent="0.25">
      <c r="A2640" s="762">
        <f t="shared" si="932"/>
        <v>2635</v>
      </c>
      <c r="B2640" s="229"/>
      <c r="C2640" s="223"/>
      <c r="D2640" s="224"/>
      <c r="E2640" s="225"/>
      <c r="F2640" s="1036" t="str">
        <f t="shared" ref="F2640:F2703" si="938">IF(C2640="","",IF($B2640="","",((YEAR($F$3)-YEAR($B2640))+(MONTH($F$3)-MONTH($B2640))/12+(DAY($F$3)-DAY($B2640))/(DATE(YEAR($F$3),12,31)-DATE(YEAR($F$3),1,1)+1))))</f>
        <v/>
      </c>
      <c r="G2640" s="1037" t="str">
        <f t="shared" si="933"/>
        <v/>
      </c>
      <c r="H2640" s="225"/>
      <c r="I2640" s="1013"/>
      <c r="J2640" s="1013"/>
      <c r="K2640" s="1028"/>
      <c r="L2640" s="1035" t="str">
        <f t="shared" si="937"/>
        <v/>
      </c>
      <c r="S2640" s="498"/>
      <c r="AJ2640" s="498"/>
      <c r="AM2640" s="498">
        <f t="shared" si="918"/>
        <v>0</v>
      </c>
      <c r="AN2640" s="498">
        <f t="shared" si="919"/>
        <v>0</v>
      </c>
      <c r="AO2640" s="498">
        <f t="shared" si="920"/>
        <v>0</v>
      </c>
      <c r="AP2640" s="498">
        <f t="shared" si="917"/>
        <v>0</v>
      </c>
      <c r="AQ2640" s="498">
        <f t="shared" si="934"/>
        <v>0</v>
      </c>
      <c r="AU2640" s="498">
        <f t="shared" si="921"/>
        <v>0</v>
      </c>
      <c r="AV2640" s="498">
        <f t="shared" si="922"/>
        <v>0</v>
      </c>
      <c r="AW2640" s="498">
        <f t="shared" si="923"/>
        <v>0</v>
      </c>
      <c r="AX2640" s="498">
        <f t="shared" si="924"/>
        <v>0</v>
      </c>
      <c r="AY2640" s="498">
        <f t="shared" si="925"/>
        <v>0</v>
      </c>
      <c r="BB2640" s="498" t="str">
        <f t="shared" si="926"/>
        <v/>
      </c>
      <c r="BC2640" s="743" t="str">
        <f t="shared" si="927"/>
        <v/>
      </c>
      <c r="BD2640" s="743" t="str">
        <f t="shared" si="928"/>
        <v/>
      </c>
      <c r="BE2640" s="743" t="str">
        <f>IF(D2640="","",VLOOKUP(D2640,'General Basis'!$J$39:$K$46,2,0))</f>
        <v/>
      </c>
      <c r="BF2640" s="744" t="str">
        <f>IF(D2640="","",VLOOKUP(D2640,'General Basis'!$J$39:$L$46,3,0))</f>
        <v/>
      </c>
      <c r="BG2640" s="744" t="str">
        <f t="shared" si="935"/>
        <v/>
      </c>
      <c r="BH2640" s="744" t="str">
        <f>IF(G2640="","",IF(BF2640="Abu Dhabi",IF(G2640&lt;18,'General Basis'!$C$39,IF(G2640&lt;41,'General Basis'!$C$40,IF(G2640&lt;60,'General Basis'!$C$41,IF(G2640&lt;65,'General Basis'!$C$42,'General Basis'!$C$43)))),IF(G2640&lt;11,'General Basis'!$B$39,IF(G2640&lt;18,'General Basis'!$B$40,IF(G2640&lt;26,'General Basis'!$B$41,IF(G2640&lt;31,'General Basis'!$B$42,IF(G2640&lt;36,'General Basis'!$B$43,IF(G2640&lt;41,'General Basis'!$B$44,IF(G2640&lt;46,'General Basis'!$B$45,IF(G2640&lt;51,'General Basis'!$B$46,IF(G2640&lt;56,'General Basis'!$B$47,IF(G2640&lt;60,'General Basis'!$B$48,IF(G2640&lt;65,'General Basis'!$B$49,'General Basis'!$B$50)))))))))))))</f>
        <v/>
      </c>
      <c r="BI2640" s="744" t="str">
        <f t="shared" si="929"/>
        <v/>
      </c>
      <c r="BJ2640" s="747" t="str">
        <f t="shared" si="936"/>
        <v/>
      </c>
      <c r="BK2640" s="498" t="str">
        <f t="shared" si="930"/>
        <v/>
      </c>
      <c r="BL2640" s="498" t="str">
        <f t="shared" si="931"/>
        <v/>
      </c>
    </row>
    <row r="2641" spans="1:64" x14ac:dyDescent="0.25">
      <c r="A2641" s="762">
        <f t="shared" si="932"/>
        <v>2636</v>
      </c>
      <c r="B2641" s="229"/>
      <c r="C2641" s="223"/>
      <c r="D2641" s="224"/>
      <c r="E2641" s="225"/>
      <c r="F2641" s="1036" t="str">
        <f t="shared" si="938"/>
        <v/>
      </c>
      <c r="G2641" s="1037" t="str">
        <f t="shared" si="933"/>
        <v/>
      </c>
      <c r="H2641" s="225"/>
      <c r="I2641" s="1013"/>
      <c r="J2641" s="1013"/>
      <c r="K2641" s="1028"/>
      <c r="L2641" s="1035" t="str">
        <f t="shared" si="937"/>
        <v/>
      </c>
      <c r="S2641" s="498"/>
      <c r="AJ2641" s="498"/>
      <c r="AM2641" s="498">
        <f t="shared" si="918"/>
        <v>0</v>
      </c>
      <c r="AN2641" s="498">
        <f t="shared" si="919"/>
        <v>0</v>
      </c>
      <c r="AO2641" s="498">
        <f t="shared" si="920"/>
        <v>0</v>
      </c>
      <c r="AP2641" s="498">
        <f t="shared" si="917"/>
        <v>0</v>
      </c>
      <c r="AQ2641" s="498">
        <f t="shared" si="934"/>
        <v>0</v>
      </c>
      <c r="AU2641" s="498">
        <f t="shared" si="921"/>
        <v>0</v>
      </c>
      <c r="AV2641" s="498">
        <f t="shared" si="922"/>
        <v>0</v>
      </c>
      <c r="AW2641" s="498">
        <f t="shared" si="923"/>
        <v>0</v>
      </c>
      <c r="AX2641" s="498">
        <f t="shared" si="924"/>
        <v>0</v>
      </c>
      <c r="AY2641" s="498">
        <f t="shared" si="925"/>
        <v>0</v>
      </c>
      <c r="BB2641" s="498" t="str">
        <f t="shared" si="926"/>
        <v/>
      </c>
      <c r="BC2641" s="743" t="str">
        <f t="shared" si="927"/>
        <v/>
      </c>
      <c r="BD2641" s="743" t="str">
        <f t="shared" si="928"/>
        <v/>
      </c>
      <c r="BE2641" s="743" t="str">
        <f>IF(D2641="","",VLOOKUP(D2641,'General Basis'!$J$39:$K$46,2,0))</f>
        <v/>
      </c>
      <c r="BF2641" s="744" t="str">
        <f>IF(D2641="","",VLOOKUP(D2641,'General Basis'!$J$39:$L$46,3,0))</f>
        <v/>
      </c>
      <c r="BG2641" s="744" t="str">
        <f t="shared" si="935"/>
        <v/>
      </c>
      <c r="BH2641" s="744" t="str">
        <f>IF(G2641="","",IF(BF2641="Abu Dhabi",IF(G2641&lt;18,'General Basis'!$C$39,IF(G2641&lt;41,'General Basis'!$C$40,IF(G2641&lt;60,'General Basis'!$C$41,IF(G2641&lt;65,'General Basis'!$C$42,'General Basis'!$C$43)))),IF(G2641&lt;11,'General Basis'!$B$39,IF(G2641&lt;18,'General Basis'!$B$40,IF(G2641&lt;26,'General Basis'!$B$41,IF(G2641&lt;31,'General Basis'!$B$42,IF(G2641&lt;36,'General Basis'!$B$43,IF(G2641&lt;41,'General Basis'!$B$44,IF(G2641&lt;46,'General Basis'!$B$45,IF(G2641&lt;51,'General Basis'!$B$46,IF(G2641&lt;56,'General Basis'!$B$47,IF(G2641&lt;60,'General Basis'!$B$48,IF(G2641&lt;65,'General Basis'!$B$49,'General Basis'!$B$50)))))))))))))</f>
        <v/>
      </c>
      <c r="BI2641" s="744" t="str">
        <f t="shared" si="929"/>
        <v/>
      </c>
      <c r="BJ2641" s="747" t="str">
        <f t="shared" si="936"/>
        <v/>
      </c>
      <c r="BK2641" s="498" t="str">
        <f t="shared" si="930"/>
        <v/>
      </c>
      <c r="BL2641" s="498" t="str">
        <f t="shared" si="931"/>
        <v/>
      </c>
    </row>
    <row r="2642" spans="1:64" x14ac:dyDescent="0.25">
      <c r="A2642" s="762">
        <f t="shared" si="932"/>
        <v>2637</v>
      </c>
      <c r="B2642" s="229"/>
      <c r="C2642" s="223"/>
      <c r="D2642" s="224"/>
      <c r="E2642" s="225"/>
      <c r="F2642" s="1036" t="str">
        <f t="shared" si="938"/>
        <v/>
      </c>
      <c r="G2642" s="1037" t="str">
        <f t="shared" si="933"/>
        <v/>
      </c>
      <c r="H2642" s="225"/>
      <c r="I2642" s="1013"/>
      <c r="J2642" s="1013"/>
      <c r="K2642" s="1028"/>
      <c r="L2642" s="1035" t="str">
        <f t="shared" si="937"/>
        <v/>
      </c>
      <c r="S2642" s="498"/>
      <c r="AJ2642" s="498"/>
      <c r="AM2642" s="498">
        <f t="shared" si="918"/>
        <v>0</v>
      </c>
      <c r="AN2642" s="498">
        <f t="shared" si="919"/>
        <v>0</v>
      </c>
      <c r="AO2642" s="498">
        <f t="shared" si="920"/>
        <v>0</v>
      </c>
      <c r="AP2642" s="498">
        <f t="shared" si="917"/>
        <v>0</v>
      </c>
      <c r="AQ2642" s="498">
        <f t="shared" si="934"/>
        <v>0</v>
      </c>
      <c r="AU2642" s="498">
        <f t="shared" si="921"/>
        <v>0</v>
      </c>
      <c r="AV2642" s="498">
        <f t="shared" si="922"/>
        <v>0</v>
      </c>
      <c r="AW2642" s="498">
        <f t="shared" si="923"/>
        <v>0</v>
      </c>
      <c r="AX2642" s="498">
        <f t="shared" si="924"/>
        <v>0</v>
      </c>
      <c r="AY2642" s="498">
        <f t="shared" si="925"/>
        <v>0</v>
      </c>
      <c r="BB2642" s="498" t="str">
        <f t="shared" si="926"/>
        <v/>
      </c>
      <c r="BC2642" s="743" t="str">
        <f t="shared" si="927"/>
        <v/>
      </c>
      <c r="BD2642" s="743" t="str">
        <f t="shared" si="928"/>
        <v/>
      </c>
      <c r="BE2642" s="743" t="str">
        <f>IF(D2642="","",VLOOKUP(D2642,'General Basis'!$J$39:$K$46,2,0))</f>
        <v/>
      </c>
      <c r="BF2642" s="744" t="str">
        <f>IF(D2642="","",VLOOKUP(D2642,'General Basis'!$J$39:$L$46,3,0))</f>
        <v/>
      </c>
      <c r="BG2642" s="744" t="str">
        <f t="shared" si="935"/>
        <v/>
      </c>
      <c r="BH2642" s="744" t="str">
        <f>IF(G2642="","",IF(BF2642="Abu Dhabi",IF(G2642&lt;18,'General Basis'!$C$39,IF(G2642&lt;41,'General Basis'!$C$40,IF(G2642&lt;60,'General Basis'!$C$41,IF(G2642&lt;65,'General Basis'!$C$42,'General Basis'!$C$43)))),IF(G2642&lt;11,'General Basis'!$B$39,IF(G2642&lt;18,'General Basis'!$B$40,IF(G2642&lt;26,'General Basis'!$B$41,IF(G2642&lt;31,'General Basis'!$B$42,IF(G2642&lt;36,'General Basis'!$B$43,IF(G2642&lt;41,'General Basis'!$B$44,IF(G2642&lt;46,'General Basis'!$B$45,IF(G2642&lt;51,'General Basis'!$B$46,IF(G2642&lt;56,'General Basis'!$B$47,IF(G2642&lt;60,'General Basis'!$B$48,IF(G2642&lt;65,'General Basis'!$B$49,'General Basis'!$B$50)))))))))))))</f>
        <v/>
      </c>
      <c r="BI2642" s="744" t="str">
        <f t="shared" si="929"/>
        <v/>
      </c>
      <c r="BJ2642" s="747" t="str">
        <f t="shared" si="936"/>
        <v/>
      </c>
      <c r="BK2642" s="498" t="str">
        <f t="shared" si="930"/>
        <v/>
      </c>
      <c r="BL2642" s="498" t="str">
        <f t="shared" si="931"/>
        <v/>
      </c>
    </row>
    <row r="2643" spans="1:64" x14ac:dyDescent="0.25">
      <c r="A2643" s="762">
        <f t="shared" si="932"/>
        <v>2638</v>
      </c>
      <c r="B2643" s="229"/>
      <c r="C2643" s="223"/>
      <c r="D2643" s="224"/>
      <c r="E2643" s="225"/>
      <c r="F2643" s="1036" t="str">
        <f t="shared" si="938"/>
        <v/>
      </c>
      <c r="G2643" s="1037" t="str">
        <f t="shared" si="933"/>
        <v/>
      </c>
      <c r="H2643" s="225"/>
      <c r="I2643" s="1013"/>
      <c r="J2643" s="1013"/>
      <c r="K2643" s="1028"/>
      <c r="L2643" s="1035" t="str">
        <f t="shared" si="937"/>
        <v/>
      </c>
      <c r="S2643" s="498"/>
      <c r="AJ2643" s="498"/>
      <c r="AM2643" s="498">
        <f t="shared" si="918"/>
        <v>0</v>
      </c>
      <c r="AN2643" s="498">
        <f t="shared" si="919"/>
        <v>0</v>
      </c>
      <c r="AO2643" s="498">
        <f t="shared" si="920"/>
        <v>0</v>
      </c>
      <c r="AP2643" s="498">
        <f t="shared" ref="AP2643:AP2706" si="939">IF(ISBLANK($B2643),0,IF(OR($C2643="M",$C2643="F"),0,1))</f>
        <v>0</v>
      </c>
      <c r="AQ2643" s="498">
        <f t="shared" si="934"/>
        <v>0</v>
      </c>
      <c r="AU2643" s="498">
        <f t="shared" si="921"/>
        <v>0</v>
      </c>
      <c r="AV2643" s="498">
        <f t="shared" si="922"/>
        <v>0</v>
      </c>
      <c r="AW2643" s="498">
        <f t="shared" si="923"/>
        <v>0</v>
      </c>
      <c r="AX2643" s="498">
        <f t="shared" si="924"/>
        <v>0</v>
      </c>
      <c r="AY2643" s="498">
        <f t="shared" si="925"/>
        <v>0</v>
      </c>
      <c r="BB2643" s="498" t="str">
        <f t="shared" si="926"/>
        <v/>
      </c>
      <c r="BC2643" s="743" t="str">
        <f t="shared" si="927"/>
        <v/>
      </c>
      <c r="BD2643" s="743" t="str">
        <f t="shared" si="928"/>
        <v/>
      </c>
      <c r="BE2643" s="743" t="str">
        <f>IF(D2643="","",VLOOKUP(D2643,'General Basis'!$J$39:$K$46,2,0))</f>
        <v/>
      </c>
      <c r="BF2643" s="744" t="str">
        <f>IF(D2643="","",VLOOKUP(D2643,'General Basis'!$J$39:$L$46,3,0))</f>
        <v/>
      </c>
      <c r="BG2643" s="744" t="str">
        <f t="shared" si="935"/>
        <v/>
      </c>
      <c r="BH2643" s="744" t="str">
        <f>IF(G2643="","",IF(BF2643="Abu Dhabi",IF(G2643&lt;18,'General Basis'!$C$39,IF(G2643&lt;41,'General Basis'!$C$40,IF(G2643&lt;60,'General Basis'!$C$41,IF(G2643&lt;65,'General Basis'!$C$42,'General Basis'!$C$43)))),IF(G2643&lt;11,'General Basis'!$B$39,IF(G2643&lt;18,'General Basis'!$B$40,IF(G2643&lt;26,'General Basis'!$B$41,IF(G2643&lt;31,'General Basis'!$B$42,IF(G2643&lt;36,'General Basis'!$B$43,IF(G2643&lt;41,'General Basis'!$B$44,IF(G2643&lt;46,'General Basis'!$B$45,IF(G2643&lt;51,'General Basis'!$B$46,IF(G2643&lt;56,'General Basis'!$B$47,IF(G2643&lt;60,'General Basis'!$B$48,IF(G2643&lt;65,'General Basis'!$B$49,'General Basis'!$B$50)))))))))))))</f>
        <v/>
      </c>
      <c r="BI2643" s="744" t="str">
        <f t="shared" si="929"/>
        <v/>
      </c>
      <c r="BJ2643" s="747" t="str">
        <f t="shared" si="936"/>
        <v/>
      </c>
      <c r="BK2643" s="498" t="str">
        <f t="shared" si="930"/>
        <v/>
      </c>
      <c r="BL2643" s="498" t="str">
        <f t="shared" si="931"/>
        <v/>
      </c>
    </row>
    <row r="2644" spans="1:64" x14ac:dyDescent="0.25">
      <c r="A2644" s="762">
        <f t="shared" si="932"/>
        <v>2639</v>
      </c>
      <c r="B2644" s="229"/>
      <c r="C2644" s="223"/>
      <c r="D2644" s="224"/>
      <c r="E2644" s="225"/>
      <c r="F2644" s="1036" t="str">
        <f t="shared" si="938"/>
        <v/>
      </c>
      <c r="G2644" s="1037" t="str">
        <f t="shared" si="933"/>
        <v/>
      </c>
      <c r="H2644" s="225"/>
      <c r="I2644" s="1013"/>
      <c r="J2644" s="1013"/>
      <c r="K2644" s="1028"/>
      <c r="L2644" s="1035" t="str">
        <f t="shared" si="937"/>
        <v/>
      </c>
      <c r="S2644" s="498"/>
      <c r="AJ2644" s="498"/>
      <c r="AM2644" s="498">
        <f t="shared" si="918"/>
        <v>0</v>
      </c>
      <c r="AN2644" s="498">
        <f t="shared" si="919"/>
        <v>0</v>
      </c>
      <c r="AO2644" s="498">
        <f t="shared" si="920"/>
        <v>0</v>
      </c>
      <c r="AP2644" s="498">
        <f t="shared" si="939"/>
        <v>0</v>
      </c>
      <c r="AQ2644" s="498">
        <f t="shared" si="934"/>
        <v>0</v>
      </c>
      <c r="AU2644" s="498">
        <f t="shared" si="921"/>
        <v>0</v>
      </c>
      <c r="AV2644" s="498">
        <f t="shared" si="922"/>
        <v>0</v>
      </c>
      <c r="AW2644" s="498">
        <f t="shared" si="923"/>
        <v>0</v>
      </c>
      <c r="AX2644" s="498">
        <f t="shared" si="924"/>
        <v>0</v>
      </c>
      <c r="AY2644" s="498">
        <f t="shared" si="925"/>
        <v>0</v>
      </c>
      <c r="BB2644" s="498" t="str">
        <f t="shared" si="926"/>
        <v/>
      </c>
      <c r="BC2644" s="743" t="str">
        <f t="shared" si="927"/>
        <v/>
      </c>
      <c r="BD2644" s="743" t="str">
        <f t="shared" si="928"/>
        <v/>
      </c>
      <c r="BE2644" s="743" t="str">
        <f>IF(D2644="","",VLOOKUP(D2644,'General Basis'!$J$39:$K$46,2,0))</f>
        <v/>
      </c>
      <c r="BF2644" s="744" t="str">
        <f>IF(D2644="","",VLOOKUP(D2644,'General Basis'!$J$39:$L$46,3,0))</f>
        <v/>
      </c>
      <c r="BG2644" s="744" t="str">
        <f t="shared" si="935"/>
        <v/>
      </c>
      <c r="BH2644" s="744" t="str">
        <f>IF(G2644="","",IF(BF2644="Abu Dhabi",IF(G2644&lt;18,'General Basis'!$C$39,IF(G2644&lt;41,'General Basis'!$C$40,IF(G2644&lt;60,'General Basis'!$C$41,IF(G2644&lt;65,'General Basis'!$C$42,'General Basis'!$C$43)))),IF(G2644&lt;11,'General Basis'!$B$39,IF(G2644&lt;18,'General Basis'!$B$40,IF(G2644&lt;26,'General Basis'!$B$41,IF(G2644&lt;31,'General Basis'!$B$42,IF(G2644&lt;36,'General Basis'!$B$43,IF(G2644&lt;41,'General Basis'!$B$44,IF(G2644&lt;46,'General Basis'!$B$45,IF(G2644&lt;51,'General Basis'!$B$46,IF(G2644&lt;56,'General Basis'!$B$47,IF(G2644&lt;60,'General Basis'!$B$48,IF(G2644&lt;65,'General Basis'!$B$49,'General Basis'!$B$50)))))))))))))</f>
        <v/>
      </c>
      <c r="BI2644" s="744" t="str">
        <f t="shared" si="929"/>
        <v/>
      </c>
      <c r="BJ2644" s="747" t="str">
        <f t="shared" si="936"/>
        <v/>
      </c>
      <c r="BK2644" s="498" t="str">
        <f t="shared" si="930"/>
        <v/>
      </c>
      <c r="BL2644" s="498" t="str">
        <f t="shared" si="931"/>
        <v/>
      </c>
    </row>
    <row r="2645" spans="1:64" x14ac:dyDescent="0.25">
      <c r="A2645" s="762">
        <f t="shared" si="932"/>
        <v>2640</v>
      </c>
      <c r="B2645" s="229"/>
      <c r="C2645" s="223"/>
      <c r="D2645" s="224"/>
      <c r="E2645" s="225"/>
      <c r="F2645" s="1036" t="str">
        <f t="shared" si="938"/>
        <v/>
      </c>
      <c r="G2645" s="1037" t="str">
        <f t="shared" si="933"/>
        <v/>
      </c>
      <c r="H2645" s="225"/>
      <c r="I2645" s="1013"/>
      <c r="J2645" s="1013"/>
      <c r="K2645" s="1028"/>
      <c r="L2645" s="1035" t="str">
        <f t="shared" si="937"/>
        <v/>
      </c>
      <c r="S2645" s="498"/>
      <c r="AJ2645" s="498"/>
      <c r="AM2645" s="498">
        <f t="shared" si="918"/>
        <v>0</v>
      </c>
      <c r="AN2645" s="498">
        <f t="shared" si="919"/>
        <v>0</v>
      </c>
      <c r="AO2645" s="498">
        <f t="shared" si="920"/>
        <v>0</v>
      </c>
      <c r="AP2645" s="498">
        <f t="shared" si="939"/>
        <v>0</v>
      </c>
      <c r="AQ2645" s="498">
        <f t="shared" si="934"/>
        <v>0</v>
      </c>
      <c r="AU2645" s="498">
        <f t="shared" si="921"/>
        <v>0</v>
      </c>
      <c r="AV2645" s="498">
        <f t="shared" si="922"/>
        <v>0</v>
      </c>
      <c r="AW2645" s="498">
        <f t="shared" si="923"/>
        <v>0</v>
      </c>
      <c r="AX2645" s="498">
        <f t="shared" si="924"/>
        <v>0</v>
      </c>
      <c r="AY2645" s="498">
        <f t="shared" si="925"/>
        <v>0</v>
      </c>
      <c r="BB2645" s="498" t="str">
        <f t="shared" si="926"/>
        <v/>
      </c>
      <c r="BC2645" s="743" t="str">
        <f t="shared" si="927"/>
        <v/>
      </c>
      <c r="BD2645" s="743" t="str">
        <f t="shared" si="928"/>
        <v/>
      </c>
      <c r="BE2645" s="743" t="str">
        <f>IF(D2645="","",VLOOKUP(D2645,'General Basis'!$J$39:$K$46,2,0))</f>
        <v/>
      </c>
      <c r="BF2645" s="744" t="str">
        <f>IF(D2645="","",VLOOKUP(D2645,'General Basis'!$J$39:$L$46,3,0))</f>
        <v/>
      </c>
      <c r="BG2645" s="744" t="str">
        <f t="shared" si="935"/>
        <v/>
      </c>
      <c r="BH2645" s="744" t="str">
        <f>IF(G2645="","",IF(BF2645="Abu Dhabi",IF(G2645&lt;18,'General Basis'!$C$39,IF(G2645&lt;41,'General Basis'!$C$40,IF(G2645&lt;60,'General Basis'!$C$41,IF(G2645&lt;65,'General Basis'!$C$42,'General Basis'!$C$43)))),IF(G2645&lt;11,'General Basis'!$B$39,IF(G2645&lt;18,'General Basis'!$B$40,IF(G2645&lt;26,'General Basis'!$B$41,IF(G2645&lt;31,'General Basis'!$B$42,IF(G2645&lt;36,'General Basis'!$B$43,IF(G2645&lt;41,'General Basis'!$B$44,IF(G2645&lt;46,'General Basis'!$B$45,IF(G2645&lt;51,'General Basis'!$B$46,IF(G2645&lt;56,'General Basis'!$B$47,IF(G2645&lt;60,'General Basis'!$B$48,IF(G2645&lt;65,'General Basis'!$B$49,'General Basis'!$B$50)))))))))))))</f>
        <v/>
      </c>
      <c r="BI2645" s="744" t="str">
        <f t="shared" si="929"/>
        <v/>
      </c>
      <c r="BJ2645" s="747" t="str">
        <f t="shared" si="936"/>
        <v/>
      </c>
      <c r="BK2645" s="498" t="str">
        <f t="shared" si="930"/>
        <v/>
      </c>
      <c r="BL2645" s="498" t="str">
        <f t="shared" si="931"/>
        <v/>
      </c>
    </row>
    <row r="2646" spans="1:64" x14ac:dyDescent="0.25">
      <c r="A2646" s="762">
        <f t="shared" si="932"/>
        <v>2641</v>
      </c>
      <c r="B2646" s="229"/>
      <c r="C2646" s="223"/>
      <c r="D2646" s="224"/>
      <c r="E2646" s="225"/>
      <c r="F2646" s="1036" t="str">
        <f t="shared" si="938"/>
        <v/>
      </c>
      <c r="G2646" s="1037" t="str">
        <f t="shared" si="933"/>
        <v/>
      </c>
      <c r="H2646" s="225"/>
      <c r="I2646" s="1013"/>
      <c r="J2646" s="1013"/>
      <c r="K2646" s="1028"/>
      <c r="L2646" s="1035" t="str">
        <f t="shared" si="937"/>
        <v/>
      </c>
      <c r="S2646" s="498"/>
      <c r="AJ2646" s="498"/>
      <c r="AM2646" s="498">
        <f t="shared" si="918"/>
        <v>0</v>
      </c>
      <c r="AN2646" s="498">
        <f t="shared" si="919"/>
        <v>0</v>
      </c>
      <c r="AO2646" s="498">
        <f t="shared" si="920"/>
        <v>0</v>
      </c>
      <c r="AP2646" s="498">
        <f t="shared" si="939"/>
        <v>0</v>
      </c>
      <c r="AQ2646" s="498">
        <f t="shared" si="934"/>
        <v>0</v>
      </c>
      <c r="AU2646" s="498">
        <f t="shared" si="921"/>
        <v>0</v>
      </c>
      <c r="AV2646" s="498">
        <f t="shared" si="922"/>
        <v>0</v>
      </c>
      <c r="AW2646" s="498">
        <f t="shared" si="923"/>
        <v>0</v>
      </c>
      <c r="AX2646" s="498">
        <f t="shared" si="924"/>
        <v>0</v>
      </c>
      <c r="AY2646" s="498">
        <f t="shared" si="925"/>
        <v>0</v>
      </c>
      <c r="BB2646" s="498" t="str">
        <f t="shared" si="926"/>
        <v/>
      </c>
      <c r="BC2646" s="743" t="str">
        <f t="shared" si="927"/>
        <v/>
      </c>
      <c r="BD2646" s="743" t="str">
        <f t="shared" si="928"/>
        <v/>
      </c>
      <c r="BE2646" s="743" t="str">
        <f>IF(D2646="","",VLOOKUP(D2646,'General Basis'!$J$39:$K$46,2,0))</f>
        <v/>
      </c>
      <c r="BF2646" s="744" t="str">
        <f>IF(D2646="","",VLOOKUP(D2646,'General Basis'!$J$39:$L$46,3,0))</f>
        <v/>
      </c>
      <c r="BG2646" s="744" t="str">
        <f t="shared" si="935"/>
        <v/>
      </c>
      <c r="BH2646" s="744" t="str">
        <f>IF(G2646="","",IF(BF2646="Abu Dhabi",IF(G2646&lt;18,'General Basis'!$C$39,IF(G2646&lt;41,'General Basis'!$C$40,IF(G2646&lt;60,'General Basis'!$C$41,IF(G2646&lt;65,'General Basis'!$C$42,'General Basis'!$C$43)))),IF(G2646&lt;11,'General Basis'!$B$39,IF(G2646&lt;18,'General Basis'!$B$40,IF(G2646&lt;26,'General Basis'!$B$41,IF(G2646&lt;31,'General Basis'!$B$42,IF(G2646&lt;36,'General Basis'!$B$43,IF(G2646&lt;41,'General Basis'!$B$44,IF(G2646&lt;46,'General Basis'!$B$45,IF(G2646&lt;51,'General Basis'!$B$46,IF(G2646&lt;56,'General Basis'!$B$47,IF(G2646&lt;60,'General Basis'!$B$48,IF(G2646&lt;65,'General Basis'!$B$49,'General Basis'!$B$50)))))))))))))</f>
        <v/>
      </c>
      <c r="BI2646" s="744" t="str">
        <f t="shared" si="929"/>
        <v/>
      </c>
      <c r="BJ2646" s="747" t="str">
        <f t="shared" si="936"/>
        <v/>
      </c>
      <c r="BK2646" s="498" t="str">
        <f t="shared" si="930"/>
        <v/>
      </c>
      <c r="BL2646" s="498" t="str">
        <f t="shared" si="931"/>
        <v/>
      </c>
    </row>
    <row r="2647" spans="1:64" x14ac:dyDescent="0.25">
      <c r="A2647" s="762">
        <f t="shared" si="932"/>
        <v>2642</v>
      </c>
      <c r="B2647" s="229"/>
      <c r="C2647" s="223"/>
      <c r="D2647" s="224"/>
      <c r="E2647" s="225"/>
      <c r="F2647" s="1036" t="str">
        <f t="shared" si="938"/>
        <v/>
      </c>
      <c r="G2647" s="1037" t="str">
        <f t="shared" si="933"/>
        <v/>
      </c>
      <c r="H2647" s="225"/>
      <c r="I2647" s="1013"/>
      <c r="J2647" s="1013"/>
      <c r="K2647" s="1028"/>
      <c r="L2647" s="1035" t="str">
        <f t="shared" si="937"/>
        <v/>
      </c>
      <c r="S2647" s="498"/>
      <c r="AJ2647" s="498"/>
      <c r="AM2647" s="498">
        <f t="shared" si="918"/>
        <v>0</v>
      </c>
      <c r="AN2647" s="498">
        <f t="shared" si="919"/>
        <v>0</v>
      </c>
      <c r="AO2647" s="498">
        <f t="shared" si="920"/>
        <v>0</v>
      </c>
      <c r="AP2647" s="498">
        <f t="shared" si="939"/>
        <v>0</v>
      </c>
      <c r="AQ2647" s="498">
        <f t="shared" si="934"/>
        <v>0</v>
      </c>
      <c r="AU2647" s="498">
        <f t="shared" si="921"/>
        <v>0</v>
      </c>
      <c r="AV2647" s="498">
        <f t="shared" si="922"/>
        <v>0</v>
      </c>
      <c r="AW2647" s="498">
        <f t="shared" si="923"/>
        <v>0</v>
      </c>
      <c r="AX2647" s="498">
        <f t="shared" si="924"/>
        <v>0</v>
      </c>
      <c r="AY2647" s="498">
        <f t="shared" si="925"/>
        <v>0</v>
      </c>
      <c r="BB2647" s="498" t="str">
        <f t="shared" si="926"/>
        <v/>
      </c>
      <c r="BC2647" s="743" t="str">
        <f t="shared" si="927"/>
        <v/>
      </c>
      <c r="BD2647" s="743" t="str">
        <f t="shared" si="928"/>
        <v/>
      </c>
      <c r="BE2647" s="743" t="str">
        <f>IF(D2647="","",VLOOKUP(D2647,'General Basis'!$J$39:$K$46,2,0))</f>
        <v/>
      </c>
      <c r="BF2647" s="744" t="str">
        <f>IF(D2647="","",VLOOKUP(D2647,'General Basis'!$J$39:$L$46,3,0))</f>
        <v/>
      </c>
      <c r="BG2647" s="744" t="str">
        <f t="shared" si="935"/>
        <v/>
      </c>
      <c r="BH2647" s="744" t="str">
        <f>IF(G2647="","",IF(BF2647="Abu Dhabi",IF(G2647&lt;18,'General Basis'!$C$39,IF(G2647&lt;41,'General Basis'!$C$40,IF(G2647&lt;60,'General Basis'!$C$41,IF(G2647&lt;65,'General Basis'!$C$42,'General Basis'!$C$43)))),IF(G2647&lt;11,'General Basis'!$B$39,IF(G2647&lt;18,'General Basis'!$B$40,IF(G2647&lt;26,'General Basis'!$B$41,IF(G2647&lt;31,'General Basis'!$B$42,IF(G2647&lt;36,'General Basis'!$B$43,IF(G2647&lt;41,'General Basis'!$B$44,IF(G2647&lt;46,'General Basis'!$B$45,IF(G2647&lt;51,'General Basis'!$B$46,IF(G2647&lt;56,'General Basis'!$B$47,IF(G2647&lt;60,'General Basis'!$B$48,IF(G2647&lt;65,'General Basis'!$B$49,'General Basis'!$B$50)))))))))))))</f>
        <v/>
      </c>
      <c r="BI2647" s="744" t="str">
        <f t="shared" si="929"/>
        <v/>
      </c>
      <c r="BJ2647" s="747" t="str">
        <f t="shared" si="936"/>
        <v/>
      </c>
      <c r="BK2647" s="498" t="str">
        <f t="shared" si="930"/>
        <v/>
      </c>
      <c r="BL2647" s="498" t="str">
        <f t="shared" si="931"/>
        <v/>
      </c>
    </row>
    <row r="2648" spans="1:64" x14ac:dyDescent="0.25">
      <c r="A2648" s="762">
        <f t="shared" si="932"/>
        <v>2643</v>
      </c>
      <c r="B2648" s="229"/>
      <c r="C2648" s="223"/>
      <c r="D2648" s="224"/>
      <c r="E2648" s="225"/>
      <c r="F2648" s="1036" t="str">
        <f t="shared" si="938"/>
        <v/>
      </c>
      <c r="G2648" s="1037" t="str">
        <f t="shared" si="933"/>
        <v/>
      </c>
      <c r="H2648" s="225"/>
      <c r="I2648" s="1013"/>
      <c r="J2648" s="1013"/>
      <c r="K2648" s="1028"/>
      <c r="L2648" s="1035" t="str">
        <f t="shared" si="937"/>
        <v/>
      </c>
      <c r="S2648" s="498"/>
      <c r="AJ2648" s="498"/>
      <c r="AM2648" s="498">
        <f t="shared" si="918"/>
        <v>0</v>
      </c>
      <c r="AN2648" s="498">
        <f t="shared" si="919"/>
        <v>0</v>
      </c>
      <c r="AO2648" s="498">
        <f t="shared" si="920"/>
        <v>0</v>
      </c>
      <c r="AP2648" s="498">
        <f t="shared" si="939"/>
        <v>0</v>
      </c>
      <c r="AQ2648" s="498">
        <f t="shared" si="934"/>
        <v>0</v>
      </c>
      <c r="AU2648" s="498">
        <f t="shared" si="921"/>
        <v>0</v>
      </c>
      <c r="AV2648" s="498">
        <f t="shared" si="922"/>
        <v>0</v>
      </c>
      <c r="AW2648" s="498">
        <f t="shared" si="923"/>
        <v>0</v>
      </c>
      <c r="AX2648" s="498">
        <f t="shared" si="924"/>
        <v>0</v>
      </c>
      <c r="AY2648" s="498">
        <f t="shared" si="925"/>
        <v>0</v>
      </c>
      <c r="BB2648" s="498" t="str">
        <f t="shared" si="926"/>
        <v/>
      </c>
      <c r="BC2648" s="743" t="str">
        <f t="shared" si="927"/>
        <v/>
      </c>
      <c r="BD2648" s="743" t="str">
        <f t="shared" si="928"/>
        <v/>
      </c>
      <c r="BE2648" s="743" t="str">
        <f>IF(D2648="","",VLOOKUP(D2648,'General Basis'!$J$39:$K$46,2,0))</f>
        <v/>
      </c>
      <c r="BF2648" s="744" t="str">
        <f>IF(D2648="","",VLOOKUP(D2648,'General Basis'!$J$39:$L$46,3,0))</f>
        <v/>
      </c>
      <c r="BG2648" s="744" t="str">
        <f t="shared" si="935"/>
        <v/>
      </c>
      <c r="BH2648" s="744" t="str">
        <f>IF(G2648="","",IF(BF2648="Abu Dhabi",IF(G2648&lt;18,'General Basis'!$C$39,IF(G2648&lt;41,'General Basis'!$C$40,IF(G2648&lt;60,'General Basis'!$C$41,IF(G2648&lt;65,'General Basis'!$C$42,'General Basis'!$C$43)))),IF(G2648&lt;11,'General Basis'!$B$39,IF(G2648&lt;18,'General Basis'!$B$40,IF(G2648&lt;26,'General Basis'!$B$41,IF(G2648&lt;31,'General Basis'!$B$42,IF(G2648&lt;36,'General Basis'!$B$43,IF(G2648&lt;41,'General Basis'!$B$44,IF(G2648&lt;46,'General Basis'!$B$45,IF(G2648&lt;51,'General Basis'!$B$46,IF(G2648&lt;56,'General Basis'!$B$47,IF(G2648&lt;60,'General Basis'!$B$48,IF(G2648&lt;65,'General Basis'!$B$49,'General Basis'!$B$50)))))))))))))</f>
        <v/>
      </c>
      <c r="BI2648" s="744" t="str">
        <f t="shared" si="929"/>
        <v/>
      </c>
      <c r="BJ2648" s="747" t="str">
        <f t="shared" si="936"/>
        <v/>
      </c>
      <c r="BK2648" s="498" t="str">
        <f t="shared" si="930"/>
        <v/>
      </c>
      <c r="BL2648" s="498" t="str">
        <f t="shared" si="931"/>
        <v/>
      </c>
    </row>
    <row r="2649" spans="1:64" x14ac:dyDescent="0.25">
      <c r="A2649" s="762">
        <f t="shared" si="932"/>
        <v>2644</v>
      </c>
      <c r="B2649" s="229"/>
      <c r="C2649" s="223"/>
      <c r="D2649" s="224"/>
      <c r="E2649" s="225"/>
      <c r="F2649" s="1036" t="str">
        <f t="shared" si="938"/>
        <v/>
      </c>
      <c r="G2649" s="1037" t="str">
        <f t="shared" si="933"/>
        <v/>
      </c>
      <c r="H2649" s="225"/>
      <c r="I2649" s="1013"/>
      <c r="J2649" s="1013"/>
      <c r="K2649" s="1028"/>
      <c r="L2649" s="1035" t="str">
        <f t="shared" si="937"/>
        <v/>
      </c>
      <c r="S2649" s="498"/>
      <c r="AJ2649" s="498"/>
      <c r="AM2649" s="498">
        <f t="shared" si="918"/>
        <v>0</v>
      </c>
      <c r="AN2649" s="498">
        <f t="shared" si="919"/>
        <v>0</v>
      </c>
      <c r="AO2649" s="498">
        <f t="shared" si="920"/>
        <v>0</v>
      </c>
      <c r="AP2649" s="498">
        <f t="shared" si="939"/>
        <v>0</v>
      </c>
      <c r="AQ2649" s="498">
        <f t="shared" si="934"/>
        <v>0</v>
      </c>
      <c r="AU2649" s="498">
        <f t="shared" si="921"/>
        <v>0</v>
      </c>
      <c r="AV2649" s="498">
        <f t="shared" si="922"/>
        <v>0</v>
      </c>
      <c r="AW2649" s="498">
        <f t="shared" si="923"/>
        <v>0</v>
      </c>
      <c r="AX2649" s="498">
        <f t="shared" si="924"/>
        <v>0</v>
      </c>
      <c r="AY2649" s="498">
        <f t="shared" si="925"/>
        <v>0</v>
      </c>
      <c r="BB2649" s="498" t="str">
        <f t="shared" si="926"/>
        <v/>
      </c>
      <c r="BC2649" s="743" t="str">
        <f t="shared" si="927"/>
        <v/>
      </c>
      <c r="BD2649" s="743" t="str">
        <f t="shared" si="928"/>
        <v/>
      </c>
      <c r="BE2649" s="743" t="str">
        <f>IF(D2649="","",VLOOKUP(D2649,'General Basis'!$J$39:$K$46,2,0))</f>
        <v/>
      </c>
      <c r="BF2649" s="744" t="str">
        <f>IF(D2649="","",VLOOKUP(D2649,'General Basis'!$J$39:$L$46,3,0))</f>
        <v/>
      </c>
      <c r="BG2649" s="744" t="str">
        <f t="shared" si="935"/>
        <v/>
      </c>
      <c r="BH2649" s="744" t="str">
        <f>IF(G2649="","",IF(BF2649="Abu Dhabi",IF(G2649&lt;18,'General Basis'!$C$39,IF(G2649&lt;41,'General Basis'!$C$40,IF(G2649&lt;60,'General Basis'!$C$41,IF(G2649&lt;65,'General Basis'!$C$42,'General Basis'!$C$43)))),IF(G2649&lt;11,'General Basis'!$B$39,IF(G2649&lt;18,'General Basis'!$B$40,IF(G2649&lt;26,'General Basis'!$B$41,IF(G2649&lt;31,'General Basis'!$B$42,IF(G2649&lt;36,'General Basis'!$B$43,IF(G2649&lt;41,'General Basis'!$B$44,IF(G2649&lt;46,'General Basis'!$B$45,IF(G2649&lt;51,'General Basis'!$B$46,IF(G2649&lt;56,'General Basis'!$B$47,IF(G2649&lt;60,'General Basis'!$B$48,IF(G2649&lt;65,'General Basis'!$B$49,'General Basis'!$B$50)))))))))))))</f>
        <v/>
      </c>
      <c r="BI2649" s="744" t="str">
        <f t="shared" si="929"/>
        <v/>
      </c>
      <c r="BJ2649" s="747" t="str">
        <f t="shared" si="936"/>
        <v/>
      </c>
      <c r="BK2649" s="498" t="str">
        <f t="shared" si="930"/>
        <v/>
      </c>
      <c r="BL2649" s="498" t="str">
        <f t="shared" si="931"/>
        <v/>
      </c>
    </row>
    <row r="2650" spans="1:64" x14ac:dyDescent="0.25">
      <c r="A2650" s="762">
        <f t="shared" si="932"/>
        <v>2645</v>
      </c>
      <c r="B2650" s="229"/>
      <c r="C2650" s="223"/>
      <c r="D2650" s="224"/>
      <c r="E2650" s="225"/>
      <c r="F2650" s="1036" t="str">
        <f t="shared" si="938"/>
        <v/>
      </c>
      <c r="G2650" s="1037" t="str">
        <f t="shared" si="933"/>
        <v/>
      </c>
      <c r="H2650" s="225"/>
      <c r="I2650" s="1013"/>
      <c r="J2650" s="1013"/>
      <c r="K2650" s="1028"/>
      <c r="L2650" s="1035" t="str">
        <f t="shared" si="937"/>
        <v/>
      </c>
      <c r="S2650" s="498"/>
      <c r="AJ2650" s="498"/>
      <c r="AM2650" s="498">
        <f t="shared" si="918"/>
        <v>0</v>
      </c>
      <c r="AN2650" s="498">
        <f t="shared" si="919"/>
        <v>0</v>
      </c>
      <c r="AO2650" s="498">
        <f t="shared" si="920"/>
        <v>0</v>
      </c>
      <c r="AP2650" s="498">
        <f t="shared" si="939"/>
        <v>0</v>
      </c>
      <c r="AQ2650" s="498">
        <f t="shared" si="934"/>
        <v>0</v>
      </c>
      <c r="AU2650" s="498">
        <f t="shared" si="921"/>
        <v>0</v>
      </c>
      <c r="AV2650" s="498">
        <f t="shared" si="922"/>
        <v>0</v>
      </c>
      <c r="AW2650" s="498">
        <f t="shared" si="923"/>
        <v>0</v>
      </c>
      <c r="AX2650" s="498">
        <f t="shared" si="924"/>
        <v>0</v>
      </c>
      <c r="AY2650" s="498">
        <f t="shared" si="925"/>
        <v>0</v>
      </c>
      <c r="BB2650" s="498" t="str">
        <f t="shared" si="926"/>
        <v/>
      </c>
      <c r="BC2650" s="743" t="str">
        <f t="shared" si="927"/>
        <v/>
      </c>
      <c r="BD2650" s="743" t="str">
        <f t="shared" si="928"/>
        <v/>
      </c>
      <c r="BE2650" s="743" t="str">
        <f>IF(D2650="","",VLOOKUP(D2650,'General Basis'!$J$39:$K$46,2,0))</f>
        <v/>
      </c>
      <c r="BF2650" s="744" t="str">
        <f>IF(D2650="","",VLOOKUP(D2650,'General Basis'!$J$39:$L$46,3,0))</f>
        <v/>
      </c>
      <c r="BG2650" s="744" t="str">
        <f t="shared" si="935"/>
        <v/>
      </c>
      <c r="BH2650" s="744" t="str">
        <f>IF(G2650="","",IF(BF2650="Abu Dhabi",IF(G2650&lt;18,'General Basis'!$C$39,IF(G2650&lt;41,'General Basis'!$C$40,IF(G2650&lt;60,'General Basis'!$C$41,IF(G2650&lt;65,'General Basis'!$C$42,'General Basis'!$C$43)))),IF(G2650&lt;11,'General Basis'!$B$39,IF(G2650&lt;18,'General Basis'!$B$40,IF(G2650&lt;26,'General Basis'!$B$41,IF(G2650&lt;31,'General Basis'!$B$42,IF(G2650&lt;36,'General Basis'!$B$43,IF(G2650&lt;41,'General Basis'!$B$44,IF(G2650&lt;46,'General Basis'!$B$45,IF(G2650&lt;51,'General Basis'!$B$46,IF(G2650&lt;56,'General Basis'!$B$47,IF(G2650&lt;60,'General Basis'!$B$48,IF(G2650&lt;65,'General Basis'!$B$49,'General Basis'!$B$50)))))))))))))</f>
        <v/>
      </c>
      <c r="BI2650" s="744" t="str">
        <f t="shared" si="929"/>
        <v/>
      </c>
      <c r="BJ2650" s="747" t="str">
        <f t="shared" si="936"/>
        <v/>
      </c>
      <c r="BK2650" s="498" t="str">
        <f t="shared" si="930"/>
        <v/>
      </c>
      <c r="BL2650" s="498" t="str">
        <f t="shared" si="931"/>
        <v/>
      </c>
    </row>
    <row r="2651" spans="1:64" x14ac:dyDescent="0.25">
      <c r="A2651" s="762">
        <f t="shared" si="932"/>
        <v>2646</v>
      </c>
      <c r="B2651" s="229"/>
      <c r="C2651" s="223"/>
      <c r="D2651" s="224"/>
      <c r="E2651" s="225"/>
      <c r="F2651" s="1036" t="str">
        <f t="shared" si="938"/>
        <v/>
      </c>
      <c r="G2651" s="1037" t="str">
        <f t="shared" si="933"/>
        <v/>
      </c>
      <c r="H2651" s="225"/>
      <c r="I2651" s="1013"/>
      <c r="J2651" s="1013"/>
      <c r="K2651" s="1028"/>
      <c r="L2651" s="1035" t="str">
        <f t="shared" si="937"/>
        <v/>
      </c>
      <c r="S2651" s="498"/>
      <c r="AJ2651" s="498"/>
      <c r="AM2651" s="498">
        <f t="shared" si="918"/>
        <v>0</v>
      </c>
      <c r="AN2651" s="498">
        <f t="shared" si="919"/>
        <v>0</v>
      </c>
      <c r="AO2651" s="498">
        <f t="shared" si="920"/>
        <v>0</v>
      </c>
      <c r="AP2651" s="498">
        <f t="shared" si="939"/>
        <v>0</v>
      </c>
      <c r="AQ2651" s="498">
        <f t="shared" si="934"/>
        <v>0</v>
      </c>
      <c r="AU2651" s="498">
        <f t="shared" si="921"/>
        <v>0</v>
      </c>
      <c r="AV2651" s="498">
        <f t="shared" si="922"/>
        <v>0</v>
      </c>
      <c r="AW2651" s="498">
        <f t="shared" si="923"/>
        <v>0</v>
      </c>
      <c r="AX2651" s="498">
        <f t="shared" si="924"/>
        <v>0</v>
      </c>
      <c r="AY2651" s="498">
        <f t="shared" si="925"/>
        <v>0</v>
      </c>
      <c r="BB2651" s="498" t="str">
        <f t="shared" si="926"/>
        <v/>
      </c>
      <c r="BC2651" s="743" t="str">
        <f t="shared" si="927"/>
        <v/>
      </c>
      <c r="BD2651" s="743" t="str">
        <f t="shared" si="928"/>
        <v/>
      </c>
      <c r="BE2651" s="743" t="str">
        <f>IF(D2651="","",VLOOKUP(D2651,'General Basis'!$J$39:$K$46,2,0))</f>
        <v/>
      </c>
      <c r="BF2651" s="744" t="str">
        <f>IF(D2651="","",VLOOKUP(D2651,'General Basis'!$J$39:$L$46,3,0))</f>
        <v/>
      </c>
      <c r="BG2651" s="744" t="str">
        <f t="shared" si="935"/>
        <v/>
      </c>
      <c r="BH2651" s="744" t="str">
        <f>IF(G2651="","",IF(BF2651="Abu Dhabi",IF(G2651&lt;18,'General Basis'!$C$39,IF(G2651&lt;41,'General Basis'!$C$40,IF(G2651&lt;60,'General Basis'!$C$41,IF(G2651&lt;65,'General Basis'!$C$42,'General Basis'!$C$43)))),IF(G2651&lt;11,'General Basis'!$B$39,IF(G2651&lt;18,'General Basis'!$B$40,IF(G2651&lt;26,'General Basis'!$B$41,IF(G2651&lt;31,'General Basis'!$B$42,IF(G2651&lt;36,'General Basis'!$B$43,IF(G2651&lt;41,'General Basis'!$B$44,IF(G2651&lt;46,'General Basis'!$B$45,IF(G2651&lt;51,'General Basis'!$B$46,IF(G2651&lt;56,'General Basis'!$B$47,IF(G2651&lt;60,'General Basis'!$B$48,IF(G2651&lt;65,'General Basis'!$B$49,'General Basis'!$B$50)))))))))))))</f>
        <v/>
      </c>
      <c r="BI2651" s="744" t="str">
        <f t="shared" si="929"/>
        <v/>
      </c>
      <c r="BJ2651" s="747" t="str">
        <f t="shared" si="936"/>
        <v/>
      </c>
      <c r="BK2651" s="498" t="str">
        <f t="shared" si="930"/>
        <v/>
      </c>
      <c r="BL2651" s="498" t="str">
        <f t="shared" si="931"/>
        <v/>
      </c>
    </row>
    <row r="2652" spans="1:64" x14ac:dyDescent="0.25">
      <c r="A2652" s="762">
        <f t="shared" si="932"/>
        <v>2647</v>
      </c>
      <c r="B2652" s="229"/>
      <c r="C2652" s="223"/>
      <c r="D2652" s="224"/>
      <c r="E2652" s="225"/>
      <c r="F2652" s="1036" t="str">
        <f t="shared" si="938"/>
        <v/>
      </c>
      <c r="G2652" s="1037" t="str">
        <f t="shared" si="933"/>
        <v/>
      </c>
      <c r="H2652" s="225"/>
      <c r="I2652" s="1013"/>
      <c r="J2652" s="1013"/>
      <c r="K2652" s="1028"/>
      <c r="L2652" s="1035" t="str">
        <f t="shared" si="937"/>
        <v/>
      </c>
      <c r="S2652" s="498"/>
      <c r="AJ2652" s="498"/>
      <c r="AM2652" s="498">
        <f t="shared" si="918"/>
        <v>0</v>
      </c>
      <c r="AN2652" s="498">
        <f t="shared" si="919"/>
        <v>0</v>
      </c>
      <c r="AO2652" s="498">
        <f t="shared" si="920"/>
        <v>0</v>
      </c>
      <c r="AP2652" s="498">
        <f t="shared" si="939"/>
        <v>0</v>
      </c>
      <c r="AQ2652" s="498">
        <f t="shared" si="934"/>
        <v>0</v>
      </c>
      <c r="AU2652" s="498">
        <f t="shared" si="921"/>
        <v>0</v>
      </c>
      <c r="AV2652" s="498">
        <f t="shared" si="922"/>
        <v>0</v>
      </c>
      <c r="AW2652" s="498">
        <f t="shared" si="923"/>
        <v>0</v>
      </c>
      <c r="AX2652" s="498">
        <f t="shared" si="924"/>
        <v>0</v>
      </c>
      <c r="AY2652" s="498">
        <f t="shared" si="925"/>
        <v>0</v>
      </c>
      <c r="BB2652" s="498" t="str">
        <f t="shared" si="926"/>
        <v/>
      </c>
      <c r="BC2652" s="743" t="str">
        <f t="shared" si="927"/>
        <v/>
      </c>
      <c r="BD2652" s="743" t="str">
        <f t="shared" si="928"/>
        <v/>
      </c>
      <c r="BE2652" s="743" t="str">
        <f>IF(D2652="","",VLOOKUP(D2652,'General Basis'!$J$39:$K$46,2,0))</f>
        <v/>
      </c>
      <c r="BF2652" s="744" t="str">
        <f>IF(D2652="","",VLOOKUP(D2652,'General Basis'!$J$39:$L$46,3,0))</f>
        <v/>
      </c>
      <c r="BG2652" s="744" t="str">
        <f t="shared" si="935"/>
        <v/>
      </c>
      <c r="BH2652" s="744" t="str">
        <f>IF(G2652="","",IF(BF2652="Abu Dhabi",IF(G2652&lt;18,'General Basis'!$C$39,IF(G2652&lt;41,'General Basis'!$C$40,IF(G2652&lt;60,'General Basis'!$C$41,IF(G2652&lt;65,'General Basis'!$C$42,'General Basis'!$C$43)))),IF(G2652&lt;11,'General Basis'!$B$39,IF(G2652&lt;18,'General Basis'!$B$40,IF(G2652&lt;26,'General Basis'!$B$41,IF(G2652&lt;31,'General Basis'!$B$42,IF(G2652&lt;36,'General Basis'!$B$43,IF(G2652&lt;41,'General Basis'!$B$44,IF(G2652&lt;46,'General Basis'!$B$45,IF(G2652&lt;51,'General Basis'!$B$46,IF(G2652&lt;56,'General Basis'!$B$47,IF(G2652&lt;60,'General Basis'!$B$48,IF(G2652&lt;65,'General Basis'!$B$49,'General Basis'!$B$50)))))))))))))</f>
        <v/>
      </c>
      <c r="BI2652" s="744" t="str">
        <f t="shared" si="929"/>
        <v/>
      </c>
      <c r="BJ2652" s="747" t="str">
        <f t="shared" si="936"/>
        <v/>
      </c>
      <c r="BK2652" s="498" t="str">
        <f t="shared" si="930"/>
        <v/>
      </c>
      <c r="BL2652" s="498" t="str">
        <f t="shared" si="931"/>
        <v/>
      </c>
    </row>
    <row r="2653" spans="1:64" x14ac:dyDescent="0.25">
      <c r="A2653" s="762">
        <f t="shared" si="932"/>
        <v>2648</v>
      </c>
      <c r="B2653" s="229"/>
      <c r="C2653" s="223"/>
      <c r="D2653" s="224"/>
      <c r="E2653" s="225"/>
      <c r="F2653" s="1036" t="str">
        <f t="shared" si="938"/>
        <v/>
      </c>
      <c r="G2653" s="1037" t="str">
        <f t="shared" si="933"/>
        <v/>
      </c>
      <c r="H2653" s="225"/>
      <c r="I2653" s="1013"/>
      <c r="J2653" s="1013"/>
      <c r="K2653" s="1028"/>
      <c r="L2653" s="1035" t="str">
        <f t="shared" si="937"/>
        <v/>
      </c>
      <c r="S2653" s="498"/>
      <c r="AJ2653" s="498"/>
      <c r="AM2653" s="498">
        <f t="shared" si="918"/>
        <v>0</v>
      </c>
      <c r="AN2653" s="498">
        <f t="shared" si="919"/>
        <v>0</v>
      </c>
      <c r="AO2653" s="498">
        <f t="shared" si="920"/>
        <v>0</v>
      </c>
      <c r="AP2653" s="498">
        <f t="shared" si="939"/>
        <v>0</v>
      </c>
      <c r="AQ2653" s="498">
        <f t="shared" si="934"/>
        <v>0</v>
      </c>
      <c r="AU2653" s="498">
        <f t="shared" si="921"/>
        <v>0</v>
      </c>
      <c r="AV2653" s="498">
        <f t="shared" si="922"/>
        <v>0</v>
      </c>
      <c r="AW2653" s="498">
        <f t="shared" si="923"/>
        <v>0</v>
      </c>
      <c r="AX2653" s="498">
        <f t="shared" si="924"/>
        <v>0</v>
      </c>
      <c r="AY2653" s="498">
        <f t="shared" si="925"/>
        <v>0</v>
      </c>
      <c r="BB2653" s="498" t="str">
        <f t="shared" si="926"/>
        <v/>
      </c>
      <c r="BC2653" s="743" t="str">
        <f t="shared" si="927"/>
        <v/>
      </c>
      <c r="BD2653" s="743" t="str">
        <f t="shared" si="928"/>
        <v/>
      </c>
      <c r="BE2653" s="743" t="str">
        <f>IF(D2653="","",VLOOKUP(D2653,'General Basis'!$J$39:$K$46,2,0))</f>
        <v/>
      </c>
      <c r="BF2653" s="744" t="str">
        <f>IF(D2653="","",VLOOKUP(D2653,'General Basis'!$J$39:$L$46,3,0))</f>
        <v/>
      </c>
      <c r="BG2653" s="744" t="str">
        <f t="shared" si="935"/>
        <v/>
      </c>
      <c r="BH2653" s="744" t="str">
        <f>IF(G2653="","",IF(BF2653="Abu Dhabi",IF(G2653&lt;18,'General Basis'!$C$39,IF(G2653&lt;41,'General Basis'!$C$40,IF(G2653&lt;60,'General Basis'!$C$41,IF(G2653&lt;65,'General Basis'!$C$42,'General Basis'!$C$43)))),IF(G2653&lt;11,'General Basis'!$B$39,IF(G2653&lt;18,'General Basis'!$B$40,IF(G2653&lt;26,'General Basis'!$B$41,IF(G2653&lt;31,'General Basis'!$B$42,IF(G2653&lt;36,'General Basis'!$B$43,IF(G2653&lt;41,'General Basis'!$B$44,IF(G2653&lt;46,'General Basis'!$B$45,IF(G2653&lt;51,'General Basis'!$B$46,IF(G2653&lt;56,'General Basis'!$B$47,IF(G2653&lt;60,'General Basis'!$B$48,IF(G2653&lt;65,'General Basis'!$B$49,'General Basis'!$B$50)))))))))))))</f>
        <v/>
      </c>
      <c r="BI2653" s="744" t="str">
        <f t="shared" si="929"/>
        <v/>
      </c>
      <c r="BJ2653" s="747" t="str">
        <f t="shared" si="936"/>
        <v/>
      </c>
      <c r="BK2653" s="498" t="str">
        <f t="shared" si="930"/>
        <v/>
      </c>
      <c r="BL2653" s="498" t="str">
        <f t="shared" si="931"/>
        <v/>
      </c>
    </row>
    <row r="2654" spans="1:64" x14ac:dyDescent="0.25">
      <c r="A2654" s="762">
        <f t="shared" si="932"/>
        <v>2649</v>
      </c>
      <c r="B2654" s="229"/>
      <c r="C2654" s="223"/>
      <c r="D2654" s="224"/>
      <c r="E2654" s="225"/>
      <c r="F2654" s="1036" t="str">
        <f t="shared" si="938"/>
        <v/>
      </c>
      <c r="G2654" s="1037" t="str">
        <f t="shared" si="933"/>
        <v/>
      </c>
      <c r="H2654" s="225"/>
      <c r="I2654" s="1013"/>
      <c r="J2654" s="1013"/>
      <c r="K2654" s="1028"/>
      <c r="L2654" s="1035" t="str">
        <f t="shared" si="937"/>
        <v/>
      </c>
      <c r="S2654" s="498"/>
      <c r="AJ2654" s="498"/>
      <c r="AM2654" s="498">
        <f t="shared" si="918"/>
        <v>0</v>
      </c>
      <c r="AN2654" s="498">
        <f t="shared" si="919"/>
        <v>0</v>
      </c>
      <c r="AO2654" s="498">
        <f t="shared" si="920"/>
        <v>0</v>
      </c>
      <c r="AP2654" s="498">
        <f t="shared" si="939"/>
        <v>0</v>
      </c>
      <c r="AQ2654" s="498">
        <f t="shared" si="934"/>
        <v>0</v>
      </c>
      <c r="AU2654" s="498">
        <f t="shared" si="921"/>
        <v>0</v>
      </c>
      <c r="AV2654" s="498">
        <f t="shared" si="922"/>
        <v>0</v>
      </c>
      <c r="AW2654" s="498">
        <f t="shared" si="923"/>
        <v>0</v>
      </c>
      <c r="AX2654" s="498">
        <f t="shared" si="924"/>
        <v>0</v>
      </c>
      <c r="AY2654" s="498">
        <f t="shared" si="925"/>
        <v>0</v>
      </c>
      <c r="BB2654" s="498" t="str">
        <f t="shared" si="926"/>
        <v/>
      </c>
      <c r="BC2654" s="743" t="str">
        <f t="shared" si="927"/>
        <v/>
      </c>
      <c r="BD2654" s="743" t="str">
        <f t="shared" si="928"/>
        <v/>
      </c>
      <c r="BE2654" s="743" t="str">
        <f>IF(D2654="","",VLOOKUP(D2654,'General Basis'!$J$39:$K$46,2,0))</f>
        <v/>
      </c>
      <c r="BF2654" s="744" t="str">
        <f>IF(D2654="","",VLOOKUP(D2654,'General Basis'!$J$39:$L$46,3,0))</f>
        <v/>
      </c>
      <c r="BG2654" s="744" t="str">
        <f t="shared" si="935"/>
        <v/>
      </c>
      <c r="BH2654" s="744" t="str">
        <f>IF(G2654="","",IF(BF2654="Abu Dhabi",IF(G2654&lt;18,'General Basis'!$C$39,IF(G2654&lt;41,'General Basis'!$C$40,IF(G2654&lt;60,'General Basis'!$C$41,IF(G2654&lt;65,'General Basis'!$C$42,'General Basis'!$C$43)))),IF(G2654&lt;11,'General Basis'!$B$39,IF(G2654&lt;18,'General Basis'!$B$40,IF(G2654&lt;26,'General Basis'!$B$41,IF(G2654&lt;31,'General Basis'!$B$42,IF(G2654&lt;36,'General Basis'!$B$43,IF(G2654&lt;41,'General Basis'!$B$44,IF(G2654&lt;46,'General Basis'!$B$45,IF(G2654&lt;51,'General Basis'!$B$46,IF(G2654&lt;56,'General Basis'!$B$47,IF(G2654&lt;60,'General Basis'!$B$48,IF(G2654&lt;65,'General Basis'!$B$49,'General Basis'!$B$50)))))))))))))</f>
        <v/>
      </c>
      <c r="BI2654" s="744" t="str">
        <f t="shared" si="929"/>
        <v/>
      </c>
      <c r="BJ2654" s="747" t="str">
        <f t="shared" si="936"/>
        <v/>
      </c>
      <c r="BK2654" s="498" t="str">
        <f t="shared" si="930"/>
        <v/>
      </c>
      <c r="BL2654" s="498" t="str">
        <f t="shared" si="931"/>
        <v/>
      </c>
    </row>
    <row r="2655" spans="1:64" x14ac:dyDescent="0.25">
      <c r="A2655" s="762">
        <f t="shared" si="932"/>
        <v>2650</v>
      </c>
      <c r="B2655" s="229"/>
      <c r="C2655" s="223"/>
      <c r="D2655" s="224"/>
      <c r="E2655" s="225"/>
      <c r="F2655" s="1036" t="str">
        <f t="shared" si="938"/>
        <v/>
      </c>
      <c r="G2655" s="1037" t="str">
        <f t="shared" si="933"/>
        <v/>
      </c>
      <c r="H2655" s="225"/>
      <c r="I2655" s="1013"/>
      <c r="J2655" s="1013"/>
      <c r="K2655" s="1028"/>
      <c r="L2655" s="1035" t="str">
        <f t="shared" si="937"/>
        <v/>
      </c>
      <c r="S2655" s="498"/>
      <c r="AJ2655" s="498"/>
      <c r="AM2655" s="498">
        <f t="shared" si="918"/>
        <v>0</v>
      </c>
      <c r="AN2655" s="498">
        <f t="shared" si="919"/>
        <v>0</v>
      </c>
      <c r="AO2655" s="498">
        <f t="shared" si="920"/>
        <v>0</v>
      </c>
      <c r="AP2655" s="498">
        <f t="shared" si="939"/>
        <v>0</v>
      </c>
      <c r="AQ2655" s="498">
        <f t="shared" si="934"/>
        <v>0</v>
      </c>
      <c r="AU2655" s="498">
        <f t="shared" si="921"/>
        <v>0</v>
      </c>
      <c r="AV2655" s="498">
        <f t="shared" si="922"/>
        <v>0</v>
      </c>
      <c r="AW2655" s="498">
        <f t="shared" si="923"/>
        <v>0</v>
      </c>
      <c r="AX2655" s="498">
        <f t="shared" si="924"/>
        <v>0</v>
      </c>
      <c r="AY2655" s="498">
        <f t="shared" si="925"/>
        <v>0</v>
      </c>
      <c r="BB2655" s="498" t="str">
        <f t="shared" si="926"/>
        <v/>
      </c>
      <c r="BC2655" s="743" t="str">
        <f t="shared" si="927"/>
        <v/>
      </c>
      <c r="BD2655" s="743" t="str">
        <f t="shared" si="928"/>
        <v/>
      </c>
      <c r="BE2655" s="743" t="str">
        <f>IF(D2655="","",VLOOKUP(D2655,'General Basis'!$J$39:$K$46,2,0))</f>
        <v/>
      </c>
      <c r="BF2655" s="744" t="str">
        <f>IF(D2655="","",VLOOKUP(D2655,'General Basis'!$J$39:$L$46,3,0))</f>
        <v/>
      </c>
      <c r="BG2655" s="744" t="str">
        <f t="shared" si="935"/>
        <v/>
      </c>
      <c r="BH2655" s="744" t="str">
        <f>IF(G2655="","",IF(BF2655="Abu Dhabi",IF(G2655&lt;18,'General Basis'!$C$39,IF(G2655&lt;41,'General Basis'!$C$40,IF(G2655&lt;60,'General Basis'!$C$41,IF(G2655&lt;65,'General Basis'!$C$42,'General Basis'!$C$43)))),IF(G2655&lt;11,'General Basis'!$B$39,IF(G2655&lt;18,'General Basis'!$B$40,IF(G2655&lt;26,'General Basis'!$B$41,IF(G2655&lt;31,'General Basis'!$B$42,IF(G2655&lt;36,'General Basis'!$B$43,IF(G2655&lt;41,'General Basis'!$B$44,IF(G2655&lt;46,'General Basis'!$B$45,IF(G2655&lt;51,'General Basis'!$B$46,IF(G2655&lt;56,'General Basis'!$B$47,IF(G2655&lt;60,'General Basis'!$B$48,IF(G2655&lt;65,'General Basis'!$B$49,'General Basis'!$B$50)))))))))))))</f>
        <v/>
      </c>
      <c r="BI2655" s="744" t="str">
        <f t="shared" si="929"/>
        <v/>
      </c>
      <c r="BJ2655" s="747" t="str">
        <f t="shared" si="936"/>
        <v/>
      </c>
      <c r="BK2655" s="498" t="str">
        <f t="shared" si="930"/>
        <v/>
      </c>
      <c r="BL2655" s="498" t="str">
        <f t="shared" si="931"/>
        <v/>
      </c>
    </row>
    <row r="2656" spans="1:64" x14ac:dyDescent="0.25">
      <c r="A2656" s="762">
        <f t="shared" si="932"/>
        <v>2651</v>
      </c>
      <c r="B2656" s="229"/>
      <c r="C2656" s="223"/>
      <c r="D2656" s="224"/>
      <c r="E2656" s="225"/>
      <c r="F2656" s="1036" t="str">
        <f t="shared" si="938"/>
        <v/>
      </c>
      <c r="G2656" s="1037" t="str">
        <f t="shared" si="933"/>
        <v/>
      </c>
      <c r="H2656" s="225"/>
      <c r="I2656" s="1013"/>
      <c r="J2656" s="1013"/>
      <c r="K2656" s="1028"/>
      <c r="L2656" s="1035" t="str">
        <f t="shared" si="937"/>
        <v/>
      </c>
      <c r="S2656" s="498"/>
      <c r="AJ2656" s="498"/>
      <c r="AM2656" s="498">
        <f t="shared" si="918"/>
        <v>0</v>
      </c>
      <c r="AN2656" s="498">
        <f t="shared" si="919"/>
        <v>0</v>
      </c>
      <c r="AO2656" s="498">
        <f t="shared" si="920"/>
        <v>0</v>
      </c>
      <c r="AP2656" s="498">
        <f t="shared" si="939"/>
        <v>0</v>
      </c>
      <c r="AQ2656" s="498">
        <f t="shared" si="934"/>
        <v>0</v>
      </c>
      <c r="AU2656" s="498">
        <f t="shared" si="921"/>
        <v>0</v>
      </c>
      <c r="AV2656" s="498">
        <f t="shared" si="922"/>
        <v>0</v>
      </c>
      <c r="AW2656" s="498">
        <f t="shared" si="923"/>
        <v>0</v>
      </c>
      <c r="AX2656" s="498">
        <f t="shared" si="924"/>
        <v>0</v>
      </c>
      <c r="AY2656" s="498">
        <f t="shared" si="925"/>
        <v>0</v>
      </c>
      <c r="BB2656" s="498" t="str">
        <f t="shared" si="926"/>
        <v/>
      </c>
      <c r="BC2656" s="743" t="str">
        <f t="shared" si="927"/>
        <v/>
      </c>
      <c r="BD2656" s="743" t="str">
        <f t="shared" si="928"/>
        <v/>
      </c>
      <c r="BE2656" s="743" t="str">
        <f>IF(D2656="","",VLOOKUP(D2656,'General Basis'!$J$39:$K$46,2,0))</f>
        <v/>
      </c>
      <c r="BF2656" s="744" t="str">
        <f>IF(D2656="","",VLOOKUP(D2656,'General Basis'!$J$39:$L$46,3,0))</f>
        <v/>
      </c>
      <c r="BG2656" s="744" t="str">
        <f t="shared" si="935"/>
        <v/>
      </c>
      <c r="BH2656" s="744" t="str">
        <f>IF(G2656="","",IF(BF2656="Abu Dhabi",IF(G2656&lt;18,'General Basis'!$C$39,IF(G2656&lt;41,'General Basis'!$C$40,IF(G2656&lt;60,'General Basis'!$C$41,IF(G2656&lt;65,'General Basis'!$C$42,'General Basis'!$C$43)))),IF(G2656&lt;11,'General Basis'!$B$39,IF(G2656&lt;18,'General Basis'!$B$40,IF(G2656&lt;26,'General Basis'!$B$41,IF(G2656&lt;31,'General Basis'!$B$42,IF(G2656&lt;36,'General Basis'!$B$43,IF(G2656&lt;41,'General Basis'!$B$44,IF(G2656&lt;46,'General Basis'!$B$45,IF(G2656&lt;51,'General Basis'!$B$46,IF(G2656&lt;56,'General Basis'!$B$47,IF(G2656&lt;60,'General Basis'!$B$48,IF(G2656&lt;65,'General Basis'!$B$49,'General Basis'!$B$50)))))))))))))</f>
        <v/>
      </c>
      <c r="BI2656" s="744" t="str">
        <f t="shared" si="929"/>
        <v/>
      </c>
      <c r="BJ2656" s="747" t="str">
        <f t="shared" si="936"/>
        <v/>
      </c>
      <c r="BK2656" s="498" t="str">
        <f t="shared" si="930"/>
        <v/>
      </c>
      <c r="BL2656" s="498" t="str">
        <f t="shared" si="931"/>
        <v/>
      </c>
    </row>
    <row r="2657" spans="1:64" x14ac:dyDescent="0.25">
      <c r="A2657" s="762">
        <f t="shared" si="932"/>
        <v>2652</v>
      </c>
      <c r="B2657" s="229"/>
      <c r="C2657" s="223"/>
      <c r="D2657" s="224"/>
      <c r="E2657" s="225"/>
      <c r="F2657" s="1036" t="str">
        <f t="shared" si="938"/>
        <v/>
      </c>
      <c r="G2657" s="1037" t="str">
        <f t="shared" si="933"/>
        <v/>
      </c>
      <c r="H2657" s="225"/>
      <c r="I2657" s="1013"/>
      <c r="J2657" s="1013"/>
      <c r="K2657" s="1028"/>
      <c r="L2657" s="1035" t="str">
        <f t="shared" si="937"/>
        <v/>
      </c>
      <c r="S2657" s="498"/>
      <c r="AJ2657" s="498"/>
      <c r="AM2657" s="498">
        <f t="shared" si="918"/>
        <v>0</v>
      </c>
      <c r="AN2657" s="498">
        <f t="shared" si="919"/>
        <v>0</v>
      </c>
      <c r="AO2657" s="498">
        <f t="shared" si="920"/>
        <v>0</v>
      </c>
      <c r="AP2657" s="498">
        <f t="shared" si="939"/>
        <v>0</v>
      </c>
      <c r="AQ2657" s="498">
        <f t="shared" si="934"/>
        <v>0</v>
      </c>
      <c r="AU2657" s="498">
        <f t="shared" si="921"/>
        <v>0</v>
      </c>
      <c r="AV2657" s="498">
        <f t="shared" si="922"/>
        <v>0</v>
      </c>
      <c r="AW2657" s="498">
        <f t="shared" si="923"/>
        <v>0</v>
      </c>
      <c r="AX2657" s="498">
        <f t="shared" si="924"/>
        <v>0</v>
      </c>
      <c r="AY2657" s="498">
        <f t="shared" si="925"/>
        <v>0</v>
      </c>
      <c r="BB2657" s="498" t="str">
        <f t="shared" si="926"/>
        <v/>
      </c>
      <c r="BC2657" s="743" t="str">
        <f t="shared" si="927"/>
        <v/>
      </c>
      <c r="BD2657" s="743" t="str">
        <f t="shared" si="928"/>
        <v/>
      </c>
      <c r="BE2657" s="743" t="str">
        <f>IF(D2657="","",VLOOKUP(D2657,'General Basis'!$J$39:$K$46,2,0))</f>
        <v/>
      </c>
      <c r="BF2657" s="744" t="str">
        <f>IF(D2657="","",VLOOKUP(D2657,'General Basis'!$J$39:$L$46,3,0))</f>
        <v/>
      </c>
      <c r="BG2657" s="744" t="str">
        <f t="shared" si="935"/>
        <v/>
      </c>
      <c r="BH2657" s="744" t="str">
        <f>IF(G2657="","",IF(BF2657="Abu Dhabi",IF(G2657&lt;18,'General Basis'!$C$39,IF(G2657&lt;41,'General Basis'!$C$40,IF(G2657&lt;60,'General Basis'!$C$41,IF(G2657&lt;65,'General Basis'!$C$42,'General Basis'!$C$43)))),IF(G2657&lt;11,'General Basis'!$B$39,IF(G2657&lt;18,'General Basis'!$B$40,IF(G2657&lt;26,'General Basis'!$B$41,IF(G2657&lt;31,'General Basis'!$B$42,IF(G2657&lt;36,'General Basis'!$B$43,IF(G2657&lt;41,'General Basis'!$B$44,IF(G2657&lt;46,'General Basis'!$B$45,IF(G2657&lt;51,'General Basis'!$B$46,IF(G2657&lt;56,'General Basis'!$B$47,IF(G2657&lt;60,'General Basis'!$B$48,IF(G2657&lt;65,'General Basis'!$B$49,'General Basis'!$B$50)))))))))))))</f>
        <v/>
      </c>
      <c r="BI2657" s="744" t="str">
        <f t="shared" si="929"/>
        <v/>
      </c>
      <c r="BJ2657" s="747" t="str">
        <f t="shared" si="936"/>
        <v/>
      </c>
      <c r="BK2657" s="498" t="str">
        <f t="shared" si="930"/>
        <v/>
      </c>
      <c r="BL2657" s="498" t="str">
        <f t="shared" si="931"/>
        <v/>
      </c>
    </row>
    <row r="2658" spans="1:64" x14ac:dyDescent="0.25">
      <c r="A2658" s="762">
        <f t="shared" si="932"/>
        <v>2653</v>
      </c>
      <c r="B2658" s="229"/>
      <c r="C2658" s="223"/>
      <c r="D2658" s="224"/>
      <c r="E2658" s="225"/>
      <c r="F2658" s="1036" t="str">
        <f t="shared" si="938"/>
        <v/>
      </c>
      <c r="G2658" s="1037" t="str">
        <f t="shared" si="933"/>
        <v/>
      </c>
      <c r="H2658" s="225"/>
      <c r="I2658" s="1013"/>
      <c r="J2658" s="1013"/>
      <c r="K2658" s="1028"/>
      <c r="L2658" s="1035" t="str">
        <f t="shared" si="937"/>
        <v/>
      </c>
      <c r="S2658" s="498"/>
      <c r="AJ2658" s="498"/>
      <c r="AM2658" s="498">
        <f t="shared" si="918"/>
        <v>0</v>
      </c>
      <c r="AN2658" s="498">
        <f t="shared" si="919"/>
        <v>0</v>
      </c>
      <c r="AO2658" s="498">
        <f t="shared" si="920"/>
        <v>0</v>
      </c>
      <c r="AP2658" s="498">
        <f t="shared" si="939"/>
        <v>0</v>
      </c>
      <c r="AQ2658" s="498">
        <f t="shared" si="934"/>
        <v>0</v>
      </c>
      <c r="AU2658" s="498">
        <f t="shared" si="921"/>
        <v>0</v>
      </c>
      <c r="AV2658" s="498">
        <f t="shared" si="922"/>
        <v>0</v>
      </c>
      <c r="AW2658" s="498">
        <f t="shared" si="923"/>
        <v>0</v>
      </c>
      <c r="AX2658" s="498">
        <f t="shared" si="924"/>
        <v>0</v>
      </c>
      <c r="AY2658" s="498">
        <f t="shared" si="925"/>
        <v>0</v>
      </c>
      <c r="BB2658" s="498" t="str">
        <f t="shared" si="926"/>
        <v/>
      </c>
      <c r="BC2658" s="743" t="str">
        <f t="shared" si="927"/>
        <v/>
      </c>
      <c r="BD2658" s="743" t="str">
        <f t="shared" si="928"/>
        <v/>
      </c>
      <c r="BE2658" s="743" t="str">
        <f>IF(D2658="","",VLOOKUP(D2658,'General Basis'!$J$39:$K$46,2,0))</f>
        <v/>
      </c>
      <c r="BF2658" s="744" t="str">
        <f>IF(D2658="","",VLOOKUP(D2658,'General Basis'!$J$39:$L$46,3,0))</f>
        <v/>
      </c>
      <c r="BG2658" s="744" t="str">
        <f t="shared" si="935"/>
        <v/>
      </c>
      <c r="BH2658" s="744" t="str">
        <f>IF(G2658="","",IF(BF2658="Abu Dhabi",IF(G2658&lt;18,'General Basis'!$C$39,IF(G2658&lt;41,'General Basis'!$C$40,IF(G2658&lt;60,'General Basis'!$C$41,IF(G2658&lt;65,'General Basis'!$C$42,'General Basis'!$C$43)))),IF(G2658&lt;11,'General Basis'!$B$39,IF(G2658&lt;18,'General Basis'!$B$40,IF(G2658&lt;26,'General Basis'!$B$41,IF(G2658&lt;31,'General Basis'!$B$42,IF(G2658&lt;36,'General Basis'!$B$43,IF(G2658&lt;41,'General Basis'!$B$44,IF(G2658&lt;46,'General Basis'!$B$45,IF(G2658&lt;51,'General Basis'!$B$46,IF(G2658&lt;56,'General Basis'!$B$47,IF(G2658&lt;60,'General Basis'!$B$48,IF(G2658&lt;65,'General Basis'!$B$49,'General Basis'!$B$50)))))))))))))</f>
        <v/>
      </c>
      <c r="BI2658" s="744" t="str">
        <f t="shared" si="929"/>
        <v/>
      </c>
      <c r="BJ2658" s="747" t="str">
        <f t="shared" si="936"/>
        <v/>
      </c>
      <c r="BK2658" s="498" t="str">
        <f t="shared" si="930"/>
        <v/>
      </c>
      <c r="BL2658" s="498" t="str">
        <f t="shared" si="931"/>
        <v/>
      </c>
    </row>
    <row r="2659" spans="1:64" x14ac:dyDescent="0.25">
      <c r="A2659" s="762">
        <f t="shared" si="932"/>
        <v>2654</v>
      </c>
      <c r="B2659" s="229"/>
      <c r="C2659" s="223"/>
      <c r="D2659" s="224"/>
      <c r="E2659" s="225"/>
      <c r="F2659" s="1036" t="str">
        <f t="shared" si="938"/>
        <v/>
      </c>
      <c r="G2659" s="1037" t="str">
        <f t="shared" si="933"/>
        <v/>
      </c>
      <c r="H2659" s="225"/>
      <c r="I2659" s="1013"/>
      <c r="J2659" s="1013"/>
      <c r="K2659" s="1028"/>
      <c r="L2659" s="1035" t="str">
        <f t="shared" si="937"/>
        <v/>
      </c>
      <c r="S2659" s="498"/>
      <c r="AJ2659" s="498"/>
      <c r="AM2659" s="498">
        <f t="shared" si="918"/>
        <v>0</v>
      </c>
      <c r="AN2659" s="498">
        <f t="shared" si="919"/>
        <v>0</v>
      </c>
      <c r="AO2659" s="498">
        <f t="shared" si="920"/>
        <v>0</v>
      </c>
      <c r="AP2659" s="498">
        <f t="shared" si="939"/>
        <v>0</v>
      </c>
      <c r="AQ2659" s="498">
        <f t="shared" si="934"/>
        <v>0</v>
      </c>
      <c r="AU2659" s="498">
        <f t="shared" si="921"/>
        <v>0</v>
      </c>
      <c r="AV2659" s="498">
        <f t="shared" si="922"/>
        <v>0</v>
      </c>
      <c r="AW2659" s="498">
        <f t="shared" si="923"/>
        <v>0</v>
      </c>
      <c r="AX2659" s="498">
        <f t="shared" si="924"/>
        <v>0</v>
      </c>
      <c r="AY2659" s="498">
        <f t="shared" si="925"/>
        <v>0</v>
      </c>
      <c r="BB2659" s="498" t="str">
        <f t="shared" si="926"/>
        <v/>
      </c>
      <c r="BC2659" s="743" t="str">
        <f t="shared" si="927"/>
        <v/>
      </c>
      <c r="BD2659" s="743" t="str">
        <f t="shared" si="928"/>
        <v/>
      </c>
      <c r="BE2659" s="743" t="str">
        <f>IF(D2659="","",VLOOKUP(D2659,'General Basis'!$J$39:$K$46,2,0))</f>
        <v/>
      </c>
      <c r="BF2659" s="744" t="str">
        <f>IF(D2659="","",VLOOKUP(D2659,'General Basis'!$J$39:$L$46,3,0))</f>
        <v/>
      </c>
      <c r="BG2659" s="744" t="str">
        <f t="shared" si="935"/>
        <v/>
      </c>
      <c r="BH2659" s="744" t="str">
        <f>IF(G2659="","",IF(BF2659="Abu Dhabi",IF(G2659&lt;18,'General Basis'!$C$39,IF(G2659&lt;41,'General Basis'!$C$40,IF(G2659&lt;60,'General Basis'!$C$41,IF(G2659&lt;65,'General Basis'!$C$42,'General Basis'!$C$43)))),IF(G2659&lt;11,'General Basis'!$B$39,IF(G2659&lt;18,'General Basis'!$B$40,IF(G2659&lt;26,'General Basis'!$B$41,IF(G2659&lt;31,'General Basis'!$B$42,IF(G2659&lt;36,'General Basis'!$B$43,IF(G2659&lt;41,'General Basis'!$B$44,IF(G2659&lt;46,'General Basis'!$B$45,IF(G2659&lt;51,'General Basis'!$B$46,IF(G2659&lt;56,'General Basis'!$B$47,IF(G2659&lt;60,'General Basis'!$B$48,IF(G2659&lt;65,'General Basis'!$B$49,'General Basis'!$B$50)))))))))))))</f>
        <v/>
      </c>
      <c r="BI2659" s="744" t="str">
        <f t="shared" si="929"/>
        <v/>
      </c>
      <c r="BJ2659" s="747" t="str">
        <f t="shared" si="936"/>
        <v/>
      </c>
      <c r="BK2659" s="498" t="str">
        <f t="shared" si="930"/>
        <v/>
      </c>
      <c r="BL2659" s="498" t="str">
        <f t="shared" si="931"/>
        <v/>
      </c>
    </row>
    <row r="2660" spans="1:64" x14ac:dyDescent="0.25">
      <c r="A2660" s="762">
        <f t="shared" si="932"/>
        <v>2655</v>
      </c>
      <c r="B2660" s="229"/>
      <c r="C2660" s="223"/>
      <c r="D2660" s="224"/>
      <c r="E2660" s="225"/>
      <c r="F2660" s="1036" t="str">
        <f t="shared" si="938"/>
        <v/>
      </c>
      <c r="G2660" s="1037" t="str">
        <f t="shared" si="933"/>
        <v/>
      </c>
      <c r="H2660" s="225"/>
      <c r="I2660" s="1013"/>
      <c r="J2660" s="1013"/>
      <c r="K2660" s="1028"/>
      <c r="L2660" s="1035" t="str">
        <f t="shared" si="937"/>
        <v/>
      </c>
      <c r="S2660" s="498"/>
      <c r="AJ2660" s="498"/>
      <c r="AM2660" s="498">
        <f t="shared" si="918"/>
        <v>0</v>
      </c>
      <c r="AN2660" s="498">
        <f t="shared" si="919"/>
        <v>0</v>
      </c>
      <c r="AO2660" s="498">
        <f t="shared" si="920"/>
        <v>0</v>
      </c>
      <c r="AP2660" s="498">
        <f t="shared" si="939"/>
        <v>0</v>
      </c>
      <c r="AQ2660" s="498">
        <f t="shared" si="934"/>
        <v>0</v>
      </c>
      <c r="AU2660" s="498">
        <f t="shared" si="921"/>
        <v>0</v>
      </c>
      <c r="AV2660" s="498">
        <f t="shared" si="922"/>
        <v>0</v>
      </c>
      <c r="AW2660" s="498">
        <f t="shared" si="923"/>
        <v>0</v>
      </c>
      <c r="AX2660" s="498">
        <f t="shared" si="924"/>
        <v>0</v>
      </c>
      <c r="AY2660" s="498">
        <f t="shared" si="925"/>
        <v>0</v>
      </c>
      <c r="BB2660" s="498" t="str">
        <f t="shared" si="926"/>
        <v/>
      </c>
      <c r="BC2660" s="743" t="str">
        <f t="shared" si="927"/>
        <v/>
      </c>
      <c r="BD2660" s="743" t="str">
        <f t="shared" si="928"/>
        <v/>
      </c>
      <c r="BE2660" s="743" t="str">
        <f>IF(D2660="","",VLOOKUP(D2660,'General Basis'!$J$39:$K$46,2,0))</f>
        <v/>
      </c>
      <c r="BF2660" s="744" t="str">
        <f>IF(D2660="","",VLOOKUP(D2660,'General Basis'!$J$39:$L$46,3,0))</f>
        <v/>
      </c>
      <c r="BG2660" s="744" t="str">
        <f t="shared" si="935"/>
        <v/>
      </c>
      <c r="BH2660" s="744" t="str">
        <f>IF(G2660="","",IF(BF2660="Abu Dhabi",IF(G2660&lt;18,'General Basis'!$C$39,IF(G2660&lt;41,'General Basis'!$C$40,IF(G2660&lt;60,'General Basis'!$C$41,IF(G2660&lt;65,'General Basis'!$C$42,'General Basis'!$C$43)))),IF(G2660&lt;11,'General Basis'!$B$39,IF(G2660&lt;18,'General Basis'!$B$40,IF(G2660&lt;26,'General Basis'!$B$41,IF(G2660&lt;31,'General Basis'!$B$42,IF(G2660&lt;36,'General Basis'!$B$43,IF(G2660&lt;41,'General Basis'!$B$44,IF(G2660&lt;46,'General Basis'!$B$45,IF(G2660&lt;51,'General Basis'!$B$46,IF(G2660&lt;56,'General Basis'!$B$47,IF(G2660&lt;60,'General Basis'!$B$48,IF(G2660&lt;65,'General Basis'!$B$49,'General Basis'!$B$50)))))))))))))</f>
        <v/>
      </c>
      <c r="BI2660" s="744" t="str">
        <f t="shared" si="929"/>
        <v/>
      </c>
      <c r="BJ2660" s="747" t="str">
        <f t="shared" si="936"/>
        <v/>
      </c>
      <c r="BK2660" s="498" t="str">
        <f t="shared" si="930"/>
        <v/>
      </c>
      <c r="BL2660" s="498" t="str">
        <f t="shared" si="931"/>
        <v/>
      </c>
    </row>
    <row r="2661" spans="1:64" x14ac:dyDescent="0.25">
      <c r="A2661" s="762">
        <f t="shared" si="932"/>
        <v>2656</v>
      </c>
      <c r="B2661" s="229"/>
      <c r="C2661" s="223"/>
      <c r="D2661" s="224"/>
      <c r="E2661" s="225"/>
      <c r="F2661" s="1036" t="str">
        <f t="shared" si="938"/>
        <v/>
      </c>
      <c r="G2661" s="1037" t="str">
        <f t="shared" si="933"/>
        <v/>
      </c>
      <c r="H2661" s="225"/>
      <c r="I2661" s="1013"/>
      <c r="J2661" s="1013"/>
      <c r="K2661" s="1028"/>
      <c r="L2661" s="1035" t="str">
        <f t="shared" si="937"/>
        <v/>
      </c>
      <c r="S2661" s="498"/>
      <c r="AJ2661" s="498"/>
      <c r="AM2661" s="498">
        <f t="shared" si="918"/>
        <v>0</v>
      </c>
      <c r="AN2661" s="498">
        <f t="shared" si="919"/>
        <v>0</v>
      </c>
      <c r="AO2661" s="498">
        <f t="shared" si="920"/>
        <v>0</v>
      </c>
      <c r="AP2661" s="498">
        <f t="shared" si="939"/>
        <v>0</v>
      </c>
      <c r="AQ2661" s="498">
        <f t="shared" si="934"/>
        <v>0</v>
      </c>
      <c r="AU2661" s="498">
        <f t="shared" si="921"/>
        <v>0</v>
      </c>
      <c r="AV2661" s="498">
        <f t="shared" si="922"/>
        <v>0</v>
      </c>
      <c r="AW2661" s="498">
        <f t="shared" si="923"/>
        <v>0</v>
      </c>
      <c r="AX2661" s="498">
        <f t="shared" si="924"/>
        <v>0</v>
      </c>
      <c r="AY2661" s="498">
        <f t="shared" si="925"/>
        <v>0</v>
      </c>
      <c r="BB2661" s="498" t="str">
        <f t="shared" si="926"/>
        <v/>
      </c>
      <c r="BC2661" s="743" t="str">
        <f t="shared" si="927"/>
        <v/>
      </c>
      <c r="BD2661" s="743" t="str">
        <f t="shared" si="928"/>
        <v/>
      </c>
      <c r="BE2661" s="743" t="str">
        <f>IF(D2661="","",VLOOKUP(D2661,'General Basis'!$J$39:$K$46,2,0))</f>
        <v/>
      </c>
      <c r="BF2661" s="744" t="str">
        <f>IF(D2661="","",VLOOKUP(D2661,'General Basis'!$J$39:$L$46,3,0))</f>
        <v/>
      </c>
      <c r="BG2661" s="744" t="str">
        <f t="shared" si="935"/>
        <v/>
      </c>
      <c r="BH2661" s="744" t="str">
        <f>IF(G2661="","",IF(BF2661="Abu Dhabi",IF(G2661&lt;18,'General Basis'!$C$39,IF(G2661&lt;41,'General Basis'!$C$40,IF(G2661&lt;60,'General Basis'!$C$41,IF(G2661&lt;65,'General Basis'!$C$42,'General Basis'!$C$43)))),IF(G2661&lt;11,'General Basis'!$B$39,IF(G2661&lt;18,'General Basis'!$B$40,IF(G2661&lt;26,'General Basis'!$B$41,IF(G2661&lt;31,'General Basis'!$B$42,IF(G2661&lt;36,'General Basis'!$B$43,IF(G2661&lt;41,'General Basis'!$B$44,IF(G2661&lt;46,'General Basis'!$B$45,IF(G2661&lt;51,'General Basis'!$B$46,IF(G2661&lt;56,'General Basis'!$B$47,IF(G2661&lt;60,'General Basis'!$B$48,IF(G2661&lt;65,'General Basis'!$B$49,'General Basis'!$B$50)))))))))))))</f>
        <v/>
      </c>
      <c r="BI2661" s="744" t="str">
        <f t="shared" si="929"/>
        <v/>
      </c>
      <c r="BJ2661" s="747" t="str">
        <f t="shared" si="936"/>
        <v/>
      </c>
      <c r="BK2661" s="498" t="str">
        <f t="shared" si="930"/>
        <v/>
      </c>
      <c r="BL2661" s="498" t="str">
        <f t="shared" si="931"/>
        <v/>
      </c>
    </row>
    <row r="2662" spans="1:64" x14ac:dyDescent="0.25">
      <c r="A2662" s="762">
        <f t="shared" si="932"/>
        <v>2657</v>
      </c>
      <c r="B2662" s="229"/>
      <c r="C2662" s="223"/>
      <c r="D2662" s="224"/>
      <c r="E2662" s="225"/>
      <c r="F2662" s="1036" t="str">
        <f t="shared" si="938"/>
        <v/>
      </c>
      <c r="G2662" s="1037" t="str">
        <f t="shared" si="933"/>
        <v/>
      </c>
      <c r="H2662" s="225"/>
      <c r="I2662" s="1013"/>
      <c r="J2662" s="1013"/>
      <c r="K2662" s="1028"/>
      <c r="L2662" s="1035" t="str">
        <f t="shared" si="937"/>
        <v/>
      </c>
      <c r="S2662" s="498"/>
      <c r="AJ2662" s="498"/>
      <c r="AM2662" s="498">
        <f t="shared" si="918"/>
        <v>0</v>
      </c>
      <c r="AN2662" s="498">
        <f t="shared" si="919"/>
        <v>0</v>
      </c>
      <c r="AO2662" s="498">
        <f t="shared" si="920"/>
        <v>0</v>
      </c>
      <c r="AP2662" s="498">
        <f t="shared" si="939"/>
        <v>0</v>
      </c>
      <c r="AQ2662" s="498">
        <f t="shared" si="934"/>
        <v>0</v>
      </c>
      <c r="AU2662" s="498">
        <f t="shared" si="921"/>
        <v>0</v>
      </c>
      <c r="AV2662" s="498">
        <f t="shared" si="922"/>
        <v>0</v>
      </c>
      <c r="AW2662" s="498">
        <f t="shared" si="923"/>
        <v>0</v>
      </c>
      <c r="AX2662" s="498">
        <f t="shared" si="924"/>
        <v>0</v>
      </c>
      <c r="AY2662" s="498">
        <f t="shared" si="925"/>
        <v>0</v>
      </c>
      <c r="BB2662" s="498" t="str">
        <f t="shared" si="926"/>
        <v/>
      </c>
      <c r="BC2662" s="743" t="str">
        <f t="shared" si="927"/>
        <v/>
      </c>
      <c r="BD2662" s="743" t="str">
        <f t="shared" si="928"/>
        <v/>
      </c>
      <c r="BE2662" s="743" t="str">
        <f>IF(D2662="","",VLOOKUP(D2662,'General Basis'!$J$39:$K$46,2,0))</f>
        <v/>
      </c>
      <c r="BF2662" s="744" t="str">
        <f>IF(D2662="","",VLOOKUP(D2662,'General Basis'!$J$39:$L$46,3,0))</f>
        <v/>
      </c>
      <c r="BG2662" s="744" t="str">
        <f t="shared" si="935"/>
        <v/>
      </c>
      <c r="BH2662" s="744" t="str">
        <f>IF(G2662="","",IF(BF2662="Abu Dhabi",IF(G2662&lt;18,'General Basis'!$C$39,IF(G2662&lt;41,'General Basis'!$C$40,IF(G2662&lt;60,'General Basis'!$C$41,IF(G2662&lt;65,'General Basis'!$C$42,'General Basis'!$C$43)))),IF(G2662&lt;11,'General Basis'!$B$39,IF(G2662&lt;18,'General Basis'!$B$40,IF(G2662&lt;26,'General Basis'!$B$41,IF(G2662&lt;31,'General Basis'!$B$42,IF(G2662&lt;36,'General Basis'!$B$43,IF(G2662&lt;41,'General Basis'!$B$44,IF(G2662&lt;46,'General Basis'!$B$45,IF(G2662&lt;51,'General Basis'!$B$46,IF(G2662&lt;56,'General Basis'!$B$47,IF(G2662&lt;60,'General Basis'!$B$48,IF(G2662&lt;65,'General Basis'!$B$49,'General Basis'!$B$50)))))))))))))</f>
        <v/>
      </c>
      <c r="BI2662" s="744" t="str">
        <f t="shared" si="929"/>
        <v/>
      </c>
      <c r="BJ2662" s="747" t="str">
        <f t="shared" si="936"/>
        <v/>
      </c>
      <c r="BK2662" s="498" t="str">
        <f t="shared" si="930"/>
        <v/>
      </c>
      <c r="BL2662" s="498" t="str">
        <f t="shared" si="931"/>
        <v/>
      </c>
    </row>
    <row r="2663" spans="1:64" x14ac:dyDescent="0.25">
      <c r="A2663" s="762">
        <f t="shared" si="932"/>
        <v>2658</v>
      </c>
      <c r="B2663" s="229"/>
      <c r="C2663" s="223"/>
      <c r="D2663" s="224"/>
      <c r="E2663" s="225"/>
      <c r="F2663" s="1036" t="str">
        <f t="shared" si="938"/>
        <v/>
      </c>
      <c r="G2663" s="1037" t="str">
        <f t="shared" si="933"/>
        <v/>
      </c>
      <c r="H2663" s="225"/>
      <c r="I2663" s="1013"/>
      <c r="J2663" s="1013"/>
      <c r="K2663" s="1028"/>
      <c r="L2663" s="1035" t="str">
        <f t="shared" si="937"/>
        <v/>
      </c>
      <c r="S2663" s="498"/>
      <c r="AJ2663" s="498"/>
      <c r="AM2663" s="498">
        <f t="shared" si="918"/>
        <v>0</v>
      </c>
      <c r="AN2663" s="498">
        <f t="shared" si="919"/>
        <v>0</v>
      </c>
      <c r="AO2663" s="498">
        <f t="shared" si="920"/>
        <v>0</v>
      </c>
      <c r="AP2663" s="498">
        <f t="shared" si="939"/>
        <v>0</v>
      </c>
      <c r="AQ2663" s="498">
        <f t="shared" si="934"/>
        <v>0</v>
      </c>
      <c r="AU2663" s="498">
        <f t="shared" si="921"/>
        <v>0</v>
      </c>
      <c r="AV2663" s="498">
        <f t="shared" si="922"/>
        <v>0</v>
      </c>
      <c r="AW2663" s="498">
        <f t="shared" si="923"/>
        <v>0</v>
      </c>
      <c r="AX2663" s="498">
        <f t="shared" si="924"/>
        <v>0</v>
      </c>
      <c r="AY2663" s="498">
        <f t="shared" si="925"/>
        <v>0</v>
      </c>
      <c r="BB2663" s="498" t="str">
        <f t="shared" si="926"/>
        <v/>
      </c>
      <c r="BC2663" s="743" t="str">
        <f t="shared" si="927"/>
        <v/>
      </c>
      <c r="BD2663" s="743" t="str">
        <f t="shared" si="928"/>
        <v/>
      </c>
      <c r="BE2663" s="743" t="str">
        <f>IF(D2663="","",VLOOKUP(D2663,'General Basis'!$J$39:$K$46,2,0))</f>
        <v/>
      </c>
      <c r="BF2663" s="744" t="str">
        <f>IF(D2663="","",VLOOKUP(D2663,'General Basis'!$J$39:$L$46,3,0))</f>
        <v/>
      </c>
      <c r="BG2663" s="744" t="str">
        <f t="shared" si="935"/>
        <v/>
      </c>
      <c r="BH2663" s="744" t="str">
        <f>IF(G2663="","",IF(BF2663="Abu Dhabi",IF(G2663&lt;18,'General Basis'!$C$39,IF(G2663&lt;41,'General Basis'!$C$40,IF(G2663&lt;60,'General Basis'!$C$41,IF(G2663&lt;65,'General Basis'!$C$42,'General Basis'!$C$43)))),IF(G2663&lt;11,'General Basis'!$B$39,IF(G2663&lt;18,'General Basis'!$B$40,IF(G2663&lt;26,'General Basis'!$B$41,IF(G2663&lt;31,'General Basis'!$B$42,IF(G2663&lt;36,'General Basis'!$B$43,IF(G2663&lt;41,'General Basis'!$B$44,IF(G2663&lt;46,'General Basis'!$B$45,IF(G2663&lt;51,'General Basis'!$B$46,IF(G2663&lt;56,'General Basis'!$B$47,IF(G2663&lt;60,'General Basis'!$B$48,IF(G2663&lt;65,'General Basis'!$B$49,'General Basis'!$B$50)))))))))))))</f>
        <v/>
      </c>
      <c r="BI2663" s="744" t="str">
        <f t="shared" si="929"/>
        <v/>
      </c>
      <c r="BJ2663" s="747" t="str">
        <f t="shared" si="936"/>
        <v/>
      </c>
      <c r="BK2663" s="498" t="str">
        <f t="shared" si="930"/>
        <v/>
      </c>
      <c r="BL2663" s="498" t="str">
        <f t="shared" si="931"/>
        <v/>
      </c>
    </row>
    <row r="2664" spans="1:64" x14ac:dyDescent="0.25">
      <c r="A2664" s="762">
        <f t="shared" si="932"/>
        <v>2659</v>
      </c>
      <c r="B2664" s="229"/>
      <c r="C2664" s="223"/>
      <c r="D2664" s="224"/>
      <c r="E2664" s="225"/>
      <c r="F2664" s="1036" t="str">
        <f t="shared" si="938"/>
        <v/>
      </c>
      <c r="G2664" s="1037" t="str">
        <f t="shared" si="933"/>
        <v/>
      </c>
      <c r="H2664" s="225"/>
      <c r="I2664" s="1013"/>
      <c r="J2664" s="1013"/>
      <c r="K2664" s="1028"/>
      <c r="L2664" s="1035" t="str">
        <f t="shared" si="937"/>
        <v/>
      </c>
      <c r="S2664" s="498"/>
      <c r="AJ2664" s="498"/>
      <c r="AM2664" s="498">
        <f t="shared" si="918"/>
        <v>0</v>
      </c>
      <c r="AN2664" s="498">
        <f t="shared" si="919"/>
        <v>0</v>
      </c>
      <c r="AO2664" s="498">
        <f t="shared" si="920"/>
        <v>0</v>
      </c>
      <c r="AP2664" s="498">
        <f t="shared" si="939"/>
        <v>0</v>
      </c>
      <c r="AQ2664" s="498">
        <f t="shared" si="934"/>
        <v>0</v>
      </c>
      <c r="AU2664" s="498">
        <f t="shared" si="921"/>
        <v>0</v>
      </c>
      <c r="AV2664" s="498">
        <f t="shared" si="922"/>
        <v>0</v>
      </c>
      <c r="AW2664" s="498">
        <f t="shared" si="923"/>
        <v>0</v>
      </c>
      <c r="AX2664" s="498">
        <f t="shared" si="924"/>
        <v>0</v>
      </c>
      <c r="AY2664" s="498">
        <f t="shared" si="925"/>
        <v>0</v>
      </c>
      <c r="BB2664" s="498" t="str">
        <f t="shared" si="926"/>
        <v/>
      </c>
      <c r="BC2664" s="743" t="str">
        <f t="shared" si="927"/>
        <v/>
      </c>
      <c r="BD2664" s="743" t="str">
        <f t="shared" si="928"/>
        <v/>
      </c>
      <c r="BE2664" s="743" t="str">
        <f>IF(D2664="","",VLOOKUP(D2664,'General Basis'!$J$39:$K$46,2,0))</f>
        <v/>
      </c>
      <c r="BF2664" s="744" t="str">
        <f>IF(D2664="","",VLOOKUP(D2664,'General Basis'!$J$39:$L$46,3,0))</f>
        <v/>
      </c>
      <c r="BG2664" s="744" t="str">
        <f t="shared" si="935"/>
        <v/>
      </c>
      <c r="BH2664" s="744" t="str">
        <f>IF(G2664="","",IF(BF2664="Abu Dhabi",IF(G2664&lt;18,'General Basis'!$C$39,IF(G2664&lt;41,'General Basis'!$C$40,IF(G2664&lt;60,'General Basis'!$C$41,IF(G2664&lt;65,'General Basis'!$C$42,'General Basis'!$C$43)))),IF(G2664&lt;11,'General Basis'!$B$39,IF(G2664&lt;18,'General Basis'!$B$40,IF(G2664&lt;26,'General Basis'!$B$41,IF(G2664&lt;31,'General Basis'!$B$42,IF(G2664&lt;36,'General Basis'!$B$43,IF(G2664&lt;41,'General Basis'!$B$44,IF(G2664&lt;46,'General Basis'!$B$45,IF(G2664&lt;51,'General Basis'!$B$46,IF(G2664&lt;56,'General Basis'!$B$47,IF(G2664&lt;60,'General Basis'!$B$48,IF(G2664&lt;65,'General Basis'!$B$49,'General Basis'!$B$50)))))))))))))</f>
        <v/>
      </c>
      <c r="BI2664" s="744" t="str">
        <f t="shared" si="929"/>
        <v/>
      </c>
      <c r="BJ2664" s="747" t="str">
        <f t="shared" si="936"/>
        <v/>
      </c>
      <c r="BK2664" s="498" t="str">
        <f t="shared" si="930"/>
        <v/>
      </c>
      <c r="BL2664" s="498" t="str">
        <f t="shared" si="931"/>
        <v/>
      </c>
    </row>
    <row r="2665" spans="1:64" x14ac:dyDescent="0.25">
      <c r="A2665" s="762">
        <f t="shared" si="932"/>
        <v>2660</v>
      </c>
      <c r="B2665" s="229"/>
      <c r="C2665" s="223"/>
      <c r="D2665" s="224"/>
      <c r="E2665" s="225"/>
      <c r="F2665" s="1036" t="str">
        <f t="shared" si="938"/>
        <v/>
      </c>
      <c r="G2665" s="1037" t="str">
        <f t="shared" si="933"/>
        <v/>
      </c>
      <c r="H2665" s="225"/>
      <c r="I2665" s="1013"/>
      <c r="J2665" s="1013"/>
      <c r="K2665" s="1028"/>
      <c r="L2665" s="1035" t="str">
        <f t="shared" si="937"/>
        <v/>
      </c>
      <c r="S2665" s="498"/>
      <c r="AJ2665" s="498"/>
      <c r="AM2665" s="498">
        <f t="shared" si="918"/>
        <v>0</v>
      </c>
      <c r="AN2665" s="498">
        <f t="shared" si="919"/>
        <v>0</v>
      </c>
      <c r="AO2665" s="498">
        <f t="shared" si="920"/>
        <v>0</v>
      </c>
      <c r="AP2665" s="498">
        <f t="shared" si="939"/>
        <v>0</v>
      </c>
      <c r="AQ2665" s="498">
        <f t="shared" si="934"/>
        <v>0</v>
      </c>
      <c r="AU2665" s="498">
        <f t="shared" si="921"/>
        <v>0</v>
      </c>
      <c r="AV2665" s="498">
        <f t="shared" si="922"/>
        <v>0</v>
      </c>
      <c r="AW2665" s="498">
        <f t="shared" si="923"/>
        <v>0</v>
      </c>
      <c r="AX2665" s="498">
        <f t="shared" si="924"/>
        <v>0</v>
      </c>
      <c r="AY2665" s="498">
        <f t="shared" si="925"/>
        <v>0</v>
      </c>
      <c r="BB2665" s="498" t="str">
        <f t="shared" si="926"/>
        <v/>
      </c>
      <c r="BC2665" s="743" t="str">
        <f t="shared" si="927"/>
        <v/>
      </c>
      <c r="BD2665" s="743" t="str">
        <f t="shared" si="928"/>
        <v/>
      </c>
      <c r="BE2665" s="743" t="str">
        <f>IF(D2665="","",VLOOKUP(D2665,'General Basis'!$J$39:$K$46,2,0))</f>
        <v/>
      </c>
      <c r="BF2665" s="744" t="str">
        <f>IF(D2665="","",VLOOKUP(D2665,'General Basis'!$J$39:$L$46,3,0))</f>
        <v/>
      </c>
      <c r="BG2665" s="744" t="str">
        <f t="shared" si="935"/>
        <v/>
      </c>
      <c r="BH2665" s="744" t="str">
        <f>IF(G2665="","",IF(BF2665="Abu Dhabi",IF(G2665&lt;18,'General Basis'!$C$39,IF(G2665&lt;41,'General Basis'!$C$40,IF(G2665&lt;60,'General Basis'!$C$41,IF(G2665&lt;65,'General Basis'!$C$42,'General Basis'!$C$43)))),IF(G2665&lt;11,'General Basis'!$B$39,IF(G2665&lt;18,'General Basis'!$B$40,IF(G2665&lt;26,'General Basis'!$B$41,IF(G2665&lt;31,'General Basis'!$B$42,IF(G2665&lt;36,'General Basis'!$B$43,IF(G2665&lt;41,'General Basis'!$B$44,IF(G2665&lt;46,'General Basis'!$B$45,IF(G2665&lt;51,'General Basis'!$B$46,IF(G2665&lt;56,'General Basis'!$B$47,IF(G2665&lt;60,'General Basis'!$B$48,IF(G2665&lt;65,'General Basis'!$B$49,'General Basis'!$B$50)))))))))))))</f>
        <v/>
      </c>
      <c r="BI2665" s="744" t="str">
        <f t="shared" si="929"/>
        <v/>
      </c>
      <c r="BJ2665" s="747" t="str">
        <f t="shared" si="936"/>
        <v/>
      </c>
      <c r="BK2665" s="498" t="str">
        <f t="shared" si="930"/>
        <v/>
      </c>
      <c r="BL2665" s="498" t="str">
        <f t="shared" si="931"/>
        <v/>
      </c>
    </row>
    <row r="2666" spans="1:64" x14ac:dyDescent="0.25">
      <c r="A2666" s="762">
        <f t="shared" si="932"/>
        <v>2661</v>
      </c>
      <c r="B2666" s="229"/>
      <c r="C2666" s="223"/>
      <c r="D2666" s="224"/>
      <c r="E2666" s="225"/>
      <c r="F2666" s="1036" t="str">
        <f t="shared" si="938"/>
        <v/>
      </c>
      <c r="G2666" s="1037" t="str">
        <f t="shared" si="933"/>
        <v/>
      </c>
      <c r="H2666" s="225"/>
      <c r="I2666" s="1013"/>
      <c r="J2666" s="1013"/>
      <c r="K2666" s="1028"/>
      <c r="L2666" s="1035" t="str">
        <f t="shared" si="937"/>
        <v/>
      </c>
      <c r="S2666" s="498"/>
      <c r="AJ2666" s="498"/>
      <c r="AM2666" s="498">
        <f t="shared" si="918"/>
        <v>0</v>
      </c>
      <c r="AN2666" s="498">
        <f t="shared" si="919"/>
        <v>0</v>
      </c>
      <c r="AO2666" s="498">
        <f t="shared" si="920"/>
        <v>0</v>
      </c>
      <c r="AP2666" s="498">
        <f t="shared" si="939"/>
        <v>0</v>
      </c>
      <c r="AQ2666" s="498">
        <f t="shared" si="934"/>
        <v>0</v>
      </c>
      <c r="AU2666" s="498">
        <f t="shared" si="921"/>
        <v>0</v>
      </c>
      <c r="AV2666" s="498">
        <f t="shared" si="922"/>
        <v>0</v>
      </c>
      <c r="AW2666" s="498">
        <f t="shared" si="923"/>
        <v>0</v>
      </c>
      <c r="AX2666" s="498">
        <f t="shared" si="924"/>
        <v>0</v>
      </c>
      <c r="AY2666" s="498">
        <f t="shared" si="925"/>
        <v>0</v>
      </c>
      <c r="BB2666" s="498" t="str">
        <f t="shared" si="926"/>
        <v/>
      </c>
      <c r="BC2666" s="743" t="str">
        <f t="shared" si="927"/>
        <v/>
      </c>
      <c r="BD2666" s="743" t="str">
        <f t="shared" si="928"/>
        <v/>
      </c>
      <c r="BE2666" s="743" t="str">
        <f>IF(D2666="","",VLOOKUP(D2666,'General Basis'!$J$39:$K$46,2,0))</f>
        <v/>
      </c>
      <c r="BF2666" s="744" t="str">
        <f>IF(D2666="","",VLOOKUP(D2666,'General Basis'!$J$39:$L$46,3,0))</f>
        <v/>
      </c>
      <c r="BG2666" s="744" t="str">
        <f t="shared" si="935"/>
        <v/>
      </c>
      <c r="BH2666" s="744" t="str">
        <f>IF(G2666="","",IF(BF2666="Abu Dhabi",IF(G2666&lt;18,'General Basis'!$C$39,IF(G2666&lt;41,'General Basis'!$C$40,IF(G2666&lt;60,'General Basis'!$C$41,IF(G2666&lt;65,'General Basis'!$C$42,'General Basis'!$C$43)))),IF(G2666&lt;11,'General Basis'!$B$39,IF(G2666&lt;18,'General Basis'!$B$40,IF(G2666&lt;26,'General Basis'!$B$41,IF(G2666&lt;31,'General Basis'!$B$42,IF(G2666&lt;36,'General Basis'!$B$43,IF(G2666&lt;41,'General Basis'!$B$44,IF(G2666&lt;46,'General Basis'!$B$45,IF(G2666&lt;51,'General Basis'!$B$46,IF(G2666&lt;56,'General Basis'!$B$47,IF(G2666&lt;60,'General Basis'!$B$48,IF(G2666&lt;65,'General Basis'!$B$49,'General Basis'!$B$50)))))))))))))</f>
        <v/>
      </c>
      <c r="BI2666" s="744" t="str">
        <f t="shared" si="929"/>
        <v/>
      </c>
      <c r="BJ2666" s="747" t="str">
        <f t="shared" si="936"/>
        <v/>
      </c>
      <c r="BK2666" s="498" t="str">
        <f t="shared" si="930"/>
        <v/>
      </c>
      <c r="BL2666" s="498" t="str">
        <f t="shared" si="931"/>
        <v/>
      </c>
    </row>
    <row r="2667" spans="1:64" x14ac:dyDescent="0.25">
      <c r="A2667" s="762">
        <f t="shared" si="932"/>
        <v>2662</v>
      </c>
      <c r="B2667" s="229"/>
      <c r="C2667" s="223"/>
      <c r="D2667" s="224"/>
      <c r="E2667" s="225"/>
      <c r="F2667" s="1036" t="str">
        <f t="shared" si="938"/>
        <v/>
      </c>
      <c r="G2667" s="1037" t="str">
        <f t="shared" si="933"/>
        <v/>
      </c>
      <c r="H2667" s="225"/>
      <c r="I2667" s="1013"/>
      <c r="J2667" s="1013"/>
      <c r="K2667" s="1028"/>
      <c r="L2667" s="1035" t="str">
        <f t="shared" si="937"/>
        <v/>
      </c>
      <c r="S2667" s="498"/>
      <c r="AJ2667" s="498"/>
      <c r="AM2667" s="498">
        <f t="shared" si="918"/>
        <v>0</v>
      </c>
      <c r="AN2667" s="498">
        <f t="shared" si="919"/>
        <v>0</v>
      </c>
      <c r="AO2667" s="498">
        <f t="shared" si="920"/>
        <v>0</v>
      </c>
      <c r="AP2667" s="498">
        <f t="shared" si="939"/>
        <v>0</v>
      </c>
      <c r="AQ2667" s="498">
        <f t="shared" si="934"/>
        <v>0</v>
      </c>
      <c r="AU2667" s="498">
        <f t="shared" si="921"/>
        <v>0</v>
      </c>
      <c r="AV2667" s="498">
        <f t="shared" si="922"/>
        <v>0</v>
      </c>
      <c r="AW2667" s="498">
        <f t="shared" si="923"/>
        <v>0</v>
      </c>
      <c r="AX2667" s="498">
        <f t="shared" si="924"/>
        <v>0</v>
      </c>
      <c r="AY2667" s="498">
        <f t="shared" si="925"/>
        <v>0</v>
      </c>
      <c r="BB2667" s="498" t="str">
        <f t="shared" si="926"/>
        <v/>
      </c>
      <c r="BC2667" s="743" t="str">
        <f t="shared" si="927"/>
        <v/>
      </c>
      <c r="BD2667" s="743" t="str">
        <f t="shared" si="928"/>
        <v/>
      </c>
      <c r="BE2667" s="743" t="str">
        <f>IF(D2667="","",VLOOKUP(D2667,'General Basis'!$J$39:$K$46,2,0))</f>
        <v/>
      </c>
      <c r="BF2667" s="744" t="str">
        <f>IF(D2667="","",VLOOKUP(D2667,'General Basis'!$J$39:$L$46,3,0))</f>
        <v/>
      </c>
      <c r="BG2667" s="744" t="str">
        <f t="shared" si="935"/>
        <v/>
      </c>
      <c r="BH2667" s="744" t="str">
        <f>IF(G2667="","",IF(BF2667="Abu Dhabi",IF(G2667&lt;18,'General Basis'!$C$39,IF(G2667&lt;41,'General Basis'!$C$40,IF(G2667&lt;60,'General Basis'!$C$41,IF(G2667&lt;65,'General Basis'!$C$42,'General Basis'!$C$43)))),IF(G2667&lt;11,'General Basis'!$B$39,IF(G2667&lt;18,'General Basis'!$B$40,IF(G2667&lt;26,'General Basis'!$B$41,IF(G2667&lt;31,'General Basis'!$B$42,IF(G2667&lt;36,'General Basis'!$B$43,IF(G2667&lt;41,'General Basis'!$B$44,IF(G2667&lt;46,'General Basis'!$B$45,IF(G2667&lt;51,'General Basis'!$B$46,IF(G2667&lt;56,'General Basis'!$B$47,IF(G2667&lt;60,'General Basis'!$B$48,IF(G2667&lt;65,'General Basis'!$B$49,'General Basis'!$B$50)))))))))))))</f>
        <v/>
      </c>
      <c r="BI2667" s="744" t="str">
        <f t="shared" si="929"/>
        <v/>
      </c>
      <c r="BJ2667" s="747" t="str">
        <f t="shared" si="936"/>
        <v/>
      </c>
      <c r="BK2667" s="498" t="str">
        <f t="shared" si="930"/>
        <v/>
      </c>
      <c r="BL2667" s="498" t="str">
        <f t="shared" si="931"/>
        <v/>
      </c>
    </row>
    <row r="2668" spans="1:64" x14ac:dyDescent="0.25">
      <c r="A2668" s="762">
        <f t="shared" si="932"/>
        <v>2663</v>
      </c>
      <c r="B2668" s="229"/>
      <c r="C2668" s="223"/>
      <c r="D2668" s="224"/>
      <c r="E2668" s="225"/>
      <c r="F2668" s="1036" t="str">
        <f t="shared" si="938"/>
        <v/>
      </c>
      <c r="G2668" s="1037" t="str">
        <f t="shared" si="933"/>
        <v/>
      </c>
      <c r="H2668" s="225"/>
      <c r="I2668" s="1013"/>
      <c r="J2668" s="1013"/>
      <c r="K2668" s="1028"/>
      <c r="L2668" s="1035" t="str">
        <f t="shared" si="937"/>
        <v/>
      </c>
      <c r="S2668" s="498"/>
      <c r="AJ2668" s="498"/>
      <c r="AM2668" s="498">
        <f t="shared" si="918"/>
        <v>0</v>
      </c>
      <c r="AN2668" s="498">
        <f t="shared" si="919"/>
        <v>0</v>
      </c>
      <c r="AO2668" s="498">
        <f t="shared" si="920"/>
        <v>0</v>
      </c>
      <c r="AP2668" s="498">
        <f t="shared" si="939"/>
        <v>0</v>
      </c>
      <c r="AQ2668" s="498">
        <f t="shared" si="934"/>
        <v>0</v>
      </c>
      <c r="AU2668" s="498">
        <f t="shared" si="921"/>
        <v>0</v>
      </c>
      <c r="AV2668" s="498">
        <f t="shared" si="922"/>
        <v>0</v>
      </c>
      <c r="AW2668" s="498">
        <f t="shared" si="923"/>
        <v>0</v>
      </c>
      <c r="AX2668" s="498">
        <f t="shared" si="924"/>
        <v>0</v>
      </c>
      <c r="AY2668" s="498">
        <f t="shared" si="925"/>
        <v>0</v>
      </c>
      <c r="BB2668" s="498" t="str">
        <f t="shared" si="926"/>
        <v/>
      </c>
      <c r="BC2668" s="743" t="str">
        <f t="shared" si="927"/>
        <v/>
      </c>
      <c r="BD2668" s="743" t="str">
        <f t="shared" si="928"/>
        <v/>
      </c>
      <c r="BE2668" s="743" t="str">
        <f>IF(D2668="","",VLOOKUP(D2668,'General Basis'!$J$39:$K$46,2,0))</f>
        <v/>
      </c>
      <c r="BF2668" s="744" t="str">
        <f>IF(D2668="","",VLOOKUP(D2668,'General Basis'!$J$39:$L$46,3,0))</f>
        <v/>
      </c>
      <c r="BG2668" s="744" t="str">
        <f t="shared" si="935"/>
        <v/>
      </c>
      <c r="BH2668" s="744" t="str">
        <f>IF(G2668="","",IF(BF2668="Abu Dhabi",IF(G2668&lt;18,'General Basis'!$C$39,IF(G2668&lt;41,'General Basis'!$C$40,IF(G2668&lt;60,'General Basis'!$C$41,IF(G2668&lt;65,'General Basis'!$C$42,'General Basis'!$C$43)))),IF(G2668&lt;11,'General Basis'!$B$39,IF(G2668&lt;18,'General Basis'!$B$40,IF(G2668&lt;26,'General Basis'!$B$41,IF(G2668&lt;31,'General Basis'!$B$42,IF(G2668&lt;36,'General Basis'!$B$43,IF(G2668&lt;41,'General Basis'!$B$44,IF(G2668&lt;46,'General Basis'!$B$45,IF(G2668&lt;51,'General Basis'!$B$46,IF(G2668&lt;56,'General Basis'!$B$47,IF(G2668&lt;60,'General Basis'!$B$48,IF(G2668&lt;65,'General Basis'!$B$49,'General Basis'!$B$50)))))))))))))</f>
        <v/>
      </c>
      <c r="BI2668" s="744" t="str">
        <f t="shared" si="929"/>
        <v/>
      </c>
      <c r="BJ2668" s="747" t="str">
        <f t="shared" si="936"/>
        <v/>
      </c>
      <c r="BK2668" s="498" t="str">
        <f t="shared" si="930"/>
        <v/>
      </c>
      <c r="BL2668" s="498" t="str">
        <f t="shared" si="931"/>
        <v/>
      </c>
    </row>
    <row r="2669" spans="1:64" x14ac:dyDescent="0.25">
      <c r="A2669" s="762">
        <f t="shared" si="932"/>
        <v>2664</v>
      </c>
      <c r="B2669" s="229"/>
      <c r="C2669" s="223"/>
      <c r="D2669" s="224"/>
      <c r="E2669" s="225"/>
      <c r="F2669" s="1036" t="str">
        <f t="shared" si="938"/>
        <v/>
      </c>
      <c r="G2669" s="1037" t="str">
        <f t="shared" si="933"/>
        <v/>
      </c>
      <c r="H2669" s="225"/>
      <c r="I2669" s="1013"/>
      <c r="J2669" s="1013"/>
      <c r="K2669" s="1028"/>
      <c r="L2669" s="1035" t="str">
        <f t="shared" si="937"/>
        <v/>
      </c>
      <c r="S2669" s="498"/>
      <c r="AJ2669" s="498"/>
      <c r="AM2669" s="498">
        <f t="shared" si="918"/>
        <v>0</v>
      </c>
      <c r="AN2669" s="498">
        <f t="shared" si="919"/>
        <v>0</v>
      </c>
      <c r="AO2669" s="498">
        <f t="shared" si="920"/>
        <v>0</v>
      </c>
      <c r="AP2669" s="498">
        <f t="shared" si="939"/>
        <v>0</v>
      </c>
      <c r="AQ2669" s="498">
        <f t="shared" si="934"/>
        <v>0</v>
      </c>
      <c r="AU2669" s="498">
        <f t="shared" si="921"/>
        <v>0</v>
      </c>
      <c r="AV2669" s="498">
        <f t="shared" si="922"/>
        <v>0</v>
      </c>
      <c r="AW2669" s="498">
        <f t="shared" si="923"/>
        <v>0</v>
      </c>
      <c r="AX2669" s="498">
        <f t="shared" si="924"/>
        <v>0</v>
      </c>
      <c r="AY2669" s="498">
        <f t="shared" si="925"/>
        <v>0</v>
      </c>
      <c r="BB2669" s="498" t="str">
        <f t="shared" si="926"/>
        <v/>
      </c>
      <c r="BC2669" s="743" t="str">
        <f t="shared" si="927"/>
        <v/>
      </c>
      <c r="BD2669" s="743" t="str">
        <f t="shared" si="928"/>
        <v/>
      </c>
      <c r="BE2669" s="743" t="str">
        <f>IF(D2669="","",VLOOKUP(D2669,'General Basis'!$J$39:$K$46,2,0))</f>
        <v/>
      </c>
      <c r="BF2669" s="744" t="str">
        <f>IF(D2669="","",VLOOKUP(D2669,'General Basis'!$J$39:$L$46,3,0))</f>
        <v/>
      </c>
      <c r="BG2669" s="744" t="str">
        <f t="shared" si="935"/>
        <v/>
      </c>
      <c r="BH2669" s="744" t="str">
        <f>IF(G2669="","",IF(BF2669="Abu Dhabi",IF(G2669&lt;18,'General Basis'!$C$39,IF(G2669&lt;41,'General Basis'!$C$40,IF(G2669&lt;60,'General Basis'!$C$41,IF(G2669&lt;65,'General Basis'!$C$42,'General Basis'!$C$43)))),IF(G2669&lt;11,'General Basis'!$B$39,IF(G2669&lt;18,'General Basis'!$B$40,IF(G2669&lt;26,'General Basis'!$B$41,IF(G2669&lt;31,'General Basis'!$B$42,IF(G2669&lt;36,'General Basis'!$B$43,IF(G2669&lt;41,'General Basis'!$B$44,IF(G2669&lt;46,'General Basis'!$B$45,IF(G2669&lt;51,'General Basis'!$B$46,IF(G2669&lt;56,'General Basis'!$B$47,IF(G2669&lt;60,'General Basis'!$B$48,IF(G2669&lt;65,'General Basis'!$B$49,'General Basis'!$B$50)))))))))))))</f>
        <v/>
      </c>
      <c r="BI2669" s="744" t="str">
        <f t="shared" si="929"/>
        <v/>
      </c>
      <c r="BJ2669" s="747" t="str">
        <f t="shared" si="936"/>
        <v/>
      </c>
      <c r="BK2669" s="498" t="str">
        <f t="shared" si="930"/>
        <v/>
      </c>
      <c r="BL2669" s="498" t="str">
        <f t="shared" si="931"/>
        <v/>
      </c>
    </row>
    <row r="2670" spans="1:64" x14ac:dyDescent="0.25">
      <c r="A2670" s="762">
        <f t="shared" si="932"/>
        <v>2665</v>
      </c>
      <c r="B2670" s="229"/>
      <c r="C2670" s="223"/>
      <c r="D2670" s="224"/>
      <c r="E2670" s="225"/>
      <c r="F2670" s="1036" t="str">
        <f t="shared" si="938"/>
        <v/>
      </c>
      <c r="G2670" s="1037" t="str">
        <f t="shared" si="933"/>
        <v/>
      </c>
      <c r="H2670" s="225"/>
      <c r="I2670" s="1013"/>
      <c r="J2670" s="1013"/>
      <c r="K2670" s="1028"/>
      <c r="L2670" s="1035" t="str">
        <f t="shared" si="937"/>
        <v/>
      </c>
      <c r="S2670" s="498"/>
      <c r="AJ2670" s="498"/>
      <c r="AM2670" s="498">
        <f t="shared" si="918"/>
        <v>0</v>
      </c>
      <c r="AN2670" s="498">
        <f t="shared" si="919"/>
        <v>0</v>
      </c>
      <c r="AO2670" s="498">
        <f t="shared" si="920"/>
        <v>0</v>
      </c>
      <c r="AP2670" s="498">
        <f t="shared" si="939"/>
        <v>0</v>
      </c>
      <c r="AQ2670" s="498">
        <f t="shared" si="934"/>
        <v>0</v>
      </c>
      <c r="AU2670" s="498">
        <f t="shared" si="921"/>
        <v>0</v>
      </c>
      <c r="AV2670" s="498">
        <f t="shared" si="922"/>
        <v>0</v>
      </c>
      <c r="AW2670" s="498">
        <f t="shared" si="923"/>
        <v>0</v>
      </c>
      <c r="AX2670" s="498">
        <f t="shared" si="924"/>
        <v>0</v>
      </c>
      <c r="AY2670" s="498">
        <f t="shared" si="925"/>
        <v>0</v>
      </c>
      <c r="BB2670" s="498" t="str">
        <f t="shared" si="926"/>
        <v/>
      </c>
      <c r="BC2670" s="743" t="str">
        <f t="shared" si="927"/>
        <v/>
      </c>
      <c r="BD2670" s="743" t="str">
        <f t="shared" si="928"/>
        <v/>
      </c>
      <c r="BE2670" s="743" t="str">
        <f>IF(D2670="","",VLOOKUP(D2670,'General Basis'!$J$39:$K$46,2,0))</f>
        <v/>
      </c>
      <c r="BF2670" s="744" t="str">
        <f>IF(D2670="","",VLOOKUP(D2670,'General Basis'!$J$39:$L$46,3,0))</f>
        <v/>
      </c>
      <c r="BG2670" s="744" t="str">
        <f t="shared" si="935"/>
        <v/>
      </c>
      <c r="BH2670" s="744" t="str">
        <f>IF(G2670="","",IF(BF2670="Abu Dhabi",IF(G2670&lt;18,'General Basis'!$C$39,IF(G2670&lt;41,'General Basis'!$C$40,IF(G2670&lt;60,'General Basis'!$C$41,IF(G2670&lt;65,'General Basis'!$C$42,'General Basis'!$C$43)))),IF(G2670&lt;11,'General Basis'!$B$39,IF(G2670&lt;18,'General Basis'!$B$40,IF(G2670&lt;26,'General Basis'!$B$41,IF(G2670&lt;31,'General Basis'!$B$42,IF(G2670&lt;36,'General Basis'!$B$43,IF(G2670&lt;41,'General Basis'!$B$44,IF(G2670&lt;46,'General Basis'!$B$45,IF(G2670&lt;51,'General Basis'!$B$46,IF(G2670&lt;56,'General Basis'!$B$47,IF(G2670&lt;60,'General Basis'!$B$48,IF(G2670&lt;65,'General Basis'!$B$49,'General Basis'!$B$50)))))))))))))</f>
        <v/>
      </c>
      <c r="BI2670" s="744" t="str">
        <f t="shared" si="929"/>
        <v/>
      </c>
      <c r="BJ2670" s="747" t="str">
        <f t="shared" si="936"/>
        <v/>
      </c>
      <c r="BK2670" s="498" t="str">
        <f t="shared" si="930"/>
        <v/>
      </c>
      <c r="BL2670" s="498" t="str">
        <f t="shared" si="931"/>
        <v/>
      </c>
    </row>
    <row r="2671" spans="1:64" x14ac:dyDescent="0.25">
      <c r="A2671" s="762">
        <f t="shared" si="932"/>
        <v>2666</v>
      </c>
      <c r="B2671" s="229"/>
      <c r="C2671" s="223"/>
      <c r="D2671" s="224"/>
      <c r="E2671" s="225"/>
      <c r="F2671" s="1036" t="str">
        <f t="shared" si="938"/>
        <v/>
      </c>
      <c r="G2671" s="1037" t="str">
        <f t="shared" si="933"/>
        <v/>
      </c>
      <c r="H2671" s="225"/>
      <c r="I2671" s="1013"/>
      <c r="J2671" s="1013"/>
      <c r="K2671" s="1028"/>
      <c r="L2671" s="1035" t="str">
        <f t="shared" si="937"/>
        <v/>
      </c>
      <c r="S2671" s="498"/>
      <c r="AJ2671" s="498"/>
      <c r="AM2671" s="498">
        <f t="shared" si="918"/>
        <v>0</v>
      </c>
      <c r="AN2671" s="498">
        <f t="shared" si="919"/>
        <v>0</v>
      </c>
      <c r="AO2671" s="498">
        <f t="shared" si="920"/>
        <v>0</v>
      </c>
      <c r="AP2671" s="498">
        <f t="shared" si="939"/>
        <v>0</v>
      </c>
      <c r="AQ2671" s="498">
        <f t="shared" si="934"/>
        <v>0</v>
      </c>
      <c r="AU2671" s="498">
        <f t="shared" si="921"/>
        <v>0</v>
      </c>
      <c r="AV2671" s="498">
        <f t="shared" si="922"/>
        <v>0</v>
      </c>
      <c r="AW2671" s="498">
        <f t="shared" si="923"/>
        <v>0</v>
      </c>
      <c r="AX2671" s="498">
        <f t="shared" si="924"/>
        <v>0</v>
      </c>
      <c r="AY2671" s="498">
        <f t="shared" si="925"/>
        <v>0</v>
      </c>
      <c r="BB2671" s="498" t="str">
        <f t="shared" si="926"/>
        <v/>
      </c>
      <c r="BC2671" s="743" t="str">
        <f t="shared" si="927"/>
        <v/>
      </c>
      <c r="BD2671" s="743" t="str">
        <f t="shared" si="928"/>
        <v/>
      </c>
      <c r="BE2671" s="743" t="str">
        <f>IF(D2671="","",VLOOKUP(D2671,'General Basis'!$J$39:$K$46,2,0))</f>
        <v/>
      </c>
      <c r="BF2671" s="744" t="str">
        <f>IF(D2671="","",VLOOKUP(D2671,'General Basis'!$J$39:$L$46,3,0))</f>
        <v/>
      </c>
      <c r="BG2671" s="744" t="str">
        <f t="shared" si="935"/>
        <v/>
      </c>
      <c r="BH2671" s="744" t="str">
        <f>IF(G2671="","",IF(BF2671="Abu Dhabi",IF(G2671&lt;18,'General Basis'!$C$39,IF(G2671&lt;41,'General Basis'!$C$40,IF(G2671&lt;60,'General Basis'!$C$41,IF(G2671&lt;65,'General Basis'!$C$42,'General Basis'!$C$43)))),IF(G2671&lt;11,'General Basis'!$B$39,IF(G2671&lt;18,'General Basis'!$B$40,IF(G2671&lt;26,'General Basis'!$B$41,IF(G2671&lt;31,'General Basis'!$B$42,IF(G2671&lt;36,'General Basis'!$B$43,IF(G2671&lt;41,'General Basis'!$B$44,IF(G2671&lt;46,'General Basis'!$B$45,IF(G2671&lt;51,'General Basis'!$B$46,IF(G2671&lt;56,'General Basis'!$B$47,IF(G2671&lt;60,'General Basis'!$B$48,IF(G2671&lt;65,'General Basis'!$B$49,'General Basis'!$B$50)))))))))))))</f>
        <v/>
      </c>
      <c r="BI2671" s="744" t="str">
        <f t="shared" si="929"/>
        <v/>
      </c>
      <c r="BJ2671" s="747" t="str">
        <f t="shared" si="936"/>
        <v/>
      </c>
      <c r="BK2671" s="498" t="str">
        <f t="shared" si="930"/>
        <v/>
      </c>
      <c r="BL2671" s="498" t="str">
        <f t="shared" si="931"/>
        <v/>
      </c>
    </row>
    <row r="2672" spans="1:64" x14ac:dyDescent="0.25">
      <c r="A2672" s="762">
        <f t="shared" si="932"/>
        <v>2667</v>
      </c>
      <c r="B2672" s="229"/>
      <c r="C2672" s="223"/>
      <c r="D2672" s="224"/>
      <c r="E2672" s="225"/>
      <c r="F2672" s="1036" t="str">
        <f t="shared" si="938"/>
        <v/>
      </c>
      <c r="G2672" s="1037" t="str">
        <f t="shared" si="933"/>
        <v/>
      </c>
      <c r="H2672" s="225"/>
      <c r="I2672" s="1013"/>
      <c r="J2672" s="1013"/>
      <c r="K2672" s="1028"/>
      <c r="L2672" s="1035" t="str">
        <f t="shared" si="937"/>
        <v/>
      </c>
      <c r="S2672" s="498"/>
      <c r="AJ2672" s="498"/>
      <c r="AM2672" s="498">
        <f t="shared" si="918"/>
        <v>0</v>
      </c>
      <c r="AN2672" s="498">
        <f t="shared" si="919"/>
        <v>0</v>
      </c>
      <c r="AO2672" s="498">
        <f t="shared" si="920"/>
        <v>0</v>
      </c>
      <c r="AP2672" s="498">
        <f t="shared" si="939"/>
        <v>0</v>
      </c>
      <c r="AQ2672" s="498">
        <f t="shared" si="934"/>
        <v>0</v>
      </c>
      <c r="AU2672" s="498">
        <f t="shared" si="921"/>
        <v>0</v>
      </c>
      <c r="AV2672" s="498">
        <f t="shared" si="922"/>
        <v>0</v>
      </c>
      <c r="AW2672" s="498">
        <f t="shared" si="923"/>
        <v>0</v>
      </c>
      <c r="AX2672" s="498">
        <f t="shared" si="924"/>
        <v>0</v>
      </c>
      <c r="AY2672" s="498">
        <f t="shared" si="925"/>
        <v>0</v>
      </c>
      <c r="BB2672" s="498" t="str">
        <f t="shared" si="926"/>
        <v/>
      </c>
      <c r="BC2672" s="743" t="str">
        <f t="shared" si="927"/>
        <v/>
      </c>
      <c r="BD2672" s="743" t="str">
        <f t="shared" si="928"/>
        <v/>
      </c>
      <c r="BE2672" s="743" t="str">
        <f>IF(D2672="","",VLOOKUP(D2672,'General Basis'!$J$39:$K$46,2,0))</f>
        <v/>
      </c>
      <c r="BF2672" s="744" t="str">
        <f>IF(D2672="","",VLOOKUP(D2672,'General Basis'!$J$39:$L$46,3,0))</f>
        <v/>
      </c>
      <c r="BG2672" s="744" t="str">
        <f t="shared" si="935"/>
        <v/>
      </c>
      <c r="BH2672" s="744" t="str">
        <f>IF(G2672="","",IF(BF2672="Abu Dhabi",IF(G2672&lt;18,'General Basis'!$C$39,IF(G2672&lt;41,'General Basis'!$C$40,IF(G2672&lt;60,'General Basis'!$C$41,IF(G2672&lt;65,'General Basis'!$C$42,'General Basis'!$C$43)))),IF(G2672&lt;11,'General Basis'!$B$39,IF(G2672&lt;18,'General Basis'!$B$40,IF(G2672&lt;26,'General Basis'!$B$41,IF(G2672&lt;31,'General Basis'!$B$42,IF(G2672&lt;36,'General Basis'!$B$43,IF(G2672&lt;41,'General Basis'!$B$44,IF(G2672&lt;46,'General Basis'!$B$45,IF(G2672&lt;51,'General Basis'!$B$46,IF(G2672&lt;56,'General Basis'!$B$47,IF(G2672&lt;60,'General Basis'!$B$48,IF(G2672&lt;65,'General Basis'!$B$49,'General Basis'!$B$50)))))))))))))</f>
        <v/>
      </c>
      <c r="BI2672" s="744" t="str">
        <f t="shared" si="929"/>
        <v/>
      </c>
      <c r="BJ2672" s="747" t="str">
        <f t="shared" si="936"/>
        <v/>
      </c>
      <c r="BK2672" s="498" t="str">
        <f t="shared" si="930"/>
        <v/>
      </c>
      <c r="BL2672" s="498" t="str">
        <f t="shared" si="931"/>
        <v/>
      </c>
    </row>
    <row r="2673" spans="1:64" x14ac:dyDescent="0.25">
      <c r="A2673" s="762">
        <f t="shared" si="932"/>
        <v>2668</v>
      </c>
      <c r="B2673" s="229"/>
      <c r="C2673" s="223"/>
      <c r="D2673" s="224"/>
      <c r="E2673" s="225"/>
      <c r="F2673" s="1036" t="str">
        <f t="shared" si="938"/>
        <v/>
      </c>
      <c r="G2673" s="1037" t="str">
        <f t="shared" si="933"/>
        <v/>
      </c>
      <c r="H2673" s="225"/>
      <c r="I2673" s="1013"/>
      <c r="J2673" s="1013"/>
      <c r="K2673" s="1028"/>
      <c r="L2673" s="1035" t="str">
        <f t="shared" si="937"/>
        <v/>
      </c>
      <c r="S2673" s="498"/>
      <c r="AJ2673" s="498"/>
      <c r="AM2673" s="498">
        <f t="shared" si="918"/>
        <v>0</v>
      </c>
      <c r="AN2673" s="498">
        <f t="shared" si="919"/>
        <v>0</v>
      </c>
      <c r="AO2673" s="498">
        <f t="shared" si="920"/>
        <v>0</v>
      </c>
      <c r="AP2673" s="498">
        <f t="shared" si="939"/>
        <v>0</v>
      </c>
      <c r="AQ2673" s="498">
        <f t="shared" si="934"/>
        <v>0</v>
      </c>
      <c r="AU2673" s="498">
        <f t="shared" si="921"/>
        <v>0</v>
      </c>
      <c r="AV2673" s="498">
        <f t="shared" si="922"/>
        <v>0</v>
      </c>
      <c r="AW2673" s="498">
        <f t="shared" si="923"/>
        <v>0</v>
      </c>
      <c r="AX2673" s="498">
        <f t="shared" si="924"/>
        <v>0</v>
      </c>
      <c r="AY2673" s="498">
        <f t="shared" si="925"/>
        <v>0</v>
      </c>
      <c r="BB2673" s="498" t="str">
        <f t="shared" si="926"/>
        <v/>
      </c>
      <c r="BC2673" s="743" t="str">
        <f t="shared" si="927"/>
        <v/>
      </c>
      <c r="BD2673" s="743" t="str">
        <f t="shared" si="928"/>
        <v/>
      </c>
      <c r="BE2673" s="743" t="str">
        <f>IF(D2673="","",VLOOKUP(D2673,'General Basis'!$J$39:$K$46,2,0))</f>
        <v/>
      </c>
      <c r="BF2673" s="744" t="str">
        <f>IF(D2673="","",VLOOKUP(D2673,'General Basis'!$J$39:$L$46,3,0))</f>
        <v/>
      </c>
      <c r="BG2673" s="744" t="str">
        <f t="shared" si="935"/>
        <v/>
      </c>
      <c r="BH2673" s="744" t="str">
        <f>IF(G2673="","",IF(BF2673="Abu Dhabi",IF(G2673&lt;18,'General Basis'!$C$39,IF(G2673&lt;41,'General Basis'!$C$40,IF(G2673&lt;60,'General Basis'!$C$41,IF(G2673&lt;65,'General Basis'!$C$42,'General Basis'!$C$43)))),IF(G2673&lt;11,'General Basis'!$B$39,IF(G2673&lt;18,'General Basis'!$B$40,IF(G2673&lt;26,'General Basis'!$B$41,IF(G2673&lt;31,'General Basis'!$B$42,IF(G2673&lt;36,'General Basis'!$B$43,IF(G2673&lt;41,'General Basis'!$B$44,IF(G2673&lt;46,'General Basis'!$B$45,IF(G2673&lt;51,'General Basis'!$B$46,IF(G2673&lt;56,'General Basis'!$B$47,IF(G2673&lt;60,'General Basis'!$B$48,IF(G2673&lt;65,'General Basis'!$B$49,'General Basis'!$B$50)))))))))))))</f>
        <v/>
      </c>
      <c r="BI2673" s="744" t="str">
        <f t="shared" si="929"/>
        <v/>
      </c>
      <c r="BJ2673" s="747" t="str">
        <f t="shared" si="936"/>
        <v/>
      </c>
      <c r="BK2673" s="498" t="str">
        <f t="shared" si="930"/>
        <v/>
      </c>
      <c r="BL2673" s="498" t="str">
        <f t="shared" si="931"/>
        <v/>
      </c>
    </row>
    <row r="2674" spans="1:64" x14ac:dyDescent="0.25">
      <c r="A2674" s="762">
        <f t="shared" si="932"/>
        <v>2669</v>
      </c>
      <c r="B2674" s="229"/>
      <c r="C2674" s="223"/>
      <c r="D2674" s="224"/>
      <c r="E2674" s="225"/>
      <c r="F2674" s="1036" t="str">
        <f t="shared" si="938"/>
        <v/>
      </c>
      <c r="G2674" s="1037" t="str">
        <f t="shared" si="933"/>
        <v/>
      </c>
      <c r="H2674" s="225"/>
      <c r="I2674" s="1013"/>
      <c r="J2674" s="1013"/>
      <c r="K2674" s="1028"/>
      <c r="L2674" s="1035" t="str">
        <f t="shared" si="937"/>
        <v/>
      </c>
      <c r="S2674" s="498"/>
      <c r="AJ2674" s="498"/>
      <c r="AM2674" s="498">
        <f t="shared" si="918"/>
        <v>0</v>
      </c>
      <c r="AN2674" s="498">
        <f t="shared" si="919"/>
        <v>0</v>
      </c>
      <c r="AO2674" s="498">
        <f t="shared" si="920"/>
        <v>0</v>
      </c>
      <c r="AP2674" s="498">
        <f t="shared" si="939"/>
        <v>0</v>
      </c>
      <c r="AQ2674" s="498">
        <f t="shared" si="934"/>
        <v>0</v>
      </c>
      <c r="AU2674" s="498">
        <f t="shared" si="921"/>
        <v>0</v>
      </c>
      <c r="AV2674" s="498">
        <f t="shared" si="922"/>
        <v>0</v>
      </c>
      <c r="AW2674" s="498">
        <f t="shared" si="923"/>
        <v>0</v>
      </c>
      <c r="AX2674" s="498">
        <f t="shared" si="924"/>
        <v>0</v>
      </c>
      <c r="AY2674" s="498">
        <f t="shared" si="925"/>
        <v>0</v>
      </c>
      <c r="BB2674" s="498" t="str">
        <f t="shared" si="926"/>
        <v/>
      </c>
      <c r="BC2674" s="743" t="str">
        <f t="shared" si="927"/>
        <v/>
      </c>
      <c r="BD2674" s="743" t="str">
        <f t="shared" si="928"/>
        <v/>
      </c>
      <c r="BE2674" s="743" t="str">
        <f>IF(D2674="","",VLOOKUP(D2674,'General Basis'!$J$39:$K$46,2,0))</f>
        <v/>
      </c>
      <c r="BF2674" s="744" t="str">
        <f>IF(D2674="","",VLOOKUP(D2674,'General Basis'!$J$39:$L$46,3,0))</f>
        <v/>
      </c>
      <c r="BG2674" s="744" t="str">
        <f t="shared" si="935"/>
        <v/>
      </c>
      <c r="BH2674" s="744" t="str">
        <f>IF(G2674="","",IF(BF2674="Abu Dhabi",IF(G2674&lt;18,'General Basis'!$C$39,IF(G2674&lt;41,'General Basis'!$C$40,IF(G2674&lt;60,'General Basis'!$C$41,IF(G2674&lt;65,'General Basis'!$C$42,'General Basis'!$C$43)))),IF(G2674&lt;11,'General Basis'!$B$39,IF(G2674&lt;18,'General Basis'!$B$40,IF(G2674&lt;26,'General Basis'!$B$41,IF(G2674&lt;31,'General Basis'!$B$42,IF(G2674&lt;36,'General Basis'!$B$43,IF(G2674&lt;41,'General Basis'!$B$44,IF(G2674&lt;46,'General Basis'!$B$45,IF(G2674&lt;51,'General Basis'!$B$46,IF(G2674&lt;56,'General Basis'!$B$47,IF(G2674&lt;60,'General Basis'!$B$48,IF(G2674&lt;65,'General Basis'!$B$49,'General Basis'!$B$50)))))))))))))</f>
        <v/>
      </c>
      <c r="BI2674" s="744" t="str">
        <f t="shared" si="929"/>
        <v/>
      </c>
      <c r="BJ2674" s="747" t="str">
        <f t="shared" si="936"/>
        <v/>
      </c>
      <c r="BK2674" s="498" t="str">
        <f t="shared" si="930"/>
        <v/>
      </c>
      <c r="BL2674" s="498" t="str">
        <f t="shared" si="931"/>
        <v/>
      </c>
    </row>
    <row r="2675" spans="1:64" x14ac:dyDescent="0.25">
      <c r="A2675" s="762">
        <f t="shared" si="932"/>
        <v>2670</v>
      </c>
      <c r="B2675" s="229"/>
      <c r="C2675" s="223"/>
      <c r="D2675" s="224"/>
      <c r="E2675" s="225"/>
      <c r="F2675" s="1036" t="str">
        <f t="shared" si="938"/>
        <v/>
      </c>
      <c r="G2675" s="1037" t="str">
        <f t="shared" si="933"/>
        <v/>
      </c>
      <c r="H2675" s="225"/>
      <c r="I2675" s="1013"/>
      <c r="J2675" s="1013"/>
      <c r="K2675" s="1028"/>
      <c r="L2675" s="1035" t="str">
        <f t="shared" si="937"/>
        <v/>
      </c>
      <c r="S2675" s="498"/>
      <c r="AJ2675" s="498"/>
      <c r="AM2675" s="498">
        <f t="shared" si="918"/>
        <v>0</v>
      </c>
      <c r="AN2675" s="498">
        <f t="shared" si="919"/>
        <v>0</v>
      </c>
      <c r="AO2675" s="498">
        <f t="shared" si="920"/>
        <v>0</v>
      </c>
      <c r="AP2675" s="498">
        <f t="shared" si="939"/>
        <v>0</v>
      </c>
      <c r="AQ2675" s="498">
        <f t="shared" si="934"/>
        <v>0</v>
      </c>
      <c r="AU2675" s="498">
        <f t="shared" si="921"/>
        <v>0</v>
      </c>
      <c r="AV2675" s="498">
        <f t="shared" si="922"/>
        <v>0</v>
      </c>
      <c r="AW2675" s="498">
        <f t="shared" si="923"/>
        <v>0</v>
      </c>
      <c r="AX2675" s="498">
        <f t="shared" si="924"/>
        <v>0</v>
      </c>
      <c r="AY2675" s="498">
        <f t="shared" si="925"/>
        <v>0</v>
      </c>
      <c r="BB2675" s="498" t="str">
        <f t="shared" si="926"/>
        <v/>
      </c>
      <c r="BC2675" s="743" t="str">
        <f t="shared" si="927"/>
        <v/>
      </c>
      <c r="BD2675" s="743" t="str">
        <f t="shared" si="928"/>
        <v/>
      </c>
      <c r="BE2675" s="743" t="str">
        <f>IF(D2675="","",VLOOKUP(D2675,'General Basis'!$J$39:$K$46,2,0))</f>
        <v/>
      </c>
      <c r="BF2675" s="744" t="str">
        <f>IF(D2675="","",VLOOKUP(D2675,'General Basis'!$J$39:$L$46,3,0))</f>
        <v/>
      </c>
      <c r="BG2675" s="744" t="str">
        <f t="shared" si="935"/>
        <v/>
      </c>
      <c r="BH2675" s="744" t="str">
        <f>IF(G2675="","",IF(BF2675="Abu Dhabi",IF(G2675&lt;18,'General Basis'!$C$39,IF(G2675&lt;41,'General Basis'!$C$40,IF(G2675&lt;60,'General Basis'!$C$41,IF(G2675&lt;65,'General Basis'!$C$42,'General Basis'!$C$43)))),IF(G2675&lt;11,'General Basis'!$B$39,IF(G2675&lt;18,'General Basis'!$B$40,IF(G2675&lt;26,'General Basis'!$B$41,IF(G2675&lt;31,'General Basis'!$B$42,IF(G2675&lt;36,'General Basis'!$B$43,IF(G2675&lt;41,'General Basis'!$B$44,IF(G2675&lt;46,'General Basis'!$B$45,IF(G2675&lt;51,'General Basis'!$B$46,IF(G2675&lt;56,'General Basis'!$B$47,IF(G2675&lt;60,'General Basis'!$B$48,IF(G2675&lt;65,'General Basis'!$B$49,'General Basis'!$B$50)))))))))))))</f>
        <v/>
      </c>
      <c r="BI2675" s="744" t="str">
        <f t="shared" si="929"/>
        <v/>
      </c>
      <c r="BJ2675" s="747" t="str">
        <f t="shared" si="936"/>
        <v/>
      </c>
      <c r="BK2675" s="498" t="str">
        <f t="shared" si="930"/>
        <v/>
      </c>
      <c r="BL2675" s="498" t="str">
        <f t="shared" si="931"/>
        <v/>
      </c>
    </row>
    <row r="2676" spans="1:64" x14ac:dyDescent="0.25">
      <c r="A2676" s="762">
        <f t="shared" si="932"/>
        <v>2671</v>
      </c>
      <c r="B2676" s="229"/>
      <c r="C2676" s="223"/>
      <c r="D2676" s="224"/>
      <c r="E2676" s="225"/>
      <c r="F2676" s="1036" t="str">
        <f t="shared" si="938"/>
        <v/>
      </c>
      <c r="G2676" s="1037" t="str">
        <f t="shared" si="933"/>
        <v/>
      </c>
      <c r="H2676" s="225"/>
      <c r="I2676" s="1013"/>
      <c r="J2676" s="1013"/>
      <c r="K2676" s="1028"/>
      <c r="L2676" s="1035" t="str">
        <f t="shared" si="937"/>
        <v/>
      </c>
      <c r="S2676" s="498"/>
      <c r="AJ2676" s="498"/>
      <c r="AM2676" s="498">
        <f t="shared" si="918"/>
        <v>0</v>
      </c>
      <c r="AN2676" s="498">
        <f t="shared" si="919"/>
        <v>0</v>
      </c>
      <c r="AO2676" s="498">
        <f t="shared" si="920"/>
        <v>0</v>
      </c>
      <c r="AP2676" s="498">
        <f t="shared" si="939"/>
        <v>0</v>
      </c>
      <c r="AQ2676" s="498">
        <f t="shared" si="934"/>
        <v>0</v>
      </c>
      <c r="AU2676" s="498">
        <f t="shared" si="921"/>
        <v>0</v>
      </c>
      <c r="AV2676" s="498">
        <f t="shared" si="922"/>
        <v>0</v>
      </c>
      <c r="AW2676" s="498">
        <f t="shared" si="923"/>
        <v>0</v>
      </c>
      <c r="AX2676" s="498">
        <f t="shared" si="924"/>
        <v>0</v>
      </c>
      <c r="AY2676" s="498">
        <f t="shared" si="925"/>
        <v>0</v>
      </c>
      <c r="BB2676" s="498" t="str">
        <f t="shared" si="926"/>
        <v/>
      </c>
      <c r="BC2676" s="743" t="str">
        <f t="shared" si="927"/>
        <v/>
      </c>
      <c r="BD2676" s="743" t="str">
        <f t="shared" si="928"/>
        <v/>
      </c>
      <c r="BE2676" s="743" t="str">
        <f>IF(D2676="","",VLOOKUP(D2676,'General Basis'!$J$39:$K$46,2,0))</f>
        <v/>
      </c>
      <c r="BF2676" s="744" t="str">
        <f>IF(D2676="","",VLOOKUP(D2676,'General Basis'!$J$39:$L$46,3,0))</f>
        <v/>
      </c>
      <c r="BG2676" s="744" t="str">
        <f t="shared" si="935"/>
        <v/>
      </c>
      <c r="BH2676" s="744" t="str">
        <f>IF(G2676="","",IF(BF2676="Abu Dhabi",IF(G2676&lt;18,'General Basis'!$C$39,IF(G2676&lt;41,'General Basis'!$C$40,IF(G2676&lt;60,'General Basis'!$C$41,IF(G2676&lt;65,'General Basis'!$C$42,'General Basis'!$C$43)))),IF(G2676&lt;11,'General Basis'!$B$39,IF(G2676&lt;18,'General Basis'!$B$40,IF(G2676&lt;26,'General Basis'!$B$41,IF(G2676&lt;31,'General Basis'!$B$42,IF(G2676&lt;36,'General Basis'!$B$43,IF(G2676&lt;41,'General Basis'!$B$44,IF(G2676&lt;46,'General Basis'!$B$45,IF(G2676&lt;51,'General Basis'!$B$46,IF(G2676&lt;56,'General Basis'!$B$47,IF(G2676&lt;60,'General Basis'!$B$48,IF(G2676&lt;65,'General Basis'!$B$49,'General Basis'!$B$50)))))))))))))</f>
        <v/>
      </c>
      <c r="BI2676" s="744" t="str">
        <f t="shared" si="929"/>
        <v/>
      </c>
      <c r="BJ2676" s="747" t="str">
        <f t="shared" si="936"/>
        <v/>
      </c>
      <c r="BK2676" s="498" t="str">
        <f t="shared" si="930"/>
        <v/>
      </c>
      <c r="BL2676" s="498" t="str">
        <f t="shared" si="931"/>
        <v/>
      </c>
    </row>
    <row r="2677" spans="1:64" x14ac:dyDescent="0.25">
      <c r="A2677" s="762">
        <f t="shared" si="932"/>
        <v>2672</v>
      </c>
      <c r="B2677" s="229"/>
      <c r="C2677" s="223"/>
      <c r="D2677" s="224"/>
      <c r="E2677" s="225"/>
      <c r="F2677" s="1036" t="str">
        <f t="shared" si="938"/>
        <v/>
      </c>
      <c r="G2677" s="1037" t="str">
        <f t="shared" si="933"/>
        <v/>
      </c>
      <c r="H2677" s="225"/>
      <c r="I2677" s="1013"/>
      <c r="J2677" s="1013"/>
      <c r="K2677" s="1028"/>
      <c r="L2677" s="1035" t="str">
        <f t="shared" si="937"/>
        <v/>
      </c>
      <c r="S2677" s="498"/>
      <c r="AJ2677" s="498"/>
      <c r="AM2677" s="498">
        <f t="shared" si="918"/>
        <v>0</v>
      </c>
      <c r="AN2677" s="498">
        <f t="shared" si="919"/>
        <v>0</v>
      </c>
      <c r="AO2677" s="498">
        <f t="shared" si="920"/>
        <v>0</v>
      </c>
      <c r="AP2677" s="498">
        <f t="shared" si="939"/>
        <v>0</v>
      </c>
      <c r="AQ2677" s="498">
        <f t="shared" si="934"/>
        <v>0</v>
      </c>
      <c r="AU2677" s="498">
        <f t="shared" si="921"/>
        <v>0</v>
      </c>
      <c r="AV2677" s="498">
        <f t="shared" si="922"/>
        <v>0</v>
      </c>
      <c r="AW2677" s="498">
        <f t="shared" si="923"/>
        <v>0</v>
      </c>
      <c r="AX2677" s="498">
        <f t="shared" si="924"/>
        <v>0</v>
      </c>
      <c r="AY2677" s="498">
        <f t="shared" si="925"/>
        <v>0</v>
      </c>
      <c r="BB2677" s="498" t="str">
        <f t="shared" si="926"/>
        <v/>
      </c>
      <c r="BC2677" s="743" t="str">
        <f t="shared" si="927"/>
        <v/>
      </c>
      <c r="BD2677" s="743" t="str">
        <f t="shared" si="928"/>
        <v/>
      </c>
      <c r="BE2677" s="743" t="str">
        <f>IF(D2677="","",VLOOKUP(D2677,'General Basis'!$J$39:$K$46,2,0))</f>
        <v/>
      </c>
      <c r="BF2677" s="744" t="str">
        <f>IF(D2677="","",VLOOKUP(D2677,'General Basis'!$J$39:$L$46,3,0))</f>
        <v/>
      </c>
      <c r="BG2677" s="744" t="str">
        <f t="shared" si="935"/>
        <v/>
      </c>
      <c r="BH2677" s="744" t="str">
        <f>IF(G2677="","",IF(BF2677="Abu Dhabi",IF(G2677&lt;18,'General Basis'!$C$39,IF(G2677&lt;41,'General Basis'!$C$40,IF(G2677&lt;60,'General Basis'!$C$41,IF(G2677&lt;65,'General Basis'!$C$42,'General Basis'!$C$43)))),IF(G2677&lt;11,'General Basis'!$B$39,IF(G2677&lt;18,'General Basis'!$B$40,IF(G2677&lt;26,'General Basis'!$B$41,IF(G2677&lt;31,'General Basis'!$B$42,IF(G2677&lt;36,'General Basis'!$B$43,IF(G2677&lt;41,'General Basis'!$B$44,IF(G2677&lt;46,'General Basis'!$B$45,IF(G2677&lt;51,'General Basis'!$B$46,IF(G2677&lt;56,'General Basis'!$B$47,IF(G2677&lt;60,'General Basis'!$B$48,IF(G2677&lt;65,'General Basis'!$B$49,'General Basis'!$B$50)))))))))))))</f>
        <v/>
      </c>
      <c r="BI2677" s="744" t="str">
        <f t="shared" si="929"/>
        <v/>
      </c>
      <c r="BJ2677" s="747" t="str">
        <f t="shared" si="936"/>
        <v/>
      </c>
      <c r="BK2677" s="498" t="str">
        <f t="shared" si="930"/>
        <v/>
      </c>
      <c r="BL2677" s="498" t="str">
        <f t="shared" si="931"/>
        <v/>
      </c>
    </row>
    <row r="2678" spans="1:64" x14ac:dyDescent="0.25">
      <c r="A2678" s="762">
        <f t="shared" si="932"/>
        <v>2673</v>
      </c>
      <c r="B2678" s="229"/>
      <c r="C2678" s="223"/>
      <c r="D2678" s="224"/>
      <c r="E2678" s="225"/>
      <c r="F2678" s="1036" t="str">
        <f t="shared" si="938"/>
        <v/>
      </c>
      <c r="G2678" s="1037" t="str">
        <f t="shared" si="933"/>
        <v/>
      </c>
      <c r="H2678" s="225"/>
      <c r="I2678" s="1013"/>
      <c r="J2678" s="1013"/>
      <c r="K2678" s="1028"/>
      <c r="L2678" s="1035" t="str">
        <f t="shared" si="937"/>
        <v/>
      </c>
      <c r="S2678" s="498"/>
      <c r="AJ2678" s="498"/>
      <c r="AM2678" s="498">
        <f t="shared" si="918"/>
        <v>0</v>
      </c>
      <c r="AN2678" s="498">
        <f t="shared" si="919"/>
        <v>0</v>
      </c>
      <c r="AO2678" s="498">
        <f t="shared" si="920"/>
        <v>0</v>
      </c>
      <c r="AP2678" s="498">
        <f t="shared" si="939"/>
        <v>0</v>
      </c>
      <c r="AQ2678" s="498">
        <f t="shared" si="934"/>
        <v>0</v>
      </c>
      <c r="AU2678" s="498">
        <f t="shared" si="921"/>
        <v>0</v>
      </c>
      <c r="AV2678" s="498">
        <f t="shared" si="922"/>
        <v>0</v>
      </c>
      <c r="AW2678" s="498">
        <f t="shared" si="923"/>
        <v>0</v>
      </c>
      <c r="AX2678" s="498">
        <f t="shared" si="924"/>
        <v>0</v>
      </c>
      <c r="AY2678" s="498">
        <f t="shared" si="925"/>
        <v>0</v>
      </c>
      <c r="BB2678" s="498" t="str">
        <f t="shared" si="926"/>
        <v/>
      </c>
      <c r="BC2678" s="743" t="str">
        <f t="shared" si="927"/>
        <v/>
      </c>
      <c r="BD2678" s="743" t="str">
        <f t="shared" si="928"/>
        <v/>
      </c>
      <c r="BE2678" s="743" t="str">
        <f>IF(D2678="","",VLOOKUP(D2678,'General Basis'!$J$39:$K$46,2,0))</f>
        <v/>
      </c>
      <c r="BF2678" s="744" t="str">
        <f>IF(D2678="","",VLOOKUP(D2678,'General Basis'!$J$39:$L$46,3,0))</f>
        <v/>
      </c>
      <c r="BG2678" s="744" t="str">
        <f t="shared" si="935"/>
        <v/>
      </c>
      <c r="BH2678" s="744" t="str">
        <f>IF(G2678="","",IF(BF2678="Abu Dhabi",IF(G2678&lt;18,'General Basis'!$C$39,IF(G2678&lt;41,'General Basis'!$C$40,IF(G2678&lt;60,'General Basis'!$C$41,IF(G2678&lt;65,'General Basis'!$C$42,'General Basis'!$C$43)))),IF(G2678&lt;11,'General Basis'!$B$39,IF(G2678&lt;18,'General Basis'!$B$40,IF(G2678&lt;26,'General Basis'!$B$41,IF(G2678&lt;31,'General Basis'!$B$42,IF(G2678&lt;36,'General Basis'!$B$43,IF(G2678&lt;41,'General Basis'!$B$44,IF(G2678&lt;46,'General Basis'!$B$45,IF(G2678&lt;51,'General Basis'!$B$46,IF(G2678&lt;56,'General Basis'!$B$47,IF(G2678&lt;60,'General Basis'!$B$48,IF(G2678&lt;65,'General Basis'!$B$49,'General Basis'!$B$50)))))))))))))</f>
        <v/>
      </c>
      <c r="BI2678" s="744" t="str">
        <f t="shared" si="929"/>
        <v/>
      </c>
      <c r="BJ2678" s="747" t="str">
        <f t="shared" si="936"/>
        <v/>
      </c>
      <c r="BK2678" s="498" t="str">
        <f t="shared" si="930"/>
        <v/>
      </c>
      <c r="BL2678" s="498" t="str">
        <f t="shared" si="931"/>
        <v/>
      </c>
    </row>
    <row r="2679" spans="1:64" x14ac:dyDescent="0.25">
      <c r="A2679" s="762">
        <f t="shared" si="932"/>
        <v>2674</v>
      </c>
      <c r="B2679" s="229"/>
      <c r="C2679" s="223"/>
      <c r="D2679" s="224"/>
      <c r="E2679" s="225"/>
      <c r="F2679" s="1036" t="str">
        <f t="shared" si="938"/>
        <v/>
      </c>
      <c r="G2679" s="1037" t="str">
        <f t="shared" si="933"/>
        <v/>
      </c>
      <c r="H2679" s="225"/>
      <c r="I2679" s="1013"/>
      <c r="J2679" s="1013"/>
      <c r="K2679" s="1028"/>
      <c r="L2679" s="1035" t="str">
        <f t="shared" si="937"/>
        <v/>
      </c>
      <c r="S2679" s="498"/>
      <c r="AJ2679" s="498"/>
      <c r="AM2679" s="498">
        <f t="shared" si="918"/>
        <v>0</v>
      </c>
      <c r="AN2679" s="498">
        <f t="shared" si="919"/>
        <v>0</v>
      </c>
      <c r="AO2679" s="498">
        <f t="shared" si="920"/>
        <v>0</v>
      </c>
      <c r="AP2679" s="498">
        <f t="shared" si="939"/>
        <v>0</v>
      </c>
      <c r="AQ2679" s="498">
        <f t="shared" si="934"/>
        <v>0</v>
      </c>
      <c r="AU2679" s="498">
        <f t="shared" si="921"/>
        <v>0</v>
      </c>
      <c r="AV2679" s="498">
        <f t="shared" si="922"/>
        <v>0</v>
      </c>
      <c r="AW2679" s="498">
        <f t="shared" si="923"/>
        <v>0</v>
      </c>
      <c r="AX2679" s="498">
        <f t="shared" si="924"/>
        <v>0</v>
      </c>
      <c r="AY2679" s="498">
        <f t="shared" si="925"/>
        <v>0</v>
      </c>
      <c r="BB2679" s="498" t="str">
        <f t="shared" si="926"/>
        <v/>
      </c>
      <c r="BC2679" s="743" t="str">
        <f t="shared" si="927"/>
        <v/>
      </c>
      <c r="BD2679" s="743" t="str">
        <f t="shared" si="928"/>
        <v/>
      </c>
      <c r="BE2679" s="743" t="str">
        <f>IF(D2679="","",VLOOKUP(D2679,'General Basis'!$J$39:$K$46,2,0))</f>
        <v/>
      </c>
      <c r="BF2679" s="744" t="str">
        <f>IF(D2679="","",VLOOKUP(D2679,'General Basis'!$J$39:$L$46,3,0))</f>
        <v/>
      </c>
      <c r="BG2679" s="744" t="str">
        <f t="shared" si="935"/>
        <v/>
      </c>
      <c r="BH2679" s="744" t="str">
        <f>IF(G2679="","",IF(BF2679="Abu Dhabi",IF(G2679&lt;18,'General Basis'!$C$39,IF(G2679&lt;41,'General Basis'!$C$40,IF(G2679&lt;60,'General Basis'!$C$41,IF(G2679&lt;65,'General Basis'!$C$42,'General Basis'!$C$43)))),IF(G2679&lt;11,'General Basis'!$B$39,IF(G2679&lt;18,'General Basis'!$B$40,IF(G2679&lt;26,'General Basis'!$B$41,IF(G2679&lt;31,'General Basis'!$B$42,IF(G2679&lt;36,'General Basis'!$B$43,IF(G2679&lt;41,'General Basis'!$B$44,IF(G2679&lt;46,'General Basis'!$B$45,IF(G2679&lt;51,'General Basis'!$B$46,IF(G2679&lt;56,'General Basis'!$B$47,IF(G2679&lt;60,'General Basis'!$B$48,IF(G2679&lt;65,'General Basis'!$B$49,'General Basis'!$B$50)))))))))))))</f>
        <v/>
      </c>
      <c r="BI2679" s="744" t="str">
        <f t="shared" si="929"/>
        <v/>
      </c>
      <c r="BJ2679" s="747" t="str">
        <f t="shared" si="936"/>
        <v/>
      </c>
      <c r="BK2679" s="498" t="str">
        <f t="shared" si="930"/>
        <v/>
      </c>
      <c r="BL2679" s="498" t="str">
        <f t="shared" si="931"/>
        <v/>
      </c>
    </row>
    <row r="2680" spans="1:64" x14ac:dyDescent="0.25">
      <c r="A2680" s="762">
        <f t="shared" si="932"/>
        <v>2675</v>
      </c>
      <c r="B2680" s="229"/>
      <c r="C2680" s="223"/>
      <c r="D2680" s="224"/>
      <c r="E2680" s="225"/>
      <c r="F2680" s="1036" t="str">
        <f t="shared" si="938"/>
        <v/>
      </c>
      <c r="G2680" s="1037" t="str">
        <f t="shared" si="933"/>
        <v/>
      </c>
      <c r="H2680" s="225"/>
      <c r="I2680" s="1013"/>
      <c r="J2680" s="1013"/>
      <c r="K2680" s="1028"/>
      <c r="L2680" s="1035" t="str">
        <f t="shared" si="937"/>
        <v/>
      </c>
      <c r="S2680" s="498"/>
      <c r="AJ2680" s="498"/>
      <c r="AM2680" s="498">
        <f t="shared" si="918"/>
        <v>0</v>
      </c>
      <c r="AN2680" s="498">
        <f t="shared" si="919"/>
        <v>0</v>
      </c>
      <c r="AO2680" s="498">
        <f t="shared" si="920"/>
        <v>0</v>
      </c>
      <c r="AP2680" s="498">
        <f t="shared" si="939"/>
        <v>0</v>
      </c>
      <c r="AQ2680" s="498">
        <f t="shared" si="934"/>
        <v>0</v>
      </c>
      <c r="AU2680" s="498">
        <f t="shared" si="921"/>
        <v>0</v>
      </c>
      <c r="AV2680" s="498">
        <f t="shared" si="922"/>
        <v>0</v>
      </c>
      <c r="AW2680" s="498">
        <f t="shared" si="923"/>
        <v>0</v>
      </c>
      <c r="AX2680" s="498">
        <f t="shared" si="924"/>
        <v>0</v>
      </c>
      <c r="AY2680" s="498">
        <f t="shared" si="925"/>
        <v>0</v>
      </c>
      <c r="BB2680" s="498" t="str">
        <f t="shared" si="926"/>
        <v/>
      </c>
      <c r="BC2680" s="743" t="str">
        <f t="shared" si="927"/>
        <v/>
      </c>
      <c r="BD2680" s="743" t="str">
        <f t="shared" si="928"/>
        <v/>
      </c>
      <c r="BE2680" s="743" t="str">
        <f>IF(D2680="","",VLOOKUP(D2680,'General Basis'!$J$39:$K$46,2,0))</f>
        <v/>
      </c>
      <c r="BF2680" s="744" t="str">
        <f>IF(D2680="","",VLOOKUP(D2680,'General Basis'!$J$39:$L$46,3,0))</f>
        <v/>
      </c>
      <c r="BG2680" s="744" t="str">
        <f t="shared" si="935"/>
        <v/>
      </c>
      <c r="BH2680" s="744" t="str">
        <f>IF(G2680="","",IF(BF2680="Abu Dhabi",IF(G2680&lt;18,'General Basis'!$C$39,IF(G2680&lt;41,'General Basis'!$C$40,IF(G2680&lt;60,'General Basis'!$C$41,IF(G2680&lt;65,'General Basis'!$C$42,'General Basis'!$C$43)))),IF(G2680&lt;11,'General Basis'!$B$39,IF(G2680&lt;18,'General Basis'!$B$40,IF(G2680&lt;26,'General Basis'!$B$41,IF(G2680&lt;31,'General Basis'!$B$42,IF(G2680&lt;36,'General Basis'!$B$43,IF(G2680&lt;41,'General Basis'!$B$44,IF(G2680&lt;46,'General Basis'!$B$45,IF(G2680&lt;51,'General Basis'!$B$46,IF(G2680&lt;56,'General Basis'!$B$47,IF(G2680&lt;60,'General Basis'!$B$48,IF(G2680&lt;65,'General Basis'!$B$49,'General Basis'!$B$50)))))))))))))</f>
        <v/>
      </c>
      <c r="BI2680" s="744" t="str">
        <f t="shared" si="929"/>
        <v/>
      </c>
      <c r="BJ2680" s="747" t="str">
        <f t="shared" si="936"/>
        <v/>
      </c>
      <c r="BK2680" s="498" t="str">
        <f t="shared" si="930"/>
        <v/>
      </c>
      <c r="BL2680" s="498" t="str">
        <f t="shared" si="931"/>
        <v/>
      </c>
    </row>
    <row r="2681" spans="1:64" x14ac:dyDescent="0.25">
      <c r="A2681" s="762">
        <f t="shared" si="932"/>
        <v>2676</v>
      </c>
      <c r="B2681" s="229"/>
      <c r="C2681" s="223"/>
      <c r="D2681" s="224"/>
      <c r="E2681" s="225"/>
      <c r="F2681" s="1036" t="str">
        <f t="shared" si="938"/>
        <v/>
      </c>
      <c r="G2681" s="1037" t="str">
        <f t="shared" si="933"/>
        <v/>
      </c>
      <c r="H2681" s="225"/>
      <c r="I2681" s="1013"/>
      <c r="J2681" s="1013"/>
      <c r="K2681" s="1028"/>
      <c r="L2681" s="1035" t="str">
        <f t="shared" si="937"/>
        <v/>
      </c>
      <c r="S2681" s="498"/>
      <c r="AJ2681" s="498"/>
      <c r="AM2681" s="498">
        <f t="shared" si="918"/>
        <v>0</v>
      </c>
      <c r="AN2681" s="498">
        <f t="shared" si="919"/>
        <v>0</v>
      </c>
      <c r="AO2681" s="498">
        <f t="shared" si="920"/>
        <v>0</v>
      </c>
      <c r="AP2681" s="498">
        <f t="shared" si="939"/>
        <v>0</v>
      </c>
      <c r="AQ2681" s="498">
        <f t="shared" si="934"/>
        <v>0</v>
      </c>
      <c r="AU2681" s="498">
        <f t="shared" si="921"/>
        <v>0</v>
      </c>
      <c r="AV2681" s="498">
        <f t="shared" si="922"/>
        <v>0</v>
      </c>
      <c r="AW2681" s="498">
        <f t="shared" si="923"/>
        <v>0</v>
      </c>
      <c r="AX2681" s="498">
        <f t="shared" si="924"/>
        <v>0</v>
      </c>
      <c r="AY2681" s="498">
        <f t="shared" si="925"/>
        <v>0</v>
      </c>
      <c r="BB2681" s="498" t="str">
        <f t="shared" si="926"/>
        <v/>
      </c>
      <c r="BC2681" s="743" t="str">
        <f t="shared" si="927"/>
        <v/>
      </c>
      <c r="BD2681" s="743" t="str">
        <f t="shared" si="928"/>
        <v/>
      </c>
      <c r="BE2681" s="743" t="str">
        <f>IF(D2681="","",VLOOKUP(D2681,'General Basis'!$J$39:$K$46,2,0))</f>
        <v/>
      </c>
      <c r="BF2681" s="744" t="str">
        <f>IF(D2681="","",VLOOKUP(D2681,'General Basis'!$J$39:$L$46,3,0))</f>
        <v/>
      </c>
      <c r="BG2681" s="744" t="str">
        <f t="shared" si="935"/>
        <v/>
      </c>
      <c r="BH2681" s="744" t="str">
        <f>IF(G2681="","",IF(BF2681="Abu Dhabi",IF(G2681&lt;18,'General Basis'!$C$39,IF(G2681&lt;41,'General Basis'!$C$40,IF(G2681&lt;60,'General Basis'!$C$41,IF(G2681&lt;65,'General Basis'!$C$42,'General Basis'!$C$43)))),IF(G2681&lt;11,'General Basis'!$B$39,IF(G2681&lt;18,'General Basis'!$B$40,IF(G2681&lt;26,'General Basis'!$B$41,IF(G2681&lt;31,'General Basis'!$B$42,IF(G2681&lt;36,'General Basis'!$B$43,IF(G2681&lt;41,'General Basis'!$B$44,IF(G2681&lt;46,'General Basis'!$B$45,IF(G2681&lt;51,'General Basis'!$B$46,IF(G2681&lt;56,'General Basis'!$B$47,IF(G2681&lt;60,'General Basis'!$B$48,IF(G2681&lt;65,'General Basis'!$B$49,'General Basis'!$B$50)))))))))))))</f>
        <v/>
      </c>
      <c r="BI2681" s="744" t="str">
        <f t="shared" si="929"/>
        <v/>
      </c>
      <c r="BJ2681" s="747" t="str">
        <f t="shared" si="936"/>
        <v/>
      </c>
      <c r="BK2681" s="498" t="str">
        <f t="shared" si="930"/>
        <v/>
      </c>
      <c r="BL2681" s="498" t="str">
        <f t="shared" si="931"/>
        <v/>
      </c>
    </row>
    <row r="2682" spans="1:64" x14ac:dyDescent="0.25">
      <c r="A2682" s="762">
        <f t="shared" si="932"/>
        <v>2677</v>
      </c>
      <c r="B2682" s="229"/>
      <c r="C2682" s="223"/>
      <c r="D2682" s="224"/>
      <c r="E2682" s="225"/>
      <c r="F2682" s="1036" t="str">
        <f t="shared" si="938"/>
        <v/>
      </c>
      <c r="G2682" s="1037" t="str">
        <f t="shared" si="933"/>
        <v/>
      </c>
      <c r="H2682" s="225"/>
      <c r="I2682" s="1013"/>
      <c r="J2682" s="1013"/>
      <c r="K2682" s="1028"/>
      <c r="L2682" s="1035" t="str">
        <f t="shared" si="937"/>
        <v/>
      </c>
      <c r="S2682" s="498"/>
      <c r="AJ2682" s="498"/>
      <c r="AM2682" s="498">
        <f t="shared" si="918"/>
        <v>0</v>
      </c>
      <c r="AN2682" s="498">
        <f t="shared" si="919"/>
        <v>0</v>
      </c>
      <c r="AO2682" s="498">
        <f t="shared" si="920"/>
        <v>0</v>
      </c>
      <c r="AP2682" s="498">
        <f t="shared" si="939"/>
        <v>0</v>
      </c>
      <c r="AQ2682" s="498">
        <f t="shared" si="934"/>
        <v>0</v>
      </c>
      <c r="AU2682" s="498">
        <f t="shared" si="921"/>
        <v>0</v>
      </c>
      <c r="AV2682" s="498">
        <f t="shared" si="922"/>
        <v>0</v>
      </c>
      <c r="AW2682" s="498">
        <f t="shared" si="923"/>
        <v>0</v>
      </c>
      <c r="AX2682" s="498">
        <f t="shared" si="924"/>
        <v>0</v>
      </c>
      <c r="AY2682" s="498">
        <f t="shared" si="925"/>
        <v>0</v>
      </c>
      <c r="BB2682" s="498" t="str">
        <f t="shared" si="926"/>
        <v/>
      </c>
      <c r="BC2682" s="743" t="str">
        <f t="shared" si="927"/>
        <v/>
      </c>
      <c r="BD2682" s="743" t="str">
        <f t="shared" si="928"/>
        <v/>
      </c>
      <c r="BE2682" s="743" t="str">
        <f>IF(D2682="","",VLOOKUP(D2682,'General Basis'!$J$39:$K$46,2,0))</f>
        <v/>
      </c>
      <c r="BF2682" s="744" t="str">
        <f>IF(D2682="","",VLOOKUP(D2682,'General Basis'!$J$39:$L$46,3,0))</f>
        <v/>
      </c>
      <c r="BG2682" s="744" t="str">
        <f t="shared" si="935"/>
        <v/>
      </c>
      <c r="BH2682" s="744" t="str">
        <f>IF(G2682="","",IF(BF2682="Abu Dhabi",IF(G2682&lt;18,'General Basis'!$C$39,IF(G2682&lt;41,'General Basis'!$C$40,IF(G2682&lt;60,'General Basis'!$C$41,IF(G2682&lt;65,'General Basis'!$C$42,'General Basis'!$C$43)))),IF(G2682&lt;11,'General Basis'!$B$39,IF(G2682&lt;18,'General Basis'!$B$40,IF(G2682&lt;26,'General Basis'!$B$41,IF(G2682&lt;31,'General Basis'!$B$42,IF(G2682&lt;36,'General Basis'!$B$43,IF(G2682&lt;41,'General Basis'!$B$44,IF(G2682&lt;46,'General Basis'!$B$45,IF(G2682&lt;51,'General Basis'!$B$46,IF(G2682&lt;56,'General Basis'!$B$47,IF(G2682&lt;60,'General Basis'!$B$48,IF(G2682&lt;65,'General Basis'!$B$49,'General Basis'!$B$50)))))))))))))</f>
        <v/>
      </c>
      <c r="BI2682" s="744" t="str">
        <f t="shared" si="929"/>
        <v/>
      </c>
      <c r="BJ2682" s="747" t="str">
        <f t="shared" si="936"/>
        <v/>
      </c>
      <c r="BK2682" s="498" t="str">
        <f t="shared" si="930"/>
        <v/>
      </c>
      <c r="BL2682" s="498" t="str">
        <f t="shared" si="931"/>
        <v/>
      </c>
    </row>
    <row r="2683" spans="1:64" x14ac:dyDescent="0.25">
      <c r="A2683" s="762">
        <f t="shared" si="932"/>
        <v>2678</v>
      </c>
      <c r="B2683" s="229"/>
      <c r="C2683" s="223"/>
      <c r="D2683" s="224"/>
      <c r="E2683" s="225"/>
      <c r="F2683" s="1036" t="str">
        <f t="shared" si="938"/>
        <v/>
      </c>
      <c r="G2683" s="1037" t="str">
        <f t="shared" si="933"/>
        <v/>
      </c>
      <c r="H2683" s="225"/>
      <c r="I2683" s="1013"/>
      <c r="J2683" s="1013"/>
      <c r="K2683" s="1028"/>
      <c r="L2683" s="1035" t="str">
        <f t="shared" si="937"/>
        <v/>
      </c>
      <c r="S2683" s="498"/>
      <c r="AJ2683" s="498"/>
      <c r="AM2683" s="498">
        <f t="shared" si="918"/>
        <v>0</v>
      </c>
      <c r="AN2683" s="498">
        <f t="shared" si="919"/>
        <v>0</v>
      </c>
      <c r="AO2683" s="498">
        <f t="shared" si="920"/>
        <v>0</v>
      </c>
      <c r="AP2683" s="498">
        <f t="shared" si="939"/>
        <v>0</v>
      </c>
      <c r="AQ2683" s="498">
        <f t="shared" si="934"/>
        <v>0</v>
      </c>
      <c r="AU2683" s="498">
        <f t="shared" si="921"/>
        <v>0</v>
      </c>
      <c r="AV2683" s="498">
        <f t="shared" si="922"/>
        <v>0</v>
      </c>
      <c r="AW2683" s="498">
        <f t="shared" si="923"/>
        <v>0</v>
      </c>
      <c r="AX2683" s="498">
        <f t="shared" si="924"/>
        <v>0</v>
      </c>
      <c r="AY2683" s="498">
        <f t="shared" si="925"/>
        <v>0</v>
      </c>
      <c r="BB2683" s="498" t="str">
        <f t="shared" si="926"/>
        <v/>
      </c>
      <c r="BC2683" s="743" t="str">
        <f t="shared" si="927"/>
        <v/>
      </c>
      <c r="BD2683" s="743" t="str">
        <f t="shared" si="928"/>
        <v/>
      </c>
      <c r="BE2683" s="743" t="str">
        <f>IF(D2683="","",VLOOKUP(D2683,'General Basis'!$J$39:$K$46,2,0))</f>
        <v/>
      </c>
      <c r="BF2683" s="744" t="str">
        <f>IF(D2683="","",VLOOKUP(D2683,'General Basis'!$J$39:$L$46,3,0))</f>
        <v/>
      </c>
      <c r="BG2683" s="744" t="str">
        <f t="shared" si="935"/>
        <v/>
      </c>
      <c r="BH2683" s="744" t="str">
        <f>IF(G2683="","",IF(BF2683="Abu Dhabi",IF(G2683&lt;18,'General Basis'!$C$39,IF(G2683&lt;41,'General Basis'!$C$40,IF(G2683&lt;60,'General Basis'!$C$41,IF(G2683&lt;65,'General Basis'!$C$42,'General Basis'!$C$43)))),IF(G2683&lt;11,'General Basis'!$B$39,IF(G2683&lt;18,'General Basis'!$B$40,IF(G2683&lt;26,'General Basis'!$B$41,IF(G2683&lt;31,'General Basis'!$B$42,IF(G2683&lt;36,'General Basis'!$B$43,IF(G2683&lt;41,'General Basis'!$B$44,IF(G2683&lt;46,'General Basis'!$B$45,IF(G2683&lt;51,'General Basis'!$B$46,IF(G2683&lt;56,'General Basis'!$B$47,IF(G2683&lt;60,'General Basis'!$B$48,IF(G2683&lt;65,'General Basis'!$B$49,'General Basis'!$B$50)))))))))))))</f>
        <v/>
      </c>
      <c r="BI2683" s="744" t="str">
        <f t="shared" si="929"/>
        <v/>
      </c>
      <c r="BJ2683" s="747" t="str">
        <f t="shared" si="936"/>
        <v/>
      </c>
      <c r="BK2683" s="498" t="str">
        <f t="shared" si="930"/>
        <v/>
      </c>
      <c r="BL2683" s="498" t="str">
        <f t="shared" si="931"/>
        <v/>
      </c>
    </row>
    <row r="2684" spans="1:64" x14ac:dyDescent="0.25">
      <c r="A2684" s="762">
        <f t="shared" si="932"/>
        <v>2679</v>
      </c>
      <c r="B2684" s="229"/>
      <c r="C2684" s="223"/>
      <c r="D2684" s="224"/>
      <c r="E2684" s="225"/>
      <c r="F2684" s="1036" t="str">
        <f t="shared" si="938"/>
        <v/>
      </c>
      <c r="G2684" s="1037" t="str">
        <f t="shared" si="933"/>
        <v/>
      </c>
      <c r="H2684" s="225"/>
      <c r="I2684" s="1013"/>
      <c r="J2684" s="1013"/>
      <c r="K2684" s="1028"/>
      <c r="L2684" s="1035" t="str">
        <f t="shared" si="937"/>
        <v/>
      </c>
      <c r="S2684" s="498"/>
      <c r="AJ2684" s="498"/>
      <c r="AM2684" s="498">
        <f t="shared" si="918"/>
        <v>0</v>
      </c>
      <c r="AN2684" s="498">
        <f t="shared" si="919"/>
        <v>0</v>
      </c>
      <c r="AO2684" s="498">
        <f t="shared" si="920"/>
        <v>0</v>
      </c>
      <c r="AP2684" s="498">
        <f t="shared" si="939"/>
        <v>0</v>
      </c>
      <c r="AQ2684" s="498">
        <f t="shared" si="934"/>
        <v>0</v>
      </c>
      <c r="AU2684" s="498">
        <f t="shared" si="921"/>
        <v>0</v>
      </c>
      <c r="AV2684" s="498">
        <f t="shared" si="922"/>
        <v>0</v>
      </c>
      <c r="AW2684" s="498">
        <f t="shared" si="923"/>
        <v>0</v>
      </c>
      <c r="AX2684" s="498">
        <f t="shared" si="924"/>
        <v>0</v>
      </c>
      <c r="AY2684" s="498">
        <f t="shared" si="925"/>
        <v>0</v>
      </c>
      <c r="BB2684" s="498" t="str">
        <f t="shared" si="926"/>
        <v/>
      </c>
      <c r="BC2684" s="743" t="str">
        <f t="shared" si="927"/>
        <v/>
      </c>
      <c r="BD2684" s="743" t="str">
        <f t="shared" si="928"/>
        <v/>
      </c>
      <c r="BE2684" s="743" t="str">
        <f>IF(D2684="","",VLOOKUP(D2684,'General Basis'!$J$39:$K$46,2,0))</f>
        <v/>
      </c>
      <c r="BF2684" s="744" t="str">
        <f>IF(D2684="","",VLOOKUP(D2684,'General Basis'!$J$39:$L$46,3,0))</f>
        <v/>
      </c>
      <c r="BG2684" s="744" t="str">
        <f t="shared" si="935"/>
        <v/>
      </c>
      <c r="BH2684" s="744" t="str">
        <f>IF(G2684="","",IF(BF2684="Abu Dhabi",IF(G2684&lt;18,'General Basis'!$C$39,IF(G2684&lt;41,'General Basis'!$C$40,IF(G2684&lt;60,'General Basis'!$C$41,IF(G2684&lt;65,'General Basis'!$C$42,'General Basis'!$C$43)))),IF(G2684&lt;11,'General Basis'!$B$39,IF(G2684&lt;18,'General Basis'!$B$40,IF(G2684&lt;26,'General Basis'!$B$41,IF(G2684&lt;31,'General Basis'!$B$42,IF(G2684&lt;36,'General Basis'!$B$43,IF(G2684&lt;41,'General Basis'!$B$44,IF(G2684&lt;46,'General Basis'!$B$45,IF(G2684&lt;51,'General Basis'!$B$46,IF(G2684&lt;56,'General Basis'!$B$47,IF(G2684&lt;60,'General Basis'!$B$48,IF(G2684&lt;65,'General Basis'!$B$49,'General Basis'!$B$50)))))))))))))</f>
        <v/>
      </c>
      <c r="BI2684" s="744" t="str">
        <f t="shared" si="929"/>
        <v/>
      </c>
      <c r="BJ2684" s="747" t="str">
        <f t="shared" si="936"/>
        <v/>
      </c>
      <c r="BK2684" s="498" t="str">
        <f t="shared" si="930"/>
        <v/>
      </c>
      <c r="BL2684" s="498" t="str">
        <f t="shared" si="931"/>
        <v/>
      </c>
    </row>
    <row r="2685" spans="1:64" x14ac:dyDescent="0.25">
      <c r="A2685" s="762">
        <f t="shared" si="932"/>
        <v>2680</v>
      </c>
      <c r="B2685" s="229"/>
      <c r="C2685" s="223"/>
      <c r="D2685" s="224"/>
      <c r="E2685" s="225"/>
      <c r="F2685" s="1036" t="str">
        <f t="shared" si="938"/>
        <v/>
      </c>
      <c r="G2685" s="1037" t="str">
        <f t="shared" si="933"/>
        <v/>
      </c>
      <c r="H2685" s="225"/>
      <c r="I2685" s="1013"/>
      <c r="J2685" s="1013"/>
      <c r="K2685" s="1028"/>
      <c r="L2685" s="1035" t="str">
        <f t="shared" si="937"/>
        <v/>
      </c>
      <c r="S2685" s="498"/>
      <c r="AJ2685" s="498"/>
      <c r="AM2685" s="498">
        <f t="shared" si="918"/>
        <v>0</v>
      </c>
      <c r="AN2685" s="498">
        <f t="shared" si="919"/>
        <v>0</v>
      </c>
      <c r="AO2685" s="498">
        <f t="shared" si="920"/>
        <v>0</v>
      </c>
      <c r="AP2685" s="498">
        <f t="shared" si="939"/>
        <v>0</v>
      </c>
      <c r="AQ2685" s="498">
        <f t="shared" si="934"/>
        <v>0</v>
      </c>
      <c r="AU2685" s="498">
        <f t="shared" si="921"/>
        <v>0</v>
      </c>
      <c r="AV2685" s="498">
        <f t="shared" si="922"/>
        <v>0</v>
      </c>
      <c r="AW2685" s="498">
        <f t="shared" si="923"/>
        <v>0</v>
      </c>
      <c r="AX2685" s="498">
        <f t="shared" si="924"/>
        <v>0</v>
      </c>
      <c r="AY2685" s="498">
        <f t="shared" si="925"/>
        <v>0</v>
      </c>
      <c r="BB2685" s="498" t="str">
        <f t="shared" si="926"/>
        <v/>
      </c>
      <c r="BC2685" s="743" t="str">
        <f t="shared" si="927"/>
        <v/>
      </c>
      <c r="BD2685" s="743" t="str">
        <f t="shared" si="928"/>
        <v/>
      </c>
      <c r="BE2685" s="743" t="str">
        <f>IF(D2685="","",VLOOKUP(D2685,'General Basis'!$J$39:$K$46,2,0))</f>
        <v/>
      </c>
      <c r="BF2685" s="744" t="str">
        <f>IF(D2685="","",VLOOKUP(D2685,'General Basis'!$J$39:$L$46,3,0))</f>
        <v/>
      </c>
      <c r="BG2685" s="744" t="str">
        <f t="shared" si="935"/>
        <v/>
      </c>
      <c r="BH2685" s="744" t="str">
        <f>IF(G2685="","",IF(BF2685="Abu Dhabi",IF(G2685&lt;18,'General Basis'!$C$39,IF(G2685&lt;41,'General Basis'!$C$40,IF(G2685&lt;60,'General Basis'!$C$41,IF(G2685&lt;65,'General Basis'!$C$42,'General Basis'!$C$43)))),IF(G2685&lt;11,'General Basis'!$B$39,IF(G2685&lt;18,'General Basis'!$B$40,IF(G2685&lt;26,'General Basis'!$B$41,IF(G2685&lt;31,'General Basis'!$B$42,IF(G2685&lt;36,'General Basis'!$B$43,IF(G2685&lt;41,'General Basis'!$B$44,IF(G2685&lt;46,'General Basis'!$B$45,IF(G2685&lt;51,'General Basis'!$B$46,IF(G2685&lt;56,'General Basis'!$B$47,IF(G2685&lt;60,'General Basis'!$B$48,IF(G2685&lt;65,'General Basis'!$B$49,'General Basis'!$B$50)))))))))))))</f>
        <v/>
      </c>
      <c r="BI2685" s="744" t="str">
        <f t="shared" si="929"/>
        <v/>
      </c>
      <c r="BJ2685" s="747" t="str">
        <f t="shared" si="936"/>
        <v/>
      </c>
      <c r="BK2685" s="498" t="str">
        <f t="shared" si="930"/>
        <v/>
      </c>
      <c r="BL2685" s="498" t="str">
        <f t="shared" si="931"/>
        <v/>
      </c>
    </row>
    <row r="2686" spans="1:64" x14ac:dyDescent="0.25">
      <c r="A2686" s="762">
        <f t="shared" si="932"/>
        <v>2681</v>
      </c>
      <c r="B2686" s="229"/>
      <c r="C2686" s="223"/>
      <c r="D2686" s="224"/>
      <c r="E2686" s="225"/>
      <c r="F2686" s="1036" t="str">
        <f t="shared" si="938"/>
        <v/>
      </c>
      <c r="G2686" s="1037" t="str">
        <f t="shared" si="933"/>
        <v/>
      </c>
      <c r="H2686" s="225"/>
      <c r="I2686" s="1013"/>
      <c r="J2686" s="1013"/>
      <c r="K2686" s="1028"/>
      <c r="L2686" s="1035" t="str">
        <f t="shared" si="937"/>
        <v/>
      </c>
      <c r="S2686" s="498"/>
      <c r="AJ2686" s="498"/>
      <c r="AM2686" s="498">
        <f t="shared" si="918"/>
        <v>0</v>
      </c>
      <c r="AN2686" s="498">
        <f t="shared" si="919"/>
        <v>0</v>
      </c>
      <c r="AO2686" s="498">
        <f t="shared" si="920"/>
        <v>0</v>
      </c>
      <c r="AP2686" s="498">
        <f t="shared" si="939"/>
        <v>0</v>
      </c>
      <c r="AQ2686" s="498">
        <f t="shared" si="934"/>
        <v>0</v>
      </c>
      <c r="AU2686" s="498">
        <f t="shared" si="921"/>
        <v>0</v>
      </c>
      <c r="AV2686" s="498">
        <f t="shared" si="922"/>
        <v>0</v>
      </c>
      <c r="AW2686" s="498">
        <f t="shared" si="923"/>
        <v>0</v>
      </c>
      <c r="AX2686" s="498">
        <f t="shared" si="924"/>
        <v>0</v>
      </c>
      <c r="AY2686" s="498">
        <f t="shared" si="925"/>
        <v>0</v>
      </c>
      <c r="BB2686" s="498" t="str">
        <f t="shared" si="926"/>
        <v/>
      </c>
      <c r="BC2686" s="743" t="str">
        <f t="shared" si="927"/>
        <v/>
      </c>
      <c r="BD2686" s="743" t="str">
        <f t="shared" si="928"/>
        <v/>
      </c>
      <c r="BE2686" s="743" t="str">
        <f>IF(D2686="","",VLOOKUP(D2686,'General Basis'!$J$39:$K$46,2,0))</f>
        <v/>
      </c>
      <c r="BF2686" s="744" t="str">
        <f>IF(D2686="","",VLOOKUP(D2686,'General Basis'!$J$39:$L$46,3,0))</f>
        <v/>
      </c>
      <c r="BG2686" s="744" t="str">
        <f t="shared" si="935"/>
        <v/>
      </c>
      <c r="BH2686" s="744" t="str">
        <f>IF(G2686="","",IF(BF2686="Abu Dhabi",IF(G2686&lt;18,'General Basis'!$C$39,IF(G2686&lt;41,'General Basis'!$C$40,IF(G2686&lt;60,'General Basis'!$C$41,IF(G2686&lt;65,'General Basis'!$C$42,'General Basis'!$C$43)))),IF(G2686&lt;11,'General Basis'!$B$39,IF(G2686&lt;18,'General Basis'!$B$40,IF(G2686&lt;26,'General Basis'!$B$41,IF(G2686&lt;31,'General Basis'!$B$42,IF(G2686&lt;36,'General Basis'!$B$43,IF(G2686&lt;41,'General Basis'!$B$44,IF(G2686&lt;46,'General Basis'!$B$45,IF(G2686&lt;51,'General Basis'!$B$46,IF(G2686&lt;56,'General Basis'!$B$47,IF(G2686&lt;60,'General Basis'!$B$48,IF(G2686&lt;65,'General Basis'!$B$49,'General Basis'!$B$50)))))))))))))</f>
        <v/>
      </c>
      <c r="BI2686" s="744" t="str">
        <f t="shared" si="929"/>
        <v/>
      </c>
      <c r="BJ2686" s="747" t="str">
        <f t="shared" si="936"/>
        <v/>
      </c>
      <c r="BK2686" s="498" t="str">
        <f t="shared" si="930"/>
        <v/>
      </c>
      <c r="BL2686" s="498" t="str">
        <f t="shared" si="931"/>
        <v/>
      </c>
    </row>
    <row r="2687" spans="1:64" x14ac:dyDescent="0.25">
      <c r="A2687" s="762">
        <f t="shared" si="932"/>
        <v>2682</v>
      </c>
      <c r="B2687" s="229"/>
      <c r="C2687" s="223"/>
      <c r="D2687" s="224"/>
      <c r="E2687" s="225"/>
      <c r="F2687" s="1036" t="str">
        <f t="shared" si="938"/>
        <v/>
      </c>
      <c r="G2687" s="1037" t="str">
        <f t="shared" si="933"/>
        <v/>
      </c>
      <c r="H2687" s="225"/>
      <c r="I2687" s="1013"/>
      <c r="J2687" s="1013"/>
      <c r="K2687" s="1028"/>
      <c r="L2687" s="1035" t="str">
        <f t="shared" si="937"/>
        <v/>
      </c>
      <c r="S2687" s="498"/>
      <c r="AJ2687" s="498"/>
      <c r="AM2687" s="498">
        <f t="shared" si="918"/>
        <v>0</v>
      </c>
      <c r="AN2687" s="498">
        <f t="shared" si="919"/>
        <v>0</v>
      </c>
      <c r="AO2687" s="498">
        <f t="shared" si="920"/>
        <v>0</v>
      </c>
      <c r="AP2687" s="498">
        <f t="shared" si="939"/>
        <v>0</v>
      </c>
      <c r="AQ2687" s="498">
        <f t="shared" si="934"/>
        <v>0</v>
      </c>
      <c r="AU2687" s="498">
        <f t="shared" si="921"/>
        <v>0</v>
      </c>
      <c r="AV2687" s="498">
        <f t="shared" si="922"/>
        <v>0</v>
      </c>
      <c r="AW2687" s="498">
        <f t="shared" si="923"/>
        <v>0</v>
      </c>
      <c r="AX2687" s="498">
        <f t="shared" si="924"/>
        <v>0</v>
      </c>
      <c r="AY2687" s="498">
        <f t="shared" si="925"/>
        <v>0</v>
      </c>
      <c r="BB2687" s="498" t="str">
        <f t="shared" si="926"/>
        <v/>
      </c>
      <c r="BC2687" s="743" t="str">
        <f t="shared" si="927"/>
        <v/>
      </c>
      <c r="BD2687" s="743" t="str">
        <f t="shared" si="928"/>
        <v/>
      </c>
      <c r="BE2687" s="743" t="str">
        <f>IF(D2687="","",VLOOKUP(D2687,'General Basis'!$J$39:$K$46,2,0))</f>
        <v/>
      </c>
      <c r="BF2687" s="744" t="str">
        <f>IF(D2687="","",VLOOKUP(D2687,'General Basis'!$J$39:$L$46,3,0))</f>
        <v/>
      </c>
      <c r="BG2687" s="744" t="str">
        <f t="shared" si="935"/>
        <v/>
      </c>
      <c r="BH2687" s="744" t="str">
        <f>IF(G2687="","",IF(BF2687="Abu Dhabi",IF(G2687&lt;18,'General Basis'!$C$39,IF(G2687&lt;41,'General Basis'!$C$40,IF(G2687&lt;60,'General Basis'!$C$41,IF(G2687&lt;65,'General Basis'!$C$42,'General Basis'!$C$43)))),IF(G2687&lt;11,'General Basis'!$B$39,IF(G2687&lt;18,'General Basis'!$B$40,IF(G2687&lt;26,'General Basis'!$B$41,IF(G2687&lt;31,'General Basis'!$B$42,IF(G2687&lt;36,'General Basis'!$B$43,IF(G2687&lt;41,'General Basis'!$B$44,IF(G2687&lt;46,'General Basis'!$B$45,IF(G2687&lt;51,'General Basis'!$B$46,IF(G2687&lt;56,'General Basis'!$B$47,IF(G2687&lt;60,'General Basis'!$B$48,IF(G2687&lt;65,'General Basis'!$B$49,'General Basis'!$B$50)))))))))))))</f>
        <v/>
      </c>
      <c r="BI2687" s="744" t="str">
        <f t="shared" si="929"/>
        <v/>
      </c>
      <c r="BJ2687" s="747" t="str">
        <f t="shared" si="936"/>
        <v/>
      </c>
      <c r="BK2687" s="498" t="str">
        <f t="shared" si="930"/>
        <v/>
      </c>
      <c r="BL2687" s="498" t="str">
        <f t="shared" si="931"/>
        <v/>
      </c>
    </row>
    <row r="2688" spans="1:64" x14ac:dyDescent="0.25">
      <c r="A2688" s="762">
        <f t="shared" si="932"/>
        <v>2683</v>
      </c>
      <c r="B2688" s="229"/>
      <c r="C2688" s="223"/>
      <c r="D2688" s="224"/>
      <c r="E2688" s="225"/>
      <c r="F2688" s="1036" t="str">
        <f t="shared" si="938"/>
        <v/>
      </c>
      <c r="G2688" s="1037" t="str">
        <f t="shared" si="933"/>
        <v/>
      </c>
      <c r="H2688" s="225"/>
      <c r="I2688" s="1013"/>
      <c r="J2688" s="1013"/>
      <c r="K2688" s="1028"/>
      <c r="L2688" s="1035" t="str">
        <f t="shared" si="937"/>
        <v/>
      </c>
      <c r="S2688" s="498"/>
      <c r="AJ2688" s="498"/>
      <c r="AM2688" s="498">
        <f t="shared" si="918"/>
        <v>0</v>
      </c>
      <c r="AN2688" s="498">
        <f t="shared" si="919"/>
        <v>0</v>
      </c>
      <c r="AO2688" s="498">
        <f t="shared" si="920"/>
        <v>0</v>
      </c>
      <c r="AP2688" s="498">
        <f t="shared" si="939"/>
        <v>0</v>
      </c>
      <c r="AQ2688" s="498">
        <f t="shared" si="934"/>
        <v>0</v>
      </c>
      <c r="AU2688" s="498">
        <f t="shared" si="921"/>
        <v>0</v>
      </c>
      <c r="AV2688" s="498">
        <f t="shared" si="922"/>
        <v>0</v>
      </c>
      <c r="AW2688" s="498">
        <f t="shared" si="923"/>
        <v>0</v>
      </c>
      <c r="AX2688" s="498">
        <f t="shared" si="924"/>
        <v>0</v>
      </c>
      <c r="AY2688" s="498">
        <f t="shared" si="925"/>
        <v>0</v>
      </c>
      <c r="BB2688" s="498" t="str">
        <f t="shared" si="926"/>
        <v/>
      </c>
      <c r="BC2688" s="743" t="str">
        <f t="shared" si="927"/>
        <v/>
      </c>
      <c r="BD2688" s="743" t="str">
        <f t="shared" si="928"/>
        <v/>
      </c>
      <c r="BE2688" s="743" t="str">
        <f>IF(D2688="","",VLOOKUP(D2688,'General Basis'!$J$39:$K$46,2,0))</f>
        <v/>
      </c>
      <c r="BF2688" s="744" t="str">
        <f>IF(D2688="","",VLOOKUP(D2688,'General Basis'!$J$39:$L$46,3,0))</f>
        <v/>
      </c>
      <c r="BG2688" s="744" t="str">
        <f t="shared" si="935"/>
        <v/>
      </c>
      <c r="BH2688" s="744" t="str">
        <f>IF(G2688="","",IF(BF2688="Abu Dhabi",IF(G2688&lt;18,'General Basis'!$C$39,IF(G2688&lt;41,'General Basis'!$C$40,IF(G2688&lt;60,'General Basis'!$C$41,IF(G2688&lt;65,'General Basis'!$C$42,'General Basis'!$C$43)))),IF(G2688&lt;11,'General Basis'!$B$39,IF(G2688&lt;18,'General Basis'!$B$40,IF(G2688&lt;26,'General Basis'!$B$41,IF(G2688&lt;31,'General Basis'!$B$42,IF(G2688&lt;36,'General Basis'!$B$43,IF(G2688&lt;41,'General Basis'!$B$44,IF(G2688&lt;46,'General Basis'!$B$45,IF(G2688&lt;51,'General Basis'!$B$46,IF(G2688&lt;56,'General Basis'!$B$47,IF(G2688&lt;60,'General Basis'!$B$48,IF(G2688&lt;65,'General Basis'!$B$49,'General Basis'!$B$50)))))))))))))</f>
        <v/>
      </c>
      <c r="BI2688" s="744" t="str">
        <f t="shared" si="929"/>
        <v/>
      </c>
      <c r="BJ2688" s="747" t="str">
        <f t="shared" si="936"/>
        <v/>
      </c>
      <c r="BK2688" s="498" t="str">
        <f t="shared" si="930"/>
        <v/>
      </c>
      <c r="BL2688" s="498" t="str">
        <f t="shared" si="931"/>
        <v/>
      </c>
    </row>
    <row r="2689" spans="1:64" x14ac:dyDescent="0.25">
      <c r="A2689" s="762">
        <f t="shared" si="932"/>
        <v>2684</v>
      </c>
      <c r="B2689" s="229"/>
      <c r="C2689" s="223"/>
      <c r="D2689" s="224"/>
      <c r="E2689" s="225"/>
      <c r="F2689" s="1036" t="str">
        <f t="shared" si="938"/>
        <v/>
      </c>
      <c r="G2689" s="1037" t="str">
        <f t="shared" si="933"/>
        <v/>
      </c>
      <c r="H2689" s="225"/>
      <c r="I2689" s="1013"/>
      <c r="J2689" s="1013"/>
      <c r="K2689" s="1028"/>
      <c r="L2689" s="1035" t="str">
        <f t="shared" si="937"/>
        <v/>
      </c>
      <c r="S2689" s="498"/>
      <c r="AJ2689" s="498"/>
      <c r="AM2689" s="498">
        <f t="shared" si="918"/>
        <v>0</v>
      </c>
      <c r="AN2689" s="498">
        <f t="shared" si="919"/>
        <v>0</v>
      </c>
      <c r="AO2689" s="498">
        <f t="shared" si="920"/>
        <v>0</v>
      </c>
      <c r="AP2689" s="498">
        <f t="shared" si="939"/>
        <v>0</v>
      </c>
      <c r="AQ2689" s="498">
        <f t="shared" si="934"/>
        <v>0</v>
      </c>
      <c r="AU2689" s="498">
        <f t="shared" si="921"/>
        <v>0</v>
      </c>
      <c r="AV2689" s="498">
        <f t="shared" si="922"/>
        <v>0</v>
      </c>
      <c r="AW2689" s="498">
        <f t="shared" si="923"/>
        <v>0</v>
      </c>
      <c r="AX2689" s="498">
        <f t="shared" si="924"/>
        <v>0</v>
      </c>
      <c r="AY2689" s="498">
        <f t="shared" si="925"/>
        <v>0</v>
      </c>
      <c r="BB2689" s="498" t="str">
        <f t="shared" si="926"/>
        <v/>
      </c>
      <c r="BC2689" s="743" t="str">
        <f t="shared" si="927"/>
        <v/>
      </c>
      <c r="BD2689" s="743" t="str">
        <f t="shared" si="928"/>
        <v/>
      </c>
      <c r="BE2689" s="743" t="str">
        <f>IF(D2689="","",VLOOKUP(D2689,'General Basis'!$J$39:$K$46,2,0))</f>
        <v/>
      </c>
      <c r="BF2689" s="744" t="str">
        <f>IF(D2689="","",VLOOKUP(D2689,'General Basis'!$J$39:$L$46,3,0))</f>
        <v/>
      </c>
      <c r="BG2689" s="744" t="str">
        <f t="shared" si="935"/>
        <v/>
      </c>
      <c r="BH2689" s="744" t="str">
        <f>IF(G2689="","",IF(BF2689="Abu Dhabi",IF(G2689&lt;18,'General Basis'!$C$39,IF(G2689&lt;41,'General Basis'!$C$40,IF(G2689&lt;60,'General Basis'!$C$41,IF(G2689&lt;65,'General Basis'!$C$42,'General Basis'!$C$43)))),IF(G2689&lt;11,'General Basis'!$B$39,IF(G2689&lt;18,'General Basis'!$B$40,IF(G2689&lt;26,'General Basis'!$B$41,IF(G2689&lt;31,'General Basis'!$B$42,IF(G2689&lt;36,'General Basis'!$B$43,IF(G2689&lt;41,'General Basis'!$B$44,IF(G2689&lt;46,'General Basis'!$B$45,IF(G2689&lt;51,'General Basis'!$B$46,IF(G2689&lt;56,'General Basis'!$B$47,IF(G2689&lt;60,'General Basis'!$B$48,IF(G2689&lt;65,'General Basis'!$B$49,'General Basis'!$B$50)))))))))))))</f>
        <v/>
      </c>
      <c r="BI2689" s="744" t="str">
        <f t="shared" si="929"/>
        <v/>
      </c>
      <c r="BJ2689" s="747" t="str">
        <f t="shared" si="936"/>
        <v/>
      </c>
      <c r="BK2689" s="498" t="str">
        <f t="shared" si="930"/>
        <v/>
      </c>
      <c r="BL2689" s="498" t="str">
        <f t="shared" si="931"/>
        <v/>
      </c>
    </row>
    <row r="2690" spans="1:64" x14ac:dyDescent="0.25">
      <c r="A2690" s="762">
        <f t="shared" si="932"/>
        <v>2685</v>
      </c>
      <c r="B2690" s="229"/>
      <c r="C2690" s="223"/>
      <c r="D2690" s="224"/>
      <c r="E2690" s="225"/>
      <c r="F2690" s="1036" t="str">
        <f t="shared" si="938"/>
        <v/>
      </c>
      <c r="G2690" s="1037" t="str">
        <f t="shared" si="933"/>
        <v/>
      </c>
      <c r="H2690" s="225"/>
      <c r="I2690" s="1013"/>
      <c r="J2690" s="1013"/>
      <c r="K2690" s="1028"/>
      <c r="L2690" s="1035" t="str">
        <f t="shared" si="937"/>
        <v/>
      </c>
      <c r="S2690" s="498"/>
      <c r="AJ2690" s="498"/>
      <c r="AM2690" s="498">
        <f t="shared" si="918"/>
        <v>0</v>
      </c>
      <c r="AN2690" s="498">
        <f t="shared" si="919"/>
        <v>0</v>
      </c>
      <c r="AO2690" s="498">
        <f t="shared" si="920"/>
        <v>0</v>
      </c>
      <c r="AP2690" s="498">
        <f t="shared" si="939"/>
        <v>0</v>
      </c>
      <c r="AQ2690" s="498">
        <f t="shared" si="934"/>
        <v>0</v>
      </c>
      <c r="AU2690" s="498">
        <f t="shared" si="921"/>
        <v>0</v>
      </c>
      <c r="AV2690" s="498">
        <f t="shared" si="922"/>
        <v>0</v>
      </c>
      <c r="AW2690" s="498">
        <f t="shared" si="923"/>
        <v>0</v>
      </c>
      <c r="AX2690" s="498">
        <f t="shared" si="924"/>
        <v>0</v>
      </c>
      <c r="AY2690" s="498">
        <f t="shared" si="925"/>
        <v>0</v>
      </c>
      <c r="BB2690" s="498" t="str">
        <f t="shared" si="926"/>
        <v/>
      </c>
      <c r="BC2690" s="743" t="str">
        <f t="shared" si="927"/>
        <v/>
      </c>
      <c r="BD2690" s="743" t="str">
        <f t="shared" si="928"/>
        <v/>
      </c>
      <c r="BE2690" s="743" t="str">
        <f>IF(D2690="","",VLOOKUP(D2690,'General Basis'!$J$39:$K$46,2,0))</f>
        <v/>
      </c>
      <c r="BF2690" s="744" t="str">
        <f>IF(D2690="","",VLOOKUP(D2690,'General Basis'!$J$39:$L$46,3,0))</f>
        <v/>
      </c>
      <c r="BG2690" s="744" t="str">
        <f t="shared" si="935"/>
        <v/>
      </c>
      <c r="BH2690" s="744" t="str">
        <f>IF(G2690="","",IF(BF2690="Abu Dhabi",IF(G2690&lt;18,'General Basis'!$C$39,IF(G2690&lt;41,'General Basis'!$C$40,IF(G2690&lt;60,'General Basis'!$C$41,IF(G2690&lt;65,'General Basis'!$C$42,'General Basis'!$C$43)))),IF(G2690&lt;11,'General Basis'!$B$39,IF(G2690&lt;18,'General Basis'!$B$40,IF(G2690&lt;26,'General Basis'!$B$41,IF(G2690&lt;31,'General Basis'!$B$42,IF(G2690&lt;36,'General Basis'!$B$43,IF(G2690&lt;41,'General Basis'!$B$44,IF(G2690&lt;46,'General Basis'!$B$45,IF(G2690&lt;51,'General Basis'!$B$46,IF(G2690&lt;56,'General Basis'!$B$47,IF(G2690&lt;60,'General Basis'!$B$48,IF(G2690&lt;65,'General Basis'!$B$49,'General Basis'!$B$50)))))))))))))</f>
        <v/>
      </c>
      <c r="BI2690" s="744" t="str">
        <f t="shared" si="929"/>
        <v/>
      </c>
      <c r="BJ2690" s="747" t="str">
        <f t="shared" si="936"/>
        <v/>
      </c>
      <c r="BK2690" s="498" t="str">
        <f t="shared" si="930"/>
        <v/>
      </c>
      <c r="BL2690" s="498" t="str">
        <f t="shared" si="931"/>
        <v/>
      </c>
    </row>
    <row r="2691" spans="1:64" x14ac:dyDescent="0.25">
      <c r="A2691" s="762">
        <f t="shared" si="932"/>
        <v>2686</v>
      </c>
      <c r="B2691" s="229"/>
      <c r="C2691" s="223"/>
      <c r="D2691" s="224"/>
      <c r="E2691" s="225"/>
      <c r="F2691" s="1036" t="str">
        <f t="shared" si="938"/>
        <v/>
      </c>
      <c r="G2691" s="1037" t="str">
        <f t="shared" si="933"/>
        <v/>
      </c>
      <c r="H2691" s="225"/>
      <c r="I2691" s="1013"/>
      <c r="J2691" s="1013"/>
      <c r="K2691" s="1028"/>
      <c r="L2691" s="1035" t="str">
        <f t="shared" si="937"/>
        <v/>
      </c>
      <c r="S2691" s="498"/>
      <c r="AJ2691" s="498"/>
      <c r="AM2691" s="498">
        <f t="shared" si="918"/>
        <v>0</v>
      </c>
      <c r="AN2691" s="498">
        <f t="shared" si="919"/>
        <v>0</v>
      </c>
      <c r="AO2691" s="498">
        <f t="shared" si="920"/>
        <v>0</v>
      </c>
      <c r="AP2691" s="498">
        <f t="shared" si="939"/>
        <v>0</v>
      </c>
      <c r="AQ2691" s="498">
        <f t="shared" si="934"/>
        <v>0</v>
      </c>
      <c r="AU2691" s="498">
        <f t="shared" si="921"/>
        <v>0</v>
      </c>
      <c r="AV2691" s="498">
        <f t="shared" si="922"/>
        <v>0</v>
      </c>
      <c r="AW2691" s="498">
        <f t="shared" si="923"/>
        <v>0</v>
      </c>
      <c r="AX2691" s="498">
        <f t="shared" si="924"/>
        <v>0</v>
      </c>
      <c r="AY2691" s="498">
        <f t="shared" si="925"/>
        <v>0</v>
      </c>
      <c r="BB2691" s="498" t="str">
        <f t="shared" si="926"/>
        <v/>
      </c>
      <c r="BC2691" s="743" t="str">
        <f t="shared" si="927"/>
        <v/>
      </c>
      <c r="BD2691" s="743" t="str">
        <f t="shared" si="928"/>
        <v/>
      </c>
      <c r="BE2691" s="743" t="str">
        <f>IF(D2691="","",VLOOKUP(D2691,'General Basis'!$J$39:$K$46,2,0))</f>
        <v/>
      </c>
      <c r="BF2691" s="744" t="str">
        <f>IF(D2691="","",VLOOKUP(D2691,'General Basis'!$J$39:$L$46,3,0))</f>
        <v/>
      </c>
      <c r="BG2691" s="744" t="str">
        <f t="shared" si="935"/>
        <v/>
      </c>
      <c r="BH2691" s="744" t="str">
        <f>IF(G2691="","",IF(BF2691="Abu Dhabi",IF(G2691&lt;18,'General Basis'!$C$39,IF(G2691&lt;41,'General Basis'!$C$40,IF(G2691&lt;60,'General Basis'!$C$41,IF(G2691&lt;65,'General Basis'!$C$42,'General Basis'!$C$43)))),IF(G2691&lt;11,'General Basis'!$B$39,IF(G2691&lt;18,'General Basis'!$B$40,IF(G2691&lt;26,'General Basis'!$B$41,IF(G2691&lt;31,'General Basis'!$B$42,IF(G2691&lt;36,'General Basis'!$B$43,IF(G2691&lt;41,'General Basis'!$B$44,IF(G2691&lt;46,'General Basis'!$B$45,IF(G2691&lt;51,'General Basis'!$B$46,IF(G2691&lt;56,'General Basis'!$B$47,IF(G2691&lt;60,'General Basis'!$B$48,IF(G2691&lt;65,'General Basis'!$B$49,'General Basis'!$B$50)))))))))))))</f>
        <v/>
      </c>
      <c r="BI2691" s="744" t="str">
        <f t="shared" si="929"/>
        <v/>
      </c>
      <c r="BJ2691" s="747" t="str">
        <f t="shared" si="936"/>
        <v/>
      </c>
      <c r="BK2691" s="498" t="str">
        <f t="shared" si="930"/>
        <v/>
      </c>
      <c r="BL2691" s="498" t="str">
        <f t="shared" si="931"/>
        <v/>
      </c>
    </row>
    <row r="2692" spans="1:64" x14ac:dyDescent="0.25">
      <c r="A2692" s="762">
        <f t="shared" si="932"/>
        <v>2687</v>
      </c>
      <c r="B2692" s="229"/>
      <c r="C2692" s="223"/>
      <c r="D2692" s="224"/>
      <c r="E2692" s="225"/>
      <c r="F2692" s="1036" t="str">
        <f t="shared" si="938"/>
        <v/>
      </c>
      <c r="G2692" s="1037" t="str">
        <f t="shared" si="933"/>
        <v/>
      </c>
      <c r="H2692" s="225"/>
      <c r="I2692" s="1013"/>
      <c r="J2692" s="1013"/>
      <c r="K2692" s="1028"/>
      <c r="L2692" s="1035" t="str">
        <f t="shared" si="937"/>
        <v/>
      </c>
      <c r="S2692" s="498"/>
      <c r="AJ2692" s="498"/>
      <c r="AM2692" s="498">
        <f t="shared" si="918"/>
        <v>0</v>
      </c>
      <c r="AN2692" s="498">
        <f t="shared" si="919"/>
        <v>0</v>
      </c>
      <c r="AO2692" s="498">
        <f t="shared" si="920"/>
        <v>0</v>
      </c>
      <c r="AP2692" s="498">
        <f t="shared" si="939"/>
        <v>0</v>
      </c>
      <c r="AQ2692" s="498">
        <f t="shared" si="934"/>
        <v>0</v>
      </c>
      <c r="AU2692" s="498">
        <f t="shared" si="921"/>
        <v>0</v>
      </c>
      <c r="AV2692" s="498">
        <f t="shared" si="922"/>
        <v>0</v>
      </c>
      <c r="AW2692" s="498">
        <f t="shared" si="923"/>
        <v>0</v>
      </c>
      <c r="AX2692" s="498">
        <f t="shared" si="924"/>
        <v>0</v>
      </c>
      <c r="AY2692" s="498">
        <f t="shared" si="925"/>
        <v>0</v>
      </c>
      <c r="BB2692" s="498" t="str">
        <f t="shared" si="926"/>
        <v/>
      </c>
      <c r="BC2692" s="743" t="str">
        <f t="shared" si="927"/>
        <v/>
      </c>
      <c r="BD2692" s="743" t="str">
        <f t="shared" si="928"/>
        <v/>
      </c>
      <c r="BE2692" s="743" t="str">
        <f>IF(D2692="","",VLOOKUP(D2692,'General Basis'!$J$39:$K$46,2,0))</f>
        <v/>
      </c>
      <c r="BF2692" s="744" t="str">
        <f>IF(D2692="","",VLOOKUP(D2692,'General Basis'!$J$39:$L$46,3,0))</f>
        <v/>
      </c>
      <c r="BG2692" s="744" t="str">
        <f t="shared" si="935"/>
        <v/>
      </c>
      <c r="BH2692" s="744" t="str">
        <f>IF(G2692="","",IF(BF2692="Abu Dhabi",IF(G2692&lt;18,'General Basis'!$C$39,IF(G2692&lt;41,'General Basis'!$C$40,IF(G2692&lt;60,'General Basis'!$C$41,IF(G2692&lt;65,'General Basis'!$C$42,'General Basis'!$C$43)))),IF(G2692&lt;11,'General Basis'!$B$39,IF(G2692&lt;18,'General Basis'!$B$40,IF(G2692&lt;26,'General Basis'!$B$41,IF(G2692&lt;31,'General Basis'!$B$42,IF(G2692&lt;36,'General Basis'!$B$43,IF(G2692&lt;41,'General Basis'!$B$44,IF(G2692&lt;46,'General Basis'!$B$45,IF(G2692&lt;51,'General Basis'!$B$46,IF(G2692&lt;56,'General Basis'!$B$47,IF(G2692&lt;60,'General Basis'!$B$48,IF(G2692&lt;65,'General Basis'!$B$49,'General Basis'!$B$50)))))))))))))</f>
        <v/>
      </c>
      <c r="BI2692" s="744" t="str">
        <f t="shared" si="929"/>
        <v/>
      </c>
      <c r="BJ2692" s="747" t="str">
        <f t="shared" si="936"/>
        <v/>
      </c>
      <c r="BK2692" s="498" t="str">
        <f t="shared" si="930"/>
        <v/>
      </c>
      <c r="BL2692" s="498" t="str">
        <f t="shared" si="931"/>
        <v/>
      </c>
    </row>
    <row r="2693" spans="1:64" x14ac:dyDescent="0.25">
      <c r="A2693" s="762">
        <f t="shared" si="932"/>
        <v>2688</v>
      </c>
      <c r="B2693" s="229"/>
      <c r="C2693" s="223"/>
      <c r="D2693" s="224"/>
      <c r="E2693" s="225"/>
      <c r="F2693" s="1036" t="str">
        <f t="shared" si="938"/>
        <v/>
      </c>
      <c r="G2693" s="1037" t="str">
        <f t="shared" si="933"/>
        <v/>
      </c>
      <c r="H2693" s="225"/>
      <c r="I2693" s="1013"/>
      <c r="J2693" s="1013"/>
      <c r="K2693" s="1028"/>
      <c r="L2693" s="1035" t="str">
        <f t="shared" si="937"/>
        <v/>
      </c>
      <c r="S2693" s="498"/>
      <c r="AJ2693" s="498"/>
      <c r="AM2693" s="498">
        <f t="shared" si="918"/>
        <v>0</v>
      </c>
      <c r="AN2693" s="498">
        <f t="shared" si="919"/>
        <v>0</v>
      </c>
      <c r="AO2693" s="498">
        <f t="shared" si="920"/>
        <v>0</v>
      </c>
      <c r="AP2693" s="498">
        <f t="shared" si="939"/>
        <v>0</v>
      </c>
      <c r="AQ2693" s="498">
        <f t="shared" si="934"/>
        <v>0</v>
      </c>
      <c r="AU2693" s="498">
        <f t="shared" si="921"/>
        <v>0</v>
      </c>
      <c r="AV2693" s="498">
        <f t="shared" si="922"/>
        <v>0</v>
      </c>
      <c r="AW2693" s="498">
        <f t="shared" si="923"/>
        <v>0</v>
      </c>
      <c r="AX2693" s="498">
        <f t="shared" si="924"/>
        <v>0</v>
      </c>
      <c r="AY2693" s="498">
        <f t="shared" si="925"/>
        <v>0</v>
      </c>
      <c r="BB2693" s="498" t="str">
        <f t="shared" si="926"/>
        <v/>
      </c>
      <c r="BC2693" s="743" t="str">
        <f t="shared" si="927"/>
        <v/>
      </c>
      <c r="BD2693" s="743" t="str">
        <f t="shared" si="928"/>
        <v/>
      </c>
      <c r="BE2693" s="743" t="str">
        <f>IF(D2693="","",VLOOKUP(D2693,'General Basis'!$J$39:$K$46,2,0))</f>
        <v/>
      </c>
      <c r="BF2693" s="744" t="str">
        <f>IF(D2693="","",VLOOKUP(D2693,'General Basis'!$J$39:$L$46,3,0))</f>
        <v/>
      </c>
      <c r="BG2693" s="744" t="str">
        <f t="shared" si="935"/>
        <v/>
      </c>
      <c r="BH2693" s="744" t="str">
        <f>IF(G2693="","",IF(BF2693="Abu Dhabi",IF(G2693&lt;18,'General Basis'!$C$39,IF(G2693&lt;41,'General Basis'!$C$40,IF(G2693&lt;60,'General Basis'!$C$41,IF(G2693&lt;65,'General Basis'!$C$42,'General Basis'!$C$43)))),IF(G2693&lt;11,'General Basis'!$B$39,IF(G2693&lt;18,'General Basis'!$B$40,IF(G2693&lt;26,'General Basis'!$B$41,IF(G2693&lt;31,'General Basis'!$B$42,IF(G2693&lt;36,'General Basis'!$B$43,IF(G2693&lt;41,'General Basis'!$B$44,IF(G2693&lt;46,'General Basis'!$B$45,IF(G2693&lt;51,'General Basis'!$B$46,IF(G2693&lt;56,'General Basis'!$B$47,IF(G2693&lt;60,'General Basis'!$B$48,IF(G2693&lt;65,'General Basis'!$B$49,'General Basis'!$B$50)))))))))))))</f>
        <v/>
      </c>
      <c r="BI2693" s="744" t="str">
        <f t="shared" si="929"/>
        <v/>
      </c>
      <c r="BJ2693" s="747" t="str">
        <f t="shared" si="936"/>
        <v/>
      </c>
      <c r="BK2693" s="498" t="str">
        <f t="shared" si="930"/>
        <v/>
      </c>
      <c r="BL2693" s="498" t="str">
        <f t="shared" si="931"/>
        <v/>
      </c>
    </row>
    <row r="2694" spans="1:64" x14ac:dyDescent="0.25">
      <c r="A2694" s="762">
        <f t="shared" si="932"/>
        <v>2689</v>
      </c>
      <c r="B2694" s="229"/>
      <c r="C2694" s="223"/>
      <c r="D2694" s="224"/>
      <c r="E2694" s="225"/>
      <c r="F2694" s="1036" t="str">
        <f t="shared" si="938"/>
        <v/>
      </c>
      <c r="G2694" s="1037" t="str">
        <f t="shared" si="933"/>
        <v/>
      </c>
      <c r="H2694" s="225"/>
      <c r="I2694" s="1013"/>
      <c r="J2694" s="1013"/>
      <c r="K2694" s="1028"/>
      <c r="L2694" s="1035" t="str">
        <f t="shared" si="937"/>
        <v/>
      </c>
      <c r="S2694" s="498"/>
      <c r="AJ2694" s="498"/>
      <c r="AM2694" s="498">
        <f t="shared" ref="AM2694:AM2757" si="940">IF(ISTEXT(B2694),1,0)</f>
        <v>0</v>
      </c>
      <c r="AN2694" s="498">
        <f t="shared" ref="AN2694:AN2757" si="941">IF(ISBLANK(B2694),0,IF(B2694&lt;$AK$6,1,0))</f>
        <v>0</v>
      </c>
      <c r="AO2694" s="498">
        <f t="shared" ref="AO2694:AO2757" si="942">IF(ISBLANK(B2694),0,IF(B2694&gt;$AK$7,1,0))</f>
        <v>0</v>
      </c>
      <c r="AP2694" s="498">
        <f t="shared" si="939"/>
        <v>0</v>
      </c>
      <c r="AQ2694" s="498">
        <f t="shared" si="934"/>
        <v>0</v>
      </c>
      <c r="AU2694" s="498">
        <f t="shared" ref="AU2694:AU2757" si="943">IF(ISBLANK(B2694),0,1)</f>
        <v>0</v>
      </c>
      <c r="AV2694" s="498">
        <f t="shared" ref="AV2694:AV2757" si="944">IF(ISBLANK(C2694),0,1)</f>
        <v>0</v>
      </c>
      <c r="AW2694" s="498">
        <f t="shared" ref="AW2694:AW2757" si="945">IF(ISBLANK(D2694),0,1)</f>
        <v>0</v>
      </c>
      <c r="AX2694" s="498">
        <f t="shared" ref="AX2694:AX2757" si="946">IF(ISBLANK(E2694),0,1)</f>
        <v>0</v>
      </c>
      <c r="AY2694" s="498">
        <f t="shared" ref="AY2694:AY2757" si="947">IF(ISBLANK(H2694),0,1)</f>
        <v>0</v>
      </c>
      <c r="BB2694" s="498" t="str">
        <f t="shared" ref="BB2694:BB2757" si="948">IF(E2694="Principal","Principal",IF(E2694="","","Other"))</f>
        <v/>
      </c>
      <c r="BC2694" s="743" t="str">
        <f t="shared" ref="BC2694:BC2757" si="949">IF(D2694="","",D2694)</f>
        <v/>
      </c>
      <c r="BD2694" s="743" t="str">
        <f t="shared" ref="BD2694:BD2757" si="950">IF(E2694="Principal","Employee",IF(E2694="","","Dependent"))</f>
        <v/>
      </c>
      <c r="BE2694" s="743" t="str">
        <f>IF(D2694="","",VLOOKUP(D2694,'General Basis'!$J$39:$K$46,2,0))</f>
        <v/>
      </c>
      <c r="BF2694" s="744" t="str">
        <f>IF(D2694="","",VLOOKUP(D2694,'General Basis'!$J$39:$L$46,3,0))</f>
        <v/>
      </c>
      <c r="BG2694" s="744" t="str">
        <f t="shared" si="935"/>
        <v/>
      </c>
      <c r="BH2694" s="744" t="str">
        <f>IF(G2694="","",IF(BF2694="Abu Dhabi",IF(G2694&lt;18,'General Basis'!$C$39,IF(G2694&lt;41,'General Basis'!$C$40,IF(G2694&lt;60,'General Basis'!$C$41,IF(G2694&lt;65,'General Basis'!$C$42,'General Basis'!$C$43)))),IF(G2694&lt;11,'General Basis'!$B$39,IF(G2694&lt;18,'General Basis'!$B$40,IF(G2694&lt;26,'General Basis'!$B$41,IF(G2694&lt;31,'General Basis'!$B$42,IF(G2694&lt;36,'General Basis'!$B$43,IF(G2694&lt;41,'General Basis'!$B$44,IF(G2694&lt;46,'General Basis'!$B$45,IF(G2694&lt;51,'General Basis'!$B$46,IF(G2694&lt;56,'General Basis'!$B$47,IF(G2694&lt;60,'General Basis'!$B$48,IF(G2694&lt;65,'General Basis'!$B$49,'General Basis'!$B$50)))))))))))))</f>
        <v/>
      </c>
      <c r="BI2694" s="744" t="str">
        <f t="shared" ref="BI2694:BI2757" si="951">IF(C2694="","",IF(C2694="M","Male","Female"))</f>
        <v/>
      </c>
      <c r="BJ2694" s="747" t="str">
        <f t="shared" si="936"/>
        <v/>
      </c>
      <c r="BK2694" s="498" t="str">
        <f t="shared" ref="BK2694:BK2757" si="952">IF(BD2694="","",IF(AND(BD2694="Employee",BI2694="Male",BF2694="Abu Dhabi",BE2694=GN_Plus),VLOOKUP(BH2694,AUH_MALE_EMP,2,0),IF(AND(BD2694="Employee",BI2694="Male",BF2694="Abu Dhabi",BE2694=GN),VLOOKUP(BH2694,AUH_MALE_EMP,3,0),IF(AND(BD2694="Employee",BI2694="Male",BF2694="Abu Dhabi",BE2694=RN_Plus),VLOOKUP(BH2694,AUH_MALE_EMP,4,0),IF(AND(BD2694="Employee",BI2694="Male",BF2694="Abu Dhabi",BE2694=RN),VLOOKUP(BH2694,AUH_MALE_EMP,5,0),IF(AND(BD2694="Employee",BI2694="Male",BF2694="Abu Dhabi",BE2694=RN_2),VLOOKUP(BH2694,AUH_MALE_EMP,6,0),IF(AND(BD2694="Employee",BI2694="Male",BF2694="Abu Dhabi",BE2694=RN2_minus),VLOOKUP(BH2694,AUH_MALE_EMP,7,0),IF(AND(BD2694="Employee",BI2694="Male",BF2694="Abu Dhabi",BE2694=RN_3),VLOOKUP(BH2694,AUH_MALE_EMP,8,0),IF(AND(BD2694="Employee",BI2694="Male",BF2694="Abu Dhabi",BE2694=VN),VLOOKUP(BH2694,AUH_MALE_EMP,9,0),IF(BD2694="","",IF(AND(BD2694="Employee",BI2694="Female",BF2694="Abu Dhabi",BE2694=GN_Plus),VLOOKUP(BH2694,AUH_FEMALE_EMP,2,0),IF(AND(BD2694="Employee",BI2694="Female",BF2694="Abu Dhabi",BE2694=GN),VLOOKUP(BH2694,AUH_FEMALE_EMP,3,0),IF(AND(BD2694="Employee",BI2694="Female",BF2694="Abu Dhabi",BE2694=RN_Plus),VLOOKUP(BH2694,AUH_FEMALE_EMP,4,0),IF(AND(BD2694="Employee",BI2694="Female",BF2694="Abu Dhabi",BE2694=RN),VLOOKUP(BH2694,AUH_FEMALE_EMP,5,0),IF(AND(BD2694="Employee",BI2694="Female",BF2694="Abu Dhabi",BE2694=RN_2),VLOOKUP(BH2694,AUH_FEMALE_EMP,6,0),IF(AND(BD2694="Employee",BI2694="Female",BF2694="Abu Dhabi",BE2694=RN2_minus),VLOOKUP(BH2694,AUH_FEMALE_EMP,7,0),IF(AND(BD2694="Employee",BI2694="Female",BF2694="Abu Dhabi",BE2694=RN_3),VLOOKUP(BH2694,AUH_FEMALE_EMP,8,0),IF(AND(BD2694="Employee",BI2694="Female",BF2694="Abu Dhabi",BE2694=VN),VLOOKUP(BH2694,AUH_FEMALE_EMP,9,0),IF(BD2694="","",IF(AND(BD2694="Dependent",BI2694="Male",BF2694="Abu Dhabi",BE2694=GN_Plus),VLOOKUP(BH2694,AUH_MALE_DEP,2,0),IF(AND(BD2694="Dependent",BI2694="Male",BF2694="Abu Dhabi",BE2694=GN),VLOOKUP(BH2694,AUH_MALE_DEP,3,0),IF(AND(BD2694="Dependent",BI2694="Male",BF2694="Abu Dhabi",BE2694=RN_Plus),VLOOKUP(BH2694,AUH_MALE_DEP,4,0),IF(AND(BD2694="Dependent",BI2694="Male",BF2694="Abu Dhabi",BE2694=RN),VLOOKUP(BH2694,AUH_MALE_DEP,5,0),IF(AND(BD2694="Dependent",BI2694="Male",BF2694="Abu Dhabi",BE2694=RN_2),VLOOKUP(BH2694,AUH_MALE_DEP,6,0),IF(AND(BD2694="Dependent",BI2694="Male",BF2694="Abu Dhabi",BE2694=RN2_minus),VLOOKUP(BH2694,AUH_MALE_DEP,7,0),IF(AND(BD2694="Dependent",BI2694="Male",BF2694="Abu Dhabi",BE2694=RN_3),VLOOKUP(BH2694,AUH_MALE_DEP,8,0),IF(AND(BD2694="Dependent",BI2694="Male",BF2694="Abu Dhabi",BE2694=VN),VLOOKUP(BH2694,AUH_MALE_DEP,9,0),IF(BD2694="","",IF(AND(BD2694="Dependent",BI2694="Female",BF2694="Abu Dhabi",BE2694=GN_Plus),VLOOKUP(BH2694,AUH_FEMALE_DEP,2,0),IF(AND(BD2694="Dependent",BI2694="Female",BF2694="Abu Dhabi",BE2694=GN),VLOOKUP(BH2694,AUH_FEMALE_DEP,3,0),IF(AND(BD2694="Dependent",BI2694="Female",BF2694="Abu Dhabi",BE2694=RN_Plus),VLOOKUP(BH2694,AUH_FEMALE_DEP,4,0),IF(AND(BD2694="Dependent",BI2694="Female",BF2694="Abu Dhabi",BE2694=RN),VLOOKUP(BH2694,AUH_FEMALE_DEP,5,0),IF(AND(BD2694="Dependent",BI2694="Female",BF2694="Abu Dhabi",BE2694=RN_2),VLOOKUP(BH2694,AUH_FEMALE_DEP,6,0),IF(AND(BD2694="Dependent",BI2694="Female",BF2694="Abu Dhabi",BE2694=RN2_minus),VLOOKUP(BH2694,AUH_FEMALE_DEP,7,0),IF(AND(BD2694="Dependent",BI2694="Female",BF2694="Abu Dhabi",BE2694=RN_3),VLOOKUP(BH2694,AUH_FEMALE_DEP,8,0),IF(AND(BD2694="Dependent",BI2694="Female",BF2694="Abu Dhabi",BE2694=VN),VLOOKUP(BH2694,AUH_FEMALE_DEP,9,0),"ABC"))))))))))))))))))))))))))))))))))))</f>
        <v/>
      </c>
      <c r="BL2694" s="498" t="str">
        <f t="shared" ref="BL2694:BL2757" si="953">IF(BD2694="","",IF(AND(BD2694="Employee",BI2694="Male",BF2694="Dubai",BE2694=GN_Plus),VLOOKUP(BH2694,DXB_MALE_EMP,2,0),IF(AND(BD2694="Employee",BI2694="Male",BF2694="Dubai",BE2694=GN),VLOOKUP(BH2694,DXB_MALE_EMP,3,0),IF(AND(BD2694="Employee",BI2694="Male",BF2694="Dubai",BE2694=RN_Plus),VLOOKUP(BH2694,DXB_MALE_EMP,4,0),IF(AND(BD2694="Employee",BI2694="Male",BF2694="Dubai",BE2694=RN),VLOOKUP(BH2694,DXB_MALE_EMP,5,0),IF(AND(BD2694="Employee",BI2694="Male",BF2694="Dubai",BE2694=RN_2),VLOOKUP(BH2694,DXB_MALE_EMP,6,0),IF(AND(BD2694="Employee",BI2694="Male",BF2694="Dubai",BE2694=RN2_minus),VLOOKUP(BH2694,DXB_MALE_EMP,7,0),IF(AND(BD2694="Employee",BI2694="Male",BF2694="Dubai",BE2694=RN_3),VLOOKUP(BH2694,DXB_MALE_EMP,8,0),IF(AND(BD2694="Employee",BI2694="Male",BF2694="Dubai",BE2694=VN),VLOOKUP(BH2694,DXB_MALE_EMP,9,0),IF(BD2694="","",IF(AND(BD2694="Employee",BI2694="Female",BF2694="Dubai",BE2694=GN_Plus),VLOOKUP(BH2694,DXB_FEMALE_EMP,2,0),IF(AND(BD2694="Employee",BI2694="Female",BF2694="Dubai",BE2694=GN),VLOOKUP(BH2694,DXB_FEMALE_EMP,3,0),IF(AND(BD2694="Employee",BI2694="Female",BF2694="Dubai",BE2694=RN_Plus),VLOOKUP(BH2694,DXB_FEMALE_EMP,4,0),IF(AND(BD2694="Employee",BI2694="Female",BF2694="Dubai",BE2694=RN),VLOOKUP(BH2694,DXB_FEMALE_EMP,5,0),IF(AND(BD2694="Employee",BI2694="Female",BF2694="Dubai",BE2694=RN_2),VLOOKUP(BH2694,DXB_FEMALE_EMP,6,0),IF(AND(BD2694="Employee",BI2694="Female",BF2694="Dubai",BE2694=RN2_minus),VLOOKUP(BH2694,DXB_FEMALE_EMP,7,0),IF(AND(BD2694="Employee",BI2694="Female",BF2694="Dubai",BE2694=RN_3),VLOOKUP(BH2694,DXB_FEMALE_EMP,8,0),IF(AND(BD2694="Employee",BI2694="Female",BF2694="Dubai",BE2694=VN),VLOOKUP(BH2694,DXB_FEMALE_EMP,9,0),IF(BD2694="","",IF(AND(BD2694="Dependent",BI2694="Male",BF2694="Dubai",BE2694=GN_Plus),VLOOKUP(BH2694,DXB_MALE_DEP,2,0),IF(AND(BD2694="Dependent",BI2694="Male",BF2694="Dubai",BE2694=GN),VLOOKUP(BH2694,DXB_MALE_DEP,3,0),IF(AND(BD2694="Dependent",BI2694="Male",BF2694="Dubai",BE2694=RN_Plus),VLOOKUP(BH2694,DXB_MALE_DEP,4,0),IF(AND(BD2694="Dependent",BI2694="Male",BF2694="Dubai",BE2694=RN),VLOOKUP(BH2694,DXB_MALE_DEP,5,0),IF(AND(BD2694="Dependent",BI2694="Male",BF2694="Dubai",BE2694=RN_2),VLOOKUP(BH2694,DXB_MALE_DEP,6,0),IF(AND(BD2694="Dependent",BI2694="Male",BF2694="Dubai",BE2694=RN2_minus),VLOOKUP(BH2694,DXB_MALE_DEP,7,0),IF(AND(BD2694="Dependent",BI2694="Male",BF2694="Dubai",BE2694=RN_3),VLOOKUP(BH2694,DXB_MALE_DEP,8,0),IF(AND(BD2694="Dependent",BI2694="Male",BF2694="Dubai",BE2694=VN),VLOOKUP(BH2694,DXB_MALE_DEP,9,0),IF(BD2694="","",IF(AND(BD2694="Dependent",BI2694="Female",BF2694="Dubai",BE2694=GN_Plus),VLOOKUP(BH2694,DXB_FEMALE_DEP,2,0),IF(AND(BD2694="Dependent",BI2694="Female",BF2694="Dubai",BE2694=GN),VLOOKUP(BH2694,DXB_FEMALE_DEP,3,0),IF(AND(BD2694="Dependent",BI2694="Female",BF2694="Dubai",BE2694=RN_Plus),VLOOKUP(BH2694,DXB_FEMALE_DEP,4,0),IF(AND(BD2694="Dependent",BI2694="Female",BF2694="Dubai",BE2694=RN),VLOOKUP(BH2694,DXB_FEMALE_DEP,5,0),IF(AND(BD2694="Dependent",BI2694="Female",BF2694="Dubai",BE2694=RN_2),VLOOKUP(BH2694,DXB_FEMALE_DEP,6,0),IF(AND(BD2694="Dependent",BI2694="Female",BF2694="Dubai",BE2694=RN2_minus),VLOOKUP(BH2694,DXB_FEMALE_DEP,7,0),IF(AND(BD2694="Dependent",BI2694="Female",BF2694="Dubai",BE2694=RN_3),VLOOKUP(BH2694,DXB_FEMALE_DEP,8,0),IF(AND(BD2694="Dependent",BI2694="Female",BF2694="Dubai",BE2694=VN),VLOOKUP(BH2694,DXB_FEMALE_DEP,9,0),"ABC"))))))))))))))))))))))))))))))))))))</f>
        <v/>
      </c>
    </row>
    <row r="2695" spans="1:64" x14ac:dyDescent="0.25">
      <c r="A2695" s="762">
        <f t="shared" ref="A2695:A2758" si="954">+A2694+1</f>
        <v>2690</v>
      </c>
      <c r="B2695" s="229"/>
      <c r="C2695" s="223"/>
      <c r="D2695" s="224"/>
      <c r="E2695" s="225"/>
      <c r="F2695" s="1036" t="str">
        <f t="shared" si="938"/>
        <v/>
      </c>
      <c r="G2695" s="1037" t="str">
        <f t="shared" ref="G2695:G2758" si="955">IF(D2695="","",MAX(0,ROUNDUP(F2695,0)))</f>
        <v/>
      </c>
      <c r="H2695" s="225"/>
      <c r="I2695" s="1013"/>
      <c r="J2695" s="1013"/>
      <c r="K2695" s="1028"/>
      <c r="L2695" s="1035" t="str">
        <f t="shared" si="937"/>
        <v/>
      </c>
      <c r="S2695" s="498"/>
      <c r="AJ2695" s="498"/>
      <c r="AM2695" s="498">
        <f t="shared" si="940"/>
        <v>0</v>
      </c>
      <c r="AN2695" s="498">
        <f t="shared" si="941"/>
        <v>0</v>
      </c>
      <c r="AO2695" s="498">
        <f t="shared" si="942"/>
        <v>0</v>
      </c>
      <c r="AP2695" s="498">
        <f t="shared" si="939"/>
        <v>0</v>
      </c>
      <c r="AQ2695" s="498">
        <f t="shared" ref="AQ2695:AQ2758" si="956">IF(ISBLANK($B2695),0,IF(OR($H2695="Single",$H2695="Married"),0,1))</f>
        <v>0</v>
      </c>
      <c r="AU2695" s="498">
        <f t="shared" si="943"/>
        <v>0</v>
      </c>
      <c r="AV2695" s="498">
        <f t="shared" si="944"/>
        <v>0</v>
      </c>
      <c r="AW2695" s="498">
        <f t="shared" si="945"/>
        <v>0</v>
      </c>
      <c r="AX2695" s="498">
        <f t="shared" si="946"/>
        <v>0</v>
      </c>
      <c r="AY2695" s="498">
        <f t="shared" si="947"/>
        <v>0</v>
      </c>
      <c r="BB2695" s="498" t="str">
        <f t="shared" si="948"/>
        <v/>
      </c>
      <c r="BC2695" s="743" t="str">
        <f t="shared" si="949"/>
        <v/>
      </c>
      <c r="BD2695" s="743" t="str">
        <f t="shared" si="950"/>
        <v/>
      </c>
      <c r="BE2695" s="743" t="str">
        <f>IF(D2695="","",VLOOKUP(D2695,'General Basis'!$J$39:$K$46,2,0))</f>
        <v/>
      </c>
      <c r="BF2695" s="744" t="str">
        <f>IF(D2695="","",VLOOKUP(D2695,'General Basis'!$J$39:$L$46,3,0))</f>
        <v/>
      </c>
      <c r="BG2695" s="744" t="str">
        <f t="shared" ref="BG2695:BG2758" si="957">BC2695&amp;BI2695</f>
        <v/>
      </c>
      <c r="BH2695" s="744" t="str">
        <f>IF(G2695="","",IF(BF2695="Abu Dhabi",IF(G2695&lt;18,'General Basis'!$C$39,IF(G2695&lt;41,'General Basis'!$C$40,IF(G2695&lt;60,'General Basis'!$C$41,IF(G2695&lt;65,'General Basis'!$C$42,'General Basis'!$C$43)))),IF(G2695&lt;11,'General Basis'!$B$39,IF(G2695&lt;18,'General Basis'!$B$40,IF(G2695&lt;26,'General Basis'!$B$41,IF(G2695&lt;31,'General Basis'!$B$42,IF(G2695&lt;36,'General Basis'!$B$43,IF(G2695&lt;41,'General Basis'!$B$44,IF(G2695&lt;46,'General Basis'!$B$45,IF(G2695&lt;51,'General Basis'!$B$46,IF(G2695&lt;56,'General Basis'!$B$47,IF(G2695&lt;60,'General Basis'!$B$48,IF(G2695&lt;65,'General Basis'!$B$49,'General Basis'!$B$50)))))))))))))</f>
        <v/>
      </c>
      <c r="BI2695" s="744" t="str">
        <f t="shared" si="951"/>
        <v/>
      </c>
      <c r="BJ2695" s="747" t="str">
        <f t="shared" ref="BJ2695:BJ2758" si="958">IF(BD2695="","",IF(BF2695="Abu Dhabi",BK2695,BL2695))</f>
        <v/>
      </c>
      <c r="BK2695" s="498" t="str">
        <f t="shared" si="952"/>
        <v/>
      </c>
      <c r="BL2695" s="498" t="str">
        <f t="shared" si="953"/>
        <v/>
      </c>
    </row>
    <row r="2696" spans="1:64" x14ac:dyDescent="0.25">
      <c r="A2696" s="762">
        <f t="shared" si="954"/>
        <v>2691</v>
      </c>
      <c r="B2696" s="229"/>
      <c r="C2696" s="223"/>
      <c r="D2696" s="224"/>
      <c r="E2696" s="225"/>
      <c r="F2696" s="1036" t="str">
        <f t="shared" si="938"/>
        <v/>
      </c>
      <c r="G2696" s="1037" t="str">
        <f t="shared" si="955"/>
        <v/>
      </c>
      <c r="H2696" s="225"/>
      <c r="I2696" s="1013"/>
      <c r="J2696" s="1013"/>
      <c r="K2696" s="1028"/>
      <c r="L2696" s="1035" t="str">
        <f t="shared" ref="L2696:L2759" si="959">IF(AND(E2696="Child",H2696="Married"),"Check the Marital Status of the Child. ",IF(AND(E2696="Child",F2696&gt;18),"Child Age exceed 18 years. ",IF(AND(E2696="Spouse",H2696="Single"),"Spouse is selected as Single. ","")))&amp;IF(K2696&gt;0,"UW Loading has been Applied","")</f>
        <v/>
      </c>
      <c r="S2696" s="498"/>
      <c r="AJ2696" s="498"/>
      <c r="AM2696" s="498">
        <f t="shared" si="940"/>
        <v>0</v>
      </c>
      <c r="AN2696" s="498">
        <f t="shared" si="941"/>
        <v>0</v>
      </c>
      <c r="AO2696" s="498">
        <f t="shared" si="942"/>
        <v>0</v>
      </c>
      <c r="AP2696" s="498">
        <f t="shared" si="939"/>
        <v>0</v>
      </c>
      <c r="AQ2696" s="498">
        <f t="shared" si="956"/>
        <v>0</v>
      </c>
      <c r="AU2696" s="498">
        <f t="shared" si="943"/>
        <v>0</v>
      </c>
      <c r="AV2696" s="498">
        <f t="shared" si="944"/>
        <v>0</v>
      </c>
      <c r="AW2696" s="498">
        <f t="shared" si="945"/>
        <v>0</v>
      </c>
      <c r="AX2696" s="498">
        <f t="shared" si="946"/>
        <v>0</v>
      </c>
      <c r="AY2696" s="498">
        <f t="shared" si="947"/>
        <v>0</v>
      </c>
      <c r="BB2696" s="498" t="str">
        <f t="shared" si="948"/>
        <v/>
      </c>
      <c r="BC2696" s="743" t="str">
        <f t="shared" si="949"/>
        <v/>
      </c>
      <c r="BD2696" s="743" t="str">
        <f t="shared" si="950"/>
        <v/>
      </c>
      <c r="BE2696" s="743" t="str">
        <f>IF(D2696="","",VLOOKUP(D2696,'General Basis'!$J$39:$K$46,2,0))</f>
        <v/>
      </c>
      <c r="BF2696" s="744" t="str">
        <f>IF(D2696="","",VLOOKUP(D2696,'General Basis'!$J$39:$L$46,3,0))</f>
        <v/>
      </c>
      <c r="BG2696" s="744" t="str">
        <f t="shared" si="957"/>
        <v/>
      </c>
      <c r="BH2696" s="744" t="str">
        <f>IF(G2696="","",IF(BF2696="Abu Dhabi",IF(G2696&lt;18,'General Basis'!$C$39,IF(G2696&lt;41,'General Basis'!$C$40,IF(G2696&lt;60,'General Basis'!$C$41,IF(G2696&lt;65,'General Basis'!$C$42,'General Basis'!$C$43)))),IF(G2696&lt;11,'General Basis'!$B$39,IF(G2696&lt;18,'General Basis'!$B$40,IF(G2696&lt;26,'General Basis'!$B$41,IF(G2696&lt;31,'General Basis'!$B$42,IF(G2696&lt;36,'General Basis'!$B$43,IF(G2696&lt;41,'General Basis'!$B$44,IF(G2696&lt;46,'General Basis'!$B$45,IF(G2696&lt;51,'General Basis'!$B$46,IF(G2696&lt;56,'General Basis'!$B$47,IF(G2696&lt;60,'General Basis'!$B$48,IF(G2696&lt;65,'General Basis'!$B$49,'General Basis'!$B$50)))))))))))))</f>
        <v/>
      </c>
      <c r="BI2696" s="744" t="str">
        <f t="shared" si="951"/>
        <v/>
      </c>
      <c r="BJ2696" s="747" t="str">
        <f t="shared" si="958"/>
        <v/>
      </c>
      <c r="BK2696" s="498" t="str">
        <f t="shared" si="952"/>
        <v/>
      </c>
      <c r="BL2696" s="498" t="str">
        <f t="shared" si="953"/>
        <v/>
      </c>
    </row>
    <row r="2697" spans="1:64" x14ac:dyDescent="0.25">
      <c r="A2697" s="762">
        <f t="shared" si="954"/>
        <v>2692</v>
      </c>
      <c r="B2697" s="229"/>
      <c r="C2697" s="223"/>
      <c r="D2697" s="224"/>
      <c r="E2697" s="225"/>
      <c r="F2697" s="1036" t="str">
        <f t="shared" si="938"/>
        <v/>
      </c>
      <c r="G2697" s="1037" t="str">
        <f t="shared" si="955"/>
        <v/>
      </c>
      <c r="H2697" s="225"/>
      <c r="I2697" s="1013"/>
      <c r="J2697" s="1013"/>
      <c r="K2697" s="1028"/>
      <c r="L2697" s="1035" t="str">
        <f t="shared" si="959"/>
        <v/>
      </c>
      <c r="S2697" s="498"/>
      <c r="AJ2697" s="498"/>
      <c r="AM2697" s="498">
        <f t="shared" si="940"/>
        <v>0</v>
      </c>
      <c r="AN2697" s="498">
        <f t="shared" si="941"/>
        <v>0</v>
      </c>
      <c r="AO2697" s="498">
        <f t="shared" si="942"/>
        <v>0</v>
      </c>
      <c r="AP2697" s="498">
        <f t="shared" si="939"/>
        <v>0</v>
      </c>
      <c r="AQ2697" s="498">
        <f t="shared" si="956"/>
        <v>0</v>
      </c>
      <c r="AU2697" s="498">
        <f t="shared" si="943"/>
        <v>0</v>
      </c>
      <c r="AV2697" s="498">
        <f t="shared" si="944"/>
        <v>0</v>
      </c>
      <c r="AW2697" s="498">
        <f t="shared" si="945"/>
        <v>0</v>
      </c>
      <c r="AX2697" s="498">
        <f t="shared" si="946"/>
        <v>0</v>
      </c>
      <c r="AY2697" s="498">
        <f t="shared" si="947"/>
        <v>0</v>
      </c>
      <c r="BB2697" s="498" t="str">
        <f t="shared" si="948"/>
        <v/>
      </c>
      <c r="BC2697" s="743" t="str">
        <f t="shared" si="949"/>
        <v/>
      </c>
      <c r="BD2697" s="743" t="str">
        <f t="shared" si="950"/>
        <v/>
      </c>
      <c r="BE2697" s="743" t="str">
        <f>IF(D2697="","",VLOOKUP(D2697,'General Basis'!$J$39:$K$46,2,0))</f>
        <v/>
      </c>
      <c r="BF2697" s="744" t="str">
        <f>IF(D2697="","",VLOOKUP(D2697,'General Basis'!$J$39:$L$46,3,0))</f>
        <v/>
      </c>
      <c r="BG2697" s="744" t="str">
        <f t="shared" si="957"/>
        <v/>
      </c>
      <c r="BH2697" s="744" t="str">
        <f>IF(G2697="","",IF(BF2697="Abu Dhabi",IF(G2697&lt;18,'General Basis'!$C$39,IF(G2697&lt;41,'General Basis'!$C$40,IF(G2697&lt;60,'General Basis'!$C$41,IF(G2697&lt;65,'General Basis'!$C$42,'General Basis'!$C$43)))),IF(G2697&lt;11,'General Basis'!$B$39,IF(G2697&lt;18,'General Basis'!$B$40,IF(G2697&lt;26,'General Basis'!$B$41,IF(G2697&lt;31,'General Basis'!$B$42,IF(G2697&lt;36,'General Basis'!$B$43,IF(G2697&lt;41,'General Basis'!$B$44,IF(G2697&lt;46,'General Basis'!$B$45,IF(G2697&lt;51,'General Basis'!$B$46,IF(G2697&lt;56,'General Basis'!$B$47,IF(G2697&lt;60,'General Basis'!$B$48,IF(G2697&lt;65,'General Basis'!$B$49,'General Basis'!$B$50)))))))))))))</f>
        <v/>
      </c>
      <c r="BI2697" s="744" t="str">
        <f t="shared" si="951"/>
        <v/>
      </c>
      <c r="BJ2697" s="747" t="str">
        <f t="shared" si="958"/>
        <v/>
      </c>
      <c r="BK2697" s="498" t="str">
        <f t="shared" si="952"/>
        <v/>
      </c>
      <c r="BL2697" s="498" t="str">
        <f t="shared" si="953"/>
        <v/>
      </c>
    </row>
    <row r="2698" spans="1:64" x14ac:dyDescent="0.25">
      <c r="A2698" s="762">
        <f t="shared" si="954"/>
        <v>2693</v>
      </c>
      <c r="B2698" s="229"/>
      <c r="C2698" s="223"/>
      <c r="D2698" s="224"/>
      <c r="E2698" s="225"/>
      <c r="F2698" s="1036" t="str">
        <f t="shared" si="938"/>
        <v/>
      </c>
      <c r="G2698" s="1037" t="str">
        <f t="shared" si="955"/>
        <v/>
      </c>
      <c r="H2698" s="225"/>
      <c r="I2698" s="1013"/>
      <c r="J2698" s="1013"/>
      <c r="K2698" s="1028"/>
      <c r="L2698" s="1035" t="str">
        <f t="shared" si="959"/>
        <v/>
      </c>
      <c r="S2698" s="498"/>
      <c r="AJ2698" s="498"/>
      <c r="AM2698" s="498">
        <f t="shared" si="940"/>
        <v>0</v>
      </c>
      <c r="AN2698" s="498">
        <f t="shared" si="941"/>
        <v>0</v>
      </c>
      <c r="AO2698" s="498">
        <f t="shared" si="942"/>
        <v>0</v>
      </c>
      <c r="AP2698" s="498">
        <f t="shared" si="939"/>
        <v>0</v>
      </c>
      <c r="AQ2698" s="498">
        <f t="shared" si="956"/>
        <v>0</v>
      </c>
      <c r="AU2698" s="498">
        <f t="shared" si="943"/>
        <v>0</v>
      </c>
      <c r="AV2698" s="498">
        <f t="shared" si="944"/>
        <v>0</v>
      </c>
      <c r="AW2698" s="498">
        <f t="shared" si="945"/>
        <v>0</v>
      </c>
      <c r="AX2698" s="498">
        <f t="shared" si="946"/>
        <v>0</v>
      </c>
      <c r="AY2698" s="498">
        <f t="shared" si="947"/>
        <v>0</v>
      </c>
      <c r="BB2698" s="498" t="str">
        <f t="shared" si="948"/>
        <v/>
      </c>
      <c r="BC2698" s="743" t="str">
        <f t="shared" si="949"/>
        <v/>
      </c>
      <c r="BD2698" s="743" t="str">
        <f t="shared" si="950"/>
        <v/>
      </c>
      <c r="BE2698" s="743" t="str">
        <f>IF(D2698="","",VLOOKUP(D2698,'General Basis'!$J$39:$K$46,2,0))</f>
        <v/>
      </c>
      <c r="BF2698" s="744" t="str">
        <f>IF(D2698="","",VLOOKUP(D2698,'General Basis'!$J$39:$L$46,3,0))</f>
        <v/>
      </c>
      <c r="BG2698" s="744" t="str">
        <f t="shared" si="957"/>
        <v/>
      </c>
      <c r="BH2698" s="744" t="str">
        <f>IF(G2698="","",IF(BF2698="Abu Dhabi",IF(G2698&lt;18,'General Basis'!$C$39,IF(G2698&lt;41,'General Basis'!$C$40,IF(G2698&lt;60,'General Basis'!$C$41,IF(G2698&lt;65,'General Basis'!$C$42,'General Basis'!$C$43)))),IF(G2698&lt;11,'General Basis'!$B$39,IF(G2698&lt;18,'General Basis'!$B$40,IF(G2698&lt;26,'General Basis'!$B$41,IF(G2698&lt;31,'General Basis'!$B$42,IF(G2698&lt;36,'General Basis'!$B$43,IF(G2698&lt;41,'General Basis'!$B$44,IF(G2698&lt;46,'General Basis'!$B$45,IF(G2698&lt;51,'General Basis'!$B$46,IF(G2698&lt;56,'General Basis'!$B$47,IF(G2698&lt;60,'General Basis'!$B$48,IF(G2698&lt;65,'General Basis'!$B$49,'General Basis'!$B$50)))))))))))))</f>
        <v/>
      </c>
      <c r="BI2698" s="744" t="str">
        <f t="shared" si="951"/>
        <v/>
      </c>
      <c r="BJ2698" s="747" t="str">
        <f t="shared" si="958"/>
        <v/>
      </c>
      <c r="BK2698" s="498" t="str">
        <f t="shared" si="952"/>
        <v/>
      </c>
      <c r="BL2698" s="498" t="str">
        <f t="shared" si="953"/>
        <v/>
      </c>
    </row>
    <row r="2699" spans="1:64" x14ac:dyDescent="0.25">
      <c r="A2699" s="762">
        <f t="shared" si="954"/>
        <v>2694</v>
      </c>
      <c r="B2699" s="229"/>
      <c r="C2699" s="223"/>
      <c r="D2699" s="224"/>
      <c r="E2699" s="225"/>
      <c r="F2699" s="1036" t="str">
        <f t="shared" si="938"/>
        <v/>
      </c>
      <c r="G2699" s="1037" t="str">
        <f t="shared" si="955"/>
        <v/>
      </c>
      <c r="H2699" s="225"/>
      <c r="I2699" s="1013"/>
      <c r="J2699" s="1013"/>
      <c r="K2699" s="1028"/>
      <c r="L2699" s="1035" t="str">
        <f t="shared" si="959"/>
        <v/>
      </c>
      <c r="S2699" s="498"/>
      <c r="AJ2699" s="498"/>
      <c r="AM2699" s="498">
        <f t="shared" si="940"/>
        <v>0</v>
      </c>
      <c r="AN2699" s="498">
        <f t="shared" si="941"/>
        <v>0</v>
      </c>
      <c r="AO2699" s="498">
        <f t="shared" si="942"/>
        <v>0</v>
      </c>
      <c r="AP2699" s="498">
        <f t="shared" si="939"/>
        <v>0</v>
      </c>
      <c r="AQ2699" s="498">
        <f t="shared" si="956"/>
        <v>0</v>
      </c>
      <c r="AU2699" s="498">
        <f t="shared" si="943"/>
        <v>0</v>
      </c>
      <c r="AV2699" s="498">
        <f t="shared" si="944"/>
        <v>0</v>
      </c>
      <c r="AW2699" s="498">
        <f t="shared" si="945"/>
        <v>0</v>
      </c>
      <c r="AX2699" s="498">
        <f t="shared" si="946"/>
        <v>0</v>
      </c>
      <c r="AY2699" s="498">
        <f t="shared" si="947"/>
        <v>0</v>
      </c>
      <c r="BB2699" s="498" t="str">
        <f t="shared" si="948"/>
        <v/>
      </c>
      <c r="BC2699" s="743" t="str">
        <f t="shared" si="949"/>
        <v/>
      </c>
      <c r="BD2699" s="743" t="str">
        <f t="shared" si="950"/>
        <v/>
      </c>
      <c r="BE2699" s="743" t="str">
        <f>IF(D2699="","",VLOOKUP(D2699,'General Basis'!$J$39:$K$46,2,0))</f>
        <v/>
      </c>
      <c r="BF2699" s="744" t="str">
        <f>IF(D2699="","",VLOOKUP(D2699,'General Basis'!$J$39:$L$46,3,0))</f>
        <v/>
      </c>
      <c r="BG2699" s="744" t="str">
        <f t="shared" si="957"/>
        <v/>
      </c>
      <c r="BH2699" s="744" t="str">
        <f>IF(G2699="","",IF(BF2699="Abu Dhabi",IF(G2699&lt;18,'General Basis'!$C$39,IF(G2699&lt;41,'General Basis'!$C$40,IF(G2699&lt;60,'General Basis'!$C$41,IF(G2699&lt;65,'General Basis'!$C$42,'General Basis'!$C$43)))),IF(G2699&lt;11,'General Basis'!$B$39,IF(G2699&lt;18,'General Basis'!$B$40,IF(G2699&lt;26,'General Basis'!$B$41,IF(G2699&lt;31,'General Basis'!$B$42,IF(G2699&lt;36,'General Basis'!$B$43,IF(G2699&lt;41,'General Basis'!$B$44,IF(G2699&lt;46,'General Basis'!$B$45,IF(G2699&lt;51,'General Basis'!$B$46,IF(G2699&lt;56,'General Basis'!$B$47,IF(G2699&lt;60,'General Basis'!$B$48,IF(G2699&lt;65,'General Basis'!$B$49,'General Basis'!$B$50)))))))))))))</f>
        <v/>
      </c>
      <c r="BI2699" s="744" t="str">
        <f t="shared" si="951"/>
        <v/>
      </c>
      <c r="BJ2699" s="747" t="str">
        <f t="shared" si="958"/>
        <v/>
      </c>
      <c r="BK2699" s="498" t="str">
        <f t="shared" si="952"/>
        <v/>
      </c>
      <c r="BL2699" s="498" t="str">
        <f t="shared" si="953"/>
        <v/>
      </c>
    </row>
    <row r="2700" spans="1:64" x14ac:dyDescent="0.25">
      <c r="A2700" s="762">
        <f t="shared" si="954"/>
        <v>2695</v>
      </c>
      <c r="B2700" s="229"/>
      <c r="C2700" s="223"/>
      <c r="D2700" s="224"/>
      <c r="E2700" s="225"/>
      <c r="F2700" s="1036" t="str">
        <f t="shared" si="938"/>
        <v/>
      </c>
      <c r="G2700" s="1037" t="str">
        <f t="shared" si="955"/>
        <v/>
      </c>
      <c r="H2700" s="225"/>
      <c r="I2700" s="1013"/>
      <c r="J2700" s="1013"/>
      <c r="K2700" s="1028"/>
      <c r="L2700" s="1035" t="str">
        <f t="shared" si="959"/>
        <v/>
      </c>
      <c r="S2700" s="498"/>
      <c r="AJ2700" s="498"/>
      <c r="AM2700" s="498">
        <f t="shared" si="940"/>
        <v>0</v>
      </c>
      <c r="AN2700" s="498">
        <f t="shared" si="941"/>
        <v>0</v>
      </c>
      <c r="AO2700" s="498">
        <f t="shared" si="942"/>
        <v>0</v>
      </c>
      <c r="AP2700" s="498">
        <f t="shared" si="939"/>
        <v>0</v>
      </c>
      <c r="AQ2700" s="498">
        <f t="shared" si="956"/>
        <v>0</v>
      </c>
      <c r="AU2700" s="498">
        <f t="shared" si="943"/>
        <v>0</v>
      </c>
      <c r="AV2700" s="498">
        <f t="shared" si="944"/>
        <v>0</v>
      </c>
      <c r="AW2700" s="498">
        <f t="shared" si="945"/>
        <v>0</v>
      </c>
      <c r="AX2700" s="498">
        <f t="shared" si="946"/>
        <v>0</v>
      </c>
      <c r="AY2700" s="498">
        <f t="shared" si="947"/>
        <v>0</v>
      </c>
      <c r="BB2700" s="498" t="str">
        <f t="shared" si="948"/>
        <v/>
      </c>
      <c r="BC2700" s="743" t="str">
        <f t="shared" si="949"/>
        <v/>
      </c>
      <c r="BD2700" s="743" t="str">
        <f t="shared" si="950"/>
        <v/>
      </c>
      <c r="BE2700" s="743" t="str">
        <f>IF(D2700="","",VLOOKUP(D2700,'General Basis'!$J$39:$K$46,2,0))</f>
        <v/>
      </c>
      <c r="BF2700" s="744" t="str">
        <f>IF(D2700="","",VLOOKUP(D2700,'General Basis'!$J$39:$L$46,3,0))</f>
        <v/>
      </c>
      <c r="BG2700" s="744" t="str">
        <f t="shared" si="957"/>
        <v/>
      </c>
      <c r="BH2700" s="744" t="str">
        <f>IF(G2700="","",IF(BF2700="Abu Dhabi",IF(G2700&lt;18,'General Basis'!$C$39,IF(G2700&lt;41,'General Basis'!$C$40,IF(G2700&lt;60,'General Basis'!$C$41,IF(G2700&lt;65,'General Basis'!$C$42,'General Basis'!$C$43)))),IF(G2700&lt;11,'General Basis'!$B$39,IF(G2700&lt;18,'General Basis'!$B$40,IF(G2700&lt;26,'General Basis'!$B$41,IF(G2700&lt;31,'General Basis'!$B$42,IF(G2700&lt;36,'General Basis'!$B$43,IF(G2700&lt;41,'General Basis'!$B$44,IF(G2700&lt;46,'General Basis'!$B$45,IF(G2700&lt;51,'General Basis'!$B$46,IF(G2700&lt;56,'General Basis'!$B$47,IF(G2700&lt;60,'General Basis'!$B$48,IF(G2700&lt;65,'General Basis'!$B$49,'General Basis'!$B$50)))))))))))))</f>
        <v/>
      </c>
      <c r="BI2700" s="744" t="str">
        <f t="shared" si="951"/>
        <v/>
      </c>
      <c r="BJ2700" s="747" t="str">
        <f t="shared" si="958"/>
        <v/>
      </c>
      <c r="BK2700" s="498" t="str">
        <f t="shared" si="952"/>
        <v/>
      </c>
      <c r="BL2700" s="498" t="str">
        <f t="shared" si="953"/>
        <v/>
      </c>
    </row>
    <row r="2701" spans="1:64" x14ac:dyDescent="0.25">
      <c r="A2701" s="762">
        <f t="shared" si="954"/>
        <v>2696</v>
      </c>
      <c r="B2701" s="229"/>
      <c r="C2701" s="223"/>
      <c r="D2701" s="224"/>
      <c r="E2701" s="225"/>
      <c r="F2701" s="1036" t="str">
        <f t="shared" si="938"/>
        <v/>
      </c>
      <c r="G2701" s="1037" t="str">
        <f t="shared" si="955"/>
        <v/>
      </c>
      <c r="H2701" s="225"/>
      <c r="I2701" s="1013"/>
      <c r="J2701" s="1013"/>
      <c r="K2701" s="1028"/>
      <c r="L2701" s="1035" t="str">
        <f t="shared" si="959"/>
        <v/>
      </c>
      <c r="S2701" s="498"/>
      <c r="AJ2701" s="498"/>
      <c r="AM2701" s="498">
        <f t="shared" si="940"/>
        <v>0</v>
      </c>
      <c r="AN2701" s="498">
        <f t="shared" si="941"/>
        <v>0</v>
      </c>
      <c r="AO2701" s="498">
        <f t="shared" si="942"/>
        <v>0</v>
      </c>
      <c r="AP2701" s="498">
        <f t="shared" si="939"/>
        <v>0</v>
      </c>
      <c r="AQ2701" s="498">
        <f t="shared" si="956"/>
        <v>0</v>
      </c>
      <c r="AU2701" s="498">
        <f t="shared" si="943"/>
        <v>0</v>
      </c>
      <c r="AV2701" s="498">
        <f t="shared" si="944"/>
        <v>0</v>
      </c>
      <c r="AW2701" s="498">
        <f t="shared" si="945"/>
        <v>0</v>
      </c>
      <c r="AX2701" s="498">
        <f t="shared" si="946"/>
        <v>0</v>
      </c>
      <c r="AY2701" s="498">
        <f t="shared" si="947"/>
        <v>0</v>
      </c>
      <c r="BB2701" s="498" t="str">
        <f t="shared" si="948"/>
        <v/>
      </c>
      <c r="BC2701" s="743" t="str">
        <f t="shared" si="949"/>
        <v/>
      </c>
      <c r="BD2701" s="743" t="str">
        <f t="shared" si="950"/>
        <v/>
      </c>
      <c r="BE2701" s="743" t="str">
        <f>IF(D2701="","",VLOOKUP(D2701,'General Basis'!$J$39:$K$46,2,0))</f>
        <v/>
      </c>
      <c r="BF2701" s="744" t="str">
        <f>IF(D2701="","",VLOOKUP(D2701,'General Basis'!$J$39:$L$46,3,0))</f>
        <v/>
      </c>
      <c r="BG2701" s="744" t="str">
        <f t="shared" si="957"/>
        <v/>
      </c>
      <c r="BH2701" s="744" t="str">
        <f>IF(G2701="","",IF(BF2701="Abu Dhabi",IF(G2701&lt;18,'General Basis'!$C$39,IF(G2701&lt;41,'General Basis'!$C$40,IF(G2701&lt;60,'General Basis'!$C$41,IF(G2701&lt;65,'General Basis'!$C$42,'General Basis'!$C$43)))),IF(G2701&lt;11,'General Basis'!$B$39,IF(G2701&lt;18,'General Basis'!$B$40,IF(G2701&lt;26,'General Basis'!$B$41,IF(G2701&lt;31,'General Basis'!$B$42,IF(G2701&lt;36,'General Basis'!$B$43,IF(G2701&lt;41,'General Basis'!$B$44,IF(G2701&lt;46,'General Basis'!$B$45,IF(G2701&lt;51,'General Basis'!$B$46,IF(G2701&lt;56,'General Basis'!$B$47,IF(G2701&lt;60,'General Basis'!$B$48,IF(G2701&lt;65,'General Basis'!$B$49,'General Basis'!$B$50)))))))))))))</f>
        <v/>
      </c>
      <c r="BI2701" s="744" t="str">
        <f t="shared" si="951"/>
        <v/>
      </c>
      <c r="BJ2701" s="747" t="str">
        <f t="shared" si="958"/>
        <v/>
      </c>
      <c r="BK2701" s="498" t="str">
        <f t="shared" si="952"/>
        <v/>
      </c>
      <c r="BL2701" s="498" t="str">
        <f t="shared" si="953"/>
        <v/>
      </c>
    </row>
    <row r="2702" spans="1:64" x14ac:dyDescent="0.25">
      <c r="A2702" s="762">
        <f t="shared" si="954"/>
        <v>2697</v>
      </c>
      <c r="B2702" s="229"/>
      <c r="C2702" s="223"/>
      <c r="D2702" s="224"/>
      <c r="E2702" s="225"/>
      <c r="F2702" s="1036" t="str">
        <f t="shared" si="938"/>
        <v/>
      </c>
      <c r="G2702" s="1037" t="str">
        <f t="shared" si="955"/>
        <v/>
      </c>
      <c r="H2702" s="225"/>
      <c r="I2702" s="1013"/>
      <c r="J2702" s="1013"/>
      <c r="K2702" s="1028"/>
      <c r="L2702" s="1035" t="str">
        <f t="shared" si="959"/>
        <v/>
      </c>
      <c r="S2702" s="498"/>
      <c r="AJ2702" s="498"/>
      <c r="AM2702" s="498">
        <f t="shared" si="940"/>
        <v>0</v>
      </c>
      <c r="AN2702" s="498">
        <f t="shared" si="941"/>
        <v>0</v>
      </c>
      <c r="AO2702" s="498">
        <f t="shared" si="942"/>
        <v>0</v>
      </c>
      <c r="AP2702" s="498">
        <f t="shared" si="939"/>
        <v>0</v>
      </c>
      <c r="AQ2702" s="498">
        <f t="shared" si="956"/>
        <v>0</v>
      </c>
      <c r="AU2702" s="498">
        <f t="shared" si="943"/>
        <v>0</v>
      </c>
      <c r="AV2702" s="498">
        <f t="shared" si="944"/>
        <v>0</v>
      </c>
      <c r="AW2702" s="498">
        <f t="shared" si="945"/>
        <v>0</v>
      </c>
      <c r="AX2702" s="498">
        <f t="shared" si="946"/>
        <v>0</v>
      </c>
      <c r="AY2702" s="498">
        <f t="shared" si="947"/>
        <v>0</v>
      </c>
      <c r="BB2702" s="498" t="str">
        <f t="shared" si="948"/>
        <v/>
      </c>
      <c r="BC2702" s="743" t="str">
        <f t="shared" si="949"/>
        <v/>
      </c>
      <c r="BD2702" s="743" t="str">
        <f t="shared" si="950"/>
        <v/>
      </c>
      <c r="BE2702" s="743" t="str">
        <f>IF(D2702="","",VLOOKUP(D2702,'General Basis'!$J$39:$K$46,2,0))</f>
        <v/>
      </c>
      <c r="BF2702" s="744" t="str">
        <f>IF(D2702="","",VLOOKUP(D2702,'General Basis'!$J$39:$L$46,3,0))</f>
        <v/>
      </c>
      <c r="BG2702" s="744" t="str">
        <f t="shared" si="957"/>
        <v/>
      </c>
      <c r="BH2702" s="744" t="str">
        <f>IF(G2702="","",IF(BF2702="Abu Dhabi",IF(G2702&lt;18,'General Basis'!$C$39,IF(G2702&lt;41,'General Basis'!$C$40,IF(G2702&lt;60,'General Basis'!$C$41,IF(G2702&lt;65,'General Basis'!$C$42,'General Basis'!$C$43)))),IF(G2702&lt;11,'General Basis'!$B$39,IF(G2702&lt;18,'General Basis'!$B$40,IF(G2702&lt;26,'General Basis'!$B$41,IF(G2702&lt;31,'General Basis'!$B$42,IF(G2702&lt;36,'General Basis'!$B$43,IF(G2702&lt;41,'General Basis'!$B$44,IF(G2702&lt;46,'General Basis'!$B$45,IF(G2702&lt;51,'General Basis'!$B$46,IF(G2702&lt;56,'General Basis'!$B$47,IF(G2702&lt;60,'General Basis'!$B$48,IF(G2702&lt;65,'General Basis'!$B$49,'General Basis'!$B$50)))))))))))))</f>
        <v/>
      </c>
      <c r="BI2702" s="744" t="str">
        <f t="shared" si="951"/>
        <v/>
      </c>
      <c r="BJ2702" s="747" t="str">
        <f t="shared" si="958"/>
        <v/>
      </c>
      <c r="BK2702" s="498" t="str">
        <f t="shared" si="952"/>
        <v/>
      </c>
      <c r="BL2702" s="498" t="str">
        <f t="shared" si="953"/>
        <v/>
      </c>
    </row>
    <row r="2703" spans="1:64" x14ac:dyDescent="0.25">
      <c r="A2703" s="762">
        <f t="shared" si="954"/>
        <v>2698</v>
      </c>
      <c r="B2703" s="229"/>
      <c r="C2703" s="223"/>
      <c r="D2703" s="224"/>
      <c r="E2703" s="225"/>
      <c r="F2703" s="1036" t="str">
        <f t="shared" si="938"/>
        <v/>
      </c>
      <c r="G2703" s="1037" t="str">
        <f t="shared" si="955"/>
        <v/>
      </c>
      <c r="H2703" s="225"/>
      <c r="I2703" s="1013"/>
      <c r="J2703" s="1013"/>
      <c r="K2703" s="1028"/>
      <c r="L2703" s="1035" t="str">
        <f t="shared" si="959"/>
        <v/>
      </c>
      <c r="S2703" s="498"/>
      <c r="AJ2703" s="498"/>
      <c r="AM2703" s="498">
        <f t="shared" si="940"/>
        <v>0</v>
      </c>
      <c r="AN2703" s="498">
        <f t="shared" si="941"/>
        <v>0</v>
      </c>
      <c r="AO2703" s="498">
        <f t="shared" si="942"/>
        <v>0</v>
      </c>
      <c r="AP2703" s="498">
        <f t="shared" si="939"/>
        <v>0</v>
      </c>
      <c r="AQ2703" s="498">
        <f t="shared" si="956"/>
        <v>0</v>
      </c>
      <c r="AU2703" s="498">
        <f t="shared" si="943"/>
        <v>0</v>
      </c>
      <c r="AV2703" s="498">
        <f t="shared" si="944"/>
        <v>0</v>
      </c>
      <c r="AW2703" s="498">
        <f t="shared" si="945"/>
        <v>0</v>
      </c>
      <c r="AX2703" s="498">
        <f t="shared" si="946"/>
        <v>0</v>
      </c>
      <c r="AY2703" s="498">
        <f t="shared" si="947"/>
        <v>0</v>
      </c>
      <c r="BB2703" s="498" t="str">
        <f t="shared" si="948"/>
        <v/>
      </c>
      <c r="BC2703" s="743" t="str">
        <f t="shared" si="949"/>
        <v/>
      </c>
      <c r="BD2703" s="743" t="str">
        <f t="shared" si="950"/>
        <v/>
      </c>
      <c r="BE2703" s="743" t="str">
        <f>IF(D2703="","",VLOOKUP(D2703,'General Basis'!$J$39:$K$46,2,0))</f>
        <v/>
      </c>
      <c r="BF2703" s="744" t="str">
        <f>IF(D2703="","",VLOOKUP(D2703,'General Basis'!$J$39:$L$46,3,0))</f>
        <v/>
      </c>
      <c r="BG2703" s="744" t="str">
        <f t="shared" si="957"/>
        <v/>
      </c>
      <c r="BH2703" s="744" t="str">
        <f>IF(G2703="","",IF(BF2703="Abu Dhabi",IF(G2703&lt;18,'General Basis'!$C$39,IF(G2703&lt;41,'General Basis'!$C$40,IF(G2703&lt;60,'General Basis'!$C$41,IF(G2703&lt;65,'General Basis'!$C$42,'General Basis'!$C$43)))),IF(G2703&lt;11,'General Basis'!$B$39,IF(G2703&lt;18,'General Basis'!$B$40,IF(G2703&lt;26,'General Basis'!$B$41,IF(G2703&lt;31,'General Basis'!$B$42,IF(G2703&lt;36,'General Basis'!$B$43,IF(G2703&lt;41,'General Basis'!$B$44,IF(G2703&lt;46,'General Basis'!$B$45,IF(G2703&lt;51,'General Basis'!$B$46,IF(G2703&lt;56,'General Basis'!$B$47,IF(G2703&lt;60,'General Basis'!$B$48,IF(G2703&lt;65,'General Basis'!$B$49,'General Basis'!$B$50)))))))))))))</f>
        <v/>
      </c>
      <c r="BI2703" s="744" t="str">
        <f t="shared" si="951"/>
        <v/>
      </c>
      <c r="BJ2703" s="747" t="str">
        <f t="shared" si="958"/>
        <v/>
      </c>
      <c r="BK2703" s="498" t="str">
        <f t="shared" si="952"/>
        <v/>
      </c>
      <c r="BL2703" s="498" t="str">
        <f t="shared" si="953"/>
        <v/>
      </c>
    </row>
    <row r="2704" spans="1:64" x14ac:dyDescent="0.25">
      <c r="A2704" s="762">
        <f t="shared" si="954"/>
        <v>2699</v>
      </c>
      <c r="B2704" s="229"/>
      <c r="C2704" s="223"/>
      <c r="D2704" s="224"/>
      <c r="E2704" s="225"/>
      <c r="F2704" s="1036" t="str">
        <f t="shared" ref="F2704:F2767" si="960">IF(C2704="","",IF($B2704="","",((YEAR($F$3)-YEAR($B2704))+(MONTH($F$3)-MONTH($B2704))/12+(DAY($F$3)-DAY($B2704))/(DATE(YEAR($F$3),12,31)-DATE(YEAR($F$3),1,1)+1))))</f>
        <v/>
      </c>
      <c r="G2704" s="1037" t="str">
        <f t="shared" si="955"/>
        <v/>
      </c>
      <c r="H2704" s="225"/>
      <c r="I2704" s="1013"/>
      <c r="J2704" s="1013"/>
      <c r="K2704" s="1028"/>
      <c r="L2704" s="1035" t="str">
        <f t="shared" si="959"/>
        <v/>
      </c>
      <c r="S2704" s="498"/>
      <c r="AJ2704" s="498"/>
      <c r="AM2704" s="498">
        <f t="shared" si="940"/>
        <v>0</v>
      </c>
      <c r="AN2704" s="498">
        <f t="shared" si="941"/>
        <v>0</v>
      </c>
      <c r="AO2704" s="498">
        <f t="shared" si="942"/>
        <v>0</v>
      </c>
      <c r="AP2704" s="498">
        <f t="shared" si="939"/>
        <v>0</v>
      </c>
      <c r="AQ2704" s="498">
        <f t="shared" si="956"/>
        <v>0</v>
      </c>
      <c r="AU2704" s="498">
        <f t="shared" si="943"/>
        <v>0</v>
      </c>
      <c r="AV2704" s="498">
        <f t="shared" si="944"/>
        <v>0</v>
      </c>
      <c r="AW2704" s="498">
        <f t="shared" si="945"/>
        <v>0</v>
      </c>
      <c r="AX2704" s="498">
        <f t="shared" si="946"/>
        <v>0</v>
      </c>
      <c r="AY2704" s="498">
        <f t="shared" si="947"/>
        <v>0</v>
      </c>
      <c r="BB2704" s="498" t="str">
        <f t="shared" si="948"/>
        <v/>
      </c>
      <c r="BC2704" s="743" t="str">
        <f t="shared" si="949"/>
        <v/>
      </c>
      <c r="BD2704" s="743" t="str">
        <f t="shared" si="950"/>
        <v/>
      </c>
      <c r="BE2704" s="743" t="str">
        <f>IF(D2704="","",VLOOKUP(D2704,'General Basis'!$J$39:$K$46,2,0))</f>
        <v/>
      </c>
      <c r="BF2704" s="744" t="str">
        <f>IF(D2704="","",VLOOKUP(D2704,'General Basis'!$J$39:$L$46,3,0))</f>
        <v/>
      </c>
      <c r="BG2704" s="744" t="str">
        <f t="shared" si="957"/>
        <v/>
      </c>
      <c r="BH2704" s="744" t="str">
        <f>IF(G2704="","",IF(BF2704="Abu Dhabi",IF(G2704&lt;18,'General Basis'!$C$39,IF(G2704&lt;41,'General Basis'!$C$40,IF(G2704&lt;60,'General Basis'!$C$41,IF(G2704&lt;65,'General Basis'!$C$42,'General Basis'!$C$43)))),IF(G2704&lt;11,'General Basis'!$B$39,IF(G2704&lt;18,'General Basis'!$B$40,IF(G2704&lt;26,'General Basis'!$B$41,IF(G2704&lt;31,'General Basis'!$B$42,IF(G2704&lt;36,'General Basis'!$B$43,IF(G2704&lt;41,'General Basis'!$B$44,IF(G2704&lt;46,'General Basis'!$B$45,IF(G2704&lt;51,'General Basis'!$B$46,IF(G2704&lt;56,'General Basis'!$B$47,IF(G2704&lt;60,'General Basis'!$B$48,IF(G2704&lt;65,'General Basis'!$B$49,'General Basis'!$B$50)))))))))))))</f>
        <v/>
      </c>
      <c r="BI2704" s="744" t="str">
        <f t="shared" si="951"/>
        <v/>
      </c>
      <c r="BJ2704" s="747" t="str">
        <f t="shared" si="958"/>
        <v/>
      </c>
      <c r="BK2704" s="498" t="str">
        <f t="shared" si="952"/>
        <v/>
      </c>
      <c r="BL2704" s="498" t="str">
        <f t="shared" si="953"/>
        <v/>
      </c>
    </row>
    <row r="2705" spans="1:64" x14ac:dyDescent="0.25">
      <c r="A2705" s="762">
        <f t="shared" si="954"/>
        <v>2700</v>
      </c>
      <c r="B2705" s="229"/>
      <c r="C2705" s="223"/>
      <c r="D2705" s="224"/>
      <c r="E2705" s="225"/>
      <c r="F2705" s="1036" t="str">
        <f t="shared" si="960"/>
        <v/>
      </c>
      <c r="G2705" s="1037" t="str">
        <f t="shared" si="955"/>
        <v/>
      </c>
      <c r="H2705" s="225"/>
      <c r="I2705" s="1013"/>
      <c r="J2705" s="1013"/>
      <c r="K2705" s="1028"/>
      <c r="L2705" s="1035" t="str">
        <f t="shared" si="959"/>
        <v/>
      </c>
      <c r="S2705" s="498"/>
      <c r="AJ2705" s="498"/>
      <c r="AM2705" s="498">
        <f t="shared" si="940"/>
        <v>0</v>
      </c>
      <c r="AN2705" s="498">
        <f t="shared" si="941"/>
        <v>0</v>
      </c>
      <c r="AO2705" s="498">
        <f t="shared" si="942"/>
        <v>0</v>
      </c>
      <c r="AP2705" s="498">
        <f t="shared" si="939"/>
        <v>0</v>
      </c>
      <c r="AQ2705" s="498">
        <f t="shared" si="956"/>
        <v>0</v>
      </c>
      <c r="AU2705" s="498">
        <f t="shared" si="943"/>
        <v>0</v>
      </c>
      <c r="AV2705" s="498">
        <f t="shared" si="944"/>
        <v>0</v>
      </c>
      <c r="AW2705" s="498">
        <f t="shared" si="945"/>
        <v>0</v>
      </c>
      <c r="AX2705" s="498">
        <f t="shared" si="946"/>
        <v>0</v>
      </c>
      <c r="AY2705" s="498">
        <f t="shared" si="947"/>
        <v>0</v>
      </c>
      <c r="BB2705" s="498" t="str">
        <f t="shared" si="948"/>
        <v/>
      </c>
      <c r="BC2705" s="743" t="str">
        <f t="shared" si="949"/>
        <v/>
      </c>
      <c r="BD2705" s="743" t="str">
        <f t="shared" si="950"/>
        <v/>
      </c>
      <c r="BE2705" s="743" t="str">
        <f>IF(D2705="","",VLOOKUP(D2705,'General Basis'!$J$39:$K$46,2,0))</f>
        <v/>
      </c>
      <c r="BF2705" s="744" t="str">
        <f>IF(D2705="","",VLOOKUP(D2705,'General Basis'!$J$39:$L$46,3,0))</f>
        <v/>
      </c>
      <c r="BG2705" s="744" t="str">
        <f t="shared" si="957"/>
        <v/>
      </c>
      <c r="BH2705" s="744" t="str">
        <f>IF(G2705="","",IF(BF2705="Abu Dhabi",IF(G2705&lt;18,'General Basis'!$C$39,IF(G2705&lt;41,'General Basis'!$C$40,IF(G2705&lt;60,'General Basis'!$C$41,IF(G2705&lt;65,'General Basis'!$C$42,'General Basis'!$C$43)))),IF(G2705&lt;11,'General Basis'!$B$39,IF(G2705&lt;18,'General Basis'!$B$40,IF(G2705&lt;26,'General Basis'!$B$41,IF(G2705&lt;31,'General Basis'!$B$42,IF(G2705&lt;36,'General Basis'!$B$43,IF(G2705&lt;41,'General Basis'!$B$44,IF(G2705&lt;46,'General Basis'!$B$45,IF(G2705&lt;51,'General Basis'!$B$46,IF(G2705&lt;56,'General Basis'!$B$47,IF(G2705&lt;60,'General Basis'!$B$48,IF(G2705&lt;65,'General Basis'!$B$49,'General Basis'!$B$50)))))))))))))</f>
        <v/>
      </c>
      <c r="BI2705" s="744" t="str">
        <f t="shared" si="951"/>
        <v/>
      </c>
      <c r="BJ2705" s="747" t="str">
        <f t="shared" si="958"/>
        <v/>
      </c>
      <c r="BK2705" s="498" t="str">
        <f t="shared" si="952"/>
        <v/>
      </c>
      <c r="BL2705" s="498" t="str">
        <f t="shared" si="953"/>
        <v/>
      </c>
    </row>
    <row r="2706" spans="1:64" x14ac:dyDescent="0.25">
      <c r="A2706" s="762">
        <f t="shared" si="954"/>
        <v>2701</v>
      </c>
      <c r="B2706" s="229"/>
      <c r="C2706" s="223"/>
      <c r="D2706" s="224"/>
      <c r="E2706" s="225"/>
      <c r="F2706" s="1036" t="str">
        <f t="shared" si="960"/>
        <v/>
      </c>
      <c r="G2706" s="1037" t="str">
        <f t="shared" si="955"/>
        <v/>
      </c>
      <c r="H2706" s="225"/>
      <c r="I2706" s="1013"/>
      <c r="J2706" s="1013"/>
      <c r="K2706" s="1028"/>
      <c r="L2706" s="1035" t="str">
        <f t="shared" si="959"/>
        <v/>
      </c>
      <c r="S2706" s="498"/>
      <c r="AJ2706" s="498"/>
      <c r="AM2706" s="498">
        <f t="shared" si="940"/>
        <v>0</v>
      </c>
      <c r="AN2706" s="498">
        <f t="shared" si="941"/>
        <v>0</v>
      </c>
      <c r="AO2706" s="498">
        <f t="shared" si="942"/>
        <v>0</v>
      </c>
      <c r="AP2706" s="498">
        <f t="shared" si="939"/>
        <v>0</v>
      </c>
      <c r="AQ2706" s="498">
        <f t="shared" si="956"/>
        <v>0</v>
      </c>
      <c r="AU2706" s="498">
        <f t="shared" si="943"/>
        <v>0</v>
      </c>
      <c r="AV2706" s="498">
        <f t="shared" si="944"/>
        <v>0</v>
      </c>
      <c r="AW2706" s="498">
        <f t="shared" si="945"/>
        <v>0</v>
      </c>
      <c r="AX2706" s="498">
        <f t="shared" si="946"/>
        <v>0</v>
      </c>
      <c r="AY2706" s="498">
        <f t="shared" si="947"/>
        <v>0</v>
      </c>
      <c r="BB2706" s="498" t="str">
        <f t="shared" si="948"/>
        <v/>
      </c>
      <c r="BC2706" s="743" t="str">
        <f t="shared" si="949"/>
        <v/>
      </c>
      <c r="BD2706" s="743" t="str">
        <f t="shared" si="950"/>
        <v/>
      </c>
      <c r="BE2706" s="743" t="str">
        <f>IF(D2706="","",VLOOKUP(D2706,'General Basis'!$J$39:$K$46,2,0))</f>
        <v/>
      </c>
      <c r="BF2706" s="744" t="str">
        <f>IF(D2706="","",VLOOKUP(D2706,'General Basis'!$J$39:$L$46,3,0))</f>
        <v/>
      </c>
      <c r="BG2706" s="744" t="str">
        <f t="shared" si="957"/>
        <v/>
      </c>
      <c r="BH2706" s="744" t="str">
        <f>IF(G2706="","",IF(BF2706="Abu Dhabi",IF(G2706&lt;18,'General Basis'!$C$39,IF(G2706&lt;41,'General Basis'!$C$40,IF(G2706&lt;60,'General Basis'!$C$41,IF(G2706&lt;65,'General Basis'!$C$42,'General Basis'!$C$43)))),IF(G2706&lt;11,'General Basis'!$B$39,IF(G2706&lt;18,'General Basis'!$B$40,IF(G2706&lt;26,'General Basis'!$B$41,IF(G2706&lt;31,'General Basis'!$B$42,IF(G2706&lt;36,'General Basis'!$B$43,IF(G2706&lt;41,'General Basis'!$B$44,IF(G2706&lt;46,'General Basis'!$B$45,IF(G2706&lt;51,'General Basis'!$B$46,IF(G2706&lt;56,'General Basis'!$B$47,IF(G2706&lt;60,'General Basis'!$B$48,IF(G2706&lt;65,'General Basis'!$B$49,'General Basis'!$B$50)))))))))))))</f>
        <v/>
      </c>
      <c r="BI2706" s="744" t="str">
        <f t="shared" si="951"/>
        <v/>
      </c>
      <c r="BJ2706" s="747" t="str">
        <f t="shared" si="958"/>
        <v/>
      </c>
      <c r="BK2706" s="498" t="str">
        <f t="shared" si="952"/>
        <v/>
      </c>
      <c r="BL2706" s="498" t="str">
        <f t="shared" si="953"/>
        <v/>
      </c>
    </row>
    <row r="2707" spans="1:64" x14ac:dyDescent="0.25">
      <c r="A2707" s="762">
        <f t="shared" si="954"/>
        <v>2702</v>
      </c>
      <c r="B2707" s="229"/>
      <c r="C2707" s="223"/>
      <c r="D2707" s="224"/>
      <c r="E2707" s="225"/>
      <c r="F2707" s="1036" t="str">
        <f t="shared" si="960"/>
        <v/>
      </c>
      <c r="G2707" s="1037" t="str">
        <f t="shared" si="955"/>
        <v/>
      </c>
      <c r="H2707" s="225"/>
      <c r="I2707" s="1013"/>
      <c r="J2707" s="1013"/>
      <c r="K2707" s="1028"/>
      <c r="L2707" s="1035" t="str">
        <f t="shared" si="959"/>
        <v/>
      </c>
      <c r="S2707" s="498"/>
      <c r="AJ2707" s="498"/>
      <c r="AM2707" s="498">
        <f t="shared" si="940"/>
        <v>0</v>
      </c>
      <c r="AN2707" s="498">
        <f t="shared" si="941"/>
        <v>0</v>
      </c>
      <c r="AO2707" s="498">
        <f t="shared" si="942"/>
        <v>0</v>
      </c>
      <c r="AP2707" s="498">
        <f t="shared" ref="AP2707:AP2770" si="961">IF(ISBLANK($B2707),0,IF(OR($C2707="M",$C2707="F"),0,1))</f>
        <v>0</v>
      </c>
      <c r="AQ2707" s="498">
        <f t="shared" si="956"/>
        <v>0</v>
      </c>
      <c r="AU2707" s="498">
        <f t="shared" si="943"/>
        <v>0</v>
      </c>
      <c r="AV2707" s="498">
        <f t="shared" si="944"/>
        <v>0</v>
      </c>
      <c r="AW2707" s="498">
        <f t="shared" si="945"/>
        <v>0</v>
      </c>
      <c r="AX2707" s="498">
        <f t="shared" si="946"/>
        <v>0</v>
      </c>
      <c r="AY2707" s="498">
        <f t="shared" si="947"/>
        <v>0</v>
      </c>
      <c r="BB2707" s="498" t="str">
        <f t="shared" si="948"/>
        <v/>
      </c>
      <c r="BC2707" s="743" t="str">
        <f t="shared" si="949"/>
        <v/>
      </c>
      <c r="BD2707" s="743" t="str">
        <f t="shared" si="950"/>
        <v/>
      </c>
      <c r="BE2707" s="743" t="str">
        <f>IF(D2707="","",VLOOKUP(D2707,'General Basis'!$J$39:$K$46,2,0))</f>
        <v/>
      </c>
      <c r="BF2707" s="744" t="str">
        <f>IF(D2707="","",VLOOKUP(D2707,'General Basis'!$J$39:$L$46,3,0))</f>
        <v/>
      </c>
      <c r="BG2707" s="744" t="str">
        <f t="shared" si="957"/>
        <v/>
      </c>
      <c r="BH2707" s="744" t="str">
        <f>IF(G2707="","",IF(BF2707="Abu Dhabi",IF(G2707&lt;18,'General Basis'!$C$39,IF(G2707&lt;41,'General Basis'!$C$40,IF(G2707&lt;60,'General Basis'!$C$41,IF(G2707&lt;65,'General Basis'!$C$42,'General Basis'!$C$43)))),IF(G2707&lt;11,'General Basis'!$B$39,IF(G2707&lt;18,'General Basis'!$B$40,IF(G2707&lt;26,'General Basis'!$B$41,IF(G2707&lt;31,'General Basis'!$B$42,IF(G2707&lt;36,'General Basis'!$B$43,IF(G2707&lt;41,'General Basis'!$B$44,IF(G2707&lt;46,'General Basis'!$B$45,IF(G2707&lt;51,'General Basis'!$B$46,IF(G2707&lt;56,'General Basis'!$B$47,IF(G2707&lt;60,'General Basis'!$B$48,IF(G2707&lt;65,'General Basis'!$B$49,'General Basis'!$B$50)))))))))))))</f>
        <v/>
      </c>
      <c r="BI2707" s="744" t="str">
        <f t="shared" si="951"/>
        <v/>
      </c>
      <c r="BJ2707" s="747" t="str">
        <f t="shared" si="958"/>
        <v/>
      </c>
      <c r="BK2707" s="498" t="str">
        <f t="shared" si="952"/>
        <v/>
      </c>
      <c r="BL2707" s="498" t="str">
        <f t="shared" si="953"/>
        <v/>
      </c>
    </row>
    <row r="2708" spans="1:64" x14ac:dyDescent="0.25">
      <c r="A2708" s="762">
        <f t="shared" si="954"/>
        <v>2703</v>
      </c>
      <c r="B2708" s="229"/>
      <c r="C2708" s="223"/>
      <c r="D2708" s="224"/>
      <c r="E2708" s="225"/>
      <c r="F2708" s="1036" t="str">
        <f t="shared" si="960"/>
        <v/>
      </c>
      <c r="G2708" s="1037" t="str">
        <f t="shared" si="955"/>
        <v/>
      </c>
      <c r="H2708" s="225"/>
      <c r="I2708" s="1013"/>
      <c r="J2708" s="1013"/>
      <c r="K2708" s="1028"/>
      <c r="L2708" s="1035" t="str">
        <f t="shared" si="959"/>
        <v/>
      </c>
      <c r="S2708" s="498"/>
      <c r="AJ2708" s="498"/>
      <c r="AM2708" s="498">
        <f t="shared" si="940"/>
        <v>0</v>
      </c>
      <c r="AN2708" s="498">
        <f t="shared" si="941"/>
        <v>0</v>
      </c>
      <c r="AO2708" s="498">
        <f t="shared" si="942"/>
        <v>0</v>
      </c>
      <c r="AP2708" s="498">
        <f t="shared" si="961"/>
        <v>0</v>
      </c>
      <c r="AQ2708" s="498">
        <f t="shared" si="956"/>
        <v>0</v>
      </c>
      <c r="AU2708" s="498">
        <f t="shared" si="943"/>
        <v>0</v>
      </c>
      <c r="AV2708" s="498">
        <f t="shared" si="944"/>
        <v>0</v>
      </c>
      <c r="AW2708" s="498">
        <f t="shared" si="945"/>
        <v>0</v>
      </c>
      <c r="AX2708" s="498">
        <f t="shared" si="946"/>
        <v>0</v>
      </c>
      <c r="AY2708" s="498">
        <f t="shared" si="947"/>
        <v>0</v>
      </c>
      <c r="BB2708" s="498" t="str">
        <f t="shared" si="948"/>
        <v/>
      </c>
      <c r="BC2708" s="743" t="str">
        <f t="shared" si="949"/>
        <v/>
      </c>
      <c r="BD2708" s="743" t="str">
        <f t="shared" si="950"/>
        <v/>
      </c>
      <c r="BE2708" s="743" t="str">
        <f>IF(D2708="","",VLOOKUP(D2708,'General Basis'!$J$39:$K$46,2,0))</f>
        <v/>
      </c>
      <c r="BF2708" s="744" t="str">
        <f>IF(D2708="","",VLOOKUP(D2708,'General Basis'!$J$39:$L$46,3,0))</f>
        <v/>
      </c>
      <c r="BG2708" s="744" t="str">
        <f t="shared" si="957"/>
        <v/>
      </c>
      <c r="BH2708" s="744" t="str">
        <f>IF(G2708="","",IF(BF2708="Abu Dhabi",IF(G2708&lt;18,'General Basis'!$C$39,IF(G2708&lt;41,'General Basis'!$C$40,IF(G2708&lt;60,'General Basis'!$C$41,IF(G2708&lt;65,'General Basis'!$C$42,'General Basis'!$C$43)))),IF(G2708&lt;11,'General Basis'!$B$39,IF(G2708&lt;18,'General Basis'!$B$40,IF(G2708&lt;26,'General Basis'!$B$41,IF(G2708&lt;31,'General Basis'!$B$42,IF(G2708&lt;36,'General Basis'!$B$43,IF(G2708&lt;41,'General Basis'!$B$44,IF(G2708&lt;46,'General Basis'!$B$45,IF(G2708&lt;51,'General Basis'!$B$46,IF(G2708&lt;56,'General Basis'!$B$47,IF(G2708&lt;60,'General Basis'!$B$48,IF(G2708&lt;65,'General Basis'!$B$49,'General Basis'!$B$50)))))))))))))</f>
        <v/>
      </c>
      <c r="BI2708" s="744" t="str">
        <f t="shared" si="951"/>
        <v/>
      </c>
      <c r="BJ2708" s="747" t="str">
        <f t="shared" si="958"/>
        <v/>
      </c>
      <c r="BK2708" s="498" t="str">
        <f t="shared" si="952"/>
        <v/>
      </c>
      <c r="BL2708" s="498" t="str">
        <f t="shared" si="953"/>
        <v/>
      </c>
    </row>
    <row r="2709" spans="1:64" x14ac:dyDescent="0.25">
      <c r="A2709" s="762">
        <f t="shared" si="954"/>
        <v>2704</v>
      </c>
      <c r="B2709" s="229"/>
      <c r="C2709" s="223"/>
      <c r="D2709" s="224"/>
      <c r="E2709" s="225"/>
      <c r="F2709" s="1036" t="str">
        <f t="shared" si="960"/>
        <v/>
      </c>
      <c r="G2709" s="1037" t="str">
        <f t="shared" si="955"/>
        <v/>
      </c>
      <c r="H2709" s="225"/>
      <c r="I2709" s="1013"/>
      <c r="J2709" s="1013"/>
      <c r="K2709" s="1028"/>
      <c r="L2709" s="1035" t="str">
        <f t="shared" si="959"/>
        <v/>
      </c>
      <c r="S2709" s="498"/>
      <c r="AJ2709" s="498"/>
      <c r="AM2709" s="498">
        <f t="shared" si="940"/>
        <v>0</v>
      </c>
      <c r="AN2709" s="498">
        <f t="shared" si="941"/>
        <v>0</v>
      </c>
      <c r="AO2709" s="498">
        <f t="shared" si="942"/>
        <v>0</v>
      </c>
      <c r="AP2709" s="498">
        <f t="shared" si="961"/>
        <v>0</v>
      </c>
      <c r="AQ2709" s="498">
        <f t="shared" si="956"/>
        <v>0</v>
      </c>
      <c r="AU2709" s="498">
        <f t="shared" si="943"/>
        <v>0</v>
      </c>
      <c r="AV2709" s="498">
        <f t="shared" si="944"/>
        <v>0</v>
      </c>
      <c r="AW2709" s="498">
        <f t="shared" si="945"/>
        <v>0</v>
      </c>
      <c r="AX2709" s="498">
        <f t="shared" si="946"/>
        <v>0</v>
      </c>
      <c r="AY2709" s="498">
        <f t="shared" si="947"/>
        <v>0</v>
      </c>
      <c r="BB2709" s="498" t="str">
        <f t="shared" si="948"/>
        <v/>
      </c>
      <c r="BC2709" s="743" t="str">
        <f t="shared" si="949"/>
        <v/>
      </c>
      <c r="BD2709" s="743" t="str">
        <f t="shared" si="950"/>
        <v/>
      </c>
      <c r="BE2709" s="743" t="str">
        <f>IF(D2709="","",VLOOKUP(D2709,'General Basis'!$J$39:$K$46,2,0))</f>
        <v/>
      </c>
      <c r="BF2709" s="744" t="str">
        <f>IF(D2709="","",VLOOKUP(D2709,'General Basis'!$J$39:$L$46,3,0))</f>
        <v/>
      </c>
      <c r="BG2709" s="744" t="str">
        <f t="shared" si="957"/>
        <v/>
      </c>
      <c r="BH2709" s="744" t="str">
        <f>IF(G2709="","",IF(BF2709="Abu Dhabi",IF(G2709&lt;18,'General Basis'!$C$39,IF(G2709&lt;41,'General Basis'!$C$40,IF(G2709&lt;60,'General Basis'!$C$41,IF(G2709&lt;65,'General Basis'!$C$42,'General Basis'!$C$43)))),IF(G2709&lt;11,'General Basis'!$B$39,IF(G2709&lt;18,'General Basis'!$B$40,IF(G2709&lt;26,'General Basis'!$B$41,IF(G2709&lt;31,'General Basis'!$B$42,IF(G2709&lt;36,'General Basis'!$B$43,IF(G2709&lt;41,'General Basis'!$B$44,IF(G2709&lt;46,'General Basis'!$B$45,IF(G2709&lt;51,'General Basis'!$B$46,IF(G2709&lt;56,'General Basis'!$B$47,IF(G2709&lt;60,'General Basis'!$B$48,IF(G2709&lt;65,'General Basis'!$B$49,'General Basis'!$B$50)))))))))))))</f>
        <v/>
      </c>
      <c r="BI2709" s="744" t="str">
        <f t="shared" si="951"/>
        <v/>
      </c>
      <c r="BJ2709" s="747" t="str">
        <f t="shared" si="958"/>
        <v/>
      </c>
      <c r="BK2709" s="498" t="str">
        <f t="shared" si="952"/>
        <v/>
      </c>
      <c r="BL2709" s="498" t="str">
        <f t="shared" si="953"/>
        <v/>
      </c>
    </row>
    <row r="2710" spans="1:64" x14ac:dyDescent="0.25">
      <c r="A2710" s="762">
        <f t="shared" si="954"/>
        <v>2705</v>
      </c>
      <c r="B2710" s="229"/>
      <c r="C2710" s="223"/>
      <c r="D2710" s="224"/>
      <c r="E2710" s="225"/>
      <c r="F2710" s="1036" t="str">
        <f t="shared" si="960"/>
        <v/>
      </c>
      <c r="G2710" s="1037" t="str">
        <f t="shared" si="955"/>
        <v/>
      </c>
      <c r="H2710" s="225"/>
      <c r="I2710" s="1013"/>
      <c r="J2710" s="1013"/>
      <c r="K2710" s="1028"/>
      <c r="L2710" s="1035" t="str">
        <f t="shared" si="959"/>
        <v/>
      </c>
      <c r="S2710" s="498"/>
      <c r="AJ2710" s="498"/>
      <c r="AM2710" s="498">
        <f t="shared" si="940"/>
        <v>0</v>
      </c>
      <c r="AN2710" s="498">
        <f t="shared" si="941"/>
        <v>0</v>
      </c>
      <c r="AO2710" s="498">
        <f t="shared" si="942"/>
        <v>0</v>
      </c>
      <c r="AP2710" s="498">
        <f t="shared" si="961"/>
        <v>0</v>
      </c>
      <c r="AQ2710" s="498">
        <f t="shared" si="956"/>
        <v>0</v>
      </c>
      <c r="AU2710" s="498">
        <f t="shared" si="943"/>
        <v>0</v>
      </c>
      <c r="AV2710" s="498">
        <f t="shared" si="944"/>
        <v>0</v>
      </c>
      <c r="AW2710" s="498">
        <f t="shared" si="945"/>
        <v>0</v>
      </c>
      <c r="AX2710" s="498">
        <f t="shared" si="946"/>
        <v>0</v>
      </c>
      <c r="AY2710" s="498">
        <f t="shared" si="947"/>
        <v>0</v>
      </c>
      <c r="BB2710" s="498" t="str">
        <f t="shared" si="948"/>
        <v/>
      </c>
      <c r="BC2710" s="743" t="str">
        <f t="shared" si="949"/>
        <v/>
      </c>
      <c r="BD2710" s="743" t="str">
        <f t="shared" si="950"/>
        <v/>
      </c>
      <c r="BE2710" s="743" t="str">
        <f>IF(D2710="","",VLOOKUP(D2710,'General Basis'!$J$39:$K$46,2,0))</f>
        <v/>
      </c>
      <c r="BF2710" s="744" t="str">
        <f>IF(D2710="","",VLOOKUP(D2710,'General Basis'!$J$39:$L$46,3,0))</f>
        <v/>
      </c>
      <c r="BG2710" s="744" t="str">
        <f t="shared" si="957"/>
        <v/>
      </c>
      <c r="BH2710" s="744" t="str">
        <f>IF(G2710="","",IF(BF2710="Abu Dhabi",IF(G2710&lt;18,'General Basis'!$C$39,IF(G2710&lt;41,'General Basis'!$C$40,IF(G2710&lt;60,'General Basis'!$C$41,IF(G2710&lt;65,'General Basis'!$C$42,'General Basis'!$C$43)))),IF(G2710&lt;11,'General Basis'!$B$39,IF(G2710&lt;18,'General Basis'!$B$40,IF(G2710&lt;26,'General Basis'!$B$41,IF(G2710&lt;31,'General Basis'!$B$42,IF(G2710&lt;36,'General Basis'!$B$43,IF(G2710&lt;41,'General Basis'!$B$44,IF(G2710&lt;46,'General Basis'!$B$45,IF(G2710&lt;51,'General Basis'!$B$46,IF(G2710&lt;56,'General Basis'!$B$47,IF(G2710&lt;60,'General Basis'!$B$48,IF(G2710&lt;65,'General Basis'!$B$49,'General Basis'!$B$50)))))))))))))</f>
        <v/>
      </c>
      <c r="BI2710" s="744" t="str">
        <f t="shared" si="951"/>
        <v/>
      </c>
      <c r="BJ2710" s="747" t="str">
        <f t="shared" si="958"/>
        <v/>
      </c>
      <c r="BK2710" s="498" t="str">
        <f t="shared" si="952"/>
        <v/>
      </c>
      <c r="BL2710" s="498" t="str">
        <f t="shared" si="953"/>
        <v/>
      </c>
    </row>
    <row r="2711" spans="1:64" x14ac:dyDescent="0.25">
      <c r="A2711" s="762">
        <f t="shared" si="954"/>
        <v>2706</v>
      </c>
      <c r="B2711" s="229"/>
      <c r="C2711" s="223"/>
      <c r="D2711" s="224"/>
      <c r="E2711" s="225"/>
      <c r="F2711" s="1036" t="str">
        <f t="shared" si="960"/>
        <v/>
      </c>
      <c r="G2711" s="1037" t="str">
        <f t="shared" si="955"/>
        <v/>
      </c>
      <c r="H2711" s="225"/>
      <c r="I2711" s="1013"/>
      <c r="J2711" s="1013"/>
      <c r="K2711" s="1028"/>
      <c r="L2711" s="1035" t="str">
        <f t="shared" si="959"/>
        <v/>
      </c>
      <c r="S2711" s="498"/>
      <c r="AJ2711" s="498"/>
      <c r="AM2711" s="498">
        <f t="shared" si="940"/>
        <v>0</v>
      </c>
      <c r="AN2711" s="498">
        <f t="shared" si="941"/>
        <v>0</v>
      </c>
      <c r="AO2711" s="498">
        <f t="shared" si="942"/>
        <v>0</v>
      </c>
      <c r="AP2711" s="498">
        <f t="shared" si="961"/>
        <v>0</v>
      </c>
      <c r="AQ2711" s="498">
        <f t="shared" si="956"/>
        <v>0</v>
      </c>
      <c r="AU2711" s="498">
        <f t="shared" si="943"/>
        <v>0</v>
      </c>
      <c r="AV2711" s="498">
        <f t="shared" si="944"/>
        <v>0</v>
      </c>
      <c r="AW2711" s="498">
        <f t="shared" si="945"/>
        <v>0</v>
      </c>
      <c r="AX2711" s="498">
        <f t="shared" si="946"/>
        <v>0</v>
      </c>
      <c r="AY2711" s="498">
        <f t="shared" si="947"/>
        <v>0</v>
      </c>
      <c r="BB2711" s="498" t="str">
        <f t="shared" si="948"/>
        <v/>
      </c>
      <c r="BC2711" s="743" t="str">
        <f t="shared" si="949"/>
        <v/>
      </c>
      <c r="BD2711" s="743" t="str">
        <f t="shared" si="950"/>
        <v/>
      </c>
      <c r="BE2711" s="743" t="str">
        <f>IF(D2711="","",VLOOKUP(D2711,'General Basis'!$J$39:$K$46,2,0))</f>
        <v/>
      </c>
      <c r="BF2711" s="744" t="str">
        <f>IF(D2711="","",VLOOKUP(D2711,'General Basis'!$J$39:$L$46,3,0))</f>
        <v/>
      </c>
      <c r="BG2711" s="744" t="str">
        <f t="shared" si="957"/>
        <v/>
      </c>
      <c r="BH2711" s="744" t="str">
        <f>IF(G2711="","",IF(BF2711="Abu Dhabi",IF(G2711&lt;18,'General Basis'!$C$39,IF(G2711&lt;41,'General Basis'!$C$40,IF(G2711&lt;60,'General Basis'!$C$41,IF(G2711&lt;65,'General Basis'!$C$42,'General Basis'!$C$43)))),IF(G2711&lt;11,'General Basis'!$B$39,IF(G2711&lt;18,'General Basis'!$B$40,IF(G2711&lt;26,'General Basis'!$B$41,IF(G2711&lt;31,'General Basis'!$B$42,IF(G2711&lt;36,'General Basis'!$B$43,IF(G2711&lt;41,'General Basis'!$B$44,IF(G2711&lt;46,'General Basis'!$B$45,IF(G2711&lt;51,'General Basis'!$B$46,IF(G2711&lt;56,'General Basis'!$B$47,IF(G2711&lt;60,'General Basis'!$B$48,IF(G2711&lt;65,'General Basis'!$B$49,'General Basis'!$B$50)))))))))))))</f>
        <v/>
      </c>
      <c r="BI2711" s="744" t="str">
        <f t="shared" si="951"/>
        <v/>
      </c>
      <c r="BJ2711" s="747" t="str">
        <f t="shared" si="958"/>
        <v/>
      </c>
      <c r="BK2711" s="498" t="str">
        <f t="shared" si="952"/>
        <v/>
      </c>
      <c r="BL2711" s="498" t="str">
        <f t="shared" si="953"/>
        <v/>
      </c>
    </row>
    <row r="2712" spans="1:64" x14ac:dyDescent="0.25">
      <c r="A2712" s="762">
        <f t="shared" si="954"/>
        <v>2707</v>
      </c>
      <c r="B2712" s="229"/>
      <c r="C2712" s="223"/>
      <c r="D2712" s="224"/>
      <c r="E2712" s="225"/>
      <c r="F2712" s="1036" t="str">
        <f t="shared" si="960"/>
        <v/>
      </c>
      <c r="G2712" s="1037" t="str">
        <f t="shared" si="955"/>
        <v/>
      </c>
      <c r="H2712" s="225"/>
      <c r="I2712" s="1013"/>
      <c r="J2712" s="1013"/>
      <c r="K2712" s="1028"/>
      <c r="L2712" s="1035" t="str">
        <f t="shared" si="959"/>
        <v/>
      </c>
      <c r="S2712" s="498"/>
      <c r="AJ2712" s="498"/>
      <c r="AM2712" s="498">
        <f t="shared" si="940"/>
        <v>0</v>
      </c>
      <c r="AN2712" s="498">
        <f t="shared" si="941"/>
        <v>0</v>
      </c>
      <c r="AO2712" s="498">
        <f t="shared" si="942"/>
        <v>0</v>
      </c>
      <c r="AP2712" s="498">
        <f t="shared" si="961"/>
        <v>0</v>
      </c>
      <c r="AQ2712" s="498">
        <f t="shared" si="956"/>
        <v>0</v>
      </c>
      <c r="AU2712" s="498">
        <f t="shared" si="943"/>
        <v>0</v>
      </c>
      <c r="AV2712" s="498">
        <f t="shared" si="944"/>
        <v>0</v>
      </c>
      <c r="AW2712" s="498">
        <f t="shared" si="945"/>
        <v>0</v>
      </c>
      <c r="AX2712" s="498">
        <f t="shared" si="946"/>
        <v>0</v>
      </c>
      <c r="AY2712" s="498">
        <f t="shared" si="947"/>
        <v>0</v>
      </c>
      <c r="BB2712" s="498" t="str">
        <f t="shared" si="948"/>
        <v/>
      </c>
      <c r="BC2712" s="743" t="str">
        <f t="shared" si="949"/>
        <v/>
      </c>
      <c r="BD2712" s="743" t="str">
        <f t="shared" si="950"/>
        <v/>
      </c>
      <c r="BE2712" s="743" t="str">
        <f>IF(D2712="","",VLOOKUP(D2712,'General Basis'!$J$39:$K$46,2,0))</f>
        <v/>
      </c>
      <c r="BF2712" s="744" t="str">
        <f>IF(D2712="","",VLOOKUP(D2712,'General Basis'!$J$39:$L$46,3,0))</f>
        <v/>
      </c>
      <c r="BG2712" s="744" t="str">
        <f t="shared" si="957"/>
        <v/>
      </c>
      <c r="BH2712" s="744" t="str">
        <f>IF(G2712="","",IF(BF2712="Abu Dhabi",IF(G2712&lt;18,'General Basis'!$C$39,IF(G2712&lt;41,'General Basis'!$C$40,IF(G2712&lt;60,'General Basis'!$C$41,IF(G2712&lt;65,'General Basis'!$C$42,'General Basis'!$C$43)))),IF(G2712&lt;11,'General Basis'!$B$39,IF(G2712&lt;18,'General Basis'!$B$40,IF(G2712&lt;26,'General Basis'!$B$41,IF(G2712&lt;31,'General Basis'!$B$42,IF(G2712&lt;36,'General Basis'!$B$43,IF(G2712&lt;41,'General Basis'!$B$44,IF(G2712&lt;46,'General Basis'!$B$45,IF(G2712&lt;51,'General Basis'!$B$46,IF(G2712&lt;56,'General Basis'!$B$47,IF(G2712&lt;60,'General Basis'!$B$48,IF(G2712&lt;65,'General Basis'!$B$49,'General Basis'!$B$50)))))))))))))</f>
        <v/>
      </c>
      <c r="BI2712" s="744" t="str">
        <f t="shared" si="951"/>
        <v/>
      </c>
      <c r="BJ2712" s="747" t="str">
        <f t="shared" si="958"/>
        <v/>
      </c>
      <c r="BK2712" s="498" t="str">
        <f t="shared" si="952"/>
        <v/>
      </c>
      <c r="BL2712" s="498" t="str">
        <f t="shared" si="953"/>
        <v/>
      </c>
    </row>
    <row r="2713" spans="1:64" x14ac:dyDescent="0.25">
      <c r="A2713" s="762">
        <f t="shared" si="954"/>
        <v>2708</v>
      </c>
      <c r="B2713" s="229"/>
      <c r="C2713" s="223"/>
      <c r="D2713" s="224"/>
      <c r="E2713" s="225"/>
      <c r="F2713" s="1036" t="str">
        <f t="shared" si="960"/>
        <v/>
      </c>
      <c r="G2713" s="1037" t="str">
        <f t="shared" si="955"/>
        <v/>
      </c>
      <c r="H2713" s="225"/>
      <c r="I2713" s="1013"/>
      <c r="J2713" s="1013"/>
      <c r="K2713" s="1028"/>
      <c r="L2713" s="1035" t="str">
        <f t="shared" si="959"/>
        <v/>
      </c>
      <c r="S2713" s="498"/>
      <c r="AJ2713" s="498"/>
      <c r="AM2713" s="498">
        <f t="shared" si="940"/>
        <v>0</v>
      </c>
      <c r="AN2713" s="498">
        <f t="shared" si="941"/>
        <v>0</v>
      </c>
      <c r="AO2713" s="498">
        <f t="shared" si="942"/>
        <v>0</v>
      </c>
      <c r="AP2713" s="498">
        <f t="shared" si="961"/>
        <v>0</v>
      </c>
      <c r="AQ2713" s="498">
        <f t="shared" si="956"/>
        <v>0</v>
      </c>
      <c r="AU2713" s="498">
        <f t="shared" si="943"/>
        <v>0</v>
      </c>
      <c r="AV2713" s="498">
        <f t="shared" si="944"/>
        <v>0</v>
      </c>
      <c r="AW2713" s="498">
        <f t="shared" si="945"/>
        <v>0</v>
      </c>
      <c r="AX2713" s="498">
        <f t="shared" si="946"/>
        <v>0</v>
      </c>
      <c r="AY2713" s="498">
        <f t="shared" si="947"/>
        <v>0</v>
      </c>
      <c r="BB2713" s="498" t="str">
        <f t="shared" si="948"/>
        <v/>
      </c>
      <c r="BC2713" s="743" t="str">
        <f t="shared" si="949"/>
        <v/>
      </c>
      <c r="BD2713" s="743" t="str">
        <f t="shared" si="950"/>
        <v/>
      </c>
      <c r="BE2713" s="743" t="str">
        <f>IF(D2713="","",VLOOKUP(D2713,'General Basis'!$J$39:$K$46,2,0))</f>
        <v/>
      </c>
      <c r="BF2713" s="744" t="str">
        <f>IF(D2713="","",VLOOKUP(D2713,'General Basis'!$J$39:$L$46,3,0))</f>
        <v/>
      </c>
      <c r="BG2713" s="744" t="str">
        <f t="shared" si="957"/>
        <v/>
      </c>
      <c r="BH2713" s="744" t="str">
        <f>IF(G2713="","",IF(BF2713="Abu Dhabi",IF(G2713&lt;18,'General Basis'!$C$39,IF(G2713&lt;41,'General Basis'!$C$40,IF(G2713&lt;60,'General Basis'!$C$41,IF(G2713&lt;65,'General Basis'!$C$42,'General Basis'!$C$43)))),IF(G2713&lt;11,'General Basis'!$B$39,IF(G2713&lt;18,'General Basis'!$B$40,IF(G2713&lt;26,'General Basis'!$B$41,IF(G2713&lt;31,'General Basis'!$B$42,IF(G2713&lt;36,'General Basis'!$B$43,IF(G2713&lt;41,'General Basis'!$B$44,IF(G2713&lt;46,'General Basis'!$B$45,IF(G2713&lt;51,'General Basis'!$B$46,IF(G2713&lt;56,'General Basis'!$B$47,IF(G2713&lt;60,'General Basis'!$B$48,IF(G2713&lt;65,'General Basis'!$B$49,'General Basis'!$B$50)))))))))))))</f>
        <v/>
      </c>
      <c r="BI2713" s="744" t="str">
        <f t="shared" si="951"/>
        <v/>
      </c>
      <c r="BJ2713" s="747" t="str">
        <f t="shared" si="958"/>
        <v/>
      </c>
      <c r="BK2713" s="498" t="str">
        <f t="shared" si="952"/>
        <v/>
      </c>
      <c r="BL2713" s="498" t="str">
        <f t="shared" si="953"/>
        <v/>
      </c>
    </row>
    <row r="2714" spans="1:64" x14ac:dyDescent="0.25">
      <c r="A2714" s="762">
        <f t="shared" si="954"/>
        <v>2709</v>
      </c>
      <c r="B2714" s="229"/>
      <c r="C2714" s="223"/>
      <c r="D2714" s="224"/>
      <c r="E2714" s="225"/>
      <c r="F2714" s="1036" t="str">
        <f t="shared" si="960"/>
        <v/>
      </c>
      <c r="G2714" s="1037" t="str">
        <f t="shared" si="955"/>
        <v/>
      </c>
      <c r="H2714" s="225"/>
      <c r="I2714" s="1013"/>
      <c r="J2714" s="1013"/>
      <c r="K2714" s="1028"/>
      <c r="L2714" s="1035" t="str">
        <f t="shared" si="959"/>
        <v/>
      </c>
      <c r="S2714" s="498"/>
      <c r="AJ2714" s="498"/>
      <c r="AM2714" s="498">
        <f t="shared" si="940"/>
        <v>0</v>
      </c>
      <c r="AN2714" s="498">
        <f t="shared" si="941"/>
        <v>0</v>
      </c>
      <c r="AO2714" s="498">
        <f t="shared" si="942"/>
        <v>0</v>
      </c>
      <c r="AP2714" s="498">
        <f t="shared" si="961"/>
        <v>0</v>
      </c>
      <c r="AQ2714" s="498">
        <f t="shared" si="956"/>
        <v>0</v>
      </c>
      <c r="AU2714" s="498">
        <f t="shared" si="943"/>
        <v>0</v>
      </c>
      <c r="AV2714" s="498">
        <f t="shared" si="944"/>
        <v>0</v>
      </c>
      <c r="AW2714" s="498">
        <f t="shared" si="945"/>
        <v>0</v>
      </c>
      <c r="AX2714" s="498">
        <f t="shared" si="946"/>
        <v>0</v>
      </c>
      <c r="AY2714" s="498">
        <f t="shared" si="947"/>
        <v>0</v>
      </c>
      <c r="BB2714" s="498" t="str">
        <f t="shared" si="948"/>
        <v/>
      </c>
      <c r="BC2714" s="743" t="str">
        <f t="shared" si="949"/>
        <v/>
      </c>
      <c r="BD2714" s="743" t="str">
        <f t="shared" si="950"/>
        <v/>
      </c>
      <c r="BE2714" s="743" t="str">
        <f>IF(D2714="","",VLOOKUP(D2714,'General Basis'!$J$39:$K$46,2,0))</f>
        <v/>
      </c>
      <c r="BF2714" s="744" t="str">
        <f>IF(D2714="","",VLOOKUP(D2714,'General Basis'!$J$39:$L$46,3,0))</f>
        <v/>
      </c>
      <c r="BG2714" s="744" t="str">
        <f t="shared" si="957"/>
        <v/>
      </c>
      <c r="BH2714" s="744" t="str">
        <f>IF(G2714="","",IF(BF2714="Abu Dhabi",IF(G2714&lt;18,'General Basis'!$C$39,IF(G2714&lt;41,'General Basis'!$C$40,IF(G2714&lt;60,'General Basis'!$C$41,IF(G2714&lt;65,'General Basis'!$C$42,'General Basis'!$C$43)))),IF(G2714&lt;11,'General Basis'!$B$39,IF(G2714&lt;18,'General Basis'!$B$40,IF(G2714&lt;26,'General Basis'!$B$41,IF(G2714&lt;31,'General Basis'!$B$42,IF(G2714&lt;36,'General Basis'!$B$43,IF(G2714&lt;41,'General Basis'!$B$44,IF(G2714&lt;46,'General Basis'!$B$45,IF(G2714&lt;51,'General Basis'!$B$46,IF(G2714&lt;56,'General Basis'!$B$47,IF(G2714&lt;60,'General Basis'!$B$48,IF(G2714&lt;65,'General Basis'!$B$49,'General Basis'!$B$50)))))))))))))</f>
        <v/>
      </c>
      <c r="BI2714" s="744" t="str">
        <f t="shared" si="951"/>
        <v/>
      </c>
      <c r="BJ2714" s="747" t="str">
        <f t="shared" si="958"/>
        <v/>
      </c>
      <c r="BK2714" s="498" t="str">
        <f t="shared" si="952"/>
        <v/>
      </c>
      <c r="BL2714" s="498" t="str">
        <f t="shared" si="953"/>
        <v/>
      </c>
    </row>
    <row r="2715" spans="1:64" x14ac:dyDescent="0.25">
      <c r="A2715" s="762">
        <f t="shared" si="954"/>
        <v>2710</v>
      </c>
      <c r="B2715" s="229"/>
      <c r="C2715" s="223"/>
      <c r="D2715" s="224"/>
      <c r="E2715" s="225"/>
      <c r="F2715" s="1036" t="str">
        <f t="shared" si="960"/>
        <v/>
      </c>
      <c r="G2715" s="1037" t="str">
        <f t="shared" si="955"/>
        <v/>
      </c>
      <c r="H2715" s="225"/>
      <c r="I2715" s="1013"/>
      <c r="J2715" s="1013"/>
      <c r="K2715" s="1028"/>
      <c r="L2715" s="1035" t="str">
        <f t="shared" si="959"/>
        <v/>
      </c>
      <c r="S2715" s="498"/>
      <c r="AJ2715" s="498"/>
      <c r="AM2715" s="498">
        <f t="shared" si="940"/>
        <v>0</v>
      </c>
      <c r="AN2715" s="498">
        <f t="shared" si="941"/>
        <v>0</v>
      </c>
      <c r="AO2715" s="498">
        <f t="shared" si="942"/>
        <v>0</v>
      </c>
      <c r="AP2715" s="498">
        <f t="shared" si="961"/>
        <v>0</v>
      </c>
      <c r="AQ2715" s="498">
        <f t="shared" si="956"/>
        <v>0</v>
      </c>
      <c r="AU2715" s="498">
        <f t="shared" si="943"/>
        <v>0</v>
      </c>
      <c r="AV2715" s="498">
        <f t="shared" si="944"/>
        <v>0</v>
      </c>
      <c r="AW2715" s="498">
        <f t="shared" si="945"/>
        <v>0</v>
      </c>
      <c r="AX2715" s="498">
        <f t="shared" si="946"/>
        <v>0</v>
      </c>
      <c r="AY2715" s="498">
        <f t="shared" si="947"/>
        <v>0</v>
      </c>
      <c r="BB2715" s="498" t="str">
        <f t="shared" si="948"/>
        <v/>
      </c>
      <c r="BC2715" s="743" t="str">
        <f t="shared" si="949"/>
        <v/>
      </c>
      <c r="BD2715" s="743" t="str">
        <f t="shared" si="950"/>
        <v/>
      </c>
      <c r="BE2715" s="743" t="str">
        <f>IF(D2715="","",VLOOKUP(D2715,'General Basis'!$J$39:$K$46,2,0))</f>
        <v/>
      </c>
      <c r="BF2715" s="744" t="str">
        <f>IF(D2715="","",VLOOKUP(D2715,'General Basis'!$J$39:$L$46,3,0))</f>
        <v/>
      </c>
      <c r="BG2715" s="744" t="str">
        <f t="shared" si="957"/>
        <v/>
      </c>
      <c r="BH2715" s="744" t="str">
        <f>IF(G2715="","",IF(BF2715="Abu Dhabi",IF(G2715&lt;18,'General Basis'!$C$39,IF(G2715&lt;41,'General Basis'!$C$40,IF(G2715&lt;60,'General Basis'!$C$41,IF(G2715&lt;65,'General Basis'!$C$42,'General Basis'!$C$43)))),IF(G2715&lt;11,'General Basis'!$B$39,IF(G2715&lt;18,'General Basis'!$B$40,IF(G2715&lt;26,'General Basis'!$B$41,IF(G2715&lt;31,'General Basis'!$B$42,IF(G2715&lt;36,'General Basis'!$B$43,IF(G2715&lt;41,'General Basis'!$B$44,IF(G2715&lt;46,'General Basis'!$B$45,IF(G2715&lt;51,'General Basis'!$B$46,IF(G2715&lt;56,'General Basis'!$B$47,IF(G2715&lt;60,'General Basis'!$B$48,IF(G2715&lt;65,'General Basis'!$B$49,'General Basis'!$B$50)))))))))))))</f>
        <v/>
      </c>
      <c r="BI2715" s="744" t="str">
        <f t="shared" si="951"/>
        <v/>
      </c>
      <c r="BJ2715" s="747" t="str">
        <f t="shared" si="958"/>
        <v/>
      </c>
      <c r="BK2715" s="498" t="str">
        <f t="shared" si="952"/>
        <v/>
      </c>
      <c r="BL2715" s="498" t="str">
        <f t="shared" si="953"/>
        <v/>
      </c>
    </row>
    <row r="2716" spans="1:64" x14ac:dyDescent="0.25">
      <c r="A2716" s="762">
        <f t="shared" si="954"/>
        <v>2711</v>
      </c>
      <c r="B2716" s="229"/>
      <c r="C2716" s="223"/>
      <c r="D2716" s="224"/>
      <c r="E2716" s="225"/>
      <c r="F2716" s="1036" t="str">
        <f t="shared" si="960"/>
        <v/>
      </c>
      <c r="G2716" s="1037" t="str">
        <f t="shared" si="955"/>
        <v/>
      </c>
      <c r="H2716" s="225"/>
      <c r="I2716" s="1013"/>
      <c r="J2716" s="1013"/>
      <c r="K2716" s="1028"/>
      <c r="L2716" s="1035" t="str">
        <f t="shared" si="959"/>
        <v/>
      </c>
      <c r="S2716" s="498"/>
      <c r="AJ2716" s="498"/>
      <c r="AM2716" s="498">
        <f t="shared" si="940"/>
        <v>0</v>
      </c>
      <c r="AN2716" s="498">
        <f t="shared" si="941"/>
        <v>0</v>
      </c>
      <c r="AO2716" s="498">
        <f t="shared" si="942"/>
        <v>0</v>
      </c>
      <c r="AP2716" s="498">
        <f t="shared" si="961"/>
        <v>0</v>
      </c>
      <c r="AQ2716" s="498">
        <f t="shared" si="956"/>
        <v>0</v>
      </c>
      <c r="AU2716" s="498">
        <f t="shared" si="943"/>
        <v>0</v>
      </c>
      <c r="AV2716" s="498">
        <f t="shared" si="944"/>
        <v>0</v>
      </c>
      <c r="AW2716" s="498">
        <f t="shared" si="945"/>
        <v>0</v>
      </c>
      <c r="AX2716" s="498">
        <f t="shared" si="946"/>
        <v>0</v>
      </c>
      <c r="AY2716" s="498">
        <f t="shared" si="947"/>
        <v>0</v>
      </c>
      <c r="BB2716" s="498" t="str">
        <f t="shared" si="948"/>
        <v/>
      </c>
      <c r="BC2716" s="743" t="str">
        <f t="shared" si="949"/>
        <v/>
      </c>
      <c r="BD2716" s="743" t="str">
        <f t="shared" si="950"/>
        <v/>
      </c>
      <c r="BE2716" s="743" t="str">
        <f>IF(D2716="","",VLOOKUP(D2716,'General Basis'!$J$39:$K$46,2,0))</f>
        <v/>
      </c>
      <c r="BF2716" s="744" t="str">
        <f>IF(D2716="","",VLOOKUP(D2716,'General Basis'!$J$39:$L$46,3,0))</f>
        <v/>
      </c>
      <c r="BG2716" s="744" t="str">
        <f t="shared" si="957"/>
        <v/>
      </c>
      <c r="BH2716" s="744" t="str">
        <f>IF(G2716="","",IF(BF2716="Abu Dhabi",IF(G2716&lt;18,'General Basis'!$C$39,IF(G2716&lt;41,'General Basis'!$C$40,IF(G2716&lt;60,'General Basis'!$C$41,IF(G2716&lt;65,'General Basis'!$C$42,'General Basis'!$C$43)))),IF(G2716&lt;11,'General Basis'!$B$39,IF(G2716&lt;18,'General Basis'!$B$40,IF(G2716&lt;26,'General Basis'!$B$41,IF(G2716&lt;31,'General Basis'!$B$42,IF(G2716&lt;36,'General Basis'!$B$43,IF(G2716&lt;41,'General Basis'!$B$44,IF(G2716&lt;46,'General Basis'!$B$45,IF(G2716&lt;51,'General Basis'!$B$46,IF(G2716&lt;56,'General Basis'!$B$47,IF(G2716&lt;60,'General Basis'!$B$48,IF(G2716&lt;65,'General Basis'!$B$49,'General Basis'!$B$50)))))))))))))</f>
        <v/>
      </c>
      <c r="BI2716" s="744" t="str">
        <f t="shared" si="951"/>
        <v/>
      </c>
      <c r="BJ2716" s="747" t="str">
        <f t="shared" si="958"/>
        <v/>
      </c>
      <c r="BK2716" s="498" t="str">
        <f t="shared" si="952"/>
        <v/>
      </c>
      <c r="BL2716" s="498" t="str">
        <f t="shared" si="953"/>
        <v/>
      </c>
    </row>
    <row r="2717" spans="1:64" x14ac:dyDescent="0.25">
      <c r="A2717" s="762">
        <f t="shared" si="954"/>
        <v>2712</v>
      </c>
      <c r="B2717" s="229"/>
      <c r="C2717" s="223"/>
      <c r="D2717" s="224"/>
      <c r="E2717" s="225"/>
      <c r="F2717" s="1036" t="str">
        <f t="shared" si="960"/>
        <v/>
      </c>
      <c r="G2717" s="1037" t="str">
        <f t="shared" si="955"/>
        <v/>
      </c>
      <c r="H2717" s="225"/>
      <c r="I2717" s="1013"/>
      <c r="J2717" s="1013"/>
      <c r="K2717" s="1028"/>
      <c r="L2717" s="1035" t="str">
        <f t="shared" si="959"/>
        <v/>
      </c>
      <c r="S2717" s="498"/>
      <c r="AJ2717" s="498"/>
      <c r="AM2717" s="498">
        <f t="shared" si="940"/>
        <v>0</v>
      </c>
      <c r="AN2717" s="498">
        <f t="shared" si="941"/>
        <v>0</v>
      </c>
      <c r="AO2717" s="498">
        <f t="shared" si="942"/>
        <v>0</v>
      </c>
      <c r="AP2717" s="498">
        <f t="shared" si="961"/>
        <v>0</v>
      </c>
      <c r="AQ2717" s="498">
        <f t="shared" si="956"/>
        <v>0</v>
      </c>
      <c r="AU2717" s="498">
        <f t="shared" si="943"/>
        <v>0</v>
      </c>
      <c r="AV2717" s="498">
        <f t="shared" si="944"/>
        <v>0</v>
      </c>
      <c r="AW2717" s="498">
        <f t="shared" si="945"/>
        <v>0</v>
      </c>
      <c r="AX2717" s="498">
        <f t="shared" si="946"/>
        <v>0</v>
      </c>
      <c r="AY2717" s="498">
        <f t="shared" si="947"/>
        <v>0</v>
      </c>
      <c r="BB2717" s="498" t="str">
        <f t="shared" si="948"/>
        <v/>
      </c>
      <c r="BC2717" s="743" t="str">
        <f t="shared" si="949"/>
        <v/>
      </c>
      <c r="BD2717" s="743" t="str">
        <f t="shared" si="950"/>
        <v/>
      </c>
      <c r="BE2717" s="743" t="str">
        <f>IF(D2717="","",VLOOKUP(D2717,'General Basis'!$J$39:$K$46,2,0))</f>
        <v/>
      </c>
      <c r="BF2717" s="744" t="str">
        <f>IF(D2717="","",VLOOKUP(D2717,'General Basis'!$J$39:$L$46,3,0))</f>
        <v/>
      </c>
      <c r="BG2717" s="744" t="str">
        <f t="shared" si="957"/>
        <v/>
      </c>
      <c r="BH2717" s="744" t="str">
        <f>IF(G2717="","",IF(BF2717="Abu Dhabi",IF(G2717&lt;18,'General Basis'!$C$39,IF(G2717&lt;41,'General Basis'!$C$40,IF(G2717&lt;60,'General Basis'!$C$41,IF(G2717&lt;65,'General Basis'!$C$42,'General Basis'!$C$43)))),IF(G2717&lt;11,'General Basis'!$B$39,IF(G2717&lt;18,'General Basis'!$B$40,IF(G2717&lt;26,'General Basis'!$B$41,IF(G2717&lt;31,'General Basis'!$B$42,IF(G2717&lt;36,'General Basis'!$B$43,IF(G2717&lt;41,'General Basis'!$B$44,IF(G2717&lt;46,'General Basis'!$B$45,IF(G2717&lt;51,'General Basis'!$B$46,IF(G2717&lt;56,'General Basis'!$B$47,IF(G2717&lt;60,'General Basis'!$B$48,IF(G2717&lt;65,'General Basis'!$B$49,'General Basis'!$B$50)))))))))))))</f>
        <v/>
      </c>
      <c r="BI2717" s="744" t="str">
        <f t="shared" si="951"/>
        <v/>
      </c>
      <c r="BJ2717" s="747" t="str">
        <f t="shared" si="958"/>
        <v/>
      </c>
      <c r="BK2717" s="498" t="str">
        <f t="shared" si="952"/>
        <v/>
      </c>
      <c r="BL2717" s="498" t="str">
        <f t="shared" si="953"/>
        <v/>
      </c>
    </row>
    <row r="2718" spans="1:64" x14ac:dyDescent="0.25">
      <c r="A2718" s="762">
        <f t="shared" si="954"/>
        <v>2713</v>
      </c>
      <c r="B2718" s="229"/>
      <c r="C2718" s="223"/>
      <c r="D2718" s="224"/>
      <c r="E2718" s="225"/>
      <c r="F2718" s="1036" t="str">
        <f t="shared" si="960"/>
        <v/>
      </c>
      <c r="G2718" s="1037" t="str">
        <f t="shared" si="955"/>
        <v/>
      </c>
      <c r="H2718" s="225"/>
      <c r="I2718" s="1013"/>
      <c r="J2718" s="1013"/>
      <c r="K2718" s="1028"/>
      <c r="L2718" s="1035" t="str">
        <f t="shared" si="959"/>
        <v/>
      </c>
      <c r="S2718" s="498"/>
      <c r="AJ2718" s="498"/>
      <c r="AM2718" s="498">
        <f t="shared" si="940"/>
        <v>0</v>
      </c>
      <c r="AN2718" s="498">
        <f t="shared" si="941"/>
        <v>0</v>
      </c>
      <c r="AO2718" s="498">
        <f t="shared" si="942"/>
        <v>0</v>
      </c>
      <c r="AP2718" s="498">
        <f t="shared" si="961"/>
        <v>0</v>
      </c>
      <c r="AQ2718" s="498">
        <f t="shared" si="956"/>
        <v>0</v>
      </c>
      <c r="AU2718" s="498">
        <f t="shared" si="943"/>
        <v>0</v>
      </c>
      <c r="AV2718" s="498">
        <f t="shared" si="944"/>
        <v>0</v>
      </c>
      <c r="AW2718" s="498">
        <f t="shared" si="945"/>
        <v>0</v>
      </c>
      <c r="AX2718" s="498">
        <f t="shared" si="946"/>
        <v>0</v>
      </c>
      <c r="AY2718" s="498">
        <f t="shared" si="947"/>
        <v>0</v>
      </c>
      <c r="BB2718" s="498" t="str">
        <f t="shared" si="948"/>
        <v/>
      </c>
      <c r="BC2718" s="743" t="str">
        <f t="shared" si="949"/>
        <v/>
      </c>
      <c r="BD2718" s="743" t="str">
        <f t="shared" si="950"/>
        <v/>
      </c>
      <c r="BE2718" s="743" t="str">
        <f>IF(D2718="","",VLOOKUP(D2718,'General Basis'!$J$39:$K$46,2,0))</f>
        <v/>
      </c>
      <c r="BF2718" s="744" t="str">
        <f>IF(D2718="","",VLOOKUP(D2718,'General Basis'!$J$39:$L$46,3,0))</f>
        <v/>
      </c>
      <c r="BG2718" s="744" t="str">
        <f t="shared" si="957"/>
        <v/>
      </c>
      <c r="BH2718" s="744" t="str">
        <f>IF(G2718="","",IF(BF2718="Abu Dhabi",IF(G2718&lt;18,'General Basis'!$C$39,IF(G2718&lt;41,'General Basis'!$C$40,IF(G2718&lt;60,'General Basis'!$C$41,IF(G2718&lt;65,'General Basis'!$C$42,'General Basis'!$C$43)))),IF(G2718&lt;11,'General Basis'!$B$39,IF(G2718&lt;18,'General Basis'!$B$40,IF(G2718&lt;26,'General Basis'!$B$41,IF(G2718&lt;31,'General Basis'!$B$42,IF(G2718&lt;36,'General Basis'!$B$43,IF(G2718&lt;41,'General Basis'!$B$44,IF(G2718&lt;46,'General Basis'!$B$45,IF(G2718&lt;51,'General Basis'!$B$46,IF(G2718&lt;56,'General Basis'!$B$47,IF(G2718&lt;60,'General Basis'!$B$48,IF(G2718&lt;65,'General Basis'!$B$49,'General Basis'!$B$50)))))))))))))</f>
        <v/>
      </c>
      <c r="BI2718" s="744" t="str">
        <f t="shared" si="951"/>
        <v/>
      </c>
      <c r="BJ2718" s="747" t="str">
        <f t="shared" si="958"/>
        <v/>
      </c>
      <c r="BK2718" s="498" t="str">
        <f t="shared" si="952"/>
        <v/>
      </c>
      <c r="BL2718" s="498" t="str">
        <f t="shared" si="953"/>
        <v/>
      </c>
    </row>
    <row r="2719" spans="1:64" x14ac:dyDescent="0.25">
      <c r="A2719" s="762">
        <f t="shared" si="954"/>
        <v>2714</v>
      </c>
      <c r="B2719" s="229"/>
      <c r="C2719" s="223"/>
      <c r="D2719" s="224"/>
      <c r="E2719" s="225"/>
      <c r="F2719" s="1036" t="str">
        <f t="shared" si="960"/>
        <v/>
      </c>
      <c r="G2719" s="1037" t="str">
        <f t="shared" si="955"/>
        <v/>
      </c>
      <c r="H2719" s="225"/>
      <c r="I2719" s="1013"/>
      <c r="J2719" s="1013"/>
      <c r="K2719" s="1028"/>
      <c r="L2719" s="1035" t="str">
        <f t="shared" si="959"/>
        <v/>
      </c>
      <c r="S2719" s="498"/>
      <c r="AJ2719" s="498"/>
      <c r="AM2719" s="498">
        <f t="shared" si="940"/>
        <v>0</v>
      </c>
      <c r="AN2719" s="498">
        <f t="shared" si="941"/>
        <v>0</v>
      </c>
      <c r="AO2719" s="498">
        <f t="shared" si="942"/>
        <v>0</v>
      </c>
      <c r="AP2719" s="498">
        <f t="shared" si="961"/>
        <v>0</v>
      </c>
      <c r="AQ2719" s="498">
        <f t="shared" si="956"/>
        <v>0</v>
      </c>
      <c r="AU2719" s="498">
        <f t="shared" si="943"/>
        <v>0</v>
      </c>
      <c r="AV2719" s="498">
        <f t="shared" si="944"/>
        <v>0</v>
      </c>
      <c r="AW2719" s="498">
        <f t="shared" si="945"/>
        <v>0</v>
      </c>
      <c r="AX2719" s="498">
        <f t="shared" si="946"/>
        <v>0</v>
      </c>
      <c r="AY2719" s="498">
        <f t="shared" si="947"/>
        <v>0</v>
      </c>
      <c r="BB2719" s="498" t="str">
        <f t="shared" si="948"/>
        <v/>
      </c>
      <c r="BC2719" s="743" t="str">
        <f t="shared" si="949"/>
        <v/>
      </c>
      <c r="BD2719" s="743" t="str">
        <f t="shared" si="950"/>
        <v/>
      </c>
      <c r="BE2719" s="743" t="str">
        <f>IF(D2719="","",VLOOKUP(D2719,'General Basis'!$J$39:$K$46,2,0))</f>
        <v/>
      </c>
      <c r="BF2719" s="744" t="str">
        <f>IF(D2719="","",VLOOKUP(D2719,'General Basis'!$J$39:$L$46,3,0))</f>
        <v/>
      </c>
      <c r="BG2719" s="744" t="str">
        <f t="shared" si="957"/>
        <v/>
      </c>
      <c r="BH2719" s="744" t="str">
        <f>IF(G2719="","",IF(BF2719="Abu Dhabi",IF(G2719&lt;18,'General Basis'!$C$39,IF(G2719&lt;41,'General Basis'!$C$40,IF(G2719&lt;60,'General Basis'!$C$41,IF(G2719&lt;65,'General Basis'!$C$42,'General Basis'!$C$43)))),IF(G2719&lt;11,'General Basis'!$B$39,IF(G2719&lt;18,'General Basis'!$B$40,IF(G2719&lt;26,'General Basis'!$B$41,IF(G2719&lt;31,'General Basis'!$B$42,IF(G2719&lt;36,'General Basis'!$B$43,IF(G2719&lt;41,'General Basis'!$B$44,IF(G2719&lt;46,'General Basis'!$B$45,IF(G2719&lt;51,'General Basis'!$B$46,IF(G2719&lt;56,'General Basis'!$B$47,IF(G2719&lt;60,'General Basis'!$B$48,IF(G2719&lt;65,'General Basis'!$B$49,'General Basis'!$B$50)))))))))))))</f>
        <v/>
      </c>
      <c r="BI2719" s="744" t="str">
        <f t="shared" si="951"/>
        <v/>
      </c>
      <c r="BJ2719" s="747" t="str">
        <f t="shared" si="958"/>
        <v/>
      </c>
      <c r="BK2719" s="498" t="str">
        <f t="shared" si="952"/>
        <v/>
      </c>
      <c r="BL2719" s="498" t="str">
        <f t="shared" si="953"/>
        <v/>
      </c>
    </row>
    <row r="2720" spans="1:64" x14ac:dyDescent="0.25">
      <c r="A2720" s="762">
        <f t="shared" si="954"/>
        <v>2715</v>
      </c>
      <c r="B2720" s="229"/>
      <c r="C2720" s="223"/>
      <c r="D2720" s="224"/>
      <c r="E2720" s="225"/>
      <c r="F2720" s="1036" t="str">
        <f t="shared" si="960"/>
        <v/>
      </c>
      <c r="G2720" s="1037" t="str">
        <f t="shared" si="955"/>
        <v/>
      </c>
      <c r="H2720" s="225"/>
      <c r="I2720" s="1013"/>
      <c r="J2720" s="1013"/>
      <c r="K2720" s="1028"/>
      <c r="L2720" s="1035" t="str">
        <f t="shared" si="959"/>
        <v/>
      </c>
      <c r="S2720" s="498"/>
      <c r="AJ2720" s="498"/>
      <c r="AM2720" s="498">
        <f t="shared" si="940"/>
        <v>0</v>
      </c>
      <c r="AN2720" s="498">
        <f t="shared" si="941"/>
        <v>0</v>
      </c>
      <c r="AO2720" s="498">
        <f t="shared" si="942"/>
        <v>0</v>
      </c>
      <c r="AP2720" s="498">
        <f t="shared" si="961"/>
        <v>0</v>
      </c>
      <c r="AQ2720" s="498">
        <f t="shared" si="956"/>
        <v>0</v>
      </c>
      <c r="AU2720" s="498">
        <f t="shared" si="943"/>
        <v>0</v>
      </c>
      <c r="AV2720" s="498">
        <f t="shared" si="944"/>
        <v>0</v>
      </c>
      <c r="AW2720" s="498">
        <f t="shared" si="945"/>
        <v>0</v>
      </c>
      <c r="AX2720" s="498">
        <f t="shared" si="946"/>
        <v>0</v>
      </c>
      <c r="AY2720" s="498">
        <f t="shared" si="947"/>
        <v>0</v>
      </c>
      <c r="BB2720" s="498" t="str">
        <f t="shared" si="948"/>
        <v/>
      </c>
      <c r="BC2720" s="743" t="str">
        <f t="shared" si="949"/>
        <v/>
      </c>
      <c r="BD2720" s="743" t="str">
        <f t="shared" si="950"/>
        <v/>
      </c>
      <c r="BE2720" s="743" t="str">
        <f>IF(D2720="","",VLOOKUP(D2720,'General Basis'!$J$39:$K$46,2,0))</f>
        <v/>
      </c>
      <c r="BF2720" s="744" t="str">
        <f>IF(D2720="","",VLOOKUP(D2720,'General Basis'!$J$39:$L$46,3,0))</f>
        <v/>
      </c>
      <c r="BG2720" s="744" t="str">
        <f t="shared" si="957"/>
        <v/>
      </c>
      <c r="BH2720" s="744" t="str">
        <f>IF(G2720="","",IF(BF2720="Abu Dhabi",IF(G2720&lt;18,'General Basis'!$C$39,IF(G2720&lt;41,'General Basis'!$C$40,IF(G2720&lt;60,'General Basis'!$C$41,IF(G2720&lt;65,'General Basis'!$C$42,'General Basis'!$C$43)))),IF(G2720&lt;11,'General Basis'!$B$39,IF(G2720&lt;18,'General Basis'!$B$40,IF(G2720&lt;26,'General Basis'!$B$41,IF(G2720&lt;31,'General Basis'!$B$42,IF(G2720&lt;36,'General Basis'!$B$43,IF(G2720&lt;41,'General Basis'!$B$44,IF(G2720&lt;46,'General Basis'!$B$45,IF(G2720&lt;51,'General Basis'!$B$46,IF(G2720&lt;56,'General Basis'!$B$47,IF(G2720&lt;60,'General Basis'!$B$48,IF(G2720&lt;65,'General Basis'!$B$49,'General Basis'!$B$50)))))))))))))</f>
        <v/>
      </c>
      <c r="BI2720" s="744" t="str">
        <f t="shared" si="951"/>
        <v/>
      </c>
      <c r="BJ2720" s="747" t="str">
        <f t="shared" si="958"/>
        <v/>
      </c>
      <c r="BK2720" s="498" t="str">
        <f t="shared" si="952"/>
        <v/>
      </c>
      <c r="BL2720" s="498" t="str">
        <f t="shared" si="953"/>
        <v/>
      </c>
    </row>
    <row r="2721" spans="1:64" x14ac:dyDescent="0.25">
      <c r="A2721" s="762">
        <f t="shared" si="954"/>
        <v>2716</v>
      </c>
      <c r="B2721" s="229"/>
      <c r="C2721" s="223"/>
      <c r="D2721" s="224"/>
      <c r="E2721" s="225"/>
      <c r="F2721" s="1036" t="str">
        <f t="shared" si="960"/>
        <v/>
      </c>
      <c r="G2721" s="1037" t="str">
        <f t="shared" si="955"/>
        <v/>
      </c>
      <c r="H2721" s="225"/>
      <c r="I2721" s="1013"/>
      <c r="J2721" s="1013"/>
      <c r="K2721" s="1028"/>
      <c r="L2721" s="1035" t="str">
        <f t="shared" si="959"/>
        <v/>
      </c>
      <c r="S2721" s="498"/>
      <c r="AJ2721" s="498"/>
      <c r="AM2721" s="498">
        <f t="shared" si="940"/>
        <v>0</v>
      </c>
      <c r="AN2721" s="498">
        <f t="shared" si="941"/>
        <v>0</v>
      </c>
      <c r="AO2721" s="498">
        <f t="shared" si="942"/>
        <v>0</v>
      </c>
      <c r="AP2721" s="498">
        <f t="shared" si="961"/>
        <v>0</v>
      </c>
      <c r="AQ2721" s="498">
        <f t="shared" si="956"/>
        <v>0</v>
      </c>
      <c r="AU2721" s="498">
        <f t="shared" si="943"/>
        <v>0</v>
      </c>
      <c r="AV2721" s="498">
        <f t="shared" si="944"/>
        <v>0</v>
      </c>
      <c r="AW2721" s="498">
        <f t="shared" si="945"/>
        <v>0</v>
      </c>
      <c r="AX2721" s="498">
        <f t="shared" si="946"/>
        <v>0</v>
      </c>
      <c r="AY2721" s="498">
        <f t="shared" si="947"/>
        <v>0</v>
      </c>
      <c r="BB2721" s="498" t="str">
        <f t="shared" si="948"/>
        <v/>
      </c>
      <c r="BC2721" s="743" t="str">
        <f t="shared" si="949"/>
        <v/>
      </c>
      <c r="BD2721" s="743" t="str">
        <f t="shared" si="950"/>
        <v/>
      </c>
      <c r="BE2721" s="743" t="str">
        <f>IF(D2721="","",VLOOKUP(D2721,'General Basis'!$J$39:$K$46,2,0))</f>
        <v/>
      </c>
      <c r="BF2721" s="744" t="str">
        <f>IF(D2721="","",VLOOKUP(D2721,'General Basis'!$J$39:$L$46,3,0))</f>
        <v/>
      </c>
      <c r="BG2721" s="744" t="str">
        <f t="shared" si="957"/>
        <v/>
      </c>
      <c r="BH2721" s="744" t="str">
        <f>IF(G2721="","",IF(BF2721="Abu Dhabi",IF(G2721&lt;18,'General Basis'!$C$39,IF(G2721&lt;41,'General Basis'!$C$40,IF(G2721&lt;60,'General Basis'!$C$41,IF(G2721&lt;65,'General Basis'!$C$42,'General Basis'!$C$43)))),IF(G2721&lt;11,'General Basis'!$B$39,IF(G2721&lt;18,'General Basis'!$B$40,IF(G2721&lt;26,'General Basis'!$B$41,IF(G2721&lt;31,'General Basis'!$B$42,IF(G2721&lt;36,'General Basis'!$B$43,IF(G2721&lt;41,'General Basis'!$B$44,IF(G2721&lt;46,'General Basis'!$B$45,IF(G2721&lt;51,'General Basis'!$B$46,IF(G2721&lt;56,'General Basis'!$B$47,IF(G2721&lt;60,'General Basis'!$B$48,IF(G2721&lt;65,'General Basis'!$B$49,'General Basis'!$B$50)))))))))))))</f>
        <v/>
      </c>
      <c r="BI2721" s="744" t="str">
        <f t="shared" si="951"/>
        <v/>
      </c>
      <c r="BJ2721" s="747" t="str">
        <f t="shared" si="958"/>
        <v/>
      </c>
      <c r="BK2721" s="498" t="str">
        <f t="shared" si="952"/>
        <v/>
      </c>
      <c r="BL2721" s="498" t="str">
        <f t="shared" si="953"/>
        <v/>
      </c>
    </row>
    <row r="2722" spans="1:64" x14ac:dyDescent="0.25">
      <c r="A2722" s="762">
        <f t="shared" si="954"/>
        <v>2717</v>
      </c>
      <c r="B2722" s="229"/>
      <c r="C2722" s="223"/>
      <c r="D2722" s="224"/>
      <c r="E2722" s="225"/>
      <c r="F2722" s="1036" t="str">
        <f t="shared" si="960"/>
        <v/>
      </c>
      <c r="G2722" s="1037" t="str">
        <f t="shared" si="955"/>
        <v/>
      </c>
      <c r="H2722" s="225"/>
      <c r="I2722" s="1013"/>
      <c r="J2722" s="1013"/>
      <c r="K2722" s="1028"/>
      <c r="L2722" s="1035" t="str">
        <f t="shared" si="959"/>
        <v/>
      </c>
      <c r="S2722" s="498"/>
      <c r="AJ2722" s="498"/>
      <c r="AM2722" s="498">
        <f t="shared" si="940"/>
        <v>0</v>
      </c>
      <c r="AN2722" s="498">
        <f t="shared" si="941"/>
        <v>0</v>
      </c>
      <c r="AO2722" s="498">
        <f t="shared" si="942"/>
        <v>0</v>
      </c>
      <c r="AP2722" s="498">
        <f t="shared" si="961"/>
        <v>0</v>
      </c>
      <c r="AQ2722" s="498">
        <f t="shared" si="956"/>
        <v>0</v>
      </c>
      <c r="AU2722" s="498">
        <f t="shared" si="943"/>
        <v>0</v>
      </c>
      <c r="AV2722" s="498">
        <f t="shared" si="944"/>
        <v>0</v>
      </c>
      <c r="AW2722" s="498">
        <f t="shared" si="945"/>
        <v>0</v>
      </c>
      <c r="AX2722" s="498">
        <f t="shared" si="946"/>
        <v>0</v>
      </c>
      <c r="AY2722" s="498">
        <f t="shared" si="947"/>
        <v>0</v>
      </c>
      <c r="BB2722" s="498" t="str">
        <f t="shared" si="948"/>
        <v/>
      </c>
      <c r="BC2722" s="743" t="str">
        <f t="shared" si="949"/>
        <v/>
      </c>
      <c r="BD2722" s="743" t="str">
        <f t="shared" si="950"/>
        <v/>
      </c>
      <c r="BE2722" s="743" t="str">
        <f>IF(D2722="","",VLOOKUP(D2722,'General Basis'!$J$39:$K$46,2,0))</f>
        <v/>
      </c>
      <c r="BF2722" s="744" t="str">
        <f>IF(D2722="","",VLOOKUP(D2722,'General Basis'!$J$39:$L$46,3,0))</f>
        <v/>
      </c>
      <c r="BG2722" s="744" t="str">
        <f t="shared" si="957"/>
        <v/>
      </c>
      <c r="BH2722" s="744" t="str">
        <f>IF(G2722="","",IF(BF2722="Abu Dhabi",IF(G2722&lt;18,'General Basis'!$C$39,IF(G2722&lt;41,'General Basis'!$C$40,IF(G2722&lt;60,'General Basis'!$C$41,IF(G2722&lt;65,'General Basis'!$C$42,'General Basis'!$C$43)))),IF(G2722&lt;11,'General Basis'!$B$39,IF(G2722&lt;18,'General Basis'!$B$40,IF(G2722&lt;26,'General Basis'!$B$41,IF(G2722&lt;31,'General Basis'!$B$42,IF(G2722&lt;36,'General Basis'!$B$43,IF(G2722&lt;41,'General Basis'!$B$44,IF(G2722&lt;46,'General Basis'!$B$45,IF(G2722&lt;51,'General Basis'!$B$46,IF(G2722&lt;56,'General Basis'!$B$47,IF(G2722&lt;60,'General Basis'!$B$48,IF(G2722&lt;65,'General Basis'!$B$49,'General Basis'!$B$50)))))))))))))</f>
        <v/>
      </c>
      <c r="BI2722" s="744" t="str">
        <f t="shared" si="951"/>
        <v/>
      </c>
      <c r="BJ2722" s="747" t="str">
        <f t="shared" si="958"/>
        <v/>
      </c>
      <c r="BK2722" s="498" t="str">
        <f t="shared" si="952"/>
        <v/>
      </c>
      <c r="BL2722" s="498" t="str">
        <f t="shared" si="953"/>
        <v/>
      </c>
    </row>
    <row r="2723" spans="1:64" x14ac:dyDescent="0.25">
      <c r="A2723" s="762">
        <f t="shared" si="954"/>
        <v>2718</v>
      </c>
      <c r="B2723" s="229"/>
      <c r="C2723" s="223"/>
      <c r="D2723" s="224"/>
      <c r="E2723" s="225"/>
      <c r="F2723" s="1036" t="str">
        <f t="shared" si="960"/>
        <v/>
      </c>
      <c r="G2723" s="1037" t="str">
        <f t="shared" si="955"/>
        <v/>
      </c>
      <c r="H2723" s="225"/>
      <c r="I2723" s="1013"/>
      <c r="J2723" s="1013"/>
      <c r="K2723" s="1028"/>
      <c r="L2723" s="1035" t="str">
        <f t="shared" si="959"/>
        <v/>
      </c>
      <c r="S2723" s="498"/>
      <c r="AJ2723" s="498"/>
      <c r="AM2723" s="498">
        <f t="shared" si="940"/>
        <v>0</v>
      </c>
      <c r="AN2723" s="498">
        <f t="shared" si="941"/>
        <v>0</v>
      </c>
      <c r="AO2723" s="498">
        <f t="shared" si="942"/>
        <v>0</v>
      </c>
      <c r="AP2723" s="498">
        <f t="shared" si="961"/>
        <v>0</v>
      </c>
      <c r="AQ2723" s="498">
        <f t="shared" si="956"/>
        <v>0</v>
      </c>
      <c r="AU2723" s="498">
        <f t="shared" si="943"/>
        <v>0</v>
      </c>
      <c r="AV2723" s="498">
        <f t="shared" si="944"/>
        <v>0</v>
      </c>
      <c r="AW2723" s="498">
        <f t="shared" si="945"/>
        <v>0</v>
      </c>
      <c r="AX2723" s="498">
        <f t="shared" si="946"/>
        <v>0</v>
      </c>
      <c r="AY2723" s="498">
        <f t="shared" si="947"/>
        <v>0</v>
      </c>
      <c r="BB2723" s="498" t="str">
        <f t="shared" si="948"/>
        <v/>
      </c>
      <c r="BC2723" s="743" t="str">
        <f t="shared" si="949"/>
        <v/>
      </c>
      <c r="BD2723" s="743" t="str">
        <f t="shared" si="950"/>
        <v/>
      </c>
      <c r="BE2723" s="743" t="str">
        <f>IF(D2723="","",VLOOKUP(D2723,'General Basis'!$J$39:$K$46,2,0))</f>
        <v/>
      </c>
      <c r="BF2723" s="744" t="str">
        <f>IF(D2723="","",VLOOKUP(D2723,'General Basis'!$J$39:$L$46,3,0))</f>
        <v/>
      </c>
      <c r="BG2723" s="744" t="str">
        <f t="shared" si="957"/>
        <v/>
      </c>
      <c r="BH2723" s="744" t="str">
        <f>IF(G2723="","",IF(BF2723="Abu Dhabi",IF(G2723&lt;18,'General Basis'!$C$39,IF(G2723&lt;41,'General Basis'!$C$40,IF(G2723&lt;60,'General Basis'!$C$41,IF(G2723&lt;65,'General Basis'!$C$42,'General Basis'!$C$43)))),IF(G2723&lt;11,'General Basis'!$B$39,IF(G2723&lt;18,'General Basis'!$B$40,IF(G2723&lt;26,'General Basis'!$B$41,IF(G2723&lt;31,'General Basis'!$B$42,IF(G2723&lt;36,'General Basis'!$B$43,IF(G2723&lt;41,'General Basis'!$B$44,IF(G2723&lt;46,'General Basis'!$B$45,IF(G2723&lt;51,'General Basis'!$B$46,IF(G2723&lt;56,'General Basis'!$B$47,IF(G2723&lt;60,'General Basis'!$B$48,IF(G2723&lt;65,'General Basis'!$B$49,'General Basis'!$B$50)))))))))))))</f>
        <v/>
      </c>
      <c r="BI2723" s="744" t="str">
        <f t="shared" si="951"/>
        <v/>
      </c>
      <c r="BJ2723" s="747" t="str">
        <f t="shared" si="958"/>
        <v/>
      </c>
      <c r="BK2723" s="498" t="str">
        <f t="shared" si="952"/>
        <v/>
      </c>
      <c r="BL2723" s="498" t="str">
        <f t="shared" si="953"/>
        <v/>
      </c>
    </row>
    <row r="2724" spans="1:64" x14ac:dyDescent="0.25">
      <c r="A2724" s="762">
        <f t="shared" si="954"/>
        <v>2719</v>
      </c>
      <c r="B2724" s="229"/>
      <c r="C2724" s="223"/>
      <c r="D2724" s="224"/>
      <c r="E2724" s="225"/>
      <c r="F2724" s="1036" t="str">
        <f t="shared" si="960"/>
        <v/>
      </c>
      <c r="G2724" s="1037" t="str">
        <f t="shared" si="955"/>
        <v/>
      </c>
      <c r="H2724" s="225"/>
      <c r="I2724" s="1013"/>
      <c r="J2724" s="1013"/>
      <c r="K2724" s="1028"/>
      <c r="L2724" s="1035" t="str">
        <f t="shared" si="959"/>
        <v/>
      </c>
      <c r="S2724" s="498"/>
      <c r="AJ2724" s="498"/>
      <c r="AM2724" s="498">
        <f t="shared" si="940"/>
        <v>0</v>
      </c>
      <c r="AN2724" s="498">
        <f t="shared" si="941"/>
        <v>0</v>
      </c>
      <c r="AO2724" s="498">
        <f t="shared" si="942"/>
        <v>0</v>
      </c>
      <c r="AP2724" s="498">
        <f t="shared" si="961"/>
        <v>0</v>
      </c>
      <c r="AQ2724" s="498">
        <f t="shared" si="956"/>
        <v>0</v>
      </c>
      <c r="AU2724" s="498">
        <f t="shared" si="943"/>
        <v>0</v>
      </c>
      <c r="AV2724" s="498">
        <f t="shared" si="944"/>
        <v>0</v>
      </c>
      <c r="AW2724" s="498">
        <f t="shared" si="945"/>
        <v>0</v>
      </c>
      <c r="AX2724" s="498">
        <f t="shared" si="946"/>
        <v>0</v>
      </c>
      <c r="AY2724" s="498">
        <f t="shared" si="947"/>
        <v>0</v>
      </c>
      <c r="BB2724" s="498" t="str">
        <f t="shared" si="948"/>
        <v/>
      </c>
      <c r="BC2724" s="743" t="str">
        <f t="shared" si="949"/>
        <v/>
      </c>
      <c r="BD2724" s="743" t="str">
        <f t="shared" si="950"/>
        <v/>
      </c>
      <c r="BE2724" s="743" t="str">
        <f>IF(D2724="","",VLOOKUP(D2724,'General Basis'!$J$39:$K$46,2,0))</f>
        <v/>
      </c>
      <c r="BF2724" s="744" t="str">
        <f>IF(D2724="","",VLOOKUP(D2724,'General Basis'!$J$39:$L$46,3,0))</f>
        <v/>
      </c>
      <c r="BG2724" s="744" t="str">
        <f t="shared" si="957"/>
        <v/>
      </c>
      <c r="BH2724" s="744" t="str">
        <f>IF(G2724="","",IF(BF2724="Abu Dhabi",IF(G2724&lt;18,'General Basis'!$C$39,IF(G2724&lt;41,'General Basis'!$C$40,IF(G2724&lt;60,'General Basis'!$C$41,IF(G2724&lt;65,'General Basis'!$C$42,'General Basis'!$C$43)))),IF(G2724&lt;11,'General Basis'!$B$39,IF(G2724&lt;18,'General Basis'!$B$40,IF(G2724&lt;26,'General Basis'!$B$41,IF(G2724&lt;31,'General Basis'!$B$42,IF(G2724&lt;36,'General Basis'!$B$43,IF(G2724&lt;41,'General Basis'!$B$44,IF(G2724&lt;46,'General Basis'!$B$45,IF(G2724&lt;51,'General Basis'!$B$46,IF(G2724&lt;56,'General Basis'!$B$47,IF(G2724&lt;60,'General Basis'!$B$48,IF(G2724&lt;65,'General Basis'!$B$49,'General Basis'!$B$50)))))))))))))</f>
        <v/>
      </c>
      <c r="BI2724" s="744" t="str">
        <f t="shared" si="951"/>
        <v/>
      </c>
      <c r="BJ2724" s="747" t="str">
        <f t="shared" si="958"/>
        <v/>
      </c>
      <c r="BK2724" s="498" t="str">
        <f t="shared" si="952"/>
        <v/>
      </c>
      <c r="BL2724" s="498" t="str">
        <f t="shared" si="953"/>
        <v/>
      </c>
    </row>
    <row r="2725" spans="1:64" x14ac:dyDescent="0.25">
      <c r="A2725" s="762">
        <f t="shared" si="954"/>
        <v>2720</v>
      </c>
      <c r="B2725" s="229"/>
      <c r="C2725" s="223"/>
      <c r="D2725" s="224"/>
      <c r="E2725" s="225"/>
      <c r="F2725" s="1036" t="str">
        <f t="shared" si="960"/>
        <v/>
      </c>
      <c r="G2725" s="1037" t="str">
        <f t="shared" si="955"/>
        <v/>
      </c>
      <c r="H2725" s="225"/>
      <c r="I2725" s="1013"/>
      <c r="J2725" s="1013"/>
      <c r="K2725" s="1028"/>
      <c r="L2725" s="1035" t="str">
        <f t="shared" si="959"/>
        <v/>
      </c>
      <c r="S2725" s="498"/>
      <c r="AJ2725" s="498"/>
      <c r="AM2725" s="498">
        <f t="shared" si="940"/>
        <v>0</v>
      </c>
      <c r="AN2725" s="498">
        <f t="shared" si="941"/>
        <v>0</v>
      </c>
      <c r="AO2725" s="498">
        <f t="shared" si="942"/>
        <v>0</v>
      </c>
      <c r="AP2725" s="498">
        <f t="shared" si="961"/>
        <v>0</v>
      </c>
      <c r="AQ2725" s="498">
        <f t="shared" si="956"/>
        <v>0</v>
      </c>
      <c r="AU2725" s="498">
        <f t="shared" si="943"/>
        <v>0</v>
      </c>
      <c r="AV2725" s="498">
        <f t="shared" si="944"/>
        <v>0</v>
      </c>
      <c r="AW2725" s="498">
        <f t="shared" si="945"/>
        <v>0</v>
      </c>
      <c r="AX2725" s="498">
        <f t="shared" si="946"/>
        <v>0</v>
      </c>
      <c r="AY2725" s="498">
        <f t="shared" si="947"/>
        <v>0</v>
      </c>
      <c r="BB2725" s="498" t="str">
        <f t="shared" si="948"/>
        <v/>
      </c>
      <c r="BC2725" s="743" t="str">
        <f t="shared" si="949"/>
        <v/>
      </c>
      <c r="BD2725" s="743" t="str">
        <f t="shared" si="950"/>
        <v/>
      </c>
      <c r="BE2725" s="743" t="str">
        <f>IF(D2725="","",VLOOKUP(D2725,'General Basis'!$J$39:$K$46,2,0))</f>
        <v/>
      </c>
      <c r="BF2725" s="744" t="str">
        <f>IF(D2725="","",VLOOKUP(D2725,'General Basis'!$J$39:$L$46,3,0))</f>
        <v/>
      </c>
      <c r="BG2725" s="744" t="str">
        <f t="shared" si="957"/>
        <v/>
      </c>
      <c r="BH2725" s="744" t="str">
        <f>IF(G2725="","",IF(BF2725="Abu Dhabi",IF(G2725&lt;18,'General Basis'!$C$39,IF(G2725&lt;41,'General Basis'!$C$40,IF(G2725&lt;60,'General Basis'!$C$41,IF(G2725&lt;65,'General Basis'!$C$42,'General Basis'!$C$43)))),IF(G2725&lt;11,'General Basis'!$B$39,IF(G2725&lt;18,'General Basis'!$B$40,IF(G2725&lt;26,'General Basis'!$B$41,IF(G2725&lt;31,'General Basis'!$B$42,IF(G2725&lt;36,'General Basis'!$B$43,IF(G2725&lt;41,'General Basis'!$B$44,IF(G2725&lt;46,'General Basis'!$B$45,IF(G2725&lt;51,'General Basis'!$B$46,IF(G2725&lt;56,'General Basis'!$B$47,IF(G2725&lt;60,'General Basis'!$B$48,IF(G2725&lt;65,'General Basis'!$B$49,'General Basis'!$B$50)))))))))))))</f>
        <v/>
      </c>
      <c r="BI2725" s="744" t="str">
        <f t="shared" si="951"/>
        <v/>
      </c>
      <c r="BJ2725" s="747" t="str">
        <f t="shared" si="958"/>
        <v/>
      </c>
      <c r="BK2725" s="498" t="str">
        <f t="shared" si="952"/>
        <v/>
      </c>
      <c r="BL2725" s="498" t="str">
        <f t="shared" si="953"/>
        <v/>
      </c>
    </row>
    <row r="2726" spans="1:64" x14ac:dyDescent="0.25">
      <c r="A2726" s="762">
        <f t="shared" si="954"/>
        <v>2721</v>
      </c>
      <c r="B2726" s="229"/>
      <c r="C2726" s="223"/>
      <c r="D2726" s="224"/>
      <c r="E2726" s="225"/>
      <c r="F2726" s="1036" t="str">
        <f t="shared" si="960"/>
        <v/>
      </c>
      <c r="G2726" s="1037" t="str">
        <f t="shared" si="955"/>
        <v/>
      </c>
      <c r="H2726" s="225"/>
      <c r="I2726" s="1013"/>
      <c r="J2726" s="1013"/>
      <c r="K2726" s="1028"/>
      <c r="L2726" s="1035" t="str">
        <f t="shared" si="959"/>
        <v/>
      </c>
      <c r="S2726" s="498"/>
      <c r="AJ2726" s="498"/>
      <c r="AM2726" s="498">
        <f t="shared" si="940"/>
        <v>0</v>
      </c>
      <c r="AN2726" s="498">
        <f t="shared" si="941"/>
        <v>0</v>
      </c>
      <c r="AO2726" s="498">
        <f t="shared" si="942"/>
        <v>0</v>
      </c>
      <c r="AP2726" s="498">
        <f t="shared" si="961"/>
        <v>0</v>
      </c>
      <c r="AQ2726" s="498">
        <f t="shared" si="956"/>
        <v>0</v>
      </c>
      <c r="AU2726" s="498">
        <f t="shared" si="943"/>
        <v>0</v>
      </c>
      <c r="AV2726" s="498">
        <f t="shared" si="944"/>
        <v>0</v>
      </c>
      <c r="AW2726" s="498">
        <f t="shared" si="945"/>
        <v>0</v>
      </c>
      <c r="AX2726" s="498">
        <f t="shared" si="946"/>
        <v>0</v>
      </c>
      <c r="AY2726" s="498">
        <f t="shared" si="947"/>
        <v>0</v>
      </c>
      <c r="BB2726" s="498" t="str">
        <f t="shared" si="948"/>
        <v/>
      </c>
      <c r="BC2726" s="743" t="str">
        <f t="shared" si="949"/>
        <v/>
      </c>
      <c r="BD2726" s="743" t="str">
        <f t="shared" si="950"/>
        <v/>
      </c>
      <c r="BE2726" s="743" t="str">
        <f>IF(D2726="","",VLOOKUP(D2726,'General Basis'!$J$39:$K$46,2,0))</f>
        <v/>
      </c>
      <c r="BF2726" s="744" t="str">
        <f>IF(D2726="","",VLOOKUP(D2726,'General Basis'!$J$39:$L$46,3,0))</f>
        <v/>
      </c>
      <c r="BG2726" s="744" t="str">
        <f t="shared" si="957"/>
        <v/>
      </c>
      <c r="BH2726" s="744" t="str">
        <f>IF(G2726="","",IF(BF2726="Abu Dhabi",IF(G2726&lt;18,'General Basis'!$C$39,IF(G2726&lt;41,'General Basis'!$C$40,IF(G2726&lt;60,'General Basis'!$C$41,IF(G2726&lt;65,'General Basis'!$C$42,'General Basis'!$C$43)))),IF(G2726&lt;11,'General Basis'!$B$39,IF(G2726&lt;18,'General Basis'!$B$40,IF(G2726&lt;26,'General Basis'!$B$41,IF(G2726&lt;31,'General Basis'!$B$42,IF(G2726&lt;36,'General Basis'!$B$43,IF(G2726&lt;41,'General Basis'!$B$44,IF(G2726&lt;46,'General Basis'!$B$45,IF(G2726&lt;51,'General Basis'!$B$46,IF(G2726&lt;56,'General Basis'!$B$47,IF(G2726&lt;60,'General Basis'!$B$48,IF(G2726&lt;65,'General Basis'!$B$49,'General Basis'!$B$50)))))))))))))</f>
        <v/>
      </c>
      <c r="BI2726" s="744" t="str">
        <f t="shared" si="951"/>
        <v/>
      </c>
      <c r="BJ2726" s="747" t="str">
        <f t="shared" si="958"/>
        <v/>
      </c>
      <c r="BK2726" s="498" t="str">
        <f t="shared" si="952"/>
        <v/>
      </c>
      <c r="BL2726" s="498" t="str">
        <f t="shared" si="953"/>
        <v/>
      </c>
    </row>
    <row r="2727" spans="1:64" x14ac:dyDescent="0.25">
      <c r="A2727" s="762">
        <f t="shared" si="954"/>
        <v>2722</v>
      </c>
      <c r="B2727" s="229"/>
      <c r="C2727" s="223"/>
      <c r="D2727" s="224"/>
      <c r="E2727" s="225"/>
      <c r="F2727" s="1036" t="str">
        <f t="shared" si="960"/>
        <v/>
      </c>
      <c r="G2727" s="1037" t="str">
        <f t="shared" si="955"/>
        <v/>
      </c>
      <c r="H2727" s="225"/>
      <c r="I2727" s="1013"/>
      <c r="J2727" s="1013"/>
      <c r="K2727" s="1028"/>
      <c r="L2727" s="1035" t="str">
        <f t="shared" si="959"/>
        <v/>
      </c>
      <c r="S2727" s="498"/>
      <c r="AJ2727" s="498"/>
      <c r="AM2727" s="498">
        <f t="shared" si="940"/>
        <v>0</v>
      </c>
      <c r="AN2727" s="498">
        <f t="shared" si="941"/>
        <v>0</v>
      </c>
      <c r="AO2727" s="498">
        <f t="shared" si="942"/>
        <v>0</v>
      </c>
      <c r="AP2727" s="498">
        <f t="shared" si="961"/>
        <v>0</v>
      </c>
      <c r="AQ2727" s="498">
        <f t="shared" si="956"/>
        <v>0</v>
      </c>
      <c r="AU2727" s="498">
        <f t="shared" si="943"/>
        <v>0</v>
      </c>
      <c r="AV2727" s="498">
        <f t="shared" si="944"/>
        <v>0</v>
      </c>
      <c r="AW2727" s="498">
        <f t="shared" si="945"/>
        <v>0</v>
      </c>
      <c r="AX2727" s="498">
        <f t="shared" si="946"/>
        <v>0</v>
      </c>
      <c r="AY2727" s="498">
        <f t="shared" si="947"/>
        <v>0</v>
      </c>
      <c r="BB2727" s="498" t="str">
        <f t="shared" si="948"/>
        <v/>
      </c>
      <c r="BC2727" s="743" t="str">
        <f t="shared" si="949"/>
        <v/>
      </c>
      <c r="BD2727" s="743" t="str">
        <f t="shared" si="950"/>
        <v/>
      </c>
      <c r="BE2727" s="743" t="str">
        <f>IF(D2727="","",VLOOKUP(D2727,'General Basis'!$J$39:$K$46,2,0))</f>
        <v/>
      </c>
      <c r="BF2727" s="744" t="str">
        <f>IF(D2727="","",VLOOKUP(D2727,'General Basis'!$J$39:$L$46,3,0))</f>
        <v/>
      </c>
      <c r="BG2727" s="744" t="str">
        <f t="shared" si="957"/>
        <v/>
      </c>
      <c r="BH2727" s="744" t="str">
        <f>IF(G2727="","",IF(BF2727="Abu Dhabi",IF(G2727&lt;18,'General Basis'!$C$39,IF(G2727&lt;41,'General Basis'!$C$40,IF(G2727&lt;60,'General Basis'!$C$41,IF(G2727&lt;65,'General Basis'!$C$42,'General Basis'!$C$43)))),IF(G2727&lt;11,'General Basis'!$B$39,IF(G2727&lt;18,'General Basis'!$B$40,IF(G2727&lt;26,'General Basis'!$B$41,IF(G2727&lt;31,'General Basis'!$B$42,IF(G2727&lt;36,'General Basis'!$B$43,IF(G2727&lt;41,'General Basis'!$B$44,IF(G2727&lt;46,'General Basis'!$B$45,IF(G2727&lt;51,'General Basis'!$B$46,IF(G2727&lt;56,'General Basis'!$B$47,IF(G2727&lt;60,'General Basis'!$B$48,IF(G2727&lt;65,'General Basis'!$B$49,'General Basis'!$B$50)))))))))))))</f>
        <v/>
      </c>
      <c r="BI2727" s="744" t="str">
        <f t="shared" si="951"/>
        <v/>
      </c>
      <c r="BJ2727" s="747" t="str">
        <f t="shared" si="958"/>
        <v/>
      </c>
      <c r="BK2727" s="498" t="str">
        <f t="shared" si="952"/>
        <v/>
      </c>
      <c r="BL2727" s="498" t="str">
        <f t="shared" si="953"/>
        <v/>
      </c>
    </row>
    <row r="2728" spans="1:64" x14ac:dyDescent="0.25">
      <c r="A2728" s="762">
        <f t="shared" si="954"/>
        <v>2723</v>
      </c>
      <c r="B2728" s="229"/>
      <c r="C2728" s="223"/>
      <c r="D2728" s="224"/>
      <c r="E2728" s="225"/>
      <c r="F2728" s="1036" t="str">
        <f t="shared" si="960"/>
        <v/>
      </c>
      <c r="G2728" s="1037" t="str">
        <f t="shared" si="955"/>
        <v/>
      </c>
      <c r="H2728" s="225"/>
      <c r="I2728" s="1013"/>
      <c r="J2728" s="1013"/>
      <c r="K2728" s="1028"/>
      <c r="L2728" s="1035" t="str">
        <f t="shared" si="959"/>
        <v/>
      </c>
      <c r="S2728" s="498"/>
      <c r="AJ2728" s="498"/>
      <c r="AM2728" s="498">
        <f t="shared" si="940"/>
        <v>0</v>
      </c>
      <c r="AN2728" s="498">
        <f t="shared" si="941"/>
        <v>0</v>
      </c>
      <c r="AO2728" s="498">
        <f t="shared" si="942"/>
        <v>0</v>
      </c>
      <c r="AP2728" s="498">
        <f t="shared" si="961"/>
        <v>0</v>
      </c>
      <c r="AQ2728" s="498">
        <f t="shared" si="956"/>
        <v>0</v>
      </c>
      <c r="AU2728" s="498">
        <f t="shared" si="943"/>
        <v>0</v>
      </c>
      <c r="AV2728" s="498">
        <f t="shared" si="944"/>
        <v>0</v>
      </c>
      <c r="AW2728" s="498">
        <f t="shared" si="945"/>
        <v>0</v>
      </c>
      <c r="AX2728" s="498">
        <f t="shared" si="946"/>
        <v>0</v>
      </c>
      <c r="AY2728" s="498">
        <f t="shared" si="947"/>
        <v>0</v>
      </c>
      <c r="BB2728" s="498" t="str">
        <f t="shared" si="948"/>
        <v/>
      </c>
      <c r="BC2728" s="743" t="str">
        <f t="shared" si="949"/>
        <v/>
      </c>
      <c r="BD2728" s="743" t="str">
        <f t="shared" si="950"/>
        <v/>
      </c>
      <c r="BE2728" s="743" t="str">
        <f>IF(D2728="","",VLOOKUP(D2728,'General Basis'!$J$39:$K$46,2,0))</f>
        <v/>
      </c>
      <c r="BF2728" s="744" t="str">
        <f>IF(D2728="","",VLOOKUP(D2728,'General Basis'!$J$39:$L$46,3,0))</f>
        <v/>
      </c>
      <c r="BG2728" s="744" t="str">
        <f t="shared" si="957"/>
        <v/>
      </c>
      <c r="BH2728" s="744" t="str">
        <f>IF(G2728="","",IF(BF2728="Abu Dhabi",IF(G2728&lt;18,'General Basis'!$C$39,IF(G2728&lt;41,'General Basis'!$C$40,IF(G2728&lt;60,'General Basis'!$C$41,IF(G2728&lt;65,'General Basis'!$C$42,'General Basis'!$C$43)))),IF(G2728&lt;11,'General Basis'!$B$39,IF(G2728&lt;18,'General Basis'!$B$40,IF(G2728&lt;26,'General Basis'!$B$41,IF(G2728&lt;31,'General Basis'!$B$42,IF(G2728&lt;36,'General Basis'!$B$43,IF(G2728&lt;41,'General Basis'!$B$44,IF(G2728&lt;46,'General Basis'!$B$45,IF(G2728&lt;51,'General Basis'!$B$46,IF(G2728&lt;56,'General Basis'!$B$47,IF(G2728&lt;60,'General Basis'!$B$48,IF(G2728&lt;65,'General Basis'!$B$49,'General Basis'!$B$50)))))))))))))</f>
        <v/>
      </c>
      <c r="BI2728" s="744" t="str">
        <f t="shared" si="951"/>
        <v/>
      </c>
      <c r="BJ2728" s="747" t="str">
        <f t="shared" si="958"/>
        <v/>
      </c>
      <c r="BK2728" s="498" t="str">
        <f t="shared" si="952"/>
        <v/>
      </c>
      <c r="BL2728" s="498" t="str">
        <f t="shared" si="953"/>
        <v/>
      </c>
    </row>
    <row r="2729" spans="1:64" x14ac:dyDescent="0.25">
      <c r="A2729" s="762">
        <f t="shared" si="954"/>
        <v>2724</v>
      </c>
      <c r="B2729" s="229"/>
      <c r="C2729" s="223"/>
      <c r="D2729" s="224"/>
      <c r="E2729" s="225"/>
      <c r="F2729" s="1036" t="str">
        <f t="shared" si="960"/>
        <v/>
      </c>
      <c r="G2729" s="1037" t="str">
        <f t="shared" si="955"/>
        <v/>
      </c>
      <c r="H2729" s="225"/>
      <c r="I2729" s="1013"/>
      <c r="J2729" s="1013"/>
      <c r="K2729" s="1028"/>
      <c r="L2729" s="1035" t="str">
        <f t="shared" si="959"/>
        <v/>
      </c>
      <c r="S2729" s="498"/>
      <c r="AJ2729" s="498"/>
      <c r="AM2729" s="498">
        <f t="shared" si="940"/>
        <v>0</v>
      </c>
      <c r="AN2729" s="498">
        <f t="shared" si="941"/>
        <v>0</v>
      </c>
      <c r="AO2729" s="498">
        <f t="shared" si="942"/>
        <v>0</v>
      </c>
      <c r="AP2729" s="498">
        <f t="shared" si="961"/>
        <v>0</v>
      </c>
      <c r="AQ2729" s="498">
        <f t="shared" si="956"/>
        <v>0</v>
      </c>
      <c r="AU2729" s="498">
        <f t="shared" si="943"/>
        <v>0</v>
      </c>
      <c r="AV2729" s="498">
        <f t="shared" si="944"/>
        <v>0</v>
      </c>
      <c r="AW2729" s="498">
        <f t="shared" si="945"/>
        <v>0</v>
      </c>
      <c r="AX2729" s="498">
        <f t="shared" si="946"/>
        <v>0</v>
      </c>
      <c r="AY2729" s="498">
        <f t="shared" si="947"/>
        <v>0</v>
      </c>
      <c r="BB2729" s="498" t="str">
        <f t="shared" si="948"/>
        <v/>
      </c>
      <c r="BC2729" s="743" t="str">
        <f t="shared" si="949"/>
        <v/>
      </c>
      <c r="BD2729" s="743" t="str">
        <f t="shared" si="950"/>
        <v/>
      </c>
      <c r="BE2729" s="743" t="str">
        <f>IF(D2729="","",VLOOKUP(D2729,'General Basis'!$J$39:$K$46,2,0))</f>
        <v/>
      </c>
      <c r="BF2729" s="744" t="str">
        <f>IF(D2729="","",VLOOKUP(D2729,'General Basis'!$J$39:$L$46,3,0))</f>
        <v/>
      </c>
      <c r="BG2729" s="744" t="str">
        <f t="shared" si="957"/>
        <v/>
      </c>
      <c r="BH2729" s="744" t="str">
        <f>IF(G2729="","",IF(BF2729="Abu Dhabi",IF(G2729&lt;18,'General Basis'!$C$39,IF(G2729&lt;41,'General Basis'!$C$40,IF(G2729&lt;60,'General Basis'!$C$41,IF(G2729&lt;65,'General Basis'!$C$42,'General Basis'!$C$43)))),IF(G2729&lt;11,'General Basis'!$B$39,IF(G2729&lt;18,'General Basis'!$B$40,IF(G2729&lt;26,'General Basis'!$B$41,IF(G2729&lt;31,'General Basis'!$B$42,IF(G2729&lt;36,'General Basis'!$B$43,IF(G2729&lt;41,'General Basis'!$B$44,IF(G2729&lt;46,'General Basis'!$B$45,IF(G2729&lt;51,'General Basis'!$B$46,IF(G2729&lt;56,'General Basis'!$B$47,IF(G2729&lt;60,'General Basis'!$B$48,IF(G2729&lt;65,'General Basis'!$B$49,'General Basis'!$B$50)))))))))))))</f>
        <v/>
      </c>
      <c r="BI2729" s="744" t="str">
        <f t="shared" si="951"/>
        <v/>
      </c>
      <c r="BJ2729" s="747" t="str">
        <f t="shared" si="958"/>
        <v/>
      </c>
      <c r="BK2729" s="498" t="str">
        <f t="shared" si="952"/>
        <v/>
      </c>
      <c r="BL2729" s="498" t="str">
        <f t="shared" si="953"/>
        <v/>
      </c>
    </row>
    <row r="2730" spans="1:64" x14ac:dyDescent="0.25">
      <c r="A2730" s="762">
        <f t="shared" si="954"/>
        <v>2725</v>
      </c>
      <c r="B2730" s="229"/>
      <c r="C2730" s="223"/>
      <c r="D2730" s="224"/>
      <c r="E2730" s="225"/>
      <c r="F2730" s="1036" t="str">
        <f t="shared" si="960"/>
        <v/>
      </c>
      <c r="G2730" s="1037" t="str">
        <f t="shared" si="955"/>
        <v/>
      </c>
      <c r="H2730" s="225"/>
      <c r="I2730" s="1013"/>
      <c r="J2730" s="1013"/>
      <c r="K2730" s="1028"/>
      <c r="L2730" s="1035" t="str">
        <f t="shared" si="959"/>
        <v/>
      </c>
      <c r="S2730" s="498"/>
      <c r="AJ2730" s="498"/>
      <c r="AM2730" s="498">
        <f t="shared" si="940"/>
        <v>0</v>
      </c>
      <c r="AN2730" s="498">
        <f t="shared" si="941"/>
        <v>0</v>
      </c>
      <c r="AO2730" s="498">
        <f t="shared" si="942"/>
        <v>0</v>
      </c>
      <c r="AP2730" s="498">
        <f t="shared" si="961"/>
        <v>0</v>
      </c>
      <c r="AQ2730" s="498">
        <f t="shared" si="956"/>
        <v>0</v>
      </c>
      <c r="AU2730" s="498">
        <f t="shared" si="943"/>
        <v>0</v>
      </c>
      <c r="AV2730" s="498">
        <f t="shared" si="944"/>
        <v>0</v>
      </c>
      <c r="AW2730" s="498">
        <f t="shared" si="945"/>
        <v>0</v>
      </c>
      <c r="AX2730" s="498">
        <f t="shared" si="946"/>
        <v>0</v>
      </c>
      <c r="AY2730" s="498">
        <f t="shared" si="947"/>
        <v>0</v>
      </c>
      <c r="BB2730" s="498" t="str">
        <f t="shared" si="948"/>
        <v/>
      </c>
      <c r="BC2730" s="743" t="str">
        <f t="shared" si="949"/>
        <v/>
      </c>
      <c r="BD2730" s="743" t="str">
        <f t="shared" si="950"/>
        <v/>
      </c>
      <c r="BE2730" s="743" t="str">
        <f>IF(D2730="","",VLOOKUP(D2730,'General Basis'!$J$39:$K$46,2,0))</f>
        <v/>
      </c>
      <c r="BF2730" s="744" t="str">
        <f>IF(D2730="","",VLOOKUP(D2730,'General Basis'!$J$39:$L$46,3,0))</f>
        <v/>
      </c>
      <c r="BG2730" s="744" t="str">
        <f t="shared" si="957"/>
        <v/>
      </c>
      <c r="BH2730" s="744" t="str">
        <f>IF(G2730="","",IF(BF2730="Abu Dhabi",IF(G2730&lt;18,'General Basis'!$C$39,IF(G2730&lt;41,'General Basis'!$C$40,IF(G2730&lt;60,'General Basis'!$C$41,IF(G2730&lt;65,'General Basis'!$C$42,'General Basis'!$C$43)))),IF(G2730&lt;11,'General Basis'!$B$39,IF(G2730&lt;18,'General Basis'!$B$40,IF(G2730&lt;26,'General Basis'!$B$41,IF(G2730&lt;31,'General Basis'!$B$42,IF(G2730&lt;36,'General Basis'!$B$43,IF(G2730&lt;41,'General Basis'!$B$44,IF(G2730&lt;46,'General Basis'!$B$45,IF(G2730&lt;51,'General Basis'!$B$46,IF(G2730&lt;56,'General Basis'!$B$47,IF(G2730&lt;60,'General Basis'!$B$48,IF(G2730&lt;65,'General Basis'!$B$49,'General Basis'!$B$50)))))))))))))</f>
        <v/>
      </c>
      <c r="BI2730" s="744" t="str">
        <f t="shared" si="951"/>
        <v/>
      </c>
      <c r="BJ2730" s="747" t="str">
        <f t="shared" si="958"/>
        <v/>
      </c>
      <c r="BK2730" s="498" t="str">
        <f t="shared" si="952"/>
        <v/>
      </c>
      <c r="BL2730" s="498" t="str">
        <f t="shared" si="953"/>
        <v/>
      </c>
    </row>
    <row r="2731" spans="1:64" x14ac:dyDescent="0.25">
      <c r="A2731" s="762">
        <f t="shared" si="954"/>
        <v>2726</v>
      </c>
      <c r="B2731" s="229"/>
      <c r="C2731" s="223"/>
      <c r="D2731" s="224"/>
      <c r="E2731" s="225"/>
      <c r="F2731" s="1036" t="str">
        <f t="shared" si="960"/>
        <v/>
      </c>
      <c r="G2731" s="1037" t="str">
        <f t="shared" si="955"/>
        <v/>
      </c>
      <c r="H2731" s="225"/>
      <c r="I2731" s="1013"/>
      <c r="J2731" s="1013"/>
      <c r="K2731" s="1028"/>
      <c r="L2731" s="1035" t="str">
        <f t="shared" si="959"/>
        <v/>
      </c>
      <c r="S2731" s="498"/>
      <c r="AJ2731" s="498"/>
      <c r="AM2731" s="498">
        <f t="shared" si="940"/>
        <v>0</v>
      </c>
      <c r="AN2731" s="498">
        <f t="shared" si="941"/>
        <v>0</v>
      </c>
      <c r="AO2731" s="498">
        <f t="shared" si="942"/>
        <v>0</v>
      </c>
      <c r="AP2731" s="498">
        <f t="shared" si="961"/>
        <v>0</v>
      </c>
      <c r="AQ2731" s="498">
        <f t="shared" si="956"/>
        <v>0</v>
      </c>
      <c r="AU2731" s="498">
        <f t="shared" si="943"/>
        <v>0</v>
      </c>
      <c r="AV2731" s="498">
        <f t="shared" si="944"/>
        <v>0</v>
      </c>
      <c r="AW2731" s="498">
        <f t="shared" si="945"/>
        <v>0</v>
      </c>
      <c r="AX2731" s="498">
        <f t="shared" si="946"/>
        <v>0</v>
      </c>
      <c r="AY2731" s="498">
        <f t="shared" si="947"/>
        <v>0</v>
      </c>
      <c r="BB2731" s="498" t="str">
        <f t="shared" si="948"/>
        <v/>
      </c>
      <c r="BC2731" s="743" t="str">
        <f t="shared" si="949"/>
        <v/>
      </c>
      <c r="BD2731" s="743" t="str">
        <f t="shared" si="950"/>
        <v/>
      </c>
      <c r="BE2731" s="743" t="str">
        <f>IF(D2731="","",VLOOKUP(D2731,'General Basis'!$J$39:$K$46,2,0))</f>
        <v/>
      </c>
      <c r="BF2731" s="744" t="str">
        <f>IF(D2731="","",VLOOKUP(D2731,'General Basis'!$J$39:$L$46,3,0))</f>
        <v/>
      </c>
      <c r="BG2731" s="744" t="str">
        <f t="shared" si="957"/>
        <v/>
      </c>
      <c r="BH2731" s="744" t="str">
        <f>IF(G2731="","",IF(BF2731="Abu Dhabi",IF(G2731&lt;18,'General Basis'!$C$39,IF(G2731&lt;41,'General Basis'!$C$40,IF(G2731&lt;60,'General Basis'!$C$41,IF(G2731&lt;65,'General Basis'!$C$42,'General Basis'!$C$43)))),IF(G2731&lt;11,'General Basis'!$B$39,IF(G2731&lt;18,'General Basis'!$B$40,IF(G2731&lt;26,'General Basis'!$B$41,IF(G2731&lt;31,'General Basis'!$B$42,IF(G2731&lt;36,'General Basis'!$B$43,IF(G2731&lt;41,'General Basis'!$B$44,IF(G2731&lt;46,'General Basis'!$B$45,IF(G2731&lt;51,'General Basis'!$B$46,IF(G2731&lt;56,'General Basis'!$B$47,IF(G2731&lt;60,'General Basis'!$B$48,IF(G2731&lt;65,'General Basis'!$B$49,'General Basis'!$B$50)))))))))))))</f>
        <v/>
      </c>
      <c r="BI2731" s="744" t="str">
        <f t="shared" si="951"/>
        <v/>
      </c>
      <c r="BJ2731" s="747" t="str">
        <f t="shared" si="958"/>
        <v/>
      </c>
      <c r="BK2731" s="498" t="str">
        <f t="shared" si="952"/>
        <v/>
      </c>
      <c r="BL2731" s="498" t="str">
        <f t="shared" si="953"/>
        <v/>
      </c>
    </row>
    <row r="2732" spans="1:64" x14ac:dyDescent="0.25">
      <c r="A2732" s="762">
        <f t="shared" si="954"/>
        <v>2727</v>
      </c>
      <c r="B2732" s="229"/>
      <c r="C2732" s="223"/>
      <c r="D2732" s="224"/>
      <c r="E2732" s="225"/>
      <c r="F2732" s="1036" t="str">
        <f t="shared" si="960"/>
        <v/>
      </c>
      <c r="G2732" s="1037" t="str">
        <f t="shared" si="955"/>
        <v/>
      </c>
      <c r="H2732" s="225"/>
      <c r="I2732" s="1013"/>
      <c r="J2732" s="1013"/>
      <c r="K2732" s="1028"/>
      <c r="L2732" s="1035" t="str">
        <f t="shared" si="959"/>
        <v/>
      </c>
      <c r="S2732" s="498"/>
      <c r="AJ2732" s="498"/>
      <c r="AM2732" s="498">
        <f t="shared" si="940"/>
        <v>0</v>
      </c>
      <c r="AN2732" s="498">
        <f t="shared" si="941"/>
        <v>0</v>
      </c>
      <c r="AO2732" s="498">
        <f t="shared" si="942"/>
        <v>0</v>
      </c>
      <c r="AP2732" s="498">
        <f t="shared" si="961"/>
        <v>0</v>
      </c>
      <c r="AQ2732" s="498">
        <f t="shared" si="956"/>
        <v>0</v>
      </c>
      <c r="AU2732" s="498">
        <f t="shared" si="943"/>
        <v>0</v>
      </c>
      <c r="AV2732" s="498">
        <f t="shared" si="944"/>
        <v>0</v>
      </c>
      <c r="AW2732" s="498">
        <f t="shared" si="945"/>
        <v>0</v>
      </c>
      <c r="AX2732" s="498">
        <f t="shared" si="946"/>
        <v>0</v>
      </c>
      <c r="AY2732" s="498">
        <f t="shared" si="947"/>
        <v>0</v>
      </c>
      <c r="BB2732" s="498" t="str">
        <f t="shared" si="948"/>
        <v/>
      </c>
      <c r="BC2732" s="743" t="str">
        <f t="shared" si="949"/>
        <v/>
      </c>
      <c r="BD2732" s="743" t="str">
        <f t="shared" si="950"/>
        <v/>
      </c>
      <c r="BE2732" s="743" t="str">
        <f>IF(D2732="","",VLOOKUP(D2732,'General Basis'!$J$39:$K$46,2,0))</f>
        <v/>
      </c>
      <c r="BF2732" s="744" t="str">
        <f>IF(D2732="","",VLOOKUP(D2732,'General Basis'!$J$39:$L$46,3,0))</f>
        <v/>
      </c>
      <c r="BG2732" s="744" t="str">
        <f t="shared" si="957"/>
        <v/>
      </c>
      <c r="BH2732" s="744" t="str">
        <f>IF(G2732="","",IF(BF2732="Abu Dhabi",IF(G2732&lt;18,'General Basis'!$C$39,IF(G2732&lt;41,'General Basis'!$C$40,IF(G2732&lt;60,'General Basis'!$C$41,IF(G2732&lt;65,'General Basis'!$C$42,'General Basis'!$C$43)))),IF(G2732&lt;11,'General Basis'!$B$39,IF(G2732&lt;18,'General Basis'!$B$40,IF(G2732&lt;26,'General Basis'!$B$41,IF(G2732&lt;31,'General Basis'!$B$42,IF(G2732&lt;36,'General Basis'!$B$43,IF(G2732&lt;41,'General Basis'!$B$44,IF(G2732&lt;46,'General Basis'!$B$45,IF(G2732&lt;51,'General Basis'!$B$46,IF(G2732&lt;56,'General Basis'!$B$47,IF(G2732&lt;60,'General Basis'!$B$48,IF(G2732&lt;65,'General Basis'!$B$49,'General Basis'!$B$50)))))))))))))</f>
        <v/>
      </c>
      <c r="BI2732" s="744" t="str">
        <f t="shared" si="951"/>
        <v/>
      </c>
      <c r="BJ2732" s="747" t="str">
        <f t="shared" si="958"/>
        <v/>
      </c>
      <c r="BK2732" s="498" t="str">
        <f t="shared" si="952"/>
        <v/>
      </c>
      <c r="BL2732" s="498" t="str">
        <f t="shared" si="953"/>
        <v/>
      </c>
    </row>
    <row r="2733" spans="1:64" x14ac:dyDescent="0.25">
      <c r="A2733" s="762">
        <f t="shared" si="954"/>
        <v>2728</v>
      </c>
      <c r="B2733" s="229"/>
      <c r="C2733" s="223"/>
      <c r="D2733" s="224"/>
      <c r="E2733" s="225"/>
      <c r="F2733" s="1036" t="str">
        <f t="shared" si="960"/>
        <v/>
      </c>
      <c r="G2733" s="1037" t="str">
        <f t="shared" si="955"/>
        <v/>
      </c>
      <c r="H2733" s="225"/>
      <c r="I2733" s="1013"/>
      <c r="J2733" s="1013"/>
      <c r="K2733" s="1028"/>
      <c r="L2733" s="1035" t="str">
        <f t="shared" si="959"/>
        <v/>
      </c>
      <c r="S2733" s="498"/>
      <c r="AJ2733" s="498"/>
      <c r="AM2733" s="498">
        <f t="shared" si="940"/>
        <v>0</v>
      </c>
      <c r="AN2733" s="498">
        <f t="shared" si="941"/>
        <v>0</v>
      </c>
      <c r="AO2733" s="498">
        <f t="shared" si="942"/>
        <v>0</v>
      </c>
      <c r="AP2733" s="498">
        <f t="shared" si="961"/>
        <v>0</v>
      </c>
      <c r="AQ2733" s="498">
        <f t="shared" si="956"/>
        <v>0</v>
      </c>
      <c r="AU2733" s="498">
        <f t="shared" si="943"/>
        <v>0</v>
      </c>
      <c r="AV2733" s="498">
        <f t="shared" si="944"/>
        <v>0</v>
      </c>
      <c r="AW2733" s="498">
        <f t="shared" si="945"/>
        <v>0</v>
      </c>
      <c r="AX2733" s="498">
        <f t="shared" si="946"/>
        <v>0</v>
      </c>
      <c r="AY2733" s="498">
        <f t="shared" si="947"/>
        <v>0</v>
      </c>
      <c r="BB2733" s="498" t="str">
        <f t="shared" si="948"/>
        <v/>
      </c>
      <c r="BC2733" s="743" t="str">
        <f t="shared" si="949"/>
        <v/>
      </c>
      <c r="BD2733" s="743" t="str">
        <f t="shared" si="950"/>
        <v/>
      </c>
      <c r="BE2733" s="743" t="str">
        <f>IF(D2733="","",VLOOKUP(D2733,'General Basis'!$J$39:$K$46,2,0))</f>
        <v/>
      </c>
      <c r="BF2733" s="744" t="str">
        <f>IF(D2733="","",VLOOKUP(D2733,'General Basis'!$J$39:$L$46,3,0))</f>
        <v/>
      </c>
      <c r="BG2733" s="744" t="str">
        <f t="shared" si="957"/>
        <v/>
      </c>
      <c r="BH2733" s="744" t="str">
        <f>IF(G2733="","",IF(BF2733="Abu Dhabi",IF(G2733&lt;18,'General Basis'!$C$39,IF(G2733&lt;41,'General Basis'!$C$40,IF(G2733&lt;60,'General Basis'!$C$41,IF(G2733&lt;65,'General Basis'!$C$42,'General Basis'!$C$43)))),IF(G2733&lt;11,'General Basis'!$B$39,IF(G2733&lt;18,'General Basis'!$B$40,IF(G2733&lt;26,'General Basis'!$B$41,IF(G2733&lt;31,'General Basis'!$B$42,IF(G2733&lt;36,'General Basis'!$B$43,IF(G2733&lt;41,'General Basis'!$B$44,IF(G2733&lt;46,'General Basis'!$B$45,IF(G2733&lt;51,'General Basis'!$B$46,IF(G2733&lt;56,'General Basis'!$B$47,IF(G2733&lt;60,'General Basis'!$B$48,IF(G2733&lt;65,'General Basis'!$B$49,'General Basis'!$B$50)))))))))))))</f>
        <v/>
      </c>
      <c r="BI2733" s="744" t="str">
        <f t="shared" si="951"/>
        <v/>
      </c>
      <c r="BJ2733" s="747" t="str">
        <f t="shared" si="958"/>
        <v/>
      </c>
      <c r="BK2733" s="498" t="str">
        <f t="shared" si="952"/>
        <v/>
      </c>
      <c r="BL2733" s="498" t="str">
        <f t="shared" si="953"/>
        <v/>
      </c>
    </row>
    <row r="2734" spans="1:64" x14ac:dyDescent="0.25">
      <c r="A2734" s="762">
        <f t="shared" si="954"/>
        <v>2729</v>
      </c>
      <c r="B2734" s="229"/>
      <c r="C2734" s="223"/>
      <c r="D2734" s="224"/>
      <c r="E2734" s="225"/>
      <c r="F2734" s="1036" t="str">
        <f t="shared" si="960"/>
        <v/>
      </c>
      <c r="G2734" s="1037" t="str">
        <f t="shared" si="955"/>
        <v/>
      </c>
      <c r="H2734" s="225"/>
      <c r="I2734" s="1013"/>
      <c r="J2734" s="1013"/>
      <c r="K2734" s="1028"/>
      <c r="L2734" s="1035" t="str">
        <f t="shared" si="959"/>
        <v/>
      </c>
      <c r="S2734" s="498"/>
      <c r="AJ2734" s="498"/>
      <c r="AM2734" s="498">
        <f t="shared" si="940"/>
        <v>0</v>
      </c>
      <c r="AN2734" s="498">
        <f t="shared" si="941"/>
        <v>0</v>
      </c>
      <c r="AO2734" s="498">
        <f t="shared" si="942"/>
        <v>0</v>
      </c>
      <c r="AP2734" s="498">
        <f t="shared" si="961"/>
        <v>0</v>
      </c>
      <c r="AQ2734" s="498">
        <f t="shared" si="956"/>
        <v>0</v>
      </c>
      <c r="AU2734" s="498">
        <f t="shared" si="943"/>
        <v>0</v>
      </c>
      <c r="AV2734" s="498">
        <f t="shared" si="944"/>
        <v>0</v>
      </c>
      <c r="AW2734" s="498">
        <f t="shared" si="945"/>
        <v>0</v>
      </c>
      <c r="AX2734" s="498">
        <f t="shared" si="946"/>
        <v>0</v>
      </c>
      <c r="AY2734" s="498">
        <f t="shared" si="947"/>
        <v>0</v>
      </c>
      <c r="BB2734" s="498" t="str">
        <f t="shared" si="948"/>
        <v/>
      </c>
      <c r="BC2734" s="743" t="str">
        <f t="shared" si="949"/>
        <v/>
      </c>
      <c r="BD2734" s="743" t="str">
        <f t="shared" si="950"/>
        <v/>
      </c>
      <c r="BE2734" s="743" t="str">
        <f>IF(D2734="","",VLOOKUP(D2734,'General Basis'!$J$39:$K$46,2,0))</f>
        <v/>
      </c>
      <c r="BF2734" s="744" t="str">
        <f>IF(D2734="","",VLOOKUP(D2734,'General Basis'!$J$39:$L$46,3,0))</f>
        <v/>
      </c>
      <c r="BG2734" s="744" t="str">
        <f t="shared" si="957"/>
        <v/>
      </c>
      <c r="BH2734" s="744" t="str">
        <f>IF(G2734="","",IF(BF2734="Abu Dhabi",IF(G2734&lt;18,'General Basis'!$C$39,IF(G2734&lt;41,'General Basis'!$C$40,IF(G2734&lt;60,'General Basis'!$C$41,IF(G2734&lt;65,'General Basis'!$C$42,'General Basis'!$C$43)))),IF(G2734&lt;11,'General Basis'!$B$39,IF(G2734&lt;18,'General Basis'!$B$40,IF(G2734&lt;26,'General Basis'!$B$41,IF(G2734&lt;31,'General Basis'!$B$42,IF(G2734&lt;36,'General Basis'!$B$43,IF(G2734&lt;41,'General Basis'!$B$44,IF(G2734&lt;46,'General Basis'!$B$45,IF(G2734&lt;51,'General Basis'!$B$46,IF(G2734&lt;56,'General Basis'!$B$47,IF(G2734&lt;60,'General Basis'!$B$48,IF(G2734&lt;65,'General Basis'!$B$49,'General Basis'!$B$50)))))))))))))</f>
        <v/>
      </c>
      <c r="BI2734" s="744" t="str">
        <f t="shared" si="951"/>
        <v/>
      </c>
      <c r="BJ2734" s="747" t="str">
        <f t="shared" si="958"/>
        <v/>
      </c>
      <c r="BK2734" s="498" t="str">
        <f t="shared" si="952"/>
        <v/>
      </c>
      <c r="BL2734" s="498" t="str">
        <f t="shared" si="953"/>
        <v/>
      </c>
    </row>
    <row r="2735" spans="1:64" x14ac:dyDescent="0.25">
      <c r="A2735" s="762">
        <f t="shared" si="954"/>
        <v>2730</v>
      </c>
      <c r="B2735" s="229"/>
      <c r="C2735" s="223"/>
      <c r="D2735" s="224"/>
      <c r="E2735" s="225"/>
      <c r="F2735" s="1036" t="str">
        <f t="shared" si="960"/>
        <v/>
      </c>
      <c r="G2735" s="1037" t="str">
        <f t="shared" si="955"/>
        <v/>
      </c>
      <c r="H2735" s="225"/>
      <c r="I2735" s="1013"/>
      <c r="J2735" s="1013"/>
      <c r="K2735" s="1028"/>
      <c r="L2735" s="1035" t="str">
        <f t="shared" si="959"/>
        <v/>
      </c>
      <c r="S2735" s="498"/>
      <c r="AJ2735" s="498"/>
      <c r="AM2735" s="498">
        <f t="shared" si="940"/>
        <v>0</v>
      </c>
      <c r="AN2735" s="498">
        <f t="shared" si="941"/>
        <v>0</v>
      </c>
      <c r="AO2735" s="498">
        <f t="shared" si="942"/>
        <v>0</v>
      </c>
      <c r="AP2735" s="498">
        <f t="shared" si="961"/>
        <v>0</v>
      </c>
      <c r="AQ2735" s="498">
        <f t="shared" si="956"/>
        <v>0</v>
      </c>
      <c r="AU2735" s="498">
        <f t="shared" si="943"/>
        <v>0</v>
      </c>
      <c r="AV2735" s="498">
        <f t="shared" si="944"/>
        <v>0</v>
      </c>
      <c r="AW2735" s="498">
        <f t="shared" si="945"/>
        <v>0</v>
      </c>
      <c r="AX2735" s="498">
        <f t="shared" si="946"/>
        <v>0</v>
      </c>
      <c r="AY2735" s="498">
        <f t="shared" si="947"/>
        <v>0</v>
      </c>
      <c r="BB2735" s="498" t="str">
        <f t="shared" si="948"/>
        <v/>
      </c>
      <c r="BC2735" s="743" t="str">
        <f t="shared" si="949"/>
        <v/>
      </c>
      <c r="BD2735" s="743" t="str">
        <f t="shared" si="950"/>
        <v/>
      </c>
      <c r="BE2735" s="743" t="str">
        <f>IF(D2735="","",VLOOKUP(D2735,'General Basis'!$J$39:$K$46,2,0))</f>
        <v/>
      </c>
      <c r="BF2735" s="744" t="str">
        <f>IF(D2735="","",VLOOKUP(D2735,'General Basis'!$J$39:$L$46,3,0))</f>
        <v/>
      </c>
      <c r="BG2735" s="744" t="str">
        <f t="shared" si="957"/>
        <v/>
      </c>
      <c r="BH2735" s="744" t="str">
        <f>IF(G2735="","",IF(BF2735="Abu Dhabi",IF(G2735&lt;18,'General Basis'!$C$39,IF(G2735&lt;41,'General Basis'!$C$40,IF(G2735&lt;60,'General Basis'!$C$41,IF(G2735&lt;65,'General Basis'!$C$42,'General Basis'!$C$43)))),IF(G2735&lt;11,'General Basis'!$B$39,IF(G2735&lt;18,'General Basis'!$B$40,IF(G2735&lt;26,'General Basis'!$B$41,IF(G2735&lt;31,'General Basis'!$B$42,IF(G2735&lt;36,'General Basis'!$B$43,IF(G2735&lt;41,'General Basis'!$B$44,IF(G2735&lt;46,'General Basis'!$B$45,IF(G2735&lt;51,'General Basis'!$B$46,IF(G2735&lt;56,'General Basis'!$B$47,IF(G2735&lt;60,'General Basis'!$B$48,IF(G2735&lt;65,'General Basis'!$B$49,'General Basis'!$B$50)))))))))))))</f>
        <v/>
      </c>
      <c r="BI2735" s="744" t="str">
        <f t="shared" si="951"/>
        <v/>
      </c>
      <c r="BJ2735" s="747" t="str">
        <f t="shared" si="958"/>
        <v/>
      </c>
      <c r="BK2735" s="498" t="str">
        <f t="shared" si="952"/>
        <v/>
      </c>
      <c r="BL2735" s="498" t="str">
        <f t="shared" si="953"/>
        <v/>
      </c>
    </row>
    <row r="2736" spans="1:64" x14ac:dyDescent="0.25">
      <c r="A2736" s="762">
        <f t="shared" si="954"/>
        <v>2731</v>
      </c>
      <c r="B2736" s="229"/>
      <c r="C2736" s="223"/>
      <c r="D2736" s="224"/>
      <c r="E2736" s="225"/>
      <c r="F2736" s="1036" t="str">
        <f t="shared" si="960"/>
        <v/>
      </c>
      <c r="G2736" s="1037" t="str">
        <f t="shared" si="955"/>
        <v/>
      </c>
      <c r="H2736" s="225"/>
      <c r="I2736" s="1013"/>
      <c r="J2736" s="1013"/>
      <c r="K2736" s="1028"/>
      <c r="L2736" s="1035" t="str">
        <f t="shared" si="959"/>
        <v/>
      </c>
      <c r="S2736" s="498"/>
      <c r="AJ2736" s="498"/>
      <c r="AM2736" s="498">
        <f t="shared" si="940"/>
        <v>0</v>
      </c>
      <c r="AN2736" s="498">
        <f t="shared" si="941"/>
        <v>0</v>
      </c>
      <c r="AO2736" s="498">
        <f t="shared" si="942"/>
        <v>0</v>
      </c>
      <c r="AP2736" s="498">
        <f t="shared" si="961"/>
        <v>0</v>
      </c>
      <c r="AQ2736" s="498">
        <f t="shared" si="956"/>
        <v>0</v>
      </c>
      <c r="AU2736" s="498">
        <f t="shared" si="943"/>
        <v>0</v>
      </c>
      <c r="AV2736" s="498">
        <f t="shared" si="944"/>
        <v>0</v>
      </c>
      <c r="AW2736" s="498">
        <f t="shared" si="945"/>
        <v>0</v>
      </c>
      <c r="AX2736" s="498">
        <f t="shared" si="946"/>
        <v>0</v>
      </c>
      <c r="AY2736" s="498">
        <f t="shared" si="947"/>
        <v>0</v>
      </c>
      <c r="BB2736" s="498" t="str">
        <f t="shared" si="948"/>
        <v/>
      </c>
      <c r="BC2736" s="743" t="str">
        <f t="shared" si="949"/>
        <v/>
      </c>
      <c r="BD2736" s="743" t="str">
        <f t="shared" si="950"/>
        <v/>
      </c>
      <c r="BE2736" s="743" t="str">
        <f>IF(D2736="","",VLOOKUP(D2736,'General Basis'!$J$39:$K$46,2,0))</f>
        <v/>
      </c>
      <c r="BF2736" s="744" t="str">
        <f>IF(D2736="","",VLOOKUP(D2736,'General Basis'!$J$39:$L$46,3,0))</f>
        <v/>
      </c>
      <c r="BG2736" s="744" t="str">
        <f t="shared" si="957"/>
        <v/>
      </c>
      <c r="BH2736" s="744" t="str">
        <f>IF(G2736="","",IF(BF2736="Abu Dhabi",IF(G2736&lt;18,'General Basis'!$C$39,IF(G2736&lt;41,'General Basis'!$C$40,IF(G2736&lt;60,'General Basis'!$C$41,IF(G2736&lt;65,'General Basis'!$C$42,'General Basis'!$C$43)))),IF(G2736&lt;11,'General Basis'!$B$39,IF(G2736&lt;18,'General Basis'!$B$40,IF(G2736&lt;26,'General Basis'!$B$41,IF(G2736&lt;31,'General Basis'!$B$42,IF(G2736&lt;36,'General Basis'!$B$43,IF(G2736&lt;41,'General Basis'!$B$44,IF(G2736&lt;46,'General Basis'!$B$45,IF(G2736&lt;51,'General Basis'!$B$46,IF(G2736&lt;56,'General Basis'!$B$47,IF(G2736&lt;60,'General Basis'!$B$48,IF(G2736&lt;65,'General Basis'!$B$49,'General Basis'!$B$50)))))))))))))</f>
        <v/>
      </c>
      <c r="BI2736" s="744" t="str">
        <f t="shared" si="951"/>
        <v/>
      </c>
      <c r="BJ2736" s="747" t="str">
        <f t="shared" si="958"/>
        <v/>
      </c>
      <c r="BK2736" s="498" t="str">
        <f t="shared" si="952"/>
        <v/>
      </c>
      <c r="BL2736" s="498" t="str">
        <f t="shared" si="953"/>
        <v/>
      </c>
    </row>
    <row r="2737" spans="1:64" x14ac:dyDescent="0.25">
      <c r="A2737" s="762">
        <f t="shared" si="954"/>
        <v>2732</v>
      </c>
      <c r="B2737" s="229"/>
      <c r="C2737" s="223"/>
      <c r="D2737" s="224"/>
      <c r="E2737" s="225"/>
      <c r="F2737" s="1036" t="str">
        <f t="shared" si="960"/>
        <v/>
      </c>
      <c r="G2737" s="1037" t="str">
        <f t="shared" si="955"/>
        <v/>
      </c>
      <c r="H2737" s="225"/>
      <c r="I2737" s="1013"/>
      <c r="J2737" s="1013"/>
      <c r="K2737" s="1028"/>
      <c r="L2737" s="1035" t="str">
        <f t="shared" si="959"/>
        <v/>
      </c>
      <c r="S2737" s="498"/>
      <c r="AJ2737" s="498"/>
      <c r="AM2737" s="498">
        <f t="shared" si="940"/>
        <v>0</v>
      </c>
      <c r="AN2737" s="498">
        <f t="shared" si="941"/>
        <v>0</v>
      </c>
      <c r="AO2737" s="498">
        <f t="shared" si="942"/>
        <v>0</v>
      </c>
      <c r="AP2737" s="498">
        <f t="shared" si="961"/>
        <v>0</v>
      </c>
      <c r="AQ2737" s="498">
        <f t="shared" si="956"/>
        <v>0</v>
      </c>
      <c r="AU2737" s="498">
        <f t="shared" si="943"/>
        <v>0</v>
      </c>
      <c r="AV2737" s="498">
        <f t="shared" si="944"/>
        <v>0</v>
      </c>
      <c r="AW2737" s="498">
        <f t="shared" si="945"/>
        <v>0</v>
      </c>
      <c r="AX2737" s="498">
        <f t="shared" si="946"/>
        <v>0</v>
      </c>
      <c r="AY2737" s="498">
        <f t="shared" si="947"/>
        <v>0</v>
      </c>
      <c r="BB2737" s="498" t="str">
        <f t="shared" si="948"/>
        <v/>
      </c>
      <c r="BC2737" s="743" t="str">
        <f t="shared" si="949"/>
        <v/>
      </c>
      <c r="BD2737" s="743" t="str">
        <f t="shared" si="950"/>
        <v/>
      </c>
      <c r="BE2737" s="743" t="str">
        <f>IF(D2737="","",VLOOKUP(D2737,'General Basis'!$J$39:$K$46,2,0))</f>
        <v/>
      </c>
      <c r="BF2737" s="744" t="str">
        <f>IF(D2737="","",VLOOKUP(D2737,'General Basis'!$J$39:$L$46,3,0))</f>
        <v/>
      </c>
      <c r="BG2737" s="744" t="str">
        <f t="shared" si="957"/>
        <v/>
      </c>
      <c r="BH2737" s="744" t="str">
        <f>IF(G2737="","",IF(BF2737="Abu Dhabi",IF(G2737&lt;18,'General Basis'!$C$39,IF(G2737&lt;41,'General Basis'!$C$40,IF(G2737&lt;60,'General Basis'!$C$41,IF(G2737&lt;65,'General Basis'!$C$42,'General Basis'!$C$43)))),IF(G2737&lt;11,'General Basis'!$B$39,IF(G2737&lt;18,'General Basis'!$B$40,IF(G2737&lt;26,'General Basis'!$B$41,IF(G2737&lt;31,'General Basis'!$B$42,IF(G2737&lt;36,'General Basis'!$B$43,IF(G2737&lt;41,'General Basis'!$B$44,IF(G2737&lt;46,'General Basis'!$B$45,IF(G2737&lt;51,'General Basis'!$B$46,IF(G2737&lt;56,'General Basis'!$B$47,IF(G2737&lt;60,'General Basis'!$B$48,IF(G2737&lt;65,'General Basis'!$B$49,'General Basis'!$B$50)))))))))))))</f>
        <v/>
      </c>
      <c r="BI2737" s="744" t="str">
        <f t="shared" si="951"/>
        <v/>
      </c>
      <c r="BJ2737" s="747" t="str">
        <f t="shared" si="958"/>
        <v/>
      </c>
      <c r="BK2737" s="498" t="str">
        <f t="shared" si="952"/>
        <v/>
      </c>
      <c r="BL2737" s="498" t="str">
        <f t="shared" si="953"/>
        <v/>
      </c>
    </row>
    <row r="2738" spans="1:64" x14ac:dyDescent="0.25">
      <c r="A2738" s="762">
        <f t="shared" si="954"/>
        <v>2733</v>
      </c>
      <c r="B2738" s="229"/>
      <c r="C2738" s="223"/>
      <c r="D2738" s="224"/>
      <c r="E2738" s="225"/>
      <c r="F2738" s="1036" t="str">
        <f t="shared" si="960"/>
        <v/>
      </c>
      <c r="G2738" s="1037" t="str">
        <f t="shared" si="955"/>
        <v/>
      </c>
      <c r="H2738" s="225"/>
      <c r="I2738" s="1013"/>
      <c r="J2738" s="1013"/>
      <c r="K2738" s="1028"/>
      <c r="L2738" s="1035" t="str">
        <f t="shared" si="959"/>
        <v/>
      </c>
      <c r="S2738" s="498"/>
      <c r="AJ2738" s="498"/>
      <c r="AM2738" s="498">
        <f t="shared" si="940"/>
        <v>0</v>
      </c>
      <c r="AN2738" s="498">
        <f t="shared" si="941"/>
        <v>0</v>
      </c>
      <c r="AO2738" s="498">
        <f t="shared" si="942"/>
        <v>0</v>
      </c>
      <c r="AP2738" s="498">
        <f t="shared" si="961"/>
        <v>0</v>
      </c>
      <c r="AQ2738" s="498">
        <f t="shared" si="956"/>
        <v>0</v>
      </c>
      <c r="AU2738" s="498">
        <f t="shared" si="943"/>
        <v>0</v>
      </c>
      <c r="AV2738" s="498">
        <f t="shared" si="944"/>
        <v>0</v>
      </c>
      <c r="AW2738" s="498">
        <f t="shared" si="945"/>
        <v>0</v>
      </c>
      <c r="AX2738" s="498">
        <f t="shared" si="946"/>
        <v>0</v>
      </c>
      <c r="AY2738" s="498">
        <f t="shared" si="947"/>
        <v>0</v>
      </c>
      <c r="BB2738" s="498" t="str">
        <f t="shared" si="948"/>
        <v/>
      </c>
      <c r="BC2738" s="743" t="str">
        <f t="shared" si="949"/>
        <v/>
      </c>
      <c r="BD2738" s="743" t="str">
        <f t="shared" si="950"/>
        <v/>
      </c>
      <c r="BE2738" s="743" t="str">
        <f>IF(D2738="","",VLOOKUP(D2738,'General Basis'!$J$39:$K$46,2,0))</f>
        <v/>
      </c>
      <c r="BF2738" s="744" t="str">
        <f>IF(D2738="","",VLOOKUP(D2738,'General Basis'!$J$39:$L$46,3,0))</f>
        <v/>
      </c>
      <c r="BG2738" s="744" t="str">
        <f t="shared" si="957"/>
        <v/>
      </c>
      <c r="BH2738" s="744" t="str">
        <f>IF(G2738="","",IF(BF2738="Abu Dhabi",IF(G2738&lt;18,'General Basis'!$C$39,IF(G2738&lt;41,'General Basis'!$C$40,IF(G2738&lt;60,'General Basis'!$C$41,IF(G2738&lt;65,'General Basis'!$C$42,'General Basis'!$C$43)))),IF(G2738&lt;11,'General Basis'!$B$39,IF(G2738&lt;18,'General Basis'!$B$40,IF(G2738&lt;26,'General Basis'!$B$41,IF(G2738&lt;31,'General Basis'!$B$42,IF(G2738&lt;36,'General Basis'!$B$43,IF(G2738&lt;41,'General Basis'!$B$44,IF(G2738&lt;46,'General Basis'!$B$45,IF(G2738&lt;51,'General Basis'!$B$46,IF(G2738&lt;56,'General Basis'!$B$47,IF(G2738&lt;60,'General Basis'!$B$48,IF(G2738&lt;65,'General Basis'!$B$49,'General Basis'!$B$50)))))))))))))</f>
        <v/>
      </c>
      <c r="BI2738" s="744" t="str">
        <f t="shared" si="951"/>
        <v/>
      </c>
      <c r="BJ2738" s="747" t="str">
        <f t="shared" si="958"/>
        <v/>
      </c>
      <c r="BK2738" s="498" t="str">
        <f t="shared" si="952"/>
        <v/>
      </c>
      <c r="BL2738" s="498" t="str">
        <f t="shared" si="953"/>
        <v/>
      </c>
    </row>
    <row r="2739" spans="1:64" x14ac:dyDescent="0.25">
      <c r="A2739" s="762">
        <f t="shared" si="954"/>
        <v>2734</v>
      </c>
      <c r="B2739" s="229"/>
      <c r="C2739" s="223"/>
      <c r="D2739" s="224"/>
      <c r="E2739" s="225"/>
      <c r="F2739" s="1036" t="str">
        <f t="shared" si="960"/>
        <v/>
      </c>
      <c r="G2739" s="1037" t="str">
        <f t="shared" si="955"/>
        <v/>
      </c>
      <c r="H2739" s="225"/>
      <c r="I2739" s="1013"/>
      <c r="J2739" s="1013"/>
      <c r="K2739" s="1028"/>
      <c r="L2739" s="1035" t="str">
        <f t="shared" si="959"/>
        <v/>
      </c>
      <c r="S2739" s="498"/>
      <c r="AJ2739" s="498"/>
      <c r="AM2739" s="498">
        <f t="shared" si="940"/>
        <v>0</v>
      </c>
      <c r="AN2739" s="498">
        <f t="shared" si="941"/>
        <v>0</v>
      </c>
      <c r="AO2739" s="498">
        <f t="shared" si="942"/>
        <v>0</v>
      </c>
      <c r="AP2739" s="498">
        <f t="shared" si="961"/>
        <v>0</v>
      </c>
      <c r="AQ2739" s="498">
        <f t="shared" si="956"/>
        <v>0</v>
      </c>
      <c r="AU2739" s="498">
        <f t="shared" si="943"/>
        <v>0</v>
      </c>
      <c r="AV2739" s="498">
        <f t="shared" si="944"/>
        <v>0</v>
      </c>
      <c r="AW2739" s="498">
        <f t="shared" si="945"/>
        <v>0</v>
      </c>
      <c r="AX2739" s="498">
        <f t="shared" si="946"/>
        <v>0</v>
      </c>
      <c r="AY2739" s="498">
        <f t="shared" si="947"/>
        <v>0</v>
      </c>
      <c r="BB2739" s="498" t="str">
        <f t="shared" si="948"/>
        <v/>
      </c>
      <c r="BC2739" s="743" t="str">
        <f t="shared" si="949"/>
        <v/>
      </c>
      <c r="BD2739" s="743" t="str">
        <f t="shared" si="950"/>
        <v/>
      </c>
      <c r="BE2739" s="743" t="str">
        <f>IF(D2739="","",VLOOKUP(D2739,'General Basis'!$J$39:$K$46,2,0))</f>
        <v/>
      </c>
      <c r="BF2739" s="744" t="str">
        <f>IF(D2739="","",VLOOKUP(D2739,'General Basis'!$J$39:$L$46,3,0))</f>
        <v/>
      </c>
      <c r="BG2739" s="744" t="str">
        <f t="shared" si="957"/>
        <v/>
      </c>
      <c r="BH2739" s="744" t="str">
        <f>IF(G2739="","",IF(BF2739="Abu Dhabi",IF(G2739&lt;18,'General Basis'!$C$39,IF(G2739&lt;41,'General Basis'!$C$40,IF(G2739&lt;60,'General Basis'!$C$41,IF(G2739&lt;65,'General Basis'!$C$42,'General Basis'!$C$43)))),IF(G2739&lt;11,'General Basis'!$B$39,IF(G2739&lt;18,'General Basis'!$B$40,IF(G2739&lt;26,'General Basis'!$B$41,IF(G2739&lt;31,'General Basis'!$B$42,IF(G2739&lt;36,'General Basis'!$B$43,IF(G2739&lt;41,'General Basis'!$B$44,IF(G2739&lt;46,'General Basis'!$B$45,IF(G2739&lt;51,'General Basis'!$B$46,IF(G2739&lt;56,'General Basis'!$B$47,IF(G2739&lt;60,'General Basis'!$B$48,IF(G2739&lt;65,'General Basis'!$B$49,'General Basis'!$B$50)))))))))))))</f>
        <v/>
      </c>
      <c r="BI2739" s="744" t="str">
        <f t="shared" si="951"/>
        <v/>
      </c>
      <c r="BJ2739" s="747" t="str">
        <f t="shared" si="958"/>
        <v/>
      </c>
      <c r="BK2739" s="498" t="str">
        <f t="shared" si="952"/>
        <v/>
      </c>
      <c r="BL2739" s="498" t="str">
        <f t="shared" si="953"/>
        <v/>
      </c>
    </row>
    <row r="2740" spans="1:64" x14ac:dyDescent="0.25">
      <c r="A2740" s="762">
        <f t="shared" si="954"/>
        <v>2735</v>
      </c>
      <c r="B2740" s="229"/>
      <c r="C2740" s="223"/>
      <c r="D2740" s="224"/>
      <c r="E2740" s="225"/>
      <c r="F2740" s="1036" t="str">
        <f t="shared" si="960"/>
        <v/>
      </c>
      <c r="G2740" s="1037" t="str">
        <f t="shared" si="955"/>
        <v/>
      </c>
      <c r="H2740" s="225"/>
      <c r="I2740" s="1013"/>
      <c r="J2740" s="1013"/>
      <c r="K2740" s="1028"/>
      <c r="L2740" s="1035" t="str">
        <f t="shared" si="959"/>
        <v/>
      </c>
      <c r="S2740" s="498"/>
      <c r="AJ2740" s="498"/>
      <c r="AM2740" s="498">
        <f t="shared" si="940"/>
        <v>0</v>
      </c>
      <c r="AN2740" s="498">
        <f t="shared" si="941"/>
        <v>0</v>
      </c>
      <c r="AO2740" s="498">
        <f t="shared" si="942"/>
        <v>0</v>
      </c>
      <c r="AP2740" s="498">
        <f t="shared" si="961"/>
        <v>0</v>
      </c>
      <c r="AQ2740" s="498">
        <f t="shared" si="956"/>
        <v>0</v>
      </c>
      <c r="AU2740" s="498">
        <f t="shared" si="943"/>
        <v>0</v>
      </c>
      <c r="AV2740" s="498">
        <f t="shared" si="944"/>
        <v>0</v>
      </c>
      <c r="AW2740" s="498">
        <f t="shared" si="945"/>
        <v>0</v>
      </c>
      <c r="AX2740" s="498">
        <f t="shared" si="946"/>
        <v>0</v>
      </c>
      <c r="AY2740" s="498">
        <f t="shared" si="947"/>
        <v>0</v>
      </c>
      <c r="BB2740" s="498" t="str">
        <f t="shared" si="948"/>
        <v/>
      </c>
      <c r="BC2740" s="743" t="str">
        <f t="shared" si="949"/>
        <v/>
      </c>
      <c r="BD2740" s="743" t="str">
        <f t="shared" si="950"/>
        <v/>
      </c>
      <c r="BE2740" s="743" t="str">
        <f>IF(D2740="","",VLOOKUP(D2740,'General Basis'!$J$39:$K$46,2,0))</f>
        <v/>
      </c>
      <c r="BF2740" s="744" t="str">
        <f>IF(D2740="","",VLOOKUP(D2740,'General Basis'!$J$39:$L$46,3,0))</f>
        <v/>
      </c>
      <c r="BG2740" s="744" t="str">
        <f t="shared" si="957"/>
        <v/>
      </c>
      <c r="BH2740" s="744" t="str">
        <f>IF(G2740="","",IF(BF2740="Abu Dhabi",IF(G2740&lt;18,'General Basis'!$C$39,IF(G2740&lt;41,'General Basis'!$C$40,IF(G2740&lt;60,'General Basis'!$C$41,IF(G2740&lt;65,'General Basis'!$C$42,'General Basis'!$C$43)))),IF(G2740&lt;11,'General Basis'!$B$39,IF(G2740&lt;18,'General Basis'!$B$40,IF(G2740&lt;26,'General Basis'!$B$41,IF(G2740&lt;31,'General Basis'!$B$42,IF(G2740&lt;36,'General Basis'!$B$43,IF(G2740&lt;41,'General Basis'!$B$44,IF(G2740&lt;46,'General Basis'!$B$45,IF(G2740&lt;51,'General Basis'!$B$46,IF(G2740&lt;56,'General Basis'!$B$47,IF(G2740&lt;60,'General Basis'!$B$48,IF(G2740&lt;65,'General Basis'!$B$49,'General Basis'!$B$50)))))))))))))</f>
        <v/>
      </c>
      <c r="BI2740" s="744" t="str">
        <f t="shared" si="951"/>
        <v/>
      </c>
      <c r="BJ2740" s="747" t="str">
        <f t="shared" si="958"/>
        <v/>
      </c>
      <c r="BK2740" s="498" t="str">
        <f t="shared" si="952"/>
        <v/>
      </c>
      <c r="BL2740" s="498" t="str">
        <f t="shared" si="953"/>
        <v/>
      </c>
    </row>
    <row r="2741" spans="1:64" x14ac:dyDescent="0.25">
      <c r="A2741" s="762">
        <f t="shared" si="954"/>
        <v>2736</v>
      </c>
      <c r="B2741" s="229"/>
      <c r="C2741" s="223"/>
      <c r="D2741" s="224"/>
      <c r="E2741" s="225"/>
      <c r="F2741" s="1036" t="str">
        <f t="shared" si="960"/>
        <v/>
      </c>
      <c r="G2741" s="1037" t="str">
        <f t="shared" si="955"/>
        <v/>
      </c>
      <c r="H2741" s="225"/>
      <c r="I2741" s="1013"/>
      <c r="J2741" s="1013"/>
      <c r="K2741" s="1028"/>
      <c r="L2741" s="1035" t="str">
        <f t="shared" si="959"/>
        <v/>
      </c>
      <c r="S2741" s="498"/>
      <c r="AJ2741" s="498"/>
      <c r="AM2741" s="498">
        <f t="shared" si="940"/>
        <v>0</v>
      </c>
      <c r="AN2741" s="498">
        <f t="shared" si="941"/>
        <v>0</v>
      </c>
      <c r="AO2741" s="498">
        <f t="shared" si="942"/>
        <v>0</v>
      </c>
      <c r="AP2741" s="498">
        <f t="shared" si="961"/>
        <v>0</v>
      </c>
      <c r="AQ2741" s="498">
        <f t="shared" si="956"/>
        <v>0</v>
      </c>
      <c r="AU2741" s="498">
        <f t="shared" si="943"/>
        <v>0</v>
      </c>
      <c r="AV2741" s="498">
        <f t="shared" si="944"/>
        <v>0</v>
      </c>
      <c r="AW2741" s="498">
        <f t="shared" si="945"/>
        <v>0</v>
      </c>
      <c r="AX2741" s="498">
        <f t="shared" si="946"/>
        <v>0</v>
      </c>
      <c r="AY2741" s="498">
        <f t="shared" si="947"/>
        <v>0</v>
      </c>
      <c r="BB2741" s="498" t="str">
        <f t="shared" si="948"/>
        <v/>
      </c>
      <c r="BC2741" s="743" t="str">
        <f t="shared" si="949"/>
        <v/>
      </c>
      <c r="BD2741" s="743" t="str">
        <f t="shared" si="950"/>
        <v/>
      </c>
      <c r="BE2741" s="743" t="str">
        <f>IF(D2741="","",VLOOKUP(D2741,'General Basis'!$J$39:$K$46,2,0))</f>
        <v/>
      </c>
      <c r="BF2741" s="744" t="str">
        <f>IF(D2741="","",VLOOKUP(D2741,'General Basis'!$J$39:$L$46,3,0))</f>
        <v/>
      </c>
      <c r="BG2741" s="744" t="str">
        <f t="shared" si="957"/>
        <v/>
      </c>
      <c r="BH2741" s="744" t="str">
        <f>IF(G2741="","",IF(BF2741="Abu Dhabi",IF(G2741&lt;18,'General Basis'!$C$39,IF(G2741&lt;41,'General Basis'!$C$40,IF(G2741&lt;60,'General Basis'!$C$41,IF(G2741&lt;65,'General Basis'!$C$42,'General Basis'!$C$43)))),IF(G2741&lt;11,'General Basis'!$B$39,IF(G2741&lt;18,'General Basis'!$B$40,IF(G2741&lt;26,'General Basis'!$B$41,IF(G2741&lt;31,'General Basis'!$B$42,IF(G2741&lt;36,'General Basis'!$B$43,IF(G2741&lt;41,'General Basis'!$B$44,IF(G2741&lt;46,'General Basis'!$B$45,IF(G2741&lt;51,'General Basis'!$B$46,IF(G2741&lt;56,'General Basis'!$B$47,IF(G2741&lt;60,'General Basis'!$B$48,IF(G2741&lt;65,'General Basis'!$B$49,'General Basis'!$B$50)))))))))))))</f>
        <v/>
      </c>
      <c r="BI2741" s="744" t="str">
        <f t="shared" si="951"/>
        <v/>
      </c>
      <c r="BJ2741" s="747" t="str">
        <f t="shared" si="958"/>
        <v/>
      </c>
      <c r="BK2741" s="498" t="str">
        <f t="shared" si="952"/>
        <v/>
      </c>
      <c r="BL2741" s="498" t="str">
        <f t="shared" si="953"/>
        <v/>
      </c>
    </row>
    <row r="2742" spans="1:64" x14ac:dyDescent="0.25">
      <c r="A2742" s="762">
        <f t="shared" si="954"/>
        <v>2737</v>
      </c>
      <c r="B2742" s="229"/>
      <c r="C2742" s="223"/>
      <c r="D2742" s="224"/>
      <c r="E2742" s="225"/>
      <c r="F2742" s="1036" t="str">
        <f t="shared" si="960"/>
        <v/>
      </c>
      <c r="G2742" s="1037" t="str">
        <f t="shared" si="955"/>
        <v/>
      </c>
      <c r="H2742" s="225"/>
      <c r="I2742" s="1013"/>
      <c r="J2742" s="1013"/>
      <c r="K2742" s="1028"/>
      <c r="L2742" s="1035" t="str">
        <f t="shared" si="959"/>
        <v/>
      </c>
      <c r="S2742" s="498"/>
      <c r="AJ2742" s="498"/>
      <c r="AM2742" s="498">
        <f t="shared" si="940"/>
        <v>0</v>
      </c>
      <c r="AN2742" s="498">
        <f t="shared" si="941"/>
        <v>0</v>
      </c>
      <c r="AO2742" s="498">
        <f t="shared" si="942"/>
        <v>0</v>
      </c>
      <c r="AP2742" s="498">
        <f t="shared" si="961"/>
        <v>0</v>
      </c>
      <c r="AQ2742" s="498">
        <f t="shared" si="956"/>
        <v>0</v>
      </c>
      <c r="AU2742" s="498">
        <f t="shared" si="943"/>
        <v>0</v>
      </c>
      <c r="AV2742" s="498">
        <f t="shared" si="944"/>
        <v>0</v>
      </c>
      <c r="AW2742" s="498">
        <f t="shared" si="945"/>
        <v>0</v>
      </c>
      <c r="AX2742" s="498">
        <f t="shared" si="946"/>
        <v>0</v>
      </c>
      <c r="AY2742" s="498">
        <f t="shared" si="947"/>
        <v>0</v>
      </c>
      <c r="BB2742" s="498" t="str">
        <f t="shared" si="948"/>
        <v/>
      </c>
      <c r="BC2742" s="743" t="str">
        <f t="shared" si="949"/>
        <v/>
      </c>
      <c r="BD2742" s="743" t="str">
        <f t="shared" si="950"/>
        <v/>
      </c>
      <c r="BE2742" s="743" t="str">
        <f>IF(D2742="","",VLOOKUP(D2742,'General Basis'!$J$39:$K$46,2,0))</f>
        <v/>
      </c>
      <c r="BF2742" s="744" t="str">
        <f>IF(D2742="","",VLOOKUP(D2742,'General Basis'!$J$39:$L$46,3,0))</f>
        <v/>
      </c>
      <c r="BG2742" s="744" t="str">
        <f t="shared" si="957"/>
        <v/>
      </c>
      <c r="BH2742" s="744" t="str">
        <f>IF(G2742="","",IF(BF2742="Abu Dhabi",IF(G2742&lt;18,'General Basis'!$C$39,IF(G2742&lt;41,'General Basis'!$C$40,IF(G2742&lt;60,'General Basis'!$C$41,IF(G2742&lt;65,'General Basis'!$C$42,'General Basis'!$C$43)))),IF(G2742&lt;11,'General Basis'!$B$39,IF(G2742&lt;18,'General Basis'!$B$40,IF(G2742&lt;26,'General Basis'!$B$41,IF(G2742&lt;31,'General Basis'!$B$42,IF(G2742&lt;36,'General Basis'!$B$43,IF(G2742&lt;41,'General Basis'!$B$44,IF(G2742&lt;46,'General Basis'!$B$45,IF(G2742&lt;51,'General Basis'!$B$46,IF(G2742&lt;56,'General Basis'!$B$47,IF(G2742&lt;60,'General Basis'!$B$48,IF(G2742&lt;65,'General Basis'!$B$49,'General Basis'!$B$50)))))))))))))</f>
        <v/>
      </c>
      <c r="BI2742" s="744" t="str">
        <f t="shared" si="951"/>
        <v/>
      </c>
      <c r="BJ2742" s="747" t="str">
        <f t="shared" si="958"/>
        <v/>
      </c>
      <c r="BK2742" s="498" t="str">
        <f t="shared" si="952"/>
        <v/>
      </c>
      <c r="BL2742" s="498" t="str">
        <f t="shared" si="953"/>
        <v/>
      </c>
    </row>
    <row r="2743" spans="1:64" x14ac:dyDescent="0.25">
      <c r="A2743" s="762">
        <f t="shared" si="954"/>
        <v>2738</v>
      </c>
      <c r="B2743" s="229"/>
      <c r="C2743" s="223"/>
      <c r="D2743" s="224"/>
      <c r="E2743" s="225"/>
      <c r="F2743" s="1036" t="str">
        <f t="shared" si="960"/>
        <v/>
      </c>
      <c r="G2743" s="1037" t="str">
        <f t="shared" si="955"/>
        <v/>
      </c>
      <c r="H2743" s="225"/>
      <c r="I2743" s="1013"/>
      <c r="J2743" s="1013"/>
      <c r="K2743" s="1028"/>
      <c r="L2743" s="1035" t="str">
        <f t="shared" si="959"/>
        <v/>
      </c>
      <c r="S2743" s="498"/>
      <c r="AJ2743" s="498"/>
      <c r="AM2743" s="498">
        <f t="shared" si="940"/>
        <v>0</v>
      </c>
      <c r="AN2743" s="498">
        <f t="shared" si="941"/>
        <v>0</v>
      </c>
      <c r="AO2743" s="498">
        <f t="shared" si="942"/>
        <v>0</v>
      </c>
      <c r="AP2743" s="498">
        <f t="shared" si="961"/>
        <v>0</v>
      </c>
      <c r="AQ2743" s="498">
        <f t="shared" si="956"/>
        <v>0</v>
      </c>
      <c r="AU2743" s="498">
        <f t="shared" si="943"/>
        <v>0</v>
      </c>
      <c r="AV2743" s="498">
        <f t="shared" si="944"/>
        <v>0</v>
      </c>
      <c r="AW2743" s="498">
        <f t="shared" si="945"/>
        <v>0</v>
      </c>
      <c r="AX2743" s="498">
        <f t="shared" si="946"/>
        <v>0</v>
      </c>
      <c r="AY2743" s="498">
        <f t="shared" si="947"/>
        <v>0</v>
      </c>
      <c r="BB2743" s="498" t="str">
        <f t="shared" si="948"/>
        <v/>
      </c>
      <c r="BC2743" s="743" t="str">
        <f t="shared" si="949"/>
        <v/>
      </c>
      <c r="BD2743" s="743" t="str">
        <f t="shared" si="950"/>
        <v/>
      </c>
      <c r="BE2743" s="743" t="str">
        <f>IF(D2743="","",VLOOKUP(D2743,'General Basis'!$J$39:$K$46,2,0))</f>
        <v/>
      </c>
      <c r="BF2743" s="744" t="str">
        <f>IF(D2743="","",VLOOKUP(D2743,'General Basis'!$J$39:$L$46,3,0))</f>
        <v/>
      </c>
      <c r="BG2743" s="744" t="str">
        <f t="shared" si="957"/>
        <v/>
      </c>
      <c r="BH2743" s="744" t="str">
        <f>IF(G2743="","",IF(BF2743="Abu Dhabi",IF(G2743&lt;18,'General Basis'!$C$39,IF(G2743&lt;41,'General Basis'!$C$40,IF(G2743&lt;60,'General Basis'!$C$41,IF(G2743&lt;65,'General Basis'!$C$42,'General Basis'!$C$43)))),IF(G2743&lt;11,'General Basis'!$B$39,IF(G2743&lt;18,'General Basis'!$B$40,IF(G2743&lt;26,'General Basis'!$B$41,IF(G2743&lt;31,'General Basis'!$B$42,IF(G2743&lt;36,'General Basis'!$B$43,IF(G2743&lt;41,'General Basis'!$B$44,IF(G2743&lt;46,'General Basis'!$B$45,IF(G2743&lt;51,'General Basis'!$B$46,IF(G2743&lt;56,'General Basis'!$B$47,IF(G2743&lt;60,'General Basis'!$B$48,IF(G2743&lt;65,'General Basis'!$B$49,'General Basis'!$B$50)))))))))))))</f>
        <v/>
      </c>
      <c r="BI2743" s="744" t="str">
        <f t="shared" si="951"/>
        <v/>
      </c>
      <c r="BJ2743" s="747" t="str">
        <f t="shared" si="958"/>
        <v/>
      </c>
      <c r="BK2743" s="498" t="str">
        <f t="shared" si="952"/>
        <v/>
      </c>
      <c r="BL2743" s="498" t="str">
        <f t="shared" si="953"/>
        <v/>
      </c>
    </row>
    <row r="2744" spans="1:64" x14ac:dyDescent="0.25">
      <c r="A2744" s="762">
        <f t="shared" si="954"/>
        <v>2739</v>
      </c>
      <c r="B2744" s="229"/>
      <c r="C2744" s="223"/>
      <c r="D2744" s="224"/>
      <c r="E2744" s="225"/>
      <c r="F2744" s="1036" t="str">
        <f t="shared" si="960"/>
        <v/>
      </c>
      <c r="G2744" s="1037" t="str">
        <f t="shared" si="955"/>
        <v/>
      </c>
      <c r="H2744" s="225"/>
      <c r="I2744" s="1013"/>
      <c r="J2744" s="1013"/>
      <c r="K2744" s="1028"/>
      <c r="L2744" s="1035" t="str">
        <f t="shared" si="959"/>
        <v/>
      </c>
      <c r="S2744" s="498"/>
      <c r="AJ2744" s="498"/>
      <c r="AM2744" s="498">
        <f t="shared" si="940"/>
        <v>0</v>
      </c>
      <c r="AN2744" s="498">
        <f t="shared" si="941"/>
        <v>0</v>
      </c>
      <c r="AO2744" s="498">
        <f t="shared" si="942"/>
        <v>0</v>
      </c>
      <c r="AP2744" s="498">
        <f t="shared" si="961"/>
        <v>0</v>
      </c>
      <c r="AQ2744" s="498">
        <f t="shared" si="956"/>
        <v>0</v>
      </c>
      <c r="AU2744" s="498">
        <f t="shared" si="943"/>
        <v>0</v>
      </c>
      <c r="AV2744" s="498">
        <f t="shared" si="944"/>
        <v>0</v>
      </c>
      <c r="AW2744" s="498">
        <f t="shared" si="945"/>
        <v>0</v>
      </c>
      <c r="AX2744" s="498">
        <f t="shared" si="946"/>
        <v>0</v>
      </c>
      <c r="AY2744" s="498">
        <f t="shared" si="947"/>
        <v>0</v>
      </c>
      <c r="BB2744" s="498" t="str">
        <f t="shared" si="948"/>
        <v/>
      </c>
      <c r="BC2744" s="743" t="str">
        <f t="shared" si="949"/>
        <v/>
      </c>
      <c r="BD2744" s="743" t="str">
        <f t="shared" si="950"/>
        <v/>
      </c>
      <c r="BE2744" s="743" t="str">
        <f>IF(D2744="","",VLOOKUP(D2744,'General Basis'!$J$39:$K$46,2,0))</f>
        <v/>
      </c>
      <c r="BF2744" s="744" t="str">
        <f>IF(D2744="","",VLOOKUP(D2744,'General Basis'!$J$39:$L$46,3,0))</f>
        <v/>
      </c>
      <c r="BG2744" s="744" t="str">
        <f t="shared" si="957"/>
        <v/>
      </c>
      <c r="BH2744" s="744" t="str">
        <f>IF(G2744="","",IF(BF2744="Abu Dhabi",IF(G2744&lt;18,'General Basis'!$C$39,IF(G2744&lt;41,'General Basis'!$C$40,IF(G2744&lt;60,'General Basis'!$C$41,IF(G2744&lt;65,'General Basis'!$C$42,'General Basis'!$C$43)))),IF(G2744&lt;11,'General Basis'!$B$39,IF(G2744&lt;18,'General Basis'!$B$40,IF(G2744&lt;26,'General Basis'!$B$41,IF(G2744&lt;31,'General Basis'!$B$42,IF(G2744&lt;36,'General Basis'!$B$43,IF(G2744&lt;41,'General Basis'!$B$44,IF(G2744&lt;46,'General Basis'!$B$45,IF(G2744&lt;51,'General Basis'!$B$46,IF(G2744&lt;56,'General Basis'!$B$47,IF(G2744&lt;60,'General Basis'!$B$48,IF(G2744&lt;65,'General Basis'!$B$49,'General Basis'!$B$50)))))))))))))</f>
        <v/>
      </c>
      <c r="BI2744" s="744" t="str">
        <f t="shared" si="951"/>
        <v/>
      </c>
      <c r="BJ2744" s="747" t="str">
        <f t="shared" si="958"/>
        <v/>
      </c>
      <c r="BK2744" s="498" t="str">
        <f t="shared" si="952"/>
        <v/>
      </c>
      <c r="BL2744" s="498" t="str">
        <f t="shared" si="953"/>
        <v/>
      </c>
    </row>
    <row r="2745" spans="1:64" x14ac:dyDescent="0.25">
      <c r="A2745" s="762">
        <f t="shared" si="954"/>
        <v>2740</v>
      </c>
      <c r="B2745" s="229"/>
      <c r="C2745" s="223"/>
      <c r="D2745" s="224"/>
      <c r="E2745" s="225"/>
      <c r="F2745" s="1036" t="str">
        <f t="shared" si="960"/>
        <v/>
      </c>
      <c r="G2745" s="1037" t="str">
        <f t="shared" si="955"/>
        <v/>
      </c>
      <c r="H2745" s="225"/>
      <c r="I2745" s="1013"/>
      <c r="J2745" s="1013"/>
      <c r="K2745" s="1028"/>
      <c r="L2745" s="1035" t="str">
        <f t="shared" si="959"/>
        <v/>
      </c>
      <c r="S2745" s="498"/>
      <c r="AJ2745" s="498"/>
      <c r="AM2745" s="498">
        <f t="shared" si="940"/>
        <v>0</v>
      </c>
      <c r="AN2745" s="498">
        <f t="shared" si="941"/>
        <v>0</v>
      </c>
      <c r="AO2745" s="498">
        <f t="shared" si="942"/>
        <v>0</v>
      </c>
      <c r="AP2745" s="498">
        <f t="shared" si="961"/>
        <v>0</v>
      </c>
      <c r="AQ2745" s="498">
        <f t="shared" si="956"/>
        <v>0</v>
      </c>
      <c r="AU2745" s="498">
        <f t="shared" si="943"/>
        <v>0</v>
      </c>
      <c r="AV2745" s="498">
        <f t="shared" si="944"/>
        <v>0</v>
      </c>
      <c r="AW2745" s="498">
        <f t="shared" si="945"/>
        <v>0</v>
      </c>
      <c r="AX2745" s="498">
        <f t="shared" si="946"/>
        <v>0</v>
      </c>
      <c r="AY2745" s="498">
        <f t="shared" si="947"/>
        <v>0</v>
      </c>
      <c r="BB2745" s="498" t="str">
        <f t="shared" si="948"/>
        <v/>
      </c>
      <c r="BC2745" s="743" t="str">
        <f t="shared" si="949"/>
        <v/>
      </c>
      <c r="BD2745" s="743" t="str">
        <f t="shared" si="950"/>
        <v/>
      </c>
      <c r="BE2745" s="743" t="str">
        <f>IF(D2745="","",VLOOKUP(D2745,'General Basis'!$J$39:$K$46,2,0))</f>
        <v/>
      </c>
      <c r="BF2745" s="744" t="str">
        <f>IF(D2745="","",VLOOKUP(D2745,'General Basis'!$J$39:$L$46,3,0))</f>
        <v/>
      </c>
      <c r="BG2745" s="744" t="str">
        <f t="shared" si="957"/>
        <v/>
      </c>
      <c r="BH2745" s="744" t="str">
        <f>IF(G2745="","",IF(BF2745="Abu Dhabi",IF(G2745&lt;18,'General Basis'!$C$39,IF(G2745&lt;41,'General Basis'!$C$40,IF(G2745&lt;60,'General Basis'!$C$41,IF(G2745&lt;65,'General Basis'!$C$42,'General Basis'!$C$43)))),IF(G2745&lt;11,'General Basis'!$B$39,IF(G2745&lt;18,'General Basis'!$B$40,IF(G2745&lt;26,'General Basis'!$B$41,IF(G2745&lt;31,'General Basis'!$B$42,IF(G2745&lt;36,'General Basis'!$B$43,IF(G2745&lt;41,'General Basis'!$B$44,IF(G2745&lt;46,'General Basis'!$B$45,IF(G2745&lt;51,'General Basis'!$B$46,IF(G2745&lt;56,'General Basis'!$B$47,IF(G2745&lt;60,'General Basis'!$B$48,IF(G2745&lt;65,'General Basis'!$B$49,'General Basis'!$B$50)))))))))))))</f>
        <v/>
      </c>
      <c r="BI2745" s="744" t="str">
        <f t="shared" si="951"/>
        <v/>
      </c>
      <c r="BJ2745" s="747" t="str">
        <f t="shared" si="958"/>
        <v/>
      </c>
      <c r="BK2745" s="498" t="str">
        <f t="shared" si="952"/>
        <v/>
      </c>
      <c r="BL2745" s="498" t="str">
        <f t="shared" si="953"/>
        <v/>
      </c>
    </row>
    <row r="2746" spans="1:64" x14ac:dyDescent="0.25">
      <c r="A2746" s="762">
        <f t="shared" si="954"/>
        <v>2741</v>
      </c>
      <c r="B2746" s="229"/>
      <c r="C2746" s="223"/>
      <c r="D2746" s="224"/>
      <c r="E2746" s="225"/>
      <c r="F2746" s="1036" t="str">
        <f t="shared" si="960"/>
        <v/>
      </c>
      <c r="G2746" s="1037" t="str">
        <f t="shared" si="955"/>
        <v/>
      </c>
      <c r="H2746" s="225"/>
      <c r="I2746" s="1013"/>
      <c r="J2746" s="1013"/>
      <c r="K2746" s="1028"/>
      <c r="L2746" s="1035" t="str">
        <f t="shared" si="959"/>
        <v/>
      </c>
      <c r="S2746" s="498"/>
      <c r="AJ2746" s="498"/>
      <c r="AM2746" s="498">
        <f t="shared" si="940"/>
        <v>0</v>
      </c>
      <c r="AN2746" s="498">
        <f t="shared" si="941"/>
        <v>0</v>
      </c>
      <c r="AO2746" s="498">
        <f t="shared" si="942"/>
        <v>0</v>
      </c>
      <c r="AP2746" s="498">
        <f t="shared" si="961"/>
        <v>0</v>
      </c>
      <c r="AQ2746" s="498">
        <f t="shared" si="956"/>
        <v>0</v>
      </c>
      <c r="AU2746" s="498">
        <f t="shared" si="943"/>
        <v>0</v>
      </c>
      <c r="AV2746" s="498">
        <f t="shared" si="944"/>
        <v>0</v>
      </c>
      <c r="AW2746" s="498">
        <f t="shared" si="945"/>
        <v>0</v>
      </c>
      <c r="AX2746" s="498">
        <f t="shared" si="946"/>
        <v>0</v>
      </c>
      <c r="AY2746" s="498">
        <f t="shared" si="947"/>
        <v>0</v>
      </c>
      <c r="BB2746" s="498" t="str">
        <f t="shared" si="948"/>
        <v/>
      </c>
      <c r="BC2746" s="743" t="str">
        <f t="shared" si="949"/>
        <v/>
      </c>
      <c r="BD2746" s="743" t="str">
        <f t="shared" si="950"/>
        <v/>
      </c>
      <c r="BE2746" s="743" t="str">
        <f>IF(D2746="","",VLOOKUP(D2746,'General Basis'!$J$39:$K$46,2,0))</f>
        <v/>
      </c>
      <c r="BF2746" s="744" t="str">
        <f>IF(D2746="","",VLOOKUP(D2746,'General Basis'!$J$39:$L$46,3,0))</f>
        <v/>
      </c>
      <c r="BG2746" s="744" t="str">
        <f t="shared" si="957"/>
        <v/>
      </c>
      <c r="BH2746" s="744" t="str">
        <f>IF(G2746="","",IF(BF2746="Abu Dhabi",IF(G2746&lt;18,'General Basis'!$C$39,IF(G2746&lt;41,'General Basis'!$C$40,IF(G2746&lt;60,'General Basis'!$C$41,IF(G2746&lt;65,'General Basis'!$C$42,'General Basis'!$C$43)))),IF(G2746&lt;11,'General Basis'!$B$39,IF(G2746&lt;18,'General Basis'!$B$40,IF(G2746&lt;26,'General Basis'!$B$41,IF(G2746&lt;31,'General Basis'!$B$42,IF(G2746&lt;36,'General Basis'!$B$43,IF(G2746&lt;41,'General Basis'!$B$44,IF(G2746&lt;46,'General Basis'!$B$45,IF(G2746&lt;51,'General Basis'!$B$46,IF(G2746&lt;56,'General Basis'!$B$47,IF(G2746&lt;60,'General Basis'!$B$48,IF(G2746&lt;65,'General Basis'!$B$49,'General Basis'!$B$50)))))))))))))</f>
        <v/>
      </c>
      <c r="BI2746" s="744" t="str">
        <f t="shared" si="951"/>
        <v/>
      </c>
      <c r="BJ2746" s="747" t="str">
        <f t="shared" si="958"/>
        <v/>
      </c>
      <c r="BK2746" s="498" t="str">
        <f t="shared" si="952"/>
        <v/>
      </c>
      <c r="BL2746" s="498" t="str">
        <f t="shared" si="953"/>
        <v/>
      </c>
    </row>
    <row r="2747" spans="1:64" x14ac:dyDescent="0.25">
      <c r="A2747" s="762">
        <f t="shared" si="954"/>
        <v>2742</v>
      </c>
      <c r="B2747" s="229"/>
      <c r="C2747" s="223"/>
      <c r="D2747" s="224"/>
      <c r="E2747" s="225"/>
      <c r="F2747" s="1036" t="str">
        <f t="shared" si="960"/>
        <v/>
      </c>
      <c r="G2747" s="1037" t="str">
        <f t="shared" si="955"/>
        <v/>
      </c>
      <c r="H2747" s="225"/>
      <c r="I2747" s="1013"/>
      <c r="J2747" s="1013"/>
      <c r="K2747" s="1028"/>
      <c r="L2747" s="1035" t="str">
        <f t="shared" si="959"/>
        <v/>
      </c>
      <c r="S2747" s="498"/>
      <c r="AJ2747" s="498"/>
      <c r="AM2747" s="498">
        <f t="shared" si="940"/>
        <v>0</v>
      </c>
      <c r="AN2747" s="498">
        <f t="shared" si="941"/>
        <v>0</v>
      </c>
      <c r="AO2747" s="498">
        <f t="shared" si="942"/>
        <v>0</v>
      </c>
      <c r="AP2747" s="498">
        <f t="shared" si="961"/>
        <v>0</v>
      </c>
      <c r="AQ2747" s="498">
        <f t="shared" si="956"/>
        <v>0</v>
      </c>
      <c r="AU2747" s="498">
        <f t="shared" si="943"/>
        <v>0</v>
      </c>
      <c r="AV2747" s="498">
        <f t="shared" si="944"/>
        <v>0</v>
      </c>
      <c r="AW2747" s="498">
        <f t="shared" si="945"/>
        <v>0</v>
      </c>
      <c r="AX2747" s="498">
        <f t="shared" si="946"/>
        <v>0</v>
      </c>
      <c r="AY2747" s="498">
        <f t="shared" si="947"/>
        <v>0</v>
      </c>
      <c r="BB2747" s="498" t="str">
        <f t="shared" si="948"/>
        <v/>
      </c>
      <c r="BC2747" s="743" t="str">
        <f t="shared" si="949"/>
        <v/>
      </c>
      <c r="BD2747" s="743" t="str">
        <f t="shared" si="950"/>
        <v/>
      </c>
      <c r="BE2747" s="743" t="str">
        <f>IF(D2747="","",VLOOKUP(D2747,'General Basis'!$J$39:$K$46,2,0))</f>
        <v/>
      </c>
      <c r="BF2747" s="744" t="str">
        <f>IF(D2747="","",VLOOKUP(D2747,'General Basis'!$J$39:$L$46,3,0))</f>
        <v/>
      </c>
      <c r="BG2747" s="744" t="str">
        <f t="shared" si="957"/>
        <v/>
      </c>
      <c r="BH2747" s="744" t="str">
        <f>IF(G2747="","",IF(BF2747="Abu Dhabi",IF(G2747&lt;18,'General Basis'!$C$39,IF(G2747&lt;41,'General Basis'!$C$40,IF(G2747&lt;60,'General Basis'!$C$41,IF(G2747&lt;65,'General Basis'!$C$42,'General Basis'!$C$43)))),IF(G2747&lt;11,'General Basis'!$B$39,IF(G2747&lt;18,'General Basis'!$B$40,IF(G2747&lt;26,'General Basis'!$B$41,IF(G2747&lt;31,'General Basis'!$B$42,IF(G2747&lt;36,'General Basis'!$B$43,IF(G2747&lt;41,'General Basis'!$B$44,IF(G2747&lt;46,'General Basis'!$B$45,IF(G2747&lt;51,'General Basis'!$B$46,IF(G2747&lt;56,'General Basis'!$B$47,IF(G2747&lt;60,'General Basis'!$B$48,IF(G2747&lt;65,'General Basis'!$B$49,'General Basis'!$B$50)))))))))))))</f>
        <v/>
      </c>
      <c r="BI2747" s="744" t="str">
        <f t="shared" si="951"/>
        <v/>
      </c>
      <c r="BJ2747" s="747" t="str">
        <f t="shared" si="958"/>
        <v/>
      </c>
      <c r="BK2747" s="498" t="str">
        <f t="shared" si="952"/>
        <v/>
      </c>
      <c r="BL2747" s="498" t="str">
        <f t="shared" si="953"/>
        <v/>
      </c>
    </row>
    <row r="2748" spans="1:64" x14ac:dyDescent="0.25">
      <c r="A2748" s="762">
        <f t="shared" si="954"/>
        <v>2743</v>
      </c>
      <c r="B2748" s="229"/>
      <c r="C2748" s="223"/>
      <c r="D2748" s="224"/>
      <c r="E2748" s="225"/>
      <c r="F2748" s="1036" t="str">
        <f t="shared" si="960"/>
        <v/>
      </c>
      <c r="G2748" s="1037" t="str">
        <f t="shared" si="955"/>
        <v/>
      </c>
      <c r="H2748" s="225"/>
      <c r="I2748" s="1013"/>
      <c r="J2748" s="1013"/>
      <c r="K2748" s="1028"/>
      <c r="L2748" s="1035" t="str">
        <f t="shared" si="959"/>
        <v/>
      </c>
      <c r="S2748" s="498"/>
      <c r="AJ2748" s="498"/>
      <c r="AM2748" s="498">
        <f t="shared" si="940"/>
        <v>0</v>
      </c>
      <c r="AN2748" s="498">
        <f t="shared" si="941"/>
        <v>0</v>
      </c>
      <c r="AO2748" s="498">
        <f t="shared" si="942"/>
        <v>0</v>
      </c>
      <c r="AP2748" s="498">
        <f t="shared" si="961"/>
        <v>0</v>
      </c>
      <c r="AQ2748" s="498">
        <f t="shared" si="956"/>
        <v>0</v>
      </c>
      <c r="AU2748" s="498">
        <f t="shared" si="943"/>
        <v>0</v>
      </c>
      <c r="AV2748" s="498">
        <f t="shared" si="944"/>
        <v>0</v>
      </c>
      <c r="AW2748" s="498">
        <f t="shared" si="945"/>
        <v>0</v>
      </c>
      <c r="AX2748" s="498">
        <f t="shared" si="946"/>
        <v>0</v>
      </c>
      <c r="AY2748" s="498">
        <f t="shared" si="947"/>
        <v>0</v>
      </c>
      <c r="BB2748" s="498" t="str">
        <f t="shared" si="948"/>
        <v/>
      </c>
      <c r="BC2748" s="743" t="str">
        <f t="shared" si="949"/>
        <v/>
      </c>
      <c r="BD2748" s="743" t="str">
        <f t="shared" si="950"/>
        <v/>
      </c>
      <c r="BE2748" s="743" t="str">
        <f>IF(D2748="","",VLOOKUP(D2748,'General Basis'!$J$39:$K$46,2,0))</f>
        <v/>
      </c>
      <c r="BF2748" s="744" t="str">
        <f>IF(D2748="","",VLOOKUP(D2748,'General Basis'!$J$39:$L$46,3,0))</f>
        <v/>
      </c>
      <c r="BG2748" s="744" t="str">
        <f t="shared" si="957"/>
        <v/>
      </c>
      <c r="BH2748" s="744" t="str">
        <f>IF(G2748="","",IF(BF2748="Abu Dhabi",IF(G2748&lt;18,'General Basis'!$C$39,IF(G2748&lt;41,'General Basis'!$C$40,IF(G2748&lt;60,'General Basis'!$C$41,IF(G2748&lt;65,'General Basis'!$C$42,'General Basis'!$C$43)))),IF(G2748&lt;11,'General Basis'!$B$39,IF(G2748&lt;18,'General Basis'!$B$40,IF(G2748&lt;26,'General Basis'!$B$41,IF(G2748&lt;31,'General Basis'!$B$42,IF(G2748&lt;36,'General Basis'!$B$43,IF(G2748&lt;41,'General Basis'!$B$44,IF(G2748&lt;46,'General Basis'!$B$45,IF(G2748&lt;51,'General Basis'!$B$46,IF(G2748&lt;56,'General Basis'!$B$47,IF(G2748&lt;60,'General Basis'!$B$48,IF(G2748&lt;65,'General Basis'!$B$49,'General Basis'!$B$50)))))))))))))</f>
        <v/>
      </c>
      <c r="BI2748" s="744" t="str">
        <f t="shared" si="951"/>
        <v/>
      </c>
      <c r="BJ2748" s="747" t="str">
        <f t="shared" si="958"/>
        <v/>
      </c>
      <c r="BK2748" s="498" t="str">
        <f t="shared" si="952"/>
        <v/>
      </c>
      <c r="BL2748" s="498" t="str">
        <f t="shared" si="953"/>
        <v/>
      </c>
    </row>
    <row r="2749" spans="1:64" x14ac:dyDescent="0.25">
      <c r="A2749" s="762">
        <f t="shared" si="954"/>
        <v>2744</v>
      </c>
      <c r="B2749" s="229"/>
      <c r="C2749" s="223"/>
      <c r="D2749" s="224"/>
      <c r="E2749" s="225"/>
      <c r="F2749" s="1036" t="str">
        <f t="shared" si="960"/>
        <v/>
      </c>
      <c r="G2749" s="1037" t="str">
        <f t="shared" si="955"/>
        <v/>
      </c>
      <c r="H2749" s="225"/>
      <c r="I2749" s="1013"/>
      <c r="J2749" s="1013"/>
      <c r="K2749" s="1028"/>
      <c r="L2749" s="1035" t="str">
        <f t="shared" si="959"/>
        <v/>
      </c>
      <c r="S2749" s="498"/>
      <c r="AJ2749" s="498"/>
      <c r="AM2749" s="498">
        <f t="shared" si="940"/>
        <v>0</v>
      </c>
      <c r="AN2749" s="498">
        <f t="shared" si="941"/>
        <v>0</v>
      </c>
      <c r="AO2749" s="498">
        <f t="shared" si="942"/>
        <v>0</v>
      </c>
      <c r="AP2749" s="498">
        <f t="shared" si="961"/>
        <v>0</v>
      </c>
      <c r="AQ2749" s="498">
        <f t="shared" si="956"/>
        <v>0</v>
      </c>
      <c r="AU2749" s="498">
        <f t="shared" si="943"/>
        <v>0</v>
      </c>
      <c r="AV2749" s="498">
        <f t="shared" si="944"/>
        <v>0</v>
      </c>
      <c r="AW2749" s="498">
        <f t="shared" si="945"/>
        <v>0</v>
      </c>
      <c r="AX2749" s="498">
        <f t="shared" si="946"/>
        <v>0</v>
      </c>
      <c r="AY2749" s="498">
        <f t="shared" si="947"/>
        <v>0</v>
      </c>
      <c r="BB2749" s="498" t="str">
        <f t="shared" si="948"/>
        <v/>
      </c>
      <c r="BC2749" s="743" t="str">
        <f t="shared" si="949"/>
        <v/>
      </c>
      <c r="BD2749" s="743" t="str">
        <f t="shared" si="950"/>
        <v/>
      </c>
      <c r="BE2749" s="743" t="str">
        <f>IF(D2749="","",VLOOKUP(D2749,'General Basis'!$J$39:$K$46,2,0))</f>
        <v/>
      </c>
      <c r="BF2749" s="744" t="str">
        <f>IF(D2749="","",VLOOKUP(D2749,'General Basis'!$J$39:$L$46,3,0))</f>
        <v/>
      </c>
      <c r="BG2749" s="744" t="str">
        <f t="shared" si="957"/>
        <v/>
      </c>
      <c r="BH2749" s="744" t="str">
        <f>IF(G2749="","",IF(BF2749="Abu Dhabi",IF(G2749&lt;18,'General Basis'!$C$39,IF(G2749&lt;41,'General Basis'!$C$40,IF(G2749&lt;60,'General Basis'!$C$41,IF(G2749&lt;65,'General Basis'!$C$42,'General Basis'!$C$43)))),IF(G2749&lt;11,'General Basis'!$B$39,IF(G2749&lt;18,'General Basis'!$B$40,IF(G2749&lt;26,'General Basis'!$B$41,IF(G2749&lt;31,'General Basis'!$B$42,IF(G2749&lt;36,'General Basis'!$B$43,IF(G2749&lt;41,'General Basis'!$B$44,IF(G2749&lt;46,'General Basis'!$B$45,IF(G2749&lt;51,'General Basis'!$B$46,IF(G2749&lt;56,'General Basis'!$B$47,IF(G2749&lt;60,'General Basis'!$B$48,IF(G2749&lt;65,'General Basis'!$B$49,'General Basis'!$B$50)))))))))))))</f>
        <v/>
      </c>
      <c r="BI2749" s="744" t="str">
        <f t="shared" si="951"/>
        <v/>
      </c>
      <c r="BJ2749" s="747" t="str">
        <f t="shared" si="958"/>
        <v/>
      </c>
      <c r="BK2749" s="498" t="str">
        <f t="shared" si="952"/>
        <v/>
      </c>
      <c r="BL2749" s="498" t="str">
        <f t="shared" si="953"/>
        <v/>
      </c>
    </row>
    <row r="2750" spans="1:64" x14ac:dyDescent="0.25">
      <c r="A2750" s="762">
        <f t="shared" si="954"/>
        <v>2745</v>
      </c>
      <c r="B2750" s="229"/>
      <c r="C2750" s="223"/>
      <c r="D2750" s="224"/>
      <c r="E2750" s="225"/>
      <c r="F2750" s="1036" t="str">
        <f t="shared" si="960"/>
        <v/>
      </c>
      <c r="G2750" s="1037" t="str">
        <f t="shared" si="955"/>
        <v/>
      </c>
      <c r="H2750" s="225"/>
      <c r="I2750" s="1013"/>
      <c r="J2750" s="1013"/>
      <c r="K2750" s="1028"/>
      <c r="L2750" s="1035" t="str">
        <f t="shared" si="959"/>
        <v/>
      </c>
      <c r="S2750" s="498"/>
      <c r="AJ2750" s="498"/>
      <c r="AM2750" s="498">
        <f t="shared" si="940"/>
        <v>0</v>
      </c>
      <c r="AN2750" s="498">
        <f t="shared" si="941"/>
        <v>0</v>
      </c>
      <c r="AO2750" s="498">
        <f t="shared" si="942"/>
        <v>0</v>
      </c>
      <c r="AP2750" s="498">
        <f t="shared" si="961"/>
        <v>0</v>
      </c>
      <c r="AQ2750" s="498">
        <f t="shared" si="956"/>
        <v>0</v>
      </c>
      <c r="AU2750" s="498">
        <f t="shared" si="943"/>
        <v>0</v>
      </c>
      <c r="AV2750" s="498">
        <f t="shared" si="944"/>
        <v>0</v>
      </c>
      <c r="AW2750" s="498">
        <f t="shared" si="945"/>
        <v>0</v>
      </c>
      <c r="AX2750" s="498">
        <f t="shared" si="946"/>
        <v>0</v>
      </c>
      <c r="AY2750" s="498">
        <f t="shared" si="947"/>
        <v>0</v>
      </c>
      <c r="BB2750" s="498" t="str">
        <f t="shared" si="948"/>
        <v/>
      </c>
      <c r="BC2750" s="743" t="str">
        <f t="shared" si="949"/>
        <v/>
      </c>
      <c r="BD2750" s="743" t="str">
        <f t="shared" si="950"/>
        <v/>
      </c>
      <c r="BE2750" s="743" t="str">
        <f>IF(D2750="","",VLOOKUP(D2750,'General Basis'!$J$39:$K$46,2,0))</f>
        <v/>
      </c>
      <c r="BF2750" s="744" t="str">
        <f>IF(D2750="","",VLOOKUP(D2750,'General Basis'!$J$39:$L$46,3,0))</f>
        <v/>
      </c>
      <c r="BG2750" s="744" t="str">
        <f t="shared" si="957"/>
        <v/>
      </c>
      <c r="BH2750" s="744" t="str">
        <f>IF(G2750="","",IF(BF2750="Abu Dhabi",IF(G2750&lt;18,'General Basis'!$C$39,IF(G2750&lt;41,'General Basis'!$C$40,IF(G2750&lt;60,'General Basis'!$C$41,IF(G2750&lt;65,'General Basis'!$C$42,'General Basis'!$C$43)))),IF(G2750&lt;11,'General Basis'!$B$39,IF(G2750&lt;18,'General Basis'!$B$40,IF(G2750&lt;26,'General Basis'!$B$41,IF(G2750&lt;31,'General Basis'!$B$42,IF(G2750&lt;36,'General Basis'!$B$43,IF(G2750&lt;41,'General Basis'!$B$44,IF(G2750&lt;46,'General Basis'!$B$45,IF(G2750&lt;51,'General Basis'!$B$46,IF(G2750&lt;56,'General Basis'!$B$47,IF(G2750&lt;60,'General Basis'!$B$48,IF(G2750&lt;65,'General Basis'!$B$49,'General Basis'!$B$50)))))))))))))</f>
        <v/>
      </c>
      <c r="BI2750" s="744" t="str">
        <f t="shared" si="951"/>
        <v/>
      </c>
      <c r="BJ2750" s="747" t="str">
        <f t="shared" si="958"/>
        <v/>
      </c>
      <c r="BK2750" s="498" t="str">
        <f t="shared" si="952"/>
        <v/>
      </c>
      <c r="BL2750" s="498" t="str">
        <f t="shared" si="953"/>
        <v/>
      </c>
    </row>
    <row r="2751" spans="1:64" x14ac:dyDescent="0.25">
      <c r="A2751" s="762">
        <f t="shared" si="954"/>
        <v>2746</v>
      </c>
      <c r="B2751" s="229"/>
      <c r="C2751" s="223"/>
      <c r="D2751" s="224"/>
      <c r="E2751" s="225"/>
      <c r="F2751" s="1036" t="str">
        <f t="shared" si="960"/>
        <v/>
      </c>
      <c r="G2751" s="1037" t="str">
        <f t="shared" si="955"/>
        <v/>
      </c>
      <c r="H2751" s="225"/>
      <c r="I2751" s="1013"/>
      <c r="J2751" s="1013"/>
      <c r="K2751" s="1028"/>
      <c r="L2751" s="1035" t="str">
        <f t="shared" si="959"/>
        <v/>
      </c>
      <c r="S2751" s="498"/>
      <c r="AJ2751" s="498"/>
      <c r="AM2751" s="498">
        <f t="shared" si="940"/>
        <v>0</v>
      </c>
      <c r="AN2751" s="498">
        <f t="shared" si="941"/>
        <v>0</v>
      </c>
      <c r="AO2751" s="498">
        <f t="shared" si="942"/>
        <v>0</v>
      </c>
      <c r="AP2751" s="498">
        <f t="shared" si="961"/>
        <v>0</v>
      </c>
      <c r="AQ2751" s="498">
        <f t="shared" si="956"/>
        <v>0</v>
      </c>
      <c r="AU2751" s="498">
        <f t="shared" si="943"/>
        <v>0</v>
      </c>
      <c r="AV2751" s="498">
        <f t="shared" si="944"/>
        <v>0</v>
      </c>
      <c r="AW2751" s="498">
        <f t="shared" si="945"/>
        <v>0</v>
      </c>
      <c r="AX2751" s="498">
        <f t="shared" si="946"/>
        <v>0</v>
      </c>
      <c r="AY2751" s="498">
        <f t="shared" si="947"/>
        <v>0</v>
      </c>
      <c r="BB2751" s="498" t="str">
        <f t="shared" si="948"/>
        <v/>
      </c>
      <c r="BC2751" s="743" t="str">
        <f t="shared" si="949"/>
        <v/>
      </c>
      <c r="BD2751" s="743" t="str">
        <f t="shared" si="950"/>
        <v/>
      </c>
      <c r="BE2751" s="743" t="str">
        <f>IF(D2751="","",VLOOKUP(D2751,'General Basis'!$J$39:$K$46,2,0))</f>
        <v/>
      </c>
      <c r="BF2751" s="744" t="str">
        <f>IF(D2751="","",VLOOKUP(D2751,'General Basis'!$J$39:$L$46,3,0))</f>
        <v/>
      </c>
      <c r="BG2751" s="744" t="str">
        <f t="shared" si="957"/>
        <v/>
      </c>
      <c r="BH2751" s="744" t="str">
        <f>IF(G2751="","",IF(BF2751="Abu Dhabi",IF(G2751&lt;18,'General Basis'!$C$39,IF(G2751&lt;41,'General Basis'!$C$40,IF(G2751&lt;60,'General Basis'!$C$41,IF(G2751&lt;65,'General Basis'!$C$42,'General Basis'!$C$43)))),IF(G2751&lt;11,'General Basis'!$B$39,IF(G2751&lt;18,'General Basis'!$B$40,IF(G2751&lt;26,'General Basis'!$B$41,IF(G2751&lt;31,'General Basis'!$B$42,IF(G2751&lt;36,'General Basis'!$B$43,IF(G2751&lt;41,'General Basis'!$B$44,IF(G2751&lt;46,'General Basis'!$B$45,IF(G2751&lt;51,'General Basis'!$B$46,IF(G2751&lt;56,'General Basis'!$B$47,IF(G2751&lt;60,'General Basis'!$B$48,IF(G2751&lt;65,'General Basis'!$B$49,'General Basis'!$B$50)))))))))))))</f>
        <v/>
      </c>
      <c r="BI2751" s="744" t="str">
        <f t="shared" si="951"/>
        <v/>
      </c>
      <c r="BJ2751" s="747" t="str">
        <f t="shared" si="958"/>
        <v/>
      </c>
      <c r="BK2751" s="498" t="str">
        <f t="shared" si="952"/>
        <v/>
      </c>
      <c r="BL2751" s="498" t="str">
        <f t="shared" si="953"/>
        <v/>
      </c>
    </row>
    <row r="2752" spans="1:64" x14ac:dyDescent="0.25">
      <c r="A2752" s="762">
        <f t="shared" si="954"/>
        <v>2747</v>
      </c>
      <c r="B2752" s="229"/>
      <c r="C2752" s="223"/>
      <c r="D2752" s="224"/>
      <c r="E2752" s="225"/>
      <c r="F2752" s="1036" t="str">
        <f t="shared" si="960"/>
        <v/>
      </c>
      <c r="G2752" s="1037" t="str">
        <f t="shared" si="955"/>
        <v/>
      </c>
      <c r="H2752" s="225"/>
      <c r="I2752" s="1013"/>
      <c r="J2752" s="1013"/>
      <c r="K2752" s="1028"/>
      <c r="L2752" s="1035" t="str">
        <f t="shared" si="959"/>
        <v/>
      </c>
      <c r="S2752" s="498"/>
      <c r="AJ2752" s="498"/>
      <c r="AM2752" s="498">
        <f t="shared" si="940"/>
        <v>0</v>
      </c>
      <c r="AN2752" s="498">
        <f t="shared" si="941"/>
        <v>0</v>
      </c>
      <c r="AO2752" s="498">
        <f t="shared" si="942"/>
        <v>0</v>
      </c>
      <c r="AP2752" s="498">
        <f t="shared" si="961"/>
        <v>0</v>
      </c>
      <c r="AQ2752" s="498">
        <f t="shared" si="956"/>
        <v>0</v>
      </c>
      <c r="AU2752" s="498">
        <f t="shared" si="943"/>
        <v>0</v>
      </c>
      <c r="AV2752" s="498">
        <f t="shared" si="944"/>
        <v>0</v>
      </c>
      <c r="AW2752" s="498">
        <f t="shared" si="945"/>
        <v>0</v>
      </c>
      <c r="AX2752" s="498">
        <f t="shared" si="946"/>
        <v>0</v>
      </c>
      <c r="AY2752" s="498">
        <f t="shared" si="947"/>
        <v>0</v>
      </c>
      <c r="BB2752" s="498" t="str">
        <f t="shared" si="948"/>
        <v/>
      </c>
      <c r="BC2752" s="743" t="str">
        <f t="shared" si="949"/>
        <v/>
      </c>
      <c r="BD2752" s="743" t="str">
        <f t="shared" si="950"/>
        <v/>
      </c>
      <c r="BE2752" s="743" t="str">
        <f>IF(D2752="","",VLOOKUP(D2752,'General Basis'!$J$39:$K$46,2,0))</f>
        <v/>
      </c>
      <c r="BF2752" s="744" t="str">
        <f>IF(D2752="","",VLOOKUP(D2752,'General Basis'!$J$39:$L$46,3,0))</f>
        <v/>
      </c>
      <c r="BG2752" s="744" t="str">
        <f t="shared" si="957"/>
        <v/>
      </c>
      <c r="BH2752" s="744" t="str">
        <f>IF(G2752="","",IF(BF2752="Abu Dhabi",IF(G2752&lt;18,'General Basis'!$C$39,IF(G2752&lt;41,'General Basis'!$C$40,IF(G2752&lt;60,'General Basis'!$C$41,IF(G2752&lt;65,'General Basis'!$C$42,'General Basis'!$C$43)))),IF(G2752&lt;11,'General Basis'!$B$39,IF(G2752&lt;18,'General Basis'!$B$40,IF(G2752&lt;26,'General Basis'!$B$41,IF(G2752&lt;31,'General Basis'!$B$42,IF(G2752&lt;36,'General Basis'!$B$43,IF(G2752&lt;41,'General Basis'!$B$44,IF(G2752&lt;46,'General Basis'!$B$45,IF(G2752&lt;51,'General Basis'!$B$46,IF(G2752&lt;56,'General Basis'!$B$47,IF(G2752&lt;60,'General Basis'!$B$48,IF(G2752&lt;65,'General Basis'!$B$49,'General Basis'!$B$50)))))))))))))</f>
        <v/>
      </c>
      <c r="BI2752" s="744" t="str">
        <f t="shared" si="951"/>
        <v/>
      </c>
      <c r="BJ2752" s="747" t="str">
        <f t="shared" si="958"/>
        <v/>
      </c>
      <c r="BK2752" s="498" t="str">
        <f t="shared" si="952"/>
        <v/>
      </c>
      <c r="BL2752" s="498" t="str">
        <f t="shared" si="953"/>
        <v/>
      </c>
    </row>
    <row r="2753" spans="1:64" x14ac:dyDescent="0.25">
      <c r="A2753" s="762">
        <f t="shared" si="954"/>
        <v>2748</v>
      </c>
      <c r="B2753" s="229"/>
      <c r="C2753" s="223"/>
      <c r="D2753" s="224"/>
      <c r="E2753" s="225"/>
      <c r="F2753" s="1036" t="str">
        <f t="shared" si="960"/>
        <v/>
      </c>
      <c r="G2753" s="1037" t="str">
        <f t="shared" si="955"/>
        <v/>
      </c>
      <c r="H2753" s="225"/>
      <c r="I2753" s="1013"/>
      <c r="J2753" s="1013"/>
      <c r="K2753" s="1028"/>
      <c r="L2753" s="1035" t="str">
        <f t="shared" si="959"/>
        <v/>
      </c>
      <c r="S2753" s="498"/>
      <c r="AJ2753" s="498"/>
      <c r="AM2753" s="498">
        <f t="shared" si="940"/>
        <v>0</v>
      </c>
      <c r="AN2753" s="498">
        <f t="shared" si="941"/>
        <v>0</v>
      </c>
      <c r="AO2753" s="498">
        <f t="shared" si="942"/>
        <v>0</v>
      </c>
      <c r="AP2753" s="498">
        <f t="shared" si="961"/>
        <v>0</v>
      </c>
      <c r="AQ2753" s="498">
        <f t="shared" si="956"/>
        <v>0</v>
      </c>
      <c r="AU2753" s="498">
        <f t="shared" si="943"/>
        <v>0</v>
      </c>
      <c r="AV2753" s="498">
        <f t="shared" si="944"/>
        <v>0</v>
      </c>
      <c r="AW2753" s="498">
        <f t="shared" si="945"/>
        <v>0</v>
      </c>
      <c r="AX2753" s="498">
        <f t="shared" si="946"/>
        <v>0</v>
      </c>
      <c r="AY2753" s="498">
        <f t="shared" si="947"/>
        <v>0</v>
      </c>
      <c r="BB2753" s="498" t="str">
        <f t="shared" si="948"/>
        <v/>
      </c>
      <c r="BC2753" s="743" t="str">
        <f t="shared" si="949"/>
        <v/>
      </c>
      <c r="BD2753" s="743" t="str">
        <f t="shared" si="950"/>
        <v/>
      </c>
      <c r="BE2753" s="743" t="str">
        <f>IF(D2753="","",VLOOKUP(D2753,'General Basis'!$J$39:$K$46,2,0))</f>
        <v/>
      </c>
      <c r="BF2753" s="744" t="str">
        <f>IF(D2753="","",VLOOKUP(D2753,'General Basis'!$J$39:$L$46,3,0))</f>
        <v/>
      </c>
      <c r="BG2753" s="744" t="str">
        <f t="shared" si="957"/>
        <v/>
      </c>
      <c r="BH2753" s="744" t="str">
        <f>IF(G2753="","",IF(BF2753="Abu Dhabi",IF(G2753&lt;18,'General Basis'!$C$39,IF(G2753&lt;41,'General Basis'!$C$40,IF(G2753&lt;60,'General Basis'!$C$41,IF(G2753&lt;65,'General Basis'!$C$42,'General Basis'!$C$43)))),IF(G2753&lt;11,'General Basis'!$B$39,IF(G2753&lt;18,'General Basis'!$B$40,IF(G2753&lt;26,'General Basis'!$B$41,IF(G2753&lt;31,'General Basis'!$B$42,IF(G2753&lt;36,'General Basis'!$B$43,IF(G2753&lt;41,'General Basis'!$B$44,IF(G2753&lt;46,'General Basis'!$B$45,IF(G2753&lt;51,'General Basis'!$B$46,IF(G2753&lt;56,'General Basis'!$B$47,IF(G2753&lt;60,'General Basis'!$B$48,IF(G2753&lt;65,'General Basis'!$B$49,'General Basis'!$B$50)))))))))))))</f>
        <v/>
      </c>
      <c r="BI2753" s="744" t="str">
        <f t="shared" si="951"/>
        <v/>
      </c>
      <c r="BJ2753" s="747" t="str">
        <f t="shared" si="958"/>
        <v/>
      </c>
      <c r="BK2753" s="498" t="str">
        <f t="shared" si="952"/>
        <v/>
      </c>
      <c r="BL2753" s="498" t="str">
        <f t="shared" si="953"/>
        <v/>
      </c>
    </row>
    <row r="2754" spans="1:64" x14ac:dyDescent="0.25">
      <c r="A2754" s="762">
        <f t="shared" si="954"/>
        <v>2749</v>
      </c>
      <c r="B2754" s="229"/>
      <c r="C2754" s="223"/>
      <c r="D2754" s="224"/>
      <c r="E2754" s="225"/>
      <c r="F2754" s="1036" t="str">
        <f t="shared" si="960"/>
        <v/>
      </c>
      <c r="G2754" s="1037" t="str">
        <f t="shared" si="955"/>
        <v/>
      </c>
      <c r="H2754" s="225"/>
      <c r="I2754" s="1013"/>
      <c r="J2754" s="1013"/>
      <c r="K2754" s="1028"/>
      <c r="L2754" s="1035" t="str">
        <f t="shared" si="959"/>
        <v/>
      </c>
      <c r="S2754" s="498"/>
      <c r="AJ2754" s="498"/>
      <c r="AM2754" s="498">
        <f t="shared" si="940"/>
        <v>0</v>
      </c>
      <c r="AN2754" s="498">
        <f t="shared" si="941"/>
        <v>0</v>
      </c>
      <c r="AO2754" s="498">
        <f t="shared" si="942"/>
        <v>0</v>
      </c>
      <c r="AP2754" s="498">
        <f t="shared" si="961"/>
        <v>0</v>
      </c>
      <c r="AQ2754" s="498">
        <f t="shared" si="956"/>
        <v>0</v>
      </c>
      <c r="AU2754" s="498">
        <f t="shared" si="943"/>
        <v>0</v>
      </c>
      <c r="AV2754" s="498">
        <f t="shared" si="944"/>
        <v>0</v>
      </c>
      <c r="AW2754" s="498">
        <f t="shared" si="945"/>
        <v>0</v>
      </c>
      <c r="AX2754" s="498">
        <f t="shared" si="946"/>
        <v>0</v>
      </c>
      <c r="AY2754" s="498">
        <f t="shared" si="947"/>
        <v>0</v>
      </c>
      <c r="BB2754" s="498" t="str">
        <f t="shared" si="948"/>
        <v/>
      </c>
      <c r="BC2754" s="743" t="str">
        <f t="shared" si="949"/>
        <v/>
      </c>
      <c r="BD2754" s="743" t="str">
        <f t="shared" si="950"/>
        <v/>
      </c>
      <c r="BE2754" s="743" t="str">
        <f>IF(D2754="","",VLOOKUP(D2754,'General Basis'!$J$39:$K$46,2,0))</f>
        <v/>
      </c>
      <c r="BF2754" s="744" t="str">
        <f>IF(D2754="","",VLOOKUP(D2754,'General Basis'!$J$39:$L$46,3,0))</f>
        <v/>
      </c>
      <c r="BG2754" s="744" t="str">
        <f t="shared" si="957"/>
        <v/>
      </c>
      <c r="BH2754" s="744" t="str">
        <f>IF(G2754="","",IF(BF2754="Abu Dhabi",IF(G2754&lt;18,'General Basis'!$C$39,IF(G2754&lt;41,'General Basis'!$C$40,IF(G2754&lt;60,'General Basis'!$C$41,IF(G2754&lt;65,'General Basis'!$C$42,'General Basis'!$C$43)))),IF(G2754&lt;11,'General Basis'!$B$39,IF(G2754&lt;18,'General Basis'!$B$40,IF(G2754&lt;26,'General Basis'!$B$41,IF(G2754&lt;31,'General Basis'!$B$42,IF(G2754&lt;36,'General Basis'!$B$43,IF(G2754&lt;41,'General Basis'!$B$44,IF(G2754&lt;46,'General Basis'!$B$45,IF(G2754&lt;51,'General Basis'!$B$46,IF(G2754&lt;56,'General Basis'!$B$47,IF(G2754&lt;60,'General Basis'!$B$48,IF(G2754&lt;65,'General Basis'!$B$49,'General Basis'!$B$50)))))))))))))</f>
        <v/>
      </c>
      <c r="BI2754" s="744" t="str">
        <f t="shared" si="951"/>
        <v/>
      </c>
      <c r="BJ2754" s="747" t="str">
        <f t="shared" si="958"/>
        <v/>
      </c>
      <c r="BK2754" s="498" t="str">
        <f t="shared" si="952"/>
        <v/>
      </c>
      <c r="BL2754" s="498" t="str">
        <f t="shared" si="953"/>
        <v/>
      </c>
    </row>
    <row r="2755" spans="1:64" x14ac:dyDescent="0.25">
      <c r="A2755" s="762">
        <f t="shared" si="954"/>
        <v>2750</v>
      </c>
      <c r="B2755" s="229"/>
      <c r="C2755" s="223"/>
      <c r="D2755" s="224"/>
      <c r="E2755" s="225"/>
      <c r="F2755" s="1036" t="str">
        <f t="shared" si="960"/>
        <v/>
      </c>
      <c r="G2755" s="1037" t="str">
        <f t="shared" si="955"/>
        <v/>
      </c>
      <c r="H2755" s="225"/>
      <c r="I2755" s="1013"/>
      <c r="J2755" s="1013"/>
      <c r="K2755" s="1028"/>
      <c r="L2755" s="1035" t="str">
        <f t="shared" si="959"/>
        <v/>
      </c>
      <c r="S2755" s="498"/>
      <c r="AJ2755" s="498"/>
      <c r="AM2755" s="498">
        <f t="shared" si="940"/>
        <v>0</v>
      </c>
      <c r="AN2755" s="498">
        <f t="shared" si="941"/>
        <v>0</v>
      </c>
      <c r="AO2755" s="498">
        <f t="shared" si="942"/>
        <v>0</v>
      </c>
      <c r="AP2755" s="498">
        <f t="shared" si="961"/>
        <v>0</v>
      </c>
      <c r="AQ2755" s="498">
        <f t="shared" si="956"/>
        <v>0</v>
      </c>
      <c r="AU2755" s="498">
        <f t="shared" si="943"/>
        <v>0</v>
      </c>
      <c r="AV2755" s="498">
        <f t="shared" si="944"/>
        <v>0</v>
      </c>
      <c r="AW2755" s="498">
        <f t="shared" si="945"/>
        <v>0</v>
      </c>
      <c r="AX2755" s="498">
        <f t="shared" si="946"/>
        <v>0</v>
      </c>
      <c r="AY2755" s="498">
        <f t="shared" si="947"/>
        <v>0</v>
      </c>
      <c r="BB2755" s="498" t="str">
        <f t="shared" si="948"/>
        <v/>
      </c>
      <c r="BC2755" s="743" t="str">
        <f t="shared" si="949"/>
        <v/>
      </c>
      <c r="BD2755" s="743" t="str">
        <f t="shared" si="950"/>
        <v/>
      </c>
      <c r="BE2755" s="743" t="str">
        <f>IF(D2755="","",VLOOKUP(D2755,'General Basis'!$J$39:$K$46,2,0))</f>
        <v/>
      </c>
      <c r="BF2755" s="744" t="str">
        <f>IF(D2755="","",VLOOKUP(D2755,'General Basis'!$J$39:$L$46,3,0))</f>
        <v/>
      </c>
      <c r="BG2755" s="744" t="str">
        <f t="shared" si="957"/>
        <v/>
      </c>
      <c r="BH2755" s="744" t="str">
        <f>IF(G2755="","",IF(BF2755="Abu Dhabi",IF(G2755&lt;18,'General Basis'!$C$39,IF(G2755&lt;41,'General Basis'!$C$40,IF(G2755&lt;60,'General Basis'!$C$41,IF(G2755&lt;65,'General Basis'!$C$42,'General Basis'!$C$43)))),IF(G2755&lt;11,'General Basis'!$B$39,IF(G2755&lt;18,'General Basis'!$B$40,IF(G2755&lt;26,'General Basis'!$B$41,IF(G2755&lt;31,'General Basis'!$B$42,IF(G2755&lt;36,'General Basis'!$B$43,IF(G2755&lt;41,'General Basis'!$B$44,IF(G2755&lt;46,'General Basis'!$B$45,IF(G2755&lt;51,'General Basis'!$B$46,IF(G2755&lt;56,'General Basis'!$B$47,IF(G2755&lt;60,'General Basis'!$B$48,IF(G2755&lt;65,'General Basis'!$B$49,'General Basis'!$B$50)))))))))))))</f>
        <v/>
      </c>
      <c r="BI2755" s="744" t="str">
        <f t="shared" si="951"/>
        <v/>
      </c>
      <c r="BJ2755" s="747" t="str">
        <f t="shared" si="958"/>
        <v/>
      </c>
      <c r="BK2755" s="498" t="str">
        <f t="shared" si="952"/>
        <v/>
      </c>
      <c r="BL2755" s="498" t="str">
        <f t="shared" si="953"/>
        <v/>
      </c>
    </row>
    <row r="2756" spans="1:64" x14ac:dyDescent="0.25">
      <c r="A2756" s="762">
        <f t="shared" si="954"/>
        <v>2751</v>
      </c>
      <c r="B2756" s="229"/>
      <c r="C2756" s="223"/>
      <c r="D2756" s="224"/>
      <c r="E2756" s="225"/>
      <c r="F2756" s="1036" t="str">
        <f t="shared" si="960"/>
        <v/>
      </c>
      <c r="G2756" s="1037" t="str">
        <f t="shared" si="955"/>
        <v/>
      </c>
      <c r="H2756" s="225"/>
      <c r="I2756" s="1013"/>
      <c r="J2756" s="1013"/>
      <c r="K2756" s="1028"/>
      <c r="L2756" s="1035" t="str">
        <f t="shared" si="959"/>
        <v/>
      </c>
      <c r="S2756" s="498"/>
      <c r="AJ2756" s="498"/>
      <c r="AM2756" s="498">
        <f t="shared" si="940"/>
        <v>0</v>
      </c>
      <c r="AN2756" s="498">
        <f t="shared" si="941"/>
        <v>0</v>
      </c>
      <c r="AO2756" s="498">
        <f t="shared" si="942"/>
        <v>0</v>
      </c>
      <c r="AP2756" s="498">
        <f t="shared" si="961"/>
        <v>0</v>
      </c>
      <c r="AQ2756" s="498">
        <f t="shared" si="956"/>
        <v>0</v>
      </c>
      <c r="AU2756" s="498">
        <f t="shared" si="943"/>
        <v>0</v>
      </c>
      <c r="AV2756" s="498">
        <f t="shared" si="944"/>
        <v>0</v>
      </c>
      <c r="AW2756" s="498">
        <f t="shared" si="945"/>
        <v>0</v>
      </c>
      <c r="AX2756" s="498">
        <f t="shared" si="946"/>
        <v>0</v>
      </c>
      <c r="AY2756" s="498">
        <f t="shared" si="947"/>
        <v>0</v>
      </c>
      <c r="BB2756" s="498" t="str">
        <f t="shared" si="948"/>
        <v/>
      </c>
      <c r="BC2756" s="743" t="str">
        <f t="shared" si="949"/>
        <v/>
      </c>
      <c r="BD2756" s="743" t="str">
        <f t="shared" si="950"/>
        <v/>
      </c>
      <c r="BE2756" s="743" t="str">
        <f>IF(D2756="","",VLOOKUP(D2756,'General Basis'!$J$39:$K$46,2,0))</f>
        <v/>
      </c>
      <c r="BF2756" s="744" t="str">
        <f>IF(D2756="","",VLOOKUP(D2756,'General Basis'!$J$39:$L$46,3,0))</f>
        <v/>
      </c>
      <c r="BG2756" s="744" t="str">
        <f t="shared" si="957"/>
        <v/>
      </c>
      <c r="BH2756" s="744" t="str">
        <f>IF(G2756="","",IF(BF2756="Abu Dhabi",IF(G2756&lt;18,'General Basis'!$C$39,IF(G2756&lt;41,'General Basis'!$C$40,IF(G2756&lt;60,'General Basis'!$C$41,IF(G2756&lt;65,'General Basis'!$C$42,'General Basis'!$C$43)))),IF(G2756&lt;11,'General Basis'!$B$39,IF(G2756&lt;18,'General Basis'!$B$40,IF(G2756&lt;26,'General Basis'!$B$41,IF(G2756&lt;31,'General Basis'!$B$42,IF(G2756&lt;36,'General Basis'!$B$43,IF(G2756&lt;41,'General Basis'!$B$44,IF(G2756&lt;46,'General Basis'!$B$45,IF(G2756&lt;51,'General Basis'!$B$46,IF(G2756&lt;56,'General Basis'!$B$47,IF(G2756&lt;60,'General Basis'!$B$48,IF(G2756&lt;65,'General Basis'!$B$49,'General Basis'!$B$50)))))))))))))</f>
        <v/>
      </c>
      <c r="BI2756" s="744" t="str">
        <f t="shared" si="951"/>
        <v/>
      </c>
      <c r="BJ2756" s="747" t="str">
        <f t="shared" si="958"/>
        <v/>
      </c>
      <c r="BK2756" s="498" t="str">
        <f t="shared" si="952"/>
        <v/>
      </c>
      <c r="BL2756" s="498" t="str">
        <f t="shared" si="953"/>
        <v/>
      </c>
    </row>
    <row r="2757" spans="1:64" x14ac:dyDescent="0.25">
      <c r="A2757" s="762">
        <f t="shared" si="954"/>
        <v>2752</v>
      </c>
      <c r="B2757" s="229"/>
      <c r="C2757" s="223"/>
      <c r="D2757" s="224"/>
      <c r="E2757" s="225"/>
      <c r="F2757" s="1036" t="str">
        <f t="shared" si="960"/>
        <v/>
      </c>
      <c r="G2757" s="1037" t="str">
        <f t="shared" si="955"/>
        <v/>
      </c>
      <c r="H2757" s="225"/>
      <c r="I2757" s="1013"/>
      <c r="J2757" s="1013"/>
      <c r="K2757" s="1028"/>
      <c r="L2757" s="1035" t="str">
        <f t="shared" si="959"/>
        <v/>
      </c>
      <c r="S2757" s="498"/>
      <c r="AJ2757" s="498"/>
      <c r="AM2757" s="498">
        <f t="shared" si="940"/>
        <v>0</v>
      </c>
      <c r="AN2757" s="498">
        <f t="shared" si="941"/>
        <v>0</v>
      </c>
      <c r="AO2757" s="498">
        <f t="shared" si="942"/>
        <v>0</v>
      </c>
      <c r="AP2757" s="498">
        <f t="shared" si="961"/>
        <v>0</v>
      </c>
      <c r="AQ2757" s="498">
        <f t="shared" si="956"/>
        <v>0</v>
      </c>
      <c r="AU2757" s="498">
        <f t="shared" si="943"/>
        <v>0</v>
      </c>
      <c r="AV2757" s="498">
        <f t="shared" si="944"/>
        <v>0</v>
      </c>
      <c r="AW2757" s="498">
        <f t="shared" si="945"/>
        <v>0</v>
      </c>
      <c r="AX2757" s="498">
        <f t="shared" si="946"/>
        <v>0</v>
      </c>
      <c r="AY2757" s="498">
        <f t="shared" si="947"/>
        <v>0</v>
      </c>
      <c r="BB2757" s="498" t="str">
        <f t="shared" si="948"/>
        <v/>
      </c>
      <c r="BC2757" s="743" t="str">
        <f t="shared" si="949"/>
        <v/>
      </c>
      <c r="BD2757" s="743" t="str">
        <f t="shared" si="950"/>
        <v/>
      </c>
      <c r="BE2757" s="743" t="str">
        <f>IF(D2757="","",VLOOKUP(D2757,'General Basis'!$J$39:$K$46,2,0))</f>
        <v/>
      </c>
      <c r="BF2757" s="744" t="str">
        <f>IF(D2757="","",VLOOKUP(D2757,'General Basis'!$J$39:$L$46,3,0))</f>
        <v/>
      </c>
      <c r="BG2757" s="744" t="str">
        <f t="shared" si="957"/>
        <v/>
      </c>
      <c r="BH2757" s="744" t="str">
        <f>IF(G2757="","",IF(BF2757="Abu Dhabi",IF(G2757&lt;18,'General Basis'!$C$39,IF(G2757&lt;41,'General Basis'!$C$40,IF(G2757&lt;60,'General Basis'!$C$41,IF(G2757&lt;65,'General Basis'!$C$42,'General Basis'!$C$43)))),IF(G2757&lt;11,'General Basis'!$B$39,IF(G2757&lt;18,'General Basis'!$B$40,IF(G2757&lt;26,'General Basis'!$B$41,IF(G2757&lt;31,'General Basis'!$B$42,IF(G2757&lt;36,'General Basis'!$B$43,IF(G2757&lt;41,'General Basis'!$B$44,IF(G2757&lt;46,'General Basis'!$B$45,IF(G2757&lt;51,'General Basis'!$B$46,IF(G2757&lt;56,'General Basis'!$B$47,IF(G2757&lt;60,'General Basis'!$B$48,IF(G2757&lt;65,'General Basis'!$B$49,'General Basis'!$B$50)))))))))))))</f>
        <v/>
      </c>
      <c r="BI2757" s="744" t="str">
        <f t="shared" si="951"/>
        <v/>
      </c>
      <c r="BJ2757" s="747" t="str">
        <f t="shared" si="958"/>
        <v/>
      </c>
      <c r="BK2757" s="498" t="str">
        <f t="shared" si="952"/>
        <v/>
      </c>
      <c r="BL2757" s="498" t="str">
        <f t="shared" si="953"/>
        <v/>
      </c>
    </row>
    <row r="2758" spans="1:64" x14ac:dyDescent="0.25">
      <c r="A2758" s="762">
        <f t="shared" si="954"/>
        <v>2753</v>
      </c>
      <c r="B2758" s="229"/>
      <c r="C2758" s="223"/>
      <c r="D2758" s="224"/>
      <c r="E2758" s="225"/>
      <c r="F2758" s="1036" t="str">
        <f t="shared" si="960"/>
        <v/>
      </c>
      <c r="G2758" s="1037" t="str">
        <f t="shared" si="955"/>
        <v/>
      </c>
      <c r="H2758" s="225"/>
      <c r="I2758" s="1013"/>
      <c r="J2758" s="1013"/>
      <c r="K2758" s="1028"/>
      <c r="L2758" s="1035" t="str">
        <f t="shared" si="959"/>
        <v/>
      </c>
      <c r="S2758" s="498"/>
      <c r="AJ2758" s="498"/>
      <c r="AM2758" s="498">
        <f t="shared" ref="AM2758:AM2821" si="962">IF(ISTEXT(B2758),1,0)</f>
        <v>0</v>
      </c>
      <c r="AN2758" s="498">
        <f t="shared" ref="AN2758:AN2821" si="963">IF(ISBLANK(B2758),0,IF(B2758&lt;$AK$6,1,0))</f>
        <v>0</v>
      </c>
      <c r="AO2758" s="498">
        <f t="shared" ref="AO2758:AO2821" si="964">IF(ISBLANK(B2758),0,IF(B2758&gt;$AK$7,1,0))</f>
        <v>0</v>
      </c>
      <c r="AP2758" s="498">
        <f t="shared" si="961"/>
        <v>0</v>
      </c>
      <c r="AQ2758" s="498">
        <f t="shared" si="956"/>
        <v>0</v>
      </c>
      <c r="AU2758" s="498">
        <f t="shared" ref="AU2758:AU2821" si="965">IF(ISBLANK(B2758),0,1)</f>
        <v>0</v>
      </c>
      <c r="AV2758" s="498">
        <f t="shared" ref="AV2758:AV2821" si="966">IF(ISBLANK(C2758),0,1)</f>
        <v>0</v>
      </c>
      <c r="AW2758" s="498">
        <f t="shared" ref="AW2758:AW2821" si="967">IF(ISBLANK(D2758),0,1)</f>
        <v>0</v>
      </c>
      <c r="AX2758" s="498">
        <f t="shared" ref="AX2758:AX2821" si="968">IF(ISBLANK(E2758),0,1)</f>
        <v>0</v>
      </c>
      <c r="AY2758" s="498">
        <f t="shared" ref="AY2758:AY2821" si="969">IF(ISBLANK(H2758),0,1)</f>
        <v>0</v>
      </c>
      <c r="BB2758" s="498" t="str">
        <f t="shared" ref="BB2758:BB2821" si="970">IF(E2758="Principal","Principal",IF(E2758="","","Other"))</f>
        <v/>
      </c>
      <c r="BC2758" s="743" t="str">
        <f t="shared" ref="BC2758:BC2821" si="971">IF(D2758="","",D2758)</f>
        <v/>
      </c>
      <c r="BD2758" s="743" t="str">
        <f t="shared" ref="BD2758:BD2821" si="972">IF(E2758="Principal","Employee",IF(E2758="","","Dependent"))</f>
        <v/>
      </c>
      <c r="BE2758" s="743" t="str">
        <f>IF(D2758="","",VLOOKUP(D2758,'General Basis'!$J$39:$K$46,2,0))</f>
        <v/>
      </c>
      <c r="BF2758" s="744" t="str">
        <f>IF(D2758="","",VLOOKUP(D2758,'General Basis'!$J$39:$L$46,3,0))</f>
        <v/>
      </c>
      <c r="BG2758" s="744" t="str">
        <f t="shared" si="957"/>
        <v/>
      </c>
      <c r="BH2758" s="744" t="str">
        <f>IF(G2758="","",IF(BF2758="Abu Dhabi",IF(G2758&lt;18,'General Basis'!$C$39,IF(G2758&lt;41,'General Basis'!$C$40,IF(G2758&lt;60,'General Basis'!$C$41,IF(G2758&lt;65,'General Basis'!$C$42,'General Basis'!$C$43)))),IF(G2758&lt;11,'General Basis'!$B$39,IF(G2758&lt;18,'General Basis'!$B$40,IF(G2758&lt;26,'General Basis'!$B$41,IF(G2758&lt;31,'General Basis'!$B$42,IF(G2758&lt;36,'General Basis'!$B$43,IF(G2758&lt;41,'General Basis'!$B$44,IF(G2758&lt;46,'General Basis'!$B$45,IF(G2758&lt;51,'General Basis'!$B$46,IF(G2758&lt;56,'General Basis'!$B$47,IF(G2758&lt;60,'General Basis'!$B$48,IF(G2758&lt;65,'General Basis'!$B$49,'General Basis'!$B$50)))))))))))))</f>
        <v/>
      </c>
      <c r="BI2758" s="744" t="str">
        <f t="shared" ref="BI2758:BI2821" si="973">IF(C2758="","",IF(C2758="M","Male","Female"))</f>
        <v/>
      </c>
      <c r="BJ2758" s="747" t="str">
        <f t="shared" si="958"/>
        <v/>
      </c>
      <c r="BK2758" s="498" t="str">
        <f t="shared" ref="BK2758:BK2821" si="974">IF(BD2758="","",IF(AND(BD2758="Employee",BI2758="Male",BF2758="Abu Dhabi",BE2758=GN_Plus),VLOOKUP(BH2758,AUH_MALE_EMP,2,0),IF(AND(BD2758="Employee",BI2758="Male",BF2758="Abu Dhabi",BE2758=GN),VLOOKUP(BH2758,AUH_MALE_EMP,3,0),IF(AND(BD2758="Employee",BI2758="Male",BF2758="Abu Dhabi",BE2758=RN_Plus),VLOOKUP(BH2758,AUH_MALE_EMP,4,0),IF(AND(BD2758="Employee",BI2758="Male",BF2758="Abu Dhabi",BE2758=RN),VLOOKUP(BH2758,AUH_MALE_EMP,5,0),IF(AND(BD2758="Employee",BI2758="Male",BF2758="Abu Dhabi",BE2758=RN_2),VLOOKUP(BH2758,AUH_MALE_EMP,6,0),IF(AND(BD2758="Employee",BI2758="Male",BF2758="Abu Dhabi",BE2758=RN2_minus),VLOOKUP(BH2758,AUH_MALE_EMP,7,0),IF(AND(BD2758="Employee",BI2758="Male",BF2758="Abu Dhabi",BE2758=RN_3),VLOOKUP(BH2758,AUH_MALE_EMP,8,0),IF(AND(BD2758="Employee",BI2758="Male",BF2758="Abu Dhabi",BE2758=VN),VLOOKUP(BH2758,AUH_MALE_EMP,9,0),IF(BD2758="","",IF(AND(BD2758="Employee",BI2758="Female",BF2758="Abu Dhabi",BE2758=GN_Plus),VLOOKUP(BH2758,AUH_FEMALE_EMP,2,0),IF(AND(BD2758="Employee",BI2758="Female",BF2758="Abu Dhabi",BE2758=GN),VLOOKUP(BH2758,AUH_FEMALE_EMP,3,0),IF(AND(BD2758="Employee",BI2758="Female",BF2758="Abu Dhabi",BE2758=RN_Plus),VLOOKUP(BH2758,AUH_FEMALE_EMP,4,0),IF(AND(BD2758="Employee",BI2758="Female",BF2758="Abu Dhabi",BE2758=RN),VLOOKUP(BH2758,AUH_FEMALE_EMP,5,0),IF(AND(BD2758="Employee",BI2758="Female",BF2758="Abu Dhabi",BE2758=RN_2),VLOOKUP(BH2758,AUH_FEMALE_EMP,6,0),IF(AND(BD2758="Employee",BI2758="Female",BF2758="Abu Dhabi",BE2758=RN2_minus),VLOOKUP(BH2758,AUH_FEMALE_EMP,7,0),IF(AND(BD2758="Employee",BI2758="Female",BF2758="Abu Dhabi",BE2758=RN_3),VLOOKUP(BH2758,AUH_FEMALE_EMP,8,0),IF(AND(BD2758="Employee",BI2758="Female",BF2758="Abu Dhabi",BE2758=VN),VLOOKUP(BH2758,AUH_FEMALE_EMP,9,0),IF(BD2758="","",IF(AND(BD2758="Dependent",BI2758="Male",BF2758="Abu Dhabi",BE2758=GN_Plus),VLOOKUP(BH2758,AUH_MALE_DEP,2,0),IF(AND(BD2758="Dependent",BI2758="Male",BF2758="Abu Dhabi",BE2758=GN),VLOOKUP(BH2758,AUH_MALE_DEP,3,0),IF(AND(BD2758="Dependent",BI2758="Male",BF2758="Abu Dhabi",BE2758=RN_Plus),VLOOKUP(BH2758,AUH_MALE_DEP,4,0),IF(AND(BD2758="Dependent",BI2758="Male",BF2758="Abu Dhabi",BE2758=RN),VLOOKUP(BH2758,AUH_MALE_DEP,5,0),IF(AND(BD2758="Dependent",BI2758="Male",BF2758="Abu Dhabi",BE2758=RN_2),VLOOKUP(BH2758,AUH_MALE_DEP,6,0),IF(AND(BD2758="Dependent",BI2758="Male",BF2758="Abu Dhabi",BE2758=RN2_minus),VLOOKUP(BH2758,AUH_MALE_DEP,7,0),IF(AND(BD2758="Dependent",BI2758="Male",BF2758="Abu Dhabi",BE2758=RN_3),VLOOKUP(BH2758,AUH_MALE_DEP,8,0),IF(AND(BD2758="Dependent",BI2758="Male",BF2758="Abu Dhabi",BE2758=VN),VLOOKUP(BH2758,AUH_MALE_DEP,9,0),IF(BD2758="","",IF(AND(BD2758="Dependent",BI2758="Female",BF2758="Abu Dhabi",BE2758=GN_Plus),VLOOKUP(BH2758,AUH_FEMALE_DEP,2,0),IF(AND(BD2758="Dependent",BI2758="Female",BF2758="Abu Dhabi",BE2758=GN),VLOOKUP(BH2758,AUH_FEMALE_DEP,3,0),IF(AND(BD2758="Dependent",BI2758="Female",BF2758="Abu Dhabi",BE2758=RN_Plus),VLOOKUP(BH2758,AUH_FEMALE_DEP,4,0),IF(AND(BD2758="Dependent",BI2758="Female",BF2758="Abu Dhabi",BE2758=RN),VLOOKUP(BH2758,AUH_FEMALE_DEP,5,0),IF(AND(BD2758="Dependent",BI2758="Female",BF2758="Abu Dhabi",BE2758=RN_2),VLOOKUP(BH2758,AUH_FEMALE_DEP,6,0),IF(AND(BD2758="Dependent",BI2758="Female",BF2758="Abu Dhabi",BE2758=RN2_minus),VLOOKUP(BH2758,AUH_FEMALE_DEP,7,0),IF(AND(BD2758="Dependent",BI2758="Female",BF2758="Abu Dhabi",BE2758=RN_3),VLOOKUP(BH2758,AUH_FEMALE_DEP,8,0),IF(AND(BD2758="Dependent",BI2758="Female",BF2758="Abu Dhabi",BE2758=VN),VLOOKUP(BH2758,AUH_FEMALE_DEP,9,0),"ABC"))))))))))))))))))))))))))))))))))))</f>
        <v/>
      </c>
      <c r="BL2758" s="498" t="str">
        <f t="shared" ref="BL2758:BL2821" si="975">IF(BD2758="","",IF(AND(BD2758="Employee",BI2758="Male",BF2758="Dubai",BE2758=GN_Plus),VLOOKUP(BH2758,DXB_MALE_EMP,2,0),IF(AND(BD2758="Employee",BI2758="Male",BF2758="Dubai",BE2758=GN),VLOOKUP(BH2758,DXB_MALE_EMP,3,0),IF(AND(BD2758="Employee",BI2758="Male",BF2758="Dubai",BE2758=RN_Plus),VLOOKUP(BH2758,DXB_MALE_EMP,4,0),IF(AND(BD2758="Employee",BI2758="Male",BF2758="Dubai",BE2758=RN),VLOOKUP(BH2758,DXB_MALE_EMP,5,0),IF(AND(BD2758="Employee",BI2758="Male",BF2758="Dubai",BE2758=RN_2),VLOOKUP(BH2758,DXB_MALE_EMP,6,0),IF(AND(BD2758="Employee",BI2758="Male",BF2758="Dubai",BE2758=RN2_minus),VLOOKUP(BH2758,DXB_MALE_EMP,7,0),IF(AND(BD2758="Employee",BI2758="Male",BF2758="Dubai",BE2758=RN_3),VLOOKUP(BH2758,DXB_MALE_EMP,8,0),IF(AND(BD2758="Employee",BI2758="Male",BF2758="Dubai",BE2758=VN),VLOOKUP(BH2758,DXB_MALE_EMP,9,0),IF(BD2758="","",IF(AND(BD2758="Employee",BI2758="Female",BF2758="Dubai",BE2758=GN_Plus),VLOOKUP(BH2758,DXB_FEMALE_EMP,2,0),IF(AND(BD2758="Employee",BI2758="Female",BF2758="Dubai",BE2758=GN),VLOOKUP(BH2758,DXB_FEMALE_EMP,3,0),IF(AND(BD2758="Employee",BI2758="Female",BF2758="Dubai",BE2758=RN_Plus),VLOOKUP(BH2758,DXB_FEMALE_EMP,4,0),IF(AND(BD2758="Employee",BI2758="Female",BF2758="Dubai",BE2758=RN),VLOOKUP(BH2758,DXB_FEMALE_EMP,5,0),IF(AND(BD2758="Employee",BI2758="Female",BF2758="Dubai",BE2758=RN_2),VLOOKUP(BH2758,DXB_FEMALE_EMP,6,0),IF(AND(BD2758="Employee",BI2758="Female",BF2758="Dubai",BE2758=RN2_minus),VLOOKUP(BH2758,DXB_FEMALE_EMP,7,0),IF(AND(BD2758="Employee",BI2758="Female",BF2758="Dubai",BE2758=RN_3),VLOOKUP(BH2758,DXB_FEMALE_EMP,8,0),IF(AND(BD2758="Employee",BI2758="Female",BF2758="Dubai",BE2758=VN),VLOOKUP(BH2758,DXB_FEMALE_EMP,9,0),IF(BD2758="","",IF(AND(BD2758="Dependent",BI2758="Male",BF2758="Dubai",BE2758=GN_Plus),VLOOKUP(BH2758,DXB_MALE_DEP,2,0),IF(AND(BD2758="Dependent",BI2758="Male",BF2758="Dubai",BE2758=GN),VLOOKUP(BH2758,DXB_MALE_DEP,3,0),IF(AND(BD2758="Dependent",BI2758="Male",BF2758="Dubai",BE2758=RN_Plus),VLOOKUP(BH2758,DXB_MALE_DEP,4,0),IF(AND(BD2758="Dependent",BI2758="Male",BF2758="Dubai",BE2758=RN),VLOOKUP(BH2758,DXB_MALE_DEP,5,0),IF(AND(BD2758="Dependent",BI2758="Male",BF2758="Dubai",BE2758=RN_2),VLOOKUP(BH2758,DXB_MALE_DEP,6,0),IF(AND(BD2758="Dependent",BI2758="Male",BF2758="Dubai",BE2758=RN2_minus),VLOOKUP(BH2758,DXB_MALE_DEP,7,0),IF(AND(BD2758="Dependent",BI2758="Male",BF2758="Dubai",BE2758=RN_3),VLOOKUP(BH2758,DXB_MALE_DEP,8,0),IF(AND(BD2758="Dependent",BI2758="Male",BF2758="Dubai",BE2758=VN),VLOOKUP(BH2758,DXB_MALE_DEP,9,0),IF(BD2758="","",IF(AND(BD2758="Dependent",BI2758="Female",BF2758="Dubai",BE2758=GN_Plus),VLOOKUP(BH2758,DXB_FEMALE_DEP,2,0),IF(AND(BD2758="Dependent",BI2758="Female",BF2758="Dubai",BE2758=GN),VLOOKUP(BH2758,DXB_FEMALE_DEP,3,0),IF(AND(BD2758="Dependent",BI2758="Female",BF2758="Dubai",BE2758=RN_Plus),VLOOKUP(BH2758,DXB_FEMALE_DEP,4,0),IF(AND(BD2758="Dependent",BI2758="Female",BF2758="Dubai",BE2758=RN),VLOOKUP(BH2758,DXB_FEMALE_DEP,5,0),IF(AND(BD2758="Dependent",BI2758="Female",BF2758="Dubai",BE2758=RN_2),VLOOKUP(BH2758,DXB_FEMALE_DEP,6,0),IF(AND(BD2758="Dependent",BI2758="Female",BF2758="Dubai",BE2758=RN2_minus),VLOOKUP(BH2758,DXB_FEMALE_DEP,7,0),IF(AND(BD2758="Dependent",BI2758="Female",BF2758="Dubai",BE2758=RN_3),VLOOKUP(BH2758,DXB_FEMALE_DEP,8,0),IF(AND(BD2758="Dependent",BI2758="Female",BF2758="Dubai",BE2758=VN),VLOOKUP(BH2758,DXB_FEMALE_DEP,9,0),"ABC"))))))))))))))))))))))))))))))))))))</f>
        <v/>
      </c>
    </row>
    <row r="2759" spans="1:64" x14ac:dyDescent="0.25">
      <c r="A2759" s="762">
        <f t="shared" ref="A2759:A2822" si="976">+A2758+1</f>
        <v>2754</v>
      </c>
      <c r="B2759" s="229"/>
      <c r="C2759" s="223"/>
      <c r="D2759" s="224"/>
      <c r="E2759" s="225"/>
      <c r="F2759" s="1036" t="str">
        <f t="shared" si="960"/>
        <v/>
      </c>
      <c r="G2759" s="1037" t="str">
        <f t="shared" ref="G2759:G2822" si="977">IF(D2759="","",MAX(0,ROUNDUP(F2759,0)))</f>
        <v/>
      </c>
      <c r="H2759" s="225"/>
      <c r="I2759" s="1013"/>
      <c r="J2759" s="1013"/>
      <c r="K2759" s="1028"/>
      <c r="L2759" s="1035" t="str">
        <f t="shared" si="959"/>
        <v/>
      </c>
      <c r="S2759" s="498"/>
      <c r="AJ2759" s="498"/>
      <c r="AM2759" s="498">
        <f t="shared" si="962"/>
        <v>0</v>
      </c>
      <c r="AN2759" s="498">
        <f t="shared" si="963"/>
        <v>0</v>
      </c>
      <c r="AO2759" s="498">
        <f t="shared" si="964"/>
        <v>0</v>
      </c>
      <c r="AP2759" s="498">
        <f t="shared" si="961"/>
        <v>0</v>
      </c>
      <c r="AQ2759" s="498">
        <f t="shared" ref="AQ2759:AQ2822" si="978">IF(ISBLANK($B2759),0,IF(OR($H2759="Single",$H2759="Married"),0,1))</f>
        <v>0</v>
      </c>
      <c r="AU2759" s="498">
        <f t="shared" si="965"/>
        <v>0</v>
      </c>
      <c r="AV2759" s="498">
        <f t="shared" si="966"/>
        <v>0</v>
      </c>
      <c r="AW2759" s="498">
        <f t="shared" si="967"/>
        <v>0</v>
      </c>
      <c r="AX2759" s="498">
        <f t="shared" si="968"/>
        <v>0</v>
      </c>
      <c r="AY2759" s="498">
        <f t="shared" si="969"/>
        <v>0</v>
      </c>
      <c r="BB2759" s="498" t="str">
        <f t="shared" si="970"/>
        <v/>
      </c>
      <c r="BC2759" s="743" t="str">
        <f t="shared" si="971"/>
        <v/>
      </c>
      <c r="BD2759" s="743" t="str">
        <f t="shared" si="972"/>
        <v/>
      </c>
      <c r="BE2759" s="743" t="str">
        <f>IF(D2759="","",VLOOKUP(D2759,'General Basis'!$J$39:$K$46,2,0))</f>
        <v/>
      </c>
      <c r="BF2759" s="744" t="str">
        <f>IF(D2759="","",VLOOKUP(D2759,'General Basis'!$J$39:$L$46,3,0))</f>
        <v/>
      </c>
      <c r="BG2759" s="744" t="str">
        <f t="shared" ref="BG2759:BG2822" si="979">BC2759&amp;BI2759</f>
        <v/>
      </c>
      <c r="BH2759" s="744" t="str">
        <f>IF(G2759="","",IF(BF2759="Abu Dhabi",IF(G2759&lt;18,'General Basis'!$C$39,IF(G2759&lt;41,'General Basis'!$C$40,IF(G2759&lt;60,'General Basis'!$C$41,IF(G2759&lt;65,'General Basis'!$C$42,'General Basis'!$C$43)))),IF(G2759&lt;11,'General Basis'!$B$39,IF(G2759&lt;18,'General Basis'!$B$40,IF(G2759&lt;26,'General Basis'!$B$41,IF(G2759&lt;31,'General Basis'!$B$42,IF(G2759&lt;36,'General Basis'!$B$43,IF(G2759&lt;41,'General Basis'!$B$44,IF(G2759&lt;46,'General Basis'!$B$45,IF(G2759&lt;51,'General Basis'!$B$46,IF(G2759&lt;56,'General Basis'!$B$47,IF(G2759&lt;60,'General Basis'!$B$48,IF(G2759&lt;65,'General Basis'!$B$49,'General Basis'!$B$50)))))))))))))</f>
        <v/>
      </c>
      <c r="BI2759" s="744" t="str">
        <f t="shared" si="973"/>
        <v/>
      </c>
      <c r="BJ2759" s="747" t="str">
        <f t="shared" ref="BJ2759:BJ2822" si="980">IF(BD2759="","",IF(BF2759="Abu Dhabi",BK2759,BL2759))</f>
        <v/>
      </c>
      <c r="BK2759" s="498" t="str">
        <f t="shared" si="974"/>
        <v/>
      </c>
      <c r="BL2759" s="498" t="str">
        <f t="shared" si="975"/>
        <v/>
      </c>
    </row>
    <row r="2760" spans="1:64" x14ac:dyDescent="0.25">
      <c r="A2760" s="762">
        <f t="shared" si="976"/>
        <v>2755</v>
      </c>
      <c r="B2760" s="229"/>
      <c r="C2760" s="223"/>
      <c r="D2760" s="224"/>
      <c r="E2760" s="225"/>
      <c r="F2760" s="1036" t="str">
        <f t="shared" si="960"/>
        <v/>
      </c>
      <c r="G2760" s="1037" t="str">
        <f t="shared" si="977"/>
        <v/>
      </c>
      <c r="H2760" s="225"/>
      <c r="I2760" s="1013"/>
      <c r="J2760" s="1013"/>
      <c r="K2760" s="1028"/>
      <c r="L2760" s="1035" t="str">
        <f t="shared" ref="L2760:L2823" si="981">IF(AND(E2760="Child",H2760="Married"),"Check the Marital Status of the Child. ",IF(AND(E2760="Child",F2760&gt;18),"Child Age exceed 18 years. ",IF(AND(E2760="Spouse",H2760="Single"),"Spouse is selected as Single. ","")))&amp;IF(K2760&gt;0,"UW Loading has been Applied","")</f>
        <v/>
      </c>
      <c r="S2760" s="498"/>
      <c r="AJ2760" s="498"/>
      <c r="AM2760" s="498">
        <f t="shared" si="962"/>
        <v>0</v>
      </c>
      <c r="AN2760" s="498">
        <f t="shared" si="963"/>
        <v>0</v>
      </c>
      <c r="AO2760" s="498">
        <f t="shared" si="964"/>
        <v>0</v>
      </c>
      <c r="AP2760" s="498">
        <f t="shared" si="961"/>
        <v>0</v>
      </c>
      <c r="AQ2760" s="498">
        <f t="shared" si="978"/>
        <v>0</v>
      </c>
      <c r="AU2760" s="498">
        <f t="shared" si="965"/>
        <v>0</v>
      </c>
      <c r="AV2760" s="498">
        <f t="shared" si="966"/>
        <v>0</v>
      </c>
      <c r="AW2760" s="498">
        <f t="shared" si="967"/>
        <v>0</v>
      </c>
      <c r="AX2760" s="498">
        <f t="shared" si="968"/>
        <v>0</v>
      </c>
      <c r="AY2760" s="498">
        <f t="shared" si="969"/>
        <v>0</v>
      </c>
      <c r="BB2760" s="498" t="str">
        <f t="shared" si="970"/>
        <v/>
      </c>
      <c r="BC2760" s="743" t="str">
        <f t="shared" si="971"/>
        <v/>
      </c>
      <c r="BD2760" s="743" t="str">
        <f t="shared" si="972"/>
        <v/>
      </c>
      <c r="BE2760" s="743" t="str">
        <f>IF(D2760="","",VLOOKUP(D2760,'General Basis'!$J$39:$K$46,2,0))</f>
        <v/>
      </c>
      <c r="BF2760" s="744" t="str">
        <f>IF(D2760="","",VLOOKUP(D2760,'General Basis'!$J$39:$L$46,3,0))</f>
        <v/>
      </c>
      <c r="BG2760" s="744" t="str">
        <f t="shared" si="979"/>
        <v/>
      </c>
      <c r="BH2760" s="744" t="str">
        <f>IF(G2760="","",IF(BF2760="Abu Dhabi",IF(G2760&lt;18,'General Basis'!$C$39,IF(G2760&lt;41,'General Basis'!$C$40,IF(G2760&lt;60,'General Basis'!$C$41,IF(G2760&lt;65,'General Basis'!$C$42,'General Basis'!$C$43)))),IF(G2760&lt;11,'General Basis'!$B$39,IF(G2760&lt;18,'General Basis'!$B$40,IF(G2760&lt;26,'General Basis'!$B$41,IF(G2760&lt;31,'General Basis'!$B$42,IF(G2760&lt;36,'General Basis'!$B$43,IF(G2760&lt;41,'General Basis'!$B$44,IF(G2760&lt;46,'General Basis'!$B$45,IF(G2760&lt;51,'General Basis'!$B$46,IF(G2760&lt;56,'General Basis'!$B$47,IF(G2760&lt;60,'General Basis'!$B$48,IF(G2760&lt;65,'General Basis'!$B$49,'General Basis'!$B$50)))))))))))))</f>
        <v/>
      </c>
      <c r="BI2760" s="744" t="str">
        <f t="shared" si="973"/>
        <v/>
      </c>
      <c r="BJ2760" s="747" t="str">
        <f t="shared" si="980"/>
        <v/>
      </c>
      <c r="BK2760" s="498" t="str">
        <f t="shared" si="974"/>
        <v/>
      </c>
      <c r="BL2760" s="498" t="str">
        <f t="shared" si="975"/>
        <v/>
      </c>
    </row>
    <row r="2761" spans="1:64" x14ac:dyDescent="0.25">
      <c r="A2761" s="762">
        <f t="shared" si="976"/>
        <v>2756</v>
      </c>
      <c r="B2761" s="229"/>
      <c r="C2761" s="223"/>
      <c r="D2761" s="224"/>
      <c r="E2761" s="225"/>
      <c r="F2761" s="1036" t="str">
        <f t="shared" si="960"/>
        <v/>
      </c>
      <c r="G2761" s="1037" t="str">
        <f t="shared" si="977"/>
        <v/>
      </c>
      <c r="H2761" s="225"/>
      <c r="I2761" s="1013"/>
      <c r="J2761" s="1013"/>
      <c r="K2761" s="1028"/>
      <c r="L2761" s="1035" t="str">
        <f t="shared" si="981"/>
        <v/>
      </c>
      <c r="S2761" s="498"/>
      <c r="AJ2761" s="498"/>
      <c r="AM2761" s="498">
        <f t="shared" si="962"/>
        <v>0</v>
      </c>
      <c r="AN2761" s="498">
        <f t="shared" si="963"/>
        <v>0</v>
      </c>
      <c r="AO2761" s="498">
        <f t="shared" si="964"/>
        <v>0</v>
      </c>
      <c r="AP2761" s="498">
        <f t="shared" si="961"/>
        <v>0</v>
      </c>
      <c r="AQ2761" s="498">
        <f t="shared" si="978"/>
        <v>0</v>
      </c>
      <c r="AU2761" s="498">
        <f t="shared" si="965"/>
        <v>0</v>
      </c>
      <c r="AV2761" s="498">
        <f t="shared" si="966"/>
        <v>0</v>
      </c>
      <c r="AW2761" s="498">
        <f t="shared" si="967"/>
        <v>0</v>
      </c>
      <c r="AX2761" s="498">
        <f t="shared" si="968"/>
        <v>0</v>
      </c>
      <c r="AY2761" s="498">
        <f t="shared" si="969"/>
        <v>0</v>
      </c>
      <c r="BB2761" s="498" t="str">
        <f t="shared" si="970"/>
        <v/>
      </c>
      <c r="BC2761" s="743" t="str">
        <f t="shared" si="971"/>
        <v/>
      </c>
      <c r="BD2761" s="743" t="str">
        <f t="shared" si="972"/>
        <v/>
      </c>
      <c r="BE2761" s="743" t="str">
        <f>IF(D2761="","",VLOOKUP(D2761,'General Basis'!$J$39:$K$46,2,0))</f>
        <v/>
      </c>
      <c r="BF2761" s="744" t="str">
        <f>IF(D2761="","",VLOOKUP(D2761,'General Basis'!$J$39:$L$46,3,0))</f>
        <v/>
      </c>
      <c r="BG2761" s="744" t="str">
        <f t="shared" si="979"/>
        <v/>
      </c>
      <c r="BH2761" s="744" t="str">
        <f>IF(G2761="","",IF(BF2761="Abu Dhabi",IF(G2761&lt;18,'General Basis'!$C$39,IF(G2761&lt;41,'General Basis'!$C$40,IF(G2761&lt;60,'General Basis'!$C$41,IF(G2761&lt;65,'General Basis'!$C$42,'General Basis'!$C$43)))),IF(G2761&lt;11,'General Basis'!$B$39,IF(G2761&lt;18,'General Basis'!$B$40,IF(G2761&lt;26,'General Basis'!$B$41,IF(G2761&lt;31,'General Basis'!$B$42,IF(G2761&lt;36,'General Basis'!$B$43,IF(G2761&lt;41,'General Basis'!$B$44,IF(G2761&lt;46,'General Basis'!$B$45,IF(G2761&lt;51,'General Basis'!$B$46,IF(G2761&lt;56,'General Basis'!$B$47,IF(G2761&lt;60,'General Basis'!$B$48,IF(G2761&lt;65,'General Basis'!$B$49,'General Basis'!$B$50)))))))))))))</f>
        <v/>
      </c>
      <c r="BI2761" s="744" t="str">
        <f t="shared" si="973"/>
        <v/>
      </c>
      <c r="BJ2761" s="747" t="str">
        <f t="shared" si="980"/>
        <v/>
      </c>
      <c r="BK2761" s="498" t="str">
        <f t="shared" si="974"/>
        <v/>
      </c>
      <c r="BL2761" s="498" t="str">
        <f t="shared" si="975"/>
        <v/>
      </c>
    </row>
    <row r="2762" spans="1:64" x14ac:dyDescent="0.25">
      <c r="A2762" s="762">
        <f t="shared" si="976"/>
        <v>2757</v>
      </c>
      <c r="B2762" s="229"/>
      <c r="C2762" s="223"/>
      <c r="D2762" s="224"/>
      <c r="E2762" s="225"/>
      <c r="F2762" s="1036" t="str">
        <f t="shared" si="960"/>
        <v/>
      </c>
      <c r="G2762" s="1037" t="str">
        <f t="shared" si="977"/>
        <v/>
      </c>
      <c r="H2762" s="225"/>
      <c r="I2762" s="1013"/>
      <c r="J2762" s="1013"/>
      <c r="K2762" s="1028"/>
      <c r="L2762" s="1035" t="str">
        <f t="shared" si="981"/>
        <v/>
      </c>
      <c r="S2762" s="498"/>
      <c r="AJ2762" s="498"/>
      <c r="AM2762" s="498">
        <f t="shared" si="962"/>
        <v>0</v>
      </c>
      <c r="AN2762" s="498">
        <f t="shared" si="963"/>
        <v>0</v>
      </c>
      <c r="AO2762" s="498">
        <f t="shared" si="964"/>
        <v>0</v>
      </c>
      <c r="AP2762" s="498">
        <f t="shared" si="961"/>
        <v>0</v>
      </c>
      <c r="AQ2762" s="498">
        <f t="shared" si="978"/>
        <v>0</v>
      </c>
      <c r="AU2762" s="498">
        <f t="shared" si="965"/>
        <v>0</v>
      </c>
      <c r="AV2762" s="498">
        <f t="shared" si="966"/>
        <v>0</v>
      </c>
      <c r="AW2762" s="498">
        <f t="shared" si="967"/>
        <v>0</v>
      </c>
      <c r="AX2762" s="498">
        <f t="shared" si="968"/>
        <v>0</v>
      </c>
      <c r="AY2762" s="498">
        <f t="shared" si="969"/>
        <v>0</v>
      </c>
      <c r="BB2762" s="498" t="str">
        <f t="shared" si="970"/>
        <v/>
      </c>
      <c r="BC2762" s="743" t="str">
        <f t="shared" si="971"/>
        <v/>
      </c>
      <c r="BD2762" s="743" t="str">
        <f t="shared" si="972"/>
        <v/>
      </c>
      <c r="BE2762" s="743" t="str">
        <f>IF(D2762="","",VLOOKUP(D2762,'General Basis'!$J$39:$K$46,2,0))</f>
        <v/>
      </c>
      <c r="BF2762" s="744" t="str">
        <f>IF(D2762="","",VLOOKUP(D2762,'General Basis'!$J$39:$L$46,3,0))</f>
        <v/>
      </c>
      <c r="BG2762" s="744" t="str">
        <f t="shared" si="979"/>
        <v/>
      </c>
      <c r="BH2762" s="744" t="str">
        <f>IF(G2762="","",IF(BF2762="Abu Dhabi",IF(G2762&lt;18,'General Basis'!$C$39,IF(G2762&lt;41,'General Basis'!$C$40,IF(G2762&lt;60,'General Basis'!$C$41,IF(G2762&lt;65,'General Basis'!$C$42,'General Basis'!$C$43)))),IF(G2762&lt;11,'General Basis'!$B$39,IF(G2762&lt;18,'General Basis'!$B$40,IF(G2762&lt;26,'General Basis'!$B$41,IF(G2762&lt;31,'General Basis'!$B$42,IF(G2762&lt;36,'General Basis'!$B$43,IF(G2762&lt;41,'General Basis'!$B$44,IF(G2762&lt;46,'General Basis'!$B$45,IF(G2762&lt;51,'General Basis'!$B$46,IF(G2762&lt;56,'General Basis'!$B$47,IF(G2762&lt;60,'General Basis'!$B$48,IF(G2762&lt;65,'General Basis'!$B$49,'General Basis'!$B$50)))))))))))))</f>
        <v/>
      </c>
      <c r="BI2762" s="744" t="str">
        <f t="shared" si="973"/>
        <v/>
      </c>
      <c r="BJ2762" s="747" t="str">
        <f t="shared" si="980"/>
        <v/>
      </c>
      <c r="BK2762" s="498" t="str">
        <f t="shared" si="974"/>
        <v/>
      </c>
      <c r="BL2762" s="498" t="str">
        <f t="shared" si="975"/>
        <v/>
      </c>
    </row>
    <row r="2763" spans="1:64" x14ac:dyDescent="0.25">
      <c r="A2763" s="762">
        <f t="shared" si="976"/>
        <v>2758</v>
      </c>
      <c r="B2763" s="229"/>
      <c r="C2763" s="223"/>
      <c r="D2763" s="224"/>
      <c r="E2763" s="225"/>
      <c r="F2763" s="1036" t="str">
        <f t="shared" si="960"/>
        <v/>
      </c>
      <c r="G2763" s="1037" t="str">
        <f t="shared" si="977"/>
        <v/>
      </c>
      <c r="H2763" s="225"/>
      <c r="I2763" s="1013"/>
      <c r="J2763" s="1013"/>
      <c r="K2763" s="1028"/>
      <c r="L2763" s="1035" t="str">
        <f t="shared" si="981"/>
        <v/>
      </c>
      <c r="S2763" s="498"/>
      <c r="AJ2763" s="498"/>
      <c r="AM2763" s="498">
        <f t="shared" si="962"/>
        <v>0</v>
      </c>
      <c r="AN2763" s="498">
        <f t="shared" si="963"/>
        <v>0</v>
      </c>
      <c r="AO2763" s="498">
        <f t="shared" si="964"/>
        <v>0</v>
      </c>
      <c r="AP2763" s="498">
        <f t="shared" si="961"/>
        <v>0</v>
      </c>
      <c r="AQ2763" s="498">
        <f t="shared" si="978"/>
        <v>0</v>
      </c>
      <c r="AU2763" s="498">
        <f t="shared" si="965"/>
        <v>0</v>
      </c>
      <c r="AV2763" s="498">
        <f t="shared" si="966"/>
        <v>0</v>
      </c>
      <c r="AW2763" s="498">
        <f t="shared" si="967"/>
        <v>0</v>
      </c>
      <c r="AX2763" s="498">
        <f t="shared" si="968"/>
        <v>0</v>
      </c>
      <c r="AY2763" s="498">
        <f t="shared" si="969"/>
        <v>0</v>
      </c>
      <c r="BB2763" s="498" t="str">
        <f t="shared" si="970"/>
        <v/>
      </c>
      <c r="BC2763" s="743" t="str">
        <f t="shared" si="971"/>
        <v/>
      </c>
      <c r="BD2763" s="743" t="str">
        <f t="shared" si="972"/>
        <v/>
      </c>
      <c r="BE2763" s="743" t="str">
        <f>IF(D2763="","",VLOOKUP(D2763,'General Basis'!$J$39:$K$46,2,0))</f>
        <v/>
      </c>
      <c r="BF2763" s="744" t="str">
        <f>IF(D2763="","",VLOOKUP(D2763,'General Basis'!$J$39:$L$46,3,0))</f>
        <v/>
      </c>
      <c r="BG2763" s="744" t="str">
        <f t="shared" si="979"/>
        <v/>
      </c>
      <c r="BH2763" s="744" t="str">
        <f>IF(G2763="","",IF(BF2763="Abu Dhabi",IF(G2763&lt;18,'General Basis'!$C$39,IF(G2763&lt;41,'General Basis'!$C$40,IF(G2763&lt;60,'General Basis'!$C$41,IF(G2763&lt;65,'General Basis'!$C$42,'General Basis'!$C$43)))),IF(G2763&lt;11,'General Basis'!$B$39,IF(G2763&lt;18,'General Basis'!$B$40,IF(G2763&lt;26,'General Basis'!$B$41,IF(G2763&lt;31,'General Basis'!$B$42,IF(G2763&lt;36,'General Basis'!$B$43,IF(G2763&lt;41,'General Basis'!$B$44,IF(G2763&lt;46,'General Basis'!$B$45,IF(G2763&lt;51,'General Basis'!$B$46,IF(G2763&lt;56,'General Basis'!$B$47,IF(G2763&lt;60,'General Basis'!$B$48,IF(G2763&lt;65,'General Basis'!$B$49,'General Basis'!$B$50)))))))))))))</f>
        <v/>
      </c>
      <c r="BI2763" s="744" t="str">
        <f t="shared" si="973"/>
        <v/>
      </c>
      <c r="BJ2763" s="747" t="str">
        <f t="shared" si="980"/>
        <v/>
      </c>
      <c r="BK2763" s="498" t="str">
        <f t="shared" si="974"/>
        <v/>
      </c>
      <c r="BL2763" s="498" t="str">
        <f t="shared" si="975"/>
        <v/>
      </c>
    </row>
    <row r="2764" spans="1:64" x14ac:dyDescent="0.25">
      <c r="A2764" s="762">
        <f t="shared" si="976"/>
        <v>2759</v>
      </c>
      <c r="B2764" s="229"/>
      <c r="C2764" s="223"/>
      <c r="D2764" s="224"/>
      <c r="E2764" s="225"/>
      <c r="F2764" s="1036" t="str">
        <f t="shared" si="960"/>
        <v/>
      </c>
      <c r="G2764" s="1037" t="str">
        <f t="shared" si="977"/>
        <v/>
      </c>
      <c r="H2764" s="225"/>
      <c r="I2764" s="1013"/>
      <c r="J2764" s="1013"/>
      <c r="K2764" s="1028"/>
      <c r="L2764" s="1035" t="str">
        <f t="shared" si="981"/>
        <v/>
      </c>
      <c r="S2764" s="498"/>
      <c r="AJ2764" s="498"/>
      <c r="AM2764" s="498">
        <f t="shared" si="962"/>
        <v>0</v>
      </c>
      <c r="AN2764" s="498">
        <f t="shared" si="963"/>
        <v>0</v>
      </c>
      <c r="AO2764" s="498">
        <f t="shared" si="964"/>
        <v>0</v>
      </c>
      <c r="AP2764" s="498">
        <f t="shared" si="961"/>
        <v>0</v>
      </c>
      <c r="AQ2764" s="498">
        <f t="shared" si="978"/>
        <v>0</v>
      </c>
      <c r="AU2764" s="498">
        <f t="shared" si="965"/>
        <v>0</v>
      </c>
      <c r="AV2764" s="498">
        <f t="shared" si="966"/>
        <v>0</v>
      </c>
      <c r="AW2764" s="498">
        <f t="shared" si="967"/>
        <v>0</v>
      </c>
      <c r="AX2764" s="498">
        <f t="shared" si="968"/>
        <v>0</v>
      </c>
      <c r="AY2764" s="498">
        <f t="shared" si="969"/>
        <v>0</v>
      </c>
      <c r="BB2764" s="498" t="str">
        <f t="shared" si="970"/>
        <v/>
      </c>
      <c r="BC2764" s="743" t="str">
        <f t="shared" si="971"/>
        <v/>
      </c>
      <c r="BD2764" s="743" t="str">
        <f t="shared" si="972"/>
        <v/>
      </c>
      <c r="BE2764" s="743" t="str">
        <f>IF(D2764="","",VLOOKUP(D2764,'General Basis'!$J$39:$K$46,2,0))</f>
        <v/>
      </c>
      <c r="BF2764" s="744" t="str">
        <f>IF(D2764="","",VLOOKUP(D2764,'General Basis'!$J$39:$L$46,3,0))</f>
        <v/>
      </c>
      <c r="BG2764" s="744" t="str">
        <f t="shared" si="979"/>
        <v/>
      </c>
      <c r="BH2764" s="744" t="str">
        <f>IF(G2764="","",IF(BF2764="Abu Dhabi",IF(G2764&lt;18,'General Basis'!$C$39,IF(G2764&lt;41,'General Basis'!$C$40,IF(G2764&lt;60,'General Basis'!$C$41,IF(G2764&lt;65,'General Basis'!$C$42,'General Basis'!$C$43)))),IF(G2764&lt;11,'General Basis'!$B$39,IF(G2764&lt;18,'General Basis'!$B$40,IF(G2764&lt;26,'General Basis'!$B$41,IF(G2764&lt;31,'General Basis'!$B$42,IF(G2764&lt;36,'General Basis'!$B$43,IF(G2764&lt;41,'General Basis'!$B$44,IF(G2764&lt;46,'General Basis'!$B$45,IF(G2764&lt;51,'General Basis'!$B$46,IF(G2764&lt;56,'General Basis'!$B$47,IF(G2764&lt;60,'General Basis'!$B$48,IF(G2764&lt;65,'General Basis'!$B$49,'General Basis'!$B$50)))))))))))))</f>
        <v/>
      </c>
      <c r="BI2764" s="744" t="str">
        <f t="shared" si="973"/>
        <v/>
      </c>
      <c r="BJ2764" s="747" t="str">
        <f t="shared" si="980"/>
        <v/>
      </c>
      <c r="BK2764" s="498" t="str">
        <f t="shared" si="974"/>
        <v/>
      </c>
      <c r="BL2764" s="498" t="str">
        <f t="shared" si="975"/>
        <v/>
      </c>
    </row>
    <row r="2765" spans="1:64" x14ac:dyDescent="0.25">
      <c r="A2765" s="762">
        <f t="shared" si="976"/>
        <v>2760</v>
      </c>
      <c r="B2765" s="229"/>
      <c r="C2765" s="223"/>
      <c r="D2765" s="224"/>
      <c r="E2765" s="225"/>
      <c r="F2765" s="1036" t="str">
        <f t="shared" si="960"/>
        <v/>
      </c>
      <c r="G2765" s="1037" t="str">
        <f t="shared" si="977"/>
        <v/>
      </c>
      <c r="H2765" s="225"/>
      <c r="I2765" s="1013"/>
      <c r="J2765" s="1013"/>
      <c r="K2765" s="1028"/>
      <c r="L2765" s="1035" t="str">
        <f t="shared" si="981"/>
        <v/>
      </c>
      <c r="S2765" s="498"/>
      <c r="AJ2765" s="498"/>
      <c r="AM2765" s="498">
        <f t="shared" si="962"/>
        <v>0</v>
      </c>
      <c r="AN2765" s="498">
        <f t="shared" si="963"/>
        <v>0</v>
      </c>
      <c r="AO2765" s="498">
        <f t="shared" si="964"/>
        <v>0</v>
      </c>
      <c r="AP2765" s="498">
        <f t="shared" si="961"/>
        <v>0</v>
      </c>
      <c r="AQ2765" s="498">
        <f t="shared" si="978"/>
        <v>0</v>
      </c>
      <c r="AU2765" s="498">
        <f t="shared" si="965"/>
        <v>0</v>
      </c>
      <c r="AV2765" s="498">
        <f t="shared" si="966"/>
        <v>0</v>
      </c>
      <c r="AW2765" s="498">
        <f t="shared" si="967"/>
        <v>0</v>
      </c>
      <c r="AX2765" s="498">
        <f t="shared" si="968"/>
        <v>0</v>
      </c>
      <c r="AY2765" s="498">
        <f t="shared" si="969"/>
        <v>0</v>
      </c>
      <c r="BB2765" s="498" t="str">
        <f t="shared" si="970"/>
        <v/>
      </c>
      <c r="BC2765" s="743" t="str">
        <f t="shared" si="971"/>
        <v/>
      </c>
      <c r="BD2765" s="743" t="str">
        <f t="shared" si="972"/>
        <v/>
      </c>
      <c r="BE2765" s="743" t="str">
        <f>IF(D2765="","",VLOOKUP(D2765,'General Basis'!$J$39:$K$46,2,0))</f>
        <v/>
      </c>
      <c r="BF2765" s="744" t="str">
        <f>IF(D2765="","",VLOOKUP(D2765,'General Basis'!$J$39:$L$46,3,0))</f>
        <v/>
      </c>
      <c r="BG2765" s="744" t="str">
        <f t="shared" si="979"/>
        <v/>
      </c>
      <c r="BH2765" s="744" t="str">
        <f>IF(G2765="","",IF(BF2765="Abu Dhabi",IF(G2765&lt;18,'General Basis'!$C$39,IF(G2765&lt;41,'General Basis'!$C$40,IF(G2765&lt;60,'General Basis'!$C$41,IF(G2765&lt;65,'General Basis'!$C$42,'General Basis'!$C$43)))),IF(G2765&lt;11,'General Basis'!$B$39,IF(G2765&lt;18,'General Basis'!$B$40,IF(G2765&lt;26,'General Basis'!$B$41,IF(G2765&lt;31,'General Basis'!$B$42,IF(G2765&lt;36,'General Basis'!$B$43,IF(G2765&lt;41,'General Basis'!$B$44,IF(G2765&lt;46,'General Basis'!$B$45,IF(G2765&lt;51,'General Basis'!$B$46,IF(G2765&lt;56,'General Basis'!$B$47,IF(G2765&lt;60,'General Basis'!$B$48,IF(G2765&lt;65,'General Basis'!$B$49,'General Basis'!$B$50)))))))))))))</f>
        <v/>
      </c>
      <c r="BI2765" s="744" t="str">
        <f t="shared" si="973"/>
        <v/>
      </c>
      <c r="BJ2765" s="747" t="str">
        <f t="shared" si="980"/>
        <v/>
      </c>
      <c r="BK2765" s="498" t="str">
        <f t="shared" si="974"/>
        <v/>
      </c>
      <c r="BL2765" s="498" t="str">
        <f t="shared" si="975"/>
        <v/>
      </c>
    </row>
    <row r="2766" spans="1:64" x14ac:dyDescent="0.25">
      <c r="A2766" s="762">
        <f t="shared" si="976"/>
        <v>2761</v>
      </c>
      <c r="B2766" s="229"/>
      <c r="C2766" s="223"/>
      <c r="D2766" s="224"/>
      <c r="E2766" s="225"/>
      <c r="F2766" s="1036" t="str">
        <f t="shared" si="960"/>
        <v/>
      </c>
      <c r="G2766" s="1037" t="str">
        <f t="shared" si="977"/>
        <v/>
      </c>
      <c r="H2766" s="225"/>
      <c r="I2766" s="1013"/>
      <c r="J2766" s="1013"/>
      <c r="K2766" s="1028"/>
      <c r="L2766" s="1035" t="str">
        <f t="shared" si="981"/>
        <v/>
      </c>
      <c r="S2766" s="498"/>
      <c r="AJ2766" s="498"/>
      <c r="AM2766" s="498">
        <f t="shared" si="962"/>
        <v>0</v>
      </c>
      <c r="AN2766" s="498">
        <f t="shared" si="963"/>
        <v>0</v>
      </c>
      <c r="AO2766" s="498">
        <f t="shared" si="964"/>
        <v>0</v>
      </c>
      <c r="AP2766" s="498">
        <f t="shared" si="961"/>
        <v>0</v>
      </c>
      <c r="AQ2766" s="498">
        <f t="shared" si="978"/>
        <v>0</v>
      </c>
      <c r="AU2766" s="498">
        <f t="shared" si="965"/>
        <v>0</v>
      </c>
      <c r="AV2766" s="498">
        <f t="shared" si="966"/>
        <v>0</v>
      </c>
      <c r="AW2766" s="498">
        <f t="shared" si="967"/>
        <v>0</v>
      </c>
      <c r="AX2766" s="498">
        <f t="shared" si="968"/>
        <v>0</v>
      </c>
      <c r="AY2766" s="498">
        <f t="shared" si="969"/>
        <v>0</v>
      </c>
      <c r="BB2766" s="498" t="str">
        <f t="shared" si="970"/>
        <v/>
      </c>
      <c r="BC2766" s="743" t="str">
        <f t="shared" si="971"/>
        <v/>
      </c>
      <c r="BD2766" s="743" t="str">
        <f t="shared" si="972"/>
        <v/>
      </c>
      <c r="BE2766" s="743" t="str">
        <f>IF(D2766="","",VLOOKUP(D2766,'General Basis'!$J$39:$K$46,2,0))</f>
        <v/>
      </c>
      <c r="BF2766" s="744" t="str">
        <f>IF(D2766="","",VLOOKUP(D2766,'General Basis'!$J$39:$L$46,3,0))</f>
        <v/>
      </c>
      <c r="BG2766" s="744" t="str">
        <f t="shared" si="979"/>
        <v/>
      </c>
      <c r="BH2766" s="744" t="str">
        <f>IF(G2766="","",IF(BF2766="Abu Dhabi",IF(G2766&lt;18,'General Basis'!$C$39,IF(G2766&lt;41,'General Basis'!$C$40,IF(G2766&lt;60,'General Basis'!$C$41,IF(G2766&lt;65,'General Basis'!$C$42,'General Basis'!$C$43)))),IF(G2766&lt;11,'General Basis'!$B$39,IF(G2766&lt;18,'General Basis'!$B$40,IF(G2766&lt;26,'General Basis'!$B$41,IF(G2766&lt;31,'General Basis'!$B$42,IF(G2766&lt;36,'General Basis'!$B$43,IF(G2766&lt;41,'General Basis'!$B$44,IF(G2766&lt;46,'General Basis'!$B$45,IF(G2766&lt;51,'General Basis'!$B$46,IF(G2766&lt;56,'General Basis'!$B$47,IF(G2766&lt;60,'General Basis'!$B$48,IF(G2766&lt;65,'General Basis'!$B$49,'General Basis'!$B$50)))))))))))))</f>
        <v/>
      </c>
      <c r="BI2766" s="744" t="str">
        <f t="shared" si="973"/>
        <v/>
      </c>
      <c r="BJ2766" s="747" t="str">
        <f t="shared" si="980"/>
        <v/>
      </c>
      <c r="BK2766" s="498" t="str">
        <f t="shared" si="974"/>
        <v/>
      </c>
      <c r="BL2766" s="498" t="str">
        <f t="shared" si="975"/>
        <v/>
      </c>
    </row>
    <row r="2767" spans="1:64" x14ac:dyDescent="0.25">
      <c r="A2767" s="762">
        <f t="shared" si="976"/>
        <v>2762</v>
      </c>
      <c r="B2767" s="229"/>
      <c r="C2767" s="223"/>
      <c r="D2767" s="224"/>
      <c r="E2767" s="225"/>
      <c r="F2767" s="1036" t="str">
        <f t="shared" si="960"/>
        <v/>
      </c>
      <c r="G2767" s="1037" t="str">
        <f t="shared" si="977"/>
        <v/>
      </c>
      <c r="H2767" s="225"/>
      <c r="I2767" s="1013"/>
      <c r="J2767" s="1013"/>
      <c r="K2767" s="1028"/>
      <c r="L2767" s="1035" t="str">
        <f t="shared" si="981"/>
        <v/>
      </c>
      <c r="S2767" s="498"/>
      <c r="AJ2767" s="498"/>
      <c r="AM2767" s="498">
        <f t="shared" si="962"/>
        <v>0</v>
      </c>
      <c r="AN2767" s="498">
        <f t="shared" si="963"/>
        <v>0</v>
      </c>
      <c r="AO2767" s="498">
        <f t="shared" si="964"/>
        <v>0</v>
      </c>
      <c r="AP2767" s="498">
        <f t="shared" si="961"/>
        <v>0</v>
      </c>
      <c r="AQ2767" s="498">
        <f t="shared" si="978"/>
        <v>0</v>
      </c>
      <c r="AU2767" s="498">
        <f t="shared" si="965"/>
        <v>0</v>
      </c>
      <c r="AV2767" s="498">
        <f t="shared" si="966"/>
        <v>0</v>
      </c>
      <c r="AW2767" s="498">
        <f t="shared" si="967"/>
        <v>0</v>
      </c>
      <c r="AX2767" s="498">
        <f t="shared" si="968"/>
        <v>0</v>
      </c>
      <c r="AY2767" s="498">
        <f t="shared" si="969"/>
        <v>0</v>
      </c>
      <c r="BB2767" s="498" t="str">
        <f t="shared" si="970"/>
        <v/>
      </c>
      <c r="BC2767" s="743" t="str">
        <f t="shared" si="971"/>
        <v/>
      </c>
      <c r="BD2767" s="743" t="str">
        <f t="shared" si="972"/>
        <v/>
      </c>
      <c r="BE2767" s="743" t="str">
        <f>IF(D2767="","",VLOOKUP(D2767,'General Basis'!$J$39:$K$46,2,0))</f>
        <v/>
      </c>
      <c r="BF2767" s="744" t="str">
        <f>IF(D2767="","",VLOOKUP(D2767,'General Basis'!$J$39:$L$46,3,0))</f>
        <v/>
      </c>
      <c r="BG2767" s="744" t="str">
        <f t="shared" si="979"/>
        <v/>
      </c>
      <c r="BH2767" s="744" t="str">
        <f>IF(G2767="","",IF(BF2767="Abu Dhabi",IF(G2767&lt;18,'General Basis'!$C$39,IF(G2767&lt;41,'General Basis'!$C$40,IF(G2767&lt;60,'General Basis'!$C$41,IF(G2767&lt;65,'General Basis'!$C$42,'General Basis'!$C$43)))),IF(G2767&lt;11,'General Basis'!$B$39,IF(G2767&lt;18,'General Basis'!$B$40,IF(G2767&lt;26,'General Basis'!$B$41,IF(G2767&lt;31,'General Basis'!$B$42,IF(G2767&lt;36,'General Basis'!$B$43,IF(G2767&lt;41,'General Basis'!$B$44,IF(G2767&lt;46,'General Basis'!$B$45,IF(G2767&lt;51,'General Basis'!$B$46,IF(G2767&lt;56,'General Basis'!$B$47,IF(G2767&lt;60,'General Basis'!$B$48,IF(G2767&lt;65,'General Basis'!$B$49,'General Basis'!$B$50)))))))))))))</f>
        <v/>
      </c>
      <c r="BI2767" s="744" t="str">
        <f t="shared" si="973"/>
        <v/>
      </c>
      <c r="BJ2767" s="747" t="str">
        <f t="shared" si="980"/>
        <v/>
      </c>
      <c r="BK2767" s="498" t="str">
        <f t="shared" si="974"/>
        <v/>
      </c>
      <c r="BL2767" s="498" t="str">
        <f t="shared" si="975"/>
        <v/>
      </c>
    </row>
    <row r="2768" spans="1:64" x14ac:dyDescent="0.25">
      <c r="A2768" s="762">
        <f t="shared" si="976"/>
        <v>2763</v>
      </c>
      <c r="B2768" s="229"/>
      <c r="C2768" s="223"/>
      <c r="D2768" s="224"/>
      <c r="E2768" s="225"/>
      <c r="F2768" s="1036" t="str">
        <f t="shared" ref="F2768:F2831" si="982">IF(C2768="","",IF($B2768="","",((YEAR($F$3)-YEAR($B2768))+(MONTH($F$3)-MONTH($B2768))/12+(DAY($F$3)-DAY($B2768))/(DATE(YEAR($F$3),12,31)-DATE(YEAR($F$3),1,1)+1))))</f>
        <v/>
      </c>
      <c r="G2768" s="1037" t="str">
        <f t="shared" si="977"/>
        <v/>
      </c>
      <c r="H2768" s="225"/>
      <c r="I2768" s="1013"/>
      <c r="J2768" s="1013"/>
      <c r="K2768" s="1028"/>
      <c r="L2768" s="1035" t="str">
        <f t="shared" si="981"/>
        <v/>
      </c>
      <c r="S2768" s="498"/>
      <c r="AJ2768" s="498"/>
      <c r="AM2768" s="498">
        <f t="shared" si="962"/>
        <v>0</v>
      </c>
      <c r="AN2768" s="498">
        <f t="shared" si="963"/>
        <v>0</v>
      </c>
      <c r="AO2768" s="498">
        <f t="shared" si="964"/>
        <v>0</v>
      </c>
      <c r="AP2768" s="498">
        <f t="shared" si="961"/>
        <v>0</v>
      </c>
      <c r="AQ2768" s="498">
        <f t="shared" si="978"/>
        <v>0</v>
      </c>
      <c r="AU2768" s="498">
        <f t="shared" si="965"/>
        <v>0</v>
      </c>
      <c r="AV2768" s="498">
        <f t="shared" si="966"/>
        <v>0</v>
      </c>
      <c r="AW2768" s="498">
        <f t="shared" si="967"/>
        <v>0</v>
      </c>
      <c r="AX2768" s="498">
        <f t="shared" si="968"/>
        <v>0</v>
      </c>
      <c r="AY2768" s="498">
        <f t="shared" si="969"/>
        <v>0</v>
      </c>
      <c r="BB2768" s="498" t="str">
        <f t="shared" si="970"/>
        <v/>
      </c>
      <c r="BC2768" s="743" t="str">
        <f t="shared" si="971"/>
        <v/>
      </c>
      <c r="BD2768" s="743" t="str">
        <f t="shared" si="972"/>
        <v/>
      </c>
      <c r="BE2768" s="743" t="str">
        <f>IF(D2768="","",VLOOKUP(D2768,'General Basis'!$J$39:$K$46,2,0))</f>
        <v/>
      </c>
      <c r="BF2768" s="744" t="str">
        <f>IF(D2768="","",VLOOKUP(D2768,'General Basis'!$J$39:$L$46,3,0))</f>
        <v/>
      </c>
      <c r="BG2768" s="744" t="str">
        <f t="shared" si="979"/>
        <v/>
      </c>
      <c r="BH2768" s="744" t="str">
        <f>IF(G2768="","",IF(BF2768="Abu Dhabi",IF(G2768&lt;18,'General Basis'!$C$39,IF(G2768&lt;41,'General Basis'!$C$40,IF(G2768&lt;60,'General Basis'!$C$41,IF(G2768&lt;65,'General Basis'!$C$42,'General Basis'!$C$43)))),IF(G2768&lt;11,'General Basis'!$B$39,IF(G2768&lt;18,'General Basis'!$B$40,IF(G2768&lt;26,'General Basis'!$B$41,IF(G2768&lt;31,'General Basis'!$B$42,IF(G2768&lt;36,'General Basis'!$B$43,IF(G2768&lt;41,'General Basis'!$B$44,IF(G2768&lt;46,'General Basis'!$B$45,IF(G2768&lt;51,'General Basis'!$B$46,IF(G2768&lt;56,'General Basis'!$B$47,IF(G2768&lt;60,'General Basis'!$B$48,IF(G2768&lt;65,'General Basis'!$B$49,'General Basis'!$B$50)))))))))))))</f>
        <v/>
      </c>
      <c r="BI2768" s="744" t="str">
        <f t="shared" si="973"/>
        <v/>
      </c>
      <c r="BJ2768" s="747" t="str">
        <f t="shared" si="980"/>
        <v/>
      </c>
      <c r="BK2768" s="498" t="str">
        <f t="shared" si="974"/>
        <v/>
      </c>
      <c r="BL2768" s="498" t="str">
        <f t="shared" si="975"/>
        <v/>
      </c>
    </row>
    <row r="2769" spans="1:64" x14ac:dyDescent="0.25">
      <c r="A2769" s="762">
        <f t="shared" si="976"/>
        <v>2764</v>
      </c>
      <c r="B2769" s="229"/>
      <c r="C2769" s="223"/>
      <c r="D2769" s="224"/>
      <c r="E2769" s="225"/>
      <c r="F2769" s="1036" t="str">
        <f t="shared" si="982"/>
        <v/>
      </c>
      <c r="G2769" s="1037" t="str">
        <f t="shared" si="977"/>
        <v/>
      </c>
      <c r="H2769" s="225"/>
      <c r="I2769" s="1013"/>
      <c r="J2769" s="1013"/>
      <c r="K2769" s="1028"/>
      <c r="L2769" s="1035" t="str">
        <f t="shared" si="981"/>
        <v/>
      </c>
      <c r="S2769" s="498"/>
      <c r="AJ2769" s="498"/>
      <c r="AM2769" s="498">
        <f t="shared" si="962"/>
        <v>0</v>
      </c>
      <c r="AN2769" s="498">
        <f t="shared" si="963"/>
        <v>0</v>
      </c>
      <c r="AO2769" s="498">
        <f t="shared" si="964"/>
        <v>0</v>
      </c>
      <c r="AP2769" s="498">
        <f t="shared" si="961"/>
        <v>0</v>
      </c>
      <c r="AQ2769" s="498">
        <f t="shared" si="978"/>
        <v>0</v>
      </c>
      <c r="AU2769" s="498">
        <f t="shared" si="965"/>
        <v>0</v>
      </c>
      <c r="AV2769" s="498">
        <f t="shared" si="966"/>
        <v>0</v>
      </c>
      <c r="AW2769" s="498">
        <f t="shared" si="967"/>
        <v>0</v>
      </c>
      <c r="AX2769" s="498">
        <f t="shared" si="968"/>
        <v>0</v>
      </c>
      <c r="AY2769" s="498">
        <f t="shared" si="969"/>
        <v>0</v>
      </c>
      <c r="BB2769" s="498" t="str">
        <f t="shared" si="970"/>
        <v/>
      </c>
      <c r="BC2769" s="743" t="str">
        <f t="shared" si="971"/>
        <v/>
      </c>
      <c r="BD2769" s="743" t="str">
        <f t="shared" si="972"/>
        <v/>
      </c>
      <c r="BE2769" s="743" t="str">
        <f>IF(D2769="","",VLOOKUP(D2769,'General Basis'!$J$39:$K$46,2,0))</f>
        <v/>
      </c>
      <c r="BF2769" s="744" t="str">
        <f>IF(D2769="","",VLOOKUP(D2769,'General Basis'!$J$39:$L$46,3,0))</f>
        <v/>
      </c>
      <c r="BG2769" s="744" t="str">
        <f t="shared" si="979"/>
        <v/>
      </c>
      <c r="BH2769" s="744" t="str">
        <f>IF(G2769="","",IF(BF2769="Abu Dhabi",IF(G2769&lt;18,'General Basis'!$C$39,IF(G2769&lt;41,'General Basis'!$C$40,IF(G2769&lt;60,'General Basis'!$C$41,IF(G2769&lt;65,'General Basis'!$C$42,'General Basis'!$C$43)))),IF(G2769&lt;11,'General Basis'!$B$39,IF(G2769&lt;18,'General Basis'!$B$40,IF(G2769&lt;26,'General Basis'!$B$41,IF(G2769&lt;31,'General Basis'!$B$42,IF(G2769&lt;36,'General Basis'!$B$43,IF(G2769&lt;41,'General Basis'!$B$44,IF(G2769&lt;46,'General Basis'!$B$45,IF(G2769&lt;51,'General Basis'!$B$46,IF(G2769&lt;56,'General Basis'!$B$47,IF(G2769&lt;60,'General Basis'!$B$48,IF(G2769&lt;65,'General Basis'!$B$49,'General Basis'!$B$50)))))))))))))</f>
        <v/>
      </c>
      <c r="BI2769" s="744" t="str">
        <f t="shared" si="973"/>
        <v/>
      </c>
      <c r="BJ2769" s="747" t="str">
        <f t="shared" si="980"/>
        <v/>
      </c>
      <c r="BK2769" s="498" t="str">
        <f t="shared" si="974"/>
        <v/>
      </c>
      <c r="BL2769" s="498" t="str">
        <f t="shared" si="975"/>
        <v/>
      </c>
    </row>
    <row r="2770" spans="1:64" x14ac:dyDescent="0.25">
      <c r="A2770" s="762">
        <f t="shared" si="976"/>
        <v>2765</v>
      </c>
      <c r="B2770" s="229"/>
      <c r="C2770" s="223"/>
      <c r="D2770" s="224"/>
      <c r="E2770" s="225"/>
      <c r="F2770" s="1036" t="str">
        <f t="shared" si="982"/>
        <v/>
      </c>
      <c r="G2770" s="1037" t="str">
        <f t="shared" si="977"/>
        <v/>
      </c>
      <c r="H2770" s="225"/>
      <c r="I2770" s="1013"/>
      <c r="J2770" s="1013"/>
      <c r="K2770" s="1028"/>
      <c r="L2770" s="1035" t="str">
        <f t="shared" si="981"/>
        <v/>
      </c>
      <c r="S2770" s="498"/>
      <c r="AJ2770" s="498"/>
      <c r="AM2770" s="498">
        <f t="shared" si="962"/>
        <v>0</v>
      </c>
      <c r="AN2770" s="498">
        <f t="shared" si="963"/>
        <v>0</v>
      </c>
      <c r="AO2770" s="498">
        <f t="shared" si="964"/>
        <v>0</v>
      </c>
      <c r="AP2770" s="498">
        <f t="shared" si="961"/>
        <v>0</v>
      </c>
      <c r="AQ2770" s="498">
        <f t="shared" si="978"/>
        <v>0</v>
      </c>
      <c r="AU2770" s="498">
        <f t="shared" si="965"/>
        <v>0</v>
      </c>
      <c r="AV2770" s="498">
        <f t="shared" si="966"/>
        <v>0</v>
      </c>
      <c r="AW2770" s="498">
        <f t="shared" si="967"/>
        <v>0</v>
      </c>
      <c r="AX2770" s="498">
        <f t="shared" si="968"/>
        <v>0</v>
      </c>
      <c r="AY2770" s="498">
        <f t="shared" si="969"/>
        <v>0</v>
      </c>
      <c r="BB2770" s="498" t="str">
        <f t="shared" si="970"/>
        <v/>
      </c>
      <c r="BC2770" s="743" t="str">
        <f t="shared" si="971"/>
        <v/>
      </c>
      <c r="BD2770" s="743" t="str">
        <f t="shared" si="972"/>
        <v/>
      </c>
      <c r="BE2770" s="743" t="str">
        <f>IF(D2770="","",VLOOKUP(D2770,'General Basis'!$J$39:$K$46,2,0))</f>
        <v/>
      </c>
      <c r="BF2770" s="744" t="str">
        <f>IF(D2770="","",VLOOKUP(D2770,'General Basis'!$J$39:$L$46,3,0))</f>
        <v/>
      </c>
      <c r="BG2770" s="744" t="str">
        <f t="shared" si="979"/>
        <v/>
      </c>
      <c r="BH2770" s="744" t="str">
        <f>IF(G2770="","",IF(BF2770="Abu Dhabi",IF(G2770&lt;18,'General Basis'!$C$39,IF(G2770&lt;41,'General Basis'!$C$40,IF(G2770&lt;60,'General Basis'!$C$41,IF(G2770&lt;65,'General Basis'!$C$42,'General Basis'!$C$43)))),IF(G2770&lt;11,'General Basis'!$B$39,IF(G2770&lt;18,'General Basis'!$B$40,IF(G2770&lt;26,'General Basis'!$B$41,IF(G2770&lt;31,'General Basis'!$B$42,IF(G2770&lt;36,'General Basis'!$B$43,IF(G2770&lt;41,'General Basis'!$B$44,IF(G2770&lt;46,'General Basis'!$B$45,IF(G2770&lt;51,'General Basis'!$B$46,IF(G2770&lt;56,'General Basis'!$B$47,IF(G2770&lt;60,'General Basis'!$B$48,IF(G2770&lt;65,'General Basis'!$B$49,'General Basis'!$B$50)))))))))))))</f>
        <v/>
      </c>
      <c r="BI2770" s="744" t="str">
        <f t="shared" si="973"/>
        <v/>
      </c>
      <c r="BJ2770" s="747" t="str">
        <f t="shared" si="980"/>
        <v/>
      </c>
      <c r="BK2770" s="498" t="str">
        <f t="shared" si="974"/>
        <v/>
      </c>
      <c r="BL2770" s="498" t="str">
        <f t="shared" si="975"/>
        <v/>
      </c>
    </row>
    <row r="2771" spans="1:64" x14ac:dyDescent="0.25">
      <c r="A2771" s="762">
        <f t="shared" si="976"/>
        <v>2766</v>
      </c>
      <c r="B2771" s="229"/>
      <c r="C2771" s="223"/>
      <c r="D2771" s="224"/>
      <c r="E2771" s="225"/>
      <c r="F2771" s="1036" t="str">
        <f t="shared" si="982"/>
        <v/>
      </c>
      <c r="G2771" s="1037" t="str">
        <f t="shared" si="977"/>
        <v/>
      </c>
      <c r="H2771" s="225"/>
      <c r="I2771" s="1013"/>
      <c r="J2771" s="1013"/>
      <c r="K2771" s="1028"/>
      <c r="L2771" s="1035" t="str">
        <f t="shared" si="981"/>
        <v/>
      </c>
      <c r="S2771" s="498"/>
      <c r="AJ2771" s="498"/>
      <c r="AM2771" s="498">
        <f t="shared" si="962"/>
        <v>0</v>
      </c>
      <c r="AN2771" s="498">
        <f t="shared" si="963"/>
        <v>0</v>
      </c>
      <c r="AO2771" s="498">
        <f t="shared" si="964"/>
        <v>0</v>
      </c>
      <c r="AP2771" s="498">
        <f t="shared" ref="AP2771:AP2834" si="983">IF(ISBLANK($B2771),0,IF(OR($C2771="M",$C2771="F"),0,1))</f>
        <v>0</v>
      </c>
      <c r="AQ2771" s="498">
        <f t="shared" si="978"/>
        <v>0</v>
      </c>
      <c r="AU2771" s="498">
        <f t="shared" si="965"/>
        <v>0</v>
      </c>
      <c r="AV2771" s="498">
        <f t="shared" si="966"/>
        <v>0</v>
      </c>
      <c r="AW2771" s="498">
        <f t="shared" si="967"/>
        <v>0</v>
      </c>
      <c r="AX2771" s="498">
        <f t="shared" si="968"/>
        <v>0</v>
      </c>
      <c r="AY2771" s="498">
        <f t="shared" si="969"/>
        <v>0</v>
      </c>
      <c r="BB2771" s="498" t="str">
        <f t="shared" si="970"/>
        <v/>
      </c>
      <c r="BC2771" s="743" t="str">
        <f t="shared" si="971"/>
        <v/>
      </c>
      <c r="BD2771" s="743" t="str">
        <f t="shared" si="972"/>
        <v/>
      </c>
      <c r="BE2771" s="743" t="str">
        <f>IF(D2771="","",VLOOKUP(D2771,'General Basis'!$J$39:$K$46,2,0))</f>
        <v/>
      </c>
      <c r="BF2771" s="744" t="str">
        <f>IF(D2771="","",VLOOKUP(D2771,'General Basis'!$J$39:$L$46,3,0))</f>
        <v/>
      </c>
      <c r="BG2771" s="744" t="str">
        <f t="shared" si="979"/>
        <v/>
      </c>
      <c r="BH2771" s="744" t="str">
        <f>IF(G2771="","",IF(BF2771="Abu Dhabi",IF(G2771&lt;18,'General Basis'!$C$39,IF(G2771&lt;41,'General Basis'!$C$40,IF(G2771&lt;60,'General Basis'!$C$41,IF(G2771&lt;65,'General Basis'!$C$42,'General Basis'!$C$43)))),IF(G2771&lt;11,'General Basis'!$B$39,IF(G2771&lt;18,'General Basis'!$B$40,IF(G2771&lt;26,'General Basis'!$B$41,IF(G2771&lt;31,'General Basis'!$B$42,IF(G2771&lt;36,'General Basis'!$B$43,IF(G2771&lt;41,'General Basis'!$B$44,IF(G2771&lt;46,'General Basis'!$B$45,IF(G2771&lt;51,'General Basis'!$B$46,IF(G2771&lt;56,'General Basis'!$B$47,IF(G2771&lt;60,'General Basis'!$B$48,IF(G2771&lt;65,'General Basis'!$B$49,'General Basis'!$B$50)))))))))))))</f>
        <v/>
      </c>
      <c r="BI2771" s="744" t="str">
        <f t="shared" si="973"/>
        <v/>
      </c>
      <c r="BJ2771" s="747" t="str">
        <f t="shared" si="980"/>
        <v/>
      </c>
      <c r="BK2771" s="498" t="str">
        <f t="shared" si="974"/>
        <v/>
      </c>
      <c r="BL2771" s="498" t="str">
        <f t="shared" si="975"/>
        <v/>
      </c>
    </row>
    <row r="2772" spans="1:64" x14ac:dyDescent="0.25">
      <c r="A2772" s="762">
        <f t="shared" si="976"/>
        <v>2767</v>
      </c>
      <c r="B2772" s="229"/>
      <c r="C2772" s="223"/>
      <c r="D2772" s="224"/>
      <c r="E2772" s="225"/>
      <c r="F2772" s="1036" t="str">
        <f t="shared" si="982"/>
        <v/>
      </c>
      <c r="G2772" s="1037" t="str">
        <f t="shared" si="977"/>
        <v/>
      </c>
      <c r="H2772" s="225"/>
      <c r="I2772" s="1013"/>
      <c r="J2772" s="1013"/>
      <c r="K2772" s="1028"/>
      <c r="L2772" s="1035" t="str">
        <f t="shared" si="981"/>
        <v/>
      </c>
      <c r="S2772" s="498"/>
      <c r="AJ2772" s="498"/>
      <c r="AM2772" s="498">
        <f t="shared" si="962"/>
        <v>0</v>
      </c>
      <c r="AN2772" s="498">
        <f t="shared" si="963"/>
        <v>0</v>
      </c>
      <c r="AO2772" s="498">
        <f t="shared" si="964"/>
        <v>0</v>
      </c>
      <c r="AP2772" s="498">
        <f t="shared" si="983"/>
        <v>0</v>
      </c>
      <c r="AQ2772" s="498">
        <f t="shared" si="978"/>
        <v>0</v>
      </c>
      <c r="AU2772" s="498">
        <f t="shared" si="965"/>
        <v>0</v>
      </c>
      <c r="AV2772" s="498">
        <f t="shared" si="966"/>
        <v>0</v>
      </c>
      <c r="AW2772" s="498">
        <f t="shared" si="967"/>
        <v>0</v>
      </c>
      <c r="AX2772" s="498">
        <f t="shared" si="968"/>
        <v>0</v>
      </c>
      <c r="AY2772" s="498">
        <f t="shared" si="969"/>
        <v>0</v>
      </c>
      <c r="BB2772" s="498" t="str">
        <f t="shared" si="970"/>
        <v/>
      </c>
      <c r="BC2772" s="743" t="str">
        <f t="shared" si="971"/>
        <v/>
      </c>
      <c r="BD2772" s="743" t="str">
        <f t="shared" si="972"/>
        <v/>
      </c>
      <c r="BE2772" s="743" t="str">
        <f>IF(D2772="","",VLOOKUP(D2772,'General Basis'!$J$39:$K$46,2,0))</f>
        <v/>
      </c>
      <c r="BF2772" s="744" t="str">
        <f>IF(D2772="","",VLOOKUP(D2772,'General Basis'!$J$39:$L$46,3,0))</f>
        <v/>
      </c>
      <c r="BG2772" s="744" t="str">
        <f t="shared" si="979"/>
        <v/>
      </c>
      <c r="BH2772" s="744" t="str">
        <f>IF(G2772="","",IF(BF2772="Abu Dhabi",IF(G2772&lt;18,'General Basis'!$C$39,IF(G2772&lt;41,'General Basis'!$C$40,IF(G2772&lt;60,'General Basis'!$C$41,IF(G2772&lt;65,'General Basis'!$C$42,'General Basis'!$C$43)))),IF(G2772&lt;11,'General Basis'!$B$39,IF(G2772&lt;18,'General Basis'!$B$40,IF(G2772&lt;26,'General Basis'!$B$41,IF(G2772&lt;31,'General Basis'!$B$42,IF(G2772&lt;36,'General Basis'!$B$43,IF(G2772&lt;41,'General Basis'!$B$44,IF(G2772&lt;46,'General Basis'!$B$45,IF(G2772&lt;51,'General Basis'!$B$46,IF(G2772&lt;56,'General Basis'!$B$47,IF(G2772&lt;60,'General Basis'!$B$48,IF(G2772&lt;65,'General Basis'!$B$49,'General Basis'!$B$50)))))))))))))</f>
        <v/>
      </c>
      <c r="BI2772" s="744" t="str">
        <f t="shared" si="973"/>
        <v/>
      </c>
      <c r="BJ2772" s="747" t="str">
        <f t="shared" si="980"/>
        <v/>
      </c>
      <c r="BK2772" s="498" t="str">
        <f t="shared" si="974"/>
        <v/>
      </c>
      <c r="BL2772" s="498" t="str">
        <f t="shared" si="975"/>
        <v/>
      </c>
    </row>
    <row r="2773" spans="1:64" x14ac:dyDescent="0.25">
      <c r="A2773" s="762">
        <f t="shared" si="976"/>
        <v>2768</v>
      </c>
      <c r="B2773" s="229"/>
      <c r="C2773" s="223"/>
      <c r="D2773" s="224"/>
      <c r="E2773" s="225"/>
      <c r="F2773" s="1036" t="str">
        <f t="shared" si="982"/>
        <v/>
      </c>
      <c r="G2773" s="1037" t="str">
        <f t="shared" si="977"/>
        <v/>
      </c>
      <c r="H2773" s="225"/>
      <c r="I2773" s="1013"/>
      <c r="J2773" s="1013"/>
      <c r="K2773" s="1028"/>
      <c r="L2773" s="1035" t="str">
        <f t="shared" si="981"/>
        <v/>
      </c>
      <c r="S2773" s="498"/>
      <c r="AJ2773" s="498"/>
      <c r="AM2773" s="498">
        <f t="shared" si="962"/>
        <v>0</v>
      </c>
      <c r="AN2773" s="498">
        <f t="shared" si="963"/>
        <v>0</v>
      </c>
      <c r="AO2773" s="498">
        <f t="shared" si="964"/>
        <v>0</v>
      </c>
      <c r="AP2773" s="498">
        <f t="shared" si="983"/>
        <v>0</v>
      </c>
      <c r="AQ2773" s="498">
        <f t="shared" si="978"/>
        <v>0</v>
      </c>
      <c r="AU2773" s="498">
        <f t="shared" si="965"/>
        <v>0</v>
      </c>
      <c r="AV2773" s="498">
        <f t="shared" si="966"/>
        <v>0</v>
      </c>
      <c r="AW2773" s="498">
        <f t="shared" si="967"/>
        <v>0</v>
      </c>
      <c r="AX2773" s="498">
        <f t="shared" si="968"/>
        <v>0</v>
      </c>
      <c r="AY2773" s="498">
        <f t="shared" si="969"/>
        <v>0</v>
      </c>
      <c r="BB2773" s="498" t="str">
        <f t="shared" si="970"/>
        <v/>
      </c>
      <c r="BC2773" s="743" t="str">
        <f t="shared" si="971"/>
        <v/>
      </c>
      <c r="BD2773" s="743" t="str">
        <f t="shared" si="972"/>
        <v/>
      </c>
      <c r="BE2773" s="743" t="str">
        <f>IF(D2773="","",VLOOKUP(D2773,'General Basis'!$J$39:$K$46,2,0))</f>
        <v/>
      </c>
      <c r="BF2773" s="744" t="str">
        <f>IF(D2773="","",VLOOKUP(D2773,'General Basis'!$J$39:$L$46,3,0))</f>
        <v/>
      </c>
      <c r="BG2773" s="744" t="str">
        <f t="shared" si="979"/>
        <v/>
      </c>
      <c r="BH2773" s="744" t="str">
        <f>IF(G2773="","",IF(BF2773="Abu Dhabi",IF(G2773&lt;18,'General Basis'!$C$39,IF(G2773&lt;41,'General Basis'!$C$40,IF(G2773&lt;60,'General Basis'!$C$41,IF(G2773&lt;65,'General Basis'!$C$42,'General Basis'!$C$43)))),IF(G2773&lt;11,'General Basis'!$B$39,IF(G2773&lt;18,'General Basis'!$B$40,IF(G2773&lt;26,'General Basis'!$B$41,IF(G2773&lt;31,'General Basis'!$B$42,IF(G2773&lt;36,'General Basis'!$B$43,IF(G2773&lt;41,'General Basis'!$B$44,IF(G2773&lt;46,'General Basis'!$B$45,IF(G2773&lt;51,'General Basis'!$B$46,IF(G2773&lt;56,'General Basis'!$B$47,IF(G2773&lt;60,'General Basis'!$B$48,IF(G2773&lt;65,'General Basis'!$B$49,'General Basis'!$B$50)))))))))))))</f>
        <v/>
      </c>
      <c r="BI2773" s="744" t="str">
        <f t="shared" si="973"/>
        <v/>
      </c>
      <c r="BJ2773" s="747" t="str">
        <f t="shared" si="980"/>
        <v/>
      </c>
      <c r="BK2773" s="498" t="str">
        <f t="shared" si="974"/>
        <v/>
      </c>
      <c r="BL2773" s="498" t="str">
        <f t="shared" si="975"/>
        <v/>
      </c>
    </row>
    <row r="2774" spans="1:64" x14ac:dyDescent="0.25">
      <c r="A2774" s="762">
        <f t="shared" si="976"/>
        <v>2769</v>
      </c>
      <c r="B2774" s="229"/>
      <c r="C2774" s="223"/>
      <c r="D2774" s="224"/>
      <c r="E2774" s="225"/>
      <c r="F2774" s="1036" t="str">
        <f t="shared" si="982"/>
        <v/>
      </c>
      <c r="G2774" s="1037" t="str">
        <f t="shared" si="977"/>
        <v/>
      </c>
      <c r="H2774" s="225"/>
      <c r="I2774" s="1013"/>
      <c r="J2774" s="1013"/>
      <c r="K2774" s="1028"/>
      <c r="L2774" s="1035" t="str">
        <f t="shared" si="981"/>
        <v/>
      </c>
      <c r="S2774" s="498"/>
      <c r="AJ2774" s="498"/>
      <c r="AM2774" s="498">
        <f t="shared" si="962"/>
        <v>0</v>
      </c>
      <c r="AN2774" s="498">
        <f t="shared" si="963"/>
        <v>0</v>
      </c>
      <c r="AO2774" s="498">
        <f t="shared" si="964"/>
        <v>0</v>
      </c>
      <c r="AP2774" s="498">
        <f t="shared" si="983"/>
        <v>0</v>
      </c>
      <c r="AQ2774" s="498">
        <f t="shared" si="978"/>
        <v>0</v>
      </c>
      <c r="AU2774" s="498">
        <f t="shared" si="965"/>
        <v>0</v>
      </c>
      <c r="AV2774" s="498">
        <f t="shared" si="966"/>
        <v>0</v>
      </c>
      <c r="AW2774" s="498">
        <f t="shared" si="967"/>
        <v>0</v>
      </c>
      <c r="AX2774" s="498">
        <f t="shared" si="968"/>
        <v>0</v>
      </c>
      <c r="AY2774" s="498">
        <f t="shared" si="969"/>
        <v>0</v>
      </c>
      <c r="BB2774" s="498" t="str">
        <f t="shared" si="970"/>
        <v/>
      </c>
      <c r="BC2774" s="743" t="str">
        <f t="shared" si="971"/>
        <v/>
      </c>
      <c r="BD2774" s="743" t="str">
        <f t="shared" si="972"/>
        <v/>
      </c>
      <c r="BE2774" s="743" t="str">
        <f>IF(D2774="","",VLOOKUP(D2774,'General Basis'!$J$39:$K$46,2,0))</f>
        <v/>
      </c>
      <c r="BF2774" s="744" t="str">
        <f>IF(D2774="","",VLOOKUP(D2774,'General Basis'!$J$39:$L$46,3,0))</f>
        <v/>
      </c>
      <c r="BG2774" s="744" t="str">
        <f t="shared" si="979"/>
        <v/>
      </c>
      <c r="BH2774" s="744" t="str">
        <f>IF(G2774="","",IF(BF2774="Abu Dhabi",IF(G2774&lt;18,'General Basis'!$C$39,IF(G2774&lt;41,'General Basis'!$C$40,IF(G2774&lt;60,'General Basis'!$C$41,IF(G2774&lt;65,'General Basis'!$C$42,'General Basis'!$C$43)))),IF(G2774&lt;11,'General Basis'!$B$39,IF(G2774&lt;18,'General Basis'!$B$40,IF(G2774&lt;26,'General Basis'!$B$41,IF(G2774&lt;31,'General Basis'!$B$42,IF(G2774&lt;36,'General Basis'!$B$43,IF(G2774&lt;41,'General Basis'!$B$44,IF(G2774&lt;46,'General Basis'!$B$45,IF(G2774&lt;51,'General Basis'!$B$46,IF(G2774&lt;56,'General Basis'!$B$47,IF(G2774&lt;60,'General Basis'!$B$48,IF(G2774&lt;65,'General Basis'!$B$49,'General Basis'!$B$50)))))))))))))</f>
        <v/>
      </c>
      <c r="BI2774" s="744" t="str">
        <f t="shared" si="973"/>
        <v/>
      </c>
      <c r="BJ2774" s="747" t="str">
        <f t="shared" si="980"/>
        <v/>
      </c>
      <c r="BK2774" s="498" t="str">
        <f t="shared" si="974"/>
        <v/>
      </c>
      <c r="BL2774" s="498" t="str">
        <f t="shared" si="975"/>
        <v/>
      </c>
    </row>
    <row r="2775" spans="1:64" x14ac:dyDescent="0.25">
      <c r="A2775" s="762">
        <f t="shared" si="976"/>
        <v>2770</v>
      </c>
      <c r="B2775" s="229"/>
      <c r="C2775" s="223"/>
      <c r="D2775" s="224"/>
      <c r="E2775" s="225"/>
      <c r="F2775" s="1036" t="str">
        <f t="shared" si="982"/>
        <v/>
      </c>
      <c r="G2775" s="1037" t="str">
        <f t="shared" si="977"/>
        <v/>
      </c>
      <c r="H2775" s="225"/>
      <c r="I2775" s="1013"/>
      <c r="J2775" s="1013"/>
      <c r="K2775" s="1028"/>
      <c r="L2775" s="1035" t="str">
        <f t="shared" si="981"/>
        <v/>
      </c>
      <c r="S2775" s="498"/>
      <c r="AJ2775" s="498"/>
      <c r="AM2775" s="498">
        <f t="shared" si="962"/>
        <v>0</v>
      </c>
      <c r="AN2775" s="498">
        <f t="shared" si="963"/>
        <v>0</v>
      </c>
      <c r="AO2775" s="498">
        <f t="shared" si="964"/>
        <v>0</v>
      </c>
      <c r="AP2775" s="498">
        <f t="shared" si="983"/>
        <v>0</v>
      </c>
      <c r="AQ2775" s="498">
        <f t="shared" si="978"/>
        <v>0</v>
      </c>
      <c r="AU2775" s="498">
        <f t="shared" si="965"/>
        <v>0</v>
      </c>
      <c r="AV2775" s="498">
        <f t="shared" si="966"/>
        <v>0</v>
      </c>
      <c r="AW2775" s="498">
        <f t="shared" si="967"/>
        <v>0</v>
      </c>
      <c r="AX2775" s="498">
        <f t="shared" si="968"/>
        <v>0</v>
      </c>
      <c r="AY2775" s="498">
        <f t="shared" si="969"/>
        <v>0</v>
      </c>
      <c r="BB2775" s="498" t="str">
        <f t="shared" si="970"/>
        <v/>
      </c>
      <c r="BC2775" s="743" t="str">
        <f t="shared" si="971"/>
        <v/>
      </c>
      <c r="BD2775" s="743" t="str">
        <f t="shared" si="972"/>
        <v/>
      </c>
      <c r="BE2775" s="743" t="str">
        <f>IF(D2775="","",VLOOKUP(D2775,'General Basis'!$J$39:$K$46,2,0))</f>
        <v/>
      </c>
      <c r="BF2775" s="744" t="str">
        <f>IF(D2775="","",VLOOKUP(D2775,'General Basis'!$J$39:$L$46,3,0))</f>
        <v/>
      </c>
      <c r="BG2775" s="744" t="str">
        <f t="shared" si="979"/>
        <v/>
      </c>
      <c r="BH2775" s="744" t="str">
        <f>IF(G2775="","",IF(BF2775="Abu Dhabi",IF(G2775&lt;18,'General Basis'!$C$39,IF(G2775&lt;41,'General Basis'!$C$40,IF(G2775&lt;60,'General Basis'!$C$41,IF(G2775&lt;65,'General Basis'!$C$42,'General Basis'!$C$43)))),IF(G2775&lt;11,'General Basis'!$B$39,IF(G2775&lt;18,'General Basis'!$B$40,IF(G2775&lt;26,'General Basis'!$B$41,IF(G2775&lt;31,'General Basis'!$B$42,IF(G2775&lt;36,'General Basis'!$B$43,IF(G2775&lt;41,'General Basis'!$B$44,IF(G2775&lt;46,'General Basis'!$B$45,IF(G2775&lt;51,'General Basis'!$B$46,IF(G2775&lt;56,'General Basis'!$B$47,IF(G2775&lt;60,'General Basis'!$B$48,IF(G2775&lt;65,'General Basis'!$B$49,'General Basis'!$B$50)))))))))))))</f>
        <v/>
      </c>
      <c r="BI2775" s="744" t="str">
        <f t="shared" si="973"/>
        <v/>
      </c>
      <c r="BJ2775" s="747" t="str">
        <f t="shared" si="980"/>
        <v/>
      </c>
      <c r="BK2775" s="498" t="str">
        <f t="shared" si="974"/>
        <v/>
      </c>
      <c r="BL2775" s="498" t="str">
        <f t="shared" si="975"/>
        <v/>
      </c>
    </row>
    <row r="2776" spans="1:64" x14ac:dyDescent="0.25">
      <c r="A2776" s="762">
        <f t="shared" si="976"/>
        <v>2771</v>
      </c>
      <c r="B2776" s="229"/>
      <c r="C2776" s="223"/>
      <c r="D2776" s="224"/>
      <c r="E2776" s="225"/>
      <c r="F2776" s="1036" t="str">
        <f t="shared" si="982"/>
        <v/>
      </c>
      <c r="G2776" s="1037" t="str">
        <f t="shared" si="977"/>
        <v/>
      </c>
      <c r="H2776" s="225"/>
      <c r="I2776" s="1013"/>
      <c r="J2776" s="1013"/>
      <c r="K2776" s="1028"/>
      <c r="L2776" s="1035" t="str">
        <f t="shared" si="981"/>
        <v/>
      </c>
      <c r="S2776" s="498"/>
      <c r="AJ2776" s="498"/>
      <c r="AM2776" s="498">
        <f t="shared" si="962"/>
        <v>0</v>
      </c>
      <c r="AN2776" s="498">
        <f t="shared" si="963"/>
        <v>0</v>
      </c>
      <c r="AO2776" s="498">
        <f t="shared" si="964"/>
        <v>0</v>
      </c>
      <c r="AP2776" s="498">
        <f t="shared" si="983"/>
        <v>0</v>
      </c>
      <c r="AQ2776" s="498">
        <f t="shared" si="978"/>
        <v>0</v>
      </c>
      <c r="AU2776" s="498">
        <f t="shared" si="965"/>
        <v>0</v>
      </c>
      <c r="AV2776" s="498">
        <f t="shared" si="966"/>
        <v>0</v>
      </c>
      <c r="AW2776" s="498">
        <f t="shared" si="967"/>
        <v>0</v>
      </c>
      <c r="AX2776" s="498">
        <f t="shared" si="968"/>
        <v>0</v>
      </c>
      <c r="AY2776" s="498">
        <f t="shared" si="969"/>
        <v>0</v>
      </c>
      <c r="BB2776" s="498" t="str">
        <f t="shared" si="970"/>
        <v/>
      </c>
      <c r="BC2776" s="743" t="str">
        <f t="shared" si="971"/>
        <v/>
      </c>
      <c r="BD2776" s="743" t="str">
        <f t="shared" si="972"/>
        <v/>
      </c>
      <c r="BE2776" s="743" t="str">
        <f>IF(D2776="","",VLOOKUP(D2776,'General Basis'!$J$39:$K$46,2,0))</f>
        <v/>
      </c>
      <c r="BF2776" s="744" t="str">
        <f>IF(D2776="","",VLOOKUP(D2776,'General Basis'!$J$39:$L$46,3,0))</f>
        <v/>
      </c>
      <c r="BG2776" s="744" t="str">
        <f t="shared" si="979"/>
        <v/>
      </c>
      <c r="BH2776" s="744" t="str">
        <f>IF(G2776="","",IF(BF2776="Abu Dhabi",IF(G2776&lt;18,'General Basis'!$C$39,IF(G2776&lt;41,'General Basis'!$C$40,IF(G2776&lt;60,'General Basis'!$C$41,IF(G2776&lt;65,'General Basis'!$C$42,'General Basis'!$C$43)))),IF(G2776&lt;11,'General Basis'!$B$39,IF(G2776&lt;18,'General Basis'!$B$40,IF(G2776&lt;26,'General Basis'!$B$41,IF(G2776&lt;31,'General Basis'!$B$42,IF(G2776&lt;36,'General Basis'!$B$43,IF(G2776&lt;41,'General Basis'!$B$44,IF(G2776&lt;46,'General Basis'!$B$45,IF(G2776&lt;51,'General Basis'!$B$46,IF(G2776&lt;56,'General Basis'!$B$47,IF(G2776&lt;60,'General Basis'!$B$48,IF(G2776&lt;65,'General Basis'!$B$49,'General Basis'!$B$50)))))))))))))</f>
        <v/>
      </c>
      <c r="BI2776" s="744" t="str">
        <f t="shared" si="973"/>
        <v/>
      </c>
      <c r="BJ2776" s="747" t="str">
        <f t="shared" si="980"/>
        <v/>
      </c>
      <c r="BK2776" s="498" t="str">
        <f t="shared" si="974"/>
        <v/>
      </c>
      <c r="BL2776" s="498" t="str">
        <f t="shared" si="975"/>
        <v/>
      </c>
    </row>
    <row r="2777" spans="1:64" x14ac:dyDescent="0.25">
      <c r="A2777" s="762">
        <f t="shared" si="976"/>
        <v>2772</v>
      </c>
      <c r="B2777" s="229"/>
      <c r="C2777" s="223"/>
      <c r="D2777" s="224"/>
      <c r="E2777" s="225"/>
      <c r="F2777" s="1036" t="str">
        <f t="shared" si="982"/>
        <v/>
      </c>
      <c r="G2777" s="1037" t="str">
        <f t="shared" si="977"/>
        <v/>
      </c>
      <c r="H2777" s="225"/>
      <c r="I2777" s="1013"/>
      <c r="J2777" s="1013"/>
      <c r="K2777" s="1028"/>
      <c r="L2777" s="1035" t="str">
        <f t="shared" si="981"/>
        <v/>
      </c>
      <c r="S2777" s="498"/>
      <c r="AJ2777" s="498"/>
      <c r="AM2777" s="498">
        <f t="shared" si="962"/>
        <v>0</v>
      </c>
      <c r="AN2777" s="498">
        <f t="shared" si="963"/>
        <v>0</v>
      </c>
      <c r="AO2777" s="498">
        <f t="shared" si="964"/>
        <v>0</v>
      </c>
      <c r="AP2777" s="498">
        <f t="shared" si="983"/>
        <v>0</v>
      </c>
      <c r="AQ2777" s="498">
        <f t="shared" si="978"/>
        <v>0</v>
      </c>
      <c r="AU2777" s="498">
        <f t="shared" si="965"/>
        <v>0</v>
      </c>
      <c r="AV2777" s="498">
        <f t="shared" si="966"/>
        <v>0</v>
      </c>
      <c r="AW2777" s="498">
        <f t="shared" si="967"/>
        <v>0</v>
      </c>
      <c r="AX2777" s="498">
        <f t="shared" si="968"/>
        <v>0</v>
      </c>
      <c r="AY2777" s="498">
        <f t="shared" si="969"/>
        <v>0</v>
      </c>
      <c r="BB2777" s="498" t="str">
        <f t="shared" si="970"/>
        <v/>
      </c>
      <c r="BC2777" s="743" t="str">
        <f t="shared" si="971"/>
        <v/>
      </c>
      <c r="BD2777" s="743" t="str">
        <f t="shared" si="972"/>
        <v/>
      </c>
      <c r="BE2777" s="743" t="str">
        <f>IF(D2777="","",VLOOKUP(D2777,'General Basis'!$J$39:$K$46,2,0))</f>
        <v/>
      </c>
      <c r="BF2777" s="744" t="str">
        <f>IF(D2777="","",VLOOKUP(D2777,'General Basis'!$J$39:$L$46,3,0))</f>
        <v/>
      </c>
      <c r="BG2777" s="744" t="str">
        <f t="shared" si="979"/>
        <v/>
      </c>
      <c r="BH2777" s="744" t="str">
        <f>IF(G2777="","",IF(BF2777="Abu Dhabi",IF(G2777&lt;18,'General Basis'!$C$39,IF(G2777&lt;41,'General Basis'!$C$40,IF(G2777&lt;60,'General Basis'!$C$41,IF(G2777&lt;65,'General Basis'!$C$42,'General Basis'!$C$43)))),IF(G2777&lt;11,'General Basis'!$B$39,IF(G2777&lt;18,'General Basis'!$B$40,IF(G2777&lt;26,'General Basis'!$B$41,IF(G2777&lt;31,'General Basis'!$B$42,IF(G2777&lt;36,'General Basis'!$B$43,IF(G2777&lt;41,'General Basis'!$B$44,IF(G2777&lt;46,'General Basis'!$B$45,IF(G2777&lt;51,'General Basis'!$B$46,IF(G2777&lt;56,'General Basis'!$B$47,IF(G2777&lt;60,'General Basis'!$B$48,IF(G2777&lt;65,'General Basis'!$B$49,'General Basis'!$B$50)))))))))))))</f>
        <v/>
      </c>
      <c r="BI2777" s="744" t="str">
        <f t="shared" si="973"/>
        <v/>
      </c>
      <c r="BJ2777" s="747" t="str">
        <f t="shared" si="980"/>
        <v/>
      </c>
      <c r="BK2777" s="498" t="str">
        <f t="shared" si="974"/>
        <v/>
      </c>
      <c r="BL2777" s="498" t="str">
        <f t="shared" si="975"/>
        <v/>
      </c>
    </row>
    <row r="2778" spans="1:64" x14ac:dyDescent="0.25">
      <c r="A2778" s="762">
        <f t="shared" si="976"/>
        <v>2773</v>
      </c>
      <c r="B2778" s="229"/>
      <c r="C2778" s="223"/>
      <c r="D2778" s="224"/>
      <c r="E2778" s="225"/>
      <c r="F2778" s="1036" t="str">
        <f t="shared" si="982"/>
        <v/>
      </c>
      <c r="G2778" s="1037" t="str">
        <f t="shared" si="977"/>
        <v/>
      </c>
      <c r="H2778" s="225"/>
      <c r="I2778" s="1013"/>
      <c r="J2778" s="1013"/>
      <c r="K2778" s="1028"/>
      <c r="L2778" s="1035" t="str">
        <f t="shared" si="981"/>
        <v/>
      </c>
      <c r="S2778" s="498"/>
      <c r="AJ2778" s="498"/>
      <c r="AM2778" s="498">
        <f t="shared" si="962"/>
        <v>0</v>
      </c>
      <c r="AN2778" s="498">
        <f t="shared" si="963"/>
        <v>0</v>
      </c>
      <c r="AO2778" s="498">
        <f t="shared" si="964"/>
        <v>0</v>
      </c>
      <c r="AP2778" s="498">
        <f t="shared" si="983"/>
        <v>0</v>
      </c>
      <c r="AQ2778" s="498">
        <f t="shared" si="978"/>
        <v>0</v>
      </c>
      <c r="AU2778" s="498">
        <f t="shared" si="965"/>
        <v>0</v>
      </c>
      <c r="AV2778" s="498">
        <f t="shared" si="966"/>
        <v>0</v>
      </c>
      <c r="AW2778" s="498">
        <f t="shared" si="967"/>
        <v>0</v>
      </c>
      <c r="AX2778" s="498">
        <f t="shared" si="968"/>
        <v>0</v>
      </c>
      <c r="AY2778" s="498">
        <f t="shared" si="969"/>
        <v>0</v>
      </c>
      <c r="BB2778" s="498" t="str">
        <f t="shared" si="970"/>
        <v/>
      </c>
      <c r="BC2778" s="743" t="str">
        <f t="shared" si="971"/>
        <v/>
      </c>
      <c r="BD2778" s="743" t="str">
        <f t="shared" si="972"/>
        <v/>
      </c>
      <c r="BE2778" s="743" t="str">
        <f>IF(D2778="","",VLOOKUP(D2778,'General Basis'!$J$39:$K$46,2,0))</f>
        <v/>
      </c>
      <c r="BF2778" s="744" t="str">
        <f>IF(D2778="","",VLOOKUP(D2778,'General Basis'!$J$39:$L$46,3,0))</f>
        <v/>
      </c>
      <c r="BG2778" s="744" t="str">
        <f t="shared" si="979"/>
        <v/>
      </c>
      <c r="BH2778" s="744" t="str">
        <f>IF(G2778="","",IF(BF2778="Abu Dhabi",IF(G2778&lt;18,'General Basis'!$C$39,IF(G2778&lt;41,'General Basis'!$C$40,IF(G2778&lt;60,'General Basis'!$C$41,IF(G2778&lt;65,'General Basis'!$C$42,'General Basis'!$C$43)))),IF(G2778&lt;11,'General Basis'!$B$39,IF(G2778&lt;18,'General Basis'!$B$40,IF(G2778&lt;26,'General Basis'!$B$41,IF(G2778&lt;31,'General Basis'!$B$42,IF(G2778&lt;36,'General Basis'!$B$43,IF(G2778&lt;41,'General Basis'!$B$44,IF(G2778&lt;46,'General Basis'!$B$45,IF(G2778&lt;51,'General Basis'!$B$46,IF(G2778&lt;56,'General Basis'!$B$47,IF(G2778&lt;60,'General Basis'!$B$48,IF(G2778&lt;65,'General Basis'!$B$49,'General Basis'!$B$50)))))))))))))</f>
        <v/>
      </c>
      <c r="BI2778" s="744" t="str">
        <f t="shared" si="973"/>
        <v/>
      </c>
      <c r="BJ2778" s="747" t="str">
        <f t="shared" si="980"/>
        <v/>
      </c>
      <c r="BK2778" s="498" t="str">
        <f t="shared" si="974"/>
        <v/>
      </c>
      <c r="BL2778" s="498" t="str">
        <f t="shared" si="975"/>
        <v/>
      </c>
    </row>
    <row r="2779" spans="1:64" x14ac:dyDescent="0.25">
      <c r="A2779" s="762">
        <f t="shared" si="976"/>
        <v>2774</v>
      </c>
      <c r="B2779" s="229"/>
      <c r="C2779" s="223"/>
      <c r="D2779" s="224"/>
      <c r="E2779" s="225"/>
      <c r="F2779" s="1036" t="str">
        <f t="shared" si="982"/>
        <v/>
      </c>
      <c r="G2779" s="1037" t="str">
        <f t="shared" si="977"/>
        <v/>
      </c>
      <c r="H2779" s="225"/>
      <c r="I2779" s="1013"/>
      <c r="J2779" s="1013"/>
      <c r="K2779" s="1028"/>
      <c r="L2779" s="1035" t="str">
        <f t="shared" si="981"/>
        <v/>
      </c>
      <c r="S2779" s="498"/>
      <c r="AJ2779" s="498"/>
      <c r="AM2779" s="498">
        <f t="shared" si="962"/>
        <v>0</v>
      </c>
      <c r="AN2779" s="498">
        <f t="shared" si="963"/>
        <v>0</v>
      </c>
      <c r="AO2779" s="498">
        <f t="shared" si="964"/>
        <v>0</v>
      </c>
      <c r="AP2779" s="498">
        <f t="shared" si="983"/>
        <v>0</v>
      </c>
      <c r="AQ2779" s="498">
        <f t="shared" si="978"/>
        <v>0</v>
      </c>
      <c r="AU2779" s="498">
        <f t="shared" si="965"/>
        <v>0</v>
      </c>
      <c r="AV2779" s="498">
        <f t="shared" si="966"/>
        <v>0</v>
      </c>
      <c r="AW2779" s="498">
        <f t="shared" si="967"/>
        <v>0</v>
      </c>
      <c r="AX2779" s="498">
        <f t="shared" si="968"/>
        <v>0</v>
      </c>
      <c r="AY2779" s="498">
        <f t="shared" si="969"/>
        <v>0</v>
      </c>
      <c r="BB2779" s="498" t="str">
        <f t="shared" si="970"/>
        <v/>
      </c>
      <c r="BC2779" s="743" t="str">
        <f t="shared" si="971"/>
        <v/>
      </c>
      <c r="BD2779" s="743" t="str">
        <f t="shared" si="972"/>
        <v/>
      </c>
      <c r="BE2779" s="743" t="str">
        <f>IF(D2779="","",VLOOKUP(D2779,'General Basis'!$J$39:$K$46,2,0))</f>
        <v/>
      </c>
      <c r="BF2779" s="744" t="str">
        <f>IF(D2779="","",VLOOKUP(D2779,'General Basis'!$J$39:$L$46,3,0))</f>
        <v/>
      </c>
      <c r="BG2779" s="744" t="str">
        <f t="shared" si="979"/>
        <v/>
      </c>
      <c r="BH2779" s="744" t="str">
        <f>IF(G2779="","",IF(BF2779="Abu Dhabi",IF(G2779&lt;18,'General Basis'!$C$39,IF(G2779&lt;41,'General Basis'!$C$40,IF(G2779&lt;60,'General Basis'!$C$41,IF(G2779&lt;65,'General Basis'!$C$42,'General Basis'!$C$43)))),IF(G2779&lt;11,'General Basis'!$B$39,IF(G2779&lt;18,'General Basis'!$B$40,IF(G2779&lt;26,'General Basis'!$B$41,IF(G2779&lt;31,'General Basis'!$B$42,IF(G2779&lt;36,'General Basis'!$B$43,IF(G2779&lt;41,'General Basis'!$B$44,IF(G2779&lt;46,'General Basis'!$B$45,IF(G2779&lt;51,'General Basis'!$B$46,IF(G2779&lt;56,'General Basis'!$B$47,IF(G2779&lt;60,'General Basis'!$B$48,IF(G2779&lt;65,'General Basis'!$B$49,'General Basis'!$B$50)))))))))))))</f>
        <v/>
      </c>
      <c r="BI2779" s="744" t="str">
        <f t="shared" si="973"/>
        <v/>
      </c>
      <c r="BJ2779" s="747" t="str">
        <f t="shared" si="980"/>
        <v/>
      </c>
      <c r="BK2779" s="498" t="str">
        <f t="shared" si="974"/>
        <v/>
      </c>
      <c r="BL2779" s="498" t="str">
        <f t="shared" si="975"/>
        <v/>
      </c>
    </row>
    <row r="2780" spans="1:64" x14ac:dyDescent="0.25">
      <c r="A2780" s="762">
        <f t="shared" si="976"/>
        <v>2775</v>
      </c>
      <c r="B2780" s="229"/>
      <c r="C2780" s="223"/>
      <c r="D2780" s="224"/>
      <c r="E2780" s="225"/>
      <c r="F2780" s="1036" t="str">
        <f t="shared" si="982"/>
        <v/>
      </c>
      <c r="G2780" s="1037" t="str">
        <f t="shared" si="977"/>
        <v/>
      </c>
      <c r="H2780" s="225"/>
      <c r="I2780" s="1013"/>
      <c r="J2780" s="1013"/>
      <c r="K2780" s="1028"/>
      <c r="L2780" s="1035" t="str">
        <f t="shared" si="981"/>
        <v/>
      </c>
      <c r="S2780" s="498"/>
      <c r="AJ2780" s="498"/>
      <c r="AM2780" s="498">
        <f t="shared" si="962"/>
        <v>0</v>
      </c>
      <c r="AN2780" s="498">
        <f t="shared" si="963"/>
        <v>0</v>
      </c>
      <c r="AO2780" s="498">
        <f t="shared" si="964"/>
        <v>0</v>
      </c>
      <c r="AP2780" s="498">
        <f t="shared" si="983"/>
        <v>0</v>
      </c>
      <c r="AQ2780" s="498">
        <f t="shared" si="978"/>
        <v>0</v>
      </c>
      <c r="AU2780" s="498">
        <f t="shared" si="965"/>
        <v>0</v>
      </c>
      <c r="AV2780" s="498">
        <f t="shared" si="966"/>
        <v>0</v>
      </c>
      <c r="AW2780" s="498">
        <f t="shared" si="967"/>
        <v>0</v>
      </c>
      <c r="AX2780" s="498">
        <f t="shared" si="968"/>
        <v>0</v>
      </c>
      <c r="AY2780" s="498">
        <f t="shared" si="969"/>
        <v>0</v>
      </c>
      <c r="BB2780" s="498" t="str">
        <f t="shared" si="970"/>
        <v/>
      </c>
      <c r="BC2780" s="743" t="str">
        <f t="shared" si="971"/>
        <v/>
      </c>
      <c r="BD2780" s="743" t="str">
        <f t="shared" si="972"/>
        <v/>
      </c>
      <c r="BE2780" s="743" t="str">
        <f>IF(D2780="","",VLOOKUP(D2780,'General Basis'!$J$39:$K$46,2,0))</f>
        <v/>
      </c>
      <c r="BF2780" s="744" t="str">
        <f>IF(D2780="","",VLOOKUP(D2780,'General Basis'!$J$39:$L$46,3,0))</f>
        <v/>
      </c>
      <c r="BG2780" s="744" t="str">
        <f t="shared" si="979"/>
        <v/>
      </c>
      <c r="BH2780" s="744" t="str">
        <f>IF(G2780="","",IF(BF2780="Abu Dhabi",IF(G2780&lt;18,'General Basis'!$C$39,IF(G2780&lt;41,'General Basis'!$C$40,IF(G2780&lt;60,'General Basis'!$C$41,IF(G2780&lt;65,'General Basis'!$C$42,'General Basis'!$C$43)))),IF(G2780&lt;11,'General Basis'!$B$39,IF(G2780&lt;18,'General Basis'!$B$40,IF(G2780&lt;26,'General Basis'!$B$41,IF(G2780&lt;31,'General Basis'!$B$42,IF(G2780&lt;36,'General Basis'!$B$43,IF(G2780&lt;41,'General Basis'!$B$44,IF(G2780&lt;46,'General Basis'!$B$45,IF(G2780&lt;51,'General Basis'!$B$46,IF(G2780&lt;56,'General Basis'!$B$47,IF(G2780&lt;60,'General Basis'!$B$48,IF(G2780&lt;65,'General Basis'!$B$49,'General Basis'!$B$50)))))))))))))</f>
        <v/>
      </c>
      <c r="BI2780" s="744" t="str">
        <f t="shared" si="973"/>
        <v/>
      </c>
      <c r="BJ2780" s="747" t="str">
        <f t="shared" si="980"/>
        <v/>
      </c>
      <c r="BK2780" s="498" t="str">
        <f t="shared" si="974"/>
        <v/>
      </c>
      <c r="BL2780" s="498" t="str">
        <f t="shared" si="975"/>
        <v/>
      </c>
    </row>
    <row r="2781" spans="1:64" x14ac:dyDescent="0.25">
      <c r="A2781" s="762">
        <f t="shared" si="976"/>
        <v>2776</v>
      </c>
      <c r="B2781" s="229"/>
      <c r="C2781" s="223"/>
      <c r="D2781" s="224"/>
      <c r="E2781" s="225"/>
      <c r="F2781" s="1036" t="str">
        <f t="shared" si="982"/>
        <v/>
      </c>
      <c r="G2781" s="1037" t="str">
        <f t="shared" si="977"/>
        <v/>
      </c>
      <c r="H2781" s="225"/>
      <c r="I2781" s="1013"/>
      <c r="J2781" s="1013"/>
      <c r="K2781" s="1028"/>
      <c r="L2781" s="1035" t="str">
        <f t="shared" si="981"/>
        <v/>
      </c>
      <c r="S2781" s="498"/>
      <c r="AJ2781" s="498"/>
      <c r="AM2781" s="498">
        <f t="shared" si="962"/>
        <v>0</v>
      </c>
      <c r="AN2781" s="498">
        <f t="shared" si="963"/>
        <v>0</v>
      </c>
      <c r="AO2781" s="498">
        <f t="shared" si="964"/>
        <v>0</v>
      </c>
      <c r="AP2781" s="498">
        <f t="shared" si="983"/>
        <v>0</v>
      </c>
      <c r="AQ2781" s="498">
        <f t="shared" si="978"/>
        <v>0</v>
      </c>
      <c r="AU2781" s="498">
        <f t="shared" si="965"/>
        <v>0</v>
      </c>
      <c r="AV2781" s="498">
        <f t="shared" si="966"/>
        <v>0</v>
      </c>
      <c r="AW2781" s="498">
        <f t="shared" si="967"/>
        <v>0</v>
      </c>
      <c r="AX2781" s="498">
        <f t="shared" si="968"/>
        <v>0</v>
      </c>
      <c r="AY2781" s="498">
        <f t="shared" si="969"/>
        <v>0</v>
      </c>
      <c r="BB2781" s="498" t="str">
        <f t="shared" si="970"/>
        <v/>
      </c>
      <c r="BC2781" s="743" t="str">
        <f t="shared" si="971"/>
        <v/>
      </c>
      <c r="BD2781" s="743" t="str">
        <f t="shared" si="972"/>
        <v/>
      </c>
      <c r="BE2781" s="743" t="str">
        <f>IF(D2781="","",VLOOKUP(D2781,'General Basis'!$J$39:$K$46,2,0))</f>
        <v/>
      </c>
      <c r="BF2781" s="744" t="str">
        <f>IF(D2781="","",VLOOKUP(D2781,'General Basis'!$J$39:$L$46,3,0))</f>
        <v/>
      </c>
      <c r="BG2781" s="744" t="str">
        <f t="shared" si="979"/>
        <v/>
      </c>
      <c r="BH2781" s="744" t="str">
        <f>IF(G2781="","",IF(BF2781="Abu Dhabi",IF(G2781&lt;18,'General Basis'!$C$39,IF(G2781&lt;41,'General Basis'!$C$40,IF(G2781&lt;60,'General Basis'!$C$41,IF(G2781&lt;65,'General Basis'!$C$42,'General Basis'!$C$43)))),IF(G2781&lt;11,'General Basis'!$B$39,IF(G2781&lt;18,'General Basis'!$B$40,IF(G2781&lt;26,'General Basis'!$B$41,IF(G2781&lt;31,'General Basis'!$B$42,IF(G2781&lt;36,'General Basis'!$B$43,IF(G2781&lt;41,'General Basis'!$B$44,IF(G2781&lt;46,'General Basis'!$B$45,IF(G2781&lt;51,'General Basis'!$B$46,IF(G2781&lt;56,'General Basis'!$B$47,IF(G2781&lt;60,'General Basis'!$B$48,IF(G2781&lt;65,'General Basis'!$B$49,'General Basis'!$B$50)))))))))))))</f>
        <v/>
      </c>
      <c r="BI2781" s="744" t="str">
        <f t="shared" si="973"/>
        <v/>
      </c>
      <c r="BJ2781" s="747" t="str">
        <f t="shared" si="980"/>
        <v/>
      </c>
      <c r="BK2781" s="498" t="str">
        <f t="shared" si="974"/>
        <v/>
      </c>
      <c r="BL2781" s="498" t="str">
        <f t="shared" si="975"/>
        <v/>
      </c>
    </row>
    <row r="2782" spans="1:64" x14ac:dyDescent="0.25">
      <c r="A2782" s="762">
        <f t="shared" si="976"/>
        <v>2777</v>
      </c>
      <c r="B2782" s="229"/>
      <c r="C2782" s="223"/>
      <c r="D2782" s="224"/>
      <c r="E2782" s="225"/>
      <c r="F2782" s="1036" t="str">
        <f t="shared" si="982"/>
        <v/>
      </c>
      <c r="G2782" s="1037" t="str">
        <f t="shared" si="977"/>
        <v/>
      </c>
      <c r="H2782" s="225"/>
      <c r="I2782" s="1013"/>
      <c r="J2782" s="1013"/>
      <c r="K2782" s="1028"/>
      <c r="L2782" s="1035" t="str">
        <f t="shared" si="981"/>
        <v/>
      </c>
      <c r="S2782" s="498"/>
      <c r="AJ2782" s="498"/>
      <c r="AM2782" s="498">
        <f t="shared" si="962"/>
        <v>0</v>
      </c>
      <c r="AN2782" s="498">
        <f t="shared" si="963"/>
        <v>0</v>
      </c>
      <c r="AO2782" s="498">
        <f t="shared" si="964"/>
        <v>0</v>
      </c>
      <c r="AP2782" s="498">
        <f t="shared" si="983"/>
        <v>0</v>
      </c>
      <c r="AQ2782" s="498">
        <f t="shared" si="978"/>
        <v>0</v>
      </c>
      <c r="AU2782" s="498">
        <f t="shared" si="965"/>
        <v>0</v>
      </c>
      <c r="AV2782" s="498">
        <f t="shared" si="966"/>
        <v>0</v>
      </c>
      <c r="AW2782" s="498">
        <f t="shared" si="967"/>
        <v>0</v>
      </c>
      <c r="AX2782" s="498">
        <f t="shared" si="968"/>
        <v>0</v>
      </c>
      <c r="AY2782" s="498">
        <f t="shared" si="969"/>
        <v>0</v>
      </c>
      <c r="BB2782" s="498" t="str">
        <f t="shared" si="970"/>
        <v/>
      </c>
      <c r="BC2782" s="743" t="str">
        <f t="shared" si="971"/>
        <v/>
      </c>
      <c r="BD2782" s="743" t="str">
        <f t="shared" si="972"/>
        <v/>
      </c>
      <c r="BE2782" s="743" t="str">
        <f>IF(D2782="","",VLOOKUP(D2782,'General Basis'!$J$39:$K$46,2,0))</f>
        <v/>
      </c>
      <c r="BF2782" s="744" t="str">
        <f>IF(D2782="","",VLOOKUP(D2782,'General Basis'!$J$39:$L$46,3,0))</f>
        <v/>
      </c>
      <c r="BG2782" s="744" t="str">
        <f t="shared" si="979"/>
        <v/>
      </c>
      <c r="BH2782" s="744" t="str">
        <f>IF(G2782="","",IF(BF2782="Abu Dhabi",IF(G2782&lt;18,'General Basis'!$C$39,IF(G2782&lt;41,'General Basis'!$C$40,IF(G2782&lt;60,'General Basis'!$C$41,IF(G2782&lt;65,'General Basis'!$C$42,'General Basis'!$C$43)))),IF(G2782&lt;11,'General Basis'!$B$39,IF(G2782&lt;18,'General Basis'!$B$40,IF(G2782&lt;26,'General Basis'!$B$41,IF(G2782&lt;31,'General Basis'!$B$42,IF(G2782&lt;36,'General Basis'!$B$43,IF(G2782&lt;41,'General Basis'!$B$44,IF(G2782&lt;46,'General Basis'!$B$45,IF(G2782&lt;51,'General Basis'!$B$46,IF(G2782&lt;56,'General Basis'!$B$47,IF(G2782&lt;60,'General Basis'!$B$48,IF(G2782&lt;65,'General Basis'!$B$49,'General Basis'!$B$50)))))))))))))</f>
        <v/>
      </c>
      <c r="BI2782" s="744" t="str">
        <f t="shared" si="973"/>
        <v/>
      </c>
      <c r="BJ2782" s="747" t="str">
        <f t="shared" si="980"/>
        <v/>
      </c>
      <c r="BK2782" s="498" t="str">
        <f t="shared" si="974"/>
        <v/>
      </c>
      <c r="BL2782" s="498" t="str">
        <f t="shared" si="975"/>
        <v/>
      </c>
    </row>
    <row r="2783" spans="1:64" x14ac:dyDescent="0.25">
      <c r="A2783" s="762">
        <f t="shared" si="976"/>
        <v>2778</v>
      </c>
      <c r="B2783" s="229"/>
      <c r="C2783" s="223"/>
      <c r="D2783" s="224"/>
      <c r="E2783" s="225"/>
      <c r="F2783" s="1036" t="str">
        <f t="shared" si="982"/>
        <v/>
      </c>
      <c r="G2783" s="1037" t="str">
        <f t="shared" si="977"/>
        <v/>
      </c>
      <c r="H2783" s="225"/>
      <c r="I2783" s="1013"/>
      <c r="J2783" s="1013"/>
      <c r="K2783" s="1028"/>
      <c r="L2783" s="1035" t="str">
        <f t="shared" si="981"/>
        <v/>
      </c>
      <c r="S2783" s="498"/>
      <c r="AJ2783" s="498"/>
      <c r="AM2783" s="498">
        <f t="shared" si="962"/>
        <v>0</v>
      </c>
      <c r="AN2783" s="498">
        <f t="shared" si="963"/>
        <v>0</v>
      </c>
      <c r="AO2783" s="498">
        <f t="shared" si="964"/>
        <v>0</v>
      </c>
      <c r="AP2783" s="498">
        <f t="shared" si="983"/>
        <v>0</v>
      </c>
      <c r="AQ2783" s="498">
        <f t="shared" si="978"/>
        <v>0</v>
      </c>
      <c r="AU2783" s="498">
        <f t="shared" si="965"/>
        <v>0</v>
      </c>
      <c r="AV2783" s="498">
        <f t="shared" si="966"/>
        <v>0</v>
      </c>
      <c r="AW2783" s="498">
        <f t="shared" si="967"/>
        <v>0</v>
      </c>
      <c r="AX2783" s="498">
        <f t="shared" si="968"/>
        <v>0</v>
      </c>
      <c r="AY2783" s="498">
        <f t="shared" si="969"/>
        <v>0</v>
      </c>
      <c r="BB2783" s="498" t="str">
        <f t="shared" si="970"/>
        <v/>
      </c>
      <c r="BC2783" s="743" t="str">
        <f t="shared" si="971"/>
        <v/>
      </c>
      <c r="BD2783" s="743" t="str">
        <f t="shared" si="972"/>
        <v/>
      </c>
      <c r="BE2783" s="743" t="str">
        <f>IF(D2783="","",VLOOKUP(D2783,'General Basis'!$J$39:$K$46,2,0))</f>
        <v/>
      </c>
      <c r="BF2783" s="744" t="str">
        <f>IF(D2783="","",VLOOKUP(D2783,'General Basis'!$J$39:$L$46,3,0))</f>
        <v/>
      </c>
      <c r="BG2783" s="744" t="str">
        <f t="shared" si="979"/>
        <v/>
      </c>
      <c r="BH2783" s="744" t="str">
        <f>IF(G2783="","",IF(BF2783="Abu Dhabi",IF(G2783&lt;18,'General Basis'!$C$39,IF(G2783&lt;41,'General Basis'!$C$40,IF(G2783&lt;60,'General Basis'!$C$41,IF(G2783&lt;65,'General Basis'!$C$42,'General Basis'!$C$43)))),IF(G2783&lt;11,'General Basis'!$B$39,IF(G2783&lt;18,'General Basis'!$B$40,IF(G2783&lt;26,'General Basis'!$B$41,IF(G2783&lt;31,'General Basis'!$B$42,IF(G2783&lt;36,'General Basis'!$B$43,IF(G2783&lt;41,'General Basis'!$B$44,IF(G2783&lt;46,'General Basis'!$B$45,IF(G2783&lt;51,'General Basis'!$B$46,IF(G2783&lt;56,'General Basis'!$B$47,IF(G2783&lt;60,'General Basis'!$B$48,IF(G2783&lt;65,'General Basis'!$B$49,'General Basis'!$B$50)))))))))))))</f>
        <v/>
      </c>
      <c r="BI2783" s="744" t="str">
        <f t="shared" si="973"/>
        <v/>
      </c>
      <c r="BJ2783" s="747" t="str">
        <f t="shared" si="980"/>
        <v/>
      </c>
      <c r="BK2783" s="498" t="str">
        <f t="shared" si="974"/>
        <v/>
      </c>
      <c r="BL2783" s="498" t="str">
        <f t="shared" si="975"/>
        <v/>
      </c>
    </row>
    <row r="2784" spans="1:64" x14ac:dyDescent="0.25">
      <c r="A2784" s="762">
        <f t="shared" si="976"/>
        <v>2779</v>
      </c>
      <c r="B2784" s="229"/>
      <c r="C2784" s="223"/>
      <c r="D2784" s="224"/>
      <c r="E2784" s="225"/>
      <c r="F2784" s="1036" t="str">
        <f t="shared" si="982"/>
        <v/>
      </c>
      <c r="G2784" s="1037" t="str">
        <f t="shared" si="977"/>
        <v/>
      </c>
      <c r="H2784" s="225"/>
      <c r="I2784" s="1013"/>
      <c r="J2784" s="1013"/>
      <c r="K2784" s="1028"/>
      <c r="L2784" s="1035" t="str">
        <f t="shared" si="981"/>
        <v/>
      </c>
      <c r="S2784" s="498"/>
      <c r="AJ2784" s="498"/>
      <c r="AM2784" s="498">
        <f t="shared" si="962"/>
        <v>0</v>
      </c>
      <c r="AN2784" s="498">
        <f t="shared" si="963"/>
        <v>0</v>
      </c>
      <c r="AO2784" s="498">
        <f t="shared" si="964"/>
        <v>0</v>
      </c>
      <c r="AP2784" s="498">
        <f t="shared" si="983"/>
        <v>0</v>
      </c>
      <c r="AQ2784" s="498">
        <f t="shared" si="978"/>
        <v>0</v>
      </c>
      <c r="AU2784" s="498">
        <f t="shared" si="965"/>
        <v>0</v>
      </c>
      <c r="AV2784" s="498">
        <f t="shared" si="966"/>
        <v>0</v>
      </c>
      <c r="AW2784" s="498">
        <f t="shared" si="967"/>
        <v>0</v>
      </c>
      <c r="AX2784" s="498">
        <f t="shared" si="968"/>
        <v>0</v>
      </c>
      <c r="AY2784" s="498">
        <f t="shared" si="969"/>
        <v>0</v>
      </c>
      <c r="BB2784" s="498" t="str">
        <f t="shared" si="970"/>
        <v/>
      </c>
      <c r="BC2784" s="743" t="str">
        <f t="shared" si="971"/>
        <v/>
      </c>
      <c r="BD2784" s="743" t="str">
        <f t="shared" si="972"/>
        <v/>
      </c>
      <c r="BE2784" s="743" t="str">
        <f>IF(D2784="","",VLOOKUP(D2784,'General Basis'!$J$39:$K$46,2,0))</f>
        <v/>
      </c>
      <c r="BF2784" s="744" t="str">
        <f>IF(D2784="","",VLOOKUP(D2784,'General Basis'!$J$39:$L$46,3,0))</f>
        <v/>
      </c>
      <c r="BG2784" s="744" t="str">
        <f t="shared" si="979"/>
        <v/>
      </c>
      <c r="BH2784" s="744" t="str">
        <f>IF(G2784="","",IF(BF2784="Abu Dhabi",IF(G2784&lt;18,'General Basis'!$C$39,IF(G2784&lt;41,'General Basis'!$C$40,IF(G2784&lt;60,'General Basis'!$C$41,IF(G2784&lt;65,'General Basis'!$C$42,'General Basis'!$C$43)))),IF(G2784&lt;11,'General Basis'!$B$39,IF(G2784&lt;18,'General Basis'!$B$40,IF(G2784&lt;26,'General Basis'!$B$41,IF(G2784&lt;31,'General Basis'!$B$42,IF(G2784&lt;36,'General Basis'!$B$43,IF(G2784&lt;41,'General Basis'!$B$44,IF(G2784&lt;46,'General Basis'!$B$45,IF(G2784&lt;51,'General Basis'!$B$46,IF(G2784&lt;56,'General Basis'!$B$47,IF(G2784&lt;60,'General Basis'!$B$48,IF(G2784&lt;65,'General Basis'!$B$49,'General Basis'!$B$50)))))))))))))</f>
        <v/>
      </c>
      <c r="BI2784" s="744" t="str">
        <f t="shared" si="973"/>
        <v/>
      </c>
      <c r="BJ2784" s="747" t="str">
        <f t="shared" si="980"/>
        <v/>
      </c>
      <c r="BK2784" s="498" t="str">
        <f t="shared" si="974"/>
        <v/>
      </c>
      <c r="BL2784" s="498" t="str">
        <f t="shared" si="975"/>
        <v/>
      </c>
    </row>
    <row r="2785" spans="1:64" x14ac:dyDescent="0.25">
      <c r="A2785" s="762">
        <f t="shared" si="976"/>
        <v>2780</v>
      </c>
      <c r="B2785" s="229"/>
      <c r="C2785" s="223"/>
      <c r="D2785" s="224"/>
      <c r="E2785" s="225"/>
      <c r="F2785" s="1036" t="str">
        <f t="shared" si="982"/>
        <v/>
      </c>
      <c r="G2785" s="1037" t="str">
        <f t="shared" si="977"/>
        <v/>
      </c>
      <c r="H2785" s="225"/>
      <c r="I2785" s="1013"/>
      <c r="J2785" s="1013"/>
      <c r="K2785" s="1028"/>
      <c r="L2785" s="1035" t="str">
        <f t="shared" si="981"/>
        <v/>
      </c>
      <c r="S2785" s="498"/>
      <c r="AJ2785" s="498"/>
      <c r="AM2785" s="498">
        <f t="shared" si="962"/>
        <v>0</v>
      </c>
      <c r="AN2785" s="498">
        <f t="shared" si="963"/>
        <v>0</v>
      </c>
      <c r="AO2785" s="498">
        <f t="shared" si="964"/>
        <v>0</v>
      </c>
      <c r="AP2785" s="498">
        <f t="shared" si="983"/>
        <v>0</v>
      </c>
      <c r="AQ2785" s="498">
        <f t="shared" si="978"/>
        <v>0</v>
      </c>
      <c r="AU2785" s="498">
        <f t="shared" si="965"/>
        <v>0</v>
      </c>
      <c r="AV2785" s="498">
        <f t="shared" si="966"/>
        <v>0</v>
      </c>
      <c r="AW2785" s="498">
        <f t="shared" si="967"/>
        <v>0</v>
      </c>
      <c r="AX2785" s="498">
        <f t="shared" si="968"/>
        <v>0</v>
      </c>
      <c r="AY2785" s="498">
        <f t="shared" si="969"/>
        <v>0</v>
      </c>
      <c r="BB2785" s="498" t="str">
        <f t="shared" si="970"/>
        <v/>
      </c>
      <c r="BC2785" s="743" t="str">
        <f t="shared" si="971"/>
        <v/>
      </c>
      <c r="BD2785" s="743" t="str">
        <f t="shared" si="972"/>
        <v/>
      </c>
      <c r="BE2785" s="743" t="str">
        <f>IF(D2785="","",VLOOKUP(D2785,'General Basis'!$J$39:$K$46,2,0))</f>
        <v/>
      </c>
      <c r="BF2785" s="744" t="str">
        <f>IF(D2785="","",VLOOKUP(D2785,'General Basis'!$J$39:$L$46,3,0))</f>
        <v/>
      </c>
      <c r="BG2785" s="744" t="str">
        <f t="shared" si="979"/>
        <v/>
      </c>
      <c r="BH2785" s="744" t="str">
        <f>IF(G2785="","",IF(BF2785="Abu Dhabi",IF(G2785&lt;18,'General Basis'!$C$39,IF(G2785&lt;41,'General Basis'!$C$40,IF(G2785&lt;60,'General Basis'!$C$41,IF(G2785&lt;65,'General Basis'!$C$42,'General Basis'!$C$43)))),IF(G2785&lt;11,'General Basis'!$B$39,IF(G2785&lt;18,'General Basis'!$B$40,IF(G2785&lt;26,'General Basis'!$B$41,IF(G2785&lt;31,'General Basis'!$B$42,IF(G2785&lt;36,'General Basis'!$B$43,IF(G2785&lt;41,'General Basis'!$B$44,IF(G2785&lt;46,'General Basis'!$B$45,IF(G2785&lt;51,'General Basis'!$B$46,IF(G2785&lt;56,'General Basis'!$B$47,IF(G2785&lt;60,'General Basis'!$B$48,IF(G2785&lt;65,'General Basis'!$B$49,'General Basis'!$B$50)))))))))))))</f>
        <v/>
      </c>
      <c r="BI2785" s="744" t="str">
        <f t="shared" si="973"/>
        <v/>
      </c>
      <c r="BJ2785" s="747" t="str">
        <f t="shared" si="980"/>
        <v/>
      </c>
      <c r="BK2785" s="498" t="str">
        <f t="shared" si="974"/>
        <v/>
      </c>
      <c r="BL2785" s="498" t="str">
        <f t="shared" si="975"/>
        <v/>
      </c>
    </row>
    <row r="2786" spans="1:64" x14ac:dyDescent="0.25">
      <c r="A2786" s="762">
        <f t="shared" si="976"/>
        <v>2781</v>
      </c>
      <c r="B2786" s="229"/>
      <c r="C2786" s="223"/>
      <c r="D2786" s="224"/>
      <c r="E2786" s="225"/>
      <c r="F2786" s="1036" t="str">
        <f t="shared" si="982"/>
        <v/>
      </c>
      <c r="G2786" s="1037" t="str">
        <f t="shared" si="977"/>
        <v/>
      </c>
      <c r="H2786" s="225"/>
      <c r="I2786" s="1013"/>
      <c r="J2786" s="1013"/>
      <c r="K2786" s="1028"/>
      <c r="L2786" s="1035" t="str">
        <f t="shared" si="981"/>
        <v/>
      </c>
      <c r="S2786" s="498"/>
      <c r="AJ2786" s="498"/>
      <c r="AM2786" s="498">
        <f t="shared" si="962"/>
        <v>0</v>
      </c>
      <c r="AN2786" s="498">
        <f t="shared" si="963"/>
        <v>0</v>
      </c>
      <c r="AO2786" s="498">
        <f t="shared" si="964"/>
        <v>0</v>
      </c>
      <c r="AP2786" s="498">
        <f t="shared" si="983"/>
        <v>0</v>
      </c>
      <c r="AQ2786" s="498">
        <f t="shared" si="978"/>
        <v>0</v>
      </c>
      <c r="AU2786" s="498">
        <f t="shared" si="965"/>
        <v>0</v>
      </c>
      <c r="AV2786" s="498">
        <f t="shared" si="966"/>
        <v>0</v>
      </c>
      <c r="AW2786" s="498">
        <f t="shared" si="967"/>
        <v>0</v>
      </c>
      <c r="AX2786" s="498">
        <f t="shared" si="968"/>
        <v>0</v>
      </c>
      <c r="AY2786" s="498">
        <f t="shared" si="969"/>
        <v>0</v>
      </c>
      <c r="BB2786" s="498" t="str">
        <f t="shared" si="970"/>
        <v/>
      </c>
      <c r="BC2786" s="743" t="str">
        <f t="shared" si="971"/>
        <v/>
      </c>
      <c r="BD2786" s="743" t="str">
        <f t="shared" si="972"/>
        <v/>
      </c>
      <c r="BE2786" s="743" t="str">
        <f>IF(D2786="","",VLOOKUP(D2786,'General Basis'!$J$39:$K$46,2,0))</f>
        <v/>
      </c>
      <c r="BF2786" s="744" t="str">
        <f>IF(D2786="","",VLOOKUP(D2786,'General Basis'!$J$39:$L$46,3,0))</f>
        <v/>
      </c>
      <c r="BG2786" s="744" t="str">
        <f t="shared" si="979"/>
        <v/>
      </c>
      <c r="BH2786" s="744" t="str">
        <f>IF(G2786="","",IF(BF2786="Abu Dhabi",IF(G2786&lt;18,'General Basis'!$C$39,IF(G2786&lt;41,'General Basis'!$C$40,IF(G2786&lt;60,'General Basis'!$C$41,IF(G2786&lt;65,'General Basis'!$C$42,'General Basis'!$C$43)))),IF(G2786&lt;11,'General Basis'!$B$39,IF(G2786&lt;18,'General Basis'!$B$40,IF(G2786&lt;26,'General Basis'!$B$41,IF(G2786&lt;31,'General Basis'!$B$42,IF(G2786&lt;36,'General Basis'!$B$43,IF(G2786&lt;41,'General Basis'!$B$44,IF(G2786&lt;46,'General Basis'!$B$45,IF(G2786&lt;51,'General Basis'!$B$46,IF(G2786&lt;56,'General Basis'!$B$47,IF(G2786&lt;60,'General Basis'!$B$48,IF(G2786&lt;65,'General Basis'!$B$49,'General Basis'!$B$50)))))))))))))</f>
        <v/>
      </c>
      <c r="BI2786" s="744" t="str">
        <f t="shared" si="973"/>
        <v/>
      </c>
      <c r="BJ2786" s="747" t="str">
        <f t="shared" si="980"/>
        <v/>
      </c>
      <c r="BK2786" s="498" t="str">
        <f t="shared" si="974"/>
        <v/>
      </c>
      <c r="BL2786" s="498" t="str">
        <f t="shared" si="975"/>
        <v/>
      </c>
    </row>
    <row r="2787" spans="1:64" x14ac:dyDescent="0.25">
      <c r="A2787" s="762">
        <f t="shared" si="976"/>
        <v>2782</v>
      </c>
      <c r="B2787" s="229"/>
      <c r="C2787" s="223"/>
      <c r="D2787" s="224"/>
      <c r="E2787" s="225"/>
      <c r="F2787" s="1036" t="str">
        <f t="shared" si="982"/>
        <v/>
      </c>
      <c r="G2787" s="1037" t="str">
        <f t="shared" si="977"/>
        <v/>
      </c>
      <c r="H2787" s="225"/>
      <c r="I2787" s="1013"/>
      <c r="J2787" s="1013"/>
      <c r="K2787" s="1028"/>
      <c r="L2787" s="1035" t="str">
        <f t="shared" si="981"/>
        <v/>
      </c>
      <c r="S2787" s="498"/>
      <c r="AJ2787" s="498"/>
      <c r="AM2787" s="498">
        <f t="shared" si="962"/>
        <v>0</v>
      </c>
      <c r="AN2787" s="498">
        <f t="shared" si="963"/>
        <v>0</v>
      </c>
      <c r="AO2787" s="498">
        <f t="shared" si="964"/>
        <v>0</v>
      </c>
      <c r="AP2787" s="498">
        <f t="shared" si="983"/>
        <v>0</v>
      </c>
      <c r="AQ2787" s="498">
        <f t="shared" si="978"/>
        <v>0</v>
      </c>
      <c r="AU2787" s="498">
        <f t="shared" si="965"/>
        <v>0</v>
      </c>
      <c r="AV2787" s="498">
        <f t="shared" si="966"/>
        <v>0</v>
      </c>
      <c r="AW2787" s="498">
        <f t="shared" si="967"/>
        <v>0</v>
      </c>
      <c r="AX2787" s="498">
        <f t="shared" si="968"/>
        <v>0</v>
      </c>
      <c r="AY2787" s="498">
        <f t="shared" si="969"/>
        <v>0</v>
      </c>
      <c r="BB2787" s="498" t="str">
        <f t="shared" si="970"/>
        <v/>
      </c>
      <c r="BC2787" s="743" t="str">
        <f t="shared" si="971"/>
        <v/>
      </c>
      <c r="BD2787" s="743" t="str">
        <f t="shared" si="972"/>
        <v/>
      </c>
      <c r="BE2787" s="743" t="str">
        <f>IF(D2787="","",VLOOKUP(D2787,'General Basis'!$J$39:$K$46,2,0))</f>
        <v/>
      </c>
      <c r="BF2787" s="744" t="str">
        <f>IF(D2787="","",VLOOKUP(D2787,'General Basis'!$J$39:$L$46,3,0))</f>
        <v/>
      </c>
      <c r="BG2787" s="744" t="str">
        <f t="shared" si="979"/>
        <v/>
      </c>
      <c r="BH2787" s="744" t="str">
        <f>IF(G2787="","",IF(BF2787="Abu Dhabi",IF(G2787&lt;18,'General Basis'!$C$39,IF(G2787&lt;41,'General Basis'!$C$40,IF(G2787&lt;60,'General Basis'!$C$41,IF(G2787&lt;65,'General Basis'!$C$42,'General Basis'!$C$43)))),IF(G2787&lt;11,'General Basis'!$B$39,IF(G2787&lt;18,'General Basis'!$B$40,IF(G2787&lt;26,'General Basis'!$B$41,IF(G2787&lt;31,'General Basis'!$B$42,IF(G2787&lt;36,'General Basis'!$B$43,IF(G2787&lt;41,'General Basis'!$B$44,IF(G2787&lt;46,'General Basis'!$B$45,IF(G2787&lt;51,'General Basis'!$B$46,IF(G2787&lt;56,'General Basis'!$B$47,IF(G2787&lt;60,'General Basis'!$B$48,IF(G2787&lt;65,'General Basis'!$B$49,'General Basis'!$B$50)))))))))))))</f>
        <v/>
      </c>
      <c r="BI2787" s="744" t="str">
        <f t="shared" si="973"/>
        <v/>
      </c>
      <c r="BJ2787" s="747" t="str">
        <f t="shared" si="980"/>
        <v/>
      </c>
      <c r="BK2787" s="498" t="str">
        <f t="shared" si="974"/>
        <v/>
      </c>
      <c r="BL2787" s="498" t="str">
        <f t="shared" si="975"/>
        <v/>
      </c>
    </row>
    <row r="2788" spans="1:64" x14ac:dyDescent="0.25">
      <c r="A2788" s="762">
        <f t="shared" si="976"/>
        <v>2783</v>
      </c>
      <c r="B2788" s="229"/>
      <c r="C2788" s="223"/>
      <c r="D2788" s="224"/>
      <c r="E2788" s="225"/>
      <c r="F2788" s="1036" t="str">
        <f t="shared" si="982"/>
        <v/>
      </c>
      <c r="G2788" s="1037" t="str">
        <f t="shared" si="977"/>
        <v/>
      </c>
      <c r="H2788" s="225"/>
      <c r="I2788" s="1013"/>
      <c r="J2788" s="1013"/>
      <c r="K2788" s="1028"/>
      <c r="L2788" s="1035" t="str">
        <f t="shared" si="981"/>
        <v/>
      </c>
      <c r="S2788" s="498"/>
      <c r="AJ2788" s="498"/>
      <c r="AM2788" s="498">
        <f t="shared" si="962"/>
        <v>0</v>
      </c>
      <c r="AN2788" s="498">
        <f t="shared" si="963"/>
        <v>0</v>
      </c>
      <c r="AO2788" s="498">
        <f t="shared" si="964"/>
        <v>0</v>
      </c>
      <c r="AP2788" s="498">
        <f t="shared" si="983"/>
        <v>0</v>
      </c>
      <c r="AQ2788" s="498">
        <f t="shared" si="978"/>
        <v>0</v>
      </c>
      <c r="AU2788" s="498">
        <f t="shared" si="965"/>
        <v>0</v>
      </c>
      <c r="AV2788" s="498">
        <f t="shared" si="966"/>
        <v>0</v>
      </c>
      <c r="AW2788" s="498">
        <f t="shared" si="967"/>
        <v>0</v>
      </c>
      <c r="AX2788" s="498">
        <f t="shared" si="968"/>
        <v>0</v>
      </c>
      <c r="AY2788" s="498">
        <f t="shared" si="969"/>
        <v>0</v>
      </c>
      <c r="BB2788" s="498" t="str">
        <f t="shared" si="970"/>
        <v/>
      </c>
      <c r="BC2788" s="743" t="str">
        <f t="shared" si="971"/>
        <v/>
      </c>
      <c r="BD2788" s="743" t="str">
        <f t="shared" si="972"/>
        <v/>
      </c>
      <c r="BE2788" s="743" t="str">
        <f>IF(D2788="","",VLOOKUP(D2788,'General Basis'!$J$39:$K$46,2,0))</f>
        <v/>
      </c>
      <c r="BF2788" s="744" t="str">
        <f>IF(D2788="","",VLOOKUP(D2788,'General Basis'!$J$39:$L$46,3,0))</f>
        <v/>
      </c>
      <c r="BG2788" s="744" t="str">
        <f t="shared" si="979"/>
        <v/>
      </c>
      <c r="BH2788" s="744" t="str">
        <f>IF(G2788="","",IF(BF2788="Abu Dhabi",IF(G2788&lt;18,'General Basis'!$C$39,IF(G2788&lt;41,'General Basis'!$C$40,IF(G2788&lt;60,'General Basis'!$C$41,IF(G2788&lt;65,'General Basis'!$C$42,'General Basis'!$C$43)))),IF(G2788&lt;11,'General Basis'!$B$39,IF(G2788&lt;18,'General Basis'!$B$40,IF(G2788&lt;26,'General Basis'!$B$41,IF(G2788&lt;31,'General Basis'!$B$42,IF(G2788&lt;36,'General Basis'!$B$43,IF(G2788&lt;41,'General Basis'!$B$44,IF(G2788&lt;46,'General Basis'!$B$45,IF(G2788&lt;51,'General Basis'!$B$46,IF(G2788&lt;56,'General Basis'!$B$47,IF(G2788&lt;60,'General Basis'!$B$48,IF(G2788&lt;65,'General Basis'!$B$49,'General Basis'!$B$50)))))))))))))</f>
        <v/>
      </c>
      <c r="BI2788" s="744" t="str">
        <f t="shared" si="973"/>
        <v/>
      </c>
      <c r="BJ2788" s="747" t="str">
        <f t="shared" si="980"/>
        <v/>
      </c>
      <c r="BK2788" s="498" t="str">
        <f t="shared" si="974"/>
        <v/>
      </c>
      <c r="BL2788" s="498" t="str">
        <f t="shared" si="975"/>
        <v/>
      </c>
    </row>
    <row r="2789" spans="1:64" x14ac:dyDescent="0.25">
      <c r="A2789" s="762">
        <f t="shared" si="976"/>
        <v>2784</v>
      </c>
      <c r="B2789" s="229"/>
      <c r="C2789" s="223"/>
      <c r="D2789" s="224"/>
      <c r="E2789" s="225"/>
      <c r="F2789" s="1036" t="str">
        <f t="shared" si="982"/>
        <v/>
      </c>
      <c r="G2789" s="1037" t="str">
        <f t="shared" si="977"/>
        <v/>
      </c>
      <c r="H2789" s="225"/>
      <c r="I2789" s="1013"/>
      <c r="J2789" s="1013"/>
      <c r="K2789" s="1028"/>
      <c r="L2789" s="1035" t="str">
        <f t="shared" si="981"/>
        <v/>
      </c>
      <c r="S2789" s="498"/>
      <c r="AJ2789" s="498"/>
      <c r="AM2789" s="498">
        <f t="shared" si="962"/>
        <v>0</v>
      </c>
      <c r="AN2789" s="498">
        <f t="shared" si="963"/>
        <v>0</v>
      </c>
      <c r="AO2789" s="498">
        <f t="shared" si="964"/>
        <v>0</v>
      </c>
      <c r="AP2789" s="498">
        <f t="shared" si="983"/>
        <v>0</v>
      </c>
      <c r="AQ2789" s="498">
        <f t="shared" si="978"/>
        <v>0</v>
      </c>
      <c r="AU2789" s="498">
        <f t="shared" si="965"/>
        <v>0</v>
      </c>
      <c r="AV2789" s="498">
        <f t="shared" si="966"/>
        <v>0</v>
      </c>
      <c r="AW2789" s="498">
        <f t="shared" si="967"/>
        <v>0</v>
      </c>
      <c r="AX2789" s="498">
        <f t="shared" si="968"/>
        <v>0</v>
      </c>
      <c r="AY2789" s="498">
        <f t="shared" si="969"/>
        <v>0</v>
      </c>
      <c r="BB2789" s="498" t="str">
        <f t="shared" si="970"/>
        <v/>
      </c>
      <c r="BC2789" s="743" t="str">
        <f t="shared" si="971"/>
        <v/>
      </c>
      <c r="BD2789" s="743" t="str">
        <f t="shared" si="972"/>
        <v/>
      </c>
      <c r="BE2789" s="743" t="str">
        <f>IF(D2789="","",VLOOKUP(D2789,'General Basis'!$J$39:$K$46,2,0))</f>
        <v/>
      </c>
      <c r="BF2789" s="744" t="str">
        <f>IF(D2789="","",VLOOKUP(D2789,'General Basis'!$J$39:$L$46,3,0))</f>
        <v/>
      </c>
      <c r="BG2789" s="744" t="str">
        <f t="shared" si="979"/>
        <v/>
      </c>
      <c r="BH2789" s="744" t="str">
        <f>IF(G2789="","",IF(BF2789="Abu Dhabi",IF(G2789&lt;18,'General Basis'!$C$39,IF(G2789&lt;41,'General Basis'!$C$40,IF(G2789&lt;60,'General Basis'!$C$41,IF(G2789&lt;65,'General Basis'!$C$42,'General Basis'!$C$43)))),IF(G2789&lt;11,'General Basis'!$B$39,IF(G2789&lt;18,'General Basis'!$B$40,IF(G2789&lt;26,'General Basis'!$B$41,IF(G2789&lt;31,'General Basis'!$B$42,IF(G2789&lt;36,'General Basis'!$B$43,IF(G2789&lt;41,'General Basis'!$B$44,IF(G2789&lt;46,'General Basis'!$B$45,IF(G2789&lt;51,'General Basis'!$B$46,IF(G2789&lt;56,'General Basis'!$B$47,IF(G2789&lt;60,'General Basis'!$B$48,IF(G2789&lt;65,'General Basis'!$B$49,'General Basis'!$B$50)))))))))))))</f>
        <v/>
      </c>
      <c r="BI2789" s="744" t="str">
        <f t="shared" si="973"/>
        <v/>
      </c>
      <c r="BJ2789" s="747" t="str">
        <f t="shared" si="980"/>
        <v/>
      </c>
      <c r="BK2789" s="498" t="str">
        <f t="shared" si="974"/>
        <v/>
      </c>
      <c r="BL2789" s="498" t="str">
        <f t="shared" si="975"/>
        <v/>
      </c>
    </row>
    <row r="2790" spans="1:64" x14ac:dyDescent="0.25">
      <c r="A2790" s="762">
        <f t="shared" si="976"/>
        <v>2785</v>
      </c>
      <c r="B2790" s="229"/>
      <c r="C2790" s="223"/>
      <c r="D2790" s="224"/>
      <c r="E2790" s="225"/>
      <c r="F2790" s="1036" t="str">
        <f t="shared" si="982"/>
        <v/>
      </c>
      <c r="G2790" s="1037" t="str">
        <f t="shared" si="977"/>
        <v/>
      </c>
      <c r="H2790" s="225"/>
      <c r="I2790" s="1013"/>
      <c r="J2790" s="1013"/>
      <c r="K2790" s="1028"/>
      <c r="L2790" s="1035" t="str">
        <f t="shared" si="981"/>
        <v/>
      </c>
      <c r="S2790" s="498"/>
      <c r="AJ2790" s="498"/>
      <c r="AM2790" s="498">
        <f t="shared" si="962"/>
        <v>0</v>
      </c>
      <c r="AN2790" s="498">
        <f t="shared" si="963"/>
        <v>0</v>
      </c>
      <c r="AO2790" s="498">
        <f t="shared" si="964"/>
        <v>0</v>
      </c>
      <c r="AP2790" s="498">
        <f t="shared" si="983"/>
        <v>0</v>
      </c>
      <c r="AQ2790" s="498">
        <f t="shared" si="978"/>
        <v>0</v>
      </c>
      <c r="AU2790" s="498">
        <f t="shared" si="965"/>
        <v>0</v>
      </c>
      <c r="AV2790" s="498">
        <f t="shared" si="966"/>
        <v>0</v>
      </c>
      <c r="AW2790" s="498">
        <f t="shared" si="967"/>
        <v>0</v>
      </c>
      <c r="AX2790" s="498">
        <f t="shared" si="968"/>
        <v>0</v>
      </c>
      <c r="AY2790" s="498">
        <f t="shared" si="969"/>
        <v>0</v>
      </c>
      <c r="BB2790" s="498" t="str">
        <f t="shared" si="970"/>
        <v/>
      </c>
      <c r="BC2790" s="743" t="str">
        <f t="shared" si="971"/>
        <v/>
      </c>
      <c r="BD2790" s="743" t="str">
        <f t="shared" si="972"/>
        <v/>
      </c>
      <c r="BE2790" s="743" t="str">
        <f>IF(D2790="","",VLOOKUP(D2790,'General Basis'!$J$39:$K$46,2,0))</f>
        <v/>
      </c>
      <c r="BF2790" s="744" t="str">
        <f>IF(D2790="","",VLOOKUP(D2790,'General Basis'!$J$39:$L$46,3,0))</f>
        <v/>
      </c>
      <c r="BG2790" s="744" t="str">
        <f t="shared" si="979"/>
        <v/>
      </c>
      <c r="BH2790" s="744" t="str">
        <f>IF(G2790="","",IF(BF2790="Abu Dhabi",IF(G2790&lt;18,'General Basis'!$C$39,IF(G2790&lt;41,'General Basis'!$C$40,IF(G2790&lt;60,'General Basis'!$C$41,IF(G2790&lt;65,'General Basis'!$C$42,'General Basis'!$C$43)))),IF(G2790&lt;11,'General Basis'!$B$39,IF(G2790&lt;18,'General Basis'!$B$40,IF(G2790&lt;26,'General Basis'!$B$41,IF(G2790&lt;31,'General Basis'!$B$42,IF(G2790&lt;36,'General Basis'!$B$43,IF(G2790&lt;41,'General Basis'!$B$44,IF(G2790&lt;46,'General Basis'!$B$45,IF(G2790&lt;51,'General Basis'!$B$46,IF(G2790&lt;56,'General Basis'!$B$47,IF(G2790&lt;60,'General Basis'!$B$48,IF(G2790&lt;65,'General Basis'!$B$49,'General Basis'!$B$50)))))))))))))</f>
        <v/>
      </c>
      <c r="BI2790" s="744" t="str">
        <f t="shared" si="973"/>
        <v/>
      </c>
      <c r="BJ2790" s="747" t="str">
        <f t="shared" si="980"/>
        <v/>
      </c>
      <c r="BK2790" s="498" t="str">
        <f t="shared" si="974"/>
        <v/>
      </c>
      <c r="BL2790" s="498" t="str">
        <f t="shared" si="975"/>
        <v/>
      </c>
    </row>
    <row r="2791" spans="1:64" x14ac:dyDescent="0.25">
      <c r="A2791" s="762">
        <f t="shared" si="976"/>
        <v>2786</v>
      </c>
      <c r="B2791" s="229"/>
      <c r="C2791" s="223"/>
      <c r="D2791" s="224"/>
      <c r="E2791" s="225"/>
      <c r="F2791" s="1036" t="str">
        <f t="shared" si="982"/>
        <v/>
      </c>
      <c r="G2791" s="1037" t="str">
        <f t="shared" si="977"/>
        <v/>
      </c>
      <c r="H2791" s="225"/>
      <c r="I2791" s="1013"/>
      <c r="J2791" s="1013"/>
      <c r="K2791" s="1028"/>
      <c r="L2791" s="1035" t="str">
        <f t="shared" si="981"/>
        <v/>
      </c>
      <c r="S2791" s="498"/>
      <c r="AJ2791" s="498"/>
      <c r="AM2791" s="498">
        <f t="shared" si="962"/>
        <v>0</v>
      </c>
      <c r="AN2791" s="498">
        <f t="shared" si="963"/>
        <v>0</v>
      </c>
      <c r="AO2791" s="498">
        <f t="shared" si="964"/>
        <v>0</v>
      </c>
      <c r="AP2791" s="498">
        <f t="shared" si="983"/>
        <v>0</v>
      </c>
      <c r="AQ2791" s="498">
        <f t="shared" si="978"/>
        <v>0</v>
      </c>
      <c r="AU2791" s="498">
        <f t="shared" si="965"/>
        <v>0</v>
      </c>
      <c r="AV2791" s="498">
        <f t="shared" si="966"/>
        <v>0</v>
      </c>
      <c r="AW2791" s="498">
        <f t="shared" si="967"/>
        <v>0</v>
      </c>
      <c r="AX2791" s="498">
        <f t="shared" si="968"/>
        <v>0</v>
      </c>
      <c r="AY2791" s="498">
        <f t="shared" si="969"/>
        <v>0</v>
      </c>
      <c r="BB2791" s="498" t="str">
        <f t="shared" si="970"/>
        <v/>
      </c>
      <c r="BC2791" s="743" t="str">
        <f t="shared" si="971"/>
        <v/>
      </c>
      <c r="BD2791" s="743" t="str">
        <f t="shared" si="972"/>
        <v/>
      </c>
      <c r="BE2791" s="743" t="str">
        <f>IF(D2791="","",VLOOKUP(D2791,'General Basis'!$J$39:$K$46,2,0))</f>
        <v/>
      </c>
      <c r="BF2791" s="744" t="str">
        <f>IF(D2791="","",VLOOKUP(D2791,'General Basis'!$J$39:$L$46,3,0))</f>
        <v/>
      </c>
      <c r="BG2791" s="744" t="str">
        <f t="shared" si="979"/>
        <v/>
      </c>
      <c r="BH2791" s="744" t="str">
        <f>IF(G2791="","",IF(BF2791="Abu Dhabi",IF(G2791&lt;18,'General Basis'!$C$39,IF(G2791&lt;41,'General Basis'!$C$40,IF(G2791&lt;60,'General Basis'!$C$41,IF(G2791&lt;65,'General Basis'!$C$42,'General Basis'!$C$43)))),IF(G2791&lt;11,'General Basis'!$B$39,IF(G2791&lt;18,'General Basis'!$B$40,IF(G2791&lt;26,'General Basis'!$B$41,IF(G2791&lt;31,'General Basis'!$B$42,IF(G2791&lt;36,'General Basis'!$B$43,IF(G2791&lt;41,'General Basis'!$B$44,IF(G2791&lt;46,'General Basis'!$B$45,IF(G2791&lt;51,'General Basis'!$B$46,IF(G2791&lt;56,'General Basis'!$B$47,IF(G2791&lt;60,'General Basis'!$B$48,IF(G2791&lt;65,'General Basis'!$B$49,'General Basis'!$B$50)))))))))))))</f>
        <v/>
      </c>
      <c r="BI2791" s="744" t="str">
        <f t="shared" si="973"/>
        <v/>
      </c>
      <c r="BJ2791" s="747" t="str">
        <f t="shared" si="980"/>
        <v/>
      </c>
      <c r="BK2791" s="498" t="str">
        <f t="shared" si="974"/>
        <v/>
      </c>
      <c r="BL2791" s="498" t="str">
        <f t="shared" si="975"/>
        <v/>
      </c>
    </row>
    <row r="2792" spans="1:64" x14ac:dyDescent="0.25">
      <c r="A2792" s="762">
        <f t="shared" si="976"/>
        <v>2787</v>
      </c>
      <c r="B2792" s="229"/>
      <c r="C2792" s="223"/>
      <c r="D2792" s="224"/>
      <c r="E2792" s="225"/>
      <c r="F2792" s="1036" t="str">
        <f t="shared" si="982"/>
        <v/>
      </c>
      <c r="G2792" s="1037" t="str">
        <f t="shared" si="977"/>
        <v/>
      </c>
      <c r="H2792" s="225"/>
      <c r="I2792" s="1013"/>
      <c r="J2792" s="1013"/>
      <c r="K2792" s="1028"/>
      <c r="L2792" s="1035" t="str">
        <f t="shared" si="981"/>
        <v/>
      </c>
      <c r="S2792" s="498"/>
      <c r="AJ2792" s="498"/>
      <c r="AM2792" s="498">
        <f t="shared" si="962"/>
        <v>0</v>
      </c>
      <c r="AN2792" s="498">
        <f t="shared" si="963"/>
        <v>0</v>
      </c>
      <c r="AO2792" s="498">
        <f t="shared" si="964"/>
        <v>0</v>
      </c>
      <c r="AP2792" s="498">
        <f t="shared" si="983"/>
        <v>0</v>
      </c>
      <c r="AQ2792" s="498">
        <f t="shared" si="978"/>
        <v>0</v>
      </c>
      <c r="AU2792" s="498">
        <f t="shared" si="965"/>
        <v>0</v>
      </c>
      <c r="AV2792" s="498">
        <f t="shared" si="966"/>
        <v>0</v>
      </c>
      <c r="AW2792" s="498">
        <f t="shared" si="967"/>
        <v>0</v>
      </c>
      <c r="AX2792" s="498">
        <f t="shared" si="968"/>
        <v>0</v>
      </c>
      <c r="AY2792" s="498">
        <f t="shared" si="969"/>
        <v>0</v>
      </c>
      <c r="BB2792" s="498" t="str">
        <f t="shared" si="970"/>
        <v/>
      </c>
      <c r="BC2792" s="743" t="str">
        <f t="shared" si="971"/>
        <v/>
      </c>
      <c r="BD2792" s="743" t="str">
        <f t="shared" si="972"/>
        <v/>
      </c>
      <c r="BE2792" s="743" t="str">
        <f>IF(D2792="","",VLOOKUP(D2792,'General Basis'!$J$39:$K$46,2,0))</f>
        <v/>
      </c>
      <c r="BF2792" s="744" t="str">
        <f>IF(D2792="","",VLOOKUP(D2792,'General Basis'!$J$39:$L$46,3,0))</f>
        <v/>
      </c>
      <c r="BG2792" s="744" t="str">
        <f t="shared" si="979"/>
        <v/>
      </c>
      <c r="BH2792" s="744" t="str">
        <f>IF(G2792="","",IF(BF2792="Abu Dhabi",IF(G2792&lt;18,'General Basis'!$C$39,IF(G2792&lt;41,'General Basis'!$C$40,IF(G2792&lt;60,'General Basis'!$C$41,IF(G2792&lt;65,'General Basis'!$C$42,'General Basis'!$C$43)))),IF(G2792&lt;11,'General Basis'!$B$39,IF(G2792&lt;18,'General Basis'!$B$40,IF(G2792&lt;26,'General Basis'!$B$41,IF(G2792&lt;31,'General Basis'!$B$42,IF(G2792&lt;36,'General Basis'!$B$43,IF(G2792&lt;41,'General Basis'!$B$44,IF(G2792&lt;46,'General Basis'!$B$45,IF(G2792&lt;51,'General Basis'!$B$46,IF(G2792&lt;56,'General Basis'!$B$47,IF(G2792&lt;60,'General Basis'!$B$48,IF(G2792&lt;65,'General Basis'!$B$49,'General Basis'!$B$50)))))))))))))</f>
        <v/>
      </c>
      <c r="BI2792" s="744" t="str">
        <f t="shared" si="973"/>
        <v/>
      </c>
      <c r="BJ2792" s="747" t="str">
        <f t="shared" si="980"/>
        <v/>
      </c>
      <c r="BK2792" s="498" t="str">
        <f t="shared" si="974"/>
        <v/>
      </c>
      <c r="BL2792" s="498" t="str">
        <f t="shared" si="975"/>
        <v/>
      </c>
    </row>
    <row r="2793" spans="1:64" x14ac:dyDescent="0.25">
      <c r="A2793" s="762">
        <f t="shared" si="976"/>
        <v>2788</v>
      </c>
      <c r="B2793" s="229"/>
      <c r="C2793" s="223"/>
      <c r="D2793" s="224"/>
      <c r="E2793" s="225"/>
      <c r="F2793" s="1036" t="str">
        <f t="shared" si="982"/>
        <v/>
      </c>
      <c r="G2793" s="1037" t="str">
        <f t="shared" si="977"/>
        <v/>
      </c>
      <c r="H2793" s="225"/>
      <c r="I2793" s="1013"/>
      <c r="J2793" s="1013"/>
      <c r="K2793" s="1028"/>
      <c r="L2793" s="1035" t="str">
        <f t="shared" si="981"/>
        <v/>
      </c>
      <c r="S2793" s="498"/>
      <c r="AJ2793" s="498"/>
      <c r="AM2793" s="498">
        <f t="shared" si="962"/>
        <v>0</v>
      </c>
      <c r="AN2793" s="498">
        <f t="shared" si="963"/>
        <v>0</v>
      </c>
      <c r="AO2793" s="498">
        <f t="shared" si="964"/>
        <v>0</v>
      </c>
      <c r="AP2793" s="498">
        <f t="shared" si="983"/>
        <v>0</v>
      </c>
      <c r="AQ2793" s="498">
        <f t="shared" si="978"/>
        <v>0</v>
      </c>
      <c r="AU2793" s="498">
        <f t="shared" si="965"/>
        <v>0</v>
      </c>
      <c r="AV2793" s="498">
        <f t="shared" si="966"/>
        <v>0</v>
      </c>
      <c r="AW2793" s="498">
        <f t="shared" si="967"/>
        <v>0</v>
      </c>
      <c r="AX2793" s="498">
        <f t="shared" si="968"/>
        <v>0</v>
      </c>
      <c r="AY2793" s="498">
        <f t="shared" si="969"/>
        <v>0</v>
      </c>
      <c r="BB2793" s="498" t="str">
        <f t="shared" si="970"/>
        <v/>
      </c>
      <c r="BC2793" s="743" t="str">
        <f t="shared" si="971"/>
        <v/>
      </c>
      <c r="BD2793" s="743" t="str">
        <f t="shared" si="972"/>
        <v/>
      </c>
      <c r="BE2793" s="743" t="str">
        <f>IF(D2793="","",VLOOKUP(D2793,'General Basis'!$J$39:$K$46,2,0))</f>
        <v/>
      </c>
      <c r="BF2793" s="744" t="str">
        <f>IF(D2793="","",VLOOKUP(D2793,'General Basis'!$J$39:$L$46,3,0))</f>
        <v/>
      </c>
      <c r="BG2793" s="744" t="str">
        <f t="shared" si="979"/>
        <v/>
      </c>
      <c r="BH2793" s="744" t="str">
        <f>IF(G2793="","",IF(BF2793="Abu Dhabi",IF(G2793&lt;18,'General Basis'!$C$39,IF(G2793&lt;41,'General Basis'!$C$40,IF(G2793&lt;60,'General Basis'!$C$41,IF(G2793&lt;65,'General Basis'!$C$42,'General Basis'!$C$43)))),IF(G2793&lt;11,'General Basis'!$B$39,IF(G2793&lt;18,'General Basis'!$B$40,IF(G2793&lt;26,'General Basis'!$B$41,IF(G2793&lt;31,'General Basis'!$B$42,IF(G2793&lt;36,'General Basis'!$B$43,IF(G2793&lt;41,'General Basis'!$B$44,IF(G2793&lt;46,'General Basis'!$B$45,IF(G2793&lt;51,'General Basis'!$B$46,IF(G2793&lt;56,'General Basis'!$B$47,IF(G2793&lt;60,'General Basis'!$B$48,IF(G2793&lt;65,'General Basis'!$B$49,'General Basis'!$B$50)))))))))))))</f>
        <v/>
      </c>
      <c r="BI2793" s="744" t="str">
        <f t="shared" si="973"/>
        <v/>
      </c>
      <c r="BJ2793" s="747" t="str">
        <f t="shared" si="980"/>
        <v/>
      </c>
      <c r="BK2793" s="498" t="str">
        <f t="shared" si="974"/>
        <v/>
      </c>
      <c r="BL2793" s="498" t="str">
        <f t="shared" si="975"/>
        <v/>
      </c>
    </row>
    <row r="2794" spans="1:64" x14ac:dyDescent="0.25">
      <c r="A2794" s="762">
        <f t="shared" si="976"/>
        <v>2789</v>
      </c>
      <c r="B2794" s="229"/>
      <c r="C2794" s="223"/>
      <c r="D2794" s="224"/>
      <c r="E2794" s="225"/>
      <c r="F2794" s="1036" t="str">
        <f t="shared" si="982"/>
        <v/>
      </c>
      <c r="G2794" s="1037" t="str">
        <f t="shared" si="977"/>
        <v/>
      </c>
      <c r="H2794" s="225"/>
      <c r="I2794" s="1013"/>
      <c r="J2794" s="1013"/>
      <c r="K2794" s="1028"/>
      <c r="L2794" s="1035" t="str">
        <f t="shared" si="981"/>
        <v/>
      </c>
      <c r="S2794" s="498"/>
      <c r="AJ2794" s="498"/>
      <c r="AM2794" s="498">
        <f t="shared" si="962"/>
        <v>0</v>
      </c>
      <c r="AN2794" s="498">
        <f t="shared" si="963"/>
        <v>0</v>
      </c>
      <c r="AO2794" s="498">
        <f t="shared" si="964"/>
        <v>0</v>
      </c>
      <c r="AP2794" s="498">
        <f t="shared" si="983"/>
        <v>0</v>
      </c>
      <c r="AQ2794" s="498">
        <f t="shared" si="978"/>
        <v>0</v>
      </c>
      <c r="AU2794" s="498">
        <f t="shared" si="965"/>
        <v>0</v>
      </c>
      <c r="AV2794" s="498">
        <f t="shared" si="966"/>
        <v>0</v>
      </c>
      <c r="AW2794" s="498">
        <f t="shared" si="967"/>
        <v>0</v>
      </c>
      <c r="AX2794" s="498">
        <f t="shared" si="968"/>
        <v>0</v>
      </c>
      <c r="AY2794" s="498">
        <f t="shared" si="969"/>
        <v>0</v>
      </c>
      <c r="BB2794" s="498" t="str">
        <f t="shared" si="970"/>
        <v/>
      </c>
      <c r="BC2794" s="743" t="str">
        <f t="shared" si="971"/>
        <v/>
      </c>
      <c r="BD2794" s="743" t="str">
        <f t="shared" si="972"/>
        <v/>
      </c>
      <c r="BE2794" s="743" t="str">
        <f>IF(D2794="","",VLOOKUP(D2794,'General Basis'!$J$39:$K$46,2,0))</f>
        <v/>
      </c>
      <c r="BF2794" s="744" t="str">
        <f>IF(D2794="","",VLOOKUP(D2794,'General Basis'!$J$39:$L$46,3,0))</f>
        <v/>
      </c>
      <c r="BG2794" s="744" t="str">
        <f t="shared" si="979"/>
        <v/>
      </c>
      <c r="BH2794" s="744" t="str">
        <f>IF(G2794="","",IF(BF2794="Abu Dhabi",IF(G2794&lt;18,'General Basis'!$C$39,IF(G2794&lt;41,'General Basis'!$C$40,IF(G2794&lt;60,'General Basis'!$C$41,IF(G2794&lt;65,'General Basis'!$C$42,'General Basis'!$C$43)))),IF(G2794&lt;11,'General Basis'!$B$39,IF(G2794&lt;18,'General Basis'!$B$40,IF(G2794&lt;26,'General Basis'!$B$41,IF(G2794&lt;31,'General Basis'!$B$42,IF(G2794&lt;36,'General Basis'!$B$43,IF(G2794&lt;41,'General Basis'!$B$44,IF(G2794&lt;46,'General Basis'!$B$45,IF(G2794&lt;51,'General Basis'!$B$46,IF(G2794&lt;56,'General Basis'!$B$47,IF(G2794&lt;60,'General Basis'!$B$48,IF(G2794&lt;65,'General Basis'!$B$49,'General Basis'!$B$50)))))))))))))</f>
        <v/>
      </c>
      <c r="BI2794" s="744" t="str">
        <f t="shared" si="973"/>
        <v/>
      </c>
      <c r="BJ2794" s="747" t="str">
        <f t="shared" si="980"/>
        <v/>
      </c>
      <c r="BK2794" s="498" t="str">
        <f t="shared" si="974"/>
        <v/>
      </c>
      <c r="BL2794" s="498" t="str">
        <f t="shared" si="975"/>
        <v/>
      </c>
    </row>
    <row r="2795" spans="1:64" x14ac:dyDescent="0.25">
      <c r="A2795" s="762">
        <f t="shared" si="976"/>
        <v>2790</v>
      </c>
      <c r="B2795" s="229"/>
      <c r="C2795" s="223"/>
      <c r="D2795" s="224"/>
      <c r="E2795" s="225"/>
      <c r="F2795" s="1036" t="str">
        <f t="shared" si="982"/>
        <v/>
      </c>
      <c r="G2795" s="1037" t="str">
        <f t="shared" si="977"/>
        <v/>
      </c>
      <c r="H2795" s="225"/>
      <c r="I2795" s="1013"/>
      <c r="J2795" s="1013"/>
      <c r="K2795" s="1028"/>
      <c r="L2795" s="1035" t="str">
        <f t="shared" si="981"/>
        <v/>
      </c>
      <c r="S2795" s="498"/>
      <c r="AJ2795" s="498"/>
      <c r="AM2795" s="498">
        <f t="shared" si="962"/>
        <v>0</v>
      </c>
      <c r="AN2795" s="498">
        <f t="shared" si="963"/>
        <v>0</v>
      </c>
      <c r="AO2795" s="498">
        <f t="shared" si="964"/>
        <v>0</v>
      </c>
      <c r="AP2795" s="498">
        <f t="shared" si="983"/>
        <v>0</v>
      </c>
      <c r="AQ2795" s="498">
        <f t="shared" si="978"/>
        <v>0</v>
      </c>
      <c r="AU2795" s="498">
        <f t="shared" si="965"/>
        <v>0</v>
      </c>
      <c r="AV2795" s="498">
        <f t="shared" si="966"/>
        <v>0</v>
      </c>
      <c r="AW2795" s="498">
        <f t="shared" si="967"/>
        <v>0</v>
      </c>
      <c r="AX2795" s="498">
        <f t="shared" si="968"/>
        <v>0</v>
      </c>
      <c r="AY2795" s="498">
        <f t="shared" si="969"/>
        <v>0</v>
      </c>
      <c r="BB2795" s="498" t="str">
        <f t="shared" si="970"/>
        <v/>
      </c>
      <c r="BC2795" s="743" t="str">
        <f t="shared" si="971"/>
        <v/>
      </c>
      <c r="BD2795" s="743" t="str">
        <f t="shared" si="972"/>
        <v/>
      </c>
      <c r="BE2795" s="743" t="str">
        <f>IF(D2795="","",VLOOKUP(D2795,'General Basis'!$J$39:$K$46,2,0))</f>
        <v/>
      </c>
      <c r="BF2795" s="744" t="str">
        <f>IF(D2795="","",VLOOKUP(D2795,'General Basis'!$J$39:$L$46,3,0))</f>
        <v/>
      </c>
      <c r="BG2795" s="744" t="str">
        <f t="shared" si="979"/>
        <v/>
      </c>
      <c r="BH2795" s="744" t="str">
        <f>IF(G2795="","",IF(BF2795="Abu Dhabi",IF(G2795&lt;18,'General Basis'!$C$39,IF(G2795&lt;41,'General Basis'!$C$40,IF(G2795&lt;60,'General Basis'!$C$41,IF(G2795&lt;65,'General Basis'!$C$42,'General Basis'!$C$43)))),IF(G2795&lt;11,'General Basis'!$B$39,IF(G2795&lt;18,'General Basis'!$B$40,IF(G2795&lt;26,'General Basis'!$B$41,IF(G2795&lt;31,'General Basis'!$B$42,IF(G2795&lt;36,'General Basis'!$B$43,IF(G2795&lt;41,'General Basis'!$B$44,IF(G2795&lt;46,'General Basis'!$B$45,IF(G2795&lt;51,'General Basis'!$B$46,IF(G2795&lt;56,'General Basis'!$B$47,IF(G2795&lt;60,'General Basis'!$B$48,IF(G2795&lt;65,'General Basis'!$B$49,'General Basis'!$B$50)))))))))))))</f>
        <v/>
      </c>
      <c r="BI2795" s="744" t="str">
        <f t="shared" si="973"/>
        <v/>
      </c>
      <c r="BJ2795" s="747" t="str">
        <f t="shared" si="980"/>
        <v/>
      </c>
      <c r="BK2795" s="498" t="str">
        <f t="shared" si="974"/>
        <v/>
      </c>
      <c r="BL2795" s="498" t="str">
        <f t="shared" si="975"/>
        <v/>
      </c>
    </row>
    <row r="2796" spans="1:64" x14ac:dyDescent="0.25">
      <c r="A2796" s="762">
        <f t="shared" si="976"/>
        <v>2791</v>
      </c>
      <c r="B2796" s="229"/>
      <c r="C2796" s="223"/>
      <c r="D2796" s="224"/>
      <c r="E2796" s="225"/>
      <c r="F2796" s="1036" t="str">
        <f t="shared" si="982"/>
        <v/>
      </c>
      <c r="G2796" s="1037" t="str">
        <f t="shared" si="977"/>
        <v/>
      </c>
      <c r="H2796" s="225"/>
      <c r="I2796" s="1013"/>
      <c r="J2796" s="1013"/>
      <c r="K2796" s="1028"/>
      <c r="L2796" s="1035" t="str">
        <f t="shared" si="981"/>
        <v/>
      </c>
      <c r="S2796" s="498"/>
      <c r="AJ2796" s="498"/>
      <c r="AM2796" s="498">
        <f t="shared" si="962"/>
        <v>0</v>
      </c>
      <c r="AN2796" s="498">
        <f t="shared" si="963"/>
        <v>0</v>
      </c>
      <c r="AO2796" s="498">
        <f t="shared" si="964"/>
        <v>0</v>
      </c>
      <c r="AP2796" s="498">
        <f t="shared" si="983"/>
        <v>0</v>
      </c>
      <c r="AQ2796" s="498">
        <f t="shared" si="978"/>
        <v>0</v>
      </c>
      <c r="AU2796" s="498">
        <f t="shared" si="965"/>
        <v>0</v>
      </c>
      <c r="AV2796" s="498">
        <f t="shared" si="966"/>
        <v>0</v>
      </c>
      <c r="AW2796" s="498">
        <f t="shared" si="967"/>
        <v>0</v>
      </c>
      <c r="AX2796" s="498">
        <f t="shared" si="968"/>
        <v>0</v>
      </c>
      <c r="AY2796" s="498">
        <f t="shared" si="969"/>
        <v>0</v>
      </c>
      <c r="BB2796" s="498" t="str">
        <f t="shared" si="970"/>
        <v/>
      </c>
      <c r="BC2796" s="743" t="str">
        <f t="shared" si="971"/>
        <v/>
      </c>
      <c r="BD2796" s="743" t="str">
        <f t="shared" si="972"/>
        <v/>
      </c>
      <c r="BE2796" s="743" t="str">
        <f>IF(D2796="","",VLOOKUP(D2796,'General Basis'!$J$39:$K$46,2,0))</f>
        <v/>
      </c>
      <c r="BF2796" s="744" t="str">
        <f>IF(D2796="","",VLOOKUP(D2796,'General Basis'!$J$39:$L$46,3,0))</f>
        <v/>
      </c>
      <c r="BG2796" s="744" t="str">
        <f t="shared" si="979"/>
        <v/>
      </c>
      <c r="BH2796" s="744" t="str">
        <f>IF(G2796="","",IF(BF2796="Abu Dhabi",IF(G2796&lt;18,'General Basis'!$C$39,IF(G2796&lt;41,'General Basis'!$C$40,IF(G2796&lt;60,'General Basis'!$C$41,IF(G2796&lt;65,'General Basis'!$C$42,'General Basis'!$C$43)))),IF(G2796&lt;11,'General Basis'!$B$39,IF(G2796&lt;18,'General Basis'!$B$40,IF(G2796&lt;26,'General Basis'!$B$41,IF(G2796&lt;31,'General Basis'!$B$42,IF(G2796&lt;36,'General Basis'!$B$43,IF(G2796&lt;41,'General Basis'!$B$44,IF(G2796&lt;46,'General Basis'!$B$45,IF(G2796&lt;51,'General Basis'!$B$46,IF(G2796&lt;56,'General Basis'!$B$47,IF(G2796&lt;60,'General Basis'!$B$48,IF(G2796&lt;65,'General Basis'!$B$49,'General Basis'!$B$50)))))))))))))</f>
        <v/>
      </c>
      <c r="BI2796" s="744" t="str">
        <f t="shared" si="973"/>
        <v/>
      </c>
      <c r="BJ2796" s="747" t="str">
        <f t="shared" si="980"/>
        <v/>
      </c>
      <c r="BK2796" s="498" t="str">
        <f t="shared" si="974"/>
        <v/>
      </c>
      <c r="BL2796" s="498" t="str">
        <f t="shared" si="975"/>
        <v/>
      </c>
    </row>
    <row r="2797" spans="1:64" x14ac:dyDescent="0.25">
      <c r="A2797" s="762">
        <f t="shared" si="976"/>
        <v>2792</v>
      </c>
      <c r="B2797" s="229"/>
      <c r="C2797" s="223"/>
      <c r="D2797" s="224"/>
      <c r="E2797" s="225"/>
      <c r="F2797" s="1036" t="str">
        <f t="shared" si="982"/>
        <v/>
      </c>
      <c r="G2797" s="1037" t="str">
        <f t="shared" si="977"/>
        <v/>
      </c>
      <c r="H2797" s="225"/>
      <c r="I2797" s="1013"/>
      <c r="J2797" s="1013"/>
      <c r="K2797" s="1028"/>
      <c r="L2797" s="1035" t="str">
        <f t="shared" si="981"/>
        <v/>
      </c>
      <c r="S2797" s="498"/>
      <c r="AJ2797" s="498"/>
      <c r="AM2797" s="498">
        <f t="shared" si="962"/>
        <v>0</v>
      </c>
      <c r="AN2797" s="498">
        <f t="shared" si="963"/>
        <v>0</v>
      </c>
      <c r="AO2797" s="498">
        <f t="shared" si="964"/>
        <v>0</v>
      </c>
      <c r="AP2797" s="498">
        <f t="shared" si="983"/>
        <v>0</v>
      </c>
      <c r="AQ2797" s="498">
        <f t="shared" si="978"/>
        <v>0</v>
      </c>
      <c r="AU2797" s="498">
        <f t="shared" si="965"/>
        <v>0</v>
      </c>
      <c r="AV2797" s="498">
        <f t="shared" si="966"/>
        <v>0</v>
      </c>
      <c r="AW2797" s="498">
        <f t="shared" si="967"/>
        <v>0</v>
      </c>
      <c r="AX2797" s="498">
        <f t="shared" si="968"/>
        <v>0</v>
      </c>
      <c r="AY2797" s="498">
        <f t="shared" si="969"/>
        <v>0</v>
      </c>
      <c r="BB2797" s="498" t="str">
        <f t="shared" si="970"/>
        <v/>
      </c>
      <c r="BC2797" s="743" t="str">
        <f t="shared" si="971"/>
        <v/>
      </c>
      <c r="BD2797" s="743" t="str">
        <f t="shared" si="972"/>
        <v/>
      </c>
      <c r="BE2797" s="743" t="str">
        <f>IF(D2797="","",VLOOKUP(D2797,'General Basis'!$J$39:$K$46,2,0))</f>
        <v/>
      </c>
      <c r="BF2797" s="744" t="str">
        <f>IF(D2797="","",VLOOKUP(D2797,'General Basis'!$J$39:$L$46,3,0))</f>
        <v/>
      </c>
      <c r="BG2797" s="744" t="str">
        <f t="shared" si="979"/>
        <v/>
      </c>
      <c r="BH2797" s="744" t="str">
        <f>IF(G2797="","",IF(BF2797="Abu Dhabi",IF(G2797&lt;18,'General Basis'!$C$39,IF(G2797&lt;41,'General Basis'!$C$40,IF(G2797&lt;60,'General Basis'!$C$41,IF(G2797&lt;65,'General Basis'!$C$42,'General Basis'!$C$43)))),IF(G2797&lt;11,'General Basis'!$B$39,IF(G2797&lt;18,'General Basis'!$B$40,IF(G2797&lt;26,'General Basis'!$B$41,IF(G2797&lt;31,'General Basis'!$B$42,IF(G2797&lt;36,'General Basis'!$B$43,IF(G2797&lt;41,'General Basis'!$B$44,IF(G2797&lt;46,'General Basis'!$B$45,IF(G2797&lt;51,'General Basis'!$B$46,IF(G2797&lt;56,'General Basis'!$B$47,IF(G2797&lt;60,'General Basis'!$B$48,IF(G2797&lt;65,'General Basis'!$B$49,'General Basis'!$B$50)))))))))))))</f>
        <v/>
      </c>
      <c r="BI2797" s="744" t="str">
        <f t="shared" si="973"/>
        <v/>
      </c>
      <c r="BJ2797" s="747" t="str">
        <f t="shared" si="980"/>
        <v/>
      </c>
      <c r="BK2797" s="498" t="str">
        <f t="shared" si="974"/>
        <v/>
      </c>
      <c r="BL2797" s="498" t="str">
        <f t="shared" si="975"/>
        <v/>
      </c>
    </row>
    <row r="2798" spans="1:64" x14ac:dyDescent="0.25">
      <c r="A2798" s="762">
        <f t="shared" si="976"/>
        <v>2793</v>
      </c>
      <c r="B2798" s="229"/>
      <c r="C2798" s="223"/>
      <c r="D2798" s="224"/>
      <c r="E2798" s="225"/>
      <c r="F2798" s="1036" t="str">
        <f t="shared" si="982"/>
        <v/>
      </c>
      <c r="G2798" s="1037" t="str">
        <f t="shared" si="977"/>
        <v/>
      </c>
      <c r="H2798" s="225"/>
      <c r="I2798" s="1013"/>
      <c r="J2798" s="1013"/>
      <c r="K2798" s="1028"/>
      <c r="L2798" s="1035" t="str">
        <f t="shared" si="981"/>
        <v/>
      </c>
      <c r="S2798" s="498"/>
      <c r="AJ2798" s="498"/>
      <c r="AM2798" s="498">
        <f t="shared" si="962"/>
        <v>0</v>
      </c>
      <c r="AN2798" s="498">
        <f t="shared" si="963"/>
        <v>0</v>
      </c>
      <c r="AO2798" s="498">
        <f t="shared" si="964"/>
        <v>0</v>
      </c>
      <c r="AP2798" s="498">
        <f t="shared" si="983"/>
        <v>0</v>
      </c>
      <c r="AQ2798" s="498">
        <f t="shared" si="978"/>
        <v>0</v>
      </c>
      <c r="AU2798" s="498">
        <f t="shared" si="965"/>
        <v>0</v>
      </c>
      <c r="AV2798" s="498">
        <f t="shared" si="966"/>
        <v>0</v>
      </c>
      <c r="AW2798" s="498">
        <f t="shared" si="967"/>
        <v>0</v>
      </c>
      <c r="AX2798" s="498">
        <f t="shared" si="968"/>
        <v>0</v>
      </c>
      <c r="AY2798" s="498">
        <f t="shared" si="969"/>
        <v>0</v>
      </c>
      <c r="BB2798" s="498" t="str">
        <f t="shared" si="970"/>
        <v/>
      </c>
      <c r="BC2798" s="743" t="str">
        <f t="shared" si="971"/>
        <v/>
      </c>
      <c r="BD2798" s="743" t="str">
        <f t="shared" si="972"/>
        <v/>
      </c>
      <c r="BE2798" s="743" t="str">
        <f>IF(D2798="","",VLOOKUP(D2798,'General Basis'!$J$39:$K$46,2,0))</f>
        <v/>
      </c>
      <c r="BF2798" s="744" t="str">
        <f>IF(D2798="","",VLOOKUP(D2798,'General Basis'!$J$39:$L$46,3,0))</f>
        <v/>
      </c>
      <c r="BG2798" s="744" t="str">
        <f t="shared" si="979"/>
        <v/>
      </c>
      <c r="BH2798" s="744" t="str">
        <f>IF(G2798="","",IF(BF2798="Abu Dhabi",IF(G2798&lt;18,'General Basis'!$C$39,IF(G2798&lt;41,'General Basis'!$C$40,IF(G2798&lt;60,'General Basis'!$C$41,IF(G2798&lt;65,'General Basis'!$C$42,'General Basis'!$C$43)))),IF(G2798&lt;11,'General Basis'!$B$39,IF(G2798&lt;18,'General Basis'!$B$40,IF(G2798&lt;26,'General Basis'!$B$41,IF(G2798&lt;31,'General Basis'!$B$42,IF(G2798&lt;36,'General Basis'!$B$43,IF(G2798&lt;41,'General Basis'!$B$44,IF(G2798&lt;46,'General Basis'!$B$45,IF(G2798&lt;51,'General Basis'!$B$46,IF(G2798&lt;56,'General Basis'!$B$47,IF(G2798&lt;60,'General Basis'!$B$48,IF(G2798&lt;65,'General Basis'!$B$49,'General Basis'!$B$50)))))))))))))</f>
        <v/>
      </c>
      <c r="BI2798" s="744" t="str">
        <f t="shared" si="973"/>
        <v/>
      </c>
      <c r="BJ2798" s="747" t="str">
        <f t="shared" si="980"/>
        <v/>
      </c>
      <c r="BK2798" s="498" t="str">
        <f t="shared" si="974"/>
        <v/>
      </c>
      <c r="BL2798" s="498" t="str">
        <f t="shared" si="975"/>
        <v/>
      </c>
    </row>
    <row r="2799" spans="1:64" x14ac:dyDescent="0.25">
      <c r="A2799" s="762">
        <f t="shared" si="976"/>
        <v>2794</v>
      </c>
      <c r="B2799" s="229"/>
      <c r="C2799" s="223"/>
      <c r="D2799" s="224"/>
      <c r="E2799" s="225"/>
      <c r="F2799" s="1036" t="str">
        <f t="shared" si="982"/>
        <v/>
      </c>
      <c r="G2799" s="1037" t="str">
        <f t="shared" si="977"/>
        <v/>
      </c>
      <c r="H2799" s="225"/>
      <c r="I2799" s="1013"/>
      <c r="J2799" s="1013"/>
      <c r="K2799" s="1028"/>
      <c r="L2799" s="1035" t="str">
        <f t="shared" si="981"/>
        <v/>
      </c>
      <c r="S2799" s="498"/>
      <c r="AJ2799" s="498"/>
      <c r="AM2799" s="498">
        <f t="shared" si="962"/>
        <v>0</v>
      </c>
      <c r="AN2799" s="498">
        <f t="shared" si="963"/>
        <v>0</v>
      </c>
      <c r="AO2799" s="498">
        <f t="shared" si="964"/>
        <v>0</v>
      </c>
      <c r="AP2799" s="498">
        <f t="shared" si="983"/>
        <v>0</v>
      </c>
      <c r="AQ2799" s="498">
        <f t="shared" si="978"/>
        <v>0</v>
      </c>
      <c r="AU2799" s="498">
        <f t="shared" si="965"/>
        <v>0</v>
      </c>
      <c r="AV2799" s="498">
        <f t="shared" si="966"/>
        <v>0</v>
      </c>
      <c r="AW2799" s="498">
        <f t="shared" si="967"/>
        <v>0</v>
      </c>
      <c r="AX2799" s="498">
        <f t="shared" si="968"/>
        <v>0</v>
      </c>
      <c r="AY2799" s="498">
        <f t="shared" si="969"/>
        <v>0</v>
      </c>
      <c r="BB2799" s="498" t="str">
        <f t="shared" si="970"/>
        <v/>
      </c>
      <c r="BC2799" s="743" t="str">
        <f t="shared" si="971"/>
        <v/>
      </c>
      <c r="BD2799" s="743" t="str">
        <f t="shared" si="972"/>
        <v/>
      </c>
      <c r="BE2799" s="743" t="str">
        <f>IF(D2799="","",VLOOKUP(D2799,'General Basis'!$J$39:$K$46,2,0))</f>
        <v/>
      </c>
      <c r="BF2799" s="744" t="str">
        <f>IF(D2799="","",VLOOKUP(D2799,'General Basis'!$J$39:$L$46,3,0))</f>
        <v/>
      </c>
      <c r="BG2799" s="744" t="str">
        <f t="shared" si="979"/>
        <v/>
      </c>
      <c r="BH2799" s="744" t="str">
        <f>IF(G2799="","",IF(BF2799="Abu Dhabi",IF(G2799&lt;18,'General Basis'!$C$39,IF(G2799&lt;41,'General Basis'!$C$40,IF(G2799&lt;60,'General Basis'!$C$41,IF(G2799&lt;65,'General Basis'!$C$42,'General Basis'!$C$43)))),IF(G2799&lt;11,'General Basis'!$B$39,IF(G2799&lt;18,'General Basis'!$B$40,IF(G2799&lt;26,'General Basis'!$B$41,IF(G2799&lt;31,'General Basis'!$B$42,IF(G2799&lt;36,'General Basis'!$B$43,IF(G2799&lt;41,'General Basis'!$B$44,IF(G2799&lt;46,'General Basis'!$B$45,IF(G2799&lt;51,'General Basis'!$B$46,IF(G2799&lt;56,'General Basis'!$B$47,IF(G2799&lt;60,'General Basis'!$B$48,IF(G2799&lt;65,'General Basis'!$B$49,'General Basis'!$B$50)))))))))))))</f>
        <v/>
      </c>
      <c r="BI2799" s="744" t="str">
        <f t="shared" si="973"/>
        <v/>
      </c>
      <c r="BJ2799" s="747" t="str">
        <f t="shared" si="980"/>
        <v/>
      </c>
      <c r="BK2799" s="498" t="str">
        <f t="shared" si="974"/>
        <v/>
      </c>
      <c r="BL2799" s="498" t="str">
        <f t="shared" si="975"/>
        <v/>
      </c>
    </row>
    <row r="2800" spans="1:64" x14ac:dyDescent="0.25">
      <c r="A2800" s="762">
        <f t="shared" si="976"/>
        <v>2795</v>
      </c>
      <c r="B2800" s="229"/>
      <c r="C2800" s="223"/>
      <c r="D2800" s="224"/>
      <c r="E2800" s="225"/>
      <c r="F2800" s="1036" t="str">
        <f t="shared" si="982"/>
        <v/>
      </c>
      <c r="G2800" s="1037" t="str">
        <f t="shared" si="977"/>
        <v/>
      </c>
      <c r="H2800" s="225"/>
      <c r="I2800" s="1013"/>
      <c r="J2800" s="1013"/>
      <c r="K2800" s="1028"/>
      <c r="L2800" s="1035" t="str">
        <f t="shared" si="981"/>
        <v/>
      </c>
      <c r="S2800" s="498"/>
      <c r="AJ2800" s="498"/>
      <c r="AM2800" s="498">
        <f t="shared" si="962"/>
        <v>0</v>
      </c>
      <c r="AN2800" s="498">
        <f t="shared" si="963"/>
        <v>0</v>
      </c>
      <c r="AO2800" s="498">
        <f t="shared" si="964"/>
        <v>0</v>
      </c>
      <c r="AP2800" s="498">
        <f t="shared" si="983"/>
        <v>0</v>
      </c>
      <c r="AQ2800" s="498">
        <f t="shared" si="978"/>
        <v>0</v>
      </c>
      <c r="AU2800" s="498">
        <f t="shared" si="965"/>
        <v>0</v>
      </c>
      <c r="AV2800" s="498">
        <f t="shared" si="966"/>
        <v>0</v>
      </c>
      <c r="AW2800" s="498">
        <f t="shared" si="967"/>
        <v>0</v>
      </c>
      <c r="AX2800" s="498">
        <f t="shared" si="968"/>
        <v>0</v>
      </c>
      <c r="AY2800" s="498">
        <f t="shared" si="969"/>
        <v>0</v>
      </c>
      <c r="BB2800" s="498" t="str">
        <f t="shared" si="970"/>
        <v/>
      </c>
      <c r="BC2800" s="743" t="str">
        <f t="shared" si="971"/>
        <v/>
      </c>
      <c r="BD2800" s="743" t="str">
        <f t="shared" si="972"/>
        <v/>
      </c>
      <c r="BE2800" s="743" t="str">
        <f>IF(D2800="","",VLOOKUP(D2800,'General Basis'!$J$39:$K$46,2,0))</f>
        <v/>
      </c>
      <c r="BF2800" s="744" t="str">
        <f>IF(D2800="","",VLOOKUP(D2800,'General Basis'!$J$39:$L$46,3,0))</f>
        <v/>
      </c>
      <c r="BG2800" s="744" t="str">
        <f t="shared" si="979"/>
        <v/>
      </c>
      <c r="BH2800" s="744" t="str">
        <f>IF(G2800="","",IF(BF2800="Abu Dhabi",IF(G2800&lt;18,'General Basis'!$C$39,IF(G2800&lt;41,'General Basis'!$C$40,IF(G2800&lt;60,'General Basis'!$C$41,IF(G2800&lt;65,'General Basis'!$C$42,'General Basis'!$C$43)))),IF(G2800&lt;11,'General Basis'!$B$39,IF(G2800&lt;18,'General Basis'!$B$40,IF(G2800&lt;26,'General Basis'!$B$41,IF(G2800&lt;31,'General Basis'!$B$42,IF(G2800&lt;36,'General Basis'!$B$43,IF(G2800&lt;41,'General Basis'!$B$44,IF(G2800&lt;46,'General Basis'!$B$45,IF(G2800&lt;51,'General Basis'!$B$46,IF(G2800&lt;56,'General Basis'!$B$47,IF(G2800&lt;60,'General Basis'!$B$48,IF(G2800&lt;65,'General Basis'!$B$49,'General Basis'!$B$50)))))))))))))</f>
        <v/>
      </c>
      <c r="BI2800" s="744" t="str">
        <f t="shared" si="973"/>
        <v/>
      </c>
      <c r="BJ2800" s="747" t="str">
        <f t="shared" si="980"/>
        <v/>
      </c>
      <c r="BK2800" s="498" t="str">
        <f t="shared" si="974"/>
        <v/>
      </c>
      <c r="BL2800" s="498" t="str">
        <f t="shared" si="975"/>
        <v/>
      </c>
    </row>
    <row r="2801" spans="1:64" x14ac:dyDescent="0.25">
      <c r="A2801" s="762">
        <f t="shared" si="976"/>
        <v>2796</v>
      </c>
      <c r="B2801" s="229"/>
      <c r="C2801" s="223"/>
      <c r="D2801" s="224"/>
      <c r="E2801" s="225"/>
      <c r="F2801" s="1036" t="str">
        <f t="shared" si="982"/>
        <v/>
      </c>
      <c r="G2801" s="1037" t="str">
        <f t="shared" si="977"/>
        <v/>
      </c>
      <c r="H2801" s="225"/>
      <c r="I2801" s="1013"/>
      <c r="J2801" s="1013"/>
      <c r="K2801" s="1028"/>
      <c r="L2801" s="1035" t="str">
        <f t="shared" si="981"/>
        <v/>
      </c>
      <c r="S2801" s="498"/>
      <c r="AJ2801" s="498"/>
      <c r="AM2801" s="498">
        <f t="shared" si="962"/>
        <v>0</v>
      </c>
      <c r="AN2801" s="498">
        <f t="shared" si="963"/>
        <v>0</v>
      </c>
      <c r="AO2801" s="498">
        <f t="shared" si="964"/>
        <v>0</v>
      </c>
      <c r="AP2801" s="498">
        <f t="shared" si="983"/>
        <v>0</v>
      </c>
      <c r="AQ2801" s="498">
        <f t="shared" si="978"/>
        <v>0</v>
      </c>
      <c r="AU2801" s="498">
        <f t="shared" si="965"/>
        <v>0</v>
      </c>
      <c r="AV2801" s="498">
        <f t="shared" si="966"/>
        <v>0</v>
      </c>
      <c r="AW2801" s="498">
        <f t="shared" si="967"/>
        <v>0</v>
      </c>
      <c r="AX2801" s="498">
        <f t="shared" si="968"/>
        <v>0</v>
      </c>
      <c r="AY2801" s="498">
        <f t="shared" si="969"/>
        <v>0</v>
      </c>
      <c r="BB2801" s="498" t="str">
        <f t="shared" si="970"/>
        <v/>
      </c>
      <c r="BC2801" s="743" t="str">
        <f t="shared" si="971"/>
        <v/>
      </c>
      <c r="BD2801" s="743" t="str">
        <f t="shared" si="972"/>
        <v/>
      </c>
      <c r="BE2801" s="743" t="str">
        <f>IF(D2801="","",VLOOKUP(D2801,'General Basis'!$J$39:$K$46,2,0))</f>
        <v/>
      </c>
      <c r="BF2801" s="744" t="str">
        <f>IF(D2801="","",VLOOKUP(D2801,'General Basis'!$J$39:$L$46,3,0))</f>
        <v/>
      </c>
      <c r="BG2801" s="744" t="str">
        <f t="shared" si="979"/>
        <v/>
      </c>
      <c r="BH2801" s="744" t="str">
        <f>IF(G2801="","",IF(BF2801="Abu Dhabi",IF(G2801&lt;18,'General Basis'!$C$39,IF(G2801&lt;41,'General Basis'!$C$40,IF(G2801&lt;60,'General Basis'!$C$41,IF(G2801&lt;65,'General Basis'!$C$42,'General Basis'!$C$43)))),IF(G2801&lt;11,'General Basis'!$B$39,IF(G2801&lt;18,'General Basis'!$B$40,IF(G2801&lt;26,'General Basis'!$B$41,IF(G2801&lt;31,'General Basis'!$B$42,IF(G2801&lt;36,'General Basis'!$B$43,IF(G2801&lt;41,'General Basis'!$B$44,IF(G2801&lt;46,'General Basis'!$B$45,IF(G2801&lt;51,'General Basis'!$B$46,IF(G2801&lt;56,'General Basis'!$B$47,IF(G2801&lt;60,'General Basis'!$B$48,IF(G2801&lt;65,'General Basis'!$B$49,'General Basis'!$B$50)))))))))))))</f>
        <v/>
      </c>
      <c r="BI2801" s="744" t="str">
        <f t="shared" si="973"/>
        <v/>
      </c>
      <c r="BJ2801" s="747" t="str">
        <f t="shared" si="980"/>
        <v/>
      </c>
      <c r="BK2801" s="498" t="str">
        <f t="shared" si="974"/>
        <v/>
      </c>
      <c r="BL2801" s="498" t="str">
        <f t="shared" si="975"/>
        <v/>
      </c>
    </row>
    <row r="2802" spans="1:64" x14ac:dyDescent="0.25">
      <c r="A2802" s="762">
        <f t="shared" si="976"/>
        <v>2797</v>
      </c>
      <c r="B2802" s="229"/>
      <c r="C2802" s="223"/>
      <c r="D2802" s="224"/>
      <c r="E2802" s="225"/>
      <c r="F2802" s="1036" t="str">
        <f t="shared" si="982"/>
        <v/>
      </c>
      <c r="G2802" s="1037" t="str">
        <f t="shared" si="977"/>
        <v/>
      </c>
      <c r="H2802" s="225"/>
      <c r="I2802" s="1013"/>
      <c r="J2802" s="1013"/>
      <c r="K2802" s="1028"/>
      <c r="L2802" s="1035" t="str">
        <f t="shared" si="981"/>
        <v/>
      </c>
      <c r="S2802" s="498"/>
      <c r="AJ2802" s="498"/>
      <c r="AM2802" s="498">
        <f t="shared" si="962"/>
        <v>0</v>
      </c>
      <c r="AN2802" s="498">
        <f t="shared" si="963"/>
        <v>0</v>
      </c>
      <c r="AO2802" s="498">
        <f t="shared" si="964"/>
        <v>0</v>
      </c>
      <c r="AP2802" s="498">
        <f t="shared" si="983"/>
        <v>0</v>
      </c>
      <c r="AQ2802" s="498">
        <f t="shared" si="978"/>
        <v>0</v>
      </c>
      <c r="AU2802" s="498">
        <f t="shared" si="965"/>
        <v>0</v>
      </c>
      <c r="AV2802" s="498">
        <f t="shared" si="966"/>
        <v>0</v>
      </c>
      <c r="AW2802" s="498">
        <f t="shared" si="967"/>
        <v>0</v>
      </c>
      <c r="AX2802" s="498">
        <f t="shared" si="968"/>
        <v>0</v>
      </c>
      <c r="AY2802" s="498">
        <f t="shared" si="969"/>
        <v>0</v>
      </c>
      <c r="BB2802" s="498" t="str">
        <f t="shared" si="970"/>
        <v/>
      </c>
      <c r="BC2802" s="743" t="str">
        <f t="shared" si="971"/>
        <v/>
      </c>
      <c r="BD2802" s="743" t="str">
        <f t="shared" si="972"/>
        <v/>
      </c>
      <c r="BE2802" s="743" t="str">
        <f>IF(D2802="","",VLOOKUP(D2802,'General Basis'!$J$39:$K$46,2,0))</f>
        <v/>
      </c>
      <c r="BF2802" s="744" t="str">
        <f>IF(D2802="","",VLOOKUP(D2802,'General Basis'!$J$39:$L$46,3,0))</f>
        <v/>
      </c>
      <c r="BG2802" s="744" t="str">
        <f t="shared" si="979"/>
        <v/>
      </c>
      <c r="BH2802" s="744" t="str">
        <f>IF(G2802="","",IF(BF2802="Abu Dhabi",IF(G2802&lt;18,'General Basis'!$C$39,IF(G2802&lt;41,'General Basis'!$C$40,IF(G2802&lt;60,'General Basis'!$C$41,IF(G2802&lt;65,'General Basis'!$C$42,'General Basis'!$C$43)))),IF(G2802&lt;11,'General Basis'!$B$39,IF(G2802&lt;18,'General Basis'!$B$40,IF(G2802&lt;26,'General Basis'!$B$41,IF(G2802&lt;31,'General Basis'!$B$42,IF(G2802&lt;36,'General Basis'!$B$43,IF(G2802&lt;41,'General Basis'!$B$44,IF(G2802&lt;46,'General Basis'!$B$45,IF(G2802&lt;51,'General Basis'!$B$46,IF(G2802&lt;56,'General Basis'!$B$47,IF(G2802&lt;60,'General Basis'!$B$48,IF(G2802&lt;65,'General Basis'!$B$49,'General Basis'!$B$50)))))))))))))</f>
        <v/>
      </c>
      <c r="BI2802" s="744" t="str">
        <f t="shared" si="973"/>
        <v/>
      </c>
      <c r="BJ2802" s="747" t="str">
        <f t="shared" si="980"/>
        <v/>
      </c>
      <c r="BK2802" s="498" t="str">
        <f t="shared" si="974"/>
        <v/>
      </c>
      <c r="BL2802" s="498" t="str">
        <f t="shared" si="975"/>
        <v/>
      </c>
    </row>
    <row r="2803" spans="1:64" x14ac:dyDescent="0.25">
      <c r="A2803" s="762">
        <f t="shared" si="976"/>
        <v>2798</v>
      </c>
      <c r="B2803" s="229"/>
      <c r="C2803" s="223"/>
      <c r="D2803" s="224"/>
      <c r="E2803" s="225"/>
      <c r="F2803" s="1036" t="str">
        <f t="shared" si="982"/>
        <v/>
      </c>
      <c r="G2803" s="1037" t="str">
        <f t="shared" si="977"/>
        <v/>
      </c>
      <c r="H2803" s="225"/>
      <c r="I2803" s="1013"/>
      <c r="J2803" s="1013"/>
      <c r="K2803" s="1028"/>
      <c r="L2803" s="1035" t="str">
        <f t="shared" si="981"/>
        <v/>
      </c>
      <c r="S2803" s="498"/>
      <c r="AJ2803" s="498"/>
      <c r="AM2803" s="498">
        <f t="shared" si="962"/>
        <v>0</v>
      </c>
      <c r="AN2803" s="498">
        <f t="shared" si="963"/>
        <v>0</v>
      </c>
      <c r="AO2803" s="498">
        <f t="shared" si="964"/>
        <v>0</v>
      </c>
      <c r="AP2803" s="498">
        <f t="shared" si="983"/>
        <v>0</v>
      </c>
      <c r="AQ2803" s="498">
        <f t="shared" si="978"/>
        <v>0</v>
      </c>
      <c r="AU2803" s="498">
        <f t="shared" si="965"/>
        <v>0</v>
      </c>
      <c r="AV2803" s="498">
        <f t="shared" si="966"/>
        <v>0</v>
      </c>
      <c r="AW2803" s="498">
        <f t="shared" si="967"/>
        <v>0</v>
      </c>
      <c r="AX2803" s="498">
        <f t="shared" si="968"/>
        <v>0</v>
      </c>
      <c r="AY2803" s="498">
        <f t="shared" si="969"/>
        <v>0</v>
      </c>
      <c r="BB2803" s="498" t="str">
        <f t="shared" si="970"/>
        <v/>
      </c>
      <c r="BC2803" s="743" t="str">
        <f t="shared" si="971"/>
        <v/>
      </c>
      <c r="BD2803" s="743" t="str">
        <f t="shared" si="972"/>
        <v/>
      </c>
      <c r="BE2803" s="743" t="str">
        <f>IF(D2803="","",VLOOKUP(D2803,'General Basis'!$J$39:$K$46,2,0))</f>
        <v/>
      </c>
      <c r="BF2803" s="744" t="str">
        <f>IF(D2803="","",VLOOKUP(D2803,'General Basis'!$J$39:$L$46,3,0))</f>
        <v/>
      </c>
      <c r="BG2803" s="744" t="str">
        <f t="shared" si="979"/>
        <v/>
      </c>
      <c r="BH2803" s="744" t="str">
        <f>IF(G2803="","",IF(BF2803="Abu Dhabi",IF(G2803&lt;18,'General Basis'!$C$39,IF(G2803&lt;41,'General Basis'!$C$40,IF(G2803&lt;60,'General Basis'!$C$41,IF(G2803&lt;65,'General Basis'!$C$42,'General Basis'!$C$43)))),IF(G2803&lt;11,'General Basis'!$B$39,IF(G2803&lt;18,'General Basis'!$B$40,IF(G2803&lt;26,'General Basis'!$B$41,IF(G2803&lt;31,'General Basis'!$B$42,IF(G2803&lt;36,'General Basis'!$B$43,IF(G2803&lt;41,'General Basis'!$B$44,IF(G2803&lt;46,'General Basis'!$B$45,IF(G2803&lt;51,'General Basis'!$B$46,IF(G2803&lt;56,'General Basis'!$B$47,IF(G2803&lt;60,'General Basis'!$B$48,IF(G2803&lt;65,'General Basis'!$B$49,'General Basis'!$B$50)))))))))))))</f>
        <v/>
      </c>
      <c r="BI2803" s="744" t="str">
        <f t="shared" si="973"/>
        <v/>
      </c>
      <c r="BJ2803" s="747" t="str">
        <f t="shared" si="980"/>
        <v/>
      </c>
      <c r="BK2803" s="498" t="str">
        <f t="shared" si="974"/>
        <v/>
      </c>
      <c r="BL2803" s="498" t="str">
        <f t="shared" si="975"/>
        <v/>
      </c>
    </row>
    <row r="2804" spans="1:64" x14ac:dyDescent="0.25">
      <c r="A2804" s="762">
        <f t="shared" si="976"/>
        <v>2799</v>
      </c>
      <c r="B2804" s="229"/>
      <c r="C2804" s="223"/>
      <c r="D2804" s="224"/>
      <c r="E2804" s="225"/>
      <c r="F2804" s="1036" t="str">
        <f t="shared" si="982"/>
        <v/>
      </c>
      <c r="G2804" s="1037" t="str">
        <f t="shared" si="977"/>
        <v/>
      </c>
      <c r="H2804" s="225"/>
      <c r="I2804" s="1013"/>
      <c r="J2804" s="1013"/>
      <c r="K2804" s="1028"/>
      <c r="L2804" s="1035" t="str">
        <f t="shared" si="981"/>
        <v/>
      </c>
      <c r="S2804" s="498"/>
      <c r="AJ2804" s="498"/>
      <c r="AM2804" s="498">
        <f t="shared" si="962"/>
        <v>0</v>
      </c>
      <c r="AN2804" s="498">
        <f t="shared" si="963"/>
        <v>0</v>
      </c>
      <c r="AO2804" s="498">
        <f t="shared" si="964"/>
        <v>0</v>
      </c>
      <c r="AP2804" s="498">
        <f t="shared" si="983"/>
        <v>0</v>
      </c>
      <c r="AQ2804" s="498">
        <f t="shared" si="978"/>
        <v>0</v>
      </c>
      <c r="AU2804" s="498">
        <f t="shared" si="965"/>
        <v>0</v>
      </c>
      <c r="AV2804" s="498">
        <f t="shared" si="966"/>
        <v>0</v>
      </c>
      <c r="AW2804" s="498">
        <f t="shared" si="967"/>
        <v>0</v>
      </c>
      <c r="AX2804" s="498">
        <f t="shared" si="968"/>
        <v>0</v>
      </c>
      <c r="AY2804" s="498">
        <f t="shared" si="969"/>
        <v>0</v>
      </c>
      <c r="BB2804" s="498" t="str">
        <f t="shared" si="970"/>
        <v/>
      </c>
      <c r="BC2804" s="743" t="str">
        <f t="shared" si="971"/>
        <v/>
      </c>
      <c r="BD2804" s="743" t="str">
        <f t="shared" si="972"/>
        <v/>
      </c>
      <c r="BE2804" s="743" t="str">
        <f>IF(D2804="","",VLOOKUP(D2804,'General Basis'!$J$39:$K$46,2,0))</f>
        <v/>
      </c>
      <c r="BF2804" s="744" t="str">
        <f>IF(D2804="","",VLOOKUP(D2804,'General Basis'!$J$39:$L$46,3,0))</f>
        <v/>
      </c>
      <c r="BG2804" s="744" t="str">
        <f t="shared" si="979"/>
        <v/>
      </c>
      <c r="BH2804" s="744" t="str">
        <f>IF(G2804="","",IF(BF2804="Abu Dhabi",IF(G2804&lt;18,'General Basis'!$C$39,IF(G2804&lt;41,'General Basis'!$C$40,IF(G2804&lt;60,'General Basis'!$C$41,IF(G2804&lt;65,'General Basis'!$C$42,'General Basis'!$C$43)))),IF(G2804&lt;11,'General Basis'!$B$39,IF(G2804&lt;18,'General Basis'!$B$40,IF(G2804&lt;26,'General Basis'!$B$41,IF(G2804&lt;31,'General Basis'!$B$42,IF(G2804&lt;36,'General Basis'!$B$43,IF(G2804&lt;41,'General Basis'!$B$44,IF(G2804&lt;46,'General Basis'!$B$45,IF(G2804&lt;51,'General Basis'!$B$46,IF(G2804&lt;56,'General Basis'!$B$47,IF(G2804&lt;60,'General Basis'!$B$48,IF(G2804&lt;65,'General Basis'!$B$49,'General Basis'!$B$50)))))))))))))</f>
        <v/>
      </c>
      <c r="BI2804" s="744" t="str">
        <f t="shared" si="973"/>
        <v/>
      </c>
      <c r="BJ2804" s="747" t="str">
        <f t="shared" si="980"/>
        <v/>
      </c>
      <c r="BK2804" s="498" t="str">
        <f t="shared" si="974"/>
        <v/>
      </c>
      <c r="BL2804" s="498" t="str">
        <f t="shared" si="975"/>
        <v/>
      </c>
    </row>
    <row r="2805" spans="1:64" x14ac:dyDescent="0.25">
      <c r="A2805" s="762">
        <f t="shared" si="976"/>
        <v>2800</v>
      </c>
      <c r="B2805" s="229"/>
      <c r="C2805" s="223"/>
      <c r="D2805" s="224"/>
      <c r="E2805" s="225"/>
      <c r="F2805" s="1036" t="str">
        <f t="shared" si="982"/>
        <v/>
      </c>
      <c r="G2805" s="1037" t="str">
        <f t="shared" si="977"/>
        <v/>
      </c>
      <c r="H2805" s="225"/>
      <c r="I2805" s="1013"/>
      <c r="J2805" s="1013"/>
      <c r="K2805" s="1028"/>
      <c r="L2805" s="1035" t="str">
        <f t="shared" si="981"/>
        <v/>
      </c>
      <c r="S2805" s="498"/>
      <c r="AJ2805" s="498"/>
      <c r="AM2805" s="498">
        <f t="shared" si="962"/>
        <v>0</v>
      </c>
      <c r="AN2805" s="498">
        <f t="shared" si="963"/>
        <v>0</v>
      </c>
      <c r="AO2805" s="498">
        <f t="shared" si="964"/>
        <v>0</v>
      </c>
      <c r="AP2805" s="498">
        <f t="shared" si="983"/>
        <v>0</v>
      </c>
      <c r="AQ2805" s="498">
        <f t="shared" si="978"/>
        <v>0</v>
      </c>
      <c r="AU2805" s="498">
        <f t="shared" si="965"/>
        <v>0</v>
      </c>
      <c r="AV2805" s="498">
        <f t="shared" si="966"/>
        <v>0</v>
      </c>
      <c r="AW2805" s="498">
        <f t="shared" si="967"/>
        <v>0</v>
      </c>
      <c r="AX2805" s="498">
        <f t="shared" si="968"/>
        <v>0</v>
      </c>
      <c r="AY2805" s="498">
        <f t="shared" si="969"/>
        <v>0</v>
      </c>
      <c r="BB2805" s="498" t="str">
        <f t="shared" si="970"/>
        <v/>
      </c>
      <c r="BC2805" s="743" t="str">
        <f t="shared" si="971"/>
        <v/>
      </c>
      <c r="BD2805" s="743" t="str">
        <f t="shared" si="972"/>
        <v/>
      </c>
      <c r="BE2805" s="743" t="str">
        <f>IF(D2805="","",VLOOKUP(D2805,'General Basis'!$J$39:$K$46,2,0))</f>
        <v/>
      </c>
      <c r="BF2805" s="744" t="str">
        <f>IF(D2805="","",VLOOKUP(D2805,'General Basis'!$J$39:$L$46,3,0))</f>
        <v/>
      </c>
      <c r="BG2805" s="744" t="str">
        <f t="shared" si="979"/>
        <v/>
      </c>
      <c r="BH2805" s="744" t="str">
        <f>IF(G2805="","",IF(BF2805="Abu Dhabi",IF(G2805&lt;18,'General Basis'!$C$39,IF(G2805&lt;41,'General Basis'!$C$40,IF(G2805&lt;60,'General Basis'!$C$41,IF(G2805&lt;65,'General Basis'!$C$42,'General Basis'!$C$43)))),IF(G2805&lt;11,'General Basis'!$B$39,IF(G2805&lt;18,'General Basis'!$B$40,IF(G2805&lt;26,'General Basis'!$B$41,IF(G2805&lt;31,'General Basis'!$B$42,IF(G2805&lt;36,'General Basis'!$B$43,IF(G2805&lt;41,'General Basis'!$B$44,IF(G2805&lt;46,'General Basis'!$B$45,IF(G2805&lt;51,'General Basis'!$B$46,IF(G2805&lt;56,'General Basis'!$B$47,IF(G2805&lt;60,'General Basis'!$B$48,IF(G2805&lt;65,'General Basis'!$B$49,'General Basis'!$B$50)))))))))))))</f>
        <v/>
      </c>
      <c r="BI2805" s="744" t="str">
        <f t="shared" si="973"/>
        <v/>
      </c>
      <c r="BJ2805" s="747" t="str">
        <f t="shared" si="980"/>
        <v/>
      </c>
      <c r="BK2805" s="498" t="str">
        <f t="shared" si="974"/>
        <v/>
      </c>
      <c r="BL2805" s="498" t="str">
        <f t="shared" si="975"/>
        <v/>
      </c>
    </row>
    <row r="2806" spans="1:64" x14ac:dyDescent="0.25">
      <c r="A2806" s="762">
        <f t="shared" si="976"/>
        <v>2801</v>
      </c>
      <c r="B2806" s="229"/>
      <c r="C2806" s="223"/>
      <c r="D2806" s="224"/>
      <c r="E2806" s="225"/>
      <c r="F2806" s="1036" t="str">
        <f t="shared" si="982"/>
        <v/>
      </c>
      <c r="G2806" s="1037" t="str">
        <f t="shared" si="977"/>
        <v/>
      </c>
      <c r="H2806" s="225"/>
      <c r="I2806" s="1013"/>
      <c r="J2806" s="1013"/>
      <c r="K2806" s="1028"/>
      <c r="L2806" s="1035" t="str">
        <f t="shared" si="981"/>
        <v/>
      </c>
      <c r="S2806" s="498"/>
      <c r="AJ2806" s="498"/>
      <c r="AM2806" s="498">
        <f t="shared" si="962"/>
        <v>0</v>
      </c>
      <c r="AN2806" s="498">
        <f t="shared" si="963"/>
        <v>0</v>
      </c>
      <c r="AO2806" s="498">
        <f t="shared" si="964"/>
        <v>0</v>
      </c>
      <c r="AP2806" s="498">
        <f t="shared" si="983"/>
        <v>0</v>
      </c>
      <c r="AQ2806" s="498">
        <f t="shared" si="978"/>
        <v>0</v>
      </c>
      <c r="AU2806" s="498">
        <f t="shared" si="965"/>
        <v>0</v>
      </c>
      <c r="AV2806" s="498">
        <f t="shared" si="966"/>
        <v>0</v>
      </c>
      <c r="AW2806" s="498">
        <f t="shared" si="967"/>
        <v>0</v>
      </c>
      <c r="AX2806" s="498">
        <f t="shared" si="968"/>
        <v>0</v>
      </c>
      <c r="AY2806" s="498">
        <f t="shared" si="969"/>
        <v>0</v>
      </c>
      <c r="BB2806" s="498" t="str">
        <f t="shared" si="970"/>
        <v/>
      </c>
      <c r="BC2806" s="743" t="str">
        <f t="shared" si="971"/>
        <v/>
      </c>
      <c r="BD2806" s="743" t="str">
        <f t="shared" si="972"/>
        <v/>
      </c>
      <c r="BE2806" s="743" t="str">
        <f>IF(D2806="","",VLOOKUP(D2806,'General Basis'!$J$39:$K$46,2,0))</f>
        <v/>
      </c>
      <c r="BF2806" s="744" t="str">
        <f>IF(D2806="","",VLOOKUP(D2806,'General Basis'!$J$39:$L$46,3,0))</f>
        <v/>
      </c>
      <c r="BG2806" s="744" t="str">
        <f t="shared" si="979"/>
        <v/>
      </c>
      <c r="BH2806" s="744" t="str">
        <f>IF(G2806="","",IF(BF2806="Abu Dhabi",IF(G2806&lt;18,'General Basis'!$C$39,IF(G2806&lt;41,'General Basis'!$C$40,IF(G2806&lt;60,'General Basis'!$C$41,IF(G2806&lt;65,'General Basis'!$C$42,'General Basis'!$C$43)))),IF(G2806&lt;11,'General Basis'!$B$39,IF(G2806&lt;18,'General Basis'!$B$40,IF(G2806&lt;26,'General Basis'!$B$41,IF(G2806&lt;31,'General Basis'!$B$42,IF(G2806&lt;36,'General Basis'!$B$43,IF(G2806&lt;41,'General Basis'!$B$44,IF(G2806&lt;46,'General Basis'!$B$45,IF(G2806&lt;51,'General Basis'!$B$46,IF(G2806&lt;56,'General Basis'!$B$47,IF(G2806&lt;60,'General Basis'!$B$48,IF(G2806&lt;65,'General Basis'!$B$49,'General Basis'!$B$50)))))))))))))</f>
        <v/>
      </c>
      <c r="BI2806" s="744" t="str">
        <f t="shared" si="973"/>
        <v/>
      </c>
      <c r="BJ2806" s="747" t="str">
        <f t="shared" si="980"/>
        <v/>
      </c>
      <c r="BK2806" s="498" t="str">
        <f t="shared" si="974"/>
        <v/>
      </c>
      <c r="BL2806" s="498" t="str">
        <f t="shared" si="975"/>
        <v/>
      </c>
    </row>
    <row r="2807" spans="1:64" x14ac:dyDescent="0.25">
      <c r="A2807" s="762">
        <f t="shared" si="976"/>
        <v>2802</v>
      </c>
      <c r="B2807" s="229"/>
      <c r="C2807" s="223"/>
      <c r="D2807" s="224"/>
      <c r="E2807" s="225"/>
      <c r="F2807" s="1036" t="str">
        <f t="shared" si="982"/>
        <v/>
      </c>
      <c r="G2807" s="1037" t="str">
        <f t="shared" si="977"/>
        <v/>
      </c>
      <c r="H2807" s="225"/>
      <c r="I2807" s="1013"/>
      <c r="J2807" s="1013"/>
      <c r="K2807" s="1028"/>
      <c r="L2807" s="1035" t="str">
        <f t="shared" si="981"/>
        <v/>
      </c>
      <c r="S2807" s="498"/>
      <c r="AJ2807" s="498"/>
      <c r="AM2807" s="498">
        <f t="shared" si="962"/>
        <v>0</v>
      </c>
      <c r="AN2807" s="498">
        <f t="shared" si="963"/>
        <v>0</v>
      </c>
      <c r="AO2807" s="498">
        <f t="shared" si="964"/>
        <v>0</v>
      </c>
      <c r="AP2807" s="498">
        <f t="shared" si="983"/>
        <v>0</v>
      </c>
      <c r="AQ2807" s="498">
        <f t="shared" si="978"/>
        <v>0</v>
      </c>
      <c r="AU2807" s="498">
        <f t="shared" si="965"/>
        <v>0</v>
      </c>
      <c r="AV2807" s="498">
        <f t="shared" si="966"/>
        <v>0</v>
      </c>
      <c r="AW2807" s="498">
        <f t="shared" si="967"/>
        <v>0</v>
      </c>
      <c r="AX2807" s="498">
        <f t="shared" si="968"/>
        <v>0</v>
      </c>
      <c r="AY2807" s="498">
        <f t="shared" si="969"/>
        <v>0</v>
      </c>
      <c r="BB2807" s="498" t="str">
        <f t="shared" si="970"/>
        <v/>
      </c>
      <c r="BC2807" s="743" t="str">
        <f t="shared" si="971"/>
        <v/>
      </c>
      <c r="BD2807" s="743" t="str">
        <f t="shared" si="972"/>
        <v/>
      </c>
      <c r="BE2807" s="743" t="str">
        <f>IF(D2807="","",VLOOKUP(D2807,'General Basis'!$J$39:$K$46,2,0))</f>
        <v/>
      </c>
      <c r="BF2807" s="744" t="str">
        <f>IF(D2807="","",VLOOKUP(D2807,'General Basis'!$J$39:$L$46,3,0))</f>
        <v/>
      </c>
      <c r="BG2807" s="744" t="str">
        <f t="shared" si="979"/>
        <v/>
      </c>
      <c r="BH2807" s="744" t="str">
        <f>IF(G2807="","",IF(BF2807="Abu Dhabi",IF(G2807&lt;18,'General Basis'!$C$39,IF(G2807&lt;41,'General Basis'!$C$40,IF(G2807&lt;60,'General Basis'!$C$41,IF(G2807&lt;65,'General Basis'!$C$42,'General Basis'!$C$43)))),IF(G2807&lt;11,'General Basis'!$B$39,IF(G2807&lt;18,'General Basis'!$B$40,IF(G2807&lt;26,'General Basis'!$B$41,IF(G2807&lt;31,'General Basis'!$B$42,IF(G2807&lt;36,'General Basis'!$B$43,IF(G2807&lt;41,'General Basis'!$B$44,IF(G2807&lt;46,'General Basis'!$B$45,IF(G2807&lt;51,'General Basis'!$B$46,IF(G2807&lt;56,'General Basis'!$B$47,IF(G2807&lt;60,'General Basis'!$B$48,IF(G2807&lt;65,'General Basis'!$B$49,'General Basis'!$B$50)))))))))))))</f>
        <v/>
      </c>
      <c r="BI2807" s="744" t="str">
        <f t="shared" si="973"/>
        <v/>
      </c>
      <c r="BJ2807" s="747" t="str">
        <f t="shared" si="980"/>
        <v/>
      </c>
      <c r="BK2807" s="498" t="str">
        <f t="shared" si="974"/>
        <v/>
      </c>
      <c r="BL2807" s="498" t="str">
        <f t="shared" si="975"/>
        <v/>
      </c>
    </row>
    <row r="2808" spans="1:64" x14ac:dyDescent="0.25">
      <c r="A2808" s="762">
        <f t="shared" si="976"/>
        <v>2803</v>
      </c>
      <c r="B2808" s="229"/>
      <c r="C2808" s="223"/>
      <c r="D2808" s="224"/>
      <c r="E2808" s="225"/>
      <c r="F2808" s="1036" t="str">
        <f t="shared" si="982"/>
        <v/>
      </c>
      <c r="G2808" s="1037" t="str">
        <f t="shared" si="977"/>
        <v/>
      </c>
      <c r="H2808" s="225"/>
      <c r="I2808" s="1013"/>
      <c r="J2808" s="1013"/>
      <c r="K2808" s="1028"/>
      <c r="L2808" s="1035" t="str">
        <f t="shared" si="981"/>
        <v/>
      </c>
      <c r="S2808" s="498"/>
      <c r="AJ2808" s="498"/>
      <c r="AM2808" s="498">
        <f t="shared" si="962"/>
        <v>0</v>
      </c>
      <c r="AN2808" s="498">
        <f t="shared" si="963"/>
        <v>0</v>
      </c>
      <c r="AO2808" s="498">
        <f t="shared" si="964"/>
        <v>0</v>
      </c>
      <c r="AP2808" s="498">
        <f t="shared" si="983"/>
        <v>0</v>
      </c>
      <c r="AQ2808" s="498">
        <f t="shared" si="978"/>
        <v>0</v>
      </c>
      <c r="AU2808" s="498">
        <f t="shared" si="965"/>
        <v>0</v>
      </c>
      <c r="AV2808" s="498">
        <f t="shared" si="966"/>
        <v>0</v>
      </c>
      <c r="AW2808" s="498">
        <f t="shared" si="967"/>
        <v>0</v>
      </c>
      <c r="AX2808" s="498">
        <f t="shared" si="968"/>
        <v>0</v>
      </c>
      <c r="AY2808" s="498">
        <f t="shared" si="969"/>
        <v>0</v>
      </c>
      <c r="BB2808" s="498" t="str">
        <f t="shared" si="970"/>
        <v/>
      </c>
      <c r="BC2808" s="743" t="str">
        <f t="shared" si="971"/>
        <v/>
      </c>
      <c r="BD2808" s="743" t="str">
        <f t="shared" si="972"/>
        <v/>
      </c>
      <c r="BE2808" s="743" t="str">
        <f>IF(D2808="","",VLOOKUP(D2808,'General Basis'!$J$39:$K$46,2,0))</f>
        <v/>
      </c>
      <c r="BF2808" s="744" t="str">
        <f>IF(D2808="","",VLOOKUP(D2808,'General Basis'!$J$39:$L$46,3,0))</f>
        <v/>
      </c>
      <c r="BG2808" s="744" t="str">
        <f t="shared" si="979"/>
        <v/>
      </c>
      <c r="BH2808" s="744" t="str">
        <f>IF(G2808="","",IF(BF2808="Abu Dhabi",IF(G2808&lt;18,'General Basis'!$C$39,IF(G2808&lt;41,'General Basis'!$C$40,IF(G2808&lt;60,'General Basis'!$C$41,IF(G2808&lt;65,'General Basis'!$C$42,'General Basis'!$C$43)))),IF(G2808&lt;11,'General Basis'!$B$39,IF(G2808&lt;18,'General Basis'!$B$40,IF(G2808&lt;26,'General Basis'!$B$41,IF(G2808&lt;31,'General Basis'!$B$42,IF(G2808&lt;36,'General Basis'!$B$43,IF(G2808&lt;41,'General Basis'!$B$44,IF(G2808&lt;46,'General Basis'!$B$45,IF(G2808&lt;51,'General Basis'!$B$46,IF(G2808&lt;56,'General Basis'!$B$47,IF(G2808&lt;60,'General Basis'!$B$48,IF(G2808&lt;65,'General Basis'!$B$49,'General Basis'!$B$50)))))))))))))</f>
        <v/>
      </c>
      <c r="BI2808" s="744" t="str">
        <f t="shared" si="973"/>
        <v/>
      </c>
      <c r="BJ2808" s="747" t="str">
        <f t="shared" si="980"/>
        <v/>
      </c>
      <c r="BK2808" s="498" t="str">
        <f t="shared" si="974"/>
        <v/>
      </c>
      <c r="BL2808" s="498" t="str">
        <f t="shared" si="975"/>
        <v/>
      </c>
    </row>
    <row r="2809" spans="1:64" x14ac:dyDescent="0.25">
      <c r="A2809" s="762">
        <f t="shared" si="976"/>
        <v>2804</v>
      </c>
      <c r="B2809" s="229"/>
      <c r="C2809" s="223"/>
      <c r="D2809" s="224"/>
      <c r="E2809" s="225"/>
      <c r="F2809" s="1036" t="str">
        <f t="shared" si="982"/>
        <v/>
      </c>
      <c r="G2809" s="1037" t="str">
        <f t="shared" si="977"/>
        <v/>
      </c>
      <c r="H2809" s="225"/>
      <c r="I2809" s="1013"/>
      <c r="J2809" s="1013"/>
      <c r="K2809" s="1028"/>
      <c r="L2809" s="1035" t="str">
        <f t="shared" si="981"/>
        <v/>
      </c>
      <c r="S2809" s="498"/>
      <c r="AJ2809" s="498"/>
      <c r="AM2809" s="498">
        <f t="shared" si="962"/>
        <v>0</v>
      </c>
      <c r="AN2809" s="498">
        <f t="shared" si="963"/>
        <v>0</v>
      </c>
      <c r="AO2809" s="498">
        <f t="shared" si="964"/>
        <v>0</v>
      </c>
      <c r="AP2809" s="498">
        <f t="shared" si="983"/>
        <v>0</v>
      </c>
      <c r="AQ2809" s="498">
        <f t="shared" si="978"/>
        <v>0</v>
      </c>
      <c r="AU2809" s="498">
        <f t="shared" si="965"/>
        <v>0</v>
      </c>
      <c r="AV2809" s="498">
        <f t="shared" si="966"/>
        <v>0</v>
      </c>
      <c r="AW2809" s="498">
        <f t="shared" si="967"/>
        <v>0</v>
      </c>
      <c r="AX2809" s="498">
        <f t="shared" si="968"/>
        <v>0</v>
      </c>
      <c r="AY2809" s="498">
        <f t="shared" si="969"/>
        <v>0</v>
      </c>
      <c r="BB2809" s="498" t="str">
        <f t="shared" si="970"/>
        <v/>
      </c>
      <c r="BC2809" s="743" t="str">
        <f t="shared" si="971"/>
        <v/>
      </c>
      <c r="BD2809" s="743" t="str">
        <f t="shared" si="972"/>
        <v/>
      </c>
      <c r="BE2809" s="743" t="str">
        <f>IF(D2809="","",VLOOKUP(D2809,'General Basis'!$J$39:$K$46,2,0))</f>
        <v/>
      </c>
      <c r="BF2809" s="744" t="str">
        <f>IF(D2809="","",VLOOKUP(D2809,'General Basis'!$J$39:$L$46,3,0))</f>
        <v/>
      </c>
      <c r="BG2809" s="744" t="str">
        <f t="shared" si="979"/>
        <v/>
      </c>
      <c r="BH2809" s="744" t="str">
        <f>IF(G2809="","",IF(BF2809="Abu Dhabi",IF(G2809&lt;18,'General Basis'!$C$39,IF(G2809&lt;41,'General Basis'!$C$40,IF(G2809&lt;60,'General Basis'!$C$41,IF(G2809&lt;65,'General Basis'!$C$42,'General Basis'!$C$43)))),IF(G2809&lt;11,'General Basis'!$B$39,IF(G2809&lt;18,'General Basis'!$B$40,IF(G2809&lt;26,'General Basis'!$B$41,IF(G2809&lt;31,'General Basis'!$B$42,IF(G2809&lt;36,'General Basis'!$B$43,IF(G2809&lt;41,'General Basis'!$B$44,IF(G2809&lt;46,'General Basis'!$B$45,IF(G2809&lt;51,'General Basis'!$B$46,IF(G2809&lt;56,'General Basis'!$B$47,IF(G2809&lt;60,'General Basis'!$B$48,IF(G2809&lt;65,'General Basis'!$B$49,'General Basis'!$B$50)))))))))))))</f>
        <v/>
      </c>
      <c r="BI2809" s="744" t="str">
        <f t="shared" si="973"/>
        <v/>
      </c>
      <c r="BJ2809" s="747" t="str">
        <f t="shared" si="980"/>
        <v/>
      </c>
      <c r="BK2809" s="498" t="str">
        <f t="shared" si="974"/>
        <v/>
      </c>
      <c r="BL2809" s="498" t="str">
        <f t="shared" si="975"/>
        <v/>
      </c>
    </row>
    <row r="2810" spans="1:64" x14ac:dyDescent="0.25">
      <c r="A2810" s="762">
        <f t="shared" si="976"/>
        <v>2805</v>
      </c>
      <c r="B2810" s="229"/>
      <c r="C2810" s="223"/>
      <c r="D2810" s="224"/>
      <c r="E2810" s="225"/>
      <c r="F2810" s="1036" t="str">
        <f t="shared" si="982"/>
        <v/>
      </c>
      <c r="G2810" s="1037" t="str">
        <f t="shared" si="977"/>
        <v/>
      </c>
      <c r="H2810" s="225"/>
      <c r="I2810" s="1013"/>
      <c r="J2810" s="1013"/>
      <c r="K2810" s="1028"/>
      <c r="L2810" s="1035" t="str">
        <f t="shared" si="981"/>
        <v/>
      </c>
      <c r="S2810" s="498"/>
      <c r="AJ2810" s="498"/>
      <c r="AM2810" s="498">
        <f t="shared" si="962"/>
        <v>0</v>
      </c>
      <c r="AN2810" s="498">
        <f t="shared" si="963"/>
        <v>0</v>
      </c>
      <c r="AO2810" s="498">
        <f t="shared" si="964"/>
        <v>0</v>
      </c>
      <c r="AP2810" s="498">
        <f t="shared" si="983"/>
        <v>0</v>
      </c>
      <c r="AQ2810" s="498">
        <f t="shared" si="978"/>
        <v>0</v>
      </c>
      <c r="AU2810" s="498">
        <f t="shared" si="965"/>
        <v>0</v>
      </c>
      <c r="AV2810" s="498">
        <f t="shared" si="966"/>
        <v>0</v>
      </c>
      <c r="AW2810" s="498">
        <f t="shared" si="967"/>
        <v>0</v>
      </c>
      <c r="AX2810" s="498">
        <f t="shared" si="968"/>
        <v>0</v>
      </c>
      <c r="AY2810" s="498">
        <f t="shared" si="969"/>
        <v>0</v>
      </c>
      <c r="BB2810" s="498" t="str">
        <f t="shared" si="970"/>
        <v/>
      </c>
      <c r="BC2810" s="743" t="str">
        <f t="shared" si="971"/>
        <v/>
      </c>
      <c r="BD2810" s="743" t="str">
        <f t="shared" si="972"/>
        <v/>
      </c>
      <c r="BE2810" s="743" t="str">
        <f>IF(D2810="","",VLOOKUP(D2810,'General Basis'!$J$39:$K$46,2,0))</f>
        <v/>
      </c>
      <c r="BF2810" s="744" t="str">
        <f>IF(D2810="","",VLOOKUP(D2810,'General Basis'!$J$39:$L$46,3,0))</f>
        <v/>
      </c>
      <c r="BG2810" s="744" t="str">
        <f t="shared" si="979"/>
        <v/>
      </c>
      <c r="BH2810" s="744" t="str">
        <f>IF(G2810="","",IF(BF2810="Abu Dhabi",IF(G2810&lt;18,'General Basis'!$C$39,IF(G2810&lt;41,'General Basis'!$C$40,IF(G2810&lt;60,'General Basis'!$C$41,IF(G2810&lt;65,'General Basis'!$C$42,'General Basis'!$C$43)))),IF(G2810&lt;11,'General Basis'!$B$39,IF(G2810&lt;18,'General Basis'!$B$40,IF(G2810&lt;26,'General Basis'!$B$41,IF(G2810&lt;31,'General Basis'!$B$42,IF(G2810&lt;36,'General Basis'!$B$43,IF(G2810&lt;41,'General Basis'!$B$44,IF(G2810&lt;46,'General Basis'!$B$45,IF(G2810&lt;51,'General Basis'!$B$46,IF(G2810&lt;56,'General Basis'!$B$47,IF(G2810&lt;60,'General Basis'!$B$48,IF(G2810&lt;65,'General Basis'!$B$49,'General Basis'!$B$50)))))))))))))</f>
        <v/>
      </c>
      <c r="BI2810" s="744" t="str">
        <f t="shared" si="973"/>
        <v/>
      </c>
      <c r="BJ2810" s="747" t="str">
        <f t="shared" si="980"/>
        <v/>
      </c>
      <c r="BK2810" s="498" t="str">
        <f t="shared" si="974"/>
        <v/>
      </c>
      <c r="BL2810" s="498" t="str">
        <f t="shared" si="975"/>
        <v/>
      </c>
    </row>
    <row r="2811" spans="1:64" x14ac:dyDescent="0.25">
      <c r="A2811" s="762">
        <f t="shared" si="976"/>
        <v>2806</v>
      </c>
      <c r="B2811" s="229"/>
      <c r="C2811" s="223"/>
      <c r="D2811" s="224"/>
      <c r="E2811" s="225"/>
      <c r="F2811" s="1036" t="str">
        <f t="shared" si="982"/>
        <v/>
      </c>
      <c r="G2811" s="1037" t="str">
        <f t="shared" si="977"/>
        <v/>
      </c>
      <c r="H2811" s="225"/>
      <c r="I2811" s="1013"/>
      <c r="J2811" s="1013"/>
      <c r="K2811" s="1028"/>
      <c r="L2811" s="1035" t="str">
        <f t="shared" si="981"/>
        <v/>
      </c>
      <c r="S2811" s="498"/>
      <c r="AJ2811" s="498"/>
      <c r="AM2811" s="498">
        <f t="shared" si="962"/>
        <v>0</v>
      </c>
      <c r="AN2811" s="498">
        <f t="shared" si="963"/>
        <v>0</v>
      </c>
      <c r="AO2811" s="498">
        <f t="shared" si="964"/>
        <v>0</v>
      </c>
      <c r="AP2811" s="498">
        <f t="shared" si="983"/>
        <v>0</v>
      </c>
      <c r="AQ2811" s="498">
        <f t="shared" si="978"/>
        <v>0</v>
      </c>
      <c r="AU2811" s="498">
        <f t="shared" si="965"/>
        <v>0</v>
      </c>
      <c r="AV2811" s="498">
        <f t="shared" si="966"/>
        <v>0</v>
      </c>
      <c r="AW2811" s="498">
        <f t="shared" si="967"/>
        <v>0</v>
      </c>
      <c r="AX2811" s="498">
        <f t="shared" si="968"/>
        <v>0</v>
      </c>
      <c r="AY2811" s="498">
        <f t="shared" si="969"/>
        <v>0</v>
      </c>
      <c r="BB2811" s="498" t="str">
        <f t="shared" si="970"/>
        <v/>
      </c>
      <c r="BC2811" s="743" t="str">
        <f t="shared" si="971"/>
        <v/>
      </c>
      <c r="BD2811" s="743" t="str">
        <f t="shared" si="972"/>
        <v/>
      </c>
      <c r="BE2811" s="743" t="str">
        <f>IF(D2811="","",VLOOKUP(D2811,'General Basis'!$J$39:$K$46,2,0))</f>
        <v/>
      </c>
      <c r="BF2811" s="744" t="str">
        <f>IF(D2811="","",VLOOKUP(D2811,'General Basis'!$J$39:$L$46,3,0))</f>
        <v/>
      </c>
      <c r="BG2811" s="744" t="str">
        <f t="shared" si="979"/>
        <v/>
      </c>
      <c r="BH2811" s="744" t="str">
        <f>IF(G2811="","",IF(BF2811="Abu Dhabi",IF(G2811&lt;18,'General Basis'!$C$39,IF(G2811&lt;41,'General Basis'!$C$40,IF(G2811&lt;60,'General Basis'!$C$41,IF(G2811&lt;65,'General Basis'!$C$42,'General Basis'!$C$43)))),IF(G2811&lt;11,'General Basis'!$B$39,IF(G2811&lt;18,'General Basis'!$B$40,IF(G2811&lt;26,'General Basis'!$B$41,IF(G2811&lt;31,'General Basis'!$B$42,IF(G2811&lt;36,'General Basis'!$B$43,IF(G2811&lt;41,'General Basis'!$B$44,IF(G2811&lt;46,'General Basis'!$B$45,IF(G2811&lt;51,'General Basis'!$B$46,IF(G2811&lt;56,'General Basis'!$B$47,IF(G2811&lt;60,'General Basis'!$B$48,IF(G2811&lt;65,'General Basis'!$B$49,'General Basis'!$B$50)))))))))))))</f>
        <v/>
      </c>
      <c r="BI2811" s="744" t="str">
        <f t="shared" si="973"/>
        <v/>
      </c>
      <c r="BJ2811" s="747" t="str">
        <f t="shared" si="980"/>
        <v/>
      </c>
      <c r="BK2811" s="498" t="str">
        <f t="shared" si="974"/>
        <v/>
      </c>
      <c r="BL2811" s="498" t="str">
        <f t="shared" si="975"/>
        <v/>
      </c>
    </row>
    <row r="2812" spans="1:64" x14ac:dyDescent="0.25">
      <c r="A2812" s="762">
        <f t="shared" si="976"/>
        <v>2807</v>
      </c>
      <c r="B2812" s="229"/>
      <c r="C2812" s="223"/>
      <c r="D2812" s="224"/>
      <c r="E2812" s="225"/>
      <c r="F2812" s="1036" t="str">
        <f t="shared" si="982"/>
        <v/>
      </c>
      <c r="G2812" s="1037" t="str">
        <f t="shared" si="977"/>
        <v/>
      </c>
      <c r="H2812" s="225"/>
      <c r="I2812" s="1013"/>
      <c r="J2812" s="1013"/>
      <c r="K2812" s="1028"/>
      <c r="L2812" s="1035" t="str">
        <f t="shared" si="981"/>
        <v/>
      </c>
      <c r="S2812" s="498"/>
      <c r="AJ2812" s="498"/>
      <c r="AM2812" s="498">
        <f t="shared" si="962"/>
        <v>0</v>
      </c>
      <c r="AN2812" s="498">
        <f t="shared" si="963"/>
        <v>0</v>
      </c>
      <c r="AO2812" s="498">
        <f t="shared" si="964"/>
        <v>0</v>
      </c>
      <c r="AP2812" s="498">
        <f t="shared" si="983"/>
        <v>0</v>
      </c>
      <c r="AQ2812" s="498">
        <f t="shared" si="978"/>
        <v>0</v>
      </c>
      <c r="AU2812" s="498">
        <f t="shared" si="965"/>
        <v>0</v>
      </c>
      <c r="AV2812" s="498">
        <f t="shared" si="966"/>
        <v>0</v>
      </c>
      <c r="AW2812" s="498">
        <f t="shared" si="967"/>
        <v>0</v>
      </c>
      <c r="AX2812" s="498">
        <f t="shared" si="968"/>
        <v>0</v>
      </c>
      <c r="AY2812" s="498">
        <f t="shared" si="969"/>
        <v>0</v>
      </c>
      <c r="BB2812" s="498" t="str">
        <f t="shared" si="970"/>
        <v/>
      </c>
      <c r="BC2812" s="743" t="str">
        <f t="shared" si="971"/>
        <v/>
      </c>
      <c r="BD2812" s="743" t="str">
        <f t="shared" si="972"/>
        <v/>
      </c>
      <c r="BE2812" s="743" t="str">
        <f>IF(D2812="","",VLOOKUP(D2812,'General Basis'!$J$39:$K$46,2,0))</f>
        <v/>
      </c>
      <c r="BF2812" s="744" t="str">
        <f>IF(D2812="","",VLOOKUP(D2812,'General Basis'!$J$39:$L$46,3,0))</f>
        <v/>
      </c>
      <c r="BG2812" s="744" t="str">
        <f t="shared" si="979"/>
        <v/>
      </c>
      <c r="BH2812" s="744" t="str">
        <f>IF(G2812="","",IF(BF2812="Abu Dhabi",IF(G2812&lt;18,'General Basis'!$C$39,IF(G2812&lt;41,'General Basis'!$C$40,IF(G2812&lt;60,'General Basis'!$C$41,IF(G2812&lt;65,'General Basis'!$C$42,'General Basis'!$C$43)))),IF(G2812&lt;11,'General Basis'!$B$39,IF(G2812&lt;18,'General Basis'!$B$40,IF(G2812&lt;26,'General Basis'!$B$41,IF(G2812&lt;31,'General Basis'!$B$42,IF(G2812&lt;36,'General Basis'!$B$43,IF(G2812&lt;41,'General Basis'!$B$44,IF(G2812&lt;46,'General Basis'!$B$45,IF(G2812&lt;51,'General Basis'!$B$46,IF(G2812&lt;56,'General Basis'!$B$47,IF(G2812&lt;60,'General Basis'!$B$48,IF(G2812&lt;65,'General Basis'!$B$49,'General Basis'!$B$50)))))))))))))</f>
        <v/>
      </c>
      <c r="BI2812" s="744" t="str">
        <f t="shared" si="973"/>
        <v/>
      </c>
      <c r="BJ2812" s="747" t="str">
        <f t="shared" si="980"/>
        <v/>
      </c>
      <c r="BK2812" s="498" t="str">
        <f t="shared" si="974"/>
        <v/>
      </c>
      <c r="BL2812" s="498" t="str">
        <f t="shared" si="975"/>
        <v/>
      </c>
    </row>
    <row r="2813" spans="1:64" x14ac:dyDescent="0.25">
      <c r="A2813" s="762">
        <f t="shared" si="976"/>
        <v>2808</v>
      </c>
      <c r="B2813" s="229"/>
      <c r="C2813" s="223"/>
      <c r="D2813" s="224"/>
      <c r="E2813" s="225"/>
      <c r="F2813" s="1036" t="str">
        <f t="shared" si="982"/>
        <v/>
      </c>
      <c r="G2813" s="1037" t="str">
        <f t="shared" si="977"/>
        <v/>
      </c>
      <c r="H2813" s="225"/>
      <c r="I2813" s="1013"/>
      <c r="J2813" s="1013"/>
      <c r="K2813" s="1028"/>
      <c r="L2813" s="1035" t="str">
        <f t="shared" si="981"/>
        <v/>
      </c>
      <c r="S2813" s="498"/>
      <c r="AJ2813" s="498"/>
      <c r="AM2813" s="498">
        <f t="shared" si="962"/>
        <v>0</v>
      </c>
      <c r="AN2813" s="498">
        <f t="shared" si="963"/>
        <v>0</v>
      </c>
      <c r="AO2813" s="498">
        <f t="shared" si="964"/>
        <v>0</v>
      </c>
      <c r="AP2813" s="498">
        <f t="shared" si="983"/>
        <v>0</v>
      </c>
      <c r="AQ2813" s="498">
        <f t="shared" si="978"/>
        <v>0</v>
      </c>
      <c r="AU2813" s="498">
        <f t="shared" si="965"/>
        <v>0</v>
      </c>
      <c r="AV2813" s="498">
        <f t="shared" si="966"/>
        <v>0</v>
      </c>
      <c r="AW2813" s="498">
        <f t="shared" si="967"/>
        <v>0</v>
      </c>
      <c r="AX2813" s="498">
        <f t="shared" si="968"/>
        <v>0</v>
      </c>
      <c r="AY2813" s="498">
        <f t="shared" si="969"/>
        <v>0</v>
      </c>
      <c r="BB2813" s="498" t="str">
        <f t="shared" si="970"/>
        <v/>
      </c>
      <c r="BC2813" s="743" t="str">
        <f t="shared" si="971"/>
        <v/>
      </c>
      <c r="BD2813" s="743" t="str">
        <f t="shared" si="972"/>
        <v/>
      </c>
      <c r="BE2813" s="743" t="str">
        <f>IF(D2813="","",VLOOKUP(D2813,'General Basis'!$J$39:$K$46,2,0))</f>
        <v/>
      </c>
      <c r="BF2813" s="744" t="str">
        <f>IF(D2813="","",VLOOKUP(D2813,'General Basis'!$J$39:$L$46,3,0))</f>
        <v/>
      </c>
      <c r="BG2813" s="744" t="str">
        <f t="shared" si="979"/>
        <v/>
      </c>
      <c r="BH2813" s="744" t="str">
        <f>IF(G2813="","",IF(BF2813="Abu Dhabi",IF(G2813&lt;18,'General Basis'!$C$39,IF(G2813&lt;41,'General Basis'!$C$40,IF(G2813&lt;60,'General Basis'!$C$41,IF(G2813&lt;65,'General Basis'!$C$42,'General Basis'!$C$43)))),IF(G2813&lt;11,'General Basis'!$B$39,IF(G2813&lt;18,'General Basis'!$B$40,IF(G2813&lt;26,'General Basis'!$B$41,IF(G2813&lt;31,'General Basis'!$B$42,IF(G2813&lt;36,'General Basis'!$B$43,IF(G2813&lt;41,'General Basis'!$B$44,IF(G2813&lt;46,'General Basis'!$B$45,IF(G2813&lt;51,'General Basis'!$B$46,IF(G2813&lt;56,'General Basis'!$B$47,IF(G2813&lt;60,'General Basis'!$B$48,IF(G2813&lt;65,'General Basis'!$B$49,'General Basis'!$B$50)))))))))))))</f>
        <v/>
      </c>
      <c r="BI2813" s="744" t="str">
        <f t="shared" si="973"/>
        <v/>
      </c>
      <c r="BJ2813" s="747" t="str">
        <f t="shared" si="980"/>
        <v/>
      </c>
      <c r="BK2813" s="498" t="str">
        <f t="shared" si="974"/>
        <v/>
      </c>
      <c r="BL2813" s="498" t="str">
        <f t="shared" si="975"/>
        <v/>
      </c>
    </row>
    <row r="2814" spans="1:64" x14ac:dyDescent="0.25">
      <c r="A2814" s="762">
        <f t="shared" si="976"/>
        <v>2809</v>
      </c>
      <c r="B2814" s="229"/>
      <c r="C2814" s="223"/>
      <c r="D2814" s="224"/>
      <c r="E2814" s="225"/>
      <c r="F2814" s="1036" t="str">
        <f t="shared" si="982"/>
        <v/>
      </c>
      <c r="G2814" s="1037" t="str">
        <f t="shared" si="977"/>
        <v/>
      </c>
      <c r="H2814" s="225"/>
      <c r="I2814" s="1013"/>
      <c r="J2814" s="1013"/>
      <c r="K2814" s="1028"/>
      <c r="L2814" s="1035" t="str">
        <f t="shared" si="981"/>
        <v/>
      </c>
      <c r="S2814" s="498"/>
      <c r="AJ2814" s="498"/>
      <c r="AM2814" s="498">
        <f t="shared" si="962"/>
        <v>0</v>
      </c>
      <c r="AN2814" s="498">
        <f t="shared" si="963"/>
        <v>0</v>
      </c>
      <c r="AO2814" s="498">
        <f t="shared" si="964"/>
        <v>0</v>
      </c>
      <c r="AP2814" s="498">
        <f t="shared" si="983"/>
        <v>0</v>
      </c>
      <c r="AQ2814" s="498">
        <f t="shared" si="978"/>
        <v>0</v>
      </c>
      <c r="AU2814" s="498">
        <f t="shared" si="965"/>
        <v>0</v>
      </c>
      <c r="AV2814" s="498">
        <f t="shared" si="966"/>
        <v>0</v>
      </c>
      <c r="AW2814" s="498">
        <f t="shared" si="967"/>
        <v>0</v>
      </c>
      <c r="AX2814" s="498">
        <f t="shared" si="968"/>
        <v>0</v>
      </c>
      <c r="AY2814" s="498">
        <f t="shared" si="969"/>
        <v>0</v>
      </c>
      <c r="BB2814" s="498" t="str">
        <f t="shared" si="970"/>
        <v/>
      </c>
      <c r="BC2814" s="743" t="str">
        <f t="shared" si="971"/>
        <v/>
      </c>
      <c r="BD2814" s="743" t="str">
        <f t="shared" si="972"/>
        <v/>
      </c>
      <c r="BE2814" s="743" t="str">
        <f>IF(D2814="","",VLOOKUP(D2814,'General Basis'!$J$39:$K$46,2,0))</f>
        <v/>
      </c>
      <c r="BF2814" s="744" t="str">
        <f>IF(D2814="","",VLOOKUP(D2814,'General Basis'!$J$39:$L$46,3,0))</f>
        <v/>
      </c>
      <c r="BG2814" s="744" t="str">
        <f t="shared" si="979"/>
        <v/>
      </c>
      <c r="BH2814" s="744" t="str">
        <f>IF(G2814="","",IF(BF2814="Abu Dhabi",IF(G2814&lt;18,'General Basis'!$C$39,IF(G2814&lt;41,'General Basis'!$C$40,IF(G2814&lt;60,'General Basis'!$C$41,IF(G2814&lt;65,'General Basis'!$C$42,'General Basis'!$C$43)))),IF(G2814&lt;11,'General Basis'!$B$39,IF(G2814&lt;18,'General Basis'!$B$40,IF(G2814&lt;26,'General Basis'!$B$41,IF(G2814&lt;31,'General Basis'!$B$42,IF(G2814&lt;36,'General Basis'!$B$43,IF(G2814&lt;41,'General Basis'!$B$44,IF(G2814&lt;46,'General Basis'!$B$45,IF(G2814&lt;51,'General Basis'!$B$46,IF(G2814&lt;56,'General Basis'!$B$47,IF(G2814&lt;60,'General Basis'!$B$48,IF(G2814&lt;65,'General Basis'!$B$49,'General Basis'!$B$50)))))))))))))</f>
        <v/>
      </c>
      <c r="BI2814" s="744" t="str">
        <f t="shared" si="973"/>
        <v/>
      </c>
      <c r="BJ2814" s="747" t="str">
        <f t="shared" si="980"/>
        <v/>
      </c>
      <c r="BK2814" s="498" t="str">
        <f t="shared" si="974"/>
        <v/>
      </c>
      <c r="BL2814" s="498" t="str">
        <f t="shared" si="975"/>
        <v/>
      </c>
    </row>
    <row r="2815" spans="1:64" x14ac:dyDescent="0.25">
      <c r="A2815" s="762">
        <f t="shared" si="976"/>
        <v>2810</v>
      </c>
      <c r="B2815" s="229"/>
      <c r="C2815" s="223"/>
      <c r="D2815" s="224"/>
      <c r="E2815" s="225"/>
      <c r="F2815" s="1036" t="str">
        <f t="shared" si="982"/>
        <v/>
      </c>
      <c r="G2815" s="1037" t="str">
        <f t="shared" si="977"/>
        <v/>
      </c>
      <c r="H2815" s="225"/>
      <c r="I2815" s="1013"/>
      <c r="J2815" s="1013"/>
      <c r="K2815" s="1028"/>
      <c r="L2815" s="1035" t="str">
        <f t="shared" si="981"/>
        <v/>
      </c>
      <c r="S2815" s="498"/>
      <c r="AJ2815" s="498"/>
      <c r="AM2815" s="498">
        <f t="shared" si="962"/>
        <v>0</v>
      </c>
      <c r="AN2815" s="498">
        <f t="shared" si="963"/>
        <v>0</v>
      </c>
      <c r="AO2815" s="498">
        <f t="shared" si="964"/>
        <v>0</v>
      </c>
      <c r="AP2815" s="498">
        <f t="shared" si="983"/>
        <v>0</v>
      </c>
      <c r="AQ2815" s="498">
        <f t="shared" si="978"/>
        <v>0</v>
      </c>
      <c r="AU2815" s="498">
        <f t="shared" si="965"/>
        <v>0</v>
      </c>
      <c r="AV2815" s="498">
        <f t="shared" si="966"/>
        <v>0</v>
      </c>
      <c r="AW2815" s="498">
        <f t="shared" si="967"/>
        <v>0</v>
      </c>
      <c r="AX2815" s="498">
        <f t="shared" si="968"/>
        <v>0</v>
      </c>
      <c r="AY2815" s="498">
        <f t="shared" si="969"/>
        <v>0</v>
      </c>
      <c r="BB2815" s="498" t="str">
        <f t="shared" si="970"/>
        <v/>
      </c>
      <c r="BC2815" s="743" t="str">
        <f t="shared" si="971"/>
        <v/>
      </c>
      <c r="BD2815" s="743" t="str">
        <f t="shared" si="972"/>
        <v/>
      </c>
      <c r="BE2815" s="743" t="str">
        <f>IF(D2815="","",VLOOKUP(D2815,'General Basis'!$J$39:$K$46,2,0))</f>
        <v/>
      </c>
      <c r="BF2815" s="744" t="str">
        <f>IF(D2815="","",VLOOKUP(D2815,'General Basis'!$J$39:$L$46,3,0))</f>
        <v/>
      </c>
      <c r="BG2815" s="744" t="str">
        <f t="shared" si="979"/>
        <v/>
      </c>
      <c r="BH2815" s="744" t="str">
        <f>IF(G2815="","",IF(BF2815="Abu Dhabi",IF(G2815&lt;18,'General Basis'!$C$39,IF(G2815&lt;41,'General Basis'!$C$40,IF(G2815&lt;60,'General Basis'!$C$41,IF(G2815&lt;65,'General Basis'!$C$42,'General Basis'!$C$43)))),IF(G2815&lt;11,'General Basis'!$B$39,IF(G2815&lt;18,'General Basis'!$B$40,IF(G2815&lt;26,'General Basis'!$B$41,IF(G2815&lt;31,'General Basis'!$B$42,IF(G2815&lt;36,'General Basis'!$B$43,IF(G2815&lt;41,'General Basis'!$B$44,IF(G2815&lt;46,'General Basis'!$B$45,IF(G2815&lt;51,'General Basis'!$B$46,IF(G2815&lt;56,'General Basis'!$B$47,IF(G2815&lt;60,'General Basis'!$B$48,IF(G2815&lt;65,'General Basis'!$B$49,'General Basis'!$B$50)))))))))))))</f>
        <v/>
      </c>
      <c r="BI2815" s="744" t="str">
        <f t="shared" si="973"/>
        <v/>
      </c>
      <c r="BJ2815" s="747" t="str">
        <f t="shared" si="980"/>
        <v/>
      </c>
      <c r="BK2815" s="498" t="str">
        <f t="shared" si="974"/>
        <v/>
      </c>
      <c r="BL2815" s="498" t="str">
        <f t="shared" si="975"/>
        <v/>
      </c>
    </row>
    <row r="2816" spans="1:64" x14ac:dyDescent="0.25">
      <c r="A2816" s="762">
        <f t="shared" si="976"/>
        <v>2811</v>
      </c>
      <c r="B2816" s="229"/>
      <c r="C2816" s="223"/>
      <c r="D2816" s="224"/>
      <c r="E2816" s="225"/>
      <c r="F2816" s="1036" t="str">
        <f t="shared" si="982"/>
        <v/>
      </c>
      <c r="G2816" s="1037" t="str">
        <f t="shared" si="977"/>
        <v/>
      </c>
      <c r="H2816" s="225"/>
      <c r="I2816" s="1013"/>
      <c r="J2816" s="1013"/>
      <c r="K2816" s="1028"/>
      <c r="L2816" s="1035" t="str">
        <f t="shared" si="981"/>
        <v/>
      </c>
      <c r="S2816" s="498"/>
      <c r="AJ2816" s="498"/>
      <c r="AM2816" s="498">
        <f t="shared" si="962"/>
        <v>0</v>
      </c>
      <c r="AN2816" s="498">
        <f t="shared" si="963"/>
        <v>0</v>
      </c>
      <c r="AO2816" s="498">
        <f t="shared" si="964"/>
        <v>0</v>
      </c>
      <c r="AP2816" s="498">
        <f t="shared" si="983"/>
        <v>0</v>
      </c>
      <c r="AQ2816" s="498">
        <f t="shared" si="978"/>
        <v>0</v>
      </c>
      <c r="AU2816" s="498">
        <f t="shared" si="965"/>
        <v>0</v>
      </c>
      <c r="AV2816" s="498">
        <f t="shared" si="966"/>
        <v>0</v>
      </c>
      <c r="AW2816" s="498">
        <f t="shared" si="967"/>
        <v>0</v>
      </c>
      <c r="AX2816" s="498">
        <f t="shared" si="968"/>
        <v>0</v>
      </c>
      <c r="AY2816" s="498">
        <f t="shared" si="969"/>
        <v>0</v>
      </c>
      <c r="BB2816" s="498" t="str">
        <f t="shared" si="970"/>
        <v/>
      </c>
      <c r="BC2816" s="743" t="str">
        <f t="shared" si="971"/>
        <v/>
      </c>
      <c r="BD2816" s="743" t="str">
        <f t="shared" si="972"/>
        <v/>
      </c>
      <c r="BE2816" s="743" t="str">
        <f>IF(D2816="","",VLOOKUP(D2816,'General Basis'!$J$39:$K$46,2,0))</f>
        <v/>
      </c>
      <c r="BF2816" s="744" t="str">
        <f>IF(D2816="","",VLOOKUP(D2816,'General Basis'!$J$39:$L$46,3,0))</f>
        <v/>
      </c>
      <c r="BG2816" s="744" t="str">
        <f t="shared" si="979"/>
        <v/>
      </c>
      <c r="BH2816" s="744" t="str">
        <f>IF(G2816="","",IF(BF2816="Abu Dhabi",IF(G2816&lt;18,'General Basis'!$C$39,IF(G2816&lt;41,'General Basis'!$C$40,IF(G2816&lt;60,'General Basis'!$C$41,IF(G2816&lt;65,'General Basis'!$C$42,'General Basis'!$C$43)))),IF(G2816&lt;11,'General Basis'!$B$39,IF(G2816&lt;18,'General Basis'!$B$40,IF(G2816&lt;26,'General Basis'!$B$41,IF(G2816&lt;31,'General Basis'!$B$42,IF(G2816&lt;36,'General Basis'!$B$43,IF(G2816&lt;41,'General Basis'!$B$44,IF(G2816&lt;46,'General Basis'!$B$45,IF(G2816&lt;51,'General Basis'!$B$46,IF(G2816&lt;56,'General Basis'!$B$47,IF(G2816&lt;60,'General Basis'!$B$48,IF(G2816&lt;65,'General Basis'!$B$49,'General Basis'!$B$50)))))))))))))</f>
        <v/>
      </c>
      <c r="BI2816" s="744" t="str">
        <f t="shared" si="973"/>
        <v/>
      </c>
      <c r="BJ2816" s="747" t="str">
        <f t="shared" si="980"/>
        <v/>
      </c>
      <c r="BK2816" s="498" t="str">
        <f t="shared" si="974"/>
        <v/>
      </c>
      <c r="BL2816" s="498" t="str">
        <f t="shared" si="975"/>
        <v/>
      </c>
    </row>
    <row r="2817" spans="1:64" x14ac:dyDescent="0.25">
      <c r="A2817" s="762">
        <f t="shared" si="976"/>
        <v>2812</v>
      </c>
      <c r="B2817" s="229"/>
      <c r="C2817" s="223"/>
      <c r="D2817" s="224"/>
      <c r="E2817" s="225"/>
      <c r="F2817" s="1036" t="str">
        <f t="shared" si="982"/>
        <v/>
      </c>
      <c r="G2817" s="1037" t="str">
        <f t="shared" si="977"/>
        <v/>
      </c>
      <c r="H2817" s="225"/>
      <c r="I2817" s="1013"/>
      <c r="J2817" s="1013"/>
      <c r="K2817" s="1028"/>
      <c r="L2817" s="1035" t="str">
        <f t="shared" si="981"/>
        <v/>
      </c>
      <c r="S2817" s="498"/>
      <c r="AJ2817" s="498"/>
      <c r="AM2817" s="498">
        <f t="shared" si="962"/>
        <v>0</v>
      </c>
      <c r="AN2817" s="498">
        <f t="shared" si="963"/>
        <v>0</v>
      </c>
      <c r="AO2817" s="498">
        <f t="shared" si="964"/>
        <v>0</v>
      </c>
      <c r="AP2817" s="498">
        <f t="shared" si="983"/>
        <v>0</v>
      </c>
      <c r="AQ2817" s="498">
        <f t="shared" si="978"/>
        <v>0</v>
      </c>
      <c r="AU2817" s="498">
        <f t="shared" si="965"/>
        <v>0</v>
      </c>
      <c r="AV2817" s="498">
        <f t="shared" si="966"/>
        <v>0</v>
      </c>
      <c r="AW2817" s="498">
        <f t="shared" si="967"/>
        <v>0</v>
      </c>
      <c r="AX2817" s="498">
        <f t="shared" si="968"/>
        <v>0</v>
      </c>
      <c r="AY2817" s="498">
        <f t="shared" si="969"/>
        <v>0</v>
      </c>
      <c r="BB2817" s="498" t="str">
        <f t="shared" si="970"/>
        <v/>
      </c>
      <c r="BC2817" s="743" t="str">
        <f t="shared" si="971"/>
        <v/>
      </c>
      <c r="BD2817" s="743" t="str">
        <f t="shared" si="972"/>
        <v/>
      </c>
      <c r="BE2817" s="743" t="str">
        <f>IF(D2817="","",VLOOKUP(D2817,'General Basis'!$J$39:$K$46,2,0))</f>
        <v/>
      </c>
      <c r="BF2817" s="744" t="str">
        <f>IF(D2817="","",VLOOKUP(D2817,'General Basis'!$J$39:$L$46,3,0))</f>
        <v/>
      </c>
      <c r="BG2817" s="744" t="str">
        <f t="shared" si="979"/>
        <v/>
      </c>
      <c r="BH2817" s="744" t="str">
        <f>IF(G2817="","",IF(BF2817="Abu Dhabi",IF(G2817&lt;18,'General Basis'!$C$39,IF(G2817&lt;41,'General Basis'!$C$40,IF(G2817&lt;60,'General Basis'!$C$41,IF(G2817&lt;65,'General Basis'!$C$42,'General Basis'!$C$43)))),IF(G2817&lt;11,'General Basis'!$B$39,IF(G2817&lt;18,'General Basis'!$B$40,IF(G2817&lt;26,'General Basis'!$B$41,IF(G2817&lt;31,'General Basis'!$B$42,IF(G2817&lt;36,'General Basis'!$B$43,IF(G2817&lt;41,'General Basis'!$B$44,IF(G2817&lt;46,'General Basis'!$B$45,IF(G2817&lt;51,'General Basis'!$B$46,IF(G2817&lt;56,'General Basis'!$B$47,IF(G2817&lt;60,'General Basis'!$B$48,IF(G2817&lt;65,'General Basis'!$B$49,'General Basis'!$B$50)))))))))))))</f>
        <v/>
      </c>
      <c r="BI2817" s="744" t="str">
        <f t="shared" si="973"/>
        <v/>
      </c>
      <c r="BJ2817" s="747" t="str">
        <f t="shared" si="980"/>
        <v/>
      </c>
      <c r="BK2817" s="498" t="str">
        <f t="shared" si="974"/>
        <v/>
      </c>
      <c r="BL2817" s="498" t="str">
        <f t="shared" si="975"/>
        <v/>
      </c>
    </row>
    <row r="2818" spans="1:64" x14ac:dyDescent="0.25">
      <c r="A2818" s="762">
        <f t="shared" si="976"/>
        <v>2813</v>
      </c>
      <c r="B2818" s="229"/>
      <c r="C2818" s="223"/>
      <c r="D2818" s="224"/>
      <c r="E2818" s="225"/>
      <c r="F2818" s="1036" t="str">
        <f t="shared" si="982"/>
        <v/>
      </c>
      <c r="G2818" s="1037" t="str">
        <f t="shared" si="977"/>
        <v/>
      </c>
      <c r="H2818" s="225"/>
      <c r="I2818" s="1013"/>
      <c r="J2818" s="1013"/>
      <c r="K2818" s="1028"/>
      <c r="L2818" s="1035" t="str">
        <f t="shared" si="981"/>
        <v/>
      </c>
      <c r="S2818" s="498"/>
      <c r="AJ2818" s="498"/>
      <c r="AM2818" s="498">
        <f t="shared" si="962"/>
        <v>0</v>
      </c>
      <c r="AN2818" s="498">
        <f t="shared" si="963"/>
        <v>0</v>
      </c>
      <c r="AO2818" s="498">
        <f t="shared" si="964"/>
        <v>0</v>
      </c>
      <c r="AP2818" s="498">
        <f t="shared" si="983"/>
        <v>0</v>
      </c>
      <c r="AQ2818" s="498">
        <f t="shared" si="978"/>
        <v>0</v>
      </c>
      <c r="AU2818" s="498">
        <f t="shared" si="965"/>
        <v>0</v>
      </c>
      <c r="AV2818" s="498">
        <f t="shared" si="966"/>
        <v>0</v>
      </c>
      <c r="AW2818" s="498">
        <f t="shared" si="967"/>
        <v>0</v>
      </c>
      <c r="AX2818" s="498">
        <f t="shared" si="968"/>
        <v>0</v>
      </c>
      <c r="AY2818" s="498">
        <f t="shared" si="969"/>
        <v>0</v>
      </c>
      <c r="BB2818" s="498" t="str">
        <f t="shared" si="970"/>
        <v/>
      </c>
      <c r="BC2818" s="743" t="str">
        <f t="shared" si="971"/>
        <v/>
      </c>
      <c r="BD2818" s="743" t="str">
        <f t="shared" si="972"/>
        <v/>
      </c>
      <c r="BE2818" s="743" t="str">
        <f>IF(D2818="","",VLOOKUP(D2818,'General Basis'!$J$39:$K$46,2,0))</f>
        <v/>
      </c>
      <c r="BF2818" s="744" t="str">
        <f>IF(D2818="","",VLOOKUP(D2818,'General Basis'!$J$39:$L$46,3,0))</f>
        <v/>
      </c>
      <c r="BG2818" s="744" t="str">
        <f t="shared" si="979"/>
        <v/>
      </c>
      <c r="BH2818" s="744" t="str">
        <f>IF(G2818="","",IF(BF2818="Abu Dhabi",IF(G2818&lt;18,'General Basis'!$C$39,IF(G2818&lt;41,'General Basis'!$C$40,IF(G2818&lt;60,'General Basis'!$C$41,IF(G2818&lt;65,'General Basis'!$C$42,'General Basis'!$C$43)))),IF(G2818&lt;11,'General Basis'!$B$39,IF(G2818&lt;18,'General Basis'!$B$40,IF(G2818&lt;26,'General Basis'!$B$41,IF(G2818&lt;31,'General Basis'!$B$42,IF(G2818&lt;36,'General Basis'!$B$43,IF(G2818&lt;41,'General Basis'!$B$44,IF(G2818&lt;46,'General Basis'!$B$45,IF(G2818&lt;51,'General Basis'!$B$46,IF(G2818&lt;56,'General Basis'!$B$47,IF(G2818&lt;60,'General Basis'!$B$48,IF(G2818&lt;65,'General Basis'!$B$49,'General Basis'!$B$50)))))))))))))</f>
        <v/>
      </c>
      <c r="BI2818" s="744" t="str">
        <f t="shared" si="973"/>
        <v/>
      </c>
      <c r="BJ2818" s="747" t="str">
        <f t="shared" si="980"/>
        <v/>
      </c>
      <c r="BK2818" s="498" t="str">
        <f t="shared" si="974"/>
        <v/>
      </c>
      <c r="BL2818" s="498" t="str">
        <f t="shared" si="975"/>
        <v/>
      </c>
    </row>
    <row r="2819" spans="1:64" x14ac:dyDescent="0.25">
      <c r="A2819" s="762">
        <f t="shared" si="976"/>
        <v>2814</v>
      </c>
      <c r="B2819" s="229"/>
      <c r="C2819" s="223"/>
      <c r="D2819" s="224"/>
      <c r="E2819" s="225"/>
      <c r="F2819" s="1036" t="str">
        <f t="shared" si="982"/>
        <v/>
      </c>
      <c r="G2819" s="1037" t="str">
        <f t="shared" si="977"/>
        <v/>
      </c>
      <c r="H2819" s="225"/>
      <c r="I2819" s="1013"/>
      <c r="J2819" s="1013"/>
      <c r="K2819" s="1028"/>
      <c r="L2819" s="1035" t="str">
        <f t="shared" si="981"/>
        <v/>
      </c>
      <c r="S2819" s="498"/>
      <c r="AJ2819" s="498"/>
      <c r="AM2819" s="498">
        <f t="shared" si="962"/>
        <v>0</v>
      </c>
      <c r="AN2819" s="498">
        <f t="shared" si="963"/>
        <v>0</v>
      </c>
      <c r="AO2819" s="498">
        <f t="shared" si="964"/>
        <v>0</v>
      </c>
      <c r="AP2819" s="498">
        <f t="shared" si="983"/>
        <v>0</v>
      </c>
      <c r="AQ2819" s="498">
        <f t="shared" si="978"/>
        <v>0</v>
      </c>
      <c r="AU2819" s="498">
        <f t="shared" si="965"/>
        <v>0</v>
      </c>
      <c r="AV2819" s="498">
        <f t="shared" si="966"/>
        <v>0</v>
      </c>
      <c r="AW2819" s="498">
        <f t="shared" si="967"/>
        <v>0</v>
      </c>
      <c r="AX2819" s="498">
        <f t="shared" si="968"/>
        <v>0</v>
      </c>
      <c r="AY2819" s="498">
        <f t="shared" si="969"/>
        <v>0</v>
      </c>
      <c r="BB2819" s="498" t="str">
        <f t="shared" si="970"/>
        <v/>
      </c>
      <c r="BC2819" s="743" t="str">
        <f t="shared" si="971"/>
        <v/>
      </c>
      <c r="BD2819" s="743" t="str">
        <f t="shared" si="972"/>
        <v/>
      </c>
      <c r="BE2819" s="743" t="str">
        <f>IF(D2819="","",VLOOKUP(D2819,'General Basis'!$J$39:$K$46,2,0))</f>
        <v/>
      </c>
      <c r="BF2819" s="744" t="str">
        <f>IF(D2819="","",VLOOKUP(D2819,'General Basis'!$J$39:$L$46,3,0))</f>
        <v/>
      </c>
      <c r="BG2819" s="744" t="str">
        <f t="shared" si="979"/>
        <v/>
      </c>
      <c r="BH2819" s="744" t="str">
        <f>IF(G2819="","",IF(BF2819="Abu Dhabi",IF(G2819&lt;18,'General Basis'!$C$39,IF(G2819&lt;41,'General Basis'!$C$40,IF(G2819&lt;60,'General Basis'!$C$41,IF(G2819&lt;65,'General Basis'!$C$42,'General Basis'!$C$43)))),IF(G2819&lt;11,'General Basis'!$B$39,IF(G2819&lt;18,'General Basis'!$B$40,IF(G2819&lt;26,'General Basis'!$B$41,IF(G2819&lt;31,'General Basis'!$B$42,IF(G2819&lt;36,'General Basis'!$B$43,IF(G2819&lt;41,'General Basis'!$B$44,IF(G2819&lt;46,'General Basis'!$B$45,IF(G2819&lt;51,'General Basis'!$B$46,IF(G2819&lt;56,'General Basis'!$B$47,IF(G2819&lt;60,'General Basis'!$B$48,IF(G2819&lt;65,'General Basis'!$B$49,'General Basis'!$B$50)))))))))))))</f>
        <v/>
      </c>
      <c r="BI2819" s="744" t="str">
        <f t="shared" si="973"/>
        <v/>
      </c>
      <c r="BJ2819" s="747" t="str">
        <f t="shared" si="980"/>
        <v/>
      </c>
      <c r="BK2819" s="498" t="str">
        <f t="shared" si="974"/>
        <v/>
      </c>
      <c r="BL2819" s="498" t="str">
        <f t="shared" si="975"/>
        <v/>
      </c>
    </row>
    <row r="2820" spans="1:64" x14ac:dyDescent="0.25">
      <c r="A2820" s="762">
        <f t="shared" si="976"/>
        <v>2815</v>
      </c>
      <c r="B2820" s="229"/>
      <c r="C2820" s="223"/>
      <c r="D2820" s="224"/>
      <c r="E2820" s="225"/>
      <c r="F2820" s="1036" t="str">
        <f t="shared" si="982"/>
        <v/>
      </c>
      <c r="G2820" s="1037" t="str">
        <f t="shared" si="977"/>
        <v/>
      </c>
      <c r="H2820" s="225"/>
      <c r="I2820" s="1013"/>
      <c r="J2820" s="1013"/>
      <c r="K2820" s="1028"/>
      <c r="L2820" s="1035" t="str">
        <f t="shared" si="981"/>
        <v/>
      </c>
      <c r="S2820" s="498"/>
      <c r="AJ2820" s="498"/>
      <c r="AM2820" s="498">
        <f t="shared" si="962"/>
        <v>0</v>
      </c>
      <c r="AN2820" s="498">
        <f t="shared" si="963"/>
        <v>0</v>
      </c>
      <c r="AO2820" s="498">
        <f t="shared" si="964"/>
        <v>0</v>
      </c>
      <c r="AP2820" s="498">
        <f t="shared" si="983"/>
        <v>0</v>
      </c>
      <c r="AQ2820" s="498">
        <f t="shared" si="978"/>
        <v>0</v>
      </c>
      <c r="AU2820" s="498">
        <f t="shared" si="965"/>
        <v>0</v>
      </c>
      <c r="AV2820" s="498">
        <f t="shared" si="966"/>
        <v>0</v>
      </c>
      <c r="AW2820" s="498">
        <f t="shared" si="967"/>
        <v>0</v>
      </c>
      <c r="AX2820" s="498">
        <f t="shared" si="968"/>
        <v>0</v>
      </c>
      <c r="AY2820" s="498">
        <f t="shared" si="969"/>
        <v>0</v>
      </c>
      <c r="BB2820" s="498" t="str">
        <f t="shared" si="970"/>
        <v/>
      </c>
      <c r="BC2820" s="743" t="str">
        <f t="shared" si="971"/>
        <v/>
      </c>
      <c r="BD2820" s="743" t="str">
        <f t="shared" si="972"/>
        <v/>
      </c>
      <c r="BE2820" s="743" t="str">
        <f>IF(D2820="","",VLOOKUP(D2820,'General Basis'!$J$39:$K$46,2,0))</f>
        <v/>
      </c>
      <c r="BF2820" s="744" t="str">
        <f>IF(D2820="","",VLOOKUP(D2820,'General Basis'!$J$39:$L$46,3,0))</f>
        <v/>
      </c>
      <c r="BG2820" s="744" t="str">
        <f t="shared" si="979"/>
        <v/>
      </c>
      <c r="BH2820" s="744" t="str">
        <f>IF(G2820="","",IF(BF2820="Abu Dhabi",IF(G2820&lt;18,'General Basis'!$C$39,IF(G2820&lt;41,'General Basis'!$C$40,IF(G2820&lt;60,'General Basis'!$C$41,IF(G2820&lt;65,'General Basis'!$C$42,'General Basis'!$C$43)))),IF(G2820&lt;11,'General Basis'!$B$39,IF(G2820&lt;18,'General Basis'!$B$40,IF(G2820&lt;26,'General Basis'!$B$41,IF(G2820&lt;31,'General Basis'!$B$42,IF(G2820&lt;36,'General Basis'!$B$43,IF(G2820&lt;41,'General Basis'!$B$44,IF(G2820&lt;46,'General Basis'!$B$45,IF(G2820&lt;51,'General Basis'!$B$46,IF(G2820&lt;56,'General Basis'!$B$47,IF(G2820&lt;60,'General Basis'!$B$48,IF(G2820&lt;65,'General Basis'!$B$49,'General Basis'!$B$50)))))))))))))</f>
        <v/>
      </c>
      <c r="BI2820" s="744" t="str">
        <f t="shared" si="973"/>
        <v/>
      </c>
      <c r="BJ2820" s="747" t="str">
        <f t="shared" si="980"/>
        <v/>
      </c>
      <c r="BK2820" s="498" t="str">
        <f t="shared" si="974"/>
        <v/>
      </c>
      <c r="BL2820" s="498" t="str">
        <f t="shared" si="975"/>
        <v/>
      </c>
    </row>
    <row r="2821" spans="1:64" x14ac:dyDescent="0.25">
      <c r="A2821" s="762">
        <f t="shared" si="976"/>
        <v>2816</v>
      </c>
      <c r="B2821" s="229"/>
      <c r="C2821" s="223"/>
      <c r="D2821" s="224"/>
      <c r="E2821" s="225"/>
      <c r="F2821" s="1036" t="str">
        <f t="shared" si="982"/>
        <v/>
      </c>
      <c r="G2821" s="1037" t="str">
        <f t="shared" si="977"/>
        <v/>
      </c>
      <c r="H2821" s="225"/>
      <c r="I2821" s="1013"/>
      <c r="J2821" s="1013"/>
      <c r="K2821" s="1028"/>
      <c r="L2821" s="1035" t="str">
        <f t="shared" si="981"/>
        <v/>
      </c>
      <c r="S2821" s="498"/>
      <c r="AJ2821" s="498"/>
      <c r="AM2821" s="498">
        <f t="shared" si="962"/>
        <v>0</v>
      </c>
      <c r="AN2821" s="498">
        <f t="shared" si="963"/>
        <v>0</v>
      </c>
      <c r="AO2821" s="498">
        <f t="shared" si="964"/>
        <v>0</v>
      </c>
      <c r="AP2821" s="498">
        <f t="shared" si="983"/>
        <v>0</v>
      </c>
      <c r="AQ2821" s="498">
        <f t="shared" si="978"/>
        <v>0</v>
      </c>
      <c r="AU2821" s="498">
        <f t="shared" si="965"/>
        <v>0</v>
      </c>
      <c r="AV2821" s="498">
        <f t="shared" si="966"/>
        <v>0</v>
      </c>
      <c r="AW2821" s="498">
        <f t="shared" si="967"/>
        <v>0</v>
      </c>
      <c r="AX2821" s="498">
        <f t="shared" si="968"/>
        <v>0</v>
      </c>
      <c r="AY2821" s="498">
        <f t="shared" si="969"/>
        <v>0</v>
      </c>
      <c r="BB2821" s="498" t="str">
        <f t="shared" si="970"/>
        <v/>
      </c>
      <c r="BC2821" s="743" t="str">
        <f t="shared" si="971"/>
        <v/>
      </c>
      <c r="BD2821" s="743" t="str">
        <f t="shared" si="972"/>
        <v/>
      </c>
      <c r="BE2821" s="743" t="str">
        <f>IF(D2821="","",VLOOKUP(D2821,'General Basis'!$J$39:$K$46,2,0))</f>
        <v/>
      </c>
      <c r="BF2821" s="744" t="str">
        <f>IF(D2821="","",VLOOKUP(D2821,'General Basis'!$J$39:$L$46,3,0))</f>
        <v/>
      </c>
      <c r="BG2821" s="744" t="str">
        <f t="shared" si="979"/>
        <v/>
      </c>
      <c r="BH2821" s="744" t="str">
        <f>IF(G2821="","",IF(BF2821="Abu Dhabi",IF(G2821&lt;18,'General Basis'!$C$39,IF(G2821&lt;41,'General Basis'!$C$40,IF(G2821&lt;60,'General Basis'!$C$41,IF(G2821&lt;65,'General Basis'!$C$42,'General Basis'!$C$43)))),IF(G2821&lt;11,'General Basis'!$B$39,IF(G2821&lt;18,'General Basis'!$B$40,IF(G2821&lt;26,'General Basis'!$B$41,IF(G2821&lt;31,'General Basis'!$B$42,IF(G2821&lt;36,'General Basis'!$B$43,IF(G2821&lt;41,'General Basis'!$B$44,IF(G2821&lt;46,'General Basis'!$B$45,IF(G2821&lt;51,'General Basis'!$B$46,IF(G2821&lt;56,'General Basis'!$B$47,IF(G2821&lt;60,'General Basis'!$B$48,IF(G2821&lt;65,'General Basis'!$B$49,'General Basis'!$B$50)))))))))))))</f>
        <v/>
      </c>
      <c r="BI2821" s="744" t="str">
        <f t="shared" si="973"/>
        <v/>
      </c>
      <c r="BJ2821" s="747" t="str">
        <f t="shared" si="980"/>
        <v/>
      </c>
      <c r="BK2821" s="498" t="str">
        <f t="shared" si="974"/>
        <v/>
      </c>
      <c r="BL2821" s="498" t="str">
        <f t="shared" si="975"/>
        <v/>
      </c>
    </row>
    <row r="2822" spans="1:64" x14ac:dyDescent="0.25">
      <c r="A2822" s="762">
        <f t="shared" si="976"/>
        <v>2817</v>
      </c>
      <c r="B2822" s="229"/>
      <c r="C2822" s="223"/>
      <c r="D2822" s="224"/>
      <c r="E2822" s="225"/>
      <c r="F2822" s="1036" t="str">
        <f t="shared" si="982"/>
        <v/>
      </c>
      <c r="G2822" s="1037" t="str">
        <f t="shared" si="977"/>
        <v/>
      </c>
      <c r="H2822" s="225"/>
      <c r="I2822" s="1013"/>
      <c r="J2822" s="1013"/>
      <c r="K2822" s="1028"/>
      <c r="L2822" s="1035" t="str">
        <f t="shared" si="981"/>
        <v/>
      </c>
      <c r="S2822" s="498"/>
      <c r="AJ2822" s="498"/>
      <c r="AM2822" s="498">
        <f t="shared" ref="AM2822:AM2885" si="984">IF(ISTEXT(B2822),1,0)</f>
        <v>0</v>
      </c>
      <c r="AN2822" s="498">
        <f t="shared" ref="AN2822:AN2885" si="985">IF(ISBLANK(B2822),0,IF(B2822&lt;$AK$6,1,0))</f>
        <v>0</v>
      </c>
      <c r="AO2822" s="498">
        <f t="shared" ref="AO2822:AO2885" si="986">IF(ISBLANK(B2822),0,IF(B2822&gt;$AK$7,1,0))</f>
        <v>0</v>
      </c>
      <c r="AP2822" s="498">
        <f t="shared" si="983"/>
        <v>0</v>
      </c>
      <c r="AQ2822" s="498">
        <f t="shared" si="978"/>
        <v>0</v>
      </c>
      <c r="AU2822" s="498">
        <f t="shared" ref="AU2822:AU2885" si="987">IF(ISBLANK(B2822),0,1)</f>
        <v>0</v>
      </c>
      <c r="AV2822" s="498">
        <f t="shared" ref="AV2822:AV2885" si="988">IF(ISBLANK(C2822),0,1)</f>
        <v>0</v>
      </c>
      <c r="AW2822" s="498">
        <f t="shared" ref="AW2822:AW2885" si="989">IF(ISBLANK(D2822),0,1)</f>
        <v>0</v>
      </c>
      <c r="AX2822" s="498">
        <f t="shared" ref="AX2822:AX2885" si="990">IF(ISBLANK(E2822),0,1)</f>
        <v>0</v>
      </c>
      <c r="AY2822" s="498">
        <f t="shared" ref="AY2822:AY2885" si="991">IF(ISBLANK(H2822),0,1)</f>
        <v>0</v>
      </c>
      <c r="BB2822" s="498" t="str">
        <f t="shared" ref="BB2822:BB2885" si="992">IF(E2822="Principal","Principal",IF(E2822="","","Other"))</f>
        <v/>
      </c>
      <c r="BC2822" s="743" t="str">
        <f t="shared" ref="BC2822:BC2885" si="993">IF(D2822="","",D2822)</f>
        <v/>
      </c>
      <c r="BD2822" s="743" t="str">
        <f t="shared" ref="BD2822:BD2885" si="994">IF(E2822="Principal","Employee",IF(E2822="","","Dependent"))</f>
        <v/>
      </c>
      <c r="BE2822" s="743" t="str">
        <f>IF(D2822="","",VLOOKUP(D2822,'General Basis'!$J$39:$K$46,2,0))</f>
        <v/>
      </c>
      <c r="BF2822" s="744" t="str">
        <f>IF(D2822="","",VLOOKUP(D2822,'General Basis'!$J$39:$L$46,3,0))</f>
        <v/>
      </c>
      <c r="BG2822" s="744" t="str">
        <f t="shared" si="979"/>
        <v/>
      </c>
      <c r="BH2822" s="744" t="str">
        <f>IF(G2822="","",IF(BF2822="Abu Dhabi",IF(G2822&lt;18,'General Basis'!$C$39,IF(G2822&lt;41,'General Basis'!$C$40,IF(G2822&lt;60,'General Basis'!$C$41,IF(G2822&lt;65,'General Basis'!$C$42,'General Basis'!$C$43)))),IF(G2822&lt;11,'General Basis'!$B$39,IF(G2822&lt;18,'General Basis'!$B$40,IF(G2822&lt;26,'General Basis'!$B$41,IF(G2822&lt;31,'General Basis'!$B$42,IF(G2822&lt;36,'General Basis'!$B$43,IF(G2822&lt;41,'General Basis'!$B$44,IF(G2822&lt;46,'General Basis'!$B$45,IF(G2822&lt;51,'General Basis'!$B$46,IF(G2822&lt;56,'General Basis'!$B$47,IF(G2822&lt;60,'General Basis'!$B$48,IF(G2822&lt;65,'General Basis'!$B$49,'General Basis'!$B$50)))))))))))))</f>
        <v/>
      </c>
      <c r="BI2822" s="744" t="str">
        <f t="shared" ref="BI2822:BI2885" si="995">IF(C2822="","",IF(C2822="M","Male","Female"))</f>
        <v/>
      </c>
      <c r="BJ2822" s="747" t="str">
        <f t="shared" si="980"/>
        <v/>
      </c>
      <c r="BK2822" s="498" t="str">
        <f t="shared" ref="BK2822:BK2885" si="996">IF(BD2822="","",IF(AND(BD2822="Employee",BI2822="Male",BF2822="Abu Dhabi",BE2822=GN_Plus),VLOOKUP(BH2822,AUH_MALE_EMP,2,0),IF(AND(BD2822="Employee",BI2822="Male",BF2822="Abu Dhabi",BE2822=GN),VLOOKUP(BH2822,AUH_MALE_EMP,3,0),IF(AND(BD2822="Employee",BI2822="Male",BF2822="Abu Dhabi",BE2822=RN_Plus),VLOOKUP(BH2822,AUH_MALE_EMP,4,0),IF(AND(BD2822="Employee",BI2822="Male",BF2822="Abu Dhabi",BE2822=RN),VLOOKUP(BH2822,AUH_MALE_EMP,5,0),IF(AND(BD2822="Employee",BI2822="Male",BF2822="Abu Dhabi",BE2822=RN_2),VLOOKUP(BH2822,AUH_MALE_EMP,6,0),IF(AND(BD2822="Employee",BI2822="Male",BF2822="Abu Dhabi",BE2822=RN2_minus),VLOOKUP(BH2822,AUH_MALE_EMP,7,0),IF(AND(BD2822="Employee",BI2822="Male",BF2822="Abu Dhabi",BE2822=RN_3),VLOOKUP(BH2822,AUH_MALE_EMP,8,0),IF(AND(BD2822="Employee",BI2822="Male",BF2822="Abu Dhabi",BE2822=VN),VLOOKUP(BH2822,AUH_MALE_EMP,9,0),IF(BD2822="","",IF(AND(BD2822="Employee",BI2822="Female",BF2822="Abu Dhabi",BE2822=GN_Plus),VLOOKUP(BH2822,AUH_FEMALE_EMP,2,0),IF(AND(BD2822="Employee",BI2822="Female",BF2822="Abu Dhabi",BE2822=GN),VLOOKUP(BH2822,AUH_FEMALE_EMP,3,0),IF(AND(BD2822="Employee",BI2822="Female",BF2822="Abu Dhabi",BE2822=RN_Plus),VLOOKUP(BH2822,AUH_FEMALE_EMP,4,0),IF(AND(BD2822="Employee",BI2822="Female",BF2822="Abu Dhabi",BE2822=RN),VLOOKUP(BH2822,AUH_FEMALE_EMP,5,0),IF(AND(BD2822="Employee",BI2822="Female",BF2822="Abu Dhabi",BE2822=RN_2),VLOOKUP(BH2822,AUH_FEMALE_EMP,6,0),IF(AND(BD2822="Employee",BI2822="Female",BF2822="Abu Dhabi",BE2822=RN2_minus),VLOOKUP(BH2822,AUH_FEMALE_EMP,7,0),IF(AND(BD2822="Employee",BI2822="Female",BF2822="Abu Dhabi",BE2822=RN_3),VLOOKUP(BH2822,AUH_FEMALE_EMP,8,0),IF(AND(BD2822="Employee",BI2822="Female",BF2822="Abu Dhabi",BE2822=VN),VLOOKUP(BH2822,AUH_FEMALE_EMP,9,0),IF(BD2822="","",IF(AND(BD2822="Dependent",BI2822="Male",BF2822="Abu Dhabi",BE2822=GN_Plus),VLOOKUP(BH2822,AUH_MALE_DEP,2,0),IF(AND(BD2822="Dependent",BI2822="Male",BF2822="Abu Dhabi",BE2822=GN),VLOOKUP(BH2822,AUH_MALE_DEP,3,0),IF(AND(BD2822="Dependent",BI2822="Male",BF2822="Abu Dhabi",BE2822=RN_Plus),VLOOKUP(BH2822,AUH_MALE_DEP,4,0),IF(AND(BD2822="Dependent",BI2822="Male",BF2822="Abu Dhabi",BE2822=RN),VLOOKUP(BH2822,AUH_MALE_DEP,5,0),IF(AND(BD2822="Dependent",BI2822="Male",BF2822="Abu Dhabi",BE2822=RN_2),VLOOKUP(BH2822,AUH_MALE_DEP,6,0),IF(AND(BD2822="Dependent",BI2822="Male",BF2822="Abu Dhabi",BE2822=RN2_minus),VLOOKUP(BH2822,AUH_MALE_DEP,7,0),IF(AND(BD2822="Dependent",BI2822="Male",BF2822="Abu Dhabi",BE2822=RN_3),VLOOKUP(BH2822,AUH_MALE_DEP,8,0),IF(AND(BD2822="Dependent",BI2822="Male",BF2822="Abu Dhabi",BE2822=VN),VLOOKUP(BH2822,AUH_MALE_DEP,9,0),IF(BD2822="","",IF(AND(BD2822="Dependent",BI2822="Female",BF2822="Abu Dhabi",BE2822=GN_Plus),VLOOKUP(BH2822,AUH_FEMALE_DEP,2,0),IF(AND(BD2822="Dependent",BI2822="Female",BF2822="Abu Dhabi",BE2822=GN),VLOOKUP(BH2822,AUH_FEMALE_DEP,3,0),IF(AND(BD2822="Dependent",BI2822="Female",BF2822="Abu Dhabi",BE2822=RN_Plus),VLOOKUP(BH2822,AUH_FEMALE_DEP,4,0),IF(AND(BD2822="Dependent",BI2822="Female",BF2822="Abu Dhabi",BE2822=RN),VLOOKUP(BH2822,AUH_FEMALE_DEP,5,0),IF(AND(BD2822="Dependent",BI2822="Female",BF2822="Abu Dhabi",BE2822=RN_2),VLOOKUP(BH2822,AUH_FEMALE_DEP,6,0),IF(AND(BD2822="Dependent",BI2822="Female",BF2822="Abu Dhabi",BE2822=RN2_minus),VLOOKUP(BH2822,AUH_FEMALE_DEP,7,0),IF(AND(BD2822="Dependent",BI2822="Female",BF2822="Abu Dhabi",BE2822=RN_3),VLOOKUP(BH2822,AUH_FEMALE_DEP,8,0),IF(AND(BD2822="Dependent",BI2822="Female",BF2822="Abu Dhabi",BE2822=VN),VLOOKUP(BH2822,AUH_FEMALE_DEP,9,0),"ABC"))))))))))))))))))))))))))))))))))))</f>
        <v/>
      </c>
      <c r="BL2822" s="498" t="str">
        <f t="shared" ref="BL2822:BL2885" si="997">IF(BD2822="","",IF(AND(BD2822="Employee",BI2822="Male",BF2822="Dubai",BE2822=GN_Plus),VLOOKUP(BH2822,DXB_MALE_EMP,2,0),IF(AND(BD2822="Employee",BI2822="Male",BF2822="Dubai",BE2822=GN),VLOOKUP(BH2822,DXB_MALE_EMP,3,0),IF(AND(BD2822="Employee",BI2822="Male",BF2822="Dubai",BE2822=RN_Plus),VLOOKUP(BH2822,DXB_MALE_EMP,4,0),IF(AND(BD2822="Employee",BI2822="Male",BF2822="Dubai",BE2822=RN),VLOOKUP(BH2822,DXB_MALE_EMP,5,0),IF(AND(BD2822="Employee",BI2822="Male",BF2822="Dubai",BE2822=RN_2),VLOOKUP(BH2822,DXB_MALE_EMP,6,0),IF(AND(BD2822="Employee",BI2822="Male",BF2822="Dubai",BE2822=RN2_minus),VLOOKUP(BH2822,DXB_MALE_EMP,7,0),IF(AND(BD2822="Employee",BI2822="Male",BF2822="Dubai",BE2822=RN_3),VLOOKUP(BH2822,DXB_MALE_EMP,8,0),IF(AND(BD2822="Employee",BI2822="Male",BF2822="Dubai",BE2822=VN),VLOOKUP(BH2822,DXB_MALE_EMP,9,0),IF(BD2822="","",IF(AND(BD2822="Employee",BI2822="Female",BF2822="Dubai",BE2822=GN_Plus),VLOOKUP(BH2822,DXB_FEMALE_EMP,2,0),IF(AND(BD2822="Employee",BI2822="Female",BF2822="Dubai",BE2822=GN),VLOOKUP(BH2822,DXB_FEMALE_EMP,3,0),IF(AND(BD2822="Employee",BI2822="Female",BF2822="Dubai",BE2822=RN_Plus),VLOOKUP(BH2822,DXB_FEMALE_EMP,4,0),IF(AND(BD2822="Employee",BI2822="Female",BF2822="Dubai",BE2822=RN),VLOOKUP(BH2822,DXB_FEMALE_EMP,5,0),IF(AND(BD2822="Employee",BI2822="Female",BF2822="Dubai",BE2822=RN_2),VLOOKUP(BH2822,DXB_FEMALE_EMP,6,0),IF(AND(BD2822="Employee",BI2822="Female",BF2822="Dubai",BE2822=RN2_minus),VLOOKUP(BH2822,DXB_FEMALE_EMP,7,0),IF(AND(BD2822="Employee",BI2822="Female",BF2822="Dubai",BE2822=RN_3),VLOOKUP(BH2822,DXB_FEMALE_EMP,8,0),IF(AND(BD2822="Employee",BI2822="Female",BF2822="Dubai",BE2822=VN),VLOOKUP(BH2822,DXB_FEMALE_EMP,9,0),IF(BD2822="","",IF(AND(BD2822="Dependent",BI2822="Male",BF2822="Dubai",BE2822=GN_Plus),VLOOKUP(BH2822,DXB_MALE_DEP,2,0),IF(AND(BD2822="Dependent",BI2822="Male",BF2822="Dubai",BE2822=GN),VLOOKUP(BH2822,DXB_MALE_DEP,3,0),IF(AND(BD2822="Dependent",BI2822="Male",BF2822="Dubai",BE2822=RN_Plus),VLOOKUP(BH2822,DXB_MALE_DEP,4,0),IF(AND(BD2822="Dependent",BI2822="Male",BF2822="Dubai",BE2822=RN),VLOOKUP(BH2822,DXB_MALE_DEP,5,0),IF(AND(BD2822="Dependent",BI2822="Male",BF2822="Dubai",BE2822=RN_2),VLOOKUP(BH2822,DXB_MALE_DEP,6,0),IF(AND(BD2822="Dependent",BI2822="Male",BF2822="Dubai",BE2822=RN2_minus),VLOOKUP(BH2822,DXB_MALE_DEP,7,0),IF(AND(BD2822="Dependent",BI2822="Male",BF2822="Dubai",BE2822=RN_3),VLOOKUP(BH2822,DXB_MALE_DEP,8,0),IF(AND(BD2822="Dependent",BI2822="Male",BF2822="Dubai",BE2822=VN),VLOOKUP(BH2822,DXB_MALE_DEP,9,0),IF(BD2822="","",IF(AND(BD2822="Dependent",BI2822="Female",BF2822="Dubai",BE2822=GN_Plus),VLOOKUP(BH2822,DXB_FEMALE_DEP,2,0),IF(AND(BD2822="Dependent",BI2822="Female",BF2822="Dubai",BE2822=GN),VLOOKUP(BH2822,DXB_FEMALE_DEP,3,0),IF(AND(BD2822="Dependent",BI2822="Female",BF2822="Dubai",BE2822=RN_Plus),VLOOKUP(BH2822,DXB_FEMALE_DEP,4,0),IF(AND(BD2822="Dependent",BI2822="Female",BF2822="Dubai",BE2822=RN),VLOOKUP(BH2822,DXB_FEMALE_DEP,5,0),IF(AND(BD2822="Dependent",BI2822="Female",BF2822="Dubai",BE2822=RN_2),VLOOKUP(BH2822,DXB_FEMALE_DEP,6,0),IF(AND(BD2822="Dependent",BI2822="Female",BF2822="Dubai",BE2822=RN2_minus),VLOOKUP(BH2822,DXB_FEMALE_DEP,7,0),IF(AND(BD2822="Dependent",BI2822="Female",BF2822="Dubai",BE2822=RN_3),VLOOKUP(BH2822,DXB_FEMALE_DEP,8,0),IF(AND(BD2822="Dependent",BI2822="Female",BF2822="Dubai",BE2822=VN),VLOOKUP(BH2822,DXB_FEMALE_DEP,9,0),"ABC"))))))))))))))))))))))))))))))))))))</f>
        <v/>
      </c>
    </row>
    <row r="2823" spans="1:64" x14ac:dyDescent="0.25">
      <c r="A2823" s="762">
        <f t="shared" ref="A2823:A2886" si="998">+A2822+1</f>
        <v>2818</v>
      </c>
      <c r="B2823" s="229"/>
      <c r="C2823" s="223"/>
      <c r="D2823" s="224"/>
      <c r="E2823" s="225"/>
      <c r="F2823" s="1036" t="str">
        <f t="shared" si="982"/>
        <v/>
      </c>
      <c r="G2823" s="1037" t="str">
        <f t="shared" ref="G2823:G2886" si="999">IF(D2823="","",MAX(0,ROUNDUP(F2823,0)))</f>
        <v/>
      </c>
      <c r="H2823" s="225"/>
      <c r="I2823" s="1013"/>
      <c r="J2823" s="1013"/>
      <c r="K2823" s="1028"/>
      <c r="L2823" s="1035" t="str">
        <f t="shared" si="981"/>
        <v/>
      </c>
      <c r="S2823" s="498"/>
      <c r="AJ2823" s="498"/>
      <c r="AM2823" s="498">
        <f t="shared" si="984"/>
        <v>0</v>
      </c>
      <c r="AN2823" s="498">
        <f t="shared" si="985"/>
        <v>0</v>
      </c>
      <c r="AO2823" s="498">
        <f t="shared" si="986"/>
        <v>0</v>
      </c>
      <c r="AP2823" s="498">
        <f t="shared" si="983"/>
        <v>0</v>
      </c>
      <c r="AQ2823" s="498">
        <f t="shared" ref="AQ2823:AQ2886" si="1000">IF(ISBLANK($B2823),0,IF(OR($H2823="Single",$H2823="Married"),0,1))</f>
        <v>0</v>
      </c>
      <c r="AU2823" s="498">
        <f t="shared" si="987"/>
        <v>0</v>
      </c>
      <c r="AV2823" s="498">
        <f t="shared" si="988"/>
        <v>0</v>
      </c>
      <c r="AW2823" s="498">
        <f t="shared" si="989"/>
        <v>0</v>
      </c>
      <c r="AX2823" s="498">
        <f t="shared" si="990"/>
        <v>0</v>
      </c>
      <c r="AY2823" s="498">
        <f t="shared" si="991"/>
        <v>0</v>
      </c>
      <c r="BB2823" s="498" t="str">
        <f t="shared" si="992"/>
        <v/>
      </c>
      <c r="BC2823" s="743" t="str">
        <f t="shared" si="993"/>
        <v/>
      </c>
      <c r="BD2823" s="743" t="str">
        <f t="shared" si="994"/>
        <v/>
      </c>
      <c r="BE2823" s="743" t="str">
        <f>IF(D2823="","",VLOOKUP(D2823,'General Basis'!$J$39:$K$46,2,0))</f>
        <v/>
      </c>
      <c r="BF2823" s="744" t="str">
        <f>IF(D2823="","",VLOOKUP(D2823,'General Basis'!$J$39:$L$46,3,0))</f>
        <v/>
      </c>
      <c r="BG2823" s="744" t="str">
        <f t="shared" ref="BG2823:BG2886" si="1001">BC2823&amp;BI2823</f>
        <v/>
      </c>
      <c r="BH2823" s="744" t="str">
        <f>IF(G2823="","",IF(BF2823="Abu Dhabi",IF(G2823&lt;18,'General Basis'!$C$39,IF(G2823&lt;41,'General Basis'!$C$40,IF(G2823&lt;60,'General Basis'!$C$41,IF(G2823&lt;65,'General Basis'!$C$42,'General Basis'!$C$43)))),IF(G2823&lt;11,'General Basis'!$B$39,IF(G2823&lt;18,'General Basis'!$B$40,IF(G2823&lt;26,'General Basis'!$B$41,IF(G2823&lt;31,'General Basis'!$B$42,IF(G2823&lt;36,'General Basis'!$B$43,IF(G2823&lt;41,'General Basis'!$B$44,IF(G2823&lt;46,'General Basis'!$B$45,IF(G2823&lt;51,'General Basis'!$B$46,IF(G2823&lt;56,'General Basis'!$B$47,IF(G2823&lt;60,'General Basis'!$B$48,IF(G2823&lt;65,'General Basis'!$B$49,'General Basis'!$B$50)))))))))))))</f>
        <v/>
      </c>
      <c r="BI2823" s="744" t="str">
        <f t="shared" si="995"/>
        <v/>
      </c>
      <c r="BJ2823" s="747" t="str">
        <f t="shared" ref="BJ2823:BJ2886" si="1002">IF(BD2823="","",IF(BF2823="Abu Dhabi",BK2823,BL2823))</f>
        <v/>
      </c>
      <c r="BK2823" s="498" t="str">
        <f t="shared" si="996"/>
        <v/>
      </c>
      <c r="BL2823" s="498" t="str">
        <f t="shared" si="997"/>
        <v/>
      </c>
    </row>
    <row r="2824" spans="1:64" x14ac:dyDescent="0.25">
      <c r="A2824" s="762">
        <f t="shared" si="998"/>
        <v>2819</v>
      </c>
      <c r="B2824" s="229"/>
      <c r="C2824" s="223"/>
      <c r="D2824" s="224"/>
      <c r="E2824" s="225"/>
      <c r="F2824" s="1036" t="str">
        <f t="shared" si="982"/>
        <v/>
      </c>
      <c r="G2824" s="1037" t="str">
        <f t="shared" si="999"/>
        <v/>
      </c>
      <c r="H2824" s="225"/>
      <c r="I2824" s="1013"/>
      <c r="J2824" s="1013"/>
      <c r="K2824" s="1028"/>
      <c r="L2824" s="1035" t="str">
        <f t="shared" ref="L2824:L2887" si="1003">IF(AND(E2824="Child",H2824="Married"),"Check the Marital Status of the Child. ",IF(AND(E2824="Child",F2824&gt;18),"Child Age exceed 18 years. ",IF(AND(E2824="Spouse",H2824="Single"),"Spouse is selected as Single. ","")))&amp;IF(K2824&gt;0,"UW Loading has been Applied","")</f>
        <v/>
      </c>
      <c r="S2824" s="498"/>
      <c r="AJ2824" s="498"/>
      <c r="AM2824" s="498">
        <f t="shared" si="984"/>
        <v>0</v>
      </c>
      <c r="AN2824" s="498">
        <f t="shared" si="985"/>
        <v>0</v>
      </c>
      <c r="AO2824" s="498">
        <f t="shared" si="986"/>
        <v>0</v>
      </c>
      <c r="AP2824" s="498">
        <f t="shared" si="983"/>
        <v>0</v>
      </c>
      <c r="AQ2824" s="498">
        <f t="shared" si="1000"/>
        <v>0</v>
      </c>
      <c r="AU2824" s="498">
        <f t="shared" si="987"/>
        <v>0</v>
      </c>
      <c r="AV2824" s="498">
        <f t="shared" si="988"/>
        <v>0</v>
      </c>
      <c r="AW2824" s="498">
        <f t="shared" si="989"/>
        <v>0</v>
      </c>
      <c r="AX2824" s="498">
        <f t="shared" si="990"/>
        <v>0</v>
      </c>
      <c r="AY2824" s="498">
        <f t="shared" si="991"/>
        <v>0</v>
      </c>
      <c r="BB2824" s="498" t="str">
        <f t="shared" si="992"/>
        <v/>
      </c>
      <c r="BC2824" s="743" t="str">
        <f t="shared" si="993"/>
        <v/>
      </c>
      <c r="BD2824" s="743" t="str">
        <f t="shared" si="994"/>
        <v/>
      </c>
      <c r="BE2824" s="743" t="str">
        <f>IF(D2824="","",VLOOKUP(D2824,'General Basis'!$J$39:$K$46,2,0))</f>
        <v/>
      </c>
      <c r="BF2824" s="744" t="str">
        <f>IF(D2824="","",VLOOKUP(D2824,'General Basis'!$J$39:$L$46,3,0))</f>
        <v/>
      </c>
      <c r="BG2824" s="744" t="str">
        <f t="shared" si="1001"/>
        <v/>
      </c>
      <c r="BH2824" s="744" t="str">
        <f>IF(G2824="","",IF(BF2824="Abu Dhabi",IF(G2824&lt;18,'General Basis'!$C$39,IF(G2824&lt;41,'General Basis'!$C$40,IF(G2824&lt;60,'General Basis'!$C$41,IF(G2824&lt;65,'General Basis'!$C$42,'General Basis'!$C$43)))),IF(G2824&lt;11,'General Basis'!$B$39,IF(G2824&lt;18,'General Basis'!$B$40,IF(G2824&lt;26,'General Basis'!$B$41,IF(G2824&lt;31,'General Basis'!$B$42,IF(G2824&lt;36,'General Basis'!$B$43,IF(G2824&lt;41,'General Basis'!$B$44,IF(G2824&lt;46,'General Basis'!$B$45,IF(G2824&lt;51,'General Basis'!$B$46,IF(G2824&lt;56,'General Basis'!$B$47,IF(G2824&lt;60,'General Basis'!$B$48,IF(G2824&lt;65,'General Basis'!$B$49,'General Basis'!$B$50)))))))))))))</f>
        <v/>
      </c>
      <c r="BI2824" s="744" t="str">
        <f t="shared" si="995"/>
        <v/>
      </c>
      <c r="BJ2824" s="747" t="str">
        <f t="shared" si="1002"/>
        <v/>
      </c>
      <c r="BK2824" s="498" t="str">
        <f t="shared" si="996"/>
        <v/>
      </c>
      <c r="BL2824" s="498" t="str">
        <f t="shared" si="997"/>
        <v/>
      </c>
    </row>
    <row r="2825" spans="1:64" x14ac:dyDescent="0.25">
      <c r="A2825" s="762">
        <f t="shared" si="998"/>
        <v>2820</v>
      </c>
      <c r="B2825" s="229"/>
      <c r="C2825" s="223"/>
      <c r="D2825" s="224"/>
      <c r="E2825" s="225"/>
      <c r="F2825" s="1036" t="str">
        <f t="shared" si="982"/>
        <v/>
      </c>
      <c r="G2825" s="1037" t="str">
        <f t="shared" si="999"/>
        <v/>
      </c>
      <c r="H2825" s="225"/>
      <c r="I2825" s="1013"/>
      <c r="J2825" s="1013"/>
      <c r="K2825" s="1028"/>
      <c r="L2825" s="1035" t="str">
        <f t="shared" si="1003"/>
        <v/>
      </c>
      <c r="S2825" s="498"/>
      <c r="AJ2825" s="498"/>
      <c r="AM2825" s="498">
        <f t="shared" si="984"/>
        <v>0</v>
      </c>
      <c r="AN2825" s="498">
        <f t="shared" si="985"/>
        <v>0</v>
      </c>
      <c r="AO2825" s="498">
        <f t="shared" si="986"/>
        <v>0</v>
      </c>
      <c r="AP2825" s="498">
        <f t="shared" si="983"/>
        <v>0</v>
      </c>
      <c r="AQ2825" s="498">
        <f t="shared" si="1000"/>
        <v>0</v>
      </c>
      <c r="AU2825" s="498">
        <f t="shared" si="987"/>
        <v>0</v>
      </c>
      <c r="AV2825" s="498">
        <f t="shared" si="988"/>
        <v>0</v>
      </c>
      <c r="AW2825" s="498">
        <f t="shared" si="989"/>
        <v>0</v>
      </c>
      <c r="AX2825" s="498">
        <f t="shared" si="990"/>
        <v>0</v>
      </c>
      <c r="AY2825" s="498">
        <f t="shared" si="991"/>
        <v>0</v>
      </c>
      <c r="BB2825" s="498" t="str">
        <f t="shared" si="992"/>
        <v/>
      </c>
      <c r="BC2825" s="743" t="str">
        <f t="shared" si="993"/>
        <v/>
      </c>
      <c r="BD2825" s="743" t="str">
        <f t="shared" si="994"/>
        <v/>
      </c>
      <c r="BE2825" s="743" t="str">
        <f>IF(D2825="","",VLOOKUP(D2825,'General Basis'!$J$39:$K$46,2,0))</f>
        <v/>
      </c>
      <c r="BF2825" s="744" t="str">
        <f>IF(D2825="","",VLOOKUP(D2825,'General Basis'!$J$39:$L$46,3,0))</f>
        <v/>
      </c>
      <c r="BG2825" s="744" t="str">
        <f t="shared" si="1001"/>
        <v/>
      </c>
      <c r="BH2825" s="744" t="str">
        <f>IF(G2825="","",IF(BF2825="Abu Dhabi",IF(G2825&lt;18,'General Basis'!$C$39,IF(G2825&lt;41,'General Basis'!$C$40,IF(G2825&lt;60,'General Basis'!$C$41,IF(G2825&lt;65,'General Basis'!$C$42,'General Basis'!$C$43)))),IF(G2825&lt;11,'General Basis'!$B$39,IF(G2825&lt;18,'General Basis'!$B$40,IF(G2825&lt;26,'General Basis'!$B$41,IF(G2825&lt;31,'General Basis'!$B$42,IF(G2825&lt;36,'General Basis'!$B$43,IF(G2825&lt;41,'General Basis'!$B$44,IF(G2825&lt;46,'General Basis'!$B$45,IF(G2825&lt;51,'General Basis'!$B$46,IF(G2825&lt;56,'General Basis'!$B$47,IF(G2825&lt;60,'General Basis'!$B$48,IF(G2825&lt;65,'General Basis'!$B$49,'General Basis'!$B$50)))))))))))))</f>
        <v/>
      </c>
      <c r="BI2825" s="744" t="str">
        <f t="shared" si="995"/>
        <v/>
      </c>
      <c r="BJ2825" s="747" t="str">
        <f t="shared" si="1002"/>
        <v/>
      </c>
      <c r="BK2825" s="498" t="str">
        <f t="shared" si="996"/>
        <v/>
      </c>
      <c r="BL2825" s="498" t="str">
        <f t="shared" si="997"/>
        <v/>
      </c>
    </row>
    <row r="2826" spans="1:64" x14ac:dyDescent="0.25">
      <c r="A2826" s="762">
        <f t="shared" si="998"/>
        <v>2821</v>
      </c>
      <c r="B2826" s="229"/>
      <c r="C2826" s="223"/>
      <c r="D2826" s="224"/>
      <c r="E2826" s="225"/>
      <c r="F2826" s="1036" t="str">
        <f t="shared" si="982"/>
        <v/>
      </c>
      <c r="G2826" s="1037" t="str">
        <f t="shared" si="999"/>
        <v/>
      </c>
      <c r="H2826" s="225"/>
      <c r="I2826" s="1013"/>
      <c r="J2826" s="1013"/>
      <c r="K2826" s="1028"/>
      <c r="L2826" s="1035" t="str">
        <f t="shared" si="1003"/>
        <v/>
      </c>
      <c r="S2826" s="498"/>
      <c r="AJ2826" s="498"/>
      <c r="AM2826" s="498">
        <f t="shared" si="984"/>
        <v>0</v>
      </c>
      <c r="AN2826" s="498">
        <f t="shared" si="985"/>
        <v>0</v>
      </c>
      <c r="AO2826" s="498">
        <f t="shared" si="986"/>
        <v>0</v>
      </c>
      <c r="AP2826" s="498">
        <f t="shared" si="983"/>
        <v>0</v>
      </c>
      <c r="AQ2826" s="498">
        <f t="shared" si="1000"/>
        <v>0</v>
      </c>
      <c r="AU2826" s="498">
        <f t="shared" si="987"/>
        <v>0</v>
      </c>
      <c r="AV2826" s="498">
        <f t="shared" si="988"/>
        <v>0</v>
      </c>
      <c r="AW2826" s="498">
        <f t="shared" si="989"/>
        <v>0</v>
      </c>
      <c r="AX2826" s="498">
        <f t="shared" si="990"/>
        <v>0</v>
      </c>
      <c r="AY2826" s="498">
        <f t="shared" si="991"/>
        <v>0</v>
      </c>
      <c r="BB2826" s="498" t="str">
        <f t="shared" si="992"/>
        <v/>
      </c>
      <c r="BC2826" s="743" t="str">
        <f t="shared" si="993"/>
        <v/>
      </c>
      <c r="BD2826" s="743" t="str">
        <f t="shared" si="994"/>
        <v/>
      </c>
      <c r="BE2826" s="743" t="str">
        <f>IF(D2826="","",VLOOKUP(D2826,'General Basis'!$J$39:$K$46,2,0))</f>
        <v/>
      </c>
      <c r="BF2826" s="744" t="str">
        <f>IF(D2826="","",VLOOKUP(D2826,'General Basis'!$J$39:$L$46,3,0))</f>
        <v/>
      </c>
      <c r="BG2826" s="744" t="str">
        <f t="shared" si="1001"/>
        <v/>
      </c>
      <c r="BH2826" s="744" t="str">
        <f>IF(G2826="","",IF(BF2826="Abu Dhabi",IF(G2826&lt;18,'General Basis'!$C$39,IF(G2826&lt;41,'General Basis'!$C$40,IF(G2826&lt;60,'General Basis'!$C$41,IF(G2826&lt;65,'General Basis'!$C$42,'General Basis'!$C$43)))),IF(G2826&lt;11,'General Basis'!$B$39,IF(G2826&lt;18,'General Basis'!$B$40,IF(G2826&lt;26,'General Basis'!$B$41,IF(G2826&lt;31,'General Basis'!$B$42,IF(G2826&lt;36,'General Basis'!$B$43,IF(G2826&lt;41,'General Basis'!$B$44,IF(G2826&lt;46,'General Basis'!$B$45,IF(G2826&lt;51,'General Basis'!$B$46,IF(G2826&lt;56,'General Basis'!$B$47,IF(G2826&lt;60,'General Basis'!$B$48,IF(G2826&lt;65,'General Basis'!$B$49,'General Basis'!$B$50)))))))))))))</f>
        <v/>
      </c>
      <c r="BI2826" s="744" t="str">
        <f t="shared" si="995"/>
        <v/>
      </c>
      <c r="BJ2826" s="747" t="str">
        <f t="shared" si="1002"/>
        <v/>
      </c>
      <c r="BK2826" s="498" t="str">
        <f t="shared" si="996"/>
        <v/>
      </c>
      <c r="BL2826" s="498" t="str">
        <f t="shared" si="997"/>
        <v/>
      </c>
    </row>
    <row r="2827" spans="1:64" x14ac:dyDescent="0.25">
      <c r="A2827" s="762">
        <f t="shared" si="998"/>
        <v>2822</v>
      </c>
      <c r="B2827" s="229"/>
      <c r="C2827" s="223"/>
      <c r="D2827" s="224"/>
      <c r="E2827" s="225"/>
      <c r="F2827" s="1036" t="str">
        <f t="shared" si="982"/>
        <v/>
      </c>
      <c r="G2827" s="1037" t="str">
        <f t="shared" si="999"/>
        <v/>
      </c>
      <c r="H2827" s="225"/>
      <c r="I2827" s="1013"/>
      <c r="J2827" s="1013"/>
      <c r="K2827" s="1028"/>
      <c r="L2827" s="1035" t="str">
        <f t="shared" si="1003"/>
        <v/>
      </c>
      <c r="S2827" s="498"/>
      <c r="AJ2827" s="498"/>
      <c r="AM2827" s="498">
        <f t="shared" si="984"/>
        <v>0</v>
      </c>
      <c r="AN2827" s="498">
        <f t="shared" si="985"/>
        <v>0</v>
      </c>
      <c r="AO2827" s="498">
        <f t="shared" si="986"/>
        <v>0</v>
      </c>
      <c r="AP2827" s="498">
        <f t="shared" si="983"/>
        <v>0</v>
      </c>
      <c r="AQ2827" s="498">
        <f t="shared" si="1000"/>
        <v>0</v>
      </c>
      <c r="AU2827" s="498">
        <f t="shared" si="987"/>
        <v>0</v>
      </c>
      <c r="AV2827" s="498">
        <f t="shared" si="988"/>
        <v>0</v>
      </c>
      <c r="AW2827" s="498">
        <f t="shared" si="989"/>
        <v>0</v>
      </c>
      <c r="AX2827" s="498">
        <f t="shared" si="990"/>
        <v>0</v>
      </c>
      <c r="AY2827" s="498">
        <f t="shared" si="991"/>
        <v>0</v>
      </c>
      <c r="BB2827" s="498" t="str">
        <f t="shared" si="992"/>
        <v/>
      </c>
      <c r="BC2827" s="743" t="str">
        <f t="shared" si="993"/>
        <v/>
      </c>
      <c r="BD2827" s="743" t="str">
        <f t="shared" si="994"/>
        <v/>
      </c>
      <c r="BE2827" s="743" t="str">
        <f>IF(D2827="","",VLOOKUP(D2827,'General Basis'!$J$39:$K$46,2,0))</f>
        <v/>
      </c>
      <c r="BF2827" s="744" t="str">
        <f>IF(D2827="","",VLOOKUP(D2827,'General Basis'!$J$39:$L$46,3,0))</f>
        <v/>
      </c>
      <c r="BG2827" s="744" t="str">
        <f t="shared" si="1001"/>
        <v/>
      </c>
      <c r="BH2827" s="744" t="str">
        <f>IF(G2827="","",IF(BF2827="Abu Dhabi",IF(G2827&lt;18,'General Basis'!$C$39,IF(G2827&lt;41,'General Basis'!$C$40,IF(G2827&lt;60,'General Basis'!$C$41,IF(G2827&lt;65,'General Basis'!$C$42,'General Basis'!$C$43)))),IF(G2827&lt;11,'General Basis'!$B$39,IF(G2827&lt;18,'General Basis'!$B$40,IF(G2827&lt;26,'General Basis'!$B$41,IF(G2827&lt;31,'General Basis'!$B$42,IF(G2827&lt;36,'General Basis'!$B$43,IF(G2827&lt;41,'General Basis'!$B$44,IF(G2827&lt;46,'General Basis'!$B$45,IF(G2827&lt;51,'General Basis'!$B$46,IF(G2827&lt;56,'General Basis'!$B$47,IF(G2827&lt;60,'General Basis'!$B$48,IF(G2827&lt;65,'General Basis'!$B$49,'General Basis'!$B$50)))))))))))))</f>
        <v/>
      </c>
      <c r="BI2827" s="744" t="str">
        <f t="shared" si="995"/>
        <v/>
      </c>
      <c r="BJ2827" s="747" t="str">
        <f t="shared" si="1002"/>
        <v/>
      </c>
      <c r="BK2827" s="498" t="str">
        <f t="shared" si="996"/>
        <v/>
      </c>
      <c r="BL2827" s="498" t="str">
        <f t="shared" si="997"/>
        <v/>
      </c>
    </row>
    <row r="2828" spans="1:64" x14ac:dyDescent="0.25">
      <c r="A2828" s="762">
        <f t="shared" si="998"/>
        <v>2823</v>
      </c>
      <c r="B2828" s="229"/>
      <c r="C2828" s="223"/>
      <c r="D2828" s="224"/>
      <c r="E2828" s="225"/>
      <c r="F2828" s="1036" t="str">
        <f t="shared" si="982"/>
        <v/>
      </c>
      <c r="G2828" s="1037" t="str">
        <f t="shared" si="999"/>
        <v/>
      </c>
      <c r="H2828" s="225"/>
      <c r="I2828" s="1013"/>
      <c r="J2828" s="1013"/>
      <c r="K2828" s="1028"/>
      <c r="L2828" s="1035" t="str">
        <f t="shared" si="1003"/>
        <v/>
      </c>
      <c r="S2828" s="498"/>
      <c r="AJ2828" s="498"/>
      <c r="AM2828" s="498">
        <f t="shared" si="984"/>
        <v>0</v>
      </c>
      <c r="AN2828" s="498">
        <f t="shared" si="985"/>
        <v>0</v>
      </c>
      <c r="AO2828" s="498">
        <f t="shared" si="986"/>
        <v>0</v>
      </c>
      <c r="AP2828" s="498">
        <f t="shared" si="983"/>
        <v>0</v>
      </c>
      <c r="AQ2828" s="498">
        <f t="shared" si="1000"/>
        <v>0</v>
      </c>
      <c r="AU2828" s="498">
        <f t="shared" si="987"/>
        <v>0</v>
      </c>
      <c r="AV2828" s="498">
        <f t="shared" si="988"/>
        <v>0</v>
      </c>
      <c r="AW2828" s="498">
        <f t="shared" si="989"/>
        <v>0</v>
      </c>
      <c r="AX2828" s="498">
        <f t="shared" si="990"/>
        <v>0</v>
      </c>
      <c r="AY2828" s="498">
        <f t="shared" si="991"/>
        <v>0</v>
      </c>
      <c r="BB2828" s="498" t="str">
        <f t="shared" si="992"/>
        <v/>
      </c>
      <c r="BC2828" s="743" t="str">
        <f t="shared" si="993"/>
        <v/>
      </c>
      <c r="BD2828" s="743" t="str">
        <f t="shared" si="994"/>
        <v/>
      </c>
      <c r="BE2828" s="743" t="str">
        <f>IF(D2828="","",VLOOKUP(D2828,'General Basis'!$J$39:$K$46,2,0))</f>
        <v/>
      </c>
      <c r="BF2828" s="744" t="str">
        <f>IF(D2828="","",VLOOKUP(D2828,'General Basis'!$J$39:$L$46,3,0))</f>
        <v/>
      </c>
      <c r="BG2828" s="744" t="str">
        <f t="shared" si="1001"/>
        <v/>
      </c>
      <c r="BH2828" s="744" t="str">
        <f>IF(G2828="","",IF(BF2828="Abu Dhabi",IF(G2828&lt;18,'General Basis'!$C$39,IF(G2828&lt;41,'General Basis'!$C$40,IF(G2828&lt;60,'General Basis'!$C$41,IF(G2828&lt;65,'General Basis'!$C$42,'General Basis'!$C$43)))),IF(G2828&lt;11,'General Basis'!$B$39,IF(G2828&lt;18,'General Basis'!$B$40,IF(G2828&lt;26,'General Basis'!$B$41,IF(G2828&lt;31,'General Basis'!$B$42,IF(G2828&lt;36,'General Basis'!$B$43,IF(G2828&lt;41,'General Basis'!$B$44,IF(G2828&lt;46,'General Basis'!$B$45,IF(G2828&lt;51,'General Basis'!$B$46,IF(G2828&lt;56,'General Basis'!$B$47,IF(G2828&lt;60,'General Basis'!$B$48,IF(G2828&lt;65,'General Basis'!$B$49,'General Basis'!$B$50)))))))))))))</f>
        <v/>
      </c>
      <c r="BI2828" s="744" t="str">
        <f t="shared" si="995"/>
        <v/>
      </c>
      <c r="BJ2828" s="747" t="str">
        <f t="shared" si="1002"/>
        <v/>
      </c>
      <c r="BK2828" s="498" t="str">
        <f t="shared" si="996"/>
        <v/>
      </c>
      <c r="BL2828" s="498" t="str">
        <f t="shared" si="997"/>
        <v/>
      </c>
    </row>
    <row r="2829" spans="1:64" x14ac:dyDescent="0.25">
      <c r="A2829" s="762">
        <f t="shared" si="998"/>
        <v>2824</v>
      </c>
      <c r="B2829" s="229"/>
      <c r="C2829" s="223"/>
      <c r="D2829" s="224"/>
      <c r="E2829" s="225"/>
      <c r="F2829" s="1036" t="str">
        <f t="shared" si="982"/>
        <v/>
      </c>
      <c r="G2829" s="1037" t="str">
        <f t="shared" si="999"/>
        <v/>
      </c>
      <c r="H2829" s="225"/>
      <c r="I2829" s="1013"/>
      <c r="J2829" s="1013"/>
      <c r="K2829" s="1028"/>
      <c r="L2829" s="1035" t="str">
        <f t="shared" si="1003"/>
        <v/>
      </c>
      <c r="S2829" s="498"/>
      <c r="AJ2829" s="498"/>
      <c r="AM2829" s="498">
        <f t="shared" si="984"/>
        <v>0</v>
      </c>
      <c r="AN2829" s="498">
        <f t="shared" si="985"/>
        <v>0</v>
      </c>
      <c r="AO2829" s="498">
        <f t="shared" si="986"/>
        <v>0</v>
      </c>
      <c r="AP2829" s="498">
        <f t="shared" si="983"/>
        <v>0</v>
      </c>
      <c r="AQ2829" s="498">
        <f t="shared" si="1000"/>
        <v>0</v>
      </c>
      <c r="AU2829" s="498">
        <f t="shared" si="987"/>
        <v>0</v>
      </c>
      <c r="AV2829" s="498">
        <f t="shared" si="988"/>
        <v>0</v>
      </c>
      <c r="AW2829" s="498">
        <f t="shared" si="989"/>
        <v>0</v>
      </c>
      <c r="AX2829" s="498">
        <f t="shared" si="990"/>
        <v>0</v>
      </c>
      <c r="AY2829" s="498">
        <f t="shared" si="991"/>
        <v>0</v>
      </c>
      <c r="BB2829" s="498" t="str">
        <f t="shared" si="992"/>
        <v/>
      </c>
      <c r="BC2829" s="743" t="str">
        <f t="shared" si="993"/>
        <v/>
      </c>
      <c r="BD2829" s="743" t="str">
        <f t="shared" si="994"/>
        <v/>
      </c>
      <c r="BE2829" s="743" t="str">
        <f>IF(D2829="","",VLOOKUP(D2829,'General Basis'!$J$39:$K$46,2,0))</f>
        <v/>
      </c>
      <c r="BF2829" s="744" t="str">
        <f>IF(D2829="","",VLOOKUP(D2829,'General Basis'!$J$39:$L$46,3,0))</f>
        <v/>
      </c>
      <c r="BG2829" s="744" t="str">
        <f t="shared" si="1001"/>
        <v/>
      </c>
      <c r="BH2829" s="744" t="str">
        <f>IF(G2829="","",IF(BF2829="Abu Dhabi",IF(G2829&lt;18,'General Basis'!$C$39,IF(G2829&lt;41,'General Basis'!$C$40,IF(G2829&lt;60,'General Basis'!$C$41,IF(G2829&lt;65,'General Basis'!$C$42,'General Basis'!$C$43)))),IF(G2829&lt;11,'General Basis'!$B$39,IF(G2829&lt;18,'General Basis'!$B$40,IF(G2829&lt;26,'General Basis'!$B$41,IF(G2829&lt;31,'General Basis'!$B$42,IF(G2829&lt;36,'General Basis'!$B$43,IF(G2829&lt;41,'General Basis'!$B$44,IF(G2829&lt;46,'General Basis'!$B$45,IF(G2829&lt;51,'General Basis'!$B$46,IF(G2829&lt;56,'General Basis'!$B$47,IF(G2829&lt;60,'General Basis'!$B$48,IF(G2829&lt;65,'General Basis'!$B$49,'General Basis'!$B$50)))))))))))))</f>
        <v/>
      </c>
      <c r="BI2829" s="744" t="str">
        <f t="shared" si="995"/>
        <v/>
      </c>
      <c r="BJ2829" s="747" t="str">
        <f t="shared" si="1002"/>
        <v/>
      </c>
      <c r="BK2829" s="498" t="str">
        <f t="shared" si="996"/>
        <v/>
      </c>
      <c r="BL2829" s="498" t="str">
        <f t="shared" si="997"/>
        <v/>
      </c>
    </row>
    <row r="2830" spans="1:64" x14ac:dyDescent="0.25">
      <c r="A2830" s="762">
        <f t="shared" si="998"/>
        <v>2825</v>
      </c>
      <c r="B2830" s="229"/>
      <c r="C2830" s="223"/>
      <c r="D2830" s="224"/>
      <c r="E2830" s="225"/>
      <c r="F2830" s="1036" t="str">
        <f t="shared" si="982"/>
        <v/>
      </c>
      <c r="G2830" s="1037" t="str">
        <f t="shared" si="999"/>
        <v/>
      </c>
      <c r="H2830" s="225"/>
      <c r="I2830" s="1013"/>
      <c r="J2830" s="1013"/>
      <c r="K2830" s="1028"/>
      <c r="L2830" s="1035" t="str">
        <f t="shared" si="1003"/>
        <v/>
      </c>
      <c r="S2830" s="498"/>
      <c r="AJ2830" s="498"/>
      <c r="AM2830" s="498">
        <f t="shared" si="984"/>
        <v>0</v>
      </c>
      <c r="AN2830" s="498">
        <f t="shared" si="985"/>
        <v>0</v>
      </c>
      <c r="AO2830" s="498">
        <f t="shared" si="986"/>
        <v>0</v>
      </c>
      <c r="AP2830" s="498">
        <f t="shared" si="983"/>
        <v>0</v>
      </c>
      <c r="AQ2830" s="498">
        <f t="shared" si="1000"/>
        <v>0</v>
      </c>
      <c r="AU2830" s="498">
        <f t="shared" si="987"/>
        <v>0</v>
      </c>
      <c r="AV2830" s="498">
        <f t="shared" si="988"/>
        <v>0</v>
      </c>
      <c r="AW2830" s="498">
        <f t="shared" si="989"/>
        <v>0</v>
      </c>
      <c r="AX2830" s="498">
        <f t="shared" si="990"/>
        <v>0</v>
      </c>
      <c r="AY2830" s="498">
        <f t="shared" si="991"/>
        <v>0</v>
      </c>
      <c r="BB2830" s="498" t="str">
        <f t="shared" si="992"/>
        <v/>
      </c>
      <c r="BC2830" s="743" t="str">
        <f t="shared" si="993"/>
        <v/>
      </c>
      <c r="BD2830" s="743" t="str">
        <f t="shared" si="994"/>
        <v/>
      </c>
      <c r="BE2830" s="743" t="str">
        <f>IF(D2830="","",VLOOKUP(D2830,'General Basis'!$J$39:$K$46,2,0))</f>
        <v/>
      </c>
      <c r="BF2830" s="744" t="str">
        <f>IF(D2830="","",VLOOKUP(D2830,'General Basis'!$J$39:$L$46,3,0))</f>
        <v/>
      </c>
      <c r="BG2830" s="744" t="str">
        <f t="shared" si="1001"/>
        <v/>
      </c>
      <c r="BH2830" s="744" t="str">
        <f>IF(G2830="","",IF(BF2830="Abu Dhabi",IF(G2830&lt;18,'General Basis'!$C$39,IF(G2830&lt;41,'General Basis'!$C$40,IF(G2830&lt;60,'General Basis'!$C$41,IF(G2830&lt;65,'General Basis'!$C$42,'General Basis'!$C$43)))),IF(G2830&lt;11,'General Basis'!$B$39,IF(G2830&lt;18,'General Basis'!$B$40,IF(G2830&lt;26,'General Basis'!$B$41,IF(G2830&lt;31,'General Basis'!$B$42,IF(G2830&lt;36,'General Basis'!$B$43,IF(G2830&lt;41,'General Basis'!$B$44,IF(G2830&lt;46,'General Basis'!$B$45,IF(G2830&lt;51,'General Basis'!$B$46,IF(G2830&lt;56,'General Basis'!$B$47,IF(G2830&lt;60,'General Basis'!$B$48,IF(G2830&lt;65,'General Basis'!$B$49,'General Basis'!$B$50)))))))))))))</f>
        <v/>
      </c>
      <c r="BI2830" s="744" t="str">
        <f t="shared" si="995"/>
        <v/>
      </c>
      <c r="BJ2830" s="747" t="str">
        <f t="shared" si="1002"/>
        <v/>
      </c>
      <c r="BK2830" s="498" t="str">
        <f t="shared" si="996"/>
        <v/>
      </c>
      <c r="BL2830" s="498" t="str">
        <f t="shared" si="997"/>
        <v/>
      </c>
    </row>
    <row r="2831" spans="1:64" x14ac:dyDescent="0.25">
      <c r="A2831" s="762">
        <f t="shared" si="998"/>
        <v>2826</v>
      </c>
      <c r="B2831" s="229"/>
      <c r="C2831" s="223"/>
      <c r="D2831" s="224"/>
      <c r="E2831" s="225"/>
      <c r="F2831" s="1036" t="str">
        <f t="shared" si="982"/>
        <v/>
      </c>
      <c r="G2831" s="1037" t="str">
        <f t="shared" si="999"/>
        <v/>
      </c>
      <c r="H2831" s="225"/>
      <c r="I2831" s="1013"/>
      <c r="J2831" s="1013"/>
      <c r="K2831" s="1028"/>
      <c r="L2831" s="1035" t="str">
        <f t="shared" si="1003"/>
        <v/>
      </c>
      <c r="S2831" s="498"/>
      <c r="AJ2831" s="498"/>
      <c r="AM2831" s="498">
        <f t="shared" si="984"/>
        <v>0</v>
      </c>
      <c r="AN2831" s="498">
        <f t="shared" si="985"/>
        <v>0</v>
      </c>
      <c r="AO2831" s="498">
        <f t="shared" si="986"/>
        <v>0</v>
      </c>
      <c r="AP2831" s="498">
        <f t="shared" si="983"/>
        <v>0</v>
      </c>
      <c r="AQ2831" s="498">
        <f t="shared" si="1000"/>
        <v>0</v>
      </c>
      <c r="AU2831" s="498">
        <f t="shared" si="987"/>
        <v>0</v>
      </c>
      <c r="AV2831" s="498">
        <f t="shared" si="988"/>
        <v>0</v>
      </c>
      <c r="AW2831" s="498">
        <f t="shared" si="989"/>
        <v>0</v>
      </c>
      <c r="AX2831" s="498">
        <f t="shared" si="990"/>
        <v>0</v>
      </c>
      <c r="AY2831" s="498">
        <f t="shared" si="991"/>
        <v>0</v>
      </c>
      <c r="BB2831" s="498" t="str">
        <f t="shared" si="992"/>
        <v/>
      </c>
      <c r="BC2831" s="743" t="str">
        <f t="shared" si="993"/>
        <v/>
      </c>
      <c r="BD2831" s="743" t="str">
        <f t="shared" si="994"/>
        <v/>
      </c>
      <c r="BE2831" s="743" t="str">
        <f>IF(D2831="","",VLOOKUP(D2831,'General Basis'!$J$39:$K$46,2,0))</f>
        <v/>
      </c>
      <c r="BF2831" s="744" t="str">
        <f>IF(D2831="","",VLOOKUP(D2831,'General Basis'!$J$39:$L$46,3,0))</f>
        <v/>
      </c>
      <c r="BG2831" s="744" t="str">
        <f t="shared" si="1001"/>
        <v/>
      </c>
      <c r="BH2831" s="744" t="str">
        <f>IF(G2831="","",IF(BF2831="Abu Dhabi",IF(G2831&lt;18,'General Basis'!$C$39,IF(G2831&lt;41,'General Basis'!$C$40,IF(G2831&lt;60,'General Basis'!$C$41,IF(G2831&lt;65,'General Basis'!$C$42,'General Basis'!$C$43)))),IF(G2831&lt;11,'General Basis'!$B$39,IF(G2831&lt;18,'General Basis'!$B$40,IF(G2831&lt;26,'General Basis'!$B$41,IF(G2831&lt;31,'General Basis'!$B$42,IF(G2831&lt;36,'General Basis'!$B$43,IF(G2831&lt;41,'General Basis'!$B$44,IF(G2831&lt;46,'General Basis'!$B$45,IF(G2831&lt;51,'General Basis'!$B$46,IF(G2831&lt;56,'General Basis'!$B$47,IF(G2831&lt;60,'General Basis'!$B$48,IF(G2831&lt;65,'General Basis'!$B$49,'General Basis'!$B$50)))))))))))))</f>
        <v/>
      </c>
      <c r="BI2831" s="744" t="str">
        <f t="shared" si="995"/>
        <v/>
      </c>
      <c r="BJ2831" s="747" t="str">
        <f t="shared" si="1002"/>
        <v/>
      </c>
      <c r="BK2831" s="498" t="str">
        <f t="shared" si="996"/>
        <v/>
      </c>
      <c r="BL2831" s="498" t="str">
        <f t="shared" si="997"/>
        <v/>
      </c>
    </row>
    <row r="2832" spans="1:64" x14ac:dyDescent="0.25">
      <c r="A2832" s="762">
        <f t="shared" si="998"/>
        <v>2827</v>
      </c>
      <c r="B2832" s="229"/>
      <c r="C2832" s="223"/>
      <c r="D2832" s="224"/>
      <c r="E2832" s="225"/>
      <c r="F2832" s="1036" t="str">
        <f t="shared" ref="F2832:F2895" si="1004">IF(C2832="","",IF($B2832="","",((YEAR($F$3)-YEAR($B2832))+(MONTH($F$3)-MONTH($B2832))/12+(DAY($F$3)-DAY($B2832))/(DATE(YEAR($F$3),12,31)-DATE(YEAR($F$3),1,1)+1))))</f>
        <v/>
      </c>
      <c r="G2832" s="1037" t="str">
        <f t="shared" si="999"/>
        <v/>
      </c>
      <c r="H2832" s="225"/>
      <c r="I2832" s="1013"/>
      <c r="J2832" s="1013"/>
      <c r="K2832" s="1028"/>
      <c r="L2832" s="1035" t="str">
        <f t="shared" si="1003"/>
        <v/>
      </c>
      <c r="S2832" s="498"/>
      <c r="AJ2832" s="498"/>
      <c r="AM2832" s="498">
        <f t="shared" si="984"/>
        <v>0</v>
      </c>
      <c r="AN2832" s="498">
        <f t="shared" si="985"/>
        <v>0</v>
      </c>
      <c r="AO2832" s="498">
        <f t="shared" si="986"/>
        <v>0</v>
      </c>
      <c r="AP2832" s="498">
        <f t="shared" si="983"/>
        <v>0</v>
      </c>
      <c r="AQ2832" s="498">
        <f t="shared" si="1000"/>
        <v>0</v>
      </c>
      <c r="AU2832" s="498">
        <f t="shared" si="987"/>
        <v>0</v>
      </c>
      <c r="AV2832" s="498">
        <f t="shared" si="988"/>
        <v>0</v>
      </c>
      <c r="AW2832" s="498">
        <f t="shared" si="989"/>
        <v>0</v>
      </c>
      <c r="AX2832" s="498">
        <f t="shared" si="990"/>
        <v>0</v>
      </c>
      <c r="AY2832" s="498">
        <f t="shared" si="991"/>
        <v>0</v>
      </c>
      <c r="BB2832" s="498" t="str">
        <f t="shared" si="992"/>
        <v/>
      </c>
      <c r="BC2832" s="743" t="str">
        <f t="shared" si="993"/>
        <v/>
      </c>
      <c r="BD2832" s="743" t="str">
        <f t="shared" si="994"/>
        <v/>
      </c>
      <c r="BE2832" s="743" t="str">
        <f>IF(D2832="","",VLOOKUP(D2832,'General Basis'!$J$39:$K$46,2,0))</f>
        <v/>
      </c>
      <c r="BF2832" s="744" t="str">
        <f>IF(D2832="","",VLOOKUP(D2832,'General Basis'!$J$39:$L$46,3,0))</f>
        <v/>
      </c>
      <c r="BG2832" s="744" t="str">
        <f t="shared" si="1001"/>
        <v/>
      </c>
      <c r="BH2832" s="744" t="str">
        <f>IF(G2832="","",IF(BF2832="Abu Dhabi",IF(G2832&lt;18,'General Basis'!$C$39,IF(G2832&lt;41,'General Basis'!$C$40,IF(G2832&lt;60,'General Basis'!$C$41,IF(G2832&lt;65,'General Basis'!$C$42,'General Basis'!$C$43)))),IF(G2832&lt;11,'General Basis'!$B$39,IF(G2832&lt;18,'General Basis'!$B$40,IF(G2832&lt;26,'General Basis'!$B$41,IF(G2832&lt;31,'General Basis'!$B$42,IF(G2832&lt;36,'General Basis'!$B$43,IF(G2832&lt;41,'General Basis'!$B$44,IF(G2832&lt;46,'General Basis'!$B$45,IF(G2832&lt;51,'General Basis'!$B$46,IF(G2832&lt;56,'General Basis'!$B$47,IF(G2832&lt;60,'General Basis'!$B$48,IF(G2832&lt;65,'General Basis'!$B$49,'General Basis'!$B$50)))))))))))))</f>
        <v/>
      </c>
      <c r="BI2832" s="744" t="str">
        <f t="shared" si="995"/>
        <v/>
      </c>
      <c r="BJ2832" s="747" t="str">
        <f t="shared" si="1002"/>
        <v/>
      </c>
      <c r="BK2832" s="498" t="str">
        <f t="shared" si="996"/>
        <v/>
      </c>
      <c r="BL2832" s="498" t="str">
        <f t="shared" si="997"/>
        <v/>
      </c>
    </row>
    <row r="2833" spans="1:64" x14ac:dyDescent="0.25">
      <c r="A2833" s="762">
        <f t="shared" si="998"/>
        <v>2828</v>
      </c>
      <c r="B2833" s="229"/>
      <c r="C2833" s="223"/>
      <c r="D2833" s="224"/>
      <c r="E2833" s="225"/>
      <c r="F2833" s="1036" t="str">
        <f t="shared" si="1004"/>
        <v/>
      </c>
      <c r="G2833" s="1037" t="str">
        <f t="shared" si="999"/>
        <v/>
      </c>
      <c r="H2833" s="225"/>
      <c r="I2833" s="1013"/>
      <c r="J2833" s="1013"/>
      <c r="K2833" s="1028"/>
      <c r="L2833" s="1035" t="str">
        <f t="shared" si="1003"/>
        <v/>
      </c>
      <c r="S2833" s="498"/>
      <c r="AJ2833" s="498"/>
      <c r="AM2833" s="498">
        <f t="shared" si="984"/>
        <v>0</v>
      </c>
      <c r="AN2833" s="498">
        <f t="shared" si="985"/>
        <v>0</v>
      </c>
      <c r="AO2833" s="498">
        <f t="shared" si="986"/>
        <v>0</v>
      </c>
      <c r="AP2833" s="498">
        <f t="shared" si="983"/>
        <v>0</v>
      </c>
      <c r="AQ2833" s="498">
        <f t="shared" si="1000"/>
        <v>0</v>
      </c>
      <c r="AU2833" s="498">
        <f t="shared" si="987"/>
        <v>0</v>
      </c>
      <c r="AV2833" s="498">
        <f t="shared" si="988"/>
        <v>0</v>
      </c>
      <c r="AW2833" s="498">
        <f t="shared" si="989"/>
        <v>0</v>
      </c>
      <c r="AX2833" s="498">
        <f t="shared" si="990"/>
        <v>0</v>
      </c>
      <c r="AY2833" s="498">
        <f t="shared" si="991"/>
        <v>0</v>
      </c>
      <c r="BB2833" s="498" t="str">
        <f t="shared" si="992"/>
        <v/>
      </c>
      <c r="BC2833" s="743" t="str">
        <f t="shared" si="993"/>
        <v/>
      </c>
      <c r="BD2833" s="743" t="str">
        <f t="shared" si="994"/>
        <v/>
      </c>
      <c r="BE2833" s="743" t="str">
        <f>IF(D2833="","",VLOOKUP(D2833,'General Basis'!$J$39:$K$46,2,0))</f>
        <v/>
      </c>
      <c r="BF2833" s="744" t="str">
        <f>IF(D2833="","",VLOOKUP(D2833,'General Basis'!$J$39:$L$46,3,0))</f>
        <v/>
      </c>
      <c r="BG2833" s="744" t="str">
        <f t="shared" si="1001"/>
        <v/>
      </c>
      <c r="BH2833" s="744" t="str">
        <f>IF(G2833="","",IF(BF2833="Abu Dhabi",IF(G2833&lt;18,'General Basis'!$C$39,IF(G2833&lt;41,'General Basis'!$C$40,IF(G2833&lt;60,'General Basis'!$C$41,IF(G2833&lt;65,'General Basis'!$C$42,'General Basis'!$C$43)))),IF(G2833&lt;11,'General Basis'!$B$39,IF(G2833&lt;18,'General Basis'!$B$40,IF(G2833&lt;26,'General Basis'!$B$41,IF(G2833&lt;31,'General Basis'!$B$42,IF(G2833&lt;36,'General Basis'!$B$43,IF(G2833&lt;41,'General Basis'!$B$44,IF(G2833&lt;46,'General Basis'!$B$45,IF(G2833&lt;51,'General Basis'!$B$46,IF(G2833&lt;56,'General Basis'!$B$47,IF(G2833&lt;60,'General Basis'!$B$48,IF(G2833&lt;65,'General Basis'!$B$49,'General Basis'!$B$50)))))))))))))</f>
        <v/>
      </c>
      <c r="BI2833" s="744" t="str">
        <f t="shared" si="995"/>
        <v/>
      </c>
      <c r="BJ2833" s="747" t="str">
        <f t="shared" si="1002"/>
        <v/>
      </c>
      <c r="BK2833" s="498" t="str">
        <f t="shared" si="996"/>
        <v/>
      </c>
      <c r="BL2833" s="498" t="str">
        <f t="shared" si="997"/>
        <v/>
      </c>
    </row>
    <row r="2834" spans="1:64" x14ac:dyDescent="0.25">
      <c r="A2834" s="762">
        <f t="shared" si="998"/>
        <v>2829</v>
      </c>
      <c r="B2834" s="229"/>
      <c r="C2834" s="223"/>
      <c r="D2834" s="224"/>
      <c r="E2834" s="225"/>
      <c r="F2834" s="1036" t="str">
        <f t="shared" si="1004"/>
        <v/>
      </c>
      <c r="G2834" s="1037" t="str">
        <f t="shared" si="999"/>
        <v/>
      </c>
      <c r="H2834" s="225"/>
      <c r="I2834" s="1013"/>
      <c r="J2834" s="1013"/>
      <c r="K2834" s="1028"/>
      <c r="L2834" s="1035" t="str">
        <f t="shared" si="1003"/>
        <v/>
      </c>
      <c r="S2834" s="498"/>
      <c r="AJ2834" s="498"/>
      <c r="AM2834" s="498">
        <f t="shared" si="984"/>
        <v>0</v>
      </c>
      <c r="AN2834" s="498">
        <f t="shared" si="985"/>
        <v>0</v>
      </c>
      <c r="AO2834" s="498">
        <f t="shared" si="986"/>
        <v>0</v>
      </c>
      <c r="AP2834" s="498">
        <f t="shared" si="983"/>
        <v>0</v>
      </c>
      <c r="AQ2834" s="498">
        <f t="shared" si="1000"/>
        <v>0</v>
      </c>
      <c r="AU2834" s="498">
        <f t="shared" si="987"/>
        <v>0</v>
      </c>
      <c r="AV2834" s="498">
        <f t="shared" si="988"/>
        <v>0</v>
      </c>
      <c r="AW2834" s="498">
        <f t="shared" si="989"/>
        <v>0</v>
      </c>
      <c r="AX2834" s="498">
        <f t="shared" si="990"/>
        <v>0</v>
      </c>
      <c r="AY2834" s="498">
        <f t="shared" si="991"/>
        <v>0</v>
      </c>
      <c r="BB2834" s="498" t="str">
        <f t="shared" si="992"/>
        <v/>
      </c>
      <c r="BC2834" s="743" t="str">
        <f t="shared" si="993"/>
        <v/>
      </c>
      <c r="BD2834" s="743" t="str">
        <f t="shared" si="994"/>
        <v/>
      </c>
      <c r="BE2834" s="743" t="str">
        <f>IF(D2834="","",VLOOKUP(D2834,'General Basis'!$J$39:$K$46,2,0))</f>
        <v/>
      </c>
      <c r="BF2834" s="744" t="str">
        <f>IF(D2834="","",VLOOKUP(D2834,'General Basis'!$J$39:$L$46,3,0))</f>
        <v/>
      </c>
      <c r="BG2834" s="744" t="str">
        <f t="shared" si="1001"/>
        <v/>
      </c>
      <c r="BH2834" s="744" t="str">
        <f>IF(G2834="","",IF(BF2834="Abu Dhabi",IF(G2834&lt;18,'General Basis'!$C$39,IF(G2834&lt;41,'General Basis'!$C$40,IF(G2834&lt;60,'General Basis'!$C$41,IF(G2834&lt;65,'General Basis'!$C$42,'General Basis'!$C$43)))),IF(G2834&lt;11,'General Basis'!$B$39,IF(G2834&lt;18,'General Basis'!$B$40,IF(G2834&lt;26,'General Basis'!$B$41,IF(G2834&lt;31,'General Basis'!$B$42,IF(G2834&lt;36,'General Basis'!$B$43,IF(G2834&lt;41,'General Basis'!$B$44,IF(G2834&lt;46,'General Basis'!$B$45,IF(G2834&lt;51,'General Basis'!$B$46,IF(G2834&lt;56,'General Basis'!$B$47,IF(G2834&lt;60,'General Basis'!$B$48,IF(G2834&lt;65,'General Basis'!$B$49,'General Basis'!$B$50)))))))))))))</f>
        <v/>
      </c>
      <c r="BI2834" s="744" t="str">
        <f t="shared" si="995"/>
        <v/>
      </c>
      <c r="BJ2834" s="747" t="str">
        <f t="shared" si="1002"/>
        <v/>
      </c>
      <c r="BK2834" s="498" t="str">
        <f t="shared" si="996"/>
        <v/>
      </c>
      <c r="BL2834" s="498" t="str">
        <f t="shared" si="997"/>
        <v/>
      </c>
    </row>
    <row r="2835" spans="1:64" x14ac:dyDescent="0.25">
      <c r="A2835" s="762">
        <f t="shared" si="998"/>
        <v>2830</v>
      </c>
      <c r="B2835" s="229"/>
      <c r="C2835" s="223"/>
      <c r="D2835" s="224"/>
      <c r="E2835" s="225"/>
      <c r="F2835" s="1036" t="str">
        <f t="shared" si="1004"/>
        <v/>
      </c>
      <c r="G2835" s="1037" t="str">
        <f t="shared" si="999"/>
        <v/>
      </c>
      <c r="H2835" s="225"/>
      <c r="I2835" s="1013"/>
      <c r="J2835" s="1013"/>
      <c r="K2835" s="1028"/>
      <c r="L2835" s="1035" t="str">
        <f t="shared" si="1003"/>
        <v/>
      </c>
      <c r="S2835" s="498"/>
      <c r="AJ2835" s="498"/>
      <c r="AM2835" s="498">
        <f t="shared" si="984"/>
        <v>0</v>
      </c>
      <c r="AN2835" s="498">
        <f t="shared" si="985"/>
        <v>0</v>
      </c>
      <c r="AO2835" s="498">
        <f t="shared" si="986"/>
        <v>0</v>
      </c>
      <c r="AP2835" s="498">
        <f t="shared" ref="AP2835:AP2898" si="1005">IF(ISBLANK($B2835),0,IF(OR($C2835="M",$C2835="F"),0,1))</f>
        <v>0</v>
      </c>
      <c r="AQ2835" s="498">
        <f t="shared" si="1000"/>
        <v>0</v>
      </c>
      <c r="AU2835" s="498">
        <f t="shared" si="987"/>
        <v>0</v>
      </c>
      <c r="AV2835" s="498">
        <f t="shared" si="988"/>
        <v>0</v>
      </c>
      <c r="AW2835" s="498">
        <f t="shared" si="989"/>
        <v>0</v>
      </c>
      <c r="AX2835" s="498">
        <f t="shared" si="990"/>
        <v>0</v>
      </c>
      <c r="AY2835" s="498">
        <f t="shared" si="991"/>
        <v>0</v>
      </c>
      <c r="BB2835" s="498" t="str">
        <f t="shared" si="992"/>
        <v/>
      </c>
      <c r="BC2835" s="743" t="str">
        <f t="shared" si="993"/>
        <v/>
      </c>
      <c r="BD2835" s="743" t="str">
        <f t="shared" si="994"/>
        <v/>
      </c>
      <c r="BE2835" s="743" t="str">
        <f>IF(D2835="","",VLOOKUP(D2835,'General Basis'!$J$39:$K$46,2,0))</f>
        <v/>
      </c>
      <c r="BF2835" s="744" t="str">
        <f>IF(D2835="","",VLOOKUP(D2835,'General Basis'!$J$39:$L$46,3,0))</f>
        <v/>
      </c>
      <c r="BG2835" s="744" t="str">
        <f t="shared" si="1001"/>
        <v/>
      </c>
      <c r="BH2835" s="744" t="str">
        <f>IF(G2835="","",IF(BF2835="Abu Dhabi",IF(G2835&lt;18,'General Basis'!$C$39,IF(G2835&lt;41,'General Basis'!$C$40,IF(G2835&lt;60,'General Basis'!$C$41,IF(G2835&lt;65,'General Basis'!$C$42,'General Basis'!$C$43)))),IF(G2835&lt;11,'General Basis'!$B$39,IF(G2835&lt;18,'General Basis'!$B$40,IF(G2835&lt;26,'General Basis'!$B$41,IF(G2835&lt;31,'General Basis'!$B$42,IF(G2835&lt;36,'General Basis'!$B$43,IF(G2835&lt;41,'General Basis'!$B$44,IF(G2835&lt;46,'General Basis'!$B$45,IF(G2835&lt;51,'General Basis'!$B$46,IF(G2835&lt;56,'General Basis'!$B$47,IF(G2835&lt;60,'General Basis'!$B$48,IF(G2835&lt;65,'General Basis'!$B$49,'General Basis'!$B$50)))))))))))))</f>
        <v/>
      </c>
      <c r="BI2835" s="744" t="str">
        <f t="shared" si="995"/>
        <v/>
      </c>
      <c r="BJ2835" s="747" t="str">
        <f t="shared" si="1002"/>
        <v/>
      </c>
      <c r="BK2835" s="498" t="str">
        <f t="shared" si="996"/>
        <v/>
      </c>
      <c r="BL2835" s="498" t="str">
        <f t="shared" si="997"/>
        <v/>
      </c>
    </row>
    <row r="2836" spans="1:64" x14ac:dyDescent="0.25">
      <c r="A2836" s="762">
        <f t="shared" si="998"/>
        <v>2831</v>
      </c>
      <c r="B2836" s="229"/>
      <c r="C2836" s="223"/>
      <c r="D2836" s="224"/>
      <c r="E2836" s="225"/>
      <c r="F2836" s="1036" t="str">
        <f t="shared" si="1004"/>
        <v/>
      </c>
      <c r="G2836" s="1037" t="str">
        <f t="shared" si="999"/>
        <v/>
      </c>
      <c r="H2836" s="225"/>
      <c r="I2836" s="1013"/>
      <c r="J2836" s="1013"/>
      <c r="K2836" s="1028"/>
      <c r="L2836" s="1035" t="str">
        <f t="shared" si="1003"/>
        <v/>
      </c>
      <c r="S2836" s="498"/>
      <c r="AJ2836" s="498"/>
      <c r="AM2836" s="498">
        <f t="shared" si="984"/>
        <v>0</v>
      </c>
      <c r="AN2836" s="498">
        <f t="shared" si="985"/>
        <v>0</v>
      </c>
      <c r="AO2836" s="498">
        <f t="shared" si="986"/>
        <v>0</v>
      </c>
      <c r="AP2836" s="498">
        <f t="shared" si="1005"/>
        <v>0</v>
      </c>
      <c r="AQ2836" s="498">
        <f t="shared" si="1000"/>
        <v>0</v>
      </c>
      <c r="AU2836" s="498">
        <f t="shared" si="987"/>
        <v>0</v>
      </c>
      <c r="AV2836" s="498">
        <f t="shared" si="988"/>
        <v>0</v>
      </c>
      <c r="AW2836" s="498">
        <f t="shared" si="989"/>
        <v>0</v>
      </c>
      <c r="AX2836" s="498">
        <f t="shared" si="990"/>
        <v>0</v>
      </c>
      <c r="AY2836" s="498">
        <f t="shared" si="991"/>
        <v>0</v>
      </c>
      <c r="BB2836" s="498" t="str">
        <f t="shared" si="992"/>
        <v/>
      </c>
      <c r="BC2836" s="743" t="str">
        <f t="shared" si="993"/>
        <v/>
      </c>
      <c r="BD2836" s="743" t="str">
        <f t="shared" si="994"/>
        <v/>
      </c>
      <c r="BE2836" s="743" t="str">
        <f>IF(D2836="","",VLOOKUP(D2836,'General Basis'!$J$39:$K$46,2,0))</f>
        <v/>
      </c>
      <c r="BF2836" s="744" t="str">
        <f>IF(D2836="","",VLOOKUP(D2836,'General Basis'!$J$39:$L$46,3,0))</f>
        <v/>
      </c>
      <c r="BG2836" s="744" t="str">
        <f t="shared" si="1001"/>
        <v/>
      </c>
      <c r="BH2836" s="744" t="str">
        <f>IF(G2836="","",IF(BF2836="Abu Dhabi",IF(G2836&lt;18,'General Basis'!$C$39,IF(G2836&lt;41,'General Basis'!$C$40,IF(G2836&lt;60,'General Basis'!$C$41,IF(G2836&lt;65,'General Basis'!$C$42,'General Basis'!$C$43)))),IF(G2836&lt;11,'General Basis'!$B$39,IF(G2836&lt;18,'General Basis'!$B$40,IF(G2836&lt;26,'General Basis'!$B$41,IF(G2836&lt;31,'General Basis'!$B$42,IF(G2836&lt;36,'General Basis'!$B$43,IF(G2836&lt;41,'General Basis'!$B$44,IF(G2836&lt;46,'General Basis'!$B$45,IF(G2836&lt;51,'General Basis'!$B$46,IF(G2836&lt;56,'General Basis'!$B$47,IF(G2836&lt;60,'General Basis'!$B$48,IF(G2836&lt;65,'General Basis'!$B$49,'General Basis'!$B$50)))))))))))))</f>
        <v/>
      </c>
      <c r="BI2836" s="744" t="str">
        <f t="shared" si="995"/>
        <v/>
      </c>
      <c r="BJ2836" s="747" t="str">
        <f t="shared" si="1002"/>
        <v/>
      </c>
      <c r="BK2836" s="498" t="str">
        <f t="shared" si="996"/>
        <v/>
      </c>
      <c r="BL2836" s="498" t="str">
        <f t="shared" si="997"/>
        <v/>
      </c>
    </row>
    <row r="2837" spans="1:64" x14ac:dyDescent="0.25">
      <c r="A2837" s="762">
        <f t="shared" si="998"/>
        <v>2832</v>
      </c>
      <c r="B2837" s="229"/>
      <c r="C2837" s="223"/>
      <c r="D2837" s="224"/>
      <c r="E2837" s="225"/>
      <c r="F2837" s="1036" t="str">
        <f t="shared" si="1004"/>
        <v/>
      </c>
      <c r="G2837" s="1037" t="str">
        <f t="shared" si="999"/>
        <v/>
      </c>
      <c r="H2837" s="225"/>
      <c r="I2837" s="1013"/>
      <c r="J2837" s="1013"/>
      <c r="K2837" s="1028"/>
      <c r="L2837" s="1035" t="str">
        <f t="shared" si="1003"/>
        <v/>
      </c>
      <c r="S2837" s="498"/>
      <c r="AJ2837" s="498"/>
      <c r="AM2837" s="498">
        <f t="shared" si="984"/>
        <v>0</v>
      </c>
      <c r="AN2837" s="498">
        <f t="shared" si="985"/>
        <v>0</v>
      </c>
      <c r="AO2837" s="498">
        <f t="shared" si="986"/>
        <v>0</v>
      </c>
      <c r="AP2837" s="498">
        <f t="shared" si="1005"/>
        <v>0</v>
      </c>
      <c r="AQ2837" s="498">
        <f t="shared" si="1000"/>
        <v>0</v>
      </c>
      <c r="AU2837" s="498">
        <f t="shared" si="987"/>
        <v>0</v>
      </c>
      <c r="AV2837" s="498">
        <f t="shared" si="988"/>
        <v>0</v>
      </c>
      <c r="AW2837" s="498">
        <f t="shared" si="989"/>
        <v>0</v>
      </c>
      <c r="AX2837" s="498">
        <f t="shared" si="990"/>
        <v>0</v>
      </c>
      <c r="AY2837" s="498">
        <f t="shared" si="991"/>
        <v>0</v>
      </c>
      <c r="BB2837" s="498" t="str">
        <f t="shared" si="992"/>
        <v/>
      </c>
      <c r="BC2837" s="743" t="str">
        <f t="shared" si="993"/>
        <v/>
      </c>
      <c r="BD2837" s="743" t="str">
        <f t="shared" si="994"/>
        <v/>
      </c>
      <c r="BE2837" s="743" t="str">
        <f>IF(D2837="","",VLOOKUP(D2837,'General Basis'!$J$39:$K$46,2,0))</f>
        <v/>
      </c>
      <c r="BF2837" s="744" t="str">
        <f>IF(D2837="","",VLOOKUP(D2837,'General Basis'!$J$39:$L$46,3,0))</f>
        <v/>
      </c>
      <c r="BG2837" s="744" t="str">
        <f t="shared" si="1001"/>
        <v/>
      </c>
      <c r="BH2837" s="744" t="str">
        <f>IF(G2837="","",IF(BF2837="Abu Dhabi",IF(G2837&lt;18,'General Basis'!$C$39,IF(G2837&lt;41,'General Basis'!$C$40,IF(G2837&lt;60,'General Basis'!$C$41,IF(G2837&lt;65,'General Basis'!$C$42,'General Basis'!$C$43)))),IF(G2837&lt;11,'General Basis'!$B$39,IF(G2837&lt;18,'General Basis'!$B$40,IF(G2837&lt;26,'General Basis'!$B$41,IF(G2837&lt;31,'General Basis'!$B$42,IF(G2837&lt;36,'General Basis'!$B$43,IF(G2837&lt;41,'General Basis'!$B$44,IF(G2837&lt;46,'General Basis'!$B$45,IF(G2837&lt;51,'General Basis'!$B$46,IF(G2837&lt;56,'General Basis'!$B$47,IF(G2837&lt;60,'General Basis'!$B$48,IF(G2837&lt;65,'General Basis'!$B$49,'General Basis'!$B$50)))))))))))))</f>
        <v/>
      </c>
      <c r="BI2837" s="744" t="str">
        <f t="shared" si="995"/>
        <v/>
      </c>
      <c r="BJ2837" s="747" t="str">
        <f t="shared" si="1002"/>
        <v/>
      </c>
      <c r="BK2837" s="498" t="str">
        <f t="shared" si="996"/>
        <v/>
      </c>
      <c r="BL2837" s="498" t="str">
        <f t="shared" si="997"/>
        <v/>
      </c>
    </row>
    <row r="2838" spans="1:64" x14ac:dyDescent="0.25">
      <c r="A2838" s="762">
        <f t="shared" si="998"/>
        <v>2833</v>
      </c>
      <c r="B2838" s="229"/>
      <c r="C2838" s="223"/>
      <c r="D2838" s="224"/>
      <c r="E2838" s="225"/>
      <c r="F2838" s="1036" t="str">
        <f t="shared" si="1004"/>
        <v/>
      </c>
      <c r="G2838" s="1037" t="str">
        <f t="shared" si="999"/>
        <v/>
      </c>
      <c r="H2838" s="225"/>
      <c r="I2838" s="1013"/>
      <c r="J2838" s="1013"/>
      <c r="K2838" s="1028"/>
      <c r="L2838" s="1035" t="str">
        <f t="shared" si="1003"/>
        <v/>
      </c>
      <c r="S2838" s="498"/>
      <c r="AJ2838" s="498"/>
      <c r="AM2838" s="498">
        <f t="shared" si="984"/>
        <v>0</v>
      </c>
      <c r="AN2838" s="498">
        <f t="shared" si="985"/>
        <v>0</v>
      </c>
      <c r="AO2838" s="498">
        <f t="shared" si="986"/>
        <v>0</v>
      </c>
      <c r="AP2838" s="498">
        <f t="shared" si="1005"/>
        <v>0</v>
      </c>
      <c r="AQ2838" s="498">
        <f t="shared" si="1000"/>
        <v>0</v>
      </c>
      <c r="AU2838" s="498">
        <f t="shared" si="987"/>
        <v>0</v>
      </c>
      <c r="AV2838" s="498">
        <f t="shared" si="988"/>
        <v>0</v>
      </c>
      <c r="AW2838" s="498">
        <f t="shared" si="989"/>
        <v>0</v>
      </c>
      <c r="AX2838" s="498">
        <f t="shared" si="990"/>
        <v>0</v>
      </c>
      <c r="AY2838" s="498">
        <f t="shared" si="991"/>
        <v>0</v>
      </c>
      <c r="BB2838" s="498" t="str">
        <f t="shared" si="992"/>
        <v/>
      </c>
      <c r="BC2838" s="743" t="str">
        <f t="shared" si="993"/>
        <v/>
      </c>
      <c r="BD2838" s="743" t="str">
        <f t="shared" si="994"/>
        <v/>
      </c>
      <c r="BE2838" s="743" t="str">
        <f>IF(D2838="","",VLOOKUP(D2838,'General Basis'!$J$39:$K$46,2,0))</f>
        <v/>
      </c>
      <c r="BF2838" s="744" t="str">
        <f>IF(D2838="","",VLOOKUP(D2838,'General Basis'!$J$39:$L$46,3,0))</f>
        <v/>
      </c>
      <c r="BG2838" s="744" t="str">
        <f t="shared" si="1001"/>
        <v/>
      </c>
      <c r="BH2838" s="744" t="str">
        <f>IF(G2838="","",IF(BF2838="Abu Dhabi",IF(G2838&lt;18,'General Basis'!$C$39,IF(G2838&lt;41,'General Basis'!$C$40,IF(G2838&lt;60,'General Basis'!$C$41,IF(G2838&lt;65,'General Basis'!$C$42,'General Basis'!$C$43)))),IF(G2838&lt;11,'General Basis'!$B$39,IF(G2838&lt;18,'General Basis'!$B$40,IF(G2838&lt;26,'General Basis'!$B$41,IF(G2838&lt;31,'General Basis'!$B$42,IF(G2838&lt;36,'General Basis'!$B$43,IF(G2838&lt;41,'General Basis'!$B$44,IF(G2838&lt;46,'General Basis'!$B$45,IF(G2838&lt;51,'General Basis'!$B$46,IF(G2838&lt;56,'General Basis'!$B$47,IF(G2838&lt;60,'General Basis'!$B$48,IF(G2838&lt;65,'General Basis'!$B$49,'General Basis'!$B$50)))))))))))))</f>
        <v/>
      </c>
      <c r="BI2838" s="744" t="str">
        <f t="shared" si="995"/>
        <v/>
      </c>
      <c r="BJ2838" s="747" t="str">
        <f t="shared" si="1002"/>
        <v/>
      </c>
      <c r="BK2838" s="498" t="str">
        <f t="shared" si="996"/>
        <v/>
      </c>
      <c r="BL2838" s="498" t="str">
        <f t="shared" si="997"/>
        <v/>
      </c>
    </row>
    <row r="2839" spans="1:64" x14ac:dyDescent="0.25">
      <c r="A2839" s="762">
        <f t="shared" si="998"/>
        <v>2834</v>
      </c>
      <c r="B2839" s="229"/>
      <c r="C2839" s="223"/>
      <c r="D2839" s="224"/>
      <c r="E2839" s="225"/>
      <c r="F2839" s="1036" t="str">
        <f t="shared" si="1004"/>
        <v/>
      </c>
      <c r="G2839" s="1037" t="str">
        <f t="shared" si="999"/>
        <v/>
      </c>
      <c r="H2839" s="225"/>
      <c r="I2839" s="1013"/>
      <c r="J2839" s="1013"/>
      <c r="K2839" s="1028"/>
      <c r="L2839" s="1035" t="str">
        <f t="shared" si="1003"/>
        <v/>
      </c>
      <c r="S2839" s="498"/>
      <c r="AJ2839" s="498"/>
      <c r="AM2839" s="498">
        <f t="shared" si="984"/>
        <v>0</v>
      </c>
      <c r="AN2839" s="498">
        <f t="shared" si="985"/>
        <v>0</v>
      </c>
      <c r="AO2839" s="498">
        <f t="shared" si="986"/>
        <v>0</v>
      </c>
      <c r="AP2839" s="498">
        <f t="shared" si="1005"/>
        <v>0</v>
      </c>
      <c r="AQ2839" s="498">
        <f t="shared" si="1000"/>
        <v>0</v>
      </c>
      <c r="AU2839" s="498">
        <f t="shared" si="987"/>
        <v>0</v>
      </c>
      <c r="AV2839" s="498">
        <f t="shared" si="988"/>
        <v>0</v>
      </c>
      <c r="AW2839" s="498">
        <f t="shared" si="989"/>
        <v>0</v>
      </c>
      <c r="AX2839" s="498">
        <f t="shared" si="990"/>
        <v>0</v>
      </c>
      <c r="AY2839" s="498">
        <f t="shared" si="991"/>
        <v>0</v>
      </c>
      <c r="BB2839" s="498" t="str">
        <f t="shared" si="992"/>
        <v/>
      </c>
      <c r="BC2839" s="743" t="str">
        <f t="shared" si="993"/>
        <v/>
      </c>
      <c r="BD2839" s="743" t="str">
        <f t="shared" si="994"/>
        <v/>
      </c>
      <c r="BE2839" s="743" t="str">
        <f>IF(D2839="","",VLOOKUP(D2839,'General Basis'!$J$39:$K$46,2,0))</f>
        <v/>
      </c>
      <c r="BF2839" s="744" t="str">
        <f>IF(D2839="","",VLOOKUP(D2839,'General Basis'!$J$39:$L$46,3,0))</f>
        <v/>
      </c>
      <c r="BG2839" s="744" t="str">
        <f t="shared" si="1001"/>
        <v/>
      </c>
      <c r="BH2839" s="744" t="str">
        <f>IF(G2839="","",IF(BF2839="Abu Dhabi",IF(G2839&lt;18,'General Basis'!$C$39,IF(G2839&lt;41,'General Basis'!$C$40,IF(G2839&lt;60,'General Basis'!$C$41,IF(G2839&lt;65,'General Basis'!$C$42,'General Basis'!$C$43)))),IF(G2839&lt;11,'General Basis'!$B$39,IF(G2839&lt;18,'General Basis'!$B$40,IF(G2839&lt;26,'General Basis'!$B$41,IF(G2839&lt;31,'General Basis'!$B$42,IF(G2839&lt;36,'General Basis'!$B$43,IF(G2839&lt;41,'General Basis'!$B$44,IF(G2839&lt;46,'General Basis'!$B$45,IF(G2839&lt;51,'General Basis'!$B$46,IF(G2839&lt;56,'General Basis'!$B$47,IF(G2839&lt;60,'General Basis'!$B$48,IF(G2839&lt;65,'General Basis'!$B$49,'General Basis'!$B$50)))))))))))))</f>
        <v/>
      </c>
      <c r="BI2839" s="744" t="str">
        <f t="shared" si="995"/>
        <v/>
      </c>
      <c r="BJ2839" s="747" t="str">
        <f t="shared" si="1002"/>
        <v/>
      </c>
      <c r="BK2839" s="498" t="str">
        <f t="shared" si="996"/>
        <v/>
      </c>
      <c r="BL2839" s="498" t="str">
        <f t="shared" si="997"/>
        <v/>
      </c>
    </row>
    <row r="2840" spans="1:64" x14ac:dyDescent="0.25">
      <c r="A2840" s="762">
        <f t="shared" si="998"/>
        <v>2835</v>
      </c>
      <c r="B2840" s="229"/>
      <c r="C2840" s="223"/>
      <c r="D2840" s="224"/>
      <c r="E2840" s="225"/>
      <c r="F2840" s="1036" t="str">
        <f t="shared" si="1004"/>
        <v/>
      </c>
      <c r="G2840" s="1037" t="str">
        <f t="shared" si="999"/>
        <v/>
      </c>
      <c r="H2840" s="225"/>
      <c r="I2840" s="1013"/>
      <c r="J2840" s="1013"/>
      <c r="K2840" s="1028"/>
      <c r="L2840" s="1035" t="str">
        <f t="shared" si="1003"/>
        <v/>
      </c>
      <c r="S2840" s="498"/>
      <c r="AJ2840" s="498"/>
      <c r="AM2840" s="498">
        <f t="shared" si="984"/>
        <v>0</v>
      </c>
      <c r="AN2840" s="498">
        <f t="shared" si="985"/>
        <v>0</v>
      </c>
      <c r="AO2840" s="498">
        <f t="shared" si="986"/>
        <v>0</v>
      </c>
      <c r="AP2840" s="498">
        <f t="shared" si="1005"/>
        <v>0</v>
      </c>
      <c r="AQ2840" s="498">
        <f t="shared" si="1000"/>
        <v>0</v>
      </c>
      <c r="AU2840" s="498">
        <f t="shared" si="987"/>
        <v>0</v>
      </c>
      <c r="AV2840" s="498">
        <f t="shared" si="988"/>
        <v>0</v>
      </c>
      <c r="AW2840" s="498">
        <f t="shared" si="989"/>
        <v>0</v>
      </c>
      <c r="AX2840" s="498">
        <f t="shared" si="990"/>
        <v>0</v>
      </c>
      <c r="AY2840" s="498">
        <f t="shared" si="991"/>
        <v>0</v>
      </c>
      <c r="BB2840" s="498" t="str">
        <f t="shared" si="992"/>
        <v/>
      </c>
      <c r="BC2840" s="743" t="str">
        <f t="shared" si="993"/>
        <v/>
      </c>
      <c r="BD2840" s="743" t="str">
        <f t="shared" si="994"/>
        <v/>
      </c>
      <c r="BE2840" s="743" t="str">
        <f>IF(D2840="","",VLOOKUP(D2840,'General Basis'!$J$39:$K$46,2,0))</f>
        <v/>
      </c>
      <c r="BF2840" s="744" t="str">
        <f>IF(D2840="","",VLOOKUP(D2840,'General Basis'!$J$39:$L$46,3,0))</f>
        <v/>
      </c>
      <c r="BG2840" s="744" t="str">
        <f t="shared" si="1001"/>
        <v/>
      </c>
      <c r="BH2840" s="744" t="str">
        <f>IF(G2840="","",IF(BF2840="Abu Dhabi",IF(G2840&lt;18,'General Basis'!$C$39,IF(G2840&lt;41,'General Basis'!$C$40,IF(G2840&lt;60,'General Basis'!$C$41,IF(G2840&lt;65,'General Basis'!$C$42,'General Basis'!$C$43)))),IF(G2840&lt;11,'General Basis'!$B$39,IF(G2840&lt;18,'General Basis'!$B$40,IF(G2840&lt;26,'General Basis'!$B$41,IF(G2840&lt;31,'General Basis'!$B$42,IF(G2840&lt;36,'General Basis'!$B$43,IF(G2840&lt;41,'General Basis'!$B$44,IF(G2840&lt;46,'General Basis'!$B$45,IF(G2840&lt;51,'General Basis'!$B$46,IF(G2840&lt;56,'General Basis'!$B$47,IF(G2840&lt;60,'General Basis'!$B$48,IF(G2840&lt;65,'General Basis'!$B$49,'General Basis'!$B$50)))))))))))))</f>
        <v/>
      </c>
      <c r="BI2840" s="744" t="str">
        <f t="shared" si="995"/>
        <v/>
      </c>
      <c r="BJ2840" s="747" t="str">
        <f t="shared" si="1002"/>
        <v/>
      </c>
      <c r="BK2840" s="498" t="str">
        <f t="shared" si="996"/>
        <v/>
      </c>
      <c r="BL2840" s="498" t="str">
        <f t="shared" si="997"/>
        <v/>
      </c>
    </row>
    <row r="2841" spans="1:64" x14ac:dyDescent="0.25">
      <c r="A2841" s="762">
        <f t="shared" si="998"/>
        <v>2836</v>
      </c>
      <c r="B2841" s="229"/>
      <c r="C2841" s="223"/>
      <c r="D2841" s="224"/>
      <c r="E2841" s="225"/>
      <c r="F2841" s="1036" t="str">
        <f t="shared" si="1004"/>
        <v/>
      </c>
      <c r="G2841" s="1037" t="str">
        <f t="shared" si="999"/>
        <v/>
      </c>
      <c r="H2841" s="225"/>
      <c r="I2841" s="1013"/>
      <c r="J2841" s="1013"/>
      <c r="K2841" s="1028"/>
      <c r="L2841" s="1035" t="str">
        <f t="shared" si="1003"/>
        <v/>
      </c>
      <c r="S2841" s="498"/>
      <c r="AJ2841" s="498"/>
      <c r="AM2841" s="498">
        <f t="shared" si="984"/>
        <v>0</v>
      </c>
      <c r="AN2841" s="498">
        <f t="shared" si="985"/>
        <v>0</v>
      </c>
      <c r="AO2841" s="498">
        <f t="shared" si="986"/>
        <v>0</v>
      </c>
      <c r="AP2841" s="498">
        <f t="shared" si="1005"/>
        <v>0</v>
      </c>
      <c r="AQ2841" s="498">
        <f t="shared" si="1000"/>
        <v>0</v>
      </c>
      <c r="AU2841" s="498">
        <f t="shared" si="987"/>
        <v>0</v>
      </c>
      <c r="AV2841" s="498">
        <f t="shared" si="988"/>
        <v>0</v>
      </c>
      <c r="AW2841" s="498">
        <f t="shared" si="989"/>
        <v>0</v>
      </c>
      <c r="AX2841" s="498">
        <f t="shared" si="990"/>
        <v>0</v>
      </c>
      <c r="AY2841" s="498">
        <f t="shared" si="991"/>
        <v>0</v>
      </c>
      <c r="BB2841" s="498" t="str">
        <f t="shared" si="992"/>
        <v/>
      </c>
      <c r="BC2841" s="743" t="str">
        <f t="shared" si="993"/>
        <v/>
      </c>
      <c r="BD2841" s="743" t="str">
        <f t="shared" si="994"/>
        <v/>
      </c>
      <c r="BE2841" s="743" t="str">
        <f>IF(D2841="","",VLOOKUP(D2841,'General Basis'!$J$39:$K$46,2,0))</f>
        <v/>
      </c>
      <c r="BF2841" s="744" t="str">
        <f>IF(D2841="","",VLOOKUP(D2841,'General Basis'!$J$39:$L$46,3,0))</f>
        <v/>
      </c>
      <c r="BG2841" s="744" t="str">
        <f t="shared" si="1001"/>
        <v/>
      </c>
      <c r="BH2841" s="744" t="str">
        <f>IF(G2841="","",IF(BF2841="Abu Dhabi",IF(G2841&lt;18,'General Basis'!$C$39,IF(G2841&lt;41,'General Basis'!$C$40,IF(G2841&lt;60,'General Basis'!$C$41,IF(G2841&lt;65,'General Basis'!$C$42,'General Basis'!$C$43)))),IF(G2841&lt;11,'General Basis'!$B$39,IF(G2841&lt;18,'General Basis'!$B$40,IF(G2841&lt;26,'General Basis'!$B$41,IF(G2841&lt;31,'General Basis'!$B$42,IF(G2841&lt;36,'General Basis'!$B$43,IF(G2841&lt;41,'General Basis'!$B$44,IF(G2841&lt;46,'General Basis'!$B$45,IF(G2841&lt;51,'General Basis'!$B$46,IF(G2841&lt;56,'General Basis'!$B$47,IF(G2841&lt;60,'General Basis'!$B$48,IF(G2841&lt;65,'General Basis'!$B$49,'General Basis'!$B$50)))))))))))))</f>
        <v/>
      </c>
      <c r="BI2841" s="744" t="str">
        <f t="shared" si="995"/>
        <v/>
      </c>
      <c r="BJ2841" s="747" t="str">
        <f t="shared" si="1002"/>
        <v/>
      </c>
      <c r="BK2841" s="498" t="str">
        <f t="shared" si="996"/>
        <v/>
      </c>
      <c r="BL2841" s="498" t="str">
        <f t="shared" si="997"/>
        <v/>
      </c>
    </row>
    <row r="2842" spans="1:64" x14ac:dyDescent="0.25">
      <c r="A2842" s="762">
        <f t="shared" si="998"/>
        <v>2837</v>
      </c>
      <c r="B2842" s="229"/>
      <c r="C2842" s="223"/>
      <c r="D2842" s="224"/>
      <c r="E2842" s="225"/>
      <c r="F2842" s="1036" t="str">
        <f t="shared" si="1004"/>
        <v/>
      </c>
      <c r="G2842" s="1037" t="str">
        <f t="shared" si="999"/>
        <v/>
      </c>
      <c r="H2842" s="225"/>
      <c r="I2842" s="1013"/>
      <c r="J2842" s="1013"/>
      <c r="K2842" s="1028"/>
      <c r="L2842" s="1035" t="str">
        <f t="shared" si="1003"/>
        <v/>
      </c>
      <c r="S2842" s="498"/>
      <c r="AJ2842" s="498"/>
      <c r="AM2842" s="498">
        <f t="shared" si="984"/>
        <v>0</v>
      </c>
      <c r="AN2842" s="498">
        <f t="shared" si="985"/>
        <v>0</v>
      </c>
      <c r="AO2842" s="498">
        <f t="shared" si="986"/>
        <v>0</v>
      </c>
      <c r="AP2842" s="498">
        <f t="shared" si="1005"/>
        <v>0</v>
      </c>
      <c r="AQ2842" s="498">
        <f t="shared" si="1000"/>
        <v>0</v>
      </c>
      <c r="AU2842" s="498">
        <f t="shared" si="987"/>
        <v>0</v>
      </c>
      <c r="AV2842" s="498">
        <f t="shared" si="988"/>
        <v>0</v>
      </c>
      <c r="AW2842" s="498">
        <f t="shared" si="989"/>
        <v>0</v>
      </c>
      <c r="AX2842" s="498">
        <f t="shared" si="990"/>
        <v>0</v>
      </c>
      <c r="AY2842" s="498">
        <f t="shared" si="991"/>
        <v>0</v>
      </c>
      <c r="BB2842" s="498" t="str">
        <f t="shared" si="992"/>
        <v/>
      </c>
      <c r="BC2842" s="743" t="str">
        <f t="shared" si="993"/>
        <v/>
      </c>
      <c r="BD2842" s="743" t="str">
        <f t="shared" si="994"/>
        <v/>
      </c>
      <c r="BE2842" s="743" t="str">
        <f>IF(D2842="","",VLOOKUP(D2842,'General Basis'!$J$39:$K$46,2,0))</f>
        <v/>
      </c>
      <c r="BF2842" s="744" t="str">
        <f>IF(D2842="","",VLOOKUP(D2842,'General Basis'!$J$39:$L$46,3,0))</f>
        <v/>
      </c>
      <c r="BG2842" s="744" t="str">
        <f t="shared" si="1001"/>
        <v/>
      </c>
      <c r="BH2842" s="744" t="str">
        <f>IF(G2842="","",IF(BF2842="Abu Dhabi",IF(G2842&lt;18,'General Basis'!$C$39,IF(G2842&lt;41,'General Basis'!$C$40,IF(G2842&lt;60,'General Basis'!$C$41,IF(G2842&lt;65,'General Basis'!$C$42,'General Basis'!$C$43)))),IF(G2842&lt;11,'General Basis'!$B$39,IF(G2842&lt;18,'General Basis'!$B$40,IF(G2842&lt;26,'General Basis'!$B$41,IF(G2842&lt;31,'General Basis'!$B$42,IF(G2842&lt;36,'General Basis'!$B$43,IF(G2842&lt;41,'General Basis'!$B$44,IF(G2842&lt;46,'General Basis'!$B$45,IF(G2842&lt;51,'General Basis'!$B$46,IF(G2842&lt;56,'General Basis'!$B$47,IF(G2842&lt;60,'General Basis'!$B$48,IF(G2842&lt;65,'General Basis'!$B$49,'General Basis'!$B$50)))))))))))))</f>
        <v/>
      </c>
      <c r="BI2842" s="744" t="str">
        <f t="shared" si="995"/>
        <v/>
      </c>
      <c r="BJ2842" s="747" t="str">
        <f t="shared" si="1002"/>
        <v/>
      </c>
      <c r="BK2842" s="498" t="str">
        <f t="shared" si="996"/>
        <v/>
      </c>
      <c r="BL2842" s="498" t="str">
        <f t="shared" si="997"/>
        <v/>
      </c>
    </row>
    <row r="2843" spans="1:64" x14ac:dyDescent="0.25">
      <c r="A2843" s="762">
        <f t="shared" si="998"/>
        <v>2838</v>
      </c>
      <c r="B2843" s="229"/>
      <c r="C2843" s="223"/>
      <c r="D2843" s="224"/>
      <c r="E2843" s="225"/>
      <c r="F2843" s="1036" t="str">
        <f t="shared" si="1004"/>
        <v/>
      </c>
      <c r="G2843" s="1037" t="str">
        <f t="shared" si="999"/>
        <v/>
      </c>
      <c r="H2843" s="225"/>
      <c r="I2843" s="1013"/>
      <c r="J2843" s="1013"/>
      <c r="K2843" s="1028"/>
      <c r="L2843" s="1035" t="str">
        <f t="shared" si="1003"/>
        <v/>
      </c>
      <c r="S2843" s="498"/>
      <c r="AJ2843" s="498"/>
      <c r="AM2843" s="498">
        <f t="shared" si="984"/>
        <v>0</v>
      </c>
      <c r="AN2843" s="498">
        <f t="shared" si="985"/>
        <v>0</v>
      </c>
      <c r="AO2843" s="498">
        <f t="shared" si="986"/>
        <v>0</v>
      </c>
      <c r="AP2843" s="498">
        <f t="shared" si="1005"/>
        <v>0</v>
      </c>
      <c r="AQ2843" s="498">
        <f t="shared" si="1000"/>
        <v>0</v>
      </c>
      <c r="AU2843" s="498">
        <f t="shared" si="987"/>
        <v>0</v>
      </c>
      <c r="AV2843" s="498">
        <f t="shared" si="988"/>
        <v>0</v>
      </c>
      <c r="AW2843" s="498">
        <f t="shared" si="989"/>
        <v>0</v>
      </c>
      <c r="AX2843" s="498">
        <f t="shared" si="990"/>
        <v>0</v>
      </c>
      <c r="AY2843" s="498">
        <f t="shared" si="991"/>
        <v>0</v>
      </c>
      <c r="BB2843" s="498" t="str">
        <f t="shared" si="992"/>
        <v/>
      </c>
      <c r="BC2843" s="743" t="str">
        <f t="shared" si="993"/>
        <v/>
      </c>
      <c r="BD2843" s="743" t="str">
        <f t="shared" si="994"/>
        <v/>
      </c>
      <c r="BE2843" s="743" t="str">
        <f>IF(D2843="","",VLOOKUP(D2843,'General Basis'!$J$39:$K$46,2,0))</f>
        <v/>
      </c>
      <c r="BF2843" s="744" t="str">
        <f>IF(D2843="","",VLOOKUP(D2843,'General Basis'!$J$39:$L$46,3,0))</f>
        <v/>
      </c>
      <c r="BG2843" s="744" t="str">
        <f t="shared" si="1001"/>
        <v/>
      </c>
      <c r="BH2843" s="744" t="str">
        <f>IF(G2843="","",IF(BF2843="Abu Dhabi",IF(G2843&lt;18,'General Basis'!$C$39,IF(G2843&lt;41,'General Basis'!$C$40,IF(G2843&lt;60,'General Basis'!$C$41,IF(G2843&lt;65,'General Basis'!$C$42,'General Basis'!$C$43)))),IF(G2843&lt;11,'General Basis'!$B$39,IF(G2843&lt;18,'General Basis'!$B$40,IF(G2843&lt;26,'General Basis'!$B$41,IF(G2843&lt;31,'General Basis'!$B$42,IF(G2843&lt;36,'General Basis'!$B$43,IF(G2843&lt;41,'General Basis'!$B$44,IF(G2843&lt;46,'General Basis'!$B$45,IF(G2843&lt;51,'General Basis'!$B$46,IF(G2843&lt;56,'General Basis'!$B$47,IF(G2843&lt;60,'General Basis'!$B$48,IF(G2843&lt;65,'General Basis'!$B$49,'General Basis'!$B$50)))))))))))))</f>
        <v/>
      </c>
      <c r="BI2843" s="744" t="str">
        <f t="shared" si="995"/>
        <v/>
      </c>
      <c r="BJ2843" s="747" t="str">
        <f t="shared" si="1002"/>
        <v/>
      </c>
      <c r="BK2843" s="498" t="str">
        <f t="shared" si="996"/>
        <v/>
      </c>
      <c r="BL2843" s="498" t="str">
        <f t="shared" si="997"/>
        <v/>
      </c>
    </row>
    <row r="2844" spans="1:64" x14ac:dyDescent="0.25">
      <c r="A2844" s="762">
        <f t="shared" si="998"/>
        <v>2839</v>
      </c>
      <c r="B2844" s="229"/>
      <c r="C2844" s="223"/>
      <c r="D2844" s="224"/>
      <c r="E2844" s="225"/>
      <c r="F2844" s="1036" t="str">
        <f t="shared" si="1004"/>
        <v/>
      </c>
      <c r="G2844" s="1037" t="str">
        <f t="shared" si="999"/>
        <v/>
      </c>
      <c r="H2844" s="225"/>
      <c r="I2844" s="1013"/>
      <c r="J2844" s="1013"/>
      <c r="K2844" s="1028"/>
      <c r="L2844" s="1035" t="str">
        <f t="shared" si="1003"/>
        <v/>
      </c>
      <c r="S2844" s="498"/>
      <c r="AJ2844" s="498"/>
      <c r="AM2844" s="498">
        <f t="shared" si="984"/>
        <v>0</v>
      </c>
      <c r="AN2844" s="498">
        <f t="shared" si="985"/>
        <v>0</v>
      </c>
      <c r="AO2844" s="498">
        <f t="shared" si="986"/>
        <v>0</v>
      </c>
      <c r="AP2844" s="498">
        <f t="shared" si="1005"/>
        <v>0</v>
      </c>
      <c r="AQ2844" s="498">
        <f t="shared" si="1000"/>
        <v>0</v>
      </c>
      <c r="AU2844" s="498">
        <f t="shared" si="987"/>
        <v>0</v>
      </c>
      <c r="AV2844" s="498">
        <f t="shared" si="988"/>
        <v>0</v>
      </c>
      <c r="AW2844" s="498">
        <f t="shared" si="989"/>
        <v>0</v>
      </c>
      <c r="AX2844" s="498">
        <f t="shared" si="990"/>
        <v>0</v>
      </c>
      <c r="AY2844" s="498">
        <f t="shared" si="991"/>
        <v>0</v>
      </c>
      <c r="BB2844" s="498" t="str">
        <f t="shared" si="992"/>
        <v/>
      </c>
      <c r="BC2844" s="743" t="str">
        <f t="shared" si="993"/>
        <v/>
      </c>
      <c r="BD2844" s="743" t="str">
        <f t="shared" si="994"/>
        <v/>
      </c>
      <c r="BE2844" s="743" t="str">
        <f>IF(D2844="","",VLOOKUP(D2844,'General Basis'!$J$39:$K$46,2,0))</f>
        <v/>
      </c>
      <c r="BF2844" s="744" t="str">
        <f>IF(D2844="","",VLOOKUP(D2844,'General Basis'!$J$39:$L$46,3,0))</f>
        <v/>
      </c>
      <c r="BG2844" s="744" t="str">
        <f t="shared" si="1001"/>
        <v/>
      </c>
      <c r="BH2844" s="744" t="str">
        <f>IF(G2844="","",IF(BF2844="Abu Dhabi",IF(G2844&lt;18,'General Basis'!$C$39,IF(G2844&lt;41,'General Basis'!$C$40,IF(G2844&lt;60,'General Basis'!$C$41,IF(G2844&lt;65,'General Basis'!$C$42,'General Basis'!$C$43)))),IF(G2844&lt;11,'General Basis'!$B$39,IF(G2844&lt;18,'General Basis'!$B$40,IF(G2844&lt;26,'General Basis'!$B$41,IF(G2844&lt;31,'General Basis'!$B$42,IF(G2844&lt;36,'General Basis'!$B$43,IF(G2844&lt;41,'General Basis'!$B$44,IF(G2844&lt;46,'General Basis'!$B$45,IF(G2844&lt;51,'General Basis'!$B$46,IF(G2844&lt;56,'General Basis'!$B$47,IF(G2844&lt;60,'General Basis'!$B$48,IF(G2844&lt;65,'General Basis'!$B$49,'General Basis'!$B$50)))))))))))))</f>
        <v/>
      </c>
      <c r="BI2844" s="744" t="str">
        <f t="shared" si="995"/>
        <v/>
      </c>
      <c r="BJ2844" s="747" t="str">
        <f t="shared" si="1002"/>
        <v/>
      </c>
      <c r="BK2844" s="498" t="str">
        <f t="shared" si="996"/>
        <v/>
      </c>
      <c r="BL2844" s="498" t="str">
        <f t="shared" si="997"/>
        <v/>
      </c>
    </row>
    <row r="2845" spans="1:64" x14ac:dyDescent="0.25">
      <c r="A2845" s="762">
        <f t="shared" si="998"/>
        <v>2840</v>
      </c>
      <c r="B2845" s="229"/>
      <c r="C2845" s="223"/>
      <c r="D2845" s="224"/>
      <c r="E2845" s="225"/>
      <c r="F2845" s="1036" t="str">
        <f t="shared" si="1004"/>
        <v/>
      </c>
      <c r="G2845" s="1037" t="str">
        <f t="shared" si="999"/>
        <v/>
      </c>
      <c r="H2845" s="225"/>
      <c r="I2845" s="1013"/>
      <c r="J2845" s="1013"/>
      <c r="K2845" s="1028"/>
      <c r="L2845" s="1035" t="str">
        <f t="shared" si="1003"/>
        <v/>
      </c>
      <c r="S2845" s="498"/>
      <c r="AJ2845" s="498"/>
      <c r="AM2845" s="498">
        <f t="shared" si="984"/>
        <v>0</v>
      </c>
      <c r="AN2845" s="498">
        <f t="shared" si="985"/>
        <v>0</v>
      </c>
      <c r="AO2845" s="498">
        <f t="shared" si="986"/>
        <v>0</v>
      </c>
      <c r="AP2845" s="498">
        <f t="shared" si="1005"/>
        <v>0</v>
      </c>
      <c r="AQ2845" s="498">
        <f t="shared" si="1000"/>
        <v>0</v>
      </c>
      <c r="AU2845" s="498">
        <f t="shared" si="987"/>
        <v>0</v>
      </c>
      <c r="AV2845" s="498">
        <f t="shared" si="988"/>
        <v>0</v>
      </c>
      <c r="AW2845" s="498">
        <f t="shared" si="989"/>
        <v>0</v>
      </c>
      <c r="AX2845" s="498">
        <f t="shared" si="990"/>
        <v>0</v>
      </c>
      <c r="AY2845" s="498">
        <f t="shared" si="991"/>
        <v>0</v>
      </c>
      <c r="BB2845" s="498" t="str">
        <f t="shared" si="992"/>
        <v/>
      </c>
      <c r="BC2845" s="743" t="str">
        <f t="shared" si="993"/>
        <v/>
      </c>
      <c r="BD2845" s="743" t="str">
        <f t="shared" si="994"/>
        <v/>
      </c>
      <c r="BE2845" s="743" t="str">
        <f>IF(D2845="","",VLOOKUP(D2845,'General Basis'!$J$39:$K$46,2,0))</f>
        <v/>
      </c>
      <c r="BF2845" s="744" t="str">
        <f>IF(D2845="","",VLOOKUP(D2845,'General Basis'!$J$39:$L$46,3,0))</f>
        <v/>
      </c>
      <c r="BG2845" s="744" t="str">
        <f t="shared" si="1001"/>
        <v/>
      </c>
      <c r="BH2845" s="744" t="str">
        <f>IF(G2845="","",IF(BF2845="Abu Dhabi",IF(G2845&lt;18,'General Basis'!$C$39,IF(G2845&lt;41,'General Basis'!$C$40,IF(G2845&lt;60,'General Basis'!$C$41,IF(G2845&lt;65,'General Basis'!$C$42,'General Basis'!$C$43)))),IF(G2845&lt;11,'General Basis'!$B$39,IF(G2845&lt;18,'General Basis'!$B$40,IF(G2845&lt;26,'General Basis'!$B$41,IF(G2845&lt;31,'General Basis'!$B$42,IF(G2845&lt;36,'General Basis'!$B$43,IF(G2845&lt;41,'General Basis'!$B$44,IF(G2845&lt;46,'General Basis'!$B$45,IF(G2845&lt;51,'General Basis'!$B$46,IF(G2845&lt;56,'General Basis'!$B$47,IF(G2845&lt;60,'General Basis'!$B$48,IF(G2845&lt;65,'General Basis'!$B$49,'General Basis'!$B$50)))))))))))))</f>
        <v/>
      </c>
      <c r="BI2845" s="744" t="str">
        <f t="shared" si="995"/>
        <v/>
      </c>
      <c r="BJ2845" s="747" t="str">
        <f t="shared" si="1002"/>
        <v/>
      </c>
      <c r="BK2845" s="498" t="str">
        <f t="shared" si="996"/>
        <v/>
      </c>
      <c r="BL2845" s="498" t="str">
        <f t="shared" si="997"/>
        <v/>
      </c>
    </row>
    <row r="2846" spans="1:64" x14ac:dyDescent="0.25">
      <c r="A2846" s="762">
        <f t="shared" si="998"/>
        <v>2841</v>
      </c>
      <c r="B2846" s="229"/>
      <c r="C2846" s="223"/>
      <c r="D2846" s="224"/>
      <c r="E2846" s="225"/>
      <c r="F2846" s="1036" t="str">
        <f t="shared" si="1004"/>
        <v/>
      </c>
      <c r="G2846" s="1037" t="str">
        <f t="shared" si="999"/>
        <v/>
      </c>
      <c r="H2846" s="225"/>
      <c r="I2846" s="1013"/>
      <c r="J2846" s="1013"/>
      <c r="K2846" s="1028"/>
      <c r="L2846" s="1035" t="str">
        <f t="shared" si="1003"/>
        <v/>
      </c>
      <c r="S2846" s="498"/>
      <c r="AJ2846" s="498"/>
      <c r="AM2846" s="498">
        <f t="shared" si="984"/>
        <v>0</v>
      </c>
      <c r="AN2846" s="498">
        <f t="shared" si="985"/>
        <v>0</v>
      </c>
      <c r="AO2846" s="498">
        <f t="shared" si="986"/>
        <v>0</v>
      </c>
      <c r="AP2846" s="498">
        <f t="shared" si="1005"/>
        <v>0</v>
      </c>
      <c r="AQ2846" s="498">
        <f t="shared" si="1000"/>
        <v>0</v>
      </c>
      <c r="AU2846" s="498">
        <f t="shared" si="987"/>
        <v>0</v>
      </c>
      <c r="AV2846" s="498">
        <f t="shared" si="988"/>
        <v>0</v>
      </c>
      <c r="AW2846" s="498">
        <f t="shared" si="989"/>
        <v>0</v>
      </c>
      <c r="AX2846" s="498">
        <f t="shared" si="990"/>
        <v>0</v>
      </c>
      <c r="AY2846" s="498">
        <f t="shared" si="991"/>
        <v>0</v>
      </c>
      <c r="BB2846" s="498" t="str">
        <f t="shared" si="992"/>
        <v/>
      </c>
      <c r="BC2846" s="743" t="str">
        <f t="shared" si="993"/>
        <v/>
      </c>
      <c r="BD2846" s="743" t="str">
        <f t="shared" si="994"/>
        <v/>
      </c>
      <c r="BE2846" s="743" t="str">
        <f>IF(D2846="","",VLOOKUP(D2846,'General Basis'!$J$39:$K$46,2,0))</f>
        <v/>
      </c>
      <c r="BF2846" s="744" t="str">
        <f>IF(D2846="","",VLOOKUP(D2846,'General Basis'!$J$39:$L$46,3,0))</f>
        <v/>
      </c>
      <c r="BG2846" s="744" t="str">
        <f t="shared" si="1001"/>
        <v/>
      </c>
      <c r="BH2846" s="744" t="str">
        <f>IF(G2846="","",IF(BF2846="Abu Dhabi",IF(G2846&lt;18,'General Basis'!$C$39,IF(G2846&lt;41,'General Basis'!$C$40,IF(G2846&lt;60,'General Basis'!$C$41,IF(G2846&lt;65,'General Basis'!$C$42,'General Basis'!$C$43)))),IF(G2846&lt;11,'General Basis'!$B$39,IF(G2846&lt;18,'General Basis'!$B$40,IF(G2846&lt;26,'General Basis'!$B$41,IF(G2846&lt;31,'General Basis'!$B$42,IF(G2846&lt;36,'General Basis'!$B$43,IF(G2846&lt;41,'General Basis'!$B$44,IF(G2846&lt;46,'General Basis'!$B$45,IF(G2846&lt;51,'General Basis'!$B$46,IF(G2846&lt;56,'General Basis'!$B$47,IF(G2846&lt;60,'General Basis'!$B$48,IF(G2846&lt;65,'General Basis'!$B$49,'General Basis'!$B$50)))))))))))))</f>
        <v/>
      </c>
      <c r="BI2846" s="744" t="str">
        <f t="shared" si="995"/>
        <v/>
      </c>
      <c r="BJ2846" s="747" t="str">
        <f t="shared" si="1002"/>
        <v/>
      </c>
      <c r="BK2846" s="498" t="str">
        <f t="shared" si="996"/>
        <v/>
      </c>
      <c r="BL2846" s="498" t="str">
        <f t="shared" si="997"/>
        <v/>
      </c>
    </row>
    <row r="2847" spans="1:64" x14ac:dyDescent="0.25">
      <c r="A2847" s="762">
        <f t="shared" si="998"/>
        <v>2842</v>
      </c>
      <c r="B2847" s="229"/>
      <c r="C2847" s="223"/>
      <c r="D2847" s="224"/>
      <c r="E2847" s="225"/>
      <c r="F2847" s="1036" t="str">
        <f t="shared" si="1004"/>
        <v/>
      </c>
      <c r="G2847" s="1037" t="str">
        <f t="shared" si="999"/>
        <v/>
      </c>
      <c r="H2847" s="225"/>
      <c r="I2847" s="1013"/>
      <c r="J2847" s="1013"/>
      <c r="K2847" s="1028"/>
      <c r="L2847" s="1035" t="str">
        <f t="shared" si="1003"/>
        <v/>
      </c>
      <c r="S2847" s="498"/>
      <c r="AJ2847" s="498"/>
      <c r="AM2847" s="498">
        <f t="shared" si="984"/>
        <v>0</v>
      </c>
      <c r="AN2847" s="498">
        <f t="shared" si="985"/>
        <v>0</v>
      </c>
      <c r="AO2847" s="498">
        <f t="shared" si="986"/>
        <v>0</v>
      </c>
      <c r="AP2847" s="498">
        <f t="shared" si="1005"/>
        <v>0</v>
      </c>
      <c r="AQ2847" s="498">
        <f t="shared" si="1000"/>
        <v>0</v>
      </c>
      <c r="AU2847" s="498">
        <f t="shared" si="987"/>
        <v>0</v>
      </c>
      <c r="AV2847" s="498">
        <f t="shared" si="988"/>
        <v>0</v>
      </c>
      <c r="AW2847" s="498">
        <f t="shared" si="989"/>
        <v>0</v>
      </c>
      <c r="AX2847" s="498">
        <f t="shared" si="990"/>
        <v>0</v>
      </c>
      <c r="AY2847" s="498">
        <f t="shared" si="991"/>
        <v>0</v>
      </c>
      <c r="BB2847" s="498" t="str">
        <f t="shared" si="992"/>
        <v/>
      </c>
      <c r="BC2847" s="743" t="str">
        <f t="shared" si="993"/>
        <v/>
      </c>
      <c r="BD2847" s="743" t="str">
        <f t="shared" si="994"/>
        <v/>
      </c>
      <c r="BE2847" s="743" t="str">
        <f>IF(D2847="","",VLOOKUP(D2847,'General Basis'!$J$39:$K$46,2,0))</f>
        <v/>
      </c>
      <c r="BF2847" s="744" t="str">
        <f>IF(D2847="","",VLOOKUP(D2847,'General Basis'!$J$39:$L$46,3,0))</f>
        <v/>
      </c>
      <c r="BG2847" s="744" t="str">
        <f t="shared" si="1001"/>
        <v/>
      </c>
      <c r="BH2847" s="744" t="str">
        <f>IF(G2847="","",IF(BF2847="Abu Dhabi",IF(G2847&lt;18,'General Basis'!$C$39,IF(G2847&lt;41,'General Basis'!$C$40,IF(G2847&lt;60,'General Basis'!$C$41,IF(G2847&lt;65,'General Basis'!$C$42,'General Basis'!$C$43)))),IF(G2847&lt;11,'General Basis'!$B$39,IF(G2847&lt;18,'General Basis'!$B$40,IF(G2847&lt;26,'General Basis'!$B$41,IF(G2847&lt;31,'General Basis'!$B$42,IF(G2847&lt;36,'General Basis'!$B$43,IF(G2847&lt;41,'General Basis'!$B$44,IF(G2847&lt;46,'General Basis'!$B$45,IF(G2847&lt;51,'General Basis'!$B$46,IF(G2847&lt;56,'General Basis'!$B$47,IF(G2847&lt;60,'General Basis'!$B$48,IF(G2847&lt;65,'General Basis'!$B$49,'General Basis'!$B$50)))))))))))))</f>
        <v/>
      </c>
      <c r="BI2847" s="744" t="str">
        <f t="shared" si="995"/>
        <v/>
      </c>
      <c r="BJ2847" s="747" t="str">
        <f t="shared" si="1002"/>
        <v/>
      </c>
      <c r="BK2847" s="498" t="str">
        <f t="shared" si="996"/>
        <v/>
      </c>
      <c r="BL2847" s="498" t="str">
        <f t="shared" si="997"/>
        <v/>
      </c>
    </row>
    <row r="2848" spans="1:64" x14ac:dyDescent="0.25">
      <c r="A2848" s="762">
        <f t="shared" si="998"/>
        <v>2843</v>
      </c>
      <c r="B2848" s="229"/>
      <c r="C2848" s="223"/>
      <c r="D2848" s="224"/>
      <c r="E2848" s="225"/>
      <c r="F2848" s="1036" t="str">
        <f t="shared" si="1004"/>
        <v/>
      </c>
      <c r="G2848" s="1037" t="str">
        <f t="shared" si="999"/>
        <v/>
      </c>
      <c r="H2848" s="225"/>
      <c r="I2848" s="1013"/>
      <c r="J2848" s="1013"/>
      <c r="K2848" s="1028"/>
      <c r="L2848" s="1035" t="str">
        <f t="shared" si="1003"/>
        <v/>
      </c>
      <c r="S2848" s="498"/>
      <c r="AJ2848" s="498"/>
      <c r="AM2848" s="498">
        <f t="shared" si="984"/>
        <v>0</v>
      </c>
      <c r="AN2848" s="498">
        <f t="shared" si="985"/>
        <v>0</v>
      </c>
      <c r="AO2848" s="498">
        <f t="shared" si="986"/>
        <v>0</v>
      </c>
      <c r="AP2848" s="498">
        <f t="shared" si="1005"/>
        <v>0</v>
      </c>
      <c r="AQ2848" s="498">
        <f t="shared" si="1000"/>
        <v>0</v>
      </c>
      <c r="AU2848" s="498">
        <f t="shared" si="987"/>
        <v>0</v>
      </c>
      <c r="AV2848" s="498">
        <f t="shared" si="988"/>
        <v>0</v>
      </c>
      <c r="AW2848" s="498">
        <f t="shared" si="989"/>
        <v>0</v>
      </c>
      <c r="AX2848" s="498">
        <f t="shared" si="990"/>
        <v>0</v>
      </c>
      <c r="AY2848" s="498">
        <f t="shared" si="991"/>
        <v>0</v>
      </c>
      <c r="BB2848" s="498" t="str">
        <f t="shared" si="992"/>
        <v/>
      </c>
      <c r="BC2848" s="743" t="str">
        <f t="shared" si="993"/>
        <v/>
      </c>
      <c r="BD2848" s="743" t="str">
        <f t="shared" si="994"/>
        <v/>
      </c>
      <c r="BE2848" s="743" t="str">
        <f>IF(D2848="","",VLOOKUP(D2848,'General Basis'!$J$39:$K$46,2,0))</f>
        <v/>
      </c>
      <c r="BF2848" s="744" t="str">
        <f>IF(D2848="","",VLOOKUP(D2848,'General Basis'!$J$39:$L$46,3,0))</f>
        <v/>
      </c>
      <c r="BG2848" s="744" t="str">
        <f t="shared" si="1001"/>
        <v/>
      </c>
      <c r="BH2848" s="744" t="str">
        <f>IF(G2848="","",IF(BF2848="Abu Dhabi",IF(G2848&lt;18,'General Basis'!$C$39,IF(G2848&lt;41,'General Basis'!$C$40,IF(G2848&lt;60,'General Basis'!$C$41,IF(G2848&lt;65,'General Basis'!$C$42,'General Basis'!$C$43)))),IF(G2848&lt;11,'General Basis'!$B$39,IF(G2848&lt;18,'General Basis'!$B$40,IF(G2848&lt;26,'General Basis'!$B$41,IF(G2848&lt;31,'General Basis'!$B$42,IF(G2848&lt;36,'General Basis'!$B$43,IF(G2848&lt;41,'General Basis'!$B$44,IF(G2848&lt;46,'General Basis'!$B$45,IF(G2848&lt;51,'General Basis'!$B$46,IF(G2848&lt;56,'General Basis'!$B$47,IF(G2848&lt;60,'General Basis'!$B$48,IF(G2848&lt;65,'General Basis'!$B$49,'General Basis'!$B$50)))))))))))))</f>
        <v/>
      </c>
      <c r="BI2848" s="744" t="str">
        <f t="shared" si="995"/>
        <v/>
      </c>
      <c r="BJ2848" s="747" t="str">
        <f t="shared" si="1002"/>
        <v/>
      </c>
      <c r="BK2848" s="498" t="str">
        <f t="shared" si="996"/>
        <v/>
      </c>
      <c r="BL2848" s="498" t="str">
        <f t="shared" si="997"/>
        <v/>
      </c>
    </row>
    <row r="2849" spans="1:64" x14ac:dyDescent="0.25">
      <c r="A2849" s="762">
        <f t="shared" si="998"/>
        <v>2844</v>
      </c>
      <c r="B2849" s="229"/>
      <c r="C2849" s="223"/>
      <c r="D2849" s="224"/>
      <c r="E2849" s="225"/>
      <c r="F2849" s="1036" t="str">
        <f t="shared" si="1004"/>
        <v/>
      </c>
      <c r="G2849" s="1037" t="str">
        <f t="shared" si="999"/>
        <v/>
      </c>
      <c r="H2849" s="225"/>
      <c r="I2849" s="1013"/>
      <c r="J2849" s="1013"/>
      <c r="K2849" s="1028"/>
      <c r="L2849" s="1035" t="str">
        <f t="shared" si="1003"/>
        <v/>
      </c>
      <c r="S2849" s="498"/>
      <c r="AJ2849" s="498"/>
      <c r="AM2849" s="498">
        <f t="shared" si="984"/>
        <v>0</v>
      </c>
      <c r="AN2849" s="498">
        <f t="shared" si="985"/>
        <v>0</v>
      </c>
      <c r="AO2849" s="498">
        <f t="shared" si="986"/>
        <v>0</v>
      </c>
      <c r="AP2849" s="498">
        <f t="shared" si="1005"/>
        <v>0</v>
      </c>
      <c r="AQ2849" s="498">
        <f t="shared" si="1000"/>
        <v>0</v>
      </c>
      <c r="AU2849" s="498">
        <f t="shared" si="987"/>
        <v>0</v>
      </c>
      <c r="AV2849" s="498">
        <f t="shared" si="988"/>
        <v>0</v>
      </c>
      <c r="AW2849" s="498">
        <f t="shared" si="989"/>
        <v>0</v>
      </c>
      <c r="AX2849" s="498">
        <f t="shared" si="990"/>
        <v>0</v>
      </c>
      <c r="AY2849" s="498">
        <f t="shared" si="991"/>
        <v>0</v>
      </c>
      <c r="BB2849" s="498" t="str">
        <f t="shared" si="992"/>
        <v/>
      </c>
      <c r="BC2849" s="743" t="str">
        <f t="shared" si="993"/>
        <v/>
      </c>
      <c r="BD2849" s="743" t="str">
        <f t="shared" si="994"/>
        <v/>
      </c>
      <c r="BE2849" s="743" t="str">
        <f>IF(D2849="","",VLOOKUP(D2849,'General Basis'!$J$39:$K$46,2,0))</f>
        <v/>
      </c>
      <c r="BF2849" s="744" t="str">
        <f>IF(D2849="","",VLOOKUP(D2849,'General Basis'!$J$39:$L$46,3,0))</f>
        <v/>
      </c>
      <c r="BG2849" s="744" t="str">
        <f t="shared" si="1001"/>
        <v/>
      </c>
      <c r="BH2849" s="744" t="str">
        <f>IF(G2849="","",IF(BF2849="Abu Dhabi",IF(G2849&lt;18,'General Basis'!$C$39,IF(G2849&lt;41,'General Basis'!$C$40,IF(G2849&lt;60,'General Basis'!$C$41,IF(G2849&lt;65,'General Basis'!$C$42,'General Basis'!$C$43)))),IF(G2849&lt;11,'General Basis'!$B$39,IF(G2849&lt;18,'General Basis'!$B$40,IF(G2849&lt;26,'General Basis'!$B$41,IF(G2849&lt;31,'General Basis'!$B$42,IF(G2849&lt;36,'General Basis'!$B$43,IF(G2849&lt;41,'General Basis'!$B$44,IF(G2849&lt;46,'General Basis'!$B$45,IF(G2849&lt;51,'General Basis'!$B$46,IF(G2849&lt;56,'General Basis'!$B$47,IF(G2849&lt;60,'General Basis'!$B$48,IF(G2849&lt;65,'General Basis'!$B$49,'General Basis'!$B$50)))))))))))))</f>
        <v/>
      </c>
      <c r="BI2849" s="744" t="str">
        <f t="shared" si="995"/>
        <v/>
      </c>
      <c r="BJ2849" s="747" t="str">
        <f t="shared" si="1002"/>
        <v/>
      </c>
      <c r="BK2849" s="498" t="str">
        <f t="shared" si="996"/>
        <v/>
      </c>
      <c r="BL2849" s="498" t="str">
        <f t="shared" si="997"/>
        <v/>
      </c>
    </row>
    <row r="2850" spans="1:64" x14ac:dyDescent="0.25">
      <c r="A2850" s="762">
        <f t="shared" si="998"/>
        <v>2845</v>
      </c>
      <c r="B2850" s="229"/>
      <c r="C2850" s="223"/>
      <c r="D2850" s="224"/>
      <c r="E2850" s="225"/>
      <c r="F2850" s="1036" t="str">
        <f t="shared" si="1004"/>
        <v/>
      </c>
      <c r="G2850" s="1037" t="str">
        <f t="shared" si="999"/>
        <v/>
      </c>
      <c r="H2850" s="225"/>
      <c r="I2850" s="1013"/>
      <c r="J2850" s="1013"/>
      <c r="K2850" s="1028"/>
      <c r="L2850" s="1035" t="str">
        <f t="shared" si="1003"/>
        <v/>
      </c>
      <c r="S2850" s="498"/>
      <c r="AJ2850" s="498"/>
      <c r="AM2850" s="498">
        <f t="shared" si="984"/>
        <v>0</v>
      </c>
      <c r="AN2850" s="498">
        <f t="shared" si="985"/>
        <v>0</v>
      </c>
      <c r="AO2850" s="498">
        <f t="shared" si="986"/>
        <v>0</v>
      </c>
      <c r="AP2850" s="498">
        <f t="shared" si="1005"/>
        <v>0</v>
      </c>
      <c r="AQ2850" s="498">
        <f t="shared" si="1000"/>
        <v>0</v>
      </c>
      <c r="AU2850" s="498">
        <f t="shared" si="987"/>
        <v>0</v>
      </c>
      <c r="AV2850" s="498">
        <f t="shared" si="988"/>
        <v>0</v>
      </c>
      <c r="AW2850" s="498">
        <f t="shared" si="989"/>
        <v>0</v>
      </c>
      <c r="AX2850" s="498">
        <f t="shared" si="990"/>
        <v>0</v>
      </c>
      <c r="AY2850" s="498">
        <f t="shared" si="991"/>
        <v>0</v>
      </c>
      <c r="BB2850" s="498" t="str">
        <f t="shared" si="992"/>
        <v/>
      </c>
      <c r="BC2850" s="743" t="str">
        <f t="shared" si="993"/>
        <v/>
      </c>
      <c r="BD2850" s="743" t="str">
        <f t="shared" si="994"/>
        <v/>
      </c>
      <c r="BE2850" s="743" t="str">
        <f>IF(D2850="","",VLOOKUP(D2850,'General Basis'!$J$39:$K$46,2,0))</f>
        <v/>
      </c>
      <c r="BF2850" s="744" t="str">
        <f>IF(D2850="","",VLOOKUP(D2850,'General Basis'!$J$39:$L$46,3,0))</f>
        <v/>
      </c>
      <c r="BG2850" s="744" t="str">
        <f t="shared" si="1001"/>
        <v/>
      </c>
      <c r="BH2850" s="744" t="str">
        <f>IF(G2850="","",IF(BF2850="Abu Dhabi",IF(G2850&lt;18,'General Basis'!$C$39,IF(G2850&lt;41,'General Basis'!$C$40,IF(G2850&lt;60,'General Basis'!$C$41,IF(G2850&lt;65,'General Basis'!$C$42,'General Basis'!$C$43)))),IF(G2850&lt;11,'General Basis'!$B$39,IF(G2850&lt;18,'General Basis'!$B$40,IF(G2850&lt;26,'General Basis'!$B$41,IF(G2850&lt;31,'General Basis'!$B$42,IF(G2850&lt;36,'General Basis'!$B$43,IF(G2850&lt;41,'General Basis'!$B$44,IF(G2850&lt;46,'General Basis'!$B$45,IF(G2850&lt;51,'General Basis'!$B$46,IF(G2850&lt;56,'General Basis'!$B$47,IF(G2850&lt;60,'General Basis'!$B$48,IF(G2850&lt;65,'General Basis'!$B$49,'General Basis'!$B$50)))))))))))))</f>
        <v/>
      </c>
      <c r="BI2850" s="744" t="str">
        <f t="shared" si="995"/>
        <v/>
      </c>
      <c r="BJ2850" s="747" t="str">
        <f t="shared" si="1002"/>
        <v/>
      </c>
      <c r="BK2850" s="498" t="str">
        <f t="shared" si="996"/>
        <v/>
      </c>
      <c r="BL2850" s="498" t="str">
        <f t="shared" si="997"/>
        <v/>
      </c>
    </row>
    <row r="2851" spans="1:64" x14ac:dyDescent="0.25">
      <c r="A2851" s="762">
        <f t="shared" si="998"/>
        <v>2846</v>
      </c>
      <c r="B2851" s="229"/>
      <c r="C2851" s="223"/>
      <c r="D2851" s="224"/>
      <c r="E2851" s="225"/>
      <c r="F2851" s="1036" t="str">
        <f t="shared" si="1004"/>
        <v/>
      </c>
      <c r="G2851" s="1037" t="str">
        <f t="shared" si="999"/>
        <v/>
      </c>
      <c r="H2851" s="225"/>
      <c r="I2851" s="1013"/>
      <c r="J2851" s="1013"/>
      <c r="K2851" s="1028"/>
      <c r="L2851" s="1035" t="str">
        <f t="shared" si="1003"/>
        <v/>
      </c>
      <c r="S2851" s="498"/>
      <c r="AJ2851" s="498"/>
      <c r="AM2851" s="498">
        <f t="shared" si="984"/>
        <v>0</v>
      </c>
      <c r="AN2851" s="498">
        <f t="shared" si="985"/>
        <v>0</v>
      </c>
      <c r="AO2851" s="498">
        <f t="shared" si="986"/>
        <v>0</v>
      </c>
      <c r="AP2851" s="498">
        <f t="shared" si="1005"/>
        <v>0</v>
      </c>
      <c r="AQ2851" s="498">
        <f t="shared" si="1000"/>
        <v>0</v>
      </c>
      <c r="AU2851" s="498">
        <f t="shared" si="987"/>
        <v>0</v>
      </c>
      <c r="AV2851" s="498">
        <f t="shared" si="988"/>
        <v>0</v>
      </c>
      <c r="AW2851" s="498">
        <f t="shared" si="989"/>
        <v>0</v>
      </c>
      <c r="AX2851" s="498">
        <f t="shared" si="990"/>
        <v>0</v>
      </c>
      <c r="AY2851" s="498">
        <f t="shared" si="991"/>
        <v>0</v>
      </c>
      <c r="BB2851" s="498" t="str">
        <f t="shared" si="992"/>
        <v/>
      </c>
      <c r="BC2851" s="743" t="str">
        <f t="shared" si="993"/>
        <v/>
      </c>
      <c r="BD2851" s="743" t="str">
        <f t="shared" si="994"/>
        <v/>
      </c>
      <c r="BE2851" s="743" t="str">
        <f>IF(D2851="","",VLOOKUP(D2851,'General Basis'!$J$39:$K$46,2,0))</f>
        <v/>
      </c>
      <c r="BF2851" s="744" t="str">
        <f>IF(D2851="","",VLOOKUP(D2851,'General Basis'!$J$39:$L$46,3,0))</f>
        <v/>
      </c>
      <c r="BG2851" s="744" t="str">
        <f t="shared" si="1001"/>
        <v/>
      </c>
      <c r="BH2851" s="744" t="str">
        <f>IF(G2851="","",IF(BF2851="Abu Dhabi",IF(G2851&lt;18,'General Basis'!$C$39,IF(G2851&lt;41,'General Basis'!$C$40,IF(G2851&lt;60,'General Basis'!$C$41,IF(G2851&lt;65,'General Basis'!$C$42,'General Basis'!$C$43)))),IF(G2851&lt;11,'General Basis'!$B$39,IF(G2851&lt;18,'General Basis'!$B$40,IF(G2851&lt;26,'General Basis'!$B$41,IF(G2851&lt;31,'General Basis'!$B$42,IF(G2851&lt;36,'General Basis'!$B$43,IF(G2851&lt;41,'General Basis'!$B$44,IF(G2851&lt;46,'General Basis'!$B$45,IF(G2851&lt;51,'General Basis'!$B$46,IF(G2851&lt;56,'General Basis'!$B$47,IF(G2851&lt;60,'General Basis'!$B$48,IF(G2851&lt;65,'General Basis'!$B$49,'General Basis'!$B$50)))))))))))))</f>
        <v/>
      </c>
      <c r="BI2851" s="744" t="str">
        <f t="shared" si="995"/>
        <v/>
      </c>
      <c r="BJ2851" s="747" t="str">
        <f t="shared" si="1002"/>
        <v/>
      </c>
      <c r="BK2851" s="498" t="str">
        <f t="shared" si="996"/>
        <v/>
      </c>
      <c r="BL2851" s="498" t="str">
        <f t="shared" si="997"/>
        <v/>
      </c>
    </row>
    <row r="2852" spans="1:64" x14ac:dyDescent="0.25">
      <c r="A2852" s="762">
        <f t="shared" si="998"/>
        <v>2847</v>
      </c>
      <c r="B2852" s="229"/>
      <c r="C2852" s="223"/>
      <c r="D2852" s="224"/>
      <c r="E2852" s="225"/>
      <c r="F2852" s="1036" t="str">
        <f t="shared" si="1004"/>
        <v/>
      </c>
      <c r="G2852" s="1037" t="str">
        <f t="shared" si="999"/>
        <v/>
      </c>
      <c r="H2852" s="225"/>
      <c r="I2852" s="1013"/>
      <c r="J2852" s="1013"/>
      <c r="K2852" s="1028"/>
      <c r="L2852" s="1035" t="str">
        <f t="shared" si="1003"/>
        <v/>
      </c>
      <c r="S2852" s="498"/>
      <c r="AJ2852" s="498"/>
      <c r="AM2852" s="498">
        <f t="shared" si="984"/>
        <v>0</v>
      </c>
      <c r="AN2852" s="498">
        <f t="shared" si="985"/>
        <v>0</v>
      </c>
      <c r="AO2852" s="498">
        <f t="shared" si="986"/>
        <v>0</v>
      </c>
      <c r="AP2852" s="498">
        <f t="shared" si="1005"/>
        <v>0</v>
      </c>
      <c r="AQ2852" s="498">
        <f t="shared" si="1000"/>
        <v>0</v>
      </c>
      <c r="AU2852" s="498">
        <f t="shared" si="987"/>
        <v>0</v>
      </c>
      <c r="AV2852" s="498">
        <f t="shared" si="988"/>
        <v>0</v>
      </c>
      <c r="AW2852" s="498">
        <f t="shared" si="989"/>
        <v>0</v>
      </c>
      <c r="AX2852" s="498">
        <f t="shared" si="990"/>
        <v>0</v>
      </c>
      <c r="AY2852" s="498">
        <f t="shared" si="991"/>
        <v>0</v>
      </c>
      <c r="BB2852" s="498" t="str">
        <f t="shared" si="992"/>
        <v/>
      </c>
      <c r="BC2852" s="743" t="str">
        <f t="shared" si="993"/>
        <v/>
      </c>
      <c r="BD2852" s="743" t="str">
        <f t="shared" si="994"/>
        <v/>
      </c>
      <c r="BE2852" s="743" t="str">
        <f>IF(D2852="","",VLOOKUP(D2852,'General Basis'!$J$39:$K$46,2,0))</f>
        <v/>
      </c>
      <c r="BF2852" s="744" t="str">
        <f>IF(D2852="","",VLOOKUP(D2852,'General Basis'!$J$39:$L$46,3,0))</f>
        <v/>
      </c>
      <c r="BG2852" s="744" t="str">
        <f t="shared" si="1001"/>
        <v/>
      </c>
      <c r="BH2852" s="744" t="str">
        <f>IF(G2852="","",IF(BF2852="Abu Dhabi",IF(G2852&lt;18,'General Basis'!$C$39,IF(G2852&lt;41,'General Basis'!$C$40,IF(G2852&lt;60,'General Basis'!$C$41,IF(G2852&lt;65,'General Basis'!$C$42,'General Basis'!$C$43)))),IF(G2852&lt;11,'General Basis'!$B$39,IF(G2852&lt;18,'General Basis'!$B$40,IF(G2852&lt;26,'General Basis'!$B$41,IF(G2852&lt;31,'General Basis'!$B$42,IF(G2852&lt;36,'General Basis'!$B$43,IF(G2852&lt;41,'General Basis'!$B$44,IF(G2852&lt;46,'General Basis'!$B$45,IF(G2852&lt;51,'General Basis'!$B$46,IF(G2852&lt;56,'General Basis'!$B$47,IF(G2852&lt;60,'General Basis'!$B$48,IF(G2852&lt;65,'General Basis'!$B$49,'General Basis'!$B$50)))))))))))))</f>
        <v/>
      </c>
      <c r="BI2852" s="744" t="str">
        <f t="shared" si="995"/>
        <v/>
      </c>
      <c r="BJ2852" s="747" t="str">
        <f t="shared" si="1002"/>
        <v/>
      </c>
      <c r="BK2852" s="498" t="str">
        <f t="shared" si="996"/>
        <v/>
      </c>
      <c r="BL2852" s="498" t="str">
        <f t="shared" si="997"/>
        <v/>
      </c>
    </row>
    <row r="2853" spans="1:64" x14ac:dyDescent="0.25">
      <c r="A2853" s="762">
        <f t="shared" si="998"/>
        <v>2848</v>
      </c>
      <c r="B2853" s="229"/>
      <c r="C2853" s="223"/>
      <c r="D2853" s="224"/>
      <c r="E2853" s="225"/>
      <c r="F2853" s="1036" t="str">
        <f t="shared" si="1004"/>
        <v/>
      </c>
      <c r="G2853" s="1037" t="str">
        <f t="shared" si="999"/>
        <v/>
      </c>
      <c r="H2853" s="225"/>
      <c r="I2853" s="1013"/>
      <c r="J2853" s="1013"/>
      <c r="K2853" s="1028"/>
      <c r="L2853" s="1035" t="str">
        <f t="shared" si="1003"/>
        <v/>
      </c>
      <c r="S2853" s="498"/>
      <c r="AJ2853" s="498"/>
      <c r="AM2853" s="498">
        <f t="shared" si="984"/>
        <v>0</v>
      </c>
      <c r="AN2853" s="498">
        <f t="shared" si="985"/>
        <v>0</v>
      </c>
      <c r="AO2853" s="498">
        <f t="shared" si="986"/>
        <v>0</v>
      </c>
      <c r="AP2853" s="498">
        <f t="shared" si="1005"/>
        <v>0</v>
      </c>
      <c r="AQ2853" s="498">
        <f t="shared" si="1000"/>
        <v>0</v>
      </c>
      <c r="AU2853" s="498">
        <f t="shared" si="987"/>
        <v>0</v>
      </c>
      <c r="AV2853" s="498">
        <f t="shared" si="988"/>
        <v>0</v>
      </c>
      <c r="AW2853" s="498">
        <f t="shared" si="989"/>
        <v>0</v>
      </c>
      <c r="AX2853" s="498">
        <f t="shared" si="990"/>
        <v>0</v>
      </c>
      <c r="AY2853" s="498">
        <f t="shared" si="991"/>
        <v>0</v>
      </c>
      <c r="BB2853" s="498" t="str">
        <f t="shared" si="992"/>
        <v/>
      </c>
      <c r="BC2853" s="743" t="str">
        <f t="shared" si="993"/>
        <v/>
      </c>
      <c r="BD2853" s="743" t="str">
        <f t="shared" si="994"/>
        <v/>
      </c>
      <c r="BE2853" s="743" t="str">
        <f>IF(D2853="","",VLOOKUP(D2853,'General Basis'!$J$39:$K$46,2,0))</f>
        <v/>
      </c>
      <c r="BF2853" s="744" t="str">
        <f>IF(D2853="","",VLOOKUP(D2853,'General Basis'!$J$39:$L$46,3,0))</f>
        <v/>
      </c>
      <c r="BG2853" s="744" t="str">
        <f t="shared" si="1001"/>
        <v/>
      </c>
      <c r="BH2853" s="744" t="str">
        <f>IF(G2853="","",IF(BF2853="Abu Dhabi",IF(G2853&lt;18,'General Basis'!$C$39,IF(G2853&lt;41,'General Basis'!$C$40,IF(G2853&lt;60,'General Basis'!$C$41,IF(G2853&lt;65,'General Basis'!$C$42,'General Basis'!$C$43)))),IF(G2853&lt;11,'General Basis'!$B$39,IF(G2853&lt;18,'General Basis'!$B$40,IF(G2853&lt;26,'General Basis'!$B$41,IF(G2853&lt;31,'General Basis'!$B$42,IF(G2853&lt;36,'General Basis'!$B$43,IF(G2853&lt;41,'General Basis'!$B$44,IF(G2853&lt;46,'General Basis'!$B$45,IF(G2853&lt;51,'General Basis'!$B$46,IF(G2853&lt;56,'General Basis'!$B$47,IF(G2853&lt;60,'General Basis'!$B$48,IF(G2853&lt;65,'General Basis'!$B$49,'General Basis'!$B$50)))))))))))))</f>
        <v/>
      </c>
      <c r="BI2853" s="744" t="str">
        <f t="shared" si="995"/>
        <v/>
      </c>
      <c r="BJ2853" s="747" t="str">
        <f t="shared" si="1002"/>
        <v/>
      </c>
      <c r="BK2853" s="498" t="str">
        <f t="shared" si="996"/>
        <v/>
      </c>
      <c r="BL2853" s="498" t="str">
        <f t="shared" si="997"/>
        <v/>
      </c>
    </row>
    <row r="2854" spans="1:64" x14ac:dyDescent="0.25">
      <c r="A2854" s="762">
        <f t="shared" si="998"/>
        <v>2849</v>
      </c>
      <c r="B2854" s="229"/>
      <c r="C2854" s="223"/>
      <c r="D2854" s="224"/>
      <c r="E2854" s="225"/>
      <c r="F2854" s="1036" t="str">
        <f t="shared" si="1004"/>
        <v/>
      </c>
      <c r="G2854" s="1037" t="str">
        <f t="shared" si="999"/>
        <v/>
      </c>
      <c r="H2854" s="225"/>
      <c r="I2854" s="1013"/>
      <c r="J2854" s="1013"/>
      <c r="K2854" s="1028"/>
      <c r="L2854" s="1035" t="str">
        <f t="shared" si="1003"/>
        <v/>
      </c>
      <c r="S2854" s="498"/>
      <c r="AJ2854" s="498"/>
      <c r="AM2854" s="498">
        <f t="shared" si="984"/>
        <v>0</v>
      </c>
      <c r="AN2854" s="498">
        <f t="shared" si="985"/>
        <v>0</v>
      </c>
      <c r="AO2854" s="498">
        <f t="shared" si="986"/>
        <v>0</v>
      </c>
      <c r="AP2854" s="498">
        <f t="shared" si="1005"/>
        <v>0</v>
      </c>
      <c r="AQ2854" s="498">
        <f t="shared" si="1000"/>
        <v>0</v>
      </c>
      <c r="AU2854" s="498">
        <f t="shared" si="987"/>
        <v>0</v>
      </c>
      <c r="AV2854" s="498">
        <f t="shared" si="988"/>
        <v>0</v>
      </c>
      <c r="AW2854" s="498">
        <f t="shared" si="989"/>
        <v>0</v>
      </c>
      <c r="AX2854" s="498">
        <f t="shared" si="990"/>
        <v>0</v>
      </c>
      <c r="AY2854" s="498">
        <f t="shared" si="991"/>
        <v>0</v>
      </c>
      <c r="BB2854" s="498" t="str">
        <f t="shared" si="992"/>
        <v/>
      </c>
      <c r="BC2854" s="743" t="str">
        <f t="shared" si="993"/>
        <v/>
      </c>
      <c r="BD2854" s="743" t="str">
        <f t="shared" si="994"/>
        <v/>
      </c>
      <c r="BE2854" s="743" t="str">
        <f>IF(D2854="","",VLOOKUP(D2854,'General Basis'!$J$39:$K$46,2,0))</f>
        <v/>
      </c>
      <c r="BF2854" s="744" t="str">
        <f>IF(D2854="","",VLOOKUP(D2854,'General Basis'!$J$39:$L$46,3,0))</f>
        <v/>
      </c>
      <c r="BG2854" s="744" t="str">
        <f t="shared" si="1001"/>
        <v/>
      </c>
      <c r="BH2854" s="744" t="str">
        <f>IF(G2854="","",IF(BF2854="Abu Dhabi",IF(G2854&lt;18,'General Basis'!$C$39,IF(G2854&lt;41,'General Basis'!$C$40,IF(G2854&lt;60,'General Basis'!$C$41,IF(G2854&lt;65,'General Basis'!$C$42,'General Basis'!$C$43)))),IF(G2854&lt;11,'General Basis'!$B$39,IF(G2854&lt;18,'General Basis'!$B$40,IF(G2854&lt;26,'General Basis'!$B$41,IF(G2854&lt;31,'General Basis'!$B$42,IF(G2854&lt;36,'General Basis'!$B$43,IF(G2854&lt;41,'General Basis'!$B$44,IF(G2854&lt;46,'General Basis'!$B$45,IF(G2854&lt;51,'General Basis'!$B$46,IF(G2854&lt;56,'General Basis'!$B$47,IF(G2854&lt;60,'General Basis'!$B$48,IF(G2854&lt;65,'General Basis'!$B$49,'General Basis'!$B$50)))))))))))))</f>
        <v/>
      </c>
      <c r="BI2854" s="744" t="str">
        <f t="shared" si="995"/>
        <v/>
      </c>
      <c r="BJ2854" s="747" t="str">
        <f t="shared" si="1002"/>
        <v/>
      </c>
      <c r="BK2854" s="498" t="str">
        <f t="shared" si="996"/>
        <v/>
      </c>
      <c r="BL2854" s="498" t="str">
        <f t="shared" si="997"/>
        <v/>
      </c>
    </row>
    <row r="2855" spans="1:64" x14ac:dyDescent="0.25">
      <c r="A2855" s="762">
        <f t="shared" si="998"/>
        <v>2850</v>
      </c>
      <c r="B2855" s="229"/>
      <c r="C2855" s="223"/>
      <c r="D2855" s="224"/>
      <c r="E2855" s="225"/>
      <c r="F2855" s="1036" t="str">
        <f t="shared" si="1004"/>
        <v/>
      </c>
      <c r="G2855" s="1037" t="str">
        <f t="shared" si="999"/>
        <v/>
      </c>
      <c r="H2855" s="225"/>
      <c r="I2855" s="1013"/>
      <c r="J2855" s="1013"/>
      <c r="K2855" s="1028"/>
      <c r="L2855" s="1035" t="str">
        <f t="shared" si="1003"/>
        <v/>
      </c>
      <c r="S2855" s="498"/>
      <c r="AJ2855" s="498"/>
      <c r="AM2855" s="498">
        <f t="shared" si="984"/>
        <v>0</v>
      </c>
      <c r="AN2855" s="498">
        <f t="shared" si="985"/>
        <v>0</v>
      </c>
      <c r="AO2855" s="498">
        <f t="shared" si="986"/>
        <v>0</v>
      </c>
      <c r="AP2855" s="498">
        <f t="shared" si="1005"/>
        <v>0</v>
      </c>
      <c r="AQ2855" s="498">
        <f t="shared" si="1000"/>
        <v>0</v>
      </c>
      <c r="AU2855" s="498">
        <f t="shared" si="987"/>
        <v>0</v>
      </c>
      <c r="AV2855" s="498">
        <f t="shared" si="988"/>
        <v>0</v>
      </c>
      <c r="AW2855" s="498">
        <f t="shared" si="989"/>
        <v>0</v>
      </c>
      <c r="AX2855" s="498">
        <f t="shared" si="990"/>
        <v>0</v>
      </c>
      <c r="AY2855" s="498">
        <f t="shared" si="991"/>
        <v>0</v>
      </c>
      <c r="BB2855" s="498" t="str">
        <f t="shared" si="992"/>
        <v/>
      </c>
      <c r="BC2855" s="743" t="str">
        <f t="shared" si="993"/>
        <v/>
      </c>
      <c r="BD2855" s="743" t="str">
        <f t="shared" si="994"/>
        <v/>
      </c>
      <c r="BE2855" s="743" t="str">
        <f>IF(D2855="","",VLOOKUP(D2855,'General Basis'!$J$39:$K$46,2,0))</f>
        <v/>
      </c>
      <c r="BF2855" s="744" t="str">
        <f>IF(D2855="","",VLOOKUP(D2855,'General Basis'!$J$39:$L$46,3,0))</f>
        <v/>
      </c>
      <c r="BG2855" s="744" t="str">
        <f t="shared" si="1001"/>
        <v/>
      </c>
      <c r="BH2855" s="744" t="str">
        <f>IF(G2855="","",IF(BF2855="Abu Dhabi",IF(G2855&lt;18,'General Basis'!$C$39,IF(G2855&lt;41,'General Basis'!$C$40,IF(G2855&lt;60,'General Basis'!$C$41,IF(G2855&lt;65,'General Basis'!$C$42,'General Basis'!$C$43)))),IF(G2855&lt;11,'General Basis'!$B$39,IF(G2855&lt;18,'General Basis'!$B$40,IF(G2855&lt;26,'General Basis'!$B$41,IF(G2855&lt;31,'General Basis'!$B$42,IF(G2855&lt;36,'General Basis'!$B$43,IF(G2855&lt;41,'General Basis'!$B$44,IF(G2855&lt;46,'General Basis'!$B$45,IF(G2855&lt;51,'General Basis'!$B$46,IF(G2855&lt;56,'General Basis'!$B$47,IF(G2855&lt;60,'General Basis'!$B$48,IF(G2855&lt;65,'General Basis'!$B$49,'General Basis'!$B$50)))))))))))))</f>
        <v/>
      </c>
      <c r="BI2855" s="744" t="str">
        <f t="shared" si="995"/>
        <v/>
      </c>
      <c r="BJ2855" s="747" t="str">
        <f t="shared" si="1002"/>
        <v/>
      </c>
      <c r="BK2855" s="498" t="str">
        <f t="shared" si="996"/>
        <v/>
      </c>
      <c r="BL2855" s="498" t="str">
        <f t="shared" si="997"/>
        <v/>
      </c>
    </row>
    <row r="2856" spans="1:64" x14ac:dyDescent="0.25">
      <c r="A2856" s="762">
        <f t="shared" si="998"/>
        <v>2851</v>
      </c>
      <c r="B2856" s="229"/>
      <c r="C2856" s="223"/>
      <c r="D2856" s="224"/>
      <c r="E2856" s="225"/>
      <c r="F2856" s="1036" t="str">
        <f t="shared" si="1004"/>
        <v/>
      </c>
      <c r="G2856" s="1037" t="str">
        <f t="shared" si="999"/>
        <v/>
      </c>
      <c r="H2856" s="225"/>
      <c r="I2856" s="1013"/>
      <c r="J2856" s="1013"/>
      <c r="K2856" s="1028"/>
      <c r="L2856" s="1035" t="str">
        <f t="shared" si="1003"/>
        <v/>
      </c>
      <c r="S2856" s="498"/>
      <c r="AJ2856" s="498"/>
      <c r="AM2856" s="498">
        <f t="shared" si="984"/>
        <v>0</v>
      </c>
      <c r="AN2856" s="498">
        <f t="shared" si="985"/>
        <v>0</v>
      </c>
      <c r="AO2856" s="498">
        <f t="shared" si="986"/>
        <v>0</v>
      </c>
      <c r="AP2856" s="498">
        <f t="shared" si="1005"/>
        <v>0</v>
      </c>
      <c r="AQ2856" s="498">
        <f t="shared" si="1000"/>
        <v>0</v>
      </c>
      <c r="AU2856" s="498">
        <f t="shared" si="987"/>
        <v>0</v>
      </c>
      <c r="AV2856" s="498">
        <f t="shared" si="988"/>
        <v>0</v>
      </c>
      <c r="AW2856" s="498">
        <f t="shared" si="989"/>
        <v>0</v>
      </c>
      <c r="AX2856" s="498">
        <f t="shared" si="990"/>
        <v>0</v>
      </c>
      <c r="AY2856" s="498">
        <f t="shared" si="991"/>
        <v>0</v>
      </c>
      <c r="BB2856" s="498" t="str">
        <f t="shared" si="992"/>
        <v/>
      </c>
      <c r="BC2856" s="743" t="str">
        <f t="shared" si="993"/>
        <v/>
      </c>
      <c r="BD2856" s="743" t="str">
        <f t="shared" si="994"/>
        <v/>
      </c>
      <c r="BE2856" s="743" t="str">
        <f>IF(D2856="","",VLOOKUP(D2856,'General Basis'!$J$39:$K$46,2,0))</f>
        <v/>
      </c>
      <c r="BF2856" s="744" t="str">
        <f>IF(D2856="","",VLOOKUP(D2856,'General Basis'!$J$39:$L$46,3,0))</f>
        <v/>
      </c>
      <c r="BG2856" s="744" t="str">
        <f t="shared" si="1001"/>
        <v/>
      </c>
      <c r="BH2856" s="744" t="str">
        <f>IF(G2856="","",IF(BF2856="Abu Dhabi",IF(G2856&lt;18,'General Basis'!$C$39,IF(G2856&lt;41,'General Basis'!$C$40,IF(G2856&lt;60,'General Basis'!$C$41,IF(G2856&lt;65,'General Basis'!$C$42,'General Basis'!$C$43)))),IF(G2856&lt;11,'General Basis'!$B$39,IF(G2856&lt;18,'General Basis'!$B$40,IF(G2856&lt;26,'General Basis'!$B$41,IF(G2856&lt;31,'General Basis'!$B$42,IF(G2856&lt;36,'General Basis'!$B$43,IF(G2856&lt;41,'General Basis'!$B$44,IF(G2856&lt;46,'General Basis'!$B$45,IF(G2856&lt;51,'General Basis'!$B$46,IF(G2856&lt;56,'General Basis'!$B$47,IF(G2856&lt;60,'General Basis'!$B$48,IF(G2856&lt;65,'General Basis'!$B$49,'General Basis'!$B$50)))))))))))))</f>
        <v/>
      </c>
      <c r="BI2856" s="744" t="str">
        <f t="shared" si="995"/>
        <v/>
      </c>
      <c r="BJ2856" s="747" t="str">
        <f t="shared" si="1002"/>
        <v/>
      </c>
      <c r="BK2856" s="498" t="str">
        <f t="shared" si="996"/>
        <v/>
      </c>
      <c r="BL2856" s="498" t="str">
        <f t="shared" si="997"/>
        <v/>
      </c>
    </row>
    <row r="2857" spans="1:64" x14ac:dyDescent="0.25">
      <c r="A2857" s="762">
        <f t="shared" si="998"/>
        <v>2852</v>
      </c>
      <c r="B2857" s="229"/>
      <c r="C2857" s="223"/>
      <c r="D2857" s="224"/>
      <c r="E2857" s="225"/>
      <c r="F2857" s="1036" t="str">
        <f t="shared" si="1004"/>
        <v/>
      </c>
      <c r="G2857" s="1037" t="str">
        <f t="shared" si="999"/>
        <v/>
      </c>
      <c r="H2857" s="225"/>
      <c r="I2857" s="1013"/>
      <c r="J2857" s="1013"/>
      <c r="K2857" s="1028"/>
      <c r="L2857" s="1035" t="str">
        <f t="shared" si="1003"/>
        <v/>
      </c>
      <c r="S2857" s="498"/>
      <c r="AJ2857" s="498"/>
      <c r="AM2857" s="498">
        <f t="shared" si="984"/>
        <v>0</v>
      </c>
      <c r="AN2857" s="498">
        <f t="shared" si="985"/>
        <v>0</v>
      </c>
      <c r="AO2857" s="498">
        <f t="shared" si="986"/>
        <v>0</v>
      </c>
      <c r="AP2857" s="498">
        <f t="shared" si="1005"/>
        <v>0</v>
      </c>
      <c r="AQ2857" s="498">
        <f t="shared" si="1000"/>
        <v>0</v>
      </c>
      <c r="AU2857" s="498">
        <f t="shared" si="987"/>
        <v>0</v>
      </c>
      <c r="AV2857" s="498">
        <f t="shared" si="988"/>
        <v>0</v>
      </c>
      <c r="AW2857" s="498">
        <f t="shared" si="989"/>
        <v>0</v>
      </c>
      <c r="AX2857" s="498">
        <f t="shared" si="990"/>
        <v>0</v>
      </c>
      <c r="AY2857" s="498">
        <f t="shared" si="991"/>
        <v>0</v>
      </c>
      <c r="BB2857" s="498" t="str">
        <f t="shared" si="992"/>
        <v/>
      </c>
      <c r="BC2857" s="743" t="str">
        <f t="shared" si="993"/>
        <v/>
      </c>
      <c r="BD2857" s="743" t="str">
        <f t="shared" si="994"/>
        <v/>
      </c>
      <c r="BE2857" s="743" t="str">
        <f>IF(D2857="","",VLOOKUP(D2857,'General Basis'!$J$39:$K$46,2,0))</f>
        <v/>
      </c>
      <c r="BF2857" s="744" t="str">
        <f>IF(D2857="","",VLOOKUP(D2857,'General Basis'!$J$39:$L$46,3,0))</f>
        <v/>
      </c>
      <c r="BG2857" s="744" t="str">
        <f t="shared" si="1001"/>
        <v/>
      </c>
      <c r="BH2857" s="744" t="str">
        <f>IF(G2857="","",IF(BF2857="Abu Dhabi",IF(G2857&lt;18,'General Basis'!$C$39,IF(G2857&lt;41,'General Basis'!$C$40,IF(G2857&lt;60,'General Basis'!$C$41,IF(G2857&lt;65,'General Basis'!$C$42,'General Basis'!$C$43)))),IF(G2857&lt;11,'General Basis'!$B$39,IF(G2857&lt;18,'General Basis'!$B$40,IF(G2857&lt;26,'General Basis'!$B$41,IF(G2857&lt;31,'General Basis'!$B$42,IF(G2857&lt;36,'General Basis'!$B$43,IF(G2857&lt;41,'General Basis'!$B$44,IF(G2857&lt;46,'General Basis'!$B$45,IF(G2857&lt;51,'General Basis'!$B$46,IF(G2857&lt;56,'General Basis'!$B$47,IF(G2857&lt;60,'General Basis'!$B$48,IF(G2857&lt;65,'General Basis'!$B$49,'General Basis'!$B$50)))))))))))))</f>
        <v/>
      </c>
      <c r="BI2857" s="744" t="str">
        <f t="shared" si="995"/>
        <v/>
      </c>
      <c r="BJ2857" s="747" t="str">
        <f t="shared" si="1002"/>
        <v/>
      </c>
      <c r="BK2857" s="498" t="str">
        <f t="shared" si="996"/>
        <v/>
      </c>
      <c r="BL2857" s="498" t="str">
        <f t="shared" si="997"/>
        <v/>
      </c>
    </row>
    <row r="2858" spans="1:64" x14ac:dyDescent="0.25">
      <c r="A2858" s="762">
        <f t="shared" si="998"/>
        <v>2853</v>
      </c>
      <c r="B2858" s="229"/>
      <c r="C2858" s="223"/>
      <c r="D2858" s="224"/>
      <c r="E2858" s="225"/>
      <c r="F2858" s="1036" t="str">
        <f t="shared" si="1004"/>
        <v/>
      </c>
      <c r="G2858" s="1037" t="str">
        <f t="shared" si="999"/>
        <v/>
      </c>
      <c r="H2858" s="225"/>
      <c r="I2858" s="1013"/>
      <c r="J2858" s="1013"/>
      <c r="K2858" s="1028"/>
      <c r="L2858" s="1035" t="str">
        <f t="shared" si="1003"/>
        <v/>
      </c>
      <c r="S2858" s="498"/>
      <c r="AJ2858" s="498"/>
      <c r="AM2858" s="498">
        <f t="shared" si="984"/>
        <v>0</v>
      </c>
      <c r="AN2858" s="498">
        <f t="shared" si="985"/>
        <v>0</v>
      </c>
      <c r="AO2858" s="498">
        <f t="shared" si="986"/>
        <v>0</v>
      </c>
      <c r="AP2858" s="498">
        <f t="shared" si="1005"/>
        <v>0</v>
      </c>
      <c r="AQ2858" s="498">
        <f t="shared" si="1000"/>
        <v>0</v>
      </c>
      <c r="AU2858" s="498">
        <f t="shared" si="987"/>
        <v>0</v>
      </c>
      <c r="AV2858" s="498">
        <f t="shared" si="988"/>
        <v>0</v>
      </c>
      <c r="AW2858" s="498">
        <f t="shared" si="989"/>
        <v>0</v>
      </c>
      <c r="AX2858" s="498">
        <f t="shared" si="990"/>
        <v>0</v>
      </c>
      <c r="AY2858" s="498">
        <f t="shared" si="991"/>
        <v>0</v>
      </c>
      <c r="BB2858" s="498" t="str">
        <f t="shared" si="992"/>
        <v/>
      </c>
      <c r="BC2858" s="743" t="str">
        <f t="shared" si="993"/>
        <v/>
      </c>
      <c r="BD2858" s="743" t="str">
        <f t="shared" si="994"/>
        <v/>
      </c>
      <c r="BE2858" s="743" t="str">
        <f>IF(D2858="","",VLOOKUP(D2858,'General Basis'!$J$39:$K$46,2,0))</f>
        <v/>
      </c>
      <c r="BF2858" s="744" t="str">
        <f>IF(D2858="","",VLOOKUP(D2858,'General Basis'!$J$39:$L$46,3,0))</f>
        <v/>
      </c>
      <c r="BG2858" s="744" t="str">
        <f t="shared" si="1001"/>
        <v/>
      </c>
      <c r="BH2858" s="744" t="str">
        <f>IF(G2858="","",IF(BF2858="Abu Dhabi",IF(G2858&lt;18,'General Basis'!$C$39,IF(G2858&lt;41,'General Basis'!$C$40,IF(G2858&lt;60,'General Basis'!$C$41,IF(G2858&lt;65,'General Basis'!$C$42,'General Basis'!$C$43)))),IF(G2858&lt;11,'General Basis'!$B$39,IF(G2858&lt;18,'General Basis'!$B$40,IF(G2858&lt;26,'General Basis'!$B$41,IF(G2858&lt;31,'General Basis'!$B$42,IF(G2858&lt;36,'General Basis'!$B$43,IF(G2858&lt;41,'General Basis'!$B$44,IF(G2858&lt;46,'General Basis'!$B$45,IF(G2858&lt;51,'General Basis'!$B$46,IF(G2858&lt;56,'General Basis'!$B$47,IF(G2858&lt;60,'General Basis'!$B$48,IF(G2858&lt;65,'General Basis'!$B$49,'General Basis'!$B$50)))))))))))))</f>
        <v/>
      </c>
      <c r="BI2858" s="744" t="str">
        <f t="shared" si="995"/>
        <v/>
      </c>
      <c r="BJ2858" s="747" t="str">
        <f t="shared" si="1002"/>
        <v/>
      </c>
      <c r="BK2858" s="498" t="str">
        <f t="shared" si="996"/>
        <v/>
      </c>
      <c r="BL2858" s="498" t="str">
        <f t="shared" si="997"/>
        <v/>
      </c>
    </row>
    <row r="2859" spans="1:64" x14ac:dyDescent="0.25">
      <c r="A2859" s="762">
        <f t="shared" si="998"/>
        <v>2854</v>
      </c>
      <c r="B2859" s="229"/>
      <c r="C2859" s="223"/>
      <c r="D2859" s="224"/>
      <c r="E2859" s="225"/>
      <c r="F2859" s="1036" t="str">
        <f t="shared" si="1004"/>
        <v/>
      </c>
      <c r="G2859" s="1037" t="str">
        <f t="shared" si="999"/>
        <v/>
      </c>
      <c r="H2859" s="225"/>
      <c r="I2859" s="1013"/>
      <c r="J2859" s="1013"/>
      <c r="K2859" s="1028"/>
      <c r="L2859" s="1035" t="str">
        <f t="shared" si="1003"/>
        <v/>
      </c>
      <c r="S2859" s="498"/>
      <c r="AJ2859" s="498"/>
      <c r="AM2859" s="498">
        <f t="shared" si="984"/>
        <v>0</v>
      </c>
      <c r="AN2859" s="498">
        <f t="shared" si="985"/>
        <v>0</v>
      </c>
      <c r="AO2859" s="498">
        <f t="shared" si="986"/>
        <v>0</v>
      </c>
      <c r="AP2859" s="498">
        <f t="shared" si="1005"/>
        <v>0</v>
      </c>
      <c r="AQ2859" s="498">
        <f t="shared" si="1000"/>
        <v>0</v>
      </c>
      <c r="AU2859" s="498">
        <f t="shared" si="987"/>
        <v>0</v>
      </c>
      <c r="AV2859" s="498">
        <f t="shared" si="988"/>
        <v>0</v>
      </c>
      <c r="AW2859" s="498">
        <f t="shared" si="989"/>
        <v>0</v>
      </c>
      <c r="AX2859" s="498">
        <f t="shared" si="990"/>
        <v>0</v>
      </c>
      <c r="AY2859" s="498">
        <f t="shared" si="991"/>
        <v>0</v>
      </c>
      <c r="BB2859" s="498" t="str">
        <f t="shared" si="992"/>
        <v/>
      </c>
      <c r="BC2859" s="743" t="str">
        <f t="shared" si="993"/>
        <v/>
      </c>
      <c r="BD2859" s="743" t="str">
        <f t="shared" si="994"/>
        <v/>
      </c>
      <c r="BE2859" s="743" t="str">
        <f>IF(D2859="","",VLOOKUP(D2859,'General Basis'!$J$39:$K$46,2,0))</f>
        <v/>
      </c>
      <c r="BF2859" s="744" t="str">
        <f>IF(D2859="","",VLOOKUP(D2859,'General Basis'!$J$39:$L$46,3,0))</f>
        <v/>
      </c>
      <c r="BG2859" s="744" t="str">
        <f t="shared" si="1001"/>
        <v/>
      </c>
      <c r="BH2859" s="744" t="str">
        <f>IF(G2859="","",IF(BF2859="Abu Dhabi",IF(G2859&lt;18,'General Basis'!$C$39,IF(G2859&lt;41,'General Basis'!$C$40,IF(G2859&lt;60,'General Basis'!$C$41,IF(G2859&lt;65,'General Basis'!$C$42,'General Basis'!$C$43)))),IF(G2859&lt;11,'General Basis'!$B$39,IF(G2859&lt;18,'General Basis'!$B$40,IF(G2859&lt;26,'General Basis'!$B$41,IF(G2859&lt;31,'General Basis'!$B$42,IF(G2859&lt;36,'General Basis'!$B$43,IF(G2859&lt;41,'General Basis'!$B$44,IF(G2859&lt;46,'General Basis'!$B$45,IF(G2859&lt;51,'General Basis'!$B$46,IF(G2859&lt;56,'General Basis'!$B$47,IF(G2859&lt;60,'General Basis'!$B$48,IF(G2859&lt;65,'General Basis'!$B$49,'General Basis'!$B$50)))))))))))))</f>
        <v/>
      </c>
      <c r="BI2859" s="744" t="str">
        <f t="shared" si="995"/>
        <v/>
      </c>
      <c r="BJ2859" s="747" t="str">
        <f t="shared" si="1002"/>
        <v/>
      </c>
      <c r="BK2859" s="498" t="str">
        <f t="shared" si="996"/>
        <v/>
      </c>
      <c r="BL2859" s="498" t="str">
        <f t="shared" si="997"/>
        <v/>
      </c>
    </row>
    <row r="2860" spans="1:64" x14ac:dyDescent="0.25">
      <c r="A2860" s="762">
        <f t="shared" si="998"/>
        <v>2855</v>
      </c>
      <c r="B2860" s="229"/>
      <c r="C2860" s="223"/>
      <c r="D2860" s="224"/>
      <c r="E2860" s="225"/>
      <c r="F2860" s="1036" t="str">
        <f t="shared" si="1004"/>
        <v/>
      </c>
      <c r="G2860" s="1037" t="str">
        <f t="shared" si="999"/>
        <v/>
      </c>
      <c r="H2860" s="225"/>
      <c r="I2860" s="1013"/>
      <c r="J2860" s="1013"/>
      <c r="K2860" s="1028"/>
      <c r="L2860" s="1035" t="str">
        <f t="shared" si="1003"/>
        <v/>
      </c>
      <c r="S2860" s="498"/>
      <c r="AJ2860" s="498"/>
      <c r="AM2860" s="498">
        <f t="shared" si="984"/>
        <v>0</v>
      </c>
      <c r="AN2860" s="498">
        <f t="shared" si="985"/>
        <v>0</v>
      </c>
      <c r="AO2860" s="498">
        <f t="shared" si="986"/>
        <v>0</v>
      </c>
      <c r="AP2860" s="498">
        <f t="shared" si="1005"/>
        <v>0</v>
      </c>
      <c r="AQ2860" s="498">
        <f t="shared" si="1000"/>
        <v>0</v>
      </c>
      <c r="AU2860" s="498">
        <f t="shared" si="987"/>
        <v>0</v>
      </c>
      <c r="AV2860" s="498">
        <f t="shared" si="988"/>
        <v>0</v>
      </c>
      <c r="AW2860" s="498">
        <f t="shared" si="989"/>
        <v>0</v>
      </c>
      <c r="AX2860" s="498">
        <f t="shared" si="990"/>
        <v>0</v>
      </c>
      <c r="AY2860" s="498">
        <f t="shared" si="991"/>
        <v>0</v>
      </c>
      <c r="BB2860" s="498" t="str">
        <f t="shared" si="992"/>
        <v/>
      </c>
      <c r="BC2860" s="743" t="str">
        <f t="shared" si="993"/>
        <v/>
      </c>
      <c r="BD2860" s="743" t="str">
        <f t="shared" si="994"/>
        <v/>
      </c>
      <c r="BE2860" s="743" t="str">
        <f>IF(D2860="","",VLOOKUP(D2860,'General Basis'!$J$39:$K$46,2,0))</f>
        <v/>
      </c>
      <c r="BF2860" s="744" t="str">
        <f>IF(D2860="","",VLOOKUP(D2860,'General Basis'!$J$39:$L$46,3,0))</f>
        <v/>
      </c>
      <c r="BG2860" s="744" t="str">
        <f t="shared" si="1001"/>
        <v/>
      </c>
      <c r="BH2860" s="744" t="str">
        <f>IF(G2860="","",IF(BF2860="Abu Dhabi",IF(G2860&lt;18,'General Basis'!$C$39,IF(G2860&lt;41,'General Basis'!$C$40,IF(G2860&lt;60,'General Basis'!$C$41,IF(G2860&lt;65,'General Basis'!$C$42,'General Basis'!$C$43)))),IF(G2860&lt;11,'General Basis'!$B$39,IF(G2860&lt;18,'General Basis'!$B$40,IF(G2860&lt;26,'General Basis'!$B$41,IF(G2860&lt;31,'General Basis'!$B$42,IF(G2860&lt;36,'General Basis'!$B$43,IF(G2860&lt;41,'General Basis'!$B$44,IF(G2860&lt;46,'General Basis'!$B$45,IF(G2860&lt;51,'General Basis'!$B$46,IF(G2860&lt;56,'General Basis'!$B$47,IF(G2860&lt;60,'General Basis'!$B$48,IF(G2860&lt;65,'General Basis'!$B$49,'General Basis'!$B$50)))))))))))))</f>
        <v/>
      </c>
      <c r="BI2860" s="744" t="str">
        <f t="shared" si="995"/>
        <v/>
      </c>
      <c r="BJ2860" s="747" t="str">
        <f t="shared" si="1002"/>
        <v/>
      </c>
      <c r="BK2860" s="498" t="str">
        <f t="shared" si="996"/>
        <v/>
      </c>
      <c r="BL2860" s="498" t="str">
        <f t="shared" si="997"/>
        <v/>
      </c>
    </row>
    <row r="2861" spans="1:64" x14ac:dyDescent="0.25">
      <c r="A2861" s="762">
        <f t="shared" si="998"/>
        <v>2856</v>
      </c>
      <c r="B2861" s="229"/>
      <c r="C2861" s="223"/>
      <c r="D2861" s="224"/>
      <c r="E2861" s="225"/>
      <c r="F2861" s="1036" t="str">
        <f t="shared" si="1004"/>
        <v/>
      </c>
      <c r="G2861" s="1037" t="str">
        <f t="shared" si="999"/>
        <v/>
      </c>
      <c r="H2861" s="225"/>
      <c r="I2861" s="1013"/>
      <c r="J2861" s="1013"/>
      <c r="K2861" s="1028"/>
      <c r="L2861" s="1035" t="str">
        <f t="shared" si="1003"/>
        <v/>
      </c>
      <c r="S2861" s="498"/>
      <c r="AJ2861" s="498"/>
      <c r="AM2861" s="498">
        <f t="shared" si="984"/>
        <v>0</v>
      </c>
      <c r="AN2861" s="498">
        <f t="shared" si="985"/>
        <v>0</v>
      </c>
      <c r="AO2861" s="498">
        <f t="shared" si="986"/>
        <v>0</v>
      </c>
      <c r="AP2861" s="498">
        <f t="shared" si="1005"/>
        <v>0</v>
      </c>
      <c r="AQ2861" s="498">
        <f t="shared" si="1000"/>
        <v>0</v>
      </c>
      <c r="AU2861" s="498">
        <f t="shared" si="987"/>
        <v>0</v>
      </c>
      <c r="AV2861" s="498">
        <f t="shared" si="988"/>
        <v>0</v>
      </c>
      <c r="AW2861" s="498">
        <f t="shared" si="989"/>
        <v>0</v>
      </c>
      <c r="AX2861" s="498">
        <f t="shared" si="990"/>
        <v>0</v>
      </c>
      <c r="AY2861" s="498">
        <f t="shared" si="991"/>
        <v>0</v>
      </c>
      <c r="BB2861" s="498" t="str">
        <f t="shared" si="992"/>
        <v/>
      </c>
      <c r="BC2861" s="743" t="str">
        <f t="shared" si="993"/>
        <v/>
      </c>
      <c r="BD2861" s="743" t="str">
        <f t="shared" si="994"/>
        <v/>
      </c>
      <c r="BE2861" s="743" t="str">
        <f>IF(D2861="","",VLOOKUP(D2861,'General Basis'!$J$39:$K$46,2,0))</f>
        <v/>
      </c>
      <c r="BF2861" s="744" t="str">
        <f>IF(D2861="","",VLOOKUP(D2861,'General Basis'!$J$39:$L$46,3,0))</f>
        <v/>
      </c>
      <c r="BG2861" s="744" t="str">
        <f t="shared" si="1001"/>
        <v/>
      </c>
      <c r="BH2861" s="744" t="str">
        <f>IF(G2861="","",IF(BF2861="Abu Dhabi",IF(G2861&lt;18,'General Basis'!$C$39,IF(G2861&lt;41,'General Basis'!$C$40,IF(G2861&lt;60,'General Basis'!$C$41,IF(G2861&lt;65,'General Basis'!$C$42,'General Basis'!$C$43)))),IF(G2861&lt;11,'General Basis'!$B$39,IF(G2861&lt;18,'General Basis'!$B$40,IF(G2861&lt;26,'General Basis'!$B$41,IF(G2861&lt;31,'General Basis'!$B$42,IF(G2861&lt;36,'General Basis'!$B$43,IF(G2861&lt;41,'General Basis'!$B$44,IF(G2861&lt;46,'General Basis'!$B$45,IF(G2861&lt;51,'General Basis'!$B$46,IF(G2861&lt;56,'General Basis'!$B$47,IF(G2861&lt;60,'General Basis'!$B$48,IF(G2861&lt;65,'General Basis'!$B$49,'General Basis'!$B$50)))))))))))))</f>
        <v/>
      </c>
      <c r="BI2861" s="744" t="str">
        <f t="shared" si="995"/>
        <v/>
      </c>
      <c r="BJ2861" s="747" t="str">
        <f t="shared" si="1002"/>
        <v/>
      </c>
      <c r="BK2861" s="498" t="str">
        <f t="shared" si="996"/>
        <v/>
      </c>
      <c r="BL2861" s="498" t="str">
        <f t="shared" si="997"/>
        <v/>
      </c>
    </row>
    <row r="2862" spans="1:64" x14ac:dyDescent="0.25">
      <c r="A2862" s="762">
        <f t="shared" si="998"/>
        <v>2857</v>
      </c>
      <c r="B2862" s="229"/>
      <c r="C2862" s="223"/>
      <c r="D2862" s="224"/>
      <c r="E2862" s="225"/>
      <c r="F2862" s="1036" t="str">
        <f t="shared" si="1004"/>
        <v/>
      </c>
      <c r="G2862" s="1037" t="str">
        <f t="shared" si="999"/>
        <v/>
      </c>
      <c r="H2862" s="225"/>
      <c r="I2862" s="1013"/>
      <c r="J2862" s="1013"/>
      <c r="K2862" s="1028"/>
      <c r="L2862" s="1035" t="str">
        <f t="shared" si="1003"/>
        <v/>
      </c>
      <c r="S2862" s="498"/>
      <c r="AJ2862" s="498"/>
      <c r="AM2862" s="498">
        <f t="shared" si="984"/>
        <v>0</v>
      </c>
      <c r="AN2862" s="498">
        <f t="shared" si="985"/>
        <v>0</v>
      </c>
      <c r="AO2862" s="498">
        <f t="shared" si="986"/>
        <v>0</v>
      </c>
      <c r="AP2862" s="498">
        <f t="shared" si="1005"/>
        <v>0</v>
      </c>
      <c r="AQ2862" s="498">
        <f t="shared" si="1000"/>
        <v>0</v>
      </c>
      <c r="AU2862" s="498">
        <f t="shared" si="987"/>
        <v>0</v>
      </c>
      <c r="AV2862" s="498">
        <f t="shared" si="988"/>
        <v>0</v>
      </c>
      <c r="AW2862" s="498">
        <f t="shared" si="989"/>
        <v>0</v>
      </c>
      <c r="AX2862" s="498">
        <f t="shared" si="990"/>
        <v>0</v>
      </c>
      <c r="AY2862" s="498">
        <f t="shared" si="991"/>
        <v>0</v>
      </c>
      <c r="BB2862" s="498" t="str">
        <f t="shared" si="992"/>
        <v/>
      </c>
      <c r="BC2862" s="743" t="str">
        <f t="shared" si="993"/>
        <v/>
      </c>
      <c r="BD2862" s="743" t="str">
        <f t="shared" si="994"/>
        <v/>
      </c>
      <c r="BE2862" s="743" t="str">
        <f>IF(D2862="","",VLOOKUP(D2862,'General Basis'!$J$39:$K$46,2,0))</f>
        <v/>
      </c>
      <c r="BF2862" s="744" t="str">
        <f>IF(D2862="","",VLOOKUP(D2862,'General Basis'!$J$39:$L$46,3,0))</f>
        <v/>
      </c>
      <c r="BG2862" s="744" t="str">
        <f t="shared" si="1001"/>
        <v/>
      </c>
      <c r="BH2862" s="744" t="str">
        <f>IF(G2862="","",IF(BF2862="Abu Dhabi",IF(G2862&lt;18,'General Basis'!$C$39,IF(G2862&lt;41,'General Basis'!$C$40,IF(G2862&lt;60,'General Basis'!$C$41,IF(G2862&lt;65,'General Basis'!$C$42,'General Basis'!$C$43)))),IF(G2862&lt;11,'General Basis'!$B$39,IF(G2862&lt;18,'General Basis'!$B$40,IF(G2862&lt;26,'General Basis'!$B$41,IF(G2862&lt;31,'General Basis'!$B$42,IF(G2862&lt;36,'General Basis'!$B$43,IF(G2862&lt;41,'General Basis'!$B$44,IF(G2862&lt;46,'General Basis'!$B$45,IF(G2862&lt;51,'General Basis'!$B$46,IF(G2862&lt;56,'General Basis'!$B$47,IF(G2862&lt;60,'General Basis'!$B$48,IF(G2862&lt;65,'General Basis'!$B$49,'General Basis'!$B$50)))))))))))))</f>
        <v/>
      </c>
      <c r="BI2862" s="744" t="str">
        <f t="shared" si="995"/>
        <v/>
      </c>
      <c r="BJ2862" s="747" t="str">
        <f t="shared" si="1002"/>
        <v/>
      </c>
      <c r="BK2862" s="498" t="str">
        <f t="shared" si="996"/>
        <v/>
      </c>
      <c r="BL2862" s="498" t="str">
        <f t="shared" si="997"/>
        <v/>
      </c>
    </row>
    <row r="2863" spans="1:64" x14ac:dyDescent="0.25">
      <c r="A2863" s="762">
        <f t="shared" si="998"/>
        <v>2858</v>
      </c>
      <c r="B2863" s="229"/>
      <c r="C2863" s="223"/>
      <c r="D2863" s="224"/>
      <c r="E2863" s="225"/>
      <c r="F2863" s="1036" t="str">
        <f t="shared" si="1004"/>
        <v/>
      </c>
      <c r="G2863" s="1037" t="str">
        <f t="shared" si="999"/>
        <v/>
      </c>
      <c r="H2863" s="225"/>
      <c r="I2863" s="1013"/>
      <c r="J2863" s="1013"/>
      <c r="K2863" s="1028"/>
      <c r="L2863" s="1035" t="str">
        <f t="shared" si="1003"/>
        <v/>
      </c>
      <c r="S2863" s="498"/>
      <c r="AJ2863" s="498"/>
      <c r="AM2863" s="498">
        <f t="shared" si="984"/>
        <v>0</v>
      </c>
      <c r="AN2863" s="498">
        <f t="shared" si="985"/>
        <v>0</v>
      </c>
      <c r="AO2863" s="498">
        <f t="shared" si="986"/>
        <v>0</v>
      </c>
      <c r="AP2863" s="498">
        <f t="shared" si="1005"/>
        <v>0</v>
      </c>
      <c r="AQ2863" s="498">
        <f t="shared" si="1000"/>
        <v>0</v>
      </c>
      <c r="AU2863" s="498">
        <f t="shared" si="987"/>
        <v>0</v>
      </c>
      <c r="AV2863" s="498">
        <f t="shared" si="988"/>
        <v>0</v>
      </c>
      <c r="AW2863" s="498">
        <f t="shared" si="989"/>
        <v>0</v>
      </c>
      <c r="AX2863" s="498">
        <f t="shared" si="990"/>
        <v>0</v>
      </c>
      <c r="AY2863" s="498">
        <f t="shared" si="991"/>
        <v>0</v>
      </c>
      <c r="BB2863" s="498" t="str">
        <f t="shared" si="992"/>
        <v/>
      </c>
      <c r="BC2863" s="743" t="str">
        <f t="shared" si="993"/>
        <v/>
      </c>
      <c r="BD2863" s="743" t="str">
        <f t="shared" si="994"/>
        <v/>
      </c>
      <c r="BE2863" s="743" t="str">
        <f>IF(D2863="","",VLOOKUP(D2863,'General Basis'!$J$39:$K$46,2,0))</f>
        <v/>
      </c>
      <c r="BF2863" s="744" t="str">
        <f>IF(D2863="","",VLOOKUP(D2863,'General Basis'!$J$39:$L$46,3,0))</f>
        <v/>
      </c>
      <c r="BG2863" s="744" t="str">
        <f t="shared" si="1001"/>
        <v/>
      </c>
      <c r="BH2863" s="744" t="str">
        <f>IF(G2863="","",IF(BF2863="Abu Dhabi",IF(G2863&lt;18,'General Basis'!$C$39,IF(G2863&lt;41,'General Basis'!$C$40,IF(G2863&lt;60,'General Basis'!$C$41,IF(G2863&lt;65,'General Basis'!$C$42,'General Basis'!$C$43)))),IF(G2863&lt;11,'General Basis'!$B$39,IF(G2863&lt;18,'General Basis'!$B$40,IF(G2863&lt;26,'General Basis'!$B$41,IF(G2863&lt;31,'General Basis'!$B$42,IF(G2863&lt;36,'General Basis'!$B$43,IF(G2863&lt;41,'General Basis'!$B$44,IF(G2863&lt;46,'General Basis'!$B$45,IF(G2863&lt;51,'General Basis'!$B$46,IF(G2863&lt;56,'General Basis'!$B$47,IF(G2863&lt;60,'General Basis'!$B$48,IF(G2863&lt;65,'General Basis'!$B$49,'General Basis'!$B$50)))))))))))))</f>
        <v/>
      </c>
      <c r="BI2863" s="744" t="str">
        <f t="shared" si="995"/>
        <v/>
      </c>
      <c r="BJ2863" s="747" t="str">
        <f t="shared" si="1002"/>
        <v/>
      </c>
      <c r="BK2863" s="498" t="str">
        <f t="shared" si="996"/>
        <v/>
      </c>
      <c r="BL2863" s="498" t="str">
        <f t="shared" si="997"/>
        <v/>
      </c>
    </row>
    <row r="2864" spans="1:64" x14ac:dyDescent="0.25">
      <c r="A2864" s="762">
        <f t="shared" si="998"/>
        <v>2859</v>
      </c>
      <c r="B2864" s="229"/>
      <c r="C2864" s="223"/>
      <c r="D2864" s="224"/>
      <c r="E2864" s="225"/>
      <c r="F2864" s="1036" t="str">
        <f t="shared" si="1004"/>
        <v/>
      </c>
      <c r="G2864" s="1037" t="str">
        <f t="shared" si="999"/>
        <v/>
      </c>
      <c r="H2864" s="225"/>
      <c r="I2864" s="1013"/>
      <c r="J2864" s="1013"/>
      <c r="K2864" s="1028"/>
      <c r="L2864" s="1035" t="str">
        <f t="shared" si="1003"/>
        <v/>
      </c>
      <c r="S2864" s="498"/>
      <c r="AJ2864" s="498"/>
      <c r="AM2864" s="498">
        <f t="shared" si="984"/>
        <v>0</v>
      </c>
      <c r="AN2864" s="498">
        <f t="shared" si="985"/>
        <v>0</v>
      </c>
      <c r="AO2864" s="498">
        <f t="shared" si="986"/>
        <v>0</v>
      </c>
      <c r="AP2864" s="498">
        <f t="shared" si="1005"/>
        <v>0</v>
      </c>
      <c r="AQ2864" s="498">
        <f t="shared" si="1000"/>
        <v>0</v>
      </c>
      <c r="AU2864" s="498">
        <f t="shared" si="987"/>
        <v>0</v>
      </c>
      <c r="AV2864" s="498">
        <f t="shared" si="988"/>
        <v>0</v>
      </c>
      <c r="AW2864" s="498">
        <f t="shared" si="989"/>
        <v>0</v>
      </c>
      <c r="AX2864" s="498">
        <f t="shared" si="990"/>
        <v>0</v>
      </c>
      <c r="AY2864" s="498">
        <f t="shared" si="991"/>
        <v>0</v>
      </c>
      <c r="BB2864" s="498" t="str">
        <f t="shared" si="992"/>
        <v/>
      </c>
      <c r="BC2864" s="743" t="str">
        <f t="shared" si="993"/>
        <v/>
      </c>
      <c r="BD2864" s="743" t="str">
        <f t="shared" si="994"/>
        <v/>
      </c>
      <c r="BE2864" s="743" t="str">
        <f>IF(D2864="","",VLOOKUP(D2864,'General Basis'!$J$39:$K$46,2,0))</f>
        <v/>
      </c>
      <c r="BF2864" s="744" t="str">
        <f>IF(D2864="","",VLOOKUP(D2864,'General Basis'!$J$39:$L$46,3,0))</f>
        <v/>
      </c>
      <c r="BG2864" s="744" t="str">
        <f t="shared" si="1001"/>
        <v/>
      </c>
      <c r="BH2864" s="744" t="str">
        <f>IF(G2864="","",IF(BF2864="Abu Dhabi",IF(G2864&lt;18,'General Basis'!$C$39,IF(G2864&lt;41,'General Basis'!$C$40,IF(G2864&lt;60,'General Basis'!$C$41,IF(G2864&lt;65,'General Basis'!$C$42,'General Basis'!$C$43)))),IF(G2864&lt;11,'General Basis'!$B$39,IF(G2864&lt;18,'General Basis'!$B$40,IF(G2864&lt;26,'General Basis'!$B$41,IF(G2864&lt;31,'General Basis'!$B$42,IF(G2864&lt;36,'General Basis'!$B$43,IF(G2864&lt;41,'General Basis'!$B$44,IF(G2864&lt;46,'General Basis'!$B$45,IF(G2864&lt;51,'General Basis'!$B$46,IF(G2864&lt;56,'General Basis'!$B$47,IF(G2864&lt;60,'General Basis'!$B$48,IF(G2864&lt;65,'General Basis'!$B$49,'General Basis'!$B$50)))))))))))))</f>
        <v/>
      </c>
      <c r="BI2864" s="744" t="str">
        <f t="shared" si="995"/>
        <v/>
      </c>
      <c r="BJ2864" s="747" t="str">
        <f t="shared" si="1002"/>
        <v/>
      </c>
      <c r="BK2864" s="498" t="str">
        <f t="shared" si="996"/>
        <v/>
      </c>
      <c r="BL2864" s="498" t="str">
        <f t="shared" si="997"/>
        <v/>
      </c>
    </row>
    <row r="2865" spans="1:64" x14ac:dyDescent="0.25">
      <c r="A2865" s="762">
        <f t="shared" si="998"/>
        <v>2860</v>
      </c>
      <c r="B2865" s="229"/>
      <c r="C2865" s="223"/>
      <c r="D2865" s="224"/>
      <c r="E2865" s="225"/>
      <c r="F2865" s="1036" t="str">
        <f t="shared" si="1004"/>
        <v/>
      </c>
      <c r="G2865" s="1037" t="str">
        <f t="shared" si="999"/>
        <v/>
      </c>
      <c r="H2865" s="225"/>
      <c r="I2865" s="1013"/>
      <c r="J2865" s="1013"/>
      <c r="K2865" s="1028"/>
      <c r="L2865" s="1035" t="str">
        <f t="shared" si="1003"/>
        <v/>
      </c>
      <c r="S2865" s="498"/>
      <c r="AJ2865" s="498"/>
      <c r="AM2865" s="498">
        <f t="shared" si="984"/>
        <v>0</v>
      </c>
      <c r="AN2865" s="498">
        <f t="shared" si="985"/>
        <v>0</v>
      </c>
      <c r="AO2865" s="498">
        <f t="shared" si="986"/>
        <v>0</v>
      </c>
      <c r="AP2865" s="498">
        <f t="shared" si="1005"/>
        <v>0</v>
      </c>
      <c r="AQ2865" s="498">
        <f t="shared" si="1000"/>
        <v>0</v>
      </c>
      <c r="AU2865" s="498">
        <f t="shared" si="987"/>
        <v>0</v>
      </c>
      <c r="AV2865" s="498">
        <f t="shared" si="988"/>
        <v>0</v>
      </c>
      <c r="AW2865" s="498">
        <f t="shared" si="989"/>
        <v>0</v>
      </c>
      <c r="AX2865" s="498">
        <f t="shared" si="990"/>
        <v>0</v>
      </c>
      <c r="AY2865" s="498">
        <f t="shared" si="991"/>
        <v>0</v>
      </c>
      <c r="BB2865" s="498" t="str">
        <f t="shared" si="992"/>
        <v/>
      </c>
      <c r="BC2865" s="743" t="str">
        <f t="shared" si="993"/>
        <v/>
      </c>
      <c r="BD2865" s="743" t="str">
        <f t="shared" si="994"/>
        <v/>
      </c>
      <c r="BE2865" s="743" t="str">
        <f>IF(D2865="","",VLOOKUP(D2865,'General Basis'!$J$39:$K$46,2,0))</f>
        <v/>
      </c>
      <c r="BF2865" s="744" t="str">
        <f>IF(D2865="","",VLOOKUP(D2865,'General Basis'!$J$39:$L$46,3,0))</f>
        <v/>
      </c>
      <c r="BG2865" s="744" t="str">
        <f t="shared" si="1001"/>
        <v/>
      </c>
      <c r="BH2865" s="744" t="str">
        <f>IF(G2865="","",IF(BF2865="Abu Dhabi",IF(G2865&lt;18,'General Basis'!$C$39,IF(G2865&lt;41,'General Basis'!$C$40,IF(G2865&lt;60,'General Basis'!$C$41,IF(G2865&lt;65,'General Basis'!$C$42,'General Basis'!$C$43)))),IF(G2865&lt;11,'General Basis'!$B$39,IF(G2865&lt;18,'General Basis'!$B$40,IF(G2865&lt;26,'General Basis'!$B$41,IF(G2865&lt;31,'General Basis'!$B$42,IF(G2865&lt;36,'General Basis'!$B$43,IF(G2865&lt;41,'General Basis'!$B$44,IF(G2865&lt;46,'General Basis'!$B$45,IF(G2865&lt;51,'General Basis'!$B$46,IF(G2865&lt;56,'General Basis'!$B$47,IF(G2865&lt;60,'General Basis'!$B$48,IF(G2865&lt;65,'General Basis'!$B$49,'General Basis'!$B$50)))))))))))))</f>
        <v/>
      </c>
      <c r="BI2865" s="744" t="str">
        <f t="shared" si="995"/>
        <v/>
      </c>
      <c r="BJ2865" s="747" t="str">
        <f t="shared" si="1002"/>
        <v/>
      </c>
      <c r="BK2865" s="498" t="str">
        <f t="shared" si="996"/>
        <v/>
      </c>
      <c r="BL2865" s="498" t="str">
        <f t="shared" si="997"/>
        <v/>
      </c>
    </row>
    <row r="2866" spans="1:64" x14ac:dyDescent="0.25">
      <c r="A2866" s="762">
        <f t="shared" si="998"/>
        <v>2861</v>
      </c>
      <c r="B2866" s="229"/>
      <c r="C2866" s="223"/>
      <c r="D2866" s="224"/>
      <c r="E2866" s="225"/>
      <c r="F2866" s="1036" t="str">
        <f t="shared" si="1004"/>
        <v/>
      </c>
      <c r="G2866" s="1037" t="str">
        <f t="shared" si="999"/>
        <v/>
      </c>
      <c r="H2866" s="225"/>
      <c r="I2866" s="1013"/>
      <c r="J2866" s="1013"/>
      <c r="K2866" s="1028"/>
      <c r="L2866" s="1035" t="str">
        <f t="shared" si="1003"/>
        <v/>
      </c>
      <c r="S2866" s="498"/>
      <c r="AJ2866" s="498"/>
      <c r="AM2866" s="498">
        <f t="shared" si="984"/>
        <v>0</v>
      </c>
      <c r="AN2866" s="498">
        <f t="shared" si="985"/>
        <v>0</v>
      </c>
      <c r="AO2866" s="498">
        <f t="shared" si="986"/>
        <v>0</v>
      </c>
      <c r="AP2866" s="498">
        <f t="shared" si="1005"/>
        <v>0</v>
      </c>
      <c r="AQ2866" s="498">
        <f t="shared" si="1000"/>
        <v>0</v>
      </c>
      <c r="AU2866" s="498">
        <f t="shared" si="987"/>
        <v>0</v>
      </c>
      <c r="AV2866" s="498">
        <f t="shared" si="988"/>
        <v>0</v>
      </c>
      <c r="AW2866" s="498">
        <f t="shared" si="989"/>
        <v>0</v>
      </c>
      <c r="AX2866" s="498">
        <f t="shared" si="990"/>
        <v>0</v>
      </c>
      <c r="AY2866" s="498">
        <f t="shared" si="991"/>
        <v>0</v>
      </c>
      <c r="BB2866" s="498" t="str">
        <f t="shared" si="992"/>
        <v/>
      </c>
      <c r="BC2866" s="743" t="str">
        <f t="shared" si="993"/>
        <v/>
      </c>
      <c r="BD2866" s="743" t="str">
        <f t="shared" si="994"/>
        <v/>
      </c>
      <c r="BE2866" s="743" t="str">
        <f>IF(D2866="","",VLOOKUP(D2866,'General Basis'!$J$39:$K$46,2,0))</f>
        <v/>
      </c>
      <c r="BF2866" s="744" t="str">
        <f>IF(D2866="","",VLOOKUP(D2866,'General Basis'!$J$39:$L$46,3,0))</f>
        <v/>
      </c>
      <c r="BG2866" s="744" t="str">
        <f t="shared" si="1001"/>
        <v/>
      </c>
      <c r="BH2866" s="744" t="str">
        <f>IF(G2866="","",IF(BF2866="Abu Dhabi",IF(G2866&lt;18,'General Basis'!$C$39,IF(G2866&lt;41,'General Basis'!$C$40,IF(G2866&lt;60,'General Basis'!$C$41,IF(G2866&lt;65,'General Basis'!$C$42,'General Basis'!$C$43)))),IF(G2866&lt;11,'General Basis'!$B$39,IF(G2866&lt;18,'General Basis'!$B$40,IF(G2866&lt;26,'General Basis'!$B$41,IF(G2866&lt;31,'General Basis'!$B$42,IF(G2866&lt;36,'General Basis'!$B$43,IF(G2866&lt;41,'General Basis'!$B$44,IF(G2866&lt;46,'General Basis'!$B$45,IF(G2866&lt;51,'General Basis'!$B$46,IF(G2866&lt;56,'General Basis'!$B$47,IF(G2866&lt;60,'General Basis'!$B$48,IF(G2866&lt;65,'General Basis'!$B$49,'General Basis'!$B$50)))))))))))))</f>
        <v/>
      </c>
      <c r="BI2866" s="744" t="str">
        <f t="shared" si="995"/>
        <v/>
      </c>
      <c r="BJ2866" s="747" t="str">
        <f t="shared" si="1002"/>
        <v/>
      </c>
      <c r="BK2866" s="498" t="str">
        <f t="shared" si="996"/>
        <v/>
      </c>
      <c r="BL2866" s="498" t="str">
        <f t="shared" si="997"/>
        <v/>
      </c>
    </row>
    <row r="2867" spans="1:64" x14ac:dyDescent="0.25">
      <c r="A2867" s="762">
        <f t="shared" si="998"/>
        <v>2862</v>
      </c>
      <c r="B2867" s="229"/>
      <c r="C2867" s="223"/>
      <c r="D2867" s="224"/>
      <c r="E2867" s="225"/>
      <c r="F2867" s="1036" t="str">
        <f t="shared" si="1004"/>
        <v/>
      </c>
      <c r="G2867" s="1037" t="str">
        <f t="shared" si="999"/>
        <v/>
      </c>
      <c r="H2867" s="225"/>
      <c r="I2867" s="1013"/>
      <c r="J2867" s="1013"/>
      <c r="K2867" s="1028"/>
      <c r="L2867" s="1035" t="str">
        <f t="shared" si="1003"/>
        <v/>
      </c>
      <c r="S2867" s="498"/>
      <c r="AJ2867" s="498"/>
      <c r="AM2867" s="498">
        <f t="shared" si="984"/>
        <v>0</v>
      </c>
      <c r="AN2867" s="498">
        <f t="shared" si="985"/>
        <v>0</v>
      </c>
      <c r="AO2867" s="498">
        <f t="shared" si="986"/>
        <v>0</v>
      </c>
      <c r="AP2867" s="498">
        <f t="shared" si="1005"/>
        <v>0</v>
      </c>
      <c r="AQ2867" s="498">
        <f t="shared" si="1000"/>
        <v>0</v>
      </c>
      <c r="AU2867" s="498">
        <f t="shared" si="987"/>
        <v>0</v>
      </c>
      <c r="AV2867" s="498">
        <f t="shared" si="988"/>
        <v>0</v>
      </c>
      <c r="AW2867" s="498">
        <f t="shared" si="989"/>
        <v>0</v>
      </c>
      <c r="AX2867" s="498">
        <f t="shared" si="990"/>
        <v>0</v>
      </c>
      <c r="AY2867" s="498">
        <f t="shared" si="991"/>
        <v>0</v>
      </c>
      <c r="BB2867" s="498" t="str">
        <f t="shared" si="992"/>
        <v/>
      </c>
      <c r="BC2867" s="743" t="str">
        <f t="shared" si="993"/>
        <v/>
      </c>
      <c r="BD2867" s="743" t="str">
        <f t="shared" si="994"/>
        <v/>
      </c>
      <c r="BE2867" s="743" t="str">
        <f>IF(D2867="","",VLOOKUP(D2867,'General Basis'!$J$39:$K$46,2,0))</f>
        <v/>
      </c>
      <c r="BF2867" s="744" t="str">
        <f>IF(D2867="","",VLOOKUP(D2867,'General Basis'!$J$39:$L$46,3,0))</f>
        <v/>
      </c>
      <c r="BG2867" s="744" t="str">
        <f t="shared" si="1001"/>
        <v/>
      </c>
      <c r="BH2867" s="744" t="str">
        <f>IF(G2867="","",IF(BF2867="Abu Dhabi",IF(G2867&lt;18,'General Basis'!$C$39,IF(G2867&lt;41,'General Basis'!$C$40,IF(G2867&lt;60,'General Basis'!$C$41,IF(G2867&lt;65,'General Basis'!$C$42,'General Basis'!$C$43)))),IF(G2867&lt;11,'General Basis'!$B$39,IF(G2867&lt;18,'General Basis'!$B$40,IF(G2867&lt;26,'General Basis'!$B$41,IF(G2867&lt;31,'General Basis'!$B$42,IF(G2867&lt;36,'General Basis'!$B$43,IF(G2867&lt;41,'General Basis'!$B$44,IF(G2867&lt;46,'General Basis'!$B$45,IF(G2867&lt;51,'General Basis'!$B$46,IF(G2867&lt;56,'General Basis'!$B$47,IF(G2867&lt;60,'General Basis'!$B$48,IF(G2867&lt;65,'General Basis'!$B$49,'General Basis'!$B$50)))))))))))))</f>
        <v/>
      </c>
      <c r="BI2867" s="744" t="str">
        <f t="shared" si="995"/>
        <v/>
      </c>
      <c r="BJ2867" s="747" t="str">
        <f t="shared" si="1002"/>
        <v/>
      </c>
      <c r="BK2867" s="498" t="str">
        <f t="shared" si="996"/>
        <v/>
      </c>
      <c r="BL2867" s="498" t="str">
        <f t="shared" si="997"/>
        <v/>
      </c>
    </row>
    <row r="2868" spans="1:64" x14ac:dyDescent="0.25">
      <c r="A2868" s="762">
        <f t="shared" si="998"/>
        <v>2863</v>
      </c>
      <c r="B2868" s="229"/>
      <c r="C2868" s="223"/>
      <c r="D2868" s="224"/>
      <c r="E2868" s="225"/>
      <c r="F2868" s="1036" t="str">
        <f t="shared" si="1004"/>
        <v/>
      </c>
      <c r="G2868" s="1037" t="str">
        <f t="shared" si="999"/>
        <v/>
      </c>
      <c r="H2868" s="225"/>
      <c r="I2868" s="1013"/>
      <c r="J2868" s="1013"/>
      <c r="K2868" s="1028"/>
      <c r="L2868" s="1035" t="str">
        <f t="shared" si="1003"/>
        <v/>
      </c>
      <c r="S2868" s="498"/>
      <c r="AJ2868" s="498"/>
      <c r="AM2868" s="498">
        <f t="shared" si="984"/>
        <v>0</v>
      </c>
      <c r="AN2868" s="498">
        <f t="shared" si="985"/>
        <v>0</v>
      </c>
      <c r="AO2868" s="498">
        <f t="shared" si="986"/>
        <v>0</v>
      </c>
      <c r="AP2868" s="498">
        <f t="shared" si="1005"/>
        <v>0</v>
      </c>
      <c r="AQ2868" s="498">
        <f t="shared" si="1000"/>
        <v>0</v>
      </c>
      <c r="AU2868" s="498">
        <f t="shared" si="987"/>
        <v>0</v>
      </c>
      <c r="AV2868" s="498">
        <f t="shared" si="988"/>
        <v>0</v>
      </c>
      <c r="AW2868" s="498">
        <f t="shared" si="989"/>
        <v>0</v>
      </c>
      <c r="AX2868" s="498">
        <f t="shared" si="990"/>
        <v>0</v>
      </c>
      <c r="AY2868" s="498">
        <f t="shared" si="991"/>
        <v>0</v>
      </c>
      <c r="BB2868" s="498" t="str">
        <f t="shared" si="992"/>
        <v/>
      </c>
      <c r="BC2868" s="743" t="str">
        <f t="shared" si="993"/>
        <v/>
      </c>
      <c r="BD2868" s="743" t="str">
        <f t="shared" si="994"/>
        <v/>
      </c>
      <c r="BE2868" s="743" t="str">
        <f>IF(D2868="","",VLOOKUP(D2868,'General Basis'!$J$39:$K$46,2,0))</f>
        <v/>
      </c>
      <c r="BF2868" s="744" t="str">
        <f>IF(D2868="","",VLOOKUP(D2868,'General Basis'!$J$39:$L$46,3,0))</f>
        <v/>
      </c>
      <c r="BG2868" s="744" t="str">
        <f t="shared" si="1001"/>
        <v/>
      </c>
      <c r="BH2868" s="744" t="str">
        <f>IF(G2868="","",IF(BF2868="Abu Dhabi",IF(G2868&lt;18,'General Basis'!$C$39,IF(G2868&lt;41,'General Basis'!$C$40,IF(G2868&lt;60,'General Basis'!$C$41,IF(G2868&lt;65,'General Basis'!$C$42,'General Basis'!$C$43)))),IF(G2868&lt;11,'General Basis'!$B$39,IF(G2868&lt;18,'General Basis'!$B$40,IF(G2868&lt;26,'General Basis'!$B$41,IF(G2868&lt;31,'General Basis'!$B$42,IF(G2868&lt;36,'General Basis'!$B$43,IF(G2868&lt;41,'General Basis'!$B$44,IF(G2868&lt;46,'General Basis'!$B$45,IF(G2868&lt;51,'General Basis'!$B$46,IF(G2868&lt;56,'General Basis'!$B$47,IF(G2868&lt;60,'General Basis'!$B$48,IF(G2868&lt;65,'General Basis'!$B$49,'General Basis'!$B$50)))))))))))))</f>
        <v/>
      </c>
      <c r="BI2868" s="744" t="str">
        <f t="shared" si="995"/>
        <v/>
      </c>
      <c r="BJ2868" s="747" t="str">
        <f t="shared" si="1002"/>
        <v/>
      </c>
      <c r="BK2868" s="498" t="str">
        <f t="shared" si="996"/>
        <v/>
      </c>
      <c r="BL2868" s="498" t="str">
        <f t="shared" si="997"/>
        <v/>
      </c>
    </row>
    <row r="2869" spans="1:64" x14ac:dyDescent="0.25">
      <c r="A2869" s="762">
        <f t="shared" si="998"/>
        <v>2864</v>
      </c>
      <c r="B2869" s="229"/>
      <c r="C2869" s="223"/>
      <c r="D2869" s="224"/>
      <c r="E2869" s="225"/>
      <c r="F2869" s="1036" t="str">
        <f t="shared" si="1004"/>
        <v/>
      </c>
      <c r="G2869" s="1037" t="str">
        <f t="shared" si="999"/>
        <v/>
      </c>
      <c r="H2869" s="225"/>
      <c r="I2869" s="1013"/>
      <c r="J2869" s="1013"/>
      <c r="K2869" s="1028"/>
      <c r="L2869" s="1035" t="str">
        <f t="shared" si="1003"/>
        <v/>
      </c>
      <c r="S2869" s="498"/>
      <c r="AJ2869" s="498"/>
      <c r="AM2869" s="498">
        <f t="shared" si="984"/>
        <v>0</v>
      </c>
      <c r="AN2869" s="498">
        <f t="shared" si="985"/>
        <v>0</v>
      </c>
      <c r="AO2869" s="498">
        <f t="shared" si="986"/>
        <v>0</v>
      </c>
      <c r="AP2869" s="498">
        <f t="shared" si="1005"/>
        <v>0</v>
      </c>
      <c r="AQ2869" s="498">
        <f t="shared" si="1000"/>
        <v>0</v>
      </c>
      <c r="AU2869" s="498">
        <f t="shared" si="987"/>
        <v>0</v>
      </c>
      <c r="AV2869" s="498">
        <f t="shared" si="988"/>
        <v>0</v>
      </c>
      <c r="AW2869" s="498">
        <f t="shared" si="989"/>
        <v>0</v>
      </c>
      <c r="AX2869" s="498">
        <f t="shared" si="990"/>
        <v>0</v>
      </c>
      <c r="AY2869" s="498">
        <f t="shared" si="991"/>
        <v>0</v>
      </c>
      <c r="BB2869" s="498" t="str">
        <f t="shared" si="992"/>
        <v/>
      </c>
      <c r="BC2869" s="743" t="str">
        <f t="shared" si="993"/>
        <v/>
      </c>
      <c r="BD2869" s="743" t="str">
        <f t="shared" si="994"/>
        <v/>
      </c>
      <c r="BE2869" s="743" t="str">
        <f>IF(D2869="","",VLOOKUP(D2869,'General Basis'!$J$39:$K$46,2,0))</f>
        <v/>
      </c>
      <c r="BF2869" s="744" t="str">
        <f>IF(D2869="","",VLOOKUP(D2869,'General Basis'!$J$39:$L$46,3,0))</f>
        <v/>
      </c>
      <c r="BG2869" s="744" t="str">
        <f t="shared" si="1001"/>
        <v/>
      </c>
      <c r="BH2869" s="744" t="str">
        <f>IF(G2869="","",IF(BF2869="Abu Dhabi",IF(G2869&lt;18,'General Basis'!$C$39,IF(G2869&lt;41,'General Basis'!$C$40,IF(G2869&lt;60,'General Basis'!$C$41,IF(G2869&lt;65,'General Basis'!$C$42,'General Basis'!$C$43)))),IF(G2869&lt;11,'General Basis'!$B$39,IF(G2869&lt;18,'General Basis'!$B$40,IF(G2869&lt;26,'General Basis'!$B$41,IF(G2869&lt;31,'General Basis'!$B$42,IF(G2869&lt;36,'General Basis'!$B$43,IF(G2869&lt;41,'General Basis'!$B$44,IF(G2869&lt;46,'General Basis'!$B$45,IF(G2869&lt;51,'General Basis'!$B$46,IF(G2869&lt;56,'General Basis'!$B$47,IF(G2869&lt;60,'General Basis'!$B$48,IF(G2869&lt;65,'General Basis'!$B$49,'General Basis'!$B$50)))))))))))))</f>
        <v/>
      </c>
      <c r="BI2869" s="744" t="str">
        <f t="shared" si="995"/>
        <v/>
      </c>
      <c r="BJ2869" s="747" t="str">
        <f t="shared" si="1002"/>
        <v/>
      </c>
      <c r="BK2869" s="498" t="str">
        <f t="shared" si="996"/>
        <v/>
      </c>
      <c r="BL2869" s="498" t="str">
        <f t="shared" si="997"/>
        <v/>
      </c>
    </row>
    <row r="2870" spans="1:64" x14ac:dyDescent="0.25">
      <c r="A2870" s="762">
        <f t="shared" si="998"/>
        <v>2865</v>
      </c>
      <c r="B2870" s="229"/>
      <c r="C2870" s="223"/>
      <c r="D2870" s="224"/>
      <c r="E2870" s="225"/>
      <c r="F2870" s="1036" t="str">
        <f t="shared" si="1004"/>
        <v/>
      </c>
      <c r="G2870" s="1037" t="str">
        <f t="shared" si="999"/>
        <v/>
      </c>
      <c r="H2870" s="225"/>
      <c r="I2870" s="1013"/>
      <c r="J2870" s="1013"/>
      <c r="K2870" s="1028"/>
      <c r="L2870" s="1035" t="str">
        <f t="shared" si="1003"/>
        <v/>
      </c>
      <c r="S2870" s="498"/>
      <c r="AJ2870" s="498"/>
      <c r="AM2870" s="498">
        <f t="shared" si="984"/>
        <v>0</v>
      </c>
      <c r="AN2870" s="498">
        <f t="shared" si="985"/>
        <v>0</v>
      </c>
      <c r="AO2870" s="498">
        <f t="shared" si="986"/>
        <v>0</v>
      </c>
      <c r="AP2870" s="498">
        <f t="shared" si="1005"/>
        <v>0</v>
      </c>
      <c r="AQ2870" s="498">
        <f t="shared" si="1000"/>
        <v>0</v>
      </c>
      <c r="AU2870" s="498">
        <f t="shared" si="987"/>
        <v>0</v>
      </c>
      <c r="AV2870" s="498">
        <f t="shared" si="988"/>
        <v>0</v>
      </c>
      <c r="AW2870" s="498">
        <f t="shared" si="989"/>
        <v>0</v>
      </c>
      <c r="AX2870" s="498">
        <f t="shared" si="990"/>
        <v>0</v>
      </c>
      <c r="AY2870" s="498">
        <f t="shared" si="991"/>
        <v>0</v>
      </c>
      <c r="BB2870" s="498" t="str">
        <f t="shared" si="992"/>
        <v/>
      </c>
      <c r="BC2870" s="743" t="str">
        <f t="shared" si="993"/>
        <v/>
      </c>
      <c r="BD2870" s="743" t="str">
        <f t="shared" si="994"/>
        <v/>
      </c>
      <c r="BE2870" s="743" t="str">
        <f>IF(D2870="","",VLOOKUP(D2870,'General Basis'!$J$39:$K$46,2,0))</f>
        <v/>
      </c>
      <c r="BF2870" s="744" t="str">
        <f>IF(D2870="","",VLOOKUP(D2870,'General Basis'!$J$39:$L$46,3,0))</f>
        <v/>
      </c>
      <c r="BG2870" s="744" t="str">
        <f t="shared" si="1001"/>
        <v/>
      </c>
      <c r="BH2870" s="744" t="str">
        <f>IF(G2870="","",IF(BF2870="Abu Dhabi",IF(G2870&lt;18,'General Basis'!$C$39,IF(G2870&lt;41,'General Basis'!$C$40,IF(G2870&lt;60,'General Basis'!$C$41,IF(G2870&lt;65,'General Basis'!$C$42,'General Basis'!$C$43)))),IF(G2870&lt;11,'General Basis'!$B$39,IF(G2870&lt;18,'General Basis'!$B$40,IF(G2870&lt;26,'General Basis'!$B$41,IF(G2870&lt;31,'General Basis'!$B$42,IF(G2870&lt;36,'General Basis'!$B$43,IF(G2870&lt;41,'General Basis'!$B$44,IF(G2870&lt;46,'General Basis'!$B$45,IF(G2870&lt;51,'General Basis'!$B$46,IF(G2870&lt;56,'General Basis'!$B$47,IF(G2870&lt;60,'General Basis'!$B$48,IF(G2870&lt;65,'General Basis'!$B$49,'General Basis'!$B$50)))))))))))))</f>
        <v/>
      </c>
      <c r="BI2870" s="744" t="str">
        <f t="shared" si="995"/>
        <v/>
      </c>
      <c r="BJ2870" s="747" t="str">
        <f t="shared" si="1002"/>
        <v/>
      </c>
      <c r="BK2870" s="498" t="str">
        <f t="shared" si="996"/>
        <v/>
      </c>
      <c r="BL2870" s="498" t="str">
        <f t="shared" si="997"/>
        <v/>
      </c>
    </row>
    <row r="2871" spans="1:64" x14ac:dyDescent="0.25">
      <c r="A2871" s="762">
        <f t="shared" si="998"/>
        <v>2866</v>
      </c>
      <c r="B2871" s="229"/>
      <c r="C2871" s="223"/>
      <c r="D2871" s="224"/>
      <c r="E2871" s="225"/>
      <c r="F2871" s="1036" t="str">
        <f t="shared" si="1004"/>
        <v/>
      </c>
      <c r="G2871" s="1037" t="str">
        <f t="shared" si="999"/>
        <v/>
      </c>
      <c r="H2871" s="225"/>
      <c r="I2871" s="1013"/>
      <c r="J2871" s="1013"/>
      <c r="K2871" s="1028"/>
      <c r="L2871" s="1035" t="str">
        <f t="shared" si="1003"/>
        <v/>
      </c>
      <c r="S2871" s="498"/>
      <c r="AJ2871" s="498"/>
      <c r="AM2871" s="498">
        <f t="shared" si="984"/>
        <v>0</v>
      </c>
      <c r="AN2871" s="498">
        <f t="shared" si="985"/>
        <v>0</v>
      </c>
      <c r="AO2871" s="498">
        <f t="shared" si="986"/>
        <v>0</v>
      </c>
      <c r="AP2871" s="498">
        <f t="shared" si="1005"/>
        <v>0</v>
      </c>
      <c r="AQ2871" s="498">
        <f t="shared" si="1000"/>
        <v>0</v>
      </c>
      <c r="AU2871" s="498">
        <f t="shared" si="987"/>
        <v>0</v>
      </c>
      <c r="AV2871" s="498">
        <f t="shared" si="988"/>
        <v>0</v>
      </c>
      <c r="AW2871" s="498">
        <f t="shared" si="989"/>
        <v>0</v>
      </c>
      <c r="AX2871" s="498">
        <f t="shared" si="990"/>
        <v>0</v>
      </c>
      <c r="AY2871" s="498">
        <f t="shared" si="991"/>
        <v>0</v>
      </c>
      <c r="BB2871" s="498" t="str">
        <f t="shared" si="992"/>
        <v/>
      </c>
      <c r="BC2871" s="743" t="str">
        <f t="shared" si="993"/>
        <v/>
      </c>
      <c r="BD2871" s="743" t="str">
        <f t="shared" si="994"/>
        <v/>
      </c>
      <c r="BE2871" s="743" t="str">
        <f>IF(D2871="","",VLOOKUP(D2871,'General Basis'!$J$39:$K$46,2,0))</f>
        <v/>
      </c>
      <c r="BF2871" s="744" t="str">
        <f>IF(D2871="","",VLOOKUP(D2871,'General Basis'!$J$39:$L$46,3,0))</f>
        <v/>
      </c>
      <c r="BG2871" s="744" t="str">
        <f t="shared" si="1001"/>
        <v/>
      </c>
      <c r="BH2871" s="744" t="str">
        <f>IF(G2871="","",IF(BF2871="Abu Dhabi",IF(G2871&lt;18,'General Basis'!$C$39,IF(G2871&lt;41,'General Basis'!$C$40,IF(G2871&lt;60,'General Basis'!$C$41,IF(G2871&lt;65,'General Basis'!$C$42,'General Basis'!$C$43)))),IF(G2871&lt;11,'General Basis'!$B$39,IF(G2871&lt;18,'General Basis'!$B$40,IF(G2871&lt;26,'General Basis'!$B$41,IF(G2871&lt;31,'General Basis'!$B$42,IF(G2871&lt;36,'General Basis'!$B$43,IF(G2871&lt;41,'General Basis'!$B$44,IF(G2871&lt;46,'General Basis'!$B$45,IF(G2871&lt;51,'General Basis'!$B$46,IF(G2871&lt;56,'General Basis'!$B$47,IF(G2871&lt;60,'General Basis'!$B$48,IF(G2871&lt;65,'General Basis'!$B$49,'General Basis'!$B$50)))))))))))))</f>
        <v/>
      </c>
      <c r="BI2871" s="744" t="str">
        <f t="shared" si="995"/>
        <v/>
      </c>
      <c r="BJ2871" s="747" t="str">
        <f t="shared" si="1002"/>
        <v/>
      </c>
      <c r="BK2871" s="498" t="str">
        <f t="shared" si="996"/>
        <v/>
      </c>
      <c r="BL2871" s="498" t="str">
        <f t="shared" si="997"/>
        <v/>
      </c>
    </row>
    <row r="2872" spans="1:64" x14ac:dyDescent="0.25">
      <c r="A2872" s="762">
        <f t="shared" si="998"/>
        <v>2867</v>
      </c>
      <c r="B2872" s="229"/>
      <c r="C2872" s="223"/>
      <c r="D2872" s="224"/>
      <c r="E2872" s="225"/>
      <c r="F2872" s="1036" t="str">
        <f t="shared" si="1004"/>
        <v/>
      </c>
      <c r="G2872" s="1037" t="str">
        <f t="shared" si="999"/>
        <v/>
      </c>
      <c r="H2872" s="225"/>
      <c r="I2872" s="1013"/>
      <c r="J2872" s="1013"/>
      <c r="K2872" s="1028"/>
      <c r="L2872" s="1035" t="str">
        <f t="shared" si="1003"/>
        <v/>
      </c>
      <c r="S2872" s="498"/>
      <c r="AJ2872" s="498"/>
      <c r="AM2872" s="498">
        <f t="shared" si="984"/>
        <v>0</v>
      </c>
      <c r="AN2872" s="498">
        <f t="shared" si="985"/>
        <v>0</v>
      </c>
      <c r="AO2872" s="498">
        <f t="shared" si="986"/>
        <v>0</v>
      </c>
      <c r="AP2872" s="498">
        <f t="shared" si="1005"/>
        <v>0</v>
      </c>
      <c r="AQ2872" s="498">
        <f t="shared" si="1000"/>
        <v>0</v>
      </c>
      <c r="AU2872" s="498">
        <f t="shared" si="987"/>
        <v>0</v>
      </c>
      <c r="AV2872" s="498">
        <f t="shared" si="988"/>
        <v>0</v>
      </c>
      <c r="AW2872" s="498">
        <f t="shared" si="989"/>
        <v>0</v>
      </c>
      <c r="AX2872" s="498">
        <f t="shared" si="990"/>
        <v>0</v>
      </c>
      <c r="AY2872" s="498">
        <f t="shared" si="991"/>
        <v>0</v>
      </c>
      <c r="BB2872" s="498" t="str">
        <f t="shared" si="992"/>
        <v/>
      </c>
      <c r="BC2872" s="743" t="str">
        <f t="shared" si="993"/>
        <v/>
      </c>
      <c r="BD2872" s="743" t="str">
        <f t="shared" si="994"/>
        <v/>
      </c>
      <c r="BE2872" s="743" t="str">
        <f>IF(D2872="","",VLOOKUP(D2872,'General Basis'!$J$39:$K$46,2,0))</f>
        <v/>
      </c>
      <c r="BF2872" s="744" t="str">
        <f>IF(D2872="","",VLOOKUP(D2872,'General Basis'!$J$39:$L$46,3,0))</f>
        <v/>
      </c>
      <c r="BG2872" s="744" t="str">
        <f t="shared" si="1001"/>
        <v/>
      </c>
      <c r="BH2872" s="744" t="str">
        <f>IF(G2872="","",IF(BF2872="Abu Dhabi",IF(G2872&lt;18,'General Basis'!$C$39,IF(G2872&lt;41,'General Basis'!$C$40,IF(G2872&lt;60,'General Basis'!$C$41,IF(G2872&lt;65,'General Basis'!$C$42,'General Basis'!$C$43)))),IF(G2872&lt;11,'General Basis'!$B$39,IF(G2872&lt;18,'General Basis'!$B$40,IF(G2872&lt;26,'General Basis'!$B$41,IF(G2872&lt;31,'General Basis'!$B$42,IF(G2872&lt;36,'General Basis'!$B$43,IF(G2872&lt;41,'General Basis'!$B$44,IF(G2872&lt;46,'General Basis'!$B$45,IF(G2872&lt;51,'General Basis'!$B$46,IF(G2872&lt;56,'General Basis'!$B$47,IF(G2872&lt;60,'General Basis'!$B$48,IF(G2872&lt;65,'General Basis'!$B$49,'General Basis'!$B$50)))))))))))))</f>
        <v/>
      </c>
      <c r="BI2872" s="744" t="str">
        <f t="shared" si="995"/>
        <v/>
      </c>
      <c r="BJ2872" s="747" t="str">
        <f t="shared" si="1002"/>
        <v/>
      </c>
      <c r="BK2872" s="498" t="str">
        <f t="shared" si="996"/>
        <v/>
      </c>
      <c r="BL2872" s="498" t="str">
        <f t="shared" si="997"/>
        <v/>
      </c>
    </row>
    <row r="2873" spans="1:64" x14ac:dyDescent="0.25">
      <c r="A2873" s="762">
        <f t="shared" si="998"/>
        <v>2868</v>
      </c>
      <c r="B2873" s="229"/>
      <c r="C2873" s="223"/>
      <c r="D2873" s="224"/>
      <c r="E2873" s="225"/>
      <c r="F2873" s="1036" t="str">
        <f t="shared" si="1004"/>
        <v/>
      </c>
      <c r="G2873" s="1037" t="str">
        <f t="shared" si="999"/>
        <v/>
      </c>
      <c r="H2873" s="225"/>
      <c r="I2873" s="1013"/>
      <c r="J2873" s="1013"/>
      <c r="K2873" s="1028"/>
      <c r="L2873" s="1035" t="str">
        <f t="shared" si="1003"/>
        <v/>
      </c>
      <c r="S2873" s="498"/>
      <c r="AJ2873" s="498"/>
      <c r="AM2873" s="498">
        <f t="shared" si="984"/>
        <v>0</v>
      </c>
      <c r="AN2873" s="498">
        <f t="shared" si="985"/>
        <v>0</v>
      </c>
      <c r="AO2873" s="498">
        <f t="shared" si="986"/>
        <v>0</v>
      </c>
      <c r="AP2873" s="498">
        <f t="shared" si="1005"/>
        <v>0</v>
      </c>
      <c r="AQ2873" s="498">
        <f t="shared" si="1000"/>
        <v>0</v>
      </c>
      <c r="AU2873" s="498">
        <f t="shared" si="987"/>
        <v>0</v>
      </c>
      <c r="AV2873" s="498">
        <f t="shared" si="988"/>
        <v>0</v>
      </c>
      <c r="AW2873" s="498">
        <f t="shared" si="989"/>
        <v>0</v>
      </c>
      <c r="AX2873" s="498">
        <f t="shared" si="990"/>
        <v>0</v>
      </c>
      <c r="AY2873" s="498">
        <f t="shared" si="991"/>
        <v>0</v>
      </c>
      <c r="BB2873" s="498" t="str">
        <f t="shared" si="992"/>
        <v/>
      </c>
      <c r="BC2873" s="743" t="str">
        <f t="shared" si="993"/>
        <v/>
      </c>
      <c r="BD2873" s="743" t="str">
        <f t="shared" si="994"/>
        <v/>
      </c>
      <c r="BE2873" s="743" t="str">
        <f>IF(D2873="","",VLOOKUP(D2873,'General Basis'!$J$39:$K$46,2,0))</f>
        <v/>
      </c>
      <c r="BF2873" s="744" t="str">
        <f>IF(D2873="","",VLOOKUP(D2873,'General Basis'!$J$39:$L$46,3,0))</f>
        <v/>
      </c>
      <c r="BG2873" s="744" t="str">
        <f t="shared" si="1001"/>
        <v/>
      </c>
      <c r="BH2873" s="744" t="str">
        <f>IF(G2873="","",IF(BF2873="Abu Dhabi",IF(G2873&lt;18,'General Basis'!$C$39,IF(G2873&lt;41,'General Basis'!$C$40,IF(G2873&lt;60,'General Basis'!$C$41,IF(G2873&lt;65,'General Basis'!$C$42,'General Basis'!$C$43)))),IF(G2873&lt;11,'General Basis'!$B$39,IF(G2873&lt;18,'General Basis'!$B$40,IF(G2873&lt;26,'General Basis'!$B$41,IF(G2873&lt;31,'General Basis'!$B$42,IF(G2873&lt;36,'General Basis'!$B$43,IF(G2873&lt;41,'General Basis'!$B$44,IF(G2873&lt;46,'General Basis'!$B$45,IF(G2873&lt;51,'General Basis'!$B$46,IF(G2873&lt;56,'General Basis'!$B$47,IF(G2873&lt;60,'General Basis'!$B$48,IF(G2873&lt;65,'General Basis'!$B$49,'General Basis'!$B$50)))))))))))))</f>
        <v/>
      </c>
      <c r="BI2873" s="744" t="str">
        <f t="shared" si="995"/>
        <v/>
      </c>
      <c r="BJ2873" s="747" t="str">
        <f t="shared" si="1002"/>
        <v/>
      </c>
      <c r="BK2873" s="498" t="str">
        <f t="shared" si="996"/>
        <v/>
      </c>
      <c r="BL2873" s="498" t="str">
        <f t="shared" si="997"/>
        <v/>
      </c>
    </row>
    <row r="2874" spans="1:64" x14ac:dyDescent="0.25">
      <c r="A2874" s="762">
        <f t="shared" si="998"/>
        <v>2869</v>
      </c>
      <c r="B2874" s="229"/>
      <c r="C2874" s="223"/>
      <c r="D2874" s="224"/>
      <c r="E2874" s="225"/>
      <c r="F2874" s="1036" t="str">
        <f t="shared" si="1004"/>
        <v/>
      </c>
      <c r="G2874" s="1037" t="str">
        <f t="shared" si="999"/>
        <v/>
      </c>
      <c r="H2874" s="225"/>
      <c r="I2874" s="1013"/>
      <c r="J2874" s="1013"/>
      <c r="K2874" s="1028"/>
      <c r="L2874" s="1035" t="str">
        <f t="shared" si="1003"/>
        <v/>
      </c>
      <c r="S2874" s="498"/>
      <c r="AJ2874" s="498"/>
      <c r="AM2874" s="498">
        <f t="shared" si="984"/>
        <v>0</v>
      </c>
      <c r="AN2874" s="498">
        <f t="shared" si="985"/>
        <v>0</v>
      </c>
      <c r="AO2874" s="498">
        <f t="shared" si="986"/>
        <v>0</v>
      </c>
      <c r="AP2874" s="498">
        <f t="shared" si="1005"/>
        <v>0</v>
      </c>
      <c r="AQ2874" s="498">
        <f t="shared" si="1000"/>
        <v>0</v>
      </c>
      <c r="AU2874" s="498">
        <f t="shared" si="987"/>
        <v>0</v>
      </c>
      <c r="AV2874" s="498">
        <f t="shared" si="988"/>
        <v>0</v>
      </c>
      <c r="AW2874" s="498">
        <f t="shared" si="989"/>
        <v>0</v>
      </c>
      <c r="AX2874" s="498">
        <f t="shared" si="990"/>
        <v>0</v>
      </c>
      <c r="AY2874" s="498">
        <f t="shared" si="991"/>
        <v>0</v>
      </c>
      <c r="BB2874" s="498" t="str">
        <f t="shared" si="992"/>
        <v/>
      </c>
      <c r="BC2874" s="743" t="str">
        <f t="shared" si="993"/>
        <v/>
      </c>
      <c r="BD2874" s="743" t="str">
        <f t="shared" si="994"/>
        <v/>
      </c>
      <c r="BE2874" s="743" t="str">
        <f>IF(D2874="","",VLOOKUP(D2874,'General Basis'!$J$39:$K$46,2,0))</f>
        <v/>
      </c>
      <c r="BF2874" s="744" t="str">
        <f>IF(D2874="","",VLOOKUP(D2874,'General Basis'!$J$39:$L$46,3,0))</f>
        <v/>
      </c>
      <c r="BG2874" s="744" t="str">
        <f t="shared" si="1001"/>
        <v/>
      </c>
      <c r="BH2874" s="744" t="str">
        <f>IF(G2874="","",IF(BF2874="Abu Dhabi",IF(G2874&lt;18,'General Basis'!$C$39,IF(G2874&lt;41,'General Basis'!$C$40,IF(G2874&lt;60,'General Basis'!$C$41,IF(G2874&lt;65,'General Basis'!$C$42,'General Basis'!$C$43)))),IF(G2874&lt;11,'General Basis'!$B$39,IF(G2874&lt;18,'General Basis'!$B$40,IF(G2874&lt;26,'General Basis'!$B$41,IF(G2874&lt;31,'General Basis'!$B$42,IF(G2874&lt;36,'General Basis'!$B$43,IF(G2874&lt;41,'General Basis'!$B$44,IF(G2874&lt;46,'General Basis'!$B$45,IF(G2874&lt;51,'General Basis'!$B$46,IF(G2874&lt;56,'General Basis'!$B$47,IF(G2874&lt;60,'General Basis'!$B$48,IF(G2874&lt;65,'General Basis'!$B$49,'General Basis'!$B$50)))))))))))))</f>
        <v/>
      </c>
      <c r="BI2874" s="744" t="str">
        <f t="shared" si="995"/>
        <v/>
      </c>
      <c r="BJ2874" s="747" t="str">
        <f t="shared" si="1002"/>
        <v/>
      </c>
      <c r="BK2874" s="498" t="str">
        <f t="shared" si="996"/>
        <v/>
      </c>
      <c r="BL2874" s="498" t="str">
        <f t="shared" si="997"/>
        <v/>
      </c>
    </row>
    <row r="2875" spans="1:64" x14ac:dyDescent="0.25">
      <c r="A2875" s="762">
        <f t="shared" si="998"/>
        <v>2870</v>
      </c>
      <c r="B2875" s="229"/>
      <c r="C2875" s="223"/>
      <c r="D2875" s="224"/>
      <c r="E2875" s="225"/>
      <c r="F2875" s="1036" t="str">
        <f t="shared" si="1004"/>
        <v/>
      </c>
      <c r="G2875" s="1037" t="str">
        <f t="shared" si="999"/>
        <v/>
      </c>
      <c r="H2875" s="225"/>
      <c r="I2875" s="1013"/>
      <c r="J2875" s="1013"/>
      <c r="K2875" s="1028"/>
      <c r="L2875" s="1035" t="str">
        <f t="shared" si="1003"/>
        <v/>
      </c>
      <c r="S2875" s="498"/>
      <c r="AJ2875" s="498"/>
      <c r="AM2875" s="498">
        <f t="shared" si="984"/>
        <v>0</v>
      </c>
      <c r="AN2875" s="498">
        <f t="shared" si="985"/>
        <v>0</v>
      </c>
      <c r="AO2875" s="498">
        <f t="shared" si="986"/>
        <v>0</v>
      </c>
      <c r="AP2875" s="498">
        <f t="shared" si="1005"/>
        <v>0</v>
      </c>
      <c r="AQ2875" s="498">
        <f t="shared" si="1000"/>
        <v>0</v>
      </c>
      <c r="AU2875" s="498">
        <f t="shared" si="987"/>
        <v>0</v>
      </c>
      <c r="AV2875" s="498">
        <f t="shared" si="988"/>
        <v>0</v>
      </c>
      <c r="AW2875" s="498">
        <f t="shared" si="989"/>
        <v>0</v>
      </c>
      <c r="AX2875" s="498">
        <f t="shared" si="990"/>
        <v>0</v>
      </c>
      <c r="AY2875" s="498">
        <f t="shared" si="991"/>
        <v>0</v>
      </c>
      <c r="BB2875" s="498" t="str">
        <f t="shared" si="992"/>
        <v/>
      </c>
      <c r="BC2875" s="743" t="str">
        <f t="shared" si="993"/>
        <v/>
      </c>
      <c r="BD2875" s="743" t="str">
        <f t="shared" si="994"/>
        <v/>
      </c>
      <c r="BE2875" s="743" t="str">
        <f>IF(D2875="","",VLOOKUP(D2875,'General Basis'!$J$39:$K$46,2,0))</f>
        <v/>
      </c>
      <c r="BF2875" s="744" t="str">
        <f>IF(D2875="","",VLOOKUP(D2875,'General Basis'!$J$39:$L$46,3,0))</f>
        <v/>
      </c>
      <c r="BG2875" s="744" t="str">
        <f t="shared" si="1001"/>
        <v/>
      </c>
      <c r="BH2875" s="744" t="str">
        <f>IF(G2875="","",IF(BF2875="Abu Dhabi",IF(G2875&lt;18,'General Basis'!$C$39,IF(G2875&lt;41,'General Basis'!$C$40,IF(G2875&lt;60,'General Basis'!$C$41,IF(G2875&lt;65,'General Basis'!$C$42,'General Basis'!$C$43)))),IF(G2875&lt;11,'General Basis'!$B$39,IF(G2875&lt;18,'General Basis'!$B$40,IF(G2875&lt;26,'General Basis'!$B$41,IF(G2875&lt;31,'General Basis'!$B$42,IF(G2875&lt;36,'General Basis'!$B$43,IF(G2875&lt;41,'General Basis'!$B$44,IF(G2875&lt;46,'General Basis'!$B$45,IF(G2875&lt;51,'General Basis'!$B$46,IF(G2875&lt;56,'General Basis'!$B$47,IF(G2875&lt;60,'General Basis'!$B$48,IF(G2875&lt;65,'General Basis'!$B$49,'General Basis'!$B$50)))))))))))))</f>
        <v/>
      </c>
      <c r="BI2875" s="744" t="str">
        <f t="shared" si="995"/>
        <v/>
      </c>
      <c r="BJ2875" s="747" t="str">
        <f t="shared" si="1002"/>
        <v/>
      </c>
      <c r="BK2875" s="498" t="str">
        <f t="shared" si="996"/>
        <v/>
      </c>
      <c r="BL2875" s="498" t="str">
        <f t="shared" si="997"/>
        <v/>
      </c>
    </row>
    <row r="2876" spans="1:64" x14ac:dyDescent="0.25">
      <c r="A2876" s="762">
        <f t="shared" si="998"/>
        <v>2871</v>
      </c>
      <c r="B2876" s="229"/>
      <c r="C2876" s="223"/>
      <c r="D2876" s="224"/>
      <c r="E2876" s="225"/>
      <c r="F2876" s="1036" t="str">
        <f t="shared" si="1004"/>
        <v/>
      </c>
      <c r="G2876" s="1037" t="str">
        <f t="shared" si="999"/>
        <v/>
      </c>
      <c r="H2876" s="225"/>
      <c r="I2876" s="1013"/>
      <c r="J2876" s="1013"/>
      <c r="K2876" s="1028"/>
      <c r="L2876" s="1035" t="str">
        <f t="shared" si="1003"/>
        <v/>
      </c>
      <c r="S2876" s="498"/>
      <c r="AJ2876" s="498"/>
      <c r="AM2876" s="498">
        <f t="shared" si="984"/>
        <v>0</v>
      </c>
      <c r="AN2876" s="498">
        <f t="shared" si="985"/>
        <v>0</v>
      </c>
      <c r="AO2876" s="498">
        <f t="shared" si="986"/>
        <v>0</v>
      </c>
      <c r="AP2876" s="498">
        <f t="shared" si="1005"/>
        <v>0</v>
      </c>
      <c r="AQ2876" s="498">
        <f t="shared" si="1000"/>
        <v>0</v>
      </c>
      <c r="AU2876" s="498">
        <f t="shared" si="987"/>
        <v>0</v>
      </c>
      <c r="AV2876" s="498">
        <f t="shared" si="988"/>
        <v>0</v>
      </c>
      <c r="AW2876" s="498">
        <f t="shared" si="989"/>
        <v>0</v>
      </c>
      <c r="AX2876" s="498">
        <f t="shared" si="990"/>
        <v>0</v>
      </c>
      <c r="AY2876" s="498">
        <f t="shared" si="991"/>
        <v>0</v>
      </c>
      <c r="BB2876" s="498" t="str">
        <f t="shared" si="992"/>
        <v/>
      </c>
      <c r="BC2876" s="743" t="str">
        <f t="shared" si="993"/>
        <v/>
      </c>
      <c r="BD2876" s="743" t="str">
        <f t="shared" si="994"/>
        <v/>
      </c>
      <c r="BE2876" s="743" t="str">
        <f>IF(D2876="","",VLOOKUP(D2876,'General Basis'!$J$39:$K$46,2,0))</f>
        <v/>
      </c>
      <c r="BF2876" s="744" t="str">
        <f>IF(D2876="","",VLOOKUP(D2876,'General Basis'!$J$39:$L$46,3,0))</f>
        <v/>
      </c>
      <c r="BG2876" s="744" t="str">
        <f t="shared" si="1001"/>
        <v/>
      </c>
      <c r="BH2876" s="744" t="str">
        <f>IF(G2876="","",IF(BF2876="Abu Dhabi",IF(G2876&lt;18,'General Basis'!$C$39,IF(G2876&lt;41,'General Basis'!$C$40,IF(G2876&lt;60,'General Basis'!$C$41,IF(G2876&lt;65,'General Basis'!$C$42,'General Basis'!$C$43)))),IF(G2876&lt;11,'General Basis'!$B$39,IF(G2876&lt;18,'General Basis'!$B$40,IF(G2876&lt;26,'General Basis'!$B$41,IF(G2876&lt;31,'General Basis'!$B$42,IF(G2876&lt;36,'General Basis'!$B$43,IF(G2876&lt;41,'General Basis'!$B$44,IF(G2876&lt;46,'General Basis'!$B$45,IF(G2876&lt;51,'General Basis'!$B$46,IF(G2876&lt;56,'General Basis'!$B$47,IF(G2876&lt;60,'General Basis'!$B$48,IF(G2876&lt;65,'General Basis'!$B$49,'General Basis'!$B$50)))))))))))))</f>
        <v/>
      </c>
      <c r="BI2876" s="744" t="str">
        <f t="shared" si="995"/>
        <v/>
      </c>
      <c r="BJ2876" s="747" t="str">
        <f t="shared" si="1002"/>
        <v/>
      </c>
      <c r="BK2876" s="498" t="str">
        <f t="shared" si="996"/>
        <v/>
      </c>
      <c r="BL2876" s="498" t="str">
        <f t="shared" si="997"/>
        <v/>
      </c>
    </row>
    <row r="2877" spans="1:64" x14ac:dyDescent="0.25">
      <c r="A2877" s="762">
        <f t="shared" si="998"/>
        <v>2872</v>
      </c>
      <c r="B2877" s="229"/>
      <c r="C2877" s="223"/>
      <c r="D2877" s="224"/>
      <c r="E2877" s="225"/>
      <c r="F2877" s="1036" t="str">
        <f t="shared" si="1004"/>
        <v/>
      </c>
      <c r="G2877" s="1037" t="str">
        <f t="shared" si="999"/>
        <v/>
      </c>
      <c r="H2877" s="225"/>
      <c r="I2877" s="1013"/>
      <c r="J2877" s="1013"/>
      <c r="K2877" s="1028"/>
      <c r="L2877" s="1035" t="str">
        <f t="shared" si="1003"/>
        <v/>
      </c>
      <c r="S2877" s="498"/>
      <c r="AJ2877" s="498"/>
      <c r="AM2877" s="498">
        <f t="shared" si="984"/>
        <v>0</v>
      </c>
      <c r="AN2877" s="498">
        <f t="shared" si="985"/>
        <v>0</v>
      </c>
      <c r="AO2877" s="498">
        <f t="shared" si="986"/>
        <v>0</v>
      </c>
      <c r="AP2877" s="498">
        <f t="shared" si="1005"/>
        <v>0</v>
      </c>
      <c r="AQ2877" s="498">
        <f t="shared" si="1000"/>
        <v>0</v>
      </c>
      <c r="AU2877" s="498">
        <f t="shared" si="987"/>
        <v>0</v>
      </c>
      <c r="AV2877" s="498">
        <f t="shared" si="988"/>
        <v>0</v>
      </c>
      <c r="AW2877" s="498">
        <f t="shared" si="989"/>
        <v>0</v>
      </c>
      <c r="AX2877" s="498">
        <f t="shared" si="990"/>
        <v>0</v>
      </c>
      <c r="AY2877" s="498">
        <f t="shared" si="991"/>
        <v>0</v>
      </c>
      <c r="BB2877" s="498" t="str">
        <f t="shared" si="992"/>
        <v/>
      </c>
      <c r="BC2877" s="743" t="str">
        <f t="shared" si="993"/>
        <v/>
      </c>
      <c r="BD2877" s="743" t="str">
        <f t="shared" si="994"/>
        <v/>
      </c>
      <c r="BE2877" s="743" t="str">
        <f>IF(D2877="","",VLOOKUP(D2877,'General Basis'!$J$39:$K$46,2,0))</f>
        <v/>
      </c>
      <c r="BF2877" s="744" t="str">
        <f>IF(D2877="","",VLOOKUP(D2877,'General Basis'!$J$39:$L$46,3,0))</f>
        <v/>
      </c>
      <c r="BG2877" s="744" t="str">
        <f t="shared" si="1001"/>
        <v/>
      </c>
      <c r="BH2877" s="744" t="str">
        <f>IF(G2877="","",IF(BF2877="Abu Dhabi",IF(G2877&lt;18,'General Basis'!$C$39,IF(G2877&lt;41,'General Basis'!$C$40,IF(G2877&lt;60,'General Basis'!$C$41,IF(G2877&lt;65,'General Basis'!$C$42,'General Basis'!$C$43)))),IF(G2877&lt;11,'General Basis'!$B$39,IF(G2877&lt;18,'General Basis'!$B$40,IF(G2877&lt;26,'General Basis'!$B$41,IF(G2877&lt;31,'General Basis'!$B$42,IF(G2877&lt;36,'General Basis'!$B$43,IF(G2877&lt;41,'General Basis'!$B$44,IF(G2877&lt;46,'General Basis'!$B$45,IF(G2877&lt;51,'General Basis'!$B$46,IF(G2877&lt;56,'General Basis'!$B$47,IF(G2877&lt;60,'General Basis'!$B$48,IF(G2877&lt;65,'General Basis'!$B$49,'General Basis'!$B$50)))))))))))))</f>
        <v/>
      </c>
      <c r="BI2877" s="744" t="str">
        <f t="shared" si="995"/>
        <v/>
      </c>
      <c r="BJ2877" s="747" t="str">
        <f t="shared" si="1002"/>
        <v/>
      </c>
      <c r="BK2877" s="498" t="str">
        <f t="shared" si="996"/>
        <v/>
      </c>
      <c r="BL2877" s="498" t="str">
        <f t="shared" si="997"/>
        <v/>
      </c>
    </row>
    <row r="2878" spans="1:64" x14ac:dyDescent="0.25">
      <c r="A2878" s="762">
        <f t="shared" si="998"/>
        <v>2873</v>
      </c>
      <c r="B2878" s="229"/>
      <c r="C2878" s="223"/>
      <c r="D2878" s="224"/>
      <c r="E2878" s="225"/>
      <c r="F2878" s="1036" t="str">
        <f t="shared" si="1004"/>
        <v/>
      </c>
      <c r="G2878" s="1037" t="str">
        <f t="shared" si="999"/>
        <v/>
      </c>
      <c r="H2878" s="225"/>
      <c r="I2878" s="1013"/>
      <c r="J2878" s="1013"/>
      <c r="K2878" s="1028"/>
      <c r="L2878" s="1035" t="str">
        <f t="shared" si="1003"/>
        <v/>
      </c>
      <c r="S2878" s="498"/>
      <c r="AJ2878" s="498"/>
      <c r="AM2878" s="498">
        <f t="shared" si="984"/>
        <v>0</v>
      </c>
      <c r="AN2878" s="498">
        <f t="shared" si="985"/>
        <v>0</v>
      </c>
      <c r="AO2878" s="498">
        <f t="shared" si="986"/>
        <v>0</v>
      </c>
      <c r="AP2878" s="498">
        <f t="shared" si="1005"/>
        <v>0</v>
      </c>
      <c r="AQ2878" s="498">
        <f t="shared" si="1000"/>
        <v>0</v>
      </c>
      <c r="AU2878" s="498">
        <f t="shared" si="987"/>
        <v>0</v>
      </c>
      <c r="AV2878" s="498">
        <f t="shared" si="988"/>
        <v>0</v>
      </c>
      <c r="AW2878" s="498">
        <f t="shared" si="989"/>
        <v>0</v>
      </c>
      <c r="AX2878" s="498">
        <f t="shared" si="990"/>
        <v>0</v>
      </c>
      <c r="AY2878" s="498">
        <f t="shared" si="991"/>
        <v>0</v>
      </c>
      <c r="BB2878" s="498" t="str">
        <f t="shared" si="992"/>
        <v/>
      </c>
      <c r="BC2878" s="743" t="str">
        <f t="shared" si="993"/>
        <v/>
      </c>
      <c r="BD2878" s="743" t="str">
        <f t="shared" si="994"/>
        <v/>
      </c>
      <c r="BE2878" s="743" t="str">
        <f>IF(D2878="","",VLOOKUP(D2878,'General Basis'!$J$39:$K$46,2,0))</f>
        <v/>
      </c>
      <c r="BF2878" s="744" t="str">
        <f>IF(D2878="","",VLOOKUP(D2878,'General Basis'!$J$39:$L$46,3,0))</f>
        <v/>
      </c>
      <c r="BG2878" s="744" t="str">
        <f t="shared" si="1001"/>
        <v/>
      </c>
      <c r="BH2878" s="744" t="str">
        <f>IF(G2878="","",IF(BF2878="Abu Dhabi",IF(G2878&lt;18,'General Basis'!$C$39,IF(G2878&lt;41,'General Basis'!$C$40,IF(G2878&lt;60,'General Basis'!$C$41,IF(G2878&lt;65,'General Basis'!$C$42,'General Basis'!$C$43)))),IF(G2878&lt;11,'General Basis'!$B$39,IF(G2878&lt;18,'General Basis'!$B$40,IF(G2878&lt;26,'General Basis'!$B$41,IF(G2878&lt;31,'General Basis'!$B$42,IF(G2878&lt;36,'General Basis'!$B$43,IF(G2878&lt;41,'General Basis'!$B$44,IF(G2878&lt;46,'General Basis'!$B$45,IF(G2878&lt;51,'General Basis'!$B$46,IF(G2878&lt;56,'General Basis'!$B$47,IF(G2878&lt;60,'General Basis'!$B$48,IF(G2878&lt;65,'General Basis'!$B$49,'General Basis'!$B$50)))))))))))))</f>
        <v/>
      </c>
      <c r="BI2878" s="744" t="str">
        <f t="shared" si="995"/>
        <v/>
      </c>
      <c r="BJ2878" s="747" t="str">
        <f t="shared" si="1002"/>
        <v/>
      </c>
      <c r="BK2878" s="498" t="str">
        <f t="shared" si="996"/>
        <v/>
      </c>
      <c r="BL2878" s="498" t="str">
        <f t="shared" si="997"/>
        <v/>
      </c>
    </row>
    <row r="2879" spans="1:64" x14ac:dyDescent="0.25">
      <c r="A2879" s="762">
        <f t="shared" si="998"/>
        <v>2874</v>
      </c>
      <c r="B2879" s="229"/>
      <c r="C2879" s="223"/>
      <c r="D2879" s="224"/>
      <c r="E2879" s="225"/>
      <c r="F2879" s="1036" t="str">
        <f t="shared" si="1004"/>
        <v/>
      </c>
      <c r="G2879" s="1037" t="str">
        <f t="shared" si="999"/>
        <v/>
      </c>
      <c r="H2879" s="225"/>
      <c r="I2879" s="1013"/>
      <c r="J2879" s="1013"/>
      <c r="K2879" s="1028"/>
      <c r="L2879" s="1035" t="str">
        <f t="shared" si="1003"/>
        <v/>
      </c>
      <c r="S2879" s="498"/>
      <c r="AJ2879" s="498"/>
      <c r="AM2879" s="498">
        <f t="shared" si="984"/>
        <v>0</v>
      </c>
      <c r="AN2879" s="498">
        <f t="shared" si="985"/>
        <v>0</v>
      </c>
      <c r="AO2879" s="498">
        <f t="shared" si="986"/>
        <v>0</v>
      </c>
      <c r="AP2879" s="498">
        <f t="shared" si="1005"/>
        <v>0</v>
      </c>
      <c r="AQ2879" s="498">
        <f t="shared" si="1000"/>
        <v>0</v>
      </c>
      <c r="AU2879" s="498">
        <f t="shared" si="987"/>
        <v>0</v>
      </c>
      <c r="AV2879" s="498">
        <f t="shared" si="988"/>
        <v>0</v>
      </c>
      <c r="AW2879" s="498">
        <f t="shared" si="989"/>
        <v>0</v>
      </c>
      <c r="AX2879" s="498">
        <f t="shared" si="990"/>
        <v>0</v>
      </c>
      <c r="AY2879" s="498">
        <f t="shared" si="991"/>
        <v>0</v>
      </c>
      <c r="BB2879" s="498" t="str">
        <f t="shared" si="992"/>
        <v/>
      </c>
      <c r="BC2879" s="743" t="str">
        <f t="shared" si="993"/>
        <v/>
      </c>
      <c r="BD2879" s="743" t="str">
        <f t="shared" si="994"/>
        <v/>
      </c>
      <c r="BE2879" s="743" t="str">
        <f>IF(D2879="","",VLOOKUP(D2879,'General Basis'!$J$39:$K$46,2,0))</f>
        <v/>
      </c>
      <c r="BF2879" s="744" t="str">
        <f>IF(D2879="","",VLOOKUP(D2879,'General Basis'!$J$39:$L$46,3,0))</f>
        <v/>
      </c>
      <c r="BG2879" s="744" t="str">
        <f t="shared" si="1001"/>
        <v/>
      </c>
      <c r="BH2879" s="744" t="str">
        <f>IF(G2879="","",IF(BF2879="Abu Dhabi",IF(G2879&lt;18,'General Basis'!$C$39,IF(G2879&lt;41,'General Basis'!$C$40,IF(G2879&lt;60,'General Basis'!$C$41,IF(G2879&lt;65,'General Basis'!$C$42,'General Basis'!$C$43)))),IF(G2879&lt;11,'General Basis'!$B$39,IF(G2879&lt;18,'General Basis'!$B$40,IF(G2879&lt;26,'General Basis'!$B$41,IF(G2879&lt;31,'General Basis'!$B$42,IF(G2879&lt;36,'General Basis'!$B$43,IF(G2879&lt;41,'General Basis'!$B$44,IF(G2879&lt;46,'General Basis'!$B$45,IF(G2879&lt;51,'General Basis'!$B$46,IF(G2879&lt;56,'General Basis'!$B$47,IF(G2879&lt;60,'General Basis'!$B$48,IF(G2879&lt;65,'General Basis'!$B$49,'General Basis'!$B$50)))))))))))))</f>
        <v/>
      </c>
      <c r="BI2879" s="744" t="str">
        <f t="shared" si="995"/>
        <v/>
      </c>
      <c r="BJ2879" s="747" t="str">
        <f t="shared" si="1002"/>
        <v/>
      </c>
      <c r="BK2879" s="498" t="str">
        <f t="shared" si="996"/>
        <v/>
      </c>
      <c r="BL2879" s="498" t="str">
        <f t="shared" si="997"/>
        <v/>
      </c>
    </row>
    <row r="2880" spans="1:64" x14ac:dyDescent="0.25">
      <c r="A2880" s="762">
        <f t="shared" si="998"/>
        <v>2875</v>
      </c>
      <c r="B2880" s="229"/>
      <c r="C2880" s="223"/>
      <c r="D2880" s="224"/>
      <c r="E2880" s="225"/>
      <c r="F2880" s="1036" t="str">
        <f t="shared" si="1004"/>
        <v/>
      </c>
      <c r="G2880" s="1037" t="str">
        <f t="shared" si="999"/>
        <v/>
      </c>
      <c r="H2880" s="225"/>
      <c r="I2880" s="1013"/>
      <c r="J2880" s="1013"/>
      <c r="K2880" s="1028"/>
      <c r="L2880" s="1035" t="str">
        <f t="shared" si="1003"/>
        <v/>
      </c>
      <c r="S2880" s="498"/>
      <c r="AJ2880" s="498"/>
      <c r="AM2880" s="498">
        <f t="shared" si="984"/>
        <v>0</v>
      </c>
      <c r="AN2880" s="498">
        <f t="shared" si="985"/>
        <v>0</v>
      </c>
      <c r="AO2880" s="498">
        <f t="shared" si="986"/>
        <v>0</v>
      </c>
      <c r="AP2880" s="498">
        <f t="shared" si="1005"/>
        <v>0</v>
      </c>
      <c r="AQ2880" s="498">
        <f t="shared" si="1000"/>
        <v>0</v>
      </c>
      <c r="AU2880" s="498">
        <f t="shared" si="987"/>
        <v>0</v>
      </c>
      <c r="AV2880" s="498">
        <f t="shared" si="988"/>
        <v>0</v>
      </c>
      <c r="AW2880" s="498">
        <f t="shared" si="989"/>
        <v>0</v>
      </c>
      <c r="AX2880" s="498">
        <f t="shared" si="990"/>
        <v>0</v>
      </c>
      <c r="AY2880" s="498">
        <f t="shared" si="991"/>
        <v>0</v>
      </c>
      <c r="BB2880" s="498" t="str">
        <f t="shared" si="992"/>
        <v/>
      </c>
      <c r="BC2880" s="743" t="str">
        <f t="shared" si="993"/>
        <v/>
      </c>
      <c r="BD2880" s="743" t="str">
        <f t="shared" si="994"/>
        <v/>
      </c>
      <c r="BE2880" s="743" t="str">
        <f>IF(D2880="","",VLOOKUP(D2880,'General Basis'!$J$39:$K$46,2,0))</f>
        <v/>
      </c>
      <c r="BF2880" s="744" t="str">
        <f>IF(D2880="","",VLOOKUP(D2880,'General Basis'!$J$39:$L$46,3,0))</f>
        <v/>
      </c>
      <c r="BG2880" s="744" t="str">
        <f t="shared" si="1001"/>
        <v/>
      </c>
      <c r="BH2880" s="744" t="str">
        <f>IF(G2880="","",IF(BF2880="Abu Dhabi",IF(G2880&lt;18,'General Basis'!$C$39,IF(G2880&lt;41,'General Basis'!$C$40,IF(G2880&lt;60,'General Basis'!$C$41,IF(G2880&lt;65,'General Basis'!$C$42,'General Basis'!$C$43)))),IF(G2880&lt;11,'General Basis'!$B$39,IF(G2880&lt;18,'General Basis'!$B$40,IF(G2880&lt;26,'General Basis'!$B$41,IF(G2880&lt;31,'General Basis'!$B$42,IF(G2880&lt;36,'General Basis'!$B$43,IF(G2880&lt;41,'General Basis'!$B$44,IF(G2880&lt;46,'General Basis'!$B$45,IF(G2880&lt;51,'General Basis'!$B$46,IF(G2880&lt;56,'General Basis'!$B$47,IF(G2880&lt;60,'General Basis'!$B$48,IF(G2880&lt;65,'General Basis'!$B$49,'General Basis'!$B$50)))))))))))))</f>
        <v/>
      </c>
      <c r="BI2880" s="744" t="str">
        <f t="shared" si="995"/>
        <v/>
      </c>
      <c r="BJ2880" s="747" t="str">
        <f t="shared" si="1002"/>
        <v/>
      </c>
      <c r="BK2880" s="498" t="str">
        <f t="shared" si="996"/>
        <v/>
      </c>
      <c r="BL2880" s="498" t="str">
        <f t="shared" si="997"/>
        <v/>
      </c>
    </row>
    <row r="2881" spans="1:64" x14ac:dyDescent="0.25">
      <c r="A2881" s="762">
        <f t="shared" si="998"/>
        <v>2876</v>
      </c>
      <c r="B2881" s="229"/>
      <c r="C2881" s="223"/>
      <c r="D2881" s="224"/>
      <c r="E2881" s="225"/>
      <c r="F2881" s="1036" t="str">
        <f t="shared" si="1004"/>
        <v/>
      </c>
      <c r="G2881" s="1037" t="str">
        <f t="shared" si="999"/>
        <v/>
      </c>
      <c r="H2881" s="225"/>
      <c r="I2881" s="1013"/>
      <c r="J2881" s="1013"/>
      <c r="K2881" s="1028"/>
      <c r="L2881" s="1035" t="str">
        <f t="shared" si="1003"/>
        <v/>
      </c>
      <c r="S2881" s="498"/>
      <c r="AJ2881" s="498"/>
      <c r="AM2881" s="498">
        <f t="shared" si="984"/>
        <v>0</v>
      </c>
      <c r="AN2881" s="498">
        <f t="shared" si="985"/>
        <v>0</v>
      </c>
      <c r="AO2881" s="498">
        <f t="shared" si="986"/>
        <v>0</v>
      </c>
      <c r="AP2881" s="498">
        <f t="shared" si="1005"/>
        <v>0</v>
      </c>
      <c r="AQ2881" s="498">
        <f t="shared" si="1000"/>
        <v>0</v>
      </c>
      <c r="AU2881" s="498">
        <f t="shared" si="987"/>
        <v>0</v>
      </c>
      <c r="AV2881" s="498">
        <f t="shared" si="988"/>
        <v>0</v>
      </c>
      <c r="AW2881" s="498">
        <f t="shared" si="989"/>
        <v>0</v>
      </c>
      <c r="AX2881" s="498">
        <f t="shared" si="990"/>
        <v>0</v>
      </c>
      <c r="AY2881" s="498">
        <f t="shared" si="991"/>
        <v>0</v>
      </c>
      <c r="BB2881" s="498" t="str">
        <f t="shared" si="992"/>
        <v/>
      </c>
      <c r="BC2881" s="743" t="str">
        <f t="shared" si="993"/>
        <v/>
      </c>
      <c r="BD2881" s="743" t="str">
        <f t="shared" si="994"/>
        <v/>
      </c>
      <c r="BE2881" s="743" t="str">
        <f>IF(D2881="","",VLOOKUP(D2881,'General Basis'!$J$39:$K$46,2,0))</f>
        <v/>
      </c>
      <c r="BF2881" s="744" t="str">
        <f>IF(D2881="","",VLOOKUP(D2881,'General Basis'!$J$39:$L$46,3,0))</f>
        <v/>
      </c>
      <c r="BG2881" s="744" t="str">
        <f t="shared" si="1001"/>
        <v/>
      </c>
      <c r="BH2881" s="744" t="str">
        <f>IF(G2881="","",IF(BF2881="Abu Dhabi",IF(G2881&lt;18,'General Basis'!$C$39,IF(G2881&lt;41,'General Basis'!$C$40,IF(G2881&lt;60,'General Basis'!$C$41,IF(G2881&lt;65,'General Basis'!$C$42,'General Basis'!$C$43)))),IF(G2881&lt;11,'General Basis'!$B$39,IF(G2881&lt;18,'General Basis'!$B$40,IF(G2881&lt;26,'General Basis'!$B$41,IF(G2881&lt;31,'General Basis'!$B$42,IF(G2881&lt;36,'General Basis'!$B$43,IF(G2881&lt;41,'General Basis'!$B$44,IF(G2881&lt;46,'General Basis'!$B$45,IF(G2881&lt;51,'General Basis'!$B$46,IF(G2881&lt;56,'General Basis'!$B$47,IF(G2881&lt;60,'General Basis'!$B$48,IF(G2881&lt;65,'General Basis'!$B$49,'General Basis'!$B$50)))))))))))))</f>
        <v/>
      </c>
      <c r="BI2881" s="744" t="str">
        <f t="shared" si="995"/>
        <v/>
      </c>
      <c r="BJ2881" s="747" t="str">
        <f t="shared" si="1002"/>
        <v/>
      </c>
      <c r="BK2881" s="498" t="str">
        <f t="shared" si="996"/>
        <v/>
      </c>
      <c r="BL2881" s="498" t="str">
        <f t="shared" si="997"/>
        <v/>
      </c>
    </row>
    <row r="2882" spans="1:64" x14ac:dyDescent="0.25">
      <c r="A2882" s="762">
        <f t="shared" si="998"/>
        <v>2877</v>
      </c>
      <c r="B2882" s="229"/>
      <c r="C2882" s="223"/>
      <c r="D2882" s="224"/>
      <c r="E2882" s="225"/>
      <c r="F2882" s="1036" t="str">
        <f t="shared" si="1004"/>
        <v/>
      </c>
      <c r="G2882" s="1037" t="str">
        <f t="shared" si="999"/>
        <v/>
      </c>
      <c r="H2882" s="225"/>
      <c r="I2882" s="1013"/>
      <c r="J2882" s="1013"/>
      <c r="K2882" s="1028"/>
      <c r="L2882" s="1035" t="str">
        <f t="shared" si="1003"/>
        <v/>
      </c>
      <c r="S2882" s="498"/>
      <c r="AJ2882" s="498"/>
      <c r="AM2882" s="498">
        <f t="shared" si="984"/>
        <v>0</v>
      </c>
      <c r="AN2882" s="498">
        <f t="shared" si="985"/>
        <v>0</v>
      </c>
      <c r="AO2882" s="498">
        <f t="shared" si="986"/>
        <v>0</v>
      </c>
      <c r="AP2882" s="498">
        <f t="shared" si="1005"/>
        <v>0</v>
      </c>
      <c r="AQ2882" s="498">
        <f t="shared" si="1000"/>
        <v>0</v>
      </c>
      <c r="AU2882" s="498">
        <f t="shared" si="987"/>
        <v>0</v>
      </c>
      <c r="AV2882" s="498">
        <f t="shared" si="988"/>
        <v>0</v>
      </c>
      <c r="AW2882" s="498">
        <f t="shared" si="989"/>
        <v>0</v>
      </c>
      <c r="AX2882" s="498">
        <f t="shared" si="990"/>
        <v>0</v>
      </c>
      <c r="AY2882" s="498">
        <f t="shared" si="991"/>
        <v>0</v>
      </c>
      <c r="BB2882" s="498" t="str">
        <f t="shared" si="992"/>
        <v/>
      </c>
      <c r="BC2882" s="743" t="str">
        <f t="shared" si="993"/>
        <v/>
      </c>
      <c r="BD2882" s="743" t="str">
        <f t="shared" si="994"/>
        <v/>
      </c>
      <c r="BE2882" s="743" t="str">
        <f>IF(D2882="","",VLOOKUP(D2882,'General Basis'!$J$39:$K$46,2,0))</f>
        <v/>
      </c>
      <c r="BF2882" s="744" t="str">
        <f>IF(D2882="","",VLOOKUP(D2882,'General Basis'!$J$39:$L$46,3,0))</f>
        <v/>
      </c>
      <c r="BG2882" s="744" t="str">
        <f t="shared" si="1001"/>
        <v/>
      </c>
      <c r="BH2882" s="744" t="str">
        <f>IF(G2882="","",IF(BF2882="Abu Dhabi",IF(G2882&lt;18,'General Basis'!$C$39,IF(G2882&lt;41,'General Basis'!$C$40,IF(G2882&lt;60,'General Basis'!$C$41,IF(G2882&lt;65,'General Basis'!$C$42,'General Basis'!$C$43)))),IF(G2882&lt;11,'General Basis'!$B$39,IF(G2882&lt;18,'General Basis'!$B$40,IF(G2882&lt;26,'General Basis'!$B$41,IF(G2882&lt;31,'General Basis'!$B$42,IF(G2882&lt;36,'General Basis'!$B$43,IF(G2882&lt;41,'General Basis'!$B$44,IF(G2882&lt;46,'General Basis'!$B$45,IF(G2882&lt;51,'General Basis'!$B$46,IF(G2882&lt;56,'General Basis'!$B$47,IF(G2882&lt;60,'General Basis'!$B$48,IF(G2882&lt;65,'General Basis'!$B$49,'General Basis'!$B$50)))))))))))))</f>
        <v/>
      </c>
      <c r="BI2882" s="744" t="str">
        <f t="shared" si="995"/>
        <v/>
      </c>
      <c r="BJ2882" s="747" t="str">
        <f t="shared" si="1002"/>
        <v/>
      </c>
      <c r="BK2882" s="498" t="str">
        <f t="shared" si="996"/>
        <v/>
      </c>
      <c r="BL2882" s="498" t="str">
        <f t="shared" si="997"/>
        <v/>
      </c>
    </row>
    <row r="2883" spans="1:64" x14ac:dyDescent="0.25">
      <c r="A2883" s="762">
        <f t="shared" si="998"/>
        <v>2878</v>
      </c>
      <c r="B2883" s="229"/>
      <c r="C2883" s="223"/>
      <c r="D2883" s="224"/>
      <c r="E2883" s="225"/>
      <c r="F2883" s="1036" t="str">
        <f t="shared" si="1004"/>
        <v/>
      </c>
      <c r="G2883" s="1037" t="str">
        <f t="shared" si="999"/>
        <v/>
      </c>
      <c r="H2883" s="225"/>
      <c r="I2883" s="1013"/>
      <c r="J2883" s="1013"/>
      <c r="K2883" s="1028"/>
      <c r="L2883" s="1035" t="str">
        <f t="shared" si="1003"/>
        <v/>
      </c>
      <c r="S2883" s="498"/>
      <c r="AJ2883" s="498"/>
      <c r="AM2883" s="498">
        <f t="shared" si="984"/>
        <v>0</v>
      </c>
      <c r="AN2883" s="498">
        <f t="shared" si="985"/>
        <v>0</v>
      </c>
      <c r="AO2883" s="498">
        <f t="shared" si="986"/>
        <v>0</v>
      </c>
      <c r="AP2883" s="498">
        <f t="shared" si="1005"/>
        <v>0</v>
      </c>
      <c r="AQ2883" s="498">
        <f t="shared" si="1000"/>
        <v>0</v>
      </c>
      <c r="AU2883" s="498">
        <f t="shared" si="987"/>
        <v>0</v>
      </c>
      <c r="AV2883" s="498">
        <f t="shared" si="988"/>
        <v>0</v>
      </c>
      <c r="AW2883" s="498">
        <f t="shared" si="989"/>
        <v>0</v>
      </c>
      <c r="AX2883" s="498">
        <f t="shared" si="990"/>
        <v>0</v>
      </c>
      <c r="AY2883" s="498">
        <f t="shared" si="991"/>
        <v>0</v>
      </c>
      <c r="BB2883" s="498" t="str">
        <f t="shared" si="992"/>
        <v/>
      </c>
      <c r="BC2883" s="743" t="str">
        <f t="shared" si="993"/>
        <v/>
      </c>
      <c r="BD2883" s="743" t="str">
        <f t="shared" si="994"/>
        <v/>
      </c>
      <c r="BE2883" s="743" t="str">
        <f>IF(D2883="","",VLOOKUP(D2883,'General Basis'!$J$39:$K$46,2,0))</f>
        <v/>
      </c>
      <c r="BF2883" s="744" t="str">
        <f>IF(D2883="","",VLOOKUP(D2883,'General Basis'!$J$39:$L$46,3,0))</f>
        <v/>
      </c>
      <c r="BG2883" s="744" t="str">
        <f t="shared" si="1001"/>
        <v/>
      </c>
      <c r="BH2883" s="744" t="str">
        <f>IF(G2883="","",IF(BF2883="Abu Dhabi",IF(G2883&lt;18,'General Basis'!$C$39,IF(G2883&lt;41,'General Basis'!$C$40,IF(G2883&lt;60,'General Basis'!$C$41,IF(G2883&lt;65,'General Basis'!$C$42,'General Basis'!$C$43)))),IF(G2883&lt;11,'General Basis'!$B$39,IF(G2883&lt;18,'General Basis'!$B$40,IF(G2883&lt;26,'General Basis'!$B$41,IF(G2883&lt;31,'General Basis'!$B$42,IF(G2883&lt;36,'General Basis'!$B$43,IF(G2883&lt;41,'General Basis'!$B$44,IF(G2883&lt;46,'General Basis'!$B$45,IF(G2883&lt;51,'General Basis'!$B$46,IF(G2883&lt;56,'General Basis'!$B$47,IF(G2883&lt;60,'General Basis'!$B$48,IF(G2883&lt;65,'General Basis'!$B$49,'General Basis'!$B$50)))))))))))))</f>
        <v/>
      </c>
      <c r="BI2883" s="744" t="str">
        <f t="shared" si="995"/>
        <v/>
      </c>
      <c r="BJ2883" s="747" t="str">
        <f t="shared" si="1002"/>
        <v/>
      </c>
      <c r="BK2883" s="498" t="str">
        <f t="shared" si="996"/>
        <v/>
      </c>
      <c r="BL2883" s="498" t="str">
        <f t="shared" si="997"/>
        <v/>
      </c>
    </row>
    <row r="2884" spans="1:64" x14ac:dyDescent="0.25">
      <c r="A2884" s="762">
        <f t="shared" si="998"/>
        <v>2879</v>
      </c>
      <c r="B2884" s="229"/>
      <c r="C2884" s="223"/>
      <c r="D2884" s="224"/>
      <c r="E2884" s="225"/>
      <c r="F2884" s="1036" t="str">
        <f t="shared" si="1004"/>
        <v/>
      </c>
      <c r="G2884" s="1037" t="str">
        <f t="shared" si="999"/>
        <v/>
      </c>
      <c r="H2884" s="225"/>
      <c r="I2884" s="1013"/>
      <c r="J2884" s="1013"/>
      <c r="K2884" s="1028"/>
      <c r="L2884" s="1035" t="str">
        <f t="shared" si="1003"/>
        <v/>
      </c>
      <c r="S2884" s="498"/>
      <c r="AJ2884" s="498"/>
      <c r="AM2884" s="498">
        <f t="shared" si="984"/>
        <v>0</v>
      </c>
      <c r="AN2884" s="498">
        <f t="shared" si="985"/>
        <v>0</v>
      </c>
      <c r="AO2884" s="498">
        <f t="shared" si="986"/>
        <v>0</v>
      </c>
      <c r="AP2884" s="498">
        <f t="shared" si="1005"/>
        <v>0</v>
      </c>
      <c r="AQ2884" s="498">
        <f t="shared" si="1000"/>
        <v>0</v>
      </c>
      <c r="AU2884" s="498">
        <f t="shared" si="987"/>
        <v>0</v>
      </c>
      <c r="AV2884" s="498">
        <f t="shared" si="988"/>
        <v>0</v>
      </c>
      <c r="AW2884" s="498">
        <f t="shared" si="989"/>
        <v>0</v>
      </c>
      <c r="AX2884" s="498">
        <f t="shared" si="990"/>
        <v>0</v>
      </c>
      <c r="AY2884" s="498">
        <f t="shared" si="991"/>
        <v>0</v>
      </c>
      <c r="BB2884" s="498" t="str">
        <f t="shared" si="992"/>
        <v/>
      </c>
      <c r="BC2884" s="743" t="str">
        <f t="shared" si="993"/>
        <v/>
      </c>
      <c r="BD2884" s="743" t="str">
        <f t="shared" si="994"/>
        <v/>
      </c>
      <c r="BE2884" s="743" t="str">
        <f>IF(D2884="","",VLOOKUP(D2884,'General Basis'!$J$39:$K$46,2,0))</f>
        <v/>
      </c>
      <c r="BF2884" s="744" t="str">
        <f>IF(D2884="","",VLOOKUP(D2884,'General Basis'!$J$39:$L$46,3,0))</f>
        <v/>
      </c>
      <c r="BG2884" s="744" t="str">
        <f t="shared" si="1001"/>
        <v/>
      </c>
      <c r="BH2884" s="744" t="str">
        <f>IF(G2884="","",IF(BF2884="Abu Dhabi",IF(G2884&lt;18,'General Basis'!$C$39,IF(G2884&lt;41,'General Basis'!$C$40,IF(G2884&lt;60,'General Basis'!$C$41,IF(G2884&lt;65,'General Basis'!$C$42,'General Basis'!$C$43)))),IF(G2884&lt;11,'General Basis'!$B$39,IF(G2884&lt;18,'General Basis'!$B$40,IF(G2884&lt;26,'General Basis'!$B$41,IF(G2884&lt;31,'General Basis'!$B$42,IF(G2884&lt;36,'General Basis'!$B$43,IF(G2884&lt;41,'General Basis'!$B$44,IF(G2884&lt;46,'General Basis'!$B$45,IF(G2884&lt;51,'General Basis'!$B$46,IF(G2884&lt;56,'General Basis'!$B$47,IF(G2884&lt;60,'General Basis'!$B$48,IF(G2884&lt;65,'General Basis'!$B$49,'General Basis'!$B$50)))))))))))))</f>
        <v/>
      </c>
      <c r="BI2884" s="744" t="str">
        <f t="shared" si="995"/>
        <v/>
      </c>
      <c r="BJ2884" s="747" t="str">
        <f t="shared" si="1002"/>
        <v/>
      </c>
      <c r="BK2884" s="498" t="str">
        <f t="shared" si="996"/>
        <v/>
      </c>
      <c r="BL2884" s="498" t="str">
        <f t="shared" si="997"/>
        <v/>
      </c>
    </row>
    <row r="2885" spans="1:64" x14ac:dyDescent="0.25">
      <c r="A2885" s="762">
        <f t="shared" si="998"/>
        <v>2880</v>
      </c>
      <c r="B2885" s="229"/>
      <c r="C2885" s="223"/>
      <c r="D2885" s="224"/>
      <c r="E2885" s="225"/>
      <c r="F2885" s="1036" t="str">
        <f t="shared" si="1004"/>
        <v/>
      </c>
      <c r="G2885" s="1037" t="str">
        <f t="shared" si="999"/>
        <v/>
      </c>
      <c r="H2885" s="225"/>
      <c r="I2885" s="1013"/>
      <c r="J2885" s="1013"/>
      <c r="K2885" s="1028"/>
      <c r="L2885" s="1035" t="str">
        <f t="shared" si="1003"/>
        <v/>
      </c>
      <c r="S2885" s="498"/>
      <c r="AJ2885" s="498"/>
      <c r="AM2885" s="498">
        <f t="shared" si="984"/>
        <v>0</v>
      </c>
      <c r="AN2885" s="498">
        <f t="shared" si="985"/>
        <v>0</v>
      </c>
      <c r="AO2885" s="498">
        <f t="shared" si="986"/>
        <v>0</v>
      </c>
      <c r="AP2885" s="498">
        <f t="shared" si="1005"/>
        <v>0</v>
      </c>
      <c r="AQ2885" s="498">
        <f t="shared" si="1000"/>
        <v>0</v>
      </c>
      <c r="AU2885" s="498">
        <f t="shared" si="987"/>
        <v>0</v>
      </c>
      <c r="AV2885" s="498">
        <f t="shared" si="988"/>
        <v>0</v>
      </c>
      <c r="AW2885" s="498">
        <f t="shared" si="989"/>
        <v>0</v>
      </c>
      <c r="AX2885" s="498">
        <f t="shared" si="990"/>
        <v>0</v>
      </c>
      <c r="AY2885" s="498">
        <f t="shared" si="991"/>
        <v>0</v>
      </c>
      <c r="BB2885" s="498" t="str">
        <f t="shared" si="992"/>
        <v/>
      </c>
      <c r="BC2885" s="743" t="str">
        <f t="shared" si="993"/>
        <v/>
      </c>
      <c r="BD2885" s="743" t="str">
        <f t="shared" si="994"/>
        <v/>
      </c>
      <c r="BE2885" s="743" t="str">
        <f>IF(D2885="","",VLOOKUP(D2885,'General Basis'!$J$39:$K$46,2,0))</f>
        <v/>
      </c>
      <c r="BF2885" s="744" t="str">
        <f>IF(D2885="","",VLOOKUP(D2885,'General Basis'!$J$39:$L$46,3,0))</f>
        <v/>
      </c>
      <c r="BG2885" s="744" t="str">
        <f t="shared" si="1001"/>
        <v/>
      </c>
      <c r="BH2885" s="744" t="str">
        <f>IF(G2885="","",IF(BF2885="Abu Dhabi",IF(G2885&lt;18,'General Basis'!$C$39,IF(G2885&lt;41,'General Basis'!$C$40,IF(G2885&lt;60,'General Basis'!$C$41,IF(G2885&lt;65,'General Basis'!$C$42,'General Basis'!$C$43)))),IF(G2885&lt;11,'General Basis'!$B$39,IF(G2885&lt;18,'General Basis'!$B$40,IF(G2885&lt;26,'General Basis'!$B$41,IF(G2885&lt;31,'General Basis'!$B$42,IF(G2885&lt;36,'General Basis'!$B$43,IF(G2885&lt;41,'General Basis'!$B$44,IF(G2885&lt;46,'General Basis'!$B$45,IF(G2885&lt;51,'General Basis'!$B$46,IF(G2885&lt;56,'General Basis'!$B$47,IF(G2885&lt;60,'General Basis'!$B$48,IF(G2885&lt;65,'General Basis'!$B$49,'General Basis'!$B$50)))))))))))))</f>
        <v/>
      </c>
      <c r="BI2885" s="744" t="str">
        <f t="shared" si="995"/>
        <v/>
      </c>
      <c r="BJ2885" s="747" t="str">
        <f t="shared" si="1002"/>
        <v/>
      </c>
      <c r="BK2885" s="498" t="str">
        <f t="shared" si="996"/>
        <v/>
      </c>
      <c r="BL2885" s="498" t="str">
        <f t="shared" si="997"/>
        <v/>
      </c>
    </row>
    <row r="2886" spans="1:64" x14ac:dyDescent="0.25">
      <c r="A2886" s="762">
        <f t="shared" si="998"/>
        <v>2881</v>
      </c>
      <c r="B2886" s="229"/>
      <c r="C2886" s="223"/>
      <c r="D2886" s="224"/>
      <c r="E2886" s="225"/>
      <c r="F2886" s="1036" t="str">
        <f t="shared" si="1004"/>
        <v/>
      </c>
      <c r="G2886" s="1037" t="str">
        <f t="shared" si="999"/>
        <v/>
      </c>
      <c r="H2886" s="225"/>
      <c r="I2886" s="1013"/>
      <c r="J2886" s="1013"/>
      <c r="K2886" s="1028"/>
      <c r="L2886" s="1035" t="str">
        <f t="shared" si="1003"/>
        <v/>
      </c>
      <c r="S2886" s="498"/>
      <c r="AJ2886" s="498"/>
      <c r="AM2886" s="498">
        <f t="shared" ref="AM2886:AM2949" si="1006">IF(ISTEXT(B2886),1,0)</f>
        <v>0</v>
      </c>
      <c r="AN2886" s="498">
        <f t="shared" ref="AN2886:AN2949" si="1007">IF(ISBLANK(B2886),0,IF(B2886&lt;$AK$6,1,0))</f>
        <v>0</v>
      </c>
      <c r="AO2886" s="498">
        <f t="shared" ref="AO2886:AO2949" si="1008">IF(ISBLANK(B2886),0,IF(B2886&gt;$AK$7,1,0))</f>
        <v>0</v>
      </c>
      <c r="AP2886" s="498">
        <f t="shared" si="1005"/>
        <v>0</v>
      </c>
      <c r="AQ2886" s="498">
        <f t="shared" si="1000"/>
        <v>0</v>
      </c>
      <c r="AU2886" s="498">
        <f t="shared" ref="AU2886:AU2949" si="1009">IF(ISBLANK(B2886),0,1)</f>
        <v>0</v>
      </c>
      <c r="AV2886" s="498">
        <f t="shared" ref="AV2886:AV2949" si="1010">IF(ISBLANK(C2886),0,1)</f>
        <v>0</v>
      </c>
      <c r="AW2886" s="498">
        <f t="shared" ref="AW2886:AW2949" si="1011">IF(ISBLANK(D2886),0,1)</f>
        <v>0</v>
      </c>
      <c r="AX2886" s="498">
        <f t="shared" ref="AX2886:AX2949" si="1012">IF(ISBLANK(E2886),0,1)</f>
        <v>0</v>
      </c>
      <c r="AY2886" s="498">
        <f t="shared" ref="AY2886:AY2949" si="1013">IF(ISBLANK(H2886),0,1)</f>
        <v>0</v>
      </c>
      <c r="BB2886" s="498" t="str">
        <f t="shared" ref="BB2886:BB2949" si="1014">IF(E2886="Principal","Principal",IF(E2886="","","Other"))</f>
        <v/>
      </c>
      <c r="BC2886" s="743" t="str">
        <f t="shared" ref="BC2886:BC2949" si="1015">IF(D2886="","",D2886)</f>
        <v/>
      </c>
      <c r="BD2886" s="743" t="str">
        <f t="shared" ref="BD2886:BD2949" si="1016">IF(E2886="Principal","Employee",IF(E2886="","","Dependent"))</f>
        <v/>
      </c>
      <c r="BE2886" s="743" t="str">
        <f>IF(D2886="","",VLOOKUP(D2886,'General Basis'!$J$39:$K$46,2,0))</f>
        <v/>
      </c>
      <c r="BF2886" s="744" t="str">
        <f>IF(D2886="","",VLOOKUP(D2886,'General Basis'!$J$39:$L$46,3,0))</f>
        <v/>
      </c>
      <c r="BG2886" s="744" t="str">
        <f t="shared" si="1001"/>
        <v/>
      </c>
      <c r="BH2886" s="744" t="str">
        <f>IF(G2886="","",IF(BF2886="Abu Dhabi",IF(G2886&lt;18,'General Basis'!$C$39,IF(G2886&lt;41,'General Basis'!$C$40,IF(G2886&lt;60,'General Basis'!$C$41,IF(G2886&lt;65,'General Basis'!$C$42,'General Basis'!$C$43)))),IF(G2886&lt;11,'General Basis'!$B$39,IF(G2886&lt;18,'General Basis'!$B$40,IF(G2886&lt;26,'General Basis'!$B$41,IF(G2886&lt;31,'General Basis'!$B$42,IF(G2886&lt;36,'General Basis'!$B$43,IF(G2886&lt;41,'General Basis'!$B$44,IF(G2886&lt;46,'General Basis'!$B$45,IF(G2886&lt;51,'General Basis'!$B$46,IF(G2886&lt;56,'General Basis'!$B$47,IF(G2886&lt;60,'General Basis'!$B$48,IF(G2886&lt;65,'General Basis'!$B$49,'General Basis'!$B$50)))))))))))))</f>
        <v/>
      </c>
      <c r="BI2886" s="744" t="str">
        <f t="shared" ref="BI2886:BI2949" si="1017">IF(C2886="","",IF(C2886="M","Male","Female"))</f>
        <v/>
      </c>
      <c r="BJ2886" s="747" t="str">
        <f t="shared" si="1002"/>
        <v/>
      </c>
      <c r="BK2886" s="498" t="str">
        <f t="shared" ref="BK2886:BK2949" si="1018">IF(BD2886="","",IF(AND(BD2886="Employee",BI2886="Male",BF2886="Abu Dhabi",BE2886=GN_Plus),VLOOKUP(BH2886,AUH_MALE_EMP,2,0),IF(AND(BD2886="Employee",BI2886="Male",BF2886="Abu Dhabi",BE2886=GN),VLOOKUP(BH2886,AUH_MALE_EMP,3,0),IF(AND(BD2886="Employee",BI2886="Male",BF2886="Abu Dhabi",BE2886=RN_Plus),VLOOKUP(BH2886,AUH_MALE_EMP,4,0),IF(AND(BD2886="Employee",BI2886="Male",BF2886="Abu Dhabi",BE2886=RN),VLOOKUP(BH2886,AUH_MALE_EMP,5,0),IF(AND(BD2886="Employee",BI2886="Male",BF2886="Abu Dhabi",BE2886=RN_2),VLOOKUP(BH2886,AUH_MALE_EMP,6,0),IF(AND(BD2886="Employee",BI2886="Male",BF2886="Abu Dhabi",BE2886=RN2_minus),VLOOKUP(BH2886,AUH_MALE_EMP,7,0),IF(AND(BD2886="Employee",BI2886="Male",BF2886="Abu Dhabi",BE2886=RN_3),VLOOKUP(BH2886,AUH_MALE_EMP,8,0),IF(AND(BD2886="Employee",BI2886="Male",BF2886="Abu Dhabi",BE2886=VN),VLOOKUP(BH2886,AUH_MALE_EMP,9,0),IF(BD2886="","",IF(AND(BD2886="Employee",BI2886="Female",BF2886="Abu Dhabi",BE2886=GN_Plus),VLOOKUP(BH2886,AUH_FEMALE_EMP,2,0),IF(AND(BD2886="Employee",BI2886="Female",BF2886="Abu Dhabi",BE2886=GN),VLOOKUP(BH2886,AUH_FEMALE_EMP,3,0),IF(AND(BD2886="Employee",BI2886="Female",BF2886="Abu Dhabi",BE2886=RN_Plus),VLOOKUP(BH2886,AUH_FEMALE_EMP,4,0),IF(AND(BD2886="Employee",BI2886="Female",BF2886="Abu Dhabi",BE2886=RN),VLOOKUP(BH2886,AUH_FEMALE_EMP,5,0),IF(AND(BD2886="Employee",BI2886="Female",BF2886="Abu Dhabi",BE2886=RN_2),VLOOKUP(BH2886,AUH_FEMALE_EMP,6,0),IF(AND(BD2886="Employee",BI2886="Female",BF2886="Abu Dhabi",BE2886=RN2_minus),VLOOKUP(BH2886,AUH_FEMALE_EMP,7,0),IF(AND(BD2886="Employee",BI2886="Female",BF2886="Abu Dhabi",BE2886=RN_3),VLOOKUP(BH2886,AUH_FEMALE_EMP,8,0),IF(AND(BD2886="Employee",BI2886="Female",BF2886="Abu Dhabi",BE2886=VN),VLOOKUP(BH2886,AUH_FEMALE_EMP,9,0),IF(BD2886="","",IF(AND(BD2886="Dependent",BI2886="Male",BF2886="Abu Dhabi",BE2886=GN_Plus),VLOOKUP(BH2886,AUH_MALE_DEP,2,0),IF(AND(BD2886="Dependent",BI2886="Male",BF2886="Abu Dhabi",BE2886=GN),VLOOKUP(BH2886,AUH_MALE_DEP,3,0),IF(AND(BD2886="Dependent",BI2886="Male",BF2886="Abu Dhabi",BE2886=RN_Plus),VLOOKUP(BH2886,AUH_MALE_DEP,4,0),IF(AND(BD2886="Dependent",BI2886="Male",BF2886="Abu Dhabi",BE2886=RN),VLOOKUP(BH2886,AUH_MALE_DEP,5,0),IF(AND(BD2886="Dependent",BI2886="Male",BF2886="Abu Dhabi",BE2886=RN_2),VLOOKUP(BH2886,AUH_MALE_DEP,6,0),IF(AND(BD2886="Dependent",BI2886="Male",BF2886="Abu Dhabi",BE2886=RN2_minus),VLOOKUP(BH2886,AUH_MALE_DEP,7,0),IF(AND(BD2886="Dependent",BI2886="Male",BF2886="Abu Dhabi",BE2886=RN_3),VLOOKUP(BH2886,AUH_MALE_DEP,8,0),IF(AND(BD2886="Dependent",BI2886="Male",BF2886="Abu Dhabi",BE2886=VN),VLOOKUP(BH2886,AUH_MALE_DEP,9,0),IF(BD2886="","",IF(AND(BD2886="Dependent",BI2886="Female",BF2886="Abu Dhabi",BE2886=GN_Plus),VLOOKUP(BH2886,AUH_FEMALE_DEP,2,0),IF(AND(BD2886="Dependent",BI2886="Female",BF2886="Abu Dhabi",BE2886=GN),VLOOKUP(BH2886,AUH_FEMALE_DEP,3,0),IF(AND(BD2886="Dependent",BI2886="Female",BF2886="Abu Dhabi",BE2886=RN_Plus),VLOOKUP(BH2886,AUH_FEMALE_DEP,4,0),IF(AND(BD2886="Dependent",BI2886="Female",BF2886="Abu Dhabi",BE2886=RN),VLOOKUP(BH2886,AUH_FEMALE_DEP,5,0),IF(AND(BD2886="Dependent",BI2886="Female",BF2886="Abu Dhabi",BE2886=RN_2),VLOOKUP(BH2886,AUH_FEMALE_DEP,6,0),IF(AND(BD2886="Dependent",BI2886="Female",BF2886="Abu Dhabi",BE2886=RN2_minus),VLOOKUP(BH2886,AUH_FEMALE_DEP,7,0),IF(AND(BD2886="Dependent",BI2886="Female",BF2886="Abu Dhabi",BE2886=RN_3),VLOOKUP(BH2886,AUH_FEMALE_DEP,8,0),IF(AND(BD2886="Dependent",BI2886="Female",BF2886="Abu Dhabi",BE2886=VN),VLOOKUP(BH2886,AUH_FEMALE_DEP,9,0),"ABC"))))))))))))))))))))))))))))))))))))</f>
        <v/>
      </c>
      <c r="BL2886" s="498" t="str">
        <f t="shared" ref="BL2886:BL2949" si="1019">IF(BD2886="","",IF(AND(BD2886="Employee",BI2886="Male",BF2886="Dubai",BE2886=GN_Plus),VLOOKUP(BH2886,DXB_MALE_EMP,2,0),IF(AND(BD2886="Employee",BI2886="Male",BF2886="Dubai",BE2886=GN),VLOOKUP(BH2886,DXB_MALE_EMP,3,0),IF(AND(BD2886="Employee",BI2886="Male",BF2886="Dubai",BE2886=RN_Plus),VLOOKUP(BH2886,DXB_MALE_EMP,4,0),IF(AND(BD2886="Employee",BI2886="Male",BF2886="Dubai",BE2886=RN),VLOOKUP(BH2886,DXB_MALE_EMP,5,0),IF(AND(BD2886="Employee",BI2886="Male",BF2886="Dubai",BE2886=RN_2),VLOOKUP(BH2886,DXB_MALE_EMP,6,0),IF(AND(BD2886="Employee",BI2886="Male",BF2886="Dubai",BE2886=RN2_minus),VLOOKUP(BH2886,DXB_MALE_EMP,7,0),IF(AND(BD2886="Employee",BI2886="Male",BF2886="Dubai",BE2886=RN_3),VLOOKUP(BH2886,DXB_MALE_EMP,8,0),IF(AND(BD2886="Employee",BI2886="Male",BF2886="Dubai",BE2886=VN),VLOOKUP(BH2886,DXB_MALE_EMP,9,0),IF(BD2886="","",IF(AND(BD2886="Employee",BI2886="Female",BF2886="Dubai",BE2886=GN_Plus),VLOOKUP(BH2886,DXB_FEMALE_EMP,2,0),IF(AND(BD2886="Employee",BI2886="Female",BF2886="Dubai",BE2886=GN),VLOOKUP(BH2886,DXB_FEMALE_EMP,3,0),IF(AND(BD2886="Employee",BI2886="Female",BF2886="Dubai",BE2886=RN_Plus),VLOOKUP(BH2886,DXB_FEMALE_EMP,4,0),IF(AND(BD2886="Employee",BI2886="Female",BF2886="Dubai",BE2886=RN),VLOOKUP(BH2886,DXB_FEMALE_EMP,5,0),IF(AND(BD2886="Employee",BI2886="Female",BF2886="Dubai",BE2886=RN_2),VLOOKUP(BH2886,DXB_FEMALE_EMP,6,0),IF(AND(BD2886="Employee",BI2886="Female",BF2886="Dubai",BE2886=RN2_minus),VLOOKUP(BH2886,DXB_FEMALE_EMP,7,0),IF(AND(BD2886="Employee",BI2886="Female",BF2886="Dubai",BE2886=RN_3),VLOOKUP(BH2886,DXB_FEMALE_EMP,8,0),IF(AND(BD2886="Employee",BI2886="Female",BF2886="Dubai",BE2886=VN),VLOOKUP(BH2886,DXB_FEMALE_EMP,9,0),IF(BD2886="","",IF(AND(BD2886="Dependent",BI2886="Male",BF2886="Dubai",BE2886=GN_Plus),VLOOKUP(BH2886,DXB_MALE_DEP,2,0),IF(AND(BD2886="Dependent",BI2886="Male",BF2886="Dubai",BE2886=GN),VLOOKUP(BH2886,DXB_MALE_DEP,3,0),IF(AND(BD2886="Dependent",BI2886="Male",BF2886="Dubai",BE2886=RN_Plus),VLOOKUP(BH2886,DXB_MALE_DEP,4,0),IF(AND(BD2886="Dependent",BI2886="Male",BF2886="Dubai",BE2886=RN),VLOOKUP(BH2886,DXB_MALE_DEP,5,0),IF(AND(BD2886="Dependent",BI2886="Male",BF2886="Dubai",BE2886=RN_2),VLOOKUP(BH2886,DXB_MALE_DEP,6,0),IF(AND(BD2886="Dependent",BI2886="Male",BF2886="Dubai",BE2886=RN2_minus),VLOOKUP(BH2886,DXB_MALE_DEP,7,0),IF(AND(BD2886="Dependent",BI2886="Male",BF2886="Dubai",BE2886=RN_3),VLOOKUP(BH2886,DXB_MALE_DEP,8,0),IF(AND(BD2886="Dependent",BI2886="Male",BF2886="Dubai",BE2886=VN),VLOOKUP(BH2886,DXB_MALE_DEP,9,0),IF(BD2886="","",IF(AND(BD2886="Dependent",BI2886="Female",BF2886="Dubai",BE2886=GN_Plus),VLOOKUP(BH2886,DXB_FEMALE_DEP,2,0),IF(AND(BD2886="Dependent",BI2886="Female",BF2886="Dubai",BE2886=GN),VLOOKUP(BH2886,DXB_FEMALE_DEP,3,0),IF(AND(BD2886="Dependent",BI2886="Female",BF2886="Dubai",BE2886=RN_Plus),VLOOKUP(BH2886,DXB_FEMALE_DEP,4,0),IF(AND(BD2886="Dependent",BI2886="Female",BF2886="Dubai",BE2886=RN),VLOOKUP(BH2886,DXB_FEMALE_DEP,5,0),IF(AND(BD2886="Dependent",BI2886="Female",BF2886="Dubai",BE2886=RN_2),VLOOKUP(BH2886,DXB_FEMALE_DEP,6,0),IF(AND(BD2886="Dependent",BI2886="Female",BF2886="Dubai",BE2886=RN2_minus),VLOOKUP(BH2886,DXB_FEMALE_DEP,7,0),IF(AND(BD2886="Dependent",BI2886="Female",BF2886="Dubai",BE2886=RN_3),VLOOKUP(BH2886,DXB_FEMALE_DEP,8,0),IF(AND(BD2886="Dependent",BI2886="Female",BF2886="Dubai",BE2886=VN),VLOOKUP(BH2886,DXB_FEMALE_DEP,9,0),"ABC"))))))))))))))))))))))))))))))))))))</f>
        <v/>
      </c>
    </row>
    <row r="2887" spans="1:64" x14ac:dyDescent="0.25">
      <c r="A2887" s="762">
        <f t="shared" ref="A2887:A2950" si="1020">+A2886+1</f>
        <v>2882</v>
      </c>
      <c r="B2887" s="229"/>
      <c r="C2887" s="223"/>
      <c r="D2887" s="224"/>
      <c r="E2887" s="225"/>
      <c r="F2887" s="1036" t="str">
        <f t="shared" si="1004"/>
        <v/>
      </c>
      <c r="G2887" s="1037" t="str">
        <f t="shared" ref="G2887:G2950" si="1021">IF(D2887="","",MAX(0,ROUNDUP(F2887,0)))</f>
        <v/>
      </c>
      <c r="H2887" s="225"/>
      <c r="I2887" s="1013"/>
      <c r="J2887" s="1013"/>
      <c r="K2887" s="1028"/>
      <c r="L2887" s="1035" t="str">
        <f t="shared" si="1003"/>
        <v/>
      </c>
      <c r="S2887" s="498"/>
      <c r="AJ2887" s="498"/>
      <c r="AM2887" s="498">
        <f t="shared" si="1006"/>
        <v>0</v>
      </c>
      <c r="AN2887" s="498">
        <f t="shared" si="1007"/>
        <v>0</v>
      </c>
      <c r="AO2887" s="498">
        <f t="shared" si="1008"/>
        <v>0</v>
      </c>
      <c r="AP2887" s="498">
        <f t="shared" si="1005"/>
        <v>0</v>
      </c>
      <c r="AQ2887" s="498">
        <f t="shared" ref="AQ2887:AQ2950" si="1022">IF(ISBLANK($B2887),0,IF(OR($H2887="Single",$H2887="Married"),0,1))</f>
        <v>0</v>
      </c>
      <c r="AU2887" s="498">
        <f t="shared" si="1009"/>
        <v>0</v>
      </c>
      <c r="AV2887" s="498">
        <f t="shared" si="1010"/>
        <v>0</v>
      </c>
      <c r="AW2887" s="498">
        <f t="shared" si="1011"/>
        <v>0</v>
      </c>
      <c r="AX2887" s="498">
        <f t="shared" si="1012"/>
        <v>0</v>
      </c>
      <c r="AY2887" s="498">
        <f t="shared" si="1013"/>
        <v>0</v>
      </c>
      <c r="BB2887" s="498" t="str">
        <f t="shared" si="1014"/>
        <v/>
      </c>
      <c r="BC2887" s="743" t="str">
        <f t="shared" si="1015"/>
        <v/>
      </c>
      <c r="BD2887" s="743" t="str">
        <f t="shared" si="1016"/>
        <v/>
      </c>
      <c r="BE2887" s="743" t="str">
        <f>IF(D2887="","",VLOOKUP(D2887,'General Basis'!$J$39:$K$46,2,0))</f>
        <v/>
      </c>
      <c r="BF2887" s="744" t="str">
        <f>IF(D2887="","",VLOOKUP(D2887,'General Basis'!$J$39:$L$46,3,0))</f>
        <v/>
      </c>
      <c r="BG2887" s="744" t="str">
        <f t="shared" ref="BG2887:BG2950" si="1023">BC2887&amp;BI2887</f>
        <v/>
      </c>
      <c r="BH2887" s="744" t="str">
        <f>IF(G2887="","",IF(BF2887="Abu Dhabi",IF(G2887&lt;18,'General Basis'!$C$39,IF(G2887&lt;41,'General Basis'!$C$40,IF(G2887&lt;60,'General Basis'!$C$41,IF(G2887&lt;65,'General Basis'!$C$42,'General Basis'!$C$43)))),IF(G2887&lt;11,'General Basis'!$B$39,IF(G2887&lt;18,'General Basis'!$B$40,IF(G2887&lt;26,'General Basis'!$B$41,IF(G2887&lt;31,'General Basis'!$B$42,IF(G2887&lt;36,'General Basis'!$B$43,IF(G2887&lt;41,'General Basis'!$B$44,IF(G2887&lt;46,'General Basis'!$B$45,IF(G2887&lt;51,'General Basis'!$B$46,IF(G2887&lt;56,'General Basis'!$B$47,IF(G2887&lt;60,'General Basis'!$B$48,IF(G2887&lt;65,'General Basis'!$B$49,'General Basis'!$B$50)))))))))))))</f>
        <v/>
      </c>
      <c r="BI2887" s="744" t="str">
        <f t="shared" si="1017"/>
        <v/>
      </c>
      <c r="BJ2887" s="747" t="str">
        <f t="shared" ref="BJ2887:BJ2950" si="1024">IF(BD2887="","",IF(BF2887="Abu Dhabi",BK2887,BL2887))</f>
        <v/>
      </c>
      <c r="BK2887" s="498" t="str">
        <f t="shared" si="1018"/>
        <v/>
      </c>
      <c r="BL2887" s="498" t="str">
        <f t="shared" si="1019"/>
        <v/>
      </c>
    </row>
    <row r="2888" spans="1:64" x14ac:dyDescent="0.25">
      <c r="A2888" s="762">
        <f t="shared" si="1020"/>
        <v>2883</v>
      </c>
      <c r="B2888" s="229"/>
      <c r="C2888" s="223"/>
      <c r="D2888" s="224"/>
      <c r="E2888" s="225"/>
      <c r="F2888" s="1036" t="str">
        <f t="shared" si="1004"/>
        <v/>
      </c>
      <c r="G2888" s="1037" t="str">
        <f t="shared" si="1021"/>
        <v/>
      </c>
      <c r="H2888" s="225"/>
      <c r="I2888" s="1013"/>
      <c r="J2888" s="1013"/>
      <c r="K2888" s="1028"/>
      <c r="L2888" s="1035" t="str">
        <f t="shared" ref="L2888:L2951" si="1025">IF(AND(E2888="Child",H2888="Married"),"Check the Marital Status of the Child. ",IF(AND(E2888="Child",F2888&gt;18),"Child Age exceed 18 years. ",IF(AND(E2888="Spouse",H2888="Single"),"Spouse is selected as Single. ","")))&amp;IF(K2888&gt;0,"UW Loading has been Applied","")</f>
        <v/>
      </c>
      <c r="S2888" s="498"/>
      <c r="AJ2888" s="498"/>
      <c r="AM2888" s="498">
        <f t="shared" si="1006"/>
        <v>0</v>
      </c>
      <c r="AN2888" s="498">
        <f t="shared" si="1007"/>
        <v>0</v>
      </c>
      <c r="AO2888" s="498">
        <f t="shared" si="1008"/>
        <v>0</v>
      </c>
      <c r="AP2888" s="498">
        <f t="shared" si="1005"/>
        <v>0</v>
      </c>
      <c r="AQ2888" s="498">
        <f t="shared" si="1022"/>
        <v>0</v>
      </c>
      <c r="AU2888" s="498">
        <f t="shared" si="1009"/>
        <v>0</v>
      </c>
      <c r="AV2888" s="498">
        <f t="shared" si="1010"/>
        <v>0</v>
      </c>
      <c r="AW2888" s="498">
        <f t="shared" si="1011"/>
        <v>0</v>
      </c>
      <c r="AX2888" s="498">
        <f t="shared" si="1012"/>
        <v>0</v>
      </c>
      <c r="AY2888" s="498">
        <f t="shared" si="1013"/>
        <v>0</v>
      </c>
      <c r="BB2888" s="498" t="str">
        <f t="shared" si="1014"/>
        <v/>
      </c>
      <c r="BC2888" s="743" t="str">
        <f t="shared" si="1015"/>
        <v/>
      </c>
      <c r="BD2888" s="743" t="str">
        <f t="shared" si="1016"/>
        <v/>
      </c>
      <c r="BE2888" s="743" t="str">
        <f>IF(D2888="","",VLOOKUP(D2888,'General Basis'!$J$39:$K$46,2,0))</f>
        <v/>
      </c>
      <c r="BF2888" s="744" t="str">
        <f>IF(D2888="","",VLOOKUP(D2888,'General Basis'!$J$39:$L$46,3,0))</f>
        <v/>
      </c>
      <c r="BG2888" s="744" t="str">
        <f t="shared" si="1023"/>
        <v/>
      </c>
      <c r="BH2888" s="744" t="str">
        <f>IF(G2888="","",IF(BF2888="Abu Dhabi",IF(G2888&lt;18,'General Basis'!$C$39,IF(G2888&lt;41,'General Basis'!$C$40,IF(G2888&lt;60,'General Basis'!$C$41,IF(G2888&lt;65,'General Basis'!$C$42,'General Basis'!$C$43)))),IF(G2888&lt;11,'General Basis'!$B$39,IF(G2888&lt;18,'General Basis'!$B$40,IF(G2888&lt;26,'General Basis'!$B$41,IF(G2888&lt;31,'General Basis'!$B$42,IF(G2888&lt;36,'General Basis'!$B$43,IF(G2888&lt;41,'General Basis'!$B$44,IF(G2888&lt;46,'General Basis'!$B$45,IF(G2888&lt;51,'General Basis'!$B$46,IF(G2888&lt;56,'General Basis'!$B$47,IF(G2888&lt;60,'General Basis'!$B$48,IF(G2888&lt;65,'General Basis'!$B$49,'General Basis'!$B$50)))))))))))))</f>
        <v/>
      </c>
      <c r="BI2888" s="744" t="str">
        <f t="shared" si="1017"/>
        <v/>
      </c>
      <c r="BJ2888" s="747" t="str">
        <f t="shared" si="1024"/>
        <v/>
      </c>
      <c r="BK2888" s="498" t="str">
        <f t="shared" si="1018"/>
        <v/>
      </c>
      <c r="BL2888" s="498" t="str">
        <f t="shared" si="1019"/>
        <v/>
      </c>
    </row>
    <row r="2889" spans="1:64" x14ac:dyDescent="0.25">
      <c r="A2889" s="762">
        <f t="shared" si="1020"/>
        <v>2884</v>
      </c>
      <c r="B2889" s="229"/>
      <c r="C2889" s="223"/>
      <c r="D2889" s="224"/>
      <c r="E2889" s="225"/>
      <c r="F2889" s="1036" t="str">
        <f t="shared" si="1004"/>
        <v/>
      </c>
      <c r="G2889" s="1037" t="str">
        <f t="shared" si="1021"/>
        <v/>
      </c>
      <c r="H2889" s="225"/>
      <c r="I2889" s="1013"/>
      <c r="J2889" s="1013"/>
      <c r="K2889" s="1028"/>
      <c r="L2889" s="1035" t="str">
        <f t="shared" si="1025"/>
        <v/>
      </c>
      <c r="S2889" s="498"/>
      <c r="AJ2889" s="498"/>
      <c r="AM2889" s="498">
        <f t="shared" si="1006"/>
        <v>0</v>
      </c>
      <c r="AN2889" s="498">
        <f t="shared" si="1007"/>
        <v>0</v>
      </c>
      <c r="AO2889" s="498">
        <f t="shared" si="1008"/>
        <v>0</v>
      </c>
      <c r="AP2889" s="498">
        <f t="shared" si="1005"/>
        <v>0</v>
      </c>
      <c r="AQ2889" s="498">
        <f t="shared" si="1022"/>
        <v>0</v>
      </c>
      <c r="AU2889" s="498">
        <f t="shared" si="1009"/>
        <v>0</v>
      </c>
      <c r="AV2889" s="498">
        <f t="shared" si="1010"/>
        <v>0</v>
      </c>
      <c r="AW2889" s="498">
        <f t="shared" si="1011"/>
        <v>0</v>
      </c>
      <c r="AX2889" s="498">
        <f t="shared" si="1012"/>
        <v>0</v>
      </c>
      <c r="AY2889" s="498">
        <f t="shared" si="1013"/>
        <v>0</v>
      </c>
      <c r="BB2889" s="498" t="str">
        <f t="shared" si="1014"/>
        <v/>
      </c>
      <c r="BC2889" s="743" t="str">
        <f t="shared" si="1015"/>
        <v/>
      </c>
      <c r="BD2889" s="743" t="str">
        <f t="shared" si="1016"/>
        <v/>
      </c>
      <c r="BE2889" s="743" t="str">
        <f>IF(D2889="","",VLOOKUP(D2889,'General Basis'!$J$39:$K$46,2,0))</f>
        <v/>
      </c>
      <c r="BF2889" s="744" t="str">
        <f>IF(D2889="","",VLOOKUP(D2889,'General Basis'!$J$39:$L$46,3,0))</f>
        <v/>
      </c>
      <c r="BG2889" s="744" t="str">
        <f t="shared" si="1023"/>
        <v/>
      </c>
      <c r="BH2889" s="744" t="str">
        <f>IF(G2889="","",IF(BF2889="Abu Dhabi",IF(G2889&lt;18,'General Basis'!$C$39,IF(G2889&lt;41,'General Basis'!$C$40,IF(G2889&lt;60,'General Basis'!$C$41,IF(G2889&lt;65,'General Basis'!$C$42,'General Basis'!$C$43)))),IF(G2889&lt;11,'General Basis'!$B$39,IF(G2889&lt;18,'General Basis'!$B$40,IF(G2889&lt;26,'General Basis'!$B$41,IF(G2889&lt;31,'General Basis'!$B$42,IF(G2889&lt;36,'General Basis'!$B$43,IF(G2889&lt;41,'General Basis'!$B$44,IF(G2889&lt;46,'General Basis'!$B$45,IF(G2889&lt;51,'General Basis'!$B$46,IF(G2889&lt;56,'General Basis'!$B$47,IF(G2889&lt;60,'General Basis'!$B$48,IF(G2889&lt;65,'General Basis'!$B$49,'General Basis'!$B$50)))))))))))))</f>
        <v/>
      </c>
      <c r="BI2889" s="744" t="str">
        <f t="shared" si="1017"/>
        <v/>
      </c>
      <c r="BJ2889" s="747" t="str">
        <f t="shared" si="1024"/>
        <v/>
      </c>
      <c r="BK2889" s="498" t="str">
        <f t="shared" si="1018"/>
        <v/>
      </c>
      <c r="BL2889" s="498" t="str">
        <f t="shared" si="1019"/>
        <v/>
      </c>
    </row>
    <row r="2890" spans="1:64" x14ac:dyDescent="0.25">
      <c r="A2890" s="762">
        <f t="shared" si="1020"/>
        <v>2885</v>
      </c>
      <c r="B2890" s="229"/>
      <c r="C2890" s="223"/>
      <c r="D2890" s="224"/>
      <c r="E2890" s="225"/>
      <c r="F2890" s="1036" t="str">
        <f t="shared" si="1004"/>
        <v/>
      </c>
      <c r="G2890" s="1037" t="str">
        <f t="shared" si="1021"/>
        <v/>
      </c>
      <c r="H2890" s="225"/>
      <c r="I2890" s="1013"/>
      <c r="J2890" s="1013"/>
      <c r="K2890" s="1028"/>
      <c r="L2890" s="1035" t="str">
        <f t="shared" si="1025"/>
        <v/>
      </c>
      <c r="S2890" s="498"/>
      <c r="AJ2890" s="498"/>
      <c r="AM2890" s="498">
        <f t="shared" si="1006"/>
        <v>0</v>
      </c>
      <c r="AN2890" s="498">
        <f t="shared" si="1007"/>
        <v>0</v>
      </c>
      <c r="AO2890" s="498">
        <f t="shared" si="1008"/>
        <v>0</v>
      </c>
      <c r="AP2890" s="498">
        <f t="shared" si="1005"/>
        <v>0</v>
      </c>
      <c r="AQ2890" s="498">
        <f t="shared" si="1022"/>
        <v>0</v>
      </c>
      <c r="AU2890" s="498">
        <f t="shared" si="1009"/>
        <v>0</v>
      </c>
      <c r="AV2890" s="498">
        <f t="shared" si="1010"/>
        <v>0</v>
      </c>
      <c r="AW2890" s="498">
        <f t="shared" si="1011"/>
        <v>0</v>
      </c>
      <c r="AX2890" s="498">
        <f t="shared" si="1012"/>
        <v>0</v>
      </c>
      <c r="AY2890" s="498">
        <f t="shared" si="1013"/>
        <v>0</v>
      </c>
      <c r="BB2890" s="498" t="str">
        <f t="shared" si="1014"/>
        <v/>
      </c>
      <c r="BC2890" s="743" t="str">
        <f t="shared" si="1015"/>
        <v/>
      </c>
      <c r="BD2890" s="743" t="str">
        <f t="shared" si="1016"/>
        <v/>
      </c>
      <c r="BE2890" s="743" t="str">
        <f>IF(D2890="","",VLOOKUP(D2890,'General Basis'!$J$39:$K$46,2,0))</f>
        <v/>
      </c>
      <c r="BF2890" s="744" t="str">
        <f>IF(D2890="","",VLOOKUP(D2890,'General Basis'!$J$39:$L$46,3,0))</f>
        <v/>
      </c>
      <c r="BG2890" s="744" t="str">
        <f t="shared" si="1023"/>
        <v/>
      </c>
      <c r="BH2890" s="744" t="str">
        <f>IF(G2890="","",IF(BF2890="Abu Dhabi",IF(G2890&lt;18,'General Basis'!$C$39,IF(G2890&lt;41,'General Basis'!$C$40,IF(G2890&lt;60,'General Basis'!$C$41,IF(G2890&lt;65,'General Basis'!$C$42,'General Basis'!$C$43)))),IF(G2890&lt;11,'General Basis'!$B$39,IF(G2890&lt;18,'General Basis'!$B$40,IF(G2890&lt;26,'General Basis'!$B$41,IF(G2890&lt;31,'General Basis'!$B$42,IF(G2890&lt;36,'General Basis'!$B$43,IF(G2890&lt;41,'General Basis'!$B$44,IF(G2890&lt;46,'General Basis'!$B$45,IF(G2890&lt;51,'General Basis'!$B$46,IF(G2890&lt;56,'General Basis'!$B$47,IF(G2890&lt;60,'General Basis'!$B$48,IF(G2890&lt;65,'General Basis'!$B$49,'General Basis'!$B$50)))))))))))))</f>
        <v/>
      </c>
      <c r="BI2890" s="744" t="str">
        <f t="shared" si="1017"/>
        <v/>
      </c>
      <c r="BJ2890" s="747" t="str">
        <f t="shared" si="1024"/>
        <v/>
      </c>
      <c r="BK2890" s="498" t="str">
        <f t="shared" si="1018"/>
        <v/>
      </c>
      <c r="BL2890" s="498" t="str">
        <f t="shared" si="1019"/>
        <v/>
      </c>
    </row>
    <row r="2891" spans="1:64" x14ac:dyDescent="0.25">
      <c r="A2891" s="762">
        <f t="shared" si="1020"/>
        <v>2886</v>
      </c>
      <c r="B2891" s="229"/>
      <c r="C2891" s="223"/>
      <c r="D2891" s="224"/>
      <c r="E2891" s="225"/>
      <c r="F2891" s="1036" t="str">
        <f t="shared" si="1004"/>
        <v/>
      </c>
      <c r="G2891" s="1037" t="str">
        <f t="shared" si="1021"/>
        <v/>
      </c>
      <c r="H2891" s="225"/>
      <c r="I2891" s="1013"/>
      <c r="J2891" s="1013"/>
      <c r="K2891" s="1028"/>
      <c r="L2891" s="1035" t="str">
        <f t="shared" si="1025"/>
        <v/>
      </c>
      <c r="S2891" s="498"/>
      <c r="AJ2891" s="498"/>
      <c r="AM2891" s="498">
        <f t="shared" si="1006"/>
        <v>0</v>
      </c>
      <c r="AN2891" s="498">
        <f t="shared" si="1007"/>
        <v>0</v>
      </c>
      <c r="AO2891" s="498">
        <f t="shared" si="1008"/>
        <v>0</v>
      </c>
      <c r="AP2891" s="498">
        <f t="shared" si="1005"/>
        <v>0</v>
      </c>
      <c r="AQ2891" s="498">
        <f t="shared" si="1022"/>
        <v>0</v>
      </c>
      <c r="AU2891" s="498">
        <f t="shared" si="1009"/>
        <v>0</v>
      </c>
      <c r="AV2891" s="498">
        <f t="shared" si="1010"/>
        <v>0</v>
      </c>
      <c r="AW2891" s="498">
        <f t="shared" si="1011"/>
        <v>0</v>
      </c>
      <c r="AX2891" s="498">
        <f t="shared" si="1012"/>
        <v>0</v>
      </c>
      <c r="AY2891" s="498">
        <f t="shared" si="1013"/>
        <v>0</v>
      </c>
      <c r="BB2891" s="498" t="str">
        <f t="shared" si="1014"/>
        <v/>
      </c>
      <c r="BC2891" s="743" t="str">
        <f t="shared" si="1015"/>
        <v/>
      </c>
      <c r="BD2891" s="743" t="str">
        <f t="shared" si="1016"/>
        <v/>
      </c>
      <c r="BE2891" s="743" t="str">
        <f>IF(D2891="","",VLOOKUP(D2891,'General Basis'!$J$39:$K$46,2,0))</f>
        <v/>
      </c>
      <c r="BF2891" s="744" t="str">
        <f>IF(D2891="","",VLOOKUP(D2891,'General Basis'!$J$39:$L$46,3,0))</f>
        <v/>
      </c>
      <c r="BG2891" s="744" t="str">
        <f t="shared" si="1023"/>
        <v/>
      </c>
      <c r="BH2891" s="744" t="str">
        <f>IF(G2891="","",IF(BF2891="Abu Dhabi",IF(G2891&lt;18,'General Basis'!$C$39,IF(G2891&lt;41,'General Basis'!$C$40,IF(G2891&lt;60,'General Basis'!$C$41,IF(G2891&lt;65,'General Basis'!$C$42,'General Basis'!$C$43)))),IF(G2891&lt;11,'General Basis'!$B$39,IF(G2891&lt;18,'General Basis'!$B$40,IF(G2891&lt;26,'General Basis'!$B$41,IF(G2891&lt;31,'General Basis'!$B$42,IF(G2891&lt;36,'General Basis'!$B$43,IF(G2891&lt;41,'General Basis'!$B$44,IF(G2891&lt;46,'General Basis'!$B$45,IF(G2891&lt;51,'General Basis'!$B$46,IF(G2891&lt;56,'General Basis'!$B$47,IF(G2891&lt;60,'General Basis'!$B$48,IF(G2891&lt;65,'General Basis'!$B$49,'General Basis'!$B$50)))))))))))))</f>
        <v/>
      </c>
      <c r="BI2891" s="744" t="str">
        <f t="shared" si="1017"/>
        <v/>
      </c>
      <c r="BJ2891" s="747" t="str">
        <f t="shared" si="1024"/>
        <v/>
      </c>
      <c r="BK2891" s="498" t="str">
        <f t="shared" si="1018"/>
        <v/>
      </c>
      <c r="BL2891" s="498" t="str">
        <f t="shared" si="1019"/>
        <v/>
      </c>
    </row>
    <row r="2892" spans="1:64" x14ac:dyDescent="0.25">
      <c r="A2892" s="762">
        <f t="shared" si="1020"/>
        <v>2887</v>
      </c>
      <c r="B2892" s="229"/>
      <c r="C2892" s="223"/>
      <c r="D2892" s="224"/>
      <c r="E2892" s="225"/>
      <c r="F2892" s="1036" t="str">
        <f t="shared" si="1004"/>
        <v/>
      </c>
      <c r="G2892" s="1037" t="str">
        <f t="shared" si="1021"/>
        <v/>
      </c>
      <c r="H2892" s="225"/>
      <c r="I2892" s="1013"/>
      <c r="J2892" s="1013"/>
      <c r="K2892" s="1028"/>
      <c r="L2892" s="1035" t="str">
        <f t="shared" si="1025"/>
        <v/>
      </c>
      <c r="S2892" s="498"/>
      <c r="AJ2892" s="498"/>
      <c r="AM2892" s="498">
        <f t="shared" si="1006"/>
        <v>0</v>
      </c>
      <c r="AN2892" s="498">
        <f t="shared" si="1007"/>
        <v>0</v>
      </c>
      <c r="AO2892" s="498">
        <f t="shared" si="1008"/>
        <v>0</v>
      </c>
      <c r="AP2892" s="498">
        <f t="shared" si="1005"/>
        <v>0</v>
      </c>
      <c r="AQ2892" s="498">
        <f t="shared" si="1022"/>
        <v>0</v>
      </c>
      <c r="AU2892" s="498">
        <f t="shared" si="1009"/>
        <v>0</v>
      </c>
      <c r="AV2892" s="498">
        <f t="shared" si="1010"/>
        <v>0</v>
      </c>
      <c r="AW2892" s="498">
        <f t="shared" si="1011"/>
        <v>0</v>
      </c>
      <c r="AX2892" s="498">
        <f t="shared" si="1012"/>
        <v>0</v>
      </c>
      <c r="AY2892" s="498">
        <f t="shared" si="1013"/>
        <v>0</v>
      </c>
      <c r="BB2892" s="498" t="str">
        <f t="shared" si="1014"/>
        <v/>
      </c>
      <c r="BC2892" s="743" t="str">
        <f t="shared" si="1015"/>
        <v/>
      </c>
      <c r="BD2892" s="743" t="str">
        <f t="shared" si="1016"/>
        <v/>
      </c>
      <c r="BE2892" s="743" t="str">
        <f>IF(D2892="","",VLOOKUP(D2892,'General Basis'!$J$39:$K$46,2,0))</f>
        <v/>
      </c>
      <c r="BF2892" s="744" t="str">
        <f>IF(D2892="","",VLOOKUP(D2892,'General Basis'!$J$39:$L$46,3,0))</f>
        <v/>
      </c>
      <c r="BG2892" s="744" t="str">
        <f t="shared" si="1023"/>
        <v/>
      </c>
      <c r="BH2892" s="744" t="str">
        <f>IF(G2892="","",IF(BF2892="Abu Dhabi",IF(G2892&lt;18,'General Basis'!$C$39,IF(G2892&lt;41,'General Basis'!$C$40,IF(G2892&lt;60,'General Basis'!$C$41,IF(G2892&lt;65,'General Basis'!$C$42,'General Basis'!$C$43)))),IF(G2892&lt;11,'General Basis'!$B$39,IF(G2892&lt;18,'General Basis'!$B$40,IF(G2892&lt;26,'General Basis'!$B$41,IF(G2892&lt;31,'General Basis'!$B$42,IF(G2892&lt;36,'General Basis'!$B$43,IF(G2892&lt;41,'General Basis'!$B$44,IF(G2892&lt;46,'General Basis'!$B$45,IF(G2892&lt;51,'General Basis'!$B$46,IF(G2892&lt;56,'General Basis'!$B$47,IF(G2892&lt;60,'General Basis'!$B$48,IF(G2892&lt;65,'General Basis'!$B$49,'General Basis'!$B$50)))))))))))))</f>
        <v/>
      </c>
      <c r="BI2892" s="744" t="str">
        <f t="shared" si="1017"/>
        <v/>
      </c>
      <c r="BJ2892" s="747" t="str">
        <f t="shared" si="1024"/>
        <v/>
      </c>
      <c r="BK2892" s="498" t="str">
        <f t="shared" si="1018"/>
        <v/>
      </c>
      <c r="BL2892" s="498" t="str">
        <f t="shared" si="1019"/>
        <v/>
      </c>
    </row>
    <row r="2893" spans="1:64" x14ac:dyDescent="0.25">
      <c r="A2893" s="762">
        <f t="shared" si="1020"/>
        <v>2888</v>
      </c>
      <c r="B2893" s="229"/>
      <c r="C2893" s="223"/>
      <c r="D2893" s="224"/>
      <c r="E2893" s="225"/>
      <c r="F2893" s="1036" t="str">
        <f t="shared" si="1004"/>
        <v/>
      </c>
      <c r="G2893" s="1037" t="str">
        <f t="shared" si="1021"/>
        <v/>
      </c>
      <c r="H2893" s="225"/>
      <c r="I2893" s="1013"/>
      <c r="J2893" s="1013"/>
      <c r="K2893" s="1028"/>
      <c r="L2893" s="1035" t="str">
        <f t="shared" si="1025"/>
        <v/>
      </c>
      <c r="S2893" s="498"/>
      <c r="AJ2893" s="498"/>
      <c r="AM2893" s="498">
        <f t="shared" si="1006"/>
        <v>0</v>
      </c>
      <c r="AN2893" s="498">
        <f t="shared" si="1007"/>
        <v>0</v>
      </c>
      <c r="AO2893" s="498">
        <f t="shared" si="1008"/>
        <v>0</v>
      </c>
      <c r="AP2893" s="498">
        <f t="shared" si="1005"/>
        <v>0</v>
      </c>
      <c r="AQ2893" s="498">
        <f t="shared" si="1022"/>
        <v>0</v>
      </c>
      <c r="AU2893" s="498">
        <f t="shared" si="1009"/>
        <v>0</v>
      </c>
      <c r="AV2893" s="498">
        <f t="shared" si="1010"/>
        <v>0</v>
      </c>
      <c r="AW2893" s="498">
        <f t="shared" si="1011"/>
        <v>0</v>
      </c>
      <c r="AX2893" s="498">
        <f t="shared" si="1012"/>
        <v>0</v>
      </c>
      <c r="AY2893" s="498">
        <f t="shared" si="1013"/>
        <v>0</v>
      </c>
      <c r="BB2893" s="498" t="str">
        <f t="shared" si="1014"/>
        <v/>
      </c>
      <c r="BC2893" s="743" t="str">
        <f t="shared" si="1015"/>
        <v/>
      </c>
      <c r="BD2893" s="743" t="str">
        <f t="shared" si="1016"/>
        <v/>
      </c>
      <c r="BE2893" s="743" t="str">
        <f>IF(D2893="","",VLOOKUP(D2893,'General Basis'!$J$39:$K$46,2,0))</f>
        <v/>
      </c>
      <c r="BF2893" s="744" t="str">
        <f>IF(D2893="","",VLOOKUP(D2893,'General Basis'!$J$39:$L$46,3,0))</f>
        <v/>
      </c>
      <c r="BG2893" s="744" t="str">
        <f t="shared" si="1023"/>
        <v/>
      </c>
      <c r="BH2893" s="744" t="str">
        <f>IF(G2893="","",IF(BF2893="Abu Dhabi",IF(G2893&lt;18,'General Basis'!$C$39,IF(G2893&lt;41,'General Basis'!$C$40,IF(G2893&lt;60,'General Basis'!$C$41,IF(G2893&lt;65,'General Basis'!$C$42,'General Basis'!$C$43)))),IF(G2893&lt;11,'General Basis'!$B$39,IF(G2893&lt;18,'General Basis'!$B$40,IF(G2893&lt;26,'General Basis'!$B$41,IF(G2893&lt;31,'General Basis'!$B$42,IF(G2893&lt;36,'General Basis'!$B$43,IF(G2893&lt;41,'General Basis'!$B$44,IF(G2893&lt;46,'General Basis'!$B$45,IF(G2893&lt;51,'General Basis'!$B$46,IF(G2893&lt;56,'General Basis'!$B$47,IF(G2893&lt;60,'General Basis'!$B$48,IF(G2893&lt;65,'General Basis'!$B$49,'General Basis'!$B$50)))))))))))))</f>
        <v/>
      </c>
      <c r="BI2893" s="744" t="str">
        <f t="shared" si="1017"/>
        <v/>
      </c>
      <c r="BJ2893" s="747" t="str">
        <f t="shared" si="1024"/>
        <v/>
      </c>
      <c r="BK2893" s="498" t="str">
        <f t="shared" si="1018"/>
        <v/>
      </c>
      <c r="BL2893" s="498" t="str">
        <f t="shared" si="1019"/>
        <v/>
      </c>
    </row>
    <row r="2894" spans="1:64" x14ac:dyDescent="0.25">
      <c r="A2894" s="762">
        <f t="shared" si="1020"/>
        <v>2889</v>
      </c>
      <c r="B2894" s="229"/>
      <c r="C2894" s="223"/>
      <c r="D2894" s="224"/>
      <c r="E2894" s="225"/>
      <c r="F2894" s="1036" t="str">
        <f t="shared" si="1004"/>
        <v/>
      </c>
      <c r="G2894" s="1037" t="str">
        <f t="shared" si="1021"/>
        <v/>
      </c>
      <c r="H2894" s="225"/>
      <c r="I2894" s="1013"/>
      <c r="J2894" s="1013"/>
      <c r="K2894" s="1028"/>
      <c r="L2894" s="1035" t="str">
        <f t="shared" si="1025"/>
        <v/>
      </c>
      <c r="S2894" s="498"/>
      <c r="AJ2894" s="498"/>
      <c r="AM2894" s="498">
        <f t="shared" si="1006"/>
        <v>0</v>
      </c>
      <c r="AN2894" s="498">
        <f t="shared" si="1007"/>
        <v>0</v>
      </c>
      <c r="AO2894" s="498">
        <f t="shared" si="1008"/>
        <v>0</v>
      </c>
      <c r="AP2894" s="498">
        <f t="shared" si="1005"/>
        <v>0</v>
      </c>
      <c r="AQ2894" s="498">
        <f t="shared" si="1022"/>
        <v>0</v>
      </c>
      <c r="AU2894" s="498">
        <f t="shared" si="1009"/>
        <v>0</v>
      </c>
      <c r="AV2894" s="498">
        <f t="shared" si="1010"/>
        <v>0</v>
      </c>
      <c r="AW2894" s="498">
        <f t="shared" si="1011"/>
        <v>0</v>
      </c>
      <c r="AX2894" s="498">
        <f t="shared" si="1012"/>
        <v>0</v>
      </c>
      <c r="AY2894" s="498">
        <f t="shared" si="1013"/>
        <v>0</v>
      </c>
      <c r="BB2894" s="498" t="str">
        <f t="shared" si="1014"/>
        <v/>
      </c>
      <c r="BC2894" s="743" t="str">
        <f t="shared" si="1015"/>
        <v/>
      </c>
      <c r="BD2894" s="743" t="str">
        <f t="shared" si="1016"/>
        <v/>
      </c>
      <c r="BE2894" s="743" t="str">
        <f>IF(D2894="","",VLOOKUP(D2894,'General Basis'!$J$39:$K$46,2,0))</f>
        <v/>
      </c>
      <c r="BF2894" s="744" t="str">
        <f>IF(D2894="","",VLOOKUP(D2894,'General Basis'!$J$39:$L$46,3,0))</f>
        <v/>
      </c>
      <c r="BG2894" s="744" t="str">
        <f t="shared" si="1023"/>
        <v/>
      </c>
      <c r="BH2894" s="744" t="str">
        <f>IF(G2894="","",IF(BF2894="Abu Dhabi",IF(G2894&lt;18,'General Basis'!$C$39,IF(G2894&lt;41,'General Basis'!$C$40,IF(G2894&lt;60,'General Basis'!$C$41,IF(G2894&lt;65,'General Basis'!$C$42,'General Basis'!$C$43)))),IF(G2894&lt;11,'General Basis'!$B$39,IF(G2894&lt;18,'General Basis'!$B$40,IF(G2894&lt;26,'General Basis'!$B$41,IF(G2894&lt;31,'General Basis'!$B$42,IF(G2894&lt;36,'General Basis'!$B$43,IF(G2894&lt;41,'General Basis'!$B$44,IF(G2894&lt;46,'General Basis'!$B$45,IF(G2894&lt;51,'General Basis'!$B$46,IF(G2894&lt;56,'General Basis'!$B$47,IF(G2894&lt;60,'General Basis'!$B$48,IF(G2894&lt;65,'General Basis'!$B$49,'General Basis'!$B$50)))))))))))))</f>
        <v/>
      </c>
      <c r="BI2894" s="744" t="str">
        <f t="shared" si="1017"/>
        <v/>
      </c>
      <c r="BJ2894" s="747" t="str">
        <f t="shared" si="1024"/>
        <v/>
      </c>
      <c r="BK2894" s="498" t="str">
        <f t="shared" si="1018"/>
        <v/>
      </c>
      <c r="BL2894" s="498" t="str">
        <f t="shared" si="1019"/>
        <v/>
      </c>
    </row>
    <row r="2895" spans="1:64" x14ac:dyDescent="0.25">
      <c r="A2895" s="762">
        <f t="shared" si="1020"/>
        <v>2890</v>
      </c>
      <c r="B2895" s="229"/>
      <c r="C2895" s="223"/>
      <c r="D2895" s="224"/>
      <c r="E2895" s="225"/>
      <c r="F2895" s="1036" t="str">
        <f t="shared" si="1004"/>
        <v/>
      </c>
      <c r="G2895" s="1037" t="str">
        <f t="shared" si="1021"/>
        <v/>
      </c>
      <c r="H2895" s="225"/>
      <c r="I2895" s="1013"/>
      <c r="J2895" s="1013"/>
      <c r="K2895" s="1028"/>
      <c r="L2895" s="1035" t="str">
        <f t="shared" si="1025"/>
        <v/>
      </c>
      <c r="S2895" s="498"/>
      <c r="AJ2895" s="498"/>
      <c r="AM2895" s="498">
        <f t="shared" si="1006"/>
        <v>0</v>
      </c>
      <c r="AN2895" s="498">
        <f t="shared" si="1007"/>
        <v>0</v>
      </c>
      <c r="AO2895" s="498">
        <f t="shared" si="1008"/>
        <v>0</v>
      </c>
      <c r="AP2895" s="498">
        <f t="shared" si="1005"/>
        <v>0</v>
      </c>
      <c r="AQ2895" s="498">
        <f t="shared" si="1022"/>
        <v>0</v>
      </c>
      <c r="AU2895" s="498">
        <f t="shared" si="1009"/>
        <v>0</v>
      </c>
      <c r="AV2895" s="498">
        <f t="shared" si="1010"/>
        <v>0</v>
      </c>
      <c r="AW2895" s="498">
        <f t="shared" si="1011"/>
        <v>0</v>
      </c>
      <c r="AX2895" s="498">
        <f t="shared" si="1012"/>
        <v>0</v>
      </c>
      <c r="AY2895" s="498">
        <f t="shared" si="1013"/>
        <v>0</v>
      </c>
      <c r="BB2895" s="498" t="str">
        <f t="shared" si="1014"/>
        <v/>
      </c>
      <c r="BC2895" s="743" t="str">
        <f t="shared" si="1015"/>
        <v/>
      </c>
      <c r="BD2895" s="743" t="str">
        <f t="shared" si="1016"/>
        <v/>
      </c>
      <c r="BE2895" s="743" t="str">
        <f>IF(D2895="","",VLOOKUP(D2895,'General Basis'!$J$39:$K$46,2,0))</f>
        <v/>
      </c>
      <c r="BF2895" s="744" t="str">
        <f>IF(D2895="","",VLOOKUP(D2895,'General Basis'!$J$39:$L$46,3,0))</f>
        <v/>
      </c>
      <c r="BG2895" s="744" t="str">
        <f t="shared" si="1023"/>
        <v/>
      </c>
      <c r="BH2895" s="744" t="str">
        <f>IF(G2895="","",IF(BF2895="Abu Dhabi",IF(G2895&lt;18,'General Basis'!$C$39,IF(G2895&lt;41,'General Basis'!$C$40,IF(G2895&lt;60,'General Basis'!$C$41,IF(G2895&lt;65,'General Basis'!$C$42,'General Basis'!$C$43)))),IF(G2895&lt;11,'General Basis'!$B$39,IF(G2895&lt;18,'General Basis'!$B$40,IF(G2895&lt;26,'General Basis'!$B$41,IF(G2895&lt;31,'General Basis'!$B$42,IF(G2895&lt;36,'General Basis'!$B$43,IF(G2895&lt;41,'General Basis'!$B$44,IF(G2895&lt;46,'General Basis'!$B$45,IF(G2895&lt;51,'General Basis'!$B$46,IF(G2895&lt;56,'General Basis'!$B$47,IF(G2895&lt;60,'General Basis'!$B$48,IF(G2895&lt;65,'General Basis'!$B$49,'General Basis'!$B$50)))))))))))))</f>
        <v/>
      </c>
      <c r="BI2895" s="744" t="str">
        <f t="shared" si="1017"/>
        <v/>
      </c>
      <c r="BJ2895" s="747" t="str">
        <f t="shared" si="1024"/>
        <v/>
      </c>
      <c r="BK2895" s="498" t="str">
        <f t="shared" si="1018"/>
        <v/>
      </c>
      <c r="BL2895" s="498" t="str">
        <f t="shared" si="1019"/>
        <v/>
      </c>
    </row>
    <row r="2896" spans="1:64" x14ac:dyDescent="0.25">
      <c r="A2896" s="762">
        <f t="shared" si="1020"/>
        <v>2891</v>
      </c>
      <c r="B2896" s="229"/>
      <c r="C2896" s="223"/>
      <c r="D2896" s="224"/>
      <c r="E2896" s="225"/>
      <c r="F2896" s="1036" t="str">
        <f t="shared" ref="F2896:F2959" si="1026">IF(C2896="","",IF($B2896="","",((YEAR($F$3)-YEAR($B2896))+(MONTH($F$3)-MONTH($B2896))/12+(DAY($F$3)-DAY($B2896))/(DATE(YEAR($F$3),12,31)-DATE(YEAR($F$3),1,1)+1))))</f>
        <v/>
      </c>
      <c r="G2896" s="1037" t="str">
        <f t="shared" si="1021"/>
        <v/>
      </c>
      <c r="H2896" s="225"/>
      <c r="I2896" s="1013"/>
      <c r="J2896" s="1013"/>
      <c r="K2896" s="1028"/>
      <c r="L2896" s="1035" t="str">
        <f t="shared" si="1025"/>
        <v/>
      </c>
      <c r="S2896" s="498"/>
      <c r="AJ2896" s="498"/>
      <c r="AM2896" s="498">
        <f t="shared" si="1006"/>
        <v>0</v>
      </c>
      <c r="AN2896" s="498">
        <f t="shared" si="1007"/>
        <v>0</v>
      </c>
      <c r="AO2896" s="498">
        <f t="shared" si="1008"/>
        <v>0</v>
      </c>
      <c r="AP2896" s="498">
        <f t="shared" si="1005"/>
        <v>0</v>
      </c>
      <c r="AQ2896" s="498">
        <f t="shared" si="1022"/>
        <v>0</v>
      </c>
      <c r="AU2896" s="498">
        <f t="shared" si="1009"/>
        <v>0</v>
      </c>
      <c r="AV2896" s="498">
        <f t="shared" si="1010"/>
        <v>0</v>
      </c>
      <c r="AW2896" s="498">
        <f t="shared" si="1011"/>
        <v>0</v>
      </c>
      <c r="AX2896" s="498">
        <f t="shared" si="1012"/>
        <v>0</v>
      </c>
      <c r="AY2896" s="498">
        <f t="shared" si="1013"/>
        <v>0</v>
      </c>
      <c r="BB2896" s="498" t="str">
        <f t="shared" si="1014"/>
        <v/>
      </c>
      <c r="BC2896" s="743" t="str">
        <f t="shared" si="1015"/>
        <v/>
      </c>
      <c r="BD2896" s="743" t="str">
        <f t="shared" si="1016"/>
        <v/>
      </c>
      <c r="BE2896" s="743" t="str">
        <f>IF(D2896="","",VLOOKUP(D2896,'General Basis'!$J$39:$K$46,2,0))</f>
        <v/>
      </c>
      <c r="BF2896" s="744" t="str">
        <f>IF(D2896="","",VLOOKUP(D2896,'General Basis'!$J$39:$L$46,3,0))</f>
        <v/>
      </c>
      <c r="BG2896" s="744" t="str">
        <f t="shared" si="1023"/>
        <v/>
      </c>
      <c r="BH2896" s="744" t="str">
        <f>IF(G2896="","",IF(BF2896="Abu Dhabi",IF(G2896&lt;18,'General Basis'!$C$39,IF(G2896&lt;41,'General Basis'!$C$40,IF(G2896&lt;60,'General Basis'!$C$41,IF(G2896&lt;65,'General Basis'!$C$42,'General Basis'!$C$43)))),IF(G2896&lt;11,'General Basis'!$B$39,IF(G2896&lt;18,'General Basis'!$B$40,IF(G2896&lt;26,'General Basis'!$B$41,IF(G2896&lt;31,'General Basis'!$B$42,IF(G2896&lt;36,'General Basis'!$B$43,IF(G2896&lt;41,'General Basis'!$B$44,IF(G2896&lt;46,'General Basis'!$B$45,IF(G2896&lt;51,'General Basis'!$B$46,IF(G2896&lt;56,'General Basis'!$B$47,IF(G2896&lt;60,'General Basis'!$B$48,IF(G2896&lt;65,'General Basis'!$B$49,'General Basis'!$B$50)))))))))))))</f>
        <v/>
      </c>
      <c r="BI2896" s="744" t="str">
        <f t="shared" si="1017"/>
        <v/>
      </c>
      <c r="BJ2896" s="747" t="str">
        <f t="shared" si="1024"/>
        <v/>
      </c>
      <c r="BK2896" s="498" t="str">
        <f t="shared" si="1018"/>
        <v/>
      </c>
      <c r="BL2896" s="498" t="str">
        <f t="shared" si="1019"/>
        <v/>
      </c>
    </row>
    <row r="2897" spans="1:64" x14ac:dyDescent="0.25">
      <c r="A2897" s="762">
        <f t="shared" si="1020"/>
        <v>2892</v>
      </c>
      <c r="B2897" s="229"/>
      <c r="C2897" s="223"/>
      <c r="D2897" s="224"/>
      <c r="E2897" s="225"/>
      <c r="F2897" s="1036" t="str">
        <f t="shared" si="1026"/>
        <v/>
      </c>
      <c r="G2897" s="1037" t="str">
        <f t="shared" si="1021"/>
        <v/>
      </c>
      <c r="H2897" s="225"/>
      <c r="I2897" s="1013"/>
      <c r="J2897" s="1013"/>
      <c r="K2897" s="1028"/>
      <c r="L2897" s="1035" t="str">
        <f t="shared" si="1025"/>
        <v/>
      </c>
      <c r="S2897" s="498"/>
      <c r="AJ2897" s="498"/>
      <c r="AM2897" s="498">
        <f t="shared" si="1006"/>
        <v>0</v>
      </c>
      <c r="AN2897" s="498">
        <f t="shared" si="1007"/>
        <v>0</v>
      </c>
      <c r="AO2897" s="498">
        <f t="shared" si="1008"/>
        <v>0</v>
      </c>
      <c r="AP2897" s="498">
        <f t="shared" si="1005"/>
        <v>0</v>
      </c>
      <c r="AQ2897" s="498">
        <f t="shared" si="1022"/>
        <v>0</v>
      </c>
      <c r="AU2897" s="498">
        <f t="shared" si="1009"/>
        <v>0</v>
      </c>
      <c r="AV2897" s="498">
        <f t="shared" si="1010"/>
        <v>0</v>
      </c>
      <c r="AW2897" s="498">
        <f t="shared" si="1011"/>
        <v>0</v>
      </c>
      <c r="AX2897" s="498">
        <f t="shared" si="1012"/>
        <v>0</v>
      </c>
      <c r="AY2897" s="498">
        <f t="shared" si="1013"/>
        <v>0</v>
      </c>
      <c r="BB2897" s="498" t="str">
        <f t="shared" si="1014"/>
        <v/>
      </c>
      <c r="BC2897" s="743" t="str">
        <f t="shared" si="1015"/>
        <v/>
      </c>
      <c r="BD2897" s="743" t="str">
        <f t="shared" si="1016"/>
        <v/>
      </c>
      <c r="BE2897" s="743" t="str">
        <f>IF(D2897="","",VLOOKUP(D2897,'General Basis'!$J$39:$K$46,2,0))</f>
        <v/>
      </c>
      <c r="BF2897" s="744" t="str">
        <f>IF(D2897="","",VLOOKUP(D2897,'General Basis'!$J$39:$L$46,3,0))</f>
        <v/>
      </c>
      <c r="BG2897" s="744" t="str">
        <f t="shared" si="1023"/>
        <v/>
      </c>
      <c r="BH2897" s="744" t="str">
        <f>IF(G2897="","",IF(BF2897="Abu Dhabi",IF(G2897&lt;18,'General Basis'!$C$39,IF(G2897&lt;41,'General Basis'!$C$40,IF(G2897&lt;60,'General Basis'!$C$41,IF(G2897&lt;65,'General Basis'!$C$42,'General Basis'!$C$43)))),IF(G2897&lt;11,'General Basis'!$B$39,IF(G2897&lt;18,'General Basis'!$B$40,IF(G2897&lt;26,'General Basis'!$B$41,IF(G2897&lt;31,'General Basis'!$B$42,IF(G2897&lt;36,'General Basis'!$B$43,IF(G2897&lt;41,'General Basis'!$B$44,IF(G2897&lt;46,'General Basis'!$B$45,IF(G2897&lt;51,'General Basis'!$B$46,IF(G2897&lt;56,'General Basis'!$B$47,IF(G2897&lt;60,'General Basis'!$B$48,IF(G2897&lt;65,'General Basis'!$B$49,'General Basis'!$B$50)))))))))))))</f>
        <v/>
      </c>
      <c r="BI2897" s="744" t="str">
        <f t="shared" si="1017"/>
        <v/>
      </c>
      <c r="BJ2897" s="747" t="str">
        <f t="shared" si="1024"/>
        <v/>
      </c>
      <c r="BK2897" s="498" t="str">
        <f t="shared" si="1018"/>
        <v/>
      </c>
      <c r="BL2897" s="498" t="str">
        <f t="shared" si="1019"/>
        <v/>
      </c>
    </row>
    <row r="2898" spans="1:64" x14ac:dyDescent="0.25">
      <c r="A2898" s="762">
        <f t="shared" si="1020"/>
        <v>2893</v>
      </c>
      <c r="B2898" s="229"/>
      <c r="C2898" s="223"/>
      <c r="D2898" s="224"/>
      <c r="E2898" s="225"/>
      <c r="F2898" s="1036" t="str">
        <f t="shared" si="1026"/>
        <v/>
      </c>
      <c r="G2898" s="1037" t="str">
        <f t="shared" si="1021"/>
        <v/>
      </c>
      <c r="H2898" s="225"/>
      <c r="I2898" s="1013"/>
      <c r="J2898" s="1013"/>
      <c r="K2898" s="1028"/>
      <c r="L2898" s="1035" t="str">
        <f t="shared" si="1025"/>
        <v/>
      </c>
      <c r="S2898" s="498"/>
      <c r="AJ2898" s="498"/>
      <c r="AM2898" s="498">
        <f t="shared" si="1006"/>
        <v>0</v>
      </c>
      <c r="AN2898" s="498">
        <f t="shared" si="1007"/>
        <v>0</v>
      </c>
      <c r="AO2898" s="498">
        <f t="shared" si="1008"/>
        <v>0</v>
      </c>
      <c r="AP2898" s="498">
        <f t="shared" si="1005"/>
        <v>0</v>
      </c>
      <c r="AQ2898" s="498">
        <f t="shared" si="1022"/>
        <v>0</v>
      </c>
      <c r="AU2898" s="498">
        <f t="shared" si="1009"/>
        <v>0</v>
      </c>
      <c r="AV2898" s="498">
        <f t="shared" si="1010"/>
        <v>0</v>
      </c>
      <c r="AW2898" s="498">
        <f t="shared" si="1011"/>
        <v>0</v>
      </c>
      <c r="AX2898" s="498">
        <f t="shared" si="1012"/>
        <v>0</v>
      </c>
      <c r="AY2898" s="498">
        <f t="shared" si="1013"/>
        <v>0</v>
      </c>
      <c r="BB2898" s="498" t="str">
        <f t="shared" si="1014"/>
        <v/>
      </c>
      <c r="BC2898" s="743" t="str">
        <f t="shared" si="1015"/>
        <v/>
      </c>
      <c r="BD2898" s="743" t="str">
        <f t="shared" si="1016"/>
        <v/>
      </c>
      <c r="BE2898" s="743" t="str">
        <f>IF(D2898="","",VLOOKUP(D2898,'General Basis'!$J$39:$K$46,2,0))</f>
        <v/>
      </c>
      <c r="BF2898" s="744" t="str">
        <f>IF(D2898="","",VLOOKUP(D2898,'General Basis'!$J$39:$L$46,3,0))</f>
        <v/>
      </c>
      <c r="BG2898" s="744" t="str">
        <f t="shared" si="1023"/>
        <v/>
      </c>
      <c r="BH2898" s="744" t="str">
        <f>IF(G2898="","",IF(BF2898="Abu Dhabi",IF(G2898&lt;18,'General Basis'!$C$39,IF(G2898&lt;41,'General Basis'!$C$40,IF(G2898&lt;60,'General Basis'!$C$41,IF(G2898&lt;65,'General Basis'!$C$42,'General Basis'!$C$43)))),IF(G2898&lt;11,'General Basis'!$B$39,IF(G2898&lt;18,'General Basis'!$B$40,IF(G2898&lt;26,'General Basis'!$B$41,IF(G2898&lt;31,'General Basis'!$B$42,IF(G2898&lt;36,'General Basis'!$B$43,IF(G2898&lt;41,'General Basis'!$B$44,IF(G2898&lt;46,'General Basis'!$B$45,IF(G2898&lt;51,'General Basis'!$B$46,IF(G2898&lt;56,'General Basis'!$B$47,IF(G2898&lt;60,'General Basis'!$B$48,IF(G2898&lt;65,'General Basis'!$B$49,'General Basis'!$B$50)))))))))))))</f>
        <v/>
      </c>
      <c r="BI2898" s="744" t="str">
        <f t="shared" si="1017"/>
        <v/>
      </c>
      <c r="BJ2898" s="747" t="str">
        <f t="shared" si="1024"/>
        <v/>
      </c>
      <c r="BK2898" s="498" t="str">
        <f t="shared" si="1018"/>
        <v/>
      </c>
      <c r="BL2898" s="498" t="str">
        <f t="shared" si="1019"/>
        <v/>
      </c>
    </row>
    <row r="2899" spans="1:64" x14ac:dyDescent="0.25">
      <c r="A2899" s="762">
        <f t="shared" si="1020"/>
        <v>2894</v>
      </c>
      <c r="B2899" s="229"/>
      <c r="C2899" s="223"/>
      <c r="D2899" s="224"/>
      <c r="E2899" s="225"/>
      <c r="F2899" s="1036" t="str">
        <f t="shared" si="1026"/>
        <v/>
      </c>
      <c r="G2899" s="1037" t="str">
        <f t="shared" si="1021"/>
        <v/>
      </c>
      <c r="H2899" s="225"/>
      <c r="I2899" s="1013"/>
      <c r="J2899" s="1013"/>
      <c r="K2899" s="1028"/>
      <c r="L2899" s="1035" t="str">
        <f t="shared" si="1025"/>
        <v/>
      </c>
      <c r="S2899" s="498"/>
      <c r="AJ2899" s="498"/>
      <c r="AM2899" s="498">
        <f t="shared" si="1006"/>
        <v>0</v>
      </c>
      <c r="AN2899" s="498">
        <f t="shared" si="1007"/>
        <v>0</v>
      </c>
      <c r="AO2899" s="498">
        <f t="shared" si="1008"/>
        <v>0</v>
      </c>
      <c r="AP2899" s="498">
        <f t="shared" ref="AP2899:AP2962" si="1027">IF(ISBLANK($B2899),0,IF(OR($C2899="M",$C2899="F"),0,1))</f>
        <v>0</v>
      </c>
      <c r="AQ2899" s="498">
        <f t="shared" si="1022"/>
        <v>0</v>
      </c>
      <c r="AU2899" s="498">
        <f t="shared" si="1009"/>
        <v>0</v>
      </c>
      <c r="AV2899" s="498">
        <f t="shared" si="1010"/>
        <v>0</v>
      </c>
      <c r="AW2899" s="498">
        <f t="shared" si="1011"/>
        <v>0</v>
      </c>
      <c r="AX2899" s="498">
        <f t="shared" si="1012"/>
        <v>0</v>
      </c>
      <c r="AY2899" s="498">
        <f t="shared" si="1013"/>
        <v>0</v>
      </c>
      <c r="BB2899" s="498" t="str">
        <f t="shared" si="1014"/>
        <v/>
      </c>
      <c r="BC2899" s="743" t="str">
        <f t="shared" si="1015"/>
        <v/>
      </c>
      <c r="BD2899" s="743" t="str">
        <f t="shared" si="1016"/>
        <v/>
      </c>
      <c r="BE2899" s="743" t="str">
        <f>IF(D2899="","",VLOOKUP(D2899,'General Basis'!$J$39:$K$46,2,0))</f>
        <v/>
      </c>
      <c r="BF2899" s="744" t="str">
        <f>IF(D2899="","",VLOOKUP(D2899,'General Basis'!$J$39:$L$46,3,0))</f>
        <v/>
      </c>
      <c r="BG2899" s="744" t="str">
        <f t="shared" si="1023"/>
        <v/>
      </c>
      <c r="BH2899" s="744" t="str">
        <f>IF(G2899="","",IF(BF2899="Abu Dhabi",IF(G2899&lt;18,'General Basis'!$C$39,IF(G2899&lt;41,'General Basis'!$C$40,IF(G2899&lt;60,'General Basis'!$C$41,IF(G2899&lt;65,'General Basis'!$C$42,'General Basis'!$C$43)))),IF(G2899&lt;11,'General Basis'!$B$39,IF(G2899&lt;18,'General Basis'!$B$40,IF(G2899&lt;26,'General Basis'!$B$41,IF(G2899&lt;31,'General Basis'!$B$42,IF(G2899&lt;36,'General Basis'!$B$43,IF(G2899&lt;41,'General Basis'!$B$44,IF(G2899&lt;46,'General Basis'!$B$45,IF(G2899&lt;51,'General Basis'!$B$46,IF(G2899&lt;56,'General Basis'!$B$47,IF(G2899&lt;60,'General Basis'!$B$48,IF(G2899&lt;65,'General Basis'!$B$49,'General Basis'!$B$50)))))))))))))</f>
        <v/>
      </c>
      <c r="BI2899" s="744" t="str">
        <f t="shared" si="1017"/>
        <v/>
      </c>
      <c r="BJ2899" s="747" t="str">
        <f t="shared" si="1024"/>
        <v/>
      </c>
      <c r="BK2899" s="498" t="str">
        <f t="shared" si="1018"/>
        <v/>
      </c>
      <c r="BL2899" s="498" t="str">
        <f t="shared" si="1019"/>
        <v/>
      </c>
    </row>
    <row r="2900" spans="1:64" x14ac:dyDescent="0.25">
      <c r="A2900" s="762">
        <f t="shared" si="1020"/>
        <v>2895</v>
      </c>
      <c r="B2900" s="229"/>
      <c r="C2900" s="223"/>
      <c r="D2900" s="224"/>
      <c r="E2900" s="225"/>
      <c r="F2900" s="1036" t="str">
        <f t="shared" si="1026"/>
        <v/>
      </c>
      <c r="G2900" s="1037" t="str">
        <f t="shared" si="1021"/>
        <v/>
      </c>
      <c r="H2900" s="225"/>
      <c r="I2900" s="1013"/>
      <c r="J2900" s="1013"/>
      <c r="K2900" s="1028"/>
      <c r="L2900" s="1035" t="str">
        <f t="shared" si="1025"/>
        <v/>
      </c>
      <c r="S2900" s="498"/>
      <c r="AJ2900" s="498"/>
      <c r="AM2900" s="498">
        <f t="shared" si="1006"/>
        <v>0</v>
      </c>
      <c r="AN2900" s="498">
        <f t="shared" si="1007"/>
        <v>0</v>
      </c>
      <c r="AO2900" s="498">
        <f t="shared" si="1008"/>
        <v>0</v>
      </c>
      <c r="AP2900" s="498">
        <f t="shared" si="1027"/>
        <v>0</v>
      </c>
      <c r="AQ2900" s="498">
        <f t="shared" si="1022"/>
        <v>0</v>
      </c>
      <c r="AU2900" s="498">
        <f t="shared" si="1009"/>
        <v>0</v>
      </c>
      <c r="AV2900" s="498">
        <f t="shared" si="1010"/>
        <v>0</v>
      </c>
      <c r="AW2900" s="498">
        <f t="shared" si="1011"/>
        <v>0</v>
      </c>
      <c r="AX2900" s="498">
        <f t="shared" si="1012"/>
        <v>0</v>
      </c>
      <c r="AY2900" s="498">
        <f t="shared" si="1013"/>
        <v>0</v>
      </c>
      <c r="BB2900" s="498" t="str">
        <f t="shared" si="1014"/>
        <v/>
      </c>
      <c r="BC2900" s="743" t="str">
        <f t="shared" si="1015"/>
        <v/>
      </c>
      <c r="BD2900" s="743" t="str">
        <f t="shared" si="1016"/>
        <v/>
      </c>
      <c r="BE2900" s="743" t="str">
        <f>IF(D2900="","",VLOOKUP(D2900,'General Basis'!$J$39:$K$46,2,0))</f>
        <v/>
      </c>
      <c r="BF2900" s="744" t="str">
        <f>IF(D2900="","",VLOOKUP(D2900,'General Basis'!$J$39:$L$46,3,0))</f>
        <v/>
      </c>
      <c r="BG2900" s="744" t="str">
        <f t="shared" si="1023"/>
        <v/>
      </c>
      <c r="BH2900" s="744" t="str">
        <f>IF(G2900="","",IF(BF2900="Abu Dhabi",IF(G2900&lt;18,'General Basis'!$C$39,IF(G2900&lt;41,'General Basis'!$C$40,IF(G2900&lt;60,'General Basis'!$C$41,IF(G2900&lt;65,'General Basis'!$C$42,'General Basis'!$C$43)))),IF(G2900&lt;11,'General Basis'!$B$39,IF(G2900&lt;18,'General Basis'!$B$40,IF(G2900&lt;26,'General Basis'!$B$41,IF(G2900&lt;31,'General Basis'!$B$42,IF(G2900&lt;36,'General Basis'!$B$43,IF(G2900&lt;41,'General Basis'!$B$44,IF(G2900&lt;46,'General Basis'!$B$45,IF(G2900&lt;51,'General Basis'!$B$46,IF(G2900&lt;56,'General Basis'!$B$47,IF(G2900&lt;60,'General Basis'!$B$48,IF(G2900&lt;65,'General Basis'!$B$49,'General Basis'!$B$50)))))))))))))</f>
        <v/>
      </c>
      <c r="BI2900" s="744" t="str">
        <f t="shared" si="1017"/>
        <v/>
      </c>
      <c r="BJ2900" s="747" t="str">
        <f t="shared" si="1024"/>
        <v/>
      </c>
      <c r="BK2900" s="498" t="str">
        <f t="shared" si="1018"/>
        <v/>
      </c>
      <c r="BL2900" s="498" t="str">
        <f t="shared" si="1019"/>
        <v/>
      </c>
    </row>
    <row r="2901" spans="1:64" x14ac:dyDescent="0.25">
      <c r="A2901" s="762">
        <f t="shared" si="1020"/>
        <v>2896</v>
      </c>
      <c r="B2901" s="229"/>
      <c r="C2901" s="223"/>
      <c r="D2901" s="224"/>
      <c r="E2901" s="225"/>
      <c r="F2901" s="1036" t="str">
        <f t="shared" si="1026"/>
        <v/>
      </c>
      <c r="G2901" s="1037" t="str">
        <f t="shared" si="1021"/>
        <v/>
      </c>
      <c r="H2901" s="225"/>
      <c r="I2901" s="1013"/>
      <c r="J2901" s="1013"/>
      <c r="K2901" s="1028"/>
      <c r="L2901" s="1035" t="str">
        <f t="shared" si="1025"/>
        <v/>
      </c>
      <c r="S2901" s="498"/>
      <c r="AJ2901" s="498"/>
      <c r="AM2901" s="498">
        <f t="shared" si="1006"/>
        <v>0</v>
      </c>
      <c r="AN2901" s="498">
        <f t="shared" si="1007"/>
        <v>0</v>
      </c>
      <c r="AO2901" s="498">
        <f t="shared" si="1008"/>
        <v>0</v>
      </c>
      <c r="AP2901" s="498">
        <f t="shared" si="1027"/>
        <v>0</v>
      </c>
      <c r="AQ2901" s="498">
        <f t="shared" si="1022"/>
        <v>0</v>
      </c>
      <c r="AU2901" s="498">
        <f t="shared" si="1009"/>
        <v>0</v>
      </c>
      <c r="AV2901" s="498">
        <f t="shared" si="1010"/>
        <v>0</v>
      </c>
      <c r="AW2901" s="498">
        <f t="shared" si="1011"/>
        <v>0</v>
      </c>
      <c r="AX2901" s="498">
        <f t="shared" si="1012"/>
        <v>0</v>
      </c>
      <c r="AY2901" s="498">
        <f t="shared" si="1013"/>
        <v>0</v>
      </c>
      <c r="BB2901" s="498" t="str">
        <f t="shared" si="1014"/>
        <v/>
      </c>
      <c r="BC2901" s="743" t="str">
        <f t="shared" si="1015"/>
        <v/>
      </c>
      <c r="BD2901" s="743" t="str">
        <f t="shared" si="1016"/>
        <v/>
      </c>
      <c r="BE2901" s="743" t="str">
        <f>IF(D2901="","",VLOOKUP(D2901,'General Basis'!$J$39:$K$46,2,0))</f>
        <v/>
      </c>
      <c r="BF2901" s="744" t="str">
        <f>IF(D2901="","",VLOOKUP(D2901,'General Basis'!$J$39:$L$46,3,0))</f>
        <v/>
      </c>
      <c r="BG2901" s="744" t="str">
        <f t="shared" si="1023"/>
        <v/>
      </c>
      <c r="BH2901" s="744" t="str">
        <f>IF(G2901="","",IF(BF2901="Abu Dhabi",IF(G2901&lt;18,'General Basis'!$C$39,IF(G2901&lt;41,'General Basis'!$C$40,IF(G2901&lt;60,'General Basis'!$C$41,IF(G2901&lt;65,'General Basis'!$C$42,'General Basis'!$C$43)))),IF(G2901&lt;11,'General Basis'!$B$39,IF(G2901&lt;18,'General Basis'!$B$40,IF(G2901&lt;26,'General Basis'!$B$41,IF(G2901&lt;31,'General Basis'!$B$42,IF(G2901&lt;36,'General Basis'!$B$43,IF(G2901&lt;41,'General Basis'!$B$44,IF(G2901&lt;46,'General Basis'!$B$45,IF(G2901&lt;51,'General Basis'!$B$46,IF(G2901&lt;56,'General Basis'!$B$47,IF(G2901&lt;60,'General Basis'!$B$48,IF(G2901&lt;65,'General Basis'!$B$49,'General Basis'!$B$50)))))))))))))</f>
        <v/>
      </c>
      <c r="BI2901" s="744" t="str">
        <f t="shared" si="1017"/>
        <v/>
      </c>
      <c r="BJ2901" s="747" t="str">
        <f t="shared" si="1024"/>
        <v/>
      </c>
      <c r="BK2901" s="498" t="str">
        <f t="shared" si="1018"/>
        <v/>
      </c>
      <c r="BL2901" s="498" t="str">
        <f t="shared" si="1019"/>
        <v/>
      </c>
    </row>
    <row r="2902" spans="1:64" x14ac:dyDescent="0.25">
      <c r="A2902" s="762">
        <f t="shared" si="1020"/>
        <v>2897</v>
      </c>
      <c r="B2902" s="229"/>
      <c r="C2902" s="223"/>
      <c r="D2902" s="224"/>
      <c r="E2902" s="225"/>
      <c r="F2902" s="1036" t="str">
        <f t="shared" si="1026"/>
        <v/>
      </c>
      <c r="G2902" s="1037" t="str">
        <f t="shared" si="1021"/>
        <v/>
      </c>
      <c r="H2902" s="225"/>
      <c r="I2902" s="1013"/>
      <c r="J2902" s="1013"/>
      <c r="K2902" s="1028"/>
      <c r="L2902" s="1035" t="str">
        <f t="shared" si="1025"/>
        <v/>
      </c>
      <c r="S2902" s="498"/>
      <c r="AJ2902" s="498"/>
      <c r="AM2902" s="498">
        <f t="shared" si="1006"/>
        <v>0</v>
      </c>
      <c r="AN2902" s="498">
        <f t="shared" si="1007"/>
        <v>0</v>
      </c>
      <c r="AO2902" s="498">
        <f t="shared" si="1008"/>
        <v>0</v>
      </c>
      <c r="AP2902" s="498">
        <f t="shared" si="1027"/>
        <v>0</v>
      </c>
      <c r="AQ2902" s="498">
        <f t="shared" si="1022"/>
        <v>0</v>
      </c>
      <c r="AU2902" s="498">
        <f t="shared" si="1009"/>
        <v>0</v>
      </c>
      <c r="AV2902" s="498">
        <f t="shared" si="1010"/>
        <v>0</v>
      </c>
      <c r="AW2902" s="498">
        <f t="shared" si="1011"/>
        <v>0</v>
      </c>
      <c r="AX2902" s="498">
        <f t="shared" si="1012"/>
        <v>0</v>
      </c>
      <c r="AY2902" s="498">
        <f t="shared" si="1013"/>
        <v>0</v>
      </c>
      <c r="BB2902" s="498" t="str">
        <f t="shared" si="1014"/>
        <v/>
      </c>
      <c r="BC2902" s="743" t="str">
        <f t="shared" si="1015"/>
        <v/>
      </c>
      <c r="BD2902" s="743" t="str">
        <f t="shared" si="1016"/>
        <v/>
      </c>
      <c r="BE2902" s="743" t="str">
        <f>IF(D2902="","",VLOOKUP(D2902,'General Basis'!$J$39:$K$46,2,0))</f>
        <v/>
      </c>
      <c r="BF2902" s="744" t="str">
        <f>IF(D2902="","",VLOOKUP(D2902,'General Basis'!$J$39:$L$46,3,0))</f>
        <v/>
      </c>
      <c r="BG2902" s="744" t="str">
        <f t="shared" si="1023"/>
        <v/>
      </c>
      <c r="BH2902" s="744" t="str">
        <f>IF(G2902="","",IF(BF2902="Abu Dhabi",IF(G2902&lt;18,'General Basis'!$C$39,IF(G2902&lt;41,'General Basis'!$C$40,IF(G2902&lt;60,'General Basis'!$C$41,IF(G2902&lt;65,'General Basis'!$C$42,'General Basis'!$C$43)))),IF(G2902&lt;11,'General Basis'!$B$39,IF(G2902&lt;18,'General Basis'!$B$40,IF(G2902&lt;26,'General Basis'!$B$41,IF(G2902&lt;31,'General Basis'!$B$42,IF(G2902&lt;36,'General Basis'!$B$43,IF(G2902&lt;41,'General Basis'!$B$44,IF(G2902&lt;46,'General Basis'!$B$45,IF(G2902&lt;51,'General Basis'!$B$46,IF(G2902&lt;56,'General Basis'!$B$47,IF(G2902&lt;60,'General Basis'!$B$48,IF(G2902&lt;65,'General Basis'!$B$49,'General Basis'!$B$50)))))))))))))</f>
        <v/>
      </c>
      <c r="BI2902" s="744" t="str">
        <f t="shared" si="1017"/>
        <v/>
      </c>
      <c r="BJ2902" s="747" t="str">
        <f t="shared" si="1024"/>
        <v/>
      </c>
      <c r="BK2902" s="498" t="str">
        <f t="shared" si="1018"/>
        <v/>
      </c>
      <c r="BL2902" s="498" t="str">
        <f t="shared" si="1019"/>
        <v/>
      </c>
    </row>
    <row r="2903" spans="1:64" x14ac:dyDescent="0.25">
      <c r="A2903" s="762">
        <f t="shared" si="1020"/>
        <v>2898</v>
      </c>
      <c r="B2903" s="229"/>
      <c r="C2903" s="223"/>
      <c r="D2903" s="224"/>
      <c r="E2903" s="225"/>
      <c r="F2903" s="1036" t="str">
        <f t="shared" si="1026"/>
        <v/>
      </c>
      <c r="G2903" s="1037" t="str">
        <f t="shared" si="1021"/>
        <v/>
      </c>
      <c r="H2903" s="225"/>
      <c r="I2903" s="1013"/>
      <c r="J2903" s="1013"/>
      <c r="K2903" s="1028"/>
      <c r="L2903" s="1035" t="str">
        <f t="shared" si="1025"/>
        <v/>
      </c>
      <c r="S2903" s="498"/>
      <c r="AJ2903" s="498"/>
      <c r="AM2903" s="498">
        <f t="shared" si="1006"/>
        <v>0</v>
      </c>
      <c r="AN2903" s="498">
        <f t="shared" si="1007"/>
        <v>0</v>
      </c>
      <c r="AO2903" s="498">
        <f t="shared" si="1008"/>
        <v>0</v>
      </c>
      <c r="AP2903" s="498">
        <f t="shared" si="1027"/>
        <v>0</v>
      </c>
      <c r="AQ2903" s="498">
        <f t="shared" si="1022"/>
        <v>0</v>
      </c>
      <c r="AU2903" s="498">
        <f t="shared" si="1009"/>
        <v>0</v>
      </c>
      <c r="AV2903" s="498">
        <f t="shared" si="1010"/>
        <v>0</v>
      </c>
      <c r="AW2903" s="498">
        <f t="shared" si="1011"/>
        <v>0</v>
      </c>
      <c r="AX2903" s="498">
        <f t="shared" si="1012"/>
        <v>0</v>
      </c>
      <c r="AY2903" s="498">
        <f t="shared" si="1013"/>
        <v>0</v>
      </c>
      <c r="BB2903" s="498" t="str">
        <f t="shared" si="1014"/>
        <v/>
      </c>
      <c r="BC2903" s="743" t="str">
        <f t="shared" si="1015"/>
        <v/>
      </c>
      <c r="BD2903" s="743" t="str">
        <f t="shared" si="1016"/>
        <v/>
      </c>
      <c r="BE2903" s="743" t="str">
        <f>IF(D2903="","",VLOOKUP(D2903,'General Basis'!$J$39:$K$46,2,0))</f>
        <v/>
      </c>
      <c r="BF2903" s="744" t="str">
        <f>IF(D2903="","",VLOOKUP(D2903,'General Basis'!$J$39:$L$46,3,0))</f>
        <v/>
      </c>
      <c r="BG2903" s="744" t="str">
        <f t="shared" si="1023"/>
        <v/>
      </c>
      <c r="BH2903" s="744" t="str">
        <f>IF(G2903="","",IF(BF2903="Abu Dhabi",IF(G2903&lt;18,'General Basis'!$C$39,IF(G2903&lt;41,'General Basis'!$C$40,IF(G2903&lt;60,'General Basis'!$C$41,IF(G2903&lt;65,'General Basis'!$C$42,'General Basis'!$C$43)))),IF(G2903&lt;11,'General Basis'!$B$39,IF(G2903&lt;18,'General Basis'!$B$40,IF(G2903&lt;26,'General Basis'!$B$41,IF(G2903&lt;31,'General Basis'!$B$42,IF(G2903&lt;36,'General Basis'!$B$43,IF(G2903&lt;41,'General Basis'!$B$44,IF(G2903&lt;46,'General Basis'!$B$45,IF(G2903&lt;51,'General Basis'!$B$46,IF(G2903&lt;56,'General Basis'!$B$47,IF(G2903&lt;60,'General Basis'!$B$48,IF(G2903&lt;65,'General Basis'!$B$49,'General Basis'!$B$50)))))))))))))</f>
        <v/>
      </c>
      <c r="BI2903" s="744" t="str">
        <f t="shared" si="1017"/>
        <v/>
      </c>
      <c r="BJ2903" s="747" t="str">
        <f t="shared" si="1024"/>
        <v/>
      </c>
      <c r="BK2903" s="498" t="str">
        <f t="shared" si="1018"/>
        <v/>
      </c>
      <c r="BL2903" s="498" t="str">
        <f t="shared" si="1019"/>
        <v/>
      </c>
    </row>
    <row r="2904" spans="1:64" x14ac:dyDescent="0.25">
      <c r="A2904" s="762">
        <f t="shared" si="1020"/>
        <v>2899</v>
      </c>
      <c r="B2904" s="229"/>
      <c r="C2904" s="223"/>
      <c r="D2904" s="224"/>
      <c r="E2904" s="225"/>
      <c r="F2904" s="1036" t="str">
        <f t="shared" si="1026"/>
        <v/>
      </c>
      <c r="G2904" s="1037" t="str">
        <f t="shared" si="1021"/>
        <v/>
      </c>
      <c r="H2904" s="225"/>
      <c r="I2904" s="1013"/>
      <c r="J2904" s="1013"/>
      <c r="K2904" s="1028"/>
      <c r="L2904" s="1035" t="str">
        <f t="shared" si="1025"/>
        <v/>
      </c>
      <c r="S2904" s="498"/>
      <c r="AJ2904" s="498"/>
      <c r="AM2904" s="498">
        <f t="shared" si="1006"/>
        <v>0</v>
      </c>
      <c r="AN2904" s="498">
        <f t="shared" si="1007"/>
        <v>0</v>
      </c>
      <c r="AO2904" s="498">
        <f t="shared" si="1008"/>
        <v>0</v>
      </c>
      <c r="AP2904" s="498">
        <f t="shared" si="1027"/>
        <v>0</v>
      </c>
      <c r="AQ2904" s="498">
        <f t="shared" si="1022"/>
        <v>0</v>
      </c>
      <c r="AU2904" s="498">
        <f t="shared" si="1009"/>
        <v>0</v>
      </c>
      <c r="AV2904" s="498">
        <f t="shared" si="1010"/>
        <v>0</v>
      </c>
      <c r="AW2904" s="498">
        <f t="shared" si="1011"/>
        <v>0</v>
      </c>
      <c r="AX2904" s="498">
        <f t="shared" si="1012"/>
        <v>0</v>
      </c>
      <c r="AY2904" s="498">
        <f t="shared" si="1013"/>
        <v>0</v>
      </c>
      <c r="BB2904" s="498" t="str">
        <f t="shared" si="1014"/>
        <v/>
      </c>
      <c r="BC2904" s="743" t="str">
        <f t="shared" si="1015"/>
        <v/>
      </c>
      <c r="BD2904" s="743" t="str">
        <f t="shared" si="1016"/>
        <v/>
      </c>
      <c r="BE2904" s="743" t="str">
        <f>IF(D2904="","",VLOOKUP(D2904,'General Basis'!$J$39:$K$46,2,0))</f>
        <v/>
      </c>
      <c r="BF2904" s="744" t="str">
        <f>IF(D2904="","",VLOOKUP(D2904,'General Basis'!$J$39:$L$46,3,0))</f>
        <v/>
      </c>
      <c r="BG2904" s="744" t="str">
        <f t="shared" si="1023"/>
        <v/>
      </c>
      <c r="BH2904" s="744" t="str">
        <f>IF(G2904="","",IF(BF2904="Abu Dhabi",IF(G2904&lt;18,'General Basis'!$C$39,IF(G2904&lt;41,'General Basis'!$C$40,IF(G2904&lt;60,'General Basis'!$C$41,IF(G2904&lt;65,'General Basis'!$C$42,'General Basis'!$C$43)))),IF(G2904&lt;11,'General Basis'!$B$39,IF(G2904&lt;18,'General Basis'!$B$40,IF(G2904&lt;26,'General Basis'!$B$41,IF(G2904&lt;31,'General Basis'!$B$42,IF(G2904&lt;36,'General Basis'!$B$43,IF(G2904&lt;41,'General Basis'!$B$44,IF(G2904&lt;46,'General Basis'!$B$45,IF(G2904&lt;51,'General Basis'!$B$46,IF(G2904&lt;56,'General Basis'!$B$47,IF(G2904&lt;60,'General Basis'!$B$48,IF(G2904&lt;65,'General Basis'!$B$49,'General Basis'!$B$50)))))))))))))</f>
        <v/>
      </c>
      <c r="BI2904" s="744" t="str">
        <f t="shared" si="1017"/>
        <v/>
      </c>
      <c r="BJ2904" s="747" t="str">
        <f t="shared" si="1024"/>
        <v/>
      </c>
      <c r="BK2904" s="498" t="str">
        <f t="shared" si="1018"/>
        <v/>
      </c>
      <c r="BL2904" s="498" t="str">
        <f t="shared" si="1019"/>
        <v/>
      </c>
    </row>
    <row r="2905" spans="1:64" x14ac:dyDescent="0.25">
      <c r="A2905" s="762">
        <f t="shared" si="1020"/>
        <v>2900</v>
      </c>
      <c r="B2905" s="229"/>
      <c r="C2905" s="223"/>
      <c r="D2905" s="224"/>
      <c r="E2905" s="225"/>
      <c r="F2905" s="1036" t="str">
        <f t="shared" si="1026"/>
        <v/>
      </c>
      <c r="G2905" s="1037" t="str">
        <f t="shared" si="1021"/>
        <v/>
      </c>
      <c r="H2905" s="225"/>
      <c r="I2905" s="1013"/>
      <c r="J2905" s="1013"/>
      <c r="K2905" s="1028"/>
      <c r="L2905" s="1035" t="str">
        <f t="shared" si="1025"/>
        <v/>
      </c>
      <c r="S2905" s="498"/>
      <c r="AJ2905" s="498"/>
      <c r="AM2905" s="498">
        <f t="shared" si="1006"/>
        <v>0</v>
      </c>
      <c r="AN2905" s="498">
        <f t="shared" si="1007"/>
        <v>0</v>
      </c>
      <c r="AO2905" s="498">
        <f t="shared" si="1008"/>
        <v>0</v>
      </c>
      <c r="AP2905" s="498">
        <f t="shared" si="1027"/>
        <v>0</v>
      </c>
      <c r="AQ2905" s="498">
        <f t="shared" si="1022"/>
        <v>0</v>
      </c>
      <c r="AU2905" s="498">
        <f t="shared" si="1009"/>
        <v>0</v>
      </c>
      <c r="AV2905" s="498">
        <f t="shared" si="1010"/>
        <v>0</v>
      </c>
      <c r="AW2905" s="498">
        <f t="shared" si="1011"/>
        <v>0</v>
      </c>
      <c r="AX2905" s="498">
        <f t="shared" si="1012"/>
        <v>0</v>
      </c>
      <c r="AY2905" s="498">
        <f t="shared" si="1013"/>
        <v>0</v>
      </c>
      <c r="BB2905" s="498" t="str">
        <f t="shared" si="1014"/>
        <v/>
      </c>
      <c r="BC2905" s="743" t="str">
        <f t="shared" si="1015"/>
        <v/>
      </c>
      <c r="BD2905" s="743" t="str">
        <f t="shared" si="1016"/>
        <v/>
      </c>
      <c r="BE2905" s="743" t="str">
        <f>IF(D2905="","",VLOOKUP(D2905,'General Basis'!$J$39:$K$46,2,0))</f>
        <v/>
      </c>
      <c r="BF2905" s="744" t="str">
        <f>IF(D2905="","",VLOOKUP(D2905,'General Basis'!$J$39:$L$46,3,0))</f>
        <v/>
      </c>
      <c r="BG2905" s="744" t="str">
        <f t="shared" si="1023"/>
        <v/>
      </c>
      <c r="BH2905" s="744" t="str">
        <f>IF(G2905="","",IF(BF2905="Abu Dhabi",IF(G2905&lt;18,'General Basis'!$C$39,IF(G2905&lt;41,'General Basis'!$C$40,IF(G2905&lt;60,'General Basis'!$C$41,IF(G2905&lt;65,'General Basis'!$C$42,'General Basis'!$C$43)))),IF(G2905&lt;11,'General Basis'!$B$39,IF(G2905&lt;18,'General Basis'!$B$40,IF(G2905&lt;26,'General Basis'!$B$41,IF(G2905&lt;31,'General Basis'!$B$42,IF(G2905&lt;36,'General Basis'!$B$43,IF(G2905&lt;41,'General Basis'!$B$44,IF(G2905&lt;46,'General Basis'!$B$45,IF(G2905&lt;51,'General Basis'!$B$46,IF(G2905&lt;56,'General Basis'!$B$47,IF(G2905&lt;60,'General Basis'!$B$48,IF(G2905&lt;65,'General Basis'!$B$49,'General Basis'!$B$50)))))))))))))</f>
        <v/>
      </c>
      <c r="BI2905" s="744" t="str">
        <f t="shared" si="1017"/>
        <v/>
      </c>
      <c r="BJ2905" s="747" t="str">
        <f t="shared" si="1024"/>
        <v/>
      </c>
      <c r="BK2905" s="498" t="str">
        <f t="shared" si="1018"/>
        <v/>
      </c>
      <c r="BL2905" s="498" t="str">
        <f t="shared" si="1019"/>
        <v/>
      </c>
    </row>
    <row r="2906" spans="1:64" x14ac:dyDescent="0.25">
      <c r="A2906" s="762">
        <f t="shared" si="1020"/>
        <v>2901</v>
      </c>
      <c r="B2906" s="229"/>
      <c r="C2906" s="223"/>
      <c r="D2906" s="224"/>
      <c r="E2906" s="225"/>
      <c r="F2906" s="1036" t="str">
        <f t="shared" si="1026"/>
        <v/>
      </c>
      <c r="G2906" s="1037" t="str">
        <f t="shared" si="1021"/>
        <v/>
      </c>
      <c r="H2906" s="225"/>
      <c r="I2906" s="1013"/>
      <c r="J2906" s="1013"/>
      <c r="K2906" s="1028"/>
      <c r="L2906" s="1035" t="str">
        <f t="shared" si="1025"/>
        <v/>
      </c>
      <c r="S2906" s="498"/>
      <c r="AJ2906" s="498"/>
      <c r="AM2906" s="498">
        <f t="shared" si="1006"/>
        <v>0</v>
      </c>
      <c r="AN2906" s="498">
        <f t="shared" si="1007"/>
        <v>0</v>
      </c>
      <c r="AO2906" s="498">
        <f t="shared" si="1008"/>
        <v>0</v>
      </c>
      <c r="AP2906" s="498">
        <f t="shared" si="1027"/>
        <v>0</v>
      </c>
      <c r="AQ2906" s="498">
        <f t="shared" si="1022"/>
        <v>0</v>
      </c>
      <c r="AU2906" s="498">
        <f t="shared" si="1009"/>
        <v>0</v>
      </c>
      <c r="AV2906" s="498">
        <f t="shared" si="1010"/>
        <v>0</v>
      </c>
      <c r="AW2906" s="498">
        <f t="shared" si="1011"/>
        <v>0</v>
      </c>
      <c r="AX2906" s="498">
        <f t="shared" si="1012"/>
        <v>0</v>
      </c>
      <c r="AY2906" s="498">
        <f t="shared" si="1013"/>
        <v>0</v>
      </c>
      <c r="BB2906" s="498" t="str">
        <f t="shared" si="1014"/>
        <v/>
      </c>
      <c r="BC2906" s="743" t="str">
        <f t="shared" si="1015"/>
        <v/>
      </c>
      <c r="BD2906" s="743" t="str">
        <f t="shared" si="1016"/>
        <v/>
      </c>
      <c r="BE2906" s="743" t="str">
        <f>IF(D2906="","",VLOOKUP(D2906,'General Basis'!$J$39:$K$46,2,0))</f>
        <v/>
      </c>
      <c r="BF2906" s="744" t="str">
        <f>IF(D2906="","",VLOOKUP(D2906,'General Basis'!$J$39:$L$46,3,0))</f>
        <v/>
      </c>
      <c r="BG2906" s="744" t="str">
        <f t="shared" si="1023"/>
        <v/>
      </c>
      <c r="BH2906" s="744" t="str">
        <f>IF(G2906="","",IF(BF2906="Abu Dhabi",IF(G2906&lt;18,'General Basis'!$C$39,IF(G2906&lt;41,'General Basis'!$C$40,IF(G2906&lt;60,'General Basis'!$C$41,IF(G2906&lt;65,'General Basis'!$C$42,'General Basis'!$C$43)))),IF(G2906&lt;11,'General Basis'!$B$39,IF(G2906&lt;18,'General Basis'!$B$40,IF(G2906&lt;26,'General Basis'!$B$41,IF(G2906&lt;31,'General Basis'!$B$42,IF(G2906&lt;36,'General Basis'!$B$43,IF(G2906&lt;41,'General Basis'!$B$44,IF(G2906&lt;46,'General Basis'!$B$45,IF(G2906&lt;51,'General Basis'!$B$46,IF(G2906&lt;56,'General Basis'!$B$47,IF(G2906&lt;60,'General Basis'!$B$48,IF(G2906&lt;65,'General Basis'!$B$49,'General Basis'!$B$50)))))))))))))</f>
        <v/>
      </c>
      <c r="BI2906" s="744" t="str">
        <f t="shared" si="1017"/>
        <v/>
      </c>
      <c r="BJ2906" s="747" t="str">
        <f t="shared" si="1024"/>
        <v/>
      </c>
      <c r="BK2906" s="498" t="str">
        <f t="shared" si="1018"/>
        <v/>
      </c>
      <c r="BL2906" s="498" t="str">
        <f t="shared" si="1019"/>
        <v/>
      </c>
    </row>
    <row r="2907" spans="1:64" x14ac:dyDescent="0.25">
      <c r="A2907" s="762">
        <f t="shared" si="1020"/>
        <v>2902</v>
      </c>
      <c r="B2907" s="229"/>
      <c r="C2907" s="223"/>
      <c r="D2907" s="224"/>
      <c r="E2907" s="225"/>
      <c r="F2907" s="1036" t="str">
        <f t="shared" si="1026"/>
        <v/>
      </c>
      <c r="G2907" s="1037" t="str">
        <f t="shared" si="1021"/>
        <v/>
      </c>
      <c r="H2907" s="225"/>
      <c r="I2907" s="1013"/>
      <c r="J2907" s="1013"/>
      <c r="K2907" s="1028"/>
      <c r="L2907" s="1035" t="str">
        <f t="shared" si="1025"/>
        <v/>
      </c>
      <c r="S2907" s="498"/>
      <c r="AJ2907" s="498"/>
      <c r="AM2907" s="498">
        <f t="shared" si="1006"/>
        <v>0</v>
      </c>
      <c r="AN2907" s="498">
        <f t="shared" si="1007"/>
        <v>0</v>
      </c>
      <c r="AO2907" s="498">
        <f t="shared" si="1008"/>
        <v>0</v>
      </c>
      <c r="AP2907" s="498">
        <f t="shared" si="1027"/>
        <v>0</v>
      </c>
      <c r="AQ2907" s="498">
        <f t="shared" si="1022"/>
        <v>0</v>
      </c>
      <c r="AU2907" s="498">
        <f t="shared" si="1009"/>
        <v>0</v>
      </c>
      <c r="AV2907" s="498">
        <f t="shared" si="1010"/>
        <v>0</v>
      </c>
      <c r="AW2907" s="498">
        <f t="shared" si="1011"/>
        <v>0</v>
      </c>
      <c r="AX2907" s="498">
        <f t="shared" si="1012"/>
        <v>0</v>
      </c>
      <c r="AY2907" s="498">
        <f t="shared" si="1013"/>
        <v>0</v>
      </c>
      <c r="BB2907" s="498" t="str">
        <f t="shared" si="1014"/>
        <v/>
      </c>
      <c r="BC2907" s="743" t="str">
        <f t="shared" si="1015"/>
        <v/>
      </c>
      <c r="BD2907" s="743" t="str">
        <f t="shared" si="1016"/>
        <v/>
      </c>
      <c r="BE2907" s="743" t="str">
        <f>IF(D2907="","",VLOOKUP(D2907,'General Basis'!$J$39:$K$46,2,0))</f>
        <v/>
      </c>
      <c r="BF2907" s="744" t="str">
        <f>IF(D2907="","",VLOOKUP(D2907,'General Basis'!$J$39:$L$46,3,0))</f>
        <v/>
      </c>
      <c r="BG2907" s="744" t="str">
        <f t="shared" si="1023"/>
        <v/>
      </c>
      <c r="BH2907" s="744" t="str">
        <f>IF(G2907="","",IF(BF2907="Abu Dhabi",IF(G2907&lt;18,'General Basis'!$C$39,IF(G2907&lt;41,'General Basis'!$C$40,IF(G2907&lt;60,'General Basis'!$C$41,IF(G2907&lt;65,'General Basis'!$C$42,'General Basis'!$C$43)))),IF(G2907&lt;11,'General Basis'!$B$39,IF(G2907&lt;18,'General Basis'!$B$40,IF(G2907&lt;26,'General Basis'!$B$41,IF(G2907&lt;31,'General Basis'!$B$42,IF(G2907&lt;36,'General Basis'!$B$43,IF(G2907&lt;41,'General Basis'!$B$44,IF(G2907&lt;46,'General Basis'!$B$45,IF(G2907&lt;51,'General Basis'!$B$46,IF(G2907&lt;56,'General Basis'!$B$47,IF(G2907&lt;60,'General Basis'!$B$48,IF(G2907&lt;65,'General Basis'!$B$49,'General Basis'!$B$50)))))))))))))</f>
        <v/>
      </c>
      <c r="BI2907" s="744" t="str">
        <f t="shared" si="1017"/>
        <v/>
      </c>
      <c r="BJ2907" s="747" t="str">
        <f t="shared" si="1024"/>
        <v/>
      </c>
      <c r="BK2907" s="498" t="str">
        <f t="shared" si="1018"/>
        <v/>
      </c>
      <c r="BL2907" s="498" t="str">
        <f t="shared" si="1019"/>
        <v/>
      </c>
    </row>
    <row r="2908" spans="1:64" x14ac:dyDescent="0.25">
      <c r="A2908" s="762">
        <f t="shared" si="1020"/>
        <v>2903</v>
      </c>
      <c r="B2908" s="229"/>
      <c r="C2908" s="223"/>
      <c r="D2908" s="224"/>
      <c r="E2908" s="225"/>
      <c r="F2908" s="1036" t="str">
        <f t="shared" si="1026"/>
        <v/>
      </c>
      <c r="G2908" s="1037" t="str">
        <f t="shared" si="1021"/>
        <v/>
      </c>
      <c r="H2908" s="225"/>
      <c r="I2908" s="1013"/>
      <c r="J2908" s="1013"/>
      <c r="K2908" s="1028"/>
      <c r="L2908" s="1035" t="str">
        <f t="shared" si="1025"/>
        <v/>
      </c>
      <c r="S2908" s="498"/>
      <c r="AJ2908" s="498"/>
      <c r="AM2908" s="498">
        <f t="shared" si="1006"/>
        <v>0</v>
      </c>
      <c r="AN2908" s="498">
        <f t="shared" si="1007"/>
        <v>0</v>
      </c>
      <c r="AO2908" s="498">
        <f t="shared" si="1008"/>
        <v>0</v>
      </c>
      <c r="AP2908" s="498">
        <f t="shared" si="1027"/>
        <v>0</v>
      </c>
      <c r="AQ2908" s="498">
        <f t="shared" si="1022"/>
        <v>0</v>
      </c>
      <c r="AU2908" s="498">
        <f t="shared" si="1009"/>
        <v>0</v>
      </c>
      <c r="AV2908" s="498">
        <f t="shared" si="1010"/>
        <v>0</v>
      </c>
      <c r="AW2908" s="498">
        <f t="shared" si="1011"/>
        <v>0</v>
      </c>
      <c r="AX2908" s="498">
        <f t="shared" si="1012"/>
        <v>0</v>
      </c>
      <c r="AY2908" s="498">
        <f t="shared" si="1013"/>
        <v>0</v>
      </c>
      <c r="BB2908" s="498" t="str">
        <f t="shared" si="1014"/>
        <v/>
      </c>
      <c r="BC2908" s="743" t="str">
        <f t="shared" si="1015"/>
        <v/>
      </c>
      <c r="BD2908" s="743" t="str">
        <f t="shared" si="1016"/>
        <v/>
      </c>
      <c r="BE2908" s="743" t="str">
        <f>IF(D2908="","",VLOOKUP(D2908,'General Basis'!$J$39:$K$46,2,0))</f>
        <v/>
      </c>
      <c r="BF2908" s="744" t="str">
        <f>IF(D2908="","",VLOOKUP(D2908,'General Basis'!$J$39:$L$46,3,0))</f>
        <v/>
      </c>
      <c r="BG2908" s="744" t="str">
        <f t="shared" si="1023"/>
        <v/>
      </c>
      <c r="BH2908" s="744" t="str">
        <f>IF(G2908="","",IF(BF2908="Abu Dhabi",IF(G2908&lt;18,'General Basis'!$C$39,IF(G2908&lt;41,'General Basis'!$C$40,IF(G2908&lt;60,'General Basis'!$C$41,IF(G2908&lt;65,'General Basis'!$C$42,'General Basis'!$C$43)))),IF(G2908&lt;11,'General Basis'!$B$39,IF(G2908&lt;18,'General Basis'!$B$40,IF(G2908&lt;26,'General Basis'!$B$41,IF(G2908&lt;31,'General Basis'!$B$42,IF(G2908&lt;36,'General Basis'!$B$43,IF(G2908&lt;41,'General Basis'!$B$44,IF(G2908&lt;46,'General Basis'!$B$45,IF(G2908&lt;51,'General Basis'!$B$46,IF(G2908&lt;56,'General Basis'!$B$47,IF(G2908&lt;60,'General Basis'!$B$48,IF(G2908&lt;65,'General Basis'!$B$49,'General Basis'!$B$50)))))))))))))</f>
        <v/>
      </c>
      <c r="BI2908" s="744" t="str">
        <f t="shared" si="1017"/>
        <v/>
      </c>
      <c r="BJ2908" s="747" t="str">
        <f t="shared" si="1024"/>
        <v/>
      </c>
      <c r="BK2908" s="498" t="str">
        <f t="shared" si="1018"/>
        <v/>
      </c>
      <c r="BL2908" s="498" t="str">
        <f t="shared" si="1019"/>
        <v/>
      </c>
    </row>
    <row r="2909" spans="1:64" x14ac:dyDescent="0.25">
      <c r="A2909" s="762">
        <f t="shared" si="1020"/>
        <v>2904</v>
      </c>
      <c r="B2909" s="229"/>
      <c r="C2909" s="223"/>
      <c r="D2909" s="224"/>
      <c r="E2909" s="225"/>
      <c r="F2909" s="1036" t="str">
        <f t="shared" si="1026"/>
        <v/>
      </c>
      <c r="G2909" s="1037" t="str">
        <f t="shared" si="1021"/>
        <v/>
      </c>
      <c r="H2909" s="225"/>
      <c r="I2909" s="1013"/>
      <c r="J2909" s="1013"/>
      <c r="K2909" s="1028"/>
      <c r="L2909" s="1035" t="str">
        <f t="shared" si="1025"/>
        <v/>
      </c>
      <c r="S2909" s="498"/>
      <c r="AJ2909" s="498"/>
      <c r="AM2909" s="498">
        <f t="shared" si="1006"/>
        <v>0</v>
      </c>
      <c r="AN2909" s="498">
        <f t="shared" si="1007"/>
        <v>0</v>
      </c>
      <c r="AO2909" s="498">
        <f t="shared" si="1008"/>
        <v>0</v>
      </c>
      <c r="AP2909" s="498">
        <f t="shared" si="1027"/>
        <v>0</v>
      </c>
      <c r="AQ2909" s="498">
        <f t="shared" si="1022"/>
        <v>0</v>
      </c>
      <c r="AU2909" s="498">
        <f t="shared" si="1009"/>
        <v>0</v>
      </c>
      <c r="AV2909" s="498">
        <f t="shared" si="1010"/>
        <v>0</v>
      </c>
      <c r="AW2909" s="498">
        <f t="shared" si="1011"/>
        <v>0</v>
      </c>
      <c r="AX2909" s="498">
        <f t="shared" si="1012"/>
        <v>0</v>
      </c>
      <c r="AY2909" s="498">
        <f t="shared" si="1013"/>
        <v>0</v>
      </c>
      <c r="BB2909" s="498" t="str">
        <f t="shared" si="1014"/>
        <v/>
      </c>
      <c r="BC2909" s="743" t="str">
        <f t="shared" si="1015"/>
        <v/>
      </c>
      <c r="BD2909" s="743" t="str">
        <f t="shared" si="1016"/>
        <v/>
      </c>
      <c r="BE2909" s="743" t="str">
        <f>IF(D2909="","",VLOOKUP(D2909,'General Basis'!$J$39:$K$46,2,0))</f>
        <v/>
      </c>
      <c r="BF2909" s="744" t="str">
        <f>IF(D2909="","",VLOOKUP(D2909,'General Basis'!$J$39:$L$46,3,0))</f>
        <v/>
      </c>
      <c r="BG2909" s="744" t="str">
        <f t="shared" si="1023"/>
        <v/>
      </c>
      <c r="BH2909" s="744" t="str">
        <f>IF(G2909="","",IF(BF2909="Abu Dhabi",IF(G2909&lt;18,'General Basis'!$C$39,IF(G2909&lt;41,'General Basis'!$C$40,IF(G2909&lt;60,'General Basis'!$C$41,IF(G2909&lt;65,'General Basis'!$C$42,'General Basis'!$C$43)))),IF(G2909&lt;11,'General Basis'!$B$39,IF(G2909&lt;18,'General Basis'!$B$40,IF(G2909&lt;26,'General Basis'!$B$41,IF(G2909&lt;31,'General Basis'!$B$42,IF(G2909&lt;36,'General Basis'!$B$43,IF(G2909&lt;41,'General Basis'!$B$44,IF(G2909&lt;46,'General Basis'!$B$45,IF(G2909&lt;51,'General Basis'!$B$46,IF(G2909&lt;56,'General Basis'!$B$47,IF(G2909&lt;60,'General Basis'!$B$48,IF(G2909&lt;65,'General Basis'!$B$49,'General Basis'!$B$50)))))))))))))</f>
        <v/>
      </c>
      <c r="BI2909" s="744" t="str">
        <f t="shared" si="1017"/>
        <v/>
      </c>
      <c r="BJ2909" s="747" t="str">
        <f t="shared" si="1024"/>
        <v/>
      </c>
      <c r="BK2909" s="498" t="str">
        <f t="shared" si="1018"/>
        <v/>
      </c>
      <c r="BL2909" s="498" t="str">
        <f t="shared" si="1019"/>
        <v/>
      </c>
    </row>
    <row r="2910" spans="1:64" x14ac:dyDescent="0.25">
      <c r="A2910" s="762">
        <f t="shared" si="1020"/>
        <v>2905</v>
      </c>
      <c r="B2910" s="229"/>
      <c r="C2910" s="223"/>
      <c r="D2910" s="224"/>
      <c r="E2910" s="225"/>
      <c r="F2910" s="1036" t="str">
        <f t="shared" si="1026"/>
        <v/>
      </c>
      <c r="G2910" s="1037" t="str">
        <f t="shared" si="1021"/>
        <v/>
      </c>
      <c r="H2910" s="225"/>
      <c r="I2910" s="1013"/>
      <c r="J2910" s="1013"/>
      <c r="K2910" s="1028"/>
      <c r="L2910" s="1035" t="str">
        <f t="shared" si="1025"/>
        <v/>
      </c>
      <c r="S2910" s="498"/>
      <c r="AJ2910" s="498"/>
      <c r="AM2910" s="498">
        <f t="shared" si="1006"/>
        <v>0</v>
      </c>
      <c r="AN2910" s="498">
        <f t="shared" si="1007"/>
        <v>0</v>
      </c>
      <c r="AO2910" s="498">
        <f t="shared" si="1008"/>
        <v>0</v>
      </c>
      <c r="AP2910" s="498">
        <f t="shared" si="1027"/>
        <v>0</v>
      </c>
      <c r="AQ2910" s="498">
        <f t="shared" si="1022"/>
        <v>0</v>
      </c>
      <c r="AU2910" s="498">
        <f t="shared" si="1009"/>
        <v>0</v>
      </c>
      <c r="AV2910" s="498">
        <f t="shared" si="1010"/>
        <v>0</v>
      </c>
      <c r="AW2910" s="498">
        <f t="shared" si="1011"/>
        <v>0</v>
      </c>
      <c r="AX2910" s="498">
        <f t="shared" si="1012"/>
        <v>0</v>
      </c>
      <c r="AY2910" s="498">
        <f t="shared" si="1013"/>
        <v>0</v>
      </c>
      <c r="BB2910" s="498" t="str">
        <f t="shared" si="1014"/>
        <v/>
      </c>
      <c r="BC2910" s="743" t="str">
        <f t="shared" si="1015"/>
        <v/>
      </c>
      <c r="BD2910" s="743" t="str">
        <f t="shared" si="1016"/>
        <v/>
      </c>
      <c r="BE2910" s="743" t="str">
        <f>IF(D2910="","",VLOOKUP(D2910,'General Basis'!$J$39:$K$46,2,0))</f>
        <v/>
      </c>
      <c r="BF2910" s="744" t="str">
        <f>IF(D2910="","",VLOOKUP(D2910,'General Basis'!$J$39:$L$46,3,0))</f>
        <v/>
      </c>
      <c r="BG2910" s="744" t="str">
        <f t="shared" si="1023"/>
        <v/>
      </c>
      <c r="BH2910" s="744" t="str">
        <f>IF(G2910="","",IF(BF2910="Abu Dhabi",IF(G2910&lt;18,'General Basis'!$C$39,IF(G2910&lt;41,'General Basis'!$C$40,IF(G2910&lt;60,'General Basis'!$C$41,IF(G2910&lt;65,'General Basis'!$C$42,'General Basis'!$C$43)))),IF(G2910&lt;11,'General Basis'!$B$39,IF(G2910&lt;18,'General Basis'!$B$40,IF(G2910&lt;26,'General Basis'!$B$41,IF(G2910&lt;31,'General Basis'!$B$42,IF(G2910&lt;36,'General Basis'!$B$43,IF(G2910&lt;41,'General Basis'!$B$44,IF(G2910&lt;46,'General Basis'!$B$45,IF(G2910&lt;51,'General Basis'!$B$46,IF(G2910&lt;56,'General Basis'!$B$47,IF(G2910&lt;60,'General Basis'!$B$48,IF(G2910&lt;65,'General Basis'!$B$49,'General Basis'!$B$50)))))))))))))</f>
        <v/>
      </c>
      <c r="BI2910" s="744" t="str">
        <f t="shared" si="1017"/>
        <v/>
      </c>
      <c r="BJ2910" s="747" t="str">
        <f t="shared" si="1024"/>
        <v/>
      </c>
      <c r="BK2910" s="498" t="str">
        <f t="shared" si="1018"/>
        <v/>
      </c>
      <c r="BL2910" s="498" t="str">
        <f t="shared" si="1019"/>
        <v/>
      </c>
    </row>
    <row r="2911" spans="1:64" x14ac:dyDescent="0.25">
      <c r="A2911" s="762">
        <f t="shared" si="1020"/>
        <v>2906</v>
      </c>
      <c r="B2911" s="229"/>
      <c r="C2911" s="223"/>
      <c r="D2911" s="224"/>
      <c r="E2911" s="225"/>
      <c r="F2911" s="1036" t="str">
        <f t="shared" si="1026"/>
        <v/>
      </c>
      <c r="G2911" s="1037" t="str">
        <f t="shared" si="1021"/>
        <v/>
      </c>
      <c r="H2911" s="225"/>
      <c r="I2911" s="1013"/>
      <c r="J2911" s="1013"/>
      <c r="K2911" s="1028"/>
      <c r="L2911" s="1035" t="str">
        <f t="shared" si="1025"/>
        <v/>
      </c>
      <c r="S2911" s="498"/>
      <c r="AJ2911" s="498"/>
      <c r="AM2911" s="498">
        <f t="shared" si="1006"/>
        <v>0</v>
      </c>
      <c r="AN2911" s="498">
        <f t="shared" si="1007"/>
        <v>0</v>
      </c>
      <c r="AO2911" s="498">
        <f t="shared" si="1008"/>
        <v>0</v>
      </c>
      <c r="AP2911" s="498">
        <f t="shared" si="1027"/>
        <v>0</v>
      </c>
      <c r="AQ2911" s="498">
        <f t="shared" si="1022"/>
        <v>0</v>
      </c>
      <c r="AU2911" s="498">
        <f t="shared" si="1009"/>
        <v>0</v>
      </c>
      <c r="AV2911" s="498">
        <f t="shared" si="1010"/>
        <v>0</v>
      </c>
      <c r="AW2911" s="498">
        <f t="shared" si="1011"/>
        <v>0</v>
      </c>
      <c r="AX2911" s="498">
        <f t="shared" si="1012"/>
        <v>0</v>
      </c>
      <c r="AY2911" s="498">
        <f t="shared" si="1013"/>
        <v>0</v>
      </c>
      <c r="BB2911" s="498" t="str">
        <f t="shared" si="1014"/>
        <v/>
      </c>
      <c r="BC2911" s="743" t="str">
        <f t="shared" si="1015"/>
        <v/>
      </c>
      <c r="BD2911" s="743" t="str">
        <f t="shared" si="1016"/>
        <v/>
      </c>
      <c r="BE2911" s="743" t="str">
        <f>IF(D2911="","",VLOOKUP(D2911,'General Basis'!$J$39:$K$46,2,0))</f>
        <v/>
      </c>
      <c r="BF2911" s="744" t="str">
        <f>IF(D2911="","",VLOOKUP(D2911,'General Basis'!$J$39:$L$46,3,0))</f>
        <v/>
      </c>
      <c r="BG2911" s="744" t="str">
        <f t="shared" si="1023"/>
        <v/>
      </c>
      <c r="BH2911" s="744" t="str">
        <f>IF(G2911="","",IF(BF2911="Abu Dhabi",IF(G2911&lt;18,'General Basis'!$C$39,IF(G2911&lt;41,'General Basis'!$C$40,IF(G2911&lt;60,'General Basis'!$C$41,IF(G2911&lt;65,'General Basis'!$C$42,'General Basis'!$C$43)))),IF(G2911&lt;11,'General Basis'!$B$39,IF(G2911&lt;18,'General Basis'!$B$40,IF(G2911&lt;26,'General Basis'!$B$41,IF(G2911&lt;31,'General Basis'!$B$42,IF(G2911&lt;36,'General Basis'!$B$43,IF(G2911&lt;41,'General Basis'!$B$44,IF(G2911&lt;46,'General Basis'!$B$45,IF(G2911&lt;51,'General Basis'!$B$46,IF(G2911&lt;56,'General Basis'!$B$47,IF(G2911&lt;60,'General Basis'!$B$48,IF(G2911&lt;65,'General Basis'!$B$49,'General Basis'!$B$50)))))))))))))</f>
        <v/>
      </c>
      <c r="BI2911" s="744" t="str">
        <f t="shared" si="1017"/>
        <v/>
      </c>
      <c r="BJ2911" s="747" t="str">
        <f t="shared" si="1024"/>
        <v/>
      </c>
      <c r="BK2911" s="498" t="str">
        <f t="shared" si="1018"/>
        <v/>
      </c>
      <c r="BL2911" s="498" t="str">
        <f t="shared" si="1019"/>
        <v/>
      </c>
    </row>
    <row r="2912" spans="1:64" x14ac:dyDescent="0.25">
      <c r="A2912" s="762">
        <f t="shared" si="1020"/>
        <v>2907</v>
      </c>
      <c r="B2912" s="229"/>
      <c r="C2912" s="223"/>
      <c r="D2912" s="224"/>
      <c r="E2912" s="225"/>
      <c r="F2912" s="1036" t="str">
        <f t="shared" si="1026"/>
        <v/>
      </c>
      <c r="G2912" s="1037" t="str">
        <f t="shared" si="1021"/>
        <v/>
      </c>
      <c r="H2912" s="225"/>
      <c r="I2912" s="1013"/>
      <c r="J2912" s="1013"/>
      <c r="K2912" s="1028"/>
      <c r="L2912" s="1035" t="str">
        <f t="shared" si="1025"/>
        <v/>
      </c>
      <c r="S2912" s="498"/>
      <c r="AJ2912" s="498"/>
      <c r="AM2912" s="498">
        <f t="shared" si="1006"/>
        <v>0</v>
      </c>
      <c r="AN2912" s="498">
        <f t="shared" si="1007"/>
        <v>0</v>
      </c>
      <c r="AO2912" s="498">
        <f t="shared" si="1008"/>
        <v>0</v>
      </c>
      <c r="AP2912" s="498">
        <f t="shared" si="1027"/>
        <v>0</v>
      </c>
      <c r="AQ2912" s="498">
        <f t="shared" si="1022"/>
        <v>0</v>
      </c>
      <c r="AU2912" s="498">
        <f t="shared" si="1009"/>
        <v>0</v>
      </c>
      <c r="AV2912" s="498">
        <f t="shared" si="1010"/>
        <v>0</v>
      </c>
      <c r="AW2912" s="498">
        <f t="shared" si="1011"/>
        <v>0</v>
      </c>
      <c r="AX2912" s="498">
        <f t="shared" si="1012"/>
        <v>0</v>
      </c>
      <c r="AY2912" s="498">
        <f t="shared" si="1013"/>
        <v>0</v>
      </c>
      <c r="BB2912" s="498" t="str">
        <f t="shared" si="1014"/>
        <v/>
      </c>
      <c r="BC2912" s="743" t="str">
        <f t="shared" si="1015"/>
        <v/>
      </c>
      <c r="BD2912" s="743" t="str">
        <f t="shared" si="1016"/>
        <v/>
      </c>
      <c r="BE2912" s="743" t="str">
        <f>IF(D2912="","",VLOOKUP(D2912,'General Basis'!$J$39:$K$46,2,0))</f>
        <v/>
      </c>
      <c r="BF2912" s="744" t="str">
        <f>IF(D2912="","",VLOOKUP(D2912,'General Basis'!$J$39:$L$46,3,0))</f>
        <v/>
      </c>
      <c r="BG2912" s="744" t="str">
        <f t="shared" si="1023"/>
        <v/>
      </c>
      <c r="BH2912" s="744" t="str">
        <f>IF(G2912="","",IF(BF2912="Abu Dhabi",IF(G2912&lt;18,'General Basis'!$C$39,IF(G2912&lt;41,'General Basis'!$C$40,IF(G2912&lt;60,'General Basis'!$C$41,IF(G2912&lt;65,'General Basis'!$C$42,'General Basis'!$C$43)))),IF(G2912&lt;11,'General Basis'!$B$39,IF(G2912&lt;18,'General Basis'!$B$40,IF(G2912&lt;26,'General Basis'!$B$41,IF(G2912&lt;31,'General Basis'!$B$42,IF(G2912&lt;36,'General Basis'!$B$43,IF(G2912&lt;41,'General Basis'!$B$44,IF(G2912&lt;46,'General Basis'!$B$45,IF(G2912&lt;51,'General Basis'!$B$46,IF(G2912&lt;56,'General Basis'!$B$47,IF(G2912&lt;60,'General Basis'!$B$48,IF(G2912&lt;65,'General Basis'!$B$49,'General Basis'!$B$50)))))))))))))</f>
        <v/>
      </c>
      <c r="BI2912" s="744" t="str">
        <f t="shared" si="1017"/>
        <v/>
      </c>
      <c r="BJ2912" s="747" t="str">
        <f t="shared" si="1024"/>
        <v/>
      </c>
      <c r="BK2912" s="498" t="str">
        <f t="shared" si="1018"/>
        <v/>
      </c>
      <c r="BL2912" s="498" t="str">
        <f t="shared" si="1019"/>
        <v/>
      </c>
    </row>
    <row r="2913" spans="1:64" x14ac:dyDescent="0.25">
      <c r="A2913" s="762">
        <f t="shared" si="1020"/>
        <v>2908</v>
      </c>
      <c r="B2913" s="229"/>
      <c r="C2913" s="223"/>
      <c r="D2913" s="224"/>
      <c r="E2913" s="225"/>
      <c r="F2913" s="1036" t="str">
        <f t="shared" si="1026"/>
        <v/>
      </c>
      <c r="G2913" s="1037" t="str">
        <f t="shared" si="1021"/>
        <v/>
      </c>
      <c r="H2913" s="225"/>
      <c r="I2913" s="1013"/>
      <c r="J2913" s="1013"/>
      <c r="K2913" s="1028"/>
      <c r="L2913" s="1035" t="str">
        <f t="shared" si="1025"/>
        <v/>
      </c>
      <c r="S2913" s="498"/>
      <c r="AJ2913" s="498"/>
      <c r="AM2913" s="498">
        <f t="shared" si="1006"/>
        <v>0</v>
      </c>
      <c r="AN2913" s="498">
        <f t="shared" si="1007"/>
        <v>0</v>
      </c>
      <c r="AO2913" s="498">
        <f t="shared" si="1008"/>
        <v>0</v>
      </c>
      <c r="AP2913" s="498">
        <f t="shared" si="1027"/>
        <v>0</v>
      </c>
      <c r="AQ2913" s="498">
        <f t="shared" si="1022"/>
        <v>0</v>
      </c>
      <c r="AU2913" s="498">
        <f t="shared" si="1009"/>
        <v>0</v>
      </c>
      <c r="AV2913" s="498">
        <f t="shared" si="1010"/>
        <v>0</v>
      </c>
      <c r="AW2913" s="498">
        <f t="shared" si="1011"/>
        <v>0</v>
      </c>
      <c r="AX2913" s="498">
        <f t="shared" si="1012"/>
        <v>0</v>
      </c>
      <c r="AY2913" s="498">
        <f t="shared" si="1013"/>
        <v>0</v>
      </c>
      <c r="BB2913" s="498" t="str">
        <f t="shared" si="1014"/>
        <v/>
      </c>
      <c r="BC2913" s="743" t="str">
        <f t="shared" si="1015"/>
        <v/>
      </c>
      <c r="BD2913" s="743" t="str">
        <f t="shared" si="1016"/>
        <v/>
      </c>
      <c r="BE2913" s="743" t="str">
        <f>IF(D2913="","",VLOOKUP(D2913,'General Basis'!$J$39:$K$46,2,0))</f>
        <v/>
      </c>
      <c r="BF2913" s="744" t="str">
        <f>IF(D2913="","",VLOOKUP(D2913,'General Basis'!$J$39:$L$46,3,0))</f>
        <v/>
      </c>
      <c r="BG2913" s="744" t="str">
        <f t="shared" si="1023"/>
        <v/>
      </c>
      <c r="BH2913" s="744" t="str">
        <f>IF(G2913="","",IF(BF2913="Abu Dhabi",IF(G2913&lt;18,'General Basis'!$C$39,IF(G2913&lt;41,'General Basis'!$C$40,IF(G2913&lt;60,'General Basis'!$C$41,IF(G2913&lt;65,'General Basis'!$C$42,'General Basis'!$C$43)))),IF(G2913&lt;11,'General Basis'!$B$39,IF(G2913&lt;18,'General Basis'!$B$40,IF(G2913&lt;26,'General Basis'!$B$41,IF(G2913&lt;31,'General Basis'!$B$42,IF(G2913&lt;36,'General Basis'!$B$43,IF(G2913&lt;41,'General Basis'!$B$44,IF(G2913&lt;46,'General Basis'!$B$45,IF(G2913&lt;51,'General Basis'!$B$46,IF(G2913&lt;56,'General Basis'!$B$47,IF(G2913&lt;60,'General Basis'!$B$48,IF(G2913&lt;65,'General Basis'!$B$49,'General Basis'!$B$50)))))))))))))</f>
        <v/>
      </c>
      <c r="BI2913" s="744" t="str">
        <f t="shared" si="1017"/>
        <v/>
      </c>
      <c r="BJ2913" s="747" t="str">
        <f t="shared" si="1024"/>
        <v/>
      </c>
      <c r="BK2913" s="498" t="str">
        <f t="shared" si="1018"/>
        <v/>
      </c>
      <c r="BL2913" s="498" t="str">
        <f t="shared" si="1019"/>
        <v/>
      </c>
    </row>
    <row r="2914" spans="1:64" x14ac:dyDescent="0.25">
      <c r="A2914" s="762">
        <f t="shared" si="1020"/>
        <v>2909</v>
      </c>
      <c r="B2914" s="229"/>
      <c r="C2914" s="223"/>
      <c r="D2914" s="224"/>
      <c r="E2914" s="225"/>
      <c r="F2914" s="1036" t="str">
        <f t="shared" si="1026"/>
        <v/>
      </c>
      <c r="G2914" s="1037" t="str">
        <f t="shared" si="1021"/>
        <v/>
      </c>
      <c r="H2914" s="225"/>
      <c r="I2914" s="1013"/>
      <c r="J2914" s="1013"/>
      <c r="K2914" s="1028"/>
      <c r="L2914" s="1035" t="str">
        <f t="shared" si="1025"/>
        <v/>
      </c>
      <c r="S2914" s="498"/>
      <c r="AJ2914" s="498"/>
      <c r="AM2914" s="498">
        <f t="shared" si="1006"/>
        <v>0</v>
      </c>
      <c r="AN2914" s="498">
        <f t="shared" si="1007"/>
        <v>0</v>
      </c>
      <c r="AO2914" s="498">
        <f t="shared" si="1008"/>
        <v>0</v>
      </c>
      <c r="AP2914" s="498">
        <f t="shared" si="1027"/>
        <v>0</v>
      </c>
      <c r="AQ2914" s="498">
        <f t="shared" si="1022"/>
        <v>0</v>
      </c>
      <c r="AU2914" s="498">
        <f t="shared" si="1009"/>
        <v>0</v>
      </c>
      <c r="AV2914" s="498">
        <f t="shared" si="1010"/>
        <v>0</v>
      </c>
      <c r="AW2914" s="498">
        <f t="shared" si="1011"/>
        <v>0</v>
      </c>
      <c r="AX2914" s="498">
        <f t="shared" si="1012"/>
        <v>0</v>
      </c>
      <c r="AY2914" s="498">
        <f t="shared" si="1013"/>
        <v>0</v>
      </c>
      <c r="BB2914" s="498" t="str">
        <f t="shared" si="1014"/>
        <v/>
      </c>
      <c r="BC2914" s="743" t="str">
        <f t="shared" si="1015"/>
        <v/>
      </c>
      <c r="BD2914" s="743" t="str">
        <f t="shared" si="1016"/>
        <v/>
      </c>
      <c r="BE2914" s="743" t="str">
        <f>IF(D2914="","",VLOOKUP(D2914,'General Basis'!$J$39:$K$46,2,0))</f>
        <v/>
      </c>
      <c r="BF2914" s="744" t="str">
        <f>IF(D2914="","",VLOOKUP(D2914,'General Basis'!$J$39:$L$46,3,0))</f>
        <v/>
      </c>
      <c r="BG2914" s="744" t="str">
        <f t="shared" si="1023"/>
        <v/>
      </c>
      <c r="BH2914" s="744" t="str">
        <f>IF(G2914="","",IF(BF2914="Abu Dhabi",IF(G2914&lt;18,'General Basis'!$C$39,IF(G2914&lt;41,'General Basis'!$C$40,IF(G2914&lt;60,'General Basis'!$C$41,IF(G2914&lt;65,'General Basis'!$C$42,'General Basis'!$C$43)))),IF(G2914&lt;11,'General Basis'!$B$39,IF(G2914&lt;18,'General Basis'!$B$40,IF(G2914&lt;26,'General Basis'!$B$41,IF(G2914&lt;31,'General Basis'!$B$42,IF(G2914&lt;36,'General Basis'!$B$43,IF(G2914&lt;41,'General Basis'!$B$44,IF(G2914&lt;46,'General Basis'!$B$45,IF(G2914&lt;51,'General Basis'!$B$46,IF(G2914&lt;56,'General Basis'!$B$47,IF(G2914&lt;60,'General Basis'!$B$48,IF(G2914&lt;65,'General Basis'!$B$49,'General Basis'!$B$50)))))))))))))</f>
        <v/>
      </c>
      <c r="BI2914" s="744" t="str">
        <f t="shared" si="1017"/>
        <v/>
      </c>
      <c r="BJ2914" s="747" t="str">
        <f t="shared" si="1024"/>
        <v/>
      </c>
      <c r="BK2914" s="498" t="str">
        <f t="shared" si="1018"/>
        <v/>
      </c>
      <c r="BL2914" s="498" t="str">
        <f t="shared" si="1019"/>
        <v/>
      </c>
    </row>
    <row r="2915" spans="1:64" x14ac:dyDescent="0.25">
      <c r="A2915" s="762">
        <f t="shared" si="1020"/>
        <v>2910</v>
      </c>
      <c r="B2915" s="229"/>
      <c r="C2915" s="223"/>
      <c r="D2915" s="224"/>
      <c r="E2915" s="225"/>
      <c r="F2915" s="1036" t="str">
        <f t="shared" si="1026"/>
        <v/>
      </c>
      <c r="G2915" s="1037" t="str">
        <f t="shared" si="1021"/>
        <v/>
      </c>
      <c r="H2915" s="225"/>
      <c r="I2915" s="1013"/>
      <c r="J2915" s="1013"/>
      <c r="K2915" s="1028"/>
      <c r="L2915" s="1035" t="str">
        <f t="shared" si="1025"/>
        <v/>
      </c>
      <c r="S2915" s="498"/>
      <c r="AJ2915" s="498"/>
      <c r="AM2915" s="498">
        <f t="shared" si="1006"/>
        <v>0</v>
      </c>
      <c r="AN2915" s="498">
        <f t="shared" si="1007"/>
        <v>0</v>
      </c>
      <c r="AO2915" s="498">
        <f t="shared" si="1008"/>
        <v>0</v>
      </c>
      <c r="AP2915" s="498">
        <f t="shared" si="1027"/>
        <v>0</v>
      </c>
      <c r="AQ2915" s="498">
        <f t="shared" si="1022"/>
        <v>0</v>
      </c>
      <c r="AU2915" s="498">
        <f t="shared" si="1009"/>
        <v>0</v>
      </c>
      <c r="AV2915" s="498">
        <f t="shared" si="1010"/>
        <v>0</v>
      </c>
      <c r="AW2915" s="498">
        <f t="shared" si="1011"/>
        <v>0</v>
      </c>
      <c r="AX2915" s="498">
        <f t="shared" si="1012"/>
        <v>0</v>
      </c>
      <c r="AY2915" s="498">
        <f t="shared" si="1013"/>
        <v>0</v>
      </c>
      <c r="BB2915" s="498" t="str">
        <f t="shared" si="1014"/>
        <v/>
      </c>
      <c r="BC2915" s="743" t="str">
        <f t="shared" si="1015"/>
        <v/>
      </c>
      <c r="BD2915" s="743" t="str">
        <f t="shared" si="1016"/>
        <v/>
      </c>
      <c r="BE2915" s="743" t="str">
        <f>IF(D2915="","",VLOOKUP(D2915,'General Basis'!$J$39:$K$46,2,0))</f>
        <v/>
      </c>
      <c r="BF2915" s="744" t="str">
        <f>IF(D2915="","",VLOOKUP(D2915,'General Basis'!$J$39:$L$46,3,0))</f>
        <v/>
      </c>
      <c r="BG2915" s="744" t="str">
        <f t="shared" si="1023"/>
        <v/>
      </c>
      <c r="BH2915" s="744" t="str">
        <f>IF(G2915="","",IF(BF2915="Abu Dhabi",IF(G2915&lt;18,'General Basis'!$C$39,IF(G2915&lt;41,'General Basis'!$C$40,IF(G2915&lt;60,'General Basis'!$C$41,IF(G2915&lt;65,'General Basis'!$C$42,'General Basis'!$C$43)))),IF(G2915&lt;11,'General Basis'!$B$39,IF(G2915&lt;18,'General Basis'!$B$40,IF(G2915&lt;26,'General Basis'!$B$41,IF(G2915&lt;31,'General Basis'!$B$42,IF(G2915&lt;36,'General Basis'!$B$43,IF(G2915&lt;41,'General Basis'!$B$44,IF(G2915&lt;46,'General Basis'!$B$45,IF(G2915&lt;51,'General Basis'!$B$46,IF(G2915&lt;56,'General Basis'!$B$47,IF(G2915&lt;60,'General Basis'!$B$48,IF(G2915&lt;65,'General Basis'!$B$49,'General Basis'!$B$50)))))))))))))</f>
        <v/>
      </c>
      <c r="BI2915" s="744" t="str">
        <f t="shared" si="1017"/>
        <v/>
      </c>
      <c r="BJ2915" s="747" t="str">
        <f t="shared" si="1024"/>
        <v/>
      </c>
      <c r="BK2915" s="498" t="str">
        <f t="shared" si="1018"/>
        <v/>
      </c>
      <c r="BL2915" s="498" t="str">
        <f t="shared" si="1019"/>
        <v/>
      </c>
    </row>
    <row r="2916" spans="1:64" x14ac:dyDescent="0.25">
      <c r="A2916" s="762">
        <f t="shared" si="1020"/>
        <v>2911</v>
      </c>
      <c r="B2916" s="229"/>
      <c r="C2916" s="223"/>
      <c r="D2916" s="224"/>
      <c r="E2916" s="225"/>
      <c r="F2916" s="1036" t="str">
        <f t="shared" si="1026"/>
        <v/>
      </c>
      <c r="G2916" s="1037" t="str">
        <f t="shared" si="1021"/>
        <v/>
      </c>
      <c r="H2916" s="225"/>
      <c r="I2916" s="1013"/>
      <c r="J2916" s="1013"/>
      <c r="K2916" s="1028"/>
      <c r="L2916" s="1035" t="str">
        <f t="shared" si="1025"/>
        <v/>
      </c>
      <c r="S2916" s="498"/>
      <c r="AJ2916" s="498"/>
      <c r="AM2916" s="498">
        <f t="shared" si="1006"/>
        <v>0</v>
      </c>
      <c r="AN2916" s="498">
        <f t="shared" si="1007"/>
        <v>0</v>
      </c>
      <c r="AO2916" s="498">
        <f t="shared" si="1008"/>
        <v>0</v>
      </c>
      <c r="AP2916" s="498">
        <f t="shared" si="1027"/>
        <v>0</v>
      </c>
      <c r="AQ2916" s="498">
        <f t="shared" si="1022"/>
        <v>0</v>
      </c>
      <c r="AU2916" s="498">
        <f t="shared" si="1009"/>
        <v>0</v>
      </c>
      <c r="AV2916" s="498">
        <f t="shared" si="1010"/>
        <v>0</v>
      </c>
      <c r="AW2916" s="498">
        <f t="shared" si="1011"/>
        <v>0</v>
      </c>
      <c r="AX2916" s="498">
        <f t="shared" si="1012"/>
        <v>0</v>
      </c>
      <c r="AY2916" s="498">
        <f t="shared" si="1013"/>
        <v>0</v>
      </c>
      <c r="BB2916" s="498" t="str">
        <f t="shared" si="1014"/>
        <v/>
      </c>
      <c r="BC2916" s="743" t="str">
        <f t="shared" si="1015"/>
        <v/>
      </c>
      <c r="BD2916" s="743" t="str">
        <f t="shared" si="1016"/>
        <v/>
      </c>
      <c r="BE2916" s="743" t="str">
        <f>IF(D2916="","",VLOOKUP(D2916,'General Basis'!$J$39:$K$46,2,0))</f>
        <v/>
      </c>
      <c r="BF2916" s="744" t="str">
        <f>IF(D2916="","",VLOOKUP(D2916,'General Basis'!$J$39:$L$46,3,0))</f>
        <v/>
      </c>
      <c r="BG2916" s="744" t="str">
        <f t="shared" si="1023"/>
        <v/>
      </c>
      <c r="BH2916" s="744" t="str">
        <f>IF(G2916="","",IF(BF2916="Abu Dhabi",IF(G2916&lt;18,'General Basis'!$C$39,IF(G2916&lt;41,'General Basis'!$C$40,IF(G2916&lt;60,'General Basis'!$C$41,IF(G2916&lt;65,'General Basis'!$C$42,'General Basis'!$C$43)))),IF(G2916&lt;11,'General Basis'!$B$39,IF(G2916&lt;18,'General Basis'!$B$40,IF(G2916&lt;26,'General Basis'!$B$41,IF(G2916&lt;31,'General Basis'!$B$42,IF(G2916&lt;36,'General Basis'!$B$43,IF(G2916&lt;41,'General Basis'!$B$44,IF(G2916&lt;46,'General Basis'!$B$45,IF(G2916&lt;51,'General Basis'!$B$46,IF(G2916&lt;56,'General Basis'!$B$47,IF(G2916&lt;60,'General Basis'!$B$48,IF(G2916&lt;65,'General Basis'!$B$49,'General Basis'!$B$50)))))))))))))</f>
        <v/>
      </c>
      <c r="BI2916" s="744" t="str">
        <f t="shared" si="1017"/>
        <v/>
      </c>
      <c r="BJ2916" s="747" t="str">
        <f t="shared" si="1024"/>
        <v/>
      </c>
      <c r="BK2916" s="498" t="str">
        <f t="shared" si="1018"/>
        <v/>
      </c>
      <c r="BL2916" s="498" t="str">
        <f t="shared" si="1019"/>
        <v/>
      </c>
    </row>
    <row r="2917" spans="1:64" x14ac:dyDescent="0.25">
      <c r="A2917" s="762">
        <f t="shared" si="1020"/>
        <v>2912</v>
      </c>
      <c r="B2917" s="229"/>
      <c r="C2917" s="223"/>
      <c r="D2917" s="224"/>
      <c r="E2917" s="225"/>
      <c r="F2917" s="1036" t="str">
        <f t="shared" si="1026"/>
        <v/>
      </c>
      <c r="G2917" s="1037" t="str">
        <f t="shared" si="1021"/>
        <v/>
      </c>
      <c r="H2917" s="225"/>
      <c r="I2917" s="1013"/>
      <c r="J2917" s="1013"/>
      <c r="K2917" s="1028"/>
      <c r="L2917" s="1035" t="str">
        <f t="shared" si="1025"/>
        <v/>
      </c>
      <c r="S2917" s="498"/>
      <c r="AJ2917" s="498"/>
      <c r="AM2917" s="498">
        <f t="shared" si="1006"/>
        <v>0</v>
      </c>
      <c r="AN2917" s="498">
        <f t="shared" si="1007"/>
        <v>0</v>
      </c>
      <c r="AO2917" s="498">
        <f t="shared" si="1008"/>
        <v>0</v>
      </c>
      <c r="AP2917" s="498">
        <f t="shared" si="1027"/>
        <v>0</v>
      </c>
      <c r="AQ2917" s="498">
        <f t="shared" si="1022"/>
        <v>0</v>
      </c>
      <c r="AU2917" s="498">
        <f t="shared" si="1009"/>
        <v>0</v>
      </c>
      <c r="AV2917" s="498">
        <f t="shared" si="1010"/>
        <v>0</v>
      </c>
      <c r="AW2917" s="498">
        <f t="shared" si="1011"/>
        <v>0</v>
      </c>
      <c r="AX2917" s="498">
        <f t="shared" si="1012"/>
        <v>0</v>
      </c>
      <c r="AY2917" s="498">
        <f t="shared" si="1013"/>
        <v>0</v>
      </c>
      <c r="BB2917" s="498" t="str">
        <f t="shared" si="1014"/>
        <v/>
      </c>
      <c r="BC2917" s="743" t="str">
        <f t="shared" si="1015"/>
        <v/>
      </c>
      <c r="BD2917" s="743" t="str">
        <f t="shared" si="1016"/>
        <v/>
      </c>
      <c r="BE2917" s="743" t="str">
        <f>IF(D2917="","",VLOOKUP(D2917,'General Basis'!$J$39:$K$46,2,0))</f>
        <v/>
      </c>
      <c r="BF2917" s="744" t="str">
        <f>IF(D2917="","",VLOOKUP(D2917,'General Basis'!$J$39:$L$46,3,0))</f>
        <v/>
      </c>
      <c r="BG2917" s="744" t="str">
        <f t="shared" si="1023"/>
        <v/>
      </c>
      <c r="BH2917" s="744" t="str">
        <f>IF(G2917="","",IF(BF2917="Abu Dhabi",IF(G2917&lt;18,'General Basis'!$C$39,IF(G2917&lt;41,'General Basis'!$C$40,IF(G2917&lt;60,'General Basis'!$C$41,IF(G2917&lt;65,'General Basis'!$C$42,'General Basis'!$C$43)))),IF(G2917&lt;11,'General Basis'!$B$39,IF(G2917&lt;18,'General Basis'!$B$40,IF(G2917&lt;26,'General Basis'!$B$41,IF(G2917&lt;31,'General Basis'!$B$42,IF(G2917&lt;36,'General Basis'!$B$43,IF(G2917&lt;41,'General Basis'!$B$44,IF(G2917&lt;46,'General Basis'!$B$45,IF(G2917&lt;51,'General Basis'!$B$46,IF(G2917&lt;56,'General Basis'!$B$47,IF(G2917&lt;60,'General Basis'!$B$48,IF(G2917&lt;65,'General Basis'!$B$49,'General Basis'!$B$50)))))))))))))</f>
        <v/>
      </c>
      <c r="BI2917" s="744" t="str">
        <f t="shared" si="1017"/>
        <v/>
      </c>
      <c r="BJ2917" s="747" t="str">
        <f t="shared" si="1024"/>
        <v/>
      </c>
      <c r="BK2917" s="498" t="str">
        <f t="shared" si="1018"/>
        <v/>
      </c>
      <c r="BL2917" s="498" t="str">
        <f t="shared" si="1019"/>
        <v/>
      </c>
    </row>
    <row r="2918" spans="1:64" x14ac:dyDescent="0.25">
      <c r="A2918" s="762">
        <f t="shared" si="1020"/>
        <v>2913</v>
      </c>
      <c r="B2918" s="229"/>
      <c r="C2918" s="223"/>
      <c r="D2918" s="224"/>
      <c r="E2918" s="225"/>
      <c r="F2918" s="1036" t="str">
        <f t="shared" si="1026"/>
        <v/>
      </c>
      <c r="G2918" s="1037" t="str">
        <f t="shared" si="1021"/>
        <v/>
      </c>
      <c r="H2918" s="225"/>
      <c r="I2918" s="1013"/>
      <c r="J2918" s="1013"/>
      <c r="K2918" s="1028"/>
      <c r="L2918" s="1035" t="str">
        <f t="shared" si="1025"/>
        <v/>
      </c>
      <c r="S2918" s="498"/>
      <c r="AJ2918" s="498"/>
      <c r="AM2918" s="498">
        <f t="shared" si="1006"/>
        <v>0</v>
      </c>
      <c r="AN2918" s="498">
        <f t="shared" si="1007"/>
        <v>0</v>
      </c>
      <c r="AO2918" s="498">
        <f t="shared" si="1008"/>
        <v>0</v>
      </c>
      <c r="AP2918" s="498">
        <f t="shared" si="1027"/>
        <v>0</v>
      </c>
      <c r="AQ2918" s="498">
        <f t="shared" si="1022"/>
        <v>0</v>
      </c>
      <c r="AU2918" s="498">
        <f t="shared" si="1009"/>
        <v>0</v>
      </c>
      <c r="AV2918" s="498">
        <f t="shared" si="1010"/>
        <v>0</v>
      </c>
      <c r="AW2918" s="498">
        <f t="shared" si="1011"/>
        <v>0</v>
      </c>
      <c r="AX2918" s="498">
        <f t="shared" si="1012"/>
        <v>0</v>
      </c>
      <c r="AY2918" s="498">
        <f t="shared" si="1013"/>
        <v>0</v>
      </c>
      <c r="BB2918" s="498" t="str">
        <f t="shared" si="1014"/>
        <v/>
      </c>
      <c r="BC2918" s="743" t="str">
        <f t="shared" si="1015"/>
        <v/>
      </c>
      <c r="BD2918" s="743" t="str">
        <f t="shared" si="1016"/>
        <v/>
      </c>
      <c r="BE2918" s="743" t="str">
        <f>IF(D2918="","",VLOOKUP(D2918,'General Basis'!$J$39:$K$46,2,0))</f>
        <v/>
      </c>
      <c r="BF2918" s="744" t="str">
        <f>IF(D2918="","",VLOOKUP(D2918,'General Basis'!$J$39:$L$46,3,0))</f>
        <v/>
      </c>
      <c r="BG2918" s="744" t="str">
        <f t="shared" si="1023"/>
        <v/>
      </c>
      <c r="BH2918" s="744" t="str">
        <f>IF(G2918="","",IF(BF2918="Abu Dhabi",IF(G2918&lt;18,'General Basis'!$C$39,IF(G2918&lt;41,'General Basis'!$C$40,IF(G2918&lt;60,'General Basis'!$C$41,IF(G2918&lt;65,'General Basis'!$C$42,'General Basis'!$C$43)))),IF(G2918&lt;11,'General Basis'!$B$39,IF(G2918&lt;18,'General Basis'!$B$40,IF(G2918&lt;26,'General Basis'!$B$41,IF(G2918&lt;31,'General Basis'!$B$42,IF(G2918&lt;36,'General Basis'!$B$43,IF(G2918&lt;41,'General Basis'!$B$44,IF(G2918&lt;46,'General Basis'!$B$45,IF(G2918&lt;51,'General Basis'!$B$46,IF(G2918&lt;56,'General Basis'!$B$47,IF(G2918&lt;60,'General Basis'!$B$48,IF(G2918&lt;65,'General Basis'!$B$49,'General Basis'!$B$50)))))))))))))</f>
        <v/>
      </c>
      <c r="BI2918" s="744" t="str">
        <f t="shared" si="1017"/>
        <v/>
      </c>
      <c r="BJ2918" s="747" t="str">
        <f t="shared" si="1024"/>
        <v/>
      </c>
      <c r="BK2918" s="498" t="str">
        <f t="shared" si="1018"/>
        <v/>
      </c>
      <c r="BL2918" s="498" t="str">
        <f t="shared" si="1019"/>
        <v/>
      </c>
    </row>
    <row r="2919" spans="1:64" x14ac:dyDescent="0.25">
      <c r="A2919" s="762">
        <f t="shared" si="1020"/>
        <v>2914</v>
      </c>
      <c r="B2919" s="229"/>
      <c r="C2919" s="223"/>
      <c r="D2919" s="224"/>
      <c r="E2919" s="225"/>
      <c r="F2919" s="1036" t="str">
        <f t="shared" si="1026"/>
        <v/>
      </c>
      <c r="G2919" s="1037" t="str">
        <f t="shared" si="1021"/>
        <v/>
      </c>
      <c r="H2919" s="225"/>
      <c r="I2919" s="1013"/>
      <c r="J2919" s="1013"/>
      <c r="K2919" s="1028"/>
      <c r="L2919" s="1035" t="str">
        <f t="shared" si="1025"/>
        <v/>
      </c>
      <c r="S2919" s="498"/>
      <c r="AJ2919" s="498"/>
      <c r="AM2919" s="498">
        <f t="shared" si="1006"/>
        <v>0</v>
      </c>
      <c r="AN2919" s="498">
        <f t="shared" si="1007"/>
        <v>0</v>
      </c>
      <c r="AO2919" s="498">
        <f t="shared" si="1008"/>
        <v>0</v>
      </c>
      <c r="AP2919" s="498">
        <f t="shared" si="1027"/>
        <v>0</v>
      </c>
      <c r="AQ2919" s="498">
        <f t="shared" si="1022"/>
        <v>0</v>
      </c>
      <c r="AU2919" s="498">
        <f t="shared" si="1009"/>
        <v>0</v>
      </c>
      <c r="AV2919" s="498">
        <f t="shared" si="1010"/>
        <v>0</v>
      </c>
      <c r="AW2919" s="498">
        <f t="shared" si="1011"/>
        <v>0</v>
      </c>
      <c r="AX2919" s="498">
        <f t="shared" si="1012"/>
        <v>0</v>
      </c>
      <c r="AY2919" s="498">
        <f t="shared" si="1013"/>
        <v>0</v>
      </c>
      <c r="BB2919" s="498" t="str">
        <f t="shared" si="1014"/>
        <v/>
      </c>
      <c r="BC2919" s="743" t="str">
        <f t="shared" si="1015"/>
        <v/>
      </c>
      <c r="BD2919" s="743" t="str">
        <f t="shared" si="1016"/>
        <v/>
      </c>
      <c r="BE2919" s="743" t="str">
        <f>IF(D2919="","",VLOOKUP(D2919,'General Basis'!$J$39:$K$46,2,0))</f>
        <v/>
      </c>
      <c r="BF2919" s="744" t="str">
        <f>IF(D2919="","",VLOOKUP(D2919,'General Basis'!$J$39:$L$46,3,0))</f>
        <v/>
      </c>
      <c r="BG2919" s="744" t="str">
        <f t="shared" si="1023"/>
        <v/>
      </c>
      <c r="BH2919" s="744" t="str">
        <f>IF(G2919="","",IF(BF2919="Abu Dhabi",IF(G2919&lt;18,'General Basis'!$C$39,IF(G2919&lt;41,'General Basis'!$C$40,IF(G2919&lt;60,'General Basis'!$C$41,IF(G2919&lt;65,'General Basis'!$C$42,'General Basis'!$C$43)))),IF(G2919&lt;11,'General Basis'!$B$39,IF(G2919&lt;18,'General Basis'!$B$40,IF(G2919&lt;26,'General Basis'!$B$41,IF(G2919&lt;31,'General Basis'!$B$42,IF(G2919&lt;36,'General Basis'!$B$43,IF(G2919&lt;41,'General Basis'!$B$44,IF(G2919&lt;46,'General Basis'!$B$45,IF(G2919&lt;51,'General Basis'!$B$46,IF(G2919&lt;56,'General Basis'!$B$47,IF(G2919&lt;60,'General Basis'!$B$48,IF(G2919&lt;65,'General Basis'!$B$49,'General Basis'!$B$50)))))))))))))</f>
        <v/>
      </c>
      <c r="BI2919" s="744" t="str">
        <f t="shared" si="1017"/>
        <v/>
      </c>
      <c r="BJ2919" s="747" t="str">
        <f t="shared" si="1024"/>
        <v/>
      </c>
      <c r="BK2919" s="498" t="str">
        <f t="shared" si="1018"/>
        <v/>
      </c>
      <c r="BL2919" s="498" t="str">
        <f t="shared" si="1019"/>
        <v/>
      </c>
    </row>
    <row r="2920" spans="1:64" x14ac:dyDescent="0.25">
      <c r="A2920" s="762">
        <f t="shared" si="1020"/>
        <v>2915</v>
      </c>
      <c r="B2920" s="229"/>
      <c r="C2920" s="223"/>
      <c r="D2920" s="224"/>
      <c r="E2920" s="225"/>
      <c r="F2920" s="1036" t="str">
        <f t="shared" si="1026"/>
        <v/>
      </c>
      <c r="G2920" s="1037" t="str">
        <f t="shared" si="1021"/>
        <v/>
      </c>
      <c r="H2920" s="225"/>
      <c r="I2920" s="1013"/>
      <c r="J2920" s="1013"/>
      <c r="K2920" s="1028"/>
      <c r="L2920" s="1035" t="str">
        <f t="shared" si="1025"/>
        <v/>
      </c>
      <c r="S2920" s="498"/>
      <c r="AJ2920" s="498"/>
      <c r="AM2920" s="498">
        <f t="shared" si="1006"/>
        <v>0</v>
      </c>
      <c r="AN2920" s="498">
        <f t="shared" si="1007"/>
        <v>0</v>
      </c>
      <c r="AO2920" s="498">
        <f t="shared" si="1008"/>
        <v>0</v>
      </c>
      <c r="AP2920" s="498">
        <f t="shared" si="1027"/>
        <v>0</v>
      </c>
      <c r="AQ2920" s="498">
        <f t="shared" si="1022"/>
        <v>0</v>
      </c>
      <c r="AU2920" s="498">
        <f t="shared" si="1009"/>
        <v>0</v>
      </c>
      <c r="AV2920" s="498">
        <f t="shared" si="1010"/>
        <v>0</v>
      </c>
      <c r="AW2920" s="498">
        <f t="shared" si="1011"/>
        <v>0</v>
      </c>
      <c r="AX2920" s="498">
        <f t="shared" si="1012"/>
        <v>0</v>
      </c>
      <c r="AY2920" s="498">
        <f t="shared" si="1013"/>
        <v>0</v>
      </c>
      <c r="BB2920" s="498" t="str">
        <f t="shared" si="1014"/>
        <v/>
      </c>
      <c r="BC2920" s="743" t="str">
        <f t="shared" si="1015"/>
        <v/>
      </c>
      <c r="BD2920" s="743" t="str">
        <f t="shared" si="1016"/>
        <v/>
      </c>
      <c r="BE2920" s="743" t="str">
        <f>IF(D2920="","",VLOOKUP(D2920,'General Basis'!$J$39:$K$46,2,0))</f>
        <v/>
      </c>
      <c r="BF2920" s="744" t="str">
        <f>IF(D2920="","",VLOOKUP(D2920,'General Basis'!$J$39:$L$46,3,0))</f>
        <v/>
      </c>
      <c r="BG2920" s="744" t="str">
        <f t="shared" si="1023"/>
        <v/>
      </c>
      <c r="BH2920" s="744" t="str">
        <f>IF(G2920="","",IF(BF2920="Abu Dhabi",IF(G2920&lt;18,'General Basis'!$C$39,IF(G2920&lt;41,'General Basis'!$C$40,IF(G2920&lt;60,'General Basis'!$C$41,IF(G2920&lt;65,'General Basis'!$C$42,'General Basis'!$C$43)))),IF(G2920&lt;11,'General Basis'!$B$39,IF(G2920&lt;18,'General Basis'!$B$40,IF(G2920&lt;26,'General Basis'!$B$41,IF(G2920&lt;31,'General Basis'!$B$42,IF(G2920&lt;36,'General Basis'!$B$43,IF(G2920&lt;41,'General Basis'!$B$44,IF(G2920&lt;46,'General Basis'!$B$45,IF(G2920&lt;51,'General Basis'!$B$46,IF(G2920&lt;56,'General Basis'!$B$47,IF(G2920&lt;60,'General Basis'!$B$48,IF(G2920&lt;65,'General Basis'!$B$49,'General Basis'!$B$50)))))))))))))</f>
        <v/>
      </c>
      <c r="BI2920" s="744" t="str">
        <f t="shared" si="1017"/>
        <v/>
      </c>
      <c r="BJ2920" s="747" t="str">
        <f t="shared" si="1024"/>
        <v/>
      </c>
      <c r="BK2920" s="498" t="str">
        <f t="shared" si="1018"/>
        <v/>
      </c>
      <c r="BL2920" s="498" t="str">
        <f t="shared" si="1019"/>
        <v/>
      </c>
    </row>
    <row r="2921" spans="1:64" x14ac:dyDescent="0.25">
      <c r="A2921" s="762">
        <f t="shared" si="1020"/>
        <v>2916</v>
      </c>
      <c r="B2921" s="229"/>
      <c r="C2921" s="223"/>
      <c r="D2921" s="224"/>
      <c r="E2921" s="225"/>
      <c r="F2921" s="1036" t="str">
        <f t="shared" si="1026"/>
        <v/>
      </c>
      <c r="G2921" s="1037" t="str">
        <f t="shared" si="1021"/>
        <v/>
      </c>
      <c r="H2921" s="225"/>
      <c r="I2921" s="1013"/>
      <c r="J2921" s="1013"/>
      <c r="K2921" s="1028"/>
      <c r="L2921" s="1035" t="str">
        <f t="shared" si="1025"/>
        <v/>
      </c>
      <c r="S2921" s="498"/>
      <c r="AJ2921" s="498"/>
      <c r="AM2921" s="498">
        <f t="shared" si="1006"/>
        <v>0</v>
      </c>
      <c r="AN2921" s="498">
        <f t="shared" si="1007"/>
        <v>0</v>
      </c>
      <c r="AO2921" s="498">
        <f t="shared" si="1008"/>
        <v>0</v>
      </c>
      <c r="AP2921" s="498">
        <f t="shared" si="1027"/>
        <v>0</v>
      </c>
      <c r="AQ2921" s="498">
        <f t="shared" si="1022"/>
        <v>0</v>
      </c>
      <c r="AU2921" s="498">
        <f t="shared" si="1009"/>
        <v>0</v>
      </c>
      <c r="AV2921" s="498">
        <f t="shared" si="1010"/>
        <v>0</v>
      </c>
      <c r="AW2921" s="498">
        <f t="shared" si="1011"/>
        <v>0</v>
      </c>
      <c r="AX2921" s="498">
        <f t="shared" si="1012"/>
        <v>0</v>
      </c>
      <c r="AY2921" s="498">
        <f t="shared" si="1013"/>
        <v>0</v>
      </c>
      <c r="BB2921" s="498" t="str">
        <f t="shared" si="1014"/>
        <v/>
      </c>
      <c r="BC2921" s="743" t="str">
        <f t="shared" si="1015"/>
        <v/>
      </c>
      <c r="BD2921" s="743" t="str">
        <f t="shared" si="1016"/>
        <v/>
      </c>
      <c r="BE2921" s="743" t="str">
        <f>IF(D2921="","",VLOOKUP(D2921,'General Basis'!$J$39:$K$46,2,0))</f>
        <v/>
      </c>
      <c r="BF2921" s="744" t="str">
        <f>IF(D2921="","",VLOOKUP(D2921,'General Basis'!$J$39:$L$46,3,0))</f>
        <v/>
      </c>
      <c r="BG2921" s="744" t="str">
        <f t="shared" si="1023"/>
        <v/>
      </c>
      <c r="BH2921" s="744" t="str">
        <f>IF(G2921="","",IF(BF2921="Abu Dhabi",IF(G2921&lt;18,'General Basis'!$C$39,IF(G2921&lt;41,'General Basis'!$C$40,IF(G2921&lt;60,'General Basis'!$C$41,IF(G2921&lt;65,'General Basis'!$C$42,'General Basis'!$C$43)))),IF(G2921&lt;11,'General Basis'!$B$39,IF(G2921&lt;18,'General Basis'!$B$40,IF(G2921&lt;26,'General Basis'!$B$41,IF(G2921&lt;31,'General Basis'!$B$42,IF(G2921&lt;36,'General Basis'!$B$43,IF(G2921&lt;41,'General Basis'!$B$44,IF(G2921&lt;46,'General Basis'!$B$45,IF(G2921&lt;51,'General Basis'!$B$46,IF(G2921&lt;56,'General Basis'!$B$47,IF(G2921&lt;60,'General Basis'!$B$48,IF(G2921&lt;65,'General Basis'!$B$49,'General Basis'!$B$50)))))))))))))</f>
        <v/>
      </c>
      <c r="BI2921" s="744" t="str">
        <f t="shared" si="1017"/>
        <v/>
      </c>
      <c r="BJ2921" s="747" t="str">
        <f t="shared" si="1024"/>
        <v/>
      </c>
      <c r="BK2921" s="498" t="str">
        <f t="shared" si="1018"/>
        <v/>
      </c>
      <c r="BL2921" s="498" t="str">
        <f t="shared" si="1019"/>
        <v/>
      </c>
    </row>
    <row r="2922" spans="1:64" x14ac:dyDescent="0.25">
      <c r="A2922" s="762">
        <f t="shared" si="1020"/>
        <v>2917</v>
      </c>
      <c r="B2922" s="229"/>
      <c r="C2922" s="223"/>
      <c r="D2922" s="224"/>
      <c r="E2922" s="225"/>
      <c r="F2922" s="1036" t="str">
        <f t="shared" si="1026"/>
        <v/>
      </c>
      <c r="G2922" s="1037" t="str">
        <f t="shared" si="1021"/>
        <v/>
      </c>
      <c r="H2922" s="225"/>
      <c r="I2922" s="1013"/>
      <c r="J2922" s="1013"/>
      <c r="K2922" s="1028"/>
      <c r="L2922" s="1035" t="str">
        <f t="shared" si="1025"/>
        <v/>
      </c>
      <c r="S2922" s="498"/>
      <c r="AJ2922" s="498"/>
      <c r="AM2922" s="498">
        <f t="shared" si="1006"/>
        <v>0</v>
      </c>
      <c r="AN2922" s="498">
        <f t="shared" si="1007"/>
        <v>0</v>
      </c>
      <c r="AO2922" s="498">
        <f t="shared" si="1008"/>
        <v>0</v>
      </c>
      <c r="AP2922" s="498">
        <f t="shared" si="1027"/>
        <v>0</v>
      </c>
      <c r="AQ2922" s="498">
        <f t="shared" si="1022"/>
        <v>0</v>
      </c>
      <c r="AU2922" s="498">
        <f t="shared" si="1009"/>
        <v>0</v>
      </c>
      <c r="AV2922" s="498">
        <f t="shared" si="1010"/>
        <v>0</v>
      </c>
      <c r="AW2922" s="498">
        <f t="shared" si="1011"/>
        <v>0</v>
      </c>
      <c r="AX2922" s="498">
        <f t="shared" si="1012"/>
        <v>0</v>
      </c>
      <c r="AY2922" s="498">
        <f t="shared" si="1013"/>
        <v>0</v>
      </c>
      <c r="BB2922" s="498" t="str">
        <f t="shared" si="1014"/>
        <v/>
      </c>
      <c r="BC2922" s="743" t="str">
        <f t="shared" si="1015"/>
        <v/>
      </c>
      <c r="BD2922" s="743" t="str">
        <f t="shared" si="1016"/>
        <v/>
      </c>
      <c r="BE2922" s="743" t="str">
        <f>IF(D2922="","",VLOOKUP(D2922,'General Basis'!$J$39:$K$46,2,0))</f>
        <v/>
      </c>
      <c r="BF2922" s="744" t="str">
        <f>IF(D2922="","",VLOOKUP(D2922,'General Basis'!$J$39:$L$46,3,0))</f>
        <v/>
      </c>
      <c r="BG2922" s="744" t="str">
        <f t="shared" si="1023"/>
        <v/>
      </c>
      <c r="BH2922" s="744" t="str">
        <f>IF(G2922="","",IF(BF2922="Abu Dhabi",IF(G2922&lt;18,'General Basis'!$C$39,IF(G2922&lt;41,'General Basis'!$C$40,IF(G2922&lt;60,'General Basis'!$C$41,IF(G2922&lt;65,'General Basis'!$C$42,'General Basis'!$C$43)))),IF(G2922&lt;11,'General Basis'!$B$39,IF(G2922&lt;18,'General Basis'!$B$40,IF(G2922&lt;26,'General Basis'!$B$41,IF(G2922&lt;31,'General Basis'!$B$42,IF(G2922&lt;36,'General Basis'!$B$43,IF(G2922&lt;41,'General Basis'!$B$44,IF(G2922&lt;46,'General Basis'!$B$45,IF(G2922&lt;51,'General Basis'!$B$46,IF(G2922&lt;56,'General Basis'!$B$47,IF(G2922&lt;60,'General Basis'!$B$48,IF(G2922&lt;65,'General Basis'!$B$49,'General Basis'!$B$50)))))))))))))</f>
        <v/>
      </c>
      <c r="BI2922" s="744" t="str">
        <f t="shared" si="1017"/>
        <v/>
      </c>
      <c r="BJ2922" s="747" t="str">
        <f t="shared" si="1024"/>
        <v/>
      </c>
      <c r="BK2922" s="498" t="str">
        <f t="shared" si="1018"/>
        <v/>
      </c>
      <c r="BL2922" s="498" t="str">
        <f t="shared" si="1019"/>
        <v/>
      </c>
    </row>
    <row r="2923" spans="1:64" x14ac:dyDescent="0.25">
      <c r="A2923" s="762">
        <f t="shared" si="1020"/>
        <v>2918</v>
      </c>
      <c r="B2923" s="229"/>
      <c r="C2923" s="223"/>
      <c r="D2923" s="224"/>
      <c r="E2923" s="225"/>
      <c r="F2923" s="1036" t="str">
        <f t="shared" si="1026"/>
        <v/>
      </c>
      <c r="G2923" s="1037" t="str">
        <f t="shared" si="1021"/>
        <v/>
      </c>
      <c r="H2923" s="225"/>
      <c r="I2923" s="1013"/>
      <c r="J2923" s="1013"/>
      <c r="K2923" s="1028"/>
      <c r="L2923" s="1035" t="str">
        <f t="shared" si="1025"/>
        <v/>
      </c>
      <c r="S2923" s="498"/>
      <c r="AJ2923" s="498"/>
      <c r="AM2923" s="498">
        <f t="shared" si="1006"/>
        <v>0</v>
      </c>
      <c r="AN2923" s="498">
        <f t="shared" si="1007"/>
        <v>0</v>
      </c>
      <c r="AO2923" s="498">
        <f t="shared" si="1008"/>
        <v>0</v>
      </c>
      <c r="AP2923" s="498">
        <f t="shared" si="1027"/>
        <v>0</v>
      </c>
      <c r="AQ2923" s="498">
        <f t="shared" si="1022"/>
        <v>0</v>
      </c>
      <c r="AU2923" s="498">
        <f t="shared" si="1009"/>
        <v>0</v>
      </c>
      <c r="AV2923" s="498">
        <f t="shared" si="1010"/>
        <v>0</v>
      </c>
      <c r="AW2923" s="498">
        <f t="shared" si="1011"/>
        <v>0</v>
      </c>
      <c r="AX2923" s="498">
        <f t="shared" si="1012"/>
        <v>0</v>
      </c>
      <c r="AY2923" s="498">
        <f t="shared" si="1013"/>
        <v>0</v>
      </c>
      <c r="BB2923" s="498" t="str">
        <f t="shared" si="1014"/>
        <v/>
      </c>
      <c r="BC2923" s="743" t="str">
        <f t="shared" si="1015"/>
        <v/>
      </c>
      <c r="BD2923" s="743" t="str">
        <f t="shared" si="1016"/>
        <v/>
      </c>
      <c r="BE2923" s="743" t="str">
        <f>IF(D2923="","",VLOOKUP(D2923,'General Basis'!$J$39:$K$46,2,0))</f>
        <v/>
      </c>
      <c r="BF2923" s="744" t="str">
        <f>IF(D2923="","",VLOOKUP(D2923,'General Basis'!$J$39:$L$46,3,0))</f>
        <v/>
      </c>
      <c r="BG2923" s="744" t="str">
        <f t="shared" si="1023"/>
        <v/>
      </c>
      <c r="BH2923" s="744" t="str">
        <f>IF(G2923="","",IF(BF2923="Abu Dhabi",IF(G2923&lt;18,'General Basis'!$C$39,IF(G2923&lt;41,'General Basis'!$C$40,IF(G2923&lt;60,'General Basis'!$C$41,IF(G2923&lt;65,'General Basis'!$C$42,'General Basis'!$C$43)))),IF(G2923&lt;11,'General Basis'!$B$39,IF(G2923&lt;18,'General Basis'!$B$40,IF(G2923&lt;26,'General Basis'!$B$41,IF(G2923&lt;31,'General Basis'!$B$42,IF(G2923&lt;36,'General Basis'!$B$43,IF(G2923&lt;41,'General Basis'!$B$44,IF(G2923&lt;46,'General Basis'!$B$45,IF(G2923&lt;51,'General Basis'!$B$46,IF(G2923&lt;56,'General Basis'!$B$47,IF(G2923&lt;60,'General Basis'!$B$48,IF(G2923&lt;65,'General Basis'!$B$49,'General Basis'!$B$50)))))))))))))</f>
        <v/>
      </c>
      <c r="BI2923" s="744" t="str">
        <f t="shared" si="1017"/>
        <v/>
      </c>
      <c r="BJ2923" s="747" t="str">
        <f t="shared" si="1024"/>
        <v/>
      </c>
      <c r="BK2923" s="498" t="str">
        <f t="shared" si="1018"/>
        <v/>
      </c>
      <c r="BL2923" s="498" t="str">
        <f t="shared" si="1019"/>
        <v/>
      </c>
    </row>
    <row r="2924" spans="1:64" x14ac:dyDescent="0.25">
      <c r="A2924" s="762">
        <f t="shared" si="1020"/>
        <v>2919</v>
      </c>
      <c r="B2924" s="229"/>
      <c r="C2924" s="223"/>
      <c r="D2924" s="224"/>
      <c r="E2924" s="225"/>
      <c r="F2924" s="1036" t="str">
        <f t="shared" si="1026"/>
        <v/>
      </c>
      <c r="G2924" s="1037" t="str">
        <f t="shared" si="1021"/>
        <v/>
      </c>
      <c r="H2924" s="225"/>
      <c r="I2924" s="1013"/>
      <c r="J2924" s="1013"/>
      <c r="K2924" s="1028"/>
      <c r="L2924" s="1035" t="str">
        <f t="shared" si="1025"/>
        <v/>
      </c>
      <c r="S2924" s="498"/>
      <c r="AJ2924" s="498"/>
      <c r="AM2924" s="498">
        <f t="shared" si="1006"/>
        <v>0</v>
      </c>
      <c r="AN2924" s="498">
        <f t="shared" si="1007"/>
        <v>0</v>
      </c>
      <c r="AO2924" s="498">
        <f t="shared" si="1008"/>
        <v>0</v>
      </c>
      <c r="AP2924" s="498">
        <f t="shared" si="1027"/>
        <v>0</v>
      </c>
      <c r="AQ2924" s="498">
        <f t="shared" si="1022"/>
        <v>0</v>
      </c>
      <c r="AU2924" s="498">
        <f t="shared" si="1009"/>
        <v>0</v>
      </c>
      <c r="AV2924" s="498">
        <f t="shared" si="1010"/>
        <v>0</v>
      </c>
      <c r="AW2924" s="498">
        <f t="shared" si="1011"/>
        <v>0</v>
      </c>
      <c r="AX2924" s="498">
        <f t="shared" si="1012"/>
        <v>0</v>
      </c>
      <c r="AY2924" s="498">
        <f t="shared" si="1013"/>
        <v>0</v>
      </c>
      <c r="BB2924" s="498" t="str">
        <f t="shared" si="1014"/>
        <v/>
      </c>
      <c r="BC2924" s="743" t="str">
        <f t="shared" si="1015"/>
        <v/>
      </c>
      <c r="BD2924" s="743" t="str">
        <f t="shared" si="1016"/>
        <v/>
      </c>
      <c r="BE2924" s="743" t="str">
        <f>IF(D2924="","",VLOOKUP(D2924,'General Basis'!$J$39:$K$46,2,0))</f>
        <v/>
      </c>
      <c r="BF2924" s="744" t="str">
        <f>IF(D2924="","",VLOOKUP(D2924,'General Basis'!$J$39:$L$46,3,0))</f>
        <v/>
      </c>
      <c r="BG2924" s="744" t="str">
        <f t="shared" si="1023"/>
        <v/>
      </c>
      <c r="BH2924" s="744" t="str">
        <f>IF(G2924="","",IF(BF2924="Abu Dhabi",IF(G2924&lt;18,'General Basis'!$C$39,IF(G2924&lt;41,'General Basis'!$C$40,IF(G2924&lt;60,'General Basis'!$C$41,IF(G2924&lt;65,'General Basis'!$C$42,'General Basis'!$C$43)))),IF(G2924&lt;11,'General Basis'!$B$39,IF(G2924&lt;18,'General Basis'!$B$40,IF(G2924&lt;26,'General Basis'!$B$41,IF(G2924&lt;31,'General Basis'!$B$42,IF(G2924&lt;36,'General Basis'!$B$43,IF(G2924&lt;41,'General Basis'!$B$44,IF(G2924&lt;46,'General Basis'!$B$45,IF(G2924&lt;51,'General Basis'!$B$46,IF(G2924&lt;56,'General Basis'!$B$47,IF(G2924&lt;60,'General Basis'!$B$48,IF(G2924&lt;65,'General Basis'!$B$49,'General Basis'!$B$50)))))))))))))</f>
        <v/>
      </c>
      <c r="BI2924" s="744" t="str">
        <f t="shared" si="1017"/>
        <v/>
      </c>
      <c r="BJ2924" s="747" t="str">
        <f t="shared" si="1024"/>
        <v/>
      </c>
      <c r="BK2924" s="498" t="str">
        <f t="shared" si="1018"/>
        <v/>
      </c>
      <c r="BL2924" s="498" t="str">
        <f t="shared" si="1019"/>
        <v/>
      </c>
    </row>
    <row r="2925" spans="1:64" x14ac:dyDescent="0.25">
      <c r="A2925" s="762">
        <f t="shared" si="1020"/>
        <v>2920</v>
      </c>
      <c r="B2925" s="229"/>
      <c r="C2925" s="223"/>
      <c r="D2925" s="224"/>
      <c r="E2925" s="225"/>
      <c r="F2925" s="1036" t="str">
        <f t="shared" si="1026"/>
        <v/>
      </c>
      <c r="G2925" s="1037" t="str">
        <f t="shared" si="1021"/>
        <v/>
      </c>
      <c r="H2925" s="225"/>
      <c r="I2925" s="1013"/>
      <c r="J2925" s="1013"/>
      <c r="K2925" s="1028"/>
      <c r="L2925" s="1035" t="str">
        <f t="shared" si="1025"/>
        <v/>
      </c>
      <c r="S2925" s="498"/>
      <c r="AJ2925" s="498"/>
      <c r="AM2925" s="498">
        <f t="shared" si="1006"/>
        <v>0</v>
      </c>
      <c r="AN2925" s="498">
        <f t="shared" si="1007"/>
        <v>0</v>
      </c>
      <c r="AO2925" s="498">
        <f t="shared" si="1008"/>
        <v>0</v>
      </c>
      <c r="AP2925" s="498">
        <f t="shared" si="1027"/>
        <v>0</v>
      </c>
      <c r="AQ2925" s="498">
        <f t="shared" si="1022"/>
        <v>0</v>
      </c>
      <c r="AU2925" s="498">
        <f t="shared" si="1009"/>
        <v>0</v>
      </c>
      <c r="AV2925" s="498">
        <f t="shared" si="1010"/>
        <v>0</v>
      </c>
      <c r="AW2925" s="498">
        <f t="shared" si="1011"/>
        <v>0</v>
      </c>
      <c r="AX2925" s="498">
        <f t="shared" si="1012"/>
        <v>0</v>
      </c>
      <c r="AY2925" s="498">
        <f t="shared" si="1013"/>
        <v>0</v>
      </c>
      <c r="BB2925" s="498" t="str">
        <f t="shared" si="1014"/>
        <v/>
      </c>
      <c r="BC2925" s="743" t="str">
        <f t="shared" si="1015"/>
        <v/>
      </c>
      <c r="BD2925" s="743" t="str">
        <f t="shared" si="1016"/>
        <v/>
      </c>
      <c r="BE2925" s="743" t="str">
        <f>IF(D2925="","",VLOOKUP(D2925,'General Basis'!$J$39:$K$46,2,0))</f>
        <v/>
      </c>
      <c r="BF2925" s="744" t="str">
        <f>IF(D2925="","",VLOOKUP(D2925,'General Basis'!$J$39:$L$46,3,0))</f>
        <v/>
      </c>
      <c r="BG2925" s="744" t="str">
        <f t="shared" si="1023"/>
        <v/>
      </c>
      <c r="BH2925" s="744" t="str">
        <f>IF(G2925="","",IF(BF2925="Abu Dhabi",IF(G2925&lt;18,'General Basis'!$C$39,IF(G2925&lt;41,'General Basis'!$C$40,IF(G2925&lt;60,'General Basis'!$C$41,IF(G2925&lt;65,'General Basis'!$C$42,'General Basis'!$C$43)))),IF(G2925&lt;11,'General Basis'!$B$39,IF(G2925&lt;18,'General Basis'!$B$40,IF(G2925&lt;26,'General Basis'!$B$41,IF(G2925&lt;31,'General Basis'!$B$42,IF(G2925&lt;36,'General Basis'!$B$43,IF(G2925&lt;41,'General Basis'!$B$44,IF(G2925&lt;46,'General Basis'!$B$45,IF(G2925&lt;51,'General Basis'!$B$46,IF(G2925&lt;56,'General Basis'!$B$47,IF(G2925&lt;60,'General Basis'!$B$48,IF(G2925&lt;65,'General Basis'!$B$49,'General Basis'!$B$50)))))))))))))</f>
        <v/>
      </c>
      <c r="BI2925" s="744" t="str">
        <f t="shared" si="1017"/>
        <v/>
      </c>
      <c r="BJ2925" s="747" t="str">
        <f t="shared" si="1024"/>
        <v/>
      </c>
      <c r="BK2925" s="498" t="str">
        <f t="shared" si="1018"/>
        <v/>
      </c>
      <c r="BL2925" s="498" t="str">
        <f t="shared" si="1019"/>
        <v/>
      </c>
    </row>
    <row r="2926" spans="1:64" x14ac:dyDescent="0.25">
      <c r="A2926" s="762">
        <f t="shared" si="1020"/>
        <v>2921</v>
      </c>
      <c r="B2926" s="229"/>
      <c r="C2926" s="223"/>
      <c r="D2926" s="224"/>
      <c r="E2926" s="225"/>
      <c r="F2926" s="1036" t="str">
        <f t="shared" si="1026"/>
        <v/>
      </c>
      <c r="G2926" s="1037" t="str">
        <f t="shared" si="1021"/>
        <v/>
      </c>
      <c r="H2926" s="225"/>
      <c r="I2926" s="1013"/>
      <c r="J2926" s="1013"/>
      <c r="K2926" s="1028"/>
      <c r="L2926" s="1035" t="str">
        <f t="shared" si="1025"/>
        <v/>
      </c>
      <c r="S2926" s="498"/>
      <c r="AJ2926" s="498"/>
      <c r="AM2926" s="498">
        <f t="shared" si="1006"/>
        <v>0</v>
      </c>
      <c r="AN2926" s="498">
        <f t="shared" si="1007"/>
        <v>0</v>
      </c>
      <c r="AO2926" s="498">
        <f t="shared" si="1008"/>
        <v>0</v>
      </c>
      <c r="AP2926" s="498">
        <f t="shared" si="1027"/>
        <v>0</v>
      </c>
      <c r="AQ2926" s="498">
        <f t="shared" si="1022"/>
        <v>0</v>
      </c>
      <c r="AU2926" s="498">
        <f t="shared" si="1009"/>
        <v>0</v>
      </c>
      <c r="AV2926" s="498">
        <f t="shared" si="1010"/>
        <v>0</v>
      </c>
      <c r="AW2926" s="498">
        <f t="shared" si="1011"/>
        <v>0</v>
      </c>
      <c r="AX2926" s="498">
        <f t="shared" si="1012"/>
        <v>0</v>
      </c>
      <c r="AY2926" s="498">
        <f t="shared" si="1013"/>
        <v>0</v>
      </c>
      <c r="BB2926" s="498" t="str">
        <f t="shared" si="1014"/>
        <v/>
      </c>
      <c r="BC2926" s="743" t="str">
        <f t="shared" si="1015"/>
        <v/>
      </c>
      <c r="BD2926" s="743" t="str">
        <f t="shared" si="1016"/>
        <v/>
      </c>
      <c r="BE2926" s="743" t="str">
        <f>IF(D2926="","",VLOOKUP(D2926,'General Basis'!$J$39:$K$46,2,0))</f>
        <v/>
      </c>
      <c r="BF2926" s="744" t="str">
        <f>IF(D2926="","",VLOOKUP(D2926,'General Basis'!$J$39:$L$46,3,0))</f>
        <v/>
      </c>
      <c r="BG2926" s="744" t="str">
        <f t="shared" si="1023"/>
        <v/>
      </c>
      <c r="BH2926" s="744" t="str">
        <f>IF(G2926="","",IF(BF2926="Abu Dhabi",IF(G2926&lt;18,'General Basis'!$C$39,IF(G2926&lt;41,'General Basis'!$C$40,IF(G2926&lt;60,'General Basis'!$C$41,IF(G2926&lt;65,'General Basis'!$C$42,'General Basis'!$C$43)))),IF(G2926&lt;11,'General Basis'!$B$39,IF(G2926&lt;18,'General Basis'!$B$40,IF(G2926&lt;26,'General Basis'!$B$41,IF(G2926&lt;31,'General Basis'!$B$42,IF(G2926&lt;36,'General Basis'!$B$43,IF(G2926&lt;41,'General Basis'!$B$44,IF(G2926&lt;46,'General Basis'!$B$45,IF(G2926&lt;51,'General Basis'!$B$46,IF(G2926&lt;56,'General Basis'!$B$47,IF(G2926&lt;60,'General Basis'!$B$48,IF(G2926&lt;65,'General Basis'!$B$49,'General Basis'!$B$50)))))))))))))</f>
        <v/>
      </c>
      <c r="BI2926" s="744" t="str">
        <f t="shared" si="1017"/>
        <v/>
      </c>
      <c r="BJ2926" s="747" t="str">
        <f t="shared" si="1024"/>
        <v/>
      </c>
      <c r="BK2926" s="498" t="str">
        <f t="shared" si="1018"/>
        <v/>
      </c>
      <c r="BL2926" s="498" t="str">
        <f t="shared" si="1019"/>
        <v/>
      </c>
    </row>
    <row r="2927" spans="1:64" x14ac:dyDescent="0.25">
      <c r="A2927" s="762">
        <f t="shared" si="1020"/>
        <v>2922</v>
      </c>
      <c r="B2927" s="229"/>
      <c r="C2927" s="223"/>
      <c r="D2927" s="224"/>
      <c r="E2927" s="225"/>
      <c r="F2927" s="1036" t="str">
        <f t="shared" si="1026"/>
        <v/>
      </c>
      <c r="G2927" s="1037" t="str">
        <f t="shared" si="1021"/>
        <v/>
      </c>
      <c r="H2927" s="225"/>
      <c r="I2927" s="1013"/>
      <c r="J2927" s="1013"/>
      <c r="K2927" s="1028"/>
      <c r="L2927" s="1035" t="str">
        <f t="shared" si="1025"/>
        <v/>
      </c>
      <c r="S2927" s="498"/>
      <c r="AJ2927" s="498"/>
      <c r="AM2927" s="498">
        <f t="shared" si="1006"/>
        <v>0</v>
      </c>
      <c r="AN2927" s="498">
        <f t="shared" si="1007"/>
        <v>0</v>
      </c>
      <c r="AO2927" s="498">
        <f t="shared" si="1008"/>
        <v>0</v>
      </c>
      <c r="AP2927" s="498">
        <f t="shared" si="1027"/>
        <v>0</v>
      </c>
      <c r="AQ2927" s="498">
        <f t="shared" si="1022"/>
        <v>0</v>
      </c>
      <c r="AU2927" s="498">
        <f t="shared" si="1009"/>
        <v>0</v>
      </c>
      <c r="AV2927" s="498">
        <f t="shared" si="1010"/>
        <v>0</v>
      </c>
      <c r="AW2927" s="498">
        <f t="shared" si="1011"/>
        <v>0</v>
      </c>
      <c r="AX2927" s="498">
        <f t="shared" si="1012"/>
        <v>0</v>
      </c>
      <c r="AY2927" s="498">
        <f t="shared" si="1013"/>
        <v>0</v>
      </c>
      <c r="BB2927" s="498" t="str">
        <f t="shared" si="1014"/>
        <v/>
      </c>
      <c r="BC2927" s="743" t="str">
        <f t="shared" si="1015"/>
        <v/>
      </c>
      <c r="BD2927" s="743" t="str">
        <f t="shared" si="1016"/>
        <v/>
      </c>
      <c r="BE2927" s="743" t="str">
        <f>IF(D2927="","",VLOOKUP(D2927,'General Basis'!$J$39:$K$46,2,0))</f>
        <v/>
      </c>
      <c r="BF2927" s="744" t="str">
        <f>IF(D2927="","",VLOOKUP(D2927,'General Basis'!$J$39:$L$46,3,0))</f>
        <v/>
      </c>
      <c r="BG2927" s="744" t="str">
        <f t="shared" si="1023"/>
        <v/>
      </c>
      <c r="BH2927" s="744" t="str">
        <f>IF(G2927="","",IF(BF2927="Abu Dhabi",IF(G2927&lt;18,'General Basis'!$C$39,IF(G2927&lt;41,'General Basis'!$C$40,IF(G2927&lt;60,'General Basis'!$C$41,IF(G2927&lt;65,'General Basis'!$C$42,'General Basis'!$C$43)))),IF(G2927&lt;11,'General Basis'!$B$39,IF(G2927&lt;18,'General Basis'!$B$40,IF(G2927&lt;26,'General Basis'!$B$41,IF(G2927&lt;31,'General Basis'!$B$42,IF(G2927&lt;36,'General Basis'!$B$43,IF(G2927&lt;41,'General Basis'!$B$44,IF(G2927&lt;46,'General Basis'!$B$45,IF(G2927&lt;51,'General Basis'!$B$46,IF(G2927&lt;56,'General Basis'!$B$47,IF(G2927&lt;60,'General Basis'!$B$48,IF(G2927&lt;65,'General Basis'!$B$49,'General Basis'!$B$50)))))))))))))</f>
        <v/>
      </c>
      <c r="BI2927" s="744" t="str">
        <f t="shared" si="1017"/>
        <v/>
      </c>
      <c r="BJ2927" s="747" t="str">
        <f t="shared" si="1024"/>
        <v/>
      </c>
      <c r="BK2927" s="498" t="str">
        <f t="shared" si="1018"/>
        <v/>
      </c>
      <c r="BL2927" s="498" t="str">
        <f t="shared" si="1019"/>
        <v/>
      </c>
    </row>
    <row r="2928" spans="1:64" x14ac:dyDescent="0.25">
      <c r="A2928" s="762">
        <f t="shared" si="1020"/>
        <v>2923</v>
      </c>
      <c r="B2928" s="229"/>
      <c r="C2928" s="223"/>
      <c r="D2928" s="224"/>
      <c r="E2928" s="225"/>
      <c r="F2928" s="1036" t="str">
        <f t="shared" si="1026"/>
        <v/>
      </c>
      <c r="G2928" s="1037" t="str">
        <f t="shared" si="1021"/>
        <v/>
      </c>
      <c r="H2928" s="225"/>
      <c r="I2928" s="1013"/>
      <c r="J2928" s="1013"/>
      <c r="K2928" s="1028"/>
      <c r="L2928" s="1035" t="str">
        <f t="shared" si="1025"/>
        <v/>
      </c>
      <c r="S2928" s="498"/>
      <c r="AJ2928" s="498"/>
      <c r="AM2928" s="498">
        <f t="shared" si="1006"/>
        <v>0</v>
      </c>
      <c r="AN2928" s="498">
        <f t="shared" si="1007"/>
        <v>0</v>
      </c>
      <c r="AO2928" s="498">
        <f t="shared" si="1008"/>
        <v>0</v>
      </c>
      <c r="AP2928" s="498">
        <f t="shared" si="1027"/>
        <v>0</v>
      </c>
      <c r="AQ2928" s="498">
        <f t="shared" si="1022"/>
        <v>0</v>
      </c>
      <c r="AU2928" s="498">
        <f t="shared" si="1009"/>
        <v>0</v>
      </c>
      <c r="AV2928" s="498">
        <f t="shared" si="1010"/>
        <v>0</v>
      </c>
      <c r="AW2928" s="498">
        <f t="shared" si="1011"/>
        <v>0</v>
      </c>
      <c r="AX2928" s="498">
        <f t="shared" si="1012"/>
        <v>0</v>
      </c>
      <c r="AY2928" s="498">
        <f t="shared" si="1013"/>
        <v>0</v>
      </c>
      <c r="BB2928" s="498" t="str">
        <f t="shared" si="1014"/>
        <v/>
      </c>
      <c r="BC2928" s="743" t="str">
        <f t="shared" si="1015"/>
        <v/>
      </c>
      <c r="BD2928" s="743" t="str">
        <f t="shared" si="1016"/>
        <v/>
      </c>
      <c r="BE2928" s="743" t="str">
        <f>IF(D2928="","",VLOOKUP(D2928,'General Basis'!$J$39:$K$46,2,0))</f>
        <v/>
      </c>
      <c r="BF2928" s="744" t="str">
        <f>IF(D2928="","",VLOOKUP(D2928,'General Basis'!$J$39:$L$46,3,0))</f>
        <v/>
      </c>
      <c r="BG2928" s="744" t="str">
        <f t="shared" si="1023"/>
        <v/>
      </c>
      <c r="BH2928" s="744" t="str">
        <f>IF(G2928="","",IF(BF2928="Abu Dhabi",IF(G2928&lt;18,'General Basis'!$C$39,IF(G2928&lt;41,'General Basis'!$C$40,IF(G2928&lt;60,'General Basis'!$C$41,IF(G2928&lt;65,'General Basis'!$C$42,'General Basis'!$C$43)))),IF(G2928&lt;11,'General Basis'!$B$39,IF(G2928&lt;18,'General Basis'!$B$40,IF(G2928&lt;26,'General Basis'!$B$41,IF(G2928&lt;31,'General Basis'!$B$42,IF(G2928&lt;36,'General Basis'!$B$43,IF(G2928&lt;41,'General Basis'!$B$44,IF(G2928&lt;46,'General Basis'!$B$45,IF(G2928&lt;51,'General Basis'!$B$46,IF(G2928&lt;56,'General Basis'!$B$47,IF(G2928&lt;60,'General Basis'!$B$48,IF(G2928&lt;65,'General Basis'!$B$49,'General Basis'!$B$50)))))))))))))</f>
        <v/>
      </c>
      <c r="BI2928" s="744" t="str">
        <f t="shared" si="1017"/>
        <v/>
      </c>
      <c r="BJ2928" s="747" t="str">
        <f t="shared" si="1024"/>
        <v/>
      </c>
      <c r="BK2928" s="498" t="str">
        <f t="shared" si="1018"/>
        <v/>
      </c>
      <c r="BL2928" s="498" t="str">
        <f t="shared" si="1019"/>
        <v/>
      </c>
    </row>
    <row r="2929" spans="1:64" x14ac:dyDescent="0.25">
      <c r="A2929" s="762">
        <f t="shared" si="1020"/>
        <v>2924</v>
      </c>
      <c r="B2929" s="229"/>
      <c r="C2929" s="223"/>
      <c r="D2929" s="224"/>
      <c r="E2929" s="225"/>
      <c r="F2929" s="1036" t="str">
        <f t="shared" si="1026"/>
        <v/>
      </c>
      <c r="G2929" s="1037" t="str">
        <f t="shared" si="1021"/>
        <v/>
      </c>
      <c r="H2929" s="225"/>
      <c r="I2929" s="1013"/>
      <c r="J2929" s="1013"/>
      <c r="K2929" s="1028"/>
      <c r="L2929" s="1035" t="str">
        <f t="shared" si="1025"/>
        <v/>
      </c>
      <c r="S2929" s="498"/>
      <c r="AJ2929" s="498"/>
      <c r="AM2929" s="498">
        <f t="shared" si="1006"/>
        <v>0</v>
      </c>
      <c r="AN2929" s="498">
        <f t="shared" si="1007"/>
        <v>0</v>
      </c>
      <c r="AO2929" s="498">
        <f t="shared" si="1008"/>
        <v>0</v>
      </c>
      <c r="AP2929" s="498">
        <f t="shared" si="1027"/>
        <v>0</v>
      </c>
      <c r="AQ2929" s="498">
        <f t="shared" si="1022"/>
        <v>0</v>
      </c>
      <c r="AU2929" s="498">
        <f t="shared" si="1009"/>
        <v>0</v>
      </c>
      <c r="AV2929" s="498">
        <f t="shared" si="1010"/>
        <v>0</v>
      </c>
      <c r="AW2929" s="498">
        <f t="shared" si="1011"/>
        <v>0</v>
      </c>
      <c r="AX2929" s="498">
        <f t="shared" si="1012"/>
        <v>0</v>
      </c>
      <c r="AY2929" s="498">
        <f t="shared" si="1013"/>
        <v>0</v>
      </c>
      <c r="BB2929" s="498" t="str">
        <f t="shared" si="1014"/>
        <v/>
      </c>
      <c r="BC2929" s="743" t="str">
        <f t="shared" si="1015"/>
        <v/>
      </c>
      <c r="BD2929" s="743" t="str">
        <f t="shared" si="1016"/>
        <v/>
      </c>
      <c r="BE2929" s="743" t="str">
        <f>IF(D2929="","",VLOOKUP(D2929,'General Basis'!$J$39:$K$46,2,0))</f>
        <v/>
      </c>
      <c r="BF2929" s="744" t="str">
        <f>IF(D2929="","",VLOOKUP(D2929,'General Basis'!$J$39:$L$46,3,0))</f>
        <v/>
      </c>
      <c r="BG2929" s="744" t="str">
        <f t="shared" si="1023"/>
        <v/>
      </c>
      <c r="BH2929" s="744" t="str">
        <f>IF(G2929="","",IF(BF2929="Abu Dhabi",IF(G2929&lt;18,'General Basis'!$C$39,IF(G2929&lt;41,'General Basis'!$C$40,IF(G2929&lt;60,'General Basis'!$C$41,IF(G2929&lt;65,'General Basis'!$C$42,'General Basis'!$C$43)))),IF(G2929&lt;11,'General Basis'!$B$39,IF(G2929&lt;18,'General Basis'!$B$40,IF(G2929&lt;26,'General Basis'!$B$41,IF(G2929&lt;31,'General Basis'!$B$42,IF(G2929&lt;36,'General Basis'!$B$43,IF(G2929&lt;41,'General Basis'!$B$44,IF(G2929&lt;46,'General Basis'!$B$45,IF(G2929&lt;51,'General Basis'!$B$46,IF(G2929&lt;56,'General Basis'!$B$47,IF(G2929&lt;60,'General Basis'!$B$48,IF(G2929&lt;65,'General Basis'!$B$49,'General Basis'!$B$50)))))))))))))</f>
        <v/>
      </c>
      <c r="BI2929" s="744" t="str">
        <f t="shared" si="1017"/>
        <v/>
      </c>
      <c r="BJ2929" s="747" t="str">
        <f t="shared" si="1024"/>
        <v/>
      </c>
      <c r="BK2929" s="498" t="str">
        <f t="shared" si="1018"/>
        <v/>
      </c>
      <c r="BL2929" s="498" t="str">
        <f t="shared" si="1019"/>
        <v/>
      </c>
    </row>
    <row r="2930" spans="1:64" x14ac:dyDescent="0.25">
      <c r="A2930" s="762">
        <f t="shared" si="1020"/>
        <v>2925</v>
      </c>
      <c r="B2930" s="229"/>
      <c r="C2930" s="223"/>
      <c r="D2930" s="224"/>
      <c r="E2930" s="225"/>
      <c r="F2930" s="1036" t="str">
        <f t="shared" si="1026"/>
        <v/>
      </c>
      <c r="G2930" s="1037" t="str">
        <f t="shared" si="1021"/>
        <v/>
      </c>
      <c r="H2930" s="225"/>
      <c r="I2930" s="1013"/>
      <c r="J2930" s="1013"/>
      <c r="K2930" s="1028"/>
      <c r="L2930" s="1035" t="str">
        <f t="shared" si="1025"/>
        <v/>
      </c>
      <c r="S2930" s="498"/>
      <c r="AJ2930" s="498"/>
      <c r="AM2930" s="498">
        <f t="shared" si="1006"/>
        <v>0</v>
      </c>
      <c r="AN2930" s="498">
        <f t="shared" si="1007"/>
        <v>0</v>
      </c>
      <c r="AO2930" s="498">
        <f t="shared" si="1008"/>
        <v>0</v>
      </c>
      <c r="AP2930" s="498">
        <f t="shared" si="1027"/>
        <v>0</v>
      </c>
      <c r="AQ2930" s="498">
        <f t="shared" si="1022"/>
        <v>0</v>
      </c>
      <c r="AU2930" s="498">
        <f t="shared" si="1009"/>
        <v>0</v>
      </c>
      <c r="AV2930" s="498">
        <f t="shared" si="1010"/>
        <v>0</v>
      </c>
      <c r="AW2930" s="498">
        <f t="shared" si="1011"/>
        <v>0</v>
      </c>
      <c r="AX2930" s="498">
        <f t="shared" si="1012"/>
        <v>0</v>
      </c>
      <c r="AY2930" s="498">
        <f t="shared" si="1013"/>
        <v>0</v>
      </c>
      <c r="BB2930" s="498" t="str">
        <f t="shared" si="1014"/>
        <v/>
      </c>
      <c r="BC2930" s="743" t="str">
        <f t="shared" si="1015"/>
        <v/>
      </c>
      <c r="BD2930" s="743" t="str">
        <f t="shared" si="1016"/>
        <v/>
      </c>
      <c r="BE2930" s="743" t="str">
        <f>IF(D2930="","",VLOOKUP(D2930,'General Basis'!$J$39:$K$46,2,0))</f>
        <v/>
      </c>
      <c r="BF2930" s="744" t="str">
        <f>IF(D2930="","",VLOOKUP(D2930,'General Basis'!$J$39:$L$46,3,0))</f>
        <v/>
      </c>
      <c r="BG2930" s="744" t="str">
        <f t="shared" si="1023"/>
        <v/>
      </c>
      <c r="BH2930" s="744" t="str">
        <f>IF(G2930="","",IF(BF2930="Abu Dhabi",IF(G2930&lt;18,'General Basis'!$C$39,IF(G2930&lt;41,'General Basis'!$C$40,IF(G2930&lt;60,'General Basis'!$C$41,IF(G2930&lt;65,'General Basis'!$C$42,'General Basis'!$C$43)))),IF(G2930&lt;11,'General Basis'!$B$39,IF(G2930&lt;18,'General Basis'!$B$40,IF(G2930&lt;26,'General Basis'!$B$41,IF(G2930&lt;31,'General Basis'!$B$42,IF(G2930&lt;36,'General Basis'!$B$43,IF(G2930&lt;41,'General Basis'!$B$44,IF(G2930&lt;46,'General Basis'!$B$45,IF(G2930&lt;51,'General Basis'!$B$46,IF(G2930&lt;56,'General Basis'!$B$47,IF(G2930&lt;60,'General Basis'!$B$48,IF(G2930&lt;65,'General Basis'!$B$49,'General Basis'!$B$50)))))))))))))</f>
        <v/>
      </c>
      <c r="BI2930" s="744" t="str">
        <f t="shared" si="1017"/>
        <v/>
      </c>
      <c r="BJ2930" s="747" t="str">
        <f t="shared" si="1024"/>
        <v/>
      </c>
      <c r="BK2930" s="498" t="str">
        <f t="shared" si="1018"/>
        <v/>
      </c>
      <c r="BL2930" s="498" t="str">
        <f t="shared" si="1019"/>
        <v/>
      </c>
    </row>
    <row r="2931" spans="1:64" x14ac:dyDescent="0.25">
      <c r="A2931" s="762">
        <f t="shared" si="1020"/>
        <v>2926</v>
      </c>
      <c r="B2931" s="229"/>
      <c r="C2931" s="223"/>
      <c r="D2931" s="224"/>
      <c r="E2931" s="225"/>
      <c r="F2931" s="1036" t="str">
        <f t="shared" si="1026"/>
        <v/>
      </c>
      <c r="G2931" s="1037" t="str">
        <f t="shared" si="1021"/>
        <v/>
      </c>
      <c r="H2931" s="225"/>
      <c r="I2931" s="1013"/>
      <c r="J2931" s="1013"/>
      <c r="K2931" s="1028"/>
      <c r="L2931" s="1035" t="str">
        <f t="shared" si="1025"/>
        <v/>
      </c>
      <c r="S2931" s="498"/>
      <c r="AJ2931" s="498"/>
      <c r="AM2931" s="498">
        <f t="shared" si="1006"/>
        <v>0</v>
      </c>
      <c r="AN2931" s="498">
        <f t="shared" si="1007"/>
        <v>0</v>
      </c>
      <c r="AO2931" s="498">
        <f t="shared" si="1008"/>
        <v>0</v>
      </c>
      <c r="AP2931" s="498">
        <f t="shared" si="1027"/>
        <v>0</v>
      </c>
      <c r="AQ2931" s="498">
        <f t="shared" si="1022"/>
        <v>0</v>
      </c>
      <c r="AU2931" s="498">
        <f t="shared" si="1009"/>
        <v>0</v>
      </c>
      <c r="AV2931" s="498">
        <f t="shared" si="1010"/>
        <v>0</v>
      </c>
      <c r="AW2931" s="498">
        <f t="shared" si="1011"/>
        <v>0</v>
      </c>
      <c r="AX2931" s="498">
        <f t="shared" si="1012"/>
        <v>0</v>
      </c>
      <c r="AY2931" s="498">
        <f t="shared" si="1013"/>
        <v>0</v>
      </c>
      <c r="BB2931" s="498" t="str">
        <f t="shared" si="1014"/>
        <v/>
      </c>
      <c r="BC2931" s="743" t="str">
        <f t="shared" si="1015"/>
        <v/>
      </c>
      <c r="BD2931" s="743" t="str">
        <f t="shared" si="1016"/>
        <v/>
      </c>
      <c r="BE2931" s="743" t="str">
        <f>IF(D2931="","",VLOOKUP(D2931,'General Basis'!$J$39:$K$46,2,0))</f>
        <v/>
      </c>
      <c r="BF2931" s="744" t="str">
        <f>IF(D2931="","",VLOOKUP(D2931,'General Basis'!$J$39:$L$46,3,0))</f>
        <v/>
      </c>
      <c r="BG2931" s="744" t="str">
        <f t="shared" si="1023"/>
        <v/>
      </c>
      <c r="BH2931" s="744" t="str">
        <f>IF(G2931="","",IF(BF2931="Abu Dhabi",IF(G2931&lt;18,'General Basis'!$C$39,IF(G2931&lt;41,'General Basis'!$C$40,IF(G2931&lt;60,'General Basis'!$C$41,IF(G2931&lt;65,'General Basis'!$C$42,'General Basis'!$C$43)))),IF(G2931&lt;11,'General Basis'!$B$39,IF(G2931&lt;18,'General Basis'!$B$40,IF(G2931&lt;26,'General Basis'!$B$41,IF(G2931&lt;31,'General Basis'!$B$42,IF(G2931&lt;36,'General Basis'!$B$43,IF(G2931&lt;41,'General Basis'!$B$44,IF(G2931&lt;46,'General Basis'!$B$45,IF(G2931&lt;51,'General Basis'!$B$46,IF(G2931&lt;56,'General Basis'!$B$47,IF(G2931&lt;60,'General Basis'!$B$48,IF(G2931&lt;65,'General Basis'!$B$49,'General Basis'!$B$50)))))))))))))</f>
        <v/>
      </c>
      <c r="BI2931" s="744" t="str">
        <f t="shared" si="1017"/>
        <v/>
      </c>
      <c r="BJ2931" s="747" t="str">
        <f t="shared" si="1024"/>
        <v/>
      </c>
      <c r="BK2931" s="498" t="str">
        <f t="shared" si="1018"/>
        <v/>
      </c>
      <c r="BL2931" s="498" t="str">
        <f t="shared" si="1019"/>
        <v/>
      </c>
    </row>
    <row r="2932" spans="1:64" x14ac:dyDescent="0.25">
      <c r="A2932" s="762">
        <f t="shared" si="1020"/>
        <v>2927</v>
      </c>
      <c r="B2932" s="229"/>
      <c r="C2932" s="223"/>
      <c r="D2932" s="224"/>
      <c r="E2932" s="225"/>
      <c r="F2932" s="1036" t="str">
        <f t="shared" si="1026"/>
        <v/>
      </c>
      <c r="G2932" s="1037" t="str">
        <f t="shared" si="1021"/>
        <v/>
      </c>
      <c r="H2932" s="225"/>
      <c r="I2932" s="1013"/>
      <c r="J2932" s="1013"/>
      <c r="K2932" s="1028"/>
      <c r="L2932" s="1035" t="str">
        <f t="shared" si="1025"/>
        <v/>
      </c>
      <c r="S2932" s="498"/>
      <c r="AJ2932" s="498"/>
      <c r="AM2932" s="498">
        <f t="shared" si="1006"/>
        <v>0</v>
      </c>
      <c r="AN2932" s="498">
        <f t="shared" si="1007"/>
        <v>0</v>
      </c>
      <c r="AO2932" s="498">
        <f t="shared" si="1008"/>
        <v>0</v>
      </c>
      <c r="AP2932" s="498">
        <f t="shared" si="1027"/>
        <v>0</v>
      </c>
      <c r="AQ2932" s="498">
        <f t="shared" si="1022"/>
        <v>0</v>
      </c>
      <c r="AU2932" s="498">
        <f t="shared" si="1009"/>
        <v>0</v>
      </c>
      <c r="AV2932" s="498">
        <f t="shared" si="1010"/>
        <v>0</v>
      </c>
      <c r="AW2932" s="498">
        <f t="shared" si="1011"/>
        <v>0</v>
      </c>
      <c r="AX2932" s="498">
        <f t="shared" si="1012"/>
        <v>0</v>
      </c>
      <c r="AY2932" s="498">
        <f t="shared" si="1013"/>
        <v>0</v>
      </c>
      <c r="BB2932" s="498" t="str">
        <f t="shared" si="1014"/>
        <v/>
      </c>
      <c r="BC2932" s="743" t="str">
        <f t="shared" si="1015"/>
        <v/>
      </c>
      <c r="BD2932" s="743" t="str">
        <f t="shared" si="1016"/>
        <v/>
      </c>
      <c r="BE2932" s="743" t="str">
        <f>IF(D2932="","",VLOOKUP(D2932,'General Basis'!$J$39:$K$46,2,0))</f>
        <v/>
      </c>
      <c r="BF2932" s="744" t="str">
        <f>IF(D2932="","",VLOOKUP(D2932,'General Basis'!$J$39:$L$46,3,0))</f>
        <v/>
      </c>
      <c r="BG2932" s="744" t="str">
        <f t="shared" si="1023"/>
        <v/>
      </c>
      <c r="BH2932" s="744" t="str">
        <f>IF(G2932="","",IF(BF2932="Abu Dhabi",IF(G2932&lt;18,'General Basis'!$C$39,IF(G2932&lt;41,'General Basis'!$C$40,IF(G2932&lt;60,'General Basis'!$C$41,IF(G2932&lt;65,'General Basis'!$C$42,'General Basis'!$C$43)))),IF(G2932&lt;11,'General Basis'!$B$39,IF(G2932&lt;18,'General Basis'!$B$40,IF(G2932&lt;26,'General Basis'!$B$41,IF(G2932&lt;31,'General Basis'!$B$42,IF(G2932&lt;36,'General Basis'!$B$43,IF(G2932&lt;41,'General Basis'!$B$44,IF(G2932&lt;46,'General Basis'!$B$45,IF(G2932&lt;51,'General Basis'!$B$46,IF(G2932&lt;56,'General Basis'!$B$47,IF(G2932&lt;60,'General Basis'!$B$48,IF(G2932&lt;65,'General Basis'!$B$49,'General Basis'!$B$50)))))))))))))</f>
        <v/>
      </c>
      <c r="BI2932" s="744" t="str">
        <f t="shared" si="1017"/>
        <v/>
      </c>
      <c r="BJ2932" s="747" t="str">
        <f t="shared" si="1024"/>
        <v/>
      </c>
      <c r="BK2932" s="498" t="str">
        <f t="shared" si="1018"/>
        <v/>
      </c>
      <c r="BL2932" s="498" t="str">
        <f t="shared" si="1019"/>
        <v/>
      </c>
    </row>
    <row r="2933" spans="1:64" x14ac:dyDescent="0.25">
      <c r="A2933" s="762">
        <f t="shared" si="1020"/>
        <v>2928</v>
      </c>
      <c r="B2933" s="229"/>
      <c r="C2933" s="223"/>
      <c r="D2933" s="224"/>
      <c r="E2933" s="225"/>
      <c r="F2933" s="1036" t="str">
        <f t="shared" si="1026"/>
        <v/>
      </c>
      <c r="G2933" s="1037" t="str">
        <f t="shared" si="1021"/>
        <v/>
      </c>
      <c r="H2933" s="225"/>
      <c r="I2933" s="1013"/>
      <c r="J2933" s="1013"/>
      <c r="K2933" s="1028"/>
      <c r="L2933" s="1035" t="str">
        <f t="shared" si="1025"/>
        <v/>
      </c>
      <c r="S2933" s="498"/>
      <c r="AJ2933" s="498"/>
      <c r="AM2933" s="498">
        <f t="shared" si="1006"/>
        <v>0</v>
      </c>
      <c r="AN2933" s="498">
        <f t="shared" si="1007"/>
        <v>0</v>
      </c>
      <c r="AO2933" s="498">
        <f t="shared" si="1008"/>
        <v>0</v>
      </c>
      <c r="AP2933" s="498">
        <f t="shared" si="1027"/>
        <v>0</v>
      </c>
      <c r="AQ2933" s="498">
        <f t="shared" si="1022"/>
        <v>0</v>
      </c>
      <c r="AU2933" s="498">
        <f t="shared" si="1009"/>
        <v>0</v>
      </c>
      <c r="AV2933" s="498">
        <f t="shared" si="1010"/>
        <v>0</v>
      </c>
      <c r="AW2933" s="498">
        <f t="shared" si="1011"/>
        <v>0</v>
      </c>
      <c r="AX2933" s="498">
        <f t="shared" si="1012"/>
        <v>0</v>
      </c>
      <c r="AY2933" s="498">
        <f t="shared" si="1013"/>
        <v>0</v>
      </c>
      <c r="BB2933" s="498" t="str">
        <f t="shared" si="1014"/>
        <v/>
      </c>
      <c r="BC2933" s="743" t="str">
        <f t="shared" si="1015"/>
        <v/>
      </c>
      <c r="BD2933" s="743" t="str">
        <f t="shared" si="1016"/>
        <v/>
      </c>
      <c r="BE2933" s="743" t="str">
        <f>IF(D2933="","",VLOOKUP(D2933,'General Basis'!$J$39:$K$46,2,0))</f>
        <v/>
      </c>
      <c r="BF2933" s="744" t="str">
        <f>IF(D2933="","",VLOOKUP(D2933,'General Basis'!$J$39:$L$46,3,0))</f>
        <v/>
      </c>
      <c r="BG2933" s="744" t="str">
        <f t="shared" si="1023"/>
        <v/>
      </c>
      <c r="BH2933" s="744" t="str">
        <f>IF(G2933="","",IF(BF2933="Abu Dhabi",IF(G2933&lt;18,'General Basis'!$C$39,IF(G2933&lt;41,'General Basis'!$C$40,IF(G2933&lt;60,'General Basis'!$C$41,IF(G2933&lt;65,'General Basis'!$C$42,'General Basis'!$C$43)))),IF(G2933&lt;11,'General Basis'!$B$39,IF(G2933&lt;18,'General Basis'!$B$40,IF(G2933&lt;26,'General Basis'!$B$41,IF(G2933&lt;31,'General Basis'!$B$42,IF(G2933&lt;36,'General Basis'!$B$43,IF(G2933&lt;41,'General Basis'!$B$44,IF(G2933&lt;46,'General Basis'!$B$45,IF(G2933&lt;51,'General Basis'!$B$46,IF(G2933&lt;56,'General Basis'!$B$47,IF(G2933&lt;60,'General Basis'!$B$48,IF(G2933&lt;65,'General Basis'!$B$49,'General Basis'!$B$50)))))))))))))</f>
        <v/>
      </c>
      <c r="BI2933" s="744" t="str">
        <f t="shared" si="1017"/>
        <v/>
      </c>
      <c r="BJ2933" s="747" t="str">
        <f t="shared" si="1024"/>
        <v/>
      </c>
      <c r="BK2933" s="498" t="str">
        <f t="shared" si="1018"/>
        <v/>
      </c>
      <c r="BL2933" s="498" t="str">
        <f t="shared" si="1019"/>
        <v/>
      </c>
    </row>
    <row r="2934" spans="1:64" x14ac:dyDescent="0.25">
      <c r="A2934" s="762">
        <f t="shared" si="1020"/>
        <v>2929</v>
      </c>
      <c r="B2934" s="229"/>
      <c r="C2934" s="223"/>
      <c r="D2934" s="224"/>
      <c r="E2934" s="225"/>
      <c r="F2934" s="1036" t="str">
        <f t="shared" si="1026"/>
        <v/>
      </c>
      <c r="G2934" s="1037" t="str">
        <f t="shared" si="1021"/>
        <v/>
      </c>
      <c r="H2934" s="225"/>
      <c r="I2934" s="1013"/>
      <c r="J2934" s="1013"/>
      <c r="K2934" s="1028"/>
      <c r="L2934" s="1035" t="str">
        <f t="shared" si="1025"/>
        <v/>
      </c>
      <c r="S2934" s="498"/>
      <c r="AJ2934" s="498"/>
      <c r="AM2934" s="498">
        <f t="shared" si="1006"/>
        <v>0</v>
      </c>
      <c r="AN2934" s="498">
        <f t="shared" si="1007"/>
        <v>0</v>
      </c>
      <c r="AO2934" s="498">
        <f t="shared" si="1008"/>
        <v>0</v>
      </c>
      <c r="AP2934" s="498">
        <f t="shared" si="1027"/>
        <v>0</v>
      </c>
      <c r="AQ2934" s="498">
        <f t="shared" si="1022"/>
        <v>0</v>
      </c>
      <c r="AU2934" s="498">
        <f t="shared" si="1009"/>
        <v>0</v>
      </c>
      <c r="AV2934" s="498">
        <f t="shared" si="1010"/>
        <v>0</v>
      </c>
      <c r="AW2934" s="498">
        <f t="shared" si="1011"/>
        <v>0</v>
      </c>
      <c r="AX2934" s="498">
        <f t="shared" si="1012"/>
        <v>0</v>
      </c>
      <c r="AY2934" s="498">
        <f t="shared" si="1013"/>
        <v>0</v>
      </c>
      <c r="BB2934" s="498" t="str">
        <f t="shared" si="1014"/>
        <v/>
      </c>
      <c r="BC2934" s="743" t="str">
        <f t="shared" si="1015"/>
        <v/>
      </c>
      <c r="BD2934" s="743" t="str">
        <f t="shared" si="1016"/>
        <v/>
      </c>
      <c r="BE2934" s="743" t="str">
        <f>IF(D2934="","",VLOOKUP(D2934,'General Basis'!$J$39:$K$46,2,0))</f>
        <v/>
      </c>
      <c r="BF2934" s="744" t="str">
        <f>IF(D2934="","",VLOOKUP(D2934,'General Basis'!$J$39:$L$46,3,0))</f>
        <v/>
      </c>
      <c r="BG2934" s="744" t="str">
        <f t="shared" si="1023"/>
        <v/>
      </c>
      <c r="BH2934" s="744" t="str">
        <f>IF(G2934="","",IF(BF2934="Abu Dhabi",IF(G2934&lt;18,'General Basis'!$C$39,IF(G2934&lt;41,'General Basis'!$C$40,IF(G2934&lt;60,'General Basis'!$C$41,IF(G2934&lt;65,'General Basis'!$C$42,'General Basis'!$C$43)))),IF(G2934&lt;11,'General Basis'!$B$39,IF(G2934&lt;18,'General Basis'!$B$40,IF(G2934&lt;26,'General Basis'!$B$41,IF(G2934&lt;31,'General Basis'!$B$42,IF(G2934&lt;36,'General Basis'!$B$43,IF(G2934&lt;41,'General Basis'!$B$44,IF(G2934&lt;46,'General Basis'!$B$45,IF(G2934&lt;51,'General Basis'!$B$46,IF(G2934&lt;56,'General Basis'!$B$47,IF(G2934&lt;60,'General Basis'!$B$48,IF(G2934&lt;65,'General Basis'!$B$49,'General Basis'!$B$50)))))))))))))</f>
        <v/>
      </c>
      <c r="BI2934" s="744" t="str">
        <f t="shared" si="1017"/>
        <v/>
      </c>
      <c r="BJ2934" s="747" t="str">
        <f t="shared" si="1024"/>
        <v/>
      </c>
      <c r="BK2934" s="498" t="str">
        <f t="shared" si="1018"/>
        <v/>
      </c>
      <c r="BL2934" s="498" t="str">
        <f t="shared" si="1019"/>
        <v/>
      </c>
    </row>
    <row r="2935" spans="1:64" x14ac:dyDescent="0.25">
      <c r="A2935" s="762">
        <f t="shared" si="1020"/>
        <v>2930</v>
      </c>
      <c r="B2935" s="229"/>
      <c r="C2935" s="223"/>
      <c r="D2935" s="224"/>
      <c r="E2935" s="225"/>
      <c r="F2935" s="1036" t="str">
        <f t="shared" si="1026"/>
        <v/>
      </c>
      <c r="G2935" s="1037" t="str">
        <f t="shared" si="1021"/>
        <v/>
      </c>
      <c r="H2935" s="225"/>
      <c r="I2935" s="1013"/>
      <c r="J2935" s="1013"/>
      <c r="K2935" s="1028"/>
      <c r="L2935" s="1035" t="str">
        <f t="shared" si="1025"/>
        <v/>
      </c>
      <c r="S2935" s="498"/>
      <c r="AJ2935" s="498"/>
      <c r="AM2935" s="498">
        <f t="shared" si="1006"/>
        <v>0</v>
      </c>
      <c r="AN2935" s="498">
        <f t="shared" si="1007"/>
        <v>0</v>
      </c>
      <c r="AO2935" s="498">
        <f t="shared" si="1008"/>
        <v>0</v>
      </c>
      <c r="AP2935" s="498">
        <f t="shared" si="1027"/>
        <v>0</v>
      </c>
      <c r="AQ2935" s="498">
        <f t="shared" si="1022"/>
        <v>0</v>
      </c>
      <c r="AU2935" s="498">
        <f t="shared" si="1009"/>
        <v>0</v>
      </c>
      <c r="AV2935" s="498">
        <f t="shared" si="1010"/>
        <v>0</v>
      </c>
      <c r="AW2935" s="498">
        <f t="shared" si="1011"/>
        <v>0</v>
      </c>
      <c r="AX2935" s="498">
        <f t="shared" si="1012"/>
        <v>0</v>
      </c>
      <c r="AY2935" s="498">
        <f t="shared" si="1013"/>
        <v>0</v>
      </c>
      <c r="BB2935" s="498" t="str">
        <f t="shared" si="1014"/>
        <v/>
      </c>
      <c r="BC2935" s="743" t="str">
        <f t="shared" si="1015"/>
        <v/>
      </c>
      <c r="BD2935" s="743" t="str">
        <f t="shared" si="1016"/>
        <v/>
      </c>
      <c r="BE2935" s="743" t="str">
        <f>IF(D2935="","",VLOOKUP(D2935,'General Basis'!$J$39:$K$46,2,0))</f>
        <v/>
      </c>
      <c r="BF2935" s="744" t="str">
        <f>IF(D2935="","",VLOOKUP(D2935,'General Basis'!$J$39:$L$46,3,0))</f>
        <v/>
      </c>
      <c r="BG2935" s="744" t="str">
        <f t="shared" si="1023"/>
        <v/>
      </c>
      <c r="BH2935" s="744" t="str">
        <f>IF(G2935="","",IF(BF2935="Abu Dhabi",IF(G2935&lt;18,'General Basis'!$C$39,IF(G2935&lt;41,'General Basis'!$C$40,IF(G2935&lt;60,'General Basis'!$C$41,IF(G2935&lt;65,'General Basis'!$C$42,'General Basis'!$C$43)))),IF(G2935&lt;11,'General Basis'!$B$39,IF(G2935&lt;18,'General Basis'!$B$40,IF(G2935&lt;26,'General Basis'!$B$41,IF(G2935&lt;31,'General Basis'!$B$42,IF(G2935&lt;36,'General Basis'!$B$43,IF(G2935&lt;41,'General Basis'!$B$44,IF(G2935&lt;46,'General Basis'!$B$45,IF(G2935&lt;51,'General Basis'!$B$46,IF(G2935&lt;56,'General Basis'!$B$47,IF(G2935&lt;60,'General Basis'!$B$48,IF(G2935&lt;65,'General Basis'!$B$49,'General Basis'!$B$50)))))))))))))</f>
        <v/>
      </c>
      <c r="BI2935" s="744" t="str">
        <f t="shared" si="1017"/>
        <v/>
      </c>
      <c r="BJ2935" s="747" t="str">
        <f t="shared" si="1024"/>
        <v/>
      </c>
      <c r="BK2935" s="498" t="str">
        <f t="shared" si="1018"/>
        <v/>
      </c>
      <c r="BL2935" s="498" t="str">
        <f t="shared" si="1019"/>
        <v/>
      </c>
    </row>
    <row r="2936" spans="1:64" x14ac:dyDescent="0.25">
      <c r="A2936" s="762">
        <f t="shared" si="1020"/>
        <v>2931</v>
      </c>
      <c r="B2936" s="229"/>
      <c r="C2936" s="223"/>
      <c r="D2936" s="224"/>
      <c r="E2936" s="225"/>
      <c r="F2936" s="1036" t="str">
        <f t="shared" si="1026"/>
        <v/>
      </c>
      <c r="G2936" s="1037" t="str">
        <f t="shared" si="1021"/>
        <v/>
      </c>
      <c r="H2936" s="225"/>
      <c r="I2936" s="1013"/>
      <c r="J2936" s="1013"/>
      <c r="K2936" s="1028"/>
      <c r="L2936" s="1035" t="str">
        <f t="shared" si="1025"/>
        <v/>
      </c>
      <c r="S2936" s="498"/>
      <c r="AJ2936" s="498"/>
      <c r="AM2936" s="498">
        <f t="shared" si="1006"/>
        <v>0</v>
      </c>
      <c r="AN2936" s="498">
        <f t="shared" si="1007"/>
        <v>0</v>
      </c>
      <c r="AO2936" s="498">
        <f t="shared" si="1008"/>
        <v>0</v>
      </c>
      <c r="AP2936" s="498">
        <f t="shared" si="1027"/>
        <v>0</v>
      </c>
      <c r="AQ2936" s="498">
        <f t="shared" si="1022"/>
        <v>0</v>
      </c>
      <c r="AU2936" s="498">
        <f t="shared" si="1009"/>
        <v>0</v>
      </c>
      <c r="AV2936" s="498">
        <f t="shared" si="1010"/>
        <v>0</v>
      </c>
      <c r="AW2936" s="498">
        <f t="shared" si="1011"/>
        <v>0</v>
      </c>
      <c r="AX2936" s="498">
        <f t="shared" si="1012"/>
        <v>0</v>
      </c>
      <c r="AY2936" s="498">
        <f t="shared" si="1013"/>
        <v>0</v>
      </c>
      <c r="BB2936" s="498" t="str">
        <f t="shared" si="1014"/>
        <v/>
      </c>
      <c r="BC2936" s="743" t="str">
        <f t="shared" si="1015"/>
        <v/>
      </c>
      <c r="BD2936" s="743" t="str">
        <f t="shared" si="1016"/>
        <v/>
      </c>
      <c r="BE2936" s="743" t="str">
        <f>IF(D2936="","",VLOOKUP(D2936,'General Basis'!$J$39:$K$46,2,0))</f>
        <v/>
      </c>
      <c r="BF2936" s="744" t="str">
        <f>IF(D2936="","",VLOOKUP(D2936,'General Basis'!$J$39:$L$46,3,0))</f>
        <v/>
      </c>
      <c r="BG2936" s="744" t="str">
        <f t="shared" si="1023"/>
        <v/>
      </c>
      <c r="BH2936" s="744" t="str">
        <f>IF(G2936="","",IF(BF2936="Abu Dhabi",IF(G2936&lt;18,'General Basis'!$C$39,IF(G2936&lt;41,'General Basis'!$C$40,IF(G2936&lt;60,'General Basis'!$C$41,IF(G2936&lt;65,'General Basis'!$C$42,'General Basis'!$C$43)))),IF(G2936&lt;11,'General Basis'!$B$39,IF(G2936&lt;18,'General Basis'!$B$40,IF(G2936&lt;26,'General Basis'!$B$41,IF(G2936&lt;31,'General Basis'!$B$42,IF(G2936&lt;36,'General Basis'!$B$43,IF(G2936&lt;41,'General Basis'!$B$44,IF(G2936&lt;46,'General Basis'!$B$45,IF(G2936&lt;51,'General Basis'!$B$46,IF(G2936&lt;56,'General Basis'!$B$47,IF(G2936&lt;60,'General Basis'!$B$48,IF(G2936&lt;65,'General Basis'!$B$49,'General Basis'!$B$50)))))))))))))</f>
        <v/>
      </c>
      <c r="BI2936" s="744" t="str">
        <f t="shared" si="1017"/>
        <v/>
      </c>
      <c r="BJ2936" s="747" t="str">
        <f t="shared" si="1024"/>
        <v/>
      </c>
      <c r="BK2936" s="498" t="str">
        <f t="shared" si="1018"/>
        <v/>
      </c>
      <c r="BL2936" s="498" t="str">
        <f t="shared" si="1019"/>
        <v/>
      </c>
    </row>
    <row r="2937" spans="1:64" x14ac:dyDescent="0.25">
      <c r="A2937" s="762">
        <f t="shared" si="1020"/>
        <v>2932</v>
      </c>
      <c r="B2937" s="229"/>
      <c r="C2937" s="223"/>
      <c r="D2937" s="224"/>
      <c r="E2937" s="225"/>
      <c r="F2937" s="1036" t="str">
        <f t="shared" si="1026"/>
        <v/>
      </c>
      <c r="G2937" s="1037" t="str">
        <f t="shared" si="1021"/>
        <v/>
      </c>
      <c r="H2937" s="225"/>
      <c r="I2937" s="1013"/>
      <c r="J2937" s="1013"/>
      <c r="K2937" s="1028"/>
      <c r="L2937" s="1035" t="str">
        <f t="shared" si="1025"/>
        <v/>
      </c>
      <c r="S2937" s="498"/>
      <c r="AJ2937" s="498"/>
      <c r="AM2937" s="498">
        <f t="shared" si="1006"/>
        <v>0</v>
      </c>
      <c r="AN2937" s="498">
        <f t="shared" si="1007"/>
        <v>0</v>
      </c>
      <c r="AO2937" s="498">
        <f t="shared" si="1008"/>
        <v>0</v>
      </c>
      <c r="AP2937" s="498">
        <f t="shared" si="1027"/>
        <v>0</v>
      </c>
      <c r="AQ2937" s="498">
        <f t="shared" si="1022"/>
        <v>0</v>
      </c>
      <c r="AU2937" s="498">
        <f t="shared" si="1009"/>
        <v>0</v>
      </c>
      <c r="AV2937" s="498">
        <f t="shared" si="1010"/>
        <v>0</v>
      </c>
      <c r="AW2937" s="498">
        <f t="shared" si="1011"/>
        <v>0</v>
      </c>
      <c r="AX2937" s="498">
        <f t="shared" si="1012"/>
        <v>0</v>
      </c>
      <c r="AY2937" s="498">
        <f t="shared" si="1013"/>
        <v>0</v>
      </c>
      <c r="BB2937" s="498" t="str">
        <f t="shared" si="1014"/>
        <v/>
      </c>
      <c r="BC2937" s="743" t="str">
        <f t="shared" si="1015"/>
        <v/>
      </c>
      <c r="BD2937" s="743" t="str">
        <f t="shared" si="1016"/>
        <v/>
      </c>
      <c r="BE2937" s="743" t="str">
        <f>IF(D2937="","",VLOOKUP(D2937,'General Basis'!$J$39:$K$46,2,0))</f>
        <v/>
      </c>
      <c r="BF2937" s="744" t="str">
        <f>IF(D2937="","",VLOOKUP(D2937,'General Basis'!$J$39:$L$46,3,0))</f>
        <v/>
      </c>
      <c r="BG2937" s="744" t="str">
        <f t="shared" si="1023"/>
        <v/>
      </c>
      <c r="BH2937" s="744" t="str">
        <f>IF(G2937="","",IF(BF2937="Abu Dhabi",IF(G2937&lt;18,'General Basis'!$C$39,IF(G2937&lt;41,'General Basis'!$C$40,IF(G2937&lt;60,'General Basis'!$C$41,IF(G2937&lt;65,'General Basis'!$C$42,'General Basis'!$C$43)))),IF(G2937&lt;11,'General Basis'!$B$39,IF(G2937&lt;18,'General Basis'!$B$40,IF(G2937&lt;26,'General Basis'!$B$41,IF(G2937&lt;31,'General Basis'!$B$42,IF(G2937&lt;36,'General Basis'!$B$43,IF(G2937&lt;41,'General Basis'!$B$44,IF(G2937&lt;46,'General Basis'!$B$45,IF(G2937&lt;51,'General Basis'!$B$46,IF(G2937&lt;56,'General Basis'!$B$47,IF(G2937&lt;60,'General Basis'!$B$48,IF(G2937&lt;65,'General Basis'!$B$49,'General Basis'!$B$50)))))))))))))</f>
        <v/>
      </c>
      <c r="BI2937" s="744" t="str">
        <f t="shared" si="1017"/>
        <v/>
      </c>
      <c r="BJ2937" s="747" t="str">
        <f t="shared" si="1024"/>
        <v/>
      </c>
      <c r="BK2937" s="498" t="str">
        <f t="shared" si="1018"/>
        <v/>
      </c>
      <c r="BL2937" s="498" t="str">
        <f t="shared" si="1019"/>
        <v/>
      </c>
    </row>
    <row r="2938" spans="1:64" x14ac:dyDescent="0.25">
      <c r="A2938" s="762">
        <f t="shared" si="1020"/>
        <v>2933</v>
      </c>
      <c r="B2938" s="229"/>
      <c r="C2938" s="223"/>
      <c r="D2938" s="224"/>
      <c r="E2938" s="225"/>
      <c r="F2938" s="1036" t="str">
        <f t="shared" si="1026"/>
        <v/>
      </c>
      <c r="G2938" s="1037" t="str">
        <f t="shared" si="1021"/>
        <v/>
      </c>
      <c r="H2938" s="225"/>
      <c r="I2938" s="1013"/>
      <c r="J2938" s="1013"/>
      <c r="K2938" s="1028"/>
      <c r="L2938" s="1035" t="str">
        <f t="shared" si="1025"/>
        <v/>
      </c>
      <c r="S2938" s="498"/>
      <c r="AJ2938" s="498"/>
      <c r="AM2938" s="498">
        <f t="shared" si="1006"/>
        <v>0</v>
      </c>
      <c r="AN2938" s="498">
        <f t="shared" si="1007"/>
        <v>0</v>
      </c>
      <c r="AO2938" s="498">
        <f t="shared" si="1008"/>
        <v>0</v>
      </c>
      <c r="AP2938" s="498">
        <f t="shared" si="1027"/>
        <v>0</v>
      </c>
      <c r="AQ2938" s="498">
        <f t="shared" si="1022"/>
        <v>0</v>
      </c>
      <c r="AU2938" s="498">
        <f t="shared" si="1009"/>
        <v>0</v>
      </c>
      <c r="AV2938" s="498">
        <f t="shared" si="1010"/>
        <v>0</v>
      </c>
      <c r="AW2938" s="498">
        <f t="shared" si="1011"/>
        <v>0</v>
      </c>
      <c r="AX2938" s="498">
        <f t="shared" si="1012"/>
        <v>0</v>
      </c>
      <c r="AY2938" s="498">
        <f t="shared" si="1013"/>
        <v>0</v>
      </c>
      <c r="BB2938" s="498" t="str">
        <f t="shared" si="1014"/>
        <v/>
      </c>
      <c r="BC2938" s="743" t="str">
        <f t="shared" si="1015"/>
        <v/>
      </c>
      <c r="BD2938" s="743" t="str">
        <f t="shared" si="1016"/>
        <v/>
      </c>
      <c r="BE2938" s="743" t="str">
        <f>IF(D2938="","",VLOOKUP(D2938,'General Basis'!$J$39:$K$46,2,0))</f>
        <v/>
      </c>
      <c r="BF2938" s="744" t="str">
        <f>IF(D2938="","",VLOOKUP(D2938,'General Basis'!$J$39:$L$46,3,0))</f>
        <v/>
      </c>
      <c r="BG2938" s="744" t="str">
        <f t="shared" si="1023"/>
        <v/>
      </c>
      <c r="BH2938" s="744" t="str">
        <f>IF(G2938="","",IF(BF2938="Abu Dhabi",IF(G2938&lt;18,'General Basis'!$C$39,IF(G2938&lt;41,'General Basis'!$C$40,IF(G2938&lt;60,'General Basis'!$C$41,IF(G2938&lt;65,'General Basis'!$C$42,'General Basis'!$C$43)))),IF(G2938&lt;11,'General Basis'!$B$39,IF(G2938&lt;18,'General Basis'!$B$40,IF(G2938&lt;26,'General Basis'!$B$41,IF(G2938&lt;31,'General Basis'!$B$42,IF(G2938&lt;36,'General Basis'!$B$43,IF(G2938&lt;41,'General Basis'!$B$44,IF(G2938&lt;46,'General Basis'!$B$45,IF(G2938&lt;51,'General Basis'!$B$46,IF(G2938&lt;56,'General Basis'!$B$47,IF(G2938&lt;60,'General Basis'!$B$48,IF(G2938&lt;65,'General Basis'!$B$49,'General Basis'!$B$50)))))))))))))</f>
        <v/>
      </c>
      <c r="BI2938" s="744" t="str">
        <f t="shared" si="1017"/>
        <v/>
      </c>
      <c r="BJ2938" s="747" t="str">
        <f t="shared" si="1024"/>
        <v/>
      </c>
      <c r="BK2938" s="498" t="str">
        <f t="shared" si="1018"/>
        <v/>
      </c>
      <c r="BL2938" s="498" t="str">
        <f t="shared" si="1019"/>
        <v/>
      </c>
    </row>
    <row r="2939" spans="1:64" x14ac:dyDescent="0.25">
      <c r="A2939" s="762">
        <f t="shared" si="1020"/>
        <v>2934</v>
      </c>
      <c r="B2939" s="229"/>
      <c r="C2939" s="223"/>
      <c r="D2939" s="224"/>
      <c r="E2939" s="225"/>
      <c r="F2939" s="1036" t="str">
        <f t="shared" si="1026"/>
        <v/>
      </c>
      <c r="G2939" s="1037" t="str">
        <f t="shared" si="1021"/>
        <v/>
      </c>
      <c r="H2939" s="225"/>
      <c r="I2939" s="1013"/>
      <c r="J2939" s="1013"/>
      <c r="K2939" s="1028"/>
      <c r="L2939" s="1035" t="str">
        <f t="shared" si="1025"/>
        <v/>
      </c>
      <c r="S2939" s="498"/>
      <c r="AJ2939" s="498"/>
      <c r="AM2939" s="498">
        <f t="shared" si="1006"/>
        <v>0</v>
      </c>
      <c r="AN2939" s="498">
        <f t="shared" si="1007"/>
        <v>0</v>
      </c>
      <c r="AO2939" s="498">
        <f t="shared" si="1008"/>
        <v>0</v>
      </c>
      <c r="AP2939" s="498">
        <f t="shared" si="1027"/>
        <v>0</v>
      </c>
      <c r="AQ2939" s="498">
        <f t="shared" si="1022"/>
        <v>0</v>
      </c>
      <c r="AU2939" s="498">
        <f t="shared" si="1009"/>
        <v>0</v>
      </c>
      <c r="AV2939" s="498">
        <f t="shared" si="1010"/>
        <v>0</v>
      </c>
      <c r="AW2939" s="498">
        <f t="shared" si="1011"/>
        <v>0</v>
      </c>
      <c r="AX2939" s="498">
        <f t="shared" si="1012"/>
        <v>0</v>
      </c>
      <c r="AY2939" s="498">
        <f t="shared" si="1013"/>
        <v>0</v>
      </c>
      <c r="BB2939" s="498" t="str">
        <f t="shared" si="1014"/>
        <v/>
      </c>
      <c r="BC2939" s="743" t="str">
        <f t="shared" si="1015"/>
        <v/>
      </c>
      <c r="BD2939" s="743" t="str">
        <f t="shared" si="1016"/>
        <v/>
      </c>
      <c r="BE2939" s="743" t="str">
        <f>IF(D2939="","",VLOOKUP(D2939,'General Basis'!$J$39:$K$46,2,0))</f>
        <v/>
      </c>
      <c r="BF2939" s="744" t="str">
        <f>IF(D2939="","",VLOOKUP(D2939,'General Basis'!$J$39:$L$46,3,0))</f>
        <v/>
      </c>
      <c r="BG2939" s="744" t="str">
        <f t="shared" si="1023"/>
        <v/>
      </c>
      <c r="BH2939" s="744" t="str">
        <f>IF(G2939="","",IF(BF2939="Abu Dhabi",IF(G2939&lt;18,'General Basis'!$C$39,IF(G2939&lt;41,'General Basis'!$C$40,IF(G2939&lt;60,'General Basis'!$C$41,IF(G2939&lt;65,'General Basis'!$C$42,'General Basis'!$C$43)))),IF(G2939&lt;11,'General Basis'!$B$39,IF(G2939&lt;18,'General Basis'!$B$40,IF(G2939&lt;26,'General Basis'!$B$41,IF(G2939&lt;31,'General Basis'!$B$42,IF(G2939&lt;36,'General Basis'!$B$43,IF(G2939&lt;41,'General Basis'!$B$44,IF(G2939&lt;46,'General Basis'!$B$45,IF(G2939&lt;51,'General Basis'!$B$46,IF(G2939&lt;56,'General Basis'!$B$47,IF(G2939&lt;60,'General Basis'!$B$48,IF(G2939&lt;65,'General Basis'!$B$49,'General Basis'!$B$50)))))))))))))</f>
        <v/>
      </c>
      <c r="BI2939" s="744" t="str">
        <f t="shared" si="1017"/>
        <v/>
      </c>
      <c r="BJ2939" s="747" t="str">
        <f t="shared" si="1024"/>
        <v/>
      </c>
      <c r="BK2939" s="498" t="str">
        <f t="shared" si="1018"/>
        <v/>
      </c>
      <c r="BL2939" s="498" t="str">
        <f t="shared" si="1019"/>
        <v/>
      </c>
    </row>
    <row r="2940" spans="1:64" x14ac:dyDescent="0.25">
      <c r="A2940" s="762">
        <f t="shared" si="1020"/>
        <v>2935</v>
      </c>
      <c r="B2940" s="229"/>
      <c r="C2940" s="223"/>
      <c r="D2940" s="224"/>
      <c r="E2940" s="225"/>
      <c r="F2940" s="1036" t="str">
        <f t="shared" si="1026"/>
        <v/>
      </c>
      <c r="G2940" s="1037" t="str">
        <f t="shared" si="1021"/>
        <v/>
      </c>
      <c r="H2940" s="225"/>
      <c r="I2940" s="1013"/>
      <c r="J2940" s="1013"/>
      <c r="K2940" s="1028"/>
      <c r="L2940" s="1035" t="str">
        <f t="shared" si="1025"/>
        <v/>
      </c>
      <c r="S2940" s="498"/>
      <c r="AJ2940" s="498"/>
      <c r="AM2940" s="498">
        <f t="shared" si="1006"/>
        <v>0</v>
      </c>
      <c r="AN2940" s="498">
        <f t="shared" si="1007"/>
        <v>0</v>
      </c>
      <c r="AO2940" s="498">
        <f t="shared" si="1008"/>
        <v>0</v>
      </c>
      <c r="AP2940" s="498">
        <f t="shared" si="1027"/>
        <v>0</v>
      </c>
      <c r="AQ2940" s="498">
        <f t="shared" si="1022"/>
        <v>0</v>
      </c>
      <c r="AU2940" s="498">
        <f t="shared" si="1009"/>
        <v>0</v>
      </c>
      <c r="AV2940" s="498">
        <f t="shared" si="1010"/>
        <v>0</v>
      </c>
      <c r="AW2940" s="498">
        <f t="shared" si="1011"/>
        <v>0</v>
      </c>
      <c r="AX2940" s="498">
        <f t="shared" si="1012"/>
        <v>0</v>
      </c>
      <c r="AY2940" s="498">
        <f t="shared" si="1013"/>
        <v>0</v>
      </c>
      <c r="BB2940" s="498" t="str">
        <f t="shared" si="1014"/>
        <v/>
      </c>
      <c r="BC2940" s="743" t="str">
        <f t="shared" si="1015"/>
        <v/>
      </c>
      <c r="BD2940" s="743" t="str">
        <f t="shared" si="1016"/>
        <v/>
      </c>
      <c r="BE2940" s="743" t="str">
        <f>IF(D2940="","",VLOOKUP(D2940,'General Basis'!$J$39:$K$46,2,0))</f>
        <v/>
      </c>
      <c r="BF2940" s="744" t="str">
        <f>IF(D2940="","",VLOOKUP(D2940,'General Basis'!$J$39:$L$46,3,0))</f>
        <v/>
      </c>
      <c r="BG2940" s="744" t="str">
        <f t="shared" si="1023"/>
        <v/>
      </c>
      <c r="BH2940" s="744" t="str">
        <f>IF(G2940="","",IF(BF2940="Abu Dhabi",IF(G2940&lt;18,'General Basis'!$C$39,IF(G2940&lt;41,'General Basis'!$C$40,IF(G2940&lt;60,'General Basis'!$C$41,IF(G2940&lt;65,'General Basis'!$C$42,'General Basis'!$C$43)))),IF(G2940&lt;11,'General Basis'!$B$39,IF(G2940&lt;18,'General Basis'!$B$40,IF(G2940&lt;26,'General Basis'!$B$41,IF(G2940&lt;31,'General Basis'!$B$42,IF(G2940&lt;36,'General Basis'!$B$43,IF(G2940&lt;41,'General Basis'!$B$44,IF(G2940&lt;46,'General Basis'!$B$45,IF(G2940&lt;51,'General Basis'!$B$46,IF(G2940&lt;56,'General Basis'!$B$47,IF(G2940&lt;60,'General Basis'!$B$48,IF(G2940&lt;65,'General Basis'!$B$49,'General Basis'!$B$50)))))))))))))</f>
        <v/>
      </c>
      <c r="BI2940" s="744" t="str">
        <f t="shared" si="1017"/>
        <v/>
      </c>
      <c r="BJ2940" s="747" t="str">
        <f t="shared" si="1024"/>
        <v/>
      </c>
      <c r="BK2940" s="498" t="str">
        <f t="shared" si="1018"/>
        <v/>
      </c>
      <c r="BL2940" s="498" t="str">
        <f t="shared" si="1019"/>
        <v/>
      </c>
    </row>
    <row r="2941" spans="1:64" x14ac:dyDescent="0.25">
      <c r="A2941" s="762">
        <f t="shared" si="1020"/>
        <v>2936</v>
      </c>
      <c r="B2941" s="229"/>
      <c r="C2941" s="223"/>
      <c r="D2941" s="224"/>
      <c r="E2941" s="225"/>
      <c r="F2941" s="1036" t="str">
        <f t="shared" si="1026"/>
        <v/>
      </c>
      <c r="G2941" s="1037" t="str">
        <f t="shared" si="1021"/>
        <v/>
      </c>
      <c r="H2941" s="225"/>
      <c r="I2941" s="1013"/>
      <c r="J2941" s="1013"/>
      <c r="K2941" s="1028"/>
      <c r="L2941" s="1035" t="str">
        <f t="shared" si="1025"/>
        <v/>
      </c>
      <c r="S2941" s="498"/>
      <c r="AJ2941" s="498"/>
      <c r="AM2941" s="498">
        <f t="shared" si="1006"/>
        <v>0</v>
      </c>
      <c r="AN2941" s="498">
        <f t="shared" si="1007"/>
        <v>0</v>
      </c>
      <c r="AO2941" s="498">
        <f t="shared" si="1008"/>
        <v>0</v>
      </c>
      <c r="AP2941" s="498">
        <f t="shared" si="1027"/>
        <v>0</v>
      </c>
      <c r="AQ2941" s="498">
        <f t="shared" si="1022"/>
        <v>0</v>
      </c>
      <c r="AU2941" s="498">
        <f t="shared" si="1009"/>
        <v>0</v>
      </c>
      <c r="AV2941" s="498">
        <f t="shared" si="1010"/>
        <v>0</v>
      </c>
      <c r="AW2941" s="498">
        <f t="shared" si="1011"/>
        <v>0</v>
      </c>
      <c r="AX2941" s="498">
        <f t="shared" si="1012"/>
        <v>0</v>
      </c>
      <c r="AY2941" s="498">
        <f t="shared" si="1013"/>
        <v>0</v>
      </c>
      <c r="BB2941" s="498" t="str">
        <f t="shared" si="1014"/>
        <v/>
      </c>
      <c r="BC2941" s="743" t="str">
        <f t="shared" si="1015"/>
        <v/>
      </c>
      <c r="BD2941" s="743" t="str">
        <f t="shared" si="1016"/>
        <v/>
      </c>
      <c r="BE2941" s="743" t="str">
        <f>IF(D2941="","",VLOOKUP(D2941,'General Basis'!$J$39:$K$46,2,0))</f>
        <v/>
      </c>
      <c r="BF2941" s="744" t="str">
        <f>IF(D2941="","",VLOOKUP(D2941,'General Basis'!$J$39:$L$46,3,0))</f>
        <v/>
      </c>
      <c r="BG2941" s="744" t="str">
        <f t="shared" si="1023"/>
        <v/>
      </c>
      <c r="BH2941" s="744" t="str">
        <f>IF(G2941="","",IF(BF2941="Abu Dhabi",IF(G2941&lt;18,'General Basis'!$C$39,IF(G2941&lt;41,'General Basis'!$C$40,IF(G2941&lt;60,'General Basis'!$C$41,IF(G2941&lt;65,'General Basis'!$C$42,'General Basis'!$C$43)))),IF(G2941&lt;11,'General Basis'!$B$39,IF(G2941&lt;18,'General Basis'!$B$40,IF(G2941&lt;26,'General Basis'!$B$41,IF(G2941&lt;31,'General Basis'!$B$42,IF(G2941&lt;36,'General Basis'!$B$43,IF(G2941&lt;41,'General Basis'!$B$44,IF(G2941&lt;46,'General Basis'!$B$45,IF(G2941&lt;51,'General Basis'!$B$46,IF(G2941&lt;56,'General Basis'!$B$47,IF(G2941&lt;60,'General Basis'!$B$48,IF(G2941&lt;65,'General Basis'!$B$49,'General Basis'!$B$50)))))))))))))</f>
        <v/>
      </c>
      <c r="BI2941" s="744" t="str">
        <f t="shared" si="1017"/>
        <v/>
      </c>
      <c r="BJ2941" s="747" t="str">
        <f t="shared" si="1024"/>
        <v/>
      </c>
      <c r="BK2941" s="498" t="str">
        <f t="shared" si="1018"/>
        <v/>
      </c>
      <c r="BL2941" s="498" t="str">
        <f t="shared" si="1019"/>
        <v/>
      </c>
    </row>
    <row r="2942" spans="1:64" x14ac:dyDescent="0.25">
      <c r="A2942" s="762">
        <f t="shared" si="1020"/>
        <v>2937</v>
      </c>
      <c r="B2942" s="229"/>
      <c r="C2942" s="223"/>
      <c r="D2942" s="224"/>
      <c r="E2942" s="225"/>
      <c r="F2942" s="1036" t="str">
        <f t="shared" si="1026"/>
        <v/>
      </c>
      <c r="G2942" s="1037" t="str">
        <f t="shared" si="1021"/>
        <v/>
      </c>
      <c r="H2942" s="225"/>
      <c r="I2942" s="1013"/>
      <c r="J2942" s="1013"/>
      <c r="K2942" s="1028"/>
      <c r="L2942" s="1035" t="str">
        <f t="shared" si="1025"/>
        <v/>
      </c>
      <c r="S2942" s="498"/>
      <c r="AJ2942" s="498"/>
      <c r="AM2942" s="498">
        <f t="shared" si="1006"/>
        <v>0</v>
      </c>
      <c r="AN2942" s="498">
        <f t="shared" si="1007"/>
        <v>0</v>
      </c>
      <c r="AO2942" s="498">
        <f t="shared" si="1008"/>
        <v>0</v>
      </c>
      <c r="AP2942" s="498">
        <f t="shared" si="1027"/>
        <v>0</v>
      </c>
      <c r="AQ2942" s="498">
        <f t="shared" si="1022"/>
        <v>0</v>
      </c>
      <c r="AU2942" s="498">
        <f t="shared" si="1009"/>
        <v>0</v>
      </c>
      <c r="AV2942" s="498">
        <f t="shared" si="1010"/>
        <v>0</v>
      </c>
      <c r="AW2942" s="498">
        <f t="shared" si="1011"/>
        <v>0</v>
      </c>
      <c r="AX2942" s="498">
        <f t="shared" si="1012"/>
        <v>0</v>
      </c>
      <c r="AY2942" s="498">
        <f t="shared" si="1013"/>
        <v>0</v>
      </c>
      <c r="BB2942" s="498" t="str">
        <f t="shared" si="1014"/>
        <v/>
      </c>
      <c r="BC2942" s="743" t="str">
        <f t="shared" si="1015"/>
        <v/>
      </c>
      <c r="BD2942" s="743" t="str">
        <f t="shared" si="1016"/>
        <v/>
      </c>
      <c r="BE2942" s="743" t="str">
        <f>IF(D2942="","",VLOOKUP(D2942,'General Basis'!$J$39:$K$46,2,0))</f>
        <v/>
      </c>
      <c r="BF2942" s="744" t="str">
        <f>IF(D2942="","",VLOOKUP(D2942,'General Basis'!$J$39:$L$46,3,0))</f>
        <v/>
      </c>
      <c r="BG2942" s="744" t="str">
        <f t="shared" si="1023"/>
        <v/>
      </c>
      <c r="BH2942" s="744" t="str">
        <f>IF(G2942="","",IF(BF2942="Abu Dhabi",IF(G2942&lt;18,'General Basis'!$C$39,IF(G2942&lt;41,'General Basis'!$C$40,IF(G2942&lt;60,'General Basis'!$C$41,IF(G2942&lt;65,'General Basis'!$C$42,'General Basis'!$C$43)))),IF(G2942&lt;11,'General Basis'!$B$39,IF(G2942&lt;18,'General Basis'!$B$40,IF(G2942&lt;26,'General Basis'!$B$41,IF(G2942&lt;31,'General Basis'!$B$42,IF(G2942&lt;36,'General Basis'!$B$43,IF(G2942&lt;41,'General Basis'!$B$44,IF(G2942&lt;46,'General Basis'!$B$45,IF(G2942&lt;51,'General Basis'!$B$46,IF(G2942&lt;56,'General Basis'!$B$47,IF(G2942&lt;60,'General Basis'!$B$48,IF(G2942&lt;65,'General Basis'!$B$49,'General Basis'!$B$50)))))))))))))</f>
        <v/>
      </c>
      <c r="BI2942" s="744" t="str">
        <f t="shared" si="1017"/>
        <v/>
      </c>
      <c r="BJ2942" s="747" t="str">
        <f t="shared" si="1024"/>
        <v/>
      </c>
      <c r="BK2942" s="498" t="str">
        <f t="shared" si="1018"/>
        <v/>
      </c>
      <c r="BL2942" s="498" t="str">
        <f t="shared" si="1019"/>
        <v/>
      </c>
    </row>
    <row r="2943" spans="1:64" x14ac:dyDescent="0.25">
      <c r="A2943" s="762">
        <f t="shared" si="1020"/>
        <v>2938</v>
      </c>
      <c r="B2943" s="229"/>
      <c r="C2943" s="223"/>
      <c r="D2943" s="224"/>
      <c r="E2943" s="225"/>
      <c r="F2943" s="1036" t="str">
        <f t="shared" si="1026"/>
        <v/>
      </c>
      <c r="G2943" s="1037" t="str">
        <f t="shared" si="1021"/>
        <v/>
      </c>
      <c r="H2943" s="225"/>
      <c r="I2943" s="1013"/>
      <c r="J2943" s="1013"/>
      <c r="K2943" s="1028"/>
      <c r="L2943" s="1035" t="str">
        <f t="shared" si="1025"/>
        <v/>
      </c>
      <c r="S2943" s="498"/>
      <c r="AJ2943" s="498"/>
      <c r="AM2943" s="498">
        <f t="shared" si="1006"/>
        <v>0</v>
      </c>
      <c r="AN2943" s="498">
        <f t="shared" si="1007"/>
        <v>0</v>
      </c>
      <c r="AO2943" s="498">
        <f t="shared" si="1008"/>
        <v>0</v>
      </c>
      <c r="AP2943" s="498">
        <f t="shared" si="1027"/>
        <v>0</v>
      </c>
      <c r="AQ2943" s="498">
        <f t="shared" si="1022"/>
        <v>0</v>
      </c>
      <c r="AU2943" s="498">
        <f t="shared" si="1009"/>
        <v>0</v>
      </c>
      <c r="AV2943" s="498">
        <f t="shared" si="1010"/>
        <v>0</v>
      </c>
      <c r="AW2943" s="498">
        <f t="shared" si="1011"/>
        <v>0</v>
      </c>
      <c r="AX2943" s="498">
        <f t="shared" si="1012"/>
        <v>0</v>
      </c>
      <c r="AY2943" s="498">
        <f t="shared" si="1013"/>
        <v>0</v>
      </c>
      <c r="BB2943" s="498" t="str">
        <f t="shared" si="1014"/>
        <v/>
      </c>
      <c r="BC2943" s="743" t="str">
        <f t="shared" si="1015"/>
        <v/>
      </c>
      <c r="BD2943" s="743" t="str">
        <f t="shared" si="1016"/>
        <v/>
      </c>
      <c r="BE2943" s="743" t="str">
        <f>IF(D2943="","",VLOOKUP(D2943,'General Basis'!$J$39:$K$46,2,0))</f>
        <v/>
      </c>
      <c r="BF2943" s="744" t="str">
        <f>IF(D2943="","",VLOOKUP(D2943,'General Basis'!$J$39:$L$46,3,0))</f>
        <v/>
      </c>
      <c r="BG2943" s="744" t="str">
        <f t="shared" si="1023"/>
        <v/>
      </c>
      <c r="BH2943" s="744" t="str">
        <f>IF(G2943="","",IF(BF2943="Abu Dhabi",IF(G2943&lt;18,'General Basis'!$C$39,IF(G2943&lt;41,'General Basis'!$C$40,IF(G2943&lt;60,'General Basis'!$C$41,IF(G2943&lt;65,'General Basis'!$C$42,'General Basis'!$C$43)))),IF(G2943&lt;11,'General Basis'!$B$39,IF(G2943&lt;18,'General Basis'!$B$40,IF(G2943&lt;26,'General Basis'!$B$41,IF(G2943&lt;31,'General Basis'!$B$42,IF(G2943&lt;36,'General Basis'!$B$43,IF(G2943&lt;41,'General Basis'!$B$44,IF(G2943&lt;46,'General Basis'!$B$45,IF(G2943&lt;51,'General Basis'!$B$46,IF(G2943&lt;56,'General Basis'!$B$47,IF(G2943&lt;60,'General Basis'!$B$48,IF(G2943&lt;65,'General Basis'!$B$49,'General Basis'!$B$50)))))))))))))</f>
        <v/>
      </c>
      <c r="BI2943" s="744" t="str">
        <f t="shared" si="1017"/>
        <v/>
      </c>
      <c r="BJ2943" s="747" t="str">
        <f t="shared" si="1024"/>
        <v/>
      </c>
      <c r="BK2943" s="498" t="str">
        <f t="shared" si="1018"/>
        <v/>
      </c>
      <c r="BL2943" s="498" t="str">
        <f t="shared" si="1019"/>
        <v/>
      </c>
    </row>
    <row r="2944" spans="1:64" x14ac:dyDescent="0.25">
      <c r="A2944" s="762">
        <f t="shared" si="1020"/>
        <v>2939</v>
      </c>
      <c r="B2944" s="229"/>
      <c r="C2944" s="223"/>
      <c r="D2944" s="224"/>
      <c r="E2944" s="225"/>
      <c r="F2944" s="1036" t="str">
        <f t="shared" si="1026"/>
        <v/>
      </c>
      <c r="G2944" s="1037" t="str">
        <f t="shared" si="1021"/>
        <v/>
      </c>
      <c r="H2944" s="225"/>
      <c r="I2944" s="1013"/>
      <c r="J2944" s="1013"/>
      <c r="K2944" s="1028"/>
      <c r="L2944" s="1035" t="str">
        <f t="shared" si="1025"/>
        <v/>
      </c>
      <c r="S2944" s="498"/>
      <c r="AJ2944" s="498"/>
      <c r="AM2944" s="498">
        <f t="shared" si="1006"/>
        <v>0</v>
      </c>
      <c r="AN2944" s="498">
        <f t="shared" si="1007"/>
        <v>0</v>
      </c>
      <c r="AO2944" s="498">
        <f t="shared" si="1008"/>
        <v>0</v>
      </c>
      <c r="AP2944" s="498">
        <f t="shared" si="1027"/>
        <v>0</v>
      </c>
      <c r="AQ2944" s="498">
        <f t="shared" si="1022"/>
        <v>0</v>
      </c>
      <c r="AU2944" s="498">
        <f t="shared" si="1009"/>
        <v>0</v>
      </c>
      <c r="AV2944" s="498">
        <f t="shared" si="1010"/>
        <v>0</v>
      </c>
      <c r="AW2944" s="498">
        <f t="shared" si="1011"/>
        <v>0</v>
      </c>
      <c r="AX2944" s="498">
        <f t="shared" si="1012"/>
        <v>0</v>
      </c>
      <c r="AY2944" s="498">
        <f t="shared" si="1013"/>
        <v>0</v>
      </c>
      <c r="BB2944" s="498" t="str">
        <f t="shared" si="1014"/>
        <v/>
      </c>
      <c r="BC2944" s="743" t="str">
        <f t="shared" si="1015"/>
        <v/>
      </c>
      <c r="BD2944" s="743" t="str">
        <f t="shared" si="1016"/>
        <v/>
      </c>
      <c r="BE2944" s="743" t="str">
        <f>IF(D2944="","",VLOOKUP(D2944,'General Basis'!$J$39:$K$46,2,0))</f>
        <v/>
      </c>
      <c r="BF2944" s="744" t="str">
        <f>IF(D2944="","",VLOOKUP(D2944,'General Basis'!$J$39:$L$46,3,0))</f>
        <v/>
      </c>
      <c r="BG2944" s="744" t="str">
        <f t="shared" si="1023"/>
        <v/>
      </c>
      <c r="BH2944" s="744" t="str">
        <f>IF(G2944="","",IF(BF2944="Abu Dhabi",IF(G2944&lt;18,'General Basis'!$C$39,IF(G2944&lt;41,'General Basis'!$C$40,IF(G2944&lt;60,'General Basis'!$C$41,IF(G2944&lt;65,'General Basis'!$C$42,'General Basis'!$C$43)))),IF(G2944&lt;11,'General Basis'!$B$39,IF(G2944&lt;18,'General Basis'!$B$40,IF(G2944&lt;26,'General Basis'!$B$41,IF(G2944&lt;31,'General Basis'!$B$42,IF(G2944&lt;36,'General Basis'!$B$43,IF(G2944&lt;41,'General Basis'!$B$44,IF(G2944&lt;46,'General Basis'!$B$45,IF(G2944&lt;51,'General Basis'!$B$46,IF(G2944&lt;56,'General Basis'!$B$47,IF(G2944&lt;60,'General Basis'!$B$48,IF(G2944&lt;65,'General Basis'!$B$49,'General Basis'!$B$50)))))))))))))</f>
        <v/>
      </c>
      <c r="BI2944" s="744" t="str">
        <f t="shared" si="1017"/>
        <v/>
      </c>
      <c r="BJ2944" s="747" t="str">
        <f t="shared" si="1024"/>
        <v/>
      </c>
      <c r="BK2944" s="498" t="str">
        <f t="shared" si="1018"/>
        <v/>
      </c>
      <c r="BL2944" s="498" t="str">
        <f t="shared" si="1019"/>
        <v/>
      </c>
    </row>
    <row r="2945" spans="1:64" x14ac:dyDescent="0.25">
      <c r="A2945" s="762">
        <f t="shared" si="1020"/>
        <v>2940</v>
      </c>
      <c r="B2945" s="229"/>
      <c r="C2945" s="223"/>
      <c r="D2945" s="224"/>
      <c r="E2945" s="225"/>
      <c r="F2945" s="1036" t="str">
        <f t="shared" si="1026"/>
        <v/>
      </c>
      <c r="G2945" s="1037" t="str">
        <f t="shared" si="1021"/>
        <v/>
      </c>
      <c r="H2945" s="225"/>
      <c r="I2945" s="1013"/>
      <c r="J2945" s="1013"/>
      <c r="K2945" s="1028"/>
      <c r="L2945" s="1035" t="str">
        <f t="shared" si="1025"/>
        <v/>
      </c>
      <c r="S2945" s="498"/>
      <c r="AJ2945" s="498"/>
      <c r="AM2945" s="498">
        <f t="shared" si="1006"/>
        <v>0</v>
      </c>
      <c r="AN2945" s="498">
        <f t="shared" si="1007"/>
        <v>0</v>
      </c>
      <c r="AO2945" s="498">
        <f t="shared" si="1008"/>
        <v>0</v>
      </c>
      <c r="AP2945" s="498">
        <f t="shared" si="1027"/>
        <v>0</v>
      </c>
      <c r="AQ2945" s="498">
        <f t="shared" si="1022"/>
        <v>0</v>
      </c>
      <c r="AU2945" s="498">
        <f t="shared" si="1009"/>
        <v>0</v>
      </c>
      <c r="AV2945" s="498">
        <f t="shared" si="1010"/>
        <v>0</v>
      </c>
      <c r="AW2945" s="498">
        <f t="shared" si="1011"/>
        <v>0</v>
      </c>
      <c r="AX2945" s="498">
        <f t="shared" si="1012"/>
        <v>0</v>
      </c>
      <c r="AY2945" s="498">
        <f t="shared" si="1013"/>
        <v>0</v>
      </c>
      <c r="BB2945" s="498" t="str">
        <f t="shared" si="1014"/>
        <v/>
      </c>
      <c r="BC2945" s="743" t="str">
        <f t="shared" si="1015"/>
        <v/>
      </c>
      <c r="BD2945" s="743" t="str">
        <f t="shared" si="1016"/>
        <v/>
      </c>
      <c r="BE2945" s="743" t="str">
        <f>IF(D2945="","",VLOOKUP(D2945,'General Basis'!$J$39:$K$46,2,0))</f>
        <v/>
      </c>
      <c r="BF2945" s="744" t="str">
        <f>IF(D2945="","",VLOOKUP(D2945,'General Basis'!$J$39:$L$46,3,0))</f>
        <v/>
      </c>
      <c r="BG2945" s="744" t="str">
        <f t="shared" si="1023"/>
        <v/>
      </c>
      <c r="BH2945" s="744" t="str">
        <f>IF(G2945="","",IF(BF2945="Abu Dhabi",IF(G2945&lt;18,'General Basis'!$C$39,IF(G2945&lt;41,'General Basis'!$C$40,IF(G2945&lt;60,'General Basis'!$C$41,IF(G2945&lt;65,'General Basis'!$C$42,'General Basis'!$C$43)))),IF(G2945&lt;11,'General Basis'!$B$39,IF(G2945&lt;18,'General Basis'!$B$40,IF(G2945&lt;26,'General Basis'!$B$41,IF(G2945&lt;31,'General Basis'!$B$42,IF(G2945&lt;36,'General Basis'!$B$43,IF(G2945&lt;41,'General Basis'!$B$44,IF(G2945&lt;46,'General Basis'!$B$45,IF(G2945&lt;51,'General Basis'!$B$46,IF(G2945&lt;56,'General Basis'!$B$47,IF(G2945&lt;60,'General Basis'!$B$48,IF(G2945&lt;65,'General Basis'!$B$49,'General Basis'!$B$50)))))))))))))</f>
        <v/>
      </c>
      <c r="BI2945" s="744" t="str">
        <f t="shared" si="1017"/>
        <v/>
      </c>
      <c r="BJ2945" s="747" t="str">
        <f t="shared" si="1024"/>
        <v/>
      </c>
      <c r="BK2945" s="498" t="str">
        <f t="shared" si="1018"/>
        <v/>
      </c>
      <c r="BL2945" s="498" t="str">
        <f t="shared" si="1019"/>
        <v/>
      </c>
    </row>
    <row r="2946" spans="1:64" x14ac:dyDescent="0.25">
      <c r="A2946" s="762">
        <f t="shared" si="1020"/>
        <v>2941</v>
      </c>
      <c r="B2946" s="229"/>
      <c r="C2946" s="223"/>
      <c r="D2946" s="224"/>
      <c r="E2946" s="225"/>
      <c r="F2946" s="1036" t="str">
        <f t="shared" si="1026"/>
        <v/>
      </c>
      <c r="G2946" s="1037" t="str">
        <f t="shared" si="1021"/>
        <v/>
      </c>
      <c r="H2946" s="225"/>
      <c r="I2946" s="1013"/>
      <c r="J2946" s="1013"/>
      <c r="K2946" s="1028"/>
      <c r="L2946" s="1035" t="str">
        <f t="shared" si="1025"/>
        <v/>
      </c>
      <c r="S2946" s="498"/>
      <c r="AJ2946" s="498"/>
      <c r="AM2946" s="498">
        <f t="shared" si="1006"/>
        <v>0</v>
      </c>
      <c r="AN2946" s="498">
        <f t="shared" si="1007"/>
        <v>0</v>
      </c>
      <c r="AO2946" s="498">
        <f t="shared" si="1008"/>
        <v>0</v>
      </c>
      <c r="AP2946" s="498">
        <f t="shared" si="1027"/>
        <v>0</v>
      </c>
      <c r="AQ2946" s="498">
        <f t="shared" si="1022"/>
        <v>0</v>
      </c>
      <c r="AU2946" s="498">
        <f t="shared" si="1009"/>
        <v>0</v>
      </c>
      <c r="AV2946" s="498">
        <f t="shared" si="1010"/>
        <v>0</v>
      </c>
      <c r="AW2946" s="498">
        <f t="shared" si="1011"/>
        <v>0</v>
      </c>
      <c r="AX2946" s="498">
        <f t="shared" si="1012"/>
        <v>0</v>
      </c>
      <c r="AY2946" s="498">
        <f t="shared" si="1013"/>
        <v>0</v>
      </c>
      <c r="BB2946" s="498" t="str">
        <f t="shared" si="1014"/>
        <v/>
      </c>
      <c r="BC2946" s="743" t="str">
        <f t="shared" si="1015"/>
        <v/>
      </c>
      <c r="BD2946" s="743" t="str">
        <f t="shared" si="1016"/>
        <v/>
      </c>
      <c r="BE2946" s="743" t="str">
        <f>IF(D2946="","",VLOOKUP(D2946,'General Basis'!$J$39:$K$46,2,0))</f>
        <v/>
      </c>
      <c r="BF2946" s="744" t="str">
        <f>IF(D2946="","",VLOOKUP(D2946,'General Basis'!$J$39:$L$46,3,0))</f>
        <v/>
      </c>
      <c r="BG2946" s="744" t="str">
        <f t="shared" si="1023"/>
        <v/>
      </c>
      <c r="BH2946" s="744" t="str">
        <f>IF(G2946="","",IF(BF2946="Abu Dhabi",IF(G2946&lt;18,'General Basis'!$C$39,IF(G2946&lt;41,'General Basis'!$C$40,IF(G2946&lt;60,'General Basis'!$C$41,IF(G2946&lt;65,'General Basis'!$C$42,'General Basis'!$C$43)))),IF(G2946&lt;11,'General Basis'!$B$39,IF(G2946&lt;18,'General Basis'!$B$40,IF(G2946&lt;26,'General Basis'!$B$41,IF(G2946&lt;31,'General Basis'!$B$42,IF(G2946&lt;36,'General Basis'!$B$43,IF(G2946&lt;41,'General Basis'!$B$44,IF(G2946&lt;46,'General Basis'!$B$45,IF(G2946&lt;51,'General Basis'!$B$46,IF(G2946&lt;56,'General Basis'!$B$47,IF(G2946&lt;60,'General Basis'!$B$48,IF(G2946&lt;65,'General Basis'!$B$49,'General Basis'!$B$50)))))))))))))</f>
        <v/>
      </c>
      <c r="BI2946" s="744" t="str">
        <f t="shared" si="1017"/>
        <v/>
      </c>
      <c r="BJ2946" s="747" t="str">
        <f t="shared" si="1024"/>
        <v/>
      </c>
      <c r="BK2946" s="498" t="str">
        <f t="shared" si="1018"/>
        <v/>
      </c>
      <c r="BL2946" s="498" t="str">
        <f t="shared" si="1019"/>
        <v/>
      </c>
    </row>
    <row r="2947" spans="1:64" x14ac:dyDescent="0.25">
      <c r="A2947" s="762">
        <f t="shared" si="1020"/>
        <v>2942</v>
      </c>
      <c r="B2947" s="229"/>
      <c r="C2947" s="223"/>
      <c r="D2947" s="224"/>
      <c r="E2947" s="225"/>
      <c r="F2947" s="1036" t="str">
        <f t="shared" si="1026"/>
        <v/>
      </c>
      <c r="G2947" s="1037" t="str">
        <f t="shared" si="1021"/>
        <v/>
      </c>
      <c r="H2947" s="225"/>
      <c r="I2947" s="1013"/>
      <c r="J2947" s="1013"/>
      <c r="K2947" s="1028"/>
      <c r="L2947" s="1035" t="str">
        <f t="shared" si="1025"/>
        <v/>
      </c>
      <c r="S2947" s="498"/>
      <c r="AJ2947" s="498"/>
      <c r="AM2947" s="498">
        <f t="shared" si="1006"/>
        <v>0</v>
      </c>
      <c r="AN2947" s="498">
        <f t="shared" si="1007"/>
        <v>0</v>
      </c>
      <c r="AO2947" s="498">
        <f t="shared" si="1008"/>
        <v>0</v>
      </c>
      <c r="AP2947" s="498">
        <f t="shared" si="1027"/>
        <v>0</v>
      </c>
      <c r="AQ2947" s="498">
        <f t="shared" si="1022"/>
        <v>0</v>
      </c>
      <c r="AU2947" s="498">
        <f t="shared" si="1009"/>
        <v>0</v>
      </c>
      <c r="AV2947" s="498">
        <f t="shared" si="1010"/>
        <v>0</v>
      </c>
      <c r="AW2947" s="498">
        <f t="shared" si="1011"/>
        <v>0</v>
      </c>
      <c r="AX2947" s="498">
        <f t="shared" si="1012"/>
        <v>0</v>
      </c>
      <c r="AY2947" s="498">
        <f t="shared" si="1013"/>
        <v>0</v>
      </c>
      <c r="BB2947" s="498" t="str">
        <f t="shared" si="1014"/>
        <v/>
      </c>
      <c r="BC2947" s="743" t="str">
        <f t="shared" si="1015"/>
        <v/>
      </c>
      <c r="BD2947" s="743" t="str">
        <f t="shared" si="1016"/>
        <v/>
      </c>
      <c r="BE2947" s="743" t="str">
        <f>IF(D2947="","",VLOOKUP(D2947,'General Basis'!$J$39:$K$46,2,0))</f>
        <v/>
      </c>
      <c r="BF2947" s="744" t="str">
        <f>IF(D2947="","",VLOOKUP(D2947,'General Basis'!$J$39:$L$46,3,0))</f>
        <v/>
      </c>
      <c r="BG2947" s="744" t="str">
        <f t="shared" si="1023"/>
        <v/>
      </c>
      <c r="BH2947" s="744" t="str">
        <f>IF(G2947="","",IF(BF2947="Abu Dhabi",IF(G2947&lt;18,'General Basis'!$C$39,IF(G2947&lt;41,'General Basis'!$C$40,IF(G2947&lt;60,'General Basis'!$C$41,IF(G2947&lt;65,'General Basis'!$C$42,'General Basis'!$C$43)))),IF(G2947&lt;11,'General Basis'!$B$39,IF(G2947&lt;18,'General Basis'!$B$40,IF(G2947&lt;26,'General Basis'!$B$41,IF(G2947&lt;31,'General Basis'!$B$42,IF(G2947&lt;36,'General Basis'!$B$43,IF(G2947&lt;41,'General Basis'!$B$44,IF(G2947&lt;46,'General Basis'!$B$45,IF(G2947&lt;51,'General Basis'!$B$46,IF(G2947&lt;56,'General Basis'!$B$47,IF(G2947&lt;60,'General Basis'!$B$48,IF(G2947&lt;65,'General Basis'!$B$49,'General Basis'!$B$50)))))))))))))</f>
        <v/>
      </c>
      <c r="BI2947" s="744" t="str">
        <f t="shared" si="1017"/>
        <v/>
      </c>
      <c r="BJ2947" s="747" t="str">
        <f t="shared" si="1024"/>
        <v/>
      </c>
      <c r="BK2947" s="498" t="str">
        <f t="shared" si="1018"/>
        <v/>
      </c>
      <c r="BL2947" s="498" t="str">
        <f t="shared" si="1019"/>
        <v/>
      </c>
    </row>
    <row r="2948" spans="1:64" x14ac:dyDescent="0.25">
      <c r="A2948" s="762">
        <f t="shared" si="1020"/>
        <v>2943</v>
      </c>
      <c r="B2948" s="229"/>
      <c r="C2948" s="223"/>
      <c r="D2948" s="224"/>
      <c r="E2948" s="225"/>
      <c r="F2948" s="1036" t="str">
        <f t="shared" si="1026"/>
        <v/>
      </c>
      <c r="G2948" s="1037" t="str">
        <f t="shared" si="1021"/>
        <v/>
      </c>
      <c r="H2948" s="225"/>
      <c r="I2948" s="1013"/>
      <c r="J2948" s="1013"/>
      <c r="K2948" s="1028"/>
      <c r="L2948" s="1035" t="str">
        <f t="shared" si="1025"/>
        <v/>
      </c>
      <c r="S2948" s="498"/>
      <c r="AJ2948" s="498"/>
      <c r="AM2948" s="498">
        <f t="shared" si="1006"/>
        <v>0</v>
      </c>
      <c r="AN2948" s="498">
        <f t="shared" si="1007"/>
        <v>0</v>
      </c>
      <c r="AO2948" s="498">
        <f t="shared" si="1008"/>
        <v>0</v>
      </c>
      <c r="AP2948" s="498">
        <f t="shared" si="1027"/>
        <v>0</v>
      </c>
      <c r="AQ2948" s="498">
        <f t="shared" si="1022"/>
        <v>0</v>
      </c>
      <c r="AU2948" s="498">
        <f t="shared" si="1009"/>
        <v>0</v>
      </c>
      <c r="AV2948" s="498">
        <f t="shared" si="1010"/>
        <v>0</v>
      </c>
      <c r="AW2948" s="498">
        <f t="shared" si="1011"/>
        <v>0</v>
      </c>
      <c r="AX2948" s="498">
        <f t="shared" si="1012"/>
        <v>0</v>
      </c>
      <c r="AY2948" s="498">
        <f t="shared" si="1013"/>
        <v>0</v>
      </c>
      <c r="BB2948" s="498" t="str">
        <f t="shared" si="1014"/>
        <v/>
      </c>
      <c r="BC2948" s="743" t="str">
        <f t="shared" si="1015"/>
        <v/>
      </c>
      <c r="BD2948" s="743" t="str">
        <f t="shared" si="1016"/>
        <v/>
      </c>
      <c r="BE2948" s="743" t="str">
        <f>IF(D2948="","",VLOOKUP(D2948,'General Basis'!$J$39:$K$46,2,0))</f>
        <v/>
      </c>
      <c r="BF2948" s="744" t="str">
        <f>IF(D2948="","",VLOOKUP(D2948,'General Basis'!$J$39:$L$46,3,0))</f>
        <v/>
      </c>
      <c r="BG2948" s="744" t="str">
        <f t="shared" si="1023"/>
        <v/>
      </c>
      <c r="BH2948" s="744" t="str">
        <f>IF(G2948="","",IF(BF2948="Abu Dhabi",IF(G2948&lt;18,'General Basis'!$C$39,IF(G2948&lt;41,'General Basis'!$C$40,IF(G2948&lt;60,'General Basis'!$C$41,IF(G2948&lt;65,'General Basis'!$C$42,'General Basis'!$C$43)))),IF(G2948&lt;11,'General Basis'!$B$39,IF(G2948&lt;18,'General Basis'!$B$40,IF(G2948&lt;26,'General Basis'!$B$41,IF(G2948&lt;31,'General Basis'!$B$42,IF(G2948&lt;36,'General Basis'!$B$43,IF(G2948&lt;41,'General Basis'!$B$44,IF(G2948&lt;46,'General Basis'!$B$45,IF(G2948&lt;51,'General Basis'!$B$46,IF(G2948&lt;56,'General Basis'!$B$47,IF(G2948&lt;60,'General Basis'!$B$48,IF(G2948&lt;65,'General Basis'!$B$49,'General Basis'!$B$50)))))))))))))</f>
        <v/>
      </c>
      <c r="BI2948" s="744" t="str">
        <f t="shared" si="1017"/>
        <v/>
      </c>
      <c r="BJ2948" s="747" t="str">
        <f t="shared" si="1024"/>
        <v/>
      </c>
      <c r="BK2948" s="498" t="str">
        <f t="shared" si="1018"/>
        <v/>
      </c>
      <c r="BL2948" s="498" t="str">
        <f t="shared" si="1019"/>
        <v/>
      </c>
    </row>
    <row r="2949" spans="1:64" x14ac:dyDescent="0.25">
      <c r="A2949" s="762">
        <f t="shared" si="1020"/>
        <v>2944</v>
      </c>
      <c r="B2949" s="229"/>
      <c r="C2949" s="223"/>
      <c r="D2949" s="224"/>
      <c r="E2949" s="225"/>
      <c r="F2949" s="1036" t="str">
        <f t="shared" si="1026"/>
        <v/>
      </c>
      <c r="G2949" s="1037" t="str">
        <f t="shared" si="1021"/>
        <v/>
      </c>
      <c r="H2949" s="225"/>
      <c r="I2949" s="1013"/>
      <c r="J2949" s="1013"/>
      <c r="K2949" s="1028"/>
      <c r="L2949" s="1035" t="str">
        <f t="shared" si="1025"/>
        <v/>
      </c>
      <c r="S2949" s="498"/>
      <c r="AJ2949" s="498"/>
      <c r="AM2949" s="498">
        <f t="shared" si="1006"/>
        <v>0</v>
      </c>
      <c r="AN2949" s="498">
        <f t="shared" si="1007"/>
        <v>0</v>
      </c>
      <c r="AO2949" s="498">
        <f t="shared" si="1008"/>
        <v>0</v>
      </c>
      <c r="AP2949" s="498">
        <f t="shared" si="1027"/>
        <v>0</v>
      </c>
      <c r="AQ2949" s="498">
        <f t="shared" si="1022"/>
        <v>0</v>
      </c>
      <c r="AU2949" s="498">
        <f t="shared" si="1009"/>
        <v>0</v>
      </c>
      <c r="AV2949" s="498">
        <f t="shared" si="1010"/>
        <v>0</v>
      </c>
      <c r="AW2949" s="498">
        <f t="shared" si="1011"/>
        <v>0</v>
      </c>
      <c r="AX2949" s="498">
        <f t="shared" si="1012"/>
        <v>0</v>
      </c>
      <c r="AY2949" s="498">
        <f t="shared" si="1013"/>
        <v>0</v>
      </c>
      <c r="BB2949" s="498" t="str">
        <f t="shared" si="1014"/>
        <v/>
      </c>
      <c r="BC2949" s="743" t="str">
        <f t="shared" si="1015"/>
        <v/>
      </c>
      <c r="BD2949" s="743" t="str">
        <f t="shared" si="1016"/>
        <v/>
      </c>
      <c r="BE2949" s="743" t="str">
        <f>IF(D2949="","",VLOOKUP(D2949,'General Basis'!$J$39:$K$46,2,0))</f>
        <v/>
      </c>
      <c r="BF2949" s="744" t="str">
        <f>IF(D2949="","",VLOOKUP(D2949,'General Basis'!$J$39:$L$46,3,0))</f>
        <v/>
      </c>
      <c r="BG2949" s="744" t="str">
        <f t="shared" si="1023"/>
        <v/>
      </c>
      <c r="BH2949" s="744" t="str">
        <f>IF(G2949="","",IF(BF2949="Abu Dhabi",IF(G2949&lt;18,'General Basis'!$C$39,IF(G2949&lt;41,'General Basis'!$C$40,IF(G2949&lt;60,'General Basis'!$C$41,IF(G2949&lt;65,'General Basis'!$C$42,'General Basis'!$C$43)))),IF(G2949&lt;11,'General Basis'!$B$39,IF(G2949&lt;18,'General Basis'!$B$40,IF(G2949&lt;26,'General Basis'!$B$41,IF(G2949&lt;31,'General Basis'!$B$42,IF(G2949&lt;36,'General Basis'!$B$43,IF(G2949&lt;41,'General Basis'!$B$44,IF(G2949&lt;46,'General Basis'!$B$45,IF(G2949&lt;51,'General Basis'!$B$46,IF(G2949&lt;56,'General Basis'!$B$47,IF(G2949&lt;60,'General Basis'!$B$48,IF(G2949&lt;65,'General Basis'!$B$49,'General Basis'!$B$50)))))))))))))</f>
        <v/>
      </c>
      <c r="BI2949" s="744" t="str">
        <f t="shared" si="1017"/>
        <v/>
      </c>
      <c r="BJ2949" s="747" t="str">
        <f t="shared" si="1024"/>
        <v/>
      </c>
      <c r="BK2949" s="498" t="str">
        <f t="shared" si="1018"/>
        <v/>
      </c>
      <c r="BL2949" s="498" t="str">
        <f t="shared" si="1019"/>
        <v/>
      </c>
    </row>
    <row r="2950" spans="1:64" x14ac:dyDescent="0.25">
      <c r="A2950" s="762">
        <f t="shared" si="1020"/>
        <v>2945</v>
      </c>
      <c r="B2950" s="229"/>
      <c r="C2950" s="223"/>
      <c r="D2950" s="224"/>
      <c r="E2950" s="225"/>
      <c r="F2950" s="1036" t="str">
        <f t="shared" si="1026"/>
        <v/>
      </c>
      <c r="G2950" s="1037" t="str">
        <f t="shared" si="1021"/>
        <v/>
      </c>
      <c r="H2950" s="225"/>
      <c r="I2950" s="1013"/>
      <c r="J2950" s="1013"/>
      <c r="K2950" s="1028"/>
      <c r="L2950" s="1035" t="str">
        <f t="shared" si="1025"/>
        <v/>
      </c>
      <c r="S2950" s="498"/>
      <c r="AJ2950" s="498"/>
      <c r="AM2950" s="498">
        <f t="shared" ref="AM2950:AM3013" si="1028">IF(ISTEXT(B2950),1,0)</f>
        <v>0</v>
      </c>
      <c r="AN2950" s="498">
        <f t="shared" ref="AN2950:AN3013" si="1029">IF(ISBLANK(B2950),0,IF(B2950&lt;$AK$6,1,0))</f>
        <v>0</v>
      </c>
      <c r="AO2950" s="498">
        <f t="shared" ref="AO2950:AO3013" si="1030">IF(ISBLANK(B2950),0,IF(B2950&gt;$AK$7,1,0))</f>
        <v>0</v>
      </c>
      <c r="AP2950" s="498">
        <f t="shared" si="1027"/>
        <v>0</v>
      </c>
      <c r="AQ2950" s="498">
        <f t="shared" si="1022"/>
        <v>0</v>
      </c>
      <c r="AU2950" s="498">
        <f t="shared" ref="AU2950:AU3013" si="1031">IF(ISBLANK(B2950),0,1)</f>
        <v>0</v>
      </c>
      <c r="AV2950" s="498">
        <f t="shared" ref="AV2950:AV3013" si="1032">IF(ISBLANK(C2950),0,1)</f>
        <v>0</v>
      </c>
      <c r="AW2950" s="498">
        <f t="shared" ref="AW2950:AW3013" si="1033">IF(ISBLANK(D2950),0,1)</f>
        <v>0</v>
      </c>
      <c r="AX2950" s="498">
        <f t="shared" ref="AX2950:AX3013" si="1034">IF(ISBLANK(E2950),0,1)</f>
        <v>0</v>
      </c>
      <c r="AY2950" s="498">
        <f t="shared" ref="AY2950:AY3013" si="1035">IF(ISBLANK(H2950),0,1)</f>
        <v>0</v>
      </c>
      <c r="BB2950" s="498" t="str">
        <f t="shared" ref="BB2950:BB3013" si="1036">IF(E2950="Principal","Principal",IF(E2950="","","Other"))</f>
        <v/>
      </c>
      <c r="BC2950" s="743" t="str">
        <f t="shared" ref="BC2950:BC3013" si="1037">IF(D2950="","",D2950)</f>
        <v/>
      </c>
      <c r="BD2950" s="743" t="str">
        <f t="shared" ref="BD2950:BD3013" si="1038">IF(E2950="Principal","Employee",IF(E2950="","","Dependent"))</f>
        <v/>
      </c>
      <c r="BE2950" s="743" t="str">
        <f>IF(D2950="","",VLOOKUP(D2950,'General Basis'!$J$39:$K$46,2,0))</f>
        <v/>
      </c>
      <c r="BF2950" s="744" t="str">
        <f>IF(D2950="","",VLOOKUP(D2950,'General Basis'!$J$39:$L$46,3,0))</f>
        <v/>
      </c>
      <c r="BG2950" s="744" t="str">
        <f t="shared" si="1023"/>
        <v/>
      </c>
      <c r="BH2950" s="744" t="str">
        <f>IF(G2950="","",IF(BF2950="Abu Dhabi",IF(G2950&lt;18,'General Basis'!$C$39,IF(G2950&lt;41,'General Basis'!$C$40,IF(G2950&lt;60,'General Basis'!$C$41,IF(G2950&lt;65,'General Basis'!$C$42,'General Basis'!$C$43)))),IF(G2950&lt;11,'General Basis'!$B$39,IF(G2950&lt;18,'General Basis'!$B$40,IF(G2950&lt;26,'General Basis'!$B$41,IF(G2950&lt;31,'General Basis'!$B$42,IF(G2950&lt;36,'General Basis'!$B$43,IF(G2950&lt;41,'General Basis'!$B$44,IF(G2950&lt;46,'General Basis'!$B$45,IF(G2950&lt;51,'General Basis'!$B$46,IF(G2950&lt;56,'General Basis'!$B$47,IF(G2950&lt;60,'General Basis'!$B$48,IF(G2950&lt;65,'General Basis'!$B$49,'General Basis'!$B$50)))))))))))))</f>
        <v/>
      </c>
      <c r="BI2950" s="744" t="str">
        <f t="shared" ref="BI2950:BI3013" si="1039">IF(C2950="","",IF(C2950="M","Male","Female"))</f>
        <v/>
      </c>
      <c r="BJ2950" s="747" t="str">
        <f t="shared" si="1024"/>
        <v/>
      </c>
      <c r="BK2950" s="498" t="str">
        <f t="shared" ref="BK2950:BK3013" si="1040">IF(BD2950="","",IF(AND(BD2950="Employee",BI2950="Male",BF2950="Abu Dhabi",BE2950=GN_Plus),VLOOKUP(BH2950,AUH_MALE_EMP,2,0),IF(AND(BD2950="Employee",BI2950="Male",BF2950="Abu Dhabi",BE2950=GN),VLOOKUP(BH2950,AUH_MALE_EMP,3,0),IF(AND(BD2950="Employee",BI2950="Male",BF2950="Abu Dhabi",BE2950=RN_Plus),VLOOKUP(BH2950,AUH_MALE_EMP,4,0),IF(AND(BD2950="Employee",BI2950="Male",BF2950="Abu Dhabi",BE2950=RN),VLOOKUP(BH2950,AUH_MALE_EMP,5,0),IF(AND(BD2950="Employee",BI2950="Male",BF2950="Abu Dhabi",BE2950=RN_2),VLOOKUP(BH2950,AUH_MALE_EMP,6,0),IF(AND(BD2950="Employee",BI2950="Male",BF2950="Abu Dhabi",BE2950=RN2_minus),VLOOKUP(BH2950,AUH_MALE_EMP,7,0),IF(AND(BD2950="Employee",BI2950="Male",BF2950="Abu Dhabi",BE2950=RN_3),VLOOKUP(BH2950,AUH_MALE_EMP,8,0),IF(AND(BD2950="Employee",BI2950="Male",BF2950="Abu Dhabi",BE2950=VN),VLOOKUP(BH2950,AUH_MALE_EMP,9,0),IF(BD2950="","",IF(AND(BD2950="Employee",BI2950="Female",BF2950="Abu Dhabi",BE2950=GN_Plus),VLOOKUP(BH2950,AUH_FEMALE_EMP,2,0),IF(AND(BD2950="Employee",BI2950="Female",BF2950="Abu Dhabi",BE2950=GN),VLOOKUP(BH2950,AUH_FEMALE_EMP,3,0),IF(AND(BD2950="Employee",BI2950="Female",BF2950="Abu Dhabi",BE2950=RN_Plus),VLOOKUP(BH2950,AUH_FEMALE_EMP,4,0),IF(AND(BD2950="Employee",BI2950="Female",BF2950="Abu Dhabi",BE2950=RN),VLOOKUP(BH2950,AUH_FEMALE_EMP,5,0),IF(AND(BD2950="Employee",BI2950="Female",BF2950="Abu Dhabi",BE2950=RN_2),VLOOKUP(BH2950,AUH_FEMALE_EMP,6,0),IF(AND(BD2950="Employee",BI2950="Female",BF2950="Abu Dhabi",BE2950=RN2_minus),VLOOKUP(BH2950,AUH_FEMALE_EMP,7,0),IF(AND(BD2950="Employee",BI2950="Female",BF2950="Abu Dhabi",BE2950=RN_3),VLOOKUP(BH2950,AUH_FEMALE_EMP,8,0),IF(AND(BD2950="Employee",BI2950="Female",BF2950="Abu Dhabi",BE2950=VN),VLOOKUP(BH2950,AUH_FEMALE_EMP,9,0),IF(BD2950="","",IF(AND(BD2950="Dependent",BI2950="Male",BF2950="Abu Dhabi",BE2950=GN_Plus),VLOOKUP(BH2950,AUH_MALE_DEP,2,0),IF(AND(BD2950="Dependent",BI2950="Male",BF2950="Abu Dhabi",BE2950=GN),VLOOKUP(BH2950,AUH_MALE_DEP,3,0),IF(AND(BD2950="Dependent",BI2950="Male",BF2950="Abu Dhabi",BE2950=RN_Plus),VLOOKUP(BH2950,AUH_MALE_DEP,4,0),IF(AND(BD2950="Dependent",BI2950="Male",BF2950="Abu Dhabi",BE2950=RN),VLOOKUP(BH2950,AUH_MALE_DEP,5,0),IF(AND(BD2950="Dependent",BI2950="Male",BF2950="Abu Dhabi",BE2950=RN_2),VLOOKUP(BH2950,AUH_MALE_DEP,6,0),IF(AND(BD2950="Dependent",BI2950="Male",BF2950="Abu Dhabi",BE2950=RN2_minus),VLOOKUP(BH2950,AUH_MALE_DEP,7,0),IF(AND(BD2950="Dependent",BI2950="Male",BF2950="Abu Dhabi",BE2950=RN_3),VLOOKUP(BH2950,AUH_MALE_DEP,8,0),IF(AND(BD2950="Dependent",BI2950="Male",BF2950="Abu Dhabi",BE2950=VN),VLOOKUP(BH2950,AUH_MALE_DEP,9,0),IF(BD2950="","",IF(AND(BD2950="Dependent",BI2950="Female",BF2950="Abu Dhabi",BE2950=GN_Plus),VLOOKUP(BH2950,AUH_FEMALE_DEP,2,0),IF(AND(BD2950="Dependent",BI2950="Female",BF2950="Abu Dhabi",BE2950=GN),VLOOKUP(BH2950,AUH_FEMALE_DEP,3,0),IF(AND(BD2950="Dependent",BI2950="Female",BF2950="Abu Dhabi",BE2950=RN_Plus),VLOOKUP(BH2950,AUH_FEMALE_DEP,4,0),IF(AND(BD2950="Dependent",BI2950="Female",BF2950="Abu Dhabi",BE2950=RN),VLOOKUP(BH2950,AUH_FEMALE_DEP,5,0),IF(AND(BD2950="Dependent",BI2950="Female",BF2950="Abu Dhabi",BE2950=RN_2),VLOOKUP(BH2950,AUH_FEMALE_DEP,6,0),IF(AND(BD2950="Dependent",BI2950="Female",BF2950="Abu Dhabi",BE2950=RN2_minus),VLOOKUP(BH2950,AUH_FEMALE_DEP,7,0),IF(AND(BD2950="Dependent",BI2950="Female",BF2950="Abu Dhabi",BE2950=RN_3),VLOOKUP(BH2950,AUH_FEMALE_DEP,8,0),IF(AND(BD2950="Dependent",BI2950="Female",BF2950="Abu Dhabi",BE2950=VN),VLOOKUP(BH2950,AUH_FEMALE_DEP,9,0),"ABC"))))))))))))))))))))))))))))))))))))</f>
        <v/>
      </c>
      <c r="BL2950" s="498" t="str">
        <f t="shared" ref="BL2950:BL3013" si="1041">IF(BD2950="","",IF(AND(BD2950="Employee",BI2950="Male",BF2950="Dubai",BE2950=GN_Plus),VLOOKUP(BH2950,DXB_MALE_EMP,2,0),IF(AND(BD2950="Employee",BI2950="Male",BF2950="Dubai",BE2950=GN),VLOOKUP(BH2950,DXB_MALE_EMP,3,0),IF(AND(BD2950="Employee",BI2950="Male",BF2950="Dubai",BE2950=RN_Plus),VLOOKUP(BH2950,DXB_MALE_EMP,4,0),IF(AND(BD2950="Employee",BI2950="Male",BF2950="Dubai",BE2950=RN),VLOOKUP(BH2950,DXB_MALE_EMP,5,0),IF(AND(BD2950="Employee",BI2950="Male",BF2950="Dubai",BE2950=RN_2),VLOOKUP(BH2950,DXB_MALE_EMP,6,0),IF(AND(BD2950="Employee",BI2950="Male",BF2950="Dubai",BE2950=RN2_minus),VLOOKUP(BH2950,DXB_MALE_EMP,7,0),IF(AND(BD2950="Employee",BI2950="Male",BF2950="Dubai",BE2950=RN_3),VLOOKUP(BH2950,DXB_MALE_EMP,8,0),IF(AND(BD2950="Employee",BI2950="Male",BF2950="Dubai",BE2950=VN),VLOOKUP(BH2950,DXB_MALE_EMP,9,0),IF(BD2950="","",IF(AND(BD2950="Employee",BI2950="Female",BF2950="Dubai",BE2950=GN_Plus),VLOOKUP(BH2950,DXB_FEMALE_EMP,2,0),IF(AND(BD2950="Employee",BI2950="Female",BF2950="Dubai",BE2950=GN),VLOOKUP(BH2950,DXB_FEMALE_EMP,3,0),IF(AND(BD2950="Employee",BI2950="Female",BF2950="Dubai",BE2950=RN_Plus),VLOOKUP(BH2950,DXB_FEMALE_EMP,4,0),IF(AND(BD2950="Employee",BI2950="Female",BF2950="Dubai",BE2950=RN),VLOOKUP(BH2950,DXB_FEMALE_EMP,5,0),IF(AND(BD2950="Employee",BI2950="Female",BF2950="Dubai",BE2950=RN_2),VLOOKUP(BH2950,DXB_FEMALE_EMP,6,0),IF(AND(BD2950="Employee",BI2950="Female",BF2950="Dubai",BE2950=RN2_minus),VLOOKUP(BH2950,DXB_FEMALE_EMP,7,0),IF(AND(BD2950="Employee",BI2950="Female",BF2950="Dubai",BE2950=RN_3),VLOOKUP(BH2950,DXB_FEMALE_EMP,8,0),IF(AND(BD2950="Employee",BI2950="Female",BF2950="Dubai",BE2950=VN),VLOOKUP(BH2950,DXB_FEMALE_EMP,9,0),IF(BD2950="","",IF(AND(BD2950="Dependent",BI2950="Male",BF2950="Dubai",BE2950=GN_Plus),VLOOKUP(BH2950,DXB_MALE_DEP,2,0),IF(AND(BD2950="Dependent",BI2950="Male",BF2950="Dubai",BE2950=GN),VLOOKUP(BH2950,DXB_MALE_DEP,3,0),IF(AND(BD2950="Dependent",BI2950="Male",BF2950="Dubai",BE2950=RN_Plus),VLOOKUP(BH2950,DXB_MALE_DEP,4,0),IF(AND(BD2950="Dependent",BI2950="Male",BF2950="Dubai",BE2950=RN),VLOOKUP(BH2950,DXB_MALE_DEP,5,0),IF(AND(BD2950="Dependent",BI2950="Male",BF2950="Dubai",BE2950=RN_2),VLOOKUP(BH2950,DXB_MALE_DEP,6,0),IF(AND(BD2950="Dependent",BI2950="Male",BF2950="Dubai",BE2950=RN2_minus),VLOOKUP(BH2950,DXB_MALE_DEP,7,0),IF(AND(BD2950="Dependent",BI2950="Male",BF2950="Dubai",BE2950=RN_3),VLOOKUP(BH2950,DXB_MALE_DEP,8,0),IF(AND(BD2950="Dependent",BI2950="Male",BF2950="Dubai",BE2950=VN),VLOOKUP(BH2950,DXB_MALE_DEP,9,0),IF(BD2950="","",IF(AND(BD2950="Dependent",BI2950="Female",BF2950="Dubai",BE2950=GN_Plus),VLOOKUP(BH2950,DXB_FEMALE_DEP,2,0),IF(AND(BD2950="Dependent",BI2950="Female",BF2950="Dubai",BE2950=GN),VLOOKUP(BH2950,DXB_FEMALE_DEP,3,0),IF(AND(BD2950="Dependent",BI2950="Female",BF2950="Dubai",BE2950=RN_Plus),VLOOKUP(BH2950,DXB_FEMALE_DEP,4,0),IF(AND(BD2950="Dependent",BI2950="Female",BF2950="Dubai",BE2950=RN),VLOOKUP(BH2950,DXB_FEMALE_DEP,5,0),IF(AND(BD2950="Dependent",BI2950="Female",BF2950="Dubai",BE2950=RN_2),VLOOKUP(BH2950,DXB_FEMALE_DEP,6,0),IF(AND(BD2950="Dependent",BI2950="Female",BF2950="Dubai",BE2950=RN2_minus),VLOOKUP(BH2950,DXB_FEMALE_DEP,7,0),IF(AND(BD2950="Dependent",BI2950="Female",BF2950="Dubai",BE2950=RN_3),VLOOKUP(BH2950,DXB_FEMALE_DEP,8,0),IF(AND(BD2950="Dependent",BI2950="Female",BF2950="Dubai",BE2950=VN),VLOOKUP(BH2950,DXB_FEMALE_DEP,9,0),"ABC"))))))))))))))))))))))))))))))))))))</f>
        <v/>
      </c>
    </row>
    <row r="2951" spans="1:64" x14ac:dyDescent="0.25">
      <c r="A2951" s="762">
        <f t="shared" ref="A2951:A3014" si="1042">+A2950+1</f>
        <v>2946</v>
      </c>
      <c r="B2951" s="229"/>
      <c r="C2951" s="223"/>
      <c r="D2951" s="224"/>
      <c r="E2951" s="225"/>
      <c r="F2951" s="1036" t="str">
        <f t="shared" si="1026"/>
        <v/>
      </c>
      <c r="G2951" s="1037" t="str">
        <f t="shared" ref="G2951:G3014" si="1043">IF(D2951="","",MAX(0,ROUNDUP(F2951,0)))</f>
        <v/>
      </c>
      <c r="H2951" s="225"/>
      <c r="I2951" s="1013"/>
      <c r="J2951" s="1013"/>
      <c r="K2951" s="1028"/>
      <c r="L2951" s="1035" t="str">
        <f t="shared" si="1025"/>
        <v/>
      </c>
      <c r="S2951" s="498"/>
      <c r="AJ2951" s="498"/>
      <c r="AM2951" s="498">
        <f t="shared" si="1028"/>
        <v>0</v>
      </c>
      <c r="AN2951" s="498">
        <f t="shared" si="1029"/>
        <v>0</v>
      </c>
      <c r="AO2951" s="498">
        <f t="shared" si="1030"/>
        <v>0</v>
      </c>
      <c r="AP2951" s="498">
        <f t="shared" si="1027"/>
        <v>0</v>
      </c>
      <c r="AQ2951" s="498">
        <f t="shared" ref="AQ2951:AQ3014" si="1044">IF(ISBLANK($B2951),0,IF(OR($H2951="Single",$H2951="Married"),0,1))</f>
        <v>0</v>
      </c>
      <c r="AU2951" s="498">
        <f t="shared" si="1031"/>
        <v>0</v>
      </c>
      <c r="AV2951" s="498">
        <f t="shared" si="1032"/>
        <v>0</v>
      </c>
      <c r="AW2951" s="498">
        <f t="shared" si="1033"/>
        <v>0</v>
      </c>
      <c r="AX2951" s="498">
        <f t="shared" si="1034"/>
        <v>0</v>
      </c>
      <c r="AY2951" s="498">
        <f t="shared" si="1035"/>
        <v>0</v>
      </c>
      <c r="BB2951" s="498" t="str">
        <f t="shared" si="1036"/>
        <v/>
      </c>
      <c r="BC2951" s="743" t="str">
        <f t="shared" si="1037"/>
        <v/>
      </c>
      <c r="BD2951" s="743" t="str">
        <f t="shared" si="1038"/>
        <v/>
      </c>
      <c r="BE2951" s="743" t="str">
        <f>IF(D2951="","",VLOOKUP(D2951,'General Basis'!$J$39:$K$46,2,0))</f>
        <v/>
      </c>
      <c r="BF2951" s="744" t="str">
        <f>IF(D2951="","",VLOOKUP(D2951,'General Basis'!$J$39:$L$46,3,0))</f>
        <v/>
      </c>
      <c r="BG2951" s="744" t="str">
        <f t="shared" ref="BG2951:BG3014" si="1045">BC2951&amp;BI2951</f>
        <v/>
      </c>
      <c r="BH2951" s="744" t="str">
        <f>IF(G2951="","",IF(BF2951="Abu Dhabi",IF(G2951&lt;18,'General Basis'!$C$39,IF(G2951&lt;41,'General Basis'!$C$40,IF(G2951&lt;60,'General Basis'!$C$41,IF(G2951&lt;65,'General Basis'!$C$42,'General Basis'!$C$43)))),IF(G2951&lt;11,'General Basis'!$B$39,IF(G2951&lt;18,'General Basis'!$B$40,IF(G2951&lt;26,'General Basis'!$B$41,IF(G2951&lt;31,'General Basis'!$B$42,IF(G2951&lt;36,'General Basis'!$B$43,IF(G2951&lt;41,'General Basis'!$B$44,IF(G2951&lt;46,'General Basis'!$B$45,IF(G2951&lt;51,'General Basis'!$B$46,IF(G2951&lt;56,'General Basis'!$B$47,IF(G2951&lt;60,'General Basis'!$B$48,IF(G2951&lt;65,'General Basis'!$B$49,'General Basis'!$B$50)))))))))))))</f>
        <v/>
      </c>
      <c r="BI2951" s="744" t="str">
        <f t="shared" si="1039"/>
        <v/>
      </c>
      <c r="BJ2951" s="747" t="str">
        <f t="shared" ref="BJ2951:BJ3014" si="1046">IF(BD2951="","",IF(BF2951="Abu Dhabi",BK2951,BL2951))</f>
        <v/>
      </c>
      <c r="BK2951" s="498" t="str">
        <f t="shared" si="1040"/>
        <v/>
      </c>
      <c r="BL2951" s="498" t="str">
        <f t="shared" si="1041"/>
        <v/>
      </c>
    </row>
    <row r="2952" spans="1:64" x14ac:dyDescent="0.25">
      <c r="A2952" s="762">
        <f t="shared" si="1042"/>
        <v>2947</v>
      </c>
      <c r="B2952" s="229"/>
      <c r="C2952" s="223"/>
      <c r="D2952" s="224"/>
      <c r="E2952" s="225"/>
      <c r="F2952" s="1036" t="str">
        <f t="shared" si="1026"/>
        <v/>
      </c>
      <c r="G2952" s="1037" t="str">
        <f t="shared" si="1043"/>
        <v/>
      </c>
      <c r="H2952" s="225"/>
      <c r="I2952" s="1013"/>
      <c r="J2952" s="1013"/>
      <c r="K2952" s="1028"/>
      <c r="L2952" s="1035" t="str">
        <f t="shared" ref="L2952:L3015" si="1047">IF(AND(E2952="Child",H2952="Married"),"Check the Marital Status of the Child. ",IF(AND(E2952="Child",F2952&gt;18),"Child Age exceed 18 years. ",IF(AND(E2952="Spouse",H2952="Single"),"Spouse is selected as Single. ","")))&amp;IF(K2952&gt;0,"UW Loading has been Applied","")</f>
        <v/>
      </c>
      <c r="S2952" s="498"/>
      <c r="AJ2952" s="498"/>
      <c r="AM2952" s="498">
        <f t="shared" si="1028"/>
        <v>0</v>
      </c>
      <c r="AN2952" s="498">
        <f t="shared" si="1029"/>
        <v>0</v>
      </c>
      <c r="AO2952" s="498">
        <f t="shared" si="1030"/>
        <v>0</v>
      </c>
      <c r="AP2952" s="498">
        <f t="shared" si="1027"/>
        <v>0</v>
      </c>
      <c r="AQ2952" s="498">
        <f t="shared" si="1044"/>
        <v>0</v>
      </c>
      <c r="AU2952" s="498">
        <f t="shared" si="1031"/>
        <v>0</v>
      </c>
      <c r="AV2952" s="498">
        <f t="shared" si="1032"/>
        <v>0</v>
      </c>
      <c r="AW2952" s="498">
        <f t="shared" si="1033"/>
        <v>0</v>
      </c>
      <c r="AX2952" s="498">
        <f t="shared" si="1034"/>
        <v>0</v>
      </c>
      <c r="AY2952" s="498">
        <f t="shared" si="1035"/>
        <v>0</v>
      </c>
      <c r="BB2952" s="498" t="str">
        <f t="shared" si="1036"/>
        <v/>
      </c>
      <c r="BC2952" s="743" t="str">
        <f t="shared" si="1037"/>
        <v/>
      </c>
      <c r="BD2952" s="743" t="str">
        <f t="shared" si="1038"/>
        <v/>
      </c>
      <c r="BE2952" s="743" t="str">
        <f>IF(D2952="","",VLOOKUP(D2952,'General Basis'!$J$39:$K$46,2,0))</f>
        <v/>
      </c>
      <c r="BF2952" s="744" t="str">
        <f>IF(D2952="","",VLOOKUP(D2952,'General Basis'!$J$39:$L$46,3,0))</f>
        <v/>
      </c>
      <c r="BG2952" s="744" t="str">
        <f t="shared" si="1045"/>
        <v/>
      </c>
      <c r="BH2952" s="744" t="str">
        <f>IF(G2952="","",IF(BF2952="Abu Dhabi",IF(G2952&lt;18,'General Basis'!$C$39,IF(G2952&lt;41,'General Basis'!$C$40,IF(G2952&lt;60,'General Basis'!$C$41,IF(G2952&lt;65,'General Basis'!$C$42,'General Basis'!$C$43)))),IF(G2952&lt;11,'General Basis'!$B$39,IF(G2952&lt;18,'General Basis'!$B$40,IF(G2952&lt;26,'General Basis'!$B$41,IF(G2952&lt;31,'General Basis'!$B$42,IF(G2952&lt;36,'General Basis'!$B$43,IF(G2952&lt;41,'General Basis'!$B$44,IF(G2952&lt;46,'General Basis'!$B$45,IF(G2952&lt;51,'General Basis'!$B$46,IF(G2952&lt;56,'General Basis'!$B$47,IF(G2952&lt;60,'General Basis'!$B$48,IF(G2952&lt;65,'General Basis'!$B$49,'General Basis'!$B$50)))))))))))))</f>
        <v/>
      </c>
      <c r="BI2952" s="744" t="str">
        <f t="shared" si="1039"/>
        <v/>
      </c>
      <c r="BJ2952" s="747" t="str">
        <f t="shared" si="1046"/>
        <v/>
      </c>
      <c r="BK2952" s="498" t="str">
        <f t="shared" si="1040"/>
        <v/>
      </c>
      <c r="BL2952" s="498" t="str">
        <f t="shared" si="1041"/>
        <v/>
      </c>
    </row>
    <row r="2953" spans="1:64" x14ac:dyDescent="0.25">
      <c r="A2953" s="762">
        <f t="shared" si="1042"/>
        <v>2948</v>
      </c>
      <c r="B2953" s="229"/>
      <c r="C2953" s="223"/>
      <c r="D2953" s="224"/>
      <c r="E2953" s="225"/>
      <c r="F2953" s="1036" t="str">
        <f t="shared" si="1026"/>
        <v/>
      </c>
      <c r="G2953" s="1037" t="str">
        <f t="shared" si="1043"/>
        <v/>
      </c>
      <c r="H2953" s="225"/>
      <c r="I2953" s="1013"/>
      <c r="J2953" s="1013"/>
      <c r="K2953" s="1028"/>
      <c r="L2953" s="1035" t="str">
        <f t="shared" si="1047"/>
        <v/>
      </c>
      <c r="S2953" s="498"/>
      <c r="AJ2953" s="498"/>
      <c r="AM2953" s="498">
        <f t="shared" si="1028"/>
        <v>0</v>
      </c>
      <c r="AN2953" s="498">
        <f t="shared" si="1029"/>
        <v>0</v>
      </c>
      <c r="AO2953" s="498">
        <f t="shared" si="1030"/>
        <v>0</v>
      </c>
      <c r="AP2953" s="498">
        <f t="shared" si="1027"/>
        <v>0</v>
      </c>
      <c r="AQ2953" s="498">
        <f t="shared" si="1044"/>
        <v>0</v>
      </c>
      <c r="AU2953" s="498">
        <f t="shared" si="1031"/>
        <v>0</v>
      </c>
      <c r="AV2953" s="498">
        <f t="shared" si="1032"/>
        <v>0</v>
      </c>
      <c r="AW2953" s="498">
        <f t="shared" si="1033"/>
        <v>0</v>
      </c>
      <c r="AX2953" s="498">
        <f t="shared" si="1034"/>
        <v>0</v>
      </c>
      <c r="AY2953" s="498">
        <f t="shared" si="1035"/>
        <v>0</v>
      </c>
      <c r="BB2953" s="498" t="str">
        <f t="shared" si="1036"/>
        <v/>
      </c>
      <c r="BC2953" s="743" t="str">
        <f t="shared" si="1037"/>
        <v/>
      </c>
      <c r="BD2953" s="743" t="str">
        <f t="shared" si="1038"/>
        <v/>
      </c>
      <c r="BE2953" s="743" t="str">
        <f>IF(D2953="","",VLOOKUP(D2953,'General Basis'!$J$39:$K$46,2,0))</f>
        <v/>
      </c>
      <c r="BF2953" s="744" t="str">
        <f>IF(D2953="","",VLOOKUP(D2953,'General Basis'!$J$39:$L$46,3,0))</f>
        <v/>
      </c>
      <c r="BG2953" s="744" t="str">
        <f t="shared" si="1045"/>
        <v/>
      </c>
      <c r="BH2953" s="744" t="str">
        <f>IF(G2953="","",IF(BF2953="Abu Dhabi",IF(G2953&lt;18,'General Basis'!$C$39,IF(G2953&lt;41,'General Basis'!$C$40,IF(G2953&lt;60,'General Basis'!$C$41,IF(G2953&lt;65,'General Basis'!$C$42,'General Basis'!$C$43)))),IF(G2953&lt;11,'General Basis'!$B$39,IF(G2953&lt;18,'General Basis'!$B$40,IF(G2953&lt;26,'General Basis'!$B$41,IF(G2953&lt;31,'General Basis'!$B$42,IF(G2953&lt;36,'General Basis'!$B$43,IF(G2953&lt;41,'General Basis'!$B$44,IF(G2953&lt;46,'General Basis'!$B$45,IF(G2953&lt;51,'General Basis'!$B$46,IF(G2953&lt;56,'General Basis'!$B$47,IF(G2953&lt;60,'General Basis'!$B$48,IF(G2953&lt;65,'General Basis'!$B$49,'General Basis'!$B$50)))))))))))))</f>
        <v/>
      </c>
      <c r="BI2953" s="744" t="str">
        <f t="shared" si="1039"/>
        <v/>
      </c>
      <c r="BJ2953" s="747" t="str">
        <f t="shared" si="1046"/>
        <v/>
      </c>
      <c r="BK2953" s="498" t="str">
        <f t="shared" si="1040"/>
        <v/>
      </c>
      <c r="BL2953" s="498" t="str">
        <f t="shared" si="1041"/>
        <v/>
      </c>
    </row>
    <row r="2954" spans="1:64" x14ac:dyDescent="0.25">
      <c r="A2954" s="762">
        <f t="shared" si="1042"/>
        <v>2949</v>
      </c>
      <c r="B2954" s="229"/>
      <c r="C2954" s="223"/>
      <c r="D2954" s="224"/>
      <c r="E2954" s="225"/>
      <c r="F2954" s="1036" t="str">
        <f t="shared" si="1026"/>
        <v/>
      </c>
      <c r="G2954" s="1037" t="str">
        <f t="shared" si="1043"/>
        <v/>
      </c>
      <c r="H2954" s="225"/>
      <c r="I2954" s="1013"/>
      <c r="J2954" s="1013"/>
      <c r="K2954" s="1028"/>
      <c r="L2954" s="1035" t="str">
        <f t="shared" si="1047"/>
        <v/>
      </c>
      <c r="S2954" s="498"/>
      <c r="AJ2954" s="498"/>
      <c r="AM2954" s="498">
        <f t="shared" si="1028"/>
        <v>0</v>
      </c>
      <c r="AN2954" s="498">
        <f t="shared" si="1029"/>
        <v>0</v>
      </c>
      <c r="AO2954" s="498">
        <f t="shared" si="1030"/>
        <v>0</v>
      </c>
      <c r="AP2954" s="498">
        <f t="shared" si="1027"/>
        <v>0</v>
      </c>
      <c r="AQ2954" s="498">
        <f t="shared" si="1044"/>
        <v>0</v>
      </c>
      <c r="AU2954" s="498">
        <f t="shared" si="1031"/>
        <v>0</v>
      </c>
      <c r="AV2954" s="498">
        <f t="shared" si="1032"/>
        <v>0</v>
      </c>
      <c r="AW2954" s="498">
        <f t="shared" si="1033"/>
        <v>0</v>
      </c>
      <c r="AX2954" s="498">
        <f t="shared" si="1034"/>
        <v>0</v>
      </c>
      <c r="AY2954" s="498">
        <f t="shared" si="1035"/>
        <v>0</v>
      </c>
      <c r="BB2954" s="498" t="str">
        <f t="shared" si="1036"/>
        <v/>
      </c>
      <c r="BC2954" s="743" t="str">
        <f t="shared" si="1037"/>
        <v/>
      </c>
      <c r="BD2954" s="743" t="str">
        <f t="shared" si="1038"/>
        <v/>
      </c>
      <c r="BE2954" s="743" t="str">
        <f>IF(D2954="","",VLOOKUP(D2954,'General Basis'!$J$39:$K$46,2,0))</f>
        <v/>
      </c>
      <c r="BF2954" s="744" t="str">
        <f>IF(D2954="","",VLOOKUP(D2954,'General Basis'!$J$39:$L$46,3,0))</f>
        <v/>
      </c>
      <c r="BG2954" s="744" t="str">
        <f t="shared" si="1045"/>
        <v/>
      </c>
      <c r="BH2954" s="744" t="str">
        <f>IF(G2954="","",IF(BF2954="Abu Dhabi",IF(G2954&lt;18,'General Basis'!$C$39,IF(G2954&lt;41,'General Basis'!$C$40,IF(G2954&lt;60,'General Basis'!$C$41,IF(G2954&lt;65,'General Basis'!$C$42,'General Basis'!$C$43)))),IF(G2954&lt;11,'General Basis'!$B$39,IF(G2954&lt;18,'General Basis'!$B$40,IF(G2954&lt;26,'General Basis'!$B$41,IF(G2954&lt;31,'General Basis'!$B$42,IF(G2954&lt;36,'General Basis'!$B$43,IF(G2954&lt;41,'General Basis'!$B$44,IF(G2954&lt;46,'General Basis'!$B$45,IF(G2954&lt;51,'General Basis'!$B$46,IF(G2954&lt;56,'General Basis'!$B$47,IF(G2954&lt;60,'General Basis'!$B$48,IF(G2954&lt;65,'General Basis'!$B$49,'General Basis'!$B$50)))))))))))))</f>
        <v/>
      </c>
      <c r="BI2954" s="744" t="str">
        <f t="shared" si="1039"/>
        <v/>
      </c>
      <c r="BJ2954" s="747" t="str">
        <f t="shared" si="1046"/>
        <v/>
      </c>
      <c r="BK2954" s="498" t="str">
        <f t="shared" si="1040"/>
        <v/>
      </c>
      <c r="BL2954" s="498" t="str">
        <f t="shared" si="1041"/>
        <v/>
      </c>
    </row>
    <row r="2955" spans="1:64" x14ac:dyDescent="0.25">
      <c r="A2955" s="762">
        <f t="shared" si="1042"/>
        <v>2950</v>
      </c>
      <c r="B2955" s="229"/>
      <c r="C2955" s="223"/>
      <c r="D2955" s="224"/>
      <c r="E2955" s="225"/>
      <c r="F2955" s="1036" t="str">
        <f t="shared" si="1026"/>
        <v/>
      </c>
      <c r="G2955" s="1037" t="str">
        <f t="shared" si="1043"/>
        <v/>
      </c>
      <c r="H2955" s="225"/>
      <c r="I2955" s="1013"/>
      <c r="J2955" s="1013"/>
      <c r="K2955" s="1028"/>
      <c r="L2955" s="1035" t="str">
        <f t="shared" si="1047"/>
        <v/>
      </c>
      <c r="S2955" s="498"/>
      <c r="AJ2955" s="498"/>
      <c r="AM2955" s="498">
        <f t="shared" si="1028"/>
        <v>0</v>
      </c>
      <c r="AN2955" s="498">
        <f t="shared" si="1029"/>
        <v>0</v>
      </c>
      <c r="AO2955" s="498">
        <f t="shared" si="1030"/>
        <v>0</v>
      </c>
      <c r="AP2955" s="498">
        <f t="shared" si="1027"/>
        <v>0</v>
      </c>
      <c r="AQ2955" s="498">
        <f t="shared" si="1044"/>
        <v>0</v>
      </c>
      <c r="AU2955" s="498">
        <f t="shared" si="1031"/>
        <v>0</v>
      </c>
      <c r="AV2955" s="498">
        <f t="shared" si="1032"/>
        <v>0</v>
      </c>
      <c r="AW2955" s="498">
        <f t="shared" si="1033"/>
        <v>0</v>
      </c>
      <c r="AX2955" s="498">
        <f t="shared" si="1034"/>
        <v>0</v>
      </c>
      <c r="AY2955" s="498">
        <f t="shared" si="1035"/>
        <v>0</v>
      </c>
      <c r="BB2955" s="498" t="str">
        <f t="shared" si="1036"/>
        <v/>
      </c>
      <c r="BC2955" s="743" t="str">
        <f t="shared" si="1037"/>
        <v/>
      </c>
      <c r="BD2955" s="743" t="str">
        <f t="shared" si="1038"/>
        <v/>
      </c>
      <c r="BE2955" s="743" t="str">
        <f>IF(D2955="","",VLOOKUP(D2955,'General Basis'!$J$39:$K$46,2,0))</f>
        <v/>
      </c>
      <c r="BF2955" s="744" t="str">
        <f>IF(D2955="","",VLOOKUP(D2955,'General Basis'!$J$39:$L$46,3,0))</f>
        <v/>
      </c>
      <c r="BG2955" s="744" t="str">
        <f t="shared" si="1045"/>
        <v/>
      </c>
      <c r="BH2955" s="744" t="str">
        <f>IF(G2955="","",IF(BF2955="Abu Dhabi",IF(G2955&lt;18,'General Basis'!$C$39,IF(G2955&lt;41,'General Basis'!$C$40,IF(G2955&lt;60,'General Basis'!$C$41,IF(G2955&lt;65,'General Basis'!$C$42,'General Basis'!$C$43)))),IF(G2955&lt;11,'General Basis'!$B$39,IF(G2955&lt;18,'General Basis'!$B$40,IF(G2955&lt;26,'General Basis'!$B$41,IF(G2955&lt;31,'General Basis'!$B$42,IF(G2955&lt;36,'General Basis'!$B$43,IF(G2955&lt;41,'General Basis'!$B$44,IF(G2955&lt;46,'General Basis'!$B$45,IF(G2955&lt;51,'General Basis'!$B$46,IF(G2955&lt;56,'General Basis'!$B$47,IF(G2955&lt;60,'General Basis'!$B$48,IF(G2955&lt;65,'General Basis'!$B$49,'General Basis'!$B$50)))))))))))))</f>
        <v/>
      </c>
      <c r="BI2955" s="744" t="str">
        <f t="shared" si="1039"/>
        <v/>
      </c>
      <c r="BJ2955" s="747" t="str">
        <f t="shared" si="1046"/>
        <v/>
      </c>
      <c r="BK2955" s="498" t="str">
        <f t="shared" si="1040"/>
        <v/>
      </c>
      <c r="BL2955" s="498" t="str">
        <f t="shared" si="1041"/>
        <v/>
      </c>
    </row>
    <row r="2956" spans="1:64" x14ac:dyDescent="0.25">
      <c r="A2956" s="762">
        <f t="shared" si="1042"/>
        <v>2951</v>
      </c>
      <c r="B2956" s="229"/>
      <c r="C2956" s="223"/>
      <c r="D2956" s="224"/>
      <c r="E2956" s="225"/>
      <c r="F2956" s="1036" t="str">
        <f t="shared" si="1026"/>
        <v/>
      </c>
      <c r="G2956" s="1037" t="str">
        <f t="shared" si="1043"/>
        <v/>
      </c>
      <c r="H2956" s="225"/>
      <c r="I2956" s="1013"/>
      <c r="J2956" s="1013"/>
      <c r="K2956" s="1028"/>
      <c r="L2956" s="1035" t="str">
        <f t="shared" si="1047"/>
        <v/>
      </c>
      <c r="S2956" s="498"/>
      <c r="AJ2956" s="498"/>
      <c r="AM2956" s="498">
        <f t="shared" si="1028"/>
        <v>0</v>
      </c>
      <c r="AN2956" s="498">
        <f t="shared" si="1029"/>
        <v>0</v>
      </c>
      <c r="AO2956" s="498">
        <f t="shared" si="1030"/>
        <v>0</v>
      </c>
      <c r="AP2956" s="498">
        <f t="shared" si="1027"/>
        <v>0</v>
      </c>
      <c r="AQ2956" s="498">
        <f t="shared" si="1044"/>
        <v>0</v>
      </c>
      <c r="AU2956" s="498">
        <f t="shared" si="1031"/>
        <v>0</v>
      </c>
      <c r="AV2956" s="498">
        <f t="shared" si="1032"/>
        <v>0</v>
      </c>
      <c r="AW2956" s="498">
        <f t="shared" si="1033"/>
        <v>0</v>
      </c>
      <c r="AX2956" s="498">
        <f t="shared" si="1034"/>
        <v>0</v>
      </c>
      <c r="AY2956" s="498">
        <f t="shared" si="1035"/>
        <v>0</v>
      </c>
      <c r="BB2956" s="498" t="str">
        <f t="shared" si="1036"/>
        <v/>
      </c>
      <c r="BC2956" s="743" t="str">
        <f t="shared" si="1037"/>
        <v/>
      </c>
      <c r="BD2956" s="743" t="str">
        <f t="shared" si="1038"/>
        <v/>
      </c>
      <c r="BE2956" s="743" t="str">
        <f>IF(D2956="","",VLOOKUP(D2956,'General Basis'!$J$39:$K$46,2,0))</f>
        <v/>
      </c>
      <c r="BF2956" s="744" t="str">
        <f>IF(D2956="","",VLOOKUP(D2956,'General Basis'!$J$39:$L$46,3,0))</f>
        <v/>
      </c>
      <c r="BG2956" s="744" t="str">
        <f t="shared" si="1045"/>
        <v/>
      </c>
      <c r="BH2956" s="744" t="str">
        <f>IF(G2956="","",IF(BF2956="Abu Dhabi",IF(G2956&lt;18,'General Basis'!$C$39,IF(G2956&lt;41,'General Basis'!$C$40,IF(G2956&lt;60,'General Basis'!$C$41,IF(G2956&lt;65,'General Basis'!$C$42,'General Basis'!$C$43)))),IF(G2956&lt;11,'General Basis'!$B$39,IF(G2956&lt;18,'General Basis'!$B$40,IF(G2956&lt;26,'General Basis'!$B$41,IF(G2956&lt;31,'General Basis'!$B$42,IF(G2956&lt;36,'General Basis'!$B$43,IF(G2956&lt;41,'General Basis'!$B$44,IF(G2956&lt;46,'General Basis'!$B$45,IF(G2956&lt;51,'General Basis'!$B$46,IF(G2956&lt;56,'General Basis'!$B$47,IF(G2956&lt;60,'General Basis'!$B$48,IF(G2956&lt;65,'General Basis'!$B$49,'General Basis'!$B$50)))))))))))))</f>
        <v/>
      </c>
      <c r="BI2956" s="744" t="str">
        <f t="shared" si="1039"/>
        <v/>
      </c>
      <c r="BJ2956" s="747" t="str">
        <f t="shared" si="1046"/>
        <v/>
      </c>
      <c r="BK2956" s="498" t="str">
        <f t="shared" si="1040"/>
        <v/>
      </c>
      <c r="BL2956" s="498" t="str">
        <f t="shared" si="1041"/>
        <v/>
      </c>
    </row>
    <row r="2957" spans="1:64" x14ac:dyDescent="0.25">
      <c r="A2957" s="762">
        <f t="shared" si="1042"/>
        <v>2952</v>
      </c>
      <c r="B2957" s="229"/>
      <c r="C2957" s="223"/>
      <c r="D2957" s="224"/>
      <c r="E2957" s="225"/>
      <c r="F2957" s="1036" t="str">
        <f t="shared" si="1026"/>
        <v/>
      </c>
      <c r="G2957" s="1037" t="str">
        <f t="shared" si="1043"/>
        <v/>
      </c>
      <c r="H2957" s="225"/>
      <c r="I2957" s="1013"/>
      <c r="J2957" s="1013"/>
      <c r="K2957" s="1028"/>
      <c r="L2957" s="1035" t="str">
        <f t="shared" si="1047"/>
        <v/>
      </c>
      <c r="S2957" s="498"/>
      <c r="AJ2957" s="498"/>
      <c r="AM2957" s="498">
        <f t="shared" si="1028"/>
        <v>0</v>
      </c>
      <c r="AN2957" s="498">
        <f t="shared" si="1029"/>
        <v>0</v>
      </c>
      <c r="AO2957" s="498">
        <f t="shared" si="1030"/>
        <v>0</v>
      </c>
      <c r="AP2957" s="498">
        <f t="shared" si="1027"/>
        <v>0</v>
      </c>
      <c r="AQ2957" s="498">
        <f t="shared" si="1044"/>
        <v>0</v>
      </c>
      <c r="AU2957" s="498">
        <f t="shared" si="1031"/>
        <v>0</v>
      </c>
      <c r="AV2957" s="498">
        <f t="shared" si="1032"/>
        <v>0</v>
      </c>
      <c r="AW2957" s="498">
        <f t="shared" si="1033"/>
        <v>0</v>
      </c>
      <c r="AX2957" s="498">
        <f t="shared" si="1034"/>
        <v>0</v>
      </c>
      <c r="AY2957" s="498">
        <f t="shared" si="1035"/>
        <v>0</v>
      </c>
      <c r="BB2957" s="498" t="str">
        <f t="shared" si="1036"/>
        <v/>
      </c>
      <c r="BC2957" s="743" t="str">
        <f t="shared" si="1037"/>
        <v/>
      </c>
      <c r="BD2957" s="743" t="str">
        <f t="shared" si="1038"/>
        <v/>
      </c>
      <c r="BE2957" s="743" t="str">
        <f>IF(D2957="","",VLOOKUP(D2957,'General Basis'!$J$39:$K$46,2,0))</f>
        <v/>
      </c>
      <c r="BF2957" s="744" t="str">
        <f>IF(D2957="","",VLOOKUP(D2957,'General Basis'!$J$39:$L$46,3,0))</f>
        <v/>
      </c>
      <c r="BG2957" s="744" t="str">
        <f t="shared" si="1045"/>
        <v/>
      </c>
      <c r="BH2957" s="744" t="str">
        <f>IF(G2957="","",IF(BF2957="Abu Dhabi",IF(G2957&lt;18,'General Basis'!$C$39,IF(G2957&lt;41,'General Basis'!$C$40,IF(G2957&lt;60,'General Basis'!$C$41,IF(G2957&lt;65,'General Basis'!$C$42,'General Basis'!$C$43)))),IF(G2957&lt;11,'General Basis'!$B$39,IF(G2957&lt;18,'General Basis'!$B$40,IF(G2957&lt;26,'General Basis'!$B$41,IF(G2957&lt;31,'General Basis'!$B$42,IF(G2957&lt;36,'General Basis'!$B$43,IF(G2957&lt;41,'General Basis'!$B$44,IF(G2957&lt;46,'General Basis'!$B$45,IF(G2957&lt;51,'General Basis'!$B$46,IF(G2957&lt;56,'General Basis'!$B$47,IF(G2957&lt;60,'General Basis'!$B$48,IF(G2957&lt;65,'General Basis'!$B$49,'General Basis'!$B$50)))))))))))))</f>
        <v/>
      </c>
      <c r="BI2957" s="744" t="str">
        <f t="shared" si="1039"/>
        <v/>
      </c>
      <c r="BJ2957" s="747" t="str">
        <f t="shared" si="1046"/>
        <v/>
      </c>
      <c r="BK2957" s="498" t="str">
        <f t="shared" si="1040"/>
        <v/>
      </c>
      <c r="BL2957" s="498" t="str">
        <f t="shared" si="1041"/>
        <v/>
      </c>
    </row>
    <row r="2958" spans="1:64" x14ac:dyDescent="0.25">
      <c r="A2958" s="762">
        <f t="shared" si="1042"/>
        <v>2953</v>
      </c>
      <c r="B2958" s="229"/>
      <c r="C2958" s="223"/>
      <c r="D2958" s="224"/>
      <c r="E2958" s="225"/>
      <c r="F2958" s="1036" t="str">
        <f t="shared" si="1026"/>
        <v/>
      </c>
      <c r="G2958" s="1037" t="str">
        <f t="shared" si="1043"/>
        <v/>
      </c>
      <c r="H2958" s="225"/>
      <c r="I2958" s="1013"/>
      <c r="J2958" s="1013"/>
      <c r="K2958" s="1028"/>
      <c r="L2958" s="1035" t="str">
        <f t="shared" si="1047"/>
        <v/>
      </c>
      <c r="S2958" s="498"/>
      <c r="AJ2958" s="498"/>
      <c r="AM2958" s="498">
        <f t="shared" si="1028"/>
        <v>0</v>
      </c>
      <c r="AN2958" s="498">
        <f t="shared" si="1029"/>
        <v>0</v>
      </c>
      <c r="AO2958" s="498">
        <f t="shared" si="1030"/>
        <v>0</v>
      </c>
      <c r="AP2958" s="498">
        <f t="shared" si="1027"/>
        <v>0</v>
      </c>
      <c r="AQ2958" s="498">
        <f t="shared" si="1044"/>
        <v>0</v>
      </c>
      <c r="AU2958" s="498">
        <f t="shared" si="1031"/>
        <v>0</v>
      </c>
      <c r="AV2958" s="498">
        <f t="shared" si="1032"/>
        <v>0</v>
      </c>
      <c r="AW2958" s="498">
        <f t="shared" si="1033"/>
        <v>0</v>
      </c>
      <c r="AX2958" s="498">
        <f t="shared" si="1034"/>
        <v>0</v>
      </c>
      <c r="AY2958" s="498">
        <f t="shared" si="1035"/>
        <v>0</v>
      </c>
      <c r="BB2958" s="498" t="str">
        <f t="shared" si="1036"/>
        <v/>
      </c>
      <c r="BC2958" s="743" t="str">
        <f t="shared" si="1037"/>
        <v/>
      </c>
      <c r="BD2958" s="743" t="str">
        <f t="shared" si="1038"/>
        <v/>
      </c>
      <c r="BE2958" s="743" t="str">
        <f>IF(D2958="","",VLOOKUP(D2958,'General Basis'!$J$39:$K$46,2,0))</f>
        <v/>
      </c>
      <c r="BF2958" s="744" t="str">
        <f>IF(D2958="","",VLOOKUP(D2958,'General Basis'!$J$39:$L$46,3,0))</f>
        <v/>
      </c>
      <c r="BG2958" s="744" t="str">
        <f t="shared" si="1045"/>
        <v/>
      </c>
      <c r="BH2958" s="744" t="str">
        <f>IF(G2958="","",IF(BF2958="Abu Dhabi",IF(G2958&lt;18,'General Basis'!$C$39,IF(G2958&lt;41,'General Basis'!$C$40,IF(G2958&lt;60,'General Basis'!$C$41,IF(G2958&lt;65,'General Basis'!$C$42,'General Basis'!$C$43)))),IF(G2958&lt;11,'General Basis'!$B$39,IF(G2958&lt;18,'General Basis'!$B$40,IF(G2958&lt;26,'General Basis'!$B$41,IF(G2958&lt;31,'General Basis'!$B$42,IF(G2958&lt;36,'General Basis'!$B$43,IF(G2958&lt;41,'General Basis'!$B$44,IF(G2958&lt;46,'General Basis'!$B$45,IF(G2958&lt;51,'General Basis'!$B$46,IF(G2958&lt;56,'General Basis'!$B$47,IF(G2958&lt;60,'General Basis'!$B$48,IF(G2958&lt;65,'General Basis'!$B$49,'General Basis'!$B$50)))))))))))))</f>
        <v/>
      </c>
      <c r="BI2958" s="744" t="str">
        <f t="shared" si="1039"/>
        <v/>
      </c>
      <c r="BJ2958" s="747" t="str">
        <f t="shared" si="1046"/>
        <v/>
      </c>
      <c r="BK2958" s="498" t="str">
        <f t="shared" si="1040"/>
        <v/>
      </c>
      <c r="BL2958" s="498" t="str">
        <f t="shared" si="1041"/>
        <v/>
      </c>
    </row>
    <row r="2959" spans="1:64" x14ac:dyDescent="0.25">
      <c r="A2959" s="762">
        <f t="shared" si="1042"/>
        <v>2954</v>
      </c>
      <c r="B2959" s="229"/>
      <c r="C2959" s="223"/>
      <c r="D2959" s="224"/>
      <c r="E2959" s="225"/>
      <c r="F2959" s="1036" t="str">
        <f t="shared" si="1026"/>
        <v/>
      </c>
      <c r="G2959" s="1037" t="str">
        <f t="shared" si="1043"/>
        <v/>
      </c>
      <c r="H2959" s="225"/>
      <c r="I2959" s="1013"/>
      <c r="J2959" s="1013"/>
      <c r="K2959" s="1028"/>
      <c r="L2959" s="1035" t="str">
        <f t="shared" si="1047"/>
        <v/>
      </c>
      <c r="S2959" s="498"/>
      <c r="AJ2959" s="498"/>
      <c r="AM2959" s="498">
        <f t="shared" si="1028"/>
        <v>0</v>
      </c>
      <c r="AN2959" s="498">
        <f t="shared" si="1029"/>
        <v>0</v>
      </c>
      <c r="AO2959" s="498">
        <f t="shared" si="1030"/>
        <v>0</v>
      </c>
      <c r="AP2959" s="498">
        <f t="shared" si="1027"/>
        <v>0</v>
      </c>
      <c r="AQ2959" s="498">
        <f t="shared" si="1044"/>
        <v>0</v>
      </c>
      <c r="AU2959" s="498">
        <f t="shared" si="1031"/>
        <v>0</v>
      </c>
      <c r="AV2959" s="498">
        <f t="shared" si="1032"/>
        <v>0</v>
      </c>
      <c r="AW2959" s="498">
        <f t="shared" si="1033"/>
        <v>0</v>
      </c>
      <c r="AX2959" s="498">
        <f t="shared" si="1034"/>
        <v>0</v>
      </c>
      <c r="AY2959" s="498">
        <f t="shared" si="1035"/>
        <v>0</v>
      </c>
      <c r="BB2959" s="498" t="str">
        <f t="shared" si="1036"/>
        <v/>
      </c>
      <c r="BC2959" s="743" t="str">
        <f t="shared" si="1037"/>
        <v/>
      </c>
      <c r="BD2959" s="743" t="str">
        <f t="shared" si="1038"/>
        <v/>
      </c>
      <c r="BE2959" s="743" t="str">
        <f>IF(D2959="","",VLOOKUP(D2959,'General Basis'!$J$39:$K$46,2,0))</f>
        <v/>
      </c>
      <c r="BF2959" s="744" t="str">
        <f>IF(D2959="","",VLOOKUP(D2959,'General Basis'!$J$39:$L$46,3,0))</f>
        <v/>
      </c>
      <c r="BG2959" s="744" t="str">
        <f t="shared" si="1045"/>
        <v/>
      </c>
      <c r="BH2959" s="744" t="str">
        <f>IF(G2959="","",IF(BF2959="Abu Dhabi",IF(G2959&lt;18,'General Basis'!$C$39,IF(G2959&lt;41,'General Basis'!$C$40,IF(G2959&lt;60,'General Basis'!$C$41,IF(G2959&lt;65,'General Basis'!$C$42,'General Basis'!$C$43)))),IF(G2959&lt;11,'General Basis'!$B$39,IF(G2959&lt;18,'General Basis'!$B$40,IF(G2959&lt;26,'General Basis'!$B$41,IF(G2959&lt;31,'General Basis'!$B$42,IF(G2959&lt;36,'General Basis'!$B$43,IF(G2959&lt;41,'General Basis'!$B$44,IF(G2959&lt;46,'General Basis'!$B$45,IF(G2959&lt;51,'General Basis'!$B$46,IF(G2959&lt;56,'General Basis'!$B$47,IF(G2959&lt;60,'General Basis'!$B$48,IF(G2959&lt;65,'General Basis'!$B$49,'General Basis'!$B$50)))))))))))))</f>
        <v/>
      </c>
      <c r="BI2959" s="744" t="str">
        <f t="shared" si="1039"/>
        <v/>
      </c>
      <c r="BJ2959" s="747" t="str">
        <f t="shared" si="1046"/>
        <v/>
      </c>
      <c r="BK2959" s="498" t="str">
        <f t="shared" si="1040"/>
        <v/>
      </c>
      <c r="BL2959" s="498" t="str">
        <f t="shared" si="1041"/>
        <v/>
      </c>
    </row>
    <row r="2960" spans="1:64" x14ac:dyDescent="0.25">
      <c r="A2960" s="762">
        <f t="shared" si="1042"/>
        <v>2955</v>
      </c>
      <c r="B2960" s="229"/>
      <c r="C2960" s="223"/>
      <c r="D2960" s="224"/>
      <c r="E2960" s="225"/>
      <c r="F2960" s="1036" t="str">
        <f t="shared" ref="F2960:F3023" si="1048">IF(C2960="","",IF($B2960="","",((YEAR($F$3)-YEAR($B2960))+(MONTH($F$3)-MONTH($B2960))/12+(DAY($F$3)-DAY($B2960))/(DATE(YEAR($F$3),12,31)-DATE(YEAR($F$3),1,1)+1))))</f>
        <v/>
      </c>
      <c r="G2960" s="1037" t="str">
        <f t="shared" si="1043"/>
        <v/>
      </c>
      <c r="H2960" s="225"/>
      <c r="I2960" s="1013"/>
      <c r="J2960" s="1013"/>
      <c r="K2960" s="1028"/>
      <c r="L2960" s="1035" t="str">
        <f t="shared" si="1047"/>
        <v/>
      </c>
      <c r="S2960" s="498"/>
      <c r="AJ2960" s="498"/>
      <c r="AM2960" s="498">
        <f t="shared" si="1028"/>
        <v>0</v>
      </c>
      <c r="AN2960" s="498">
        <f t="shared" si="1029"/>
        <v>0</v>
      </c>
      <c r="AO2960" s="498">
        <f t="shared" si="1030"/>
        <v>0</v>
      </c>
      <c r="AP2960" s="498">
        <f t="shared" si="1027"/>
        <v>0</v>
      </c>
      <c r="AQ2960" s="498">
        <f t="shared" si="1044"/>
        <v>0</v>
      </c>
      <c r="AU2960" s="498">
        <f t="shared" si="1031"/>
        <v>0</v>
      </c>
      <c r="AV2960" s="498">
        <f t="shared" si="1032"/>
        <v>0</v>
      </c>
      <c r="AW2960" s="498">
        <f t="shared" si="1033"/>
        <v>0</v>
      </c>
      <c r="AX2960" s="498">
        <f t="shared" si="1034"/>
        <v>0</v>
      </c>
      <c r="AY2960" s="498">
        <f t="shared" si="1035"/>
        <v>0</v>
      </c>
      <c r="BB2960" s="498" t="str">
        <f t="shared" si="1036"/>
        <v/>
      </c>
      <c r="BC2960" s="743" t="str">
        <f t="shared" si="1037"/>
        <v/>
      </c>
      <c r="BD2960" s="743" t="str">
        <f t="shared" si="1038"/>
        <v/>
      </c>
      <c r="BE2960" s="743" t="str">
        <f>IF(D2960="","",VLOOKUP(D2960,'General Basis'!$J$39:$K$46,2,0))</f>
        <v/>
      </c>
      <c r="BF2960" s="744" t="str">
        <f>IF(D2960="","",VLOOKUP(D2960,'General Basis'!$J$39:$L$46,3,0))</f>
        <v/>
      </c>
      <c r="BG2960" s="744" t="str">
        <f t="shared" si="1045"/>
        <v/>
      </c>
      <c r="BH2960" s="744" t="str">
        <f>IF(G2960="","",IF(BF2960="Abu Dhabi",IF(G2960&lt;18,'General Basis'!$C$39,IF(G2960&lt;41,'General Basis'!$C$40,IF(G2960&lt;60,'General Basis'!$C$41,IF(G2960&lt;65,'General Basis'!$C$42,'General Basis'!$C$43)))),IF(G2960&lt;11,'General Basis'!$B$39,IF(G2960&lt;18,'General Basis'!$B$40,IF(G2960&lt;26,'General Basis'!$B$41,IF(G2960&lt;31,'General Basis'!$B$42,IF(G2960&lt;36,'General Basis'!$B$43,IF(G2960&lt;41,'General Basis'!$B$44,IF(G2960&lt;46,'General Basis'!$B$45,IF(G2960&lt;51,'General Basis'!$B$46,IF(G2960&lt;56,'General Basis'!$B$47,IF(G2960&lt;60,'General Basis'!$B$48,IF(G2960&lt;65,'General Basis'!$B$49,'General Basis'!$B$50)))))))))))))</f>
        <v/>
      </c>
      <c r="BI2960" s="744" t="str">
        <f t="shared" si="1039"/>
        <v/>
      </c>
      <c r="BJ2960" s="747" t="str">
        <f t="shared" si="1046"/>
        <v/>
      </c>
      <c r="BK2960" s="498" t="str">
        <f t="shared" si="1040"/>
        <v/>
      </c>
      <c r="BL2960" s="498" t="str">
        <f t="shared" si="1041"/>
        <v/>
      </c>
    </row>
    <row r="2961" spans="1:64" x14ac:dyDescent="0.25">
      <c r="A2961" s="762">
        <f t="shared" si="1042"/>
        <v>2956</v>
      </c>
      <c r="B2961" s="229"/>
      <c r="C2961" s="223"/>
      <c r="D2961" s="224"/>
      <c r="E2961" s="225"/>
      <c r="F2961" s="1036" t="str">
        <f t="shared" si="1048"/>
        <v/>
      </c>
      <c r="G2961" s="1037" t="str">
        <f t="shared" si="1043"/>
        <v/>
      </c>
      <c r="H2961" s="225"/>
      <c r="I2961" s="1013"/>
      <c r="J2961" s="1013"/>
      <c r="K2961" s="1028"/>
      <c r="L2961" s="1035" t="str">
        <f t="shared" si="1047"/>
        <v/>
      </c>
      <c r="S2961" s="498"/>
      <c r="AJ2961" s="498"/>
      <c r="AM2961" s="498">
        <f t="shared" si="1028"/>
        <v>0</v>
      </c>
      <c r="AN2961" s="498">
        <f t="shared" si="1029"/>
        <v>0</v>
      </c>
      <c r="AO2961" s="498">
        <f t="shared" si="1030"/>
        <v>0</v>
      </c>
      <c r="AP2961" s="498">
        <f t="shared" si="1027"/>
        <v>0</v>
      </c>
      <c r="AQ2961" s="498">
        <f t="shared" si="1044"/>
        <v>0</v>
      </c>
      <c r="AU2961" s="498">
        <f t="shared" si="1031"/>
        <v>0</v>
      </c>
      <c r="AV2961" s="498">
        <f t="shared" si="1032"/>
        <v>0</v>
      </c>
      <c r="AW2961" s="498">
        <f t="shared" si="1033"/>
        <v>0</v>
      </c>
      <c r="AX2961" s="498">
        <f t="shared" si="1034"/>
        <v>0</v>
      </c>
      <c r="AY2961" s="498">
        <f t="shared" si="1035"/>
        <v>0</v>
      </c>
      <c r="BB2961" s="498" t="str">
        <f t="shared" si="1036"/>
        <v/>
      </c>
      <c r="BC2961" s="743" t="str">
        <f t="shared" si="1037"/>
        <v/>
      </c>
      <c r="BD2961" s="743" t="str">
        <f t="shared" si="1038"/>
        <v/>
      </c>
      <c r="BE2961" s="743" t="str">
        <f>IF(D2961="","",VLOOKUP(D2961,'General Basis'!$J$39:$K$46,2,0))</f>
        <v/>
      </c>
      <c r="BF2961" s="744" t="str">
        <f>IF(D2961="","",VLOOKUP(D2961,'General Basis'!$J$39:$L$46,3,0))</f>
        <v/>
      </c>
      <c r="BG2961" s="744" t="str">
        <f t="shared" si="1045"/>
        <v/>
      </c>
      <c r="BH2961" s="744" t="str">
        <f>IF(G2961="","",IF(BF2961="Abu Dhabi",IF(G2961&lt;18,'General Basis'!$C$39,IF(G2961&lt;41,'General Basis'!$C$40,IF(G2961&lt;60,'General Basis'!$C$41,IF(G2961&lt;65,'General Basis'!$C$42,'General Basis'!$C$43)))),IF(G2961&lt;11,'General Basis'!$B$39,IF(G2961&lt;18,'General Basis'!$B$40,IF(G2961&lt;26,'General Basis'!$B$41,IF(G2961&lt;31,'General Basis'!$B$42,IF(G2961&lt;36,'General Basis'!$B$43,IF(G2961&lt;41,'General Basis'!$B$44,IF(G2961&lt;46,'General Basis'!$B$45,IF(G2961&lt;51,'General Basis'!$B$46,IF(G2961&lt;56,'General Basis'!$B$47,IF(G2961&lt;60,'General Basis'!$B$48,IF(G2961&lt;65,'General Basis'!$B$49,'General Basis'!$B$50)))))))))))))</f>
        <v/>
      </c>
      <c r="BI2961" s="744" t="str">
        <f t="shared" si="1039"/>
        <v/>
      </c>
      <c r="BJ2961" s="747" t="str">
        <f t="shared" si="1046"/>
        <v/>
      </c>
      <c r="BK2961" s="498" t="str">
        <f t="shared" si="1040"/>
        <v/>
      </c>
      <c r="BL2961" s="498" t="str">
        <f t="shared" si="1041"/>
        <v/>
      </c>
    </row>
    <row r="2962" spans="1:64" x14ac:dyDescent="0.25">
      <c r="A2962" s="762">
        <f t="shared" si="1042"/>
        <v>2957</v>
      </c>
      <c r="B2962" s="229"/>
      <c r="C2962" s="223"/>
      <c r="D2962" s="224"/>
      <c r="E2962" s="225"/>
      <c r="F2962" s="1036" t="str">
        <f t="shared" si="1048"/>
        <v/>
      </c>
      <c r="G2962" s="1037" t="str">
        <f t="shared" si="1043"/>
        <v/>
      </c>
      <c r="H2962" s="225"/>
      <c r="I2962" s="1013"/>
      <c r="J2962" s="1013"/>
      <c r="K2962" s="1028"/>
      <c r="L2962" s="1035" t="str">
        <f t="shared" si="1047"/>
        <v/>
      </c>
      <c r="S2962" s="498"/>
      <c r="AJ2962" s="498"/>
      <c r="AM2962" s="498">
        <f t="shared" si="1028"/>
        <v>0</v>
      </c>
      <c r="AN2962" s="498">
        <f t="shared" si="1029"/>
        <v>0</v>
      </c>
      <c r="AO2962" s="498">
        <f t="shared" si="1030"/>
        <v>0</v>
      </c>
      <c r="AP2962" s="498">
        <f t="shared" si="1027"/>
        <v>0</v>
      </c>
      <c r="AQ2962" s="498">
        <f t="shared" si="1044"/>
        <v>0</v>
      </c>
      <c r="AU2962" s="498">
        <f t="shared" si="1031"/>
        <v>0</v>
      </c>
      <c r="AV2962" s="498">
        <f t="shared" si="1032"/>
        <v>0</v>
      </c>
      <c r="AW2962" s="498">
        <f t="shared" si="1033"/>
        <v>0</v>
      </c>
      <c r="AX2962" s="498">
        <f t="shared" si="1034"/>
        <v>0</v>
      </c>
      <c r="AY2962" s="498">
        <f t="shared" si="1035"/>
        <v>0</v>
      </c>
      <c r="BB2962" s="498" t="str">
        <f t="shared" si="1036"/>
        <v/>
      </c>
      <c r="BC2962" s="743" t="str">
        <f t="shared" si="1037"/>
        <v/>
      </c>
      <c r="BD2962" s="743" t="str">
        <f t="shared" si="1038"/>
        <v/>
      </c>
      <c r="BE2962" s="743" t="str">
        <f>IF(D2962="","",VLOOKUP(D2962,'General Basis'!$J$39:$K$46,2,0))</f>
        <v/>
      </c>
      <c r="BF2962" s="744" t="str">
        <f>IF(D2962="","",VLOOKUP(D2962,'General Basis'!$J$39:$L$46,3,0))</f>
        <v/>
      </c>
      <c r="BG2962" s="744" t="str">
        <f t="shared" si="1045"/>
        <v/>
      </c>
      <c r="BH2962" s="744" t="str">
        <f>IF(G2962="","",IF(BF2962="Abu Dhabi",IF(G2962&lt;18,'General Basis'!$C$39,IF(G2962&lt;41,'General Basis'!$C$40,IF(G2962&lt;60,'General Basis'!$C$41,IF(G2962&lt;65,'General Basis'!$C$42,'General Basis'!$C$43)))),IF(G2962&lt;11,'General Basis'!$B$39,IF(G2962&lt;18,'General Basis'!$B$40,IF(G2962&lt;26,'General Basis'!$B$41,IF(G2962&lt;31,'General Basis'!$B$42,IF(G2962&lt;36,'General Basis'!$B$43,IF(G2962&lt;41,'General Basis'!$B$44,IF(G2962&lt;46,'General Basis'!$B$45,IF(G2962&lt;51,'General Basis'!$B$46,IF(G2962&lt;56,'General Basis'!$B$47,IF(G2962&lt;60,'General Basis'!$B$48,IF(G2962&lt;65,'General Basis'!$B$49,'General Basis'!$B$50)))))))))))))</f>
        <v/>
      </c>
      <c r="BI2962" s="744" t="str">
        <f t="shared" si="1039"/>
        <v/>
      </c>
      <c r="BJ2962" s="747" t="str">
        <f t="shared" si="1046"/>
        <v/>
      </c>
      <c r="BK2962" s="498" t="str">
        <f t="shared" si="1040"/>
        <v/>
      </c>
      <c r="BL2962" s="498" t="str">
        <f t="shared" si="1041"/>
        <v/>
      </c>
    </row>
    <row r="2963" spans="1:64" x14ac:dyDescent="0.25">
      <c r="A2963" s="762">
        <f t="shared" si="1042"/>
        <v>2958</v>
      </c>
      <c r="B2963" s="229"/>
      <c r="C2963" s="223"/>
      <c r="D2963" s="224"/>
      <c r="E2963" s="225"/>
      <c r="F2963" s="1036" t="str">
        <f t="shared" si="1048"/>
        <v/>
      </c>
      <c r="G2963" s="1037" t="str">
        <f t="shared" si="1043"/>
        <v/>
      </c>
      <c r="H2963" s="225"/>
      <c r="I2963" s="1013"/>
      <c r="J2963" s="1013"/>
      <c r="K2963" s="1028"/>
      <c r="L2963" s="1035" t="str">
        <f t="shared" si="1047"/>
        <v/>
      </c>
      <c r="S2963" s="498"/>
      <c r="AJ2963" s="498"/>
      <c r="AM2963" s="498">
        <f t="shared" si="1028"/>
        <v>0</v>
      </c>
      <c r="AN2963" s="498">
        <f t="shared" si="1029"/>
        <v>0</v>
      </c>
      <c r="AO2963" s="498">
        <f t="shared" si="1030"/>
        <v>0</v>
      </c>
      <c r="AP2963" s="498">
        <f t="shared" ref="AP2963:AP3026" si="1049">IF(ISBLANK($B2963),0,IF(OR($C2963="M",$C2963="F"),0,1))</f>
        <v>0</v>
      </c>
      <c r="AQ2963" s="498">
        <f t="shared" si="1044"/>
        <v>0</v>
      </c>
      <c r="AU2963" s="498">
        <f t="shared" si="1031"/>
        <v>0</v>
      </c>
      <c r="AV2963" s="498">
        <f t="shared" si="1032"/>
        <v>0</v>
      </c>
      <c r="AW2963" s="498">
        <f t="shared" si="1033"/>
        <v>0</v>
      </c>
      <c r="AX2963" s="498">
        <f t="shared" si="1034"/>
        <v>0</v>
      </c>
      <c r="AY2963" s="498">
        <f t="shared" si="1035"/>
        <v>0</v>
      </c>
      <c r="BB2963" s="498" t="str">
        <f t="shared" si="1036"/>
        <v/>
      </c>
      <c r="BC2963" s="743" t="str">
        <f t="shared" si="1037"/>
        <v/>
      </c>
      <c r="BD2963" s="743" t="str">
        <f t="shared" si="1038"/>
        <v/>
      </c>
      <c r="BE2963" s="743" t="str">
        <f>IF(D2963="","",VLOOKUP(D2963,'General Basis'!$J$39:$K$46,2,0))</f>
        <v/>
      </c>
      <c r="BF2963" s="744" t="str">
        <f>IF(D2963="","",VLOOKUP(D2963,'General Basis'!$J$39:$L$46,3,0))</f>
        <v/>
      </c>
      <c r="BG2963" s="744" t="str">
        <f t="shared" si="1045"/>
        <v/>
      </c>
      <c r="BH2963" s="744" t="str">
        <f>IF(G2963="","",IF(BF2963="Abu Dhabi",IF(G2963&lt;18,'General Basis'!$C$39,IF(G2963&lt;41,'General Basis'!$C$40,IF(G2963&lt;60,'General Basis'!$C$41,IF(G2963&lt;65,'General Basis'!$C$42,'General Basis'!$C$43)))),IF(G2963&lt;11,'General Basis'!$B$39,IF(G2963&lt;18,'General Basis'!$B$40,IF(G2963&lt;26,'General Basis'!$B$41,IF(G2963&lt;31,'General Basis'!$B$42,IF(G2963&lt;36,'General Basis'!$B$43,IF(G2963&lt;41,'General Basis'!$B$44,IF(G2963&lt;46,'General Basis'!$B$45,IF(G2963&lt;51,'General Basis'!$B$46,IF(G2963&lt;56,'General Basis'!$B$47,IF(G2963&lt;60,'General Basis'!$B$48,IF(G2963&lt;65,'General Basis'!$B$49,'General Basis'!$B$50)))))))))))))</f>
        <v/>
      </c>
      <c r="BI2963" s="744" t="str">
        <f t="shared" si="1039"/>
        <v/>
      </c>
      <c r="BJ2963" s="747" t="str">
        <f t="shared" si="1046"/>
        <v/>
      </c>
      <c r="BK2963" s="498" t="str">
        <f t="shared" si="1040"/>
        <v/>
      </c>
      <c r="BL2963" s="498" t="str">
        <f t="shared" si="1041"/>
        <v/>
      </c>
    </row>
    <row r="2964" spans="1:64" x14ac:dyDescent="0.25">
      <c r="A2964" s="762">
        <f t="shared" si="1042"/>
        <v>2959</v>
      </c>
      <c r="B2964" s="229"/>
      <c r="C2964" s="223"/>
      <c r="D2964" s="224"/>
      <c r="E2964" s="225"/>
      <c r="F2964" s="1036" t="str">
        <f t="shared" si="1048"/>
        <v/>
      </c>
      <c r="G2964" s="1037" t="str">
        <f t="shared" si="1043"/>
        <v/>
      </c>
      <c r="H2964" s="225"/>
      <c r="I2964" s="1013"/>
      <c r="J2964" s="1013"/>
      <c r="K2964" s="1028"/>
      <c r="L2964" s="1035" t="str">
        <f t="shared" si="1047"/>
        <v/>
      </c>
      <c r="S2964" s="498"/>
      <c r="AJ2964" s="498"/>
      <c r="AM2964" s="498">
        <f t="shared" si="1028"/>
        <v>0</v>
      </c>
      <c r="AN2964" s="498">
        <f t="shared" si="1029"/>
        <v>0</v>
      </c>
      <c r="AO2964" s="498">
        <f t="shared" si="1030"/>
        <v>0</v>
      </c>
      <c r="AP2964" s="498">
        <f t="shared" si="1049"/>
        <v>0</v>
      </c>
      <c r="AQ2964" s="498">
        <f t="shared" si="1044"/>
        <v>0</v>
      </c>
      <c r="AU2964" s="498">
        <f t="shared" si="1031"/>
        <v>0</v>
      </c>
      <c r="AV2964" s="498">
        <f t="shared" si="1032"/>
        <v>0</v>
      </c>
      <c r="AW2964" s="498">
        <f t="shared" si="1033"/>
        <v>0</v>
      </c>
      <c r="AX2964" s="498">
        <f t="shared" si="1034"/>
        <v>0</v>
      </c>
      <c r="AY2964" s="498">
        <f t="shared" si="1035"/>
        <v>0</v>
      </c>
      <c r="BB2964" s="498" t="str">
        <f t="shared" si="1036"/>
        <v/>
      </c>
      <c r="BC2964" s="743" t="str">
        <f t="shared" si="1037"/>
        <v/>
      </c>
      <c r="BD2964" s="743" t="str">
        <f t="shared" si="1038"/>
        <v/>
      </c>
      <c r="BE2964" s="743" t="str">
        <f>IF(D2964="","",VLOOKUP(D2964,'General Basis'!$J$39:$K$46,2,0))</f>
        <v/>
      </c>
      <c r="BF2964" s="744" t="str">
        <f>IF(D2964="","",VLOOKUP(D2964,'General Basis'!$J$39:$L$46,3,0))</f>
        <v/>
      </c>
      <c r="BG2964" s="744" t="str">
        <f t="shared" si="1045"/>
        <v/>
      </c>
      <c r="BH2964" s="744" t="str">
        <f>IF(G2964="","",IF(BF2964="Abu Dhabi",IF(G2964&lt;18,'General Basis'!$C$39,IF(G2964&lt;41,'General Basis'!$C$40,IF(G2964&lt;60,'General Basis'!$C$41,IF(G2964&lt;65,'General Basis'!$C$42,'General Basis'!$C$43)))),IF(G2964&lt;11,'General Basis'!$B$39,IF(G2964&lt;18,'General Basis'!$B$40,IF(G2964&lt;26,'General Basis'!$B$41,IF(G2964&lt;31,'General Basis'!$B$42,IF(G2964&lt;36,'General Basis'!$B$43,IF(G2964&lt;41,'General Basis'!$B$44,IF(G2964&lt;46,'General Basis'!$B$45,IF(G2964&lt;51,'General Basis'!$B$46,IF(G2964&lt;56,'General Basis'!$B$47,IF(G2964&lt;60,'General Basis'!$B$48,IF(G2964&lt;65,'General Basis'!$B$49,'General Basis'!$B$50)))))))))))))</f>
        <v/>
      </c>
      <c r="BI2964" s="744" t="str">
        <f t="shared" si="1039"/>
        <v/>
      </c>
      <c r="BJ2964" s="747" t="str">
        <f t="shared" si="1046"/>
        <v/>
      </c>
      <c r="BK2964" s="498" t="str">
        <f t="shared" si="1040"/>
        <v/>
      </c>
      <c r="BL2964" s="498" t="str">
        <f t="shared" si="1041"/>
        <v/>
      </c>
    </row>
    <row r="2965" spans="1:64" x14ac:dyDescent="0.25">
      <c r="A2965" s="762">
        <f t="shared" si="1042"/>
        <v>2960</v>
      </c>
      <c r="B2965" s="229"/>
      <c r="C2965" s="223"/>
      <c r="D2965" s="224"/>
      <c r="E2965" s="225"/>
      <c r="F2965" s="1036" t="str">
        <f t="shared" si="1048"/>
        <v/>
      </c>
      <c r="G2965" s="1037" t="str">
        <f t="shared" si="1043"/>
        <v/>
      </c>
      <c r="H2965" s="225"/>
      <c r="I2965" s="1013"/>
      <c r="J2965" s="1013"/>
      <c r="K2965" s="1028"/>
      <c r="L2965" s="1035" t="str">
        <f t="shared" si="1047"/>
        <v/>
      </c>
      <c r="S2965" s="498"/>
      <c r="AJ2965" s="498"/>
      <c r="AM2965" s="498">
        <f t="shared" si="1028"/>
        <v>0</v>
      </c>
      <c r="AN2965" s="498">
        <f t="shared" si="1029"/>
        <v>0</v>
      </c>
      <c r="AO2965" s="498">
        <f t="shared" si="1030"/>
        <v>0</v>
      </c>
      <c r="AP2965" s="498">
        <f t="shared" si="1049"/>
        <v>0</v>
      </c>
      <c r="AQ2965" s="498">
        <f t="shared" si="1044"/>
        <v>0</v>
      </c>
      <c r="AU2965" s="498">
        <f t="shared" si="1031"/>
        <v>0</v>
      </c>
      <c r="AV2965" s="498">
        <f t="shared" si="1032"/>
        <v>0</v>
      </c>
      <c r="AW2965" s="498">
        <f t="shared" si="1033"/>
        <v>0</v>
      </c>
      <c r="AX2965" s="498">
        <f t="shared" si="1034"/>
        <v>0</v>
      </c>
      <c r="AY2965" s="498">
        <f t="shared" si="1035"/>
        <v>0</v>
      </c>
      <c r="BB2965" s="498" t="str">
        <f t="shared" si="1036"/>
        <v/>
      </c>
      <c r="BC2965" s="743" t="str">
        <f t="shared" si="1037"/>
        <v/>
      </c>
      <c r="BD2965" s="743" t="str">
        <f t="shared" si="1038"/>
        <v/>
      </c>
      <c r="BE2965" s="743" t="str">
        <f>IF(D2965="","",VLOOKUP(D2965,'General Basis'!$J$39:$K$46,2,0))</f>
        <v/>
      </c>
      <c r="BF2965" s="744" t="str">
        <f>IF(D2965="","",VLOOKUP(D2965,'General Basis'!$J$39:$L$46,3,0))</f>
        <v/>
      </c>
      <c r="BG2965" s="744" t="str">
        <f t="shared" si="1045"/>
        <v/>
      </c>
      <c r="BH2965" s="744" t="str">
        <f>IF(G2965="","",IF(BF2965="Abu Dhabi",IF(G2965&lt;18,'General Basis'!$C$39,IF(G2965&lt;41,'General Basis'!$C$40,IF(G2965&lt;60,'General Basis'!$C$41,IF(G2965&lt;65,'General Basis'!$C$42,'General Basis'!$C$43)))),IF(G2965&lt;11,'General Basis'!$B$39,IF(G2965&lt;18,'General Basis'!$B$40,IF(G2965&lt;26,'General Basis'!$B$41,IF(G2965&lt;31,'General Basis'!$B$42,IF(G2965&lt;36,'General Basis'!$B$43,IF(G2965&lt;41,'General Basis'!$B$44,IF(G2965&lt;46,'General Basis'!$B$45,IF(G2965&lt;51,'General Basis'!$B$46,IF(G2965&lt;56,'General Basis'!$B$47,IF(G2965&lt;60,'General Basis'!$B$48,IF(G2965&lt;65,'General Basis'!$B$49,'General Basis'!$B$50)))))))))))))</f>
        <v/>
      </c>
      <c r="BI2965" s="744" t="str">
        <f t="shared" si="1039"/>
        <v/>
      </c>
      <c r="BJ2965" s="747" t="str">
        <f t="shared" si="1046"/>
        <v/>
      </c>
      <c r="BK2965" s="498" t="str">
        <f t="shared" si="1040"/>
        <v/>
      </c>
      <c r="BL2965" s="498" t="str">
        <f t="shared" si="1041"/>
        <v/>
      </c>
    </row>
    <row r="2966" spans="1:64" x14ac:dyDescent="0.25">
      <c r="A2966" s="762">
        <f t="shared" si="1042"/>
        <v>2961</v>
      </c>
      <c r="B2966" s="229"/>
      <c r="C2966" s="223"/>
      <c r="D2966" s="224"/>
      <c r="E2966" s="225"/>
      <c r="F2966" s="1036" t="str">
        <f t="shared" si="1048"/>
        <v/>
      </c>
      <c r="G2966" s="1037" t="str">
        <f t="shared" si="1043"/>
        <v/>
      </c>
      <c r="H2966" s="225"/>
      <c r="I2966" s="1013"/>
      <c r="J2966" s="1013"/>
      <c r="K2966" s="1028"/>
      <c r="L2966" s="1035" t="str">
        <f t="shared" si="1047"/>
        <v/>
      </c>
      <c r="S2966" s="498"/>
      <c r="AJ2966" s="498"/>
      <c r="AM2966" s="498">
        <f t="shared" si="1028"/>
        <v>0</v>
      </c>
      <c r="AN2966" s="498">
        <f t="shared" si="1029"/>
        <v>0</v>
      </c>
      <c r="AO2966" s="498">
        <f t="shared" si="1030"/>
        <v>0</v>
      </c>
      <c r="AP2966" s="498">
        <f t="shared" si="1049"/>
        <v>0</v>
      </c>
      <c r="AQ2966" s="498">
        <f t="shared" si="1044"/>
        <v>0</v>
      </c>
      <c r="AU2966" s="498">
        <f t="shared" si="1031"/>
        <v>0</v>
      </c>
      <c r="AV2966" s="498">
        <f t="shared" si="1032"/>
        <v>0</v>
      </c>
      <c r="AW2966" s="498">
        <f t="shared" si="1033"/>
        <v>0</v>
      </c>
      <c r="AX2966" s="498">
        <f t="shared" si="1034"/>
        <v>0</v>
      </c>
      <c r="AY2966" s="498">
        <f t="shared" si="1035"/>
        <v>0</v>
      </c>
      <c r="BB2966" s="498" t="str">
        <f t="shared" si="1036"/>
        <v/>
      </c>
      <c r="BC2966" s="743" t="str">
        <f t="shared" si="1037"/>
        <v/>
      </c>
      <c r="BD2966" s="743" t="str">
        <f t="shared" si="1038"/>
        <v/>
      </c>
      <c r="BE2966" s="743" t="str">
        <f>IF(D2966="","",VLOOKUP(D2966,'General Basis'!$J$39:$K$46,2,0))</f>
        <v/>
      </c>
      <c r="BF2966" s="744" t="str">
        <f>IF(D2966="","",VLOOKUP(D2966,'General Basis'!$J$39:$L$46,3,0))</f>
        <v/>
      </c>
      <c r="BG2966" s="744" t="str">
        <f t="shared" si="1045"/>
        <v/>
      </c>
      <c r="BH2966" s="744" t="str">
        <f>IF(G2966="","",IF(BF2966="Abu Dhabi",IF(G2966&lt;18,'General Basis'!$C$39,IF(G2966&lt;41,'General Basis'!$C$40,IF(G2966&lt;60,'General Basis'!$C$41,IF(G2966&lt;65,'General Basis'!$C$42,'General Basis'!$C$43)))),IF(G2966&lt;11,'General Basis'!$B$39,IF(G2966&lt;18,'General Basis'!$B$40,IF(G2966&lt;26,'General Basis'!$B$41,IF(G2966&lt;31,'General Basis'!$B$42,IF(G2966&lt;36,'General Basis'!$B$43,IF(G2966&lt;41,'General Basis'!$B$44,IF(G2966&lt;46,'General Basis'!$B$45,IF(G2966&lt;51,'General Basis'!$B$46,IF(G2966&lt;56,'General Basis'!$B$47,IF(G2966&lt;60,'General Basis'!$B$48,IF(G2966&lt;65,'General Basis'!$B$49,'General Basis'!$B$50)))))))))))))</f>
        <v/>
      </c>
      <c r="BI2966" s="744" t="str">
        <f t="shared" si="1039"/>
        <v/>
      </c>
      <c r="BJ2966" s="747" t="str">
        <f t="shared" si="1046"/>
        <v/>
      </c>
      <c r="BK2966" s="498" t="str">
        <f t="shared" si="1040"/>
        <v/>
      </c>
      <c r="BL2966" s="498" t="str">
        <f t="shared" si="1041"/>
        <v/>
      </c>
    </row>
    <row r="2967" spans="1:64" x14ac:dyDescent="0.25">
      <c r="A2967" s="762">
        <f t="shared" si="1042"/>
        <v>2962</v>
      </c>
      <c r="B2967" s="229"/>
      <c r="C2967" s="223"/>
      <c r="D2967" s="224"/>
      <c r="E2967" s="225"/>
      <c r="F2967" s="1036" t="str">
        <f t="shared" si="1048"/>
        <v/>
      </c>
      <c r="G2967" s="1037" t="str">
        <f t="shared" si="1043"/>
        <v/>
      </c>
      <c r="H2967" s="225"/>
      <c r="I2967" s="1013"/>
      <c r="J2967" s="1013"/>
      <c r="K2967" s="1028"/>
      <c r="L2967" s="1035" t="str">
        <f t="shared" si="1047"/>
        <v/>
      </c>
      <c r="S2967" s="498"/>
      <c r="AJ2967" s="498"/>
      <c r="AM2967" s="498">
        <f t="shared" si="1028"/>
        <v>0</v>
      </c>
      <c r="AN2967" s="498">
        <f t="shared" si="1029"/>
        <v>0</v>
      </c>
      <c r="AO2967" s="498">
        <f t="shared" si="1030"/>
        <v>0</v>
      </c>
      <c r="AP2967" s="498">
        <f t="shared" si="1049"/>
        <v>0</v>
      </c>
      <c r="AQ2967" s="498">
        <f t="shared" si="1044"/>
        <v>0</v>
      </c>
      <c r="AU2967" s="498">
        <f t="shared" si="1031"/>
        <v>0</v>
      </c>
      <c r="AV2967" s="498">
        <f t="shared" si="1032"/>
        <v>0</v>
      </c>
      <c r="AW2967" s="498">
        <f t="shared" si="1033"/>
        <v>0</v>
      </c>
      <c r="AX2967" s="498">
        <f t="shared" si="1034"/>
        <v>0</v>
      </c>
      <c r="AY2967" s="498">
        <f t="shared" si="1035"/>
        <v>0</v>
      </c>
      <c r="BB2967" s="498" t="str">
        <f t="shared" si="1036"/>
        <v/>
      </c>
      <c r="BC2967" s="743" t="str">
        <f t="shared" si="1037"/>
        <v/>
      </c>
      <c r="BD2967" s="743" t="str">
        <f t="shared" si="1038"/>
        <v/>
      </c>
      <c r="BE2967" s="743" t="str">
        <f>IF(D2967="","",VLOOKUP(D2967,'General Basis'!$J$39:$K$46,2,0))</f>
        <v/>
      </c>
      <c r="BF2967" s="744" t="str">
        <f>IF(D2967="","",VLOOKUP(D2967,'General Basis'!$J$39:$L$46,3,0))</f>
        <v/>
      </c>
      <c r="BG2967" s="744" t="str">
        <f t="shared" si="1045"/>
        <v/>
      </c>
      <c r="BH2967" s="744" t="str">
        <f>IF(G2967="","",IF(BF2967="Abu Dhabi",IF(G2967&lt;18,'General Basis'!$C$39,IF(G2967&lt;41,'General Basis'!$C$40,IF(G2967&lt;60,'General Basis'!$C$41,IF(G2967&lt;65,'General Basis'!$C$42,'General Basis'!$C$43)))),IF(G2967&lt;11,'General Basis'!$B$39,IF(G2967&lt;18,'General Basis'!$B$40,IF(G2967&lt;26,'General Basis'!$B$41,IF(G2967&lt;31,'General Basis'!$B$42,IF(G2967&lt;36,'General Basis'!$B$43,IF(G2967&lt;41,'General Basis'!$B$44,IF(G2967&lt;46,'General Basis'!$B$45,IF(G2967&lt;51,'General Basis'!$B$46,IF(G2967&lt;56,'General Basis'!$B$47,IF(G2967&lt;60,'General Basis'!$B$48,IF(G2967&lt;65,'General Basis'!$B$49,'General Basis'!$B$50)))))))))))))</f>
        <v/>
      </c>
      <c r="BI2967" s="744" t="str">
        <f t="shared" si="1039"/>
        <v/>
      </c>
      <c r="BJ2967" s="747" t="str">
        <f t="shared" si="1046"/>
        <v/>
      </c>
      <c r="BK2967" s="498" t="str">
        <f t="shared" si="1040"/>
        <v/>
      </c>
      <c r="BL2967" s="498" t="str">
        <f t="shared" si="1041"/>
        <v/>
      </c>
    </row>
    <row r="2968" spans="1:64" x14ac:dyDescent="0.25">
      <c r="A2968" s="762">
        <f t="shared" si="1042"/>
        <v>2963</v>
      </c>
      <c r="B2968" s="229"/>
      <c r="C2968" s="223"/>
      <c r="D2968" s="224"/>
      <c r="E2968" s="225"/>
      <c r="F2968" s="1036" t="str">
        <f t="shared" si="1048"/>
        <v/>
      </c>
      <c r="G2968" s="1037" t="str">
        <f t="shared" si="1043"/>
        <v/>
      </c>
      <c r="H2968" s="225"/>
      <c r="I2968" s="1013"/>
      <c r="J2968" s="1013"/>
      <c r="K2968" s="1028"/>
      <c r="L2968" s="1035" t="str">
        <f t="shared" si="1047"/>
        <v/>
      </c>
      <c r="S2968" s="498"/>
      <c r="AJ2968" s="498"/>
      <c r="AM2968" s="498">
        <f t="shared" si="1028"/>
        <v>0</v>
      </c>
      <c r="AN2968" s="498">
        <f t="shared" si="1029"/>
        <v>0</v>
      </c>
      <c r="AO2968" s="498">
        <f t="shared" si="1030"/>
        <v>0</v>
      </c>
      <c r="AP2968" s="498">
        <f t="shared" si="1049"/>
        <v>0</v>
      </c>
      <c r="AQ2968" s="498">
        <f t="shared" si="1044"/>
        <v>0</v>
      </c>
      <c r="AU2968" s="498">
        <f t="shared" si="1031"/>
        <v>0</v>
      </c>
      <c r="AV2968" s="498">
        <f t="shared" si="1032"/>
        <v>0</v>
      </c>
      <c r="AW2968" s="498">
        <f t="shared" si="1033"/>
        <v>0</v>
      </c>
      <c r="AX2968" s="498">
        <f t="shared" si="1034"/>
        <v>0</v>
      </c>
      <c r="AY2968" s="498">
        <f t="shared" si="1035"/>
        <v>0</v>
      </c>
      <c r="BB2968" s="498" t="str">
        <f t="shared" si="1036"/>
        <v/>
      </c>
      <c r="BC2968" s="743" t="str">
        <f t="shared" si="1037"/>
        <v/>
      </c>
      <c r="BD2968" s="743" t="str">
        <f t="shared" si="1038"/>
        <v/>
      </c>
      <c r="BE2968" s="743" t="str">
        <f>IF(D2968="","",VLOOKUP(D2968,'General Basis'!$J$39:$K$46,2,0))</f>
        <v/>
      </c>
      <c r="BF2968" s="744" t="str">
        <f>IF(D2968="","",VLOOKUP(D2968,'General Basis'!$J$39:$L$46,3,0))</f>
        <v/>
      </c>
      <c r="BG2968" s="744" t="str">
        <f t="shared" si="1045"/>
        <v/>
      </c>
      <c r="BH2968" s="744" t="str">
        <f>IF(G2968="","",IF(BF2968="Abu Dhabi",IF(G2968&lt;18,'General Basis'!$C$39,IF(G2968&lt;41,'General Basis'!$C$40,IF(G2968&lt;60,'General Basis'!$C$41,IF(G2968&lt;65,'General Basis'!$C$42,'General Basis'!$C$43)))),IF(G2968&lt;11,'General Basis'!$B$39,IF(G2968&lt;18,'General Basis'!$B$40,IF(G2968&lt;26,'General Basis'!$B$41,IF(G2968&lt;31,'General Basis'!$B$42,IF(G2968&lt;36,'General Basis'!$B$43,IF(G2968&lt;41,'General Basis'!$B$44,IF(G2968&lt;46,'General Basis'!$B$45,IF(G2968&lt;51,'General Basis'!$B$46,IF(G2968&lt;56,'General Basis'!$B$47,IF(G2968&lt;60,'General Basis'!$B$48,IF(G2968&lt;65,'General Basis'!$B$49,'General Basis'!$B$50)))))))))))))</f>
        <v/>
      </c>
      <c r="BI2968" s="744" t="str">
        <f t="shared" si="1039"/>
        <v/>
      </c>
      <c r="BJ2968" s="747" t="str">
        <f t="shared" si="1046"/>
        <v/>
      </c>
      <c r="BK2968" s="498" t="str">
        <f t="shared" si="1040"/>
        <v/>
      </c>
      <c r="BL2968" s="498" t="str">
        <f t="shared" si="1041"/>
        <v/>
      </c>
    </row>
    <row r="2969" spans="1:64" x14ac:dyDescent="0.25">
      <c r="A2969" s="762">
        <f t="shared" si="1042"/>
        <v>2964</v>
      </c>
      <c r="B2969" s="229"/>
      <c r="C2969" s="223"/>
      <c r="D2969" s="224"/>
      <c r="E2969" s="225"/>
      <c r="F2969" s="1036" t="str">
        <f t="shared" si="1048"/>
        <v/>
      </c>
      <c r="G2969" s="1037" t="str">
        <f t="shared" si="1043"/>
        <v/>
      </c>
      <c r="H2969" s="225"/>
      <c r="I2969" s="1013"/>
      <c r="J2969" s="1013"/>
      <c r="K2969" s="1028"/>
      <c r="L2969" s="1035" t="str">
        <f t="shared" si="1047"/>
        <v/>
      </c>
      <c r="S2969" s="498"/>
      <c r="AJ2969" s="498"/>
      <c r="AM2969" s="498">
        <f t="shared" si="1028"/>
        <v>0</v>
      </c>
      <c r="AN2969" s="498">
        <f t="shared" si="1029"/>
        <v>0</v>
      </c>
      <c r="AO2969" s="498">
        <f t="shared" si="1030"/>
        <v>0</v>
      </c>
      <c r="AP2969" s="498">
        <f t="shared" si="1049"/>
        <v>0</v>
      </c>
      <c r="AQ2969" s="498">
        <f t="shared" si="1044"/>
        <v>0</v>
      </c>
      <c r="AU2969" s="498">
        <f t="shared" si="1031"/>
        <v>0</v>
      </c>
      <c r="AV2969" s="498">
        <f t="shared" si="1032"/>
        <v>0</v>
      </c>
      <c r="AW2969" s="498">
        <f t="shared" si="1033"/>
        <v>0</v>
      </c>
      <c r="AX2969" s="498">
        <f t="shared" si="1034"/>
        <v>0</v>
      </c>
      <c r="AY2969" s="498">
        <f t="shared" si="1035"/>
        <v>0</v>
      </c>
      <c r="BB2969" s="498" t="str">
        <f t="shared" si="1036"/>
        <v/>
      </c>
      <c r="BC2969" s="743" t="str">
        <f t="shared" si="1037"/>
        <v/>
      </c>
      <c r="BD2969" s="743" t="str">
        <f t="shared" si="1038"/>
        <v/>
      </c>
      <c r="BE2969" s="743" t="str">
        <f>IF(D2969="","",VLOOKUP(D2969,'General Basis'!$J$39:$K$46,2,0))</f>
        <v/>
      </c>
      <c r="BF2969" s="744" t="str">
        <f>IF(D2969="","",VLOOKUP(D2969,'General Basis'!$J$39:$L$46,3,0))</f>
        <v/>
      </c>
      <c r="BG2969" s="744" t="str">
        <f t="shared" si="1045"/>
        <v/>
      </c>
      <c r="BH2969" s="744" t="str">
        <f>IF(G2969="","",IF(BF2969="Abu Dhabi",IF(G2969&lt;18,'General Basis'!$C$39,IF(G2969&lt;41,'General Basis'!$C$40,IF(G2969&lt;60,'General Basis'!$C$41,IF(G2969&lt;65,'General Basis'!$C$42,'General Basis'!$C$43)))),IF(G2969&lt;11,'General Basis'!$B$39,IF(G2969&lt;18,'General Basis'!$B$40,IF(G2969&lt;26,'General Basis'!$B$41,IF(G2969&lt;31,'General Basis'!$B$42,IF(G2969&lt;36,'General Basis'!$B$43,IF(G2969&lt;41,'General Basis'!$B$44,IF(G2969&lt;46,'General Basis'!$B$45,IF(G2969&lt;51,'General Basis'!$B$46,IF(G2969&lt;56,'General Basis'!$B$47,IF(G2969&lt;60,'General Basis'!$B$48,IF(G2969&lt;65,'General Basis'!$B$49,'General Basis'!$B$50)))))))))))))</f>
        <v/>
      </c>
      <c r="BI2969" s="744" t="str">
        <f t="shared" si="1039"/>
        <v/>
      </c>
      <c r="BJ2969" s="747" t="str">
        <f t="shared" si="1046"/>
        <v/>
      </c>
      <c r="BK2969" s="498" t="str">
        <f t="shared" si="1040"/>
        <v/>
      </c>
      <c r="BL2969" s="498" t="str">
        <f t="shared" si="1041"/>
        <v/>
      </c>
    </row>
    <row r="2970" spans="1:64" x14ac:dyDescent="0.25">
      <c r="A2970" s="762">
        <f t="shared" si="1042"/>
        <v>2965</v>
      </c>
      <c r="B2970" s="229"/>
      <c r="C2970" s="223"/>
      <c r="D2970" s="224"/>
      <c r="E2970" s="225"/>
      <c r="F2970" s="1036" t="str">
        <f t="shared" si="1048"/>
        <v/>
      </c>
      <c r="G2970" s="1037" t="str">
        <f t="shared" si="1043"/>
        <v/>
      </c>
      <c r="H2970" s="225"/>
      <c r="I2970" s="1013"/>
      <c r="J2970" s="1013"/>
      <c r="K2970" s="1028"/>
      <c r="L2970" s="1035" t="str">
        <f t="shared" si="1047"/>
        <v/>
      </c>
      <c r="S2970" s="498"/>
      <c r="AJ2970" s="498"/>
      <c r="AM2970" s="498">
        <f t="shared" si="1028"/>
        <v>0</v>
      </c>
      <c r="AN2970" s="498">
        <f t="shared" si="1029"/>
        <v>0</v>
      </c>
      <c r="AO2970" s="498">
        <f t="shared" si="1030"/>
        <v>0</v>
      </c>
      <c r="AP2970" s="498">
        <f t="shared" si="1049"/>
        <v>0</v>
      </c>
      <c r="AQ2970" s="498">
        <f t="shared" si="1044"/>
        <v>0</v>
      </c>
      <c r="AU2970" s="498">
        <f t="shared" si="1031"/>
        <v>0</v>
      </c>
      <c r="AV2970" s="498">
        <f t="shared" si="1032"/>
        <v>0</v>
      </c>
      <c r="AW2970" s="498">
        <f t="shared" si="1033"/>
        <v>0</v>
      </c>
      <c r="AX2970" s="498">
        <f t="shared" si="1034"/>
        <v>0</v>
      </c>
      <c r="AY2970" s="498">
        <f t="shared" si="1035"/>
        <v>0</v>
      </c>
      <c r="BB2970" s="498" t="str">
        <f t="shared" si="1036"/>
        <v/>
      </c>
      <c r="BC2970" s="743" t="str">
        <f t="shared" si="1037"/>
        <v/>
      </c>
      <c r="BD2970" s="743" t="str">
        <f t="shared" si="1038"/>
        <v/>
      </c>
      <c r="BE2970" s="743" t="str">
        <f>IF(D2970="","",VLOOKUP(D2970,'General Basis'!$J$39:$K$46,2,0))</f>
        <v/>
      </c>
      <c r="BF2970" s="744" t="str">
        <f>IF(D2970="","",VLOOKUP(D2970,'General Basis'!$J$39:$L$46,3,0))</f>
        <v/>
      </c>
      <c r="BG2970" s="744" t="str">
        <f t="shared" si="1045"/>
        <v/>
      </c>
      <c r="BH2970" s="744" t="str">
        <f>IF(G2970="","",IF(BF2970="Abu Dhabi",IF(G2970&lt;18,'General Basis'!$C$39,IF(G2970&lt;41,'General Basis'!$C$40,IF(G2970&lt;60,'General Basis'!$C$41,IF(G2970&lt;65,'General Basis'!$C$42,'General Basis'!$C$43)))),IF(G2970&lt;11,'General Basis'!$B$39,IF(G2970&lt;18,'General Basis'!$B$40,IF(G2970&lt;26,'General Basis'!$B$41,IF(G2970&lt;31,'General Basis'!$B$42,IF(G2970&lt;36,'General Basis'!$B$43,IF(G2970&lt;41,'General Basis'!$B$44,IF(G2970&lt;46,'General Basis'!$B$45,IF(G2970&lt;51,'General Basis'!$B$46,IF(G2970&lt;56,'General Basis'!$B$47,IF(G2970&lt;60,'General Basis'!$B$48,IF(G2970&lt;65,'General Basis'!$B$49,'General Basis'!$B$50)))))))))))))</f>
        <v/>
      </c>
      <c r="BI2970" s="744" t="str">
        <f t="shared" si="1039"/>
        <v/>
      </c>
      <c r="BJ2970" s="747" t="str">
        <f t="shared" si="1046"/>
        <v/>
      </c>
      <c r="BK2970" s="498" t="str">
        <f t="shared" si="1040"/>
        <v/>
      </c>
      <c r="BL2970" s="498" t="str">
        <f t="shared" si="1041"/>
        <v/>
      </c>
    </row>
    <row r="2971" spans="1:64" x14ac:dyDescent="0.25">
      <c r="A2971" s="762">
        <f t="shared" si="1042"/>
        <v>2966</v>
      </c>
      <c r="B2971" s="229"/>
      <c r="C2971" s="223"/>
      <c r="D2971" s="224"/>
      <c r="E2971" s="225"/>
      <c r="F2971" s="1036" t="str">
        <f t="shared" si="1048"/>
        <v/>
      </c>
      <c r="G2971" s="1037" t="str">
        <f t="shared" si="1043"/>
        <v/>
      </c>
      <c r="H2971" s="225"/>
      <c r="I2971" s="1013"/>
      <c r="J2971" s="1013"/>
      <c r="K2971" s="1028"/>
      <c r="L2971" s="1035" t="str">
        <f t="shared" si="1047"/>
        <v/>
      </c>
      <c r="S2971" s="498"/>
      <c r="AJ2971" s="498"/>
      <c r="AM2971" s="498">
        <f t="shared" si="1028"/>
        <v>0</v>
      </c>
      <c r="AN2971" s="498">
        <f t="shared" si="1029"/>
        <v>0</v>
      </c>
      <c r="AO2971" s="498">
        <f t="shared" si="1030"/>
        <v>0</v>
      </c>
      <c r="AP2971" s="498">
        <f t="shared" si="1049"/>
        <v>0</v>
      </c>
      <c r="AQ2971" s="498">
        <f t="shared" si="1044"/>
        <v>0</v>
      </c>
      <c r="AU2971" s="498">
        <f t="shared" si="1031"/>
        <v>0</v>
      </c>
      <c r="AV2971" s="498">
        <f t="shared" si="1032"/>
        <v>0</v>
      </c>
      <c r="AW2971" s="498">
        <f t="shared" si="1033"/>
        <v>0</v>
      </c>
      <c r="AX2971" s="498">
        <f t="shared" si="1034"/>
        <v>0</v>
      </c>
      <c r="AY2971" s="498">
        <f t="shared" si="1035"/>
        <v>0</v>
      </c>
      <c r="BB2971" s="498" t="str">
        <f t="shared" si="1036"/>
        <v/>
      </c>
      <c r="BC2971" s="743" t="str">
        <f t="shared" si="1037"/>
        <v/>
      </c>
      <c r="BD2971" s="743" t="str">
        <f t="shared" si="1038"/>
        <v/>
      </c>
      <c r="BE2971" s="743" t="str">
        <f>IF(D2971="","",VLOOKUP(D2971,'General Basis'!$J$39:$K$46,2,0))</f>
        <v/>
      </c>
      <c r="BF2971" s="744" t="str">
        <f>IF(D2971="","",VLOOKUP(D2971,'General Basis'!$J$39:$L$46,3,0))</f>
        <v/>
      </c>
      <c r="BG2971" s="744" t="str">
        <f t="shared" si="1045"/>
        <v/>
      </c>
      <c r="BH2971" s="744" t="str">
        <f>IF(G2971="","",IF(BF2971="Abu Dhabi",IF(G2971&lt;18,'General Basis'!$C$39,IF(G2971&lt;41,'General Basis'!$C$40,IF(G2971&lt;60,'General Basis'!$C$41,IF(G2971&lt;65,'General Basis'!$C$42,'General Basis'!$C$43)))),IF(G2971&lt;11,'General Basis'!$B$39,IF(G2971&lt;18,'General Basis'!$B$40,IF(G2971&lt;26,'General Basis'!$B$41,IF(G2971&lt;31,'General Basis'!$B$42,IF(G2971&lt;36,'General Basis'!$B$43,IF(G2971&lt;41,'General Basis'!$B$44,IF(G2971&lt;46,'General Basis'!$B$45,IF(G2971&lt;51,'General Basis'!$B$46,IF(G2971&lt;56,'General Basis'!$B$47,IF(G2971&lt;60,'General Basis'!$B$48,IF(G2971&lt;65,'General Basis'!$B$49,'General Basis'!$B$50)))))))))))))</f>
        <v/>
      </c>
      <c r="BI2971" s="744" t="str">
        <f t="shared" si="1039"/>
        <v/>
      </c>
      <c r="BJ2971" s="747" t="str">
        <f t="shared" si="1046"/>
        <v/>
      </c>
      <c r="BK2971" s="498" t="str">
        <f t="shared" si="1040"/>
        <v/>
      </c>
      <c r="BL2971" s="498" t="str">
        <f t="shared" si="1041"/>
        <v/>
      </c>
    </row>
    <row r="2972" spans="1:64" x14ac:dyDescent="0.25">
      <c r="A2972" s="762">
        <f t="shared" si="1042"/>
        <v>2967</v>
      </c>
      <c r="B2972" s="229"/>
      <c r="C2972" s="223"/>
      <c r="D2972" s="224"/>
      <c r="E2972" s="225"/>
      <c r="F2972" s="1036" t="str">
        <f t="shared" si="1048"/>
        <v/>
      </c>
      <c r="G2972" s="1037" t="str">
        <f t="shared" si="1043"/>
        <v/>
      </c>
      <c r="H2972" s="225"/>
      <c r="I2972" s="1013"/>
      <c r="J2972" s="1013"/>
      <c r="K2972" s="1028"/>
      <c r="L2972" s="1035" t="str">
        <f t="shared" si="1047"/>
        <v/>
      </c>
      <c r="S2972" s="498"/>
      <c r="AJ2972" s="498"/>
      <c r="AM2972" s="498">
        <f t="shared" si="1028"/>
        <v>0</v>
      </c>
      <c r="AN2972" s="498">
        <f t="shared" si="1029"/>
        <v>0</v>
      </c>
      <c r="AO2972" s="498">
        <f t="shared" si="1030"/>
        <v>0</v>
      </c>
      <c r="AP2972" s="498">
        <f t="shared" si="1049"/>
        <v>0</v>
      </c>
      <c r="AQ2972" s="498">
        <f t="shared" si="1044"/>
        <v>0</v>
      </c>
      <c r="AU2972" s="498">
        <f t="shared" si="1031"/>
        <v>0</v>
      </c>
      <c r="AV2972" s="498">
        <f t="shared" si="1032"/>
        <v>0</v>
      </c>
      <c r="AW2972" s="498">
        <f t="shared" si="1033"/>
        <v>0</v>
      </c>
      <c r="AX2972" s="498">
        <f t="shared" si="1034"/>
        <v>0</v>
      </c>
      <c r="AY2972" s="498">
        <f t="shared" si="1035"/>
        <v>0</v>
      </c>
      <c r="BB2972" s="498" t="str">
        <f t="shared" si="1036"/>
        <v/>
      </c>
      <c r="BC2972" s="743" t="str">
        <f t="shared" si="1037"/>
        <v/>
      </c>
      <c r="BD2972" s="743" t="str">
        <f t="shared" si="1038"/>
        <v/>
      </c>
      <c r="BE2972" s="743" t="str">
        <f>IF(D2972="","",VLOOKUP(D2972,'General Basis'!$J$39:$K$46,2,0))</f>
        <v/>
      </c>
      <c r="BF2972" s="744" t="str">
        <f>IF(D2972="","",VLOOKUP(D2972,'General Basis'!$J$39:$L$46,3,0))</f>
        <v/>
      </c>
      <c r="BG2972" s="744" t="str">
        <f t="shared" si="1045"/>
        <v/>
      </c>
      <c r="BH2972" s="744" t="str">
        <f>IF(G2972="","",IF(BF2972="Abu Dhabi",IF(G2972&lt;18,'General Basis'!$C$39,IF(G2972&lt;41,'General Basis'!$C$40,IF(G2972&lt;60,'General Basis'!$C$41,IF(G2972&lt;65,'General Basis'!$C$42,'General Basis'!$C$43)))),IF(G2972&lt;11,'General Basis'!$B$39,IF(G2972&lt;18,'General Basis'!$B$40,IF(G2972&lt;26,'General Basis'!$B$41,IF(G2972&lt;31,'General Basis'!$B$42,IF(G2972&lt;36,'General Basis'!$B$43,IF(G2972&lt;41,'General Basis'!$B$44,IF(G2972&lt;46,'General Basis'!$B$45,IF(G2972&lt;51,'General Basis'!$B$46,IF(G2972&lt;56,'General Basis'!$B$47,IF(G2972&lt;60,'General Basis'!$B$48,IF(G2972&lt;65,'General Basis'!$B$49,'General Basis'!$B$50)))))))))))))</f>
        <v/>
      </c>
      <c r="BI2972" s="744" t="str">
        <f t="shared" si="1039"/>
        <v/>
      </c>
      <c r="BJ2972" s="747" t="str">
        <f t="shared" si="1046"/>
        <v/>
      </c>
      <c r="BK2972" s="498" t="str">
        <f t="shared" si="1040"/>
        <v/>
      </c>
      <c r="BL2972" s="498" t="str">
        <f t="shared" si="1041"/>
        <v/>
      </c>
    </row>
    <row r="2973" spans="1:64" x14ac:dyDescent="0.25">
      <c r="A2973" s="762">
        <f t="shared" si="1042"/>
        <v>2968</v>
      </c>
      <c r="B2973" s="229"/>
      <c r="C2973" s="223"/>
      <c r="D2973" s="224"/>
      <c r="E2973" s="225"/>
      <c r="F2973" s="1036" t="str">
        <f t="shared" si="1048"/>
        <v/>
      </c>
      <c r="G2973" s="1037" t="str">
        <f t="shared" si="1043"/>
        <v/>
      </c>
      <c r="H2973" s="225"/>
      <c r="I2973" s="1013"/>
      <c r="J2973" s="1013"/>
      <c r="K2973" s="1028"/>
      <c r="L2973" s="1035" t="str">
        <f t="shared" si="1047"/>
        <v/>
      </c>
      <c r="S2973" s="498"/>
      <c r="AJ2973" s="498"/>
      <c r="AM2973" s="498">
        <f t="shared" si="1028"/>
        <v>0</v>
      </c>
      <c r="AN2973" s="498">
        <f t="shared" si="1029"/>
        <v>0</v>
      </c>
      <c r="AO2973" s="498">
        <f t="shared" si="1030"/>
        <v>0</v>
      </c>
      <c r="AP2973" s="498">
        <f t="shared" si="1049"/>
        <v>0</v>
      </c>
      <c r="AQ2973" s="498">
        <f t="shared" si="1044"/>
        <v>0</v>
      </c>
      <c r="AU2973" s="498">
        <f t="shared" si="1031"/>
        <v>0</v>
      </c>
      <c r="AV2973" s="498">
        <f t="shared" si="1032"/>
        <v>0</v>
      </c>
      <c r="AW2973" s="498">
        <f t="shared" si="1033"/>
        <v>0</v>
      </c>
      <c r="AX2973" s="498">
        <f t="shared" si="1034"/>
        <v>0</v>
      </c>
      <c r="AY2973" s="498">
        <f t="shared" si="1035"/>
        <v>0</v>
      </c>
      <c r="BB2973" s="498" t="str">
        <f t="shared" si="1036"/>
        <v/>
      </c>
      <c r="BC2973" s="743" t="str">
        <f t="shared" si="1037"/>
        <v/>
      </c>
      <c r="BD2973" s="743" t="str">
        <f t="shared" si="1038"/>
        <v/>
      </c>
      <c r="BE2973" s="743" t="str">
        <f>IF(D2973="","",VLOOKUP(D2973,'General Basis'!$J$39:$K$46,2,0))</f>
        <v/>
      </c>
      <c r="BF2973" s="744" t="str">
        <f>IF(D2973="","",VLOOKUP(D2973,'General Basis'!$J$39:$L$46,3,0))</f>
        <v/>
      </c>
      <c r="BG2973" s="744" t="str">
        <f t="shared" si="1045"/>
        <v/>
      </c>
      <c r="BH2973" s="744" t="str">
        <f>IF(G2973="","",IF(BF2973="Abu Dhabi",IF(G2973&lt;18,'General Basis'!$C$39,IF(G2973&lt;41,'General Basis'!$C$40,IF(G2973&lt;60,'General Basis'!$C$41,IF(G2973&lt;65,'General Basis'!$C$42,'General Basis'!$C$43)))),IF(G2973&lt;11,'General Basis'!$B$39,IF(G2973&lt;18,'General Basis'!$B$40,IF(G2973&lt;26,'General Basis'!$B$41,IF(G2973&lt;31,'General Basis'!$B$42,IF(G2973&lt;36,'General Basis'!$B$43,IF(G2973&lt;41,'General Basis'!$B$44,IF(G2973&lt;46,'General Basis'!$B$45,IF(G2973&lt;51,'General Basis'!$B$46,IF(G2973&lt;56,'General Basis'!$B$47,IF(G2973&lt;60,'General Basis'!$B$48,IF(G2973&lt;65,'General Basis'!$B$49,'General Basis'!$B$50)))))))))))))</f>
        <v/>
      </c>
      <c r="BI2973" s="744" t="str">
        <f t="shared" si="1039"/>
        <v/>
      </c>
      <c r="BJ2973" s="747" t="str">
        <f t="shared" si="1046"/>
        <v/>
      </c>
      <c r="BK2973" s="498" t="str">
        <f t="shared" si="1040"/>
        <v/>
      </c>
      <c r="BL2973" s="498" t="str">
        <f t="shared" si="1041"/>
        <v/>
      </c>
    </row>
    <row r="2974" spans="1:64" x14ac:dyDescent="0.25">
      <c r="A2974" s="762">
        <f t="shared" si="1042"/>
        <v>2969</v>
      </c>
      <c r="B2974" s="229"/>
      <c r="C2974" s="223"/>
      <c r="D2974" s="224"/>
      <c r="E2974" s="225"/>
      <c r="F2974" s="1036" t="str">
        <f t="shared" si="1048"/>
        <v/>
      </c>
      <c r="G2974" s="1037" t="str">
        <f t="shared" si="1043"/>
        <v/>
      </c>
      <c r="H2974" s="225"/>
      <c r="I2974" s="1013"/>
      <c r="J2974" s="1013"/>
      <c r="K2974" s="1028"/>
      <c r="L2974" s="1035" t="str">
        <f t="shared" si="1047"/>
        <v/>
      </c>
      <c r="S2974" s="498"/>
      <c r="AJ2974" s="498"/>
      <c r="AM2974" s="498">
        <f t="shared" si="1028"/>
        <v>0</v>
      </c>
      <c r="AN2974" s="498">
        <f t="shared" si="1029"/>
        <v>0</v>
      </c>
      <c r="AO2974" s="498">
        <f t="shared" si="1030"/>
        <v>0</v>
      </c>
      <c r="AP2974" s="498">
        <f t="shared" si="1049"/>
        <v>0</v>
      </c>
      <c r="AQ2974" s="498">
        <f t="shared" si="1044"/>
        <v>0</v>
      </c>
      <c r="AU2974" s="498">
        <f t="shared" si="1031"/>
        <v>0</v>
      </c>
      <c r="AV2974" s="498">
        <f t="shared" si="1032"/>
        <v>0</v>
      </c>
      <c r="AW2974" s="498">
        <f t="shared" si="1033"/>
        <v>0</v>
      </c>
      <c r="AX2974" s="498">
        <f t="shared" si="1034"/>
        <v>0</v>
      </c>
      <c r="AY2974" s="498">
        <f t="shared" si="1035"/>
        <v>0</v>
      </c>
      <c r="BB2974" s="498" t="str">
        <f t="shared" si="1036"/>
        <v/>
      </c>
      <c r="BC2974" s="743" t="str">
        <f t="shared" si="1037"/>
        <v/>
      </c>
      <c r="BD2974" s="743" t="str">
        <f t="shared" si="1038"/>
        <v/>
      </c>
      <c r="BE2974" s="743" t="str">
        <f>IF(D2974="","",VLOOKUP(D2974,'General Basis'!$J$39:$K$46,2,0))</f>
        <v/>
      </c>
      <c r="BF2974" s="744" t="str">
        <f>IF(D2974="","",VLOOKUP(D2974,'General Basis'!$J$39:$L$46,3,0))</f>
        <v/>
      </c>
      <c r="BG2974" s="744" t="str">
        <f t="shared" si="1045"/>
        <v/>
      </c>
      <c r="BH2974" s="744" t="str">
        <f>IF(G2974="","",IF(BF2974="Abu Dhabi",IF(G2974&lt;18,'General Basis'!$C$39,IF(G2974&lt;41,'General Basis'!$C$40,IF(G2974&lt;60,'General Basis'!$C$41,IF(G2974&lt;65,'General Basis'!$C$42,'General Basis'!$C$43)))),IF(G2974&lt;11,'General Basis'!$B$39,IF(G2974&lt;18,'General Basis'!$B$40,IF(G2974&lt;26,'General Basis'!$B$41,IF(G2974&lt;31,'General Basis'!$B$42,IF(G2974&lt;36,'General Basis'!$B$43,IF(G2974&lt;41,'General Basis'!$B$44,IF(G2974&lt;46,'General Basis'!$B$45,IF(G2974&lt;51,'General Basis'!$B$46,IF(G2974&lt;56,'General Basis'!$B$47,IF(G2974&lt;60,'General Basis'!$B$48,IF(G2974&lt;65,'General Basis'!$B$49,'General Basis'!$B$50)))))))))))))</f>
        <v/>
      </c>
      <c r="BI2974" s="744" t="str">
        <f t="shared" si="1039"/>
        <v/>
      </c>
      <c r="BJ2974" s="747" t="str">
        <f t="shared" si="1046"/>
        <v/>
      </c>
      <c r="BK2974" s="498" t="str">
        <f t="shared" si="1040"/>
        <v/>
      </c>
      <c r="BL2974" s="498" t="str">
        <f t="shared" si="1041"/>
        <v/>
      </c>
    </row>
    <row r="2975" spans="1:64" x14ac:dyDescent="0.25">
      <c r="A2975" s="762">
        <f t="shared" si="1042"/>
        <v>2970</v>
      </c>
      <c r="B2975" s="229"/>
      <c r="C2975" s="223"/>
      <c r="D2975" s="224"/>
      <c r="E2975" s="225"/>
      <c r="F2975" s="1036" t="str">
        <f t="shared" si="1048"/>
        <v/>
      </c>
      <c r="G2975" s="1037" t="str">
        <f t="shared" si="1043"/>
        <v/>
      </c>
      <c r="H2975" s="225"/>
      <c r="I2975" s="1013"/>
      <c r="J2975" s="1013"/>
      <c r="K2975" s="1028"/>
      <c r="L2975" s="1035" t="str">
        <f t="shared" si="1047"/>
        <v/>
      </c>
      <c r="S2975" s="498"/>
      <c r="AJ2975" s="498"/>
      <c r="AM2975" s="498">
        <f t="shared" si="1028"/>
        <v>0</v>
      </c>
      <c r="AN2975" s="498">
        <f t="shared" si="1029"/>
        <v>0</v>
      </c>
      <c r="AO2975" s="498">
        <f t="shared" si="1030"/>
        <v>0</v>
      </c>
      <c r="AP2975" s="498">
        <f t="shared" si="1049"/>
        <v>0</v>
      </c>
      <c r="AQ2975" s="498">
        <f t="shared" si="1044"/>
        <v>0</v>
      </c>
      <c r="AU2975" s="498">
        <f t="shared" si="1031"/>
        <v>0</v>
      </c>
      <c r="AV2975" s="498">
        <f t="shared" si="1032"/>
        <v>0</v>
      </c>
      <c r="AW2975" s="498">
        <f t="shared" si="1033"/>
        <v>0</v>
      </c>
      <c r="AX2975" s="498">
        <f t="shared" si="1034"/>
        <v>0</v>
      </c>
      <c r="AY2975" s="498">
        <f t="shared" si="1035"/>
        <v>0</v>
      </c>
      <c r="BB2975" s="498" t="str">
        <f t="shared" si="1036"/>
        <v/>
      </c>
      <c r="BC2975" s="743" t="str">
        <f t="shared" si="1037"/>
        <v/>
      </c>
      <c r="BD2975" s="743" t="str">
        <f t="shared" si="1038"/>
        <v/>
      </c>
      <c r="BE2975" s="743" t="str">
        <f>IF(D2975="","",VLOOKUP(D2975,'General Basis'!$J$39:$K$46,2,0))</f>
        <v/>
      </c>
      <c r="BF2975" s="744" t="str">
        <f>IF(D2975="","",VLOOKUP(D2975,'General Basis'!$J$39:$L$46,3,0))</f>
        <v/>
      </c>
      <c r="BG2975" s="744" t="str">
        <f t="shared" si="1045"/>
        <v/>
      </c>
      <c r="BH2975" s="744" t="str">
        <f>IF(G2975="","",IF(BF2975="Abu Dhabi",IF(G2975&lt;18,'General Basis'!$C$39,IF(G2975&lt;41,'General Basis'!$C$40,IF(G2975&lt;60,'General Basis'!$C$41,IF(G2975&lt;65,'General Basis'!$C$42,'General Basis'!$C$43)))),IF(G2975&lt;11,'General Basis'!$B$39,IF(G2975&lt;18,'General Basis'!$B$40,IF(G2975&lt;26,'General Basis'!$B$41,IF(G2975&lt;31,'General Basis'!$B$42,IF(G2975&lt;36,'General Basis'!$B$43,IF(G2975&lt;41,'General Basis'!$B$44,IF(G2975&lt;46,'General Basis'!$B$45,IF(G2975&lt;51,'General Basis'!$B$46,IF(G2975&lt;56,'General Basis'!$B$47,IF(G2975&lt;60,'General Basis'!$B$48,IF(G2975&lt;65,'General Basis'!$B$49,'General Basis'!$B$50)))))))))))))</f>
        <v/>
      </c>
      <c r="BI2975" s="744" t="str">
        <f t="shared" si="1039"/>
        <v/>
      </c>
      <c r="BJ2975" s="747" t="str">
        <f t="shared" si="1046"/>
        <v/>
      </c>
      <c r="BK2975" s="498" t="str">
        <f t="shared" si="1040"/>
        <v/>
      </c>
      <c r="BL2975" s="498" t="str">
        <f t="shared" si="1041"/>
        <v/>
      </c>
    </row>
    <row r="2976" spans="1:64" x14ac:dyDescent="0.25">
      <c r="A2976" s="762">
        <f t="shared" si="1042"/>
        <v>2971</v>
      </c>
      <c r="B2976" s="229"/>
      <c r="C2976" s="223"/>
      <c r="D2976" s="224"/>
      <c r="E2976" s="225"/>
      <c r="F2976" s="1036" t="str">
        <f t="shared" si="1048"/>
        <v/>
      </c>
      <c r="G2976" s="1037" t="str">
        <f t="shared" si="1043"/>
        <v/>
      </c>
      <c r="H2976" s="225"/>
      <c r="I2976" s="1013"/>
      <c r="J2976" s="1013"/>
      <c r="K2976" s="1028"/>
      <c r="L2976" s="1035" t="str">
        <f t="shared" si="1047"/>
        <v/>
      </c>
      <c r="S2976" s="498"/>
      <c r="AJ2976" s="498"/>
      <c r="AM2976" s="498">
        <f t="shared" si="1028"/>
        <v>0</v>
      </c>
      <c r="AN2976" s="498">
        <f t="shared" si="1029"/>
        <v>0</v>
      </c>
      <c r="AO2976" s="498">
        <f t="shared" si="1030"/>
        <v>0</v>
      </c>
      <c r="AP2976" s="498">
        <f t="shared" si="1049"/>
        <v>0</v>
      </c>
      <c r="AQ2976" s="498">
        <f t="shared" si="1044"/>
        <v>0</v>
      </c>
      <c r="AU2976" s="498">
        <f t="shared" si="1031"/>
        <v>0</v>
      </c>
      <c r="AV2976" s="498">
        <f t="shared" si="1032"/>
        <v>0</v>
      </c>
      <c r="AW2976" s="498">
        <f t="shared" si="1033"/>
        <v>0</v>
      </c>
      <c r="AX2976" s="498">
        <f t="shared" si="1034"/>
        <v>0</v>
      </c>
      <c r="AY2976" s="498">
        <f t="shared" si="1035"/>
        <v>0</v>
      </c>
      <c r="BB2976" s="498" t="str">
        <f t="shared" si="1036"/>
        <v/>
      </c>
      <c r="BC2976" s="743" t="str">
        <f t="shared" si="1037"/>
        <v/>
      </c>
      <c r="BD2976" s="743" t="str">
        <f t="shared" si="1038"/>
        <v/>
      </c>
      <c r="BE2976" s="743" t="str">
        <f>IF(D2976="","",VLOOKUP(D2976,'General Basis'!$J$39:$K$46,2,0))</f>
        <v/>
      </c>
      <c r="BF2976" s="744" t="str">
        <f>IF(D2976="","",VLOOKUP(D2976,'General Basis'!$J$39:$L$46,3,0))</f>
        <v/>
      </c>
      <c r="BG2976" s="744" t="str">
        <f t="shared" si="1045"/>
        <v/>
      </c>
      <c r="BH2976" s="744" t="str">
        <f>IF(G2976="","",IF(BF2976="Abu Dhabi",IF(G2976&lt;18,'General Basis'!$C$39,IF(G2976&lt;41,'General Basis'!$C$40,IF(G2976&lt;60,'General Basis'!$C$41,IF(G2976&lt;65,'General Basis'!$C$42,'General Basis'!$C$43)))),IF(G2976&lt;11,'General Basis'!$B$39,IF(G2976&lt;18,'General Basis'!$B$40,IF(G2976&lt;26,'General Basis'!$B$41,IF(G2976&lt;31,'General Basis'!$B$42,IF(G2976&lt;36,'General Basis'!$B$43,IF(G2976&lt;41,'General Basis'!$B$44,IF(G2976&lt;46,'General Basis'!$B$45,IF(G2976&lt;51,'General Basis'!$B$46,IF(G2976&lt;56,'General Basis'!$B$47,IF(G2976&lt;60,'General Basis'!$B$48,IF(G2976&lt;65,'General Basis'!$B$49,'General Basis'!$B$50)))))))))))))</f>
        <v/>
      </c>
      <c r="BI2976" s="744" t="str">
        <f t="shared" si="1039"/>
        <v/>
      </c>
      <c r="BJ2976" s="747" t="str">
        <f t="shared" si="1046"/>
        <v/>
      </c>
      <c r="BK2976" s="498" t="str">
        <f t="shared" si="1040"/>
        <v/>
      </c>
      <c r="BL2976" s="498" t="str">
        <f t="shared" si="1041"/>
        <v/>
      </c>
    </row>
    <row r="2977" spans="1:64" x14ac:dyDescent="0.25">
      <c r="A2977" s="762">
        <f t="shared" si="1042"/>
        <v>2972</v>
      </c>
      <c r="B2977" s="229"/>
      <c r="C2977" s="223"/>
      <c r="D2977" s="224"/>
      <c r="E2977" s="225"/>
      <c r="F2977" s="1036" t="str">
        <f t="shared" si="1048"/>
        <v/>
      </c>
      <c r="G2977" s="1037" t="str">
        <f t="shared" si="1043"/>
        <v/>
      </c>
      <c r="H2977" s="225"/>
      <c r="I2977" s="1013"/>
      <c r="J2977" s="1013"/>
      <c r="K2977" s="1028"/>
      <c r="L2977" s="1035" t="str">
        <f t="shared" si="1047"/>
        <v/>
      </c>
      <c r="S2977" s="498"/>
      <c r="AJ2977" s="498"/>
      <c r="AM2977" s="498">
        <f t="shared" si="1028"/>
        <v>0</v>
      </c>
      <c r="AN2977" s="498">
        <f t="shared" si="1029"/>
        <v>0</v>
      </c>
      <c r="AO2977" s="498">
        <f t="shared" si="1030"/>
        <v>0</v>
      </c>
      <c r="AP2977" s="498">
        <f t="shared" si="1049"/>
        <v>0</v>
      </c>
      <c r="AQ2977" s="498">
        <f t="shared" si="1044"/>
        <v>0</v>
      </c>
      <c r="AU2977" s="498">
        <f t="shared" si="1031"/>
        <v>0</v>
      </c>
      <c r="AV2977" s="498">
        <f t="shared" si="1032"/>
        <v>0</v>
      </c>
      <c r="AW2977" s="498">
        <f t="shared" si="1033"/>
        <v>0</v>
      </c>
      <c r="AX2977" s="498">
        <f t="shared" si="1034"/>
        <v>0</v>
      </c>
      <c r="AY2977" s="498">
        <f t="shared" si="1035"/>
        <v>0</v>
      </c>
      <c r="BB2977" s="498" t="str">
        <f t="shared" si="1036"/>
        <v/>
      </c>
      <c r="BC2977" s="743" t="str">
        <f t="shared" si="1037"/>
        <v/>
      </c>
      <c r="BD2977" s="743" t="str">
        <f t="shared" si="1038"/>
        <v/>
      </c>
      <c r="BE2977" s="743" t="str">
        <f>IF(D2977="","",VLOOKUP(D2977,'General Basis'!$J$39:$K$46,2,0))</f>
        <v/>
      </c>
      <c r="BF2977" s="744" t="str">
        <f>IF(D2977="","",VLOOKUP(D2977,'General Basis'!$J$39:$L$46,3,0))</f>
        <v/>
      </c>
      <c r="BG2977" s="744" t="str">
        <f t="shared" si="1045"/>
        <v/>
      </c>
      <c r="BH2977" s="744" t="str">
        <f>IF(G2977="","",IF(BF2977="Abu Dhabi",IF(G2977&lt;18,'General Basis'!$C$39,IF(G2977&lt;41,'General Basis'!$C$40,IF(G2977&lt;60,'General Basis'!$C$41,IF(G2977&lt;65,'General Basis'!$C$42,'General Basis'!$C$43)))),IF(G2977&lt;11,'General Basis'!$B$39,IF(G2977&lt;18,'General Basis'!$B$40,IF(G2977&lt;26,'General Basis'!$B$41,IF(G2977&lt;31,'General Basis'!$B$42,IF(G2977&lt;36,'General Basis'!$B$43,IF(G2977&lt;41,'General Basis'!$B$44,IF(G2977&lt;46,'General Basis'!$B$45,IF(G2977&lt;51,'General Basis'!$B$46,IF(G2977&lt;56,'General Basis'!$B$47,IF(G2977&lt;60,'General Basis'!$B$48,IF(G2977&lt;65,'General Basis'!$B$49,'General Basis'!$B$50)))))))))))))</f>
        <v/>
      </c>
      <c r="BI2977" s="744" t="str">
        <f t="shared" si="1039"/>
        <v/>
      </c>
      <c r="BJ2977" s="747" t="str">
        <f t="shared" si="1046"/>
        <v/>
      </c>
      <c r="BK2977" s="498" t="str">
        <f t="shared" si="1040"/>
        <v/>
      </c>
      <c r="BL2977" s="498" t="str">
        <f t="shared" si="1041"/>
        <v/>
      </c>
    </row>
    <row r="2978" spans="1:64" x14ac:dyDescent="0.25">
      <c r="A2978" s="762">
        <f t="shared" si="1042"/>
        <v>2973</v>
      </c>
      <c r="B2978" s="229"/>
      <c r="C2978" s="223"/>
      <c r="D2978" s="224"/>
      <c r="E2978" s="225"/>
      <c r="F2978" s="1036" t="str">
        <f t="shared" si="1048"/>
        <v/>
      </c>
      <c r="G2978" s="1037" t="str">
        <f t="shared" si="1043"/>
        <v/>
      </c>
      <c r="H2978" s="225"/>
      <c r="I2978" s="1013"/>
      <c r="J2978" s="1013"/>
      <c r="K2978" s="1028"/>
      <c r="L2978" s="1035" t="str">
        <f t="shared" si="1047"/>
        <v/>
      </c>
      <c r="S2978" s="498"/>
      <c r="AJ2978" s="498"/>
      <c r="AM2978" s="498">
        <f t="shared" si="1028"/>
        <v>0</v>
      </c>
      <c r="AN2978" s="498">
        <f t="shared" si="1029"/>
        <v>0</v>
      </c>
      <c r="AO2978" s="498">
        <f t="shared" si="1030"/>
        <v>0</v>
      </c>
      <c r="AP2978" s="498">
        <f t="shared" si="1049"/>
        <v>0</v>
      </c>
      <c r="AQ2978" s="498">
        <f t="shared" si="1044"/>
        <v>0</v>
      </c>
      <c r="AU2978" s="498">
        <f t="shared" si="1031"/>
        <v>0</v>
      </c>
      <c r="AV2978" s="498">
        <f t="shared" si="1032"/>
        <v>0</v>
      </c>
      <c r="AW2978" s="498">
        <f t="shared" si="1033"/>
        <v>0</v>
      </c>
      <c r="AX2978" s="498">
        <f t="shared" si="1034"/>
        <v>0</v>
      </c>
      <c r="AY2978" s="498">
        <f t="shared" si="1035"/>
        <v>0</v>
      </c>
      <c r="BB2978" s="498" t="str">
        <f t="shared" si="1036"/>
        <v/>
      </c>
      <c r="BC2978" s="743" t="str">
        <f t="shared" si="1037"/>
        <v/>
      </c>
      <c r="BD2978" s="743" t="str">
        <f t="shared" si="1038"/>
        <v/>
      </c>
      <c r="BE2978" s="743" t="str">
        <f>IF(D2978="","",VLOOKUP(D2978,'General Basis'!$J$39:$K$46,2,0))</f>
        <v/>
      </c>
      <c r="BF2978" s="744" t="str">
        <f>IF(D2978="","",VLOOKUP(D2978,'General Basis'!$J$39:$L$46,3,0))</f>
        <v/>
      </c>
      <c r="BG2978" s="744" t="str">
        <f t="shared" si="1045"/>
        <v/>
      </c>
      <c r="BH2978" s="744" t="str">
        <f>IF(G2978="","",IF(BF2978="Abu Dhabi",IF(G2978&lt;18,'General Basis'!$C$39,IF(G2978&lt;41,'General Basis'!$C$40,IF(G2978&lt;60,'General Basis'!$C$41,IF(G2978&lt;65,'General Basis'!$C$42,'General Basis'!$C$43)))),IF(G2978&lt;11,'General Basis'!$B$39,IF(G2978&lt;18,'General Basis'!$B$40,IF(G2978&lt;26,'General Basis'!$B$41,IF(G2978&lt;31,'General Basis'!$B$42,IF(G2978&lt;36,'General Basis'!$B$43,IF(G2978&lt;41,'General Basis'!$B$44,IF(G2978&lt;46,'General Basis'!$B$45,IF(G2978&lt;51,'General Basis'!$B$46,IF(G2978&lt;56,'General Basis'!$B$47,IF(G2978&lt;60,'General Basis'!$B$48,IF(G2978&lt;65,'General Basis'!$B$49,'General Basis'!$B$50)))))))))))))</f>
        <v/>
      </c>
      <c r="BI2978" s="744" t="str">
        <f t="shared" si="1039"/>
        <v/>
      </c>
      <c r="BJ2978" s="747" t="str">
        <f t="shared" si="1046"/>
        <v/>
      </c>
      <c r="BK2978" s="498" t="str">
        <f t="shared" si="1040"/>
        <v/>
      </c>
      <c r="BL2978" s="498" t="str">
        <f t="shared" si="1041"/>
        <v/>
      </c>
    </row>
    <row r="2979" spans="1:64" x14ac:dyDescent="0.25">
      <c r="A2979" s="762">
        <f t="shared" si="1042"/>
        <v>2974</v>
      </c>
      <c r="B2979" s="229"/>
      <c r="C2979" s="223"/>
      <c r="D2979" s="224"/>
      <c r="E2979" s="225"/>
      <c r="F2979" s="1036" t="str">
        <f t="shared" si="1048"/>
        <v/>
      </c>
      <c r="G2979" s="1037" t="str">
        <f t="shared" si="1043"/>
        <v/>
      </c>
      <c r="H2979" s="225"/>
      <c r="I2979" s="1013"/>
      <c r="J2979" s="1013"/>
      <c r="K2979" s="1028"/>
      <c r="L2979" s="1035" t="str">
        <f t="shared" si="1047"/>
        <v/>
      </c>
      <c r="S2979" s="498"/>
      <c r="AJ2979" s="498"/>
      <c r="AM2979" s="498">
        <f t="shared" si="1028"/>
        <v>0</v>
      </c>
      <c r="AN2979" s="498">
        <f t="shared" si="1029"/>
        <v>0</v>
      </c>
      <c r="AO2979" s="498">
        <f t="shared" si="1030"/>
        <v>0</v>
      </c>
      <c r="AP2979" s="498">
        <f t="shared" si="1049"/>
        <v>0</v>
      </c>
      <c r="AQ2979" s="498">
        <f t="shared" si="1044"/>
        <v>0</v>
      </c>
      <c r="AU2979" s="498">
        <f t="shared" si="1031"/>
        <v>0</v>
      </c>
      <c r="AV2979" s="498">
        <f t="shared" si="1032"/>
        <v>0</v>
      </c>
      <c r="AW2979" s="498">
        <f t="shared" si="1033"/>
        <v>0</v>
      </c>
      <c r="AX2979" s="498">
        <f t="shared" si="1034"/>
        <v>0</v>
      </c>
      <c r="AY2979" s="498">
        <f t="shared" si="1035"/>
        <v>0</v>
      </c>
      <c r="BB2979" s="498" t="str">
        <f t="shared" si="1036"/>
        <v/>
      </c>
      <c r="BC2979" s="743" t="str">
        <f t="shared" si="1037"/>
        <v/>
      </c>
      <c r="BD2979" s="743" t="str">
        <f t="shared" si="1038"/>
        <v/>
      </c>
      <c r="BE2979" s="743" t="str">
        <f>IF(D2979="","",VLOOKUP(D2979,'General Basis'!$J$39:$K$46,2,0))</f>
        <v/>
      </c>
      <c r="BF2979" s="744" t="str">
        <f>IF(D2979="","",VLOOKUP(D2979,'General Basis'!$J$39:$L$46,3,0))</f>
        <v/>
      </c>
      <c r="BG2979" s="744" t="str">
        <f t="shared" si="1045"/>
        <v/>
      </c>
      <c r="BH2979" s="744" t="str">
        <f>IF(G2979="","",IF(BF2979="Abu Dhabi",IF(G2979&lt;18,'General Basis'!$C$39,IF(G2979&lt;41,'General Basis'!$C$40,IF(G2979&lt;60,'General Basis'!$C$41,IF(G2979&lt;65,'General Basis'!$C$42,'General Basis'!$C$43)))),IF(G2979&lt;11,'General Basis'!$B$39,IF(G2979&lt;18,'General Basis'!$B$40,IF(G2979&lt;26,'General Basis'!$B$41,IF(G2979&lt;31,'General Basis'!$B$42,IF(G2979&lt;36,'General Basis'!$B$43,IF(G2979&lt;41,'General Basis'!$B$44,IF(G2979&lt;46,'General Basis'!$B$45,IF(G2979&lt;51,'General Basis'!$B$46,IF(G2979&lt;56,'General Basis'!$B$47,IF(G2979&lt;60,'General Basis'!$B$48,IF(G2979&lt;65,'General Basis'!$B$49,'General Basis'!$B$50)))))))))))))</f>
        <v/>
      </c>
      <c r="BI2979" s="744" t="str">
        <f t="shared" si="1039"/>
        <v/>
      </c>
      <c r="BJ2979" s="747" t="str">
        <f t="shared" si="1046"/>
        <v/>
      </c>
      <c r="BK2979" s="498" t="str">
        <f t="shared" si="1040"/>
        <v/>
      </c>
      <c r="BL2979" s="498" t="str">
        <f t="shared" si="1041"/>
        <v/>
      </c>
    </row>
    <row r="2980" spans="1:64" x14ac:dyDescent="0.25">
      <c r="A2980" s="762">
        <f t="shared" si="1042"/>
        <v>2975</v>
      </c>
      <c r="B2980" s="229"/>
      <c r="C2980" s="223"/>
      <c r="D2980" s="224"/>
      <c r="E2980" s="225"/>
      <c r="F2980" s="1036" t="str">
        <f t="shared" si="1048"/>
        <v/>
      </c>
      <c r="G2980" s="1037" t="str">
        <f t="shared" si="1043"/>
        <v/>
      </c>
      <c r="H2980" s="225"/>
      <c r="I2980" s="1013"/>
      <c r="J2980" s="1013"/>
      <c r="K2980" s="1028"/>
      <c r="L2980" s="1035" t="str">
        <f t="shared" si="1047"/>
        <v/>
      </c>
      <c r="S2980" s="498"/>
      <c r="AJ2980" s="498"/>
      <c r="AM2980" s="498">
        <f t="shared" si="1028"/>
        <v>0</v>
      </c>
      <c r="AN2980" s="498">
        <f t="shared" si="1029"/>
        <v>0</v>
      </c>
      <c r="AO2980" s="498">
        <f t="shared" si="1030"/>
        <v>0</v>
      </c>
      <c r="AP2980" s="498">
        <f t="shared" si="1049"/>
        <v>0</v>
      </c>
      <c r="AQ2980" s="498">
        <f t="shared" si="1044"/>
        <v>0</v>
      </c>
      <c r="AU2980" s="498">
        <f t="shared" si="1031"/>
        <v>0</v>
      </c>
      <c r="AV2980" s="498">
        <f t="shared" si="1032"/>
        <v>0</v>
      </c>
      <c r="AW2980" s="498">
        <f t="shared" si="1033"/>
        <v>0</v>
      </c>
      <c r="AX2980" s="498">
        <f t="shared" si="1034"/>
        <v>0</v>
      </c>
      <c r="AY2980" s="498">
        <f t="shared" si="1035"/>
        <v>0</v>
      </c>
      <c r="BB2980" s="498" t="str">
        <f t="shared" si="1036"/>
        <v/>
      </c>
      <c r="BC2980" s="743" t="str">
        <f t="shared" si="1037"/>
        <v/>
      </c>
      <c r="BD2980" s="743" t="str">
        <f t="shared" si="1038"/>
        <v/>
      </c>
      <c r="BE2980" s="743" t="str">
        <f>IF(D2980="","",VLOOKUP(D2980,'General Basis'!$J$39:$K$46,2,0))</f>
        <v/>
      </c>
      <c r="BF2980" s="744" t="str">
        <f>IF(D2980="","",VLOOKUP(D2980,'General Basis'!$J$39:$L$46,3,0))</f>
        <v/>
      </c>
      <c r="BG2980" s="744" t="str">
        <f t="shared" si="1045"/>
        <v/>
      </c>
      <c r="BH2980" s="744" t="str">
        <f>IF(G2980="","",IF(BF2980="Abu Dhabi",IF(G2980&lt;18,'General Basis'!$C$39,IF(G2980&lt;41,'General Basis'!$C$40,IF(G2980&lt;60,'General Basis'!$C$41,IF(G2980&lt;65,'General Basis'!$C$42,'General Basis'!$C$43)))),IF(G2980&lt;11,'General Basis'!$B$39,IF(G2980&lt;18,'General Basis'!$B$40,IF(G2980&lt;26,'General Basis'!$B$41,IF(G2980&lt;31,'General Basis'!$B$42,IF(G2980&lt;36,'General Basis'!$B$43,IF(G2980&lt;41,'General Basis'!$B$44,IF(G2980&lt;46,'General Basis'!$B$45,IF(G2980&lt;51,'General Basis'!$B$46,IF(G2980&lt;56,'General Basis'!$B$47,IF(G2980&lt;60,'General Basis'!$B$48,IF(G2980&lt;65,'General Basis'!$B$49,'General Basis'!$B$50)))))))))))))</f>
        <v/>
      </c>
      <c r="BI2980" s="744" t="str">
        <f t="shared" si="1039"/>
        <v/>
      </c>
      <c r="BJ2980" s="747" t="str">
        <f t="shared" si="1046"/>
        <v/>
      </c>
      <c r="BK2980" s="498" t="str">
        <f t="shared" si="1040"/>
        <v/>
      </c>
      <c r="BL2980" s="498" t="str">
        <f t="shared" si="1041"/>
        <v/>
      </c>
    </row>
    <row r="2981" spans="1:64" x14ac:dyDescent="0.25">
      <c r="A2981" s="762">
        <f t="shared" si="1042"/>
        <v>2976</v>
      </c>
      <c r="B2981" s="229"/>
      <c r="C2981" s="223"/>
      <c r="D2981" s="224"/>
      <c r="E2981" s="225"/>
      <c r="F2981" s="1036" t="str">
        <f t="shared" si="1048"/>
        <v/>
      </c>
      <c r="G2981" s="1037" t="str">
        <f t="shared" si="1043"/>
        <v/>
      </c>
      <c r="H2981" s="225"/>
      <c r="I2981" s="1013"/>
      <c r="J2981" s="1013"/>
      <c r="K2981" s="1028"/>
      <c r="L2981" s="1035" t="str">
        <f t="shared" si="1047"/>
        <v/>
      </c>
      <c r="S2981" s="498"/>
      <c r="AJ2981" s="498"/>
      <c r="AM2981" s="498">
        <f t="shared" si="1028"/>
        <v>0</v>
      </c>
      <c r="AN2981" s="498">
        <f t="shared" si="1029"/>
        <v>0</v>
      </c>
      <c r="AO2981" s="498">
        <f t="shared" si="1030"/>
        <v>0</v>
      </c>
      <c r="AP2981" s="498">
        <f t="shared" si="1049"/>
        <v>0</v>
      </c>
      <c r="AQ2981" s="498">
        <f t="shared" si="1044"/>
        <v>0</v>
      </c>
      <c r="AU2981" s="498">
        <f t="shared" si="1031"/>
        <v>0</v>
      </c>
      <c r="AV2981" s="498">
        <f t="shared" si="1032"/>
        <v>0</v>
      </c>
      <c r="AW2981" s="498">
        <f t="shared" si="1033"/>
        <v>0</v>
      </c>
      <c r="AX2981" s="498">
        <f t="shared" si="1034"/>
        <v>0</v>
      </c>
      <c r="AY2981" s="498">
        <f t="shared" si="1035"/>
        <v>0</v>
      </c>
      <c r="BB2981" s="498" t="str">
        <f t="shared" si="1036"/>
        <v/>
      </c>
      <c r="BC2981" s="743" t="str">
        <f t="shared" si="1037"/>
        <v/>
      </c>
      <c r="BD2981" s="743" t="str">
        <f t="shared" si="1038"/>
        <v/>
      </c>
      <c r="BE2981" s="743" t="str">
        <f>IF(D2981="","",VLOOKUP(D2981,'General Basis'!$J$39:$K$46,2,0))</f>
        <v/>
      </c>
      <c r="BF2981" s="744" t="str">
        <f>IF(D2981="","",VLOOKUP(D2981,'General Basis'!$J$39:$L$46,3,0))</f>
        <v/>
      </c>
      <c r="BG2981" s="744" t="str">
        <f t="shared" si="1045"/>
        <v/>
      </c>
      <c r="BH2981" s="744" t="str">
        <f>IF(G2981="","",IF(BF2981="Abu Dhabi",IF(G2981&lt;18,'General Basis'!$C$39,IF(G2981&lt;41,'General Basis'!$C$40,IF(G2981&lt;60,'General Basis'!$C$41,IF(G2981&lt;65,'General Basis'!$C$42,'General Basis'!$C$43)))),IF(G2981&lt;11,'General Basis'!$B$39,IF(G2981&lt;18,'General Basis'!$B$40,IF(G2981&lt;26,'General Basis'!$B$41,IF(G2981&lt;31,'General Basis'!$B$42,IF(G2981&lt;36,'General Basis'!$B$43,IF(G2981&lt;41,'General Basis'!$B$44,IF(G2981&lt;46,'General Basis'!$B$45,IF(G2981&lt;51,'General Basis'!$B$46,IF(G2981&lt;56,'General Basis'!$B$47,IF(G2981&lt;60,'General Basis'!$B$48,IF(G2981&lt;65,'General Basis'!$B$49,'General Basis'!$B$50)))))))))))))</f>
        <v/>
      </c>
      <c r="BI2981" s="744" t="str">
        <f t="shared" si="1039"/>
        <v/>
      </c>
      <c r="BJ2981" s="747" t="str">
        <f t="shared" si="1046"/>
        <v/>
      </c>
      <c r="BK2981" s="498" t="str">
        <f t="shared" si="1040"/>
        <v/>
      </c>
      <c r="BL2981" s="498" t="str">
        <f t="shared" si="1041"/>
        <v/>
      </c>
    </row>
    <row r="2982" spans="1:64" x14ac:dyDescent="0.25">
      <c r="A2982" s="762">
        <f t="shared" si="1042"/>
        <v>2977</v>
      </c>
      <c r="B2982" s="229"/>
      <c r="C2982" s="223"/>
      <c r="D2982" s="224"/>
      <c r="E2982" s="225"/>
      <c r="F2982" s="1036" t="str">
        <f t="shared" si="1048"/>
        <v/>
      </c>
      <c r="G2982" s="1037" t="str">
        <f t="shared" si="1043"/>
        <v/>
      </c>
      <c r="H2982" s="225"/>
      <c r="I2982" s="1013"/>
      <c r="J2982" s="1013"/>
      <c r="K2982" s="1028"/>
      <c r="L2982" s="1035" t="str">
        <f t="shared" si="1047"/>
        <v/>
      </c>
      <c r="S2982" s="498"/>
      <c r="AJ2982" s="498"/>
      <c r="AM2982" s="498">
        <f t="shared" si="1028"/>
        <v>0</v>
      </c>
      <c r="AN2982" s="498">
        <f t="shared" si="1029"/>
        <v>0</v>
      </c>
      <c r="AO2982" s="498">
        <f t="shared" si="1030"/>
        <v>0</v>
      </c>
      <c r="AP2982" s="498">
        <f t="shared" si="1049"/>
        <v>0</v>
      </c>
      <c r="AQ2982" s="498">
        <f t="shared" si="1044"/>
        <v>0</v>
      </c>
      <c r="AU2982" s="498">
        <f t="shared" si="1031"/>
        <v>0</v>
      </c>
      <c r="AV2982" s="498">
        <f t="shared" si="1032"/>
        <v>0</v>
      </c>
      <c r="AW2982" s="498">
        <f t="shared" si="1033"/>
        <v>0</v>
      </c>
      <c r="AX2982" s="498">
        <f t="shared" si="1034"/>
        <v>0</v>
      </c>
      <c r="AY2982" s="498">
        <f t="shared" si="1035"/>
        <v>0</v>
      </c>
      <c r="BB2982" s="498" t="str">
        <f t="shared" si="1036"/>
        <v/>
      </c>
      <c r="BC2982" s="743" t="str">
        <f t="shared" si="1037"/>
        <v/>
      </c>
      <c r="BD2982" s="743" t="str">
        <f t="shared" si="1038"/>
        <v/>
      </c>
      <c r="BE2982" s="743" t="str">
        <f>IF(D2982="","",VLOOKUP(D2982,'General Basis'!$J$39:$K$46,2,0))</f>
        <v/>
      </c>
      <c r="BF2982" s="744" t="str">
        <f>IF(D2982="","",VLOOKUP(D2982,'General Basis'!$J$39:$L$46,3,0))</f>
        <v/>
      </c>
      <c r="BG2982" s="744" t="str">
        <f t="shared" si="1045"/>
        <v/>
      </c>
      <c r="BH2982" s="744" t="str">
        <f>IF(G2982="","",IF(BF2982="Abu Dhabi",IF(G2982&lt;18,'General Basis'!$C$39,IF(G2982&lt;41,'General Basis'!$C$40,IF(G2982&lt;60,'General Basis'!$C$41,IF(G2982&lt;65,'General Basis'!$C$42,'General Basis'!$C$43)))),IF(G2982&lt;11,'General Basis'!$B$39,IF(G2982&lt;18,'General Basis'!$B$40,IF(G2982&lt;26,'General Basis'!$B$41,IF(G2982&lt;31,'General Basis'!$B$42,IF(G2982&lt;36,'General Basis'!$B$43,IF(G2982&lt;41,'General Basis'!$B$44,IF(G2982&lt;46,'General Basis'!$B$45,IF(G2982&lt;51,'General Basis'!$B$46,IF(G2982&lt;56,'General Basis'!$B$47,IF(G2982&lt;60,'General Basis'!$B$48,IF(G2982&lt;65,'General Basis'!$B$49,'General Basis'!$B$50)))))))))))))</f>
        <v/>
      </c>
      <c r="BI2982" s="744" t="str">
        <f t="shared" si="1039"/>
        <v/>
      </c>
      <c r="BJ2982" s="747" t="str">
        <f t="shared" si="1046"/>
        <v/>
      </c>
      <c r="BK2982" s="498" t="str">
        <f t="shared" si="1040"/>
        <v/>
      </c>
      <c r="BL2982" s="498" t="str">
        <f t="shared" si="1041"/>
        <v/>
      </c>
    </row>
    <row r="2983" spans="1:64" x14ac:dyDescent="0.25">
      <c r="A2983" s="762">
        <f t="shared" si="1042"/>
        <v>2978</v>
      </c>
      <c r="B2983" s="229"/>
      <c r="C2983" s="223"/>
      <c r="D2983" s="224"/>
      <c r="E2983" s="225"/>
      <c r="F2983" s="1036" t="str">
        <f t="shared" si="1048"/>
        <v/>
      </c>
      <c r="G2983" s="1037" t="str">
        <f t="shared" si="1043"/>
        <v/>
      </c>
      <c r="H2983" s="225"/>
      <c r="I2983" s="1013"/>
      <c r="J2983" s="1013"/>
      <c r="K2983" s="1028"/>
      <c r="L2983" s="1035" t="str">
        <f t="shared" si="1047"/>
        <v/>
      </c>
      <c r="S2983" s="498"/>
      <c r="AJ2983" s="498"/>
      <c r="AM2983" s="498">
        <f t="shared" si="1028"/>
        <v>0</v>
      </c>
      <c r="AN2983" s="498">
        <f t="shared" si="1029"/>
        <v>0</v>
      </c>
      <c r="AO2983" s="498">
        <f t="shared" si="1030"/>
        <v>0</v>
      </c>
      <c r="AP2983" s="498">
        <f t="shared" si="1049"/>
        <v>0</v>
      </c>
      <c r="AQ2983" s="498">
        <f t="shared" si="1044"/>
        <v>0</v>
      </c>
      <c r="AU2983" s="498">
        <f t="shared" si="1031"/>
        <v>0</v>
      </c>
      <c r="AV2983" s="498">
        <f t="shared" si="1032"/>
        <v>0</v>
      </c>
      <c r="AW2983" s="498">
        <f t="shared" si="1033"/>
        <v>0</v>
      </c>
      <c r="AX2983" s="498">
        <f t="shared" si="1034"/>
        <v>0</v>
      </c>
      <c r="AY2983" s="498">
        <f t="shared" si="1035"/>
        <v>0</v>
      </c>
      <c r="BB2983" s="498" t="str">
        <f t="shared" si="1036"/>
        <v/>
      </c>
      <c r="BC2983" s="743" t="str">
        <f t="shared" si="1037"/>
        <v/>
      </c>
      <c r="BD2983" s="743" t="str">
        <f t="shared" si="1038"/>
        <v/>
      </c>
      <c r="BE2983" s="743" t="str">
        <f>IF(D2983="","",VLOOKUP(D2983,'General Basis'!$J$39:$K$46,2,0))</f>
        <v/>
      </c>
      <c r="BF2983" s="744" t="str">
        <f>IF(D2983="","",VLOOKUP(D2983,'General Basis'!$J$39:$L$46,3,0))</f>
        <v/>
      </c>
      <c r="BG2983" s="744" t="str">
        <f t="shared" si="1045"/>
        <v/>
      </c>
      <c r="BH2983" s="744" t="str">
        <f>IF(G2983="","",IF(BF2983="Abu Dhabi",IF(G2983&lt;18,'General Basis'!$C$39,IF(G2983&lt;41,'General Basis'!$C$40,IF(G2983&lt;60,'General Basis'!$C$41,IF(G2983&lt;65,'General Basis'!$C$42,'General Basis'!$C$43)))),IF(G2983&lt;11,'General Basis'!$B$39,IF(G2983&lt;18,'General Basis'!$B$40,IF(G2983&lt;26,'General Basis'!$B$41,IF(G2983&lt;31,'General Basis'!$B$42,IF(G2983&lt;36,'General Basis'!$B$43,IF(G2983&lt;41,'General Basis'!$B$44,IF(G2983&lt;46,'General Basis'!$B$45,IF(G2983&lt;51,'General Basis'!$B$46,IF(G2983&lt;56,'General Basis'!$B$47,IF(G2983&lt;60,'General Basis'!$B$48,IF(G2983&lt;65,'General Basis'!$B$49,'General Basis'!$B$50)))))))))))))</f>
        <v/>
      </c>
      <c r="BI2983" s="744" t="str">
        <f t="shared" si="1039"/>
        <v/>
      </c>
      <c r="BJ2983" s="747" t="str">
        <f t="shared" si="1046"/>
        <v/>
      </c>
      <c r="BK2983" s="498" t="str">
        <f t="shared" si="1040"/>
        <v/>
      </c>
      <c r="BL2983" s="498" t="str">
        <f t="shared" si="1041"/>
        <v/>
      </c>
    </row>
    <row r="2984" spans="1:64" x14ac:dyDescent="0.25">
      <c r="A2984" s="762">
        <f t="shared" si="1042"/>
        <v>2979</v>
      </c>
      <c r="B2984" s="229"/>
      <c r="C2984" s="223"/>
      <c r="D2984" s="224"/>
      <c r="E2984" s="225"/>
      <c r="F2984" s="1036" t="str">
        <f t="shared" si="1048"/>
        <v/>
      </c>
      <c r="G2984" s="1037" t="str">
        <f t="shared" si="1043"/>
        <v/>
      </c>
      <c r="H2984" s="225"/>
      <c r="I2984" s="1013"/>
      <c r="J2984" s="1013"/>
      <c r="K2984" s="1028"/>
      <c r="L2984" s="1035" t="str">
        <f t="shared" si="1047"/>
        <v/>
      </c>
      <c r="S2984" s="498"/>
      <c r="AJ2984" s="498"/>
      <c r="AM2984" s="498">
        <f t="shared" si="1028"/>
        <v>0</v>
      </c>
      <c r="AN2984" s="498">
        <f t="shared" si="1029"/>
        <v>0</v>
      </c>
      <c r="AO2984" s="498">
        <f t="shared" si="1030"/>
        <v>0</v>
      </c>
      <c r="AP2984" s="498">
        <f t="shared" si="1049"/>
        <v>0</v>
      </c>
      <c r="AQ2984" s="498">
        <f t="shared" si="1044"/>
        <v>0</v>
      </c>
      <c r="AU2984" s="498">
        <f t="shared" si="1031"/>
        <v>0</v>
      </c>
      <c r="AV2984" s="498">
        <f t="shared" si="1032"/>
        <v>0</v>
      </c>
      <c r="AW2984" s="498">
        <f t="shared" si="1033"/>
        <v>0</v>
      </c>
      <c r="AX2984" s="498">
        <f t="shared" si="1034"/>
        <v>0</v>
      </c>
      <c r="AY2984" s="498">
        <f t="shared" si="1035"/>
        <v>0</v>
      </c>
      <c r="BB2984" s="498" t="str">
        <f t="shared" si="1036"/>
        <v/>
      </c>
      <c r="BC2984" s="743" t="str">
        <f t="shared" si="1037"/>
        <v/>
      </c>
      <c r="BD2984" s="743" t="str">
        <f t="shared" si="1038"/>
        <v/>
      </c>
      <c r="BE2984" s="743" t="str">
        <f>IF(D2984="","",VLOOKUP(D2984,'General Basis'!$J$39:$K$46,2,0))</f>
        <v/>
      </c>
      <c r="BF2984" s="744" t="str">
        <f>IF(D2984="","",VLOOKUP(D2984,'General Basis'!$J$39:$L$46,3,0))</f>
        <v/>
      </c>
      <c r="BG2984" s="744" t="str">
        <f t="shared" si="1045"/>
        <v/>
      </c>
      <c r="BH2984" s="744" t="str">
        <f>IF(G2984="","",IF(BF2984="Abu Dhabi",IF(G2984&lt;18,'General Basis'!$C$39,IF(G2984&lt;41,'General Basis'!$C$40,IF(G2984&lt;60,'General Basis'!$C$41,IF(G2984&lt;65,'General Basis'!$C$42,'General Basis'!$C$43)))),IF(G2984&lt;11,'General Basis'!$B$39,IF(G2984&lt;18,'General Basis'!$B$40,IF(G2984&lt;26,'General Basis'!$B$41,IF(G2984&lt;31,'General Basis'!$B$42,IF(G2984&lt;36,'General Basis'!$B$43,IF(G2984&lt;41,'General Basis'!$B$44,IF(G2984&lt;46,'General Basis'!$B$45,IF(G2984&lt;51,'General Basis'!$B$46,IF(G2984&lt;56,'General Basis'!$B$47,IF(G2984&lt;60,'General Basis'!$B$48,IF(G2984&lt;65,'General Basis'!$B$49,'General Basis'!$B$50)))))))))))))</f>
        <v/>
      </c>
      <c r="BI2984" s="744" t="str">
        <f t="shared" si="1039"/>
        <v/>
      </c>
      <c r="BJ2984" s="747" t="str">
        <f t="shared" si="1046"/>
        <v/>
      </c>
      <c r="BK2984" s="498" t="str">
        <f t="shared" si="1040"/>
        <v/>
      </c>
      <c r="BL2984" s="498" t="str">
        <f t="shared" si="1041"/>
        <v/>
      </c>
    </row>
    <row r="2985" spans="1:64" x14ac:dyDescent="0.25">
      <c r="A2985" s="762">
        <f t="shared" si="1042"/>
        <v>2980</v>
      </c>
      <c r="B2985" s="229"/>
      <c r="C2985" s="223"/>
      <c r="D2985" s="224"/>
      <c r="E2985" s="225"/>
      <c r="F2985" s="1036" t="str">
        <f t="shared" si="1048"/>
        <v/>
      </c>
      <c r="G2985" s="1037" t="str">
        <f t="shared" si="1043"/>
        <v/>
      </c>
      <c r="H2985" s="225"/>
      <c r="I2985" s="1013"/>
      <c r="J2985" s="1013"/>
      <c r="K2985" s="1028"/>
      <c r="L2985" s="1035" t="str">
        <f t="shared" si="1047"/>
        <v/>
      </c>
      <c r="S2985" s="498"/>
      <c r="AJ2985" s="498"/>
      <c r="AM2985" s="498">
        <f t="shared" si="1028"/>
        <v>0</v>
      </c>
      <c r="AN2985" s="498">
        <f t="shared" si="1029"/>
        <v>0</v>
      </c>
      <c r="AO2985" s="498">
        <f t="shared" si="1030"/>
        <v>0</v>
      </c>
      <c r="AP2985" s="498">
        <f t="shared" si="1049"/>
        <v>0</v>
      </c>
      <c r="AQ2985" s="498">
        <f t="shared" si="1044"/>
        <v>0</v>
      </c>
      <c r="AU2985" s="498">
        <f t="shared" si="1031"/>
        <v>0</v>
      </c>
      <c r="AV2985" s="498">
        <f t="shared" si="1032"/>
        <v>0</v>
      </c>
      <c r="AW2985" s="498">
        <f t="shared" si="1033"/>
        <v>0</v>
      </c>
      <c r="AX2985" s="498">
        <f t="shared" si="1034"/>
        <v>0</v>
      </c>
      <c r="AY2985" s="498">
        <f t="shared" si="1035"/>
        <v>0</v>
      </c>
      <c r="BB2985" s="498" t="str">
        <f t="shared" si="1036"/>
        <v/>
      </c>
      <c r="BC2985" s="743" t="str">
        <f t="shared" si="1037"/>
        <v/>
      </c>
      <c r="BD2985" s="743" t="str">
        <f t="shared" si="1038"/>
        <v/>
      </c>
      <c r="BE2985" s="743" t="str">
        <f>IF(D2985="","",VLOOKUP(D2985,'General Basis'!$J$39:$K$46,2,0))</f>
        <v/>
      </c>
      <c r="BF2985" s="744" t="str">
        <f>IF(D2985="","",VLOOKUP(D2985,'General Basis'!$J$39:$L$46,3,0))</f>
        <v/>
      </c>
      <c r="BG2985" s="744" t="str">
        <f t="shared" si="1045"/>
        <v/>
      </c>
      <c r="BH2985" s="744" t="str">
        <f>IF(G2985="","",IF(BF2985="Abu Dhabi",IF(G2985&lt;18,'General Basis'!$C$39,IF(G2985&lt;41,'General Basis'!$C$40,IF(G2985&lt;60,'General Basis'!$C$41,IF(G2985&lt;65,'General Basis'!$C$42,'General Basis'!$C$43)))),IF(G2985&lt;11,'General Basis'!$B$39,IF(G2985&lt;18,'General Basis'!$B$40,IF(G2985&lt;26,'General Basis'!$B$41,IF(G2985&lt;31,'General Basis'!$B$42,IF(G2985&lt;36,'General Basis'!$B$43,IF(G2985&lt;41,'General Basis'!$B$44,IF(G2985&lt;46,'General Basis'!$B$45,IF(G2985&lt;51,'General Basis'!$B$46,IF(G2985&lt;56,'General Basis'!$B$47,IF(G2985&lt;60,'General Basis'!$B$48,IF(G2985&lt;65,'General Basis'!$B$49,'General Basis'!$B$50)))))))))))))</f>
        <v/>
      </c>
      <c r="BI2985" s="744" t="str">
        <f t="shared" si="1039"/>
        <v/>
      </c>
      <c r="BJ2985" s="747" t="str">
        <f t="shared" si="1046"/>
        <v/>
      </c>
      <c r="BK2985" s="498" t="str">
        <f t="shared" si="1040"/>
        <v/>
      </c>
      <c r="BL2985" s="498" t="str">
        <f t="shared" si="1041"/>
        <v/>
      </c>
    </row>
    <row r="2986" spans="1:64" x14ac:dyDescent="0.25">
      <c r="A2986" s="762">
        <f t="shared" si="1042"/>
        <v>2981</v>
      </c>
      <c r="B2986" s="229"/>
      <c r="C2986" s="223"/>
      <c r="D2986" s="224"/>
      <c r="E2986" s="225"/>
      <c r="F2986" s="1036" t="str">
        <f t="shared" si="1048"/>
        <v/>
      </c>
      <c r="G2986" s="1037" t="str">
        <f t="shared" si="1043"/>
        <v/>
      </c>
      <c r="H2986" s="225"/>
      <c r="I2986" s="1013"/>
      <c r="J2986" s="1013"/>
      <c r="K2986" s="1028"/>
      <c r="L2986" s="1035" t="str">
        <f t="shared" si="1047"/>
        <v/>
      </c>
      <c r="S2986" s="498"/>
      <c r="AJ2986" s="498"/>
      <c r="AM2986" s="498">
        <f t="shared" si="1028"/>
        <v>0</v>
      </c>
      <c r="AN2986" s="498">
        <f t="shared" si="1029"/>
        <v>0</v>
      </c>
      <c r="AO2986" s="498">
        <f t="shared" si="1030"/>
        <v>0</v>
      </c>
      <c r="AP2986" s="498">
        <f t="shared" si="1049"/>
        <v>0</v>
      </c>
      <c r="AQ2986" s="498">
        <f t="shared" si="1044"/>
        <v>0</v>
      </c>
      <c r="AU2986" s="498">
        <f t="shared" si="1031"/>
        <v>0</v>
      </c>
      <c r="AV2986" s="498">
        <f t="shared" si="1032"/>
        <v>0</v>
      </c>
      <c r="AW2986" s="498">
        <f t="shared" si="1033"/>
        <v>0</v>
      </c>
      <c r="AX2986" s="498">
        <f t="shared" si="1034"/>
        <v>0</v>
      </c>
      <c r="AY2986" s="498">
        <f t="shared" si="1035"/>
        <v>0</v>
      </c>
      <c r="BB2986" s="498" t="str">
        <f t="shared" si="1036"/>
        <v/>
      </c>
      <c r="BC2986" s="743" t="str">
        <f t="shared" si="1037"/>
        <v/>
      </c>
      <c r="BD2986" s="743" t="str">
        <f t="shared" si="1038"/>
        <v/>
      </c>
      <c r="BE2986" s="743" t="str">
        <f>IF(D2986="","",VLOOKUP(D2986,'General Basis'!$J$39:$K$46,2,0))</f>
        <v/>
      </c>
      <c r="BF2986" s="744" t="str">
        <f>IF(D2986="","",VLOOKUP(D2986,'General Basis'!$J$39:$L$46,3,0))</f>
        <v/>
      </c>
      <c r="BG2986" s="744" t="str">
        <f t="shared" si="1045"/>
        <v/>
      </c>
      <c r="BH2986" s="744" t="str">
        <f>IF(G2986="","",IF(BF2986="Abu Dhabi",IF(G2986&lt;18,'General Basis'!$C$39,IF(G2986&lt;41,'General Basis'!$C$40,IF(G2986&lt;60,'General Basis'!$C$41,IF(G2986&lt;65,'General Basis'!$C$42,'General Basis'!$C$43)))),IF(G2986&lt;11,'General Basis'!$B$39,IF(G2986&lt;18,'General Basis'!$B$40,IF(G2986&lt;26,'General Basis'!$B$41,IF(G2986&lt;31,'General Basis'!$B$42,IF(G2986&lt;36,'General Basis'!$B$43,IF(G2986&lt;41,'General Basis'!$B$44,IF(G2986&lt;46,'General Basis'!$B$45,IF(G2986&lt;51,'General Basis'!$B$46,IF(G2986&lt;56,'General Basis'!$B$47,IF(G2986&lt;60,'General Basis'!$B$48,IF(G2986&lt;65,'General Basis'!$B$49,'General Basis'!$B$50)))))))))))))</f>
        <v/>
      </c>
      <c r="BI2986" s="744" t="str">
        <f t="shared" si="1039"/>
        <v/>
      </c>
      <c r="BJ2986" s="747" t="str">
        <f t="shared" si="1046"/>
        <v/>
      </c>
      <c r="BK2986" s="498" t="str">
        <f t="shared" si="1040"/>
        <v/>
      </c>
      <c r="BL2986" s="498" t="str">
        <f t="shared" si="1041"/>
        <v/>
      </c>
    </row>
    <row r="2987" spans="1:64" x14ac:dyDescent="0.25">
      <c r="A2987" s="762">
        <f t="shared" si="1042"/>
        <v>2982</v>
      </c>
      <c r="B2987" s="229"/>
      <c r="C2987" s="223"/>
      <c r="D2987" s="224"/>
      <c r="E2987" s="225"/>
      <c r="F2987" s="1036" t="str">
        <f t="shared" si="1048"/>
        <v/>
      </c>
      <c r="G2987" s="1037" t="str">
        <f t="shared" si="1043"/>
        <v/>
      </c>
      <c r="H2987" s="225"/>
      <c r="I2987" s="1013"/>
      <c r="J2987" s="1013"/>
      <c r="K2987" s="1028"/>
      <c r="L2987" s="1035" t="str">
        <f t="shared" si="1047"/>
        <v/>
      </c>
      <c r="S2987" s="498"/>
      <c r="AJ2987" s="498"/>
      <c r="AM2987" s="498">
        <f t="shared" si="1028"/>
        <v>0</v>
      </c>
      <c r="AN2987" s="498">
        <f t="shared" si="1029"/>
        <v>0</v>
      </c>
      <c r="AO2987" s="498">
        <f t="shared" si="1030"/>
        <v>0</v>
      </c>
      <c r="AP2987" s="498">
        <f t="shared" si="1049"/>
        <v>0</v>
      </c>
      <c r="AQ2987" s="498">
        <f t="shared" si="1044"/>
        <v>0</v>
      </c>
      <c r="AU2987" s="498">
        <f t="shared" si="1031"/>
        <v>0</v>
      </c>
      <c r="AV2987" s="498">
        <f t="shared" si="1032"/>
        <v>0</v>
      </c>
      <c r="AW2987" s="498">
        <f t="shared" si="1033"/>
        <v>0</v>
      </c>
      <c r="AX2987" s="498">
        <f t="shared" si="1034"/>
        <v>0</v>
      </c>
      <c r="AY2987" s="498">
        <f t="shared" si="1035"/>
        <v>0</v>
      </c>
      <c r="BB2987" s="498" t="str">
        <f t="shared" si="1036"/>
        <v/>
      </c>
      <c r="BC2987" s="743" t="str">
        <f t="shared" si="1037"/>
        <v/>
      </c>
      <c r="BD2987" s="743" t="str">
        <f t="shared" si="1038"/>
        <v/>
      </c>
      <c r="BE2987" s="743" t="str">
        <f>IF(D2987="","",VLOOKUP(D2987,'General Basis'!$J$39:$K$46,2,0))</f>
        <v/>
      </c>
      <c r="BF2987" s="744" t="str">
        <f>IF(D2987="","",VLOOKUP(D2987,'General Basis'!$J$39:$L$46,3,0))</f>
        <v/>
      </c>
      <c r="BG2987" s="744" t="str">
        <f t="shared" si="1045"/>
        <v/>
      </c>
      <c r="BH2987" s="744" t="str">
        <f>IF(G2987="","",IF(BF2987="Abu Dhabi",IF(G2987&lt;18,'General Basis'!$C$39,IF(G2987&lt;41,'General Basis'!$C$40,IF(G2987&lt;60,'General Basis'!$C$41,IF(G2987&lt;65,'General Basis'!$C$42,'General Basis'!$C$43)))),IF(G2987&lt;11,'General Basis'!$B$39,IF(G2987&lt;18,'General Basis'!$B$40,IF(G2987&lt;26,'General Basis'!$B$41,IF(G2987&lt;31,'General Basis'!$B$42,IF(G2987&lt;36,'General Basis'!$B$43,IF(G2987&lt;41,'General Basis'!$B$44,IF(G2987&lt;46,'General Basis'!$B$45,IF(G2987&lt;51,'General Basis'!$B$46,IF(G2987&lt;56,'General Basis'!$B$47,IF(G2987&lt;60,'General Basis'!$B$48,IF(G2987&lt;65,'General Basis'!$B$49,'General Basis'!$B$50)))))))))))))</f>
        <v/>
      </c>
      <c r="BI2987" s="744" t="str">
        <f t="shared" si="1039"/>
        <v/>
      </c>
      <c r="BJ2987" s="747" t="str">
        <f t="shared" si="1046"/>
        <v/>
      </c>
      <c r="BK2987" s="498" t="str">
        <f t="shared" si="1040"/>
        <v/>
      </c>
      <c r="BL2987" s="498" t="str">
        <f t="shared" si="1041"/>
        <v/>
      </c>
    </row>
    <row r="2988" spans="1:64" x14ac:dyDescent="0.25">
      <c r="A2988" s="762">
        <f t="shared" si="1042"/>
        <v>2983</v>
      </c>
      <c r="B2988" s="229"/>
      <c r="C2988" s="223"/>
      <c r="D2988" s="224"/>
      <c r="E2988" s="225"/>
      <c r="F2988" s="1036" t="str">
        <f t="shared" si="1048"/>
        <v/>
      </c>
      <c r="G2988" s="1037" t="str">
        <f t="shared" si="1043"/>
        <v/>
      </c>
      <c r="H2988" s="225"/>
      <c r="I2988" s="1013"/>
      <c r="J2988" s="1013"/>
      <c r="K2988" s="1028"/>
      <c r="L2988" s="1035" t="str">
        <f t="shared" si="1047"/>
        <v/>
      </c>
      <c r="S2988" s="498"/>
      <c r="AJ2988" s="498"/>
      <c r="AM2988" s="498">
        <f t="shared" si="1028"/>
        <v>0</v>
      </c>
      <c r="AN2988" s="498">
        <f t="shared" si="1029"/>
        <v>0</v>
      </c>
      <c r="AO2988" s="498">
        <f t="shared" si="1030"/>
        <v>0</v>
      </c>
      <c r="AP2988" s="498">
        <f t="shared" si="1049"/>
        <v>0</v>
      </c>
      <c r="AQ2988" s="498">
        <f t="shared" si="1044"/>
        <v>0</v>
      </c>
      <c r="AU2988" s="498">
        <f t="shared" si="1031"/>
        <v>0</v>
      </c>
      <c r="AV2988" s="498">
        <f t="shared" si="1032"/>
        <v>0</v>
      </c>
      <c r="AW2988" s="498">
        <f t="shared" si="1033"/>
        <v>0</v>
      </c>
      <c r="AX2988" s="498">
        <f t="shared" si="1034"/>
        <v>0</v>
      </c>
      <c r="AY2988" s="498">
        <f t="shared" si="1035"/>
        <v>0</v>
      </c>
      <c r="BB2988" s="498" t="str">
        <f t="shared" si="1036"/>
        <v/>
      </c>
      <c r="BC2988" s="743" t="str">
        <f t="shared" si="1037"/>
        <v/>
      </c>
      <c r="BD2988" s="743" t="str">
        <f t="shared" si="1038"/>
        <v/>
      </c>
      <c r="BE2988" s="743" t="str">
        <f>IF(D2988="","",VLOOKUP(D2988,'General Basis'!$J$39:$K$46,2,0))</f>
        <v/>
      </c>
      <c r="BF2988" s="744" t="str">
        <f>IF(D2988="","",VLOOKUP(D2988,'General Basis'!$J$39:$L$46,3,0))</f>
        <v/>
      </c>
      <c r="BG2988" s="744" t="str">
        <f t="shared" si="1045"/>
        <v/>
      </c>
      <c r="BH2988" s="744" t="str">
        <f>IF(G2988="","",IF(BF2988="Abu Dhabi",IF(G2988&lt;18,'General Basis'!$C$39,IF(G2988&lt;41,'General Basis'!$C$40,IF(G2988&lt;60,'General Basis'!$C$41,IF(G2988&lt;65,'General Basis'!$C$42,'General Basis'!$C$43)))),IF(G2988&lt;11,'General Basis'!$B$39,IF(G2988&lt;18,'General Basis'!$B$40,IF(G2988&lt;26,'General Basis'!$B$41,IF(G2988&lt;31,'General Basis'!$B$42,IF(G2988&lt;36,'General Basis'!$B$43,IF(G2988&lt;41,'General Basis'!$B$44,IF(G2988&lt;46,'General Basis'!$B$45,IF(G2988&lt;51,'General Basis'!$B$46,IF(G2988&lt;56,'General Basis'!$B$47,IF(G2988&lt;60,'General Basis'!$B$48,IF(G2988&lt;65,'General Basis'!$B$49,'General Basis'!$B$50)))))))))))))</f>
        <v/>
      </c>
      <c r="BI2988" s="744" t="str">
        <f t="shared" si="1039"/>
        <v/>
      </c>
      <c r="BJ2988" s="747" t="str">
        <f t="shared" si="1046"/>
        <v/>
      </c>
      <c r="BK2988" s="498" t="str">
        <f t="shared" si="1040"/>
        <v/>
      </c>
      <c r="BL2988" s="498" t="str">
        <f t="shared" si="1041"/>
        <v/>
      </c>
    </row>
    <row r="2989" spans="1:64" x14ac:dyDescent="0.25">
      <c r="A2989" s="762">
        <f t="shared" si="1042"/>
        <v>2984</v>
      </c>
      <c r="B2989" s="229"/>
      <c r="C2989" s="223"/>
      <c r="D2989" s="224"/>
      <c r="E2989" s="225"/>
      <c r="F2989" s="1036" t="str">
        <f t="shared" si="1048"/>
        <v/>
      </c>
      <c r="G2989" s="1037" t="str">
        <f t="shared" si="1043"/>
        <v/>
      </c>
      <c r="H2989" s="225"/>
      <c r="I2989" s="1013"/>
      <c r="J2989" s="1013"/>
      <c r="K2989" s="1028"/>
      <c r="L2989" s="1035" t="str">
        <f t="shared" si="1047"/>
        <v/>
      </c>
      <c r="S2989" s="498"/>
      <c r="AJ2989" s="498"/>
      <c r="AM2989" s="498">
        <f t="shared" si="1028"/>
        <v>0</v>
      </c>
      <c r="AN2989" s="498">
        <f t="shared" si="1029"/>
        <v>0</v>
      </c>
      <c r="AO2989" s="498">
        <f t="shared" si="1030"/>
        <v>0</v>
      </c>
      <c r="AP2989" s="498">
        <f t="shared" si="1049"/>
        <v>0</v>
      </c>
      <c r="AQ2989" s="498">
        <f t="shared" si="1044"/>
        <v>0</v>
      </c>
      <c r="AU2989" s="498">
        <f t="shared" si="1031"/>
        <v>0</v>
      </c>
      <c r="AV2989" s="498">
        <f t="shared" si="1032"/>
        <v>0</v>
      </c>
      <c r="AW2989" s="498">
        <f t="shared" si="1033"/>
        <v>0</v>
      </c>
      <c r="AX2989" s="498">
        <f t="shared" si="1034"/>
        <v>0</v>
      </c>
      <c r="AY2989" s="498">
        <f t="shared" si="1035"/>
        <v>0</v>
      </c>
      <c r="BB2989" s="498" t="str">
        <f t="shared" si="1036"/>
        <v/>
      </c>
      <c r="BC2989" s="743" t="str">
        <f t="shared" si="1037"/>
        <v/>
      </c>
      <c r="BD2989" s="743" t="str">
        <f t="shared" si="1038"/>
        <v/>
      </c>
      <c r="BE2989" s="743" t="str">
        <f>IF(D2989="","",VLOOKUP(D2989,'General Basis'!$J$39:$K$46,2,0))</f>
        <v/>
      </c>
      <c r="BF2989" s="744" t="str">
        <f>IF(D2989="","",VLOOKUP(D2989,'General Basis'!$J$39:$L$46,3,0))</f>
        <v/>
      </c>
      <c r="BG2989" s="744" t="str">
        <f t="shared" si="1045"/>
        <v/>
      </c>
      <c r="BH2989" s="744" t="str">
        <f>IF(G2989="","",IF(BF2989="Abu Dhabi",IF(G2989&lt;18,'General Basis'!$C$39,IF(G2989&lt;41,'General Basis'!$C$40,IF(G2989&lt;60,'General Basis'!$C$41,IF(G2989&lt;65,'General Basis'!$C$42,'General Basis'!$C$43)))),IF(G2989&lt;11,'General Basis'!$B$39,IF(G2989&lt;18,'General Basis'!$B$40,IF(G2989&lt;26,'General Basis'!$B$41,IF(G2989&lt;31,'General Basis'!$B$42,IF(G2989&lt;36,'General Basis'!$B$43,IF(G2989&lt;41,'General Basis'!$B$44,IF(G2989&lt;46,'General Basis'!$B$45,IF(G2989&lt;51,'General Basis'!$B$46,IF(G2989&lt;56,'General Basis'!$B$47,IF(G2989&lt;60,'General Basis'!$B$48,IF(G2989&lt;65,'General Basis'!$B$49,'General Basis'!$B$50)))))))))))))</f>
        <v/>
      </c>
      <c r="BI2989" s="744" t="str">
        <f t="shared" si="1039"/>
        <v/>
      </c>
      <c r="BJ2989" s="747" t="str">
        <f t="shared" si="1046"/>
        <v/>
      </c>
      <c r="BK2989" s="498" t="str">
        <f t="shared" si="1040"/>
        <v/>
      </c>
      <c r="BL2989" s="498" t="str">
        <f t="shared" si="1041"/>
        <v/>
      </c>
    </row>
    <row r="2990" spans="1:64" x14ac:dyDescent="0.25">
      <c r="A2990" s="762">
        <f t="shared" si="1042"/>
        <v>2985</v>
      </c>
      <c r="B2990" s="229"/>
      <c r="C2990" s="223"/>
      <c r="D2990" s="224"/>
      <c r="E2990" s="225"/>
      <c r="F2990" s="1036" t="str">
        <f t="shared" si="1048"/>
        <v/>
      </c>
      <c r="G2990" s="1037" t="str">
        <f t="shared" si="1043"/>
        <v/>
      </c>
      <c r="H2990" s="225"/>
      <c r="I2990" s="1013"/>
      <c r="J2990" s="1013"/>
      <c r="K2990" s="1028"/>
      <c r="L2990" s="1035" t="str">
        <f t="shared" si="1047"/>
        <v/>
      </c>
      <c r="S2990" s="498"/>
      <c r="AJ2990" s="498"/>
      <c r="AM2990" s="498">
        <f t="shared" si="1028"/>
        <v>0</v>
      </c>
      <c r="AN2990" s="498">
        <f t="shared" si="1029"/>
        <v>0</v>
      </c>
      <c r="AO2990" s="498">
        <f t="shared" si="1030"/>
        <v>0</v>
      </c>
      <c r="AP2990" s="498">
        <f t="shared" si="1049"/>
        <v>0</v>
      </c>
      <c r="AQ2990" s="498">
        <f t="shared" si="1044"/>
        <v>0</v>
      </c>
      <c r="AU2990" s="498">
        <f t="shared" si="1031"/>
        <v>0</v>
      </c>
      <c r="AV2990" s="498">
        <f t="shared" si="1032"/>
        <v>0</v>
      </c>
      <c r="AW2990" s="498">
        <f t="shared" si="1033"/>
        <v>0</v>
      </c>
      <c r="AX2990" s="498">
        <f t="shared" si="1034"/>
        <v>0</v>
      </c>
      <c r="AY2990" s="498">
        <f t="shared" si="1035"/>
        <v>0</v>
      </c>
      <c r="BB2990" s="498" t="str">
        <f t="shared" si="1036"/>
        <v/>
      </c>
      <c r="BC2990" s="743" t="str">
        <f t="shared" si="1037"/>
        <v/>
      </c>
      <c r="BD2990" s="743" t="str">
        <f t="shared" si="1038"/>
        <v/>
      </c>
      <c r="BE2990" s="743" t="str">
        <f>IF(D2990="","",VLOOKUP(D2990,'General Basis'!$J$39:$K$46,2,0))</f>
        <v/>
      </c>
      <c r="BF2990" s="744" t="str">
        <f>IF(D2990="","",VLOOKUP(D2990,'General Basis'!$J$39:$L$46,3,0))</f>
        <v/>
      </c>
      <c r="BG2990" s="744" t="str">
        <f t="shared" si="1045"/>
        <v/>
      </c>
      <c r="BH2990" s="744" t="str">
        <f>IF(G2990="","",IF(BF2990="Abu Dhabi",IF(G2990&lt;18,'General Basis'!$C$39,IF(G2990&lt;41,'General Basis'!$C$40,IF(G2990&lt;60,'General Basis'!$C$41,IF(G2990&lt;65,'General Basis'!$C$42,'General Basis'!$C$43)))),IF(G2990&lt;11,'General Basis'!$B$39,IF(G2990&lt;18,'General Basis'!$B$40,IF(G2990&lt;26,'General Basis'!$B$41,IF(G2990&lt;31,'General Basis'!$B$42,IF(G2990&lt;36,'General Basis'!$B$43,IF(G2990&lt;41,'General Basis'!$B$44,IF(G2990&lt;46,'General Basis'!$B$45,IF(G2990&lt;51,'General Basis'!$B$46,IF(G2990&lt;56,'General Basis'!$B$47,IF(G2990&lt;60,'General Basis'!$B$48,IF(G2990&lt;65,'General Basis'!$B$49,'General Basis'!$B$50)))))))))))))</f>
        <v/>
      </c>
      <c r="BI2990" s="744" t="str">
        <f t="shared" si="1039"/>
        <v/>
      </c>
      <c r="BJ2990" s="747" t="str">
        <f t="shared" si="1046"/>
        <v/>
      </c>
      <c r="BK2990" s="498" t="str">
        <f t="shared" si="1040"/>
        <v/>
      </c>
      <c r="BL2990" s="498" t="str">
        <f t="shared" si="1041"/>
        <v/>
      </c>
    </row>
    <row r="2991" spans="1:64" x14ac:dyDescent="0.25">
      <c r="A2991" s="762">
        <f t="shared" si="1042"/>
        <v>2986</v>
      </c>
      <c r="B2991" s="229"/>
      <c r="C2991" s="223"/>
      <c r="D2991" s="224"/>
      <c r="E2991" s="225"/>
      <c r="F2991" s="1036" t="str">
        <f t="shared" si="1048"/>
        <v/>
      </c>
      <c r="G2991" s="1037" t="str">
        <f t="shared" si="1043"/>
        <v/>
      </c>
      <c r="H2991" s="225"/>
      <c r="I2991" s="1013"/>
      <c r="J2991" s="1013"/>
      <c r="K2991" s="1028"/>
      <c r="L2991" s="1035" t="str">
        <f t="shared" si="1047"/>
        <v/>
      </c>
      <c r="S2991" s="498"/>
      <c r="AJ2991" s="498"/>
      <c r="AM2991" s="498">
        <f t="shared" si="1028"/>
        <v>0</v>
      </c>
      <c r="AN2991" s="498">
        <f t="shared" si="1029"/>
        <v>0</v>
      </c>
      <c r="AO2991" s="498">
        <f t="shared" si="1030"/>
        <v>0</v>
      </c>
      <c r="AP2991" s="498">
        <f t="shared" si="1049"/>
        <v>0</v>
      </c>
      <c r="AQ2991" s="498">
        <f t="shared" si="1044"/>
        <v>0</v>
      </c>
      <c r="AU2991" s="498">
        <f t="shared" si="1031"/>
        <v>0</v>
      </c>
      <c r="AV2991" s="498">
        <f t="shared" si="1032"/>
        <v>0</v>
      </c>
      <c r="AW2991" s="498">
        <f t="shared" si="1033"/>
        <v>0</v>
      </c>
      <c r="AX2991" s="498">
        <f t="shared" si="1034"/>
        <v>0</v>
      </c>
      <c r="AY2991" s="498">
        <f t="shared" si="1035"/>
        <v>0</v>
      </c>
      <c r="BB2991" s="498" t="str">
        <f t="shared" si="1036"/>
        <v/>
      </c>
      <c r="BC2991" s="743" t="str">
        <f t="shared" si="1037"/>
        <v/>
      </c>
      <c r="BD2991" s="743" t="str">
        <f t="shared" si="1038"/>
        <v/>
      </c>
      <c r="BE2991" s="743" t="str">
        <f>IF(D2991="","",VLOOKUP(D2991,'General Basis'!$J$39:$K$46,2,0))</f>
        <v/>
      </c>
      <c r="BF2991" s="744" t="str">
        <f>IF(D2991="","",VLOOKUP(D2991,'General Basis'!$J$39:$L$46,3,0))</f>
        <v/>
      </c>
      <c r="BG2991" s="744" t="str">
        <f t="shared" si="1045"/>
        <v/>
      </c>
      <c r="BH2991" s="744" t="str">
        <f>IF(G2991="","",IF(BF2991="Abu Dhabi",IF(G2991&lt;18,'General Basis'!$C$39,IF(G2991&lt;41,'General Basis'!$C$40,IF(G2991&lt;60,'General Basis'!$C$41,IF(G2991&lt;65,'General Basis'!$C$42,'General Basis'!$C$43)))),IF(G2991&lt;11,'General Basis'!$B$39,IF(G2991&lt;18,'General Basis'!$B$40,IF(G2991&lt;26,'General Basis'!$B$41,IF(G2991&lt;31,'General Basis'!$B$42,IF(G2991&lt;36,'General Basis'!$B$43,IF(G2991&lt;41,'General Basis'!$B$44,IF(G2991&lt;46,'General Basis'!$B$45,IF(G2991&lt;51,'General Basis'!$B$46,IF(G2991&lt;56,'General Basis'!$B$47,IF(G2991&lt;60,'General Basis'!$B$48,IF(G2991&lt;65,'General Basis'!$B$49,'General Basis'!$B$50)))))))))))))</f>
        <v/>
      </c>
      <c r="BI2991" s="744" t="str">
        <f t="shared" si="1039"/>
        <v/>
      </c>
      <c r="BJ2991" s="747" t="str">
        <f t="shared" si="1046"/>
        <v/>
      </c>
      <c r="BK2991" s="498" t="str">
        <f t="shared" si="1040"/>
        <v/>
      </c>
      <c r="BL2991" s="498" t="str">
        <f t="shared" si="1041"/>
        <v/>
      </c>
    </row>
    <row r="2992" spans="1:64" x14ac:dyDescent="0.25">
      <c r="A2992" s="762">
        <f t="shared" si="1042"/>
        <v>2987</v>
      </c>
      <c r="B2992" s="229"/>
      <c r="C2992" s="223"/>
      <c r="D2992" s="224"/>
      <c r="E2992" s="225"/>
      <c r="F2992" s="1036" t="str">
        <f t="shared" si="1048"/>
        <v/>
      </c>
      <c r="G2992" s="1037" t="str">
        <f t="shared" si="1043"/>
        <v/>
      </c>
      <c r="H2992" s="225"/>
      <c r="I2992" s="1013"/>
      <c r="J2992" s="1013"/>
      <c r="K2992" s="1028"/>
      <c r="L2992" s="1035" t="str">
        <f t="shared" si="1047"/>
        <v/>
      </c>
      <c r="S2992" s="498"/>
      <c r="AJ2992" s="498"/>
      <c r="AM2992" s="498">
        <f t="shared" si="1028"/>
        <v>0</v>
      </c>
      <c r="AN2992" s="498">
        <f t="shared" si="1029"/>
        <v>0</v>
      </c>
      <c r="AO2992" s="498">
        <f t="shared" si="1030"/>
        <v>0</v>
      </c>
      <c r="AP2992" s="498">
        <f t="shared" si="1049"/>
        <v>0</v>
      </c>
      <c r="AQ2992" s="498">
        <f t="shared" si="1044"/>
        <v>0</v>
      </c>
      <c r="AU2992" s="498">
        <f t="shared" si="1031"/>
        <v>0</v>
      </c>
      <c r="AV2992" s="498">
        <f t="shared" si="1032"/>
        <v>0</v>
      </c>
      <c r="AW2992" s="498">
        <f t="shared" si="1033"/>
        <v>0</v>
      </c>
      <c r="AX2992" s="498">
        <f t="shared" si="1034"/>
        <v>0</v>
      </c>
      <c r="AY2992" s="498">
        <f t="shared" si="1035"/>
        <v>0</v>
      </c>
      <c r="BB2992" s="498" t="str">
        <f t="shared" si="1036"/>
        <v/>
      </c>
      <c r="BC2992" s="743" t="str">
        <f t="shared" si="1037"/>
        <v/>
      </c>
      <c r="BD2992" s="743" t="str">
        <f t="shared" si="1038"/>
        <v/>
      </c>
      <c r="BE2992" s="743" t="str">
        <f>IF(D2992="","",VLOOKUP(D2992,'General Basis'!$J$39:$K$46,2,0))</f>
        <v/>
      </c>
      <c r="BF2992" s="744" t="str">
        <f>IF(D2992="","",VLOOKUP(D2992,'General Basis'!$J$39:$L$46,3,0))</f>
        <v/>
      </c>
      <c r="BG2992" s="744" t="str">
        <f t="shared" si="1045"/>
        <v/>
      </c>
      <c r="BH2992" s="744" t="str">
        <f>IF(G2992="","",IF(BF2992="Abu Dhabi",IF(G2992&lt;18,'General Basis'!$C$39,IF(G2992&lt;41,'General Basis'!$C$40,IF(G2992&lt;60,'General Basis'!$C$41,IF(G2992&lt;65,'General Basis'!$C$42,'General Basis'!$C$43)))),IF(G2992&lt;11,'General Basis'!$B$39,IF(G2992&lt;18,'General Basis'!$B$40,IF(G2992&lt;26,'General Basis'!$B$41,IF(G2992&lt;31,'General Basis'!$B$42,IF(G2992&lt;36,'General Basis'!$B$43,IF(G2992&lt;41,'General Basis'!$B$44,IF(G2992&lt;46,'General Basis'!$B$45,IF(G2992&lt;51,'General Basis'!$B$46,IF(G2992&lt;56,'General Basis'!$B$47,IF(G2992&lt;60,'General Basis'!$B$48,IF(G2992&lt;65,'General Basis'!$B$49,'General Basis'!$B$50)))))))))))))</f>
        <v/>
      </c>
      <c r="BI2992" s="744" t="str">
        <f t="shared" si="1039"/>
        <v/>
      </c>
      <c r="BJ2992" s="747" t="str">
        <f t="shared" si="1046"/>
        <v/>
      </c>
      <c r="BK2992" s="498" t="str">
        <f t="shared" si="1040"/>
        <v/>
      </c>
      <c r="BL2992" s="498" t="str">
        <f t="shared" si="1041"/>
        <v/>
      </c>
    </row>
    <row r="2993" spans="1:64" x14ac:dyDescent="0.25">
      <c r="A2993" s="762">
        <f t="shared" si="1042"/>
        <v>2988</v>
      </c>
      <c r="B2993" s="229"/>
      <c r="C2993" s="223"/>
      <c r="D2993" s="224"/>
      <c r="E2993" s="225"/>
      <c r="F2993" s="1036" t="str">
        <f t="shared" si="1048"/>
        <v/>
      </c>
      <c r="G2993" s="1037" t="str">
        <f t="shared" si="1043"/>
        <v/>
      </c>
      <c r="H2993" s="225"/>
      <c r="I2993" s="1013"/>
      <c r="J2993" s="1013"/>
      <c r="K2993" s="1028"/>
      <c r="L2993" s="1035" t="str">
        <f t="shared" si="1047"/>
        <v/>
      </c>
      <c r="S2993" s="498"/>
      <c r="AJ2993" s="498"/>
      <c r="AM2993" s="498">
        <f t="shared" si="1028"/>
        <v>0</v>
      </c>
      <c r="AN2993" s="498">
        <f t="shared" si="1029"/>
        <v>0</v>
      </c>
      <c r="AO2993" s="498">
        <f t="shared" si="1030"/>
        <v>0</v>
      </c>
      <c r="AP2993" s="498">
        <f t="shared" si="1049"/>
        <v>0</v>
      </c>
      <c r="AQ2993" s="498">
        <f t="shared" si="1044"/>
        <v>0</v>
      </c>
      <c r="AU2993" s="498">
        <f t="shared" si="1031"/>
        <v>0</v>
      </c>
      <c r="AV2993" s="498">
        <f t="shared" si="1032"/>
        <v>0</v>
      </c>
      <c r="AW2993" s="498">
        <f t="shared" si="1033"/>
        <v>0</v>
      </c>
      <c r="AX2993" s="498">
        <f t="shared" si="1034"/>
        <v>0</v>
      </c>
      <c r="AY2993" s="498">
        <f t="shared" si="1035"/>
        <v>0</v>
      </c>
      <c r="BB2993" s="498" t="str">
        <f t="shared" si="1036"/>
        <v/>
      </c>
      <c r="BC2993" s="743" t="str">
        <f t="shared" si="1037"/>
        <v/>
      </c>
      <c r="BD2993" s="743" t="str">
        <f t="shared" si="1038"/>
        <v/>
      </c>
      <c r="BE2993" s="743" t="str">
        <f>IF(D2993="","",VLOOKUP(D2993,'General Basis'!$J$39:$K$46,2,0))</f>
        <v/>
      </c>
      <c r="BF2993" s="744" t="str">
        <f>IF(D2993="","",VLOOKUP(D2993,'General Basis'!$J$39:$L$46,3,0))</f>
        <v/>
      </c>
      <c r="BG2993" s="744" t="str">
        <f t="shared" si="1045"/>
        <v/>
      </c>
      <c r="BH2993" s="744" t="str">
        <f>IF(G2993="","",IF(BF2993="Abu Dhabi",IF(G2993&lt;18,'General Basis'!$C$39,IF(G2993&lt;41,'General Basis'!$C$40,IF(G2993&lt;60,'General Basis'!$C$41,IF(G2993&lt;65,'General Basis'!$C$42,'General Basis'!$C$43)))),IF(G2993&lt;11,'General Basis'!$B$39,IF(G2993&lt;18,'General Basis'!$B$40,IF(G2993&lt;26,'General Basis'!$B$41,IF(G2993&lt;31,'General Basis'!$B$42,IF(G2993&lt;36,'General Basis'!$B$43,IF(G2993&lt;41,'General Basis'!$B$44,IF(G2993&lt;46,'General Basis'!$B$45,IF(G2993&lt;51,'General Basis'!$B$46,IF(G2993&lt;56,'General Basis'!$B$47,IF(G2993&lt;60,'General Basis'!$B$48,IF(G2993&lt;65,'General Basis'!$B$49,'General Basis'!$B$50)))))))))))))</f>
        <v/>
      </c>
      <c r="BI2993" s="744" t="str">
        <f t="shared" si="1039"/>
        <v/>
      </c>
      <c r="BJ2993" s="747" t="str">
        <f t="shared" si="1046"/>
        <v/>
      </c>
      <c r="BK2993" s="498" t="str">
        <f t="shared" si="1040"/>
        <v/>
      </c>
      <c r="BL2993" s="498" t="str">
        <f t="shared" si="1041"/>
        <v/>
      </c>
    </row>
    <row r="2994" spans="1:64" x14ac:dyDescent="0.25">
      <c r="A2994" s="762">
        <f t="shared" si="1042"/>
        <v>2989</v>
      </c>
      <c r="B2994" s="229"/>
      <c r="C2994" s="223"/>
      <c r="D2994" s="224"/>
      <c r="E2994" s="225"/>
      <c r="F2994" s="1036" t="str">
        <f t="shared" si="1048"/>
        <v/>
      </c>
      <c r="G2994" s="1037" t="str">
        <f t="shared" si="1043"/>
        <v/>
      </c>
      <c r="H2994" s="225"/>
      <c r="I2994" s="1013"/>
      <c r="J2994" s="1013"/>
      <c r="K2994" s="1028"/>
      <c r="L2994" s="1035" t="str">
        <f t="shared" si="1047"/>
        <v/>
      </c>
      <c r="S2994" s="498"/>
      <c r="AJ2994" s="498"/>
      <c r="AM2994" s="498">
        <f t="shared" si="1028"/>
        <v>0</v>
      </c>
      <c r="AN2994" s="498">
        <f t="shared" si="1029"/>
        <v>0</v>
      </c>
      <c r="AO2994" s="498">
        <f t="shared" si="1030"/>
        <v>0</v>
      </c>
      <c r="AP2994" s="498">
        <f t="shared" si="1049"/>
        <v>0</v>
      </c>
      <c r="AQ2994" s="498">
        <f t="shared" si="1044"/>
        <v>0</v>
      </c>
      <c r="AU2994" s="498">
        <f t="shared" si="1031"/>
        <v>0</v>
      </c>
      <c r="AV2994" s="498">
        <f t="shared" si="1032"/>
        <v>0</v>
      </c>
      <c r="AW2994" s="498">
        <f t="shared" si="1033"/>
        <v>0</v>
      </c>
      <c r="AX2994" s="498">
        <f t="shared" si="1034"/>
        <v>0</v>
      </c>
      <c r="AY2994" s="498">
        <f t="shared" si="1035"/>
        <v>0</v>
      </c>
      <c r="BB2994" s="498" t="str">
        <f t="shared" si="1036"/>
        <v/>
      </c>
      <c r="BC2994" s="743" t="str">
        <f t="shared" si="1037"/>
        <v/>
      </c>
      <c r="BD2994" s="743" t="str">
        <f t="shared" si="1038"/>
        <v/>
      </c>
      <c r="BE2994" s="743" t="str">
        <f>IF(D2994="","",VLOOKUP(D2994,'General Basis'!$J$39:$K$46,2,0))</f>
        <v/>
      </c>
      <c r="BF2994" s="744" t="str">
        <f>IF(D2994="","",VLOOKUP(D2994,'General Basis'!$J$39:$L$46,3,0))</f>
        <v/>
      </c>
      <c r="BG2994" s="744" t="str">
        <f t="shared" si="1045"/>
        <v/>
      </c>
      <c r="BH2994" s="744" t="str">
        <f>IF(G2994="","",IF(BF2994="Abu Dhabi",IF(G2994&lt;18,'General Basis'!$C$39,IF(G2994&lt;41,'General Basis'!$C$40,IF(G2994&lt;60,'General Basis'!$C$41,IF(G2994&lt;65,'General Basis'!$C$42,'General Basis'!$C$43)))),IF(G2994&lt;11,'General Basis'!$B$39,IF(G2994&lt;18,'General Basis'!$B$40,IF(G2994&lt;26,'General Basis'!$B$41,IF(G2994&lt;31,'General Basis'!$B$42,IF(G2994&lt;36,'General Basis'!$B$43,IF(G2994&lt;41,'General Basis'!$B$44,IF(G2994&lt;46,'General Basis'!$B$45,IF(G2994&lt;51,'General Basis'!$B$46,IF(G2994&lt;56,'General Basis'!$B$47,IF(G2994&lt;60,'General Basis'!$B$48,IF(G2994&lt;65,'General Basis'!$B$49,'General Basis'!$B$50)))))))))))))</f>
        <v/>
      </c>
      <c r="BI2994" s="744" t="str">
        <f t="shared" si="1039"/>
        <v/>
      </c>
      <c r="BJ2994" s="747" t="str">
        <f t="shared" si="1046"/>
        <v/>
      </c>
      <c r="BK2994" s="498" t="str">
        <f t="shared" si="1040"/>
        <v/>
      </c>
      <c r="BL2994" s="498" t="str">
        <f t="shared" si="1041"/>
        <v/>
      </c>
    </row>
    <row r="2995" spans="1:64" x14ac:dyDescent="0.25">
      <c r="A2995" s="762">
        <f t="shared" si="1042"/>
        <v>2990</v>
      </c>
      <c r="B2995" s="229"/>
      <c r="C2995" s="223"/>
      <c r="D2995" s="224"/>
      <c r="E2995" s="225"/>
      <c r="F2995" s="1036" t="str">
        <f t="shared" si="1048"/>
        <v/>
      </c>
      <c r="G2995" s="1037" t="str">
        <f t="shared" si="1043"/>
        <v/>
      </c>
      <c r="H2995" s="225"/>
      <c r="I2995" s="1013"/>
      <c r="J2995" s="1013"/>
      <c r="K2995" s="1028"/>
      <c r="L2995" s="1035" t="str">
        <f t="shared" si="1047"/>
        <v/>
      </c>
      <c r="S2995" s="498"/>
      <c r="AJ2995" s="498"/>
      <c r="AM2995" s="498">
        <f t="shared" si="1028"/>
        <v>0</v>
      </c>
      <c r="AN2995" s="498">
        <f t="shared" si="1029"/>
        <v>0</v>
      </c>
      <c r="AO2995" s="498">
        <f t="shared" si="1030"/>
        <v>0</v>
      </c>
      <c r="AP2995" s="498">
        <f t="shared" si="1049"/>
        <v>0</v>
      </c>
      <c r="AQ2995" s="498">
        <f t="shared" si="1044"/>
        <v>0</v>
      </c>
      <c r="AU2995" s="498">
        <f t="shared" si="1031"/>
        <v>0</v>
      </c>
      <c r="AV2995" s="498">
        <f t="shared" si="1032"/>
        <v>0</v>
      </c>
      <c r="AW2995" s="498">
        <f t="shared" si="1033"/>
        <v>0</v>
      </c>
      <c r="AX2995" s="498">
        <f t="shared" si="1034"/>
        <v>0</v>
      </c>
      <c r="AY2995" s="498">
        <f t="shared" si="1035"/>
        <v>0</v>
      </c>
      <c r="BB2995" s="498" t="str">
        <f t="shared" si="1036"/>
        <v/>
      </c>
      <c r="BC2995" s="743" t="str">
        <f t="shared" si="1037"/>
        <v/>
      </c>
      <c r="BD2995" s="743" t="str">
        <f t="shared" si="1038"/>
        <v/>
      </c>
      <c r="BE2995" s="743" t="str">
        <f>IF(D2995="","",VLOOKUP(D2995,'General Basis'!$J$39:$K$46,2,0))</f>
        <v/>
      </c>
      <c r="BF2995" s="744" t="str">
        <f>IF(D2995="","",VLOOKUP(D2995,'General Basis'!$J$39:$L$46,3,0))</f>
        <v/>
      </c>
      <c r="BG2995" s="744" t="str">
        <f t="shared" si="1045"/>
        <v/>
      </c>
      <c r="BH2995" s="744" t="str">
        <f>IF(G2995="","",IF(BF2995="Abu Dhabi",IF(G2995&lt;18,'General Basis'!$C$39,IF(G2995&lt;41,'General Basis'!$C$40,IF(G2995&lt;60,'General Basis'!$C$41,IF(G2995&lt;65,'General Basis'!$C$42,'General Basis'!$C$43)))),IF(G2995&lt;11,'General Basis'!$B$39,IF(G2995&lt;18,'General Basis'!$B$40,IF(G2995&lt;26,'General Basis'!$B$41,IF(G2995&lt;31,'General Basis'!$B$42,IF(G2995&lt;36,'General Basis'!$B$43,IF(G2995&lt;41,'General Basis'!$B$44,IF(G2995&lt;46,'General Basis'!$B$45,IF(G2995&lt;51,'General Basis'!$B$46,IF(G2995&lt;56,'General Basis'!$B$47,IF(G2995&lt;60,'General Basis'!$B$48,IF(G2995&lt;65,'General Basis'!$B$49,'General Basis'!$B$50)))))))))))))</f>
        <v/>
      </c>
      <c r="BI2995" s="744" t="str">
        <f t="shared" si="1039"/>
        <v/>
      </c>
      <c r="BJ2995" s="747" t="str">
        <f t="shared" si="1046"/>
        <v/>
      </c>
      <c r="BK2995" s="498" t="str">
        <f t="shared" si="1040"/>
        <v/>
      </c>
      <c r="BL2995" s="498" t="str">
        <f t="shared" si="1041"/>
        <v/>
      </c>
    </row>
    <row r="2996" spans="1:64" x14ac:dyDescent="0.25">
      <c r="A2996" s="762">
        <f t="shared" si="1042"/>
        <v>2991</v>
      </c>
      <c r="B2996" s="229"/>
      <c r="C2996" s="223"/>
      <c r="D2996" s="224"/>
      <c r="E2996" s="225"/>
      <c r="F2996" s="1036" t="str">
        <f t="shared" si="1048"/>
        <v/>
      </c>
      <c r="G2996" s="1037" t="str">
        <f t="shared" si="1043"/>
        <v/>
      </c>
      <c r="H2996" s="225"/>
      <c r="I2996" s="1013"/>
      <c r="J2996" s="1013"/>
      <c r="K2996" s="1028"/>
      <c r="L2996" s="1035" t="str">
        <f t="shared" si="1047"/>
        <v/>
      </c>
      <c r="S2996" s="498"/>
      <c r="AJ2996" s="498"/>
      <c r="AM2996" s="498">
        <f t="shared" si="1028"/>
        <v>0</v>
      </c>
      <c r="AN2996" s="498">
        <f t="shared" si="1029"/>
        <v>0</v>
      </c>
      <c r="AO2996" s="498">
        <f t="shared" si="1030"/>
        <v>0</v>
      </c>
      <c r="AP2996" s="498">
        <f t="shared" si="1049"/>
        <v>0</v>
      </c>
      <c r="AQ2996" s="498">
        <f t="shared" si="1044"/>
        <v>0</v>
      </c>
      <c r="AU2996" s="498">
        <f t="shared" si="1031"/>
        <v>0</v>
      </c>
      <c r="AV2996" s="498">
        <f t="shared" si="1032"/>
        <v>0</v>
      </c>
      <c r="AW2996" s="498">
        <f t="shared" si="1033"/>
        <v>0</v>
      </c>
      <c r="AX2996" s="498">
        <f t="shared" si="1034"/>
        <v>0</v>
      </c>
      <c r="AY2996" s="498">
        <f t="shared" si="1035"/>
        <v>0</v>
      </c>
      <c r="BB2996" s="498" t="str">
        <f t="shared" si="1036"/>
        <v/>
      </c>
      <c r="BC2996" s="743" t="str">
        <f t="shared" si="1037"/>
        <v/>
      </c>
      <c r="BD2996" s="743" t="str">
        <f t="shared" si="1038"/>
        <v/>
      </c>
      <c r="BE2996" s="743" t="str">
        <f>IF(D2996="","",VLOOKUP(D2996,'General Basis'!$J$39:$K$46,2,0))</f>
        <v/>
      </c>
      <c r="BF2996" s="744" t="str">
        <f>IF(D2996="","",VLOOKUP(D2996,'General Basis'!$J$39:$L$46,3,0))</f>
        <v/>
      </c>
      <c r="BG2996" s="744" t="str">
        <f t="shared" si="1045"/>
        <v/>
      </c>
      <c r="BH2996" s="744" t="str">
        <f>IF(G2996="","",IF(BF2996="Abu Dhabi",IF(G2996&lt;18,'General Basis'!$C$39,IF(G2996&lt;41,'General Basis'!$C$40,IF(G2996&lt;60,'General Basis'!$C$41,IF(G2996&lt;65,'General Basis'!$C$42,'General Basis'!$C$43)))),IF(G2996&lt;11,'General Basis'!$B$39,IF(G2996&lt;18,'General Basis'!$B$40,IF(G2996&lt;26,'General Basis'!$B$41,IF(G2996&lt;31,'General Basis'!$B$42,IF(G2996&lt;36,'General Basis'!$B$43,IF(G2996&lt;41,'General Basis'!$B$44,IF(G2996&lt;46,'General Basis'!$B$45,IF(G2996&lt;51,'General Basis'!$B$46,IF(G2996&lt;56,'General Basis'!$B$47,IF(G2996&lt;60,'General Basis'!$B$48,IF(G2996&lt;65,'General Basis'!$B$49,'General Basis'!$B$50)))))))))))))</f>
        <v/>
      </c>
      <c r="BI2996" s="744" t="str">
        <f t="shared" si="1039"/>
        <v/>
      </c>
      <c r="BJ2996" s="747" t="str">
        <f t="shared" si="1046"/>
        <v/>
      </c>
      <c r="BK2996" s="498" t="str">
        <f t="shared" si="1040"/>
        <v/>
      </c>
      <c r="BL2996" s="498" t="str">
        <f t="shared" si="1041"/>
        <v/>
      </c>
    </row>
    <row r="2997" spans="1:64" x14ac:dyDescent="0.25">
      <c r="A2997" s="762">
        <f t="shared" si="1042"/>
        <v>2992</v>
      </c>
      <c r="B2997" s="229"/>
      <c r="C2997" s="223"/>
      <c r="D2997" s="224"/>
      <c r="E2997" s="225"/>
      <c r="F2997" s="1036" t="str">
        <f t="shared" si="1048"/>
        <v/>
      </c>
      <c r="G2997" s="1037" t="str">
        <f t="shared" si="1043"/>
        <v/>
      </c>
      <c r="H2997" s="225"/>
      <c r="I2997" s="1013"/>
      <c r="J2997" s="1013"/>
      <c r="K2997" s="1028"/>
      <c r="L2997" s="1035" t="str">
        <f t="shared" si="1047"/>
        <v/>
      </c>
      <c r="S2997" s="498"/>
      <c r="AJ2997" s="498"/>
      <c r="AM2997" s="498">
        <f t="shared" si="1028"/>
        <v>0</v>
      </c>
      <c r="AN2997" s="498">
        <f t="shared" si="1029"/>
        <v>0</v>
      </c>
      <c r="AO2997" s="498">
        <f t="shared" si="1030"/>
        <v>0</v>
      </c>
      <c r="AP2997" s="498">
        <f t="shared" si="1049"/>
        <v>0</v>
      </c>
      <c r="AQ2997" s="498">
        <f t="shared" si="1044"/>
        <v>0</v>
      </c>
      <c r="AU2997" s="498">
        <f t="shared" si="1031"/>
        <v>0</v>
      </c>
      <c r="AV2997" s="498">
        <f t="shared" si="1032"/>
        <v>0</v>
      </c>
      <c r="AW2997" s="498">
        <f t="shared" si="1033"/>
        <v>0</v>
      </c>
      <c r="AX2997" s="498">
        <f t="shared" si="1034"/>
        <v>0</v>
      </c>
      <c r="AY2997" s="498">
        <f t="shared" si="1035"/>
        <v>0</v>
      </c>
      <c r="BB2997" s="498" t="str">
        <f t="shared" si="1036"/>
        <v/>
      </c>
      <c r="BC2997" s="743" t="str">
        <f t="shared" si="1037"/>
        <v/>
      </c>
      <c r="BD2997" s="743" t="str">
        <f t="shared" si="1038"/>
        <v/>
      </c>
      <c r="BE2997" s="743" t="str">
        <f>IF(D2997="","",VLOOKUP(D2997,'General Basis'!$J$39:$K$46,2,0))</f>
        <v/>
      </c>
      <c r="BF2997" s="744" t="str">
        <f>IF(D2997="","",VLOOKUP(D2997,'General Basis'!$J$39:$L$46,3,0))</f>
        <v/>
      </c>
      <c r="BG2997" s="744" t="str">
        <f t="shared" si="1045"/>
        <v/>
      </c>
      <c r="BH2997" s="744" t="str">
        <f>IF(G2997="","",IF(BF2997="Abu Dhabi",IF(G2997&lt;18,'General Basis'!$C$39,IF(G2997&lt;41,'General Basis'!$C$40,IF(G2997&lt;60,'General Basis'!$C$41,IF(G2997&lt;65,'General Basis'!$C$42,'General Basis'!$C$43)))),IF(G2997&lt;11,'General Basis'!$B$39,IF(G2997&lt;18,'General Basis'!$B$40,IF(G2997&lt;26,'General Basis'!$B$41,IF(G2997&lt;31,'General Basis'!$B$42,IF(G2997&lt;36,'General Basis'!$B$43,IF(G2997&lt;41,'General Basis'!$B$44,IF(G2997&lt;46,'General Basis'!$B$45,IF(G2997&lt;51,'General Basis'!$B$46,IF(G2997&lt;56,'General Basis'!$B$47,IF(G2997&lt;60,'General Basis'!$B$48,IF(G2997&lt;65,'General Basis'!$B$49,'General Basis'!$B$50)))))))))))))</f>
        <v/>
      </c>
      <c r="BI2997" s="744" t="str">
        <f t="shared" si="1039"/>
        <v/>
      </c>
      <c r="BJ2997" s="747" t="str">
        <f t="shared" si="1046"/>
        <v/>
      </c>
      <c r="BK2997" s="498" t="str">
        <f t="shared" si="1040"/>
        <v/>
      </c>
      <c r="BL2997" s="498" t="str">
        <f t="shared" si="1041"/>
        <v/>
      </c>
    </row>
    <row r="2998" spans="1:64" x14ac:dyDescent="0.25">
      <c r="A2998" s="762">
        <f t="shared" si="1042"/>
        <v>2993</v>
      </c>
      <c r="B2998" s="229"/>
      <c r="C2998" s="223"/>
      <c r="D2998" s="224"/>
      <c r="E2998" s="225"/>
      <c r="F2998" s="1036" t="str">
        <f t="shared" si="1048"/>
        <v/>
      </c>
      <c r="G2998" s="1037" t="str">
        <f t="shared" si="1043"/>
        <v/>
      </c>
      <c r="H2998" s="225"/>
      <c r="I2998" s="1013"/>
      <c r="J2998" s="1013"/>
      <c r="K2998" s="1028"/>
      <c r="L2998" s="1035" t="str">
        <f t="shared" si="1047"/>
        <v/>
      </c>
      <c r="S2998" s="498"/>
      <c r="AJ2998" s="498"/>
      <c r="AM2998" s="498">
        <f t="shared" si="1028"/>
        <v>0</v>
      </c>
      <c r="AN2998" s="498">
        <f t="shared" si="1029"/>
        <v>0</v>
      </c>
      <c r="AO2998" s="498">
        <f t="shared" si="1030"/>
        <v>0</v>
      </c>
      <c r="AP2998" s="498">
        <f t="shared" si="1049"/>
        <v>0</v>
      </c>
      <c r="AQ2998" s="498">
        <f t="shared" si="1044"/>
        <v>0</v>
      </c>
      <c r="AU2998" s="498">
        <f t="shared" si="1031"/>
        <v>0</v>
      </c>
      <c r="AV2998" s="498">
        <f t="shared" si="1032"/>
        <v>0</v>
      </c>
      <c r="AW2998" s="498">
        <f t="shared" si="1033"/>
        <v>0</v>
      </c>
      <c r="AX2998" s="498">
        <f t="shared" si="1034"/>
        <v>0</v>
      </c>
      <c r="AY2998" s="498">
        <f t="shared" si="1035"/>
        <v>0</v>
      </c>
      <c r="BB2998" s="498" t="str">
        <f t="shared" si="1036"/>
        <v/>
      </c>
      <c r="BC2998" s="743" t="str">
        <f t="shared" si="1037"/>
        <v/>
      </c>
      <c r="BD2998" s="743" t="str">
        <f t="shared" si="1038"/>
        <v/>
      </c>
      <c r="BE2998" s="743" t="str">
        <f>IF(D2998="","",VLOOKUP(D2998,'General Basis'!$J$39:$K$46,2,0))</f>
        <v/>
      </c>
      <c r="BF2998" s="744" t="str">
        <f>IF(D2998="","",VLOOKUP(D2998,'General Basis'!$J$39:$L$46,3,0))</f>
        <v/>
      </c>
      <c r="BG2998" s="744" t="str">
        <f t="shared" si="1045"/>
        <v/>
      </c>
      <c r="BH2998" s="744" t="str">
        <f>IF(G2998="","",IF(BF2998="Abu Dhabi",IF(G2998&lt;18,'General Basis'!$C$39,IF(G2998&lt;41,'General Basis'!$C$40,IF(G2998&lt;60,'General Basis'!$C$41,IF(G2998&lt;65,'General Basis'!$C$42,'General Basis'!$C$43)))),IF(G2998&lt;11,'General Basis'!$B$39,IF(G2998&lt;18,'General Basis'!$B$40,IF(G2998&lt;26,'General Basis'!$B$41,IF(G2998&lt;31,'General Basis'!$B$42,IF(G2998&lt;36,'General Basis'!$B$43,IF(G2998&lt;41,'General Basis'!$B$44,IF(G2998&lt;46,'General Basis'!$B$45,IF(G2998&lt;51,'General Basis'!$B$46,IF(G2998&lt;56,'General Basis'!$B$47,IF(G2998&lt;60,'General Basis'!$B$48,IF(G2998&lt;65,'General Basis'!$B$49,'General Basis'!$B$50)))))))))))))</f>
        <v/>
      </c>
      <c r="BI2998" s="744" t="str">
        <f t="shared" si="1039"/>
        <v/>
      </c>
      <c r="BJ2998" s="747" t="str">
        <f t="shared" si="1046"/>
        <v/>
      </c>
      <c r="BK2998" s="498" t="str">
        <f t="shared" si="1040"/>
        <v/>
      </c>
      <c r="BL2998" s="498" t="str">
        <f t="shared" si="1041"/>
        <v/>
      </c>
    </row>
    <row r="2999" spans="1:64" x14ac:dyDescent="0.25">
      <c r="A2999" s="762">
        <f t="shared" si="1042"/>
        <v>2994</v>
      </c>
      <c r="B2999" s="229"/>
      <c r="C2999" s="223"/>
      <c r="D2999" s="224"/>
      <c r="E2999" s="225"/>
      <c r="F2999" s="1036" t="str">
        <f t="shared" si="1048"/>
        <v/>
      </c>
      <c r="G2999" s="1037" t="str">
        <f t="shared" si="1043"/>
        <v/>
      </c>
      <c r="H2999" s="225"/>
      <c r="I2999" s="1013"/>
      <c r="J2999" s="1013"/>
      <c r="K2999" s="1028"/>
      <c r="L2999" s="1035" t="str">
        <f t="shared" si="1047"/>
        <v/>
      </c>
      <c r="S2999" s="498"/>
      <c r="AJ2999" s="498"/>
      <c r="AM2999" s="498">
        <f t="shared" si="1028"/>
        <v>0</v>
      </c>
      <c r="AN2999" s="498">
        <f t="shared" si="1029"/>
        <v>0</v>
      </c>
      <c r="AO2999" s="498">
        <f t="shared" si="1030"/>
        <v>0</v>
      </c>
      <c r="AP2999" s="498">
        <f t="shared" si="1049"/>
        <v>0</v>
      </c>
      <c r="AQ2999" s="498">
        <f t="shared" si="1044"/>
        <v>0</v>
      </c>
      <c r="AU2999" s="498">
        <f t="shared" si="1031"/>
        <v>0</v>
      </c>
      <c r="AV2999" s="498">
        <f t="shared" si="1032"/>
        <v>0</v>
      </c>
      <c r="AW2999" s="498">
        <f t="shared" si="1033"/>
        <v>0</v>
      </c>
      <c r="AX2999" s="498">
        <f t="shared" si="1034"/>
        <v>0</v>
      </c>
      <c r="AY2999" s="498">
        <f t="shared" si="1035"/>
        <v>0</v>
      </c>
      <c r="BB2999" s="498" t="str">
        <f t="shared" si="1036"/>
        <v/>
      </c>
      <c r="BC2999" s="743" t="str">
        <f t="shared" si="1037"/>
        <v/>
      </c>
      <c r="BD2999" s="743" t="str">
        <f t="shared" si="1038"/>
        <v/>
      </c>
      <c r="BE2999" s="743" t="str">
        <f>IF(D2999="","",VLOOKUP(D2999,'General Basis'!$J$39:$K$46,2,0))</f>
        <v/>
      </c>
      <c r="BF2999" s="744" t="str">
        <f>IF(D2999="","",VLOOKUP(D2999,'General Basis'!$J$39:$L$46,3,0))</f>
        <v/>
      </c>
      <c r="BG2999" s="744" t="str">
        <f t="shared" si="1045"/>
        <v/>
      </c>
      <c r="BH2999" s="744" t="str">
        <f>IF(G2999="","",IF(BF2999="Abu Dhabi",IF(G2999&lt;18,'General Basis'!$C$39,IF(G2999&lt;41,'General Basis'!$C$40,IF(G2999&lt;60,'General Basis'!$C$41,IF(G2999&lt;65,'General Basis'!$C$42,'General Basis'!$C$43)))),IF(G2999&lt;11,'General Basis'!$B$39,IF(G2999&lt;18,'General Basis'!$B$40,IF(G2999&lt;26,'General Basis'!$B$41,IF(G2999&lt;31,'General Basis'!$B$42,IF(G2999&lt;36,'General Basis'!$B$43,IF(G2999&lt;41,'General Basis'!$B$44,IF(G2999&lt;46,'General Basis'!$B$45,IF(G2999&lt;51,'General Basis'!$B$46,IF(G2999&lt;56,'General Basis'!$B$47,IF(G2999&lt;60,'General Basis'!$B$48,IF(G2999&lt;65,'General Basis'!$B$49,'General Basis'!$B$50)))))))))))))</f>
        <v/>
      </c>
      <c r="BI2999" s="744" t="str">
        <f t="shared" si="1039"/>
        <v/>
      </c>
      <c r="BJ2999" s="747" t="str">
        <f t="shared" si="1046"/>
        <v/>
      </c>
      <c r="BK2999" s="498" t="str">
        <f t="shared" si="1040"/>
        <v/>
      </c>
      <c r="BL2999" s="498" t="str">
        <f t="shared" si="1041"/>
        <v/>
      </c>
    </row>
    <row r="3000" spans="1:64" x14ac:dyDescent="0.25">
      <c r="A3000" s="762">
        <f t="shared" si="1042"/>
        <v>2995</v>
      </c>
      <c r="B3000" s="229"/>
      <c r="C3000" s="223"/>
      <c r="D3000" s="224"/>
      <c r="E3000" s="225"/>
      <c r="F3000" s="1036" t="str">
        <f t="shared" si="1048"/>
        <v/>
      </c>
      <c r="G3000" s="1037" t="str">
        <f t="shared" si="1043"/>
        <v/>
      </c>
      <c r="H3000" s="225"/>
      <c r="I3000" s="1013"/>
      <c r="J3000" s="1013"/>
      <c r="K3000" s="1028"/>
      <c r="L3000" s="1035" t="str">
        <f t="shared" si="1047"/>
        <v/>
      </c>
      <c r="S3000" s="498"/>
      <c r="AJ3000" s="498"/>
      <c r="AM3000" s="498">
        <f t="shared" si="1028"/>
        <v>0</v>
      </c>
      <c r="AN3000" s="498">
        <f t="shared" si="1029"/>
        <v>0</v>
      </c>
      <c r="AO3000" s="498">
        <f t="shared" si="1030"/>
        <v>0</v>
      </c>
      <c r="AP3000" s="498">
        <f t="shared" si="1049"/>
        <v>0</v>
      </c>
      <c r="AQ3000" s="498">
        <f t="shared" si="1044"/>
        <v>0</v>
      </c>
      <c r="AU3000" s="498">
        <f t="shared" si="1031"/>
        <v>0</v>
      </c>
      <c r="AV3000" s="498">
        <f t="shared" si="1032"/>
        <v>0</v>
      </c>
      <c r="AW3000" s="498">
        <f t="shared" si="1033"/>
        <v>0</v>
      </c>
      <c r="AX3000" s="498">
        <f t="shared" si="1034"/>
        <v>0</v>
      </c>
      <c r="AY3000" s="498">
        <f t="shared" si="1035"/>
        <v>0</v>
      </c>
      <c r="BB3000" s="498" t="str">
        <f t="shared" si="1036"/>
        <v/>
      </c>
      <c r="BC3000" s="743" t="str">
        <f t="shared" si="1037"/>
        <v/>
      </c>
      <c r="BD3000" s="743" t="str">
        <f t="shared" si="1038"/>
        <v/>
      </c>
      <c r="BE3000" s="743" t="str">
        <f>IF(D3000="","",VLOOKUP(D3000,'General Basis'!$J$39:$K$46,2,0))</f>
        <v/>
      </c>
      <c r="BF3000" s="744" t="str">
        <f>IF(D3000="","",VLOOKUP(D3000,'General Basis'!$J$39:$L$46,3,0))</f>
        <v/>
      </c>
      <c r="BG3000" s="744" t="str">
        <f t="shared" si="1045"/>
        <v/>
      </c>
      <c r="BH3000" s="744" t="str">
        <f>IF(G3000="","",IF(BF3000="Abu Dhabi",IF(G3000&lt;18,'General Basis'!$C$39,IF(G3000&lt;41,'General Basis'!$C$40,IF(G3000&lt;60,'General Basis'!$C$41,IF(G3000&lt;65,'General Basis'!$C$42,'General Basis'!$C$43)))),IF(G3000&lt;11,'General Basis'!$B$39,IF(G3000&lt;18,'General Basis'!$B$40,IF(G3000&lt;26,'General Basis'!$B$41,IF(G3000&lt;31,'General Basis'!$B$42,IF(G3000&lt;36,'General Basis'!$B$43,IF(G3000&lt;41,'General Basis'!$B$44,IF(G3000&lt;46,'General Basis'!$B$45,IF(G3000&lt;51,'General Basis'!$B$46,IF(G3000&lt;56,'General Basis'!$B$47,IF(G3000&lt;60,'General Basis'!$B$48,IF(G3000&lt;65,'General Basis'!$B$49,'General Basis'!$B$50)))))))))))))</f>
        <v/>
      </c>
      <c r="BI3000" s="744" t="str">
        <f t="shared" si="1039"/>
        <v/>
      </c>
      <c r="BJ3000" s="747" t="str">
        <f t="shared" si="1046"/>
        <v/>
      </c>
      <c r="BK3000" s="498" t="str">
        <f t="shared" si="1040"/>
        <v/>
      </c>
      <c r="BL3000" s="498" t="str">
        <f t="shared" si="1041"/>
        <v/>
      </c>
    </row>
    <row r="3001" spans="1:64" x14ac:dyDescent="0.25">
      <c r="A3001" s="762">
        <f t="shared" si="1042"/>
        <v>2996</v>
      </c>
      <c r="B3001" s="229"/>
      <c r="C3001" s="223"/>
      <c r="D3001" s="224"/>
      <c r="E3001" s="225"/>
      <c r="F3001" s="1036" t="str">
        <f t="shared" si="1048"/>
        <v/>
      </c>
      <c r="G3001" s="1037" t="str">
        <f t="shared" si="1043"/>
        <v/>
      </c>
      <c r="H3001" s="225"/>
      <c r="I3001" s="1013"/>
      <c r="J3001" s="1013"/>
      <c r="K3001" s="1028"/>
      <c r="L3001" s="1035" t="str">
        <f t="shared" si="1047"/>
        <v/>
      </c>
      <c r="S3001" s="498"/>
      <c r="AJ3001" s="498"/>
      <c r="AM3001" s="498">
        <f t="shared" si="1028"/>
        <v>0</v>
      </c>
      <c r="AN3001" s="498">
        <f t="shared" si="1029"/>
        <v>0</v>
      </c>
      <c r="AO3001" s="498">
        <f t="shared" si="1030"/>
        <v>0</v>
      </c>
      <c r="AP3001" s="498">
        <f t="shared" si="1049"/>
        <v>0</v>
      </c>
      <c r="AQ3001" s="498">
        <f t="shared" si="1044"/>
        <v>0</v>
      </c>
      <c r="AU3001" s="498">
        <f t="shared" si="1031"/>
        <v>0</v>
      </c>
      <c r="AV3001" s="498">
        <f t="shared" si="1032"/>
        <v>0</v>
      </c>
      <c r="AW3001" s="498">
        <f t="shared" si="1033"/>
        <v>0</v>
      </c>
      <c r="AX3001" s="498">
        <f t="shared" si="1034"/>
        <v>0</v>
      </c>
      <c r="AY3001" s="498">
        <f t="shared" si="1035"/>
        <v>0</v>
      </c>
      <c r="BB3001" s="498" t="str">
        <f t="shared" si="1036"/>
        <v/>
      </c>
      <c r="BC3001" s="743" t="str">
        <f t="shared" si="1037"/>
        <v/>
      </c>
      <c r="BD3001" s="743" t="str">
        <f t="shared" si="1038"/>
        <v/>
      </c>
      <c r="BE3001" s="743" t="str">
        <f>IF(D3001="","",VLOOKUP(D3001,'General Basis'!$J$39:$K$46,2,0))</f>
        <v/>
      </c>
      <c r="BF3001" s="744" t="str">
        <f>IF(D3001="","",VLOOKUP(D3001,'General Basis'!$J$39:$L$46,3,0))</f>
        <v/>
      </c>
      <c r="BG3001" s="744" t="str">
        <f t="shared" si="1045"/>
        <v/>
      </c>
      <c r="BH3001" s="744" t="str">
        <f>IF(G3001="","",IF(BF3001="Abu Dhabi",IF(G3001&lt;18,'General Basis'!$C$39,IF(G3001&lt;41,'General Basis'!$C$40,IF(G3001&lt;60,'General Basis'!$C$41,IF(G3001&lt;65,'General Basis'!$C$42,'General Basis'!$C$43)))),IF(G3001&lt;11,'General Basis'!$B$39,IF(G3001&lt;18,'General Basis'!$B$40,IF(G3001&lt;26,'General Basis'!$B$41,IF(G3001&lt;31,'General Basis'!$B$42,IF(G3001&lt;36,'General Basis'!$B$43,IF(G3001&lt;41,'General Basis'!$B$44,IF(G3001&lt;46,'General Basis'!$B$45,IF(G3001&lt;51,'General Basis'!$B$46,IF(G3001&lt;56,'General Basis'!$B$47,IF(G3001&lt;60,'General Basis'!$B$48,IF(G3001&lt;65,'General Basis'!$B$49,'General Basis'!$B$50)))))))))))))</f>
        <v/>
      </c>
      <c r="BI3001" s="744" t="str">
        <f t="shared" si="1039"/>
        <v/>
      </c>
      <c r="BJ3001" s="747" t="str">
        <f t="shared" si="1046"/>
        <v/>
      </c>
      <c r="BK3001" s="498" t="str">
        <f t="shared" si="1040"/>
        <v/>
      </c>
      <c r="BL3001" s="498" t="str">
        <f t="shared" si="1041"/>
        <v/>
      </c>
    </row>
    <row r="3002" spans="1:64" x14ac:dyDescent="0.25">
      <c r="A3002" s="762">
        <f t="shared" si="1042"/>
        <v>2997</v>
      </c>
      <c r="B3002" s="229"/>
      <c r="C3002" s="223"/>
      <c r="D3002" s="224"/>
      <c r="E3002" s="225"/>
      <c r="F3002" s="1036" t="str">
        <f t="shared" si="1048"/>
        <v/>
      </c>
      <c r="G3002" s="1037" t="str">
        <f t="shared" si="1043"/>
        <v/>
      </c>
      <c r="H3002" s="225"/>
      <c r="I3002" s="1013"/>
      <c r="J3002" s="1013"/>
      <c r="K3002" s="1028"/>
      <c r="L3002" s="1035" t="str">
        <f t="shared" si="1047"/>
        <v/>
      </c>
      <c r="S3002" s="498"/>
      <c r="AJ3002" s="498"/>
      <c r="AM3002" s="498">
        <f t="shared" si="1028"/>
        <v>0</v>
      </c>
      <c r="AN3002" s="498">
        <f t="shared" si="1029"/>
        <v>0</v>
      </c>
      <c r="AO3002" s="498">
        <f t="shared" si="1030"/>
        <v>0</v>
      </c>
      <c r="AP3002" s="498">
        <f t="shared" si="1049"/>
        <v>0</v>
      </c>
      <c r="AQ3002" s="498">
        <f t="shared" si="1044"/>
        <v>0</v>
      </c>
      <c r="AU3002" s="498">
        <f t="shared" si="1031"/>
        <v>0</v>
      </c>
      <c r="AV3002" s="498">
        <f t="shared" si="1032"/>
        <v>0</v>
      </c>
      <c r="AW3002" s="498">
        <f t="shared" si="1033"/>
        <v>0</v>
      </c>
      <c r="AX3002" s="498">
        <f t="shared" si="1034"/>
        <v>0</v>
      </c>
      <c r="AY3002" s="498">
        <f t="shared" si="1035"/>
        <v>0</v>
      </c>
      <c r="BB3002" s="498" t="str">
        <f t="shared" si="1036"/>
        <v/>
      </c>
      <c r="BC3002" s="743" t="str">
        <f t="shared" si="1037"/>
        <v/>
      </c>
      <c r="BD3002" s="743" t="str">
        <f t="shared" si="1038"/>
        <v/>
      </c>
      <c r="BE3002" s="743" t="str">
        <f>IF(D3002="","",VLOOKUP(D3002,'General Basis'!$J$39:$K$46,2,0))</f>
        <v/>
      </c>
      <c r="BF3002" s="744" t="str">
        <f>IF(D3002="","",VLOOKUP(D3002,'General Basis'!$J$39:$L$46,3,0))</f>
        <v/>
      </c>
      <c r="BG3002" s="744" t="str">
        <f t="shared" si="1045"/>
        <v/>
      </c>
      <c r="BH3002" s="744" t="str">
        <f>IF(G3002="","",IF(BF3002="Abu Dhabi",IF(G3002&lt;18,'General Basis'!$C$39,IF(G3002&lt;41,'General Basis'!$C$40,IF(G3002&lt;60,'General Basis'!$C$41,IF(G3002&lt;65,'General Basis'!$C$42,'General Basis'!$C$43)))),IF(G3002&lt;11,'General Basis'!$B$39,IF(G3002&lt;18,'General Basis'!$B$40,IF(G3002&lt;26,'General Basis'!$B$41,IF(G3002&lt;31,'General Basis'!$B$42,IF(G3002&lt;36,'General Basis'!$B$43,IF(G3002&lt;41,'General Basis'!$B$44,IF(G3002&lt;46,'General Basis'!$B$45,IF(G3002&lt;51,'General Basis'!$B$46,IF(G3002&lt;56,'General Basis'!$B$47,IF(G3002&lt;60,'General Basis'!$B$48,IF(G3002&lt;65,'General Basis'!$B$49,'General Basis'!$B$50)))))))))))))</f>
        <v/>
      </c>
      <c r="BI3002" s="744" t="str">
        <f t="shared" si="1039"/>
        <v/>
      </c>
      <c r="BJ3002" s="747" t="str">
        <f t="shared" si="1046"/>
        <v/>
      </c>
      <c r="BK3002" s="498" t="str">
        <f t="shared" si="1040"/>
        <v/>
      </c>
      <c r="BL3002" s="498" t="str">
        <f t="shared" si="1041"/>
        <v/>
      </c>
    </row>
    <row r="3003" spans="1:64" x14ac:dyDescent="0.25">
      <c r="A3003" s="762">
        <f t="shared" si="1042"/>
        <v>2998</v>
      </c>
      <c r="B3003" s="229"/>
      <c r="C3003" s="223"/>
      <c r="D3003" s="224"/>
      <c r="E3003" s="225"/>
      <c r="F3003" s="1036" t="str">
        <f t="shared" si="1048"/>
        <v/>
      </c>
      <c r="G3003" s="1037" t="str">
        <f t="shared" si="1043"/>
        <v/>
      </c>
      <c r="H3003" s="225"/>
      <c r="I3003" s="1013"/>
      <c r="J3003" s="1013"/>
      <c r="K3003" s="1028"/>
      <c r="L3003" s="1035" t="str">
        <f t="shared" si="1047"/>
        <v/>
      </c>
      <c r="S3003" s="498"/>
      <c r="AJ3003" s="498"/>
      <c r="AM3003" s="498">
        <f t="shared" si="1028"/>
        <v>0</v>
      </c>
      <c r="AN3003" s="498">
        <f t="shared" si="1029"/>
        <v>0</v>
      </c>
      <c r="AO3003" s="498">
        <f t="shared" si="1030"/>
        <v>0</v>
      </c>
      <c r="AP3003" s="498">
        <f t="shared" si="1049"/>
        <v>0</v>
      </c>
      <c r="AQ3003" s="498">
        <f t="shared" si="1044"/>
        <v>0</v>
      </c>
      <c r="AU3003" s="498">
        <f t="shared" si="1031"/>
        <v>0</v>
      </c>
      <c r="AV3003" s="498">
        <f t="shared" si="1032"/>
        <v>0</v>
      </c>
      <c r="AW3003" s="498">
        <f t="shared" si="1033"/>
        <v>0</v>
      </c>
      <c r="AX3003" s="498">
        <f t="shared" si="1034"/>
        <v>0</v>
      </c>
      <c r="AY3003" s="498">
        <f t="shared" si="1035"/>
        <v>0</v>
      </c>
      <c r="BB3003" s="498" t="str">
        <f t="shared" si="1036"/>
        <v/>
      </c>
      <c r="BC3003" s="743" t="str">
        <f t="shared" si="1037"/>
        <v/>
      </c>
      <c r="BD3003" s="743" t="str">
        <f t="shared" si="1038"/>
        <v/>
      </c>
      <c r="BE3003" s="743" t="str">
        <f>IF(D3003="","",VLOOKUP(D3003,'General Basis'!$J$39:$K$46,2,0))</f>
        <v/>
      </c>
      <c r="BF3003" s="744" t="str">
        <f>IF(D3003="","",VLOOKUP(D3003,'General Basis'!$J$39:$L$46,3,0))</f>
        <v/>
      </c>
      <c r="BG3003" s="744" t="str">
        <f t="shared" si="1045"/>
        <v/>
      </c>
      <c r="BH3003" s="744" t="str">
        <f>IF(G3003="","",IF(BF3003="Abu Dhabi",IF(G3003&lt;18,'General Basis'!$C$39,IF(G3003&lt;41,'General Basis'!$C$40,IF(G3003&lt;60,'General Basis'!$C$41,IF(G3003&lt;65,'General Basis'!$C$42,'General Basis'!$C$43)))),IF(G3003&lt;11,'General Basis'!$B$39,IF(G3003&lt;18,'General Basis'!$B$40,IF(G3003&lt;26,'General Basis'!$B$41,IF(G3003&lt;31,'General Basis'!$B$42,IF(G3003&lt;36,'General Basis'!$B$43,IF(G3003&lt;41,'General Basis'!$B$44,IF(G3003&lt;46,'General Basis'!$B$45,IF(G3003&lt;51,'General Basis'!$B$46,IF(G3003&lt;56,'General Basis'!$B$47,IF(G3003&lt;60,'General Basis'!$B$48,IF(G3003&lt;65,'General Basis'!$B$49,'General Basis'!$B$50)))))))))))))</f>
        <v/>
      </c>
      <c r="BI3003" s="744" t="str">
        <f t="shared" si="1039"/>
        <v/>
      </c>
      <c r="BJ3003" s="747" t="str">
        <f t="shared" si="1046"/>
        <v/>
      </c>
      <c r="BK3003" s="498" t="str">
        <f t="shared" si="1040"/>
        <v/>
      </c>
      <c r="BL3003" s="498" t="str">
        <f t="shared" si="1041"/>
        <v/>
      </c>
    </row>
    <row r="3004" spans="1:64" x14ac:dyDescent="0.25">
      <c r="A3004" s="762">
        <f t="shared" si="1042"/>
        <v>2999</v>
      </c>
      <c r="B3004" s="229"/>
      <c r="C3004" s="223"/>
      <c r="D3004" s="224"/>
      <c r="E3004" s="225"/>
      <c r="F3004" s="1036" t="str">
        <f t="shared" si="1048"/>
        <v/>
      </c>
      <c r="G3004" s="1037" t="str">
        <f t="shared" si="1043"/>
        <v/>
      </c>
      <c r="H3004" s="225"/>
      <c r="I3004" s="1013"/>
      <c r="J3004" s="1013"/>
      <c r="K3004" s="1028"/>
      <c r="L3004" s="1035" t="str">
        <f t="shared" si="1047"/>
        <v/>
      </c>
      <c r="S3004" s="498"/>
      <c r="AJ3004" s="498"/>
      <c r="AM3004" s="498">
        <f t="shared" si="1028"/>
        <v>0</v>
      </c>
      <c r="AN3004" s="498">
        <f t="shared" si="1029"/>
        <v>0</v>
      </c>
      <c r="AO3004" s="498">
        <f t="shared" si="1030"/>
        <v>0</v>
      </c>
      <c r="AP3004" s="498">
        <f t="shared" si="1049"/>
        <v>0</v>
      </c>
      <c r="AQ3004" s="498">
        <f t="shared" si="1044"/>
        <v>0</v>
      </c>
      <c r="AU3004" s="498">
        <f t="shared" si="1031"/>
        <v>0</v>
      </c>
      <c r="AV3004" s="498">
        <f t="shared" si="1032"/>
        <v>0</v>
      </c>
      <c r="AW3004" s="498">
        <f t="shared" si="1033"/>
        <v>0</v>
      </c>
      <c r="AX3004" s="498">
        <f t="shared" si="1034"/>
        <v>0</v>
      </c>
      <c r="AY3004" s="498">
        <f t="shared" si="1035"/>
        <v>0</v>
      </c>
      <c r="BB3004" s="498" t="str">
        <f t="shared" si="1036"/>
        <v/>
      </c>
      <c r="BC3004" s="743" t="str">
        <f t="shared" si="1037"/>
        <v/>
      </c>
      <c r="BD3004" s="743" t="str">
        <f t="shared" si="1038"/>
        <v/>
      </c>
      <c r="BE3004" s="743" t="str">
        <f>IF(D3004="","",VLOOKUP(D3004,'General Basis'!$J$39:$K$46,2,0))</f>
        <v/>
      </c>
      <c r="BF3004" s="744" t="str">
        <f>IF(D3004="","",VLOOKUP(D3004,'General Basis'!$J$39:$L$46,3,0))</f>
        <v/>
      </c>
      <c r="BG3004" s="744" t="str">
        <f t="shared" si="1045"/>
        <v/>
      </c>
      <c r="BH3004" s="744" t="str">
        <f>IF(G3004="","",IF(BF3004="Abu Dhabi",IF(G3004&lt;18,'General Basis'!$C$39,IF(G3004&lt;41,'General Basis'!$C$40,IF(G3004&lt;60,'General Basis'!$C$41,IF(G3004&lt;65,'General Basis'!$C$42,'General Basis'!$C$43)))),IF(G3004&lt;11,'General Basis'!$B$39,IF(G3004&lt;18,'General Basis'!$B$40,IF(G3004&lt;26,'General Basis'!$B$41,IF(G3004&lt;31,'General Basis'!$B$42,IF(G3004&lt;36,'General Basis'!$B$43,IF(G3004&lt;41,'General Basis'!$B$44,IF(G3004&lt;46,'General Basis'!$B$45,IF(G3004&lt;51,'General Basis'!$B$46,IF(G3004&lt;56,'General Basis'!$B$47,IF(G3004&lt;60,'General Basis'!$B$48,IF(G3004&lt;65,'General Basis'!$B$49,'General Basis'!$B$50)))))))))))))</f>
        <v/>
      </c>
      <c r="BI3004" s="744" t="str">
        <f t="shared" si="1039"/>
        <v/>
      </c>
      <c r="BJ3004" s="747" t="str">
        <f t="shared" si="1046"/>
        <v/>
      </c>
      <c r="BK3004" s="498" t="str">
        <f t="shared" si="1040"/>
        <v/>
      </c>
      <c r="BL3004" s="498" t="str">
        <f t="shared" si="1041"/>
        <v/>
      </c>
    </row>
    <row r="3005" spans="1:64" x14ac:dyDescent="0.25">
      <c r="A3005" s="762">
        <f t="shared" si="1042"/>
        <v>3000</v>
      </c>
      <c r="B3005" s="229"/>
      <c r="C3005" s="223"/>
      <c r="D3005" s="224"/>
      <c r="E3005" s="225"/>
      <c r="F3005" s="1036" t="str">
        <f t="shared" si="1048"/>
        <v/>
      </c>
      <c r="G3005" s="1037" t="str">
        <f t="shared" si="1043"/>
        <v/>
      </c>
      <c r="H3005" s="225"/>
      <c r="I3005" s="1013"/>
      <c r="J3005" s="1013"/>
      <c r="K3005" s="1028"/>
      <c r="L3005" s="1035" t="str">
        <f t="shared" si="1047"/>
        <v/>
      </c>
      <c r="S3005" s="498"/>
      <c r="AJ3005" s="498"/>
      <c r="AM3005" s="498">
        <f t="shared" si="1028"/>
        <v>0</v>
      </c>
      <c r="AN3005" s="498">
        <f t="shared" si="1029"/>
        <v>0</v>
      </c>
      <c r="AO3005" s="498">
        <f t="shared" si="1030"/>
        <v>0</v>
      </c>
      <c r="AP3005" s="498">
        <f t="shared" si="1049"/>
        <v>0</v>
      </c>
      <c r="AQ3005" s="498">
        <f t="shared" si="1044"/>
        <v>0</v>
      </c>
      <c r="AU3005" s="498">
        <f t="shared" si="1031"/>
        <v>0</v>
      </c>
      <c r="AV3005" s="498">
        <f t="shared" si="1032"/>
        <v>0</v>
      </c>
      <c r="AW3005" s="498">
        <f t="shared" si="1033"/>
        <v>0</v>
      </c>
      <c r="AX3005" s="498">
        <f t="shared" si="1034"/>
        <v>0</v>
      </c>
      <c r="AY3005" s="498">
        <f t="shared" si="1035"/>
        <v>0</v>
      </c>
      <c r="BB3005" s="498" t="str">
        <f t="shared" si="1036"/>
        <v/>
      </c>
      <c r="BC3005" s="743" t="str">
        <f t="shared" si="1037"/>
        <v/>
      </c>
      <c r="BD3005" s="743" t="str">
        <f t="shared" si="1038"/>
        <v/>
      </c>
      <c r="BE3005" s="743" t="str">
        <f>IF(D3005="","",VLOOKUP(D3005,'General Basis'!$J$39:$K$46,2,0))</f>
        <v/>
      </c>
      <c r="BF3005" s="744" t="str">
        <f>IF(D3005="","",VLOOKUP(D3005,'General Basis'!$J$39:$L$46,3,0))</f>
        <v/>
      </c>
      <c r="BG3005" s="744" t="str">
        <f t="shared" si="1045"/>
        <v/>
      </c>
      <c r="BH3005" s="744" t="str">
        <f>IF(G3005="","",IF(BF3005="Abu Dhabi",IF(G3005&lt;18,'General Basis'!$C$39,IF(G3005&lt;41,'General Basis'!$C$40,IF(G3005&lt;60,'General Basis'!$C$41,IF(G3005&lt;65,'General Basis'!$C$42,'General Basis'!$C$43)))),IF(G3005&lt;11,'General Basis'!$B$39,IF(G3005&lt;18,'General Basis'!$B$40,IF(G3005&lt;26,'General Basis'!$B$41,IF(G3005&lt;31,'General Basis'!$B$42,IF(G3005&lt;36,'General Basis'!$B$43,IF(G3005&lt;41,'General Basis'!$B$44,IF(G3005&lt;46,'General Basis'!$B$45,IF(G3005&lt;51,'General Basis'!$B$46,IF(G3005&lt;56,'General Basis'!$B$47,IF(G3005&lt;60,'General Basis'!$B$48,IF(G3005&lt;65,'General Basis'!$B$49,'General Basis'!$B$50)))))))))))))</f>
        <v/>
      </c>
      <c r="BI3005" s="744" t="str">
        <f t="shared" si="1039"/>
        <v/>
      </c>
      <c r="BJ3005" s="747" t="str">
        <f t="shared" si="1046"/>
        <v/>
      </c>
      <c r="BK3005" s="498" t="str">
        <f t="shared" si="1040"/>
        <v/>
      </c>
      <c r="BL3005" s="498" t="str">
        <f t="shared" si="1041"/>
        <v/>
      </c>
    </row>
    <row r="3006" spans="1:64" x14ac:dyDescent="0.25">
      <c r="A3006" s="762">
        <f t="shared" si="1042"/>
        <v>3001</v>
      </c>
      <c r="B3006" s="229"/>
      <c r="C3006" s="223"/>
      <c r="D3006" s="224"/>
      <c r="E3006" s="225"/>
      <c r="F3006" s="1036" t="str">
        <f t="shared" si="1048"/>
        <v/>
      </c>
      <c r="G3006" s="1037" t="str">
        <f t="shared" si="1043"/>
        <v/>
      </c>
      <c r="H3006" s="225"/>
      <c r="I3006" s="1013"/>
      <c r="J3006" s="1013"/>
      <c r="K3006" s="1028"/>
      <c r="L3006" s="1035" t="str">
        <f t="shared" si="1047"/>
        <v/>
      </c>
      <c r="S3006" s="498"/>
      <c r="AJ3006" s="498"/>
      <c r="AM3006" s="498">
        <f t="shared" si="1028"/>
        <v>0</v>
      </c>
      <c r="AN3006" s="498">
        <f t="shared" si="1029"/>
        <v>0</v>
      </c>
      <c r="AO3006" s="498">
        <f t="shared" si="1030"/>
        <v>0</v>
      </c>
      <c r="AP3006" s="498">
        <f t="shared" si="1049"/>
        <v>0</v>
      </c>
      <c r="AQ3006" s="498">
        <f t="shared" si="1044"/>
        <v>0</v>
      </c>
      <c r="AU3006" s="498">
        <f t="shared" si="1031"/>
        <v>0</v>
      </c>
      <c r="AV3006" s="498">
        <f t="shared" si="1032"/>
        <v>0</v>
      </c>
      <c r="AW3006" s="498">
        <f t="shared" si="1033"/>
        <v>0</v>
      </c>
      <c r="AX3006" s="498">
        <f t="shared" si="1034"/>
        <v>0</v>
      </c>
      <c r="AY3006" s="498">
        <f t="shared" si="1035"/>
        <v>0</v>
      </c>
      <c r="BB3006" s="498" t="str">
        <f t="shared" si="1036"/>
        <v/>
      </c>
      <c r="BC3006" s="743" t="str">
        <f t="shared" si="1037"/>
        <v/>
      </c>
      <c r="BD3006" s="743" t="str">
        <f t="shared" si="1038"/>
        <v/>
      </c>
      <c r="BE3006" s="743" t="str">
        <f>IF(D3006="","",VLOOKUP(D3006,'General Basis'!$J$39:$K$46,2,0))</f>
        <v/>
      </c>
      <c r="BF3006" s="744" t="str">
        <f>IF(D3006="","",VLOOKUP(D3006,'General Basis'!$J$39:$L$46,3,0))</f>
        <v/>
      </c>
      <c r="BG3006" s="744" t="str">
        <f t="shared" si="1045"/>
        <v/>
      </c>
      <c r="BH3006" s="744" t="str">
        <f>IF(G3006="","",IF(BF3006="Abu Dhabi",IF(G3006&lt;18,'General Basis'!$C$39,IF(G3006&lt;41,'General Basis'!$C$40,IF(G3006&lt;60,'General Basis'!$C$41,IF(G3006&lt;65,'General Basis'!$C$42,'General Basis'!$C$43)))),IF(G3006&lt;11,'General Basis'!$B$39,IF(G3006&lt;18,'General Basis'!$B$40,IF(G3006&lt;26,'General Basis'!$B$41,IF(G3006&lt;31,'General Basis'!$B$42,IF(G3006&lt;36,'General Basis'!$B$43,IF(G3006&lt;41,'General Basis'!$B$44,IF(G3006&lt;46,'General Basis'!$B$45,IF(G3006&lt;51,'General Basis'!$B$46,IF(G3006&lt;56,'General Basis'!$B$47,IF(G3006&lt;60,'General Basis'!$B$48,IF(G3006&lt;65,'General Basis'!$B$49,'General Basis'!$B$50)))))))))))))</f>
        <v/>
      </c>
      <c r="BI3006" s="744" t="str">
        <f t="shared" si="1039"/>
        <v/>
      </c>
      <c r="BJ3006" s="747" t="str">
        <f t="shared" si="1046"/>
        <v/>
      </c>
      <c r="BK3006" s="498" t="str">
        <f t="shared" si="1040"/>
        <v/>
      </c>
      <c r="BL3006" s="498" t="str">
        <f t="shared" si="1041"/>
        <v/>
      </c>
    </row>
    <row r="3007" spans="1:64" x14ac:dyDescent="0.25">
      <c r="A3007" s="762">
        <f t="shared" si="1042"/>
        <v>3002</v>
      </c>
      <c r="B3007" s="229"/>
      <c r="C3007" s="223"/>
      <c r="D3007" s="224"/>
      <c r="E3007" s="225"/>
      <c r="F3007" s="1036" t="str">
        <f t="shared" si="1048"/>
        <v/>
      </c>
      <c r="G3007" s="1037" t="str">
        <f t="shared" si="1043"/>
        <v/>
      </c>
      <c r="H3007" s="225"/>
      <c r="I3007" s="1013"/>
      <c r="J3007" s="1013"/>
      <c r="K3007" s="1028"/>
      <c r="L3007" s="1035" t="str">
        <f t="shared" si="1047"/>
        <v/>
      </c>
      <c r="S3007" s="498"/>
      <c r="AJ3007" s="498"/>
      <c r="AM3007" s="498">
        <f t="shared" si="1028"/>
        <v>0</v>
      </c>
      <c r="AN3007" s="498">
        <f t="shared" si="1029"/>
        <v>0</v>
      </c>
      <c r="AO3007" s="498">
        <f t="shared" si="1030"/>
        <v>0</v>
      </c>
      <c r="AP3007" s="498">
        <f t="shared" si="1049"/>
        <v>0</v>
      </c>
      <c r="AQ3007" s="498">
        <f t="shared" si="1044"/>
        <v>0</v>
      </c>
      <c r="AU3007" s="498">
        <f t="shared" si="1031"/>
        <v>0</v>
      </c>
      <c r="AV3007" s="498">
        <f t="shared" si="1032"/>
        <v>0</v>
      </c>
      <c r="AW3007" s="498">
        <f t="shared" si="1033"/>
        <v>0</v>
      </c>
      <c r="AX3007" s="498">
        <f t="shared" si="1034"/>
        <v>0</v>
      </c>
      <c r="AY3007" s="498">
        <f t="shared" si="1035"/>
        <v>0</v>
      </c>
      <c r="BB3007" s="498" t="str">
        <f t="shared" si="1036"/>
        <v/>
      </c>
      <c r="BC3007" s="743" t="str">
        <f t="shared" si="1037"/>
        <v/>
      </c>
      <c r="BD3007" s="743" t="str">
        <f t="shared" si="1038"/>
        <v/>
      </c>
      <c r="BE3007" s="743" t="str">
        <f>IF(D3007="","",VLOOKUP(D3007,'General Basis'!$J$39:$K$46,2,0))</f>
        <v/>
      </c>
      <c r="BF3007" s="744" t="str">
        <f>IF(D3007="","",VLOOKUP(D3007,'General Basis'!$J$39:$L$46,3,0))</f>
        <v/>
      </c>
      <c r="BG3007" s="744" t="str">
        <f t="shared" si="1045"/>
        <v/>
      </c>
      <c r="BH3007" s="744" t="str">
        <f>IF(G3007="","",IF(BF3007="Abu Dhabi",IF(G3007&lt;18,'General Basis'!$C$39,IF(G3007&lt;41,'General Basis'!$C$40,IF(G3007&lt;60,'General Basis'!$C$41,IF(G3007&lt;65,'General Basis'!$C$42,'General Basis'!$C$43)))),IF(G3007&lt;11,'General Basis'!$B$39,IF(G3007&lt;18,'General Basis'!$B$40,IF(G3007&lt;26,'General Basis'!$B$41,IF(G3007&lt;31,'General Basis'!$B$42,IF(G3007&lt;36,'General Basis'!$B$43,IF(G3007&lt;41,'General Basis'!$B$44,IF(G3007&lt;46,'General Basis'!$B$45,IF(G3007&lt;51,'General Basis'!$B$46,IF(G3007&lt;56,'General Basis'!$B$47,IF(G3007&lt;60,'General Basis'!$B$48,IF(G3007&lt;65,'General Basis'!$B$49,'General Basis'!$B$50)))))))))))))</f>
        <v/>
      </c>
      <c r="BI3007" s="744" t="str">
        <f t="shared" si="1039"/>
        <v/>
      </c>
      <c r="BJ3007" s="747" t="str">
        <f t="shared" si="1046"/>
        <v/>
      </c>
      <c r="BK3007" s="498" t="str">
        <f t="shared" si="1040"/>
        <v/>
      </c>
      <c r="BL3007" s="498" t="str">
        <f t="shared" si="1041"/>
        <v/>
      </c>
    </row>
    <row r="3008" spans="1:64" x14ac:dyDescent="0.25">
      <c r="A3008" s="762">
        <f t="shared" si="1042"/>
        <v>3003</v>
      </c>
      <c r="B3008" s="229"/>
      <c r="C3008" s="223"/>
      <c r="D3008" s="224"/>
      <c r="E3008" s="225"/>
      <c r="F3008" s="1036" t="str">
        <f t="shared" si="1048"/>
        <v/>
      </c>
      <c r="G3008" s="1037" t="str">
        <f t="shared" si="1043"/>
        <v/>
      </c>
      <c r="H3008" s="225"/>
      <c r="I3008" s="1013"/>
      <c r="J3008" s="1013"/>
      <c r="K3008" s="1028"/>
      <c r="L3008" s="1035" t="str">
        <f t="shared" si="1047"/>
        <v/>
      </c>
      <c r="S3008" s="498"/>
      <c r="AJ3008" s="498"/>
      <c r="AM3008" s="498">
        <f t="shared" si="1028"/>
        <v>0</v>
      </c>
      <c r="AN3008" s="498">
        <f t="shared" si="1029"/>
        <v>0</v>
      </c>
      <c r="AO3008" s="498">
        <f t="shared" si="1030"/>
        <v>0</v>
      </c>
      <c r="AP3008" s="498">
        <f t="shared" si="1049"/>
        <v>0</v>
      </c>
      <c r="AQ3008" s="498">
        <f t="shared" si="1044"/>
        <v>0</v>
      </c>
      <c r="AU3008" s="498">
        <f t="shared" si="1031"/>
        <v>0</v>
      </c>
      <c r="AV3008" s="498">
        <f t="shared" si="1032"/>
        <v>0</v>
      </c>
      <c r="AW3008" s="498">
        <f t="shared" si="1033"/>
        <v>0</v>
      </c>
      <c r="AX3008" s="498">
        <f t="shared" si="1034"/>
        <v>0</v>
      </c>
      <c r="AY3008" s="498">
        <f t="shared" si="1035"/>
        <v>0</v>
      </c>
      <c r="BB3008" s="498" t="str">
        <f t="shared" si="1036"/>
        <v/>
      </c>
      <c r="BC3008" s="743" t="str">
        <f t="shared" si="1037"/>
        <v/>
      </c>
      <c r="BD3008" s="743" t="str">
        <f t="shared" si="1038"/>
        <v/>
      </c>
      <c r="BE3008" s="743" t="str">
        <f>IF(D3008="","",VLOOKUP(D3008,'General Basis'!$J$39:$K$46,2,0))</f>
        <v/>
      </c>
      <c r="BF3008" s="744" t="str">
        <f>IF(D3008="","",VLOOKUP(D3008,'General Basis'!$J$39:$L$46,3,0))</f>
        <v/>
      </c>
      <c r="BG3008" s="744" t="str">
        <f t="shared" si="1045"/>
        <v/>
      </c>
      <c r="BH3008" s="744" t="str">
        <f>IF(G3008="","",IF(BF3008="Abu Dhabi",IF(G3008&lt;18,'General Basis'!$C$39,IF(G3008&lt;41,'General Basis'!$C$40,IF(G3008&lt;60,'General Basis'!$C$41,IF(G3008&lt;65,'General Basis'!$C$42,'General Basis'!$C$43)))),IF(G3008&lt;11,'General Basis'!$B$39,IF(G3008&lt;18,'General Basis'!$B$40,IF(G3008&lt;26,'General Basis'!$B$41,IF(G3008&lt;31,'General Basis'!$B$42,IF(G3008&lt;36,'General Basis'!$B$43,IF(G3008&lt;41,'General Basis'!$B$44,IF(G3008&lt;46,'General Basis'!$B$45,IF(G3008&lt;51,'General Basis'!$B$46,IF(G3008&lt;56,'General Basis'!$B$47,IF(G3008&lt;60,'General Basis'!$B$48,IF(G3008&lt;65,'General Basis'!$B$49,'General Basis'!$B$50)))))))))))))</f>
        <v/>
      </c>
      <c r="BI3008" s="744" t="str">
        <f t="shared" si="1039"/>
        <v/>
      </c>
      <c r="BJ3008" s="747" t="str">
        <f t="shared" si="1046"/>
        <v/>
      </c>
      <c r="BK3008" s="498" t="str">
        <f t="shared" si="1040"/>
        <v/>
      </c>
      <c r="BL3008" s="498" t="str">
        <f t="shared" si="1041"/>
        <v/>
      </c>
    </row>
    <row r="3009" spans="1:64" x14ac:dyDescent="0.25">
      <c r="A3009" s="762">
        <f t="shared" si="1042"/>
        <v>3004</v>
      </c>
      <c r="B3009" s="229"/>
      <c r="C3009" s="223"/>
      <c r="D3009" s="224"/>
      <c r="E3009" s="225"/>
      <c r="F3009" s="1036" t="str">
        <f t="shared" si="1048"/>
        <v/>
      </c>
      <c r="G3009" s="1037" t="str">
        <f t="shared" si="1043"/>
        <v/>
      </c>
      <c r="H3009" s="225"/>
      <c r="I3009" s="1013"/>
      <c r="J3009" s="1013"/>
      <c r="K3009" s="1028"/>
      <c r="L3009" s="1035" t="str">
        <f t="shared" si="1047"/>
        <v/>
      </c>
      <c r="S3009" s="498"/>
      <c r="AJ3009" s="498"/>
      <c r="AM3009" s="498">
        <f t="shared" si="1028"/>
        <v>0</v>
      </c>
      <c r="AN3009" s="498">
        <f t="shared" si="1029"/>
        <v>0</v>
      </c>
      <c r="AO3009" s="498">
        <f t="shared" si="1030"/>
        <v>0</v>
      </c>
      <c r="AP3009" s="498">
        <f t="shared" si="1049"/>
        <v>0</v>
      </c>
      <c r="AQ3009" s="498">
        <f t="shared" si="1044"/>
        <v>0</v>
      </c>
      <c r="AU3009" s="498">
        <f t="shared" si="1031"/>
        <v>0</v>
      </c>
      <c r="AV3009" s="498">
        <f t="shared" si="1032"/>
        <v>0</v>
      </c>
      <c r="AW3009" s="498">
        <f t="shared" si="1033"/>
        <v>0</v>
      </c>
      <c r="AX3009" s="498">
        <f t="shared" si="1034"/>
        <v>0</v>
      </c>
      <c r="AY3009" s="498">
        <f t="shared" si="1035"/>
        <v>0</v>
      </c>
      <c r="BB3009" s="498" t="str">
        <f t="shared" si="1036"/>
        <v/>
      </c>
      <c r="BC3009" s="743" t="str">
        <f t="shared" si="1037"/>
        <v/>
      </c>
      <c r="BD3009" s="743" t="str">
        <f t="shared" si="1038"/>
        <v/>
      </c>
      <c r="BE3009" s="743" t="str">
        <f>IF(D3009="","",VLOOKUP(D3009,'General Basis'!$J$39:$K$46,2,0))</f>
        <v/>
      </c>
      <c r="BF3009" s="744" t="str">
        <f>IF(D3009="","",VLOOKUP(D3009,'General Basis'!$J$39:$L$46,3,0))</f>
        <v/>
      </c>
      <c r="BG3009" s="744" t="str">
        <f t="shared" si="1045"/>
        <v/>
      </c>
      <c r="BH3009" s="744" t="str">
        <f>IF(G3009="","",IF(BF3009="Abu Dhabi",IF(G3009&lt;18,'General Basis'!$C$39,IF(G3009&lt;41,'General Basis'!$C$40,IF(G3009&lt;60,'General Basis'!$C$41,IF(G3009&lt;65,'General Basis'!$C$42,'General Basis'!$C$43)))),IF(G3009&lt;11,'General Basis'!$B$39,IF(G3009&lt;18,'General Basis'!$B$40,IF(G3009&lt;26,'General Basis'!$B$41,IF(G3009&lt;31,'General Basis'!$B$42,IF(G3009&lt;36,'General Basis'!$B$43,IF(G3009&lt;41,'General Basis'!$B$44,IF(G3009&lt;46,'General Basis'!$B$45,IF(G3009&lt;51,'General Basis'!$B$46,IF(G3009&lt;56,'General Basis'!$B$47,IF(G3009&lt;60,'General Basis'!$B$48,IF(G3009&lt;65,'General Basis'!$B$49,'General Basis'!$B$50)))))))))))))</f>
        <v/>
      </c>
      <c r="BI3009" s="744" t="str">
        <f t="shared" si="1039"/>
        <v/>
      </c>
      <c r="BJ3009" s="747" t="str">
        <f t="shared" si="1046"/>
        <v/>
      </c>
      <c r="BK3009" s="498" t="str">
        <f t="shared" si="1040"/>
        <v/>
      </c>
      <c r="BL3009" s="498" t="str">
        <f t="shared" si="1041"/>
        <v/>
      </c>
    </row>
    <row r="3010" spans="1:64" x14ac:dyDescent="0.25">
      <c r="A3010" s="762">
        <f t="shared" si="1042"/>
        <v>3005</v>
      </c>
      <c r="B3010" s="229"/>
      <c r="C3010" s="223"/>
      <c r="D3010" s="224"/>
      <c r="E3010" s="225"/>
      <c r="F3010" s="1036" t="str">
        <f t="shared" si="1048"/>
        <v/>
      </c>
      <c r="G3010" s="1037" t="str">
        <f t="shared" si="1043"/>
        <v/>
      </c>
      <c r="H3010" s="225"/>
      <c r="I3010" s="1013"/>
      <c r="J3010" s="1013"/>
      <c r="K3010" s="1028"/>
      <c r="L3010" s="1035" t="str">
        <f t="shared" si="1047"/>
        <v/>
      </c>
      <c r="S3010" s="498"/>
      <c r="AJ3010" s="498"/>
      <c r="AM3010" s="498">
        <f t="shared" si="1028"/>
        <v>0</v>
      </c>
      <c r="AN3010" s="498">
        <f t="shared" si="1029"/>
        <v>0</v>
      </c>
      <c r="AO3010" s="498">
        <f t="shared" si="1030"/>
        <v>0</v>
      </c>
      <c r="AP3010" s="498">
        <f t="shared" si="1049"/>
        <v>0</v>
      </c>
      <c r="AQ3010" s="498">
        <f t="shared" si="1044"/>
        <v>0</v>
      </c>
      <c r="AU3010" s="498">
        <f t="shared" si="1031"/>
        <v>0</v>
      </c>
      <c r="AV3010" s="498">
        <f t="shared" si="1032"/>
        <v>0</v>
      </c>
      <c r="AW3010" s="498">
        <f t="shared" si="1033"/>
        <v>0</v>
      </c>
      <c r="AX3010" s="498">
        <f t="shared" si="1034"/>
        <v>0</v>
      </c>
      <c r="AY3010" s="498">
        <f t="shared" si="1035"/>
        <v>0</v>
      </c>
      <c r="BB3010" s="498" t="str">
        <f t="shared" si="1036"/>
        <v/>
      </c>
      <c r="BC3010" s="743" t="str">
        <f t="shared" si="1037"/>
        <v/>
      </c>
      <c r="BD3010" s="743" t="str">
        <f t="shared" si="1038"/>
        <v/>
      </c>
      <c r="BE3010" s="743" t="str">
        <f>IF(D3010="","",VLOOKUP(D3010,'General Basis'!$J$39:$K$46,2,0))</f>
        <v/>
      </c>
      <c r="BF3010" s="744" t="str">
        <f>IF(D3010="","",VLOOKUP(D3010,'General Basis'!$J$39:$L$46,3,0))</f>
        <v/>
      </c>
      <c r="BG3010" s="744" t="str">
        <f t="shared" si="1045"/>
        <v/>
      </c>
      <c r="BH3010" s="744" t="str">
        <f>IF(G3010="","",IF(BF3010="Abu Dhabi",IF(G3010&lt;18,'General Basis'!$C$39,IF(G3010&lt;41,'General Basis'!$C$40,IF(G3010&lt;60,'General Basis'!$C$41,IF(G3010&lt;65,'General Basis'!$C$42,'General Basis'!$C$43)))),IF(G3010&lt;11,'General Basis'!$B$39,IF(G3010&lt;18,'General Basis'!$B$40,IF(G3010&lt;26,'General Basis'!$B$41,IF(G3010&lt;31,'General Basis'!$B$42,IF(G3010&lt;36,'General Basis'!$B$43,IF(G3010&lt;41,'General Basis'!$B$44,IF(G3010&lt;46,'General Basis'!$B$45,IF(G3010&lt;51,'General Basis'!$B$46,IF(G3010&lt;56,'General Basis'!$B$47,IF(G3010&lt;60,'General Basis'!$B$48,IF(G3010&lt;65,'General Basis'!$B$49,'General Basis'!$B$50)))))))))))))</f>
        <v/>
      </c>
      <c r="BI3010" s="744" t="str">
        <f t="shared" si="1039"/>
        <v/>
      </c>
      <c r="BJ3010" s="747" t="str">
        <f t="shared" si="1046"/>
        <v/>
      </c>
      <c r="BK3010" s="498" t="str">
        <f t="shared" si="1040"/>
        <v/>
      </c>
      <c r="BL3010" s="498" t="str">
        <f t="shared" si="1041"/>
        <v/>
      </c>
    </row>
    <row r="3011" spans="1:64" x14ac:dyDescent="0.25">
      <c r="A3011" s="762">
        <f t="shared" si="1042"/>
        <v>3006</v>
      </c>
      <c r="B3011" s="229"/>
      <c r="C3011" s="223"/>
      <c r="D3011" s="224"/>
      <c r="E3011" s="225"/>
      <c r="F3011" s="1036" t="str">
        <f t="shared" si="1048"/>
        <v/>
      </c>
      <c r="G3011" s="1037" t="str">
        <f t="shared" si="1043"/>
        <v/>
      </c>
      <c r="H3011" s="225"/>
      <c r="I3011" s="1013"/>
      <c r="J3011" s="1013"/>
      <c r="K3011" s="1028"/>
      <c r="L3011" s="1035" t="str">
        <f t="shared" si="1047"/>
        <v/>
      </c>
      <c r="S3011" s="498"/>
      <c r="AJ3011" s="498"/>
      <c r="AM3011" s="498">
        <f t="shared" si="1028"/>
        <v>0</v>
      </c>
      <c r="AN3011" s="498">
        <f t="shared" si="1029"/>
        <v>0</v>
      </c>
      <c r="AO3011" s="498">
        <f t="shared" si="1030"/>
        <v>0</v>
      </c>
      <c r="AP3011" s="498">
        <f t="shared" si="1049"/>
        <v>0</v>
      </c>
      <c r="AQ3011" s="498">
        <f t="shared" si="1044"/>
        <v>0</v>
      </c>
      <c r="AU3011" s="498">
        <f t="shared" si="1031"/>
        <v>0</v>
      </c>
      <c r="AV3011" s="498">
        <f t="shared" si="1032"/>
        <v>0</v>
      </c>
      <c r="AW3011" s="498">
        <f t="shared" si="1033"/>
        <v>0</v>
      </c>
      <c r="AX3011" s="498">
        <f t="shared" si="1034"/>
        <v>0</v>
      </c>
      <c r="AY3011" s="498">
        <f t="shared" si="1035"/>
        <v>0</v>
      </c>
      <c r="BB3011" s="498" t="str">
        <f t="shared" si="1036"/>
        <v/>
      </c>
      <c r="BC3011" s="743" t="str">
        <f t="shared" si="1037"/>
        <v/>
      </c>
      <c r="BD3011" s="743" t="str">
        <f t="shared" si="1038"/>
        <v/>
      </c>
      <c r="BE3011" s="743" t="str">
        <f>IF(D3011="","",VLOOKUP(D3011,'General Basis'!$J$39:$K$46,2,0))</f>
        <v/>
      </c>
      <c r="BF3011" s="744" t="str">
        <f>IF(D3011="","",VLOOKUP(D3011,'General Basis'!$J$39:$L$46,3,0))</f>
        <v/>
      </c>
      <c r="BG3011" s="744" t="str">
        <f t="shared" si="1045"/>
        <v/>
      </c>
      <c r="BH3011" s="744" t="str">
        <f>IF(G3011="","",IF(BF3011="Abu Dhabi",IF(G3011&lt;18,'General Basis'!$C$39,IF(G3011&lt;41,'General Basis'!$C$40,IF(G3011&lt;60,'General Basis'!$C$41,IF(G3011&lt;65,'General Basis'!$C$42,'General Basis'!$C$43)))),IF(G3011&lt;11,'General Basis'!$B$39,IF(G3011&lt;18,'General Basis'!$B$40,IF(G3011&lt;26,'General Basis'!$B$41,IF(G3011&lt;31,'General Basis'!$B$42,IF(G3011&lt;36,'General Basis'!$B$43,IF(G3011&lt;41,'General Basis'!$B$44,IF(G3011&lt;46,'General Basis'!$B$45,IF(G3011&lt;51,'General Basis'!$B$46,IF(G3011&lt;56,'General Basis'!$B$47,IF(G3011&lt;60,'General Basis'!$B$48,IF(G3011&lt;65,'General Basis'!$B$49,'General Basis'!$B$50)))))))))))))</f>
        <v/>
      </c>
      <c r="BI3011" s="744" t="str">
        <f t="shared" si="1039"/>
        <v/>
      </c>
      <c r="BJ3011" s="747" t="str">
        <f t="shared" si="1046"/>
        <v/>
      </c>
      <c r="BK3011" s="498" t="str">
        <f t="shared" si="1040"/>
        <v/>
      </c>
      <c r="BL3011" s="498" t="str">
        <f t="shared" si="1041"/>
        <v/>
      </c>
    </row>
    <row r="3012" spans="1:64" x14ac:dyDescent="0.25">
      <c r="A3012" s="762">
        <f t="shared" si="1042"/>
        <v>3007</v>
      </c>
      <c r="B3012" s="229"/>
      <c r="C3012" s="223"/>
      <c r="D3012" s="224"/>
      <c r="E3012" s="225"/>
      <c r="F3012" s="1036" t="str">
        <f t="shared" si="1048"/>
        <v/>
      </c>
      <c r="G3012" s="1037" t="str">
        <f t="shared" si="1043"/>
        <v/>
      </c>
      <c r="H3012" s="225"/>
      <c r="I3012" s="1013"/>
      <c r="J3012" s="1013"/>
      <c r="K3012" s="1028"/>
      <c r="L3012" s="1035" t="str">
        <f t="shared" si="1047"/>
        <v/>
      </c>
      <c r="S3012" s="498"/>
      <c r="AJ3012" s="498"/>
      <c r="AM3012" s="498">
        <f t="shared" si="1028"/>
        <v>0</v>
      </c>
      <c r="AN3012" s="498">
        <f t="shared" si="1029"/>
        <v>0</v>
      </c>
      <c r="AO3012" s="498">
        <f t="shared" si="1030"/>
        <v>0</v>
      </c>
      <c r="AP3012" s="498">
        <f t="shared" si="1049"/>
        <v>0</v>
      </c>
      <c r="AQ3012" s="498">
        <f t="shared" si="1044"/>
        <v>0</v>
      </c>
      <c r="AU3012" s="498">
        <f t="shared" si="1031"/>
        <v>0</v>
      </c>
      <c r="AV3012" s="498">
        <f t="shared" si="1032"/>
        <v>0</v>
      </c>
      <c r="AW3012" s="498">
        <f t="shared" si="1033"/>
        <v>0</v>
      </c>
      <c r="AX3012" s="498">
        <f t="shared" si="1034"/>
        <v>0</v>
      </c>
      <c r="AY3012" s="498">
        <f t="shared" si="1035"/>
        <v>0</v>
      </c>
      <c r="BB3012" s="498" t="str">
        <f t="shared" si="1036"/>
        <v/>
      </c>
      <c r="BC3012" s="743" t="str">
        <f t="shared" si="1037"/>
        <v/>
      </c>
      <c r="BD3012" s="743" t="str">
        <f t="shared" si="1038"/>
        <v/>
      </c>
      <c r="BE3012" s="743" t="str">
        <f>IF(D3012="","",VLOOKUP(D3012,'General Basis'!$J$39:$K$46,2,0))</f>
        <v/>
      </c>
      <c r="BF3012" s="744" t="str">
        <f>IF(D3012="","",VLOOKUP(D3012,'General Basis'!$J$39:$L$46,3,0))</f>
        <v/>
      </c>
      <c r="BG3012" s="744" t="str">
        <f t="shared" si="1045"/>
        <v/>
      </c>
      <c r="BH3012" s="744" t="str">
        <f>IF(G3012="","",IF(BF3012="Abu Dhabi",IF(G3012&lt;18,'General Basis'!$C$39,IF(G3012&lt;41,'General Basis'!$C$40,IF(G3012&lt;60,'General Basis'!$C$41,IF(G3012&lt;65,'General Basis'!$C$42,'General Basis'!$C$43)))),IF(G3012&lt;11,'General Basis'!$B$39,IF(G3012&lt;18,'General Basis'!$B$40,IF(G3012&lt;26,'General Basis'!$B$41,IF(G3012&lt;31,'General Basis'!$B$42,IF(G3012&lt;36,'General Basis'!$B$43,IF(G3012&lt;41,'General Basis'!$B$44,IF(G3012&lt;46,'General Basis'!$B$45,IF(G3012&lt;51,'General Basis'!$B$46,IF(G3012&lt;56,'General Basis'!$B$47,IF(G3012&lt;60,'General Basis'!$B$48,IF(G3012&lt;65,'General Basis'!$B$49,'General Basis'!$B$50)))))))))))))</f>
        <v/>
      </c>
      <c r="BI3012" s="744" t="str">
        <f t="shared" si="1039"/>
        <v/>
      </c>
      <c r="BJ3012" s="747" t="str">
        <f t="shared" si="1046"/>
        <v/>
      </c>
      <c r="BK3012" s="498" t="str">
        <f t="shared" si="1040"/>
        <v/>
      </c>
      <c r="BL3012" s="498" t="str">
        <f t="shared" si="1041"/>
        <v/>
      </c>
    </row>
    <row r="3013" spans="1:64" x14ac:dyDescent="0.25">
      <c r="A3013" s="762">
        <f t="shared" si="1042"/>
        <v>3008</v>
      </c>
      <c r="B3013" s="229"/>
      <c r="C3013" s="223"/>
      <c r="D3013" s="224"/>
      <c r="E3013" s="225"/>
      <c r="F3013" s="1036" t="str">
        <f t="shared" si="1048"/>
        <v/>
      </c>
      <c r="G3013" s="1037" t="str">
        <f t="shared" si="1043"/>
        <v/>
      </c>
      <c r="H3013" s="225"/>
      <c r="I3013" s="1013"/>
      <c r="J3013" s="1013"/>
      <c r="K3013" s="1028"/>
      <c r="L3013" s="1035" t="str">
        <f t="shared" si="1047"/>
        <v/>
      </c>
      <c r="S3013" s="498"/>
      <c r="AJ3013" s="498"/>
      <c r="AM3013" s="498">
        <f t="shared" si="1028"/>
        <v>0</v>
      </c>
      <c r="AN3013" s="498">
        <f t="shared" si="1029"/>
        <v>0</v>
      </c>
      <c r="AO3013" s="498">
        <f t="shared" si="1030"/>
        <v>0</v>
      </c>
      <c r="AP3013" s="498">
        <f t="shared" si="1049"/>
        <v>0</v>
      </c>
      <c r="AQ3013" s="498">
        <f t="shared" si="1044"/>
        <v>0</v>
      </c>
      <c r="AU3013" s="498">
        <f t="shared" si="1031"/>
        <v>0</v>
      </c>
      <c r="AV3013" s="498">
        <f t="shared" si="1032"/>
        <v>0</v>
      </c>
      <c r="AW3013" s="498">
        <f t="shared" si="1033"/>
        <v>0</v>
      </c>
      <c r="AX3013" s="498">
        <f t="shared" si="1034"/>
        <v>0</v>
      </c>
      <c r="AY3013" s="498">
        <f t="shared" si="1035"/>
        <v>0</v>
      </c>
      <c r="BB3013" s="498" t="str">
        <f t="shared" si="1036"/>
        <v/>
      </c>
      <c r="BC3013" s="743" t="str">
        <f t="shared" si="1037"/>
        <v/>
      </c>
      <c r="BD3013" s="743" t="str">
        <f t="shared" si="1038"/>
        <v/>
      </c>
      <c r="BE3013" s="743" t="str">
        <f>IF(D3013="","",VLOOKUP(D3013,'General Basis'!$J$39:$K$46,2,0))</f>
        <v/>
      </c>
      <c r="BF3013" s="744" t="str">
        <f>IF(D3013="","",VLOOKUP(D3013,'General Basis'!$J$39:$L$46,3,0))</f>
        <v/>
      </c>
      <c r="BG3013" s="744" t="str">
        <f t="shared" si="1045"/>
        <v/>
      </c>
      <c r="BH3013" s="744" t="str">
        <f>IF(G3013="","",IF(BF3013="Abu Dhabi",IF(G3013&lt;18,'General Basis'!$C$39,IF(G3013&lt;41,'General Basis'!$C$40,IF(G3013&lt;60,'General Basis'!$C$41,IF(G3013&lt;65,'General Basis'!$C$42,'General Basis'!$C$43)))),IF(G3013&lt;11,'General Basis'!$B$39,IF(G3013&lt;18,'General Basis'!$B$40,IF(G3013&lt;26,'General Basis'!$B$41,IF(G3013&lt;31,'General Basis'!$B$42,IF(G3013&lt;36,'General Basis'!$B$43,IF(G3013&lt;41,'General Basis'!$B$44,IF(G3013&lt;46,'General Basis'!$B$45,IF(G3013&lt;51,'General Basis'!$B$46,IF(G3013&lt;56,'General Basis'!$B$47,IF(G3013&lt;60,'General Basis'!$B$48,IF(G3013&lt;65,'General Basis'!$B$49,'General Basis'!$B$50)))))))))))))</f>
        <v/>
      </c>
      <c r="BI3013" s="744" t="str">
        <f t="shared" si="1039"/>
        <v/>
      </c>
      <c r="BJ3013" s="747" t="str">
        <f t="shared" si="1046"/>
        <v/>
      </c>
      <c r="BK3013" s="498" t="str">
        <f t="shared" si="1040"/>
        <v/>
      </c>
      <c r="BL3013" s="498" t="str">
        <f t="shared" si="1041"/>
        <v/>
      </c>
    </row>
    <row r="3014" spans="1:64" x14ac:dyDescent="0.25">
      <c r="A3014" s="762">
        <f t="shared" si="1042"/>
        <v>3009</v>
      </c>
      <c r="B3014" s="229"/>
      <c r="C3014" s="223"/>
      <c r="D3014" s="224"/>
      <c r="E3014" s="225"/>
      <c r="F3014" s="1036" t="str">
        <f t="shared" si="1048"/>
        <v/>
      </c>
      <c r="G3014" s="1037" t="str">
        <f t="shared" si="1043"/>
        <v/>
      </c>
      <c r="H3014" s="225"/>
      <c r="I3014" s="1013"/>
      <c r="J3014" s="1013"/>
      <c r="K3014" s="1028"/>
      <c r="L3014" s="1035" t="str">
        <f t="shared" si="1047"/>
        <v/>
      </c>
      <c r="S3014" s="498"/>
      <c r="AJ3014" s="498"/>
      <c r="AM3014" s="498">
        <f t="shared" ref="AM3014:AM3077" si="1050">IF(ISTEXT(B3014),1,0)</f>
        <v>0</v>
      </c>
      <c r="AN3014" s="498">
        <f t="shared" ref="AN3014:AN3077" si="1051">IF(ISBLANK(B3014),0,IF(B3014&lt;$AK$6,1,0))</f>
        <v>0</v>
      </c>
      <c r="AO3014" s="498">
        <f t="shared" ref="AO3014:AO3077" si="1052">IF(ISBLANK(B3014),0,IF(B3014&gt;$AK$7,1,0))</f>
        <v>0</v>
      </c>
      <c r="AP3014" s="498">
        <f t="shared" si="1049"/>
        <v>0</v>
      </c>
      <c r="AQ3014" s="498">
        <f t="shared" si="1044"/>
        <v>0</v>
      </c>
      <c r="AU3014" s="498">
        <f t="shared" ref="AU3014:AU3077" si="1053">IF(ISBLANK(B3014),0,1)</f>
        <v>0</v>
      </c>
      <c r="AV3014" s="498">
        <f t="shared" ref="AV3014:AV3077" si="1054">IF(ISBLANK(C3014),0,1)</f>
        <v>0</v>
      </c>
      <c r="AW3014" s="498">
        <f t="shared" ref="AW3014:AW3077" si="1055">IF(ISBLANK(D3014),0,1)</f>
        <v>0</v>
      </c>
      <c r="AX3014" s="498">
        <f t="shared" ref="AX3014:AX3077" si="1056">IF(ISBLANK(E3014),0,1)</f>
        <v>0</v>
      </c>
      <c r="AY3014" s="498">
        <f t="shared" ref="AY3014:AY3077" si="1057">IF(ISBLANK(H3014),0,1)</f>
        <v>0</v>
      </c>
      <c r="BB3014" s="498" t="str">
        <f t="shared" ref="BB3014:BB3077" si="1058">IF(E3014="Principal","Principal",IF(E3014="","","Other"))</f>
        <v/>
      </c>
      <c r="BC3014" s="743" t="str">
        <f t="shared" ref="BC3014:BC3077" si="1059">IF(D3014="","",D3014)</f>
        <v/>
      </c>
      <c r="BD3014" s="743" t="str">
        <f t="shared" ref="BD3014:BD3077" si="1060">IF(E3014="Principal","Employee",IF(E3014="","","Dependent"))</f>
        <v/>
      </c>
      <c r="BE3014" s="743" t="str">
        <f>IF(D3014="","",VLOOKUP(D3014,'General Basis'!$J$39:$K$46,2,0))</f>
        <v/>
      </c>
      <c r="BF3014" s="744" t="str">
        <f>IF(D3014="","",VLOOKUP(D3014,'General Basis'!$J$39:$L$46,3,0))</f>
        <v/>
      </c>
      <c r="BG3014" s="744" t="str">
        <f t="shared" si="1045"/>
        <v/>
      </c>
      <c r="BH3014" s="744" t="str">
        <f>IF(G3014="","",IF(BF3014="Abu Dhabi",IF(G3014&lt;18,'General Basis'!$C$39,IF(G3014&lt;41,'General Basis'!$C$40,IF(G3014&lt;60,'General Basis'!$C$41,IF(G3014&lt;65,'General Basis'!$C$42,'General Basis'!$C$43)))),IF(G3014&lt;11,'General Basis'!$B$39,IF(G3014&lt;18,'General Basis'!$B$40,IF(G3014&lt;26,'General Basis'!$B$41,IF(G3014&lt;31,'General Basis'!$B$42,IF(G3014&lt;36,'General Basis'!$B$43,IF(G3014&lt;41,'General Basis'!$B$44,IF(G3014&lt;46,'General Basis'!$B$45,IF(G3014&lt;51,'General Basis'!$B$46,IF(G3014&lt;56,'General Basis'!$B$47,IF(G3014&lt;60,'General Basis'!$B$48,IF(G3014&lt;65,'General Basis'!$B$49,'General Basis'!$B$50)))))))))))))</f>
        <v/>
      </c>
      <c r="BI3014" s="744" t="str">
        <f t="shared" ref="BI3014:BI3077" si="1061">IF(C3014="","",IF(C3014="M","Male","Female"))</f>
        <v/>
      </c>
      <c r="BJ3014" s="747" t="str">
        <f t="shared" si="1046"/>
        <v/>
      </c>
      <c r="BK3014" s="498" t="str">
        <f t="shared" ref="BK3014:BK3077" si="1062">IF(BD3014="","",IF(AND(BD3014="Employee",BI3014="Male",BF3014="Abu Dhabi",BE3014=GN_Plus),VLOOKUP(BH3014,AUH_MALE_EMP,2,0),IF(AND(BD3014="Employee",BI3014="Male",BF3014="Abu Dhabi",BE3014=GN),VLOOKUP(BH3014,AUH_MALE_EMP,3,0),IF(AND(BD3014="Employee",BI3014="Male",BF3014="Abu Dhabi",BE3014=RN_Plus),VLOOKUP(BH3014,AUH_MALE_EMP,4,0),IF(AND(BD3014="Employee",BI3014="Male",BF3014="Abu Dhabi",BE3014=RN),VLOOKUP(BH3014,AUH_MALE_EMP,5,0),IF(AND(BD3014="Employee",BI3014="Male",BF3014="Abu Dhabi",BE3014=RN_2),VLOOKUP(BH3014,AUH_MALE_EMP,6,0),IF(AND(BD3014="Employee",BI3014="Male",BF3014="Abu Dhabi",BE3014=RN2_minus),VLOOKUP(BH3014,AUH_MALE_EMP,7,0),IF(AND(BD3014="Employee",BI3014="Male",BF3014="Abu Dhabi",BE3014=RN_3),VLOOKUP(BH3014,AUH_MALE_EMP,8,0),IF(AND(BD3014="Employee",BI3014="Male",BF3014="Abu Dhabi",BE3014=VN),VLOOKUP(BH3014,AUH_MALE_EMP,9,0),IF(BD3014="","",IF(AND(BD3014="Employee",BI3014="Female",BF3014="Abu Dhabi",BE3014=GN_Plus),VLOOKUP(BH3014,AUH_FEMALE_EMP,2,0),IF(AND(BD3014="Employee",BI3014="Female",BF3014="Abu Dhabi",BE3014=GN),VLOOKUP(BH3014,AUH_FEMALE_EMP,3,0),IF(AND(BD3014="Employee",BI3014="Female",BF3014="Abu Dhabi",BE3014=RN_Plus),VLOOKUP(BH3014,AUH_FEMALE_EMP,4,0),IF(AND(BD3014="Employee",BI3014="Female",BF3014="Abu Dhabi",BE3014=RN),VLOOKUP(BH3014,AUH_FEMALE_EMP,5,0),IF(AND(BD3014="Employee",BI3014="Female",BF3014="Abu Dhabi",BE3014=RN_2),VLOOKUP(BH3014,AUH_FEMALE_EMP,6,0),IF(AND(BD3014="Employee",BI3014="Female",BF3014="Abu Dhabi",BE3014=RN2_minus),VLOOKUP(BH3014,AUH_FEMALE_EMP,7,0),IF(AND(BD3014="Employee",BI3014="Female",BF3014="Abu Dhabi",BE3014=RN_3),VLOOKUP(BH3014,AUH_FEMALE_EMP,8,0),IF(AND(BD3014="Employee",BI3014="Female",BF3014="Abu Dhabi",BE3014=VN),VLOOKUP(BH3014,AUH_FEMALE_EMP,9,0),IF(BD3014="","",IF(AND(BD3014="Dependent",BI3014="Male",BF3014="Abu Dhabi",BE3014=GN_Plus),VLOOKUP(BH3014,AUH_MALE_DEP,2,0),IF(AND(BD3014="Dependent",BI3014="Male",BF3014="Abu Dhabi",BE3014=GN),VLOOKUP(BH3014,AUH_MALE_DEP,3,0),IF(AND(BD3014="Dependent",BI3014="Male",BF3014="Abu Dhabi",BE3014=RN_Plus),VLOOKUP(BH3014,AUH_MALE_DEP,4,0),IF(AND(BD3014="Dependent",BI3014="Male",BF3014="Abu Dhabi",BE3014=RN),VLOOKUP(BH3014,AUH_MALE_DEP,5,0),IF(AND(BD3014="Dependent",BI3014="Male",BF3014="Abu Dhabi",BE3014=RN_2),VLOOKUP(BH3014,AUH_MALE_DEP,6,0),IF(AND(BD3014="Dependent",BI3014="Male",BF3014="Abu Dhabi",BE3014=RN2_minus),VLOOKUP(BH3014,AUH_MALE_DEP,7,0),IF(AND(BD3014="Dependent",BI3014="Male",BF3014="Abu Dhabi",BE3014=RN_3),VLOOKUP(BH3014,AUH_MALE_DEP,8,0),IF(AND(BD3014="Dependent",BI3014="Male",BF3014="Abu Dhabi",BE3014=VN),VLOOKUP(BH3014,AUH_MALE_DEP,9,0),IF(BD3014="","",IF(AND(BD3014="Dependent",BI3014="Female",BF3014="Abu Dhabi",BE3014=GN_Plus),VLOOKUP(BH3014,AUH_FEMALE_DEP,2,0),IF(AND(BD3014="Dependent",BI3014="Female",BF3014="Abu Dhabi",BE3014=GN),VLOOKUP(BH3014,AUH_FEMALE_DEP,3,0),IF(AND(BD3014="Dependent",BI3014="Female",BF3014="Abu Dhabi",BE3014=RN_Plus),VLOOKUP(BH3014,AUH_FEMALE_DEP,4,0),IF(AND(BD3014="Dependent",BI3014="Female",BF3014="Abu Dhabi",BE3014=RN),VLOOKUP(BH3014,AUH_FEMALE_DEP,5,0),IF(AND(BD3014="Dependent",BI3014="Female",BF3014="Abu Dhabi",BE3014=RN_2),VLOOKUP(BH3014,AUH_FEMALE_DEP,6,0),IF(AND(BD3014="Dependent",BI3014="Female",BF3014="Abu Dhabi",BE3014=RN2_minus),VLOOKUP(BH3014,AUH_FEMALE_DEP,7,0),IF(AND(BD3014="Dependent",BI3014="Female",BF3014="Abu Dhabi",BE3014=RN_3),VLOOKUP(BH3014,AUH_FEMALE_DEP,8,0),IF(AND(BD3014="Dependent",BI3014="Female",BF3014="Abu Dhabi",BE3014=VN),VLOOKUP(BH3014,AUH_FEMALE_DEP,9,0),"ABC"))))))))))))))))))))))))))))))))))))</f>
        <v/>
      </c>
      <c r="BL3014" s="498" t="str">
        <f t="shared" ref="BL3014:BL3077" si="1063">IF(BD3014="","",IF(AND(BD3014="Employee",BI3014="Male",BF3014="Dubai",BE3014=GN_Plus),VLOOKUP(BH3014,DXB_MALE_EMP,2,0),IF(AND(BD3014="Employee",BI3014="Male",BF3014="Dubai",BE3014=GN),VLOOKUP(BH3014,DXB_MALE_EMP,3,0),IF(AND(BD3014="Employee",BI3014="Male",BF3014="Dubai",BE3014=RN_Plus),VLOOKUP(BH3014,DXB_MALE_EMP,4,0),IF(AND(BD3014="Employee",BI3014="Male",BF3014="Dubai",BE3014=RN),VLOOKUP(BH3014,DXB_MALE_EMP,5,0),IF(AND(BD3014="Employee",BI3014="Male",BF3014="Dubai",BE3014=RN_2),VLOOKUP(BH3014,DXB_MALE_EMP,6,0),IF(AND(BD3014="Employee",BI3014="Male",BF3014="Dubai",BE3014=RN2_minus),VLOOKUP(BH3014,DXB_MALE_EMP,7,0),IF(AND(BD3014="Employee",BI3014="Male",BF3014="Dubai",BE3014=RN_3),VLOOKUP(BH3014,DXB_MALE_EMP,8,0),IF(AND(BD3014="Employee",BI3014="Male",BF3014="Dubai",BE3014=VN),VLOOKUP(BH3014,DXB_MALE_EMP,9,0),IF(BD3014="","",IF(AND(BD3014="Employee",BI3014="Female",BF3014="Dubai",BE3014=GN_Plus),VLOOKUP(BH3014,DXB_FEMALE_EMP,2,0),IF(AND(BD3014="Employee",BI3014="Female",BF3014="Dubai",BE3014=GN),VLOOKUP(BH3014,DXB_FEMALE_EMP,3,0),IF(AND(BD3014="Employee",BI3014="Female",BF3014="Dubai",BE3014=RN_Plus),VLOOKUP(BH3014,DXB_FEMALE_EMP,4,0),IF(AND(BD3014="Employee",BI3014="Female",BF3014="Dubai",BE3014=RN),VLOOKUP(BH3014,DXB_FEMALE_EMP,5,0),IF(AND(BD3014="Employee",BI3014="Female",BF3014="Dubai",BE3014=RN_2),VLOOKUP(BH3014,DXB_FEMALE_EMP,6,0),IF(AND(BD3014="Employee",BI3014="Female",BF3014="Dubai",BE3014=RN2_minus),VLOOKUP(BH3014,DXB_FEMALE_EMP,7,0),IF(AND(BD3014="Employee",BI3014="Female",BF3014="Dubai",BE3014=RN_3),VLOOKUP(BH3014,DXB_FEMALE_EMP,8,0),IF(AND(BD3014="Employee",BI3014="Female",BF3014="Dubai",BE3014=VN),VLOOKUP(BH3014,DXB_FEMALE_EMP,9,0),IF(BD3014="","",IF(AND(BD3014="Dependent",BI3014="Male",BF3014="Dubai",BE3014=GN_Plus),VLOOKUP(BH3014,DXB_MALE_DEP,2,0),IF(AND(BD3014="Dependent",BI3014="Male",BF3014="Dubai",BE3014=GN),VLOOKUP(BH3014,DXB_MALE_DEP,3,0),IF(AND(BD3014="Dependent",BI3014="Male",BF3014="Dubai",BE3014=RN_Plus),VLOOKUP(BH3014,DXB_MALE_DEP,4,0),IF(AND(BD3014="Dependent",BI3014="Male",BF3014="Dubai",BE3014=RN),VLOOKUP(BH3014,DXB_MALE_DEP,5,0),IF(AND(BD3014="Dependent",BI3014="Male",BF3014="Dubai",BE3014=RN_2),VLOOKUP(BH3014,DXB_MALE_DEP,6,0),IF(AND(BD3014="Dependent",BI3014="Male",BF3014="Dubai",BE3014=RN2_minus),VLOOKUP(BH3014,DXB_MALE_DEP,7,0),IF(AND(BD3014="Dependent",BI3014="Male",BF3014="Dubai",BE3014=RN_3),VLOOKUP(BH3014,DXB_MALE_DEP,8,0),IF(AND(BD3014="Dependent",BI3014="Male",BF3014="Dubai",BE3014=VN),VLOOKUP(BH3014,DXB_MALE_DEP,9,0),IF(BD3014="","",IF(AND(BD3014="Dependent",BI3014="Female",BF3014="Dubai",BE3014=GN_Plus),VLOOKUP(BH3014,DXB_FEMALE_DEP,2,0),IF(AND(BD3014="Dependent",BI3014="Female",BF3014="Dubai",BE3014=GN),VLOOKUP(BH3014,DXB_FEMALE_DEP,3,0),IF(AND(BD3014="Dependent",BI3014="Female",BF3014="Dubai",BE3014=RN_Plus),VLOOKUP(BH3014,DXB_FEMALE_DEP,4,0),IF(AND(BD3014="Dependent",BI3014="Female",BF3014="Dubai",BE3014=RN),VLOOKUP(BH3014,DXB_FEMALE_DEP,5,0),IF(AND(BD3014="Dependent",BI3014="Female",BF3014="Dubai",BE3014=RN_2),VLOOKUP(BH3014,DXB_FEMALE_DEP,6,0),IF(AND(BD3014="Dependent",BI3014="Female",BF3014="Dubai",BE3014=RN2_minus),VLOOKUP(BH3014,DXB_FEMALE_DEP,7,0),IF(AND(BD3014="Dependent",BI3014="Female",BF3014="Dubai",BE3014=RN_3),VLOOKUP(BH3014,DXB_FEMALE_DEP,8,0),IF(AND(BD3014="Dependent",BI3014="Female",BF3014="Dubai",BE3014=VN),VLOOKUP(BH3014,DXB_FEMALE_DEP,9,0),"ABC"))))))))))))))))))))))))))))))))))))</f>
        <v/>
      </c>
    </row>
    <row r="3015" spans="1:64" x14ac:dyDescent="0.25">
      <c r="A3015" s="762">
        <f t="shared" ref="A3015:A3078" si="1064">+A3014+1</f>
        <v>3010</v>
      </c>
      <c r="B3015" s="229"/>
      <c r="C3015" s="223"/>
      <c r="D3015" s="224"/>
      <c r="E3015" s="225"/>
      <c r="F3015" s="1036" t="str">
        <f t="shared" si="1048"/>
        <v/>
      </c>
      <c r="G3015" s="1037" t="str">
        <f t="shared" ref="G3015:G3078" si="1065">IF(D3015="","",MAX(0,ROUNDUP(F3015,0)))</f>
        <v/>
      </c>
      <c r="H3015" s="225"/>
      <c r="I3015" s="1013"/>
      <c r="J3015" s="1013"/>
      <c r="K3015" s="1028"/>
      <c r="L3015" s="1035" t="str">
        <f t="shared" si="1047"/>
        <v/>
      </c>
      <c r="S3015" s="498"/>
      <c r="AJ3015" s="498"/>
      <c r="AM3015" s="498">
        <f t="shared" si="1050"/>
        <v>0</v>
      </c>
      <c r="AN3015" s="498">
        <f t="shared" si="1051"/>
        <v>0</v>
      </c>
      <c r="AO3015" s="498">
        <f t="shared" si="1052"/>
        <v>0</v>
      </c>
      <c r="AP3015" s="498">
        <f t="shared" si="1049"/>
        <v>0</v>
      </c>
      <c r="AQ3015" s="498">
        <f t="shared" ref="AQ3015:AQ3078" si="1066">IF(ISBLANK($B3015),0,IF(OR($H3015="Single",$H3015="Married"),0,1))</f>
        <v>0</v>
      </c>
      <c r="AU3015" s="498">
        <f t="shared" si="1053"/>
        <v>0</v>
      </c>
      <c r="AV3015" s="498">
        <f t="shared" si="1054"/>
        <v>0</v>
      </c>
      <c r="AW3015" s="498">
        <f t="shared" si="1055"/>
        <v>0</v>
      </c>
      <c r="AX3015" s="498">
        <f t="shared" si="1056"/>
        <v>0</v>
      </c>
      <c r="AY3015" s="498">
        <f t="shared" si="1057"/>
        <v>0</v>
      </c>
      <c r="BB3015" s="498" t="str">
        <f t="shared" si="1058"/>
        <v/>
      </c>
      <c r="BC3015" s="743" t="str">
        <f t="shared" si="1059"/>
        <v/>
      </c>
      <c r="BD3015" s="743" t="str">
        <f t="shared" si="1060"/>
        <v/>
      </c>
      <c r="BE3015" s="743" t="str">
        <f>IF(D3015="","",VLOOKUP(D3015,'General Basis'!$J$39:$K$46,2,0))</f>
        <v/>
      </c>
      <c r="BF3015" s="744" t="str">
        <f>IF(D3015="","",VLOOKUP(D3015,'General Basis'!$J$39:$L$46,3,0))</f>
        <v/>
      </c>
      <c r="BG3015" s="744" t="str">
        <f t="shared" ref="BG3015:BG3078" si="1067">BC3015&amp;BI3015</f>
        <v/>
      </c>
      <c r="BH3015" s="744" t="str">
        <f>IF(G3015="","",IF(BF3015="Abu Dhabi",IF(G3015&lt;18,'General Basis'!$C$39,IF(G3015&lt;41,'General Basis'!$C$40,IF(G3015&lt;60,'General Basis'!$C$41,IF(G3015&lt;65,'General Basis'!$C$42,'General Basis'!$C$43)))),IF(G3015&lt;11,'General Basis'!$B$39,IF(G3015&lt;18,'General Basis'!$B$40,IF(G3015&lt;26,'General Basis'!$B$41,IF(G3015&lt;31,'General Basis'!$B$42,IF(G3015&lt;36,'General Basis'!$B$43,IF(G3015&lt;41,'General Basis'!$B$44,IF(G3015&lt;46,'General Basis'!$B$45,IF(G3015&lt;51,'General Basis'!$B$46,IF(G3015&lt;56,'General Basis'!$B$47,IF(G3015&lt;60,'General Basis'!$B$48,IF(G3015&lt;65,'General Basis'!$B$49,'General Basis'!$B$50)))))))))))))</f>
        <v/>
      </c>
      <c r="BI3015" s="744" t="str">
        <f t="shared" si="1061"/>
        <v/>
      </c>
      <c r="BJ3015" s="747" t="str">
        <f t="shared" ref="BJ3015:BJ3078" si="1068">IF(BD3015="","",IF(BF3015="Abu Dhabi",BK3015,BL3015))</f>
        <v/>
      </c>
      <c r="BK3015" s="498" t="str">
        <f t="shared" si="1062"/>
        <v/>
      </c>
      <c r="BL3015" s="498" t="str">
        <f t="shared" si="1063"/>
        <v/>
      </c>
    </row>
    <row r="3016" spans="1:64" x14ac:dyDescent="0.25">
      <c r="A3016" s="762">
        <f t="shared" si="1064"/>
        <v>3011</v>
      </c>
      <c r="B3016" s="229"/>
      <c r="C3016" s="223"/>
      <c r="D3016" s="224"/>
      <c r="E3016" s="225"/>
      <c r="F3016" s="1036" t="str">
        <f t="shared" si="1048"/>
        <v/>
      </c>
      <c r="G3016" s="1037" t="str">
        <f t="shared" si="1065"/>
        <v/>
      </c>
      <c r="H3016" s="225"/>
      <c r="I3016" s="1013"/>
      <c r="J3016" s="1013"/>
      <c r="K3016" s="1028"/>
      <c r="L3016" s="1035" t="str">
        <f t="shared" ref="L3016:L3079" si="1069">IF(AND(E3016="Child",H3016="Married"),"Check the Marital Status of the Child. ",IF(AND(E3016="Child",F3016&gt;18),"Child Age exceed 18 years. ",IF(AND(E3016="Spouse",H3016="Single"),"Spouse is selected as Single. ","")))&amp;IF(K3016&gt;0,"UW Loading has been Applied","")</f>
        <v/>
      </c>
      <c r="S3016" s="498"/>
      <c r="AJ3016" s="498"/>
      <c r="AM3016" s="498">
        <f t="shared" si="1050"/>
        <v>0</v>
      </c>
      <c r="AN3016" s="498">
        <f t="shared" si="1051"/>
        <v>0</v>
      </c>
      <c r="AO3016" s="498">
        <f t="shared" si="1052"/>
        <v>0</v>
      </c>
      <c r="AP3016" s="498">
        <f t="shared" si="1049"/>
        <v>0</v>
      </c>
      <c r="AQ3016" s="498">
        <f t="shared" si="1066"/>
        <v>0</v>
      </c>
      <c r="AU3016" s="498">
        <f t="shared" si="1053"/>
        <v>0</v>
      </c>
      <c r="AV3016" s="498">
        <f t="shared" si="1054"/>
        <v>0</v>
      </c>
      <c r="AW3016" s="498">
        <f t="shared" si="1055"/>
        <v>0</v>
      </c>
      <c r="AX3016" s="498">
        <f t="shared" si="1056"/>
        <v>0</v>
      </c>
      <c r="AY3016" s="498">
        <f t="shared" si="1057"/>
        <v>0</v>
      </c>
      <c r="BB3016" s="498" t="str">
        <f t="shared" si="1058"/>
        <v/>
      </c>
      <c r="BC3016" s="743" t="str">
        <f t="shared" si="1059"/>
        <v/>
      </c>
      <c r="BD3016" s="743" t="str">
        <f t="shared" si="1060"/>
        <v/>
      </c>
      <c r="BE3016" s="743" t="str">
        <f>IF(D3016="","",VLOOKUP(D3016,'General Basis'!$J$39:$K$46,2,0))</f>
        <v/>
      </c>
      <c r="BF3016" s="744" t="str">
        <f>IF(D3016="","",VLOOKUP(D3016,'General Basis'!$J$39:$L$46,3,0))</f>
        <v/>
      </c>
      <c r="BG3016" s="744" t="str">
        <f t="shared" si="1067"/>
        <v/>
      </c>
      <c r="BH3016" s="744" t="str">
        <f>IF(G3016="","",IF(BF3016="Abu Dhabi",IF(G3016&lt;18,'General Basis'!$C$39,IF(G3016&lt;41,'General Basis'!$C$40,IF(G3016&lt;60,'General Basis'!$C$41,IF(G3016&lt;65,'General Basis'!$C$42,'General Basis'!$C$43)))),IF(G3016&lt;11,'General Basis'!$B$39,IF(G3016&lt;18,'General Basis'!$B$40,IF(G3016&lt;26,'General Basis'!$B$41,IF(G3016&lt;31,'General Basis'!$B$42,IF(G3016&lt;36,'General Basis'!$B$43,IF(G3016&lt;41,'General Basis'!$B$44,IF(G3016&lt;46,'General Basis'!$B$45,IF(G3016&lt;51,'General Basis'!$B$46,IF(G3016&lt;56,'General Basis'!$B$47,IF(G3016&lt;60,'General Basis'!$B$48,IF(G3016&lt;65,'General Basis'!$B$49,'General Basis'!$B$50)))))))))))))</f>
        <v/>
      </c>
      <c r="BI3016" s="744" t="str">
        <f t="shared" si="1061"/>
        <v/>
      </c>
      <c r="BJ3016" s="747" t="str">
        <f t="shared" si="1068"/>
        <v/>
      </c>
      <c r="BK3016" s="498" t="str">
        <f t="shared" si="1062"/>
        <v/>
      </c>
      <c r="BL3016" s="498" t="str">
        <f t="shared" si="1063"/>
        <v/>
      </c>
    </row>
    <row r="3017" spans="1:64" x14ac:dyDescent="0.25">
      <c r="A3017" s="762">
        <f t="shared" si="1064"/>
        <v>3012</v>
      </c>
      <c r="B3017" s="229"/>
      <c r="C3017" s="223"/>
      <c r="D3017" s="224"/>
      <c r="E3017" s="225"/>
      <c r="F3017" s="1036" t="str">
        <f t="shared" si="1048"/>
        <v/>
      </c>
      <c r="G3017" s="1037" t="str">
        <f t="shared" si="1065"/>
        <v/>
      </c>
      <c r="H3017" s="225"/>
      <c r="I3017" s="1013"/>
      <c r="J3017" s="1013"/>
      <c r="K3017" s="1028"/>
      <c r="L3017" s="1035" t="str">
        <f t="shared" si="1069"/>
        <v/>
      </c>
      <c r="S3017" s="498"/>
      <c r="AJ3017" s="498"/>
      <c r="AM3017" s="498">
        <f t="shared" si="1050"/>
        <v>0</v>
      </c>
      <c r="AN3017" s="498">
        <f t="shared" si="1051"/>
        <v>0</v>
      </c>
      <c r="AO3017" s="498">
        <f t="shared" si="1052"/>
        <v>0</v>
      </c>
      <c r="AP3017" s="498">
        <f t="shared" si="1049"/>
        <v>0</v>
      </c>
      <c r="AQ3017" s="498">
        <f t="shared" si="1066"/>
        <v>0</v>
      </c>
      <c r="AU3017" s="498">
        <f t="shared" si="1053"/>
        <v>0</v>
      </c>
      <c r="AV3017" s="498">
        <f t="shared" si="1054"/>
        <v>0</v>
      </c>
      <c r="AW3017" s="498">
        <f t="shared" si="1055"/>
        <v>0</v>
      </c>
      <c r="AX3017" s="498">
        <f t="shared" si="1056"/>
        <v>0</v>
      </c>
      <c r="AY3017" s="498">
        <f t="shared" si="1057"/>
        <v>0</v>
      </c>
      <c r="BB3017" s="498" t="str">
        <f t="shared" si="1058"/>
        <v/>
      </c>
      <c r="BC3017" s="743" t="str">
        <f t="shared" si="1059"/>
        <v/>
      </c>
      <c r="BD3017" s="743" t="str">
        <f t="shared" si="1060"/>
        <v/>
      </c>
      <c r="BE3017" s="743" t="str">
        <f>IF(D3017="","",VLOOKUP(D3017,'General Basis'!$J$39:$K$46,2,0))</f>
        <v/>
      </c>
      <c r="BF3017" s="744" t="str">
        <f>IF(D3017="","",VLOOKUP(D3017,'General Basis'!$J$39:$L$46,3,0))</f>
        <v/>
      </c>
      <c r="BG3017" s="744" t="str">
        <f t="shared" si="1067"/>
        <v/>
      </c>
      <c r="BH3017" s="744" t="str">
        <f>IF(G3017="","",IF(BF3017="Abu Dhabi",IF(G3017&lt;18,'General Basis'!$C$39,IF(G3017&lt;41,'General Basis'!$C$40,IF(G3017&lt;60,'General Basis'!$C$41,IF(G3017&lt;65,'General Basis'!$C$42,'General Basis'!$C$43)))),IF(G3017&lt;11,'General Basis'!$B$39,IF(G3017&lt;18,'General Basis'!$B$40,IF(G3017&lt;26,'General Basis'!$B$41,IF(G3017&lt;31,'General Basis'!$B$42,IF(G3017&lt;36,'General Basis'!$B$43,IF(G3017&lt;41,'General Basis'!$B$44,IF(G3017&lt;46,'General Basis'!$B$45,IF(G3017&lt;51,'General Basis'!$B$46,IF(G3017&lt;56,'General Basis'!$B$47,IF(G3017&lt;60,'General Basis'!$B$48,IF(G3017&lt;65,'General Basis'!$B$49,'General Basis'!$B$50)))))))))))))</f>
        <v/>
      </c>
      <c r="BI3017" s="744" t="str">
        <f t="shared" si="1061"/>
        <v/>
      </c>
      <c r="BJ3017" s="747" t="str">
        <f t="shared" si="1068"/>
        <v/>
      </c>
      <c r="BK3017" s="498" t="str">
        <f t="shared" si="1062"/>
        <v/>
      </c>
      <c r="BL3017" s="498" t="str">
        <f t="shared" si="1063"/>
        <v/>
      </c>
    </row>
    <row r="3018" spans="1:64" x14ac:dyDescent="0.25">
      <c r="A3018" s="762">
        <f t="shared" si="1064"/>
        <v>3013</v>
      </c>
      <c r="B3018" s="229"/>
      <c r="C3018" s="223"/>
      <c r="D3018" s="224"/>
      <c r="E3018" s="225"/>
      <c r="F3018" s="1036" t="str">
        <f t="shared" si="1048"/>
        <v/>
      </c>
      <c r="G3018" s="1037" t="str">
        <f t="shared" si="1065"/>
        <v/>
      </c>
      <c r="H3018" s="225"/>
      <c r="I3018" s="1013"/>
      <c r="J3018" s="1013"/>
      <c r="K3018" s="1028"/>
      <c r="L3018" s="1035" t="str">
        <f t="shared" si="1069"/>
        <v/>
      </c>
      <c r="S3018" s="498"/>
      <c r="AJ3018" s="498"/>
      <c r="AM3018" s="498">
        <f t="shared" si="1050"/>
        <v>0</v>
      </c>
      <c r="AN3018" s="498">
        <f t="shared" si="1051"/>
        <v>0</v>
      </c>
      <c r="AO3018" s="498">
        <f t="shared" si="1052"/>
        <v>0</v>
      </c>
      <c r="AP3018" s="498">
        <f t="shared" si="1049"/>
        <v>0</v>
      </c>
      <c r="AQ3018" s="498">
        <f t="shared" si="1066"/>
        <v>0</v>
      </c>
      <c r="AU3018" s="498">
        <f t="shared" si="1053"/>
        <v>0</v>
      </c>
      <c r="AV3018" s="498">
        <f t="shared" si="1054"/>
        <v>0</v>
      </c>
      <c r="AW3018" s="498">
        <f t="shared" si="1055"/>
        <v>0</v>
      </c>
      <c r="AX3018" s="498">
        <f t="shared" si="1056"/>
        <v>0</v>
      </c>
      <c r="AY3018" s="498">
        <f t="shared" si="1057"/>
        <v>0</v>
      </c>
      <c r="BB3018" s="498" t="str">
        <f t="shared" si="1058"/>
        <v/>
      </c>
      <c r="BC3018" s="743" t="str">
        <f t="shared" si="1059"/>
        <v/>
      </c>
      <c r="BD3018" s="743" t="str">
        <f t="shared" si="1060"/>
        <v/>
      </c>
      <c r="BE3018" s="743" t="str">
        <f>IF(D3018="","",VLOOKUP(D3018,'General Basis'!$J$39:$K$46,2,0))</f>
        <v/>
      </c>
      <c r="BF3018" s="744" t="str">
        <f>IF(D3018="","",VLOOKUP(D3018,'General Basis'!$J$39:$L$46,3,0))</f>
        <v/>
      </c>
      <c r="BG3018" s="744" t="str">
        <f t="shared" si="1067"/>
        <v/>
      </c>
      <c r="BH3018" s="744" t="str">
        <f>IF(G3018="","",IF(BF3018="Abu Dhabi",IF(G3018&lt;18,'General Basis'!$C$39,IF(G3018&lt;41,'General Basis'!$C$40,IF(G3018&lt;60,'General Basis'!$C$41,IF(G3018&lt;65,'General Basis'!$C$42,'General Basis'!$C$43)))),IF(G3018&lt;11,'General Basis'!$B$39,IF(G3018&lt;18,'General Basis'!$B$40,IF(G3018&lt;26,'General Basis'!$B$41,IF(G3018&lt;31,'General Basis'!$B$42,IF(G3018&lt;36,'General Basis'!$B$43,IF(G3018&lt;41,'General Basis'!$B$44,IF(G3018&lt;46,'General Basis'!$B$45,IF(G3018&lt;51,'General Basis'!$B$46,IF(G3018&lt;56,'General Basis'!$B$47,IF(G3018&lt;60,'General Basis'!$B$48,IF(G3018&lt;65,'General Basis'!$B$49,'General Basis'!$B$50)))))))))))))</f>
        <v/>
      </c>
      <c r="BI3018" s="744" t="str">
        <f t="shared" si="1061"/>
        <v/>
      </c>
      <c r="BJ3018" s="747" t="str">
        <f t="shared" si="1068"/>
        <v/>
      </c>
      <c r="BK3018" s="498" t="str">
        <f t="shared" si="1062"/>
        <v/>
      </c>
      <c r="BL3018" s="498" t="str">
        <f t="shared" si="1063"/>
        <v/>
      </c>
    </row>
    <row r="3019" spans="1:64" x14ac:dyDescent="0.25">
      <c r="A3019" s="762">
        <f t="shared" si="1064"/>
        <v>3014</v>
      </c>
      <c r="B3019" s="229"/>
      <c r="C3019" s="223"/>
      <c r="D3019" s="224"/>
      <c r="E3019" s="225"/>
      <c r="F3019" s="1036" t="str">
        <f t="shared" si="1048"/>
        <v/>
      </c>
      <c r="G3019" s="1037" t="str">
        <f t="shared" si="1065"/>
        <v/>
      </c>
      <c r="H3019" s="225"/>
      <c r="I3019" s="1013"/>
      <c r="J3019" s="1013"/>
      <c r="K3019" s="1028"/>
      <c r="L3019" s="1035" t="str">
        <f t="shared" si="1069"/>
        <v/>
      </c>
      <c r="S3019" s="498"/>
      <c r="AJ3019" s="498"/>
      <c r="AM3019" s="498">
        <f t="shared" si="1050"/>
        <v>0</v>
      </c>
      <c r="AN3019" s="498">
        <f t="shared" si="1051"/>
        <v>0</v>
      </c>
      <c r="AO3019" s="498">
        <f t="shared" si="1052"/>
        <v>0</v>
      </c>
      <c r="AP3019" s="498">
        <f t="shared" si="1049"/>
        <v>0</v>
      </c>
      <c r="AQ3019" s="498">
        <f t="shared" si="1066"/>
        <v>0</v>
      </c>
      <c r="AU3019" s="498">
        <f t="shared" si="1053"/>
        <v>0</v>
      </c>
      <c r="AV3019" s="498">
        <f t="shared" si="1054"/>
        <v>0</v>
      </c>
      <c r="AW3019" s="498">
        <f t="shared" si="1055"/>
        <v>0</v>
      </c>
      <c r="AX3019" s="498">
        <f t="shared" si="1056"/>
        <v>0</v>
      </c>
      <c r="AY3019" s="498">
        <f t="shared" si="1057"/>
        <v>0</v>
      </c>
      <c r="BB3019" s="498" t="str">
        <f t="shared" si="1058"/>
        <v/>
      </c>
      <c r="BC3019" s="743" t="str">
        <f t="shared" si="1059"/>
        <v/>
      </c>
      <c r="BD3019" s="743" t="str">
        <f t="shared" si="1060"/>
        <v/>
      </c>
      <c r="BE3019" s="743" t="str">
        <f>IF(D3019="","",VLOOKUP(D3019,'General Basis'!$J$39:$K$46,2,0))</f>
        <v/>
      </c>
      <c r="BF3019" s="744" t="str">
        <f>IF(D3019="","",VLOOKUP(D3019,'General Basis'!$J$39:$L$46,3,0))</f>
        <v/>
      </c>
      <c r="BG3019" s="744" t="str">
        <f t="shared" si="1067"/>
        <v/>
      </c>
      <c r="BH3019" s="744" t="str">
        <f>IF(G3019="","",IF(BF3019="Abu Dhabi",IF(G3019&lt;18,'General Basis'!$C$39,IF(G3019&lt;41,'General Basis'!$C$40,IF(G3019&lt;60,'General Basis'!$C$41,IF(G3019&lt;65,'General Basis'!$C$42,'General Basis'!$C$43)))),IF(G3019&lt;11,'General Basis'!$B$39,IF(G3019&lt;18,'General Basis'!$B$40,IF(G3019&lt;26,'General Basis'!$B$41,IF(G3019&lt;31,'General Basis'!$B$42,IF(G3019&lt;36,'General Basis'!$B$43,IF(G3019&lt;41,'General Basis'!$B$44,IF(G3019&lt;46,'General Basis'!$B$45,IF(G3019&lt;51,'General Basis'!$B$46,IF(G3019&lt;56,'General Basis'!$B$47,IF(G3019&lt;60,'General Basis'!$B$48,IF(G3019&lt;65,'General Basis'!$B$49,'General Basis'!$B$50)))))))))))))</f>
        <v/>
      </c>
      <c r="BI3019" s="744" t="str">
        <f t="shared" si="1061"/>
        <v/>
      </c>
      <c r="BJ3019" s="747" t="str">
        <f t="shared" si="1068"/>
        <v/>
      </c>
      <c r="BK3019" s="498" t="str">
        <f t="shared" si="1062"/>
        <v/>
      </c>
      <c r="BL3019" s="498" t="str">
        <f t="shared" si="1063"/>
        <v/>
      </c>
    </row>
    <row r="3020" spans="1:64" x14ac:dyDescent="0.25">
      <c r="A3020" s="762">
        <f t="shared" si="1064"/>
        <v>3015</v>
      </c>
      <c r="B3020" s="229"/>
      <c r="C3020" s="223"/>
      <c r="D3020" s="224"/>
      <c r="E3020" s="225"/>
      <c r="F3020" s="1036" t="str">
        <f t="shared" si="1048"/>
        <v/>
      </c>
      <c r="G3020" s="1037" t="str">
        <f t="shared" si="1065"/>
        <v/>
      </c>
      <c r="H3020" s="225"/>
      <c r="I3020" s="1013"/>
      <c r="J3020" s="1013"/>
      <c r="K3020" s="1028"/>
      <c r="L3020" s="1035" t="str">
        <f t="shared" si="1069"/>
        <v/>
      </c>
      <c r="S3020" s="498"/>
      <c r="AJ3020" s="498"/>
      <c r="AM3020" s="498">
        <f t="shared" si="1050"/>
        <v>0</v>
      </c>
      <c r="AN3020" s="498">
        <f t="shared" si="1051"/>
        <v>0</v>
      </c>
      <c r="AO3020" s="498">
        <f t="shared" si="1052"/>
        <v>0</v>
      </c>
      <c r="AP3020" s="498">
        <f t="shared" si="1049"/>
        <v>0</v>
      </c>
      <c r="AQ3020" s="498">
        <f t="shared" si="1066"/>
        <v>0</v>
      </c>
      <c r="AU3020" s="498">
        <f t="shared" si="1053"/>
        <v>0</v>
      </c>
      <c r="AV3020" s="498">
        <f t="shared" si="1054"/>
        <v>0</v>
      </c>
      <c r="AW3020" s="498">
        <f t="shared" si="1055"/>
        <v>0</v>
      </c>
      <c r="AX3020" s="498">
        <f t="shared" si="1056"/>
        <v>0</v>
      </c>
      <c r="AY3020" s="498">
        <f t="shared" si="1057"/>
        <v>0</v>
      </c>
      <c r="BB3020" s="498" t="str">
        <f t="shared" si="1058"/>
        <v/>
      </c>
      <c r="BC3020" s="743" t="str">
        <f t="shared" si="1059"/>
        <v/>
      </c>
      <c r="BD3020" s="743" t="str">
        <f t="shared" si="1060"/>
        <v/>
      </c>
      <c r="BE3020" s="743" t="str">
        <f>IF(D3020="","",VLOOKUP(D3020,'General Basis'!$J$39:$K$46,2,0))</f>
        <v/>
      </c>
      <c r="BF3020" s="744" t="str">
        <f>IF(D3020="","",VLOOKUP(D3020,'General Basis'!$J$39:$L$46,3,0))</f>
        <v/>
      </c>
      <c r="BG3020" s="744" t="str">
        <f t="shared" si="1067"/>
        <v/>
      </c>
      <c r="BH3020" s="744" t="str">
        <f>IF(G3020="","",IF(BF3020="Abu Dhabi",IF(G3020&lt;18,'General Basis'!$C$39,IF(G3020&lt;41,'General Basis'!$C$40,IF(G3020&lt;60,'General Basis'!$C$41,IF(G3020&lt;65,'General Basis'!$C$42,'General Basis'!$C$43)))),IF(G3020&lt;11,'General Basis'!$B$39,IF(G3020&lt;18,'General Basis'!$B$40,IF(G3020&lt;26,'General Basis'!$B$41,IF(G3020&lt;31,'General Basis'!$B$42,IF(G3020&lt;36,'General Basis'!$B$43,IF(G3020&lt;41,'General Basis'!$B$44,IF(G3020&lt;46,'General Basis'!$B$45,IF(G3020&lt;51,'General Basis'!$B$46,IF(G3020&lt;56,'General Basis'!$B$47,IF(G3020&lt;60,'General Basis'!$B$48,IF(G3020&lt;65,'General Basis'!$B$49,'General Basis'!$B$50)))))))))))))</f>
        <v/>
      </c>
      <c r="BI3020" s="744" t="str">
        <f t="shared" si="1061"/>
        <v/>
      </c>
      <c r="BJ3020" s="747" t="str">
        <f t="shared" si="1068"/>
        <v/>
      </c>
      <c r="BK3020" s="498" t="str">
        <f t="shared" si="1062"/>
        <v/>
      </c>
      <c r="BL3020" s="498" t="str">
        <f t="shared" si="1063"/>
        <v/>
      </c>
    </row>
    <row r="3021" spans="1:64" x14ac:dyDescent="0.25">
      <c r="A3021" s="762">
        <f t="shared" si="1064"/>
        <v>3016</v>
      </c>
      <c r="B3021" s="229"/>
      <c r="C3021" s="223"/>
      <c r="D3021" s="224"/>
      <c r="E3021" s="225"/>
      <c r="F3021" s="1036" t="str">
        <f t="shared" si="1048"/>
        <v/>
      </c>
      <c r="G3021" s="1037" t="str">
        <f t="shared" si="1065"/>
        <v/>
      </c>
      <c r="H3021" s="225"/>
      <c r="I3021" s="1013"/>
      <c r="J3021" s="1013"/>
      <c r="K3021" s="1028"/>
      <c r="L3021" s="1035" t="str">
        <f t="shared" si="1069"/>
        <v/>
      </c>
      <c r="S3021" s="498"/>
      <c r="AJ3021" s="498"/>
      <c r="AM3021" s="498">
        <f t="shared" si="1050"/>
        <v>0</v>
      </c>
      <c r="AN3021" s="498">
        <f t="shared" si="1051"/>
        <v>0</v>
      </c>
      <c r="AO3021" s="498">
        <f t="shared" si="1052"/>
        <v>0</v>
      </c>
      <c r="AP3021" s="498">
        <f t="shared" si="1049"/>
        <v>0</v>
      </c>
      <c r="AQ3021" s="498">
        <f t="shared" si="1066"/>
        <v>0</v>
      </c>
      <c r="AU3021" s="498">
        <f t="shared" si="1053"/>
        <v>0</v>
      </c>
      <c r="AV3021" s="498">
        <f t="shared" si="1054"/>
        <v>0</v>
      </c>
      <c r="AW3021" s="498">
        <f t="shared" si="1055"/>
        <v>0</v>
      </c>
      <c r="AX3021" s="498">
        <f t="shared" si="1056"/>
        <v>0</v>
      </c>
      <c r="AY3021" s="498">
        <f t="shared" si="1057"/>
        <v>0</v>
      </c>
      <c r="BB3021" s="498" t="str">
        <f t="shared" si="1058"/>
        <v/>
      </c>
      <c r="BC3021" s="743" t="str">
        <f t="shared" si="1059"/>
        <v/>
      </c>
      <c r="BD3021" s="743" t="str">
        <f t="shared" si="1060"/>
        <v/>
      </c>
      <c r="BE3021" s="743" t="str">
        <f>IF(D3021="","",VLOOKUP(D3021,'General Basis'!$J$39:$K$46,2,0))</f>
        <v/>
      </c>
      <c r="BF3021" s="744" t="str">
        <f>IF(D3021="","",VLOOKUP(D3021,'General Basis'!$J$39:$L$46,3,0))</f>
        <v/>
      </c>
      <c r="BG3021" s="744" t="str">
        <f t="shared" si="1067"/>
        <v/>
      </c>
      <c r="BH3021" s="744" t="str">
        <f>IF(G3021="","",IF(BF3021="Abu Dhabi",IF(G3021&lt;18,'General Basis'!$C$39,IF(G3021&lt;41,'General Basis'!$C$40,IF(G3021&lt;60,'General Basis'!$C$41,IF(G3021&lt;65,'General Basis'!$C$42,'General Basis'!$C$43)))),IF(G3021&lt;11,'General Basis'!$B$39,IF(G3021&lt;18,'General Basis'!$B$40,IF(G3021&lt;26,'General Basis'!$B$41,IF(G3021&lt;31,'General Basis'!$B$42,IF(G3021&lt;36,'General Basis'!$B$43,IF(G3021&lt;41,'General Basis'!$B$44,IF(G3021&lt;46,'General Basis'!$B$45,IF(G3021&lt;51,'General Basis'!$B$46,IF(G3021&lt;56,'General Basis'!$B$47,IF(G3021&lt;60,'General Basis'!$B$48,IF(G3021&lt;65,'General Basis'!$B$49,'General Basis'!$B$50)))))))))))))</f>
        <v/>
      </c>
      <c r="BI3021" s="744" t="str">
        <f t="shared" si="1061"/>
        <v/>
      </c>
      <c r="BJ3021" s="747" t="str">
        <f t="shared" si="1068"/>
        <v/>
      </c>
      <c r="BK3021" s="498" t="str">
        <f t="shared" si="1062"/>
        <v/>
      </c>
      <c r="BL3021" s="498" t="str">
        <f t="shared" si="1063"/>
        <v/>
      </c>
    </row>
    <row r="3022" spans="1:64" x14ac:dyDescent="0.25">
      <c r="A3022" s="762">
        <f t="shared" si="1064"/>
        <v>3017</v>
      </c>
      <c r="B3022" s="229"/>
      <c r="C3022" s="223"/>
      <c r="D3022" s="224"/>
      <c r="E3022" s="225"/>
      <c r="F3022" s="1036" t="str">
        <f t="shared" si="1048"/>
        <v/>
      </c>
      <c r="G3022" s="1037" t="str">
        <f t="shared" si="1065"/>
        <v/>
      </c>
      <c r="H3022" s="225"/>
      <c r="I3022" s="1013"/>
      <c r="J3022" s="1013"/>
      <c r="K3022" s="1028"/>
      <c r="L3022" s="1035" t="str">
        <f t="shared" si="1069"/>
        <v/>
      </c>
      <c r="S3022" s="498"/>
      <c r="AJ3022" s="498"/>
      <c r="AM3022" s="498">
        <f t="shared" si="1050"/>
        <v>0</v>
      </c>
      <c r="AN3022" s="498">
        <f t="shared" si="1051"/>
        <v>0</v>
      </c>
      <c r="AO3022" s="498">
        <f t="shared" si="1052"/>
        <v>0</v>
      </c>
      <c r="AP3022" s="498">
        <f t="shared" si="1049"/>
        <v>0</v>
      </c>
      <c r="AQ3022" s="498">
        <f t="shared" si="1066"/>
        <v>0</v>
      </c>
      <c r="AU3022" s="498">
        <f t="shared" si="1053"/>
        <v>0</v>
      </c>
      <c r="AV3022" s="498">
        <f t="shared" si="1054"/>
        <v>0</v>
      </c>
      <c r="AW3022" s="498">
        <f t="shared" si="1055"/>
        <v>0</v>
      </c>
      <c r="AX3022" s="498">
        <f t="shared" si="1056"/>
        <v>0</v>
      </c>
      <c r="AY3022" s="498">
        <f t="shared" si="1057"/>
        <v>0</v>
      </c>
      <c r="BB3022" s="498" t="str">
        <f t="shared" si="1058"/>
        <v/>
      </c>
      <c r="BC3022" s="743" t="str">
        <f t="shared" si="1059"/>
        <v/>
      </c>
      <c r="BD3022" s="743" t="str">
        <f t="shared" si="1060"/>
        <v/>
      </c>
      <c r="BE3022" s="743" t="str">
        <f>IF(D3022="","",VLOOKUP(D3022,'General Basis'!$J$39:$K$46,2,0))</f>
        <v/>
      </c>
      <c r="BF3022" s="744" t="str">
        <f>IF(D3022="","",VLOOKUP(D3022,'General Basis'!$J$39:$L$46,3,0))</f>
        <v/>
      </c>
      <c r="BG3022" s="744" t="str">
        <f t="shared" si="1067"/>
        <v/>
      </c>
      <c r="BH3022" s="744" t="str">
        <f>IF(G3022="","",IF(BF3022="Abu Dhabi",IF(G3022&lt;18,'General Basis'!$C$39,IF(G3022&lt;41,'General Basis'!$C$40,IF(G3022&lt;60,'General Basis'!$C$41,IF(G3022&lt;65,'General Basis'!$C$42,'General Basis'!$C$43)))),IF(G3022&lt;11,'General Basis'!$B$39,IF(G3022&lt;18,'General Basis'!$B$40,IF(G3022&lt;26,'General Basis'!$B$41,IF(G3022&lt;31,'General Basis'!$B$42,IF(G3022&lt;36,'General Basis'!$B$43,IF(G3022&lt;41,'General Basis'!$B$44,IF(G3022&lt;46,'General Basis'!$B$45,IF(G3022&lt;51,'General Basis'!$B$46,IF(G3022&lt;56,'General Basis'!$B$47,IF(G3022&lt;60,'General Basis'!$B$48,IF(G3022&lt;65,'General Basis'!$B$49,'General Basis'!$B$50)))))))))))))</f>
        <v/>
      </c>
      <c r="BI3022" s="744" t="str">
        <f t="shared" si="1061"/>
        <v/>
      </c>
      <c r="BJ3022" s="747" t="str">
        <f t="shared" si="1068"/>
        <v/>
      </c>
      <c r="BK3022" s="498" t="str">
        <f t="shared" si="1062"/>
        <v/>
      </c>
      <c r="BL3022" s="498" t="str">
        <f t="shared" si="1063"/>
        <v/>
      </c>
    </row>
    <row r="3023" spans="1:64" x14ac:dyDescent="0.25">
      <c r="A3023" s="762">
        <f t="shared" si="1064"/>
        <v>3018</v>
      </c>
      <c r="B3023" s="229"/>
      <c r="C3023" s="223"/>
      <c r="D3023" s="224"/>
      <c r="E3023" s="225"/>
      <c r="F3023" s="1036" t="str">
        <f t="shared" si="1048"/>
        <v/>
      </c>
      <c r="G3023" s="1037" t="str">
        <f t="shared" si="1065"/>
        <v/>
      </c>
      <c r="H3023" s="225"/>
      <c r="I3023" s="1013"/>
      <c r="J3023" s="1013"/>
      <c r="K3023" s="1028"/>
      <c r="L3023" s="1035" t="str">
        <f t="shared" si="1069"/>
        <v/>
      </c>
      <c r="S3023" s="498"/>
      <c r="AJ3023" s="498"/>
      <c r="AM3023" s="498">
        <f t="shared" si="1050"/>
        <v>0</v>
      </c>
      <c r="AN3023" s="498">
        <f t="shared" si="1051"/>
        <v>0</v>
      </c>
      <c r="AO3023" s="498">
        <f t="shared" si="1052"/>
        <v>0</v>
      </c>
      <c r="AP3023" s="498">
        <f t="shared" si="1049"/>
        <v>0</v>
      </c>
      <c r="AQ3023" s="498">
        <f t="shared" si="1066"/>
        <v>0</v>
      </c>
      <c r="AU3023" s="498">
        <f t="shared" si="1053"/>
        <v>0</v>
      </c>
      <c r="AV3023" s="498">
        <f t="shared" si="1054"/>
        <v>0</v>
      </c>
      <c r="AW3023" s="498">
        <f t="shared" si="1055"/>
        <v>0</v>
      </c>
      <c r="AX3023" s="498">
        <f t="shared" si="1056"/>
        <v>0</v>
      </c>
      <c r="AY3023" s="498">
        <f t="shared" si="1057"/>
        <v>0</v>
      </c>
      <c r="BB3023" s="498" t="str">
        <f t="shared" si="1058"/>
        <v/>
      </c>
      <c r="BC3023" s="743" t="str">
        <f t="shared" si="1059"/>
        <v/>
      </c>
      <c r="BD3023" s="743" t="str">
        <f t="shared" si="1060"/>
        <v/>
      </c>
      <c r="BE3023" s="743" t="str">
        <f>IF(D3023="","",VLOOKUP(D3023,'General Basis'!$J$39:$K$46,2,0))</f>
        <v/>
      </c>
      <c r="BF3023" s="744" t="str">
        <f>IF(D3023="","",VLOOKUP(D3023,'General Basis'!$J$39:$L$46,3,0))</f>
        <v/>
      </c>
      <c r="BG3023" s="744" t="str">
        <f t="shared" si="1067"/>
        <v/>
      </c>
      <c r="BH3023" s="744" t="str">
        <f>IF(G3023="","",IF(BF3023="Abu Dhabi",IF(G3023&lt;18,'General Basis'!$C$39,IF(G3023&lt;41,'General Basis'!$C$40,IF(G3023&lt;60,'General Basis'!$C$41,IF(G3023&lt;65,'General Basis'!$C$42,'General Basis'!$C$43)))),IF(G3023&lt;11,'General Basis'!$B$39,IF(G3023&lt;18,'General Basis'!$B$40,IF(G3023&lt;26,'General Basis'!$B$41,IF(G3023&lt;31,'General Basis'!$B$42,IF(G3023&lt;36,'General Basis'!$B$43,IF(G3023&lt;41,'General Basis'!$B$44,IF(G3023&lt;46,'General Basis'!$B$45,IF(G3023&lt;51,'General Basis'!$B$46,IF(G3023&lt;56,'General Basis'!$B$47,IF(G3023&lt;60,'General Basis'!$B$48,IF(G3023&lt;65,'General Basis'!$B$49,'General Basis'!$B$50)))))))))))))</f>
        <v/>
      </c>
      <c r="BI3023" s="744" t="str">
        <f t="shared" si="1061"/>
        <v/>
      </c>
      <c r="BJ3023" s="747" t="str">
        <f t="shared" si="1068"/>
        <v/>
      </c>
      <c r="BK3023" s="498" t="str">
        <f t="shared" si="1062"/>
        <v/>
      </c>
      <c r="BL3023" s="498" t="str">
        <f t="shared" si="1063"/>
        <v/>
      </c>
    </row>
    <row r="3024" spans="1:64" x14ac:dyDescent="0.25">
      <c r="A3024" s="762">
        <f t="shared" si="1064"/>
        <v>3019</v>
      </c>
      <c r="B3024" s="229"/>
      <c r="C3024" s="223"/>
      <c r="D3024" s="224"/>
      <c r="E3024" s="225"/>
      <c r="F3024" s="1036" t="str">
        <f t="shared" ref="F3024:F3087" si="1070">IF(C3024="","",IF($B3024="","",((YEAR($F$3)-YEAR($B3024))+(MONTH($F$3)-MONTH($B3024))/12+(DAY($F$3)-DAY($B3024))/(DATE(YEAR($F$3),12,31)-DATE(YEAR($F$3),1,1)+1))))</f>
        <v/>
      </c>
      <c r="G3024" s="1037" t="str">
        <f t="shared" si="1065"/>
        <v/>
      </c>
      <c r="H3024" s="225"/>
      <c r="I3024" s="1013"/>
      <c r="J3024" s="1013"/>
      <c r="K3024" s="1028"/>
      <c r="L3024" s="1035" t="str">
        <f t="shared" si="1069"/>
        <v/>
      </c>
      <c r="S3024" s="498"/>
      <c r="AJ3024" s="498"/>
      <c r="AM3024" s="498">
        <f t="shared" si="1050"/>
        <v>0</v>
      </c>
      <c r="AN3024" s="498">
        <f t="shared" si="1051"/>
        <v>0</v>
      </c>
      <c r="AO3024" s="498">
        <f t="shared" si="1052"/>
        <v>0</v>
      </c>
      <c r="AP3024" s="498">
        <f t="shared" si="1049"/>
        <v>0</v>
      </c>
      <c r="AQ3024" s="498">
        <f t="shared" si="1066"/>
        <v>0</v>
      </c>
      <c r="AU3024" s="498">
        <f t="shared" si="1053"/>
        <v>0</v>
      </c>
      <c r="AV3024" s="498">
        <f t="shared" si="1054"/>
        <v>0</v>
      </c>
      <c r="AW3024" s="498">
        <f t="shared" si="1055"/>
        <v>0</v>
      </c>
      <c r="AX3024" s="498">
        <f t="shared" si="1056"/>
        <v>0</v>
      </c>
      <c r="AY3024" s="498">
        <f t="shared" si="1057"/>
        <v>0</v>
      </c>
      <c r="BB3024" s="498" t="str">
        <f t="shared" si="1058"/>
        <v/>
      </c>
      <c r="BC3024" s="743" t="str">
        <f t="shared" si="1059"/>
        <v/>
      </c>
      <c r="BD3024" s="743" t="str">
        <f t="shared" si="1060"/>
        <v/>
      </c>
      <c r="BE3024" s="743" t="str">
        <f>IF(D3024="","",VLOOKUP(D3024,'General Basis'!$J$39:$K$46,2,0))</f>
        <v/>
      </c>
      <c r="BF3024" s="744" t="str">
        <f>IF(D3024="","",VLOOKUP(D3024,'General Basis'!$J$39:$L$46,3,0))</f>
        <v/>
      </c>
      <c r="BG3024" s="744" t="str">
        <f t="shared" si="1067"/>
        <v/>
      </c>
      <c r="BH3024" s="744" t="str">
        <f>IF(G3024="","",IF(BF3024="Abu Dhabi",IF(G3024&lt;18,'General Basis'!$C$39,IF(G3024&lt;41,'General Basis'!$C$40,IF(G3024&lt;60,'General Basis'!$C$41,IF(G3024&lt;65,'General Basis'!$C$42,'General Basis'!$C$43)))),IF(G3024&lt;11,'General Basis'!$B$39,IF(G3024&lt;18,'General Basis'!$B$40,IF(G3024&lt;26,'General Basis'!$B$41,IF(G3024&lt;31,'General Basis'!$B$42,IF(G3024&lt;36,'General Basis'!$B$43,IF(G3024&lt;41,'General Basis'!$B$44,IF(G3024&lt;46,'General Basis'!$B$45,IF(G3024&lt;51,'General Basis'!$B$46,IF(G3024&lt;56,'General Basis'!$B$47,IF(G3024&lt;60,'General Basis'!$B$48,IF(G3024&lt;65,'General Basis'!$B$49,'General Basis'!$B$50)))))))))))))</f>
        <v/>
      </c>
      <c r="BI3024" s="744" t="str">
        <f t="shared" si="1061"/>
        <v/>
      </c>
      <c r="BJ3024" s="747" t="str">
        <f t="shared" si="1068"/>
        <v/>
      </c>
      <c r="BK3024" s="498" t="str">
        <f t="shared" si="1062"/>
        <v/>
      </c>
      <c r="BL3024" s="498" t="str">
        <f t="shared" si="1063"/>
        <v/>
      </c>
    </row>
    <row r="3025" spans="1:64" x14ac:dyDescent="0.25">
      <c r="A3025" s="762">
        <f t="shared" si="1064"/>
        <v>3020</v>
      </c>
      <c r="B3025" s="229"/>
      <c r="C3025" s="223"/>
      <c r="D3025" s="224"/>
      <c r="E3025" s="225"/>
      <c r="F3025" s="1036" t="str">
        <f t="shared" si="1070"/>
        <v/>
      </c>
      <c r="G3025" s="1037" t="str">
        <f t="shared" si="1065"/>
        <v/>
      </c>
      <c r="H3025" s="225"/>
      <c r="I3025" s="1013"/>
      <c r="J3025" s="1013"/>
      <c r="K3025" s="1028"/>
      <c r="L3025" s="1035" t="str">
        <f t="shared" si="1069"/>
        <v/>
      </c>
      <c r="S3025" s="498"/>
      <c r="AJ3025" s="498"/>
      <c r="AM3025" s="498">
        <f t="shared" si="1050"/>
        <v>0</v>
      </c>
      <c r="AN3025" s="498">
        <f t="shared" si="1051"/>
        <v>0</v>
      </c>
      <c r="AO3025" s="498">
        <f t="shared" si="1052"/>
        <v>0</v>
      </c>
      <c r="AP3025" s="498">
        <f t="shared" si="1049"/>
        <v>0</v>
      </c>
      <c r="AQ3025" s="498">
        <f t="shared" si="1066"/>
        <v>0</v>
      </c>
      <c r="AU3025" s="498">
        <f t="shared" si="1053"/>
        <v>0</v>
      </c>
      <c r="AV3025" s="498">
        <f t="shared" si="1054"/>
        <v>0</v>
      </c>
      <c r="AW3025" s="498">
        <f t="shared" si="1055"/>
        <v>0</v>
      </c>
      <c r="AX3025" s="498">
        <f t="shared" si="1056"/>
        <v>0</v>
      </c>
      <c r="AY3025" s="498">
        <f t="shared" si="1057"/>
        <v>0</v>
      </c>
      <c r="BB3025" s="498" t="str">
        <f t="shared" si="1058"/>
        <v/>
      </c>
      <c r="BC3025" s="743" t="str">
        <f t="shared" si="1059"/>
        <v/>
      </c>
      <c r="BD3025" s="743" t="str">
        <f t="shared" si="1060"/>
        <v/>
      </c>
      <c r="BE3025" s="743" t="str">
        <f>IF(D3025="","",VLOOKUP(D3025,'General Basis'!$J$39:$K$46,2,0))</f>
        <v/>
      </c>
      <c r="BF3025" s="744" t="str">
        <f>IF(D3025="","",VLOOKUP(D3025,'General Basis'!$J$39:$L$46,3,0))</f>
        <v/>
      </c>
      <c r="BG3025" s="744" t="str">
        <f t="shared" si="1067"/>
        <v/>
      </c>
      <c r="BH3025" s="744" t="str">
        <f>IF(G3025="","",IF(BF3025="Abu Dhabi",IF(G3025&lt;18,'General Basis'!$C$39,IF(G3025&lt;41,'General Basis'!$C$40,IF(G3025&lt;60,'General Basis'!$C$41,IF(G3025&lt;65,'General Basis'!$C$42,'General Basis'!$C$43)))),IF(G3025&lt;11,'General Basis'!$B$39,IF(G3025&lt;18,'General Basis'!$B$40,IF(G3025&lt;26,'General Basis'!$B$41,IF(G3025&lt;31,'General Basis'!$B$42,IF(G3025&lt;36,'General Basis'!$B$43,IF(G3025&lt;41,'General Basis'!$B$44,IF(G3025&lt;46,'General Basis'!$B$45,IF(G3025&lt;51,'General Basis'!$B$46,IF(G3025&lt;56,'General Basis'!$B$47,IF(G3025&lt;60,'General Basis'!$B$48,IF(G3025&lt;65,'General Basis'!$B$49,'General Basis'!$B$50)))))))))))))</f>
        <v/>
      </c>
      <c r="BI3025" s="744" t="str">
        <f t="shared" si="1061"/>
        <v/>
      </c>
      <c r="BJ3025" s="747" t="str">
        <f t="shared" si="1068"/>
        <v/>
      </c>
      <c r="BK3025" s="498" t="str">
        <f t="shared" si="1062"/>
        <v/>
      </c>
      <c r="BL3025" s="498" t="str">
        <f t="shared" si="1063"/>
        <v/>
      </c>
    </row>
    <row r="3026" spans="1:64" x14ac:dyDescent="0.25">
      <c r="A3026" s="762">
        <f t="shared" si="1064"/>
        <v>3021</v>
      </c>
      <c r="B3026" s="229"/>
      <c r="C3026" s="223"/>
      <c r="D3026" s="224"/>
      <c r="E3026" s="225"/>
      <c r="F3026" s="1036" t="str">
        <f t="shared" si="1070"/>
        <v/>
      </c>
      <c r="G3026" s="1037" t="str">
        <f t="shared" si="1065"/>
        <v/>
      </c>
      <c r="H3026" s="225"/>
      <c r="I3026" s="1013"/>
      <c r="J3026" s="1013"/>
      <c r="K3026" s="1028"/>
      <c r="L3026" s="1035" t="str">
        <f t="shared" si="1069"/>
        <v/>
      </c>
      <c r="S3026" s="498"/>
      <c r="AJ3026" s="498"/>
      <c r="AM3026" s="498">
        <f t="shared" si="1050"/>
        <v>0</v>
      </c>
      <c r="AN3026" s="498">
        <f t="shared" si="1051"/>
        <v>0</v>
      </c>
      <c r="AO3026" s="498">
        <f t="shared" si="1052"/>
        <v>0</v>
      </c>
      <c r="AP3026" s="498">
        <f t="shared" si="1049"/>
        <v>0</v>
      </c>
      <c r="AQ3026" s="498">
        <f t="shared" si="1066"/>
        <v>0</v>
      </c>
      <c r="AU3026" s="498">
        <f t="shared" si="1053"/>
        <v>0</v>
      </c>
      <c r="AV3026" s="498">
        <f t="shared" si="1054"/>
        <v>0</v>
      </c>
      <c r="AW3026" s="498">
        <f t="shared" si="1055"/>
        <v>0</v>
      </c>
      <c r="AX3026" s="498">
        <f t="shared" si="1056"/>
        <v>0</v>
      </c>
      <c r="AY3026" s="498">
        <f t="shared" si="1057"/>
        <v>0</v>
      </c>
      <c r="BB3026" s="498" t="str">
        <f t="shared" si="1058"/>
        <v/>
      </c>
      <c r="BC3026" s="743" t="str">
        <f t="shared" si="1059"/>
        <v/>
      </c>
      <c r="BD3026" s="743" t="str">
        <f t="shared" si="1060"/>
        <v/>
      </c>
      <c r="BE3026" s="743" t="str">
        <f>IF(D3026="","",VLOOKUP(D3026,'General Basis'!$J$39:$K$46,2,0))</f>
        <v/>
      </c>
      <c r="BF3026" s="744" t="str">
        <f>IF(D3026="","",VLOOKUP(D3026,'General Basis'!$J$39:$L$46,3,0))</f>
        <v/>
      </c>
      <c r="BG3026" s="744" t="str">
        <f t="shared" si="1067"/>
        <v/>
      </c>
      <c r="BH3026" s="744" t="str">
        <f>IF(G3026="","",IF(BF3026="Abu Dhabi",IF(G3026&lt;18,'General Basis'!$C$39,IF(G3026&lt;41,'General Basis'!$C$40,IF(G3026&lt;60,'General Basis'!$C$41,IF(G3026&lt;65,'General Basis'!$C$42,'General Basis'!$C$43)))),IF(G3026&lt;11,'General Basis'!$B$39,IF(G3026&lt;18,'General Basis'!$B$40,IF(G3026&lt;26,'General Basis'!$B$41,IF(G3026&lt;31,'General Basis'!$B$42,IF(G3026&lt;36,'General Basis'!$B$43,IF(G3026&lt;41,'General Basis'!$B$44,IF(G3026&lt;46,'General Basis'!$B$45,IF(G3026&lt;51,'General Basis'!$B$46,IF(G3026&lt;56,'General Basis'!$B$47,IF(G3026&lt;60,'General Basis'!$B$48,IF(G3026&lt;65,'General Basis'!$B$49,'General Basis'!$B$50)))))))))))))</f>
        <v/>
      </c>
      <c r="BI3026" s="744" t="str">
        <f t="shared" si="1061"/>
        <v/>
      </c>
      <c r="BJ3026" s="747" t="str">
        <f t="shared" si="1068"/>
        <v/>
      </c>
      <c r="BK3026" s="498" t="str">
        <f t="shared" si="1062"/>
        <v/>
      </c>
      <c r="BL3026" s="498" t="str">
        <f t="shared" si="1063"/>
        <v/>
      </c>
    </row>
    <row r="3027" spans="1:64" x14ac:dyDescent="0.25">
      <c r="A3027" s="762">
        <f t="shared" si="1064"/>
        <v>3022</v>
      </c>
      <c r="B3027" s="229"/>
      <c r="C3027" s="223"/>
      <c r="D3027" s="224"/>
      <c r="E3027" s="225"/>
      <c r="F3027" s="1036" t="str">
        <f t="shared" si="1070"/>
        <v/>
      </c>
      <c r="G3027" s="1037" t="str">
        <f t="shared" si="1065"/>
        <v/>
      </c>
      <c r="H3027" s="225"/>
      <c r="I3027" s="1013"/>
      <c r="J3027" s="1013"/>
      <c r="K3027" s="1028"/>
      <c r="L3027" s="1035" t="str">
        <f t="shared" si="1069"/>
        <v/>
      </c>
      <c r="S3027" s="498"/>
      <c r="AJ3027" s="498"/>
      <c r="AM3027" s="498">
        <f t="shared" si="1050"/>
        <v>0</v>
      </c>
      <c r="AN3027" s="498">
        <f t="shared" si="1051"/>
        <v>0</v>
      </c>
      <c r="AO3027" s="498">
        <f t="shared" si="1052"/>
        <v>0</v>
      </c>
      <c r="AP3027" s="498">
        <f t="shared" ref="AP3027:AP3090" si="1071">IF(ISBLANK($B3027),0,IF(OR($C3027="M",$C3027="F"),0,1))</f>
        <v>0</v>
      </c>
      <c r="AQ3027" s="498">
        <f t="shared" si="1066"/>
        <v>0</v>
      </c>
      <c r="AU3027" s="498">
        <f t="shared" si="1053"/>
        <v>0</v>
      </c>
      <c r="AV3027" s="498">
        <f t="shared" si="1054"/>
        <v>0</v>
      </c>
      <c r="AW3027" s="498">
        <f t="shared" si="1055"/>
        <v>0</v>
      </c>
      <c r="AX3027" s="498">
        <f t="shared" si="1056"/>
        <v>0</v>
      </c>
      <c r="AY3027" s="498">
        <f t="shared" si="1057"/>
        <v>0</v>
      </c>
      <c r="BB3027" s="498" t="str">
        <f t="shared" si="1058"/>
        <v/>
      </c>
      <c r="BC3027" s="743" t="str">
        <f t="shared" si="1059"/>
        <v/>
      </c>
      <c r="BD3027" s="743" t="str">
        <f t="shared" si="1060"/>
        <v/>
      </c>
      <c r="BE3027" s="743" t="str">
        <f>IF(D3027="","",VLOOKUP(D3027,'General Basis'!$J$39:$K$46,2,0))</f>
        <v/>
      </c>
      <c r="BF3027" s="744" t="str">
        <f>IF(D3027="","",VLOOKUP(D3027,'General Basis'!$J$39:$L$46,3,0))</f>
        <v/>
      </c>
      <c r="BG3027" s="744" t="str">
        <f t="shared" si="1067"/>
        <v/>
      </c>
      <c r="BH3027" s="744" t="str">
        <f>IF(G3027="","",IF(BF3027="Abu Dhabi",IF(G3027&lt;18,'General Basis'!$C$39,IF(G3027&lt;41,'General Basis'!$C$40,IF(G3027&lt;60,'General Basis'!$C$41,IF(G3027&lt;65,'General Basis'!$C$42,'General Basis'!$C$43)))),IF(G3027&lt;11,'General Basis'!$B$39,IF(G3027&lt;18,'General Basis'!$B$40,IF(G3027&lt;26,'General Basis'!$B$41,IF(G3027&lt;31,'General Basis'!$B$42,IF(G3027&lt;36,'General Basis'!$B$43,IF(G3027&lt;41,'General Basis'!$B$44,IF(G3027&lt;46,'General Basis'!$B$45,IF(G3027&lt;51,'General Basis'!$B$46,IF(G3027&lt;56,'General Basis'!$B$47,IF(G3027&lt;60,'General Basis'!$B$48,IF(G3027&lt;65,'General Basis'!$B$49,'General Basis'!$B$50)))))))))))))</f>
        <v/>
      </c>
      <c r="BI3027" s="744" t="str">
        <f t="shared" si="1061"/>
        <v/>
      </c>
      <c r="BJ3027" s="747" t="str">
        <f t="shared" si="1068"/>
        <v/>
      </c>
      <c r="BK3027" s="498" t="str">
        <f t="shared" si="1062"/>
        <v/>
      </c>
      <c r="BL3027" s="498" t="str">
        <f t="shared" si="1063"/>
        <v/>
      </c>
    </row>
    <row r="3028" spans="1:64" x14ac:dyDescent="0.25">
      <c r="A3028" s="762">
        <f t="shared" si="1064"/>
        <v>3023</v>
      </c>
      <c r="B3028" s="229"/>
      <c r="C3028" s="223"/>
      <c r="D3028" s="224"/>
      <c r="E3028" s="225"/>
      <c r="F3028" s="1036" t="str">
        <f t="shared" si="1070"/>
        <v/>
      </c>
      <c r="G3028" s="1037" t="str">
        <f t="shared" si="1065"/>
        <v/>
      </c>
      <c r="H3028" s="225"/>
      <c r="I3028" s="1013"/>
      <c r="J3028" s="1013"/>
      <c r="K3028" s="1028"/>
      <c r="L3028" s="1035" t="str">
        <f t="shared" si="1069"/>
        <v/>
      </c>
      <c r="S3028" s="498"/>
      <c r="AJ3028" s="498"/>
      <c r="AM3028" s="498">
        <f t="shared" si="1050"/>
        <v>0</v>
      </c>
      <c r="AN3028" s="498">
        <f t="shared" si="1051"/>
        <v>0</v>
      </c>
      <c r="AO3028" s="498">
        <f t="shared" si="1052"/>
        <v>0</v>
      </c>
      <c r="AP3028" s="498">
        <f t="shared" si="1071"/>
        <v>0</v>
      </c>
      <c r="AQ3028" s="498">
        <f t="shared" si="1066"/>
        <v>0</v>
      </c>
      <c r="AU3028" s="498">
        <f t="shared" si="1053"/>
        <v>0</v>
      </c>
      <c r="AV3028" s="498">
        <f t="shared" si="1054"/>
        <v>0</v>
      </c>
      <c r="AW3028" s="498">
        <f t="shared" si="1055"/>
        <v>0</v>
      </c>
      <c r="AX3028" s="498">
        <f t="shared" si="1056"/>
        <v>0</v>
      </c>
      <c r="AY3028" s="498">
        <f t="shared" si="1057"/>
        <v>0</v>
      </c>
      <c r="BB3028" s="498" t="str">
        <f t="shared" si="1058"/>
        <v/>
      </c>
      <c r="BC3028" s="743" t="str">
        <f t="shared" si="1059"/>
        <v/>
      </c>
      <c r="BD3028" s="743" t="str">
        <f t="shared" si="1060"/>
        <v/>
      </c>
      <c r="BE3028" s="743" t="str">
        <f>IF(D3028="","",VLOOKUP(D3028,'General Basis'!$J$39:$K$46,2,0))</f>
        <v/>
      </c>
      <c r="BF3028" s="744" t="str">
        <f>IF(D3028="","",VLOOKUP(D3028,'General Basis'!$J$39:$L$46,3,0))</f>
        <v/>
      </c>
      <c r="BG3028" s="744" t="str">
        <f t="shared" si="1067"/>
        <v/>
      </c>
      <c r="BH3028" s="744" t="str">
        <f>IF(G3028="","",IF(BF3028="Abu Dhabi",IF(G3028&lt;18,'General Basis'!$C$39,IF(G3028&lt;41,'General Basis'!$C$40,IF(G3028&lt;60,'General Basis'!$C$41,IF(G3028&lt;65,'General Basis'!$C$42,'General Basis'!$C$43)))),IF(G3028&lt;11,'General Basis'!$B$39,IF(G3028&lt;18,'General Basis'!$B$40,IF(G3028&lt;26,'General Basis'!$B$41,IF(G3028&lt;31,'General Basis'!$B$42,IF(G3028&lt;36,'General Basis'!$B$43,IF(G3028&lt;41,'General Basis'!$B$44,IF(G3028&lt;46,'General Basis'!$B$45,IF(G3028&lt;51,'General Basis'!$B$46,IF(G3028&lt;56,'General Basis'!$B$47,IF(G3028&lt;60,'General Basis'!$B$48,IF(G3028&lt;65,'General Basis'!$B$49,'General Basis'!$B$50)))))))))))))</f>
        <v/>
      </c>
      <c r="BI3028" s="744" t="str">
        <f t="shared" si="1061"/>
        <v/>
      </c>
      <c r="BJ3028" s="747" t="str">
        <f t="shared" si="1068"/>
        <v/>
      </c>
      <c r="BK3028" s="498" t="str">
        <f t="shared" si="1062"/>
        <v/>
      </c>
      <c r="BL3028" s="498" t="str">
        <f t="shared" si="1063"/>
        <v/>
      </c>
    </row>
    <row r="3029" spans="1:64" x14ac:dyDescent="0.25">
      <c r="A3029" s="762">
        <f t="shared" si="1064"/>
        <v>3024</v>
      </c>
      <c r="B3029" s="229"/>
      <c r="C3029" s="223"/>
      <c r="D3029" s="224"/>
      <c r="E3029" s="225"/>
      <c r="F3029" s="1036" t="str">
        <f t="shared" si="1070"/>
        <v/>
      </c>
      <c r="G3029" s="1037" t="str">
        <f t="shared" si="1065"/>
        <v/>
      </c>
      <c r="H3029" s="225"/>
      <c r="I3029" s="1013"/>
      <c r="J3029" s="1013"/>
      <c r="K3029" s="1028"/>
      <c r="L3029" s="1035" t="str">
        <f t="shared" si="1069"/>
        <v/>
      </c>
      <c r="S3029" s="498"/>
      <c r="AJ3029" s="498"/>
      <c r="AM3029" s="498">
        <f t="shared" si="1050"/>
        <v>0</v>
      </c>
      <c r="AN3029" s="498">
        <f t="shared" si="1051"/>
        <v>0</v>
      </c>
      <c r="AO3029" s="498">
        <f t="shared" si="1052"/>
        <v>0</v>
      </c>
      <c r="AP3029" s="498">
        <f t="shared" si="1071"/>
        <v>0</v>
      </c>
      <c r="AQ3029" s="498">
        <f t="shared" si="1066"/>
        <v>0</v>
      </c>
      <c r="AU3029" s="498">
        <f t="shared" si="1053"/>
        <v>0</v>
      </c>
      <c r="AV3029" s="498">
        <f t="shared" si="1054"/>
        <v>0</v>
      </c>
      <c r="AW3029" s="498">
        <f t="shared" si="1055"/>
        <v>0</v>
      </c>
      <c r="AX3029" s="498">
        <f t="shared" si="1056"/>
        <v>0</v>
      </c>
      <c r="AY3029" s="498">
        <f t="shared" si="1057"/>
        <v>0</v>
      </c>
      <c r="BB3029" s="498" t="str">
        <f t="shared" si="1058"/>
        <v/>
      </c>
      <c r="BC3029" s="743" t="str">
        <f t="shared" si="1059"/>
        <v/>
      </c>
      <c r="BD3029" s="743" t="str">
        <f t="shared" si="1060"/>
        <v/>
      </c>
      <c r="BE3029" s="743" t="str">
        <f>IF(D3029="","",VLOOKUP(D3029,'General Basis'!$J$39:$K$46,2,0))</f>
        <v/>
      </c>
      <c r="BF3029" s="744" t="str">
        <f>IF(D3029="","",VLOOKUP(D3029,'General Basis'!$J$39:$L$46,3,0))</f>
        <v/>
      </c>
      <c r="BG3029" s="744" t="str">
        <f t="shared" si="1067"/>
        <v/>
      </c>
      <c r="BH3029" s="744" t="str">
        <f>IF(G3029="","",IF(BF3029="Abu Dhabi",IF(G3029&lt;18,'General Basis'!$C$39,IF(G3029&lt;41,'General Basis'!$C$40,IF(G3029&lt;60,'General Basis'!$C$41,IF(G3029&lt;65,'General Basis'!$C$42,'General Basis'!$C$43)))),IF(G3029&lt;11,'General Basis'!$B$39,IF(G3029&lt;18,'General Basis'!$B$40,IF(G3029&lt;26,'General Basis'!$B$41,IF(G3029&lt;31,'General Basis'!$B$42,IF(G3029&lt;36,'General Basis'!$B$43,IF(G3029&lt;41,'General Basis'!$B$44,IF(G3029&lt;46,'General Basis'!$B$45,IF(G3029&lt;51,'General Basis'!$B$46,IF(G3029&lt;56,'General Basis'!$B$47,IF(G3029&lt;60,'General Basis'!$B$48,IF(G3029&lt;65,'General Basis'!$B$49,'General Basis'!$B$50)))))))))))))</f>
        <v/>
      </c>
      <c r="BI3029" s="744" t="str">
        <f t="shared" si="1061"/>
        <v/>
      </c>
      <c r="BJ3029" s="747" t="str">
        <f t="shared" si="1068"/>
        <v/>
      </c>
      <c r="BK3029" s="498" t="str">
        <f t="shared" si="1062"/>
        <v/>
      </c>
      <c r="BL3029" s="498" t="str">
        <f t="shared" si="1063"/>
        <v/>
      </c>
    </row>
    <row r="3030" spans="1:64" x14ac:dyDescent="0.25">
      <c r="A3030" s="762">
        <f t="shared" si="1064"/>
        <v>3025</v>
      </c>
      <c r="B3030" s="229"/>
      <c r="C3030" s="223"/>
      <c r="D3030" s="224"/>
      <c r="E3030" s="225"/>
      <c r="F3030" s="1036" t="str">
        <f t="shared" si="1070"/>
        <v/>
      </c>
      <c r="G3030" s="1037" t="str">
        <f t="shared" si="1065"/>
        <v/>
      </c>
      <c r="H3030" s="225"/>
      <c r="I3030" s="1013"/>
      <c r="J3030" s="1013"/>
      <c r="K3030" s="1028"/>
      <c r="L3030" s="1035" t="str">
        <f t="shared" si="1069"/>
        <v/>
      </c>
      <c r="S3030" s="498"/>
      <c r="AJ3030" s="498"/>
      <c r="AM3030" s="498">
        <f t="shared" si="1050"/>
        <v>0</v>
      </c>
      <c r="AN3030" s="498">
        <f t="shared" si="1051"/>
        <v>0</v>
      </c>
      <c r="AO3030" s="498">
        <f t="shared" si="1052"/>
        <v>0</v>
      </c>
      <c r="AP3030" s="498">
        <f t="shared" si="1071"/>
        <v>0</v>
      </c>
      <c r="AQ3030" s="498">
        <f t="shared" si="1066"/>
        <v>0</v>
      </c>
      <c r="AU3030" s="498">
        <f t="shared" si="1053"/>
        <v>0</v>
      </c>
      <c r="AV3030" s="498">
        <f t="shared" si="1054"/>
        <v>0</v>
      </c>
      <c r="AW3030" s="498">
        <f t="shared" si="1055"/>
        <v>0</v>
      </c>
      <c r="AX3030" s="498">
        <f t="shared" si="1056"/>
        <v>0</v>
      </c>
      <c r="AY3030" s="498">
        <f t="shared" si="1057"/>
        <v>0</v>
      </c>
      <c r="BB3030" s="498" t="str">
        <f t="shared" si="1058"/>
        <v/>
      </c>
      <c r="BC3030" s="743" t="str">
        <f t="shared" si="1059"/>
        <v/>
      </c>
      <c r="BD3030" s="743" t="str">
        <f t="shared" si="1060"/>
        <v/>
      </c>
      <c r="BE3030" s="743" t="str">
        <f>IF(D3030="","",VLOOKUP(D3030,'General Basis'!$J$39:$K$46,2,0))</f>
        <v/>
      </c>
      <c r="BF3030" s="744" t="str">
        <f>IF(D3030="","",VLOOKUP(D3030,'General Basis'!$J$39:$L$46,3,0))</f>
        <v/>
      </c>
      <c r="BG3030" s="744" t="str">
        <f t="shared" si="1067"/>
        <v/>
      </c>
      <c r="BH3030" s="744" t="str">
        <f>IF(G3030="","",IF(BF3030="Abu Dhabi",IF(G3030&lt;18,'General Basis'!$C$39,IF(G3030&lt;41,'General Basis'!$C$40,IF(G3030&lt;60,'General Basis'!$C$41,IF(G3030&lt;65,'General Basis'!$C$42,'General Basis'!$C$43)))),IF(G3030&lt;11,'General Basis'!$B$39,IF(G3030&lt;18,'General Basis'!$B$40,IF(G3030&lt;26,'General Basis'!$B$41,IF(G3030&lt;31,'General Basis'!$B$42,IF(G3030&lt;36,'General Basis'!$B$43,IF(G3030&lt;41,'General Basis'!$B$44,IF(G3030&lt;46,'General Basis'!$B$45,IF(G3030&lt;51,'General Basis'!$B$46,IF(G3030&lt;56,'General Basis'!$B$47,IF(G3030&lt;60,'General Basis'!$B$48,IF(G3030&lt;65,'General Basis'!$B$49,'General Basis'!$B$50)))))))))))))</f>
        <v/>
      </c>
      <c r="BI3030" s="744" t="str">
        <f t="shared" si="1061"/>
        <v/>
      </c>
      <c r="BJ3030" s="747" t="str">
        <f t="shared" si="1068"/>
        <v/>
      </c>
      <c r="BK3030" s="498" t="str">
        <f t="shared" si="1062"/>
        <v/>
      </c>
      <c r="BL3030" s="498" t="str">
        <f t="shared" si="1063"/>
        <v/>
      </c>
    </row>
    <row r="3031" spans="1:64" x14ac:dyDescent="0.25">
      <c r="A3031" s="762">
        <f t="shared" si="1064"/>
        <v>3026</v>
      </c>
      <c r="B3031" s="229"/>
      <c r="C3031" s="223"/>
      <c r="D3031" s="224"/>
      <c r="E3031" s="225"/>
      <c r="F3031" s="1036" t="str">
        <f t="shared" si="1070"/>
        <v/>
      </c>
      <c r="G3031" s="1037" t="str">
        <f t="shared" si="1065"/>
        <v/>
      </c>
      <c r="H3031" s="225"/>
      <c r="I3031" s="1013"/>
      <c r="J3031" s="1013"/>
      <c r="K3031" s="1028"/>
      <c r="L3031" s="1035" t="str">
        <f t="shared" si="1069"/>
        <v/>
      </c>
      <c r="S3031" s="498"/>
      <c r="AJ3031" s="498"/>
      <c r="AM3031" s="498">
        <f t="shared" si="1050"/>
        <v>0</v>
      </c>
      <c r="AN3031" s="498">
        <f t="shared" si="1051"/>
        <v>0</v>
      </c>
      <c r="AO3031" s="498">
        <f t="shared" si="1052"/>
        <v>0</v>
      </c>
      <c r="AP3031" s="498">
        <f t="shared" si="1071"/>
        <v>0</v>
      </c>
      <c r="AQ3031" s="498">
        <f t="shared" si="1066"/>
        <v>0</v>
      </c>
      <c r="AU3031" s="498">
        <f t="shared" si="1053"/>
        <v>0</v>
      </c>
      <c r="AV3031" s="498">
        <f t="shared" si="1054"/>
        <v>0</v>
      </c>
      <c r="AW3031" s="498">
        <f t="shared" si="1055"/>
        <v>0</v>
      </c>
      <c r="AX3031" s="498">
        <f t="shared" si="1056"/>
        <v>0</v>
      </c>
      <c r="AY3031" s="498">
        <f t="shared" si="1057"/>
        <v>0</v>
      </c>
      <c r="BB3031" s="498" t="str">
        <f t="shared" si="1058"/>
        <v/>
      </c>
      <c r="BC3031" s="743" t="str">
        <f t="shared" si="1059"/>
        <v/>
      </c>
      <c r="BD3031" s="743" t="str">
        <f t="shared" si="1060"/>
        <v/>
      </c>
      <c r="BE3031" s="743" t="str">
        <f>IF(D3031="","",VLOOKUP(D3031,'General Basis'!$J$39:$K$46,2,0))</f>
        <v/>
      </c>
      <c r="BF3031" s="744" t="str">
        <f>IF(D3031="","",VLOOKUP(D3031,'General Basis'!$J$39:$L$46,3,0))</f>
        <v/>
      </c>
      <c r="BG3031" s="744" t="str">
        <f t="shared" si="1067"/>
        <v/>
      </c>
      <c r="BH3031" s="744" t="str">
        <f>IF(G3031="","",IF(BF3031="Abu Dhabi",IF(G3031&lt;18,'General Basis'!$C$39,IF(G3031&lt;41,'General Basis'!$C$40,IF(G3031&lt;60,'General Basis'!$C$41,IF(G3031&lt;65,'General Basis'!$C$42,'General Basis'!$C$43)))),IF(G3031&lt;11,'General Basis'!$B$39,IF(G3031&lt;18,'General Basis'!$B$40,IF(G3031&lt;26,'General Basis'!$B$41,IF(G3031&lt;31,'General Basis'!$B$42,IF(G3031&lt;36,'General Basis'!$B$43,IF(G3031&lt;41,'General Basis'!$B$44,IF(G3031&lt;46,'General Basis'!$B$45,IF(G3031&lt;51,'General Basis'!$B$46,IF(G3031&lt;56,'General Basis'!$B$47,IF(G3031&lt;60,'General Basis'!$B$48,IF(G3031&lt;65,'General Basis'!$B$49,'General Basis'!$B$50)))))))))))))</f>
        <v/>
      </c>
      <c r="BI3031" s="744" t="str">
        <f t="shared" si="1061"/>
        <v/>
      </c>
      <c r="BJ3031" s="747" t="str">
        <f t="shared" si="1068"/>
        <v/>
      </c>
      <c r="BK3031" s="498" t="str">
        <f t="shared" si="1062"/>
        <v/>
      </c>
      <c r="BL3031" s="498" t="str">
        <f t="shared" si="1063"/>
        <v/>
      </c>
    </row>
    <row r="3032" spans="1:64" x14ac:dyDescent="0.25">
      <c r="A3032" s="762">
        <f t="shared" si="1064"/>
        <v>3027</v>
      </c>
      <c r="B3032" s="229"/>
      <c r="C3032" s="223"/>
      <c r="D3032" s="224"/>
      <c r="E3032" s="225"/>
      <c r="F3032" s="1036" t="str">
        <f t="shared" si="1070"/>
        <v/>
      </c>
      <c r="G3032" s="1037" t="str">
        <f t="shared" si="1065"/>
        <v/>
      </c>
      <c r="H3032" s="225"/>
      <c r="I3032" s="1013"/>
      <c r="J3032" s="1013"/>
      <c r="K3032" s="1028"/>
      <c r="L3032" s="1035" t="str">
        <f t="shared" si="1069"/>
        <v/>
      </c>
      <c r="S3032" s="498"/>
      <c r="AJ3032" s="498"/>
      <c r="AM3032" s="498">
        <f t="shared" si="1050"/>
        <v>0</v>
      </c>
      <c r="AN3032" s="498">
        <f t="shared" si="1051"/>
        <v>0</v>
      </c>
      <c r="AO3032" s="498">
        <f t="shared" si="1052"/>
        <v>0</v>
      </c>
      <c r="AP3032" s="498">
        <f t="shared" si="1071"/>
        <v>0</v>
      </c>
      <c r="AQ3032" s="498">
        <f t="shared" si="1066"/>
        <v>0</v>
      </c>
      <c r="AU3032" s="498">
        <f t="shared" si="1053"/>
        <v>0</v>
      </c>
      <c r="AV3032" s="498">
        <f t="shared" si="1054"/>
        <v>0</v>
      </c>
      <c r="AW3032" s="498">
        <f t="shared" si="1055"/>
        <v>0</v>
      </c>
      <c r="AX3032" s="498">
        <f t="shared" si="1056"/>
        <v>0</v>
      </c>
      <c r="AY3032" s="498">
        <f t="shared" si="1057"/>
        <v>0</v>
      </c>
      <c r="BB3032" s="498" t="str">
        <f t="shared" si="1058"/>
        <v/>
      </c>
      <c r="BC3032" s="743" t="str">
        <f t="shared" si="1059"/>
        <v/>
      </c>
      <c r="BD3032" s="743" t="str">
        <f t="shared" si="1060"/>
        <v/>
      </c>
      <c r="BE3032" s="743" t="str">
        <f>IF(D3032="","",VLOOKUP(D3032,'General Basis'!$J$39:$K$46,2,0))</f>
        <v/>
      </c>
      <c r="BF3032" s="744" t="str">
        <f>IF(D3032="","",VLOOKUP(D3032,'General Basis'!$J$39:$L$46,3,0))</f>
        <v/>
      </c>
      <c r="BG3032" s="744" t="str">
        <f t="shared" si="1067"/>
        <v/>
      </c>
      <c r="BH3032" s="744" t="str">
        <f>IF(G3032="","",IF(BF3032="Abu Dhabi",IF(G3032&lt;18,'General Basis'!$C$39,IF(G3032&lt;41,'General Basis'!$C$40,IF(G3032&lt;60,'General Basis'!$C$41,IF(G3032&lt;65,'General Basis'!$C$42,'General Basis'!$C$43)))),IF(G3032&lt;11,'General Basis'!$B$39,IF(G3032&lt;18,'General Basis'!$B$40,IF(G3032&lt;26,'General Basis'!$B$41,IF(G3032&lt;31,'General Basis'!$B$42,IF(G3032&lt;36,'General Basis'!$B$43,IF(G3032&lt;41,'General Basis'!$B$44,IF(G3032&lt;46,'General Basis'!$B$45,IF(G3032&lt;51,'General Basis'!$B$46,IF(G3032&lt;56,'General Basis'!$B$47,IF(G3032&lt;60,'General Basis'!$B$48,IF(G3032&lt;65,'General Basis'!$B$49,'General Basis'!$B$50)))))))))))))</f>
        <v/>
      </c>
      <c r="BI3032" s="744" t="str">
        <f t="shared" si="1061"/>
        <v/>
      </c>
      <c r="BJ3032" s="747" t="str">
        <f t="shared" si="1068"/>
        <v/>
      </c>
      <c r="BK3032" s="498" t="str">
        <f t="shared" si="1062"/>
        <v/>
      </c>
      <c r="BL3032" s="498" t="str">
        <f t="shared" si="1063"/>
        <v/>
      </c>
    </row>
    <row r="3033" spans="1:64" x14ac:dyDescent="0.25">
      <c r="A3033" s="762">
        <f t="shared" si="1064"/>
        <v>3028</v>
      </c>
      <c r="B3033" s="229"/>
      <c r="C3033" s="223"/>
      <c r="D3033" s="224"/>
      <c r="E3033" s="225"/>
      <c r="F3033" s="1036" t="str">
        <f t="shared" si="1070"/>
        <v/>
      </c>
      <c r="G3033" s="1037" t="str">
        <f t="shared" si="1065"/>
        <v/>
      </c>
      <c r="H3033" s="225"/>
      <c r="I3033" s="1013"/>
      <c r="J3033" s="1013"/>
      <c r="K3033" s="1028"/>
      <c r="L3033" s="1035" t="str">
        <f t="shared" si="1069"/>
        <v/>
      </c>
      <c r="S3033" s="498"/>
      <c r="AJ3033" s="498"/>
      <c r="AM3033" s="498">
        <f t="shared" si="1050"/>
        <v>0</v>
      </c>
      <c r="AN3033" s="498">
        <f t="shared" si="1051"/>
        <v>0</v>
      </c>
      <c r="AO3033" s="498">
        <f t="shared" si="1052"/>
        <v>0</v>
      </c>
      <c r="AP3033" s="498">
        <f t="shared" si="1071"/>
        <v>0</v>
      </c>
      <c r="AQ3033" s="498">
        <f t="shared" si="1066"/>
        <v>0</v>
      </c>
      <c r="AU3033" s="498">
        <f t="shared" si="1053"/>
        <v>0</v>
      </c>
      <c r="AV3033" s="498">
        <f t="shared" si="1054"/>
        <v>0</v>
      </c>
      <c r="AW3033" s="498">
        <f t="shared" si="1055"/>
        <v>0</v>
      </c>
      <c r="AX3033" s="498">
        <f t="shared" si="1056"/>
        <v>0</v>
      </c>
      <c r="AY3033" s="498">
        <f t="shared" si="1057"/>
        <v>0</v>
      </c>
      <c r="BB3033" s="498" t="str">
        <f t="shared" si="1058"/>
        <v/>
      </c>
      <c r="BC3033" s="743" t="str">
        <f t="shared" si="1059"/>
        <v/>
      </c>
      <c r="BD3033" s="743" t="str">
        <f t="shared" si="1060"/>
        <v/>
      </c>
      <c r="BE3033" s="743" t="str">
        <f>IF(D3033="","",VLOOKUP(D3033,'General Basis'!$J$39:$K$46,2,0))</f>
        <v/>
      </c>
      <c r="BF3033" s="744" t="str">
        <f>IF(D3033="","",VLOOKUP(D3033,'General Basis'!$J$39:$L$46,3,0))</f>
        <v/>
      </c>
      <c r="BG3033" s="744" t="str">
        <f t="shared" si="1067"/>
        <v/>
      </c>
      <c r="BH3033" s="744" t="str">
        <f>IF(G3033="","",IF(BF3033="Abu Dhabi",IF(G3033&lt;18,'General Basis'!$C$39,IF(G3033&lt;41,'General Basis'!$C$40,IF(G3033&lt;60,'General Basis'!$C$41,IF(G3033&lt;65,'General Basis'!$C$42,'General Basis'!$C$43)))),IF(G3033&lt;11,'General Basis'!$B$39,IF(G3033&lt;18,'General Basis'!$B$40,IF(G3033&lt;26,'General Basis'!$B$41,IF(G3033&lt;31,'General Basis'!$B$42,IF(G3033&lt;36,'General Basis'!$B$43,IF(G3033&lt;41,'General Basis'!$B$44,IF(G3033&lt;46,'General Basis'!$B$45,IF(G3033&lt;51,'General Basis'!$B$46,IF(G3033&lt;56,'General Basis'!$B$47,IF(G3033&lt;60,'General Basis'!$B$48,IF(G3033&lt;65,'General Basis'!$B$49,'General Basis'!$B$50)))))))))))))</f>
        <v/>
      </c>
      <c r="BI3033" s="744" t="str">
        <f t="shared" si="1061"/>
        <v/>
      </c>
      <c r="BJ3033" s="747" t="str">
        <f t="shared" si="1068"/>
        <v/>
      </c>
      <c r="BK3033" s="498" t="str">
        <f t="shared" si="1062"/>
        <v/>
      </c>
      <c r="BL3033" s="498" t="str">
        <f t="shared" si="1063"/>
        <v/>
      </c>
    </row>
    <row r="3034" spans="1:64" x14ac:dyDescent="0.25">
      <c r="A3034" s="762">
        <f t="shared" si="1064"/>
        <v>3029</v>
      </c>
      <c r="B3034" s="229"/>
      <c r="C3034" s="223"/>
      <c r="D3034" s="224"/>
      <c r="E3034" s="225"/>
      <c r="F3034" s="1036" t="str">
        <f t="shared" si="1070"/>
        <v/>
      </c>
      <c r="G3034" s="1037" t="str">
        <f t="shared" si="1065"/>
        <v/>
      </c>
      <c r="H3034" s="225"/>
      <c r="I3034" s="1013"/>
      <c r="J3034" s="1013"/>
      <c r="K3034" s="1028"/>
      <c r="L3034" s="1035" t="str">
        <f t="shared" si="1069"/>
        <v/>
      </c>
      <c r="S3034" s="498"/>
      <c r="AJ3034" s="498"/>
      <c r="AM3034" s="498">
        <f t="shared" si="1050"/>
        <v>0</v>
      </c>
      <c r="AN3034" s="498">
        <f t="shared" si="1051"/>
        <v>0</v>
      </c>
      <c r="AO3034" s="498">
        <f t="shared" si="1052"/>
        <v>0</v>
      </c>
      <c r="AP3034" s="498">
        <f t="shared" si="1071"/>
        <v>0</v>
      </c>
      <c r="AQ3034" s="498">
        <f t="shared" si="1066"/>
        <v>0</v>
      </c>
      <c r="AU3034" s="498">
        <f t="shared" si="1053"/>
        <v>0</v>
      </c>
      <c r="AV3034" s="498">
        <f t="shared" si="1054"/>
        <v>0</v>
      </c>
      <c r="AW3034" s="498">
        <f t="shared" si="1055"/>
        <v>0</v>
      </c>
      <c r="AX3034" s="498">
        <f t="shared" si="1056"/>
        <v>0</v>
      </c>
      <c r="AY3034" s="498">
        <f t="shared" si="1057"/>
        <v>0</v>
      </c>
      <c r="BB3034" s="498" t="str">
        <f t="shared" si="1058"/>
        <v/>
      </c>
      <c r="BC3034" s="743" t="str">
        <f t="shared" si="1059"/>
        <v/>
      </c>
      <c r="BD3034" s="743" t="str">
        <f t="shared" si="1060"/>
        <v/>
      </c>
      <c r="BE3034" s="743" t="str">
        <f>IF(D3034="","",VLOOKUP(D3034,'General Basis'!$J$39:$K$46,2,0))</f>
        <v/>
      </c>
      <c r="BF3034" s="744" t="str">
        <f>IF(D3034="","",VLOOKUP(D3034,'General Basis'!$J$39:$L$46,3,0))</f>
        <v/>
      </c>
      <c r="BG3034" s="744" t="str">
        <f t="shared" si="1067"/>
        <v/>
      </c>
      <c r="BH3034" s="744" t="str">
        <f>IF(G3034="","",IF(BF3034="Abu Dhabi",IF(G3034&lt;18,'General Basis'!$C$39,IF(G3034&lt;41,'General Basis'!$C$40,IF(G3034&lt;60,'General Basis'!$C$41,IF(G3034&lt;65,'General Basis'!$C$42,'General Basis'!$C$43)))),IF(G3034&lt;11,'General Basis'!$B$39,IF(G3034&lt;18,'General Basis'!$B$40,IF(G3034&lt;26,'General Basis'!$B$41,IF(G3034&lt;31,'General Basis'!$B$42,IF(G3034&lt;36,'General Basis'!$B$43,IF(G3034&lt;41,'General Basis'!$B$44,IF(G3034&lt;46,'General Basis'!$B$45,IF(G3034&lt;51,'General Basis'!$B$46,IF(G3034&lt;56,'General Basis'!$B$47,IF(G3034&lt;60,'General Basis'!$B$48,IF(G3034&lt;65,'General Basis'!$B$49,'General Basis'!$B$50)))))))))))))</f>
        <v/>
      </c>
      <c r="BI3034" s="744" t="str">
        <f t="shared" si="1061"/>
        <v/>
      </c>
      <c r="BJ3034" s="747" t="str">
        <f t="shared" si="1068"/>
        <v/>
      </c>
      <c r="BK3034" s="498" t="str">
        <f t="shared" si="1062"/>
        <v/>
      </c>
      <c r="BL3034" s="498" t="str">
        <f t="shared" si="1063"/>
        <v/>
      </c>
    </row>
    <row r="3035" spans="1:64" x14ac:dyDescent="0.25">
      <c r="A3035" s="762">
        <f t="shared" si="1064"/>
        <v>3030</v>
      </c>
      <c r="B3035" s="229"/>
      <c r="C3035" s="223"/>
      <c r="D3035" s="224"/>
      <c r="E3035" s="225"/>
      <c r="F3035" s="1036" t="str">
        <f t="shared" si="1070"/>
        <v/>
      </c>
      <c r="G3035" s="1037" t="str">
        <f t="shared" si="1065"/>
        <v/>
      </c>
      <c r="H3035" s="225"/>
      <c r="I3035" s="1013"/>
      <c r="J3035" s="1013"/>
      <c r="K3035" s="1028"/>
      <c r="L3035" s="1035" t="str">
        <f t="shared" si="1069"/>
        <v/>
      </c>
      <c r="S3035" s="498"/>
      <c r="AJ3035" s="498"/>
      <c r="AM3035" s="498">
        <f t="shared" si="1050"/>
        <v>0</v>
      </c>
      <c r="AN3035" s="498">
        <f t="shared" si="1051"/>
        <v>0</v>
      </c>
      <c r="AO3035" s="498">
        <f t="shared" si="1052"/>
        <v>0</v>
      </c>
      <c r="AP3035" s="498">
        <f t="shared" si="1071"/>
        <v>0</v>
      </c>
      <c r="AQ3035" s="498">
        <f t="shared" si="1066"/>
        <v>0</v>
      </c>
      <c r="AU3035" s="498">
        <f t="shared" si="1053"/>
        <v>0</v>
      </c>
      <c r="AV3035" s="498">
        <f t="shared" si="1054"/>
        <v>0</v>
      </c>
      <c r="AW3035" s="498">
        <f t="shared" si="1055"/>
        <v>0</v>
      </c>
      <c r="AX3035" s="498">
        <f t="shared" si="1056"/>
        <v>0</v>
      </c>
      <c r="AY3035" s="498">
        <f t="shared" si="1057"/>
        <v>0</v>
      </c>
      <c r="BB3035" s="498" t="str">
        <f t="shared" si="1058"/>
        <v/>
      </c>
      <c r="BC3035" s="743" t="str">
        <f t="shared" si="1059"/>
        <v/>
      </c>
      <c r="BD3035" s="743" t="str">
        <f t="shared" si="1060"/>
        <v/>
      </c>
      <c r="BE3035" s="743" t="str">
        <f>IF(D3035="","",VLOOKUP(D3035,'General Basis'!$J$39:$K$46,2,0))</f>
        <v/>
      </c>
      <c r="BF3035" s="744" t="str">
        <f>IF(D3035="","",VLOOKUP(D3035,'General Basis'!$J$39:$L$46,3,0))</f>
        <v/>
      </c>
      <c r="BG3035" s="744" t="str">
        <f t="shared" si="1067"/>
        <v/>
      </c>
      <c r="BH3035" s="744" t="str">
        <f>IF(G3035="","",IF(BF3035="Abu Dhabi",IF(G3035&lt;18,'General Basis'!$C$39,IF(G3035&lt;41,'General Basis'!$C$40,IF(G3035&lt;60,'General Basis'!$C$41,IF(G3035&lt;65,'General Basis'!$C$42,'General Basis'!$C$43)))),IF(G3035&lt;11,'General Basis'!$B$39,IF(G3035&lt;18,'General Basis'!$B$40,IF(G3035&lt;26,'General Basis'!$B$41,IF(G3035&lt;31,'General Basis'!$B$42,IF(G3035&lt;36,'General Basis'!$B$43,IF(G3035&lt;41,'General Basis'!$B$44,IF(G3035&lt;46,'General Basis'!$B$45,IF(G3035&lt;51,'General Basis'!$B$46,IF(G3035&lt;56,'General Basis'!$B$47,IF(G3035&lt;60,'General Basis'!$B$48,IF(G3035&lt;65,'General Basis'!$B$49,'General Basis'!$B$50)))))))))))))</f>
        <v/>
      </c>
      <c r="BI3035" s="744" t="str">
        <f t="shared" si="1061"/>
        <v/>
      </c>
      <c r="BJ3035" s="747" t="str">
        <f t="shared" si="1068"/>
        <v/>
      </c>
      <c r="BK3035" s="498" t="str">
        <f t="shared" si="1062"/>
        <v/>
      </c>
      <c r="BL3035" s="498" t="str">
        <f t="shared" si="1063"/>
        <v/>
      </c>
    </row>
    <row r="3036" spans="1:64" x14ac:dyDescent="0.25">
      <c r="A3036" s="762">
        <f t="shared" si="1064"/>
        <v>3031</v>
      </c>
      <c r="B3036" s="229"/>
      <c r="C3036" s="223"/>
      <c r="D3036" s="224"/>
      <c r="E3036" s="225"/>
      <c r="F3036" s="1036" t="str">
        <f t="shared" si="1070"/>
        <v/>
      </c>
      <c r="G3036" s="1037" t="str">
        <f t="shared" si="1065"/>
        <v/>
      </c>
      <c r="H3036" s="225"/>
      <c r="I3036" s="1013"/>
      <c r="J3036" s="1013"/>
      <c r="K3036" s="1028"/>
      <c r="L3036" s="1035" t="str">
        <f t="shared" si="1069"/>
        <v/>
      </c>
      <c r="S3036" s="498"/>
      <c r="AJ3036" s="498"/>
      <c r="AM3036" s="498">
        <f t="shared" si="1050"/>
        <v>0</v>
      </c>
      <c r="AN3036" s="498">
        <f t="shared" si="1051"/>
        <v>0</v>
      </c>
      <c r="AO3036" s="498">
        <f t="shared" si="1052"/>
        <v>0</v>
      </c>
      <c r="AP3036" s="498">
        <f t="shared" si="1071"/>
        <v>0</v>
      </c>
      <c r="AQ3036" s="498">
        <f t="shared" si="1066"/>
        <v>0</v>
      </c>
      <c r="AU3036" s="498">
        <f t="shared" si="1053"/>
        <v>0</v>
      </c>
      <c r="AV3036" s="498">
        <f t="shared" si="1054"/>
        <v>0</v>
      </c>
      <c r="AW3036" s="498">
        <f t="shared" si="1055"/>
        <v>0</v>
      </c>
      <c r="AX3036" s="498">
        <f t="shared" si="1056"/>
        <v>0</v>
      </c>
      <c r="AY3036" s="498">
        <f t="shared" si="1057"/>
        <v>0</v>
      </c>
      <c r="BB3036" s="498" t="str">
        <f t="shared" si="1058"/>
        <v/>
      </c>
      <c r="BC3036" s="743" t="str">
        <f t="shared" si="1059"/>
        <v/>
      </c>
      <c r="BD3036" s="743" t="str">
        <f t="shared" si="1060"/>
        <v/>
      </c>
      <c r="BE3036" s="743" t="str">
        <f>IF(D3036="","",VLOOKUP(D3036,'General Basis'!$J$39:$K$46,2,0))</f>
        <v/>
      </c>
      <c r="BF3036" s="744" t="str">
        <f>IF(D3036="","",VLOOKUP(D3036,'General Basis'!$J$39:$L$46,3,0))</f>
        <v/>
      </c>
      <c r="BG3036" s="744" t="str">
        <f t="shared" si="1067"/>
        <v/>
      </c>
      <c r="BH3036" s="744" t="str">
        <f>IF(G3036="","",IF(BF3036="Abu Dhabi",IF(G3036&lt;18,'General Basis'!$C$39,IF(G3036&lt;41,'General Basis'!$C$40,IF(G3036&lt;60,'General Basis'!$C$41,IF(G3036&lt;65,'General Basis'!$C$42,'General Basis'!$C$43)))),IF(G3036&lt;11,'General Basis'!$B$39,IF(G3036&lt;18,'General Basis'!$B$40,IF(G3036&lt;26,'General Basis'!$B$41,IF(G3036&lt;31,'General Basis'!$B$42,IF(G3036&lt;36,'General Basis'!$B$43,IF(G3036&lt;41,'General Basis'!$B$44,IF(G3036&lt;46,'General Basis'!$B$45,IF(G3036&lt;51,'General Basis'!$B$46,IF(G3036&lt;56,'General Basis'!$B$47,IF(G3036&lt;60,'General Basis'!$B$48,IF(G3036&lt;65,'General Basis'!$B$49,'General Basis'!$B$50)))))))))))))</f>
        <v/>
      </c>
      <c r="BI3036" s="744" t="str">
        <f t="shared" si="1061"/>
        <v/>
      </c>
      <c r="BJ3036" s="747" t="str">
        <f t="shared" si="1068"/>
        <v/>
      </c>
      <c r="BK3036" s="498" t="str">
        <f t="shared" si="1062"/>
        <v/>
      </c>
      <c r="BL3036" s="498" t="str">
        <f t="shared" si="1063"/>
        <v/>
      </c>
    </row>
    <row r="3037" spans="1:64" x14ac:dyDescent="0.25">
      <c r="A3037" s="762">
        <f t="shared" si="1064"/>
        <v>3032</v>
      </c>
      <c r="B3037" s="229"/>
      <c r="C3037" s="223"/>
      <c r="D3037" s="224"/>
      <c r="E3037" s="225"/>
      <c r="F3037" s="1036" t="str">
        <f t="shared" si="1070"/>
        <v/>
      </c>
      <c r="G3037" s="1037" t="str">
        <f t="shared" si="1065"/>
        <v/>
      </c>
      <c r="H3037" s="225"/>
      <c r="I3037" s="1013"/>
      <c r="J3037" s="1013"/>
      <c r="K3037" s="1028"/>
      <c r="L3037" s="1035" t="str">
        <f t="shared" si="1069"/>
        <v/>
      </c>
      <c r="S3037" s="498"/>
      <c r="AJ3037" s="498"/>
      <c r="AM3037" s="498">
        <f t="shared" si="1050"/>
        <v>0</v>
      </c>
      <c r="AN3037" s="498">
        <f t="shared" si="1051"/>
        <v>0</v>
      </c>
      <c r="AO3037" s="498">
        <f t="shared" si="1052"/>
        <v>0</v>
      </c>
      <c r="AP3037" s="498">
        <f t="shared" si="1071"/>
        <v>0</v>
      </c>
      <c r="AQ3037" s="498">
        <f t="shared" si="1066"/>
        <v>0</v>
      </c>
      <c r="AU3037" s="498">
        <f t="shared" si="1053"/>
        <v>0</v>
      </c>
      <c r="AV3037" s="498">
        <f t="shared" si="1054"/>
        <v>0</v>
      </c>
      <c r="AW3037" s="498">
        <f t="shared" si="1055"/>
        <v>0</v>
      </c>
      <c r="AX3037" s="498">
        <f t="shared" si="1056"/>
        <v>0</v>
      </c>
      <c r="AY3037" s="498">
        <f t="shared" si="1057"/>
        <v>0</v>
      </c>
      <c r="BB3037" s="498" t="str">
        <f t="shared" si="1058"/>
        <v/>
      </c>
      <c r="BC3037" s="743" t="str">
        <f t="shared" si="1059"/>
        <v/>
      </c>
      <c r="BD3037" s="743" t="str">
        <f t="shared" si="1060"/>
        <v/>
      </c>
      <c r="BE3037" s="743" t="str">
        <f>IF(D3037="","",VLOOKUP(D3037,'General Basis'!$J$39:$K$46,2,0))</f>
        <v/>
      </c>
      <c r="BF3037" s="744" t="str">
        <f>IF(D3037="","",VLOOKUP(D3037,'General Basis'!$J$39:$L$46,3,0))</f>
        <v/>
      </c>
      <c r="BG3037" s="744" t="str">
        <f t="shared" si="1067"/>
        <v/>
      </c>
      <c r="BH3037" s="744" t="str">
        <f>IF(G3037="","",IF(BF3037="Abu Dhabi",IF(G3037&lt;18,'General Basis'!$C$39,IF(G3037&lt;41,'General Basis'!$C$40,IF(G3037&lt;60,'General Basis'!$C$41,IF(G3037&lt;65,'General Basis'!$C$42,'General Basis'!$C$43)))),IF(G3037&lt;11,'General Basis'!$B$39,IF(G3037&lt;18,'General Basis'!$B$40,IF(G3037&lt;26,'General Basis'!$B$41,IF(G3037&lt;31,'General Basis'!$B$42,IF(G3037&lt;36,'General Basis'!$B$43,IF(G3037&lt;41,'General Basis'!$B$44,IF(G3037&lt;46,'General Basis'!$B$45,IF(G3037&lt;51,'General Basis'!$B$46,IF(G3037&lt;56,'General Basis'!$B$47,IF(G3037&lt;60,'General Basis'!$B$48,IF(G3037&lt;65,'General Basis'!$B$49,'General Basis'!$B$50)))))))))))))</f>
        <v/>
      </c>
      <c r="BI3037" s="744" t="str">
        <f t="shared" si="1061"/>
        <v/>
      </c>
      <c r="BJ3037" s="747" t="str">
        <f t="shared" si="1068"/>
        <v/>
      </c>
      <c r="BK3037" s="498" t="str">
        <f t="shared" si="1062"/>
        <v/>
      </c>
      <c r="BL3037" s="498" t="str">
        <f t="shared" si="1063"/>
        <v/>
      </c>
    </row>
    <row r="3038" spans="1:64" x14ac:dyDescent="0.25">
      <c r="A3038" s="762">
        <f t="shared" si="1064"/>
        <v>3033</v>
      </c>
      <c r="B3038" s="229"/>
      <c r="C3038" s="223"/>
      <c r="D3038" s="224"/>
      <c r="E3038" s="225"/>
      <c r="F3038" s="1036" t="str">
        <f t="shared" si="1070"/>
        <v/>
      </c>
      <c r="G3038" s="1037" t="str">
        <f t="shared" si="1065"/>
        <v/>
      </c>
      <c r="H3038" s="225"/>
      <c r="I3038" s="1013"/>
      <c r="J3038" s="1013"/>
      <c r="K3038" s="1028"/>
      <c r="L3038" s="1035" t="str">
        <f t="shared" si="1069"/>
        <v/>
      </c>
      <c r="S3038" s="498"/>
      <c r="AJ3038" s="498"/>
      <c r="AM3038" s="498">
        <f t="shared" si="1050"/>
        <v>0</v>
      </c>
      <c r="AN3038" s="498">
        <f t="shared" si="1051"/>
        <v>0</v>
      </c>
      <c r="AO3038" s="498">
        <f t="shared" si="1052"/>
        <v>0</v>
      </c>
      <c r="AP3038" s="498">
        <f t="shared" si="1071"/>
        <v>0</v>
      </c>
      <c r="AQ3038" s="498">
        <f t="shared" si="1066"/>
        <v>0</v>
      </c>
      <c r="AU3038" s="498">
        <f t="shared" si="1053"/>
        <v>0</v>
      </c>
      <c r="AV3038" s="498">
        <f t="shared" si="1054"/>
        <v>0</v>
      </c>
      <c r="AW3038" s="498">
        <f t="shared" si="1055"/>
        <v>0</v>
      </c>
      <c r="AX3038" s="498">
        <f t="shared" si="1056"/>
        <v>0</v>
      </c>
      <c r="AY3038" s="498">
        <f t="shared" si="1057"/>
        <v>0</v>
      </c>
      <c r="BB3038" s="498" t="str">
        <f t="shared" si="1058"/>
        <v/>
      </c>
      <c r="BC3038" s="743" t="str">
        <f t="shared" si="1059"/>
        <v/>
      </c>
      <c r="BD3038" s="743" t="str">
        <f t="shared" si="1060"/>
        <v/>
      </c>
      <c r="BE3038" s="743" t="str">
        <f>IF(D3038="","",VLOOKUP(D3038,'General Basis'!$J$39:$K$46,2,0))</f>
        <v/>
      </c>
      <c r="BF3038" s="744" t="str">
        <f>IF(D3038="","",VLOOKUP(D3038,'General Basis'!$J$39:$L$46,3,0))</f>
        <v/>
      </c>
      <c r="BG3038" s="744" t="str">
        <f t="shared" si="1067"/>
        <v/>
      </c>
      <c r="BH3038" s="744" t="str">
        <f>IF(G3038="","",IF(BF3038="Abu Dhabi",IF(G3038&lt;18,'General Basis'!$C$39,IF(G3038&lt;41,'General Basis'!$C$40,IF(G3038&lt;60,'General Basis'!$C$41,IF(G3038&lt;65,'General Basis'!$C$42,'General Basis'!$C$43)))),IF(G3038&lt;11,'General Basis'!$B$39,IF(G3038&lt;18,'General Basis'!$B$40,IF(G3038&lt;26,'General Basis'!$B$41,IF(G3038&lt;31,'General Basis'!$B$42,IF(G3038&lt;36,'General Basis'!$B$43,IF(G3038&lt;41,'General Basis'!$B$44,IF(G3038&lt;46,'General Basis'!$B$45,IF(G3038&lt;51,'General Basis'!$B$46,IF(G3038&lt;56,'General Basis'!$B$47,IF(G3038&lt;60,'General Basis'!$B$48,IF(G3038&lt;65,'General Basis'!$B$49,'General Basis'!$B$50)))))))))))))</f>
        <v/>
      </c>
      <c r="BI3038" s="744" t="str">
        <f t="shared" si="1061"/>
        <v/>
      </c>
      <c r="BJ3038" s="747" t="str">
        <f t="shared" si="1068"/>
        <v/>
      </c>
      <c r="BK3038" s="498" t="str">
        <f t="shared" si="1062"/>
        <v/>
      </c>
      <c r="BL3038" s="498" t="str">
        <f t="shared" si="1063"/>
        <v/>
      </c>
    </row>
    <row r="3039" spans="1:64" x14ac:dyDescent="0.25">
      <c r="A3039" s="762">
        <f t="shared" si="1064"/>
        <v>3034</v>
      </c>
      <c r="B3039" s="229"/>
      <c r="C3039" s="223"/>
      <c r="D3039" s="224"/>
      <c r="E3039" s="225"/>
      <c r="F3039" s="1036" t="str">
        <f t="shared" si="1070"/>
        <v/>
      </c>
      <c r="G3039" s="1037" t="str">
        <f t="shared" si="1065"/>
        <v/>
      </c>
      <c r="H3039" s="225"/>
      <c r="I3039" s="1013"/>
      <c r="J3039" s="1013"/>
      <c r="K3039" s="1028"/>
      <c r="L3039" s="1035" t="str">
        <f t="shared" si="1069"/>
        <v/>
      </c>
      <c r="S3039" s="498"/>
      <c r="AJ3039" s="498"/>
      <c r="AM3039" s="498">
        <f t="shared" si="1050"/>
        <v>0</v>
      </c>
      <c r="AN3039" s="498">
        <f t="shared" si="1051"/>
        <v>0</v>
      </c>
      <c r="AO3039" s="498">
        <f t="shared" si="1052"/>
        <v>0</v>
      </c>
      <c r="AP3039" s="498">
        <f t="shared" si="1071"/>
        <v>0</v>
      </c>
      <c r="AQ3039" s="498">
        <f t="shared" si="1066"/>
        <v>0</v>
      </c>
      <c r="AU3039" s="498">
        <f t="shared" si="1053"/>
        <v>0</v>
      </c>
      <c r="AV3039" s="498">
        <f t="shared" si="1054"/>
        <v>0</v>
      </c>
      <c r="AW3039" s="498">
        <f t="shared" si="1055"/>
        <v>0</v>
      </c>
      <c r="AX3039" s="498">
        <f t="shared" si="1056"/>
        <v>0</v>
      </c>
      <c r="AY3039" s="498">
        <f t="shared" si="1057"/>
        <v>0</v>
      </c>
      <c r="BB3039" s="498" t="str">
        <f t="shared" si="1058"/>
        <v/>
      </c>
      <c r="BC3039" s="743" t="str">
        <f t="shared" si="1059"/>
        <v/>
      </c>
      <c r="BD3039" s="743" t="str">
        <f t="shared" si="1060"/>
        <v/>
      </c>
      <c r="BE3039" s="743" t="str">
        <f>IF(D3039="","",VLOOKUP(D3039,'General Basis'!$J$39:$K$46,2,0))</f>
        <v/>
      </c>
      <c r="BF3039" s="744" t="str">
        <f>IF(D3039="","",VLOOKUP(D3039,'General Basis'!$J$39:$L$46,3,0))</f>
        <v/>
      </c>
      <c r="BG3039" s="744" t="str">
        <f t="shared" si="1067"/>
        <v/>
      </c>
      <c r="BH3039" s="744" t="str">
        <f>IF(G3039="","",IF(BF3039="Abu Dhabi",IF(G3039&lt;18,'General Basis'!$C$39,IF(G3039&lt;41,'General Basis'!$C$40,IF(G3039&lt;60,'General Basis'!$C$41,IF(G3039&lt;65,'General Basis'!$C$42,'General Basis'!$C$43)))),IF(G3039&lt;11,'General Basis'!$B$39,IF(G3039&lt;18,'General Basis'!$B$40,IF(G3039&lt;26,'General Basis'!$B$41,IF(G3039&lt;31,'General Basis'!$B$42,IF(G3039&lt;36,'General Basis'!$B$43,IF(G3039&lt;41,'General Basis'!$B$44,IF(G3039&lt;46,'General Basis'!$B$45,IF(G3039&lt;51,'General Basis'!$B$46,IF(G3039&lt;56,'General Basis'!$B$47,IF(G3039&lt;60,'General Basis'!$B$48,IF(G3039&lt;65,'General Basis'!$B$49,'General Basis'!$B$50)))))))))))))</f>
        <v/>
      </c>
      <c r="BI3039" s="744" t="str">
        <f t="shared" si="1061"/>
        <v/>
      </c>
      <c r="BJ3039" s="747" t="str">
        <f t="shared" si="1068"/>
        <v/>
      </c>
      <c r="BK3039" s="498" t="str">
        <f t="shared" si="1062"/>
        <v/>
      </c>
      <c r="BL3039" s="498" t="str">
        <f t="shared" si="1063"/>
        <v/>
      </c>
    </row>
    <row r="3040" spans="1:64" x14ac:dyDescent="0.25">
      <c r="A3040" s="762">
        <f t="shared" si="1064"/>
        <v>3035</v>
      </c>
      <c r="B3040" s="229"/>
      <c r="C3040" s="223"/>
      <c r="D3040" s="224"/>
      <c r="E3040" s="225"/>
      <c r="F3040" s="1036" t="str">
        <f t="shared" si="1070"/>
        <v/>
      </c>
      <c r="G3040" s="1037" t="str">
        <f t="shared" si="1065"/>
        <v/>
      </c>
      <c r="H3040" s="225"/>
      <c r="I3040" s="1013"/>
      <c r="J3040" s="1013"/>
      <c r="K3040" s="1028"/>
      <c r="L3040" s="1035" t="str">
        <f t="shared" si="1069"/>
        <v/>
      </c>
      <c r="S3040" s="498"/>
      <c r="AJ3040" s="498"/>
      <c r="AM3040" s="498">
        <f t="shared" si="1050"/>
        <v>0</v>
      </c>
      <c r="AN3040" s="498">
        <f t="shared" si="1051"/>
        <v>0</v>
      </c>
      <c r="AO3040" s="498">
        <f t="shared" si="1052"/>
        <v>0</v>
      </c>
      <c r="AP3040" s="498">
        <f t="shared" si="1071"/>
        <v>0</v>
      </c>
      <c r="AQ3040" s="498">
        <f t="shared" si="1066"/>
        <v>0</v>
      </c>
      <c r="AU3040" s="498">
        <f t="shared" si="1053"/>
        <v>0</v>
      </c>
      <c r="AV3040" s="498">
        <f t="shared" si="1054"/>
        <v>0</v>
      </c>
      <c r="AW3040" s="498">
        <f t="shared" si="1055"/>
        <v>0</v>
      </c>
      <c r="AX3040" s="498">
        <f t="shared" si="1056"/>
        <v>0</v>
      </c>
      <c r="AY3040" s="498">
        <f t="shared" si="1057"/>
        <v>0</v>
      </c>
      <c r="BB3040" s="498" t="str">
        <f t="shared" si="1058"/>
        <v/>
      </c>
      <c r="BC3040" s="743" t="str">
        <f t="shared" si="1059"/>
        <v/>
      </c>
      <c r="BD3040" s="743" t="str">
        <f t="shared" si="1060"/>
        <v/>
      </c>
      <c r="BE3040" s="743" t="str">
        <f>IF(D3040="","",VLOOKUP(D3040,'General Basis'!$J$39:$K$46,2,0))</f>
        <v/>
      </c>
      <c r="BF3040" s="744" t="str">
        <f>IF(D3040="","",VLOOKUP(D3040,'General Basis'!$J$39:$L$46,3,0))</f>
        <v/>
      </c>
      <c r="BG3040" s="744" t="str">
        <f t="shared" si="1067"/>
        <v/>
      </c>
      <c r="BH3040" s="744" t="str">
        <f>IF(G3040="","",IF(BF3040="Abu Dhabi",IF(G3040&lt;18,'General Basis'!$C$39,IF(G3040&lt;41,'General Basis'!$C$40,IF(G3040&lt;60,'General Basis'!$C$41,IF(G3040&lt;65,'General Basis'!$C$42,'General Basis'!$C$43)))),IF(G3040&lt;11,'General Basis'!$B$39,IF(G3040&lt;18,'General Basis'!$B$40,IF(G3040&lt;26,'General Basis'!$B$41,IF(G3040&lt;31,'General Basis'!$B$42,IF(G3040&lt;36,'General Basis'!$B$43,IF(G3040&lt;41,'General Basis'!$B$44,IF(G3040&lt;46,'General Basis'!$B$45,IF(G3040&lt;51,'General Basis'!$B$46,IF(G3040&lt;56,'General Basis'!$B$47,IF(G3040&lt;60,'General Basis'!$B$48,IF(G3040&lt;65,'General Basis'!$B$49,'General Basis'!$B$50)))))))))))))</f>
        <v/>
      </c>
      <c r="BI3040" s="744" t="str">
        <f t="shared" si="1061"/>
        <v/>
      </c>
      <c r="BJ3040" s="747" t="str">
        <f t="shared" si="1068"/>
        <v/>
      </c>
      <c r="BK3040" s="498" t="str">
        <f t="shared" si="1062"/>
        <v/>
      </c>
      <c r="BL3040" s="498" t="str">
        <f t="shared" si="1063"/>
        <v/>
      </c>
    </row>
    <row r="3041" spans="1:64" x14ac:dyDescent="0.25">
      <c r="A3041" s="762">
        <f t="shared" si="1064"/>
        <v>3036</v>
      </c>
      <c r="B3041" s="229"/>
      <c r="C3041" s="223"/>
      <c r="D3041" s="224"/>
      <c r="E3041" s="225"/>
      <c r="F3041" s="1036" t="str">
        <f t="shared" si="1070"/>
        <v/>
      </c>
      <c r="G3041" s="1037" t="str">
        <f t="shared" si="1065"/>
        <v/>
      </c>
      <c r="H3041" s="225"/>
      <c r="I3041" s="1013"/>
      <c r="J3041" s="1013"/>
      <c r="K3041" s="1028"/>
      <c r="L3041" s="1035" t="str">
        <f t="shared" si="1069"/>
        <v/>
      </c>
      <c r="S3041" s="498"/>
      <c r="AJ3041" s="498"/>
      <c r="AM3041" s="498">
        <f t="shared" si="1050"/>
        <v>0</v>
      </c>
      <c r="AN3041" s="498">
        <f t="shared" si="1051"/>
        <v>0</v>
      </c>
      <c r="AO3041" s="498">
        <f t="shared" si="1052"/>
        <v>0</v>
      </c>
      <c r="AP3041" s="498">
        <f t="shared" si="1071"/>
        <v>0</v>
      </c>
      <c r="AQ3041" s="498">
        <f t="shared" si="1066"/>
        <v>0</v>
      </c>
      <c r="AU3041" s="498">
        <f t="shared" si="1053"/>
        <v>0</v>
      </c>
      <c r="AV3041" s="498">
        <f t="shared" si="1054"/>
        <v>0</v>
      </c>
      <c r="AW3041" s="498">
        <f t="shared" si="1055"/>
        <v>0</v>
      </c>
      <c r="AX3041" s="498">
        <f t="shared" si="1056"/>
        <v>0</v>
      </c>
      <c r="AY3041" s="498">
        <f t="shared" si="1057"/>
        <v>0</v>
      </c>
      <c r="BB3041" s="498" t="str">
        <f t="shared" si="1058"/>
        <v/>
      </c>
      <c r="BC3041" s="743" t="str">
        <f t="shared" si="1059"/>
        <v/>
      </c>
      <c r="BD3041" s="743" t="str">
        <f t="shared" si="1060"/>
        <v/>
      </c>
      <c r="BE3041" s="743" t="str">
        <f>IF(D3041="","",VLOOKUP(D3041,'General Basis'!$J$39:$K$46,2,0))</f>
        <v/>
      </c>
      <c r="BF3041" s="744" t="str">
        <f>IF(D3041="","",VLOOKUP(D3041,'General Basis'!$J$39:$L$46,3,0))</f>
        <v/>
      </c>
      <c r="BG3041" s="744" t="str">
        <f t="shared" si="1067"/>
        <v/>
      </c>
      <c r="BH3041" s="744" t="str">
        <f>IF(G3041="","",IF(BF3041="Abu Dhabi",IF(G3041&lt;18,'General Basis'!$C$39,IF(G3041&lt;41,'General Basis'!$C$40,IF(G3041&lt;60,'General Basis'!$C$41,IF(G3041&lt;65,'General Basis'!$C$42,'General Basis'!$C$43)))),IF(G3041&lt;11,'General Basis'!$B$39,IF(G3041&lt;18,'General Basis'!$B$40,IF(G3041&lt;26,'General Basis'!$B$41,IF(G3041&lt;31,'General Basis'!$B$42,IF(G3041&lt;36,'General Basis'!$B$43,IF(G3041&lt;41,'General Basis'!$B$44,IF(G3041&lt;46,'General Basis'!$B$45,IF(G3041&lt;51,'General Basis'!$B$46,IF(G3041&lt;56,'General Basis'!$B$47,IF(G3041&lt;60,'General Basis'!$B$48,IF(G3041&lt;65,'General Basis'!$B$49,'General Basis'!$B$50)))))))))))))</f>
        <v/>
      </c>
      <c r="BI3041" s="744" t="str">
        <f t="shared" si="1061"/>
        <v/>
      </c>
      <c r="BJ3041" s="747" t="str">
        <f t="shared" si="1068"/>
        <v/>
      </c>
      <c r="BK3041" s="498" t="str">
        <f t="shared" si="1062"/>
        <v/>
      </c>
      <c r="BL3041" s="498" t="str">
        <f t="shared" si="1063"/>
        <v/>
      </c>
    </row>
    <row r="3042" spans="1:64" x14ac:dyDescent="0.25">
      <c r="A3042" s="762">
        <f t="shared" si="1064"/>
        <v>3037</v>
      </c>
      <c r="B3042" s="229"/>
      <c r="C3042" s="223"/>
      <c r="D3042" s="224"/>
      <c r="E3042" s="225"/>
      <c r="F3042" s="1036" t="str">
        <f t="shared" si="1070"/>
        <v/>
      </c>
      <c r="G3042" s="1037" t="str">
        <f t="shared" si="1065"/>
        <v/>
      </c>
      <c r="H3042" s="225"/>
      <c r="I3042" s="1013"/>
      <c r="J3042" s="1013"/>
      <c r="K3042" s="1028"/>
      <c r="L3042" s="1035" t="str">
        <f t="shared" si="1069"/>
        <v/>
      </c>
      <c r="S3042" s="498"/>
      <c r="AJ3042" s="498"/>
      <c r="AM3042" s="498">
        <f t="shared" si="1050"/>
        <v>0</v>
      </c>
      <c r="AN3042" s="498">
        <f t="shared" si="1051"/>
        <v>0</v>
      </c>
      <c r="AO3042" s="498">
        <f t="shared" si="1052"/>
        <v>0</v>
      </c>
      <c r="AP3042" s="498">
        <f t="shared" si="1071"/>
        <v>0</v>
      </c>
      <c r="AQ3042" s="498">
        <f t="shared" si="1066"/>
        <v>0</v>
      </c>
      <c r="AU3042" s="498">
        <f t="shared" si="1053"/>
        <v>0</v>
      </c>
      <c r="AV3042" s="498">
        <f t="shared" si="1054"/>
        <v>0</v>
      </c>
      <c r="AW3042" s="498">
        <f t="shared" si="1055"/>
        <v>0</v>
      </c>
      <c r="AX3042" s="498">
        <f t="shared" si="1056"/>
        <v>0</v>
      </c>
      <c r="AY3042" s="498">
        <f t="shared" si="1057"/>
        <v>0</v>
      </c>
      <c r="BB3042" s="498" t="str">
        <f t="shared" si="1058"/>
        <v/>
      </c>
      <c r="BC3042" s="743" t="str">
        <f t="shared" si="1059"/>
        <v/>
      </c>
      <c r="BD3042" s="743" t="str">
        <f t="shared" si="1060"/>
        <v/>
      </c>
      <c r="BE3042" s="743" t="str">
        <f>IF(D3042="","",VLOOKUP(D3042,'General Basis'!$J$39:$K$46,2,0))</f>
        <v/>
      </c>
      <c r="BF3042" s="744" t="str">
        <f>IF(D3042="","",VLOOKUP(D3042,'General Basis'!$J$39:$L$46,3,0))</f>
        <v/>
      </c>
      <c r="BG3042" s="744" t="str">
        <f t="shared" si="1067"/>
        <v/>
      </c>
      <c r="BH3042" s="744" t="str">
        <f>IF(G3042="","",IF(BF3042="Abu Dhabi",IF(G3042&lt;18,'General Basis'!$C$39,IF(G3042&lt;41,'General Basis'!$C$40,IF(G3042&lt;60,'General Basis'!$C$41,IF(G3042&lt;65,'General Basis'!$C$42,'General Basis'!$C$43)))),IF(G3042&lt;11,'General Basis'!$B$39,IF(G3042&lt;18,'General Basis'!$B$40,IF(G3042&lt;26,'General Basis'!$B$41,IF(G3042&lt;31,'General Basis'!$B$42,IF(G3042&lt;36,'General Basis'!$B$43,IF(G3042&lt;41,'General Basis'!$B$44,IF(G3042&lt;46,'General Basis'!$B$45,IF(G3042&lt;51,'General Basis'!$B$46,IF(G3042&lt;56,'General Basis'!$B$47,IF(G3042&lt;60,'General Basis'!$B$48,IF(G3042&lt;65,'General Basis'!$B$49,'General Basis'!$B$50)))))))))))))</f>
        <v/>
      </c>
      <c r="BI3042" s="744" t="str">
        <f t="shared" si="1061"/>
        <v/>
      </c>
      <c r="BJ3042" s="747" t="str">
        <f t="shared" si="1068"/>
        <v/>
      </c>
      <c r="BK3042" s="498" t="str">
        <f t="shared" si="1062"/>
        <v/>
      </c>
      <c r="BL3042" s="498" t="str">
        <f t="shared" si="1063"/>
        <v/>
      </c>
    </row>
    <row r="3043" spans="1:64" x14ac:dyDescent="0.25">
      <c r="A3043" s="762">
        <f t="shared" si="1064"/>
        <v>3038</v>
      </c>
      <c r="B3043" s="229"/>
      <c r="C3043" s="223"/>
      <c r="D3043" s="224"/>
      <c r="E3043" s="225"/>
      <c r="F3043" s="1036" t="str">
        <f t="shared" si="1070"/>
        <v/>
      </c>
      <c r="G3043" s="1037" t="str">
        <f t="shared" si="1065"/>
        <v/>
      </c>
      <c r="H3043" s="225"/>
      <c r="I3043" s="1013"/>
      <c r="J3043" s="1013"/>
      <c r="K3043" s="1028"/>
      <c r="L3043" s="1035" t="str">
        <f t="shared" si="1069"/>
        <v/>
      </c>
      <c r="S3043" s="498"/>
      <c r="AJ3043" s="498"/>
      <c r="AM3043" s="498">
        <f t="shared" si="1050"/>
        <v>0</v>
      </c>
      <c r="AN3043" s="498">
        <f t="shared" si="1051"/>
        <v>0</v>
      </c>
      <c r="AO3043" s="498">
        <f t="shared" si="1052"/>
        <v>0</v>
      </c>
      <c r="AP3043" s="498">
        <f t="shared" si="1071"/>
        <v>0</v>
      </c>
      <c r="AQ3043" s="498">
        <f t="shared" si="1066"/>
        <v>0</v>
      </c>
      <c r="AU3043" s="498">
        <f t="shared" si="1053"/>
        <v>0</v>
      </c>
      <c r="AV3043" s="498">
        <f t="shared" si="1054"/>
        <v>0</v>
      </c>
      <c r="AW3043" s="498">
        <f t="shared" si="1055"/>
        <v>0</v>
      </c>
      <c r="AX3043" s="498">
        <f t="shared" si="1056"/>
        <v>0</v>
      </c>
      <c r="AY3043" s="498">
        <f t="shared" si="1057"/>
        <v>0</v>
      </c>
      <c r="BB3043" s="498" t="str">
        <f t="shared" si="1058"/>
        <v/>
      </c>
      <c r="BC3043" s="743" t="str">
        <f t="shared" si="1059"/>
        <v/>
      </c>
      <c r="BD3043" s="743" t="str">
        <f t="shared" si="1060"/>
        <v/>
      </c>
      <c r="BE3043" s="743" t="str">
        <f>IF(D3043="","",VLOOKUP(D3043,'General Basis'!$J$39:$K$46,2,0))</f>
        <v/>
      </c>
      <c r="BF3043" s="744" t="str">
        <f>IF(D3043="","",VLOOKUP(D3043,'General Basis'!$J$39:$L$46,3,0))</f>
        <v/>
      </c>
      <c r="BG3043" s="744" t="str">
        <f t="shared" si="1067"/>
        <v/>
      </c>
      <c r="BH3043" s="744" t="str">
        <f>IF(G3043="","",IF(BF3043="Abu Dhabi",IF(G3043&lt;18,'General Basis'!$C$39,IF(G3043&lt;41,'General Basis'!$C$40,IF(G3043&lt;60,'General Basis'!$C$41,IF(G3043&lt;65,'General Basis'!$C$42,'General Basis'!$C$43)))),IF(G3043&lt;11,'General Basis'!$B$39,IF(G3043&lt;18,'General Basis'!$B$40,IF(G3043&lt;26,'General Basis'!$B$41,IF(G3043&lt;31,'General Basis'!$B$42,IF(G3043&lt;36,'General Basis'!$B$43,IF(G3043&lt;41,'General Basis'!$B$44,IF(G3043&lt;46,'General Basis'!$B$45,IF(G3043&lt;51,'General Basis'!$B$46,IF(G3043&lt;56,'General Basis'!$B$47,IF(G3043&lt;60,'General Basis'!$B$48,IF(G3043&lt;65,'General Basis'!$B$49,'General Basis'!$B$50)))))))))))))</f>
        <v/>
      </c>
      <c r="BI3043" s="744" t="str">
        <f t="shared" si="1061"/>
        <v/>
      </c>
      <c r="BJ3043" s="747" t="str">
        <f t="shared" si="1068"/>
        <v/>
      </c>
      <c r="BK3043" s="498" t="str">
        <f t="shared" si="1062"/>
        <v/>
      </c>
      <c r="BL3043" s="498" t="str">
        <f t="shared" si="1063"/>
        <v/>
      </c>
    </row>
    <row r="3044" spans="1:64" x14ac:dyDescent="0.25">
      <c r="A3044" s="762">
        <f t="shared" si="1064"/>
        <v>3039</v>
      </c>
      <c r="B3044" s="229"/>
      <c r="C3044" s="223"/>
      <c r="D3044" s="224"/>
      <c r="E3044" s="225"/>
      <c r="F3044" s="1036" t="str">
        <f t="shared" si="1070"/>
        <v/>
      </c>
      <c r="G3044" s="1037" t="str">
        <f t="shared" si="1065"/>
        <v/>
      </c>
      <c r="H3044" s="225"/>
      <c r="I3044" s="1013"/>
      <c r="J3044" s="1013"/>
      <c r="K3044" s="1028"/>
      <c r="L3044" s="1035" t="str">
        <f t="shared" si="1069"/>
        <v/>
      </c>
      <c r="S3044" s="498"/>
      <c r="AJ3044" s="498"/>
      <c r="AM3044" s="498">
        <f t="shared" si="1050"/>
        <v>0</v>
      </c>
      <c r="AN3044" s="498">
        <f t="shared" si="1051"/>
        <v>0</v>
      </c>
      <c r="AO3044" s="498">
        <f t="shared" si="1052"/>
        <v>0</v>
      </c>
      <c r="AP3044" s="498">
        <f t="shared" si="1071"/>
        <v>0</v>
      </c>
      <c r="AQ3044" s="498">
        <f t="shared" si="1066"/>
        <v>0</v>
      </c>
      <c r="AU3044" s="498">
        <f t="shared" si="1053"/>
        <v>0</v>
      </c>
      <c r="AV3044" s="498">
        <f t="shared" si="1054"/>
        <v>0</v>
      </c>
      <c r="AW3044" s="498">
        <f t="shared" si="1055"/>
        <v>0</v>
      </c>
      <c r="AX3044" s="498">
        <f t="shared" si="1056"/>
        <v>0</v>
      </c>
      <c r="AY3044" s="498">
        <f t="shared" si="1057"/>
        <v>0</v>
      </c>
      <c r="BB3044" s="498" t="str">
        <f t="shared" si="1058"/>
        <v/>
      </c>
      <c r="BC3044" s="743" t="str">
        <f t="shared" si="1059"/>
        <v/>
      </c>
      <c r="BD3044" s="743" t="str">
        <f t="shared" si="1060"/>
        <v/>
      </c>
      <c r="BE3044" s="743" t="str">
        <f>IF(D3044="","",VLOOKUP(D3044,'General Basis'!$J$39:$K$46,2,0))</f>
        <v/>
      </c>
      <c r="BF3044" s="744" t="str">
        <f>IF(D3044="","",VLOOKUP(D3044,'General Basis'!$J$39:$L$46,3,0))</f>
        <v/>
      </c>
      <c r="BG3044" s="744" t="str">
        <f t="shared" si="1067"/>
        <v/>
      </c>
      <c r="BH3044" s="744" t="str">
        <f>IF(G3044="","",IF(BF3044="Abu Dhabi",IF(G3044&lt;18,'General Basis'!$C$39,IF(G3044&lt;41,'General Basis'!$C$40,IF(G3044&lt;60,'General Basis'!$C$41,IF(G3044&lt;65,'General Basis'!$C$42,'General Basis'!$C$43)))),IF(G3044&lt;11,'General Basis'!$B$39,IF(G3044&lt;18,'General Basis'!$B$40,IF(G3044&lt;26,'General Basis'!$B$41,IF(G3044&lt;31,'General Basis'!$B$42,IF(G3044&lt;36,'General Basis'!$B$43,IF(G3044&lt;41,'General Basis'!$B$44,IF(G3044&lt;46,'General Basis'!$B$45,IF(G3044&lt;51,'General Basis'!$B$46,IF(G3044&lt;56,'General Basis'!$B$47,IF(G3044&lt;60,'General Basis'!$B$48,IF(G3044&lt;65,'General Basis'!$B$49,'General Basis'!$B$50)))))))))))))</f>
        <v/>
      </c>
      <c r="BI3044" s="744" t="str">
        <f t="shared" si="1061"/>
        <v/>
      </c>
      <c r="BJ3044" s="747" t="str">
        <f t="shared" si="1068"/>
        <v/>
      </c>
      <c r="BK3044" s="498" t="str">
        <f t="shared" si="1062"/>
        <v/>
      </c>
      <c r="BL3044" s="498" t="str">
        <f t="shared" si="1063"/>
        <v/>
      </c>
    </row>
    <row r="3045" spans="1:64" x14ac:dyDescent="0.25">
      <c r="A3045" s="762">
        <f t="shared" si="1064"/>
        <v>3040</v>
      </c>
      <c r="B3045" s="229"/>
      <c r="C3045" s="223"/>
      <c r="D3045" s="224"/>
      <c r="E3045" s="225"/>
      <c r="F3045" s="1036" t="str">
        <f t="shared" si="1070"/>
        <v/>
      </c>
      <c r="G3045" s="1037" t="str">
        <f t="shared" si="1065"/>
        <v/>
      </c>
      <c r="H3045" s="225"/>
      <c r="I3045" s="1013"/>
      <c r="J3045" s="1013"/>
      <c r="K3045" s="1028"/>
      <c r="L3045" s="1035" t="str">
        <f t="shared" si="1069"/>
        <v/>
      </c>
      <c r="S3045" s="498"/>
      <c r="AJ3045" s="498"/>
      <c r="AM3045" s="498">
        <f t="shared" si="1050"/>
        <v>0</v>
      </c>
      <c r="AN3045" s="498">
        <f t="shared" si="1051"/>
        <v>0</v>
      </c>
      <c r="AO3045" s="498">
        <f t="shared" si="1052"/>
        <v>0</v>
      </c>
      <c r="AP3045" s="498">
        <f t="shared" si="1071"/>
        <v>0</v>
      </c>
      <c r="AQ3045" s="498">
        <f t="shared" si="1066"/>
        <v>0</v>
      </c>
      <c r="AU3045" s="498">
        <f t="shared" si="1053"/>
        <v>0</v>
      </c>
      <c r="AV3045" s="498">
        <f t="shared" si="1054"/>
        <v>0</v>
      </c>
      <c r="AW3045" s="498">
        <f t="shared" si="1055"/>
        <v>0</v>
      </c>
      <c r="AX3045" s="498">
        <f t="shared" si="1056"/>
        <v>0</v>
      </c>
      <c r="AY3045" s="498">
        <f t="shared" si="1057"/>
        <v>0</v>
      </c>
      <c r="BB3045" s="498" t="str">
        <f t="shared" si="1058"/>
        <v/>
      </c>
      <c r="BC3045" s="743" t="str">
        <f t="shared" si="1059"/>
        <v/>
      </c>
      <c r="BD3045" s="743" t="str">
        <f t="shared" si="1060"/>
        <v/>
      </c>
      <c r="BE3045" s="743" t="str">
        <f>IF(D3045="","",VLOOKUP(D3045,'General Basis'!$J$39:$K$46,2,0))</f>
        <v/>
      </c>
      <c r="BF3045" s="744" t="str">
        <f>IF(D3045="","",VLOOKUP(D3045,'General Basis'!$J$39:$L$46,3,0))</f>
        <v/>
      </c>
      <c r="BG3045" s="744" t="str">
        <f t="shared" si="1067"/>
        <v/>
      </c>
      <c r="BH3045" s="744" t="str">
        <f>IF(G3045="","",IF(BF3045="Abu Dhabi",IF(G3045&lt;18,'General Basis'!$C$39,IF(G3045&lt;41,'General Basis'!$C$40,IF(G3045&lt;60,'General Basis'!$C$41,IF(G3045&lt;65,'General Basis'!$C$42,'General Basis'!$C$43)))),IF(G3045&lt;11,'General Basis'!$B$39,IF(G3045&lt;18,'General Basis'!$B$40,IF(G3045&lt;26,'General Basis'!$B$41,IF(G3045&lt;31,'General Basis'!$B$42,IF(G3045&lt;36,'General Basis'!$B$43,IF(G3045&lt;41,'General Basis'!$B$44,IF(G3045&lt;46,'General Basis'!$B$45,IF(G3045&lt;51,'General Basis'!$B$46,IF(G3045&lt;56,'General Basis'!$B$47,IF(G3045&lt;60,'General Basis'!$B$48,IF(G3045&lt;65,'General Basis'!$B$49,'General Basis'!$B$50)))))))))))))</f>
        <v/>
      </c>
      <c r="BI3045" s="744" t="str">
        <f t="shared" si="1061"/>
        <v/>
      </c>
      <c r="BJ3045" s="747" t="str">
        <f t="shared" si="1068"/>
        <v/>
      </c>
      <c r="BK3045" s="498" t="str">
        <f t="shared" si="1062"/>
        <v/>
      </c>
      <c r="BL3045" s="498" t="str">
        <f t="shared" si="1063"/>
        <v/>
      </c>
    </row>
    <row r="3046" spans="1:64" x14ac:dyDescent="0.25">
      <c r="A3046" s="762">
        <f t="shared" si="1064"/>
        <v>3041</v>
      </c>
      <c r="B3046" s="229"/>
      <c r="C3046" s="223"/>
      <c r="D3046" s="224"/>
      <c r="E3046" s="225"/>
      <c r="F3046" s="1036" t="str">
        <f t="shared" si="1070"/>
        <v/>
      </c>
      <c r="G3046" s="1037" t="str">
        <f t="shared" si="1065"/>
        <v/>
      </c>
      <c r="H3046" s="225"/>
      <c r="I3046" s="1013"/>
      <c r="J3046" s="1013"/>
      <c r="K3046" s="1028"/>
      <c r="L3046" s="1035" t="str">
        <f t="shared" si="1069"/>
        <v/>
      </c>
      <c r="S3046" s="498"/>
      <c r="AJ3046" s="498"/>
      <c r="AM3046" s="498">
        <f t="shared" si="1050"/>
        <v>0</v>
      </c>
      <c r="AN3046" s="498">
        <f t="shared" si="1051"/>
        <v>0</v>
      </c>
      <c r="AO3046" s="498">
        <f t="shared" si="1052"/>
        <v>0</v>
      </c>
      <c r="AP3046" s="498">
        <f t="shared" si="1071"/>
        <v>0</v>
      </c>
      <c r="AQ3046" s="498">
        <f t="shared" si="1066"/>
        <v>0</v>
      </c>
      <c r="AU3046" s="498">
        <f t="shared" si="1053"/>
        <v>0</v>
      </c>
      <c r="AV3046" s="498">
        <f t="shared" si="1054"/>
        <v>0</v>
      </c>
      <c r="AW3046" s="498">
        <f t="shared" si="1055"/>
        <v>0</v>
      </c>
      <c r="AX3046" s="498">
        <f t="shared" si="1056"/>
        <v>0</v>
      </c>
      <c r="AY3046" s="498">
        <f t="shared" si="1057"/>
        <v>0</v>
      </c>
      <c r="BB3046" s="498" t="str">
        <f t="shared" si="1058"/>
        <v/>
      </c>
      <c r="BC3046" s="743" t="str">
        <f t="shared" si="1059"/>
        <v/>
      </c>
      <c r="BD3046" s="743" t="str">
        <f t="shared" si="1060"/>
        <v/>
      </c>
      <c r="BE3046" s="743" t="str">
        <f>IF(D3046="","",VLOOKUP(D3046,'General Basis'!$J$39:$K$46,2,0))</f>
        <v/>
      </c>
      <c r="BF3046" s="744" t="str">
        <f>IF(D3046="","",VLOOKUP(D3046,'General Basis'!$J$39:$L$46,3,0))</f>
        <v/>
      </c>
      <c r="BG3046" s="744" t="str">
        <f t="shared" si="1067"/>
        <v/>
      </c>
      <c r="BH3046" s="744" t="str">
        <f>IF(G3046="","",IF(BF3046="Abu Dhabi",IF(G3046&lt;18,'General Basis'!$C$39,IF(G3046&lt;41,'General Basis'!$C$40,IF(G3046&lt;60,'General Basis'!$C$41,IF(G3046&lt;65,'General Basis'!$C$42,'General Basis'!$C$43)))),IF(G3046&lt;11,'General Basis'!$B$39,IF(G3046&lt;18,'General Basis'!$B$40,IF(G3046&lt;26,'General Basis'!$B$41,IF(G3046&lt;31,'General Basis'!$B$42,IF(G3046&lt;36,'General Basis'!$B$43,IF(G3046&lt;41,'General Basis'!$B$44,IF(G3046&lt;46,'General Basis'!$B$45,IF(G3046&lt;51,'General Basis'!$B$46,IF(G3046&lt;56,'General Basis'!$B$47,IF(G3046&lt;60,'General Basis'!$B$48,IF(G3046&lt;65,'General Basis'!$B$49,'General Basis'!$B$50)))))))))))))</f>
        <v/>
      </c>
      <c r="BI3046" s="744" t="str">
        <f t="shared" si="1061"/>
        <v/>
      </c>
      <c r="BJ3046" s="747" t="str">
        <f t="shared" si="1068"/>
        <v/>
      </c>
      <c r="BK3046" s="498" t="str">
        <f t="shared" si="1062"/>
        <v/>
      </c>
      <c r="BL3046" s="498" t="str">
        <f t="shared" si="1063"/>
        <v/>
      </c>
    </row>
    <row r="3047" spans="1:64" x14ac:dyDescent="0.25">
      <c r="A3047" s="762">
        <f t="shared" si="1064"/>
        <v>3042</v>
      </c>
      <c r="B3047" s="229"/>
      <c r="C3047" s="223"/>
      <c r="D3047" s="224"/>
      <c r="E3047" s="225"/>
      <c r="F3047" s="1036" t="str">
        <f t="shared" si="1070"/>
        <v/>
      </c>
      <c r="G3047" s="1037" t="str">
        <f t="shared" si="1065"/>
        <v/>
      </c>
      <c r="H3047" s="225"/>
      <c r="I3047" s="1013"/>
      <c r="J3047" s="1013"/>
      <c r="K3047" s="1028"/>
      <c r="L3047" s="1035" t="str">
        <f t="shared" si="1069"/>
        <v/>
      </c>
      <c r="S3047" s="498"/>
      <c r="AJ3047" s="498"/>
      <c r="AM3047" s="498">
        <f t="shared" si="1050"/>
        <v>0</v>
      </c>
      <c r="AN3047" s="498">
        <f t="shared" si="1051"/>
        <v>0</v>
      </c>
      <c r="AO3047" s="498">
        <f t="shared" si="1052"/>
        <v>0</v>
      </c>
      <c r="AP3047" s="498">
        <f t="shared" si="1071"/>
        <v>0</v>
      </c>
      <c r="AQ3047" s="498">
        <f t="shared" si="1066"/>
        <v>0</v>
      </c>
      <c r="AU3047" s="498">
        <f t="shared" si="1053"/>
        <v>0</v>
      </c>
      <c r="AV3047" s="498">
        <f t="shared" si="1054"/>
        <v>0</v>
      </c>
      <c r="AW3047" s="498">
        <f t="shared" si="1055"/>
        <v>0</v>
      </c>
      <c r="AX3047" s="498">
        <f t="shared" si="1056"/>
        <v>0</v>
      </c>
      <c r="AY3047" s="498">
        <f t="shared" si="1057"/>
        <v>0</v>
      </c>
      <c r="BB3047" s="498" t="str">
        <f t="shared" si="1058"/>
        <v/>
      </c>
      <c r="BC3047" s="743" t="str">
        <f t="shared" si="1059"/>
        <v/>
      </c>
      <c r="BD3047" s="743" t="str">
        <f t="shared" si="1060"/>
        <v/>
      </c>
      <c r="BE3047" s="743" t="str">
        <f>IF(D3047="","",VLOOKUP(D3047,'General Basis'!$J$39:$K$46,2,0))</f>
        <v/>
      </c>
      <c r="BF3047" s="744" t="str">
        <f>IF(D3047="","",VLOOKUP(D3047,'General Basis'!$J$39:$L$46,3,0))</f>
        <v/>
      </c>
      <c r="BG3047" s="744" t="str">
        <f t="shared" si="1067"/>
        <v/>
      </c>
      <c r="BH3047" s="744" t="str">
        <f>IF(G3047="","",IF(BF3047="Abu Dhabi",IF(G3047&lt;18,'General Basis'!$C$39,IF(G3047&lt;41,'General Basis'!$C$40,IF(G3047&lt;60,'General Basis'!$C$41,IF(G3047&lt;65,'General Basis'!$C$42,'General Basis'!$C$43)))),IF(G3047&lt;11,'General Basis'!$B$39,IF(G3047&lt;18,'General Basis'!$B$40,IF(G3047&lt;26,'General Basis'!$B$41,IF(G3047&lt;31,'General Basis'!$B$42,IF(G3047&lt;36,'General Basis'!$B$43,IF(G3047&lt;41,'General Basis'!$B$44,IF(G3047&lt;46,'General Basis'!$B$45,IF(G3047&lt;51,'General Basis'!$B$46,IF(G3047&lt;56,'General Basis'!$B$47,IF(G3047&lt;60,'General Basis'!$B$48,IF(G3047&lt;65,'General Basis'!$B$49,'General Basis'!$B$50)))))))))))))</f>
        <v/>
      </c>
      <c r="BI3047" s="744" t="str">
        <f t="shared" si="1061"/>
        <v/>
      </c>
      <c r="BJ3047" s="747" t="str">
        <f t="shared" si="1068"/>
        <v/>
      </c>
      <c r="BK3047" s="498" t="str">
        <f t="shared" si="1062"/>
        <v/>
      </c>
      <c r="BL3047" s="498" t="str">
        <f t="shared" si="1063"/>
        <v/>
      </c>
    </row>
    <row r="3048" spans="1:64" x14ac:dyDescent="0.25">
      <c r="A3048" s="762">
        <f t="shared" si="1064"/>
        <v>3043</v>
      </c>
      <c r="B3048" s="229"/>
      <c r="C3048" s="223"/>
      <c r="D3048" s="224"/>
      <c r="E3048" s="225"/>
      <c r="F3048" s="1036" t="str">
        <f t="shared" si="1070"/>
        <v/>
      </c>
      <c r="G3048" s="1037" t="str">
        <f t="shared" si="1065"/>
        <v/>
      </c>
      <c r="H3048" s="225"/>
      <c r="I3048" s="1013"/>
      <c r="J3048" s="1013"/>
      <c r="K3048" s="1028"/>
      <c r="L3048" s="1035" t="str">
        <f t="shared" si="1069"/>
        <v/>
      </c>
      <c r="S3048" s="498"/>
      <c r="AJ3048" s="498"/>
      <c r="AM3048" s="498">
        <f t="shared" si="1050"/>
        <v>0</v>
      </c>
      <c r="AN3048" s="498">
        <f t="shared" si="1051"/>
        <v>0</v>
      </c>
      <c r="AO3048" s="498">
        <f t="shared" si="1052"/>
        <v>0</v>
      </c>
      <c r="AP3048" s="498">
        <f t="shared" si="1071"/>
        <v>0</v>
      </c>
      <c r="AQ3048" s="498">
        <f t="shared" si="1066"/>
        <v>0</v>
      </c>
      <c r="AU3048" s="498">
        <f t="shared" si="1053"/>
        <v>0</v>
      </c>
      <c r="AV3048" s="498">
        <f t="shared" si="1054"/>
        <v>0</v>
      </c>
      <c r="AW3048" s="498">
        <f t="shared" si="1055"/>
        <v>0</v>
      </c>
      <c r="AX3048" s="498">
        <f t="shared" si="1056"/>
        <v>0</v>
      </c>
      <c r="AY3048" s="498">
        <f t="shared" si="1057"/>
        <v>0</v>
      </c>
      <c r="BB3048" s="498" t="str">
        <f t="shared" si="1058"/>
        <v/>
      </c>
      <c r="BC3048" s="743" t="str">
        <f t="shared" si="1059"/>
        <v/>
      </c>
      <c r="BD3048" s="743" t="str">
        <f t="shared" si="1060"/>
        <v/>
      </c>
      <c r="BE3048" s="743" t="str">
        <f>IF(D3048="","",VLOOKUP(D3048,'General Basis'!$J$39:$K$46,2,0))</f>
        <v/>
      </c>
      <c r="BF3048" s="744" t="str">
        <f>IF(D3048="","",VLOOKUP(D3048,'General Basis'!$J$39:$L$46,3,0))</f>
        <v/>
      </c>
      <c r="BG3048" s="744" t="str">
        <f t="shared" si="1067"/>
        <v/>
      </c>
      <c r="BH3048" s="744" t="str">
        <f>IF(G3048="","",IF(BF3048="Abu Dhabi",IF(G3048&lt;18,'General Basis'!$C$39,IF(G3048&lt;41,'General Basis'!$C$40,IF(G3048&lt;60,'General Basis'!$C$41,IF(G3048&lt;65,'General Basis'!$C$42,'General Basis'!$C$43)))),IF(G3048&lt;11,'General Basis'!$B$39,IF(G3048&lt;18,'General Basis'!$B$40,IF(G3048&lt;26,'General Basis'!$B$41,IF(G3048&lt;31,'General Basis'!$B$42,IF(G3048&lt;36,'General Basis'!$B$43,IF(G3048&lt;41,'General Basis'!$B$44,IF(G3048&lt;46,'General Basis'!$B$45,IF(G3048&lt;51,'General Basis'!$B$46,IF(G3048&lt;56,'General Basis'!$B$47,IF(G3048&lt;60,'General Basis'!$B$48,IF(G3048&lt;65,'General Basis'!$B$49,'General Basis'!$B$50)))))))))))))</f>
        <v/>
      </c>
      <c r="BI3048" s="744" t="str">
        <f t="shared" si="1061"/>
        <v/>
      </c>
      <c r="BJ3048" s="747" t="str">
        <f t="shared" si="1068"/>
        <v/>
      </c>
      <c r="BK3048" s="498" t="str">
        <f t="shared" si="1062"/>
        <v/>
      </c>
      <c r="BL3048" s="498" t="str">
        <f t="shared" si="1063"/>
        <v/>
      </c>
    </row>
    <row r="3049" spans="1:64" x14ac:dyDescent="0.25">
      <c r="A3049" s="762">
        <f t="shared" si="1064"/>
        <v>3044</v>
      </c>
      <c r="B3049" s="229"/>
      <c r="C3049" s="223"/>
      <c r="D3049" s="224"/>
      <c r="E3049" s="225"/>
      <c r="F3049" s="1036" t="str">
        <f t="shared" si="1070"/>
        <v/>
      </c>
      <c r="G3049" s="1037" t="str">
        <f t="shared" si="1065"/>
        <v/>
      </c>
      <c r="H3049" s="225"/>
      <c r="I3049" s="1013"/>
      <c r="J3049" s="1013"/>
      <c r="K3049" s="1028"/>
      <c r="L3049" s="1035" t="str">
        <f t="shared" si="1069"/>
        <v/>
      </c>
      <c r="S3049" s="498"/>
      <c r="AJ3049" s="498"/>
      <c r="AM3049" s="498">
        <f t="shared" si="1050"/>
        <v>0</v>
      </c>
      <c r="AN3049" s="498">
        <f t="shared" si="1051"/>
        <v>0</v>
      </c>
      <c r="AO3049" s="498">
        <f t="shared" si="1052"/>
        <v>0</v>
      </c>
      <c r="AP3049" s="498">
        <f t="shared" si="1071"/>
        <v>0</v>
      </c>
      <c r="AQ3049" s="498">
        <f t="shared" si="1066"/>
        <v>0</v>
      </c>
      <c r="AU3049" s="498">
        <f t="shared" si="1053"/>
        <v>0</v>
      </c>
      <c r="AV3049" s="498">
        <f t="shared" si="1054"/>
        <v>0</v>
      </c>
      <c r="AW3049" s="498">
        <f t="shared" si="1055"/>
        <v>0</v>
      </c>
      <c r="AX3049" s="498">
        <f t="shared" si="1056"/>
        <v>0</v>
      </c>
      <c r="AY3049" s="498">
        <f t="shared" si="1057"/>
        <v>0</v>
      </c>
      <c r="BB3049" s="498" t="str">
        <f t="shared" si="1058"/>
        <v/>
      </c>
      <c r="BC3049" s="743" t="str">
        <f t="shared" si="1059"/>
        <v/>
      </c>
      <c r="BD3049" s="743" t="str">
        <f t="shared" si="1060"/>
        <v/>
      </c>
      <c r="BE3049" s="743" t="str">
        <f>IF(D3049="","",VLOOKUP(D3049,'General Basis'!$J$39:$K$46,2,0))</f>
        <v/>
      </c>
      <c r="BF3049" s="744" t="str">
        <f>IF(D3049="","",VLOOKUP(D3049,'General Basis'!$J$39:$L$46,3,0))</f>
        <v/>
      </c>
      <c r="BG3049" s="744" t="str">
        <f t="shared" si="1067"/>
        <v/>
      </c>
      <c r="BH3049" s="744" t="str">
        <f>IF(G3049="","",IF(BF3049="Abu Dhabi",IF(G3049&lt;18,'General Basis'!$C$39,IF(G3049&lt;41,'General Basis'!$C$40,IF(G3049&lt;60,'General Basis'!$C$41,IF(G3049&lt;65,'General Basis'!$C$42,'General Basis'!$C$43)))),IF(G3049&lt;11,'General Basis'!$B$39,IF(G3049&lt;18,'General Basis'!$B$40,IF(G3049&lt;26,'General Basis'!$B$41,IF(G3049&lt;31,'General Basis'!$B$42,IF(G3049&lt;36,'General Basis'!$B$43,IF(G3049&lt;41,'General Basis'!$B$44,IF(G3049&lt;46,'General Basis'!$B$45,IF(G3049&lt;51,'General Basis'!$B$46,IF(G3049&lt;56,'General Basis'!$B$47,IF(G3049&lt;60,'General Basis'!$B$48,IF(G3049&lt;65,'General Basis'!$B$49,'General Basis'!$B$50)))))))))))))</f>
        <v/>
      </c>
      <c r="BI3049" s="744" t="str">
        <f t="shared" si="1061"/>
        <v/>
      </c>
      <c r="BJ3049" s="747" t="str">
        <f t="shared" si="1068"/>
        <v/>
      </c>
      <c r="BK3049" s="498" t="str">
        <f t="shared" si="1062"/>
        <v/>
      </c>
      <c r="BL3049" s="498" t="str">
        <f t="shared" si="1063"/>
        <v/>
      </c>
    </row>
    <row r="3050" spans="1:64" x14ac:dyDescent="0.25">
      <c r="A3050" s="762">
        <f t="shared" si="1064"/>
        <v>3045</v>
      </c>
      <c r="B3050" s="229"/>
      <c r="C3050" s="223"/>
      <c r="D3050" s="224"/>
      <c r="E3050" s="225"/>
      <c r="F3050" s="1036" t="str">
        <f t="shared" si="1070"/>
        <v/>
      </c>
      <c r="G3050" s="1037" t="str">
        <f t="shared" si="1065"/>
        <v/>
      </c>
      <c r="H3050" s="225"/>
      <c r="I3050" s="1013"/>
      <c r="J3050" s="1013"/>
      <c r="K3050" s="1028"/>
      <c r="L3050" s="1035" t="str">
        <f t="shared" si="1069"/>
        <v/>
      </c>
      <c r="S3050" s="498"/>
      <c r="AJ3050" s="498"/>
      <c r="AM3050" s="498">
        <f t="shared" si="1050"/>
        <v>0</v>
      </c>
      <c r="AN3050" s="498">
        <f t="shared" si="1051"/>
        <v>0</v>
      </c>
      <c r="AO3050" s="498">
        <f t="shared" si="1052"/>
        <v>0</v>
      </c>
      <c r="AP3050" s="498">
        <f t="shared" si="1071"/>
        <v>0</v>
      </c>
      <c r="AQ3050" s="498">
        <f t="shared" si="1066"/>
        <v>0</v>
      </c>
      <c r="AU3050" s="498">
        <f t="shared" si="1053"/>
        <v>0</v>
      </c>
      <c r="AV3050" s="498">
        <f t="shared" si="1054"/>
        <v>0</v>
      </c>
      <c r="AW3050" s="498">
        <f t="shared" si="1055"/>
        <v>0</v>
      </c>
      <c r="AX3050" s="498">
        <f t="shared" si="1056"/>
        <v>0</v>
      </c>
      <c r="AY3050" s="498">
        <f t="shared" si="1057"/>
        <v>0</v>
      </c>
      <c r="BB3050" s="498" t="str">
        <f t="shared" si="1058"/>
        <v/>
      </c>
      <c r="BC3050" s="743" t="str">
        <f t="shared" si="1059"/>
        <v/>
      </c>
      <c r="BD3050" s="743" t="str">
        <f t="shared" si="1060"/>
        <v/>
      </c>
      <c r="BE3050" s="743" t="str">
        <f>IF(D3050="","",VLOOKUP(D3050,'General Basis'!$J$39:$K$46,2,0))</f>
        <v/>
      </c>
      <c r="BF3050" s="744" t="str">
        <f>IF(D3050="","",VLOOKUP(D3050,'General Basis'!$J$39:$L$46,3,0))</f>
        <v/>
      </c>
      <c r="BG3050" s="744" t="str">
        <f t="shared" si="1067"/>
        <v/>
      </c>
      <c r="BH3050" s="744" t="str">
        <f>IF(G3050="","",IF(BF3050="Abu Dhabi",IF(G3050&lt;18,'General Basis'!$C$39,IF(G3050&lt;41,'General Basis'!$C$40,IF(G3050&lt;60,'General Basis'!$C$41,IF(G3050&lt;65,'General Basis'!$C$42,'General Basis'!$C$43)))),IF(G3050&lt;11,'General Basis'!$B$39,IF(G3050&lt;18,'General Basis'!$B$40,IF(G3050&lt;26,'General Basis'!$B$41,IF(G3050&lt;31,'General Basis'!$B$42,IF(G3050&lt;36,'General Basis'!$B$43,IF(G3050&lt;41,'General Basis'!$B$44,IF(G3050&lt;46,'General Basis'!$B$45,IF(G3050&lt;51,'General Basis'!$B$46,IF(G3050&lt;56,'General Basis'!$B$47,IF(G3050&lt;60,'General Basis'!$B$48,IF(G3050&lt;65,'General Basis'!$B$49,'General Basis'!$B$50)))))))))))))</f>
        <v/>
      </c>
      <c r="BI3050" s="744" t="str">
        <f t="shared" si="1061"/>
        <v/>
      </c>
      <c r="BJ3050" s="747" t="str">
        <f t="shared" si="1068"/>
        <v/>
      </c>
      <c r="BK3050" s="498" t="str">
        <f t="shared" si="1062"/>
        <v/>
      </c>
      <c r="BL3050" s="498" t="str">
        <f t="shared" si="1063"/>
        <v/>
      </c>
    </row>
    <row r="3051" spans="1:64" x14ac:dyDescent="0.25">
      <c r="A3051" s="762">
        <f t="shared" si="1064"/>
        <v>3046</v>
      </c>
      <c r="B3051" s="229"/>
      <c r="C3051" s="223"/>
      <c r="D3051" s="224"/>
      <c r="E3051" s="225"/>
      <c r="F3051" s="1036" t="str">
        <f t="shared" si="1070"/>
        <v/>
      </c>
      <c r="G3051" s="1037" t="str">
        <f t="shared" si="1065"/>
        <v/>
      </c>
      <c r="H3051" s="225"/>
      <c r="I3051" s="1013"/>
      <c r="J3051" s="1013"/>
      <c r="K3051" s="1028"/>
      <c r="L3051" s="1035" t="str">
        <f t="shared" si="1069"/>
        <v/>
      </c>
      <c r="S3051" s="498"/>
      <c r="AJ3051" s="498"/>
      <c r="AM3051" s="498">
        <f t="shared" si="1050"/>
        <v>0</v>
      </c>
      <c r="AN3051" s="498">
        <f t="shared" si="1051"/>
        <v>0</v>
      </c>
      <c r="AO3051" s="498">
        <f t="shared" si="1052"/>
        <v>0</v>
      </c>
      <c r="AP3051" s="498">
        <f t="shared" si="1071"/>
        <v>0</v>
      </c>
      <c r="AQ3051" s="498">
        <f t="shared" si="1066"/>
        <v>0</v>
      </c>
      <c r="AU3051" s="498">
        <f t="shared" si="1053"/>
        <v>0</v>
      </c>
      <c r="AV3051" s="498">
        <f t="shared" si="1054"/>
        <v>0</v>
      </c>
      <c r="AW3051" s="498">
        <f t="shared" si="1055"/>
        <v>0</v>
      </c>
      <c r="AX3051" s="498">
        <f t="shared" si="1056"/>
        <v>0</v>
      </c>
      <c r="AY3051" s="498">
        <f t="shared" si="1057"/>
        <v>0</v>
      </c>
      <c r="BB3051" s="498" t="str">
        <f t="shared" si="1058"/>
        <v/>
      </c>
      <c r="BC3051" s="743" t="str">
        <f t="shared" si="1059"/>
        <v/>
      </c>
      <c r="BD3051" s="743" t="str">
        <f t="shared" si="1060"/>
        <v/>
      </c>
      <c r="BE3051" s="743" t="str">
        <f>IF(D3051="","",VLOOKUP(D3051,'General Basis'!$J$39:$K$46,2,0))</f>
        <v/>
      </c>
      <c r="BF3051" s="744" t="str">
        <f>IF(D3051="","",VLOOKUP(D3051,'General Basis'!$J$39:$L$46,3,0))</f>
        <v/>
      </c>
      <c r="BG3051" s="744" t="str">
        <f t="shared" si="1067"/>
        <v/>
      </c>
      <c r="BH3051" s="744" t="str">
        <f>IF(G3051="","",IF(BF3051="Abu Dhabi",IF(G3051&lt;18,'General Basis'!$C$39,IF(G3051&lt;41,'General Basis'!$C$40,IF(G3051&lt;60,'General Basis'!$C$41,IF(G3051&lt;65,'General Basis'!$C$42,'General Basis'!$C$43)))),IF(G3051&lt;11,'General Basis'!$B$39,IF(G3051&lt;18,'General Basis'!$B$40,IF(G3051&lt;26,'General Basis'!$B$41,IF(G3051&lt;31,'General Basis'!$B$42,IF(G3051&lt;36,'General Basis'!$B$43,IF(G3051&lt;41,'General Basis'!$B$44,IF(G3051&lt;46,'General Basis'!$B$45,IF(G3051&lt;51,'General Basis'!$B$46,IF(G3051&lt;56,'General Basis'!$B$47,IF(G3051&lt;60,'General Basis'!$B$48,IF(G3051&lt;65,'General Basis'!$B$49,'General Basis'!$B$50)))))))))))))</f>
        <v/>
      </c>
      <c r="BI3051" s="744" t="str">
        <f t="shared" si="1061"/>
        <v/>
      </c>
      <c r="BJ3051" s="747" t="str">
        <f t="shared" si="1068"/>
        <v/>
      </c>
      <c r="BK3051" s="498" t="str">
        <f t="shared" si="1062"/>
        <v/>
      </c>
      <c r="BL3051" s="498" t="str">
        <f t="shared" si="1063"/>
        <v/>
      </c>
    </row>
    <row r="3052" spans="1:64" x14ac:dyDescent="0.25">
      <c r="A3052" s="762">
        <f t="shared" si="1064"/>
        <v>3047</v>
      </c>
      <c r="B3052" s="229"/>
      <c r="C3052" s="223"/>
      <c r="D3052" s="224"/>
      <c r="E3052" s="225"/>
      <c r="F3052" s="1036" t="str">
        <f t="shared" si="1070"/>
        <v/>
      </c>
      <c r="G3052" s="1037" t="str">
        <f t="shared" si="1065"/>
        <v/>
      </c>
      <c r="H3052" s="225"/>
      <c r="I3052" s="1013"/>
      <c r="J3052" s="1013"/>
      <c r="K3052" s="1028"/>
      <c r="L3052" s="1035" t="str">
        <f t="shared" si="1069"/>
        <v/>
      </c>
      <c r="S3052" s="498"/>
      <c r="AJ3052" s="498"/>
      <c r="AM3052" s="498">
        <f t="shared" si="1050"/>
        <v>0</v>
      </c>
      <c r="AN3052" s="498">
        <f t="shared" si="1051"/>
        <v>0</v>
      </c>
      <c r="AO3052" s="498">
        <f t="shared" si="1052"/>
        <v>0</v>
      </c>
      <c r="AP3052" s="498">
        <f t="shared" si="1071"/>
        <v>0</v>
      </c>
      <c r="AQ3052" s="498">
        <f t="shared" si="1066"/>
        <v>0</v>
      </c>
      <c r="AU3052" s="498">
        <f t="shared" si="1053"/>
        <v>0</v>
      </c>
      <c r="AV3052" s="498">
        <f t="shared" si="1054"/>
        <v>0</v>
      </c>
      <c r="AW3052" s="498">
        <f t="shared" si="1055"/>
        <v>0</v>
      </c>
      <c r="AX3052" s="498">
        <f t="shared" si="1056"/>
        <v>0</v>
      </c>
      <c r="AY3052" s="498">
        <f t="shared" si="1057"/>
        <v>0</v>
      </c>
      <c r="BB3052" s="498" t="str">
        <f t="shared" si="1058"/>
        <v/>
      </c>
      <c r="BC3052" s="743" t="str">
        <f t="shared" si="1059"/>
        <v/>
      </c>
      <c r="BD3052" s="743" t="str">
        <f t="shared" si="1060"/>
        <v/>
      </c>
      <c r="BE3052" s="743" t="str">
        <f>IF(D3052="","",VLOOKUP(D3052,'General Basis'!$J$39:$K$46,2,0))</f>
        <v/>
      </c>
      <c r="BF3052" s="744" t="str">
        <f>IF(D3052="","",VLOOKUP(D3052,'General Basis'!$J$39:$L$46,3,0))</f>
        <v/>
      </c>
      <c r="BG3052" s="744" t="str">
        <f t="shared" si="1067"/>
        <v/>
      </c>
      <c r="BH3052" s="744" t="str">
        <f>IF(G3052="","",IF(BF3052="Abu Dhabi",IF(G3052&lt;18,'General Basis'!$C$39,IF(G3052&lt;41,'General Basis'!$C$40,IF(G3052&lt;60,'General Basis'!$C$41,IF(G3052&lt;65,'General Basis'!$C$42,'General Basis'!$C$43)))),IF(G3052&lt;11,'General Basis'!$B$39,IF(G3052&lt;18,'General Basis'!$B$40,IF(G3052&lt;26,'General Basis'!$B$41,IF(G3052&lt;31,'General Basis'!$B$42,IF(G3052&lt;36,'General Basis'!$B$43,IF(G3052&lt;41,'General Basis'!$B$44,IF(G3052&lt;46,'General Basis'!$B$45,IF(G3052&lt;51,'General Basis'!$B$46,IF(G3052&lt;56,'General Basis'!$B$47,IF(G3052&lt;60,'General Basis'!$B$48,IF(G3052&lt;65,'General Basis'!$B$49,'General Basis'!$B$50)))))))))))))</f>
        <v/>
      </c>
      <c r="BI3052" s="744" t="str">
        <f t="shared" si="1061"/>
        <v/>
      </c>
      <c r="BJ3052" s="747" t="str">
        <f t="shared" si="1068"/>
        <v/>
      </c>
      <c r="BK3052" s="498" t="str">
        <f t="shared" si="1062"/>
        <v/>
      </c>
      <c r="BL3052" s="498" t="str">
        <f t="shared" si="1063"/>
        <v/>
      </c>
    </row>
    <row r="3053" spans="1:64" x14ac:dyDescent="0.25">
      <c r="A3053" s="762">
        <f t="shared" si="1064"/>
        <v>3048</v>
      </c>
      <c r="B3053" s="229"/>
      <c r="C3053" s="223"/>
      <c r="D3053" s="224"/>
      <c r="E3053" s="225"/>
      <c r="F3053" s="1036" t="str">
        <f t="shared" si="1070"/>
        <v/>
      </c>
      <c r="G3053" s="1037" t="str">
        <f t="shared" si="1065"/>
        <v/>
      </c>
      <c r="H3053" s="225"/>
      <c r="I3053" s="1013"/>
      <c r="J3053" s="1013"/>
      <c r="K3053" s="1028"/>
      <c r="L3053" s="1035" t="str">
        <f t="shared" si="1069"/>
        <v/>
      </c>
      <c r="S3053" s="498"/>
      <c r="AJ3053" s="498"/>
      <c r="AM3053" s="498">
        <f t="shared" si="1050"/>
        <v>0</v>
      </c>
      <c r="AN3053" s="498">
        <f t="shared" si="1051"/>
        <v>0</v>
      </c>
      <c r="AO3053" s="498">
        <f t="shared" si="1052"/>
        <v>0</v>
      </c>
      <c r="AP3053" s="498">
        <f t="shared" si="1071"/>
        <v>0</v>
      </c>
      <c r="AQ3053" s="498">
        <f t="shared" si="1066"/>
        <v>0</v>
      </c>
      <c r="AU3053" s="498">
        <f t="shared" si="1053"/>
        <v>0</v>
      </c>
      <c r="AV3053" s="498">
        <f t="shared" si="1054"/>
        <v>0</v>
      </c>
      <c r="AW3053" s="498">
        <f t="shared" si="1055"/>
        <v>0</v>
      </c>
      <c r="AX3053" s="498">
        <f t="shared" si="1056"/>
        <v>0</v>
      </c>
      <c r="AY3053" s="498">
        <f t="shared" si="1057"/>
        <v>0</v>
      </c>
      <c r="BB3053" s="498" t="str">
        <f t="shared" si="1058"/>
        <v/>
      </c>
      <c r="BC3053" s="743" t="str">
        <f t="shared" si="1059"/>
        <v/>
      </c>
      <c r="BD3053" s="743" t="str">
        <f t="shared" si="1060"/>
        <v/>
      </c>
      <c r="BE3053" s="743" t="str">
        <f>IF(D3053="","",VLOOKUP(D3053,'General Basis'!$J$39:$K$46,2,0))</f>
        <v/>
      </c>
      <c r="BF3053" s="744" t="str">
        <f>IF(D3053="","",VLOOKUP(D3053,'General Basis'!$J$39:$L$46,3,0))</f>
        <v/>
      </c>
      <c r="BG3053" s="744" t="str">
        <f t="shared" si="1067"/>
        <v/>
      </c>
      <c r="BH3053" s="744" t="str">
        <f>IF(G3053="","",IF(BF3053="Abu Dhabi",IF(G3053&lt;18,'General Basis'!$C$39,IF(G3053&lt;41,'General Basis'!$C$40,IF(G3053&lt;60,'General Basis'!$C$41,IF(G3053&lt;65,'General Basis'!$C$42,'General Basis'!$C$43)))),IF(G3053&lt;11,'General Basis'!$B$39,IF(G3053&lt;18,'General Basis'!$B$40,IF(G3053&lt;26,'General Basis'!$B$41,IF(G3053&lt;31,'General Basis'!$B$42,IF(G3053&lt;36,'General Basis'!$B$43,IF(G3053&lt;41,'General Basis'!$B$44,IF(G3053&lt;46,'General Basis'!$B$45,IF(G3053&lt;51,'General Basis'!$B$46,IF(G3053&lt;56,'General Basis'!$B$47,IF(G3053&lt;60,'General Basis'!$B$48,IF(G3053&lt;65,'General Basis'!$B$49,'General Basis'!$B$50)))))))))))))</f>
        <v/>
      </c>
      <c r="BI3053" s="744" t="str">
        <f t="shared" si="1061"/>
        <v/>
      </c>
      <c r="BJ3053" s="747" t="str">
        <f t="shared" si="1068"/>
        <v/>
      </c>
      <c r="BK3053" s="498" t="str">
        <f t="shared" si="1062"/>
        <v/>
      </c>
      <c r="BL3053" s="498" t="str">
        <f t="shared" si="1063"/>
        <v/>
      </c>
    </row>
    <row r="3054" spans="1:64" x14ac:dyDescent="0.25">
      <c r="A3054" s="762">
        <f t="shared" si="1064"/>
        <v>3049</v>
      </c>
      <c r="B3054" s="229"/>
      <c r="C3054" s="223"/>
      <c r="D3054" s="224"/>
      <c r="E3054" s="225"/>
      <c r="F3054" s="1036" t="str">
        <f t="shared" si="1070"/>
        <v/>
      </c>
      <c r="G3054" s="1037" t="str">
        <f t="shared" si="1065"/>
        <v/>
      </c>
      <c r="H3054" s="225"/>
      <c r="I3054" s="1013"/>
      <c r="J3054" s="1013"/>
      <c r="K3054" s="1028"/>
      <c r="L3054" s="1035" t="str">
        <f t="shared" si="1069"/>
        <v/>
      </c>
      <c r="S3054" s="498"/>
      <c r="AJ3054" s="498"/>
      <c r="AM3054" s="498">
        <f t="shared" si="1050"/>
        <v>0</v>
      </c>
      <c r="AN3054" s="498">
        <f t="shared" si="1051"/>
        <v>0</v>
      </c>
      <c r="AO3054" s="498">
        <f t="shared" si="1052"/>
        <v>0</v>
      </c>
      <c r="AP3054" s="498">
        <f t="shared" si="1071"/>
        <v>0</v>
      </c>
      <c r="AQ3054" s="498">
        <f t="shared" si="1066"/>
        <v>0</v>
      </c>
      <c r="AU3054" s="498">
        <f t="shared" si="1053"/>
        <v>0</v>
      </c>
      <c r="AV3054" s="498">
        <f t="shared" si="1054"/>
        <v>0</v>
      </c>
      <c r="AW3054" s="498">
        <f t="shared" si="1055"/>
        <v>0</v>
      </c>
      <c r="AX3054" s="498">
        <f t="shared" si="1056"/>
        <v>0</v>
      </c>
      <c r="AY3054" s="498">
        <f t="shared" si="1057"/>
        <v>0</v>
      </c>
      <c r="BB3054" s="498" t="str">
        <f t="shared" si="1058"/>
        <v/>
      </c>
      <c r="BC3054" s="743" t="str">
        <f t="shared" si="1059"/>
        <v/>
      </c>
      <c r="BD3054" s="743" t="str">
        <f t="shared" si="1060"/>
        <v/>
      </c>
      <c r="BE3054" s="743" t="str">
        <f>IF(D3054="","",VLOOKUP(D3054,'General Basis'!$J$39:$K$46,2,0))</f>
        <v/>
      </c>
      <c r="BF3054" s="744" t="str">
        <f>IF(D3054="","",VLOOKUP(D3054,'General Basis'!$J$39:$L$46,3,0))</f>
        <v/>
      </c>
      <c r="BG3054" s="744" t="str">
        <f t="shared" si="1067"/>
        <v/>
      </c>
      <c r="BH3054" s="744" t="str">
        <f>IF(G3054="","",IF(BF3054="Abu Dhabi",IF(G3054&lt;18,'General Basis'!$C$39,IF(G3054&lt;41,'General Basis'!$C$40,IF(G3054&lt;60,'General Basis'!$C$41,IF(G3054&lt;65,'General Basis'!$C$42,'General Basis'!$C$43)))),IF(G3054&lt;11,'General Basis'!$B$39,IF(G3054&lt;18,'General Basis'!$B$40,IF(G3054&lt;26,'General Basis'!$B$41,IF(G3054&lt;31,'General Basis'!$B$42,IF(G3054&lt;36,'General Basis'!$B$43,IF(G3054&lt;41,'General Basis'!$B$44,IF(G3054&lt;46,'General Basis'!$B$45,IF(G3054&lt;51,'General Basis'!$B$46,IF(G3054&lt;56,'General Basis'!$B$47,IF(G3054&lt;60,'General Basis'!$B$48,IF(G3054&lt;65,'General Basis'!$B$49,'General Basis'!$B$50)))))))))))))</f>
        <v/>
      </c>
      <c r="BI3054" s="744" t="str">
        <f t="shared" si="1061"/>
        <v/>
      </c>
      <c r="BJ3054" s="747" t="str">
        <f t="shared" si="1068"/>
        <v/>
      </c>
      <c r="BK3054" s="498" t="str">
        <f t="shared" si="1062"/>
        <v/>
      </c>
      <c r="BL3054" s="498" t="str">
        <f t="shared" si="1063"/>
        <v/>
      </c>
    </row>
    <row r="3055" spans="1:64" x14ac:dyDescent="0.25">
      <c r="A3055" s="762">
        <f t="shared" si="1064"/>
        <v>3050</v>
      </c>
      <c r="B3055" s="229"/>
      <c r="C3055" s="223"/>
      <c r="D3055" s="224"/>
      <c r="E3055" s="225"/>
      <c r="F3055" s="1036" t="str">
        <f t="shared" si="1070"/>
        <v/>
      </c>
      <c r="G3055" s="1037" t="str">
        <f t="shared" si="1065"/>
        <v/>
      </c>
      <c r="H3055" s="225"/>
      <c r="I3055" s="1013"/>
      <c r="J3055" s="1013"/>
      <c r="K3055" s="1028"/>
      <c r="L3055" s="1035" t="str">
        <f t="shared" si="1069"/>
        <v/>
      </c>
      <c r="S3055" s="498"/>
      <c r="AJ3055" s="498"/>
      <c r="AM3055" s="498">
        <f t="shared" si="1050"/>
        <v>0</v>
      </c>
      <c r="AN3055" s="498">
        <f t="shared" si="1051"/>
        <v>0</v>
      </c>
      <c r="AO3055" s="498">
        <f t="shared" si="1052"/>
        <v>0</v>
      </c>
      <c r="AP3055" s="498">
        <f t="shared" si="1071"/>
        <v>0</v>
      </c>
      <c r="AQ3055" s="498">
        <f t="shared" si="1066"/>
        <v>0</v>
      </c>
      <c r="AU3055" s="498">
        <f t="shared" si="1053"/>
        <v>0</v>
      </c>
      <c r="AV3055" s="498">
        <f t="shared" si="1054"/>
        <v>0</v>
      </c>
      <c r="AW3055" s="498">
        <f t="shared" si="1055"/>
        <v>0</v>
      </c>
      <c r="AX3055" s="498">
        <f t="shared" si="1056"/>
        <v>0</v>
      </c>
      <c r="AY3055" s="498">
        <f t="shared" si="1057"/>
        <v>0</v>
      </c>
      <c r="BB3055" s="498" t="str">
        <f t="shared" si="1058"/>
        <v/>
      </c>
      <c r="BC3055" s="743" t="str">
        <f t="shared" si="1059"/>
        <v/>
      </c>
      <c r="BD3055" s="743" t="str">
        <f t="shared" si="1060"/>
        <v/>
      </c>
      <c r="BE3055" s="743" t="str">
        <f>IF(D3055="","",VLOOKUP(D3055,'General Basis'!$J$39:$K$46,2,0))</f>
        <v/>
      </c>
      <c r="BF3055" s="744" t="str">
        <f>IF(D3055="","",VLOOKUP(D3055,'General Basis'!$J$39:$L$46,3,0))</f>
        <v/>
      </c>
      <c r="BG3055" s="744" t="str">
        <f t="shared" si="1067"/>
        <v/>
      </c>
      <c r="BH3055" s="744" t="str">
        <f>IF(G3055="","",IF(BF3055="Abu Dhabi",IF(G3055&lt;18,'General Basis'!$C$39,IF(G3055&lt;41,'General Basis'!$C$40,IF(G3055&lt;60,'General Basis'!$C$41,IF(G3055&lt;65,'General Basis'!$C$42,'General Basis'!$C$43)))),IF(G3055&lt;11,'General Basis'!$B$39,IF(G3055&lt;18,'General Basis'!$B$40,IF(G3055&lt;26,'General Basis'!$B$41,IF(G3055&lt;31,'General Basis'!$B$42,IF(G3055&lt;36,'General Basis'!$B$43,IF(G3055&lt;41,'General Basis'!$B$44,IF(G3055&lt;46,'General Basis'!$B$45,IF(G3055&lt;51,'General Basis'!$B$46,IF(G3055&lt;56,'General Basis'!$B$47,IF(G3055&lt;60,'General Basis'!$B$48,IF(G3055&lt;65,'General Basis'!$B$49,'General Basis'!$B$50)))))))))))))</f>
        <v/>
      </c>
      <c r="BI3055" s="744" t="str">
        <f t="shared" si="1061"/>
        <v/>
      </c>
      <c r="BJ3055" s="747" t="str">
        <f t="shared" si="1068"/>
        <v/>
      </c>
      <c r="BK3055" s="498" t="str">
        <f t="shared" si="1062"/>
        <v/>
      </c>
      <c r="BL3055" s="498" t="str">
        <f t="shared" si="1063"/>
        <v/>
      </c>
    </row>
    <row r="3056" spans="1:64" x14ac:dyDescent="0.25">
      <c r="A3056" s="762">
        <f t="shared" si="1064"/>
        <v>3051</v>
      </c>
      <c r="B3056" s="229"/>
      <c r="C3056" s="223"/>
      <c r="D3056" s="224"/>
      <c r="E3056" s="225"/>
      <c r="F3056" s="1036" t="str">
        <f t="shared" si="1070"/>
        <v/>
      </c>
      <c r="G3056" s="1037" t="str">
        <f t="shared" si="1065"/>
        <v/>
      </c>
      <c r="H3056" s="225"/>
      <c r="I3056" s="1013"/>
      <c r="J3056" s="1013"/>
      <c r="K3056" s="1028"/>
      <c r="L3056" s="1035" t="str">
        <f t="shared" si="1069"/>
        <v/>
      </c>
      <c r="S3056" s="498"/>
      <c r="AJ3056" s="498"/>
      <c r="AM3056" s="498">
        <f t="shared" si="1050"/>
        <v>0</v>
      </c>
      <c r="AN3056" s="498">
        <f t="shared" si="1051"/>
        <v>0</v>
      </c>
      <c r="AO3056" s="498">
        <f t="shared" si="1052"/>
        <v>0</v>
      </c>
      <c r="AP3056" s="498">
        <f t="shared" si="1071"/>
        <v>0</v>
      </c>
      <c r="AQ3056" s="498">
        <f t="shared" si="1066"/>
        <v>0</v>
      </c>
      <c r="AU3056" s="498">
        <f t="shared" si="1053"/>
        <v>0</v>
      </c>
      <c r="AV3056" s="498">
        <f t="shared" si="1054"/>
        <v>0</v>
      </c>
      <c r="AW3056" s="498">
        <f t="shared" si="1055"/>
        <v>0</v>
      </c>
      <c r="AX3056" s="498">
        <f t="shared" si="1056"/>
        <v>0</v>
      </c>
      <c r="AY3056" s="498">
        <f t="shared" si="1057"/>
        <v>0</v>
      </c>
      <c r="BB3056" s="498" t="str">
        <f t="shared" si="1058"/>
        <v/>
      </c>
      <c r="BC3056" s="743" t="str">
        <f t="shared" si="1059"/>
        <v/>
      </c>
      <c r="BD3056" s="743" t="str">
        <f t="shared" si="1060"/>
        <v/>
      </c>
      <c r="BE3056" s="743" t="str">
        <f>IF(D3056="","",VLOOKUP(D3056,'General Basis'!$J$39:$K$46,2,0))</f>
        <v/>
      </c>
      <c r="BF3056" s="744" t="str">
        <f>IF(D3056="","",VLOOKUP(D3056,'General Basis'!$J$39:$L$46,3,0))</f>
        <v/>
      </c>
      <c r="BG3056" s="744" t="str">
        <f t="shared" si="1067"/>
        <v/>
      </c>
      <c r="BH3056" s="744" t="str">
        <f>IF(G3056="","",IF(BF3056="Abu Dhabi",IF(G3056&lt;18,'General Basis'!$C$39,IF(G3056&lt;41,'General Basis'!$C$40,IF(G3056&lt;60,'General Basis'!$C$41,IF(G3056&lt;65,'General Basis'!$C$42,'General Basis'!$C$43)))),IF(G3056&lt;11,'General Basis'!$B$39,IF(G3056&lt;18,'General Basis'!$B$40,IF(G3056&lt;26,'General Basis'!$B$41,IF(G3056&lt;31,'General Basis'!$B$42,IF(G3056&lt;36,'General Basis'!$B$43,IF(G3056&lt;41,'General Basis'!$B$44,IF(G3056&lt;46,'General Basis'!$B$45,IF(G3056&lt;51,'General Basis'!$B$46,IF(G3056&lt;56,'General Basis'!$B$47,IF(G3056&lt;60,'General Basis'!$B$48,IF(G3056&lt;65,'General Basis'!$B$49,'General Basis'!$B$50)))))))))))))</f>
        <v/>
      </c>
      <c r="BI3056" s="744" t="str">
        <f t="shared" si="1061"/>
        <v/>
      </c>
      <c r="BJ3056" s="747" t="str">
        <f t="shared" si="1068"/>
        <v/>
      </c>
      <c r="BK3056" s="498" t="str">
        <f t="shared" si="1062"/>
        <v/>
      </c>
      <c r="BL3056" s="498" t="str">
        <f t="shared" si="1063"/>
        <v/>
      </c>
    </row>
    <row r="3057" spans="1:64" x14ac:dyDescent="0.25">
      <c r="A3057" s="762">
        <f t="shared" si="1064"/>
        <v>3052</v>
      </c>
      <c r="B3057" s="229"/>
      <c r="C3057" s="223"/>
      <c r="D3057" s="224"/>
      <c r="E3057" s="225"/>
      <c r="F3057" s="1036" t="str">
        <f t="shared" si="1070"/>
        <v/>
      </c>
      <c r="G3057" s="1037" t="str">
        <f t="shared" si="1065"/>
        <v/>
      </c>
      <c r="H3057" s="225"/>
      <c r="I3057" s="1013"/>
      <c r="J3057" s="1013"/>
      <c r="K3057" s="1028"/>
      <c r="L3057" s="1035" t="str">
        <f t="shared" si="1069"/>
        <v/>
      </c>
      <c r="S3057" s="498"/>
      <c r="AJ3057" s="498"/>
      <c r="AM3057" s="498">
        <f t="shared" si="1050"/>
        <v>0</v>
      </c>
      <c r="AN3057" s="498">
        <f t="shared" si="1051"/>
        <v>0</v>
      </c>
      <c r="AO3057" s="498">
        <f t="shared" si="1052"/>
        <v>0</v>
      </c>
      <c r="AP3057" s="498">
        <f t="shared" si="1071"/>
        <v>0</v>
      </c>
      <c r="AQ3057" s="498">
        <f t="shared" si="1066"/>
        <v>0</v>
      </c>
      <c r="AU3057" s="498">
        <f t="shared" si="1053"/>
        <v>0</v>
      </c>
      <c r="AV3057" s="498">
        <f t="shared" si="1054"/>
        <v>0</v>
      </c>
      <c r="AW3057" s="498">
        <f t="shared" si="1055"/>
        <v>0</v>
      </c>
      <c r="AX3057" s="498">
        <f t="shared" si="1056"/>
        <v>0</v>
      </c>
      <c r="AY3057" s="498">
        <f t="shared" si="1057"/>
        <v>0</v>
      </c>
      <c r="BB3057" s="498" t="str">
        <f t="shared" si="1058"/>
        <v/>
      </c>
      <c r="BC3057" s="743" t="str">
        <f t="shared" si="1059"/>
        <v/>
      </c>
      <c r="BD3057" s="743" t="str">
        <f t="shared" si="1060"/>
        <v/>
      </c>
      <c r="BE3057" s="743" t="str">
        <f>IF(D3057="","",VLOOKUP(D3057,'General Basis'!$J$39:$K$46,2,0))</f>
        <v/>
      </c>
      <c r="BF3057" s="744" t="str">
        <f>IF(D3057="","",VLOOKUP(D3057,'General Basis'!$J$39:$L$46,3,0))</f>
        <v/>
      </c>
      <c r="BG3057" s="744" t="str">
        <f t="shared" si="1067"/>
        <v/>
      </c>
      <c r="BH3057" s="744" t="str">
        <f>IF(G3057="","",IF(BF3057="Abu Dhabi",IF(G3057&lt;18,'General Basis'!$C$39,IF(G3057&lt;41,'General Basis'!$C$40,IF(G3057&lt;60,'General Basis'!$C$41,IF(G3057&lt;65,'General Basis'!$C$42,'General Basis'!$C$43)))),IF(G3057&lt;11,'General Basis'!$B$39,IF(G3057&lt;18,'General Basis'!$B$40,IF(G3057&lt;26,'General Basis'!$B$41,IF(G3057&lt;31,'General Basis'!$B$42,IF(G3057&lt;36,'General Basis'!$B$43,IF(G3057&lt;41,'General Basis'!$B$44,IF(G3057&lt;46,'General Basis'!$B$45,IF(G3057&lt;51,'General Basis'!$B$46,IF(G3057&lt;56,'General Basis'!$B$47,IF(G3057&lt;60,'General Basis'!$B$48,IF(G3057&lt;65,'General Basis'!$B$49,'General Basis'!$B$50)))))))))))))</f>
        <v/>
      </c>
      <c r="BI3057" s="744" t="str">
        <f t="shared" si="1061"/>
        <v/>
      </c>
      <c r="BJ3057" s="747" t="str">
        <f t="shared" si="1068"/>
        <v/>
      </c>
      <c r="BK3057" s="498" t="str">
        <f t="shared" si="1062"/>
        <v/>
      </c>
      <c r="BL3057" s="498" t="str">
        <f t="shared" si="1063"/>
        <v/>
      </c>
    </row>
    <row r="3058" spans="1:64" x14ac:dyDescent="0.25">
      <c r="A3058" s="762">
        <f t="shared" si="1064"/>
        <v>3053</v>
      </c>
      <c r="B3058" s="229"/>
      <c r="C3058" s="223"/>
      <c r="D3058" s="224"/>
      <c r="E3058" s="225"/>
      <c r="F3058" s="1036" t="str">
        <f t="shared" si="1070"/>
        <v/>
      </c>
      <c r="G3058" s="1037" t="str">
        <f t="shared" si="1065"/>
        <v/>
      </c>
      <c r="H3058" s="225"/>
      <c r="I3058" s="1013"/>
      <c r="J3058" s="1013"/>
      <c r="K3058" s="1028"/>
      <c r="L3058" s="1035" t="str">
        <f t="shared" si="1069"/>
        <v/>
      </c>
      <c r="S3058" s="498"/>
      <c r="AJ3058" s="498"/>
      <c r="AM3058" s="498">
        <f t="shared" si="1050"/>
        <v>0</v>
      </c>
      <c r="AN3058" s="498">
        <f t="shared" si="1051"/>
        <v>0</v>
      </c>
      <c r="AO3058" s="498">
        <f t="shared" si="1052"/>
        <v>0</v>
      </c>
      <c r="AP3058" s="498">
        <f t="shared" si="1071"/>
        <v>0</v>
      </c>
      <c r="AQ3058" s="498">
        <f t="shared" si="1066"/>
        <v>0</v>
      </c>
      <c r="AU3058" s="498">
        <f t="shared" si="1053"/>
        <v>0</v>
      </c>
      <c r="AV3058" s="498">
        <f t="shared" si="1054"/>
        <v>0</v>
      </c>
      <c r="AW3058" s="498">
        <f t="shared" si="1055"/>
        <v>0</v>
      </c>
      <c r="AX3058" s="498">
        <f t="shared" si="1056"/>
        <v>0</v>
      </c>
      <c r="AY3058" s="498">
        <f t="shared" si="1057"/>
        <v>0</v>
      </c>
      <c r="BB3058" s="498" t="str">
        <f t="shared" si="1058"/>
        <v/>
      </c>
      <c r="BC3058" s="743" t="str">
        <f t="shared" si="1059"/>
        <v/>
      </c>
      <c r="BD3058" s="743" t="str">
        <f t="shared" si="1060"/>
        <v/>
      </c>
      <c r="BE3058" s="743" t="str">
        <f>IF(D3058="","",VLOOKUP(D3058,'General Basis'!$J$39:$K$46,2,0))</f>
        <v/>
      </c>
      <c r="BF3058" s="744" t="str">
        <f>IF(D3058="","",VLOOKUP(D3058,'General Basis'!$J$39:$L$46,3,0))</f>
        <v/>
      </c>
      <c r="BG3058" s="744" t="str">
        <f t="shared" si="1067"/>
        <v/>
      </c>
      <c r="BH3058" s="744" t="str">
        <f>IF(G3058="","",IF(BF3058="Abu Dhabi",IF(G3058&lt;18,'General Basis'!$C$39,IF(G3058&lt;41,'General Basis'!$C$40,IF(G3058&lt;60,'General Basis'!$C$41,IF(G3058&lt;65,'General Basis'!$C$42,'General Basis'!$C$43)))),IF(G3058&lt;11,'General Basis'!$B$39,IF(G3058&lt;18,'General Basis'!$B$40,IF(G3058&lt;26,'General Basis'!$B$41,IF(G3058&lt;31,'General Basis'!$B$42,IF(G3058&lt;36,'General Basis'!$B$43,IF(G3058&lt;41,'General Basis'!$B$44,IF(G3058&lt;46,'General Basis'!$B$45,IF(G3058&lt;51,'General Basis'!$B$46,IF(G3058&lt;56,'General Basis'!$B$47,IF(G3058&lt;60,'General Basis'!$B$48,IF(G3058&lt;65,'General Basis'!$B$49,'General Basis'!$B$50)))))))))))))</f>
        <v/>
      </c>
      <c r="BI3058" s="744" t="str">
        <f t="shared" si="1061"/>
        <v/>
      </c>
      <c r="BJ3058" s="747" t="str">
        <f t="shared" si="1068"/>
        <v/>
      </c>
      <c r="BK3058" s="498" t="str">
        <f t="shared" si="1062"/>
        <v/>
      </c>
      <c r="BL3058" s="498" t="str">
        <f t="shared" si="1063"/>
        <v/>
      </c>
    </row>
    <row r="3059" spans="1:64" x14ac:dyDescent="0.25">
      <c r="A3059" s="762">
        <f t="shared" si="1064"/>
        <v>3054</v>
      </c>
      <c r="B3059" s="229"/>
      <c r="C3059" s="223"/>
      <c r="D3059" s="224"/>
      <c r="E3059" s="225"/>
      <c r="F3059" s="1036" t="str">
        <f t="shared" si="1070"/>
        <v/>
      </c>
      <c r="G3059" s="1037" t="str">
        <f t="shared" si="1065"/>
        <v/>
      </c>
      <c r="H3059" s="225"/>
      <c r="I3059" s="1013"/>
      <c r="J3059" s="1013"/>
      <c r="K3059" s="1028"/>
      <c r="L3059" s="1035" t="str">
        <f t="shared" si="1069"/>
        <v/>
      </c>
      <c r="S3059" s="498"/>
      <c r="AJ3059" s="498"/>
      <c r="AM3059" s="498">
        <f t="shared" si="1050"/>
        <v>0</v>
      </c>
      <c r="AN3059" s="498">
        <f t="shared" si="1051"/>
        <v>0</v>
      </c>
      <c r="AO3059" s="498">
        <f t="shared" si="1052"/>
        <v>0</v>
      </c>
      <c r="AP3059" s="498">
        <f t="shared" si="1071"/>
        <v>0</v>
      </c>
      <c r="AQ3059" s="498">
        <f t="shared" si="1066"/>
        <v>0</v>
      </c>
      <c r="AU3059" s="498">
        <f t="shared" si="1053"/>
        <v>0</v>
      </c>
      <c r="AV3059" s="498">
        <f t="shared" si="1054"/>
        <v>0</v>
      </c>
      <c r="AW3059" s="498">
        <f t="shared" si="1055"/>
        <v>0</v>
      </c>
      <c r="AX3059" s="498">
        <f t="shared" si="1056"/>
        <v>0</v>
      </c>
      <c r="AY3059" s="498">
        <f t="shared" si="1057"/>
        <v>0</v>
      </c>
      <c r="BB3059" s="498" t="str">
        <f t="shared" si="1058"/>
        <v/>
      </c>
      <c r="BC3059" s="743" t="str">
        <f t="shared" si="1059"/>
        <v/>
      </c>
      <c r="BD3059" s="743" t="str">
        <f t="shared" si="1060"/>
        <v/>
      </c>
      <c r="BE3059" s="743" t="str">
        <f>IF(D3059="","",VLOOKUP(D3059,'General Basis'!$J$39:$K$46,2,0))</f>
        <v/>
      </c>
      <c r="BF3059" s="744" t="str">
        <f>IF(D3059="","",VLOOKUP(D3059,'General Basis'!$J$39:$L$46,3,0))</f>
        <v/>
      </c>
      <c r="BG3059" s="744" t="str">
        <f t="shared" si="1067"/>
        <v/>
      </c>
      <c r="BH3059" s="744" t="str">
        <f>IF(G3059="","",IF(BF3059="Abu Dhabi",IF(G3059&lt;18,'General Basis'!$C$39,IF(G3059&lt;41,'General Basis'!$C$40,IF(G3059&lt;60,'General Basis'!$C$41,IF(G3059&lt;65,'General Basis'!$C$42,'General Basis'!$C$43)))),IF(G3059&lt;11,'General Basis'!$B$39,IF(G3059&lt;18,'General Basis'!$B$40,IF(G3059&lt;26,'General Basis'!$B$41,IF(G3059&lt;31,'General Basis'!$B$42,IF(G3059&lt;36,'General Basis'!$B$43,IF(G3059&lt;41,'General Basis'!$B$44,IF(G3059&lt;46,'General Basis'!$B$45,IF(G3059&lt;51,'General Basis'!$B$46,IF(G3059&lt;56,'General Basis'!$B$47,IF(G3059&lt;60,'General Basis'!$B$48,IF(G3059&lt;65,'General Basis'!$B$49,'General Basis'!$B$50)))))))))))))</f>
        <v/>
      </c>
      <c r="BI3059" s="744" t="str">
        <f t="shared" si="1061"/>
        <v/>
      </c>
      <c r="BJ3059" s="747" t="str">
        <f t="shared" si="1068"/>
        <v/>
      </c>
      <c r="BK3059" s="498" t="str">
        <f t="shared" si="1062"/>
        <v/>
      </c>
      <c r="BL3059" s="498" t="str">
        <f t="shared" si="1063"/>
        <v/>
      </c>
    </row>
    <row r="3060" spans="1:64" x14ac:dyDescent="0.25">
      <c r="A3060" s="762">
        <f t="shared" si="1064"/>
        <v>3055</v>
      </c>
      <c r="B3060" s="229"/>
      <c r="C3060" s="223"/>
      <c r="D3060" s="224"/>
      <c r="E3060" s="225"/>
      <c r="F3060" s="1036" t="str">
        <f t="shared" si="1070"/>
        <v/>
      </c>
      <c r="G3060" s="1037" t="str">
        <f t="shared" si="1065"/>
        <v/>
      </c>
      <c r="H3060" s="225"/>
      <c r="I3060" s="1013"/>
      <c r="J3060" s="1013"/>
      <c r="K3060" s="1028"/>
      <c r="L3060" s="1035" t="str">
        <f t="shared" si="1069"/>
        <v/>
      </c>
      <c r="S3060" s="498"/>
      <c r="AJ3060" s="498"/>
      <c r="AM3060" s="498">
        <f t="shared" si="1050"/>
        <v>0</v>
      </c>
      <c r="AN3060" s="498">
        <f t="shared" si="1051"/>
        <v>0</v>
      </c>
      <c r="AO3060" s="498">
        <f t="shared" si="1052"/>
        <v>0</v>
      </c>
      <c r="AP3060" s="498">
        <f t="shared" si="1071"/>
        <v>0</v>
      </c>
      <c r="AQ3060" s="498">
        <f t="shared" si="1066"/>
        <v>0</v>
      </c>
      <c r="AU3060" s="498">
        <f t="shared" si="1053"/>
        <v>0</v>
      </c>
      <c r="AV3060" s="498">
        <f t="shared" si="1054"/>
        <v>0</v>
      </c>
      <c r="AW3060" s="498">
        <f t="shared" si="1055"/>
        <v>0</v>
      </c>
      <c r="AX3060" s="498">
        <f t="shared" si="1056"/>
        <v>0</v>
      </c>
      <c r="AY3060" s="498">
        <f t="shared" si="1057"/>
        <v>0</v>
      </c>
      <c r="BB3060" s="498" t="str">
        <f t="shared" si="1058"/>
        <v/>
      </c>
      <c r="BC3060" s="743" t="str">
        <f t="shared" si="1059"/>
        <v/>
      </c>
      <c r="BD3060" s="743" t="str">
        <f t="shared" si="1060"/>
        <v/>
      </c>
      <c r="BE3060" s="743" t="str">
        <f>IF(D3060="","",VLOOKUP(D3060,'General Basis'!$J$39:$K$46,2,0))</f>
        <v/>
      </c>
      <c r="BF3060" s="744" t="str">
        <f>IF(D3060="","",VLOOKUP(D3060,'General Basis'!$J$39:$L$46,3,0))</f>
        <v/>
      </c>
      <c r="BG3060" s="744" t="str">
        <f t="shared" si="1067"/>
        <v/>
      </c>
      <c r="BH3060" s="744" t="str">
        <f>IF(G3060="","",IF(BF3060="Abu Dhabi",IF(G3060&lt;18,'General Basis'!$C$39,IF(G3060&lt;41,'General Basis'!$C$40,IF(G3060&lt;60,'General Basis'!$C$41,IF(G3060&lt;65,'General Basis'!$C$42,'General Basis'!$C$43)))),IF(G3060&lt;11,'General Basis'!$B$39,IF(G3060&lt;18,'General Basis'!$B$40,IF(G3060&lt;26,'General Basis'!$B$41,IF(G3060&lt;31,'General Basis'!$B$42,IF(G3060&lt;36,'General Basis'!$B$43,IF(G3060&lt;41,'General Basis'!$B$44,IF(G3060&lt;46,'General Basis'!$B$45,IF(G3060&lt;51,'General Basis'!$B$46,IF(G3060&lt;56,'General Basis'!$B$47,IF(G3060&lt;60,'General Basis'!$B$48,IF(G3060&lt;65,'General Basis'!$B$49,'General Basis'!$B$50)))))))))))))</f>
        <v/>
      </c>
      <c r="BI3060" s="744" t="str">
        <f t="shared" si="1061"/>
        <v/>
      </c>
      <c r="BJ3060" s="747" t="str">
        <f t="shared" si="1068"/>
        <v/>
      </c>
      <c r="BK3060" s="498" t="str">
        <f t="shared" si="1062"/>
        <v/>
      </c>
      <c r="BL3060" s="498" t="str">
        <f t="shared" si="1063"/>
        <v/>
      </c>
    </row>
    <row r="3061" spans="1:64" x14ac:dyDescent="0.25">
      <c r="A3061" s="762">
        <f t="shared" si="1064"/>
        <v>3056</v>
      </c>
      <c r="B3061" s="229"/>
      <c r="C3061" s="223"/>
      <c r="D3061" s="224"/>
      <c r="E3061" s="225"/>
      <c r="F3061" s="1036" t="str">
        <f t="shared" si="1070"/>
        <v/>
      </c>
      <c r="G3061" s="1037" t="str">
        <f t="shared" si="1065"/>
        <v/>
      </c>
      <c r="H3061" s="225"/>
      <c r="I3061" s="1013"/>
      <c r="J3061" s="1013"/>
      <c r="K3061" s="1028"/>
      <c r="L3061" s="1035" t="str">
        <f t="shared" si="1069"/>
        <v/>
      </c>
      <c r="S3061" s="498"/>
      <c r="AJ3061" s="498"/>
      <c r="AM3061" s="498">
        <f t="shared" si="1050"/>
        <v>0</v>
      </c>
      <c r="AN3061" s="498">
        <f t="shared" si="1051"/>
        <v>0</v>
      </c>
      <c r="AO3061" s="498">
        <f t="shared" si="1052"/>
        <v>0</v>
      </c>
      <c r="AP3061" s="498">
        <f t="shared" si="1071"/>
        <v>0</v>
      </c>
      <c r="AQ3061" s="498">
        <f t="shared" si="1066"/>
        <v>0</v>
      </c>
      <c r="AU3061" s="498">
        <f t="shared" si="1053"/>
        <v>0</v>
      </c>
      <c r="AV3061" s="498">
        <f t="shared" si="1054"/>
        <v>0</v>
      </c>
      <c r="AW3061" s="498">
        <f t="shared" si="1055"/>
        <v>0</v>
      </c>
      <c r="AX3061" s="498">
        <f t="shared" si="1056"/>
        <v>0</v>
      </c>
      <c r="AY3061" s="498">
        <f t="shared" si="1057"/>
        <v>0</v>
      </c>
      <c r="BB3061" s="498" t="str">
        <f t="shared" si="1058"/>
        <v/>
      </c>
      <c r="BC3061" s="743" t="str">
        <f t="shared" si="1059"/>
        <v/>
      </c>
      <c r="BD3061" s="743" t="str">
        <f t="shared" si="1060"/>
        <v/>
      </c>
      <c r="BE3061" s="743" t="str">
        <f>IF(D3061="","",VLOOKUP(D3061,'General Basis'!$J$39:$K$46,2,0))</f>
        <v/>
      </c>
      <c r="BF3061" s="744" t="str">
        <f>IF(D3061="","",VLOOKUP(D3061,'General Basis'!$J$39:$L$46,3,0))</f>
        <v/>
      </c>
      <c r="BG3061" s="744" t="str">
        <f t="shared" si="1067"/>
        <v/>
      </c>
      <c r="BH3061" s="744" t="str">
        <f>IF(G3061="","",IF(BF3061="Abu Dhabi",IF(G3061&lt;18,'General Basis'!$C$39,IF(G3061&lt;41,'General Basis'!$C$40,IF(G3061&lt;60,'General Basis'!$C$41,IF(G3061&lt;65,'General Basis'!$C$42,'General Basis'!$C$43)))),IF(G3061&lt;11,'General Basis'!$B$39,IF(G3061&lt;18,'General Basis'!$B$40,IF(G3061&lt;26,'General Basis'!$B$41,IF(G3061&lt;31,'General Basis'!$B$42,IF(G3061&lt;36,'General Basis'!$B$43,IF(G3061&lt;41,'General Basis'!$B$44,IF(G3061&lt;46,'General Basis'!$B$45,IF(G3061&lt;51,'General Basis'!$B$46,IF(G3061&lt;56,'General Basis'!$B$47,IF(G3061&lt;60,'General Basis'!$B$48,IF(G3061&lt;65,'General Basis'!$B$49,'General Basis'!$B$50)))))))))))))</f>
        <v/>
      </c>
      <c r="BI3061" s="744" t="str">
        <f t="shared" si="1061"/>
        <v/>
      </c>
      <c r="BJ3061" s="747" t="str">
        <f t="shared" si="1068"/>
        <v/>
      </c>
      <c r="BK3061" s="498" t="str">
        <f t="shared" si="1062"/>
        <v/>
      </c>
      <c r="BL3061" s="498" t="str">
        <f t="shared" si="1063"/>
        <v/>
      </c>
    </row>
    <row r="3062" spans="1:64" x14ac:dyDescent="0.25">
      <c r="A3062" s="762">
        <f t="shared" si="1064"/>
        <v>3057</v>
      </c>
      <c r="B3062" s="229"/>
      <c r="C3062" s="223"/>
      <c r="D3062" s="224"/>
      <c r="E3062" s="225"/>
      <c r="F3062" s="1036" t="str">
        <f t="shared" si="1070"/>
        <v/>
      </c>
      <c r="G3062" s="1037" t="str">
        <f t="shared" si="1065"/>
        <v/>
      </c>
      <c r="H3062" s="225"/>
      <c r="I3062" s="1013"/>
      <c r="J3062" s="1013"/>
      <c r="K3062" s="1028"/>
      <c r="L3062" s="1035" t="str">
        <f t="shared" si="1069"/>
        <v/>
      </c>
      <c r="S3062" s="498"/>
      <c r="AJ3062" s="498"/>
      <c r="AM3062" s="498">
        <f t="shared" si="1050"/>
        <v>0</v>
      </c>
      <c r="AN3062" s="498">
        <f t="shared" si="1051"/>
        <v>0</v>
      </c>
      <c r="AO3062" s="498">
        <f t="shared" si="1052"/>
        <v>0</v>
      </c>
      <c r="AP3062" s="498">
        <f t="shared" si="1071"/>
        <v>0</v>
      </c>
      <c r="AQ3062" s="498">
        <f t="shared" si="1066"/>
        <v>0</v>
      </c>
      <c r="AU3062" s="498">
        <f t="shared" si="1053"/>
        <v>0</v>
      </c>
      <c r="AV3062" s="498">
        <f t="shared" si="1054"/>
        <v>0</v>
      </c>
      <c r="AW3062" s="498">
        <f t="shared" si="1055"/>
        <v>0</v>
      </c>
      <c r="AX3062" s="498">
        <f t="shared" si="1056"/>
        <v>0</v>
      </c>
      <c r="AY3062" s="498">
        <f t="shared" si="1057"/>
        <v>0</v>
      </c>
      <c r="BB3062" s="498" t="str">
        <f t="shared" si="1058"/>
        <v/>
      </c>
      <c r="BC3062" s="743" t="str">
        <f t="shared" si="1059"/>
        <v/>
      </c>
      <c r="BD3062" s="743" t="str">
        <f t="shared" si="1060"/>
        <v/>
      </c>
      <c r="BE3062" s="743" t="str">
        <f>IF(D3062="","",VLOOKUP(D3062,'General Basis'!$J$39:$K$46,2,0))</f>
        <v/>
      </c>
      <c r="BF3062" s="744" t="str">
        <f>IF(D3062="","",VLOOKUP(D3062,'General Basis'!$J$39:$L$46,3,0))</f>
        <v/>
      </c>
      <c r="BG3062" s="744" t="str">
        <f t="shared" si="1067"/>
        <v/>
      </c>
      <c r="BH3062" s="744" t="str">
        <f>IF(G3062="","",IF(BF3062="Abu Dhabi",IF(G3062&lt;18,'General Basis'!$C$39,IF(G3062&lt;41,'General Basis'!$C$40,IF(G3062&lt;60,'General Basis'!$C$41,IF(G3062&lt;65,'General Basis'!$C$42,'General Basis'!$C$43)))),IF(G3062&lt;11,'General Basis'!$B$39,IF(G3062&lt;18,'General Basis'!$B$40,IF(G3062&lt;26,'General Basis'!$B$41,IF(G3062&lt;31,'General Basis'!$B$42,IF(G3062&lt;36,'General Basis'!$B$43,IF(G3062&lt;41,'General Basis'!$B$44,IF(G3062&lt;46,'General Basis'!$B$45,IF(G3062&lt;51,'General Basis'!$B$46,IF(G3062&lt;56,'General Basis'!$B$47,IF(G3062&lt;60,'General Basis'!$B$48,IF(G3062&lt;65,'General Basis'!$B$49,'General Basis'!$B$50)))))))))))))</f>
        <v/>
      </c>
      <c r="BI3062" s="744" t="str">
        <f t="shared" si="1061"/>
        <v/>
      </c>
      <c r="BJ3062" s="747" t="str">
        <f t="shared" si="1068"/>
        <v/>
      </c>
      <c r="BK3062" s="498" t="str">
        <f t="shared" si="1062"/>
        <v/>
      </c>
      <c r="BL3062" s="498" t="str">
        <f t="shared" si="1063"/>
        <v/>
      </c>
    </row>
    <row r="3063" spans="1:64" x14ac:dyDescent="0.25">
      <c r="A3063" s="762">
        <f t="shared" si="1064"/>
        <v>3058</v>
      </c>
      <c r="B3063" s="229"/>
      <c r="C3063" s="223"/>
      <c r="D3063" s="224"/>
      <c r="E3063" s="225"/>
      <c r="F3063" s="1036" t="str">
        <f t="shared" si="1070"/>
        <v/>
      </c>
      <c r="G3063" s="1037" t="str">
        <f t="shared" si="1065"/>
        <v/>
      </c>
      <c r="H3063" s="225"/>
      <c r="I3063" s="1013"/>
      <c r="J3063" s="1013"/>
      <c r="K3063" s="1028"/>
      <c r="L3063" s="1035" t="str">
        <f t="shared" si="1069"/>
        <v/>
      </c>
      <c r="S3063" s="498"/>
      <c r="AJ3063" s="498"/>
      <c r="AM3063" s="498">
        <f t="shared" si="1050"/>
        <v>0</v>
      </c>
      <c r="AN3063" s="498">
        <f t="shared" si="1051"/>
        <v>0</v>
      </c>
      <c r="AO3063" s="498">
        <f t="shared" si="1052"/>
        <v>0</v>
      </c>
      <c r="AP3063" s="498">
        <f t="shared" si="1071"/>
        <v>0</v>
      </c>
      <c r="AQ3063" s="498">
        <f t="shared" si="1066"/>
        <v>0</v>
      </c>
      <c r="AU3063" s="498">
        <f t="shared" si="1053"/>
        <v>0</v>
      </c>
      <c r="AV3063" s="498">
        <f t="shared" si="1054"/>
        <v>0</v>
      </c>
      <c r="AW3063" s="498">
        <f t="shared" si="1055"/>
        <v>0</v>
      </c>
      <c r="AX3063" s="498">
        <f t="shared" si="1056"/>
        <v>0</v>
      </c>
      <c r="AY3063" s="498">
        <f t="shared" si="1057"/>
        <v>0</v>
      </c>
      <c r="BB3063" s="498" t="str">
        <f t="shared" si="1058"/>
        <v/>
      </c>
      <c r="BC3063" s="743" t="str">
        <f t="shared" si="1059"/>
        <v/>
      </c>
      <c r="BD3063" s="743" t="str">
        <f t="shared" si="1060"/>
        <v/>
      </c>
      <c r="BE3063" s="743" t="str">
        <f>IF(D3063="","",VLOOKUP(D3063,'General Basis'!$J$39:$K$46,2,0))</f>
        <v/>
      </c>
      <c r="BF3063" s="744" t="str">
        <f>IF(D3063="","",VLOOKUP(D3063,'General Basis'!$J$39:$L$46,3,0))</f>
        <v/>
      </c>
      <c r="BG3063" s="744" t="str">
        <f t="shared" si="1067"/>
        <v/>
      </c>
      <c r="BH3063" s="744" t="str">
        <f>IF(G3063="","",IF(BF3063="Abu Dhabi",IF(G3063&lt;18,'General Basis'!$C$39,IF(G3063&lt;41,'General Basis'!$C$40,IF(G3063&lt;60,'General Basis'!$C$41,IF(G3063&lt;65,'General Basis'!$C$42,'General Basis'!$C$43)))),IF(G3063&lt;11,'General Basis'!$B$39,IF(G3063&lt;18,'General Basis'!$B$40,IF(G3063&lt;26,'General Basis'!$B$41,IF(G3063&lt;31,'General Basis'!$B$42,IF(G3063&lt;36,'General Basis'!$B$43,IF(G3063&lt;41,'General Basis'!$B$44,IF(G3063&lt;46,'General Basis'!$B$45,IF(G3063&lt;51,'General Basis'!$B$46,IF(G3063&lt;56,'General Basis'!$B$47,IF(G3063&lt;60,'General Basis'!$B$48,IF(G3063&lt;65,'General Basis'!$B$49,'General Basis'!$B$50)))))))))))))</f>
        <v/>
      </c>
      <c r="BI3063" s="744" t="str">
        <f t="shared" si="1061"/>
        <v/>
      </c>
      <c r="BJ3063" s="747" t="str">
        <f t="shared" si="1068"/>
        <v/>
      </c>
      <c r="BK3063" s="498" t="str">
        <f t="shared" si="1062"/>
        <v/>
      </c>
      <c r="BL3063" s="498" t="str">
        <f t="shared" si="1063"/>
        <v/>
      </c>
    </row>
    <row r="3064" spans="1:64" x14ac:dyDescent="0.25">
      <c r="A3064" s="762">
        <f t="shared" si="1064"/>
        <v>3059</v>
      </c>
      <c r="B3064" s="229"/>
      <c r="C3064" s="223"/>
      <c r="D3064" s="224"/>
      <c r="E3064" s="225"/>
      <c r="F3064" s="1036" t="str">
        <f t="shared" si="1070"/>
        <v/>
      </c>
      <c r="G3064" s="1037" t="str">
        <f t="shared" si="1065"/>
        <v/>
      </c>
      <c r="H3064" s="225"/>
      <c r="I3064" s="1013"/>
      <c r="J3064" s="1013"/>
      <c r="K3064" s="1028"/>
      <c r="L3064" s="1035" t="str">
        <f t="shared" si="1069"/>
        <v/>
      </c>
      <c r="S3064" s="498"/>
      <c r="AJ3064" s="498"/>
      <c r="AM3064" s="498">
        <f t="shared" si="1050"/>
        <v>0</v>
      </c>
      <c r="AN3064" s="498">
        <f t="shared" si="1051"/>
        <v>0</v>
      </c>
      <c r="AO3064" s="498">
        <f t="shared" si="1052"/>
        <v>0</v>
      </c>
      <c r="AP3064" s="498">
        <f t="shared" si="1071"/>
        <v>0</v>
      </c>
      <c r="AQ3064" s="498">
        <f t="shared" si="1066"/>
        <v>0</v>
      </c>
      <c r="AU3064" s="498">
        <f t="shared" si="1053"/>
        <v>0</v>
      </c>
      <c r="AV3064" s="498">
        <f t="shared" si="1054"/>
        <v>0</v>
      </c>
      <c r="AW3064" s="498">
        <f t="shared" si="1055"/>
        <v>0</v>
      </c>
      <c r="AX3064" s="498">
        <f t="shared" si="1056"/>
        <v>0</v>
      </c>
      <c r="AY3064" s="498">
        <f t="shared" si="1057"/>
        <v>0</v>
      </c>
      <c r="BB3064" s="498" t="str">
        <f t="shared" si="1058"/>
        <v/>
      </c>
      <c r="BC3064" s="743" t="str">
        <f t="shared" si="1059"/>
        <v/>
      </c>
      <c r="BD3064" s="743" t="str">
        <f t="shared" si="1060"/>
        <v/>
      </c>
      <c r="BE3064" s="743" t="str">
        <f>IF(D3064="","",VLOOKUP(D3064,'General Basis'!$J$39:$K$46,2,0))</f>
        <v/>
      </c>
      <c r="BF3064" s="744" t="str">
        <f>IF(D3064="","",VLOOKUP(D3064,'General Basis'!$J$39:$L$46,3,0))</f>
        <v/>
      </c>
      <c r="BG3064" s="744" t="str">
        <f t="shared" si="1067"/>
        <v/>
      </c>
      <c r="BH3064" s="744" t="str">
        <f>IF(G3064="","",IF(BF3064="Abu Dhabi",IF(G3064&lt;18,'General Basis'!$C$39,IF(G3064&lt;41,'General Basis'!$C$40,IF(G3064&lt;60,'General Basis'!$C$41,IF(G3064&lt;65,'General Basis'!$C$42,'General Basis'!$C$43)))),IF(G3064&lt;11,'General Basis'!$B$39,IF(G3064&lt;18,'General Basis'!$B$40,IF(G3064&lt;26,'General Basis'!$B$41,IF(G3064&lt;31,'General Basis'!$B$42,IF(G3064&lt;36,'General Basis'!$B$43,IF(G3064&lt;41,'General Basis'!$B$44,IF(G3064&lt;46,'General Basis'!$B$45,IF(G3064&lt;51,'General Basis'!$B$46,IF(G3064&lt;56,'General Basis'!$B$47,IF(G3064&lt;60,'General Basis'!$B$48,IF(G3064&lt;65,'General Basis'!$B$49,'General Basis'!$B$50)))))))))))))</f>
        <v/>
      </c>
      <c r="BI3064" s="744" t="str">
        <f t="shared" si="1061"/>
        <v/>
      </c>
      <c r="BJ3064" s="747" t="str">
        <f t="shared" si="1068"/>
        <v/>
      </c>
      <c r="BK3064" s="498" t="str">
        <f t="shared" si="1062"/>
        <v/>
      </c>
      <c r="BL3064" s="498" t="str">
        <f t="shared" si="1063"/>
        <v/>
      </c>
    </row>
    <row r="3065" spans="1:64" x14ac:dyDescent="0.25">
      <c r="A3065" s="762">
        <f t="shared" si="1064"/>
        <v>3060</v>
      </c>
      <c r="B3065" s="229"/>
      <c r="C3065" s="223"/>
      <c r="D3065" s="224"/>
      <c r="E3065" s="225"/>
      <c r="F3065" s="1036" t="str">
        <f t="shared" si="1070"/>
        <v/>
      </c>
      <c r="G3065" s="1037" t="str">
        <f t="shared" si="1065"/>
        <v/>
      </c>
      <c r="H3065" s="225"/>
      <c r="I3065" s="1013"/>
      <c r="J3065" s="1013"/>
      <c r="K3065" s="1028"/>
      <c r="L3065" s="1035" t="str">
        <f t="shared" si="1069"/>
        <v/>
      </c>
      <c r="S3065" s="498"/>
      <c r="AJ3065" s="498"/>
      <c r="AM3065" s="498">
        <f t="shared" si="1050"/>
        <v>0</v>
      </c>
      <c r="AN3065" s="498">
        <f t="shared" si="1051"/>
        <v>0</v>
      </c>
      <c r="AO3065" s="498">
        <f t="shared" si="1052"/>
        <v>0</v>
      </c>
      <c r="AP3065" s="498">
        <f t="shared" si="1071"/>
        <v>0</v>
      </c>
      <c r="AQ3065" s="498">
        <f t="shared" si="1066"/>
        <v>0</v>
      </c>
      <c r="AU3065" s="498">
        <f t="shared" si="1053"/>
        <v>0</v>
      </c>
      <c r="AV3065" s="498">
        <f t="shared" si="1054"/>
        <v>0</v>
      </c>
      <c r="AW3065" s="498">
        <f t="shared" si="1055"/>
        <v>0</v>
      </c>
      <c r="AX3065" s="498">
        <f t="shared" si="1056"/>
        <v>0</v>
      </c>
      <c r="AY3065" s="498">
        <f t="shared" si="1057"/>
        <v>0</v>
      </c>
      <c r="BB3065" s="498" t="str">
        <f t="shared" si="1058"/>
        <v/>
      </c>
      <c r="BC3065" s="743" t="str">
        <f t="shared" si="1059"/>
        <v/>
      </c>
      <c r="BD3065" s="743" t="str">
        <f t="shared" si="1060"/>
        <v/>
      </c>
      <c r="BE3065" s="743" t="str">
        <f>IF(D3065="","",VLOOKUP(D3065,'General Basis'!$J$39:$K$46,2,0))</f>
        <v/>
      </c>
      <c r="BF3065" s="744" t="str">
        <f>IF(D3065="","",VLOOKUP(D3065,'General Basis'!$J$39:$L$46,3,0))</f>
        <v/>
      </c>
      <c r="BG3065" s="744" t="str">
        <f t="shared" si="1067"/>
        <v/>
      </c>
      <c r="BH3065" s="744" t="str">
        <f>IF(G3065="","",IF(BF3065="Abu Dhabi",IF(G3065&lt;18,'General Basis'!$C$39,IF(G3065&lt;41,'General Basis'!$C$40,IF(G3065&lt;60,'General Basis'!$C$41,IF(G3065&lt;65,'General Basis'!$C$42,'General Basis'!$C$43)))),IF(G3065&lt;11,'General Basis'!$B$39,IF(G3065&lt;18,'General Basis'!$B$40,IF(G3065&lt;26,'General Basis'!$B$41,IF(G3065&lt;31,'General Basis'!$B$42,IF(G3065&lt;36,'General Basis'!$B$43,IF(G3065&lt;41,'General Basis'!$B$44,IF(G3065&lt;46,'General Basis'!$B$45,IF(G3065&lt;51,'General Basis'!$B$46,IF(G3065&lt;56,'General Basis'!$B$47,IF(G3065&lt;60,'General Basis'!$B$48,IF(G3065&lt;65,'General Basis'!$B$49,'General Basis'!$B$50)))))))))))))</f>
        <v/>
      </c>
      <c r="BI3065" s="744" t="str">
        <f t="shared" si="1061"/>
        <v/>
      </c>
      <c r="BJ3065" s="747" t="str">
        <f t="shared" si="1068"/>
        <v/>
      </c>
      <c r="BK3065" s="498" t="str">
        <f t="shared" si="1062"/>
        <v/>
      </c>
      <c r="BL3065" s="498" t="str">
        <f t="shared" si="1063"/>
        <v/>
      </c>
    </row>
    <row r="3066" spans="1:64" x14ac:dyDescent="0.25">
      <c r="A3066" s="762">
        <f t="shared" si="1064"/>
        <v>3061</v>
      </c>
      <c r="B3066" s="229"/>
      <c r="C3066" s="223"/>
      <c r="D3066" s="224"/>
      <c r="E3066" s="225"/>
      <c r="F3066" s="1036" t="str">
        <f t="shared" si="1070"/>
        <v/>
      </c>
      <c r="G3066" s="1037" t="str">
        <f t="shared" si="1065"/>
        <v/>
      </c>
      <c r="H3066" s="225"/>
      <c r="I3066" s="1013"/>
      <c r="J3066" s="1013"/>
      <c r="K3066" s="1028"/>
      <c r="L3066" s="1035" t="str">
        <f t="shared" si="1069"/>
        <v/>
      </c>
      <c r="S3066" s="498"/>
      <c r="AJ3066" s="498"/>
      <c r="AM3066" s="498">
        <f t="shared" si="1050"/>
        <v>0</v>
      </c>
      <c r="AN3066" s="498">
        <f t="shared" si="1051"/>
        <v>0</v>
      </c>
      <c r="AO3066" s="498">
        <f t="shared" si="1052"/>
        <v>0</v>
      </c>
      <c r="AP3066" s="498">
        <f t="shared" si="1071"/>
        <v>0</v>
      </c>
      <c r="AQ3066" s="498">
        <f t="shared" si="1066"/>
        <v>0</v>
      </c>
      <c r="AU3066" s="498">
        <f t="shared" si="1053"/>
        <v>0</v>
      </c>
      <c r="AV3066" s="498">
        <f t="shared" si="1054"/>
        <v>0</v>
      </c>
      <c r="AW3066" s="498">
        <f t="shared" si="1055"/>
        <v>0</v>
      </c>
      <c r="AX3066" s="498">
        <f t="shared" si="1056"/>
        <v>0</v>
      </c>
      <c r="AY3066" s="498">
        <f t="shared" si="1057"/>
        <v>0</v>
      </c>
      <c r="BB3066" s="498" t="str">
        <f t="shared" si="1058"/>
        <v/>
      </c>
      <c r="BC3066" s="743" t="str">
        <f t="shared" si="1059"/>
        <v/>
      </c>
      <c r="BD3066" s="743" t="str">
        <f t="shared" si="1060"/>
        <v/>
      </c>
      <c r="BE3066" s="743" t="str">
        <f>IF(D3066="","",VLOOKUP(D3066,'General Basis'!$J$39:$K$46,2,0))</f>
        <v/>
      </c>
      <c r="BF3066" s="744" t="str">
        <f>IF(D3066="","",VLOOKUP(D3066,'General Basis'!$J$39:$L$46,3,0))</f>
        <v/>
      </c>
      <c r="BG3066" s="744" t="str">
        <f t="shared" si="1067"/>
        <v/>
      </c>
      <c r="BH3066" s="744" t="str">
        <f>IF(G3066="","",IF(BF3066="Abu Dhabi",IF(G3066&lt;18,'General Basis'!$C$39,IF(G3066&lt;41,'General Basis'!$C$40,IF(G3066&lt;60,'General Basis'!$C$41,IF(G3066&lt;65,'General Basis'!$C$42,'General Basis'!$C$43)))),IF(G3066&lt;11,'General Basis'!$B$39,IF(G3066&lt;18,'General Basis'!$B$40,IF(G3066&lt;26,'General Basis'!$B$41,IF(G3066&lt;31,'General Basis'!$B$42,IF(G3066&lt;36,'General Basis'!$B$43,IF(G3066&lt;41,'General Basis'!$B$44,IF(G3066&lt;46,'General Basis'!$B$45,IF(G3066&lt;51,'General Basis'!$B$46,IF(G3066&lt;56,'General Basis'!$B$47,IF(G3066&lt;60,'General Basis'!$B$48,IF(G3066&lt;65,'General Basis'!$B$49,'General Basis'!$B$50)))))))))))))</f>
        <v/>
      </c>
      <c r="BI3066" s="744" t="str">
        <f t="shared" si="1061"/>
        <v/>
      </c>
      <c r="BJ3066" s="747" t="str">
        <f t="shared" si="1068"/>
        <v/>
      </c>
      <c r="BK3066" s="498" t="str">
        <f t="shared" si="1062"/>
        <v/>
      </c>
      <c r="BL3066" s="498" t="str">
        <f t="shared" si="1063"/>
        <v/>
      </c>
    </row>
    <row r="3067" spans="1:64" x14ac:dyDescent="0.25">
      <c r="A3067" s="762">
        <f t="shared" si="1064"/>
        <v>3062</v>
      </c>
      <c r="B3067" s="229"/>
      <c r="C3067" s="223"/>
      <c r="D3067" s="224"/>
      <c r="E3067" s="225"/>
      <c r="F3067" s="1036" t="str">
        <f t="shared" si="1070"/>
        <v/>
      </c>
      <c r="G3067" s="1037" t="str">
        <f t="shared" si="1065"/>
        <v/>
      </c>
      <c r="H3067" s="225"/>
      <c r="I3067" s="1013"/>
      <c r="J3067" s="1013"/>
      <c r="K3067" s="1028"/>
      <c r="L3067" s="1035" t="str">
        <f t="shared" si="1069"/>
        <v/>
      </c>
      <c r="S3067" s="498"/>
      <c r="AJ3067" s="498"/>
      <c r="AM3067" s="498">
        <f t="shared" si="1050"/>
        <v>0</v>
      </c>
      <c r="AN3067" s="498">
        <f t="shared" si="1051"/>
        <v>0</v>
      </c>
      <c r="AO3067" s="498">
        <f t="shared" si="1052"/>
        <v>0</v>
      </c>
      <c r="AP3067" s="498">
        <f t="shared" si="1071"/>
        <v>0</v>
      </c>
      <c r="AQ3067" s="498">
        <f t="shared" si="1066"/>
        <v>0</v>
      </c>
      <c r="AU3067" s="498">
        <f t="shared" si="1053"/>
        <v>0</v>
      </c>
      <c r="AV3067" s="498">
        <f t="shared" si="1054"/>
        <v>0</v>
      </c>
      <c r="AW3067" s="498">
        <f t="shared" si="1055"/>
        <v>0</v>
      </c>
      <c r="AX3067" s="498">
        <f t="shared" si="1056"/>
        <v>0</v>
      </c>
      <c r="AY3067" s="498">
        <f t="shared" si="1057"/>
        <v>0</v>
      </c>
      <c r="BB3067" s="498" t="str">
        <f t="shared" si="1058"/>
        <v/>
      </c>
      <c r="BC3067" s="743" t="str">
        <f t="shared" si="1059"/>
        <v/>
      </c>
      <c r="BD3067" s="743" t="str">
        <f t="shared" si="1060"/>
        <v/>
      </c>
      <c r="BE3067" s="743" t="str">
        <f>IF(D3067="","",VLOOKUP(D3067,'General Basis'!$J$39:$K$46,2,0))</f>
        <v/>
      </c>
      <c r="BF3067" s="744" t="str">
        <f>IF(D3067="","",VLOOKUP(D3067,'General Basis'!$J$39:$L$46,3,0))</f>
        <v/>
      </c>
      <c r="BG3067" s="744" t="str">
        <f t="shared" si="1067"/>
        <v/>
      </c>
      <c r="BH3067" s="744" t="str">
        <f>IF(G3067="","",IF(BF3067="Abu Dhabi",IF(G3067&lt;18,'General Basis'!$C$39,IF(G3067&lt;41,'General Basis'!$C$40,IF(G3067&lt;60,'General Basis'!$C$41,IF(G3067&lt;65,'General Basis'!$C$42,'General Basis'!$C$43)))),IF(G3067&lt;11,'General Basis'!$B$39,IF(G3067&lt;18,'General Basis'!$B$40,IF(G3067&lt;26,'General Basis'!$B$41,IF(G3067&lt;31,'General Basis'!$B$42,IF(G3067&lt;36,'General Basis'!$B$43,IF(G3067&lt;41,'General Basis'!$B$44,IF(G3067&lt;46,'General Basis'!$B$45,IF(G3067&lt;51,'General Basis'!$B$46,IF(G3067&lt;56,'General Basis'!$B$47,IF(G3067&lt;60,'General Basis'!$B$48,IF(G3067&lt;65,'General Basis'!$B$49,'General Basis'!$B$50)))))))))))))</f>
        <v/>
      </c>
      <c r="BI3067" s="744" t="str">
        <f t="shared" si="1061"/>
        <v/>
      </c>
      <c r="BJ3067" s="747" t="str">
        <f t="shared" si="1068"/>
        <v/>
      </c>
      <c r="BK3067" s="498" t="str">
        <f t="shared" si="1062"/>
        <v/>
      </c>
      <c r="BL3067" s="498" t="str">
        <f t="shared" si="1063"/>
        <v/>
      </c>
    </row>
    <row r="3068" spans="1:64" x14ac:dyDescent="0.25">
      <c r="A3068" s="762">
        <f t="shared" si="1064"/>
        <v>3063</v>
      </c>
      <c r="B3068" s="229"/>
      <c r="C3068" s="223"/>
      <c r="D3068" s="224"/>
      <c r="E3068" s="225"/>
      <c r="F3068" s="1036" t="str">
        <f t="shared" si="1070"/>
        <v/>
      </c>
      <c r="G3068" s="1037" t="str">
        <f t="shared" si="1065"/>
        <v/>
      </c>
      <c r="H3068" s="225"/>
      <c r="I3068" s="1013"/>
      <c r="J3068" s="1013"/>
      <c r="K3068" s="1028"/>
      <c r="L3068" s="1035" t="str">
        <f t="shared" si="1069"/>
        <v/>
      </c>
      <c r="S3068" s="498"/>
      <c r="AJ3068" s="498"/>
      <c r="AM3068" s="498">
        <f t="shared" si="1050"/>
        <v>0</v>
      </c>
      <c r="AN3068" s="498">
        <f t="shared" si="1051"/>
        <v>0</v>
      </c>
      <c r="AO3068" s="498">
        <f t="shared" si="1052"/>
        <v>0</v>
      </c>
      <c r="AP3068" s="498">
        <f t="shared" si="1071"/>
        <v>0</v>
      </c>
      <c r="AQ3068" s="498">
        <f t="shared" si="1066"/>
        <v>0</v>
      </c>
      <c r="AU3068" s="498">
        <f t="shared" si="1053"/>
        <v>0</v>
      </c>
      <c r="AV3068" s="498">
        <f t="shared" si="1054"/>
        <v>0</v>
      </c>
      <c r="AW3068" s="498">
        <f t="shared" si="1055"/>
        <v>0</v>
      </c>
      <c r="AX3068" s="498">
        <f t="shared" si="1056"/>
        <v>0</v>
      </c>
      <c r="AY3068" s="498">
        <f t="shared" si="1057"/>
        <v>0</v>
      </c>
      <c r="BB3068" s="498" t="str">
        <f t="shared" si="1058"/>
        <v/>
      </c>
      <c r="BC3068" s="743" t="str">
        <f t="shared" si="1059"/>
        <v/>
      </c>
      <c r="BD3068" s="743" t="str">
        <f t="shared" si="1060"/>
        <v/>
      </c>
      <c r="BE3068" s="743" t="str">
        <f>IF(D3068="","",VLOOKUP(D3068,'General Basis'!$J$39:$K$46,2,0))</f>
        <v/>
      </c>
      <c r="BF3068" s="744" t="str">
        <f>IF(D3068="","",VLOOKUP(D3068,'General Basis'!$J$39:$L$46,3,0))</f>
        <v/>
      </c>
      <c r="BG3068" s="744" t="str">
        <f t="shared" si="1067"/>
        <v/>
      </c>
      <c r="BH3068" s="744" t="str">
        <f>IF(G3068="","",IF(BF3068="Abu Dhabi",IF(G3068&lt;18,'General Basis'!$C$39,IF(G3068&lt;41,'General Basis'!$C$40,IF(G3068&lt;60,'General Basis'!$C$41,IF(G3068&lt;65,'General Basis'!$C$42,'General Basis'!$C$43)))),IF(G3068&lt;11,'General Basis'!$B$39,IF(G3068&lt;18,'General Basis'!$B$40,IF(G3068&lt;26,'General Basis'!$B$41,IF(G3068&lt;31,'General Basis'!$B$42,IF(G3068&lt;36,'General Basis'!$B$43,IF(G3068&lt;41,'General Basis'!$B$44,IF(G3068&lt;46,'General Basis'!$B$45,IF(G3068&lt;51,'General Basis'!$B$46,IF(G3068&lt;56,'General Basis'!$B$47,IF(G3068&lt;60,'General Basis'!$B$48,IF(G3068&lt;65,'General Basis'!$B$49,'General Basis'!$B$50)))))))))))))</f>
        <v/>
      </c>
      <c r="BI3068" s="744" t="str">
        <f t="shared" si="1061"/>
        <v/>
      </c>
      <c r="BJ3068" s="747" t="str">
        <f t="shared" si="1068"/>
        <v/>
      </c>
      <c r="BK3068" s="498" t="str">
        <f t="shared" si="1062"/>
        <v/>
      </c>
      <c r="BL3068" s="498" t="str">
        <f t="shared" si="1063"/>
        <v/>
      </c>
    </row>
    <row r="3069" spans="1:64" x14ac:dyDescent="0.25">
      <c r="A3069" s="762">
        <f t="shared" si="1064"/>
        <v>3064</v>
      </c>
      <c r="B3069" s="229"/>
      <c r="C3069" s="223"/>
      <c r="D3069" s="224"/>
      <c r="E3069" s="225"/>
      <c r="F3069" s="1036" t="str">
        <f t="shared" si="1070"/>
        <v/>
      </c>
      <c r="G3069" s="1037" t="str">
        <f t="shared" si="1065"/>
        <v/>
      </c>
      <c r="H3069" s="225"/>
      <c r="I3069" s="1013"/>
      <c r="J3069" s="1013"/>
      <c r="K3069" s="1028"/>
      <c r="L3069" s="1035" t="str">
        <f t="shared" si="1069"/>
        <v/>
      </c>
      <c r="S3069" s="498"/>
      <c r="AJ3069" s="498"/>
      <c r="AM3069" s="498">
        <f t="shared" si="1050"/>
        <v>0</v>
      </c>
      <c r="AN3069" s="498">
        <f t="shared" si="1051"/>
        <v>0</v>
      </c>
      <c r="AO3069" s="498">
        <f t="shared" si="1052"/>
        <v>0</v>
      </c>
      <c r="AP3069" s="498">
        <f t="shared" si="1071"/>
        <v>0</v>
      </c>
      <c r="AQ3069" s="498">
        <f t="shared" si="1066"/>
        <v>0</v>
      </c>
      <c r="AU3069" s="498">
        <f t="shared" si="1053"/>
        <v>0</v>
      </c>
      <c r="AV3069" s="498">
        <f t="shared" si="1054"/>
        <v>0</v>
      </c>
      <c r="AW3069" s="498">
        <f t="shared" si="1055"/>
        <v>0</v>
      </c>
      <c r="AX3069" s="498">
        <f t="shared" si="1056"/>
        <v>0</v>
      </c>
      <c r="AY3069" s="498">
        <f t="shared" si="1057"/>
        <v>0</v>
      </c>
      <c r="BB3069" s="498" t="str">
        <f t="shared" si="1058"/>
        <v/>
      </c>
      <c r="BC3069" s="743" t="str">
        <f t="shared" si="1059"/>
        <v/>
      </c>
      <c r="BD3069" s="743" t="str">
        <f t="shared" si="1060"/>
        <v/>
      </c>
      <c r="BE3069" s="743" t="str">
        <f>IF(D3069="","",VLOOKUP(D3069,'General Basis'!$J$39:$K$46,2,0))</f>
        <v/>
      </c>
      <c r="BF3069" s="744" t="str">
        <f>IF(D3069="","",VLOOKUP(D3069,'General Basis'!$J$39:$L$46,3,0))</f>
        <v/>
      </c>
      <c r="BG3069" s="744" t="str">
        <f t="shared" si="1067"/>
        <v/>
      </c>
      <c r="BH3069" s="744" t="str">
        <f>IF(G3069="","",IF(BF3069="Abu Dhabi",IF(G3069&lt;18,'General Basis'!$C$39,IF(G3069&lt;41,'General Basis'!$C$40,IF(G3069&lt;60,'General Basis'!$C$41,IF(G3069&lt;65,'General Basis'!$C$42,'General Basis'!$C$43)))),IF(G3069&lt;11,'General Basis'!$B$39,IF(G3069&lt;18,'General Basis'!$B$40,IF(G3069&lt;26,'General Basis'!$B$41,IF(G3069&lt;31,'General Basis'!$B$42,IF(G3069&lt;36,'General Basis'!$B$43,IF(G3069&lt;41,'General Basis'!$B$44,IF(G3069&lt;46,'General Basis'!$B$45,IF(G3069&lt;51,'General Basis'!$B$46,IF(G3069&lt;56,'General Basis'!$B$47,IF(G3069&lt;60,'General Basis'!$B$48,IF(G3069&lt;65,'General Basis'!$B$49,'General Basis'!$B$50)))))))))))))</f>
        <v/>
      </c>
      <c r="BI3069" s="744" t="str">
        <f t="shared" si="1061"/>
        <v/>
      </c>
      <c r="BJ3069" s="747" t="str">
        <f t="shared" si="1068"/>
        <v/>
      </c>
      <c r="BK3069" s="498" t="str">
        <f t="shared" si="1062"/>
        <v/>
      </c>
      <c r="BL3069" s="498" t="str">
        <f t="shared" si="1063"/>
        <v/>
      </c>
    </row>
    <row r="3070" spans="1:64" x14ac:dyDescent="0.25">
      <c r="A3070" s="762">
        <f t="shared" si="1064"/>
        <v>3065</v>
      </c>
      <c r="B3070" s="229"/>
      <c r="C3070" s="223"/>
      <c r="D3070" s="224"/>
      <c r="E3070" s="225"/>
      <c r="F3070" s="1036" t="str">
        <f t="shared" si="1070"/>
        <v/>
      </c>
      <c r="G3070" s="1037" t="str">
        <f t="shared" si="1065"/>
        <v/>
      </c>
      <c r="H3070" s="225"/>
      <c r="I3070" s="1013"/>
      <c r="J3070" s="1013"/>
      <c r="K3070" s="1028"/>
      <c r="L3070" s="1035" t="str">
        <f t="shared" si="1069"/>
        <v/>
      </c>
      <c r="S3070" s="498"/>
      <c r="AJ3070" s="498"/>
      <c r="AM3070" s="498">
        <f t="shared" si="1050"/>
        <v>0</v>
      </c>
      <c r="AN3070" s="498">
        <f t="shared" si="1051"/>
        <v>0</v>
      </c>
      <c r="AO3070" s="498">
        <f t="shared" si="1052"/>
        <v>0</v>
      </c>
      <c r="AP3070" s="498">
        <f t="shared" si="1071"/>
        <v>0</v>
      </c>
      <c r="AQ3070" s="498">
        <f t="shared" si="1066"/>
        <v>0</v>
      </c>
      <c r="AU3070" s="498">
        <f t="shared" si="1053"/>
        <v>0</v>
      </c>
      <c r="AV3070" s="498">
        <f t="shared" si="1054"/>
        <v>0</v>
      </c>
      <c r="AW3070" s="498">
        <f t="shared" si="1055"/>
        <v>0</v>
      </c>
      <c r="AX3070" s="498">
        <f t="shared" si="1056"/>
        <v>0</v>
      </c>
      <c r="AY3070" s="498">
        <f t="shared" si="1057"/>
        <v>0</v>
      </c>
      <c r="BB3070" s="498" t="str">
        <f t="shared" si="1058"/>
        <v/>
      </c>
      <c r="BC3070" s="743" t="str">
        <f t="shared" si="1059"/>
        <v/>
      </c>
      <c r="BD3070" s="743" t="str">
        <f t="shared" si="1060"/>
        <v/>
      </c>
      <c r="BE3070" s="743" t="str">
        <f>IF(D3070="","",VLOOKUP(D3070,'General Basis'!$J$39:$K$46,2,0))</f>
        <v/>
      </c>
      <c r="BF3070" s="744" t="str">
        <f>IF(D3070="","",VLOOKUP(D3070,'General Basis'!$J$39:$L$46,3,0))</f>
        <v/>
      </c>
      <c r="BG3070" s="744" t="str">
        <f t="shared" si="1067"/>
        <v/>
      </c>
      <c r="BH3070" s="744" t="str">
        <f>IF(G3070="","",IF(BF3070="Abu Dhabi",IF(G3070&lt;18,'General Basis'!$C$39,IF(G3070&lt;41,'General Basis'!$C$40,IF(G3070&lt;60,'General Basis'!$C$41,IF(G3070&lt;65,'General Basis'!$C$42,'General Basis'!$C$43)))),IF(G3070&lt;11,'General Basis'!$B$39,IF(G3070&lt;18,'General Basis'!$B$40,IF(G3070&lt;26,'General Basis'!$B$41,IF(G3070&lt;31,'General Basis'!$B$42,IF(G3070&lt;36,'General Basis'!$B$43,IF(G3070&lt;41,'General Basis'!$B$44,IF(G3070&lt;46,'General Basis'!$B$45,IF(G3070&lt;51,'General Basis'!$B$46,IF(G3070&lt;56,'General Basis'!$B$47,IF(G3070&lt;60,'General Basis'!$B$48,IF(G3070&lt;65,'General Basis'!$B$49,'General Basis'!$B$50)))))))))))))</f>
        <v/>
      </c>
      <c r="BI3070" s="744" t="str">
        <f t="shared" si="1061"/>
        <v/>
      </c>
      <c r="BJ3070" s="747" t="str">
        <f t="shared" si="1068"/>
        <v/>
      </c>
      <c r="BK3070" s="498" t="str">
        <f t="shared" si="1062"/>
        <v/>
      </c>
      <c r="BL3070" s="498" t="str">
        <f t="shared" si="1063"/>
        <v/>
      </c>
    </row>
    <row r="3071" spans="1:64" x14ac:dyDescent="0.25">
      <c r="A3071" s="762">
        <f t="shared" si="1064"/>
        <v>3066</v>
      </c>
      <c r="B3071" s="229"/>
      <c r="C3071" s="223"/>
      <c r="D3071" s="224"/>
      <c r="E3071" s="225"/>
      <c r="F3071" s="1036" t="str">
        <f t="shared" si="1070"/>
        <v/>
      </c>
      <c r="G3071" s="1037" t="str">
        <f t="shared" si="1065"/>
        <v/>
      </c>
      <c r="H3071" s="225"/>
      <c r="I3071" s="1013"/>
      <c r="J3071" s="1013"/>
      <c r="K3071" s="1028"/>
      <c r="L3071" s="1035" t="str">
        <f t="shared" si="1069"/>
        <v/>
      </c>
      <c r="S3071" s="498"/>
      <c r="AJ3071" s="498"/>
      <c r="AM3071" s="498">
        <f t="shared" si="1050"/>
        <v>0</v>
      </c>
      <c r="AN3071" s="498">
        <f t="shared" si="1051"/>
        <v>0</v>
      </c>
      <c r="AO3071" s="498">
        <f t="shared" si="1052"/>
        <v>0</v>
      </c>
      <c r="AP3071" s="498">
        <f t="shared" si="1071"/>
        <v>0</v>
      </c>
      <c r="AQ3071" s="498">
        <f t="shared" si="1066"/>
        <v>0</v>
      </c>
      <c r="AU3071" s="498">
        <f t="shared" si="1053"/>
        <v>0</v>
      </c>
      <c r="AV3071" s="498">
        <f t="shared" si="1054"/>
        <v>0</v>
      </c>
      <c r="AW3071" s="498">
        <f t="shared" si="1055"/>
        <v>0</v>
      </c>
      <c r="AX3071" s="498">
        <f t="shared" si="1056"/>
        <v>0</v>
      </c>
      <c r="AY3071" s="498">
        <f t="shared" si="1057"/>
        <v>0</v>
      </c>
      <c r="BB3071" s="498" t="str">
        <f t="shared" si="1058"/>
        <v/>
      </c>
      <c r="BC3071" s="743" t="str">
        <f t="shared" si="1059"/>
        <v/>
      </c>
      <c r="BD3071" s="743" t="str">
        <f t="shared" si="1060"/>
        <v/>
      </c>
      <c r="BE3071" s="743" t="str">
        <f>IF(D3071="","",VLOOKUP(D3071,'General Basis'!$J$39:$K$46,2,0))</f>
        <v/>
      </c>
      <c r="BF3071" s="744" t="str">
        <f>IF(D3071="","",VLOOKUP(D3071,'General Basis'!$J$39:$L$46,3,0))</f>
        <v/>
      </c>
      <c r="BG3071" s="744" t="str">
        <f t="shared" si="1067"/>
        <v/>
      </c>
      <c r="BH3071" s="744" t="str">
        <f>IF(G3071="","",IF(BF3071="Abu Dhabi",IF(G3071&lt;18,'General Basis'!$C$39,IF(G3071&lt;41,'General Basis'!$C$40,IF(G3071&lt;60,'General Basis'!$C$41,IF(G3071&lt;65,'General Basis'!$C$42,'General Basis'!$C$43)))),IF(G3071&lt;11,'General Basis'!$B$39,IF(G3071&lt;18,'General Basis'!$B$40,IF(G3071&lt;26,'General Basis'!$B$41,IF(G3071&lt;31,'General Basis'!$B$42,IF(G3071&lt;36,'General Basis'!$B$43,IF(G3071&lt;41,'General Basis'!$B$44,IF(G3071&lt;46,'General Basis'!$B$45,IF(G3071&lt;51,'General Basis'!$B$46,IF(G3071&lt;56,'General Basis'!$B$47,IF(G3071&lt;60,'General Basis'!$B$48,IF(G3071&lt;65,'General Basis'!$B$49,'General Basis'!$B$50)))))))))))))</f>
        <v/>
      </c>
      <c r="BI3071" s="744" t="str">
        <f t="shared" si="1061"/>
        <v/>
      </c>
      <c r="BJ3071" s="747" t="str">
        <f t="shared" si="1068"/>
        <v/>
      </c>
      <c r="BK3071" s="498" t="str">
        <f t="shared" si="1062"/>
        <v/>
      </c>
      <c r="BL3071" s="498" t="str">
        <f t="shared" si="1063"/>
        <v/>
      </c>
    </row>
    <row r="3072" spans="1:64" x14ac:dyDescent="0.25">
      <c r="A3072" s="762">
        <f t="shared" si="1064"/>
        <v>3067</v>
      </c>
      <c r="B3072" s="229"/>
      <c r="C3072" s="223"/>
      <c r="D3072" s="224"/>
      <c r="E3072" s="225"/>
      <c r="F3072" s="1036" t="str">
        <f t="shared" si="1070"/>
        <v/>
      </c>
      <c r="G3072" s="1037" t="str">
        <f t="shared" si="1065"/>
        <v/>
      </c>
      <c r="H3072" s="225"/>
      <c r="I3072" s="1013"/>
      <c r="J3072" s="1013"/>
      <c r="K3072" s="1028"/>
      <c r="L3072" s="1035" t="str">
        <f t="shared" si="1069"/>
        <v/>
      </c>
      <c r="S3072" s="498"/>
      <c r="AJ3072" s="498"/>
      <c r="AM3072" s="498">
        <f t="shared" si="1050"/>
        <v>0</v>
      </c>
      <c r="AN3072" s="498">
        <f t="shared" si="1051"/>
        <v>0</v>
      </c>
      <c r="AO3072" s="498">
        <f t="shared" si="1052"/>
        <v>0</v>
      </c>
      <c r="AP3072" s="498">
        <f t="shared" si="1071"/>
        <v>0</v>
      </c>
      <c r="AQ3072" s="498">
        <f t="shared" si="1066"/>
        <v>0</v>
      </c>
      <c r="AU3072" s="498">
        <f t="shared" si="1053"/>
        <v>0</v>
      </c>
      <c r="AV3072" s="498">
        <f t="shared" si="1054"/>
        <v>0</v>
      </c>
      <c r="AW3072" s="498">
        <f t="shared" si="1055"/>
        <v>0</v>
      </c>
      <c r="AX3072" s="498">
        <f t="shared" si="1056"/>
        <v>0</v>
      </c>
      <c r="AY3072" s="498">
        <f t="shared" si="1057"/>
        <v>0</v>
      </c>
      <c r="BB3072" s="498" t="str">
        <f t="shared" si="1058"/>
        <v/>
      </c>
      <c r="BC3072" s="743" t="str">
        <f t="shared" si="1059"/>
        <v/>
      </c>
      <c r="BD3072" s="743" t="str">
        <f t="shared" si="1060"/>
        <v/>
      </c>
      <c r="BE3072" s="743" t="str">
        <f>IF(D3072="","",VLOOKUP(D3072,'General Basis'!$J$39:$K$46,2,0))</f>
        <v/>
      </c>
      <c r="BF3072" s="744" t="str">
        <f>IF(D3072="","",VLOOKUP(D3072,'General Basis'!$J$39:$L$46,3,0))</f>
        <v/>
      </c>
      <c r="BG3072" s="744" t="str">
        <f t="shared" si="1067"/>
        <v/>
      </c>
      <c r="BH3072" s="744" t="str">
        <f>IF(G3072="","",IF(BF3072="Abu Dhabi",IF(G3072&lt;18,'General Basis'!$C$39,IF(G3072&lt;41,'General Basis'!$C$40,IF(G3072&lt;60,'General Basis'!$C$41,IF(G3072&lt;65,'General Basis'!$C$42,'General Basis'!$C$43)))),IF(G3072&lt;11,'General Basis'!$B$39,IF(G3072&lt;18,'General Basis'!$B$40,IF(G3072&lt;26,'General Basis'!$B$41,IF(G3072&lt;31,'General Basis'!$B$42,IF(G3072&lt;36,'General Basis'!$B$43,IF(G3072&lt;41,'General Basis'!$B$44,IF(G3072&lt;46,'General Basis'!$B$45,IF(G3072&lt;51,'General Basis'!$B$46,IF(G3072&lt;56,'General Basis'!$B$47,IF(G3072&lt;60,'General Basis'!$B$48,IF(G3072&lt;65,'General Basis'!$B$49,'General Basis'!$B$50)))))))))))))</f>
        <v/>
      </c>
      <c r="BI3072" s="744" t="str">
        <f t="shared" si="1061"/>
        <v/>
      </c>
      <c r="BJ3072" s="747" t="str">
        <f t="shared" si="1068"/>
        <v/>
      </c>
      <c r="BK3072" s="498" t="str">
        <f t="shared" si="1062"/>
        <v/>
      </c>
      <c r="BL3072" s="498" t="str">
        <f t="shared" si="1063"/>
        <v/>
      </c>
    </row>
    <row r="3073" spans="1:64" x14ac:dyDescent="0.25">
      <c r="A3073" s="762">
        <f t="shared" si="1064"/>
        <v>3068</v>
      </c>
      <c r="B3073" s="229"/>
      <c r="C3073" s="223"/>
      <c r="D3073" s="224"/>
      <c r="E3073" s="225"/>
      <c r="F3073" s="1036" t="str">
        <f t="shared" si="1070"/>
        <v/>
      </c>
      <c r="G3073" s="1037" t="str">
        <f t="shared" si="1065"/>
        <v/>
      </c>
      <c r="H3073" s="225"/>
      <c r="I3073" s="1013"/>
      <c r="J3073" s="1013"/>
      <c r="K3073" s="1028"/>
      <c r="L3073" s="1035" t="str">
        <f t="shared" si="1069"/>
        <v/>
      </c>
      <c r="S3073" s="498"/>
      <c r="AJ3073" s="498"/>
      <c r="AM3073" s="498">
        <f t="shared" si="1050"/>
        <v>0</v>
      </c>
      <c r="AN3073" s="498">
        <f t="shared" si="1051"/>
        <v>0</v>
      </c>
      <c r="AO3073" s="498">
        <f t="shared" si="1052"/>
        <v>0</v>
      </c>
      <c r="AP3073" s="498">
        <f t="shared" si="1071"/>
        <v>0</v>
      </c>
      <c r="AQ3073" s="498">
        <f t="shared" si="1066"/>
        <v>0</v>
      </c>
      <c r="AU3073" s="498">
        <f t="shared" si="1053"/>
        <v>0</v>
      </c>
      <c r="AV3073" s="498">
        <f t="shared" si="1054"/>
        <v>0</v>
      </c>
      <c r="AW3073" s="498">
        <f t="shared" si="1055"/>
        <v>0</v>
      </c>
      <c r="AX3073" s="498">
        <f t="shared" si="1056"/>
        <v>0</v>
      </c>
      <c r="AY3073" s="498">
        <f t="shared" si="1057"/>
        <v>0</v>
      </c>
      <c r="BB3073" s="498" t="str">
        <f t="shared" si="1058"/>
        <v/>
      </c>
      <c r="BC3073" s="743" t="str">
        <f t="shared" si="1059"/>
        <v/>
      </c>
      <c r="BD3073" s="743" t="str">
        <f t="shared" si="1060"/>
        <v/>
      </c>
      <c r="BE3073" s="743" t="str">
        <f>IF(D3073="","",VLOOKUP(D3073,'General Basis'!$J$39:$K$46,2,0))</f>
        <v/>
      </c>
      <c r="BF3073" s="744" t="str">
        <f>IF(D3073="","",VLOOKUP(D3073,'General Basis'!$J$39:$L$46,3,0))</f>
        <v/>
      </c>
      <c r="BG3073" s="744" t="str">
        <f t="shared" si="1067"/>
        <v/>
      </c>
      <c r="BH3073" s="744" t="str">
        <f>IF(G3073="","",IF(BF3073="Abu Dhabi",IF(G3073&lt;18,'General Basis'!$C$39,IF(G3073&lt;41,'General Basis'!$C$40,IF(G3073&lt;60,'General Basis'!$C$41,IF(G3073&lt;65,'General Basis'!$C$42,'General Basis'!$C$43)))),IF(G3073&lt;11,'General Basis'!$B$39,IF(G3073&lt;18,'General Basis'!$B$40,IF(G3073&lt;26,'General Basis'!$B$41,IF(G3073&lt;31,'General Basis'!$B$42,IF(G3073&lt;36,'General Basis'!$B$43,IF(G3073&lt;41,'General Basis'!$B$44,IF(G3073&lt;46,'General Basis'!$B$45,IF(G3073&lt;51,'General Basis'!$B$46,IF(G3073&lt;56,'General Basis'!$B$47,IF(G3073&lt;60,'General Basis'!$B$48,IF(G3073&lt;65,'General Basis'!$B$49,'General Basis'!$B$50)))))))))))))</f>
        <v/>
      </c>
      <c r="BI3073" s="744" t="str">
        <f t="shared" si="1061"/>
        <v/>
      </c>
      <c r="BJ3073" s="747" t="str">
        <f t="shared" si="1068"/>
        <v/>
      </c>
      <c r="BK3073" s="498" t="str">
        <f t="shared" si="1062"/>
        <v/>
      </c>
      <c r="BL3073" s="498" t="str">
        <f t="shared" si="1063"/>
        <v/>
      </c>
    </row>
    <row r="3074" spans="1:64" x14ac:dyDescent="0.25">
      <c r="A3074" s="762">
        <f t="shared" si="1064"/>
        <v>3069</v>
      </c>
      <c r="B3074" s="229"/>
      <c r="C3074" s="223"/>
      <c r="D3074" s="224"/>
      <c r="E3074" s="225"/>
      <c r="F3074" s="1036" t="str">
        <f t="shared" si="1070"/>
        <v/>
      </c>
      <c r="G3074" s="1037" t="str">
        <f t="shared" si="1065"/>
        <v/>
      </c>
      <c r="H3074" s="225"/>
      <c r="I3074" s="1013"/>
      <c r="J3074" s="1013"/>
      <c r="K3074" s="1028"/>
      <c r="L3074" s="1035" t="str">
        <f t="shared" si="1069"/>
        <v/>
      </c>
      <c r="S3074" s="498"/>
      <c r="AJ3074" s="498"/>
      <c r="AM3074" s="498">
        <f t="shared" si="1050"/>
        <v>0</v>
      </c>
      <c r="AN3074" s="498">
        <f t="shared" si="1051"/>
        <v>0</v>
      </c>
      <c r="AO3074" s="498">
        <f t="shared" si="1052"/>
        <v>0</v>
      </c>
      <c r="AP3074" s="498">
        <f t="shared" si="1071"/>
        <v>0</v>
      </c>
      <c r="AQ3074" s="498">
        <f t="shared" si="1066"/>
        <v>0</v>
      </c>
      <c r="AU3074" s="498">
        <f t="shared" si="1053"/>
        <v>0</v>
      </c>
      <c r="AV3074" s="498">
        <f t="shared" si="1054"/>
        <v>0</v>
      </c>
      <c r="AW3074" s="498">
        <f t="shared" si="1055"/>
        <v>0</v>
      </c>
      <c r="AX3074" s="498">
        <f t="shared" si="1056"/>
        <v>0</v>
      </c>
      <c r="AY3074" s="498">
        <f t="shared" si="1057"/>
        <v>0</v>
      </c>
      <c r="BB3074" s="498" t="str">
        <f t="shared" si="1058"/>
        <v/>
      </c>
      <c r="BC3074" s="743" t="str">
        <f t="shared" si="1059"/>
        <v/>
      </c>
      <c r="BD3074" s="743" t="str">
        <f t="shared" si="1060"/>
        <v/>
      </c>
      <c r="BE3074" s="743" t="str">
        <f>IF(D3074="","",VLOOKUP(D3074,'General Basis'!$J$39:$K$46,2,0))</f>
        <v/>
      </c>
      <c r="BF3074" s="744" t="str">
        <f>IF(D3074="","",VLOOKUP(D3074,'General Basis'!$J$39:$L$46,3,0))</f>
        <v/>
      </c>
      <c r="BG3074" s="744" t="str">
        <f t="shared" si="1067"/>
        <v/>
      </c>
      <c r="BH3074" s="744" t="str">
        <f>IF(G3074="","",IF(BF3074="Abu Dhabi",IF(G3074&lt;18,'General Basis'!$C$39,IF(G3074&lt;41,'General Basis'!$C$40,IF(G3074&lt;60,'General Basis'!$C$41,IF(G3074&lt;65,'General Basis'!$C$42,'General Basis'!$C$43)))),IF(G3074&lt;11,'General Basis'!$B$39,IF(G3074&lt;18,'General Basis'!$B$40,IF(G3074&lt;26,'General Basis'!$B$41,IF(G3074&lt;31,'General Basis'!$B$42,IF(G3074&lt;36,'General Basis'!$B$43,IF(G3074&lt;41,'General Basis'!$B$44,IF(G3074&lt;46,'General Basis'!$B$45,IF(G3074&lt;51,'General Basis'!$B$46,IF(G3074&lt;56,'General Basis'!$B$47,IF(G3074&lt;60,'General Basis'!$B$48,IF(G3074&lt;65,'General Basis'!$B$49,'General Basis'!$B$50)))))))))))))</f>
        <v/>
      </c>
      <c r="BI3074" s="744" t="str">
        <f t="shared" si="1061"/>
        <v/>
      </c>
      <c r="BJ3074" s="747" t="str">
        <f t="shared" si="1068"/>
        <v/>
      </c>
      <c r="BK3074" s="498" t="str">
        <f t="shared" si="1062"/>
        <v/>
      </c>
      <c r="BL3074" s="498" t="str">
        <f t="shared" si="1063"/>
        <v/>
      </c>
    </row>
    <row r="3075" spans="1:64" x14ac:dyDescent="0.25">
      <c r="A3075" s="762">
        <f t="shared" si="1064"/>
        <v>3070</v>
      </c>
      <c r="B3075" s="229"/>
      <c r="C3075" s="223"/>
      <c r="D3075" s="224"/>
      <c r="E3075" s="225"/>
      <c r="F3075" s="1036" t="str">
        <f t="shared" si="1070"/>
        <v/>
      </c>
      <c r="G3075" s="1037" t="str">
        <f t="shared" si="1065"/>
        <v/>
      </c>
      <c r="H3075" s="225"/>
      <c r="I3075" s="1013"/>
      <c r="J3075" s="1013"/>
      <c r="K3075" s="1028"/>
      <c r="L3075" s="1035" t="str">
        <f t="shared" si="1069"/>
        <v/>
      </c>
      <c r="S3075" s="498"/>
      <c r="AJ3075" s="498"/>
      <c r="AM3075" s="498">
        <f t="shared" si="1050"/>
        <v>0</v>
      </c>
      <c r="AN3075" s="498">
        <f t="shared" si="1051"/>
        <v>0</v>
      </c>
      <c r="AO3075" s="498">
        <f t="shared" si="1052"/>
        <v>0</v>
      </c>
      <c r="AP3075" s="498">
        <f t="shared" si="1071"/>
        <v>0</v>
      </c>
      <c r="AQ3075" s="498">
        <f t="shared" si="1066"/>
        <v>0</v>
      </c>
      <c r="AU3075" s="498">
        <f t="shared" si="1053"/>
        <v>0</v>
      </c>
      <c r="AV3075" s="498">
        <f t="shared" si="1054"/>
        <v>0</v>
      </c>
      <c r="AW3075" s="498">
        <f t="shared" si="1055"/>
        <v>0</v>
      </c>
      <c r="AX3075" s="498">
        <f t="shared" si="1056"/>
        <v>0</v>
      </c>
      <c r="AY3075" s="498">
        <f t="shared" si="1057"/>
        <v>0</v>
      </c>
      <c r="BB3075" s="498" t="str">
        <f t="shared" si="1058"/>
        <v/>
      </c>
      <c r="BC3075" s="743" t="str">
        <f t="shared" si="1059"/>
        <v/>
      </c>
      <c r="BD3075" s="743" t="str">
        <f t="shared" si="1060"/>
        <v/>
      </c>
      <c r="BE3075" s="743" t="str">
        <f>IF(D3075="","",VLOOKUP(D3075,'General Basis'!$J$39:$K$46,2,0))</f>
        <v/>
      </c>
      <c r="BF3075" s="744" t="str">
        <f>IF(D3075="","",VLOOKUP(D3075,'General Basis'!$J$39:$L$46,3,0))</f>
        <v/>
      </c>
      <c r="BG3075" s="744" t="str">
        <f t="shared" si="1067"/>
        <v/>
      </c>
      <c r="BH3075" s="744" t="str">
        <f>IF(G3075="","",IF(BF3075="Abu Dhabi",IF(G3075&lt;18,'General Basis'!$C$39,IF(G3075&lt;41,'General Basis'!$C$40,IF(G3075&lt;60,'General Basis'!$C$41,IF(G3075&lt;65,'General Basis'!$C$42,'General Basis'!$C$43)))),IF(G3075&lt;11,'General Basis'!$B$39,IF(G3075&lt;18,'General Basis'!$B$40,IF(G3075&lt;26,'General Basis'!$B$41,IF(G3075&lt;31,'General Basis'!$B$42,IF(G3075&lt;36,'General Basis'!$B$43,IF(G3075&lt;41,'General Basis'!$B$44,IF(G3075&lt;46,'General Basis'!$B$45,IF(G3075&lt;51,'General Basis'!$B$46,IF(G3075&lt;56,'General Basis'!$B$47,IF(G3075&lt;60,'General Basis'!$B$48,IF(G3075&lt;65,'General Basis'!$B$49,'General Basis'!$B$50)))))))))))))</f>
        <v/>
      </c>
      <c r="BI3075" s="744" t="str">
        <f t="shared" si="1061"/>
        <v/>
      </c>
      <c r="BJ3075" s="747" t="str">
        <f t="shared" si="1068"/>
        <v/>
      </c>
      <c r="BK3075" s="498" t="str">
        <f t="shared" si="1062"/>
        <v/>
      </c>
      <c r="BL3075" s="498" t="str">
        <f t="shared" si="1063"/>
        <v/>
      </c>
    </row>
    <row r="3076" spans="1:64" x14ac:dyDescent="0.25">
      <c r="A3076" s="762">
        <f t="shared" si="1064"/>
        <v>3071</v>
      </c>
      <c r="B3076" s="229"/>
      <c r="C3076" s="223"/>
      <c r="D3076" s="224"/>
      <c r="E3076" s="225"/>
      <c r="F3076" s="1036" t="str">
        <f t="shared" si="1070"/>
        <v/>
      </c>
      <c r="G3076" s="1037" t="str">
        <f t="shared" si="1065"/>
        <v/>
      </c>
      <c r="H3076" s="225"/>
      <c r="I3076" s="1013"/>
      <c r="J3076" s="1013"/>
      <c r="K3076" s="1028"/>
      <c r="L3076" s="1035" t="str">
        <f t="shared" si="1069"/>
        <v/>
      </c>
      <c r="S3076" s="498"/>
      <c r="AJ3076" s="498"/>
      <c r="AM3076" s="498">
        <f t="shared" si="1050"/>
        <v>0</v>
      </c>
      <c r="AN3076" s="498">
        <f t="shared" si="1051"/>
        <v>0</v>
      </c>
      <c r="AO3076" s="498">
        <f t="shared" si="1052"/>
        <v>0</v>
      </c>
      <c r="AP3076" s="498">
        <f t="shared" si="1071"/>
        <v>0</v>
      </c>
      <c r="AQ3076" s="498">
        <f t="shared" si="1066"/>
        <v>0</v>
      </c>
      <c r="AU3076" s="498">
        <f t="shared" si="1053"/>
        <v>0</v>
      </c>
      <c r="AV3076" s="498">
        <f t="shared" si="1054"/>
        <v>0</v>
      </c>
      <c r="AW3076" s="498">
        <f t="shared" si="1055"/>
        <v>0</v>
      </c>
      <c r="AX3076" s="498">
        <f t="shared" si="1056"/>
        <v>0</v>
      </c>
      <c r="AY3076" s="498">
        <f t="shared" si="1057"/>
        <v>0</v>
      </c>
      <c r="BB3076" s="498" t="str">
        <f t="shared" si="1058"/>
        <v/>
      </c>
      <c r="BC3076" s="743" t="str">
        <f t="shared" si="1059"/>
        <v/>
      </c>
      <c r="BD3076" s="743" t="str">
        <f t="shared" si="1060"/>
        <v/>
      </c>
      <c r="BE3076" s="743" t="str">
        <f>IF(D3076="","",VLOOKUP(D3076,'General Basis'!$J$39:$K$46,2,0))</f>
        <v/>
      </c>
      <c r="BF3076" s="744" t="str">
        <f>IF(D3076="","",VLOOKUP(D3076,'General Basis'!$J$39:$L$46,3,0))</f>
        <v/>
      </c>
      <c r="BG3076" s="744" t="str">
        <f t="shared" si="1067"/>
        <v/>
      </c>
      <c r="BH3076" s="744" t="str">
        <f>IF(G3076="","",IF(BF3076="Abu Dhabi",IF(G3076&lt;18,'General Basis'!$C$39,IF(G3076&lt;41,'General Basis'!$C$40,IF(G3076&lt;60,'General Basis'!$C$41,IF(G3076&lt;65,'General Basis'!$C$42,'General Basis'!$C$43)))),IF(G3076&lt;11,'General Basis'!$B$39,IF(G3076&lt;18,'General Basis'!$B$40,IF(G3076&lt;26,'General Basis'!$B$41,IF(G3076&lt;31,'General Basis'!$B$42,IF(G3076&lt;36,'General Basis'!$B$43,IF(G3076&lt;41,'General Basis'!$B$44,IF(G3076&lt;46,'General Basis'!$B$45,IF(G3076&lt;51,'General Basis'!$B$46,IF(G3076&lt;56,'General Basis'!$B$47,IF(G3076&lt;60,'General Basis'!$B$48,IF(G3076&lt;65,'General Basis'!$B$49,'General Basis'!$B$50)))))))))))))</f>
        <v/>
      </c>
      <c r="BI3076" s="744" t="str">
        <f t="shared" si="1061"/>
        <v/>
      </c>
      <c r="BJ3076" s="747" t="str">
        <f t="shared" si="1068"/>
        <v/>
      </c>
      <c r="BK3076" s="498" t="str">
        <f t="shared" si="1062"/>
        <v/>
      </c>
      <c r="BL3076" s="498" t="str">
        <f t="shared" si="1063"/>
        <v/>
      </c>
    </row>
    <row r="3077" spans="1:64" x14ac:dyDescent="0.25">
      <c r="A3077" s="762">
        <f t="shared" si="1064"/>
        <v>3072</v>
      </c>
      <c r="B3077" s="229"/>
      <c r="C3077" s="223"/>
      <c r="D3077" s="224"/>
      <c r="E3077" s="225"/>
      <c r="F3077" s="1036" t="str">
        <f t="shared" si="1070"/>
        <v/>
      </c>
      <c r="G3077" s="1037" t="str">
        <f t="shared" si="1065"/>
        <v/>
      </c>
      <c r="H3077" s="225"/>
      <c r="I3077" s="1013"/>
      <c r="J3077" s="1013"/>
      <c r="K3077" s="1028"/>
      <c r="L3077" s="1035" t="str">
        <f t="shared" si="1069"/>
        <v/>
      </c>
      <c r="S3077" s="498"/>
      <c r="AJ3077" s="498"/>
      <c r="AM3077" s="498">
        <f t="shared" si="1050"/>
        <v>0</v>
      </c>
      <c r="AN3077" s="498">
        <f t="shared" si="1051"/>
        <v>0</v>
      </c>
      <c r="AO3077" s="498">
        <f t="shared" si="1052"/>
        <v>0</v>
      </c>
      <c r="AP3077" s="498">
        <f t="shared" si="1071"/>
        <v>0</v>
      </c>
      <c r="AQ3077" s="498">
        <f t="shared" si="1066"/>
        <v>0</v>
      </c>
      <c r="AU3077" s="498">
        <f t="shared" si="1053"/>
        <v>0</v>
      </c>
      <c r="AV3077" s="498">
        <f t="shared" si="1054"/>
        <v>0</v>
      </c>
      <c r="AW3077" s="498">
        <f t="shared" si="1055"/>
        <v>0</v>
      </c>
      <c r="AX3077" s="498">
        <f t="shared" si="1056"/>
        <v>0</v>
      </c>
      <c r="AY3077" s="498">
        <f t="shared" si="1057"/>
        <v>0</v>
      </c>
      <c r="BB3077" s="498" t="str">
        <f t="shared" si="1058"/>
        <v/>
      </c>
      <c r="BC3077" s="743" t="str">
        <f t="shared" si="1059"/>
        <v/>
      </c>
      <c r="BD3077" s="743" t="str">
        <f t="shared" si="1060"/>
        <v/>
      </c>
      <c r="BE3077" s="743" t="str">
        <f>IF(D3077="","",VLOOKUP(D3077,'General Basis'!$J$39:$K$46,2,0))</f>
        <v/>
      </c>
      <c r="BF3077" s="744" t="str">
        <f>IF(D3077="","",VLOOKUP(D3077,'General Basis'!$J$39:$L$46,3,0))</f>
        <v/>
      </c>
      <c r="BG3077" s="744" t="str">
        <f t="shared" si="1067"/>
        <v/>
      </c>
      <c r="BH3077" s="744" t="str">
        <f>IF(G3077="","",IF(BF3077="Abu Dhabi",IF(G3077&lt;18,'General Basis'!$C$39,IF(G3077&lt;41,'General Basis'!$C$40,IF(G3077&lt;60,'General Basis'!$C$41,IF(G3077&lt;65,'General Basis'!$C$42,'General Basis'!$C$43)))),IF(G3077&lt;11,'General Basis'!$B$39,IF(G3077&lt;18,'General Basis'!$B$40,IF(G3077&lt;26,'General Basis'!$B$41,IF(G3077&lt;31,'General Basis'!$B$42,IF(G3077&lt;36,'General Basis'!$B$43,IF(G3077&lt;41,'General Basis'!$B$44,IF(G3077&lt;46,'General Basis'!$B$45,IF(G3077&lt;51,'General Basis'!$B$46,IF(G3077&lt;56,'General Basis'!$B$47,IF(G3077&lt;60,'General Basis'!$B$48,IF(G3077&lt;65,'General Basis'!$B$49,'General Basis'!$B$50)))))))))))))</f>
        <v/>
      </c>
      <c r="BI3077" s="744" t="str">
        <f t="shared" si="1061"/>
        <v/>
      </c>
      <c r="BJ3077" s="747" t="str">
        <f t="shared" si="1068"/>
        <v/>
      </c>
      <c r="BK3077" s="498" t="str">
        <f t="shared" si="1062"/>
        <v/>
      </c>
      <c r="BL3077" s="498" t="str">
        <f t="shared" si="1063"/>
        <v/>
      </c>
    </row>
    <row r="3078" spans="1:64" x14ac:dyDescent="0.25">
      <c r="A3078" s="762">
        <f t="shared" si="1064"/>
        <v>3073</v>
      </c>
      <c r="B3078" s="229"/>
      <c r="C3078" s="223"/>
      <c r="D3078" s="224"/>
      <c r="E3078" s="225"/>
      <c r="F3078" s="1036" t="str">
        <f t="shared" si="1070"/>
        <v/>
      </c>
      <c r="G3078" s="1037" t="str">
        <f t="shared" si="1065"/>
        <v/>
      </c>
      <c r="H3078" s="225"/>
      <c r="I3078" s="1013"/>
      <c r="J3078" s="1013"/>
      <c r="K3078" s="1028"/>
      <c r="L3078" s="1035" t="str">
        <f t="shared" si="1069"/>
        <v/>
      </c>
      <c r="S3078" s="498"/>
      <c r="AJ3078" s="498"/>
      <c r="AM3078" s="498">
        <f t="shared" ref="AM3078:AM3141" si="1072">IF(ISTEXT(B3078),1,0)</f>
        <v>0</v>
      </c>
      <c r="AN3078" s="498">
        <f t="shared" ref="AN3078:AN3141" si="1073">IF(ISBLANK(B3078),0,IF(B3078&lt;$AK$6,1,0))</f>
        <v>0</v>
      </c>
      <c r="AO3078" s="498">
        <f t="shared" ref="AO3078:AO3141" si="1074">IF(ISBLANK(B3078),0,IF(B3078&gt;$AK$7,1,0))</f>
        <v>0</v>
      </c>
      <c r="AP3078" s="498">
        <f t="shared" si="1071"/>
        <v>0</v>
      </c>
      <c r="AQ3078" s="498">
        <f t="shared" si="1066"/>
        <v>0</v>
      </c>
      <c r="AU3078" s="498">
        <f t="shared" ref="AU3078:AU3141" si="1075">IF(ISBLANK(B3078),0,1)</f>
        <v>0</v>
      </c>
      <c r="AV3078" s="498">
        <f t="shared" ref="AV3078:AV3141" si="1076">IF(ISBLANK(C3078),0,1)</f>
        <v>0</v>
      </c>
      <c r="AW3078" s="498">
        <f t="shared" ref="AW3078:AW3141" si="1077">IF(ISBLANK(D3078),0,1)</f>
        <v>0</v>
      </c>
      <c r="AX3078" s="498">
        <f t="shared" ref="AX3078:AX3141" si="1078">IF(ISBLANK(E3078),0,1)</f>
        <v>0</v>
      </c>
      <c r="AY3078" s="498">
        <f t="shared" ref="AY3078:AY3141" si="1079">IF(ISBLANK(H3078),0,1)</f>
        <v>0</v>
      </c>
      <c r="BB3078" s="498" t="str">
        <f t="shared" ref="BB3078:BB3141" si="1080">IF(E3078="Principal","Principal",IF(E3078="","","Other"))</f>
        <v/>
      </c>
      <c r="BC3078" s="743" t="str">
        <f t="shared" ref="BC3078:BC3141" si="1081">IF(D3078="","",D3078)</f>
        <v/>
      </c>
      <c r="BD3078" s="743" t="str">
        <f t="shared" ref="BD3078:BD3141" si="1082">IF(E3078="Principal","Employee",IF(E3078="","","Dependent"))</f>
        <v/>
      </c>
      <c r="BE3078" s="743" t="str">
        <f>IF(D3078="","",VLOOKUP(D3078,'General Basis'!$J$39:$K$46,2,0))</f>
        <v/>
      </c>
      <c r="BF3078" s="744" t="str">
        <f>IF(D3078="","",VLOOKUP(D3078,'General Basis'!$J$39:$L$46,3,0))</f>
        <v/>
      </c>
      <c r="BG3078" s="744" t="str">
        <f t="shared" si="1067"/>
        <v/>
      </c>
      <c r="BH3078" s="744" t="str">
        <f>IF(G3078="","",IF(BF3078="Abu Dhabi",IF(G3078&lt;18,'General Basis'!$C$39,IF(G3078&lt;41,'General Basis'!$C$40,IF(G3078&lt;60,'General Basis'!$C$41,IF(G3078&lt;65,'General Basis'!$C$42,'General Basis'!$C$43)))),IF(G3078&lt;11,'General Basis'!$B$39,IF(G3078&lt;18,'General Basis'!$B$40,IF(G3078&lt;26,'General Basis'!$B$41,IF(G3078&lt;31,'General Basis'!$B$42,IF(G3078&lt;36,'General Basis'!$B$43,IF(G3078&lt;41,'General Basis'!$B$44,IF(G3078&lt;46,'General Basis'!$B$45,IF(G3078&lt;51,'General Basis'!$B$46,IF(G3078&lt;56,'General Basis'!$B$47,IF(G3078&lt;60,'General Basis'!$B$48,IF(G3078&lt;65,'General Basis'!$B$49,'General Basis'!$B$50)))))))))))))</f>
        <v/>
      </c>
      <c r="BI3078" s="744" t="str">
        <f t="shared" ref="BI3078:BI3141" si="1083">IF(C3078="","",IF(C3078="M","Male","Female"))</f>
        <v/>
      </c>
      <c r="BJ3078" s="747" t="str">
        <f t="shared" si="1068"/>
        <v/>
      </c>
      <c r="BK3078" s="498" t="str">
        <f t="shared" ref="BK3078:BK3141" si="1084">IF(BD3078="","",IF(AND(BD3078="Employee",BI3078="Male",BF3078="Abu Dhabi",BE3078=GN_Plus),VLOOKUP(BH3078,AUH_MALE_EMP,2,0),IF(AND(BD3078="Employee",BI3078="Male",BF3078="Abu Dhabi",BE3078=GN),VLOOKUP(BH3078,AUH_MALE_EMP,3,0),IF(AND(BD3078="Employee",BI3078="Male",BF3078="Abu Dhabi",BE3078=RN_Plus),VLOOKUP(BH3078,AUH_MALE_EMP,4,0),IF(AND(BD3078="Employee",BI3078="Male",BF3078="Abu Dhabi",BE3078=RN),VLOOKUP(BH3078,AUH_MALE_EMP,5,0),IF(AND(BD3078="Employee",BI3078="Male",BF3078="Abu Dhabi",BE3078=RN_2),VLOOKUP(BH3078,AUH_MALE_EMP,6,0),IF(AND(BD3078="Employee",BI3078="Male",BF3078="Abu Dhabi",BE3078=RN2_minus),VLOOKUP(BH3078,AUH_MALE_EMP,7,0),IF(AND(BD3078="Employee",BI3078="Male",BF3078="Abu Dhabi",BE3078=RN_3),VLOOKUP(BH3078,AUH_MALE_EMP,8,0),IF(AND(BD3078="Employee",BI3078="Male",BF3078="Abu Dhabi",BE3078=VN),VLOOKUP(BH3078,AUH_MALE_EMP,9,0),IF(BD3078="","",IF(AND(BD3078="Employee",BI3078="Female",BF3078="Abu Dhabi",BE3078=GN_Plus),VLOOKUP(BH3078,AUH_FEMALE_EMP,2,0),IF(AND(BD3078="Employee",BI3078="Female",BF3078="Abu Dhabi",BE3078=GN),VLOOKUP(BH3078,AUH_FEMALE_EMP,3,0),IF(AND(BD3078="Employee",BI3078="Female",BF3078="Abu Dhabi",BE3078=RN_Plus),VLOOKUP(BH3078,AUH_FEMALE_EMP,4,0),IF(AND(BD3078="Employee",BI3078="Female",BF3078="Abu Dhabi",BE3078=RN),VLOOKUP(BH3078,AUH_FEMALE_EMP,5,0),IF(AND(BD3078="Employee",BI3078="Female",BF3078="Abu Dhabi",BE3078=RN_2),VLOOKUP(BH3078,AUH_FEMALE_EMP,6,0),IF(AND(BD3078="Employee",BI3078="Female",BF3078="Abu Dhabi",BE3078=RN2_minus),VLOOKUP(BH3078,AUH_FEMALE_EMP,7,0),IF(AND(BD3078="Employee",BI3078="Female",BF3078="Abu Dhabi",BE3078=RN_3),VLOOKUP(BH3078,AUH_FEMALE_EMP,8,0),IF(AND(BD3078="Employee",BI3078="Female",BF3078="Abu Dhabi",BE3078=VN),VLOOKUP(BH3078,AUH_FEMALE_EMP,9,0),IF(BD3078="","",IF(AND(BD3078="Dependent",BI3078="Male",BF3078="Abu Dhabi",BE3078=GN_Plus),VLOOKUP(BH3078,AUH_MALE_DEP,2,0),IF(AND(BD3078="Dependent",BI3078="Male",BF3078="Abu Dhabi",BE3078=GN),VLOOKUP(BH3078,AUH_MALE_DEP,3,0),IF(AND(BD3078="Dependent",BI3078="Male",BF3078="Abu Dhabi",BE3078=RN_Plus),VLOOKUP(BH3078,AUH_MALE_DEP,4,0),IF(AND(BD3078="Dependent",BI3078="Male",BF3078="Abu Dhabi",BE3078=RN),VLOOKUP(BH3078,AUH_MALE_DEP,5,0),IF(AND(BD3078="Dependent",BI3078="Male",BF3078="Abu Dhabi",BE3078=RN_2),VLOOKUP(BH3078,AUH_MALE_DEP,6,0),IF(AND(BD3078="Dependent",BI3078="Male",BF3078="Abu Dhabi",BE3078=RN2_minus),VLOOKUP(BH3078,AUH_MALE_DEP,7,0),IF(AND(BD3078="Dependent",BI3078="Male",BF3078="Abu Dhabi",BE3078=RN_3),VLOOKUP(BH3078,AUH_MALE_DEP,8,0),IF(AND(BD3078="Dependent",BI3078="Male",BF3078="Abu Dhabi",BE3078=VN),VLOOKUP(BH3078,AUH_MALE_DEP,9,0),IF(BD3078="","",IF(AND(BD3078="Dependent",BI3078="Female",BF3078="Abu Dhabi",BE3078=GN_Plus),VLOOKUP(BH3078,AUH_FEMALE_DEP,2,0),IF(AND(BD3078="Dependent",BI3078="Female",BF3078="Abu Dhabi",BE3078=GN),VLOOKUP(BH3078,AUH_FEMALE_DEP,3,0),IF(AND(BD3078="Dependent",BI3078="Female",BF3078="Abu Dhabi",BE3078=RN_Plus),VLOOKUP(BH3078,AUH_FEMALE_DEP,4,0),IF(AND(BD3078="Dependent",BI3078="Female",BF3078="Abu Dhabi",BE3078=RN),VLOOKUP(BH3078,AUH_FEMALE_DEP,5,0),IF(AND(BD3078="Dependent",BI3078="Female",BF3078="Abu Dhabi",BE3078=RN_2),VLOOKUP(BH3078,AUH_FEMALE_DEP,6,0),IF(AND(BD3078="Dependent",BI3078="Female",BF3078="Abu Dhabi",BE3078=RN2_minus),VLOOKUP(BH3078,AUH_FEMALE_DEP,7,0),IF(AND(BD3078="Dependent",BI3078="Female",BF3078="Abu Dhabi",BE3078=RN_3),VLOOKUP(BH3078,AUH_FEMALE_DEP,8,0),IF(AND(BD3078="Dependent",BI3078="Female",BF3078="Abu Dhabi",BE3078=VN),VLOOKUP(BH3078,AUH_FEMALE_DEP,9,0),"ABC"))))))))))))))))))))))))))))))))))))</f>
        <v/>
      </c>
      <c r="BL3078" s="498" t="str">
        <f t="shared" ref="BL3078:BL3141" si="1085">IF(BD3078="","",IF(AND(BD3078="Employee",BI3078="Male",BF3078="Dubai",BE3078=GN_Plus),VLOOKUP(BH3078,DXB_MALE_EMP,2,0),IF(AND(BD3078="Employee",BI3078="Male",BF3078="Dubai",BE3078=GN),VLOOKUP(BH3078,DXB_MALE_EMP,3,0),IF(AND(BD3078="Employee",BI3078="Male",BF3078="Dubai",BE3078=RN_Plus),VLOOKUP(BH3078,DXB_MALE_EMP,4,0),IF(AND(BD3078="Employee",BI3078="Male",BF3078="Dubai",BE3078=RN),VLOOKUP(BH3078,DXB_MALE_EMP,5,0),IF(AND(BD3078="Employee",BI3078="Male",BF3078="Dubai",BE3078=RN_2),VLOOKUP(BH3078,DXB_MALE_EMP,6,0),IF(AND(BD3078="Employee",BI3078="Male",BF3078="Dubai",BE3078=RN2_minus),VLOOKUP(BH3078,DXB_MALE_EMP,7,0),IF(AND(BD3078="Employee",BI3078="Male",BF3078="Dubai",BE3078=RN_3),VLOOKUP(BH3078,DXB_MALE_EMP,8,0),IF(AND(BD3078="Employee",BI3078="Male",BF3078="Dubai",BE3078=VN),VLOOKUP(BH3078,DXB_MALE_EMP,9,0),IF(BD3078="","",IF(AND(BD3078="Employee",BI3078="Female",BF3078="Dubai",BE3078=GN_Plus),VLOOKUP(BH3078,DXB_FEMALE_EMP,2,0),IF(AND(BD3078="Employee",BI3078="Female",BF3078="Dubai",BE3078=GN),VLOOKUP(BH3078,DXB_FEMALE_EMP,3,0),IF(AND(BD3078="Employee",BI3078="Female",BF3078="Dubai",BE3078=RN_Plus),VLOOKUP(BH3078,DXB_FEMALE_EMP,4,0),IF(AND(BD3078="Employee",BI3078="Female",BF3078="Dubai",BE3078=RN),VLOOKUP(BH3078,DXB_FEMALE_EMP,5,0),IF(AND(BD3078="Employee",BI3078="Female",BF3078="Dubai",BE3078=RN_2),VLOOKUP(BH3078,DXB_FEMALE_EMP,6,0),IF(AND(BD3078="Employee",BI3078="Female",BF3078="Dubai",BE3078=RN2_minus),VLOOKUP(BH3078,DXB_FEMALE_EMP,7,0),IF(AND(BD3078="Employee",BI3078="Female",BF3078="Dubai",BE3078=RN_3),VLOOKUP(BH3078,DXB_FEMALE_EMP,8,0),IF(AND(BD3078="Employee",BI3078="Female",BF3078="Dubai",BE3078=VN),VLOOKUP(BH3078,DXB_FEMALE_EMP,9,0),IF(BD3078="","",IF(AND(BD3078="Dependent",BI3078="Male",BF3078="Dubai",BE3078=GN_Plus),VLOOKUP(BH3078,DXB_MALE_DEP,2,0),IF(AND(BD3078="Dependent",BI3078="Male",BF3078="Dubai",BE3078=GN),VLOOKUP(BH3078,DXB_MALE_DEP,3,0),IF(AND(BD3078="Dependent",BI3078="Male",BF3078="Dubai",BE3078=RN_Plus),VLOOKUP(BH3078,DXB_MALE_DEP,4,0),IF(AND(BD3078="Dependent",BI3078="Male",BF3078="Dubai",BE3078=RN),VLOOKUP(BH3078,DXB_MALE_DEP,5,0),IF(AND(BD3078="Dependent",BI3078="Male",BF3078="Dubai",BE3078=RN_2),VLOOKUP(BH3078,DXB_MALE_DEP,6,0),IF(AND(BD3078="Dependent",BI3078="Male",BF3078="Dubai",BE3078=RN2_minus),VLOOKUP(BH3078,DXB_MALE_DEP,7,0),IF(AND(BD3078="Dependent",BI3078="Male",BF3078="Dubai",BE3078=RN_3),VLOOKUP(BH3078,DXB_MALE_DEP,8,0),IF(AND(BD3078="Dependent",BI3078="Male",BF3078="Dubai",BE3078=VN),VLOOKUP(BH3078,DXB_MALE_DEP,9,0),IF(BD3078="","",IF(AND(BD3078="Dependent",BI3078="Female",BF3078="Dubai",BE3078=GN_Plus),VLOOKUP(BH3078,DXB_FEMALE_DEP,2,0),IF(AND(BD3078="Dependent",BI3078="Female",BF3078="Dubai",BE3078=GN),VLOOKUP(BH3078,DXB_FEMALE_DEP,3,0),IF(AND(BD3078="Dependent",BI3078="Female",BF3078="Dubai",BE3078=RN_Plus),VLOOKUP(BH3078,DXB_FEMALE_DEP,4,0),IF(AND(BD3078="Dependent",BI3078="Female",BF3078="Dubai",BE3078=RN),VLOOKUP(BH3078,DXB_FEMALE_DEP,5,0),IF(AND(BD3078="Dependent",BI3078="Female",BF3078="Dubai",BE3078=RN_2),VLOOKUP(BH3078,DXB_FEMALE_DEP,6,0),IF(AND(BD3078="Dependent",BI3078="Female",BF3078="Dubai",BE3078=RN2_minus),VLOOKUP(BH3078,DXB_FEMALE_DEP,7,0),IF(AND(BD3078="Dependent",BI3078="Female",BF3078="Dubai",BE3078=RN_3),VLOOKUP(BH3078,DXB_FEMALE_DEP,8,0),IF(AND(BD3078="Dependent",BI3078="Female",BF3078="Dubai",BE3078=VN),VLOOKUP(BH3078,DXB_FEMALE_DEP,9,0),"ABC"))))))))))))))))))))))))))))))))))))</f>
        <v/>
      </c>
    </row>
    <row r="3079" spans="1:64" x14ac:dyDescent="0.25">
      <c r="A3079" s="762">
        <f t="shared" ref="A3079:A3142" si="1086">+A3078+1</f>
        <v>3074</v>
      </c>
      <c r="B3079" s="229"/>
      <c r="C3079" s="223"/>
      <c r="D3079" s="224"/>
      <c r="E3079" s="225"/>
      <c r="F3079" s="1036" t="str">
        <f t="shared" si="1070"/>
        <v/>
      </c>
      <c r="G3079" s="1037" t="str">
        <f t="shared" ref="G3079:G3142" si="1087">IF(D3079="","",MAX(0,ROUNDUP(F3079,0)))</f>
        <v/>
      </c>
      <c r="H3079" s="225"/>
      <c r="I3079" s="1013"/>
      <c r="J3079" s="1013"/>
      <c r="K3079" s="1028"/>
      <c r="L3079" s="1035" t="str">
        <f t="shared" si="1069"/>
        <v/>
      </c>
      <c r="S3079" s="498"/>
      <c r="AJ3079" s="498"/>
      <c r="AM3079" s="498">
        <f t="shared" si="1072"/>
        <v>0</v>
      </c>
      <c r="AN3079" s="498">
        <f t="shared" si="1073"/>
        <v>0</v>
      </c>
      <c r="AO3079" s="498">
        <f t="shared" si="1074"/>
        <v>0</v>
      </c>
      <c r="AP3079" s="498">
        <f t="shared" si="1071"/>
        <v>0</v>
      </c>
      <c r="AQ3079" s="498">
        <f t="shared" ref="AQ3079:AQ3142" si="1088">IF(ISBLANK($B3079),0,IF(OR($H3079="Single",$H3079="Married"),0,1))</f>
        <v>0</v>
      </c>
      <c r="AU3079" s="498">
        <f t="shared" si="1075"/>
        <v>0</v>
      </c>
      <c r="AV3079" s="498">
        <f t="shared" si="1076"/>
        <v>0</v>
      </c>
      <c r="AW3079" s="498">
        <f t="shared" si="1077"/>
        <v>0</v>
      </c>
      <c r="AX3079" s="498">
        <f t="shared" si="1078"/>
        <v>0</v>
      </c>
      <c r="AY3079" s="498">
        <f t="shared" si="1079"/>
        <v>0</v>
      </c>
      <c r="BB3079" s="498" t="str">
        <f t="shared" si="1080"/>
        <v/>
      </c>
      <c r="BC3079" s="743" t="str">
        <f t="shared" si="1081"/>
        <v/>
      </c>
      <c r="BD3079" s="743" t="str">
        <f t="shared" si="1082"/>
        <v/>
      </c>
      <c r="BE3079" s="743" t="str">
        <f>IF(D3079="","",VLOOKUP(D3079,'General Basis'!$J$39:$K$46,2,0))</f>
        <v/>
      </c>
      <c r="BF3079" s="744" t="str">
        <f>IF(D3079="","",VLOOKUP(D3079,'General Basis'!$J$39:$L$46,3,0))</f>
        <v/>
      </c>
      <c r="BG3079" s="744" t="str">
        <f t="shared" ref="BG3079:BG3142" si="1089">BC3079&amp;BI3079</f>
        <v/>
      </c>
      <c r="BH3079" s="744" t="str">
        <f>IF(G3079="","",IF(BF3079="Abu Dhabi",IF(G3079&lt;18,'General Basis'!$C$39,IF(G3079&lt;41,'General Basis'!$C$40,IF(G3079&lt;60,'General Basis'!$C$41,IF(G3079&lt;65,'General Basis'!$C$42,'General Basis'!$C$43)))),IF(G3079&lt;11,'General Basis'!$B$39,IF(G3079&lt;18,'General Basis'!$B$40,IF(G3079&lt;26,'General Basis'!$B$41,IF(G3079&lt;31,'General Basis'!$B$42,IF(G3079&lt;36,'General Basis'!$B$43,IF(G3079&lt;41,'General Basis'!$B$44,IF(G3079&lt;46,'General Basis'!$B$45,IF(G3079&lt;51,'General Basis'!$B$46,IF(G3079&lt;56,'General Basis'!$B$47,IF(G3079&lt;60,'General Basis'!$B$48,IF(G3079&lt;65,'General Basis'!$B$49,'General Basis'!$B$50)))))))))))))</f>
        <v/>
      </c>
      <c r="BI3079" s="744" t="str">
        <f t="shared" si="1083"/>
        <v/>
      </c>
      <c r="BJ3079" s="747" t="str">
        <f t="shared" ref="BJ3079:BJ3142" si="1090">IF(BD3079="","",IF(BF3079="Abu Dhabi",BK3079,BL3079))</f>
        <v/>
      </c>
      <c r="BK3079" s="498" t="str">
        <f t="shared" si="1084"/>
        <v/>
      </c>
      <c r="BL3079" s="498" t="str">
        <f t="shared" si="1085"/>
        <v/>
      </c>
    </row>
    <row r="3080" spans="1:64" x14ac:dyDescent="0.25">
      <c r="A3080" s="762">
        <f t="shared" si="1086"/>
        <v>3075</v>
      </c>
      <c r="B3080" s="229"/>
      <c r="C3080" s="223"/>
      <c r="D3080" s="224"/>
      <c r="E3080" s="225"/>
      <c r="F3080" s="1036" t="str">
        <f t="shared" si="1070"/>
        <v/>
      </c>
      <c r="G3080" s="1037" t="str">
        <f t="shared" si="1087"/>
        <v/>
      </c>
      <c r="H3080" s="225"/>
      <c r="I3080" s="1013"/>
      <c r="J3080" s="1013"/>
      <c r="K3080" s="1028"/>
      <c r="L3080" s="1035" t="str">
        <f t="shared" ref="L3080:L3143" si="1091">IF(AND(E3080="Child",H3080="Married"),"Check the Marital Status of the Child. ",IF(AND(E3080="Child",F3080&gt;18),"Child Age exceed 18 years. ",IF(AND(E3080="Spouse",H3080="Single"),"Spouse is selected as Single. ","")))&amp;IF(K3080&gt;0,"UW Loading has been Applied","")</f>
        <v/>
      </c>
      <c r="S3080" s="498"/>
      <c r="AJ3080" s="498"/>
      <c r="AM3080" s="498">
        <f t="shared" si="1072"/>
        <v>0</v>
      </c>
      <c r="AN3080" s="498">
        <f t="shared" si="1073"/>
        <v>0</v>
      </c>
      <c r="AO3080" s="498">
        <f t="shared" si="1074"/>
        <v>0</v>
      </c>
      <c r="AP3080" s="498">
        <f t="shared" si="1071"/>
        <v>0</v>
      </c>
      <c r="AQ3080" s="498">
        <f t="shared" si="1088"/>
        <v>0</v>
      </c>
      <c r="AU3080" s="498">
        <f t="shared" si="1075"/>
        <v>0</v>
      </c>
      <c r="AV3080" s="498">
        <f t="shared" si="1076"/>
        <v>0</v>
      </c>
      <c r="AW3080" s="498">
        <f t="shared" si="1077"/>
        <v>0</v>
      </c>
      <c r="AX3080" s="498">
        <f t="shared" si="1078"/>
        <v>0</v>
      </c>
      <c r="AY3080" s="498">
        <f t="shared" si="1079"/>
        <v>0</v>
      </c>
      <c r="BB3080" s="498" t="str">
        <f t="shared" si="1080"/>
        <v/>
      </c>
      <c r="BC3080" s="743" t="str">
        <f t="shared" si="1081"/>
        <v/>
      </c>
      <c r="BD3080" s="743" t="str">
        <f t="shared" si="1082"/>
        <v/>
      </c>
      <c r="BE3080" s="743" t="str">
        <f>IF(D3080="","",VLOOKUP(D3080,'General Basis'!$J$39:$K$46,2,0))</f>
        <v/>
      </c>
      <c r="BF3080" s="744" t="str">
        <f>IF(D3080="","",VLOOKUP(D3080,'General Basis'!$J$39:$L$46,3,0))</f>
        <v/>
      </c>
      <c r="BG3080" s="744" t="str">
        <f t="shared" si="1089"/>
        <v/>
      </c>
      <c r="BH3080" s="744" t="str">
        <f>IF(G3080="","",IF(BF3080="Abu Dhabi",IF(G3080&lt;18,'General Basis'!$C$39,IF(G3080&lt;41,'General Basis'!$C$40,IF(G3080&lt;60,'General Basis'!$C$41,IF(G3080&lt;65,'General Basis'!$C$42,'General Basis'!$C$43)))),IF(G3080&lt;11,'General Basis'!$B$39,IF(G3080&lt;18,'General Basis'!$B$40,IF(G3080&lt;26,'General Basis'!$B$41,IF(G3080&lt;31,'General Basis'!$B$42,IF(G3080&lt;36,'General Basis'!$B$43,IF(G3080&lt;41,'General Basis'!$B$44,IF(G3080&lt;46,'General Basis'!$B$45,IF(G3080&lt;51,'General Basis'!$B$46,IF(G3080&lt;56,'General Basis'!$B$47,IF(G3080&lt;60,'General Basis'!$B$48,IF(G3080&lt;65,'General Basis'!$B$49,'General Basis'!$B$50)))))))))))))</f>
        <v/>
      </c>
      <c r="BI3080" s="744" t="str">
        <f t="shared" si="1083"/>
        <v/>
      </c>
      <c r="BJ3080" s="747" t="str">
        <f t="shared" si="1090"/>
        <v/>
      </c>
      <c r="BK3080" s="498" t="str">
        <f t="shared" si="1084"/>
        <v/>
      </c>
      <c r="BL3080" s="498" t="str">
        <f t="shared" si="1085"/>
        <v/>
      </c>
    </row>
    <row r="3081" spans="1:64" x14ac:dyDescent="0.25">
      <c r="A3081" s="762">
        <f t="shared" si="1086"/>
        <v>3076</v>
      </c>
      <c r="B3081" s="229"/>
      <c r="C3081" s="223"/>
      <c r="D3081" s="224"/>
      <c r="E3081" s="225"/>
      <c r="F3081" s="1036" t="str">
        <f t="shared" si="1070"/>
        <v/>
      </c>
      <c r="G3081" s="1037" t="str">
        <f t="shared" si="1087"/>
        <v/>
      </c>
      <c r="H3081" s="225"/>
      <c r="I3081" s="1013"/>
      <c r="J3081" s="1013"/>
      <c r="K3081" s="1028"/>
      <c r="L3081" s="1035" t="str">
        <f t="shared" si="1091"/>
        <v/>
      </c>
      <c r="S3081" s="498"/>
      <c r="AJ3081" s="498"/>
      <c r="AM3081" s="498">
        <f t="shared" si="1072"/>
        <v>0</v>
      </c>
      <c r="AN3081" s="498">
        <f t="shared" si="1073"/>
        <v>0</v>
      </c>
      <c r="AO3081" s="498">
        <f t="shared" si="1074"/>
        <v>0</v>
      </c>
      <c r="AP3081" s="498">
        <f t="shared" si="1071"/>
        <v>0</v>
      </c>
      <c r="AQ3081" s="498">
        <f t="shared" si="1088"/>
        <v>0</v>
      </c>
      <c r="AU3081" s="498">
        <f t="shared" si="1075"/>
        <v>0</v>
      </c>
      <c r="AV3081" s="498">
        <f t="shared" si="1076"/>
        <v>0</v>
      </c>
      <c r="AW3081" s="498">
        <f t="shared" si="1077"/>
        <v>0</v>
      </c>
      <c r="AX3081" s="498">
        <f t="shared" si="1078"/>
        <v>0</v>
      </c>
      <c r="AY3081" s="498">
        <f t="shared" si="1079"/>
        <v>0</v>
      </c>
      <c r="BB3081" s="498" t="str">
        <f t="shared" si="1080"/>
        <v/>
      </c>
      <c r="BC3081" s="743" t="str">
        <f t="shared" si="1081"/>
        <v/>
      </c>
      <c r="BD3081" s="743" t="str">
        <f t="shared" si="1082"/>
        <v/>
      </c>
      <c r="BE3081" s="743" t="str">
        <f>IF(D3081="","",VLOOKUP(D3081,'General Basis'!$J$39:$K$46,2,0))</f>
        <v/>
      </c>
      <c r="BF3081" s="744" t="str">
        <f>IF(D3081="","",VLOOKUP(D3081,'General Basis'!$J$39:$L$46,3,0))</f>
        <v/>
      </c>
      <c r="BG3081" s="744" t="str">
        <f t="shared" si="1089"/>
        <v/>
      </c>
      <c r="BH3081" s="744" t="str">
        <f>IF(G3081="","",IF(BF3081="Abu Dhabi",IF(G3081&lt;18,'General Basis'!$C$39,IF(G3081&lt;41,'General Basis'!$C$40,IF(G3081&lt;60,'General Basis'!$C$41,IF(G3081&lt;65,'General Basis'!$C$42,'General Basis'!$C$43)))),IF(G3081&lt;11,'General Basis'!$B$39,IF(G3081&lt;18,'General Basis'!$B$40,IF(G3081&lt;26,'General Basis'!$B$41,IF(G3081&lt;31,'General Basis'!$B$42,IF(G3081&lt;36,'General Basis'!$B$43,IF(G3081&lt;41,'General Basis'!$B$44,IF(G3081&lt;46,'General Basis'!$B$45,IF(G3081&lt;51,'General Basis'!$B$46,IF(G3081&lt;56,'General Basis'!$B$47,IF(G3081&lt;60,'General Basis'!$B$48,IF(G3081&lt;65,'General Basis'!$B$49,'General Basis'!$B$50)))))))))))))</f>
        <v/>
      </c>
      <c r="BI3081" s="744" t="str">
        <f t="shared" si="1083"/>
        <v/>
      </c>
      <c r="BJ3081" s="747" t="str">
        <f t="shared" si="1090"/>
        <v/>
      </c>
      <c r="BK3081" s="498" t="str">
        <f t="shared" si="1084"/>
        <v/>
      </c>
      <c r="BL3081" s="498" t="str">
        <f t="shared" si="1085"/>
        <v/>
      </c>
    </row>
    <row r="3082" spans="1:64" x14ac:dyDescent="0.25">
      <c r="A3082" s="762">
        <f t="shared" si="1086"/>
        <v>3077</v>
      </c>
      <c r="B3082" s="229"/>
      <c r="C3082" s="223"/>
      <c r="D3082" s="224"/>
      <c r="E3082" s="225"/>
      <c r="F3082" s="1036" t="str">
        <f t="shared" si="1070"/>
        <v/>
      </c>
      <c r="G3082" s="1037" t="str">
        <f t="shared" si="1087"/>
        <v/>
      </c>
      <c r="H3082" s="225"/>
      <c r="I3082" s="1013"/>
      <c r="J3082" s="1013"/>
      <c r="K3082" s="1028"/>
      <c r="L3082" s="1035" t="str">
        <f t="shared" si="1091"/>
        <v/>
      </c>
      <c r="S3082" s="498"/>
      <c r="AJ3082" s="498"/>
      <c r="AM3082" s="498">
        <f t="shared" si="1072"/>
        <v>0</v>
      </c>
      <c r="AN3082" s="498">
        <f t="shared" si="1073"/>
        <v>0</v>
      </c>
      <c r="AO3082" s="498">
        <f t="shared" si="1074"/>
        <v>0</v>
      </c>
      <c r="AP3082" s="498">
        <f t="shared" si="1071"/>
        <v>0</v>
      </c>
      <c r="AQ3082" s="498">
        <f t="shared" si="1088"/>
        <v>0</v>
      </c>
      <c r="AU3082" s="498">
        <f t="shared" si="1075"/>
        <v>0</v>
      </c>
      <c r="AV3082" s="498">
        <f t="shared" si="1076"/>
        <v>0</v>
      </c>
      <c r="AW3082" s="498">
        <f t="shared" si="1077"/>
        <v>0</v>
      </c>
      <c r="AX3082" s="498">
        <f t="shared" si="1078"/>
        <v>0</v>
      </c>
      <c r="AY3082" s="498">
        <f t="shared" si="1079"/>
        <v>0</v>
      </c>
      <c r="BB3082" s="498" t="str">
        <f t="shared" si="1080"/>
        <v/>
      </c>
      <c r="BC3082" s="743" t="str">
        <f t="shared" si="1081"/>
        <v/>
      </c>
      <c r="BD3082" s="743" t="str">
        <f t="shared" si="1082"/>
        <v/>
      </c>
      <c r="BE3082" s="743" t="str">
        <f>IF(D3082="","",VLOOKUP(D3082,'General Basis'!$J$39:$K$46,2,0))</f>
        <v/>
      </c>
      <c r="BF3082" s="744" t="str">
        <f>IF(D3082="","",VLOOKUP(D3082,'General Basis'!$J$39:$L$46,3,0))</f>
        <v/>
      </c>
      <c r="BG3082" s="744" t="str">
        <f t="shared" si="1089"/>
        <v/>
      </c>
      <c r="BH3082" s="744" t="str">
        <f>IF(G3082="","",IF(BF3082="Abu Dhabi",IF(G3082&lt;18,'General Basis'!$C$39,IF(G3082&lt;41,'General Basis'!$C$40,IF(G3082&lt;60,'General Basis'!$C$41,IF(G3082&lt;65,'General Basis'!$C$42,'General Basis'!$C$43)))),IF(G3082&lt;11,'General Basis'!$B$39,IF(G3082&lt;18,'General Basis'!$B$40,IF(G3082&lt;26,'General Basis'!$B$41,IF(G3082&lt;31,'General Basis'!$B$42,IF(G3082&lt;36,'General Basis'!$B$43,IF(G3082&lt;41,'General Basis'!$B$44,IF(G3082&lt;46,'General Basis'!$B$45,IF(G3082&lt;51,'General Basis'!$B$46,IF(G3082&lt;56,'General Basis'!$B$47,IF(G3082&lt;60,'General Basis'!$B$48,IF(G3082&lt;65,'General Basis'!$B$49,'General Basis'!$B$50)))))))))))))</f>
        <v/>
      </c>
      <c r="BI3082" s="744" t="str">
        <f t="shared" si="1083"/>
        <v/>
      </c>
      <c r="BJ3082" s="747" t="str">
        <f t="shared" si="1090"/>
        <v/>
      </c>
      <c r="BK3082" s="498" t="str">
        <f t="shared" si="1084"/>
        <v/>
      </c>
      <c r="BL3082" s="498" t="str">
        <f t="shared" si="1085"/>
        <v/>
      </c>
    </row>
    <row r="3083" spans="1:64" x14ac:dyDescent="0.25">
      <c r="A3083" s="762">
        <f t="shared" si="1086"/>
        <v>3078</v>
      </c>
      <c r="B3083" s="229"/>
      <c r="C3083" s="223"/>
      <c r="D3083" s="224"/>
      <c r="E3083" s="225"/>
      <c r="F3083" s="1036" t="str">
        <f t="shared" si="1070"/>
        <v/>
      </c>
      <c r="G3083" s="1037" t="str">
        <f t="shared" si="1087"/>
        <v/>
      </c>
      <c r="H3083" s="225"/>
      <c r="I3083" s="1013"/>
      <c r="J3083" s="1013"/>
      <c r="K3083" s="1028"/>
      <c r="L3083" s="1035" t="str">
        <f t="shared" si="1091"/>
        <v/>
      </c>
      <c r="S3083" s="498"/>
      <c r="AJ3083" s="498"/>
      <c r="AM3083" s="498">
        <f t="shared" si="1072"/>
        <v>0</v>
      </c>
      <c r="AN3083" s="498">
        <f t="shared" si="1073"/>
        <v>0</v>
      </c>
      <c r="AO3083" s="498">
        <f t="shared" si="1074"/>
        <v>0</v>
      </c>
      <c r="AP3083" s="498">
        <f t="shared" si="1071"/>
        <v>0</v>
      </c>
      <c r="AQ3083" s="498">
        <f t="shared" si="1088"/>
        <v>0</v>
      </c>
      <c r="AU3083" s="498">
        <f t="shared" si="1075"/>
        <v>0</v>
      </c>
      <c r="AV3083" s="498">
        <f t="shared" si="1076"/>
        <v>0</v>
      </c>
      <c r="AW3083" s="498">
        <f t="shared" si="1077"/>
        <v>0</v>
      </c>
      <c r="AX3083" s="498">
        <f t="shared" si="1078"/>
        <v>0</v>
      </c>
      <c r="AY3083" s="498">
        <f t="shared" si="1079"/>
        <v>0</v>
      </c>
      <c r="BB3083" s="498" t="str">
        <f t="shared" si="1080"/>
        <v/>
      </c>
      <c r="BC3083" s="743" t="str">
        <f t="shared" si="1081"/>
        <v/>
      </c>
      <c r="BD3083" s="743" t="str">
        <f t="shared" si="1082"/>
        <v/>
      </c>
      <c r="BE3083" s="743" t="str">
        <f>IF(D3083="","",VLOOKUP(D3083,'General Basis'!$J$39:$K$46,2,0))</f>
        <v/>
      </c>
      <c r="BF3083" s="744" t="str">
        <f>IF(D3083="","",VLOOKUP(D3083,'General Basis'!$J$39:$L$46,3,0))</f>
        <v/>
      </c>
      <c r="BG3083" s="744" t="str">
        <f t="shared" si="1089"/>
        <v/>
      </c>
      <c r="BH3083" s="744" t="str">
        <f>IF(G3083="","",IF(BF3083="Abu Dhabi",IF(G3083&lt;18,'General Basis'!$C$39,IF(G3083&lt;41,'General Basis'!$C$40,IF(G3083&lt;60,'General Basis'!$C$41,IF(G3083&lt;65,'General Basis'!$C$42,'General Basis'!$C$43)))),IF(G3083&lt;11,'General Basis'!$B$39,IF(G3083&lt;18,'General Basis'!$B$40,IF(G3083&lt;26,'General Basis'!$B$41,IF(G3083&lt;31,'General Basis'!$B$42,IF(G3083&lt;36,'General Basis'!$B$43,IF(G3083&lt;41,'General Basis'!$B$44,IF(G3083&lt;46,'General Basis'!$B$45,IF(G3083&lt;51,'General Basis'!$B$46,IF(G3083&lt;56,'General Basis'!$B$47,IF(G3083&lt;60,'General Basis'!$B$48,IF(G3083&lt;65,'General Basis'!$B$49,'General Basis'!$B$50)))))))))))))</f>
        <v/>
      </c>
      <c r="BI3083" s="744" t="str">
        <f t="shared" si="1083"/>
        <v/>
      </c>
      <c r="BJ3083" s="747" t="str">
        <f t="shared" si="1090"/>
        <v/>
      </c>
      <c r="BK3083" s="498" t="str">
        <f t="shared" si="1084"/>
        <v/>
      </c>
      <c r="BL3083" s="498" t="str">
        <f t="shared" si="1085"/>
        <v/>
      </c>
    </row>
    <row r="3084" spans="1:64" x14ac:dyDescent="0.25">
      <c r="A3084" s="762">
        <f t="shared" si="1086"/>
        <v>3079</v>
      </c>
      <c r="B3084" s="229"/>
      <c r="C3084" s="223"/>
      <c r="D3084" s="224"/>
      <c r="E3084" s="225"/>
      <c r="F3084" s="1036" t="str">
        <f t="shared" si="1070"/>
        <v/>
      </c>
      <c r="G3084" s="1037" t="str">
        <f t="shared" si="1087"/>
        <v/>
      </c>
      <c r="H3084" s="225"/>
      <c r="I3084" s="1013"/>
      <c r="J3084" s="1013"/>
      <c r="K3084" s="1028"/>
      <c r="L3084" s="1035" t="str">
        <f t="shared" si="1091"/>
        <v/>
      </c>
      <c r="S3084" s="498"/>
      <c r="AJ3084" s="498"/>
      <c r="AM3084" s="498">
        <f t="shared" si="1072"/>
        <v>0</v>
      </c>
      <c r="AN3084" s="498">
        <f t="shared" si="1073"/>
        <v>0</v>
      </c>
      <c r="AO3084" s="498">
        <f t="shared" si="1074"/>
        <v>0</v>
      </c>
      <c r="AP3084" s="498">
        <f t="shared" si="1071"/>
        <v>0</v>
      </c>
      <c r="AQ3084" s="498">
        <f t="shared" si="1088"/>
        <v>0</v>
      </c>
      <c r="AU3084" s="498">
        <f t="shared" si="1075"/>
        <v>0</v>
      </c>
      <c r="AV3084" s="498">
        <f t="shared" si="1076"/>
        <v>0</v>
      </c>
      <c r="AW3084" s="498">
        <f t="shared" si="1077"/>
        <v>0</v>
      </c>
      <c r="AX3084" s="498">
        <f t="shared" si="1078"/>
        <v>0</v>
      </c>
      <c r="AY3084" s="498">
        <f t="shared" si="1079"/>
        <v>0</v>
      </c>
      <c r="BB3084" s="498" t="str">
        <f t="shared" si="1080"/>
        <v/>
      </c>
      <c r="BC3084" s="743" t="str">
        <f t="shared" si="1081"/>
        <v/>
      </c>
      <c r="BD3084" s="743" t="str">
        <f t="shared" si="1082"/>
        <v/>
      </c>
      <c r="BE3084" s="743" t="str">
        <f>IF(D3084="","",VLOOKUP(D3084,'General Basis'!$J$39:$K$46,2,0))</f>
        <v/>
      </c>
      <c r="BF3084" s="744" t="str">
        <f>IF(D3084="","",VLOOKUP(D3084,'General Basis'!$J$39:$L$46,3,0))</f>
        <v/>
      </c>
      <c r="BG3084" s="744" t="str">
        <f t="shared" si="1089"/>
        <v/>
      </c>
      <c r="BH3084" s="744" t="str">
        <f>IF(G3084="","",IF(BF3084="Abu Dhabi",IF(G3084&lt;18,'General Basis'!$C$39,IF(G3084&lt;41,'General Basis'!$C$40,IF(G3084&lt;60,'General Basis'!$C$41,IF(G3084&lt;65,'General Basis'!$C$42,'General Basis'!$C$43)))),IF(G3084&lt;11,'General Basis'!$B$39,IF(G3084&lt;18,'General Basis'!$B$40,IF(G3084&lt;26,'General Basis'!$B$41,IF(G3084&lt;31,'General Basis'!$B$42,IF(G3084&lt;36,'General Basis'!$B$43,IF(G3084&lt;41,'General Basis'!$B$44,IF(G3084&lt;46,'General Basis'!$B$45,IF(G3084&lt;51,'General Basis'!$B$46,IF(G3084&lt;56,'General Basis'!$B$47,IF(G3084&lt;60,'General Basis'!$B$48,IF(G3084&lt;65,'General Basis'!$B$49,'General Basis'!$B$50)))))))))))))</f>
        <v/>
      </c>
      <c r="BI3084" s="744" t="str">
        <f t="shared" si="1083"/>
        <v/>
      </c>
      <c r="BJ3084" s="747" t="str">
        <f t="shared" si="1090"/>
        <v/>
      </c>
      <c r="BK3084" s="498" t="str">
        <f t="shared" si="1084"/>
        <v/>
      </c>
      <c r="BL3084" s="498" t="str">
        <f t="shared" si="1085"/>
        <v/>
      </c>
    </row>
    <row r="3085" spans="1:64" x14ac:dyDescent="0.25">
      <c r="A3085" s="762">
        <f t="shared" si="1086"/>
        <v>3080</v>
      </c>
      <c r="B3085" s="229"/>
      <c r="C3085" s="223"/>
      <c r="D3085" s="224"/>
      <c r="E3085" s="225"/>
      <c r="F3085" s="1036" t="str">
        <f t="shared" si="1070"/>
        <v/>
      </c>
      <c r="G3085" s="1037" t="str">
        <f t="shared" si="1087"/>
        <v/>
      </c>
      <c r="H3085" s="225"/>
      <c r="I3085" s="1013"/>
      <c r="J3085" s="1013"/>
      <c r="K3085" s="1028"/>
      <c r="L3085" s="1035" t="str">
        <f t="shared" si="1091"/>
        <v/>
      </c>
      <c r="S3085" s="498"/>
      <c r="AJ3085" s="498"/>
      <c r="AM3085" s="498">
        <f t="shared" si="1072"/>
        <v>0</v>
      </c>
      <c r="AN3085" s="498">
        <f t="shared" si="1073"/>
        <v>0</v>
      </c>
      <c r="AO3085" s="498">
        <f t="shared" si="1074"/>
        <v>0</v>
      </c>
      <c r="AP3085" s="498">
        <f t="shared" si="1071"/>
        <v>0</v>
      </c>
      <c r="AQ3085" s="498">
        <f t="shared" si="1088"/>
        <v>0</v>
      </c>
      <c r="AU3085" s="498">
        <f t="shared" si="1075"/>
        <v>0</v>
      </c>
      <c r="AV3085" s="498">
        <f t="shared" si="1076"/>
        <v>0</v>
      </c>
      <c r="AW3085" s="498">
        <f t="shared" si="1077"/>
        <v>0</v>
      </c>
      <c r="AX3085" s="498">
        <f t="shared" si="1078"/>
        <v>0</v>
      </c>
      <c r="AY3085" s="498">
        <f t="shared" si="1079"/>
        <v>0</v>
      </c>
      <c r="BB3085" s="498" t="str">
        <f t="shared" si="1080"/>
        <v/>
      </c>
      <c r="BC3085" s="743" t="str">
        <f t="shared" si="1081"/>
        <v/>
      </c>
      <c r="BD3085" s="743" t="str">
        <f t="shared" si="1082"/>
        <v/>
      </c>
      <c r="BE3085" s="743" t="str">
        <f>IF(D3085="","",VLOOKUP(D3085,'General Basis'!$J$39:$K$46,2,0))</f>
        <v/>
      </c>
      <c r="BF3085" s="744" t="str">
        <f>IF(D3085="","",VLOOKUP(D3085,'General Basis'!$J$39:$L$46,3,0))</f>
        <v/>
      </c>
      <c r="BG3085" s="744" t="str">
        <f t="shared" si="1089"/>
        <v/>
      </c>
      <c r="BH3085" s="744" t="str">
        <f>IF(G3085="","",IF(BF3085="Abu Dhabi",IF(G3085&lt;18,'General Basis'!$C$39,IF(G3085&lt;41,'General Basis'!$C$40,IF(G3085&lt;60,'General Basis'!$C$41,IF(G3085&lt;65,'General Basis'!$C$42,'General Basis'!$C$43)))),IF(G3085&lt;11,'General Basis'!$B$39,IF(G3085&lt;18,'General Basis'!$B$40,IF(G3085&lt;26,'General Basis'!$B$41,IF(G3085&lt;31,'General Basis'!$B$42,IF(G3085&lt;36,'General Basis'!$B$43,IF(G3085&lt;41,'General Basis'!$B$44,IF(G3085&lt;46,'General Basis'!$B$45,IF(G3085&lt;51,'General Basis'!$B$46,IF(G3085&lt;56,'General Basis'!$B$47,IF(G3085&lt;60,'General Basis'!$B$48,IF(G3085&lt;65,'General Basis'!$B$49,'General Basis'!$B$50)))))))))))))</f>
        <v/>
      </c>
      <c r="BI3085" s="744" t="str">
        <f t="shared" si="1083"/>
        <v/>
      </c>
      <c r="BJ3085" s="747" t="str">
        <f t="shared" si="1090"/>
        <v/>
      </c>
      <c r="BK3085" s="498" t="str">
        <f t="shared" si="1084"/>
        <v/>
      </c>
      <c r="BL3085" s="498" t="str">
        <f t="shared" si="1085"/>
        <v/>
      </c>
    </row>
    <row r="3086" spans="1:64" x14ac:dyDescent="0.25">
      <c r="A3086" s="762">
        <f t="shared" si="1086"/>
        <v>3081</v>
      </c>
      <c r="B3086" s="229"/>
      <c r="C3086" s="223"/>
      <c r="D3086" s="224"/>
      <c r="E3086" s="225"/>
      <c r="F3086" s="1036" t="str">
        <f t="shared" si="1070"/>
        <v/>
      </c>
      <c r="G3086" s="1037" t="str">
        <f t="shared" si="1087"/>
        <v/>
      </c>
      <c r="H3086" s="225"/>
      <c r="I3086" s="1013"/>
      <c r="J3086" s="1013"/>
      <c r="K3086" s="1028"/>
      <c r="L3086" s="1035" t="str">
        <f t="shared" si="1091"/>
        <v/>
      </c>
      <c r="S3086" s="498"/>
      <c r="AJ3086" s="498"/>
      <c r="AM3086" s="498">
        <f t="shared" si="1072"/>
        <v>0</v>
      </c>
      <c r="AN3086" s="498">
        <f t="shared" si="1073"/>
        <v>0</v>
      </c>
      <c r="AO3086" s="498">
        <f t="shared" si="1074"/>
        <v>0</v>
      </c>
      <c r="AP3086" s="498">
        <f t="shared" si="1071"/>
        <v>0</v>
      </c>
      <c r="AQ3086" s="498">
        <f t="shared" si="1088"/>
        <v>0</v>
      </c>
      <c r="AU3086" s="498">
        <f t="shared" si="1075"/>
        <v>0</v>
      </c>
      <c r="AV3086" s="498">
        <f t="shared" si="1076"/>
        <v>0</v>
      </c>
      <c r="AW3086" s="498">
        <f t="shared" si="1077"/>
        <v>0</v>
      </c>
      <c r="AX3086" s="498">
        <f t="shared" si="1078"/>
        <v>0</v>
      </c>
      <c r="AY3086" s="498">
        <f t="shared" si="1079"/>
        <v>0</v>
      </c>
      <c r="BB3086" s="498" t="str">
        <f t="shared" si="1080"/>
        <v/>
      </c>
      <c r="BC3086" s="743" t="str">
        <f t="shared" si="1081"/>
        <v/>
      </c>
      <c r="BD3086" s="743" t="str">
        <f t="shared" si="1082"/>
        <v/>
      </c>
      <c r="BE3086" s="743" t="str">
        <f>IF(D3086="","",VLOOKUP(D3086,'General Basis'!$J$39:$K$46,2,0))</f>
        <v/>
      </c>
      <c r="BF3086" s="744" t="str">
        <f>IF(D3086="","",VLOOKUP(D3086,'General Basis'!$J$39:$L$46,3,0))</f>
        <v/>
      </c>
      <c r="BG3086" s="744" t="str">
        <f t="shared" si="1089"/>
        <v/>
      </c>
      <c r="BH3086" s="744" t="str">
        <f>IF(G3086="","",IF(BF3086="Abu Dhabi",IF(G3086&lt;18,'General Basis'!$C$39,IF(G3086&lt;41,'General Basis'!$C$40,IF(G3086&lt;60,'General Basis'!$C$41,IF(G3086&lt;65,'General Basis'!$C$42,'General Basis'!$C$43)))),IF(G3086&lt;11,'General Basis'!$B$39,IF(G3086&lt;18,'General Basis'!$B$40,IF(G3086&lt;26,'General Basis'!$B$41,IF(G3086&lt;31,'General Basis'!$B$42,IF(G3086&lt;36,'General Basis'!$B$43,IF(G3086&lt;41,'General Basis'!$B$44,IF(G3086&lt;46,'General Basis'!$B$45,IF(G3086&lt;51,'General Basis'!$B$46,IF(G3086&lt;56,'General Basis'!$B$47,IF(G3086&lt;60,'General Basis'!$B$48,IF(G3086&lt;65,'General Basis'!$B$49,'General Basis'!$B$50)))))))))))))</f>
        <v/>
      </c>
      <c r="BI3086" s="744" t="str">
        <f t="shared" si="1083"/>
        <v/>
      </c>
      <c r="BJ3086" s="747" t="str">
        <f t="shared" si="1090"/>
        <v/>
      </c>
      <c r="BK3086" s="498" t="str">
        <f t="shared" si="1084"/>
        <v/>
      </c>
      <c r="BL3086" s="498" t="str">
        <f t="shared" si="1085"/>
        <v/>
      </c>
    </row>
    <row r="3087" spans="1:64" x14ac:dyDescent="0.25">
      <c r="A3087" s="762">
        <f t="shared" si="1086"/>
        <v>3082</v>
      </c>
      <c r="B3087" s="229"/>
      <c r="C3087" s="223"/>
      <c r="D3087" s="224"/>
      <c r="E3087" s="225"/>
      <c r="F3087" s="1036" t="str">
        <f t="shared" si="1070"/>
        <v/>
      </c>
      <c r="G3087" s="1037" t="str">
        <f t="shared" si="1087"/>
        <v/>
      </c>
      <c r="H3087" s="225"/>
      <c r="I3087" s="1013"/>
      <c r="J3087" s="1013"/>
      <c r="K3087" s="1028"/>
      <c r="L3087" s="1035" t="str">
        <f t="shared" si="1091"/>
        <v/>
      </c>
      <c r="S3087" s="498"/>
      <c r="AJ3087" s="498"/>
      <c r="AM3087" s="498">
        <f t="shared" si="1072"/>
        <v>0</v>
      </c>
      <c r="AN3087" s="498">
        <f t="shared" si="1073"/>
        <v>0</v>
      </c>
      <c r="AO3087" s="498">
        <f t="shared" si="1074"/>
        <v>0</v>
      </c>
      <c r="AP3087" s="498">
        <f t="shared" si="1071"/>
        <v>0</v>
      </c>
      <c r="AQ3087" s="498">
        <f t="shared" si="1088"/>
        <v>0</v>
      </c>
      <c r="AU3087" s="498">
        <f t="shared" si="1075"/>
        <v>0</v>
      </c>
      <c r="AV3087" s="498">
        <f t="shared" si="1076"/>
        <v>0</v>
      </c>
      <c r="AW3087" s="498">
        <f t="shared" si="1077"/>
        <v>0</v>
      </c>
      <c r="AX3087" s="498">
        <f t="shared" si="1078"/>
        <v>0</v>
      </c>
      <c r="AY3087" s="498">
        <f t="shared" si="1079"/>
        <v>0</v>
      </c>
      <c r="BB3087" s="498" t="str">
        <f t="shared" si="1080"/>
        <v/>
      </c>
      <c r="BC3087" s="743" t="str">
        <f t="shared" si="1081"/>
        <v/>
      </c>
      <c r="BD3087" s="743" t="str">
        <f t="shared" si="1082"/>
        <v/>
      </c>
      <c r="BE3087" s="743" t="str">
        <f>IF(D3087="","",VLOOKUP(D3087,'General Basis'!$J$39:$K$46,2,0))</f>
        <v/>
      </c>
      <c r="BF3087" s="744" t="str">
        <f>IF(D3087="","",VLOOKUP(D3087,'General Basis'!$J$39:$L$46,3,0))</f>
        <v/>
      </c>
      <c r="BG3087" s="744" t="str">
        <f t="shared" si="1089"/>
        <v/>
      </c>
      <c r="BH3087" s="744" t="str">
        <f>IF(G3087="","",IF(BF3087="Abu Dhabi",IF(G3087&lt;18,'General Basis'!$C$39,IF(G3087&lt;41,'General Basis'!$C$40,IF(G3087&lt;60,'General Basis'!$C$41,IF(G3087&lt;65,'General Basis'!$C$42,'General Basis'!$C$43)))),IF(G3087&lt;11,'General Basis'!$B$39,IF(G3087&lt;18,'General Basis'!$B$40,IF(G3087&lt;26,'General Basis'!$B$41,IF(G3087&lt;31,'General Basis'!$B$42,IF(G3087&lt;36,'General Basis'!$B$43,IF(G3087&lt;41,'General Basis'!$B$44,IF(G3087&lt;46,'General Basis'!$B$45,IF(G3087&lt;51,'General Basis'!$B$46,IF(G3087&lt;56,'General Basis'!$B$47,IF(G3087&lt;60,'General Basis'!$B$48,IF(G3087&lt;65,'General Basis'!$B$49,'General Basis'!$B$50)))))))))))))</f>
        <v/>
      </c>
      <c r="BI3087" s="744" t="str">
        <f t="shared" si="1083"/>
        <v/>
      </c>
      <c r="BJ3087" s="747" t="str">
        <f t="shared" si="1090"/>
        <v/>
      </c>
      <c r="BK3087" s="498" t="str">
        <f t="shared" si="1084"/>
        <v/>
      </c>
      <c r="BL3087" s="498" t="str">
        <f t="shared" si="1085"/>
        <v/>
      </c>
    </row>
    <row r="3088" spans="1:64" x14ac:dyDescent="0.25">
      <c r="A3088" s="762">
        <f t="shared" si="1086"/>
        <v>3083</v>
      </c>
      <c r="B3088" s="229"/>
      <c r="C3088" s="223"/>
      <c r="D3088" s="224"/>
      <c r="E3088" s="225"/>
      <c r="F3088" s="1036" t="str">
        <f t="shared" ref="F3088:F3151" si="1092">IF(C3088="","",IF($B3088="","",((YEAR($F$3)-YEAR($B3088))+(MONTH($F$3)-MONTH($B3088))/12+(DAY($F$3)-DAY($B3088))/(DATE(YEAR($F$3),12,31)-DATE(YEAR($F$3),1,1)+1))))</f>
        <v/>
      </c>
      <c r="G3088" s="1037" t="str">
        <f t="shared" si="1087"/>
        <v/>
      </c>
      <c r="H3088" s="225"/>
      <c r="I3088" s="1013"/>
      <c r="J3088" s="1013"/>
      <c r="K3088" s="1028"/>
      <c r="L3088" s="1035" t="str">
        <f t="shared" si="1091"/>
        <v/>
      </c>
      <c r="S3088" s="498"/>
      <c r="AJ3088" s="498"/>
      <c r="AM3088" s="498">
        <f t="shared" si="1072"/>
        <v>0</v>
      </c>
      <c r="AN3088" s="498">
        <f t="shared" si="1073"/>
        <v>0</v>
      </c>
      <c r="AO3088" s="498">
        <f t="shared" si="1074"/>
        <v>0</v>
      </c>
      <c r="AP3088" s="498">
        <f t="shared" si="1071"/>
        <v>0</v>
      </c>
      <c r="AQ3088" s="498">
        <f t="shared" si="1088"/>
        <v>0</v>
      </c>
      <c r="AU3088" s="498">
        <f t="shared" si="1075"/>
        <v>0</v>
      </c>
      <c r="AV3088" s="498">
        <f t="shared" si="1076"/>
        <v>0</v>
      </c>
      <c r="AW3088" s="498">
        <f t="shared" si="1077"/>
        <v>0</v>
      </c>
      <c r="AX3088" s="498">
        <f t="shared" si="1078"/>
        <v>0</v>
      </c>
      <c r="AY3088" s="498">
        <f t="shared" si="1079"/>
        <v>0</v>
      </c>
      <c r="BB3088" s="498" t="str">
        <f t="shared" si="1080"/>
        <v/>
      </c>
      <c r="BC3088" s="743" t="str">
        <f t="shared" si="1081"/>
        <v/>
      </c>
      <c r="BD3088" s="743" t="str">
        <f t="shared" si="1082"/>
        <v/>
      </c>
      <c r="BE3088" s="743" t="str">
        <f>IF(D3088="","",VLOOKUP(D3088,'General Basis'!$J$39:$K$46,2,0))</f>
        <v/>
      </c>
      <c r="BF3088" s="744" t="str">
        <f>IF(D3088="","",VLOOKUP(D3088,'General Basis'!$J$39:$L$46,3,0))</f>
        <v/>
      </c>
      <c r="BG3088" s="744" t="str">
        <f t="shared" si="1089"/>
        <v/>
      </c>
      <c r="BH3088" s="744" t="str">
        <f>IF(G3088="","",IF(BF3088="Abu Dhabi",IF(G3088&lt;18,'General Basis'!$C$39,IF(G3088&lt;41,'General Basis'!$C$40,IF(G3088&lt;60,'General Basis'!$C$41,IF(G3088&lt;65,'General Basis'!$C$42,'General Basis'!$C$43)))),IF(G3088&lt;11,'General Basis'!$B$39,IF(G3088&lt;18,'General Basis'!$B$40,IF(G3088&lt;26,'General Basis'!$B$41,IF(G3088&lt;31,'General Basis'!$B$42,IF(G3088&lt;36,'General Basis'!$B$43,IF(G3088&lt;41,'General Basis'!$B$44,IF(G3088&lt;46,'General Basis'!$B$45,IF(G3088&lt;51,'General Basis'!$B$46,IF(G3088&lt;56,'General Basis'!$B$47,IF(G3088&lt;60,'General Basis'!$B$48,IF(G3088&lt;65,'General Basis'!$B$49,'General Basis'!$B$50)))))))))))))</f>
        <v/>
      </c>
      <c r="BI3088" s="744" t="str">
        <f t="shared" si="1083"/>
        <v/>
      </c>
      <c r="BJ3088" s="747" t="str">
        <f t="shared" si="1090"/>
        <v/>
      </c>
      <c r="BK3088" s="498" t="str">
        <f t="shared" si="1084"/>
        <v/>
      </c>
      <c r="BL3088" s="498" t="str">
        <f t="shared" si="1085"/>
        <v/>
      </c>
    </row>
    <row r="3089" spans="1:64" x14ac:dyDescent="0.25">
      <c r="A3089" s="762">
        <f t="shared" si="1086"/>
        <v>3084</v>
      </c>
      <c r="B3089" s="229"/>
      <c r="C3089" s="223"/>
      <c r="D3089" s="224"/>
      <c r="E3089" s="225"/>
      <c r="F3089" s="1036" t="str">
        <f t="shared" si="1092"/>
        <v/>
      </c>
      <c r="G3089" s="1037" t="str">
        <f t="shared" si="1087"/>
        <v/>
      </c>
      <c r="H3089" s="225"/>
      <c r="I3089" s="1013"/>
      <c r="J3089" s="1013"/>
      <c r="K3089" s="1028"/>
      <c r="L3089" s="1035" t="str">
        <f t="shared" si="1091"/>
        <v/>
      </c>
      <c r="S3089" s="498"/>
      <c r="AJ3089" s="498"/>
      <c r="AM3089" s="498">
        <f t="shared" si="1072"/>
        <v>0</v>
      </c>
      <c r="AN3089" s="498">
        <f t="shared" si="1073"/>
        <v>0</v>
      </c>
      <c r="AO3089" s="498">
        <f t="shared" si="1074"/>
        <v>0</v>
      </c>
      <c r="AP3089" s="498">
        <f t="shared" si="1071"/>
        <v>0</v>
      </c>
      <c r="AQ3089" s="498">
        <f t="shared" si="1088"/>
        <v>0</v>
      </c>
      <c r="AU3089" s="498">
        <f t="shared" si="1075"/>
        <v>0</v>
      </c>
      <c r="AV3089" s="498">
        <f t="shared" si="1076"/>
        <v>0</v>
      </c>
      <c r="AW3089" s="498">
        <f t="shared" si="1077"/>
        <v>0</v>
      </c>
      <c r="AX3089" s="498">
        <f t="shared" si="1078"/>
        <v>0</v>
      </c>
      <c r="AY3089" s="498">
        <f t="shared" si="1079"/>
        <v>0</v>
      </c>
      <c r="BB3089" s="498" t="str">
        <f t="shared" si="1080"/>
        <v/>
      </c>
      <c r="BC3089" s="743" t="str">
        <f t="shared" si="1081"/>
        <v/>
      </c>
      <c r="BD3089" s="743" t="str">
        <f t="shared" si="1082"/>
        <v/>
      </c>
      <c r="BE3089" s="743" t="str">
        <f>IF(D3089="","",VLOOKUP(D3089,'General Basis'!$J$39:$K$46,2,0))</f>
        <v/>
      </c>
      <c r="BF3089" s="744" t="str">
        <f>IF(D3089="","",VLOOKUP(D3089,'General Basis'!$J$39:$L$46,3,0))</f>
        <v/>
      </c>
      <c r="BG3089" s="744" t="str">
        <f t="shared" si="1089"/>
        <v/>
      </c>
      <c r="BH3089" s="744" t="str">
        <f>IF(G3089="","",IF(BF3089="Abu Dhabi",IF(G3089&lt;18,'General Basis'!$C$39,IF(G3089&lt;41,'General Basis'!$C$40,IF(G3089&lt;60,'General Basis'!$C$41,IF(G3089&lt;65,'General Basis'!$C$42,'General Basis'!$C$43)))),IF(G3089&lt;11,'General Basis'!$B$39,IF(G3089&lt;18,'General Basis'!$B$40,IF(G3089&lt;26,'General Basis'!$B$41,IF(G3089&lt;31,'General Basis'!$B$42,IF(G3089&lt;36,'General Basis'!$B$43,IF(G3089&lt;41,'General Basis'!$B$44,IF(G3089&lt;46,'General Basis'!$B$45,IF(G3089&lt;51,'General Basis'!$B$46,IF(G3089&lt;56,'General Basis'!$B$47,IF(G3089&lt;60,'General Basis'!$B$48,IF(G3089&lt;65,'General Basis'!$B$49,'General Basis'!$B$50)))))))))))))</f>
        <v/>
      </c>
      <c r="BI3089" s="744" t="str">
        <f t="shared" si="1083"/>
        <v/>
      </c>
      <c r="BJ3089" s="747" t="str">
        <f t="shared" si="1090"/>
        <v/>
      </c>
      <c r="BK3089" s="498" t="str">
        <f t="shared" si="1084"/>
        <v/>
      </c>
      <c r="BL3089" s="498" t="str">
        <f t="shared" si="1085"/>
        <v/>
      </c>
    </row>
    <row r="3090" spans="1:64" x14ac:dyDescent="0.25">
      <c r="A3090" s="762">
        <f t="shared" si="1086"/>
        <v>3085</v>
      </c>
      <c r="B3090" s="229"/>
      <c r="C3090" s="223"/>
      <c r="D3090" s="224"/>
      <c r="E3090" s="225"/>
      <c r="F3090" s="1036" t="str">
        <f t="shared" si="1092"/>
        <v/>
      </c>
      <c r="G3090" s="1037" t="str">
        <f t="shared" si="1087"/>
        <v/>
      </c>
      <c r="H3090" s="225"/>
      <c r="I3090" s="1013"/>
      <c r="J3090" s="1013"/>
      <c r="K3090" s="1028"/>
      <c r="L3090" s="1035" t="str">
        <f t="shared" si="1091"/>
        <v/>
      </c>
      <c r="S3090" s="498"/>
      <c r="AJ3090" s="498"/>
      <c r="AM3090" s="498">
        <f t="shared" si="1072"/>
        <v>0</v>
      </c>
      <c r="AN3090" s="498">
        <f t="shared" si="1073"/>
        <v>0</v>
      </c>
      <c r="AO3090" s="498">
        <f t="shared" si="1074"/>
        <v>0</v>
      </c>
      <c r="AP3090" s="498">
        <f t="shared" si="1071"/>
        <v>0</v>
      </c>
      <c r="AQ3090" s="498">
        <f t="shared" si="1088"/>
        <v>0</v>
      </c>
      <c r="AU3090" s="498">
        <f t="shared" si="1075"/>
        <v>0</v>
      </c>
      <c r="AV3090" s="498">
        <f t="shared" si="1076"/>
        <v>0</v>
      </c>
      <c r="AW3090" s="498">
        <f t="shared" si="1077"/>
        <v>0</v>
      </c>
      <c r="AX3090" s="498">
        <f t="shared" si="1078"/>
        <v>0</v>
      </c>
      <c r="AY3090" s="498">
        <f t="shared" si="1079"/>
        <v>0</v>
      </c>
      <c r="BB3090" s="498" t="str">
        <f t="shared" si="1080"/>
        <v/>
      </c>
      <c r="BC3090" s="743" t="str">
        <f t="shared" si="1081"/>
        <v/>
      </c>
      <c r="BD3090" s="743" t="str">
        <f t="shared" si="1082"/>
        <v/>
      </c>
      <c r="BE3090" s="743" t="str">
        <f>IF(D3090="","",VLOOKUP(D3090,'General Basis'!$J$39:$K$46,2,0))</f>
        <v/>
      </c>
      <c r="BF3090" s="744" t="str">
        <f>IF(D3090="","",VLOOKUP(D3090,'General Basis'!$J$39:$L$46,3,0))</f>
        <v/>
      </c>
      <c r="BG3090" s="744" t="str">
        <f t="shared" si="1089"/>
        <v/>
      </c>
      <c r="BH3090" s="744" t="str">
        <f>IF(G3090="","",IF(BF3090="Abu Dhabi",IF(G3090&lt;18,'General Basis'!$C$39,IF(G3090&lt;41,'General Basis'!$C$40,IF(G3090&lt;60,'General Basis'!$C$41,IF(G3090&lt;65,'General Basis'!$C$42,'General Basis'!$C$43)))),IF(G3090&lt;11,'General Basis'!$B$39,IF(G3090&lt;18,'General Basis'!$B$40,IF(G3090&lt;26,'General Basis'!$B$41,IF(G3090&lt;31,'General Basis'!$B$42,IF(G3090&lt;36,'General Basis'!$B$43,IF(G3090&lt;41,'General Basis'!$B$44,IF(G3090&lt;46,'General Basis'!$B$45,IF(G3090&lt;51,'General Basis'!$B$46,IF(G3090&lt;56,'General Basis'!$B$47,IF(G3090&lt;60,'General Basis'!$B$48,IF(G3090&lt;65,'General Basis'!$B$49,'General Basis'!$B$50)))))))))))))</f>
        <v/>
      </c>
      <c r="BI3090" s="744" t="str">
        <f t="shared" si="1083"/>
        <v/>
      </c>
      <c r="BJ3090" s="747" t="str">
        <f t="shared" si="1090"/>
        <v/>
      </c>
      <c r="BK3090" s="498" t="str">
        <f t="shared" si="1084"/>
        <v/>
      </c>
      <c r="BL3090" s="498" t="str">
        <f t="shared" si="1085"/>
        <v/>
      </c>
    </row>
    <row r="3091" spans="1:64" x14ac:dyDescent="0.25">
      <c r="A3091" s="762">
        <f t="shared" si="1086"/>
        <v>3086</v>
      </c>
      <c r="B3091" s="229"/>
      <c r="C3091" s="223"/>
      <c r="D3091" s="224"/>
      <c r="E3091" s="225"/>
      <c r="F3091" s="1036" t="str">
        <f t="shared" si="1092"/>
        <v/>
      </c>
      <c r="G3091" s="1037" t="str">
        <f t="shared" si="1087"/>
        <v/>
      </c>
      <c r="H3091" s="225"/>
      <c r="I3091" s="1013"/>
      <c r="J3091" s="1013"/>
      <c r="K3091" s="1028"/>
      <c r="L3091" s="1035" t="str">
        <f t="shared" si="1091"/>
        <v/>
      </c>
      <c r="S3091" s="498"/>
      <c r="AJ3091" s="498"/>
      <c r="AM3091" s="498">
        <f t="shared" si="1072"/>
        <v>0</v>
      </c>
      <c r="AN3091" s="498">
        <f t="shared" si="1073"/>
        <v>0</v>
      </c>
      <c r="AO3091" s="498">
        <f t="shared" si="1074"/>
        <v>0</v>
      </c>
      <c r="AP3091" s="498">
        <f t="shared" ref="AP3091:AP3154" si="1093">IF(ISBLANK($B3091),0,IF(OR($C3091="M",$C3091="F"),0,1))</f>
        <v>0</v>
      </c>
      <c r="AQ3091" s="498">
        <f t="shared" si="1088"/>
        <v>0</v>
      </c>
      <c r="AU3091" s="498">
        <f t="shared" si="1075"/>
        <v>0</v>
      </c>
      <c r="AV3091" s="498">
        <f t="shared" si="1076"/>
        <v>0</v>
      </c>
      <c r="AW3091" s="498">
        <f t="shared" si="1077"/>
        <v>0</v>
      </c>
      <c r="AX3091" s="498">
        <f t="shared" si="1078"/>
        <v>0</v>
      </c>
      <c r="AY3091" s="498">
        <f t="shared" si="1079"/>
        <v>0</v>
      </c>
      <c r="BB3091" s="498" t="str">
        <f t="shared" si="1080"/>
        <v/>
      </c>
      <c r="BC3091" s="743" t="str">
        <f t="shared" si="1081"/>
        <v/>
      </c>
      <c r="BD3091" s="743" t="str">
        <f t="shared" si="1082"/>
        <v/>
      </c>
      <c r="BE3091" s="743" t="str">
        <f>IF(D3091="","",VLOOKUP(D3091,'General Basis'!$J$39:$K$46,2,0))</f>
        <v/>
      </c>
      <c r="BF3091" s="744" t="str">
        <f>IF(D3091="","",VLOOKUP(D3091,'General Basis'!$J$39:$L$46,3,0))</f>
        <v/>
      </c>
      <c r="BG3091" s="744" t="str">
        <f t="shared" si="1089"/>
        <v/>
      </c>
      <c r="BH3091" s="744" t="str">
        <f>IF(G3091="","",IF(BF3091="Abu Dhabi",IF(G3091&lt;18,'General Basis'!$C$39,IF(G3091&lt;41,'General Basis'!$C$40,IF(G3091&lt;60,'General Basis'!$C$41,IF(G3091&lt;65,'General Basis'!$C$42,'General Basis'!$C$43)))),IF(G3091&lt;11,'General Basis'!$B$39,IF(G3091&lt;18,'General Basis'!$B$40,IF(G3091&lt;26,'General Basis'!$B$41,IF(G3091&lt;31,'General Basis'!$B$42,IF(G3091&lt;36,'General Basis'!$B$43,IF(G3091&lt;41,'General Basis'!$B$44,IF(G3091&lt;46,'General Basis'!$B$45,IF(G3091&lt;51,'General Basis'!$B$46,IF(G3091&lt;56,'General Basis'!$B$47,IF(G3091&lt;60,'General Basis'!$B$48,IF(G3091&lt;65,'General Basis'!$B$49,'General Basis'!$B$50)))))))))))))</f>
        <v/>
      </c>
      <c r="BI3091" s="744" t="str">
        <f t="shared" si="1083"/>
        <v/>
      </c>
      <c r="BJ3091" s="747" t="str">
        <f t="shared" si="1090"/>
        <v/>
      </c>
      <c r="BK3091" s="498" t="str">
        <f t="shared" si="1084"/>
        <v/>
      </c>
      <c r="BL3091" s="498" t="str">
        <f t="shared" si="1085"/>
        <v/>
      </c>
    </row>
    <row r="3092" spans="1:64" x14ac:dyDescent="0.25">
      <c r="A3092" s="762">
        <f t="shared" si="1086"/>
        <v>3087</v>
      </c>
      <c r="B3092" s="229"/>
      <c r="C3092" s="223"/>
      <c r="D3092" s="224"/>
      <c r="E3092" s="225"/>
      <c r="F3092" s="1036" t="str">
        <f t="shared" si="1092"/>
        <v/>
      </c>
      <c r="G3092" s="1037" t="str">
        <f t="shared" si="1087"/>
        <v/>
      </c>
      <c r="H3092" s="225"/>
      <c r="I3092" s="1013"/>
      <c r="J3092" s="1013"/>
      <c r="K3092" s="1028"/>
      <c r="L3092" s="1035" t="str">
        <f t="shared" si="1091"/>
        <v/>
      </c>
      <c r="S3092" s="498"/>
      <c r="AJ3092" s="498"/>
      <c r="AM3092" s="498">
        <f t="shared" si="1072"/>
        <v>0</v>
      </c>
      <c r="AN3092" s="498">
        <f t="shared" si="1073"/>
        <v>0</v>
      </c>
      <c r="AO3092" s="498">
        <f t="shared" si="1074"/>
        <v>0</v>
      </c>
      <c r="AP3092" s="498">
        <f t="shared" si="1093"/>
        <v>0</v>
      </c>
      <c r="AQ3092" s="498">
        <f t="shared" si="1088"/>
        <v>0</v>
      </c>
      <c r="AU3092" s="498">
        <f t="shared" si="1075"/>
        <v>0</v>
      </c>
      <c r="AV3092" s="498">
        <f t="shared" si="1076"/>
        <v>0</v>
      </c>
      <c r="AW3092" s="498">
        <f t="shared" si="1077"/>
        <v>0</v>
      </c>
      <c r="AX3092" s="498">
        <f t="shared" si="1078"/>
        <v>0</v>
      </c>
      <c r="AY3092" s="498">
        <f t="shared" si="1079"/>
        <v>0</v>
      </c>
      <c r="BB3092" s="498" t="str">
        <f t="shared" si="1080"/>
        <v/>
      </c>
      <c r="BC3092" s="743" t="str">
        <f t="shared" si="1081"/>
        <v/>
      </c>
      <c r="BD3092" s="743" t="str">
        <f t="shared" si="1082"/>
        <v/>
      </c>
      <c r="BE3092" s="743" t="str">
        <f>IF(D3092="","",VLOOKUP(D3092,'General Basis'!$J$39:$K$46,2,0))</f>
        <v/>
      </c>
      <c r="BF3092" s="744" t="str">
        <f>IF(D3092="","",VLOOKUP(D3092,'General Basis'!$J$39:$L$46,3,0))</f>
        <v/>
      </c>
      <c r="BG3092" s="744" t="str">
        <f t="shared" si="1089"/>
        <v/>
      </c>
      <c r="BH3092" s="744" t="str">
        <f>IF(G3092="","",IF(BF3092="Abu Dhabi",IF(G3092&lt;18,'General Basis'!$C$39,IF(G3092&lt;41,'General Basis'!$C$40,IF(G3092&lt;60,'General Basis'!$C$41,IF(G3092&lt;65,'General Basis'!$C$42,'General Basis'!$C$43)))),IF(G3092&lt;11,'General Basis'!$B$39,IF(G3092&lt;18,'General Basis'!$B$40,IF(G3092&lt;26,'General Basis'!$B$41,IF(G3092&lt;31,'General Basis'!$B$42,IF(G3092&lt;36,'General Basis'!$B$43,IF(G3092&lt;41,'General Basis'!$B$44,IF(G3092&lt;46,'General Basis'!$B$45,IF(G3092&lt;51,'General Basis'!$B$46,IF(G3092&lt;56,'General Basis'!$B$47,IF(G3092&lt;60,'General Basis'!$B$48,IF(G3092&lt;65,'General Basis'!$B$49,'General Basis'!$B$50)))))))))))))</f>
        <v/>
      </c>
      <c r="BI3092" s="744" t="str">
        <f t="shared" si="1083"/>
        <v/>
      </c>
      <c r="BJ3092" s="747" t="str">
        <f t="shared" si="1090"/>
        <v/>
      </c>
      <c r="BK3092" s="498" t="str">
        <f t="shared" si="1084"/>
        <v/>
      </c>
      <c r="BL3092" s="498" t="str">
        <f t="shared" si="1085"/>
        <v/>
      </c>
    </row>
    <row r="3093" spans="1:64" x14ac:dyDescent="0.25">
      <c r="A3093" s="762">
        <f t="shared" si="1086"/>
        <v>3088</v>
      </c>
      <c r="B3093" s="229"/>
      <c r="C3093" s="223"/>
      <c r="D3093" s="224"/>
      <c r="E3093" s="225"/>
      <c r="F3093" s="1036" t="str">
        <f t="shared" si="1092"/>
        <v/>
      </c>
      <c r="G3093" s="1037" t="str">
        <f t="shared" si="1087"/>
        <v/>
      </c>
      <c r="H3093" s="225"/>
      <c r="I3093" s="1013"/>
      <c r="J3093" s="1013"/>
      <c r="K3093" s="1028"/>
      <c r="L3093" s="1035" t="str">
        <f t="shared" si="1091"/>
        <v/>
      </c>
      <c r="S3093" s="498"/>
      <c r="AJ3093" s="498"/>
      <c r="AM3093" s="498">
        <f t="shared" si="1072"/>
        <v>0</v>
      </c>
      <c r="AN3093" s="498">
        <f t="shared" si="1073"/>
        <v>0</v>
      </c>
      <c r="AO3093" s="498">
        <f t="shared" si="1074"/>
        <v>0</v>
      </c>
      <c r="AP3093" s="498">
        <f t="shared" si="1093"/>
        <v>0</v>
      </c>
      <c r="AQ3093" s="498">
        <f t="shared" si="1088"/>
        <v>0</v>
      </c>
      <c r="AU3093" s="498">
        <f t="shared" si="1075"/>
        <v>0</v>
      </c>
      <c r="AV3093" s="498">
        <f t="shared" si="1076"/>
        <v>0</v>
      </c>
      <c r="AW3093" s="498">
        <f t="shared" si="1077"/>
        <v>0</v>
      </c>
      <c r="AX3093" s="498">
        <f t="shared" si="1078"/>
        <v>0</v>
      </c>
      <c r="AY3093" s="498">
        <f t="shared" si="1079"/>
        <v>0</v>
      </c>
      <c r="BB3093" s="498" t="str">
        <f t="shared" si="1080"/>
        <v/>
      </c>
      <c r="BC3093" s="743" t="str">
        <f t="shared" si="1081"/>
        <v/>
      </c>
      <c r="BD3093" s="743" t="str">
        <f t="shared" si="1082"/>
        <v/>
      </c>
      <c r="BE3093" s="743" t="str">
        <f>IF(D3093="","",VLOOKUP(D3093,'General Basis'!$J$39:$K$46,2,0))</f>
        <v/>
      </c>
      <c r="BF3093" s="744" t="str">
        <f>IF(D3093="","",VLOOKUP(D3093,'General Basis'!$J$39:$L$46,3,0))</f>
        <v/>
      </c>
      <c r="BG3093" s="744" t="str">
        <f t="shared" si="1089"/>
        <v/>
      </c>
      <c r="BH3093" s="744" t="str">
        <f>IF(G3093="","",IF(BF3093="Abu Dhabi",IF(G3093&lt;18,'General Basis'!$C$39,IF(G3093&lt;41,'General Basis'!$C$40,IF(G3093&lt;60,'General Basis'!$C$41,IF(G3093&lt;65,'General Basis'!$C$42,'General Basis'!$C$43)))),IF(G3093&lt;11,'General Basis'!$B$39,IF(G3093&lt;18,'General Basis'!$B$40,IF(G3093&lt;26,'General Basis'!$B$41,IF(G3093&lt;31,'General Basis'!$B$42,IF(G3093&lt;36,'General Basis'!$B$43,IF(G3093&lt;41,'General Basis'!$B$44,IF(G3093&lt;46,'General Basis'!$B$45,IF(G3093&lt;51,'General Basis'!$B$46,IF(G3093&lt;56,'General Basis'!$B$47,IF(G3093&lt;60,'General Basis'!$B$48,IF(G3093&lt;65,'General Basis'!$B$49,'General Basis'!$B$50)))))))))))))</f>
        <v/>
      </c>
      <c r="BI3093" s="744" t="str">
        <f t="shared" si="1083"/>
        <v/>
      </c>
      <c r="BJ3093" s="747" t="str">
        <f t="shared" si="1090"/>
        <v/>
      </c>
      <c r="BK3093" s="498" t="str">
        <f t="shared" si="1084"/>
        <v/>
      </c>
      <c r="BL3093" s="498" t="str">
        <f t="shared" si="1085"/>
        <v/>
      </c>
    </row>
    <row r="3094" spans="1:64" x14ac:dyDescent="0.25">
      <c r="A3094" s="762">
        <f t="shared" si="1086"/>
        <v>3089</v>
      </c>
      <c r="B3094" s="229"/>
      <c r="C3094" s="223"/>
      <c r="D3094" s="224"/>
      <c r="E3094" s="225"/>
      <c r="F3094" s="1036" t="str">
        <f t="shared" si="1092"/>
        <v/>
      </c>
      <c r="G3094" s="1037" t="str">
        <f t="shared" si="1087"/>
        <v/>
      </c>
      <c r="H3094" s="225"/>
      <c r="I3094" s="1013"/>
      <c r="J3094" s="1013"/>
      <c r="K3094" s="1028"/>
      <c r="L3094" s="1035" t="str">
        <f t="shared" si="1091"/>
        <v/>
      </c>
      <c r="S3094" s="498"/>
      <c r="AJ3094" s="498"/>
      <c r="AM3094" s="498">
        <f t="shared" si="1072"/>
        <v>0</v>
      </c>
      <c r="AN3094" s="498">
        <f t="shared" si="1073"/>
        <v>0</v>
      </c>
      <c r="AO3094" s="498">
        <f t="shared" si="1074"/>
        <v>0</v>
      </c>
      <c r="AP3094" s="498">
        <f t="shared" si="1093"/>
        <v>0</v>
      </c>
      <c r="AQ3094" s="498">
        <f t="shared" si="1088"/>
        <v>0</v>
      </c>
      <c r="AU3094" s="498">
        <f t="shared" si="1075"/>
        <v>0</v>
      </c>
      <c r="AV3094" s="498">
        <f t="shared" si="1076"/>
        <v>0</v>
      </c>
      <c r="AW3094" s="498">
        <f t="shared" si="1077"/>
        <v>0</v>
      </c>
      <c r="AX3094" s="498">
        <f t="shared" si="1078"/>
        <v>0</v>
      </c>
      <c r="AY3094" s="498">
        <f t="shared" si="1079"/>
        <v>0</v>
      </c>
      <c r="BB3094" s="498" t="str">
        <f t="shared" si="1080"/>
        <v/>
      </c>
      <c r="BC3094" s="743" t="str">
        <f t="shared" si="1081"/>
        <v/>
      </c>
      <c r="BD3094" s="743" t="str">
        <f t="shared" si="1082"/>
        <v/>
      </c>
      <c r="BE3094" s="743" t="str">
        <f>IF(D3094="","",VLOOKUP(D3094,'General Basis'!$J$39:$K$46,2,0))</f>
        <v/>
      </c>
      <c r="BF3094" s="744" t="str">
        <f>IF(D3094="","",VLOOKUP(D3094,'General Basis'!$J$39:$L$46,3,0))</f>
        <v/>
      </c>
      <c r="BG3094" s="744" t="str">
        <f t="shared" si="1089"/>
        <v/>
      </c>
      <c r="BH3094" s="744" t="str">
        <f>IF(G3094="","",IF(BF3094="Abu Dhabi",IF(G3094&lt;18,'General Basis'!$C$39,IF(G3094&lt;41,'General Basis'!$C$40,IF(G3094&lt;60,'General Basis'!$C$41,IF(G3094&lt;65,'General Basis'!$C$42,'General Basis'!$C$43)))),IF(G3094&lt;11,'General Basis'!$B$39,IF(G3094&lt;18,'General Basis'!$B$40,IF(G3094&lt;26,'General Basis'!$B$41,IF(G3094&lt;31,'General Basis'!$B$42,IF(G3094&lt;36,'General Basis'!$B$43,IF(G3094&lt;41,'General Basis'!$B$44,IF(G3094&lt;46,'General Basis'!$B$45,IF(G3094&lt;51,'General Basis'!$B$46,IF(G3094&lt;56,'General Basis'!$B$47,IF(G3094&lt;60,'General Basis'!$B$48,IF(G3094&lt;65,'General Basis'!$B$49,'General Basis'!$B$50)))))))))))))</f>
        <v/>
      </c>
      <c r="BI3094" s="744" t="str">
        <f t="shared" si="1083"/>
        <v/>
      </c>
      <c r="BJ3094" s="747" t="str">
        <f t="shared" si="1090"/>
        <v/>
      </c>
      <c r="BK3094" s="498" t="str">
        <f t="shared" si="1084"/>
        <v/>
      </c>
      <c r="BL3094" s="498" t="str">
        <f t="shared" si="1085"/>
        <v/>
      </c>
    </row>
    <row r="3095" spans="1:64" x14ac:dyDescent="0.25">
      <c r="A3095" s="762">
        <f t="shared" si="1086"/>
        <v>3090</v>
      </c>
      <c r="B3095" s="229"/>
      <c r="C3095" s="223"/>
      <c r="D3095" s="224"/>
      <c r="E3095" s="225"/>
      <c r="F3095" s="1036" t="str">
        <f t="shared" si="1092"/>
        <v/>
      </c>
      <c r="G3095" s="1037" t="str">
        <f t="shared" si="1087"/>
        <v/>
      </c>
      <c r="H3095" s="225"/>
      <c r="I3095" s="1013"/>
      <c r="J3095" s="1013"/>
      <c r="K3095" s="1028"/>
      <c r="L3095" s="1035" t="str">
        <f t="shared" si="1091"/>
        <v/>
      </c>
      <c r="S3095" s="498"/>
      <c r="AJ3095" s="498"/>
      <c r="AM3095" s="498">
        <f t="shared" si="1072"/>
        <v>0</v>
      </c>
      <c r="AN3095" s="498">
        <f t="shared" si="1073"/>
        <v>0</v>
      </c>
      <c r="AO3095" s="498">
        <f t="shared" si="1074"/>
        <v>0</v>
      </c>
      <c r="AP3095" s="498">
        <f t="shared" si="1093"/>
        <v>0</v>
      </c>
      <c r="AQ3095" s="498">
        <f t="shared" si="1088"/>
        <v>0</v>
      </c>
      <c r="AU3095" s="498">
        <f t="shared" si="1075"/>
        <v>0</v>
      </c>
      <c r="AV3095" s="498">
        <f t="shared" si="1076"/>
        <v>0</v>
      </c>
      <c r="AW3095" s="498">
        <f t="shared" si="1077"/>
        <v>0</v>
      </c>
      <c r="AX3095" s="498">
        <f t="shared" si="1078"/>
        <v>0</v>
      </c>
      <c r="AY3095" s="498">
        <f t="shared" si="1079"/>
        <v>0</v>
      </c>
      <c r="BB3095" s="498" t="str">
        <f t="shared" si="1080"/>
        <v/>
      </c>
      <c r="BC3095" s="743" t="str">
        <f t="shared" si="1081"/>
        <v/>
      </c>
      <c r="BD3095" s="743" t="str">
        <f t="shared" si="1082"/>
        <v/>
      </c>
      <c r="BE3095" s="743" t="str">
        <f>IF(D3095="","",VLOOKUP(D3095,'General Basis'!$J$39:$K$46,2,0))</f>
        <v/>
      </c>
      <c r="BF3095" s="744" t="str">
        <f>IF(D3095="","",VLOOKUP(D3095,'General Basis'!$J$39:$L$46,3,0))</f>
        <v/>
      </c>
      <c r="BG3095" s="744" t="str">
        <f t="shared" si="1089"/>
        <v/>
      </c>
      <c r="BH3095" s="744" t="str">
        <f>IF(G3095="","",IF(BF3095="Abu Dhabi",IF(G3095&lt;18,'General Basis'!$C$39,IF(G3095&lt;41,'General Basis'!$C$40,IF(G3095&lt;60,'General Basis'!$C$41,IF(G3095&lt;65,'General Basis'!$C$42,'General Basis'!$C$43)))),IF(G3095&lt;11,'General Basis'!$B$39,IF(G3095&lt;18,'General Basis'!$B$40,IF(G3095&lt;26,'General Basis'!$B$41,IF(G3095&lt;31,'General Basis'!$B$42,IF(G3095&lt;36,'General Basis'!$B$43,IF(G3095&lt;41,'General Basis'!$B$44,IF(G3095&lt;46,'General Basis'!$B$45,IF(G3095&lt;51,'General Basis'!$B$46,IF(G3095&lt;56,'General Basis'!$B$47,IF(G3095&lt;60,'General Basis'!$B$48,IF(G3095&lt;65,'General Basis'!$B$49,'General Basis'!$B$50)))))))))))))</f>
        <v/>
      </c>
      <c r="BI3095" s="744" t="str">
        <f t="shared" si="1083"/>
        <v/>
      </c>
      <c r="BJ3095" s="747" t="str">
        <f t="shared" si="1090"/>
        <v/>
      </c>
      <c r="BK3095" s="498" t="str">
        <f t="shared" si="1084"/>
        <v/>
      </c>
      <c r="BL3095" s="498" t="str">
        <f t="shared" si="1085"/>
        <v/>
      </c>
    </row>
    <row r="3096" spans="1:64" x14ac:dyDescent="0.25">
      <c r="A3096" s="762">
        <f t="shared" si="1086"/>
        <v>3091</v>
      </c>
      <c r="B3096" s="229"/>
      <c r="C3096" s="223"/>
      <c r="D3096" s="224"/>
      <c r="E3096" s="225"/>
      <c r="F3096" s="1036" t="str">
        <f t="shared" si="1092"/>
        <v/>
      </c>
      <c r="G3096" s="1037" t="str">
        <f t="shared" si="1087"/>
        <v/>
      </c>
      <c r="H3096" s="225"/>
      <c r="I3096" s="1013"/>
      <c r="J3096" s="1013"/>
      <c r="K3096" s="1028"/>
      <c r="L3096" s="1035" t="str">
        <f t="shared" si="1091"/>
        <v/>
      </c>
      <c r="S3096" s="498"/>
      <c r="AJ3096" s="498"/>
      <c r="AM3096" s="498">
        <f t="shared" si="1072"/>
        <v>0</v>
      </c>
      <c r="AN3096" s="498">
        <f t="shared" si="1073"/>
        <v>0</v>
      </c>
      <c r="AO3096" s="498">
        <f t="shared" si="1074"/>
        <v>0</v>
      </c>
      <c r="AP3096" s="498">
        <f t="shared" si="1093"/>
        <v>0</v>
      </c>
      <c r="AQ3096" s="498">
        <f t="shared" si="1088"/>
        <v>0</v>
      </c>
      <c r="AU3096" s="498">
        <f t="shared" si="1075"/>
        <v>0</v>
      </c>
      <c r="AV3096" s="498">
        <f t="shared" si="1076"/>
        <v>0</v>
      </c>
      <c r="AW3096" s="498">
        <f t="shared" si="1077"/>
        <v>0</v>
      </c>
      <c r="AX3096" s="498">
        <f t="shared" si="1078"/>
        <v>0</v>
      </c>
      <c r="AY3096" s="498">
        <f t="shared" si="1079"/>
        <v>0</v>
      </c>
      <c r="BB3096" s="498" t="str">
        <f t="shared" si="1080"/>
        <v/>
      </c>
      <c r="BC3096" s="743" t="str">
        <f t="shared" si="1081"/>
        <v/>
      </c>
      <c r="BD3096" s="743" t="str">
        <f t="shared" si="1082"/>
        <v/>
      </c>
      <c r="BE3096" s="743" t="str">
        <f>IF(D3096="","",VLOOKUP(D3096,'General Basis'!$J$39:$K$46,2,0))</f>
        <v/>
      </c>
      <c r="BF3096" s="744" t="str">
        <f>IF(D3096="","",VLOOKUP(D3096,'General Basis'!$J$39:$L$46,3,0))</f>
        <v/>
      </c>
      <c r="BG3096" s="744" t="str">
        <f t="shared" si="1089"/>
        <v/>
      </c>
      <c r="BH3096" s="744" t="str">
        <f>IF(G3096="","",IF(BF3096="Abu Dhabi",IF(G3096&lt;18,'General Basis'!$C$39,IF(G3096&lt;41,'General Basis'!$C$40,IF(G3096&lt;60,'General Basis'!$C$41,IF(G3096&lt;65,'General Basis'!$C$42,'General Basis'!$C$43)))),IF(G3096&lt;11,'General Basis'!$B$39,IF(G3096&lt;18,'General Basis'!$B$40,IF(G3096&lt;26,'General Basis'!$B$41,IF(G3096&lt;31,'General Basis'!$B$42,IF(G3096&lt;36,'General Basis'!$B$43,IF(G3096&lt;41,'General Basis'!$B$44,IF(G3096&lt;46,'General Basis'!$B$45,IF(G3096&lt;51,'General Basis'!$B$46,IF(G3096&lt;56,'General Basis'!$B$47,IF(G3096&lt;60,'General Basis'!$B$48,IF(G3096&lt;65,'General Basis'!$B$49,'General Basis'!$B$50)))))))))))))</f>
        <v/>
      </c>
      <c r="BI3096" s="744" t="str">
        <f t="shared" si="1083"/>
        <v/>
      </c>
      <c r="BJ3096" s="747" t="str">
        <f t="shared" si="1090"/>
        <v/>
      </c>
      <c r="BK3096" s="498" t="str">
        <f t="shared" si="1084"/>
        <v/>
      </c>
      <c r="BL3096" s="498" t="str">
        <f t="shared" si="1085"/>
        <v/>
      </c>
    </row>
    <row r="3097" spans="1:64" x14ac:dyDescent="0.25">
      <c r="A3097" s="762">
        <f t="shared" si="1086"/>
        <v>3092</v>
      </c>
      <c r="B3097" s="229"/>
      <c r="C3097" s="223"/>
      <c r="D3097" s="224"/>
      <c r="E3097" s="225"/>
      <c r="F3097" s="1036" t="str">
        <f t="shared" si="1092"/>
        <v/>
      </c>
      <c r="G3097" s="1037" t="str">
        <f t="shared" si="1087"/>
        <v/>
      </c>
      <c r="H3097" s="225"/>
      <c r="I3097" s="1013"/>
      <c r="J3097" s="1013"/>
      <c r="K3097" s="1028"/>
      <c r="L3097" s="1035" t="str">
        <f t="shared" si="1091"/>
        <v/>
      </c>
      <c r="S3097" s="498"/>
      <c r="AJ3097" s="498"/>
      <c r="AM3097" s="498">
        <f t="shared" si="1072"/>
        <v>0</v>
      </c>
      <c r="AN3097" s="498">
        <f t="shared" si="1073"/>
        <v>0</v>
      </c>
      <c r="AO3097" s="498">
        <f t="shared" si="1074"/>
        <v>0</v>
      </c>
      <c r="AP3097" s="498">
        <f t="shared" si="1093"/>
        <v>0</v>
      </c>
      <c r="AQ3097" s="498">
        <f t="shared" si="1088"/>
        <v>0</v>
      </c>
      <c r="AU3097" s="498">
        <f t="shared" si="1075"/>
        <v>0</v>
      </c>
      <c r="AV3097" s="498">
        <f t="shared" si="1076"/>
        <v>0</v>
      </c>
      <c r="AW3097" s="498">
        <f t="shared" si="1077"/>
        <v>0</v>
      </c>
      <c r="AX3097" s="498">
        <f t="shared" si="1078"/>
        <v>0</v>
      </c>
      <c r="AY3097" s="498">
        <f t="shared" si="1079"/>
        <v>0</v>
      </c>
      <c r="BB3097" s="498" t="str">
        <f t="shared" si="1080"/>
        <v/>
      </c>
      <c r="BC3097" s="743" t="str">
        <f t="shared" si="1081"/>
        <v/>
      </c>
      <c r="BD3097" s="743" t="str">
        <f t="shared" si="1082"/>
        <v/>
      </c>
      <c r="BE3097" s="743" t="str">
        <f>IF(D3097="","",VLOOKUP(D3097,'General Basis'!$J$39:$K$46,2,0))</f>
        <v/>
      </c>
      <c r="BF3097" s="744" t="str">
        <f>IF(D3097="","",VLOOKUP(D3097,'General Basis'!$J$39:$L$46,3,0))</f>
        <v/>
      </c>
      <c r="BG3097" s="744" t="str">
        <f t="shared" si="1089"/>
        <v/>
      </c>
      <c r="BH3097" s="744" t="str">
        <f>IF(G3097="","",IF(BF3097="Abu Dhabi",IF(G3097&lt;18,'General Basis'!$C$39,IF(G3097&lt;41,'General Basis'!$C$40,IF(G3097&lt;60,'General Basis'!$C$41,IF(G3097&lt;65,'General Basis'!$C$42,'General Basis'!$C$43)))),IF(G3097&lt;11,'General Basis'!$B$39,IF(G3097&lt;18,'General Basis'!$B$40,IF(G3097&lt;26,'General Basis'!$B$41,IF(G3097&lt;31,'General Basis'!$B$42,IF(G3097&lt;36,'General Basis'!$B$43,IF(G3097&lt;41,'General Basis'!$B$44,IF(G3097&lt;46,'General Basis'!$B$45,IF(G3097&lt;51,'General Basis'!$B$46,IF(G3097&lt;56,'General Basis'!$B$47,IF(G3097&lt;60,'General Basis'!$B$48,IF(G3097&lt;65,'General Basis'!$B$49,'General Basis'!$B$50)))))))))))))</f>
        <v/>
      </c>
      <c r="BI3097" s="744" t="str">
        <f t="shared" si="1083"/>
        <v/>
      </c>
      <c r="BJ3097" s="747" t="str">
        <f t="shared" si="1090"/>
        <v/>
      </c>
      <c r="BK3097" s="498" t="str">
        <f t="shared" si="1084"/>
        <v/>
      </c>
      <c r="BL3097" s="498" t="str">
        <f t="shared" si="1085"/>
        <v/>
      </c>
    </row>
    <row r="3098" spans="1:64" x14ac:dyDescent="0.25">
      <c r="A3098" s="762">
        <f t="shared" si="1086"/>
        <v>3093</v>
      </c>
      <c r="B3098" s="229"/>
      <c r="C3098" s="223"/>
      <c r="D3098" s="224"/>
      <c r="E3098" s="225"/>
      <c r="F3098" s="1036" t="str">
        <f t="shared" si="1092"/>
        <v/>
      </c>
      <c r="G3098" s="1037" t="str">
        <f t="shared" si="1087"/>
        <v/>
      </c>
      <c r="H3098" s="225"/>
      <c r="I3098" s="1013"/>
      <c r="J3098" s="1013"/>
      <c r="K3098" s="1028"/>
      <c r="L3098" s="1035" t="str">
        <f t="shared" si="1091"/>
        <v/>
      </c>
      <c r="S3098" s="498"/>
      <c r="AJ3098" s="498"/>
      <c r="AM3098" s="498">
        <f t="shared" si="1072"/>
        <v>0</v>
      </c>
      <c r="AN3098" s="498">
        <f t="shared" si="1073"/>
        <v>0</v>
      </c>
      <c r="AO3098" s="498">
        <f t="shared" si="1074"/>
        <v>0</v>
      </c>
      <c r="AP3098" s="498">
        <f t="shared" si="1093"/>
        <v>0</v>
      </c>
      <c r="AQ3098" s="498">
        <f t="shared" si="1088"/>
        <v>0</v>
      </c>
      <c r="AU3098" s="498">
        <f t="shared" si="1075"/>
        <v>0</v>
      </c>
      <c r="AV3098" s="498">
        <f t="shared" si="1076"/>
        <v>0</v>
      </c>
      <c r="AW3098" s="498">
        <f t="shared" si="1077"/>
        <v>0</v>
      </c>
      <c r="AX3098" s="498">
        <f t="shared" si="1078"/>
        <v>0</v>
      </c>
      <c r="AY3098" s="498">
        <f t="shared" si="1079"/>
        <v>0</v>
      </c>
      <c r="BB3098" s="498" t="str">
        <f t="shared" si="1080"/>
        <v/>
      </c>
      <c r="BC3098" s="743" t="str">
        <f t="shared" si="1081"/>
        <v/>
      </c>
      <c r="BD3098" s="743" t="str">
        <f t="shared" si="1082"/>
        <v/>
      </c>
      <c r="BE3098" s="743" t="str">
        <f>IF(D3098="","",VLOOKUP(D3098,'General Basis'!$J$39:$K$46,2,0))</f>
        <v/>
      </c>
      <c r="BF3098" s="744" t="str">
        <f>IF(D3098="","",VLOOKUP(D3098,'General Basis'!$J$39:$L$46,3,0))</f>
        <v/>
      </c>
      <c r="BG3098" s="744" t="str">
        <f t="shared" si="1089"/>
        <v/>
      </c>
      <c r="BH3098" s="744" t="str">
        <f>IF(G3098="","",IF(BF3098="Abu Dhabi",IF(G3098&lt;18,'General Basis'!$C$39,IF(G3098&lt;41,'General Basis'!$C$40,IF(G3098&lt;60,'General Basis'!$C$41,IF(G3098&lt;65,'General Basis'!$C$42,'General Basis'!$C$43)))),IF(G3098&lt;11,'General Basis'!$B$39,IF(G3098&lt;18,'General Basis'!$B$40,IF(G3098&lt;26,'General Basis'!$B$41,IF(G3098&lt;31,'General Basis'!$B$42,IF(G3098&lt;36,'General Basis'!$B$43,IF(G3098&lt;41,'General Basis'!$B$44,IF(G3098&lt;46,'General Basis'!$B$45,IF(G3098&lt;51,'General Basis'!$B$46,IF(G3098&lt;56,'General Basis'!$B$47,IF(G3098&lt;60,'General Basis'!$B$48,IF(G3098&lt;65,'General Basis'!$B$49,'General Basis'!$B$50)))))))))))))</f>
        <v/>
      </c>
      <c r="BI3098" s="744" t="str">
        <f t="shared" si="1083"/>
        <v/>
      </c>
      <c r="BJ3098" s="747" t="str">
        <f t="shared" si="1090"/>
        <v/>
      </c>
      <c r="BK3098" s="498" t="str">
        <f t="shared" si="1084"/>
        <v/>
      </c>
      <c r="BL3098" s="498" t="str">
        <f t="shared" si="1085"/>
        <v/>
      </c>
    </row>
    <row r="3099" spans="1:64" x14ac:dyDescent="0.25">
      <c r="A3099" s="762">
        <f t="shared" si="1086"/>
        <v>3094</v>
      </c>
      <c r="B3099" s="229"/>
      <c r="C3099" s="223"/>
      <c r="D3099" s="224"/>
      <c r="E3099" s="225"/>
      <c r="F3099" s="1036" t="str">
        <f t="shared" si="1092"/>
        <v/>
      </c>
      <c r="G3099" s="1037" t="str">
        <f t="shared" si="1087"/>
        <v/>
      </c>
      <c r="H3099" s="225"/>
      <c r="I3099" s="1013"/>
      <c r="J3099" s="1013"/>
      <c r="K3099" s="1028"/>
      <c r="L3099" s="1035" t="str">
        <f t="shared" si="1091"/>
        <v/>
      </c>
      <c r="S3099" s="498"/>
      <c r="AJ3099" s="498"/>
      <c r="AM3099" s="498">
        <f t="shared" si="1072"/>
        <v>0</v>
      </c>
      <c r="AN3099" s="498">
        <f t="shared" si="1073"/>
        <v>0</v>
      </c>
      <c r="AO3099" s="498">
        <f t="shared" si="1074"/>
        <v>0</v>
      </c>
      <c r="AP3099" s="498">
        <f t="shared" si="1093"/>
        <v>0</v>
      </c>
      <c r="AQ3099" s="498">
        <f t="shared" si="1088"/>
        <v>0</v>
      </c>
      <c r="AU3099" s="498">
        <f t="shared" si="1075"/>
        <v>0</v>
      </c>
      <c r="AV3099" s="498">
        <f t="shared" si="1076"/>
        <v>0</v>
      </c>
      <c r="AW3099" s="498">
        <f t="shared" si="1077"/>
        <v>0</v>
      </c>
      <c r="AX3099" s="498">
        <f t="shared" si="1078"/>
        <v>0</v>
      </c>
      <c r="AY3099" s="498">
        <f t="shared" si="1079"/>
        <v>0</v>
      </c>
      <c r="BB3099" s="498" t="str">
        <f t="shared" si="1080"/>
        <v/>
      </c>
      <c r="BC3099" s="743" t="str">
        <f t="shared" si="1081"/>
        <v/>
      </c>
      <c r="BD3099" s="743" t="str">
        <f t="shared" si="1082"/>
        <v/>
      </c>
      <c r="BE3099" s="743" t="str">
        <f>IF(D3099="","",VLOOKUP(D3099,'General Basis'!$J$39:$K$46,2,0))</f>
        <v/>
      </c>
      <c r="BF3099" s="744" t="str">
        <f>IF(D3099="","",VLOOKUP(D3099,'General Basis'!$J$39:$L$46,3,0))</f>
        <v/>
      </c>
      <c r="BG3099" s="744" t="str">
        <f t="shared" si="1089"/>
        <v/>
      </c>
      <c r="BH3099" s="744" t="str">
        <f>IF(G3099="","",IF(BF3099="Abu Dhabi",IF(G3099&lt;18,'General Basis'!$C$39,IF(G3099&lt;41,'General Basis'!$C$40,IF(G3099&lt;60,'General Basis'!$C$41,IF(G3099&lt;65,'General Basis'!$C$42,'General Basis'!$C$43)))),IF(G3099&lt;11,'General Basis'!$B$39,IF(G3099&lt;18,'General Basis'!$B$40,IF(G3099&lt;26,'General Basis'!$B$41,IF(G3099&lt;31,'General Basis'!$B$42,IF(G3099&lt;36,'General Basis'!$B$43,IF(G3099&lt;41,'General Basis'!$B$44,IF(G3099&lt;46,'General Basis'!$B$45,IF(G3099&lt;51,'General Basis'!$B$46,IF(G3099&lt;56,'General Basis'!$B$47,IF(G3099&lt;60,'General Basis'!$B$48,IF(G3099&lt;65,'General Basis'!$B$49,'General Basis'!$B$50)))))))))))))</f>
        <v/>
      </c>
      <c r="BI3099" s="744" t="str">
        <f t="shared" si="1083"/>
        <v/>
      </c>
      <c r="BJ3099" s="747" t="str">
        <f t="shared" si="1090"/>
        <v/>
      </c>
      <c r="BK3099" s="498" t="str">
        <f t="shared" si="1084"/>
        <v/>
      </c>
      <c r="BL3099" s="498" t="str">
        <f t="shared" si="1085"/>
        <v/>
      </c>
    </row>
    <row r="3100" spans="1:64" x14ac:dyDescent="0.25">
      <c r="A3100" s="762">
        <f t="shared" si="1086"/>
        <v>3095</v>
      </c>
      <c r="B3100" s="229"/>
      <c r="C3100" s="223"/>
      <c r="D3100" s="224"/>
      <c r="E3100" s="225"/>
      <c r="F3100" s="1036" t="str">
        <f t="shared" si="1092"/>
        <v/>
      </c>
      <c r="G3100" s="1037" t="str">
        <f t="shared" si="1087"/>
        <v/>
      </c>
      <c r="H3100" s="225"/>
      <c r="I3100" s="1013"/>
      <c r="J3100" s="1013"/>
      <c r="K3100" s="1028"/>
      <c r="L3100" s="1035" t="str">
        <f t="shared" si="1091"/>
        <v/>
      </c>
      <c r="S3100" s="498"/>
      <c r="AJ3100" s="498"/>
      <c r="AM3100" s="498">
        <f t="shared" si="1072"/>
        <v>0</v>
      </c>
      <c r="AN3100" s="498">
        <f t="shared" si="1073"/>
        <v>0</v>
      </c>
      <c r="AO3100" s="498">
        <f t="shared" si="1074"/>
        <v>0</v>
      </c>
      <c r="AP3100" s="498">
        <f t="shared" si="1093"/>
        <v>0</v>
      </c>
      <c r="AQ3100" s="498">
        <f t="shared" si="1088"/>
        <v>0</v>
      </c>
      <c r="AU3100" s="498">
        <f t="shared" si="1075"/>
        <v>0</v>
      </c>
      <c r="AV3100" s="498">
        <f t="shared" si="1076"/>
        <v>0</v>
      </c>
      <c r="AW3100" s="498">
        <f t="shared" si="1077"/>
        <v>0</v>
      </c>
      <c r="AX3100" s="498">
        <f t="shared" si="1078"/>
        <v>0</v>
      </c>
      <c r="AY3100" s="498">
        <f t="shared" si="1079"/>
        <v>0</v>
      </c>
      <c r="BB3100" s="498" t="str">
        <f t="shared" si="1080"/>
        <v/>
      </c>
      <c r="BC3100" s="743" t="str">
        <f t="shared" si="1081"/>
        <v/>
      </c>
      <c r="BD3100" s="743" t="str">
        <f t="shared" si="1082"/>
        <v/>
      </c>
      <c r="BE3100" s="743" t="str">
        <f>IF(D3100="","",VLOOKUP(D3100,'General Basis'!$J$39:$K$46,2,0))</f>
        <v/>
      </c>
      <c r="BF3100" s="744" t="str">
        <f>IF(D3100="","",VLOOKUP(D3100,'General Basis'!$J$39:$L$46,3,0))</f>
        <v/>
      </c>
      <c r="BG3100" s="744" t="str">
        <f t="shared" si="1089"/>
        <v/>
      </c>
      <c r="BH3100" s="744" t="str">
        <f>IF(G3100="","",IF(BF3100="Abu Dhabi",IF(G3100&lt;18,'General Basis'!$C$39,IF(G3100&lt;41,'General Basis'!$C$40,IF(G3100&lt;60,'General Basis'!$C$41,IF(G3100&lt;65,'General Basis'!$C$42,'General Basis'!$C$43)))),IF(G3100&lt;11,'General Basis'!$B$39,IF(G3100&lt;18,'General Basis'!$B$40,IF(G3100&lt;26,'General Basis'!$B$41,IF(G3100&lt;31,'General Basis'!$B$42,IF(G3100&lt;36,'General Basis'!$B$43,IF(G3100&lt;41,'General Basis'!$B$44,IF(G3100&lt;46,'General Basis'!$B$45,IF(G3100&lt;51,'General Basis'!$B$46,IF(G3100&lt;56,'General Basis'!$B$47,IF(G3100&lt;60,'General Basis'!$B$48,IF(G3100&lt;65,'General Basis'!$B$49,'General Basis'!$B$50)))))))))))))</f>
        <v/>
      </c>
      <c r="BI3100" s="744" t="str">
        <f t="shared" si="1083"/>
        <v/>
      </c>
      <c r="BJ3100" s="747" t="str">
        <f t="shared" si="1090"/>
        <v/>
      </c>
      <c r="BK3100" s="498" t="str">
        <f t="shared" si="1084"/>
        <v/>
      </c>
      <c r="BL3100" s="498" t="str">
        <f t="shared" si="1085"/>
        <v/>
      </c>
    </row>
    <row r="3101" spans="1:64" x14ac:dyDescent="0.25">
      <c r="A3101" s="762">
        <f t="shared" si="1086"/>
        <v>3096</v>
      </c>
      <c r="B3101" s="229"/>
      <c r="C3101" s="223"/>
      <c r="D3101" s="224"/>
      <c r="E3101" s="225"/>
      <c r="F3101" s="1036" t="str">
        <f t="shared" si="1092"/>
        <v/>
      </c>
      <c r="G3101" s="1037" t="str">
        <f t="shared" si="1087"/>
        <v/>
      </c>
      <c r="H3101" s="225"/>
      <c r="I3101" s="1013"/>
      <c r="J3101" s="1013"/>
      <c r="K3101" s="1028"/>
      <c r="L3101" s="1035" t="str">
        <f t="shared" si="1091"/>
        <v/>
      </c>
      <c r="S3101" s="498"/>
      <c r="AJ3101" s="498"/>
      <c r="AM3101" s="498">
        <f t="shared" si="1072"/>
        <v>0</v>
      </c>
      <c r="AN3101" s="498">
        <f t="shared" si="1073"/>
        <v>0</v>
      </c>
      <c r="AO3101" s="498">
        <f t="shared" si="1074"/>
        <v>0</v>
      </c>
      <c r="AP3101" s="498">
        <f t="shared" si="1093"/>
        <v>0</v>
      </c>
      <c r="AQ3101" s="498">
        <f t="shared" si="1088"/>
        <v>0</v>
      </c>
      <c r="AU3101" s="498">
        <f t="shared" si="1075"/>
        <v>0</v>
      </c>
      <c r="AV3101" s="498">
        <f t="shared" si="1076"/>
        <v>0</v>
      </c>
      <c r="AW3101" s="498">
        <f t="shared" si="1077"/>
        <v>0</v>
      </c>
      <c r="AX3101" s="498">
        <f t="shared" si="1078"/>
        <v>0</v>
      </c>
      <c r="AY3101" s="498">
        <f t="shared" si="1079"/>
        <v>0</v>
      </c>
      <c r="BB3101" s="498" t="str">
        <f t="shared" si="1080"/>
        <v/>
      </c>
      <c r="BC3101" s="743" t="str">
        <f t="shared" si="1081"/>
        <v/>
      </c>
      <c r="BD3101" s="743" t="str">
        <f t="shared" si="1082"/>
        <v/>
      </c>
      <c r="BE3101" s="743" t="str">
        <f>IF(D3101="","",VLOOKUP(D3101,'General Basis'!$J$39:$K$46,2,0))</f>
        <v/>
      </c>
      <c r="BF3101" s="744" t="str">
        <f>IF(D3101="","",VLOOKUP(D3101,'General Basis'!$J$39:$L$46,3,0))</f>
        <v/>
      </c>
      <c r="BG3101" s="744" t="str">
        <f t="shared" si="1089"/>
        <v/>
      </c>
      <c r="BH3101" s="744" t="str">
        <f>IF(G3101="","",IF(BF3101="Abu Dhabi",IF(G3101&lt;18,'General Basis'!$C$39,IF(G3101&lt;41,'General Basis'!$C$40,IF(G3101&lt;60,'General Basis'!$C$41,IF(G3101&lt;65,'General Basis'!$C$42,'General Basis'!$C$43)))),IF(G3101&lt;11,'General Basis'!$B$39,IF(G3101&lt;18,'General Basis'!$B$40,IF(G3101&lt;26,'General Basis'!$B$41,IF(G3101&lt;31,'General Basis'!$B$42,IF(G3101&lt;36,'General Basis'!$B$43,IF(G3101&lt;41,'General Basis'!$B$44,IF(G3101&lt;46,'General Basis'!$B$45,IF(G3101&lt;51,'General Basis'!$B$46,IF(G3101&lt;56,'General Basis'!$B$47,IF(G3101&lt;60,'General Basis'!$B$48,IF(G3101&lt;65,'General Basis'!$B$49,'General Basis'!$B$50)))))))))))))</f>
        <v/>
      </c>
      <c r="BI3101" s="744" t="str">
        <f t="shared" si="1083"/>
        <v/>
      </c>
      <c r="BJ3101" s="747" t="str">
        <f t="shared" si="1090"/>
        <v/>
      </c>
      <c r="BK3101" s="498" t="str">
        <f t="shared" si="1084"/>
        <v/>
      </c>
      <c r="BL3101" s="498" t="str">
        <f t="shared" si="1085"/>
        <v/>
      </c>
    </row>
    <row r="3102" spans="1:64" x14ac:dyDescent="0.25">
      <c r="A3102" s="762">
        <f t="shared" si="1086"/>
        <v>3097</v>
      </c>
      <c r="B3102" s="229"/>
      <c r="C3102" s="223"/>
      <c r="D3102" s="224"/>
      <c r="E3102" s="225"/>
      <c r="F3102" s="1036" t="str">
        <f t="shared" si="1092"/>
        <v/>
      </c>
      <c r="G3102" s="1037" t="str">
        <f t="shared" si="1087"/>
        <v/>
      </c>
      <c r="H3102" s="225"/>
      <c r="I3102" s="1013"/>
      <c r="J3102" s="1013"/>
      <c r="K3102" s="1028"/>
      <c r="L3102" s="1035" t="str">
        <f t="shared" si="1091"/>
        <v/>
      </c>
      <c r="S3102" s="498"/>
      <c r="AJ3102" s="498"/>
      <c r="AM3102" s="498">
        <f t="shared" si="1072"/>
        <v>0</v>
      </c>
      <c r="AN3102" s="498">
        <f t="shared" si="1073"/>
        <v>0</v>
      </c>
      <c r="AO3102" s="498">
        <f t="shared" si="1074"/>
        <v>0</v>
      </c>
      <c r="AP3102" s="498">
        <f t="shared" si="1093"/>
        <v>0</v>
      </c>
      <c r="AQ3102" s="498">
        <f t="shared" si="1088"/>
        <v>0</v>
      </c>
      <c r="AU3102" s="498">
        <f t="shared" si="1075"/>
        <v>0</v>
      </c>
      <c r="AV3102" s="498">
        <f t="shared" si="1076"/>
        <v>0</v>
      </c>
      <c r="AW3102" s="498">
        <f t="shared" si="1077"/>
        <v>0</v>
      </c>
      <c r="AX3102" s="498">
        <f t="shared" si="1078"/>
        <v>0</v>
      </c>
      <c r="AY3102" s="498">
        <f t="shared" si="1079"/>
        <v>0</v>
      </c>
      <c r="BB3102" s="498" t="str">
        <f t="shared" si="1080"/>
        <v/>
      </c>
      <c r="BC3102" s="743" t="str">
        <f t="shared" si="1081"/>
        <v/>
      </c>
      <c r="BD3102" s="743" t="str">
        <f t="shared" si="1082"/>
        <v/>
      </c>
      <c r="BE3102" s="743" t="str">
        <f>IF(D3102="","",VLOOKUP(D3102,'General Basis'!$J$39:$K$46,2,0))</f>
        <v/>
      </c>
      <c r="BF3102" s="744" t="str">
        <f>IF(D3102="","",VLOOKUP(D3102,'General Basis'!$J$39:$L$46,3,0))</f>
        <v/>
      </c>
      <c r="BG3102" s="744" t="str">
        <f t="shared" si="1089"/>
        <v/>
      </c>
      <c r="BH3102" s="744" t="str">
        <f>IF(G3102="","",IF(BF3102="Abu Dhabi",IF(G3102&lt;18,'General Basis'!$C$39,IF(G3102&lt;41,'General Basis'!$C$40,IF(G3102&lt;60,'General Basis'!$C$41,IF(G3102&lt;65,'General Basis'!$C$42,'General Basis'!$C$43)))),IF(G3102&lt;11,'General Basis'!$B$39,IF(G3102&lt;18,'General Basis'!$B$40,IF(G3102&lt;26,'General Basis'!$B$41,IF(G3102&lt;31,'General Basis'!$B$42,IF(G3102&lt;36,'General Basis'!$B$43,IF(G3102&lt;41,'General Basis'!$B$44,IF(G3102&lt;46,'General Basis'!$B$45,IF(G3102&lt;51,'General Basis'!$B$46,IF(G3102&lt;56,'General Basis'!$B$47,IF(G3102&lt;60,'General Basis'!$B$48,IF(G3102&lt;65,'General Basis'!$B$49,'General Basis'!$B$50)))))))))))))</f>
        <v/>
      </c>
      <c r="BI3102" s="744" t="str">
        <f t="shared" si="1083"/>
        <v/>
      </c>
      <c r="BJ3102" s="747" t="str">
        <f t="shared" si="1090"/>
        <v/>
      </c>
      <c r="BK3102" s="498" t="str">
        <f t="shared" si="1084"/>
        <v/>
      </c>
      <c r="BL3102" s="498" t="str">
        <f t="shared" si="1085"/>
        <v/>
      </c>
    </row>
    <row r="3103" spans="1:64" x14ac:dyDescent="0.25">
      <c r="A3103" s="762">
        <f t="shared" si="1086"/>
        <v>3098</v>
      </c>
      <c r="B3103" s="229"/>
      <c r="C3103" s="223"/>
      <c r="D3103" s="224"/>
      <c r="E3103" s="225"/>
      <c r="F3103" s="1036" t="str">
        <f t="shared" si="1092"/>
        <v/>
      </c>
      <c r="G3103" s="1037" t="str">
        <f t="shared" si="1087"/>
        <v/>
      </c>
      <c r="H3103" s="225"/>
      <c r="I3103" s="1013"/>
      <c r="J3103" s="1013"/>
      <c r="K3103" s="1028"/>
      <c r="L3103" s="1035" t="str">
        <f t="shared" si="1091"/>
        <v/>
      </c>
      <c r="S3103" s="498"/>
      <c r="AJ3103" s="498"/>
      <c r="AM3103" s="498">
        <f t="shared" si="1072"/>
        <v>0</v>
      </c>
      <c r="AN3103" s="498">
        <f t="shared" si="1073"/>
        <v>0</v>
      </c>
      <c r="AO3103" s="498">
        <f t="shared" si="1074"/>
        <v>0</v>
      </c>
      <c r="AP3103" s="498">
        <f t="shared" si="1093"/>
        <v>0</v>
      </c>
      <c r="AQ3103" s="498">
        <f t="shared" si="1088"/>
        <v>0</v>
      </c>
      <c r="AU3103" s="498">
        <f t="shared" si="1075"/>
        <v>0</v>
      </c>
      <c r="AV3103" s="498">
        <f t="shared" si="1076"/>
        <v>0</v>
      </c>
      <c r="AW3103" s="498">
        <f t="shared" si="1077"/>
        <v>0</v>
      </c>
      <c r="AX3103" s="498">
        <f t="shared" si="1078"/>
        <v>0</v>
      </c>
      <c r="AY3103" s="498">
        <f t="shared" si="1079"/>
        <v>0</v>
      </c>
      <c r="BB3103" s="498" t="str">
        <f t="shared" si="1080"/>
        <v/>
      </c>
      <c r="BC3103" s="743" t="str">
        <f t="shared" si="1081"/>
        <v/>
      </c>
      <c r="BD3103" s="743" t="str">
        <f t="shared" si="1082"/>
        <v/>
      </c>
      <c r="BE3103" s="743" t="str">
        <f>IF(D3103="","",VLOOKUP(D3103,'General Basis'!$J$39:$K$46,2,0))</f>
        <v/>
      </c>
      <c r="BF3103" s="744" t="str">
        <f>IF(D3103="","",VLOOKUP(D3103,'General Basis'!$J$39:$L$46,3,0))</f>
        <v/>
      </c>
      <c r="BG3103" s="744" t="str">
        <f t="shared" si="1089"/>
        <v/>
      </c>
      <c r="BH3103" s="744" t="str">
        <f>IF(G3103="","",IF(BF3103="Abu Dhabi",IF(G3103&lt;18,'General Basis'!$C$39,IF(G3103&lt;41,'General Basis'!$C$40,IF(G3103&lt;60,'General Basis'!$C$41,IF(G3103&lt;65,'General Basis'!$C$42,'General Basis'!$C$43)))),IF(G3103&lt;11,'General Basis'!$B$39,IF(G3103&lt;18,'General Basis'!$B$40,IF(G3103&lt;26,'General Basis'!$B$41,IF(G3103&lt;31,'General Basis'!$B$42,IF(G3103&lt;36,'General Basis'!$B$43,IF(G3103&lt;41,'General Basis'!$B$44,IF(G3103&lt;46,'General Basis'!$B$45,IF(G3103&lt;51,'General Basis'!$B$46,IF(G3103&lt;56,'General Basis'!$B$47,IF(G3103&lt;60,'General Basis'!$B$48,IF(G3103&lt;65,'General Basis'!$B$49,'General Basis'!$B$50)))))))))))))</f>
        <v/>
      </c>
      <c r="BI3103" s="744" t="str">
        <f t="shared" si="1083"/>
        <v/>
      </c>
      <c r="BJ3103" s="747" t="str">
        <f t="shared" si="1090"/>
        <v/>
      </c>
      <c r="BK3103" s="498" t="str">
        <f t="shared" si="1084"/>
        <v/>
      </c>
      <c r="BL3103" s="498" t="str">
        <f t="shared" si="1085"/>
        <v/>
      </c>
    </row>
    <row r="3104" spans="1:64" x14ac:dyDescent="0.25">
      <c r="A3104" s="762">
        <f t="shared" si="1086"/>
        <v>3099</v>
      </c>
      <c r="B3104" s="229"/>
      <c r="C3104" s="223"/>
      <c r="D3104" s="224"/>
      <c r="E3104" s="225"/>
      <c r="F3104" s="1036" t="str">
        <f t="shared" si="1092"/>
        <v/>
      </c>
      <c r="G3104" s="1037" t="str">
        <f t="shared" si="1087"/>
        <v/>
      </c>
      <c r="H3104" s="225"/>
      <c r="I3104" s="1013"/>
      <c r="J3104" s="1013"/>
      <c r="K3104" s="1028"/>
      <c r="L3104" s="1035" t="str">
        <f t="shared" si="1091"/>
        <v/>
      </c>
      <c r="S3104" s="498"/>
      <c r="AJ3104" s="498"/>
      <c r="AM3104" s="498">
        <f t="shared" si="1072"/>
        <v>0</v>
      </c>
      <c r="AN3104" s="498">
        <f t="shared" si="1073"/>
        <v>0</v>
      </c>
      <c r="AO3104" s="498">
        <f t="shared" si="1074"/>
        <v>0</v>
      </c>
      <c r="AP3104" s="498">
        <f t="shared" si="1093"/>
        <v>0</v>
      </c>
      <c r="AQ3104" s="498">
        <f t="shared" si="1088"/>
        <v>0</v>
      </c>
      <c r="AU3104" s="498">
        <f t="shared" si="1075"/>
        <v>0</v>
      </c>
      <c r="AV3104" s="498">
        <f t="shared" si="1076"/>
        <v>0</v>
      </c>
      <c r="AW3104" s="498">
        <f t="shared" si="1077"/>
        <v>0</v>
      </c>
      <c r="AX3104" s="498">
        <f t="shared" si="1078"/>
        <v>0</v>
      </c>
      <c r="AY3104" s="498">
        <f t="shared" si="1079"/>
        <v>0</v>
      </c>
      <c r="BB3104" s="498" t="str">
        <f t="shared" si="1080"/>
        <v/>
      </c>
      <c r="BC3104" s="743" t="str">
        <f t="shared" si="1081"/>
        <v/>
      </c>
      <c r="BD3104" s="743" t="str">
        <f t="shared" si="1082"/>
        <v/>
      </c>
      <c r="BE3104" s="743" t="str">
        <f>IF(D3104="","",VLOOKUP(D3104,'General Basis'!$J$39:$K$46,2,0))</f>
        <v/>
      </c>
      <c r="BF3104" s="744" t="str">
        <f>IF(D3104="","",VLOOKUP(D3104,'General Basis'!$J$39:$L$46,3,0))</f>
        <v/>
      </c>
      <c r="BG3104" s="744" t="str">
        <f t="shared" si="1089"/>
        <v/>
      </c>
      <c r="BH3104" s="744" t="str">
        <f>IF(G3104="","",IF(BF3104="Abu Dhabi",IF(G3104&lt;18,'General Basis'!$C$39,IF(G3104&lt;41,'General Basis'!$C$40,IF(G3104&lt;60,'General Basis'!$C$41,IF(G3104&lt;65,'General Basis'!$C$42,'General Basis'!$C$43)))),IF(G3104&lt;11,'General Basis'!$B$39,IF(G3104&lt;18,'General Basis'!$B$40,IF(G3104&lt;26,'General Basis'!$B$41,IF(G3104&lt;31,'General Basis'!$B$42,IF(G3104&lt;36,'General Basis'!$B$43,IF(G3104&lt;41,'General Basis'!$B$44,IF(G3104&lt;46,'General Basis'!$B$45,IF(G3104&lt;51,'General Basis'!$B$46,IF(G3104&lt;56,'General Basis'!$B$47,IF(G3104&lt;60,'General Basis'!$B$48,IF(G3104&lt;65,'General Basis'!$B$49,'General Basis'!$B$50)))))))))))))</f>
        <v/>
      </c>
      <c r="BI3104" s="744" t="str">
        <f t="shared" si="1083"/>
        <v/>
      </c>
      <c r="BJ3104" s="747" t="str">
        <f t="shared" si="1090"/>
        <v/>
      </c>
      <c r="BK3104" s="498" t="str">
        <f t="shared" si="1084"/>
        <v/>
      </c>
      <c r="BL3104" s="498" t="str">
        <f t="shared" si="1085"/>
        <v/>
      </c>
    </row>
    <row r="3105" spans="1:64" x14ac:dyDescent="0.25">
      <c r="A3105" s="762">
        <f t="shared" si="1086"/>
        <v>3100</v>
      </c>
      <c r="B3105" s="229"/>
      <c r="C3105" s="223"/>
      <c r="D3105" s="224"/>
      <c r="E3105" s="225"/>
      <c r="F3105" s="1036" t="str">
        <f t="shared" si="1092"/>
        <v/>
      </c>
      <c r="G3105" s="1037" t="str">
        <f t="shared" si="1087"/>
        <v/>
      </c>
      <c r="H3105" s="225"/>
      <c r="I3105" s="1013"/>
      <c r="J3105" s="1013"/>
      <c r="K3105" s="1028"/>
      <c r="L3105" s="1035" t="str">
        <f t="shared" si="1091"/>
        <v/>
      </c>
      <c r="S3105" s="498"/>
      <c r="AJ3105" s="498"/>
      <c r="AM3105" s="498">
        <f t="shared" si="1072"/>
        <v>0</v>
      </c>
      <c r="AN3105" s="498">
        <f t="shared" si="1073"/>
        <v>0</v>
      </c>
      <c r="AO3105" s="498">
        <f t="shared" si="1074"/>
        <v>0</v>
      </c>
      <c r="AP3105" s="498">
        <f t="shared" si="1093"/>
        <v>0</v>
      </c>
      <c r="AQ3105" s="498">
        <f t="shared" si="1088"/>
        <v>0</v>
      </c>
      <c r="AU3105" s="498">
        <f t="shared" si="1075"/>
        <v>0</v>
      </c>
      <c r="AV3105" s="498">
        <f t="shared" si="1076"/>
        <v>0</v>
      </c>
      <c r="AW3105" s="498">
        <f t="shared" si="1077"/>
        <v>0</v>
      </c>
      <c r="AX3105" s="498">
        <f t="shared" si="1078"/>
        <v>0</v>
      </c>
      <c r="AY3105" s="498">
        <f t="shared" si="1079"/>
        <v>0</v>
      </c>
      <c r="BB3105" s="498" t="str">
        <f t="shared" si="1080"/>
        <v/>
      </c>
      <c r="BC3105" s="743" t="str">
        <f t="shared" si="1081"/>
        <v/>
      </c>
      <c r="BD3105" s="743" t="str">
        <f t="shared" si="1082"/>
        <v/>
      </c>
      <c r="BE3105" s="743" t="str">
        <f>IF(D3105="","",VLOOKUP(D3105,'General Basis'!$J$39:$K$46,2,0))</f>
        <v/>
      </c>
      <c r="BF3105" s="744" t="str">
        <f>IF(D3105="","",VLOOKUP(D3105,'General Basis'!$J$39:$L$46,3,0))</f>
        <v/>
      </c>
      <c r="BG3105" s="744" t="str">
        <f t="shared" si="1089"/>
        <v/>
      </c>
      <c r="BH3105" s="744" t="str">
        <f>IF(G3105="","",IF(BF3105="Abu Dhabi",IF(G3105&lt;18,'General Basis'!$C$39,IF(G3105&lt;41,'General Basis'!$C$40,IF(G3105&lt;60,'General Basis'!$C$41,IF(G3105&lt;65,'General Basis'!$C$42,'General Basis'!$C$43)))),IF(G3105&lt;11,'General Basis'!$B$39,IF(G3105&lt;18,'General Basis'!$B$40,IF(G3105&lt;26,'General Basis'!$B$41,IF(G3105&lt;31,'General Basis'!$B$42,IF(G3105&lt;36,'General Basis'!$B$43,IF(G3105&lt;41,'General Basis'!$B$44,IF(G3105&lt;46,'General Basis'!$B$45,IF(G3105&lt;51,'General Basis'!$B$46,IF(G3105&lt;56,'General Basis'!$B$47,IF(G3105&lt;60,'General Basis'!$B$48,IF(G3105&lt;65,'General Basis'!$B$49,'General Basis'!$B$50)))))))))))))</f>
        <v/>
      </c>
      <c r="BI3105" s="744" t="str">
        <f t="shared" si="1083"/>
        <v/>
      </c>
      <c r="BJ3105" s="747" t="str">
        <f t="shared" si="1090"/>
        <v/>
      </c>
      <c r="BK3105" s="498" t="str">
        <f t="shared" si="1084"/>
        <v/>
      </c>
      <c r="BL3105" s="498" t="str">
        <f t="shared" si="1085"/>
        <v/>
      </c>
    </row>
    <row r="3106" spans="1:64" x14ac:dyDescent="0.25">
      <c r="A3106" s="762">
        <f t="shared" si="1086"/>
        <v>3101</v>
      </c>
      <c r="B3106" s="229"/>
      <c r="C3106" s="223"/>
      <c r="D3106" s="224"/>
      <c r="E3106" s="225"/>
      <c r="F3106" s="1036" t="str">
        <f t="shared" si="1092"/>
        <v/>
      </c>
      <c r="G3106" s="1037" t="str">
        <f t="shared" si="1087"/>
        <v/>
      </c>
      <c r="H3106" s="225"/>
      <c r="I3106" s="1013"/>
      <c r="J3106" s="1013"/>
      <c r="K3106" s="1028"/>
      <c r="L3106" s="1035" t="str">
        <f t="shared" si="1091"/>
        <v/>
      </c>
      <c r="S3106" s="498"/>
      <c r="AJ3106" s="498"/>
      <c r="AM3106" s="498">
        <f t="shared" si="1072"/>
        <v>0</v>
      </c>
      <c r="AN3106" s="498">
        <f t="shared" si="1073"/>
        <v>0</v>
      </c>
      <c r="AO3106" s="498">
        <f t="shared" si="1074"/>
        <v>0</v>
      </c>
      <c r="AP3106" s="498">
        <f t="shared" si="1093"/>
        <v>0</v>
      </c>
      <c r="AQ3106" s="498">
        <f t="shared" si="1088"/>
        <v>0</v>
      </c>
      <c r="AU3106" s="498">
        <f t="shared" si="1075"/>
        <v>0</v>
      </c>
      <c r="AV3106" s="498">
        <f t="shared" si="1076"/>
        <v>0</v>
      </c>
      <c r="AW3106" s="498">
        <f t="shared" si="1077"/>
        <v>0</v>
      </c>
      <c r="AX3106" s="498">
        <f t="shared" si="1078"/>
        <v>0</v>
      </c>
      <c r="AY3106" s="498">
        <f t="shared" si="1079"/>
        <v>0</v>
      </c>
      <c r="BB3106" s="498" t="str">
        <f t="shared" si="1080"/>
        <v/>
      </c>
      <c r="BC3106" s="743" t="str">
        <f t="shared" si="1081"/>
        <v/>
      </c>
      <c r="BD3106" s="743" t="str">
        <f t="shared" si="1082"/>
        <v/>
      </c>
      <c r="BE3106" s="743" t="str">
        <f>IF(D3106="","",VLOOKUP(D3106,'General Basis'!$J$39:$K$46,2,0))</f>
        <v/>
      </c>
      <c r="BF3106" s="744" t="str">
        <f>IF(D3106="","",VLOOKUP(D3106,'General Basis'!$J$39:$L$46,3,0))</f>
        <v/>
      </c>
      <c r="BG3106" s="744" t="str">
        <f t="shared" si="1089"/>
        <v/>
      </c>
      <c r="BH3106" s="744" t="str">
        <f>IF(G3106="","",IF(BF3106="Abu Dhabi",IF(G3106&lt;18,'General Basis'!$C$39,IF(G3106&lt;41,'General Basis'!$C$40,IF(G3106&lt;60,'General Basis'!$C$41,IF(G3106&lt;65,'General Basis'!$C$42,'General Basis'!$C$43)))),IF(G3106&lt;11,'General Basis'!$B$39,IF(G3106&lt;18,'General Basis'!$B$40,IF(G3106&lt;26,'General Basis'!$B$41,IF(G3106&lt;31,'General Basis'!$B$42,IF(G3106&lt;36,'General Basis'!$B$43,IF(G3106&lt;41,'General Basis'!$B$44,IF(G3106&lt;46,'General Basis'!$B$45,IF(G3106&lt;51,'General Basis'!$B$46,IF(G3106&lt;56,'General Basis'!$B$47,IF(G3106&lt;60,'General Basis'!$B$48,IF(G3106&lt;65,'General Basis'!$B$49,'General Basis'!$B$50)))))))))))))</f>
        <v/>
      </c>
      <c r="BI3106" s="744" t="str">
        <f t="shared" si="1083"/>
        <v/>
      </c>
      <c r="BJ3106" s="747" t="str">
        <f t="shared" si="1090"/>
        <v/>
      </c>
      <c r="BK3106" s="498" t="str">
        <f t="shared" si="1084"/>
        <v/>
      </c>
      <c r="BL3106" s="498" t="str">
        <f t="shared" si="1085"/>
        <v/>
      </c>
    </row>
    <row r="3107" spans="1:64" x14ac:dyDescent="0.25">
      <c r="A3107" s="762">
        <f t="shared" si="1086"/>
        <v>3102</v>
      </c>
      <c r="B3107" s="229"/>
      <c r="C3107" s="223"/>
      <c r="D3107" s="224"/>
      <c r="E3107" s="225"/>
      <c r="F3107" s="1036" t="str">
        <f t="shared" si="1092"/>
        <v/>
      </c>
      <c r="G3107" s="1037" t="str">
        <f t="shared" si="1087"/>
        <v/>
      </c>
      <c r="H3107" s="225"/>
      <c r="I3107" s="1013"/>
      <c r="J3107" s="1013"/>
      <c r="K3107" s="1028"/>
      <c r="L3107" s="1035" t="str">
        <f t="shared" si="1091"/>
        <v/>
      </c>
      <c r="S3107" s="498"/>
      <c r="AJ3107" s="498"/>
      <c r="AM3107" s="498">
        <f t="shared" si="1072"/>
        <v>0</v>
      </c>
      <c r="AN3107" s="498">
        <f t="shared" si="1073"/>
        <v>0</v>
      </c>
      <c r="AO3107" s="498">
        <f t="shared" si="1074"/>
        <v>0</v>
      </c>
      <c r="AP3107" s="498">
        <f t="shared" si="1093"/>
        <v>0</v>
      </c>
      <c r="AQ3107" s="498">
        <f t="shared" si="1088"/>
        <v>0</v>
      </c>
      <c r="AU3107" s="498">
        <f t="shared" si="1075"/>
        <v>0</v>
      </c>
      <c r="AV3107" s="498">
        <f t="shared" si="1076"/>
        <v>0</v>
      </c>
      <c r="AW3107" s="498">
        <f t="shared" si="1077"/>
        <v>0</v>
      </c>
      <c r="AX3107" s="498">
        <f t="shared" si="1078"/>
        <v>0</v>
      </c>
      <c r="AY3107" s="498">
        <f t="shared" si="1079"/>
        <v>0</v>
      </c>
      <c r="BB3107" s="498" t="str">
        <f t="shared" si="1080"/>
        <v/>
      </c>
      <c r="BC3107" s="743" t="str">
        <f t="shared" si="1081"/>
        <v/>
      </c>
      <c r="BD3107" s="743" t="str">
        <f t="shared" si="1082"/>
        <v/>
      </c>
      <c r="BE3107" s="743" t="str">
        <f>IF(D3107="","",VLOOKUP(D3107,'General Basis'!$J$39:$K$46,2,0))</f>
        <v/>
      </c>
      <c r="BF3107" s="744" t="str">
        <f>IF(D3107="","",VLOOKUP(D3107,'General Basis'!$J$39:$L$46,3,0))</f>
        <v/>
      </c>
      <c r="BG3107" s="744" t="str">
        <f t="shared" si="1089"/>
        <v/>
      </c>
      <c r="BH3107" s="744" t="str">
        <f>IF(G3107="","",IF(BF3107="Abu Dhabi",IF(G3107&lt;18,'General Basis'!$C$39,IF(G3107&lt;41,'General Basis'!$C$40,IF(G3107&lt;60,'General Basis'!$C$41,IF(G3107&lt;65,'General Basis'!$C$42,'General Basis'!$C$43)))),IF(G3107&lt;11,'General Basis'!$B$39,IF(G3107&lt;18,'General Basis'!$B$40,IF(G3107&lt;26,'General Basis'!$B$41,IF(G3107&lt;31,'General Basis'!$B$42,IF(G3107&lt;36,'General Basis'!$B$43,IF(G3107&lt;41,'General Basis'!$B$44,IF(G3107&lt;46,'General Basis'!$B$45,IF(G3107&lt;51,'General Basis'!$B$46,IF(G3107&lt;56,'General Basis'!$B$47,IF(G3107&lt;60,'General Basis'!$B$48,IF(G3107&lt;65,'General Basis'!$B$49,'General Basis'!$B$50)))))))))))))</f>
        <v/>
      </c>
      <c r="BI3107" s="744" t="str">
        <f t="shared" si="1083"/>
        <v/>
      </c>
      <c r="BJ3107" s="747" t="str">
        <f t="shared" si="1090"/>
        <v/>
      </c>
      <c r="BK3107" s="498" t="str">
        <f t="shared" si="1084"/>
        <v/>
      </c>
      <c r="BL3107" s="498" t="str">
        <f t="shared" si="1085"/>
        <v/>
      </c>
    </row>
    <row r="3108" spans="1:64" x14ac:dyDescent="0.25">
      <c r="A3108" s="762">
        <f t="shared" si="1086"/>
        <v>3103</v>
      </c>
      <c r="B3108" s="229"/>
      <c r="C3108" s="223"/>
      <c r="D3108" s="224"/>
      <c r="E3108" s="225"/>
      <c r="F3108" s="1036" t="str">
        <f t="shared" si="1092"/>
        <v/>
      </c>
      <c r="G3108" s="1037" t="str">
        <f t="shared" si="1087"/>
        <v/>
      </c>
      <c r="H3108" s="225"/>
      <c r="I3108" s="1013"/>
      <c r="J3108" s="1013"/>
      <c r="K3108" s="1028"/>
      <c r="L3108" s="1035" t="str">
        <f t="shared" si="1091"/>
        <v/>
      </c>
      <c r="S3108" s="498"/>
      <c r="AJ3108" s="498"/>
      <c r="AM3108" s="498">
        <f t="shared" si="1072"/>
        <v>0</v>
      </c>
      <c r="AN3108" s="498">
        <f t="shared" si="1073"/>
        <v>0</v>
      </c>
      <c r="AO3108" s="498">
        <f t="shared" si="1074"/>
        <v>0</v>
      </c>
      <c r="AP3108" s="498">
        <f t="shared" si="1093"/>
        <v>0</v>
      </c>
      <c r="AQ3108" s="498">
        <f t="shared" si="1088"/>
        <v>0</v>
      </c>
      <c r="AU3108" s="498">
        <f t="shared" si="1075"/>
        <v>0</v>
      </c>
      <c r="AV3108" s="498">
        <f t="shared" si="1076"/>
        <v>0</v>
      </c>
      <c r="AW3108" s="498">
        <f t="shared" si="1077"/>
        <v>0</v>
      </c>
      <c r="AX3108" s="498">
        <f t="shared" si="1078"/>
        <v>0</v>
      </c>
      <c r="AY3108" s="498">
        <f t="shared" si="1079"/>
        <v>0</v>
      </c>
      <c r="BB3108" s="498" t="str">
        <f t="shared" si="1080"/>
        <v/>
      </c>
      <c r="BC3108" s="743" t="str">
        <f t="shared" si="1081"/>
        <v/>
      </c>
      <c r="BD3108" s="743" t="str">
        <f t="shared" si="1082"/>
        <v/>
      </c>
      <c r="BE3108" s="743" t="str">
        <f>IF(D3108="","",VLOOKUP(D3108,'General Basis'!$J$39:$K$46,2,0))</f>
        <v/>
      </c>
      <c r="BF3108" s="744" t="str">
        <f>IF(D3108="","",VLOOKUP(D3108,'General Basis'!$J$39:$L$46,3,0))</f>
        <v/>
      </c>
      <c r="BG3108" s="744" t="str">
        <f t="shared" si="1089"/>
        <v/>
      </c>
      <c r="BH3108" s="744" t="str">
        <f>IF(G3108="","",IF(BF3108="Abu Dhabi",IF(G3108&lt;18,'General Basis'!$C$39,IF(G3108&lt;41,'General Basis'!$C$40,IF(G3108&lt;60,'General Basis'!$C$41,IF(G3108&lt;65,'General Basis'!$C$42,'General Basis'!$C$43)))),IF(G3108&lt;11,'General Basis'!$B$39,IF(G3108&lt;18,'General Basis'!$B$40,IF(G3108&lt;26,'General Basis'!$B$41,IF(G3108&lt;31,'General Basis'!$B$42,IF(G3108&lt;36,'General Basis'!$B$43,IF(G3108&lt;41,'General Basis'!$B$44,IF(G3108&lt;46,'General Basis'!$B$45,IF(G3108&lt;51,'General Basis'!$B$46,IF(G3108&lt;56,'General Basis'!$B$47,IF(G3108&lt;60,'General Basis'!$B$48,IF(G3108&lt;65,'General Basis'!$B$49,'General Basis'!$B$50)))))))))))))</f>
        <v/>
      </c>
      <c r="BI3108" s="744" t="str">
        <f t="shared" si="1083"/>
        <v/>
      </c>
      <c r="BJ3108" s="747" t="str">
        <f t="shared" si="1090"/>
        <v/>
      </c>
      <c r="BK3108" s="498" t="str">
        <f t="shared" si="1084"/>
        <v/>
      </c>
      <c r="BL3108" s="498" t="str">
        <f t="shared" si="1085"/>
        <v/>
      </c>
    </row>
    <row r="3109" spans="1:64" x14ac:dyDescent="0.25">
      <c r="A3109" s="762">
        <f t="shared" si="1086"/>
        <v>3104</v>
      </c>
      <c r="B3109" s="229"/>
      <c r="C3109" s="223"/>
      <c r="D3109" s="224"/>
      <c r="E3109" s="225"/>
      <c r="F3109" s="1036" t="str">
        <f t="shared" si="1092"/>
        <v/>
      </c>
      <c r="G3109" s="1037" t="str">
        <f t="shared" si="1087"/>
        <v/>
      </c>
      <c r="H3109" s="225"/>
      <c r="I3109" s="1013"/>
      <c r="J3109" s="1013"/>
      <c r="K3109" s="1028"/>
      <c r="L3109" s="1035" t="str">
        <f t="shared" si="1091"/>
        <v/>
      </c>
      <c r="S3109" s="498"/>
      <c r="AJ3109" s="498"/>
      <c r="AM3109" s="498">
        <f t="shared" si="1072"/>
        <v>0</v>
      </c>
      <c r="AN3109" s="498">
        <f t="shared" si="1073"/>
        <v>0</v>
      </c>
      <c r="AO3109" s="498">
        <f t="shared" si="1074"/>
        <v>0</v>
      </c>
      <c r="AP3109" s="498">
        <f t="shared" si="1093"/>
        <v>0</v>
      </c>
      <c r="AQ3109" s="498">
        <f t="shared" si="1088"/>
        <v>0</v>
      </c>
      <c r="AU3109" s="498">
        <f t="shared" si="1075"/>
        <v>0</v>
      </c>
      <c r="AV3109" s="498">
        <f t="shared" si="1076"/>
        <v>0</v>
      </c>
      <c r="AW3109" s="498">
        <f t="shared" si="1077"/>
        <v>0</v>
      </c>
      <c r="AX3109" s="498">
        <f t="shared" si="1078"/>
        <v>0</v>
      </c>
      <c r="AY3109" s="498">
        <f t="shared" si="1079"/>
        <v>0</v>
      </c>
      <c r="BB3109" s="498" t="str">
        <f t="shared" si="1080"/>
        <v/>
      </c>
      <c r="BC3109" s="743" t="str">
        <f t="shared" si="1081"/>
        <v/>
      </c>
      <c r="BD3109" s="743" t="str">
        <f t="shared" si="1082"/>
        <v/>
      </c>
      <c r="BE3109" s="743" t="str">
        <f>IF(D3109="","",VLOOKUP(D3109,'General Basis'!$J$39:$K$46,2,0))</f>
        <v/>
      </c>
      <c r="BF3109" s="744" t="str">
        <f>IF(D3109="","",VLOOKUP(D3109,'General Basis'!$J$39:$L$46,3,0))</f>
        <v/>
      </c>
      <c r="BG3109" s="744" t="str">
        <f t="shared" si="1089"/>
        <v/>
      </c>
      <c r="BH3109" s="744" t="str">
        <f>IF(G3109="","",IF(BF3109="Abu Dhabi",IF(G3109&lt;18,'General Basis'!$C$39,IF(G3109&lt;41,'General Basis'!$C$40,IF(G3109&lt;60,'General Basis'!$C$41,IF(G3109&lt;65,'General Basis'!$C$42,'General Basis'!$C$43)))),IF(G3109&lt;11,'General Basis'!$B$39,IF(G3109&lt;18,'General Basis'!$B$40,IF(G3109&lt;26,'General Basis'!$B$41,IF(G3109&lt;31,'General Basis'!$B$42,IF(G3109&lt;36,'General Basis'!$B$43,IF(G3109&lt;41,'General Basis'!$B$44,IF(G3109&lt;46,'General Basis'!$B$45,IF(G3109&lt;51,'General Basis'!$B$46,IF(G3109&lt;56,'General Basis'!$B$47,IF(G3109&lt;60,'General Basis'!$B$48,IF(G3109&lt;65,'General Basis'!$B$49,'General Basis'!$B$50)))))))))))))</f>
        <v/>
      </c>
      <c r="BI3109" s="744" t="str">
        <f t="shared" si="1083"/>
        <v/>
      </c>
      <c r="BJ3109" s="747" t="str">
        <f t="shared" si="1090"/>
        <v/>
      </c>
      <c r="BK3109" s="498" t="str">
        <f t="shared" si="1084"/>
        <v/>
      </c>
      <c r="BL3109" s="498" t="str">
        <f t="shared" si="1085"/>
        <v/>
      </c>
    </row>
    <row r="3110" spans="1:64" x14ac:dyDescent="0.25">
      <c r="A3110" s="762">
        <f t="shared" si="1086"/>
        <v>3105</v>
      </c>
      <c r="B3110" s="229"/>
      <c r="C3110" s="223"/>
      <c r="D3110" s="224"/>
      <c r="E3110" s="225"/>
      <c r="F3110" s="1036" t="str">
        <f t="shared" si="1092"/>
        <v/>
      </c>
      <c r="G3110" s="1037" t="str">
        <f t="shared" si="1087"/>
        <v/>
      </c>
      <c r="H3110" s="225"/>
      <c r="I3110" s="1013"/>
      <c r="J3110" s="1013"/>
      <c r="K3110" s="1028"/>
      <c r="L3110" s="1035" t="str">
        <f t="shared" si="1091"/>
        <v/>
      </c>
      <c r="S3110" s="498"/>
      <c r="AJ3110" s="498"/>
      <c r="AM3110" s="498">
        <f t="shared" si="1072"/>
        <v>0</v>
      </c>
      <c r="AN3110" s="498">
        <f t="shared" si="1073"/>
        <v>0</v>
      </c>
      <c r="AO3110" s="498">
        <f t="shared" si="1074"/>
        <v>0</v>
      </c>
      <c r="AP3110" s="498">
        <f t="shared" si="1093"/>
        <v>0</v>
      </c>
      <c r="AQ3110" s="498">
        <f t="shared" si="1088"/>
        <v>0</v>
      </c>
      <c r="AU3110" s="498">
        <f t="shared" si="1075"/>
        <v>0</v>
      </c>
      <c r="AV3110" s="498">
        <f t="shared" si="1076"/>
        <v>0</v>
      </c>
      <c r="AW3110" s="498">
        <f t="shared" si="1077"/>
        <v>0</v>
      </c>
      <c r="AX3110" s="498">
        <f t="shared" si="1078"/>
        <v>0</v>
      </c>
      <c r="AY3110" s="498">
        <f t="shared" si="1079"/>
        <v>0</v>
      </c>
      <c r="BB3110" s="498" t="str">
        <f t="shared" si="1080"/>
        <v/>
      </c>
      <c r="BC3110" s="743" t="str">
        <f t="shared" si="1081"/>
        <v/>
      </c>
      <c r="BD3110" s="743" t="str">
        <f t="shared" si="1082"/>
        <v/>
      </c>
      <c r="BE3110" s="743" t="str">
        <f>IF(D3110="","",VLOOKUP(D3110,'General Basis'!$J$39:$K$46,2,0))</f>
        <v/>
      </c>
      <c r="BF3110" s="744" t="str">
        <f>IF(D3110="","",VLOOKUP(D3110,'General Basis'!$J$39:$L$46,3,0))</f>
        <v/>
      </c>
      <c r="BG3110" s="744" t="str">
        <f t="shared" si="1089"/>
        <v/>
      </c>
      <c r="BH3110" s="744" t="str">
        <f>IF(G3110="","",IF(BF3110="Abu Dhabi",IF(G3110&lt;18,'General Basis'!$C$39,IF(G3110&lt;41,'General Basis'!$C$40,IF(G3110&lt;60,'General Basis'!$C$41,IF(G3110&lt;65,'General Basis'!$C$42,'General Basis'!$C$43)))),IF(G3110&lt;11,'General Basis'!$B$39,IF(G3110&lt;18,'General Basis'!$B$40,IF(G3110&lt;26,'General Basis'!$B$41,IF(G3110&lt;31,'General Basis'!$B$42,IF(G3110&lt;36,'General Basis'!$B$43,IF(G3110&lt;41,'General Basis'!$B$44,IF(G3110&lt;46,'General Basis'!$B$45,IF(G3110&lt;51,'General Basis'!$B$46,IF(G3110&lt;56,'General Basis'!$B$47,IF(G3110&lt;60,'General Basis'!$B$48,IF(G3110&lt;65,'General Basis'!$B$49,'General Basis'!$B$50)))))))))))))</f>
        <v/>
      </c>
      <c r="BI3110" s="744" t="str">
        <f t="shared" si="1083"/>
        <v/>
      </c>
      <c r="BJ3110" s="747" t="str">
        <f t="shared" si="1090"/>
        <v/>
      </c>
      <c r="BK3110" s="498" t="str">
        <f t="shared" si="1084"/>
        <v/>
      </c>
      <c r="BL3110" s="498" t="str">
        <f t="shared" si="1085"/>
        <v/>
      </c>
    </row>
    <row r="3111" spans="1:64" x14ac:dyDescent="0.25">
      <c r="A3111" s="762">
        <f t="shared" si="1086"/>
        <v>3106</v>
      </c>
      <c r="B3111" s="229"/>
      <c r="C3111" s="223"/>
      <c r="D3111" s="224"/>
      <c r="E3111" s="225"/>
      <c r="F3111" s="1036" t="str">
        <f t="shared" si="1092"/>
        <v/>
      </c>
      <c r="G3111" s="1037" t="str">
        <f t="shared" si="1087"/>
        <v/>
      </c>
      <c r="H3111" s="225"/>
      <c r="I3111" s="1013"/>
      <c r="J3111" s="1013"/>
      <c r="K3111" s="1028"/>
      <c r="L3111" s="1035" t="str">
        <f t="shared" si="1091"/>
        <v/>
      </c>
      <c r="S3111" s="498"/>
      <c r="AJ3111" s="498"/>
      <c r="AM3111" s="498">
        <f t="shared" si="1072"/>
        <v>0</v>
      </c>
      <c r="AN3111" s="498">
        <f t="shared" si="1073"/>
        <v>0</v>
      </c>
      <c r="AO3111" s="498">
        <f t="shared" si="1074"/>
        <v>0</v>
      </c>
      <c r="AP3111" s="498">
        <f t="shared" si="1093"/>
        <v>0</v>
      </c>
      <c r="AQ3111" s="498">
        <f t="shared" si="1088"/>
        <v>0</v>
      </c>
      <c r="AU3111" s="498">
        <f t="shared" si="1075"/>
        <v>0</v>
      </c>
      <c r="AV3111" s="498">
        <f t="shared" si="1076"/>
        <v>0</v>
      </c>
      <c r="AW3111" s="498">
        <f t="shared" si="1077"/>
        <v>0</v>
      </c>
      <c r="AX3111" s="498">
        <f t="shared" si="1078"/>
        <v>0</v>
      </c>
      <c r="AY3111" s="498">
        <f t="shared" si="1079"/>
        <v>0</v>
      </c>
      <c r="BB3111" s="498" t="str">
        <f t="shared" si="1080"/>
        <v/>
      </c>
      <c r="BC3111" s="743" t="str">
        <f t="shared" si="1081"/>
        <v/>
      </c>
      <c r="BD3111" s="743" t="str">
        <f t="shared" si="1082"/>
        <v/>
      </c>
      <c r="BE3111" s="743" t="str">
        <f>IF(D3111="","",VLOOKUP(D3111,'General Basis'!$J$39:$K$46,2,0))</f>
        <v/>
      </c>
      <c r="BF3111" s="744" t="str">
        <f>IF(D3111="","",VLOOKUP(D3111,'General Basis'!$J$39:$L$46,3,0))</f>
        <v/>
      </c>
      <c r="BG3111" s="744" t="str">
        <f t="shared" si="1089"/>
        <v/>
      </c>
      <c r="BH3111" s="744" t="str">
        <f>IF(G3111="","",IF(BF3111="Abu Dhabi",IF(G3111&lt;18,'General Basis'!$C$39,IF(G3111&lt;41,'General Basis'!$C$40,IF(G3111&lt;60,'General Basis'!$C$41,IF(G3111&lt;65,'General Basis'!$C$42,'General Basis'!$C$43)))),IF(G3111&lt;11,'General Basis'!$B$39,IF(G3111&lt;18,'General Basis'!$B$40,IF(G3111&lt;26,'General Basis'!$B$41,IF(G3111&lt;31,'General Basis'!$B$42,IF(G3111&lt;36,'General Basis'!$B$43,IF(G3111&lt;41,'General Basis'!$B$44,IF(G3111&lt;46,'General Basis'!$B$45,IF(G3111&lt;51,'General Basis'!$B$46,IF(G3111&lt;56,'General Basis'!$B$47,IF(G3111&lt;60,'General Basis'!$B$48,IF(G3111&lt;65,'General Basis'!$B$49,'General Basis'!$B$50)))))))))))))</f>
        <v/>
      </c>
      <c r="BI3111" s="744" t="str">
        <f t="shared" si="1083"/>
        <v/>
      </c>
      <c r="BJ3111" s="747" t="str">
        <f t="shared" si="1090"/>
        <v/>
      </c>
      <c r="BK3111" s="498" t="str">
        <f t="shared" si="1084"/>
        <v/>
      </c>
      <c r="BL3111" s="498" t="str">
        <f t="shared" si="1085"/>
        <v/>
      </c>
    </row>
    <row r="3112" spans="1:64" x14ac:dyDescent="0.25">
      <c r="A3112" s="762">
        <f t="shared" si="1086"/>
        <v>3107</v>
      </c>
      <c r="B3112" s="229"/>
      <c r="C3112" s="223"/>
      <c r="D3112" s="224"/>
      <c r="E3112" s="225"/>
      <c r="F3112" s="1036" t="str">
        <f t="shared" si="1092"/>
        <v/>
      </c>
      <c r="G3112" s="1037" t="str">
        <f t="shared" si="1087"/>
        <v/>
      </c>
      <c r="H3112" s="225"/>
      <c r="I3112" s="1013"/>
      <c r="J3112" s="1013"/>
      <c r="K3112" s="1028"/>
      <c r="L3112" s="1035" t="str">
        <f t="shared" si="1091"/>
        <v/>
      </c>
      <c r="S3112" s="498"/>
      <c r="AJ3112" s="498"/>
      <c r="AM3112" s="498">
        <f t="shared" si="1072"/>
        <v>0</v>
      </c>
      <c r="AN3112" s="498">
        <f t="shared" si="1073"/>
        <v>0</v>
      </c>
      <c r="AO3112" s="498">
        <f t="shared" si="1074"/>
        <v>0</v>
      </c>
      <c r="AP3112" s="498">
        <f t="shared" si="1093"/>
        <v>0</v>
      </c>
      <c r="AQ3112" s="498">
        <f t="shared" si="1088"/>
        <v>0</v>
      </c>
      <c r="AU3112" s="498">
        <f t="shared" si="1075"/>
        <v>0</v>
      </c>
      <c r="AV3112" s="498">
        <f t="shared" si="1076"/>
        <v>0</v>
      </c>
      <c r="AW3112" s="498">
        <f t="shared" si="1077"/>
        <v>0</v>
      </c>
      <c r="AX3112" s="498">
        <f t="shared" si="1078"/>
        <v>0</v>
      </c>
      <c r="AY3112" s="498">
        <f t="shared" si="1079"/>
        <v>0</v>
      </c>
      <c r="BB3112" s="498" t="str">
        <f t="shared" si="1080"/>
        <v/>
      </c>
      <c r="BC3112" s="743" t="str">
        <f t="shared" si="1081"/>
        <v/>
      </c>
      <c r="BD3112" s="743" t="str">
        <f t="shared" si="1082"/>
        <v/>
      </c>
      <c r="BE3112" s="743" t="str">
        <f>IF(D3112="","",VLOOKUP(D3112,'General Basis'!$J$39:$K$46,2,0))</f>
        <v/>
      </c>
      <c r="BF3112" s="744" t="str">
        <f>IF(D3112="","",VLOOKUP(D3112,'General Basis'!$J$39:$L$46,3,0))</f>
        <v/>
      </c>
      <c r="BG3112" s="744" t="str">
        <f t="shared" si="1089"/>
        <v/>
      </c>
      <c r="BH3112" s="744" t="str">
        <f>IF(G3112="","",IF(BF3112="Abu Dhabi",IF(G3112&lt;18,'General Basis'!$C$39,IF(G3112&lt;41,'General Basis'!$C$40,IF(G3112&lt;60,'General Basis'!$C$41,IF(G3112&lt;65,'General Basis'!$C$42,'General Basis'!$C$43)))),IF(G3112&lt;11,'General Basis'!$B$39,IF(G3112&lt;18,'General Basis'!$B$40,IF(G3112&lt;26,'General Basis'!$B$41,IF(G3112&lt;31,'General Basis'!$B$42,IF(G3112&lt;36,'General Basis'!$B$43,IF(G3112&lt;41,'General Basis'!$B$44,IF(G3112&lt;46,'General Basis'!$B$45,IF(G3112&lt;51,'General Basis'!$B$46,IF(G3112&lt;56,'General Basis'!$B$47,IF(G3112&lt;60,'General Basis'!$B$48,IF(G3112&lt;65,'General Basis'!$B$49,'General Basis'!$B$50)))))))))))))</f>
        <v/>
      </c>
      <c r="BI3112" s="744" t="str">
        <f t="shared" si="1083"/>
        <v/>
      </c>
      <c r="BJ3112" s="747" t="str">
        <f t="shared" si="1090"/>
        <v/>
      </c>
      <c r="BK3112" s="498" t="str">
        <f t="shared" si="1084"/>
        <v/>
      </c>
      <c r="BL3112" s="498" t="str">
        <f t="shared" si="1085"/>
        <v/>
      </c>
    </row>
    <row r="3113" spans="1:64" x14ac:dyDescent="0.25">
      <c r="A3113" s="762">
        <f t="shared" si="1086"/>
        <v>3108</v>
      </c>
      <c r="B3113" s="229"/>
      <c r="C3113" s="223"/>
      <c r="D3113" s="224"/>
      <c r="E3113" s="225"/>
      <c r="F3113" s="1036" t="str">
        <f t="shared" si="1092"/>
        <v/>
      </c>
      <c r="G3113" s="1037" t="str">
        <f t="shared" si="1087"/>
        <v/>
      </c>
      <c r="H3113" s="225"/>
      <c r="I3113" s="1013"/>
      <c r="J3113" s="1013"/>
      <c r="K3113" s="1028"/>
      <c r="L3113" s="1035" t="str">
        <f t="shared" si="1091"/>
        <v/>
      </c>
      <c r="S3113" s="498"/>
      <c r="AJ3113" s="498"/>
      <c r="AM3113" s="498">
        <f t="shared" si="1072"/>
        <v>0</v>
      </c>
      <c r="AN3113" s="498">
        <f t="shared" si="1073"/>
        <v>0</v>
      </c>
      <c r="AO3113" s="498">
        <f t="shared" si="1074"/>
        <v>0</v>
      </c>
      <c r="AP3113" s="498">
        <f t="shared" si="1093"/>
        <v>0</v>
      </c>
      <c r="AQ3113" s="498">
        <f t="shared" si="1088"/>
        <v>0</v>
      </c>
      <c r="AU3113" s="498">
        <f t="shared" si="1075"/>
        <v>0</v>
      </c>
      <c r="AV3113" s="498">
        <f t="shared" si="1076"/>
        <v>0</v>
      </c>
      <c r="AW3113" s="498">
        <f t="shared" si="1077"/>
        <v>0</v>
      </c>
      <c r="AX3113" s="498">
        <f t="shared" si="1078"/>
        <v>0</v>
      </c>
      <c r="AY3113" s="498">
        <f t="shared" si="1079"/>
        <v>0</v>
      </c>
      <c r="BB3113" s="498" t="str">
        <f t="shared" si="1080"/>
        <v/>
      </c>
      <c r="BC3113" s="743" t="str">
        <f t="shared" si="1081"/>
        <v/>
      </c>
      <c r="BD3113" s="743" t="str">
        <f t="shared" si="1082"/>
        <v/>
      </c>
      <c r="BE3113" s="743" t="str">
        <f>IF(D3113="","",VLOOKUP(D3113,'General Basis'!$J$39:$K$46,2,0))</f>
        <v/>
      </c>
      <c r="BF3113" s="744" t="str">
        <f>IF(D3113="","",VLOOKUP(D3113,'General Basis'!$J$39:$L$46,3,0))</f>
        <v/>
      </c>
      <c r="BG3113" s="744" t="str">
        <f t="shared" si="1089"/>
        <v/>
      </c>
      <c r="BH3113" s="744" t="str">
        <f>IF(G3113="","",IF(BF3113="Abu Dhabi",IF(G3113&lt;18,'General Basis'!$C$39,IF(G3113&lt;41,'General Basis'!$C$40,IF(G3113&lt;60,'General Basis'!$C$41,IF(G3113&lt;65,'General Basis'!$C$42,'General Basis'!$C$43)))),IF(G3113&lt;11,'General Basis'!$B$39,IF(G3113&lt;18,'General Basis'!$B$40,IF(G3113&lt;26,'General Basis'!$B$41,IF(G3113&lt;31,'General Basis'!$B$42,IF(G3113&lt;36,'General Basis'!$B$43,IF(G3113&lt;41,'General Basis'!$B$44,IF(G3113&lt;46,'General Basis'!$B$45,IF(G3113&lt;51,'General Basis'!$B$46,IF(G3113&lt;56,'General Basis'!$B$47,IF(G3113&lt;60,'General Basis'!$B$48,IF(G3113&lt;65,'General Basis'!$B$49,'General Basis'!$B$50)))))))))))))</f>
        <v/>
      </c>
      <c r="BI3113" s="744" t="str">
        <f t="shared" si="1083"/>
        <v/>
      </c>
      <c r="BJ3113" s="747" t="str">
        <f t="shared" si="1090"/>
        <v/>
      </c>
      <c r="BK3113" s="498" t="str">
        <f t="shared" si="1084"/>
        <v/>
      </c>
      <c r="BL3113" s="498" t="str">
        <f t="shared" si="1085"/>
        <v/>
      </c>
    </row>
    <row r="3114" spans="1:64" x14ac:dyDescent="0.25">
      <c r="A3114" s="762">
        <f t="shared" si="1086"/>
        <v>3109</v>
      </c>
      <c r="B3114" s="229"/>
      <c r="C3114" s="223"/>
      <c r="D3114" s="224"/>
      <c r="E3114" s="225"/>
      <c r="F3114" s="1036" t="str">
        <f t="shared" si="1092"/>
        <v/>
      </c>
      <c r="G3114" s="1037" t="str">
        <f t="shared" si="1087"/>
        <v/>
      </c>
      <c r="H3114" s="225"/>
      <c r="I3114" s="1013"/>
      <c r="J3114" s="1013"/>
      <c r="K3114" s="1028"/>
      <c r="L3114" s="1035" t="str">
        <f t="shared" si="1091"/>
        <v/>
      </c>
      <c r="S3114" s="498"/>
      <c r="AJ3114" s="498"/>
      <c r="AM3114" s="498">
        <f t="shared" si="1072"/>
        <v>0</v>
      </c>
      <c r="AN3114" s="498">
        <f t="shared" si="1073"/>
        <v>0</v>
      </c>
      <c r="AO3114" s="498">
        <f t="shared" si="1074"/>
        <v>0</v>
      </c>
      <c r="AP3114" s="498">
        <f t="shared" si="1093"/>
        <v>0</v>
      </c>
      <c r="AQ3114" s="498">
        <f t="shared" si="1088"/>
        <v>0</v>
      </c>
      <c r="AU3114" s="498">
        <f t="shared" si="1075"/>
        <v>0</v>
      </c>
      <c r="AV3114" s="498">
        <f t="shared" si="1076"/>
        <v>0</v>
      </c>
      <c r="AW3114" s="498">
        <f t="shared" si="1077"/>
        <v>0</v>
      </c>
      <c r="AX3114" s="498">
        <f t="shared" si="1078"/>
        <v>0</v>
      </c>
      <c r="AY3114" s="498">
        <f t="shared" si="1079"/>
        <v>0</v>
      </c>
      <c r="BB3114" s="498" t="str">
        <f t="shared" si="1080"/>
        <v/>
      </c>
      <c r="BC3114" s="743" t="str">
        <f t="shared" si="1081"/>
        <v/>
      </c>
      <c r="BD3114" s="743" t="str">
        <f t="shared" si="1082"/>
        <v/>
      </c>
      <c r="BE3114" s="743" t="str">
        <f>IF(D3114="","",VLOOKUP(D3114,'General Basis'!$J$39:$K$46,2,0))</f>
        <v/>
      </c>
      <c r="BF3114" s="744" t="str">
        <f>IF(D3114="","",VLOOKUP(D3114,'General Basis'!$J$39:$L$46,3,0))</f>
        <v/>
      </c>
      <c r="BG3114" s="744" t="str">
        <f t="shared" si="1089"/>
        <v/>
      </c>
      <c r="BH3114" s="744" t="str">
        <f>IF(G3114="","",IF(BF3114="Abu Dhabi",IF(G3114&lt;18,'General Basis'!$C$39,IF(G3114&lt;41,'General Basis'!$C$40,IF(G3114&lt;60,'General Basis'!$C$41,IF(G3114&lt;65,'General Basis'!$C$42,'General Basis'!$C$43)))),IF(G3114&lt;11,'General Basis'!$B$39,IF(G3114&lt;18,'General Basis'!$B$40,IF(G3114&lt;26,'General Basis'!$B$41,IF(G3114&lt;31,'General Basis'!$B$42,IF(G3114&lt;36,'General Basis'!$B$43,IF(G3114&lt;41,'General Basis'!$B$44,IF(G3114&lt;46,'General Basis'!$B$45,IF(G3114&lt;51,'General Basis'!$B$46,IF(G3114&lt;56,'General Basis'!$B$47,IF(G3114&lt;60,'General Basis'!$B$48,IF(G3114&lt;65,'General Basis'!$B$49,'General Basis'!$B$50)))))))))))))</f>
        <v/>
      </c>
      <c r="BI3114" s="744" t="str">
        <f t="shared" si="1083"/>
        <v/>
      </c>
      <c r="BJ3114" s="747" t="str">
        <f t="shared" si="1090"/>
        <v/>
      </c>
      <c r="BK3114" s="498" t="str">
        <f t="shared" si="1084"/>
        <v/>
      </c>
      <c r="BL3114" s="498" t="str">
        <f t="shared" si="1085"/>
        <v/>
      </c>
    </row>
    <row r="3115" spans="1:64" x14ac:dyDescent="0.25">
      <c r="A3115" s="762">
        <f t="shared" si="1086"/>
        <v>3110</v>
      </c>
      <c r="B3115" s="229"/>
      <c r="C3115" s="223"/>
      <c r="D3115" s="224"/>
      <c r="E3115" s="225"/>
      <c r="F3115" s="1036" t="str">
        <f t="shared" si="1092"/>
        <v/>
      </c>
      <c r="G3115" s="1037" t="str">
        <f t="shared" si="1087"/>
        <v/>
      </c>
      <c r="H3115" s="225"/>
      <c r="I3115" s="1013"/>
      <c r="J3115" s="1013"/>
      <c r="K3115" s="1028"/>
      <c r="L3115" s="1035" t="str">
        <f t="shared" si="1091"/>
        <v/>
      </c>
      <c r="S3115" s="498"/>
      <c r="AJ3115" s="498"/>
      <c r="AM3115" s="498">
        <f t="shared" si="1072"/>
        <v>0</v>
      </c>
      <c r="AN3115" s="498">
        <f t="shared" si="1073"/>
        <v>0</v>
      </c>
      <c r="AO3115" s="498">
        <f t="shared" si="1074"/>
        <v>0</v>
      </c>
      <c r="AP3115" s="498">
        <f t="shared" si="1093"/>
        <v>0</v>
      </c>
      <c r="AQ3115" s="498">
        <f t="shared" si="1088"/>
        <v>0</v>
      </c>
      <c r="AU3115" s="498">
        <f t="shared" si="1075"/>
        <v>0</v>
      </c>
      <c r="AV3115" s="498">
        <f t="shared" si="1076"/>
        <v>0</v>
      </c>
      <c r="AW3115" s="498">
        <f t="shared" si="1077"/>
        <v>0</v>
      </c>
      <c r="AX3115" s="498">
        <f t="shared" si="1078"/>
        <v>0</v>
      </c>
      <c r="AY3115" s="498">
        <f t="shared" si="1079"/>
        <v>0</v>
      </c>
      <c r="BB3115" s="498" t="str">
        <f t="shared" si="1080"/>
        <v/>
      </c>
      <c r="BC3115" s="743" t="str">
        <f t="shared" si="1081"/>
        <v/>
      </c>
      <c r="BD3115" s="743" t="str">
        <f t="shared" si="1082"/>
        <v/>
      </c>
      <c r="BE3115" s="743" t="str">
        <f>IF(D3115="","",VLOOKUP(D3115,'General Basis'!$J$39:$K$46,2,0))</f>
        <v/>
      </c>
      <c r="BF3115" s="744" t="str">
        <f>IF(D3115="","",VLOOKUP(D3115,'General Basis'!$J$39:$L$46,3,0))</f>
        <v/>
      </c>
      <c r="BG3115" s="744" t="str">
        <f t="shared" si="1089"/>
        <v/>
      </c>
      <c r="BH3115" s="744" t="str">
        <f>IF(G3115="","",IF(BF3115="Abu Dhabi",IF(G3115&lt;18,'General Basis'!$C$39,IF(G3115&lt;41,'General Basis'!$C$40,IF(G3115&lt;60,'General Basis'!$C$41,IF(G3115&lt;65,'General Basis'!$C$42,'General Basis'!$C$43)))),IF(G3115&lt;11,'General Basis'!$B$39,IF(G3115&lt;18,'General Basis'!$B$40,IF(G3115&lt;26,'General Basis'!$B$41,IF(G3115&lt;31,'General Basis'!$B$42,IF(G3115&lt;36,'General Basis'!$B$43,IF(G3115&lt;41,'General Basis'!$B$44,IF(G3115&lt;46,'General Basis'!$B$45,IF(G3115&lt;51,'General Basis'!$B$46,IF(G3115&lt;56,'General Basis'!$B$47,IF(G3115&lt;60,'General Basis'!$B$48,IF(G3115&lt;65,'General Basis'!$B$49,'General Basis'!$B$50)))))))))))))</f>
        <v/>
      </c>
      <c r="BI3115" s="744" t="str">
        <f t="shared" si="1083"/>
        <v/>
      </c>
      <c r="BJ3115" s="747" t="str">
        <f t="shared" si="1090"/>
        <v/>
      </c>
      <c r="BK3115" s="498" t="str">
        <f t="shared" si="1084"/>
        <v/>
      </c>
      <c r="BL3115" s="498" t="str">
        <f t="shared" si="1085"/>
        <v/>
      </c>
    </row>
    <row r="3116" spans="1:64" x14ac:dyDescent="0.25">
      <c r="A3116" s="762">
        <f t="shared" si="1086"/>
        <v>3111</v>
      </c>
      <c r="B3116" s="229"/>
      <c r="C3116" s="223"/>
      <c r="D3116" s="224"/>
      <c r="E3116" s="225"/>
      <c r="F3116" s="1036" t="str">
        <f t="shared" si="1092"/>
        <v/>
      </c>
      <c r="G3116" s="1037" t="str">
        <f t="shared" si="1087"/>
        <v/>
      </c>
      <c r="H3116" s="225"/>
      <c r="I3116" s="1013"/>
      <c r="J3116" s="1013"/>
      <c r="K3116" s="1028"/>
      <c r="L3116" s="1035" t="str">
        <f t="shared" si="1091"/>
        <v/>
      </c>
      <c r="S3116" s="498"/>
      <c r="AJ3116" s="498"/>
      <c r="AM3116" s="498">
        <f t="shared" si="1072"/>
        <v>0</v>
      </c>
      <c r="AN3116" s="498">
        <f t="shared" si="1073"/>
        <v>0</v>
      </c>
      <c r="AO3116" s="498">
        <f t="shared" si="1074"/>
        <v>0</v>
      </c>
      <c r="AP3116" s="498">
        <f t="shared" si="1093"/>
        <v>0</v>
      </c>
      <c r="AQ3116" s="498">
        <f t="shared" si="1088"/>
        <v>0</v>
      </c>
      <c r="AU3116" s="498">
        <f t="shared" si="1075"/>
        <v>0</v>
      </c>
      <c r="AV3116" s="498">
        <f t="shared" si="1076"/>
        <v>0</v>
      </c>
      <c r="AW3116" s="498">
        <f t="shared" si="1077"/>
        <v>0</v>
      </c>
      <c r="AX3116" s="498">
        <f t="shared" si="1078"/>
        <v>0</v>
      </c>
      <c r="AY3116" s="498">
        <f t="shared" si="1079"/>
        <v>0</v>
      </c>
      <c r="BB3116" s="498" t="str">
        <f t="shared" si="1080"/>
        <v/>
      </c>
      <c r="BC3116" s="743" t="str">
        <f t="shared" si="1081"/>
        <v/>
      </c>
      <c r="BD3116" s="743" t="str">
        <f t="shared" si="1082"/>
        <v/>
      </c>
      <c r="BE3116" s="743" t="str">
        <f>IF(D3116="","",VLOOKUP(D3116,'General Basis'!$J$39:$K$46,2,0))</f>
        <v/>
      </c>
      <c r="BF3116" s="744" t="str">
        <f>IF(D3116="","",VLOOKUP(D3116,'General Basis'!$J$39:$L$46,3,0))</f>
        <v/>
      </c>
      <c r="BG3116" s="744" t="str">
        <f t="shared" si="1089"/>
        <v/>
      </c>
      <c r="BH3116" s="744" t="str">
        <f>IF(G3116="","",IF(BF3116="Abu Dhabi",IF(G3116&lt;18,'General Basis'!$C$39,IF(G3116&lt;41,'General Basis'!$C$40,IF(G3116&lt;60,'General Basis'!$C$41,IF(G3116&lt;65,'General Basis'!$C$42,'General Basis'!$C$43)))),IF(G3116&lt;11,'General Basis'!$B$39,IF(G3116&lt;18,'General Basis'!$B$40,IF(G3116&lt;26,'General Basis'!$B$41,IF(G3116&lt;31,'General Basis'!$B$42,IF(G3116&lt;36,'General Basis'!$B$43,IF(G3116&lt;41,'General Basis'!$B$44,IF(G3116&lt;46,'General Basis'!$B$45,IF(G3116&lt;51,'General Basis'!$B$46,IF(G3116&lt;56,'General Basis'!$B$47,IF(G3116&lt;60,'General Basis'!$B$48,IF(G3116&lt;65,'General Basis'!$B$49,'General Basis'!$B$50)))))))))))))</f>
        <v/>
      </c>
      <c r="BI3116" s="744" t="str">
        <f t="shared" si="1083"/>
        <v/>
      </c>
      <c r="BJ3116" s="747" t="str">
        <f t="shared" si="1090"/>
        <v/>
      </c>
      <c r="BK3116" s="498" t="str">
        <f t="shared" si="1084"/>
        <v/>
      </c>
      <c r="BL3116" s="498" t="str">
        <f t="shared" si="1085"/>
        <v/>
      </c>
    </row>
    <row r="3117" spans="1:64" x14ac:dyDescent="0.25">
      <c r="A3117" s="762">
        <f t="shared" si="1086"/>
        <v>3112</v>
      </c>
      <c r="B3117" s="229"/>
      <c r="C3117" s="223"/>
      <c r="D3117" s="224"/>
      <c r="E3117" s="225"/>
      <c r="F3117" s="1036" t="str">
        <f t="shared" si="1092"/>
        <v/>
      </c>
      <c r="G3117" s="1037" t="str">
        <f t="shared" si="1087"/>
        <v/>
      </c>
      <c r="H3117" s="225"/>
      <c r="I3117" s="1013"/>
      <c r="J3117" s="1013"/>
      <c r="K3117" s="1028"/>
      <c r="L3117" s="1035" t="str">
        <f t="shared" si="1091"/>
        <v/>
      </c>
      <c r="S3117" s="498"/>
      <c r="AJ3117" s="498"/>
      <c r="AM3117" s="498">
        <f t="shared" si="1072"/>
        <v>0</v>
      </c>
      <c r="AN3117" s="498">
        <f t="shared" si="1073"/>
        <v>0</v>
      </c>
      <c r="AO3117" s="498">
        <f t="shared" si="1074"/>
        <v>0</v>
      </c>
      <c r="AP3117" s="498">
        <f t="shared" si="1093"/>
        <v>0</v>
      </c>
      <c r="AQ3117" s="498">
        <f t="shared" si="1088"/>
        <v>0</v>
      </c>
      <c r="AU3117" s="498">
        <f t="shared" si="1075"/>
        <v>0</v>
      </c>
      <c r="AV3117" s="498">
        <f t="shared" si="1076"/>
        <v>0</v>
      </c>
      <c r="AW3117" s="498">
        <f t="shared" si="1077"/>
        <v>0</v>
      </c>
      <c r="AX3117" s="498">
        <f t="shared" si="1078"/>
        <v>0</v>
      </c>
      <c r="AY3117" s="498">
        <f t="shared" si="1079"/>
        <v>0</v>
      </c>
      <c r="BB3117" s="498" t="str">
        <f t="shared" si="1080"/>
        <v/>
      </c>
      <c r="BC3117" s="743" t="str">
        <f t="shared" si="1081"/>
        <v/>
      </c>
      <c r="BD3117" s="743" t="str">
        <f t="shared" si="1082"/>
        <v/>
      </c>
      <c r="BE3117" s="743" t="str">
        <f>IF(D3117="","",VLOOKUP(D3117,'General Basis'!$J$39:$K$46,2,0))</f>
        <v/>
      </c>
      <c r="BF3117" s="744" t="str">
        <f>IF(D3117="","",VLOOKUP(D3117,'General Basis'!$J$39:$L$46,3,0))</f>
        <v/>
      </c>
      <c r="BG3117" s="744" t="str">
        <f t="shared" si="1089"/>
        <v/>
      </c>
      <c r="BH3117" s="744" t="str">
        <f>IF(G3117="","",IF(BF3117="Abu Dhabi",IF(G3117&lt;18,'General Basis'!$C$39,IF(G3117&lt;41,'General Basis'!$C$40,IF(G3117&lt;60,'General Basis'!$C$41,IF(G3117&lt;65,'General Basis'!$C$42,'General Basis'!$C$43)))),IF(G3117&lt;11,'General Basis'!$B$39,IF(G3117&lt;18,'General Basis'!$B$40,IF(G3117&lt;26,'General Basis'!$B$41,IF(G3117&lt;31,'General Basis'!$B$42,IF(G3117&lt;36,'General Basis'!$B$43,IF(G3117&lt;41,'General Basis'!$B$44,IF(G3117&lt;46,'General Basis'!$B$45,IF(G3117&lt;51,'General Basis'!$B$46,IF(G3117&lt;56,'General Basis'!$B$47,IF(G3117&lt;60,'General Basis'!$B$48,IF(G3117&lt;65,'General Basis'!$B$49,'General Basis'!$B$50)))))))))))))</f>
        <v/>
      </c>
      <c r="BI3117" s="744" t="str">
        <f t="shared" si="1083"/>
        <v/>
      </c>
      <c r="BJ3117" s="747" t="str">
        <f t="shared" si="1090"/>
        <v/>
      </c>
      <c r="BK3117" s="498" t="str">
        <f t="shared" si="1084"/>
        <v/>
      </c>
      <c r="BL3117" s="498" t="str">
        <f t="shared" si="1085"/>
        <v/>
      </c>
    </row>
    <row r="3118" spans="1:64" x14ac:dyDescent="0.25">
      <c r="A3118" s="762">
        <f t="shared" si="1086"/>
        <v>3113</v>
      </c>
      <c r="B3118" s="229"/>
      <c r="C3118" s="223"/>
      <c r="D3118" s="224"/>
      <c r="E3118" s="225"/>
      <c r="F3118" s="1036" t="str">
        <f t="shared" si="1092"/>
        <v/>
      </c>
      <c r="G3118" s="1037" t="str">
        <f t="shared" si="1087"/>
        <v/>
      </c>
      <c r="H3118" s="225"/>
      <c r="I3118" s="1013"/>
      <c r="J3118" s="1013"/>
      <c r="K3118" s="1028"/>
      <c r="L3118" s="1035" t="str">
        <f t="shared" si="1091"/>
        <v/>
      </c>
      <c r="S3118" s="498"/>
      <c r="AJ3118" s="498"/>
      <c r="AM3118" s="498">
        <f t="shared" si="1072"/>
        <v>0</v>
      </c>
      <c r="AN3118" s="498">
        <f t="shared" si="1073"/>
        <v>0</v>
      </c>
      <c r="AO3118" s="498">
        <f t="shared" si="1074"/>
        <v>0</v>
      </c>
      <c r="AP3118" s="498">
        <f t="shared" si="1093"/>
        <v>0</v>
      </c>
      <c r="AQ3118" s="498">
        <f t="shared" si="1088"/>
        <v>0</v>
      </c>
      <c r="AU3118" s="498">
        <f t="shared" si="1075"/>
        <v>0</v>
      </c>
      <c r="AV3118" s="498">
        <f t="shared" si="1076"/>
        <v>0</v>
      </c>
      <c r="AW3118" s="498">
        <f t="shared" si="1077"/>
        <v>0</v>
      </c>
      <c r="AX3118" s="498">
        <f t="shared" si="1078"/>
        <v>0</v>
      </c>
      <c r="AY3118" s="498">
        <f t="shared" si="1079"/>
        <v>0</v>
      </c>
      <c r="BB3118" s="498" t="str">
        <f t="shared" si="1080"/>
        <v/>
      </c>
      <c r="BC3118" s="743" t="str">
        <f t="shared" si="1081"/>
        <v/>
      </c>
      <c r="BD3118" s="743" t="str">
        <f t="shared" si="1082"/>
        <v/>
      </c>
      <c r="BE3118" s="743" t="str">
        <f>IF(D3118="","",VLOOKUP(D3118,'General Basis'!$J$39:$K$46,2,0))</f>
        <v/>
      </c>
      <c r="BF3118" s="744" t="str">
        <f>IF(D3118="","",VLOOKUP(D3118,'General Basis'!$J$39:$L$46,3,0))</f>
        <v/>
      </c>
      <c r="BG3118" s="744" t="str">
        <f t="shared" si="1089"/>
        <v/>
      </c>
      <c r="BH3118" s="744" t="str">
        <f>IF(G3118="","",IF(BF3118="Abu Dhabi",IF(G3118&lt;18,'General Basis'!$C$39,IF(G3118&lt;41,'General Basis'!$C$40,IF(G3118&lt;60,'General Basis'!$C$41,IF(G3118&lt;65,'General Basis'!$C$42,'General Basis'!$C$43)))),IF(G3118&lt;11,'General Basis'!$B$39,IF(G3118&lt;18,'General Basis'!$B$40,IF(G3118&lt;26,'General Basis'!$B$41,IF(G3118&lt;31,'General Basis'!$B$42,IF(G3118&lt;36,'General Basis'!$B$43,IF(G3118&lt;41,'General Basis'!$B$44,IF(G3118&lt;46,'General Basis'!$B$45,IF(G3118&lt;51,'General Basis'!$B$46,IF(G3118&lt;56,'General Basis'!$B$47,IF(G3118&lt;60,'General Basis'!$B$48,IF(G3118&lt;65,'General Basis'!$B$49,'General Basis'!$B$50)))))))))))))</f>
        <v/>
      </c>
      <c r="BI3118" s="744" t="str">
        <f t="shared" si="1083"/>
        <v/>
      </c>
      <c r="BJ3118" s="747" t="str">
        <f t="shared" si="1090"/>
        <v/>
      </c>
      <c r="BK3118" s="498" t="str">
        <f t="shared" si="1084"/>
        <v/>
      </c>
      <c r="BL3118" s="498" t="str">
        <f t="shared" si="1085"/>
        <v/>
      </c>
    </row>
    <row r="3119" spans="1:64" x14ac:dyDescent="0.25">
      <c r="A3119" s="762">
        <f t="shared" si="1086"/>
        <v>3114</v>
      </c>
      <c r="B3119" s="229"/>
      <c r="C3119" s="223"/>
      <c r="D3119" s="224"/>
      <c r="E3119" s="225"/>
      <c r="F3119" s="1036" t="str">
        <f t="shared" si="1092"/>
        <v/>
      </c>
      <c r="G3119" s="1037" t="str">
        <f t="shared" si="1087"/>
        <v/>
      </c>
      <c r="H3119" s="225"/>
      <c r="I3119" s="1013"/>
      <c r="J3119" s="1013"/>
      <c r="K3119" s="1028"/>
      <c r="L3119" s="1035" t="str">
        <f t="shared" si="1091"/>
        <v/>
      </c>
      <c r="S3119" s="498"/>
      <c r="AJ3119" s="498"/>
      <c r="AM3119" s="498">
        <f t="shared" si="1072"/>
        <v>0</v>
      </c>
      <c r="AN3119" s="498">
        <f t="shared" si="1073"/>
        <v>0</v>
      </c>
      <c r="AO3119" s="498">
        <f t="shared" si="1074"/>
        <v>0</v>
      </c>
      <c r="AP3119" s="498">
        <f t="shared" si="1093"/>
        <v>0</v>
      </c>
      <c r="AQ3119" s="498">
        <f t="shared" si="1088"/>
        <v>0</v>
      </c>
      <c r="AU3119" s="498">
        <f t="shared" si="1075"/>
        <v>0</v>
      </c>
      <c r="AV3119" s="498">
        <f t="shared" si="1076"/>
        <v>0</v>
      </c>
      <c r="AW3119" s="498">
        <f t="shared" si="1077"/>
        <v>0</v>
      </c>
      <c r="AX3119" s="498">
        <f t="shared" si="1078"/>
        <v>0</v>
      </c>
      <c r="AY3119" s="498">
        <f t="shared" si="1079"/>
        <v>0</v>
      </c>
      <c r="BB3119" s="498" t="str">
        <f t="shared" si="1080"/>
        <v/>
      </c>
      <c r="BC3119" s="743" t="str">
        <f t="shared" si="1081"/>
        <v/>
      </c>
      <c r="BD3119" s="743" t="str">
        <f t="shared" si="1082"/>
        <v/>
      </c>
      <c r="BE3119" s="743" t="str">
        <f>IF(D3119="","",VLOOKUP(D3119,'General Basis'!$J$39:$K$46,2,0))</f>
        <v/>
      </c>
      <c r="BF3119" s="744" t="str">
        <f>IF(D3119="","",VLOOKUP(D3119,'General Basis'!$J$39:$L$46,3,0))</f>
        <v/>
      </c>
      <c r="BG3119" s="744" t="str">
        <f t="shared" si="1089"/>
        <v/>
      </c>
      <c r="BH3119" s="744" t="str">
        <f>IF(G3119="","",IF(BF3119="Abu Dhabi",IF(G3119&lt;18,'General Basis'!$C$39,IF(G3119&lt;41,'General Basis'!$C$40,IF(G3119&lt;60,'General Basis'!$C$41,IF(G3119&lt;65,'General Basis'!$C$42,'General Basis'!$C$43)))),IF(G3119&lt;11,'General Basis'!$B$39,IF(G3119&lt;18,'General Basis'!$B$40,IF(G3119&lt;26,'General Basis'!$B$41,IF(G3119&lt;31,'General Basis'!$B$42,IF(G3119&lt;36,'General Basis'!$B$43,IF(G3119&lt;41,'General Basis'!$B$44,IF(G3119&lt;46,'General Basis'!$B$45,IF(G3119&lt;51,'General Basis'!$B$46,IF(G3119&lt;56,'General Basis'!$B$47,IF(G3119&lt;60,'General Basis'!$B$48,IF(G3119&lt;65,'General Basis'!$B$49,'General Basis'!$B$50)))))))))))))</f>
        <v/>
      </c>
      <c r="BI3119" s="744" t="str">
        <f t="shared" si="1083"/>
        <v/>
      </c>
      <c r="BJ3119" s="747" t="str">
        <f t="shared" si="1090"/>
        <v/>
      </c>
      <c r="BK3119" s="498" t="str">
        <f t="shared" si="1084"/>
        <v/>
      </c>
      <c r="BL3119" s="498" t="str">
        <f t="shared" si="1085"/>
        <v/>
      </c>
    </row>
    <row r="3120" spans="1:64" x14ac:dyDescent="0.25">
      <c r="A3120" s="762">
        <f t="shared" si="1086"/>
        <v>3115</v>
      </c>
      <c r="B3120" s="229"/>
      <c r="C3120" s="223"/>
      <c r="D3120" s="224"/>
      <c r="E3120" s="225"/>
      <c r="F3120" s="1036" t="str">
        <f t="shared" si="1092"/>
        <v/>
      </c>
      <c r="G3120" s="1037" t="str">
        <f t="shared" si="1087"/>
        <v/>
      </c>
      <c r="H3120" s="225"/>
      <c r="I3120" s="1013"/>
      <c r="J3120" s="1013"/>
      <c r="K3120" s="1028"/>
      <c r="L3120" s="1035" t="str">
        <f t="shared" si="1091"/>
        <v/>
      </c>
      <c r="S3120" s="498"/>
      <c r="AJ3120" s="498"/>
      <c r="AM3120" s="498">
        <f t="shared" si="1072"/>
        <v>0</v>
      </c>
      <c r="AN3120" s="498">
        <f t="shared" si="1073"/>
        <v>0</v>
      </c>
      <c r="AO3120" s="498">
        <f t="shared" si="1074"/>
        <v>0</v>
      </c>
      <c r="AP3120" s="498">
        <f t="shared" si="1093"/>
        <v>0</v>
      </c>
      <c r="AQ3120" s="498">
        <f t="shared" si="1088"/>
        <v>0</v>
      </c>
      <c r="AU3120" s="498">
        <f t="shared" si="1075"/>
        <v>0</v>
      </c>
      <c r="AV3120" s="498">
        <f t="shared" si="1076"/>
        <v>0</v>
      </c>
      <c r="AW3120" s="498">
        <f t="shared" si="1077"/>
        <v>0</v>
      </c>
      <c r="AX3120" s="498">
        <f t="shared" si="1078"/>
        <v>0</v>
      </c>
      <c r="AY3120" s="498">
        <f t="shared" si="1079"/>
        <v>0</v>
      </c>
      <c r="BB3120" s="498" t="str">
        <f t="shared" si="1080"/>
        <v/>
      </c>
      <c r="BC3120" s="743" t="str">
        <f t="shared" si="1081"/>
        <v/>
      </c>
      <c r="BD3120" s="743" t="str">
        <f t="shared" si="1082"/>
        <v/>
      </c>
      <c r="BE3120" s="743" t="str">
        <f>IF(D3120="","",VLOOKUP(D3120,'General Basis'!$J$39:$K$46,2,0))</f>
        <v/>
      </c>
      <c r="BF3120" s="744" t="str">
        <f>IF(D3120="","",VLOOKUP(D3120,'General Basis'!$J$39:$L$46,3,0))</f>
        <v/>
      </c>
      <c r="BG3120" s="744" t="str">
        <f t="shared" si="1089"/>
        <v/>
      </c>
      <c r="BH3120" s="744" t="str">
        <f>IF(G3120="","",IF(BF3120="Abu Dhabi",IF(G3120&lt;18,'General Basis'!$C$39,IF(G3120&lt;41,'General Basis'!$C$40,IF(G3120&lt;60,'General Basis'!$C$41,IF(G3120&lt;65,'General Basis'!$C$42,'General Basis'!$C$43)))),IF(G3120&lt;11,'General Basis'!$B$39,IF(G3120&lt;18,'General Basis'!$B$40,IF(G3120&lt;26,'General Basis'!$B$41,IF(G3120&lt;31,'General Basis'!$B$42,IF(G3120&lt;36,'General Basis'!$B$43,IF(G3120&lt;41,'General Basis'!$B$44,IF(G3120&lt;46,'General Basis'!$B$45,IF(G3120&lt;51,'General Basis'!$B$46,IF(G3120&lt;56,'General Basis'!$B$47,IF(G3120&lt;60,'General Basis'!$B$48,IF(G3120&lt;65,'General Basis'!$B$49,'General Basis'!$B$50)))))))))))))</f>
        <v/>
      </c>
      <c r="BI3120" s="744" t="str">
        <f t="shared" si="1083"/>
        <v/>
      </c>
      <c r="BJ3120" s="747" t="str">
        <f t="shared" si="1090"/>
        <v/>
      </c>
      <c r="BK3120" s="498" t="str">
        <f t="shared" si="1084"/>
        <v/>
      </c>
      <c r="BL3120" s="498" t="str">
        <f t="shared" si="1085"/>
        <v/>
      </c>
    </row>
    <row r="3121" spans="1:64" x14ac:dyDescent="0.25">
      <c r="A3121" s="762">
        <f t="shared" si="1086"/>
        <v>3116</v>
      </c>
      <c r="B3121" s="229"/>
      <c r="C3121" s="223"/>
      <c r="D3121" s="224"/>
      <c r="E3121" s="225"/>
      <c r="F3121" s="1036" t="str">
        <f t="shared" si="1092"/>
        <v/>
      </c>
      <c r="G3121" s="1037" t="str">
        <f t="shared" si="1087"/>
        <v/>
      </c>
      <c r="H3121" s="225"/>
      <c r="I3121" s="1013"/>
      <c r="J3121" s="1013"/>
      <c r="K3121" s="1028"/>
      <c r="L3121" s="1035" t="str">
        <f t="shared" si="1091"/>
        <v/>
      </c>
      <c r="S3121" s="498"/>
      <c r="AJ3121" s="498"/>
      <c r="AM3121" s="498">
        <f t="shared" si="1072"/>
        <v>0</v>
      </c>
      <c r="AN3121" s="498">
        <f t="shared" si="1073"/>
        <v>0</v>
      </c>
      <c r="AO3121" s="498">
        <f t="shared" si="1074"/>
        <v>0</v>
      </c>
      <c r="AP3121" s="498">
        <f t="shared" si="1093"/>
        <v>0</v>
      </c>
      <c r="AQ3121" s="498">
        <f t="shared" si="1088"/>
        <v>0</v>
      </c>
      <c r="AU3121" s="498">
        <f t="shared" si="1075"/>
        <v>0</v>
      </c>
      <c r="AV3121" s="498">
        <f t="shared" si="1076"/>
        <v>0</v>
      </c>
      <c r="AW3121" s="498">
        <f t="shared" si="1077"/>
        <v>0</v>
      </c>
      <c r="AX3121" s="498">
        <f t="shared" si="1078"/>
        <v>0</v>
      </c>
      <c r="AY3121" s="498">
        <f t="shared" si="1079"/>
        <v>0</v>
      </c>
      <c r="BB3121" s="498" t="str">
        <f t="shared" si="1080"/>
        <v/>
      </c>
      <c r="BC3121" s="743" t="str">
        <f t="shared" si="1081"/>
        <v/>
      </c>
      <c r="BD3121" s="743" t="str">
        <f t="shared" si="1082"/>
        <v/>
      </c>
      <c r="BE3121" s="743" t="str">
        <f>IF(D3121="","",VLOOKUP(D3121,'General Basis'!$J$39:$K$46,2,0))</f>
        <v/>
      </c>
      <c r="BF3121" s="744" t="str">
        <f>IF(D3121="","",VLOOKUP(D3121,'General Basis'!$J$39:$L$46,3,0))</f>
        <v/>
      </c>
      <c r="BG3121" s="744" t="str">
        <f t="shared" si="1089"/>
        <v/>
      </c>
      <c r="BH3121" s="744" t="str">
        <f>IF(G3121="","",IF(BF3121="Abu Dhabi",IF(G3121&lt;18,'General Basis'!$C$39,IF(G3121&lt;41,'General Basis'!$C$40,IF(G3121&lt;60,'General Basis'!$C$41,IF(G3121&lt;65,'General Basis'!$C$42,'General Basis'!$C$43)))),IF(G3121&lt;11,'General Basis'!$B$39,IF(G3121&lt;18,'General Basis'!$B$40,IF(G3121&lt;26,'General Basis'!$B$41,IF(G3121&lt;31,'General Basis'!$B$42,IF(G3121&lt;36,'General Basis'!$B$43,IF(G3121&lt;41,'General Basis'!$B$44,IF(G3121&lt;46,'General Basis'!$B$45,IF(G3121&lt;51,'General Basis'!$B$46,IF(G3121&lt;56,'General Basis'!$B$47,IF(G3121&lt;60,'General Basis'!$B$48,IF(G3121&lt;65,'General Basis'!$B$49,'General Basis'!$B$50)))))))))))))</f>
        <v/>
      </c>
      <c r="BI3121" s="744" t="str">
        <f t="shared" si="1083"/>
        <v/>
      </c>
      <c r="BJ3121" s="747" t="str">
        <f t="shared" si="1090"/>
        <v/>
      </c>
      <c r="BK3121" s="498" t="str">
        <f t="shared" si="1084"/>
        <v/>
      </c>
      <c r="BL3121" s="498" t="str">
        <f t="shared" si="1085"/>
        <v/>
      </c>
    </row>
    <row r="3122" spans="1:64" x14ac:dyDescent="0.25">
      <c r="A3122" s="762">
        <f t="shared" si="1086"/>
        <v>3117</v>
      </c>
      <c r="B3122" s="229"/>
      <c r="C3122" s="223"/>
      <c r="D3122" s="224"/>
      <c r="E3122" s="225"/>
      <c r="F3122" s="1036" t="str">
        <f t="shared" si="1092"/>
        <v/>
      </c>
      <c r="G3122" s="1037" t="str">
        <f t="shared" si="1087"/>
        <v/>
      </c>
      <c r="H3122" s="225"/>
      <c r="I3122" s="1013"/>
      <c r="J3122" s="1013"/>
      <c r="K3122" s="1028"/>
      <c r="L3122" s="1035" t="str">
        <f t="shared" si="1091"/>
        <v/>
      </c>
      <c r="S3122" s="498"/>
      <c r="AJ3122" s="498"/>
      <c r="AM3122" s="498">
        <f t="shared" si="1072"/>
        <v>0</v>
      </c>
      <c r="AN3122" s="498">
        <f t="shared" si="1073"/>
        <v>0</v>
      </c>
      <c r="AO3122" s="498">
        <f t="shared" si="1074"/>
        <v>0</v>
      </c>
      <c r="AP3122" s="498">
        <f t="shared" si="1093"/>
        <v>0</v>
      </c>
      <c r="AQ3122" s="498">
        <f t="shared" si="1088"/>
        <v>0</v>
      </c>
      <c r="AU3122" s="498">
        <f t="shared" si="1075"/>
        <v>0</v>
      </c>
      <c r="AV3122" s="498">
        <f t="shared" si="1076"/>
        <v>0</v>
      </c>
      <c r="AW3122" s="498">
        <f t="shared" si="1077"/>
        <v>0</v>
      </c>
      <c r="AX3122" s="498">
        <f t="shared" si="1078"/>
        <v>0</v>
      </c>
      <c r="AY3122" s="498">
        <f t="shared" si="1079"/>
        <v>0</v>
      </c>
      <c r="BB3122" s="498" t="str">
        <f t="shared" si="1080"/>
        <v/>
      </c>
      <c r="BC3122" s="743" t="str">
        <f t="shared" si="1081"/>
        <v/>
      </c>
      <c r="BD3122" s="743" t="str">
        <f t="shared" si="1082"/>
        <v/>
      </c>
      <c r="BE3122" s="743" t="str">
        <f>IF(D3122="","",VLOOKUP(D3122,'General Basis'!$J$39:$K$46,2,0))</f>
        <v/>
      </c>
      <c r="BF3122" s="744" t="str">
        <f>IF(D3122="","",VLOOKUP(D3122,'General Basis'!$J$39:$L$46,3,0))</f>
        <v/>
      </c>
      <c r="BG3122" s="744" t="str">
        <f t="shared" si="1089"/>
        <v/>
      </c>
      <c r="BH3122" s="744" t="str">
        <f>IF(G3122="","",IF(BF3122="Abu Dhabi",IF(G3122&lt;18,'General Basis'!$C$39,IF(G3122&lt;41,'General Basis'!$C$40,IF(G3122&lt;60,'General Basis'!$C$41,IF(G3122&lt;65,'General Basis'!$C$42,'General Basis'!$C$43)))),IF(G3122&lt;11,'General Basis'!$B$39,IF(G3122&lt;18,'General Basis'!$B$40,IF(G3122&lt;26,'General Basis'!$B$41,IF(G3122&lt;31,'General Basis'!$B$42,IF(G3122&lt;36,'General Basis'!$B$43,IF(G3122&lt;41,'General Basis'!$B$44,IF(G3122&lt;46,'General Basis'!$B$45,IF(G3122&lt;51,'General Basis'!$B$46,IF(G3122&lt;56,'General Basis'!$B$47,IF(G3122&lt;60,'General Basis'!$B$48,IF(G3122&lt;65,'General Basis'!$B$49,'General Basis'!$B$50)))))))))))))</f>
        <v/>
      </c>
      <c r="BI3122" s="744" t="str">
        <f t="shared" si="1083"/>
        <v/>
      </c>
      <c r="BJ3122" s="747" t="str">
        <f t="shared" si="1090"/>
        <v/>
      </c>
      <c r="BK3122" s="498" t="str">
        <f t="shared" si="1084"/>
        <v/>
      </c>
      <c r="BL3122" s="498" t="str">
        <f t="shared" si="1085"/>
        <v/>
      </c>
    </row>
    <row r="3123" spans="1:64" x14ac:dyDescent="0.25">
      <c r="A3123" s="762">
        <f t="shared" si="1086"/>
        <v>3118</v>
      </c>
      <c r="B3123" s="229"/>
      <c r="C3123" s="223"/>
      <c r="D3123" s="224"/>
      <c r="E3123" s="225"/>
      <c r="F3123" s="1036" t="str">
        <f t="shared" si="1092"/>
        <v/>
      </c>
      <c r="G3123" s="1037" t="str">
        <f t="shared" si="1087"/>
        <v/>
      </c>
      <c r="H3123" s="225"/>
      <c r="I3123" s="1013"/>
      <c r="J3123" s="1013"/>
      <c r="K3123" s="1028"/>
      <c r="L3123" s="1035" t="str">
        <f t="shared" si="1091"/>
        <v/>
      </c>
      <c r="S3123" s="498"/>
      <c r="AJ3123" s="498"/>
      <c r="AM3123" s="498">
        <f t="shared" si="1072"/>
        <v>0</v>
      </c>
      <c r="AN3123" s="498">
        <f t="shared" si="1073"/>
        <v>0</v>
      </c>
      <c r="AO3123" s="498">
        <f t="shared" si="1074"/>
        <v>0</v>
      </c>
      <c r="AP3123" s="498">
        <f t="shared" si="1093"/>
        <v>0</v>
      </c>
      <c r="AQ3123" s="498">
        <f t="shared" si="1088"/>
        <v>0</v>
      </c>
      <c r="AU3123" s="498">
        <f t="shared" si="1075"/>
        <v>0</v>
      </c>
      <c r="AV3123" s="498">
        <f t="shared" si="1076"/>
        <v>0</v>
      </c>
      <c r="AW3123" s="498">
        <f t="shared" si="1077"/>
        <v>0</v>
      </c>
      <c r="AX3123" s="498">
        <f t="shared" si="1078"/>
        <v>0</v>
      </c>
      <c r="AY3123" s="498">
        <f t="shared" si="1079"/>
        <v>0</v>
      </c>
      <c r="BB3123" s="498" t="str">
        <f t="shared" si="1080"/>
        <v/>
      </c>
      <c r="BC3123" s="743" t="str">
        <f t="shared" si="1081"/>
        <v/>
      </c>
      <c r="BD3123" s="743" t="str">
        <f t="shared" si="1082"/>
        <v/>
      </c>
      <c r="BE3123" s="743" t="str">
        <f>IF(D3123="","",VLOOKUP(D3123,'General Basis'!$J$39:$K$46,2,0))</f>
        <v/>
      </c>
      <c r="BF3123" s="744" t="str">
        <f>IF(D3123="","",VLOOKUP(D3123,'General Basis'!$J$39:$L$46,3,0))</f>
        <v/>
      </c>
      <c r="BG3123" s="744" t="str">
        <f t="shared" si="1089"/>
        <v/>
      </c>
      <c r="BH3123" s="744" t="str">
        <f>IF(G3123="","",IF(BF3123="Abu Dhabi",IF(G3123&lt;18,'General Basis'!$C$39,IF(G3123&lt;41,'General Basis'!$C$40,IF(G3123&lt;60,'General Basis'!$C$41,IF(G3123&lt;65,'General Basis'!$C$42,'General Basis'!$C$43)))),IF(G3123&lt;11,'General Basis'!$B$39,IF(G3123&lt;18,'General Basis'!$B$40,IF(G3123&lt;26,'General Basis'!$B$41,IF(G3123&lt;31,'General Basis'!$B$42,IF(G3123&lt;36,'General Basis'!$B$43,IF(G3123&lt;41,'General Basis'!$B$44,IF(G3123&lt;46,'General Basis'!$B$45,IF(G3123&lt;51,'General Basis'!$B$46,IF(G3123&lt;56,'General Basis'!$B$47,IF(G3123&lt;60,'General Basis'!$B$48,IF(G3123&lt;65,'General Basis'!$B$49,'General Basis'!$B$50)))))))))))))</f>
        <v/>
      </c>
      <c r="BI3123" s="744" t="str">
        <f t="shared" si="1083"/>
        <v/>
      </c>
      <c r="BJ3123" s="747" t="str">
        <f t="shared" si="1090"/>
        <v/>
      </c>
      <c r="BK3123" s="498" t="str">
        <f t="shared" si="1084"/>
        <v/>
      </c>
      <c r="BL3123" s="498" t="str">
        <f t="shared" si="1085"/>
        <v/>
      </c>
    </row>
    <row r="3124" spans="1:64" x14ac:dyDescent="0.25">
      <c r="A3124" s="762">
        <f t="shared" si="1086"/>
        <v>3119</v>
      </c>
      <c r="B3124" s="229"/>
      <c r="C3124" s="223"/>
      <c r="D3124" s="224"/>
      <c r="E3124" s="225"/>
      <c r="F3124" s="1036" t="str">
        <f t="shared" si="1092"/>
        <v/>
      </c>
      <c r="G3124" s="1037" t="str">
        <f t="shared" si="1087"/>
        <v/>
      </c>
      <c r="H3124" s="225"/>
      <c r="I3124" s="1013"/>
      <c r="J3124" s="1013"/>
      <c r="K3124" s="1028"/>
      <c r="L3124" s="1035" t="str">
        <f t="shared" si="1091"/>
        <v/>
      </c>
      <c r="S3124" s="498"/>
      <c r="AJ3124" s="498"/>
      <c r="AM3124" s="498">
        <f t="shared" si="1072"/>
        <v>0</v>
      </c>
      <c r="AN3124" s="498">
        <f t="shared" si="1073"/>
        <v>0</v>
      </c>
      <c r="AO3124" s="498">
        <f t="shared" si="1074"/>
        <v>0</v>
      </c>
      <c r="AP3124" s="498">
        <f t="shared" si="1093"/>
        <v>0</v>
      </c>
      <c r="AQ3124" s="498">
        <f t="shared" si="1088"/>
        <v>0</v>
      </c>
      <c r="AU3124" s="498">
        <f t="shared" si="1075"/>
        <v>0</v>
      </c>
      <c r="AV3124" s="498">
        <f t="shared" si="1076"/>
        <v>0</v>
      </c>
      <c r="AW3124" s="498">
        <f t="shared" si="1077"/>
        <v>0</v>
      </c>
      <c r="AX3124" s="498">
        <f t="shared" si="1078"/>
        <v>0</v>
      </c>
      <c r="AY3124" s="498">
        <f t="shared" si="1079"/>
        <v>0</v>
      </c>
      <c r="BB3124" s="498" t="str">
        <f t="shared" si="1080"/>
        <v/>
      </c>
      <c r="BC3124" s="743" t="str">
        <f t="shared" si="1081"/>
        <v/>
      </c>
      <c r="BD3124" s="743" t="str">
        <f t="shared" si="1082"/>
        <v/>
      </c>
      <c r="BE3124" s="743" t="str">
        <f>IF(D3124="","",VLOOKUP(D3124,'General Basis'!$J$39:$K$46,2,0))</f>
        <v/>
      </c>
      <c r="BF3124" s="744" t="str">
        <f>IF(D3124="","",VLOOKUP(D3124,'General Basis'!$J$39:$L$46,3,0))</f>
        <v/>
      </c>
      <c r="BG3124" s="744" t="str">
        <f t="shared" si="1089"/>
        <v/>
      </c>
      <c r="BH3124" s="744" t="str">
        <f>IF(G3124="","",IF(BF3124="Abu Dhabi",IF(G3124&lt;18,'General Basis'!$C$39,IF(G3124&lt;41,'General Basis'!$C$40,IF(G3124&lt;60,'General Basis'!$C$41,IF(G3124&lt;65,'General Basis'!$C$42,'General Basis'!$C$43)))),IF(G3124&lt;11,'General Basis'!$B$39,IF(G3124&lt;18,'General Basis'!$B$40,IF(G3124&lt;26,'General Basis'!$B$41,IF(G3124&lt;31,'General Basis'!$B$42,IF(G3124&lt;36,'General Basis'!$B$43,IF(G3124&lt;41,'General Basis'!$B$44,IF(G3124&lt;46,'General Basis'!$B$45,IF(G3124&lt;51,'General Basis'!$B$46,IF(G3124&lt;56,'General Basis'!$B$47,IF(G3124&lt;60,'General Basis'!$B$48,IF(G3124&lt;65,'General Basis'!$B$49,'General Basis'!$B$50)))))))))))))</f>
        <v/>
      </c>
      <c r="BI3124" s="744" t="str">
        <f t="shared" si="1083"/>
        <v/>
      </c>
      <c r="BJ3124" s="747" t="str">
        <f t="shared" si="1090"/>
        <v/>
      </c>
      <c r="BK3124" s="498" t="str">
        <f t="shared" si="1084"/>
        <v/>
      </c>
      <c r="BL3124" s="498" t="str">
        <f t="shared" si="1085"/>
        <v/>
      </c>
    </row>
    <row r="3125" spans="1:64" x14ac:dyDescent="0.25">
      <c r="A3125" s="762">
        <f t="shared" si="1086"/>
        <v>3120</v>
      </c>
      <c r="B3125" s="229"/>
      <c r="C3125" s="223"/>
      <c r="D3125" s="224"/>
      <c r="E3125" s="225"/>
      <c r="F3125" s="1036" t="str">
        <f t="shared" si="1092"/>
        <v/>
      </c>
      <c r="G3125" s="1037" t="str">
        <f t="shared" si="1087"/>
        <v/>
      </c>
      <c r="H3125" s="225"/>
      <c r="I3125" s="1013"/>
      <c r="J3125" s="1013"/>
      <c r="K3125" s="1028"/>
      <c r="L3125" s="1035" t="str">
        <f t="shared" si="1091"/>
        <v/>
      </c>
      <c r="S3125" s="498"/>
      <c r="AJ3125" s="498"/>
      <c r="AM3125" s="498">
        <f t="shared" si="1072"/>
        <v>0</v>
      </c>
      <c r="AN3125" s="498">
        <f t="shared" si="1073"/>
        <v>0</v>
      </c>
      <c r="AO3125" s="498">
        <f t="shared" si="1074"/>
        <v>0</v>
      </c>
      <c r="AP3125" s="498">
        <f t="shared" si="1093"/>
        <v>0</v>
      </c>
      <c r="AQ3125" s="498">
        <f t="shared" si="1088"/>
        <v>0</v>
      </c>
      <c r="AU3125" s="498">
        <f t="shared" si="1075"/>
        <v>0</v>
      </c>
      <c r="AV3125" s="498">
        <f t="shared" si="1076"/>
        <v>0</v>
      </c>
      <c r="AW3125" s="498">
        <f t="shared" si="1077"/>
        <v>0</v>
      </c>
      <c r="AX3125" s="498">
        <f t="shared" si="1078"/>
        <v>0</v>
      </c>
      <c r="AY3125" s="498">
        <f t="shared" si="1079"/>
        <v>0</v>
      </c>
      <c r="BB3125" s="498" t="str">
        <f t="shared" si="1080"/>
        <v/>
      </c>
      <c r="BC3125" s="743" t="str">
        <f t="shared" si="1081"/>
        <v/>
      </c>
      <c r="BD3125" s="743" t="str">
        <f t="shared" si="1082"/>
        <v/>
      </c>
      <c r="BE3125" s="743" t="str">
        <f>IF(D3125="","",VLOOKUP(D3125,'General Basis'!$J$39:$K$46,2,0))</f>
        <v/>
      </c>
      <c r="BF3125" s="744" t="str">
        <f>IF(D3125="","",VLOOKUP(D3125,'General Basis'!$J$39:$L$46,3,0))</f>
        <v/>
      </c>
      <c r="BG3125" s="744" t="str">
        <f t="shared" si="1089"/>
        <v/>
      </c>
      <c r="BH3125" s="744" t="str">
        <f>IF(G3125="","",IF(BF3125="Abu Dhabi",IF(G3125&lt;18,'General Basis'!$C$39,IF(G3125&lt;41,'General Basis'!$C$40,IF(G3125&lt;60,'General Basis'!$C$41,IF(G3125&lt;65,'General Basis'!$C$42,'General Basis'!$C$43)))),IF(G3125&lt;11,'General Basis'!$B$39,IF(G3125&lt;18,'General Basis'!$B$40,IF(G3125&lt;26,'General Basis'!$B$41,IF(G3125&lt;31,'General Basis'!$B$42,IF(G3125&lt;36,'General Basis'!$B$43,IF(G3125&lt;41,'General Basis'!$B$44,IF(G3125&lt;46,'General Basis'!$B$45,IF(G3125&lt;51,'General Basis'!$B$46,IF(G3125&lt;56,'General Basis'!$B$47,IF(G3125&lt;60,'General Basis'!$B$48,IF(G3125&lt;65,'General Basis'!$B$49,'General Basis'!$B$50)))))))))))))</f>
        <v/>
      </c>
      <c r="BI3125" s="744" t="str">
        <f t="shared" si="1083"/>
        <v/>
      </c>
      <c r="BJ3125" s="747" t="str">
        <f t="shared" si="1090"/>
        <v/>
      </c>
      <c r="BK3125" s="498" t="str">
        <f t="shared" si="1084"/>
        <v/>
      </c>
      <c r="BL3125" s="498" t="str">
        <f t="shared" si="1085"/>
        <v/>
      </c>
    </row>
    <row r="3126" spans="1:64" x14ac:dyDescent="0.25">
      <c r="A3126" s="762">
        <f t="shared" si="1086"/>
        <v>3121</v>
      </c>
      <c r="B3126" s="229"/>
      <c r="C3126" s="223"/>
      <c r="D3126" s="224"/>
      <c r="E3126" s="225"/>
      <c r="F3126" s="1036" t="str">
        <f t="shared" si="1092"/>
        <v/>
      </c>
      <c r="G3126" s="1037" t="str">
        <f t="shared" si="1087"/>
        <v/>
      </c>
      <c r="H3126" s="225"/>
      <c r="I3126" s="1013"/>
      <c r="J3126" s="1013"/>
      <c r="K3126" s="1028"/>
      <c r="L3126" s="1035" t="str">
        <f t="shared" si="1091"/>
        <v/>
      </c>
      <c r="S3126" s="498"/>
      <c r="AJ3126" s="498"/>
      <c r="AM3126" s="498">
        <f t="shared" si="1072"/>
        <v>0</v>
      </c>
      <c r="AN3126" s="498">
        <f t="shared" si="1073"/>
        <v>0</v>
      </c>
      <c r="AO3126" s="498">
        <f t="shared" si="1074"/>
        <v>0</v>
      </c>
      <c r="AP3126" s="498">
        <f t="shared" si="1093"/>
        <v>0</v>
      </c>
      <c r="AQ3126" s="498">
        <f t="shared" si="1088"/>
        <v>0</v>
      </c>
      <c r="AU3126" s="498">
        <f t="shared" si="1075"/>
        <v>0</v>
      </c>
      <c r="AV3126" s="498">
        <f t="shared" si="1076"/>
        <v>0</v>
      </c>
      <c r="AW3126" s="498">
        <f t="shared" si="1077"/>
        <v>0</v>
      </c>
      <c r="AX3126" s="498">
        <f t="shared" si="1078"/>
        <v>0</v>
      </c>
      <c r="AY3126" s="498">
        <f t="shared" si="1079"/>
        <v>0</v>
      </c>
      <c r="BB3126" s="498" t="str">
        <f t="shared" si="1080"/>
        <v/>
      </c>
      <c r="BC3126" s="743" t="str">
        <f t="shared" si="1081"/>
        <v/>
      </c>
      <c r="BD3126" s="743" t="str">
        <f t="shared" si="1082"/>
        <v/>
      </c>
      <c r="BE3126" s="743" t="str">
        <f>IF(D3126="","",VLOOKUP(D3126,'General Basis'!$J$39:$K$46,2,0))</f>
        <v/>
      </c>
      <c r="BF3126" s="744" t="str">
        <f>IF(D3126="","",VLOOKUP(D3126,'General Basis'!$J$39:$L$46,3,0))</f>
        <v/>
      </c>
      <c r="BG3126" s="744" t="str">
        <f t="shared" si="1089"/>
        <v/>
      </c>
      <c r="BH3126" s="744" t="str">
        <f>IF(G3126="","",IF(BF3126="Abu Dhabi",IF(G3126&lt;18,'General Basis'!$C$39,IF(G3126&lt;41,'General Basis'!$C$40,IF(G3126&lt;60,'General Basis'!$C$41,IF(G3126&lt;65,'General Basis'!$C$42,'General Basis'!$C$43)))),IF(G3126&lt;11,'General Basis'!$B$39,IF(G3126&lt;18,'General Basis'!$B$40,IF(G3126&lt;26,'General Basis'!$B$41,IF(G3126&lt;31,'General Basis'!$B$42,IF(G3126&lt;36,'General Basis'!$B$43,IF(G3126&lt;41,'General Basis'!$B$44,IF(G3126&lt;46,'General Basis'!$B$45,IF(G3126&lt;51,'General Basis'!$B$46,IF(G3126&lt;56,'General Basis'!$B$47,IF(G3126&lt;60,'General Basis'!$B$48,IF(G3126&lt;65,'General Basis'!$B$49,'General Basis'!$B$50)))))))))))))</f>
        <v/>
      </c>
      <c r="BI3126" s="744" t="str">
        <f t="shared" si="1083"/>
        <v/>
      </c>
      <c r="BJ3126" s="747" t="str">
        <f t="shared" si="1090"/>
        <v/>
      </c>
      <c r="BK3126" s="498" t="str">
        <f t="shared" si="1084"/>
        <v/>
      </c>
      <c r="BL3126" s="498" t="str">
        <f t="shared" si="1085"/>
        <v/>
      </c>
    </row>
    <row r="3127" spans="1:64" x14ac:dyDescent="0.25">
      <c r="A3127" s="762">
        <f t="shared" si="1086"/>
        <v>3122</v>
      </c>
      <c r="B3127" s="229"/>
      <c r="C3127" s="223"/>
      <c r="D3127" s="224"/>
      <c r="E3127" s="225"/>
      <c r="F3127" s="1036" t="str">
        <f t="shared" si="1092"/>
        <v/>
      </c>
      <c r="G3127" s="1037" t="str">
        <f t="shared" si="1087"/>
        <v/>
      </c>
      <c r="H3127" s="225"/>
      <c r="I3127" s="1013"/>
      <c r="J3127" s="1013"/>
      <c r="K3127" s="1028"/>
      <c r="L3127" s="1035" t="str">
        <f t="shared" si="1091"/>
        <v/>
      </c>
      <c r="S3127" s="498"/>
      <c r="AJ3127" s="498"/>
      <c r="AM3127" s="498">
        <f t="shared" si="1072"/>
        <v>0</v>
      </c>
      <c r="AN3127" s="498">
        <f t="shared" si="1073"/>
        <v>0</v>
      </c>
      <c r="AO3127" s="498">
        <f t="shared" si="1074"/>
        <v>0</v>
      </c>
      <c r="AP3127" s="498">
        <f t="shared" si="1093"/>
        <v>0</v>
      </c>
      <c r="AQ3127" s="498">
        <f t="shared" si="1088"/>
        <v>0</v>
      </c>
      <c r="AU3127" s="498">
        <f t="shared" si="1075"/>
        <v>0</v>
      </c>
      <c r="AV3127" s="498">
        <f t="shared" si="1076"/>
        <v>0</v>
      </c>
      <c r="AW3127" s="498">
        <f t="shared" si="1077"/>
        <v>0</v>
      </c>
      <c r="AX3127" s="498">
        <f t="shared" si="1078"/>
        <v>0</v>
      </c>
      <c r="AY3127" s="498">
        <f t="shared" si="1079"/>
        <v>0</v>
      </c>
      <c r="BB3127" s="498" t="str">
        <f t="shared" si="1080"/>
        <v/>
      </c>
      <c r="BC3127" s="743" t="str">
        <f t="shared" si="1081"/>
        <v/>
      </c>
      <c r="BD3127" s="743" t="str">
        <f t="shared" si="1082"/>
        <v/>
      </c>
      <c r="BE3127" s="743" t="str">
        <f>IF(D3127="","",VLOOKUP(D3127,'General Basis'!$J$39:$K$46,2,0))</f>
        <v/>
      </c>
      <c r="BF3127" s="744" t="str">
        <f>IF(D3127="","",VLOOKUP(D3127,'General Basis'!$J$39:$L$46,3,0))</f>
        <v/>
      </c>
      <c r="BG3127" s="744" t="str">
        <f t="shared" si="1089"/>
        <v/>
      </c>
      <c r="BH3127" s="744" t="str">
        <f>IF(G3127="","",IF(BF3127="Abu Dhabi",IF(G3127&lt;18,'General Basis'!$C$39,IF(G3127&lt;41,'General Basis'!$C$40,IF(G3127&lt;60,'General Basis'!$C$41,IF(G3127&lt;65,'General Basis'!$C$42,'General Basis'!$C$43)))),IF(G3127&lt;11,'General Basis'!$B$39,IF(G3127&lt;18,'General Basis'!$B$40,IF(G3127&lt;26,'General Basis'!$B$41,IF(G3127&lt;31,'General Basis'!$B$42,IF(G3127&lt;36,'General Basis'!$B$43,IF(G3127&lt;41,'General Basis'!$B$44,IF(G3127&lt;46,'General Basis'!$B$45,IF(G3127&lt;51,'General Basis'!$B$46,IF(G3127&lt;56,'General Basis'!$B$47,IF(G3127&lt;60,'General Basis'!$B$48,IF(G3127&lt;65,'General Basis'!$B$49,'General Basis'!$B$50)))))))))))))</f>
        <v/>
      </c>
      <c r="BI3127" s="744" t="str">
        <f t="shared" si="1083"/>
        <v/>
      </c>
      <c r="BJ3127" s="747" t="str">
        <f t="shared" si="1090"/>
        <v/>
      </c>
      <c r="BK3127" s="498" t="str">
        <f t="shared" si="1084"/>
        <v/>
      </c>
      <c r="BL3127" s="498" t="str">
        <f t="shared" si="1085"/>
        <v/>
      </c>
    </row>
    <row r="3128" spans="1:64" x14ac:dyDescent="0.25">
      <c r="A3128" s="762">
        <f t="shared" si="1086"/>
        <v>3123</v>
      </c>
      <c r="B3128" s="229"/>
      <c r="C3128" s="223"/>
      <c r="D3128" s="224"/>
      <c r="E3128" s="225"/>
      <c r="F3128" s="1036" t="str">
        <f t="shared" si="1092"/>
        <v/>
      </c>
      <c r="G3128" s="1037" t="str">
        <f t="shared" si="1087"/>
        <v/>
      </c>
      <c r="H3128" s="225"/>
      <c r="I3128" s="1013"/>
      <c r="J3128" s="1013"/>
      <c r="K3128" s="1028"/>
      <c r="L3128" s="1035" t="str">
        <f t="shared" si="1091"/>
        <v/>
      </c>
      <c r="S3128" s="498"/>
      <c r="AJ3128" s="498"/>
      <c r="AM3128" s="498">
        <f t="shared" si="1072"/>
        <v>0</v>
      </c>
      <c r="AN3128" s="498">
        <f t="shared" si="1073"/>
        <v>0</v>
      </c>
      <c r="AO3128" s="498">
        <f t="shared" si="1074"/>
        <v>0</v>
      </c>
      <c r="AP3128" s="498">
        <f t="shared" si="1093"/>
        <v>0</v>
      </c>
      <c r="AQ3128" s="498">
        <f t="shared" si="1088"/>
        <v>0</v>
      </c>
      <c r="AU3128" s="498">
        <f t="shared" si="1075"/>
        <v>0</v>
      </c>
      <c r="AV3128" s="498">
        <f t="shared" si="1076"/>
        <v>0</v>
      </c>
      <c r="AW3128" s="498">
        <f t="shared" si="1077"/>
        <v>0</v>
      </c>
      <c r="AX3128" s="498">
        <f t="shared" si="1078"/>
        <v>0</v>
      </c>
      <c r="AY3128" s="498">
        <f t="shared" si="1079"/>
        <v>0</v>
      </c>
      <c r="BB3128" s="498" t="str">
        <f t="shared" si="1080"/>
        <v/>
      </c>
      <c r="BC3128" s="743" t="str">
        <f t="shared" si="1081"/>
        <v/>
      </c>
      <c r="BD3128" s="743" t="str">
        <f t="shared" si="1082"/>
        <v/>
      </c>
      <c r="BE3128" s="743" t="str">
        <f>IF(D3128="","",VLOOKUP(D3128,'General Basis'!$J$39:$K$46,2,0))</f>
        <v/>
      </c>
      <c r="BF3128" s="744" t="str">
        <f>IF(D3128="","",VLOOKUP(D3128,'General Basis'!$J$39:$L$46,3,0))</f>
        <v/>
      </c>
      <c r="BG3128" s="744" t="str">
        <f t="shared" si="1089"/>
        <v/>
      </c>
      <c r="BH3128" s="744" t="str">
        <f>IF(G3128="","",IF(BF3128="Abu Dhabi",IF(G3128&lt;18,'General Basis'!$C$39,IF(G3128&lt;41,'General Basis'!$C$40,IF(G3128&lt;60,'General Basis'!$C$41,IF(G3128&lt;65,'General Basis'!$C$42,'General Basis'!$C$43)))),IF(G3128&lt;11,'General Basis'!$B$39,IF(G3128&lt;18,'General Basis'!$B$40,IF(G3128&lt;26,'General Basis'!$B$41,IF(G3128&lt;31,'General Basis'!$B$42,IF(G3128&lt;36,'General Basis'!$B$43,IF(G3128&lt;41,'General Basis'!$B$44,IF(G3128&lt;46,'General Basis'!$B$45,IF(G3128&lt;51,'General Basis'!$B$46,IF(G3128&lt;56,'General Basis'!$B$47,IF(G3128&lt;60,'General Basis'!$B$48,IF(G3128&lt;65,'General Basis'!$B$49,'General Basis'!$B$50)))))))))))))</f>
        <v/>
      </c>
      <c r="BI3128" s="744" t="str">
        <f t="shared" si="1083"/>
        <v/>
      </c>
      <c r="BJ3128" s="747" t="str">
        <f t="shared" si="1090"/>
        <v/>
      </c>
      <c r="BK3128" s="498" t="str">
        <f t="shared" si="1084"/>
        <v/>
      </c>
      <c r="BL3128" s="498" t="str">
        <f t="shared" si="1085"/>
        <v/>
      </c>
    </row>
    <row r="3129" spans="1:64" x14ac:dyDescent="0.25">
      <c r="A3129" s="762">
        <f t="shared" si="1086"/>
        <v>3124</v>
      </c>
      <c r="B3129" s="229"/>
      <c r="C3129" s="223"/>
      <c r="D3129" s="224"/>
      <c r="E3129" s="225"/>
      <c r="F3129" s="1036" t="str">
        <f t="shared" si="1092"/>
        <v/>
      </c>
      <c r="G3129" s="1037" t="str">
        <f t="shared" si="1087"/>
        <v/>
      </c>
      <c r="H3129" s="225"/>
      <c r="I3129" s="1013"/>
      <c r="J3129" s="1013"/>
      <c r="K3129" s="1028"/>
      <c r="L3129" s="1035" t="str">
        <f t="shared" si="1091"/>
        <v/>
      </c>
      <c r="S3129" s="498"/>
      <c r="AJ3129" s="498"/>
      <c r="AM3129" s="498">
        <f t="shared" si="1072"/>
        <v>0</v>
      </c>
      <c r="AN3129" s="498">
        <f t="shared" si="1073"/>
        <v>0</v>
      </c>
      <c r="AO3129" s="498">
        <f t="shared" si="1074"/>
        <v>0</v>
      </c>
      <c r="AP3129" s="498">
        <f t="shared" si="1093"/>
        <v>0</v>
      </c>
      <c r="AQ3129" s="498">
        <f t="shared" si="1088"/>
        <v>0</v>
      </c>
      <c r="AU3129" s="498">
        <f t="shared" si="1075"/>
        <v>0</v>
      </c>
      <c r="AV3129" s="498">
        <f t="shared" si="1076"/>
        <v>0</v>
      </c>
      <c r="AW3129" s="498">
        <f t="shared" si="1077"/>
        <v>0</v>
      </c>
      <c r="AX3129" s="498">
        <f t="shared" si="1078"/>
        <v>0</v>
      </c>
      <c r="AY3129" s="498">
        <f t="shared" si="1079"/>
        <v>0</v>
      </c>
      <c r="BB3129" s="498" t="str">
        <f t="shared" si="1080"/>
        <v/>
      </c>
      <c r="BC3129" s="743" t="str">
        <f t="shared" si="1081"/>
        <v/>
      </c>
      <c r="BD3129" s="743" t="str">
        <f t="shared" si="1082"/>
        <v/>
      </c>
      <c r="BE3129" s="743" t="str">
        <f>IF(D3129="","",VLOOKUP(D3129,'General Basis'!$J$39:$K$46,2,0))</f>
        <v/>
      </c>
      <c r="BF3129" s="744" t="str">
        <f>IF(D3129="","",VLOOKUP(D3129,'General Basis'!$J$39:$L$46,3,0))</f>
        <v/>
      </c>
      <c r="BG3129" s="744" t="str">
        <f t="shared" si="1089"/>
        <v/>
      </c>
      <c r="BH3129" s="744" t="str">
        <f>IF(G3129="","",IF(BF3129="Abu Dhabi",IF(G3129&lt;18,'General Basis'!$C$39,IF(G3129&lt;41,'General Basis'!$C$40,IF(G3129&lt;60,'General Basis'!$C$41,IF(G3129&lt;65,'General Basis'!$C$42,'General Basis'!$C$43)))),IF(G3129&lt;11,'General Basis'!$B$39,IF(G3129&lt;18,'General Basis'!$B$40,IF(G3129&lt;26,'General Basis'!$B$41,IF(G3129&lt;31,'General Basis'!$B$42,IF(G3129&lt;36,'General Basis'!$B$43,IF(G3129&lt;41,'General Basis'!$B$44,IF(G3129&lt;46,'General Basis'!$B$45,IF(G3129&lt;51,'General Basis'!$B$46,IF(G3129&lt;56,'General Basis'!$B$47,IF(G3129&lt;60,'General Basis'!$B$48,IF(G3129&lt;65,'General Basis'!$B$49,'General Basis'!$B$50)))))))))))))</f>
        <v/>
      </c>
      <c r="BI3129" s="744" t="str">
        <f t="shared" si="1083"/>
        <v/>
      </c>
      <c r="BJ3129" s="747" t="str">
        <f t="shared" si="1090"/>
        <v/>
      </c>
      <c r="BK3129" s="498" t="str">
        <f t="shared" si="1084"/>
        <v/>
      </c>
      <c r="BL3129" s="498" t="str">
        <f t="shared" si="1085"/>
        <v/>
      </c>
    </row>
    <row r="3130" spans="1:64" x14ac:dyDescent="0.25">
      <c r="A3130" s="762">
        <f t="shared" si="1086"/>
        <v>3125</v>
      </c>
      <c r="B3130" s="229"/>
      <c r="C3130" s="223"/>
      <c r="D3130" s="224"/>
      <c r="E3130" s="225"/>
      <c r="F3130" s="1036" t="str">
        <f t="shared" si="1092"/>
        <v/>
      </c>
      <c r="G3130" s="1037" t="str">
        <f t="shared" si="1087"/>
        <v/>
      </c>
      <c r="H3130" s="225"/>
      <c r="I3130" s="1013"/>
      <c r="J3130" s="1013"/>
      <c r="K3130" s="1028"/>
      <c r="L3130" s="1035" t="str">
        <f t="shared" si="1091"/>
        <v/>
      </c>
      <c r="S3130" s="498"/>
      <c r="AJ3130" s="498"/>
      <c r="AM3130" s="498">
        <f t="shared" si="1072"/>
        <v>0</v>
      </c>
      <c r="AN3130" s="498">
        <f t="shared" si="1073"/>
        <v>0</v>
      </c>
      <c r="AO3130" s="498">
        <f t="shared" si="1074"/>
        <v>0</v>
      </c>
      <c r="AP3130" s="498">
        <f t="shared" si="1093"/>
        <v>0</v>
      </c>
      <c r="AQ3130" s="498">
        <f t="shared" si="1088"/>
        <v>0</v>
      </c>
      <c r="AU3130" s="498">
        <f t="shared" si="1075"/>
        <v>0</v>
      </c>
      <c r="AV3130" s="498">
        <f t="shared" si="1076"/>
        <v>0</v>
      </c>
      <c r="AW3130" s="498">
        <f t="shared" si="1077"/>
        <v>0</v>
      </c>
      <c r="AX3130" s="498">
        <f t="shared" si="1078"/>
        <v>0</v>
      </c>
      <c r="AY3130" s="498">
        <f t="shared" si="1079"/>
        <v>0</v>
      </c>
      <c r="BB3130" s="498" t="str">
        <f t="shared" si="1080"/>
        <v/>
      </c>
      <c r="BC3130" s="743" t="str">
        <f t="shared" si="1081"/>
        <v/>
      </c>
      <c r="BD3130" s="743" t="str">
        <f t="shared" si="1082"/>
        <v/>
      </c>
      <c r="BE3130" s="743" t="str">
        <f>IF(D3130="","",VLOOKUP(D3130,'General Basis'!$J$39:$K$46,2,0))</f>
        <v/>
      </c>
      <c r="BF3130" s="744" t="str">
        <f>IF(D3130="","",VLOOKUP(D3130,'General Basis'!$J$39:$L$46,3,0))</f>
        <v/>
      </c>
      <c r="BG3130" s="744" t="str">
        <f t="shared" si="1089"/>
        <v/>
      </c>
      <c r="BH3130" s="744" t="str">
        <f>IF(G3130="","",IF(BF3130="Abu Dhabi",IF(G3130&lt;18,'General Basis'!$C$39,IF(G3130&lt;41,'General Basis'!$C$40,IF(G3130&lt;60,'General Basis'!$C$41,IF(G3130&lt;65,'General Basis'!$C$42,'General Basis'!$C$43)))),IF(G3130&lt;11,'General Basis'!$B$39,IF(G3130&lt;18,'General Basis'!$B$40,IF(G3130&lt;26,'General Basis'!$B$41,IF(G3130&lt;31,'General Basis'!$B$42,IF(G3130&lt;36,'General Basis'!$B$43,IF(G3130&lt;41,'General Basis'!$B$44,IF(G3130&lt;46,'General Basis'!$B$45,IF(G3130&lt;51,'General Basis'!$B$46,IF(G3130&lt;56,'General Basis'!$B$47,IF(G3130&lt;60,'General Basis'!$B$48,IF(G3130&lt;65,'General Basis'!$B$49,'General Basis'!$B$50)))))))))))))</f>
        <v/>
      </c>
      <c r="BI3130" s="744" t="str">
        <f t="shared" si="1083"/>
        <v/>
      </c>
      <c r="BJ3130" s="747" t="str">
        <f t="shared" si="1090"/>
        <v/>
      </c>
      <c r="BK3130" s="498" t="str">
        <f t="shared" si="1084"/>
        <v/>
      </c>
      <c r="BL3130" s="498" t="str">
        <f t="shared" si="1085"/>
        <v/>
      </c>
    </row>
    <row r="3131" spans="1:64" x14ac:dyDescent="0.25">
      <c r="A3131" s="762">
        <f t="shared" si="1086"/>
        <v>3126</v>
      </c>
      <c r="B3131" s="229"/>
      <c r="C3131" s="223"/>
      <c r="D3131" s="224"/>
      <c r="E3131" s="225"/>
      <c r="F3131" s="1036" t="str">
        <f t="shared" si="1092"/>
        <v/>
      </c>
      <c r="G3131" s="1037" t="str">
        <f t="shared" si="1087"/>
        <v/>
      </c>
      <c r="H3131" s="225"/>
      <c r="I3131" s="1013"/>
      <c r="J3131" s="1013"/>
      <c r="K3131" s="1028"/>
      <c r="L3131" s="1035" t="str">
        <f t="shared" si="1091"/>
        <v/>
      </c>
      <c r="S3131" s="498"/>
      <c r="AJ3131" s="498"/>
      <c r="AM3131" s="498">
        <f t="shared" si="1072"/>
        <v>0</v>
      </c>
      <c r="AN3131" s="498">
        <f t="shared" si="1073"/>
        <v>0</v>
      </c>
      <c r="AO3131" s="498">
        <f t="shared" si="1074"/>
        <v>0</v>
      </c>
      <c r="AP3131" s="498">
        <f t="shared" si="1093"/>
        <v>0</v>
      </c>
      <c r="AQ3131" s="498">
        <f t="shared" si="1088"/>
        <v>0</v>
      </c>
      <c r="AU3131" s="498">
        <f t="shared" si="1075"/>
        <v>0</v>
      </c>
      <c r="AV3131" s="498">
        <f t="shared" si="1076"/>
        <v>0</v>
      </c>
      <c r="AW3131" s="498">
        <f t="shared" si="1077"/>
        <v>0</v>
      </c>
      <c r="AX3131" s="498">
        <f t="shared" si="1078"/>
        <v>0</v>
      </c>
      <c r="AY3131" s="498">
        <f t="shared" si="1079"/>
        <v>0</v>
      </c>
      <c r="BB3131" s="498" t="str">
        <f t="shared" si="1080"/>
        <v/>
      </c>
      <c r="BC3131" s="743" t="str">
        <f t="shared" si="1081"/>
        <v/>
      </c>
      <c r="BD3131" s="743" t="str">
        <f t="shared" si="1082"/>
        <v/>
      </c>
      <c r="BE3131" s="743" t="str">
        <f>IF(D3131="","",VLOOKUP(D3131,'General Basis'!$J$39:$K$46,2,0))</f>
        <v/>
      </c>
      <c r="BF3131" s="744" t="str">
        <f>IF(D3131="","",VLOOKUP(D3131,'General Basis'!$J$39:$L$46,3,0))</f>
        <v/>
      </c>
      <c r="BG3131" s="744" t="str">
        <f t="shared" si="1089"/>
        <v/>
      </c>
      <c r="BH3131" s="744" t="str">
        <f>IF(G3131="","",IF(BF3131="Abu Dhabi",IF(G3131&lt;18,'General Basis'!$C$39,IF(G3131&lt;41,'General Basis'!$C$40,IF(G3131&lt;60,'General Basis'!$C$41,IF(G3131&lt;65,'General Basis'!$C$42,'General Basis'!$C$43)))),IF(G3131&lt;11,'General Basis'!$B$39,IF(G3131&lt;18,'General Basis'!$B$40,IF(G3131&lt;26,'General Basis'!$B$41,IF(G3131&lt;31,'General Basis'!$B$42,IF(G3131&lt;36,'General Basis'!$B$43,IF(G3131&lt;41,'General Basis'!$B$44,IF(G3131&lt;46,'General Basis'!$B$45,IF(G3131&lt;51,'General Basis'!$B$46,IF(G3131&lt;56,'General Basis'!$B$47,IF(G3131&lt;60,'General Basis'!$B$48,IF(G3131&lt;65,'General Basis'!$B$49,'General Basis'!$B$50)))))))))))))</f>
        <v/>
      </c>
      <c r="BI3131" s="744" t="str">
        <f t="shared" si="1083"/>
        <v/>
      </c>
      <c r="BJ3131" s="747" t="str">
        <f t="shared" si="1090"/>
        <v/>
      </c>
      <c r="BK3131" s="498" t="str">
        <f t="shared" si="1084"/>
        <v/>
      </c>
      <c r="BL3131" s="498" t="str">
        <f t="shared" si="1085"/>
        <v/>
      </c>
    </row>
    <row r="3132" spans="1:64" x14ac:dyDescent="0.25">
      <c r="A3132" s="762">
        <f t="shared" si="1086"/>
        <v>3127</v>
      </c>
      <c r="B3132" s="229"/>
      <c r="C3132" s="223"/>
      <c r="D3132" s="224"/>
      <c r="E3132" s="225"/>
      <c r="F3132" s="1036" t="str">
        <f t="shared" si="1092"/>
        <v/>
      </c>
      <c r="G3132" s="1037" t="str">
        <f t="shared" si="1087"/>
        <v/>
      </c>
      <c r="H3132" s="225"/>
      <c r="I3132" s="1013"/>
      <c r="J3132" s="1013"/>
      <c r="K3132" s="1028"/>
      <c r="L3132" s="1035" t="str">
        <f t="shared" si="1091"/>
        <v/>
      </c>
      <c r="S3132" s="498"/>
      <c r="AJ3132" s="498"/>
      <c r="AM3132" s="498">
        <f t="shared" si="1072"/>
        <v>0</v>
      </c>
      <c r="AN3132" s="498">
        <f t="shared" si="1073"/>
        <v>0</v>
      </c>
      <c r="AO3132" s="498">
        <f t="shared" si="1074"/>
        <v>0</v>
      </c>
      <c r="AP3132" s="498">
        <f t="shared" si="1093"/>
        <v>0</v>
      </c>
      <c r="AQ3132" s="498">
        <f t="shared" si="1088"/>
        <v>0</v>
      </c>
      <c r="AU3132" s="498">
        <f t="shared" si="1075"/>
        <v>0</v>
      </c>
      <c r="AV3132" s="498">
        <f t="shared" si="1076"/>
        <v>0</v>
      </c>
      <c r="AW3132" s="498">
        <f t="shared" si="1077"/>
        <v>0</v>
      </c>
      <c r="AX3132" s="498">
        <f t="shared" si="1078"/>
        <v>0</v>
      </c>
      <c r="AY3132" s="498">
        <f t="shared" si="1079"/>
        <v>0</v>
      </c>
      <c r="BB3132" s="498" t="str">
        <f t="shared" si="1080"/>
        <v/>
      </c>
      <c r="BC3132" s="743" t="str">
        <f t="shared" si="1081"/>
        <v/>
      </c>
      <c r="BD3132" s="743" t="str">
        <f t="shared" si="1082"/>
        <v/>
      </c>
      <c r="BE3132" s="743" t="str">
        <f>IF(D3132="","",VLOOKUP(D3132,'General Basis'!$J$39:$K$46,2,0))</f>
        <v/>
      </c>
      <c r="BF3132" s="744" t="str">
        <f>IF(D3132="","",VLOOKUP(D3132,'General Basis'!$J$39:$L$46,3,0))</f>
        <v/>
      </c>
      <c r="BG3132" s="744" t="str">
        <f t="shared" si="1089"/>
        <v/>
      </c>
      <c r="BH3132" s="744" t="str">
        <f>IF(G3132="","",IF(BF3132="Abu Dhabi",IF(G3132&lt;18,'General Basis'!$C$39,IF(G3132&lt;41,'General Basis'!$C$40,IF(G3132&lt;60,'General Basis'!$C$41,IF(G3132&lt;65,'General Basis'!$C$42,'General Basis'!$C$43)))),IF(G3132&lt;11,'General Basis'!$B$39,IF(G3132&lt;18,'General Basis'!$B$40,IF(G3132&lt;26,'General Basis'!$B$41,IF(G3132&lt;31,'General Basis'!$B$42,IF(G3132&lt;36,'General Basis'!$B$43,IF(G3132&lt;41,'General Basis'!$B$44,IF(G3132&lt;46,'General Basis'!$B$45,IF(G3132&lt;51,'General Basis'!$B$46,IF(G3132&lt;56,'General Basis'!$B$47,IF(G3132&lt;60,'General Basis'!$B$48,IF(G3132&lt;65,'General Basis'!$B$49,'General Basis'!$B$50)))))))))))))</f>
        <v/>
      </c>
      <c r="BI3132" s="744" t="str">
        <f t="shared" si="1083"/>
        <v/>
      </c>
      <c r="BJ3132" s="747" t="str">
        <f t="shared" si="1090"/>
        <v/>
      </c>
      <c r="BK3132" s="498" t="str">
        <f t="shared" si="1084"/>
        <v/>
      </c>
      <c r="BL3132" s="498" t="str">
        <f t="shared" si="1085"/>
        <v/>
      </c>
    </row>
    <row r="3133" spans="1:64" x14ac:dyDescent="0.25">
      <c r="A3133" s="762">
        <f t="shared" si="1086"/>
        <v>3128</v>
      </c>
      <c r="B3133" s="229"/>
      <c r="C3133" s="223"/>
      <c r="D3133" s="224"/>
      <c r="E3133" s="225"/>
      <c r="F3133" s="1036" t="str">
        <f t="shared" si="1092"/>
        <v/>
      </c>
      <c r="G3133" s="1037" t="str">
        <f t="shared" si="1087"/>
        <v/>
      </c>
      <c r="H3133" s="225"/>
      <c r="I3133" s="1013"/>
      <c r="J3133" s="1013"/>
      <c r="K3133" s="1028"/>
      <c r="L3133" s="1035" t="str">
        <f t="shared" si="1091"/>
        <v/>
      </c>
      <c r="S3133" s="498"/>
      <c r="AJ3133" s="498"/>
      <c r="AM3133" s="498">
        <f t="shared" si="1072"/>
        <v>0</v>
      </c>
      <c r="AN3133" s="498">
        <f t="shared" si="1073"/>
        <v>0</v>
      </c>
      <c r="AO3133" s="498">
        <f t="shared" si="1074"/>
        <v>0</v>
      </c>
      <c r="AP3133" s="498">
        <f t="shared" si="1093"/>
        <v>0</v>
      </c>
      <c r="AQ3133" s="498">
        <f t="shared" si="1088"/>
        <v>0</v>
      </c>
      <c r="AU3133" s="498">
        <f t="shared" si="1075"/>
        <v>0</v>
      </c>
      <c r="AV3133" s="498">
        <f t="shared" si="1076"/>
        <v>0</v>
      </c>
      <c r="AW3133" s="498">
        <f t="shared" si="1077"/>
        <v>0</v>
      </c>
      <c r="AX3133" s="498">
        <f t="shared" si="1078"/>
        <v>0</v>
      </c>
      <c r="AY3133" s="498">
        <f t="shared" si="1079"/>
        <v>0</v>
      </c>
      <c r="BB3133" s="498" t="str">
        <f t="shared" si="1080"/>
        <v/>
      </c>
      <c r="BC3133" s="743" t="str">
        <f t="shared" si="1081"/>
        <v/>
      </c>
      <c r="BD3133" s="743" t="str">
        <f t="shared" si="1082"/>
        <v/>
      </c>
      <c r="BE3133" s="743" t="str">
        <f>IF(D3133="","",VLOOKUP(D3133,'General Basis'!$J$39:$K$46,2,0))</f>
        <v/>
      </c>
      <c r="BF3133" s="744" t="str">
        <f>IF(D3133="","",VLOOKUP(D3133,'General Basis'!$J$39:$L$46,3,0))</f>
        <v/>
      </c>
      <c r="BG3133" s="744" t="str">
        <f t="shared" si="1089"/>
        <v/>
      </c>
      <c r="BH3133" s="744" t="str">
        <f>IF(G3133="","",IF(BF3133="Abu Dhabi",IF(G3133&lt;18,'General Basis'!$C$39,IF(G3133&lt;41,'General Basis'!$C$40,IF(G3133&lt;60,'General Basis'!$C$41,IF(G3133&lt;65,'General Basis'!$C$42,'General Basis'!$C$43)))),IF(G3133&lt;11,'General Basis'!$B$39,IF(G3133&lt;18,'General Basis'!$B$40,IF(G3133&lt;26,'General Basis'!$B$41,IF(G3133&lt;31,'General Basis'!$B$42,IF(G3133&lt;36,'General Basis'!$B$43,IF(G3133&lt;41,'General Basis'!$B$44,IF(G3133&lt;46,'General Basis'!$B$45,IF(G3133&lt;51,'General Basis'!$B$46,IF(G3133&lt;56,'General Basis'!$B$47,IF(G3133&lt;60,'General Basis'!$B$48,IF(G3133&lt;65,'General Basis'!$B$49,'General Basis'!$B$50)))))))))))))</f>
        <v/>
      </c>
      <c r="BI3133" s="744" t="str">
        <f t="shared" si="1083"/>
        <v/>
      </c>
      <c r="BJ3133" s="747" t="str">
        <f t="shared" si="1090"/>
        <v/>
      </c>
      <c r="BK3133" s="498" t="str">
        <f t="shared" si="1084"/>
        <v/>
      </c>
      <c r="BL3133" s="498" t="str">
        <f t="shared" si="1085"/>
        <v/>
      </c>
    </row>
    <row r="3134" spans="1:64" x14ac:dyDescent="0.25">
      <c r="A3134" s="762">
        <f t="shared" si="1086"/>
        <v>3129</v>
      </c>
      <c r="B3134" s="229"/>
      <c r="C3134" s="223"/>
      <c r="D3134" s="224"/>
      <c r="E3134" s="225"/>
      <c r="F3134" s="1036" t="str">
        <f t="shared" si="1092"/>
        <v/>
      </c>
      <c r="G3134" s="1037" t="str">
        <f t="shared" si="1087"/>
        <v/>
      </c>
      <c r="H3134" s="225"/>
      <c r="I3134" s="1013"/>
      <c r="J3134" s="1013"/>
      <c r="K3134" s="1028"/>
      <c r="L3134" s="1035" t="str">
        <f t="shared" si="1091"/>
        <v/>
      </c>
      <c r="S3134" s="498"/>
      <c r="AJ3134" s="498"/>
      <c r="AM3134" s="498">
        <f t="shared" si="1072"/>
        <v>0</v>
      </c>
      <c r="AN3134" s="498">
        <f t="shared" si="1073"/>
        <v>0</v>
      </c>
      <c r="AO3134" s="498">
        <f t="shared" si="1074"/>
        <v>0</v>
      </c>
      <c r="AP3134" s="498">
        <f t="shared" si="1093"/>
        <v>0</v>
      </c>
      <c r="AQ3134" s="498">
        <f t="shared" si="1088"/>
        <v>0</v>
      </c>
      <c r="AU3134" s="498">
        <f t="shared" si="1075"/>
        <v>0</v>
      </c>
      <c r="AV3134" s="498">
        <f t="shared" si="1076"/>
        <v>0</v>
      </c>
      <c r="AW3134" s="498">
        <f t="shared" si="1077"/>
        <v>0</v>
      </c>
      <c r="AX3134" s="498">
        <f t="shared" si="1078"/>
        <v>0</v>
      </c>
      <c r="AY3134" s="498">
        <f t="shared" si="1079"/>
        <v>0</v>
      </c>
      <c r="BB3134" s="498" t="str">
        <f t="shared" si="1080"/>
        <v/>
      </c>
      <c r="BC3134" s="743" t="str">
        <f t="shared" si="1081"/>
        <v/>
      </c>
      <c r="BD3134" s="743" t="str">
        <f t="shared" si="1082"/>
        <v/>
      </c>
      <c r="BE3134" s="743" t="str">
        <f>IF(D3134="","",VLOOKUP(D3134,'General Basis'!$J$39:$K$46,2,0))</f>
        <v/>
      </c>
      <c r="BF3134" s="744" t="str">
        <f>IF(D3134="","",VLOOKUP(D3134,'General Basis'!$J$39:$L$46,3,0))</f>
        <v/>
      </c>
      <c r="BG3134" s="744" t="str">
        <f t="shared" si="1089"/>
        <v/>
      </c>
      <c r="BH3134" s="744" t="str">
        <f>IF(G3134="","",IF(BF3134="Abu Dhabi",IF(G3134&lt;18,'General Basis'!$C$39,IF(G3134&lt;41,'General Basis'!$C$40,IF(G3134&lt;60,'General Basis'!$C$41,IF(G3134&lt;65,'General Basis'!$C$42,'General Basis'!$C$43)))),IF(G3134&lt;11,'General Basis'!$B$39,IF(G3134&lt;18,'General Basis'!$B$40,IF(G3134&lt;26,'General Basis'!$B$41,IF(G3134&lt;31,'General Basis'!$B$42,IF(G3134&lt;36,'General Basis'!$B$43,IF(G3134&lt;41,'General Basis'!$B$44,IF(G3134&lt;46,'General Basis'!$B$45,IF(G3134&lt;51,'General Basis'!$B$46,IF(G3134&lt;56,'General Basis'!$B$47,IF(G3134&lt;60,'General Basis'!$B$48,IF(G3134&lt;65,'General Basis'!$B$49,'General Basis'!$B$50)))))))))))))</f>
        <v/>
      </c>
      <c r="BI3134" s="744" t="str">
        <f t="shared" si="1083"/>
        <v/>
      </c>
      <c r="BJ3134" s="747" t="str">
        <f t="shared" si="1090"/>
        <v/>
      </c>
      <c r="BK3134" s="498" t="str">
        <f t="shared" si="1084"/>
        <v/>
      </c>
      <c r="BL3134" s="498" t="str">
        <f t="shared" si="1085"/>
        <v/>
      </c>
    </row>
    <row r="3135" spans="1:64" x14ac:dyDescent="0.25">
      <c r="A3135" s="762">
        <f t="shared" si="1086"/>
        <v>3130</v>
      </c>
      <c r="B3135" s="229"/>
      <c r="C3135" s="223"/>
      <c r="D3135" s="224"/>
      <c r="E3135" s="225"/>
      <c r="F3135" s="1036" t="str">
        <f t="shared" si="1092"/>
        <v/>
      </c>
      <c r="G3135" s="1037" t="str">
        <f t="shared" si="1087"/>
        <v/>
      </c>
      <c r="H3135" s="225"/>
      <c r="I3135" s="1013"/>
      <c r="J3135" s="1013"/>
      <c r="K3135" s="1028"/>
      <c r="L3135" s="1035" t="str">
        <f t="shared" si="1091"/>
        <v/>
      </c>
      <c r="S3135" s="498"/>
      <c r="AJ3135" s="498"/>
      <c r="AM3135" s="498">
        <f t="shared" si="1072"/>
        <v>0</v>
      </c>
      <c r="AN3135" s="498">
        <f t="shared" si="1073"/>
        <v>0</v>
      </c>
      <c r="AO3135" s="498">
        <f t="shared" si="1074"/>
        <v>0</v>
      </c>
      <c r="AP3135" s="498">
        <f t="shared" si="1093"/>
        <v>0</v>
      </c>
      <c r="AQ3135" s="498">
        <f t="shared" si="1088"/>
        <v>0</v>
      </c>
      <c r="AU3135" s="498">
        <f t="shared" si="1075"/>
        <v>0</v>
      </c>
      <c r="AV3135" s="498">
        <f t="shared" si="1076"/>
        <v>0</v>
      </c>
      <c r="AW3135" s="498">
        <f t="shared" si="1077"/>
        <v>0</v>
      </c>
      <c r="AX3135" s="498">
        <f t="shared" si="1078"/>
        <v>0</v>
      </c>
      <c r="AY3135" s="498">
        <f t="shared" si="1079"/>
        <v>0</v>
      </c>
      <c r="BB3135" s="498" t="str">
        <f t="shared" si="1080"/>
        <v/>
      </c>
      <c r="BC3135" s="743" t="str">
        <f t="shared" si="1081"/>
        <v/>
      </c>
      <c r="BD3135" s="743" t="str">
        <f t="shared" si="1082"/>
        <v/>
      </c>
      <c r="BE3135" s="743" t="str">
        <f>IF(D3135="","",VLOOKUP(D3135,'General Basis'!$J$39:$K$46,2,0))</f>
        <v/>
      </c>
      <c r="BF3135" s="744" t="str">
        <f>IF(D3135="","",VLOOKUP(D3135,'General Basis'!$J$39:$L$46,3,0))</f>
        <v/>
      </c>
      <c r="BG3135" s="744" t="str">
        <f t="shared" si="1089"/>
        <v/>
      </c>
      <c r="BH3135" s="744" t="str">
        <f>IF(G3135="","",IF(BF3135="Abu Dhabi",IF(G3135&lt;18,'General Basis'!$C$39,IF(G3135&lt;41,'General Basis'!$C$40,IF(G3135&lt;60,'General Basis'!$C$41,IF(G3135&lt;65,'General Basis'!$C$42,'General Basis'!$C$43)))),IF(G3135&lt;11,'General Basis'!$B$39,IF(G3135&lt;18,'General Basis'!$B$40,IF(G3135&lt;26,'General Basis'!$B$41,IF(G3135&lt;31,'General Basis'!$B$42,IF(G3135&lt;36,'General Basis'!$B$43,IF(G3135&lt;41,'General Basis'!$B$44,IF(G3135&lt;46,'General Basis'!$B$45,IF(G3135&lt;51,'General Basis'!$B$46,IF(G3135&lt;56,'General Basis'!$B$47,IF(G3135&lt;60,'General Basis'!$B$48,IF(G3135&lt;65,'General Basis'!$B$49,'General Basis'!$B$50)))))))))))))</f>
        <v/>
      </c>
      <c r="BI3135" s="744" t="str">
        <f t="shared" si="1083"/>
        <v/>
      </c>
      <c r="BJ3135" s="747" t="str">
        <f t="shared" si="1090"/>
        <v/>
      </c>
      <c r="BK3135" s="498" t="str">
        <f t="shared" si="1084"/>
        <v/>
      </c>
      <c r="BL3135" s="498" t="str">
        <f t="shared" si="1085"/>
        <v/>
      </c>
    </row>
    <row r="3136" spans="1:64" x14ac:dyDescent="0.25">
      <c r="A3136" s="762">
        <f t="shared" si="1086"/>
        <v>3131</v>
      </c>
      <c r="B3136" s="229"/>
      <c r="C3136" s="223"/>
      <c r="D3136" s="224"/>
      <c r="E3136" s="225"/>
      <c r="F3136" s="1036" t="str">
        <f t="shared" si="1092"/>
        <v/>
      </c>
      <c r="G3136" s="1037" t="str">
        <f t="shared" si="1087"/>
        <v/>
      </c>
      <c r="H3136" s="225"/>
      <c r="I3136" s="1013"/>
      <c r="J3136" s="1013"/>
      <c r="K3136" s="1028"/>
      <c r="L3136" s="1035" t="str">
        <f t="shared" si="1091"/>
        <v/>
      </c>
      <c r="S3136" s="498"/>
      <c r="AJ3136" s="498"/>
      <c r="AM3136" s="498">
        <f t="shared" si="1072"/>
        <v>0</v>
      </c>
      <c r="AN3136" s="498">
        <f t="shared" si="1073"/>
        <v>0</v>
      </c>
      <c r="AO3136" s="498">
        <f t="shared" si="1074"/>
        <v>0</v>
      </c>
      <c r="AP3136" s="498">
        <f t="shared" si="1093"/>
        <v>0</v>
      </c>
      <c r="AQ3136" s="498">
        <f t="shared" si="1088"/>
        <v>0</v>
      </c>
      <c r="AU3136" s="498">
        <f t="shared" si="1075"/>
        <v>0</v>
      </c>
      <c r="AV3136" s="498">
        <f t="shared" si="1076"/>
        <v>0</v>
      </c>
      <c r="AW3136" s="498">
        <f t="shared" si="1077"/>
        <v>0</v>
      </c>
      <c r="AX3136" s="498">
        <f t="shared" si="1078"/>
        <v>0</v>
      </c>
      <c r="AY3136" s="498">
        <f t="shared" si="1079"/>
        <v>0</v>
      </c>
      <c r="BB3136" s="498" t="str">
        <f t="shared" si="1080"/>
        <v/>
      </c>
      <c r="BC3136" s="743" t="str">
        <f t="shared" si="1081"/>
        <v/>
      </c>
      <c r="BD3136" s="743" t="str">
        <f t="shared" si="1082"/>
        <v/>
      </c>
      <c r="BE3136" s="743" t="str">
        <f>IF(D3136="","",VLOOKUP(D3136,'General Basis'!$J$39:$K$46,2,0))</f>
        <v/>
      </c>
      <c r="BF3136" s="744" t="str">
        <f>IF(D3136="","",VLOOKUP(D3136,'General Basis'!$J$39:$L$46,3,0))</f>
        <v/>
      </c>
      <c r="BG3136" s="744" t="str">
        <f t="shared" si="1089"/>
        <v/>
      </c>
      <c r="BH3136" s="744" t="str">
        <f>IF(G3136="","",IF(BF3136="Abu Dhabi",IF(G3136&lt;18,'General Basis'!$C$39,IF(G3136&lt;41,'General Basis'!$C$40,IF(G3136&lt;60,'General Basis'!$C$41,IF(G3136&lt;65,'General Basis'!$C$42,'General Basis'!$C$43)))),IF(G3136&lt;11,'General Basis'!$B$39,IF(G3136&lt;18,'General Basis'!$B$40,IF(G3136&lt;26,'General Basis'!$B$41,IF(G3136&lt;31,'General Basis'!$B$42,IF(G3136&lt;36,'General Basis'!$B$43,IF(G3136&lt;41,'General Basis'!$B$44,IF(G3136&lt;46,'General Basis'!$B$45,IF(G3136&lt;51,'General Basis'!$B$46,IF(G3136&lt;56,'General Basis'!$B$47,IF(G3136&lt;60,'General Basis'!$B$48,IF(G3136&lt;65,'General Basis'!$B$49,'General Basis'!$B$50)))))))))))))</f>
        <v/>
      </c>
      <c r="BI3136" s="744" t="str">
        <f t="shared" si="1083"/>
        <v/>
      </c>
      <c r="BJ3136" s="747" t="str">
        <f t="shared" si="1090"/>
        <v/>
      </c>
      <c r="BK3136" s="498" t="str">
        <f t="shared" si="1084"/>
        <v/>
      </c>
      <c r="BL3136" s="498" t="str">
        <f t="shared" si="1085"/>
        <v/>
      </c>
    </row>
    <row r="3137" spans="1:64" x14ac:dyDescent="0.25">
      <c r="A3137" s="762">
        <f t="shared" si="1086"/>
        <v>3132</v>
      </c>
      <c r="B3137" s="229"/>
      <c r="C3137" s="223"/>
      <c r="D3137" s="224"/>
      <c r="E3137" s="225"/>
      <c r="F3137" s="1036" t="str">
        <f t="shared" si="1092"/>
        <v/>
      </c>
      <c r="G3137" s="1037" t="str">
        <f t="shared" si="1087"/>
        <v/>
      </c>
      <c r="H3137" s="225"/>
      <c r="I3137" s="1013"/>
      <c r="J3137" s="1013"/>
      <c r="K3137" s="1028"/>
      <c r="L3137" s="1035" t="str">
        <f t="shared" si="1091"/>
        <v/>
      </c>
      <c r="S3137" s="498"/>
      <c r="AJ3137" s="498"/>
      <c r="AM3137" s="498">
        <f t="shared" si="1072"/>
        <v>0</v>
      </c>
      <c r="AN3137" s="498">
        <f t="shared" si="1073"/>
        <v>0</v>
      </c>
      <c r="AO3137" s="498">
        <f t="shared" si="1074"/>
        <v>0</v>
      </c>
      <c r="AP3137" s="498">
        <f t="shared" si="1093"/>
        <v>0</v>
      </c>
      <c r="AQ3137" s="498">
        <f t="shared" si="1088"/>
        <v>0</v>
      </c>
      <c r="AU3137" s="498">
        <f t="shared" si="1075"/>
        <v>0</v>
      </c>
      <c r="AV3137" s="498">
        <f t="shared" si="1076"/>
        <v>0</v>
      </c>
      <c r="AW3137" s="498">
        <f t="shared" si="1077"/>
        <v>0</v>
      </c>
      <c r="AX3137" s="498">
        <f t="shared" si="1078"/>
        <v>0</v>
      </c>
      <c r="AY3137" s="498">
        <f t="shared" si="1079"/>
        <v>0</v>
      </c>
      <c r="BB3137" s="498" t="str">
        <f t="shared" si="1080"/>
        <v/>
      </c>
      <c r="BC3137" s="743" t="str">
        <f t="shared" si="1081"/>
        <v/>
      </c>
      <c r="BD3137" s="743" t="str">
        <f t="shared" si="1082"/>
        <v/>
      </c>
      <c r="BE3137" s="743" t="str">
        <f>IF(D3137="","",VLOOKUP(D3137,'General Basis'!$J$39:$K$46,2,0))</f>
        <v/>
      </c>
      <c r="BF3137" s="744" t="str">
        <f>IF(D3137="","",VLOOKUP(D3137,'General Basis'!$J$39:$L$46,3,0))</f>
        <v/>
      </c>
      <c r="BG3137" s="744" t="str">
        <f t="shared" si="1089"/>
        <v/>
      </c>
      <c r="BH3137" s="744" t="str">
        <f>IF(G3137="","",IF(BF3137="Abu Dhabi",IF(G3137&lt;18,'General Basis'!$C$39,IF(G3137&lt;41,'General Basis'!$C$40,IF(G3137&lt;60,'General Basis'!$C$41,IF(G3137&lt;65,'General Basis'!$C$42,'General Basis'!$C$43)))),IF(G3137&lt;11,'General Basis'!$B$39,IF(G3137&lt;18,'General Basis'!$B$40,IF(G3137&lt;26,'General Basis'!$B$41,IF(G3137&lt;31,'General Basis'!$B$42,IF(G3137&lt;36,'General Basis'!$B$43,IF(G3137&lt;41,'General Basis'!$B$44,IF(G3137&lt;46,'General Basis'!$B$45,IF(G3137&lt;51,'General Basis'!$B$46,IF(G3137&lt;56,'General Basis'!$B$47,IF(G3137&lt;60,'General Basis'!$B$48,IF(G3137&lt;65,'General Basis'!$B$49,'General Basis'!$B$50)))))))))))))</f>
        <v/>
      </c>
      <c r="BI3137" s="744" t="str">
        <f t="shared" si="1083"/>
        <v/>
      </c>
      <c r="BJ3137" s="747" t="str">
        <f t="shared" si="1090"/>
        <v/>
      </c>
      <c r="BK3137" s="498" t="str">
        <f t="shared" si="1084"/>
        <v/>
      </c>
      <c r="BL3137" s="498" t="str">
        <f t="shared" si="1085"/>
        <v/>
      </c>
    </row>
    <row r="3138" spans="1:64" x14ac:dyDescent="0.25">
      <c r="A3138" s="762">
        <f t="shared" si="1086"/>
        <v>3133</v>
      </c>
      <c r="B3138" s="229"/>
      <c r="C3138" s="223"/>
      <c r="D3138" s="224"/>
      <c r="E3138" s="225"/>
      <c r="F3138" s="1036" t="str">
        <f t="shared" si="1092"/>
        <v/>
      </c>
      <c r="G3138" s="1037" t="str">
        <f t="shared" si="1087"/>
        <v/>
      </c>
      <c r="H3138" s="225"/>
      <c r="I3138" s="1013"/>
      <c r="J3138" s="1013"/>
      <c r="K3138" s="1028"/>
      <c r="L3138" s="1035" t="str">
        <f t="shared" si="1091"/>
        <v/>
      </c>
      <c r="S3138" s="498"/>
      <c r="AJ3138" s="498"/>
      <c r="AM3138" s="498">
        <f t="shared" si="1072"/>
        <v>0</v>
      </c>
      <c r="AN3138" s="498">
        <f t="shared" si="1073"/>
        <v>0</v>
      </c>
      <c r="AO3138" s="498">
        <f t="shared" si="1074"/>
        <v>0</v>
      </c>
      <c r="AP3138" s="498">
        <f t="shared" si="1093"/>
        <v>0</v>
      </c>
      <c r="AQ3138" s="498">
        <f t="shared" si="1088"/>
        <v>0</v>
      </c>
      <c r="AU3138" s="498">
        <f t="shared" si="1075"/>
        <v>0</v>
      </c>
      <c r="AV3138" s="498">
        <f t="shared" si="1076"/>
        <v>0</v>
      </c>
      <c r="AW3138" s="498">
        <f t="shared" si="1077"/>
        <v>0</v>
      </c>
      <c r="AX3138" s="498">
        <f t="shared" si="1078"/>
        <v>0</v>
      </c>
      <c r="AY3138" s="498">
        <f t="shared" si="1079"/>
        <v>0</v>
      </c>
      <c r="BB3138" s="498" t="str">
        <f t="shared" si="1080"/>
        <v/>
      </c>
      <c r="BC3138" s="743" t="str">
        <f t="shared" si="1081"/>
        <v/>
      </c>
      <c r="BD3138" s="743" t="str">
        <f t="shared" si="1082"/>
        <v/>
      </c>
      <c r="BE3138" s="743" t="str">
        <f>IF(D3138="","",VLOOKUP(D3138,'General Basis'!$J$39:$K$46,2,0))</f>
        <v/>
      </c>
      <c r="BF3138" s="744" t="str">
        <f>IF(D3138="","",VLOOKUP(D3138,'General Basis'!$J$39:$L$46,3,0))</f>
        <v/>
      </c>
      <c r="BG3138" s="744" t="str">
        <f t="shared" si="1089"/>
        <v/>
      </c>
      <c r="BH3138" s="744" t="str">
        <f>IF(G3138="","",IF(BF3138="Abu Dhabi",IF(G3138&lt;18,'General Basis'!$C$39,IF(G3138&lt;41,'General Basis'!$C$40,IF(G3138&lt;60,'General Basis'!$C$41,IF(G3138&lt;65,'General Basis'!$C$42,'General Basis'!$C$43)))),IF(G3138&lt;11,'General Basis'!$B$39,IF(G3138&lt;18,'General Basis'!$B$40,IF(G3138&lt;26,'General Basis'!$B$41,IF(G3138&lt;31,'General Basis'!$B$42,IF(G3138&lt;36,'General Basis'!$B$43,IF(G3138&lt;41,'General Basis'!$B$44,IF(G3138&lt;46,'General Basis'!$B$45,IF(G3138&lt;51,'General Basis'!$B$46,IF(G3138&lt;56,'General Basis'!$B$47,IF(G3138&lt;60,'General Basis'!$B$48,IF(G3138&lt;65,'General Basis'!$B$49,'General Basis'!$B$50)))))))))))))</f>
        <v/>
      </c>
      <c r="BI3138" s="744" t="str">
        <f t="shared" si="1083"/>
        <v/>
      </c>
      <c r="BJ3138" s="747" t="str">
        <f t="shared" si="1090"/>
        <v/>
      </c>
      <c r="BK3138" s="498" t="str">
        <f t="shared" si="1084"/>
        <v/>
      </c>
      <c r="BL3138" s="498" t="str">
        <f t="shared" si="1085"/>
        <v/>
      </c>
    </row>
    <row r="3139" spans="1:64" x14ac:dyDescent="0.25">
      <c r="A3139" s="762">
        <f t="shared" si="1086"/>
        <v>3134</v>
      </c>
      <c r="B3139" s="229"/>
      <c r="C3139" s="223"/>
      <c r="D3139" s="224"/>
      <c r="E3139" s="225"/>
      <c r="F3139" s="1036" t="str">
        <f t="shared" si="1092"/>
        <v/>
      </c>
      <c r="G3139" s="1037" t="str">
        <f t="shared" si="1087"/>
        <v/>
      </c>
      <c r="H3139" s="225"/>
      <c r="I3139" s="1013"/>
      <c r="J3139" s="1013"/>
      <c r="K3139" s="1028"/>
      <c r="L3139" s="1035" t="str">
        <f t="shared" si="1091"/>
        <v/>
      </c>
      <c r="S3139" s="498"/>
      <c r="AJ3139" s="498"/>
      <c r="AM3139" s="498">
        <f t="shared" si="1072"/>
        <v>0</v>
      </c>
      <c r="AN3139" s="498">
        <f t="shared" si="1073"/>
        <v>0</v>
      </c>
      <c r="AO3139" s="498">
        <f t="shared" si="1074"/>
        <v>0</v>
      </c>
      <c r="AP3139" s="498">
        <f t="shared" si="1093"/>
        <v>0</v>
      </c>
      <c r="AQ3139" s="498">
        <f t="shared" si="1088"/>
        <v>0</v>
      </c>
      <c r="AU3139" s="498">
        <f t="shared" si="1075"/>
        <v>0</v>
      </c>
      <c r="AV3139" s="498">
        <f t="shared" si="1076"/>
        <v>0</v>
      </c>
      <c r="AW3139" s="498">
        <f t="shared" si="1077"/>
        <v>0</v>
      </c>
      <c r="AX3139" s="498">
        <f t="shared" si="1078"/>
        <v>0</v>
      </c>
      <c r="AY3139" s="498">
        <f t="shared" si="1079"/>
        <v>0</v>
      </c>
      <c r="BB3139" s="498" t="str">
        <f t="shared" si="1080"/>
        <v/>
      </c>
      <c r="BC3139" s="743" t="str">
        <f t="shared" si="1081"/>
        <v/>
      </c>
      <c r="BD3139" s="743" t="str">
        <f t="shared" si="1082"/>
        <v/>
      </c>
      <c r="BE3139" s="743" t="str">
        <f>IF(D3139="","",VLOOKUP(D3139,'General Basis'!$J$39:$K$46,2,0))</f>
        <v/>
      </c>
      <c r="BF3139" s="744" t="str">
        <f>IF(D3139="","",VLOOKUP(D3139,'General Basis'!$J$39:$L$46,3,0))</f>
        <v/>
      </c>
      <c r="BG3139" s="744" t="str">
        <f t="shared" si="1089"/>
        <v/>
      </c>
      <c r="BH3139" s="744" t="str">
        <f>IF(G3139="","",IF(BF3139="Abu Dhabi",IF(G3139&lt;18,'General Basis'!$C$39,IF(G3139&lt;41,'General Basis'!$C$40,IF(G3139&lt;60,'General Basis'!$C$41,IF(G3139&lt;65,'General Basis'!$C$42,'General Basis'!$C$43)))),IF(G3139&lt;11,'General Basis'!$B$39,IF(G3139&lt;18,'General Basis'!$B$40,IF(G3139&lt;26,'General Basis'!$B$41,IF(G3139&lt;31,'General Basis'!$B$42,IF(G3139&lt;36,'General Basis'!$B$43,IF(G3139&lt;41,'General Basis'!$B$44,IF(G3139&lt;46,'General Basis'!$B$45,IF(G3139&lt;51,'General Basis'!$B$46,IF(G3139&lt;56,'General Basis'!$B$47,IF(G3139&lt;60,'General Basis'!$B$48,IF(G3139&lt;65,'General Basis'!$B$49,'General Basis'!$B$50)))))))))))))</f>
        <v/>
      </c>
      <c r="BI3139" s="744" t="str">
        <f t="shared" si="1083"/>
        <v/>
      </c>
      <c r="BJ3139" s="747" t="str">
        <f t="shared" si="1090"/>
        <v/>
      </c>
      <c r="BK3139" s="498" t="str">
        <f t="shared" si="1084"/>
        <v/>
      </c>
      <c r="BL3139" s="498" t="str">
        <f t="shared" si="1085"/>
        <v/>
      </c>
    </row>
    <row r="3140" spans="1:64" x14ac:dyDescent="0.25">
      <c r="A3140" s="762">
        <f t="shared" si="1086"/>
        <v>3135</v>
      </c>
      <c r="B3140" s="229"/>
      <c r="C3140" s="223"/>
      <c r="D3140" s="224"/>
      <c r="E3140" s="225"/>
      <c r="F3140" s="1036" t="str">
        <f t="shared" si="1092"/>
        <v/>
      </c>
      <c r="G3140" s="1037" t="str">
        <f t="shared" si="1087"/>
        <v/>
      </c>
      <c r="H3140" s="225"/>
      <c r="I3140" s="1013"/>
      <c r="J3140" s="1013"/>
      <c r="K3140" s="1028"/>
      <c r="L3140" s="1035" t="str">
        <f t="shared" si="1091"/>
        <v/>
      </c>
      <c r="S3140" s="498"/>
      <c r="AJ3140" s="498"/>
      <c r="AM3140" s="498">
        <f t="shared" si="1072"/>
        <v>0</v>
      </c>
      <c r="AN3140" s="498">
        <f t="shared" si="1073"/>
        <v>0</v>
      </c>
      <c r="AO3140" s="498">
        <f t="shared" si="1074"/>
        <v>0</v>
      </c>
      <c r="AP3140" s="498">
        <f t="shared" si="1093"/>
        <v>0</v>
      </c>
      <c r="AQ3140" s="498">
        <f t="shared" si="1088"/>
        <v>0</v>
      </c>
      <c r="AU3140" s="498">
        <f t="shared" si="1075"/>
        <v>0</v>
      </c>
      <c r="AV3140" s="498">
        <f t="shared" si="1076"/>
        <v>0</v>
      </c>
      <c r="AW3140" s="498">
        <f t="shared" si="1077"/>
        <v>0</v>
      </c>
      <c r="AX3140" s="498">
        <f t="shared" si="1078"/>
        <v>0</v>
      </c>
      <c r="AY3140" s="498">
        <f t="shared" si="1079"/>
        <v>0</v>
      </c>
      <c r="BB3140" s="498" t="str">
        <f t="shared" si="1080"/>
        <v/>
      </c>
      <c r="BC3140" s="743" t="str">
        <f t="shared" si="1081"/>
        <v/>
      </c>
      <c r="BD3140" s="743" t="str">
        <f t="shared" si="1082"/>
        <v/>
      </c>
      <c r="BE3140" s="743" t="str">
        <f>IF(D3140="","",VLOOKUP(D3140,'General Basis'!$J$39:$K$46,2,0))</f>
        <v/>
      </c>
      <c r="BF3140" s="744" t="str">
        <f>IF(D3140="","",VLOOKUP(D3140,'General Basis'!$J$39:$L$46,3,0))</f>
        <v/>
      </c>
      <c r="BG3140" s="744" t="str">
        <f t="shared" si="1089"/>
        <v/>
      </c>
      <c r="BH3140" s="744" t="str">
        <f>IF(G3140="","",IF(BF3140="Abu Dhabi",IF(G3140&lt;18,'General Basis'!$C$39,IF(G3140&lt;41,'General Basis'!$C$40,IF(G3140&lt;60,'General Basis'!$C$41,IF(G3140&lt;65,'General Basis'!$C$42,'General Basis'!$C$43)))),IF(G3140&lt;11,'General Basis'!$B$39,IF(G3140&lt;18,'General Basis'!$B$40,IF(G3140&lt;26,'General Basis'!$B$41,IF(G3140&lt;31,'General Basis'!$B$42,IF(G3140&lt;36,'General Basis'!$B$43,IF(G3140&lt;41,'General Basis'!$B$44,IF(G3140&lt;46,'General Basis'!$B$45,IF(G3140&lt;51,'General Basis'!$B$46,IF(G3140&lt;56,'General Basis'!$B$47,IF(G3140&lt;60,'General Basis'!$B$48,IF(G3140&lt;65,'General Basis'!$B$49,'General Basis'!$B$50)))))))))))))</f>
        <v/>
      </c>
      <c r="BI3140" s="744" t="str">
        <f t="shared" si="1083"/>
        <v/>
      </c>
      <c r="BJ3140" s="747" t="str">
        <f t="shared" si="1090"/>
        <v/>
      </c>
      <c r="BK3140" s="498" t="str">
        <f t="shared" si="1084"/>
        <v/>
      </c>
      <c r="BL3140" s="498" t="str">
        <f t="shared" si="1085"/>
        <v/>
      </c>
    </row>
    <row r="3141" spans="1:64" x14ac:dyDescent="0.25">
      <c r="A3141" s="762">
        <f t="shared" si="1086"/>
        <v>3136</v>
      </c>
      <c r="B3141" s="229"/>
      <c r="C3141" s="223"/>
      <c r="D3141" s="224"/>
      <c r="E3141" s="225"/>
      <c r="F3141" s="1036" t="str">
        <f t="shared" si="1092"/>
        <v/>
      </c>
      <c r="G3141" s="1037" t="str">
        <f t="shared" si="1087"/>
        <v/>
      </c>
      <c r="H3141" s="225"/>
      <c r="I3141" s="1013"/>
      <c r="J3141" s="1013"/>
      <c r="K3141" s="1028"/>
      <c r="L3141" s="1035" t="str">
        <f t="shared" si="1091"/>
        <v/>
      </c>
      <c r="S3141" s="498"/>
      <c r="AJ3141" s="498"/>
      <c r="AM3141" s="498">
        <f t="shared" si="1072"/>
        <v>0</v>
      </c>
      <c r="AN3141" s="498">
        <f t="shared" si="1073"/>
        <v>0</v>
      </c>
      <c r="AO3141" s="498">
        <f t="shared" si="1074"/>
        <v>0</v>
      </c>
      <c r="AP3141" s="498">
        <f t="shared" si="1093"/>
        <v>0</v>
      </c>
      <c r="AQ3141" s="498">
        <f t="shared" si="1088"/>
        <v>0</v>
      </c>
      <c r="AU3141" s="498">
        <f t="shared" si="1075"/>
        <v>0</v>
      </c>
      <c r="AV3141" s="498">
        <f t="shared" si="1076"/>
        <v>0</v>
      </c>
      <c r="AW3141" s="498">
        <f t="shared" si="1077"/>
        <v>0</v>
      </c>
      <c r="AX3141" s="498">
        <f t="shared" si="1078"/>
        <v>0</v>
      </c>
      <c r="AY3141" s="498">
        <f t="shared" si="1079"/>
        <v>0</v>
      </c>
      <c r="BB3141" s="498" t="str">
        <f t="shared" si="1080"/>
        <v/>
      </c>
      <c r="BC3141" s="743" t="str">
        <f t="shared" si="1081"/>
        <v/>
      </c>
      <c r="BD3141" s="743" t="str">
        <f t="shared" si="1082"/>
        <v/>
      </c>
      <c r="BE3141" s="743" t="str">
        <f>IF(D3141="","",VLOOKUP(D3141,'General Basis'!$J$39:$K$46,2,0))</f>
        <v/>
      </c>
      <c r="BF3141" s="744" t="str">
        <f>IF(D3141="","",VLOOKUP(D3141,'General Basis'!$J$39:$L$46,3,0))</f>
        <v/>
      </c>
      <c r="BG3141" s="744" t="str">
        <f t="shared" si="1089"/>
        <v/>
      </c>
      <c r="BH3141" s="744" t="str">
        <f>IF(G3141="","",IF(BF3141="Abu Dhabi",IF(G3141&lt;18,'General Basis'!$C$39,IF(G3141&lt;41,'General Basis'!$C$40,IF(G3141&lt;60,'General Basis'!$C$41,IF(G3141&lt;65,'General Basis'!$C$42,'General Basis'!$C$43)))),IF(G3141&lt;11,'General Basis'!$B$39,IF(G3141&lt;18,'General Basis'!$B$40,IF(G3141&lt;26,'General Basis'!$B$41,IF(G3141&lt;31,'General Basis'!$B$42,IF(G3141&lt;36,'General Basis'!$B$43,IF(G3141&lt;41,'General Basis'!$B$44,IF(G3141&lt;46,'General Basis'!$B$45,IF(G3141&lt;51,'General Basis'!$B$46,IF(G3141&lt;56,'General Basis'!$B$47,IF(G3141&lt;60,'General Basis'!$B$48,IF(G3141&lt;65,'General Basis'!$B$49,'General Basis'!$B$50)))))))))))))</f>
        <v/>
      </c>
      <c r="BI3141" s="744" t="str">
        <f t="shared" si="1083"/>
        <v/>
      </c>
      <c r="BJ3141" s="747" t="str">
        <f t="shared" si="1090"/>
        <v/>
      </c>
      <c r="BK3141" s="498" t="str">
        <f t="shared" si="1084"/>
        <v/>
      </c>
      <c r="BL3141" s="498" t="str">
        <f t="shared" si="1085"/>
        <v/>
      </c>
    </row>
    <row r="3142" spans="1:64" x14ac:dyDescent="0.25">
      <c r="A3142" s="762">
        <f t="shared" si="1086"/>
        <v>3137</v>
      </c>
      <c r="B3142" s="229"/>
      <c r="C3142" s="223"/>
      <c r="D3142" s="224"/>
      <c r="E3142" s="225"/>
      <c r="F3142" s="1036" t="str">
        <f t="shared" si="1092"/>
        <v/>
      </c>
      <c r="G3142" s="1037" t="str">
        <f t="shared" si="1087"/>
        <v/>
      </c>
      <c r="H3142" s="225"/>
      <c r="I3142" s="1013"/>
      <c r="J3142" s="1013"/>
      <c r="K3142" s="1028"/>
      <c r="L3142" s="1035" t="str">
        <f t="shared" si="1091"/>
        <v/>
      </c>
      <c r="S3142" s="498"/>
      <c r="AJ3142" s="498"/>
      <c r="AM3142" s="498">
        <f t="shared" ref="AM3142:AM3205" si="1094">IF(ISTEXT(B3142),1,0)</f>
        <v>0</v>
      </c>
      <c r="AN3142" s="498">
        <f t="shared" ref="AN3142:AN3205" si="1095">IF(ISBLANK(B3142),0,IF(B3142&lt;$AK$6,1,0))</f>
        <v>0</v>
      </c>
      <c r="AO3142" s="498">
        <f t="shared" ref="AO3142:AO3205" si="1096">IF(ISBLANK(B3142),0,IF(B3142&gt;$AK$7,1,0))</f>
        <v>0</v>
      </c>
      <c r="AP3142" s="498">
        <f t="shared" si="1093"/>
        <v>0</v>
      </c>
      <c r="AQ3142" s="498">
        <f t="shared" si="1088"/>
        <v>0</v>
      </c>
      <c r="AU3142" s="498">
        <f t="shared" ref="AU3142:AU3205" si="1097">IF(ISBLANK(B3142),0,1)</f>
        <v>0</v>
      </c>
      <c r="AV3142" s="498">
        <f t="shared" ref="AV3142:AV3205" si="1098">IF(ISBLANK(C3142),0,1)</f>
        <v>0</v>
      </c>
      <c r="AW3142" s="498">
        <f t="shared" ref="AW3142:AW3205" si="1099">IF(ISBLANK(D3142),0,1)</f>
        <v>0</v>
      </c>
      <c r="AX3142" s="498">
        <f t="shared" ref="AX3142:AX3205" si="1100">IF(ISBLANK(E3142),0,1)</f>
        <v>0</v>
      </c>
      <c r="AY3142" s="498">
        <f t="shared" ref="AY3142:AY3205" si="1101">IF(ISBLANK(H3142),0,1)</f>
        <v>0</v>
      </c>
      <c r="BB3142" s="498" t="str">
        <f t="shared" ref="BB3142:BB3205" si="1102">IF(E3142="Principal","Principal",IF(E3142="","","Other"))</f>
        <v/>
      </c>
      <c r="BC3142" s="743" t="str">
        <f t="shared" ref="BC3142:BC3205" si="1103">IF(D3142="","",D3142)</f>
        <v/>
      </c>
      <c r="BD3142" s="743" t="str">
        <f t="shared" ref="BD3142:BD3205" si="1104">IF(E3142="Principal","Employee",IF(E3142="","","Dependent"))</f>
        <v/>
      </c>
      <c r="BE3142" s="743" t="str">
        <f>IF(D3142="","",VLOOKUP(D3142,'General Basis'!$J$39:$K$46,2,0))</f>
        <v/>
      </c>
      <c r="BF3142" s="744" t="str">
        <f>IF(D3142="","",VLOOKUP(D3142,'General Basis'!$J$39:$L$46,3,0))</f>
        <v/>
      </c>
      <c r="BG3142" s="744" t="str">
        <f t="shared" si="1089"/>
        <v/>
      </c>
      <c r="BH3142" s="744" t="str">
        <f>IF(G3142="","",IF(BF3142="Abu Dhabi",IF(G3142&lt;18,'General Basis'!$C$39,IF(G3142&lt;41,'General Basis'!$C$40,IF(G3142&lt;60,'General Basis'!$C$41,IF(G3142&lt;65,'General Basis'!$C$42,'General Basis'!$C$43)))),IF(G3142&lt;11,'General Basis'!$B$39,IF(G3142&lt;18,'General Basis'!$B$40,IF(G3142&lt;26,'General Basis'!$B$41,IF(G3142&lt;31,'General Basis'!$B$42,IF(G3142&lt;36,'General Basis'!$B$43,IF(G3142&lt;41,'General Basis'!$B$44,IF(G3142&lt;46,'General Basis'!$B$45,IF(G3142&lt;51,'General Basis'!$B$46,IF(G3142&lt;56,'General Basis'!$B$47,IF(G3142&lt;60,'General Basis'!$B$48,IF(G3142&lt;65,'General Basis'!$B$49,'General Basis'!$B$50)))))))))))))</f>
        <v/>
      </c>
      <c r="BI3142" s="744" t="str">
        <f t="shared" ref="BI3142:BI3205" si="1105">IF(C3142="","",IF(C3142="M","Male","Female"))</f>
        <v/>
      </c>
      <c r="BJ3142" s="747" t="str">
        <f t="shared" si="1090"/>
        <v/>
      </c>
      <c r="BK3142" s="498" t="str">
        <f t="shared" ref="BK3142:BK3205" si="1106">IF(BD3142="","",IF(AND(BD3142="Employee",BI3142="Male",BF3142="Abu Dhabi",BE3142=GN_Plus),VLOOKUP(BH3142,AUH_MALE_EMP,2,0),IF(AND(BD3142="Employee",BI3142="Male",BF3142="Abu Dhabi",BE3142=GN),VLOOKUP(BH3142,AUH_MALE_EMP,3,0),IF(AND(BD3142="Employee",BI3142="Male",BF3142="Abu Dhabi",BE3142=RN_Plus),VLOOKUP(BH3142,AUH_MALE_EMP,4,0),IF(AND(BD3142="Employee",BI3142="Male",BF3142="Abu Dhabi",BE3142=RN),VLOOKUP(BH3142,AUH_MALE_EMP,5,0),IF(AND(BD3142="Employee",BI3142="Male",BF3142="Abu Dhabi",BE3142=RN_2),VLOOKUP(BH3142,AUH_MALE_EMP,6,0),IF(AND(BD3142="Employee",BI3142="Male",BF3142="Abu Dhabi",BE3142=RN2_minus),VLOOKUP(BH3142,AUH_MALE_EMP,7,0),IF(AND(BD3142="Employee",BI3142="Male",BF3142="Abu Dhabi",BE3142=RN_3),VLOOKUP(BH3142,AUH_MALE_EMP,8,0),IF(AND(BD3142="Employee",BI3142="Male",BF3142="Abu Dhabi",BE3142=VN),VLOOKUP(BH3142,AUH_MALE_EMP,9,0),IF(BD3142="","",IF(AND(BD3142="Employee",BI3142="Female",BF3142="Abu Dhabi",BE3142=GN_Plus),VLOOKUP(BH3142,AUH_FEMALE_EMP,2,0),IF(AND(BD3142="Employee",BI3142="Female",BF3142="Abu Dhabi",BE3142=GN),VLOOKUP(BH3142,AUH_FEMALE_EMP,3,0),IF(AND(BD3142="Employee",BI3142="Female",BF3142="Abu Dhabi",BE3142=RN_Plus),VLOOKUP(BH3142,AUH_FEMALE_EMP,4,0),IF(AND(BD3142="Employee",BI3142="Female",BF3142="Abu Dhabi",BE3142=RN),VLOOKUP(BH3142,AUH_FEMALE_EMP,5,0),IF(AND(BD3142="Employee",BI3142="Female",BF3142="Abu Dhabi",BE3142=RN_2),VLOOKUP(BH3142,AUH_FEMALE_EMP,6,0),IF(AND(BD3142="Employee",BI3142="Female",BF3142="Abu Dhabi",BE3142=RN2_minus),VLOOKUP(BH3142,AUH_FEMALE_EMP,7,0),IF(AND(BD3142="Employee",BI3142="Female",BF3142="Abu Dhabi",BE3142=RN_3),VLOOKUP(BH3142,AUH_FEMALE_EMP,8,0),IF(AND(BD3142="Employee",BI3142="Female",BF3142="Abu Dhabi",BE3142=VN),VLOOKUP(BH3142,AUH_FEMALE_EMP,9,0),IF(BD3142="","",IF(AND(BD3142="Dependent",BI3142="Male",BF3142="Abu Dhabi",BE3142=GN_Plus),VLOOKUP(BH3142,AUH_MALE_DEP,2,0),IF(AND(BD3142="Dependent",BI3142="Male",BF3142="Abu Dhabi",BE3142=GN),VLOOKUP(BH3142,AUH_MALE_DEP,3,0),IF(AND(BD3142="Dependent",BI3142="Male",BF3142="Abu Dhabi",BE3142=RN_Plus),VLOOKUP(BH3142,AUH_MALE_DEP,4,0),IF(AND(BD3142="Dependent",BI3142="Male",BF3142="Abu Dhabi",BE3142=RN),VLOOKUP(BH3142,AUH_MALE_DEP,5,0),IF(AND(BD3142="Dependent",BI3142="Male",BF3142="Abu Dhabi",BE3142=RN_2),VLOOKUP(BH3142,AUH_MALE_DEP,6,0),IF(AND(BD3142="Dependent",BI3142="Male",BF3142="Abu Dhabi",BE3142=RN2_minus),VLOOKUP(BH3142,AUH_MALE_DEP,7,0),IF(AND(BD3142="Dependent",BI3142="Male",BF3142="Abu Dhabi",BE3142=RN_3),VLOOKUP(BH3142,AUH_MALE_DEP,8,0),IF(AND(BD3142="Dependent",BI3142="Male",BF3142="Abu Dhabi",BE3142=VN),VLOOKUP(BH3142,AUH_MALE_DEP,9,0),IF(BD3142="","",IF(AND(BD3142="Dependent",BI3142="Female",BF3142="Abu Dhabi",BE3142=GN_Plus),VLOOKUP(BH3142,AUH_FEMALE_DEP,2,0),IF(AND(BD3142="Dependent",BI3142="Female",BF3142="Abu Dhabi",BE3142=GN),VLOOKUP(BH3142,AUH_FEMALE_DEP,3,0),IF(AND(BD3142="Dependent",BI3142="Female",BF3142="Abu Dhabi",BE3142=RN_Plus),VLOOKUP(BH3142,AUH_FEMALE_DEP,4,0),IF(AND(BD3142="Dependent",BI3142="Female",BF3142="Abu Dhabi",BE3142=RN),VLOOKUP(BH3142,AUH_FEMALE_DEP,5,0),IF(AND(BD3142="Dependent",BI3142="Female",BF3142="Abu Dhabi",BE3142=RN_2),VLOOKUP(BH3142,AUH_FEMALE_DEP,6,0),IF(AND(BD3142="Dependent",BI3142="Female",BF3142="Abu Dhabi",BE3142=RN2_minus),VLOOKUP(BH3142,AUH_FEMALE_DEP,7,0),IF(AND(BD3142="Dependent",BI3142="Female",BF3142="Abu Dhabi",BE3142=RN_3),VLOOKUP(BH3142,AUH_FEMALE_DEP,8,0),IF(AND(BD3142="Dependent",BI3142="Female",BF3142="Abu Dhabi",BE3142=VN),VLOOKUP(BH3142,AUH_FEMALE_DEP,9,0),"ABC"))))))))))))))))))))))))))))))))))))</f>
        <v/>
      </c>
      <c r="BL3142" s="498" t="str">
        <f t="shared" ref="BL3142:BL3205" si="1107">IF(BD3142="","",IF(AND(BD3142="Employee",BI3142="Male",BF3142="Dubai",BE3142=GN_Plus),VLOOKUP(BH3142,DXB_MALE_EMP,2,0),IF(AND(BD3142="Employee",BI3142="Male",BF3142="Dubai",BE3142=GN),VLOOKUP(BH3142,DXB_MALE_EMP,3,0),IF(AND(BD3142="Employee",BI3142="Male",BF3142="Dubai",BE3142=RN_Plus),VLOOKUP(BH3142,DXB_MALE_EMP,4,0),IF(AND(BD3142="Employee",BI3142="Male",BF3142="Dubai",BE3142=RN),VLOOKUP(BH3142,DXB_MALE_EMP,5,0),IF(AND(BD3142="Employee",BI3142="Male",BF3142="Dubai",BE3142=RN_2),VLOOKUP(BH3142,DXB_MALE_EMP,6,0),IF(AND(BD3142="Employee",BI3142="Male",BF3142="Dubai",BE3142=RN2_minus),VLOOKUP(BH3142,DXB_MALE_EMP,7,0),IF(AND(BD3142="Employee",BI3142="Male",BF3142="Dubai",BE3142=RN_3),VLOOKUP(BH3142,DXB_MALE_EMP,8,0),IF(AND(BD3142="Employee",BI3142="Male",BF3142="Dubai",BE3142=VN),VLOOKUP(BH3142,DXB_MALE_EMP,9,0),IF(BD3142="","",IF(AND(BD3142="Employee",BI3142="Female",BF3142="Dubai",BE3142=GN_Plus),VLOOKUP(BH3142,DXB_FEMALE_EMP,2,0),IF(AND(BD3142="Employee",BI3142="Female",BF3142="Dubai",BE3142=GN),VLOOKUP(BH3142,DXB_FEMALE_EMP,3,0),IF(AND(BD3142="Employee",BI3142="Female",BF3142="Dubai",BE3142=RN_Plus),VLOOKUP(BH3142,DXB_FEMALE_EMP,4,0),IF(AND(BD3142="Employee",BI3142="Female",BF3142="Dubai",BE3142=RN),VLOOKUP(BH3142,DXB_FEMALE_EMP,5,0),IF(AND(BD3142="Employee",BI3142="Female",BF3142="Dubai",BE3142=RN_2),VLOOKUP(BH3142,DXB_FEMALE_EMP,6,0),IF(AND(BD3142="Employee",BI3142="Female",BF3142="Dubai",BE3142=RN2_minus),VLOOKUP(BH3142,DXB_FEMALE_EMP,7,0),IF(AND(BD3142="Employee",BI3142="Female",BF3142="Dubai",BE3142=RN_3),VLOOKUP(BH3142,DXB_FEMALE_EMP,8,0),IF(AND(BD3142="Employee",BI3142="Female",BF3142="Dubai",BE3142=VN),VLOOKUP(BH3142,DXB_FEMALE_EMP,9,0),IF(BD3142="","",IF(AND(BD3142="Dependent",BI3142="Male",BF3142="Dubai",BE3142=GN_Plus),VLOOKUP(BH3142,DXB_MALE_DEP,2,0),IF(AND(BD3142="Dependent",BI3142="Male",BF3142="Dubai",BE3142=GN),VLOOKUP(BH3142,DXB_MALE_DEP,3,0),IF(AND(BD3142="Dependent",BI3142="Male",BF3142="Dubai",BE3142=RN_Plus),VLOOKUP(BH3142,DXB_MALE_DEP,4,0),IF(AND(BD3142="Dependent",BI3142="Male",BF3142="Dubai",BE3142=RN),VLOOKUP(BH3142,DXB_MALE_DEP,5,0),IF(AND(BD3142="Dependent",BI3142="Male",BF3142="Dubai",BE3142=RN_2),VLOOKUP(BH3142,DXB_MALE_DEP,6,0),IF(AND(BD3142="Dependent",BI3142="Male",BF3142="Dubai",BE3142=RN2_minus),VLOOKUP(BH3142,DXB_MALE_DEP,7,0),IF(AND(BD3142="Dependent",BI3142="Male",BF3142="Dubai",BE3142=RN_3),VLOOKUP(BH3142,DXB_MALE_DEP,8,0),IF(AND(BD3142="Dependent",BI3142="Male",BF3142="Dubai",BE3142=VN),VLOOKUP(BH3142,DXB_MALE_DEP,9,0),IF(BD3142="","",IF(AND(BD3142="Dependent",BI3142="Female",BF3142="Dubai",BE3142=GN_Plus),VLOOKUP(BH3142,DXB_FEMALE_DEP,2,0),IF(AND(BD3142="Dependent",BI3142="Female",BF3142="Dubai",BE3142=GN),VLOOKUP(BH3142,DXB_FEMALE_DEP,3,0),IF(AND(BD3142="Dependent",BI3142="Female",BF3142="Dubai",BE3142=RN_Plus),VLOOKUP(BH3142,DXB_FEMALE_DEP,4,0),IF(AND(BD3142="Dependent",BI3142="Female",BF3142="Dubai",BE3142=RN),VLOOKUP(BH3142,DXB_FEMALE_DEP,5,0),IF(AND(BD3142="Dependent",BI3142="Female",BF3142="Dubai",BE3142=RN_2),VLOOKUP(BH3142,DXB_FEMALE_DEP,6,0),IF(AND(BD3142="Dependent",BI3142="Female",BF3142="Dubai",BE3142=RN2_minus),VLOOKUP(BH3142,DXB_FEMALE_DEP,7,0),IF(AND(BD3142="Dependent",BI3142="Female",BF3142="Dubai",BE3142=RN_3),VLOOKUP(BH3142,DXB_FEMALE_DEP,8,0),IF(AND(BD3142="Dependent",BI3142="Female",BF3142="Dubai",BE3142=VN),VLOOKUP(BH3142,DXB_FEMALE_DEP,9,0),"ABC"))))))))))))))))))))))))))))))))))))</f>
        <v/>
      </c>
    </row>
    <row r="3143" spans="1:64" x14ac:dyDescent="0.25">
      <c r="A3143" s="762">
        <f t="shared" ref="A3143:A3206" si="1108">+A3142+1</f>
        <v>3138</v>
      </c>
      <c r="B3143" s="229"/>
      <c r="C3143" s="223"/>
      <c r="D3143" s="224"/>
      <c r="E3143" s="225"/>
      <c r="F3143" s="1036" t="str">
        <f t="shared" si="1092"/>
        <v/>
      </c>
      <c r="G3143" s="1037" t="str">
        <f t="shared" ref="G3143:G3206" si="1109">IF(D3143="","",MAX(0,ROUNDUP(F3143,0)))</f>
        <v/>
      </c>
      <c r="H3143" s="225"/>
      <c r="I3143" s="1013"/>
      <c r="J3143" s="1013"/>
      <c r="K3143" s="1028"/>
      <c r="L3143" s="1035" t="str">
        <f t="shared" si="1091"/>
        <v/>
      </c>
      <c r="S3143" s="498"/>
      <c r="AJ3143" s="498"/>
      <c r="AM3143" s="498">
        <f t="shared" si="1094"/>
        <v>0</v>
      </c>
      <c r="AN3143" s="498">
        <f t="shared" si="1095"/>
        <v>0</v>
      </c>
      <c r="AO3143" s="498">
        <f t="shared" si="1096"/>
        <v>0</v>
      </c>
      <c r="AP3143" s="498">
        <f t="shared" si="1093"/>
        <v>0</v>
      </c>
      <c r="AQ3143" s="498">
        <f t="shared" ref="AQ3143:AQ3206" si="1110">IF(ISBLANK($B3143),0,IF(OR($H3143="Single",$H3143="Married"),0,1))</f>
        <v>0</v>
      </c>
      <c r="AU3143" s="498">
        <f t="shared" si="1097"/>
        <v>0</v>
      </c>
      <c r="AV3143" s="498">
        <f t="shared" si="1098"/>
        <v>0</v>
      </c>
      <c r="AW3143" s="498">
        <f t="shared" si="1099"/>
        <v>0</v>
      </c>
      <c r="AX3143" s="498">
        <f t="shared" si="1100"/>
        <v>0</v>
      </c>
      <c r="AY3143" s="498">
        <f t="shared" si="1101"/>
        <v>0</v>
      </c>
      <c r="BB3143" s="498" t="str">
        <f t="shared" si="1102"/>
        <v/>
      </c>
      <c r="BC3143" s="743" t="str">
        <f t="shared" si="1103"/>
        <v/>
      </c>
      <c r="BD3143" s="743" t="str">
        <f t="shared" si="1104"/>
        <v/>
      </c>
      <c r="BE3143" s="743" t="str">
        <f>IF(D3143="","",VLOOKUP(D3143,'General Basis'!$J$39:$K$46,2,0))</f>
        <v/>
      </c>
      <c r="BF3143" s="744" t="str">
        <f>IF(D3143="","",VLOOKUP(D3143,'General Basis'!$J$39:$L$46,3,0))</f>
        <v/>
      </c>
      <c r="BG3143" s="744" t="str">
        <f t="shared" ref="BG3143:BG3206" si="1111">BC3143&amp;BI3143</f>
        <v/>
      </c>
      <c r="BH3143" s="744" t="str">
        <f>IF(G3143="","",IF(BF3143="Abu Dhabi",IF(G3143&lt;18,'General Basis'!$C$39,IF(G3143&lt;41,'General Basis'!$C$40,IF(G3143&lt;60,'General Basis'!$C$41,IF(G3143&lt;65,'General Basis'!$C$42,'General Basis'!$C$43)))),IF(G3143&lt;11,'General Basis'!$B$39,IF(G3143&lt;18,'General Basis'!$B$40,IF(G3143&lt;26,'General Basis'!$B$41,IF(G3143&lt;31,'General Basis'!$B$42,IF(G3143&lt;36,'General Basis'!$B$43,IF(G3143&lt;41,'General Basis'!$B$44,IF(G3143&lt;46,'General Basis'!$B$45,IF(G3143&lt;51,'General Basis'!$B$46,IF(G3143&lt;56,'General Basis'!$B$47,IF(G3143&lt;60,'General Basis'!$B$48,IF(G3143&lt;65,'General Basis'!$B$49,'General Basis'!$B$50)))))))))))))</f>
        <v/>
      </c>
      <c r="BI3143" s="744" t="str">
        <f t="shared" si="1105"/>
        <v/>
      </c>
      <c r="BJ3143" s="747" t="str">
        <f t="shared" ref="BJ3143:BJ3206" si="1112">IF(BD3143="","",IF(BF3143="Abu Dhabi",BK3143,BL3143))</f>
        <v/>
      </c>
      <c r="BK3143" s="498" t="str">
        <f t="shared" si="1106"/>
        <v/>
      </c>
      <c r="BL3143" s="498" t="str">
        <f t="shared" si="1107"/>
        <v/>
      </c>
    </row>
    <row r="3144" spans="1:64" x14ac:dyDescent="0.25">
      <c r="A3144" s="762">
        <f t="shared" si="1108"/>
        <v>3139</v>
      </c>
      <c r="B3144" s="229"/>
      <c r="C3144" s="223"/>
      <c r="D3144" s="224"/>
      <c r="E3144" s="225"/>
      <c r="F3144" s="1036" t="str">
        <f t="shared" si="1092"/>
        <v/>
      </c>
      <c r="G3144" s="1037" t="str">
        <f t="shared" si="1109"/>
        <v/>
      </c>
      <c r="H3144" s="225"/>
      <c r="I3144" s="1013"/>
      <c r="J3144" s="1013"/>
      <c r="K3144" s="1028"/>
      <c r="L3144" s="1035" t="str">
        <f t="shared" ref="L3144:L3207" si="1113">IF(AND(E3144="Child",H3144="Married"),"Check the Marital Status of the Child. ",IF(AND(E3144="Child",F3144&gt;18),"Child Age exceed 18 years. ",IF(AND(E3144="Spouse",H3144="Single"),"Spouse is selected as Single. ","")))&amp;IF(K3144&gt;0,"UW Loading has been Applied","")</f>
        <v/>
      </c>
      <c r="S3144" s="498"/>
      <c r="AJ3144" s="498"/>
      <c r="AM3144" s="498">
        <f t="shared" si="1094"/>
        <v>0</v>
      </c>
      <c r="AN3144" s="498">
        <f t="shared" si="1095"/>
        <v>0</v>
      </c>
      <c r="AO3144" s="498">
        <f t="shared" si="1096"/>
        <v>0</v>
      </c>
      <c r="AP3144" s="498">
        <f t="shared" si="1093"/>
        <v>0</v>
      </c>
      <c r="AQ3144" s="498">
        <f t="shared" si="1110"/>
        <v>0</v>
      </c>
      <c r="AU3144" s="498">
        <f t="shared" si="1097"/>
        <v>0</v>
      </c>
      <c r="AV3144" s="498">
        <f t="shared" si="1098"/>
        <v>0</v>
      </c>
      <c r="AW3144" s="498">
        <f t="shared" si="1099"/>
        <v>0</v>
      </c>
      <c r="AX3144" s="498">
        <f t="shared" si="1100"/>
        <v>0</v>
      </c>
      <c r="AY3144" s="498">
        <f t="shared" si="1101"/>
        <v>0</v>
      </c>
      <c r="BB3144" s="498" t="str">
        <f t="shared" si="1102"/>
        <v/>
      </c>
      <c r="BC3144" s="743" t="str">
        <f t="shared" si="1103"/>
        <v/>
      </c>
      <c r="BD3144" s="743" t="str">
        <f t="shared" si="1104"/>
        <v/>
      </c>
      <c r="BE3144" s="743" t="str">
        <f>IF(D3144="","",VLOOKUP(D3144,'General Basis'!$J$39:$K$46,2,0))</f>
        <v/>
      </c>
      <c r="BF3144" s="744" t="str">
        <f>IF(D3144="","",VLOOKUP(D3144,'General Basis'!$J$39:$L$46,3,0))</f>
        <v/>
      </c>
      <c r="BG3144" s="744" t="str">
        <f t="shared" si="1111"/>
        <v/>
      </c>
      <c r="BH3144" s="744" t="str">
        <f>IF(G3144="","",IF(BF3144="Abu Dhabi",IF(G3144&lt;18,'General Basis'!$C$39,IF(G3144&lt;41,'General Basis'!$C$40,IF(G3144&lt;60,'General Basis'!$C$41,IF(G3144&lt;65,'General Basis'!$C$42,'General Basis'!$C$43)))),IF(G3144&lt;11,'General Basis'!$B$39,IF(G3144&lt;18,'General Basis'!$B$40,IF(G3144&lt;26,'General Basis'!$B$41,IF(G3144&lt;31,'General Basis'!$B$42,IF(G3144&lt;36,'General Basis'!$B$43,IF(G3144&lt;41,'General Basis'!$B$44,IF(G3144&lt;46,'General Basis'!$B$45,IF(G3144&lt;51,'General Basis'!$B$46,IF(G3144&lt;56,'General Basis'!$B$47,IF(G3144&lt;60,'General Basis'!$B$48,IF(G3144&lt;65,'General Basis'!$B$49,'General Basis'!$B$50)))))))))))))</f>
        <v/>
      </c>
      <c r="BI3144" s="744" t="str">
        <f t="shared" si="1105"/>
        <v/>
      </c>
      <c r="BJ3144" s="747" t="str">
        <f t="shared" si="1112"/>
        <v/>
      </c>
      <c r="BK3144" s="498" t="str">
        <f t="shared" si="1106"/>
        <v/>
      </c>
      <c r="BL3144" s="498" t="str">
        <f t="shared" si="1107"/>
        <v/>
      </c>
    </row>
    <row r="3145" spans="1:64" x14ac:dyDescent="0.25">
      <c r="A3145" s="762">
        <f t="shared" si="1108"/>
        <v>3140</v>
      </c>
      <c r="B3145" s="229"/>
      <c r="C3145" s="223"/>
      <c r="D3145" s="224"/>
      <c r="E3145" s="225"/>
      <c r="F3145" s="1036" t="str">
        <f t="shared" si="1092"/>
        <v/>
      </c>
      <c r="G3145" s="1037" t="str">
        <f t="shared" si="1109"/>
        <v/>
      </c>
      <c r="H3145" s="225"/>
      <c r="I3145" s="1013"/>
      <c r="J3145" s="1013"/>
      <c r="K3145" s="1028"/>
      <c r="L3145" s="1035" t="str">
        <f t="shared" si="1113"/>
        <v/>
      </c>
      <c r="S3145" s="498"/>
      <c r="AJ3145" s="498"/>
      <c r="AM3145" s="498">
        <f t="shared" si="1094"/>
        <v>0</v>
      </c>
      <c r="AN3145" s="498">
        <f t="shared" si="1095"/>
        <v>0</v>
      </c>
      <c r="AO3145" s="498">
        <f t="shared" si="1096"/>
        <v>0</v>
      </c>
      <c r="AP3145" s="498">
        <f t="shared" si="1093"/>
        <v>0</v>
      </c>
      <c r="AQ3145" s="498">
        <f t="shared" si="1110"/>
        <v>0</v>
      </c>
      <c r="AU3145" s="498">
        <f t="shared" si="1097"/>
        <v>0</v>
      </c>
      <c r="AV3145" s="498">
        <f t="shared" si="1098"/>
        <v>0</v>
      </c>
      <c r="AW3145" s="498">
        <f t="shared" si="1099"/>
        <v>0</v>
      </c>
      <c r="AX3145" s="498">
        <f t="shared" si="1100"/>
        <v>0</v>
      </c>
      <c r="AY3145" s="498">
        <f t="shared" si="1101"/>
        <v>0</v>
      </c>
      <c r="BB3145" s="498" t="str">
        <f t="shared" si="1102"/>
        <v/>
      </c>
      <c r="BC3145" s="743" t="str">
        <f t="shared" si="1103"/>
        <v/>
      </c>
      <c r="BD3145" s="743" t="str">
        <f t="shared" si="1104"/>
        <v/>
      </c>
      <c r="BE3145" s="743" t="str">
        <f>IF(D3145="","",VLOOKUP(D3145,'General Basis'!$J$39:$K$46,2,0))</f>
        <v/>
      </c>
      <c r="BF3145" s="744" t="str">
        <f>IF(D3145="","",VLOOKUP(D3145,'General Basis'!$J$39:$L$46,3,0))</f>
        <v/>
      </c>
      <c r="BG3145" s="744" t="str">
        <f t="shared" si="1111"/>
        <v/>
      </c>
      <c r="BH3145" s="744" t="str">
        <f>IF(G3145="","",IF(BF3145="Abu Dhabi",IF(G3145&lt;18,'General Basis'!$C$39,IF(G3145&lt;41,'General Basis'!$C$40,IF(G3145&lt;60,'General Basis'!$C$41,IF(G3145&lt;65,'General Basis'!$C$42,'General Basis'!$C$43)))),IF(G3145&lt;11,'General Basis'!$B$39,IF(G3145&lt;18,'General Basis'!$B$40,IF(G3145&lt;26,'General Basis'!$B$41,IF(G3145&lt;31,'General Basis'!$B$42,IF(G3145&lt;36,'General Basis'!$B$43,IF(G3145&lt;41,'General Basis'!$B$44,IF(G3145&lt;46,'General Basis'!$B$45,IF(G3145&lt;51,'General Basis'!$B$46,IF(G3145&lt;56,'General Basis'!$B$47,IF(G3145&lt;60,'General Basis'!$B$48,IF(G3145&lt;65,'General Basis'!$B$49,'General Basis'!$B$50)))))))))))))</f>
        <v/>
      </c>
      <c r="BI3145" s="744" t="str">
        <f t="shared" si="1105"/>
        <v/>
      </c>
      <c r="BJ3145" s="747" t="str">
        <f t="shared" si="1112"/>
        <v/>
      </c>
      <c r="BK3145" s="498" t="str">
        <f t="shared" si="1106"/>
        <v/>
      </c>
      <c r="BL3145" s="498" t="str">
        <f t="shared" si="1107"/>
        <v/>
      </c>
    </row>
    <row r="3146" spans="1:64" x14ac:dyDescent="0.25">
      <c r="A3146" s="762">
        <f t="shared" si="1108"/>
        <v>3141</v>
      </c>
      <c r="B3146" s="229"/>
      <c r="C3146" s="223"/>
      <c r="D3146" s="224"/>
      <c r="E3146" s="225"/>
      <c r="F3146" s="1036" t="str">
        <f t="shared" si="1092"/>
        <v/>
      </c>
      <c r="G3146" s="1037" t="str">
        <f t="shared" si="1109"/>
        <v/>
      </c>
      <c r="H3146" s="225"/>
      <c r="I3146" s="1013"/>
      <c r="J3146" s="1013"/>
      <c r="K3146" s="1028"/>
      <c r="L3146" s="1035" t="str">
        <f t="shared" si="1113"/>
        <v/>
      </c>
      <c r="S3146" s="498"/>
      <c r="AJ3146" s="498"/>
      <c r="AM3146" s="498">
        <f t="shared" si="1094"/>
        <v>0</v>
      </c>
      <c r="AN3146" s="498">
        <f t="shared" si="1095"/>
        <v>0</v>
      </c>
      <c r="AO3146" s="498">
        <f t="shared" si="1096"/>
        <v>0</v>
      </c>
      <c r="AP3146" s="498">
        <f t="shared" si="1093"/>
        <v>0</v>
      </c>
      <c r="AQ3146" s="498">
        <f t="shared" si="1110"/>
        <v>0</v>
      </c>
      <c r="AU3146" s="498">
        <f t="shared" si="1097"/>
        <v>0</v>
      </c>
      <c r="AV3146" s="498">
        <f t="shared" si="1098"/>
        <v>0</v>
      </c>
      <c r="AW3146" s="498">
        <f t="shared" si="1099"/>
        <v>0</v>
      </c>
      <c r="AX3146" s="498">
        <f t="shared" si="1100"/>
        <v>0</v>
      </c>
      <c r="AY3146" s="498">
        <f t="shared" si="1101"/>
        <v>0</v>
      </c>
      <c r="BB3146" s="498" t="str">
        <f t="shared" si="1102"/>
        <v/>
      </c>
      <c r="BC3146" s="743" t="str">
        <f t="shared" si="1103"/>
        <v/>
      </c>
      <c r="BD3146" s="743" t="str">
        <f t="shared" si="1104"/>
        <v/>
      </c>
      <c r="BE3146" s="743" t="str">
        <f>IF(D3146="","",VLOOKUP(D3146,'General Basis'!$J$39:$K$46,2,0))</f>
        <v/>
      </c>
      <c r="BF3146" s="744" t="str">
        <f>IF(D3146="","",VLOOKUP(D3146,'General Basis'!$J$39:$L$46,3,0))</f>
        <v/>
      </c>
      <c r="BG3146" s="744" t="str">
        <f t="shared" si="1111"/>
        <v/>
      </c>
      <c r="BH3146" s="744" t="str">
        <f>IF(G3146="","",IF(BF3146="Abu Dhabi",IF(G3146&lt;18,'General Basis'!$C$39,IF(G3146&lt;41,'General Basis'!$C$40,IF(G3146&lt;60,'General Basis'!$C$41,IF(G3146&lt;65,'General Basis'!$C$42,'General Basis'!$C$43)))),IF(G3146&lt;11,'General Basis'!$B$39,IF(G3146&lt;18,'General Basis'!$B$40,IF(G3146&lt;26,'General Basis'!$B$41,IF(G3146&lt;31,'General Basis'!$B$42,IF(G3146&lt;36,'General Basis'!$B$43,IF(G3146&lt;41,'General Basis'!$B$44,IF(G3146&lt;46,'General Basis'!$B$45,IF(G3146&lt;51,'General Basis'!$B$46,IF(G3146&lt;56,'General Basis'!$B$47,IF(G3146&lt;60,'General Basis'!$B$48,IF(G3146&lt;65,'General Basis'!$B$49,'General Basis'!$B$50)))))))))))))</f>
        <v/>
      </c>
      <c r="BI3146" s="744" t="str">
        <f t="shared" si="1105"/>
        <v/>
      </c>
      <c r="BJ3146" s="747" t="str">
        <f t="shared" si="1112"/>
        <v/>
      </c>
      <c r="BK3146" s="498" t="str">
        <f t="shared" si="1106"/>
        <v/>
      </c>
      <c r="BL3146" s="498" t="str">
        <f t="shared" si="1107"/>
        <v/>
      </c>
    </row>
    <row r="3147" spans="1:64" x14ac:dyDescent="0.25">
      <c r="A3147" s="762">
        <f t="shared" si="1108"/>
        <v>3142</v>
      </c>
      <c r="B3147" s="229"/>
      <c r="C3147" s="223"/>
      <c r="D3147" s="224"/>
      <c r="E3147" s="225"/>
      <c r="F3147" s="1036" t="str">
        <f t="shared" si="1092"/>
        <v/>
      </c>
      <c r="G3147" s="1037" t="str">
        <f t="shared" si="1109"/>
        <v/>
      </c>
      <c r="H3147" s="225"/>
      <c r="I3147" s="1013"/>
      <c r="J3147" s="1013"/>
      <c r="K3147" s="1028"/>
      <c r="L3147" s="1035" t="str">
        <f t="shared" si="1113"/>
        <v/>
      </c>
      <c r="S3147" s="498"/>
      <c r="AJ3147" s="498"/>
      <c r="AM3147" s="498">
        <f t="shared" si="1094"/>
        <v>0</v>
      </c>
      <c r="AN3147" s="498">
        <f t="shared" si="1095"/>
        <v>0</v>
      </c>
      <c r="AO3147" s="498">
        <f t="shared" si="1096"/>
        <v>0</v>
      </c>
      <c r="AP3147" s="498">
        <f t="shared" si="1093"/>
        <v>0</v>
      </c>
      <c r="AQ3147" s="498">
        <f t="shared" si="1110"/>
        <v>0</v>
      </c>
      <c r="AU3147" s="498">
        <f t="shared" si="1097"/>
        <v>0</v>
      </c>
      <c r="AV3147" s="498">
        <f t="shared" si="1098"/>
        <v>0</v>
      </c>
      <c r="AW3147" s="498">
        <f t="shared" si="1099"/>
        <v>0</v>
      </c>
      <c r="AX3147" s="498">
        <f t="shared" si="1100"/>
        <v>0</v>
      </c>
      <c r="AY3147" s="498">
        <f t="shared" si="1101"/>
        <v>0</v>
      </c>
      <c r="BB3147" s="498" t="str">
        <f t="shared" si="1102"/>
        <v/>
      </c>
      <c r="BC3147" s="743" t="str">
        <f t="shared" si="1103"/>
        <v/>
      </c>
      <c r="BD3147" s="743" t="str">
        <f t="shared" si="1104"/>
        <v/>
      </c>
      <c r="BE3147" s="743" t="str">
        <f>IF(D3147="","",VLOOKUP(D3147,'General Basis'!$J$39:$K$46,2,0))</f>
        <v/>
      </c>
      <c r="BF3147" s="744" t="str">
        <f>IF(D3147="","",VLOOKUP(D3147,'General Basis'!$J$39:$L$46,3,0))</f>
        <v/>
      </c>
      <c r="BG3147" s="744" t="str">
        <f t="shared" si="1111"/>
        <v/>
      </c>
      <c r="BH3147" s="744" t="str">
        <f>IF(G3147="","",IF(BF3147="Abu Dhabi",IF(G3147&lt;18,'General Basis'!$C$39,IF(G3147&lt;41,'General Basis'!$C$40,IF(G3147&lt;60,'General Basis'!$C$41,IF(G3147&lt;65,'General Basis'!$C$42,'General Basis'!$C$43)))),IF(G3147&lt;11,'General Basis'!$B$39,IF(G3147&lt;18,'General Basis'!$B$40,IF(G3147&lt;26,'General Basis'!$B$41,IF(G3147&lt;31,'General Basis'!$B$42,IF(G3147&lt;36,'General Basis'!$B$43,IF(G3147&lt;41,'General Basis'!$B$44,IF(G3147&lt;46,'General Basis'!$B$45,IF(G3147&lt;51,'General Basis'!$B$46,IF(G3147&lt;56,'General Basis'!$B$47,IF(G3147&lt;60,'General Basis'!$B$48,IF(G3147&lt;65,'General Basis'!$B$49,'General Basis'!$B$50)))))))))))))</f>
        <v/>
      </c>
      <c r="BI3147" s="744" t="str">
        <f t="shared" si="1105"/>
        <v/>
      </c>
      <c r="BJ3147" s="747" t="str">
        <f t="shared" si="1112"/>
        <v/>
      </c>
      <c r="BK3147" s="498" t="str">
        <f t="shared" si="1106"/>
        <v/>
      </c>
      <c r="BL3147" s="498" t="str">
        <f t="shared" si="1107"/>
        <v/>
      </c>
    </row>
    <row r="3148" spans="1:64" x14ac:dyDescent="0.25">
      <c r="A3148" s="762">
        <f t="shared" si="1108"/>
        <v>3143</v>
      </c>
      <c r="B3148" s="229"/>
      <c r="C3148" s="223"/>
      <c r="D3148" s="224"/>
      <c r="E3148" s="225"/>
      <c r="F3148" s="1036" t="str">
        <f t="shared" si="1092"/>
        <v/>
      </c>
      <c r="G3148" s="1037" t="str">
        <f t="shared" si="1109"/>
        <v/>
      </c>
      <c r="H3148" s="225"/>
      <c r="I3148" s="1013"/>
      <c r="J3148" s="1013"/>
      <c r="K3148" s="1028"/>
      <c r="L3148" s="1035" t="str">
        <f t="shared" si="1113"/>
        <v/>
      </c>
      <c r="S3148" s="498"/>
      <c r="AJ3148" s="498"/>
      <c r="AM3148" s="498">
        <f t="shared" si="1094"/>
        <v>0</v>
      </c>
      <c r="AN3148" s="498">
        <f t="shared" si="1095"/>
        <v>0</v>
      </c>
      <c r="AO3148" s="498">
        <f t="shared" si="1096"/>
        <v>0</v>
      </c>
      <c r="AP3148" s="498">
        <f t="shared" si="1093"/>
        <v>0</v>
      </c>
      <c r="AQ3148" s="498">
        <f t="shared" si="1110"/>
        <v>0</v>
      </c>
      <c r="AU3148" s="498">
        <f t="shared" si="1097"/>
        <v>0</v>
      </c>
      <c r="AV3148" s="498">
        <f t="shared" si="1098"/>
        <v>0</v>
      </c>
      <c r="AW3148" s="498">
        <f t="shared" si="1099"/>
        <v>0</v>
      </c>
      <c r="AX3148" s="498">
        <f t="shared" si="1100"/>
        <v>0</v>
      </c>
      <c r="AY3148" s="498">
        <f t="shared" si="1101"/>
        <v>0</v>
      </c>
      <c r="BB3148" s="498" t="str">
        <f t="shared" si="1102"/>
        <v/>
      </c>
      <c r="BC3148" s="743" t="str">
        <f t="shared" si="1103"/>
        <v/>
      </c>
      <c r="BD3148" s="743" t="str">
        <f t="shared" si="1104"/>
        <v/>
      </c>
      <c r="BE3148" s="743" t="str">
        <f>IF(D3148="","",VLOOKUP(D3148,'General Basis'!$J$39:$K$46,2,0))</f>
        <v/>
      </c>
      <c r="BF3148" s="744" t="str">
        <f>IF(D3148="","",VLOOKUP(D3148,'General Basis'!$J$39:$L$46,3,0))</f>
        <v/>
      </c>
      <c r="BG3148" s="744" t="str">
        <f t="shared" si="1111"/>
        <v/>
      </c>
      <c r="BH3148" s="744" t="str">
        <f>IF(G3148="","",IF(BF3148="Abu Dhabi",IF(G3148&lt;18,'General Basis'!$C$39,IF(G3148&lt;41,'General Basis'!$C$40,IF(G3148&lt;60,'General Basis'!$C$41,IF(G3148&lt;65,'General Basis'!$C$42,'General Basis'!$C$43)))),IF(G3148&lt;11,'General Basis'!$B$39,IF(G3148&lt;18,'General Basis'!$B$40,IF(G3148&lt;26,'General Basis'!$B$41,IF(G3148&lt;31,'General Basis'!$B$42,IF(G3148&lt;36,'General Basis'!$B$43,IF(G3148&lt;41,'General Basis'!$B$44,IF(G3148&lt;46,'General Basis'!$B$45,IF(G3148&lt;51,'General Basis'!$B$46,IF(G3148&lt;56,'General Basis'!$B$47,IF(G3148&lt;60,'General Basis'!$B$48,IF(G3148&lt;65,'General Basis'!$B$49,'General Basis'!$B$50)))))))))))))</f>
        <v/>
      </c>
      <c r="BI3148" s="744" t="str">
        <f t="shared" si="1105"/>
        <v/>
      </c>
      <c r="BJ3148" s="747" t="str">
        <f t="shared" si="1112"/>
        <v/>
      </c>
      <c r="BK3148" s="498" t="str">
        <f t="shared" si="1106"/>
        <v/>
      </c>
      <c r="BL3148" s="498" t="str">
        <f t="shared" si="1107"/>
        <v/>
      </c>
    </row>
    <row r="3149" spans="1:64" x14ac:dyDescent="0.25">
      <c r="A3149" s="762">
        <f t="shared" si="1108"/>
        <v>3144</v>
      </c>
      <c r="B3149" s="229"/>
      <c r="C3149" s="223"/>
      <c r="D3149" s="224"/>
      <c r="E3149" s="225"/>
      <c r="F3149" s="1036" t="str">
        <f t="shared" si="1092"/>
        <v/>
      </c>
      <c r="G3149" s="1037" t="str">
        <f t="shared" si="1109"/>
        <v/>
      </c>
      <c r="H3149" s="225"/>
      <c r="I3149" s="1013"/>
      <c r="J3149" s="1013"/>
      <c r="K3149" s="1028"/>
      <c r="L3149" s="1035" t="str">
        <f t="shared" si="1113"/>
        <v/>
      </c>
      <c r="S3149" s="498"/>
      <c r="AJ3149" s="498"/>
      <c r="AM3149" s="498">
        <f t="shared" si="1094"/>
        <v>0</v>
      </c>
      <c r="AN3149" s="498">
        <f t="shared" si="1095"/>
        <v>0</v>
      </c>
      <c r="AO3149" s="498">
        <f t="shared" si="1096"/>
        <v>0</v>
      </c>
      <c r="AP3149" s="498">
        <f t="shared" si="1093"/>
        <v>0</v>
      </c>
      <c r="AQ3149" s="498">
        <f t="shared" si="1110"/>
        <v>0</v>
      </c>
      <c r="AU3149" s="498">
        <f t="shared" si="1097"/>
        <v>0</v>
      </c>
      <c r="AV3149" s="498">
        <f t="shared" si="1098"/>
        <v>0</v>
      </c>
      <c r="AW3149" s="498">
        <f t="shared" si="1099"/>
        <v>0</v>
      </c>
      <c r="AX3149" s="498">
        <f t="shared" si="1100"/>
        <v>0</v>
      </c>
      <c r="AY3149" s="498">
        <f t="shared" si="1101"/>
        <v>0</v>
      </c>
      <c r="BB3149" s="498" t="str">
        <f t="shared" si="1102"/>
        <v/>
      </c>
      <c r="BC3149" s="743" t="str">
        <f t="shared" si="1103"/>
        <v/>
      </c>
      <c r="BD3149" s="743" t="str">
        <f t="shared" si="1104"/>
        <v/>
      </c>
      <c r="BE3149" s="743" t="str">
        <f>IF(D3149="","",VLOOKUP(D3149,'General Basis'!$J$39:$K$46,2,0))</f>
        <v/>
      </c>
      <c r="BF3149" s="744" t="str">
        <f>IF(D3149="","",VLOOKUP(D3149,'General Basis'!$J$39:$L$46,3,0))</f>
        <v/>
      </c>
      <c r="BG3149" s="744" t="str">
        <f t="shared" si="1111"/>
        <v/>
      </c>
      <c r="BH3149" s="744" t="str">
        <f>IF(G3149="","",IF(BF3149="Abu Dhabi",IF(G3149&lt;18,'General Basis'!$C$39,IF(G3149&lt;41,'General Basis'!$C$40,IF(G3149&lt;60,'General Basis'!$C$41,IF(G3149&lt;65,'General Basis'!$C$42,'General Basis'!$C$43)))),IF(G3149&lt;11,'General Basis'!$B$39,IF(G3149&lt;18,'General Basis'!$B$40,IF(G3149&lt;26,'General Basis'!$B$41,IF(G3149&lt;31,'General Basis'!$B$42,IF(G3149&lt;36,'General Basis'!$B$43,IF(G3149&lt;41,'General Basis'!$B$44,IF(G3149&lt;46,'General Basis'!$B$45,IF(G3149&lt;51,'General Basis'!$B$46,IF(G3149&lt;56,'General Basis'!$B$47,IF(G3149&lt;60,'General Basis'!$B$48,IF(G3149&lt;65,'General Basis'!$B$49,'General Basis'!$B$50)))))))))))))</f>
        <v/>
      </c>
      <c r="BI3149" s="744" t="str">
        <f t="shared" si="1105"/>
        <v/>
      </c>
      <c r="BJ3149" s="747" t="str">
        <f t="shared" si="1112"/>
        <v/>
      </c>
      <c r="BK3149" s="498" t="str">
        <f t="shared" si="1106"/>
        <v/>
      </c>
      <c r="BL3149" s="498" t="str">
        <f t="shared" si="1107"/>
        <v/>
      </c>
    </row>
    <row r="3150" spans="1:64" x14ac:dyDescent="0.25">
      <c r="A3150" s="762">
        <f t="shared" si="1108"/>
        <v>3145</v>
      </c>
      <c r="B3150" s="229"/>
      <c r="C3150" s="223"/>
      <c r="D3150" s="224"/>
      <c r="E3150" s="225"/>
      <c r="F3150" s="1036" t="str">
        <f t="shared" si="1092"/>
        <v/>
      </c>
      <c r="G3150" s="1037" t="str">
        <f t="shared" si="1109"/>
        <v/>
      </c>
      <c r="H3150" s="225"/>
      <c r="I3150" s="1013"/>
      <c r="J3150" s="1013"/>
      <c r="K3150" s="1028"/>
      <c r="L3150" s="1035" t="str">
        <f t="shared" si="1113"/>
        <v/>
      </c>
      <c r="S3150" s="498"/>
      <c r="AJ3150" s="498"/>
      <c r="AM3150" s="498">
        <f t="shared" si="1094"/>
        <v>0</v>
      </c>
      <c r="AN3150" s="498">
        <f t="shared" si="1095"/>
        <v>0</v>
      </c>
      <c r="AO3150" s="498">
        <f t="shared" si="1096"/>
        <v>0</v>
      </c>
      <c r="AP3150" s="498">
        <f t="shared" si="1093"/>
        <v>0</v>
      </c>
      <c r="AQ3150" s="498">
        <f t="shared" si="1110"/>
        <v>0</v>
      </c>
      <c r="AU3150" s="498">
        <f t="shared" si="1097"/>
        <v>0</v>
      </c>
      <c r="AV3150" s="498">
        <f t="shared" si="1098"/>
        <v>0</v>
      </c>
      <c r="AW3150" s="498">
        <f t="shared" si="1099"/>
        <v>0</v>
      </c>
      <c r="AX3150" s="498">
        <f t="shared" si="1100"/>
        <v>0</v>
      </c>
      <c r="AY3150" s="498">
        <f t="shared" si="1101"/>
        <v>0</v>
      </c>
      <c r="BB3150" s="498" t="str">
        <f t="shared" si="1102"/>
        <v/>
      </c>
      <c r="BC3150" s="743" t="str">
        <f t="shared" si="1103"/>
        <v/>
      </c>
      <c r="BD3150" s="743" t="str">
        <f t="shared" si="1104"/>
        <v/>
      </c>
      <c r="BE3150" s="743" t="str">
        <f>IF(D3150="","",VLOOKUP(D3150,'General Basis'!$J$39:$K$46,2,0))</f>
        <v/>
      </c>
      <c r="BF3150" s="744" t="str">
        <f>IF(D3150="","",VLOOKUP(D3150,'General Basis'!$J$39:$L$46,3,0))</f>
        <v/>
      </c>
      <c r="BG3150" s="744" t="str">
        <f t="shared" si="1111"/>
        <v/>
      </c>
      <c r="BH3150" s="744" t="str">
        <f>IF(G3150="","",IF(BF3150="Abu Dhabi",IF(G3150&lt;18,'General Basis'!$C$39,IF(G3150&lt;41,'General Basis'!$C$40,IF(G3150&lt;60,'General Basis'!$C$41,IF(G3150&lt;65,'General Basis'!$C$42,'General Basis'!$C$43)))),IF(G3150&lt;11,'General Basis'!$B$39,IF(G3150&lt;18,'General Basis'!$B$40,IF(G3150&lt;26,'General Basis'!$B$41,IF(G3150&lt;31,'General Basis'!$B$42,IF(G3150&lt;36,'General Basis'!$B$43,IF(G3150&lt;41,'General Basis'!$B$44,IF(G3150&lt;46,'General Basis'!$B$45,IF(G3150&lt;51,'General Basis'!$B$46,IF(G3150&lt;56,'General Basis'!$B$47,IF(G3150&lt;60,'General Basis'!$B$48,IF(G3150&lt;65,'General Basis'!$B$49,'General Basis'!$B$50)))))))))))))</f>
        <v/>
      </c>
      <c r="BI3150" s="744" t="str">
        <f t="shared" si="1105"/>
        <v/>
      </c>
      <c r="BJ3150" s="747" t="str">
        <f t="shared" si="1112"/>
        <v/>
      </c>
      <c r="BK3150" s="498" t="str">
        <f t="shared" si="1106"/>
        <v/>
      </c>
      <c r="BL3150" s="498" t="str">
        <f t="shared" si="1107"/>
        <v/>
      </c>
    </row>
    <row r="3151" spans="1:64" x14ac:dyDescent="0.25">
      <c r="A3151" s="762">
        <f t="shared" si="1108"/>
        <v>3146</v>
      </c>
      <c r="B3151" s="229"/>
      <c r="C3151" s="223"/>
      <c r="D3151" s="224"/>
      <c r="E3151" s="225"/>
      <c r="F3151" s="1036" t="str">
        <f t="shared" si="1092"/>
        <v/>
      </c>
      <c r="G3151" s="1037" t="str">
        <f t="shared" si="1109"/>
        <v/>
      </c>
      <c r="H3151" s="225"/>
      <c r="I3151" s="1013"/>
      <c r="J3151" s="1013"/>
      <c r="K3151" s="1028"/>
      <c r="L3151" s="1035" t="str">
        <f t="shared" si="1113"/>
        <v/>
      </c>
      <c r="S3151" s="498"/>
      <c r="AJ3151" s="498"/>
      <c r="AM3151" s="498">
        <f t="shared" si="1094"/>
        <v>0</v>
      </c>
      <c r="AN3151" s="498">
        <f t="shared" si="1095"/>
        <v>0</v>
      </c>
      <c r="AO3151" s="498">
        <f t="shared" si="1096"/>
        <v>0</v>
      </c>
      <c r="AP3151" s="498">
        <f t="shared" si="1093"/>
        <v>0</v>
      </c>
      <c r="AQ3151" s="498">
        <f t="shared" si="1110"/>
        <v>0</v>
      </c>
      <c r="AU3151" s="498">
        <f t="shared" si="1097"/>
        <v>0</v>
      </c>
      <c r="AV3151" s="498">
        <f t="shared" si="1098"/>
        <v>0</v>
      </c>
      <c r="AW3151" s="498">
        <f t="shared" si="1099"/>
        <v>0</v>
      </c>
      <c r="AX3151" s="498">
        <f t="shared" si="1100"/>
        <v>0</v>
      </c>
      <c r="AY3151" s="498">
        <f t="shared" si="1101"/>
        <v>0</v>
      </c>
      <c r="BB3151" s="498" t="str">
        <f t="shared" si="1102"/>
        <v/>
      </c>
      <c r="BC3151" s="743" t="str">
        <f t="shared" si="1103"/>
        <v/>
      </c>
      <c r="BD3151" s="743" t="str">
        <f t="shared" si="1104"/>
        <v/>
      </c>
      <c r="BE3151" s="743" t="str">
        <f>IF(D3151="","",VLOOKUP(D3151,'General Basis'!$J$39:$K$46,2,0))</f>
        <v/>
      </c>
      <c r="BF3151" s="744" t="str">
        <f>IF(D3151="","",VLOOKUP(D3151,'General Basis'!$J$39:$L$46,3,0))</f>
        <v/>
      </c>
      <c r="BG3151" s="744" t="str">
        <f t="shared" si="1111"/>
        <v/>
      </c>
      <c r="BH3151" s="744" t="str">
        <f>IF(G3151="","",IF(BF3151="Abu Dhabi",IF(G3151&lt;18,'General Basis'!$C$39,IF(G3151&lt;41,'General Basis'!$C$40,IF(G3151&lt;60,'General Basis'!$C$41,IF(G3151&lt;65,'General Basis'!$C$42,'General Basis'!$C$43)))),IF(G3151&lt;11,'General Basis'!$B$39,IF(G3151&lt;18,'General Basis'!$B$40,IF(G3151&lt;26,'General Basis'!$B$41,IF(G3151&lt;31,'General Basis'!$B$42,IF(G3151&lt;36,'General Basis'!$B$43,IF(G3151&lt;41,'General Basis'!$B$44,IF(G3151&lt;46,'General Basis'!$B$45,IF(G3151&lt;51,'General Basis'!$B$46,IF(G3151&lt;56,'General Basis'!$B$47,IF(G3151&lt;60,'General Basis'!$B$48,IF(G3151&lt;65,'General Basis'!$B$49,'General Basis'!$B$50)))))))))))))</f>
        <v/>
      </c>
      <c r="BI3151" s="744" t="str">
        <f t="shared" si="1105"/>
        <v/>
      </c>
      <c r="BJ3151" s="747" t="str">
        <f t="shared" si="1112"/>
        <v/>
      </c>
      <c r="BK3151" s="498" t="str">
        <f t="shared" si="1106"/>
        <v/>
      </c>
      <c r="BL3151" s="498" t="str">
        <f t="shared" si="1107"/>
        <v/>
      </c>
    </row>
    <row r="3152" spans="1:64" x14ac:dyDescent="0.25">
      <c r="A3152" s="762">
        <f t="shared" si="1108"/>
        <v>3147</v>
      </c>
      <c r="B3152" s="229"/>
      <c r="C3152" s="223"/>
      <c r="D3152" s="224"/>
      <c r="E3152" s="225"/>
      <c r="F3152" s="1036" t="str">
        <f t="shared" ref="F3152:F3215" si="1114">IF(C3152="","",IF($B3152="","",((YEAR($F$3)-YEAR($B3152))+(MONTH($F$3)-MONTH($B3152))/12+(DAY($F$3)-DAY($B3152))/(DATE(YEAR($F$3),12,31)-DATE(YEAR($F$3),1,1)+1))))</f>
        <v/>
      </c>
      <c r="G3152" s="1037" t="str">
        <f t="shared" si="1109"/>
        <v/>
      </c>
      <c r="H3152" s="225"/>
      <c r="I3152" s="1013"/>
      <c r="J3152" s="1013"/>
      <c r="K3152" s="1028"/>
      <c r="L3152" s="1035" t="str">
        <f t="shared" si="1113"/>
        <v/>
      </c>
      <c r="S3152" s="498"/>
      <c r="AJ3152" s="498"/>
      <c r="AM3152" s="498">
        <f t="shared" si="1094"/>
        <v>0</v>
      </c>
      <c r="AN3152" s="498">
        <f t="shared" si="1095"/>
        <v>0</v>
      </c>
      <c r="AO3152" s="498">
        <f t="shared" si="1096"/>
        <v>0</v>
      </c>
      <c r="AP3152" s="498">
        <f t="shared" si="1093"/>
        <v>0</v>
      </c>
      <c r="AQ3152" s="498">
        <f t="shared" si="1110"/>
        <v>0</v>
      </c>
      <c r="AU3152" s="498">
        <f t="shared" si="1097"/>
        <v>0</v>
      </c>
      <c r="AV3152" s="498">
        <f t="shared" si="1098"/>
        <v>0</v>
      </c>
      <c r="AW3152" s="498">
        <f t="shared" si="1099"/>
        <v>0</v>
      </c>
      <c r="AX3152" s="498">
        <f t="shared" si="1100"/>
        <v>0</v>
      </c>
      <c r="AY3152" s="498">
        <f t="shared" si="1101"/>
        <v>0</v>
      </c>
      <c r="BB3152" s="498" t="str">
        <f t="shared" si="1102"/>
        <v/>
      </c>
      <c r="BC3152" s="743" t="str">
        <f t="shared" si="1103"/>
        <v/>
      </c>
      <c r="BD3152" s="743" t="str">
        <f t="shared" si="1104"/>
        <v/>
      </c>
      <c r="BE3152" s="743" t="str">
        <f>IF(D3152="","",VLOOKUP(D3152,'General Basis'!$J$39:$K$46,2,0))</f>
        <v/>
      </c>
      <c r="BF3152" s="744" t="str">
        <f>IF(D3152="","",VLOOKUP(D3152,'General Basis'!$J$39:$L$46,3,0))</f>
        <v/>
      </c>
      <c r="BG3152" s="744" t="str">
        <f t="shared" si="1111"/>
        <v/>
      </c>
      <c r="BH3152" s="744" t="str">
        <f>IF(G3152="","",IF(BF3152="Abu Dhabi",IF(G3152&lt;18,'General Basis'!$C$39,IF(G3152&lt;41,'General Basis'!$C$40,IF(G3152&lt;60,'General Basis'!$C$41,IF(G3152&lt;65,'General Basis'!$C$42,'General Basis'!$C$43)))),IF(G3152&lt;11,'General Basis'!$B$39,IF(G3152&lt;18,'General Basis'!$B$40,IF(G3152&lt;26,'General Basis'!$B$41,IF(G3152&lt;31,'General Basis'!$B$42,IF(G3152&lt;36,'General Basis'!$B$43,IF(G3152&lt;41,'General Basis'!$B$44,IF(G3152&lt;46,'General Basis'!$B$45,IF(G3152&lt;51,'General Basis'!$B$46,IF(G3152&lt;56,'General Basis'!$B$47,IF(G3152&lt;60,'General Basis'!$B$48,IF(G3152&lt;65,'General Basis'!$B$49,'General Basis'!$B$50)))))))))))))</f>
        <v/>
      </c>
      <c r="BI3152" s="744" t="str">
        <f t="shared" si="1105"/>
        <v/>
      </c>
      <c r="BJ3152" s="747" t="str">
        <f t="shared" si="1112"/>
        <v/>
      </c>
      <c r="BK3152" s="498" t="str">
        <f t="shared" si="1106"/>
        <v/>
      </c>
      <c r="BL3152" s="498" t="str">
        <f t="shared" si="1107"/>
        <v/>
      </c>
    </row>
    <row r="3153" spans="1:64" x14ac:dyDescent="0.25">
      <c r="A3153" s="762">
        <f t="shared" si="1108"/>
        <v>3148</v>
      </c>
      <c r="B3153" s="229"/>
      <c r="C3153" s="223"/>
      <c r="D3153" s="224"/>
      <c r="E3153" s="225"/>
      <c r="F3153" s="1036" t="str">
        <f t="shared" si="1114"/>
        <v/>
      </c>
      <c r="G3153" s="1037" t="str">
        <f t="shared" si="1109"/>
        <v/>
      </c>
      <c r="H3153" s="225"/>
      <c r="I3153" s="1013"/>
      <c r="J3153" s="1013"/>
      <c r="K3153" s="1028"/>
      <c r="L3153" s="1035" t="str">
        <f t="shared" si="1113"/>
        <v/>
      </c>
      <c r="S3153" s="498"/>
      <c r="AJ3153" s="498"/>
      <c r="AM3153" s="498">
        <f t="shared" si="1094"/>
        <v>0</v>
      </c>
      <c r="AN3153" s="498">
        <f t="shared" si="1095"/>
        <v>0</v>
      </c>
      <c r="AO3153" s="498">
        <f t="shared" si="1096"/>
        <v>0</v>
      </c>
      <c r="AP3153" s="498">
        <f t="shared" si="1093"/>
        <v>0</v>
      </c>
      <c r="AQ3153" s="498">
        <f t="shared" si="1110"/>
        <v>0</v>
      </c>
      <c r="AU3153" s="498">
        <f t="shared" si="1097"/>
        <v>0</v>
      </c>
      <c r="AV3153" s="498">
        <f t="shared" si="1098"/>
        <v>0</v>
      </c>
      <c r="AW3153" s="498">
        <f t="shared" si="1099"/>
        <v>0</v>
      </c>
      <c r="AX3153" s="498">
        <f t="shared" si="1100"/>
        <v>0</v>
      </c>
      <c r="AY3153" s="498">
        <f t="shared" si="1101"/>
        <v>0</v>
      </c>
      <c r="BB3153" s="498" t="str">
        <f t="shared" si="1102"/>
        <v/>
      </c>
      <c r="BC3153" s="743" t="str">
        <f t="shared" si="1103"/>
        <v/>
      </c>
      <c r="BD3153" s="743" t="str">
        <f t="shared" si="1104"/>
        <v/>
      </c>
      <c r="BE3153" s="743" t="str">
        <f>IF(D3153="","",VLOOKUP(D3153,'General Basis'!$J$39:$K$46,2,0))</f>
        <v/>
      </c>
      <c r="BF3153" s="744" t="str">
        <f>IF(D3153="","",VLOOKUP(D3153,'General Basis'!$J$39:$L$46,3,0))</f>
        <v/>
      </c>
      <c r="BG3153" s="744" t="str">
        <f t="shared" si="1111"/>
        <v/>
      </c>
      <c r="BH3153" s="744" t="str">
        <f>IF(G3153="","",IF(BF3153="Abu Dhabi",IF(G3153&lt;18,'General Basis'!$C$39,IF(G3153&lt;41,'General Basis'!$C$40,IF(G3153&lt;60,'General Basis'!$C$41,IF(G3153&lt;65,'General Basis'!$C$42,'General Basis'!$C$43)))),IF(G3153&lt;11,'General Basis'!$B$39,IF(G3153&lt;18,'General Basis'!$B$40,IF(G3153&lt;26,'General Basis'!$B$41,IF(G3153&lt;31,'General Basis'!$B$42,IF(G3153&lt;36,'General Basis'!$B$43,IF(G3153&lt;41,'General Basis'!$B$44,IF(G3153&lt;46,'General Basis'!$B$45,IF(G3153&lt;51,'General Basis'!$B$46,IF(G3153&lt;56,'General Basis'!$B$47,IF(G3153&lt;60,'General Basis'!$B$48,IF(G3153&lt;65,'General Basis'!$B$49,'General Basis'!$B$50)))))))))))))</f>
        <v/>
      </c>
      <c r="BI3153" s="744" t="str">
        <f t="shared" si="1105"/>
        <v/>
      </c>
      <c r="BJ3153" s="747" t="str">
        <f t="shared" si="1112"/>
        <v/>
      </c>
      <c r="BK3153" s="498" t="str">
        <f t="shared" si="1106"/>
        <v/>
      </c>
      <c r="BL3153" s="498" t="str">
        <f t="shared" si="1107"/>
        <v/>
      </c>
    </row>
    <row r="3154" spans="1:64" x14ac:dyDescent="0.25">
      <c r="A3154" s="762">
        <f t="shared" si="1108"/>
        <v>3149</v>
      </c>
      <c r="B3154" s="229"/>
      <c r="C3154" s="223"/>
      <c r="D3154" s="224"/>
      <c r="E3154" s="225"/>
      <c r="F3154" s="1036" t="str">
        <f t="shared" si="1114"/>
        <v/>
      </c>
      <c r="G3154" s="1037" t="str">
        <f t="shared" si="1109"/>
        <v/>
      </c>
      <c r="H3154" s="225"/>
      <c r="I3154" s="1013"/>
      <c r="J3154" s="1013"/>
      <c r="K3154" s="1028"/>
      <c r="L3154" s="1035" t="str">
        <f t="shared" si="1113"/>
        <v/>
      </c>
      <c r="S3154" s="498"/>
      <c r="AJ3154" s="498"/>
      <c r="AM3154" s="498">
        <f t="shared" si="1094"/>
        <v>0</v>
      </c>
      <c r="AN3154" s="498">
        <f t="shared" si="1095"/>
        <v>0</v>
      </c>
      <c r="AO3154" s="498">
        <f t="shared" si="1096"/>
        <v>0</v>
      </c>
      <c r="AP3154" s="498">
        <f t="shared" si="1093"/>
        <v>0</v>
      </c>
      <c r="AQ3154" s="498">
        <f t="shared" si="1110"/>
        <v>0</v>
      </c>
      <c r="AU3154" s="498">
        <f t="shared" si="1097"/>
        <v>0</v>
      </c>
      <c r="AV3154" s="498">
        <f t="shared" si="1098"/>
        <v>0</v>
      </c>
      <c r="AW3154" s="498">
        <f t="shared" si="1099"/>
        <v>0</v>
      </c>
      <c r="AX3154" s="498">
        <f t="shared" si="1100"/>
        <v>0</v>
      </c>
      <c r="AY3154" s="498">
        <f t="shared" si="1101"/>
        <v>0</v>
      </c>
      <c r="BB3154" s="498" t="str">
        <f t="shared" si="1102"/>
        <v/>
      </c>
      <c r="BC3154" s="743" t="str">
        <f t="shared" si="1103"/>
        <v/>
      </c>
      <c r="BD3154" s="743" t="str">
        <f t="shared" si="1104"/>
        <v/>
      </c>
      <c r="BE3154" s="743" t="str">
        <f>IF(D3154="","",VLOOKUP(D3154,'General Basis'!$J$39:$K$46,2,0))</f>
        <v/>
      </c>
      <c r="BF3154" s="744" t="str">
        <f>IF(D3154="","",VLOOKUP(D3154,'General Basis'!$J$39:$L$46,3,0))</f>
        <v/>
      </c>
      <c r="BG3154" s="744" t="str">
        <f t="shared" si="1111"/>
        <v/>
      </c>
      <c r="BH3154" s="744" t="str">
        <f>IF(G3154="","",IF(BF3154="Abu Dhabi",IF(G3154&lt;18,'General Basis'!$C$39,IF(G3154&lt;41,'General Basis'!$C$40,IF(G3154&lt;60,'General Basis'!$C$41,IF(G3154&lt;65,'General Basis'!$C$42,'General Basis'!$C$43)))),IF(G3154&lt;11,'General Basis'!$B$39,IF(G3154&lt;18,'General Basis'!$B$40,IF(G3154&lt;26,'General Basis'!$B$41,IF(G3154&lt;31,'General Basis'!$B$42,IF(G3154&lt;36,'General Basis'!$B$43,IF(G3154&lt;41,'General Basis'!$B$44,IF(G3154&lt;46,'General Basis'!$B$45,IF(G3154&lt;51,'General Basis'!$B$46,IF(G3154&lt;56,'General Basis'!$B$47,IF(G3154&lt;60,'General Basis'!$B$48,IF(G3154&lt;65,'General Basis'!$B$49,'General Basis'!$B$50)))))))))))))</f>
        <v/>
      </c>
      <c r="BI3154" s="744" t="str">
        <f t="shared" si="1105"/>
        <v/>
      </c>
      <c r="BJ3154" s="747" t="str">
        <f t="shared" si="1112"/>
        <v/>
      </c>
      <c r="BK3154" s="498" t="str">
        <f t="shared" si="1106"/>
        <v/>
      </c>
      <c r="BL3154" s="498" t="str">
        <f t="shared" si="1107"/>
        <v/>
      </c>
    </row>
    <row r="3155" spans="1:64" x14ac:dyDescent="0.25">
      <c r="A3155" s="762">
        <f t="shared" si="1108"/>
        <v>3150</v>
      </c>
      <c r="B3155" s="229"/>
      <c r="C3155" s="223"/>
      <c r="D3155" s="224"/>
      <c r="E3155" s="225"/>
      <c r="F3155" s="1036" t="str">
        <f t="shared" si="1114"/>
        <v/>
      </c>
      <c r="G3155" s="1037" t="str">
        <f t="shared" si="1109"/>
        <v/>
      </c>
      <c r="H3155" s="225"/>
      <c r="I3155" s="1013"/>
      <c r="J3155" s="1013"/>
      <c r="K3155" s="1028"/>
      <c r="L3155" s="1035" t="str">
        <f t="shared" si="1113"/>
        <v/>
      </c>
      <c r="S3155" s="498"/>
      <c r="AJ3155" s="498"/>
      <c r="AM3155" s="498">
        <f t="shared" si="1094"/>
        <v>0</v>
      </c>
      <c r="AN3155" s="498">
        <f t="shared" si="1095"/>
        <v>0</v>
      </c>
      <c r="AO3155" s="498">
        <f t="shared" si="1096"/>
        <v>0</v>
      </c>
      <c r="AP3155" s="498">
        <f t="shared" ref="AP3155:AP3218" si="1115">IF(ISBLANK($B3155),0,IF(OR($C3155="M",$C3155="F"),0,1))</f>
        <v>0</v>
      </c>
      <c r="AQ3155" s="498">
        <f t="shared" si="1110"/>
        <v>0</v>
      </c>
      <c r="AU3155" s="498">
        <f t="shared" si="1097"/>
        <v>0</v>
      </c>
      <c r="AV3155" s="498">
        <f t="shared" si="1098"/>
        <v>0</v>
      </c>
      <c r="AW3155" s="498">
        <f t="shared" si="1099"/>
        <v>0</v>
      </c>
      <c r="AX3155" s="498">
        <f t="shared" si="1100"/>
        <v>0</v>
      </c>
      <c r="AY3155" s="498">
        <f t="shared" si="1101"/>
        <v>0</v>
      </c>
      <c r="BB3155" s="498" t="str">
        <f t="shared" si="1102"/>
        <v/>
      </c>
      <c r="BC3155" s="743" t="str">
        <f t="shared" si="1103"/>
        <v/>
      </c>
      <c r="BD3155" s="743" t="str">
        <f t="shared" si="1104"/>
        <v/>
      </c>
      <c r="BE3155" s="743" t="str">
        <f>IF(D3155="","",VLOOKUP(D3155,'General Basis'!$J$39:$K$46,2,0))</f>
        <v/>
      </c>
      <c r="BF3155" s="744" t="str">
        <f>IF(D3155="","",VLOOKUP(D3155,'General Basis'!$J$39:$L$46,3,0))</f>
        <v/>
      </c>
      <c r="BG3155" s="744" t="str">
        <f t="shared" si="1111"/>
        <v/>
      </c>
      <c r="BH3155" s="744" t="str">
        <f>IF(G3155="","",IF(BF3155="Abu Dhabi",IF(G3155&lt;18,'General Basis'!$C$39,IF(G3155&lt;41,'General Basis'!$C$40,IF(G3155&lt;60,'General Basis'!$C$41,IF(G3155&lt;65,'General Basis'!$C$42,'General Basis'!$C$43)))),IF(G3155&lt;11,'General Basis'!$B$39,IF(G3155&lt;18,'General Basis'!$B$40,IF(G3155&lt;26,'General Basis'!$B$41,IF(G3155&lt;31,'General Basis'!$B$42,IF(G3155&lt;36,'General Basis'!$B$43,IF(G3155&lt;41,'General Basis'!$B$44,IF(G3155&lt;46,'General Basis'!$B$45,IF(G3155&lt;51,'General Basis'!$B$46,IF(G3155&lt;56,'General Basis'!$B$47,IF(G3155&lt;60,'General Basis'!$B$48,IF(G3155&lt;65,'General Basis'!$B$49,'General Basis'!$B$50)))))))))))))</f>
        <v/>
      </c>
      <c r="BI3155" s="744" t="str">
        <f t="shared" si="1105"/>
        <v/>
      </c>
      <c r="BJ3155" s="747" t="str">
        <f t="shared" si="1112"/>
        <v/>
      </c>
      <c r="BK3155" s="498" t="str">
        <f t="shared" si="1106"/>
        <v/>
      </c>
      <c r="BL3155" s="498" t="str">
        <f t="shared" si="1107"/>
        <v/>
      </c>
    </row>
    <row r="3156" spans="1:64" x14ac:dyDescent="0.25">
      <c r="A3156" s="762">
        <f t="shared" si="1108"/>
        <v>3151</v>
      </c>
      <c r="B3156" s="229"/>
      <c r="C3156" s="223"/>
      <c r="D3156" s="224"/>
      <c r="E3156" s="225"/>
      <c r="F3156" s="1036" t="str">
        <f t="shared" si="1114"/>
        <v/>
      </c>
      <c r="G3156" s="1037" t="str">
        <f t="shared" si="1109"/>
        <v/>
      </c>
      <c r="H3156" s="225"/>
      <c r="I3156" s="1013"/>
      <c r="J3156" s="1013"/>
      <c r="K3156" s="1028"/>
      <c r="L3156" s="1035" t="str">
        <f t="shared" si="1113"/>
        <v/>
      </c>
      <c r="S3156" s="498"/>
      <c r="AJ3156" s="498"/>
      <c r="AM3156" s="498">
        <f t="shared" si="1094"/>
        <v>0</v>
      </c>
      <c r="AN3156" s="498">
        <f t="shared" si="1095"/>
        <v>0</v>
      </c>
      <c r="AO3156" s="498">
        <f t="shared" si="1096"/>
        <v>0</v>
      </c>
      <c r="AP3156" s="498">
        <f t="shared" si="1115"/>
        <v>0</v>
      </c>
      <c r="AQ3156" s="498">
        <f t="shared" si="1110"/>
        <v>0</v>
      </c>
      <c r="AU3156" s="498">
        <f t="shared" si="1097"/>
        <v>0</v>
      </c>
      <c r="AV3156" s="498">
        <f t="shared" si="1098"/>
        <v>0</v>
      </c>
      <c r="AW3156" s="498">
        <f t="shared" si="1099"/>
        <v>0</v>
      </c>
      <c r="AX3156" s="498">
        <f t="shared" si="1100"/>
        <v>0</v>
      </c>
      <c r="AY3156" s="498">
        <f t="shared" si="1101"/>
        <v>0</v>
      </c>
      <c r="BB3156" s="498" t="str">
        <f t="shared" si="1102"/>
        <v/>
      </c>
      <c r="BC3156" s="743" t="str">
        <f t="shared" si="1103"/>
        <v/>
      </c>
      <c r="BD3156" s="743" t="str">
        <f t="shared" si="1104"/>
        <v/>
      </c>
      <c r="BE3156" s="743" t="str">
        <f>IF(D3156="","",VLOOKUP(D3156,'General Basis'!$J$39:$K$46,2,0))</f>
        <v/>
      </c>
      <c r="BF3156" s="744" t="str">
        <f>IF(D3156="","",VLOOKUP(D3156,'General Basis'!$J$39:$L$46,3,0))</f>
        <v/>
      </c>
      <c r="BG3156" s="744" t="str">
        <f t="shared" si="1111"/>
        <v/>
      </c>
      <c r="BH3156" s="744" t="str">
        <f>IF(G3156="","",IF(BF3156="Abu Dhabi",IF(G3156&lt;18,'General Basis'!$C$39,IF(G3156&lt;41,'General Basis'!$C$40,IF(G3156&lt;60,'General Basis'!$C$41,IF(G3156&lt;65,'General Basis'!$C$42,'General Basis'!$C$43)))),IF(G3156&lt;11,'General Basis'!$B$39,IF(G3156&lt;18,'General Basis'!$B$40,IF(G3156&lt;26,'General Basis'!$B$41,IF(G3156&lt;31,'General Basis'!$B$42,IF(G3156&lt;36,'General Basis'!$B$43,IF(G3156&lt;41,'General Basis'!$B$44,IF(G3156&lt;46,'General Basis'!$B$45,IF(G3156&lt;51,'General Basis'!$B$46,IF(G3156&lt;56,'General Basis'!$B$47,IF(G3156&lt;60,'General Basis'!$B$48,IF(G3156&lt;65,'General Basis'!$B$49,'General Basis'!$B$50)))))))))))))</f>
        <v/>
      </c>
      <c r="BI3156" s="744" t="str">
        <f t="shared" si="1105"/>
        <v/>
      </c>
      <c r="BJ3156" s="747" t="str">
        <f t="shared" si="1112"/>
        <v/>
      </c>
      <c r="BK3156" s="498" t="str">
        <f t="shared" si="1106"/>
        <v/>
      </c>
      <c r="BL3156" s="498" t="str">
        <f t="shared" si="1107"/>
        <v/>
      </c>
    </row>
    <row r="3157" spans="1:64" x14ac:dyDescent="0.25">
      <c r="A3157" s="762">
        <f t="shared" si="1108"/>
        <v>3152</v>
      </c>
      <c r="B3157" s="229"/>
      <c r="C3157" s="223"/>
      <c r="D3157" s="224"/>
      <c r="E3157" s="225"/>
      <c r="F3157" s="1036" t="str">
        <f t="shared" si="1114"/>
        <v/>
      </c>
      <c r="G3157" s="1037" t="str">
        <f t="shared" si="1109"/>
        <v/>
      </c>
      <c r="H3157" s="225"/>
      <c r="I3157" s="1013"/>
      <c r="J3157" s="1013"/>
      <c r="K3157" s="1028"/>
      <c r="L3157" s="1035" t="str">
        <f t="shared" si="1113"/>
        <v/>
      </c>
      <c r="S3157" s="498"/>
      <c r="AJ3157" s="498"/>
      <c r="AM3157" s="498">
        <f t="shared" si="1094"/>
        <v>0</v>
      </c>
      <c r="AN3157" s="498">
        <f t="shared" si="1095"/>
        <v>0</v>
      </c>
      <c r="AO3157" s="498">
        <f t="shared" si="1096"/>
        <v>0</v>
      </c>
      <c r="AP3157" s="498">
        <f t="shared" si="1115"/>
        <v>0</v>
      </c>
      <c r="AQ3157" s="498">
        <f t="shared" si="1110"/>
        <v>0</v>
      </c>
      <c r="AU3157" s="498">
        <f t="shared" si="1097"/>
        <v>0</v>
      </c>
      <c r="AV3157" s="498">
        <f t="shared" si="1098"/>
        <v>0</v>
      </c>
      <c r="AW3157" s="498">
        <f t="shared" si="1099"/>
        <v>0</v>
      </c>
      <c r="AX3157" s="498">
        <f t="shared" si="1100"/>
        <v>0</v>
      </c>
      <c r="AY3157" s="498">
        <f t="shared" si="1101"/>
        <v>0</v>
      </c>
      <c r="BB3157" s="498" t="str">
        <f t="shared" si="1102"/>
        <v/>
      </c>
      <c r="BC3157" s="743" t="str">
        <f t="shared" si="1103"/>
        <v/>
      </c>
      <c r="BD3157" s="743" t="str">
        <f t="shared" si="1104"/>
        <v/>
      </c>
      <c r="BE3157" s="743" t="str">
        <f>IF(D3157="","",VLOOKUP(D3157,'General Basis'!$J$39:$K$46,2,0))</f>
        <v/>
      </c>
      <c r="BF3157" s="744" t="str">
        <f>IF(D3157="","",VLOOKUP(D3157,'General Basis'!$J$39:$L$46,3,0))</f>
        <v/>
      </c>
      <c r="BG3157" s="744" t="str">
        <f t="shared" si="1111"/>
        <v/>
      </c>
      <c r="BH3157" s="744" t="str">
        <f>IF(G3157="","",IF(BF3157="Abu Dhabi",IF(G3157&lt;18,'General Basis'!$C$39,IF(G3157&lt;41,'General Basis'!$C$40,IF(G3157&lt;60,'General Basis'!$C$41,IF(G3157&lt;65,'General Basis'!$C$42,'General Basis'!$C$43)))),IF(G3157&lt;11,'General Basis'!$B$39,IF(G3157&lt;18,'General Basis'!$B$40,IF(G3157&lt;26,'General Basis'!$B$41,IF(G3157&lt;31,'General Basis'!$B$42,IF(G3157&lt;36,'General Basis'!$B$43,IF(G3157&lt;41,'General Basis'!$B$44,IF(G3157&lt;46,'General Basis'!$B$45,IF(G3157&lt;51,'General Basis'!$B$46,IF(G3157&lt;56,'General Basis'!$B$47,IF(G3157&lt;60,'General Basis'!$B$48,IF(G3157&lt;65,'General Basis'!$B$49,'General Basis'!$B$50)))))))))))))</f>
        <v/>
      </c>
      <c r="BI3157" s="744" t="str">
        <f t="shared" si="1105"/>
        <v/>
      </c>
      <c r="BJ3157" s="747" t="str">
        <f t="shared" si="1112"/>
        <v/>
      </c>
      <c r="BK3157" s="498" t="str">
        <f t="shared" si="1106"/>
        <v/>
      </c>
      <c r="BL3157" s="498" t="str">
        <f t="shared" si="1107"/>
        <v/>
      </c>
    </row>
    <row r="3158" spans="1:64" x14ac:dyDescent="0.25">
      <c r="A3158" s="762">
        <f t="shared" si="1108"/>
        <v>3153</v>
      </c>
      <c r="B3158" s="229"/>
      <c r="C3158" s="223"/>
      <c r="D3158" s="224"/>
      <c r="E3158" s="225"/>
      <c r="F3158" s="1036" t="str">
        <f t="shared" si="1114"/>
        <v/>
      </c>
      <c r="G3158" s="1037" t="str">
        <f t="shared" si="1109"/>
        <v/>
      </c>
      <c r="H3158" s="225"/>
      <c r="I3158" s="1013"/>
      <c r="J3158" s="1013"/>
      <c r="K3158" s="1028"/>
      <c r="L3158" s="1035" t="str">
        <f t="shared" si="1113"/>
        <v/>
      </c>
      <c r="S3158" s="498"/>
      <c r="AJ3158" s="498"/>
      <c r="AM3158" s="498">
        <f t="shared" si="1094"/>
        <v>0</v>
      </c>
      <c r="AN3158" s="498">
        <f t="shared" si="1095"/>
        <v>0</v>
      </c>
      <c r="AO3158" s="498">
        <f t="shared" si="1096"/>
        <v>0</v>
      </c>
      <c r="AP3158" s="498">
        <f t="shared" si="1115"/>
        <v>0</v>
      </c>
      <c r="AQ3158" s="498">
        <f t="shared" si="1110"/>
        <v>0</v>
      </c>
      <c r="AU3158" s="498">
        <f t="shared" si="1097"/>
        <v>0</v>
      </c>
      <c r="AV3158" s="498">
        <f t="shared" si="1098"/>
        <v>0</v>
      </c>
      <c r="AW3158" s="498">
        <f t="shared" si="1099"/>
        <v>0</v>
      </c>
      <c r="AX3158" s="498">
        <f t="shared" si="1100"/>
        <v>0</v>
      </c>
      <c r="AY3158" s="498">
        <f t="shared" si="1101"/>
        <v>0</v>
      </c>
      <c r="BB3158" s="498" t="str">
        <f t="shared" si="1102"/>
        <v/>
      </c>
      <c r="BC3158" s="743" t="str">
        <f t="shared" si="1103"/>
        <v/>
      </c>
      <c r="BD3158" s="743" t="str">
        <f t="shared" si="1104"/>
        <v/>
      </c>
      <c r="BE3158" s="743" t="str">
        <f>IF(D3158="","",VLOOKUP(D3158,'General Basis'!$J$39:$K$46,2,0))</f>
        <v/>
      </c>
      <c r="BF3158" s="744" t="str">
        <f>IF(D3158="","",VLOOKUP(D3158,'General Basis'!$J$39:$L$46,3,0))</f>
        <v/>
      </c>
      <c r="BG3158" s="744" t="str">
        <f t="shared" si="1111"/>
        <v/>
      </c>
      <c r="BH3158" s="744" t="str">
        <f>IF(G3158="","",IF(BF3158="Abu Dhabi",IF(G3158&lt;18,'General Basis'!$C$39,IF(G3158&lt;41,'General Basis'!$C$40,IF(G3158&lt;60,'General Basis'!$C$41,IF(G3158&lt;65,'General Basis'!$C$42,'General Basis'!$C$43)))),IF(G3158&lt;11,'General Basis'!$B$39,IF(G3158&lt;18,'General Basis'!$B$40,IF(G3158&lt;26,'General Basis'!$B$41,IF(G3158&lt;31,'General Basis'!$B$42,IF(G3158&lt;36,'General Basis'!$B$43,IF(G3158&lt;41,'General Basis'!$B$44,IF(G3158&lt;46,'General Basis'!$B$45,IF(G3158&lt;51,'General Basis'!$B$46,IF(G3158&lt;56,'General Basis'!$B$47,IF(G3158&lt;60,'General Basis'!$B$48,IF(G3158&lt;65,'General Basis'!$B$49,'General Basis'!$B$50)))))))))))))</f>
        <v/>
      </c>
      <c r="BI3158" s="744" t="str">
        <f t="shared" si="1105"/>
        <v/>
      </c>
      <c r="BJ3158" s="747" t="str">
        <f t="shared" si="1112"/>
        <v/>
      </c>
      <c r="BK3158" s="498" t="str">
        <f t="shared" si="1106"/>
        <v/>
      </c>
      <c r="BL3158" s="498" t="str">
        <f t="shared" si="1107"/>
        <v/>
      </c>
    </row>
    <row r="3159" spans="1:64" x14ac:dyDescent="0.25">
      <c r="A3159" s="762">
        <f t="shared" si="1108"/>
        <v>3154</v>
      </c>
      <c r="B3159" s="229"/>
      <c r="C3159" s="223"/>
      <c r="D3159" s="224"/>
      <c r="E3159" s="225"/>
      <c r="F3159" s="1036" t="str">
        <f t="shared" si="1114"/>
        <v/>
      </c>
      <c r="G3159" s="1037" t="str">
        <f t="shared" si="1109"/>
        <v/>
      </c>
      <c r="H3159" s="225"/>
      <c r="I3159" s="1013"/>
      <c r="J3159" s="1013"/>
      <c r="K3159" s="1028"/>
      <c r="L3159" s="1035" t="str">
        <f t="shared" si="1113"/>
        <v/>
      </c>
      <c r="S3159" s="498"/>
      <c r="AJ3159" s="498"/>
      <c r="AM3159" s="498">
        <f t="shared" si="1094"/>
        <v>0</v>
      </c>
      <c r="AN3159" s="498">
        <f t="shared" si="1095"/>
        <v>0</v>
      </c>
      <c r="AO3159" s="498">
        <f t="shared" si="1096"/>
        <v>0</v>
      </c>
      <c r="AP3159" s="498">
        <f t="shared" si="1115"/>
        <v>0</v>
      </c>
      <c r="AQ3159" s="498">
        <f t="shared" si="1110"/>
        <v>0</v>
      </c>
      <c r="AU3159" s="498">
        <f t="shared" si="1097"/>
        <v>0</v>
      </c>
      <c r="AV3159" s="498">
        <f t="shared" si="1098"/>
        <v>0</v>
      </c>
      <c r="AW3159" s="498">
        <f t="shared" si="1099"/>
        <v>0</v>
      </c>
      <c r="AX3159" s="498">
        <f t="shared" si="1100"/>
        <v>0</v>
      </c>
      <c r="AY3159" s="498">
        <f t="shared" si="1101"/>
        <v>0</v>
      </c>
      <c r="BB3159" s="498" t="str">
        <f t="shared" si="1102"/>
        <v/>
      </c>
      <c r="BC3159" s="743" t="str">
        <f t="shared" si="1103"/>
        <v/>
      </c>
      <c r="BD3159" s="743" t="str">
        <f t="shared" si="1104"/>
        <v/>
      </c>
      <c r="BE3159" s="743" t="str">
        <f>IF(D3159="","",VLOOKUP(D3159,'General Basis'!$J$39:$K$46,2,0))</f>
        <v/>
      </c>
      <c r="BF3159" s="744" t="str">
        <f>IF(D3159="","",VLOOKUP(D3159,'General Basis'!$J$39:$L$46,3,0))</f>
        <v/>
      </c>
      <c r="BG3159" s="744" t="str">
        <f t="shared" si="1111"/>
        <v/>
      </c>
      <c r="BH3159" s="744" t="str">
        <f>IF(G3159="","",IF(BF3159="Abu Dhabi",IF(G3159&lt;18,'General Basis'!$C$39,IF(G3159&lt;41,'General Basis'!$C$40,IF(G3159&lt;60,'General Basis'!$C$41,IF(G3159&lt;65,'General Basis'!$C$42,'General Basis'!$C$43)))),IF(G3159&lt;11,'General Basis'!$B$39,IF(G3159&lt;18,'General Basis'!$B$40,IF(G3159&lt;26,'General Basis'!$B$41,IF(G3159&lt;31,'General Basis'!$B$42,IF(G3159&lt;36,'General Basis'!$B$43,IF(G3159&lt;41,'General Basis'!$B$44,IF(G3159&lt;46,'General Basis'!$B$45,IF(G3159&lt;51,'General Basis'!$B$46,IF(G3159&lt;56,'General Basis'!$B$47,IF(G3159&lt;60,'General Basis'!$B$48,IF(G3159&lt;65,'General Basis'!$B$49,'General Basis'!$B$50)))))))))))))</f>
        <v/>
      </c>
      <c r="BI3159" s="744" t="str">
        <f t="shared" si="1105"/>
        <v/>
      </c>
      <c r="BJ3159" s="747" t="str">
        <f t="shared" si="1112"/>
        <v/>
      </c>
      <c r="BK3159" s="498" t="str">
        <f t="shared" si="1106"/>
        <v/>
      </c>
      <c r="BL3159" s="498" t="str">
        <f t="shared" si="1107"/>
        <v/>
      </c>
    </row>
    <row r="3160" spans="1:64" x14ac:dyDescent="0.25">
      <c r="A3160" s="762">
        <f t="shared" si="1108"/>
        <v>3155</v>
      </c>
      <c r="B3160" s="229"/>
      <c r="C3160" s="223"/>
      <c r="D3160" s="224"/>
      <c r="E3160" s="225"/>
      <c r="F3160" s="1036" t="str">
        <f t="shared" si="1114"/>
        <v/>
      </c>
      <c r="G3160" s="1037" t="str">
        <f t="shared" si="1109"/>
        <v/>
      </c>
      <c r="H3160" s="225"/>
      <c r="I3160" s="1013"/>
      <c r="J3160" s="1013"/>
      <c r="K3160" s="1028"/>
      <c r="L3160" s="1035" t="str">
        <f t="shared" si="1113"/>
        <v/>
      </c>
      <c r="S3160" s="498"/>
      <c r="AJ3160" s="498"/>
      <c r="AM3160" s="498">
        <f t="shared" si="1094"/>
        <v>0</v>
      </c>
      <c r="AN3160" s="498">
        <f t="shared" si="1095"/>
        <v>0</v>
      </c>
      <c r="AO3160" s="498">
        <f t="shared" si="1096"/>
        <v>0</v>
      </c>
      <c r="AP3160" s="498">
        <f t="shared" si="1115"/>
        <v>0</v>
      </c>
      <c r="AQ3160" s="498">
        <f t="shared" si="1110"/>
        <v>0</v>
      </c>
      <c r="AU3160" s="498">
        <f t="shared" si="1097"/>
        <v>0</v>
      </c>
      <c r="AV3160" s="498">
        <f t="shared" si="1098"/>
        <v>0</v>
      </c>
      <c r="AW3160" s="498">
        <f t="shared" si="1099"/>
        <v>0</v>
      </c>
      <c r="AX3160" s="498">
        <f t="shared" si="1100"/>
        <v>0</v>
      </c>
      <c r="AY3160" s="498">
        <f t="shared" si="1101"/>
        <v>0</v>
      </c>
      <c r="BB3160" s="498" t="str">
        <f t="shared" si="1102"/>
        <v/>
      </c>
      <c r="BC3160" s="743" t="str">
        <f t="shared" si="1103"/>
        <v/>
      </c>
      <c r="BD3160" s="743" t="str">
        <f t="shared" si="1104"/>
        <v/>
      </c>
      <c r="BE3160" s="743" t="str">
        <f>IF(D3160="","",VLOOKUP(D3160,'General Basis'!$J$39:$K$46,2,0))</f>
        <v/>
      </c>
      <c r="BF3160" s="744" t="str">
        <f>IF(D3160="","",VLOOKUP(D3160,'General Basis'!$J$39:$L$46,3,0))</f>
        <v/>
      </c>
      <c r="BG3160" s="744" t="str">
        <f t="shared" si="1111"/>
        <v/>
      </c>
      <c r="BH3160" s="744" t="str">
        <f>IF(G3160="","",IF(BF3160="Abu Dhabi",IF(G3160&lt;18,'General Basis'!$C$39,IF(G3160&lt;41,'General Basis'!$C$40,IF(G3160&lt;60,'General Basis'!$C$41,IF(G3160&lt;65,'General Basis'!$C$42,'General Basis'!$C$43)))),IF(G3160&lt;11,'General Basis'!$B$39,IF(G3160&lt;18,'General Basis'!$B$40,IF(G3160&lt;26,'General Basis'!$B$41,IF(G3160&lt;31,'General Basis'!$B$42,IF(G3160&lt;36,'General Basis'!$B$43,IF(G3160&lt;41,'General Basis'!$B$44,IF(G3160&lt;46,'General Basis'!$B$45,IF(G3160&lt;51,'General Basis'!$B$46,IF(G3160&lt;56,'General Basis'!$B$47,IF(G3160&lt;60,'General Basis'!$B$48,IF(G3160&lt;65,'General Basis'!$B$49,'General Basis'!$B$50)))))))))))))</f>
        <v/>
      </c>
      <c r="BI3160" s="744" t="str">
        <f t="shared" si="1105"/>
        <v/>
      </c>
      <c r="BJ3160" s="747" t="str">
        <f t="shared" si="1112"/>
        <v/>
      </c>
      <c r="BK3160" s="498" t="str">
        <f t="shared" si="1106"/>
        <v/>
      </c>
      <c r="BL3160" s="498" t="str">
        <f t="shared" si="1107"/>
        <v/>
      </c>
    </row>
    <row r="3161" spans="1:64" x14ac:dyDescent="0.25">
      <c r="A3161" s="762">
        <f t="shared" si="1108"/>
        <v>3156</v>
      </c>
      <c r="B3161" s="229"/>
      <c r="C3161" s="223"/>
      <c r="D3161" s="224"/>
      <c r="E3161" s="225"/>
      <c r="F3161" s="1036" t="str">
        <f t="shared" si="1114"/>
        <v/>
      </c>
      <c r="G3161" s="1037" t="str">
        <f t="shared" si="1109"/>
        <v/>
      </c>
      <c r="H3161" s="225"/>
      <c r="I3161" s="1013"/>
      <c r="J3161" s="1013"/>
      <c r="K3161" s="1028"/>
      <c r="L3161" s="1035" t="str">
        <f t="shared" si="1113"/>
        <v/>
      </c>
      <c r="S3161" s="498"/>
      <c r="AJ3161" s="498"/>
      <c r="AM3161" s="498">
        <f t="shared" si="1094"/>
        <v>0</v>
      </c>
      <c r="AN3161" s="498">
        <f t="shared" si="1095"/>
        <v>0</v>
      </c>
      <c r="AO3161" s="498">
        <f t="shared" si="1096"/>
        <v>0</v>
      </c>
      <c r="AP3161" s="498">
        <f t="shared" si="1115"/>
        <v>0</v>
      </c>
      <c r="AQ3161" s="498">
        <f t="shared" si="1110"/>
        <v>0</v>
      </c>
      <c r="AU3161" s="498">
        <f t="shared" si="1097"/>
        <v>0</v>
      </c>
      <c r="AV3161" s="498">
        <f t="shared" si="1098"/>
        <v>0</v>
      </c>
      <c r="AW3161" s="498">
        <f t="shared" si="1099"/>
        <v>0</v>
      </c>
      <c r="AX3161" s="498">
        <f t="shared" si="1100"/>
        <v>0</v>
      </c>
      <c r="AY3161" s="498">
        <f t="shared" si="1101"/>
        <v>0</v>
      </c>
      <c r="BB3161" s="498" t="str">
        <f t="shared" si="1102"/>
        <v/>
      </c>
      <c r="BC3161" s="743" t="str">
        <f t="shared" si="1103"/>
        <v/>
      </c>
      <c r="BD3161" s="743" t="str">
        <f t="shared" si="1104"/>
        <v/>
      </c>
      <c r="BE3161" s="743" t="str">
        <f>IF(D3161="","",VLOOKUP(D3161,'General Basis'!$J$39:$K$46,2,0))</f>
        <v/>
      </c>
      <c r="BF3161" s="744" t="str">
        <f>IF(D3161="","",VLOOKUP(D3161,'General Basis'!$J$39:$L$46,3,0))</f>
        <v/>
      </c>
      <c r="BG3161" s="744" t="str">
        <f t="shared" si="1111"/>
        <v/>
      </c>
      <c r="BH3161" s="744" t="str">
        <f>IF(G3161="","",IF(BF3161="Abu Dhabi",IF(G3161&lt;18,'General Basis'!$C$39,IF(G3161&lt;41,'General Basis'!$C$40,IF(G3161&lt;60,'General Basis'!$C$41,IF(G3161&lt;65,'General Basis'!$C$42,'General Basis'!$C$43)))),IF(G3161&lt;11,'General Basis'!$B$39,IF(G3161&lt;18,'General Basis'!$B$40,IF(G3161&lt;26,'General Basis'!$B$41,IF(G3161&lt;31,'General Basis'!$B$42,IF(G3161&lt;36,'General Basis'!$B$43,IF(G3161&lt;41,'General Basis'!$B$44,IF(G3161&lt;46,'General Basis'!$B$45,IF(G3161&lt;51,'General Basis'!$B$46,IF(G3161&lt;56,'General Basis'!$B$47,IF(G3161&lt;60,'General Basis'!$B$48,IF(G3161&lt;65,'General Basis'!$B$49,'General Basis'!$B$50)))))))))))))</f>
        <v/>
      </c>
      <c r="BI3161" s="744" t="str">
        <f t="shared" si="1105"/>
        <v/>
      </c>
      <c r="BJ3161" s="747" t="str">
        <f t="shared" si="1112"/>
        <v/>
      </c>
      <c r="BK3161" s="498" t="str">
        <f t="shared" si="1106"/>
        <v/>
      </c>
      <c r="BL3161" s="498" t="str">
        <f t="shared" si="1107"/>
        <v/>
      </c>
    </row>
    <row r="3162" spans="1:64" x14ac:dyDescent="0.25">
      <c r="A3162" s="762">
        <f t="shared" si="1108"/>
        <v>3157</v>
      </c>
      <c r="B3162" s="229"/>
      <c r="C3162" s="223"/>
      <c r="D3162" s="224"/>
      <c r="E3162" s="225"/>
      <c r="F3162" s="1036" t="str">
        <f t="shared" si="1114"/>
        <v/>
      </c>
      <c r="G3162" s="1037" t="str">
        <f t="shared" si="1109"/>
        <v/>
      </c>
      <c r="H3162" s="225"/>
      <c r="I3162" s="1013"/>
      <c r="J3162" s="1013"/>
      <c r="K3162" s="1028"/>
      <c r="L3162" s="1035" t="str">
        <f t="shared" si="1113"/>
        <v/>
      </c>
      <c r="S3162" s="498"/>
      <c r="AJ3162" s="498"/>
      <c r="AM3162" s="498">
        <f t="shared" si="1094"/>
        <v>0</v>
      </c>
      <c r="AN3162" s="498">
        <f t="shared" si="1095"/>
        <v>0</v>
      </c>
      <c r="AO3162" s="498">
        <f t="shared" si="1096"/>
        <v>0</v>
      </c>
      <c r="AP3162" s="498">
        <f t="shared" si="1115"/>
        <v>0</v>
      </c>
      <c r="AQ3162" s="498">
        <f t="shared" si="1110"/>
        <v>0</v>
      </c>
      <c r="AU3162" s="498">
        <f t="shared" si="1097"/>
        <v>0</v>
      </c>
      <c r="AV3162" s="498">
        <f t="shared" si="1098"/>
        <v>0</v>
      </c>
      <c r="AW3162" s="498">
        <f t="shared" si="1099"/>
        <v>0</v>
      </c>
      <c r="AX3162" s="498">
        <f t="shared" si="1100"/>
        <v>0</v>
      </c>
      <c r="AY3162" s="498">
        <f t="shared" si="1101"/>
        <v>0</v>
      </c>
      <c r="BB3162" s="498" t="str">
        <f t="shared" si="1102"/>
        <v/>
      </c>
      <c r="BC3162" s="743" t="str">
        <f t="shared" si="1103"/>
        <v/>
      </c>
      <c r="BD3162" s="743" t="str">
        <f t="shared" si="1104"/>
        <v/>
      </c>
      <c r="BE3162" s="743" t="str">
        <f>IF(D3162="","",VLOOKUP(D3162,'General Basis'!$J$39:$K$46,2,0))</f>
        <v/>
      </c>
      <c r="BF3162" s="744" t="str">
        <f>IF(D3162="","",VLOOKUP(D3162,'General Basis'!$J$39:$L$46,3,0))</f>
        <v/>
      </c>
      <c r="BG3162" s="744" t="str">
        <f t="shared" si="1111"/>
        <v/>
      </c>
      <c r="BH3162" s="744" t="str">
        <f>IF(G3162="","",IF(BF3162="Abu Dhabi",IF(G3162&lt;18,'General Basis'!$C$39,IF(G3162&lt;41,'General Basis'!$C$40,IF(G3162&lt;60,'General Basis'!$C$41,IF(G3162&lt;65,'General Basis'!$C$42,'General Basis'!$C$43)))),IF(G3162&lt;11,'General Basis'!$B$39,IF(G3162&lt;18,'General Basis'!$B$40,IF(G3162&lt;26,'General Basis'!$B$41,IF(G3162&lt;31,'General Basis'!$B$42,IF(G3162&lt;36,'General Basis'!$B$43,IF(G3162&lt;41,'General Basis'!$B$44,IF(G3162&lt;46,'General Basis'!$B$45,IF(G3162&lt;51,'General Basis'!$B$46,IF(G3162&lt;56,'General Basis'!$B$47,IF(G3162&lt;60,'General Basis'!$B$48,IF(G3162&lt;65,'General Basis'!$B$49,'General Basis'!$B$50)))))))))))))</f>
        <v/>
      </c>
      <c r="BI3162" s="744" t="str">
        <f t="shared" si="1105"/>
        <v/>
      </c>
      <c r="BJ3162" s="747" t="str">
        <f t="shared" si="1112"/>
        <v/>
      </c>
      <c r="BK3162" s="498" t="str">
        <f t="shared" si="1106"/>
        <v/>
      </c>
      <c r="BL3162" s="498" t="str">
        <f t="shared" si="1107"/>
        <v/>
      </c>
    </row>
    <row r="3163" spans="1:64" x14ac:dyDescent="0.25">
      <c r="A3163" s="762">
        <f t="shared" si="1108"/>
        <v>3158</v>
      </c>
      <c r="B3163" s="229"/>
      <c r="C3163" s="223"/>
      <c r="D3163" s="224"/>
      <c r="E3163" s="225"/>
      <c r="F3163" s="1036" t="str">
        <f t="shared" si="1114"/>
        <v/>
      </c>
      <c r="G3163" s="1037" t="str">
        <f t="shared" si="1109"/>
        <v/>
      </c>
      <c r="H3163" s="225"/>
      <c r="I3163" s="1013"/>
      <c r="J3163" s="1013"/>
      <c r="K3163" s="1028"/>
      <c r="L3163" s="1035" t="str">
        <f t="shared" si="1113"/>
        <v/>
      </c>
      <c r="S3163" s="498"/>
      <c r="AJ3163" s="498"/>
      <c r="AM3163" s="498">
        <f t="shared" si="1094"/>
        <v>0</v>
      </c>
      <c r="AN3163" s="498">
        <f t="shared" si="1095"/>
        <v>0</v>
      </c>
      <c r="AO3163" s="498">
        <f t="shared" si="1096"/>
        <v>0</v>
      </c>
      <c r="AP3163" s="498">
        <f t="shared" si="1115"/>
        <v>0</v>
      </c>
      <c r="AQ3163" s="498">
        <f t="shared" si="1110"/>
        <v>0</v>
      </c>
      <c r="AU3163" s="498">
        <f t="shared" si="1097"/>
        <v>0</v>
      </c>
      <c r="AV3163" s="498">
        <f t="shared" si="1098"/>
        <v>0</v>
      </c>
      <c r="AW3163" s="498">
        <f t="shared" si="1099"/>
        <v>0</v>
      </c>
      <c r="AX3163" s="498">
        <f t="shared" si="1100"/>
        <v>0</v>
      </c>
      <c r="AY3163" s="498">
        <f t="shared" si="1101"/>
        <v>0</v>
      </c>
      <c r="BB3163" s="498" t="str">
        <f t="shared" si="1102"/>
        <v/>
      </c>
      <c r="BC3163" s="743" t="str">
        <f t="shared" si="1103"/>
        <v/>
      </c>
      <c r="BD3163" s="743" t="str">
        <f t="shared" si="1104"/>
        <v/>
      </c>
      <c r="BE3163" s="743" t="str">
        <f>IF(D3163="","",VLOOKUP(D3163,'General Basis'!$J$39:$K$46,2,0))</f>
        <v/>
      </c>
      <c r="BF3163" s="744" t="str">
        <f>IF(D3163="","",VLOOKUP(D3163,'General Basis'!$J$39:$L$46,3,0))</f>
        <v/>
      </c>
      <c r="BG3163" s="744" t="str">
        <f t="shared" si="1111"/>
        <v/>
      </c>
      <c r="BH3163" s="744" t="str">
        <f>IF(G3163="","",IF(BF3163="Abu Dhabi",IF(G3163&lt;18,'General Basis'!$C$39,IF(G3163&lt;41,'General Basis'!$C$40,IF(G3163&lt;60,'General Basis'!$C$41,IF(G3163&lt;65,'General Basis'!$C$42,'General Basis'!$C$43)))),IF(G3163&lt;11,'General Basis'!$B$39,IF(G3163&lt;18,'General Basis'!$B$40,IF(G3163&lt;26,'General Basis'!$B$41,IF(G3163&lt;31,'General Basis'!$B$42,IF(G3163&lt;36,'General Basis'!$B$43,IF(G3163&lt;41,'General Basis'!$B$44,IF(G3163&lt;46,'General Basis'!$B$45,IF(G3163&lt;51,'General Basis'!$B$46,IF(G3163&lt;56,'General Basis'!$B$47,IF(G3163&lt;60,'General Basis'!$B$48,IF(G3163&lt;65,'General Basis'!$B$49,'General Basis'!$B$50)))))))))))))</f>
        <v/>
      </c>
      <c r="BI3163" s="744" t="str">
        <f t="shared" si="1105"/>
        <v/>
      </c>
      <c r="BJ3163" s="747" t="str">
        <f t="shared" si="1112"/>
        <v/>
      </c>
      <c r="BK3163" s="498" t="str">
        <f t="shared" si="1106"/>
        <v/>
      </c>
      <c r="BL3163" s="498" t="str">
        <f t="shared" si="1107"/>
        <v/>
      </c>
    </row>
    <row r="3164" spans="1:64" x14ac:dyDescent="0.25">
      <c r="A3164" s="762">
        <f t="shared" si="1108"/>
        <v>3159</v>
      </c>
      <c r="B3164" s="229"/>
      <c r="C3164" s="223"/>
      <c r="D3164" s="224"/>
      <c r="E3164" s="225"/>
      <c r="F3164" s="1036" t="str">
        <f t="shared" si="1114"/>
        <v/>
      </c>
      <c r="G3164" s="1037" t="str">
        <f t="shared" si="1109"/>
        <v/>
      </c>
      <c r="H3164" s="225"/>
      <c r="I3164" s="1013"/>
      <c r="J3164" s="1013"/>
      <c r="K3164" s="1028"/>
      <c r="L3164" s="1035" t="str">
        <f t="shared" si="1113"/>
        <v/>
      </c>
      <c r="S3164" s="498"/>
      <c r="AJ3164" s="498"/>
      <c r="AM3164" s="498">
        <f t="shared" si="1094"/>
        <v>0</v>
      </c>
      <c r="AN3164" s="498">
        <f t="shared" si="1095"/>
        <v>0</v>
      </c>
      <c r="AO3164" s="498">
        <f t="shared" si="1096"/>
        <v>0</v>
      </c>
      <c r="AP3164" s="498">
        <f t="shared" si="1115"/>
        <v>0</v>
      </c>
      <c r="AQ3164" s="498">
        <f t="shared" si="1110"/>
        <v>0</v>
      </c>
      <c r="AU3164" s="498">
        <f t="shared" si="1097"/>
        <v>0</v>
      </c>
      <c r="AV3164" s="498">
        <f t="shared" si="1098"/>
        <v>0</v>
      </c>
      <c r="AW3164" s="498">
        <f t="shared" si="1099"/>
        <v>0</v>
      </c>
      <c r="AX3164" s="498">
        <f t="shared" si="1100"/>
        <v>0</v>
      </c>
      <c r="AY3164" s="498">
        <f t="shared" si="1101"/>
        <v>0</v>
      </c>
      <c r="BB3164" s="498" t="str">
        <f t="shared" si="1102"/>
        <v/>
      </c>
      <c r="BC3164" s="743" t="str">
        <f t="shared" si="1103"/>
        <v/>
      </c>
      <c r="BD3164" s="743" t="str">
        <f t="shared" si="1104"/>
        <v/>
      </c>
      <c r="BE3164" s="743" t="str">
        <f>IF(D3164="","",VLOOKUP(D3164,'General Basis'!$J$39:$K$46,2,0))</f>
        <v/>
      </c>
      <c r="BF3164" s="744" t="str">
        <f>IF(D3164="","",VLOOKUP(D3164,'General Basis'!$J$39:$L$46,3,0))</f>
        <v/>
      </c>
      <c r="BG3164" s="744" t="str">
        <f t="shared" si="1111"/>
        <v/>
      </c>
      <c r="BH3164" s="744" t="str">
        <f>IF(G3164="","",IF(BF3164="Abu Dhabi",IF(G3164&lt;18,'General Basis'!$C$39,IF(G3164&lt;41,'General Basis'!$C$40,IF(G3164&lt;60,'General Basis'!$C$41,IF(G3164&lt;65,'General Basis'!$C$42,'General Basis'!$C$43)))),IF(G3164&lt;11,'General Basis'!$B$39,IF(G3164&lt;18,'General Basis'!$B$40,IF(G3164&lt;26,'General Basis'!$B$41,IF(G3164&lt;31,'General Basis'!$B$42,IF(G3164&lt;36,'General Basis'!$B$43,IF(G3164&lt;41,'General Basis'!$B$44,IF(G3164&lt;46,'General Basis'!$B$45,IF(G3164&lt;51,'General Basis'!$B$46,IF(G3164&lt;56,'General Basis'!$B$47,IF(G3164&lt;60,'General Basis'!$B$48,IF(G3164&lt;65,'General Basis'!$B$49,'General Basis'!$B$50)))))))))))))</f>
        <v/>
      </c>
      <c r="BI3164" s="744" t="str">
        <f t="shared" si="1105"/>
        <v/>
      </c>
      <c r="BJ3164" s="747" t="str">
        <f t="shared" si="1112"/>
        <v/>
      </c>
      <c r="BK3164" s="498" t="str">
        <f t="shared" si="1106"/>
        <v/>
      </c>
      <c r="BL3164" s="498" t="str">
        <f t="shared" si="1107"/>
        <v/>
      </c>
    </row>
    <row r="3165" spans="1:64" x14ac:dyDescent="0.25">
      <c r="A3165" s="762">
        <f t="shared" si="1108"/>
        <v>3160</v>
      </c>
      <c r="B3165" s="229"/>
      <c r="C3165" s="223"/>
      <c r="D3165" s="224"/>
      <c r="E3165" s="225"/>
      <c r="F3165" s="1036" t="str">
        <f t="shared" si="1114"/>
        <v/>
      </c>
      <c r="G3165" s="1037" t="str">
        <f t="shared" si="1109"/>
        <v/>
      </c>
      <c r="H3165" s="225"/>
      <c r="I3165" s="1013"/>
      <c r="J3165" s="1013"/>
      <c r="K3165" s="1028"/>
      <c r="L3165" s="1035" t="str">
        <f t="shared" si="1113"/>
        <v/>
      </c>
      <c r="S3165" s="498"/>
      <c r="AJ3165" s="498"/>
      <c r="AM3165" s="498">
        <f t="shared" si="1094"/>
        <v>0</v>
      </c>
      <c r="AN3165" s="498">
        <f t="shared" si="1095"/>
        <v>0</v>
      </c>
      <c r="AO3165" s="498">
        <f t="shared" si="1096"/>
        <v>0</v>
      </c>
      <c r="AP3165" s="498">
        <f t="shared" si="1115"/>
        <v>0</v>
      </c>
      <c r="AQ3165" s="498">
        <f t="shared" si="1110"/>
        <v>0</v>
      </c>
      <c r="AU3165" s="498">
        <f t="shared" si="1097"/>
        <v>0</v>
      </c>
      <c r="AV3165" s="498">
        <f t="shared" si="1098"/>
        <v>0</v>
      </c>
      <c r="AW3165" s="498">
        <f t="shared" si="1099"/>
        <v>0</v>
      </c>
      <c r="AX3165" s="498">
        <f t="shared" si="1100"/>
        <v>0</v>
      </c>
      <c r="AY3165" s="498">
        <f t="shared" si="1101"/>
        <v>0</v>
      </c>
      <c r="BB3165" s="498" t="str">
        <f t="shared" si="1102"/>
        <v/>
      </c>
      <c r="BC3165" s="743" t="str">
        <f t="shared" si="1103"/>
        <v/>
      </c>
      <c r="BD3165" s="743" t="str">
        <f t="shared" si="1104"/>
        <v/>
      </c>
      <c r="BE3165" s="743" t="str">
        <f>IF(D3165="","",VLOOKUP(D3165,'General Basis'!$J$39:$K$46,2,0))</f>
        <v/>
      </c>
      <c r="BF3165" s="744" t="str">
        <f>IF(D3165="","",VLOOKUP(D3165,'General Basis'!$J$39:$L$46,3,0))</f>
        <v/>
      </c>
      <c r="BG3165" s="744" t="str">
        <f t="shared" si="1111"/>
        <v/>
      </c>
      <c r="BH3165" s="744" t="str">
        <f>IF(G3165="","",IF(BF3165="Abu Dhabi",IF(G3165&lt;18,'General Basis'!$C$39,IF(G3165&lt;41,'General Basis'!$C$40,IF(G3165&lt;60,'General Basis'!$C$41,IF(G3165&lt;65,'General Basis'!$C$42,'General Basis'!$C$43)))),IF(G3165&lt;11,'General Basis'!$B$39,IF(G3165&lt;18,'General Basis'!$B$40,IF(G3165&lt;26,'General Basis'!$B$41,IF(G3165&lt;31,'General Basis'!$B$42,IF(G3165&lt;36,'General Basis'!$B$43,IF(G3165&lt;41,'General Basis'!$B$44,IF(G3165&lt;46,'General Basis'!$B$45,IF(G3165&lt;51,'General Basis'!$B$46,IF(G3165&lt;56,'General Basis'!$B$47,IF(G3165&lt;60,'General Basis'!$B$48,IF(G3165&lt;65,'General Basis'!$B$49,'General Basis'!$B$50)))))))))))))</f>
        <v/>
      </c>
      <c r="BI3165" s="744" t="str">
        <f t="shared" si="1105"/>
        <v/>
      </c>
      <c r="BJ3165" s="747" t="str">
        <f t="shared" si="1112"/>
        <v/>
      </c>
      <c r="BK3165" s="498" t="str">
        <f t="shared" si="1106"/>
        <v/>
      </c>
      <c r="BL3165" s="498" t="str">
        <f t="shared" si="1107"/>
        <v/>
      </c>
    </row>
    <row r="3166" spans="1:64" x14ac:dyDescent="0.25">
      <c r="A3166" s="762">
        <f t="shared" si="1108"/>
        <v>3161</v>
      </c>
      <c r="B3166" s="229"/>
      <c r="C3166" s="223"/>
      <c r="D3166" s="224"/>
      <c r="E3166" s="225"/>
      <c r="F3166" s="1036" t="str">
        <f t="shared" si="1114"/>
        <v/>
      </c>
      <c r="G3166" s="1037" t="str">
        <f t="shared" si="1109"/>
        <v/>
      </c>
      <c r="H3166" s="225"/>
      <c r="I3166" s="1013"/>
      <c r="J3166" s="1013"/>
      <c r="K3166" s="1028"/>
      <c r="L3166" s="1035" t="str">
        <f t="shared" si="1113"/>
        <v/>
      </c>
      <c r="S3166" s="498"/>
      <c r="AJ3166" s="498"/>
      <c r="AM3166" s="498">
        <f t="shared" si="1094"/>
        <v>0</v>
      </c>
      <c r="AN3166" s="498">
        <f t="shared" si="1095"/>
        <v>0</v>
      </c>
      <c r="AO3166" s="498">
        <f t="shared" si="1096"/>
        <v>0</v>
      </c>
      <c r="AP3166" s="498">
        <f t="shared" si="1115"/>
        <v>0</v>
      </c>
      <c r="AQ3166" s="498">
        <f t="shared" si="1110"/>
        <v>0</v>
      </c>
      <c r="AU3166" s="498">
        <f t="shared" si="1097"/>
        <v>0</v>
      </c>
      <c r="AV3166" s="498">
        <f t="shared" si="1098"/>
        <v>0</v>
      </c>
      <c r="AW3166" s="498">
        <f t="shared" si="1099"/>
        <v>0</v>
      </c>
      <c r="AX3166" s="498">
        <f t="shared" si="1100"/>
        <v>0</v>
      </c>
      <c r="AY3166" s="498">
        <f t="shared" si="1101"/>
        <v>0</v>
      </c>
      <c r="BB3166" s="498" t="str">
        <f t="shared" si="1102"/>
        <v/>
      </c>
      <c r="BC3166" s="743" t="str">
        <f t="shared" si="1103"/>
        <v/>
      </c>
      <c r="BD3166" s="743" t="str">
        <f t="shared" si="1104"/>
        <v/>
      </c>
      <c r="BE3166" s="743" t="str">
        <f>IF(D3166="","",VLOOKUP(D3166,'General Basis'!$J$39:$K$46,2,0))</f>
        <v/>
      </c>
      <c r="BF3166" s="744" t="str">
        <f>IF(D3166="","",VLOOKUP(D3166,'General Basis'!$J$39:$L$46,3,0))</f>
        <v/>
      </c>
      <c r="BG3166" s="744" t="str">
        <f t="shared" si="1111"/>
        <v/>
      </c>
      <c r="BH3166" s="744" t="str">
        <f>IF(G3166="","",IF(BF3166="Abu Dhabi",IF(G3166&lt;18,'General Basis'!$C$39,IF(G3166&lt;41,'General Basis'!$C$40,IF(G3166&lt;60,'General Basis'!$C$41,IF(G3166&lt;65,'General Basis'!$C$42,'General Basis'!$C$43)))),IF(G3166&lt;11,'General Basis'!$B$39,IF(G3166&lt;18,'General Basis'!$B$40,IF(G3166&lt;26,'General Basis'!$B$41,IF(G3166&lt;31,'General Basis'!$B$42,IF(G3166&lt;36,'General Basis'!$B$43,IF(G3166&lt;41,'General Basis'!$B$44,IF(G3166&lt;46,'General Basis'!$B$45,IF(G3166&lt;51,'General Basis'!$B$46,IF(G3166&lt;56,'General Basis'!$B$47,IF(G3166&lt;60,'General Basis'!$B$48,IF(G3166&lt;65,'General Basis'!$B$49,'General Basis'!$B$50)))))))))))))</f>
        <v/>
      </c>
      <c r="BI3166" s="744" t="str">
        <f t="shared" si="1105"/>
        <v/>
      </c>
      <c r="BJ3166" s="747" t="str">
        <f t="shared" si="1112"/>
        <v/>
      </c>
      <c r="BK3166" s="498" t="str">
        <f t="shared" si="1106"/>
        <v/>
      </c>
      <c r="BL3166" s="498" t="str">
        <f t="shared" si="1107"/>
        <v/>
      </c>
    </row>
    <row r="3167" spans="1:64" x14ac:dyDescent="0.25">
      <c r="A3167" s="762">
        <f t="shared" si="1108"/>
        <v>3162</v>
      </c>
      <c r="B3167" s="229"/>
      <c r="C3167" s="223"/>
      <c r="D3167" s="224"/>
      <c r="E3167" s="225"/>
      <c r="F3167" s="1036" t="str">
        <f t="shared" si="1114"/>
        <v/>
      </c>
      <c r="G3167" s="1037" t="str">
        <f t="shared" si="1109"/>
        <v/>
      </c>
      <c r="H3167" s="225"/>
      <c r="I3167" s="1013"/>
      <c r="J3167" s="1013"/>
      <c r="K3167" s="1028"/>
      <c r="L3167" s="1035" t="str">
        <f t="shared" si="1113"/>
        <v/>
      </c>
      <c r="S3167" s="498"/>
      <c r="AJ3167" s="498"/>
      <c r="AM3167" s="498">
        <f t="shared" si="1094"/>
        <v>0</v>
      </c>
      <c r="AN3167" s="498">
        <f t="shared" si="1095"/>
        <v>0</v>
      </c>
      <c r="AO3167" s="498">
        <f t="shared" si="1096"/>
        <v>0</v>
      </c>
      <c r="AP3167" s="498">
        <f t="shared" si="1115"/>
        <v>0</v>
      </c>
      <c r="AQ3167" s="498">
        <f t="shared" si="1110"/>
        <v>0</v>
      </c>
      <c r="AU3167" s="498">
        <f t="shared" si="1097"/>
        <v>0</v>
      </c>
      <c r="AV3167" s="498">
        <f t="shared" si="1098"/>
        <v>0</v>
      </c>
      <c r="AW3167" s="498">
        <f t="shared" si="1099"/>
        <v>0</v>
      </c>
      <c r="AX3167" s="498">
        <f t="shared" si="1100"/>
        <v>0</v>
      </c>
      <c r="AY3167" s="498">
        <f t="shared" si="1101"/>
        <v>0</v>
      </c>
      <c r="BB3167" s="498" t="str">
        <f t="shared" si="1102"/>
        <v/>
      </c>
      <c r="BC3167" s="743" t="str">
        <f t="shared" si="1103"/>
        <v/>
      </c>
      <c r="BD3167" s="743" t="str">
        <f t="shared" si="1104"/>
        <v/>
      </c>
      <c r="BE3167" s="743" t="str">
        <f>IF(D3167="","",VLOOKUP(D3167,'General Basis'!$J$39:$K$46,2,0))</f>
        <v/>
      </c>
      <c r="BF3167" s="744" t="str">
        <f>IF(D3167="","",VLOOKUP(D3167,'General Basis'!$J$39:$L$46,3,0))</f>
        <v/>
      </c>
      <c r="BG3167" s="744" t="str">
        <f t="shared" si="1111"/>
        <v/>
      </c>
      <c r="BH3167" s="744" t="str">
        <f>IF(G3167="","",IF(BF3167="Abu Dhabi",IF(G3167&lt;18,'General Basis'!$C$39,IF(G3167&lt;41,'General Basis'!$C$40,IF(G3167&lt;60,'General Basis'!$C$41,IF(G3167&lt;65,'General Basis'!$C$42,'General Basis'!$C$43)))),IF(G3167&lt;11,'General Basis'!$B$39,IF(G3167&lt;18,'General Basis'!$B$40,IF(G3167&lt;26,'General Basis'!$B$41,IF(G3167&lt;31,'General Basis'!$B$42,IF(G3167&lt;36,'General Basis'!$B$43,IF(G3167&lt;41,'General Basis'!$B$44,IF(G3167&lt;46,'General Basis'!$B$45,IF(G3167&lt;51,'General Basis'!$B$46,IF(G3167&lt;56,'General Basis'!$B$47,IF(G3167&lt;60,'General Basis'!$B$48,IF(G3167&lt;65,'General Basis'!$B$49,'General Basis'!$B$50)))))))))))))</f>
        <v/>
      </c>
      <c r="BI3167" s="744" t="str">
        <f t="shared" si="1105"/>
        <v/>
      </c>
      <c r="BJ3167" s="747" t="str">
        <f t="shared" si="1112"/>
        <v/>
      </c>
      <c r="BK3167" s="498" t="str">
        <f t="shared" si="1106"/>
        <v/>
      </c>
      <c r="BL3167" s="498" t="str">
        <f t="shared" si="1107"/>
        <v/>
      </c>
    </row>
    <row r="3168" spans="1:64" x14ac:dyDescent="0.25">
      <c r="A3168" s="762">
        <f t="shared" si="1108"/>
        <v>3163</v>
      </c>
      <c r="B3168" s="229"/>
      <c r="C3168" s="223"/>
      <c r="D3168" s="224"/>
      <c r="E3168" s="225"/>
      <c r="F3168" s="1036" t="str">
        <f t="shared" si="1114"/>
        <v/>
      </c>
      <c r="G3168" s="1037" t="str">
        <f t="shared" si="1109"/>
        <v/>
      </c>
      <c r="H3168" s="225"/>
      <c r="I3168" s="1013"/>
      <c r="J3168" s="1013"/>
      <c r="K3168" s="1028"/>
      <c r="L3168" s="1035" t="str">
        <f t="shared" si="1113"/>
        <v/>
      </c>
      <c r="S3168" s="498"/>
      <c r="AJ3168" s="498"/>
      <c r="AM3168" s="498">
        <f t="shared" si="1094"/>
        <v>0</v>
      </c>
      <c r="AN3168" s="498">
        <f t="shared" si="1095"/>
        <v>0</v>
      </c>
      <c r="AO3168" s="498">
        <f t="shared" si="1096"/>
        <v>0</v>
      </c>
      <c r="AP3168" s="498">
        <f t="shared" si="1115"/>
        <v>0</v>
      </c>
      <c r="AQ3168" s="498">
        <f t="shared" si="1110"/>
        <v>0</v>
      </c>
      <c r="AU3168" s="498">
        <f t="shared" si="1097"/>
        <v>0</v>
      </c>
      <c r="AV3168" s="498">
        <f t="shared" si="1098"/>
        <v>0</v>
      </c>
      <c r="AW3168" s="498">
        <f t="shared" si="1099"/>
        <v>0</v>
      </c>
      <c r="AX3168" s="498">
        <f t="shared" si="1100"/>
        <v>0</v>
      </c>
      <c r="AY3168" s="498">
        <f t="shared" si="1101"/>
        <v>0</v>
      </c>
      <c r="BB3168" s="498" t="str">
        <f t="shared" si="1102"/>
        <v/>
      </c>
      <c r="BC3168" s="743" t="str">
        <f t="shared" si="1103"/>
        <v/>
      </c>
      <c r="BD3168" s="743" t="str">
        <f t="shared" si="1104"/>
        <v/>
      </c>
      <c r="BE3168" s="743" t="str">
        <f>IF(D3168="","",VLOOKUP(D3168,'General Basis'!$J$39:$K$46,2,0))</f>
        <v/>
      </c>
      <c r="BF3168" s="744" t="str">
        <f>IF(D3168="","",VLOOKUP(D3168,'General Basis'!$J$39:$L$46,3,0))</f>
        <v/>
      </c>
      <c r="BG3168" s="744" t="str">
        <f t="shared" si="1111"/>
        <v/>
      </c>
      <c r="BH3168" s="744" t="str">
        <f>IF(G3168="","",IF(BF3168="Abu Dhabi",IF(G3168&lt;18,'General Basis'!$C$39,IF(G3168&lt;41,'General Basis'!$C$40,IF(G3168&lt;60,'General Basis'!$C$41,IF(G3168&lt;65,'General Basis'!$C$42,'General Basis'!$C$43)))),IF(G3168&lt;11,'General Basis'!$B$39,IF(G3168&lt;18,'General Basis'!$B$40,IF(G3168&lt;26,'General Basis'!$B$41,IF(G3168&lt;31,'General Basis'!$B$42,IF(G3168&lt;36,'General Basis'!$B$43,IF(G3168&lt;41,'General Basis'!$B$44,IF(G3168&lt;46,'General Basis'!$B$45,IF(G3168&lt;51,'General Basis'!$B$46,IF(G3168&lt;56,'General Basis'!$B$47,IF(G3168&lt;60,'General Basis'!$B$48,IF(G3168&lt;65,'General Basis'!$B$49,'General Basis'!$B$50)))))))))))))</f>
        <v/>
      </c>
      <c r="BI3168" s="744" t="str">
        <f t="shared" si="1105"/>
        <v/>
      </c>
      <c r="BJ3168" s="747" t="str">
        <f t="shared" si="1112"/>
        <v/>
      </c>
      <c r="BK3168" s="498" t="str">
        <f t="shared" si="1106"/>
        <v/>
      </c>
      <c r="BL3168" s="498" t="str">
        <f t="shared" si="1107"/>
        <v/>
      </c>
    </row>
    <row r="3169" spans="1:64" x14ac:dyDescent="0.25">
      <c r="A3169" s="762">
        <f t="shared" si="1108"/>
        <v>3164</v>
      </c>
      <c r="B3169" s="229"/>
      <c r="C3169" s="223"/>
      <c r="D3169" s="224"/>
      <c r="E3169" s="225"/>
      <c r="F3169" s="1036" t="str">
        <f t="shared" si="1114"/>
        <v/>
      </c>
      <c r="G3169" s="1037" t="str">
        <f t="shared" si="1109"/>
        <v/>
      </c>
      <c r="H3169" s="225"/>
      <c r="I3169" s="1013"/>
      <c r="J3169" s="1013"/>
      <c r="K3169" s="1028"/>
      <c r="L3169" s="1035" t="str">
        <f t="shared" si="1113"/>
        <v/>
      </c>
      <c r="S3169" s="498"/>
      <c r="AJ3169" s="498"/>
      <c r="AM3169" s="498">
        <f t="shared" si="1094"/>
        <v>0</v>
      </c>
      <c r="AN3169" s="498">
        <f t="shared" si="1095"/>
        <v>0</v>
      </c>
      <c r="AO3169" s="498">
        <f t="shared" si="1096"/>
        <v>0</v>
      </c>
      <c r="AP3169" s="498">
        <f t="shared" si="1115"/>
        <v>0</v>
      </c>
      <c r="AQ3169" s="498">
        <f t="shared" si="1110"/>
        <v>0</v>
      </c>
      <c r="AU3169" s="498">
        <f t="shared" si="1097"/>
        <v>0</v>
      </c>
      <c r="AV3169" s="498">
        <f t="shared" si="1098"/>
        <v>0</v>
      </c>
      <c r="AW3169" s="498">
        <f t="shared" si="1099"/>
        <v>0</v>
      </c>
      <c r="AX3169" s="498">
        <f t="shared" si="1100"/>
        <v>0</v>
      </c>
      <c r="AY3169" s="498">
        <f t="shared" si="1101"/>
        <v>0</v>
      </c>
      <c r="BB3169" s="498" t="str">
        <f t="shared" si="1102"/>
        <v/>
      </c>
      <c r="BC3169" s="743" t="str">
        <f t="shared" si="1103"/>
        <v/>
      </c>
      <c r="BD3169" s="743" t="str">
        <f t="shared" si="1104"/>
        <v/>
      </c>
      <c r="BE3169" s="743" t="str">
        <f>IF(D3169="","",VLOOKUP(D3169,'General Basis'!$J$39:$K$46,2,0))</f>
        <v/>
      </c>
      <c r="BF3169" s="744" t="str">
        <f>IF(D3169="","",VLOOKUP(D3169,'General Basis'!$J$39:$L$46,3,0))</f>
        <v/>
      </c>
      <c r="BG3169" s="744" t="str">
        <f t="shared" si="1111"/>
        <v/>
      </c>
      <c r="BH3169" s="744" t="str">
        <f>IF(G3169="","",IF(BF3169="Abu Dhabi",IF(G3169&lt;18,'General Basis'!$C$39,IF(G3169&lt;41,'General Basis'!$C$40,IF(G3169&lt;60,'General Basis'!$C$41,IF(G3169&lt;65,'General Basis'!$C$42,'General Basis'!$C$43)))),IF(G3169&lt;11,'General Basis'!$B$39,IF(G3169&lt;18,'General Basis'!$B$40,IF(G3169&lt;26,'General Basis'!$B$41,IF(G3169&lt;31,'General Basis'!$B$42,IF(G3169&lt;36,'General Basis'!$B$43,IF(G3169&lt;41,'General Basis'!$B$44,IF(G3169&lt;46,'General Basis'!$B$45,IF(G3169&lt;51,'General Basis'!$B$46,IF(G3169&lt;56,'General Basis'!$B$47,IF(G3169&lt;60,'General Basis'!$B$48,IF(G3169&lt;65,'General Basis'!$B$49,'General Basis'!$B$50)))))))))))))</f>
        <v/>
      </c>
      <c r="BI3169" s="744" t="str">
        <f t="shared" si="1105"/>
        <v/>
      </c>
      <c r="BJ3169" s="747" t="str">
        <f t="shared" si="1112"/>
        <v/>
      </c>
      <c r="BK3169" s="498" t="str">
        <f t="shared" si="1106"/>
        <v/>
      </c>
      <c r="BL3169" s="498" t="str">
        <f t="shared" si="1107"/>
        <v/>
      </c>
    </row>
    <row r="3170" spans="1:64" x14ac:dyDescent="0.25">
      <c r="A3170" s="762">
        <f t="shared" si="1108"/>
        <v>3165</v>
      </c>
      <c r="B3170" s="229"/>
      <c r="C3170" s="223"/>
      <c r="D3170" s="224"/>
      <c r="E3170" s="225"/>
      <c r="F3170" s="1036" t="str">
        <f t="shared" si="1114"/>
        <v/>
      </c>
      <c r="G3170" s="1037" t="str">
        <f t="shared" si="1109"/>
        <v/>
      </c>
      <c r="H3170" s="225"/>
      <c r="I3170" s="1013"/>
      <c r="J3170" s="1013"/>
      <c r="K3170" s="1028"/>
      <c r="L3170" s="1035" t="str">
        <f t="shared" si="1113"/>
        <v/>
      </c>
      <c r="S3170" s="498"/>
      <c r="AJ3170" s="498"/>
      <c r="AM3170" s="498">
        <f t="shared" si="1094"/>
        <v>0</v>
      </c>
      <c r="AN3170" s="498">
        <f t="shared" si="1095"/>
        <v>0</v>
      </c>
      <c r="AO3170" s="498">
        <f t="shared" si="1096"/>
        <v>0</v>
      </c>
      <c r="AP3170" s="498">
        <f t="shared" si="1115"/>
        <v>0</v>
      </c>
      <c r="AQ3170" s="498">
        <f t="shared" si="1110"/>
        <v>0</v>
      </c>
      <c r="AU3170" s="498">
        <f t="shared" si="1097"/>
        <v>0</v>
      </c>
      <c r="AV3170" s="498">
        <f t="shared" si="1098"/>
        <v>0</v>
      </c>
      <c r="AW3170" s="498">
        <f t="shared" si="1099"/>
        <v>0</v>
      </c>
      <c r="AX3170" s="498">
        <f t="shared" si="1100"/>
        <v>0</v>
      </c>
      <c r="AY3170" s="498">
        <f t="shared" si="1101"/>
        <v>0</v>
      </c>
      <c r="BB3170" s="498" t="str">
        <f t="shared" si="1102"/>
        <v/>
      </c>
      <c r="BC3170" s="743" t="str">
        <f t="shared" si="1103"/>
        <v/>
      </c>
      <c r="BD3170" s="743" t="str">
        <f t="shared" si="1104"/>
        <v/>
      </c>
      <c r="BE3170" s="743" t="str">
        <f>IF(D3170="","",VLOOKUP(D3170,'General Basis'!$J$39:$K$46,2,0))</f>
        <v/>
      </c>
      <c r="BF3170" s="744" t="str">
        <f>IF(D3170="","",VLOOKUP(D3170,'General Basis'!$J$39:$L$46,3,0))</f>
        <v/>
      </c>
      <c r="BG3170" s="744" t="str">
        <f t="shared" si="1111"/>
        <v/>
      </c>
      <c r="BH3170" s="744" t="str">
        <f>IF(G3170="","",IF(BF3170="Abu Dhabi",IF(G3170&lt;18,'General Basis'!$C$39,IF(G3170&lt;41,'General Basis'!$C$40,IF(G3170&lt;60,'General Basis'!$C$41,IF(G3170&lt;65,'General Basis'!$C$42,'General Basis'!$C$43)))),IF(G3170&lt;11,'General Basis'!$B$39,IF(G3170&lt;18,'General Basis'!$B$40,IF(G3170&lt;26,'General Basis'!$B$41,IF(G3170&lt;31,'General Basis'!$B$42,IF(G3170&lt;36,'General Basis'!$B$43,IF(G3170&lt;41,'General Basis'!$B$44,IF(G3170&lt;46,'General Basis'!$B$45,IF(G3170&lt;51,'General Basis'!$B$46,IF(G3170&lt;56,'General Basis'!$B$47,IF(G3170&lt;60,'General Basis'!$B$48,IF(G3170&lt;65,'General Basis'!$B$49,'General Basis'!$B$50)))))))))))))</f>
        <v/>
      </c>
      <c r="BI3170" s="744" t="str">
        <f t="shared" si="1105"/>
        <v/>
      </c>
      <c r="BJ3170" s="747" t="str">
        <f t="shared" si="1112"/>
        <v/>
      </c>
      <c r="BK3170" s="498" t="str">
        <f t="shared" si="1106"/>
        <v/>
      </c>
      <c r="BL3170" s="498" t="str">
        <f t="shared" si="1107"/>
        <v/>
      </c>
    </row>
    <row r="3171" spans="1:64" x14ac:dyDescent="0.25">
      <c r="A3171" s="762">
        <f t="shared" si="1108"/>
        <v>3166</v>
      </c>
      <c r="B3171" s="229"/>
      <c r="C3171" s="223"/>
      <c r="D3171" s="224"/>
      <c r="E3171" s="225"/>
      <c r="F3171" s="1036" t="str">
        <f t="shared" si="1114"/>
        <v/>
      </c>
      <c r="G3171" s="1037" t="str">
        <f t="shared" si="1109"/>
        <v/>
      </c>
      <c r="H3171" s="225"/>
      <c r="I3171" s="1013"/>
      <c r="J3171" s="1013"/>
      <c r="K3171" s="1028"/>
      <c r="L3171" s="1035" t="str">
        <f t="shared" si="1113"/>
        <v/>
      </c>
      <c r="S3171" s="498"/>
      <c r="AJ3171" s="498"/>
      <c r="AM3171" s="498">
        <f t="shared" si="1094"/>
        <v>0</v>
      </c>
      <c r="AN3171" s="498">
        <f t="shared" si="1095"/>
        <v>0</v>
      </c>
      <c r="AO3171" s="498">
        <f t="shared" si="1096"/>
        <v>0</v>
      </c>
      <c r="AP3171" s="498">
        <f t="shared" si="1115"/>
        <v>0</v>
      </c>
      <c r="AQ3171" s="498">
        <f t="shared" si="1110"/>
        <v>0</v>
      </c>
      <c r="AU3171" s="498">
        <f t="shared" si="1097"/>
        <v>0</v>
      </c>
      <c r="AV3171" s="498">
        <f t="shared" si="1098"/>
        <v>0</v>
      </c>
      <c r="AW3171" s="498">
        <f t="shared" si="1099"/>
        <v>0</v>
      </c>
      <c r="AX3171" s="498">
        <f t="shared" si="1100"/>
        <v>0</v>
      </c>
      <c r="AY3171" s="498">
        <f t="shared" si="1101"/>
        <v>0</v>
      </c>
      <c r="BB3171" s="498" t="str">
        <f t="shared" si="1102"/>
        <v/>
      </c>
      <c r="BC3171" s="743" t="str">
        <f t="shared" si="1103"/>
        <v/>
      </c>
      <c r="BD3171" s="743" t="str">
        <f t="shared" si="1104"/>
        <v/>
      </c>
      <c r="BE3171" s="743" t="str">
        <f>IF(D3171="","",VLOOKUP(D3171,'General Basis'!$J$39:$K$46,2,0))</f>
        <v/>
      </c>
      <c r="BF3171" s="744" t="str">
        <f>IF(D3171="","",VLOOKUP(D3171,'General Basis'!$J$39:$L$46,3,0))</f>
        <v/>
      </c>
      <c r="BG3171" s="744" t="str">
        <f t="shared" si="1111"/>
        <v/>
      </c>
      <c r="BH3171" s="744" t="str">
        <f>IF(G3171="","",IF(BF3171="Abu Dhabi",IF(G3171&lt;18,'General Basis'!$C$39,IF(G3171&lt;41,'General Basis'!$C$40,IF(G3171&lt;60,'General Basis'!$C$41,IF(G3171&lt;65,'General Basis'!$C$42,'General Basis'!$C$43)))),IF(G3171&lt;11,'General Basis'!$B$39,IF(G3171&lt;18,'General Basis'!$B$40,IF(G3171&lt;26,'General Basis'!$B$41,IF(G3171&lt;31,'General Basis'!$B$42,IF(G3171&lt;36,'General Basis'!$B$43,IF(G3171&lt;41,'General Basis'!$B$44,IF(G3171&lt;46,'General Basis'!$B$45,IF(G3171&lt;51,'General Basis'!$B$46,IF(G3171&lt;56,'General Basis'!$B$47,IF(G3171&lt;60,'General Basis'!$B$48,IF(G3171&lt;65,'General Basis'!$B$49,'General Basis'!$B$50)))))))))))))</f>
        <v/>
      </c>
      <c r="BI3171" s="744" t="str">
        <f t="shared" si="1105"/>
        <v/>
      </c>
      <c r="BJ3171" s="747" t="str">
        <f t="shared" si="1112"/>
        <v/>
      </c>
      <c r="BK3171" s="498" t="str">
        <f t="shared" si="1106"/>
        <v/>
      </c>
      <c r="BL3171" s="498" t="str">
        <f t="shared" si="1107"/>
        <v/>
      </c>
    </row>
    <row r="3172" spans="1:64" x14ac:dyDescent="0.25">
      <c r="A3172" s="762">
        <f t="shared" si="1108"/>
        <v>3167</v>
      </c>
      <c r="B3172" s="229"/>
      <c r="C3172" s="223"/>
      <c r="D3172" s="224"/>
      <c r="E3172" s="225"/>
      <c r="F3172" s="1036" t="str">
        <f t="shared" si="1114"/>
        <v/>
      </c>
      <c r="G3172" s="1037" t="str">
        <f t="shared" si="1109"/>
        <v/>
      </c>
      <c r="H3172" s="225"/>
      <c r="I3172" s="1013"/>
      <c r="J3172" s="1013"/>
      <c r="K3172" s="1028"/>
      <c r="L3172" s="1035" t="str">
        <f t="shared" si="1113"/>
        <v/>
      </c>
      <c r="S3172" s="498"/>
      <c r="AJ3172" s="498"/>
      <c r="AM3172" s="498">
        <f t="shared" si="1094"/>
        <v>0</v>
      </c>
      <c r="AN3172" s="498">
        <f t="shared" si="1095"/>
        <v>0</v>
      </c>
      <c r="AO3172" s="498">
        <f t="shared" si="1096"/>
        <v>0</v>
      </c>
      <c r="AP3172" s="498">
        <f t="shared" si="1115"/>
        <v>0</v>
      </c>
      <c r="AQ3172" s="498">
        <f t="shared" si="1110"/>
        <v>0</v>
      </c>
      <c r="AU3172" s="498">
        <f t="shared" si="1097"/>
        <v>0</v>
      </c>
      <c r="AV3172" s="498">
        <f t="shared" si="1098"/>
        <v>0</v>
      </c>
      <c r="AW3172" s="498">
        <f t="shared" si="1099"/>
        <v>0</v>
      </c>
      <c r="AX3172" s="498">
        <f t="shared" si="1100"/>
        <v>0</v>
      </c>
      <c r="AY3172" s="498">
        <f t="shared" si="1101"/>
        <v>0</v>
      </c>
      <c r="BB3172" s="498" t="str">
        <f t="shared" si="1102"/>
        <v/>
      </c>
      <c r="BC3172" s="743" t="str">
        <f t="shared" si="1103"/>
        <v/>
      </c>
      <c r="BD3172" s="743" t="str">
        <f t="shared" si="1104"/>
        <v/>
      </c>
      <c r="BE3172" s="743" t="str">
        <f>IF(D3172="","",VLOOKUP(D3172,'General Basis'!$J$39:$K$46,2,0))</f>
        <v/>
      </c>
      <c r="BF3172" s="744" t="str">
        <f>IF(D3172="","",VLOOKUP(D3172,'General Basis'!$J$39:$L$46,3,0))</f>
        <v/>
      </c>
      <c r="BG3172" s="744" t="str">
        <f t="shared" si="1111"/>
        <v/>
      </c>
      <c r="BH3172" s="744" t="str">
        <f>IF(G3172="","",IF(BF3172="Abu Dhabi",IF(G3172&lt;18,'General Basis'!$C$39,IF(G3172&lt;41,'General Basis'!$C$40,IF(G3172&lt;60,'General Basis'!$C$41,IF(G3172&lt;65,'General Basis'!$C$42,'General Basis'!$C$43)))),IF(G3172&lt;11,'General Basis'!$B$39,IF(G3172&lt;18,'General Basis'!$B$40,IF(G3172&lt;26,'General Basis'!$B$41,IF(G3172&lt;31,'General Basis'!$B$42,IF(G3172&lt;36,'General Basis'!$B$43,IF(G3172&lt;41,'General Basis'!$B$44,IF(G3172&lt;46,'General Basis'!$B$45,IF(G3172&lt;51,'General Basis'!$B$46,IF(G3172&lt;56,'General Basis'!$B$47,IF(G3172&lt;60,'General Basis'!$B$48,IF(G3172&lt;65,'General Basis'!$B$49,'General Basis'!$B$50)))))))))))))</f>
        <v/>
      </c>
      <c r="BI3172" s="744" t="str">
        <f t="shared" si="1105"/>
        <v/>
      </c>
      <c r="BJ3172" s="747" t="str">
        <f t="shared" si="1112"/>
        <v/>
      </c>
      <c r="BK3172" s="498" t="str">
        <f t="shared" si="1106"/>
        <v/>
      </c>
      <c r="BL3172" s="498" t="str">
        <f t="shared" si="1107"/>
        <v/>
      </c>
    </row>
    <row r="3173" spans="1:64" x14ac:dyDescent="0.25">
      <c r="A3173" s="762">
        <f t="shared" si="1108"/>
        <v>3168</v>
      </c>
      <c r="B3173" s="229"/>
      <c r="C3173" s="223"/>
      <c r="D3173" s="224"/>
      <c r="E3173" s="225"/>
      <c r="F3173" s="1036" t="str">
        <f t="shared" si="1114"/>
        <v/>
      </c>
      <c r="G3173" s="1037" t="str">
        <f t="shared" si="1109"/>
        <v/>
      </c>
      <c r="H3173" s="225"/>
      <c r="I3173" s="1013"/>
      <c r="J3173" s="1013"/>
      <c r="K3173" s="1028"/>
      <c r="L3173" s="1035" t="str">
        <f t="shared" si="1113"/>
        <v/>
      </c>
      <c r="S3173" s="498"/>
      <c r="AJ3173" s="498"/>
      <c r="AM3173" s="498">
        <f t="shared" si="1094"/>
        <v>0</v>
      </c>
      <c r="AN3173" s="498">
        <f t="shared" si="1095"/>
        <v>0</v>
      </c>
      <c r="AO3173" s="498">
        <f t="shared" si="1096"/>
        <v>0</v>
      </c>
      <c r="AP3173" s="498">
        <f t="shared" si="1115"/>
        <v>0</v>
      </c>
      <c r="AQ3173" s="498">
        <f t="shared" si="1110"/>
        <v>0</v>
      </c>
      <c r="AU3173" s="498">
        <f t="shared" si="1097"/>
        <v>0</v>
      </c>
      <c r="AV3173" s="498">
        <f t="shared" si="1098"/>
        <v>0</v>
      </c>
      <c r="AW3173" s="498">
        <f t="shared" si="1099"/>
        <v>0</v>
      </c>
      <c r="AX3173" s="498">
        <f t="shared" si="1100"/>
        <v>0</v>
      </c>
      <c r="AY3173" s="498">
        <f t="shared" si="1101"/>
        <v>0</v>
      </c>
      <c r="BB3173" s="498" t="str">
        <f t="shared" si="1102"/>
        <v/>
      </c>
      <c r="BC3173" s="743" t="str">
        <f t="shared" si="1103"/>
        <v/>
      </c>
      <c r="BD3173" s="743" t="str">
        <f t="shared" si="1104"/>
        <v/>
      </c>
      <c r="BE3173" s="743" t="str">
        <f>IF(D3173="","",VLOOKUP(D3173,'General Basis'!$J$39:$K$46,2,0))</f>
        <v/>
      </c>
      <c r="BF3173" s="744" t="str">
        <f>IF(D3173="","",VLOOKUP(D3173,'General Basis'!$J$39:$L$46,3,0))</f>
        <v/>
      </c>
      <c r="BG3173" s="744" t="str">
        <f t="shared" si="1111"/>
        <v/>
      </c>
      <c r="BH3173" s="744" t="str">
        <f>IF(G3173="","",IF(BF3173="Abu Dhabi",IF(G3173&lt;18,'General Basis'!$C$39,IF(G3173&lt;41,'General Basis'!$C$40,IF(G3173&lt;60,'General Basis'!$C$41,IF(G3173&lt;65,'General Basis'!$C$42,'General Basis'!$C$43)))),IF(G3173&lt;11,'General Basis'!$B$39,IF(G3173&lt;18,'General Basis'!$B$40,IF(G3173&lt;26,'General Basis'!$B$41,IF(G3173&lt;31,'General Basis'!$B$42,IF(G3173&lt;36,'General Basis'!$B$43,IF(G3173&lt;41,'General Basis'!$B$44,IF(G3173&lt;46,'General Basis'!$B$45,IF(G3173&lt;51,'General Basis'!$B$46,IF(G3173&lt;56,'General Basis'!$B$47,IF(G3173&lt;60,'General Basis'!$B$48,IF(G3173&lt;65,'General Basis'!$B$49,'General Basis'!$B$50)))))))))))))</f>
        <v/>
      </c>
      <c r="BI3173" s="744" t="str">
        <f t="shared" si="1105"/>
        <v/>
      </c>
      <c r="BJ3173" s="747" t="str">
        <f t="shared" si="1112"/>
        <v/>
      </c>
      <c r="BK3173" s="498" t="str">
        <f t="shared" si="1106"/>
        <v/>
      </c>
      <c r="BL3173" s="498" t="str">
        <f t="shared" si="1107"/>
        <v/>
      </c>
    </row>
    <row r="3174" spans="1:64" x14ac:dyDescent="0.25">
      <c r="A3174" s="762">
        <f t="shared" si="1108"/>
        <v>3169</v>
      </c>
      <c r="B3174" s="229"/>
      <c r="C3174" s="223"/>
      <c r="D3174" s="224"/>
      <c r="E3174" s="225"/>
      <c r="F3174" s="1036" t="str">
        <f t="shared" si="1114"/>
        <v/>
      </c>
      <c r="G3174" s="1037" t="str">
        <f t="shared" si="1109"/>
        <v/>
      </c>
      <c r="H3174" s="225"/>
      <c r="I3174" s="1013"/>
      <c r="J3174" s="1013"/>
      <c r="K3174" s="1028"/>
      <c r="L3174" s="1035" t="str">
        <f t="shared" si="1113"/>
        <v/>
      </c>
      <c r="S3174" s="498"/>
      <c r="AJ3174" s="498"/>
      <c r="AM3174" s="498">
        <f t="shared" si="1094"/>
        <v>0</v>
      </c>
      <c r="AN3174" s="498">
        <f t="shared" si="1095"/>
        <v>0</v>
      </c>
      <c r="AO3174" s="498">
        <f t="shared" si="1096"/>
        <v>0</v>
      </c>
      <c r="AP3174" s="498">
        <f t="shared" si="1115"/>
        <v>0</v>
      </c>
      <c r="AQ3174" s="498">
        <f t="shared" si="1110"/>
        <v>0</v>
      </c>
      <c r="AU3174" s="498">
        <f t="shared" si="1097"/>
        <v>0</v>
      </c>
      <c r="AV3174" s="498">
        <f t="shared" si="1098"/>
        <v>0</v>
      </c>
      <c r="AW3174" s="498">
        <f t="shared" si="1099"/>
        <v>0</v>
      </c>
      <c r="AX3174" s="498">
        <f t="shared" si="1100"/>
        <v>0</v>
      </c>
      <c r="AY3174" s="498">
        <f t="shared" si="1101"/>
        <v>0</v>
      </c>
      <c r="BB3174" s="498" t="str">
        <f t="shared" si="1102"/>
        <v/>
      </c>
      <c r="BC3174" s="743" t="str">
        <f t="shared" si="1103"/>
        <v/>
      </c>
      <c r="BD3174" s="743" t="str">
        <f t="shared" si="1104"/>
        <v/>
      </c>
      <c r="BE3174" s="743" t="str">
        <f>IF(D3174="","",VLOOKUP(D3174,'General Basis'!$J$39:$K$46,2,0))</f>
        <v/>
      </c>
      <c r="BF3174" s="744" t="str">
        <f>IF(D3174="","",VLOOKUP(D3174,'General Basis'!$J$39:$L$46,3,0))</f>
        <v/>
      </c>
      <c r="BG3174" s="744" t="str">
        <f t="shared" si="1111"/>
        <v/>
      </c>
      <c r="BH3174" s="744" t="str">
        <f>IF(G3174="","",IF(BF3174="Abu Dhabi",IF(G3174&lt;18,'General Basis'!$C$39,IF(G3174&lt;41,'General Basis'!$C$40,IF(G3174&lt;60,'General Basis'!$C$41,IF(G3174&lt;65,'General Basis'!$C$42,'General Basis'!$C$43)))),IF(G3174&lt;11,'General Basis'!$B$39,IF(G3174&lt;18,'General Basis'!$B$40,IF(G3174&lt;26,'General Basis'!$B$41,IF(G3174&lt;31,'General Basis'!$B$42,IF(G3174&lt;36,'General Basis'!$B$43,IF(G3174&lt;41,'General Basis'!$B$44,IF(G3174&lt;46,'General Basis'!$B$45,IF(G3174&lt;51,'General Basis'!$B$46,IF(G3174&lt;56,'General Basis'!$B$47,IF(G3174&lt;60,'General Basis'!$B$48,IF(G3174&lt;65,'General Basis'!$B$49,'General Basis'!$B$50)))))))))))))</f>
        <v/>
      </c>
      <c r="BI3174" s="744" t="str">
        <f t="shared" si="1105"/>
        <v/>
      </c>
      <c r="BJ3174" s="747" t="str">
        <f t="shared" si="1112"/>
        <v/>
      </c>
      <c r="BK3174" s="498" t="str">
        <f t="shared" si="1106"/>
        <v/>
      </c>
      <c r="BL3174" s="498" t="str">
        <f t="shared" si="1107"/>
        <v/>
      </c>
    </row>
    <row r="3175" spans="1:64" x14ac:dyDescent="0.25">
      <c r="A3175" s="762">
        <f t="shared" si="1108"/>
        <v>3170</v>
      </c>
      <c r="B3175" s="229"/>
      <c r="C3175" s="223"/>
      <c r="D3175" s="224"/>
      <c r="E3175" s="225"/>
      <c r="F3175" s="1036" t="str">
        <f t="shared" si="1114"/>
        <v/>
      </c>
      <c r="G3175" s="1037" t="str">
        <f t="shared" si="1109"/>
        <v/>
      </c>
      <c r="H3175" s="225"/>
      <c r="I3175" s="1013"/>
      <c r="J3175" s="1013"/>
      <c r="K3175" s="1028"/>
      <c r="L3175" s="1035" t="str">
        <f t="shared" si="1113"/>
        <v/>
      </c>
      <c r="S3175" s="498"/>
      <c r="AJ3175" s="498"/>
      <c r="AM3175" s="498">
        <f t="shared" si="1094"/>
        <v>0</v>
      </c>
      <c r="AN3175" s="498">
        <f t="shared" si="1095"/>
        <v>0</v>
      </c>
      <c r="AO3175" s="498">
        <f t="shared" si="1096"/>
        <v>0</v>
      </c>
      <c r="AP3175" s="498">
        <f t="shared" si="1115"/>
        <v>0</v>
      </c>
      <c r="AQ3175" s="498">
        <f t="shared" si="1110"/>
        <v>0</v>
      </c>
      <c r="AU3175" s="498">
        <f t="shared" si="1097"/>
        <v>0</v>
      </c>
      <c r="AV3175" s="498">
        <f t="shared" si="1098"/>
        <v>0</v>
      </c>
      <c r="AW3175" s="498">
        <f t="shared" si="1099"/>
        <v>0</v>
      </c>
      <c r="AX3175" s="498">
        <f t="shared" si="1100"/>
        <v>0</v>
      </c>
      <c r="AY3175" s="498">
        <f t="shared" si="1101"/>
        <v>0</v>
      </c>
      <c r="BB3175" s="498" t="str">
        <f t="shared" si="1102"/>
        <v/>
      </c>
      <c r="BC3175" s="743" t="str">
        <f t="shared" si="1103"/>
        <v/>
      </c>
      <c r="BD3175" s="743" t="str">
        <f t="shared" si="1104"/>
        <v/>
      </c>
      <c r="BE3175" s="743" t="str">
        <f>IF(D3175="","",VLOOKUP(D3175,'General Basis'!$J$39:$K$46,2,0))</f>
        <v/>
      </c>
      <c r="BF3175" s="744" t="str">
        <f>IF(D3175="","",VLOOKUP(D3175,'General Basis'!$J$39:$L$46,3,0))</f>
        <v/>
      </c>
      <c r="BG3175" s="744" t="str">
        <f t="shared" si="1111"/>
        <v/>
      </c>
      <c r="BH3175" s="744" t="str">
        <f>IF(G3175="","",IF(BF3175="Abu Dhabi",IF(G3175&lt;18,'General Basis'!$C$39,IF(G3175&lt;41,'General Basis'!$C$40,IF(G3175&lt;60,'General Basis'!$C$41,IF(G3175&lt;65,'General Basis'!$C$42,'General Basis'!$C$43)))),IF(G3175&lt;11,'General Basis'!$B$39,IF(G3175&lt;18,'General Basis'!$B$40,IF(G3175&lt;26,'General Basis'!$B$41,IF(G3175&lt;31,'General Basis'!$B$42,IF(G3175&lt;36,'General Basis'!$B$43,IF(G3175&lt;41,'General Basis'!$B$44,IF(G3175&lt;46,'General Basis'!$B$45,IF(G3175&lt;51,'General Basis'!$B$46,IF(G3175&lt;56,'General Basis'!$B$47,IF(G3175&lt;60,'General Basis'!$B$48,IF(G3175&lt;65,'General Basis'!$B$49,'General Basis'!$B$50)))))))))))))</f>
        <v/>
      </c>
      <c r="BI3175" s="744" t="str">
        <f t="shared" si="1105"/>
        <v/>
      </c>
      <c r="BJ3175" s="747" t="str">
        <f t="shared" si="1112"/>
        <v/>
      </c>
      <c r="BK3175" s="498" t="str">
        <f t="shared" si="1106"/>
        <v/>
      </c>
      <c r="BL3175" s="498" t="str">
        <f t="shared" si="1107"/>
        <v/>
      </c>
    </row>
    <row r="3176" spans="1:64" x14ac:dyDescent="0.25">
      <c r="A3176" s="762">
        <f t="shared" si="1108"/>
        <v>3171</v>
      </c>
      <c r="B3176" s="229"/>
      <c r="C3176" s="223"/>
      <c r="D3176" s="224"/>
      <c r="E3176" s="225"/>
      <c r="F3176" s="1036" t="str">
        <f t="shared" si="1114"/>
        <v/>
      </c>
      <c r="G3176" s="1037" t="str">
        <f t="shared" si="1109"/>
        <v/>
      </c>
      <c r="H3176" s="225"/>
      <c r="I3176" s="1013"/>
      <c r="J3176" s="1013"/>
      <c r="K3176" s="1028"/>
      <c r="L3176" s="1035" t="str">
        <f t="shared" si="1113"/>
        <v/>
      </c>
      <c r="S3176" s="498"/>
      <c r="AJ3176" s="498"/>
      <c r="AM3176" s="498">
        <f t="shared" si="1094"/>
        <v>0</v>
      </c>
      <c r="AN3176" s="498">
        <f t="shared" si="1095"/>
        <v>0</v>
      </c>
      <c r="AO3176" s="498">
        <f t="shared" si="1096"/>
        <v>0</v>
      </c>
      <c r="AP3176" s="498">
        <f t="shared" si="1115"/>
        <v>0</v>
      </c>
      <c r="AQ3176" s="498">
        <f t="shared" si="1110"/>
        <v>0</v>
      </c>
      <c r="AU3176" s="498">
        <f t="shared" si="1097"/>
        <v>0</v>
      </c>
      <c r="AV3176" s="498">
        <f t="shared" si="1098"/>
        <v>0</v>
      </c>
      <c r="AW3176" s="498">
        <f t="shared" si="1099"/>
        <v>0</v>
      </c>
      <c r="AX3176" s="498">
        <f t="shared" si="1100"/>
        <v>0</v>
      </c>
      <c r="AY3176" s="498">
        <f t="shared" si="1101"/>
        <v>0</v>
      </c>
      <c r="BB3176" s="498" t="str">
        <f t="shared" si="1102"/>
        <v/>
      </c>
      <c r="BC3176" s="743" t="str">
        <f t="shared" si="1103"/>
        <v/>
      </c>
      <c r="BD3176" s="743" t="str">
        <f t="shared" si="1104"/>
        <v/>
      </c>
      <c r="BE3176" s="743" t="str">
        <f>IF(D3176="","",VLOOKUP(D3176,'General Basis'!$J$39:$K$46,2,0))</f>
        <v/>
      </c>
      <c r="BF3176" s="744" t="str">
        <f>IF(D3176="","",VLOOKUP(D3176,'General Basis'!$J$39:$L$46,3,0))</f>
        <v/>
      </c>
      <c r="BG3176" s="744" t="str">
        <f t="shared" si="1111"/>
        <v/>
      </c>
      <c r="BH3176" s="744" t="str">
        <f>IF(G3176="","",IF(BF3176="Abu Dhabi",IF(G3176&lt;18,'General Basis'!$C$39,IF(G3176&lt;41,'General Basis'!$C$40,IF(G3176&lt;60,'General Basis'!$C$41,IF(G3176&lt;65,'General Basis'!$C$42,'General Basis'!$C$43)))),IF(G3176&lt;11,'General Basis'!$B$39,IF(G3176&lt;18,'General Basis'!$B$40,IF(G3176&lt;26,'General Basis'!$B$41,IF(G3176&lt;31,'General Basis'!$B$42,IF(G3176&lt;36,'General Basis'!$B$43,IF(G3176&lt;41,'General Basis'!$B$44,IF(G3176&lt;46,'General Basis'!$B$45,IF(G3176&lt;51,'General Basis'!$B$46,IF(G3176&lt;56,'General Basis'!$B$47,IF(G3176&lt;60,'General Basis'!$B$48,IF(G3176&lt;65,'General Basis'!$B$49,'General Basis'!$B$50)))))))))))))</f>
        <v/>
      </c>
      <c r="BI3176" s="744" t="str">
        <f t="shared" si="1105"/>
        <v/>
      </c>
      <c r="BJ3176" s="747" t="str">
        <f t="shared" si="1112"/>
        <v/>
      </c>
      <c r="BK3176" s="498" t="str">
        <f t="shared" si="1106"/>
        <v/>
      </c>
      <c r="BL3176" s="498" t="str">
        <f t="shared" si="1107"/>
        <v/>
      </c>
    </row>
    <row r="3177" spans="1:64" x14ac:dyDescent="0.25">
      <c r="A3177" s="762">
        <f t="shared" si="1108"/>
        <v>3172</v>
      </c>
      <c r="B3177" s="229"/>
      <c r="C3177" s="223"/>
      <c r="D3177" s="224"/>
      <c r="E3177" s="225"/>
      <c r="F3177" s="1036" t="str">
        <f t="shared" si="1114"/>
        <v/>
      </c>
      <c r="G3177" s="1037" t="str">
        <f t="shared" si="1109"/>
        <v/>
      </c>
      <c r="H3177" s="225"/>
      <c r="I3177" s="1013"/>
      <c r="J3177" s="1013"/>
      <c r="K3177" s="1028"/>
      <c r="L3177" s="1035" t="str">
        <f t="shared" si="1113"/>
        <v/>
      </c>
      <c r="S3177" s="498"/>
      <c r="AJ3177" s="498"/>
      <c r="AM3177" s="498">
        <f t="shared" si="1094"/>
        <v>0</v>
      </c>
      <c r="AN3177" s="498">
        <f t="shared" si="1095"/>
        <v>0</v>
      </c>
      <c r="AO3177" s="498">
        <f t="shared" si="1096"/>
        <v>0</v>
      </c>
      <c r="AP3177" s="498">
        <f t="shared" si="1115"/>
        <v>0</v>
      </c>
      <c r="AQ3177" s="498">
        <f t="shared" si="1110"/>
        <v>0</v>
      </c>
      <c r="AU3177" s="498">
        <f t="shared" si="1097"/>
        <v>0</v>
      </c>
      <c r="AV3177" s="498">
        <f t="shared" si="1098"/>
        <v>0</v>
      </c>
      <c r="AW3177" s="498">
        <f t="shared" si="1099"/>
        <v>0</v>
      </c>
      <c r="AX3177" s="498">
        <f t="shared" si="1100"/>
        <v>0</v>
      </c>
      <c r="AY3177" s="498">
        <f t="shared" si="1101"/>
        <v>0</v>
      </c>
      <c r="BB3177" s="498" t="str">
        <f t="shared" si="1102"/>
        <v/>
      </c>
      <c r="BC3177" s="743" t="str">
        <f t="shared" si="1103"/>
        <v/>
      </c>
      <c r="BD3177" s="743" t="str">
        <f t="shared" si="1104"/>
        <v/>
      </c>
      <c r="BE3177" s="743" t="str">
        <f>IF(D3177="","",VLOOKUP(D3177,'General Basis'!$J$39:$K$46,2,0))</f>
        <v/>
      </c>
      <c r="BF3177" s="744" t="str">
        <f>IF(D3177="","",VLOOKUP(D3177,'General Basis'!$J$39:$L$46,3,0))</f>
        <v/>
      </c>
      <c r="BG3177" s="744" t="str">
        <f t="shared" si="1111"/>
        <v/>
      </c>
      <c r="BH3177" s="744" t="str">
        <f>IF(G3177="","",IF(BF3177="Abu Dhabi",IF(G3177&lt;18,'General Basis'!$C$39,IF(G3177&lt;41,'General Basis'!$C$40,IF(G3177&lt;60,'General Basis'!$C$41,IF(G3177&lt;65,'General Basis'!$C$42,'General Basis'!$C$43)))),IF(G3177&lt;11,'General Basis'!$B$39,IF(G3177&lt;18,'General Basis'!$B$40,IF(G3177&lt;26,'General Basis'!$B$41,IF(G3177&lt;31,'General Basis'!$B$42,IF(G3177&lt;36,'General Basis'!$B$43,IF(G3177&lt;41,'General Basis'!$B$44,IF(G3177&lt;46,'General Basis'!$B$45,IF(G3177&lt;51,'General Basis'!$B$46,IF(G3177&lt;56,'General Basis'!$B$47,IF(G3177&lt;60,'General Basis'!$B$48,IF(G3177&lt;65,'General Basis'!$B$49,'General Basis'!$B$50)))))))))))))</f>
        <v/>
      </c>
      <c r="BI3177" s="744" t="str">
        <f t="shared" si="1105"/>
        <v/>
      </c>
      <c r="BJ3177" s="747" t="str">
        <f t="shared" si="1112"/>
        <v/>
      </c>
      <c r="BK3177" s="498" t="str">
        <f t="shared" si="1106"/>
        <v/>
      </c>
      <c r="BL3177" s="498" t="str">
        <f t="shared" si="1107"/>
        <v/>
      </c>
    </row>
    <row r="3178" spans="1:64" x14ac:dyDescent="0.25">
      <c r="A3178" s="762">
        <f t="shared" si="1108"/>
        <v>3173</v>
      </c>
      <c r="B3178" s="229"/>
      <c r="C3178" s="223"/>
      <c r="D3178" s="224"/>
      <c r="E3178" s="225"/>
      <c r="F3178" s="1036" t="str">
        <f t="shared" si="1114"/>
        <v/>
      </c>
      <c r="G3178" s="1037" t="str">
        <f t="shared" si="1109"/>
        <v/>
      </c>
      <c r="H3178" s="225"/>
      <c r="I3178" s="1013"/>
      <c r="J3178" s="1013"/>
      <c r="K3178" s="1028"/>
      <c r="L3178" s="1035" t="str">
        <f t="shared" si="1113"/>
        <v/>
      </c>
      <c r="S3178" s="498"/>
      <c r="AJ3178" s="498"/>
      <c r="AM3178" s="498">
        <f t="shared" si="1094"/>
        <v>0</v>
      </c>
      <c r="AN3178" s="498">
        <f t="shared" si="1095"/>
        <v>0</v>
      </c>
      <c r="AO3178" s="498">
        <f t="shared" si="1096"/>
        <v>0</v>
      </c>
      <c r="AP3178" s="498">
        <f t="shared" si="1115"/>
        <v>0</v>
      </c>
      <c r="AQ3178" s="498">
        <f t="shared" si="1110"/>
        <v>0</v>
      </c>
      <c r="AU3178" s="498">
        <f t="shared" si="1097"/>
        <v>0</v>
      </c>
      <c r="AV3178" s="498">
        <f t="shared" si="1098"/>
        <v>0</v>
      </c>
      <c r="AW3178" s="498">
        <f t="shared" si="1099"/>
        <v>0</v>
      </c>
      <c r="AX3178" s="498">
        <f t="shared" si="1100"/>
        <v>0</v>
      </c>
      <c r="AY3178" s="498">
        <f t="shared" si="1101"/>
        <v>0</v>
      </c>
      <c r="BB3178" s="498" t="str">
        <f t="shared" si="1102"/>
        <v/>
      </c>
      <c r="BC3178" s="743" t="str">
        <f t="shared" si="1103"/>
        <v/>
      </c>
      <c r="BD3178" s="743" t="str">
        <f t="shared" si="1104"/>
        <v/>
      </c>
      <c r="BE3178" s="743" t="str">
        <f>IF(D3178="","",VLOOKUP(D3178,'General Basis'!$J$39:$K$46,2,0))</f>
        <v/>
      </c>
      <c r="BF3178" s="744" t="str">
        <f>IF(D3178="","",VLOOKUP(D3178,'General Basis'!$J$39:$L$46,3,0))</f>
        <v/>
      </c>
      <c r="BG3178" s="744" t="str">
        <f t="shared" si="1111"/>
        <v/>
      </c>
      <c r="BH3178" s="744" t="str">
        <f>IF(G3178="","",IF(BF3178="Abu Dhabi",IF(G3178&lt;18,'General Basis'!$C$39,IF(G3178&lt;41,'General Basis'!$C$40,IF(G3178&lt;60,'General Basis'!$C$41,IF(G3178&lt;65,'General Basis'!$C$42,'General Basis'!$C$43)))),IF(G3178&lt;11,'General Basis'!$B$39,IF(G3178&lt;18,'General Basis'!$B$40,IF(G3178&lt;26,'General Basis'!$B$41,IF(G3178&lt;31,'General Basis'!$B$42,IF(G3178&lt;36,'General Basis'!$B$43,IF(G3178&lt;41,'General Basis'!$B$44,IF(G3178&lt;46,'General Basis'!$B$45,IF(G3178&lt;51,'General Basis'!$B$46,IF(G3178&lt;56,'General Basis'!$B$47,IF(G3178&lt;60,'General Basis'!$B$48,IF(G3178&lt;65,'General Basis'!$B$49,'General Basis'!$B$50)))))))))))))</f>
        <v/>
      </c>
      <c r="BI3178" s="744" t="str">
        <f t="shared" si="1105"/>
        <v/>
      </c>
      <c r="BJ3178" s="747" t="str">
        <f t="shared" si="1112"/>
        <v/>
      </c>
      <c r="BK3178" s="498" t="str">
        <f t="shared" si="1106"/>
        <v/>
      </c>
      <c r="BL3178" s="498" t="str">
        <f t="shared" si="1107"/>
        <v/>
      </c>
    </row>
    <row r="3179" spans="1:64" x14ac:dyDescent="0.25">
      <c r="A3179" s="762">
        <f t="shared" si="1108"/>
        <v>3174</v>
      </c>
      <c r="B3179" s="229"/>
      <c r="C3179" s="223"/>
      <c r="D3179" s="224"/>
      <c r="E3179" s="225"/>
      <c r="F3179" s="1036" t="str">
        <f t="shared" si="1114"/>
        <v/>
      </c>
      <c r="G3179" s="1037" t="str">
        <f t="shared" si="1109"/>
        <v/>
      </c>
      <c r="H3179" s="225"/>
      <c r="I3179" s="1013"/>
      <c r="J3179" s="1013"/>
      <c r="K3179" s="1028"/>
      <c r="L3179" s="1035" t="str">
        <f t="shared" si="1113"/>
        <v/>
      </c>
      <c r="S3179" s="498"/>
      <c r="AJ3179" s="498"/>
      <c r="AM3179" s="498">
        <f t="shared" si="1094"/>
        <v>0</v>
      </c>
      <c r="AN3179" s="498">
        <f t="shared" si="1095"/>
        <v>0</v>
      </c>
      <c r="AO3179" s="498">
        <f t="shared" si="1096"/>
        <v>0</v>
      </c>
      <c r="AP3179" s="498">
        <f t="shared" si="1115"/>
        <v>0</v>
      </c>
      <c r="AQ3179" s="498">
        <f t="shared" si="1110"/>
        <v>0</v>
      </c>
      <c r="AU3179" s="498">
        <f t="shared" si="1097"/>
        <v>0</v>
      </c>
      <c r="AV3179" s="498">
        <f t="shared" si="1098"/>
        <v>0</v>
      </c>
      <c r="AW3179" s="498">
        <f t="shared" si="1099"/>
        <v>0</v>
      </c>
      <c r="AX3179" s="498">
        <f t="shared" si="1100"/>
        <v>0</v>
      </c>
      <c r="AY3179" s="498">
        <f t="shared" si="1101"/>
        <v>0</v>
      </c>
      <c r="BB3179" s="498" t="str">
        <f t="shared" si="1102"/>
        <v/>
      </c>
      <c r="BC3179" s="743" t="str">
        <f t="shared" si="1103"/>
        <v/>
      </c>
      <c r="BD3179" s="743" t="str">
        <f t="shared" si="1104"/>
        <v/>
      </c>
      <c r="BE3179" s="743" t="str">
        <f>IF(D3179="","",VLOOKUP(D3179,'General Basis'!$J$39:$K$46,2,0))</f>
        <v/>
      </c>
      <c r="BF3179" s="744" t="str">
        <f>IF(D3179="","",VLOOKUP(D3179,'General Basis'!$J$39:$L$46,3,0))</f>
        <v/>
      </c>
      <c r="BG3179" s="744" t="str">
        <f t="shared" si="1111"/>
        <v/>
      </c>
      <c r="BH3179" s="744" t="str">
        <f>IF(G3179="","",IF(BF3179="Abu Dhabi",IF(G3179&lt;18,'General Basis'!$C$39,IF(G3179&lt;41,'General Basis'!$C$40,IF(G3179&lt;60,'General Basis'!$C$41,IF(G3179&lt;65,'General Basis'!$C$42,'General Basis'!$C$43)))),IF(G3179&lt;11,'General Basis'!$B$39,IF(G3179&lt;18,'General Basis'!$B$40,IF(G3179&lt;26,'General Basis'!$B$41,IF(G3179&lt;31,'General Basis'!$B$42,IF(G3179&lt;36,'General Basis'!$B$43,IF(G3179&lt;41,'General Basis'!$B$44,IF(G3179&lt;46,'General Basis'!$B$45,IF(G3179&lt;51,'General Basis'!$B$46,IF(G3179&lt;56,'General Basis'!$B$47,IF(G3179&lt;60,'General Basis'!$B$48,IF(G3179&lt;65,'General Basis'!$B$49,'General Basis'!$B$50)))))))))))))</f>
        <v/>
      </c>
      <c r="BI3179" s="744" t="str">
        <f t="shared" si="1105"/>
        <v/>
      </c>
      <c r="BJ3179" s="747" t="str">
        <f t="shared" si="1112"/>
        <v/>
      </c>
      <c r="BK3179" s="498" t="str">
        <f t="shared" si="1106"/>
        <v/>
      </c>
      <c r="BL3179" s="498" t="str">
        <f t="shared" si="1107"/>
        <v/>
      </c>
    </row>
    <row r="3180" spans="1:64" x14ac:dyDescent="0.25">
      <c r="A3180" s="762">
        <f t="shared" si="1108"/>
        <v>3175</v>
      </c>
      <c r="B3180" s="229"/>
      <c r="C3180" s="223"/>
      <c r="D3180" s="224"/>
      <c r="E3180" s="225"/>
      <c r="F3180" s="1036" t="str">
        <f t="shared" si="1114"/>
        <v/>
      </c>
      <c r="G3180" s="1037" t="str">
        <f t="shared" si="1109"/>
        <v/>
      </c>
      <c r="H3180" s="225"/>
      <c r="I3180" s="1013"/>
      <c r="J3180" s="1013"/>
      <c r="K3180" s="1028"/>
      <c r="L3180" s="1035" t="str">
        <f t="shared" si="1113"/>
        <v/>
      </c>
      <c r="S3180" s="498"/>
      <c r="AJ3180" s="498"/>
      <c r="AM3180" s="498">
        <f t="shared" si="1094"/>
        <v>0</v>
      </c>
      <c r="AN3180" s="498">
        <f t="shared" si="1095"/>
        <v>0</v>
      </c>
      <c r="AO3180" s="498">
        <f t="shared" si="1096"/>
        <v>0</v>
      </c>
      <c r="AP3180" s="498">
        <f t="shared" si="1115"/>
        <v>0</v>
      </c>
      <c r="AQ3180" s="498">
        <f t="shared" si="1110"/>
        <v>0</v>
      </c>
      <c r="AU3180" s="498">
        <f t="shared" si="1097"/>
        <v>0</v>
      </c>
      <c r="AV3180" s="498">
        <f t="shared" si="1098"/>
        <v>0</v>
      </c>
      <c r="AW3180" s="498">
        <f t="shared" si="1099"/>
        <v>0</v>
      </c>
      <c r="AX3180" s="498">
        <f t="shared" si="1100"/>
        <v>0</v>
      </c>
      <c r="AY3180" s="498">
        <f t="shared" si="1101"/>
        <v>0</v>
      </c>
      <c r="BB3180" s="498" t="str">
        <f t="shared" si="1102"/>
        <v/>
      </c>
      <c r="BC3180" s="743" t="str">
        <f t="shared" si="1103"/>
        <v/>
      </c>
      <c r="BD3180" s="743" t="str">
        <f t="shared" si="1104"/>
        <v/>
      </c>
      <c r="BE3180" s="743" t="str">
        <f>IF(D3180="","",VLOOKUP(D3180,'General Basis'!$J$39:$K$46,2,0))</f>
        <v/>
      </c>
      <c r="BF3180" s="744" t="str">
        <f>IF(D3180="","",VLOOKUP(D3180,'General Basis'!$J$39:$L$46,3,0))</f>
        <v/>
      </c>
      <c r="BG3180" s="744" t="str">
        <f t="shared" si="1111"/>
        <v/>
      </c>
      <c r="BH3180" s="744" t="str">
        <f>IF(G3180="","",IF(BF3180="Abu Dhabi",IF(G3180&lt;18,'General Basis'!$C$39,IF(G3180&lt;41,'General Basis'!$C$40,IF(G3180&lt;60,'General Basis'!$C$41,IF(G3180&lt;65,'General Basis'!$C$42,'General Basis'!$C$43)))),IF(G3180&lt;11,'General Basis'!$B$39,IF(G3180&lt;18,'General Basis'!$B$40,IF(G3180&lt;26,'General Basis'!$B$41,IF(G3180&lt;31,'General Basis'!$B$42,IF(G3180&lt;36,'General Basis'!$B$43,IF(G3180&lt;41,'General Basis'!$B$44,IF(G3180&lt;46,'General Basis'!$B$45,IF(G3180&lt;51,'General Basis'!$B$46,IF(G3180&lt;56,'General Basis'!$B$47,IF(G3180&lt;60,'General Basis'!$B$48,IF(G3180&lt;65,'General Basis'!$B$49,'General Basis'!$B$50)))))))))))))</f>
        <v/>
      </c>
      <c r="BI3180" s="744" t="str">
        <f t="shared" si="1105"/>
        <v/>
      </c>
      <c r="BJ3180" s="747" t="str">
        <f t="shared" si="1112"/>
        <v/>
      </c>
      <c r="BK3180" s="498" t="str">
        <f t="shared" si="1106"/>
        <v/>
      </c>
      <c r="BL3180" s="498" t="str">
        <f t="shared" si="1107"/>
        <v/>
      </c>
    </row>
    <row r="3181" spans="1:64" x14ac:dyDescent="0.25">
      <c r="A3181" s="762">
        <f t="shared" si="1108"/>
        <v>3176</v>
      </c>
      <c r="B3181" s="229"/>
      <c r="C3181" s="223"/>
      <c r="D3181" s="224"/>
      <c r="E3181" s="225"/>
      <c r="F3181" s="1036" t="str">
        <f t="shared" si="1114"/>
        <v/>
      </c>
      <c r="G3181" s="1037" t="str">
        <f t="shared" si="1109"/>
        <v/>
      </c>
      <c r="H3181" s="225"/>
      <c r="I3181" s="1013"/>
      <c r="J3181" s="1013"/>
      <c r="K3181" s="1028"/>
      <c r="L3181" s="1035" t="str">
        <f t="shared" si="1113"/>
        <v/>
      </c>
      <c r="S3181" s="498"/>
      <c r="AJ3181" s="498"/>
      <c r="AM3181" s="498">
        <f t="shared" si="1094"/>
        <v>0</v>
      </c>
      <c r="AN3181" s="498">
        <f t="shared" si="1095"/>
        <v>0</v>
      </c>
      <c r="AO3181" s="498">
        <f t="shared" si="1096"/>
        <v>0</v>
      </c>
      <c r="AP3181" s="498">
        <f t="shared" si="1115"/>
        <v>0</v>
      </c>
      <c r="AQ3181" s="498">
        <f t="shared" si="1110"/>
        <v>0</v>
      </c>
      <c r="AU3181" s="498">
        <f t="shared" si="1097"/>
        <v>0</v>
      </c>
      <c r="AV3181" s="498">
        <f t="shared" si="1098"/>
        <v>0</v>
      </c>
      <c r="AW3181" s="498">
        <f t="shared" si="1099"/>
        <v>0</v>
      </c>
      <c r="AX3181" s="498">
        <f t="shared" si="1100"/>
        <v>0</v>
      </c>
      <c r="AY3181" s="498">
        <f t="shared" si="1101"/>
        <v>0</v>
      </c>
      <c r="BB3181" s="498" t="str">
        <f t="shared" si="1102"/>
        <v/>
      </c>
      <c r="BC3181" s="743" t="str">
        <f t="shared" si="1103"/>
        <v/>
      </c>
      <c r="BD3181" s="743" t="str">
        <f t="shared" si="1104"/>
        <v/>
      </c>
      <c r="BE3181" s="743" t="str">
        <f>IF(D3181="","",VLOOKUP(D3181,'General Basis'!$J$39:$K$46,2,0))</f>
        <v/>
      </c>
      <c r="BF3181" s="744" t="str">
        <f>IF(D3181="","",VLOOKUP(D3181,'General Basis'!$J$39:$L$46,3,0))</f>
        <v/>
      </c>
      <c r="BG3181" s="744" t="str">
        <f t="shared" si="1111"/>
        <v/>
      </c>
      <c r="BH3181" s="744" t="str">
        <f>IF(G3181="","",IF(BF3181="Abu Dhabi",IF(G3181&lt;18,'General Basis'!$C$39,IF(G3181&lt;41,'General Basis'!$C$40,IF(G3181&lt;60,'General Basis'!$C$41,IF(G3181&lt;65,'General Basis'!$C$42,'General Basis'!$C$43)))),IF(G3181&lt;11,'General Basis'!$B$39,IF(G3181&lt;18,'General Basis'!$B$40,IF(G3181&lt;26,'General Basis'!$B$41,IF(G3181&lt;31,'General Basis'!$B$42,IF(G3181&lt;36,'General Basis'!$B$43,IF(G3181&lt;41,'General Basis'!$B$44,IF(G3181&lt;46,'General Basis'!$B$45,IF(G3181&lt;51,'General Basis'!$B$46,IF(G3181&lt;56,'General Basis'!$B$47,IF(G3181&lt;60,'General Basis'!$B$48,IF(G3181&lt;65,'General Basis'!$B$49,'General Basis'!$B$50)))))))))))))</f>
        <v/>
      </c>
      <c r="BI3181" s="744" t="str">
        <f t="shared" si="1105"/>
        <v/>
      </c>
      <c r="BJ3181" s="747" t="str">
        <f t="shared" si="1112"/>
        <v/>
      </c>
      <c r="BK3181" s="498" t="str">
        <f t="shared" si="1106"/>
        <v/>
      </c>
      <c r="BL3181" s="498" t="str">
        <f t="shared" si="1107"/>
        <v/>
      </c>
    </row>
    <row r="3182" spans="1:64" x14ac:dyDescent="0.25">
      <c r="A3182" s="762">
        <f t="shared" si="1108"/>
        <v>3177</v>
      </c>
      <c r="B3182" s="229"/>
      <c r="C3182" s="223"/>
      <c r="D3182" s="224"/>
      <c r="E3182" s="225"/>
      <c r="F3182" s="1036" t="str">
        <f t="shared" si="1114"/>
        <v/>
      </c>
      <c r="G3182" s="1037" t="str">
        <f t="shared" si="1109"/>
        <v/>
      </c>
      <c r="H3182" s="225"/>
      <c r="I3182" s="1013"/>
      <c r="J3182" s="1013"/>
      <c r="K3182" s="1028"/>
      <c r="L3182" s="1035" t="str">
        <f t="shared" si="1113"/>
        <v/>
      </c>
      <c r="S3182" s="498"/>
      <c r="AJ3182" s="498"/>
      <c r="AM3182" s="498">
        <f t="shared" si="1094"/>
        <v>0</v>
      </c>
      <c r="AN3182" s="498">
        <f t="shared" si="1095"/>
        <v>0</v>
      </c>
      <c r="AO3182" s="498">
        <f t="shared" si="1096"/>
        <v>0</v>
      </c>
      <c r="AP3182" s="498">
        <f t="shared" si="1115"/>
        <v>0</v>
      </c>
      <c r="AQ3182" s="498">
        <f t="shared" si="1110"/>
        <v>0</v>
      </c>
      <c r="AU3182" s="498">
        <f t="shared" si="1097"/>
        <v>0</v>
      </c>
      <c r="AV3182" s="498">
        <f t="shared" si="1098"/>
        <v>0</v>
      </c>
      <c r="AW3182" s="498">
        <f t="shared" si="1099"/>
        <v>0</v>
      </c>
      <c r="AX3182" s="498">
        <f t="shared" si="1100"/>
        <v>0</v>
      </c>
      <c r="AY3182" s="498">
        <f t="shared" si="1101"/>
        <v>0</v>
      </c>
      <c r="BB3182" s="498" t="str">
        <f t="shared" si="1102"/>
        <v/>
      </c>
      <c r="BC3182" s="743" t="str">
        <f t="shared" si="1103"/>
        <v/>
      </c>
      <c r="BD3182" s="743" t="str">
        <f t="shared" si="1104"/>
        <v/>
      </c>
      <c r="BE3182" s="743" t="str">
        <f>IF(D3182="","",VLOOKUP(D3182,'General Basis'!$J$39:$K$46,2,0))</f>
        <v/>
      </c>
      <c r="BF3182" s="744" t="str">
        <f>IF(D3182="","",VLOOKUP(D3182,'General Basis'!$J$39:$L$46,3,0))</f>
        <v/>
      </c>
      <c r="BG3182" s="744" t="str">
        <f t="shared" si="1111"/>
        <v/>
      </c>
      <c r="BH3182" s="744" t="str">
        <f>IF(G3182="","",IF(BF3182="Abu Dhabi",IF(G3182&lt;18,'General Basis'!$C$39,IF(G3182&lt;41,'General Basis'!$C$40,IF(G3182&lt;60,'General Basis'!$C$41,IF(G3182&lt;65,'General Basis'!$C$42,'General Basis'!$C$43)))),IF(G3182&lt;11,'General Basis'!$B$39,IF(G3182&lt;18,'General Basis'!$B$40,IF(G3182&lt;26,'General Basis'!$B$41,IF(G3182&lt;31,'General Basis'!$B$42,IF(G3182&lt;36,'General Basis'!$B$43,IF(G3182&lt;41,'General Basis'!$B$44,IF(G3182&lt;46,'General Basis'!$B$45,IF(G3182&lt;51,'General Basis'!$B$46,IF(G3182&lt;56,'General Basis'!$B$47,IF(G3182&lt;60,'General Basis'!$B$48,IF(G3182&lt;65,'General Basis'!$B$49,'General Basis'!$B$50)))))))))))))</f>
        <v/>
      </c>
      <c r="BI3182" s="744" t="str">
        <f t="shared" si="1105"/>
        <v/>
      </c>
      <c r="BJ3182" s="747" t="str">
        <f t="shared" si="1112"/>
        <v/>
      </c>
      <c r="BK3182" s="498" t="str">
        <f t="shared" si="1106"/>
        <v/>
      </c>
      <c r="BL3182" s="498" t="str">
        <f t="shared" si="1107"/>
        <v/>
      </c>
    </row>
    <row r="3183" spans="1:64" x14ac:dyDescent="0.25">
      <c r="A3183" s="762">
        <f t="shared" si="1108"/>
        <v>3178</v>
      </c>
      <c r="B3183" s="229"/>
      <c r="C3183" s="223"/>
      <c r="D3183" s="224"/>
      <c r="E3183" s="225"/>
      <c r="F3183" s="1036" t="str">
        <f t="shared" si="1114"/>
        <v/>
      </c>
      <c r="G3183" s="1037" t="str">
        <f t="shared" si="1109"/>
        <v/>
      </c>
      <c r="H3183" s="225"/>
      <c r="I3183" s="1013"/>
      <c r="J3183" s="1013"/>
      <c r="K3183" s="1028"/>
      <c r="L3183" s="1035" t="str">
        <f t="shared" si="1113"/>
        <v/>
      </c>
      <c r="S3183" s="498"/>
      <c r="AJ3183" s="498"/>
      <c r="AM3183" s="498">
        <f t="shared" si="1094"/>
        <v>0</v>
      </c>
      <c r="AN3183" s="498">
        <f t="shared" si="1095"/>
        <v>0</v>
      </c>
      <c r="AO3183" s="498">
        <f t="shared" si="1096"/>
        <v>0</v>
      </c>
      <c r="AP3183" s="498">
        <f t="shared" si="1115"/>
        <v>0</v>
      </c>
      <c r="AQ3183" s="498">
        <f t="shared" si="1110"/>
        <v>0</v>
      </c>
      <c r="AU3183" s="498">
        <f t="shared" si="1097"/>
        <v>0</v>
      </c>
      <c r="AV3183" s="498">
        <f t="shared" si="1098"/>
        <v>0</v>
      </c>
      <c r="AW3183" s="498">
        <f t="shared" si="1099"/>
        <v>0</v>
      </c>
      <c r="AX3183" s="498">
        <f t="shared" si="1100"/>
        <v>0</v>
      </c>
      <c r="AY3183" s="498">
        <f t="shared" si="1101"/>
        <v>0</v>
      </c>
      <c r="BB3183" s="498" t="str">
        <f t="shared" si="1102"/>
        <v/>
      </c>
      <c r="BC3183" s="743" t="str">
        <f t="shared" si="1103"/>
        <v/>
      </c>
      <c r="BD3183" s="743" t="str">
        <f t="shared" si="1104"/>
        <v/>
      </c>
      <c r="BE3183" s="743" t="str">
        <f>IF(D3183="","",VLOOKUP(D3183,'General Basis'!$J$39:$K$46,2,0))</f>
        <v/>
      </c>
      <c r="BF3183" s="744" t="str">
        <f>IF(D3183="","",VLOOKUP(D3183,'General Basis'!$J$39:$L$46,3,0))</f>
        <v/>
      </c>
      <c r="BG3183" s="744" t="str">
        <f t="shared" si="1111"/>
        <v/>
      </c>
      <c r="BH3183" s="744" t="str">
        <f>IF(G3183="","",IF(BF3183="Abu Dhabi",IF(G3183&lt;18,'General Basis'!$C$39,IF(G3183&lt;41,'General Basis'!$C$40,IF(G3183&lt;60,'General Basis'!$C$41,IF(G3183&lt;65,'General Basis'!$C$42,'General Basis'!$C$43)))),IF(G3183&lt;11,'General Basis'!$B$39,IF(G3183&lt;18,'General Basis'!$B$40,IF(G3183&lt;26,'General Basis'!$B$41,IF(G3183&lt;31,'General Basis'!$B$42,IF(G3183&lt;36,'General Basis'!$B$43,IF(G3183&lt;41,'General Basis'!$B$44,IF(G3183&lt;46,'General Basis'!$B$45,IF(G3183&lt;51,'General Basis'!$B$46,IF(G3183&lt;56,'General Basis'!$B$47,IF(G3183&lt;60,'General Basis'!$B$48,IF(G3183&lt;65,'General Basis'!$B$49,'General Basis'!$B$50)))))))))))))</f>
        <v/>
      </c>
      <c r="BI3183" s="744" t="str">
        <f t="shared" si="1105"/>
        <v/>
      </c>
      <c r="BJ3183" s="747" t="str">
        <f t="shared" si="1112"/>
        <v/>
      </c>
      <c r="BK3183" s="498" t="str">
        <f t="shared" si="1106"/>
        <v/>
      </c>
      <c r="BL3183" s="498" t="str">
        <f t="shared" si="1107"/>
        <v/>
      </c>
    </row>
    <row r="3184" spans="1:64" x14ac:dyDescent="0.25">
      <c r="A3184" s="762">
        <f t="shared" si="1108"/>
        <v>3179</v>
      </c>
      <c r="B3184" s="229"/>
      <c r="C3184" s="223"/>
      <c r="D3184" s="224"/>
      <c r="E3184" s="225"/>
      <c r="F3184" s="1036" t="str">
        <f t="shared" si="1114"/>
        <v/>
      </c>
      <c r="G3184" s="1037" t="str">
        <f t="shared" si="1109"/>
        <v/>
      </c>
      <c r="H3184" s="225"/>
      <c r="I3184" s="1013"/>
      <c r="J3184" s="1013"/>
      <c r="K3184" s="1028"/>
      <c r="L3184" s="1035" t="str">
        <f t="shared" si="1113"/>
        <v/>
      </c>
      <c r="S3184" s="498"/>
      <c r="AJ3184" s="498"/>
      <c r="AM3184" s="498">
        <f t="shared" si="1094"/>
        <v>0</v>
      </c>
      <c r="AN3184" s="498">
        <f t="shared" si="1095"/>
        <v>0</v>
      </c>
      <c r="AO3184" s="498">
        <f t="shared" si="1096"/>
        <v>0</v>
      </c>
      <c r="AP3184" s="498">
        <f t="shared" si="1115"/>
        <v>0</v>
      </c>
      <c r="AQ3184" s="498">
        <f t="shared" si="1110"/>
        <v>0</v>
      </c>
      <c r="AU3184" s="498">
        <f t="shared" si="1097"/>
        <v>0</v>
      </c>
      <c r="AV3184" s="498">
        <f t="shared" si="1098"/>
        <v>0</v>
      </c>
      <c r="AW3184" s="498">
        <f t="shared" si="1099"/>
        <v>0</v>
      </c>
      <c r="AX3184" s="498">
        <f t="shared" si="1100"/>
        <v>0</v>
      </c>
      <c r="AY3184" s="498">
        <f t="shared" si="1101"/>
        <v>0</v>
      </c>
      <c r="BB3184" s="498" t="str">
        <f t="shared" si="1102"/>
        <v/>
      </c>
      <c r="BC3184" s="743" t="str">
        <f t="shared" si="1103"/>
        <v/>
      </c>
      <c r="BD3184" s="743" t="str">
        <f t="shared" si="1104"/>
        <v/>
      </c>
      <c r="BE3184" s="743" t="str">
        <f>IF(D3184="","",VLOOKUP(D3184,'General Basis'!$J$39:$K$46,2,0))</f>
        <v/>
      </c>
      <c r="BF3184" s="744" t="str">
        <f>IF(D3184="","",VLOOKUP(D3184,'General Basis'!$J$39:$L$46,3,0))</f>
        <v/>
      </c>
      <c r="BG3184" s="744" t="str">
        <f t="shared" si="1111"/>
        <v/>
      </c>
      <c r="BH3184" s="744" t="str">
        <f>IF(G3184="","",IF(BF3184="Abu Dhabi",IF(G3184&lt;18,'General Basis'!$C$39,IF(G3184&lt;41,'General Basis'!$C$40,IF(G3184&lt;60,'General Basis'!$C$41,IF(G3184&lt;65,'General Basis'!$C$42,'General Basis'!$C$43)))),IF(G3184&lt;11,'General Basis'!$B$39,IF(G3184&lt;18,'General Basis'!$B$40,IF(G3184&lt;26,'General Basis'!$B$41,IF(G3184&lt;31,'General Basis'!$B$42,IF(G3184&lt;36,'General Basis'!$B$43,IF(G3184&lt;41,'General Basis'!$B$44,IF(G3184&lt;46,'General Basis'!$B$45,IF(G3184&lt;51,'General Basis'!$B$46,IF(G3184&lt;56,'General Basis'!$B$47,IF(G3184&lt;60,'General Basis'!$B$48,IF(G3184&lt;65,'General Basis'!$B$49,'General Basis'!$B$50)))))))))))))</f>
        <v/>
      </c>
      <c r="BI3184" s="744" t="str">
        <f t="shared" si="1105"/>
        <v/>
      </c>
      <c r="BJ3184" s="747" t="str">
        <f t="shared" si="1112"/>
        <v/>
      </c>
      <c r="BK3184" s="498" t="str">
        <f t="shared" si="1106"/>
        <v/>
      </c>
      <c r="BL3184" s="498" t="str">
        <f t="shared" si="1107"/>
        <v/>
      </c>
    </row>
    <row r="3185" spans="1:64" x14ac:dyDescent="0.25">
      <c r="A3185" s="762">
        <f t="shared" si="1108"/>
        <v>3180</v>
      </c>
      <c r="B3185" s="229"/>
      <c r="C3185" s="223"/>
      <c r="D3185" s="224"/>
      <c r="E3185" s="225"/>
      <c r="F3185" s="1036" t="str">
        <f t="shared" si="1114"/>
        <v/>
      </c>
      <c r="G3185" s="1037" t="str">
        <f t="shared" si="1109"/>
        <v/>
      </c>
      <c r="H3185" s="225"/>
      <c r="I3185" s="1013"/>
      <c r="J3185" s="1013"/>
      <c r="K3185" s="1028"/>
      <c r="L3185" s="1035" t="str">
        <f t="shared" si="1113"/>
        <v/>
      </c>
      <c r="S3185" s="498"/>
      <c r="AJ3185" s="498"/>
      <c r="AM3185" s="498">
        <f t="shared" si="1094"/>
        <v>0</v>
      </c>
      <c r="AN3185" s="498">
        <f t="shared" si="1095"/>
        <v>0</v>
      </c>
      <c r="AO3185" s="498">
        <f t="shared" si="1096"/>
        <v>0</v>
      </c>
      <c r="AP3185" s="498">
        <f t="shared" si="1115"/>
        <v>0</v>
      </c>
      <c r="AQ3185" s="498">
        <f t="shared" si="1110"/>
        <v>0</v>
      </c>
      <c r="AU3185" s="498">
        <f t="shared" si="1097"/>
        <v>0</v>
      </c>
      <c r="AV3185" s="498">
        <f t="shared" si="1098"/>
        <v>0</v>
      </c>
      <c r="AW3185" s="498">
        <f t="shared" si="1099"/>
        <v>0</v>
      </c>
      <c r="AX3185" s="498">
        <f t="shared" si="1100"/>
        <v>0</v>
      </c>
      <c r="AY3185" s="498">
        <f t="shared" si="1101"/>
        <v>0</v>
      </c>
      <c r="BB3185" s="498" t="str">
        <f t="shared" si="1102"/>
        <v/>
      </c>
      <c r="BC3185" s="743" t="str">
        <f t="shared" si="1103"/>
        <v/>
      </c>
      <c r="BD3185" s="743" t="str">
        <f t="shared" si="1104"/>
        <v/>
      </c>
      <c r="BE3185" s="743" t="str">
        <f>IF(D3185="","",VLOOKUP(D3185,'General Basis'!$J$39:$K$46,2,0))</f>
        <v/>
      </c>
      <c r="BF3185" s="744" t="str">
        <f>IF(D3185="","",VLOOKUP(D3185,'General Basis'!$J$39:$L$46,3,0))</f>
        <v/>
      </c>
      <c r="BG3185" s="744" t="str">
        <f t="shared" si="1111"/>
        <v/>
      </c>
      <c r="BH3185" s="744" t="str">
        <f>IF(G3185="","",IF(BF3185="Abu Dhabi",IF(G3185&lt;18,'General Basis'!$C$39,IF(G3185&lt;41,'General Basis'!$C$40,IF(G3185&lt;60,'General Basis'!$C$41,IF(G3185&lt;65,'General Basis'!$C$42,'General Basis'!$C$43)))),IF(G3185&lt;11,'General Basis'!$B$39,IF(G3185&lt;18,'General Basis'!$B$40,IF(G3185&lt;26,'General Basis'!$B$41,IF(G3185&lt;31,'General Basis'!$B$42,IF(G3185&lt;36,'General Basis'!$B$43,IF(G3185&lt;41,'General Basis'!$B$44,IF(G3185&lt;46,'General Basis'!$B$45,IF(G3185&lt;51,'General Basis'!$B$46,IF(G3185&lt;56,'General Basis'!$B$47,IF(G3185&lt;60,'General Basis'!$B$48,IF(G3185&lt;65,'General Basis'!$B$49,'General Basis'!$B$50)))))))))))))</f>
        <v/>
      </c>
      <c r="BI3185" s="744" t="str">
        <f t="shared" si="1105"/>
        <v/>
      </c>
      <c r="BJ3185" s="747" t="str">
        <f t="shared" si="1112"/>
        <v/>
      </c>
      <c r="BK3185" s="498" t="str">
        <f t="shared" si="1106"/>
        <v/>
      </c>
      <c r="BL3185" s="498" t="str">
        <f t="shared" si="1107"/>
        <v/>
      </c>
    </row>
    <row r="3186" spans="1:64" x14ac:dyDescent="0.25">
      <c r="A3186" s="762">
        <f t="shared" si="1108"/>
        <v>3181</v>
      </c>
      <c r="B3186" s="229"/>
      <c r="C3186" s="223"/>
      <c r="D3186" s="224"/>
      <c r="E3186" s="225"/>
      <c r="F3186" s="1036" t="str">
        <f t="shared" si="1114"/>
        <v/>
      </c>
      <c r="G3186" s="1037" t="str">
        <f t="shared" si="1109"/>
        <v/>
      </c>
      <c r="H3186" s="225"/>
      <c r="I3186" s="1013"/>
      <c r="J3186" s="1013"/>
      <c r="K3186" s="1028"/>
      <c r="L3186" s="1035" t="str">
        <f t="shared" si="1113"/>
        <v/>
      </c>
      <c r="S3186" s="498"/>
      <c r="AJ3186" s="498"/>
      <c r="AM3186" s="498">
        <f t="shared" si="1094"/>
        <v>0</v>
      </c>
      <c r="AN3186" s="498">
        <f t="shared" si="1095"/>
        <v>0</v>
      </c>
      <c r="AO3186" s="498">
        <f t="shared" si="1096"/>
        <v>0</v>
      </c>
      <c r="AP3186" s="498">
        <f t="shared" si="1115"/>
        <v>0</v>
      </c>
      <c r="AQ3186" s="498">
        <f t="shared" si="1110"/>
        <v>0</v>
      </c>
      <c r="AU3186" s="498">
        <f t="shared" si="1097"/>
        <v>0</v>
      </c>
      <c r="AV3186" s="498">
        <f t="shared" si="1098"/>
        <v>0</v>
      </c>
      <c r="AW3186" s="498">
        <f t="shared" si="1099"/>
        <v>0</v>
      </c>
      <c r="AX3186" s="498">
        <f t="shared" si="1100"/>
        <v>0</v>
      </c>
      <c r="AY3186" s="498">
        <f t="shared" si="1101"/>
        <v>0</v>
      </c>
      <c r="BB3186" s="498" t="str">
        <f t="shared" si="1102"/>
        <v/>
      </c>
      <c r="BC3186" s="743" t="str">
        <f t="shared" si="1103"/>
        <v/>
      </c>
      <c r="BD3186" s="743" t="str">
        <f t="shared" si="1104"/>
        <v/>
      </c>
      <c r="BE3186" s="743" t="str">
        <f>IF(D3186="","",VLOOKUP(D3186,'General Basis'!$J$39:$K$46,2,0))</f>
        <v/>
      </c>
      <c r="BF3186" s="744" t="str">
        <f>IF(D3186="","",VLOOKUP(D3186,'General Basis'!$J$39:$L$46,3,0))</f>
        <v/>
      </c>
      <c r="BG3186" s="744" t="str">
        <f t="shared" si="1111"/>
        <v/>
      </c>
      <c r="BH3186" s="744" t="str">
        <f>IF(G3186="","",IF(BF3186="Abu Dhabi",IF(G3186&lt;18,'General Basis'!$C$39,IF(G3186&lt;41,'General Basis'!$C$40,IF(G3186&lt;60,'General Basis'!$C$41,IF(G3186&lt;65,'General Basis'!$C$42,'General Basis'!$C$43)))),IF(G3186&lt;11,'General Basis'!$B$39,IF(G3186&lt;18,'General Basis'!$B$40,IF(G3186&lt;26,'General Basis'!$B$41,IF(G3186&lt;31,'General Basis'!$B$42,IF(G3186&lt;36,'General Basis'!$B$43,IF(G3186&lt;41,'General Basis'!$B$44,IF(G3186&lt;46,'General Basis'!$B$45,IF(G3186&lt;51,'General Basis'!$B$46,IF(G3186&lt;56,'General Basis'!$B$47,IF(G3186&lt;60,'General Basis'!$B$48,IF(G3186&lt;65,'General Basis'!$B$49,'General Basis'!$B$50)))))))))))))</f>
        <v/>
      </c>
      <c r="BI3186" s="744" t="str">
        <f t="shared" si="1105"/>
        <v/>
      </c>
      <c r="BJ3186" s="747" t="str">
        <f t="shared" si="1112"/>
        <v/>
      </c>
      <c r="BK3186" s="498" t="str">
        <f t="shared" si="1106"/>
        <v/>
      </c>
      <c r="BL3186" s="498" t="str">
        <f t="shared" si="1107"/>
        <v/>
      </c>
    </row>
    <row r="3187" spans="1:64" x14ac:dyDescent="0.25">
      <c r="A3187" s="762">
        <f t="shared" si="1108"/>
        <v>3182</v>
      </c>
      <c r="B3187" s="229"/>
      <c r="C3187" s="223"/>
      <c r="D3187" s="224"/>
      <c r="E3187" s="225"/>
      <c r="F3187" s="1036" t="str">
        <f t="shared" si="1114"/>
        <v/>
      </c>
      <c r="G3187" s="1037" t="str">
        <f t="shared" si="1109"/>
        <v/>
      </c>
      <c r="H3187" s="225"/>
      <c r="I3187" s="1013"/>
      <c r="J3187" s="1013"/>
      <c r="K3187" s="1028"/>
      <c r="L3187" s="1035" t="str">
        <f t="shared" si="1113"/>
        <v/>
      </c>
      <c r="S3187" s="498"/>
      <c r="AJ3187" s="498"/>
      <c r="AM3187" s="498">
        <f t="shared" si="1094"/>
        <v>0</v>
      </c>
      <c r="AN3187" s="498">
        <f t="shared" si="1095"/>
        <v>0</v>
      </c>
      <c r="AO3187" s="498">
        <f t="shared" si="1096"/>
        <v>0</v>
      </c>
      <c r="AP3187" s="498">
        <f t="shared" si="1115"/>
        <v>0</v>
      </c>
      <c r="AQ3187" s="498">
        <f t="shared" si="1110"/>
        <v>0</v>
      </c>
      <c r="AU3187" s="498">
        <f t="shared" si="1097"/>
        <v>0</v>
      </c>
      <c r="AV3187" s="498">
        <f t="shared" si="1098"/>
        <v>0</v>
      </c>
      <c r="AW3187" s="498">
        <f t="shared" si="1099"/>
        <v>0</v>
      </c>
      <c r="AX3187" s="498">
        <f t="shared" si="1100"/>
        <v>0</v>
      </c>
      <c r="AY3187" s="498">
        <f t="shared" si="1101"/>
        <v>0</v>
      </c>
      <c r="BB3187" s="498" t="str">
        <f t="shared" si="1102"/>
        <v/>
      </c>
      <c r="BC3187" s="743" t="str">
        <f t="shared" si="1103"/>
        <v/>
      </c>
      <c r="BD3187" s="743" t="str">
        <f t="shared" si="1104"/>
        <v/>
      </c>
      <c r="BE3187" s="743" t="str">
        <f>IF(D3187="","",VLOOKUP(D3187,'General Basis'!$J$39:$K$46,2,0))</f>
        <v/>
      </c>
      <c r="BF3187" s="744" t="str">
        <f>IF(D3187="","",VLOOKUP(D3187,'General Basis'!$J$39:$L$46,3,0))</f>
        <v/>
      </c>
      <c r="BG3187" s="744" t="str">
        <f t="shared" si="1111"/>
        <v/>
      </c>
      <c r="BH3187" s="744" t="str">
        <f>IF(G3187="","",IF(BF3187="Abu Dhabi",IF(G3187&lt;18,'General Basis'!$C$39,IF(G3187&lt;41,'General Basis'!$C$40,IF(G3187&lt;60,'General Basis'!$C$41,IF(G3187&lt;65,'General Basis'!$C$42,'General Basis'!$C$43)))),IF(G3187&lt;11,'General Basis'!$B$39,IF(G3187&lt;18,'General Basis'!$B$40,IF(G3187&lt;26,'General Basis'!$B$41,IF(G3187&lt;31,'General Basis'!$B$42,IF(G3187&lt;36,'General Basis'!$B$43,IF(G3187&lt;41,'General Basis'!$B$44,IF(G3187&lt;46,'General Basis'!$B$45,IF(G3187&lt;51,'General Basis'!$B$46,IF(G3187&lt;56,'General Basis'!$B$47,IF(G3187&lt;60,'General Basis'!$B$48,IF(G3187&lt;65,'General Basis'!$B$49,'General Basis'!$B$50)))))))))))))</f>
        <v/>
      </c>
      <c r="BI3187" s="744" t="str">
        <f t="shared" si="1105"/>
        <v/>
      </c>
      <c r="BJ3187" s="747" t="str">
        <f t="shared" si="1112"/>
        <v/>
      </c>
      <c r="BK3187" s="498" t="str">
        <f t="shared" si="1106"/>
        <v/>
      </c>
      <c r="BL3187" s="498" t="str">
        <f t="shared" si="1107"/>
        <v/>
      </c>
    </row>
    <row r="3188" spans="1:64" x14ac:dyDescent="0.25">
      <c r="A3188" s="762">
        <f t="shared" si="1108"/>
        <v>3183</v>
      </c>
      <c r="B3188" s="229"/>
      <c r="C3188" s="223"/>
      <c r="D3188" s="224"/>
      <c r="E3188" s="225"/>
      <c r="F3188" s="1036" t="str">
        <f t="shared" si="1114"/>
        <v/>
      </c>
      <c r="G3188" s="1037" t="str">
        <f t="shared" si="1109"/>
        <v/>
      </c>
      <c r="H3188" s="225"/>
      <c r="I3188" s="1013"/>
      <c r="J3188" s="1013"/>
      <c r="K3188" s="1028"/>
      <c r="L3188" s="1035" t="str">
        <f t="shared" si="1113"/>
        <v/>
      </c>
      <c r="S3188" s="498"/>
      <c r="AJ3188" s="498"/>
      <c r="AM3188" s="498">
        <f t="shared" si="1094"/>
        <v>0</v>
      </c>
      <c r="AN3188" s="498">
        <f t="shared" si="1095"/>
        <v>0</v>
      </c>
      <c r="AO3188" s="498">
        <f t="shared" si="1096"/>
        <v>0</v>
      </c>
      <c r="AP3188" s="498">
        <f t="shared" si="1115"/>
        <v>0</v>
      </c>
      <c r="AQ3188" s="498">
        <f t="shared" si="1110"/>
        <v>0</v>
      </c>
      <c r="AU3188" s="498">
        <f t="shared" si="1097"/>
        <v>0</v>
      </c>
      <c r="AV3188" s="498">
        <f t="shared" si="1098"/>
        <v>0</v>
      </c>
      <c r="AW3188" s="498">
        <f t="shared" si="1099"/>
        <v>0</v>
      </c>
      <c r="AX3188" s="498">
        <f t="shared" si="1100"/>
        <v>0</v>
      </c>
      <c r="AY3188" s="498">
        <f t="shared" si="1101"/>
        <v>0</v>
      </c>
      <c r="BB3188" s="498" t="str">
        <f t="shared" si="1102"/>
        <v/>
      </c>
      <c r="BC3188" s="743" t="str">
        <f t="shared" si="1103"/>
        <v/>
      </c>
      <c r="BD3188" s="743" t="str">
        <f t="shared" si="1104"/>
        <v/>
      </c>
      <c r="BE3188" s="743" t="str">
        <f>IF(D3188="","",VLOOKUP(D3188,'General Basis'!$J$39:$K$46,2,0))</f>
        <v/>
      </c>
      <c r="BF3188" s="744" t="str">
        <f>IF(D3188="","",VLOOKUP(D3188,'General Basis'!$J$39:$L$46,3,0))</f>
        <v/>
      </c>
      <c r="BG3188" s="744" t="str">
        <f t="shared" si="1111"/>
        <v/>
      </c>
      <c r="BH3188" s="744" t="str">
        <f>IF(G3188="","",IF(BF3188="Abu Dhabi",IF(G3188&lt;18,'General Basis'!$C$39,IF(G3188&lt;41,'General Basis'!$C$40,IF(G3188&lt;60,'General Basis'!$C$41,IF(G3188&lt;65,'General Basis'!$C$42,'General Basis'!$C$43)))),IF(G3188&lt;11,'General Basis'!$B$39,IF(G3188&lt;18,'General Basis'!$B$40,IF(G3188&lt;26,'General Basis'!$B$41,IF(G3188&lt;31,'General Basis'!$B$42,IF(G3188&lt;36,'General Basis'!$B$43,IF(G3188&lt;41,'General Basis'!$B$44,IF(G3188&lt;46,'General Basis'!$B$45,IF(G3188&lt;51,'General Basis'!$B$46,IF(G3188&lt;56,'General Basis'!$B$47,IF(G3188&lt;60,'General Basis'!$B$48,IF(G3188&lt;65,'General Basis'!$B$49,'General Basis'!$B$50)))))))))))))</f>
        <v/>
      </c>
      <c r="BI3188" s="744" t="str">
        <f t="shared" si="1105"/>
        <v/>
      </c>
      <c r="BJ3188" s="747" t="str">
        <f t="shared" si="1112"/>
        <v/>
      </c>
      <c r="BK3188" s="498" t="str">
        <f t="shared" si="1106"/>
        <v/>
      </c>
      <c r="BL3188" s="498" t="str">
        <f t="shared" si="1107"/>
        <v/>
      </c>
    </row>
    <row r="3189" spans="1:64" x14ac:dyDescent="0.25">
      <c r="A3189" s="762">
        <f t="shared" si="1108"/>
        <v>3184</v>
      </c>
      <c r="B3189" s="229"/>
      <c r="C3189" s="223"/>
      <c r="D3189" s="224"/>
      <c r="E3189" s="225"/>
      <c r="F3189" s="1036" t="str">
        <f t="shared" si="1114"/>
        <v/>
      </c>
      <c r="G3189" s="1037" t="str">
        <f t="shared" si="1109"/>
        <v/>
      </c>
      <c r="H3189" s="225"/>
      <c r="I3189" s="1013"/>
      <c r="J3189" s="1013"/>
      <c r="K3189" s="1028"/>
      <c r="L3189" s="1035" t="str">
        <f t="shared" si="1113"/>
        <v/>
      </c>
      <c r="S3189" s="498"/>
      <c r="AJ3189" s="498"/>
      <c r="AM3189" s="498">
        <f t="shared" si="1094"/>
        <v>0</v>
      </c>
      <c r="AN3189" s="498">
        <f t="shared" si="1095"/>
        <v>0</v>
      </c>
      <c r="AO3189" s="498">
        <f t="shared" si="1096"/>
        <v>0</v>
      </c>
      <c r="AP3189" s="498">
        <f t="shared" si="1115"/>
        <v>0</v>
      </c>
      <c r="AQ3189" s="498">
        <f t="shared" si="1110"/>
        <v>0</v>
      </c>
      <c r="AU3189" s="498">
        <f t="shared" si="1097"/>
        <v>0</v>
      </c>
      <c r="AV3189" s="498">
        <f t="shared" si="1098"/>
        <v>0</v>
      </c>
      <c r="AW3189" s="498">
        <f t="shared" si="1099"/>
        <v>0</v>
      </c>
      <c r="AX3189" s="498">
        <f t="shared" si="1100"/>
        <v>0</v>
      </c>
      <c r="AY3189" s="498">
        <f t="shared" si="1101"/>
        <v>0</v>
      </c>
      <c r="BB3189" s="498" t="str">
        <f t="shared" si="1102"/>
        <v/>
      </c>
      <c r="BC3189" s="743" t="str">
        <f t="shared" si="1103"/>
        <v/>
      </c>
      <c r="BD3189" s="743" t="str">
        <f t="shared" si="1104"/>
        <v/>
      </c>
      <c r="BE3189" s="743" t="str">
        <f>IF(D3189="","",VLOOKUP(D3189,'General Basis'!$J$39:$K$46,2,0))</f>
        <v/>
      </c>
      <c r="BF3189" s="744" t="str">
        <f>IF(D3189="","",VLOOKUP(D3189,'General Basis'!$J$39:$L$46,3,0))</f>
        <v/>
      </c>
      <c r="BG3189" s="744" t="str">
        <f t="shared" si="1111"/>
        <v/>
      </c>
      <c r="BH3189" s="744" t="str">
        <f>IF(G3189="","",IF(BF3189="Abu Dhabi",IF(G3189&lt;18,'General Basis'!$C$39,IF(G3189&lt;41,'General Basis'!$C$40,IF(G3189&lt;60,'General Basis'!$C$41,IF(G3189&lt;65,'General Basis'!$C$42,'General Basis'!$C$43)))),IF(G3189&lt;11,'General Basis'!$B$39,IF(G3189&lt;18,'General Basis'!$B$40,IF(G3189&lt;26,'General Basis'!$B$41,IF(G3189&lt;31,'General Basis'!$B$42,IF(G3189&lt;36,'General Basis'!$B$43,IF(G3189&lt;41,'General Basis'!$B$44,IF(G3189&lt;46,'General Basis'!$B$45,IF(G3189&lt;51,'General Basis'!$B$46,IF(G3189&lt;56,'General Basis'!$B$47,IF(G3189&lt;60,'General Basis'!$B$48,IF(G3189&lt;65,'General Basis'!$B$49,'General Basis'!$B$50)))))))))))))</f>
        <v/>
      </c>
      <c r="BI3189" s="744" t="str">
        <f t="shared" si="1105"/>
        <v/>
      </c>
      <c r="BJ3189" s="747" t="str">
        <f t="shared" si="1112"/>
        <v/>
      </c>
      <c r="BK3189" s="498" t="str">
        <f t="shared" si="1106"/>
        <v/>
      </c>
      <c r="BL3189" s="498" t="str">
        <f t="shared" si="1107"/>
        <v/>
      </c>
    </row>
    <row r="3190" spans="1:64" x14ac:dyDescent="0.25">
      <c r="A3190" s="762">
        <f t="shared" si="1108"/>
        <v>3185</v>
      </c>
      <c r="B3190" s="229"/>
      <c r="C3190" s="223"/>
      <c r="D3190" s="224"/>
      <c r="E3190" s="225"/>
      <c r="F3190" s="1036" t="str">
        <f t="shared" si="1114"/>
        <v/>
      </c>
      <c r="G3190" s="1037" t="str">
        <f t="shared" si="1109"/>
        <v/>
      </c>
      <c r="H3190" s="225"/>
      <c r="I3190" s="1013"/>
      <c r="J3190" s="1013"/>
      <c r="K3190" s="1028"/>
      <c r="L3190" s="1035" t="str">
        <f t="shared" si="1113"/>
        <v/>
      </c>
      <c r="S3190" s="498"/>
      <c r="AJ3190" s="498"/>
      <c r="AM3190" s="498">
        <f t="shared" si="1094"/>
        <v>0</v>
      </c>
      <c r="AN3190" s="498">
        <f t="shared" si="1095"/>
        <v>0</v>
      </c>
      <c r="AO3190" s="498">
        <f t="shared" si="1096"/>
        <v>0</v>
      </c>
      <c r="AP3190" s="498">
        <f t="shared" si="1115"/>
        <v>0</v>
      </c>
      <c r="AQ3190" s="498">
        <f t="shared" si="1110"/>
        <v>0</v>
      </c>
      <c r="AU3190" s="498">
        <f t="shared" si="1097"/>
        <v>0</v>
      </c>
      <c r="AV3190" s="498">
        <f t="shared" si="1098"/>
        <v>0</v>
      </c>
      <c r="AW3190" s="498">
        <f t="shared" si="1099"/>
        <v>0</v>
      </c>
      <c r="AX3190" s="498">
        <f t="shared" si="1100"/>
        <v>0</v>
      </c>
      <c r="AY3190" s="498">
        <f t="shared" si="1101"/>
        <v>0</v>
      </c>
      <c r="BB3190" s="498" t="str">
        <f t="shared" si="1102"/>
        <v/>
      </c>
      <c r="BC3190" s="743" t="str">
        <f t="shared" si="1103"/>
        <v/>
      </c>
      <c r="BD3190" s="743" t="str">
        <f t="shared" si="1104"/>
        <v/>
      </c>
      <c r="BE3190" s="743" t="str">
        <f>IF(D3190="","",VLOOKUP(D3190,'General Basis'!$J$39:$K$46,2,0))</f>
        <v/>
      </c>
      <c r="BF3190" s="744" t="str">
        <f>IF(D3190="","",VLOOKUP(D3190,'General Basis'!$J$39:$L$46,3,0))</f>
        <v/>
      </c>
      <c r="BG3190" s="744" t="str">
        <f t="shared" si="1111"/>
        <v/>
      </c>
      <c r="BH3190" s="744" t="str">
        <f>IF(G3190="","",IF(BF3190="Abu Dhabi",IF(G3190&lt;18,'General Basis'!$C$39,IF(G3190&lt;41,'General Basis'!$C$40,IF(G3190&lt;60,'General Basis'!$C$41,IF(G3190&lt;65,'General Basis'!$C$42,'General Basis'!$C$43)))),IF(G3190&lt;11,'General Basis'!$B$39,IF(G3190&lt;18,'General Basis'!$B$40,IF(G3190&lt;26,'General Basis'!$B$41,IF(G3190&lt;31,'General Basis'!$B$42,IF(G3190&lt;36,'General Basis'!$B$43,IF(G3190&lt;41,'General Basis'!$B$44,IF(G3190&lt;46,'General Basis'!$B$45,IF(G3190&lt;51,'General Basis'!$B$46,IF(G3190&lt;56,'General Basis'!$B$47,IF(G3190&lt;60,'General Basis'!$B$48,IF(G3190&lt;65,'General Basis'!$B$49,'General Basis'!$B$50)))))))))))))</f>
        <v/>
      </c>
      <c r="BI3190" s="744" t="str">
        <f t="shared" si="1105"/>
        <v/>
      </c>
      <c r="BJ3190" s="747" t="str">
        <f t="shared" si="1112"/>
        <v/>
      </c>
      <c r="BK3190" s="498" t="str">
        <f t="shared" si="1106"/>
        <v/>
      </c>
      <c r="BL3190" s="498" t="str">
        <f t="shared" si="1107"/>
        <v/>
      </c>
    </row>
    <row r="3191" spans="1:64" x14ac:dyDescent="0.25">
      <c r="A3191" s="762">
        <f t="shared" si="1108"/>
        <v>3186</v>
      </c>
      <c r="B3191" s="229"/>
      <c r="C3191" s="223"/>
      <c r="D3191" s="224"/>
      <c r="E3191" s="225"/>
      <c r="F3191" s="1036" t="str">
        <f t="shared" si="1114"/>
        <v/>
      </c>
      <c r="G3191" s="1037" t="str">
        <f t="shared" si="1109"/>
        <v/>
      </c>
      <c r="H3191" s="225"/>
      <c r="I3191" s="1013"/>
      <c r="J3191" s="1013"/>
      <c r="K3191" s="1028"/>
      <c r="L3191" s="1035" t="str">
        <f t="shared" si="1113"/>
        <v/>
      </c>
      <c r="S3191" s="498"/>
      <c r="AJ3191" s="498"/>
      <c r="AM3191" s="498">
        <f t="shared" si="1094"/>
        <v>0</v>
      </c>
      <c r="AN3191" s="498">
        <f t="shared" si="1095"/>
        <v>0</v>
      </c>
      <c r="AO3191" s="498">
        <f t="shared" si="1096"/>
        <v>0</v>
      </c>
      <c r="AP3191" s="498">
        <f t="shared" si="1115"/>
        <v>0</v>
      </c>
      <c r="AQ3191" s="498">
        <f t="shared" si="1110"/>
        <v>0</v>
      </c>
      <c r="AU3191" s="498">
        <f t="shared" si="1097"/>
        <v>0</v>
      </c>
      <c r="AV3191" s="498">
        <f t="shared" si="1098"/>
        <v>0</v>
      </c>
      <c r="AW3191" s="498">
        <f t="shared" si="1099"/>
        <v>0</v>
      </c>
      <c r="AX3191" s="498">
        <f t="shared" si="1100"/>
        <v>0</v>
      </c>
      <c r="AY3191" s="498">
        <f t="shared" si="1101"/>
        <v>0</v>
      </c>
      <c r="BB3191" s="498" t="str">
        <f t="shared" si="1102"/>
        <v/>
      </c>
      <c r="BC3191" s="743" t="str">
        <f t="shared" si="1103"/>
        <v/>
      </c>
      <c r="BD3191" s="743" t="str">
        <f t="shared" si="1104"/>
        <v/>
      </c>
      <c r="BE3191" s="743" t="str">
        <f>IF(D3191="","",VLOOKUP(D3191,'General Basis'!$J$39:$K$46,2,0))</f>
        <v/>
      </c>
      <c r="BF3191" s="744" t="str">
        <f>IF(D3191="","",VLOOKUP(D3191,'General Basis'!$J$39:$L$46,3,0))</f>
        <v/>
      </c>
      <c r="BG3191" s="744" t="str">
        <f t="shared" si="1111"/>
        <v/>
      </c>
      <c r="BH3191" s="744" t="str">
        <f>IF(G3191="","",IF(BF3191="Abu Dhabi",IF(G3191&lt;18,'General Basis'!$C$39,IF(G3191&lt;41,'General Basis'!$C$40,IF(G3191&lt;60,'General Basis'!$C$41,IF(G3191&lt;65,'General Basis'!$C$42,'General Basis'!$C$43)))),IF(G3191&lt;11,'General Basis'!$B$39,IF(G3191&lt;18,'General Basis'!$B$40,IF(G3191&lt;26,'General Basis'!$B$41,IF(G3191&lt;31,'General Basis'!$B$42,IF(G3191&lt;36,'General Basis'!$B$43,IF(G3191&lt;41,'General Basis'!$B$44,IF(G3191&lt;46,'General Basis'!$B$45,IF(G3191&lt;51,'General Basis'!$B$46,IF(G3191&lt;56,'General Basis'!$B$47,IF(G3191&lt;60,'General Basis'!$B$48,IF(G3191&lt;65,'General Basis'!$B$49,'General Basis'!$B$50)))))))))))))</f>
        <v/>
      </c>
      <c r="BI3191" s="744" t="str">
        <f t="shared" si="1105"/>
        <v/>
      </c>
      <c r="BJ3191" s="747" t="str">
        <f t="shared" si="1112"/>
        <v/>
      </c>
      <c r="BK3191" s="498" t="str">
        <f t="shared" si="1106"/>
        <v/>
      </c>
      <c r="BL3191" s="498" t="str">
        <f t="shared" si="1107"/>
        <v/>
      </c>
    </row>
    <row r="3192" spans="1:64" x14ac:dyDescent="0.25">
      <c r="A3192" s="762">
        <f t="shared" si="1108"/>
        <v>3187</v>
      </c>
      <c r="B3192" s="229"/>
      <c r="C3192" s="223"/>
      <c r="D3192" s="224"/>
      <c r="E3192" s="225"/>
      <c r="F3192" s="1036" t="str">
        <f t="shared" si="1114"/>
        <v/>
      </c>
      <c r="G3192" s="1037" t="str">
        <f t="shared" si="1109"/>
        <v/>
      </c>
      <c r="H3192" s="225"/>
      <c r="I3192" s="1013"/>
      <c r="J3192" s="1013"/>
      <c r="K3192" s="1028"/>
      <c r="L3192" s="1035" t="str">
        <f t="shared" si="1113"/>
        <v/>
      </c>
      <c r="S3192" s="498"/>
      <c r="AJ3192" s="498"/>
      <c r="AM3192" s="498">
        <f t="shared" si="1094"/>
        <v>0</v>
      </c>
      <c r="AN3192" s="498">
        <f t="shared" si="1095"/>
        <v>0</v>
      </c>
      <c r="AO3192" s="498">
        <f t="shared" si="1096"/>
        <v>0</v>
      </c>
      <c r="AP3192" s="498">
        <f t="shared" si="1115"/>
        <v>0</v>
      </c>
      <c r="AQ3192" s="498">
        <f t="shared" si="1110"/>
        <v>0</v>
      </c>
      <c r="AU3192" s="498">
        <f t="shared" si="1097"/>
        <v>0</v>
      </c>
      <c r="AV3192" s="498">
        <f t="shared" si="1098"/>
        <v>0</v>
      </c>
      <c r="AW3192" s="498">
        <f t="shared" si="1099"/>
        <v>0</v>
      </c>
      <c r="AX3192" s="498">
        <f t="shared" si="1100"/>
        <v>0</v>
      </c>
      <c r="AY3192" s="498">
        <f t="shared" si="1101"/>
        <v>0</v>
      </c>
      <c r="BB3192" s="498" t="str">
        <f t="shared" si="1102"/>
        <v/>
      </c>
      <c r="BC3192" s="743" t="str">
        <f t="shared" si="1103"/>
        <v/>
      </c>
      <c r="BD3192" s="743" t="str">
        <f t="shared" si="1104"/>
        <v/>
      </c>
      <c r="BE3192" s="743" t="str">
        <f>IF(D3192="","",VLOOKUP(D3192,'General Basis'!$J$39:$K$46,2,0))</f>
        <v/>
      </c>
      <c r="BF3192" s="744" t="str">
        <f>IF(D3192="","",VLOOKUP(D3192,'General Basis'!$J$39:$L$46,3,0))</f>
        <v/>
      </c>
      <c r="BG3192" s="744" t="str">
        <f t="shared" si="1111"/>
        <v/>
      </c>
      <c r="BH3192" s="744" t="str">
        <f>IF(G3192="","",IF(BF3192="Abu Dhabi",IF(G3192&lt;18,'General Basis'!$C$39,IF(G3192&lt;41,'General Basis'!$C$40,IF(G3192&lt;60,'General Basis'!$C$41,IF(G3192&lt;65,'General Basis'!$C$42,'General Basis'!$C$43)))),IF(G3192&lt;11,'General Basis'!$B$39,IF(G3192&lt;18,'General Basis'!$B$40,IF(G3192&lt;26,'General Basis'!$B$41,IF(G3192&lt;31,'General Basis'!$B$42,IF(G3192&lt;36,'General Basis'!$B$43,IF(G3192&lt;41,'General Basis'!$B$44,IF(G3192&lt;46,'General Basis'!$B$45,IF(G3192&lt;51,'General Basis'!$B$46,IF(G3192&lt;56,'General Basis'!$B$47,IF(G3192&lt;60,'General Basis'!$B$48,IF(G3192&lt;65,'General Basis'!$B$49,'General Basis'!$B$50)))))))))))))</f>
        <v/>
      </c>
      <c r="BI3192" s="744" t="str">
        <f t="shared" si="1105"/>
        <v/>
      </c>
      <c r="BJ3192" s="747" t="str">
        <f t="shared" si="1112"/>
        <v/>
      </c>
      <c r="BK3192" s="498" t="str">
        <f t="shared" si="1106"/>
        <v/>
      </c>
      <c r="BL3192" s="498" t="str">
        <f t="shared" si="1107"/>
        <v/>
      </c>
    </row>
    <row r="3193" spans="1:64" x14ac:dyDescent="0.25">
      <c r="A3193" s="762">
        <f t="shared" si="1108"/>
        <v>3188</v>
      </c>
      <c r="B3193" s="229"/>
      <c r="C3193" s="223"/>
      <c r="D3193" s="224"/>
      <c r="E3193" s="225"/>
      <c r="F3193" s="1036" t="str">
        <f t="shared" si="1114"/>
        <v/>
      </c>
      <c r="G3193" s="1037" t="str">
        <f t="shared" si="1109"/>
        <v/>
      </c>
      <c r="H3193" s="225"/>
      <c r="I3193" s="1013"/>
      <c r="J3193" s="1013"/>
      <c r="K3193" s="1028"/>
      <c r="L3193" s="1035" t="str">
        <f t="shared" si="1113"/>
        <v/>
      </c>
      <c r="S3193" s="498"/>
      <c r="AJ3193" s="498"/>
      <c r="AM3193" s="498">
        <f t="shared" si="1094"/>
        <v>0</v>
      </c>
      <c r="AN3193" s="498">
        <f t="shared" si="1095"/>
        <v>0</v>
      </c>
      <c r="AO3193" s="498">
        <f t="shared" si="1096"/>
        <v>0</v>
      </c>
      <c r="AP3193" s="498">
        <f t="shared" si="1115"/>
        <v>0</v>
      </c>
      <c r="AQ3193" s="498">
        <f t="shared" si="1110"/>
        <v>0</v>
      </c>
      <c r="AU3193" s="498">
        <f t="shared" si="1097"/>
        <v>0</v>
      </c>
      <c r="AV3193" s="498">
        <f t="shared" si="1098"/>
        <v>0</v>
      </c>
      <c r="AW3193" s="498">
        <f t="shared" si="1099"/>
        <v>0</v>
      </c>
      <c r="AX3193" s="498">
        <f t="shared" si="1100"/>
        <v>0</v>
      </c>
      <c r="AY3193" s="498">
        <f t="shared" si="1101"/>
        <v>0</v>
      </c>
      <c r="BB3193" s="498" t="str">
        <f t="shared" si="1102"/>
        <v/>
      </c>
      <c r="BC3193" s="743" t="str">
        <f t="shared" si="1103"/>
        <v/>
      </c>
      <c r="BD3193" s="743" t="str">
        <f t="shared" si="1104"/>
        <v/>
      </c>
      <c r="BE3193" s="743" t="str">
        <f>IF(D3193="","",VLOOKUP(D3193,'General Basis'!$J$39:$K$46,2,0))</f>
        <v/>
      </c>
      <c r="BF3193" s="744" t="str">
        <f>IF(D3193="","",VLOOKUP(D3193,'General Basis'!$J$39:$L$46,3,0))</f>
        <v/>
      </c>
      <c r="BG3193" s="744" t="str">
        <f t="shared" si="1111"/>
        <v/>
      </c>
      <c r="BH3193" s="744" t="str">
        <f>IF(G3193="","",IF(BF3193="Abu Dhabi",IF(G3193&lt;18,'General Basis'!$C$39,IF(G3193&lt;41,'General Basis'!$C$40,IF(G3193&lt;60,'General Basis'!$C$41,IF(G3193&lt;65,'General Basis'!$C$42,'General Basis'!$C$43)))),IF(G3193&lt;11,'General Basis'!$B$39,IF(G3193&lt;18,'General Basis'!$B$40,IF(G3193&lt;26,'General Basis'!$B$41,IF(G3193&lt;31,'General Basis'!$B$42,IF(G3193&lt;36,'General Basis'!$B$43,IF(G3193&lt;41,'General Basis'!$B$44,IF(G3193&lt;46,'General Basis'!$B$45,IF(G3193&lt;51,'General Basis'!$B$46,IF(G3193&lt;56,'General Basis'!$B$47,IF(G3193&lt;60,'General Basis'!$B$48,IF(G3193&lt;65,'General Basis'!$B$49,'General Basis'!$B$50)))))))))))))</f>
        <v/>
      </c>
      <c r="BI3193" s="744" t="str">
        <f t="shared" si="1105"/>
        <v/>
      </c>
      <c r="BJ3193" s="747" t="str">
        <f t="shared" si="1112"/>
        <v/>
      </c>
      <c r="BK3193" s="498" t="str">
        <f t="shared" si="1106"/>
        <v/>
      </c>
      <c r="BL3193" s="498" t="str">
        <f t="shared" si="1107"/>
        <v/>
      </c>
    </row>
    <row r="3194" spans="1:64" x14ac:dyDescent="0.25">
      <c r="A3194" s="762">
        <f t="shared" si="1108"/>
        <v>3189</v>
      </c>
      <c r="B3194" s="229"/>
      <c r="C3194" s="223"/>
      <c r="D3194" s="224"/>
      <c r="E3194" s="225"/>
      <c r="F3194" s="1036" t="str">
        <f t="shared" si="1114"/>
        <v/>
      </c>
      <c r="G3194" s="1037" t="str">
        <f t="shared" si="1109"/>
        <v/>
      </c>
      <c r="H3194" s="225"/>
      <c r="I3194" s="1013"/>
      <c r="J3194" s="1013"/>
      <c r="K3194" s="1028"/>
      <c r="L3194" s="1035" t="str">
        <f t="shared" si="1113"/>
        <v/>
      </c>
      <c r="S3194" s="498"/>
      <c r="AJ3194" s="498"/>
      <c r="AM3194" s="498">
        <f t="shared" si="1094"/>
        <v>0</v>
      </c>
      <c r="AN3194" s="498">
        <f t="shared" si="1095"/>
        <v>0</v>
      </c>
      <c r="AO3194" s="498">
        <f t="shared" si="1096"/>
        <v>0</v>
      </c>
      <c r="AP3194" s="498">
        <f t="shared" si="1115"/>
        <v>0</v>
      </c>
      <c r="AQ3194" s="498">
        <f t="shared" si="1110"/>
        <v>0</v>
      </c>
      <c r="AU3194" s="498">
        <f t="shared" si="1097"/>
        <v>0</v>
      </c>
      <c r="AV3194" s="498">
        <f t="shared" si="1098"/>
        <v>0</v>
      </c>
      <c r="AW3194" s="498">
        <f t="shared" si="1099"/>
        <v>0</v>
      </c>
      <c r="AX3194" s="498">
        <f t="shared" si="1100"/>
        <v>0</v>
      </c>
      <c r="AY3194" s="498">
        <f t="shared" si="1101"/>
        <v>0</v>
      </c>
      <c r="BB3194" s="498" t="str">
        <f t="shared" si="1102"/>
        <v/>
      </c>
      <c r="BC3194" s="743" t="str">
        <f t="shared" si="1103"/>
        <v/>
      </c>
      <c r="BD3194" s="743" t="str">
        <f t="shared" si="1104"/>
        <v/>
      </c>
      <c r="BE3194" s="743" t="str">
        <f>IF(D3194="","",VLOOKUP(D3194,'General Basis'!$J$39:$K$46,2,0))</f>
        <v/>
      </c>
      <c r="BF3194" s="744" t="str">
        <f>IF(D3194="","",VLOOKUP(D3194,'General Basis'!$J$39:$L$46,3,0))</f>
        <v/>
      </c>
      <c r="BG3194" s="744" t="str">
        <f t="shared" si="1111"/>
        <v/>
      </c>
      <c r="BH3194" s="744" t="str">
        <f>IF(G3194="","",IF(BF3194="Abu Dhabi",IF(G3194&lt;18,'General Basis'!$C$39,IF(G3194&lt;41,'General Basis'!$C$40,IF(G3194&lt;60,'General Basis'!$C$41,IF(G3194&lt;65,'General Basis'!$C$42,'General Basis'!$C$43)))),IF(G3194&lt;11,'General Basis'!$B$39,IF(G3194&lt;18,'General Basis'!$B$40,IF(G3194&lt;26,'General Basis'!$B$41,IF(G3194&lt;31,'General Basis'!$B$42,IF(G3194&lt;36,'General Basis'!$B$43,IF(G3194&lt;41,'General Basis'!$B$44,IF(G3194&lt;46,'General Basis'!$B$45,IF(G3194&lt;51,'General Basis'!$B$46,IF(G3194&lt;56,'General Basis'!$B$47,IF(G3194&lt;60,'General Basis'!$B$48,IF(G3194&lt;65,'General Basis'!$B$49,'General Basis'!$B$50)))))))))))))</f>
        <v/>
      </c>
      <c r="BI3194" s="744" t="str">
        <f t="shared" si="1105"/>
        <v/>
      </c>
      <c r="BJ3194" s="747" t="str">
        <f t="shared" si="1112"/>
        <v/>
      </c>
      <c r="BK3194" s="498" t="str">
        <f t="shared" si="1106"/>
        <v/>
      </c>
      <c r="BL3194" s="498" t="str">
        <f t="shared" si="1107"/>
        <v/>
      </c>
    </row>
    <row r="3195" spans="1:64" x14ac:dyDescent="0.25">
      <c r="A3195" s="762">
        <f t="shared" si="1108"/>
        <v>3190</v>
      </c>
      <c r="B3195" s="229"/>
      <c r="C3195" s="223"/>
      <c r="D3195" s="224"/>
      <c r="E3195" s="225"/>
      <c r="F3195" s="1036" t="str">
        <f t="shared" si="1114"/>
        <v/>
      </c>
      <c r="G3195" s="1037" t="str">
        <f t="shared" si="1109"/>
        <v/>
      </c>
      <c r="H3195" s="225"/>
      <c r="I3195" s="1013"/>
      <c r="J3195" s="1013"/>
      <c r="K3195" s="1028"/>
      <c r="L3195" s="1035" t="str">
        <f t="shared" si="1113"/>
        <v/>
      </c>
      <c r="S3195" s="498"/>
      <c r="AJ3195" s="498"/>
      <c r="AM3195" s="498">
        <f t="shared" si="1094"/>
        <v>0</v>
      </c>
      <c r="AN3195" s="498">
        <f t="shared" si="1095"/>
        <v>0</v>
      </c>
      <c r="AO3195" s="498">
        <f t="shared" si="1096"/>
        <v>0</v>
      </c>
      <c r="AP3195" s="498">
        <f t="shared" si="1115"/>
        <v>0</v>
      </c>
      <c r="AQ3195" s="498">
        <f t="shared" si="1110"/>
        <v>0</v>
      </c>
      <c r="AU3195" s="498">
        <f t="shared" si="1097"/>
        <v>0</v>
      </c>
      <c r="AV3195" s="498">
        <f t="shared" si="1098"/>
        <v>0</v>
      </c>
      <c r="AW3195" s="498">
        <f t="shared" si="1099"/>
        <v>0</v>
      </c>
      <c r="AX3195" s="498">
        <f t="shared" si="1100"/>
        <v>0</v>
      </c>
      <c r="AY3195" s="498">
        <f t="shared" si="1101"/>
        <v>0</v>
      </c>
      <c r="BB3195" s="498" t="str">
        <f t="shared" si="1102"/>
        <v/>
      </c>
      <c r="BC3195" s="743" t="str">
        <f t="shared" si="1103"/>
        <v/>
      </c>
      <c r="BD3195" s="743" t="str">
        <f t="shared" si="1104"/>
        <v/>
      </c>
      <c r="BE3195" s="743" t="str">
        <f>IF(D3195="","",VLOOKUP(D3195,'General Basis'!$J$39:$K$46,2,0))</f>
        <v/>
      </c>
      <c r="BF3195" s="744" t="str">
        <f>IF(D3195="","",VLOOKUP(D3195,'General Basis'!$J$39:$L$46,3,0))</f>
        <v/>
      </c>
      <c r="BG3195" s="744" t="str">
        <f t="shared" si="1111"/>
        <v/>
      </c>
      <c r="BH3195" s="744" t="str">
        <f>IF(G3195="","",IF(BF3195="Abu Dhabi",IF(G3195&lt;18,'General Basis'!$C$39,IF(G3195&lt;41,'General Basis'!$C$40,IF(G3195&lt;60,'General Basis'!$C$41,IF(G3195&lt;65,'General Basis'!$C$42,'General Basis'!$C$43)))),IF(G3195&lt;11,'General Basis'!$B$39,IF(G3195&lt;18,'General Basis'!$B$40,IF(G3195&lt;26,'General Basis'!$B$41,IF(G3195&lt;31,'General Basis'!$B$42,IF(G3195&lt;36,'General Basis'!$B$43,IF(G3195&lt;41,'General Basis'!$B$44,IF(G3195&lt;46,'General Basis'!$B$45,IF(G3195&lt;51,'General Basis'!$B$46,IF(G3195&lt;56,'General Basis'!$B$47,IF(G3195&lt;60,'General Basis'!$B$48,IF(G3195&lt;65,'General Basis'!$B$49,'General Basis'!$B$50)))))))))))))</f>
        <v/>
      </c>
      <c r="BI3195" s="744" t="str">
        <f t="shared" si="1105"/>
        <v/>
      </c>
      <c r="BJ3195" s="747" t="str">
        <f t="shared" si="1112"/>
        <v/>
      </c>
      <c r="BK3195" s="498" t="str">
        <f t="shared" si="1106"/>
        <v/>
      </c>
      <c r="BL3195" s="498" t="str">
        <f t="shared" si="1107"/>
        <v/>
      </c>
    </row>
    <row r="3196" spans="1:64" x14ac:dyDescent="0.25">
      <c r="A3196" s="762">
        <f t="shared" si="1108"/>
        <v>3191</v>
      </c>
      <c r="B3196" s="229"/>
      <c r="C3196" s="223"/>
      <c r="D3196" s="224"/>
      <c r="E3196" s="225"/>
      <c r="F3196" s="1036" t="str">
        <f t="shared" si="1114"/>
        <v/>
      </c>
      <c r="G3196" s="1037" t="str">
        <f t="shared" si="1109"/>
        <v/>
      </c>
      <c r="H3196" s="225"/>
      <c r="I3196" s="1013"/>
      <c r="J3196" s="1013"/>
      <c r="K3196" s="1028"/>
      <c r="L3196" s="1035" t="str">
        <f t="shared" si="1113"/>
        <v/>
      </c>
      <c r="S3196" s="498"/>
      <c r="AJ3196" s="498"/>
      <c r="AM3196" s="498">
        <f t="shared" si="1094"/>
        <v>0</v>
      </c>
      <c r="AN3196" s="498">
        <f t="shared" si="1095"/>
        <v>0</v>
      </c>
      <c r="AO3196" s="498">
        <f t="shared" si="1096"/>
        <v>0</v>
      </c>
      <c r="AP3196" s="498">
        <f t="shared" si="1115"/>
        <v>0</v>
      </c>
      <c r="AQ3196" s="498">
        <f t="shared" si="1110"/>
        <v>0</v>
      </c>
      <c r="AU3196" s="498">
        <f t="shared" si="1097"/>
        <v>0</v>
      </c>
      <c r="AV3196" s="498">
        <f t="shared" si="1098"/>
        <v>0</v>
      </c>
      <c r="AW3196" s="498">
        <f t="shared" si="1099"/>
        <v>0</v>
      </c>
      <c r="AX3196" s="498">
        <f t="shared" si="1100"/>
        <v>0</v>
      </c>
      <c r="AY3196" s="498">
        <f t="shared" si="1101"/>
        <v>0</v>
      </c>
      <c r="BB3196" s="498" t="str">
        <f t="shared" si="1102"/>
        <v/>
      </c>
      <c r="BC3196" s="743" t="str">
        <f t="shared" si="1103"/>
        <v/>
      </c>
      <c r="BD3196" s="743" t="str">
        <f t="shared" si="1104"/>
        <v/>
      </c>
      <c r="BE3196" s="743" t="str">
        <f>IF(D3196="","",VLOOKUP(D3196,'General Basis'!$J$39:$K$46,2,0))</f>
        <v/>
      </c>
      <c r="BF3196" s="744" t="str">
        <f>IF(D3196="","",VLOOKUP(D3196,'General Basis'!$J$39:$L$46,3,0))</f>
        <v/>
      </c>
      <c r="BG3196" s="744" t="str">
        <f t="shared" si="1111"/>
        <v/>
      </c>
      <c r="BH3196" s="744" t="str">
        <f>IF(G3196="","",IF(BF3196="Abu Dhabi",IF(G3196&lt;18,'General Basis'!$C$39,IF(G3196&lt;41,'General Basis'!$C$40,IF(G3196&lt;60,'General Basis'!$C$41,IF(G3196&lt;65,'General Basis'!$C$42,'General Basis'!$C$43)))),IF(G3196&lt;11,'General Basis'!$B$39,IF(G3196&lt;18,'General Basis'!$B$40,IF(G3196&lt;26,'General Basis'!$B$41,IF(G3196&lt;31,'General Basis'!$B$42,IF(G3196&lt;36,'General Basis'!$B$43,IF(G3196&lt;41,'General Basis'!$B$44,IF(G3196&lt;46,'General Basis'!$B$45,IF(G3196&lt;51,'General Basis'!$B$46,IF(G3196&lt;56,'General Basis'!$B$47,IF(G3196&lt;60,'General Basis'!$B$48,IF(G3196&lt;65,'General Basis'!$B$49,'General Basis'!$B$50)))))))))))))</f>
        <v/>
      </c>
      <c r="BI3196" s="744" t="str">
        <f t="shared" si="1105"/>
        <v/>
      </c>
      <c r="BJ3196" s="747" t="str">
        <f t="shared" si="1112"/>
        <v/>
      </c>
      <c r="BK3196" s="498" t="str">
        <f t="shared" si="1106"/>
        <v/>
      </c>
      <c r="BL3196" s="498" t="str">
        <f t="shared" si="1107"/>
        <v/>
      </c>
    </row>
    <row r="3197" spans="1:64" x14ac:dyDescent="0.25">
      <c r="A3197" s="762">
        <f t="shared" si="1108"/>
        <v>3192</v>
      </c>
      <c r="B3197" s="229"/>
      <c r="C3197" s="223"/>
      <c r="D3197" s="224"/>
      <c r="E3197" s="225"/>
      <c r="F3197" s="1036" t="str">
        <f t="shared" si="1114"/>
        <v/>
      </c>
      <c r="G3197" s="1037" t="str">
        <f t="shared" si="1109"/>
        <v/>
      </c>
      <c r="H3197" s="225"/>
      <c r="I3197" s="1013"/>
      <c r="J3197" s="1013"/>
      <c r="K3197" s="1028"/>
      <c r="L3197" s="1035" t="str">
        <f t="shared" si="1113"/>
        <v/>
      </c>
      <c r="S3197" s="498"/>
      <c r="AJ3197" s="498"/>
      <c r="AM3197" s="498">
        <f t="shared" si="1094"/>
        <v>0</v>
      </c>
      <c r="AN3197" s="498">
        <f t="shared" si="1095"/>
        <v>0</v>
      </c>
      <c r="AO3197" s="498">
        <f t="shared" si="1096"/>
        <v>0</v>
      </c>
      <c r="AP3197" s="498">
        <f t="shared" si="1115"/>
        <v>0</v>
      </c>
      <c r="AQ3197" s="498">
        <f t="shared" si="1110"/>
        <v>0</v>
      </c>
      <c r="AU3197" s="498">
        <f t="shared" si="1097"/>
        <v>0</v>
      </c>
      <c r="AV3197" s="498">
        <f t="shared" si="1098"/>
        <v>0</v>
      </c>
      <c r="AW3197" s="498">
        <f t="shared" si="1099"/>
        <v>0</v>
      </c>
      <c r="AX3197" s="498">
        <f t="shared" si="1100"/>
        <v>0</v>
      </c>
      <c r="AY3197" s="498">
        <f t="shared" si="1101"/>
        <v>0</v>
      </c>
      <c r="BB3197" s="498" t="str">
        <f t="shared" si="1102"/>
        <v/>
      </c>
      <c r="BC3197" s="743" t="str">
        <f t="shared" si="1103"/>
        <v/>
      </c>
      <c r="BD3197" s="743" t="str">
        <f t="shared" si="1104"/>
        <v/>
      </c>
      <c r="BE3197" s="743" t="str">
        <f>IF(D3197="","",VLOOKUP(D3197,'General Basis'!$J$39:$K$46,2,0))</f>
        <v/>
      </c>
      <c r="BF3197" s="744" t="str">
        <f>IF(D3197="","",VLOOKUP(D3197,'General Basis'!$J$39:$L$46,3,0))</f>
        <v/>
      </c>
      <c r="BG3197" s="744" t="str">
        <f t="shared" si="1111"/>
        <v/>
      </c>
      <c r="BH3197" s="744" t="str">
        <f>IF(G3197="","",IF(BF3197="Abu Dhabi",IF(G3197&lt;18,'General Basis'!$C$39,IF(G3197&lt;41,'General Basis'!$C$40,IF(G3197&lt;60,'General Basis'!$C$41,IF(G3197&lt;65,'General Basis'!$C$42,'General Basis'!$C$43)))),IF(G3197&lt;11,'General Basis'!$B$39,IF(G3197&lt;18,'General Basis'!$B$40,IF(G3197&lt;26,'General Basis'!$B$41,IF(G3197&lt;31,'General Basis'!$B$42,IF(G3197&lt;36,'General Basis'!$B$43,IF(G3197&lt;41,'General Basis'!$B$44,IF(G3197&lt;46,'General Basis'!$B$45,IF(G3197&lt;51,'General Basis'!$B$46,IF(G3197&lt;56,'General Basis'!$B$47,IF(G3197&lt;60,'General Basis'!$B$48,IF(G3197&lt;65,'General Basis'!$B$49,'General Basis'!$B$50)))))))))))))</f>
        <v/>
      </c>
      <c r="BI3197" s="744" t="str">
        <f t="shared" si="1105"/>
        <v/>
      </c>
      <c r="BJ3197" s="747" t="str">
        <f t="shared" si="1112"/>
        <v/>
      </c>
      <c r="BK3197" s="498" t="str">
        <f t="shared" si="1106"/>
        <v/>
      </c>
      <c r="BL3197" s="498" t="str">
        <f t="shared" si="1107"/>
        <v/>
      </c>
    </row>
    <row r="3198" spans="1:64" x14ac:dyDescent="0.25">
      <c r="A3198" s="762">
        <f t="shared" si="1108"/>
        <v>3193</v>
      </c>
      <c r="B3198" s="229"/>
      <c r="C3198" s="223"/>
      <c r="D3198" s="224"/>
      <c r="E3198" s="225"/>
      <c r="F3198" s="1036" t="str">
        <f t="shared" si="1114"/>
        <v/>
      </c>
      <c r="G3198" s="1037" t="str">
        <f t="shared" si="1109"/>
        <v/>
      </c>
      <c r="H3198" s="225"/>
      <c r="I3198" s="1013"/>
      <c r="J3198" s="1013"/>
      <c r="K3198" s="1028"/>
      <c r="L3198" s="1035" t="str">
        <f t="shared" si="1113"/>
        <v/>
      </c>
      <c r="S3198" s="498"/>
      <c r="AJ3198" s="498"/>
      <c r="AM3198" s="498">
        <f t="shared" si="1094"/>
        <v>0</v>
      </c>
      <c r="AN3198" s="498">
        <f t="shared" si="1095"/>
        <v>0</v>
      </c>
      <c r="AO3198" s="498">
        <f t="shared" si="1096"/>
        <v>0</v>
      </c>
      <c r="AP3198" s="498">
        <f t="shared" si="1115"/>
        <v>0</v>
      </c>
      <c r="AQ3198" s="498">
        <f t="shared" si="1110"/>
        <v>0</v>
      </c>
      <c r="AU3198" s="498">
        <f t="shared" si="1097"/>
        <v>0</v>
      </c>
      <c r="AV3198" s="498">
        <f t="shared" si="1098"/>
        <v>0</v>
      </c>
      <c r="AW3198" s="498">
        <f t="shared" si="1099"/>
        <v>0</v>
      </c>
      <c r="AX3198" s="498">
        <f t="shared" si="1100"/>
        <v>0</v>
      </c>
      <c r="AY3198" s="498">
        <f t="shared" si="1101"/>
        <v>0</v>
      </c>
      <c r="BB3198" s="498" t="str">
        <f t="shared" si="1102"/>
        <v/>
      </c>
      <c r="BC3198" s="743" t="str">
        <f t="shared" si="1103"/>
        <v/>
      </c>
      <c r="BD3198" s="743" t="str">
        <f t="shared" si="1104"/>
        <v/>
      </c>
      <c r="BE3198" s="743" t="str">
        <f>IF(D3198="","",VLOOKUP(D3198,'General Basis'!$J$39:$K$46,2,0))</f>
        <v/>
      </c>
      <c r="BF3198" s="744" t="str">
        <f>IF(D3198="","",VLOOKUP(D3198,'General Basis'!$J$39:$L$46,3,0))</f>
        <v/>
      </c>
      <c r="BG3198" s="744" t="str">
        <f t="shared" si="1111"/>
        <v/>
      </c>
      <c r="BH3198" s="744" t="str">
        <f>IF(G3198="","",IF(BF3198="Abu Dhabi",IF(G3198&lt;18,'General Basis'!$C$39,IF(G3198&lt;41,'General Basis'!$C$40,IF(G3198&lt;60,'General Basis'!$C$41,IF(G3198&lt;65,'General Basis'!$C$42,'General Basis'!$C$43)))),IF(G3198&lt;11,'General Basis'!$B$39,IF(G3198&lt;18,'General Basis'!$B$40,IF(G3198&lt;26,'General Basis'!$B$41,IF(G3198&lt;31,'General Basis'!$B$42,IF(G3198&lt;36,'General Basis'!$B$43,IF(G3198&lt;41,'General Basis'!$B$44,IF(G3198&lt;46,'General Basis'!$B$45,IF(G3198&lt;51,'General Basis'!$B$46,IF(G3198&lt;56,'General Basis'!$B$47,IF(G3198&lt;60,'General Basis'!$B$48,IF(G3198&lt;65,'General Basis'!$B$49,'General Basis'!$B$50)))))))))))))</f>
        <v/>
      </c>
      <c r="BI3198" s="744" t="str">
        <f t="shared" si="1105"/>
        <v/>
      </c>
      <c r="BJ3198" s="747" t="str">
        <f t="shared" si="1112"/>
        <v/>
      </c>
      <c r="BK3198" s="498" t="str">
        <f t="shared" si="1106"/>
        <v/>
      </c>
      <c r="BL3198" s="498" t="str">
        <f t="shared" si="1107"/>
        <v/>
      </c>
    </row>
    <row r="3199" spans="1:64" x14ac:dyDescent="0.25">
      <c r="A3199" s="762">
        <f t="shared" si="1108"/>
        <v>3194</v>
      </c>
      <c r="B3199" s="229"/>
      <c r="C3199" s="223"/>
      <c r="D3199" s="224"/>
      <c r="E3199" s="225"/>
      <c r="F3199" s="1036" t="str">
        <f t="shared" si="1114"/>
        <v/>
      </c>
      <c r="G3199" s="1037" t="str">
        <f t="shared" si="1109"/>
        <v/>
      </c>
      <c r="H3199" s="225"/>
      <c r="I3199" s="1013"/>
      <c r="J3199" s="1013"/>
      <c r="K3199" s="1028"/>
      <c r="L3199" s="1035" t="str">
        <f t="shared" si="1113"/>
        <v/>
      </c>
      <c r="S3199" s="498"/>
      <c r="AJ3199" s="498"/>
      <c r="AM3199" s="498">
        <f t="shared" si="1094"/>
        <v>0</v>
      </c>
      <c r="AN3199" s="498">
        <f t="shared" si="1095"/>
        <v>0</v>
      </c>
      <c r="AO3199" s="498">
        <f t="shared" si="1096"/>
        <v>0</v>
      </c>
      <c r="AP3199" s="498">
        <f t="shared" si="1115"/>
        <v>0</v>
      </c>
      <c r="AQ3199" s="498">
        <f t="shared" si="1110"/>
        <v>0</v>
      </c>
      <c r="AU3199" s="498">
        <f t="shared" si="1097"/>
        <v>0</v>
      </c>
      <c r="AV3199" s="498">
        <f t="shared" si="1098"/>
        <v>0</v>
      </c>
      <c r="AW3199" s="498">
        <f t="shared" si="1099"/>
        <v>0</v>
      </c>
      <c r="AX3199" s="498">
        <f t="shared" si="1100"/>
        <v>0</v>
      </c>
      <c r="AY3199" s="498">
        <f t="shared" si="1101"/>
        <v>0</v>
      </c>
      <c r="BB3199" s="498" t="str">
        <f t="shared" si="1102"/>
        <v/>
      </c>
      <c r="BC3199" s="743" t="str">
        <f t="shared" si="1103"/>
        <v/>
      </c>
      <c r="BD3199" s="743" t="str">
        <f t="shared" si="1104"/>
        <v/>
      </c>
      <c r="BE3199" s="743" t="str">
        <f>IF(D3199="","",VLOOKUP(D3199,'General Basis'!$J$39:$K$46,2,0))</f>
        <v/>
      </c>
      <c r="BF3199" s="744" t="str">
        <f>IF(D3199="","",VLOOKUP(D3199,'General Basis'!$J$39:$L$46,3,0))</f>
        <v/>
      </c>
      <c r="BG3199" s="744" t="str">
        <f t="shared" si="1111"/>
        <v/>
      </c>
      <c r="BH3199" s="744" t="str">
        <f>IF(G3199="","",IF(BF3199="Abu Dhabi",IF(G3199&lt;18,'General Basis'!$C$39,IF(G3199&lt;41,'General Basis'!$C$40,IF(G3199&lt;60,'General Basis'!$C$41,IF(G3199&lt;65,'General Basis'!$C$42,'General Basis'!$C$43)))),IF(G3199&lt;11,'General Basis'!$B$39,IF(G3199&lt;18,'General Basis'!$B$40,IF(G3199&lt;26,'General Basis'!$B$41,IF(G3199&lt;31,'General Basis'!$B$42,IF(G3199&lt;36,'General Basis'!$B$43,IF(G3199&lt;41,'General Basis'!$B$44,IF(G3199&lt;46,'General Basis'!$B$45,IF(G3199&lt;51,'General Basis'!$B$46,IF(G3199&lt;56,'General Basis'!$B$47,IF(G3199&lt;60,'General Basis'!$B$48,IF(G3199&lt;65,'General Basis'!$B$49,'General Basis'!$B$50)))))))))))))</f>
        <v/>
      </c>
      <c r="BI3199" s="744" t="str">
        <f t="shared" si="1105"/>
        <v/>
      </c>
      <c r="BJ3199" s="747" t="str">
        <f t="shared" si="1112"/>
        <v/>
      </c>
      <c r="BK3199" s="498" t="str">
        <f t="shared" si="1106"/>
        <v/>
      </c>
      <c r="BL3199" s="498" t="str">
        <f t="shared" si="1107"/>
        <v/>
      </c>
    </row>
    <row r="3200" spans="1:64" x14ac:dyDescent="0.25">
      <c r="A3200" s="762">
        <f t="shared" si="1108"/>
        <v>3195</v>
      </c>
      <c r="B3200" s="229"/>
      <c r="C3200" s="223"/>
      <c r="D3200" s="224"/>
      <c r="E3200" s="225"/>
      <c r="F3200" s="1036" t="str">
        <f t="shared" si="1114"/>
        <v/>
      </c>
      <c r="G3200" s="1037" t="str">
        <f t="shared" si="1109"/>
        <v/>
      </c>
      <c r="H3200" s="225"/>
      <c r="I3200" s="1013"/>
      <c r="J3200" s="1013"/>
      <c r="K3200" s="1028"/>
      <c r="L3200" s="1035" t="str">
        <f t="shared" si="1113"/>
        <v/>
      </c>
      <c r="S3200" s="498"/>
      <c r="AJ3200" s="498"/>
      <c r="AM3200" s="498">
        <f t="shared" si="1094"/>
        <v>0</v>
      </c>
      <c r="AN3200" s="498">
        <f t="shared" si="1095"/>
        <v>0</v>
      </c>
      <c r="AO3200" s="498">
        <f t="shared" si="1096"/>
        <v>0</v>
      </c>
      <c r="AP3200" s="498">
        <f t="shared" si="1115"/>
        <v>0</v>
      </c>
      <c r="AQ3200" s="498">
        <f t="shared" si="1110"/>
        <v>0</v>
      </c>
      <c r="AU3200" s="498">
        <f t="shared" si="1097"/>
        <v>0</v>
      </c>
      <c r="AV3200" s="498">
        <f t="shared" si="1098"/>
        <v>0</v>
      </c>
      <c r="AW3200" s="498">
        <f t="shared" si="1099"/>
        <v>0</v>
      </c>
      <c r="AX3200" s="498">
        <f t="shared" si="1100"/>
        <v>0</v>
      </c>
      <c r="AY3200" s="498">
        <f t="shared" si="1101"/>
        <v>0</v>
      </c>
      <c r="BB3200" s="498" t="str">
        <f t="shared" si="1102"/>
        <v/>
      </c>
      <c r="BC3200" s="743" t="str">
        <f t="shared" si="1103"/>
        <v/>
      </c>
      <c r="BD3200" s="743" t="str">
        <f t="shared" si="1104"/>
        <v/>
      </c>
      <c r="BE3200" s="743" t="str">
        <f>IF(D3200="","",VLOOKUP(D3200,'General Basis'!$J$39:$K$46,2,0))</f>
        <v/>
      </c>
      <c r="BF3200" s="744" t="str">
        <f>IF(D3200="","",VLOOKUP(D3200,'General Basis'!$J$39:$L$46,3,0))</f>
        <v/>
      </c>
      <c r="BG3200" s="744" t="str">
        <f t="shared" si="1111"/>
        <v/>
      </c>
      <c r="BH3200" s="744" t="str">
        <f>IF(G3200="","",IF(BF3200="Abu Dhabi",IF(G3200&lt;18,'General Basis'!$C$39,IF(G3200&lt;41,'General Basis'!$C$40,IF(G3200&lt;60,'General Basis'!$C$41,IF(G3200&lt;65,'General Basis'!$C$42,'General Basis'!$C$43)))),IF(G3200&lt;11,'General Basis'!$B$39,IF(G3200&lt;18,'General Basis'!$B$40,IF(G3200&lt;26,'General Basis'!$B$41,IF(G3200&lt;31,'General Basis'!$B$42,IF(G3200&lt;36,'General Basis'!$B$43,IF(G3200&lt;41,'General Basis'!$B$44,IF(G3200&lt;46,'General Basis'!$B$45,IF(G3200&lt;51,'General Basis'!$B$46,IF(G3200&lt;56,'General Basis'!$B$47,IF(G3200&lt;60,'General Basis'!$B$48,IF(G3200&lt;65,'General Basis'!$B$49,'General Basis'!$B$50)))))))))))))</f>
        <v/>
      </c>
      <c r="BI3200" s="744" t="str">
        <f t="shared" si="1105"/>
        <v/>
      </c>
      <c r="BJ3200" s="747" t="str">
        <f t="shared" si="1112"/>
        <v/>
      </c>
      <c r="BK3200" s="498" t="str">
        <f t="shared" si="1106"/>
        <v/>
      </c>
      <c r="BL3200" s="498" t="str">
        <f t="shared" si="1107"/>
        <v/>
      </c>
    </row>
    <row r="3201" spans="1:64" x14ac:dyDescent="0.25">
      <c r="A3201" s="762">
        <f t="shared" si="1108"/>
        <v>3196</v>
      </c>
      <c r="B3201" s="229"/>
      <c r="C3201" s="223"/>
      <c r="D3201" s="224"/>
      <c r="E3201" s="225"/>
      <c r="F3201" s="1036" t="str">
        <f t="shared" si="1114"/>
        <v/>
      </c>
      <c r="G3201" s="1037" t="str">
        <f t="shared" si="1109"/>
        <v/>
      </c>
      <c r="H3201" s="225"/>
      <c r="I3201" s="1013"/>
      <c r="J3201" s="1013"/>
      <c r="K3201" s="1028"/>
      <c r="L3201" s="1035" t="str">
        <f t="shared" si="1113"/>
        <v/>
      </c>
      <c r="S3201" s="498"/>
      <c r="AJ3201" s="498"/>
      <c r="AM3201" s="498">
        <f t="shared" si="1094"/>
        <v>0</v>
      </c>
      <c r="AN3201" s="498">
        <f t="shared" si="1095"/>
        <v>0</v>
      </c>
      <c r="AO3201" s="498">
        <f t="shared" si="1096"/>
        <v>0</v>
      </c>
      <c r="AP3201" s="498">
        <f t="shared" si="1115"/>
        <v>0</v>
      </c>
      <c r="AQ3201" s="498">
        <f t="shared" si="1110"/>
        <v>0</v>
      </c>
      <c r="AU3201" s="498">
        <f t="shared" si="1097"/>
        <v>0</v>
      </c>
      <c r="AV3201" s="498">
        <f t="shared" si="1098"/>
        <v>0</v>
      </c>
      <c r="AW3201" s="498">
        <f t="shared" si="1099"/>
        <v>0</v>
      </c>
      <c r="AX3201" s="498">
        <f t="shared" si="1100"/>
        <v>0</v>
      </c>
      <c r="AY3201" s="498">
        <f t="shared" si="1101"/>
        <v>0</v>
      </c>
      <c r="BB3201" s="498" t="str">
        <f t="shared" si="1102"/>
        <v/>
      </c>
      <c r="BC3201" s="743" t="str">
        <f t="shared" si="1103"/>
        <v/>
      </c>
      <c r="BD3201" s="743" t="str">
        <f t="shared" si="1104"/>
        <v/>
      </c>
      <c r="BE3201" s="743" t="str">
        <f>IF(D3201="","",VLOOKUP(D3201,'General Basis'!$J$39:$K$46,2,0))</f>
        <v/>
      </c>
      <c r="BF3201" s="744" t="str">
        <f>IF(D3201="","",VLOOKUP(D3201,'General Basis'!$J$39:$L$46,3,0))</f>
        <v/>
      </c>
      <c r="BG3201" s="744" t="str">
        <f t="shared" si="1111"/>
        <v/>
      </c>
      <c r="BH3201" s="744" t="str">
        <f>IF(G3201="","",IF(BF3201="Abu Dhabi",IF(G3201&lt;18,'General Basis'!$C$39,IF(G3201&lt;41,'General Basis'!$C$40,IF(G3201&lt;60,'General Basis'!$C$41,IF(G3201&lt;65,'General Basis'!$C$42,'General Basis'!$C$43)))),IF(G3201&lt;11,'General Basis'!$B$39,IF(G3201&lt;18,'General Basis'!$B$40,IF(G3201&lt;26,'General Basis'!$B$41,IF(G3201&lt;31,'General Basis'!$B$42,IF(G3201&lt;36,'General Basis'!$B$43,IF(G3201&lt;41,'General Basis'!$B$44,IF(G3201&lt;46,'General Basis'!$B$45,IF(G3201&lt;51,'General Basis'!$B$46,IF(G3201&lt;56,'General Basis'!$B$47,IF(G3201&lt;60,'General Basis'!$B$48,IF(G3201&lt;65,'General Basis'!$B$49,'General Basis'!$B$50)))))))))))))</f>
        <v/>
      </c>
      <c r="BI3201" s="744" t="str">
        <f t="shared" si="1105"/>
        <v/>
      </c>
      <c r="BJ3201" s="747" t="str">
        <f t="shared" si="1112"/>
        <v/>
      </c>
      <c r="BK3201" s="498" t="str">
        <f t="shared" si="1106"/>
        <v/>
      </c>
      <c r="BL3201" s="498" t="str">
        <f t="shared" si="1107"/>
        <v/>
      </c>
    </row>
    <row r="3202" spans="1:64" x14ac:dyDescent="0.25">
      <c r="A3202" s="762">
        <f t="shared" si="1108"/>
        <v>3197</v>
      </c>
      <c r="B3202" s="229"/>
      <c r="C3202" s="223"/>
      <c r="D3202" s="224"/>
      <c r="E3202" s="225"/>
      <c r="F3202" s="1036" t="str">
        <f t="shared" si="1114"/>
        <v/>
      </c>
      <c r="G3202" s="1037" t="str">
        <f t="shared" si="1109"/>
        <v/>
      </c>
      <c r="H3202" s="225"/>
      <c r="I3202" s="1013"/>
      <c r="J3202" s="1013"/>
      <c r="K3202" s="1028"/>
      <c r="L3202" s="1035" t="str">
        <f t="shared" si="1113"/>
        <v/>
      </c>
      <c r="S3202" s="498"/>
      <c r="AJ3202" s="498"/>
      <c r="AM3202" s="498">
        <f t="shared" si="1094"/>
        <v>0</v>
      </c>
      <c r="AN3202" s="498">
        <f t="shared" si="1095"/>
        <v>0</v>
      </c>
      <c r="AO3202" s="498">
        <f t="shared" si="1096"/>
        <v>0</v>
      </c>
      <c r="AP3202" s="498">
        <f t="shared" si="1115"/>
        <v>0</v>
      </c>
      <c r="AQ3202" s="498">
        <f t="shared" si="1110"/>
        <v>0</v>
      </c>
      <c r="AU3202" s="498">
        <f t="shared" si="1097"/>
        <v>0</v>
      </c>
      <c r="AV3202" s="498">
        <f t="shared" si="1098"/>
        <v>0</v>
      </c>
      <c r="AW3202" s="498">
        <f t="shared" si="1099"/>
        <v>0</v>
      </c>
      <c r="AX3202" s="498">
        <f t="shared" si="1100"/>
        <v>0</v>
      </c>
      <c r="AY3202" s="498">
        <f t="shared" si="1101"/>
        <v>0</v>
      </c>
      <c r="BB3202" s="498" t="str">
        <f t="shared" si="1102"/>
        <v/>
      </c>
      <c r="BC3202" s="743" t="str">
        <f t="shared" si="1103"/>
        <v/>
      </c>
      <c r="BD3202" s="743" t="str">
        <f t="shared" si="1104"/>
        <v/>
      </c>
      <c r="BE3202" s="743" t="str">
        <f>IF(D3202="","",VLOOKUP(D3202,'General Basis'!$J$39:$K$46,2,0))</f>
        <v/>
      </c>
      <c r="BF3202" s="744" t="str">
        <f>IF(D3202="","",VLOOKUP(D3202,'General Basis'!$J$39:$L$46,3,0))</f>
        <v/>
      </c>
      <c r="BG3202" s="744" t="str">
        <f t="shared" si="1111"/>
        <v/>
      </c>
      <c r="BH3202" s="744" t="str">
        <f>IF(G3202="","",IF(BF3202="Abu Dhabi",IF(G3202&lt;18,'General Basis'!$C$39,IF(G3202&lt;41,'General Basis'!$C$40,IF(G3202&lt;60,'General Basis'!$C$41,IF(G3202&lt;65,'General Basis'!$C$42,'General Basis'!$C$43)))),IF(G3202&lt;11,'General Basis'!$B$39,IF(G3202&lt;18,'General Basis'!$B$40,IF(G3202&lt;26,'General Basis'!$B$41,IF(G3202&lt;31,'General Basis'!$B$42,IF(G3202&lt;36,'General Basis'!$B$43,IF(G3202&lt;41,'General Basis'!$B$44,IF(G3202&lt;46,'General Basis'!$B$45,IF(G3202&lt;51,'General Basis'!$B$46,IF(G3202&lt;56,'General Basis'!$B$47,IF(G3202&lt;60,'General Basis'!$B$48,IF(G3202&lt;65,'General Basis'!$B$49,'General Basis'!$B$50)))))))))))))</f>
        <v/>
      </c>
      <c r="BI3202" s="744" t="str">
        <f t="shared" si="1105"/>
        <v/>
      </c>
      <c r="BJ3202" s="747" t="str">
        <f t="shared" si="1112"/>
        <v/>
      </c>
      <c r="BK3202" s="498" t="str">
        <f t="shared" si="1106"/>
        <v/>
      </c>
      <c r="BL3202" s="498" t="str">
        <f t="shared" si="1107"/>
        <v/>
      </c>
    </row>
    <row r="3203" spans="1:64" x14ac:dyDescent="0.25">
      <c r="A3203" s="762">
        <f t="shared" si="1108"/>
        <v>3198</v>
      </c>
      <c r="B3203" s="229"/>
      <c r="C3203" s="223"/>
      <c r="D3203" s="224"/>
      <c r="E3203" s="225"/>
      <c r="F3203" s="1036" t="str">
        <f t="shared" si="1114"/>
        <v/>
      </c>
      <c r="G3203" s="1037" t="str">
        <f t="shared" si="1109"/>
        <v/>
      </c>
      <c r="H3203" s="225"/>
      <c r="I3203" s="1013"/>
      <c r="J3203" s="1013"/>
      <c r="K3203" s="1028"/>
      <c r="L3203" s="1035" t="str">
        <f t="shared" si="1113"/>
        <v/>
      </c>
      <c r="S3203" s="498"/>
      <c r="AJ3203" s="498"/>
      <c r="AM3203" s="498">
        <f t="shared" si="1094"/>
        <v>0</v>
      </c>
      <c r="AN3203" s="498">
        <f t="shared" si="1095"/>
        <v>0</v>
      </c>
      <c r="AO3203" s="498">
        <f t="shared" si="1096"/>
        <v>0</v>
      </c>
      <c r="AP3203" s="498">
        <f t="shared" si="1115"/>
        <v>0</v>
      </c>
      <c r="AQ3203" s="498">
        <f t="shared" si="1110"/>
        <v>0</v>
      </c>
      <c r="AU3203" s="498">
        <f t="shared" si="1097"/>
        <v>0</v>
      </c>
      <c r="AV3203" s="498">
        <f t="shared" si="1098"/>
        <v>0</v>
      </c>
      <c r="AW3203" s="498">
        <f t="shared" si="1099"/>
        <v>0</v>
      </c>
      <c r="AX3203" s="498">
        <f t="shared" si="1100"/>
        <v>0</v>
      </c>
      <c r="AY3203" s="498">
        <f t="shared" si="1101"/>
        <v>0</v>
      </c>
      <c r="BB3203" s="498" t="str">
        <f t="shared" si="1102"/>
        <v/>
      </c>
      <c r="BC3203" s="743" t="str">
        <f t="shared" si="1103"/>
        <v/>
      </c>
      <c r="BD3203" s="743" t="str">
        <f t="shared" si="1104"/>
        <v/>
      </c>
      <c r="BE3203" s="743" t="str">
        <f>IF(D3203="","",VLOOKUP(D3203,'General Basis'!$J$39:$K$46,2,0))</f>
        <v/>
      </c>
      <c r="BF3203" s="744" t="str">
        <f>IF(D3203="","",VLOOKUP(D3203,'General Basis'!$J$39:$L$46,3,0))</f>
        <v/>
      </c>
      <c r="BG3203" s="744" t="str">
        <f t="shared" si="1111"/>
        <v/>
      </c>
      <c r="BH3203" s="744" t="str">
        <f>IF(G3203="","",IF(BF3203="Abu Dhabi",IF(G3203&lt;18,'General Basis'!$C$39,IF(G3203&lt;41,'General Basis'!$C$40,IF(G3203&lt;60,'General Basis'!$C$41,IF(G3203&lt;65,'General Basis'!$C$42,'General Basis'!$C$43)))),IF(G3203&lt;11,'General Basis'!$B$39,IF(G3203&lt;18,'General Basis'!$B$40,IF(G3203&lt;26,'General Basis'!$B$41,IF(G3203&lt;31,'General Basis'!$B$42,IF(G3203&lt;36,'General Basis'!$B$43,IF(G3203&lt;41,'General Basis'!$B$44,IF(G3203&lt;46,'General Basis'!$B$45,IF(G3203&lt;51,'General Basis'!$B$46,IF(G3203&lt;56,'General Basis'!$B$47,IF(G3203&lt;60,'General Basis'!$B$48,IF(G3203&lt;65,'General Basis'!$B$49,'General Basis'!$B$50)))))))))))))</f>
        <v/>
      </c>
      <c r="BI3203" s="744" t="str">
        <f t="shared" si="1105"/>
        <v/>
      </c>
      <c r="BJ3203" s="747" t="str">
        <f t="shared" si="1112"/>
        <v/>
      </c>
      <c r="BK3203" s="498" t="str">
        <f t="shared" si="1106"/>
        <v/>
      </c>
      <c r="BL3203" s="498" t="str">
        <f t="shared" si="1107"/>
        <v/>
      </c>
    </row>
    <row r="3204" spans="1:64" x14ac:dyDescent="0.25">
      <c r="A3204" s="762">
        <f t="shared" si="1108"/>
        <v>3199</v>
      </c>
      <c r="B3204" s="229"/>
      <c r="C3204" s="223"/>
      <c r="D3204" s="224"/>
      <c r="E3204" s="225"/>
      <c r="F3204" s="1036" t="str">
        <f t="shared" si="1114"/>
        <v/>
      </c>
      <c r="G3204" s="1037" t="str">
        <f t="shared" si="1109"/>
        <v/>
      </c>
      <c r="H3204" s="225"/>
      <c r="I3204" s="1013"/>
      <c r="J3204" s="1013"/>
      <c r="K3204" s="1028"/>
      <c r="L3204" s="1035" t="str">
        <f t="shared" si="1113"/>
        <v/>
      </c>
      <c r="S3204" s="498"/>
      <c r="AJ3204" s="498"/>
      <c r="AM3204" s="498">
        <f t="shared" si="1094"/>
        <v>0</v>
      </c>
      <c r="AN3204" s="498">
        <f t="shared" si="1095"/>
        <v>0</v>
      </c>
      <c r="AO3204" s="498">
        <f t="shared" si="1096"/>
        <v>0</v>
      </c>
      <c r="AP3204" s="498">
        <f t="shared" si="1115"/>
        <v>0</v>
      </c>
      <c r="AQ3204" s="498">
        <f t="shared" si="1110"/>
        <v>0</v>
      </c>
      <c r="AU3204" s="498">
        <f t="shared" si="1097"/>
        <v>0</v>
      </c>
      <c r="AV3204" s="498">
        <f t="shared" si="1098"/>
        <v>0</v>
      </c>
      <c r="AW3204" s="498">
        <f t="shared" si="1099"/>
        <v>0</v>
      </c>
      <c r="AX3204" s="498">
        <f t="shared" si="1100"/>
        <v>0</v>
      </c>
      <c r="AY3204" s="498">
        <f t="shared" si="1101"/>
        <v>0</v>
      </c>
      <c r="BB3204" s="498" t="str">
        <f t="shared" si="1102"/>
        <v/>
      </c>
      <c r="BC3204" s="743" t="str">
        <f t="shared" si="1103"/>
        <v/>
      </c>
      <c r="BD3204" s="743" t="str">
        <f t="shared" si="1104"/>
        <v/>
      </c>
      <c r="BE3204" s="743" t="str">
        <f>IF(D3204="","",VLOOKUP(D3204,'General Basis'!$J$39:$K$46,2,0))</f>
        <v/>
      </c>
      <c r="BF3204" s="744" t="str">
        <f>IF(D3204="","",VLOOKUP(D3204,'General Basis'!$J$39:$L$46,3,0))</f>
        <v/>
      </c>
      <c r="BG3204" s="744" t="str">
        <f t="shared" si="1111"/>
        <v/>
      </c>
      <c r="BH3204" s="744" t="str">
        <f>IF(G3204="","",IF(BF3204="Abu Dhabi",IF(G3204&lt;18,'General Basis'!$C$39,IF(G3204&lt;41,'General Basis'!$C$40,IF(G3204&lt;60,'General Basis'!$C$41,IF(G3204&lt;65,'General Basis'!$C$42,'General Basis'!$C$43)))),IF(G3204&lt;11,'General Basis'!$B$39,IF(G3204&lt;18,'General Basis'!$B$40,IF(G3204&lt;26,'General Basis'!$B$41,IF(G3204&lt;31,'General Basis'!$B$42,IF(G3204&lt;36,'General Basis'!$B$43,IF(G3204&lt;41,'General Basis'!$B$44,IF(G3204&lt;46,'General Basis'!$B$45,IF(G3204&lt;51,'General Basis'!$B$46,IF(G3204&lt;56,'General Basis'!$B$47,IF(G3204&lt;60,'General Basis'!$B$48,IF(G3204&lt;65,'General Basis'!$B$49,'General Basis'!$B$50)))))))))))))</f>
        <v/>
      </c>
      <c r="BI3204" s="744" t="str">
        <f t="shared" si="1105"/>
        <v/>
      </c>
      <c r="BJ3204" s="747" t="str">
        <f t="shared" si="1112"/>
        <v/>
      </c>
      <c r="BK3204" s="498" t="str">
        <f t="shared" si="1106"/>
        <v/>
      </c>
      <c r="BL3204" s="498" t="str">
        <f t="shared" si="1107"/>
        <v/>
      </c>
    </row>
    <row r="3205" spans="1:64" x14ac:dyDescent="0.25">
      <c r="A3205" s="762">
        <f t="shared" si="1108"/>
        <v>3200</v>
      </c>
      <c r="B3205" s="229"/>
      <c r="C3205" s="223"/>
      <c r="D3205" s="224"/>
      <c r="E3205" s="225"/>
      <c r="F3205" s="1036" t="str">
        <f t="shared" si="1114"/>
        <v/>
      </c>
      <c r="G3205" s="1037" t="str">
        <f t="shared" si="1109"/>
        <v/>
      </c>
      <c r="H3205" s="225"/>
      <c r="I3205" s="1013"/>
      <c r="J3205" s="1013"/>
      <c r="K3205" s="1028"/>
      <c r="L3205" s="1035" t="str">
        <f t="shared" si="1113"/>
        <v/>
      </c>
      <c r="S3205" s="498"/>
      <c r="AJ3205" s="498"/>
      <c r="AM3205" s="498">
        <f t="shared" si="1094"/>
        <v>0</v>
      </c>
      <c r="AN3205" s="498">
        <f t="shared" si="1095"/>
        <v>0</v>
      </c>
      <c r="AO3205" s="498">
        <f t="shared" si="1096"/>
        <v>0</v>
      </c>
      <c r="AP3205" s="498">
        <f t="shared" si="1115"/>
        <v>0</v>
      </c>
      <c r="AQ3205" s="498">
        <f t="shared" si="1110"/>
        <v>0</v>
      </c>
      <c r="AU3205" s="498">
        <f t="shared" si="1097"/>
        <v>0</v>
      </c>
      <c r="AV3205" s="498">
        <f t="shared" si="1098"/>
        <v>0</v>
      </c>
      <c r="AW3205" s="498">
        <f t="shared" si="1099"/>
        <v>0</v>
      </c>
      <c r="AX3205" s="498">
        <f t="shared" si="1100"/>
        <v>0</v>
      </c>
      <c r="AY3205" s="498">
        <f t="shared" si="1101"/>
        <v>0</v>
      </c>
      <c r="BB3205" s="498" t="str">
        <f t="shared" si="1102"/>
        <v/>
      </c>
      <c r="BC3205" s="743" t="str">
        <f t="shared" si="1103"/>
        <v/>
      </c>
      <c r="BD3205" s="743" t="str">
        <f t="shared" si="1104"/>
        <v/>
      </c>
      <c r="BE3205" s="743" t="str">
        <f>IF(D3205="","",VLOOKUP(D3205,'General Basis'!$J$39:$K$46,2,0))</f>
        <v/>
      </c>
      <c r="BF3205" s="744" t="str">
        <f>IF(D3205="","",VLOOKUP(D3205,'General Basis'!$J$39:$L$46,3,0))</f>
        <v/>
      </c>
      <c r="BG3205" s="744" t="str">
        <f t="shared" si="1111"/>
        <v/>
      </c>
      <c r="BH3205" s="744" t="str">
        <f>IF(G3205="","",IF(BF3205="Abu Dhabi",IF(G3205&lt;18,'General Basis'!$C$39,IF(G3205&lt;41,'General Basis'!$C$40,IF(G3205&lt;60,'General Basis'!$C$41,IF(G3205&lt;65,'General Basis'!$C$42,'General Basis'!$C$43)))),IF(G3205&lt;11,'General Basis'!$B$39,IF(G3205&lt;18,'General Basis'!$B$40,IF(G3205&lt;26,'General Basis'!$B$41,IF(G3205&lt;31,'General Basis'!$B$42,IF(G3205&lt;36,'General Basis'!$B$43,IF(G3205&lt;41,'General Basis'!$B$44,IF(G3205&lt;46,'General Basis'!$B$45,IF(G3205&lt;51,'General Basis'!$B$46,IF(G3205&lt;56,'General Basis'!$B$47,IF(G3205&lt;60,'General Basis'!$B$48,IF(G3205&lt;65,'General Basis'!$B$49,'General Basis'!$B$50)))))))))))))</f>
        <v/>
      </c>
      <c r="BI3205" s="744" t="str">
        <f t="shared" si="1105"/>
        <v/>
      </c>
      <c r="BJ3205" s="747" t="str">
        <f t="shared" si="1112"/>
        <v/>
      </c>
      <c r="BK3205" s="498" t="str">
        <f t="shared" si="1106"/>
        <v/>
      </c>
      <c r="BL3205" s="498" t="str">
        <f t="shared" si="1107"/>
        <v/>
      </c>
    </row>
    <row r="3206" spans="1:64" x14ac:dyDescent="0.25">
      <c r="A3206" s="762">
        <f t="shared" si="1108"/>
        <v>3201</v>
      </c>
      <c r="B3206" s="229"/>
      <c r="C3206" s="223"/>
      <c r="D3206" s="224"/>
      <c r="E3206" s="225"/>
      <c r="F3206" s="1036" t="str">
        <f t="shared" si="1114"/>
        <v/>
      </c>
      <c r="G3206" s="1037" t="str">
        <f t="shared" si="1109"/>
        <v/>
      </c>
      <c r="H3206" s="225"/>
      <c r="I3206" s="1013"/>
      <c r="J3206" s="1013"/>
      <c r="K3206" s="1028"/>
      <c r="L3206" s="1035" t="str">
        <f t="shared" si="1113"/>
        <v/>
      </c>
      <c r="S3206" s="498"/>
      <c r="AJ3206" s="498"/>
      <c r="AM3206" s="498">
        <f t="shared" ref="AM3206:AM3269" si="1116">IF(ISTEXT(B3206),1,0)</f>
        <v>0</v>
      </c>
      <c r="AN3206" s="498">
        <f t="shared" ref="AN3206:AN3269" si="1117">IF(ISBLANK(B3206),0,IF(B3206&lt;$AK$6,1,0))</f>
        <v>0</v>
      </c>
      <c r="AO3206" s="498">
        <f t="shared" ref="AO3206:AO3269" si="1118">IF(ISBLANK(B3206),0,IF(B3206&gt;$AK$7,1,0))</f>
        <v>0</v>
      </c>
      <c r="AP3206" s="498">
        <f t="shared" si="1115"/>
        <v>0</v>
      </c>
      <c r="AQ3206" s="498">
        <f t="shared" si="1110"/>
        <v>0</v>
      </c>
      <c r="AU3206" s="498">
        <f t="shared" ref="AU3206:AU3269" si="1119">IF(ISBLANK(B3206),0,1)</f>
        <v>0</v>
      </c>
      <c r="AV3206" s="498">
        <f t="shared" ref="AV3206:AV3269" si="1120">IF(ISBLANK(C3206),0,1)</f>
        <v>0</v>
      </c>
      <c r="AW3206" s="498">
        <f t="shared" ref="AW3206:AW3269" si="1121">IF(ISBLANK(D3206),0,1)</f>
        <v>0</v>
      </c>
      <c r="AX3206" s="498">
        <f t="shared" ref="AX3206:AX3269" si="1122">IF(ISBLANK(E3206),0,1)</f>
        <v>0</v>
      </c>
      <c r="AY3206" s="498">
        <f t="shared" ref="AY3206:AY3269" si="1123">IF(ISBLANK(H3206),0,1)</f>
        <v>0</v>
      </c>
      <c r="BB3206" s="498" t="str">
        <f t="shared" ref="BB3206:BB3269" si="1124">IF(E3206="Principal","Principal",IF(E3206="","","Other"))</f>
        <v/>
      </c>
      <c r="BC3206" s="743" t="str">
        <f t="shared" ref="BC3206:BC3269" si="1125">IF(D3206="","",D3206)</f>
        <v/>
      </c>
      <c r="BD3206" s="743" t="str">
        <f t="shared" ref="BD3206:BD3269" si="1126">IF(E3206="Principal","Employee",IF(E3206="","","Dependent"))</f>
        <v/>
      </c>
      <c r="BE3206" s="743" t="str">
        <f>IF(D3206="","",VLOOKUP(D3206,'General Basis'!$J$39:$K$46,2,0))</f>
        <v/>
      </c>
      <c r="BF3206" s="744" t="str">
        <f>IF(D3206="","",VLOOKUP(D3206,'General Basis'!$J$39:$L$46,3,0))</f>
        <v/>
      </c>
      <c r="BG3206" s="744" t="str">
        <f t="shared" si="1111"/>
        <v/>
      </c>
      <c r="BH3206" s="744" t="str">
        <f>IF(G3206="","",IF(BF3206="Abu Dhabi",IF(G3206&lt;18,'General Basis'!$C$39,IF(G3206&lt;41,'General Basis'!$C$40,IF(G3206&lt;60,'General Basis'!$C$41,IF(G3206&lt;65,'General Basis'!$C$42,'General Basis'!$C$43)))),IF(G3206&lt;11,'General Basis'!$B$39,IF(G3206&lt;18,'General Basis'!$B$40,IF(G3206&lt;26,'General Basis'!$B$41,IF(G3206&lt;31,'General Basis'!$B$42,IF(G3206&lt;36,'General Basis'!$B$43,IF(G3206&lt;41,'General Basis'!$B$44,IF(G3206&lt;46,'General Basis'!$B$45,IF(G3206&lt;51,'General Basis'!$B$46,IF(G3206&lt;56,'General Basis'!$B$47,IF(G3206&lt;60,'General Basis'!$B$48,IF(G3206&lt;65,'General Basis'!$B$49,'General Basis'!$B$50)))))))))))))</f>
        <v/>
      </c>
      <c r="BI3206" s="744" t="str">
        <f t="shared" ref="BI3206:BI3269" si="1127">IF(C3206="","",IF(C3206="M","Male","Female"))</f>
        <v/>
      </c>
      <c r="BJ3206" s="747" t="str">
        <f t="shared" si="1112"/>
        <v/>
      </c>
      <c r="BK3206" s="498" t="str">
        <f t="shared" ref="BK3206:BK3269" si="1128">IF(BD3206="","",IF(AND(BD3206="Employee",BI3206="Male",BF3206="Abu Dhabi",BE3206=GN_Plus),VLOOKUP(BH3206,AUH_MALE_EMP,2,0),IF(AND(BD3206="Employee",BI3206="Male",BF3206="Abu Dhabi",BE3206=GN),VLOOKUP(BH3206,AUH_MALE_EMP,3,0),IF(AND(BD3206="Employee",BI3206="Male",BF3206="Abu Dhabi",BE3206=RN_Plus),VLOOKUP(BH3206,AUH_MALE_EMP,4,0),IF(AND(BD3206="Employee",BI3206="Male",BF3206="Abu Dhabi",BE3206=RN),VLOOKUP(BH3206,AUH_MALE_EMP,5,0),IF(AND(BD3206="Employee",BI3206="Male",BF3206="Abu Dhabi",BE3206=RN_2),VLOOKUP(BH3206,AUH_MALE_EMP,6,0),IF(AND(BD3206="Employee",BI3206="Male",BF3206="Abu Dhabi",BE3206=RN2_minus),VLOOKUP(BH3206,AUH_MALE_EMP,7,0),IF(AND(BD3206="Employee",BI3206="Male",BF3206="Abu Dhabi",BE3206=RN_3),VLOOKUP(BH3206,AUH_MALE_EMP,8,0),IF(AND(BD3206="Employee",BI3206="Male",BF3206="Abu Dhabi",BE3206=VN),VLOOKUP(BH3206,AUH_MALE_EMP,9,0),IF(BD3206="","",IF(AND(BD3206="Employee",BI3206="Female",BF3206="Abu Dhabi",BE3206=GN_Plus),VLOOKUP(BH3206,AUH_FEMALE_EMP,2,0),IF(AND(BD3206="Employee",BI3206="Female",BF3206="Abu Dhabi",BE3206=GN),VLOOKUP(BH3206,AUH_FEMALE_EMP,3,0),IF(AND(BD3206="Employee",BI3206="Female",BF3206="Abu Dhabi",BE3206=RN_Plus),VLOOKUP(BH3206,AUH_FEMALE_EMP,4,0),IF(AND(BD3206="Employee",BI3206="Female",BF3206="Abu Dhabi",BE3206=RN),VLOOKUP(BH3206,AUH_FEMALE_EMP,5,0),IF(AND(BD3206="Employee",BI3206="Female",BF3206="Abu Dhabi",BE3206=RN_2),VLOOKUP(BH3206,AUH_FEMALE_EMP,6,0),IF(AND(BD3206="Employee",BI3206="Female",BF3206="Abu Dhabi",BE3206=RN2_minus),VLOOKUP(BH3206,AUH_FEMALE_EMP,7,0),IF(AND(BD3206="Employee",BI3206="Female",BF3206="Abu Dhabi",BE3206=RN_3),VLOOKUP(BH3206,AUH_FEMALE_EMP,8,0),IF(AND(BD3206="Employee",BI3206="Female",BF3206="Abu Dhabi",BE3206=VN),VLOOKUP(BH3206,AUH_FEMALE_EMP,9,0),IF(BD3206="","",IF(AND(BD3206="Dependent",BI3206="Male",BF3206="Abu Dhabi",BE3206=GN_Plus),VLOOKUP(BH3206,AUH_MALE_DEP,2,0),IF(AND(BD3206="Dependent",BI3206="Male",BF3206="Abu Dhabi",BE3206=GN),VLOOKUP(BH3206,AUH_MALE_DEP,3,0),IF(AND(BD3206="Dependent",BI3206="Male",BF3206="Abu Dhabi",BE3206=RN_Plus),VLOOKUP(BH3206,AUH_MALE_DEP,4,0),IF(AND(BD3206="Dependent",BI3206="Male",BF3206="Abu Dhabi",BE3206=RN),VLOOKUP(BH3206,AUH_MALE_DEP,5,0),IF(AND(BD3206="Dependent",BI3206="Male",BF3206="Abu Dhabi",BE3206=RN_2),VLOOKUP(BH3206,AUH_MALE_DEP,6,0),IF(AND(BD3206="Dependent",BI3206="Male",BF3206="Abu Dhabi",BE3206=RN2_minus),VLOOKUP(BH3206,AUH_MALE_DEP,7,0),IF(AND(BD3206="Dependent",BI3206="Male",BF3206="Abu Dhabi",BE3206=RN_3),VLOOKUP(BH3206,AUH_MALE_DEP,8,0),IF(AND(BD3206="Dependent",BI3206="Male",BF3206="Abu Dhabi",BE3206=VN),VLOOKUP(BH3206,AUH_MALE_DEP,9,0),IF(BD3206="","",IF(AND(BD3206="Dependent",BI3206="Female",BF3206="Abu Dhabi",BE3206=GN_Plus),VLOOKUP(BH3206,AUH_FEMALE_DEP,2,0),IF(AND(BD3206="Dependent",BI3206="Female",BF3206="Abu Dhabi",BE3206=GN),VLOOKUP(BH3206,AUH_FEMALE_DEP,3,0),IF(AND(BD3206="Dependent",BI3206="Female",BF3206="Abu Dhabi",BE3206=RN_Plus),VLOOKUP(BH3206,AUH_FEMALE_DEP,4,0),IF(AND(BD3206="Dependent",BI3206="Female",BF3206="Abu Dhabi",BE3206=RN),VLOOKUP(BH3206,AUH_FEMALE_DEP,5,0),IF(AND(BD3206="Dependent",BI3206="Female",BF3206="Abu Dhabi",BE3206=RN_2),VLOOKUP(BH3206,AUH_FEMALE_DEP,6,0),IF(AND(BD3206="Dependent",BI3206="Female",BF3206="Abu Dhabi",BE3206=RN2_minus),VLOOKUP(BH3206,AUH_FEMALE_DEP,7,0),IF(AND(BD3206="Dependent",BI3206="Female",BF3206="Abu Dhabi",BE3206=RN_3),VLOOKUP(BH3206,AUH_FEMALE_DEP,8,0),IF(AND(BD3206="Dependent",BI3206="Female",BF3206="Abu Dhabi",BE3206=VN),VLOOKUP(BH3206,AUH_FEMALE_DEP,9,0),"ABC"))))))))))))))))))))))))))))))))))))</f>
        <v/>
      </c>
      <c r="BL3206" s="498" t="str">
        <f t="shared" ref="BL3206:BL3269" si="1129">IF(BD3206="","",IF(AND(BD3206="Employee",BI3206="Male",BF3206="Dubai",BE3206=GN_Plus),VLOOKUP(BH3206,DXB_MALE_EMP,2,0),IF(AND(BD3206="Employee",BI3206="Male",BF3206="Dubai",BE3206=GN),VLOOKUP(BH3206,DXB_MALE_EMP,3,0),IF(AND(BD3206="Employee",BI3206="Male",BF3206="Dubai",BE3206=RN_Plus),VLOOKUP(BH3206,DXB_MALE_EMP,4,0),IF(AND(BD3206="Employee",BI3206="Male",BF3206="Dubai",BE3206=RN),VLOOKUP(BH3206,DXB_MALE_EMP,5,0),IF(AND(BD3206="Employee",BI3206="Male",BF3206="Dubai",BE3206=RN_2),VLOOKUP(BH3206,DXB_MALE_EMP,6,0),IF(AND(BD3206="Employee",BI3206="Male",BF3206="Dubai",BE3206=RN2_minus),VLOOKUP(BH3206,DXB_MALE_EMP,7,0),IF(AND(BD3206="Employee",BI3206="Male",BF3206="Dubai",BE3206=RN_3),VLOOKUP(BH3206,DXB_MALE_EMP,8,0),IF(AND(BD3206="Employee",BI3206="Male",BF3206="Dubai",BE3206=VN),VLOOKUP(BH3206,DXB_MALE_EMP,9,0),IF(BD3206="","",IF(AND(BD3206="Employee",BI3206="Female",BF3206="Dubai",BE3206=GN_Plus),VLOOKUP(BH3206,DXB_FEMALE_EMP,2,0),IF(AND(BD3206="Employee",BI3206="Female",BF3206="Dubai",BE3206=GN),VLOOKUP(BH3206,DXB_FEMALE_EMP,3,0),IF(AND(BD3206="Employee",BI3206="Female",BF3206="Dubai",BE3206=RN_Plus),VLOOKUP(BH3206,DXB_FEMALE_EMP,4,0),IF(AND(BD3206="Employee",BI3206="Female",BF3206="Dubai",BE3206=RN),VLOOKUP(BH3206,DXB_FEMALE_EMP,5,0),IF(AND(BD3206="Employee",BI3206="Female",BF3206="Dubai",BE3206=RN_2),VLOOKUP(BH3206,DXB_FEMALE_EMP,6,0),IF(AND(BD3206="Employee",BI3206="Female",BF3206="Dubai",BE3206=RN2_minus),VLOOKUP(BH3206,DXB_FEMALE_EMP,7,0),IF(AND(BD3206="Employee",BI3206="Female",BF3206="Dubai",BE3206=RN_3),VLOOKUP(BH3206,DXB_FEMALE_EMP,8,0),IF(AND(BD3206="Employee",BI3206="Female",BF3206="Dubai",BE3206=VN),VLOOKUP(BH3206,DXB_FEMALE_EMP,9,0),IF(BD3206="","",IF(AND(BD3206="Dependent",BI3206="Male",BF3206="Dubai",BE3206=GN_Plus),VLOOKUP(BH3206,DXB_MALE_DEP,2,0),IF(AND(BD3206="Dependent",BI3206="Male",BF3206="Dubai",BE3206=GN),VLOOKUP(BH3206,DXB_MALE_DEP,3,0),IF(AND(BD3206="Dependent",BI3206="Male",BF3206="Dubai",BE3206=RN_Plus),VLOOKUP(BH3206,DXB_MALE_DEP,4,0),IF(AND(BD3206="Dependent",BI3206="Male",BF3206="Dubai",BE3206=RN),VLOOKUP(BH3206,DXB_MALE_DEP,5,0),IF(AND(BD3206="Dependent",BI3206="Male",BF3206="Dubai",BE3206=RN_2),VLOOKUP(BH3206,DXB_MALE_DEP,6,0),IF(AND(BD3206="Dependent",BI3206="Male",BF3206="Dubai",BE3206=RN2_minus),VLOOKUP(BH3206,DXB_MALE_DEP,7,0),IF(AND(BD3206="Dependent",BI3206="Male",BF3206="Dubai",BE3206=RN_3),VLOOKUP(BH3206,DXB_MALE_DEP,8,0),IF(AND(BD3206="Dependent",BI3206="Male",BF3206="Dubai",BE3206=VN),VLOOKUP(BH3206,DXB_MALE_DEP,9,0),IF(BD3206="","",IF(AND(BD3206="Dependent",BI3206="Female",BF3206="Dubai",BE3206=GN_Plus),VLOOKUP(BH3206,DXB_FEMALE_DEP,2,0),IF(AND(BD3206="Dependent",BI3206="Female",BF3206="Dubai",BE3206=GN),VLOOKUP(BH3206,DXB_FEMALE_DEP,3,0),IF(AND(BD3206="Dependent",BI3206="Female",BF3206="Dubai",BE3206=RN_Plus),VLOOKUP(BH3206,DXB_FEMALE_DEP,4,0),IF(AND(BD3206="Dependent",BI3206="Female",BF3206="Dubai",BE3206=RN),VLOOKUP(BH3206,DXB_FEMALE_DEP,5,0),IF(AND(BD3206="Dependent",BI3206="Female",BF3206="Dubai",BE3206=RN_2),VLOOKUP(BH3206,DXB_FEMALE_DEP,6,0),IF(AND(BD3206="Dependent",BI3206="Female",BF3206="Dubai",BE3206=RN2_minus),VLOOKUP(BH3206,DXB_FEMALE_DEP,7,0),IF(AND(BD3206="Dependent",BI3206="Female",BF3206="Dubai",BE3206=RN_3),VLOOKUP(BH3206,DXB_FEMALE_DEP,8,0),IF(AND(BD3206="Dependent",BI3206="Female",BF3206="Dubai",BE3206=VN),VLOOKUP(BH3206,DXB_FEMALE_DEP,9,0),"ABC"))))))))))))))))))))))))))))))))))))</f>
        <v/>
      </c>
    </row>
    <row r="3207" spans="1:64" x14ac:dyDescent="0.25">
      <c r="A3207" s="762">
        <f t="shared" ref="A3207:A3270" si="1130">+A3206+1</f>
        <v>3202</v>
      </c>
      <c r="B3207" s="229"/>
      <c r="C3207" s="223"/>
      <c r="D3207" s="224"/>
      <c r="E3207" s="225"/>
      <c r="F3207" s="1036" t="str">
        <f t="shared" si="1114"/>
        <v/>
      </c>
      <c r="G3207" s="1037" t="str">
        <f t="shared" ref="G3207:G3270" si="1131">IF(D3207="","",MAX(0,ROUNDUP(F3207,0)))</f>
        <v/>
      </c>
      <c r="H3207" s="225"/>
      <c r="I3207" s="1013"/>
      <c r="J3207" s="1013"/>
      <c r="K3207" s="1028"/>
      <c r="L3207" s="1035" t="str">
        <f t="shared" si="1113"/>
        <v/>
      </c>
      <c r="S3207" s="498"/>
      <c r="AJ3207" s="498"/>
      <c r="AM3207" s="498">
        <f t="shared" si="1116"/>
        <v>0</v>
      </c>
      <c r="AN3207" s="498">
        <f t="shared" si="1117"/>
        <v>0</v>
      </c>
      <c r="AO3207" s="498">
        <f t="shared" si="1118"/>
        <v>0</v>
      </c>
      <c r="AP3207" s="498">
        <f t="shared" si="1115"/>
        <v>0</v>
      </c>
      <c r="AQ3207" s="498">
        <f t="shared" ref="AQ3207:AQ3270" si="1132">IF(ISBLANK($B3207),0,IF(OR($H3207="Single",$H3207="Married"),0,1))</f>
        <v>0</v>
      </c>
      <c r="AU3207" s="498">
        <f t="shared" si="1119"/>
        <v>0</v>
      </c>
      <c r="AV3207" s="498">
        <f t="shared" si="1120"/>
        <v>0</v>
      </c>
      <c r="AW3207" s="498">
        <f t="shared" si="1121"/>
        <v>0</v>
      </c>
      <c r="AX3207" s="498">
        <f t="shared" si="1122"/>
        <v>0</v>
      </c>
      <c r="AY3207" s="498">
        <f t="shared" si="1123"/>
        <v>0</v>
      </c>
      <c r="BB3207" s="498" t="str">
        <f t="shared" si="1124"/>
        <v/>
      </c>
      <c r="BC3207" s="743" t="str">
        <f t="shared" si="1125"/>
        <v/>
      </c>
      <c r="BD3207" s="743" t="str">
        <f t="shared" si="1126"/>
        <v/>
      </c>
      <c r="BE3207" s="743" t="str">
        <f>IF(D3207="","",VLOOKUP(D3207,'General Basis'!$J$39:$K$46,2,0))</f>
        <v/>
      </c>
      <c r="BF3207" s="744" t="str">
        <f>IF(D3207="","",VLOOKUP(D3207,'General Basis'!$J$39:$L$46,3,0))</f>
        <v/>
      </c>
      <c r="BG3207" s="744" t="str">
        <f t="shared" ref="BG3207:BG3270" si="1133">BC3207&amp;BI3207</f>
        <v/>
      </c>
      <c r="BH3207" s="744" t="str">
        <f>IF(G3207="","",IF(BF3207="Abu Dhabi",IF(G3207&lt;18,'General Basis'!$C$39,IF(G3207&lt;41,'General Basis'!$C$40,IF(G3207&lt;60,'General Basis'!$C$41,IF(G3207&lt;65,'General Basis'!$C$42,'General Basis'!$C$43)))),IF(G3207&lt;11,'General Basis'!$B$39,IF(G3207&lt;18,'General Basis'!$B$40,IF(G3207&lt;26,'General Basis'!$B$41,IF(G3207&lt;31,'General Basis'!$B$42,IF(G3207&lt;36,'General Basis'!$B$43,IF(G3207&lt;41,'General Basis'!$B$44,IF(G3207&lt;46,'General Basis'!$B$45,IF(G3207&lt;51,'General Basis'!$B$46,IF(G3207&lt;56,'General Basis'!$B$47,IF(G3207&lt;60,'General Basis'!$B$48,IF(G3207&lt;65,'General Basis'!$B$49,'General Basis'!$B$50)))))))))))))</f>
        <v/>
      </c>
      <c r="BI3207" s="744" t="str">
        <f t="shared" si="1127"/>
        <v/>
      </c>
      <c r="BJ3207" s="747" t="str">
        <f t="shared" ref="BJ3207:BJ3270" si="1134">IF(BD3207="","",IF(BF3207="Abu Dhabi",BK3207,BL3207))</f>
        <v/>
      </c>
      <c r="BK3207" s="498" t="str">
        <f t="shared" si="1128"/>
        <v/>
      </c>
      <c r="BL3207" s="498" t="str">
        <f t="shared" si="1129"/>
        <v/>
      </c>
    </row>
    <row r="3208" spans="1:64" x14ac:dyDescent="0.25">
      <c r="A3208" s="762">
        <f t="shared" si="1130"/>
        <v>3203</v>
      </c>
      <c r="B3208" s="229"/>
      <c r="C3208" s="223"/>
      <c r="D3208" s="224"/>
      <c r="E3208" s="225"/>
      <c r="F3208" s="1036" t="str">
        <f t="shared" si="1114"/>
        <v/>
      </c>
      <c r="G3208" s="1037" t="str">
        <f t="shared" si="1131"/>
        <v/>
      </c>
      <c r="H3208" s="225"/>
      <c r="I3208" s="1013"/>
      <c r="J3208" s="1013"/>
      <c r="K3208" s="1028"/>
      <c r="L3208" s="1035" t="str">
        <f t="shared" ref="L3208:L3271" si="1135">IF(AND(E3208="Child",H3208="Married"),"Check the Marital Status of the Child. ",IF(AND(E3208="Child",F3208&gt;18),"Child Age exceed 18 years. ",IF(AND(E3208="Spouse",H3208="Single"),"Spouse is selected as Single. ","")))&amp;IF(K3208&gt;0,"UW Loading has been Applied","")</f>
        <v/>
      </c>
      <c r="S3208" s="498"/>
      <c r="AJ3208" s="498"/>
      <c r="AM3208" s="498">
        <f t="shared" si="1116"/>
        <v>0</v>
      </c>
      <c r="AN3208" s="498">
        <f t="shared" si="1117"/>
        <v>0</v>
      </c>
      <c r="AO3208" s="498">
        <f t="shared" si="1118"/>
        <v>0</v>
      </c>
      <c r="AP3208" s="498">
        <f t="shared" si="1115"/>
        <v>0</v>
      </c>
      <c r="AQ3208" s="498">
        <f t="shared" si="1132"/>
        <v>0</v>
      </c>
      <c r="AU3208" s="498">
        <f t="shared" si="1119"/>
        <v>0</v>
      </c>
      <c r="AV3208" s="498">
        <f t="shared" si="1120"/>
        <v>0</v>
      </c>
      <c r="AW3208" s="498">
        <f t="shared" si="1121"/>
        <v>0</v>
      </c>
      <c r="AX3208" s="498">
        <f t="shared" si="1122"/>
        <v>0</v>
      </c>
      <c r="AY3208" s="498">
        <f t="shared" si="1123"/>
        <v>0</v>
      </c>
      <c r="BB3208" s="498" t="str">
        <f t="shared" si="1124"/>
        <v/>
      </c>
      <c r="BC3208" s="743" t="str">
        <f t="shared" si="1125"/>
        <v/>
      </c>
      <c r="BD3208" s="743" t="str">
        <f t="shared" si="1126"/>
        <v/>
      </c>
      <c r="BE3208" s="743" t="str">
        <f>IF(D3208="","",VLOOKUP(D3208,'General Basis'!$J$39:$K$46,2,0))</f>
        <v/>
      </c>
      <c r="BF3208" s="744" t="str">
        <f>IF(D3208="","",VLOOKUP(D3208,'General Basis'!$J$39:$L$46,3,0))</f>
        <v/>
      </c>
      <c r="BG3208" s="744" t="str">
        <f t="shared" si="1133"/>
        <v/>
      </c>
      <c r="BH3208" s="744" t="str">
        <f>IF(G3208="","",IF(BF3208="Abu Dhabi",IF(G3208&lt;18,'General Basis'!$C$39,IF(G3208&lt;41,'General Basis'!$C$40,IF(G3208&lt;60,'General Basis'!$C$41,IF(G3208&lt;65,'General Basis'!$C$42,'General Basis'!$C$43)))),IF(G3208&lt;11,'General Basis'!$B$39,IF(G3208&lt;18,'General Basis'!$B$40,IF(G3208&lt;26,'General Basis'!$B$41,IF(G3208&lt;31,'General Basis'!$B$42,IF(G3208&lt;36,'General Basis'!$B$43,IF(G3208&lt;41,'General Basis'!$B$44,IF(G3208&lt;46,'General Basis'!$B$45,IF(G3208&lt;51,'General Basis'!$B$46,IF(G3208&lt;56,'General Basis'!$B$47,IF(G3208&lt;60,'General Basis'!$B$48,IF(G3208&lt;65,'General Basis'!$B$49,'General Basis'!$B$50)))))))))))))</f>
        <v/>
      </c>
      <c r="BI3208" s="744" t="str">
        <f t="shared" si="1127"/>
        <v/>
      </c>
      <c r="BJ3208" s="747" t="str">
        <f t="shared" si="1134"/>
        <v/>
      </c>
      <c r="BK3208" s="498" t="str">
        <f t="shared" si="1128"/>
        <v/>
      </c>
      <c r="BL3208" s="498" t="str">
        <f t="shared" si="1129"/>
        <v/>
      </c>
    </row>
    <row r="3209" spans="1:64" x14ac:dyDescent="0.25">
      <c r="A3209" s="762">
        <f t="shared" si="1130"/>
        <v>3204</v>
      </c>
      <c r="B3209" s="229"/>
      <c r="C3209" s="223"/>
      <c r="D3209" s="224"/>
      <c r="E3209" s="225"/>
      <c r="F3209" s="1036" t="str">
        <f t="shared" si="1114"/>
        <v/>
      </c>
      <c r="G3209" s="1037" t="str">
        <f t="shared" si="1131"/>
        <v/>
      </c>
      <c r="H3209" s="225"/>
      <c r="I3209" s="1013"/>
      <c r="J3209" s="1013"/>
      <c r="K3209" s="1028"/>
      <c r="L3209" s="1035" t="str">
        <f t="shared" si="1135"/>
        <v/>
      </c>
      <c r="S3209" s="498"/>
      <c r="AJ3209" s="498"/>
      <c r="AM3209" s="498">
        <f t="shared" si="1116"/>
        <v>0</v>
      </c>
      <c r="AN3209" s="498">
        <f t="shared" si="1117"/>
        <v>0</v>
      </c>
      <c r="AO3209" s="498">
        <f t="shared" si="1118"/>
        <v>0</v>
      </c>
      <c r="AP3209" s="498">
        <f t="shared" si="1115"/>
        <v>0</v>
      </c>
      <c r="AQ3209" s="498">
        <f t="shared" si="1132"/>
        <v>0</v>
      </c>
      <c r="AU3209" s="498">
        <f t="shared" si="1119"/>
        <v>0</v>
      </c>
      <c r="AV3209" s="498">
        <f t="shared" si="1120"/>
        <v>0</v>
      </c>
      <c r="AW3209" s="498">
        <f t="shared" si="1121"/>
        <v>0</v>
      </c>
      <c r="AX3209" s="498">
        <f t="shared" si="1122"/>
        <v>0</v>
      </c>
      <c r="AY3209" s="498">
        <f t="shared" si="1123"/>
        <v>0</v>
      </c>
      <c r="BB3209" s="498" t="str">
        <f t="shared" si="1124"/>
        <v/>
      </c>
      <c r="BC3209" s="743" t="str">
        <f t="shared" si="1125"/>
        <v/>
      </c>
      <c r="BD3209" s="743" t="str">
        <f t="shared" si="1126"/>
        <v/>
      </c>
      <c r="BE3209" s="743" t="str">
        <f>IF(D3209="","",VLOOKUP(D3209,'General Basis'!$J$39:$K$46,2,0))</f>
        <v/>
      </c>
      <c r="BF3209" s="744" t="str">
        <f>IF(D3209="","",VLOOKUP(D3209,'General Basis'!$J$39:$L$46,3,0))</f>
        <v/>
      </c>
      <c r="BG3209" s="744" t="str">
        <f t="shared" si="1133"/>
        <v/>
      </c>
      <c r="BH3209" s="744" t="str">
        <f>IF(G3209="","",IF(BF3209="Abu Dhabi",IF(G3209&lt;18,'General Basis'!$C$39,IF(G3209&lt;41,'General Basis'!$C$40,IF(G3209&lt;60,'General Basis'!$C$41,IF(G3209&lt;65,'General Basis'!$C$42,'General Basis'!$C$43)))),IF(G3209&lt;11,'General Basis'!$B$39,IF(G3209&lt;18,'General Basis'!$B$40,IF(G3209&lt;26,'General Basis'!$B$41,IF(G3209&lt;31,'General Basis'!$B$42,IF(G3209&lt;36,'General Basis'!$B$43,IF(G3209&lt;41,'General Basis'!$B$44,IF(G3209&lt;46,'General Basis'!$B$45,IF(G3209&lt;51,'General Basis'!$B$46,IF(G3209&lt;56,'General Basis'!$B$47,IF(G3209&lt;60,'General Basis'!$B$48,IF(G3209&lt;65,'General Basis'!$B$49,'General Basis'!$B$50)))))))))))))</f>
        <v/>
      </c>
      <c r="BI3209" s="744" t="str">
        <f t="shared" si="1127"/>
        <v/>
      </c>
      <c r="BJ3209" s="747" t="str">
        <f t="shared" si="1134"/>
        <v/>
      </c>
      <c r="BK3209" s="498" t="str">
        <f t="shared" si="1128"/>
        <v/>
      </c>
      <c r="BL3209" s="498" t="str">
        <f t="shared" si="1129"/>
        <v/>
      </c>
    </row>
    <row r="3210" spans="1:64" x14ac:dyDescent="0.25">
      <c r="A3210" s="762">
        <f t="shared" si="1130"/>
        <v>3205</v>
      </c>
      <c r="B3210" s="229"/>
      <c r="C3210" s="223"/>
      <c r="D3210" s="224"/>
      <c r="E3210" s="225"/>
      <c r="F3210" s="1036" t="str">
        <f t="shared" si="1114"/>
        <v/>
      </c>
      <c r="G3210" s="1037" t="str">
        <f t="shared" si="1131"/>
        <v/>
      </c>
      <c r="H3210" s="225"/>
      <c r="I3210" s="1013"/>
      <c r="J3210" s="1013"/>
      <c r="K3210" s="1028"/>
      <c r="L3210" s="1035" t="str">
        <f t="shared" si="1135"/>
        <v/>
      </c>
      <c r="S3210" s="498"/>
      <c r="AJ3210" s="498"/>
      <c r="AM3210" s="498">
        <f t="shared" si="1116"/>
        <v>0</v>
      </c>
      <c r="AN3210" s="498">
        <f t="shared" si="1117"/>
        <v>0</v>
      </c>
      <c r="AO3210" s="498">
        <f t="shared" si="1118"/>
        <v>0</v>
      </c>
      <c r="AP3210" s="498">
        <f t="shared" si="1115"/>
        <v>0</v>
      </c>
      <c r="AQ3210" s="498">
        <f t="shared" si="1132"/>
        <v>0</v>
      </c>
      <c r="AU3210" s="498">
        <f t="shared" si="1119"/>
        <v>0</v>
      </c>
      <c r="AV3210" s="498">
        <f t="shared" si="1120"/>
        <v>0</v>
      </c>
      <c r="AW3210" s="498">
        <f t="shared" si="1121"/>
        <v>0</v>
      </c>
      <c r="AX3210" s="498">
        <f t="shared" si="1122"/>
        <v>0</v>
      </c>
      <c r="AY3210" s="498">
        <f t="shared" si="1123"/>
        <v>0</v>
      </c>
      <c r="BB3210" s="498" t="str">
        <f t="shared" si="1124"/>
        <v/>
      </c>
      <c r="BC3210" s="743" t="str">
        <f t="shared" si="1125"/>
        <v/>
      </c>
      <c r="BD3210" s="743" t="str">
        <f t="shared" si="1126"/>
        <v/>
      </c>
      <c r="BE3210" s="743" t="str">
        <f>IF(D3210="","",VLOOKUP(D3210,'General Basis'!$J$39:$K$46,2,0))</f>
        <v/>
      </c>
      <c r="BF3210" s="744" t="str">
        <f>IF(D3210="","",VLOOKUP(D3210,'General Basis'!$J$39:$L$46,3,0))</f>
        <v/>
      </c>
      <c r="BG3210" s="744" t="str">
        <f t="shared" si="1133"/>
        <v/>
      </c>
      <c r="BH3210" s="744" t="str">
        <f>IF(G3210="","",IF(BF3210="Abu Dhabi",IF(G3210&lt;18,'General Basis'!$C$39,IF(G3210&lt;41,'General Basis'!$C$40,IF(G3210&lt;60,'General Basis'!$C$41,IF(G3210&lt;65,'General Basis'!$C$42,'General Basis'!$C$43)))),IF(G3210&lt;11,'General Basis'!$B$39,IF(G3210&lt;18,'General Basis'!$B$40,IF(G3210&lt;26,'General Basis'!$B$41,IF(G3210&lt;31,'General Basis'!$B$42,IF(G3210&lt;36,'General Basis'!$B$43,IF(G3210&lt;41,'General Basis'!$B$44,IF(G3210&lt;46,'General Basis'!$B$45,IF(G3210&lt;51,'General Basis'!$B$46,IF(G3210&lt;56,'General Basis'!$B$47,IF(G3210&lt;60,'General Basis'!$B$48,IF(G3210&lt;65,'General Basis'!$B$49,'General Basis'!$B$50)))))))))))))</f>
        <v/>
      </c>
      <c r="BI3210" s="744" t="str">
        <f t="shared" si="1127"/>
        <v/>
      </c>
      <c r="BJ3210" s="747" t="str">
        <f t="shared" si="1134"/>
        <v/>
      </c>
      <c r="BK3210" s="498" t="str">
        <f t="shared" si="1128"/>
        <v/>
      </c>
      <c r="BL3210" s="498" t="str">
        <f t="shared" si="1129"/>
        <v/>
      </c>
    </row>
    <row r="3211" spans="1:64" x14ac:dyDescent="0.25">
      <c r="A3211" s="762">
        <f t="shared" si="1130"/>
        <v>3206</v>
      </c>
      <c r="B3211" s="229"/>
      <c r="C3211" s="223"/>
      <c r="D3211" s="224"/>
      <c r="E3211" s="225"/>
      <c r="F3211" s="1036" t="str">
        <f t="shared" si="1114"/>
        <v/>
      </c>
      <c r="G3211" s="1037" t="str">
        <f t="shared" si="1131"/>
        <v/>
      </c>
      <c r="H3211" s="225"/>
      <c r="I3211" s="1013"/>
      <c r="J3211" s="1013"/>
      <c r="K3211" s="1028"/>
      <c r="L3211" s="1035" t="str">
        <f t="shared" si="1135"/>
        <v/>
      </c>
      <c r="S3211" s="498"/>
      <c r="AJ3211" s="498"/>
      <c r="AM3211" s="498">
        <f t="shared" si="1116"/>
        <v>0</v>
      </c>
      <c r="AN3211" s="498">
        <f t="shared" si="1117"/>
        <v>0</v>
      </c>
      <c r="AO3211" s="498">
        <f t="shared" si="1118"/>
        <v>0</v>
      </c>
      <c r="AP3211" s="498">
        <f t="shared" si="1115"/>
        <v>0</v>
      </c>
      <c r="AQ3211" s="498">
        <f t="shared" si="1132"/>
        <v>0</v>
      </c>
      <c r="AU3211" s="498">
        <f t="shared" si="1119"/>
        <v>0</v>
      </c>
      <c r="AV3211" s="498">
        <f t="shared" si="1120"/>
        <v>0</v>
      </c>
      <c r="AW3211" s="498">
        <f t="shared" si="1121"/>
        <v>0</v>
      </c>
      <c r="AX3211" s="498">
        <f t="shared" si="1122"/>
        <v>0</v>
      </c>
      <c r="AY3211" s="498">
        <f t="shared" si="1123"/>
        <v>0</v>
      </c>
      <c r="BB3211" s="498" t="str">
        <f t="shared" si="1124"/>
        <v/>
      </c>
      <c r="BC3211" s="743" t="str">
        <f t="shared" si="1125"/>
        <v/>
      </c>
      <c r="BD3211" s="743" t="str">
        <f t="shared" si="1126"/>
        <v/>
      </c>
      <c r="BE3211" s="743" t="str">
        <f>IF(D3211="","",VLOOKUP(D3211,'General Basis'!$J$39:$K$46,2,0))</f>
        <v/>
      </c>
      <c r="BF3211" s="744" t="str">
        <f>IF(D3211="","",VLOOKUP(D3211,'General Basis'!$J$39:$L$46,3,0))</f>
        <v/>
      </c>
      <c r="BG3211" s="744" t="str">
        <f t="shared" si="1133"/>
        <v/>
      </c>
      <c r="BH3211" s="744" t="str">
        <f>IF(G3211="","",IF(BF3211="Abu Dhabi",IF(G3211&lt;18,'General Basis'!$C$39,IF(G3211&lt;41,'General Basis'!$C$40,IF(G3211&lt;60,'General Basis'!$C$41,IF(G3211&lt;65,'General Basis'!$C$42,'General Basis'!$C$43)))),IF(G3211&lt;11,'General Basis'!$B$39,IF(G3211&lt;18,'General Basis'!$B$40,IF(G3211&lt;26,'General Basis'!$B$41,IF(G3211&lt;31,'General Basis'!$B$42,IF(G3211&lt;36,'General Basis'!$B$43,IF(G3211&lt;41,'General Basis'!$B$44,IF(G3211&lt;46,'General Basis'!$B$45,IF(G3211&lt;51,'General Basis'!$B$46,IF(G3211&lt;56,'General Basis'!$B$47,IF(G3211&lt;60,'General Basis'!$B$48,IF(G3211&lt;65,'General Basis'!$B$49,'General Basis'!$B$50)))))))))))))</f>
        <v/>
      </c>
      <c r="BI3211" s="744" t="str">
        <f t="shared" si="1127"/>
        <v/>
      </c>
      <c r="BJ3211" s="747" t="str">
        <f t="shared" si="1134"/>
        <v/>
      </c>
      <c r="BK3211" s="498" t="str">
        <f t="shared" si="1128"/>
        <v/>
      </c>
      <c r="BL3211" s="498" t="str">
        <f t="shared" si="1129"/>
        <v/>
      </c>
    </row>
    <row r="3212" spans="1:64" x14ac:dyDescent="0.25">
      <c r="A3212" s="762">
        <f t="shared" si="1130"/>
        <v>3207</v>
      </c>
      <c r="B3212" s="229"/>
      <c r="C3212" s="223"/>
      <c r="D3212" s="224"/>
      <c r="E3212" s="225"/>
      <c r="F3212" s="1036" t="str">
        <f t="shared" si="1114"/>
        <v/>
      </c>
      <c r="G3212" s="1037" t="str">
        <f t="shared" si="1131"/>
        <v/>
      </c>
      <c r="H3212" s="225"/>
      <c r="I3212" s="1013"/>
      <c r="J3212" s="1013"/>
      <c r="K3212" s="1028"/>
      <c r="L3212" s="1035" t="str">
        <f t="shared" si="1135"/>
        <v/>
      </c>
      <c r="S3212" s="498"/>
      <c r="AJ3212" s="498"/>
      <c r="AM3212" s="498">
        <f t="shared" si="1116"/>
        <v>0</v>
      </c>
      <c r="AN3212" s="498">
        <f t="shared" si="1117"/>
        <v>0</v>
      </c>
      <c r="AO3212" s="498">
        <f t="shared" si="1118"/>
        <v>0</v>
      </c>
      <c r="AP3212" s="498">
        <f t="shared" si="1115"/>
        <v>0</v>
      </c>
      <c r="AQ3212" s="498">
        <f t="shared" si="1132"/>
        <v>0</v>
      </c>
      <c r="AU3212" s="498">
        <f t="shared" si="1119"/>
        <v>0</v>
      </c>
      <c r="AV3212" s="498">
        <f t="shared" si="1120"/>
        <v>0</v>
      </c>
      <c r="AW3212" s="498">
        <f t="shared" si="1121"/>
        <v>0</v>
      </c>
      <c r="AX3212" s="498">
        <f t="shared" si="1122"/>
        <v>0</v>
      </c>
      <c r="AY3212" s="498">
        <f t="shared" si="1123"/>
        <v>0</v>
      </c>
      <c r="BB3212" s="498" t="str">
        <f t="shared" si="1124"/>
        <v/>
      </c>
      <c r="BC3212" s="743" t="str">
        <f t="shared" si="1125"/>
        <v/>
      </c>
      <c r="BD3212" s="743" t="str">
        <f t="shared" si="1126"/>
        <v/>
      </c>
      <c r="BE3212" s="743" t="str">
        <f>IF(D3212="","",VLOOKUP(D3212,'General Basis'!$J$39:$K$46,2,0))</f>
        <v/>
      </c>
      <c r="BF3212" s="744" t="str">
        <f>IF(D3212="","",VLOOKUP(D3212,'General Basis'!$J$39:$L$46,3,0))</f>
        <v/>
      </c>
      <c r="BG3212" s="744" t="str">
        <f t="shared" si="1133"/>
        <v/>
      </c>
      <c r="BH3212" s="744" t="str">
        <f>IF(G3212="","",IF(BF3212="Abu Dhabi",IF(G3212&lt;18,'General Basis'!$C$39,IF(G3212&lt;41,'General Basis'!$C$40,IF(G3212&lt;60,'General Basis'!$C$41,IF(G3212&lt;65,'General Basis'!$C$42,'General Basis'!$C$43)))),IF(G3212&lt;11,'General Basis'!$B$39,IF(G3212&lt;18,'General Basis'!$B$40,IF(G3212&lt;26,'General Basis'!$B$41,IF(G3212&lt;31,'General Basis'!$B$42,IF(G3212&lt;36,'General Basis'!$B$43,IF(G3212&lt;41,'General Basis'!$B$44,IF(G3212&lt;46,'General Basis'!$B$45,IF(G3212&lt;51,'General Basis'!$B$46,IF(G3212&lt;56,'General Basis'!$B$47,IF(G3212&lt;60,'General Basis'!$B$48,IF(G3212&lt;65,'General Basis'!$B$49,'General Basis'!$B$50)))))))))))))</f>
        <v/>
      </c>
      <c r="BI3212" s="744" t="str">
        <f t="shared" si="1127"/>
        <v/>
      </c>
      <c r="BJ3212" s="747" t="str">
        <f t="shared" si="1134"/>
        <v/>
      </c>
      <c r="BK3212" s="498" t="str">
        <f t="shared" si="1128"/>
        <v/>
      </c>
      <c r="BL3212" s="498" t="str">
        <f t="shared" si="1129"/>
        <v/>
      </c>
    </row>
    <row r="3213" spans="1:64" x14ac:dyDescent="0.25">
      <c r="A3213" s="762">
        <f t="shared" si="1130"/>
        <v>3208</v>
      </c>
      <c r="B3213" s="229"/>
      <c r="C3213" s="223"/>
      <c r="D3213" s="224"/>
      <c r="E3213" s="225"/>
      <c r="F3213" s="1036" t="str">
        <f t="shared" si="1114"/>
        <v/>
      </c>
      <c r="G3213" s="1037" t="str">
        <f t="shared" si="1131"/>
        <v/>
      </c>
      <c r="H3213" s="225"/>
      <c r="I3213" s="1013"/>
      <c r="J3213" s="1013"/>
      <c r="K3213" s="1028"/>
      <c r="L3213" s="1035" t="str">
        <f t="shared" si="1135"/>
        <v/>
      </c>
      <c r="S3213" s="498"/>
      <c r="AJ3213" s="498"/>
      <c r="AM3213" s="498">
        <f t="shared" si="1116"/>
        <v>0</v>
      </c>
      <c r="AN3213" s="498">
        <f t="shared" si="1117"/>
        <v>0</v>
      </c>
      <c r="AO3213" s="498">
        <f t="shared" si="1118"/>
        <v>0</v>
      </c>
      <c r="AP3213" s="498">
        <f t="shared" si="1115"/>
        <v>0</v>
      </c>
      <c r="AQ3213" s="498">
        <f t="shared" si="1132"/>
        <v>0</v>
      </c>
      <c r="AU3213" s="498">
        <f t="shared" si="1119"/>
        <v>0</v>
      </c>
      <c r="AV3213" s="498">
        <f t="shared" si="1120"/>
        <v>0</v>
      </c>
      <c r="AW3213" s="498">
        <f t="shared" si="1121"/>
        <v>0</v>
      </c>
      <c r="AX3213" s="498">
        <f t="shared" si="1122"/>
        <v>0</v>
      </c>
      <c r="AY3213" s="498">
        <f t="shared" si="1123"/>
        <v>0</v>
      </c>
      <c r="BB3213" s="498" t="str">
        <f t="shared" si="1124"/>
        <v/>
      </c>
      <c r="BC3213" s="743" t="str">
        <f t="shared" si="1125"/>
        <v/>
      </c>
      <c r="BD3213" s="743" t="str">
        <f t="shared" si="1126"/>
        <v/>
      </c>
      <c r="BE3213" s="743" t="str">
        <f>IF(D3213="","",VLOOKUP(D3213,'General Basis'!$J$39:$K$46,2,0))</f>
        <v/>
      </c>
      <c r="BF3213" s="744" t="str">
        <f>IF(D3213="","",VLOOKUP(D3213,'General Basis'!$J$39:$L$46,3,0))</f>
        <v/>
      </c>
      <c r="BG3213" s="744" t="str">
        <f t="shared" si="1133"/>
        <v/>
      </c>
      <c r="BH3213" s="744" t="str">
        <f>IF(G3213="","",IF(BF3213="Abu Dhabi",IF(G3213&lt;18,'General Basis'!$C$39,IF(G3213&lt;41,'General Basis'!$C$40,IF(G3213&lt;60,'General Basis'!$C$41,IF(G3213&lt;65,'General Basis'!$C$42,'General Basis'!$C$43)))),IF(G3213&lt;11,'General Basis'!$B$39,IF(G3213&lt;18,'General Basis'!$B$40,IF(G3213&lt;26,'General Basis'!$B$41,IF(G3213&lt;31,'General Basis'!$B$42,IF(G3213&lt;36,'General Basis'!$B$43,IF(G3213&lt;41,'General Basis'!$B$44,IF(G3213&lt;46,'General Basis'!$B$45,IF(G3213&lt;51,'General Basis'!$B$46,IF(G3213&lt;56,'General Basis'!$B$47,IF(G3213&lt;60,'General Basis'!$B$48,IF(G3213&lt;65,'General Basis'!$B$49,'General Basis'!$B$50)))))))))))))</f>
        <v/>
      </c>
      <c r="BI3213" s="744" t="str">
        <f t="shared" si="1127"/>
        <v/>
      </c>
      <c r="BJ3213" s="747" t="str">
        <f t="shared" si="1134"/>
        <v/>
      </c>
      <c r="BK3213" s="498" t="str">
        <f t="shared" si="1128"/>
        <v/>
      </c>
      <c r="BL3213" s="498" t="str">
        <f t="shared" si="1129"/>
        <v/>
      </c>
    </row>
    <row r="3214" spans="1:64" x14ac:dyDescent="0.25">
      <c r="A3214" s="762">
        <f t="shared" si="1130"/>
        <v>3209</v>
      </c>
      <c r="B3214" s="229"/>
      <c r="C3214" s="223"/>
      <c r="D3214" s="224"/>
      <c r="E3214" s="225"/>
      <c r="F3214" s="1036" t="str">
        <f t="shared" si="1114"/>
        <v/>
      </c>
      <c r="G3214" s="1037" t="str">
        <f t="shared" si="1131"/>
        <v/>
      </c>
      <c r="H3214" s="225"/>
      <c r="I3214" s="1013"/>
      <c r="J3214" s="1013"/>
      <c r="K3214" s="1028"/>
      <c r="L3214" s="1035" t="str">
        <f t="shared" si="1135"/>
        <v/>
      </c>
      <c r="S3214" s="498"/>
      <c r="AJ3214" s="498"/>
      <c r="AM3214" s="498">
        <f t="shared" si="1116"/>
        <v>0</v>
      </c>
      <c r="AN3214" s="498">
        <f t="shared" si="1117"/>
        <v>0</v>
      </c>
      <c r="AO3214" s="498">
        <f t="shared" si="1118"/>
        <v>0</v>
      </c>
      <c r="AP3214" s="498">
        <f t="shared" si="1115"/>
        <v>0</v>
      </c>
      <c r="AQ3214" s="498">
        <f t="shared" si="1132"/>
        <v>0</v>
      </c>
      <c r="AU3214" s="498">
        <f t="shared" si="1119"/>
        <v>0</v>
      </c>
      <c r="AV3214" s="498">
        <f t="shared" si="1120"/>
        <v>0</v>
      </c>
      <c r="AW3214" s="498">
        <f t="shared" si="1121"/>
        <v>0</v>
      </c>
      <c r="AX3214" s="498">
        <f t="shared" si="1122"/>
        <v>0</v>
      </c>
      <c r="AY3214" s="498">
        <f t="shared" si="1123"/>
        <v>0</v>
      </c>
      <c r="BB3214" s="498" t="str">
        <f t="shared" si="1124"/>
        <v/>
      </c>
      <c r="BC3214" s="743" t="str">
        <f t="shared" si="1125"/>
        <v/>
      </c>
      <c r="BD3214" s="743" t="str">
        <f t="shared" si="1126"/>
        <v/>
      </c>
      <c r="BE3214" s="743" t="str">
        <f>IF(D3214="","",VLOOKUP(D3214,'General Basis'!$J$39:$K$46,2,0))</f>
        <v/>
      </c>
      <c r="BF3214" s="744" t="str">
        <f>IF(D3214="","",VLOOKUP(D3214,'General Basis'!$J$39:$L$46,3,0))</f>
        <v/>
      </c>
      <c r="BG3214" s="744" t="str">
        <f t="shared" si="1133"/>
        <v/>
      </c>
      <c r="BH3214" s="744" t="str">
        <f>IF(G3214="","",IF(BF3214="Abu Dhabi",IF(G3214&lt;18,'General Basis'!$C$39,IF(G3214&lt;41,'General Basis'!$C$40,IF(G3214&lt;60,'General Basis'!$C$41,IF(G3214&lt;65,'General Basis'!$C$42,'General Basis'!$C$43)))),IF(G3214&lt;11,'General Basis'!$B$39,IF(G3214&lt;18,'General Basis'!$B$40,IF(G3214&lt;26,'General Basis'!$B$41,IF(G3214&lt;31,'General Basis'!$B$42,IF(G3214&lt;36,'General Basis'!$B$43,IF(G3214&lt;41,'General Basis'!$B$44,IF(G3214&lt;46,'General Basis'!$B$45,IF(G3214&lt;51,'General Basis'!$B$46,IF(G3214&lt;56,'General Basis'!$B$47,IF(G3214&lt;60,'General Basis'!$B$48,IF(G3214&lt;65,'General Basis'!$B$49,'General Basis'!$B$50)))))))))))))</f>
        <v/>
      </c>
      <c r="BI3214" s="744" t="str">
        <f t="shared" si="1127"/>
        <v/>
      </c>
      <c r="BJ3214" s="747" t="str">
        <f t="shared" si="1134"/>
        <v/>
      </c>
      <c r="BK3214" s="498" t="str">
        <f t="shared" si="1128"/>
        <v/>
      </c>
      <c r="BL3214" s="498" t="str">
        <f t="shared" si="1129"/>
        <v/>
      </c>
    </row>
    <row r="3215" spans="1:64" x14ac:dyDescent="0.25">
      <c r="A3215" s="762">
        <f t="shared" si="1130"/>
        <v>3210</v>
      </c>
      <c r="B3215" s="229"/>
      <c r="C3215" s="223"/>
      <c r="D3215" s="224"/>
      <c r="E3215" s="225"/>
      <c r="F3215" s="1036" t="str">
        <f t="shared" si="1114"/>
        <v/>
      </c>
      <c r="G3215" s="1037" t="str">
        <f t="shared" si="1131"/>
        <v/>
      </c>
      <c r="H3215" s="225"/>
      <c r="I3215" s="1013"/>
      <c r="J3215" s="1013"/>
      <c r="K3215" s="1028"/>
      <c r="L3215" s="1035" t="str">
        <f t="shared" si="1135"/>
        <v/>
      </c>
      <c r="S3215" s="498"/>
      <c r="AJ3215" s="498"/>
      <c r="AM3215" s="498">
        <f t="shared" si="1116"/>
        <v>0</v>
      </c>
      <c r="AN3215" s="498">
        <f t="shared" si="1117"/>
        <v>0</v>
      </c>
      <c r="AO3215" s="498">
        <f t="shared" si="1118"/>
        <v>0</v>
      </c>
      <c r="AP3215" s="498">
        <f t="shared" si="1115"/>
        <v>0</v>
      </c>
      <c r="AQ3215" s="498">
        <f t="shared" si="1132"/>
        <v>0</v>
      </c>
      <c r="AU3215" s="498">
        <f t="shared" si="1119"/>
        <v>0</v>
      </c>
      <c r="AV3215" s="498">
        <f t="shared" si="1120"/>
        <v>0</v>
      </c>
      <c r="AW3215" s="498">
        <f t="shared" si="1121"/>
        <v>0</v>
      </c>
      <c r="AX3215" s="498">
        <f t="shared" si="1122"/>
        <v>0</v>
      </c>
      <c r="AY3215" s="498">
        <f t="shared" si="1123"/>
        <v>0</v>
      </c>
      <c r="BB3215" s="498" t="str">
        <f t="shared" si="1124"/>
        <v/>
      </c>
      <c r="BC3215" s="743" t="str">
        <f t="shared" si="1125"/>
        <v/>
      </c>
      <c r="BD3215" s="743" t="str">
        <f t="shared" si="1126"/>
        <v/>
      </c>
      <c r="BE3215" s="743" t="str">
        <f>IF(D3215="","",VLOOKUP(D3215,'General Basis'!$J$39:$K$46,2,0))</f>
        <v/>
      </c>
      <c r="BF3215" s="744" t="str">
        <f>IF(D3215="","",VLOOKUP(D3215,'General Basis'!$J$39:$L$46,3,0))</f>
        <v/>
      </c>
      <c r="BG3215" s="744" t="str">
        <f t="shared" si="1133"/>
        <v/>
      </c>
      <c r="BH3215" s="744" t="str">
        <f>IF(G3215="","",IF(BF3215="Abu Dhabi",IF(G3215&lt;18,'General Basis'!$C$39,IF(G3215&lt;41,'General Basis'!$C$40,IF(G3215&lt;60,'General Basis'!$C$41,IF(G3215&lt;65,'General Basis'!$C$42,'General Basis'!$C$43)))),IF(G3215&lt;11,'General Basis'!$B$39,IF(G3215&lt;18,'General Basis'!$B$40,IF(G3215&lt;26,'General Basis'!$B$41,IF(G3215&lt;31,'General Basis'!$B$42,IF(G3215&lt;36,'General Basis'!$B$43,IF(G3215&lt;41,'General Basis'!$B$44,IF(G3215&lt;46,'General Basis'!$B$45,IF(G3215&lt;51,'General Basis'!$B$46,IF(G3215&lt;56,'General Basis'!$B$47,IF(G3215&lt;60,'General Basis'!$B$48,IF(G3215&lt;65,'General Basis'!$B$49,'General Basis'!$B$50)))))))))))))</f>
        <v/>
      </c>
      <c r="BI3215" s="744" t="str">
        <f t="shared" si="1127"/>
        <v/>
      </c>
      <c r="BJ3215" s="747" t="str">
        <f t="shared" si="1134"/>
        <v/>
      </c>
      <c r="BK3215" s="498" t="str">
        <f t="shared" si="1128"/>
        <v/>
      </c>
      <c r="BL3215" s="498" t="str">
        <f t="shared" si="1129"/>
        <v/>
      </c>
    </row>
    <row r="3216" spans="1:64" x14ac:dyDescent="0.25">
      <c r="A3216" s="762">
        <f t="shared" si="1130"/>
        <v>3211</v>
      </c>
      <c r="B3216" s="229"/>
      <c r="C3216" s="223"/>
      <c r="D3216" s="224"/>
      <c r="E3216" s="225"/>
      <c r="F3216" s="1036" t="str">
        <f t="shared" ref="F3216:F3279" si="1136">IF(C3216="","",IF($B3216="","",((YEAR($F$3)-YEAR($B3216))+(MONTH($F$3)-MONTH($B3216))/12+(DAY($F$3)-DAY($B3216))/(DATE(YEAR($F$3),12,31)-DATE(YEAR($F$3),1,1)+1))))</f>
        <v/>
      </c>
      <c r="G3216" s="1037" t="str">
        <f t="shared" si="1131"/>
        <v/>
      </c>
      <c r="H3216" s="225"/>
      <c r="I3216" s="1013"/>
      <c r="J3216" s="1013"/>
      <c r="K3216" s="1028"/>
      <c r="L3216" s="1035" t="str">
        <f t="shared" si="1135"/>
        <v/>
      </c>
      <c r="S3216" s="498"/>
      <c r="AJ3216" s="498"/>
      <c r="AM3216" s="498">
        <f t="shared" si="1116"/>
        <v>0</v>
      </c>
      <c r="AN3216" s="498">
        <f t="shared" si="1117"/>
        <v>0</v>
      </c>
      <c r="AO3216" s="498">
        <f t="shared" si="1118"/>
        <v>0</v>
      </c>
      <c r="AP3216" s="498">
        <f t="shared" si="1115"/>
        <v>0</v>
      </c>
      <c r="AQ3216" s="498">
        <f t="shared" si="1132"/>
        <v>0</v>
      </c>
      <c r="AU3216" s="498">
        <f t="shared" si="1119"/>
        <v>0</v>
      </c>
      <c r="AV3216" s="498">
        <f t="shared" si="1120"/>
        <v>0</v>
      </c>
      <c r="AW3216" s="498">
        <f t="shared" si="1121"/>
        <v>0</v>
      </c>
      <c r="AX3216" s="498">
        <f t="shared" si="1122"/>
        <v>0</v>
      </c>
      <c r="AY3216" s="498">
        <f t="shared" si="1123"/>
        <v>0</v>
      </c>
      <c r="BB3216" s="498" t="str">
        <f t="shared" si="1124"/>
        <v/>
      </c>
      <c r="BC3216" s="743" t="str">
        <f t="shared" si="1125"/>
        <v/>
      </c>
      <c r="BD3216" s="743" t="str">
        <f t="shared" si="1126"/>
        <v/>
      </c>
      <c r="BE3216" s="743" t="str">
        <f>IF(D3216="","",VLOOKUP(D3216,'General Basis'!$J$39:$K$46,2,0))</f>
        <v/>
      </c>
      <c r="BF3216" s="744" t="str">
        <f>IF(D3216="","",VLOOKUP(D3216,'General Basis'!$J$39:$L$46,3,0))</f>
        <v/>
      </c>
      <c r="BG3216" s="744" t="str">
        <f t="shared" si="1133"/>
        <v/>
      </c>
      <c r="BH3216" s="744" t="str">
        <f>IF(G3216="","",IF(BF3216="Abu Dhabi",IF(G3216&lt;18,'General Basis'!$C$39,IF(G3216&lt;41,'General Basis'!$C$40,IF(G3216&lt;60,'General Basis'!$C$41,IF(G3216&lt;65,'General Basis'!$C$42,'General Basis'!$C$43)))),IF(G3216&lt;11,'General Basis'!$B$39,IF(G3216&lt;18,'General Basis'!$B$40,IF(G3216&lt;26,'General Basis'!$B$41,IF(G3216&lt;31,'General Basis'!$B$42,IF(G3216&lt;36,'General Basis'!$B$43,IF(G3216&lt;41,'General Basis'!$B$44,IF(G3216&lt;46,'General Basis'!$B$45,IF(G3216&lt;51,'General Basis'!$B$46,IF(G3216&lt;56,'General Basis'!$B$47,IF(G3216&lt;60,'General Basis'!$B$48,IF(G3216&lt;65,'General Basis'!$B$49,'General Basis'!$B$50)))))))))))))</f>
        <v/>
      </c>
      <c r="BI3216" s="744" t="str">
        <f t="shared" si="1127"/>
        <v/>
      </c>
      <c r="BJ3216" s="747" t="str">
        <f t="shared" si="1134"/>
        <v/>
      </c>
      <c r="BK3216" s="498" t="str">
        <f t="shared" si="1128"/>
        <v/>
      </c>
      <c r="BL3216" s="498" t="str">
        <f t="shared" si="1129"/>
        <v/>
      </c>
    </row>
    <row r="3217" spans="1:64" x14ac:dyDescent="0.25">
      <c r="A3217" s="762">
        <f t="shared" si="1130"/>
        <v>3212</v>
      </c>
      <c r="B3217" s="229"/>
      <c r="C3217" s="223"/>
      <c r="D3217" s="224"/>
      <c r="E3217" s="225"/>
      <c r="F3217" s="1036" t="str">
        <f t="shared" si="1136"/>
        <v/>
      </c>
      <c r="G3217" s="1037" t="str">
        <f t="shared" si="1131"/>
        <v/>
      </c>
      <c r="H3217" s="225"/>
      <c r="I3217" s="1013"/>
      <c r="J3217" s="1013"/>
      <c r="K3217" s="1028"/>
      <c r="L3217" s="1035" t="str">
        <f t="shared" si="1135"/>
        <v/>
      </c>
      <c r="S3217" s="498"/>
      <c r="AJ3217" s="498"/>
      <c r="AM3217" s="498">
        <f t="shared" si="1116"/>
        <v>0</v>
      </c>
      <c r="AN3217" s="498">
        <f t="shared" si="1117"/>
        <v>0</v>
      </c>
      <c r="AO3217" s="498">
        <f t="shared" si="1118"/>
        <v>0</v>
      </c>
      <c r="AP3217" s="498">
        <f t="shared" si="1115"/>
        <v>0</v>
      </c>
      <c r="AQ3217" s="498">
        <f t="shared" si="1132"/>
        <v>0</v>
      </c>
      <c r="AU3217" s="498">
        <f t="shared" si="1119"/>
        <v>0</v>
      </c>
      <c r="AV3217" s="498">
        <f t="shared" si="1120"/>
        <v>0</v>
      </c>
      <c r="AW3217" s="498">
        <f t="shared" si="1121"/>
        <v>0</v>
      </c>
      <c r="AX3217" s="498">
        <f t="shared" si="1122"/>
        <v>0</v>
      </c>
      <c r="AY3217" s="498">
        <f t="shared" si="1123"/>
        <v>0</v>
      </c>
      <c r="BB3217" s="498" t="str">
        <f t="shared" si="1124"/>
        <v/>
      </c>
      <c r="BC3217" s="743" t="str">
        <f t="shared" si="1125"/>
        <v/>
      </c>
      <c r="BD3217" s="743" t="str">
        <f t="shared" si="1126"/>
        <v/>
      </c>
      <c r="BE3217" s="743" t="str">
        <f>IF(D3217="","",VLOOKUP(D3217,'General Basis'!$J$39:$K$46,2,0))</f>
        <v/>
      </c>
      <c r="BF3217" s="744" t="str">
        <f>IF(D3217="","",VLOOKUP(D3217,'General Basis'!$J$39:$L$46,3,0))</f>
        <v/>
      </c>
      <c r="BG3217" s="744" t="str">
        <f t="shared" si="1133"/>
        <v/>
      </c>
      <c r="BH3217" s="744" t="str">
        <f>IF(G3217="","",IF(BF3217="Abu Dhabi",IF(G3217&lt;18,'General Basis'!$C$39,IF(G3217&lt;41,'General Basis'!$C$40,IF(G3217&lt;60,'General Basis'!$C$41,IF(G3217&lt;65,'General Basis'!$C$42,'General Basis'!$C$43)))),IF(G3217&lt;11,'General Basis'!$B$39,IF(G3217&lt;18,'General Basis'!$B$40,IF(G3217&lt;26,'General Basis'!$B$41,IF(G3217&lt;31,'General Basis'!$B$42,IF(G3217&lt;36,'General Basis'!$B$43,IF(G3217&lt;41,'General Basis'!$B$44,IF(G3217&lt;46,'General Basis'!$B$45,IF(G3217&lt;51,'General Basis'!$B$46,IF(G3217&lt;56,'General Basis'!$B$47,IF(G3217&lt;60,'General Basis'!$B$48,IF(G3217&lt;65,'General Basis'!$B$49,'General Basis'!$B$50)))))))))))))</f>
        <v/>
      </c>
      <c r="BI3217" s="744" t="str">
        <f t="shared" si="1127"/>
        <v/>
      </c>
      <c r="BJ3217" s="747" t="str">
        <f t="shared" si="1134"/>
        <v/>
      </c>
      <c r="BK3217" s="498" t="str">
        <f t="shared" si="1128"/>
        <v/>
      </c>
      <c r="BL3217" s="498" t="str">
        <f t="shared" si="1129"/>
        <v/>
      </c>
    </row>
    <row r="3218" spans="1:64" x14ac:dyDescent="0.25">
      <c r="A3218" s="762">
        <f t="shared" si="1130"/>
        <v>3213</v>
      </c>
      <c r="B3218" s="229"/>
      <c r="C3218" s="223"/>
      <c r="D3218" s="224"/>
      <c r="E3218" s="225"/>
      <c r="F3218" s="1036" t="str">
        <f t="shared" si="1136"/>
        <v/>
      </c>
      <c r="G3218" s="1037" t="str">
        <f t="shared" si="1131"/>
        <v/>
      </c>
      <c r="H3218" s="225"/>
      <c r="I3218" s="1013"/>
      <c r="J3218" s="1013"/>
      <c r="K3218" s="1028"/>
      <c r="L3218" s="1035" t="str">
        <f t="shared" si="1135"/>
        <v/>
      </c>
      <c r="S3218" s="498"/>
      <c r="AJ3218" s="498"/>
      <c r="AM3218" s="498">
        <f t="shared" si="1116"/>
        <v>0</v>
      </c>
      <c r="AN3218" s="498">
        <f t="shared" si="1117"/>
        <v>0</v>
      </c>
      <c r="AO3218" s="498">
        <f t="shared" si="1118"/>
        <v>0</v>
      </c>
      <c r="AP3218" s="498">
        <f t="shared" si="1115"/>
        <v>0</v>
      </c>
      <c r="AQ3218" s="498">
        <f t="shared" si="1132"/>
        <v>0</v>
      </c>
      <c r="AU3218" s="498">
        <f t="shared" si="1119"/>
        <v>0</v>
      </c>
      <c r="AV3218" s="498">
        <f t="shared" si="1120"/>
        <v>0</v>
      </c>
      <c r="AW3218" s="498">
        <f t="shared" si="1121"/>
        <v>0</v>
      </c>
      <c r="AX3218" s="498">
        <f t="shared" si="1122"/>
        <v>0</v>
      </c>
      <c r="AY3218" s="498">
        <f t="shared" si="1123"/>
        <v>0</v>
      </c>
      <c r="BB3218" s="498" t="str">
        <f t="shared" si="1124"/>
        <v/>
      </c>
      <c r="BC3218" s="743" t="str">
        <f t="shared" si="1125"/>
        <v/>
      </c>
      <c r="BD3218" s="743" t="str">
        <f t="shared" si="1126"/>
        <v/>
      </c>
      <c r="BE3218" s="743" t="str">
        <f>IF(D3218="","",VLOOKUP(D3218,'General Basis'!$J$39:$K$46,2,0))</f>
        <v/>
      </c>
      <c r="BF3218" s="744" t="str">
        <f>IF(D3218="","",VLOOKUP(D3218,'General Basis'!$J$39:$L$46,3,0))</f>
        <v/>
      </c>
      <c r="BG3218" s="744" t="str">
        <f t="shared" si="1133"/>
        <v/>
      </c>
      <c r="BH3218" s="744" t="str">
        <f>IF(G3218="","",IF(BF3218="Abu Dhabi",IF(G3218&lt;18,'General Basis'!$C$39,IF(G3218&lt;41,'General Basis'!$C$40,IF(G3218&lt;60,'General Basis'!$C$41,IF(G3218&lt;65,'General Basis'!$C$42,'General Basis'!$C$43)))),IF(G3218&lt;11,'General Basis'!$B$39,IF(G3218&lt;18,'General Basis'!$B$40,IF(G3218&lt;26,'General Basis'!$B$41,IF(G3218&lt;31,'General Basis'!$B$42,IF(G3218&lt;36,'General Basis'!$B$43,IF(G3218&lt;41,'General Basis'!$B$44,IF(G3218&lt;46,'General Basis'!$B$45,IF(G3218&lt;51,'General Basis'!$B$46,IF(G3218&lt;56,'General Basis'!$B$47,IF(G3218&lt;60,'General Basis'!$B$48,IF(G3218&lt;65,'General Basis'!$B$49,'General Basis'!$B$50)))))))))))))</f>
        <v/>
      </c>
      <c r="BI3218" s="744" t="str">
        <f t="shared" si="1127"/>
        <v/>
      </c>
      <c r="BJ3218" s="747" t="str">
        <f t="shared" si="1134"/>
        <v/>
      </c>
      <c r="BK3218" s="498" t="str">
        <f t="shared" si="1128"/>
        <v/>
      </c>
      <c r="BL3218" s="498" t="str">
        <f t="shared" si="1129"/>
        <v/>
      </c>
    </row>
    <row r="3219" spans="1:64" x14ac:dyDescent="0.25">
      <c r="A3219" s="762">
        <f t="shared" si="1130"/>
        <v>3214</v>
      </c>
      <c r="B3219" s="229"/>
      <c r="C3219" s="223"/>
      <c r="D3219" s="224"/>
      <c r="E3219" s="225"/>
      <c r="F3219" s="1036" t="str">
        <f t="shared" si="1136"/>
        <v/>
      </c>
      <c r="G3219" s="1037" t="str">
        <f t="shared" si="1131"/>
        <v/>
      </c>
      <c r="H3219" s="225"/>
      <c r="I3219" s="1013"/>
      <c r="J3219" s="1013"/>
      <c r="K3219" s="1028"/>
      <c r="L3219" s="1035" t="str">
        <f t="shared" si="1135"/>
        <v/>
      </c>
      <c r="S3219" s="498"/>
      <c r="AJ3219" s="498"/>
      <c r="AM3219" s="498">
        <f t="shared" si="1116"/>
        <v>0</v>
      </c>
      <c r="AN3219" s="498">
        <f t="shared" si="1117"/>
        <v>0</v>
      </c>
      <c r="AO3219" s="498">
        <f t="shared" si="1118"/>
        <v>0</v>
      </c>
      <c r="AP3219" s="498">
        <f t="shared" ref="AP3219:AP3282" si="1137">IF(ISBLANK($B3219),0,IF(OR($C3219="M",$C3219="F"),0,1))</f>
        <v>0</v>
      </c>
      <c r="AQ3219" s="498">
        <f t="shared" si="1132"/>
        <v>0</v>
      </c>
      <c r="AU3219" s="498">
        <f t="shared" si="1119"/>
        <v>0</v>
      </c>
      <c r="AV3219" s="498">
        <f t="shared" si="1120"/>
        <v>0</v>
      </c>
      <c r="AW3219" s="498">
        <f t="shared" si="1121"/>
        <v>0</v>
      </c>
      <c r="AX3219" s="498">
        <f t="shared" si="1122"/>
        <v>0</v>
      </c>
      <c r="AY3219" s="498">
        <f t="shared" si="1123"/>
        <v>0</v>
      </c>
      <c r="BB3219" s="498" t="str">
        <f t="shared" si="1124"/>
        <v/>
      </c>
      <c r="BC3219" s="743" t="str">
        <f t="shared" si="1125"/>
        <v/>
      </c>
      <c r="BD3219" s="743" t="str">
        <f t="shared" si="1126"/>
        <v/>
      </c>
      <c r="BE3219" s="743" t="str">
        <f>IF(D3219="","",VLOOKUP(D3219,'General Basis'!$J$39:$K$46,2,0))</f>
        <v/>
      </c>
      <c r="BF3219" s="744" t="str">
        <f>IF(D3219="","",VLOOKUP(D3219,'General Basis'!$J$39:$L$46,3,0))</f>
        <v/>
      </c>
      <c r="BG3219" s="744" t="str">
        <f t="shared" si="1133"/>
        <v/>
      </c>
      <c r="BH3219" s="744" t="str">
        <f>IF(G3219="","",IF(BF3219="Abu Dhabi",IF(G3219&lt;18,'General Basis'!$C$39,IF(G3219&lt;41,'General Basis'!$C$40,IF(G3219&lt;60,'General Basis'!$C$41,IF(G3219&lt;65,'General Basis'!$C$42,'General Basis'!$C$43)))),IF(G3219&lt;11,'General Basis'!$B$39,IF(G3219&lt;18,'General Basis'!$B$40,IF(G3219&lt;26,'General Basis'!$B$41,IF(G3219&lt;31,'General Basis'!$B$42,IF(G3219&lt;36,'General Basis'!$B$43,IF(G3219&lt;41,'General Basis'!$B$44,IF(G3219&lt;46,'General Basis'!$B$45,IF(G3219&lt;51,'General Basis'!$B$46,IF(G3219&lt;56,'General Basis'!$B$47,IF(G3219&lt;60,'General Basis'!$B$48,IF(G3219&lt;65,'General Basis'!$B$49,'General Basis'!$B$50)))))))))))))</f>
        <v/>
      </c>
      <c r="BI3219" s="744" t="str">
        <f t="shared" si="1127"/>
        <v/>
      </c>
      <c r="BJ3219" s="747" t="str">
        <f t="shared" si="1134"/>
        <v/>
      </c>
      <c r="BK3219" s="498" t="str">
        <f t="shared" si="1128"/>
        <v/>
      </c>
      <c r="BL3219" s="498" t="str">
        <f t="shared" si="1129"/>
        <v/>
      </c>
    </row>
    <row r="3220" spans="1:64" x14ac:dyDescent="0.25">
      <c r="A3220" s="762">
        <f t="shared" si="1130"/>
        <v>3215</v>
      </c>
      <c r="B3220" s="229"/>
      <c r="C3220" s="223"/>
      <c r="D3220" s="224"/>
      <c r="E3220" s="225"/>
      <c r="F3220" s="1036" t="str">
        <f t="shared" si="1136"/>
        <v/>
      </c>
      <c r="G3220" s="1037" t="str">
        <f t="shared" si="1131"/>
        <v/>
      </c>
      <c r="H3220" s="225"/>
      <c r="I3220" s="1013"/>
      <c r="J3220" s="1013"/>
      <c r="K3220" s="1028"/>
      <c r="L3220" s="1035" t="str">
        <f t="shared" si="1135"/>
        <v/>
      </c>
      <c r="S3220" s="498"/>
      <c r="AJ3220" s="498"/>
      <c r="AM3220" s="498">
        <f t="shared" si="1116"/>
        <v>0</v>
      </c>
      <c r="AN3220" s="498">
        <f t="shared" si="1117"/>
        <v>0</v>
      </c>
      <c r="AO3220" s="498">
        <f t="shared" si="1118"/>
        <v>0</v>
      </c>
      <c r="AP3220" s="498">
        <f t="shared" si="1137"/>
        <v>0</v>
      </c>
      <c r="AQ3220" s="498">
        <f t="shared" si="1132"/>
        <v>0</v>
      </c>
      <c r="AU3220" s="498">
        <f t="shared" si="1119"/>
        <v>0</v>
      </c>
      <c r="AV3220" s="498">
        <f t="shared" si="1120"/>
        <v>0</v>
      </c>
      <c r="AW3220" s="498">
        <f t="shared" si="1121"/>
        <v>0</v>
      </c>
      <c r="AX3220" s="498">
        <f t="shared" si="1122"/>
        <v>0</v>
      </c>
      <c r="AY3220" s="498">
        <f t="shared" si="1123"/>
        <v>0</v>
      </c>
      <c r="BB3220" s="498" t="str">
        <f t="shared" si="1124"/>
        <v/>
      </c>
      <c r="BC3220" s="743" t="str">
        <f t="shared" si="1125"/>
        <v/>
      </c>
      <c r="BD3220" s="743" t="str">
        <f t="shared" si="1126"/>
        <v/>
      </c>
      <c r="BE3220" s="743" t="str">
        <f>IF(D3220="","",VLOOKUP(D3220,'General Basis'!$J$39:$K$46,2,0))</f>
        <v/>
      </c>
      <c r="BF3220" s="744" t="str">
        <f>IF(D3220="","",VLOOKUP(D3220,'General Basis'!$J$39:$L$46,3,0))</f>
        <v/>
      </c>
      <c r="BG3220" s="744" t="str">
        <f t="shared" si="1133"/>
        <v/>
      </c>
      <c r="BH3220" s="744" t="str">
        <f>IF(G3220="","",IF(BF3220="Abu Dhabi",IF(G3220&lt;18,'General Basis'!$C$39,IF(G3220&lt;41,'General Basis'!$C$40,IF(G3220&lt;60,'General Basis'!$C$41,IF(G3220&lt;65,'General Basis'!$C$42,'General Basis'!$C$43)))),IF(G3220&lt;11,'General Basis'!$B$39,IF(G3220&lt;18,'General Basis'!$B$40,IF(G3220&lt;26,'General Basis'!$B$41,IF(G3220&lt;31,'General Basis'!$B$42,IF(G3220&lt;36,'General Basis'!$B$43,IF(G3220&lt;41,'General Basis'!$B$44,IF(G3220&lt;46,'General Basis'!$B$45,IF(G3220&lt;51,'General Basis'!$B$46,IF(G3220&lt;56,'General Basis'!$B$47,IF(G3220&lt;60,'General Basis'!$B$48,IF(G3220&lt;65,'General Basis'!$B$49,'General Basis'!$B$50)))))))))))))</f>
        <v/>
      </c>
      <c r="BI3220" s="744" t="str">
        <f t="shared" si="1127"/>
        <v/>
      </c>
      <c r="BJ3220" s="747" t="str">
        <f t="shared" si="1134"/>
        <v/>
      </c>
      <c r="BK3220" s="498" t="str">
        <f t="shared" si="1128"/>
        <v/>
      </c>
      <c r="BL3220" s="498" t="str">
        <f t="shared" si="1129"/>
        <v/>
      </c>
    </row>
    <row r="3221" spans="1:64" x14ac:dyDescent="0.25">
      <c r="A3221" s="762">
        <f t="shared" si="1130"/>
        <v>3216</v>
      </c>
      <c r="B3221" s="229"/>
      <c r="C3221" s="223"/>
      <c r="D3221" s="224"/>
      <c r="E3221" s="225"/>
      <c r="F3221" s="1036" t="str">
        <f t="shared" si="1136"/>
        <v/>
      </c>
      <c r="G3221" s="1037" t="str">
        <f t="shared" si="1131"/>
        <v/>
      </c>
      <c r="H3221" s="225"/>
      <c r="I3221" s="1013"/>
      <c r="J3221" s="1013"/>
      <c r="K3221" s="1028"/>
      <c r="L3221" s="1035" t="str">
        <f t="shared" si="1135"/>
        <v/>
      </c>
      <c r="S3221" s="498"/>
      <c r="AJ3221" s="498"/>
      <c r="AM3221" s="498">
        <f t="shared" si="1116"/>
        <v>0</v>
      </c>
      <c r="AN3221" s="498">
        <f t="shared" si="1117"/>
        <v>0</v>
      </c>
      <c r="AO3221" s="498">
        <f t="shared" si="1118"/>
        <v>0</v>
      </c>
      <c r="AP3221" s="498">
        <f t="shared" si="1137"/>
        <v>0</v>
      </c>
      <c r="AQ3221" s="498">
        <f t="shared" si="1132"/>
        <v>0</v>
      </c>
      <c r="AU3221" s="498">
        <f t="shared" si="1119"/>
        <v>0</v>
      </c>
      <c r="AV3221" s="498">
        <f t="shared" si="1120"/>
        <v>0</v>
      </c>
      <c r="AW3221" s="498">
        <f t="shared" si="1121"/>
        <v>0</v>
      </c>
      <c r="AX3221" s="498">
        <f t="shared" si="1122"/>
        <v>0</v>
      </c>
      <c r="AY3221" s="498">
        <f t="shared" si="1123"/>
        <v>0</v>
      </c>
      <c r="BB3221" s="498" t="str">
        <f t="shared" si="1124"/>
        <v/>
      </c>
      <c r="BC3221" s="743" t="str">
        <f t="shared" si="1125"/>
        <v/>
      </c>
      <c r="BD3221" s="743" t="str">
        <f t="shared" si="1126"/>
        <v/>
      </c>
      <c r="BE3221" s="743" t="str">
        <f>IF(D3221="","",VLOOKUP(D3221,'General Basis'!$J$39:$K$46,2,0))</f>
        <v/>
      </c>
      <c r="BF3221" s="744" t="str">
        <f>IF(D3221="","",VLOOKUP(D3221,'General Basis'!$J$39:$L$46,3,0))</f>
        <v/>
      </c>
      <c r="BG3221" s="744" t="str">
        <f t="shared" si="1133"/>
        <v/>
      </c>
      <c r="BH3221" s="744" t="str">
        <f>IF(G3221="","",IF(BF3221="Abu Dhabi",IF(G3221&lt;18,'General Basis'!$C$39,IF(G3221&lt;41,'General Basis'!$C$40,IF(G3221&lt;60,'General Basis'!$C$41,IF(G3221&lt;65,'General Basis'!$C$42,'General Basis'!$C$43)))),IF(G3221&lt;11,'General Basis'!$B$39,IF(G3221&lt;18,'General Basis'!$B$40,IF(G3221&lt;26,'General Basis'!$B$41,IF(G3221&lt;31,'General Basis'!$B$42,IF(G3221&lt;36,'General Basis'!$B$43,IF(G3221&lt;41,'General Basis'!$B$44,IF(G3221&lt;46,'General Basis'!$B$45,IF(G3221&lt;51,'General Basis'!$B$46,IF(G3221&lt;56,'General Basis'!$B$47,IF(G3221&lt;60,'General Basis'!$B$48,IF(G3221&lt;65,'General Basis'!$B$49,'General Basis'!$B$50)))))))))))))</f>
        <v/>
      </c>
      <c r="BI3221" s="744" t="str">
        <f t="shared" si="1127"/>
        <v/>
      </c>
      <c r="BJ3221" s="747" t="str">
        <f t="shared" si="1134"/>
        <v/>
      </c>
      <c r="BK3221" s="498" t="str">
        <f t="shared" si="1128"/>
        <v/>
      </c>
      <c r="BL3221" s="498" t="str">
        <f t="shared" si="1129"/>
        <v/>
      </c>
    </row>
    <row r="3222" spans="1:64" x14ac:dyDescent="0.25">
      <c r="A3222" s="762">
        <f t="shared" si="1130"/>
        <v>3217</v>
      </c>
      <c r="B3222" s="229"/>
      <c r="C3222" s="223"/>
      <c r="D3222" s="224"/>
      <c r="E3222" s="225"/>
      <c r="F3222" s="1036" t="str">
        <f t="shared" si="1136"/>
        <v/>
      </c>
      <c r="G3222" s="1037" t="str">
        <f t="shared" si="1131"/>
        <v/>
      </c>
      <c r="H3222" s="225"/>
      <c r="I3222" s="1013"/>
      <c r="J3222" s="1013"/>
      <c r="K3222" s="1028"/>
      <c r="L3222" s="1035" t="str">
        <f t="shared" si="1135"/>
        <v/>
      </c>
      <c r="S3222" s="498"/>
      <c r="AJ3222" s="498"/>
      <c r="AM3222" s="498">
        <f t="shared" si="1116"/>
        <v>0</v>
      </c>
      <c r="AN3222" s="498">
        <f t="shared" si="1117"/>
        <v>0</v>
      </c>
      <c r="AO3222" s="498">
        <f t="shared" si="1118"/>
        <v>0</v>
      </c>
      <c r="AP3222" s="498">
        <f t="shared" si="1137"/>
        <v>0</v>
      </c>
      <c r="AQ3222" s="498">
        <f t="shared" si="1132"/>
        <v>0</v>
      </c>
      <c r="AU3222" s="498">
        <f t="shared" si="1119"/>
        <v>0</v>
      </c>
      <c r="AV3222" s="498">
        <f t="shared" si="1120"/>
        <v>0</v>
      </c>
      <c r="AW3222" s="498">
        <f t="shared" si="1121"/>
        <v>0</v>
      </c>
      <c r="AX3222" s="498">
        <f t="shared" si="1122"/>
        <v>0</v>
      </c>
      <c r="AY3222" s="498">
        <f t="shared" si="1123"/>
        <v>0</v>
      </c>
      <c r="BB3222" s="498" t="str">
        <f t="shared" si="1124"/>
        <v/>
      </c>
      <c r="BC3222" s="743" t="str">
        <f t="shared" si="1125"/>
        <v/>
      </c>
      <c r="BD3222" s="743" t="str">
        <f t="shared" si="1126"/>
        <v/>
      </c>
      <c r="BE3222" s="743" t="str">
        <f>IF(D3222="","",VLOOKUP(D3222,'General Basis'!$J$39:$K$46,2,0))</f>
        <v/>
      </c>
      <c r="BF3222" s="744" t="str">
        <f>IF(D3222="","",VLOOKUP(D3222,'General Basis'!$J$39:$L$46,3,0))</f>
        <v/>
      </c>
      <c r="BG3222" s="744" t="str">
        <f t="shared" si="1133"/>
        <v/>
      </c>
      <c r="BH3222" s="744" t="str">
        <f>IF(G3222="","",IF(BF3222="Abu Dhabi",IF(G3222&lt;18,'General Basis'!$C$39,IF(G3222&lt;41,'General Basis'!$C$40,IF(G3222&lt;60,'General Basis'!$C$41,IF(G3222&lt;65,'General Basis'!$C$42,'General Basis'!$C$43)))),IF(G3222&lt;11,'General Basis'!$B$39,IF(G3222&lt;18,'General Basis'!$B$40,IF(G3222&lt;26,'General Basis'!$B$41,IF(G3222&lt;31,'General Basis'!$B$42,IF(G3222&lt;36,'General Basis'!$B$43,IF(G3222&lt;41,'General Basis'!$B$44,IF(G3222&lt;46,'General Basis'!$B$45,IF(G3222&lt;51,'General Basis'!$B$46,IF(G3222&lt;56,'General Basis'!$B$47,IF(G3222&lt;60,'General Basis'!$B$48,IF(G3222&lt;65,'General Basis'!$B$49,'General Basis'!$B$50)))))))))))))</f>
        <v/>
      </c>
      <c r="BI3222" s="744" t="str">
        <f t="shared" si="1127"/>
        <v/>
      </c>
      <c r="BJ3222" s="747" t="str">
        <f t="shared" si="1134"/>
        <v/>
      </c>
      <c r="BK3222" s="498" t="str">
        <f t="shared" si="1128"/>
        <v/>
      </c>
      <c r="BL3222" s="498" t="str">
        <f t="shared" si="1129"/>
        <v/>
      </c>
    </row>
    <row r="3223" spans="1:64" x14ac:dyDescent="0.25">
      <c r="A3223" s="762">
        <f t="shared" si="1130"/>
        <v>3218</v>
      </c>
      <c r="B3223" s="229"/>
      <c r="C3223" s="223"/>
      <c r="D3223" s="224"/>
      <c r="E3223" s="225"/>
      <c r="F3223" s="1036" t="str">
        <f t="shared" si="1136"/>
        <v/>
      </c>
      <c r="G3223" s="1037" t="str">
        <f t="shared" si="1131"/>
        <v/>
      </c>
      <c r="H3223" s="225"/>
      <c r="I3223" s="1013"/>
      <c r="J3223" s="1013"/>
      <c r="K3223" s="1028"/>
      <c r="L3223" s="1035" t="str">
        <f t="shared" si="1135"/>
        <v/>
      </c>
      <c r="S3223" s="498"/>
      <c r="AJ3223" s="498"/>
      <c r="AM3223" s="498">
        <f t="shared" si="1116"/>
        <v>0</v>
      </c>
      <c r="AN3223" s="498">
        <f t="shared" si="1117"/>
        <v>0</v>
      </c>
      <c r="AO3223" s="498">
        <f t="shared" si="1118"/>
        <v>0</v>
      </c>
      <c r="AP3223" s="498">
        <f t="shared" si="1137"/>
        <v>0</v>
      </c>
      <c r="AQ3223" s="498">
        <f t="shared" si="1132"/>
        <v>0</v>
      </c>
      <c r="AU3223" s="498">
        <f t="shared" si="1119"/>
        <v>0</v>
      </c>
      <c r="AV3223" s="498">
        <f t="shared" si="1120"/>
        <v>0</v>
      </c>
      <c r="AW3223" s="498">
        <f t="shared" si="1121"/>
        <v>0</v>
      </c>
      <c r="AX3223" s="498">
        <f t="shared" si="1122"/>
        <v>0</v>
      </c>
      <c r="AY3223" s="498">
        <f t="shared" si="1123"/>
        <v>0</v>
      </c>
      <c r="BB3223" s="498" t="str">
        <f t="shared" si="1124"/>
        <v/>
      </c>
      <c r="BC3223" s="743" t="str">
        <f t="shared" si="1125"/>
        <v/>
      </c>
      <c r="BD3223" s="743" t="str">
        <f t="shared" si="1126"/>
        <v/>
      </c>
      <c r="BE3223" s="743" t="str">
        <f>IF(D3223="","",VLOOKUP(D3223,'General Basis'!$J$39:$K$46,2,0))</f>
        <v/>
      </c>
      <c r="BF3223" s="744" t="str">
        <f>IF(D3223="","",VLOOKUP(D3223,'General Basis'!$J$39:$L$46,3,0))</f>
        <v/>
      </c>
      <c r="BG3223" s="744" t="str">
        <f t="shared" si="1133"/>
        <v/>
      </c>
      <c r="BH3223" s="744" t="str">
        <f>IF(G3223="","",IF(BF3223="Abu Dhabi",IF(G3223&lt;18,'General Basis'!$C$39,IF(G3223&lt;41,'General Basis'!$C$40,IF(G3223&lt;60,'General Basis'!$C$41,IF(G3223&lt;65,'General Basis'!$C$42,'General Basis'!$C$43)))),IF(G3223&lt;11,'General Basis'!$B$39,IF(G3223&lt;18,'General Basis'!$B$40,IF(G3223&lt;26,'General Basis'!$B$41,IF(G3223&lt;31,'General Basis'!$B$42,IF(G3223&lt;36,'General Basis'!$B$43,IF(G3223&lt;41,'General Basis'!$B$44,IF(G3223&lt;46,'General Basis'!$B$45,IF(G3223&lt;51,'General Basis'!$B$46,IF(G3223&lt;56,'General Basis'!$B$47,IF(G3223&lt;60,'General Basis'!$B$48,IF(G3223&lt;65,'General Basis'!$B$49,'General Basis'!$B$50)))))))))))))</f>
        <v/>
      </c>
      <c r="BI3223" s="744" t="str">
        <f t="shared" si="1127"/>
        <v/>
      </c>
      <c r="BJ3223" s="747" t="str">
        <f t="shared" si="1134"/>
        <v/>
      </c>
      <c r="BK3223" s="498" t="str">
        <f t="shared" si="1128"/>
        <v/>
      </c>
      <c r="BL3223" s="498" t="str">
        <f t="shared" si="1129"/>
        <v/>
      </c>
    </row>
    <row r="3224" spans="1:64" x14ac:dyDescent="0.25">
      <c r="A3224" s="762">
        <f t="shared" si="1130"/>
        <v>3219</v>
      </c>
      <c r="B3224" s="229"/>
      <c r="C3224" s="223"/>
      <c r="D3224" s="224"/>
      <c r="E3224" s="225"/>
      <c r="F3224" s="1036" t="str">
        <f t="shared" si="1136"/>
        <v/>
      </c>
      <c r="G3224" s="1037" t="str">
        <f t="shared" si="1131"/>
        <v/>
      </c>
      <c r="H3224" s="225"/>
      <c r="I3224" s="1013"/>
      <c r="J3224" s="1013"/>
      <c r="K3224" s="1028"/>
      <c r="L3224" s="1035" t="str">
        <f t="shared" si="1135"/>
        <v/>
      </c>
      <c r="S3224" s="498"/>
      <c r="AJ3224" s="498"/>
      <c r="AM3224" s="498">
        <f t="shared" si="1116"/>
        <v>0</v>
      </c>
      <c r="AN3224" s="498">
        <f t="shared" si="1117"/>
        <v>0</v>
      </c>
      <c r="AO3224" s="498">
        <f t="shared" si="1118"/>
        <v>0</v>
      </c>
      <c r="AP3224" s="498">
        <f t="shared" si="1137"/>
        <v>0</v>
      </c>
      <c r="AQ3224" s="498">
        <f t="shared" si="1132"/>
        <v>0</v>
      </c>
      <c r="AU3224" s="498">
        <f t="shared" si="1119"/>
        <v>0</v>
      </c>
      <c r="AV3224" s="498">
        <f t="shared" si="1120"/>
        <v>0</v>
      </c>
      <c r="AW3224" s="498">
        <f t="shared" si="1121"/>
        <v>0</v>
      </c>
      <c r="AX3224" s="498">
        <f t="shared" si="1122"/>
        <v>0</v>
      </c>
      <c r="AY3224" s="498">
        <f t="shared" si="1123"/>
        <v>0</v>
      </c>
      <c r="BB3224" s="498" t="str">
        <f t="shared" si="1124"/>
        <v/>
      </c>
      <c r="BC3224" s="743" t="str">
        <f t="shared" si="1125"/>
        <v/>
      </c>
      <c r="BD3224" s="743" t="str">
        <f t="shared" si="1126"/>
        <v/>
      </c>
      <c r="BE3224" s="743" t="str">
        <f>IF(D3224="","",VLOOKUP(D3224,'General Basis'!$J$39:$K$46,2,0))</f>
        <v/>
      </c>
      <c r="BF3224" s="744" t="str">
        <f>IF(D3224="","",VLOOKUP(D3224,'General Basis'!$J$39:$L$46,3,0))</f>
        <v/>
      </c>
      <c r="BG3224" s="744" t="str">
        <f t="shared" si="1133"/>
        <v/>
      </c>
      <c r="BH3224" s="744" t="str">
        <f>IF(G3224="","",IF(BF3224="Abu Dhabi",IF(G3224&lt;18,'General Basis'!$C$39,IF(G3224&lt;41,'General Basis'!$C$40,IF(G3224&lt;60,'General Basis'!$C$41,IF(G3224&lt;65,'General Basis'!$C$42,'General Basis'!$C$43)))),IF(G3224&lt;11,'General Basis'!$B$39,IF(G3224&lt;18,'General Basis'!$B$40,IF(G3224&lt;26,'General Basis'!$B$41,IF(G3224&lt;31,'General Basis'!$B$42,IF(G3224&lt;36,'General Basis'!$B$43,IF(G3224&lt;41,'General Basis'!$B$44,IF(G3224&lt;46,'General Basis'!$B$45,IF(G3224&lt;51,'General Basis'!$B$46,IF(G3224&lt;56,'General Basis'!$B$47,IF(G3224&lt;60,'General Basis'!$B$48,IF(G3224&lt;65,'General Basis'!$B$49,'General Basis'!$B$50)))))))))))))</f>
        <v/>
      </c>
      <c r="BI3224" s="744" t="str">
        <f t="shared" si="1127"/>
        <v/>
      </c>
      <c r="BJ3224" s="747" t="str">
        <f t="shared" si="1134"/>
        <v/>
      </c>
      <c r="BK3224" s="498" t="str">
        <f t="shared" si="1128"/>
        <v/>
      </c>
      <c r="BL3224" s="498" t="str">
        <f t="shared" si="1129"/>
        <v/>
      </c>
    </row>
    <row r="3225" spans="1:64" x14ac:dyDescent="0.25">
      <c r="A3225" s="762">
        <f t="shared" si="1130"/>
        <v>3220</v>
      </c>
      <c r="B3225" s="229"/>
      <c r="C3225" s="223"/>
      <c r="D3225" s="224"/>
      <c r="E3225" s="225"/>
      <c r="F3225" s="1036" t="str">
        <f t="shared" si="1136"/>
        <v/>
      </c>
      <c r="G3225" s="1037" t="str">
        <f t="shared" si="1131"/>
        <v/>
      </c>
      <c r="H3225" s="225"/>
      <c r="I3225" s="1013"/>
      <c r="J3225" s="1013"/>
      <c r="K3225" s="1028"/>
      <c r="L3225" s="1035" t="str">
        <f t="shared" si="1135"/>
        <v/>
      </c>
      <c r="S3225" s="498"/>
      <c r="AJ3225" s="498"/>
      <c r="AM3225" s="498">
        <f t="shared" si="1116"/>
        <v>0</v>
      </c>
      <c r="AN3225" s="498">
        <f t="shared" si="1117"/>
        <v>0</v>
      </c>
      <c r="AO3225" s="498">
        <f t="shared" si="1118"/>
        <v>0</v>
      </c>
      <c r="AP3225" s="498">
        <f t="shared" si="1137"/>
        <v>0</v>
      </c>
      <c r="AQ3225" s="498">
        <f t="shared" si="1132"/>
        <v>0</v>
      </c>
      <c r="AU3225" s="498">
        <f t="shared" si="1119"/>
        <v>0</v>
      </c>
      <c r="AV3225" s="498">
        <f t="shared" si="1120"/>
        <v>0</v>
      </c>
      <c r="AW3225" s="498">
        <f t="shared" si="1121"/>
        <v>0</v>
      </c>
      <c r="AX3225" s="498">
        <f t="shared" si="1122"/>
        <v>0</v>
      </c>
      <c r="AY3225" s="498">
        <f t="shared" si="1123"/>
        <v>0</v>
      </c>
      <c r="BB3225" s="498" t="str">
        <f t="shared" si="1124"/>
        <v/>
      </c>
      <c r="BC3225" s="743" t="str">
        <f t="shared" si="1125"/>
        <v/>
      </c>
      <c r="BD3225" s="743" t="str">
        <f t="shared" si="1126"/>
        <v/>
      </c>
      <c r="BE3225" s="743" t="str">
        <f>IF(D3225="","",VLOOKUP(D3225,'General Basis'!$J$39:$K$46,2,0))</f>
        <v/>
      </c>
      <c r="BF3225" s="744" t="str">
        <f>IF(D3225="","",VLOOKUP(D3225,'General Basis'!$J$39:$L$46,3,0))</f>
        <v/>
      </c>
      <c r="BG3225" s="744" t="str">
        <f t="shared" si="1133"/>
        <v/>
      </c>
      <c r="BH3225" s="744" t="str">
        <f>IF(G3225="","",IF(BF3225="Abu Dhabi",IF(G3225&lt;18,'General Basis'!$C$39,IF(G3225&lt;41,'General Basis'!$C$40,IF(G3225&lt;60,'General Basis'!$C$41,IF(G3225&lt;65,'General Basis'!$C$42,'General Basis'!$C$43)))),IF(G3225&lt;11,'General Basis'!$B$39,IF(G3225&lt;18,'General Basis'!$B$40,IF(G3225&lt;26,'General Basis'!$B$41,IF(G3225&lt;31,'General Basis'!$B$42,IF(G3225&lt;36,'General Basis'!$B$43,IF(G3225&lt;41,'General Basis'!$B$44,IF(G3225&lt;46,'General Basis'!$B$45,IF(G3225&lt;51,'General Basis'!$B$46,IF(G3225&lt;56,'General Basis'!$B$47,IF(G3225&lt;60,'General Basis'!$B$48,IF(G3225&lt;65,'General Basis'!$B$49,'General Basis'!$B$50)))))))))))))</f>
        <v/>
      </c>
      <c r="BI3225" s="744" t="str">
        <f t="shared" si="1127"/>
        <v/>
      </c>
      <c r="BJ3225" s="747" t="str">
        <f t="shared" si="1134"/>
        <v/>
      </c>
      <c r="BK3225" s="498" t="str">
        <f t="shared" si="1128"/>
        <v/>
      </c>
      <c r="BL3225" s="498" t="str">
        <f t="shared" si="1129"/>
        <v/>
      </c>
    </row>
    <row r="3226" spans="1:64" x14ac:dyDescent="0.25">
      <c r="A3226" s="762">
        <f t="shared" si="1130"/>
        <v>3221</v>
      </c>
      <c r="B3226" s="229"/>
      <c r="C3226" s="223"/>
      <c r="D3226" s="224"/>
      <c r="E3226" s="225"/>
      <c r="F3226" s="1036" t="str">
        <f t="shared" si="1136"/>
        <v/>
      </c>
      <c r="G3226" s="1037" t="str">
        <f t="shared" si="1131"/>
        <v/>
      </c>
      <c r="H3226" s="225"/>
      <c r="I3226" s="1013"/>
      <c r="J3226" s="1013"/>
      <c r="K3226" s="1028"/>
      <c r="L3226" s="1035" t="str">
        <f t="shared" si="1135"/>
        <v/>
      </c>
      <c r="S3226" s="498"/>
      <c r="AJ3226" s="498"/>
      <c r="AM3226" s="498">
        <f t="shared" si="1116"/>
        <v>0</v>
      </c>
      <c r="AN3226" s="498">
        <f t="shared" si="1117"/>
        <v>0</v>
      </c>
      <c r="AO3226" s="498">
        <f t="shared" si="1118"/>
        <v>0</v>
      </c>
      <c r="AP3226" s="498">
        <f t="shared" si="1137"/>
        <v>0</v>
      </c>
      <c r="AQ3226" s="498">
        <f t="shared" si="1132"/>
        <v>0</v>
      </c>
      <c r="AU3226" s="498">
        <f t="shared" si="1119"/>
        <v>0</v>
      </c>
      <c r="AV3226" s="498">
        <f t="shared" si="1120"/>
        <v>0</v>
      </c>
      <c r="AW3226" s="498">
        <f t="shared" si="1121"/>
        <v>0</v>
      </c>
      <c r="AX3226" s="498">
        <f t="shared" si="1122"/>
        <v>0</v>
      </c>
      <c r="AY3226" s="498">
        <f t="shared" si="1123"/>
        <v>0</v>
      </c>
      <c r="BB3226" s="498" t="str">
        <f t="shared" si="1124"/>
        <v/>
      </c>
      <c r="BC3226" s="743" t="str">
        <f t="shared" si="1125"/>
        <v/>
      </c>
      <c r="BD3226" s="743" t="str">
        <f t="shared" si="1126"/>
        <v/>
      </c>
      <c r="BE3226" s="743" t="str">
        <f>IF(D3226="","",VLOOKUP(D3226,'General Basis'!$J$39:$K$46,2,0))</f>
        <v/>
      </c>
      <c r="BF3226" s="744" t="str">
        <f>IF(D3226="","",VLOOKUP(D3226,'General Basis'!$J$39:$L$46,3,0))</f>
        <v/>
      </c>
      <c r="BG3226" s="744" t="str">
        <f t="shared" si="1133"/>
        <v/>
      </c>
      <c r="BH3226" s="744" t="str">
        <f>IF(G3226="","",IF(BF3226="Abu Dhabi",IF(G3226&lt;18,'General Basis'!$C$39,IF(G3226&lt;41,'General Basis'!$C$40,IF(G3226&lt;60,'General Basis'!$C$41,IF(G3226&lt;65,'General Basis'!$C$42,'General Basis'!$C$43)))),IF(G3226&lt;11,'General Basis'!$B$39,IF(G3226&lt;18,'General Basis'!$B$40,IF(G3226&lt;26,'General Basis'!$B$41,IF(G3226&lt;31,'General Basis'!$B$42,IF(G3226&lt;36,'General Basis'!$B$43,IF(G3226&lt;41,'General Basis'!$B$44,IF(G3226&lt;46,'General Basis'!$B$45,IF(G3226&lt;51,'General Basis'!$B$46,IF(G3226&lt;56,'General Basis'!$B$47,IF(G3226&lt;60,'General Basis'!$B$48,IF(G3226&lt;65,'General Basis'!$B$49,'General Basis'!$B$50)))))))))))))</f>
        <v/>
      </c>
      <c r="BI3226" s="744" t="str">
        <f t="shared" si="1127"/>
        <v/>
      </c>
      <c r="BJ3226" s="747" t="str">
        <f t="shared" si="1134"/>
        <v/>
      </c>
      <c r="BK3226" s="498" t="str">
        <f t="shared" si="1128"/>
        <v/>
      </c>
      <c r="BL3226" s="498" t="str">
        <f t="shared" si="1129"/>
        <v/>
      </c>
    </row>
    <row r="3227" spans="1:64" x14ac:dyDescent="0.25">
      <c r="A3227" s="762">
        <f t="shared" si="1130"/>
        <v>3222</v>
      </c>
      <c r="B3227" s="229"/>
      <c r="C3227" s="223"/>
      <c r="D3227" s="224"/>
      <c r="E3227" s="225"/>
      <c r="F3227" s="1036" t="str">
        <f t="shared" si="1136"/>
        <v/>
      </c>
      <c r="G3227" s="1037" t="str">
        <f t="shared" si="1131"/>
        <v/>
      </c>
      <c r="H3227" s="225"/>
      <c r="I3227" s="1013"/>
      <c r="J3227" s="1013"/>
      <c r="K3227" s="1028"/>
      <c r="L3227" s="1035" t="str">
        <f t="shared" si="1135"/>
        <v/>
      </c>
      <c r="S3227" s="498"/>
      <c r="AJ3227" s="498"/>
      <c r="AM3227" s="498">
        <f t="shared" si="1116"/>
        <v>0</v>
      </c>
      <c r="AN3227" s="498">
        <f t="shared" si="1117"/>
        <v>0</v>
      </c>
      <c r="AO3227" s="498">
        <f t="shared" si="1118"/>
        <v>0</v>
      </c>
      <c r="AP3227" s="498">
        <f t="shared" si="1137"/>
        <v>0</v>
      </c>
      <c r="AQ3227" s="498">
        <f t="shared" si="1132"/>
        <v>0</v>
      </c>
      <c r="AU3227" s="498">
        <f t="shared" si="1119"/>
        <v>0</v>
      </c>
      <c r="AV3227" s="498">
        <f t="shared" si="1120"/>
        <v>0</v>
      </c>
      <c r="AW3227" s="498">
        <f t="shared" si="1121"/>
        <v>0</v>
      </c>
      <c r="AX3227" s="498">
        <f t="shared" si="1122"/>
        <v>0</v>
      </c>
      <c r="AY3227" s="498">
        <f t="shared" si="1123"/>
        <v>0</v>
      </c>
      <c r="BB3227" s="498" t="str">
        <f t="shared" si="1124"/>
        <v/>
      </c>
      <c r="BC3227" s="743" t="str">
        <f t="shared" si="1125"/>
        <v/>
      </c>
      <c r="BD3227" s="743" t="str">
        <f t="shared" si="1126"/>
        <v/>
      </c>
      <c r="BE3227" s="743" t="str">
        <f>IF(D3227="","",VLOOKUP(D3227,'General Basis'!$J$39:$K$46,2,0))</f>
        <v/>
      </c>
      <c r="BF3227" s="744" t="str">
        <f>IF(D3227="","",VLOOKUP(D3227,'General Basis'!$J$39:$L$46,3,0))</f>
        <v/>
      </c>
      <c r="BG3227" s="744" t="str">
        <f t="shared" si="1133"/>
        <v/>
      </c>
      <c r="BH3227" s="744" t="str">
        <f>IF(G3227="","",IF(BF3227="Abu Dhabi",IF(G3227&lt;18,'General Basis'!$C$39,IF(G3227&lt;41,'General Basis'!$C$40,IF(G3227&lt;60,'General Basis'!$C$41,IF(G3227&lt;65,'General Basis'!$C$42,'General Basis'!$C$43)))),IF(G3227&lt;11,'General Basis'!$B$39,IF(G3227&lt;18,'General Basis'!$B$40,IF(G3227&lt;26,'General Basis'!$B$41,IF(G3227&lt;31,'General Basis'!$B$42,IF(G3227&lt;36,'General Basis'!$B$43,IF(G3227&lt;41,'General Basis'!$B$44,IF(G3227&lt;46,'General Basis'!$B$45,IF(G3227&lt;51,'General Basis'!$B$46,IF(G3227&lt;56,'General Basis'!$B$47,IF(G3227&lt;60,'General Basis'!$B$48,IF(G3227&lt;65,'General Basis'!$B$49,'General Basis'!$B$50)))))))))))))</f>
        <v/>
      </c>
      <c r="BI3227" s="744" t="str">
        <f t="shared" si="1127"/>
        <v/>
      </c>
      <c r="BJ3227" s="747" t="str">
        <f t="shared" si="1134"/>
        <v/>
      </c>
      <c r="BK3227" s="498" t="str">
        <f t="shared" si="1128"/>
        <v/>
      </c>
      <c r="BL3227" s="498" t="str">
        <f t="shared" si="1129"/>
        <v/>
      </c>
    </row>
    <row r="3228" spans="1:64" x14ac:dyDescent="0.25">
      <c r="A3228" s="762">
        <f t="shared" si="1130"/>
        <v>3223</v>
      </c>
      <c r="B3228" s="229"/>
      <c r="C3228" s="223"/>
      <c r="D3228" s="224"/>
      <c r="E3228" s="225"/>
      <c r="F3228" s="1036" t="str">
        <f t="shared" si="1136"/>
        <v/>
      </c>
      <c r="G3228" s="1037" t="str">
        <f t="shared" si="1131"/>
        <v/>
      </c>
      <c r="H3228" s="225"/>
      <c r="I3228" s="1013"/>
      <c r="J3228" s="1013"/>
      <c r="K3228" s="1028"/>
      <c r="L3228" s="1035" t="str">
        <f t="shared" si="1135"/>
        <v/>
      </c>
      <c r="S3228" s="498"/>
      <c r="AJ3228" s="498"/>
      <c r="AM3228" s="498">
        <f t="shared" si="1116"/>
        <v>0</v>
      </c>
      <c r="AN3228" s="498">
        <f t="shared" si="1117"/>
        <v>0</v>
      </c>
      <c r="AO3228" s="498">
        <f t="shared" si="1118"/>
        <v>0</v>
      </c>
      <c r="AP3228" s="498">
        <f t="shared" si="1137"/>
        <v>0</v>
      </c>
      <c r="AQ3228" s="498">
        <f t="shared" si="1132"/>
        <v>0</v>
      </c>
      <c r="AU3228" s="498">
        <f t="shared" si="1119"/>
        <v>0</v>
      </c>
      <c r="AV3228" s="498">
        <f t="shared" si="1120"/>
        <v>0</v>
      </c>
      <c r="AW3228" s="498">
        <f t="shared" si="1121"/>
        <v>0</v>
      </c>
      <c r="AX3228" s="498">
        <f t="shared" si="1122"/>
        <v>0</v>
      </c>
      <c r="AY3228" s="498">
        <f t="shared" si="1123"/>
        <v>0</v>
      </c>
      <c r="BB3228" s="498" t="str">
        <f t="shared" si="1124"/>
        <v/>
      </c>
      <c r="BC3228" s="743" t="str">
        <f t="shared" si="1125"/>
        <v/>
      </c>
      <c r="BD3228" s="743" t="str">
        <f t="shared" si="1126"/>
        <v/>
      </c>
      <c r="BE3228" s="743" t="str">
        <f>IF(D3228="","",VLOOKUP(D3228,'General Basis'!$J$39:$K$46,2,0))</f>
        <v/>
      </c>
      <c r="BF3228" s="744" t="str">
        <f>IF(D3228="","",VLOOKUP(D3228,'General Basis'!$J$39:$L$46,3,0))</f>
        <v/>
      </c>
      <c r="BG3228" s="744" t="str">
        <f t="shared" si="1133"/>
        <v/>
      </c>
      <c r="BH3228" s="744" t="str">
        <f>IF(G3228="","",IF(BF3228="Abu Dhabi",IF(G3228&lt;18,'General Basis'!$C$39,IF(G3228&lt;41,'General Basis'!$C$40,IF(G3228&lt;60,'General Basis'!$C$41,IF(G3228&lt;65,'General Basis'!$C$42,'General Basis'!$C$43)))),IF(G3228&lt;11,'General Basis'!$B$39,IF(G3228&lt;18,'General Basis'!$B$40,IF(G3228&lt;26,'General Basis'!$B$41,IF(G3228&lt;31,'General Basis'!$B$42,IF(G3228&lt;36,'General Basis'!$B$43,IF(G3228&lt;41,'General Basis'!$B$44,IF(G3228&lt;46,'General Basis'!$B$45,IF(G3228&lt;51,'General Basis'!$B$46,IF(G3228&lt;56,'General Basis'!$B$47,IF(G3228&lt;60,'General Basis'!$B$48,IF(G3228&lt;65,'General Basis'!$B$49,'General Basis'!$B$50)))))))))))))</f>
        <v/>
      </c>
      <c r="BI3228" s="744" t="str">
        <f t="shared" si="1127"/>
        <v/>
      </c>
      <c r="BJ3228" s="747" t="str">
        <f t="shared" si="1134"/>
        <v/>
      </c>
      <c r="BK3228" s="498" t="str">
        <f t="shared" si="1128"/>
        <v/>
      </c>
      <c r="BL3228" s="498" t="str">
        <f t="shared" si="1129"/>
        <v/>
      </c>
    </row>
    <row r="3229" spans="1:64" x14ac:dyDescent="0.25">
      <c r="A3229" s="762">
        <f t="shared" si="1130"/>
        <v>3224</v>
      </c>
      <c r="B3229" s="229"/>
      <c r="C3229" s="223"/>
      <c r="D3229" s="224"/>
      <c r="E3229" s="225"/>
      <c r="F3229" s="1036" t="str">
        <f t="shared" si="1136"/>
        <v/>
      </c>
      <c r="G3229" s="1037" t="str">
        <f t="shared" si="1131"/>
        <v/>
      </c>
      <c r="H3229" s="225"/>
      <c r="I3229" s="1013"/>
      <c r="J3229" s="1013"/>
      <c r="K3229" s="1028"/>
      <c r="L3229" s="1035" t="str">
        <f t="shared" si="1135"/>
        <v/>
      </c>
      <c r="S3229" s="498"/>
      <c r="AJ3229" s="498"/>
      <c r="AM3229" s="498">
        <f t="shared" si="1116"/>
        <v>0</v>
      </c>
      <c r="AN3229" s="498">
        <f t="shared" si="1117"/>
        <v>0</v>
      </c>
      <c r="AO3229" s="498">
        <f t="shared" si="1118"/>
        <v>0</v>
      </c>
      <c r="AP3229" s="498">
        <f t="shared" si="1137"/>
        <v>0</v>
      </c>
      <c r="AQ3229" s="498">
        <f t="shared" si="1132"/>
        <v>0</v>
      </c>
      <c r="AU3229" s="498">
        <f t="shared" si="1119"/>
        <v>0</v>
      </c>
      <c r="AV3229" s="498">
        <f t="shared" si="1120"/>
        <v>0</v>
      </c>
      <c r="AW3229" s="498">
        <f t="shared" si="1121"/>
        <v>0</v>
      </c>
      <c r="AX3229" s="498">
        <f t="shared" si="1122"/>
        <v>0</v>
      </c>
      <c r="AY3229" s="498">
        <f t="shared" si="1123"/>
        <v>0</v>
      </c>
      <c r="BB3229" s="498" t="str">
        <f t="shared" si="1124"/>
        <v/>
      </c>
      <c r="BC3229" s="743" t="str">
        <f t="shared" si="1125"/>
        <v/>
      </c>
      <c r="BD3229" s="743" t="str">
        <f t="shared" si="1126"/>
        <v/>
      </c>
      <c r="BE3229" s="743" t="str">
        <f>IF(D3229="","",VLOOKUP(D3229,'General Basis'!$J$39:$K$46,2,0))</f>
        <v/>
      </c>
      <c r="BF3229" s="744" t="str">
        <f>IF(D3229="","",VLOOKUP(D3229,'General Basis'!$J$39:$L$46,3,0))</f>
        <v/>
      </c>
      <c r="BG3229" s="744" t="str">
        <f t="shared" si="1133"/>
        <v/>
      </c>
      <c r="BH3229" s="744" t="str">
        <f>IF(G3229="","",IF(BF3229="Abu Dhabi",IF(G3229&lt;18,'General Basis'!$C$39,IF(G3229&lt;41,'General Basis'!$C$40,IF(G3229&lt;60,'General Basis'!$C$41,IF(G3229&lt;65,'General Basis'!$C$42,'General Basis'!$C$43)))),IF(G3229&lt;11,'General Basis'!$B$39,IF(G3229&lt;18,'General Basis'!$B$40,IF(G3229&lt;26,'General Basis'!$B$41,IF(G3229&lt;31,'General Basis'!$B$42,IF(G3229&lt;36,'General Basis'!$B$43,IF(G3229&lt;41,'General Basis'!$B$44,IF(G3229&lt;46,'General Basis'!$B$45,IF(G3229&lt;51,'General Basis'!$B$46,IF(G3229&lt;56,'General Basis'!$B$47,IF(G3229&lt;60,'General Basis'!$B$48,IF(G3229&lt;65,'General Basis'!$B$49,'General Basis'!$B$50)))))))))))))</f>
        <v/>
      </c>
      <c r="BI3229" s="744" t="str">
        <f t="shared" si="1127"/>
        <v/>
      </c>
      <c r="BJ3229" s="747" t="str">
        <f t="shared" si="1134"/>
        <v/>
      </c>
      <c r="BK3229" s="498" t="str">
        <f t="shared" si="1128"/>
        <v/>
      </c>
      <c r="BL3229" s="498" t="str">
        <f t="shared" si="1129"/>
        <v/>
      </c>
    </row>
    <row r="3230" spans="1:64" x14ac:dyDescent="0.25">
      <c r="A3230" s="762">
        <f t="shared" si="1130"/>
        <v>3225</v>
      </c>
      <c r="B3230" s="229"/>
      <c r="C3230" s="223"/>
      <c r="D3230" s="224"/>
      <c r="E3230" s="225"/>
      <c r="F3230" s="1036" t="str">
        <f t="shared" si="1136"/>
        <v/>
      </c>
      <c r="G3230" s="1037" t="str">
        <f t="shared" si="1131"/>
        <v/>
      </c>
      <c r="H3230" s="225"/>
      <c r="I3230" s="1013"/>
      <c r="J3230" s="1013"/>
      <c r="K3230" s="1028"/>
      <c r="L3230" s="1035" t="str">
        <f t="shared" si="1135"/>
        <v/>
      </c>
      <c r="S3230" s="498"/>
      <c r="AJ3230" s="498"/>
      <c r="AM3230" s="498">
        <f t="shared" si="1116"/>
        <v>0</v>
      </c>
      <c r="AN3230" s="498">
        <f t="shared" si="1117"/>
        <v>0</v>
      </c>
      <c r="AO3230" s="498">
        <f t="shared" si="1118"/>
        <v>0</v>
      </c>
      <c r="AP3230" s="498">
        <f t="shared" si="1137"/>
        <v>0</v>
      </c>
      <c r="AQ3230" s="498">
        <f t="shared" si="1132"/>
        <v>0</v>
      </c>
      <c r="AU3230" s="498">
        <f t="shared" si="1119"/>
        <v>0</v>
      </c>
      <c r="AV3230" s="498">
        <f t="shared" si="1120"/>
        <v>0</v>
      </c>
      <c r="AW3230" s="498">
        <f t="shared" si="1121"/>
        <v>0</v>
      </c>
      <c r="AX3230" s="498">
        <f t="shared" si="1122"/>
        <v>0</v>
      </c>
      <c r="AY3230" s="498">
        <f t="shared" si="1123"/>
        <v>0</v>
      </c>
      <c r="BB3230" s="498" t="str">
        <f t="shared" si="1124"/>
        <v/>
      </c>
      <c r="BC3230" s="743" t="str">
        <f t="shared" si="1125"/>
        <v/>
      </c>
      <c r="BD3230" s="743" t="str">
        <f t="shared" si="1126"/>
        <v/>
      </c>
      <c r="BE3230" s="743" t="str">
        <f>IF(D3230="","",VLOOKUP(D3230,'General Basis'!$J$39:$K$46,2,0))</f>
        <v/>
      </c>
      <c r="BF3230" s="744" t="str">
        <f>IF(D3230="","",VLOOKUP(D3230,'General Basis'!$J$39:$L$46,3,0))</f>
        <v/>
      </c>
      <c r="BG3230" s="744" t="str">
        <f t="shared" si="1133"/>
        <v/>
      </c>
      <c r="BH3230" s="744" t="str">
        <f>IF(G3230="","",IF(BF3230="Abu Dhabi",IF(G3230&lt;18,'General Basis'!$C$39,IF(G3230&lt;41,'General Basis'!$C$40,IF(G3230&lt;60,'General Basis'!$C$41,IF(G3230&lt;65,'General Basis'!$C$42,'General Basis'!$C$43)))),IF(G3230&lt;11,'General Basis'!$B$39,IF(G3230&lt;18,'General Basis'!$B$40,IF(G3230&lt;26,'General Basis'!$B$41,IF(G3230&lt;31,'General Basis'!$B$42,IF(G3230&lt;36,'General Basis'!$B$43,IF(G3230&lt;41,'General Basis'!$B$44,IF(G3230&lt;46,'General Basis'!$B$45,IF(G3230&lt;51,'General Basis'!$B$46,IF(G3230&lt;56,'General Basis'!$B$47,IF(G3230&lt;60,'General Basis'!$B$48,IF(G3230&lt;65,'General Basis'!$B$49,'General Basis'!$B$50)))))))))))))</f>
        <v/>
      </c>
      <c r="BI3230" s="744" t="str">
        <f t="shared" si="1127"/>
        <v/>
      </c>
      <c r="BJ3230" s="747" t="str">
        <f t="shared" si="1134"/>
        <v/>
      </c>
      <c r="BK3230" s="498" t="str">
        <f t="shared" si="1128"/>
        <v/>
      </c>
      <c r="BL3230" s="498" t="str">
        <f t="shared" si="1129"/>
        <v/>
      </c>
    </row>
    <row r="3231" spans="1:64" x14ac:dyDescent="0.25">
      <c r="A3231" s="762">
        <f t="shared" si="1130"/>
        <v>3226</v>
      </c>
      <c r="B3231" s="229"/>
      <c r="C3231" s="223"/>
      <c r="D3231" s="224"/>
      <c r="E3231" s="225"/>
      <c r="F3231" s="1036" t="str">
        <f t="shared" si="1136"/>
        <v/>
      </c>
      <c r="G3231" s="1037" t="str">
        <f t="shared" si="1131"/>
        <v/>
      </c>
      <c r="H3231" s="225"/>
      <c r="I3231" s="1013"/>
      <c r="J3231" s="1013"/>
      <c r="K3231" s="1028"/>
      <c r="L3231" s="1035" t="str">
        <f t="shared" si="1135"/>
        <v/>
      </c>
      <c r="S3231" s="498"/>
      <c r="AJ3231" s="498"/>
      <c r="AM3231" s="498">
        <f t="shared" si="1116"/>
        <v>0</v>
      </c>
      <c r="AN3231" s="498">
        <f t="shared" si="1117"/>
        <v>0</v>
      </c>
      <c r="AO3231" s="498">
        <f t="shared" si="1118"/>
        <v>0</v>
      </c>
      <c r="AP3231" s="498">
        <f t="shared" si="1137"/>
        <v>0</v>
      </c>
      <c r="AQ3231" s="498">
        <f t="shared" si="1132"/>
        <v>0</v>
      </c>
      <c r="AU3231" s="498">
        <f t="shared" si="1119"/>
        <v>0</v>
      </c>
      <c r="AV3231" s="498">
        <f t="shared" si="1120"/>
        <v>0</v>
      </c>
      <c r="AW3231" s="498">
        <f t="shared" si="1121"/>
        <v>0</v>
      </c>
      <c r="AX3231" s="498">
        <f t="shared" si="1122"/>
        <v>0</v>
      </c>
      <c r="AY3231" s="498">
        <f t="shared" si="1123"/>
        <v>0</v>
      </c>
      <c r="BB3231" s="498" t="str">
        <f t="shared" si="1124"/>
        <v/>
      </c>
      <c r="BC3231" s="743" t="str">
        <f t="shared" si="1125"/>
        <v/>
      </c>
      <c r="BD3231" s="743" t="str">
        <f t="shared" si="1126"/>
        <v/>
      </c>
      <c r="BE3231" s="743" t="str">
        <f>IF(D3231="","",VLOOKUP(D3231,'General Basis'!$J$39:$K$46,2,0))</f>
        <v/>
      </c>
      <c r="BF3231" s="744" t="str">
        <f>IF(D3231="","",VLOOKUP(D3231,'General Basis'!$J$39:$L$46,3,0))</f>
        <v/>
      </c>
      <c r="BG3231" s="744" t="str">
        <f t="shared" si="1133"/>
        <v/>
      </c>
      <c r="BH3231" s="744" t="str">
        <f>IF(G3231="","",IF(BF3231="Abu Dhabi",IF(G3231&lt;18,'General Basis'!$C$39,IF(G3231&lt;41,'General Basis'!$C$40,IF(G3231&lt;60,'General Basis'!$C$41,IF(G3231&lt;65,'General Basis'!$C$42,'General Basis'!$C$43)))),IF(G3231&lt;11,'General Basis'!$B$39,IF(G3231&lt;18,'General Basis'!$B$40,IF(G3231&lt;26,'General Basis'!$B$41,IF(G3231&lt;31,'General Basis'!$B$42,IF(G3231&lt;36,'General Basis'!$B$43,IF(G3231&lt;41,'General Basis'!$B$44,IF(G3231&lt;46,'General Basis'!$B$45,IF(G3231&lt;51,'General Basis'!$B$46,IF(G3231&lt;56,'General Basis'!$B$47,IF(G3231&lt;60,'General Basis'!$B$48,IF(G3231&lt;65,'General Basis'!$B$49,'General Basis'!$B$50)))))))))))))</f>
        <v/>
      </c>
      <c r="BI3231" s="744" t="str">
        <f t="shared" si="1127"/>
        <v/>
      </c>
      <c r="BJ3231" s="747" t="str">
        <f t="shared" si="1134"/>
        <v/>
      </c>
      <c r="BK3231" s="498" t="str">
        <f t="shared" si="1128"/>
        <v/>
      </c>
      <c r="BL3231" s="498" t="str">
        <f t="shared" si="1129"/>
        <v/>
      </c>
    </row>
    <row r="3232" spans="1:64" x14ac:dyDescent="0.25">
      <c r="A3232" s="762">
        <f t="shared" si="1130"/>
        <v>3227</v>
      </c>
      <c r="B3232" s="229"/>
      <c r="C3232" s="223"/>
      <c r="D3232" s="224"/>
      <c r="E3232" s="225"/>
      <c r="F3232" s="1036" t="str">
        <f t="shared" si="1136"/>
        <v/>
      </c>
      <c r="G3232" s="1037" t="str">
        <f t="shared" si="1131"/>
        <v/>
      </c>
      <c r="H3232" s="225"/>
      <c r="I3232" s="1013"/>
      <c r="J3232" s="1013"/>
      <c r="K3232" s="1028"/>
      <c r="L3232" s="1035" t="str">
        <f t="shared" si="1135"/>
        <v/>
      </c>
      <c r="S3232" s="498"/>
      <c r="AJ3232" s="498"/>
      <c r="AM3232" s="498">
        <f t="shared" si="1116"/>
        <v>0</v>
      </c>
      <c r="AN3232" s="498">
        <f t="shared" si="1117"/>
        <v>0</v>
      </c>
      <c r="AO3232" s="498">
        <f t="shared" si="1118"/>
        <v>0</v>
      </c>
      <c r="AP3232" s="498">
        <f t="shared" si="1137"/>
        <v>0</v>
      </c>
      <c r="AQ3232" s="498">
        <f t="shared" si="1132"/>
        <v>0</v>
      </c>
      <c r="AU3232" s="498">
        <f t="shared" si="1119"/>
        <v>0</v>
      </c>
      <c r="AV3232" s="498">
        <f t="shared" si="1120"/>
        <v>0</v>
      </c>
      <c r="AW3232" s="498">
        <f t="shared" si="1121"/>
        <v>0</v>
      </c>
      <c r="AX3232" s="498">
        <f t="shared" si="1122"/>
        <v>0</v>
      </c>
      <c r="AY3232" s="498">
        <f t="shared" si="1123"/>
        <v>0</v>
      </c>
      <c r="BB3232" s="498" t="str">
        <f t="shared" si="1124"/>
        <v/>
      </c>
      <c r="BC3232" s="743" t="str">
        <f t="shared" si="1125"/>
        <v/>
      </c>
      <c r="BD3232" s="743" t="str">
        <f t="shared" si="1126"/>
        <v/>
      </c>
      <c r="BE3232" s="743" t="str">
        <f>IF(D3232="","",VLOOKUP(D3232,'General Basis'!$J$39:$K$46,2,0))</f>
        <v/>
      </c>
      <c r="BF3232" s="744" t="str">
        <f>IF(D3232="","",VLOOKUP(D3232,'General Basis'!$J$39:$L$46,3,0))</f>
        <v/>
      </c>
      <c r="BG3232" s="744" t="str">
        <f t="shared" si="1133"/>
        <v/>
      </c>
      <c r="BH3232" s="744" t="str">
        <f>IF(G3232="","",IF(BF3232="Abu Dhabi",IF(G3232&lt;18,'General Basis'!$C$39,IF(G3232&lt;41,'General Basis'!$C$40,IF(G3232&lt;60,'General Basis'!$C$41,IF(G3232&lt;65,'General Basis'!$C$42,'General Basis'!$C$43)))),IF(G3232&lt;11,'General Basis'!$B$39,IF(G3232&lt;18,'General Basis'!$B$40,IF(G3232&lt;26,'General Basis'!$B$41,IF(G3232&lt;31,'General Basis'!$B$42,IF(G3232&lt;36,'General Basis'!$B$43,IF(G3232&lt;41,'General Basis'!$B$44,IF(G3232&lt;46,'General Basis'!$B$45,IF(G3232&lt;51,'General Basis'!$B$46,IF(G3232&lt;56,'General Basis'!$B$47,IF(G3232&lt;60,'General Basis'!$B$48,IF(G3232&lt;65,'General Basis'!$B$49,'General Basis'!$B$50)))))))))))))</f>
        <v/>
      </c>
      <c r="BI3232" s="744" t="str">
        <f t="shared" si="1127"/>
        <v/>
      </c>
      <c r="BJ3232" s="747" t="str">
        <f t="shared" si="1134"/>
        <v/>
      </c>
      <c r="BK3232" s="498" t="str">
        <f t="shared" si="1128"/>
        <v/>
      </c>
      <c r="BL3232" s="498" t="str">
        <f t="shared" si="1129"/>
        <v/>
      </c>
    </row>
    <row r="3233" spans="1:64" x14ac:dyDescent="0.25">
      <c r="A3233" s="762">
        <f t="shared" si="1130"/>
        <v>3228</v>
      </c>
      <c r="B3233" s="229"/>
      <c r="C3233" s="223"/>
      <c r="D3233" s="224"/>
      <c r="E3233" s="225"/>
      <c r="F3233" s="1036" t="str">
        <f t="shared" si="1136"/>
        <v/>
      </c>
      <c r="G3233" s="1037" t="str">
        <f t="shared" si="1131"/>
        <v/>
      </c>
      <c r="H3233" s="225"/>
      <c r="I3233" s="1013"/>
      <c r="J3233" s="1013"/>
      <c r="K3233" s="1028"/>
      <c r="L3233" s="1035" t="str">
        <f t="shared" si="1135"/>
        <v/>
      </c>
      <c r="S3233" s="498"/>
      <c r="AJ3233" s="498"/>
      <c r="AM3233" s="498">
        <f t="shared" si="1116"/>
        <v>0</v>
      </c>
      <c r="AN3233" s="498">
        <f t="shared" si="1117"/>
        <v>0</v>
      </c>
      <c r="AO3233" s="498">
        <f t="shared" si="1118"/>
        <v>0</v>
      </c>
      <c r="AP3233" s="498">
        <f t="shared" si="1137"/>
        <v>0</v>
      </c>
      <c r="AQ3233" s="498">
        <f t="shared" si="1132"/>
        <v>0</v>
      </c>
      <c r="AU3233" s="498">
        <f t="shared" si="1119"/>
        <v>0</v>
      </c>
      <c r="AV3233" s="498">
        <f t="shared" si="1120"/>
        <v>0</v>
      </c>
      <c r="AW3233" s="498">
        <f t="shared" si="1121"/>
        <v>0</v>
      </c>
      <c r="AX3233" s="498">
        <f t="shared" si="1122"/>
        <v>0</v>
      </c>
      <c r="AY3233" s="498">
        <f t="shared" si="1123"/>
        <v>0</v>
      </c>
      <c r="BB3233" s="498" t="str">
        <f t="shared" si="1124"/>
        <v/>
      </c>
      <c r="BC3233" s="743" t="str">
        <f t="shared" si="1125"/>
        <v/>
      </c>
      <c r="BD3233" s="743" t="str">
        <f t="shared" si="1126"/>
        <v/>
      </c>
      <c r="BE3233" s="743" t="str">
        <f>IF(D3233="","",VLOOKUP(D3233,'General Basis'!$J$39:$K$46,2,0))</f>
        <v/>
      </c>
      <c r="BF3233" s="744" t="str">
        <f>IF(D3233="","",VLOOKUP(D3233,'General Basis'!$J$39:$L$46,3,0))</f>
        <v/>
      </c>
      <c r="BG3233" s="744" t="str">
        <f t="shared" si="1133"/>
        <v/>
      </c>
      <c r="BH3233" s="744" t="str">
        <f>IF(G3233="","",IF(BF3233="Abu Dhabi",IF(G3233&lt;18,'General Basis'!$C$39,IF(G3233&lt;41,'General Basis'!$C$40,IF(G3233&lt;60,'General Basis'!$C$41,IF(G3233&lt;65,'General Basis'!$C$42,'General Basis'!$C$43)))),IF(G3233&lt;11,'General Basis'!$B$39,IF(G3233&lt;18,'General Basis'!$B$40,IF(G3233&lt;26,'General Basis'!$B$41,IF(G3233&lt;31,'General Basis'!$B$42,IF(G3233&lt;36,'General Basis'!$B$43,IF(G3233&lt;41,'General Basis'!$B$44,IF(G3233&lt;46,'General Basis'!$B$45,IF(G3233&lt;51,'General Basis'!$B$46,IF(G3233&lt;56,'General Basis'!$B$47,IF(G3233&lt;60,'General Basis'!$B$48,IF(G3233&lt;65,'General Basis'!$B$49,'General Basis'!$B$50)))))))))))))</f>
        <v/>
      </c>
      <c r="BI3233" s="744" t="str">
        <f t="shared" si="1127"/>
        <v/>
      </c>
      <c r="BJ3233" s="747" t="str">
        <f t="shared" si="1134"/>
        <v/>
      </c>
      <c r="BK3233" s="498" t="str">
        <f t="shared" si="1128"/>
        <v/>
      </c>
      <c r="BL3233" s="498" t="str">
        <f t="shared" si="1129"/>
        <v/>
      </c>
    </row>
    <row r="3234" spans="1:64" x14ac:dyDescent="0.25">
      <c r="A3234" s="762">
        <f t="shared" si="1130"/>
        <v>3229</v>
      </c>
      <c r="B3234" s="229"/>
      <c r="C3234" s="223"/>
      <c r="D3234" s="224"/>
      <c r="E3234" s="225"/>
      <c r="F3234" s="1036" t="str">
        <f t="shared" si="1136"/>
        <v/>
      </c>
      <c r="G3234" s="1037" t="str">
        <f t="shared" si="1131"/>
        <v/>
      </c>
      <c r="H3234" s="225"/>
      <c r="I3234" s="1013"/>
      <c r="J3234" s="1013"/>
      <c r="K3234" s="1028"/>
      <c r="L3234" s="1035" t="str">
        <f t="shared" si="1135"/>
        <v/>
      </c>
      <c r="S3234" s="498"/>
      <c r="AJ3234" s="498"/>
      <c r="AM3234" s="498">
        <f t="shared" si="1116"/>
        <v>0</v>
      </c>
      <c r="AN3234" s="498">
        <f t="shared" si="1117"/>
        <v>0</v>
      </c>
      <c r="AO3234" s="498">
        <f t="shared" si="1118"/>
        <v>0</v>
      </c>
      <c r="AP3234" s="498">
        <f t="shared" si="1137"/>
        <v>0</v>
      </c>
      <c r="AQ3234" s="498">
        <f t="shared" si="1132"/>
        <v>0</v>
      </c>
      <c r="AU3234" s="498">
        <f t="shared" si="1119"/>
        <v>0</v>
      </c>
      <c r="AV3234" s="498">
        <f t="shared" si="1120"/>
        <v>0</v>
      </c>
      <c r="AW3234" s="498">
        <f t="shared" si="1121"/>
        <v>0</v>
      </c>
      <c r="AX3234" s="498">
        <f t="shared" si="1122"/>
        <v>0</v>
      </c>
      <c r="AY3234" s="498">
        <f t="shared" si="1123"/>
        <v>0</v>
      </c>
      <c r="BB3234" s="498" t="str">
        <f t="shared" si="1124"/>
        <v/>
      </c>
      <c r="BC3234" s="743" t="str">
        <f t="shared" si="1125"/>
        <v/>
      </c>
      <c r="BD3234" s="743" t="str">
        <f t="shared" si="1126"/>
        <v/>
      </c>
      <c r="BE3234" s="743" t="str">
        <f>IF(D3234="","",VLOOKUP(D3234,'General Basis'!$J$39:$K$46,2,0))</f>
        <v/>
      </c>
      <c r="BF3234" s="744" t="str">
        <f>IF(D3234="","",VLOOKUP(D3234,'General Basis'!$J$39:$L$46,3,0))</f>
        <v/>
      </c>
      <c r="BG3234" s="744" t="str">
        <f t="shared" si="1133"/>
        <v/>
      </c>
      <c r="BH3234" s="744" t="str">
        <f>IF(G3234="","",IF(BF3234="Abu Dhabi",IF(G3234&lt;18,'General Basis'!$C$39,IF(G3234&lt;41,'General Basis'!$C$40,IF(G3234&lt;60,'General Basis'!$C$41,IF(G3234&lt;65,'General Basis'!$C$42,'General Basis'!$C$43)))),IF(G3234&lt;11,'General Basis'!$B$39,IF(G3234&lt;18,'General Basis'!$B$40,IF(G3234&lt;26,'General Basis'!$B$41,IF(G3234&lt;31,'General Basis'!$B$42,IF(G3234&lt;36,'General Basis'!$B$43,IF(G3234&lt;41,'General Basis'!$B$44,IF(G3234&lt;46,'General Basis'!$B$45,IF(G3234&lt;51,'General Basis'!$B$46,IF(G3234&lt;56,'General Basis'!$B$47,IF(G3234&lt;60,'General Basis'!$B$48,IF(G3234&lt;65,'General Basis'!$B$49,'General Basis'!$B$50)))))))))))))</f>
        <v/>
      </c>
      <c r="BI3234" s="744" t="str">
        <f t="shared" si="1127"/>
        <v/>
      </c>
      <c r="BJ3234" s="747" t="str">
        <f t="shared" si="1134"/>
        <v/>
      </c>
      <c r="BK3234" s="498" t="str">
        <f t="shared" si="1128"/>
        <v/>
      </c>
      <c r="BL3234" s="498" t="str">
        <f t="shared" si="1129"/>
        <v/>
      </c>
    </row>
    <row r="3235" spans="1:64" x14ac:dyDescent="0.25">
      <c r="A3235" s="762">
        <f t="shared" si="1130"/>
        <v>3230</v>
      </c>
      <c r="B3235" s="229"/>
      <c r="C3235" s="223"/>
      <c r="D3235" s="224"/>
      <c r="E3235" s="225"/>
      <c r="F3235" s="1036" t="str">
        <f t="shared" si="1136"/>
        <v/>
      </c>
      <c r="G3235" s="1037" t="str">
        <f t="shared" si="1131"/>
        <v/>
      </c>
      <c r="H3235" s="225"/>
      <c r="I3235" s="1013"/>
      <c r="J3235" s="1013"/>
      <c r="K3235" s="1028"/>
      <c r="L3235" s="1035" t="str">
        <f t="shared" si="1135"/>
        <v/>
      </c>
      <c r="S3235" s="498"/>
      <c r="AJ3235" s="498"/>
      <c r="AM3235" s="498">
        <f t="shared" si="1116"/>
        <v>0</v>
      </c>
      <c r="AN3235" s="498">
        <f t="shared" si="1117"/>
        <v>0</v>
      </c>
      <c r="AO3235" s="498">
        <f t="shared" si="1118"/>
        <v>0</v>
      </c>
      <c r="AP3235" s="498">
        <f t="shared" si="1137"/>
        <v>0</v>
      </c>
      <c r="AQ3235" s="498">
        <f t="shared" si="1132"/>
        <v>0</v>
      </c>
      <c r="AU3235" s="498">
        <f t="shared" si="1119"/>
        <v>0</v>
      </c>
      <c r="AV3235" s="498">
        <f t="shared" si="1120"/>
        <v>0</v>
      </c>
      <c r="AW3235" s="498">
        <f t="shared" si="1121"/>
        <v>0</v>
      </c>
      <c r="AX3235" s="498">
        <f t="shared" si="1122"/>
        <v>0</v>
      </c>
      <c r="AY3235" s="498">
        <f t="shared" si="1123"/>
        <v>0</v>
      </c>
      <c r="BB3235" s="498" t="str">
        <f t="shared" si="1124"/>
        <v/>
      </c>
      <c r="BC3235" s="743" t="str">
        <f t="shared" si="1125"/>
        <v/>
      </c>
      <c r="BD3235" s="743" t="str">
        <f t="shared" si="1126"/>
        <v/>
      </c>
      <c r="BE3235" s="743" t="str">
        <f>IF(D3235="","",VLOOKUP(D3235,'General Basis'!$J$39:$K$46,2,0))</f>
        <v/>
      </c>
      <c r="BF3235" s="744" t="str">
        <f>IF(D3235="","",VLOOKUP(D3235,'General Basis'!$J$39:$L$46,3,0))</f>
        <v/>
      </c>
      <c r="BG3235" s="744" t="str">
        <f t="shared" si="1133"/>
        <v/>
      </c>
      <c r="BH3235" s="744" t="str">
        <f>IF(G3235="","",IF(BF3235="Abu Dhabi",IF(G3235&lt;18,'General Basis'!$C$39,IF(G3235&lt;41,'General Basis'!$C$40,IF(G3235&lt;60,'General Basis'!$C$41,IF(G3235&lt;65,'General Basis'!$C$42,'General Basis'!$C$43)))),IF(G3235&lt;11,'General Basis'!$B$39,IF(G3235&lt;18,'General Basis'!$B$40,IF(G3235&lt;26,'General Basis'!$B$41,IF(G3235&lt;31,'General Basis'!$B$42,IF(G3235&lt;36,'General Basis'!$B$43,IF(G3235&lt;41,'General Basis'!$B$44,IF(G3235&lt;46,'General Basis'!$B$45,IF(G3235&lt;51,'General Basis'!$B$46,IF(G3235&lt;56,'General Basis'!$B$47,IF(G3235&lt;60,'General Basis'!$B$48,IF(G3235&lt;65,'General Basis'!$B$49,'General Basis'!$B$50)))))))))))))</f>
        <v/>
      </c>
      <c r="BI3235" s="744" t="str">
        <f t="shared" si="1127"/>
        <v/>
      </c>
      <c r="BJ3235" s="747" t="str">
        <f t="shared" si="1134"/>
        <v/>
      </c>
      <c r="BK3235" s="498" t="str">
        <f t="shared" si="1128"/>
        <v/>
      </c>
      <c r="BL3235" s="498" t="str">
        <f t="shared" si="1129"/>
        <v/>
      </c>
    </row>
    <row r="3236" spans="1:64" x14ac:dyDescent="0.25">
      <c r="A3236" s="762">
        <f t="shared" si="1130"/>
        <v>3231</v>
      </c>
      <c r="B3236" s="229"/>
      <c r="C3236" s="223"/>
      <c r="D3236" s="224"/>
      <c r="E3236" s="225"/>
      <c r="F3236" s="1036" t="str">
        <f t="shared" si="1136"/>
        <v/>
      </c>
      <c r="G3236" s="1037" t="str">
        <f t="shared" si="1131"/>
        <v/>
      </c>
      <c r="H3236" s="225"/>
      <c r="I3236" s="1013"/>
      <c r="J3236" s="1013"/>
      <c r="K3236" s="1028"/>
      <c r="L3236" s="1035" t="str">
        <f t="shared" si="1135"/>
        <v/>
      </c>
      <c r="S3236" s="498"/>
      <c r="AJ3236" s="498"/>
      <c r="AM3236" s="498">
        <f t="shared" si="1116"/>
        <v>0</v>
      </c>
      <c r="AN3236" s="498">
        <f t="shared" si="1117"/>
        <v>0</v>
      </c>
      <c r="AO3236" s="498">
        <f t="shared" si="1118"/>
        <v>0</v>
      </c>
      <c r="AP3236" s="498">
        <f t="shared" si="1137"/>
        <v>0</v>
      </c>
      <c r="AQ3236" s="498">
        <f t="shared" si="1132"/>
        <v>0</v>
      </c>
      <c r="AU3236" s="498">
        <f t="shared" si="1119"/>
        <v>0</v>
      </c>
      <c r="AV3236" s="498">
        <f t="shared" si="1120"/>
        <v>0</v>
      </c>
      <c r="AW3236" s="498">
        <f t="shared" si="1121"/>
        <v>0</v>
      </c>
      <c r="AX3236" s="498">
        <f t="shared" si="1122"/>
        <v>0</v>
      </c>
      <c r="AY3236" s="498">
        <f t="shared" si="1123"/>
        <v>0</v>
      </c>
      <c r="BB3236" s="498" t="str">
        <f t="shared" si="1124"/>
        <v/>
      </c>
      <c r="BC3236" s="743" t="str">
        <f t="shared" si="1125"/>
        <v/>
      </c>
      <c r="BD3236" s="743" t="str">
        <f t="shared" si="1126"/>
        <v/>
      </c>
      <c r="BE3236" s="743" t="str">
        <f>IF(D3236="","",VLOOKUP(D3236,'General Basis'!$J$39:$K$46,2,0))</f>
        <v/>
      </c>
      <c r="BF3236" s="744" t="str">
        <f>IF(D3236="","",VLOOKUP(D3236,'General Basis'!$J$39:$L$46,3,0))</f>
        <v/>
      </c>
      <c r="BG3236" s="744" t="str">
        <f t="shared" si="1133"/>
        <v/>
      </c>
      <c r="BH3236" s="744" t="str">
        <f>IF(G3236="","",IF(BF3236="Abu Dhabi",IF(G3236&lt;18,'General Basis'!$C$39,IF(G3236&lt;41,'General Basis'!$C$40,IF(G3236&lt;60,'General Basis'!$C$41,IF(G3236&lt;65,'General Basis'!$C$42,'General Basis'!$C$43)))),IF(G3236&lt;11,'General Basis'!$B$39,IF(G3236&lt;18,'General Basis'!$B$40,IF(G3236&lt;26,'General Basis'!$B$41,IF(G3236&lt;31,'General Basis'!$B$42,IF(G3236&lt;36,'General Basis'!$B$43,IF(G3236&lt;41,'General Basis'!$B$44,IF(G3236&lt;46,'General Basis'!$B$45,IF(G3236&lt;51,'General Basis'!$B$46,IF(G3236&lt;56,'General Basis'!$B$47,IF(G3236&lt;60,'General Basis'!$B$48,IF(G3236&lt;65,'General Basis'!$B$49,'General Basis'!$B$50)))))))))))))</f>
        <v/>
      </c>
      <c r="BI3236" s="744" t="str">
        <f t="shared" si="1127"/>
        <v/>
      </c>
      <c r="BJ3236" s="747" t="str">
        <f t="shared" si="1134"/>
        <v/>
      </c>
      <c r="BK3236" s="498" t="str">
        <f t="shared" si="1128"/>
        <v/>
      </c>
      <c r="BL3236" s="498" t="str">
        <f t="shared" si="1129"/>
        <v/>
      </c>
    </row>
    <row r="3237" spans="1:64" x14ac:dyDescent="0.25">
      <c r="A3237" s="762">
        <f t="shared" si="1130"/>
        <v>3232</v>
      </c>
      <c r="B3237" s="229"/>
      <c r="C3237" s="223"/>
      <c r="D3237" s="224"/>
      <c r="E3237" s="225"/>
      <c r="F3237" s="1036" t="str">
        <f t="shared" si="1136"/>
        <v/>
      </c>
      <c r="G3237" s="1037" t="str">
        <f t="shared" si="1131"/>
        <v/>
      </c>
      <c r="H3237" s="225"/>
      <c r="I3237" s="1013"/>
      <c r="J3237" s="1013"/>
      <c r="K3237" s="1028"/>
      <c r="L3237" s="1035" t="str">
        <f t="shared" si="1135"/>
        <v/>
      </c>
      <c r="S3237" s="498"/>
      <c r="AJ3237" s="498"/>
      <c r="AM3237" s="498">
        <f t="shared" si="1116"/>
        <v>0</v>
      </c>
      <c r="AN3237" s="498">
        <f t="shared" si="1117"/>
        <v>0</v>
      </c>
      <c r="AO3237" s="498">
        <f t="shared" si="1118"/>
        <v>0</v>
      </c>
      <c r="AP3237" s="498">
        <f t="shared" si="1137"/>
        <v>0</v>
      </c>
      <c r="AQ3237" s="498">
        <f t="shared" si="1132"/>
        <v>0</v>
      </c>
      <c r="AU3237" s="498">
        <f t="shared" si="1119"/>
        <v>0</v>
      </c>
      <c r="AV3237" s="498">
        <f t="shared" si="1120"/>
        <v>0</v>
      </c>
      <c r="AW3237" s="498">
        <f t="shared" si="1121"/>
        <v>0</v>
      </c>
      <c r="AX3237" s="498">
        <f t="shared" si="1122"/>
        <v>0</v>
      </c>
      <c r="AY3237" s="498">
        <f t="shared" si="1123"/>
        <v>0</v>
      </c>
      <c r="BB3237" s="498" t="str">
        <f t="shared" si="1124"/>
        <v/>
      </c>
      <c r="BC3237" s="743" t="str">
        <f t="shared" si="1125"/>
        <v/>
      </c>
      <c r="BD3237" s="743" t="str">
        <f t="shared" si="1126"/>
        <v/>
      </c>
      <c r="BE3237" s="743" t="str">
        <f>IF(D3237="","",VLOOKUP(D3237,'General Basis'!$J$39:$K$46,2,0))</f>
        <v/>
      </c>
      <c r="BF3237" s="744" t="str">
        <f>IF(D3237="","",VLOOKUP(D3237,'General Basis'!$J$39:$L$46,3,0))</f>
        <v/>
      </c>
      <c r="BG3237" s="744" t="str">
        <f t="shared" si="1133"/>
        <v/>
      </c>
      <c r="BH3237" s="744" t="str">
        <f>IF(G3237="","",IF(BF3237="Abu Dhabi",IF(G3237&lt;18,'General Basis'!$C$39,IF(G3237&lt;41,'General Basis'!$C$40,IF(G3237&lt;60,'General Basis'!$C$41,IF(G3237&lt;65,'General Basis'!$C$42,'General Basis'!$C$43)))),IF(G3237&lt;11,'General Basis'!$B$39,IF(G3237&lt;18,'General Basis'!$B$40,IF(G3237&lt;26,'General Basis'!$B$41,IF(G3237&lt;31,'General Basis'!$B$42,IF(G3237&lt;36,'General Basis'!$B$43,IF(G3237&lt;41,'General Basis'!$B$44,IF(G3237&lt;46,'General Basis'!$B$45,IF(G3237&lt;51,'General Basis'!$B$46,IF(G3237&lt;56,'General Basis'!$B$47,IF(G3237&lt;60,'General Basis'!$B$48,IF(G3237&lt;65,'General Basis'!$B$49,'General Basis'!$B$50)))))))))))))</f>
        <v/>
      </c>
      <c r="BI3237" s="744" t="str">
        <f t="shared" si="1127"/>
        <v/>
      </c>
      <c r="BJ3237" s="747" t="str">
        <f t="shared" si="1134"/>
        <v/>
      </c>
      <c r="BK3237" s="498" t="str">
        <f t="shared" si="1128"/>
        <v/>
      </c>
      <c r="BL3237" s="498" t="str">
        <f t="shared" si="1129"/>
        <v/>
      </c>
    </row>
    <row r="3238" spans="1:64" x14ac:dyDescent="0.25">
      <c r="A3238" s="762">
        <f t="shared" si="1130"/>
        <v>3233</v>
      </c>
      <c r="B3238" s="229"/>
      <c r="C3238" s="223"/>
      <c r="D3238" s="224"/>
      <c r="E3238" s="225"/>
      <c r="F3238" s="1036" t="str">
        <f t="shared" si="1136"/>
        <v/>
      </c>
      <c r="G3238" s="1037" t="str">
        <f t="shared" si="1131"/>
        <v/>
      </c>
      <c r="H3238" s="225"/>
      <c r="I3238" s="1013"/>
      <c r="J3238" s="1013"/>
      <c r="K3238" s="1028"/>
      <c r="L3238" s="1035" t="str">
        <f t="shared" si="1135"/>
        <v/>
      </c>
      <c r="S3238" s="498"/>
      <c r="AJ3238" s="498"/>
      <c r="AM3238" s="498">
        <f t="shared" si="1116"/>
        <v>0</v>
      </c>
      <c r="AN3238" s="498">
        <f t="shared" si="1117"/>
        <v>0</v>
      </c>
      <c r="AO3238" s="498">
        <f t="shared" si="1118"/>
        <v>0</v>
      </c>
      <c r="AP3238" s="498">
        <f t="shared" si="1137"/>
        <v>0</v>
      </c>
      <c r="AQ3238" s="498">
        <f t="shared" si="1132"/>
        <v>0</v>
      </c>
      <c r="AU3238" s="498">
        <f t="shared" si="1119"/>
        <v>0</v>
      </c>
      <c r="AV3238" s="498">
        <f t="shared" si="1120"/>
        <v>0</v>
      </c>
      <c r="AW3238" s="498">
        <f t="shared" si="1121"/>
        <v>0</v>
      </c>
      <c r="AX3238" s="498">
        <f t="shared" si="1122"/>
        <v>0</v>
      </c>
      <c r="AY3238" s="498">
        <f t="shared" si="1123"/>
        <v>0</v>
      </c>
      <c r="BB3238" s="498" t="str">
        <f t="shared" si="1124"/>
        <v/>
      </c>
      <c r="BC3238" s="743" t="str">
        <f t="shared" si="1125"/>
        <v/>
      </c>
      <c r="BD3238" s="743" t="str">
        <f t="shared" si="1126"/>
        <v/>
      </c>
      <c r="BE3238" s="743" t="str">
        <f>IF(D3238="","",VLOOKUP(D3238,'General Basis'!$J$39:$K$46,2,0))</f>
        <v/>
      </c>
      <c r="BF3238" s="744" t="str">
        <f>IF(D3238="","",VLOOKUP(D3238,'General Basis'!$J$39:$L$46,3,0))</f>
        <v/>
      </c>
      <c r="BG3238" s="744" t="str">
        <f t="shared" si="1133"/>
        <v/>
      </c>
      <c r="BH3238" s="744" t="str">
        <f>IF(G3238="","",IF(BF3238="Abu Dhabi",IF(G3238&lt;18,'General Basis'!$C$39,IF(G3238&lt;41,'General Basis'!$C$40,IF(G3238&lt;60,'General Basis'!$C$41,IF(G3238&lt;65,'General Basis'!$C$42,'General Basis'!$C$43)))),IF(G3238&lt;11,'General Basis'!$B$39,IF(G3238&lt;18,'General Basis'!$B$40,IF(G3238&lt;26,'General Basis'!$B$41,IF(G3238&lt;31,'General Basis'!$B$42,IF(G3238&lt;36,'General Basis'!$B$43,IF(G3238&lt;41,'General Basis'!$B$44,IF(G3238&lt;46,'General Basis'!$B$45,IF(G3238&lt;51,'General Basis'!$B$46,IF(G3238&lt;56,'General Basis'!$B$47,IF(G3238&lt;60,'General Basis'!$B$48,IF(G3238&lt;65,'General Basis'!$B$49,'General Basis'!$B$50)))))))))))))</f>
        <v/>
      </c>
      <c r="BI3238" s="744" t="str">
        <f t="shared" si="1127"/>
        <v/>
      </c>
      <c r="BJ3238" s="747" t="str">
        <f t="shared" si="1134"/>
        <v/>
      </c>
      <c r="BK3238" s="498" t="str">
        <f t="shared" si="1128"/>
        <v/>
      </c>
      <c r="BL3238" s="498" t="str">
        <f t="shared" si="1129"/>
        <v/>
      </c>
    </row>
    <row r="3239" spans="1:64" x14ac:dyDescent="0.25">
      <c r="A3239" s="762">
        <f t="shared" si="1130"/>
        <v>3234</v>
      </c>
      <c r="B3239" s="229"/>
      <c r="C3239" s="223"/>
      <c r="D3239" s="224"/>
      <c r="E3239" s="225"/>
      <c r="F3239" s="1036" t="str">
        <f t="shared" si="1136"/>
        <v/>
      </c>
      <c r="G3239" s="1037" t="str">
        <f t="shared" si="1131"/>
        <v/>
      </c>
      <c r="H3239" s="225"/>
      <c r="I3239" s="1013"/>
      <c r="J3239" s="1013"/>
      <c r="K3239" s="1028"/>
      <c r="L3239" s="1035" t="str">
        <f t="shared" si="1135"/>
        <v/>
      </c>
      <c r="S3239" s="498"/>
      <c r="AJ3239" s="498"/>
      <c r="AM3239" s="498">
        <f t="shared" si="1116"/>
        <v>0</v>
      </c>
      <c r="AN3239" s="498">
        <f t="shared" si="1117"/>
        <v>0</v>
      </c>
      <c r="AO3239" s="498">
        <f t="shared" si="1118"/>
        <v>0</v>
      </c>
      <c r="AP3239" s="498">
        <f t="shared" si="1137"/>
        <v>0</v>
      </c>
      <c r="AQ3239" s="498">
        <f t="shared" si="1132"/>
        <v>0</v>
      </c>
      <c r="AU3239" s="498">
        <f t="shared" si="1119"/>
        <v>0</v>
      </c>
      <c r="AV3239" s="498">
        <f t="shared" si="1120"/>
        <v>0</v>
      </c>
      <c r="AW3239" s="498">
        <f t="shared" si="1121"/>
        <v>0</v>
      </c>
      <c r="AX3239" s="498">
        <f t="shared" si="1122"/>
        <v>0</v>
      </c>
      <c r="AY3239" s="498">
        <f t="shared" si="1123"/>
        <v>0</v>
      </c>
      <c r="BB3239" s="498" t="str">
        <f t="shared" si="1124"/>
        <v/>
      </c>
      <c r="BC3239" s="743" t="str">
        <f t="shared" si="1125"/>
        <v/>
      </c>
      <c r="BD3239" s="743" t="str">
        <f t="shared" si="1126"/>
        <v/>
      </c>
      <c r="BE3239" s="743" t="str">
        <f>IF(D3239="","",VLOOKUP(D3239,'General Basis'!$J$39:$K$46,2,0))</f>
        <v/>
      </c>
      <c r="BF3239" s="744" t="str">
        <f>IF(D3239="","",VLOOKUP(D3239,'General Basis'!$J$39:$L$46,3,0))</f>
        <v/>
      </c>
      <c r="BG3239" s="744" t="str">
        <f t="shared" si="1133"/>
        <v/>
      </c>
      <c r="BH3239" s="744" t="str">
        <f>IF(G3239="","",IF(BF3239="Abu Dhabi",IF(G3239&lt;18,'General Basis'!$C$39,IF(G3239&lt;41,'General Basis'!$C$40,IF(G3239&lt;60,'General Basis'!$C$41,IF(G3239&lt;65,'General Basis'!$C$42,'General Basis'!$C$43)))),IF(G3239&lt;11,'General Basis'!$B$39,IF(G3239&lt;18,'General Basis'!$B$40,IF(G3239&lt;26,'General Basis'!$B$41,IF(G3239&lt;31,'General Basis'!$B$42,IF(G3239&lt;36,'General Basis'!$B$43,IF(G3239&lt;41,'General Basis'!$B$44,IF(G3239&lt;46,'General Basis'!$B$45,IF(G3239&lt;51,'General Basis'!$B$46,IF(G3239&lt;56,'General Basis'!$B$47,IF(G3239&lt;60,'General Basis'!$B$48,IF(G3239&lt;65,'General Basis'!$B$49,'General Basis'!$B$50)))))))))))))</f>
        <v/>
      </c>
      <c r="BI3239" s="744" t="str">
        <f t="shared" si="1127"/>
        <v/>
      </c>
      <c r="BJ3239" s="747" t="str">
        <f t="shared" si="1134"/>
        <v/>
      </c>
      <c r="BK3239" s="498" t="str">
        <f t="shared" si="1128"/>
        <v/>
      </c>
      <c r="BL3239" s="498" t="str">
        <f t="shared" si="1129"/>
        <v/>
      </c>
    </row>
    <row r="3240" spans="1:64" x14ac:dyDescent="0.25">
      <c r="A3240" s="762">
        <f t="shared" si="1130"/>
        <v>3235</v>
      </c>
      <c r="B3240" s="229"/>
      <c r="C3240" s="223"/>
      <c r="D3240" s="224"/>
      <c r="E3240" s="225"/>
      <c r="F3240" s="1036" t="str">
        <f t="shared" si="1136"/>
        <v/>
      </c>
      <c r="G3240" s="1037" t="str">
        <f t="shared" si="1131"/>
        <v/>
      </c>
      <c r="H3240" s="225"/>
      <c r="I3240" s="1013"/>
      <c r="J3240" s="1013"/>
      <c r="K3240" s="1028"/>
      <c r="L3240" s="1035" t="str">
        <f t="shared" si="1135"/>
        <v/>
      </c>
      <c r="S3240" s="498"/>
      <c r="AJ3240" s="498"/>
      <c r="AM3240" s="498">
        <f t="shared" si="1116"/>
        <v>0</v>
      </c>
      <c r="AN3240" s="498">
        <f t="shared" si="1117"/>
        <v>0</v>
      </c>
      <c r="AO3240" s="498">
        <f t="shared" si="1118"/>
        <v>0</v>
      </c>
      <c r="AP3240" s="498">
        <f t="shared" si="1137"/>
        <v>0</v>
      </c>
      <c r="AQ3240" s="498">
        <f t="shared" si="1132"/>
        <v>0</v>
      </c>
      <c r="AU3240" s="498">
        <f t="shared" si="1119"/>
        <v>0</v>
      </c>
      <c r="AV3240" s="498">
        <f t="shared" si="1120"/>
        <v>0</v>
      </c>
      <c r="AW3240" s="498">
        <f t="shared" si="1121"/>
        <v>0</v>
      </c>
      <c r="AX3240" s="498">
        <f t="shared" si="1122"/>
        <v>0</v>
      </c>
      <c r="AY3240" s="498">
        <f t="shared" si="1123"/>
        <v>0</v>
      </c>
      <c r="BB3240" s="498" t="str">
        <f t="shared" si="1124"/>
        <v/>
      </c>
      <c r="BC3240" s="743" t="str">
        <f t="shared" si="1125"/>
        <v/>
      </c>
      <c r="BD3240" s="743" t="str">
        <f t="shared" si="1126"/>
        <v/>
      </c>
      <c r="BE3240" s="743" t="str">
        <f>IF(D3240="","",VLOOKUP(D3240,'General Basis'!$J$39:$K$46,2,0))</f>
        <v/>
      </c>
      <c r="BF3240" s="744" t="str">
        <f>IF(D3240="","",VLOOKUP(D3240,'General Basis'!$J$39:$L$46,3,0))</f>
        <v/>
      </c>
      <c r="BG3240" s="744" t="str">
        <f t="shared" si="1133"/>
        <v/>
      </c>
      <c r="BH3240" s="744" t="str">
        <f>IF(G3240="","",IF(BF3240="Abu Dhabi",IF(G3240&lt;18,'General Basis'!$C$39,IF(G3240&lt;41,'General Basis'!$C$40,IF(G3240&lt;60,'General Basis'!$C$41,IF(G3240&lt;65,'General Basis'!$C$42,'General Basis'!$C$43)))),IF(G3240&lt;11,'General Basis'!$B$39,IF(G3240&lt;18,'General Basis'!$B$40,IF(G3240&lt;26,'General Basis'!$B$41,IF(G3240&lt;31,'General Basis'!$B$42,IF(G3240&lt;36,'General Basis'!$B$43,IF(G3240&lt;41,'General Basis'!$B$44,IF(G3240&lt;46,'General Basis'!$B$45,IF(G3240&lt;51,'General Basis'!$B$46,IF(G3240&lt;56,'General Basis'!$B$47,IF(G3240&lt;60,'General Basis'!$B$48,IF(G3240&lt;65,'General Basis'!$B$49,'General Basis'!$B$50)))))))))))))</f>
        <v/>
      </c>
      <c r="BI3240" s="744" t="str">
        <f t="shared" si="1127"/>
        <v/>
      </c>
      <c r="BJ3240" s="747" t="str">
        <f t="shared" si="1134"/>
        <v/>
      </c>
      <c r="BK3240" s="498" t="str">
        <f t="shared" si="1128"/>
        <v/>
      </c>
      <c r="BL3240" s="498" t="str">
        <f t="shared" si="1129"/>
        <v/>
      </c>
    </row>
    <row r="3241" spans="1:64" x14ac:dyDescent="0.25">
      <c r="A3241" s="762">
        <f t="shared" si="1130"/>
        <v>3236</v>
      </c>
      <c r="B3241" s="229"/>
      <c r="C3241" s="223"/>
      <c r="D3241" s="224"/>
      <c r="E3241" s="225"/>
      <c r="F3241" s="1036" t="str">
        <f t="shared" si="1136"/>
        <v/>
      </c>
      <c r="G3241" s="1037" t="str">
        <f t="shared" si="1131"/>
        <v/>
      </c>
      <c r="H3241" s="225"/>
      <c r="I3241" s="1013"/>
      <c r="J3241" s="1013"/>
      <c r="K3241" s="1028"/>
      <c r="L3241" s="1035" t="str">
        <f t="shared" si="1135"/>
        <v/>
      </c>
      <c r="S3241" s="498"/>
      <c r="AJ3241" s="498"/>
      <c r="AM3241" s="498">
        <f t="shared" si="1116"/>
        <v>0</v>
      </c>
      <c r="AN3241" s="498">
        <f t="shared" si="1117"/>
        <v>0</v>
      </c>
      <c r="AO3241" s="498">
        <f t="shared" si="1118"/>
        <v>0</v>
      </c>
      <c r="AP3241" s="498">
        <f t="shared" si="1137"/>
        <v>0</v>
      </c>
      <c r="AQ3241" s="498">
        <f t="shared" si="1132"/>
        <v>0</v>
      </c>
      <c r="AU3241" s="498">
        <f t="shared" si="1119"/>
        <v>0</v>
      </c>
      <c r="AV3241" s="498">
        <f t="shared" si="1120"/>
        <v>0</v>
      </c>
      <c r="AW3241" s="498">
        <f t="shared" si="1121"/>
        <v>0</v>
      </c>
      <c r="AX3241" s="498">
        <f t="shared" si="1122"/>
        <v>0</v>
      </c>
      <c r="AY3241" s="498">
        <f t="shared" si="1123"/>
        <v>0</v>
      </c>
      <c r="BB3241" s="498" t="str">
        <f t="shared" si="1124"/>
        <v/>
      </c>
      <c r="BC3241" s="743" t="str">
        <f t="shared" si="1125"/>
        <v/>
      </c>
      <c r="BD3241" s="743" t="str">
        <f t="shared" si="1126"/>
        <v/>
      </c>
      <c r="BE3241" s="743" t="str">
        <f>IF(D3241="","",VLOOKUP(D3241,'General Basis'!$J$39:$K$46,2,0))</f>
        <v/>
      </c>
      <c r="BF3241" s="744" t="str">
        <f>IF(D3241="","",VLOOKUP(D3241,'General Basis'!$J$39:$L$46,3,0))</f>
        <v/>
      </c>
      <c r="BG3241" s="744" t="str">
        <f t="shared" si="1133"/>
        <v/>
      </c>
      <c r="BH3241" s="744" t="str">
        <f>IF(G3241="","",IF(BF3241="Abu Dhabi",IF(G3241&lt;18,'General Basis'!$C$39,IF(G3241&lt;41,'General Basis'!$C$40,IF(G3241&lt;60,'General Basis'!$C$41,IF(G3241&lt;65,'General Basis'!$C$42,'General Basis'!$C$43)))),IF(G3241&lt;11,'General Basis'!$B$39,IF(G3241&lt;18,'General Basis'!$B$40,IF(G3241&lt;26,'General Basis'!$B$41,IF(G3241&lt;31,'General Basis'!$B$42,IF(G3241&lt;36,'General Basis'!$B$43,IF(G3241&lt;41,'General Basis'!$B$44,IF(G3241&lt;46,'General Basis'!$B$45,IF(G3241&lt;51,'General Basis'!$B$46,IF(G3241&lt;56,'General Basis'!$B$47,IF(G3241&lt;60,'General Basis'!$B$48,IF(G3241&lt;65,'General Basis'!$B$49,'General Basis'!$B$50)))))))))))))</f>
        <v/>
      </c>
      <c r="BI3241" s="744" t="str">
        <f t="shared" si="1127"/>
        <v/>
      </c>
      <c r="BJ3241" s="747" t="str">
        <f t="shared" si="1134"/>
        <v/>
      </c>
      <c r="BK3241" s="498" t="str">
        <f t="shared" si="1128"/>
        <v/>
      </c>
      <c r="BL3241" s="498" t="str">
        <f t="shared" si="1129"/>
        <v/>
      </c>
    </row>
    <row r="3242" spans="1:64" x14ac:dyDescent="0.25">
      <c r="A3242" s="762">
        <f t="shared" si="1130"/>
        <v>3237</v>
      </c>
      <c r="B3242" s="229"/>
      <c r="C3242" s="223"/>
      <c r="D3242" s="224"/>
      <c r="E3242" s="225"/>
      <c r="F3242" s="1036" t="str">
        <f t="shared" si="1136"/>
        <v/>
      </c>
      <c r="G3242" s="1037" t="str">
        <f t="shared" si="1131"/>
        <v/>
      </c>
      <c r="H3242" s="225"/>
      <c r="I3242" s="1013"/>
      <c r="J3242" s="1013"/>
      <c r="K3242" s="1028"/>
      <c r="L3242" s="1035" t="str">
        <f t="shared" si="1135"/>
        <v/>
      </c>
      <c r="S3242" s="498"/>
      <c r="AJ3242" s="498"/>
      <c r="AM3242" s="498">
        <f t="shared" si="1116"/>
        <v>0</v>
      </c>
      <c r="AN3242" s="498">
        <f t="shared" si="1117"/>
        <v>0</v>
      </c>
      <c r="AO3242" s="498">
        <f t="shared" si="1118"/>
        <v>0</v>
      </c>
      <c r="AP3242" s="498">
        <f t="shared" si="1137"/>
        <v>0</v>
      </c>
      <c r="AQ3242" s="498">
        <f t="shared" si="1132"/>
        <v>0</v>
      </c>
      <c r="AU3242" s="498">
        <f t="shared" si="1119"/>
        <v>0</v>
      </c>
      <c r="AV3242" s="498">
        <f t="shared" si="1120"/>
        <v>0</v>
      </c>
      <c r="AW3242" s="498">
        <f t="shared" si="1121"/>
        <v>0</v>
      </c>
      <c r="AX3242" s="498">
        <f t="shared" si="1122"/>
        <v>0</v>
      </c>
      <c r="AY3242" s="498">
        <f t="shared" si="1123"/>
        <v>0</v>
      </c>
      <c r="BB3242" s="498" t="str">
        <f t="shared" si="1124"/>
        <v/>
      </c>
      <c r="BC3242" s="743" t="str">
        <f t="shared" si="1125"/>
        <v/>
      </c>
      <c r="BD3242" s="743" t="str">
        <f t="shared" si="1126"/>
        <v/>
      </c>
      <c r="BE3242" s="743" t="str">
        <f>IF(D3242="","",VLOOKUP(D3242,'General Basis'!$J$39:$K$46,2,0))</f>
        <v/>
      </c>
      <c r="BF3242" s="744" t="str">
        <f>IF(D3242="","",VLOOKUP(D3242,'General Basis'!$J$39:$L$46,3,0))</f>
        <v/>
      </c>
      <c r="BG3242" s="744" t="str">
        <f t="shared" si="1133"/>
        <v/>
      </c>
      <c r="BH3242" s="744" t="str">
        <f>IF(G3242="","",IF(BF3242="Abu Dhabi",IF(G3242&lt;18,'General Basis'!$C$39,IF(G3242&lt;41,'General Basis'!$C$40,IF(G3242&lt;60,'General Basis'!$C$41,IF(G3242&lt;65,'General Basis'!$C$42,'General Basis'!$C$43)))),IF(G3242&lt;11,'General Basis'!$B$39,IF(G3242&lt;18,'General Basis'!$B$40,IF(G3242&lt;26,'General Basis'!$B$41,IF(G3242&lt;31,'General Basis'!$B$42,IF(G3242&lt;36,'General Basis'!$B$43,IF(G3242&lt;41,'General Basis'!$B$44,IF(G3242&lt;46,'General Basis'!$B$45,IF(G3242&lt;51,'General Basis'!$B$46,IF(G3242&lt;56,'General Basis'!$B$47,IF(G3242&lt;60,'General Basis'!$B$48,IF(G3242&lt;65,'General Basis'!$B$49,'General Basis'!$B$50)))))))))))))</f>
        <v/>
      </c>
      <c r="BI3242" s="744" t="str">
        <f t="shared" si="1127"/>
        <v/>
      </c>
      <c r="BJ3242" s="747" t="str">
        <f t="shared" si="1134"/>
        <v/>
      </c>
      <c r="BK3242" s="498" t="str">
        <f t="shared" si="1128"/>
        <v/>
      </c>
      <c r="BL3242" s="498" t="str">
        <f t="shared" si="1129"/>
        <v/>
      </c>
    </row>
    <row r="3243" spans="1:64" x14ac:dyDescent="0.25">
      <c r="A3243" s="762">
        <f t="shared" si="1130"/>
        <v>3238</v>
      </c>
      <c r="B3243" s="229"/>
      <c r="C3243" s="223"/>
      <c r="D3243" s="224"/>
      <c r="E3243" s="225"/>
      <c r="F3243" s="1036" t="str">
        <f t="shared" si="1136"/>
        <v/>
      </c>
      <c r="G3243" s="1037" t="str">
        <f t="shared" si="1131"/>
        <v/>
      </c>
      <c r="H3243" s="225"/>
      <c r="I3243" s="1013"/>
      <c r="J3243" s="1013"/>
      <c r="K3243" s="1028"/>
      <c r="L3243" s="1035" t="str">
        <f t="shared" si="1135"/>
        <v/>
      </c>
      <c r="S3243" s="498"/>
      <c r="AJ3243" s="498"/>
      <c r="AM3243" s="498">
        <f t="shared" si="1116"/>
        <v>0</v>
      </c>
      <c r="AN3243" s="498">
        <f t="shared" si="1117"/>
        <v>0</v>
      </c>
      <c r="AO3243" s="498">
        <f t="shared" si="1118"/>
        <v>0</v>
      </c>
      <c r="AP3243" s="498">
        <f t="shared" si="1137"/>
        <v>0</v>
      </c>
      <c r="AQ3243" s="498">
        <f t="shared" si="1132"/>
        <v>0</v>
      </c>
      <c r="AU3243" s="498">
        <f t="shared" si="1119"/>
        <v>0</v>
      </c>
      <c r="AV3243" s="498">
        <f t="shared" si="1120"/>
        <v>0</v>
      </c>
      <c r="AW3243" s="498">
        <f t="shared" si="1121"/>
        <v>0</v>
      </c>
      <c r="AX3243" s="498">
        <f t="shared" si="1122"/>
        <v>0</v>
      </c>
      <c r="AY3243" s="498">
        <f t="shared" si="1123"/>
        <v>0</v>
      </c>
      <c r="BB3243" s="498" t="str">
        <f t="shared" si="1124"/>
        <v/>
      </c>
      <c r="BC3243" s="743" t="str">
        <f t="shared" si="1125"/>
        <v/>
      </c>
      <c r="BD3243" s="743" t="str">
        <f t="shared" si="1126"/>
        <v/>
      </c>
      <c r="BE3243" s="743" t="str">
        <f>IF(D3243="","",VLOOKUP(D3243,'General Basis'!$J$39:$K$46,2,0))</f>
        <v/>
      </c>
      <c r="BF3243" s="744" t="str">
        <f>IF(D3243="","",VLOOKUP(D3243,'General Basis'!$J$39:$L$46,3,0))</f>
        <v/>
      </c>
      <c r="BG3243" s="744" t="str">
        <f t="shared" si="1133"/>
        <v/>
      </c>
      <c r="BH3243" s="744" t="str">
        <f>IF(G3243="","",IF(BF3243="Abu Dhabi",IF(G3243&lt;18,'General Basis'!$C$39,IF(G3243&lt;41,'General Basis'!$C$40,IF(G3243&lt;60,'General Basis'!$C$41,IF(G3243&lt;65,'General Basis'!$C$42,'General Basis'!$C$43)))),IF(G3243&lt;11,'General Basis'!$B$39,IF(G3243&lt;18,'General Basis'!$B$40,IF(G3243&lt;26,'General Basis'!$B$41,IF(G3243&lt;31,'General Basis'!$B$42,IF(G3243&lt;36,'General Basis'!$B$43,IF(G3243&lt;41,'General Basis'!$B$44,IF(G3243&lt;46,'General Basis'!$B$45,IF(G3243&lt;51,'General Basis'!$B$46,IF(G3243&lt;56,'General Basis'!$B$47,IF(G3243&lt;60,'General Basis'!$B$48,IF(G3243&lt;65,'General Basis'!$B$49,'General Basis'!$B$50)))))))))))))</f>
        <v/>
      </c>
      <c r="BI3243" s="744" t="str">
        <f t="shared" si="1127"/>
        <v/>
      </c>
      <c r="BJ3243" s="747" t="str">
        <f t="shared" si="1134"/>
        <v/>
      </c>
      <c r="BK3243" s="498" t="str">
        <f t="shared" si="1128"/>
        <v/>
      </c>
      <c r="BL3243" s="498" t="str">
        <f t="shared" si="1129"/>
        <v/>
      </c>
    </row>
    <row r="3244" spans="1:64" x14ac:dyDescent="0.25">
      <c r="A3244" s="762">
        <f t="shared" si="1130"/>
        <v>3239</v>
      </c>
      <c r="B3244" s="229"/>
      <c r="C3244" s="223"/>
      <c r="D3244" s="224"/>
      <c r="E3244" s="225"/>
      <c r="F3244" s="1036" t="str">
        <f t="shared" si="1136"/>
        <v/>
      </c>
      <c r="G3244" s="1037" t="str">
        <f t="shared" si="1131"/>
        <v/>
      </c>
      <c r="H3244" s="225"/>
      <c r="I3244" s="1013"/>
      <c r="J3244" s="1013"/>
      <c r="K3244" s="1028"/>
      <c r="L3244" s="1035" t="str">
        <f t="shared" si="1135"/>
        <v/>
      </c>
      <c r="S3244" s="498"/>
      <c r="AJ3244" s="498"/>
      <c r="AM3244" s="498">
        <f t="shared" si="1116"/>
        <v>0</v>
      </c>
      <c r="AN3244" s="498">
        <f t="shared" si="1117"/>
        <v>0</v>
      </c>
      <c r="AO3244" s="498">
        <f t="shared" si="1118"/>
        <v>0</v>
      </c>
      <c r="AP3244" s="498">
        <f t="shared" si="1137"/>
        <v>0</v>
      </c>
      <c r="AQ3244" s="498">
        <f t="shared" si="1132"/>
        <v>0</v>
      </c>
      <c r="AU3244" s="498">
        <f t="shared" si="1119"/>
        <v>0</v>
      </c>
      <c r="AV3244" s="498">
        <f t="shared" si="1120"/>
        <v>0</v>
      </c>
      <c r="AW3244" s="498">
        <f t="shared" si="1121"/>
        <v>0</v>
      </c>
      <c r="AX3244" s="498">
        <f t="shared" si="1122"/>
        <v>0</v>
      </c>
      <c r="AY3244" s="498">
        <f t="shared" si="1123"/>
        <v>0</v>
      </c>
      <c r="BB3244" s="498" t="str">
        <f t="shared" si="1124"/>
        <v/>
      </c>
      <c r="BC3244" s="743" t="str">
        <f t="shared" si="1125"/>
        <v/>
      </c>
      <c r="BD3244" s="743" t="str">
        <f t="shared" si="1126"/>
        <v/>
      </c>
      <c r="BE3244" s="743" t="str">
        <f>IF(D3244="","",VLOOKUP(D3244,'General Basis'!$J$39:$K$46,2,0))</f>
        <v/>
      </c>
      <c r="BF3244" s="744" t="str">
        <f>IF(D3244="","",VLOOKUP(D3244,'General Basis'!$J$39:$L$46,3,0))</f>
        <v/>
      </c>
      <c r="BG3244" s="744" t="str">
        <f t="shared" si="1133"/>
        <v/>
      </c>
      <c r="BH3244" s="744" t="str">
        <f>IF(G3244="","",IF(BF3244="Abu Dhabi",IF(G3244&lt;18,'General Basis'!$C$39,IF(G3244&lt;41,'General Basis'!$C$40,IF(G3244&lt;60,'General Basis'!$C$41,IF(G3244&lt;65,'General Basis'!$C$42,'General Basis'!$C$43)))),IF(G3244&lt;11,'General Basis'!$B$39,IF(G3244&lt;18,'General Basis'!$B$40,IF(G3244&lt;26,'General Basis'!$B$41,IF(G3244&lt;31,'General Basis'!$B$42,IF(G3244&lt;36,'General Basis'!$B$43,IF(G3244&lt;41,'General Basis'!$B$44,IF(G3244&lt;46,'General Basis'!$B$45,IF(G3244&lt;51,'General Basis'!$B$46,IF(G3244&lt;56,'General Basis'!$B$47,IF(G3244&lt;60,'General Basis'!$B$48,IF(G3244&lt;65,'General Basis'!$B$49,'General Basis'!$B$50)))))))))))))</f>
        <v/>
      </c>
      <c r="BI3244" s="744" t="str">
        <f t="shared" si="1127"/>
        <v/>
      </c>
      <c r="BJ3244" s="747" t="str">
        <f t="shared" si="1134"/>
        <v/>
      </c>
      <c r="BK3244" s="498" t="str">
        <f t="shared" si="1128"/>
        <v/>
      </c>
      <c r="BL3244" s="498" t="str">
        <f t="shared" si="1129"/>
        <v/>
      </c>
    </row>
    <row r="3245" spans="1:64" x14ac:dyDescent="0.25">
      <c r="A3245" s="762">
        <f t="shared" si="1130"/>
        <v>3240</v>
      </c>
      <c r="B3245" s="229"/>
      <c r="C3245" s="223"/>
      <c r="D3245" s="224"/>
      <c r="E3245" s="225"/>
      <c r="F3245" s="1036" t="str">
        <f t="shared" si="1136"/>
        <v/>
      </c>
      <c r="G3245" s="1037" t="str">
        <f t="shared" si="1131"/>
        <v/>
      </c>
      <c r="H3245" s="225"/>
      <c r="I3245" s="1013"/>
      <c r="J3245" s="1013"/>
      <c r="K3245" s="1028"/>
      <c r="L3245" s="1035" t="str">
        <f t="shared" si="1135"/>
        <v/>
      </c>
      <c r="S3245" s="498"/>
      <c r="AJ3245" s="498"/>
      <c r="AM3245" s="498">
        <f t="shared" si="1116"/>
        <v>0</v>
      </c>
      <c r="AN3245" s="498">
        <f t="shared" si="1117"/>
        <v>0</v>
      </c>
      <c r="AO3245" s="498">
        <f t="shared" si="1118"/>
        <v>0</v>
      </c>
      <c r="AP3245" s="498">
        <f t="shared" si="1137"/>
        <v>0</v>
      </c>
      <c r="AQ3245" s="498">
        <f t="shared" si="1132"/>
        <v>0</v>
      </c>
      <c r="AU3245" s="498">
        <f t="shared" si="1119"/>
        <v>0</v>
      </c>
      <c r="AV3245" s="498">
        <f t="shared" si="1120"/>
        <v>0</v>
      </c>
      <c r="AW3245" s="498">
        <f t="shared" si="1121"/>
        <v>0</v>
      </c>
      <c r="AX3245" s="498">
        <f t="shared" si="1122"/>
        <v>0</v>
      </c>
      <c r="AY3245" s="498">
        <f t="shared" si="1123"/>
        <v>0</v>
      </c>
      <c r="BB3245" s="498" t="str">
        <f t="shared" si="1124"/>
        <v/>
      </c>
      <c r="BC3245" s="743" t="str">
        <f t="shared" si="1125"/>
        <v/>
      </c>
      <c r="BD3245" s="743" t="str">
        <f t="shared" si="1126"/>
        <v/>
      </c>
      <c r="BE3245" s="743" t="str">
        <f>IF(D3245="","",VLOOKUP(D3245,'General Basis'!$J$39:$K$46,2,0))</f>
        <v/>
      </c>
      <c r="BF3245" s="744" t="str">
        <f>IF(D3245="","",VLOOKUP(D3245,'General Basis'!$J$39:$L$46,3,0))</f>
        <v/>
      </c>
      <c r="BG3245" s="744" t="str">
        <f t="shared" si="1133"/>
        <v/>
      </c>
      <c r="BH3245" s="744" t="str">
        <f>IF(G3245="","",IF(BF3245="Abu Dhabi",IF(G3245&lt;18,'General Basis'!$C$39,IF(G3245&lt;41,'General Basis'!$C$40,IF(G3245&lt;60,'General Basis'!$C$41,IF(G3245&lt;65,'General Basis'!$C$42,'General Basis'!$C$43)))),IF(G3245&lt;11,'General Basis'!$B$39,IF(G3245&lt;18,'General Basis'!$B$40,IF(G3245&lt;26,'General Basis'!$B$41,IF(G3245&lt;31,'General Basis'!$B$42,IF(G3245&lt;36,'General Basis'!$B$43,IF(G3245&lt;41,'General Basis'!$B$44,IF(G3245&lt;46,'General Basis'!$B$45,IF(G3245&lt;51,'General Basis'!$B$46,IF(G3245&lt;56,'General Basis'!$B$47,IF(G3245&lt;60,'General Basis'!$B$48,IF(G3245&lt;65,'General Basis'!$B$49,'General Basis'!$B$50)))))))))))))</f>
        <v/>
      </c>
      <c r="BI3245" s="744" t="str">
        <f t="shared" si="1127"/>
        <v/>
      </c>
      <c r="BJ3245" s="747" t="str">
        <f t="shared" si="1134"/>
        <v/>
      </c>
      <c r="BK3245" s="498" t="str">
        <f t="shared" si="1128"/>
        <v/>
      </c>
      <c r="BL3245" s="498" t="str">
        <f t="shared" si="1129"/>
        <v/>
      </c>
    </row>
    <row r="3246" spans="1:64" x14ac:dyDescent="0.25">
      <c r="A3246" s="762">
        <f t="shared" si="1130"/>
        <v>3241</v>
      </c>
      <c r="B3246" s="229"/>
      <c r="C3246" s="223"/>
      <c r="D3246" s="224"/>
      <c r="E3246" s="225"/>
      <c r="F3246" s="1036" t="str">
        <f t="shared" si="1136"/>
        <v/>
      </c>
      <c r="G3246" s="1037" t="str">
        <f t="shared" si="1131"/>
        <v/>
      </c>
      <c r="H3246" s="225"/>
      <c r="I3246" s="1013"/>
      <c r="J3246" s="1013"/>
      <c r="K3246" s="1028"/>
      <c r="L3246" s="1035" t="str">
        <f t="shared" si="1135"/>
        <v/>
      </c>
      <c r="S3246" s="498"/>
      <c r="AJ3246" s="498"/>
      <c r="AM3246" s="498">
        <f t="shared" si="1116"/>
        <v>0</v>
      </c>
      <c r="AN3246" s="498">
        <f t="shared" si="1117"/>
        <v>0</v>
      </c>
      <c r="AO3246" s="498">
        <f t="shared" si="1118"/>
        <v>0</v>
      </c>
      <c r="AP3246" s="498">
        <f t="shared" si="1137"/>
        <v>0</v>
      </c>
      <c r="AQ3246" s="498">
        <f t="shared" si="1132"/>
        <v>0</v>
      </c>
      <c r="AU3246" s="498">
        <f t="shared" si="1119"/>
        <v>0</v>
      </c>
      <c r="AV3246" s="498">
        <f t="shared" si="1120"/>
        <v>0</v>
      </c>
      <c r="AW3246" s="498">
        <f t="shared" si="1121"/>
        <v>0</v>
      </c>
      <c r="AX3246" s="498">
        <f t="shared" si="1122"/>
        <v>0</v>
      </c>
      <c r="AY3246" s="498">
        <f t="shared" si="1123"/>
        <v>0</v>
      </c>
      <c r="BB3246" s="498" t="str">
        <f t="shared" si="1124"/>
        <v/>
      </c>
      <c r="BC3246" s="743" t="str">
        <f t="shared" si="1125"/>
        <v/>
      </c>
      <c r="BD3246" s="743" t="str">
        <f t="shared" si="1126"/>
        <v/>
      </c>
      <c r="BE3246" s="743" t="str">
        <f>IF(D3246="","",VLOOKUP(D3246,'General Basis'!$J$39:$K$46,2,0))</f>
        <v/>
      </c>
      <c r="BF3246" s="744" t="str">
        <f>IF(D3246="","",VLOOKUP(D3246,'General Basis'!$J$39:$L$46,3,0))</f>
        <v/>
      </c>
      <c r="BG3246" s="744" t="str">
        <f t="shared" si="1133"/>
        <v/>
      </c>
      <c r="BH3246" s="744" t="str">
        <f>IF(G3246="","",IF(BF3246="Abu Dhabi",IF(G3246&lt;18,'General Basis'!$C$39,IF(G3246&lt;41,'General Basis'!$C$40,IF(G3246&lt;60,'General Basis'!$C$41,IF(G3246&lt;65,'General Basis'!$C$42,'General Basis'!$C$43)))),IF(G3246&lt;11,'General Basis'!$B$39,IF(G3246&lt;18,'General Basis'!$B$40,IF(G3246&lt;26,'General Basis'!$B$41,IF(G3246&lt;31,'General Basis'!$B$42,IF(G3246&lt;36,'General Basis'!$B$43,IF(G3246&lt;41,'General Basis'!$B$44,IF(G3246&lt;46,'General Basis'!$B$45,IF(G3246&lt;51,'General Basis'!$B$46,IF(G3246&lt;56,'General Basis'!$B$47,IF(G3246&lt;60,'General Basis'!$B$48,IF(G3246&lt;65,'General Basis'!$B$49,'General Basis'!$B$50)))))))))))))</f>
        <v/>
      </c>
      <c r="BI3246" s="744" t="str">
        <f t="shared" si="1127"/>
        <v/>
      </c>
      <c r="BJ3246" s="747" t="str">
        <f t="shared" si="1134"/>
        <v/>
      </c>
      <c r="BK3246" s="498" t="str">
        <f t="shared" si="1128"/>
        <v/>
      </c>
      <c r="BL3246" s="498" t="str">
        <f t="shared" si="1129"/>
        <v/>
      </c>
    </row>
    <row r="3247" spans="1:64" x14ac:dyDescent="0.25">
      <c r="A3247" s="762">
        <f t="shared" si="1130"/>
        <v>3242</v>
      </c>
      <c r="B3247" s="229"/>
      <c r="C3247" s="223"/>
      <c r="D3247" s="224"/>
      <c r="E3247" s="225"/>
      <c r="F3247" s="1036" t="str">
        <f t="shared" si="1136"/>
        <v/>
      </c>
      <c r="G3247" s="1037" t="str">
        <f t="shared" si="1131"/>
        <v/>
      </c>
      <c r="H3247" s="225"/>
      <c r="I3247" s="1013"/>
      <c r="J3247" s="1013"/>
      <c r="K3247" s="1028"/>
      <c r="L3247" s="1035" t="str">
        <f t="shared" si="1135"/>
        <v/>
      </c>
      <c r="S3247" s="498"/>
      <c r="AJ3247" s="498"/>
      <c r="AM3247" s="498">
        <f t="shared" si="1116"/>
        <v>0</v>
      </c>
      <c r="AN3247" s="498">
        <f t="shared" si="1117"/>
        <v>0</v>
      </c>
      <c r="AO3247" s="498">
        <f t="shared" si="1118"/>
        <v>0</v>
      </c>
      <c r="AP3247" s="498">
        <f t="shared" si="1137"/>
        <v>0</v>
      </c>
      <c r="AQ3247" s="498">
        <f t="shared" si="1132"/>
        <v>0</v>
      </c>
      <c r="AU3247" s="498">
        <f t="shared" si="1119"/>
        <v>0</v>
      </c>
      <c r="AV3247" s="498">
        <f t="shared" si="1120"/>
        <v>0</v>
      </c>
      <c r="AW3247" s="498">
        <f t="shared" si="1121"/>
        <v>0</v>
      </c>
      <c r="AX3247" s="498">
        <f t="shared" si="1122"/>
        <v>0</v>
      </c>
      <c r="AY3247" s="498">
        <f t="shared" si="1123"/>
        <v>0</v>
      </c>
      <c r="BB3247" s="498" t="str">
        <f t="shared" si="1124"/>
        <v/>
      </c>
      <c r="BC3247" s="743" t="str">
        <f t="shared" si="1125"/>
        <v/>
      </c>
      <c r="BD3247" s="743" t="str">
        <f t="shared" si="1126"/>
        <v/>
      </c>
      <c r="BE3247" s="743" t="str">
        <f>IF(D3247="","",VLOOKUP(D3247,'General Basis'!$J$39:$K$46,2,0))</f>
        <v/>
      </c>
      <c r="BF3247" s="744" t="str">
        <f>IF(D3247="","",VLOOKUP(D3247,'General Basis'!$J$39:$L$46,3,0))</f>
        <v/>
      </c>
      <c r="BG3247" s="744" t="str">
        <f t="shared" si="1133"/>
        <v/>
      </c>
      <c r="BH3247" s="744" t="str">
        <f>IF(G3247="","",IF(BF3247="Abu Dhabi",IF(G3247&lt;18,'General Basis'!$C$39,IF(G3247&lt;41,'General Basis'!$C$40,IF(G3247&lt;60,'General Basis'!$C$41,IF(G3247&lt;65,'General Basis'!$C$42,'General Basis'!$C$43)))),IF(G3247&lt;11,'General Basis'!$B$39,IF(G3247&lt;18,'General Basis'!$B$40,IF(G3247&lt;26,'General Basis'!$B$41,IF(G3247&lt;31,'General Basis'!$B$42,IF(G3247&lt;36,'General Basis'!$B$43,IF(G3247&lt;41,'General Basis'!$B$44,IF(G3247&lt;46,'General Basis'!$B$45,IF(G3247&lt;51,'General Basis'!$B$46,IF(G3247&lt;56,'General Basis'!$B$47,IF(G3247&lt;60,'General Basis'!$B$48,IF(G3247&lt;65,'General Basis'!$B$49,'General Basis'!$B$50)))))))))))))</f>
        <v/>
      </c>
      <c r="BI3247" s="744" t="str">
        <f t="shared" si="1127"/>
        <v/>
      </c>
      <c r="BJ3247" s="747" t="str">
        <f t="shared" si="1134"/>
        <v/>
      </c>
      <c r="BK3247" s="498" t="str">
        <f t="shared" si="1128"/>
        <v/>
      </c>
      <c r="BL3247" s="498" t="str">
        <f t="shared" si="1129"/>
        <v/>
      </c>
    </row>
    <row r="3248" spans="1:64" x14ac:dyDescent="0.25">
      <c r="A3248" s="762">
        <f t="shared" si="1130"/>
        <v>3243</v>
      </c>
      <c r="B3248" s="229"/>
      <c r="C3248" s="223"/>
      <c r="D3248" s="224"/>
      <c r="E3248" s="225"/>
      <c r="F3248" s="1036" t="str">
        <f t="shared" si="1136"/>
        <v/>
      </c>
      <c r="G3248" s="1037" t="str">
        <f t="shared" si="1131"/>
        <v/>
      </c>
      <c r="H3248" s="225"/>
      <c r="I3248" s="1013"/>
      <c r="J3248" s="1013"/>
      <c r="K3248" s="1028"/>
      <c r="L3248" s="1035" t="str">
        <f t="shared" si="1135"/>
        <v/>
      </c>
      <c r="S3248" s="498"/>
      <c r="AJ3248" s="498"/>
      <c r="AM3248" s="498">
        <f t="shared" si="1116"/>
        <v>0</v>
      </c>
      <c r="AN3248" s="498">
        <f t="shared" si="1117"/>
        <v>0</v>
      </c>
      <c r="AO3248" s="498">
        <f t="shared" si="1118"/>
        <v>0</v>
      </c>
      <c r="AP3248" s="498">
        <f t="shared" si="1137"/>
        <v>0</v>
      </c>
      <c r="AQ3248" s="498">
        <f t="shared" si="1132"/>
        <v>0</v>
      </c>
      <c r="AU3248" s="498">
        <f t="shared" si="1119"/>
        <v>0</v>
      </c>
      <c r="AV3248" s="498">
        <f t="shared" si="1120"/>
        <v>0</v>
      </c>
      <c r="AW3248" s="498">
        <f t="shared" si="1121"/>
        <v>0</v>
      </c>
      <c r="AX3248" s="498">
        <f t="shared" si="1122"/>
        <v>0</v>
      </c>
      <c r="AY3248" s="498">
        <f t="shared" si="1123"/>
        <v>0</v>
      </c>
      <c r="BB3248" s="498" t="str">
        <f t="shared" si="1124"/>
        <v/>
      </c>
      <c r="BC3248" s="743" t="str">
        <f t="shared" si="1125"/>
        <v/>
      </c>
      <c r="BD3248" s="743" t="str">
        <f t="shared" si="1126"/>
        <v/>
      </c>
      <c r="BE3248" s="743" t="str">
        <f>IF(D3248="","",VLOOKUP(D3248,'General Basis'!$J$39:$K$46,2,0))</f>
        <v/>
      </c>
      <c r="BF3248" s="744" t="str">
        <f>IF(D3248="","",VLOOKUP(D3248,'General Basis'!$J$39:$L$46,3,0))</f>
        <v/>
      </c>
      <c r="BG3248" s="744" t="str">
        <f t="shared" si="1133"/>
        <v/>
      </c>
      <c r="BH3248" s="744" t="str">
        <f>IF(G3248="","",IF(BF3248="Abu Dhabi",IF(G3248&lt;18,'General Basis'!$C$39,IF(G3248&lt;41,'General Basis'!$C$40,IF(G3248&lt;60,'General Basis'!$C$41,IF(G3248&lt;65,'General Basis'!$C$42,'General Basis'!$C$43)))),IF(G3248&lt;11,'General Basis'!$B$39,IF(G3248&lt;18,'General Basis'!$B$40,IF(G3248&lt;26,'General Basis'!$B$41,IF(G3248&lt;31,'General Basis'!$B$42,IF(G3248&lt;36,'General Basis'!$B$43,IF(G3248&lt;41,'General Basis'!$B$44,IF(G3248&lt;46,'General Basis'!$B$45,IF(G3248&lt;51,'General Basis'!$B$46,IF(G3248&lt;56,'General Basis'!$B$47,IF(G3248&lt;60,'General Basis'!$B$48,IF(G3248&lt;65,'General Basis'!$B$49,'General Basis'!$B$50)))))))))))))</f>
        <v/>
      </c>
      <c r="BI3248" s="744" t="str">
        <f t="shared" si="1127"/>
        <v/>
      </c>
      <c r="BJ3248" s="747" t="str">
        <f t="shared" si="1134"/>
        <v/>
      </c>
      <c r="BK3248" s="498" t="str">
        <f t="shared" si="1128"/>
        <v/>
      </c>
      <c r="BL3248" s="498" t="str">
        <f t="shared" si="1129"/>
        <v/>
      </c>
    </row>
    <row r="3249" spans="1:64" x14ac:dyDescent="0.25">
      <c r="A3249" s="762">
        <f t="shared" si="1130"/>
        <v>3244</v>
      </c>
      <c r="B3249" s="229"/>
      <c r="C3249" s="223"/>
      <c r="D3249" s="224"/>
      <c r="E3249" s="225"/>
      <c r="F3249" s="1036" t="str">
        <f t="shared" si="1136"/>
        <v/>
      </c>
      <c r="G3249" s="1037" t="str">
        <f t="shared" si="1131"/>
        <v/>
      </c>
      <c r="H3249" s="225"/>
      <c r="I3249" s="1013"/>
      <c r="J3249" s="1013"/>
      <c r="K3249" s="1028"/>
      <c r="L3249" s="1035" t="str">
        <f t="shared" si="1135"/>
        <v/>
      </c>
      <c r="S3249" s="498"/>
      <c r="AJ3249" s="498"/>
      <c r="AM3249" s="498">
        <f t="shared" si="1116"/>
        <v>0</v>
      </c>
      <c r="AN3249" s="498">
        <f t="shared" si="1117"/>
        <v>0</v>
      </c>
      <c r="AO3249" s="498">
        <f t="shared" si="1118"/>
        <v>0</v>
      </c>
      <c r="AP3249" s="498">
        <f t="shared" si="1137"/>
        <v>0</v>
      </c>
      <c r="AQ3249" s="498">
        <f t="shared" si="1132"/>
        <v>0</v>
      </c>
      <c r="AU3249" s="498">
        <f t="shared" si="1119"/>
        <v>0</v>
      </c>
      <c r="AV3249" s="498">
        <f t="shared" si="1120"/>
        <v>0</v>
      </c>
      <c r="AW3249" s="498">
        <f t="shared" si="1121"/>
        <v>0</v>
      </c>
      <c r="AX3249" s="498">
        <f t="shared" si="1122"/>
        <v>0</v>
      </c>
      <c r="AY3249" s="498">
        <f t="shared" si="1123"/>
        <v>0</v>
      </c>
      <c r="BB3249" s="498" t="str">
        <f t="shared" si="1124"/>
        <v/>
      </c>
      <c r="BC3249" s="743" t="str">
        <f t="shared" si="1125"/>
        <v/>
      </c>
      <c r="BD3249" s="743" t="str">
        <f t="shared" si="1126"/>
        <v/>
      </c>
      <c r="BE3249" s="743" t="str">
        <f>IF(D3249="","",VLOOKUP(D3249,'General Basis'!$J$39:$K$46,2,0))</f>
        <v/>
      </c>
      <c r="BF3249" s="744" t="str">
        <f>IF(D3249="","",VLOOKUP(D3249,'General Basis'!$J$39:$L$46,3,0))</f>
        <v/>
      </c>
      <c r="BG3249" s="744" t="str">
        <f t="shared" si="1133"/>
        <v/>
      </c>
      <c r="BH3249" s="744" t="str">
        <f>IF(G3249="","",IF(BF3249="Abu Dhabi",IF(G3249&lt;18,'General Basis'!$C$39,IF(G3249&lt;41,'General Basis'!$C$40,IF(G3249&lt;60,'General Basis'!$C$41,IF(G3249&lt;65,'General Basis'!$C$42,'General Basis'!$C$43)))),IF(G3249&lt;11,'General Basis'!$B$39,IF(G3249&lt;18,'General Basis'!$B$40,IF(G3249&lt;26,'General Basis'!$B$41,IF(G3249&lt;31,'General Basis'!$B$42,IF(G3249&lt;36,'General Basis'!$B$43,IF(G3249&lt;41,'General Basis'!$B$44,IF(G3249&lt;46,'General Basis'!$B$45,IF(G3249&lt;51,'General Basis'!$B$46,IF(G3249&lt;56,'General Basis'!$B$47,IF(G3249&lt;60,'General Basis'!$B$48,IF(G3249&lt;65,'General Basis'!$B$49,'General Basis'!$B$50)))))))))))))</f>
        <v/>
      </c>
      <c r="BI3249" s="744" t="str">
        <f t="shared" si="1127"/>
        <v/>
      </c>
      <c r="BJ3249" s="747" t="str">
        <f t="shared" si="1134"/>
        <v/>
      </c>
      <c r="BK3249" s="498" t="str">
        <f t="shared" si="1128"/>
        <v/>
      </c>
      <c r="BL3249" s="498" t="str">
        <f t="shared" si="1129"/>
        <v/>
      </c>
    </row>
    <row r="3250" spans="1:64" x14ac:dyDescent="0.25">
      <c r="A3250" s="762">
        <f t="shared" si="1130"/>
        <v>3245</v>
      </c>
      <c r="B3250" s="229"/>
      <c r="C3250" s="223"/>
      <c r="D3250" s="224"/>
      <c r="E3250" s="225"/>
      <c r="F3250" s="1036" t="str">
        <f t="shared" si="1136"/>
        <v/>
      </c>
      <c r="G3250" s="1037" t="str">
        <f t="shared" si="1131"/>
        <v/>
      </c>
      <c r="H3250" s="225"/>
      <c r="I3250" s="1013"/>
      <c r="J3250" s="1013"/>
      <c r="K3250" s="1028"/>
      <c r="L3250" s="1035" t="str">
        <f t="shared" si="1135"/>
        <v/>
      </c>
      <c r="S3250" s="498"/>
      <c r="AJ3250" s="498"/>
      <c r="AM3250" s="498">
        <f t="shared" si="1116"/>
        <v>0</v>
      </c>
      <c r="AN3250" s="498">
        <f t="shared" si="1117"/>
        <v>0</v>
      </c>
      <c r="AO3250" s="498">
        <f t="shared" si="1118"/>
        <v>0</v>
      </c>
      <c r="AP3250" s="498">
        <f t="shared" si="1137"/>
        <v>0</v>
      </c>
      <c r="AQ3250" s="498">
        <f t="shared" si="1132"/>
        <v>0</v>
      </c>
      <c r="AU3250" s="498">
        <f t="shared" si="1119"/>
        <v>0</v>
      </c>
      <c r="AV3250" s="498">
        <f t="shared" si="1120"/>
        <v>0</v>
      </c>
      <c r="AW3250" s="498">
        <f t="shared" si="1121"/>
        <v>0</v>
      </c>
      <c r="AX3250" s="498">
        <f t="shared" si="1122"/>
        <v>0</v>
      </c>
      <c r="AY3250" s="498">
        <f t="shared" si="1123"/>
        <v>0</v>
      </c>
      <c r="BB3250" s="498" t="str">
        <f t="shared" si="1124"/>
        <v/>
      </c>
      <c r="BC3250" s="743" t="str">
        <f t="shared" si="1125"/>
        <v/>
      </c>
      <c r="BD3250" s="743" t="str">
        <f t="shared" si="1126"/>
        <v/>
      </c>
      <c r="BE3250" s="743" t="str">
        <f>IF(D3250="","",VLOOKUP(D3250,'General Basis'!$J$39:$K$46,2,0))</f>
        <v/>
      </c>
      <c r="BF3250" s="744" t="str">
        <f>IF(D3250="","",VLOOKUP(D3250,'General Basis'!$J$39:$L$46,3,0))</f>
        <v/>
      </c>
      <c r="BG3250" s="744" t="str">
        <f t="shared" si="1133"/>
        <v/>
      </c>
      <c r="BH3250" s="744" t="str">
        <f>IF(G3250="","",IF(BF3250="Abu Dhabi",IF(G3250&lt;18,'General Basis'!$C$39,IF(G3250&lt;41,'General Basis'!$C$40,IF(G3250&lt;60,'General Basis'!$C$41,IF(G3250&lt;65,'General Basis'!$C$42,'General Basis'!$C$43)))),IF(G3250&lt;11,'General Basis'!$B$39,IF(G3250&lt;18,'General Basis'!$B$40,IF(G3250&lt;26,'General Basis'!$B$41,IF(G3250&lt;31,'General Basis'!$B$42,IF(G3250&lt;36,'General Basis'!$B$43,IF(G3250&lt;41,'General Basis'!$B$44,IF(G3250&lt;46,'General Basis'!$B$45,IF(G3250&lt;51,'General Basis'!$B$46,IF(G3250&lt;56,'General Basis'!$B$47,IF(G3250&lt;60,'General Basis'!$B$48,IF(G3250&lt;65,'General Basis'!$B$49,'General Basis'!$B$50)))))))))))))</f>
        <v/>
      </c>
      <c r="BI3250" s="744" t="str">
        <f t="shared" si="1127"/>
        <v/>
      </c>
      <c r="BJ3250" s="747" t="str">
        <f t="shared" si="1134"/>
        <v/>
      </c>
      <c r="BK3250" s="498" t="str">
        <f t="shared" si="1128"/>
        <v/>
      </c>
      <c r="BL3250" s="498" t="str">
        <f t="shared" si="1129"/>
        <v/>
      </c>
    </row>
    <row r="3251" spans="1:64" x14ac:dyDescent="0.25">
      <c r="A3251" s="762">
        <f t="shared" si="1130"/>
        <v>3246</v>
      </c>
      <c r="B3251" s="229"/>
      <c r="C3251" s="223"/>
      <c r="D3251" s="224"/>
      <c r="E3251" s="225"/>
      <c r="F3251" s="1036" t="str">
        <f t="shared" si="1136"/>
        <v/>
      </c>
      <c r="G3251" s="1037" t="str">
        <f t="shared" si="1131"/>
        <v/>
      </c>
      <c r="H3251" s="225"/>
      <c r="I3251" s="1013"/>
      <c r="J3251" s="1013"/>
      <c r="K3251" s="1028"/>
      <c r="L3251" s="1035" t="str">
        <f t="shared" si="1135"/>
        <v/>
      </c>
      <c r="S3251" s="498"/>
      <c r="AJ3251" s="498"/>
      <c r="AM3251" s="498">
        <f t="shared" si="1116"/>
        <v>0</v>
      </c>
      <c r="AN3251" s="498">
        <f t="shared" si="1117"/>
        <v>0</v>
      </c>
      <c r="AO3251" s="498">
        <f t="shared" si="1118"/>
        <v>0</v>
      </c>
      <c r="AP3251" s="498">
        <f t="shared" si="1137"/>
        <v>0</v>
      </c>
      <c r="AQ3251" s="498">
        <f t="shared" si="1132"/>
        <v>0</v>
      </c>
      <c r="AU3251" s="498">
        <f t="shared" si="1119"/>
        <v>0</v>
      </c>
      <c r="AV3251" s="498">
        <f t="shared" si="1120"/>
        <v>0</v>
      </c>
      <c r="AW3251" s="498">
        <f t="shared" si="1121"/>
        <v>0</v>
      </c>
      <c r="AX3251" s="498">
        <f t="shared" si="1122"/>
        <v>0</v>
      </c>
      <c r="AY3251" s="498">
        <f t="shared" si="1123"/>
        <v>0</v>
      </c>
      <c r="BB3251" s="498" t="str">
        <f t="shared" si="1124"/>
        <v/>
      </c>
      <c r="BC3251" s="743" t="str">
        <f t="shared" si="1125"/>
        <v/>
      </c>
      <c r="BD3251" s="743" t="str">
        <f t="shared" si="1126"/>
        <v/>
      </c>
      <c r="BE3251" s="743" t="str">
        <f>IF(D3251="","",VLOOKUP(D3251,'General Basis'!$J$39:$K$46,2,0))</f>
        <v/>
      </c>
      <c r="BF3251" s="744" t="str">
        <f>IF(D3251="","",VLOOKUP(D3251,'General Basis'!$J$39:$L$46,3,0))</f>
        <v/>
      </c>
      <c r="BG3251" s="744" t="str">
        <f t="shared" si="1133"/>
        <v/>
      </c>
      <c r="BH3251" s="744" t="str">
        <f>IF(G3251="","",IF(BF3251="Abu Dhabi",IF(G3251&lt;18,'General Basis'!$C$39,IF(G3251&lt;41,'General Basis'!$C$40,IF(G3251&lt;60,'General Basis'!$C$41,IF(G3251&lt;65,'General Basis'!$C$42,'General Basis'!$C$43)))),IF(G3251&lt;11,'General Basis'!$B$39,IF(G3251&lt;18,'General Basis'!$B$40,IF(G3251&lt;26,'General Basis'!$B$41,IF(G3251&lt;31,'General Basis'!$B$42,IF(G3251&lt;36,'General Basis'!$B$43,IF(G3251&lt;41,'General Basis'!$B$44,IF(G3251&lt;46,'General Basis'!$B$45,IF(G3251&lt;51,'General Basis'!$B$46,IF(G3251&lt;56,'General Basis'!$B$47,IF(G3251&lt;60,'General Basis'!$B$48,IF(G3251&lt;65,'General Basis'!$B$49,'General Basis'!$B$50)))))))))))))</f>
        <v/>
      </c>
      <c r="BI3251" s="744" t="str">
        <f t="shared" si="1127"/>
        <v/>
      </c>
      <c r="BJ3251" s="747" t="str">
        <f t="shared" si="1134"/>
        <v/>
      </c>
      <c r="BK3251" s="498" t="str">
        <f t="shared" si="1128"/>
        <v/>
      </c>
      <c r="BL3251" s="498" t="str">
        <f t="shared" si="1129"/>
        <v/>
      </c>
    </row>
    <row r="3252" spans="1:64" x14ac:dyDescent="0.25">
      <c r="A3252" s="762">
        <f t="shared" si="1130"/>
        <v>3247</v>
      </c>
      <c r="B3252" s="229"/>
      <c r="C3252" s="223"/>
      <c r="D3252" s="224"/>
      <c r="E3252" s="225"/>
      <c r="F3252" s="1036" t="str">
        <f t="shared" si="1136"/>
        <v/>
      </c>
      <c r="G3252" s="1037" t="str">
        <f t="shared" si="1131"/>
        <v/>
      </c>
      <c r="H3252" s="225"/>
      <c r="I3252" s="1013"/>
      <c r="J3252" s="1013"/>
      <c r="K3252" s="1028"/>
      <c r="L3252" s="1035" t="str">
        <f t="shared" si="1135"/>
        <v/>
      </c>
      <c r="S3252" s="498"/>
      <c r="AJ3252" s="498"/>
      <c r="AM3252" s="498">
        <f t="shared" si="1116"/>
        <v>0</v>
      </c>
      <c r="AN3252" s="498">
        <f t="shared" si="1117"/>
        <v>0</v>
      </c>
      <c r="AO3252" s="498">
        <f t="shared" si="1118"/>
        <v>0</v>
      </c>
      <c r="AP3252" s="498">
        <f t="shared" si="1137"/>
        <v>0</v>
      </c>
      <c r="AQ3252" s="498">
        <f t="shared" si="1132"/>
        <v>0</v>
      </c>
      <c r="AU3252" s="498">
        <f t="shared" si="1119"/>
        <v>0</v>
      </c>
      <c r="AV3252" s="498">
        <f t="shared" si="1120"/>
        <v>0</v>
      </c>
      <c r="AW3252" s="498">
        <f t="shared" si="1121"/>
        <v>0</v>
      </c>
      <c r="AX3252" s="498">
        <f t="shared" si="1122"/>
        <v>0</v>
      </c>
      <c r="AY3252" s="498">
        <f t="shared" si="1123"/>
        <v>0</v>
      </c>
      <c r="BB3252" s="498" t="str">
        <f t="shared" si="1124"/>
        <v/>
      </c>
      <c r="BC3252" s="743" t="str">
        <f t="shared" si="1125"/>
        <v/>
      </c>
      <c r="BD3252" s="743" t="str">
        <f t="shared" si="1126"/>
        <v/>
      </c>
      <c r="BE3252" s="743" t="str">
        <f>IF(D3252="","",VLOOKUP(D3252,'General Basis'!$J$39:$K$46,2,0))</f>
        <v/>
      </c>
      <c r="BF3252" s="744" t="str">
        <f>IF(D3252="","",VLOOKUP(D3252,'General Basis'!$J$39:$L$46,3,0))</f>
        <v/>
      </c>
      <c r="BG3252" s="744" t="str">
        <f t="shared" si="1133"/>
        <v/>
      </c>
      <c r="BH3252" s="744" t="str">
        <f>IF(G3252="","",IF(BF3252="Abu Dhabi",IF(G3252&lt;18,'General Basis'!$C$39,IF(G3252&lt;41,'General Basis'!$C$40,IF(G3252&lt;60,'General Basis'!$C$41,IF(G3252&lt;65,'General Basis'!$C$42,'General Basis'!$C$43)))),IF(G3252&lt;11,'General Basis'!$B$39,IF(G3252&lt;18,'General Basis'!$B$40,IF(G3252&lt;26,'General Basis'!$B$41,IF(G3252&lt;31,'General Basis'!$B$42,IF(G3252&lt;36,'General Basis'!$B$43,IF(G3252&lt;41,'General Basis'!$B$44,IF(G3252&lt;46,'General Basis'!$B$45,IF(G3252&lt;51,'General Basis'!$B$46,IF(G3252&lt;56,'General Basis'!$B$47,IF(G3252&lt;60,'General Basis'!$B$48,IF(G3252&lt;65,'General Basis'!$B$49,'General Basis'!$B$50)))))))))))))</f>
        <v/>
      </c>
      <c r="BI3252" s="744" t="str">
        <f t="shared" si="1127"/>
        <v/>
      </c>
      <c r="BJ3252" s="747" t="str">
        <f t="shared" si="1134"/>
        <v/>
      </c>
      <c r="BK3252" s="498" t="str">
        <f t="shared" si="1128"/>
        <v/>
      </c>
      <c r="BL3252" s="498" t="str">
        <f t="shared" si="1129"/>
        <v/>
      </c>
    </row>
    <row r="3253" spans="1:64" x14ac:dyDescent="0.25">
      <c r="A3253" s="762">
        <f t="shared" si="1130"/>
        <v>3248</v>
      </c>
      <c r="B3253" s="229"/>
      <c r="C3253" s="223"/>
      <c r="D3253" s="224"/>
      <c r="E3253" s="225"/>
      <c r="F3253" s="1036" t="str">
        <f t="shared" si="1136"/>
        <v/>
      </c>
      <c r="G3253" s="1037" t="str">
        <f t="shared" si="1131"/>
        <v/>
      </c>
      <c r="H3253" s="225"/>
      <c r="I3253" s="1013"/>
      <c r="J3253" s="1013"/>
      <c r="K3253" s="1028"/>
      <c r="L3253" s="1035" t="str">
        <f t="shared" si="1135"/>
        <v/>
      </c>
      <c r="S3253" s="498"/>
      <c r="AJ3253" s="498"/>
      <c r="AM3253" s="498">
        <f t="shared" si="1116"/>
        <v>0</v>
      </c>
      <c r="AN3253" s="498">
        <f t="shared" si="1117"/>
        <v>0</v>
      </c>
      <c r="AO3253" s="498">
        <f t="shared" si="1118"/>
        <v>0</v>
      </c>
      <c r="AP3253" s="498">
        <f t="shared" si="1137"/>
        <v>0</v>
      </c>
      <c r="AQ3253" s="498">
        <f t="shared" si="1132"/>
        <v>0</v>
      </c>
      <c r="AU3253" s="498">
        <f t="shared" si="1119"/>
        <v>0</v>
      </c>
      <c r="AV3253" s="498">
        <f t="shared" si="1120"/>
        <v>0</v>
      </c>
      <c r="AW3253" s="498">
        <f t="shared" si="1121"/>
        <v>0</v>
      </c>
      <c r="AX3253" s="498">
        <f t="shared" si="1122"/>
        <v>0</v>
      </c>
      <c r="AY3253" s="498">
        <f t="shared" si="1123"/>
        <v>0</v>
      </c>
      <c r="BB3253" s="498" t="str">
        <f t="shared" si="1124"/>
        <v/>
      </c>
      <c r="BC3253" s="743" t="str">
        <f t="shared" si="1125"/>
        <v/>
      </c>
      <c r="BD3253" s="743" t="str">
        <f t="shared" si="1126"/>
        <v/>
      </c>
      <c r="BE3253" s="743" t="str">
        <f>IF(D3253="","",VLOOKUP(D3253,'General Basis'!$J$39:$K$46,2,0))</f>
        <v/>
      </c>
      <c r="BF3253" s="744" t="str">
        <f>IF(D3253="","",VLOOKUP(D3253,'General Basis'!$J$39:$L$46,3,0))</f>
        <v/>
      </c>
      <c r="BG3253" s="744" t="str">
        <f t="shared" si="1133"/>
        <v/>
      </c>
      <c r="BH3253" s="744" t="str">
        <f>IF(G3253="","",IF(BF3253="Abu Dhabi",IF(G3253&lt;18,'General Basis'!$C$39,IF(G3253&lt;41,'General Basis'!$C$40,IF(G3253&lt;60,'General Basis'!$C$41,IF(G3253&lt;65,'General Basis'!$C$42,'General Basis'!$C$43)))),IF(G3253&lt;11,'General Basis'!$B$39,IF(G3253&lt;18,'General Basis'!$B$40,IF(G3253&lt;26,'General Basis'!$B$41,IF(G3253&lt;31,'General Basis'!$B$42,IF(G3253&lt;36,'General Basis'!$B$43,IF(G3253&lt;41,'General Basis'!$B$44,IF(G3253&lt;46,'General Basis'!$B$45,IF(G3253&lt;51,'General Basis'!$B$46,IF(G3253&lt;56,'General Basis'!$B$47,IF(G3253&lt;60,'General Basis'!$B$48,IF(G3253&lt;65,'General Basis'!$B$49,'General Basis'!$B$50)))))))))))))</f>
        <v/>
      </c>
      <c r="BI3253" s="744" t="str">
        <f t="shared" si="1127"/>
        <v/>
      </c>
      <c r="BJ3253" s="747" t="str">
        <f t="shared" si="1134"/>
        <v/>
      </c>
      <c r="BK3253" s="498" t="str">
        <f t="shared" si="1128"/>
        <v/>
      </c>
      <c r="BL3253" s="498" t="str">
        <f t="shared" si="1129"/>
        <v/>
      </c>
    </row>
    <row r="3254" spans="1:64" x14ac:dyDescent="0.25">
      <c r="A3254" s="762">
        <f t="shared" si="1130"/>
        <v>3249</v>
      </c>
      <c r="B3254" s="229"/>
      <c r="C3254" s="223"/>
      <c r="D3254" s="224"/>
      <c r="E3254" s="225"/>
      <c r="F3254" s="1036" t="str">
        <f t="shared" si="1136"/>
        <v/>
      </c>
      <c r="G3254" s="1037" t="str">
        <f t="shared" si="1131"/>
        <v/>
      </c>
      <c r="H3254" s="225"/>
      <c r="I3254" s="1013"/>
      <c r="J3254" s="1013"/>
      <c r="K3254" s="1028"/>
      <c r="L3254" s="1035" t="str">
        <f t="shared" si="1135"/>
        <v/>
      </c>
      <c r="S3254" s="498"/>
      <c r="AJ3254" s="498"/>
      <c r="AM3254" s="498">
        <f t="shared" si="1116"/>
        <v>0</v>
      </c>
      <c r="AN3254" s="498">
        <f t="shared" si="1117"/>
        <v>0</v>
      </c>
      <c r="AO3254" s="498">
        <f t="shared" si="1118"/>
        <v>0</v>
      </c>
      <c r="AP3254" s="498">
        <f t="shared" si="1137"/>
        <v>0</v>
      </c>
      <c r="AQ3254" s="498">
        <f t="shared" si="1132"/>
        <v>0</v>
      </c>
      <c r="AU3254" s="498">
        <f t="shared" si="1119"/>
        <v>0</v>
      </c>
      <c r="AV3254" s="498">
        <f t="shared" si="1120"/>
        <v>0</v>
      </c>
      <c r="AW3254" s="498">
        <f t="shared" si="1121"/>
        <v>0</v>
      </c>
      <c r="AX3254" s="498">
        <f t="shared" si="1122"/>
        <v>0</v>
      </c>
      <c r="AY3254" s="498">
        <f t="shared" si="1123"/>
        <v>0</v>
      </c>
      <c r="BB3254" s="498" t="str">
        <f t="shared" si="1124"/>
        <v/>
      </c>
      <c r="BC3254" s="743" t="str">
        <f t="shared" si="1125"/>
        <v/>
      </c>
      <c r="BD3254" s="743" t="str">
        <f t="shared" si="1126"/>
        <v/>
      </c>
      <c r="BE3254" s="743" t="str">
        <f>IF(D3254="","",VLOOKUP(D3254,'General Basis'!$J$39:$K$46,2,0))</f>
        <v/>
      </c>
      <c r="BF3254" s="744" t="str">
        <f>IF(D3254="","",VLOOKUP(D3254,'General Basis'!$J$39:$L$46,3,0))</f>
        <v/>
      </c>
      <c r="BG3254" s="744" t="str">
        <f t="shared" si="1133"/>
        <v/>
      </c>
      <c r="BH3254" s="744" t="str">
        <f>IF(G3254="","",IF(BF3254="Abu Dhabi",IF(G3254&lt;18,'General Basis'!$C$39,IF(G3254&lt;41,'General Basis'!$C$40,IF(G3254&lt;60,'General Basis'!$C$41,IF(G3254&lt;65,'General Basis'!$C$42,'General Basis'!$C$43)))),IF(G3254&lt;11,'General Basis'!$B$39,IF(G3254&lt;18,'General Basis'!$B$40,IF(G3254&lt;26,'General Basis'!$B$41,IF(G3254&lt;31,'General Basis'!$B$42,IF(G3254&lt;36,'General Basis'!$B$43,IF(G3254&lt;41,'General Basis'!$B$44,IF(G3254&lt;46,'General Basis'!$B$45,IF(G3254&lt;51,'General Basis'!$B$46,IF(G3254&lt;56,'General Basis'!$B$47,IF(G3254&lt;60,'General Basis'!$B$48,IF(G3254&lt;65,'General Basis'!$B$49,'General Basis'!$B$50)))))))))))))</f>
        <v/>
      </c>
      <c r="BI3254" s="744" t="str">
        <f t="shared" si="1127"/>
        <v/>
      </c>
      <c r="BJ3254" s="747" t="str">
        <f t="shared" si="1134"/>
        <v/>
      </c>
      <c r="BK3254" s="498" t="str">
        <f t="shared" si="1128"/>
        <v/>
      </c>
      <c r="BL3254" s="498" t="str">
        <f t="shared" si="1129"/>
        <v/>
      </c>
    </row>
    <row r="3255" spans="1:64" x14ac:dyDescent="0.25">
      <c r="A3255" s="762">
        <f t="shared" si="1130"/>
        <v>3250</v>
      </c>
      <c r="B3255" s="229"/>
      <c r="C3255" s="223"/>
      <c r="D3255" s="224"/>
      <c r="E3255" s="225"/>
      <c r="F3255" s="1036" t="str">
        <f t="shared" si="1136"/>
        <v/>
      </c>
      <c r="G3255" s="1037" t="str">
        <f t="shared" si="1131"/>
        <v/>
      </c>
      <c r="H3255" s="225"/>
      <c r="I3255" s="1013"/>
      <c r="J3255" s="1013"/>
      <c r="K3255" s="1028"/>
      <c r="L3255" s="1035" t="str">
        <f t="shared" si="1135"/>
        <v/>
      </c>
      <c r="S3255" s="498"/>
      <c r="AJ3255" s="498"/>
      <c r="AM3255" s="498">
        <f t="shared" si="1116"/>
        <v>0</v>
      </c>
      <c r="AN3255" s="498">
        <f t="shared" si="1117"/>
        <v>0</v>
      </c>
      <c r="AO3255" s="498">
        <f t="shared" si="1118"/>
        <v>0</v>
      </c>
      <c r="AP3255" s="498">
        <f t="shared" si="1137"/>
        <v>0</v>
      </c>
      <c r="AQ3255" s="498">
        <f t="shared" si="1132"/>
        <v>0</v>
      </c>
      <c r="AU3255" s="498">
        <f t="shared" si="1119"/>
        <v>0</v>
      </c>
      <c r="AV3255" s="498">
        <f t="shared" si="1120"/>
        <v>0</v>
      </c>
      <c r="AW3255" s="498">
        <f t="shared" si="1121"/>
        <v>0</v>
      </c>
      <c r="AX3255" s="498">
        <f t="shared" si="1122"/>
        <v>0</v>
      </c>
      <c r="AY3255" s="498">
        <f t="shared" si="1123"/>
        <v>0</v>
      </c>
      <c r="BB3255" s="498" t="str">
        <f t="shared" si="1124"/>
        <v/>
      </c>
      <c r="BC3255" s="743" t="str">
        <f t="shared" si="1125"/>
        <v/>
      </c>
      <c r="BD3255" s="743" t="str">
        <f t="shared" si="1126"/>
        <v/>
      </c>
      <c r="BE3255" s="743" t="str">
        <f>IF(D3255="","",VLOOKUP(D3255,'General Basis'!$J$39:$K$46,2,0))</f>
        <v/>
      </c>
      <c r="BF3255" s="744" t="str">
        <f>IF(D3255="","",VLOOKUP(D3255,'General Basis'!$J$39:$L$46,3,0))</f>
        <v/>
      </c>
      <c r="BG3255" s="744" t="str">
        <f t="shared" si="1133"/>
        <v/>
      </c>
      <c r="BH3255" s="744" t="str">
        <f>IF(G3255="","",IF(BF3255="Abu Dhabi",IF(G3255&lt;18,'General Basis'!$C$39,IF(G3255&lt;41,'General Basis'!$C$40,IF(G3255&lt;60,'General Basis'!$C$41,IF(G3255&lt;65,'General Basis'!$C$42,'General Basis'!$C$43)))),IF(G3255&lt;11,'General Basis'!$B$39,IF(G3255&lt;18,'General Basis'!$B$40,IF(G3255&lt;26,'General Basis'!$B$41,IF(G3255&lt;31,'General Basis'!$B$42,IF(G3255&lt;36,'General Basis'!$B$43,IF(G3255&lt;41,'General Basis'!$B$44,IF(G3255&lt;46,'General Basis'!$B$45,IF(G3255&lt;51,'General Basis'!$B$46,IF(G3255&lt;56,'General Basis'!$B$47,IF(G3255&lt;60,'General Basis'!$B$48,IF(G3255&lt;65,'General Basis'!$B$49,'General Basis'!$B$50)))))))))))))</f>
        <v/>
      </c>
      <c r="BI3255" s="744" t="str">
        <f t="shared" si="1127"/>
        <v/>
      </c>
      <c r="BJ3255" s="747" t="str">
        <f t="shared" si="1134"/>
        <v/>
      </c>
      <c r="BK3255" s="498" t="str">
        <f t="shared" si="1128"/>
        <v/>
      </c>
      <c r="BL3255" s="498" t="str">
        <f t="shared" si="1129"/>
        <v/>
      </c>
    </row>
    <row r="3256" spans="1:64" x14ac:dyDescent="0.25">
      <c r="A3256" s="762">
        <f t="shared" si="1130"/>
        <v>3251</v>
      </c>
      <c r="B3256" s="229"/>
      <c r="C3256" s="223"/>
      <c r="D3256" s="224"/>
      <c r="E3256" s="225"/>
      <c r="F3256" s="1036" t="str">
        <f t="shared" si="1136"/>
        <v/>
      </c>
      <c r="G3256" s="1037" t="str">
        <f t="shared" si="1131"/>
        <v/>
      </c>
      <c r="H3256" s="225"/>
      <c r="I3256" s="1013"/>
      <c r="J3256" s="1013"/>
      <c r="K3256" s="1028"/>
      <c r="L3256" s="1035" t="str">
        <f t="shared" si="1135"/>
        <v/>
      </c>
      <c r="S3256" s="498"/>
      <c r="AJ3256" s="498"/>
      <c r="AM3256" s="498">
        <f t="shared" si="1116"/>
        <v>0</v>
      </c>
      <c r="AN3256" s="498">
        <f t="shared" si="1117"/>
        <v>0</v>
      </c>
      <c r="AO3256" s="498">
        <f t="shared" si="1118"/>
        <v>0</v>
      </c>
      <c r="AP3256" s="498">
        <f t="shared" si="1137"/>
        <v>0</v>
      </c>
      <c r="AQ3256" s="498">
        <f t="shared" si="1132"/>
        <v>0</v>
      </c>
      <c r="AU3256" s="498">
        <f t="shared" si="1119"/>
        <v>0</v>
      </c>
      <c r="AV3256" s="498">
        <f t="shared" si="1120"/>
        <v>0</v>
      </c>
      <c r="AW3256" s="498">
        <f t="shared" si="1121"/>
        <v>0</v>
      </c>
      <c r="AX3256" s="498">
        <f t="shared" si="1122"/>
        <v>0</v>
      </c>
      <c r="AY3256" s="498">
        <f t="shared" si="1123"/>
        <v>0</v>
      </c>
      <c r="BB3256" s="498" t="str">
        <f t="shared" si="1124"/>
        <v/>
      </c>
      <c r="BC3256" s="743" t="str">
        <f t="shared" si="1125"/>
        <v/>
      </c>
      <c r="BD3256" s="743" t="str">
        <f t="shared" si="1126"/>
        <v/>
      </c>
      <c r="BE3256" s="743" t="str">
        <f>IF(D3256="","",VLOOKUP(D3256,'General Basis'!$J$39:$K$46,2,0))</f>
        <v/>
      </c>
      <c r="BF3256" s="744" t="str">
        <f>IF(D3256="","",VLOOKUP(D3256,'General Basis'!$J$39:$L$46,3,0))</f>
        <v/>
      </c>
      <c r="BG3256" s="744" t="str">
        <f t="shared" si="1133"/>
        <v/>
      </c>
      <c r="BH3256" s="744" t="str">
        <f>IF(G3256="","",IF(BF3256="Abu Dhabi",IF(G3256&lt;18,'General Basis'!$C$39,IF(G3256&lt;41,'General Basis'!$C$40,IF(G3256&lt;60,'General Basis'!$C$41,IF(G3256&lt;65,'General Basis'!$C$42,'General Basis'!$C$43)))),IF(G3256&lt;11,'General Basis'!$B$39,IF(G3256&lt;18,'General Basis'!$B$40,IF(G3256&lt;26,'General Basis'!$B$41,IF(G3256&lt;31,'General Basis'!$B$42,IF(G3256&lt;36,'General Basis'!$B$43,IF(G3256&lt;41,'General Basis'!$B$44,IF(G3256&lt;46,'General Basis'!$B$45,IF(G3256&lt;51,'General Basis'!$B$46,IF(G3256&lt;56,'General Basis'!$B$47,IF(G3256&lt;60,'General Basis'!$B$48,IF(G3256&lt;65,'General Basis'!$B$49,'General Basis'!$B$50)))))))))))))</f>
        <v/>
      </c>
      <c r="BI3256" s="744" t="str">
        <f t="shared" si="1127"/>
        <v/>
      </c>
      <c r="BJ3256" s="747" t="str">
        <f t="shared" si="1134"/>
        <v/>
      </c>
      <c r="BK3256" s="498" t="str">
        <f t="shared" si="1128"/>
        <v/>
      </c>
      <c r="BL3256" s="498" t="str">
        <f t="shared" si="1129"/>
        <v/>
      </c>
    </row>
    <row r="3257" spans="1:64" x14ac:dyDescent="0.25">
      <c r="A3257" s="762">
        <f t="shared" si="1130"/>
        <v>3252</v>
      </c>
      <c r="B3257" s="229"/>
      <c r="C3257" s="223"/>
      <c r="D3257" s="224"/>
      <c r="E3257" s="225"/>
      <c r="F3257" s="1036" t="str">
        <f t="shared" si="1136"/>
        <v/>
      </c>
      <c r="G3257" s="1037" t="str">
        <f t="shared" si="1131"/>
        <v/>
      </c>
      <c r="H3257" s="225"/>
      <c r="I3257" s="1013"/>
      <c r="J3257" s="1013"/>
      <c r="K3257" s="1028"/>
      <c r="L3257" s="1035" t="str">
        <f t="shared" si="1135"/>
        <v/>
      </c>
      <c r="S3257" s="498"/>
      <c r="AJ3257" s="498"/>
      <c r="AM3257" s="498">
        <f t="shared" si="1116"/>
        <v>0</v>
      </c>
      <c r="AN3257" s="498">
        <f t="shared" si="1117"/>
        <v>0</v>
      </c>
      <c r="AO3257" s="498">
        <f t="shared" si="1118"/>
        <v>0</v>
      </c>
      <c r="AP3257" s="498">
        <f t="shared" si="1137"/>
        <v>0</v>
      </c>
      <c r="AQ3257" s="498">
        <f t="shared" si="1132"/>
        <v>0</v>
      </c>
      <c r="AU3257" s="498">
        <f t="shared" si="1119"/>
        <v>0</v>
      </c>
      <c r="AV3257" s="498">
        <f t="shared" si="1120"/>
        <v>0</v>
      </c>
      <c r="AW3257" s="498">
        <f t="shared" si="1121"/>
        <v>0</v>
      </c>
      <c r="AX3257" s="498">
        <f t="shared" si="1122"/>
        <v>0</v>
      </c>
      <c r="AY3257" s="498">
        <f t="shared" si="1123"/>
        <v>0</v>
      </c>
      <c r="BB3257" s="498" t="str">
        <f t="shared" si="1124"/>
        <v/>
      </c>
      <c r="BC3257" s="743" t="str">
        <f t="shared" si="1125"/>
        <v/>
      </c>
      <c r="BD3257" s="743" t="str">
        <f t="shared" si="1126"/>
        <v/>
      </c>
      <c r="BE3257" s="743" t="str">
        <f>IF(D3257="","",VLOOKUP(D3257,'General Basis'!$J$39:$K$46,2,0))</f>
        <v/>
      </c>
      <c r="BF3257" s="744" t="str">
        <f>IF(D3257="","",VLOOKUP(D3257,'General Basis'!$J$39:$L$46,3,0))</f>
        <v/>
      </c>
      <c r="BG3257" s="744" t="str">
        <f t="shared" si="1133"/>
        <v/>
      </c>
      <c r="BH3257" s="744" t="str">
        <f>IF(G3257="","",IF(BF3257="Abu Dhabi",IF(G3257&lt;18,'General Basis'!$C$39,IF(G3257&lt;41,'General Basis'!$C$40,IF(G3257&lt;60,'General Basis'!$C$41,IF(G3257&lt;65,'General Basis'!$C$42,'General Basis'!$C$43)))),IF(G3257&lt;11,'General Basis'!$B$39,IF(G3257&lt;18,'General Basis'!$B$40,IF(G3257&lt;26,'General Basis'!$B$41,IF(G3257&lt;31,'General Basis'!$B$42,IF(G3257&lt;36,'General Basis'!$B$43,IF(G3257&lt;41,'General Basis'!$B$44,IF(G3257&lt;46,'General Basis'!$B$45,IF(G3257&lt;51,'General Basis'!$B$46,IF(G3257&lt;56,'General Basis'!$B$47,IF(G3257&lt;60,'General Basis'!$B$48,IF(G3257&lt;65,'General Basis'!$B$49,'General Basis'!$B$50)))))))))))))</f>
        <v/>
      </c>
      <c r="BI3257" s="744" t="str">
        <f t="shared" si="1127"/>
        <v/>
      </c>
      <c r="BJ3257" s="747" t="str">
        <f t="shared" si="1134"/>
        <v/>
      </c>
      <c r="BK3257" s="498" t="str">
        <f t="shared" si="1128"/>
        <v/>
      </c>
      <c r="BL3257" s="498" t="str">
        <f t="shared" si="1129"/>
        <v/>
      </c>
    </row>
    <row r="3258" spans="1:64" x14ac:dyDescent="0.25">
      <c r="A3258" s="762">
        <f t="shared" si="1130"/>
        <v>3253</v>
      </c>
      <c r="B3258" s="229"/>
      <c r="C3258" s="223"/>
      <c r="D3258" s="224"/>
      <c r="E3258" s="225"/>
      <c r="F3258" s="1036" t="str">
        <f t="shared" si="1136"/>
        <v/>
      </c>
      <c r="G3258" s="1037" t="str">
        <f t="shared" si="1131"/>
        <v/>
      </c>
      <c r="H3258" s="225"/>
      <c r="I3258" s="1013"/>
      <c r="J3258" s="1013"/>
      <c r="K3258" s="1028"/>
      <c r="L3258" s="1035" t="str">
        <f t="shared" si="1135"/>
        <v/>
      </c>
      <c r="S3258" s="498"/>
      <c r="AJ3258" s="498"/>
      <c r="AM3258" s="498">
        <f t="shared" si="1116"/>
        <v>0</v>
      </c>
      <c r="AN3258" s="498">
        <f t="shared" si="1117"/>
        <v>0</v>
      </c>
      <c r="AO3258" s="498">
        <f t="shared" si="1118"/>
        <v>0</v>
      </c>
      <c r="AP3258" s="498">
        <f t="shared" si="1137"/>
        <v>0</v>
      </c>
      <c r="AQ3258" s="498">
        <f t="shared" si="1132"/>
        <v>0</v>
      </c>
      <c r="AU3258" s="498">
        <f t="shared" si="1119"/>
        <v>0</v>
      </c>
      <c r="AV3258" s="498">
        <f t="shared" si="1120"/>
        <v>0</v>
      </c>
      <c r="AW3258" s="498">
        <f t="shared" si="1121"/>
        <v>0</v>
      </c>
      <c r="AX3258" s="498">
        <f t="shared" si="1122"/>
        <v>0</v>
      </c>
      <c r="AY3258" s="498">
        <f t="shared" si="1123"/>
        <v>0</v>
      </c>
      <c r="BB3258" s="498" t="str">
        <f t="shared" si="1124"/>
        <v/>
      </c>
      <c r="BC3258" s="743" t="str">
        <f t="shared" si="1125"/>
        <v/>
      </c>
      <c r="BD3258" s="743" t="str">
        <f t="shared" si="1126"/>
        <v/>
      </c>
      <c r="BE3258" s="743" t="str">
        <f>IF(D3258="","",VLOOKUP(D3258,'General Basis'!$J$39:$K$46,2,0))</f>
        <v/>
      </c>
      <c r="BF3258" s="744" t="str">
        <f>IF(D3258="","",VLOOKUP(D3258,'General Basis'!$J$39:$L$46,3,0))</f>
        <v/>
      </c>
      <c r="BG3258" s="744" t="str">
        <f t="shared" si="1133"/>
        <v/>
      </c>
      <c r="BH3258" s="744" t="str">
        <f>IF(G3258="","",IF(BF3258="Abu Dhabi",IF(G3258&lt;18,'General Basis'!$C$39,IF(G3258&lt;41,'General Basis'!$C$40,IF(G3258&lt;60,'General Basis'!$C$41,IF(G3258&lt;65,'General Basis'!$C$42,'General Basis'!$C$43)))),IF(G3258&lt;11,'General Basis'!$B$39,IF(G3258&lt;18,'General Basis'!$B$40,IF(G3258&lt;26,'General Basis'!$B$41,IF(G3258&lt;31,'General Basis'!$B$42,IF(G3258&lt;36,'General Basis'!$B$43,IF(G3258&lt;41,'General Basis'!$B$44,IF(G3258&lt;46,'General Basis'!$B$45,IF(G3258&lt;51,'General Basis'!$B$46,IF(G3258&lt;56,'General Basis'!$B$47,IF(G3258&lt;60,'General Basis'!$B$48,IF(G3258&lt;65,'General Basis'!$B$49,'General Basis'!$B$50)))))))))))))</f>
        <v/>
      </c>
      <c r="BI3258" s="744" t="str">
        <f t="shared" si="1127"/>
        <v/>
      </c>
      <c r="BJ3258" s="747" t="str">
        <f t="shared" si="1134"/>
        <v/>
      </c>
      <c r="BK3258" s="498" t="str">
        <f t="shared" si="1128"/>
        <v/>
      </c>
      <c r="BL3258" s="498" t="str">
        <f t="shared" si="1129"/>
        <v/>
      </c>
    </row>
    <row r="3259" spans="1:64" x14ac:dyDescent="0.25">
      <c r="A3259" s="762">
        <f t="shared" si="1130"/>
        <v>3254</v>
      </c>
      <c r="B3259" s="229"/>
      <c r="C3259" s="223"/>
      <c r="D3259" s="224"/>
      <c r="E3259" s="225"/>
      <c r="F3259" s="1036" t="str">
        <f t="shared" si="1136"/>
        <v/>
      </c>
      <c r="G3259" s="1037" t="str">
        <f t="shared" si="1131"/>
        <v/>
      </c>
      <c r="H3259" s="225"/>
      <c r="I3259" s="1013"/>
      <c r="J3259" s="1013"/>
      <c r="K3259" s="1028"/>
      <c r="L3259" s="1035" t="str">
        <f t="shared" si="1135"/>
        <v/>
      </c>
      <c r="S3259" s="498"/>
      <c r="AJ3259" s="498"/>
      <c r="AM3259" s="498">
        <f t="shared" si="1116"/>
        <v>0</v>
      </c>
      <c r="AN3259" s="498">
        <f t="shared" si="1117"/>
        <v>0</v>
      </c>
      <c r="AO3259" s="498">
        <f t="shared" si="1118"/>
        <v>0</v>
      </c>
      <c r="AP3259" s="498">
        <f t="shared" si="1137"/>
        <v>0</v>
      </c>
      <c r="AQ3259" s="498">
        <f t="shared" si="1132"/>
        <v>0</v>
      </c>
      <c r="AU3259" s="498">
        <f t="shared" si="1119"/>
        <v>0</v>
      </c>
      <c r="AV3259" s="498">
        <f t="shared" si="1120"/>
        <v>0</v>
      </c>
      <c r="AW3259" s="498">
        <f t="shared" si="1121"/>
        <v>0</v>
      </c>
      <c r="AX3259" s="498">
        <f t="shared" si="1122"/>
        <v>0</v>
      </c>
      <c r="AY3259" s="498">
        <f t="shared" si="1123"/>
        <v>0</v>
      </c>
      <c r="BB3259" s="498" t="str">
        <f t="shared" si="1124"/>
        <v/>
      </c>
      <c r="BC3259" s="743" t="str">
        <f t="shared" si="1125"/>
        <v/>
      </c>
      <c r="BD3259" s="743" t="str">
        <f t="shared" si="1126"/>
        <v/>
      </c>
      <c r="BE3259" s="743" t="str">
        <f>IF(D3259="","",VLOOKUP(D3259,'General Basis'!$J$39:$K$46,2,0))</f>
        <v/>
      </c>
      <c r="BF3259" s="744" t="str">
        <f>IF(D3259="","",VLOOKUP(D3259,'General Basis'!$J$39:$L$46,3,0))</f>
        <v/>
      </c>
      <c r="BG3259" s="744" t="str">
        <f t="shared" si="1133"/>
        <v/>
      </c>
      <c r="BH3259" s="744" t="str">
        <f>IF(G3259="","",IF(BF3259="Abu Dhabi",IF(G3259&lt;18,'General Basis'!$C$39,IF(G3259&lt;41,'General Basis'!$C$40,IF(G3259&lt;60,'General Basis'!$C$41,IF(G3259&lt;65,'General Basis'!$C$42,'General Basis'!$C$43)))),IF(G3259&lt;11,'General Basis'!$B$39,IF(G3259&lt;18,'General Basis'!$B$40,IF(G3259&lt;26,'General Basis'!$B$41,IF(G3259&lt;31,'General Basis'!$B$42,IF(G3259&lt;36,'General Basis'!$B$43,IF(G3259&lt;41,'General Basis'!$B$44,IF(G3259&lt;46,'General Basis'!$B$45,IF(G3259&lt;51,'General Basis'!$B$46,IF(G3259&lt;56,'General Basis'!$B$47,IF(G3259&lt;60,'General Basis'!$B$48,IF(G3259&lt;65,'General Basis'!$B$49,'General Basis'!$B$50)))))))))))))</f>
        <v/>
      </c>
      <c r="BI3259" s="744" t="str">
        <f t="shared" si="1127"/>
        <v/>
      </c>
      <c r="BJ3259" s="747" t="str">
        <f t="shared" si="1134"/>
        <v/>
      </c>
      <c r="BK3259" s="498" t="str">
        <f t="shared" si="1128"/>
        <v/>
      </c>
      <c r="BL3259" s="498" t="str">
        <f t="shared" si="1129"/>
        <v/>
      </c>
    </row>
    <row r="3260" spans="1:64" x14ac:dyDescent="0.25">
      <c r="A3260" s="762">
        <f t="shared" si="1130"/>
        <v>3255</v>
      </c>
      <c r="B3260" s="229"/>
      <c r="C3260" s="223"/>
      <c r="D3260" s="224"/>
      <c r="E3260" s="225"/>
      <c r="F3260" s="1036" t="str">
        <f t="shared" si="1136"/>
        <v/>
      </c>
      <c r="G3260" s="1037" t="str">
        <f t="shared" si="1131"/>
        <v/>
      </c>
      <c r="H3260" s="225"/>
      <c r="I3260" s="1013"/>
      <c r="J3260" s="1013"/>
      <c r="K3260" s="1028"/>
      <c r="L3260" s="1035" t="str">
        <f t="shared" si="1135"/>
        <v/>
      </c>
      <c r="S3260" s="498"/>
      <c r="AJ3260" s="498"/>
      <c r="AM3260" s="498">
        <f t="shared" si="1116"/>
        <v>0</v>
      </c>
      <c r="AN3260" s="498">
        <f t="shared" si="1117"/>
        <v>0</v>
      </c>
      <c r="AO3260" s="498">
        <f t="shared" si="1118"/>
        <v>0</v>
      </c>
      <c r="AP3260" s="498">
        <f t="shared" si="1137"/>
        <v>0</v>
      </c>
      <c r="AQ3260" s="498">
        <f t="shared" si="1132"/>
        <v>0</v>
      </c>
      <c r="AU3260" s="498">
        <f t="shared" si="1119"/>
        <v>0</v>
      </c>
      <c r="AV3260" s="498">
        <f t="shared" si="1120"/>
        <v>0</v>
      </c>
      <c r="AW3260" s="498">
        <f t="shared" si="1121"/>
        <v>0</v>
      </c>
      <c r="AX3260" s="498">
        <f t="shared" si="1122"/>
        <v>0</v>
      </c>
      <c r="AY3260" s="498">
        <f t="shared" si="1123"/>
        <v>0</v>
      </c>
      <c r="BB3260" s="498" t="str">
        <f t="shared" si="1124"/>
        <v/>
      </c>
      <c r="BC3260" s="743" t="str">
        <f t="shared" si="1125"/>
        <v/>
      </c>
      <c r="BD3260" s="743" t="str">
        <f t="shared" si="1126"/>
        <v/>
      </c>
      <c r="BE3260" s="743" t="str">
        <f>IF(D3260="","",VLOOKUP(D3260,'General Basis'!$J$39:$K$46,2,0))</f>
        <v/>
      </c>
      <c r="BF3260" s="744" t="str">
        <f>IF(D3260="","",VLOOKUP(D3260,'General Basis'!$J$39:$L$46,3,0))</f>
        <v/>
      </c>
      <c r="BG3260" s="744" t="str">
        <f t="shared" si="1133"/>
        <v/>
      </c>
      <c r="BH3260" s="744" t="str">
        <f>IF(G3260="","",IF(BF3260="Abu Dhabi",IF(G3260&lt;18,'General Basis'!$C$39,IF(G3260&lt;41,'General Basis'!$C$40,IF(G3260&lt;60,'General Basis'!$C$41,IF(G3260&lt;65,'General Basis'!$C$42,'General Basis'!$C$43)))),IF(G3260&lt;11,'General Basis'!$B$39,IF(G3260&lt;18,'General Basis'!$B$40,IF(G3260&lt;26,'General Basis'!$B$41,IF(G3260&lt;31,'General Basis'!$B$42,IF(G3260&lt;36,'General Basis'!$B$43,IF(G3260&lt;41,'General Basis'!$B$44,IF(G3260&lt;46,'General Basis'!$B$45,IF(G3260&lt;51,'General Basis'!$B$46,IF(G3260&lt;56,'General Basis'!$B$47,IF(G3260&lt;60,'General Basis'!$B$48,IF(G3260&lt;65,'General Basis'!$B$49,'General Basis'!$B$50)))))))))))))</f>
        <v/>
      </c>
      <c r="BI3260" s="744" t="str">
        <f t="shared" si="1127"/>
        <v/>
      </c>
      <c r="BJ3260" s="747" t="str">
        <f t="shared" si="1134"/>
        <v/>
      </c>
      <c r="BK3260" s="498" t="str">
        <f t="shared" si="1128"/>
        <v/>
      </c>
      <c r="BL3260" s="498" t="str">
        <f t="shared" si="1129"/>
        <v/>
      </c>
    </row>
    <row r="3261" spans="1:64" x14ac:dyDescent="0.25">
      <c r="A3261" s="762">
        <f t="shared" si="1130"/>
        <v>3256</v>
      </c>
      <c r="B3261" s="229"/>
      <c r="C3261" s="223"/>
      <c r="D3261" s="224"/>
      <c r="E3261" s="225"/>
      <c r="F3261" s="1036" t="str">
        <f t="shared" si="1136"/>
        <v/>
      </c>
      <c r="G3261" s="1037" t="str">
        <f t="shared" si="1131"/>
        <v/>
      </c>
      <c r="H3261" s="225"/>
      <c r="I3261" s="1013"/>
      <c r="J3261" s="1013"/>
      <c r="K3261" s="1028"/>
      <c r="L3261" s="1035" t="str">
        <f t="shared" si="1135"/>
        <v/>
      </c>
      <c r="S3261" s="498"/>
      <c r="AJ3261" s="498"/>
      <c r="AM3261" s="498">
        <f t="shared" si="1116"/>
        <v>0</v>
      </c>
      <c r="AN3261" s="498">
        <f t="shared" si="1117"/>
        <v>0</v>
      </c>
      <c r="AO3261" s="498">
        <f t="shared" si="1118"/>
        <v>0</v>
      </c>
      <c r="AP3261" s="498">
        <f t="shared" si="1137"/>
        <v>0</v>
      </c>
      <c r="AQ3261" s="498">
        <f t="shared" si="1132"/>
        <v>0</v>
      </c>
      <c r="AU3261" s="498">
        <f t="shared" si="1119"/>
        <v>0</v>
      </c>
      <c r="AV3261" s="498">
        <f t="shared" si="1120"/>
        <v>0</v>
      </c>
      <c r="AW3261" s="498">
        <f t="shared" si="1121"/>
        <v>0</v>
      </c>
      <c r="AX3261" s="498">
        <f t="shared" si="1122"/>
        <v>0</v>
      </c>
      <c r="AY3261" s="498">
        <f t="shared" si="1123"/>
        <v>0</v>
      </c>
      <c r="BB3261" s="498" t="str">
        <f t="shared" si="1124"/>
        <v/>
      </c>
      <c r="BC3261" s="743" t="str">
        <f t="shared" si="1125"/>
        <v/>
      </c>
      <c r="BD3261" s="743" t="str">
        <f t="shared" si="1126"/>
        <v/>
      </c>
      <c r="BE3261" s="743" t="str">
        <f>IF(D3261="","",VLOOKUP(D3261,'General Basis'!$J$39:$K$46,2,0))</f>
        <v/>
      </c>
      <c r="BF3261" s="744" t="str">
        <f>IF(D3261="","",VLOOKUP(D3261,'General Basis'!$J$39:$L$46,3,0))</f>
        <v/>
      </c>
      <c r="BG3261" s="744" t="str">
        <f t="shared" si="1133"/>
        <v/>
      </c>
      <c r="BH3261" s="744" t="str">
        <f>IF(G3261="","",IF(BF3261="Abu Dhabi",IF(G3261&lt;18,'General Basis'!$C$39,IF(G3261&lt;41,'General Basis'!$C$40,IF(G3261&lt;60,'General Basis'!$C$41,IF(G3261&lt;65,'General Basis'!$C$42,'General Basis'!$C$43)))),IF(G3261&lt;11,'General Basis'!$B$39,IF(G3261&lt;18,'General Basis'!$B$40,IF(G3261&lt;26,'General Basis'!$B$41,IF(G3261&lt;31,'General Basis'!$B$42,IF(G3261&lt;36,'General Basis'!$B$43,IF(G3261&lt;41,'General Basis'!$B$44,IF(G3261&lt;46,'General Basis'!$B$45,IF(G3261&lt;51,'General Basis'!$B$46,IF(G3261&lt;56,'General Basis'!$B$47,IF(G3261&lt;60,'General Basis'!$B$48,IF(G3261&lt;65,'General Basis'!$B$49,'General Basis'!$B$50)))))))))))))</f>
        <v/>
      </c>
      <c r="BI3261" s="744" t="str">
        <f t="shared" si="1127"/>
        <v/>
      </c>
      <c r="BJ3261" s="747" t="str">
        <f t="shared" si="1134"/>
        <v/>
      </c>
      <c r="BK3261" s="498" t="str">
        <f t="shared" si="1128"/>
        <v/>
      </c>
      <c r="BL3261" s="498" t="str">
        <f t="shared" si="1129"/>
        <v/>
      </c>
    </row>
    <row r="3262" spans="1:64" x14ac:dyDescent="0.25">
      <c r="A3262" s="762">
        <f t="shared" si="1130"/>
        <v>3257</v>
      </c>
      <c r="B3262" s="229"/>
      <c r="C3262" s="223"/>
      <c r="D3262" s="224"/>
      <c r="E3262" s="225"/>
      <c r="F3262" s="1036" t="str">
        <f t="shared" si="1136"/>
        <v/>
      </c>
      <c r="G3262" s="1037" t="str">
        <f t="shared" si="1131"/>
        <v/>
      </c>
      <c r="H3262" s="225"/>
      <c r="I3262" s="1013"/>
      <c r="J3262" s="1013"/>
      <c r="K3262" s="1028"/>
      <c r="L3262" s="1035" t="str">
        <f t="shared" si="1135"/>
        <v/>
      </c>
      <c r="S3262" s="498"/>
      <c r="AJ3262" s="498"/>
      <c r="AM3262" s="498">
        <f t="shared" si="1116"/>
        <v>0</v>
      </c>
      <c r="AN3262" s="498">
        <f t="shared" si="1117"/>
        <v>0</v>
      </c>
      <c r="AO3262" s="498">
        <f t="shared" si="1118"/>
        <v>0</v>
      </c>
      <c r="AP3262" s="498">
        <f t="shared" si="1137"/>
        <v>0</v>
      </c>
      <c r="AQ3262" s="498">
        <f t="shared" si="1132"/>
        <v>0</v>
      </c>
      <c r="AU3262" s="498">
        <f t="shared" si="1119"/>
        <v>0</v>
      </c>
      <c r="AV3262" s="498">
        <f t="shared" si="1120"/>
        <v>0</v>
      </c>
      <c r="AW3262" s="498">
        <f t="shared" si="1121"/>
        <v>0</v>
      </c>
      <c r="AX3262" s="498">
        <f t="shared" si="1122"/>
        <v>0</v>
      </c>
      <c r="AY3262" s="498">
        <f t="shared" si="1123"/>
        <v>0</v>
      </c>
      <c r="BB3262" s="498" t="str">
        <f t="shared" si="1124"/>
        <v/>
      </c>
      <c r="BC3262" s="743" t="str">
        <f t="shared" si="1125"/>
        <v/>
      </c>
      <c r="BD3262" s="743" t="str">
        <f t="shared" si="1126"/>
        <v/>
      </c>
      <c r="BE3262" s="743" t="str">
        <f>IF(D3262="","",VLOOKUP(D3262,'General Basis'!$J$39:$K$46,2,0))</f>
        <v/>
      </c>
      <c r="BF3262" s="744" t="str">
        <f>IF(D3262="","",VLOOKUP(D3262,'General Basis'!$J$39:$L$46,3,0))</f>
        <v/>
      </c>
      <c r="BG3262" s="744" t="str">
        <f t="shared" si="1133"/>
        <v/>
      </c>
      <c r="BH3262" s="744" t="str">
        <f>IF(G3262="","",IF(BF3262="Abu Dhabi",IF(G3262&lt;18,'General Basis'!$C$39,IF(G3262&lt;41,'General Basis'!$C$40,IF(G3262&lt;60,'General Basis'!$C$41,IF(G3262&lt;65,'General Basis'!$C$42,'General Basis'!$C$43)))),IF(G3262&lt;11,'General Basis'!$B$39,IF(G3262&lt;18,'General Basis'!$B$40,IF(G3262&lt;26,'General Basis'!$B$41,IF(G3262&lt;31,'General Basis'!$B$42,IF(G3262&lt;36,'General Basis'!$B$43,IF(G3262&lt;41,'General Basis'!$B$44,IF(G3262&lt;46,'General Basis'!$B$45,IF(G3262&lt;51,'General Basis'!$B$46,IF(G3262&lt;56,'General Basis'!$B$47,IF(G3262&lt;60,'General Basis'!$B$48,IF(G3262&lt;65,'General Basis'!$B$49,'General Basis'!$B$50)))))))))))))</f>
        <v/>
      </c>
      <c r="BI3262" s="744" t="str">
        <f t="shared" si="1127"/>
        <v/>
      </c>
      <c r="BJ3262" s="747" t="str">
        <f t="shared" si="1134"/>
        <v/>
      </c>
      <c r="BK3262" s="498" t="str">
        <f t="shared" si="1128"/>
        <v/>
      </c>
      <c r="BL3262" s="498" t="str">
        <f t="shared" si="1129"/>
        <v/>
      </c>
    </row>
    <row r="3263" spans="1:64" x14ac:dyDescent="0.25">
      <c r="A3263" s="762">
        <f t="shared" si="1130"/>
        <v>3258</v>
      </c>
      <c r="B3263" s="229"/>
      <c r="C3263" s="223"/>
      <c r="D3263" s="224"/>
      <c r="E3263" s="225"/>
      <c r="F3263" s="1036" t="str">
        <f t="shared" si="1136"/>
        <v/>
      </c>
      <c r="G3263" s="1037" t="str">
        <f t="shared" si="1131"/>
        <v/>
      </c>
      <c r="H3263" s="225"/>
      <c r="I3263" s="1013"/>
      <c r="J3263" s="1013"/>
      <c r="K3263" s="1028"/>
      <c r="L3263" s="1035" t="str">
        <f t="shared" si="1135"/>
        <v/>
      </c>
      <c r="S3263" s="498"/>
      <c r="AJ3263" s="498"/>
      <c r="AM3263" s="498">
        <f t="shared" si="1116"/>
        <v>0</v>
      </c>
      <c r="AN3263" s="498">
        <f t="shared" si="1117"/>
        <v>0</v>
      </c>
      <c r="AO3263" s="498">
        <f t="shared" si="1118"/>
        <v>0</v>
      </c>
      <c r="AP3263" s="498">
        <f t="shared" si="1137"/>
        <v>0</v>
      </c>
      <c r="AQ3263" s="498">
        <f t="shared" si="1132"/>
        <v>0</v>
      </c>
      <c r="AU3263" s="498">
        <f t="shared" si="1119"/>
        <v>0</v>
      </c>
      <c r="AV3263" s="498">
        <f t="shared" si="1120"/>
        <v>0</v>
      </c>
      <c r="AW3263" s="498">
        <f t="shared" si="1121"/>
        <v>0</v>
      </c>
      <c r="AX3263" s="498">
        <f t="shared" si="1122"/>
        <v>0</v>
      </c>
      <c r="AY3263" s="498">
        <f t="shared" si="1123"/>
        <v>0</v>
      </c>
      <c r="BB3263" s="498" t="str">
        <f t="shared" si="1124"/>
        <v/>
      </c>
      <c r="BC3263" s="743" t="str">
        <f t="shared" si="1125"/>
        <v/>
      </c>
      <c r="BD3263" s="743" t="str">
        <f t="shared" si="1126"/>
        <v/>
      </c>
      <c r="BE3263" s="743" t="str">
        <f>IF(D3263="","",VLOOKUP(D3263,'General Basis'!$J$39:$K$46,2,0))</f>
        <v/>
      </c>
      <c r="BF3263" s="744" t="str">
        <f>IF(D3263="","",VLOOKUP(D3263,'General Basis'!$J$39:$L$46,3,0))</f>
        <v/>
      </c>
      <c r="BG3263" s="744" t="str">
        <f t="shared" si="1133"/>
        <v/>
      </c>
      <c r="BH3263" s="744" t="str">
        <f>IF(G3263="","",IF(BF3263="Abu Dhabi",IF(G3263&lt;18,'General Basis'!$C$39,IF(G3263&lt;41,'General Basis'!$C$40,IF(G3263&lt;60,'General Basis'!$C$41,IF(G3263&lt;65,'General Basis'!$C$42,'General Basis'!$C$43)))),IF(G3263&lt;11,'General Basis'!$B$39,IF(G3263&lt;18,'General Basis'!$B$40,IF(G3263&lt;26,'General Basis'!$B$41,IF(G3263&lt;31,'General Basis'!$B$42,IF(G3263&lt;36,'General Basis'!$B$43,IF(G3263&lt;41,'General Basis'!$B$44,IF(G3263&lt;46,'General Basis'!$B$45,IF(G3263&lt;51,'General Basis'!$B$46,IF(G3263&lt;56,'General Basis'!$B$47,IF(G3263&lt;60,'General Basis'!$B$48,IF(G3263&lt;65,'General Basis'!$B$49,'General Basis'!$B$50)))))))))))))</f>
        <v/>
      </c>
      <c r="BI3263" s="744" t="str">
        <f t="shared" si="1127"/>
        <v/>
      </c>
      <c r="BJ3263" s="747" t="str">
        <f t="shared" si="1134"/>
        <v/>
      </c>
      <c r="BK3263" s="498" t="str">
        <f t="shared" si="1128"/>
        <v/>
      </c>
      <c r="BL3263" s="498" t="str">
        <f t="shared" si="1129"/>
        <v/>
      </c>
    </row>
    <row r="3264" spans="1:64" x14ac:dyDescent="0.25">
      <c r="A3264" s="762">
        <f t="shared" si="1130"/>
        <v>3259</v>
      </c>
      <c r="B3264" s="229"/>
      <c r="C3264" s="223"/>
      <c r="D3264" s="224"/>
      <c r="E3264" s="225"/>
      <c r="F3264" s="1036" t="str">
        <f t="shared" si="1136"/>
        <v/>
      </c>
      <c r="G3264" s="1037" t="str">
        <f t="shared" si="1131"/>
        <v/>
      </c>
      <c r="H3264" s="225"/>
      <c r="I3264" s="1013"/>
      <c r="J3264" s="1013"/>
      <c r="K3264" s="1028"/>
      <c r="L3264" s="1035" t="str">
        <f t="shared" si="1135"/>
        <v/>
      </c>
      <c r="S3264" s="498"/>
      <c r="AJ3264" s="498"/>
      <c r="AM3264" s="498">
        <f t="shared" si="1116"/>
        <v>0</v>
      </c>
      <c r="AN3264" s="498">
        <f t="shared" si="1117"/>
        <v>0</v>
      </c>
      <c r="AO3264" s="498">
        <f t="shared" si="1118"/>
        <v>0</v>
      </c>
      <c r="AP3264" s="498">
        <f t="shared" si="1137"/>
        <v>0</v>
      </c>
      <c r="AQ3264" s="498">
        <f t="shared" si="1132"/>
        <v>0</v>
      </c>
      <c r="AU3264" s="498">
        <f t="shared" si="1119"/>
        <v>0</v>
      </c>
      <c r="AV3264" s="498">
        <f t="shared" si="1120"/>
        <v>0</v>
      </c>
      <c r="AW3264" s="498">
        <f t="shared" si="1121"/>
        <v>0</v>
      </c>
      <c r="AX3264" s="498">
        <f t="shared" si="1122"/>
        <v>0</v>
      </c>
      <c r="AY3264" s="498">
        <f t="shared" si="1123"/>
        <v>0</v>
      </c>
      <c r="BB3264" s="498" t="str">
        <f t="shared" si="1124"/>
        <v/>
      </c>
      <c r="BC3264" s="743" t="str">
        <f t="shared" si="1125"/>
        <v/>
      </c>
      <c r="BD3264" s="743" t="str">
        <f t="shared" si="1126"/>
        <v/>
      </c>
      <c r="BE3264" s="743" t="str">
        <f>IF(D3264="","",VLOOKUP(D3264,'General Basis'!$J$39:$K$46,2,0))</f>
        <v/>
      </c>
      <c r="BF3264" s="744" t="str">
        <f>IF(D3264="","",VLOOKUP(D3264,'General Basis'!$J$39:$L$46,3,0))</f>
        <v/>
      </c>
      <c r="BG3264" s="744" t="str">
        <f t="shared" si="1133"/>
        <v/>
      </c>
      <c r="BH3264" s="744" t="str">
        <f>IF(G3264="","",IF(BF3264="Abu Dhabi",IF(G3264&lt;18,'General Basis'!$C$39,IF(G3264&lt;41,'General Basis'!$C$40,IF(G3264&lt;60,'General Basis'!$C$41,IF(G3264&lt;65,'General Basis'!$C$42,'General Basis'!$C$43)))),IF(G3264&lt;11,'General Basis'!$B$39,IF(G3264&lt;18,'General Basis'!$B$40,IF(G3264&lt;26,'General Basis'!$B$41,IF(G3264&lt;31,'General Basis'!$B$42,IF(G3264&lt;36,'General Basis'!$B$43,IF(G3264&lt;41,'General Basis'!$B$44,IF(G3264&lt;46,'General Basis'!$B$45,IF(G3264&lt;51,'General Basis'!$B$46,IF(G3264&lt;56,'General Basis'!$B$47,IF(G3264&lt;60,'General Basis'!$B$48,IF(G3264&lt;65,'General Basis'!$B$49,'General Basis'!$B$50)))))))))))))</f>
        <v/>
      </c>
      <c r="BI3264" s="744" t="str">
        <f t="shared" si="1127"/>
        <v/>
      </c>
      <c r="BJ3264" s="747" t="str">
        <f t="shared" si="1134"/>
        <v/>
      </c>
      <c r="BK3264" s="498" t="str">
        <f t="shared" si="1128"/>
        <v/>
      </c>
      <c r="BL3264" s="498" t="str">
        <f t="shared" si="1129"/>
        <v/>
      </c>
    </row>
    <row r="3265" spans="1:64" x14ac:dyDescent="0.25">
      <c r="A3265" s="762">
        <f t="shared" si="1130"/>
        <v>3260</v>
      </c>
      <c r="B3265" s="229"/>
      <c r="C3265" s="223"/>
      <c r="D3265" s="224"/>
      <c r="E3265" s="225"/>
      <c r="F3265" s="1036" t="str">
        <f t="shared" si="1136"/>
        <v/>
      </c>
      <c r="G3265" s="1037" t="str">
        <f t="shared" si="1131"/>
        <v/>
      </c>
      <c r="H3265" s="225"/>
      <c r="I3265" s="1013"/>
      <c r="J3265" s="1013"/>
      <c r="K3265" s="1028"/>
      <c r="L3265" s="1035" t="str">
        <f t="shared" si="1135"/>
        <v/>
      </c>
      <c r="S3265" s="498"/>
      <c r="AJ3265" s="498"/>
      <c r="AM3265" s="498">
        <f t="shared" si="1116"/>
        <v>0</v>
      </c>
      <c r="AN3265" s="498">
        <f t="shared" si="1117"/>
        <v>0</v>
      </c>
      <c r="AO3265" s="498">
        <f t="shared" si="1118"/>
        <v>0</v>
      </c>
      <c r="AP3265" s="498">
        <f t="shared" si="1137"/>
        <v>0</v>
      </c>
      <c r="AQ3265" s="498">
        <f t="shared" si="1132"/>
        <v>0</v>
      </c>
      <c r="AU3265" s="498">
        <f t="shared" si="1119"/>
        <v>0</v>
      </c>
      <c r="AV3265" s="498">
        <f t="shared" si="1120"/>
        <v>0</v>
      </c>
      <c r="AW3265" s="498">
        <f t="shared" si="1121"/>
        <v>0</v>
      </c>
      <c r="AX3265" s="498">
        <f t="shared" si="1122"/>
        <v>0</v>
      </c>
      <c r="AY3265" s="498">
        <f t="shared" si="1123"/>
        <v>0</v>
      </c>
      <c r="BB3265" s="498" t="str">
        <f t="shared" si="1124"/>
        <v/>
      </c>
      <c r="BC3265" s="743" t="str">
        <f t="shared" si="1125"/>
        <v/>
      </c>
      <c r="BD3265" s="743" t="str">
        <f t="shared" si="1126"/>
        <v/>
      </c>
      <c r="BE3265" s="743" t="str">
        <f>IF(D3265="","",VLOOKUP(D3265,'General Basis'!$J$39:$K$46,2,0))</f>
        <v/>
      </c>
      <c r="BF3265" s="744" t="str">
        <f>IF(D3265="","",VLOOKUP(D3265,'General Basis'!$J$39:$L$46,3,0))</f>
        <v/>
      </c>
      <c r="BG3265" s="744" t="str">
        <f t="shared" si="1133"/>
        <v/>
      </c>
      <c r="BH3265" s="744" t="str">
        <f>IF(G3265="","",IF(BF3265="Abu Dhabi",IF(G3265&lt;18,'General Basis'!$C$39,IF(G3265&lt;41,'General Basis'!$C$40,IF(G3265&lt;60,'General Basis'!$C$41,IF(G3265&lt;65,'General Basis'!$C$42,'General Basis'!$C$43)))),IF(G3265&lt;11,'General Basis'!$B$39,IF(G3265&lt;18,'General Basis'!$B$40,IF(G3265&lt;26,'General Basis'!$B$41,IF(G3265&lt;31,'General Basis'!$B$42,IF(G3265&lt;36,'General Basis'!$B$43,IF(G3265&lt;41,'General Basis'!$B$44,IF(G3265&lt;46,'General Basis'!$B$45,IF(G3265&lt;51,'General Basis'!$B$46,IF(G3265&lt;56,'General Basis'!$B$47,IF(G3265&lt;60,'General Basis'!$B$48,IF(G3265&lt;65,'General Basis'!$B$49,'General Basis'!$B$50)))))))))))))</f>
        <v/>
      </c>
      <c r="BI3265" s="744" t="str">
        <f t="shared" si="1127"/>
        <v/>
      </c>
      <c r="BJ3265" s="747" t="str">
        <f t="shared" si="1134"/>
        <v/>
      </c>
      <c r="BK3265" s="498" t="str">
        <f t="shared" si="1128"/>
        <v/>
      </c>
      <c r="BL3265" s="498" t="str">
        <f t="shared" si="1129"/>
        <v/>
      </c>
    </row>
    <row r="3266" spans="1:64" x14ac:dyDescent="0.25">
      <c r="A3266" s="762">
        <f t="shared" si="1130"/>
        <v>3261</v>
      </c>
      <c r="B3266" s="229"/>
      <c r="C3266" s="223"/>
      <c r="D3266" s="224"/>
      <c r="E3266" s="225"/>
      <c r="F3266" s="1036" t="str">
        <f t="shared" si="1136"/>
        <v/>
      </c>
      <c r="G3266" s="1037" t="str">
        <f t="shared" si="1131"/>
        <v/>
      </c>
      <c r="H3266" s="225"/>
      <c r="I3266" s="1013"/>
      <c r="J3266" s="1013"/>
      <c r="K3266" s="1028"/>
      <c r="L3266" s="1035" t="str">
        <f t="shared" si="1135"/>
        <v/>
      </c>
      <c r="S3266" s="498"/>
      <c r="AJ3266" s="498"/>
      <c r="AM3266" s="498">
        <f t="shared" si="1116"/>
        <v>0</v>
      </c>
      <c r="AN3266" s="498">
        <f t="shared" si="1117"/>
        <v>0</v>
      </c>
      <c r="AO3266" s="498">
        <f t="shared" si="1118"/>
        <v>0</v>
      </c>
      <c r="AP3266" s="498">
        <f t="shared" si="1137"/>
        <v>0</v>
      </c>
      <c r="AQ3266" s="498">
        <f t="shared" si="1132"/>
        <v>0</v>
      </c>
      <c r="AU3266" s="498">
        <f t="shared" si="1119"/>
        <v>0</v>
      </c>
      <c r="AV3266" s="498">
        <f t="shared" si="1120"/>
        <v>0</v>
      </c>
      <c r="AW3266" s="498">
        <f t="shared" si="1121"/>
        <v>0</v>
      </c>
      <c r="AX3266" s="498">
        <f t="shared" si="1122"/>
        <v>0</v>
      </c>
      <c r="AY3266" s="498">
        <f t="shared" si="1123"/>
        <v>0</v>
      </c>
      <c r="BB3266" s="498" t="str">
        <f t="shared" si="1124"/>
        <v/>
      </c>
      <c r="BC3266" s="743" t="str">
        <f t="shared" si="1125"/>
        <v/>
      </c>
      <c r="BD3266" s="743" t="str">
        <f t="shared" si="1126"/>
        <v/>
      </c>
      <c r="BE3266" s="743" t="str">
        <f>IF(D3266="","",VLOOKUP(D3266,'General Basis'!$J$39:$K$46,2,0))</f>
        <v/>
      </c>
      <c r="BF3266" s="744" t="str">
        <f>IF(D3266="","",VLOOKUP(D3266,'General Basis'!$J$39:$L$46,3,0))</f>
        <v/>
      </c>
      <c r="BG3266" s="744" t="str">
        <f t="shared" si="1133"/>
        <v/>
      </c>
      <c r="BH3266" s="744" t="str">
        <f>IF(G3266="","",IF(BF3266="Abu Dhabi",IF(G3266&lt;18,'General Basis'!$C$39,IF(G3266&lt;41,'General Basis'!$C$40,IF(G3266&lt;60,'General Basis'!$C$41,IF(G3266&lt;65,'General Basis'!$C$42,'General Basis'!$C$43)))),IF(G3266&lt;11,'General Basis'!$B$39,IF(G3266&lt;18,'General Basis'!$B$40,IF(G3266&lt;26,'General Basis'!$B$41,IF(G3266&lt;31,'General Basis'!$B$42,IF(G3266&lt;36,'General Basis'!$B$43,IF(G3266&lt;41,'General Basis'!$B$44,IF(G3266&lt;46,'General Basis'!$B$45,IF(G3266&lt;51,'General Basis'!$B$46,IF(G3266&lt;56,'General Basis'!$B$47,IF(G3266&lt;60,'General Basis'!$B$48,IF(G3266&lt;65,'General Basis'!$B$49,'General Basis'!$B$50)))))))))))))</f>
        <v/>
      </c>
      <c r="BI3266" s="744" t="str">
        <f t="shared" si="1127"/>
        <v/>
      </c>
      <c r="BJ3266" s="747" t="str">
        <f t="shared" si="1134"/>
        <v/>
      </c>
      <c r="BK3266" s="498" t="str">
        <f t="shared" si="1128"/>
        <v/>
      </c>
      <c r="BL3266" s="498" t="str">
        <f t="shared" si="1129"/>
        <v/>
      </c>
    </row>
    <row r="3267" spans="1:64" x14ac:dyDescent="0.25">
      <c r="A3267" s="762">
        <f t="shared" si="1130"/>
        <v>3262</v>
      </c>
      <c r="B3267" s="229"/>
      <c r="C3267" s="223"/>
      <c r="D3267" s="224"/>
      <c r="E3267" s="225"/>
      <c r="F3267" s="1036" t="str">
        <f t="shared" si="1136"/>
        <v/>
      </c>
      <c r="G3267" s="1037" t="str">
        <f t="shared" si="1131"/>
        <v/>
      </c>
      <c r="H3267" s="225"/>
      <c r="I3267" s="1013"/>
      <c r="J3267" s="1013"/>
      <c r="K3267" s="1028"/>
      <c r="L3267" s="1035" t="str">
        <f t="shared" si="1135"/>
        <v/>
      </c>
      <c r="S3267" s="498"/>
      <c r="AJ3267" s="498"/>
      <c r="AM3267" s="498">
        <f t="shared" si="1116"/>
        <v>0</v>
      </c>
      <c r="AN3267" s="498">
        <f t="shared" si="1117"/>
        <v>0</v>
      </c>
      <c r="AO3267" s="498">
        <f t="shared" si="1118"/>
        <v>0</v>
      </c>
      <c r="AP3267" s="498">
        <f t="shared" si="1137"/>
        <v>0</v>
      </c>
      <c r="AQ3267" s="498">
        <f t="shared" si="1132"/>
        <v>0</v>
      </c>
      <c r="AU3267" s="498">
        <f t="shared" si="1119"/>
        <v>0</v>
      </c>
      <c r="AV3267" s="498">
        <f t="shared" si="1120"/>
        <v>0</v>
      </c>
      <c r="AW3267" s="498">
        <f t="shared" si="1121"/>
        <v>0</v>
      </c>
      <c r="AX3267" s="498">
        <f t="shared" si="1122"/>
        <v>0</v>
      </c>
      <c r="AY3267" s="498">
        <f t="shared" si="1123"/>
        <v>0</v>
      </c>
      <c r="BB3267" s="498" t="str">
        <f t="shared" si="1124"/>
        <v/>
      </c>
      <c r="BC3267" s="743" t="str">
        <f t="shared" si="1125"/>
        <v/>
      </c>
      <c r="BD3267" s="743" t="str">
        <f t="shared" si="1126"/>
        <v/>
      </c>
      <c r="BE3267" s="743" t="str">
        <f>IF(D3267="","",VLOOKUP(D3267,'General Basis'!$J$39:$K$46,2,0))</f>
        <v/>
      </c>
      <c r="BF3267" s="744" t="str">
        <f>IF(D3267="","",VLOOKUP(D3267,'General Basis'!$J$39:$L$46,3,0))</f>
        <v/>
      </c>
      <c r="BG3267" s="744" t="str">
        <f t="shared" si="1133"/>
        <v/>
      </c>
      <c r="BH3267" s="744" t="str">
        <f>IF(G3267="","",IF(BF3267="Abu Dhabi",IF(G3267&lt;18,'General Basis'!$C$39,IF(G3267&lt;41,'General Basis'!$C$40,IF(G3267&lt;60,'General Basis'!$C$41,IF(G3267&lt;65,'General Basis'!$C$42,'General Basis'!$C$43)))),IF(G3267&lt;11,'General Basis'!$B$39,IF(G3267&lt;18,'General Basis'!$B$40,IF(G3267&lt;26,'General Basis'!$B$41,IF(G3267&lt;31,'General Basis'!$B$42,IF(G3267&lt;36,'General Basis'!$B$43,IF(G3267&lt;41,'General Basis'!$B$44,IF(G3267&lt;46,'General Basis'!$B$45,IF(G3267&lt;51,'General Basis'!$B$46,IF(G3267&lt;56,'General Basis'!$B$47,IF(G3267&lt;60,'General Basis'!$B$48,IF(G3267&lt;65,'General Basis'!$B$49,'General Basis'!$B$50)))))))))))))</f>
        <v/>
      </c>
      <c r="BI3267" s="744" t="str">
        <f t="shared" si="1127"/>
        <v/>
      </c>
      <c r="BJ3267" s="747" t="str">
        <f t="shared" si="1134"/>
        <v/>
      </c>
      <c r="BK3267" s="498" t="str">
        <f t="shared" si="1128"/>
        <v/>
      </c>
      <c r="BL3267" s="498" t="str">
        <f t="shared" si="1129"/>
        <v/>
      </c>
    </row>
    <row r="3268" spans="1:64" x14ac:dyDescent="0.25">
      <c r="A3268" s="762">
        <f t="shared" si="1130"/>
        <v>3263</v>
      </c>
      <c r="B3268" s="229"/>
      <c r="C3268" s="223"/>
      <c r="D3268" s="224"/>
      <c r="E3268" s="225"/>
      <c r="F3268" s="1036" t="str">
        <f t="shared" si="1136"/>
        <v/>
      </c>
      <c r="G3268" s="1037" t="str">
        <f t="shared" si="1131"/>
        <v/>
      </c>
      <c r="H3268" s="225"/>
      <c r="I3268" s="1013"/>
      <c r="J3268" s="1013"/>
      <c r="K3268" s="1028"/>
      <c r="L3268" s="1035" t="str">
        <f t="shared" si="1135"/>
        <v/>
      </c>
      <c r="S3268" s="498"/>
      <c r="AJ3268" s="498"/>
      <c r="AM3268" s="498">
        <f t="shared" si="1116"/>
        <v>0</v>
      </c>
      <c r="AN3268" s="498">
        <f t="shared" si="1117"/>
        <v>0</v>
      </c>
      <c r="AO3268" s="498">
        <f t="shared" si="1118"/>
        <v>0</v>
      </c>
      <c r="AP3268" s="498">
        <f t="shared" si="1137"/>
        <v>0</v>
      </c>
      <c r="AQ3268" s="498">
        <f t="shared" si="1132"/>
        <v>0</v>
      </c>
      <c r="AU3268" s="498">
        <f t="shared" si="1119"/>
        <v>0</v>
      </c>
      <c r="AV3268" s="498">
        <f t="shared" si="1120"/>
        <v>0</v>
      </c>
      <c r="AW3268" s="498">
        <f t="shared" si="1121"/>
        <v>0</v>
      </c>
      <c r="AX3268" s="498">
        <f t="shared" si="1122"/>
        <v>0</v>
      </c>
      <c r="AY3268" s="498">
        <f t="shared" si="1123"/>
        <v>0</v>
      </c>
      <c r="BB3268" s="498" t="str">
        <f t="shared" si="1124"/>
        <v/>
      </c>
      <c r="BC3268" s="743" t="str">
        <f t="shared" si="1125"/>
        <v/>
      </c>
      <c r="BD3268" s="743" t="str">
        <f t="shared" si="1126"/>
        <v/>
      </c>
      <c r="BE3268" s="743" t="str">
        <f>IF(D3268="","",VLOOKUP(D3268,'General Basis'!$J$39:$K$46,2,0))</f>
        <v/>
      </c>
      <c r="BF3268" s="744" t="str">
        <f>IF(D3268="","",VLOOKUP(D3268,'General Basis'!$J$39:$L$46,3,0))</f>
        <v/>
      </c>
      <c r="BG3268" s="744" t="str">
        <f t="shared" si="1133"/>
        <v/>
      </c>
      <c r="BH3268" s="744" t="str">
        <f>IF(G3268="","",IF(BF3268="Abu Dhabi",IF(G3268&lt;18,'General Basis'!$C$39,IF(G3268&lt;41,'General Basis'!$C$40,IF(G3268&lt;60,'General Basis'!$C$41,IF(G3268&lt;65,'General Basis'!$C$42,'General Basis'!$C$43)))),IF(G3268&lt;11,'General Basis'!$B$39,IF(G3268&lt;18,'General Basis'!$B$40,IF(G3268&lt;26,'General Basis'!$B$41,IF(G3268&lt;31,'General Basis'!$B$42,IF(G3268&lt;36,'General Basis'!$B$43,IF(G3268&lt;41,'General Basis'!$B$44,IF(G3268&lt;46,'General Basis'!$B$45,IF(G3268&lt;51,'General Basis'!$B$46,IF(G3268&lt;56,'General Basis'!$B$47,IF(G3268&lt;60,'General Basis'!$B$48,IF(G3268&lt;65,'General Basis'!$B$49,'General Basis'!$B$50)))))))))))))</f>
        <v/>
      </c>
      <c r="BI3268" s="744" t="str">
        <f t="shared" si="1127"/>
        <v/>
      </c>
      <c r="BJ3268" s="747" t="str">
        <f t="shared" si="1134"/>
        <v/>
      </c>
      <c r="BK3268" s="498" t="str">
        <f t="shared" si="1128"/>
        <v/>
      </c>
      <c r="BL3268" s="498" t="str">
        <f t="shared" si="1129"/>
        <v/>
      </c>
    </row>
    <row r="3269" spans="1:64" x14ac:dyDescent="0.25">
      <c r="A3269" s="762">
        <f t="shared" si="1130"/>
        <v>3264</v>
      </c>
      <c r="B3269" s="229"/>
      <c r="C3269" s="223"/>
      <c r="D3269" s="224"/>
      <c r="E3269" s="225"/>
      <c r="F3269" s="1036" t="str">
        <f t="shared" si="1136"/>
        <v/>
      </c>
      <c r="G3269" s="1037" t="str">
        <f t="shared" si="1131"/>
        <v/>
      </c>
      <c r="H3269" s="225"/>
      <c r="I3269" s="1013"/>
      <c r="J3269" s="1013"/>
      <c r="K3269" s="1028"/>
      <c r="L3269" s="1035" t="str">
        <f t="shared" si="1135"/>
        <v/>
      </c>
      <c r="S3269" s="498"/>
      <c r="AJ3269" s="498"/>
      <c r="AM3269" s="498">
        <f t="shared" si="1116"/>
        <v>0</v>
      </c>
      <c r="AN3269" s="498">
        <f t="shared" si="1117"/>
        <v>0</v>
      </c>
      <c r="AO3269" s="498">
        <f t="shared" si="1118"/>
        <v>0</v>
      </c>
      <c r="AP3269" s="498">
        <f t="shared" si="1137"/>
        <v>0</v>
      </c>
      <c r="AQ3269" s="498">
        <f t="shared" si="1132"/>
        <v>0</v>
      </c>
      <c r="AU3269" s="498">
        <f t="shared" si="1119"/>
        <v>0</v>
      </c>
      <c r="AV3269" s="498">
        <f t="shared" si="1120"/>
        <v>0</v>
      </c>
      <c r="AW3269" s="498">
        <f t="shared" si="1121"/>
        <v>0</v>
      </c>
      <c r="AX3269" s="498">
        <f t="shared" si="1122"/>
        <v>0</v>
      </c>
      <c r="AY3269" s="498">
        <f t="shared" si="1123"/>
        <v>0</v>
      </c>
      <c r="BB3269" s="498" t="str">
        <f t="shared" si="1124"/>
        <v/>
      </c>
      <c r="BC3269" s="743" t="str">
        <f t="shared" si="1125"/>
        <v/>
      </c>
      <c r="BD3269" s="743" t="str">
        <f t="shared" si="1126"/>
        <v/>
      </c>
      <c r="BE3269" s="743" t="str">
        <f>IF(D3269="","",VLOOKUP(D3269,'General Basis'!$J$39:$K$46,2,0))</f>
        <v/>
      </c>
      <c r="BF3269" s="744" t="str">
        <f>IF(D3269="","",VLOOKUP(D3269,'General Basis'!$J$39:$L$46,3,0))</f>
        <v/>
      </c>
      <c r="BG3269" s="744" t="str">
        <f t="shared" si="1133"/>
        <v/>
      </c>
      <c r="BH3269" s="744" t="str">
        <f>IF(G3269="","",IF(BF3269="Abu Dhabi",IF(G3269&lt;18,'General Basis'!$C$39,IF(G3269&lt;41,'General Basis'!$C$40,IF(G3269&lt;60,'General Basis'!$C$41,IF(G3269&lt;65,'General Basis'!$C$42,'General Basis'!$C$43)))),IF(G3269&lt;11,'General Basis'!$B$39,IF(G3269&lt;18,'General Basis'!$B$40,IF(G3269&lt;26,'General Basis'!$B$41,IF(G3269&lt;31,'General Basis'!$B$42,IF(G3269&lt;36,'General Basis'!$B$43,IF(G3269&lt;41,'General Basis'!$B$44,IF(G3269&lt;46,'General Basis'!$B$45,IF(G3269&lt;51,'General Basis'!$B$46,IF(G3269&lt;56,'General Basis'!$B$47,IF(G3269&lt;60,'General Basis'!$B$48,IF(G3269&lt;65,'General Basis'!$B$49,'General Basis'!$B$50)))))))))))))</f>
        <v/>
      </c>
      <c r="BI3269" s="744" t="str">
        <f t="shared" si="1127"/>
        <v/>
      </c>
      <c r="BJ3269" s="747" t="str">
        <f t="shared" si="1134"/>
        <v/>
      </c>
      <c r="BK3269" s="498" t="str">
        <f t="shared" si="1128"/>
        <v/>
      </c>
      <c r="BL3269" s="498" t="str">
        <f t="shared" si="1129"/>
        <v/>
      </c>
    </row>
    <row r="3270" spans="1:64" x14ac:dyDescent="0.25">
      <c r="A3270" s="762">
        <f t="shared" si="1130"/>
        <v>3265</v>
      </c>
      <c r="B3270" s="229"/>
      <c r="C3270" s="223"/>
      <c r="D3270" s="224"/>
      <c r="E3270" s="225"/>
      <c r="F3270" s="1036" t="str">
        <f t="shared" si="1136"/>
        <v/>
      </c>
      <c r="G3270" s="1037" t="str">
        <f t="shared" si="1131"/>
        <v/>
      </c>
      <c r="H3270" s="225"/>
      <c r="I3270" s="1013"/>
      <c r="J3270" s="1013"/>
      <c r="K3270" s="1028"/>
      <c r="L3270" s="1035" t="str">
        <f t="shared" si="1135"/>
        <v/>
      </c>
      <c r="S3270" s="498"/>
      <c r="AJ3270" s="498"/>
      <c r="AM3270" s="498">
        <f t="shared" ref="AM3270:AM3333" si="1138">IF(ISTEXT(B3270),1,0)</f>
        <v>0</v>
      </c>
      <c r="AN3270" s="498">
        <f t="shared" ref="AN3270:AN3333" si="1139">IF(ISBLANK(B3270),0,IF(B3270&lt;$AK$6,1,0))</f>
        <v>0</v>
      </c>
      <c r="AO3270" s="498">
        <f t="shared" ref="AO3270:AO3333" si="1140">IF(ISBLANK(B3270),0,IF(B3270&gt;$AK$7,1,0))</f>
        <v>0</v>
      </c>
      <c r="AP3270" s="498">
        <f t="shared" si="1137"/>
        <v>0</v>
      </c>
      <c r="AQ3270" s="498">
        <f t="shared" si="1132"/>
        <v>0</v>
      </c>
      <c r="AU3270" s="498">
        <f t="shared" ref="AU3270:AU3333" si="1141">IF(ISBLANK(B3270),0,1)</f>
        <v>0</v>
      </c>
      <c r="AV3270" s="498">
        <f t="shared" ref="AV3270:AV3333" si="1142">IF(ISBLANK(C3270),0,1)</f>
        <v>0</v>
      </c>
      <c r="AW3270" s="498">
        <f t="shared" ref="AW3270:AW3333" si="1143">IF(ISBLANK(D3270),0,1)</f>
        <v>0</v>
      </c>
      <c r="AX3270" s="498">
        <f t="shared" ref="AX3270:AX3333" si="1144">IF(ISBLANK(E3270),0,1)</f>
        <v>0</v>
      </c>
      <c r="AY3270" s="498">
        <f t="shared" ref="AY3270:AY3333" si="1145">IF(ISBLANK(H3270),0,1)</f>
        <v>0</v>
      </c>
      <c r="BB3270" s="498" t="str">
        <f t="shared" ref="BB3270:BB3333" si="1146">IF(E3270="Principal","Principal",IF(E3270="","","Other"))</f>
        <v/>
      </c>
      <c r="BC3270" s="743" t="str">
        <f t="shared" ref="BC3270:BC3333" si="1147">IF(D3270="","",D3270)</f>
        <v/>
      </c>
      <c r="BD3270" s="743" t="str">
        <f t="shared" ref="BD3270:BD3333" si="1148">IF(E3270="Principal","Employee",IF(E3270="","","Dependent"))</f>
        <v/>
      </c>
      <c r="BE3270" s="743" t="str">
        <f>IF(D3270="","",VLOOKUP(D3270,'General Basis'!$J$39:$K$46,2,0))</f>
        <v/>
      </c>
      <c r="BF3270" s="744" t="str">
        <f>IF(D3270="","",VLOOKUP(D3270,'General Basis'!$J$39:$L$46,3,0))</f>
        <v/>
      </c>
      <c r="BG3270" s="744" t="str">
        <f t="shared" si="1133"/>
        <v/>
      </c>
      <c r="BH3270" s="744" t="str">
        <f>IF(G3270="","",IF(BF3270="Abu Dhabi",IF(G3270&lt;18,'General Basis'!$C$39,IF(G3270&lt;41,'General Basis'!$C$40,IF(G3270&lt;60,'General Basis'!$C$41,IF(G3270&lt;65,'General Basis'!$C$42,'General Basis'!$C$43)))),IF(G3270&lt;11,'General Basis'!$B$39,IF(G3270&lt;18,'General Basis'!$B$40,IF(G3270&lt;26,'General Basis'!$B$41,IF(G3270&lt;31,'General Basis'!$B$42,IF(G3270&lt;36,'General Basis'!$B$43,IF(G3270&lt;41,'General Basis'!$B$44,IF(G3270&lt;46,'General Basis'!$B$45,IF(G3270&lt;51,'General Basis'!$B$46,IF(G3270&lt;56,'General Basis'!$B$47,IF(G3270&lt;60,'General Basis'!$B$48,IF(G3270&lt;65,'General Basis'!$B$49,'General Basis'!$B$50)))))))))))))</f>
        <v/>
      </c>
      <c r="BI3270" s="744" t="str">
        <f t="shared" ref="BI3270:BI3333" si="1149">IF(C3270="","",IF(C3270="M","Male","Female"))</f>
        <v/>
      </c>
      <c r="BJ3270" s="747" t="str">
        <f t="shared" si="1134"/>
        <v/>
      </c>
      <c r="BK3270" s="498" t="str">
        <f t="shared" ref="BK3270:BK3333" si="1150">IF(BD3270="","",IF(AND(BD3270="Employee",BI3270="Male",BF3270="Abu Dhabi",BE3270=GN_Plus),VLOOKUP(BH3270,AUH_MALE_EMP,2,0),IF(AND(BD3270="Employee",BI3270="Male",BF3270="Abu Dhabi",BE3270=GN),VLOOKUP(BH3270,AUH_MALE_EMP,3,0),IF(AND(BD3270="Employee",BI3270="Male",BF3270="Abu Dhabi",BE3270=RN_Plus),VLOOKUP(BH3270,AUH_MALE_EMP,4,0),IF(AND(BD3270="Employee",BI3270="Male",BF3270="Abu Dhabi",BE3270=RN),VLOOKUP(BH3270,AUH_MALE_EMP,5,0),IF(AND(BD3270="Employee",BI3270="Male",BF3270="Abu Dhabi",BE3270=RN_2),VLOOKUP(BH3270,AUH_MALE_EMP,6,0),IF(AND(BD3270="Employee",BI3270="Male",BF3270="Abu Dhabi",BE3270=RN2_minus),VLOOKUP(BH3270,AUH_MALE_EMP,7,0),IF(AND(BD3270="Employee",BI3270="Male",BF3270="Abu Dhabi",BE3270=RN_3),VLOOKUP(BH3270,AUH_MALE_EMP,8,0),IF(AND(BD3270="Employee",BI3270="Male",BF3270="Abu Dhabi",BE3270=VN),VLOOKUP(BH3270,AUH_MALE_EMP,9,0),IF(BD3270="","",IF(AND(BD3270="Employee",BI3270="Female",BF3270="Abu Dhabi",BE3270=GN_Plus),VLOOKUP(BH3270,AUH_FEMALE_EMP,2,0),IF(AND(BD3270="Employee",BI3270="Female",BF3270="Abu Dhabi",BE3270=GN),VLOOKUP(BH3270,AUH_FEMALE_EMP,3,0),IF(AND(BD3270="Employee",BI3270="Female",BF3270="Abu Dhabi",BE3270=RN_Plus),VLOOKUP(BH3270,AUH_FEMALE_EMP,4,0),IF(AND(BD3270="Employee",BI3270="Female",BF3270="Abu Dhabi",BE3270=RN),VLOOKUP(BH3270,AUH_FEMALE_EMP,5,0),IF(AND(BD3270="Employee",BI3270="Female",BF3270="Abu Dhabi",BE3270=RN_2),VLOOKUP(BH3270,AUH_FEMALE_EMP,6,0),IF(AND(BD3270="Employee",BI3270="Female",BF3270="Abu Dhabi",BE3270=RN2_minus),VLOOKUP(BH3270,AUH_FEMALE_EMP,7,0),IF(AND(BD3270="Employee",BI3270="Female",BF3270="Abu Dhabi",BE3270=RN_3),VLOOKUP(BH3270,AUH_FEMALE_EMP,8,0),IF(AND(BD3270="Employee",BI3270="Female",BF3270="Abu Dhabi",BE3270=VN),VLOOKUP(BH3270,AUH_FEMALE_EMP,9,0),IF(BD3270="","",IF(AND(BD3270="Dependent",BI3270="Male",BF3270="Abu Dhabi",BE3270=GN_Plus),VLOOKUP(BH3270,AUH_MALE_DEP,2,0),IF(AND(BD3270="Dependent",BI3270="Male",BF3270="Abu Dhabi",BE3270=GN),VLOOKUP(BH3270,AUH_MALE_DEP,3,0),IF(AND(BD3270="Dependent",BI3270="Male",BF3270="Abu Dhabi",BE3270=RN_Plus),VLOOKUP(BH3270,AUH_MALE_DEP,4,0),IF(AND(BD3270="Dependent",BI3270="Male",BF3270="Abu Dhabi",BE3270=RN),VLOOKUP(BH3270,AUH_MALE_DEP,5,0),IF(AND(BD3270="Dependent",BI3270="Male",BF3270="Abu Dhabi",BE3270=RN_2),VLOOKUP(BH3270,AUH_MALE_DEP,6,0),IF(AND(BD3270="Dependent",BI3270="Male",BF3270="Abu Dhabi",BE3270=RN2_minus),VLOOKUP(BH3270,AUH_MALE_DEP,7,0),IF(AND(BD3270="Dependent",BI3270="Male",BF3270="Abu Dhabi",BE3270=RN_3),VLOOKUP(BH3270,AUH_MALE_DEP,8,0),IF(AND(BD3270="Dependent",BI3270="Male",BF3270="Abu Dhabi",BE3270=VN),VLOOKUP(BH3270,AUH_MALE_DEP,9,0),IF(BD3270="","",IF(AND(BD3270="Dependent",BI3270="Female",BF3270="Abu Dhabi",BE3270=GN_Plus),VLOOKUP(BH3270,AUH_FEMALE_DEP,2,0),IF(AND(BD3270="Dependent",BI3270="Female",BF3270="Abu Dhabi",BE3270=GN),VLOOKUP(BH3270,AUH_FEMALE_DEP,3,0),IF(AND(BD3270="Dependent",BI3270="Female",BF3270="Abu Dhabi",BE3270=RN_Plus),VLOOKUP(BH3270,AUH_FEMALE_DEP,4,0),IF(AND(BD3270="Dependent",BI3270="Female",BF3270="Abu Dhabi",BE3270=RN),VLOOKUP(BH3270,AUH_FEMALE_DEP,5,0),IF(AND(BD3270="Dependent",BI3270="Female",BF3270="Abu Dhabi",BE3270=RN_2),VLOOKUP(BH3270,AUH_FEMALE_DEP,6,0),IF(AND(BD3270="Dependent",BI3270="Female",BF3270="Abu Dhabi",BE3270=RN2_minus),VLOOKUP(BH3270,AUH_FEMALE_DEP,7,0),IF(AND(BD3270="Dependent",BI3270="Female",BF3270="Abu Dhabi",BE3270=RN_3),VLOOKUP(BH3270,AUH_FEMALE_DEP,8,0),IF(AND(BD3270="Dependent",BI3270="Female",BF3270="Abu Dhabi",BE3270=VN),VLOOKUP(BH3270,AUH_FEMALE_DEP,9,0),"ABC"))))))))))))))))))))))))))))))))))))</f>
        <v/>
      </c>
      <c r="BL3270" s="498" t="str">
        <f t="shared" ref="BL3270:BL3333" si="1151">IF(BD3270="","",IF(AND(BD3270="Employee",BI3270="Male",BF3270="Dubai",BE3270=GN_Plus),VLOOKUP(BH3270,DXB_MALE_EMP,2,0),IF(AND(BD3270="Employee",BI3270="Male",BF3270="Dubai",BE3270=GN),VLOOKUP(BH3270,DXB_MALE_EMP,3,0),IF(AND(BD3270="Employee",BI3270="Male",BF3270="Dubai",BE3270=RN_Plus),VLOOKUP(BH3270,DXB_MALE_EMP,4,0),IF(AND(BD3270="Employee",BI3270="Male",BF3270="Dubai",BE3270=RN),VLOOKUP(BH3270,DXB_MALE_EMP,5,0),IF(AND(BD3270="Employee",BI3270="Male",BF3270="Dubai",BE3270=RN_2),VLOOKUP(BH3270,DXB_MALE_EMP,6,0),IF(AND(BD3270="Employee",BI3270="Male",BF3270="Dubai",BE3270=RN2_minus),VLOOKUP(BH3270,DXB_MALE_EMP,7,0),IF(AND(BD3270="Employee",BI3270="Male",BF3270="Dubai",BE3270=RN_3),VLOOKUP(BH3270,DXB_MALE_EMP,8,0),IF(AND(BD3270="Employee",BI3270="Male",BF3270="Dubai",BE3270=VN),VLOOKUP(BH3270,DXB_MALE_EMP,9,0),IF(BD3270="","",IF(AND(BD3270="Employee",BI3270="Female",BF3270="Dubai",BE3270=GN_Plus),VLOOKUP(BH3270,DXB_FEMALE_EMP,2,0),IF(AND(BD3270="Employee",BI3270="Female",BF3270="Dubai",BE3270=GN),VLOOKUP(BH3270,DXB_FEMALE_EMP,3,0),IF(AND(BD3270="Employee",BI3270="Female",BF3270="Dubai",BE3270=RN_Plus),VLOOKUP(BH3270,DXB_FEMALE_EMP,4,0),IF(AND(BD3270="Employee",BI3270="Female",BF3270="Dubai",BE3270=RN),VLOOKUP(BH3270,DXB_FEMALE_EMP,5,0),IF(AND(BD3270="Employee",BI3270="Female",BF3270="Dubai",BE3270=RN_2),VLOOKUP(BH3270,DXB_FEMALE_EMP,6,0),IF(AND(BD3270="Employee",BI3270="Female",BF3270="Dubai",BE3270=RN2_minus),VLOOKUP(BH3270,DXB_FEMALE_EMP,7,0),IF(AND(BD3270="Employee",BI3270="Female",BF3270="Dubai",BE3270=RN_3),VLOOKUP(BH3270,DXB_FEMALE_EMP,8,0),IF(AND(BD3270="Employee",BI3270="Female",BF3270="Dubai",BE3270=VN),VLOOKUP(BH3270,DXB_FEMALE_EMP,9,0),IF(BD3270="","",IF(AND(BD3270="Dependent",BI3270="Male",BF3270="Dubai",BE3270=GN_Plus),VLOOKUP(BH3270,DXB_MALE_DEP,2,0),IF(AND(BD3270="Dependent",BI3270="Male",BF3270="Dubai",BE3270=GN),VLOOKUP(BH3270,DXB_MALE_DEP,3,0),IF(AND(BD3270="Dependent",BI3270="Male",BF3270="Dubai",BE3270=RN_Plus),VLOOKUP(BH3270,DXB_MALE_DEP,4,0),IF(AND(BD3270="Dependent",BI3270="Male",BF3270="Dubai",BE3270=RN),VLOOKUP(BH3270,DXB_MALE_DEP,5,0),IF(AND(BD3270="Dependent",BI3270="Male",BF3270="Dubai",BE3270=RN_2),VLOOKUP(BH3270,DXB_MALE_DEP,6,0),IF(AND(BD3270="Dependent",BI3270="Male",BF3270="Dubai",BE3270=RN2_minus),VLOOKUP(BH3270,DXB_MALE_DEP,7,0),IF(AND(BD3270="Dependent",BI3270="Male",BF3270="Dubai",BE3270=RN_3),VLOOKUP(BH3270,DXB_MALE_DEP,8,0),IF(AND(BD3270="Dependent",BI3270="Male",BF3270="Dubai",BE3270=VN),VLOOKUP(BH3270,DXB_MALE_DEP,9,0),IF(BD3270="","",IF(AND(BD3270="Dependent",BI3270="Female",BF3270="Dubai",BE3270=GN_Plus),VLOOKUP(BH3270,DXB_FEMALE_DEP,2,0),IF(AND(BD3270="Dependent",BI3270="Female",BF3270="Dubai",BE3270=GN),VLOOKUP(BH3270,DXB_FEMALE_DEP,3,0),IF(AND(BD3270="Dependent",BI3270="Female",BF3270="Dubai",BE3270=RN_Plus),VLOOKUP(BH3270,DXB_FEMALE_DEP,4,0),IF(AND(BD3270="Dependent",BI3270="Female",BF3270="Dubai",BE3270=RN),VLOOKUP(BH3270,DXB_FEMALE_DEP,5,0),IF(AND(BD3270="Dependent",BI3270="Female",BF3270="Dubai",BE3270=RN_2),VLOOKUP(BH3270,DXB_FEMALE_DEP,6,0),IF(AND(BD3270="Dependent",BI3270="Female",BF3270="Dubai",BE3270=RN2_minus),VLOOKUP(BH3270,DXB_FEMALE_DEP,7,0),IF(AND(BD3270="Dependent",BI3270="Female",BF3270="Dubai",BE3270=RN_3),VLOOKUP(BH3270,DXB_FEMALE_DEP,8,0),IF(AND(BD3270="Dependent",BI3270="Female",BF3270="Dubai",BE3270=VN),VLOOKUP(BH3270,DXB_FEMALE_DEP,9,0),"ABC"))))))))))))))))))))))))))))))))))))</f>
        <v/>
      </c>
    </row>
    <row r="3271" spans="1:64" x14ac:dyDescent="0.25">
      <c r="A3271" s="762">
        <f t="shared" ref="A3271:A3334" si="1152">+A3270+1</f>
        <v>3266</v>
      </c>
      <c r="B3271" s="229"/>
      <c r="C3271" s="223"/>
      <c r="D3271" s="224"/>
      <c r="E3271" s="225"/>
      <c r="F3271" s="1036" t="str">
        <f t="shared" si="1136"/>
        <v/>
      </c>
      <c r="G3271" s="1037" t="str">
        <f t="shared" ref="G3271:G3334" si="1153">IF(D3271="","",MAX(0,ROUNDUP(F3271,0)))</f>
        <v/>
      </c>
      <c r="H3271" s="225"/>
      <c r="I3271" s="1013"/>
      <c r="J3271" s="1013"/>
      <c r="K3271" s="1028"/>
      <c r="L3271" s="1035" t="str">
        <f t="shared" si="1135"/>
        <v/>
      </c>
      <c r="S3271" s="498"/>
      <c r="AJ3271" s="498"/>
      <c r="AM3271" s="498">
        <f t="shared" si="1138"/>
        <v>0</v>
      </c>
      <c r="AN3271" s="498">
        <f t="shared" si="1139"/>
        <v>0</v>
      </c>
      <c r="AO3271" s="498">
        <f t="shared" si="1140"/>
        <v>0</v>
      </c>
      <c r="AP3271" s="498">
        <f t="shared" si="1137"/>
        <v>0</v>
      </c>
      <c r="AQ3271" s="498">
        <f t="shared" ref="AQ3271:AQ3334" si="1154">IF(ISBLANK($B3271),0,IF(OR($H3271="Single",$H3271="Married"),0,1))</f>
        <v>0</v>
      </c>
      <c r="AU3271" s="498">
        <f t="shared" si="1141"/>
        <v>0</v>
      </c>
      <c r="AV3271" s="498">
        <f t="shared" si="1142"/>
        <v>0</v>
      </c>
      <c r="AW3271" s="498">
        <f t="shared" si="1143"/>
        <v>0</v>
      </c>
      <c r="AX3271" s="498">
        <f t="shared" si="1144"/>
        <v>0</v>
      </c>
      <c r="AY3271" s="498">
        <f t="shared" si="1145"/>
        <v>0</v>
      </c>
      <c r="BB3271" s="498" t="str">
        <f t="shared" si="1146"/>
        <v/>
      </c>
      <c r="BC3271" s="743" t="str">
        <f t="shared" si="1147"/>
        <v/>
      </c>
      <c r="BD3271" s="743" t="str">
        <f t="shared" si="1148"/>
        <v/>
      </c>
      <c r="BE3271" s="743" t="str">
        <f>IF(D3271="","",VLOOKUP(D3271,'General Basis'!$J$39:$K$46,2,0))</f>
        <v/>
      </c>
      <c r="BF3271" s="744" t="str">
        <f>IF(D3271="","",VLOOKUP(D3271,'General Basis'!$J$39:$L$46,3,0))</f>
        <v/>
      </c>
      <c r="BG3271" s="744" t="str">
        <f t="shared" ref="BG3271:BG3334" si="1155">BC3271&amp;BI3271</f>
        <v/>
      </c>
      <c r="BH3271" s="744" t="str">
        <f>IF(G3271="","",IF(BF3271="Abu Dhabi",IF(G3271&lt;18,'General Basis'!$C$39,IF(G3271&lt;41,'General Basis'!$C$40,IF(G3271&lt;60,'General Basis'!$C$41,IF(G3271&lt;65,'General Basis'!$C$42,'General Basis'!$C$43)))),IF(G3271&lt;11,'General Basis'!$B$39,IF(G3271&lt;18,'General Basis'!$B$40,IF(G3271&lt;26,'General Basis'!$B$41,IF(G3271&lt;31,'General Basis'!$B$42,IF(G3271&lt;36,'General Basis'!$B$43,IF(G3271&lt;41,'General Basis'!$B$44,IF(G3271&lt;46,'General Basis'!$B$45,IF(G3271&lt;51,'General Basis'!$B$46,IF(G3271&lt;56,'General Basis'!$B$47,IF(G3271&lt;60,'General Basis'!$B$48,IF(G3271&lt;65,'General Basis'!$B$49,'General Basis'!$B$50)))))))))))))</f>
        <v/>
      </c>
      <c r="BI3271" s="744" t="str">
        <f t="shared" si="1149"/>
        <v/>
      </c>
      <c r="BJ3271" s="747" t="str">
        <f t="shared" ref="BJ3271:BJ3334" si="1156">IF(BD3271="","",IF(BF3271="Abu Dhabi",BK3271,BL3271))</f>
        <v/>
      </c>
      <c r="BK3271" s="498" t="str">
        <f t="shared" si="1150"/>
        <v/>
      </c>
      <c r="BL3271" s="498" t="str">
        <f t="shared" si="1151"/>
        <v/>
      </c>
    </row>
    <row r="3272" spans="1:64" x14ac:dyDescent="0.25">
      <c r="A3272" s="762">
        <f t="shared" si="1152"/>
        <v>3267</v>
      </c>
      <c r="B3272" s="229"/>
      <c r="C3272" s="223"/>
      <c r="D3272" s="224"/>
      <c r="E3272" s="225"/>
      <c r="F3272" s="1036" t="str">
        <f t="shared" si="1136"/>
        <v/>
      </c>
      <c r="G3272" s="1037" t="str">
        <f t="shared" si="1153"/>
        <v/>
      </c>
      <c r="H3272" s="225"/>
      <c r="I3272" s="1013"/>
      <c r="J3272" s="1013"/>
      <c r="K3272" s="1028"/>
      <c r="L3272" s="1035" t="str">
        <f t="shared" ref="L3272:L3335" si="1157">IF(AND(E3272="Child",H3272="Married"),"Check the Marital Status of the Child. ",IF(AND(E3272="Child",F3272&gt;18),"Child Age exceed 18 years. ",IF(AND(E3272="Spouse",H3272="Single"),"Spouse is selected as Single. ","")))&amp;IF(K3272&gt;0,"UW Loading has been Applied","")</f>
        <v/>
      </c>
      <c r="S3272" s="498"/>
      <c r="AJ3272" s="498"/>
      <c r="AM3272" s="498">
        <f t="shared" si="1138"/>
        <v>0</v>
      </c>
      <c r="AN3272" s="498">
        <f t="shared" si="1139"/>
        <v>0</v>
      </c>
      <c r="AO3272" s="498">
        <f t="shared" si="1140"/>
        <v>0</v>
      </c>
      <c r="AP3272" s="498">
        <f t="shared" si="1137"/>
        <v>0</v>
      </c>
      <c r="AQ3272" s="498">
        <f t="shared" si="1154"/>
        <v>0</v>
      </c>
      <c r="AU3272" s="498">
        <f t="shared" si="1141"/>
        <v>0</v>
      </c>
      <c r="AV3272" s="498">
        <f t="shared" si="1142"/>
        <v>0</v>
      </c>
      <c r="AW3272" s="498">
        <f t="shared" si="1143"/>
        <v>0</v>
      </c>
      <c r="AX3272" s="498">
        <f t="shared" si="1144"/>
        <v>0</v>
      </c>
      <c r="AY3272" s="498">
        <f t="shared" si="1145"/>
        <v>0</v>
      </c>
      <c r="BB3272" s="498" t="str">
        <f t="shared" si="1146"/>
        <v/>
      </c>
      <c r="BC3272" s="743" t="str">
        <f t="shared" si="1147"/>
        <v/>
      </c>
      <c r="BD3272" s="743" t="str">
        <f t="shared" si="1148"/>
        <v/>
      </c>
      <c r="BE3272" s="743" t="str">
        <f>IF(D3272="","",VLOOKUP(D3272,'General Basis'!$J$39:$K$46,2,0))</f>
        <v/>
      </c>
      <c r="BF3272" s="744" t="str">
        <f>IF(D3272="","",VLOOKUP(D3272,'General Basis'!$J$39:$L$46,3,0))</f>
        <v/>
      </c>
      <c r="BG3272" s="744" t="str">
        <f t="shared" si="1155"/>
        <v/>
      </c>
      <c r="BH3272" s="744" t="str">
        <f>IF(G3272="","",IF(BF3272="Abu Dhabi",IF(G3272&lt;18,'General Basis'!$C$39,IF(G3272&lt;41,'General Basis'!$C$40,IF(G3272&lt;60,'General Basis'!$C$41,IF(G3272&lt;65,'General Basis'!$C$42,'General Basis'!$C$43)))),IF(G3272&lt;11,'General Basis'!$B$39,IF(G3272&lt;18,'General Basis'!$B$40,IF(G3272&lt;26,'General Basis'!$B$41,IF(G3272&lt;31,'General Basis'!$B$42,IF(G3272&lt;36,'General Basis'!$B$43,IF(G3272&lt;41,'General Basis'!$B$44,IF(G3272&lt;46,'General Basis'!$B$45,IF(G3272&lt;51,'General Basis'!$B$46,IF(G3272&lt;56,'General Basis'!$B$47,IF(G3272&lt;60,'General Basis'!$B$48,IF(G3272&lt;65,'General Basis'!$B$49,'General Basis'!$B$50)))))))))))))</f>
        <v/>
      </c>
      <c r="BI3272" s="744" t="str">
        <f t="shared" si="1149"/>
        <v/>
      </c>
      <c r="BJ3272" s="747" t="str">
        <f t="shared" si="1156"/>
        <v/>
      </c>
      <c r="BK3272" s="498" t="str">
        <f t="shared" si="1150"/>
        <v/>
      </c>
      <c r="BL3272" s="498" t="str">
        <f t="shared" si="1151"/>
        <v/>
      </c>
    </row>
    <row r="3273" spans="1:64" x14ac:dyDescent="0.25">
      <c r="A3273" s="762">
        <f t="shared" si="1152"/>
        <v>3268</v>
      </c>
      <c r="B3273" s="229"/>
      <c r="C3273" s="223"/>
      <c r="D3273" s="224"/>
      <c r="E3273" s="225"/>
      <c r="F3273" s="1036" t="str">
        <f t="shared" si="1136"/>
        <v/>
      </c>
      <c r="G3273" s="1037" t="str">
        <f t="shared" si="1153"/>
        <v/>
      </c>
      <c r="H3273" s="225"/>
      <c r="I3273" s="1013"/>
      <c r="J3273" s="1013"/>
      <c r="K3273" s="1028"/>
      <c r="L3273" s="1035" t="str">
        <f t="shared" si="1157"/>
        <v/>
      </c>
      <c r="S3273" s="498"/>
      <c r="AJ3273" s="498"/>
      <c r="AM3273" s="498">
        <f t="shared" si="1138"/>
        <v>0</v>
      </c>
      <c r="AN3273" s="498">
        <f t="shared" si="1139"/>
        <v>0</v>
      </c>
      <c r="AO3273" s="498">
        <f t="shared" si="1140"/>
        <v>0</v>
      </c>
      <c r="AP3273" s="498">
        <f t="shared" si="1137"/>
        <v>0</v>
      </c>
      <c r="AQ3273" s="498">
        <f t="shared" si="1154"/>
        <v>0</v>
      </c>
      <c r="AU3273" s="498">
        <f t="shared" si="1141"/>
        <v>0</v>
      </c>
      <c r="AV3273" s="498">
        <f t="shared" si="1142"/>
        <v>0</v>
      </c>
      <c r="AW3273" s="498">
        <f t="shared" si="1143"/>
        <v>0</v>
      </c>
      <c r="AX3273" s="498">
        <f t="shared" si="1144"/>
        <v>0</v>
      </c>
      <c r="AY3273" s="498">
        <f t="shared" si="1145"/>
        <v>0</v>
      </c>
      <c r="BB3273" s="498" t="str">
        <f t="shared" si="1146"/>
        <v/>
      </c>
      <c r="BC3273" s="743" t="str">
        <f t="shared" si="1147"/>
        <v/>
      </c>
      <c r="BD3273" s="743" t="str">
        <f t="shared" si="1148"/>
        <v/>
      </c>
      <c r="BE3273" s="743" t="str">
        <f>IF(D3273="","",VLOOKUP(D3273,'General Basis'!$J$39:$K$46,2,0))</f>
        <v/>
      </c>
      <c r="BF3273" s="744" t="str">
        <f>IF(D3273="","",VLOOKUP(D3273,'General Basis'!$J$39:$L$46,3,0))</f>
        <v/>
      </c>
      <c r="BG3273" s="744" t="str">
        <f t="shared" si="1155"/>
        <v/>
      </c>
      <c r="BH3273" s="744" t="str">
        <f>IF(G3273="","",IF(BF3273="Abu Dhabi",IF(G3273&lt;18,'General Basis'!$C$39,IF(G3273&lt;41,'General Basis'!$C$40,IF(G3273&lt;60,'General Basis'!$C$41,IF(G3273&lt;65,'General Basis'!$C$42,'General Basis'!$C$43)))),IF(G3273&lt;11,'General Basis'!$B$39,IF(G3273&lt;18,'General Basis'!$B$40,IF(G3273&lt;26,'General Basis'!$B$41,IF(G3273&lt;31,'General Basis'!$B$42,IF(G3273&lt;36,'General Basis'!$B$43,IF(G3273&lt;41,'General Basis'!$B$44,IF(G3273&lt;46,'General Basis'!$B$45,IF(G3273&lt;51,'General Basis'!$B$46,IF(G3273&lt;56,'General Basis'!$B$47,IF(G3273&lt;60,'General Basis'!$B$48,IF(G3273&lt;65,'General Basis'!$B$49,'General Basis'!$B$50)))))))))))))</f>
        <v/>
      </c>
      <c r="BI3273" s="744" t="str">
        <f t="shared" si="1149"/>
        <v/>
      </c>
      <c r="BJ3273" s="747" t="str">
        <f t="shared" si="1156"/>
        <v/>
      </c>
      <c r="BK3273" s="498" t="str">
        <f t="shared" si="1150"/>
        <v/>
      </c>
      <c r="BL3273" s="498" t="str">
        <f t="shared" si="1151"/>
        <v/>
      </c>
    </row>
    <row r="3274" spans="1:64" x14ac:dyDescent="0.25">
      <c r="A3274" s="762">
        <f t="shared" si="1152"/>
        <v>3269</v>
      </c>
      <c r="B3274" s="229"/>
      <c r="C3274" s="223"/>
      <c r="D3274" s="224"/>
      <c r="E3274" s="225"/>
      <c r="F3274" s="1036" t="str">
        <f t="shared" si="1136"/>
        <v/>
      </c>
      <c r="G3274" s="1037" t="str">
        <f t="shared" si="1153"/>
        <v/>
      </c>
      <c r="H3274" s="225"/>
      <c r="I3274" s="1013"/>
      <c r="J3274" s="1013"/>
      <c r="K3274" s="1028"/>
      <c r="L3274" s="1035" t="str">
        <f t="shared" si="1157"/>
        <v/>
      </c>
      <c r="S3274" s="498"/>
      <c r="AJ3274" s="498"/>
      <c r="AM3274" s="498">
        <f t="shared" si="1138"/>
        <v>0</v>
      </c>
      <c r="AN3274" s="498">
        <f t="shared" si="1139"/>
        <v>0</v>
      </c>
      <c r="AO3274" s="498">
        <f t="shared" si="1140"/>
        <v>0</v>
      </c>
      <c r="AP3274" s="498">
        <f t="shared" si="1137"/>
        <v>0</v>
      </c>
      <c r="AQ3274" s="498">
        <f t="shared" si="1154"/>
        <v>0</v>
      </c>
      <c r="AU3274" s="498">
        <f t="shared" si="1141"/>
        <v>0</v>
      </c>
      <c r="AV3274" s="498">
        <f t="shared" si="1142"/>
        <v>0</v>
      </c>
      <c r="AW3274" s="498">
        <f t="shared" si="1143"/>
        <v>0</v>
      </c>
      <c r="AX3274" s="498">
        <f t="shared" si="1144"/>
        <v>0</v>
      </c>
      <c r="AY3274" s="498">
        <f t="shared" si="1145"/>
        <v>0</v>
      </c>
      <c r="BB3274" s="498" t="str">
        <f t="shared" si="1146"/>
        <v/>
      </c>
      <c r="BC3274" s="743" t="str">
        <f t="shared" si="1147"/>
        <v/>
      </c>
      <c r="BD3274" s="743" t="str">
        <f t="shared" si="1148"/>
        <v/>
      </c>
      <c r="BE3274" s="743" t="str">
        <f>IF(D3274="","",VLOOKUP(D3274,'General Basis'!$J$39:$K$46,2,0))</f>
        <v/>
      </c>
      <c r="BF3274" s="744" t="str">
        <f>IF(D3274="","",VLOOKUP(D3274,'General Basis'!$J$39:$L$46,3,0))</f>
        <v/>
      </c>
      <c r="BG3274" s="744" t="str">
        <f t="shared" si="1155"/>
        <v/>
      </c>
      <c r="BH3274" s="744" t="str">
        <f>IF(G3274="","",IF(BF3274="Abu Dhabi",IF(G3274&lt;18,'General Basis'!$C$39,IF(G3274&lt;41,'General Basis'!$C$40,IF(G3274&lt;60,'General Basis'!$C$41,IF(G3274&lt;65,'General Basis'!$C$42,'General Basis'!$C$43)))),IF(G3274&lt;11,'General Basis'!$B$39,IF(G3274&lt;18,'General Basis'!$B$40,IF(G3274&lt;26,'General Basis'!$B$41,IF(G3274&lt;31,'General Basis'!$B$42,IF(G3274&lt;36,'General Basis'!$B$43,IF(G3274&lt;41,'General Basis'!$B$44,IF(G3274&lt;46,'General Basis'!$B$45,IF(G3274&lt;51,'General Basis'!$B$46,IF(G3274&lt;56,'General Basis'!$B$47,IF(G3274&lt;60,'General Basis'!$B$48,IF(G3274&lt;65,'General Basis'!$B$49,'General Basis'!$B$50)))))))))))))</f>
        <v/>
      </c>
      <c r="BI3274" s="744" t="str">
        <f t="shared" si="1149"/>
        <v/>
      </c>
      <c r="BJ3274" s="747" t="str">
        <f t="shared" si="1156"/>
        <v/>
      </c>
      <c r="BK3274" s="498" t="str">
        <f t="shared" si="1150"/>
        <v/>
      </c>
      <c r="BL3274" s="498" t="str">
        <f t="shared" si="1151"/>
        <v/>
      </c>
    </row>
    <row r="3275" spans="1:64" x14ac:dyDescent="0.25">
      <c r="A3275" s="762">
        <f t="shared" si="1152"/>
        <v>3270</v>
      </c>
      <c r="B3275" s="229"/>
      <c r="C3275" s="223"/>
      <c r="D3275" s="224"/>
      <c r="E3275" s="225"/>
      <c r="F3275" s="1036" t="str">
        <f t="shared" si="1136"/>
        <v/>
      </c>
      <c r="G3275" s="1037" t="str">
        <f t="shared" si="1153"/>
        <v/>
      </c>
      <c r="H3275" s="225"/>
      <c r="I3275" s="1013"/>
      <c r="J3275" s="1013"/>
      <c r="K3275" s="1028"/>
      <c r="L3275" s="1035" t="str">
        <f t="shared" si="1157"/>
        <v/>
      </c>
      <c r="S3275" s="498"/>
      <c r="AJ3275" s="498"/>
      <c r="AM3275" s="498">
        <f t="shared" si="1138"/>
        <v>0</v>
      </c>
      <c r="AN3275" s="498">
        <f t="shared" si="1139"/>
        <v>0</v>
      </c>
      <c r="AO3275" s="498">
        <f t="shared" si="1140"/>
        <v>0</v>
      </c>
      <c r="AP3275" s="498">
        <f t="shared" si="1137"/>
        <v>0</v>
      </c>
      <c r="AQ3275" s="498">
        <f t="shared" si="1154"/>
        <v>0</v>
      </c>
      <c r="AU3275" s="498">
        <f t="shared" si="1141"/>
        <v>0</v>
      </c>
      <c r="AV3275" s="498">
        <f t="shared" si="1142"/>
        <v>0</v>
      </c>
      <c r="AW3275" s="498">
        <f t="shared" si="1143"/>
        <v>0</v>
      </c>
      <c r="AX3275" s="498">
        <f t="shared" si="1144"/>
        <v>0</v>
      </c>
      <c r="AY3275" s="498">
        <f t="shared" si="1145"/>
        <v>0</v>
      </c>
      <c r="BB3275" s="498" t="str">
        <f t="shared" si="1146"/>
        <v/>
      </c>
      <c r="BC3275" s="743" t="str">
        <f t="shared" si="1147"/>
        <v/>
      </c>
      <c r="BD3275" s="743" t="str">
        <f t="shared" si="1148"/>
        <v/>
      </c>
      <c r="BE3275" s="743" t="str">
        <f>IF(D3275="","",VLOOKUP(D3275,'General Basis'!$J$39:$K$46,2,0))</f>
        <v/>
      </c>
      <c r="BF3275" s="744" t="str">
        <f>IF(D3275="","",VLOOKUP(D3275,'General Basis'!$J$39:$L$46,3,0))</f>
        <v/>
      </c>
      <c r="BG3275" s="744" t="str">
        <f t="shared" si="1155"/>
        <v/>
      </c>
      <c r="BH3275" s="744" t="str">
        <f>IF(G3275="","",IF(BF3275="Abu Dhabi",IF(G3275&lt;18,'General Basis'!$C$39,IF(G3275&lt;41,'General Basis'!$C$40,IF(G3275&lt;60,'General Basis'!$C$41,IF(G3275&lt;65,'General Basis'!$C$42,'General Basis'!$C$43)))),IF(G3275&lt;11,'General Basis'!$B$39,IF(G3275&lt;18,'General Basis'!$B$40,IF(G3275&lt;26,'General Basis'!$B$41,IF(G3275&lt;31,'General Basis'!$B$42,IF(G3275&lt;36,'General Basis'!$B$43,IF(G3275&lt;41,'General Basis'!$B$44,IF(G3275&lt;46,'General Basis'!$B$45,IF(G3275&lt;51,'General Basis'!$B$46,IF(G3275&lt;56,'General Basis'!$B$47,IF(G3275&lt;60,'General Basis'!$B$48,IF(G3275&lt;65,'General Basis'!$B$49,'General Basis'!$B$50)))))))))))))</f>
        <v/>
      </c>
      <c r="BI3275" s="744" t="str">
        <f t="shared" si="1149"/>
        <v/>
      </c>
      <c r="BJ3275" s="747" t="str">
        <f t="shared" si="1156"/>
        <v/>
      </c>
      <c r="BK3275" s="498" t="str">
        <f t="shared" si="1150"/>
        <v/>
      </c>
      <c r="BL3275" s="498" t="str">
        <f t="shared" si="1151"/>
        <v/>
      </c>
    </row>
    <row r="3276" spans="1:64" x14ac:dyDescent="0.25">
      <c r="A3276" s="762">
        <f t="shared" si="1152"/>
        <v>3271</v>
      </c>
      <c r="B3276" s="229"/>
      <c r="C3276" s="223"/>
      <c r="D3276" s="224"/>
      <c r="E3276" s="225"/>
      <c r="F3276" s="1036" t="str">
        <f t="shared" si="1136"/>
        <v/>
      </c>
      <c r="G3276" s="1037" t="str">
        <f t="shared" si="1153"/>
        <v/>
      </c>
      <c r="H3276" s="225"/>
      <c r="I3276" s="1013"/>
      <c r="J3276" s="1013"/>
      <c r="K3276" s="1028"/>
      <c r="L3276" s="1035" t="str">
        <f t="shared" si="1157"/>
        <v/>
      </c>
      <c r="S3276" s="498"/>
      <c r="AJ3276" s="498"/>
      <c r="AM3276" s="498">
        <f t="shared" si="1138"/>
        <v>0</v>
      </c>
      <c r="AN3276" s="498">
        <f t="shared" si="1139"/>
        <v>0</v>
      </c>
      <c r="AO3276" s="498">
        <f t="shared" si="1140"/>
        <v>0</v>
      </c>
      <c r="AP3276" s="498">
        <f t="shared" si="1137"/>
        <v>0</v>
      </c>
      <c r="AQ3276" s="498">
        <f t="shared" si="1154"/>
        <v>0</v>
      </c>
      <c r="AU3276" s="498">
        <f t="shared" si="1141"/>
        <v>0</v>
      </c>
      <c r="AV3276" s="498">
        <f t="shared" si="1142"/>
        <v>0</v>
      </c>
      <c r="AW3276" s="498">
        <f t="shared" si="1143"/>
        <v>0</v>
      </c>
      <c r="AX3276" s="498">
        <f t="shared" si="1144"/>
        <v>0</v>
      </c>
      <c r="AY3276" s="498">
        <f t="shared" si="1145"/>
        <v>0</v>
      </c>
      <c r="BB3276" s="498" t="str">
        <f t="shared" si="1146"/>
        <v/>
      </c>
      <c r="BC3276" s="743" t="str">
        <f t="shared" si="1147"/>
        <v/>
      </c>
      <c r="BD3276" s="743" t="str">
        <f t="shared" si="1148"/>
        <v/>
      </c>
      <c r="BE3276" s="743" t="str">
        <f>IF(D3276="","",VLOOKUP(D3276,'General Basis'!$J$39:$K$46,2,0))</f>
        <v/>
      </c>
      <c r="BF3276" s="744" t="str">
        <f>IF(D3276="","",VLOOKUP(D3276,'General Basis'!$J$39:$L$46,3,0))</f>
        <v/>
      </c>
      <c r="BG3276" s="744" t="str">
        <f t="shared" si="1155"/>
        <v/>
      </c>
      <c r="BH3276" s="744" t="str">
        <f>IF(G3276="","",IF(BF3276="Abu Dhabi",IF(G3276&lt;18,'General Basis'!$C$39,IF(G3276&lt;41,'General Basis'!$C$40,IF(G3276&lt;60,'General Basis'!$C$41,IF(G3276&lt;65,'General Basis'!$C$42,'General Basis'!$C$43)))),IF(G3276&lt;11,'General Basis'!$B$39,IF(G3276&lt;18,'General Basis'!$B$40,IF(G3276&lt;26,'General Basis'!$B$41,IF(G3276&lt;31,'General Basis'!$B$42,IF(G3276&lt;36,'General Basis'!$B$43,IF(G3276&lt;41,'General Basis'!$B$44,IF(G3276&lt;46,'General Basis'!$B$45,IF(G3276&lt;51,'General Basis'!$B$46,IF(G3276&lt;56,'General Basis'!$B$47,IF(G3276&lt;60,'General Basis'!$B$48,IF(G3276&lt;65,'General Basis'!$B$49,'General Basis'!$B$50)))))))))))))</f>
        <v/>
      </c>
      <c r="BI3276" s="744" t="str">
        <f t="shared" si="1149"/>
        <v/>
      </c>
      <c r="BJ3276" s="747" t="str">
        <f t="shared" si="1156"/>
        <v/>
      </c>
      <c r="BK3276" s="498" t="str">
        <f t="shared" si="1150"/>
        <v/>
      </c>
      <c r="BL3276" s="498" t="str">
        <f t="shared" si="1151"/>
        <v/>
      </c>
    </row>
    <row r="3277" spans="1:64" x14ac:dyDescent="0.25">
      <c r="A3277" s="762">
        <f t="shared" si="1152"/>
        <v>3272</v>
      </c>
      <c r="B3277" s="229"/>
      <c r="C3277" s="223"/>
      <c r="D3277" s="224"/>
      <c r="E3277" s="225"/>
      <c r="F3277" s="1036" t="str">
        <f t="shared" si="1136"/>
        <v/>
      </c>
      <c r="G3277" s="1037" t="str">
        <f t="shared" si="1153"/>
        <v/>
      </c>
      <c r="H3277" s="225"/>
      <c r="I3277" s="1013"/>
      <c r="J3277" s="1013"/>
      <c r="K3277" s="1028"/>
      <c r="L3277" s="1035" t="str">
        <f t="shared" si="1157"/>
        <v/>
      </c>
      <c r="S3277" s="498"/>
      <c r="AJ3277" s="498"/>
      <c r="AM3277" s="498">
        <f t="shared" si="1138"/>
        <v>0</v>
      </c>
      <c r="AN3277" s="498">
        <f t="shared" si="1139"/>
        <v>0</v>
      </c>
      <c r="AO3277" s="498">
        <f t="shared" si="1140"/>
        <v>0</v>
      </c>
      <c r="AP3277" s="498">
        <f t="shared" si="1137"/>
        <v>0</v>
      </c>
      <c r="AQ3277" s="498">
        <f t="shared" si="1154"/>
        <v>0</v>
      </c>
      <c r="AU3277" s="498">
        <f t="shared" si="1141"/>
        <v>0</v>
      </c>
      <c r="AV3277" s="498">
        <f t="shared" si="1142"/>
        <v>0</v>
      </c>
      <c r="AW3277" s="498">
        <f t="shared" si="1143"/>
        <v>0</v>
      </c>
      <c r="AX3277" s="498">
        <f t="shared" si="1144"/>
        <v>0</v>
      </c>
      <c r="AY3277" s="498">
        <f t="shared" si="1145"/>
        <v>0</v>
      </c>
      <c r="BB3277" s="498" t="str">
        <f t="shared" si="1146"/>
        <v/>
      </c>
      <c r="BC3277" s="743" t="str">
        <f t="shared" si="1147"/>
        <v/>
      </c>
      <c r="BD3277" s="743" t="str">
        <f t="shared" si="1148"/>
        <v/>
      </c>
      <c r="BE3277" s="743" t="str">
        <f>IF(D3277="","",VLOOKUP(D3277,'General Basis'!$J$39:$K$46,2,0))</f>
        <v/>
      </c>
      <c r="BF3277" s="744" t="str">
        <f>IF(D3277="","",VLOOKUP(D3277,'General Basis'!$J$39:$L$46,3,0))</f>
        <v/>
      </c>
      <c r="BG3277" s="744" t="str">
        <f t="shared" si="1155"/>
        <v/>
      </c>
      <c r="BH3277" s="744" t="str">
        <f>IF(G3277="","",IF(BF3277="Abu Dhabi",IF(G3277&lt;18,'General Basis'!$C$39,IF(G3277&lt;41,'General Basis'!$C$40,IF(G3277&lt;60,'General Basis'!$C$41,IF(G3277&lt;65,'General Basis'!$C$42,'General Basis'!$C$43)))),IF(G3277&lt;11,'General Basis'!$B$39,IF(G3277&lt;18,'General Basis'!$B$40,IF(G3277&lt;26,'General Basis'!$B$41,IF(G3277&lt;31,'General Basis'!$B$42,IF(G3277&lt;36,'General Basis'!$B$43,IF(G3277&lt;41,'General Basis'!$B$44,IF(G3277&lt;46,'General Basis'!$B$45,IF(G3277&lt;51,'General Basis'!$B$46,IF(G3277&lt;56,'General Basis'!$B$47,IF(G3277&lt;60,'General Basis'!$B$48,IF(G3277&lt;65,'General Basis'!$B$49,'General Basis'!$B$50)))))))))))))</f>
        <v/>
      </c>
      <c r="BI3277" s="744" t="str">
        <f t="shared" si="1149"/>
        <v/>
      </c>
      <c r="BJ3277" s="747" t="str">
        <f t="shared" si="1156"/>
        <v/>
      </c>
      <c r="BK3277" s="498" t="str">
        <f t="shared" si="1150"/>
        <v/>
      </c>
      <c r="BL3277" s="498" t="str">
        <f t="shared" si="1151"/>
        <v/>
      </c>
    </row>
    <row r="3278" spans="1:64" x14ac:dyDescent="0.25">
      <c r="A3278" s="762">
        <f t="shared" si="1152"/>
        <v>3273</v>
      </c>
      <c r="B3278" s="229"/>
      <c r="C3278" s="223"/>
      <c r="D3278" s="224"/>
      <c r="E3278" s="225"/>
      <c r="F3278" s="1036" t="str">
        <f t="shared" si="1136"/>
        <v/>
      </c>
      <c r="G3278" s="1037" t="str">
        <f t="shared" si="1153"/>
        <v/>
      </c>
      <c r="H3278" s="225"/>
      <c r="I3278" s="1013"/>
      <c r="J3278" s="1013"/>
      <c r="K3278" s="1028"/>
      <c r="L3278" s="1035" t="str">
        <f t="shared" si="1157"/>
        <v/>
      </c>
      <c r="S3278" s="498"/>
      <c r="AJ3278" s="498"/>
      <c r="AM3278" s="498">
        <f t="shared" si="1138"/>
        <v>0</v>
      </c>
      <c r="AN3278" s="498">
        <f t="shared" si="1139"/>
        <v>0</v>
      </c>
      <c r="AO3278" s="498">
        <f t="shared" si="1140"/>
        <v>0</v>
      </c>
      <c r="AP3278" s="498">
        <f t="shared" si="1137"/>
        <v>0</v>
      </c>
      <c r="AQ3278" s="498">
        <f t="shared" si="1154"/>
        <v>0</v>
      </c>
      <c r="AU3278" s="498">
        <f t="shared" si="1141"/>
        <v>0</v>
      </c>
      <c r="AV3278" s="498">
        <f t="shared" si="1142"/>
        <v>0</v>
      </c>
      <c r="AW3278" s="498">
        <f t="shared" si="1143"/>
        <v>0</v>
      </c>
      <c r="AX3278" s="498">
        <f t="shared" si="1144"/>
        <v>0</v>
      </c>
      <c r="AY3278" s="498">
        <f t="shared" si="1145"/>
        <v>0</v>
      </c>
      <c r="BB3278" s="498" t="str">
        <f t="shared" si="1146"/>
        <v/>
      </c>
      <c r="BC3278" s="743" t="str">
        <f t="shared" si="1147"/>
        <v/>
      </c>
      <c r="BD3278" s="743" t="str">
        <f t="shared" si="1148"/>
        <v/>
      </c>
      <c r="BE3278" s="743" t="str">
        <f>IF(D3278="","",VLOOKUP(D3278,'General Basis'!$J$39:$K$46,2,0))</f>
        <v/>
      </c>
      <c r="BF3278" s="744" t="str">
        <f>IF(D3278="","",VLOOKUP(D3278,'General Basis'!$J$39:$L$46,3,0))</f>
        <v/>
      </c>
      <c r="BG3278" s="744" t="str">
        <f t="shared" si="1155"/>
        <v/>
      </c>
      <c r="BH3278" s="744" t="str">
        <f>IF(G3278="","",IF(BF3278="Abu Dhabi",IF(G3278&lt;18,'General Basis'!$C$39,IF(G3278&lt;41,'General Basis'!$C$40,IF(G3278&lt;60,'General Basis'!$C$41,IF(G3278&lt;65,'General Basis'!$C$42,'General Basis'!$C$43)))),IF(G3278&lt;11,'General Basis'!$B$39,IF(G3278&lt;18,'General Basis'!$B$40,IF(G3278&lt;26,'General Basis'!$B$41,IF(G3278&lt;31,'General Basis'!$B$42,IF(G3278&lt;36,'General Basis'!$B$43,IF(G3278&lt;41,'General Basis'!$B$44,IF(G3278&lt;46,'General Basis'!$B$45,IF(G3278&lt;51,'General Basis'!$B$46,IF(G3278&lt;56,'General Basis'!$B$47,IF(G3278&lt;60,'General Basis'!$B$48,IF(G3278&lt;65,'General Basis'!$B$49,'General Basis'!$B$50)))))))))))))</f>
        <v/>
      </c>
      <c r="BI3278" s="744" t="str">
        <f t="shared" si="1149"/>
        <v/>
      </c>
      <c r="BJ3278" s="747" t="str">
        <f t="shared" si="1156"/>
        <v/>
      </c>
      <c r="BK3278" s="498" t="str">
        <f t="shared" si="1150"/>
        <v/>
      </c>
      <c r="BL3278" s="498" t="str">
        <f t="shared" si="1151"/>
        <v/>
      </c>
    </row>
    <row r="3279" spans="1:64" x14ac:dyDescent="0.25">
      <c r="A3279" s="762">
        <f t="shared" si="1152"/>
        <v>3274</v>
      </c>
      <c r="B3279" s="229"/>
      <c r="C3279" s="223"/>
      <c r="D3279" s="224"/>
      <c r="E3279" s="225"/>
      <c r="F3279" s="1036" t="str">
        <f t="shared" si="1136"/>
        <v/>
      </c>
      <c r="G3279" s="1037" t="str">
        <f t="shared" si="1153"/>
        <v/>
      </c>
      <c r="H3279" s="225"/>
      <c r="I3279" s="1013"/>
      <c r="J3279" s="1013"/>
      <c r="K3279" s="1028"/>
      <c r="L3279" s="1035" t="str">
        <f t="shared" si="1157"/>
        <v/>
      </c>
      <c r="S3279" s="498"/>
      <c r="AJ3279" s="498"/>
      <c r="AM3279" s="498">
        <f t="shared" si="1138"/>
        <v>0</v>
      </c>
      <c r="AN3279" s="498">
        <f t="shared" si="1139"/>
        <v>0</v>
      </c>
      <c r="AO3279" s="498">
        <f t="shared" si="1140"/>
        <v>0</v>
      </c>
      <c r="AP3279" s="498">
        <f t="shared" si="1137"/>
        <v>0</v>
      </c>
      <c r="AQ3279" s="498">
        <f t="shared" si="1154"/>
        <v>0</v>
      </c>
      <c r="AU3279" s="498">
        <f t="shared" si="1141"/>
        <v>0</v>
      </c>
      <c r="AV3279" s="498">
        <f t="shared" si="1142"/>
        <v>0</v>
      </c>
      <c r="AW3279" s="498">
        <f t="shared" si="1143"/>
        <v>0</v>
      </c>
      <c r="AX3279" s="498">
        <f t="shared" si="1144"/>
        <v>0</v>
      </c>
      <c r="AY3279" s="498">
        <f t="shared" si="1145"/>
        <v>0</v>
      </c>
      <c r="BB3279" s="498" t="str">
        <f t="shared" si="1146"/>
        <v/>
      </c>
      <c r="BC3279" s="743" t="str">
        <f t="shared" si="1147"/>
        <v/>
      </c>
      <c r="BD3279" s="743" t="str">
        <f t="shared" si="1148"/>
        <v/>
      </c>
      <c r="BE3279" s="743" t="str">
        <f>IF(D3279="","",VLOOKUP(D3279,'General Basis'!$J$39:$K$46,2,0))</f>
        <v/>
      </c>
      <c r="BF3279" s="744" t="str">
        <f>IF(D3279="","",VLOOKUP(D3279,'General Basis'!$J$39:$L$46,3,0))</f>
        <v/>
      </c>
      <c r="BG3279" s="744" t="str">
        <f t="shared" si="1155"/>
        <v/>
      </c>
      <c r="BH3279" s="744" t="str">
        <f>IF(G3279="","",IF(BF3279="Abu Dhabi",IF(G3279&lt;18,'General Basis'!$C$39,IF(G3279&lt;41,'General Basis'!$C$40,IF(G3279&lt;60,'General Basis'!$C$41,IF(G3279&lt;65,'General Basis'!$C$42,'General Basis'!$C$43)))),IF(G3279&lt;11,'General Basis'!$B$39,IF(G3279&lt;18,'General Basis'!$B$40,IF(G3279&lt;26,'General Basis'!$B$41,IF(G3279&lt;31,'General Basis'!$B$42,IF(G3279&lt;36,'General Basis'!$B$43,IF(G3279&lt;41,'General Basis'!$B$44,IF(G3279&lt;46,'General Basis'!$B$45,IF(G3279&lt;51,'General Basis'!$B$46,IF(G3279&lt;56,'General Basis'!$B$47,IF(G3279&lt;60,'General Basis'!$B$48,IF(G3279&lt;65,'General Basis'!$B$49,'General Basis'!$B$50)))))))))))))</f>
        <v/>
      </c>
      <c r="BI3279" s="744" t="str">
        <f t="shared" si="1149"/>
        <v/>
      </c>
      <c r="BJ3279" s="747" t="str">
        <f t="shared" si="1156"/>
        <v/>
      </c>
      <c r="BK3279" s="498" t="str">
        <f t="shared" si="1150"/>
        <v/>
      </c>
      <c r="BL3279" s="498" t="str">
        <f t="shared" si="1151"/>
        <v/>
      </c>
    </row>
    <row r="3280" spans="1:64" x14ac:dyDescent="0.25">
      <c r="A3280" s="762">
        <f t="shared" si="1152"/>
        <v>3275</v>
      </c>
      <c r="B3280" s="229"/>
      <c r="C3280" s="223"/>
      <c r="D3280" s="224"/>
      <c r="E3280" s="225"/>
      <c r="F3280" s="1036" t="str">
        <f t="shared" ref="F3280:F3343" si="1158">IF(C3280="","",IF($B3280="","",((YEAR($F$3)-YEAR($B3280))+(MONTH($F$3)-MONTH($B3280))/12+(DAY($F$3)-DAY($B3280))/(DATE(YEAR($F$3),12,31)-DATE(YEAR($F$3),1,1)+1))))</f>
        <v/>
      </c>
      <c r="G3280" s="1037" t="str">
        <f t="shared" si="1153"/>
        <v/>
      </c>
      <c r="H3280" s="225"/>
      <c r="I3280" s="1013"/>
      <c r="J3280" s="1013"/>
      <c r="K3280" s="1028"/>
      <c r="L3280" s="1035" t="str">
        <f t="shared" si="1157"/>
        <v/>
      </c>
      <c r="S3280" s="498"/>
      <c r="AJ3280" s="498"/>
      <c r="AM3280" s="498">
        <f t="shared" si="1138"/>
        <v>0</v>
      </c>
      <c r="AN3280" s="498">
        <f t="shared" si="1139"/>
        <v>0</v>
      </c>
      <c r="AO3280" s="498">
        <f t="shared" si="1140"/>
        <v>0</v>
      </c>
      <c r="AP3280" s="498">
        <f t="shared" si="1137"/>
        <v>0</v>
      </c>
      <c r="AQ3280" s="498">
        <f t="shared" si="1154"/>
        <v>0</v>
      </c>
      <c r="AU3280" s="498">
        <f t="shared" si="1141"/>
        <v>0</v>
      </c>
      <c r="AV3280" s="498">
        <f t="shared" si="1142"/>
        <v>0</v>
      </c>
      <c r="AW3280" s="498">
        <f t="shared" si="1143"/>
        <v>0</v>
      </c>
      <c r="AX3280" s="498">
        <f t="shared" si="1144"/>
        <v>0</v>
      </c>
      <c r="AY3280" s="498">
        <f t="shared" si="1145"/>
        <v>0</v>
      </c>
      <c r="BB3280" s="498" t="str">
        <f t="shared" si="1146"/>
        <v/>
      </c>
      <c r="BC3280" s="743" t="str">
        <f t="shared" si="1147"/>
        <v/>
      </c>
      <c r="BD3280" s="743" t="str">
        <f t="shared" si="1148"/>
        <v/>
      </c>
      <c r="BE3280" s="743" t="str">
        <f>IF(D3280="","",VLOOKUP(D3280,'General Basis'!$J$39:$K$46,2,0))</f>
        <v/>
      </c>
      <c r="BF3280" s="744" t="str">
        <f>IF(D3280="","",VLOOKUP(D3280,'General Basis'!$J$39:$L$46,3,0))</f>
        <v/>
      </c>
      <c r="BG3280" s="744" t="str">
        <f t="shared" si="1155"/>
        <v/>
      </c>
      <c r="BH3280" s="744" t="str">
        <f>IF(G3280="","",IF(BF3280="Abu Dhabi",IF(G3280&lt;18,'General Basis'!$C$39,IF(G3280&lt;41,'General Basis'!$C$40,IF(G3280&lt;60,'General Basis'!$C$41,IF(G3280&lt;65,'General Basis'!$C$42,'General Basis'!$C$43)))),IF(G3280&lt;11,'General Basis'!$B$39,IF(G3280&lt;18,'General Basis'!$B$40,IF(G3280&lt;26,'General Basis'!$B$41,IF(G3280&lt;31,'General Basis'!$B$42,IF(G3280&lt;36,'General Basis'!$B$43,IF(G3280&lt;41,'General Basis'!$B$44,IF(G3280&lt;46,'General Basis'!$B$45,IF(G3280&lt;51,'General Basis'!$B$46,IF(G3280&lt;56,'General Basis'!$B$47,IF(G3280&lt;60,'General Basis'!$B$48,IF(G3280&lt;65,'General Basis'!$B$49,'General Basis'!$B$50)))))))))))))</f>
        <v/>
      </c>
      <c r="BI3280" s="744" t="str">
        <f t="shared" si="1149"/>
        <v/>
      </c>
      <c r="BJ3280" s="747" t="str">
        <f t="shared" si="1156"/>
        <v/>
      </c>
      <c r="BK3280" s="498" t="str">
        <f t="shared" si="1150"/>
        <v/>
      </c>
      <c r="BL3280" s="498" t="str">
        <f t="shared" si="1151"/>
        <v/>
      </c>
    </row>
    <row r="3281" spans="1:64" x14ac:dyDescent="0.25">
      <c r="A3281" s="762">
        <f t="shared" si="1152"/>
        <v>3276</v>
      </c>
      <c r="B3281" s="229"/>
      <c r="C3281" s="223"/>
      <c r="D3281" s="224"/>
      <c r="E3281" s="225"/>
      <c r="F3281" s="1036" t="str">
        <f t="shared" si="1158"/>
        <v/>
      </c>
      <c r="G3281" s="1037" t="str">
        <f t="shared" si="1153"/>
        <v/>
      </c>
      <c r="H3281" s="225"/>
      <c r="I3281" s="1013"/>
      <c r="J3281" s="1013"/>
      <c r="K3281" s="1028"/>
      <c r="L3281" s="1035" t="str">
        <f t="shared" si="1157"/>
        <v/>
      </c>
      <c r="S3281" s="498"/>
      <c r="AJ3281" s="498"/>
      <c r="AM3281" s="498">
        <f t="shared" si="1138"/>
        <v>0</v>
      </c>
      <c r="AN3281" s="498">
        <f t="shared" si="1139"/>
        <v>0</v>
      </c>
      <c r="AO3281" s="498">
        <f t="shared" si="1140"/>
        <v>0</v>
      </c>
      <c r="AP3281" s="498">
        <f t="shared" si="1137"/>
        <v>0</v>
      </c>
      <c r="AQ3281" s="498">
        <f t="shared" si="1154"/>
        <v>0</v>
      </c>
      <c r="AU3281" s="498">
        <f t="shared" si="1141"/>
        <v>0</v>
      </c>
      <c r="AV3281" s="498">
        <f t="shared" si="1142"/>
        <v>0</v>
      </c>
      <c r="AW3281" s="498">
        <f t="shared" si="1143"/>
        <v>0</v>
      </c>
      <c r="AX3281" s="498">
        <f t="shared" si="1144"/>
        <v>0</v>
      </c>
      <c r="AY3281" s="498">
        <f t="shared" si="1145"/>
        <v>0</v>
      </c>
      <c r="BB3281" s="498" t="str">
        <f t="shared" si="1146"/>
        <v/>
      </c>
      <c r="BC3281" s="743" t="str">
        <f t="shared" si="1147"/>
        <v/>
      </c>
      <c r="BD3281" s="743" t="str">
        <f t="shared" si="1148"/>
        <v/>
      </c>
      <c r="BE3281" s="743" t="str">
        <f>IF(D3281="","",VLOOKUP(D3281,'General Basis'!$J$39:$K$46,2,0))</f>
        <v/>
      </c>
      <c r="BF3281" s="744" t="str">
        <f>IF(D3281="","",VLOOKUP(D3281,'General Basis'!$J$39:$L$46,3,0))</f>
        <v/>
      </c>
      <c r="BG3281" s="744" t="str">
        <f t="shared" si="1155"/>
        <v/>
      </c>
      <c r="BH3281" s="744" t="str">
        <f>IF(G3281="","",IF(BF3281="Abu Dhabi",IF(G3281&lt;18,'General Basis'!$C$39,IF(G3281&lt;41,'General Basis'!$C$40,IF(G3281&lt;60,'General Basis'!$C$41,IF(G3281&lt;65,'General Basis'!$C$42,'General Basis'!$C$43)))),IF(G3281&lt;11,'General Basis'!$B$39,IF(G3281&lt;18,'General Basis'!$B$40,IF(G3281&lt;26,'General Basis'!$B$41,IF(G3281&lt;31,'General Basis'!$B$42,IF(G3281&lt;36,'General Basis'!$B$43,IF(G3281&lt;41,'General Basis'!$B$44,IF(G3281&lt;46,'General Basis'!$B$45,IF(G3281&lt;51,'General Basis'!$B$46,IF(G3281&lt;56,'General Basis'!$B$47,IF(G3281&lt;60,'General Basis'!$B$48,IF(G3281&lt;65,'General Basis'!$B$49,'General Basis'!$B$50)))))))))))))</f>
        <v/>
      </c>
      <c r="BI3281" s="744" t="str">
        <f t="shared" si="1149"/>
        <v/>
      </c>
      <c r="BJ3281" s="747" t="str">
        <f t="shared" si="1156"/>
        <v/>
      </c>
      <c r="BK3281" s="498" t="str">
        <f t="shared" si="1150"/>
        <v/>
      </c>
      <c r="BL3281" s="498" t="str">
        <f t="shared" si="1151"/>
        <v/>
      </c>
    </row>
    <row r="3282" spans="1:64" x14ac:dyDescent="0.25">
      <c r="A3282" s="762">
        <f t="shared" si="1152"/>
        <v>3277</v>
      </c>
      <c r="B3282" s="229"/>
      <c r="C3282" s="223"/>
      <c r="D3282" s="224"/>
      <c r="E3282" s="225"/>
      <c r="F3282" s="1036" t="str">
        <f t="shared" si="1158"/>
        <v/>
      </c>
      <c r="G3282" s="1037" t="str">
        <f t="shared" si="1153"/>
        <v/>
      </c>
      <c r="H3282" s="225"/>
      <c r="I3282" s="1013"/>
      <c r="J3282" s="1013"/>
      <c r="K3282" s="1028"/>
      <c r="L3282" s="1035" t="str">
        <f t="shared" si="1157"/>
        <v/>
      </c>
      <c r="S3282" s="498"/>
      <c r="AJ3282" s="498"/>
      <c r="AM3282" s="498">
        <f t="shared" si="1138"/>
        <v>0</v>
      </c>
      <c r="AN3282" s="498">
        <f t="shared" si="1139"/>
        <v>0</v>
      </c>
      <c r="AO3282" s="498">
        <f t="shared" si="1140"/>
        <v>0</v>
      </c>
      <c r="AP3282" s="498">
        <f t="shared" si="1137"/>
        <v>0</v>
      </c>
      <c r="AQ3282" s="498">
        <f t="shared" si="1154"/>
        <v>0</v>
      </c>
      <c r="AU3282" s="498">
        <f t="shared" si="1141"/>
        <v>0</v>
      </c>
      <c r="AV3282" s="498">
        <f t="shared" si="1142"/>
        <v>0</v>
      </c>
      <c r="AW3282" s="498">
        <f t="shared" si="1143"/>
        <v>0</v>
      </c>
      <c r="AX3282" s="498">
        <f t="shared" si="1144"/>
        <v>0</v>
      </c>
      <c r="AY3282" s="498">
        <f t="shared" si="1145"/>
        <v>0</v>
      </c>
      <c r="BB3282" s="498" t="str">
        <f t="shared" si="1146"/>
        <v/>
      </c>
      <c r="BC3282" s="743" t="str">
        <f t="shared" si="1147"/>
        <v/>
      </c>
      <c r="BD3282" s="743" t="str">
        <f t="shared" si="1148"/>
        <v/>
      </c>
      <c r="BE3282" s="743" t="str">
        <f>IF(D3282="","",VLOOKUP(D3282,'General Basis'!$J$39:$K$46,2,0))</f>
        <v/>
      </c>
      <c r="BF3282" s="744" t="str">
        <f>IF(D3282="","",VLOOKUP(D3282,'General Basis'!$J$39:$L$46,3,0))</f>
        <v/>
      </c>
      <c r="BG3282" s="744" t="str">
        <f t="shared" si="1155"/>
        <v/>
      </c>
      <c r="BH3282" s="744" t="str">
        <f>IF(G3282="","",IF(BF3282="Abu Dhabi",IF(G3282&lt;18,'General Basis'!$C$39,IF(G3282&lt;41,'General Basis'!$C$40,IF(G3282&lt;60,'General Basis'!$C$41,IF(G3282&lt;65,'General Basis'!$C$42,'General Basis'!$C$43)))),IF(G3282&lt;11,'General Basis'!$B$39,IF(G3282&lt;18,'General Basis'!$B$40,IF(G3282&lt;26,'General Basis'!$B$41,IF(G3282&lt;31,'General Basis'!$B$42,IF(G3282&lt;36,'General Basis'!$B$43,IF(G3282&lt;41,'General Basis'!$B$44,IF(G3282&lt;46,'General Basis'!$B$45,IF(G3282&lt;51,'General Basis'!$B$46,IF(G3282&lt;56,'General Basis'!$B$47,IF(G3282&lt;60,'General Basis'!$B$48,IF(G3282&lt;65,'General Basis'!$B$49,'General Basis'!$B$50)))))))))))))</f>
        <v/>
      </c>
      <c r="BI3282" s="744" t="str">
        <f t="shared" si="1149"/>
        <v/>
      </c>
      <c r="BJ3282" s="747" t="str">
        <f t="shared" si="1156"/>
        <v/>
      </c>
      <c r="BK3282" s="498" t="str">
        <f t="shared" si="1150"/>
        <v/>
      </c>
      <c r="BL3282" s="498" t="str">
        <f t="shared" si="1151"/>
        <v/>
      </c>
    </row>
    <row r="3283" spans="1:64" x14ac:dyDescent="0.25">
      <c r="A3283" s="762">
        <f t="shared" si="1152"/>
        <v>3278</v>
      </c>
      <c r="B3283" s="229"/>
      <c r="C3283" s="223"/>
      <c r="D3283" s="224"/>
      <c r="E3283" s="225"/>
      <c r="F3283" s="1036" t="str">
        <f t="shared" si="1158"/>
        <v/>
      </c>
      <c r="G3283" s="1037" t="str">
        <f t="shared" si="1153"/>
        <v/>
      </c>
      <c r="H3283" s="225"/>
      <c r="I3283" s="1013"/>
      <c r="J3283" s="1013"/>
      <c r="K3283" s="1028"/>
      <c r="L3283" s="1035" t="str">
        <f t="shared" si="1157"/>
        <v/>
      </c>
      <c r="S3283" s="498"/>
      <c r="AJ3283" s="498"/>
      <c r="AM3283" s="498">
        <f t="shared" si="1138"/>
        <v>0</v>
      </c>
      <c r="AN3283" s="498">
        <f t="shared" si="1139"/>
        <v>0</v>
      </c>
      <c r="AO3283" s="498">
        <f t="shared" si="1140"/>
        <v>0</v>
      </c>
      <c r="AP3283" s="498">
        <f t="shared" ref="AP3283:AP3346" si="1159">IF(ISBLANK($B3283),0,IF(OR($C3283="M",$C3283="F"),0,1))</f>
        <v>0</v>
      </c>
      <c r="AQ3283" s="498">
        <f t="shared" si="1154"/>
        <v>0</v>
      </c>
      <c r="AU3283" s="498">
        <f t="shared" si="1141"/>
        <v>0</v>
      </c>
      <c r="AV3283" s="498">
        <f t="shared" si="1142"/>
        <v>0</v>
      </c>
      <c r="AW3283" s="498">
        <f t="shared" si="1143"/>
        <v>0</v>
      </c>
      <c r="AX3283" s="498">
        <f t="shared" si="1144"/>
        <v>0</v>
      </c>
      <c r="AY3283" s="498">
        <f t="shared" si="1145"/>
        <v>0</v>
      </c>
      <c r="BB3283" s="498" t="str">
        <f t="shared" si="1146"/>
        <v/>
      </c>
      <c r="BC3283" s="743" t="str">
        <f t="shared" si="1147"/>
        <v/>
      </c>
      <c r="BD3283" s="743" t="str">
        <f t="shared" si="1148"/>
        <v/>
      </c>
      <c r="BE3283" s="743" t="str">
        <f>IF(D3283="","",VLOOKUP(D3283,'General Basis'!$J$39:$K$46,2,0))</f>
        <v/>
      </c>
      <c r="BF3283" s="744" t="str">
        <f>IF(D3283="","",VLOOKUP(D3283,'General Basis'!$J$39:$L$46,3,0))</f>
        <v/>
      </c>
      <c r="BG3283" s="744" t="str">
        <f t="shared" si="1155"/>
        <v/>
      </c>
      <c r="BH3283" s="744" t="str">
        <f>IF(G3283="","",IF(BF3283="Abu Dhabi",IF(G3283&lt;18,'General Basis'!$C$39,IF(G3283&lt;41,'General Basis'!$C$40,IF(G3283&lt;60,'General Basis'!$C$41,IF(G3283&lt;65,'General Basis'!$C$42,'General Basis'!$C$43)))),IF(G3283&lt;11,'General Basis'!$B$39,IF(G3283&lt;18,'General Basis'!$B$40,IF(G3283&lt;26,'General Basis'!$B$41,IF(G3283&lt;31,'General Basis'!$B$42,IF(G3283&lt;36,'General Basis'!$B$43,IF(G3283&lt;41,'General Basis'!$B$44,IF(G3283&lt;46,'General Basis'!$B$45,IF(G3283&lt;51,'General Basis'!$B$46,IF(G3283&lt;56,'General Basis'!$B$47,IF(G3283&lt;60,'General Basis'!$B$48,IF(G3283&lt;65,'General Basis'!$B$49,'General Basis'!$B$50)))))))))))))</f>
        <v/>
      </c>
      <c r="BI3283" s="744" t="str">
        <f t="shared" si="1149"/>
        <v/>
      </c>
      <c r="BJ3283" s="747" t="str">
        <f t="shared" si="1156"/>
        <v/>
      </c>
      <c r="BK3283" s="498" t="str">
        <f t="shared" si="1150"/>
        <v/>
      </c>
      <c r="BL3283" s="498" t="str">
        <f t="shared" si="1151"/>
        <v/>
      </c>
    </row>
    <row r="3284" spans="1:64" x14ac:dyDescent="0.25">
      <c r="A3284" s="762">
        <f t="shared" si="1152"/>
        <v>3279</v>
      </c>
      <c r="B3284" s="229"/>
      <c r="C3284" s="223"/>
      <c r="D3284" s="224"/>
      <c r="E3284" s="225"/>
      <c r="F3284" s="1036" t="str">
        <f t="shared" si="1158"/>
        <v/>
      </c>
      <c r="G3284" s="1037" t="str">
        <f t="shared" si="1153"/>
        <v/>
      </c>
      <c r="H3284" s="225"/>
      <c r="I3284" s="1013"/>
      <c r="J3284" s="1013"/>
      <c r="K3284" s="1028"/>
      <c r="L3284" s="1035" t="str">
        <f t="shared" si="1157"/>
        <v/>
      </c>
      <c r="S3284" s="498"/>
      <c r="AJ3284" s="498"/>
      <c r="AM3284" s="498">
        <f t="shared" si="1138"/>
        <v>0</v>
      </c>
      <c r="AN3284" s="498">
        <f t="shared" si="1139"/>
        <v>0</v>
      </c>
      <c r="AO3284" s="498">
        <f t="shared" si="1140"/>
        <v>0</v>
      </c>
      <c r="AP3284" s="498">
        <f t="shared" si="1159"/>
        <v>0</v>
      </c>
      <c r="AQ3284" s="498">
        <f t="shared" si="1154"/>
        <v>0</v>
      </c>
      <c r="AU3284" s="498">
        <f t="shared" si="1141"/>
        <v>0</v>
      </c>
      <c r="AV3284" s="498">
        <f t="shared" si="1142"/>
        <v>0</v>
      </c>
      <c r="AW3284" s="498">
        <f t="shared" si="1143"/>
        <v>0</v>
      </c>
      <c r="AX3284" s="498">
        <f t="shared" si="1144"/>
        <v>0</v>
      </c>
      <c r="AY3284" s="498">
        <f t="shared" si="1145"/>
        <v>0</v>
      </c>
      <c r="BB3284" s="498" t="str">
        <f t="shared" si="1146"/>
        <v/>
      </c>
      <c r="BC3284" s="743" t="str">
        <f t="shared" si="1147"/>
        <v/>
      </c>
      <c r="BD3284" s="743" t="str">
        <f t="shared" si="1148"/>
        <v/>
      </c>
      <c r="BE3284" s="743" t="str">
        <f>IF(D3284="","",VLOOKUP(D3284,'General Basis'!$J$39:$K$46,2,0))</f>
        <v/>
      </c>
      <c r="BF3284" s="744" t="str">
        <f>IF(D3284="","",VLOOKUP(D3284,'General Basis'!$J$39:$L$46,3,0))</f>
        <v/>
      </c>
      <c r="BG3284" s="744" t="str">
        <f t="shared" si="1155"/>
        <v/>
      </c>
      <c r="BH3284" s="744" t="str">
        <f>IF(G3284="","",IF(BF3284="Abu Dhabi",IF(G3284&lt;18,'General Basis'!$C$39,IF(G3284&lt;41,'General Basis'!$C$40,IF(G3284&lt;60,'General Basis'!$C$41,IF(G3284&lt;65,'General Basis'!$C$42,'General Basis'!$C$43)))),IF(G3284&lt;11,'General Basis'!$B$39,IF(G3284&lt;18,'General Basis'!$B$40,IF(G3284&lt;26,'General Basis'!$B$41,IF(G3284&lt;31,'General Basis'!$B$42,IF(G3284&lt;36,'General Basis'!$B$43,IF(G3284&lt;41,'General Basis'!$B$44,IF(G3284&lt;46,'General Basis'!$B$45,IF(G3284&lt;51,'General Basis'!$B$46,IF(G3284&lt;56,'General Basis'!$B$47,IF(G3284&lt;60,'General Basis'!$B$48,IF(G3284&lt;65,'General Basis'!$B$49,'General Basis'!$B$50)))))))))))))</f>
        <v/>
      </c>
      <c r="BI3284" s="744" t="str">
        <f t="shared" si="1149"/>
        <v/>
      </c>
      <c r="BJ3284" s="747" t="str">
        <f t="shared" si="1156"/>
        <v/>
      </c>
      <c r="BK3284" s="498" t="str">
        <f t="shared" si="1150"/>
        <v/>
      </c>
      <c r="BL3284" s="498" t="str">
        <f t="shared" si="1151"/>
        <v/>
      </c>
    </row>
    <row r="3285" spans="1:64" x14ac:dyDescent="0.25">
      <c r="A3285" s="762">
        <f t="shared" si="1152"/>
        <v>3280</v>
      </c>
      <c r="B3285" s="229"/>
      <c r="C3285" s="223"/>
      <c r="D3285" s="224"/>
      <c r="E3285" s="225"/>
      <c r="F3285" s="1036" t="str">
        <f t="shared" si="1158"/>
        <v/>
      </c>
      <c r="G3285" s="1037" t="str">
        <f t="shared" si="1153"/>
        <v/>
      </c>
      <c r="H3285" s="225"/>
      <c r="I3285" s="1013"/>
      <c r="J3285" s="1013"/>
      <c r="K3285" s="1028"/>
      <c r="L3285" s="1035" t="str">
        <f t="shared" si="1157"/>
        <v/>
      </c>
      <c r="S3285" s="498"/>
      <c r="AJ3285" s="498"/>
      <c r="AM3285" s="498">
        <f t="shared" si="1138"/>
        <v>0</v>
      </c>
      <c r="AN3285" s="498">
        <f t="shared" si="1139"/>
        <v>0</v>
      </c>
      <c r="AO3285" s="498">
        <f t="shared" si="1140"/>
        <v>0</v>
      </c>
      <c r="AP3285" s="498">
        <f t="shared" si="1159"/>
        <v>0</v>
      </c>
      <c r="AQ3285" s="498">
        <f t="shared" si="1154"/>
        <v>0</v>
      </c>
      <c r="AU3285" s="498">
        <f t="shared" si="1141"/>
        <v>0</v>
      </c>
      <c r="AV3285" s="498">
        <f t="shared" si="1142"/>
        <v>0</v>
      </c>
      <c r="AW3285" s="498">
        <f t="shared" si="1143"/>
        <v>0</v>
      </c>
      <c r="AX3285" s="498">
        <f t="shared" si="1144"/>
        <v>0</v>
      </c>
      <c r="AY3285" s="498">
        <f t="shared" si="1145"/>
        <v>0</v>
      </c>
      <c r="BB3285" s="498" t="str">
        <f t="shared" si="1146"/>
        <v/>
      </c>
      <c r="BC3285" s="743" t="str">
        <f t="shared" si="1147"/>
        <v/>
      </c>
      <c r="BD3285" s="743" t="str">
        <f t="shared" si="1148"/>
        <v/>
      </c>
      <c r="BE3285" s="743" t="str">
        <f>IF(D3285="","",VLOOKUP(D3285,'General Basis'!$J$39:$K$46,2,0))</f>
        <v/>
      </c>
      <c r="BF3285" s="744" t="str">
        <f>IF(D3285="","",VLOOKUP(D3285,'General Basis'!$J$39:$L$46,3,0))</f>
        <v/>
      </c>
      <c r="BG3285" s="744" t="str">
        <f t="shared" si="1155"/>
        <v/>
      </c>
      <c r="BH3285" s="744" t="str">
        <f>IF(G3285="","",IF(BF3285="Abu Dhabi",IF(G3285&lt;18,'General Basis'!$C$39,IF(G3285&lt;41,'General Basis'!$C$40,IF(G3285&lt;60,'General Basis'!$C$41,IF(G3285&lt;65,'General Basis'!$C$42,'General Basis'!$C$43)))),IF(G3285&lt;11,'General Basis'!$B$39,IF(G3285&lt;18,'General Basis'!$B$40,IF(G3285&lt;26,'General Basis'!$B$41,IF(G3285&lt;31,'General Basis'!$B$42,IF(G3285&lt;36,'General Basis'!$B$43,IF(G3285&lt;41,'General Basis'!$B$44,IF(G3285&lt;46,'General Basis'!$B$45,IF(G3285&lt;51,'General Basis'!$B$46,IF(G3285&lt;56,'General Basis'!$B$47,IF(G3285&lt;60,'General Basis'!$B$48,IF(G3285&lt;65,'General Basis'!$B$49,'General Basis'!$B$50)))))))))))))</f>
        <v/>
      </c>
      <c r="BI3285" s="744" t="str">
        <f t="shared" si="1149"/>
        <v/>
      </c>
      <c r="BJ3285" s="747" t="str">
        <f t="shared" si="1156"/>
        <v/>
      </c>
      <c r="BK3285" s="498" t="str">
        <f t="shared" si="1150"/>
        <v/>
      </c>
      <c r="BL3285" s="498" t="str">
        <f t="shared" si="1151"/>
        <v/>
      </c>
    </row>
    <row r="3286" spans="1:64" x14ac:dyDescent="0.25">
      <c r="A3286" s="762">
        <f t="shared" si="1152"/>
        <v>3281</v>
      </c>
      <c r="B3286" s="229"/>
      <c r="C3286" s="223"/>
      <c r="D3286" s="224"/>
      <c r="E3286" s="225"/>
      <c r="F3286" s="1036" t="str">
        <f t="shared" si="1158"/>
        <v/>
      </c>
      <c r="G3286" s="1037" t="str">
        <f t="shared" si="1153"/>
        <v/>
      </c>
      <c r="H3286" s="225"/>
      <c r="I3286" s="1013"/>
      <c r="J3286" s="1013"/>
      <c r="K3286" s="1028"/>
      <c r="L3286" s="1035" t="str">
        <f t="shared" si="1157"/>
        <v/>
      </c>
      <c r="S3286" s="498"/>
      <c r="AJ3286" s="498"/>
      <c r="AM3286" s="498">
        <f t="shared" si="1138"/>
        <v>0</v>
      </c>
      <c r="AN3286" s="498">
        <f t="shared" si="1139"/>
        <v>0</v>
      </c>
      <c r="AO3286" s="498">
        <f t="shared" si="1140"/>
        <v>0</v>
      </c>
      <c r="AP3286" s="498">
        <f t="shared" si="1159"/>
        <v>0</v>
      </c>
      <c r="AQ3286" s="498">
        <f t="shared" si="1154"/>
        <v>0</v>
      </c>
      <c r="AU3286" s="498">
        <f t="shared" si="1141"/>
        <v>0</v>
      </c>
      <c r="AV3286" s="498">
        <f t="shared" si="1142"/>
        <v>0</v>
      </c>
      <c r="AW3286" s="498">
        <f t="shared" si="1143"/>
        <v>0</v>
      </c>
      <c r="AX3286" s="498">
        <f t="shared" si="1144"/>
        <v>0</v>
      </c>
      <c r="AY3286" s="498">
        <f t="shared" si="1145"/>
        <v>0</v>
      </c>
      <c r="BB3286" s="498" t="str">
        <f t="shared" si="1146"/>
        <v/>
      </c>
      <c r="BC3286" s="743" t="str">
        <f t="shared" si="1147"/>
        <v/>
      </c>
      <c r="BD3286" s="743" t="str">
        <f t="shared" si="1148"/>
        <v/>
      </c>
      <c r="BE3286" s="743" t="str">
        <f>IF(D3286="","",VLOOKUP(D3286,'General Basis'!$J$39:$K$46,2,0))</f>
        <v/>
      </c>
      <c r="BF3286" s="744" t="str">
        <f>IF(D3286="","",VLOOKUP(D3286,'General Basis'!$J$39:$L$46,3,0))</f>
        <v/>
      </c>
      <c r="BG3286" s="744" t="str">
        <f t="shared" si="1155"/>
        <v/>
      </c>
      <c r="BH3286" s="744" t="str">
        <f>IF(G3286="","",IF(BF3286="Abu Dhabi",IF(G3286&lt;18,'General Basis'!$C$39,IF(G3286&lt;41,'General Basis'!$C$40,IF(G3286&lt;60,'General Basis'!$C$41,IF(G3286&lt;65,'General Basis'!$C$42,'General Basis'!$C$43)))),IF(G3286&lt;11,'General Basis'!$B$39,IF(G3286&lt;18,'General Basis'!$B$40,IF(G3286&lt;26,'General Basis'!$B$41,IF(G3286&lt;31,'General Basis'!$B$42,IF(G3286&lt;36,'General Basis'!$B$43,IF(G3286&lt;41,'General Basis'!$B$44,IF(G3286&lt;46,'General Basis'!$B$45,IF(G3286&lt;51,'General Basis'!$B$46,IF(G3286&lt;56,'General Basis'!$B$47,IF(G3286&lt;60,'General Basis'!$B$48,IF(G3286&lt;65,'General Basis'!$B$49,'General Basis'!$B$50)))))))))))))</f>
        <v/>
      </c>
      <c r="BI3286" s="744" t="str">
        <f t="shared" si="1149"/>
        <v/>
      </c>
      <c r="BJ3286" s="747" t="str">
        <f t="shared" si="1156"/>
        <v/>
      </c>
      <c r="BK3286" s="498" t="str">
        <f t="shared" si="1150"/>
        <v/>
      </c>
      <c r="BL3286" s="498" t="str">
        <f t="shared" si="1151"/>
        <v/>
      </c>
    </row>
    <row r="3287" spans="1:64" x14ac:dyDescent="0.25">
      <c r="A3287" s="762">
        <f t="shared" si="1152"/>
        <v>3282</v>
      </c>
      <c r="B3287" s="229"/>
      <c r="C3287" s="223"/>
      <c r="D3287" s="224"/>
      <c r="E3287" s="225"/>
      <c r="F3287" s="1036" t="str">
        <f t="shared" si="1158"/>
        <v/>
      </c>
      <c r="G3287" s="1037" t="str">
        <f t="shared" si="1153"/>
        <v/>
      </c>
      <c r="H3287" s="225"/>
      <c r="I3287" s="1013"/>
      <c r="J3287" s="1013"/>
      <c r="K3287" s="1028"/>
      <c r="L3287" s="1035" t="str">
        <f t="shared" si="1157"/>
        <v/>
      </c>
      <c r="S3287" s="498"/>
      <c r="AJ3287" s="498"/>
      <c r="AM3287" s="498">
        <f t="shared" si="1138"/>
        <v>0</v>
      </c>
      <c r="AN3287" s="498">
        <f t="shared" si="1139"/>
        <v>0</v>
      </c>
      <c r="AO3287" s="498">
        <f t="shared" si="1140"/>
        <v>0</v>
      </c>
      <c r="AP3287" s="498">
        <f t="shared" si="1159"/>
        <v>0</v>
      </c>
      <c r="AQ3287" s="498">
        <f t="shared" si="1154"/>
        <v>0</v>
      </c>
      <c r="AU3287" s="498">
        <f t="shared" si="1141"/>
        <v>0</v>
      </c>
      <c r="AV3287" s="498">
        <f t="shared" si="1142"/>
        <v>0</v>
      </c>
      <c r="AW3287" s="498">
        <f t="shared" si="1143"/>
        <v>0</v>
      </c>
      <c r="AX3287" s="498">
        <f t="shared" si="1144"/>
        <v>0</v>
      </c>
      <c r="AY3287" s="498">
        <f t="shared" si="1145"/>
        <v>0</v>
      </c>
      <c r="BB3287" s="498" t="str">
        <f t="shared" si="1146"/>
        <v/>
      </c>
      <c r="BC3287" s="743" t="str">
        <f t="shared" si="1147"/>
        <v/>
      </c>
      <c r="BD3287" s="743" t="str">
        <f t="shared" si="1148"/>
        <v/>
      </c>
      <c r="BE3287" s="743" t="str">
        <f>IF(D3287="","",VLOOKUP(D3287,'General Basis'!$J$39:$K$46,2,0))</f>
        <v/>
      </c>
      <c r="BF3287" s="744" t="str">
        <f>IF(D3287="","",VLOOKUP(D3287,'General Basis'!$J$39:$L$46,3,0))</f>
        <v/>
      </c>
      <c r="BG3287" s="744" t="str">
        <f t="shared" si="1155"/>
        <v/>
      </c>
      <c r="BH3287" s="744" t="str">
        <f>IF(G3287="","",IF(BF3287="Abu Dhabi",IF(G3287&lt;18,'General Basis'!$C$39,IF(G3287&lt;41,'General Basis'!$C$40,IF(G3287&lt;60,'General Basis'!$C$41,IF(G3287&lt;65,'General Basis'!$C$42,'General Basis'!$C$43)))),IF(G3287&lt;11,'General Basis'!$B$39,IF(G3287&lt;18,'General Basis'!$B$40,IF(G3287&lt;26,'General Basis'!$B$41,IF(G3287&lt;31,'General Basis'!$B$42,IF(G3287&lt;36,'General Basis'!$B$43,IF(G3287&lt;41,'General Basis'!$B$44,IF(G3287&lt;46,'General Basis'!$B$45,IF(G3287&lt;51,'General Basis'!$B$46,IF(G3287&lt;56,'General Basis'!$B$47,IF(G3287&lt;60,'General Basis'!$B$48,IF(G3287&lt;65,'General Basis'!$B$49,'General Basis'!$B$50)))))))))))))</f>
        <v/>
      </c>
      <c r="BI3287" s="744" t="str">
        <f t="shared" si="1149"/>
        <v/>
      </c>
      <c r="BJ3287" s="747" t="str">
        <f t="shared" si="1156"/>
        <v/>
      </c>
      <c r="BK3287" s="498" t="str">
        <f t="shared" si="1150"/>
        <v/>
      </c>
      <c r="BL3287" s="498" t="str">
        <f t="shared" si="1151"/>
        <v/>
      </c>
    </row>
    <row r="3288" spans="1:64" x14ac:dyDescent="0.25">
      <c r="A3288" s="762">
        <f t="shared" si="1152"/>
        <v>3283</v>
      </c>
      <c r="B3288" s="229"/>
      <c r="C3288" s="223"/>
      <c r="D3288" s="224"/>
      <c r="E3288" s="225"/>
      <c r="F3288" s="1036" t="str">
        <f t="shared" si="1158"/>
        <v/>
      </c>
      <c r="G3288" s="1037" t="str">
        <f t="shared" si="1153"/>
        <v/>
      </c>
      <c r="H3288" s="225"/>
      <c r="I3288" s="1013"/>
      <c r="J3288" s="1013"/>
      <c r="K3288" s="1028"/>
      <c r="L3288" s="1035" t="str">
        <f t="shared" si="1157"/>
        <v/>
      </c>
      <c r="S3288" s="498"/>
      <c r="AJ3288" s="498"/>
      <c r="AM3288" s="498">
        <f t="shared" si="1138"/>
        <v>0</v>
      </c>
      <c r="AN3288" s="498">
        <f t="shared" si="1139"/>
        <v>0</v>
      </c>
      <c r="AO3288" s="498">
        <f t="shared" si="1140"/>
        <v>0</v>
      </c>
      <c r="AP3288" s="498">
        <f t="shared" si="1159"/>
        <v>0</v>
      </c>
      <c r="AQ3288" s="498">
        <f t="shared" si="1154"/>
        <v>0</v>
      </c>
      <c r="AU3288" s="498">
        <f t="shared" si="1141"/>
        <v>0</v>
      </c>
      <c r="AV3288" s="498">
        <f t="shared" si="1142"/>
        <v>0</v>
      </c>
      <c r="AW3288" s="498">
        <f t="shared" si="1143"/>
        <v>0</v>
      </c>
      <c r="AX3288" s="498">
        <f t="shared" si="1144"/>
        <v>0</v>
      </c>
      <c r="AY3288" s="498">
        <f t="shared" si="1145"/>
        <v>0</v>
      </c>
      <c r="BB3288" s="498" t="str">
        <f t="shared" si="1146"/>
        <v/>
      </c>
      <c r="BC3288" s="743" t="str">
        <f t="shared" si="1147"/>
        <v/>
      </c>
      <c r="BD3288" s="743" t="str">
        <f t="shared" si="1148"/>
        <v/>
      </c>
      <c r="BE3288" s="743" t="str">
        <f>IF(D3288="","",VLOOKUP(D3288,'General Basis'!$J$39:$K$46,2,0))</f>
        <v/>
      </c>
      <c r="BF3288" s="744" t="str">
        <f>IF(D3288="","",VLOOKUP(D3288,'General Basis'!$J$39:$L$46,3,0))</f>
        <v/>
      </c>
      <c r="BG3288" s="744" t="str">
        <f t="shared" si="1155"/>
        <v/>
      </c>
      <c r="BH3288" s="744" t="str">
        <f>IF(G3288="","",IF(BF3288="Abu Dhabi",IF(G3288&lt;18,'General Basis'!$C$39,IF(G3288&lt;41,'General Basis'!$C$40,IF(G3288&lt;60,'General Basis'!$C$41,IF(G3288&lt;65,'General Basis'!$C$42,'General Basis'!$C$43)))),IF(G3288&lt;11,'General Basis'!$B$39,IF(G3288&lt;18,'General Basis'!$B$40,IF(G3288&lt;26,'General Basis'!$B$41,IF(G3288&lt;31,'General Basis'!$B$42,IF(G3288&lt;36,'General Basis'!$B$43,IF(G3288&lt;41,'General Basis'!$B$44,IF(G3288&lt;46,'General Basis'!$B$45,IF(G3288&lt;51,'General Basis'!$B$46,IF(G3288&lt;56,'General Basis'!$B$47,IF(G3288&lt;60,'General Basis'!$B$48,IF(G3288&lt;65,'General Basis'!$B$49,'General Basis'!$B$50)))))))))))))</f>
        <v/>
      </c>
      <c r="BI3288" s="744" t="str">
        <f t="shared" si="1149"/>
        <v/>
      </c>
      <c r="BJ3288" s="747" t="str">
        <f t="shared" si="1156"/>
        <v/>
      </c>
      <c r="BK3288" s="498" t="str">
        <f t="shared" si="1150"/>
        <v/>
      </c>
      <c r="BL3288" s="498" t="str">
        <f t="shared" si="1151"/>
        <v/>
      </c>
    </row>
    <row r="3289" spans="1:64" x14ac:dyDescent="0.25">
      <c r="A3289" s="762">
        <f t="shared" si="1152"/>
        <v>3284</v>
      </c>
      <c r="B3289" s="229"/>
      <c r="C3289" s="223"/>
      <c r="D3289" s="224"/>
      <c r="E3289" s="225"/>
      <c r="F3289" s="1036" t="str">
        <f t="shared" si="1158"/>
        <v/>
      </c>
      <c r="G3289" s="1037" t="str">
        <f t="shared" si="1153"/>
        <v/>
      </c>
      <c r="H3289" s="225"/>
      <c r="I3289" s="1013"/>
      <c r="J3289" s="1013"/>
      <c r="K3289" s="1028"/>
      <c r="L3289" s="1035" t="str">
        <f t="shared" si="1157"/>
        <v/>
      </c>
      <c r="S3289" s="498"/>
      <c r="AJ3289" s="498"/>
      <c r="AM3289" s="498">
        <f t="shared" si="1138"/>
        <v>0</v>
      </c>
      <c r="AN3289" s="498">
        <f t="shared" si="1139"/>
        <v>0</v>
      </c>
      <c r="AO3289" s="498">
        <f t="shared" si="1140"/>
        <v>0</v>
      </c>
      <c r="AP3289" s="498">
        <f t="shared" si="1159"/>
        <v>0</v>
      </c>
      <c r="AQ3289" s="498">
        <f t="shared" si="1154"/>
        <v>0</v>
      </c>
      <c r="AU3289" s="498">
        <f t="shared" si="1141"/>
        <v>0</v>
      </c>
      <c r="AV3289" s="498">
        <f t="shared" si="1142"/>
        <v>0</v>
      </c>
      <c r="AW3289" s="498">
        <f t="shared" si="1143"/>
        <v>0</v>
      </c>
      <c r="AX3289" s="498">
        <f t="shared" si="1144"/>
        <v>0</v>
      </c>
      <c r="AY3289" s="498">
        <f t="shared" si="1145"/>
        <v>0</v>
      </c>
      <c r="BB3289" s="498" t="str">
        <f t="shared" si="1146"/>
        <v/>
      </c>
      <c r="BC3289" s="743" t="str">
        <f t="shared" si="1147"/>
        <v/>
      </c>
      <c r="BD3289" s="743" t="str">
        <f t="shared" si="1148"/>
        <v/>
      </c>
      <c r="BE3289" s="743" t="str">
        <f>IF(D3289="","",VLOOKUP(D3289,'General Basis'!$J$39:$K$46,2,0))</f>
        <v/>
      </c>
      <c r="BF3289" s="744" t="str">
        <f>IF(D3289="","",VLOOKUP(D3289,'General Basis'!$J$39:$L$46,3,0))</f>
        <v/>
      </c>
      <c r="BG3289" s="744" t="str">
        <f t="shared" si="1155"/>
        <v/>
      </c>
      <c r="BH3289" s="744" t="str">
        <f>IF(G3289="","",IF(BF3289="Abu Dhabi",IF(G3289&lt;18,'General Basis'!$C$39,IF(G3289&lt;41,'General Basis'!$C$40,IF(G3289&lt;60,'General Basis'!$C$41,IF(G3289&lt;65,'General Basis'!$C$42,'General Basis'!$C$43)))),IF(G3289&lt;11,'General Basis'!$B$39,IF(G3289&lt;18,'General Basis'!$B$40,IF(G3289&lt;26,'General Basis'!$B$41,IF(G3289&lt;31,'General Basis'!$B$42,IF(G3289&lt;36,'General Basis'!$B$43,IF(G3289&lt;41,'General Basis'!$B$44,IF(G3289&lt;46,'General Basis'!$B$45,IF(G3289&lt;51,'General Basis'!$B$46,IF(G3289&lt;56,'General Basis'!$B$47,IF(G3289&lt;60,'General Basis'!$B$48,IF(G3289&lt;65,'General Basis'!$B$49,'General Basis'!$B$50)))))))))))))</f>
        <v/>
      </c>
      <c r="BI3289" s="744" t="str">
        <f t="shared" si="1149"/>
        <v/>
      </c>
      <c r="BJ3289" s="747" t="str">
        <f t="shared" si="1156"/>
        <v/>
      </c>
      <c r="BK3289" s="498" t="str">
        <f t="shared" si="1150"/>
        <v/>
      </c>
      <c r="BL3289" s="498" t="str">
        <f t="shared" si="1151"/>
        <v/>
      </c>
    </row>
    <row r="3290" spans="1:64" x14ac:dyDescent="0.25">
      <c r="A3290" s="762">
        <f t="shared" si="1152"/>
        <v>3285</v>
      </c>
      <c r="B3290" s="229"/>
      <c r="C3290" s="223"/>
      <c r="D3290" s="224"/>
      <c r="E3290" s="225"/>
      <c r="F3290" s="1036" t="str">
        <f t="shared" si="1158"/>
        <v/>
      </c>
      <c r="G3290" s="1037" t="str">
        <f t="shared" si="1153"/>
        <v/>
      </c>
      <c r="H3290" s="225"/>
      <c r="I3290" s="1013"/>
      <c r="J3290" s="1013"/>
      <c r="K3290" s="1028"/>
      <c r="L3290" s="1035" t="str">
        <f t="shared" si="1157"/>
        <v/>
      </c>
      <c r="S3290" s="498"/>
      <c r="AJ3290" s="498"/>
      <c r="AM3290" s="498">
        <f t="shared" si="1138"/>
        <v>0</v>
      </c>
      <c r="AN3290" s="498">
        <f t="shared" si="1139"/>
        <v>0</v>
      </c>
      <c r="AO3290" s="498">
        <f t="shared" si="1140"/>
        <v>0</v>
      </c>
      <c r="AP3290" s="498">
        <f t="shared" si="1159"/>
        <v>0</v>
      </c>
      <c r="AQ3290" s="498">
        <f t="shared" si="1154"/>
        <v>0</v>
      </c>
      <c r="AU3290" s="498">
        <f t="shared" si="1141"/>
        <v>0</v>
      </c>
      <c r="AV3290" s="498">
        <f t="shared" si="1142"/>
        <v>0</v>
      </c>
      <c r="AW3290" s="498">
        <f t="shared" si="1143"/>
        <v>0</v>
      </c>
      <c r="AX3290" s="498">
        <f t="shared" si="1144"/>
        <v>0</v>
      </c>
      <c r="AY3290" s="498">
        <f t="shared" si="1145"/>
        <v>0</v>
      </c>
      <c r="BB3290" s="498" t="str">
        <f t="shared" si="1146"/>
        <v/>
      </c>
      <c r="BC3290" s="743" t="str">
        <f t="shared" si="1147"/>
        <v/>
      </c>
      <c r="BD3290" s="743" t="str">
        <f t="shared" si="1148"/>
        <v/>
      </c>
      <c r="BE3290" s="743" t="str">
        <f>IF(D3290="","",VLOOKUP(D3290,'General Basis'!$J$39:$K$46,2,0))</f>
        <v/>
      </c>
      <c r="BF3290" s="744" t="str">
        <f>IF(D3290="","",VLOOKUP(D3290,'General Basis'!$J$39:$L$46,3,0))</f>
        <v/>
      </c>
      <c r="BG3290" s="744" t="str">
        <f t="shared" si="1155"/>
        <v/>
      </c>
      <c r="BH3290" s="744" t="str">
        <f>IF(G3290="","",IF(BF3290="Abu Dhabi",IF(G3290&lt;18,'General Basis'!$C$39,IF(G3290&lt;41,'General Basis'!$C$40,IF(G3290&lt;60,'General Basis'!$C$41,IF(G3290&lt;65,'General Basis'!$C$42,'General Basis'!$C$43)))),IF(G3290&lt;11,'General Basis'!$B$39,IF(G3290&lt;18,'General Basis'!$B$40,IF(G3290&lt;26,'General Basis'!$B$41,IF(G3290&lt;31,'General Basis'!$B$42,IF(G3290&lt;36,'General Basis'!$B$43,IF(G3290&lt;41,'General Basis'!$B$44,IF(G3290&lt;46,'General Basis'!$B$45,IF(G3290&lt;51,'General Basis'!$B$46,IF(G3290&lt;56,'General Basis'!$B$47,IF(G3290&lt;60,'General Basis'!$B$48,IF(G3290&lt;65,'General Basis'!$B$49,'General Basis'!$B$50)))))))))))))</f>
        <v/>
      </c>
      <c r="BI3290" s="744" t="str">
        <f t="shared" si="1149"/>
        <v/>
      </c>
      <c r="BJ3290" s="747" t="str">
        <f t="shared" si="1156"/>
        <v/>
      </c>
      <c r="BK3290" s="498" t="str">
        <f t="shared" si="1150"/>
        <v/>
      </c>
      <c r="BL3290" s="498" t="str">
        <f t="shared" si="1151"/>
        <v/>
      </c>
    </row>
    <row r="3291" spans="1:64" x14ac:dyDescent="0.25">
      <c r="A3291" s="762">
        <f t="shared" si="1152"/>
        <v>3286</v>
      </c>
      <c r="B3291" s="229"/>
      <c r="C3291" s="223"/>
      <c r="D3291" s="224"/>
      <c r="E3291" s="225"/>
      <c r="F3291" s="1036" t="str">
        <f t="shared" si="1158"/>
        <v/>
      </c>
      <c r="G3291" s="1037" t="str">
        <f t="shared" si="1153"/>
        <v/>
      </c>
      <c r="H3291" s="225"/>
      <c r="I3291" s="1013"/>
      <c r="J3291" s="1013"/>
      <c r="K3291" s="1028"/>
      <c r="L3291" s="1035" t="str">
        <f t="shared" si="1157"/>
        <v/>
      </c>
      <c r="S3291" s="498"/>
      <c r="AJ3291" s="498"/>
      <c r="AM3291" s="498">
        <f t="shared" si="1138"/>
        <v>0</v>
      </c>
      <c r="AN3291" s="498">
        <f t="shared" si="1139"/>
        <v>0</v>
      </c>
      <c r="AO3291" s="498">
        <f t="shared" si="1140"/>
        <v>0</v>
      </c>
      <c r="AP3291" s="498">
        <f t="shared" si="1159"/>
        <v>0</v>
      </c>
      <c r="AQ3291" s="498">
        <f t="shared" si="1154"/>
        <v>0</v>
      </c>
      <c r="AU3291" s="498">
        <f t="shared" si="1141"/>
        <v>0</v>
      </c>
      <c r="AV3291" s="498">
        <f t="shared" si="1142"/>
        <v>0</v>
      </c>
      <c r="AW3291" s="498">
        <f t="shared" si="1143"/>
        <v>0</v>
      </c>
      <c r="AX3291" s="498">
        <f t="shared" si="1144"/>
        <v>0</v>
      </c>
      <c r="AY3291" s="498">
        <f t="shared" si="1145"/>
        <v>0</v>
      </c>
      <c r="BB3291" s="498" t="str">
        <f t="shared" si="1146"/>
        <v/>
      </c>
      <c r="BC3291" s="743" t="str">
        <f t="shared" si="1147"/>
        <v/>
      </c>
      <c r="BD3291" s="743" t="str">
        <f t="shared" si="1148"/>
        <v/>
      </c>
      <c r="BE3291" s="743" t="str">
        <f>IF(D3291="","",VLOOKUP(D3291,'General Basis'!$J$39:$K$46,2,0))</f>
        <v/>
      </c>
      <c r="BF3291" s="744" t="str">
        <f>IF(D3291="","",VLOOKUP(D3291,'General Basis'!$J$39:$L$46,3,0))</f>
        <v/>
      </c>
      <c r="BG3291" s="744" t="str">
        <f t="shared" si="1155"/>
        <v/>
      </c>
      <c r="BH3291" s="744" t="str">
        <f>IF(G3291="","",IF(BF3291="Abu Dhabi",IF(G3291&lt;18,'General Basis'!$C$39,IF(G3291&lt;41,'General Basis'!$C$40,IF(G3291&lt;60,'General Basis'!$C$41,IF(G3291&lt;65,'General Basis'!$C$42,'General Basis'!$C$43)))),IF(G3291&lt;11,'General Basis'!$B$39,IF(G3291&lt;18,'General Basis'!$B$40,IF(G3291&lt;26,'General Basis'!$B$41,IF(G3291&lt;31,'General Basis'!$B$42,IF(G3291&lt;36,'General Basis'!$B$43,IF(G3291&lt;41,'General Basis'!$B$44,IF(G3291&lt;46,'General Basis'!$B$45,IF(G3291&lt;51,'General Basis'!$B$46,IF(G3291&lt;56,'General Basis'!$B$47,IF(G3291&lt;60,'General Basis'!$B$48,IF(G3291&lt;65,'General Basis'!$B$49,'General Basis'!$B$50)))))))))))))</f>
        <v/>
      </c>
      <c r="BI3291" s="744" t="str">
        <f t="shared" si="1149"/>
        <v/>
      </c>
      <c r="BJ3291" s="747" t="str">
        <f t="shared" si="1156"/>
        <v/>
      </c>
      <c r="BK3291" s="498" t="str">
        <f t="shared" si="1150"/>
        <v/>
      </c>
      <c r="BL3291" s="498" t="str">
        <f t="shared" si="1151"/>
        <v/>
      </c>
    </row>
    <row r="3292" spans="1:64" x14ac:dyDescent="0.25">
      <c r="A3292" s="762">
        <f t="shared" si="1152"/>
        <v>3287</v>
      </c>
      <c r="B3292" s="229"/>
      <c r="C3292" s="223"/>
      <c r="D3292" s="224"/>
      <c r="E3292" s="225"/>
      <c r="F3292" s="1036" t="str">
        <f t="shared" si="1158"/>
        <v/>
      </c>
      <c r="G3292" s="1037" t="str">
        <f t="shared" si="1153"/>
        <v/>
      </c>
      <c r="H3292" s="225"/>
      <c r="I3292" s="1013"/>
      <c r="J3292" s="1013"/>
      <c r="K3292" s="1028"/>
      <c r="L3292" s="1035" t="str">
        <f t="shared" si="1157"/>
        <v/>
      </c>
      <c r="S3292" s="498"/>
      <c r="AJ3292" s="498"/>
      <c r="AM3292" s="498">
        <f t="shared" si="1138"/>
        <v>0</v>
      </c>
      <c r="AN3292" s="498">
        <f t="shared" si="1139"/>
        <v>0</v>
      </c>
      <c r="AO3292" s="498">
        <f t="shared" si="1140"/>
        <v>0</v>
      </c>
      <c r="AP3292" s="498">
        <f t="shared" si="1159"/>
        <v>0</v>
      </c>
      <c r="AQ3292" s="498">
        <f t="shared" si="1154"/>
        <v>0</v>
      </c>
      <c r="AU3292" s="498">
        <f t="shared" si="1141"/>
        <v>0</v>
      </c>
      <c r="AV3292" s="498">
        <f t="shared" si="1142"/>
        <v>0</v>
      </c>
      <c r="AW3292" s="498">
        <f t="shared" si="1143"/>
        <v>0</v>
      </c>
      <c r="AX3292" s="498">
        <f t="shared" si="1144"/>
        <v>0</v>
      </c>
      <c r="AY3292" s="498">
        <f t="shared" si="1145"/>
        <v>0</v>
      </c>
      <c r="BB3292" s="498" t="str">
        <f t="shared" si="1146"/>
        <v/>
      </c>
      <c r="BC3292" s="743" t="str">
        <f t="shared" si="1147"/>
        <v/>
      </c>
      <c r="BD3292" s="743" t="str">
        <f t="shared" si="1148"/>
        <v/>
      </c>
      <c r="BE3292" s="743" t="str">
        <f>IF(D3292="","",VLOOKUP(D3292,'General Basis'!$J$39:$K$46,2,0))</f>
        <v/>
      </c>
      <c r="BF3292" s="744" t="str">
        <f>IF(D3292="","",VLOOKUP(D3292,'General Basis'!$J$39:$L$46,3,0))</f>
        <v/>
      </c>
      <c r="BG3292" s="744" t="str">
        <f t="shared" si="1155"/>
        <v/>
      </c>
      <c r="BH3292" s="744" t="str">
        <f>IF(G3292="","",IF(BF3292="Abu Dhabi",IF(G3292&lt;18,'General Basis'!$C$39,IF(G3292&lt;41,'General Basis'!$C$40,IF(G3292&lt;60,'General Basis'!$C$41,IF(G3292&lt;65,'General Basis'!$C$42,'General Basis'!$C$43)))),IF(G3292&lt;11,'General Basis'!$B$39,IF(G3292&lt;18,'General Basis'!$B$40,IF(G3292&lt;26,'General Basis'!$B$41,IF(G3292&lt;31,'General Basis'!$B$42,IF(G3292&lt;36,'General Basis'!$B$43,IF(G3292&lt;41,'General Basis'!$B$44,IF(G3292&lt;46,'General Basis'!$B$45,IF(G3292&lt;51,'General Basis'!$B$46,IF(G3292&lt;56,'General Basis'!$B$47,IF(G3292&lt;60,'General Basis'!$B$48,IF(G3292&lt;65,'General Basis'!$B$49,'General Basis'!$B$50)))))))))))))</f>
        <v/>
      </c>
      <c r="BI3292" s="744" t="str">
        <f t="shared" si="1149"/>
        <v/>
      </c>
      <c r="BJ3292" s="747" t="str">
        <f t="shared" si="1156"/>
        <v/>
      </c>
      <c r="BK3292" s="498" t="str">
        <f t="shared" si="1150"/>
        <v/>
      </c>
      <c r="BL3292" s="498" t="str">
        <f t="shared" si="1151"/>
        <v/>
      </c>
    </row>
    <row r="3293" spans="1:64" x14ac:dyDescent="0.25">
      <c r="A3293" s="762">
        <f t="shared" si="1152"/>
        <v>3288</v>
      </c>
      <c r="B3293" s="229"/>
      <c r="C3293" s="223"/>
      <c r="D3293" s="224"/>
      <c r="E3293" s="225"/>
      <c r="F3293" s="1036" t="str">
        <f t="shared" si="1158"/>
        <v/>
      </c>
      <c r="G3293" s="1037" t="str">
        <f t="shared" si="1153"/>
        <v/>
      </c>
      <c r="H3293" s="225"/>
      <c r="I3293" s="1013"/>
      <c r="J3293" s="1013"/>
      <c r="K3293" s="1028"/>
      <c r="L3293" s="1035" t="str">
        <f t="shared" si="1157"/>
        <v/>
      </c>
      <c r="S3293" s="498"/>
      <c r="AJ3293" s="498"/>
      <c r="AM3293" s="498">
        <f t="shared" si="1138"/>
        <v>0</v>
      </c>
      <c r="AN3293" s="498">
        <f t="shared" si="1139"/>
        <v>0</v>
      </c>
      <c r="AO3293" s="498">
        <f t="shared" si="1140"/>
        <v>0</v>
      </c>
      <c r="AP3293" s="498">
        <f t="shared" si="1159"/>
        <v>0</v>
      </c>
      <c r="AQ3293" s="498">
        <f t="shared" si="1154"/>
        <v>0</v>
      </c>
      <c r="AU3293" s="498">
        <f t="shared" si="1141"/>
        <v>0</v>
      </c>
      <c r="AV3293" s="498">
        <f t="shared" si="1142"/>
        <v>0</v>
      </c>
      <c r="AW3293" s="498">
        <f t="shared" si="1143"/>
        <v>0</v>
      </c>
      <c r="AX3293" s="498">
        <f t="shared" si="1144"/>
        <v>0</v>
      </c>
      <c r="AY3293" s="498">
        <f t="shared" si="1145"/>
        <v>0</v>
      </c>
      <c r="BB3293" s="498" t="str">
        <f t="shared" si="1146"/>
        <v/>
      </c>
      <c r="BC3293" s="743" t="str">
        <f t="shared" si="1147"/>
        <v/>
      </c>
      <c r="BD3293" s="743" t="str">
        <f t="shared" si="1148"/>
        <v/>
      </c>
      <c r="BE3293" s="743" t="str">
        <f>IF(D3293="","",VLOOKUP(D3293,'General Basis'!$J$39:$K$46,2,0))</f>
        <v/>
      </c>
      <c r="BF3293" s="744" t="str">
        <f>IF(D3293="","",VLOOKUP(D3293,'General Basis'!$J$39:$L$46,3,0))</f>
        <v/>
      </c>
      <c r="BG3293" s="744" t="str">
        <f t="shared" si="1155"/>
        <v/>
      </c>
      <c r="BH3293" s="744" t="str">
        <f>IF(G3293="","",IF(BF3293="Abu Dhabi",IF(G3293&lt;18,'General Basis'!$C$39,IF(G3293&lt;41,'General Basis'!$C$40,IF(G3293&lt;60,'General Basis'!$C$41,IF(G3293&lt;65,'General Basis'!$C$42,'General Basis'!$C$43)))),IF(G3293&lt;11,'General Basis'!$B$39,IF(G3293&lt;18,'General Basis'!$B$40,IF(G3293&lt;26,'General Basis'!$B$41,IF(G3293&lt;31,'General Basis'!$B$42,IF(G3293&lt;36,'General Basis'!$B$43,IF(G3293&lt;41,'General Basis'!$B$44,IF(G3293&lt;46,'General Basis'!$B$45,IF(G3293&lt;51,'General Basis'!$B$46,IF(G3293&lt;56,'General Basis'!$B$47,IF(G3293&lt;60,'General Basis'!$B$48,IF(G3293&lt;65,'General Basis'!$B$49,'General Basis'!$B$50)))))))))))))</f>
        <v/>
      </c>
      <c r="BI3293" s="744" t="str">
        <f t="shared" si="1149"/>
        <v/>
      </c>
      <c r="BJ3293" s="747" t="str">
        <f t="shared" si="1156"/>
        <v/>
      </c>
      <c r="BK3293" s="498" t="str">
        <f t="shared" si="1150"/>
        <v/>
      </c>
      <c r="BL3293" s="498" t="str">
        <f t="shared" si="1151"/>
        <v/>
      </c>
    </row>
    <row r="3294" spans="1:64" x14ac:dyDescent="0.25">
      <c r="A3294" s="762">
        <f t="shared" si="1152"/>
        <v>3289</v>
      </c>
      <c r="B3294" s="229"/>
      <c r="C3294" s="223"/>
      <c r="D3294" s="224"/>
      <c r="E3294" s="225"/>
      <c r="F3294" s="1036" t="str">
        <f t="shared" si="1158"/>
        <v/>
      </c>
      <c r="G3294" s="1037" t="str">
        <f t="shared" si="1153"/>
        <v/>
      </c>
      <c r="H3294" s="225"/>
      <c r="I3294" s="1013"/>
      <c r="J3294" s="1013"/>
      <c r="K3294" s="1028"/>
      <c r="L3294" s="1035" t="str">
        <f t="shared" si="1157"/>
        <v/>
      </c>
      <c r="S3294" s="498"/>
      <c r="AJ3294" s="498"/>
      <c r="AM3294" s="498">
        <f t="shared" si="1138"/>
        <v>0</v>
      </c>
      <c r="AN3294" s="498">
        <f t="shared" si="1139"/>
        <v>0</v>
      </c>
      <c r="AO3294" s="498">
        <f t="shared" si="1140"/>
        <v>0</v>
      </c>
      <c r="AP3294" s="498">
        <f t="shared" si="1159"/>
        <v>0</v>
      </c>
      <c r="AQ3294" s="498">
        <f t="shared" si="1154"/>
        <v>0</v>
      </c>
      <c r="AU3294" s="498">
        <f t="shared" si="1141"/>
        <v>0</v>
      </c>
      <c r="AV3294" s="498">
        <f t="shared" si="1142"/>
        <v>0</v>
      </c>
      <c r="AW3294" s="498">
        <f t="shared" si="1143"/>
        <v>0</v>
      </c>
      <c r="AX3294" s="498">
        <f t="shared" si="1144"/>
        <v>0</v>
      </c>
      <c r="AY3294" s="498">
        <f t="shared" si="1145"/>
        <v>0</v>
      </c>
      <c r="BB3294" s="498" t="str">
        <f t="shared" si="1146"/>
        <v/>
      </c>
      <c r="BC3294" s="743" t="str">
        <f t="shared" si="1147"/>
        <v/>
      </c>
      <c r="BD3294" s="743" t="str">
        <f t="shared" si="1148"/>
        <v/>
      </c>
      <c r="BE3294" s="743" t="str">
        <f>IF(D3294="","",VLOOKUP(D3294,'General Basis'!$J$39:$K$46,2,0))</f>
        <v/>
      </c>
      <c r="BF3294" s="744" t="str">
        <f>IF(D3294="","",VLOOKUP(D3294,'General Basis'!$J$39:$L$46,3,0))</f>
        <v/>
      </c>
      <c r="BG3294" s="744" t="str">
        <f t="shared" si="1155"/>
        <v/>
      </c>
      <c r="BH3294" s="744" t="str">
        <f>IF(G3294="","",IF(BF3294="Abu Dhabi",IF(G3294&lt;18,'General Basis'!$C$39,IF(G3294&lt;41,'General Basis'!$C$40,IF(G3294&lt;60,'General Basis'!$C$41,IF(G3294&lt;65,'General Basis'!$C$42,'General Basis'!$C$43)))),IF(G3294&lt;11,'General Basis'!$B$39,IF(G3294&lt;18,'General Basis'!$B$40,IF(G3294&lt;26,'General Basis'!$B$41,IF(G3294&lt;31,'General Basis'!$B$42,IF(G3294&lt;36,'General Basis'!$B$43,IF(G3294&lt;41,'General Basis'!$B$44,IF(G3294&lt;46,'General Basis'!$B$45,IF(G3294&lt;51,'General Basis'!$B$46,IF(G3294&lt;56,'General Basis'!$B$47,IF(G3294&lt;60,'General Basis'!$B$48,IF(G3294&lt;65,'General Basis'!$B$49,'General Basis'!$B$50)))))))))))))</f>
        <v/>
      </c>
      <c r="BI3294" s="744" t="str">
        <f t="shared" si="1149"/>
        <v/>
      </c>
      <c r="BJ3294" s="747" t="str">
        <f t="shared" si="1156"/>
        <v/>
      </c>
      <c r="BK3294" s="498" t="str">
        <f t="shared" si="1150"/>
        <v/>
      </c>
      <c r="BL3294" s="498" t="str">
        <f t="shared" si="1151"/>
        <v/>
      </c>
    </row>
    <row r="3295" spans="1:64" x14ac:dyDescent="0.25">
      <c r="A3295" s="762">
        <f t="shared" si="1152"/>
        <v>3290</v>
      </c>
      <c r="B3295" s="229"/>
      <c r="C3295" s="223"/>
      <c r="D3295" s="224"/>
      <c r="E3295" s="225"/>
      <c r="F3295" s="1036" t="str">
        <f t="shared" si="1158"/>
        <v/>
      </c>
      <c r="G3295" s="1037" t="str">
        <f t="shared" si="1153"/>
        <v/>
      </c>
      <c r="H3295" s="225"/>
      <c r="I3295" s="1013"/>
      <c r="J3295" s="1013"/>
      <c r="K3295" s="1028"/>
      <c r="L3295" s="1035" t="str">
        <f t="shared" si="1157"/>
        <v/>
      </c>
      <c r="S3295" s="498"/>
      <c r="AJ3295" s="498"/>
      <c r="AM3295" s="498">
        <f t="shared" si="1138"/>
        <v>0</v>
      </c>
      <c r="AN3295" s="498">
        <f t="shared" si="1139"/>
        <v>0</v>
      </c>
      <c r="AO3295" s="498">
        <f t="shared" si="1140"/>
        <v>0</v>
      </c>
      <c r="AP3295" s="498">
        <f t="shared" si="1159"/>
        <v>0</v>
      </c>
      <c r="AQ3295" s="498">
        <f t="shared" si="1154"/>
        <v>0</v>
      </c>
      <c r="AU3295" s="498">
        <f t="shared" si="1141"/>
        <v>0</v>
      </c>
      <c r="AV3295" s="498">
        <f t="shared" si="1142"/>
        <v>0</v>
      </c>
      <c r="AW3295" s="498">
        <f t="shared" si="1143"/>
        <v>0</v>
      </c>
      <c r="AX3295" s="498">
        <f t="shared" si="1144"/>
        <v>0</v>
      </c>
      <c r="AY3295" s="498">
        <f t="shared" si="1145"/>
        <v>0</v>
      </c>
      <c r="BB3295" s="498" t="str">
        <f t="shared" si="1146"/>
        <v/>
      </c>
      <c r="BC3295" s="743" t="str">
        <f t="shared" si="1147"/>
        <v/>
      </c>
      <c r="BD3295" s="743" t="str">
        <f t="shared" si="1148"/>
        <v/>
      </c>
      <c r="BE3295" s="743" t="str">
        <f>IF(D3295="","",VLOOKUP(D3295,'General Basis'!$J$39:$K$46,2,0))</f>
        <v/>
      </c>
      <c r="BF3295" s="744" t="str">
        <f>IF(D3295="","",VLOOKUP(D3295,'General Basis'!$J$39:$L$46,3,0))</f>
        <v/>
      </c>
      <c r="BG3295" s="744" t="str">
        <f t="shared" si="1155"/>
        <v/>
      </c>
      <c r="BH3295" s="744" t="str">
        <f>IF(G3295="","",IF(BF3295="Abu Dhabi",IF(G3295&lt;18,'General Basis'!$C$39,IF(G3295&lt;41,'General Basis'!$C$40,IF(G3295&lt;60,'General Basis'!$C$41,IF(G3295&lt;65,'General Basis'!$C$42,'General Basis'!$C$43)))),IF(G3295&lt;11,'General Basis'!$B$39,IF(G3295&lt;18,'General Basis'!$B$40,IF(G3295&lt;26,'General Basis'!$B$41,IF(G3295&lt;31,'General Basis'!$B$42,IF(G3295&lt;36,'General Basis'!$B$43,IF(G3295&lt;41,'General Basis'!$B$44,IF(G3295&lt;46,'General Basis'!$B$45,IF(G3295&lt;51,'General Basis'!$B$46,IF(G3295&lt;56,'General Basis'!$B$47,IF(G3295&lt;60,'General Basis'!$B$48,IF(G3295&lt;65,'General Basis'!$B$49,'General Basis'!$B$50)))))))))))))</f>
        <v/>
      </c>
      <c r="BI3295" s="744" t="str">
        <f t="shared" si="1149"/>
        <v/>
      </c>
      <c r="BJ3295" s="747" t="str">
        <f t="shared" si="1156"/>
        <v/>
      </c>
      <c r="BK3295" s="498" t="str">
        <f t="shared" si="1150"/>
        <v/>
      </c>
      <c r="BL3295" s="498" t="str">
        <f t="shared" si="1151"/>
        <v/>
      </c>
    </row>
    <row r="3296" spans="1:64" x14ac:dyDescent="0.25">
      <c r="A3296" s="762">
        <f t="shared" si="1152"/>
        <v>3291</v>
      </c>
      <c r="B3296" s="229"/>
      <c r="C3296" s="223"/>
      <c r="D3296" s="224"/>
      <c r="E3296" s="225"/>
      <c r="F3296" s="1036" t="str">
        <f t="shared" si="1158"/>
        <v/>
      </c>
      <c r="G3296" s="1037" t="str">
        <f t="shared" si="1153"/>
        <v/>
      </c>
      <c r="H3296" s="225"/>
      <c r="I3296" s="1013"/>
      <c r="J3296" s="1013"/>
      <c r="K3296" s="1028"/>
      <c r="L3296" s="1035" t="str">
        <f t="shared" si="1157"/>
        <v/>
      </c>
      <c r="S3296" s="498"/>
      <c r="AJ3296" s="498"/>
      <c r="AM3296" s="498">
        <f t="shared" si="1138"/>
        <v>0</v>
      </c>
      <c r="AN3296" s="498">
        <f t="shared" si="1139"/>
        <v>0</v>
      </c>
      <c r="AO3296" s="498">
        <f t="shared" si="1140"/>
        <v>0</v>
      </c>
      <c r="AP3296" s="498">
        <f t="shared" si="1159"/>
        <v>0</v>
      </c>
      <c r="AQ3296" s="498">
        <f t="shared" si="1154"/>
        <v>0</v>
      </c>
      <c r="AU3296" s="498">
        <f t="shared" si="1141"/>
        <v>0</v>
      </c>
      <c r="AV3296" s="498">
        <f t="shared" si="1142"/>
        <v>0</v>
      </c>
      <c r="AW3296" s="498">
        <f t="shared" si="1143"/>
        <v>0</v>
      </c>
      <c r="AX3296" s="498">
        <f t="shared" si="1144"/>
        <v>0</v>
      </c>
      <c r="AY3296" s="498">
        <f t="shared" si="1145"/>
        <v>0</v>
      </c>
      <c r="BB3296" s="498" t="str">
        <f t="shared" si="1146"/>
        <v/>
      </c>
      <c r="BC3296" s="743" t="str">
        <f t="shared" si="1147"/>
        <v/>
      </c>
      <c r="BD3296" s="743" t="str">
        <f t="shared" si="1148"/>
        <v/>
      </c>
      <c r="BE3296" s="743" t="str">
        <f>IF(D3296="","",VLOOKUP(D3296,'General Basis'!$J$39:$K$46,2,0))</f>
        <v/>
      </c>
      <c r="BF3296" s="744" t="str">
        <f>IF(D3296="","",VLOOKUP(D3296,'General Basis'!$J$39:$L$46,3,0))</f>
        <v/>
      </c>
      <c r="BG3296" s="744" t="str">
        <f t="shared" si="1155"/>
        <v/>
      </c>
      <c r="BH3296" s="744" t="str">
        <f>IF(G3296="","",IF(BF3296="Abu Dhabi",IF(G3296&lt;18,'General Basis'!$C$39,IF(G3296&lt;41,'General Basis'!$C$40,IF(G3296&lt;60,'General Basis'!$C$41,IF(G3296&lt;65,'General Basis'!$C$42,'General Basis'!$C$43)))),IF(G3296&lt;11,'General Basis'!$B$39,IF(G3296&lt;18,'General Basis'!$B$40,IF(G3296&lt;26,'General Basis'!$B$41,IF(G3296&lt;31,'General Basis'!$B$42,IF(G3296&lt;36,'General Basis'!$B$43,IF(G3296&lt;41,'General Basis'!$B$44,IF(G3296&lt;46,'General Basis'!$B$45,IF(G3296&lt;51,'General Basis'!$B$46,IF(G3296&lt;56,'General Basis'!$B$47,IF(G3296&lt;60,'General Basis'!$B$48,IF(G3296&lt;65,'General Basis'!$B$49,'General Basis'!$B$50)))))))))))))</f>
        <v/>
      </c>
      <c r="BI3296" s="744" t="str">
        <f t="shared" si="1149"/>
        <v/>
      </c>
      <c r="BJ3296" s="747" t="str">
        <f t="shared" si="1156"/>
        <v/>
      </c>
      <c r="BK3296" s="498" t="str">
        <f t="shared" si="1150"/>
        <v/>
      </c>
      <c r="BL3296" s="498" t="str">
        <f t="shared" si="1151"/>
        <v/>
      </c>
    </row>
    <row r="3297" spans="1:64" x14ac:dyDescent="0.25">
      <c r="A3297" s="762">
        <f t="shared" si="1152"/>
        <v>3292</v>
      </c>
      <c r="B3297" s="229"/>
      <c r="C3297" s="223"/>
      <c r="D3297" s="224"/>
      <c r="E3297" s="225"/>
      <c r="F3297" s="1036" t="str">
        <f t="shared" si="1158"/>
        <v/>
      </c>
      <c r="G3297" s="1037" t="str">
        <f t="shared" si="1153"/>
        <v/>
      </c>
      <c r="H3297" s="225"/>
      <c r="I3297" s="1013"/>
      <c r="J3297" s="1013"/>
      <c r="K3297" s="1028"/>
      <c r="L3297" s="1035" t="str">
        <f t="shared" si="1157"/>
        <v/>
      </c>
      <c r="S3297" s="498"/>
      <c r="AJ3297" s="498"/>
      <c r="AM3297" s="498">
        <f t="shared" si="1138"/>
        <v>0</v>
      </c>
      <c r="AN3297" s="498">
        <f t="shared" si="1139"/>
        <v>0</v>
      </c>
      <c r="AO3297" s="498">
        <f t="shared" si="1140"/>
        <v>0</v>
      </c>
      <c r="AP3297" s="498">
        <f t="shared" si="1159"/>
        <v>0</v>
      </c>
      <c r="AQ3297" s="498">
        <f t="shared" si="1154"/>
        <v>0</v>
      </c>
      <c r="AU3297" s="498">
        <f t="shared" si="1141"/>
        <v>0</v>
      </c>
      <c r="AV3297" s="498">
        <f t="shared" si="1142"/>
        <v>0</v>
      </c>
      <c r="AW3297" s="498">
        <f t="shared" si="1143"/>
        <v>0</v>
      </c>
      <c r="AX3297" s="498">
        <f t="shared" si="1144"/>
        <v>0</v>
      </c>
      <c r="AY3297" s="498">
        <f t="shared" si="1145"/>
        <v>0</v>
      </c>
      <c r="BB3297" s="498" t="str">
        <f t="shared" si="1146"/>
        <v/>
      </c>
      <c r="BC3297" s="743" t="str">
        <f t="shared" si="1147"/>
        <v/>
      </c>
      <c r="BD3297" s="743" t="str">
        <f t="shared" si="1148"/>
        <v/>
      </c>
      <c r="BE3297" s="743" t="str">
        <f>IF(D3297="","",VLOOKUP(D3297,'General Basis'!$J$39:$K$46,2,0))</f>
        <v/>
      </c>
      <c r="BF3297" s="744" t="str">
        <f>IF(D3297="","",VLOOKUP(D3297,'General Basis'!$J$39:$L$46,3,0))</f>
        <v/>
      </c>
      <c r="BG3297" s="744" t="str">
        <f t="shared" si="1155"/>
        <v/>
      </c>
      <c r="BH3297" s="744" t="str">
        <f>IF(G3297="","",IF(BF3297="Abu Dhabi",IF(G3297&lt;18,'General Basis'!$C$39,IF(G3297&lt;41,'General Basis'!$C$40,IF(G3297&lt;60,'General Basis'!$C$41,IF(G3297&lt;65,'General Basis'!$C$42,'General Basis'!$C$43)))),IF(G3297&lt;11,'General Basis'!$B$39,IF(G3297&lt;18,'General Basis'!$B$40,IF(G3297&lt;26,'General Basis'!$B$41,IF(G3297&lt;31,'General Basis'!$B$42,IF(G3297&lt;36,'General Basis'!$B$43,IF(G3297&lt;41,'General Basis'!$B$44,IF(G3297&lt;46,'General Basis'!$B$45,IF(G3297&lt;51,'General Basis'!$B$46,IF(G3297&lt;56,'General Basis'!$B$47,IF(G3297&lt;60,'General Basis'!$B$48,IF(G3297&lt;65,'General Basis'!$B$49,'General Basis'!$B$50)))))))))))))</f>
        <v/>
      </c>
      <c r="BI3297" s="744" t="str">
        <f t="shared" si="1149"/>
        <v/>
      </c>
      <c r="BJ3297" s="747" t="str">
        <f t="shared" si="1156"/>
        <v/>
      </c>
      <c r="BK3297" s="498" t="str">
        <f t="shared" si="1150"/>
        <v/>
      </c>
      <c r="BL3297" s="498" t="str">
        <f t="shared" si="1151"/>
        <v/>
      </c>
    </row>
    <row r="3298" spans="1:64" x14ac:dyDescent="0.25">
      <c r="A3298" s="762">
        <f t="shared" si="1152"/>
        <v>3293</v>
      </c>
      <c r="B3298" s="229"/>
      <c r="C3298" s="223"/>
      <c r="D3298" s="224"/>
      <c r="E3298" s="225"/>
      <c r="F3298" s="1036" t="str">
        <f t="shared" si="1158"/>
        <v/>
      </c>
      <c r="G3298" s="1037" t="str">
        <f t="shared" si="1153"/>
        <v/>
      </c>
      <c r="H3298" s="225"/>
      <c r="I3298" s="1013"/>
      <c r="J3298" s="1013"/>
      <c r="K3298" s="1028"/>
      <c r="L3298" s="1035" t="str">
        <f t="shared" si="1157"/>
        <v/>
      </c>
      <c r="S3298" s="498"/>
      <c r="AJ3298" s="498"/>
      <c r="AM3298" s="498">
        <f t="shared" si="1138"/>
        <v>0</v>
      </c>
      <c r="AN3298" s="498">
        <f t="shared" si="1139"/>
        <v>0</v>
      </c>
      <c r="AO3298" s="498">
        <f t="shared" si="1140"/>
        <v>0</v>
      </c>
      <c r="AP3298" s="498">
        <f t="shared" si="1159"/>
        <v>0</v>
      </c>
      <c r="AQ3298" s="498">
        <f t="shared" si="1154"/>
        <v>0</v>
      </c>
      <c r="AU3298" s="498">
        <f t="shared" si="1141"/>
        <v>0</v>
      </c>
      <c r="AV3298" s="498">
        <f t="shared" si="1142"/>
        <v>0</v>
      </c>
      <c r="AW3298" s="498">
        <f t="shared" si="1143"/>
        <v>0</v>
      </c>
      <c r="AX3298" s="498">
        <f t="shared" si="1144"/>
        <v>0</v>
      </c>
      <c r="AY3298" s="498">
        <f t="shared" si="1145"/>
        <v>0</v>
      </c>
      <c r="BB3298" s="498" t="str">
        <f t="shared" si="1146"/>
        <v/>
      </c>
      <c r="BC3298" s="743" t="str">
        <f t="shared" si="1147"/>
        <v/>
      </c>
      <c r="BD3298" s="743" t="str">
        <f t="shared" si="1148"/>
        <v/>
      </c>
      <c r="BE3298" s="743" t="str">
        <f>IF(D3298="","",VLOOKUP(D3298,'General Basis'!$J$39:$K$46,2,0))</f>
        <v/>
      </c>
      <c r="BF3298" s="744" t="str">
        <f>IF(D3298="","",VLOOKUP(D3298,'General Basis'!$J$39:$L$46,3,0))</f>
        <v/>
      </c>
      <c r="BG3298" s="744" t="str">
        <f t="shared" si="1155"/>
        <v/>
      </c>
      <c r="BH3298" s="744" t="str">
        <f>IF(G3298="","",IF(BF3298="Abu Dhabi",IF(G3298&lt;18,'General Basis'!$C$39,IF(G3298&lt;41,'General Basis'!$C$40,IF(G3298&lt;60,'General Basis'!$C$41,IF(G3298&lt;65,'General Basis'!$C$42,'General Basis'!$C$43)))),IF(G3298&lt;11,'General Basis'!$B$39,IF(G3298&lt;18,'General Basis'!$B$40,IF(G3298&lt;26,'General Basis'!$B$41,IF(G3298&lt;31,'General Basis'!$B$42,IF(G3298&lt;36,'General Basis'!$B$43,IF(G3298&lt;41,'General Basis'!$B$44,IF(G3298&lt;46,'General Basis'!$B$45,IF(G3298&lt;51,'General Basis'!$B$46,IF(G3298&lt;56,'General Basis'!$B$47,IF(G3298&lt;60,'General Basis'!$B$48,IF(G3298&lt;65,'General Basis'!$B$49,'General Basis'!$B$50)))))))))))))</f>
        <v/>
      </c>
      <c r="BI3298" s="744" t="str">
        <f t="shared" si="1149"/>
        <v/>
      </c>
      <c r="BJ3298" s="747" t="str">
        <f t="shared" si="1156"/>
        <v/>
      </c>
      <c r="BK3298" s="498" t="str">
        <f t="shared" si="1150"/>
        <v/>
      </c>
      <c r="BL3298" s="498" t="str">
        <f t="shared" si="1151"/>
        <v/>
      </c>
    </row>
    <row r="3299" spans="1:64" x14ac:dyDescent="0.25">
      <c r="A3299" s="762">
        <f t="shared" si="1152"/>
        <v>3294</v>
      </c>
      <c r="B3299" s="229"/>
      <c r="C3299" s="223"/>
      <c r="D3299" s="224"/>
      <c r="E3299" s="225"/>
      <c r="F3299" s="1036" t="str">
        <f t="shared" si="1158"/>
        <v/>
      </c>
      <c r="G3299" s="1037" t="str">
        <f t="shared" si="1153"/>
        <v/>
      </c>
      <c r="H3299" s="225"/>
      <c r="I3299" s="1013"/>
      <c r="J3299" s="1013"/>
      <c r="K3299" s="1028"/>
      <c r="L3299" s="1035" t="str">
        <f t="shared" si="1157"/>
        <v/>
      </c>
      <c r="S3299" s="498"/>
      <c r="AJ3299" s="498"/>
      <c r="AM3299" s="498">
        <f t="shared" si="1138"/>
        <v>0</v>
      </c>
      <c r="AN3299" s="498">
        <f t="shared" si="1139"/>
        <v>0</v>
      </c>
      <c r="AO3299" s="498">
        <f t="shared" si="1140"/>
        <v>0</v>
      </c>
      <c r="AP3299" s="498">
        <f t="shared" si="1159"/>
        <v>0</v>
      </c>
      <c r="AQ3299" s="498">
        <f t="shared" si="1154"/>
        <v>0</v>
      </c>
      <c r="AU3299" s="498">
        <f t="shared" si="1141"/>
        <v>0</v>
      </c>
      <c r="AV3299" s="498">
        <f t="shared" si="1142"/>
        <v>0</v>
      </c>
      <c r="AW3299" s="498">
        <f t="shared" si="1143"/>
        <v>0</v>
      </c>
      <c r="AX3299" s="498">
        <f t="shared" si="1144"/>
        <v>0</v>
      </c>
      <c r="AY3299" s="498">
        <f t="shared" si="1145"/>
        <v>0</v>
      </c>
      <c r="BB3299" s="498" t="str">
        <f t="shared" si="1146"/>
        <v/>
      </c>
      <c r="BC3299" s="743" t="str">
        <f t="shared" si="1147"/>
        <v/>
      </c>
      <c r="BD3299" s="743" t="str">
        <f t="shared" si="1148"/>
        <v/>
      </c>
      <c r="BE3299" s="743" t="str">
        <f>IF(D3299="","",VLOOKUP(D3299,'General Basis'!$J$39:$K$46,2,0))</f>
        <v/>
      </c>
      <c r="BF3299" s="744" t="str">
        <f>IF(D3299="","",VLOOKUP(D3299,'General Basis'!$J$39:$L$46,3,0))</f>
        <v/>
      </c>
      <c r="BG3299" s="744" t="str">
        <f t="shared" si="1155"/>
        <v/>
      </c>
      <c r="BH3299" s="744" t="str">
        <f>IF(G3299="","",IF(BF3299="Abu Dhabi",IF(G3299&lt;18,'General Basis'!$C$39,IF(G3299&lt;41,'General Basis'!$C$40,IF(G3299&lt;60,'General Basis'!$C$41,IF(G3299&lt;65,'General Basis'!$C$42,'General Basis'!$C$43)))),IF(G3299&lt;11,'General Basis'!$B$39,IF(G3299&lt;18,'General Basis'!$B$40,IF(G3299&lt;26,'General Basis'!$B$41,IF(G3299&lt;31,'General Basis'!$B$42,IF(G3299&lt;36,'General Basis'!$B$43,IF(G3299&lt;41,'General Basis'!$B$44,IF(G3299&lt;46,'General Basis'!$B$45,IF(G3299&lt;51,'General Basis'!$B$46,IF(G3299&lt;56,'General Basis'!$B$47,IF(G3299&lt;60,'General Basis'!$B$48,IF(G3299&lt;65,'General Basis'!$B$49,'General Basis'!$B$50)))))))))))))</f>
        <v/>
      </c>
      <c r="BI3299" s="744" t="str">
        <f t="shared" si="1149"/>
        <v/>
      </c>
      <c r="BJ3299" s="747" t="str">
        <f t="shared" si="1156"/>
        <v/>
      </c>
      <c r="BK3299" s="498" t="str">
        <f t="shared" si="1150"/>
        <v/>
      </c>
      <c r="BL3299" s="498" t="str">
        <f t="shared" si="1151"/>
        <v/>
      </c>
    </row>
    <row r="3300" spans="1:64" x14ac:dyDescent="0.25">
      <c r="A3300" s="762">
        <f t="shared" si="1152"/>
        <v>3295</v>
      </c>
      <c r="B3300" s="229"/>
      <c r="C3300" s="223"/>
      <c r="D3300" s="224"/>
      <c r="E3300" s="225"/>
      <c r="F3300" s="1036" t="str">
        <f t="shared" si="1158"/>
        <v/>
      </c>
      <c r="G3300" s="1037" t="str">
        <f t="shared" si="1153"/>
        <v/>
      </c>
      <c r="H3300" s="225"/>
      <c r="I3300" s="1013"/>
      <c r="J3300" s="1013"/>
      <c r="K3300" s="1028"/>
      <c r="L3300" s="1035" t="str">
        <f t="shared" si="1157"/>
        <v/>
      </c>
      <c r="S3300" s="498"/>
      <c r="AJ3300" s="498"/>
      <c r="AM3300" s="498">
        <f t="shared" si="1138"/>
        <v>0</v>
      </c>
      <c r="AN3300" s="498">
        <f t="shared" si="1139"/>
        <v>0</v>
      </c>
      <c r="AO3300" s="498">
        <f t="shared" si="1140"/>
        <v>0</v>
      </c>
      <c r="AP3300" s="498">
        <f t="shared" si="1159"/>
        <v>0</v>
      </c>
      <c r="AQ3300" s="498">
        <f t="shared" si="1154"/>
        <v>0</v>
      </c>
      <c r="AU3300" s="498">
        <f t="shared" si="1141"/>
        <v>0</v>
      </c>
      <c r="AV3300" s="498">
        <f t="shared" si="1142"/>
        <v>0</v>
      </c>
      <c r="AW3300" s="498">
        <f t="shared" si="1143"/>
        <v>0</v>
      </c>
      <c r="AX3300" s="498">
        <f t="shared" si="1144"/>
        <v>0</v>
      </c>
      <c r="AY3300" s="498">
        <f t="shared" si="1145"/>
        <v>0</v>
      </c>
      <c r="BB3300" s="498" t="str">
        <f t="shared" si="1146"/>
        <v/>
      </c>
      <c r="BC3300" s="743" t="str">
        <f t="shared" si="1147"/>
        <v/>
      </c>
      <c r="BD3300" s="743" t="str">
        <f t="shared" si="1148"/>
        <v/>
      </c>
      <c r="BE3300" s="743" t="str">
        <f>IF(D3300="","",VLOOKUP(D3300,'General Basis'!$J$39:$K$46,2,0))</f>
        <v/>
      </c>
      <c r="BF3300" s="744" t="str">
        <f>IF(D3300="","",VLOOKUP(D3300,'General Basis'!$J$39:$L$46,3,0))</f>
        <v/>
      </c>
      <c r="BG3300" s="744" t="str">
        <f t="shared" si="1155"/>
        <v/>
      </c>
      <c r="BH3300" s="744" t="str">
        <f>IF(G3300="","",IF(BF3300="Abu Dhabi",IF(G3300&lt;18,'General Basis'!$C$39,IF(G3300&lt;41,'General Basis'!$C$40,IF(G3300&lt;60,'General Basis'!$C$41,IF(G3300&lt;65,'General Basis'!$C$42,'General Basis'!$C$43)))),IF(G3300&lt;11,'General Basis'!$B$39,IF(G3300&lt;18,'General Basis'!$B$40,IF(G3300&lt;26,'General Basis'!$B$41,IF(G3300&lt;31,'General Basis'!$B$42,IF(G3300&lt;36,'General Basis'!$B$43,IF(G3300&lt;41,'General Basis'!$B$44,IF(G3300&lt;46,'General Basis'!$B$45,IF(G3300&lt;51,'General Basis'!$B$46,IF(G3300&lt;56,'General Basis'!$B$47,IF(G3300&lt;60,'General Basis'!$B$48,IF(G3300&lt;65,'General Basis'!$B$49,'General Basis'!$B$50)))))))))))))</f>
        <v/>
      </c>
      <c r="BI3300" s="744" t="str">
        <f t="shared" si="1149"/>
        <v/>
      </c>
      <c r="BJ3300" s="747" t="str">
        <f t="shared" si="1156"/>
        <v/>
      </c>
      <c r="BK3300" s="498" t="str">
        <f t="shared" si="1150"/>
        <v/>
      </c>
      <c r="BL3300" s="498" t="str">
        <f t="shared" si="1151"/>
        <v/>
      </c>
    </row>
    <row r="3301" spans="1:64" x14ac:dyDescent="0.25">
      <c r="A3301" s="762">
        <f t="shared" si="1152"/>
        <v>3296</v>
      </c>
      <c r="B3301" s="229"/>
      <c r="C3301" s="223"/>
      <c r="D3301" s="224"/>
      <c r="E3301" s="225"/>
      <c r="F3301" s="1036" t="str">
        <f t="shared" si="1158"/>
        <v/>
      </c>
      <c r="G3301" s="1037" t="str">
        <f t="shared" si="1153"/>
        <v/>
      </c>
      <c r="H3301" s="225"/>
      <c r="I3301" s="1013"/>
      <c r="J3301" s="1013"/>
      <c r="K3301" s="1028"/>
      <c r="L3301" s="1035" t="str">
        <f t="shared" si="1157"/>
        <v/>
      </c>
      <c r="S3301" s="498"/>
      <c r="AJ3301" s="498"/>
      <c r="AM3301" s="498">
        <f t="shared" si="1138"/>
        <v>0</v>
      </c>
      <c r="AN3301" s="498">
        <f t="shared" si="1139"/>
        <v>0</v>
      </c>
      <c r="AO3301" s="498">
        <f t="shared" si="1140"/>
        <v>0</v>
      </c>
      <c r="AP3301" s="498">
        <f t="shared" si="1159"/>
        <v>0</v>
      </c>
      <c r="AQ3301" s="498">
        <f t="shared" si="1154"/>
        <v>0</v>
      </c>
      <c r="AU3301" s="498">
        <f t="shared" si="1141"/>
        <v>0</v>
      </c>
      <c r="AV3301" s="498">
        <f t="shared" si="1142"/>
        <v>0</v>
      </c>
      <c r="AW3301" s="498">
        <f t="shared" si="1143"/>
        <v>0</v>
      </c>
      <c r="AX3301" s="498">
        <f t="shared" si="1144"/>
        <v>0</v>
      </c>
      <c r="AY3301" s="498">
        <f t="shared" si="1145"/>
        <v>0</v>
      </c>
      <c r="BB3301" s="498" t="str">
        <f t="shared" si="1146"/>
        <v/>
      </c>
      <c r="BC3301" s="743" t="str">
        <f t="shared" si="1147"/>
        <v/>
      </c>
      <c r="BD3301" s="743" t="str">
        <f t="shared" si="1148"/>
        <v/>
      </c>
      <c r="BE3301" s="743" t="str">
        <f>IF(D3301="","",VLOOKUP(D3301,'General Basis'!$J$39:$K$46,2,0))</f>
        <v/>
      </c>
      <c r="BF3301" s="744" t="str">
        <f>IF(D3301="","",VLOOKUP(D3301,'General Basis'!$J$39:$L$46,3,0))</f>
        <v/>
      </c>
      <c r="BG3301" s="744" t="str">
        <f t="shared" si="1155"/>
        <v/>
      </c>
      <c r="BH3301" s="744" t="str">
        <f>IF(G3301="","",IF(BF3301="Abu Dhabi",IF(G3301&lt;18,'General Basis'!$C$39,IF(G3301&lt;41,'General Basis'!$C$40,IF(G3301&lt;60,'General Basis'!$C$41,IF(G3301&lt;65,'General Basis'!$C$42,'General Basis'!$C$43)))),IF(G3301&lt;11,'General Basis'!$B$39,IF(G3301&lt;18,'General Basis'!$B$40,IF(G3301&lt;26,'General Basis'!$B$41,IF(G3301&lt;31,'General Basis'!$B$42,IF(G3301&lt;36,'General Basis'!$B$43,IF(G3301&lt;41,'General Basis'!$B$44,IF(G3301&lt;46,'General Basis'!$B$45,IF(G3301&lt;51,'General Basis'!$B$46,IF(G3301&lt;56,'General Basis'!$B$47,IF(G3301&lt;60,'General Basis'!$B$48,IF(G3301&lt;65,'General Basis'!$B$49,'General Basis'!$B$50)))))))))))))</f>
        <v/>
      </c>
      <c r="BI3301" s="744" t="str">
        <f t="shared" si="1149"/>
        <v/>
      </c>
      <c r="BJ3301" s="747" t="str">
        <f t="shared" si="1156"/>
        <v/>
      </c>
      <c r="BK3301" s="498" t="str">
        <f t="shared" si="1150"/>
        <v/>
      </c>
      <c r="BL3301" s="498" t="str">
        <f t="shared" si="1151"/>
        <v/>
      </c>
    </row>
    <row r="3302" spans="1:64" x14ac:dyDescent="0.25">
      <c r="A3302" s="762">
        <f t="shared" si="1152"/>
        <v>3297</v>
      </c>
      <c r="B3302" s="229"/>
      <c r="C3302" s="223"/>
      <c r="D3302" s="224"/>
      <c r="E3302" s="225"/>
      <c r="F3302" s="1036" t="str">
        <f t="shared" si="1158"/>
        <v/>
      </c>
      <c r="G3302" s="1037" t="str">
        <f t="shared" si="1153"/>
        <v/>
      </c>
      <c r="H3302" s="225"/>
      <c r="I3302" s="1013"/>
      <c r="J3302" s="1013"/>
      <c r="K3302" s="1028"/>
      <c r="L3302" s="1035" t="str">
        <f t="shared" si="1157"/>
        <v/>
      </c>
      <c r="S3302" s="498"/>
      <c r="AJ3302" s="498"/>
      <c r="AM3302" s="498">
        <f t="shared" si="1138"/>
        <v>0</v>
      </c>
      <c r="AN3302" s="498">
        <f t="shared" si="1139"/>
        <v>0</v>
      </c>
      <c r="AO3302" s="498">
        <f t="shared" si="1140"/>
        <v>0</v>
      </c>
      <c r="AP3302" s="498">
        <f t="shared" si="1159"/>
        <v>0</v>
      </c>
      <c r="AQ3302" s="498">
        <f t="shared" si="1154"/>
        <v>0</v>
      </c>
      <c r="AU3302" s="498">
        <f t="shared" si="1141"/>
        <v>0</v>
      </c>
      <c r="AV3302" s="498">
        <f t="shared" si="1142"/>
        <v>0</v>
      </c>
      <c r="AW3302" s="498">
        <f t="shared" si="1143"/>
        <v>0</v>
      </c>
      <c r="AX3302" s="498">
        <f t="shared" si="1144"/>
        <v>0</v>
      </c>
      <c r="AY3302" s="498">
        <f t="shared" si="1145"/>
        <v>0</v>
      </c>
      <c r="BB3302" s="498" t="str">
        <f t="shared" si="1146"/>
        <v/>
      </c>
      <c r="BC3302" s="743" t="str">
        <f t="shared" si="1147"/>
        <v/>
      </c>
      <c r="BD3302" s="743" t="str">
        <f t="shared" si="1148"/>
        <v/>
      </c>
      <c r="BE3302" s="743" t="str">
        <f>IF(D3302="","",VLOOKUP(D3302,'General Basis'!$J$39:$K$46,2,0))</f>
        <v/>
      </c>
      <c r="BF3302" s="744" t="str">
        <f>IF(D3302="","",VLOOKUP(D3302,'General Basis'!$J$39:$L$46,3,0))</f>
        <v/>
      </c>
      <c r="BG3302" s="744" t="str">
        <f t="shared" si="1155"/>
        <v/>
      </c>
      <c r="BH3302" s="744" t="str">
        <f>IF(G3302="","",IF(BF3302="Abu Dhabi",IF(G3302&lt;18,'General Basis'!$C$39,IF(G3302&lt;41,'General Basis'!$C$40,IF(G3302&lt;60,'General Basis'!$C$41,IF(G3302&lt;65,'General Basis'!$C$42,'General Basis'!$C$43)))),IF(G3302&lt;11,'General Basis'!$B$39,IF(G3302&lt;18,'General Basis'!$B$40,IF(G3302&lt;26,'General Basis'!$B$41,IF(G3302&lt;31,'General Basis'!$B$42,IF(G3302&lt;36,'General Basis'!$B$43,IF(G3302&lt;41,'General Basis'!$B$44,IF(G3302&lt;46,'General Basis'!$B$45,IF(G3302&lt;51,'General Basis'!$B$46,IF(G3302&lt;56,'General Basis'!$B$47,IF(G3302&lt;60,'General Basis'!$B$48,IF(G3302&lt;65,'General Basis'!$B$49,'General Basis'!$B$50)))))))))))))</f>
        <v/>
      </c>
      <c r="BI3302" s="744" t="str">
        <f t="shared" si="1149"/>
        <v/>
      </c>
      <c r="BJ3302" s="747" t="str">
        <f t="shared" si="1156"/>
        <v/>
      </c>
      <c r="BK3302" s="498" t="str">
        <f t="shared" si="1150"/>
        <v/>
      </c>
      <c r="BL3302" s="498" t="str">
        <f t="shared" si="1151"/>
        <v/>
      </c>
    </row>
    <row r="3303" spans="1:64" x14ac:dyDescent="0.25">
      <c r="A3303" s="762">
        <f t="shared" si="1152"/>
        <v>3298</v>
      </c>
      <c r="B3303" s="229"/>
      <c r="C3303" s="223"/>
      <c r="D3303" s="224"/>
      <c r="E3303" s="225"/>
      <c r="F3303" s="1036" t="str">
        <f t="shared" si="1158"/>
        <v/>
      </c>
      <c r="G3303" s="1037" t="str">
        <f t="shared" si="1153"/>
        <v/>
      </c>
      <c r="H3303" s="225"/>
      <c r="I3303" s="1013"/>
      <c r="J3303" s="1013"/>
      <c r="K3303" s="1028"/>
      <c r="L3303" s="1035" t="str">
        <f t="shared" si="1157"/>
        <v/>
      </c>
      <c r="S3303" s="498"/>
      <c r="AJ3303" s="498"/>
      <c r="AM3303" s="498">
        <f t="shared" si="1138"/>
        <v>0</v>
      </c>
      <c r="AN3303" s="498">
        <f t="shared" si="1139"/>
        <v>0</v>
      </c>
      <c r="AO3303" s="498">
        <f t="shared" si="1140"/>
        <v>0</v>
      </c>
      <c r="AP3303" s="498">
        <f t="shared" si="1159"/>
        <v>0</v>
      </c>
      <c r="AQ3303" s="498">
        <f t="shared" si="1154"/>
        <v>0</v>
      </c>
      <c r="AU3303" s="498">
        <f t="shared" si="1141"/>
        <v>0</v>
      </c>
      <c r="AV3303" s="498">
        <f t="shared" si="1142"/>
        <v>0</v>
      </c>
      <c r="AW3303" s="498">
        <f t="shared" si="1143"/>
        <v>0</v>
      </c>
      <c r="AX3303" s="498">
        <f t="shared" si="1144"/>
        <v>0</v>
      </c>
      <c r="AY3303" s="498">
        <f t="shared" si="1145"/>
        <v>0</v>
      </c>
      <c r="BB3303" s="498" t="str">
        <f t="shared" si="1146"/>
        <v/>
      </c>
      <c r="BC3303" s="743" t="str">
        <f t="shared" si="1147"/>
        <v/>
      </c>
      <c r="BD3303" s="743" t="str">
        <f t="shared" si="1148"/>
        <v/>
      </c>
      <c r="BE3303" s="743" t="str">
        <f>IF(D3303="","",VLOOKUP(D3303,'General Basis'!$J$39:$K$46,2,0))</f>
        <v/>
      </c>
      <c r="BF3303" s="744" t="str">
        <f>IF(D3303="","",VLOOKUP(D3303,'General Basis'!$J$39:$L$46,3,0))</f>
        <v/>
      </c>
      <c r="BG3303" s="744" t="str">
        <f t="shared" si="1155"/>
        <v/>
      </c>
      <c r="BH3303" s="744" t="str">
        <f>IF(G3303="","",IF(BF3303="Abu Dhabi",IF(G3303&lt;18,'General Basis'!$C$39,IF(G3303&lt;41,'General Basis'!$C$40,IF(G3303&lt;60,'General Basis'!$C$41,IF(G3303&lt;65,'General Basis'!$C$42,'General Basis'!$C$43)))),IF(G3303&lt;11,'General Basis'!$B$39,IF(G3303&lt;18,'General Basis'!$B$40,IF(G3303&lt;26,'General Basis'!$B$41,IF(G3303&lt;31,'General Basis'!$B$42,IF(G3303&lt;36,'General Basis'!$B$43,IF(G3303&lt;41,'General Basis'!$B$44,IF(G3303&lt;46,'General Basis'!$B$45,IF(G3303&lt;51,'General Basis'!$B$46,IF(G3303&lt;56,'General Basis'!$B$47,IF(G3303&lt;60,'General Basis'!$B$48,IF(G3303&lt;65,'General Basis'!$B$49,'General Basis'!$B$50)))))))))))))</f>
        <v/>
      </c>
      <c r="BI3303" s="744" t="str">
        <f t="shared" si="1149"/>
        <v/>
      </c>
      <c r="BJ3303" s="747" t="str">
        <f t="shared" si="1156"/>
        <v/>
      </c>
      <c r="BK3303" s="498" t="str">
        <f t="shared" si="1150"/>
        <v/>
      </c>
      <c r="BL3303" s="498" t="str">
        <f t="shared" si="1151"/>
        <v/>
      </c>
    </row>
    <row r="3304" spans="1:64" x14ac:dyDescent="0.25">
      <c r="A3304" s="762">
        <f t="shared" si="1152"/>
        <v>3299</v>
      </c>
      <c r="B3304" s="229"/>
      <c r="C3304" s="223"/>
      <c r="D3304" s="224"/>
      <c r="E3304" s="225"/>
      <c r="F3304" s="1036" t="str">
        <f t="shared" si="1158"/>
        <v/>
      </c>
      <c r="G3304" s="1037" t="str">
        <f t="shared" si="1153"/>
        <v/>
      </c>
      <c r="H3304" s="225"/>
      <c r="I3304" s="1013"/>
      <c r="J3304" s="1013"/>
      <c r="K3304" s="1028"/>
      <c r="L3304" s="1035" t="str">
        <f t="shared" si="1157"/>
        <v/>
      </c>
      <c r="S3304" s="498"/>
      <c r="AJ3304" s="498"/>
      <c r="AM3304" s="498">
        <f t="shared" si="1138"/>
        <v>0</v>
      </c>
      <c r="AN3304" s="498">
        <f t="shared" si="1139"/>
        <v>0</v>
      </c>
      <c r="AO3304" s="498">
        <f t="shared" si="1140"/>
        <v>0</v>
      </c>
      <c r="AP3304" s="498">
        <f t="shared" si="1159"/>
        <v>0</v>
      </c>
      <c r="AQ3304" s="498">
        <f t="shared" si="1154"/>
        <v>0</v>
      </c>
      <c r="AU3304" s="498">
        <f t="shared" si="1141"/>
        <v>0</v>
      </c>
      <c r="AV3304" s="498">
        <f t="shared" si="1142"/>
        <v>0</v>
      </c>
      <c r="AW3304" s="498">
        <f t="shared" si="1143"/>
        <v>0</v>
      </c>
      <c r="AX3304" s="498">
        <f t="shared" si="1144"/>
        <v>0</v>
      </c>
      <c r="AY3304" s="498">
        <f t="shared" si="1145"/>
        <v>0</v>
      </c>
      <c r="BB3304" s="498" t="str">
        <f t="shared" si="1146"/>
        <v/>
      </c>
      <c r="BC3304" s="743" t="str">
        <f t="shared" si="1147"/>
        <v/>
      </c>
      <c r="BD3304" s="743" t="str">
        <f t="shared" si="1148"/>
        <v/>
      </c>
      <c r="BE3304" s="743" t="str">
        <f>IF(D3304="","",VLOOKUP(D3304,'General Basis'!$J$39:$K$46,2,0))</f>
        <v/>
      </c>
      <c r="BF3304" s="744" t="str">
        <f>IF(D3304="","",VLOOKUP(D3304,'General Basis'!$J$39:$L$46,3,0))</f>
        <v/>
      </c>
      <c r="BG3304" s="744" t="str">
        <f t="shared" si="1155"/>
        <v/>
      </c>
      <c r="BH3304" s="744" t="str">
        <f>IF(G3304="","",IF(BF3304="Abu Dhabi",IF(G3304&lt;18,'General Basis'!$C$39,IF(G3304&lt;41,'General Basis'!$C$40,IF(G3304&lt;60,'General Basis'!$C$41,IF(G3304&lt;65,'General Basis'!$C$42,'General Basis'!$C$43)))),IF(G3304&lt;11,'General Basis'!$B$39,IF(G3304&lt;18,'General Basis'!$B$40,IF(G3304&lt;26,'General Basis'!$B$41,IF(G3304&lt;31,'General Basis'!$B$42,IF(G3304&lt;36,'General Basis'!$B$43,IF(G3304&lt;41,'General Basis'!$B$44,IF(G3304&lt;46,'General Basis'!$B$45,IF(G3304&lt;51,'General Basis'!$B$46,IF(G3304&lt;56,'General Basis'!$B$47,IF(G3304&lt;60,'General Basis'!$B$48,IF(G3304&lt;65,'General Basis'!$B$49,'General Basis'!$B$50)))))))))))))</f>
        <v/>
      </c>
      <c r="BI3304" s="744" t="str">
        <f t="shared" si="1149"/>
        <v/>
      </c>
      <c r="BJ3304" s="747" t="str">
        <f t="shared" si="1156"/>
        <v/>
      </c>
      <c r="BK3304" s="498" t="str">
        <f t="shared" si="1150"/>
        <v/>
      </c>
      <c r="BL3304" s="498" t="str">
        <f t="shared" si="1151"/>
        <v/>
      </c>
    </row>
    <row r="3305" spans="1:64" x14ac:dyDescent="0.25">
      <c r="A3305" s="762">
        <f t="shared" si="1152"/>
        <v>3300</v>
      </c>
      <c r="B3305" s="229"/>
      <c r="C3305" s="223"/>
      <c r="D3305" s="224"/>
      <c r="E3305" s="225"/>
      <c r="F3305" s="1036" t="str">
        <f t="shared" si="1158"/>
        <v/>
      </c>
      <c r="G3305" s="1037" t="str">
        <f t="shared" si="1153"/>
        <v/>
      </c>
      <c r="H3305" s="225"/>
      <c r="I3305" s="1013"/>
      <c r="J3305" s="1013"/>
      <c r="K3305" s="1028"/>
      <c r="L3305" s="1035" t="str">
        <f t="shared" si="1157"/>
        <v/>
      </c>
      <c r="S3305" s="498"/>
      <c r="AJ3305" s="498"/>
      <c r="AM3305" s="498">
        <f t="shared" si="1138"/>
        <v>0</v>
      </c>
      <c r="AN3305" s="498">
        <f t="shared" si="1139"/>
        <v>0</v>
      </c>
      <c r="AO3305" s="498">
        <f t="shared" si="1140"/>
        <v>0</v>
      </c>
      <c r="AP3305" s="498">
        <f t="shared" si="1159"/>
        <v>0</v>
      </c>
      <c r="AQ3305" s="498">
        <f t="shared" si="1154"/>
        <v>0</v>
      </c>
      <c r="AU3305" s="498">
        <f t="shared" si="1141"/>
        <v>0</v>
      </c>
      <c r="AV3305" s="498">
        <f t="shared" si="1142"/>
        <v>0</v>
      </c>
      <c r="AW3305" s="498">
        <f t="shared" si="1143"/>
        <v>0</v>
      </c>
      <c r="AX3305" s="498">
        <f t="shared" si="1144"/>
        <v>0</v>
      </c>
      <c r="AY3305" s="498">
        <f t="shared" si="1145"/>
        <v>0</v>
      </c>
      <c r="BB3305" s="498" t="str">
        <f t="shared" si="1146"/>
        <v/>
      </c>
      <c r="BC3305" s="743" t="str">
        <f t="shared" si="1147"/>
        <v/>
      </c>
      <c r="BD3305" s="743" t="str">
        <f t="shared" si="1148"/>
        <v/>
      </c>
      <c r="BE3305" s="743" t="str">
        <f>IF(D3305="","",VLOOKUP(D3305,'General Basis'!$J$39:$K$46,2,0))</f>
        <v/>
      </c>
      <c r="BF3305" s="744" t="str">
        <f>IF(D3305="","",VLOOKUP(D3305,'General Basis'!$J$39:$L$46,3,0))</f>
        <v/>
      </c>
      <c r="BG3305" s="744" t="str">
        <f t="shared" si="1155"/>
        <v/>
      </c>
      <c r="BH3305" s="744" t="str">
        <f>IF(G3305="","",IF(BF3305="Abu Dhabi",IF(G3305&lt;18,'General Basis'!$C$39,IF(G3305&lt;41,'General Basis'!$C$40,IF(G3305&lt;60,'General Basis'!$C$41,IF(G3305&lt;65,'General Basis'!$C$42,'General Basis'!$C$43)))),IF(G3305&lt;11,'General Basis'!$B$39,IF(G3305&lt;18,'General Basis'!$B$40,IF(G3305&lt;26,'General Basis'!$B$41,IF(G3305&lt;31,'General Basis'!$B$42,IF(G3305&lt;36,'General Basis'!$B$43,IF(G3305&lt;41,'General Basis'!$B$44,IF(G3305&lt;46,'General Basis'!$B$45,IF(G3305&lt;51,'General Basis'!$B$46,IF(G3305&lt;56,'General Basis'!$B$47,IF(G3305&lt;60,'General Basis'!$B$48,IF(G3305&lt;65,'General Basis'!$B$49,'General Basis'!$B$50)))))))))))))</f>
        <v/>
      </c>
      <c r="BI3305" s="744" t="str">
        <f t="shared" si="1149"/>
        <v/>
      </c>
      <c r="BJ3305" s="747" t="str">
        <f t="shared" si="1156"/>
        <v/>
      </c>
      <c r="BK3305" s="498" t="str">
        <f t="shared" si="1150"/>
        <v/>
      </c>
      <c r="BL3305" s="498" t="str">
        <f t="shared" si="1151"/>
        <v/>
      </c>
    </row>
    <row r="3306" spans="1:64" x14ac:dyDescent="0.25">
      <c r="A3306" s="762">
        <f t="shared" si="1152"/>
        <v>3301</v>
      </c>
      <c r="B3306" s="229"/>
      <c r="C3306" s="223"/>
      <c r="D3306" s="224"/>
      <c r="E3306" s="225"/>
      <c r="F3306" s="1036" t="str">
        <f t="shared" si="1158"/>
        <v/>
      </c>
      <c r="G3306" s="1037" t="str">
        <f t="shared" si="1153"/>
        <v/>
      </c>
      <c r="H3306" s="225"/>
      <c r="I3306" s="1013"/>
      <c r="J3306" s="1013"/>
      <c r="K3306" s="1028"/>
      <c r="L3306" s="1035" t="str">
        <f t="shared" si="1157"/>
        <v/>
      </c>
      <c r="S3306" s="498"/>
      <c r="AJ3306" s="498"/>
      <c r="AM3306" s="498">
        <f t="shared" si="1138"/>
        <v>0</v>
      </c>
      <c r="AN3306" s="498">
        <f t="shared" si="1139"/>
        <v>0</v>
      </c>
      <c r="AO3306" s="498">
        <f t="shared" si="1140"/>
        <v>0</v>
      </c>
      <c r="AP3306" s="498">
        <f t="shared" si="1159"/>
        <v>0</v>
      </c>
      <c r="AQ3306" s="498">
        <f t="shared" si="1154"/>
        <v>0</v>
      </c>
      <c r="AU3306" s="498">
        <f t="shared" si="1141"/>
        <v>0</v>
      </c>
      <c r="AV3306" s="498">
        <f t="shared" si="1142"/>
        <v>0</v>
      </c>
      <c r="AW3306" s="498">
        <f t="shared" si="1143"/>
        <v>0</v>
      </c>
      <c r="AX3306" s="498">
        <f t="shared" si="1144"/>
        <v>0</v>
      </c>
      <c r="AY3306" s="498">
        <f t="shared" si="1145"/>
        <v>0</v>
      </c>
      <c r="BB3306" s="498" t="str">
        <f t="shared" si="1146"/>
        <v/>
      </c>
      <c r="BC3306" s="743" t="str">
        <f t="shared" si="1147"/>
        <v/>
      </c>
      <c r="BD3306" s="743" t="str">
        <f t="shared" si="1148"/>
        <v/>
      </c>
      <c r="BE3306" s="743" t="str">
        <f>IF(D3306="","",VLOOKUP(D3306,'General Basis'!$J$39:$K$46,2,0))</f>
        <v/>
      </c>
      <c r="BF3306" s="744" t="str">
        <f>IF(D3306="","",VLOOKUP(D3306,'General Basis'!$J$39:$L$46,3,0))</f>
        <v/>
      </c>
      <c r="BG3306" s="744" t="str">
        <f t="shared" si="1155"/>
        <v/>
      </c>
      <c r="BH3306" s="744" t="str">
        <f>IF(G3306="","",IF(BF3306="Abu Dhabi",IF(G3306&lt;18,'General Basis'!$C$39,IF(G3306&lt;41,'General Basis'!$C$40,IF(G3306&lt;60,'General Basis'!$C$41,IF(G3306&lt;65,'General Basis'!$C$42,'General Basis'!$C$43)))),IF(G3306&lt;11,'General Basis'!$B$39,IF(G3306&lt;18,'General Basis'!$B$40,IF(G3306&lt;26,'General Basis'!$B$41,IF(G3306&lt;31,'General Basis'!$B$42,IF(G3306&lt;36,'General Basis'!$B$43,IF(G3306&lt;41,'General Basis'!$B$44,IF(G3306&lt;46,'General Basis'!$B$45,IF(G3306&lt;51,'General Basis'!$B$46,IF(G3306&lt;56,'General Basis'!$B$47,IF(G3306&lt;60,'General Basis'!$B$48,IF(G3306&lt;65,'General Basis'!$B$49,'General Basis'!$B$50)))))))))))))</f>
        <v/>
      </c>
      <c r="BI3306" s="744" t="str">
        <f t="shared" si="1149"/>
        <v/>
      </c>
      <c r="BJ3306" s="747" t="str">
        <f t="shared" si="1156"/>
        <v/>
      </c>
      <c r="BK3306" s="498" t="str">
        <f t="shared" si="1150"/>
        <v/>
      </c>
      <c r="BL3306" s="498" t="str">
        <f t="shared" si="1151"/>
        <v/>
      </c>
    </row>
    <row r="3307" spans="1:64" x14ac:dyDescent="0.25">
      <c r="A3307" s="762">
        <f t="shared" si="1152"/>
        <v>3302</v>
      </c>
      <c r="B3307" s="229"/>
      <c r="C3307" s="223"/>
      <c r="D3307" s="224"/>
      <c r="E3307" s="225"/>
      <c r="F3307" s="1036" t="str">
        <f t="shared" si="1158"/>
        <v/>
      </c>
      <c r="G3307" s="1037" t="str">
        <f t="shared" si="1153"/>
        <v/>
      </c>
      <c r="H3307" s="225"/>
      <c r="I3307" s="1013"/>
      <c r="J3307" s="1013"/>
      <c r="K3307" s="1028"/>
      <c r="L3307" s="1035" t="str">
        <f t="shared" si="1157"/>
        <v/>
      </c>
      <c r="S3307" s="498"/>
      <c r="AJ3307" s="498"/>
      <c r="AM3307" s="498">
        <f t="shared" si="1138"/>
        <v>0</v>
      </c>
      <c r="AN3307" s="498">
        <f t="shared" si="1139"/>
        <v>0</v>
      </c>
      <c r="AO3307" s="498">
        <f t="shared" si="1140"/>
        <v>0</v>
      </c>
      <c r="AP3307" s="498">
        <f t="shared" si="1159"/>
        <v>0</v>
      </c>
      <c r="AQ3307" s="498">
        <f t="shared" si="1154"/>
        <v>0</v>
      </c>
      <c r="AU3307" s="498">
        <f t="shared" si="1141"/>
        <v>0</v>
      </c>
      <c r="AV3307" s="498">
        <f t="shared" si="1142"/>
        <v>0</v>
      </c>
      <c r="AW3307" s="498">
        <f t="shared" si="1143"/>
        <v>0</v>
      </c>
      <c r="AX3307" s="498">
        <f t="shared" si="1144"/>
        <v>0</v>
      </c>
      <c r="AY3307" s="498">
        <f t="shared" si="1145"/>
        <v>0</v>
      </c>
      <c r="BB3307" s="498" t="str">
        <f t="shared" si="1146"/>
        <v/>
      </c>
      <c r="BC3307" s="743" t="str">
        <f t="shared" si="1147"/>
        <v/>
      </c>
      <c r="BD3307" s="743" t="str">
        <f t="shared" si="1148"/>
        <v/>
      </c>
      <c r="BE3307" s="743" t="str">
        <f>IF(D3307="","",VLOOKUP(D3307,'General Basis'!$J$39:$K$46,2,0))</f>
        <v/>
      </c>
      <c r="BF3307" s="744" t="str">
        <f>IF(D3307="","",VLOOKUP(D3307,'General Basis'!$J$39:$L$46,3,0))</f>
        <v/>
      </c>
      <c r="BG3307" s="744" t="str">
        <f t="shared" si="1155"/>
        <v/>
      </c>
      <c r="BH3307" s="744" t="str">
        <f>IF(G3307="","",IF(BF3307="Abu Dhabi",IF(G3307&lt;18,'General Basis'!$C$39,IF(G3307&lt;41,'General Basis'!$C$40,IF(G3307&lt;60,'General Basis'!$C$41,IF(G3307&lt;65,'General Basis'!$C$42,'General Basis'!$C$43)))),IF(G3307&lt;11,'General Basis'!$B$39,IF(G3307&lt;18,'General Basis'!$B$40,IF(G3307&lt;26,'General Basis'!$B$41,IF(G3307&lt;31,'General Basis'!$B$42,IF(G3307&lt;36,'General Basis'!$B$43,IF(G3307&lt;41,'General Basis'!$B$44,IF(G3307&lt;46,'General Basis'!$B$45,IF(G3307&lt;51,'General Basis'!$B$46,IF(G3307&lt;56,'General Basis'!$B$47,IF(G3307&lt;60,'General Basis'!$B$48,IF(G3307&lt;65,'General Basis'!$B$49,'General Basis'!$B$50)))))))))))))</f>
        <v/>
      </c>
      <c r="BI3307" s="744" t="str">
        <f t="shared" si="1149"/>
        <v/>
      </c>
      <c r="BJ3307" s="747" t="str">
        <f t="shared" si="1156"/>
        <v/>
      </c>
      <c r="BK3307" s="498" t="str">
        <f t="shared" si="1150"/>
        <v/>
      </c>
      <c r="BL3307" s="498" t="str">
        <f t="shared" si="1151"/>
        <v/>
      </c>
    </row>
    <row r="3308" spans="1:64" x14ac:dyDescent="0.25">
      <c r="A3308" s="762">
        <f t="shared" si="1152"/>
        <v>3303</v>
      </c>
      <c r="B3308" s="229"/>
      <c r="C3308" s="223"/>
      <c r="D3308" s="224"/>
      <c r="E3308" s="225"/>
      <c r="F3308" s="1036" t="str">
        <f t="shared" si="1158"/>
        <v/>
      </c>
      <c r="G3308" s="1037" t="str">
        <f t="shared" si="1153"/>
        <v/>
      </c>
      <c r="H3308" s="225"/>
      <c r="I3308" s="1013"/>
      <c r="J3308" s="1013"/>
      <c r="K3308" s="1028"/>
      <c r="L3308" s="1035" t="str">
        <f t="shared" si="1157"/>
        <v/>
      </c>
      <c r="S3308" s="498"/>
      <c r="AJ3308" s="498"/>
      <c r="AM3308" s="498">
        <f t="shared" si="1138"/>
        <v>0</v>
      </c>
      <c r="AN3308" s="498">
        <f t="shared" si="1139"/>
        <v>0</v>
      </c>
      <c r="AO3308" s="498">
        <f t="shared" si="1140"/>
        <v>0</v>
      </c>
      <c r="AP3308" s="498">
        <f t="shared" si="1159"/>
        <v>0</v>
      </c>
      <c r="AQ3308" s="498">
        <f t="shared" si="1154"/>
        <v>0</v>
      </c>
      <c r="AU3308" s="498">
        <f t="shared" si="1141"/>
        <v>0</v>
      </c>
      <c r="AV3308" s="498">
        <f t="shared" si="1142"/>
        <v>0</v>
      </c>
      <c r="AW3308" s="498">
        <f t="shared" si="1143"/>
        <v>0</v>
      </c>
      <c r="AX3308" s="498">
        <f t="shared" si="1144"/>
        <v>0</v>
      </c>
      <c r="AY3308" s="498">
        <f t="shared" si="1145"/>
        <v>0</v>
      </c>
      <c r="BB3308" s="498" t="str">
        <f t="shared" si="1146"/>
        <v/>
      </c>
      <c r="BC3308" s="743" t="str">
        <f t="shared" si="1147"/>
        <v/>
      </c>
      <c r="BD3308" s="743" t="str">
        <f t="shared" si="1148"/>
        <v/>
      </c>
      <c r="BE3308" s="743" t="str">
        <f>IF(D3308="","",VLOOKUP(D3308,'General Basis'!$J$39:$K$46,2,0))</f>
        <v/>
      </c>
      <c r="BF3308" s="744" t="str">
        <f>IF(D3308="","",VLOOKUP(D3308,'General Basis'!$J$39:$L$46,3,0))</f>
        <v/>
      </c>
      <c r="BG3308" s="744" t="str">
        <f t="shared" si="1155"/>
        <v/>
      </c>
      <c r="BH3308" s="744" t="str">
        <f>IF(G3308="","",IF(BF3308="Abu Dhabi",IF(G3308&lt;18,'General Basis'!$C$39,IF(G3308&lt;41,'General Basis'!$C$40,IF(G3308&lt;60,'General Basis'!$C$41,IF(G3308&lt;65,'General Basis'!$C$42,'General Basis'!$C$43)))),IF(G3308&lt;11,'General Basis'!$B$39,IF(G3308&lt;18,'General Basis'!$B$40,IF(G3308&lt;26,'General Basis'!$B$41,IF(G3308&lt;31,'General Basis'!$B$42,IF(G3308&lt;36,'General Basis'!$B$43,IF(G3308&lt;41,'General Basis'!$B$44,IF(G3308&lt;46,'General Basis'!$B$45,IF(G3308&lt;51,'General Basis'!$B$46,IF(G3308&lt;56,'General Basis'!$B$47,IF(G3308&lt;60,'General Basis'!$B$48,IF(G3308&lt;65,'General Basis'!$B$49,'General Basis'!$B$50)))))))))))))</f>
        <v/>
      </c>
      <c r="BI3308" s="744" t="str">
        <f t="shared" si="1149"/>
        <v/>
      </c>
      <c r="BJ3308" s="747" t="str">
        <f t="shared" si="1156"/>
        <v/>
      </c>
      <c r="BK3308" s="498" t="str">
        <f t="shared" si="1150"/>
        <v/>
      </c>
      <c r="BL3308" s="498" t="str">
        <f t="shared" si="1151"/>
        <v/>
      </c>
    </row>
    <row r="3309" spans="1:64" x14ac:dyDescent="0.25">
      <c r="A3309" s="762">
        <f t="shared" si="1152"/>
        <v>3304</v>
      </c>
      <c r="B3309" s="229"/>
      <c r="C3309" s="223"/>
      <c r="D3309" s="224"/>
      <c r="E3309" s="225"/>
      <c r="F3309" s="1036" t="str">
        <f t="shared" si="1158"/>
        <v/>
      </c>
      <c r="G3309" s="1037" t="str">
        <f t="shared" si="1153"/>
        <v/>
      </c>
      <c r="H3309" s="225"/>
      <c r="I3309" s="1013"/>
      <c r="J3309" s="1013"/>
      <c r="K3309" s="1028"/>
      <c r="L3309" s="1035" t="str">
        <f t="shared" si="1157"/>
        <v/>
      </c>
      <c r="S3309" s="498"/>
      <c r="AJ3309" s="498"/>
      <c r="AM3309" s="498">
        <f t="shared" si="1138"/>
        <v>0</v>
      </c>
      <c r="AN3309" s="498">
        <f t="shared" si="1139"/>
        <v>0</v>
      </c>
      <c r="AO3309" s="498">
        <f t="shared" si="1140"/>
        <v>0</v>
      </c>
      <c r="AP3309" s="498">
        <f t="shared" si="1159"/>
        <v>0</v>
      </c>
      <c r="AQ3309" s="498">
        <f t="shared" si="1154"/>
        <v>0</v>
      </c>
      <c r="AU3309" s="498">
        <f t="shared" si="1141"/>
        <v>0</v>
      </c>
      <c r="AV3309" s="498">
        <f t="shared" si="1142"/>
        <v>0</v>
      </c>
      <c r="AW3309" s="498">
        <f t="shared" si="1143"/>
        <v>0</v>
      </c>
      <c r="AX3309" s="498">
        <f t="shared" si="1144"/>
        <v>0</v>
      </c>
      <c r="AY3309" s="498">
        <f t="shared" si="1145"/>
        <v>0</v>
      </c>
      <c r="BB3309" s="498" t="str">
        <f t="shared" si="1146"/>
        <v/>
      </c>
      <c r="BC3309" s="743" t="str">
        <f t="shared" si="1147"/>
        <v/>
      </c>
      <c r="BD3309" s="743" t="str">
        <f t="shared" si="1148"/>
        <v/>
      </c>
      <c r="BE3309" s="743" t="str">
        <f>IF(D3309="","",VLOOKUP(D3309,'General Basis'!$J$39:$K$46,2,0))</f>
        <v/>
      </c>
      <c r="BF3309" s="744" t="str">
        <f>IF(D3309="","",VLOOKUP(D3309,'General Basis'!$J$39:$L$46,3,0))</f>
        <v/>
      </c>
      <c r="BG3309" s="744" t="str">
        <f t="shared" si="1155"/>
        <v/>
      </c>
      <c r="BH3309" s="744" t="str">
        <f>IF(G3309="","",IF(BF3309="Abu Dhabi",IF(G3309&lt;18,'General Basis'!$C$39,IF(G3309&lt;41,'General Basis'!$C$40,IF(G3309&lt;60,'General Basis'!$C$41,IF(G3309&lt;65,'General Basis'!$C$42,'General Basis'!$C$43)))),IF(G3309&lt;11,'General Basis'!$B$39,IF(G3309&lt;18,'General Basis'!$B$40,IF(G3309&lt;26,'General Basis'!$B$41,IF(G3309&lt;31,'General Basis'!$B$42,IF(G3309&lt;36,'General Basis'!$B$43,IF(G3309&lt;41,'General Basis'!$B$44,IF(G3309&lt;46,'General Basis'!$B$45,IF(G3309&lt;51,'General Basis'!$B$46,IF(G3309&lt;56,'General Basis'!$B$47,IF(G3309&lt;60,'General Basis'!$B$48,IF(G3309&lt;65,'General Basis'!$B$49,'General Basis'!$B$50)))))))))))))</f>
        <v/>
      </c>
      <c r="BI3309" s="744" t="str">
        <f t="shared" si="1149"/>
        <v/>
      </c>
      <c r="BJ3309" s="747" t="str">
        <f t="shared" si="1156"/>
        <v/>
      </c>
      <c r="BK3309" s="498" t="str">
        <f t="shared" si="1150"/>
        <v/>
      </c>
      <c r="BL3309" s="498" t="str">
        <f t="shared" si="1151"/>
        <v/>
      </c>
    </row>
    <row r="3310" spans="1:64" x14ac:dyDescent="0.25">
      <c r="A3310" s="762">
        <f t="shared" si="1152"/>
        <v>3305</v>
      </c>
      <c r="B3310" s="229"/>
      <c r="C3310" s="223"/>
      <c r="D3310" s="224"/>
      <c r="E3310" s="225"/>
      <c r="F3310" s="1036" t="str">
        <f t="shared" si="1158"/>
        <v/>
      </c>
      <c r="G3310" s="1037" t="str">
        <f t="shared" si="1153"/>
        <v/>
      </c>
      <c r="H3310" s="225"/>
      <c r="I3310" s="1013"/>
      <c r="J3310" s="1013"/>
      <c r="K3310" s="1028"/>
      <c r="L3310" s="1035" t="str">
        <f t="shared" si="1157"/>
        <v/>
      </c>
      <c r="S3310" s="498"/>
      <c r="AJ3310" s="498"/>
      <c r="AM3310" s="498">
        <f t="shared" si="1138"/>
        <v>0</v>
      </c>
      <c r="AN3310" s="498">
        <f t="shared" si="1139"/>
        <v>0</v>
      </c>
      <c r="AO3310" s="498">
        <f t="shared" si="1140"/>
        <v>0</v>
      </c>
      <c r="AP3310" s="498">
        <f t="shared" si="1159"/>
        <v>0</v>
      </c>
      <c r="AQ3310" s="498">
        <f t="shared" si="1154"/>
        <v>0</v>
      </c>
      <c r="AU3310" s="498">
        <f t="shared" si="1141"/>
        <v>0</v>
      </c>
      <c r="AV3310" s="498">
        <f t="shared" si="1142"/>
        <v>0</v>
      </c>
      <c r="AW3310" s="498">
        <f t="shared" si="1143"/>
        <v>0</v>
      </c>
      <c r="AX3310" s="498">
        <f t="shared" si="1144"/>
        <v>0</v>
      </c>
      <c r="AY3310" s="498">
        <f t="shared" si="1145"/>
        <v>0</v>
      </c>
      <c r="BB3310" s="498" t="str">
        <f t="shared" si="1146"/>
        <v/>
      </c>
      <c r="BC3310" s="743" t="str">
        <f t="shared" si="1147"/>
        <v/>
      </c>
      <c r="BD3310" s="743" t="str">
        <f t="shared" si="1148"/>
        <v/>
      </c>
      <c r="BE3310" s="743" t="str">
        <f>IF(D3310="","",VLOOKUP(D3310,'General Basis'!$J$39:$K$46,2,0))</f>
        <v/>
      </c>
      <c r="BF3310" s="744" t="str">
        <f>IF(D3310="","",VLOOKUP(D3310,'General Basis'!$J$39:$L$46,3,0))</f>
        <v/>
      </c>
      <c r="BG3310" s="744" t="str">
        <f t="shared" si="1155"/>
        <v/>
      </c>
      <c r="BH3310" s="744" t="str">
        <f>IF(G3310="","",IF(BF3310="Abu Dhabi",IF(G3310&lt;18,'General Basis'!$C$39,IF(G3310&lt;41,'General Basis'!$C$40,IF(G3310&lt;60,'General Basis'!$C$41,IF(G3310&lt;65,'General Basis'!$C$42,'General Basis'!$C$43)))),IF(G3310&lt;11,'General Basis'!$B$39,IF(G3310&lt;18,'General Basis'!$B$40,IF(G3310&lt;26,'General Basis'!$B$41,IF(G3310&lt;31,'General Basis'!$B$42,IF(G3310&lt;36,'General Basis'!$B$43,IF(G3310&lt;41,'General Basis'!$B$44,IF(G3310&lt;46,'General Basis'!$B$45,IF(G3310&lt;51,'General Basis'!$B$46,IF(G3310&lt;56,'General Basis'!$B$47,IF(G3310&lt;60,'General Basis'!$B$48,IF(G3310&lt;65,'General Basis'!$B$49,'General Basis'!$B$50)))))))))))))</f>
        <v/>
      </c>
      <c r="BI3310" s="744" t="str">
        <f t="shared" si="1149"/>
        <v/>
      </c>
      <c r="BJ3310" s="747" t="str">
        <f t="shared" si="1156"/>
        <v/>
      </c>
      <c r="BK3310" s="498" t="str">
        <f t="shared" si="1150"/>
        <v/>
      </c>
      <c r="BL3310" s="498" t="str">
        <f t="shared" si="1151"/>
        <v/>
      </c>
    </row>
    <row r="3311" spans="1:64" x14ac:dyDescent="0.25">
      <c r="A3311" s="762">
        <f t="shared" si="1152"/>
        <v>3306</v>
      </c>
      <c r="B3311" s="229"/>
      <c r="C3311" s="223"/>
      <c r="D3311" s="224"/>
      <c r="E3311" s="225"/>
      <c r="F3311" s="1036" t="str">
        <f t="shared" si="1158"/>
        <v/>
      </c>
      <c r="G3311" s="1037" t="str">
        <f t="shared" si="1153"/>
        <v/>
      </c>
      <c r="H3311" s="225"/>
      <c r="I3311" s="1013"/>
      <c r="J3311" s="1013"/>
      <c r="K3311" s="1028"/>
      <c r="L3311" s="1035" t="str">
        <f t="shared" si="1157"/>
        <v/>
      </c>
      <c r="S3311" s="498"/>
      <c r="AJ3311" s="498"/>
      <c r="AM3311" s="498">
        <f t="shared" si="1138"/>
        <v>0</v>
      </c>
      <c r="AN3311" s="498">
        <f t="shared" si="1139"/>
        <v>0</v>
      </c>
      <c r="AO3311" s="498">
        <f t="shared" si="1140"/>
        <v>0</v>
      </c>
      <c r="AP3311" s="498">
        <f t="shared" si="1159"/>
        <v>0</v>
      </c>
      <c r="AQ3311" s="498">
        <f t="shared" si="1154"/>
        <v>0</v>
      </c>
      <c r="AU3311" s="498">
        <f t="shared" si="1141"/>
        <v>0</v>
      </c>
      <c r="AV3311" s="498">
        <f t="shared" si="1142"/>
        <v>0</v>
      </c>
      <c r="AW3311" s="498">
        <f t="shared" si="1143"/>
        <v>0</v>
      </c>
      <c r="AX3311" s="498">
        <f t="shared" si="1144"/>
        <v>0</v>
      </c>
      <c r="AY3311" s="498">
        <f t="shared" si="1145"/>
        <v>0</v>
      </c>
      <c r="BB3311" s="498" t="str">
        <f t="shared" si="1146"/>
        <v/>
      </c>
      <c r="BC3311" s="743" t="str">
        <f t="shared" si="1147"/>
        <v/>
      </c>
      <c r="BD3311" s="743" t="str">
        <f t="shared" si="1148"/>
        <v/>
      </c>
      <c r="BE3311" s="743" t="str">
        <f>IF(D3311="","",VLOOKUP(D3311,'General Basis'!$J$39:$K$46,2,0))</f>
        <v/>
      </c>
      <c r="BF3311" s="744" t="str">
        <f>IF(D3311="","",VLOOKUP(D3311,'General Basis'!$J$39:$L$46,3,0))</f>
        <v/>
      </c>
      <c r="BG3311" s="744" t="str">
        <f t="shared" si="1155"/>
        <v/>
      </c>
      <c r="BH3311" s="744" t="str">
        <f>IF(G3311="","",IF(BF3311="Abu Dhabi",IF(G3311&lt;18,'General Basis'!$C$39,IF(G3311&lt;41,'General Basis'!$C$40,IF(G3311&lt;60,'General Basis'!$C$41,IF(G3311&lt;65,'General Basis'!$C$42,'General Basis'!$C$43)))),IF(G3311&lt;11,'General Basis'!$B$39,IF(G3311&lt;18,'General Basis'!$B$40,IF(G3311&lt;26,'General Basis'!$B$41,IF(G3311&lt;31,'General Basis'!$B$42,IF(G3311&lt;36,'General Basis'!$B$43,IF(G3311&lt;41,'General Basis'!$B$44,IF(G3311&lt;46,'General Basis'!$B$45,IF(G3311&lt;51,'General Basis'!$B$46,IF(G3311&lt;56,'General Basis'!$B$47,IF(G3311&lt;60,'General Basis'!$B$48,IF(G3311&lt;65,'General Basis'!$B$49,'General Basis'!$B$50)))))))))))))</f>
        <v/>
      </c>
      <c r="BI3311" s="744" t="str">
        <f t="shared" si="1149"/>
        <v/>
      </c>
      <c r="BJ3311" s="747" t="str">
        <f t="shared" si="1156"/>
        <v/>
      </c>
      <c r="BK3311" s="498" t="str">
        <f t="shared" si="1150"/>
        <v/>
      </c>
      <c r="BL3311" s="498" t="str">
        <f t="shared" si="1151"/>
        <v/>
      </c>
    </row>
    <row r="3312" spans="1:64" x14ac:dyDescent="0.25">
      <c r="A3312" s="762">
        <f t="shared" si="1152"/>
        <v>3307</v>
      </c>
      <c r="B3312" s="229"/>
      <c r="C3312" s="223"/>
      <c r="D3312" s="224"/>
      <c r="E3312" s="225"/>
      <c r="F3312" s="1036" t="str">
        <f t="shared" si="1158"/>
        <v/>
      </c>
      <c r="G3312" s="1037" t="str">
        <f t="shared" si="1153"/>
        <v/>
      </c>
      <c r="H3312" s="225"/>
      <c r="I3312" s="1013"/>
      <c r="J3312" s="1013"/>
      <c r="K3312" s="1028"/>
      <c r="L3312" s="1035" t="str">
        <f t="shared" si="1157"/>
        <v/>
      </c>
      <c r="S3312" s="498"/>
      <c r="AJ3312" s="498"/>
      <c r="AM3312" s="498">
        <f t="shared" si="1138"/>
        <v>0</v>
      </c>
      <c r="AN3312" s="498">
        <f t="shared" si="1139"/>
        <v>0</v>
      </c>
      <c r="AO3312" s="498">
        <f t="shared" si="1140"/>
        <v>0</v>
      </c>
      <c r="AP3312" s="498">
        <f t="shared" si="1159"/>
        <v>0</v>
      </c>
      <c r="AQ3312" s="498">
        <f t="shared" si="1154"/>
        <v>0</v>
      </c>
      <c r="AU3312" s="498">
        <f t="shared" si="1141"/>
        <v>0</v>
      </c>
      <c r="AV3312" s="498">
        <f t="shared" si="1142"/>
        <v>0</v>
      </c>
      <c r="AW3312" s="498">
        <f t="shared" si="1143"/>
        <v>0</v>
      </c>
      <c r="AX3312" s="498">
        <f t="shared" si="1144"/>
        <v>0</v>
      </c>
      <c r="AY3312" s="498">
        <f t="shared" si="1145"/>
        <v>0</v>
      </c>
      <c r="BB3312" s="498" t="str">
        <f t="shared" si="1146"/>
        <v/>
      </c>
      <c r="BC3312" s="743" t="str">
        <f t="shared" si="1147"/>
        <v/>
      </c>
      <c r="BD3312" s="743" t="str">
        <f t="shared" si="1148"/>
        <v/>
      </c>
      <c r="BE3312" s="743" t="str">
        <f>IF(D3312="","",VLOOKUP(D3312,'General Basis'!$J$39:$K$46,2,0))</f>
        <v/>
      </c>
      <c r="BF3312" s="744" t="str">
        <f>IF(D3312="","",VLOOKUP(D3312,'General Basis'!$J$39:$L$46,3,0))</f>
        <v/>
      </c>
      <c r="BG3312" s="744" t="str">
        <f t="shared" si="1155"/>
        <v/>
      </c>
      <c r="BH3312" s="744" t="str">
        <f>IF(G3312="","",IF(BF3312="Abu Dhabi",IF(G3312&lt;18,'General Basis'!$C$39,IF(G3312&lt;41,'General Basis'!$C$40,IF(G3312&lt;60,'General Basis'!$C$41,IF(G3312&lt;65,'General Basis'!$C$42,'General Basis'!$C$43)))),IF(G3312&lt;11,'General Basis'!$B$39,IF(G3312&lt;18,'General Basis'!$B$40,IF(G3312&lt;26,'General Basis'!$B$41,IF(G3312&lt;31,'General Basis'!$B$42,IF(G3312&lt;36,'General Basis'!$B$43,IF(G3312&lt;41,'General Basis'!$B$44,IF(G3312&lt;46,'General Basis'!$B$45,IF(G3312&lt;51,'General Basis'!$B$46,IF(G3312&lt;56,'General Basis'!$B$47,IF(G3312&lt;60,'General Basis'!$B$48,IF(G3312&lt;65,'General Basis'!$B$49,'General Basis'!$B$50)))))))))))))</f>
        <v/>
      </c>
      <c r="BI3312" s="744" t="str">
        <f t="shared" si="1149"/>
        <v/>
      </c>
      <c r="BJ3312" s="747" t="str">
        <f t="shared" si="1156"/>
        <v/>
      </c>
      <c r="BK3312" s="498" t="str">
        <f t="shared" si="1150"/>
        <v/>
      </c>
      <c r="BL3312" s="498" t="str">
        <f t="shared" si="1151"/>
        <v/>
      </c>
    </row>
    <row r="3313" spans="1:64" x14ac:dyDescent="0.25">
      <c r="A3313" s="762">
        <f t="shared" si="1152"/>
        <v>3308</v>
      </c>
      <c r="B3313" s="229"/>
      <c r="C3313" s="223"/>
      <c r="D3313" s="224"/>
      <c r="E3313" s="225"/>
      <c r="F3313" s="1036" t="str">
        <f t="shared" si="1158"/>
        <v/>
      </c>
      <c r="G3313" s="1037" t="str">
        <f t="shared" si="1153"/>
        <v/>
      </c>
      <c r="H3313" s="225"/>
      <c r="I3313" s="1013"/>
      <c r="J3313" s="1013"/>
      <c r="K3313" s="1028"/>
      <c r="L3313" s="1035" t="str">
        <f t="shared" si="1157"/>
        <v/>
      </c>
      <c r="S3313" s="498"/>
      <c r="AJ3313" s="498"/>
      <c r="AM3313" s="498">
        <f t="shared" si="1138"/>
        <v>0</v>
      </c>
      <c r="AN3313" s="498">
        <f t="shared" si="1139"/>
        <v>0</v>
      </c>
      <c r="AO3313" s="498">
        <f t="shared" si="1140"/>
        <v>0</v>
      </c>
      <c r="AP3313" s="498">
        <f t="shared" si="1159"/>
        <v>0</v>
      </c>
      <c r="AQ3313" s="498">
        <f t="shared" si="1154"/>
        <v>0</v>
      </c>
      <c r="AU3313" s="498">
        <f t="shared" si="1141"/>
        <v>0</v>
      </c>
      <c r="AV3313" s="498">
        <f t="shared" si="1142"/>
        <v>0</v>
      </c>
      <c r="AW3313" s="498">
        <f t="shared" si="1143"/>
        <v>0</v>
      </c>
      <c r="AX3313" s="498">
        <f t="shared" si="1144"/>
        <v>0</v>
      </c>
      <c r="AY3313" s="498">
        <f t="shared" si="1145"/>
        <v>0</v>
      </c>
      <c r="BB3313" s="498" t="str">
        <f t="shared" si="1146"/>
        <v/>
      </c>
      <c r="BC3313" s="743" t="str">
        <f t="shared" si="1147"/>
        <v/>
      </c>
      <c r="BD3313" s="743" t="str">
        <f t="shared" si="1148"/>
        <v/>
      </c>
      <c r="BE3313" s="743" t="str">
        <f>IF(D3313="","",VLOOKUP(D3313,'General Basis'!$J$39:$K$46,2,0))</f>
        <v/>
      </c>
      <c r="BF3313" s="744" t="str">
        <f>IF(D3313="","",VLOOKUP(D3313,'General Basis'!$J$39:$L$46,3,0))</f>
        <v/>
      </c>
      <c r="BG3313" s="744" t="str">
        <f t="shared" si="1155"/>
        <v/>
      </c>
      <c r="BH3313" s="744" t="str">
        <f>IF(G3313="","",IF(BF3313="Abu Dhabi",IF(G3313&lt;18,'General Basis'!$C$39,IF(G3313&lt;41,'General Basis'!$C$40,IF(G3313&lt;60,'General Basis'!$C$41,IF(G3313&lt;65,'General Basis'!$C$42,'General Basis'!$C$43)))),IF(G3313&lt;11,'General Basis'!$B$39,IF(G3313&lt;18,'General Basis'!$B$40,IF(G3313&lt;26,'General Basis'!$B$41,IF(G3313&lt;31,'General Basis'!$B$42,IF(G3313&lt;36,'General Basis'!$B$43,IF(G3313&lt;41,'General Basis'!$B$44,IF(G3313&lt;46,'General Basis'!$B$45,IF(G3313&lt;51,'General Basis'!$B$46,IF(G3313&lt;56,'General Basis'!$B$47,IF(G3313&lt;60,'General Basis'!$B$48,IF(G3313&lt;65,'General Basis'!$B$49,'General Basis'!$B$50)))))))))))))</f>
        <v/>
      </c>
      <c r="BI3313" s="744" t="str">
        <f t="shared" si="1149"/>
        <v/>
      </c>
      <c r="BJ3313" s="747" t="str">
        <f t="shared" si="1156"/>
        <v/>
      </c>
      <c r="BK3313" s="498" t="str">
        <f t="shared" si="1150"/>
        <v/>
      </c>
      <c r="BL3313" s="498" t="str">
        <f t="shared" si="1151"/>
        <v/>
      </c>
    </row>
    <row r="3314" spans="1:64" x14ac:dyDescent="0.25">
      <c r="A3314" s="762">
        <f t="shared" si="1152"/>
        <v>3309</v>
      </c>
      <c r="B3314" s="229"/>
      <c r="C3314" s="223"/>
      <c r="D3314" s="224"/>
      <c r="E3314" s="225"/>
      <c r="F3314" s="1036" t="str">
        <f t="shared" si="1158"/>
        <v/>
      </c>
      <c r="G3314" s="1037" t="str">
        <f t="shared" si="1153"/>
        <v/>
      </c>
      <c r="H3314" s="225"/>
      <c r="I3314" s="1013"/>
      <c r="J3314" s="1013"/>
      <c r="K3314" s="1028"/>
      <c r="L3314" s="1035" t="str">
        <f t="shared" si="1157"/>
        <v/>
      </c>
      <c r="S3314" s="498"/>
      <c r="AJ3314" s="498"/>
      <c r="AM3314" s="498">
        <f t="shared" si="1138"/>
        <v>0</v>
      </c>
      <c r="AN3314" s="498">
        <f t="shared" si="1139"/>
        <v>0</v>
      </c>
      <c r="AO3314" s="498">
        <f t="shared" si="1140"/>
        <v>0</v>
      </c>
      <c r="AP3314" s="498">
        <f t="shared" si="1159"/>
        <v>0</v>
      </c>
      <c r="AQ3314" s="498">
        <f t="shared" si="1154"/>
        <v>0</v>
      </c>
      <c r="AU3314" s="498">
        <f t="shared" si="1141"/>
        <v>0</v>
      </c>
      <c r="AV3314" s="498">
        <f t="shared" si="1142"/>
        <v>0</v>
      </c>
      <c r="AW3314" s="498">
        <f t="shared" si="1143"/>
        <v>0</v>
      </c>
      <c r="AX3314" s="498">
        <f t="shared" si="1144"/>
        <v>0</v>
      </c>
      <c r="AY3314" s="498">
        <f t="shared" si="1145"/>
        <v>0</v>
      </c>
      <c r="BB3314" s="498" t="str">
        <f t="shared" si="1146"/>
        <v/>
      </c>
      <c r="BC3314" s="743" t="str">
        <f t="shared" si="1147"/>
        <v/>
      </c>
      <c r="BD3314" s="743" t="str">
        <f t="shared" si="1148"/>
        <v/>
      </c>
      <c r="BE3314" s="743" t="str">
        <f>IF(D3314="","",VLOOKUP(D3314,'General Basis'!$J$39:$K$46,2,0))</f>
        <v/>
      </c>
      <c r="BF3314" s="744" t="str">
        <f>IF(D3314="","",VLOOKUP(D3314,'General Basis'!$J$39:$L$46,3,0))</f>
        <v/>
      </c>
      <c r="BG3314" s="744" t="str">
        <f t="shared" si="1155"/>
        <v/>
      </c>
      <c r="BH3314" s="744" t="str">
        <f>IF(G3314="","",IF(BF3314="Abu Dhabi",IF(G3314&lt;18,'General Basis'!$C$39,IF(G3314&lt;41,'General Basis'!$C$40,IF(G3314&lt;60,'General Basis'!$C$41,IF(G3314&lt;65,'General Basis'!$C$42,'General Basis'!$C$43)))),IF(G3314&lt;11,'General Basis'!$B$39,IF(G3314&lt;18,'General Basis'!$B$40,IF(G3314&lt;26,'General Basis'!$B$41,IF(G3314&lt;31,'General Basis'!$B$42,IF(G3314&lt;36,'General Basis'!$B$43,IF(G3314&lt;41,'General Basis'!$B$44,IF(G3314&lt;46,'General Basis'!$B$45,IF(G3314&lt;51,'General Basis'!$B$46,IF(G3314&lt;56,'General Basis'!$B$47,IF(G3314&lt;60,'General Basis'!$B$48,IF(G3314&lt;65,'General Basis'!$B$49,'General Basis'!$B$50)))))))))))))</f>
        <v/>
      </c>
      <c r="BI3314" s="744" t="str">
        <f t="shared" si="1149"/>
        <v/>
      </c>
      <c r="BJ3314" s="747" t="str">
        <f t="shared" si="1156"/>
        <v/>
      </c>
      <c r="BK3314" s="498" t="str">
        <f t="shared" si="1150"/>
        <v/>
      </c>
      <c r="BL3314" s="498" t="str">
        <f t="shared" si="1151"/>
        <v/>
      </c>
    </row>
    <row r="3315" spans="1:64" x14ac:dyDescent="0.25">
      <c r="A3315" s="762">
        <f t="shared" si="1152"/>
        <v>3310</v>
      </c>
      <c r="B3315" s="229"/>
      <c r="C3315" s="223"/>
      <c r="D3315" s="224"/>
      <c r="E3315" s="225"/>
      <c r="F3315" s="1036" t="str">
        <f t="shared" si="1158"/>
        <v/>
      </c>
      <c r="G3315" s="1037" t="str">
        <f t="shared" si="1153"/>
        <v/>
      </c>
      <c r="H3315" s="225"/>
      <c r="I3315" s="1013"/>
      <c r="J3315" s="1013"/>
      <c r="K3315" s="1028"/>
      <c r="L3315" s="1035" t="str">
        <f t="shared" si="1157"/>
        <v/>
      </c>
      <c r="S3315" s="498"/>
      <c r="AJ3315" s="498"/>
      <c r="AM3315" s="498">
        <f t="shared" si="1138"/>
        <v>0</v>
      </c>
      <c r="AN3315" s="498">
        <f t="shared" si="1139"/>
        <v>0</v>
      </c>
      <c r="AO3315" s="498">
        <f t="shared" si="1140"/>
        <v>0</v>
      </c>
      <c r="AP3315" s="498">
        <f t="shared" si="1159"/>
        <v>0</v>
      </c>
      <c r="AQ3315" s="498">
        <f t="shared" si="1154"/>
        <v>0</v>
      </c>
      <c r="AU3315" s="498">
        <f t="shared" si="1141"/>
        <v>0</v>
      </c>
      <c r="AV3315" s="498">
        <f t="shared" si="1142"/>
        <v>0</v>
      </c>
      <c r="AW3315" s="498">
        <f t="shared" si="1143"/>
        <v>0</v>
      </c>
      <c r="AX3315" s="498">
        <f t="shared" si="1144"/>
        <v>0</v>
      </c>
      <c r="AY3315" s="498">
        <f t="shared" si="1145"/>
        <v>0</v>
      </c>
      <c r="BB3315" s="498" t="str">
        <f t="shared" si="1146"/>
        <v/>
      </c>
      <c r="BC3315" s="743" t="str">
        <f t="shared" si="1147"/>
        <v/>
      </c>
      <c r="BD3315" s="743" t="str">
        <f t="shared" si="1148"/>
        <v/>
      </c>
      <c r="BE3315" s="743" t="str">
        <f>IF(D3315="","",VLOOKUP(D3315,'General Basis'!$J$39:$K$46,2,0))</f>
        <v/>
      </c>
      <c r="BF3315" s="744" t="str">
        <f>IF(D3315="","",VLOOKUP(D3315,'General Basis'!$J$39:$L$46,3,0))</f>
        <v/>
      </c>
      <c r="BG3315" s="744" t="str">
        <f t="shared" si="1155"/>
        <v/>
      </c>
      <c r="BH3315" s="744" t="str">
        <f>IF(G3315="","",IF(BF3315="Abu Dhabi",IF(G3315&lt;18,'General Basis'!$C$39,IF(G3315&lt;41,'General Basis'!$C$40,IF(G3315&lt;60,'General Basis'!$C$41,IF(G3315&lt;65,'General Basis'!$C$42,'General Basis'!$C$43)))),IF(G3315&lt;11,'General Basis'!$B$39,IF(G3315&lt;18,'General Basis'!$B$40,IF(G3315&lt;26,'General Basis'!$B$41,IF(G3315&lt;31,'General Basis'!$B$42,IF(G3315&lt;36,'General Basis'!$B$43,IF(G3315&lt;41,'General Basis'!$B$44,IF(G3315&lt;46,'General Basis'!$B$45,IF(G3315&lt;51,'General Basis'!$B$46,IF(G3315&lt;56,'General Basis'!$B$47,IF(G3315&lt;60,'General Basis'!$B$48,IF(G3315&lt;65,'General Basis'!$B$49,'General Basis'!$B$50)))))))))))))</f>
        <v/>
      </c>
      <c r="BI3315" s="744" t="str">
        <f t="shared" si="1149"/>
        <v/>
      </c>
      <c r="BJ3315" s="747" t="str">
        <f t="shared" si="1156"/>
        <v/>
      </c>
      <c r="BK3315" s="498" t="str">
        <f t="shared" si="1150"/>
        <v/>
      </c>
      <c r="BL3315" s="498" t="str">
        <f t="shared" si="1151"/>
        <v/>
      </c>
    </row>
    <row r="3316" spans="1:64" x14ac:dyDescent="0.25">
      <c r="A3316" s="762">
        <f t="shared" si="1152"/>
        <v>3311</v>
      </c>
      <c r="B3316" s="229"/>
      <c r="C3316" s="223"/>
      <c r="D3316" s="224"/>
      <c r="E3316" s="225"/>
      <c r="F3316" s="1036" t="str">
        <f t="shared" si="1158"/>
        <v/>
      </c>
      <c r="G3316" s="1037" t="str">
        <f t="shared" si="1153"/>
        <v/>
      </c>
      <c r="H3316" s="225"/>
      <c r="I3316" s="1013"/>
      <c r="J3316" s="1013"/>
      <c r="K3316" s="1028"/>
      <c r="L3316" s="1035" t="str">
        <f t="shared" si="1157"/>
        <v/>
      </c>
      <c r="S3316" s="498"/>
      <c r="AJ3316" s="498"/>
      <c r="AM3316" s="498">
        <f t="shared" si="1138"/>
        <v>0</v>
      </c>
      <c r="AN3316" s="498">
        <f t="shared" si="1139"/>
        <v>0</v>
      </c>
      <c r="AO3316" s="498">
        <f t="shared" si="1140"/>
        <v>0</v>
      </c>
      <c r="AP3316" s="498">
        <f t="shared" si="1159"/>
        <v>0</v>
      </c>
      <c r="AQ3316" s="498">
        <f t="shared" si="1154"/>
        <v>0</v>
      </c>
      <c r="AU3316" s="498">
        <f t="shared" si="1141"/>
        <v>0</v>
      </c>
      <c r="AV3316" s="498">
        <f t="shared" si="1142"/>
        <v>0</v>
      </c>
      <c r="AW3316" s="498">
        <f t="shared" si="1143"/>
        <v>0</v>
      </c>
      <c r="AX3316" s="498">
        <f t="shared" si="1144"/>
        <v>0</v>
      </c>
      <c r="AY3316" s="498">
        <f t="shared" si="1145"/>
        <v>0</v>
      </c>
      <c r="BB3316" s="498" t="str">
        <f t="shared" si="1146"/>
        <v/>
      </c>
      <c r="BC3316" s="743" t="str">
        <f t="shared" si="1147"/>
        <v/>
      </c>
      <c r="BD3316" s="743" t="str">
        <f t="shared" si="1148"/>
        <v/>
      </c>
      <c r="BE3316" s="743" t="str">
        <f>IF(D3316="","",VLOOKUP(D3316,'General Basis'!$J$39:$K$46,2,0))</f>
        <v/>
      </c>
      <c r="BF3316" s="744" t="str">
        <f>IF(D3316="","",VLOOKUP(D3316,'General Basis'!$J$39:$L$46,3,0))</f>
        <v/>
      </c>
      <c r="BG3316" s="744" t="str">
        <f t="shared" si="1155"/>
        <v/>
      </c>
      <c r="BH3316" s="744" t="str">
        <f>IF(G3316="","",IF(BF3316="Abu Dhabi",IF(G3316&lt;18,'General Basis'!$C$39,IF(G3316&lt;41,'General Basis'!$C$40,IF(G3316&lt;60,'General Basis'!$C$41,IF(G3316&lt;65,'General Basis'!$C$42,'General Basis'!$C$43)))),IF(G3316&lt;11,'General Basis'!$B$39,IF(G3316&lt;18,'General Basis'!$B$40,IF(G3316&lt;26,'General Basis'!$B$41,IF(G3316&lt;31,'General Basis'!$B$42,IF(G3316&lt;36,'General Basis'!$B$43,IF(G3316&lt;41,'General Basis'!$B$44,IF(G3316&lt;46,'General Basis'!$B$45,IF(G3316&lt;51,'General Basis'!$B$46,IF(G3316&lt;56,'General Basis'!$B$47,IF(G3316&lt;60,'General Basis'!$B$48,IF(G3316&lt;65,'General Basis'!$B$49,'General Basis'!$B$50)))))))))))))</f>
        <v/>
      </c>
      <c r="BI3316" s="744" t="str">
        <f t="shared" si="1149"/>
        <v/>
      </c>
      <c r="BJ3316" s="747" t="str">
        <f t="shared" si="1156"/>
        <v/>
      </c>
      <c r="BK3316" s="498" t="str">
        <f t="shared" si="1150"/>
        <v/>
      </c>
      <c r="BL3316" s="498" t="str">
        <f t="shared" si="1151"/>
        <v/>
      </c>
    </row>
    <row r="3317" spans="1:64" x14ac:dyDescent="0.25">
      <c r="A3317" s="762">
        <f t="shared" si="1152"/>
        <v>3312</v>
      </c>
      <c r="B3317" s="229"/>
      <c r="C3317" s="223"/>
      <c r="D3317" s="224"/>
      <c r="E3317" s="225"/>
      <c r="F3317" s="1036" t="str">
        <f t="shared" si="1158"/>
        <v/>
      </c>
      <c r="G3317" s="1037" t="str">
        <f t="shared" si="1153"/>
        <v/>
      </c>
      <c r="H3317" s="225"/>
      <c r="I3317" s="1013"/>
      <c r="J3317" s="1013"/>
      <c r="K3317" s="1028"/>
      <c r="L3317" s="1035" t="str">
        <f t="shared" si="1157"/>
        <v/>
      </c>
      <c r="S3317" s="498"/>
      <c r="AJ3317" s="498"/>
      <c r="AM3317" s="498">
        <f t="shared" si="1138"/>
        <v>0</v>
      </c>
      <c r="AN3317" s="498">
        <f t="shared" si="1139"/>
        <v>0</v>
      </c>
      <c r="AO3317" s="498">
        <f t="shared" si="1140"/>
        <v>0</v>
      </c>
      <c r="AP3317" s="498">
        <f t="shared" si="1159"/>
        <v>0</v>
      </c>
      <c r="AQ3317" s="498">
        <f t="shared" si="1154"/>
        <v>0</v>
      </c>
      <c r="AU3317" s="498">
        <f t="shared" si="1141"/>
        <v>0</v>
      </c>
      <c r="AV3317" s="498">
        <f t="shared" si="1142"/>
        <v>0</v>
      </c>
      <c r="AW3317" s="498">
        <f t="shared" si="1143"/>
        <v>0</v>
      </c>
      <c r="AX3317" s="498">
        <f t="shared" si="1144"/>
        <v>0</v>
      </c>
      <c r="AY3317" s="498">
        <f t="shared" si="1145"/>
        <v>0</v>
      </c>
      <c r="BB3317" s="498" t="str">
        <f t="shared" si="1146"/>
        <v/>
      </c>
      <c r="BC3317" s="743" t="str">
        <f t="shared" si="1147"/>
        <v/>
      </c>
      <c r="BD3317" s="743" t="str">
        <f t="shared" si="1148"/>
        <v/>
      </c>
      <c r="BE3317" s="743" t="str">
        <f>IF(D3317="","",VLOOKUP(D3317,'General Basis'!$J$39:$K$46,2,0))</f>
        <v/>
      </c>
      <c r="BF3317" s="744" t="str">
        <f>IF(D3317="","",VLOOKUP(D3317,'General Basis'!$J$39:$L$46,3,0))</f>
        <v/>
      </c>
      <c r="BG3317" s="744" t="str">
        <f t="shared" si="1155"/>
        <v/>
      </c>
      <c r="BH3317" s="744" t="str">
        <f>IF(G3317="","",IF(BF3317="Abu Dhabi",IF(G3317&lt;18,'General Basis'!$C$39,IF(G3317&lt;41,'General Basis'!$C$40,IF(G3317&lt;60,'General Basis'!$C$41,IF(G3317&lt;65,'General Basis'!$C$42,'General Basis'!$C$43)))),IF(G3317&lt;11,'General Basis'!$B$39,IF(G3317&lt;18,'General Basis'!$B$40,IF(G3317&lt;26,'General Basis'!$B$41,IF(G3317&lt;31,'General Basis'!$B$42,IF(G3317&lt;36,'General Basis'!$B$43,IF(G3317&lt;41,'General Basis'!$B$44,IF(G3317&lt;46,'General Basis'!$B$45,IF(G3317&lt;51,'General Basis'!$B$46,IF(G3317&lt;56,'General Basis'!$B$47,IF(G3317&lt;60,'General Basis'!$B$48,IF(G3317&lt;65,'General Basis'!$B$49,'General Basis'!$B$50)))))))))))))</f>
        <v/>
      </c>
      <c r="BI3317" s="744" t="str">
        <f t="shared" si="1149"/>
        <v/>
      </c>
      <c r="BJ3317" s="747" t="str">
        <f t="shared" si="1156"/>
        <v/>
      </c>
      <c r="BK3317" s="498" t="str">
        <f t="shared" si="1150"/>
        <v/>
      </c>
      <c r="BL3317" s="498" t="str">
        <f t="shared" si="1151"/>
        <v/>
      </c>
    </row>
    <row r="3318" spans="1:64" x14ac:dyDescent="0.25">
      <c r="A3318" s="762">
        <f t="shared" si="1152"/>
        <v>3313</v>
      </c>
      <c r="B3318" s="229"/>
      <c r="C3318" s="223"/>
      <c r="D3318" s="224"/>
      <c r="E3318" s="225"/>
      <c r="F3318" s="1036" t="str">
        <f t="shared" si="1158"/>
        <v/>
      </c>
      <c r="G3318" s="1037" t="str">
        <f t="shared" si="1153"/>
        <v/>
      </c>
      <c r="H3318" s="225"/>
      <c r="I3318" s="1013"/>
      <c r="J3318" s="1013"/>
      <c r="K3318" s="1028"/>
      <c r="L3318" s="1035" t="str">
        <f t="shared" si="1157"/>
        <v/>
      </c>
      <c r="S3318" s="498"/>
      <c r="AJ3318" s="498"/>
      <c r="AM3318" s="498">
        <f t="shared" si="1138"/>
        <v>0</v>
      </c>
      <c r="AN3318" s="498">
        <f t="shared" si="1139"/>
        <v>0</v>
      </c>
      <c r="AO3318" s="498">
        <f t="shared" si="1140"/>
        <v>0</v>
      </c>
      <c r="AP3318" s="498">
        <f t="shared" si="1159"/>
        <v>0</v>
      </c>
      <c r="AQ3318" s="498">
        <f t="shared" si="1154"/>
        <v>0</v>
      </c>
      <c r="AU3318" s="498">
        <f t="shared" si="1141"/>
        <v>0</v>
      </c>
      <c r="AV3318" s="498">
        <f t="shared" si="1142"/>
        <v>0</v>
      </c>
      <c r="AW3318" s="498">
        <f t="shared" si="1143"/>
        <v>0</v>
      </c>
      <c r="AX3318" s="498">
        <f t="shared" si="1144"/>
        <v>0</v>
      </c>
      <c r="AY3318" s="498">
        <f t="shared" si="1145"/>
        <v>0</v>
      </c>
      <c r="BB3318" s="498" t="str">
        <f t="shared" si="1146"/>
        <v/>
      </c>
      <c r="BC3318" s="743" t="str">
        <f t="shared" si="1147"/>
        <v/>
      </c>
      <c r="BD3318" s="743" t="str">
        <f t="shared" si="1148"/>
        <v/>
      </c>
      <c r="BE3318" s="743" t="str">
        <f>IF(D3318="","",VLOOKUP(D3318,'General Basis'!$J$39:$K$46,2,0))</f>
        <v/>
      </c>
      <c r="BF3318" s="744" t="str">
        <f>IF(D3318="","",VLOOKUP(D3318,'General Basis'!$J$39:$L$46,3,0))</f>
        <v/>
      </c>
      <c r="BG3318" s="744" t="str">
        <f t="shared" si="1155"/>
        <v/>
      </c>
      <c r="BH3318" s="744" t="str">
        <f>IF(G3318="","",IF(BF3318="Abu Dhabi",IF(G3318&lt;18,'General Basis'!$C$39,IF(G3318&lt;41,'General Basis'!$C$40,IF(G3318&lt;60,'General Basis'!$C$41,IF(G3318&lt;65,'General Basis'!$C$42,'General Basis'!$C$43)))),IF(G3318&lt;11,'General Basis'!$B$39,IF(G3318&lt;18,'General Basis'!$B$40,IF(G3318&lt;26,'General Basis'!$B$41,IF(G3318&lt;31,'General Basis'!$B$42,IF(G3318&lt;36,'General Basis'!$B$43,IF(G3318&lt;41,'General Basis'!$B$44,IF(G3318&lt;46,'General Basis'!$B$45,IF(G3318&lt;51,'General Basis'!$B$46,IF(G3318&lt;56,'General Basis'!$B$47,IF(G3318&lt;60,'General Basis'!$B$48,IF(G3318&lt;65,'General Basis'!$B$49,'General Basis'!$B$50)))))))))))))</f>
        <v/>
      </c>
      <c r="BI3318" s="744" t="str">
        <f t="shared" si="1149"/>
        <v/>
      </c>
      <c r="BJ3318" s="747" t="str">
        <f t="shared" si="1156"/>
        <v/>
      </c>
      <c r="BK3318" s="498" t="str">
        <f t="shared" si="1150"/>
        <v/>
      </c>
      <c r="BL3318" s="498" t="str">
        <f t="shared" si="1151"/>
        <v/>
      </c>
    </row>
    <row r="3319" spans="1:64" x14ac:dyDescent="0.25">
      <c r="A3319" s="762">
        <f t="shared" si="1152"/>
        <v>3314</v>
      </c>
      <c r="B3319" s="229"/>
      <c r="C3319" s="223"/>
      <c r="D3319" s="224"/>
      <c r="E3319" s="225"/>
      <c r="F3319" s="1036" t="str">
        <f t="shared" si="1158"/>
        <v/>
      </c>
      <c r="G3319" s="1037" t="str">
        <f t="shared" si="1153"/>
        <v/>
      </c>
      <c r="H3319" s="225"/>
      <c r="I3319" s="1013"/>
      <c r="J3319" s="1013"/>
      <c r="K3319" s="1028"/>
      <c r="L3319" s="1035" t="str">
        <f t="shared" si="1157"/>
        <v/>
      </c>
      <c r="S3319" s="498"/>
      <c r="AJ3319" s="498"/>
      <c r="AM3319" s="498">
        <f t="shared" si="1138"/>
        <v>0</v>
      </c>
      <c r="AN3319" s="498">
        <f t="shared" si="1139"/>
        <v>0</v>
      </c>
      <c r="AO3319" s="498">
        <f t="shared" si="1140"/>
        <v>0</v>
      </c>
      <c r="AP3319" s="498">
        <f t="shared" si="1159"/>
        <v>0</v>
      </c>
      <c r="AQ3319" s="498">
        <f t="shared" si="1154"/>
        <v>0</v>
      </c>
      <c r="AU3319" s="498">
        <f t="shared" si="1141"/>
        <v>0</v>
      </c>
      <c r="AV3319" s="498">
        <f t="shared" si="1142"/>
        <v>0</v>
      </c>
      <c r="AW3319" s="498">
        <f t="shared" si="1143"/>
        <v>0</v>
      </c>
      <c r="AX3319" s="498">
        <f t="shared" si="1144"/>
        <v>0</v>
      </c>
      <c r="AY3319" s="498">
        <f t="shared" si="1145"/>
        <v>0</v>
      </c>
      <c r="BB3319" s="498" t="str">
        <f t="shared" si="1146"/>
        <v/>
      </c>
      <c r="BC3319" s="743" t="str">
        <f t="shared" si="1147"/>
        <v/>
      </c>
      <c r="BD3319" s="743" t="str">
        <f t="shared" si="1148"/>
        <v/>
      </c>
      <c r="BE3319" s="743" t="str">
        <f>IF(D3319="","",VLOOKUP(D3319,'General Basis'!$J$39:$K$46,2,0))</f>
        <v/>
      </c>
      <c r="BF3319" s="744" t="str">
        <f>IF(D3319="","",VLOOKUP(D3319,'General Basis'!$J$39:$L$46,3,0))</f>
        <v/>
      </c>
      <c r="BG3319" s="744" t="str">
        <f t="shared" si="1155"/>
        <v/>
      </c>
      <c r="BH3319" s="744" t="str">
        <f>IF(G3319="","",IF(BF3319="Abu Dhabi",IF(G3319&lt;18,'General Basis'!$C$39,IF(G3319&lt;41,'General Basis'!$C$40,IF(G3319&lt;60,'General Basis'!$C$41,IF(G3319&lt;65,'General Basis'!$C$42,'General Basis'!$C$43)))),IF(G3319&lt;11,'General Basis'!$B$39,IF(G3319&lt;18,'General Basis'!$B$40,IF(G3319&lt;26,'General Basis'!$B$41,IF(G3319&lt;31,'General Basis'!$B$42,IF(G3319&lt;36,'General Basis'!$B$43,IF(G3319&lt;41,'General Basis'!$B$44,IF(G3319&lt;46,'General Basis'!$B$45,IF(G3319&lt;51,'General Basis'!$B$46,IF(G3319&lt;56,'General Basis'!$B$47,IF(G3319&lt;60,'General Basis'!$B$48,IF(G3319&lt;65,'General Basis'!$B$49,'General Basis'!$B$50)))))))))))))</f>
        <v/>
      </c>
      <c r="BI3319" s="744" t="str">
        <f t="shared" si="1149"/>
        <v/>
      </c>
      <c r="BJ3319" s="747" t="str">
        <f t="shared" si="1156"/>
        <v/>
      </c>
      <c r="BK3319" s="498" t="str">
        <f t="shared" si="1150"/>
        <v/>
      </c>
      <c r="BL3319" s="498" t="str">
        <f t="shared" si="1151"/>
        <v/>
      </c>
    </row>
    <row r="3320" spans="1:64" x14ac:dyDescent="0.25">
      <c r="A3320" s="762">
        <f t="shared" si="1152"/>
        <v>3315</v>
      </c>
      <c r="B3320" s="229"/>
      <c r="C3320" s="223"/>
      <c r="D3320" s="224"/>
      <c r="E3320" s="225"/>
      <c r="F3320" s="1036" t="str">
        <f t="shared" si="1158"/>
        <v/>
      </c>
      <c r="G3320" s="1037" t="str">
        <f t="shared" si="1153"/>
        <v/>
      </c>
      <c r="H3320" s="225"/>
      <c r="I3320" s="1013"/>
      <c r="J3320" s="1013"/>
      <c r="K3320" s="1028"/>
      <c r="L3320" s="1035" t="str">
        <f t="shared" si="1157"/>
        <v/>
      </c>
      <c r="S3320" s="498"/>
      <c r="AJ3320" s="498"/>
      <c r="AM3320" s="498">
        <f t="shared" si="1138"/>
        <v>0</v>
      </c>
      <c r="AN3320" s="498">
        <f t="shared" si="1139"/>
        <v>0</v>
      </c>
      <c r="AO3320" s="498">
        <f t="shared" si="1140"/>
        <v>0</v>
      </c>
      <c r="AP3320" s="498">
        <f t="shared" si="1159"/>
        <v>0</v>
      </c>
      <c r="AQ3320" s="498">
        <f t="shared" si="1154"/>
        <v>0</v>
      </c>
      <c r="AU3320" s="498">
        <f t="shared" si="1141"/>
        <v>0</v>
      </c>
      <c r="AV3320" s="498">
        <f t="shared" si="1142"/>
        <v>0</v>
      </c>
      <c r="AW3320" s="498">
        <f t="shared" si="1143"/>
        <v>0</v>
      </c>
      <c r="AX3320" s="498">
        <f t="shared" si="1144"/>
        <v>0</v>
      </c>
      <c r="AY3320" s="498">
        <f t="shared" si="1145"/>
        <v>0</v>
      </c>
      <c r="BB3320" s="498" t="str">
        <f t="shared" si="1146"/>
        <v/>
      </c>
      <c r="BC3320" s="743" t="str">
        <f t="shared" si="1147"/>
        <v/>
      </c>
      <c r="BD3320" s="743" t="str">
        <f t="shared" si="1148"/>
        <v/>
      </c>
      <c r="BE3320" s="743" t="str">
        <f>IF(D3320="","",VLOOKUP(D3320,'General Basis'!$J$39:$K$46,2,0))</f>
        <v/>
      </c>
      <c r="BF3320" s="744" t="str">
        <f>IF(D3320="","",VLOOKUP(D3320,'General Basis'!$J$39:$L$46,3,0))</f>
        <v/>
      </c>
      <c r="BG3320" s="744" t="str">
        <f t="shared" si="1155"/>
        <v/>
      </c>
      <c r="BH3320" s="744" t="str">
        <f>IF(G3320="","",IF(BF3320="Abu Dhabi",IF(G3320&lt;18,'General Basis'!$C$39,IF(G3320&lt;41,'General Basis'!$C$40,IF(G3320&lt;60,'General Basis'!$C$41,IF(G3320&lt;65,'General Basis'!$C$42,'General Basis'!$C$43)))),IF(G3320&lt;11,'General Basis'!$B$39,IF(G3320&lt;18,'General Basis'!$B$40,IF(G3320&lt;26,'General Basis'!$B$41,IF(G3320&lt;31,'General Basis'!$B$42,IF(G3320&lt;36,'General Basis'!$B$43,IF(G3320&lt;41,'General Basis'!$B$44,IF(G3320&lt;46,'General Basis'!$B$45,IF(G3320&lt;51,'General Basis'!$B$46,IF(G3320&lt;56,'General Basis'!$B$47,IF(G3320&lt;60,'General Basis'!$B$48,IF(G3320&lt;65,'General Basis'!$B$49,'General Basis'!$B$50)))))))))))))</f>
        <v/>
      </c>
      <c r="BI3320" s="744" t="str">
        <f t="shared" si="1149"/>
        <v/>
      </c>
      <c r="BJ3320" s="747" t="str">
        <f t="shared" si="1156"/>
        <v/>
      </c>
      <c r="BK3320" s="498" t="str">
        <f t="shared" si="1150"/>
        <v/>
      </c>
      <c r="BL3320" s="498" t="str">
        <f t="shared" si="1151"/>
        <v/>
      </c>
    </row>
    <row r="3321" spans="1:64" x14ac:dyDescent="0.25">
      <c r="A3321" s="762">
        <f t="shared" si="1152"/>
        <v>3316</v>
      </c>
      <c r="B3321" s="229"/>
      <c r="C3321" s="223"/>
      <c r="D3321" s="224"/>
      <c r="E3321" s="225"/>
      <c r="F3321" s="1036" t="str">
        <f t="shared" si="1158"/>
        <v/>
      </c>
      <c r="G3321" s="1037" t="str">
        <f t="shared" si="1153"/>
        <v/>
      </c>
      <c r="H3321" s="225"/>
      <c r="I3321" s="1013"/>
      <c r="J3321" s="1013"/>
      <c r="K3321" s="1028"/>
      <c r="L3321" s="1035" t="str">
        <f t="shared" si="1157"/>
        <v/>
      </c>
      <c r="S3321" s="498"/>
      <c r="AJ3321" s="498"/>
      <c r="AM3321" s="498">
        <f t="shared" si="1138"/>
        <v>0</v>
      </c>
      <c r="AN3321" s="498">
        <f t="shared" si="1139"/>
        <v>0</v>
      </c>
      <c r="AO3321" s="498">
        <f t="shared" si="1140"/>
        <v>0</v>
      </c>
      <c r="AP3321" s="498">
        <f t="shared" si="1159"/>
        <v>0</v>
      </c>
      <c r="AQ3321" s="498">
        <f t="shared" si="1154"/>
        <v>0</v>
      </c>
      <c r="AU3321" s="498">
        <f t="shared" si="1141"/>
        <v>0</v>
      </c>
      <c r="AV3321" s="498">
        <f t="shared" si="1142"/>
        <v>0</v>
      </c>
      <c r="AW3321" s="498">
        <f t="shared" si="1143"/>
        <v>0</v>
      </c>
      <c r="AX3321" s="498">
        <f t="shared" si="1144"/>
        <v>0</v>
      </c>
      <c r="AY3321" s="498">
        <f t="shared" si="1145"/>
        <v>0</v>
      </c>
      <c r="BB3321" s="498" t="str">
        <f t="shared" si="1146"/>
        <v/>
      </c>
      <c r="BC3321" s="743" t="str">
        <f t="shared" si="1147"/>
        <v/>
      </c>
      <c r="BD3321" s="743" t="str">
        <f t="shared" si="1148"/>
        <v/>
      </c>
      <c r="BE3321" s="743" t="str">
        <f>IF(D3321="","",VLOOKUP(D3321,'General Basis'!$J$39:$K$46,2,0))</f>
        <v/>
      </c>
      <c r="BF3321" s="744" t="str">
        <f>IF(D3321="","",VLOOKUP(D3321,'General Basis'!$J$39:$L$46,3,0))</f>
        <v/>
      </c>
      <c r="BG3321" s="744" t="str">
        <f t="shared" si="1155"/>
        <v/>
      </c>
      <c r="BH3321" s="744" t="str">
        <f>IF(G3321="","",IF(BF3321="Abu Dhabi",IF(G3321&lt;18,'General Basis'!$C$39,IF(G3321&lt;41,'General Basis'!$C$40,IF(G3321&lt;60,'General Basis'!$C$41,IF(G3321&lt;65,'General Basis'!$C$42,'General Basis'!$C$43)))),IF(G3321&lt;11,'General Basis'!$B$39,IF(G3321&lt;18,'General Basis'!$B$40,IF(G3321&lt;26,'General Basis'!$B$41,IF(G3321&lt;31,'General Basis'!$B$42,IF(G3321&lt;36,'General Basis'!$B$43,IF(G3321&lt;41,'General Basis'!$B$44,IF(G3321&lt;46,'General Basis'!$B$45,IF(G3321&lt;51,'General Basis'!$B$46,IF(G3321&lt;56,'General Basis'!$B$47,IF(G3321&lt;60,'General Basis'!$B$48,IF(G3321&lt;65,'General Basis'!$B$49,'General Basis'!$B$50)))))))))))))</f>
        <v/>
      </c>
      <c r="BI3321" s="744" t="str">
        <f t="shared" si="1149"/>
        <v/>
      </c>
      <c r="BJ3321" s="747" t="str">
        <f t="shared" si="1156"/>
        <v/>
      </c>
      <c r="BK3321" s="498" t="str">
        <f t="shared" si="1150"/>
        <v/>
      </c>
      <c r="BL3321" s="498" t="str">
        <f t="shared" si="1151"/>
        <v/>
      </c>
    </row>
    <row r="3322" spans="1:64" x14ac:dyDescent="0.25">
      <c r="A3322" s="762">
        <f t="shared" si="1152"/>
        <v>3317</v>
      </c>
      <c r="B3322" s="229"/>
      <c r="C3322" s="223"/>
      <c r="D3322" s="224"/>
      <c r="E3322" s="225"/>
      <c r="F3322" s="1036" t="str">
        <f t="shared" si="1158"/>
        <v/>
      </c>
      <c r="G3322" s="1037" t="str">
        <f t="shared" si="1153"/>
        <v/>
      </c>
      <c r="H3322" s="225"/>
      <c r="I3322" s="1013"/>
      <c r="J3322" s="1013"/>
      <c r="K3322" s="1028"/>
      <c r="L3322" s="1035" t="str">
        <f t="shared" si="1157"/>
        <v/>
      </c>
      <c r="S3322" s="498"/>
      <c r="AJ3322" s="498"/>
      <c r="AM3322" s="498">
        <f t="shared" si="1138"/>
        <v>0</v>
      </c>
      <c r="AN3322" s="498">
        <f t="shared" si="1139"/>
        <v>0</v>
      </c>
      <c r="AO3322" s="498">
        <f t="shared" si="1140"/>
        <v>0</v>
      </c>
      <c r="AP3322" s="498">
        <f t="shared" si="1159"/>
        <v>0</v>
      </c>
      <c r="AQ3322" s="498">
        <f t="shared" si="1154"/>
        <v>0</v>
      </c>
      <c r="AU3322" s="498">
        <f t="shared" si="1141"/>
        <v>0</v>
      </c>
      <c r="AV3322" s="498">
        <f t="shared" si="1142"/>
        <v>0</v>
      </c>
      <c r="AW3322" s="498">
        <f t="shared" si="1143"/>
        <v>0</v>
      </c>
      <c r="AX3322" s="498">
        <f t="shared" si="1144"/>
        <v>0</v>
      </c>
      <c r="AY3322" s="498">
        <f t="shared" si="1145"/>
        <v>0</v>
      </c>
      <c r="BB3322" s="498" t="str">
        <f t="shared" si="1146"/>
        <v/>
      </c>
      <c r="BC3322" s="743" t="str">
        <f t="shared" si="1147"/>
        <v/>
      </c>
      <c r="BD3322" s="743" t="str">
        <f t="shared" si="1148"/>
        <v/>
      </c>
      <c r="BE3322" s="743" t="str">
        <f>IF(D3322="","",VLOOKUP(D3322,'General Basis'!$J$39:$K$46,2,0))</f>
        <v/>
      </c>
      <c r="BF3322" s="744" t="str">
        <f>IF(D3322="","",VLOOKUP(D3322,'General Basis'!$J$39:$L$46,3,0))</f>
        <v/>
      </c>
      <c r="BG3322" s="744" t="str">
        <f t="shared" si="1155"/>
        <v/>
      </c>
      <c r="BH3322" s="744" t="str">
        <f>IF(G3322="","",IF(BF3322="Abu Dhabi",IF(G3322&lt;18,'General Basis'!$C$39,IF(G3322&lt;41,'General Basis'!$C$40,IF(G3322&lt;60,'General Basis'!$C$41,IF(G3322&lt;65,'General Basis'!$C$42,'General Basis'!$C$43)))),IF(G3322&lt;11,'General Basis'!$B$39,IF(G3322&lt;18,'General Basis'!$B$40,IF(G3322&lt;26,'General Basis'!$B$41,IF(G3322&lt;31,'General Basis'!$B$42,IF(G3322&lt;36,'General Basis'!$B$43,IF(G3322&lt;41,'General Basis'!$B$44,IF(G3322&lt;46,'General Basis'!$B$45,IF(G3322&lt;51,'General Basis'!$B$46,IF(G3322&lt;56,'General Basis'!$B$47,IF(G3322&lt;60,'General Basis'!$B$48,IF(G3322&lt;65,'General Basis'!$B$49,'General Basis'!$B$50)))))))))))))</f>
        <v/>
      </c>
      <c r="BI3322" s="744" t="str">
        <f t="shared" si="1149"/>
        <v/>
      </c>
      <c r="BJ3322" s="747" t="str">
        <f t="shared" si="1156"/>
        <v/>
      </c>
      <c r="BK3322" s="498" t="str">
        <f t="shared" si="1150"/>
        <v/>
      </c>
      <c r="BL3322" s="498" t="str">
        <f t="shared" si="1151"/>
        <v/>
      </c>
    </row>
    <row r="3323" spans="1:64" x14ac:dyDescent="0.25">
      <c r="A3323" s="762">
        <f t="shared" si="1152"/>
        <v>3318</v>
      </c>
      <c r="B3323" s="229"/>
      <c r="C3323" s="223"/>
      <c r="D3323" s="224"/>
      <c r="E3323" s="225"/>
      <c r="F3323" s="1036" t="str">
        <f t="shared" si="1158"/>
        <v/>
      </c>
      <c r="G3323" s="1037" t="str">
        <f t="shared" si="1153"/>
        <v/>
      </c>
      <c r="H3323" s="225"/>
      <c r="I3323" s="1013"/>
      <c r="J3323" s="1013"/>
      <c r="K3323" s="1028"/>
      <c r="L3323" s="1035" t="str">
        <f t="shared" si="1157"/>
        <v/>
      </c>
      <c r="S3323" s="498"/>
      <c r="AJ3323" s="498"/>
      <c r="AM3323" s="498">
        <f t="shared" si="1138"/>
        <v>0</v>
      </c>
      <c r="AN3323" s="498">
        <f t="shared" si="1139"/>
        <v>0</v>
      </c>
      <c r="AO3323" s="498">
        <f t="shared" si="1140"/>
        <v>0</v>
      </c>
      <c r="AP3323" s="498">
        <f t="shared" si="1159"/>
        <v>0</v>
      </c>
      <c r="AQ3323" s="498">
        <f t="shared" si="1154"/>
        <v>0</v>
      </c>
      <c r="AU3323" s="498">
        <f t="shared" si="1141"/>
        <v>0</v>
      </c>
      <c r="AV3323" s="498">
        <f t="shared" si="1142"/>
        <v>0</v>
      </c>
      <c r="AW3323" s="498">
        <f t="shared" si="1143"/>
        <v>0</v>
      </c>
      <c r="AX3323" s="498">
        <f t="shared" si="1144"/>
        <v>0</v>
      </c>
      <c r="AY3323" s="498">
        <f t="shared" si="1145"/>
        <v>0</v>
      </c>
      <c r="BB3323" s="498" t="str">
        <f t="shared" si="1146"/>
        <v/>
      </c>
      <c r="BC3323" s="743" t="str">
        <f t="shared" si="1147"/>
        <v/>
      </c>
      <c r="BD3323" s="743" t="str">
        <f t="shared" si="1148"/>
        <v/>
      </c>
      <c r="BE3323" s="743" t="str">
        <f>IF(D3323="","",VLOOKUP(D3323,'General Basis'!$J$39:$K$46,2,0))</f>
        <v/>
      </c>
      <c r="BF3323" s="744" t="str">
        <f>IF(D3323="","",VLOOKUP(D3323,'General Basis'!$J$39:$L$46,3,0))</f>
        <v/>
      </c>
      <c r="BG3323" s="744" t="str">
        <f t="shared" si="1155"/>
        <v/>
      </c>
      <c r="BH3323" s="744" t="str">
        <f>IF(G3323="","",IF(BF3323="Abu Dhabi",IF(G3323&lt;18,'General Basis'!$C$39,IF(G3323&lt;41,'General Basis'!$C$40,IF(G3323&lt;60,'General Basis'!$C$41,IF(G3323&lt;65,'General Basis'!$C$42,'General Basis'!$C$43)))),IF(G3323&lt;11,'General Basis'!$B$39,IF(G3323&lt;18,'General Basis'!$B$40,IF(G3323&lt;26,'General Basis'!$B$41,IF(G3323&lt;31,'General Basis'!$B$42,IF(G3323&lt;36,'General Basis'!$B$43,IF(G3323&lt;41,'General Basis'!$B$44,IF(G3323&lt;46,'General Basis'!$B$45,IF(G3323&lt;51,'General Basis'!$B$46,IF(G3323&lt;56,'General Basis'!$B$47,IF(G3323&lt;60,'General Basis'!$B$48,IF(G3323&lt;65,'General Basis'!$B$49,'General Basis'!$B$50)))))))))))))</f>
        <v/>
      </c>
      <c r="BI3323" s="744" t="str">
        <f t="shared" si="1149"/>
        <v/>
      </c>
      <c r="BJ3323" s="747" t="str">
        <f t="shared" si="1156"/>
        <v/>
      </c>
      <c r="BK3323" s="498" t="str">
        <f t="shared" si="1150"/>
        <v/>
      </c>
      <c r="BL3323" s="498" t="str">
        <f t="shared" si="1151"/>
        <v/>
      </c>
    </row>
    <row r="3324" spans="1:64" x14ac:dyDescent="0.25">
      <c r="A3324" s="762">
        <f t="shared" si="1152"/>
        <v>3319</v>
      </c>
      <c r="B3324" s="229"/>
      <c r="C3324" s="223"/>
      <c r="D3324" s="224"/>
      <c r="E3324" s="225"/>
      <c r="F3324" s="1036" t="str">
        <f t="shared" si="1158"/>
        <v/>
      </c>
      <c r="G3324" s="1037" t="str">
        <f t="shared" si="1153"/>
        <v/>
      </c>
      <c r="H3324" s="225"/>
      <c r="I3324" s="1013"/>
      <c r="J3324" s="1013"/>
      <c r="K3324" s="1028"/>
      <c r="L3324" s="1035" t="str">
        <f t="shared" si="1157"/>
        <v/>
      </c>
      <c r="S3324" s="498"/>
      <c r="AJ3324" s="498"/>
      <c r="AM3324" s="498">
        <f t="shared" si="1138"/>
        <v>0</v>
      </c>
      <c r="AN3324" s="498">
        <f t="shared" si="1139"/>
        <v>0</v>
      </c>
      <c r="AO3324" s="498">
        <f t="shared" si="1140"/>
        <v>0</v>
      </c>
      <c r="AP3324" s="498">
        <f t="shared" si="1159"/>
        <v>0</v>
      </c>
      <c r="AQ3324" s="498">
        <f t="shared" si="1154"/>
        <v>0</v>
      </c>
      <c r="AU3324" s="498">
        <f t="shared" si="1141"/>
        <v>0</v>
      </c>
      <c r="AV3324" s="498">
        <f t="shared" si="1142"/>
        <v>0</v>
      </c>
      <c r="AW3324" s="498">
        <f t="shared" si="1143"/>
        <v>0</v>
      </c>
      <c r="AX3324" s="498">
        <f t="shared" si="1144"/>
        <v>0</v>
      </c>
      <c r="AY3324" s="498">
        <f t="shared" si="1145"/>
        <v>0</v>
      </c>
      <c r="BB3324" s="498" t="str">
        <f t="shared" si="1146"/>
        <v/>
      </c>
      <c r="BC3324" s="743" t="str">
        <f t="shared" si="1147"/>
        <v/>
      </c>
      <c r="BD3324" s="743" t="str">
        <f t="shared" si="1148"/>
        <v/>
      </c>
      <c r="BE3324" s="743" t="str">
        <f>IF(D3324="","",VLOOKUP(D3324,'General Basis'!$J$39:$K$46,2,0))</f>
        <v/>
      </c>
      <c r="BF3324" s="744" t="str">
        <f>IF(D3324="","",VLOOKUP(D3324,'General Basis'!$J$39:$L$46,3,0))</f>
        <v/>
      </c>
      <c r="BG3324" s="744" t="str">
        <f t="shared" si="1155"/>
        <v/>
      </c>
      <c r="BH3324" s="744" t="str">
        <f>IF(G3324="","",IF(BF3324="Abu Dhabi",IF(G3324&lt;18,'General Basis'!$C$39,IF(G3324&lt;41,'General Basis'!$C$40,IF(G3324&lt;60,'General Basis'!$C$41,IF(G3324&lt;65,'General Basis'!$C$42,'General Basis'!$C$43)))),IF(G3324&lt;11,'General Basis'!$B$39,IF(G3324&lt;18,'General Basis'!$B$40,IF(G3324&lt;26,'General Basis'!$B$41,IF(G3324&lt;31,'General Basis'!$B$42,IF(G3324&lt;36,'General Basis'!$B$43,IF(G3324&lt;41,'General Basis'!$B$44,IF(G3324&lt;46,'General Basis'!$B$45,IF(G3324&lt;51,'General Basis'!$B$46,IF(G3324&lt;56,'General Basis'!$B$47,IF(G3324&lt;60,'General Basis'!$B$48,IF(G3324&lt;65,'General Basis'!$B$49,'General Basis'!$B$50)))))))))))))</f>
        <v/>
      </c>
      <c r="BI3324" s="744" t="str">
        <f t="shared" si="1149"/>
        <v/>
      </c>
      <c r="BJ3324" s="747" t="str">
        <f t="shared" si="1156"/>
        <v/>
      </c>
      <c r="BK3324" s="498" t="str">
        <f t="shared" si="1150"/>
        <v/>
      </c>
      <c r="BL3324" s="498" t="str">
        <f t="shared" si="1151"/>
        <v/>
      </c>
    </row>
    <row r="3325" spans="1:64" x14ac:dyDescent="0.25">
      <c r="A3325" s="762">
        <f t="shared" si="1152"/>
        <v>3320</v>
      </c>
      <c r="B3325" s="229"/>
      <c r="C3325" s="223"/>
      <c r="D3325" s="224"/>
      <c r="E3325" s="225"/>
      <c r="F3325" s="1036" t="str">
        <f t="shared" si="1158"/>
        <v/>
      </c>
      <c r="G3325" s="1037" t="str">
        <f t="shared" si="1153"/>
        <v/>
      </c>
      <c r="H3325" s="225"/>
      <c r="I3325" s="1013"/>
      <c r="J3325" s="1013"/>
      <c r="K3325" s="1028"/>
      <c r="L3325" s="1035" t="str">
        <f t="shared" si="1157"/>
        <v/>
      </c>
      <c r="S3325" s="498"/>
      <c r="AJ3325" s="498"/>
      <c r="AM3325" s="498">
        <f t="shared" si="1138"/>
        <v>0</v>
      </c>
      <c r="AN3325" s="498">
        <f t="shared" si="1139"/>
        <v>0</v>
      </c>
      <c r="AO3325" s="498">
        <f t="shared" si="1140"/>
        <v>0</v>
      </c>
      <c r="AP3325" s="498">
        <f t="shared" si="1159"/>
        <v>0</v>
      </c>
      <c r="AQ3325" s="498">
        <f t="shared" si="1154"/>
        <v>0</v>
      </c>
      <c r="AU3325" s="498">
        <f t="shared" si="1141"/>
        <v>0</v>
      </c>
      <c r="AV3325" s="498">
        <f t="shared" si="1142"/>
        <v>0</v>
      </c>
      <c r="AW3325" s="498">
        <f t="shared" si="1143"/>
        <v>0</v>
      </c>
      <c r="AX3325" s="498">
        <f t="shared" si="1144"/>
        <v>0</v>
      </c>
      <c r="AY3325" s="498">
        <f t="shared" si="1145"/>
        <v>0</v>
      </c>
      <c r="BB3325" s="498" t="str">
        <f t="shared" si="1146"/>
        <v/>
      </c>
      <c r="BC3325" s="743" t="str">
        <f t="shared" si="1147"/>
        <v/>
      </c>
      <c r="BD3325" s="743" t="str">
        <f t="shared" si="1148"/>
        <v/>
      </c>
      <c r="BE3325" s="743" t="str">
        <f>IF(D3325="","",VLOOKUP(D3325,'General Basis'!$J$39:$K$46,2,0))</f>
        <v/>
      </c>
      <c r="BF3325" s="744" t="str">
        <f>IF(D3325="","",VLOOKUP(D3325,'General Basis'!$J$39:$L$46,3,0))</f>
        <v/>
      </c>
      <c r="BG3325" s="744" t="str">
        <f t="shared" si="1155"/>
        <v/>
      </c>
      <c r="BH3325" s="744" t="str">
        <f>IF(G3325="","",IF(BF3325="Abu Dhabi",IF(G3325&lt;18,'General Basis'!$C$39,IF(G3325&lt;41,'General Basis'!$C$40,IF(G3325&lt;60,'General Basis'!$C$41,IF(G3325&lt;65,'General Basis'!$C$42,'General Basis'!$C$43)))),IF(G3325&lt;11,'General Basis'!$B$39,IF(G3325&lt;18,'General Basis'!$B$40,IF(G3325&lt;26,'General Basis'!$B$41,IF(G3325&lt;31,'General Basis'!$B$42,IF(G3325&lt;36,'General Basis'!$B$43,IF(G3325&lt;41,'General Basis'!$B$44,IF(G3325&lt;46,'General Basis'!$B$45,IF(G3325&lt;51,'General Basis'!$B$46,IF(G3325&lt;56,'General Basis'!$B$47,IF(G3325&lt;60,'General Basis'!$B$48,IF(G3325&lt;65,'General Basis'!$B$49,'General Basis'!$B$50)))))))))))))</f>
        <v/>
      </c>
      <c r="BI3325" s="744" t="str">
        <f t="shared" si="1149"/>
        <v/>
      </c>
      <c r="BJ3325" s="747" t="str">
        <f t="shared" si="1156"/>
        <v/>
      </c>
      <c r="BK3325" s="498" t="str">
        <f t="shared" si="1150"/>
        <v/>
      </c>
      <c r="BL3325" s="498" t="str">
        <f t="shared" si="1151"/>
        <v/>
      </c>
    </row>
    <row r="3326" spans="1:64" x14ac:dyDescent="0.25">
      <c r="A3326" s="762">
        <f t="shared" si="1152"/>
        <v>3321</v>
      </c>
      <c r="B3326" s="229"/>
      <c r="C3326" s="223"/>
      <c r="D3326" s="224"/>
      <c r="E3326" s="225"/>
      <c r="F3326" s="1036" t="str">
        <f t="shared" si="1158"/>
        <v/>
      </c>
      <c r="G3326" s="1037" t="str">
        <f t="shared" si="1153"/>
        <v/>
      </c>
      <c r="H3326" s="225"/>
      <c r="I3326" s="1013"/>
      <c r="J3326" s="1013"/>
      <c r="K3326" s="1028"/>
      <c r="L3326" s="1035" t="str">
        <f t="shared" si="1157"/>
        <v/>
      </c>
      <c r="S3326" s="498"/>
      <c r="AJ3326" s="498"/>
      <c r="AM3326" s="498">
        <f t="shared" si="1138"/>
        <v>0</v>
      </c>
      <c r="AN3326" s="498">
        <f t="shared" si="1139"/>
        <v>0</v>
      </c>
      <c r="AO3326" s="498">
        <f t="shared" si="1140"/>
        <v>0</v>
      </c>
      <c r="AP3326" s="498">
        <f t="shared" si="1159"/>
        <v>0</v>
      </c>
      <c r="AQ3326" s="498">
        <f t="shared" si="1154"/>
        <v>0</v>
      </c>
      <c r="AU3326" s="498">
        <f t="shared" si="1141"/>
        <v>0</v>
      </c>
      <c r="AV3326" s="498">
        <f t="shared" si="1142"/>
        <v>0</v>
      </c>
      <c r="AW3326" s="498">
        <f t="shared" si="1143"/>
        <v>0</v>
      </c>
      <c r="AX3326" s="498">
        <f t="shared" si="1144"/>
        <v>0</v>
      </c>
      <c r="AY3326" s="498">
        <f t="shared" si="1145"/>
        <v>0</v>
      </c>
      <c r="BB3326" s="498" t="str">
        <f t="shared" si="1146"/>
        <v/>
      </c>
      <c r="BC3326" s="743" t="str">
        <f t="shared" si="1147"/>
        <v/>
      </c>
      <c r="BD3326" s="743" t="str">
        <f t="shared" si="1148"/>
        <v/>
      </c>
      <c r="BE3326" s="743" t="str">
        <f>IF(D3326="","",VLOOKUP(D3326,'General Basis'!$J$39:$K$46,2,0))</f>
        <v/>
      </c>
      <c r="BF3326" s="744" t="str">
        <f>IF(D3326="","",VLOOKUP(D3326,'General Basis'!$J$39:$L$46,3,0))</f>
        <v/>
      </c>
      <c r="BG3326" s="744" t="str">
        <f t="shared" si="1155"/>
        <v/>
      </c>
      <c r="BH3326" s="744" t="str">
        <f>IF(G3326="","",IF(BF3326="Abu Dhabi",IF(G3326&lt;18,'General Basis'!$C$39,IF(G3326&lt;41,'General Basis'!$C$40,IF(G3326&lt;60,'General Basis'!$C$41,IF(G3326&lt;65,'General Basis'!$C$42,'General Basis'!$C$43)))),IF(G3326&lt;11,'General Basis'!$B$39,IF(G3326&lt;18,'General Basis'!$B$40,IF(G3326&lt;26,'General Basis'!$B$41,IF(G3326&lt;31,'General Basis'!$B$42,IF(G3326&lt;36,'General Basis'!$B$43,IF(G3326&lt;41,'General Basis'!$B$44,IF(G3326&lt;46,'General Basis'!$B$45,IF(G3326&lt;51,'General Basis'!$B$46,IF(G3326&lt;56,'General Basis'!$B$47,IF(G3326&lt;60,'General Basis'!$B$48,IF(G3326&lt;65,'General Basis'!$B$49,'General Basis'!$B$50)))))))))))))</f>
        <v/>
      </c>
      <c r="BI3326" s="744" t="str">
        <f t="shared" si="1149"/>
        <v/>
      </c>
      <c r="BJ3326" s="747" t="str">
        <f t="shared" si="1156"/>
        <v/>
      </c>
      <c r="BK3326" s="498" t="str">
        <f t="shared" si="1150"/>
        <v/>
      </c>
      <c r="BL3326" s="498" t="str">
        <f t="shared" si="1151"/>
        <v/>
      </c>
    </row>
    <row r="3327" spans="1:64" x14ac:dyDescent="0.25">
      <c r="A3327" s="762">
        <f t="shared" si="1152"/>
        <v>3322</v>
      </c>
      <c r="B3327" s="229"/>
      <c r="C3327" s="223"/>
      <c r="D3327" s="224"/>
      <c r="E3327" s="225"/>
      <c r="F3327" s="1036" t="str">
        <f t="shared" si="1158"/>
        <v/>
      </c>
      <c r="G3327" s="1037" t="str">
        <f t="shared" si="1153"/>
        <v/>
      </c>
      <c r="H3327" s="225"/>
      <c r="I3327" s="1013"/>
      <c r="J3327" s="1013"/>
      <c r="K3327" s="1028"/>
      <c r="L3327" s="1035" t="str">
        <f t="shared" si="1157"/>
        <v/>
      </c>
      <c r="S3327" s="498"/>
      <c r="AJ3327" s="498"/>
      <c r="AM3327" s="498">
        <f t="shared" si="1138"/>
        <v>0</v>
      </c>
      <c r="AN3327" s="498">
        <f t="shared" si="1139"/>
        <v>0</v>
      </c>
      <c r="AO3327" s="498">
        <f t="shared" si="1140"/>
        <v>0</v>
      </c>
      <c r="AP3327" s="498">
        <f t="shared" si="1159"/>
        <v>0</v>
      </c>
      <c r="AQ3327" s="498">
        <f t="shared" si="1154"/>
        <v>0</v>
      </c>
      <c r="AU3327" s="498">
        <f t="shared" si="1141"/>
        <v>0</v>
      </c>
      <c r="AV3327" s="498">
        <f t="shared" si="1142"/>
        <v>0</v>
      </c>
      <c r="AW3327" s="498">
        <f t="shared" si="1143"/>
        <v>0</v>
      </c>
      <c r="AX3327" s="498">
        <f t="shared" si="1144"/>
        <v>0</v>
      </c>
      <c r="AY3327" s="498">
        <f t="shared" si="1145"/>
        <v>0</v>
      </c>
      <c r="BB3327" s="498" t="str">
        <f t="shared" si="1146"/>
        <v/>
      </c>
      <c r="BC3327" s="743" t="str">
        <f t="shared" si="1147"/>
        <v/>
      </c>
      <c r="BD3327" s="743" t="str">
        <f t="shared" si="1148"/>
        <v/>
      </c>
      <c r="BE3327" s="743" t="str">
        <f>IF(D3327="","",VLOOKUP(D3327,'General Basis'!$J$39:$K$46,2,0))</f>
        <v/>
      </c>
      <c r="BF3327" s="744" t="str">
        <f>IF(D3327="","",VLOOKUP(D3327,'General Basis'!$J$39:$L$46,3,0))</f>
        <v/>
      </c>
      <c r="BG3327" s="744" t="str">
        <f t="shared" si="1155"/>
        <v/>
      </c>
      <c r="BH3327" s="744" t="str">
        <f>IF(G3327="","",IF(BF3327="Abu Dhabi",IF(G3327&lt;18,'General Basis'!$C$39,IF(G3327&lt;41,'General Basis'!$C$40,IF(G3327&lt;60,'General Basis'!$C$41,IF(G3327&lt;65,'General Basis'!$C$42,'General Basis'!$C$43)))),IF(G3327&lt;11,'General Basis'!$B$39,IF(G3327&lt;18,'General Basis'!$B$40,IF(G3327&lt;26,'General Basis'!$B$41,IF(G3327&lt;31,'General Basis'!$B$42,IF(G3327&lt;36,'General Basis'!$B$43,IF(G3327&lt;41,'General Basis'!$B$44,IF(G3327&lt;46,'General Basis'!$B$45,IF(G3327&lt;51,'General Basis'!$B$46,IF(G3327&lt;56,'General Basis'!$B$47,IF(G3327&lt;60,'General Basis'!$B$48,IF(G3327&lt;65,'General Basis'!$B$49,'General Basis'!$B$50)))))))))))))</f>
        <v/>
      </c>
      <c r="BI3327" s="744" t="str">
        <f t="shared" si="1149"/>
        <v/>
      </c>
      <c r="BJ3327" s="747" t="str">
        <f t="shared" si="1156"/>
        <v/>
      </c>
      <c r="BK3327" s="498" t="str">
        <f t="shared" si="1150"/>
        <v/>
      </c>
      <c r="BL3327" s="498" t="str">
        <f t="shared" si="1151"/>
        <v/>
      </c>
    </row>
    <row r="3328" spans="1:64" x14ac:dyDescent="0.25">
      <c r="A3328" s="762">
        <f t="shared" si="1152"/>
        <v>3323</v>
      </c>
      <c r="B3328" s="229"/>
      <c r="C3328" s="223"/>
      <c r="D3328" s="224"/>
      <c r="E3328" s="225"/>
      <c r="F3328" s="1036" t="str">
        <f t="shared" si="1158"/>
        <v/>
      </c>
      <c r="G3328" s="1037" t="str">
        <f t="shared" si="1153"/>
        <v/>
      </c>
      <c r="H3328" s="225"/>
      <c r="I3328" s="1013"/>
      <c r="J3328" s="1013"/>
      <c r="K3328" s="1028"/>
      <c r="L3328" s="1035" t="str">
        <f t="shared" si="1157"/>
        <v/>
      </c>
      <c r="S3328" s="498"/>
      <c r="AJ3328" s="498"/>
      <c r="AM3328" s="498">
        <f t="shared" si="1138"/>
        <v>0</v>
      </c>
      <c r="AN3328" s="498">
        <f t="shared" si="1139"/>
        <v>0</v>
      </c>
      <c r="AO3328" s="498">
        <f t="shared" si="1140"/>
        <v>0</v>
      </c>
      <c r="AP3328" s="498">
        <f t="shared" si="1159"/>
        <v>0</v>
      </c>
      <c r="AQ3328" s="498">
        <f t="shared" si="1154"/>
        <v>0</v>
      </c>
      <c r="AU3328" s="498">
        <f t="shared" si="1141"/>
        <v>0</v>
      </c>
      <c r="AV3328" s="498">
        <f t="shared" si="1142"/>
        <v>0</v>
      </c>
      <c r="AW3328" s="498">
        <f t="shared" si="1143"/>
        <v>0</v>
      </c>
      <c r="AX3328" s="498">
        <f t="shared" si="1144"/>
        <v>0</v>
      </c>
      <c r="AY3328" s="498">
        <f t="shared" si="1145"/>
        <v>0</v>
      </c>
      <c r="BB3328" s="498" t="str">
        <f t="shared" si="1146"/>
        <v/>
      </c>
      <c r="BC3328" s="743" t="str">
        <f t="shared" si="1147"/>
        <v/>
      </c>
      <c r="BD3328" s="743" t="str">
        <f t="shared" si="1148"/>
        <v/>
      </c>
      <c r="BE3328" s="743" t="str">
        <f>IF(D3328="","",VLOOKUP(D3328,'General Basis'!$J$39:$K$46,2,0))</f>
        <v/>
      </c>
      <c r="BF3328" s="744" t="str">
        <f>IF(D3328="","",VLOOKUP(D3328,'General Basis'!$J$39:$L$46,3,0))</f>
        <v/>
      </c>
      <c r="BG3328" s="744" t="str">
        <f t="shared" si="1155"/>
        <v/>
      </c>
      <c r="BH3328" s="744" t="str">
        <f>IF(G3328="","",IF(BF3328="Abu Dhabi",IF(G3328&lt;18,'General Basis'!$C$39,IF(G3328&lt;41,'General Basis'!$C$40,IF(G3328&lt;60,'General Basis'!$C$41,IF(G3328&lt;65,'General Basis'!$C$42,'General Basis'!$C$43)))),IF(G3328&lt;11,'General Basis'!$B$39,IF(G3328&lt;18,'General Basis'!$B$40,IF(G3328&lt;26,'General Basis'!$B$41,IF(G3328&lt;31,'General Basis'!$B$42,IF(G3328&lt;36,'General Basis'!$B$43,IF(G3328&lt;41,'General Basis'!$B$44,IF(G3328&lt;46,'General Basis'!$B$45,IF(G3328&lt;51,'General Basis'!$B$46,IF(G3328&lt;56,'General Basis'!$B$47,IF(G3328&lt;60,'General Basis'!$B$48,IF(G3328&lt;65,'General Basis'!$B$49,'General Basis'!$B$50)))))))))))))</f>
        <v/>
      </c>
      <c r="BI3328" s="744" t="str">
        <f t="shared" si="1149"/>
        <v/>
      </c>
      <c r="BJ3328" s="747" t="str">
        <f t="shared" si="1156"/>
        <v/>
      </c>
      <c r="BK3328" s="498" t="str">
        <f t="shared" si="1150"/>
        <v/>
      </c>
      <c r="BL3328" s="498" t="str">
        <f t="shared" si="1151"/>
        <v/>
      </c>
    </row>
    <row r="3329" spans="1:64" x14ac:dyDescent="0.25">
      <c r="A3329" s="762">
        <f t="shared" si="1152"/>
        <v>3324</v>
      </c>
      <c r="B3329" s="229"/>
      <c r="C3329" s="223"/>
      <c r="D3329" s="224"/>
      <c r="E3329" s="225"/>
      <c r="F3329" s="1036" t="str">
        <f t="shared" si="1158"/>
        <v/>
      </c>
      <c r="G3329" s="1037" t="str">
        <f t="shared" si="1153"/>
        <v/>
      </c>
      <c r="H3329" s="225"/>
      <c r="I3329" s="1013"/>
      <c r="J3329" s="1013"/>
      <c r="K3329" s="1028"/>
      <c r="L3329" s="1035" t="str">
        <f t="shared" si="1157"/>
        <v/>
      </c>
      <c r="S3329" s="498"/>
      <c r="AJ3329" s="498"/>
      <c r="AM3329" s="498">
        <f t="shared" si="1138"/>
        <v>0</v>
      </c>
      <c r="AN3329" s="498">
        <f t="shared" si="1139"/>
        <v>0</v>
      </c>
      <c r="AO3329" s="498">
        <f t="shared" si="1140"/>
        <v>0</v>
      </c>
      <c r="AP3329" s="498">
        <f t="shared" si="1159"/>
        <v>0</v>
      </c>
      <c r="AQ3329" s="498">
        <f t="shared" si="1154"/>
        <v>0</v>
      </c>
      <c r="AU3329" s="498">
        <f t="shared" si="1141"/>
        <v>0</v>
      </c>
      <c r="AV3329" s="498">
        <f t="shared" si="1142"/>
        <v>0</v>
      </c>
      <c r="AW3329" s="498">
        <f t="shared" si="1143"/>
        <v>0</v>
      </c>
      <c r="AX3329" s="498">
        <f t="shared" si="1144"/>
        <v>0</v>
      </c>
      <c r="AY3329" s="498">
        <f t="shared" si="1145"/>
        <v>0</v>
      </c>
      <c r="BB3329" s="498" t="str">
        <f t="shared" si="1146"/>
        <v/>
      </c>
      <c r="BC3329" s="743" t="str">
        <f t="shared" si="1147"/>
        <v/>
      </c>
      <c r="BD3329" s="743" t="str">
        <f t="shared" si="1148"/>
        <v/>
      </c>
      <c r="BE3329" s="743" t="str">
        <f>IF(D3329="","",VLOOKUP(D3329,'General Basis'!$J$39:$K$46,2,0))</f>
        <v/>
      </c>
      <c r="BF3329" s="744" t="str">
        <f>IF(D3329="","",VLOOKUP(D3329,'General Basis'!$J$39:$L$46,3,0))</f>
        <v/>
      </c>
      <c r="BG3329" s="744" t="str">
        <f t="shared" si="1155"/>
        <v/>
      </c>
      <c r="BH3329" s="744" t="str">
        <f>IF(G3329="","",IF(BF3329="Abu Dhabi",IF(G3329&lt;18,'General Basis'!$C$39,IF(G3329&lt;41,'General Basis'!$C$40,IF(G3329&lt;60,'General Basis'!$C$41,IF(G3329&lt;65,'General Basis'!$C$42,'General Basis'!$C$43)))),IF(G3329&lt;11,'General Basis'!$B$39,IF(G3329&lt;18,'General Basis'!$B$40,IF(G3329&lt;26,'General Basis'!$B$41,IF(G3329&lt;31,'General Basis'!$B$42,IF(G3329&lt;36,'General Basis'!$B$43,IF(G3329&lt;41,'General Basis'!$B$44,IF(G3329&lt;46,'General Basis'!$B$45,IF(G3329&lt;51,'General Basis'!$B$46,IF(G3329&lt;56,'General Basis'!$B$47,IF(G3329&lt;60,'General Basis'!$B$48,IF(G3329&lt;65,'General Basis'!$B$49,'General Basis'!$B$50)))))))))))))</f>
        <v/>
      </c>
      <c r="BI3329" s="744" t="str">
        <f t="shared" si="1149"/>
        <v/>
      </c>
      <c r="BJ3329" s="747" t="str">
        <f t="shared" si="1156"/>
        <v/>
      </c>
      <c r="BK3329" s="498" t="str">
        <f t="shared" si="1150"/>
        <v/>
      </c>
      <c r="BL3329" s="498" t="str">
        <f t="shared" si="1151"/>
        <v/>
      </c>
    </row>
    <row r="3330" spans="1:64" x14ac:dyDescent="0.25">
      <c r="A3330" s="762">
        <f t="shared" si="1152"/>
        <v>3325</v>
      </c>
      <c r="B3330" s="229"/>
      <c r="C3330" s="223"/>
      <c r="D3330" s="224"/>
      <c r="E3330" s="225"/>
      <c r="F3330" s="1036" t="str">
        <f t="shared" si="1158"/>
        <v/>
      </c>
      <c r="G3330" s="1037" t="str">
        <f t="shared" si="1153"/>
        <v/>
      </c>
      <c r="H3330" s="225"/>
      <c r="I3330" s="1013"/>
      <c r="J3330" s="1013"/>
      <c r="K3330" s="1028"/>
      <c r="L3330" s="1035" t="str">
        <f t="shared" si="1157"/>
        <v/>
      </c>
      <c r="S3330" s="498"/>
      <c r="AJ3330" s="498"/>
      <c r="AM3330" s="498">
        <f t="shared" si="1138"/>
        <v>0</v>
      </c>
      <c r="AN3330" s="498">
        <f t="shared" si="1139"/>
        <v>0</v>
      </c>
      <c r="AO3330" s="498">
        <f t="shared" si="1140"/>
        <v>0</v>
      </c>
      <c r="AP3330" s="498">
        <f t="shared" si="1159"/>
        <v>0</v>
      </c>
      <c r="AQ3330" s="498">
        <f t="shared" si="1154"/>
        <v>0</v>
      </c>
      <c r="AU3330" s="498">
        <f t="shared" si="1141"/>
        <v>0</v>
      </c>
      <c r="AV3330" s="498">
        <f t="shared" si="1142"/>
        <v>0</v>
      </c>
      <c r="AW3330" s="498">
        <f t="shared" si="1143"/>
        <v>0</v>
      </c>
      <c r="AX3330" s="498">
        <f t="shared" si="1144"/>
        <v>0</v>
      </c>
      <c r="AY3330" s="498">
        <f t="shared" si="1145"/>
        <v>0</v>
      </c>
      <c r="BB3330" s="498" t="str">
        <f t="shared" si="1146"/>
        <v/>
      </c>
      <c r="BC3330" s="743" t="str">
        <f t="shared" si="1147"/>
        <v/>
      </c>
      <c r="BD3330" s="743" t="str">
        <f t="shared" si="1148"/>
        <v/>
      </c>
      <c r="BE3330" s="743" t="str">
        <f>IF(D3330="","",VLOOKUP(D3330,'General Basis'!$J$39:$K$46,2,0))</f>
        <v/>
      </c>
      <c r="BF3330" s="744" t="str">
        <f>IF(D3330="","",VLOOKUP(D3330,'General Basis'!$J$39:$L$46,3,0))</f>
        <v/>
      </c>
      <c r="BG3330" s="744" t="str">
        <f t="shared" si="1155"/>
        <v/>
      </c>
      <c r="BH3330" s="744" t="str">
        <f>IF(G3330="","",IF(BF3330="Abu Dhabi",IF(G3330&lt;18,'General Basis'!$C$39,IF(G3330&lt;41,'General Basis'!$C$40,IF(G3330&lt;60,'General Basis'!$C$41,IF(G3330&lt;65,'General Basis'!$C$42,'General Basis'!$C$43)))),IF(G3330&lt;11,'General Basis'!$B$39,IF(G3330&lt;18,'General Basis'!$B$40,IF(G3330&lt;26,'General Basis'!$B$41,IF(G3330&lt;31,'General Basis'!$B$42,IF(G3330&lt;36,'General Basis'!$B$43,IF(G3330&lt;41,'General Basis'!$B$44,IF(G3330&lt;46,'General Basis'!$B$45,IF(G3330&lt;51,'General Basis'!$B$46,IF(G3330&lt;56,'General Basis'!$B$47,IF(G3330&lt;60,'General Basis'!$B$48,IF(G3330&lt;65,'General Basis'!$B$49,'General Basis'!$B$50)))))))))))))</f>
        <v/>
      </c>
      <c r="BI3330" s="744" t="str">
        <f t="shared" si="1149"/>
        <v/>
      </c>
      <c r="BJ3330" s="747" t="str">
        <f t="shared" si="1156"/>
        <v/>
      </c>
      <c r="BK3330" s="498" t="str">
        <f t="shared" si="1150"/>
        <v/>
      </c>
      <c r="BL3330" s="498" t="str">
        <f t="shared" si="1151"/>
        <v/>
      </c>
    </row>
    <row r="3331" spans="1:64" x14ac:dyDescent="0.25">
      <c r="A3331" s="762">
        <f t="shared" si="1152"/>
        <v>3326</v>
      </c>
      <c r="B3331" s="229"/>
      <c r="C3331" s="223"/>
      <c r="D3331" s="224"/>
      <c r="E3331" s="225"/>
      <c r="F3331" s="1036" t="str">
        <f t="shared" si="1158"/>
        <v/>
      </c>
      <c r="G3331" s="1037" t="str">
        <f t="shared" si="1153"/>
        <v/>
      </c>
      <c r="H3331" s="225"/>
      <c r="I3331" s="1013"/>
      <c r="J3331" s="1013"/>
      <c r="K3331" s="1028"/>
      <c r="L3331" s="1035" t="str">
        <f t="shared" si="1157"/>
        <v/>
      </c>
      <c r="S3331" s="498"/>
      <c r="AJ3331" s="498"/>
      <c r="AM3331" s="498">
        <f t="shared" si="1138"/>
        <v>0</v>
      </c>
      <c r="AN3331" s="498">
        <f t="shared" si="1139"/>
        <v>0</v>
      </c>
      <c r="AO3331" s="498">
        <f t="shared" si="1140"/>
        <v>0</v>
      </c>
      <c r="AP3331" s="498">
        <f t="shared" si="1159"/>
        <v>0</v>
      </c>
      <c r="AQ3331" s="498">
        <f t="shared" si="1154"/>
        <v>0</v>
      </c>
      <c r="AU3331" s="498">
        <f t="shared" si="1141"/>
        <v>0</v>
      </c>
      <c r="AV3331" s="498">
        <f t="shared" si="1142"/>
        <v>0</v>
      </c>
      <c r="AW3331" s="498">
        <f t="shared" si="1143"/>
        <v>0</v>
      </c>
      <c r="AX3331" s="498">
        <f t="shared" si="1144"/>
        <v>0</v>
      </c>
      <c r="AY3331" s="498">
        <f t="shared" si="1145"/>
        <v>0</v>
      </c>
      <c r="BB3331" s="498" t="str">
        <f t="shared" si="1146"/>
        <v/>
      </c>
      <c r="BC3331" s="743" t="str">
        <f t="shared" si="1147"/>
        <v/>
      </c>
      <c r="BD3331" s="743" t="str">
        <f t="shared" si="1148"/>
        <v/>
      </c>
      <c r="BE3331" s="743" t="str">
        <f>IF(D3331="","",VLOOKUP(D3331,'General Basis'!$J$39:$K$46,2,0))</f>
        <v/>
      </c>
      <c r="BF3331" s="744" t="str">
        <f>IF(D3331="","",VLOOKUP(D3331,'General Basis'!$J$39:$L$46,3,0))</f>
        <v/>
      </c>
      <c r="BG3331" s="744" t="str">
        <f t="shared" si="1155"/>
        <v/>
      </c>
      <c r="BH3331" s="744" t="str">
        <f>IF(G3331="","",IF(BF3331="Abu Dhabi",IF(G3331&lt;18,'General Basis'!$C$39,IF(G3331&lt;41,'General Basis'!$C$40,IF(G3331&lt;60,'General Basis'!$C$41,IF(G3331&lt;65,'General Basis'!$C$42,'General Basis'!$C$43)))),IF(G3331&lt;11,'General Basis'!$B$39,IF(G3331&lt;18,'General Basis'!$B$40,IF(G3331&lt;26,'General Basis'!$B$41,IF(G3331&lt;31,'General Basis'!$B$42,IF(G3331&lt;36,'General Basis'!$B$43,IF(G3331&lt;41,'General Basis'!$B$44,IF(G3331&lt;46,'General Basis'!$B$45,IF(G3331&lt;51,'General Basis'!$B$46,IF(G3331&lt;56,'General Basis'!$B$47,IF(G3331&lt;60,'General Basis'!$B$48,IF(G3331&lt;65,'General Basis'!$B$49,'General Basis'!$B$50)))))))))))))</f>
        <v/>
      </c>
      <c r="BI3331" s="744" t="str">
        <f t="shared" si="1149"/>
        <v/>
      </c>
      <c r="BJ3331" s="747" t="str">
        <f t="shared" si="1156"/>
        <v/>
      </c>
      <c r="BK3331" s="498" t="str">
        <f t="shared" si="1150"/>
        <v/>
      </c>
      <c r="BL3331" s="498" t="str">
        <f t="shared" si="1151"/>
        <v/>
      </c>
    </row>
    <row r="3332" spans="1:64" x14ac:dyDescent="0.25">
      <c r="A3332" s="762">
        <f t="shared" si="1152"/>
        <v>3327</v>
      </c>
      <c r="B3332" s="229"/>
      <c r="C3332" s="223"/>
      <c r="D3332" s="224"/>
      <c r="E3332" s="225"/>
      <c r="F3332" s="1036" t="str">
        <f t="shared" si="1158"/>
        <v/>
      </c>
      <c r="G3332" s="1037" t="str">
        <f t="shared" si="1153"/>
        <v/>
      </c>
      <c r="H3332" s="225"/>
      <c r="I3332" s="1013"/>
      <c r="J3332" s="1013"/>
      <c r="K3332" s="1028"/>
      <c r="L3332" s="1035" t="str">
        <f t="shared" si="1157"/>
        <v/>
      </c>
      <c r="S3332" s="498"/>
      <c r="AJ3332" s="498"/>
      <c r="AM3332" s="498">
        <f t="shared" si="1138"/>
        <v>0</v>
      </c>
      <c r="AN3332" s="498">
        <f t="shared" si="1139"/>
        <v>0</v>
      </c>
      <c r="AO3332" s="498">
        <f t="shared" si="1140"/>
        <v>0</v>
      </c>
      <c r="AP3332" s="498">
        <f t="shared" si="1159"/>
        <v>0</v>
      </c>
      <c r="AQ3332" s="498">
        <f t="shared" si="1154"/>
        <v>0</v>
      </c>
      <c r="AU3332" s="498">
        <f t="shared" si="1141"/>
        <v>0</v>
      </c>
      <c r="AV3332" s="498">
        <f t="shared" si="1142"/>
        <v>0</v>
      </c>
      <c r="AW3332" s="498">
        <f t="shared" si="1143"/>
        <v>0</v>
      </c>
      <c r="AX3332" s="498">
        <f t="shared" si="1144"/>
        <v>0</v>
      </c>
      <c r="AY3332" s="498">
        <f t="shared" si="1145"/>
        <v>0</v>
      </c>
      <c r="BB3332" s="498" t="str">
        <f t="shared" si="1146"/>
        <v/>
      </c>
      <c r="BC3332" s="743" t="str">
        <f t="shared" si="1147"/>
        <v/>
      </c>
      <c r="BD3332" s="743" t="str">
        <f t="shared" si="1148"/>
        <v/>
      </c>
      <c r="BE3332" s="743" t="str">
        <f>IF(D3332="","",VLOOKUP(D3332,'General Basis'!$J$39:$K$46,2,0))</f>
        <v/>
      </c>
      <c r="BF3332" s="744" t="str">
        <f>IF(D3332="","",VLOOKUP(D3332,'General Basis'!$J$39:$L$46,3,0))</f>
        <v/>
      </c>
      <c r="BG3332" s="744" t="str">
        <f t="shared" si="1155"/>
        <v/>
      </c>
      <c r="BH3332" s="744" t="str">
        <f>IF(G3332="","",IF(BF3332="Abu Dhabi",IF(G3332&lt;18,'General Basis'!$C$39,IF(G3332&lt;41,'General Basis'!$C$40,IF(G3332&lt;60,'General Basis'!$C$41,IF(G3332&lt;65,'General Basis'!$C$42,'General Basis'!$C$43)))),IF(G3332&lt;11,'General Basis'!$B$39,IF(G3332&lt;18,'General Basis'!$B$40,IF(G3332&lt;26,'General Basis'!$B$41,IF(G3332&lt;31,'General Basis'!$B$42,IF(G3332&lt;36,'General Basis'!$B$43,IF(G3332&lt;41,'General Basis'!$B$44,IF(G3332&lt;46,'General Basis'!$B$45,IF(G3332&lt;51,'General Basis'!$B$46,IF(G3332&lt;56,'General Basis'!$B$47,IF(G3332&lt;60,'General Basis'!$B$48,IF(G3332&lt;65,'General Basis'!$B$49,'General Basis'!$B$50)))))))))))))</f>
        <v/>
      </c>
      <c r="BI3332" s="744" t="str">
        <f t="shared" si="1149"/>
        <v/>
      </c>
      <c r="BJ3332" s="747" t="str">
        <f t="shared" si="1156"/>
        <v/>
      </c>
      <c r="BK3332" s="498" t="str">
        <f t="shared" si="1150"/>
        <v/>
      </c>
      <c r="BL3332" s="498" t="str">
        <f t="shared" si="1151"/>
        <v/>
      </c>
    </row>
    <row r="3333" spans="1:64" x14ac:dyDescent="0.25">
      <c r="A3333" s="762">
        <f t="shared" si="1152"/>
        <v>3328</v>
      </c>
      <c r="B3333" s="229"/>
      <c r="C3333" s="223"/>
      <c r="D3333" s="224"/>
      <c r="E3333" s="225"/>
      <c r="F3333" s="1036" t="str">
        <f t="shared" si="1158"/>
        <v/>
      </c>
      <c r="G3333" s="1037" t="str">
        <f t="shared" si="1153"/>
        <v/>
      </c>
      <c r="H3333" s="225"/>
      <c r="I3333" s="1013"/>
      <c r="J3333" s="1013"/>
      <c r="K3333" s="1028"/>
      <c r="L3333" s="1035" t="str">
        <f t="shared" si="1157"/>
        <v/>
      </c>
      <c r="S3333" s="498"/>
      <c r="AJ3333" s="498"/>
      <c r="AM3333" s="498">
        <f t="shared" si="1138"/>
        <v>0</v>
      </c>
      <c r="AN3333" s="498">
        <f t="shared" si="1139"/>
        <v>0</v>
      </c>
      <c r="AO3333" s="498">
        <f t="shared" si="1140"/>
        <v>0</v>
      </c>
      <c r="AP3333" s="498">
        <f t="shared" si="1159"/>
        <v>0</v>
      </c>
      <c r="AQ3333" s="498">
        <f t="shared" si="1154"/>
        <v>0</v>
      </c>
      <c r="AU3333" s="498">
        <f t="shared" si="1141"/>
        <v>0</v>
      </c>
      <c r="AV3333" s="498">
        <f t="shared" si="1142"/>
        <v>0</v>
      </c>
      <c r="AW3333" s="498">
        <f t="shared" si="1143"/>
        <v>0</v>
      </c>
      <c r="AX3333" s="498">
        <f t="shared" si="1144"/>
        <v>0</v>
      </c>
      <c r="AY3333" s="498">
        <f t="shared" si="1145"/>
        <v>0</v>
      </c>
      <c r="BB3333" s="498" t="str">
        <f t="shared" si="1146"/>
        <v/>
      </c>
      <c r="BC3333" s="743" t="str">
        <f t="shared" si="1147"/>
        <v/>
      </c>
      <c r="BD3333" s="743" t="str">
        <f t="shared" si="1148"/>
        <v/>
      </c>
      <c r="BE3333" s="743" t="str">
        <f>IF(D3333="","",VLOOKUP(D3333,'General Basis'!$J$39:$K$46,2,0))</f>
        <v/>
      </c>
      <c r="BF3333" s="744" t="str">
        <f>IF(D3333="","",VLOOKUP(D3333,'General Basis'!$J$39:$L$46,3,0))</f>
        <v/>
      </c>
      <c r="BG3333" s="744" t="str">
        <f t="shared" si="1155"/>
        <v/>
      </c>
      <c r="BH3333" s="744" t="str">
        <f>IF(G3333="","",IF(BF3333="Abu Dhabi",IF(G3333&lt;18,'General Basis'!$C$39,IF(G3333&lt;41,'General Basis'!$C$40,IF(G3333&lt;60,'General Basis'!$C$41,IF(G3333&lt;65,'General Basis'!$C$42,'General Basis'!$C$43)))),IF(G3333&lt;11,'General Basis'!$B$39,IF(G3333&lt;18,'General Basis'!$B$40,IF(G3333&lt;26,'General Basis'!$B$41,IF(G3333&lt;31,'General Basis'!$B$42,IF(G3333&lt;36,'General Basis'!$B$43,IF(G3333&lt;41,'General Basis'!$B$44,IF(G3333&lt;46,'General Basis'!$B$45,IF(G3333&lt;51,'General Basis'!$B$46,IF(G3333&lt;56,'General Basis'!$B$47,IF(G3333&lt;60,'General Basis'!$B$48,IF(G3333&lt;65,'General Basis'!$B$49,'General Basis'!$B$50)))))))))))))</f>
        <v/>
      </c>
      <c r="BI3333" s="744" t="str">
        <f t="shared" si="1149"/>
        <v/>
      </c>
      <c r="BJ3333" s="747" t="str">
        <f t="shared" si="1156"/>
        <v/>
      </c>
      <c r="BK3333" s="498" t="str">
        <f t="shared" si="1150"/>
        <v/>
      </c>
      <c r="BL3333" s="498" t="str">
        <f t="shared" si="1151"/>
        <v/>
      </c>
    </row>
    <row r="3334" spans="1:64" x14ac:dyDescent="0.25">
      <c r="A3334" s="762">
        <f t="shared" si="1152"/>
        <v>3329</v>
      </c>
      <c r="B3334" s="229"/>
      <c r="C3334" s="223"/>
      <c r="D3334" s="224"/>
      <c r="E3334" s="225"/>
      <c r="F3334" s="1036" t="str">
        <f t="shared" si="1158"/>
        <v/>
      </c>
      <c r="G3334" s="1037" t="str">
        <f t="shared" si="1153"/>
        <v/>
      </c>
      <c r="H3334" s="225"/>
      <c r="I3334" s="1013"/>
      <c r="J3334" s="1013"/>
      <c r="K3334" s="1028"/>
      <c r="L3334" s="1035" t="str">
        <f t="shared" si="1157"/>
        <v/>
      </c>
      <c r="S3334" s="498"/>
      <c r="AJ3334" s="498"/>
      <c r="AM3334" s="498">
        <f t="shared" ref="AM3334:AM3397" si="1160">IF(ISTEXT(B3334),1,0)</f>
        <v>0</v>
      </c>
      <c r="AN3334" s="498">
        <f t="shared" ref="AN3334:AN3397" si="1161">IF(ISBLANK(B3334),0,IF(B3334&lt;$AK$6,1,0))</f>
        <v>0</v>
      </c>
      <c r="AO3334" s="498">
        <f t="shared" ref="AO3334:AO3397" si="1162">IF(ISBLANK(B3334),0,IF(B3334&gt;$AK$7,1,0))</f>
        <v>0</v>
      </c>
      <c r="AP3334" s="498">
        <f t="shared" si="1159"/>
        <v>0</v>
      </c>
      <c r="AQ3334" s="498">
        <f t="shared" si="1154"/>
        <v>0</v>
      </c>
      <c r="AU3334" s="498">
        <f t="shared" ref="AU3334:AU3397" si="1163">IF(ISBLANK(B3334),0,1)</f>
        <v>0</v>
      </c>
      <c r="AV3334" s="498">
        <f t="shared" ref="AV3334:AV3397" si="1164">IF(ISBLANK(C3334),0,1)</f>
        <v>0</v>
      </c>
      <c r="AW3334" s="498">
        <f t="shared" ref="AW3334:AW3397" si="1165">IF(ISBLANK(D3334),0,1)</f>
        <v>0</v>
      </c>
      <c r="AX3334" s="498">
        <f t="shared" ref="AX3334:AX3397" si="1166">IF(ISBLANK(E3334),0,1)</f>
        <v>0</v>
      </c>
      <c r="AY3334" s="498">
        <f t="shared" ref="AY3334:AY3397" si="1167">IF(ISBLANK(H3334),0,1)</f>
        <v>0</v>
      </c>
      <c r="BB3334" s="498" t="str">
        <f t="shared" ref="BB3334:BB3397" si="1168">IF(E3334="Principal","Principal",IF(E3334="","","Other"))</f>
        <v/>
      </c>
      <c r="BC3334" s="743" t="str">
        <f t="shared" ref="BC3334:BC3397" si="1169">IF(D3334="","",D3334)</f>
        <v/>
      </c>
      <c r="BD3334" s="743" t="str">
        <f t="shared" ref="BD3334:BD3397" si="1170">IF(E3334="Principal","Employee",IF(E3334="","","Dependent"))</f>
        <v/>
      </c>
      <c r="BE3334" s="743" t="str">
        <f>IF(D3334="","",VLOOKUP(D3334,'General Basis'!$J$39:$K$46,2,0))</f>
        <v/>
      </c>
      <c r="BF3334" s="744" t="str">
        <f>IF(D3334="","",VLOOKUP(D3334,'General Basis'!$J$39:$L$46,3,0))</f>
        <v/>
      </c>
      <c r="BG3334" s="744" t="str">
        <f t="shared" si="1155"/>
        <v/>
      </c>
      <c r="BH3334" s="744" t="str">
        <f>IF(G3334="","",IF(BF3334="Abu Dhabi",IF(G3334&lt;18,'General Basis'!$C$39,IF(G3334&lt;41,'General Basis'!$C$40,IF(G3334&lt;60,'General Basis'!$C$41,IF(G3334&lt;65,'General Basis'!$C$42,'General Basis'!$C$43)))),IF(G3334&lt;11,'General Basis'!$B$39,IF(G3334&lt;18,'General Basis'!$B$40,IF(G3334&lt;26,'General Basis'!$B$41,IF(G3334&lt;31,'General Basis'!$B$42,IF(G3334&lt;36,'General Basis'!$B$43,IF(G3334&lt;41,'General Basis'!$B$44,IF(G3334&lt;46,'General Basis'!$B$45,IF(G3334&lt;51,'General Basis'!$B$46,IF(G3334&lt;56,'General Basis'!$B$47,IF(G3334&lt;60,'General Basis'!$B$48,IF(G3334&lt;65,'General Basis'!$B$49,'General Basis'!$B$50)))))))))))))</f>
        <v/>
      </c>
      <c r="BI3334" s="744" t="str">
        <f t="shared" ref="BI3334:BI3397" si="1171">IF(C3334="","",IF(C3334="M","Male","Female"))</f>
        <v/>
      </c>
      <c r="BJ3334" s="747" t="str">
        <f t="shared" si="1156"/>
        <v/>
      </c>
      <c r="BK3334" s="498" t="str">
        <f t="shared" ref="BK3334:BK3397" si="1172">IF(BD3334="","",IF(AND(BD3334="Employee",BI3334="Male",BF3334="Abu Dhabi",BE3334=GN_Plus),VLOOKUP(BH3334,AUH_MALE_EMP,2,0),IF(AND(BD3334="Employee",BI3334="Male",BF3334="Abu Dhabi",BE3334=GN),VLOOKUP(BH3334,AUH_MALE_EMP,3,0),IF(AND(BD3334="Employee",BI3334="Male",BF3334="Abu Dhabi",BE3334=RN_Plus),VLOOKUP(BH3334,AUH_MALE_EMP,4,0),IF(AND(BD3334="Employee",BI3334="Male",BF3334="Abu Dhabi",BE3334=RN),VLOOKUP(BH3334,AUH_MALE_EMP,5,0),IF(AND(BD3334="Employee",BI3334="Male",BF3334="Abu Dhabi",BE3334=RN_2),VLOOKUP(BH3334,AUH_MALE_EMP,6,0),IF(AND(BD3334="Employee",BI3334="Male",BF3334="Abu Dhabi",BE3334=RN2_minus),VLOOKUP(BH3334,AUH_MALE_EMP,7,0),IF(AND(BD3334="Employee",BI3334="Male",BF3334="Abu Dhabi",BE3334=RN_3),VLOOKUP(BH3334,AUH_MALE_EMP,8,0),IF(AND(BD3334="Employee",BI3334="Male",BF3334="Abu Dhabi",BE3334=VN),VLOOKUP(BH3334,AUH_MALE_EMP,9,0),IF(BD3334="","",IF(AND(BD3334="Employee",BI3334="Female",BF3334="Abu Dhabi",BE3334=GN_Plus),VLOOKUP(BH3334,AUH_FEMALE_EMP,2,0),IF(AND(BD3334="Employee",BI3334="Female",BF3334="Abu Dhabi",BE3334=GN),VLOOKUP(BH3334,AUH_FEMALE_EMP,3,0),IF(AND(BD3334="Employee",BI3334="Female",BF3334="Abu Dhabi",BE3334=RN_Plus),VLOOKUP(BH3334,AUH_FEMALE_EMP,4,0),IF(AND(BD3334="Employee",BI3334="Female",BF3334="Abu Dhabi",BE3334=RN),VLOOKUP(BH3334,AUH_FEMALE_EMP,5,0),IF(AND(BD3334="Employee",BI3334="Female",BF3334="Abu Dhabi",BE3334=RN_2),VLOOKUP(BH3334,AUH_FEMALE_EMP,6,0),IF(AND(BD3334="Employee",BI3334="Female",BF3334="Abu Dhabi",BE3334=RN2_minus),VLOOKUP(BH3334,AUH_FEMALE_EMP,7,0),IF(AND(BD3334="Employee",BI3334="Female",BF3334="Abu Dhabi",BE3334=RN_3),VLOOKUP(BH3334,AUH_FEMALE_EMP,8,0),IF(AND(BD3334="Employee",BI3334="Female",BF3334="Abu Dhabi",BE3334=VN),VLOOKUP(BH3334,AUH_FEMALE_EMP,9,0),IF(BD3334="","",IF(AND(BD3334="Dependent",BI3334="Male",BF3334="Abu Dhabi",BE3334=GN_Plus),VLOOKUP(BH3334,AUH_MALE_DEP,2,0),IF(AND(BD3334="Dependent",BI3334="Male",BF3334="Abu Dhabi",BE3334=GN),VLOOKUP(BH3334,AUH_MALE_DEP,3,0),IF(AND(BD3334="Dependent",BI3334="Male",BF3334="Abu Dhabi",BE3334=RN_Plus),VLOOKUP(BH3334,AUH_MALE_DEP,4,0),IF(AND(BD3334="Dependent",BI3334="Male",BF3334="Abu Dhabi",BE3334=RN),VLOOKUP(BH3334,AUH_MALE_DEP,5,0),IF(AND(BD3334="Dependent",BI3334="Male",BF3334="Abu Dhabi",BE3334=RN_2),VLOOKUP(BH3334,AUH_MALE_DEP,6,0),IF(AND(BD3334="Dependent",BI3334="Male",BF3334="Abu Dhabi",BE3334=RN2_minus),VLOOKUP(BH3334,AUH_MALE_DEP,7,0),IF(AND(BD3334="Dependent",BI3334="Male",BF3334="Abu Dhabi",BE3334=RN_3),VLOOKUP(BH3334,AUH_MALE_DEP,8,0),IF(AND(BD3334="Dependent",BI3334="Male",BF3334="Abu Dhabi",BE3334=VN),VLOOKUP(BH3334,AUH_MALE_DEP,9,0),IF(BD3334="","",IF(AND(BD3334="Dependent",BI3334="Female",BF3334="Abu Dhabi",BE3334=GN_Plus),VLOOKUP(BH3334,AUH_FEMALE_DEP,2,0),IF(AND(BD3334="Dependent",BI3334="Female",BF3334="Abu Dhabi",BE3334=GN),VLOOKUP(BH3334,AUH_FEMALE_DEP,3,0),IF(AND(BD3334="Dependent",BI3334="Female",BF3334="Abu Dhabi",BE3334=RN_Plus),VLOOKUP(BH3334,AUH_FEMALE_DEP,4,0),IF(AND(BD3334="Dependent",BI3334="Female",BF3334="Abu Dhabi",BE3334=RN),VLOOKUP(BH3334,AUH_FEMALE_DEP,5,0),IF(AND(BD3334="Dependent",BI3334="Female",BF3334="Abu Dhabi",BE3334=RN_2),VLOOKUP(BH3334,AUH_FEMALE_DEP,6,0),IF(AND(BD3334="Dependent",BI3334="Female",BF3334="Abu Dhabi",BE3334=RN2_minus),VLOOKUP(BH3334,AUH_FEMALE_DEP,7,0),IF(AND(BD3334="Dependent",BI3334="Female",BF3334="Abu Dhabi",BE3334=RN_3),VLOOKUP(BH3334,AUH_FEMALE_DEP,8,0),IF(AND(BD3334="Dependent",BI3334="Female",BF3334="Abu Dhabi",BE3334=VN),VLOOKUP(BH3334,AUH_FEMALE_DEP,9,0),"ABC"))))))))))))))))))))))))))))))))))))</f>
        <v/>
      </c>
      <c r="BL3334" s="498" t="str">
        <f t="shared" ref="BL3334:BL3397" si="1173">IF(BD3334="","",IF(AND(BD3334="Employee",BI3334="Male",BF3334="Dubai",BE3334=GN_Plus),VLOOKUP(BH3334,DXB_MALE_EMP,2,0),IF(AND(BD3334="Employee",BI3334="Male",BF3334="Dubai",BE3334=GN),VLOOKUP(BH3334,DXB_MALE_EMP,3,0),IF(AND(BD3334="Employee",BI3334="Male",BF3334="Dubai",BE3334=RN_Plus),VLOOKUP(BH3334,DXB_MALE_EMP,4,0),IF(AND(BD3334="Employee",BI3334="Male",BF3334="Dubai",BE3334=RN),VLOOKUP(BH3334,DXB_MALE_EMP,5,0),IF(AND(BD3334="Employee",BI3334="Male",BF3334="Dubai",BE3334=RN_2),VLOOKUP(BH3334,DXB_MALE_EMP,6,0),IF(AND(BD3334="Employee",BI3334="Male",BF3334="Dubai",BE3334=RN2_minus),VLOOKUP(BH3334,DXB_MALE_EMP,7,0),IF(AND(BD3334="Employee",BI3334="Male",BF3334="Dubai",BE3334=RN_3),VLOOKUP(BH3334,DXB_MALE_EMP,8,0),IF(AND(BD3334="Employee",BI3334="Male",BF3334="Dubai",BE3334=VN),VLOOKUP(BH3334,DXB_MALE_EMP,9,0),IF(BD3334="","",IF(AND(BD3334="Employee",BI3334="Female",BF3334="Dubai",BE3334=GN_Plus),VLOOKUP(BH3334,DXB_FEMALE_EMP,2,0),IF(AND(BD3334="Employee",BI3334="Female",BF3334="Dubai",BE3334=GN),VLOOKUP(BH3334,DXB_FEMALE_EMP,3,0),IF(AND(BD3334="Employee",BI3334="Female",BF3334="Dubai",BE3334=RN_Plus),VLOOKUP(BH3334,DXB_FEMALE_EMP,4,0),IF(AND(BD3334="Employee",BI3334="Female",BF3334="Dubai",BE3334=RN),VLOOKUP(BH3334,DXB_FEMALE_EMP,5,0),IF(AND(BD3334="Employee",BI3334="Female",BF3334="Dubai",BE3334=RN_2),VLOOKUP(BH3334,DXB_FEMALE_EMP,6,0),IF(AND(BD3334="Employee",BI3334="Female",BF3334="Dubai",BE3334=RN2_minus),VLOOKUP(BH3334,DXB_FEMALE_EMP,7,0),IF(AND(BD3334="Employee",BI3334="Female",BF3334="Dubai",BE3334=RN_3),VLOOKUP(BH3334,DXB_FEMALE_EMP,8,0),IF(AND(BD3334="Employee",BI3334="Female",BF3334="Dubai",BE3334=VN),VLOOKUP(BH3334,DXB_FEMALE_EMP,9,0),IF(BD3334="","",IF(AND(BD3334="Dependent",BI3334="Male",BF3334="Dubai",BE3334=GN_Plus),VLOOKUP(BH3334,DXB_MALE_DEP,2,0),IF(AND(BD3334="Dependent",BI3334="Male",BF3334="Dubai",BE3334=GN),VLOOKUP(BH3334,DXB_MALE_DEP,3,0),IF(AND(BD3334="Dependent",BI3334="Male",BF3334="Dubai",BE3334=RN_Plus),VLOOKUP(BH3334,DXB_MALE_DEP,4,0),IF(AND(BD3334="Dependent",BI3334="Male",BF3334="Dubai",BE3334=RN),VLOOKUP(BH3334,DXB_MALE_DEP,5,0),IF(AND(BD3334="Dependent",BI3334="Male",BF3334="Dubai",BE3334=RN_2),VLOOKUP(BH3334,DXB_MALE_DEP,6,0),IF(AND(BD3334="Dependent",BI3334="Male",BF3334="Dubai",BE3334=RN2_minus),VLOOKUP(BH3334,DXB_MALE_DEP,7,0),IF(AND(BD3334="Dependent",BI3334="Male",BF3334="Dubai",BE3334=RN_3),VLOOKUP(BH3334,DXB_MALE_DEP,8,0),IF(AND(BD3334="Dependent",BI3334="Male",BF3334="Dubai",BE3334=VN),VLOOKUP(BH3334,DXB_MALE_DEP,9,0),IF(BD3334="","",IF(AND(BD3334="Dependent",BI3334="Female",BF3334="Dubai",BE3334=GN_Plus),VLOOKUP(BH3334,DXB_FEMALE_DEP,2,0),IF(AND(BD3334="Dependent",BI3334="Female",BF3334="Dubai",BE3334=GN),VLOOKUP(BH3334,DXB_FEMALE_DEP,3,0),IF(AND(BD3334="Dependent",BI3334="Female",BF3334="Dubai",BE3334=RN_Plus),VLOOKUP(BH3334,DXB_FEMALE_DEP,4,0),IF(AND(BD3334="Dependent",BI3334="Female",BF3334="Dubai",BE3334=RN),VLOOKUP(BH3334,DXB_FEMALE_DEP,5,0),IF(AND(BD3334="Dependent",BI3334="Female",BF3334="Dubai",BE3334=RN_2),VLOOKUP(BH3334,DXB_FEMALE_DEP,6,0),IF(AND(BD3334="Dependent",BI3334="Female",BF3334="Dubai",BE3334=RN2_minus),VLOOKUP(BH3334,DXB_FEMALE_DEP,7,0),IF(AND(BD3334="Dependent",BI3334="Female",BF3334="Dubai",BE3334=RN_3),VLOOKUP(BH3334,DXB_FEMALE_DEP,8,0),IF(AND(BD3334="Dependent",BI3334="Female",BF3334="Dubai",BE3334=VN),VLOOKUP(BH3334,DXB_FEMALE_DEP,9,0),"ABC"))))))))))))))))))))))))))))))))))))</f>
        <v/>
      </c>
    </row>
    <row r="3335" spans="1:64" x14ac:dyDescent="0.25">
      <c r="A3335" s="762">
        <f t="shared" ref="A3335:A3398" si="1174">+A3334+1</f>
        <v>3330</v>
      </c>
      <c r="B3335" s="229"/>
      <c r="C3335" s="223"/>
      <c r="D3335" s="224"/>
      <c r="E3335" s="225"/>
      <c r="F3335" s="1036" t="str">
        <f t="shared" si="1158"/>
        <v/>
      </c>
      <c r="G3335" s="1037" t="str">
        <f t="shared" ref="G3335:G3398" si="1175">IF(D3335="","",MAX(0,ROUNDUP(F3335,0)))</f>
        <v/>
      </c>
      <c r="H3335" s="225"/>
      <c r="I3335" s="1013"/>
      <c r="J3335" s="1013"/>
      <c r="K3335" s="1028"/>
      <c r="L3335" s="1035" t="str">
        <f t="shared" si="1157"/>
        <v/>
      </c>
      <c r="S3335" s="498"/>
      <c r="AJ3335" s="498"/>
      <c r="AM3335" s="498">
        <f t="shared" si="1160"/>
        <v>0</v>
      </c>
      <c r="AN3335" s="498">
        <f t="shared" si="1161"/>
        <v>0</v>
      </c>
      <c r="AO3335" s="498">
        <f t="shared" si="1162"/>
        <v>0</v>
      </c>
      <c r="AP3335" s="498">
        <f t="shared" si="1159"/>
        <v>0</v>
      </c>
      <c r="AQ3335" s="498">
        <f t="shared" ref="AQ3335:AQ3398" si="1176">IF(ISBLANK($B3335),0,IF(OR($H3335="Single",$H3335="Married"),0,1))</f>
        <v>0</v>
      </c>
      <c r="AU3335" s="498">
        <f t="shared" si="1163"/>
        <v>0</v>
      </c>
      <c r="AV3335" s="498">
        <f t="shared" si="1164"/>
        <v>0</v>
      </c>
      <c r="AW3335" s="498">
        <f t="shared" si="1165"/>
        <v>0</v>
      </c>
      <c r="AX3335" s="498">
        <f t="shared" si="1166"/>
        <v>0</v>
      </c>
      <c r="AY3335" s="498">
        <f t="shared" si="1167"/>
        <v>0</v>
      </c>
      <c r="BB3335" s="498" t="str">
        <f t="shared" si="1168"/>
        <v/>
      </c>
      <c r="BC3335" s="743" t="str">
        <f t="shared" si="1169"/>
        <v/>
      </c>
      <c r="BD3335" s="743" t="str">
        <f t="shared" si="1170"/>
        <v/>
      </c>
      <c r="BE3335" s="743" t="str">
        <f>IF(D3335="","",VLOOKUP(D3335,'General Basis'!$J$39:$K$46,2,0))</f>
        <v/>
      </c>
      <c r="BF3335" s="744" t="str">
        <f>IF(D3335="","",VLOOKUP(D3335,'General Basis'!$J$39:$L$46,3,0))</f>
        <v/>
      </c>
      <c r="BG3335" s="744" t="str">
        <f t="shared" ref="BG3335:BG3398" si="1177">BC3335&amp;BI3335</f>
        <v/>
      </c>
      <c r="BH3335" s="744" t="str">
        <f>IF(G3335="","",IF(BF3335="Abu Dhabi",IF(G3335&lt;18,'General Basis'!$C$39,IF(G3335&lt;41,'General Basis'!$C$40,IF(G3335&lt;60,'General Basis'!$C$41,IF(G3335&lt;65,'General Basis'!$C$42,'General Basis'!$C$43)))),IF(G3335&lt;11,'General Basis'!$B$39,IF(G3335&lt;18,'General Basis'!$B$40,IF(G3335&lt;26,'General Basis'!$B$41,IF(G3335&lt;31,'General Basis'!$B$42,IF(G3335&lt;36,'General Basis'!$B$43,IF(G3335&lt;41,'General Basis'!$B$44,IF(G3335&lt;46,'General Basis'!$B$45,IF(G3335&lt;51,'General Basis'!$B$46,IF(G3335&lt;56,'General Basis'!$B$47,IF(G3335&lt;60,'General Basis'!$B$48,IF(G3335&lt;65,'General Basis'!$B$49,'General Basis'!$B$50)))))))))))))</f>
        <v/>
      </c>
      <c r="BI3335" s="744" t="str">
        <f t="shared" si="1171"/>
        <v/>
      </c>
      <c r="BJ3335" s="747" t="str">
        <f t="shared" ref="BJ3335:BJ3398" si="1178">IF(BD3335="","",IF(BF3335="Abu Dhabi",BK3335,BL3335))</f>
        <v/>
      </c>
      <c r="BK3335" s="498" t="str">
        <f t="shared" si="1172"/>
        <v/>
      </c>
      <c r="BL3335" s="498" t="str">
        <f t="shared" si="1173"/>
        <v/>
      </c>
    </row>
    <row r="3336" spans="1:64" x14ac:dyDescent="0.25">
      <c r="A3336" s="762">
        <f t="shared" si="1174"/>
        <v>3331</v>
      </c>
      <c r="B3336" s="229"/>
      <c r="C3336" s="223"/>
      <c r="D3336" s="224"/>
      <c r="E3336" s="225"/>
      <c r="F3336" s="1036" t="str">
        <f t="shared" si="1158"/>
        <v/>
      </c>
      <c r="G3336" s="1037" t="str">
        <f t="shared" si="1175"/>
        <v/>
      </c>
      <c r="H3336" s="225"/>
      <c r="I3336" s="1013"/>
      <c r="J3336" s="1013"/>
      <c r="K3336" s="1028"/>
      <c r="L3336" s="1035" t="str">
        <f t="shared" ref="L3336:L3399" si="1179">IF(AND(E3336="Child",H3336="Married"),"Check the Marital Status of the Child. ",IF(AND(E3336="Child",F3336&gt;18),"Child Age exceed 18 years. ",IF(AND(E3336="Spouse",H3336="Single"),"Spouse is selected as Single. ","")))&amp;IF(K3336&gt;0,"UW Loading has been Applied","")</f>
        <v/>
      </c>
      <c r="S3336" s="498"/>
      <c r="AJ3336" s="498"/>
      <c r="AM3336" s="498">
        <f t="shared" si="1160"/>
        <v>0</v>
      </c>
      <c r="AN3336" s="498">
        <f t="shared" si="1161"/>
        <v>0</v>
      </c>
      <c r="AO3336" s="498">
        <f t="shared" si="1162"/>
        <v>0</v>
      </c>
      <c r="AP3336" s="498">
        <f t="shared" si="1159"/>
        <v>0</v>
      </c>
      <c r="AQ3336" s="498">
        <f t="shared" si="1176"/>
        <v>0</v>
      </c>
      <c r="AU3336" s="498">
        <f t="shared" si="1163"/>
        <v>0</v>
      </c>
      <c r="AV3336" s="498">
        <f t="shared" si="1164"/>
        <v>0</v>
      </c>
      <c r="AW3336" s="498">
        <f t="shared" si="1165"/>
        <v>0</v>
      </c>
      <c r="AX3336" s="498">
        <f t="shared" si="1166"/>
        <v>0</v>
      </c>
      <c r="AY3336" s="498">
        <f t="shared" si="1167"/>
        <v>0</v>
      </c>
      <c r="BB3336" s="498" t="str">
        <f t="shared" si="1168"/>
        <v/>
      </c>
      <c r="BC3336" s="743" t="str">
        <f t="shared" si="1169"/>
        <v/>
      </c>
      <c r="BD3336" s="743" t="str">
        <f t="shared" si="1170"/>
        <v/>
      </c>
      <c r="BE3336" s="743" t="str">
        <f>IF(D3336="","",VLOOKUP(D3336,'General Basis'!$J$39:$K$46,2,0))</f>
        <v/>
      </c>
      <c r="BF3336" s="744" t="str">
        <f>IF(D3336="","",VLOOKUP(D3336,'General Basis'!$J$39:$L$46,3,0))</f>
        <v/>
      </c>
      <c r="BG3336" s="744" t="str">
        <f t="shared" si="1177"/>
        <v/>
      </c>
      <c r="BH3336" s="744" t="str">
        <f>IF(G3336="","",IF(BF3336="Abu Dhabi",IF(G3336&lt;18,'General Basis'!$C$39,IF(G3336&lt;41,'General Basis'!$C$40,IF(G3336&lt;60,'General Basis'!$C$41,IF(G3336&lt;65,'General Basis'!$C$42,'General Basis'!$C$43)))),IF(G3336&lt;11,'General Basis'!$B$39,IF(G3336&lt;18,'General Basis'!$B$40,IF(G3336&lt;26,'General Basis'!$B$41,IF(G3336&lt;31,'General Basis'!$B$42,IF(G3336&lt;36,'General Basis'!$B$43,IF(G3336&lt;41,'General Basis'!$B$44,IF(G3336&lt;46,'General Basis'!$B$45,IF(G3336&lt;51,'General Basis'!$B$46,IF(G3336&lt;56,'General Basis'!$B$47,IF(G3336&lt;60,'General Basis'!$B$48,IF(G3336&lt;65,'General Basis'!$B$49,'General Basis'!$B$50)))))))))))))</f>
        <v/>
      </c>
      <c r="BI3336" s="744" t="str">
        <f t="shared" si="1171"/>
        <v/>
      </c>
      <c r="BJ3336" s="747" t="str">
        <f t="shared" si="1178"/>
        <v/>
      </c>
      <c r="BK3336" s="498" t="str">
        <f t="shared" si="1172"/>
        <v/>
      </c>
      <c r="BL3336" s="498" t="str">
        <f t="shared" si="1173"/>
        <v/>
      </c>
    </row>
    <row r="3337" spans="1:64" x14ac:dyDescent="0.25">
      <c r="A3337" s="762">
        <f t="shared" si="1174"/>
        <v>3332</v>
      </c>
      <c r="B3337" s="229"/>
      <c r="C3337" s="223"/>
      <c r="D3337" s="224"/>
      <c r="E3337" s="225"/>
      <c r="F3337" s="1036" t="str">
        <f t="shared" si="1158"/>
        <v/>
      </c>
      <c r="G3337" s="1037" t="str">
        <f t="shared" si="1175"/>
        <v/>
      </c>
      <c r="H3337" s="225"/>
      <c r="I3337" s="1013"/>
      <c r="J3337" s="1013"/>
      <c r="K3337" s="1028"/>
      <c r="L3337" s="1035" t="str">
        <f t="shared" si="1179"/>
        <v/>
      </c>
      <c r="S3337" s="498"/>
      <c r="AJ3337" s="498"/>
      <c r="AM3337" s="498">
        <f t="shared" si="1160"/>
        <v>0</v>
      </c>
      <c r="AN3337" s="498">
        <f t="shared" si="1161"/>
        <v>0</v>
      </c>
      <c r="AO3337" s="498">
        <f t="shared" si="1162"/>
        <v>0</v>
      </c>
      <c r="AP3337" s="498">
        <f t="shared" si="1159"/>
        <v>0</v>
      </c>
      <c r="AQ3337" s="498">
        <f t="shared" si="1176"/>
        <v>0</v>
      </c>
      <c r="AU3337" s="498">
        <f t="shared" si="1163"/>
        <v>0</v>
      </c>
      <c r="AV3337" s="498">
        <f t="shared" si="1164"/>
        <v>0</v>
      </c>
      <c r="AW3337" s="498">
        <f t="shared" si="1165"/>
        <v>0</v>
      </c>
      <c r="AX3337" s="498">
        <f t="shared" si="1166"/>
        <v>0</v>
      </c>
      <c r="AY3337" s="498">
        <f t="shared" si="1167"/>
        <v>0</v>
      </c>
      <c r="BB3337" s="498" t="str">
        <f t="shared" si="1168"/>
        <v/>
      </c>
      <c r="BC3337" s="743" t="str">
        <f t="shared" si="1169"/>
        <v/>
      </c>
      <c r="BD3337" s="743" t="str">
        <f t="shared" si="1170"/>
        <v/>
      </c>
      <c r="BE3337" s="743" t="str">
        <f>IF(D3337="","",VLOOKUP(D3337,'General Basis'!$J$39:$K$46,2,0))</f>
        <v/>
      </c>
      <c r="BF3337" s="744" t="str">
        <f>IF(D3337="","",VLOOKUP(D3337,'General Basis'!$J$39:$L$46,3,0))</f>
        <v/>
      </c>
      <c r="BG3337" s="744" t="str">
        <f t="shared" si="1177"/>
        <v/>
      </c>
      <c r="BH3337" s="744" t="str">
        <f>IF(G3337="","",IF(BF3337="Abu Dhabi",IF(G3337&lt;18,'General Basis'!$C$39,IF(G3337&lt;41,'General Basis'!$C$40,IF(G3337&lt;60,'General Basis'!$C$41,IF(G3337&lt;65,'General Basis'!$C$42,'General Basis'!$C$43)))),IF(G3337&lt;11,'General Basis'!$B$39,IF(G3337&lt;18,'General Basis'!$B$40,IF(G3337&lt;26,'General Basis'!$B$41,IF(G3337&lt;31,'General Basis'!$B$42,IF(G3337&lt;36,'General Basis'!$B$43,IF(G3337&lt;41,'General Basis'!$B$44,IF(G3337&lt;46,'General Basis'!$B$45,IF(G3337&lt;51,'General Basis'!$B$46,IF(G3337&lt;56,'General Basis'!$B$47,IF(G3337&lt;60,'General Basis'!$B$48,IF(G3337&lt;65,'General Basis'!$B$49,'General Basis'!$B$50)))))))))))))</f>
        <v/>
      </c>
      <c r="BI3337" s="744" t="str">
        <f t="shared" si="1171"/>
        <v/>
      </c>
      <c r="BJ3337" s="747" t="str">
        <f t="shared" si="1178"/>
        <v/>
      </c>
      <c r="BK3337" s="498" t="str">
        <f t="shared" si="1172"/>
        <v/>
      </c>
      <c r="BL3337" s="498" t="str">
        <f t="shared" si="1173"/>
        <v/>
      </c>
    </row>
    <row r="3338" spans="1:64" x14ac:dyDescent="0.25">
      <c r="A3338" s="762">
        <f t="shared" si="1174"/>
        <v>3333</v>
      </c>
      <c r="B3338" s="229"/>
      <c r="C3338" s="223"/>
      <c r="D3338" s="224"/>
      <c r="E3338" s="225"/>
      <c r="F3338" s="1036" t="str">
        <f t="shared" si="1158"/>
        <v/>
      </c>
      <c r="G3338" s="1037" t="str">
        <f t="shared" si="1175"/>
        <v/>
      </c>
      <c r="H3338" s="225"/>
      <c r="I3338" s="1013"/>
      <c r="J3338" s="1013"/>
      <c r="K3338" s="1028"/>
      <c r="L3338" s="1035" t="str">
        <f t="shared" si="1179"/>
        <v/>
      </c>
      <c r="S3338" s="498"/>
      <c r="AJ3338" s="498"/>
      <c r="AM3338" s="498">
        <f t="shared" si="1160"/>
        <v>0</v>
      </c>
      <c r="AN3338" s="498">
        <f t="shared" si="1161"/>
        <v>0</v>
      </c>
      <c r="AO3338" s="498">
        <f t="shared" si="1162"/>
        <v>0</v>
      </c>
      <c r="AP3338" s="498">
        <f t="shared" si="1159"/>
        <v>0</v>
      </c>
      <c r="AQ3338" s="498">
        <f t="shared" si="1176"/>
        <v>0</v>
      </c>
      <c r="AU3338" s="498">
        <f t="shared" si="1163"/>
        <v>0</v>
      </c>
      <c r="AV3338" s="498">
        <f t="shared" si="1164"/>
        <v>0</v>
      </c>
      <c r="AW3338" s="498">
        <f t="shared" si="1165"/>
        <v>0</v>
      </c>
      <c r="AX3338" s="498">
        <f t="shared" si="1166"/>
        <v>0</v>
      </c>
      <c r="AY3338" s="498">
        <f t="shared" si="1167"/>
        <v>0</v>
      </c>
      <c r="BB3338" s="498" t="str">
        <f t="shared" si="1168"/>
        <v/>
      </c>
      <c r="BC3338" s="743" t="str">
        <f t="shared" si="1169"/>
        <v/>
      </c>
      <c r="BD3338" s="743" t="str">
        <f t="shared" si="1170"/>
        <v/>
      </c>
      <c r="BE3338" s="743" t="str">
        <f>IF(D3338="","",VLOOKUP(D3338,'General Basis'!$J$39:$K$46,2,0))</f>
        <v/>
      </c>
      <c r="BF3338" s="744" t="str">
        <f>IF(D3338="","",VLOOKUP(D3338,'General Basis'!$J$39:$L$46,3,0))</f>
        <v/>
      </c>
      <c r="BG3338" s="744" t="str">
        <f t="shared" si="1177"/>
        <v/>
      </c>
      <c r="BH3338" s="744" t="str">
        <f>IF(G3338="","",IF(BF3338="Abu Dhabi",IF(G3338&lt;18,'General Basis'!$C$39,IF(G3338&lt;41,'General Basis'!$C$40,IF(G3338&lt;60,'General Basis'!$C$41,IF(G3338&lt;65,'General Basis'!$C$42,'General Basis'!$C$43)))),IF(G3338&lt;11,'General Basis'!$B$39,IF(G3338&lt;18,'General Basis'!$B$40,IF(G3338&lt;26,'General Basis'!$B$41,IF(G3338&lt;31,'General Basis'!$B$42,IF(G3338&lt;36,'General Basis'!$B$43,IF(G3338&lt;41,'General Basis'!$B$44,IF(G3338&lt;46,'General Basis'!$B$45,IF(G3338&lt;51,'General Basis'!$B$46,IF(G3338&lt;56,'General Basis'!$B$47,IF(G3338&lt;60,'General Basis'!$B$48,IF(G3338&lt;65,'General Basis'!$B$49,'General Basis'!$B$50)))))))))))))</f>
        <v/>
      </c>
      <c r="BI3338" s="744" t="str">
        <f t="shared" si="1171"/>
        <v/>
      </c>
      <c r="BJ3338" s="747" t="str">
        <f t="shared" si="1178"/>
        <v/>
      </c>
      <c r="BK3338" s="498" t="str">
        <f t="shared" si="1172"/>
        <v/>
      </c>
      <c r="BL3338" s="498" t="str">
        <f t="shared" si="1173"/>
        <v/>
      </c>
    </row>
    <row r="3339" spans="1:64" x14ac:dyDescent="0.25">
      <c r="A3339" s="762">
        <f t="shared" si="1174"/>
        <v>3334</v>
      </c>
      <c r="B3339" s="229"/>
      <c r="C3339" s="223"/>
      <c r="D3339" s="224"/>
      <c r="E3339" s="225"/>
      <c r="F3339" s="1036" t="str">
        <f t="shared" si="1158"/>
        <v/>
      </c>
      <c r="G3339" s="1037" t="str">
        <f t="shared" si="1175"/>
        <v/>
      </c>
      <c r="H3339" s="225"/>
      <c r="I3339" s="1013"/>
      <c r="J3339" s="1013"/>
      <c r="K3339" s="1028"/>
      <c r="L3339" s="1035" t="str">
        <f t="shared" si="1179"/>
        <v/>
      </c>
      <c r="S3339" s="498"/>
      <c r="AJ3339" s="498"/>
      <c r="AM3339" s="498">
        <f t="shared" si="1160"/>
        <v>0</v>
      </c>
      <c r="AN3339" s="498">
        <f t="shared" si="1161"/>
        <v>0</v>
      </c>
      <c r="AO3339" s="498">
        <f t="shared" si="1162"/>
        <v>0</v>
      </c>
      <c r="AP3339" s="498">
        <f t="shared" si="1159"/>
        <v>0</v>
      </c>
      <c r="AQ3339" s="498">
        <f t="shared" si="1176"/>
        <v>0</v>
      </c>
      <c r="AU3339" s="498">
        <f t="shared" si="1163"/>
        <v>0</v>
      </c>
      <c r="AV3339" s="498">
        <f t="shared" si="1164"/>
        <v>0</v>
      </c>
      <c r="AW3339" s="498">
        <f t="shared" si="1165"/>
        <v>0</v>
      </c>
      <c r="AX3339" s="498">
        <f t="shared" si="1166"/>
        <v>0</v>
      </c>
      <c r="AY3339" s="498">
        <f t="shared" si="1167"/>
        <v>0</v>
      </c>
      <c r="BB3339" s="498" t="str">
        <f t="shared" si="1168"/>
        <v/>
      </c>
      <c r="BC3339" s="743" t="str">
        <f t="shared" si="1169"/>
        <v/>
      </c>
      <c r="BD3339" s="743" t="str">
        <f t="shared" si="1170"/>
        <v/>
      </c>
      <c r="BE3339" s="743" t="str">
        <f>IF(D3339="","",VLOOKUP(D3339,'General Basis'!$J$39:$K$46,2,0))</f>
        <v/>
      </c>
      <c r="BF3339" s="744" t="str">
        <f>IF(D3339="","",VLOOKUP(D3339,'General Basis'!$J$39:$L$46,3,0))</f>
        <v/>
      </c>
      <c r="BG3339" s="744" t="str">
        <f t="shared" si="1177"/>
        <v/>
      </c>
      <c r="BH3339" s="744" t="str">
        <f>IF(G3339="","",IF(BF3339="Abu Dhabi",IF(G3339&lt;18,'General Basis'!$C$39,IF(G3339&lt;41,'General Basis'!$C$40,IF(G3339&lt;60,'General Basis'!$C$41,IF(G3339&lt;65,'General Basis'!$C$42,'General Basis'!$C$43)))),IF(G3339&lt;11,'General Basis'!$B$39,IF(G3339&lt;18,'General Basis'!$B$40,IF(G3339&lt;26,'General Basis'!$B$41,IF(G3339&lt;31,'General Basis'!$B$42,IF(G3339&lt;36,'General Basis'!$B$43,IF(G3339&lt;41,'General Basis'!$B$44,IF(G3339&lt;46,'General Basis'!$B$45,IF(G3339&lt;51,'General Basis'!$B$46,IF(G3339&lt;56,'General Basis'!$B$47,IF(G3339&lt;60,'General Basis'!$B$48,IF(G3339&lt;65,'General Basis'!$B$49,'General Basis'!$B$50)))))))))))))</f>
        <v/>
      </c>
      <c r="BI3339" s="744" t="str">
        <f t="shared" si="1171"/>
        <v/>
      </c>
      <c r="BJ3339" s="747" t="str">
        <f t="shared" si="1178"/>
        <v/>
      </c>
      <c r="BK3339" s="498" t="str">
        <f t="shared" si="1172"/>
        <v/>
      </c>
      <c r="BL3339" s="498" t="str">
        <f t="shared" si="1173"/>
        <v/>
      </c>
    </row>
    <row r="3340" spans="1:64" x14ac:dyDescent="0.25">
      <c r="A3340" s="762">
        <f t="shared" si="1174"/>
        <v>3335</v>
      </c>
      <c r="B3340" s="229"/>
      <c r="C3340" s="223"/>
      <c r="D3340" s="224"/>
      <c r="E3340" s="225"/>
      <c r="F3340" s="1036" t="str">
        <f t="shared" si="1158"/>
        <v/>
      </c>
      <c r="G3340" s="1037" t="str">
        <f t="shared" si="1175"/>
        <v/>
      </c>
      <c r="H3340" s="225"/>
      <c r="I3340" s="1013"/>
      <c r="J3340" s="1013"/>
      <c r="K3340" s="1028"/>
      <c r="L3340" s="1035" t="str">
        <f t="shared" si="1179"/>
        <v/>
      </c>
      <c r="S3340" s="498"/>
      <c r="AJ3340" s="498"/>
      <c r="AM3340" s="498">
        <f t="shared" si="1160"/>
        <v>0</v>
      </c>
      <c r="AN3340" s="498">
        <f t="shared" si="1161"/>
        <v>0</v>
      </c>
      <c r="AO3340" s="498">
        <f t="shared" si="1162"/>
        <v>0</v>
      </c>
      <c r="AP3340" s="498">
        <f t="shared" si="1159"/>
        <v>0</v>
      </c>
      <c r="AQ3340" s="498">
        <f t="shared" si="1176"/>
        <v>0</v>
      </c>
      <c r="AU3340" s="498">
        <f t="shared" si="1163"/>
        <v>0</v>
      </c>
      <c r="AV3340" s="498">
        <f t="shared" si="1164"/>
        <v>0</v>
      </c>
      <c r="AW3340" s="498">
        <f t="shared" si="1165"/>
        <v>0</v>
      </c>
      <c r="AX3340" s="498">
        <f t="shared" si="1166"/>
        <v>0</v>
      </c>
      <c r="AY3340" s="498">
        <f t="shared" si="1167"/>
        <v>0</v>
      </c>
      <c r="BB3340" s="498" t="str">
        <f t="shared" si="1168"/>
        <v/>
      </c>
      <c r="BC3340" s="743" t="str">
        <f t="shared" si="1169"/>
        <v/>
      </c>
      <c r="BD3340" s="743" t="str">
        <f t="shared" si="1170"/>
        <v/>
      </c>
      <c r="BE3340" s="743" t="str">
        <f>IF(D3340="","",VLOOKUP(D3340,'General Basis'!$J$39:$K$46,2,0))</f>
        <v/>
      </c>
      <c r="BF3340" s="744" t="str">
        <f>IF(D3340="","",VLOOKUP(D3340,'General Basis'!$J$39:$L$46,3,0))</f>
        <v/>
      </c>
      <c r="BG3340" s="744" t="str">
        <f t="shared" si="1177"/>
        <v/>
      </c>
      <c r="BH3340" s="744" t="str">
        <f>IF(G3340="","",IF(BF3340="Abu Dhabi",IF(G3340&lt;18,'General Basis'!$C$39,IF(G3340&lt;41,'General Basis'!$C$40,IF(G3340&lt;60,'General Basis'!$C$41,IF(G3340&lt;65,'General Basis'!$C$42,'General Basis'!$C$43)))),IF(G3340&lt;11,'General Basis'!$B$39,IF(G3340&lt;18,'General Basis'!$B$40,IF(G3340&lt;26,'General Basis'!$B$41,IF(G3340&lt;31,'General Basis'!$B$42,IF(G3340&lt;36,'General Basis'!$B$43,IF(G3340&lt;41,'General Basis'!$B$44,IF(G3340&lt;46,'General Basis'!$B$45,IF(G3340&lt;51,'General Basis'!$B$46,IF(G3340&lt;56,'General Basis'!$B$47,IF(G3340&lt;60,'General Basis'!$B$48,IF(G3340&lt;65,'General Basis'!$B$49,'General Basis'!$B$50)))))))))))))</f>
        <v/>
      </c>
      <c r="BI3340" s="744" t="str">
        <f t="shared" si="1171"/>
        <v/>
      </c>
      <c r="BJ3340" s="747" t="str">
        <f t="shared" si="1178"/>
        <v/>
      </c>
      <c r="BK3340" s="498" t="str">
        <f t="shared" si="1172"/>
        <v/>
      </c>
      <c r="BL3340" s="498" t="str">
        <f t="shared" si="1173"/>
        <v/>
      </c>
    </row>
    <row r="3341" spans="1:64" x14ac:dyDescent="0.25">
      <c r="A3341" s="762">
        <f t="shared" si="1174"/>
        <v>3336</v>
      </c>
      <c r="B3341" s="229"/>
      <c r="C3341" s="223"/>
      <c r="D3341" s="224"/>
      <c r="E3341" s="225"/>
      <c r="F3341" s="1036" t="str">
        <f t="shared" si="1158"/>
        <v/>
      </c>
      <c r="G3341" s="1037" t="str">
        <f t="shared" si="1175"/>
        <v/>
      </c>
      <c r="H3341" s="225"/>
      <c r="I3341" s="1013"/>
      <c r="J3341" s="1013"/>
      <c r="K3341" s="1028"/>
      <c r="L3341" s="1035" t="str">
        <f t="shared" si="1179"/>
        <v/>
      </c>
      <c r="S3341" s="498"/>
      <c r="AJ3341" s="498"/>
      <c r="AM3341" s="498">
        <f t="shared" si="1160"/>
        <v>0</v>
      </c>
      <c r="AN3341" s="498">
        <f t="shared" si="1161"/>
        <v>0</v>
      </c>
      <c r="AO3341" s="498">
        <f t="shared" si="1162"/>
        <v>0</v>
      </c>
      <c r="AP3341" s="498">
        <f t="shared" si="1159"/>
        <v>0</v>
      </c>
      <c r="AQ3341" s="498">
        <f t="shared" si="1176"/>
        <v>0</v>
      </c>
      <c r="AU3341" s="498">
        <f t="shared" si="1163"/>
        <v>0</v>
      </c>
      <c r="AV3341" s="498">
        <f t="shared" si="1164"/>
        <v>0</v>
      </c>
      <c r="AW3341" s="498">
        <f t="shared" si="1165"/>
        <v>0</v>
      </c>
      <c r="AX3341" s="498">
        <f t="shared" si="1166"/>
        <v>0</v>
      </c>
      <c r="AY3341" s="498">
        <f t="shared" si="1167"/>
        <v>0</v>
      </c>
      <c r="BB3341" s="498" t="str">
        <f t="shared" si="1168"/>
        <v/>
      </c>
      <c r="BC3341" s="743" t="str">
        <f t="shared" si="1169"/>
        <v/>
      </c>
      <c r="BD3341" s="743" t="str">
        <f t="shared" si="1170"/>
        <v/>
      </c>
      <c r="BE3341" s="743" t="str">
        <f>IF(D3341="","",VLOOKUP(D3341,'General Basis'!$J$39:$K$46,2,0))</f>
        <v/>
      </c>
      <c r="BF3341" s="744" t="str">
        <f>IF(D3341="","",VLOOKUP(D3341,'General Basis'!$J$39:$L$46,3,0))</f>
        <v/>
      </c>
      <c r="BG3341" s="744" t="str">
        <f t="shared" si="1177"/>
        <v/>
      </c>
      <c r="BH3341" s="744" t="str">
        <f>IF(G3341="","",IF(BF3341="Abu Dhabi",IF(G3341&lt;18,'General Basis'!$C$39,IF(G3341&lt;41,'General Basis'!$C$40,IF(G3341&lt;60,'General Basis'!$C$41,IF(G3341&lt;65,'General Basis'!$C$42,'General Basis'!$C$43)))),IF(G3341&lt;11,'General Basis'!$B$39,IF(G3341&lt;18,'General Basis'!$B$40,IF(G3341&lt;26,'General Basis'!$B$41,IF(G3341&lt;31,'General Basis'!$B$42,IF(G3341&lt;36,'General Basis'!$B$43,IF(G3341&lt;41,'General Basis'!$B$44,IF(G3341&lt;46,'General Basis'!$B$45,IF(G3341&lt;51,'General Basis'!$B$46,IF(G3341&lt;56,'General Basis'!$B$47,IF(G3341&lt;60,'General Basis'!$B$48,IF(G3341&lt;65,'General Basis'!$B$49,'General Basis'!$B$50)))))))))))))</f>
        <v/>
      </c>
      <c r="BI3341" s="744" t="str">
        <f t="shared" si="1171"/>
        <v/>
      </c>
      <c r="BJ3341" s="747" t="str">
        <f t="shared" si="1178"/>
        <v/>
      </c>
      <c r="BK3341" s="498" t="str">
        <f t="shared" si="1172"/>
        <v/>
      </c>
      <c r="BL3341" s="498" t="str">
        <f t="shared" si="1173"/>
        <v/>
      </c>
    </row>
    <row r="3342" spans="1:64" x14ac:dyDescent="0.25">
      <c r="A3342" s="762">
        <f t="shared" si="1174"/>
        <v>3337</v>
      </c>
      <c r="B3342" s="229"/>
      <c r="C3342" s="223"/>
      <c r="D3342" s="224"/>
      <c r="E3342" s="225"/>
      <c r="F3342" s="1036" t="str">
        <f t="shared" si="1158"/>
        <v/>
      </c>
      <c r="G3342" s="1037" t="str">
        <f t="shared" si="1175"/>
        <v/>
      </c>
      <c r="H3342" s="225"/>
      <c r="I3342" s="1013"/>
      <c r="J3342" s="1013"/>
      <c r="K3342" s="1028"/>
      <c r="L3342" s="1035" t="str">
        <f t="shared" si="1179"/>
        <v/>
      </c>
      <c r="S3342" s="498"/>
      <c r="AJ3342" s="498"/>
      <c r="AM3342" s="498">
        <f t="shared" si="1160"/>
        <v>0</v>
      </c>
      <c r="AN3342" s="498">
        <f t="shared" si="1161"/>
        <v>0</v>
      </c>
      <c r="AO3342" s="498">
        <f t="shared" si="1162"/>
        <v>0</v>
      </c>
      <c r="AP3342" s="498">
        <f t="shared" si="1159"/>
        <v>0</v>
      </c>
      <c r="AQ3342" s="498">
        <f t="shared" si="1176"/>
        <v>0</v>
      </c>
      <c r="AU3342" s="498">
        <f t="shared" si="1163"/>
        <v>0</v>
      </c>
      <c r="AV3342" s="498">
        <f t="shared" si="1164"/>
        <v>0</v>
      </c>
      <c r="AW3342" s="498">
        <f t="shared" si="1165"/>
        <v>0</v>
      </c>
      <c r="AX3342" s="498">
        <f t="shared" si="1166"/>
        <v>0</v>
      </c>
      <c r="AY3342" s="498">
        <f t="shared" si="1167"/>
        <v>0</v>
      </c>
      <c r="BB3342" s="498" t="str">
        <f t="shared" si="1168"/>
        <v/>
      </c>
      <c r="BC3342" s="743" t="str">
        <f t="shared" si="1169"/>
        <v/>
      </c>
      <c r="BD3342" s="743" t="str">
        <f t="shared" si="1170"/>
        <v/>
      </c>
      <c r="BE3342" s="743" t="str">
        <f>IF(D3342="","",VLOOKUP(D3342,'General Basis'!$J$39:$K$46,2,0))</f>
        <v/>
      </c>
      <c r="BF3342" s="744" t="str">
        <f>IF(D3342="","",VLOOKUP(D3342,'General Basis'!$J$39:$L$46,3,0))</f>
        <v/>
      </c>
      <c r="BG3342" s="744" t="str">
        <f t="shared" si="1177"/>
        <v/>
      </c>
      <c r="BH3342" s="744" t="str">
        <f>IF(G3342="","",IF(BF3342="Abu Dhabi",IF(G3342&lt;18,'General Basis'!$C$39,IF(G3342&lt;41,'General Basis'!$C$40,IF(G3342&lt;60,'General Basis'!$C$41,IF(G3342&lt;65,'General Basis'!$C$42,'General Basis'!$C$43)))),IF(G3342&lt;11,'General Basis'!$B$39,IF(G3342&lt;18,'General Basis'!$B$40,IF(G3342&lt;26,'General Basis'!$B$41,IF(G3342&lt;31,'General Basis'!$B$42,IF(G3342&lt;36,'General Basis'!$B$43,IF(G3342&lt;41,'General Basis'!$B$44,IF(G3342&lt;46,'General Basis'!$B$45,IF(G3342&lt;51,'General Basis'!$B$46,IF(G3342&lt;56,'General Basis'!$B$47,IF(G3342&lt;60,'General Basis'!$B$48,IF(G3342&lt;65,'General Basis'!$B$49,'General Basis'!$B$50)))))))))))))</f>
        <v/>
      </c>
      <c r="BI3342" s="744" t="str">
        <f t="shared" si="1171"/>
        <v/>
      </c>
      <c r="BJ3342" s="747" t="str">
        <f t="shared" si="1178"/>
        <v/>
      </c>
      <c r="BK3342" s="498" t="str">
        <f t="shared" si="1172"/>
        <v/>
      </c>
      <c r="BL3342" s="498" t="str">
        <f t="shared" si="1173"/>
        <v/>
      </c>
    </row>
    <row r="3343" spans="1:64" x14ac:dyDescent="0.25">
      <c r="A3343" s="762">
        <f t="shared" si="1174"/>
        <v>3338</v>
      </c>
      <c r="B3343" s="229"/>
      <c r="C3343" s="223"/>
      <c r="D3343" s="224"/>
      <c r="E3343" s="225"/>
      <c r="F3343" s="1036" t="str">
        <f t="shared" si="1158"/>
        <v/>
      </c>
      <c r="G3343" s="1037" t="str">
        <f t="shared" si="1175"/>
        <v/>
      </c>
      <c r="H3343" s="225"/>
      <c r="I3343" s="1013"/>
      <c r="J3343" s="1013"/>
      <c r="K3343" s="1028"/>
      <c r="L3343" s="1035" t="str">
        <f t="shared" si="1179"/>
        <v/>
      </c>
      <c r="S3343" s="498"/>
      <c r="AJ3343" s="498"/>
      <c r="AM3343" s="498">
        <f t="shared" si="1160"/>
        <v>0</v>
      </c>
      <c r="AN3343" s="498">
        <f t="shared" si="1161"/>
        <v>0</v>
      </c>
      <c r="AO3343" s="498">
        <f t="shared" si="1162"/>
        <v>0</v>
      </c>
      <c r="AP3343" s="498">
        <f t="shared" si="1159"/>
        <v>0</v>
      </c>
      <c r="AQ3343" s="498">
        <f t="shared" si="1176"/>
        <v>0</v>
      </c>
      <c r="AU3343" s="498">
        <f t="shared" si="1163"/>
        <v>0</v>
      </c>
      <c r="AV3343" s="498">
        <f t="shared" si="1164"/>
        <v>0</v>
      </c>
      <c r="AW3343" s="498">
        <f t="shared" si="1165"/>
        <v>0</v>
      </c>
      <c r="AX3343" s="498">
        <f t="shared" si="1166"/>
        <v>0</v>
      </c>
      <c r="AY3343" s="498">
        <f t="shared" si="1167"/>
        <v>0</v>
      </c>
      <c r="BB3343" s="498" t="str">
        <f t="shared" si="1168"/>
        <v/>
      </c>
      <c r="BC3343" s="743" t="str">
        <f t="shared" si="1169"/>
        <v/>
      </c>
      <c r="BD3343" s="743" t="str">
        <f t="shared" si="1170"/>
        <v/>
      </c>
      <c r="BE3343" s="743" t="str">
        <f>IF(D3343="","",VLOOKUP(D3343,'General Basis'!$J$39:$K$46,2,0))</f>
        <v/>
      </c>
      <c r="BF3343" s="744" t="str">
        <f>IF(D3343="","",VLOOKUP(D3343,'General Basis'!$J$39:$L$46,3,0))</f>
        <v/>
      </c>
      <c r="BG3343" s="744" t="str">
        <f t="shared" si="1177"/>
        <v/>
      </c>
      <c r="BH3343" s="744" t="str">
        <f>IF(G3343="","",IF(BF3343="Abu Dhabi",IF(G3343&lt;18,'General Basis'!$C$39,IF(G3343&lt;41,'General Basis'!$C$40,IF(G3343&lt;60,'General Basis'!$C$41,IF(G3343&lt;65,'General Basis'!$C$42,'General Basis'!$C$43)))),IF(G3343&lt;11,'General Basis'!$B$39,IF(G3343&lt;18,'General Basis'!$B$40,IF(G3343&lt;26,'General Basis'!$B$41,IF(G3343&lt;31,'General Basis'!$B$42,IF(G3343&lt;36,'General Basis'!$B$43,IF(G3343&lt;41,'General Basis'!$B$44,IF(G3343&lt;46,'General Basis'!$B$45,IF(G3343&lt;51,'General Basis'!$B$46,IF(G3343&lt;56,'General Basis'!$B$47,IF(G3343&lt;60,'General Basis'!$B$48,IF(G3343&lt;65,'General Basis'!$B$49,'General Basis'!$B$50)))))))))))))</f>
        <v/>
      </c>
      <c r="BI3343" s="744" t="str">
        <f t="shared" si="1171"/>
        <v/>
      </c>
      <c r="BJ3343" s="747" t="str">
        <f t="shared" si="1178"/>
        <v/>
      </c>
      <c r="BK3343" s="498" t="str">
        <f t="shared" si="1172"/>
        <v/>
      </c>
      <c r="BL3343" s="498" t="str">
        <f t="shared" si="1173"/>
        <v/>
      </c>
    </row>
    <row r="3344" spans="1:64" x14ac:dyDescent="0.25">
      <c r="A3344" s="762">
        <f t="shared" si="1174"/>
        <v>3339</v>
      </c>
      <c r="B3344" s="229"/>
      <c r="C3344" s="223"/>
      <c r="D3344" s="224"/>
      <c r="E3344" s="225"/>
      <c r="F3344" s="1036" t="str">
        <f t="shared" ref="F3344:F3407" si="1180">IF(C3344="","",IF($B3344="","",((YEAR($F$3)-YEAR($B3344))+(MONTH($F$3)-MONTH($B3344))/12+(DAY($F$3)-DAY($B3344))/(DATE(YEAR($F$3),12,31)-DATE(YEAR($F$3),1,1)+1))))</f>
        <v/>
      </c>
      <c r="G3344" s="1037" t="str">
        <f t="shared" si="1175"/>
        <v/>
      </c>
      <c r="H3344" s="225"/>
      <c r="I3344" s="1013"/>
      <c r="J3344" s="1013"/>
      <c r="K3344" s="1028"/>
      <c r="L3344" s="1035" t="str">
        <f t="shared" si="1179"/>
        <v/>
      </c>
      <c r="S3344" s="498"/>
      <c r="AJ3344" s="498"/>
      <c r="AM3344" s="498">
        <f t="shared" si="1160"/>
        <v>0</v>
      </c>
      <c r="AN3344" s="498">
        <f t="shared" si="1161"/>
        <v>0</v>
      </c>
      <c r="AO3344" s="498">
        <f t="shared" si="1162"/>
        <v>0</v>
      </c>
      <c r="AP3344" s="498">
        <f t="shared" si="1159"/>
        <v>0</v>
      </c>
      <c r="AQ3344" s="498">
        <f t="shared" si="1176"/>
        <v>0</v>
      </c>
      <c r="AU3344" s="498">
        <f t="shared" si="1163"/>
        <v>0</v>
      </c>
      <c r="AV3344" s="498">
        <f t="shared" si="1164"/>
        <v>0</v>
      </c>
      <c r="AW3344" s="498">
        <f t="shared" si="1165"/>
        <v>0</v>
      </c>
      <c r="AX3344" s="498">
        <f t="shared" si="1166"/>
        <v>0</v>
      </c>
      <c r="AY3344" s="498">
        <f t="shared" si="1167"/>
        <v>0</v>
      </c>
      <c r="BB3344" s="498" t="str">
        <f t="shared" si="1168"/>
        <v/>
      </c>
      <c r="BC3344" s="743" t="str">
        <f t="shared" si="1169"/>
        <v/>
      </c>
      <c r="BD3344" s="743" t="str">
        <f t="shared" si="1170"/>
        <v/>
      </c>
      <c r="BE3344" s="743" t="str">
        <f>IF(D3344="","",VLOOKUP(D3344,'General Basis'!$J$39:$K$46,2,0))</f>
        <v/>
      </c>
      <c r="BF3344" s="744" t="str">
        <f>IF(D3344="","",VLOOKUP(D3344,'General Basis'!$J$39:$L$46,3,0))</f>
        <v/>
      </c>
      <c r="BG3344" s="744" t="str">
        <f t="shared" si="1177"/>
        <v/>
      </c>
      <c r="BH3344" s="744" t="str">
        <f>IF(G3344="","",IF(BF3344="Abu Dhabi",IF(G3344&lt;18,'General Basis'!$C$39,IF(G3344&lt;41,'General Basis'!$C$40,IF(G3344&lt;60,'General Basis'!$C$41,IF(G3344&lt;65,'General Basis'!$C$42,'General Basis'!$C$43)))),IF(G3344&lt;11,'General Basis'!$B$39,IF(G3344&lt;18,'General Basis'!$B$40,IF(G3344&lt;26,'General Basis'!$B$41,IF(G3344&lt;31,'General Basis'!$B$42,IF(G3344&lt;36,'General Basis'!$B$43,IF(G3344&lt;41,'General Basis'!$B$44,IF(G3344&lt;46,'General Basis'!$B$45,IF(G3344&lt;51,'General Basis'!$B$46,IF(G3344&lt;56,'General Basis'!$B$47,IF(G3344&lt;60,'General Basis'!$B$48,IF(G3344&lt;65,'General Basis'!$B$49,'General Basis'!$B$50)))))))))))))</f>
        <v/>
      </c>
      <c r="BI3344" s="744" t="str">
        <f t="shared" si="1171"/>
        <v/>
      </c>
      <c r="BJ3344" s="747" t="str">
        <f t="shared" si="1178"/>
        <v/>
      </c>
      <c r="BK3344" s="498" t="str">
        <f t="shared" si="1172"/>
        <v/>
      </c>
      <c r="BL3344" s="498" t="str">
        <f t="shared" si="1173"/>
        <v/>
      </c>
    </row>
    <row r="3345" spans="1:64" x14ac:dyDescent="0.25">
      <c r="A3345" s="762">
        <f t="shared" si="1174"/>
        <v>3340</v>
      </c>
      <c r="B3345" s="229"/>
      <c r="C3345" s="223"/>
      <c r="D3345" s="224"/>
      <c r="E3345" s="225"/>
      <c r="F3345" s="1036" t="str">
        <f t="shared" si="1180"/>
        <v/>
      </c>
      <c r="G3345" s="1037" t="str">
        <f t="shared" si="1175"/>
        <v/>
      </c>
      <c r="H3345" s="225"/>
      <c r="I3345" s="1013"/>
      <c r="J3345" s="1013"/>
      <c r="K3345" s="1028"/>
      <c r="L3345" s="1035" t="str">
        <f t="shared" si="1179"/>
        <v/>
      </c>
      <c r="S3345" s="498"/>
      <c r="AJ3345" s="498"/>
      <c r="AM3345" s="498">
        <f t="shared" si="1160"/>
        <v>0</v>
      </c>
      <c r="AN3345" s="498">
        <f t="shared" si="1161"/>
        <v>0</v>
      </c>
      <c r="AO3345" s="498">
        <f t="shared" si="1162"/>
        <v>0</v>
      </c>
      <c r="AP3345" s="498">
        <f t="shared" si="1159"/>
        <v>0</v>
      </c>
      <c r="AQ3345" s="498">
        <f t="shared" si="1176"/>
        <v>0</v>
      </c>
      <c r="AU3345" s="498">
        <f t="shared" si="1163"/>
        <v>0</v>
      </c>
      <c r="AV3345" s="498">
        <f t="shared" si="1164"/>
        <v>0</v>
      </c>
      <c r="AW3345" s="498">
        <f t="shared" si="1165"/>
        <v>0</v>
      </c>
      <c r="AX3345" s="498">
        <f t="shared" si="1166"/>
        <v>0</v>
      </c>
      <c r="AY3345" s="498">
        <f t="shared" si="1167"/>
        <v>0</v>
      </c>
      <c r="BB3345" s="498" t="str">
        <f t="shared" si="1168"/>
        <v/>
      </c>
      <c r="BC3345" s="743" t="str">
        <f t="shared" si="1169"/>
        <v/>
      </c>
      <c r="BD3345" s="743" t="str">
        <f t="shared" si="1170"/>
        <v/>
      </c>
      <c r="BE3345" s="743" t="str">
        <f>IF(D3345="","",VLOOKUP(D3345,'General Basis'!$J$39:$K$46,2,0))</f>
        <v/>
      </c>
      <c r="BF3345" s="744" t="str">
        <f>IF(D3345="","",VLOOKUP(D3345,'General Basis'!$J$39:$L$46,3,0))</f>
        <v/>
      </c>
      <c r="BG3345" s="744" t="str">
        <f t="shared" si="1177"/>
        <v/>
      </c>
      <c r="BH3345" s="744" t="str">
        <f>IF(G3345="","",IF(BF3345="Abu Dhabi",IF(G3345&lt;18,'General Basis'!$C$39,IF(G3345&lt;41,'General Basis'!$C$40,IF(G3345&lt;60,'General Basis'!$C$41,IF(G3345&lt;65,'General Basis'!$C$42,'General Basis'!$C$43)))),IF(G3345&lt;11,'General Basis'!$B$39,IF(G3345&lt;18,'General Basis'!$B$40,IF(G3345&lt;26,'General Basis'!$B$41,IF(G3345&lt;31,'General Basis'!$B$42,IF(G3345&lt;36,'General Basis'!$B$43,IF(G3345&lt;41,'General Basis'!$B$44,IF(G3345&lt;46,'General Basis'!$B$45,IF(G3345&lt;51,'General Basis'!$B$46,IF(G3345&lt;56,'General Basis'!$B$47,IF(G3345&lt;60,'General Basis'!$B$48,IF(G3345&lt;65,'General Basis'!$B$49,'General Basis'!$B$50)))))))))))))</f>
        <v/>
      </c>
      <c r="BI3345" s="744" t="str">
        <f t="shared" si="1171"/>
        <v/>
      </c>
      <c r="BJ3345" s="747" t="str">
        <f t="shared" si="1178"/>
        <v/>
      </c>
      <c r="BK3345" s="498" t="str">
        <f t="shared" si="1172"/>
        <v/>
      </c>
      <c r="BL3345" s="498" t="str">
        <f t="shared" si="1173"/>
        <v/>
      </c>
    </row>
    <row r="3346" spans="1:64" x14ac:dyDescent="0.25">
      <c r="A3346" s="762">
        <f t="shared" si="1174"/>
        <v>3341</v>
      </c>
      <c r="B3346" s="229"/>
      <c r="C3346" s="223"/>
      <c r="D3346" s="224"/>
      <c r="E3346" s="225"/>
      <c r="F3346" s="1036" t="str">
        <f t="shared" si="1180"/>
        <v/>
      </c>
      <c r="G3346" s="1037" t="str">
        <f t="shared" si="1175"/>
        <v/>
      </c>
      <c r="H3346" s="225"/>
      <c r="I3346" s="1013"/>
      <c r="J3346" s="1013"/>
      <c r="K3346" s="1028"/>
      <c r="L3346" s="1035" t="str">
        <f t="shared" si="1179"/>
        <v/>
      </c>
      <c r="S3346" s="498"/>
      <c r="AJ3346" s="498"/>
      <c r="AM3346" s="498">
        <f t="shared" si="1160"/>
        <v>0</v>
      </c>
      <c r="AN3346" s="498">
        <f t="shared" si="1161"/>
        <v>0</v>
      </c>
      <c r="AO3346" s="498">
        <f t="shared" si="1162"/>
        <v>0</v>
      </c>
      <c r="AP3346" s="498">
        <f t="shared" si="1159"/>
        <v>0</v>
      </c>
      <c r="AQ3346" s="498">
        <f t="shared" si="1176"/>
        <v>0</v>
      </c>
      <c r="AU3346" s="498">
        <f t="shared" si="1163"/>
        <v>0</v>
      </c>
      <c r="AV3346" s="498">
        <f t="shared" si="1164"/>
        <v>0</v>
      </c>
      <c r="AW3346" s="498">
        <f t="shared" si="1165"/>
        <v>0</v>
      </c>
      <c r="AX3346" s="498">
        <f t="shared" si="1166"/>
        <v>0</v>
      </c>
      <c r="AY3346" s="498">
        <f t="shared" si="1167"/>
        <v>0</v>
      </c>
      <c r="BB3346" s="498" t="str">
        <f t="shared" si="1168"/>
        <v/>
      </c>
      <c r="BC3346" s="743" t="str">
        <f t="shared" si="1169"/>
        <v/>
      </c>
      <c r="BD3346" s="743" t="str">
        <f t="shared" si="1170"/>
        <v/>
      </c>
      <c r="BE3346" s="743" t="str">
        <f>IF(D3346="","",VLOOKUP(D3346,'General Basis'!$J$39:$K$46,2,0))</f>
        <v/>
      </c>
      <c r="BF3346" s="744" t="str">
        <f>IF(D3346="","",VLOOKUP(D3346,'General Basis'!$J$39:$L$46,3,0))</f>
        <v/>
      </c>
      <c r="BG3346" s="744" t="str">
        <f t="shared" si="1177"/>
        <v/>
      </c>
      <c r="BH3346" s="744" t="str">
        <f>IF(G3346="","",IF(BF3346="Abu Dhabi",IF(G3346&lt;18,'General Basis'!$C$39,IF(G3346&lt;41,'General Basis'!$C$40,IF(G3346&lt;60,'General Basis'!$C$41,IF(G3346&lt;65,'General Basis'!$C$42,'General Basis'!$C$43)))),IF(G3346&lt;11,'General Basis'!$B$39,IF(G3346&lt;18,'General Basis'!$B$40,IF(G3346&lt;26,'General Basis'!$B$41,IF(G3346&lt;31,'General Basis'!$B$42,IF(G3346&lt;36,'General Basis'!$B$43,IF(G3346&lt;41,'General Basis'!$B$44,IF(G3346&lt;46,'General Basis'!$B$45,IF(G3346&lt;51,'General Basis'!$B$46,IF(G3346&lt;56,'General Basis'!$B$47,IF(G3346&lt;60,'General Basis'!$B$48,IF(G3346&lt;65,'General Basis'!$B$49,'General Basis'!$B$50)))))))))))))</f>
        <v/>
      </c>
      <c r="BI3346" s="744" t="str">
        <f t="shared" si="1171"/>
        <v/>
      </c>
      <c r="BJ3346" s="747" t="str">
        <f t="shared" si="1178"/>
        <v/>
      </c>
      <c r="BK3346" s="498" t="str">
        <f t="shared" si="1172"/>
        <v/>
      </c>
      <c r="BL3346" s="498" t="str">
        <f t="shared" si="1173"/>
        <v/>
      </c>
    </row>
    <row r="3347" spans="1:64" x14ac:dyDescent="0.25">
      <c r="A3347" s="762">
        <f t="shared" si="1174"/>
        <v>3342</v>
      </c>
      <c r="B3347" s="229"/>
      <c r="C3347" s="223"/>
      <c r="D3347" s="224"/>
      <c r="E3347" s="225"/>
      <c r="F3347" s="1036" t="str">
        <f t="shared" si="1180"/>
        <v/>
      </c>
      <c r="G3347" s="1037" t="str">
        <f t="shared" si="1175"/>
        <v/>
      </c>
      <c r="H3347" s="225"/>
      <c r="I3347" s="1013"/>
      <c r="J3347" s="1013"/>
      <c r="K3347" s="1028"/>
      <c r="L3347" s="1035" t="str">
        <f t="shared" si="1179"/>
        <v/>
      </c>
      <c r="S3347" s="498"/>
      <c r="AJ3347" s="498"/>
      <c r="AM3347" s="498">
        <f t="shared" si="1160"/>
        <v>0</v>
      </c>
      <c r="AN3347" s="498">
        <f t="shared" si="1161"/>
        <v>0</v>
      </c>
      <c r="AO3347" s="498">
        <f t="shared" si="1162"/>
        <v>0</v>
      </c>
      <c r="AP3347" s="498">
        <f t="shared" ref="AP3347:AP3410" si="1181">IF(ISBLANK($B3347),0,IF(OR($C3347="M",$C3347="F"),0,1))</f>
        <v>0</v>
      </c>
      <c r="AQ3347" s="498">
        <f t="shared" si="1176"/>
        <v>0</v>
      </c>
      <c r="AU3347" s="498">
        <f t="shared" si="1163"/>
        <v>0</v>
      </c>
      <c r="AV3347" s="498">
        <f t="shared" si="1164"/>
        <v>0</v>
      </c>
      <c r="AW3347" s="498">
        <f t="shared" si="1165"/>
        <v>0</v>
      </c>
      <c r="AX3347" s="498">
        <f t="shared" si="1166"/>
        <v>0</v>
      </c>
      <c r="AY3347" s="498">
        <f t="shared" si="1167"/>
        <v>0</v>
      </c>
      <c r="BB3347" s="498" t="str">
        <f t="shared" si="1168"/>
        <v/>
      </c>
      <c r="BC3347" s="743" t="str">
        <f t="shared" si="1169"/>
        <v/>
      </c>
      <c r="BD3347" s="743" t="str">
        <f t="shared" si="1170"/>
        <v/>
      </c>
      <c r="BE3347" s="743" t="str">
        <f>IF(D3347="","",VLOOKUP(D3347,'General Basis'!$J$39:$K$46,2,0))</f>
        <v/>
      </c>
      <c r="BF3347" s="744" t="str">
        <f>IF(D3347="","",VLOOKUP(D3347,'General Basis'!$J$39:$L$46,3,0))</f>
        <v/>
      </c>
      <c r="BG3347" s="744" t="str">
        <f t="shared" si="1177"/>
        <v/>
      </c>
      <c r="BH3347" s="744" t="str">
        <f>IF(G3347="","",IF(BF3347="Abu Dhabi",IF(G3347&lt;18,'General Basis'!$C$39,IF(G3347&lt;41,'General Basis'!$C$40,IF(G3347&lt;60,'General Basis'!$C$41,IF(G3347&lt;65,'General Basis'!$C$42,'General Basis'!$C$43)))),IF(G3347&lt;11,'General Basis'!$B$39,IF(G3347&lt;18,'General Basis'!$B$40,IF(G3347&lt;26,'General Basis'!$B$41,IF(G3347&lt;31,'General Basis'!$B$42,IF(G3347&lt;36,'General Basis'!$B$43,IF(G3347&lt;41,'General Basis'!$B$44,IF(G3347&lt;46,'General Basis'!$B$45,IF(G3347&lt;51,'General Basis'!$B$46,IF(G3347&lt;56,'General Basis'!$B$47,IF(G3347&lt;60,'General Basis'!$B$48,IF(G3347&lt;65,'General Basis'!$B$49,'General Basis'!$B$50)))))))))))))</f>
        <v/>
      </c>
      <c r="BI3347" s="744" t="str">
        <f t="shared" si="1171"/>
        <v/>
      </c>
      <c r="BJ3347" s="747" t="str">
        <f t="shared" si="1178"/>
        <v/>
      </c>
      <c r="BK3347" s="498" t="str">
        <f t="shared" si="1172"/>
        <v/>
      </c>
      <c r="BL3347" s="498" t="str">
        <f t="shared" si="1173"/>
        <v/>
      </c>
    </row>
    <row r="3348" spans="1:64" x14ac:dyDescent="0.25">
      <c r="A3348" s="762">
        <f t="shared" si="1174"/>
        <v>3343</v>
      </c>
      <c r="B3348" s="229"/>
      <c r="C3348" s="223"/>
      <c r="D3348" s="224"/>
      <c r="E3348" s="225"/>
      <c r="F3348" s="1036" t="str">
        <f t="shared" si="1180"/>
        <v/>
      </c>
      <c r="G3348" s="1037" t="str">
        <f t="shared" si="1175"/>
        <v/>
      </c>
      <c r="H3348" s="225"/>
      <c r="I3348" s="1013"/>
      <c r="J3348" s="1013"/>
      <c r="K3348" s="1028"/>
      <c r="L3348" s="1035" t="str">
        <f t="shared" si="1179"/>
        <v/>
      </c>
      <c r="S3348" s="498"/>
      <c r="AJ3348" s="498"/>
      <c r="AM3348" s="498">
        <f t="shared" si="1160"/>
        <v>0</v>
      </c>
      <c r="AN3348" s="498">
        <f t="shared" si="1161"/>
        <v>0</v>
      </c>
      <c r="AO3348" s="498">
        <f t="shared" si="1162"/>
        <v>0</v>
      </c>
      <c r="AP3348" s="498">
        <f t="shared" si="1181"/>
        <v>0</v>
      </c>
      <c r="AQ3348" s="498">
        <f t="shared" si="1176"/>
        <v>0</v>
      </c>
      <c r="AU3348" s="498">
        <f t="shared" si="1163"/>
        <v>0</v>
      </c>
      <c r="AV3348" s="498">
        <f t="shared" si="1164"/>
        <v>0</v>
      </c>
      <c r="AW3348" s="498">
        <f t="shared" si="1165"/>
        <v>0</v>
      </c>
      <c r="AX3348" s="498">
        <f t="shared" si="1166"/>
        <v>0</v>
      </c>
      <c r="AY3348" s="498">
        <f t="shared" si="1167"/>
        <v>0</v>
      </c>
      <c r="BB3348" s="498" t="str">
        <f t="shared" si="1168"/>
        <v/>
      </c>
      <c r="BC3348" s="743" t="str">
        <f t="shared" si="1169"/>
        <v/>
      </c>
      <c r="BD3348" s="743" t="str">
        <f t="shared" si="1170"/>
        <v/>
      </c>
      <c r="BE3348" s="743" t="str">
        <f>IF(D3348="","",VLOOKUP(D3348,'General Basis'!$J$39:$K$46,2,0))</f>
        <v/>
      </c>
      <c r="BF3348" s="744" t="str">
        <f>IF(D3348="","",VLOOKUP(D3348,'General Basis'!$J$39:$L$46,3,0))</f>
        <v/>
      </c>
      <c r="BG3348" s="744" t="str">
        <f t="shared" si="1177"/>
        <v/>
      </c>
      <c r="BH3348" s="744" t="str">
        <f>IF(G3348="","",IF(BF3348="Abu Dhabi",IF(G3348&lt;18,'General Basis'!$C$39,IF(G3348&lt;41,'General Basis'!$C$40,IF(G3348&lt;60,'General Basis'!$C$41,IF(G3348&lt;65,'General Basis'!$C$42,'General Basis'!$C$43)))),IF(G3348&lt;11,'General Basis'!$B$39,IF(G3348&lt;18,'General Basis'!$B$40,IF(G3348&lt;26,'General Basis'!$B$41,IF(G3348&lt;31,'General Basis'!$B$42,IF(G3348&lt;36,'General Basis'!$B$43,IF(G3348&lt;41,'General Basis'!$B$44,IF(G3348&lt;46,'General Basis'!$B$45,IF(G3348&lt;51,'General Basis'!$B$46,IF(G3348&lt;56,'General Basis'!$B$47,IF(G3348&lt;60,'General Basis'!$B$48,IF(G3348&lt;65,'General Basis'!$B$49,'General Basis'!$B$50)))))))))))))</f>
        <v/>
      </c>
      <c r="BI3348" s="744" t="str">
        <f t="shared" si="1171"/>
        <v/>
      </c>
      <c r="BJ3348" s="747" t="str">
        <f t="shared" si="1178"/>
        <v/>
      </c>
      <c r="BK3348" s="498" t="str">
        <f t="shared" si="1172"/>
        <v/>
      </c>
      <c r="BL3348" s="498" t="str">
        <f t="shared" si="1173"/>
        <v/>
      </c>
    </row>
    <row r="3349" spans="1:64" x14ac:dyDescent="0.25">
      <c r="A3349" s="762">
        <f t="shared" si="1174"/>
        <v>3344</v>
      </c>
      <c r="B3349" s="229"/>
      <c r="C3349" s="223"/>
      <c r="D3349" s="224"/>
      <c r="E3349" s="225"/>
      <c r="F3349" s="1036" t="str">
        <f t="shared" si="1180"/>
        <v/>
      </c>
      <c r="G3349" s="1037" t="str">
        <f t="shared" si="1175"/>
        <v/>
      </c>
      <c r="H3349" s="225"/>
      <c r="I3349" s="1013"/>
      <c r="J3349" s="1013"/>
      <c r="K3349" s="1028"/>
      <c r="L3349" s="1035" t="str">
        <f t="shared" si="1179"/>
        <v/>
      </c>
      <c r="S3349" s="498"/>
      <c r="AJ3349" s="498"/>
      <c r="AM3349" s="498">
        <f t="shared" si="1160"/>
        <v>0</v>
      </c>
      <c r="AN3349" s="498">
        <f t="shared" si="1161"/>
        <v>0</v>
      </c>
      <c r="AO3349" s="498">
        <f t="shared" si="1162"/>
        <v>0</v>
      </c>
      <c r="AP3349" s="498">
        <f t="shared" si="1181"/>
        <v>0</v>
      </c>
      <c r="AQ3349" s="498">
        <f t="shared" si="1176"/>
        <v>0</v>
      </c>
      <c r="AU3349" s="498">
        <f t="shared" si="1163"/>
        <v>0</v>
      </c>
      <c r="AV3349" s="498">
        <f t="shared" si="1164"/>
        <v>0</v>
      </c>
      <c r="AW3349" s="498">
        <f t="shared" si="1165"/>
        <v>0</v>
      </c>
      <c r="AX3349" s="498">
        <f t="shared" si="1166"/>
        <v>0</v>
      </c>
      <c r="AY3349" s="498">
        <f t="shared" si="1167"/>
        <v>0</v>
      </c>
      <c r="BB3349" s="498" t="str">
        <f t="shared" si="1168"/>
        <v/>
      </c>
      <c r="BC3349" s="743" t="str">
        <f t="shared" si="1169"/>
        <v/>
      </c>
      <c r="BD3349" s="743" t="str">
        <f t="shared" si="1170"/>
        <v/>
      </c>
      <c r="BE3349" s="743" t="str">
        <f>IF(D3349="","",VLOOKUP(D3349,'General Basis'!$J$39:$K$46,2,0))</f>
        <v/>
      </c>
      <c r="BF3349" s="744" t="str">
        <f>IF(D3349="","",VLOOKUP(D3349,'General Basis'!$J$39:$L$46,3,0))</f>
        <v/>
      </c>
      <c r="BG3349" s="744" t="str">
        <f t="shared" si="1177"/>
        <v/>
      </c>
      <c r="BH3349" s="744" t="str">
        <f>IF(G3349="","",IF(BF3349="Abu Dhabi",IF(G3349&lt;18,'General Basis'!$C$39,IF(G3349&lt;41,'General Basis'!$C$40,IF(G3349&lt;60,'General Basis'!$C$41,IF(G3349&lt;65,'General Basis'!$C$42,'General Basis'!$C$43)))),IF(G3349&lt;11,'General Basis'!$B$39,IF(G3349&lt;18,'General Basis'!$B$40,IF(G3349&lt;26,'General Basis'!$B$41,IF(G3349&lt;31,'General Basis'!$B$42,IF(G3349&lt;36,'General Basis'!$B$43,IF(G3349&lt;41,'General Basis'!$B$44,IF(G3349&lt;46,'General Basis'!$B$45,IF(G3349&lt;51,'General Basis'!$B$46,IF(G3349&lt;56,'General Basis'!$B$47,IF(G3349&lt;60,'General Basis'!$B$48,IF(G3349&lt;65,'General Basis'!$B$49,'General Basis'!$B$50)))))))))))))</f>
        <v/>
      </c>
      <c r="BI3349" s="744" t="str">
        <f t="shared" si="1171"/>
        <v/>
      </c>
      <c r="BJ3349" s="747" t="str">
        <f t="shared" si="1178"/>
        <v/>
      </c>
      <c r="BK3349" s="498" t="str">
        <f t="shared" si="1172"/>
        <v/>
      </c>
      <c r="BL3349" s="498" t="str">
        <f t="shared" si="1173"/>
        <v/>
      </c>
    </row>
    <row r="3350" spans="1:64" x14ac:dyDescent="0.25">
      <c r="A3350" s="762">
        <f t="shared" si="1174"/>
        <v>3345</v>
      </c>
      <c r="B3350" s="229"/>
      <c r="C3350" s="223"/>
      <c r="D3350" s="224"/>
      <c r="E3350" s="225"/>
      <c r="F3350" s="1036" t="str">
        <f t="shared" si="1180"/>
        <v/>
      </c>
      <c r="G3350" s="1037" t="str">
        <f t="shared" si="1175"/>
        <v/>
      </c>
      <c r="H3350" s="225"/>
      <c r="I3350" s="1013"/>
      <c r="J3350" s="1013"/>
      <c r="K3350" s="1028"/>
      <c r="L3350" s="1035" t="str">
        <f t="shared" si="1179"/>
        <v/>
      </c>
      <c r="S3350" s="498"/>
      <c r="AJ3350" s="498"/>
      <c r="AM3350" s="498">
        <f t="shared" si="1160"/>
        <v>0</v>
      </c>
      <c r="AN3350" s="498">
        <f t="shared" si="1161"/>
        <v>0</v>
      </c>
      <c r="AO3350" s="498">
        <f t="shared" si="1162"/>
        <v>0</v>
      </c>
      <c r="AP3350" s="498">
        <f t="shared" si="1181"/>
        <v>0</v>
      </c>
      <c r="AQ3350" s="498">
        <f t="shared" si="1176"/>
        <v>0</v>
      </c>
      <c r="AU3350" s="498">
        <f t="shared" si="1163"/>
        <v>0</v>
      </c>
      <c r="AV3350" s="498">
        <f t="shared" si="1164"/>
        <v>0</v>
      </c>
      <c r="AW3350" s="498">
        <f t="shared" si="1165"/>
        <v>0</v>
      </c>
      <c r="AX3350" s="498">
        <f t="shared" si="1166"/>
        <v>0</v>
      </c>
      <c r="AY3350" s="498">
        <f t="shared" si="1167"/>
        <v>0</v>
      </c>
      <c r="BB3350" s="498" t="str">
        <f t="shared" si="1168"/>
        <v/>
      </c>
      <c r="BC3350" s="743" t="str">
        <f t="shared" si="1169"/>
        <v/>
      </c>
      <c r="BD3350" s="743" t="str">
        <f t="shared" si="1170"/>
        <v/>
      </c>
      <c r="BE3350" s="743" t="str">
        <f>IF(D3350="","",VLOOKUP(D3350,'General Basis'!$J$39:$K$46,2,0))</f>
        <v/>
      </c>
      <c r="BF3350" s="744" t="str">
        <f>IF(D3350="","",VLOOKUP(D3350,'General Basis'!$J$39:$L$46,3,0))</f>
        <v/>
      </c>
      <c r="BG3350" s="744" t="str">
        <f t="shared" si="1177"/>
        <v/>
      </c>
      <c r="BH3350" s="744" t="str">
        <f>IF(G3350="","",IF(BF3350="Abu Dhabi",IF(G3350&lt;18,'General Basis'!$C$39,IF(G3350&lt;41,'General Basis'!$C$40,IF(G3350&lt;60,'General Basis'!$C$41,IF(G3350&lt;65,'General Basis'!$C$42,'General Basis'!$C$43)))),IF(G3350&lt;11,'General Basis'!$B$39,IF(G3350&lt;18,'General Basis'!$B$40,IF(G3350&lt;26,'General Basis'!$B$41,IF(G3350&lt;31,'General Basis'!$B$42,IF(G3350&lt;36,'General Basis'!$B$43,IF(G3350&lt;41,'General Basis'!$B$44,IF(G3350&lt;46,'General Basis'!$B$45,IF(G3350&lt;51,'General Basis'!$B$46,IF(G3350&lt;56,'General Basis'!$B$47,IF(G3350&lt;60,'General Basis'!$B$48,IF(G3350&lt;65,'General Basis'!$B$49,'General Basis'!$B$50)))))))))))))</f>
        <v/>
      </c>
      <c r="BI3350" s="744" t="str">
        <f t="shared" si="1171"/>
        <v/>
      </c>
      <c r="BJ3350" s="747" t="str">
        <f t="shared" si="1178"/>
        <v/>
      </c>
      <c r="BK3350" s="498" t="str">
        <f t="shared" si="1172"/>
        <v/>
      </c>
      <c r="BL3350" s="498" t="str">
        <f t="shared" si="1173"/>
        <v/>
      </c>
    </row>
    <row r="3351" spans="1:64" x14ac:dyDescent="0.25">
      <c r="A3351" s="762">
        <f t="shared" si="1174"/>
        <v>3346</v>
      </c>
      <c r="B3351" s="229"/>
      <c r="C3351" s="223"/>
      <c r="D3351" s="224"/>
      <c r="E3351" s="225"/>
      <c r="F3351" s="1036" t="str">
        <f t="shared" si="1180"/>
        <v/>
      </c>
      <c r="G3351" s="1037" t="str">
        <f t="shared" si="1175"/>
        <v/>
      </c>
      <c r="H3351" s="225"/>
      <c r="I3351" s="1013"/>
      <c r="J3351" s="1013"/>
      <c r="K3351" s="1028"/>
      <c r="L3351" s="1035" t="str">
        <f t="shared" si="1179"/>
        <v/>
      </c>
      <c r="S3351" s="498"/>
      <c r="AJ3351" s="498"/>
      <c r="AM3351" s="498">
        <f t="shared" si="1160"/>
        <v>0</v>
      </c>
      <c r="AN3351" s="498">
        <f t="shared" si="1161"/>
        <v>0</v>
      </c>
      <c r="AO3351" s="498">
        <f t="shared" si="1162"/>
        <v>0</v>
      </c>
      <c r="AP3351" s="498">
        <f t="shared" si="1181"/>
        <v>0</v>
      </c>
      <c r="AQ3351" s="498">
        <f t="shared" si="1176"/>
        <v>0</v>
      </c>
      <c r="AU3351" s="498">
        <f t="shared" si="1163"/>
        <v>0</v>
      </c>
      <c r="AV3351" s="498">
        <f t="shared" si="1164"/>
        <v>0</v>
      </c>
      <c r="AW3351" s="498">
        <f t="shared" si="1165"/>
        <v>0</v>
      </c>
      <c r="AX3351" s="498">
        <f t="shared" si="1166"/>
        <v>0</v>
      </c>
      <c r="AY3351" s="498">
        <f t="shared" si="1167"/>
        <v>0</v>
      </c>
      <c r="BB3351" s="498" t="str">
        <f t="shared" si="1168"/>
        <v/>
      </c>
      <c r="BC3351" s="743" t="str">
        <f t="shared" si="1169"/>
        <v/>
      </c>
      <c r="BD3351" s="743" t="str">
        <f t="shared" si="1170"/>
        <v/>
      </c>
      <c r="BE3351" s="743" t="str">
        <f>IF(D3351="","",VLOOKUP(D3351,'General Basis'!$J$39:$K$46,2,0))</f>
        <v/>
      </c>
      <c r="BF3351" s="744" t="str">
        <f>IF(D3351="","",VLOOKUP(D3351,'General Basis'!$J$39:$L$46,3,0))</f>
        <v/>
      </c>
      <c r="BG3351" s="744" t="str">
        <f t="shared" si="1177"/>
        <v/>
      </c>
      <c r="BH3351" s="744" t="str">
        <f>IF(G3351="","",IF(BF3351="Abu Dhabi",IF(G3351&lt;18,'General Basis'!$C$39,IF(G3351&lt;41,'General Basis'!$C$40,IF(G3351&lt;60,'General Basis'!$C$41,IF(G3351&lt;65,'General Basis'!$C$42,'General Basis'!$C$43)))),IF(G3351&lt;11,'General Basis'!$B$39,IF(G3351&lt;18,'General Basis'!$B$40,IF(G3351&lt;26,'General Basis'!$B$41,IF(G3351&lt;31,'General Basis'!$B$42,IF(G3351&lt;36,'General Basis'!$B$43,IF(G3351&lt;41,'General Basis'!$B$44,IF(G3351&lt;46,'General Basis'!$B$45,IF(G3351&lt;51,'General Basis'!$B$46,IF(G3351&lt;56,'General Basis'!$B$47,IF(G3351&lt;60,'General Basis'!$B$48,IF(G3351&lt;65,'General Basis'!$B$49,'General Basis'!$B$50)))))))))))))</f>
        <v/>
      </c>
      <c r="BI3351" s="744" t="str">
        <f t="shared" si="1171"/>
        <v/>
      </c>
      <c r="BJ3351" s="747" t="str">
        <f t="shared" si="1178"/>
        <v/>
      </c>
      <c r="BK3351" s="498" t="str">
        <f t="shared" si="1172"/>
        <v/>
      </c>
      <c r="BL3351" s="498" t="str">
        <f t="shared" si="1173"/>
        <v/>
      </c>
    </row>
    <row r="3352" spans="1:64" x14ac:dyDescent="0.25">
      <c r="A3352" s="762">
        <f t="shared" si="1174"/>
        <v>3347</v>
      </c>
      <c r="B3352" s="229"/>
      <c r="C3352" s="223"/>
      <c r="D3352" s="224"/>
      <c r="E3352" s="225"/>
      <c r="F3352" s="1036" t="str">
        <f t="shared" si="1180"/>
        <v/>
      </c>
      <c r="G3352" s="1037" t="str">
        <f t="shared" si="1175"/>
        <v/>
      </c>
      <c r="H3352" s="225"/>
      <c r="I3352" s="1013"/>
      <c r="J3352" s="1013"/>
      <c r="K3352" s="1028"/>
      <c r="L3352" s="1035" t="str">
        <f t="shared" si="1179"/>
        <v/>
      </c>
      <c r="S3352" s="498"/>
      <c r="AJ3352" s="498"/>
      <c r="AM3352" s="498">
        <f t="shared" si="1160"/>
        <v>0</v>
      </c>
      <c r="AN3352" s="498">
        <f t="shared" si="1161"/>
        <v>0</v>
      </c>
      <c r="AO3352" s="498">
        <f t="shared" si="1162"/>
        <v>0</v>
      </c>
      <c r="AP3352" s="498">
        <f t="shared" si="1181"/>
        <v>0</v>
      </c>
      <c r="AQ3352" s="498">
        <f t="shared" si="1176"/>
        <v>0</v>
      </c>
      <c r="AU3352" s="498">
        <f t="shared" si="1163"/>
        <v>0</v>
      </c>
      <c r="AV3352" s="498">
        <f t="shared" si="1164"/>
        <v>0</v>
      </c>
      <c r="AW3352" s="498">
        <f t="shared" si="1165"/>
        <v>0</v>
      </c>
      <c r="AX3352" s="498">
        <f t="shared" si="1166"/>
        <v>0</v>
      </c>
      <c r="AY3352" s="498">
        <f t="shared" si="1167"/>
        <v>0</v>
      </c>
      <c r="BB3352" s="498" t="str">
        <f t="shared" si="1168"/>
        <v/>
      </c>
      <c r="BC3352" s="743" t="str">
        <f t="shared" si="1169"/>
        <v/>
      </c>
      <c r="BD3352" s="743" t="str">
        <f t="shared" si="1170"/>
        <v/>
      </c>
      <c r="BE3352" s="743" t="str">
        <f>IF(D3352="","",VLOOKUP(D3352,'General Basis'!$J$39:$K$46,2,0))</f>
        <v/>
      </c>
      <c r="BF3352" s="744" t="str">
        <f>IF(D3352="","",VLOOKUP(D3352,'General Basis'!$J$39:$L$46,3,0))</f>
        <v/>
      </c>
      <c r="BG3352" s="744" t="str">
        <f t="shared" si="1177"/>
        <v/>
      </c>
      <c r="BH3352" s="744" t="str">
        <f>IF(G3352="","",IF(BF3352="Abu Dhabi",IF(G3352&lt;18,'General Basis'!$C$39,IF(G3352&lt;41,'General Basis'!$C$40,IF(G3352&lt;60,'General Basis'!$C$41,IF(G3352&lt;65,'General Basis'!$C$42,'General Basis'!$C$43)))),IF(G3352&lt;11,'General Basis'!$B$39,IF(G3352&lt;18,'General Basis'!$B$40,IF(G3352&lt;26,'General Basis'!$B$41,IF(G3352&lt;31,'General Basis'!$B$42,IF(G3352&lt;36,'General Basis'!$B$43,IF(G3352&lt;41,'General Basis'!$B$44,IF(G3352&lt;46,'General Basis'!$B$45,IF(G3352&lt;51,'General Basis'!$B$46,IF(G3352&lt;56,'General Basis'!$B$47,IF(G3352&lt;60,'General Basis'!$B$48,IF(G3352&lt;65,'General Basis'!$B$49,'General Basis'!$B$50)))))))))))))</f>
        <v/>
      </c>
      <c r="BI3352" s="744" t="str">
        <f t="shared" si="1171"/>
        <v/>
      </c>
      <c r="BJ3352" s="747" t="str">
        <f t="shared" si="1178"/>
        <v/>
      </c>
      <c r="BK3352" s="498" t="str">
        <f t="shared" si="1172"/>
        <v/>
      </c>
      <c r="BL3352" s="498" t="str">
        <f t="shared" si="1173"/>
        <v/>
      </c>
    </row>
    <row r="3353" spans="1:64" x14ac:dyDescent="0.25">
      <c r="A3353" s="762">
        <f t="shared" si="1174"/>
        <v>3348</v>
      </c>
      <c r="B3353" s="229"/>
      <c r="C3353" s="223"/>
      <c r="D3353" s="224"/>
      <c r="E3353" s="225"/>
      <c r="F3353" s="1036" t="str">
        <f t="shared" si="1180"/>
        <v/>
      </c>
      <c r="G3353" s="1037" t="str">
        <f t="shared" si="1175"/>
        <v/>
      </c>
      <c r="H3353" s="225"/>
      <c r="I3353" s="1013"/>
      <c r="J3353" s="1013"/>
      <c r="K3353" s="1028"/>
      <c r="L3353" s="1035" t="str">
        <f t="shared" si="1179"/>
        <v/>
      </c>
      <c r="S3353" s="498"/>
      <c r="AJ3353" s="498"/>
      <c r="AM3353" s="498">
        <f t="shared" si="1160"/>
        <v>0</v>
      </c>
      <c r="AN3353" s="498">
        <f t="shared" si="1161"/>
        <v>0</v>
      </c>
      <c r="AO3353" s="498">
        <f t="shared" si="1162"/>
        <v>0</v>
      </c>
      <c r="AP3353" s="498">
        <f t="shared" si="1181"/>
        <v>0</v>
      </c>
      <c r="AQ3353" s="498">
        <f t="shared" si="1176"/>
        <v>0</v>
      </c>
      <c r="AU3353" s="498">
        <f t="shared" si="1163"/>
        <v>0</v>
      </c>
      <c r="AV3353" s="498">
        <f t="shared" si="1164"/>
        <v>0</v>
      </c>
      <c r="AW3353" s="498">
        <f t="shared" si="1165"/>
        <v>0</v>
      </c>
      <c r="AX3353" s="498">
        <f t="shared" si="1166"/>
        <v>0</v>
      </c>
      <c r="AY3353" s="498">
        <f t="shared" si="1167"/>
        <v>0</v>
      </c>
      <c r="BB3353" s="498" t="str">
        <f t="shared" si="1168"/>
        <v/>
      </c>
      <c r="BC3353" s="743" t="str">
        <f t="shared" si="1169"/>
        <v/>
      </c>
      <c r="BD3353" s="743" t="str">
        <f t="shared" si="1170"/>
        <v/>
      </c>
      <c r="BE3353" s="743" t="str">
        <f>IF(D3353="","",VLOOKUP(D3353,'General Basis'!$J$39:$K$46,2,0))</f>
        <v/>
      </c>
      <c r="BF3353" s="744" t="str">
        <f>IF(D3353="","",VLOOKUP(D3353,'General Basis'!$J$39:$L$46,3,0))</f>
        <v/>
      </c>
      <c r="BG3353" s="744" t="str">
        <f t="shared" si="1177"/>
        <v/>
      </c>
      <c r="BH3353" s="744" t="str">
        <f>IF(G3353="","",IF(BF3353="Abu Dhabi",IF(G3353&lt;18,'General Basis'!$C$39,IF(G3353&lt;41,'General Basis'!$C$40,IF(G3353&lt;60,'General Basis'!$C$41,IF(G3353&lt;65,'General Basis'!$C$42,'General Basis'!$C$43)))),IF(G3353&lt;11,'General Basis'!$B$39,IF(G3353&lt;18,'General Basis'!$B$40,IF(G3353&lt;26,'General Basis'!$B$41,IF(G3353&lt;31,'General Basis'!$B$42,IF(G3353&lt;36,'General Basis'!$B$43,IF(G3353&lt;41,'General Basis'!$B$44,IF(G3353&lt;46,'General Basis'!$B$45,IF(G3353&lt;51,'General Basis'!$B$46,IF(G3353&lt;56,'General Basis'!$B$47,IF(G3353&lt;60,'General Basis'!$B$48,IF(G3353&lt;65,'General Basis'!$B$49,'General Basis'!$B$50)))))))))))))</f>
        <v/>
      </c>
      <c r="BI3353" s="744" t="str">
        <f t="shared" si="1171"/>
        <v/>
      </c>
      <c r="BJ3353" s="747" t="str">
        <f t="shared" si="1178"/>
        <v/>
      </c>
      <c r="BK3353" s="498" t="str">
        <f t="shared" si="1172"/>
        <v/>
      </c>
      <c r="BL3353" s="498" t="str">
        <f t="shared" si="1173"/>
        <v/>
      </c>
    </row>
    <row r="3354" spans="1:64" x14ac:dyDescent="0.25">
      <c r="A3354" s="762">
        <f t="shared" si="1174"/>
        <v>3349</v>
      </c>
      <c r="B3354" s="229"/>
      <c r="C3354" s="223"/>
      <c r="D3354" s="224"/>
      <c r="E3354" s="225"/>
      <c r="F3354" s="1036" t="str">
        <f t="shared" si="1180"/>
        <v/>
      </c>
      <c r="G3354" s="1037" t="str">
        <f t="shared" si="1175"/>
        <v/>
      </c>
      <c r="H3354" s="225"/>
      <c r="I3354" s="1013"/>
      <c r="J3354" s="1013"/>
      <c r="K3354" s="1028"/>
      <c r="L3354" s="1035" t="str">
        <f t="shared" si="1179"/>
        <v/>
      </c>
      <c r="S3354" s="498"/>
      <c r="AJ3354" s="498"/>
      <c r="AM3354" s="498">
        <f t="shared" si="1160"/>
        <v>0</v>
      </c>
      <c r="AN3354" s="498">
        <f t="shared" si="1161"/>
        <v>0</v>
      </c>
      <c r="AO3354" s="498">
        <f t="shared" si="1162"/>
        <v>0</v>
      </c>
      <c r="AP3354" s="498">
        <f t="shared" si="1181"/>
        <v>0</v>
      </c>
      <c r="AQ3354" s="498">
        <f t="shared" si="1176"/>
        <v>0</v>
      </c>
      <c r="AU3354" s="498">
        <f t="shared" si="1163"/>
        <v>0</v>
      </c>
      <c r="AV3354" s="498">
        <f t="shared" si="1164"/>
        <v>0</v>
      </c>
      <c r="AW3354" s="498">
        <f t="shared" si="1165"/>
        <v>0</v>
      </c>
      <c r="AX3354" s="498">
        <f t="shared" si="1166"/>
        <v>0</v>
      </c>
      <c r="AY3354" s="498">
        <f t="shared" si="1167"/>
        <v>0</v>
      </c>
      <c r="BB3354" s="498" t="str">
        <f t="shared" si="1168"/>
        <v/>
      </c>
      <c r="BC3354" s="743" t="str">
        <f t="shared" si="1169"/>
        <v/>
      </c>
      <c r="BD3354" s="743" t="str">
        <f t="shared" si="1170"/>
        <v/>
      </c>
      <c r="BE3354" s="743" t="str">
        <f>IF(D3354="","",VLOOKUP(D3354,'General Basis'!$J$39:$K$46,2,0))</f>
        <v/>
      </c>
      <c r="BF3354" s="744" t="str">
        <f>IF(D3354="","",VLOOKUP(D3354,'General Basis'!$J$39:$L$46,3,0))</f>
        <v/>
      </c>
      <c r="BG3354" s="744" t="str">
        <f t="shared" si="1177"/>
        <v/>
      </c>
      <c r="BH3354" s="744" t="str">
        <f>IF(G3354="","",IF(BF3354="Abu Dhabi",IF(G3354&lt;18,'General Basis'!$C$39,IF(G3354&lt;41,'General Basis'!$C$40,IF(G3354&lt;60,'General Basis'!$C$41,IF(G3354&lt;65,'General Basis'!$C$42,'General Basis'!$C$43)))),IF(G3354&lt;11,'General Basis'!$B$39,IF(G3354&lt;18,'General Basis'!$B$40,IF(G3354&lt;26,'General Basis'!$B$41,IF(G3354&lt;31,'General Basis'!$B$42,IF(G3354&lt;36,'General Basis'!$B$43,IF(G3354&lt;41,'General Basis'!$B$44,IF(G3354&lt;46,'General Basis'!$B$45,IF(G3354&lt;51,'General Basis'!$B$46,IF(G3354&lt;56,'General Basis'!$B$47,IF(G3354&lt;60,'General Basis'!$B$48,IF(G3354&lt;65,'General Basis'!$B$49,'General Basis'!$B$50)))))))))))))</f>
        <v/>
      </c>
      <c r="BI3354" s="744" t="str">
        <f t="shared" si="1171"/>
        <v/>
      </c>
      <c r="BJ3354" s="747" t="str">
        <f t="shared" si="1178"/>
        <v/>
      </c>
      <c r="BK3354" s="498" t="str">
        <f t="shared" si="1172"/>
        <v/>
      </c>
      <c r="BL3354" s="498" t="str">
        <f t="shared" si="1173"/>
        <v/>
      </c>
    </row>
    <row r="3355" spans="1:64" x14ac:dyDescent="0.25">
      <c r="A3355" s="762">
        <f t="shared" si="1174"/>
        <v>3350</v>
      </c>
      <c r="B3355" s="229"/>
      <c r="C3355" s="223"/>
      <c r="D3355" s="224"/>
      <c r="E3355" s="225"/>
      <c r="F3355" s="1036" t="str">
        <f t="shared" si="1180"/>
        <v/>
      </c>
      <c r="G3355" s="1037" t="str">
        <f t="shared" si="1175"/>
        <v/>
      </c>
      <c r="H3355" s="225"/>
      <c r="I3355" s="1013"/>
      <c r="J3355" s="1013"/>
      <c r="K3355" s="1028"/>
      <c r="L3355" s="1035" t="str">
        <f t="shared" si="1179"/>
        <v/>
      </c>
      <c r="S3355" s="498"/>
      <c r="AJ3355" s="498"/>
      <c r="AM3355" s="498">
        <f t="shared" si="1160"/>
        <v>0</v>
      </c>
      <c r="AN3355" s="498">
        <f t="shared" si="1161"/>
        <v>0</v>
      </c>
      <c r="AO3355" s="498">
        <f t="shared" si="1162"/>
        <v>0</v>
      </c>
      <c r="AP3355" s="498">
        <f t="shared" si="1181"/>
        <v>0</v>
      </c>
      <c r="AQ3355" s="498">
        <f t="shared" si="1176"/>
        <v>0</v>
      </c>
      <c r="AU3355" s="498">
        <f t="shared" si="1163"/>
        <v>0</v>
      </c>
      <c r="AV3355" s="498">
        <f t="shared" si="1164"/>
        <v>0</v>
      </c>
      <c r="AW3355" s="498">
        <f t="shared" si="1165"/>
        <v>0</v>
      </c>
      <c r="AX3355" s="498">
        <f t="shared" si="1166"/>
        <v>0</v>
      </c>
      <c r="AY3355" s="498">
        <f t="shared" si="1167"/>
        <v>0</v>
      </c>
      <c r="BB3355" s="498" t="str">
        <f t="shared" si="1168"/>
        <v/>
      </c>
      <c r="BC3355" s="743" t="str">
        <f t="shared" si="1169"/>
        <v/>
      </c>
      <c r="BD3355" s="743" t="str">
        <f t="shared" si="1170"/>
        <v/>
      </c>
      <c r="BE3355" s="743" t="str">
        <f>IF(D3355="","",VLOOKUP(D3355,'General Basis'!$J$39:$K$46,2,0))</f>
        <v/>
      </c>
      <c r="BF3355" s="744" t="str">
        <f>IF(D3355="","",VLOOKUP(D3355,'General Basis'!$J$39:$L$46,3,0))</f>
        <v/>
      </c>
      <c r="BG3355" s="744" t="str">
        <f t="shared" si="1177"/>
        <v/>
      </c>
      <c r="BH3355" s="744" t="str">
        <f>IF(G3355="","",IF(BF3355="Abu Dhabi",IF(G3355&lt;18,'General Basis'!$C$39,IF(G3355&lt;41,'General Basis'!$C$40,IF(G3355&lt;60,'General Basis'!$C$41,IF(G3355&lt;65,'General Basis'!$C$42,'General Basis'!$C$43)))),IF(G3355&lt;11,'General Basis'!$B$39,IF(G3355&lt;18,'General Basis'!$B$40,IF(G3355&lt;26,'General Basis'!$B$41,IF(G3355&lt;31,'General Basis'!$B$42,IF(G3355&lt;36,'General Basis'!$B$43,IF(G3355&lt;41,'General Basis'!$B$44,IF(G3355&lt;46,'General Basis'!$B$45,IF(G3355&lt;51,'General Basis'!$B$46,IF(G3355&lt;56,'General Basis'!$B$47,IF(G3355&lt;60,'General Basis'!$B$48,IF(G3355&lt;65,'General Basis'!$B$49,'General Basis'!$B$50)))))))))))))</f>
        <v/>
      </c>
      <c r="BI3355" s="744" t="str">
        <f t="shared" si="1171"/>
        <v/>
      </c>
      <c r="BJ3355" s="747" t="str">
        <f t="shared" si="1178"/>
        <v/>
      </c>
      <c r="BK3355" s="498" t="str">
        <f t="shared" si="1172"/>
        <v/>
      </c>
      <c r="BL3355" s="498" t="str">
        <f t="shared" si="1173"/>
        <v/>
      </c>
    </row>
    <row r="3356" spans="1:64" x14ac:dyDescent="0.25">
      <c r="A3356" s="762">
        <f t="shared" si="1174"/>
        <v>3351</v>
      </c>
      <c r="B3356" s="229"/>
      <c r="C3356" s="223"/>
      <c r="D3356" s="224"/>
      <c r="E3356" s="225"/>
      <c r="F3356" s="1036" t="str">
        <f t="shared" si="1180"/>
        <v/>
      </c>
      <c r="G3356" s="1037" t="str">
        <f t="shared" si="1175"/>
        <v/>
      </c>
      <c r="H3356" s="225"/>
      <c r="I3356" s="1013"/>
      <c r="J3356" s="1013"/>
      <c r="K3356" s="1028"/>
      <c r="L3356" s="1035" t="str">
        <f t="shared" si="1179"/>
        <v/>
      </c>
      <c r="S3356" s="498"/>
      <c r="AJ3356" s="498"/>
      <c r="AM3356" s="498">
        <f t="shared" si="1160"/>
        <v>0</v>
      </c>
      <c r="AN3356" s="498">
        <f t="shared" si="1161"/>
        <v>0</v>
      </c>
      <c r="AO3356" s="498">
        <f t="shared" si="1162"/>
        <v>0</v>
      </c>
      <c r="AP3356" s="498">
        <f t="shared" si="1181"/>
        <v>0</v>
      </c>
      <c r="AQ3356" s="498">
        <f t="shared" si="1176"/>
        <v>0</v>
      </c>
      <c r="AU3356" s="498">
        <f t="shared" si="1163"/>
        <v>0</v>
      </c>
      <c r="AV3356" s="498">
        <f t="shared" si="1164"/>
        <v>0</v>
      </c>
      <c r="AW3356" s="498">
        <f t="shared" si="1165"/>
        <v>0</v>
      </c>
      <c r="AX3356" s="498">
        <f t="shared" si="1166"/>
        <v>0</v>
      </c>
      <c r="AY3356" s="498">
        <f t="shared" si="1167"/>
        <v>0</v>
      </c>
      <c r="BB3356" s="498" t="str">
        <f t="shared" si="1168"/>
        <v/>
      </c>
      <c r="BC3356" s="743" t="str">
        <f t="shared" si="1169"/>
        <v/>
      </c>
      <c r="BD3356" s="743" t="str">
        <f t="shared" si="1170"/>
        <v/>
      </c>
      <c r="BE3356" s="743" t="str">
        <f>IF(D3356="","",VLOOKUP(D3356,'General Basis'!$J$39:$K$46,2,0))</f>
        <v/>
      </c>
      <c r="BF3356" s="744" t="str">
        <f>IF(D3356="","",VLOOKUP(D3356,'General Basis'!$J$39:$L$46,3,0))</f>
        <v/>
      </c>
      <c r="BG3356" s="744" t="str">
        <f t="shared" si="1177"/>
        <v/>
      </c>
      <c r="BH3356" s="744" t="str">
        <f>IF(G3356="","",IF(BF3356="Abu Dhabi",IF(G3356&lt;18,'General Basis'!$C$39,IF(G3356&lt;41,'General Basis'!$C$40,IF(G3356&lt;60,'General Basis'!$C$41,IF(G3356&lt;65,'General Basis'!$C$42,'General Basis'!$C$43)))),IF(G3356&lt;11,'General Basis'!$B$39,IF(G3356&lt;18,'General Basis'!$B$40,IF(G3356&lt;26,'General Basis'!$B$41,IF(G3356&lt;31,'General Basis'!$B$42,IF(G3356&lt;36,'General Basis'!$B$43,IF(G3356&lt;41,'General Basis'!$B$44,IF(G3356&lt;46,'General Basis'!$B$45,IF(G3356&lt;51,'General Basis'!$B$46,IF(G3356&lt;56,'General Basis'!$B$47,IF(G3356&lt;60,'General Basis'!$B$48,IF(G3356&lt;65,'General Basis'!$B$49,'General Basis'!$B$50)))))))))))))</f>
        <v/>
      </c>
      <c r="BI3356" s="744" t="str">
        <f t="shared" si="1171"/>
        <v/>
      </c>
      <c r="BJ3356" s="747" t="str">
        <f t="shared" si="1178"/>
        <v/>
      </c>
      <c r="BK3356" s="498" t="str">
        <f t="shared" si="1172"/>
        <v/>
      </c>
      <c r="BL3356" s="498" t="str">
        <f t="shared" si="1173"/>
        <v/>
      </c>
    </row>
    <row r="3357" spans="1:64" x14ac:dyDescent="0.25">
      <c r="A3357" s="762">
        <f t="shared" si="1174"/>
        <v>3352</v>
      </c>
      <c r="B3357" s="229"/>
      <c r="C3357" s="223"/>
      <c r="D3357" s="224"/>
      <c r="E3357" s="225"/>
      <c r="F3357" s="1036" t="str">
        <f t="shared" si="1180"/>
        <v/>
      </c>
      <c r="G3357" s="1037" t="str">
        <f t="shared" si="1175"/>
        <v/>
      </c>
      <c r="H3357" s="225"/>
      <c r="I3357" s="1013"/>
      <c r="J3357" s="1013"/>
      <c r="K3357" s="1028"/>
      <c r="L3357" s="1035" t="str">
        <f t="shared" si="1179"/>
        <v/>
      </c>
      <c r="S3357" s="498"/>
      <c r="AJ3357" s="498"/>
      <c r="AM3357" s="498">
        <f t="shared" si="1160"/>
        <v>0</v>
      </c>
      <c r="AN3357" s="498">
        <f t="shared" si="1161"/>
        <v>0</v>
      </c>
      <c r="AO3357" s="498">
        <f t="shared" si="1162"/>
        <v>0</v>
      </c>
      <c r="AP3357" s="498">
        <f t="shared" si="1181"/>
        <v>0</v>
      </c>
      <c r="AQ3357" s="498">
        <f t="shared" si="1176"/>
        <v>0</v>
      </c>
      <c r="AU3357" s="498">
        <f t="shared" si="1163"/>
        <v>0</v>
      </c>
      <c r="AV3357" s="498">
        <f t="shared" si="1164"/>
        <v>0</v>
      </c>
      <c r="AW3357" s="498">
        <f t="shared" si="1165"/>
        <v>0</v>
      </c>
      <c r="AX3357" s="498">
        <f t="shared" si="1166"/>
        <v>0</v>
      </c>
      <c r="AY3357" s="498">
        <f t="shared" si="1167"/>
        <v>0</v>
      </c>
      <c r="BB3357" s="498" t="str">
        <f t="shared" si="1168"/>
        <v/>
      </c>
      <c r="BC3357" s="743" t="str">
        <f t="shared" si="1169"/>
        <v/>
      </c>
      <c r="BD3357" s="743" t="str">
        <f t="shared" si="1170"/>
        <v/>
      </c>
      <c r="BE3357" s="743" t="str">
        <f>IF(D3357="","",VLOOKUP(D3357,'General Basis'!$J$39:$K$46,2,0))</f>
        <v/>
      </c>
      <c r="BF3357" s="744" t="str">
        <f>IF(D3357="","",VLOOKUP(D3357,'General Basis'!$J$39:$L$46,3,0))</f>
        <v/>
      </c>
      <c r="BG3357" s="744" t="str">
        <f t="shared" si="1177"/>
        <v/>
      </c>
      <c r="BH3357" s="744" t="str">
        <f>IF(G3357="","",IF(BF3357="Abu Dhabi",IF(G3357&lt;18,'General Basis'!$C$39,IF(G3357&lt;41,'General Basis'!$C$40,IF(G3357&lt;60,'General Basis'!$C$41,IF(G3357&lt;65,'General Basis'!$C$42,'General Basis'!$C$43)))),IF(G3357&lt;11,'General Basis'!$B$39,IF(G3357&lt;18,'General Basis'!$B$40,IF(G3357&lt;26,'General Basis'!$B$41,IF(G3357&lt;31,'General Basis'!$B$42,IF(G3357&lt;36,'General Basis'!$B$43,IF(G3357&lt;41,'General Basis'!$B$44,IF(G3357&lt;46,'General Basis'!$B$45,IF(G3357&lt;51,'General Basis'!$B$46,IF(G3357&lt;56,'General Basis'!$B$47,IF(G3357&lt;60,'General Basis'!$B$48,IF(G3357&lt;65,'General Basis'!$B$49,'General Basis'!$B$50)))))))))))))</f>
        <v/>
      </c>
      <c r="BI3357" s="744" t="str">
        <f t="shared" si="1171"/>
        <v/>
      </c>
      <c r="BJ3357" s="747" t="str">
        <f t="shared" si="1178"/>
        <v/>
      </c>
      <c r="BK3357" s="498" t="str">
        <f t="shared" si="1172"/>
        <v/>
      </c>
      <c r="BL3357" s="498" t="str">
        <f t="shared" si="1173"/>
        <v/>
      </c>
    </row>
    <row r="3358" spans="1:64" x14ac:dyDescent="0.25">
      <c r="A3358" s="762">
        <f t="shared" si="1174"/>
        <v>3353</v>
      </c>
      <c r="B3358" s="229"/>
      <c r="C3358" s="223"/>
      <c r="D3358" s="224"/>
      <c r="E3358" s="225"/>
      <c r="F3358" s="1036" t="str">
        <f t="shared" si="1180"/>
        <v/>
      </c>
      <c r="G3358" s="1037" t="str">
        <f t="shared" si="1175"/>
        <v/>
      </c>
      <c r="H3358" s="225"/>
      <c r="I3358" s="1013"/>
      <c r="J3358" s="1013"/>
      <c r="K3358" s="1028"/>
      <c r="L3358" s="1035" t="str">
        <f t="shared" si="1179"/>
        <v/>
      </c>
      <c r="S3358" s="498"/>
      <c r="AJ3358" s="498"/>
      <c r="AM3358" s="498">
        <f t="shared" si="1160"/>
        <v>0</v>
      </c>
      <c r="AN3358" s="498">
        <f t="shared" si="1161"/>
        <v>0</v>
      </c>
      <c r="AO3358" s="498">
        <f t="shared" si="1162"/>
        <v>0</v>
      </c>
      <c r="AP3358" s="498">
        <f t="shared" si="1181"/>
        <v>0</v>
      </c>
      <c r="AQ3358" s="498">
        <f t="shared" si="1176"/>
        <v>0</v>
      </c>
      <c r="AU3358" s="498">
        <f t="shared" si="1163"/>
        <v>0</v>
      </c>
      <c r="AV3358" s="498">
        <f t="shared" si="1164"/>
        <v>0</v>
      </c>
      <c r="AW3358" s="498">
        <f t="shared" si="1165"/>
        <v>0</v>
      </c>
      <c r="AX3358" s="498">
        <f t="shared" si="1166"/>
        <v>0</v>
      </c>
      <c r="AY3358" s="498">
        <f t="shared" si="1167"/>
        <v>0</v>
      </c>
      <c r="BB3358" s="498" t="str">
        <f t="shared" si="1168"/>
        <v/>
      </c>
      <c r="BC3358" s="743" t="str">
        <f t="shared" si="1169"/>
        <v/>
      </c>
      <c r="BD3358" s="743" t="str">
        <f t="shared" si="1170"/>
        <v/>
      </c>
      <c r="BE3358" s="743" t="str">
        <f>IF(D3358="","",VLOOKUP(D3358,'General Basis'!$J$39:$K$46,2,0))</f>
        <v/>
      </c>
      <c r="BF3358" s="744" t="str">
        <f>IF(D3358="","",VLOOKUP(D3358,'General Basis'!$J$39:$L$46,3,0))</f>
        <v/>
      </c>
      <c r="BG3358" s="744" t="str">
        <f t="shared" si="1177"/>
        <v/>
      </c>
      <c r="BH3358" s="744" t="str">
        <f>IF(G3358="","",IF(BF3358="Abu Dhabi",IF(G3358&lt;18,'General Basis'!$C$39,IF(G3358&lt;41,'General Basis'!$C$40,IF(G3358&lt;60,'General Basis'!$C$41,IF(G3358&lt;65,'General Basis'!$C$42,'General Basis'!$C$43)))),IF(G3358&lt;11,'General Basis'!$B$39,IF(G3358&lt;18,'General Basis'!$B$40,IF(G3358&lt;26,'General Basis'!$B$41,IF(G3358&lt;31,'General Basis'!$B$42,IF(G3358&lt;36,'General Basis'!$B$43,IF(G3358&lt;41,'General Basis'!$B$44,IF(G3358&lt;46,'General Basis'!$B$45,IF(G3358&lt;51,'General Basis'!$B$46,IF(G3358&lt;56,'General Basis'!$B$47,IF(G3358&lt;60,'General Basis'!$B$48,IF(G3358&lt;65,'General Basis'!$B$49,'General Basis'!$B$50)))))))))))))</f>
        <v/>
      </c>
      <c r="BI3358" s="744" t="str">
        <f t="shared" si="1171"/>
        <v/>
      </c>
      <c r="BJ3358" s="747" t="str">
        <f t="shared" si="1178"/>
        <v/>
      </c>
      <c r="BK3358" s="498" t="str">
        <f t="shared" si="1172"/>
        <v/>
      </c>
      <c r="BL3358" s="498" t="str">
        <f t="shared" si="1173"/>
        <v/>
      </c>
    </row>
    <row r="3359" spans="1:64" x14ac:dyDescent="0.25">
      <c r="A3359" s="762">
        <f t="shared" si="1174"/>
        <v>3354</v>
      </c>
      <c r="B3359" s="229"/>
      <c r="C3359" s="223"/>
      <c r="D3359" s="224"/>
      <c r="E3359" s="225"/>
      <c r="F3359" s="1036" t="str">
        <f t="shared" si="1180"/>
        <v/>
      </c>
      <c r="G3359" s="1037" t="str">
        <f t="shared" si="1175"/>
        <v/>
      </c>
      <c r="H3359" s="225"/>
      <c r="I3359" s="1013"/>
      <c r="J3359" s="1013"/>
      <c r="K3359" s="1028"/>
      <c r="L3359" s="1035" t="str">
        <f t="shared" si="1179"/>
        <v/>
      </c>
      <c r="S3359" s="498"/>
      <c r="AJ3359" s="498"/>
      <c r="AM3359" s="498">
        <f t="shared" si="1160"/>
        <v>0</v>
      </c>
      <c r="AN3359" s="498">
        <f t="shared" si="1161"/>
        <v>0</v>
      </c>
      <c r="AO3359" s="498">
        <f t="shared" si="1162"/>
        <v>0</v>
      </c>
      <c r="AP3359" s="498">
        <f t="shared" si="1181"/>
        <v>0</v>
      </c>
      <c r="AQ3359" s="498">
        <f t="shared" si="1176"/>
        <v>0</v>
      </c>
      <c r="AU3359" s="498">
        <f t="shared" si="1163"/>
        <v>0</v>
      </c>
      <c r="AV3359" s="498">
        <f t="shared" si="1164"/>
        <v>0</v>
      </c>
      <c r="AW3359" s="498">
        <f t="shared" si="1165"/>
        <v>0</v>
      </c>
      <c r="AX3359" s="498">
        <f t="shared" si="1166"/>
        <v>0</v>
      </c>
      <c r="AY3359" s="498">
        <f t="shared" si="1167"/>
        <v>0</v>
      </c>
      <c r="BB3359" s="498" t="str">
        <f t="shared" si="1168"/>
        <v/>
      </c>
      <c r="BC3359" s="743" t="str">
        <f t="shared" si="1169"/>
        <v/>
      </c>
      <c r="BD3359" s="743" t="str">
        <f t="shared" si="1170"/>
        <v/>
      </c>
      <c r="BE3359" s="743" t="str">
        <f>IF(D3359="","",VLOOKUP(D3359,'General Basis'!$J$39:$K$46,2,0))</f>
        <v/>
      </c>
      <c r="BF3359" s="744" t="str">
        <f>IF(D3359="","",VLOOKUP(D3359,'General Basis'!$J$39:$L$46,3,0))</f>
        <v/>
      </c>
      <c r="BG3359" s="744" t="str">
        <f t="shared" si="1177"/>
        <v/>
      </c>
      <c r="BH3359" s="744" t="str">
        <f>IF(G3359="","",IF(BF3359="Abu Dhabi",IF(G3359&lt;18,'General Basis'!$C$39,IF(G3359&lt;41,'General Basis'!$C$40,IF(G3359&lt;60,'General Basis'!$C$41,IF(G3359&lt;65,'General Basis'!$C$42,'General Basis'!$C$43)))),IF(G3359&lt;11,'General Basis'!$B$39,IF(G3359&lt;18,'General Basis'!$B$40,IF(G3359&lt;26,'General Basis'!$B$41,IF(G3359&lt;31,'General Basis'!$B$42,IF(G3359&lt;36,'General Basis'!$B$43,IF(G3359&lt;41,'General Basis'!$B$44,IF(G3359&lt;46,'General Basis'!$B$45,IF(G3359&lt;51,'General Basis'!$B$46,IF(G3359&lt;56,'General Basis'!$B$47,IF(G3359&lt;60,'General Basis'!$B$48,IF(G3359&lt;65,'General Basis'!$B$49,'General Basis'!$B$50)))))))))))))</f>
        <v/>
      </c>
      <c r="BI3359" s="744" t="str">
        <f t="shared" si="1171"/>
        <v/>
      </c>
      <c r="BJ3359" s="747" t="str">
        <f t="shared" si="1178"/>
        <v/>
      </c>
      <c r="BK3359" s="498" t="str">
        <f t="shared" si="1172"/>
        <v/>
      </c>
      <c r="BL3359" s="498" t="str">
        <f t="shared" si="1173"/>
        <v/>
      </c>
    </row>
    <row r="3360" spans="1:64" x14ac:dyDescent="0.25">
      <c r="A3360" s="762">
        <f t="shared" si="1174"/>
        <v>3355</v>
      </c>
      <c r="B3360" s="229"/>
      <c r="C3360" s="223"/>
      <c r="D3360" s="224"/>
      <c r="E3360" s="225"/>
      <c r="F3360" s="1036" t="str">
        <f t="shared" si="1180"/>
        <v/>
      </c>
      <c r="G3360" s="1037" t="str">
        <f t="shared" si="1175"/>
        <v/>
      </c>
      <c r="H3360" s="225"/>
      <c r="I3360" s="1013"/>
      <c r="J3360" s="1013"/>
      <c r="K3360" s="1028"/>
      <c r="L3360" s="1035" t="str">
        <f t="shared" si="1179"/>
        <v/>
      </c>
      <c r="S3360" s="498"/>
      <c r="AJ3360" s="498"/>
      <c r="AM3360" s="498">
        <f t="shared" si="1160"/>
        <v>0</v>
      </c>
      <c r="AN3360" s="498">
        <f t="shared" si="1161"/>
        <v>0</v>
      </c>
      <c r="AO3360" s="498">
        <f t="shared" si="1162"/>
        <v>0</v>
      </c>
      <c r="AP3360" s="498">
        <f t="shared" si="1181"/>
        <v>0</v>
      </c>
      <c r="AQ3360" s="498">
        <f t="shared" si="1176"/>
        <v>0</v>
      </c>
      <c r="AU3360" s="498">
        <f t="shared" si="1163"/>
        <v>0</v>
      </c>
      <c r="AV3360" s="498">
        <f t="shared" si="1164"/>
        <v>0</v>
      </c>
      <c r="AW3360" s="498">
        <f t="shared" si="1165"/>
        <v>0</v>
      </c>
      <c r="AX3360" s="498">
        <f t="shared" si="1166"/>
        <v>0</v>
      </c>
      <c r="AY3360" s="498">
        <f t="shared" si="1167"/>
        <v>0</v>
      </c>
      <c r="BB3360" s="498" t="str">
        <f t="shared" si="1168"/>
        <v/>
      </c>
      <c r="BC3360" s="743" t="str">
        <f t="shared" si="1169"/>
        <v/>
      </c>
      <c r="BD3360" s="743" t="str">
        <f t="shared" si="1170"/>
        <v/>
      </c>
      <c r="BE3360" s="743" t="str">
        <f>IF(D3360="","",VLOOKUP(D3360,'General Basis'!$J$39:$K$46,2,0))</f>
        <v/>
      </c>
      <c r="BF3360" s="744" t="str">
        <f>IF(D3360="","",VLOOKUP(D3360,'General Basis'!$J$39:$L$46,3,0))</f>
        <v/>
      </c>
      <c r="BG3360" s="744" t="str">
        <f t="shared" si="1177"/>
        <v/>
      </c>
      <c r="BH3360" s="744" t="str">
        <f>IF(G3360="","",IF(BF3360="Abu Dhabi",IF(G3360&lt;18,'General Basis'!$C$39,IF(G3360&lt;41,'General Basis'!$C$40,IF(G3360&lt;60,'General Basis'!$C$41,IF(G3360&lt;65,'General Basis'!$C$42,'General Basis'!$C$43)))),IF(G3360&lt;11,'General Basis'!$B$39,IF(G3360&lt;18,'General Basis'!$B$40,IF(G3360&lt;26,'General Basis'!$B$41,IF(G3360&lt;31,'General Basis'!$B$42,IF(G3360&lt;36,'General Basis'!$B$43,IF(G3360&lt;41,'General Basis'!$B$44,IF(G3360&lt;46,'General Basis'!$B$45,IF(G3360&lt;51,'General Basis'!$B$46,IF(G3360&lt;56,'General Basis'!$B$47,IF(G3360&lt;60,'General Basis'!$B$48,IF(G3360&lt;65,'General Basis'!$B$49,'General Basis'!$B$50)))))))))))))</f>
        <v/>
      </c>
      <c r="BI3360" s="744" t="str">
        <f t="shared" si="1171"/>
        <v/>
      </c>
      <c r="BJ3360" s="747" t="str">
        <f t="shared" si="1178"/>
        <v/>
      </c>
      <c r="BK3360" s="498" t="str">
        <f t="shared" si="1172"/>
        <v/>
      </c>
      <c r="BL3360" s="498" t="str">
        <f t="shared" si="1173"/>
        <v/>
      </c>
    </row>
    <row r="3361" spans="1:64" x14ac:dyDescent="0.25">
      <c r="A3361" s="762">
        <f t="shared" si="1174"/>
        <v>3356</v>
      </c>
      <c r="B3361" s="229"/>
      <c r="C3361" s="223"/>
      <c r="D3361" s="224"/>
      <c r="E3361" s="225"/>
      <c r="F3361" s="1036" t="str">
        <f t="shared" si="1180"/>
        <v/>
      </c>
      <c r="G3361" s="1037" t="str">
        <f t="shared" si="1175"/>
        <v/>
      </c>
      <c r="H3361" s="225"/>
      <c r="I3361" s="1013"/>
      <c r="J3361" s="1013"/>
      <c r="K3361" s="1028"/>
      <c r="L3361" s="1035" t="str">
        <f t="shared" si="1179"/>
        <v/>
      </c>
      <c r="S3361" s="498"/>
      <c r="AJ3361" s="498"/>
      <c r="AM3361" s="498">
        <f t="shared" si="1160"/>
        <v>0</v>
      </c>
      <c r="AN3361" s="498">
        <f t="shared" si="1161"/>
        <v>0</v>
      </c>
      <c r="AO3361" s="498">
        <f t="shared" si="1162"/>
        <v>0</v>
      </c>
      <c r="AP3361" s="498">
        <f t="shared" si="1181"/>
        <v>0</v>
      </c>
      <c r="AQ3361" s="498">
        <f t="shared" si="1176"/>
        <v>0</v>
      </c>
      <c r="AU3361" s="498">
        <f t="shared" si="1163"/>
        <v>0</v>
      </c>
      <c r="AV3361" s="498">
        <f t="shared" si="1164"/>
        <v>0</v>
      </c>
      <c r="AW3361" s="498">
        <f t="shared" si="1165"/>
        <v>0</v>
      </c>
      <c r="AX3361" s="498">
        <f t="shared" si="1166"/>
        <v>0</v>
      </c>
      <c r="AY3361" s="498">
        <f t="shared" si="1167"/>
        <v>0</v>
      </c>
      <c r="BB3361" s="498" t="str">
        <f t="shared" si="1168"/>
        <v/>
      </c>
      <c r="BC3361" s="743" t="str">
        <f t="shared" si="1169"/>
        <v/>
      </c>
      <c r="BD3361" s="743" t="str">
        <f t="shared" si="1170"/>
        <v/>
      </c>
      <c r="BE3361" s="743" t="str">
        <f>IF(D3361="","",VLOOKUP(D3361,'General Basis'!$J$39:$K$46,2,0))</f>
        <v/>
      </c>
      <c r="BF3361" s="744" t="str">
        <f>IF(D3361="","",VLOOKUP(D3361,'General Basis'!$J$39:$L$46,3,0))</f>
        <v/>
      </c>
      <c r="BG3361" s="744" t="str">
        <f t="shared" si="1177"/>
        <v/>
      </c>
      <c r="BH3361" s="744" t="str">
        <f>IF(G3361="","",IF(BF3361="Abu Dhabi",IF(G3361&lt;18,'General Basis'!$C$39,IF(G3361&lt;41,'General Basis'!$C$40,IF(G3361&lt;60,'General Basis'!$C$41,IF(G3361&lt;65,'General Basis'!$C$42,'General Basis'!$C$43)))),IF(G3361&lt;11,'General Basis'!$B$39,IF(G3361&lt;18,'General Basis'!$B$40,IF(G3361&lt;26,'General Basis'!$B$41,IF(G3361&lt;31,'General Basis'!$B$42,IF(G3361&lt;36,'General Basis'!$B$43,IF(G3361&lt;41,'General Basis'!$B$44,IF(G3361&lt;46,'General Basis'!$B$45,IF(G3361&lt;51,'General Basis'!$B$46,IF(G3361&lt;56,'General Basis'!$B$47,IF(G3361&lt;60,'General Basis'!$B$48,IF(G3361&lt;65,'General Basis'!$B$49,'General Basis'!$B$50)))))))))))))</f>
        <v/>
      </c>
      <c r="BI3361" s="744" t="str">
        <f t="shared" si="1171"/>
        <v/>
      </c>
      <c r="BJ3361" s="747" t="str">
        <f t="shared" si="1178"/>
        <v/>
      </c>
      <c r="BK3361" s="498" t="str">
        <f t="shared" si="1172"/>
        <v/>
      </c>
      <c r="BL3361" s="498" t="str">
        <f t="shared" si="1173"/>
        <v/>
      </c>
    </row>
    <row r="3362" spans="1:64" x14ac:dyDescent="0.25">
      <c r="A3362" s="762">
        <f t="shared" si="1174"/>
        <v>3357</v>
      </c>
      <c r="B3362" s="229"/>
      <c r="C3362" s="223"/>
      <c r="D3362" s="224"/>
      <c r="E3362" s="225"/>
      <c r="F3362" s="1036" t="str">
        <f t="shared" si="1180"/>
        <v/>
      </c>
      <c r="G3362" s="1037" t="str">
        <f t="shared" si="1175"/>
        <v/>
      </c>
      <c r="H3362" s="225"/>
      <c r="I3362" s="1013"/>
      <c r="J3362" s="1013"/>
      <c r="K3362" s="1028"/>
      <c r="L3362" s="1035" t="str">
        <f t="shared" si="1179"/>
        <v/>
      </c>
      <c r="S3362" s="498"/>
      <c r="AJ3362" s="498"/>
      <c r="AM3362" s="498">
        <f t="shared" si="1160"/>
        <v>0</v>
      </c>
      <c r="AN3362" s="498">
        <f t="shared" si="1161"/>
        <v>0</v>
      </c>
      <c r="AO3362" s="498">
        <f t="shared" si="1162"/>
        <v>0</v>
      </c>
      <c r="AP3362" s="498">
        <f t="shared" si="1181"/>
        <v>0</v>
      </c>
      <c r="AQ3362" s="498">
        <f t="shared" si="1176"/>
        <v>0</v>
      </c>
      <c r="AU3362" s="498">
        <f t="shared" si="1163"/>
        <v>0</v>
      </c>
      <c r="AV3362" s="498">
        <f t="shared" si="1164"/>
        <v>0</v>
      </c>
      <c r="AW3362" s="498">
        <f t="shared" si="1165"/>
        <v>0</v>
      </c>
      <c r="AX3362" s="498">
        <f t="shared" si="1166"/>
        <v>0</v>
      </c>
      <c r="AY3362" s="498">
        <f t="shared" si="1167"/>
        <v>0</v>
      </c>
      <c r="BB3362" s="498" t="str">
        <f t="shared" si="1168"/>
        <v/>
      </c>
      <c r="BC3362" s="743" t="str">
        <f t="shared" si="1169"/>
        <v/>
      </c>
      <c r="BD3362" s="743" t="str">
        <f t="shared" si="1170"/>
        <v/>
      </c>
      <c r="BE3362" s="743" t="str">
        <f>IF(D3362="","",VLOOKUP(D3362,'General Basis'!$J$39:$K$46,2,0))</f>
        <v/>
      </c>
      <c r="BF3362" s="744" t="str">
        <f>IF(D3362="","",VLOOKUP(D3362,'General Basis'!$J$39:$L$46,3,0))</f>
        <v/>
      </c>
      <c r="BG3362" s="744" t="str">
        <f t="shared" si="1177"/>
        <v/>
      </c>
      <c r="BH3362" s="744" t="str">
        <f>IF(G3362="","",IF(BF3362="Abu Dhabi",IF(G3362&lt;18,'General Basis'!$C$39,IF(G3362&lt;41,'General Basis'!$C$40,IF(G3362&lt;60,'General Basis'!$C$41,IF(G3362&lt;65,'General Basis'!$C$42,'General Basis'!$C$43)))),IF(G3362&lt;11,'General Basis'!$B$39,IF(G3362&lt;18,'General Basis'!$B$40,IF(G3362&lt;26,'General Basis'!$B$41,IF(G3362&lt;31,'General Basis'!$B$42,IF(G3362&lt;36,'General Basis'!$B$43,IF(G3362&lt;41,'General Basis'!$B$44,IF(G3362&lt;46,'General Basis'!$B$45,IF(G3362&lt;51,'General Basis'!$B$46,IF(G3362&lt;56,'General Basis'!$B$47,IF(G3362&lt;60,'General Basis'!$B$48,IF(G3362&lt;65,'General Basis'!$B$49,'General Basis'!$B$50)))))))))))))</f>
        <v/>
      </c>
      <c r="BI3362" s="744" t="str">
        <f t="shared" si="1171"/>
        <v/>
      </c>
      <c r="BJ3362" s="747" t="str">
        <f t="shared" si="1178"/>
        <v/>
      </c>
      <c r="BK3362" s="498" t="str">
        <f t="shared" si="1172"/>
        <v/>
      </c>
      <c r="BL3362" s="498" t="str">
        <f t="shared" si="1173"/>
        <v/>
      </c>
    </row>
    <row r="3363" spans="1:64" x14ac:dyDescent="0.25">
      <c r="A3363" s="762">
        <f t="shared" si="1174"/>
        <v>3358</v>
      </c>
      <c r="B3363" s="229"/>
      <c r="C3363" s="223"/>
      <c r="D3363" s="224"/>
      <c r="E3363" s="225"/>
      <c r="F3363" s="1036" t="str">
        <f t="shared" si="1180"/>
        <v/>
      </c>
      <c r="G3363" s="1037" t="str">
        <f t="shared" si="1175"/>
        <v/>
      </c>
      <c r="H3363" s="225"/>
      <c r="I3363" s="1013"/>
      <c r="J3363" s="1013"/>
      <c r="K3363" s="1028"/>
      <c r="L3363" s="1035" t="str">
        <f t="shared" si="1179"/>
        <v/>
      </c>
      <c r="S3363" s="498"/>
      <c r="AJ3363" s="498"/>
      <c r="AM3363" s="498">
        <f t="shared" si="1160"/>
        <v>0</v>
      </c>
      <c r="AN3363" s="498">
        <f t="shared" si="1161"/>
        <v>0</v>
      </c>
      <c r="AO3363" s="498">
        <f t="shared" si="1162"/>
        <v>0</v>
      </c>
      <c r="AP3363" s="498">
        <f t="shared" si="1181"/>
        <v>0</v>
      </c>
      <c r="AQ3363" s="498">
        <f t="shared" si="1176"/>
        <v>0</v>
      </c>
      <c r="AU3363" s="498">
        <f t="shared" si="1163"/>
        <v>0</v>
      </c>
      <c r="AV3363" s="498">
        <f t="shared" si="1164"/>
        <v>0</v>
      </c>
      <c r="AW3363" s="498">
        <f t="shared" si="1165"/>
        <v>0</v>
      </c>
      <c r="AX3363" s="498">
        <f t="shared" si="1166"/>
        <v>0</v>
      </c>
      <c r="AY3363" s="498">
        <f t="shared" si="1167"/>
        <v>0</v>
      </c>
      <c r="BB3363" s="498" t="str">
        <f t="shared" si="1168"/>
        <v/>
      </c>
      <c r="BC3363" s="743" t="str">
        <f t="shared" si="1169"/>
        <v/>
      </c>
      <c r="BD3363" s="743" t="str">
        <f t="shared" si="1170"/>
        <v/>
      </c>
      <c r="BE3363" s="743" t="str">
        <f>IF(D3363="","",VLOOKUP(D3363,'General Basis'!$J$39:$K$46,2,0))</f>
        <v/>
      </c>
      <c r="BF3363" s="744" t="str">
        <f>IF(D3363="","",VLOOKUP(D3363,'General Basis'!$J$39:$L$46,3,0))</f>
        <v/>
      </c>
      <c r="BG3363" s="744" t="str">
        <f t="shared" si="1177"/>
        <v/>
      </c>
      <c r="BH3363" s="744" t="str">
        <f>IF(G3363="","",IF(BF3363="Abu Dhabi",IF(G3363&lt;18,'General Basis'!$C$39,IF(G3363&lt;41,'General Basis'!$C$40,IF(G3363&lt;60,'General Basis'!$C$41,IF(G3363&lt;65,'General Basis'!$C$42,'General Basis'!$C$43)))),IF(G3363&lt;11,'General Basis'!$B$39,IF(G3363&lt;18,'General Basis'!$B$40,IF(G3363&lt;26,'General Basis'!$B$41,IF(G3363&lt;31,'General Basis'!$B$42,IF(G3363&lt;36,'General Basis'!$B$43,IF(G3363&lt;41,'General Basis'!$B$44,IF(G3363&lt;46,'General Basis'!$B$45,IF(G3363&lt;51,'General Basis'!$B$46,IF(G3363&lt;56,'General Basis'!$B$47,IF(G3363&lt;60,'General Basis'!$B$48,IF(G3363&lt;65,'General Basis'!$B$49,'General Basis'!$B$50)))))))))))))</f>
        <v/>
      </c>
      <c r="BI3363" s="744" t="str">
        <f t="shared" si="1171"/>
        <v/>
      </c>
      <c r="BJ3363" s="747" t="str">
        <f t="shared" si="1178"/>
        <v/>
      </c>
      <c r="BK3363" s="498" t="str">
        <f t="shared" si="1172"/>
        <v/>
      </c>
      <c r="BL3363" s="498" t="str">
        <f t="shared" si="1173"/>
        <v/>
      </c>
    </row>
    <row r="3364" spans="1:64" x14ac:dyDescent="0.25">
      <c r="A3364" s="762">
        <f t="shared" si="1174"/>
        <v>3359</v>
      </c>
      <c r="B3364" s="229"/>
      <c r="C3364" s="223"/>
      <c r="D3364" s="224"/>
      <c r="E3364" s="225"/>
      <c r="F3364" s="1036" t="str">
        <f t="shared" si="1180"/>
        <v/>
      </c>
      <c r="G3364" s="1037" t="str">
        <f t="shared" si="1175"/>
        <v/>
      </c>
      <c r="H3364" s="225"/>
      <c r="I3364" s="1013"/>
      <c r="J3364" s="1013"/>
      <c r="K3364" s="1028"/>
      <c r="L3364" s="1035" t="str">
        <f t="shared" si="1179"/>
        <v/>
      </c>
      <c r="S3364" s="498"/>
      <c r="AJ3364" s="498"/>
      <c r="AM3364" s="498">
        <f t="shared" si="1160"/>
        <v>0</v>
      </c>
      <c r="AN3364" s="498">
        <f t="shared" si="1161"/>
        <v>0</v>
      </c>
      <c r="AO3364" s="498">
        <f t="shared" si="1162"/>
        <v>0</v>
      </c>
      <c r="AP3364" s="498">
        <f t="shared" si="1181"/>
        <v>0</v>
      </c>
      <c r="AQ3364" s="498">
        <f t="shared" si="1176"/>
        <v>0</v>
      </c>
      <c r="AU3364" s="498">
        <f t="shared" si="1163"/>
        <v>0</v>
      </c>
      <c r="AV3364" s="498">
        <f t="shared" si="1164"/>
        <v>0</v>
      </c>
      <c r="AW3364" s="498">
        <f t="shared" si="1165"/>
        <v>0</v>
      </c>
      <c r="AX3364" s="498">
        <f t="shared" si="1166"/>
        <v>0</v>
      </c>
      <c r="AY3364" s="498">
        <f t="shared" si="1167"/>
        <v>0</v>
      </c>
      <c r="BB3364" s="498" t="str">
        <f t="shared" si="1168"/>
        <v/>
      </c>
      <c r="BC3364" s="743" t="str">
        <f t="shared" si="1169"/>
        <v/>
      </c>
      <c r="BD3364" s="743" t="str">
        <f t="shared" si="1170"/>
        <v/>
      </c>
      <c r="BE3364" s="743" t="str">
        <f>IF(D3364="","",VLOOKUP(D3364,'General Basis'!$J$39:$K$46,2,0))</f>
        <v/>
      </c>
      <c r="BF3364" s="744" t="str">
        <f>IF(D3364="","",VLOOKUP(D3364,'General Basis'!$J$39:$L$46,3,0))</f>
        <v/>
      </c>
      <c r="BG3364" s="744" t="str">
        <f t="shared" si="1177"/>
        <v/>
      </c>
      <c r="BH3364" s="744" t="str">
        <f>IF(G3364="","",IF(BF3364="Abu Dhabi",IF(G3364&lt;18,'General Basis'!$C$39,IF(G3364&lt;41,'General Basis'!$C$40,IF(G3364&lt;60,'General Basis'!$C$41,IF(G3364&lt;65,'General Basis'!$C$42,'General Basis'!$C$43)))),IF(G3364&lt;11,'General Basis'!$B$39,IF(G3364&lt;18,'General Basis'!$B$40,IF(G3364&lt;26,'General Basis'!$B$41,IF(G3364&lt;31,'General Basis'!$B$42,IF(G3364&lt;36,'General Basis'!$B$43,IF(G3364&lt;41,'General Basis'!$B$44,IF(G3364&lt;46,'General Basis'!$B$45,IF(G3364&lt;51,'General Basis'!$B$46,IF(G3364&lt;56,'General Basis'!$B$47,IF(G3364&lt;60,'General Basis'!$B$48,IF(G3364&lt;65,'General Basis'!$B$49,'General Basis'!$B$50)))))))))))))</f>
        <v/>
      </c>
      <c r="BI3364" s="744" t="str">
        <f t="shared" si="1171"/>
        <v/>
      </c>
      <c r="BJ3364" s="747" t="str">
        <f t="shared" si="1178"/>
        <v/>
      </c>
      <c r="BK3364" s="498" t="str">
        <f t="shared" si="1172"/>
        <v/>
      </c>
      <c r="BL3364" s="498" t="str">
        <f t="shared" si="1173"/>
        <v/>
      </c>
    </row>
    <row r="3365" spans="1:64" x14ac:dyDescent="0.25">
      <c r="A3365" s="762">
        <f t="shared" si="1174"/>
        <v>3360</v>
      </c>
      <c r="B3365" s="229"/>
      <c r="C3365" s="223"/>
      <c r="D3365" s="224"/>
      <c r="E3365" s="225"/>
      <c r="F3365" s="1036" t="str">
        <f t="shared" si="1180"/>
        <v/>
      </c>
      <c r="G3365" s="1037" t="str">
        <f t="shared" si="1175"/>
        <v/>
      </c>
      <c r="H3365" s="225"/>
      <c r="I3365" s="1013"/>
      <c r="J3365" s="1013"/>
      <c r="K3365" s="1028"/>
      <c r="L3365" s="1035" t="str">
        <f t="shared" si="1179"/>
        <v/>
      </c>
      <c r="S3365" s="498"/>
      <c r="AJ3365" s="498"/>
      <c r="AM3365" s="498">
        <f t="shared" si="1160"/>
        <v>0</v>
      </c>
      <c r="AN3365" s="498">
        <f t="shared" si="1161"/>
        <v>0</v>
      </c>
      <c r="AO3365" s="498">
        <f t="shared" si="1162"/>
        <v>0</v>
      </c>
      <c r="AP3365" s="498">
        <f t="shared" si="1181"/>
        <v>0</v>
      </c>
      <c r="AQ3365" s="498">
        <f t="shared" si="1176"/>
        <v>0</v>
      </c>
      <c r="AU3365" s="498">
        <f t="shared" si="1163"/>
        <v>0</v>
      </c>
      <c r="AV3365" s="498">
        <f t="shared" si="1164"/>
        <v>0</v>
      </c>
      <c r="AW3365" s="498">
        <f t="shared" si="1165"/>
        <v>0</v>
      </c>
      <c r="AX3365" s="498">
        <f t="shared" si="1166"/>
        <v>0</v>
      </c>
      <c r="AY3365" s="498">
        <f t="shared" si="1167"/>
        <v>0</v>
      </c>
      <c r="BB3365" s="498" t="str">
        <f t="shared" si="1168"/>
        <v/>
      </c>
      <c r="BC3365" s="743" t="str">
        <f t="shared" si="1169"/>
        <v/>
      </c>
      <c r="BD3365" s="743" t="str">
        <f t="shared" si="1170"/>
        <v/>
      </c>
      <c r="BE3365" s="743" t="str">
        <f>IF(D3365="","",VLOOKUP(D3365,'General Basis'!$J$39:$K$46,2,0))</f>
        <v/>
      </c>
      <c r="BF3365" s="744" t="str">
        <f>IF(D3365="","",VLOOKUP(D3365,'General Basis'!$J$39:$L$46,3,0))</f>
        <v/>
      </c>
      <c r="BG3365" s="744" t="str">
        <f t="shared" si="1177"/>
        <v/>
      </c>
      <c r="BH3365" s="744" t="str">
        <f>IF(G3365="","",IF(BF3365="Abu Dhabi",IF(G3365&lt;18,'General Basis'!$C$39,IF(G3365&lt;41,'General Basis'!$C$40,IF(G3365&lt;60,'General Basis'!$C$41,IF(G3365&lt;65,'General Basis'!$C$42,'General Basis'!$C$43)))),IF(G3365&lt;11,'General Basis'!$B$39,IF(G3365&lt;18,'General Basis'!$B$40,IF(G3365&lt;26,'General Basis'!$B$41,IF(G3365&lt;31,'General Basis'!$B$42,IF(G3365&lt;36,'General Basis'!$B$43,IF(G3365&lt;41,'General Basis'!$B$44,IF(G3365&lt;46,'General Basis'!$B$45,IF(G3365&lt;51,'General Basis'!$B$46,IF(G3365&lt;56,'General Basis'!$B$47,IF(G3365&lt;60,'General Basis'!$B$48,IF(G3365&lt;65,'General Basis'!$B$49,'General Basis'!$B$50)))))))))))))</f>
        <v/>
      </c>
      <c r="BI3365" s="744" t="str">
        <f t="shared" si="1171"/>
        <v/>
      </c>
      <c r="BJ3365" s="747" t="str">
        <f t="shared" si="1178"/>
        <v/>
      </c>
      <c r="BK3365" s="498" t="str">
        <f t="shared" si="1172"/>
        <v/>
      </c>
      <c r="BL3365" s="498" t="str">
        <f t="shared" si="1173"/>
        <v/>
      </c>
    </row>
    <row r="3366" spans="1:64" x14ac:dyDescent="0.25">
      <c r="A3366" s="762">
        <f t="shared" si="1174"/>
        <v>3361</v>
      </c>
      <c r="B3366" s="229"/>
      <c r="C3366" s="223"/>
      <c r="D3366" s="224"/>
      <c r="E3366" s="225"/>
      <c r="F3366" s="1036" t="str">
        <f t="shared" si="1180"/>
        <v/>
      </c>
      <c r="G3366" s="1037" t="str">
        <f t="shared" si="1175"/>
        <v/>
      </c>
      <c r="H3366" s="225"/>
      <c r="I3366" s="1013"/>
      <c r="J3366" s="1013"/>
      <c r="K3366" s="1028"/>
      <c r="L3366" s="1035" t="str">
        <f t="shared" si="1179"/>
        <v/>
      </c>
      <c r="S3366" s="498"/>
      <c r="AJ3366" s="498"/>
      <c r="AM3366" s="498">
        <f t="shared" si="1160"/>
        <v>0</v>
      </c>
      <c r="AN3366" s="498">
        <f t="shared" si="1161"/>
        <v>0</v>
      </c>
      <c r="AO3366" s="498">
        <f t="shared" si="1162"/>
        <v>0</v>
      </c>
      <c r="AP3366" s="498">
        <f t="shared" si="1181"/>
        <v>0</v>
      </c>
      <c r="AQ3366" s="498">
        <f t="shared" si="1176"/>
        <v>0</v>
      </c>
      <c r="AU3366" s="498">
        <f t="shared" si="1163"/>
        <v>0</v>
      </c>
      <c r="AV3366" s="498">
        <f t="shared" si="1164"/>
        <v>0</v>
      </c>
      <c r="AW3366" s="498">
        <f t="shared" si="1165"/>
        <v>0</v>
      </c>
      <c r="AX3366" s="498">
        <f t="shared" si="1166"/>
        <v>0</v>
      </c>
      <c r="AY3366" s="498">
        <f t="shared" si="1167"/>
        <v>0</v>
      </c>
      <c r="BB3366" s="498" t="str">
        <f t="shared" si="1168"/>
        <v/>
      </c>
      <c r="BC3366" s="743" t="str">
        <f t="shared" si="1169"/>
        <v/>
      </c>
      <c r="BD3366" s="743" t="str">
        <f t="shared" si="1170"/>
        <v/>
      </c>
      <c r="BE3366" s="743" t="str">
        <f>IF(D3366="","",VLOOKUP(D3366,'General Basis'!$J$39:$K$46,2,0))</f>
        <v/>
      </c>
      <c r="BF3366" s="744" t="str">
        <f>IF(D3366="","",VLOOKUP(D3366,'General Basis'!$J$39:$L$46,3,0))</f>
        <v/>
      </c>
      <c r="BG3366" s="744" t="str">
        <f t="shared" si="1177"/>
        <v/>
      </c>
      <c r="BH3366" s="744" t="str">
        <f>IF(G3366="","",IF(BF3366="Abu Dhabi",IF(G3366&lt;18,'General Basis'!$C$39,IF(G3366&lt;41,'General Basis'!$C$40,IF(G3366&lt;60,'General Basis'!$C$41,IF(G3366&lt;65,'General Basis'!$C$42,'General Basis'!$C$43)))),IF(G3366&lt;11,'General Basis'!$B$39,IF(G3366&lt;18,'General Basis'!$B$40,IF(G3366&lt;26,'General Basis'!$B$41,IF(G3366&lt;31,'General Basis'!$B$42,IF(G3366&lt;36,'General Basis'!$B$43,IF(G3366&lt;41,'General Basis'!$B$44,IF(G3366&lt;46,'General Basis'!$B$45,IF(G3366&lt;51,'General Basis'!$B$46,IF(G3366&lt;56,'General Basis'!$B$47,IF(G3366&lt;60,'General Basis'!$B$48,IF(G3366&lt;65,'General Basis'!$B$49,'General Basis'!$B$50)))))))))))))</f>
        <v/>
      </c>
      <c r="BI3366" s="744" t="str">
        <f t="shared" si="1171"/>
        <v/>
      </c>
      <c r="BJ3366" s="747" t="str">
        <f t="shared" si="1178"/>
        <v/>
      </c>
      <c r="BK3366" s="498" t="str">
        <f t="shared" si="1172"/>
        <v/>
      </c>
      <c r="BL3366" s="498" t="str">
        <f t="shared" si="1173"/>
        <v/>
      </c>
    </row>
    <row r="3367" spans="1:64" x14ac:dyDescent="0.25">
      <c r="A3367" s="762">
        <f t="shared" si="1174"/>
        <v>3362</v>
      </c>
      <c r="B3367" s="229"/>
      <c r="C3367" s="223"/>
      <c r="D3367" s="224"/>
      <c r="E3367" s="225"/>
      <c r="F3367" s="1036" t="str">
        <f t="shared" si="1180"/>
        <v/>
      </c>
      <c r="G3367" s="1037" t="str">
        <f t="shared" si="1175"/>
        <v/>
      </c>
      <c r="H3367" s="225"/>
      <c r="I3367" s="1013"/>
      <c r="J3367" s="1013"/>
      <c r="K3367" s="1028"/>
      <c r="L3367" s="1035" t="str">
        <f t="shared" si="1179"/>
        <v/>
      </c>
      <c r="S3367" s="498"/>
      <c r="AJ3367" s="498"/>
      <c r="AM3367" s="498">
        <f t="shared" si="1160"/>
        <v>0</v>
      </c>
      <c r="AN3367" s="498">
        <f t="shared" si="1161"/>
        <v>0</v>
      </c>
      <c r="AO3367" s="498">
        <f t="shared" si="1162"/>
        <v>0</v>
      </c>
      <c r="AP3367" s="498">
        <f t="shared" si="1181"/>
        <v>0</v>
      </c>
      <c r="AQ3367" s="498">
        <f t="shared" si="1176"/>
        <v>0</v>
      </c>
      <c r="AU3367" s="498">
        <f t="shared" si="1163"/>
        <v>0</v>
      </c>
      <c r="AV3367" s="498">
        <f t="shared" si="1164"/>
        <v>0</v>
      </c>
      <c r="AW3367" s="498">
        <f t="shared" si="1165"/>
        <v>0</v>
      </c>
      <c r="AX3367" s="498">
        <f t="shared" si="1166"/>
        <v>0</v>
      </c>
      <c r="AY3367" s="498">
        <f t="shared" si="1167"/>
        <v>0</v>
      </c>
      <c r="BB3367" s="498" t="str">
        <f t="shared" si="1168"/>
        <v/>
      </c>
      <c r="BC3367" s="743" t="str">
        <f t="shared" si="1169"/>
        <v/>
      </c>
      <c r="BD3367" s="743" t="str">
        <f t="shared" si="1170"/>
        <v/>
      </c>
      <c r="BE3367" s="743" t="str">
        <f>IF(D3367="","",VLOOKUP(D3367,'General Basis'!$J$39:$K$46,2,0))</f>
        <v/>
      </c>
      <c r="BF3367" s="744" t="str">
        <f>IF(D3367="","",VLOOKUP(D3367,'General Basis'!$J$39:$L$46,3,0))</f>
        <v/>
      </c>
      <c r="BG3367" s="744" t="str">
        <f t="shared" si="1177"/>
        <v/>
      </c>
      <c r="BH3367" s="744" t="str">
        <f>IF(G3367="","",IF(BF3367="Abu Dhabi",IF(G3367&lt;18,'General Basis'!$C$39,IF(G3367&lt;41,'General Basis'!$C$40,IF(G3367&lt;60,'General Basis'!$C$41,IF(G3367&lt;65,'General Basis'!$C$42,'General Basis'!$C$43)))),IF(G3367&lt;11,'General Basis'!$B$39,IF(G3367&lt;18,'General Basis'!$B$40,IF(G3367&lt;26,'General Basis'!$B$41,IF(G3367&lt;31,'General Basis'!$B$42,IF(G3367&lt;36,'General Basis'!$B$43,IF(G3367&lt;41,'General Basis'!$B$44,IF(G3367&lt;46,'General Basis'!$B$45,IF(G3367&lt;51,'General Basis'!$B$46,IF(G3367&lt;56,'General Basis'!$B$47,IF(G3367&lt;60,'General Basis'!$B$48,IF(G3367&lt;65,'General Basis'!$B$49,'General Basis'!$B$50)))))))))))))</f>
        <v/>
      </c>
      <c r="BI3367" s="744" t="str">
        <f t="shared" si="1171"/>
        <v/>
      </c>
      <c r="BJ3367" s="747" t="str">
        <f t="shared" si="1178"/>
        <v/>
      </c>
      <c r="BK3367" s="498" t="str">
        <f t="shared" si="1172"/>
        <v/>
      </c>
      <c r="BL3367" s="498" t="str">
        <f t="shared" si="1173"/>
        <v/>
      </c>
    </row>
    <row r="3368" spans="1:64" x14ac:dyDescent="0.25">
      <c r="A3368" s="762">
        <f t="shared" si="1174"/>
        <v>3363</v>
      </c>
      <c r="B3368" s="229"/>
      <c r="C3368" s="223"/>
      <c r="D3368" s="224"/>
      <c r="E3368" s="225"/>
      <c r="F3368" s="1036" t="str">
        <f t="shared" si="1180"/>
        <v/>
      </c>
      <c r="G3368" s="1037" t="str">
        <f t="shared" si="1175"/>
        <v/>
      </c>
      <c r="H3368" s="225"/>
      <c r="I3368" s="1013"/>
      <c r="J3368" s="1013"/>
      <c r="K3368" s="1028"/>
      <c r="L3368" s="1035" t="str">
        <f t="shared" si="1179"/>
        <v/>
      </c>
      <c r="S3368" s="498"/>
      <c r="AJ3368" s="498"/>
      <c r="AM3368" s="498">
        <f t="shared" si="1160"/>
        <v>0</v>
      </c>
      <c r="AN3368" s="498">
        <f t="shared" si="1161"/>
        <v>0</v>
      </c>
      <c r="AO3368" s="498">
        <f t="shared" si="1162"/>
        <v>0</v>
      </c>
      <c r="AP3368" s="498">
        <f t="shared" si="1181"/>
        <v>0</v>
      </c>
      <c r="AQ3368" s="498">
        <f t="shared" si="1176"/>
        <v>0</v>
      </c>
      <c r="AU3368" s="498">
        <f t="shared" si="1163"/>
        <v>0</v>
      </c>
      <c r="AV3368" s="498">
        <f t="shared" si="1164"/>
        <v>0</v>
      </c>
      <c r="AW3368" s="498">
        <f t="shared" si="1165"/>
        <v>0</v>
      </c>
      <c r="AX3368" s="498">
        <f t="shared" si="1166"/>
        <v>0</v>
      </c>
      <c r="AY3368" s="498">
        <f t="shared" si="1167"/>
        <v>0</v>
      </c>
      <c r="BB3368" s="498" t="str">
        <f t="shared" si="1168"/>
        <v/>
      </c>
      <c r="BC3368" s="743" t="str">
        <f t="shared" si="1169"/>
        <v/>
      </c>
      <c r="BD3368" s="743" t="str">
        <f t="shared" si="1170"/>
        <v/>
      </c>
      <c r="BE3368" s="743" t="str">
        <f>IF(D3368="","",VLOOKUP(D3368,'General Basis'!$J$39:$K$46,2,0))</f>
        <v/>
      </c>
      <c r="BF3368" s="744" t="str">
        <f>IF(D3368="","",VLOOKUP(D3368,'General Basis'!$J$39:$L$46,3,0))</f>
        <v/>
      </c>
      <c r="BG3368" s="744" t="str">
        <f t="shared" si="1177"/>
        <v/>
      </c>
      <c r="BH3368" s="744" t="str">
        <f>IF(G3368="","",IF(BF3368="Abu Dhabi",IF(G3368&lt;18,'General Basis'!$C$39,IF(G3368&lt;41,'General Basis'!$C$40,IF(G3368&lt;60,'General Basis'!$C$41,IF(G3368&lt;65,'General Basis'!$C$42,'General Basis'!$C$43)))),IF(G3368&lt;11,'General Basis'!$B$39,IF(G3368&lt;18,'General Basis'!$B$40,IF(G3368&lt;26,'General Basis'!$B$41,IF(G3368&lt;31,'General Basis'!$B$42,IF(G3368&lt;36,'General Basis'!$B$43,IF(G3368&lt;41,'General Basis'!$B$44,IF(G3368&lt;46,'General Basis'!$B$45,IF(G3368&lt;51,'General Basis'!$B$46,IF(G3368&lt;56,'General Basis'!$B$47,IF(G3368&lt;60,'General Basis'!$B$48,IF(G3368&lt;65,'General Basis'!$B$49,'General Basis'!$B$50)))))))))))))</f>
        <v/>
      </c>
      <c r="BI3368" s="744" t="str">
        <f t="shared" si="1171"/>
        <v/>
      </c>
      <c r="BJ3368" s="747" t="str">
        <f t="shared" si="1178"/>
        <v/>
      </c>
      <c r="BK3368" s="498" t="str">
        <f t="shared" si="1172"/>
        <v/>
      </c>
      <c r="BL3368" s="498" t="str">
        <f t="shared" si="1173"/>
        <v/>
      </c>
    </row>
    <row r="3369" spans="1:64" x14ac:dyDescent="0.25">
      <c r="A3369" s="762">
        <f t="shared" si="1174"/>
        <v>3364</v>
      </c>
      <c r="B3369" s="229"/>
      <c r="C3369" s="223"/>
      <c r="D3369" s="224"/>
      <c r="E3369" s="225"/>
      <c r="F3369" s="1036" t="str">
        <f t="shared" si="1180"/>
        <v/>
      </c>
      <c r="G3369" s="1037" t="str">
        <f t="shared" si="1175"/>
        <v/>
      </c>
      <c r="H3369" s="225"/>
      <c r="I3369" s="1013"/>
      <c r="J3369" s="1013"/>
      <c r="K3369" s="1028"/>
      <c r="L3369" s="1035" t="str">
        <f t="shared" si="1179"/>
        <v/>
      </c>
      <c r="S3369" s="498"/>
      <c r="AJ3369" s="498"/>
      <c r="AM3369" s="498">
        <f t="shared" si="1160"/>
        <v>0</v>
      </c>
      <c r="AN3369" s="498">
        <f t="shared" si="1161"/>
        <v>0</v>
      </c>
      <c r="AO3369" s="498">
        <f t="shared" si="1162"/>
        <v>0</v>
      </c>
      <c r="AP3369" s="498">
        <f t="shared" si="1181"/>
        <v>0</v>
      </c>
      <c r="AQ3369" s="498">
        <f t="shared" si="1176"/>
        <v>0</v>
      </c>
      <c r="AU3369" s="498">
        <f t="shared" si="1163"/>
        <v>0</v>
      </c>
      <c r="AV3369" s="498">
        <f t="shared" si="1164"/>
        <v>0</v>
      </c>
      <c r="AW3369" s="498">
        <f t="shared" si="1165"/>
        <v>0</v>
      </c>
      <c r="AX3369" s="498">
        <f t="shared" si="1166"/>
        <v>0</v>
      </c>
      <c r="AY3369" s="498">
        <f t="shared" si="1167"/>
        <v>0</v>
      </c>
      <c r="BB3369" s="498" t="str">
        <f t="shared" si="1168"/>
        <v/>
      </c>
      <c r="BC3369" s="743" t="str">
        <f t="shared" si="1169"/>
        <v/>
      </c>
      <c r="BD3369" s="743" t="str">
        <f t="shared" si="1170"/>
        <v/>
      </c>
      <c r="BE3369" s="743" t="str">
        <f>IF(D3369="","",VLOOKUP(D3369,'General Basis'!$J$39:$K$46,2,0))</f>
        <v/>
      </c>
      <c r="BF3369" s="744" t="str">
        <f>IF(D3369="","",VLOOKUP(D3369,'General Basis'!$J$39:$L$46,3,0))</f>
        <v/>
      </c>
      <c r="BG3369" s="744" t="str">
        <f t="shared" si="1177"/>
        <v/>
      </c>
      <c r="BH3369" s="744" t="str">
        <f>IF(G3369="","",IF(BF3369="Abu Dhabi",IF(G3369&lt;18,'General Basis'!$C$39,IF(G3369&lt;41,'General Basis'!$C$40,IF(G3369&lt;60,'General Basis'!$C$41,IF(G3369&lt;65,'General Basis'!$C$42,'General Basis'!$C$43)))),IF(G3369&lt;11,'General Basis'!$B$39,IF(G3369&lt;18,'General Basis'!$B$40,IF(G3369&lt;26,'General Basis'!$B$41,IF(G3369&lt;31,'General Basis'!$B$42,IF(G3369&lt;36,'General Basis'!$B$43,IF(G3369&lt;41,'General Basis'!$B$44,IF(G3369&lt;46,'General Basis'!$B$45,IF(G3369&lt;51,'General Basis'!$B$46,IF(G3369&lt;56,'General Basis'!$B$47,IF(G3369&lt;60,'General Basis'!$B$48,IF(G3369&lt;65,'General Basis'!$B$49,'General Basis'!$B$50)))))))))))))</f>
        <v/>
      </c>
      <c r="BI3369" s="744" t="str">
        <f t="shared" si="1171"/>
        <v/>
      </c>
      <c r="BJ3369" s="747" t="str">
        <f t="shared" si="1178"/>
        <v/>
      </c>
      <c r="BK3369" s="498" t="str">
        <f t="shared" si="1172"/>
        <v/>
      </c>
      <c r="BL3369" s="498" t="str">
        <f t="shared" si="1173"/>
        <v/>
      </c>
    </row>
    <row r="3370" spans="1:64" x14ac:dyDescent="0.25">
      <c r="A3370" s="762">
        <f t="shared" si="1174"/>
        <v>3365</v>
      </c>
      <c r="B3370" s="229"/>
      <c r="C3370" s="223"/>
      <c r="D3370" s="224"/>
      <c r="E3370" s="225"/>
      <c r="F3370" s="1036" t="str">
        <f t="shared" si="1180"/>
        <v/>
      </c>
      <c r="G3370" s="1037" t="str">
        <f t="shared" si="1175"/>
        <v/>
      </c>
      <c r="H3370" s="225"/>
      <c r="I3370" s="1013"/>
      <c r="J3370" s="1013"/>
      <c r="K3370" s="1028"/>
      <c r="L3370" s="1035" t="str">
        <f t="shared" si="1179"/>
        <v/>
      </c>
      <c r="S3370" s="498"/>
      <c r="AJ3370" s="498"/>
      <c r="AM3370" s="498">
        <f t="shared" si="1160"/>
        <v>0</v>
      </c>
      <c r="AN3370" s="498">
        <f t="shared" si="1161"/>
        <v>0</v>
      </c>
      <c r="AO3370" s="498">
        <f t="shared" si="1162"/>
        <v>0</v>
      </c>
      <c r="AP3370" s="498">
        <f t="shared" si="1181"/>
        <v>0</v>
      </c>
      <c r="AQ3370" s="498">
        <f t="shared" si="1176"/>
        <v>0</v>
      </c>
      <c r="AU3370" s="498">
        <f t="shared" si="1163"/>
        <v>0</v>
      </c>
      <c r="AV3370" s="498">
        <f t="shared" si="1164"/>
        <v>0</v>
      </c>
      <c r="AW3370" s="498">
        <f t="shared" si="1165"/>
        <v>0</v>
      </c>
      <c r="AX3370" s="498">
        <f t="shared" si="1166"/>
        <v>0</v>
      </c>
      <c r="AY3370" s="498">
        <f t="shared" si="1167"/>
        <v>0</v>
      </c>
      <c r="BB3370" s="498" t="str">
        <f t="shared" si="1168"/>
        <v/>
      </c>
      <c r="BC3370" s="743" t="str">
        <f t="shared" si="1169"/>
        <v/>
      </c>
      <c r="BD3370" s="743" t="str">
        <f t="shared" si="1170"/>
        <v/>
      </c>
      <c r="BE3370" s="743" t="str">
        <f>IF(D3370="","",VLOOKUP(D3370,'General Basis'!$J$39:$K$46,2,0))</f>
        <v/>
      </c>
      <c r="BF3370" s="744" t="str">
        <f>IF(D3370="","",VLOOKUP(D3370,'General Basis'!$J$39:$L$46,3,0))</f>
        <v/>
      </c>
      <c r="BG3370" s="744" t="str">
        <f t="shared" si="1177"/>
        <v/>
      </c>
      <c r="BH3370" s="744" t="str">
        <f>IF(G3370="","",IF(BF3370="Abu Dhabi",IF(G3370&lt;18,'General Basis'!$C$39,IF(G3370&lt;41,'General Basis'!$C$40,IF(G3370&lt;60,'General Basis'!$C$41,IF(G3370&lt;65,'General Basis'!$C$42,'General Basis'!$C$43)))),IF(G3370&lt;11,'General Basis'!$B$39,IF(G3370&lt;18,'General Basis'!$B$40,IF(G3370&lt;26,'General Basis'!$B$41,IF(G3370&lt;31,'General Basis'!$B$42,IF(G3370&lt;36,'General Basis'!$B$43,IF(G3370&lt;41,'General Basis'!$B$44,IF(G3370&lt;46,'General Basis'!$B$45,IF(G3370&lt;51,'General Basis'!$B$46,IF(G3370&lt;56,'General Basis'!$B$47,IF(G3370&lt;60,'General Basis'!$B$48,IF(G3370&lt;65,'General Basis'!$B$49,'General Basis'!$B$50)))))))))))))</f>
        <v/>
      </c>
      <c r="BI3370" s="744" t="str">
        <f t="shared" si="1171"/>
        <v/>
      </c>
      <c r="BJ3370" s="747" t="str">
        <f t="shared" si="1178"/>
        <v/>
      </c>
      <c r="BK3370" s="498" t="str">
        <f t="shared" si="1172"/>
        <v/>
      </c>
      <c r="BL3370" s="498" t="str">
        <f t="shared" si="1173"/>
        <v/>
      </c>
    </row>
    <row r="3371" spans="1:64" x14ac:dyDescent="0.25">
      <c r="A3371" s="762">
        <f t="shared" si="1174"/>
        <v>3366</v>
      </c>
      <c r="B3371" s="229"/>
      <c r="C3371" s="223"/>
      <c r="D3371" s="224"/>
      <c r="E3371" s="225"/>
      <c r="F3371" s="1036" t="str">
        <f t="shared" si="1180"/>
        <v/>
      </c>
      <c r="G3371" s="1037" t="str">
        <f t="shared" si="1175"/>
        <v/>
      </c>
      <c r="H3371" s="225"/>
      <c r="I3371" s="1013"/>
      <c r="J3371" s="1013"/>
      <c r="K3371" s="1028"/>
      <c r="L3371" s="1035" t="str">
        <f t="shared" si="1179"/>
        <v/>
      </c>
      <c r="S3371" s="498"/>
      <c r="AJ3371" s="498"/>
      <c r="AM3371" s="498">
        <f t="shared" si="1160"/>
        <v>0</v>
      </c>
      <c r="AN3371" s="498">
        <f t="shared" si="1161"/>
        <v>0</v>
      </c>
      <c r="AO3371" s="498">
        <f t="shared" si="1162"/>
        <v>0</v>
      </c>
      <c r="AP3371" s="498">
        <f t="shared" si="1181"/>
        <v>0</v>
      </c>
      <c r="AQ3371" s="498">
        <f t="shared" si="1176"/>
        <v>0</v>
      </c>
      <c r="AU3371" s="498">
        <f t="shared" si="1163"/>
        <v>0</v>
      </c>
      <c r="AV3371" s="498">
        <f t="shared" si="1164"/>
        <v>0</v>
      </c>
      <c r="AW3371" s="498">
        <f t="shared" si="1165"/>
        <v>0</v>
      </c>
      <c r="AX3371" s="498">
        <f t="shared" si="1166"/>
        <v>0</v>
      </c>
      <c r="AY3371" s="498">
        <f t="shared" si="1167"/>
        <v>0</v>
      </c>
      <c r="BB3371" s="498" t="str">
        <f t="shared" si="1168"/>
        <v/>
      </c>
      <c r="BC3371" s="743" t="str">
        <f t="shared" si="1169"/>
        <v/>
      </c>
      <c r="BD3371" s="743" t="str">
        <f t="shared" si="1170"/>
        <v/>
      </c>
      <c r="BE3371" s="743" t="str">
        <f>IF(D3371="","",VLOOKUP(D3371,'General Basis'!$J$39:$K$46,2,0))</f>
        <v/>
      </c>
      <c r="BF3371" s="744" t="str">
        <f>IF(D3371="","",VLOOKUP(D3371,'General Basis'!$J$39:$L$46,3,0))</f>
        <v/>
      </c>
      <c r="BG3371" s="744" t="str">
        <f t="shared" si="1177"/>
        <v/>
      </c>
      <c r="BH3371" s="744" t="str">
        <f>IF(G3371="","",IF(BF3371="Abu Dhabi",IF(G3371&lt;18,'General Basis'!$C$39,IF(G3371&lt;41,'General Basis'!$C$40,IF(G3371&lt;60,'General Basis'!$C$41,IF(G3371&lt;65,'General Basis'!$C$42,'General Basis'!$C$43)))),IF(G3371&lt;11,'General Basis'!$B$39,IF(G3371&lt;18,'General Basis'!$B$40,IF(G3371&lt;26,'General Basis'!$B$41,IF(G3371&lt;31,'General Basis'!$B$42,IF(G3371&lt;36,'General Basis'!$B$43,IF(G3371&lt;41,'General Basis'!$B$44,IF(G3371&lt;46,'General Basis'!$B$45,IF(G3371&lt;51,'General Basis'!$B$46,IF(G3371&lt;56,'General Basis'!$B$47,IF(G3371&lt;60,'General Basis'!$B$48,IF(G3371&lt;65,'General Basis'!$B$49,'General Basis'!$B$50)))))))))))))</f>
        <v/>
      </c>
      <c r="BI3371" s="744" t="str">
        <f t="shared" si="1171"/>
        <v/>
      </c>
      <c r="BJ3371" s="747" t="str">
        <f t="shared" si="1178"/>
        <v/>
      </c>
      <c r="BK3371" s="498" t="str">
        <f t="shared" si="1172"/>
        <v/>
      </c>
      <c r="BL3371" s="498" t="str">
        <f t="shared" si="1173"/>
        <v/>
      </c>
    </row>
    <row r="3372" spans="1:64" x14ac:dyDescent="0.25">
      <c r="A3372" s="762">
        <f t="shared" si="1174"/>
        <v>3367</v>
      </c>
      <c r="B3372" s="229"/>
      <c r="C3372" s="223"/>
      <c r="D3372" s="224"/>
      <c r="E3372" s="225"/>
      <c r="F3372" s="1036" t="str">
        <f t="shared" si="1180"/>
        <v/>
      </c>
      <c r="G3372" s="1037" t="str">
        <f t="shared" si="1175"/>
        <v/>
      </c>
      <c r="H3372" s="225"/>
      <c r="I3372" s="1013"/>
      <c r="J3372" s="1013"/>
      <c r="K3372" s="1028"/>
      <c r="L3372" s="1035" t="str">
        <f t="shared" si="1179"/>
        <v/>
      </c>
      <c r="S3372" s="498"/>
      <c r="AJ3372" s="498"/>
      <c r="AM3372" s="498">
        <f t="shared" si="1160"/>
        <v>0</v>
      </c>
      <c r="AN3372" s="498">
        <f t="shared" si="1161"/>
        <v>0</v>
      </c>
      <c r="AO3372" s="498">
        <f t="shared" si="1162"/>
        <v>0</v>
      </c>
      <c r="AP3372" s="498">
        <f t="shared" si="1181"/>
        <v>0</v>
      </c>
      <c r="AQ3372" s="498">
        <f t="shared" si="1176"/>
        <v>0</v>
      </c>
      <c r="AU3372" s="498">
        <f t="shared" si="1163"/>
        <v>0</v>
      </c>
      <c r="AV3372" s="498">
        <f t="shared" si="1164"/>
        <v>0</v>
      </c>
      <c r="AW3372" s="498">
        <f t="shared" si="1165"/>
        <v>0</v>
      </c>
      <c r="AX3372" s="498">
        <f t="shared" si="1166"/>
        <v>0</v>
      </c>
      <c r="AY3372" s="498">
        <f t="shared" si="1167"/>
        <v>0</v>
      </c>
      <c r="BB3372" s="498" t="str">
        <f t="shared" si="1168"/>
        <v/>
      </c>
      <c r="BC3372" s="743" t="str">
        <f t="shared" si="1169"/>
        <v/>
      </c>
      <c r="BD3372" s="743" t="str">
        <f t="shared" si="1170"/>
        <v/>
      </c>
      <c r="BE3372" s="743" t="str">
        <f>IF(D3372="","",VLOOKUP(D3372,'General Basis'!$J$39:$K$46,2,0))</f>
        <v/>
      </c>
      <c r="BF3372" s="744" t="str">
        <f>IF(D3372="","",VLOOKUP(D3372,'General Basis'!$J$39:$L$46,3,0))</f>
        <v/>
      </c>
      <c r="BG3372" s="744" t="str">
        <f t="shared" si="1177"/>
        <v/>
      </c>
      <c r="BH3372" s="744" t="str">
        <f>IF(G3372="","",IF(BF3372="Abu Dhabi",IF(G3372&lt;18,'General Basis'!$C$39,IF(G3372&lt;41,'General Basis'!$C$40,IF(G3372&lt;60,'General Basis'!$C$41,IF(G3372&lt;65,'General Basis'!$C$42,'General Basis'!$C$43)))),IF(G3372&lt;11,'General Basis'!$B$39,IF(G3372&lt;18,'General Basis'!$B$40,IF(G3372&lt;26,'General Basis'!$B$41,IF(G3372&lt;31,'General Basis'!$B$42,IF(G3372&lt;36,'General Basis'!$B$43,IF(G3372&lt;41,'General Basis'!$B$44,IF(G3372&lt;46,'General Basis'!$B$45,IF(G3372&lt;51,'General Basis'!$B$46,IF(G3372&lt;56,'General Basis'!$B$47,IF(G3372&lt;60,'General Basis'!$B$48,IF(G3372&lt;65,'General Basis'!$B$49,'General Basis'!$B$50)))))))))))))</f>
        <v/>
      </c>
      <c r="BI3372" s="744" t="str">
        <f t="shared" si="1171"/>
        <v/>
      </c>
      <c r="BJ3372" s="747" t="str">
        <f t="shared" si="1178"/>
        <v/>
      </c>
      <c r="BK3372" s="498" t="str">
        <f t="shared" si="1172"/>
        <v/>
      </c>
      <c r="BL3372" s="498" t="str">
        <f t="shared" si="1173"/>
        <v/>
      </c>
    </row>
    <row r="3373" spans="1:64" x14ac:dyDescent="0.25">
      <c r="A3373" s="762">
        <f t="shared" si="1174"/>
        <v>3368</v>
      </c>
      <c r="B3373" s="229"/>
      <c r="C3373" s="223"/>
      <c r="D3373" s="224"/>
      <c r="E3373" s="225"/>
      <c r="F3373" s="1036" t="str">
        <f t="shared" si="1180"/>
        <v/>
      </c>
      <c r="G3373" s="1037" t="str">
        <f t="shared" si="1175"/>
        <v/>
      </c>
      <c r="H3373" s="225"/>
      <c r="I3373" s="1013"/>
      <c r="J3373" s="1013"/>
      <c r="K3373" s="1028"/>
      <c r="L3373" s="1035" t="str">
        <f t="shared" si="1179"/>
        <v/>
      </c>
      <c r="S3373" s="498"/>
      <c r="AJ3373" s="498"/>
      <c r="AM3373" s="498">
        <f t="shared" si="1160"/>
        <v>0</v>
      </c>
      <c r="AN3373" s="498">
        <f t="shared" si="1161"/>
        <v>0</v>
      </c>
      <c r="AO3373" s="498">
        <f t="shared" si="1162"/>
        <v>0</v>
      </c>
      <c r="AP3373" s="498">
        <f t="shared" si="1181"/>
        <v>0</v>
      </c>
      <c r="AQ3373" s="498">
        <f t="shared" si="1176"/>
        <v>0</v>
      </c>
      <c r="AU3373" s="498">
        <f t="shared" si="1163"/>
        <v>0</v>
      </c>
      <c r="AV3373" s="498">
        <f t="shared" si="1164"/>
        <v>0</v>
      </c>
      <c r="AW3373" s="498">
        <f t="shared" si="1165"/>
        <v>0</v>
      </c>
      <c r="AX3373" s="498">
        <f t="shared" si="1166"/>
        <v>0</v>
      </c>
      <c r="AY3373" s="498">
        <f t="shared" si="1167"/>
        <v>0</v>
      </c>
      <c r="BB3373" s="498" t="str">
        <f t="shared" si="1168"/>
        <v/>
      </c>
      <c r="BC3373" s="743" t="str">
        <f t="shared" si="1169"/>
        <v/>
      </c>
      <c r="BD3373" s="743" t="str">
        <f t="shared" si="1170"/>
        <v/>
      </c>
      <c r="BE3373" s="743" t="str">
        <f>IF(D3373="","",VLOOKUP(D3373,'General Basis'!$J$39:$K$46,2,0))</f>
        <v/>
      </c>
      <c r="BF3373" s="744" t="str">
        <f>IF(D3373="","",VLOOKUP(D3373,'General Basis'!$J$39:$L$46,3,0))</f>
        <v/>
      </c>
      <c r="BG3373" s="744" t="str">
        <f t="shared" si="1177"/>
        <v/>
      </c>
      <c r="BH3373" s="744" t="str">
        <f>IF(G3373="","",IF(BF3373="Abu Dhabi",IF(G3373&lt;18,'General Basis'!$C$39,IF(G3373&lt;41,'General Basis'!$C$40,IF(G3373&lt;60,'General Basis'!$C$41,IF(G3373&lt;65,'General Basis'!$C$42,'General Basis'!$C$43)))),IF(G3373&lt;11,'General Basis'!$B$39,IF(G3373&lt;18,'General Basis'!$B$40,IF(G3373&lt;26,'General Basis'!$B$41,IF(G3373&lt;31,'General Basis'!$B$42,IF(G3373&lt;36,'General Basis'!$B$43,IF(G3373&lt;41,'General Basis'!$B$44,IF(G3373&lt;46,'General Basis'!$B$45,IF(G3373&lt;51,'General Basis'!$B$46,IF(G3373&lt;56,'General Basis'!$B$47,IF(G3373&lt;60,'General Basis'!$B$48,IF(G3373&lt;65,'General Basis'!$B$49,'General Basis'!$B$50)))))))))))))</f>
        <v/>
      </c>
      <c r="BI3373" s="744" t="str">
        <f t="shared" si="1171"/>
        <v/>
      </c>
      <c r="BJ3373" s="747" t="str">
        <f t="shared" si="1178"/>
        <v/>
      </c>
      <c r="BK3373" s="498" t="str">
        <f t="shared" si="1172"/>
        <v/>
      </c>
      <c r="BL3373" s="498" t="str">
        <f t="shared" si="1173"/>
        <v/>
      </c>
    </row>
    <row r="3374" spans="1:64" x14ac:dyDescent="0.25">
      <c r="A3374" s="762">
        <f t="shared" si="1174"/>
        <v>3369</v>
      </c>
      <c r="B3374" s="229"/>
      <c r="C3374" s="223"/>
      <c r="D3374" s="224"/>
      <c r="E3374" s="225"/>
      <c r="F3374" s="1036" t="str">
        <f t="shared" si="1180"/>
        <v/>
      </c>
      <c r="G3374" s="1037" t="str">
        <f t="shared" si="1175"/>
        <v/>
      </c>
      <c r="H3374" s="225"/>
      <c r="I3374" s="1013"/>
      <c r="J3374" s="1013"/>
      <c r="K3374" s="1028"/>
      <c r="L3374" s="1035" t="str">
        <f t="shared" si="1179"/>
        <v/>
      </c>
      <c r="S3374" s="498"/>
      <c r="AJ3374" s="498"/>
      <c r="AM3374" s="498">
        <f t="shared" si="1160"/>
        <v>0</v>
      </c>
      <c r="AN3374" s="498">
        <f t="shared" si="1161"/>
        <v>0</v>
      </c>
      <c r="AO3374" s="498">
        <f t="shared" si="1162"/>
        <v>0</v>
      </c>
      <c r="AP3374" s="498">
        <f t="shared" si="1181"/>
        <v>0</v>
      </c>
      <c r="AQ3374" s="498">
        <f t="shared" si="1176"/>
        <v>0</v>
      </c>
      <c r="AU3374" s="498">
        <f t="shared" si="1163"/>
        <v>0</v>
      </c>
      <c r="AV3374" s="498">
        <f t="shared" si="1164"/>
        <v>0</v>
      </c>
      <c r="AW3374" s="498">
        <f t="shared" si="1165"/>
        <v>0</v>
      </c>
      <c r="AX3374" s="498">
        <f t="shared" si="1166"/>
        <v>0</v>
      </c>
      <c r="AY3374" s="498">
        <f t="shared" si="1167"/>
        <v>0</v>
      </c>
      <c r="BB3374" s="498" t="str">
        <f t="shared" si="1168"/>
        <v/>
      </c>
      <c r="BC3374" s="743" t="str">
        <f t="shared" si="1169"/>
        <v/>
      </c>
      <c r="BD3374" s="743" t="str">
        <f t="shared" si="1170"/>
        <v/>
      </c>
      <c r="BE3374" s="743" t="str">
        <f>IF(D3374="","",VLOOKUP(D3374,'General Basis'!$J$39:$K$46,2,0))</f>
        <v/>
      </c>
      <c r="BF3374" s="744" t="str">
        <f>IF(D3374="","",VLOOKUP(D3374,'General Basis'!$J$39:$L$46,3,0))</f>
        <v/>
      </c>
      <c r="BG3374" s="744" t="str">
        <f t="shared" si="1177"/>
        <v/>
      </c>
      <c r="BH3374" s="744" t="str">
        <f>IF(G3374="","",IF(BF3374="Abu Dhabi",IF(G3374&lt;18,'General Basis'!$C$39,IF(G3374&lt;41,'General Basis'!$C$40,IF(G3374&lt;60,'General Basis'!$C$41,IF(G3374&lt;65,'General Basis'!$C$42,'General Basis'!$C$43)))),IF(G3374&lt;11,'General Basis'!$B$39,IF(G3374&lt;18,'General Basis'!$B$40,IF(G3374&lt;26,'General Basis'!$B$41,IF(G3374&lt;31,'General Basis'!$B$42,IF(G3374&lt;36,'General Basis'!$B$43,IF(G3374&lt;41,'General Basis'!$B$44,IF(G3374&lt;46,'General Basis'!$B$45,IF(G3374&lt;51,'General Basis'!$B$46,IF(G3374&lt;56,'General Basis'!$B$47,IF(G3374&lt;60,'General Basis'!$B$48,IF(G3374&lt;65,'General Basis'!$B$49,'General Basis'!$B$50)))))))))))))</f>
        <v/>
      </c>
      <c r="BI3374" s="744" t="str">
        <f t="shared" si="1171"/>
        <v/>
      </c>
      <c r="BJ3374" s="747" t="str">
        <f t="shared" si="1178"/>
        <v/>
      </c>
      <c r="BK3374" s="498" t="str">
        <f t="shared" si="1172"/>
        <v/>
      </c>
      <c r="BL3374" s="498" t="str">
        <f t="shared" si="1173"/>
        <v/>
      </c>
    </row>
    <row r="3375" spans="1:64" x14ac:dyDescent="0.25">
      <c r="A3375" s="762">
        <f t="shared" si="1174"/>
        <v>3370</v>
      </c>
      <c r="B3375" s="229"/>
      <c r="C3375" s="223"/>
      <c r="D3375" s="224"/>
      <c r="E3375" s="225"/>
      <c r="F3375" s="1036" t="str">
        <f t="shared" si="1180"/>
        <v/>
      </c>
      <c r="G3375" s="1037" t="str">
        <f t="shared" si="1175"/>
        <v/>
      </c>
      <c r="H3375" s="225"/>
      <c r="I3375" s="1013"/>
      <c r="J3375" s="1013"/>
      <c r="K3375" s="1028"/>
      <c r="L3375" s="1035" t="str">
        <f t="shared" si="1179"/>
        <v/>
      </c>
      <c r="S3375" s="498"/>
      <c r="AJ3375" s="498"/>
      <c r="AM3375" s="498">
        <f t="shared" si="1160"/>
        <v>0</v>
      </c>
      <c r="AN3375" s="498">
        <f t="shared" si="1161"/>
        <v>0</v>
      </c>
      <c r="AO3375" s="498">
        <f t="shared" si="1162"/>
        <v>0</v>
      </c>
      <c r="AP3375" s="498">
        <f t="shared" si="1181"/>
        <v>0</v>
      </c>
      <c r="AQ3375" s="498">
        <f t="shared" si="1176"/>
        <v>0</v>
      </c>
      <c r="AU3375" s="498">
        <f t="shared" si="1163"/>
        <v>0</v>
      </c>
      <c r="AV3375" s="498">
        <f t="shared" si="1164"/>
        <v>0</v>
      </c>
      <c r="AW3375" s="498">
        <f t="shared" si="1165"/>
        <v>0</v>
      </c>
      <c r="AX3375" s="498">
        <f t="shared" si="1166"/>
        <v>0</v>
      </c>
      <c r="AY3375" s="498">
        <f t="shared" si="1167"/>
        <v>0</v>
      </c>
      <c r="BB3375" s="498" t="str">
        <f t="shared" si="1168"/>
        <v/>
      </c>
      <c r="BC3375" s="743" t="str">
        <f t="shared" si="1169"/>
        <v/>
      </c>
      <c r="BD3375" s="743" t="str">
        <f t="shared" si="1170"/>
        <v/>
      </c>
      <c r="BE3375" s="743" t="str">
        <f>IF(D3375="","",VLOOKUP(D3375,'General Basis'!$J$39:$K$46,2,0))</f>
        <v/>
      </c>
      <c r="BF3375" s="744" t="str">
        <f>IF(D3375="","",VLOOKUP(D3375,'General Basis'!$J$39:$L$46,3,0))</f>
        <v/>
      </c>
      <c r="BG3375" s="744" t="str">
        <f t="shared" si="1177"/>
        <v/>
      </c>
      <c r="BH3375" s="744" t="str">
        <f>IF(G3375="","",IF(BF3375="Abu Dhabi",IF(G3375&lt;18,'General Basis'!$C$39,IF(G3375&lt;41,'General Basis'!$C$40,IF(G3375&lt;60,'General Basis'!$C$41,IF(G3375&lt;65,'General Basis'!$C$42,'General Basis'!$C$43)))),IF(G3375&lt;11,'General Basis'!$B$39,IF(G3375&lt;18,'General Basis'!$B$40,IF(G3375&lt;26,'General Basis'!$B$41,IF(G3375&lt;31,'General Basis'!$B$42,IF(G3375&lt;36,'General Basis'!$B$43,IF(G3375&lt;41,'General Basis'!$B$44,IF(G3375&lt;46,'General Basis'!$B$45,IF(G3375&lt;51,'General Basis'!$B$46,IF(G3375&lt;56,'General Basis'!$B$47,IF(G3375&lt;60,'General Basis'!$B$48,IF(G3375&lt;65,'General Basis'!$B$49,'General Basis'!$B$50)))))))))))))</f>
        <v/>
      </c>
      <c r="BI3375" s="744" t="str">
        <f t="shared" si="1171"/>
        <v/>
      </c>
      <c r="BJ3375" s="747" t="str">
        <f t="shared" si="1178"/>
        <v/>
      </c>
      <c r="BK3375" s="498" t="str">
        <f t="shared" si="1172"/>
        <v/>
      </c>
      <c r="BL3375" s="498" t="str">
        <f t="shared" si="1173"/>
        <v/>
      </c>
    </row>
    <row r="3376" spans="1:64" x14ac:dyDescent="0.25">
      <c r="A3376" s="762">
        <f t="shared" si="1174"/>
        <v>3371</v>
      </c>
      <c r="B3376" s="229"/>
      <c r="C3376" s="223"/>
      <c r="D3376" s="224"/>
      <c r="E3376" s="225"/>
      <c r="F3376" s="1036" t="str">
        <f t="shared" si="1180"/>
        <v/>
      </c>
      <c r="G3376" s="1037" t="str">
        <f t="shared" si="1175"/>
        <v/>
      </c>
      <c r="H3376" s="225"/>
      <c r="I3376" s="1013"/>
      <c r="J3376" s="1013"/>
      <c r="K3376" s="1028"/>
      <c r="L3376" s="1035" t="str">
        <f t="shared" si="1179"/>
        <v/>
      </c>
      <c r="S3376" s="498"/>
      <c r="AJ3376" s="498"/>
      <c r="AM3376" s="498">
        <f t="shared" si="1160"/>
        <v>0</v>
      </c>
      <c r="AN3376" s="498">
        <f t="shared" si="1161"/>
        <v>0</v>
      </c>
      <c r="AO3376" s="498">
        <f t="shared" si="1162"/>
        <v>0</v>
      </c>
      <c r="AP3376" s="498">
        <f t="shared" si="1181"/>
        <v>0</v>
      </c>
      <c r="AQ3376" s="498">
        <f t="shared" si="1176"/>
        <v>0</v>
      </c>
      <c r="AU3376" s="498">
        <f t="shared" si="1163"/>
        <v>0</v>
      </c>
      <c r="AV3376" s="498">
        <f t="shared" si="1164"/>
        <v>0</v>
      </c>
      <c r="AW3376" s="498">
        <f t="shared" si="1165"/>
        <v>0</v>
      </c>
      <c r="AX3376" s="498">
        <f t="shared" si="1166"/>
        <v>0</v>
      </c>
      <c r="AY3376" s="498">
        <f t="shared" si="1167"/>
        <v>0</v>
      </c>
      <c r="BB3376" s="498" t="str">
        <f t="shared" si="1168"/>
        <v/>
      </c>
      <c r="BC3376" s="743" t="str">
        <f t="shared" si="1169"/>
        <v/>
      </c>
      <c r="BD3376" s="743" t="str">
        <f t="shared" si="1170"/>
        <v/>
      </c>
      <c r="BE3376" s="743" t="str">
        <f>IF(D3376="","",VLOOKUP(D3376,'General Basis'!$J$39:$K$46,2,0))</f>
        <v/>
      </c>
      <c r="BF3376" s="744" t="str">
        <f>IF(D3376="","",VLOOKUP(D3376,'General Basis'!$J$39:$L$46,3,0))</f>
        <v/>
      </c>
      <c r="BG3376" s="744" t="str">
        <f t="shared" si="1177"/>
        <v/>
      </c>
      <c r="BH3376" s="744" t="str">
        <f>IF(G3376="","",IF(BF3376="Abu Dhabi",IF(G3376&lt;18,'General Basis'!$C$39,IF(G3376&lt;41,'General Basis'!$C$40,IF(G3376&lt;60,'General Basis'!$C$41,IF(G3376&lt;65,'General Basis'!$C$42,'General Basis'!$C$43)))),IF(G3376&lt;11,'General Basis'!$B$39,IF(G3376&lt;18,'General Basis'!$B$40,IF(G3376&lt;26,'General Basis'!$B$41,IF(G3376&lt;31,'General Basis'!$B$42,IF(G3376&lt;36,'General Basis'!$B$43,IF(G3376&lt;41,'General Basis'!$B$44,IF(G3376&lt;46,'General Basis'!$B$45,IF(G3376&lt;51,'General Basis'!$B$46,IF(G3376&lt;56,'General Basis'!$B$47,IF(G3376&lt;60,'General Basis'!$B$48,IF(G3376&lt;65,'General Basis'!$B$49,'General Basis'!$B$50)))))))))))))</f>
        <v/>
      </c>
      <c r="BI3376" s="744" t="str">
        <f t="shared" si="1171"/>
        <v/>
      </c>
      <c r="BJ3376" s="747" t="str">
        <f t="shared" si="1178"/>
        <v/>
      </c>
      <c r="BK3376" s="498" t="str">
        <f t="shared" si="1172"/>
        <v/>
      </c>
      <c r="BL3376" s="498" t="str">
        <f t="shared" si="1173"/>
        <v/>
      </c>
    </row>
    <row r="3377" spans="1:64" x14ac:dyDescent="0.25">
      <c r="A3377" s="762">
        <f t="shared" si="1174"/>
        <v>3372</v>
      </c>
      <c r="B3377" s="229"/>
      <c r="C3377" s="223"/>
      <c r="D3377" s="224"/>
      <c r="E3377" s="225"/>
      <c r="F3377" s="1036" t="str">
        <f t="shared" si="1180"/>
        <v/>
      </c>
      <c r="G3377" s="1037" t="str">
        <f t="shared" si="1175"/>
        <v/>
      </c>
      <c r="H3377" s="225"/>
      <c r="I3377" s="1013"/>
      <c r="J3377" s="1013"/>
      <c r="K3377" s="1028"/>
      <c r="L3377" s="1035" t="str">
        <f t="shared" si="1179"/>
        <v/>
      </c>
      <c r="S3377" s="498"/>
      <c r="AJ3377" s="498"/>
      <c r="AM3377" s="498">
        <f t="shared" si="1160"/>
        <v>0</v>
      </c>
      <c r="AN3377" s="498">
        <f t="shared" si="1161"/>
        <v>0</v>
      </c>
      <c r="AO3377" s="498">
        <f t="shared" si="1162"/>
        <v>0</v>
      </c>
      <c r="AP3377" s="498">
        <f t="shared" si="1181"/>
        <v>0</v>
      </c>
      <c r="AQ3377" s="498">
        <f t="shared" si="1176"/>
        <v>0</v>
      </c>
      <c r="AU3377" s="498">
        <f t="shared" si="1163"/>
        <v>0</v>
      </c>
      <c r="AV3377" s="498">
        <f t="shared" si="1164"/>
        <v>0</v>
      </c>
      <c r="AW3377" s="498">
        <f t="shared" si="1165"/>
        <v>0</v>
      </c>
      <c r="AX3377" s="498">
        <f t="shared" si="1166"/>
        <v>0</v>
      </c>
      <c r="AY3377" s="498">
        <f t="shared" si="1167"/>
        <v>0</v>
      </c>
      <c r="BB3377" s="498" t="str">
        <f t="shared" si="1168"/>
        <v/>
      </c>
      <c r="BC3377" s="743" t="str">
        <f t="shared" si="1169"/>
        <v/>
      </c>
      <c r="BD3377" s="743" t="str">
        <f t="shared" si="1170"/>
        <v/>
      </c>
      <c r="BE3377" s="743" t="str">
        <f>IF(D3377="","",VLOOKUP(D3377,'General Basis'!$J$39:$K$46,2,0))</f>
        <v/>
      </c>
      <c r="BF3377" s="744" t="str">
        <f>IF(D3377="","",VLOOKUP(D3377,'General Basis'!$J$39:$L$46,3,0))</f>
        <v/>
      </c>
      <c r="BG3377" s="744" t="str">
        <f t="shared" si="1177"/>
        <v/>
      </c>
      <c r="BH3377" s="744" t="str">
        <f>IF(G3377="","",IF(BF3377="Abu Dhabi",IF(G3377&lt;18,'General Basis'!$C$39,IF(G3377&lt;41,'General Basis'!$C$40,IF(G3377&lt;60,'General Basis'!$C$41,IF(G3377&lt;65,'General Basis'!$C$42,'General Basis'!$C$43)))),IF(G3377&lt;11,'General Basis'!$B$39,IF(G3377&lt;18,'General Basis'!$B$40,IF(G3377&lt;26,'General Basis'!$B$41,IF(G3377&lt;31,'General Basis'!$B$42,IF(G3377&lt;36,'General Basis'!$B$43,IF(G3377&lt;41,'General Basis'!$B$44,IF(G3377&lt;46,'General Basis'!$B$45,IF(G3377&lt;51,'General Basis'!$B$46,IF(G3377&lt;56,'General Basis'!$B$47,IF(G3377&lt;60,'General Basis'!$B$48,IF(G3377&lt;65,'General Basis'!$B$49,'General Basis'!$B$50)))))))))))))</f>
        <v/>
      </c>
      <c r="BI3377" s="744" t="str">
        <f t="shared" si="1171"/>
        <v/>
      </c>
      <c r="BJ3377" s="747" t="str">
        <f t="shared" si="1178"/>
        <v/>
      </c>
      <c r="BK3377" s="498" t="str">
        <f t="shared" si="1172"/>
        <v/>
      </c>
      <c r="BL3377" s="498" t="str">
        <f t="shared" si="1173"/>
        <v/>
      </c>
    </row>
    <row r="3378" spans="1:64" x14ac:dyDescent="0.25">
      <c r="A3378" s="762">
        <f t="shared" si="1174"/>
        <v>3373</v>
      </c>
      <c r="B3378" s="229"/>
      <c r="C3378" s="223"/>
      <c r="D3378" s="224"/>
      <c r="E3378" s="225"/>
      <c r="F3378" s="1036" t="str">
        <f t="shared" si="1180"/>
        <v/>
      </c>
      <c r="G3378" s="1037" t="str">
        <f t="shared" si="1175"/>
        <v/>
      </c>
      <c r="H3378" s="225"/>
      <c r="I3378" s="1013"/>
      <c r="J3378" s="1013"/>
      <c r="K3378" s="1028"/>
      <c r="L3378" s="1035" t="str">
        <f t="shared" si="1179"/>
        <v/>
      </c>
      <c r="S3378" s="498"/>
      <c r="AJ3378" s="498"/>
      <c r="AM3378" s="498">
        <f t="shared" si="1160"/>
        <v>0</v>
      </c>
      <c r="AN3378" s="498">
        <f t="shared" si="1161"/>
        <v>0</v>
      </c>
      <c r="AO3378" s="498">
        <f t="shared" si="1162"/>
        <v>0</v>
      </c>
      <c r="AP3378" s="498">
        <f t="shared" si="1181"/>
        <v>0</v>
      </c>
      <c r="AQ3378" s="498">
        <f t="shared" si="1176"/>
        <v>0</v>
      </c>
      <c r="AU3378" s="498">
        <f t="shared" si="1163"/>
        <v>0</v>
      </c>
      <c r="AV3378" s="498">
        <f t="shared" si="1164"/>
        <v>0</v>
      </c>
      <c r="AW3378" s="498">
        <f t="shared" si="1165"/>
        <v>0</v>
      </c>
      <c r="AX3378" s="498">
        <f t="shared" si="1166"/>
        <v>0</v>
      </c>
      <c r="AY3378" s="498">
        <f t="shared" si="1167"/>
        <v>0</v>
      </c>
      <c r="BB3378" s="498" t="str">
        <f t="shared" si="1168"/>
        <v/>
      </c>
      <c r="BC3378" s="743" t="str">
        <f t="shared" si="1169"/>
        <v/>
      </c>
      <c r="BD3378" s="743" t="str">
        <f t="shared" si="1170"/>
        <v/>
      </c>
      <c r="BE3378" s="743" t="str">
        <f>IF(D3378="","",VLOOKUP(D3378,'General Basis'!$J$39:$K$46,2,0))</f>
        <v/>
      </c>
      <c r="BF3378" s="744" t="str">
        <f>IF(D3378="","",VLOOKUP(D3378,'General Basis'!$J$39:$L$46,3,0))</f>
        <v/>
      </c>
      <c r="BG3378" s="744" t="str">
        <f t="shared" si="1177"/>
        <v/>
      </c>
      <c r="BH3378" s="744" t="str">
        <f>IF(G3378="","",IF(BF3378="Abu Dhabi",IF(G3378&lt;18,'General Basis'!$C$39,IF(G3378&lt;41,'General Basis'!$C$40,IF(G3378&lt;60,'General Basis'!$C$41,IF(G3378&lt;65,'General Basis'!$C$42,'General Basis'!$C$43)))),IF(G3378&lt;11,'General Basis'!$B$39,IF(G3378&lt;18,'General Basis'!$B$40,IF(G3378&lt;26,'General Basis'!$B$41,IF(G3378&lt;31,'General Basis'!$B$42,IF(G3378&lt;36,'General Basis'!$B$43,IF(G3378&lt;41,'General Basis'!$B$44,IF(G3378&lt;46,'General Basis'!$B$45,IF(G3378&lt;51,'General Basis'!$B$46,IF(G3378&lt;56,'General Basis'!$B$47,IF(G3378&lt;60,'General Basis'!$B$48,IF(G3378&lt;65,'General Basis'!$B$49,'General Basis'!$B$50)))))))))))))</f>
        <v/>
      </c>
      <c r="BI3378" s="744" t="str">
        <f t="shared" si="1171"/>
        <v/>
      </c>
      <c r="BJ3378" s="747" t="str">
        <f t="shared" si="1178"/>
        <v/>
      </c>
      <c r="BK3378" s="498" t="str">
        <f t="shared" si="1172"/>
        <v/>
      </c>
      <c r="BL3378" s="498" t="str">
        <f t="shared" si="1173"/>
        <v/>
      </c>
    </row>
    <row r="3379" spans="1:64" x14ac:dyDescent="0.25">
      <c r="A3379" s="762">
        <f t="shared" si="1174"/>
        <v>3374</v>
      </c>
      <c r="B3379" s="229"/>
      <c r="C3379" s="223"/>
      <c r="D3379" s="224"/>
      <c r="E3379" s="225"/>
      <c r="F3379" s="1036" t="str">
        <f t="shared" si="1180"/>
        <v/>
      </c>
      <c r="G3379" s="1037" t="str">
        <f t="shared" si="1175"/>
        <v/>
      </c>
      <c r="H3379" s="225"/>
      <c r="I3379" s="1013"/>
      <c r="J3379" s="1013"/>
      <c r="K3379" s="1028"/>
      <c r="L3379" s="1035" t="str">
        <f t="shared" si="1179"/>
        <v/>
      </c>
      <c r="S3379" s="498"/>
      <c r="AJ3379" s="498"/>
      <c r="AM3379" s="498">
        <f t="shared" si="1160"/>
        <v>0</v>
      </c>
      <c r="AN3379" s="498">
        <f t="shared" si="1161"/>
        <v>0</v>
      </c>
      <c r="AO3379" s="498">
        <f t="shared" si="1162"/>
        <v>0</v>
      </c>
      <c r="AP3379" s="498">
        <f t="shared" si="1181"/>
        <v>0</v>
      </c>
      <c r="AQ3379" s="498">
        <f t="shared" si="1176"/>
        <v>0</v>
      </c>
      <c r="AU3379" s="498">
        <f t="shared" si="1163"/>
        <v>0</v>
      </c>
      <c r="AV3379" s="498">
        <f t="shared" si="1164"/>
        <v>0</v>
      </c>
      <c r="AW3379" s="498">
        <f t="shared" si="1165"/>
        <v>0</v>
      </c>
      <c r="AX3379" s="498">
        <f t="shared" si="1166"/>
        <v>0</v>
      </c>
      <c r="AY3379" s="498">
        <f t="shared" si="1167"/>
        <v>0</v>
      </c>
      <c r="BB3379" s="498" t="str">
        <f t="shared" si="1168"/>
        <v/>
      </c>
      <c r="BC3379" s="743" t="str">
        <f t="shared" si="1169"/>
        <v/>
      </c>
      <c r="BD3379" s="743" t="str">
        <f t="shared" si="1170"/>
        <v/>
      </c>
      <c r="BE3379" s="743" t="str">
        <f>IF(D3379="","",VLOOKUP(D3379,'General Basis'!$J$39:$K$46,2,0))</f>
        <v/>
      </c>
      <c r="BF3379" s="744" t="str">
        <f>IF(D3379="","",VLOOKUP(D3379,'General Basis'!$J$39:$L$46,3,0))</f>
        <v/>
      </c>
      <c r="BG3379" s="744" t="str">
        <f t="shared" si="1177"/>
        <v/>
      </c>
      <c r="BH3379" s="744" t="str">
        <f>IF(G3379="","",IF(BF3379="Abu Dhabi",IF(G3379&lt;18,'General Basis'!$C$39,IF(G3379&lt;41,'General Basis'!$C$40,IF(G3379&lt;60,'General Basis'!$C$41,IF(G3379&lt;65,'General Basis'!$C$42,'General Basis'!$C$43)))),IF(G3379&lt;11,'General Basis'!$B$39,IF(G3379&lt;18,'General Basis'!$B$40,IF(G3379&lt;26,'General Basis'!$B$41,IF(G3379&lt;31,'General Basis'!$B$42,IF(G3379&lt;36,'General Basis'!$B$43,IF(G3379&lt;41,'General Basis'!$B$44,IF(G3379&lt;46,'General Basis'!$B$45,IF(G3379&lt;51,'General Basis'!$B$46,IF(G3379&lt;56,'General Basis'!$B$47,IF(G3379&lt;60,'General Basis'!$B$48,IF(G3379&lt;65,'General Basis'!$B$49,'General Basis'!$B$50)))))))))))))</f>
        <v/>
      </c>
      <c r="BI3379" s="744" t="str">
        <f t="shared" si="1171"/>
        <v/>
      </c>
      <c r="BJ3379" s="747" t="str">
        <f t="shared" si="1178"/>
        <v/>
      </c>
      <c r="BK3379" s="498" t="str">
        <f t="shared" si="1172"/>
        <v/>
      </c>
      <c r="BL3379" s="498" t="str">
        <f t="shared" si="1173"/>
        <v/>
      </c>
    </row>
    <row r="3380" spans="1:64" x14ac:dyDescent="0.25">
      <c r="A3380" s="762">
        <f t="shared" si="1174"/>
        <v>3375</v>
      </c>
      <c r="B3380" s="229"/>
      <c r="C3380" s="223"/>
      <c r="D3380" s="224"/>
      <c r="E3380" s="225"/>
      <c r="F3380" s="1036" t="str">
        <f t="shared" si="1180"/>
        <v/>
      </c>
      <c r="G3380" s="1037" t="str">
        <f t="shared" si="1175"/>
        <v/>
      </c>
      <c r="H3380" s="225"/>
      <c r="I3380" s="1013"/>
      <c r="J3380" s="1013"/>
      <c r="K3380" s="1028"/>
      <c r="L3380" s="1035" t="str">
        <f t="shared" si="1179"/>
        <v/>
      </c>
      <c r="S3380" s="498"/>
      <c r="AJ3380" s="498"/>
      <c r="AM3380" s="498">
        <f t="shared" si="1160"/>
        <v>0</v>
      </c>
      <c r="AN3380" s="498">
        <f t="shared" si="1161"/>
        <v>0</v>
      </c>
      <c r="AO3380" s="498">
        <f t="shared" si="1162"/>
        <v>0</v>
      </c>
      <c r="AP3380" s="498">
        <f t="shared" si="1181"/>
        <v>0</v>
      </c>
      <c r="AQ3380" s="498">
        <f t="shared" si="1176"/>
        <v>0</v>
      </c>
      <c r="AU3380" s="498">
        <f t="shared" si="1163"/>
        <v>0</v>
      </c>
      <c r="AV3380" s="498">
        <f t="shared" si="1164"/>
        <v>0</v>
      </c>
      <c r="AW3380" s="498">
        <f t="shared" si="1165"/>
        <v>0</v>
      </c>
      <c r="AX3380" s="498">
        <f t="shared" si="1166"/>
        <v>0</v>
      </c>
      <c r="AY3380" s="498">
        <f t="shared" si="1167"/>
        <v>0</v>
      </c>
      <c r="BB3380" s="498" t="str">
        <f t="shared" si="1168"/>
        <v/>
      </c>
      <c r="BC3380" s="743" t="str">
        <f t="shared" si="1169"/>
        <v/>
      </c>
      <c r="BD3380" s="743" t="str">
        <f t="shared" si="1170"/>
        <v/>
      </c>
      <c r="BE3380" s="743" t="str">
        <f>IF(D3380="","",VLOOKUP(D3380,'General Basis'!$J$39:$K$46,2,0))</f>
        <v/>
      </c>
      <c r="BF3380" s="744" t="str">
        <f>IF(D3380="","",VLOOKUP(D3380,'General Basis'!$J$39:$L$46,3,0))</f>
        <v/>
      </c>
      <c r="BG3380" s="744" t="str">
        <f t="shared" si="1177"/>
        <v/>
      </c>
      <c r="BH3380" s="744" t="str">
        <f>IF(G3380="","",IF(BF3380="Abu Dhabi",IF(G3380&lt;18,'General Basis'!$C$39,IF(G3380&lt;41,'General Basis'!$C$40,IF(G3380&lt;60,'General Basis'!$C$41,IF(G3380&lt;65,'General Basis'!$C$42,'General Basis'!$C$43)))),IF(G3380&lt;11,'General Basis'!$B$39,IF(G3380&lt;18,'General Basis'!$B$40,IF(G3380&lt;26,'General Basis'!$B$41,IF(G3380&lt;31,'General Basis'!$B$42,IF(G3380&lt;36,'General Basis'!$B$43,IF(G3380&lt;41,'General Basis'!$B$44,IF(G3380&lt;46,'General Basis'!$B$45,IF(G3380&lt;51,'General Basis'!$B$46,IF(G3380&lt;56,'General Basis'!$B$47,IF(G3380&lt;60,'General Basis'!$B$48,IF(G3380&lt;65,'General Basis'!$B$49,'General Basis'!$B$50)))))))))))))</f>
        <v/>
      </c>
      <c r="BI3380" s="744" t="str">
        <f t="shared" si="1171"/>
        <v/>
      </c>
      <c r="BJ3380" s="747" t="str">
        <f t="shared" si="1178"/>
        <v/>
      </c>
      <c r="BK3380" s="498" t="str">
        <f t="shared" si="1172"/>
        <v/>
      </c>
      <c r="BL3380" s="498" t="str">
        <f t="shared" si="1173"/>
        <v/>
      </c>
    </row>
    <row r="3381" spans="1:64" x14ac:dyDescent="0.25">
      <c r="A3381" s="762">
        <f t="shared" si="1174"/>
        <v>3376</v>
      </c>
      <c r="B3381" s="229"/>
      <c r="C3381" s="223"/>
      <c r="D3381" s="224"/>
      <c r="E3381" s="225"/>
      <c r="F3381" s="1036" t="str">
        <f t="shared" si="1180"/>
        <v/>
      </c>
      <c r="G3381" s="1037" t="str">
        <f t="shared" si="1175"/>
        <v/>
      </c>
      <c r="H3381" s="225"/>
      <c r="I3381" s="1013"/>
      <c r="J3381" s="1013"/>
      <c r="K3381" s="1028"/>
      <c r="L3381" s="1035" t="str">
        <f t="shared" si="1179"/>
        <v/>
      </c>
      <c r="S3381" s="498"/>
      <c r="AJ3381" s="498"/>
      <c r="AM3381" s="498">
        <f t="shared" si="1160"/>
        <v>0</v>
      </c>
      <c r="AN3381" s="498">
        <f t="shared" si="1161"/>
        <v>0</v>
      </c>
      <c r="AO3381" s="498">
        <f t="shared" si="1162"/>
        <v>0</v>
      </c>
      <c r="AP3381" s="498">
        <f t="shared" si="1181"/>
        <v>0</v>
      </c>
      <c r="AQ3381" s="498">
        <f t="shared" si="1176"/>
        <v>0</v>
      </c>
      <c r="AU3381" s="498">
        <f t="shared" si="1163"/>
        <v>0</v>
      </c>
      <c r="AV3381" s="498">
        <f t="shared" si="1164"/>
        <v>0</v>
      </c>
      <c r="AW3381" s="498">
        <f t="shared" si="1165"/>
        <v>0</v>
      </c>
      <c r="AX3381" s="498">
        <f t="shared" si="1166"/>
        <v>0</v>
      </c>
      <c r="AY3381" s="498">
        <f t="shared" si="1167"/>
        <v>0</v>
      </c>
      <c r="BB3381" s="498" t="str">
        <f t="shared" si="1168"/>
        <v/>
      </c>
      <c r="BC3381" s="743" t="str">
        <f t="shared" si="1169"/>
        <v/>
      </c>
      <c r="BD3381" s="743" t="str">
        <f t="shared" si="1170"/>
        <v/>
      </c>
      <c r="BE3381" s="743" t="str">
        <f>IF(D3381="","",VLOOKUP(D3381,'General Basis'!$J$39:$K$46,2,0))</f>
        <v/>
      </c>
      <c r="BF3381" s="744" t="str">
        <f>IF(D3381="","",VLOOKUP(D3381,'General Basis'!$J$39:$L$46,3,0))</f>
        <v/>
      </c>
      <c r="BG3381" s="744" t="str">
        <f t="shared" si="1177"/>
        <v/>
      </c>
      <c r="BH3381" s="744" t="str">
        <f>IF(G3381="","",IF(BF3381="Abu Dhabi",IF(G3381&lt;18,'General Basis'!$C$39,IF(G3381&lt;41,'General Basis'!$C$40,IF(G3381&lt;60,'General Basis'!$C$41,IF(G3381&lt;65,'General Basis'!$C$42,'General Basis'!$C$43)))),IF(G3381&lt;11,'General Basis'!$B$39,IF(G3381&lt;18,'General Basis'!$B$40,IF(G3381&lt;26,'General Basis'!$B$41,IF(G3381&lt;31,'General Basis'!$B$42,IF(G3381&lt;36,'General Basis'!$B$43,IF(G3381&lt;41,'General Basis'!$B$44,IF(G3381&lt;46,'General Basis'!$B$45,IF(G3381&lt;51,'General Basis'!$B$46,IF(G3381&lt;56,'General Basis'!$B$47,IF(G3381&lt;60,'General Basis'!$B$48,IF(G3381&lt;65,'General Basis'!$B$49,'General Basis'!$B$50)))))))))))))</f>
        <v/>
      </c>
      <c r="BI3381" s="744" t="str">
        <f t="shared" si="1171"/>
        <v/>
      </c>
      <c r="BJ3381" s="747" t="str">
        <f t="shared" si="1178"/>
        <v/>
      </c>
      <c r="BK3381" s="498" t="str">
        <f t="shared" si="1172"/>
        <v/>
      </c>
      <c r="BL3381" s="498" t="str">
        <f t="shared" si="1173"/>
        <v/>
      </c>
    </row>
    <row r="3382" spans="1:64" x14ac:dyDescent="0.25">
      <c r="A3382" s="762">
        <f t="shared" si="1174"/>
        <v>3377</v>
      </c>
      <c r="B3382" s="229"/>
      <c r="C3382" s="223"/>
      <c r="D3382" s="224"/>
      <c r="E3382" s="225"/>
      <c r="F3382" s="1036" t="str">
        <f t="shared" si="1180"/>
        <v/>
      </c>
      <c r="G3382" s="1037" t="str">
        <f t="shared" si="1175"/>
        <v/>
      </c>
      <c r="H3382" s="225"/>
      <c r="I3382" s="1013"/>
      <c r="J3382" s="1013"/>
      <c r="K3382" s="1028"/>
      <c r="L3382" s="1035" t="str">
        <f t="shared" si="1179"/>
        <v/>
      </c>
      <c r="S3382" s="498"/>
      <c r="AJ3382" s="498"/>
      <c r="AM3382" s="498">
        <f t="shared" si="1160"/>
        <v>0</v>
      </c>
      <c r="AN3382" s="498">
        <f t="shared" si="1161"/>
        <v>0</v>
      </c>
      <c r="AO3382" s="498">
        <f t="shared" si="1162"/>
        <v>0</v>
      </c>
      <c r="AP3382" s="498">
        <f t="shared" si="1181"/>
        <v>0</v>
      </c>
      <c r="AQ3382" s="498">
        <f t="shared" si="1176"/>
        <v>0</v>
      </c>
      <c r="AU3382" s="498">
        <f t="shared" si="1163"/>
        <v>0</v>
      </c>
      <c r="AV3382" s="498">
        <f t="shared" si="1164"/>
        <v>0</v>
      </c>
      <c r="AW3382" s="498">
        <f t="shared" si="1165"/>
        <v>0</v>
      </c>
      <c r="AX3382" s="498">
        <f t="shared" si="1166"/>
        <v>0</v>
      </c>
      <c r="AY3382" s="498">
        <f t="shared" si="1167"/>
        <v>0</v>
      </c>
      <c r="BB3382" s="498" t="str">
        <f t="shared" si="1168"/>
        <v/>
      </c>
      <c r="BC3382" s="743" t="str">
        <f t="shared" si="1169"/>
        <v/>
      </c>
      <c r="BD3382" s="743" t="str">
        <f t="shared" si="1170"/>
        <v/>
      </c>
      <c r="BE3382" s="743" t="str">
        <f>IF(D3382="","",VLOOKUP(D3382,'General Basis'!$J$39:$K$46,2,0))</f>
        <v/>
      </c>
      <c r="BF3382" s="744" t="str">
        <f>IF(D3382="","",VLOOKUP(D3382,'General Basis'!$J$39:$L$46,3,0))</f>
        <v/>
      </c>
      <c r="BG3382" s="744" t="str">
        <f t="shared" si="1177"/>
        <v/>
      </c>
      <c r="BH3382" s="744" t="str">
        <f>IF(G3382="","",IF(BF3382="Abu Dhabi",IF(G3382&lt;18,'General Basis'!$C$39,IF(G3382&lt;41,'General Basis'!$C$40,IF(G3382&lt;60,'General Basis'!$C$41,IF(G3382&lt;65,'General Basis'!$C$42,'General Basis'!$C$43)))),IF(G3382&lt;11,'General Basis'!$B$39,IF(G3382&lt;18,'General Basis'!$B$40,IF(G3382&lt;26,'General Basis'!$B$41,IF(G3382&lt;31,'General Basis'!$B$42,IF(G3382&lt;36,'General Basis'!$B$43,IF(G3382&lt;41,'General Basis'!$B$44,IF(G3382&lt;46,'General Basis'!$B$45,IF(G3382&lt;51,'General Basis'!$B$46,IF(G3382&lt;56,'General Basis'!$B$47,IF(G3382&lt;60,'General Basis'!$B$48,IF(G3382&lt;65,'General Basis'!$B$49,'General Basis'!$B$50)))))))))))))</f>
        <v/>
      </c>
      <c r="BI3382" s="744" t="str">
        <f t="shared" si="1171"/>
        <v/>
      </c>
      <c r="BJ3382" s="747" t="str">
        <f t="shared" si="1178"/>
        <v/>
      </c>
      <c r="BK3382" s="498" t="str">
        <f t="shared" si="1172"/>
        <v/>
      </c>
      <c r="BL3382" s="498" t="str">
        <f t="shared" si="1173"/>
        <v/>
      </c>
    </row>
    <row r="3383" spans="1:64" x14ac:dyDescent="0.25">
      <c r="A3383" s="762">
        <f t="shared" si="1174"/>
        <v>3378</v>
      </c>
      <c r="B3383" s="229"/>
      <c r="C3383" s="223"/>
      <c r="D3383" s="224"/>
      <c r="E3383" s="225"/>
      <c r="F3383" s="1036" t="str">
        <f t="shared" si="1180"/>
        <v/>
      </c>
      <c r="G3383" s="1037" t="str">
        <f t="shared" si="1175"/>
        <v/>
      </c>
      <c r="H3383" s="225"/>
      <c r="I3383" s="1013"/>
      <c r="J3383" s="1013"/>
      <c r="K3383" s="1028"/>
      <c r="L3383" s="1035" t="str">
        <f t="shared" si="1179"/>
        <v/>
      </c>
      <c r="S3383" s="498"/>
      <c r="AJ3383" s="498"/>
      <c r="AM3383" s="498">
        <f t="shared" si="1160"/>
        <v>0</v>
      </c>
      <c r="AN3383" s="498">
        <f t="shared" si="1161"/>
        <v>0</v>
      </c>
      <c r="AO3383" s="498">
        <f t="shared" si="1162"/>
        <v>0</v>
      </c>
      <c r="AP3383" s="498">
        <f t="shared" si="1181"/>
        <v>0</v>
      </c>
      <c r="AQ3383" s="498">
        <f t="shared" si="1176"/>
        <v>0</v>
      </c>
      <c r="AU3383" s="498">
        <f t="shared" si="1163"/>
        <v>0</v>
      </c>
      <c r="AV3383" s="498">
        <f t="shared" si="1164"/>
        <v>0</v>
      </c>
      <c r="AW3383" s="498">
        <f t="shared" si="1165"/>
        <v>0</v>
      </c>
      <c r="AX3383" s="498">
        <f t="shared" si="1166"/>
        <v>0</v>
      </c>
      <c r="AY3383" s="498">
        <f t="shared" si="1167"/>
        <v>0</v>
      </c>
      <c r="BB3383" s="498" t="str">
        <f t="shared" si="1168"/>
        <v/>
      </c>
      <c r="BC3383" s="743" t="str">
        <f t="shared" si="1169"/>
        <v/>
      </c>
      <c r="BD3383" s="743" t="str">
        <f t="shared" si="1170"/>
        <v/>
      </c>
      <c r="BE3383" s="743" t="str">
        <f>IF(D3383="","",VLOOKUP(D3383,'General Basis'!$J$39:$K$46,2,0))</f>
        <v/>
      </c>
      <c r="BF3383" s="744" t="str">
        <f>IF(D3383="","",VLOOKUP(D3383,'General Basis'!$J$39:$L$46,3,0))</f>
        <v/>
      </c>
      <c r="BG3383" s="744" t="str">
        <f t="shared" si="1177"/>
        <v/>
      </c>
      <c r="BH3383" s="744" t="str">
        <f>IF(G3383="","",IF(BF3383="Abu Dhabi",IF(G3383&lt;18,'General Basis'!$C$39,IF(G3383&lt;41,'General Basis'!$C$40,IF(G3383&lt;60,'General Basis'!$C$41,IF(G3383&lt;65,'General Basis'!$C$42,'General Basis'!$C$43)))),IF(G3383&lt;11,'General Basis'!$B$39,IF(G3383&lt;18,'General Basis'!$B$40,IF(G3383&lt;26,'General Basis'!$B$41,IF(G3383&lt;31,'General Basis'!$B$42,IF(G3383&lt;36,'General Basis'!$B$43,IF(G3383&lt;41,'General Basis'!$B$44,IF(G3383&lt;46,'General Basis'!$B$45,IF(G3383&lt;51,'General Basis'!$B$46,IF(G3383&lt;56,'General Basis'!$B$47,IF(G3383&lt;60,'General Basis'!$B$48,IF(G3383&lt;65,'General Basis'!$B$49,'General Basis'!$B$50)))))))))))))</f>
        <v/>
      </c>
      <c r="BI3383" s="744" t="str">
        <f t="shared" si="1171"/>
        <v/>
      </c>
      <c r="BJ3383" s="747" t="str">
        <f t="shared" si="1178"/>
        <v/>
      </c>
      <c r="BK3383" s="498" t="str">
        <f t="shared" si="1172"/>
        <v/>
      </c>
      <c r="BL3383" s="498" t="str">
        <f t="shared" si="1173"/>
        <v/>
      </c>
    </row>
    <row r="3384" spans="1:64" x14ac:dyDescent="0.25">
      <c r="A3384" s="762">
        <f t="shared" si="1174"/>
        <v>3379</v>
      </c>
      <c r="B3384" s="229"/>
      <c r="C3384" s="223"/>
      <c r="D3384" s="224"/>
      <c r="E3384" s="225"/>
      <c r="F3384" s="1036" t="str">
        <f t="shared" si="1180"/>
        <v/>
      </c>
      <c r="G3384" s="1037" t="str">
        <f t="shared" si="1175"/>
        <v/>
      </c>
      <c r="H3384" s="225"/>
      <c r="I3384" s="1013"/>
      <c r="J3384" s="1013"/>
      <c r="K3384" s="1028"/>
      <c r="L3384" s="1035" t="str">
        <f t="shared" si="1179"/>
        <v/>
      </c>
      <c r="S3384" s="498"/>
      <c r="AJ3384" s="498"/>
      <c r="AM3384" s="498">
        <f t="shared" si="1160"/>
        <v>0</v>
      </c>
      <c r="AN3384" s="498">
        <f t="shared" si="1161"/>
        <v>0</v>
      </c>
      <c r="AO3384" s="498">
        <f t="shared" si="1162"/>
        <v>0</v>
      </c>
      <c r="AP3384" s="498">
        <f t="shared" si="1181"/>
        <v>0</v>
      </c>
      <c r="AQ3384" s="498">
        <f t="shared" si="1176"/>
        <v>0</v>
      </c>
      <c r="AU3384" s="498">
        <f t="shared" si="1163"/>
        <v>0</v>
      </c>
      <c r="AV3384" s="498">
        <f t="shared" si="1164"/>
        <v>0</v>
      </c>
      <c r="AW3384" s="498">
        <f t="shared" si="1165"/>
        <v>0</v>
      </c>
      <c r="AX3384" s="498">
        <f t="shared" si="1166"/>
        <v>0</v>
      </c>
      <c r="AY3384" s="498">
        <f t="shared" si="1167"/>
        <v>0</v>
      </c>
      <c r="BB3384" s="498" t="str">
        <f t="shared" si="1168"/>
        <v/>
      </c>
      <c r="BC3384" s="743" t="str">
        <f t="shared" si="1169"/>
        <v/>
      </c>
      <c r="BD3384" s="743" t="str">
        <f t="shared" si="1170"/>
        <v/>
      </c>
      <c r="BE3384" s="743" t="str">
        <f>IF(D3384="","",VLOOKUP(D3384,'General Basis'!$J$39:$K$46,2,0))</f>
        <v/>
      </c>
      <c r="BF3384" s="744" t="str">
        <f>IF(D3384="","",VLOOKUP(D3384,'General Basis'!$J$39:$L$46,3,0))</f>
        <v/>
      </c>
      <c r="BG3384" s="744" t="str">
        <f t="shared" si="1177"/>
        <v/>
      </c>
      <c r="BH3384" s="744" t="str">
        <f>IF(G3384="","",IF(BF3384="Abu Dhabi",IF(G3384&lt;18,'General Basis'!$C$39,IF(G3384&lt;41,'General Basis'!$C$40,IF(G3384&lt;60,'General Basis'!$C$41,IF(G3384&lt;65,'General Basis'!$C$42,'General Basis'!$C$43)))),IF(G3384&lt;11,'General Basis'!$B$39,IF(G3384&lt;18,'General Basis'!$B$40,IF(G3384&lt;26,'General Basis'!$B$41,IF(G3384&lt;31,'General Basis'!$B$42,IF(G3384&lt;36,'General Basis'!$B$43,IF(G3384&lt;41,'General Basis'!$B$44,IF(G3384&lt;46,'General Basis'!$B$45,IF(G3384&lt;51,'General Basis'!$B$46,IF(G3384&lt;56,'General Basis'!$B$47,IF(G3384&lt;60,'General Basis'!$B$48,IF(G3384&lt;65,'General Basis'!$B$49,'General Basis'!$B$50)))))))))))))</f>
        <v/>
      </c>
      <c r="BI3384" s="744" t="str">
        <f t="shared" si="1171"/>
        <v/>
      </c>
      <c r="BJ3384" s="747" t="str">
        <f t="shared" si="1178"/>
        <v/>
      </c>
      <c r="BK3384" s="498" t="str">
        <f t="shared" si="1172"/>
        <v/>
      </c>
      <c r="BL3384" s="498" t="str">
        <f t="shared" si="1173"/>
        <v/>
      </c>
    </row>
    <row r="3385" spans="1:64" x14ac:dyDescent="0.25">
      <c r="A3385" s="762">
        <f t="shared" si="1174"/>
        <v>3380</v>
      </c>
      <c r="B3385" s="229"/>
      <c r="C3385" s="223"/>
      <c r="D3385" s="224"/>
      <c r="E3385" s="225"/>
      <c r="F3385" s="1036" t="str">
        <f t="shared" si="1180"/>
        <v/>
      </c>
      <c r="G3385" s="1037" t="str">
        <f t="shared" si="1175"/>
        <v/>
      </c>
      <c r="H3385" s="225"/>
      <c r="I3385" s="1013"/>
      <c r="J3385" s="1013"/>
      <c r="K3385" s="1028"/>
      <c r="L3385" s="1035" t="str">
        <f t="shared" si="1179"/>
        <v/>
      </c>
      <c r="S3385" s="498"/>
      <c r="AJ3385" s="498"/>
      <c r="AM3385" s="498">
        <f t="shared" si="1160"/>
        <v>0</v>
      </c>
      <c r="AN3385" s="498">
        <f t="shared" si="1161"/>
        <v>0</v>
      </c>
      <c r="AO3385" s="498">
        <f t="shared" si="1162"/>
        <v>0</v>
      </c>
      <c r="AP3385" s="498">
        <f t="shared" si="1181"/>
        <v>0</v>
      </c>
      <c r="AQ3385" s="498">
        <f t="shared" si="1176"/>
        <v>0</v>
      </c>
      <c r="AU3385" s="498">
        <f t="shared" si="1163"/>
        <v>0</v>
      </c>
      <c r="AV3385" s="498">
        <f t="shared" si="1164"/>
        <v>0</v>
      </c>
      <c r="AW3385" s="498">
        <f t="shared" si="1165"/>
        <v>0</v>
      </c>
      <c r="AX3385" s="498">
        <f t="shared" si="1166"/>
        <v>0</v>
      </c>
      <c r="AY3385" s="498">
        <f t="shared" si="1167"/>
        <v>0</v>
      </c>
      <c r="BB3385" s="498" t="str">
        <f t="shared" si="1168"/>
        <v/>
      </c>
      <c r="BC3385" s="743" t="str">
        <f t="shared" si="1169"/>
        <v/>
      </c>
      <c r="BD3385" s="743" t="str">
        <f t="shared" si="1170"/>
        <v/>
      </c>
      <c r="BE3385" s="743" t="str">
        <f>IF(D3385="","",VLOOKUP(D3385,'General Basis'!$J$39:$K$46,2,0))</f>
        <v/>
      </c>
      <c r="BF3385" s="744" t="str">
        <f>IF(D3385="","",VLOOKUP(D3385,'General Basis'!$J$39:$L$46,3,0))</f>
        <v/>
      </c>
      <c r="BG3385" s="744" t="str">
        <f t="shared" si="1177"/>
        <v/>
      </c>
      <c r="BH3385" s="744" t="str">
        <f>IF(G3385="","",IF(BF3385="Abu Dhabi",IF(G3385&lt;18,'General Basis'!$C$39,IF(G3385&lt;41,'General Basis'!$C$40,IF(G3385&lt;60,'General Basis'!$C$41,IF(G3385&lt;65,'General Basis'!$C$42,'General Basis'!$C$43)))),IF(G3385&lt;11,'General Basis'!$B$39,IF(G3385&lt;18,'General Basis'!$B$40,IF(G3385&lt;26,'General Basis'!$B$41,IF(G3385&lt;31,'General Basis'!$B$42,IF(G3385&lt;36,'General Basis'!$B$43,IF(G3385&lt;41,'General Basis'!$B$44,IF(G3385&lt;46,'General Basis'!$B$45,IF(G3385&lt;51,'General Basis'!$B$46,IF(G3385&lt;56,'General Basis'!$B$47,IF(G3385&lt;60,'General Basis'!$B$48,IF(G3385&lt;65,'General Basis'!$B$49,'General Basis'!$B$50)))))))))))))</f>
        <v/>
      </c>
      <c r="BI3385" s="744" t="str">
        <f t="shared" si="1171"/>
        <v/>
      </c>
      <c r="BJ3385" s="747" t="str">
        <f t="shared" si="1178"/>
        <v/>
      </c>
      <c r="BK3385" s="498" t="str">
        <f t="shared" si="1172"/>
        <v/>
      </c>
      <c r="BL3385" s="498" t="str">
        <f t="shared" si="1173"/>
        <v/>
      </c>
    </row>
    <row r="3386" spans="1:64" x14ac:dyDescent="0.25">
      <c r="A3386" s="762">
        <f t="shared" si="1174"/>
        <v>3381</v>
      </c>
      <c r="B3386" s="229"/>
      <c r="C3386" s="223"/>
      <c r="D3386" s="224"/>
      <c r="E3386" s="225"/>
      <c r="F3386" s="1036" t="str">
        <f t="shared" si="1180"/>
        <v/>
      </c>
      <c r="G3386" s="1037" t="str">
        <f t="shared" si="1175"/>
        <v/>
      </c>
      <c r="H3386" s="225"/>
      <c r="I3386" s="1013"/>
      <c r="J3386" s="1013"/>
      <c r="K3386" s="1028"/>
      <c r="L3386" s="1035" t="str">
        <f t="shared" si="1179"/>
        <v/>
      </c>
      <c r="S3386" s="498"/>
      <c r="AJ3386" s="498"/>
      <c r="AM3386" s="498">
        <f t="shared" si="1160"/>
        <v>0</v>
      </c>
      <c r="AN3386" s="498">
        <f t="shared" si="1161"/>
        <v>0</v>
      </c>
      <c r="AO3386" s="498">
        <f t="shared" si="1162"/>
        <v>0</v>
      </c>
      <c r="AP3386" s="498">
        <f t="shared" si="1181"/>
        <v>0</v>
      </c>
      <c r="AQ3386" s="498">
        <f t="shared" si="1176"/>
        <v>0</v>
      </c>
      <c r="AU3386" s="498">
        <f t="shared" si="1163"/>
        <v>0</v>
      </c>
      <c r="AV3386" s="498">
        <f t="shared" si="1164"/>
        <v>0</v>
      </c>
      <c r="AW3386" s="498">
        <f t="shared" si="1165"/>
        <v>0</v>
      </c>
      <c r="AX3386" s="498">
        <f t="shared" si="1166"/>
        <v>0</v>
      </c>
      <c r="AY3386" s="498">
        <f t="shared" si="1167"/>
        <v>0</v>
      </c>
      <c r="BB3386" s="498" t="str">
        <f t="shared" si="1168"/>
        <v/>
      </c>
      <c r="BC3386" s="743" t="str">
        <f t="shared" si="1169"/>
        <v/>
      </c>
      <c r="BD3386" s="743" t="str">
        <f t="shared" si="1170"/>
        <v/>
      </c>
      <c r="BE3386" s="743" t="str">
        <f>IF(D3386="","",VLOOKUP(D3386,'General Basis'!$J$39:$K$46,2,0))</f>
        <v/>
      </c>
      <c r="BF3386" s="744" t="str">
        <f>IF(D3386="","",VLOOKUP(D3386,'General Basis'!$J$39:$L$46,3,0))</f>
        <v/>
      </c>
      <c r="BG3386" s="744" t="str">
        <f t="shared" si="1177"/>
        <v/>
      </c>
      <c r="BH3386" s="744" t="str">
        <f>IF(G3386="","",IF(BF3386="Abu Dhabi",IF(G3386&lt;18,'General Basis'!$C$39,IF(G3386&lt;41,'General Basis'!$C$40,IF(G3386&lt;60,'General Basis'!$C$41,IF(G3386&lt;65,'General Basis'!$C$42,'General Basis'!$C$43)))),IF(G3386&lt;11,'General Basis'!$B$39,IF(G3386&lt;18,'General Basis'!$B$40,IF(G3386&lt;26,'General Basis'!$B$41,IF(G3386&lt;31,'General Basis'!$B$42,IF(G3386&lt;36,'General Basis'!$B$43,IF(G3386&lt;41,'General Basis'!$B$44,IF(G3386&lt;46,'General Basis'!$B$45,IF(G3386&lt;51,'General Basis'!$B$46,IF(G3386&lt;56,'General Basis'!$B$47,IF(G3386&lt;60,'General Basis'!$B$48,IF(G3386&lt;65,'General Basis'!$B$49,'General Basis'!$B$50)))))))))))))</f>
        <v/>
      </c>
      <c r="BI3386" s="744" t="str">
        <f t="shared" si="1171"/>
        <v/>
      </c>
      <c r="BJ3386" s="747" t="str">
        <f t="shared" si="1178"/>
        <v/>
      </c>
      <c r="BK3386" s="498" t="str">
        <f t="shared" si="1172"/>
        <v/>
      </c>
      <c r="BL3386" s="498" t="str">
        <f t="shared" si="1173"/>
        <v/>
      </c>
    </row>
    <row r="3387" spans="1:64" x14ac:dyDescent="0.25">
      <c r="A3387" s="762">
        <f t="shared" si="1174"/>
        <v>3382</v>
      </c>
      <c r="B3387" s="229"/>
      <c r="C3387" s="223"/>
      <c r="D3387" s="224"/>
      <c r="E3387" s="225"/>
      <c r="F3387" s="1036" t="str">
        <f t="shared" si="1180"/>
        <v/>
      </c>
      <c r="G3387" s="1037" t="str">
        <f t="shared" si="1175"/>
        <v/>
      </c>
      <c r="H3387" s="225"/>
      <c r="I3387" s="1013"/>
      <c r="J3387" s="1013"/>
      <c r="K3387" s="1028"/>
      <c r="L3387" s="1035" t="str">
        <f t="shared" si="1179"/>
        <v/>
      </c>
      <c r="S3387" s="498"/>
      <c r="AJ3387" s="498"/>
      <c r="AM3387" s="498">
        <f t="shared" si="1160"/>
        <v>0</v>
      </c>
      <c r="AN3387" s="498">
        <f t="shared" si="1161"/>
        <v>0</v>
      </c>
      <c r="AO3387" s="498">
        <f t="shared" si="1162"/>
        <v>0</v>
      </c>
      <c r="AP3387" s="498">
        <f t="shared" si="1181"/>
        <v>0</v>
      </c>
      <c r="AQ3387" s="498">
        <f t="shared" si="1176"/>
        <v>0</v>
      </c>
      <c r="AU3387" s="498">
        <f t="shared" si="1163"/>
        <v>0</v>
      </c>
      <c r="AV3387" s="498">
        <f t="shared" si="1164"/>
        <v>0</v>
      </c>
      <c r="AW3387" s="498">
        <f t="shared" si="1165"/>
        <v>0</v>
      </c>
      <c r="AX3387" s="498">
        <f t="shared" si="1166"/>
        <v>0</v>
      </c>
      <c r="AY3387" s="498">
        <f t="shared" si="1167"/>
        <v>0</v>
      </c>
      <c r="BB3387" s="498" t="str">
        <f t="shared" si="1168"/>
        <v/>
      </c>
      <c r="BC3387" s="743" t="str">
        <f t="shared" si="1169"/>
        <v/>
      </c>
      <c r="BD3387" s="743" t="str">
        <f t="shared" si="1170"/>
        <v/>
      </c>
      <c r="BE3387" s="743" t="str">
        <f>IF(D3387="","",VLOOKUP(D3387,'General Basis'!$J$39:$K$46,2,0))</f>
        <v/>
      </c>
      <c r="BF3387" s="744" t="str">
        <f>IF(D3387="","",VLOOKUP(D3387,'General Basis'!$J$39:$L$46,3,0))</f>
        <v/>
      </c>
      <c r="BG3387" s="744" t="str">
        <f t="shared" si="1177"/>
        <v/>
      </c>
      <c r="BH3387" s="744" t="str">
        <f>IF(G3387="","",IF(BF3387="Abu Dhabi",IF(G3387&lt;18,'General Basis'!$C$39,IF(G3387&lt;41,'General Basis'!$C$40,IF(G3387&lt;60,'General Basis'!$C$41,IF(G3387&lt;65,'General Basis'!$C$42,'General Basis'!$C$43)))),IF(G3387&lt;11,'General Basis'!$B$39,IF(G3387&lt;18,'General Basis'!$B$40,IF(G3387&lt;26,'General Basis'!$B$41,IF(G3387&lt;31,'General Basis'!$B$42,IF(G3387&lt;36,'General Basis'!$B$43,IF(G3387&lt;41,'General Basis'!$B$44,IF(G3387&lt;46,'General Basis'!$B$45,IF(G3387&lt;51,'General Basis'!$B$46,IF(G3387&lt;56,'General Basis'!$B$47,IF(G3387&lt;60,'General Basis'!$B$48,IF(G3387&lt;65,'General Basis'!$B$49,'General Basis'!$B$50)))))))))))))</f>
        <v/>
      </c>
      <c r="BI3387" s="744" t="str">
        <f t="shared" si="1171"/>
        <v/>
      </c>
      <c r="BJ3387" s="747" t="str">
        <f t="shared" si="1178"/>
        <v/>
      </c>
      <c r="BK3387" s="498" t="str">
        <f t="shared" si="1172"/>
        <v/>
      </c>
      <c r="BL3387" s="498" t="str">
        <f t="shared" si="1173"/>
        <v/>
      </c>
    </row>
    <row r="3388" spans="1:64" x14ac:dyDescent="0.25">
      <c r="A3388" s="762">
        <f t="shared" si="1174"/>
        <v>3383</v>
      </c>
      <c r="B3388" s="229"/>
      <c r="C3388" s="223"/>
      <c r="D3388" s="224"/>
      <c r="E3388" s="225"/>
      <c r="F3388" s="1036" t="str">
        <f t="shared" si="1180"/>
        <v/>
      </c>
      <c r="G3388" s="1037" t="str">
        <f t="shared" si="1175"/>
        <v/>
      </c>
      <c r="H3388" s="225"/>
      <c r="I3388" s="1013"/>
      <c r="J3388" s="1013"/>
      <c r="K3388" s="1028"/>
      <c r="L3388" s="1035" t="str">
        <f t="shared" si="1179"/>
        <v/>
      </c>
      <c r="S3388" s="498"/>
      <c r="AJ3388" s="498"/>
      <c r="AM3388" s="498">
        <f t="shared" si="1160"/>
        <v>0</v>
      </c>
      <c r="AN3388" s="498">
        <f t="shared" si="1161"/>
        <v>0</v>
      </c>
      <c r="AO3388" s="498">
        <f t="shared" si="1162"/>
        <v>0</v>
      </c>
      <c r="AP3388" s="498">
        <f t="shared" si="1181"/>
        <v>0</v>
      </c>
      <c r="AQ3388" s="498">
        <f t="shared" si="1176"/>
        <v>0</v>
      </c>
      <c r="AU3388" s="498">
        <f t="shared" si="1163"/>
        <v>0</v>
      </c>
      <c r="AV3388" s="498">
        <f t="shared" si="1164"/>
        <v>0</v>
      </c>
      <c r="AW3388" s="498">
        <f t="shared" si="1165"/>
        <v>0</v>
      </c>
      <c r="AX3388" s="498">
        <f t="shared" si="1166"/>
        <v>0</v>
      </c>
      <c r="AY3388" s="498">
        <f t="shared" si="1167"/>
        <v>0</v>
      </c>
      <c r="BB3388" s="498" t="str">
        <f t="shared" si="1168"/>
        <v/>
      </c>
      <c r="BC3388" s="743" t="str">
        <f t="shared" si="1169"/>
        <v/>
      </c>
      <c r="BD3388" s="743" t="str">
        <f t="shared" si="1170"/>
        <v/>
      </c>
      <c r="BE3388" s="743" t="str">
        <f>IF(D3388="","",VLOOKUP(D3388,'General Basis'!$J$39:$K$46,2,0))</f>
        <v/>
      </c>
      <c r="BF3388" s="744" t="str">
        <f>IF(D3388="","",VLOOKUP(D3388,'General Basis'!$J$39:$L$46,3,0))</f>
        <v/>
      </c>
      <c r="BG3388" s="744" t="str">
        <f t="shared" si="1177"/>
        <v/>
      </c>
      <c r="BH3388" s="744" t="str">
        <f>IF(G3388="","",IF(BF3388="Abu Dhabi",IF(G3388&lt;18,'General Basis'!$C$39,IF(G3388&lt;41,'General Basis'!$C$40,IF(G3388&lt;60,'General Basis'!$C$41,IF(G3388&lt;65,'General Basis'!$C$42,'General Basis'!$C$43)))),IF(G3388&lt;11,'General Basis'!$B$39,IF(G3388&lt;18,'General Basis'!$B$40,IF(G3388&lt;26,'General Basis'!$B$41,IF(G3388&lt;31,'General Basis'!$B$42,IF(G3388&lt;36,'General Basis'!$B$43,IF(G3388&lt;41,'General Basis'!$B$44,IF(G3388&lt;46,'General Basis'!$B$45,IF(G3388&lt;51,'General Basis'!$B$46,IF(G3388&lt;56,'General Basis'!$B$47,IF(G3388&lt;60,'General Basis'!$B$48,IF(G3388&lt;65,'General Basis'!$B$49,'General Basis'!$B$50)))))))))))))</f>
        <v/>
      </c>
      <c r="BI3388" s="744" t="str">
        <f t="shared" si="1171"/>
        <v/>
      </c>
      <c r="BJ3388" s="747" t="str">
        <f t="shared" si="1178"/>
        <v/>
      </c>
      <c r="BK3388" s="498" t="str">
        <f t="shared" si="1172"/>
        <v/>
      </c>
      <c r="BL3388" s="498" t="str">
        <f t="shared" si="1173"/>
        <v/>
      </c>
    </row>
    <row r="3389" spans="1:64" x14ac:dyDescent="0.25">
      <c r="A3389" s="762">
        <f t="shared" si="1174"/>
        <v>3384</v>
      </c>
      <c r="B3389" s="229"/>
      <c r="C3389" s="223"/>
      <c r="D3389" s="224"/>
      <c r="E3389" s="225"/>
      <c r="F3389" s="1036" t="str">
        <f t="shared" si="1180"/>
        <v/>
      </c>
      <c r="G3389" s="1037" t="str">
        <f t="shared" si="1175"/>
        <v/>
      </c>
      <c r="H3389" s="225"/>
      <c r="I3389" s="1013"/>
      <c r="J3389" s="1013"/>
      <c r="K3389" s="1028"/>
      <c r="L3389" s="1035" t="str">
        <f t="shared" si="1179"/>
        <v/>
      </c>
      <c r="S3389" s="498"/>
      <c r="AJ3389" s="498"/>
      <c r="AM3389" s="498">
        <f t="shared" si="1160"/>
        <v>0</v>
      </c>
      <c r="AN3389" s="498">
        <f t="shared" si="1161"/>
        <v>0</v>
      </c>
      <c r="AO3389" s="498">
        <f t="shared" si="1162"/>
        <v>0</v>
      </c>
      <c r="AP3389" s="498">
        <f t="shared" si="1181"/>
        <v>0</v>
      </c>
      <c r="AQ3389" s="498">
        <f t="shared" si="1176"/>
        <v>0</v>
      </c>
      <c r="AU3389" s="498">
        <f t="shared" si="1163"/>
        <v>0</v>
      </c>
      <c r="AV3389" s="498">
        <f t="shared" si="1164"/>
        <v>0</v>
      </c>
      <c r="AW3389" s="498">
        <f t="shared" si="1165"/>
        <v>0</v>
      </c>
      <c r="AX3389" s="498">
        <f t="shared" si="1166"/>
        <v>0</v>
      </c>
      <c r="AY3389" s="498">
        <f t="shared" si="1167"/>
        <v>0</v>
      </c>
      <c r="BB3389" s="498" t="str">
        <f t="shared" si="1168"/>
        <v/>
      </c>
      <c r="BC3389" s="743" t="str">
        <f t="shared" si="1169"/>
        <v/>
      </c>
      <c r="BD3389" s="743" t="str">
        <f t="shared" si="1170"/>
        <v/>
      </c>
      <c r="BE3389" s="743" t="str">
        <f>IF(D3389="","",VLOOKUP(D3389,'General Basis'!$J$39:$K$46,2,0))</f>
        <v/>
      </c>
      <c r="BF3389" s="744" t="str">
        <f>IF(D3389="","",VLOOKUP(D3389,'General Basis'!$J$39:$L$46,3,0))</f>
        <v/>
      </c>
      <c r="BG3389" s="744" t="str">
        <f t="shared" si="1177"/>
        <v/>
      </c>
      <c r="BH3389" s="744" t="str">
        <f>IF(G3389="","",IF(BF3389="Abu Dhabi",IF(G3389&lt;18,'General Basis'!$C$39,IF(G3389&lt;41,'General Basis'!$C$40,IF(G3389&lt;60,'General Basis'!$C$41,IF(G3389&lt;65,'General Basis'!$C$42,'General Basis'!$C$43)))),IF(G3389&lt;11,'General Basis'!$B$39,IF(G3389&lt;18,'General Basis'!$B$40,IF(G3389&lt;26,'General Basis'!$B$41,IF(G3389&lt;31,'General Basis'!$B$42,IF(G3389&lt;36,'General Basis'!$B$43,IF(G3389&lt;41,'General Basis'!$B$44,IF(G3389&lt;46,'General Basis'!$B$45,IF(G3389&lt;51,'General Basis'!$B$46,IF(G3389&lt;56,'General Basis'!$B$47,IF(G3389&lt;60,'General Basis'!$B$48,IF(G3389&lt;65,'General Basis'!$B$49,'General Basis'!$B$50)))))))))))))</f>
        <v/>
      </c>
      <c r="BI3389" s="744" t="str">
        <f t="shared" si="1171"/>
        <v/>
      </c>
      <c r="BJ3389" s="747" t="str">
        <f t="shared" si="1178"/>
        <v/>
      </c>
      <c r="BK3389" s="498" t="str">
        <f t="shared" si="1172"/>
        <v/>
      </c>
      <c r="BL3389" s="498" t="str">
        <f t="shared" si="1173"/>
        <v/>
      </c>
    </row>
    <row r="3390" spans="1:64" x14ac:dyDescent="0.25">
      <c r="A3390" s="762">
        <f t="shared" si="1174"/>
        <v>3385</v>
      </c>
      <c r="B3390" s="229"/>
      <c r="C3390" s="223"/>
      <c r="D3390" s="224"/>
      <c r="E3390" s="225"/>
      <c r="F3390" s="1036" t="str">
        <f t="shared" si="1180"/>
        <v/>
      </c>
      <c r="G3390" s="1037" t="str">
        <f t="shared" si="1175"/>
        <v/>
      </c>
      <c r="H3390" s="225"/>
      <c r="I3390" s="1013"/>
      <c r="J3390" s="1013"/>
      <c r="K3390" s="1028"/>
      <c r="L3390" s="1035" t="str">
        <f t="shared" si="1179"/>
        <v/>
      </c>
      <c r="S3390" s="498"/>
      <c r="AJ3390" s="498"/>
      <c r="AM3390" s="498">
        <f t="shared" si="1160"/>
        <v>0</v>
      </c>
      <c r="AN3390" s="498">
        <f t="shared" si="1161"/>
        <v>0</v>
      </c>
      <c r="AO3390" s="498">
        <f t="shared" si="1162"/>
        <v>0</v>
      </c>
      <c r="AP3390" s="498">
        <f t="shared" si="1181"/>
        <v>0</v>
      </c>
      <c r="AQ3390" s="498">
        <f t="shared" si="1176"/>
        <v>0</v>
      </c>
      <c r="AU3390" s="498">
        <f t="shared" si="1163"/>
        <v>0</v>
      </c>
      <c r="AV3390" s="498">
        <f t="shared" si="1164"/>
        <v>0</v>
      </c>
      <c r="AW3390" s="498">
        <f t="shared" si="1165"/>
        <v>0</v>
      </c>
      <c r="AX3390" s="498">
        <f t="shared" si="1166"/>
        <v>0</v>
      </c>
      <c r="AY3390" s="498">
        <f t="shared" si="1167"/>
        <v>0</v>
      </c>
      <c r="BB3390" s="498" t="str">
        <f t="shared" si="1168"/>
        <v/>
      </c>
      <c r="BC3390" s="743" t="str">
        <f t="shared" si="1169"/>
        <v/>
      </c>
      <c r="BD3390" s="743" t="str">
        <f t="shared" si="1170"/>
        <v/>
      </c>
      <c r="BE3390" s="743" t="str">
        <f>IF(D3390="","",VLOOKUP(D3390,'General Basis'!$J$39:$K$46,2,0))</f>
        <v/>
      </c>
      <c r="BF3390" s="744" t="str">
        <f>IF(D3390="","",VLOOKUP(D3390,'General Basis'!$J$39:$L$46,3,0))</f>
        <v/>
      </c>
      <c r="BG3390" s="744" t="str">
        <f t="shared" si="1177"/>
        <v/>
      </c>
      <c r="BH3390" s="744" t="str">
        <f>IF(G3390="","",IF(BF3390="Abu Dhabi",IF(G3390&lt;18,'General Basis'!$C$39,IF(G3390&lt;41,'General Basis'!$C$40,IF(G3390&lt;60,'General Basis'!$C$41,IF(G3390&lt;65,'General Basis'!$C$42,'General Basis'!$C$43)))),IF(G3390&lt;11,'General Basis'!$B$39,IF(G3390&lt;18,'General Basis'!$B$40,IF(G3390&lt;26,'General Basis'!$B$41,IF(G3390&lt;31,'General Basis'!$B$42,IF(G3390&lt;36,'General Basis'!$B$43,IF(G3390&lt;41,'General Basis'!$B$44,IF(G3390&lt;46,'General Basis'!$B$45,IF(G3390&lt;51,'General Basis'!$B$46,IF(G3390&lt;56,'General Basis'!$B$47,IF(G3390&lt;60,'General Basis'!$B$48,IF(G3390&lt;65,'General Basis'!$B$49,'General Basis'!$B$50)))))))))))))</f>
        <v/>
      </c>
      <c r="BI3390" s="744" t="str">
        <f t="shared" si="1171"/>
        <v/>
      </c>
      <c r="BJ3390" s="747" t="str">
        <f t="shared" si="1178"/>
        <v/>
      </c>
      <c r="BK3390" s="498" t="str">
        <f t="shared" si="1172"/>
        <v/>
      </c>
      <c r="BL3390" s="498" t="str">
        <f t="shared" si="1173"/>
        <v/>
      </c>
    </row>
    <row r="3391" spans="1:64" x14ac:dyDescent="0.25">
      <c r="A3391" s="762">
        <f t="shared" si="1174"/>
        <v>3386</v>
      </c>
      <c r="B3391" s="229"/>
      <c r="C3391" s="223"/>
      <c r="D3391" s="224"/>
      <c r="E3391" s="225"/>
      <c r="F3391" s="1036" t="str">
        <f t="shared" si="1180"/>
        <v/>
      </c>
      <c r="G3391" s="1037" t="str">
        <f t="shared" si="1175"/>
        <v/>
      </c>
      <c r="H3391" s="225"/>
      <c r="I3391" s="1013"/>
      <c r="J3391" s="1013"/>
      <c r="K3391" s="1028"/>
      <c r="L3391" s="1035" t="str">
        <f t="shared" si="1179"/>
        <v/>
      </c>
      <c r="S3391" s="498"/>
      <c r="AJ3391" s="498"/>
      <c r="AM3391" s="498">
        <f t="shared" si="1160"/>
        <v>0</v>
      </c>
      <c r="AN3391" s="498">
        <f t="shared" si="1161"/>
        <v>0</v>
      </c>
      <c r="AO3391" s="498">
        <f t="shared" si="1162"/>
        <v>0</v>
      </c>
      <c r="AP3391" s="498">
        <f t="shared" si="1181"/>
        <v>0</v>
      </c>
      <c r="AQ3391" s="498">
        <f t="shared" si="1176"/>
        <v>0</v>
      </c>
      <c r="AU3391" s="498">
        <f t="shared" si="1163"/>
        <v>0</v>
      </c>
      <c r="AV3391" s="498">
        <f t="shared" si="1164"/>
        <v>0</v>
      </c>
      <c r="AW3391" s="498">
        <f t="shared" si="1165"/>
        <v>0</v>
      </c>
      <c r="AX3391" s="498">
        <f t="shared" si="1166"/>
        <v>0</v>
      </c>
      <c r="AY3391" s="498">
        <f t="shared" si="1167"/>
        <v>0</v>
      </c>
      <c r="BB3391" s="498" t="str">
        <f t="shared" si="1168"/>
        <v/>
      </c>
      <c r="BC3391" s="743" t="str">
        <f t="shared" si="1169"/>
        <v/>
      </c>
      <c r="BD3391" s="743" t="str">
        <f t="shared" si="1170"/>
        <v/>
      </c>
      <c r="BE3391" s="743" t="str">
        <f>IF(D3391="","",VLOOKUP(D3391,'General Basis'!$J$39:$K$46,2,0))</f>
        <v/>
      </c>
      <c r="BF3391" s="744" t="str">
        <f>IF(D3391="","",VLOOKUP(D3391,'General Basis'!$J$39:$L$46,3,0))</f>
        <v/>
      </c>
      <c r="BG3391" s="744" t="str">
        <f t="shared" si="1177"/>
        <v/>
      </c>
      <c r="BH3391" s="744" t="str">
        <f>IF(G3391="","",IF(BF3391="Abu Dhabi",IF(G3391&lt;18,'General Basis'!$C$39,IF(G3391&lt;41,'General Basis'!$C$40,IF(G3391&lt;60,'General Basis'!$C$41,IF(G3391&lt;65,'General Basis'!$C$42,'General Basis'!$C$43)))),IF(G3391&lt;11,'General Basis'!$B$39,IF(G3391&lt;18,'General Basis'!$B$40,IF(G3391&lt;26,'General Basis'!$B$41,IF(G3391&lt;31,'General Basis'!$B$42,IF(G3391&lt;36,'General Basis'!$B$43,IF(G3391&lt;41,'General Basis'!$B$44,IF(G3391&lt;46,'General Basis'!$B$45,IF(G3391&lt;51,'General Basis'!$B$46,IF(G3391&lt;56,'General Basis'!$B$47,IF(G3391&lt;60,'General Basis'!$B$48,IF(G3391&lt;65,'General Basis'!$B$49,'General Basis'!$B$50)))))))))))))</f>
        <v/>
      </c>
      <c r="BI3391" s="744" t="str">
        <f t="shared" si="1171"/>
        <v/>
      </c>
      <c r="BJ3391" s="747" t="str">
        <f t="shared" si="1178"/>
        <v/>
      </c>
      <c r="BK3391" s="498" t="str">
        <f t="shared" si="1172"/>
        <v/>
      </c>
      <c r="BL3391" s="498" t="str">
        <f t="shared" si="1173"/>
        <v/>
      </c>
    </row>
    <row r="3392" spans="1:64" x14ac:dyDescent="0.25">
      <c r="A3392" s="762">
        <f t="shared" si="1174"/>
        <v>3387</v>
      </c>
      <c r="B3392" s="229"/>
      <c r="C3392" s="223"/>
      <c r="D3392" s="224"/>
      <c r="E3392" s="225"/>
      <c r="F3392" s="1036" t="str">
        <f t="shared" si="1180"/>
        <v/>
      </c>
      <c r="G3392" s="1037" t="str">
        <f t="shared" si="1175"/>
        <v/>
      </c>
      <c r="H3392" s="225"/>
      <c r="I3392" s="1013"/>
      <c r="J3392" s="1013"/>
      <c r="K3392" s="1028"/>
      <c r="L3392" s="1035" t="str">
        <f t="shared" si="1179"/>
        <v/>
      </c>
      <c r="S3392" s="498"/>
      <c r="AJ3392" s="498"/>
      <c r="AM3392" s="498">
        <f t="shared" si="1160"/>
        <v>0</v>
      </c>
      <c r="AN3392" s="498">
        <f t="shared" si="1161"/>
        <v>0</v>
      </c>
      <c r="AO3392" s="498">
        <f t="shared" si="1162"/>
        <v>0</v>
      </c>
      <c r="AP3392" s="498">
        <f t="shared" si="1181"/>
        <v>0</v>
      </c>
      <c r="AQ3392" s="498">
        <f t="shared" si="1176"/>
        <v>0</v>
      </c>
      <c r="AU3392" s="498">
        <f t="shared" si="1163"/>
        <v>0</v>
      </c>
      <c r="AV3392" s="498">
        <f t="shared" si="1164"/>
        <v>0</v>
      </c>
      <c r="AW3392" s="498">
        <f t="shared" si="1165"/>
        <v>0</v>
      </c>
      <c r="AX3392" s="498">
        <f t="shared" si="1166"/>
        <v>0</v>
      </c>
      <c r="AY3392" s="498">
        <f t="shared" si="1167"/>
        <v>0</v>
      </c>
      <c r="BB3392" s="498" t="str">
        <f t="shared" si="1168"/>
        <v/>
      </c>
      <c r="BC3392" s="743" t="str">
        <f t="shared" si="1169"/>
        <v/>
      </c>
      <c r="BD3392" s="743" t="str">
        <f t="shared" si="1170"/>
        <v/>
      </c>
      <c r="BE3392" s="743" t="str">
        <f>IF(D3392="","",VLOOKUP(D3392,'General Basis'!$J$39:$K$46,2,0))</f>
        <v/>
      </c>
      <c r="BF3392" s="744" t="str">
        <f>IF(D3392="","",VLOOKUP(D3392,'General Basis'!$J$39:$L$46,3,0))</f>
        <v/>
      </c>
      <c r="BG3392" s="744" t="str">
        <f t="shared" si="1177"/>
        <v/>
      </c>
      <c r="BH3392" s="744" t="str">
        <f>IF(G3392="","",IF(BF3392="Abu Dhabi",IF(G3392&lt;18,'General Basis'!$C$39,IF(G3392&lt;41,'General Basis'!$C$40,IF(G3392&lt;60,'General Basis'!$C$41,IF(G3392&lt;65,'General Basis'!$C$42,'General Basis'!$C$43)))),IF(G3392&lt;11,'General Basis'!$B$39,IF(G3392&lt;18,'General Basis'!$B$40,IF(G3392&lt;26,'General Basis'!$B$41,IF(G3392&lt;31,'General Basis'!$B$42,IF(G3392&lt;36,'General Basis'!$B$43,IF(G3392&lt;41,'General Basis'!$B$44,IF(G3392&lt;46,'General Basis'!$B$45,IF(G3392&lt;51,'General Basis'!$B$46,IF(G3392&lt;56,'General Basis'!$B$47,IF(G3392&lt;60,'General Basis'!$B$48,IF(G3392&lt;65,'General Basis'!$B$49,'General Basis'!$B$50)))))))))))))</f>
        <v/>
      </c>
      <c r="BI3392" s="744" t="str">
        <f t="shared" si="1171"/>
        <v/>
      </c>
      <c r="BJ3392" s="747" t="str">
        <f t="shared" si="1178"/>
        <v/>
      </c>
      <c r="BK3392" s="498" t="str">
        <f t="shared" si="1172"/>
        <v/>
      </c>
      <c r="BL3392" s="498" t="str">
        <f t="shared" si="1173"/>
        <v/>
      </c>
    </row>
    <row r="3393" spans="1:64" x14ac:dyDescent="0.25">
      <c r="A3393" s="762">
        <f t="shared" si="1174"/>
        <v>3388</v>
      </c>
      <c r="B3393" s="229"/>
      <c r="C3393" s="223"/>
      <c r="D3393" s="224"/>
      <c r="E3393" s="225"/>
      <c r="F3393" s="1036" t="str">
        <f t="shared" si="1180"/>
        <v/>
      </c>
      <c r="G3393" s="1037" t="str">
        <f t="shared" si="1175"/>
        <v/>
      </c>
      <c r="H3393" s="225"/>
      <c r="I3393" s="1013"/>
      <c r="J3393" s="1013"/>
      <c r="K3393" s="1028"/>
      <c r="L3393" s="1035" t="str">
        <f t="shared" si="1179"/>
        <v/>
      </c>
      <c r="S3393" s="498"/>
      <c r="AJ3393" s="498"/>
      <c r="AM3393" s="498">
        <f t="shared" si="1160"/>
        <v>0</v>
      </c>
      <c r="AN3393" s="498">
        <f t="shared" si="1161"/>
        <v>0</v>
      </c>
      <c r="AO3393" s="498">
        <f t="shared" si="1162"/>
        <v>0</v>
      </c>
      <c r="AP3393" s="498">
        <f t="shared" si="1181"/>
        <v>0</v>
      </c>
      <c r="AQ3393" s="498">
        <f t="shared" si="1176"/>
        <v>0</v>
      </c>
      <c r="AU3393" s="498">
        <f t="shared" si="1163"/>
        <v>0</v>
      </c>
      <c r="AV3393" s="498">
        <f t="shared" si="1164"/>
        <v>0</v>
      </c>
      <c r="AW3393" s="498">
        <f t="shared" si="1165"/>
        <v>0</v>
      </c>
      <c r="AX3393" s="498">
        <f t="shared" si="1166"/>
        <v>0</v>
      </c>
      <c r="AY3393" s="498">
        <f t="shared" si="1167"/>
        <v>0</v>
      </c>
      <c r="BB3393" s="498" t="str">
        <f t="shared" si="1168"/>
        <v/>
      </c>
      <c r="BC3393" s="743" t="str">
        <f t="shared" si="1169"/>
        <v/>
      </c>
      <c r="BD3393" s="743" t="str">
        <f t="shared" si="1170"/>
        <v/>
      </c>
      <c r="BE3393" s="743" t="str">
        <f>IF(D3393="","",VLOOKUP(D3393,'General Basis'!$J$39:$K$46,2,0))</f>
        <v/>
      </c>
      <c r="BF3393" s="744" t="str">
        <f>IF(D3393="","",VLOOKUP(D3393,'General Basis'!$J$39:$L$46,3,0))</f>
        <v/>
      </c>
      <c r="BG3393" s="744" t="str">
        <f t="shared" si="1177"/>
        <v/>
      </c>
      <c r="BH3393" s="744" t="str">
        <f>IF(G3393="","",IF(BF3393="Abu Dhabi",IF(G3393&lt;18,'General Basis'!$C$39,IF(G3393&lt;41,'General Basis'!$C$40,IF(G3393&lt;60,'General Basis'!$C$41,IF(G3393&lt;65,'General Basis'!$C$42,'General Basis'!$C$43)))),IF(G3393&lt;11,'General Basis'!$B$39,IF(G3393&lt;18,'General Basis'!$B$40,IF(G3393&lt;26,'General Basis'!$B$41,IF(G3393&lt;31,'General Basis'!$B$42,IF(G3393&lt;36,'General Basis'!$B$43,IF(G3393&lt;41,'General Basis'!$B$44,IF(G3393&lt;46,'General Basis'!$B$45,IF(G3393&lt;51,'General Basis'!$B$46,IF(G3393&lt;56,'General Basis'!$B$47,IF(G3393&lt;60,'General Basis'!$B$48,IF(G3393&lt;65,'General Basis'!$B$49,'General Basis'!$B$50)))))))))))))</f>
        <v/>
      </c>
      <c r="BI3393" s="744" t="str">
        <f t="shared" si="1171"/>
        <v/>
      </c>
      <c r="BJ3393" s="747" t="str">
        <f t="shared" si="1178"/>
        <v/>
      </c>
      <c r="BK3393" s="498" t="str">
        <f t="shared" si="1172"/>
        <v/>
      </c>
      <c r="BL3393" s="498" t="str">
        <f t="shared" si="1173"/>
        <v/>
      </c>
    </row>
    <row r="3394" spans="1:64" x14ac:dyDescent="0.25">
      <c r="A3394" s="762">
        <f t="shared" si="1174"/>
        <v>3389</v>
      </c>
      <c r="B3394" s="229"/>
      <c r="C3394" s="223"/>
      <c r="D3394" s="224"/>
      <c r="E3394" s="225"/>
      <c r="F3394" s="1036" t="str">
        <f t="shared" si="1180"/>
        <v/>
      </c>
      <c r="G3394" s="1037" t="str">
        <f t="shared" si="1175"/>
        <v/>
      </c>
      <c r="H3394" s="225"/>
      <c r="I3394" s="1013"/>
      <c r="J3394" s="1013"/>
      <c r="K3394" s="1028"/>
      <c r="L3394" s="1035" t="str">
        <f t="shared" si="1179"/>
        <v/>
      </c>
      <c r="S3394" s="498"/>
      <c r="AJ3394" s="498"/>
      <c r="AM3394" s="498">
        <f t="shared" si="1160"/>
        <v>0</v>
      </c>
      <c r="AN3394" s="498">
        <f t="shared" si="1161"/>
        <v>0</v>
      </c>
      <c r="AO3394" s="498">
        <f t="shared" si="1162"/>
        <v>0</v>
      </c>
      <c r="AP3394" s="498">
        <f t="shared" si="1181"/>
        <v>0</v>
      </c>
      <c r="AQ3394" s="498">
        <f t="shared" si="1176"/>
        <v>0</v>
      </c>
      <c r="AU3394" s="498">
        <f t="shared" si="1163"/>
        <v>0</v>
      </c>
      <c r="AV3394" s="498">
        <f t="shared" si="1164"/>
        <v>0</v>
      </c>
      <c r="AW3394" s="498">
        <f t="shared" si="1165"/>
        <v>0</v>
      </c>
      <c r="AX3394" s="498">
        <f t="shared" si="1166"/>
        <v>0</v>
      </c>
      <c r="AY3394" s="498">
        <f t="shared" si="1167"/>
        <v>0</v>
      </c>
      <c r="BB3394" s="498" t="str">
        <f t="shared" si="1168"/>
        <v/>
      </c>
      <c r="BC3394" s="743" t="str">
        <f t="shared" si="1169"/>
        <v/>
      </c>
      <c r="BD3394" s="743" t="str">
        <f t="shared" si="1170"/>
        <v/>
      </c>
      <c r="BE3394" s="743" t="str">
        <f>IF(D3394="","",VLOOKUP(D3394,'General Basis'!$J$39:$K$46,2,0))</f>
        <v/>
      </c>
      <c r="BF3394" s="744" t="str">
        <f>IF(D3394="","",VLOOKUP(D3394,'General Basis'!$J$39:$L$46,3,0))</f>
        <v/>
      </c>
      <c r="BG3394" s="744" t="str">
        <f t="shared" si="1177"/>
        <v/>
      </c>
      <c r="BH3394" s="744" t="str">
        <f>IF(G3394="","",IF(BF3394="Abu Dhabi",IF(G3394&lt;18,'General Basis'!$C$39,IF(G3394&lt;41,'General Basis'!$C$40,IF(G3394&lt;60,'General Basis'!$C$41,IF(G3394&lt;65,'General Basis'!$C$42,'General Basis'!$C$43)))),IF(G3394&lt;11,'General Basis'!$B$39,IF(G3394&lt;18,'General Basis'!$B$40,IF(G3394&lt;26,'General Basis'!$B$41,IF(G3394&lt;31,'General Basis'!$B$42,IF(G3394&lt;36,'General Basis'!$B$43,IF(G3394&lt;41,'General Basis'!$B$44,IF(G3394&lt;46,'General Basis'!$B$45,IF(G3394&lt;51,'General Basis'!$B$46,IF(G3394&lt;56,'General Basis'!$B$47,IF(G3394&lt;60,'General Basis'!$B$48,IF(G3394&lt;65,'General Basis'!$B$49,'General Basis'!$B$50)))))))))))))</f>
        <v/>
      </c>
      <c r="BI3394" s="744" t="str">
        <f t="shared" si="1171"/>
        <v/>
      </c>
      <c r="BJ3394" s="747" t="str">
        <f t="shared" si="1178"/>
        <v/>
      </c>
      <c r="BK3394" s="498" t="str">
        <f t="shared" si="1172"/>
        <v/>
      </c>
      <c r="BL3394" s="498" t="str">
        <f t="shared" si="1173"/>
        <v/>
      </c>
    </row>
    <row r="3395" spans="1:64" x14ac:dyDescent="0.25">
      <c r="A3395" s="762">
        <f t="shared" si="1174"/>
        <v>3390</v>
      </c>
      <c r="B3395" s="229"/>
      <c r="C3395" s="223"/>
      <c r="D3395" s="224"/>
      <c r="E3395" s="225"/>
      <c r="F3395" s="1036" t="str">
        <f t="shared" si="1180"/>
        <v/>
      </c>
      <c r="G3395" s="1037" t="str">
        <f t="shared" si="1175"/>
        <v/>
      </c>
      <c r="H3395" s="225"/>
      <c r="I3395" s="1013"/>
      <c r="J3395" s="1013"/>
      <c r="K3395" s="1028"/>
      <c r="L3395" s="1035" t="str">
        <f t="shared" si="1179"/>
        <v/>
      </c>
      <c r="S3395" s="498"/>
      <c r="AJ3395" s="498"/>
      <c r="AM3395" s="498">
        <f t="shared" si="1160"/>
        <v>0</v>
      </c>
      <c r="AN3395" s="498">
        <f t="shared" si="1161"/>
        <v>0</v>
      </c>
      <c r="AO3395" s="498">
        <f t="shared" si="1162"/>
        <v>0</v>
      </c>
      <c r="AP3395" s="498">
        <f t="shared" si="1181"/>
        <v>0</v>
      </c>
      <c r="AQ3395" s="498">
        <f t="shared" si="1176"/>
        <v>0</v>
      </c>
      <c r="AU3395" s="498">
        <f t="shared" si="1163"/>
        <v>0</v>
      </c>
      <c r="AV3395" s="498">
        <f t="shared" si="1164"/>
        <v>0</v>
      </c>
      <c r="AW3395" s="498">
        <f t="shared" si="1165"/>
        <v>0</v>
      </c>
      <c r="AX3395" s="498">
        <f t="shared" si="1166"/>
        <v>0</v>
      </c>
      <c r="AY3395" s="498">
        <f t="shared" si="1167"/>
        <v>0</v>
      </c>
      <c r="BB3395" s="498" t="str">
        <f t="shared" si="1168"/>
        <v/>
      </c>
      <c r="BC3395" s="743" t="str">
        <f t="shared" si="1169"/>
        <v/>
      </c>
      <c r="BD3395" s="743" t="str">
        <f t="shared" si="1170"/>
        <v/>
      </c>
      <c r="BE3395" s="743" t="str">
        <f>IF(D3395="","",VLOOKUP(D3395,'General Basis'!$J$39:$K$46,2,0))</f>
        <v/>
      </c>
      <c r="BF3395" s="744" t="str">
        <f>IF(D3395="","",VLOOKUP(D3395,'General Basis'!$J$39:$L$46,3,0))</f>
        <v/>
      </c>
      <c r="BG3395" s="744" t="str">
        <f t="shared" si="1177"/>
        <v/>
      </c>
      <c r="BH3395" s="744" t="str">
        <f>IF(G3395="","",IF(BF3395="Abu Dhabi",IF(G3395&lt;18,'General Basis'!$C$39,IF(G3395&lt;41,'General Basis'!$C$40,IF(G3395&lt;60,'General Basis'!$C$41,IF(G3395&lt;65,'General Basis'!$C$42,'General Basis'!$C$43)))),IF(G3395&lt;11,'General Basis'!$B$39,IF(G3395&lt;18,'General Basis'!$B$40,IF(G3395&lt;26,'General Basis'!$B$41,IF(G3395&lt;31,'General Basis'!$B$42,IF(G3395&lt;36,'General Basis'!$B$43,IF(G3395&lt;41,'General Basis'!$B$44,IF(G3395&lt;46,'General Basis'!$B$45,IF(G3395&lt;51,'General Basis'!$B$46,IF(G3395&lt;56,'General Basis'!$B$47,IF(G3395&lt;60,'General Basis'!$B$48,IF(G3395&lt;65,'General Basis'!$B$49,'General Basis'!$B$50)))))))))))))</f>
        <v/>
      </c>
      <c r="BI3395" s="744" t="str">
        <f t="shared" si="1171"/>
        <v/>
      </c>
      <c r="BJ3395" s="747" t="str">
        <f t="shared" si="1178"/>
        <v/>
      </c>
      <c r="BK3395" s="498" t="str">
        <f t="shared" si="1172"/>
        <v/>
      </c>
      <c r="BL3395" s="498" t="str">
        <f t="shared" si="1173"/>
        <v/>
      </c>
    </row>
    <row r="3396" spans="1:64" x14ac:dyDescent="0.25">
      <c r="A3396" s="762">
        <f t="shared" si="1174"/>
        <v>3391</v>
      </c>
      <c r="B3396" s="229"/>
      <c r="C3396" s="223"/>
      <c r="D3396" s="224"/>
      <c r="E3396" s="225"/>
      <c r="F3396" s="1036" t="str">
        <f t="shared" si="1180"/>
        <v/>
      </c>
      <c r="G3396" s="1037" t="str">
        <f t="shared" si="1175"/>
        <v/>
      </c>
      <c r="H3396" s="225"/>
      <c r="I3396" s="1013"/>
      <c r="J3396" s="1013"/>
      <c r="K3396" s="1028"/>
      <c r="L3396" s="1035" t="str">
        <f t="shared" si="1179"/>
        <v/>
      </c>
      <c r="S3396" s="498"/>
      <c r="AJ3396" s="498"/>
      <c r="AM3396" s="498">
        <f t="shared" si="1160"/>
        <v>0</v>
      </c>
      <c r="AN3396" s="498">
        <f t="shared" si="1161"/>
        <v>0</v>
      </c>
      <c r="AO3396" s="498">
        <f t="shared" si="1162"/>
        <v>0</v>
      </c>
      <c r="AP3396" s="498">
        <f t="shared" si="1181"/>
        <v>0</v>
      </c>
      <c r="AQ3396" s="498">
        <f t="shared" si="1176"/>
        <v>0</v>
      </c>
      <c r="AU3396" s="498">
        <f t="shared" si="1163"/>
        <v>0</v>
      </c>
      <c r="AV3396" s="498">
        <f t="shared" si="1164"/>
        <v>0</v>
      </c>
      <c r="AW3396" s="498">
        <f t="shared" si="1165"/>
        <v>0</v>
      </c>
      <c r="AX3396" s="498">
        <f t="shared" si="1166"/>
        <v>0</v>
      </c>
      <c r="AY3396" s="498">
        <f t="shared" si="1167"/>
        <v>0</v>
      </c>
      <c r="BB3396" s="498" t="str">
        <f t="shared" si="1168"/>
        <v/>
      </c>
      <c r="BC3396" s="743" t="str">
        <f t="shared" si="1169"/>
        <v/>
      </c>
      <c r="BD3396" s="743" t="str">
        <f t="shared" si="1170"/>
        <v/>
      </c>
      <c r="BE3396" s="743" t="str">
        <f>IF(D3396="","",VLOOKUP(D3396,'General Basis'!$J$39:$K$46,2,0))</f>
        <v/>
      </c>
      <c r="BF3396" s="744" t="str">
        <f>IF(D3396="","",VLOOKUP(D3396,'General Basis'!$J$39:$L$46,3,0))</f>
        <v/>
      </c>
      <c r="BG3396" s="744" t="str">
        <f t="shared" si="1177"/>
        <v/>
      </c>
      <c r="BH3396" s="744" t="str">
        <f>IF(G3396="","",IF(BF3396="Abu Dhabi",IF(G3396&lt;18,'General Basis'!$C$39,IF(G3396&lt;41,'General Basis'!$C$40,IF(G3396&lt;60,'General Basis'!$C$41,IF(G3396&lt;65,'General Basis'!$C$42,'General Basis'!$C$43)))),IF(G3396&lt;11,'General Basis'!$B$39,IF(G3396&lt;18,'General Basis'!$B$40,IF(G3396&lt;26,'General Basis'!$B$41,IF(G3396&lt;31,'General Basis'!$B$42,IF(G3396&lt;36,'General Basis'!$B$43,IF(G3396&lt;41,'General Basis'!$B$44,IF(G3396&lt;46,'General Basis'!$B$45,IF(G3396&lt;51,'General Basis'!$B$46,IF(G3396&lt;56,'General Basis'!$B$47,IF(G3396&lt;60,'General Basis'!$B$48,IF(G3396&lt;65,'General Basis'!$B$49,'General Basis'!$B$50)))))))))))))</f>
        <v/>
      </c>
      <c r="BI3396" s="744" t="str">
        <f t="shared" si="1171"/>
        <v/>
      </c>
      <c r="BJ3396" s="747" t="str">
        <f t="shared" si="1178"/>
        <v/>
      </c>
      <c r="BK3396" s="498" t="str">
        <f t="shared" si="1172"/>
        <v/>
      </c>
      <c r="BL3396" s="498" t="str">
        <f t="shared" si="1173"/>
        <v/>
      </c>
    </row>
    <row r="3397" spans="1:64" x14ac:dyDescent="0.25">
      <c r="A3397" s="762">
        <f t="shared" si="1174"/>
        <v>3392</v>
      </c>
      <c r="B3397" s="229"/>
      <c r="C3397" s="223"/>
      <c r="D3397" s="224"/>
      <c r="E3397" s="225"/>
      <c r="F3397" s="1036" t="str">
        <f t="shared" si="1180"/>
        <v/>
      </c>
      <c r="G3397" s="1037" t="str">
        <f t="shared" si="1175"/>
        <v/>
      </c>
      <c r="H3397" s="225"/>
      <c r="I3397" s="1013"/>
      <c r="J3397" s="1013"/>
      <c r="K3397" s="1028"/>
      <c r="L3397" s="1035" t="str">
        <f t="shared" si="1179"/>
        <v/>
      </c>
      <c r="S3397" s="498"/>
      <c r="AJ3397" s="498"/>
      <c r="AM3397" s="498">
        <f t="shared" si="1160"/>
        <v>0</v>
      </c>
      <c r="AN3397" s="498">
        <f t="shared" si="1161"/>
        <v>0</v>
      </c>
      <c r="AO3397" s="498">
        <f t="shared" si="1162"/>
        <v>0</v>
      </c>
      <c r="AP3397" s="498">
        <f t="shared" si="1181"/>
        <v>0</v>
      </c>
      <c r="AQ3397" s="498">
        <f t="shared" si="1176"/>
        <v>0</v>
      </c>
      <c r="AU3397" s="498">
        <f t="shared" si="1163"/>
        <v>0</v>
      </c>
      <c r="AV3397" s="498">
        <f t="shared" si="1164"/>
        <v>0</v>
      </c>
      <c r="AW3397" s="498">
        <f t="shared" si="1165"/>
        <v>0</v>
      </c>
      <c r="AX3397" s="498">
        <f t="shared" si="1166"/>
        <v>0</v>
      </c>
      <c r="AY3397" s="498">
        <f t="shared" si="1167"/>
        <v>0</v>
      </c>
      <c r="BB3397" s="498" t="str">
        <f t="shared" si="1168"/>
        <v/>
      </c>
      <c r="BC3397" s="743" t="str">
        <f t="shared" si="1169"/>
        <v/>
      </c>
      <c r="BD3397" s="743" t="str">
        <f t="shared" si="1170"/>
        <v/>
      </c>
      <c r="BE3397" s="743" t="str">
        <f>IF(D3397="","",VLOOKUP(D3397,'General Basis'!$J$39:$K$46,2,0))</f>
        <v/>
      </c>
      <c r="BF3397" s="744" t="str">
        <f>IF(D3397="","",VLOOKUP(D3397,'General Basis'!$J$39:$L$46,3,0))</f>
        <v/>
      </c>
      <c r="BG3397" s="744" t="str">
        <f t="shared" si="1177"/>
        <v/>
      </c>
      <c r="BH3397" s="744" t="str">
        <f>IF(G3397="","",IF(BF3397="Abu Dhabi",IF(G3397&lt;18,'General Basis'!$C$39,IF(G3397&lt;41,'General Basis'!$C$40,IF(G3397&lt;60,'General Basis'!$C$41,IF(G3397&lt;65,'General Basis'!$C$42,'General Basis'!$C$43)))),IF(G3397&lt;11,'General Basis'!$B$39,IF(G3397&lt;18,'General Basis'!$B$40,IF(G3397&lt;26,'General Basis'!$B$41,IF(G3397&lt;31,'General Basis'!$B$42,IF(G3397&lt;36,'General Basis'!$B$43,IF(G3397&lt;41,'General Basis'!$B$44,IF(G3397&lt;46,'General Basis'!$B$45,IF(G3397&lt;51,'General Basis'!$B$46,IF(G3397&lt;56,'General Basis'!$B$47,IF(G3397&lt;60,'General Basis'!$B$48,IF(G3397&lt;65,'General Basis'!$B$49,'General Basis'!$B$50)))))))))))))</f>
        <v/>
      </c>
      <c r="BI3397" s="744" t="str">
        <f t="shared" si="1171"/>
        <v/>
      </c>
      <c r="BJ3397" s="747" t="str">
        <f t="shared" si="1178"/>
        <v/>
      </c>
      <c r="BK3397" s="498" t="str">
        <f t="shared" si="1172"/>
        <v/>
      </c>
      <c r="BL3397" s="498" t="str">
        <f t="shared" si="1173"/>
        <v/>
      </c>
    </row>
    <row r="3398" spans="1:64" x14ac:dyDescent="0.25">
      <c r="A3398" s="762">
        <f t="shared" si="1174"/>
        <v>3393</v>
      </c>
      <c r="B3398" s="229"/>
      <c r="C3398" s="223"/>
      <c r="D3398" s="224"/>
      <c r="E3398" s="225"/>
      <c r="F3398" s="1036" t="str">
        <f t="shared" si="1180"/>
        <v/>
      </c>
      <c r="G3398" s="1037" t="str">
        <f t="shared" si="1175"/>
        <v/>
      </c>
      <c r="H3398" s="225"/>
      <c r="I3398" s="1013"/>
      <c r="J3398" s="1013"/>
      <c r="K3398" s="1028"/>
      <c r="L3398" s="1035" t="str">
        <f t="shared" si="1179"/>
        <v/>
      </c>
      <c r="S3398" s="498"/>
      <c r="AJ3398" s="498"/>
      <c r="AM3398" s="498">
        <f t="shared" ref="AM3398:AM3461" si="1182">IF(ISTEXT(B3398),1,0)</f>
        <v>0</v>
      </c>
      <c r="AN3398" s="498">
        <f t="shared" ref="AN3398:AN3461" si="1183">IF(ISBLANK(B3398),0,IF(B3398&lt;$AK$6,1,0))</f>
        <v>0</v>
      </c>
      <c r="AO3398" s="498">
        <f t="shared" ref="AO3398:AO3461" si="1184">IF(ISBLANK(B3398),0,IF(B3398&gt;$AK$7,1,0))</f>
        <v>0</v>
      </c>
      <c r="AP3398" s="498">
        <f t="shared" si="1181"/>
        <v>0</v>
      </c>
      <c r="AQ3398" s="498">
        <f t="shared" si="1176"/>
        <v>0</v>
      </c>
      <c r="AU3398" s="498">
        <f t="shared" ref="AU3398:AU3461" si="1185">IF(ISBLANK(B3398),0,1)</f>
        <v>0</v>
      </c>
      <c r="AV3398" s="498">
        <f t="shared" ref="AV3398:AV3461" si="1186">IF(ISBLANK(C3398),0,1)</f>
        <v>0</v>
      </c>
      <c r="AW3398" s="498">
        <f t="shared" ref="AW3398:AW3461" si="1187">IF(ISBLANK(D3398),0,1)</f>
        <v>0</v>
      </c>
      <c r="AX3398" s="498">
        <f t="shared" ref="AX3398:AX3461" si="1188">IF(ISBLANK(E3398),0,1)</f>
        <v>0</v>
      </c>
      <c r="AY3398" s="498">
        <f t="shared" ref="AY3398:AY3461" si="1189">IF(ISBLANK(H3398),0,1)</f>
        <v>0</v>
      </c>
      <c r="BB3398" s="498" t="str">
        <f t="shared" ref="BB3398:BB3461" si="1190">IF(E3398="Principal","Principal",IF(E3398="","","Other"))</f>
        <v/>
      </c>
      <c r="BC3398" s="743" t="str">
        <f t="shared" ref="BC3398:BC3461" si="1191">IF(D3398="","",D3398)</f>
        <v/>
      </c>
      <c r="BD3398" s="743" t="str">
        <f t="shared" ref="BD3398:BD3461" si="1192">IF(E3398="Principal","Employee",IF(E3398="","","Dependent"))</f>
        <v/>
      </c>
      <c r="BE3398" s="743" t="str">
        <f>IF(D3398="","",VLOOKUP(D3398,'General Basis'!$J$39:$K$46,2,0))</f>
        <v/>
      </c>
      <c r="BF3398" s="744" t="str">
        <f>IF(D3398="","",VLOOKUP(D3398,'General Basis'!$J$39:$L$46,3,0))</f>
        <v/>
      </c>
      <c r="BG3398" s="744" t="str">
        <f t="shared" si="1177"/>
        <v/>
      </c>
      <c r="BH3398" s="744" t="str">
        <f>IF(G3398="","",IF(BF3398="Abu Dhabi",IF(G3398&lt;18,'General Basis'!$C$39,IF(G3398&lt;41,'General Basis'!$C$40,IF(G3398&lt;60,'General Basis'!$C$41,IF(G3398&lt;65,'General Basis'!$C$42,'General Basis'!$C$43)))),IF(G3398&lt;11,'General Basis'!$B$39,IF(G3398&lt;18,'General Basis'!$B$40,IF(G3398&lt;26,'General Basis'!$B$41,IF(G3398&lt;31,'General Basis'!$B$42,IF(G3398&lt;36,'General Basis'!$B$43,IF(G3398&lt;41,'General Basis'!$B$44,IF(G3398&lt;46,'General Basis'!$B$45,IF(G3398&lt;51,'General Basis'!$B$46,IF(G3398&lt;56,'General Basis'!$B$47,IF(G3398&lt;60,'General Basis'!$B$48,IF(G3398&lt;65,'General Basis'!$B$49,'General Basis'!$B$50)))))))))))))</f>
        <v/>
      </c>
      <c r="BI3398" s="744" t="str">
        <f t="shared" ref="BI3398:BI3461" si="1193">IF(C3398="","",IF(C3398="M","Male","Female"))</f>
        <v/>
      </c>
      <c r="BJ3398" s="747" t="str">
        <f t="shared" si="1178"/>
        <v/>
      </c>
      <c r="BK3398" s="498" t="str">
        <f t="shared" ref="BK3398:BK3461" si="1194">IF(BD3398="","",IF(AND(BD3398="Employee",BI3398="Male",BF3398="Abu Dhabi",BE3398=GN_Plus),VLOOKUP(BH3398,AUH_MALE_EMP,2,0),IF(AND(BD3398="Employee",BI3398="Male",BF3398="Abu Dhabi",BE3398=GN),VLOOKUP(BH3398,AUH_MALE_EMP,3,0),IF(AND(BD3398="Employee",BI3398="Male",BF3398="Abu Dhabi",BE3398=RN_Plus),VLOOKUP(BH3398,AUH_MALE_EMP,4,0),IF(AND(BD3398="Employee",BI3398="Male",BF3398="Abu Dhabi",BE3398=RN),VLOOKUP(BH3398,AUH_MALE_EMP,5,0),IF(AND(BD3398="Employee",BI3398="Male",BF3398="Abu Dhabi",BE3398=RN_2),VLOOKUP(BH3398,AUH_MALE_EMP,6,0),IF(AND(BD3398="Employee",BI3398="Male",BF3398="Abu Dhabi",BE3398=RN2_minus),VLOOKUP(BH3398,AUH_MALE_EMP,7,0),IF(AND(BD3398="Employee",BI3398="Male",BF3398="Abu Dhabi",BE3398=RN_3),VLOOKUP(BH3398,AUH_MALE_EMP,8,0),IF(AND(BD3398="Employee",BI3398="Male",BF3398="Abu Dhabi",BE3398=VN),VLOOKUP(BH3398,AUH_MALE_EMP,9,0),IF(BD3398="","",IF(AND(BD3398="Employee",BI3398="Female",BF3398="Abu Dhabi",BE3398=GN_Plus),VLOOKUP(BH3398,AUH_FEMALE_EMP,2,0),IF(AND(BD3398="Employee",BI3398="Female",BF3398="Abu Dhabi",BE3398=GN),VLOOKUP(BH3398,AUH_FEMALE_EMP,3,0),IF(AND(BD3398="Employee",BI3398="Female",BF3398="Abu Dhabi",BE3398=RN_Plus),VLOOKUP(BH3398,AUH_FEMALE_EMP,4,0),IF(AND(BD3398="Employee",BI3398="Female",BF3398="Abu Dhabi",BE3398=RN),VLOOKUP(BH3398,AUH_FEMALE_EMP,5,0),IF(AND(BD3398="Employee",BI3398="Female",BF3398="Abu Dhabi",BE3398=RN_2),VLOOKUP(BH3398,AUH_FEMALE_EMP,6,0),IF(AND(BD3398="Employee",BI3398="Female",BF3398="Abu Dhabi",BE3398=RN2_minus),VLOOKUP(BH3398,AUH_FEMALE_EMP,7,0),IF(AND(BD3398="Employee",BI3398="Female",BF3398="Abu Dhabi",BE3398=RN_3),VLOOKUP(BH3398,AUH_FEMALE_EMP,8,0),IF(AND(BD3398="Employee",BI3398="Female",BF3398="Abu Dhabi",BE3398=VN),VLOOKUP(BH3398,AUH_FEMALE_EMP,9,0),IF(BD3398="","",IF(AND(BD3398="Dependent",BI3398="Male",BF3398="Abu Dhabi",BE3398=GN_Plus),VLOOKUP(BH3398,AUH_MALE_DEP,2,0),IF(AND(BD3398="Dependent",BI3398="Male",BF3398="Abu Dhabi",BE3398=GN),VLOOKUP(BH3398,AUH_MALE_DEP,3,0),IF(AND(BD3398="Dependent",BI3398="Male",BF3398="Abu Dhabi",BE3398=RN_Plus),VLOOKUP(BH3398,AUH_MALE_DEP,4,0),IF(AND(BD3398="Dependent",BI3398="Male",BF3398="Abu Dhabi",BE3398=RN),VLOOKUP(BH3398,AUH_MALE_DEP,5,0),IF(AND(BD3398="Dependent",BI3398="Male",BF3398="Abu Dhabi",BE3398=RN_2),VLOOKUP(BH3398,AUH_MALE_DEP,6,0),IF(AND(BD3398="Dependent",BI3398="Male",BF3398="Abu Dhabi",BE3398=RN2_minus),VLOOKUP(BH3398,AUH_MALE_DEP,7,0),IF(AND(BD3398="Dependent",BI3398="Male",BF3398="Abu Dhabi",BE3398=RN_3),VLOOKUP(BH3398,AUH_MALE_DEP,8,0),IF(AND(BD3398="Dependent",BI3398="Male",BF3398="Abu Dhabi",BE3398=VN),VLOOKUP(BH3398,AUH_MALE_DEP,9,0),IF(BD3398="","",IF(AND(BD3398="Dependent",BI3398="Female",BF3398="Abu Dhabi",BE3398=GN_Plus),VLOOKUP(BH3398,AUH_FEMALE_DEP,2,0),IF(AND(BD3398="Dependent",BI3398="Female",BF3398="Abu Dhabi",BE3398=GN),VLOOKUP(BH3398,AUH_FEMALE_DEP,3,0),IF(AND(BD3398="Dependent",BI3398="Female",BF3398="Abu Dhabi",BE3398=RN_Plus),VLOOKUP(BH3398,AUH_FEMALE_DEP,4,0),IF(AND(BD3398="Dependent",BI3398="Female",BF3398="Abu Dhabi",BE3398=RN),VLOOKUP(BH3398,AUH_FEMALE_DEP,5,0),IF(AND(BD3398="Dependent",BI3398="Female",BF3398="Abu Dhabi",BE3398=RN_2),VLOOKUP(BH3398,AUH_FEMALE_DEP,6,0),IF(AND(BD3398="Dependent",BI3398="Female",BF3398="Abu Dhabi",BE3398=RN2_minus),VLOOKUP(BH3398,AUH_FEMALE_DEP,7,0),IF(AND(BD3398="Dependent",BI3398="Female",BF3398="Abu Dhabi",BE3398=RN_3),VLOOKUP(BH3398,AUH_FEMALE_DEP,8,0),IF(AND(BD3398="Dependent",BI3398="Female",BF3398="Abu Dhabi",BE3398=VN),VLOOKUP(BH3398,AUH_FEMALE_DEP,9,0),"ABC"))))))))))))))))))))))))))))))))))))</f>
        <v/>
      </c>
      <c r="BL3398" s="498" t="str">
        <f t="shared" ref="BL3398:BL3461" si="1195">IF(BD3398="","",IF(AND(BD3398="Employee",BI3398="Male",BF3398="Dubai",BE3398=GN_Plus),VLOOKUP(BH3398,DXB_MALE_EMP,2,0),IF(AND(BD3398="Employee",BI3398="Male",BF3398="Dubai",BE3398=GN),VLOOKUP(BH3398,DXB_MALE_EMP,3,0),IF(AND(BD3398="Employee",BI3398="Male",BF3398="Dubai",BE3398=RN_Plus),VLOOKUP(BH3398,DXB_MALE_EMP,4,0),IF(AND(BD3398="Employee",BI3398="Male",BF3398="Dubai",BE3398=RN),VLOOKUP(BH3398,DXB_MALE_EMP,5,0),IF(AND(BD3398="Employee",BI3398="Male",BF3398="Dubai",BE3398=RN_2),VLOOKUP(BH3398,DXB_MALE_EMP,6,0),IF(AND(BD3398="Employee",BI3398="Male",BF3398="Dubai",BE3398=RN2_minus),VLOOKUP(BH3398,DXB_MALE_EMP,7,0),IF(AND(BD3398="Employee",BI3398="Male",BF3398="Dubai",BE3398=RN_3),VLOOKUP(BH3398,DXB_MALE_EMP,8,0),IF(AND(BD3398="Employee",BI3398="Male",BF3398="Dubai",BE3398=VN),VLOOKUP(BH3398,DXB_MALE_EMP,9,0),IF(BD3398="","",IF(AND(BD3398="Employee",BI3398="Female",BF3398="Dubai",BE3398=GN_Plus),VLOOKUP(BH3398,DXB_FEMALE_EMP,2,0),IF(AND(BD3398="Employee",BI3398="Female",BF3398="Dubai",BE3398=GN),VLOOKUP(BH3398,DXB_FEMALE_EMP,3,0),IF(AND(BD3398="Employee",BI3398="Female",BF3398="Dubai",BE3398=RN_Plus),VLOOKUP(BH3398,DXB_FEMALE_EMP,4,0),IF(AND(BD3398="Employee",BI3398="Female",BF3398="Dubai",BE3398=RN),VLOOKUP(BH3398,DXB_FEMALE_EMP,5,0),IF(AND(BD3398="Employee",BI3398="Female",BF3398="Dubai",BE3398=RN_2),VLOOKUP(BH3398,DXB_FEMALE_EMP,6,0),IF(AND(BD3398="Employee",BI3398="Female",BF3398="Dubai",BE3398=RN2_minus),VLOOKUP(BH3398,DXB_FEMALE_EMP,7,0),IF(AND(BD3398="Employee",BI3398="Female",BF3398="Dubai",BE3398=RN_3),VLOOKUP(BH3398,DXB_FEMALE_EMP,8,0),IF(AND(BD3398="Employee",BI3398="Female",BF3398="Dubai",BE3398=VN),VLOOKUP(BH3398,DXB_FEMALE_EMP,9,0),IF(BD3398="","",IF(AND(BD3398="Dependent",BI3398="Male",BF3398="Dubai",BE3398=GN_Plus),VLOOKUP(BH3398,DXB_MALE_DEP,2,0),IF(AND(BD3398="Dependent",BI3398="Male",BF3398="Dubai",BE3398=GN),VLOOKUP(BH3398,DXB_MALE_DEP,3,0),IF(AND(BD3398="Dependent",BI3398="Male",BF3398="Dubai",BE3398=RN_Plus),VLOOKUP(BH3398,DXB_MALE_DEP,4,0),IF(AND(BD3398="Dependent",BI3398="Male",BF3398="Dubai",BE3398=RN),VLOOKUP(BH3398,DXB_MALE_DEP,5,0),IF(AND(BD3398="Dependent",BI3398="Male",BF3398="Dubai",BE3398=RN_2),VLOOKUP(BH3398,DXB_MALE_DEP,6,0),IF(AND(BD3398="Dependent",BI3398="Male",BF3398="Dubai",BE3398=RN2_minus),VLOOKUP(BH3398,DXB_MALE_DEP,7,0),IF(AND(BD3398="Dependent",BI3398="Male",BF3398="Dubai",BE3398=RN_3),VLOOKUP(BH3398,DXB_MALE_DEP,8,0),IF(AND(BD3398="Dependent",BI3398="Male",BF3398="Dubai",BE3398=VN),VLOOKUP(BH3398,DXB_MALE_DEP,9,0),IF(BD3398="","",IF(AND(BD3398="Dependent",BI3398="Female",BF3398="Dubai",BE3398=GN_Plus),VLOOKUP(BH3398,DXB_FEMALE_DEP,2,0),IF(AND(BD3398="Dependent",BI3398="Female",BF3398="Dubai",BE3398=GN),VLOOKUP(BH3398,DXB_FEMALE_DEP,3,0),IF(AND(BD3398="Dependent",BI3398="Female",BF3398="Dubai",BE3398=RN_Plus),VLOOKUP(BH3398,DXB_FEMALE_DEP,4,0),IF(AND(BD3398="Dependent",BI3398="Female",BF3398="Dubai",BE3398=RN),VLOOKUP(BH3398,DXB_FEMALE_DEP,5,0),IF(AND(BD3398="Dependent",BI3398="Female",BF3398="Dubai",BE3398=RN_2),VLOOKUP(BH3398,DXB_FEMALE_DEP,6,0),IF(AND(BD3398="Dependent",BI3398="Female",BF3398="Dubai",BE3398=RN2_minus),VLOOKUP(BH3398,DXB_FEMALE_DEP,7,0),IF(AND(BD3398="Dependent",BI3398="Female",BF3398="Dubai",BE3398=RN_3),VLOOKUP(BH3398,DXB_FEMALE_DEP,8,0),IF(AND(BD3398="Dependent",BI3398="Female",BF3398="Dubai",BE3398=VN),VLOOKUP(BH3398,DXB_FEMALE_DEP,9,0),"ABC"))))))))))))))))))))))))))))))))))))</f>
        <v/>
      </c>
    </row>
    <row r="3399" spans="1:64" x14ac:dyDescent="0.25">
      <c r="A3399" s="762">
        <f t="shared" ref="A3399:A3462" si="1196">+A3398+1</f>
        <v>3394</v>
      </c>
      <c r="B3399" s="229"/>
      <c r="C3399" s="223"/>
      <c r="D3399" s="224"/>
      <c r="E3399" s="225"/>
      <c r="F3399" s="1036" t="str">
        <f t="shared" si="1180"/>
        <v/>
      </c>
      <c r="G3399" s="1037" t="str">
        <f t="shared" ref="G3399:G3462" si="1197">IF(D3399="","",MAX(0,ROUNDUP(F3399,0)))</f>
        <v/>
      </c>
      <c r="H3399" s="225"/>
      <c r="I3399" s="1013"/>
      <c r="J3399" s="1013"/>
      <c r="K3399" s="1028"/>
      <c r="L3399" s="1035" t="str">
        <f t="shared" si="1179"/>
        <v/>
      </c>
      <c r="S3399" s="498"/>
      <c r="AJ3399" s="498"/>
      <c r="AM3399" s="498">
        <f t="shared" si="1182"/>
        <v>0</v>
      </c>
      <c r="AN3399" s="498">
        <f t="shared" si="1183"/>
        <v>0</v>
      </c>
      <c r="AO3399" s="498">
        <f t="shared" si="1184"/>
        <v>0</v>
      </c>
      <c r="AP3399" s="498">
        <f t="shared" si="1181"/>
        <v>0</v>
      </c>
      <c r="AQ3399" s="498">
        <f t="shared" ref="AQ3399:AQ3462" si="1198">IF(ISBLANK($B3399),0,IF(OR($H3399="Single",$H3399="Married"),0,1))</f>
        <v>0</v>
      </c>
      <c r="AU3399" s="498">
        <f t="shared" si="1185"/>
        <v>0</v>
      </c>
      <c r="AV3399" s="498">
        <f t="shared" si="1186"/>
        <v>0</v>
      </c>
      <c r="AW3399" s="498">
        <f t="shared" si="1187"/>
        <v>0</v>
      </c>
      <c r="AX3399" s="498">
        <f t="shared" si="1188"/>
        <v>0</v>
      </c>
      <c r="AY3399" s="498">
        <f t="shared" si="1189"/>
        <v>0</v>
      </c>
      <c r="BB3399" s="498" t="str">
        <f t="shared" si="1190"/>
        <v/>
      </c>
      <c r="BC3399" s="743" t="str">
        <f t="shared" si="1191"/>
        <v/>
      </c>
      <c r="BD3399" s="743" t="str">
        <f t="shared" si="1192"/>
        <v/>
      </c>
      <c r="BE3399" s="743" t="str">
        <f>IF(D3399="","",VLOOKUP(D3399,'General Basis'!$J$39:$K$46,2,0))</f>
        <v/>
      </c>
      <c r="BF3399" s="744" t="str">
        <f>IF(D3399="","",VLOOKUP(D3399,'General Basis'!$J$39:$L$46,3,0))</f>
        <v/>
      </c>
      <c r="BG3399" s="744" t="str">
        <f t="shared" ref="BG3399:BG3462" si="1199">BC3399&amp;BI3399</f>
        <v/>
      </c>
      <c r="BH3399" s="744" t="str">
        <f>IF(G3399="","",IF(BF3399="Abu Dhabi",IF(G3399&lt;18,'General Basis'!$C$39,IF(G3399&lt;41,'General Basis'!$C$40,IF(G3399&lt;60,'General Basis'!$C$41,IF(G3399&lt;65,'General Basis'!$C$42,'General Basis'!$C$43)))),IF(G3399&lt;11,'General Basis'!$B$39,IF(G3399&lt;18,'General Basis'!$B$40,IF(G3399&lt;26,'General Basis'!$B$41,IF(G3399&lt;31,'General Basis'!$B$42,IF(G3399&lt;36,'General Basis'!$B$43,IF(G3399&lt;41,'General Basis'!$B$44,IF(G3399&lt;46,'General Basis'!$B$45,IF(G3399&lt;51,'General Basis'!$B$46,IF(G3399&lt;56,'General Basis'!$B$47,IF(G3399&lt;60,'General Basis'!$B$48,IF(G3399&lt;65,'General Basis'!$B$49,'General Basis'!$B$50)))))))))))))</f>
        <v/>
      </c>
      <c r="BI3399" s="744" t="str">
        <f t="shared" si="1193"/>
        <v/>
      </c>
      <c r="BJ3399" s="747" t="str">
        <f t="shared" ref="BJ3399:BJ3462" si="1200">IF(BD3399="","",IF(BF3399="Abu Dhabi",BK3399,BL3399))</f>
        <v/>
      </c>
      <c r="BK3399" s="498" t="str">
        <f t="shared" si="1194"/>
        <v/>
      </c>
      <c r="BL3399" s="498" t="str">
        <f t="shared" si="1195"/>
        <v/>
      </c>
    </row>
    <row r="3400" spans="1:64" x14ac:dyDescent="0.25">
      <c r="A3400" s="762">
        <f t="shared" si="1196"/>
        <v>3395</v>
      </c>
      <c r="B3400" s="229"/>
      <c r="C3400" s="223"/>
      <c r="D3400" s="224"/>
      <c r="E3400" s="225"/>
      <c r="F3400" s="1036" t="str">
        <f t="shared" si="1180"/>
        <v/>
      </c>
      <c r="G3400" s="1037" t="str">
        <f t="shared" si="1197"/>
        <v/>
      </c>
      <c r="H3400" s="225"/>
      <c r="I3400" s="1013"/>
      <c r="J3400" s="1013"/>
      <c r="K3400" s="1028"/>
      <c r="L3400" s="1035" t="str">
        <f t="shared" ref="L3400:L3463" si="1201">IF(AND(E3400="Child",H3400="Married"),"Check the Marital Status of the Child. ",IF(AND(E3400="Child",F3400&gt;18),"Child Age exceed 18 years. ",IF(AND(E3400="Spouse",H3400="Single"),"Spouse is selected as Single. ","")))&amp;IF(K3400&gt;0,"UW Loading has been Applied","")</f>
        <v/>
      </c>
      <c r="S3400" s="498"/>
      <c r="AJ3400" s="498"/>
      <c r="AM3400" s="498">
        <f t="shared" si="1182"/>
        <v>0</v>
      </c>
      <c r="AN3400" s="498">
        <f t="shared" si="1183"/>
        <v>0</v>
      </c>
      <c r="AO3400" s="498">
        <f t="shared" si="1184"/>
        <v>0</v>
      </c>
      <c r="AP3400" s="498">
        <f t="shared" si="1181"/>
        <v>0</v>
      </c>
      <c r="AQ3400" s="498">
        <f t="shared" si="1198"/>
        <v>0</v>
      </c>
      <c r="AU3400" s="498">
        <f t="shared" si="1185"/>
        <v>0</v>
      </c>
      <c r="AV3400" s="498">
        <f t="shared" si="1186"/>
        <v>0</v>
      </c>
      <c r="AW3400" s="498">
        <f t="shared" si="1187"/>
        <v>0</v>
      </c>
      <c r="AX3400" s="498">
        <f t="shared" si="1188"/>
        <v>0</v>
      </c>
      <c r="AY3400" s="498">
        <f t="shared" si="1189"/>
        <v>0</v>
      </c>
      <c r="BB3400" s="498" t="str">
        <f t="shared" si="1190"/>
        <v/>
      </c>
      <c r="BC3400" s="743" t="str">
        <f t="shared" si="1191"/>
        <v/>
      </c>
      <c r="BD3400" s="743" t="str">
        <f t="shared" si="1192"/>
        <v/>
      </c>
      <c r="BE3400" s="743" t="str">
        <f>IF(D3400="","",VLOOKUP(D3400,'General Basis'!$J$39:$K$46,2,0))</f>
        <v/>
      </c>
      <c r="BF3400" s="744" t="str">
        <f>IF(D3400="","",VLOOKUP(D3400,'General Basis'!$J$39:$L$46,3,0))</f>
        <v/>
      </c>
      <c r="BG3400" s="744" t="str">
        <f t="shared" si="1199"/>
        <v/>
      </c>
      <c r="BH3400" s="744" t="str">
        <f>IF(G3400="","",IF(BF3400="Abu Dhabi",IF(G3400&lt;18,'General Basis'!$C$39,IF(G3400&lt;41,'General Basis'!$C$40,IF(G3400&lt;60,'General Basis'!$C$41,IF(G3400&lt;65,'General Basis'!$C$42,'General Basis'!$C$43)))),IF(G3400&lt;11,'General Basis'!$B$39,IF(G3400&lt;18,'General Basis'!$B$40,IF(G3400&lt;26,'General Basis'!$B$41,IF(G3400&lt;31,'General Basis'!$B$42,IF(G3400&lt;36,'General Basis'!$B$43,IF(G3400&lt;41,'General Basis'!$B$44,IF(G3400&lt;46,'General Basis'!$B$45,IF(G3400&lt;51,'General Basis'!$B$46,IF(G3400&lt;56,'General Basis'!$B$47,IF(G3400&lt;60,'General Basis'!$B$48,IF(G3400&lt;65,'General Basis'!$B$49,'General Basis'!$B$50)))))))))))))</f>
        <v/>
      </c>
      <c r="BI3400" s="744" t="str">
        <f t="shared" si="1193"/>
        <v/>
      </c>
      <c r="BJ3400" s="747" t="str">
        <f t="shared" si="1200"/>
        <v/>
      </c>
      <c r="BK3400" s="498" t="str">
        <f t="shared" si="1194"/>
        <v/>
      </c>
      <c r="BL3400" s="498" t="str">
        <f t="shared" si="1195"/>
        <v/>
      </c>
    </row>
    <row r="3401" spans="1:64" x14ac:dyDescent="0.25">
      <c r="A3401" s="762">
        <f t="shared" si="1196"/>
        <v>3396</v>
      </c>
      <c r="B3401" s="229"/>
      <c r="C3401" s="223"/>
      <c r="D3401" s="224"/>
      <c r="E3401" s="225"/>
      <c r="F3401" s="1036" t="str">
        <f t="shared" si="1180"/>
        <v/>
      </c>
      <c r="G3401" s="1037" t="str">
        <f t="shared" si="1197"/>
        <v/>
      </c>
      <c r="H3401" s="225"/>
      <c r="I3401" s="1013"/>
      <c r="J3401" s="1013"/>
      <c r="K3401" s="1028"/>
      <c r="L3401" s="1035" t="str">
        <f t="shared" si="1201"/>
        <v/>
      </c>
      <c r="S3401" s="498"/>
      <c r="AJ3401" s="498"/>
      <c r="AM3401" s="498">
        <f t="shared" si="1182"/>
        <v>0</v>
      </c>
      <c r="AN3401" s="498">
        <f t="shared" si="1183"/>
        <v>0</v>
      </c>
      <c r="AO3401" s="498">
        <f t="shared" si="1184"/>
        <v>0</v>
      </c>
      <c r="AP3401" s="498">
        <f t="shared" si="1181"/>
        <v>0</v>
      </c>
      <c r="AQ3401" s="498">
        <f t="shared" si="1198"/>
        <v>0</v>
      </c>
      <c r="AU3401" s="498">
        <f t="shared" si="1185"/>
        <v>0</v>
      </c>
      <c r="AV3401" s="498">
        <f t="shared" si="1186"/>
        <v>0</v>
      </c>
      <c r="AW3401" s="498">
        <f t="shared" si="1187"/>
        <v>0</v>
      </c>
      <c r="AX3401" s="498">
        <f t="shared" si="1188"/>
        <v>0</v>
      </c>
      <c r="AY3401" s="498">
        <f t="shared" si="1189"/>
        <v>0</v>
      </c>
      <c r="BB3401" s="498" t="str">
        <f t="shared" si="1190"/>
        <v/>
      </c>
      <c r="BC3401" s="743" t="str">
        <f t="shared" si="1191"/>
        <v/>
      </c>
      <c r="BD3401" s="743" t="str">
        <f t="shared" si="1192"/>
        <v/>
      </c>
      <c r="BE3401" s="743" t="str">
        <f>IF(D3401="","",VLOOKUP(D3401,'General Basis'!$J$39:$K$46,2,0))</f>
        <v/>
      </c>
      <c r="BF3401" s="744" t="str">
        <f>IF(D3401="","",VLOOKUP(D3401,'General Basis'!$J$39:$L$46,3,0))</f>
        <v/>
      </c>
      <c r="BG3401" s="744" t="str">
        <f t="shared" si="1199"/>
        <v/>
      </c>
      <c r="BH3401" s="744" t="str">
        <f>IF(G3401="","",IF(BF3401="Abu Dhabi",IF(G3401&lt;18,'General Basis'!$C$39,IF(G3401&lt;41,'General Basis'!$C$40,IF(G3401&lt;60,'General Basis'!$C$41,IF(G3401&lt;65,'General Basis'!$C$42,'General Basis'!$C$43)))),IF(G3401&lt;11,'General Basis'!$B$39,IF(G3401&lt;18,'General Basis'!$B$40,IF(G3401&lt;26,'General Basis'!$B$41,IF(G3401&lt;31,'General Basis'!$B$42,IF(G3401&lt;36,'General Basis'!$B$43,IF(G3401&lt;41,'General Basis'!$B$44,IF(G3401&lt;46,'General Basis'!$B$45,IF(G3401&lt;51,'General Basis'!$B$46,IF(G3401&lt;56,'General Basis'!$B$47,IF(G3401&lt;60,'General Basis'!$B$48,IF(G3401&lt;65,'General Basis'!$B$49,'General Basis'!$B$50)))))))))))))</f>
        <v/>
      </c>
      <c r="BI3401" s="744" t="str">
        <f t="shared" si="1193"/>
        <v/>
      </c>
      <c r="BJ3401" s="747" t="str">
        <f t="shared" si="1200"/>
        <v/>
      </c>
      <c r="BK3401" s="498" t="str">
        <f t="shared" si="1194"/>
        <v/>
      </c>
      <c r="BL3401" s="498" t="str">
        <f t="shared" si="1195"/>
        <v/>
      </c>
    </row>
    <row r="3402" spans="1:64" x14ac:dyDescent="0.25">
      <c r="A3402" s="762">
        <f t="shared" si="1196"/>
        <v>3397</v>
      </c>
      <c r="B3402" s="229"/>
      <c r="C3402" s="223"/>
      <c r="D3402" s="224"/>
      <c r="E3402" s="225"/>
      <c r="F3402" s="1036" t="str">
        <f t="shared" si="1180"/>
        <v/>
      </c>
      <c r="G3402" s="1037" t="str">
        <f t="shared" si="1197"/>
        <v/>
      </c>
      <c r="H3402" s="225"/>
      <c r="I3402" s="1013"/>
      <c r="J3402" s="1013"/>
      <c r="K3402" s="1028"/>
      <c r="L3402" s="1035" t="str">
        <f t="shared" si="1201"/>
        <v/>
      </c>
      <c r="S3402" s="498"/>
      <c r="AJ3402" s="498"/>
      <c r="AM3402" s="498">
        <f t="shared" si="1182"/>
        <v>0</v>
      </c>
      <c r="AN3402" s="498">
        <f t="shared" si="1183"/>
        <v>0</v>
      </c>
      <c r="AO3402" s="498">
        <f t="shared" si="1184"/>
        <v>0</v>
      </c>
      <c r="AP3402" s="498">
        <f t="shared" si="1181"/>
        <v>0</v>
      </c>
      <c r="AQ3402" s="498">
        <f t="shared" si="1198"/>
        <v>0</v>
      </c>
      <c r="AU3402" s="498">
        <f t="shared" si="1185"/>
        <v>0</v>
      </c>
      <c r="AV3402" s="498">
        <f t="shared" si="1186"/>
        <v>0</v>
      </c>
      <c r="AW3402" s="498">
        <f t="shared" si="1187"/>
        <v>0</v>
      </c>
      <c r="AX3402" s="498">
        <f t="shared" si="1188"/>
        <v>0</v>
      </c>
      <c r="AY3402" s="498">
        <f t="shared" si="1189"/>
        <v>0</v>
      </c>
      <c r="BB3402" s="498" t="str">
        <f t="shared" si="1190"/>
        <v/>
      </c>
      <c r="BC3402" s="743" t="str">
        <f t="shared" si="1191"/>
        <v/>
      </c>
      <c r="BD3402" s="743" t="str">
        <f t="shared" si="1192"/>
        <v/>
      </c>
      <c r="BE3402" s="743" t="str">
        <f>IF(D3402="","",VLOOKUP(D3402,'General Basis'!$J$39:$K$46,2,0))</f>
        <v/>
      </c>
      <c r="BF3402" s="744" t="str">
        <f>IF(D3402="","",VLOOKUP(D3402,'General Basis'!$J$39:$L$46,3,0))</f>
        <v/>
      </c>
      <c r="BG3402" s="744" t="str">
        <f t="shared" si="1199"/>
        <v/>
      </c>
      <c r="BH3402" s="744" t="str">
        <f>IF(G3402="","",IF(BF3402="Abu Dhabi",IF(G3402&lt;18,'General Basis'!$C$39,IF(G3402&lt;41,'General Basis'!$C$40,IF(G3402&lt;60,'General Basis'!$C$41,IF(G3402&lt;65,'General Basis'!$C$42,'General Basis'!$C$43)))),IF(G3402&lt;11,'General Basis'!$B$39,IF(G3402&lt;18,'General Basis'!$B$40,IF(G3402&lt;26,'General Basis'!$B$41,IF(G3402&lt;31,'General Basis'!$B$42,IF(G3402&lt;36,'General Basis'!$B$43,IF(G3402&lt;41,'General Basis'!$B$44,IF(G3402&lt;46,'General Basis'!$B$45,IF(G3402&lt;51,'General Basis'!$B$46,IF(G3402&lt;56,'General Basis'!$B$47,IF(G3402&lt;60,'General Basis'!$B$48,IF(G3402&lt;65,'General Basis'!$B$49,'General Basis'!$B$50)))))))))))))</f>
        <v/>
      </c>
      <c r="BI3402" s="744" t="str">
        <f t="shared" si="1193"/>
        <v/>
      </c>
      <c r="BJ3402" s="747" t="str">
        <f t="shared" si="1200"/>
        <v/>
      </c>
      <c r="BK3402" s="498" t="str">
        <f t="shared" si="1194"/>
        <v/>
      </c>
      <c r="BL3402" s="498" t="str">
        <f t="shared" si="1195"/>
        <v/>
      </c>
    </row>
    <row r="3403" spans="1:64" x14ac:dyDescent="0.25">
      <c r="A3403" s="762">
        <f t="shared" si="1196"/>
        <v>3398</v>
      </c>
      <c r="B3403" s="229"/>
      <c r="C3403" s="223"/>
      <c r="D3403" s="224"/>
      <c r="E3403" s="225"/>
      <c r="F3403" s="1036" t="str">
        <f t="shared" si="1180"/>
        <v/>
      </c>
      <c r="G3403" s="1037" t="str">
        <f t="shared" si="1197"/>
        <v/>
      </c>
      <c r="H3403" s="225"/>
      <c r="I3403" s="1013"/>
      <c r="J3403" s="1013"/>
      <c r="K3403" s="1028"/>
      <c r="L3403" s="1035" t="str">
        <f t="shared" si="1201"/>
        <v/>
      </c>
      <c r="S3403" s="498"/>
      <c r="AJ3403" s="498"/>
      <c r="AM3403" s="498">
        <f t="shared" si="1182"/>
        <v>0</v>
      </c>
      <c r="AN3403" s="498">
        <f t="shared" si="1183"/>
        <v>0</v>
      </c>
      <c r="AO3403" s="498">
        <f t="shared" si="1184"/>
        <v>0</v>
      </c>
      <c r="AP3403" s="498">
        <f t="shared" si="1181"/>
        <v>0</v>
      </c>
      <c r="AQ3403" s="498">
        <f t="shared" si="1198"/>
        <v>0</v>
      </c>
      <c r="AU3403" s="498">
        <f t="shared" si="1185"/>
        <v>0</v>
      </c>
      <c r="AV3403" s="498">
        <f t="shared" si="1186"/>
        <v>0</v>
      </c>
      <c r="AW3403" s="498">
        <f t="shared" si="1187"/>
        <v>0</v>
      </c>
      <c r="AX3403" s="498">
        <f t="shared" si="1188"/>
        <v>0</v>
      </c>
      <c r="AY3403" s="498">
        <f t="shared" si="1189"/>
        <v>0</v>
      </c>
      <c r="BB3403" s="498" t="str">
        <f t="shared" si="1190"/>
        <v/>
      </c>
      <c r="BC3403" s="743" t="str">
        <f t="shared" si="1191"/>
        <v/>
      </c>
      <c r="BD3403" s="743" t="str">
        <f t="shared" si="1192"/>
        <v/>
      </c>
      <c r="BE3403" s="743" t="str">
        <f>IF(D3403="","",VLOOKUP(D3403,'General Basis'!$J$39:$K$46,2,0))</f>
        <v/>
      </c>
      <c r="BF3403" s="744" t="str">
        <f>IF(D3403="","",VLOOKUP(D3403,'General Basis'!$J$39:$L$46,3,0))</f>
        <v/>
      </c>
      <c r="BG3403" s="744" t="str">
        <f t="shared" si="1199"/>
        <v/>
      </c>
      <c r="BH3403" s="744" t="str">
        <f>IF(G3403="","",IF(BF3403="Abu Dhabi",IF(G3403&lt;18,'General Basis'!$C$39,IF(G3403&lt;41,'General Basis'!$C$40,IF(G3403&lt;60,'General Basis'!$C$41,IF(G3403&lt;65,'General Basis'!$C$42,'General Basis'!$C$43)))),IF(G3403&lt;11,'General Basis'!$B$39,IF(G3403&lt;18,'General Basis'!$B$40,IF(G3403&lt;26,'General Basis'!$B$41,IF(G3403&lt;31,'General Basis'!$B$42,IF(G3403&lt;36,'General Basis'!$B$43,IF(G3403&lt;41,'General Basis'!$B$44,IF(G3403&lt;46,'General Basis'!$B$45,IF(G3403&lt;51,'General Basis'!$B$46,IF(G3403&lt;56,'General Basis'!$B$47,IF(G3403&lt;60,'General Basis'!$B$48,IF(G3403&lt;65,'General Basis'!$B$49,'General Basis'!$B$50)))))))))))))</f>
        <v/>
      </c>
      <c r="BI3403" s="744" t="str">
        <f t="shared" si="1193"/>
        <v/>
      </c>
      <c r="BJ3403" s="747" t="str">
        <f t="shared" si="1200"/>
        <v/>
      </c>
      <c r="BK3403" s="498" t="str">
        <f t="shared" si="1194"/>
        <v/>
      </c>
      <c r="BL3403" s="498" t="str">
        <f t="shared" si="1195"/>
        <v/>
      </c>
    </row>
    <row r="3404" spans="1:64" x14ac:dyDescent="0.25">
      <c r="A3404" s="762">
        <f t="shared" si="1196"/>
        <v>3399</v>
      </c>
      <c r="B3404" s="229"/>
      <c r="C3404" s="223"/>
      <c r="D3404" s="224"/>
      <c r="E3404" s="225"/>
      <c r="F3404" s="1036" t="str">
        <f t="shared" si="1180"/>
        <v/>
      </c>
      <c r="G3404" s="1037" t="str">
        <f t="shared" si="1197"/>
        <v/>
      </c>
      <c r="H3404" s="225"/>
      <c r="I3404" s="1013"/>
      <c r="J3404" s="1013"/>
      <c r="K3404" s="1028"/>
      <c r="L3404" s="1035" t="str">
        <f t="shared" si="1201"/>
        <v/>
      </c>
      <c r="S3404" s="498"/>
      <c r="AJ3404" s="498"/>
      <c r="AM3404" s="498">
        <f t="shared" si="1182"/>
        <v>0</v>
      </c>
      <c r="AN3404" s="498">
        <f t="shared" si="1183"/>
        <v>0</v>
      </c>
      <c r="AO3404" s="498">
        <f t="shared" si="1184"/>
        <v>0</v>
      </c>
      <c r="AP3404" s="498">
        <f t="shared" si="1181"/>
        <v>0</v>
      </c>
      <c r="AQ3404" s="498">
        <f t="shared" si="1198"/>
        <v>0</v>
      </c>
      <c r="AU3404" s="498">
        <f t="shared" si="1185"/>
        <v>0</v>
      </c>
      <c r="AV3404" s="498">
        <f t="shared" si="1186"/>
        <v>0</v>
      </c>
      <c r="AW3404" s="498">
        <f t="shared" si="1187"/>
        <v>0</v>
      </c>
      <c r="AX3404" s="498">
        <f t="shared" si="1188"/>
        <v>0</v>
      </c>
      <c r="AY3404" s="498">
        <f t="shared" si="1189"/>
        <v>0</v>
      </c>
      <c r="BB3404" s="498" t="str">
        <f t="shared" si="1190"/>
        <v/>
      </c>
      <c r="BC3404" s="743" t="str">
        <f t="shared" si="1191"/>
        <v/>
      </c>
      <c r="BD3404" s="743" t="str">
        <f t="shared" si="1192"/>
        <v/>
      </c>
      <c r="BE3404" s="743" t="str">
        <f>IF(D3404="","",VLOOKUP(D3404,'General Basis'!$J$39:$K$46,2,0))</f>
        <v/>
      </c>
      <c r="BF3404" s="744" t="str">
        <f>IF(D3404="","",VLOOKUP(D3404,'General Basis'!$J$39:$L$46,3,0))</f>
        <v/>
      </c>
      <c r="BG3404" s="744" t="str">
        <f t="shared" si="1199"/>
        <v/>
      </c>
      <c r="BH3404" s="744" t="str">
        <f>IF(G3404="","",IF(BF3404="Abu Dhabi",IF(G3404&lt;18,'General Basis'!$C$39,IF(G3404&lt;41,'General Basis'!$C$40,IF(G3404&lt;60,'General Basis'!$C$41,IF(G3404&lt;65,'General Basis'!$C$42,'General Basis'!$C$43)))),IF(G3404&lt;11,'General Basis'!$B$39,IF(G3404&lt;18,'General Basis'!$B$40,IF(G3404&lt;26,'General Basis'!$B$41,IF(G3404&lt;31,'General Basis'!$B$42,IF(G3404&lt;36,'General Basis'!$B$43,IF(G3404&lt;41,'General Basis'!$B$44,IF(G3404&lt;46,'General Basis'!$B$45,IF(G3404&lt;51,'General Basis'!$B$46,IF(G3404&lt;56,'General Basis'!$B$47,IF(G3404&lt;60,'General Basis'!$B$48,IF(G3404&lt;65,'General Basis'!$B$49,'General Basis'!$B$50)))))))))))))</f>
        <v/>
      </c>
      <c r="BI3404" s="744" t="str">
        <f t="shared" si="1193"/>
        <v/>
      </c>
      <c r="BJ3404" s="747" t="str">
        <f t="shared" si="1200"/>
        <v/>
      </c>
      <c r="BK3404" s="498" t="str">
        <f t="shared" si="1194"/>
        <v/>
      </c>
      <c r="BL3404" s="498" t="str">
        <f t="shared" si="1195"/>
        <v/>
      </c>
    </row>
    <row r="3405" spans="1:64" x14ac:dyDescent="0.25">
      <c r="A3405" s="762">
        <f t="shared" si="1196"/>
        <v>3400</v>
      </c>
      <c r="B3405" s="229"/>
      <c r="C3405" s="223"/>
      <c r="D3405" s="224"/>
      <c r="E3405" s="225"/>
      <c r="F3405" s="1036" t="str">
        <f t="shared" si="1180"/>
        <v/>
      </c>
      <c r="G3405" s="1037" t="str">
        <f t="shared" si="1197"/>
        <v/>
      </c>
      <c r="H3405" s="225"/>
      <c r="I3405" s="1013"/>
      <c r="J3405" s="1013"/>
      <c r="K3405" s="1028"/>
      <c r="L3405" s="1035" t="str">
        <f t="shared" si="1201"/>
        <v/>
      </c>
      <c r="S3405" s="498"/>
      <c r="AJ3405" s="498"/>
      <c r="AM3405" s="498">
        <f t="shared" si="1182"/>
        <v>0</v>
      </c>
      <c r="AN3405" s="498">
        <f t="shared" si="1183"/>
        <v>0</v>
      </c>
      <c r="AO3405" s="498">
        <f t="shared" si="1184"/>
        <v>0</v>
      </c>
      <c r="AP3405" s="498">
        <f t="shared" si="1181"/>
        <v>0</v>
      </c>
      <c r="AQ3405" s="498">
        <f t="shared" si="1198"/>
        <v>0</v>
      </c>
      <c r="AU3405" s="498">
        <f t="shared" si="1185"/>
        <v>0</v>
      </c>
      <c r="AV3405" s="498">
        <f t="shared" si="1186"/>
        <v>0</v>
      </c>
      <c r="AW3405" s="498">
        <f t="shared" si="1187"/>
        <v>0</v>
      </c>
      <c r="AX3405" s="498">
        <f t="shared" si="1188"/>
        <v>0</v>
      </c>
      <c r="AY3405" s="498">
        <f t="shared" si="1189"/>
        <v>0</v>
      </c>
      <c r="BB3405" s="498" t="str">
        <f t="shared" si="1190"/>
        <v/>
      </c>
      <c r="BC3405" s="743" t="str">
        <f t="shared" si="1191"/>
        <v/>
      </c>
      <c r="BD3405" s="743" t="str">
        <f t="shared" si="1192"/>
        <v/>
      </c>
      <c r="BE3405" s="743" t="str">
        <f>IF(D3405="","",VLOOKUP(D3405,'General Basis'!$J$39:$K$46,2,0))</f>
        <v/>
      </c>
      <c r="BF3405" s="744" t="str">
        <f>IF(D3405="","",VLOOKUP(D3405,'General Basis'!$J$39:$L$46,3,0))</f>
        <v/>
      </c>
      <c r="BG3405" s="744" t="str">
        <f t="shared" si="1199"/>
        <v/>
      </c>
      <c r="BH3405" s="744" t="str">
        <f>IF(G3405="","",IF(BF3405="Abu Dhabi",IF(G3405&lt;18,'General Basis'!$C$39,IF(G3405&lt;41,'General Basis'!$C$40,IF(G3405&lt;60,'General Basis'!$C$41,IF(G3405&lt;65,'General Basis'!$C$42,'General Basis'!$C$43)))),IF(G3405&lt;11,'General Basis'!$B$39,IF(G3405&lt;18,'General Basis'!$B$40,IF(G3405&lt;26,'General Basis'!$B$41,IF(G3405&lt;31,'General Basis'!$B$42,IF(G3405&lt;36,'General Basis'!$B$43,IF(G3405&lt;41,'General Basis'!$B$44,IF(G3405&lt;46,'General Basis'!$B$45,IF(G3405&lt;51,'General Basis'!$B$46,IF(G3405&lt;56,'General Basis'!$B$47,IF(G3405&lt;60,'General Basis'!$B$48,IF(G3405&lt;65,'General Basis'!$B$49,'General Basis'!$B$50)))))))))))))</f>
        <v/>
      </c>
      <c r="BI3405" s="744" t="str">
        <f t="shared" si="1193"/>
        <v/>
      </c>
      <c r="BJ3405" s="747" t="str">
        <f t="shared" si="1200"/>
        <v/>
      </c>
      <c r="BK3405" s="498" t="str">
        <f t="shared" si="1194"/>
        <v/>
      </c>
      <c r="BL3405" s="498" t="str">
        <f t="shared" si="1195"/>
        <v/>
      </c>
    </row>
    <row r="3406" spans="1:64" x14ac:dyDescent="0.25">
      <c r="A3406" s="762">
        <f t="shared" si="1196"/>
        <v>3401</v>
      </c>
      <c r="B3406" s="229"/>
      <c r="C3406" s="223"/>
      <c r="D3406" s="224"/>
      <c r="E3406" s="225"/>
      <c r="F3406" s="1036" t="str">
        <f t="shared" si="1180"/>
        <v/>
      </c>
      <c r="G3406" s="1037" t="str">
        <f t="shared" si="1197"/>
        <v/>
      </c>
      <c r="H3406" s="225"/>
      <c r="I3406" s="1013"/>
      <c r="J3406" s="1013"/>
      <c r="K3406" s="1028"/>
      <c r="L3406" s="1035" t="str">
        <f t="shared" si="1201"/>
        <v/>
      </c>
      <c r="S3406" s="498"/>
      <c r="AJ3406" s="498"/>
      <c r="AM3406" s="498">
        <f t="shared" si="1182"/>
        <v>0</v>
      </c>
      <c r="AN3406" s="498">
        <f t="shared" si="1183"/>
        <v>0</v>
      </c>
      <c r="AO3406" s="498">
        <f t="shared" si="1184"/>
        <v>0</v>
      </c>
      <c r="AP3406" s="498">
        <f t="shared" si="1181"/>
        <v>0</v>
      </c>
      <c r="AQ3406" s="498">
        <f t="shared" si="1198"/>
        <v>0</v>
      </c>
      <c r="AU3406" s="498">
        <f t="shared" si="1185"/>
        <v>0</v>
      </c>
      <c r="AV3406" s="498">
        <f t="shared" si="1186"/>
        <v>0</v>
      </c>
      <c r="AW3406" s="498">
        <f t="shared" si="1187"/>
        <v>0</v>
      </c>
      <c r="AX3406" s="498">
        <f t="shared" si="1188"/>
        <v>0</v>
      </c>
      <c r="AY3406" s="498">
        <f t="shared" si="1189"/>
        <v>0</v>
      </c>
      <c r="BB3406" s="498" t="str">
        <f t="shared" si="1190"/>
        <v/>
      </c>
      <c r="BC3406" s="743" t="str">
        <f t="shared" si="1191"/>
        <v/>
      </c>
      <c r="BD3406" s="743" t="str">
        <f t="shared" si="1192"/>
        <v/>
      </c>
      <c r="BE3406" s="743" t="str">
        <f>IF(D3406="","",VLOOKUP(D3406,'General Basis'!$J$39:$K$46,2,0))</f>
        <v/>
      </c>
      <c r="BF3406" s="744" t="str">
        <f>IF(D3406="","",VLOOKUP(D3406,'General Basis'!$J$39:$L$46,3,0))</f>
        <v/>
      </c>
      <c r="BG3406" s="744" t="str">
        <f t="shared" si="1199"/>
        <v/>
      </c>
      <c r="BH3406" s="744" t="str">
        <f>IF(G3406="","",IF(BF3406="Abu Dhabi",IF(G3406&lt;18,'General Basis'!$C$39,IF(G3406&lt;41,'General Basis'!$C$40,IF(G3406&lt;60,'General Basis'!$C$41,IF(G3406&lt;65,'General Basis'!$C$42,'General Basis'!$C$43)))),IF(G3406&lt;11,'General Basis'!$B$39,IF(G3406&lt;18,'General Basis'!$B$40,IF(G3406&lt;26,'General Basis'!$B$41,IF(G3406&lt;31,'General Basis'!$B$42,IF(G3406&lt;36,'General Basis'!$B$43,IF(G3406&lt;41,'General Basis'!$B$44,IF(G3406&lt;46,'General Basis'!$B$45,IF(G3406&lt;51,'General Basis'!$B$46,IF(G3406&lt;56,'General Basis'!$B$47,IF(G3406&lt;60,'General Basis'!$B$48,IF(G3406&lt;65,'General Basis'!$B$49,'General Basis'!$B$50)))))))))))))</f>
        <v/>
      </c>
      <c r="BI3406" s="744" t="str">
        <f t="shared" si="1193"/>
        <v/>
      </c>
      <c r="BJ3406" s="747" t="str">
        <f t="shared" si="1200"/>
        <v/>
      </c>
      <c r="BK3406" s="498" t="str">
        <f t="shared" si="1194"/>
        <v/>
      </c>
      <c r="BL3406" s="498" t="str">
        <f t="shared" si="1195"/>
        <v/>
      </c>
    </row>
    <row r="3407" spans="1:64" x14ac:dyDescent="0.25">
      <c r="A3407" s="762">
        <f t="shared" si="1196"/>
        <v>3402</v>
      </c>
      <c r="B3407" s="229"/>
      <c r="C3407" s="223"/>
      <c r="D3407" s="224"/>
      <c r="E3407" s="225"/>
      <c r="F3407" s="1036" t="str">
        <f t="shared" si="1180"/>
        <v/>
      </c>
      <c r="G3407" s="1037" t="str">
        <f t="shared" si="1197"/>
        <v/>
      </c>
      <c r="H3407" s="225"/>
      <c r="I3407" s="1013"/>
      <c r="J3407" s="1013"/>
      <c r="K3407" s="1028"/>
      <c r="L3407" s="1035" t="str">
        <f t="shared" si="1201"/>
        <v/>
      </c>
      <c r="S3407" s="498"/>
      <c r="AJ3407" s="498"/>
      <c r="AM3407" s="498">
        <f t="shared" si="1182"/>
        <v>0</v>
      </c>
      <c r="AN3407" s="498">
        <f t="shared" si="1183"/>
        <v>0</v>
      </c>
      <c r="AO3407" s="498">
        <f t="shared" si="1184"/>
        <v>0</v>
      </c>
      <c r="AP3407" s="498">
        <f t="shared" si="1181"/>
        <v>0</v>
      </c>
      <c r="AQ3407" s="498">
        <f t="shared" si="1198"/>
        <v>0</v>
      </c>
      <c r="AU3407" s="498">
        <f t="shared" si="1185"/>
        <v>0</v>
      </c>
      <c r="AV3407" s="498">
        <f t="shared" si="1186"/>
        <v>0</v>
      </c>
      <c r="AW3407" s="498">
        <f t="shared" si="1187"/>
        <v>0</v>
      </c>
      <c r="AX3407" s="498">
        <f t="shared" si="1188"/>
        <v>0</v>
      </c>
      <c r="AY3407" s="498">
        <f t="shared" si="1189"/>
        <v>0</v>
      </c>
      <c r="BB3407" s="498" t="str">
        <f t="shared" si="1190"/>
        <v/>
      </c>
      <c r="BC3407" s="743" t="str">
        <f t="shared" si="1191"/>
        <v/>
      </c>
      <c r="BD3407" s="743" t="str">
        <f t="shared" si="1192"/>
        <v/>
      </c>
      <c r="BE3407" s="743" t="str">
        <f>IF(D3407="","",VLOOKUP(D3407,'General Basis'!$J$39:$K$46,2,0))</f>
        <v/>
      </c>
      <c r="BF3407" s="744" t="str">
        <f>IF(D3407="","",VLOOKUP(D3407,'General Basis'!$J$39:$L$46,3,0))</f>
        <v/>
      </c>
      <c r="BG3407" s="744" t="str">
        <f t="shared" si="1199"/>
        <v/>
      </c>
      <c r="BH3407" s="744" t="str">
        <f>IF(G3407="","",IF(BF3407="Abu Dhabi",IF(G3407&lt;18,'General Basis'!$C$39,IF(G3407&lt;41,'General Basis'!$C$40,IF(G3407&lt;60,'General Basis'!$C$41,IF(G3407&lt;65,'General Basis'!$C$42,'General Basis'!$C$43)))),IF(G3407&lt;11,'General Basis'!$B$39,IF(G3407&lt;18,'General Basis'!$B$40,IF(G3407&lt;26,'General Basis'!$B$41,IF(G3407&lt;31,'General Basis'!$B$42,IF(G3407&lt;36,'General Basis'!$B$43,IF(G3407&lt;41,'General Basis'!$B$44,IF(G3407&lt;46,'General Basis'!$B$45,IF(G3407&lt;51,'General Basis'!$B$46,IF(G3407&lt;56,'General Basis'!$B$47,IF(G3407&lt;60,'General Basis'!$B$48,IF(G3407&lt;65,'General Basis'!$B$49,'General Basis'!$B$50)))))))))))))</f>
        <v/>
      </c>
      <c r="BI3407" s="744" t="str">
        <f t="shared" si="1193"/>
        <v/>
      </c>
      <c r="BJ3407" s="747" t="str">
        <f t="shared" si="1200"/>
        <v/>
      </c>
      <c r="BK3407" s="498" t="str">
        <f t="shared" si="1194"/>
        <v/>
      </c>
      <c r="BL3407" s="498" t="str">
        <f t="shared" si="1195"/>
        <v/>
      </c>
    </row>
    <row r="3408" spans="1:64" x14ac:dyDescent="0.25">
      <c r="A3408" s="762">
        <f t="shared" si="1196"/>
        <v>3403</v>
      </c>
      <c r="B3408" s="229"/>
      <c r="C3408" s="223"/>
      <c r="D3408" s="224"/>
      <c r="E3408" s="225"/>
      <c r="F3408" s="1036" t="str">
        <f t="shared" ref="F3408:F3471" si="1202">IF(C3408="","",IF($B3408="","",((YEAR($F$3)-YEAR($B3408))+(MONTH($F$3)-MONTH($B3408))/12+(DAY($F$3)-DAY($B3408))/(DATE(YEAR($F$3),12,31)-DATE(YEAR($F$3),1,1)+1))))</f>
        <v/>
      </c>
      <c r="G3408" s="1037" t="str">
        <f t="shared" si="1197"/>
        <v/>
      </c>
      <c r="H3408" s="225"/>
      <c r="I3408" s="1013"/>
      <c r="J3408" s="1013"/>
      <c r="K3408" s="1028"/>
      <c r="L3408" s="1035" t="str">
        <f t="shared" si="1201"/>
        <v/>
      </c>
      <c r="S3408" s="498"/>
      <c r="AJ3408" s="498"/>
      <c r="AM3408" s="498">
        <f t="shared" si="1182"/>
        <v>0</v>
      </c>
      <c r="AN3408" s="498">
        <f t="shared" si="1183"/>
        <v>0</v>
      </c>
      <c r="AO3408" s="498">
        <f t="shared" si="1184"/>
        <v>0</v>
      </c>
      <c r="AP3408" s="498">
        <f t="shared" si="1181"/>
        <v>0</v>
      </c>
      <c r="AQ3408" s="498">
        <f t="shared" si="1198"/>
        <v>0</v>
      </c>
      <c r="AU3408" s="498">
        <f t="shared" si="1185"/>
        <v>0</v>
      </c>
      <c r="AV3408" s="498">
        <f t="shared" si="1186"/>
        <v>0</v>
      </c>
      <c r="AW3408" s="498">
        <f t="shared" si="1187"/>
        <v>0</v>
      </c>
      <c r="AX3408" s="498">
        <f t="shared" si="1188"/>
        <v>0</v>
      </c>
      <c r="AY3408" s="498">
        <f t="shared" si="1189"/>
        <v>0</v>
      </c>
      <c r="BB3408" s="498" t="str">
        <f t="shared" si="1190"/>
        <v/>
      </c>
      <c r="BC3408" s="743" t="str">
        <f t="shared" si="1191"/>
        <v/>
      </c>
      <c r="BD3408" s="743" t="str">
        <f t="shared" si="1192"/>
        <v/>
      </c>
      <c r="BE3408" s="743" t="str">
        <f>IF(D3408="","",VLOOKUP(D3408,'General Basis'!$J$39:$K$46,2,0))</f>
        <v/>
      </c>
      <c r="BF3408" s="744" t="str">
        <f>IF(D3408="","",VLOOKUP(D3408,'General Basis'!$J$39:$L$46,3,0))</f>
        <v/>
      </c>
      <c r="BG3408" s="744" t="str">
        <f t="shared" si="1199"/>
        <v/>
      </c>
      <c r="BH3408" s="744" t="str">
        <f>IF(G3408="","",IF(BF3408="Abu Dhabi",IF(G3408&lt;18,'General Basis'!$C$39,IF(G3408&lt;41,'General Basis'!$C$40,IF(G3408&lt;60,'General Basis'!$C$41,IF(G3408&lt;65,'General Basis'!$C$42,'General Basis'!$C$43)))),IF(G3408&lt;11,'General Basis'!$B$39,IF(G3408&lt;18,'General Basis'!$B$40,IF(G3408&lt;26,'General Basis'!$B$41,IF(G3408&lt;31,'General Basis'!$B$42,IF(G3408&lt;36,'General Basis'!$B$43,IF(G3408&lt;41,'General Basis'!$B$44,IF(G3408&lt;46,'General Basis'!$B$45,IF(G3408&lt;51,'General Basis'!$B$46,IF(G3408&lt;56,'General Basis'!$B$47,IF(G3408&lt;60,'General Basis'!$B$48,IF(G3408&lt;65,'General Basis'!$B$49,'General Basis'!$B$50)))))))))))))</f>
        <v/>
      </c>
      <c r="BI3408" s="744" t="str">
        <f t="shared" si="1193"/>
        <v/>
      </c>
      <c r="BJ3408" s="747" t="str">
        <f t="shared" si="1200"/>
        <v/>
      </c>
      <c r="BK3408" s="498" t="str">
        <f t="shared" si="1194"/>
        <v/>
      </c>
      <c r="BL3408" s="498" t="str">
        <f t="shared" si="1195"/>
        <v/>
      </c>
    </row>
    <row r="3409" spans="1:64" x14ac:dyDescent="0.25">
      <c r="A3409" s="762">
        <f t="shared" si="1196"/>
        <v>3404</v>
      </c>
      <c r="B3409" s="229"/>
      <c r="C3409" s="223"/>
      <c r="D3409" s="224"/>
      <c r="E3409" s="225"/>
      <c r="F3409" s="1036" t="str">
        <f t="shared" si="1202"/>
        <v/>
      </c>
      <c r="G3409" s="1037" t="str">
        <f t="shared" si="1197"/>
        <v/>
      </c>
      <c r="H3409" s="225"/>
      <c r="I3409" s="1013"/>
      <c r="J3409" s="1013"/>
      <c r="K3409" s="1028"/>
      <c r="L3409" s="1035" t="str">
        <f t="shared" si="1201"/>
        <v/>
      </c>
      <c r="S3409" s="498"/>
      <c r="AJ3409" s="498"/>
      <c r="AM3409" s="498">
        <f t="shared" si="1182"/>
        <v>0</v>
      </c>
      <c r="AN3409" s="498">
        <f t="shared" si="1183"/>
        <v>0</v>
      </c>
      <c r="AO3409" s="498">
        <f t="shared" si="1184"/>
        <v>0</v>
      </c>
      <c r="AP3409" s="498">
        <f t="shared" si="1181"/>
        <v>0</v>
      </c>
      <c r="AQ3409" s="498">
        <f t="shared" si="1198"/>
        <v>0</v>
      </c>
      <c r="AU3409" s="498">
        <f t="shared" si="1185"/>
        <v>0</v>
      </c>
      <c r="AV3409" s="498">
        <f t="shared" si="1186"/>
        <v>0</v>
      </c>
      <c r="AW3409" s="498">
        <f t="shared" si="1187"/>
        <v>0</v>
      </c>
      <c r="AX3409" s="498">
        <f t="shared" si="1188"/>
        <v>0</v>
      </c>
      <c r="AY3409" s="498">
        <f t="shared" si="1189"/>
        <v>0</v>
      </c>
      <c r="BB3409" s="498" t="str">
        <f t="shared" si="1190"/>
        <v/>
      </c>
      <c r="BC3409" s="743" t="str">
        <f t="shared" si="1191"/>
        <v/>
      </c>
      <c r="BD3409" s="743" t="str">
        <f t="shared" si="1192"/>
        <v/>
      </c>
      <c r="BE3409" s="743" t="str">
        <f>IF(D3409="","",VLOOKUP(D3409,'General Basis'!$J$39:$K$46,2,0))</f>
        <v/>
      </c>
      <c r="BF3409" s="744" t="str">
        <f>IF(D3409="","",VLOOKUP(D3409,'General Basis'!$J$39:$L$46,3,0))</f>
        <v/>
      </c>
      <c r="BG3409" s="744" t="str">
        <f t="shared" si="1199"/>
        <v/>
      </c>
      <c r="BH3409" s="744" t="str">
        <f>IF(G3409="","",IF(BF3409="Abu Dhabi",IF(G3409&lt;18,'General Basis'!$C$39,IF(G3409&lt;41,'General Basis'!$C$40,IF(G3409&lt;60,'General Basis'!$C$41,IF(G3409&lt;65,'General Basis'!$C$42,'General Basis'!$C$43)))),IF(G3409&lt;11,'General Basis'!$B$39,IF(G3409&lt;18,'General Basis'!$B$40,IF(G3409&lt;26,'General Basis'!$B$41,IF(G3409&lt;31,'General Basis'!$B$42,IF(G3409&lt;36,'General Basis'!$B$43,IF(G3409&lt;41,'General Basis'!$B$44,IF(G3409&lt;46,'General Basis'!$B$45,IF(G3409&lt;51,'General Basis'!$B$46,IF(G3409&lt;56,'General Basis'!$B$47,IF(G3409&lt;60,'General Basis'!$B$48,IF(G3409&lt;65,'General Basis'!$B$49,'General Basis'!$B$50)))))))))))))</f>
        <v/>
      </c>
      <c r="BI3409" s="744" t="str">
        <f t="shared" si="1193"/>
        <v/>
      </c>
      <c r="BJ3409" s="747" t="str">
        <f t="shared" si="1200"/>
        <v/>
      </c>
      <c r="BK3409" s="498" t="str">
        <f t="shared" si="1194"/>
        <v/>
      </c>
      <c r="BL3409" s="498" t="str">
        <f t="shared" si="1195"/>
        <v/>
      </c>
    </row>
    <row r="3410" spans="1:64" x14ac:dyDescent="0.25">
      <c r="A3410" s="762">
        <f t="shared" si="1196"/>
        <v>3405</v>
      </c>
      <c r="B3410" s="229"/>
      <c r="C3410" s="223"/>
      <c r="D3410" s="224"/>
      <c r="E3410" s="225"/>
      <c r="F3410" s="1036" t="str">
        <f t="shared" si="1202"/>
        <v/>
      </c>
      <c r="G3410" s="1037" t="str">
        <f t="shared" si="1197"/>
        <v/>
      </c>
      <c r="H3410" s="225"/>
      <c r="I3410" s="1013"/>
      <c r="J3410" s="1013"/>
      <c r="K3410" s="1028"/>
      <c r="L3410" s="1035" t="str">
        <f t="shared" si="1201"/>
        <v/>
      </c>
      <c r="S3410" s="498"/>
      <c r="AJ3410" s="498"/>
      <c r="AM3410" s="498">
        <f t="shared" si="1182"/>
        <v>0</v>
      </c>
      <c r="AN3410" s="498">
        <f t="shared" si="1183"/>
        <v>0</v>
      </c>
      <c r="AO3410" s="498">
        <f t="shared" si="1184"/>
        <v>0</v>
      </c>
      <c r="AP3410" s="498">
        <f t="shared" si="1181"/>
        <v>0</v>
      </c>
      <c r="AQ3410" s="498">
        <f t="shared" si="1198"/>
        <v>0</v>
      </c>
      <c r="AU3410" s="498">
        <f t="shared" si="1185"/>
        <v>0</v>
      </c>
      <c r="AV3410" s="498">
        <f t="shared" si="1186"/>
        <v>0</v>
      </c>
      <c r="AW3410" s="498">
        <f t="shared" si="1187"/>
        <v>0</v>
      </c>
      <c r="AX3410" s="498">
        <f t="shared" si="1188"/>
        <v>0</v>
      </c>
      <c r="AY3410" s="498">
        <f t="shared" si="1189"/>
        <v>0</v>
      </c>
      <c r="BB3410" s="498" t="str">
        <f t="shared" si="1190"/>
        <v/>
      </c>
      <c r="BC3410" s="743" t="str">
        <f t="shared" si="1191"/>
        <v/>
      </c>
      <c r="BD3410" s="743" t="str">
        <f t="shared" si="1192"/>
        <v/>
      </c>
      <c r="BE3410" s="743" t="str">
        <f>IF(D3410="","",VLOOKUP(D3410,'General Basis'!$J$39:$K$46,2,0))</f>
        <v/>
      </c>
      <c r="BF3410" s="744" t="str">
        <f>IF(D3410="","",VLOOKUP(D3410,'General Basis'!$J$39:$L$46,3,0))</f>
        <v/>
      </c>
      <c r="BG3410" s="744" t="str">
        <f t="shared" si="1199"/>
        <v/>
      </c>
      <c r="BH3410" s="744" t="str">
        <f>IF(G3410="","",IF(BF3410="Abu Dhabi",IF(G3410&lt;18,'General Basis'!$C$39,IF(G3410&lt;41,'General Basis'!$C$40,IF(G3410&lt;60,'General Basis'!$C$41,IF(G3410&lt;65,'General Basis'!$C$42,'General Basis'!$C$43)))),IF(G3410&lt;11,'General Basis'!$B$39,IF(G3410&lt;18,'General Basis'!$B$40,IF(G3410&lt;26,'General Basis'!$B$41,IF(G3410&lt;31,'General Basis'!$B$42,IF(G3410&lt;36,'General Basis'!$B$43,IF(G3410&lt;41,'General Basis'!$B$44,IF(G3410&lt;46,'General Basis'!$B$45,IF(G3410&lt;51,'General Basis'!$B$46,IF(G3410&lt;56,'General Basis'!$B$47,IF(G3410&lt;60,'General Basis'!$B$48,IF(G3410&lt;65,'General Basis'!$B$49,'General Basis'!$B$50)))))))))))))</f>
        <v/>
      </c>
      <c r="BI3410" s="744" t="str">
        <f t="shared" si="1193"/>
        <v/>
      </c>
      <c r="BJ3410" s="747" t="str">
        <f t="shared" si="1200"/>
        <v/>
      </c>
      <c r="BK3410" s="498" t="str">
        <f t="shared" si="1194"/>
        <v/>
      </c>
      <c r="BL3410" s="498" t="str">
        <f t="shared" si="1195"/>
        <v/>
      </c>
    </row>
    <row r="3411" spans="1:64" x14ac:dyDescent="0.25">
      <c r="A3411" s="762">
        <f t="shared" si="1196"/>
        <v>3406</v>
      </c>
      <c r="B3411" s="229"/>
      <c r="C3411" s="223"/>
      <c r="D3411" s="224"/>
      <c r="E3411" s="225"/>
      <c r="F3411" s="1036" t="str">
        <f t="shared" si="1202"/>
        <v/>
      </c>
      <c r="G3411" s="1037" t="str">
        <f t="shared" si="1197"/>
        <v/>
      </c>
      <c r="H3411" s="225"/>
      <c r="I3411" s="1013"/>
      <c r="J3411" s="1013"/>
      <c r="K3411" s="1028"/>
      <c r="L3411" s="1035" t="str">
        <f t="shared" si="1201"/>
        <v/>
      </c>
      <c r="S3411" s="498"/>
      <c r="AJ3411" s="498"/>
      <c r="AM3411" s="498">
        <f t="shared" si="1182"/>
        <v>0</v>
      </c>
      <c r="AN3411" s="498">
        <f t="shared" si="1183"/>
        <v>0</v>
      </c>
      <c r="AO3411" s="498">
        <f t="shared" si="1184"/>
        <v>0</v>
      </c>
      <c r="AP3411" s="498">
        <f t="shared" ref="AP3411:AP3474" si="1203">IF(ISBLANK($B3411),0,IF(OR($C3411="M",$C3411="F"),0,1))</f>
        <v>0</v>
      </c>
      <c r="AQ3411" s="498">
        <f t="shared" si="1198"/>
        <v>0</v>
      </c>
      <c r="AU3411" s="498">
        <f t="shared" si="1185"/>
        <v>0</v>
      </c>
      <c r="AV3411" s="498">
        <f t="shared" si="1186"/>
        <v>0</v>
      </c>
      <c r="AW3411" s="498">
        <f t="shared" si="1187"/>
        <v>0</v>
      </c>
      <c r="AX3411" s="498">
        <f t="shared" si="1188"/>
        <v>0</v>
      </c>
      <c r="AY3411" s="498">
        <f t="shared" si="1189"/>
        <v>0</v>
      </c>
      <c r="BB3411" s="498" t="str">
        <f t="shared" si="1190"/>
        <v/>
      </c>
      <c r="BC3411" s="743" t="str">
        <f t="shared" si="1191"/>
        <v/>
      </c>
      <c r="BD3411" s="743" t="str">
        <f t="shared" si="1192"/>
        <v/>
      </c>
      <c r="BE3411" s="743" t="str">
        <f>IF(D3411="","",VLOOKUP(D3411,'General Basis'!$J$39:$K$46,2,0))</f>
        <v/>
      </c>
      <c r="BF3411" s="744" t="str">
        <f>IF(D3411="","",VLOOKUP(D3411,'General Basis'!$J$39:$L$46,3,0))</f>
        <v/>
      </c>
      <c r="BG3411" s="744" t="str">
        <f t="shared" si="1199"/>
        <v/>
      </c>
      <c r="BH3411" s="744" t="str">
        <f>IF(G3411="","",IF(BF3411="Abu Dhabi",IF(G3411&lt;18,'General Basis'!$C$39,IF(G3411&lt;41,'General Basis'!$C$40,IF(G3411&lt;60,'General Basis'!$C$41,IF(G3411&lt;65,'General Basis'!$C$42,'General Basis'!$C$43)))),IF(G3411&lt;11,'General Basis'!$B$39,IF(G3411&lt;18,'General Basis'!$B$40,IF(G3411&lt;26,'General Basis'!$B$41,IF(G3411&lt;31,'General Basis'!$B$42,IF(G3411&lt;36,'General Basis'!$B$43,IF(G3411&lt;41,'General Basis'!$B$44,IF(G3411&lt;46,'General Basis'!$B$45,IF(G3411&lt;51,'General Basis'!$B$46,IF(G3411&lt;56,'General Basis'!$B$47,IF(G3411&lt;60,'General Basis'!$B$48,IF(G3411&lt;65,'General Basis'!$B$49,'General Basis'!$B$50)))))))))))))</f>
        <v/>
      </c>
      <c r="BI3411" s="744" t="str">
        <f t="shared" si="1193"/>
        <v/>
      </c>
      <c r="BJ3411" s="747" t="str">
        <f t="shared" si="1200"/>
        <v/>
      </c>
      <c r="BK3411" s="498" t="str">
        <f t="shared" si="1194"/>
        <v/>
      </c>
      <c r="BL3411" s="498" t="str">
        <f t="shared" si="1195"/>
        <v/>
      </c>
    </row>
    <row r="3412" spans="1:64" x14ac:dyDescent="0.25">
      <c r="A3412" s="762">
        <f t="shared" si="1196"/>
        <v>3407</v>
      </c>
      <c r="B3412" s="229"/>
      <c r="C3412" s="223"/>
      <c r="D3412" s="224"/>
      <c r="E3412" s="225"/>
      <c r="F3412" s="1036" t="str">
        <f t="shared" si="1202"/>
        <v/>
      </c>
      <c r="G3412" s="1037" t="str">
        <f t="shared" si="1197"/>
        <v/>
      </c>
      <c r="H3412" s="225"/>
      <c r="I3412" s="1013"/>
      <c r="J3412" s="1013"/>
      <c r="K3412" s="1028"/>
      <c r="L3412" s="1035" t="str">
        <f t="shared" si="1201"/>
        <v/>
      </c>
      <c r="S3412" s="498"/>
      <c r="AJ3412" s="498"/>
      <c r="AM3412" s="498">
        <f t="shared" si="1182"/>
        <v>0</v>
      </c>
      <c r="AN3412" s="498">
        <f t="shared" si="1183"/>
        <v>0</v>
      </c>
      <c r="AO3412" s="498">
        <f t="shared" si="1184"/>
        <v>0</v>
      </c>
      <c r="AP3412" s="498">
        <f t="shared" si="1203"/>
        <v>0</v>
      </c>
      <c r="AQ3412" s="498">
        <f t="shared" si="1198"/>
        <v>0</v>
      </c>
      <c r="AU3412" s="498">
        <f t="shared" si="1185"/>
        <v>0</v>
      </c>
      <c r="AV3412" s="498">
        <f t="shared" si="1186"/>
        <v>0</v>
      </c>
      <c r="AW3412" s="498">
        <f t="shared" si="1187"/>
        <v>0</v>
      </c>
      <c r="AX3412" s="498">
        <f t="shared" si="1188"/>
        <v>0</v>
      </c>
      <c r="AY3412" s="498">
        <f t="shared" si="1189"/>
        <v>0</v>
      </c>
      <c r="BB3412" s="498" t="str">
        <f t="shared" si="1190"/>
        <v/>
      </c>
      <c r="BC3412" s="743" t="str">
        <f t="shared" si="1191"/>
        <v/>
      </c>
      <c r="BD3412" s="743" t="str">
        <f t="shared" si="1192"/>
        <v/>
      </c>
      <c r="BE3412" s="743" t="str">
        <f>IF(D3412="","",VLOOKUP(D3412,'General Basis'!$J$39:$K$46,2,0))</f>
        <v/>
      </c>
      <c r="BF3412" s="744" t="str">
        <f>IF(D3412="","",VLOOKUP(D3412,'General Basis'!$J$39:$L$46,3,0))</f>
        <v/>
      </c>
      <c r="BG3412" s="744" t="str">
        <f t="shared" si="1199"/>
        <v/>
      </c>
      <c r="BH3412" s="744" t="str">
        <f>IF(G3412="","",IF(BF3412="Abu Dhabi",IF(G3412&lt;18,'General Basis'!$C$39,IF(G3412&lt;41,'General Basis'!$C$40,IF(G3412&lt;60,'General Basis'!$C$41,IF(G3412&lt;65,'General Basis'!$C$42,'General Basis'!$C$43)))),IF(G3412&lt;11,'General Basis'!$B$39,IF(G3412&lt;18,'General Basis'!$B$40,IF(G3412&lt;26,'General Basis'!$B$41,IF(G3412&lt;31,'General Basis'!$B$42,IF(G3412&lt;36,'General Basis'!$B$43,IF(G3412&lt;41,'General Basis'!$B$44,IF(G3412&lt;46,'General Basis'!$B$45,IF(G3412&lt;51,'General Basis'!$B$46,IF(G3412&lt;56,'General Basis'!$B$47,IF(G3412&lt;60,'General Basis'!$B$48,IF(G3412&lt;65,'General Basis'!$B$49,'General Basis'!$B$50)))))))))))))</f>
        <v/>
      </c>
      <c r="BI3412" s="744" t="str">
        <f t="shared" si="1193"/>
        <v/>
      </c>
      <c r="BJ3412" s="747" t="str">
        <f t="shared" si="1200"/>
        <v/>
      </c>
      <c r="BK3412" s="498" t="str">
        <f t="shared" si="1194"/>
        <v/>
      </c>
      <c r="BL3412" s="498" t="str">
        <f t="shared" si="1195"/>
        <v/>
      </c>
    </row>
    <row r="3413" spans="1:64" x14ac:dyDescent="0.25">
      <c r="A3413" s="762">
        <f t="shared" si="1196"/>
        <v>3408</v>
      </c>
      <c r="B3413" s="229"/>
      <c r="C3413" s="223"/>
      <c r="D3413" s="224"/>
      <c r="E3413" s="225"/>
      <c r="F3413" s="1036" t="str">
        <f t="shared" si="1202"/>
        <v/>
      </c>
      <c r="G3413" s="1037" t="str">
        <f t="shared" si="1197"/>
        <v/>
      </c>
      <c r="H3413" s="225"/>
      <c r="I3413" s="1013"/>
      <c r="J3413" s="1013"/>
      <c r="K3413" s="1028"/>
      <c r="L3413" s="1035" t="str">
        <f t="shared" si="1201"/>
        <v/>
      </c>
      <c r="S3413" s="498"/>
      <c r="AJ3413" s="498"/>
      <c r="AM3413" s="498">
        <f t="shared" si="1182"/>
        <v>0</v>
      </c>
      <c r="AN3413" s="498">
        <f t="shared" si="1183"/>
        <v>0</v>
      </c>
      <c r="AO3413" s="498">
        <f t="shared" si="1184"/>
        <v>0</v>
      </c>
      <c r="AP3413" s="498">
        <f t="shared" si="1203"/>
        <v>0</v>
      </c>
      <c r="AQ3413" s="498">
        <f t="shared" si="1198"/>
        <v>0</v>
      </c>
      <c r="AU3413" s="498">
        <f t="shared" si="1185"/>
        <v>0</v>
      </c>
      <c r="AV3413" s="498">
        <f t="shared" si="1186"/>
        <v>0</v>
      </c>
      <c r="AW3413" s="498">
        <f t="shared" si="1187"/>
        <v>0</v>
      </c>
      <c r="AX3413" s="498">
        <f t="shared" si="1188"/>
        <v>0</v>
      </c>
      <c r="AY3413" s="498">
        <f t="shared" si="1189"/>
        <v>0</v>
      </c>
      <c r="BB3413" s="498" t="str">
        <f t="shared" si="1190"/>
        <v/>
      </c>
      <c r="BC3413" s="743" t="str">
        <f t="shared" si="1191"/>
        <v/>
      </c>
      <c r="BD3413" s="743" t="str">
        <f t="shared" si="1192"/>
        <v/>
      </c>
      <c r="BE3413" s="743" t="str">
        <f>IF(D3413="","",VLOOKUP(D3413,'General Basis'!$J$39:$K$46,2,0))</f>
        <v/>
      </c>
      <c r="BF3413" s="744" t="str">
        <f>IF(D3413="","",VLOOKUP(D3413,'General Basis'!$J$39:$L$46,3,0))</f>
        <v/>
      </c>
      <c r="BG3413" s="744" t="str">
        <f t="shared" si="1199"/>
        <v/>
      </c>
      <c r="BH3413" s="744" t="str">
        <f>IF(G3413="","",IF(BF3413="Abu Dhabi",IF(G3413&lt;18,'General Basis'!$C$39,IF(G3413&lt;41,'General Basis'!$C$40,IF(G3413&lt;60,'General Basis'!$C$41,IF(G3413&lt;65,'General Basis'!$C$42,'General Basis'!$C$43)))),IF(G3413&lt;11,'General Basis'!$B$39,IF(G3413&lt;18,'General Basis'!$B$40,IF(G3413&lt;26,'General Basis'!$B$41,IF(G3413&lt;31,'General Basis'!$B$42,IF(G3413&lt;36,'General Basis'!$B$43,IF(G3413&lt;41,'General Basis'!$B$44,IF(G3413&lt;46,'General Basis'!$B$45,IF(G3413&lt;51,'General Basis'!$B$46,IF(G3413&lt;56,'General Basis'!$B$47,IF(G3413&lt;60,'General Basis'!$B$48,IF(G3413&lt;65,'General Basis'!$B$49,'General Basis'!$B$50)))))))))))))</f>
        <v/>
      </c>
      <c r="BI3413" s="744" t="str">
        <f t="shared" si="1193"/>
        <v/>
      </c>
      <c r="BJ3413" s="747" t="str">
        <f t="shared" si="1200"/>
        <v/>
      </c>
      <c r="BK3413" s="498" t="str">
        <f t="shared" si="1194"/>
        <v/>
      </c>
      <c r="BL3413" s="498" t="str">
        <f t="shared" si="1195"/>
        <v/>
      </c>
    </row>
    <row r="3414" spans="1:64" x14ac:dyDescent="0.25">
      <c r="A3414" s="762">
        <f t="shared" si="1196"/>
        <v>3409</v>
      </c>
      <c r="B3414" s="229"/>
      <c r="C3414" s="223"/>
      <c r="D3414" s="224"/>
      <c r="E3414" s="225"/>
      <c r="F3414" s="1036" t="str">
        <f t="shared" si="1202"/>
        <v/>
      </c>
      <c r="G3414" s="1037" t="str">
        <f t="shared" si="1197"/>
        <v/>
      </c>
      <c r="H3414" s="225"/>
      <c r="I3414" s="1013"/>
      <c r="J3414" s="1013"/>
      <c r="K3414" s="1028"/>
      <c r="L3414" s="1035" t="str">
        <f t="shared" si="1201"/>
        <v/>
      </c>
      <c r="S3414" s="498"/>
      <c r="AJ3414" s="498"/>
      <c r="AM3414" s="498">
        <f t="shared" si="1182"/>
        <v>0</v>
      </c>
      <c r="AN3414" s="498">
        <f t="shared" si="1183"/>
        <v>0</v>
      </c>
      <c r="AO3414" s="498">
        <f t="shared" si="1184"/>
        <v>0</v>
      </c>
      <c r="AP3414" s="498">
        <f t="shared" si="1203"/>
        <v>0</v>
      </c>
      <c r="AQ3414" s="498">
        <f t="shared" si="1198"/>
        <v>0</v>
      </c>
      <c r="AU3414" s="498">
        <f t="shared" si="1185"/>
        <v>0</v>
      </c>
      <c r="AV3414" s="498">
        <f t="shared" si="1186"/>
        <v>0</v>
      </c>
      <c r="AW3414" s="498">
        <f t="shared" si="1187"/>
        <v>0</v>
      </c>
      <c r="AX3414" s="498">
        <f t="shared" si="1188"/>
        <v>0</v>
      </c>
      <c r="AY3414" s="498">
        <f t="shared" si="1189"/>
        <v>0</v>
      </c>
      <c r="BB3414" s="498" t="str">
        <f t="shared" si="1190"/>
        <v/>
      </c>
      <c r="BC3414" s="743" t="str">
        <f t="shared" si="1191"/>
        <v/>
      </c>
      <c r="BD3414" s="743" t="str">
        <f t="shared" si="1192"/>
        <v/>
      </c>
      <c r="BE3414" s="743" t="str">
        <f>IF(D3414="","",VLOOKUP(D3414,'General Basis'!$J$39:$K$46,2,0))</f>
        <v/>
      </c>
      <c r="BF3414" s="744" t="str">
        <f>IF(D3414="","",VLOOKUP(D3414,'General Basis'!$J$39:$L$46,3,0))</f>
        <v/>
      </c>
      <c r="BG3414" s="744" t="str">
        <f t="shared" si="1199"/>
        <v/>
      </c>
      <c r="BH3414" s="744" t="str">
        <f>IF(G3414="","",IF(BF3414="Abu Dhabi",IF(G3414&lt;18,'General Basis'!$C$39,IF(G3414&lt;41,'General Basis'!$C$40,IF(G3414&lt;60,'General Basis'!$C$41,IF(G3414&lt;65,'General Basis'!$C$42,'General Basis'!$C$43)))),IF(G3414&lt;11,'General Basis'!$B$39,IF(G3414&lt;18,'General Basis'!$B$40,IF(G3414&lt;26,'General Basis'!$B$41,IF(G3414&lt;31,'General Basis'!$B$42,IF(G3414&lt;36,'General Basis'!$B$43,IF(G3414&lt;41,'General Basis'!$B$44,IF(G3414&lt;46,'General Basis'!$B$45,IF(G3414&lt;51,'General Basis'!$B$46,IF(G3414&lt;56,'General Basis'!$B$47,IF(G3414&lt;60,'General Basis'!$B$48,IF(G3414&lt;65,'General Basis'!$B$49,'General Basis'!$B$50)))))))))))))</f>
        <v/>
      </c>
      <c r="BI3414" s="744" t="str">
        <f t="shared" si="1193"/>
        <v/>
      </c>
      <c r="BJ3414" s="747" t="str">
        <f t="shared" si="1200"/>
        <v/>
      </c>
      <c r="BK3414" s="498" t="str">
        <f t="shared" si="1194"/>
        <v/>
      </c>
      <c r="BL3414" s="498" t="str">
        <f t="shared" si="1195"/>
        <v/>
      </c>
    </row>
    <row r="3415" spans="1:64" x14ac:dyDescent="0.25">
      <c r="A3415" s="762">
        <f t="shared" si="1196"/>
        <v>3410</v>
      </c>
      <c r="B3415" s="229"/>
      <c r="C3415" s="223"/>
      <c r="D3415" s="224"/>
      <c r="E3415" s="225"/>
      <c r="F3415" s="1036" t="str">
        <f t="shared" si="1202"/>
        <v/>
      </c>
      <c r="G3415" s="1037" t="str">
        <f t="shared" si="1197"/>
        <v/>
      </c>
      <c r="H3415" s="225"/>
      <c r="I3415" s="1013"/>
      <c r="J3415" s="1013"/>
      <c r="K3415" s="1028"/>
      <c r="L3415" s="1035" t="str">
        <f t="shared" si="1201"/>
        <v/>
      </c>
      <c r="S3415" s="498"/>
      <c r="AJ3415" s="498"/>
      <c r="AM3415" s="498">
        <f t="shared" si="1182"/>
        <v>0</v>
      </c>
      <c r="AN3415" s="498">
        <f t="shared" si="1183"/>
        <v>0</v>
      </c>
      <c r="AO3415" s="498">
        <f t="shared" si="1184"/>
        <v>0</v>
      </c>
      <c r="AP3415" s="498">
        <f t="shared" si="1203"/>
        <v>0</v>
      </c>
      <c r="AQ3415" s="498">
        <f t="shared" si="1198"/>
        <v>0</v>
      </c>
      <c r="AU3415" s="498">
        <f t="shared" si="1185"/>
        <v>0</v>
      </c>
      <c r="AV3415" s="498">
        <f t="shared" si="1186"/>
        <v>0</v>
      </c>
      <c r="AW3415" s="498">
        <f t="shared" si="1187"/>
        <v>0</v>
      </c>
      <c r="AX3415" s="498">
        <f t="shared" si="1188"/>
        <v>0</v>
      </c>
      <c r="AY3415" s="498">
        <f t="shared" si="1189"/>
        <v>0</v>
      </c>
      <c r="BB3415" s="498" t="str">
        <f t="shared" si="1190"/>
        <v/>
      </c>
      <c r="BC3415" s="743" t="str">
        <f t="shared" si="1191"/>
        <v/>
      </c>
      <c r="BD3415" s="743" t="str">
        <f t="shared" si="1192"/>
        <v/>
      </c>
      <c r="BE3415" s="743" t="str">
        <f>IF(D3415="","",VLOOKUP(D3415,'General Basis'!$J$39:$K$46,2,0))</f>
        <v/>
      </c>
      <c r="BF3415" s="744" t="str">
        <f>IF(D3415="","",VLOOKUP(D3415,'General Basis'!$J$39:$L$46,3,0))</f>
        <v/>
      </c>
      <c r="BG3415" s="744" t="str">
        <f t="shared" si="1199"/>
        <v/>
      </c>
      <c r="BH3415" s="744" t="str">
        <f>IF(G3415="","",IF(BF3415="Abu Dhabi",IF(G3415&lt;18,'General Basis'!$C$39,IF(G3415&lt;41,'General Basis'!$C$40,IF(G3415&lt;60,'General Basis'!$C$41,IF(G3415&lt;65,'General Basis'!$C$42,'General Basis'!$C$43)))),IF(G3415&lt;11,'General Basis'!$B$39,IF(G3415&lt;18,'General Basis'!$B$40,IF(G3415&lt;26,'General Basis'!$B$41,IF(G3415&lt;31,'General Basis'!$B$42,IF(G3415&lt;36,'General Basis'!$B$43,IF(G3415&lt;41,'General Basis'!$B$44,IF(G3415&lt;46,'General Basis'!$B$45,IF(G3415&lt;51,'General Basis'!$B$46,IF(G3415&lt;56,'General Basis'!$B$47,IF(G3415&lt;60,'General Basis'!$B$48,IF(G3415&lt;65,'General Basis'!$B$49,'General Basis'!$B$50)))))))))))))</f>
        <v/>
      </c>
      <c r="BI3415" s="744" t="str">
        <f t="shared" si="1193"/>
        <v/>
      </c>
      <c r="BJ3415" s="747" t="str">
        <f t="shared" si="1200"/>
        <v/>
      </c>
      <c r="BK3415" s="498" t="str">
        <f t="shared" si="1194"/>
        <v/>
      </c>
      <c r="BL3415" s="498" t="str">
        <f t="shared" si="1195"/>
        <v/>
      </c>
    </row>
    <row r="3416" spans="1:64" x14ac:dyDescent="0.25">
      <c r="A3416" s="762">
        <f t="shared" si="1196"/>
        <v>3411</v>
      </c>
      <c r="B3416" s="229"/>
      <c r="C3416" s="223"/>
      <c r="D3416" s="224"/>
      <c r="E3416" s="225"/>
      <c r="F3416" s="1036" t="str">
        <f t="shared" si="1202"/>
        <v/>
      </c>
      <c r="G3416" s="1037" t="str">
        <f t="shared" si="1197"/>
        <v/>
      </c>
      <c r="H3416" s="225"/>
      <c r="I3416" s="1013"/>
      <c r="J3416" s="1013"/>
      <c r="K3416" s="1028"/>
      <c r="L3416" s="1035" t="str">
        <f t="shared" si="1201"/>
        <v/>
      </c>
      <c r="S3416" s="498"/>
      <c r="AJ3416" s="498"/>
      <c r="AM3416" s="498">
        <f t="shared" si="1182"/>
        <v>0</v>
      </c>
      <c r="AN3416" s="498">
        <f t="shared" si="1183"/>
        <v>0</v>
      </c>
      <c r="AO3416" s="498">
        <f t="shared" si="1184"/>
        <v>0</v>
      </c>
      <c r="AP3416" s="498">
        <f t="shared" si="1203"/>
        <v>0</v>
      </c>
      <c r="AQ3416" s="498">
        <f t="shared" si="1198"/>
        <v>0</v>
      </c>
      <c r="AU3416" s="498">
        <f t="shared" si="1185"/>
        <v>0</v>
      </c>
      <c r="AV3416" s="498">
        <f t="shared" si="1186"/>
        <v>0</v>
      </c>
      <c r="AW3416" s="498">
        <f t="shared" si="1187"/>
        <v>0</v>
      </c>
      <c r="AX3416" s="498">
        <f t="shared" si="1188"/>
        <v>0</v>
      </c>
      <c r="AY3416" s="498">
        <f t="shared" si="1189"/>
        <v>0</v>
      </c>
      <c r="BB3416" s="498" t="str">
        <f t="shared" si="1190"/>
        <v/>
      </c>
      <c r="BC3416" s="743" t="str">
        <f t="shared" si="1191"/>
        <v/>
      </c>
      <c r="BD3416" s="743" t="str">
        <f t="shared" si="1192"/>
        <v/>
      </c>
      <c r="BE3416" s="743" t="str">
        <f>IF(D3416="","",VLOOKUP(D3416,'General Basis'!$J$39:$K$46,2,0))</f>
        <v/>
      </c>
      <c r="BF3416" s="744" t="str">
        <f>IF(D3416="","",VLOOKUP(D3416,'General Basis'!$J$39:$L$46,3,0))</f>
        <v/>
      </c>
      <c r="BG3416" s="744" t="str">
        <f t="shared" si="1199"/>
        <v/>
      </c>
      <c r="BH3416" s="744" t="str">
        <f>IF(G3416="","",IF(BF3416="Abu Dhabi",IF(G3416&lt;18,'General Basis'!$C$39,IF(G3416&lt;41,'General Basis'!$C$40,IF(G3416&lt;60,'General Basis'!$C$41,IF(G3416&lt;65,'General Basis'!$C$42,'General Basis'!$C$43)))),IF(G3416&lt;11,'General Basis'!$B$39,IF(G3416&lt;18,'General Basis'!$B$40,IF(G3416&lt;26,'General Basis'!$B$41,IF(G3416&lt;31,'General Basis'!$B$42,IF(G3416&lt;36,'General Basis'!$B$43,IF(G3416&lt;41,'General Basis'!$B$44,IF(G3416&lt;46,'General Basis'!$B$45,IF(G3416&lt;51,'General Basis'!$B$46,IF(G3416&lt;56,'General Basis'!$B$47,IF(G3416&lt;60,'General Basis'!$B$48,IF(G3416&lt;65,'General Basis'!$B$49,'General Basis'!$B$50)))))))))))))</f>
        <v/>
      </c>
      <c r="BI3416" s="744" t="str">
        <f t="shared" si="1193"/>
        <v/>
      </c>
      <c r="BJ3416" s="747" t="str">
        <f t="shared" si="1200"/>
        <v/>
      </c>
      <c r="BK3416" s="498" t="str">
        <f t="shared" si="1194"/>
        <v/>
      </c>
      <c r="BL3416" s="498" t="str">
        <f t="shared" si="1195"/>
        <v/>
      </c>
    </row>
    <row r="3417" spans="1:64" x14ac:dyDescent="0.25">
      <c r="A3417" s="762">
        <f t="shared" si="1196"/>
        <v>3412</v>
      </c>
      <c r="B3417" s="229"/>
      <c r="C3417" s="223"/>
      <c r="D3417" s="224"/>
      <c r="E3417" s="225"/>
      <c r="F3417" s="1036" t="str">
        <f t="shared" si="1202"/>
        <v/>
      </c>
      <c r="G3417" s="1037" t="str">
        <f t="shared" si="1197"/>
        <v/>
      </c>
      <c r="H3417" s="225"/>
      <c r="I3417" s="1013"/>
      <c r="J3417" s="1013"/>
      <c r="K3417" s="1028"/>
      <c r="L3417" s="1035" t="str">
        <f t="shared" si="1201"/>
        <v/>
      </c>
      <c r="S3417" s="498"/>
      <c r="AJ3417" s="498"/>
      <c r="AM3417" s="498">
        <f t="shared" si="1182"/>
        <v>0</v>
      </c>
      <c r="AN3417" s="498">
        <f t="shared" si="1183"/>
        <v>0</v>
      </c>
      <c r="AO3417" s="498">
        <f t="shared" si="1184"/>
        <v>0</v>
      </c>
      <c r="AP3417" s="498">
        <f t="shared" si="1203"/>
        <v>0</v>
      </c>
      <c r="AQ3417" s="498">
        <f t="shared" si="1198"/>
        <v>0</v>
      </c>
      <c r="AU3417" s="498">
        <f t="shared" si="1185"/>
        <v>0</v>
      </c>
      <c r="AV3417" s="498">
        <f t="shared" si="1186"/>
        <v>0</v>
      </c>
      <c r="AW3417" s="498">
        <f t="shared" si="1187"/>
        <v>0</v>
      </c>
      <c r="AX3417" s="498">
        <f t="shared" si="1188"/>
        <v>0</v>
      </c>
      <c r="AY3417" s="498">
        <f t="shared" si="1189"/>
        <v>0</v>
      </c>
      <c r="BB3417" s="498" t="str">
        <f t="shared" si="1190"/>
        <v/>
      </c>
      <c r="BC3417" s="743" t="str">
        <f t="shared" si="1191"/>
        <v/>
      </c>
      <c r="BD3417" s="743" t="str">
        <f t="shared" si="1192"/>
        <v/>
      </c>
      <c r="BE3417" s="743" t="str">
        <f>IF(D3417="","",VLOOKUP(D3417,'General Basis'!$J$39:$K$46,2,0))</f>
        <v/>
      </c>
      <c r="BF3417" s="744" t="str">
        <f>IF(D3417="","",VLOOKUP(D3417,'General Basis'!$J$39:$L$46,3,0))</f>
        <v/>
      </c>
      <c r="BG3417" s="744" t="str">
        <f t="shared" si="1199"/>
        <v/>
      </c>
      <c r="BH3417" s="744" t="str">
        <f>IF(G3417="","",IF(BF3417="Abu Dhabi",IF(G3417&lt;18,'General Basis'!$C$39,IF(G3417&lt;41,'General Basis'!$C$40,IF(G3417&lt;60,'General Basis'!$C$41,IF(G3417&lt;65,'General Basis'!$C$42,'General Basis'!$C$43)))),IF(G3417&lt;11,'General Basis'!$B$39,IF(G3417&lt;18,'General Basis'!$B$40,IF(G3417&lt;26,'General Basis'!$B$41,IF(G3417&lt;31,'General Basis'!$B$42,IF(G3417&lt;36,'General Basis'!$B$43,IF(G3417&lt;41,'General Basis'!$B$44,IF(G3417&lt;46,'General Basis'!$B$45,IF(G3417&lt;51,'General Basis'!$B$46,IF(G3417&lt;56,'General Basis'!$B$47,IF(G3417&lt;60,'General Basis'!$B$48,IF(G3417&lt;65,'General Basis'!$B$49,'General Basis'!$B$50)))))))))))))</f>
        <v/>
      </c>
      <c r="BI3417" s="744" t="str">
        <f t="shared" si="1193"/>
        <v/>
      </c>
      <c r="BJ3417" s="747" t="str">
        <f t="shared" si="1200"/>
        <v/>
      </c>
      <c r="BK3417" s="498" t="str">
        <f t="shared" si="1194"/>
        <v/>
      </c>
      <c r="BL3417" s="498" t="str">
        <f t="shared" si="1195"/>
        <v/>
      </c>
    </row>
    <row r="3418" spans="1:64" x14ac:dyDescent="0.25">
      <c r="A3418" s="762">
        <f t="shared" si="1196"/>
        <v>3413</v>
      </c>
      <c r="B3418" s="229"/>
      <c r="C3418" s="223"/>
      <c r="D3418" s="224"/>
      <c r="E3418" s="225"/>
      <c r="F3418" s="1036" t="str">
        <f t="shared" si="1202"/>
        <v/>
      </c>
      <c r="G3418" s="1037" t="str">
        <f t="shared" si="1197"/>
        <v/>
      </c>
      <c r="H3418" s="225"/>
      <c r="I3418" s="1013"/>
      <c r="J3418" s="1013"/>
      <c r="K3418" s="1028"/>
      <c r="L3418" s="1035" t="str">
        <f t="shared" si="1201"/>
        <v/>
      </c>
      <c r="S3418" s="498"/>
      <c r="AJ3418" s="498"/>
      <c r="AM3418" s="498">
        <f t="shared" si="1182"/>
        <v>0</v>
      </c>
      <c r="AN3418" s="498">
        <f t="shared" si="1183"/>
        <v>0</v>
      </c>
      <c r="AO3418" s="498">
        <f t="shared" si="1184"/>
        <v>0</v>
      </c>
      <c r="AP3418" s="498">
        <f t="shared" si="1203"/>
        <v>0</v>
      </c>
      <c r="AQ3418" s="498">
        <f t="shared" si="1198"/>
        <v>0</v>
      </c>
      <c r="AU3418" s="498">
        <f t="shared" si="1185"/>
        <v>0</v>
      </c>
      <c r="AV3418" s="498">
        <f t="shared" si="1186"/>
        <v>0</v>
      </c>
      <c r="AW3418" s="498">
        <f t="shared" si="1187"/>
        <v>0</v>
      </c>
      <c r="AX3418" s="498">
        <f t="shared" si="1188"/>
        <v>0</v>
      </c>
      <c r="AY3418" s="498">
        <f t="shared" si="1189"/>
        <v>0</v>
      </c>
      <c r="BB3418" s="498" t="str">
        <f t="shared" si="1190"/>
        <v/>
      </c>
      <c r="BC3418" s="743" t="str">
        <f t="shared" si="1191"/>
        <v/>
      </c>
      <c r="BD3418" s="743" t="str">
        <f t="shared" si="1192"/>
        <v/>
      </c>
      <c r="BE3418" s="743" t="str">
        <f>IF(D3418="","",VLOOKUP(D3418,'General Basis'!$J$39:$K$46,2,0))</f>
        <v/>
      </c>
      <c r="BF3418" s="744" t="str">
        <f>IF(D3418="","",VLOOKUP(D3418,'General Basis'!$J$39:$L$46,3,0))</f>
        <v/>
      </c>
      <c r="BG3418" s="744" t="str">
        <f t="shared" si="1199"/>
        <v/>
      </c>
      <c r="BH3418" s="744" t="str">
        <f>IF(G3418="","",IF(BF3418="Abu Dhabi",IF(G3418&lt;18,'General Basis'!$C$39,IF(G3418&lt;41,'General Basis'!$C$40,IF(G3418&lt;60,'General Basis'!$C$41,IF(G3418&lt;65,'General Basis'!$C$42,'General Basis'!$C$43)))),IF(G3418&lt;11,'General Basis'!$B$39,IF(G3418&lt;18,'General Basis'!$B$40,IF(G3418&lt;26,'General Basis'!$B$41,IF(G3418&lt;31,'General Basis'!$B$42,IF(G3418&lt;36,'General Basis'!$B$43,IF(G3418&lt;41,'General Basis'!$B$44,IF(G3418&lt;46,'General Basis'!$B$45,IF(G3418&lt;51,'General Basis'!$B$46,IF(G3418&lt;56,'General Basis'!$B$47,IF(G3418&lt;60,'General Basis'!$B$48,IF(G3418&lt;65,'General Basis'!$B$49,'General Basis'!$B$50)))))))))))))</f>
        <v/>
      </c>
      <c r="BI3418" s="744" t="str">
        <f t="shared" si="1193"/>
        <v/>
      </c>
      <c r="BJ3418" s="747" t="str">
        <f t="shared" si="1200"/>
        <v/>
      </c>
      <c r="BK3418" s="498" t="str">
        <f t="shared" si="1194"/>
        <v/>
      </c>
      <c r="BL3418" s="498" t="str">
        <f t="shared" si="1195"/>
        <v/>
      </c>
    </row>
    <row r="3419" spans="1:64" x14ac:dyDescent="0.25">
      <c r="A3419" s="762">
        <f t="shared" si="1196"/>
        <v>3414</v>
      </c>
      <c r="B3419" s="229"/>
      <c r="C3419" s="223"/>
      <c r="D3419" s="224"/>
      <c r="E3419" s="225"/>
      <c r="F3419" s="1036" t="str">
        <f t="shared" si="1202"/>
        <v/>
      </c>
      <c r="G3419" s="1037" t="str">
        <f t="shared" si="1197"/>
        <v/>
      </c>
      <c r="H3419" s="225"/>
      <c r="I3419" s="1013"/>
      <c r="J3419" s="1013"/>
      <c r="K3419" s="1028"/>
      <c r="L3419" s="1035" t="str">
        <f t="shared" si="1201"/>
        <v/>
      </c>
      <c r="S3419" s="498"/>
      <c r="AJ3419" s="498"/>
      <c r="AM3419" s="498">
        <f t="shared" si="1182"/>
        <v>0</v>
      </c>
      <c r="AN3419" s="498">
        <f t="shared" si="1183"/>
        <v>0</v>
      </c>
      <c r="AO3419" s="498">
        <f t="shared" si="1184"/>
        <v>0</v>
      </c>
      <c r="AP3419" s="498">
        <f t="shared" si="1203"/>
        <v>0</v>
      </c>
      <c r="AQ3419" s="498">
        <f t="shared" si="1198"/>
        <v>0</v>
      </c>
      <c r="AU3419" s="498">
        <f t="shared" si="1185"/>
        <v>0</v>
      </c>
      <c r="AV3419" s="498">
        <f t="shared" si="1186"/>
        <v>0</v>
      </c>
      <c r="AW3419" s="498">
        <f t="shared" si="1187"/>
        <v>0</v>
      </c>
      <c r="AX3419" s="498">
        <f t="shared" si="1188"/>
        <v>0</v>
      </c>
      <c r="AY3419" s="498">
        <f t="shared" si="1189"/>
        <v>0</v>
      </c>
      <c r="BB3419" s="498" t="str">
        <f t="shared" si="1190"/>
        <v/>
      </c>
      <c r="BC3419" s="743" t="str">
        <f t="shared" si="1191"/>
        <v/>
      </c>
      <c r="BD3419" s="743" t="str">
        <f t="shared" si="1192"/>
        <v/>
      </c>
      <c r="BE3419" s="743" t="str">
        <f>IF(D3419="","",VLOOKUP(D3419,'General Basis'!$J$39:$K$46,2,0))</f>
        <v/>
      </c>
      <c r="BF3419" s="744" t="str">
        <f>IF(D3419="","",VLOOKUP(D3419,'General Basis'!$J$39:$L$46,3,0))</f>
        <v/>
      </c>
      <c r="BG3419" s="744" t="str">
        <f t="shared" si="1199"/>
        <v/>
      </c>
      <c r="BH3419" s="744" t="str">
        <f>IF(G3419="","",IF(BF3419="Abu Dhabi",IF(G3419&lt;18,'General Basis'!$C$39,IF(G3419&lt;41,'General Basis'!$C$40,IF(G3419&lt;60,'General Basis'!$C$41,IF(G3419&lt;65,'General Basis'!$C$42,'General Basis'!$C$43)))),IF(G3419&lt;11,'General Basis'!$B$39,IF(G3419&lt;18,'General Basis'!$B$40,IF(G3419&lt;26,'General Basis'!$B$41,IF(G3419&lt;31,'General Basis'!$B$42,IF(G3419&lt;36,'General Basis'!$B$43,IF(G3419&lt;41,'General Basis'!$B$44,IF(G3419&lt;46,'General Basis'!$B$45,IF(G3419&lt;51,'General Basis'!$B$46,IF(G3419&lt;56,'General Basis'!$B$47,IF(G3419&lt;60,'General Basis'!$B$48,IF(G3419&lt;65,'General Basis'!$B$49,'General Basis'!$B$50)))))))))))))</f>
        <v/>
      </c>
      <c r="BI3419" s="744" t="str">
        <f t="shared" si="1193"/>
        <v/>
      </c>
      <c r="BJ3419" s="747" t="str">
        <f t="shared" si="1200"/>
        <v/>
      </c>
      <c r="BK3419" s="498" t="str">
        <f t="shared" si="1194"/>
        <v/>
      </c>
      <c r="BL3419" s="498" t="str">
        <f t="shared" si="1195"/>
        <v/>
      </c>
    </row>
    <row r="3420" spans="1:64" x14ac:dyDescent="0.25">
      <c r="A3420" s="762">
        <f t="shared" si="1196"/>
        <v>3415</v>
      </c>
      <c r="B3420" s="229"/>
      <c r="C3420" s="223"/>
      <c r="D3420" s="224"/>
      <c r="E3420" s="225"/>
      <c r="F3420" s="1036" t="str">
        <f t="shared" si="1202"/>
        <v/>
      </c>
      <c r="G3420" s="1037" t="str">
        <f t="shared" si="1197"/>
        <v/>
      </c>
      <c r="H3420" s="225"/>
      <c r="I3420" s="1013"/>
      <c r="J3420" s="1013"/>
      <c r="K3420" s="1028"/>
      <c r="L3420" s="1035" t="str">
        <f t="shared" si="1201"/>
        <v/>
      </c>
      <c r="S3420" s="498"/>
      <c r="AJ3420" s="498"/>
      <c r="AM3420" s="498">
        <f t="shared" si="1182"/>
        <v>0</v>
      </c>
      <c r="AN3420" s="498">
        <f t="shared" si="1183"/>
        <v>0</v>
      </c>
      <c r="AO3420" s="498">
        <f t="shared" si="1184"/>
        <v>0</v>
      </c>
      <c r="AP3420" s="498">
        <f t="shared" si="1203"/>
        <v>0</v>
      </c>
      <c r="AQ3420" s="498">
        <f t="shared" si="1198"/>
        <v>0</v>
      </c>
      <c r="AU3420" s="498">
        <f t="shared" si="1185"/>
        <v>0</v>
      </c>
      <c r="AV3420" s="498">
        <f t="shared" si="1186"/>
        <v>0</v>
      </c>
      <c r="AW3420" s="498">
        <f t="shared" si="1187"/>
        <v>0</v>
      </c>
      <c r="AX3420" s="498">
        <f t="shared" si="1188"/>
        <v>0</v>
      </c>
      <c r="AY3420" s="498">
        <f t="shared" si="1189"/>
        <v>0</v>
      </c>
      <c r="BB3420" s="498" t="str">
        <f t="shared" si="1190"/>
        <v/>
      </c>
      <c r="BC3420" s="743" t="str">
        <f t="shared" si="1191"/>
        <v/>
      </c>
      <c r="BD3420" s="743" t="str">
        <f t="shared" si="1192"/>
        <v/>
      </c>
      <c r="BE3420" s="743" t="str">
        <f>IF(D3420="","",VLOOKUP(D3420,'General Basis'!$J$39:$K$46,2,0))</f>
        <v/>
      </c>
      <c r="BF3420" s="744" t="str">
        <f>IF(D3420="","",VLOOKUP(D3420,'General Basis'!$J$39:$L$46,3,0))</f>
        <v/>
      </c>
      <c r="BG3420" s="744" t="str">
        <f t="shared" si="1199"/>
        <v/>
      </c>
      <c r="BH3420" s="744" t="str">
        <f>IF(G3420="","",IF(BF3420="Abu Dhabi",IF(G3420&lt;18,'General Basis'!$C$39,IF(G3420&lt;41,'General Basis'!$C$40,IF(G3420&lt;60,'General Basis'!$C$41,IF(G3420&lt;65,'General Basis'!$C$42,'General Basis'!$C$43)))),IF(G3420&lt;11,'General Basis'!$B$39,IF(G3420&lt;18,'General Basis'!$B$40,IF(G3420&lt;26,'General Basis'!$B$41,IF(G3420&lt;31,'General Basis'!$B$42,IF(G3420&lt;36,'General Basis'!$B$43,IF(G3420&lt;41,'General Basis'!$B$44,IF(G3420&lt;46,'General Basis'!$B$45,IF(G3420&lt;51,'General Basis'!$B$46,IF(G3420&lt;56,'General Basis'!$B$47,IF(G3420&lt;60,'General Basis'!$B$48,IF(G3420&lt;65,'General Basis'!$B$49,'General Basis'!$B$50)))))))))))))</f>
        <v/>
      </c>
      <c r="BI3420" s="744" t="str">
        <f t="shared" si="1193"/>
        <v/>
      </c>
      <c r="BJ3420" s="747" t="str">
        <f t="shared" si="1200"/>
        <v/>
      </c>
      <c r="BK3420" s="498" t="str">
        <f t="shared" si="1194"/>
        <v/>
      </c>
      <c r="BL3420" s="498" t="str">
        <f t="shared" si="1195"/>
        <v/>
      </c>
    </row>
    <row r="3421" spans="1:64" x14ac:dyDescent="0.25">
      <c r="A3421" s="762">
        <f t="shared" si="1196"/>
        <v>3416</v>
      </c>
      <c r="B3421" s="229"/>
      <c r="C3421" s="223"/>
      <c r="D3421" s="224"/>
      <c r="E3421" s="225"/>
      <c r="F3421" s="1036" t="str">
        <f t="shared" si="1202"/>
        <v/>
      </c>
      <c r="G3421" s="1037" t="str">
        <f t="shared" si="1197"/>
        <v/>
      </c>
      <c r="H3421" s="225"/>
      <c r="I3421" s="1013"/>
      <c r="J3421" s="1013"/>
      <c r="K3421" s="1028"/>
      <c r="L3421" s="1035" t="str">
        <f t="shared" si="1201"/>
        <v/>
      </c>
      <c r="S3421" s="498"/>
      <c r="AJ3421" s="498"/>
      <c r="AM3421" s="498">
        <f t="shared" si="1182"/>
        <v>0</v>
      </c>
      <c r="AN3421" s="498">
        <f t="shared" si="1183"/>
        <v>0</v>
      </c>
      <c r="AO3421" s="498">
        <f t="shared" si="1184"/>
        <v>0</v>
      </c>
      <c r="AP3421" s="498">
        <f t="shared" si="1203"/>
        <v>0</v>
      </c>
      <c r="AQ3421" s="498">
        <f t="shared" si="1198"/>
        <v>0</v>
      </c>
      <c r="AU3421" s="498">
        <f t="shared" si="1185"/>
        <v>0</v>
      </c>
      <c r="AV3421" s="498">
        <f t="shared" si="1186"/>
        <v>0</v>
      </c>
      <c r="AW3421" s="498">
        <f t="shared" si="1187"/>
        <v>0</v>
      </c>
      <c r="AX3421" s="498">
        <f t="shared" si="1188"/>
        <v>0</v>
      </c>
      <c r="AY3421" s="498">
        <f t="shared" si="1189"/>
        <v>0</v>
      </c>
      <c r="BB3421" s="498" t="str">
        <f t="shared" si="1190"/>
        <v/>
      </c>
      <c r="BC3421" s="743" t="str">
        <f t="shared" si="1191"/>
        <v/>
      </c>
      <c r="BD3421" s="743" t="str">
        <f t="shared" si="1192"/>
        <v/>
      </c>
      <c r="BE3421" s="743" t="str">
        <f>IF(D3421="","",VLOOKUP(D3421,'General Basis'!$J$39:$K$46,2,0))</f>
        <v/>
      </c>
      <c r="BF3421" s="744" t="str">
        <f>IF(D3421="","",VLOOKUP(D3421,'General Basis'!$J$39:$L$46,3,0))</f>
        <v/>
      </c>
      <c r="BG3421" s="744" t="str">
        <f t="shared" si="1199"/>
        <v/>
      </c>
      <c r="BH3421" s="744" t="str">
        <f>IF(G3421="","",IF(BF3421="Abu Dhabi",IF(G3421&lt;18,'General Basis'!$C$39,IF(G3421&lt;41,'General Basis'!$C$40,IF(G3421&lt;60,'General Basis'!$C$41,IF(G3421&lt;65,'General Basis'!$C$42,'General Basis'!$C$43)))),IF(G3421&lt;11,'General Basis'!$B$39,IF(G3421&lt;18,'General Basis'!$B$40,IF(G3421&lt;26,'General Basis'!$B$41,IF(G3421&lt;31,'General Basis'!$B$42,IF(G3421&lt;36,'General Basis'!$B$43,IF(G3421&lt;41,'General Basis'!$B$44,IF(G3421&lt;46,'General Basis'!$B$45,IF(G3421&lt;51,'General Basis'!$B$46,IF(G3421&lt;56,'General Basis'!$B$47,IF(G3421&lt;60,'General Basis'!$B$48,IF(G3421&lt;65,'General Basis'!$B$49,'General Basis'!$B$50)))))))))))))</f>
        <v/>
      </c>
      <c r="BI3421" s="744" t="str">
        <f t="shared" si="1193"/>
        <v/>
      </c>
      <c r="BJ3421" s="747" t="str">
        <f t="shared" si="1200"/>
        <v/>
      </c>
      <c r="BK3421" s="498" t="str">
        <f t="shared" si="1194"/>
        <v/>
      </c>
      <c r="BL3421" s="498" t="str">
        <f t="shared" si="1195"/>
        <v/>
      </c>
    </row>
    <row r="3422" spans="1:64" x14ac:dyDescent="0.25">
      <c r="A3422" s="762">
        <f t="shared" si="1196"/>
        <v>3417</v>
      </c>
      <c r="B3422" s="229"/>
      <c r="C3422" s="223"/>
      <c r="D3422" s="224"/>
      <c r="E3422" s="225"/>
      <c r="F3422" s="1036" t="str">
        <f t="shared" si="1202"/>
        <v/>
      </c>
      <c r="G3422" s="1037" t="str">
        <f t="shared" si="1197"/>
        <v/>
      </c>
      <c r="H3422" s="225"/>
      <c r="I3422" s="1013"/>
      <c r="J3422" s="1013"/>
      <c r="K3422" s="1028"/>
      <c r="L3422" s="1035" t="str">
        <f t="shared" si="1201"/>
        <v/>
      </c>
      <c r="S3422" s="498"/>
      <c r="AJ3422" s="498"/>
      <c r="AM3422" s="498">
        <f t="shared" si="1182"/>
        <v>0</v>
      </c>
      <c r="AN3422" s="498">
        <f t="shared" si="1183"/>
        <v>0</v>
      </c>
      <c r="AO3422" s="498">
        <f t="shared" si="1184"/>
        <v>0</v>
      </c>
      <c r="AP3422" s="498">
        <f t="shared" si="1203"/>
        <v>0</v>
      </c>
      <c r="AQ3422" s="498">
        <f t="shared" si="1198"/>
        <v>0</v>
      </c>
      <c r="AU3422" s="498">
        <f t="shared" si="1185"/>
        <v>0</v>
      </c>
      <c r="AV3422" s="498">
        <f t="shared" si="1186"/>
        <v>0</v>
      </c>
      <c r="AW3422" s="498">
        <f t="shared" si="1187"/>
        <v>0</v>
      </c>
      <c r="AX3422" s="498">
        <f t="shared" si="1188"/>
        <v>0</v>
      </c>
      <c r="AY3422" s="498">
        <f t="shared" si="1189"/>
        <v>0</v>
      </c>
      <c r="BB3422" s="498" t="str">
        <f t="shared" si="1190"/>
        <v/>
      </c>
      <c r="BC3422" s="743" t="str">
        <f t="shared" si="1191"/>
        <v/>
      </c>
      <c r="BD3422" s="743" t="str">
        <f t="shared" si="1192"/>
        <v/>
      </c>
      <c r="BE3422" s="743" t="str">
        <f>IF(D3422="","",VLOOKUP(D3422,'General Basis'!$J$39:$K$46,2,0))</f>
        <v/>
      </c>
      <c r="BF3422" s="744" t="str">
        <f>IF(D3422="","",VLOOKUP(D3422,'General Basis'!$J$39:$L$46,3,0))</f>
        <v/>
      </c>
      <c r="BG3422" s="744" t="str">
        <f t="shared" si="1199"/>
        <v/>
      </c>
      <c r="BH3422" s="744" t="str">
        <f>IF(G3422="","",IF(BF3422="Abu Dhabi",IF(G3422&lt;18,'General Basis'!$C$39,IF(G3422&lt;41,'General Basis'!$C$40,IF(G3422&lt;60,'General Basis'!$C$41,IF(G3422&lt;65,'General Basis'!$C$42,'General Basis'!$C$43)))),IF(G3422&lt;11,'General Basis'!$B$39,IF(G3422&lt;18,'General Basis'!$B$40,IF(G3422&lt;26,'General Basis'!$B$41,IF(G3422&lt;31,'General Basis'!$B$42,IF(G3422&lt;36,'General Basis'!$B$43,IF(G3422&lt;41,'General Basis'!$B$44,IF(G3422&lt;46,'General Basis'!$B$45,IF(G3422&lt;51,'General Basis'!$B$46,IF(G3422&lt;56,'General Basis'!$B$47,IF(G3422&lt;60,'General Basis'!$B$48,IF(G3422&lt;65,'General Basis'!$B$49,'General Basis'!$B$50)))))))))))))</f>
        <v/>
      </c>
      <c r="BI3422" s="744" t="str">
        <f t="shared" si="1193"/>
        <v/>
      </c>
      <c r="BJ3422" s="747" t="str">
        <f t="shared" si="1200"/>
        <v/>
      </c>
      <c r="BK3422" s="498" t="str">
        <f t="shared" si="1194"/>
        <v/>
      </c>
      <c r="BL3422" s="498" t="str">
        <f t="shared" si="1195"/>
        <v/>
      </c>
    </row>
    <row r="3423" spans="1:64" x14ac:dyDescent="0.25">
      <c r="A3423" s="762">
        <f t="shared" si="1196"/>
        <v>3418</v>
      </c>
      <c r="B3423" s="229"/>
      <c r="C3423" s="223"/>
      <c r="D3423" s="224"/>
      <c r="E3423" s="225"/>
      <c r="F3423" s="1036" t="str">
        <f t="shared" si="1202"/>
        <v/>
      </c>
      <c r="G3423" s="1037" t="str">
        <f t="shared" si="1197"/>
        <v/>
      </c>
      <c r="H3423" s="225"/>
      <c r="I3423" s="1013"/>
      <c r="J3423" s="1013"/>
      <c r="K3423" s="1028"/>
      <c r="L3423" s="1035" t="str">
        <f t="shared" si="1201"/>
        <v/>
      </c>
      <c r="S3423" s="498"/>
      <c r="AJ3423" s="498"/>
      <c r="AM3423" s="498">
        <f t="shared" si="1182"/>
        <v>0</v>
      </c>
      <c r="AN3423" s="498">
        <f t="shared" si="1183"/>
        <v>0</v>
      </c>
      <c r="AO3423" s="498">
        <f t="shared" si="1184"/>
        <v>0</v>
      </c>
      <c r="AP3423" s="498">
        <f t="shared" si="1203"/>
        <v>0</v>
      </c>
      <c r="AQ3423" s="498">
        <f t="shared" si="1198"/>
        <v>0</v>
      </c>
      <c r="AU3423" s="498">
        <f t="shared" si="1185"/>
        <v>0</v>
      </c>
      <c r="AV3423" s="498">
        <f t="shared" si="1186"/>
        <v>0</v>
      </c>
      <c r="AW3423" s="498">
        <f t="shared" si="1187"/>
        <v>0</v>
      </c>
      <c r="AX3423" s="498">
        <f t="shared" si="1188"/>
        <v>0</v>
      </c>
      <c r="AY3423" s="498">
        <f t="shared" si="1189"/>
        <v>0</v>
      </c>
      <c r="BB3423" s="498" t="str">
        <f t="shared" si="1190"/>
        <v/>
      </c>
      <c r="BC3423" s="743" t="str">
        <f t="shared" si="1191"/>
        <v/>
      </c>
      <c r="BD3423" s="743" t="str">
        <f t="shared" si="1192"/>
        <v/>
      </c>
      <c r="BE3423" s="743" t="str">
        <f>IF(D3423="","",VLOOKUP(D3423,'General Basis'!$J$39:$K$46,2,0))</f>
        <v/>
      </c>
      <c r="BF3423" s="744" t="str">
        <f>IF(D3423="","",VLOOKUP(D3423,'General Basis'!$J$39:$L$46,3,0))</f>
        <v/>
      </c>
      <c r="BG3423" s="744" t="str">
        <f t="shared" si="1199"/>
        <v/>
      </c>
      <c r="BH3423" s="744" t="str">
        <f>IF(G3423="","",IF(BF3423="Abu Dhabi",IF(G3423&lt;18,'General Basis'!$C$39,IF(G3423&lt;41,'General Basis'!$C$40,IF(G3423&lt;60,'General Basis'!$C$41,IF(G3423&lt;65,'General Basis'!$C$42,'General Basis'!$C$43)))),IF(G3423&lt;11,'General Basis'!$B$39,IF(G3423&lt;18,'General Basis'!$B$40,IF(G3423&lt;26,'General Basis'!$B$41,IF(G3423&lt;31,'General Basis'!$B$42,IF(G3423&lt;36,'General Basis'!$B$43,IF(G3423&lt;41,'General Basis'!$B$44,IF(G3423&lt;46,'General Basis'!$B$45,IF(G3423&lt;51,'General Basis'!$B$46,IF(G3423&lt;56,'General Basis'!$B$47,IF(G3423&lt;60,'General Basis'!$B$48,IF(G3423&lt;65,'General Basis'!$B$49,'General Basis'!$B$50)))))))))))))</f>
        <v/>
      </c>
      <c r="BI3423" s="744" t="str">
        <f t="shared" si="1193"/>
        <v/>
      </c>
      <c r="BJ3423" s="747" t="str">
        <f t="shared" si="1200"/>
        <v/>
      </c>
      <c r="BK3423" s="498" t="str">
        <f t="shared" si="1194"/>
        <v/>
      </c>
      <c r="BL3423" s="498" t="str">
        <f t="shared" si="1195"/>
        <v/>
      </c>
    </row>
    <row r="3424" spans="1:64" x14ac:dyDescent="0.25">
      <c r="A3424" s="762">
        <f t="shared" si="1196"/>
        <v>3419</v>
      </c>
      <c r="B3424" s="229"/>
      <c r="C3424" s="223"/>
      <c r="D3424" s="224"/>
      <c r="E3424" s="225"/>
      <c r="F3424" s="1036" t="str">
        <f t="shared" si="1202"/>
        <v/>
      </c>
      <c r="G3424" s="1037" t="str">
        <f t="shared" si="1197"/>
        <v/>
      </c>
      <c r="H3424" s="225"/>
      <c r="I3424" s="1013"/>
      <c r="J3424" s="1013"/>
      <c r="K3424" s="1028"/>
      <c r="L3424" s="1035" t="str">
        <f t="shared" si="1201"/>
        <v/>
      </c>
      <c r="S3424" s="498"/>
      <c r="AJ3424" s="498"/>
      <c r="AM3424" s="498">
        <f t="shared" si="1182"/>
        <v>0</v>
      </c>
      <c r="AN3424" s="498">
        <f t="shared" si="1183"/>
        <v>0</v>
      </c>
      <c r="AO3424" s="498">
        <f t="shared" si="1184"/>
        <v>0</v>
      </c>
      <c r="AP3424" s="498">
        <f t="shared" si="1203"/>
        <v>0</v>
      </c>
      <c r="AQ3424" s="498">
        <f t="shared" si="1198"/>
        <v>0</v>
      </c>
      <c r="AU3424" s="498">
        <f t="shared" si="1185"/>
        <v>0</v>
      </c>
      <c r="AV3424" s="498">
        <f t="shared" si="1186"/>
        <v>0</v>
      </c>
      <c r="AW3424" s="498">
        <f t="shared" si="1187"/>
        <v>0</v>
      </c>
      <c r="AX3424" s="498">
        <f t="shared" si="1188"/>
        <v>0</v>
      </c>
      <c r="AY3424" s="498">
        <f t="shared" si="1189"/>
        <v>0</v>
      </c>
      <c r="BB3424" s="498" t="str">
        <f t="shared" si="1190"/>
        <v/>
      </c>
      <c r="BC3424" s="743" t="str">
        <f t="shared" si="1191"/>
        <v/>
      </c>
      <c r="BD3424" s="743" t="str">
        <f t="shared" si="1192"/>
        <v/>
      </c>
      <c r="BE3424" s="743" t="str">
        <f>IF(D3424="","",VLOOKUP(D3424,'General Basis'!$J$39:$K$46,2,0))</f>
        <v/>
      </c>
      <c r="BF3424" s="744" t="str">
        <f>IF(D3424="","",VLOOKUP(D3424,'General Basis'!$J$39:$L$46,3,0))</f>
        <v/>
      </c>
      <c r="BG3424" s="744" t="str">
        <f t="shared" si="1199"/>
        <v/>
      </c>
      <c r="BH3424" s="744" t="str">
        <f>IF(G3424="","",IF(BF3424="Abu Dhabi",IF(G3424&lt;18,'General Basis'!$C$39,IF(G3424&lt;41,'General Basis'!$C$40,IF(G3424&lt;60,'General Basis'!$C$41,IF(G3424&lt;65,'General Basis'!$C$42,'General Basis'!$C$43)))),IF(G3424&lt;11,'General Basis'!$B$39,IF(G3424&lt;18,'General Basis'!$B$40,IF(G3424&lt;26,'General Basis'!$B$41,IF(G3424&lt;31,'General Basis'!$B$42,IF(G3424&lt;36,'General Basis'!$B$43,IF(G3424&lt;41,'General Basis'!$B$44,IF(G3424&lt;46,'General Basis'!$B$45,IF(G3424&lt;51,'General Basis'!$B$46,IF(G3424&lt;56,'General Basis'!$B$47,IF(G3424&lt;60,'General Basis'!$B$48,IF(G3424&lt;65,'General Basis'!$B$49,'General Basis'!$B$50)))))))))))))</f>
        <v/>
      </c>
      <c r="BI3424" s="744" t="str">
        <f t="shared" si="1193"/>
        <v/>
      </c>
      <c r="BJ3424" s="747" t="str">
        <f t="shared" si="1200"/>
        <v/>
      </c>
      <c r="BK3424" s="498" t="str">
        <f t="shared" si="1194"/>
        <v/>
      </c>
      <c r="BL3424" s="498" t="str">
        <f t="shared" si="1195"/>
        <v/>
      </c>
    </row>
    <row r="3425" spans="1:64" x14ac:dyDescent="0.25">
      <c r="A3425" s="762">
        <f t="shared" si="1196"/>
        <v>3420</v>
      </c>
      <c r="B3425" s="229"/>
      <c r="C3425" s="223"/>
      <c r="D3425" s="224"/>
      <c r="E3425" s="225"/>
      <c r="F3425" s="1036" t="str">
        <f t="shared" si="1202"/>
        <v/>
      </c>
      <c r="G3425" s="1037" t="str">
        <f t="shared" si="1197"/>
        <v/>
      </c>
      <c r="H3425" s="225"/>
      <c r="I3425" s="1013"/>
      <c r="J3425" s="1013"/>
      <c r="K3425" s="1028"/>
      <c r="L3425" s="1035" t="str">
        <f t="shared" si="1201"/>
        <v/>
      </c>
      <c r="S3425" s="498"/>
      <c r="AJ3425" s="498"/>
      <c r="AM3425" s="498">
        <f t="shared" si="1182"/>
        <v>0</v>
      </c>
      <c r="AN3425" s="498">
        <f t="shared" si="1183"/>
        <v>0</v>
      </c>
      <c r="AO3425" s="498">
        <f t="shared" si="1184"/>
        <v>0</v>
      </c>
      <c r="AP3425" s="498">
        <f t="shared" si="1203"/>
        <v>0</v>
      </c>
      <c r="AQ3425" s="498">
        <f t="shared" si="1198"/>
        <v>0</v>
      </c>
      <c r="AU3425" s="498">
        <f t="shared" si="1185"/>
        <v>0</v>
      </c>
      <c r="AV3425" s="498">
        <f t="shared" si="1186"/>
        <v>0</v>
      </c>
      <c r="AW3425" s="498">
        <f t="shared" si="1187"/>
        <v>0</v>
      </c>
      <c r="AX3425" s="498">
        <f t="shared" si="1188"/>
        <v>0</v>
      </c>
      <c r="AY3425" s="498">
        <f t="shared" si="1189"/>
        <v>0</v>
      </c>
      <c r="BB3425" s="498" t="str">
        <f t="shared" si="1190"/>
        <v/>
      </c>
      <c r="BC3425" s="743" t="str">
        <f t="shared" si="1191"/>
        <v/>
      </c>
      <c r="BD3425" s="743" t="str">
        <f t="shared" si="1192"/>
        <v/>
      </c>
      <c r="BE3425" s="743" t="str">
        <f>IF(D3425="","",VLOOKUP(D3425,'General Basis'!$J$39:$K$46,2,0))</f>
        <v/>
      </c>
      <c r="BF3425" s="744" t="str">
        <f>IF(D3425="","",VLOOKUP(D3425,'General Basis'!$J$39:$L$46,3,0))</f>
        <v/>
      </c>
      <c r="BG3425" s="744" t="str">
        <f t="shared" si="1199"/>
        <v/>
      </c>
      <c r="BH3425" s="744" t="str">
        <f>IF(G3425="","",IF(BF3425="Abu Dhabi",IF(G3425&lt;18,'General Basis'!$C$39,IF(G3425&lt;41,'General Basis'!$C$40,IF(G3425&lt;60,'General Basis'!$C$41,IF(G3425&lt;65,'General Basis'!$C$42,'General Basis'!$C$43)))),IF(G3425&lt;11,'General Basis'!$B$39,IF(G3425&lt;18,'General Basis'!$B$40,IF(G3425&lt;26,'General Basis'!$B$41,IF(G3425&lt;31,'General Basis'!$B$42,IF(G3425&lt;36,'General Basis'!$B$43,IF(G3425&lt;41,'General Basis'!$B$44,IF(G3425&lt;46,'General Basis'!$B$45,IF(G3425&lt;51,'General Basis'!$B$46,IF(G3425&lt;56,'General Basis'!$B$47,IF(G3425&lt;60,'General Basis'!$B$48,IF(G3425&lt;65,'General Basis'!$B$49,'General Basis'!$B$50)))))))))))))</f>
        <v/>
      </c>
      <c r="BI3425" s="744" t="str">
        <f t="shared" si="1193"/>
        <v/>
      </c>
      <c r="BJ3425" s="747" t="str">
        <f t="shared" si="1200"/>
        <v/>
      </c>
      <c r="BK3425" s="498" t="str">
        <f t="shared" si="1194"/>
        <v/>
      </c>
      <c r="BL3425" s="498" t="str">
        <f t="shared" si="1195"/>
        <v/>
      </c>
    </row>
    <row r="3426" spans="1:64" x14ac:dyDescent="0.25">
      <c r="A3426" s="762">
        <f t="shared" si="1196"/>
        <v>3421</v>
      </c>
      <c r="B3426" s="229"/>
      <c r="C3426" s="223"/>
      <c r="D3426" s="224"/>
      <c r="E3426" s="225"/>
      <c r="F3426" s="1036" t="str">
        <f t="shared" si="1202"/>
        <v/>
      </c>
      <c r="G3426" s="1037" t="str">
        <f t="shared" si="1197"/>
        <v/>
      </c>
      <c r="H3426" s="225"/>
      <c r="I3426" s="1013"/>
      <c r="J3426" s="1013"/>
      <c r="K3426" s="1028"/>
      <c r="L3426" s="1035" t="str">
        <f t="shared" si="1201"/>
        <v/>
      </c>
      <c r="S3426" s="498"/>
      <c r="AJ3426" s="498"/>
      <c r="AM3426" s="498">
        <f t="shared" si="1182"/>
        <v>0</v>
      </c>
      <c r="AN3426" s="498">
        <f t="shared" si="1183"/>
        <v>0</v>
      </c>
      <c r="AO3426" s="498">
        <f t="shared" si="1184"/>
        <v>0</v>
      </c>
      <c r="AP3426" s="498">
        <f t="shared" si="1203"/>
        <v>0</v>
      </c>
      <c r="AQ3426" s="498">
        <f t="shared" si="1198"/>
        <v>0</v>
      </c>
      <c r="AU3426" s="498">
        <f t="shared" si="1185"/>
        <v>0</v>
      </c>
      <c r="AV3426" s="498">
        <f t="shared" si="1186"/>
        <v>0</v>
      </c>
      <c r="AW3426" s="498">
        <f t="shared" si="1187"/>
        <v>0</v>
      </c>
      <c r="AX3426" s="498">
        <f t="shared" si="1188"/>
        <v>0</v>
      </c>
      <c r="AY3426" s="498">
        <f t="shared" si="1189"/>
        <v>0</v>
      </c>
      <c r="BB3426" s="498" t="str">
        <f t="shared" si="1190"/>
        <v/>
      </c>
      <c r="BC3426" s="743" t="str">
        <f t="shared" si="1191"/>
        <v/>
      </c>
      <c r="BD3426" s="743" t="str">
        <f t="shared" si="1192"/>
        <v/>
      </c>
      <c r="BE3426" s="743" t="str">
        <f>IF(D3426="","",VLOOKUP(D3426,'General Basis'!$J$39:$K$46,2,0))</f>
        <v/>
      </c>
      <c r="BF3426" s="744" t="str">
        <f>IF(D3426="","",VLOOKUP(D3426,'General Basis'!$J$39:$L$46,3,0))</f>
        <v/>
      </c>
      <c r="BG3426" s="744" t="str">
        <f t="shared" si="1199"/>
        <v/>
      </c>
      <c r="BH3426" s="744" t="str">
        <f>IF(G3426="","",IF(BF3426="Abu Dhabi",IF(G3426&lt;18,'General Basis'!$C$39,IF(G3426&lt;41,'General Basis'!$C$40,IF(G3426&lt;60,'General Basis'!$C$41,IF(G3426&lt;65,'General Basis'!$C$42,'General Basis'!$C$43)))),IF(G3426&lt;11,'General Basis'!$B$39,IF(G3426&lt;18,'General Basis'!$B$40,IF(G3426&lt;26,'General Basis'!$B$41,IF(G3426&lt;31,'General Basis'!$B$42,IF(G3426&lt;36,'General Basis'!$B$43,IF(G3426&lt;41,'General Basis'!$B$44,IF(G3426&lt;46,'General Basis'!$B$45,IF(G3426&lt;51,'General Basis'!$B$46,IF(G3426&lt;56,'General Basis'!$B$47,IF(G3426&lt;60,'General Basis'!$B$48,IF(G3426&lt;65,'General Basis'!$B$49,'General Basis'!$B$50)))))))))))))</f>
        <v/>
      </c>
      <c r="BI3426" s="744" t="str">
        <f t="shared" si="1193"/>
        <v/>
      </c>
      <c r="BJ3426" s="747" t="str">
        <f t="shared" si="1200"/>
        <v/>
      </c>
      <c r="BK3426" s="498" t="str">
        <f t="shared" si="1194"/>
        <v/>
      </c>
      <c r="BL3426" s="498" t="str">
        <f t="shared" si="1195"/>
        <v/>
      </c>
    </row>
    <row r="3427" spans="1:64" x14ac:dyDescent="0.25">
      <c r="A3427" s="762">
        <f t="shared" si="1196"/>
        <v>3422</v>
      </c>
      <c r="B3427" s="229"/>
      <c r="C3427" s="223"/>
      <c r="D3427" s="224"/>
      <c r="E3427" s="225"/>
      <c r="F3427" s="1036" t="str">
        <f t="shared" si="1202"/>
        <v/>
      </c>
      <c r="G3427" s="1037" t="str">
        <f t="shared" si="1197"/>
        <v/>
      </c>
      <c r="H3427" s="225"/>
      <c r="I3427" s="1013"/>
      <c r="J3427" s="1013"/>
      <c r="K3427" s="1028"/>
      <c r="L3427" s="1035" t="str">
        <f t="shared" si="1201"/>
        <v/>
      </c>
      <c r="S3427" s="498"/>
      <c r="AJ3427" s="498"/>
      <c r="AM3427" s="498">
        <f t="shared" si="1182"/>
        <v>0</v>
      </c>
      <c r="AN3427" s="498">
        <f t="shared" si="1183"/>
        <v>0</v>
      </c>
      <c r="AO3427" s="498">
        <f t="shared" si="1184"/>
        <v>0</v>
      </c>
      <c r="AP3427" s="498">
        <f t="shared" si="1203"/>
        <v>0</v>
      </c>
      <c r="AQ3427" s="498">
        <f t="shared" si="1198"/>
        <v>0</v>
      </c>
      <c r="AU3427" s="498">
        <f t="shared" si="1185"/>
        <v>0</v>
      </c>
      <c r="AV3427" s="498">
        <f t="shared" si="1186"/>
        <v>0</v>
      </c>
      <c r="AW3427" s="498">
        <f t="shared" si="1187"/>
        <v>0</v>
      </c>
      <c r="AX3427" s="498">
        <f t="shared" si="1188"/>
        <v>0</v>
      </c>
      <c r="AY3427" s="498">
        <f t="shared" si="1189"/>
        <v>0</v>
      </c>
      <c r="BB3427" s="498" t="str">
        <f t="shared" si="1190"/>
        <v/>
      </c>
      <c r="BC3427" s="743" t="str">
        <f t="shared" si="1191"/>
        <v/>
      </c>
      <c r="BD3427" s="743" t="str">
        <f t="shared" si="1192"/>
        <v/>
      </c>
      <c r="BE3427" s="743" t="str">
        <f>IF(D3427="","",VLOOKUP(D3427,'General Basis'!$J$39:$K$46,2,0))</f>
        <v/>
      </c>
      <c r="BF3427" s="744" t="str">
        <f>IF(D3427="","",VLOOKUP(D3427,'General Basis'!$J$39:$L$46,3,0))</f>
        <v/>
      </c>
      <c r="BG3427" s="744" t="str">
        <f t="shared" si="1199"/>
        <v/>
      </c>
      <c r="BH3427" s="744" t="str">
        <f>IF(G3427="","",IF(BF3427="Abu Dhabi",IF(G3427&lt;18,'General Basis'!$C$39,IF(G3427&lt;41,'General Basis'!$C$40,IF(G3427&lt;60,'General Basis'!$C$41,IF(G3427&lt;65,'General Basis'!$C$42,'General Basis'!$C$43)))),IF(G3427&lt;11,'General Basis'!$B$39,IF(G3427&lt;18,'General Basis'!$B$40,IF(G3427&lt;26,'General Basis'!$B$41,IF(G3427&lt;31,'General Basis'!$B$42,IF(G3427&lt;36,'General Basis'!$B$43,IF(G3427&lt;41,'General Basis'!$B$44,IF(G3427&lt;46,'General Basis'!$B$45,IF(G3427&lt;51,'General Basis'!$B$46,IF(G3427&lt;56,'General Basis'!$B$47,IF(G3427&lt;60,'General Basis'!$B$48,IF(G3427&lt;65,'General Basis'!$B$49,'General Basis'!$B$50)))))))))))))</f>
        <v/>
      </c>
      <c r="BI3427" s="744" t="str">
        <f t="shared" si="1193"/>
        <v/>
      </c>
      <c r="BJ3427" s="747" t="str">
        <f t="shared" si="1200"/>
        <v/>
      </c>
      <c r="BK3427" s="498" t="str">
        <f t="shared" si="1194"/>
        <v/>
      </c>
      <c r="BL3427" s="498" t="str">
        <f t="shared" si="1195"/>
        <v/>
      </c>
    </row>
    <row r="3428" spans="1:64" x14ac:dyDescent="0.25">
      <c r="A3428" s="762">
        <f t="shared" si="1196"/>
        <v>3423</v>
      </c>
      <c r="B3428" s="229"/>
      <c r="C3428" s="223"/>
      <c r="D3428" s="224"/>
      <c r="E3428" s="225"/>
      <c r="F3428" s="1036" t="str">
        <f t="shared" si="1202"/>
        <v/>
      </c>
      <c r="G3428" s="1037" t="str">
        <f t="shared" si="1197"/>
        <v/>
      </c>
      <c r="H3428" s="225"/>
      <c r="I3428" s="1013"/>
      <c r="J3428" s="1013"/>
      <c r="K3428" s="1028"/>
      <c r="L3428" s="1035" t="str">
        <f t="shared" si="1201"/>
        <v/>
      </c>
      <c r="S3428" s="498"/>
      <c r="AJ3428" s="498"/>
      <c r="AM3428" s="498">
        <f t="shared" si="1182"/>
        <v>0</v>
      </c>
      <c r="AN3428" s="498">
        <f t="shared" si="1183"/>
        <v>0</v>
      </c>
      <c r="AO3428" s="498">
        <f t="shared" si="1184"/>
        <v>0</v>
      </c>
      <c r="AP3428" s="498">
        <f t="shared" si="1203"/>
        <v>0</v>
      </c>
      <c r="AQ3428" s="498">
        <f t="shared" si="1198"/>
        <v>0</v>
      </c>
      <c r="AU3428" s="498">
        <f t="shared" si="1185"/>
        <v>0</v>
      </c>
      <c r="AV3428" s="498">
        <f t="shared" si="1186"/>
        <v>0</v>
      </c>
      <c r="AW3428" s="498">
        <f t="shared" si="1187"/>
        <v>0</v>
      </c>
      <c r="AX3428" s="498">
        <f t="shared" si="1188"/>
        <v>0</v>
      </c>
      <c r="AY3428" s="498">
        <f t="shared" si="1189"/>
        <v>0</v>
      </c>
      <c r="BB3428" s="498" t="str">
        <f t="shared" si="1190"/>
        <v/>
      </c>
      <c r="BC3428" s="743" t="str">
        <f t="shared" si="1191"/>
        <v/>
      </c>
      <c r="BD3428" s="743" t="str">
        <f t="shared" si="1192"/>
        <v/>
      </c>
      <c r="BE3428" s="743" t="str">
        <f>IF(D3428="","",VLOOKUP(D3428,'General Basis'!$J$39:$K$46,2,0))</f>
        <v/>
      </c>
      <c r="BF3428" s="744" t="str">
        <f>IF(D3428="","",VLOOKUP(D3428,'General Basis'!$J$39:$L$46,3,0))</f>
        <v/>
      </c>
      <c r="BG3428" s="744" t="str">
        <f t="shared" si="1199"/>
        <v/>
      </c>
      <c r="BH3428" s="744" t="str">
        <f>IF(G3428="","",IF(BF3428="Abu Dhabi",IF(G3428&lt;18,'General Basis'!$C$39,IF(G3428&lt;41,'General Basis'!$C$40,IF(G3428&lt;60,'General Basis'!$C$41,IF(G3428&lt;65,'General Basis'!$C$42,'General Basis'!$C$43)))),IF(G3428&lt;11,'General Basis'!$B$39,IF(G3428&lt;18,'General Basis'!$B$40,IF(G3428&lt;26,'General Basis'!$B$41,IF(G3428&lt;31,'General Basis'!$B$42,IF(G3428&lt;36,'General Basis'!$B$43,IF(G3428&lt;41,'General Basis'!$B$44,IF(G3428&lt;46,'General Basis'!$B$45,IF(G3428&lt;51,'General Basis'!$B$46,IF(G3428&lt;56,'General Basis'!$B$47,IF(G3428&lt;60,'General Basis'!$B$48,IF(G3428&lt;65,'General Basis'!$B$49,'General Basis'!$B$50)))))))))))))</f>
        <v/>
      </c>
      <c r="BI3428" s="744" t="str">
        <f t="shared" si="1193"/>
        <v/>
      </c>
      <c r="BJ3428" s="747" t="str">
        <f t="shared" si="1200"/>
        <v/>
      </c>
      <c r="BK3428" s="498" t="str">
        <f t="shared" si="1194"/>
        <v/>
      </c>
      <c r="BL3428" s="498" t="str">
        <f t="shared" si="1195"/>
        <v/>
      </c>
    </row>
    <row r="3429" spans="1:64" x14ac:dyDescent="0.25">
      <c r="A3429" s="762">
        <f t="shared" si="1196"/>
        <v>3424</v>
      </c>
      <c r="B3429" s="229"/>
      <c r="C3429" s="223"/>
      <c r="D3429" s="224"/>
      <c r="E3429" s="225"/>
      <c r="F3429" s="1036" t="str">
        <f t="shared" si="1202"/>
        <v/>
      </c>
      <c r="G3429" s="1037" t="str">
        <f t="shared" si="1197"/>
        <v/>
      </c>
      <c r="H3429" s="225"/>
      <c r="I3429" s="1013"/>
      <c r="J3429" s="1013"/>
      <c r="K3429" s="1028"/>
      <c r="L3429" s="1035" t="str">
        <f t="shared" si="1201"/>
        <v/>
      </c>
      <c r="S3429" s="498"/>
      <c r="AJ3429" s="498"/>
      <c r="AM3429" s="498">
        <f t="shared" si="1182"/>
        <v>0</v>
      </c>
      <c r="AN3429" s="498">
        <f t="shared" si="1183"/>
        <v>0</v>
      </c>
      <c r="AO3429" s="498">
        <f t="shared" si="1184"/>
        <v>0</v>
      </c>
      <c r="AP3429" s="498">
        <f t="shared" si="1203"/>
        <v>0</v>
      </c>
      <c r="AQ3429" s="498">
        <f t="shared" si="1198"/>
        <v>0</v>
      </c>
      <c r="AU3429" s="498">
        <f t="shared" si="1185"/>
        <v>0</v>
      </c>
      <c r="AV3429" s="498">
        <f t="shared" si="1186"/>
        <v>0</v>
      </c>
      <c r="AW3429" s="498">
        <f t="shared" si="1187"/>
        <v>0</v>
      </c>
      <c r="AX3429" s="498">
        <f t="shared" si="1188"/>
        <v>0</v>
      </c>
      <c r="AY3429" s="498">
        <f t="shared" si="1189"/>
        <v>0</v>
      </c>
      <c r="BB3429" s="498" t="str">
        <f t="shared" si="1190"/>
        <v/>
      </c>
      <c r="BC3429" s="743" t="str">
        <f t="shared" si="1191"/>
        <v/>
      </c>
      <c r="BD3429" s="743" t="str">
        <f t="shared" si="1192"/>
        <v/>
      </c>
      <c r="BE3429" s="743" t="str">
        <f>IF(D3429="","",VLOOKUP(D3429,'General Basis'!$J$39:$K$46,2,0))</f>
        <v/>
      </c>
      <c r="BF3429" s="744" t="str">
        <f>IF(D3429="","",VLOOKUP(D3429,'General Basis'!$J$39:$L$46,3,0))</f>
        <v/>
      </c>
      <c r="BG3429" s="744" t="str">
        <f t="shared" si="1199"/>
        <v/>
      </c>
      <c r="BH3429" s="744" t="str">
        <f>IF(G3429="","",IF(BF3429="Abu Dhabi",IF(G3429&lt;18,'General Basis'!$C$39,IF(G3429&lt;41,'General Basis'!$C$40,IF(G3429&lt;60,'General Basis'!$C$41,IF(G3429&lt;65,'General Basis'!$C$42,'General Basis'!$C$43)))),IF(G3429&lt;11,'General Basis'!$B$39,IF(G3429&lt;18,'General Basis'!$B$40,IF(G3429&lt;26,'General Basis'!$B$41,IF(G3429&lt;31,'General Basis'!$B$42,IF(G3429&lt;36,'General Basis'!$B$43,IF(G3429&lt;41,'General Basis'!$B$44,IF(G3429&lt;46,'General Basis'!$B$45,IF(G3429&lt;51,'General Basis'!$B$46,IF(G3429&lt;56,'General Basis'!$B$47,IF(G3429&lt;60,'General Basis'!$B$48,IF(G3429&lt;65,'General Basis'!$B$49,'General Basis'!$B$50)))))))))))))</f>
        <v/>
      </c>
      <c r="BI3429" s="744" t="str">
        <f t="shared" si="1193"/>
        <v/>
      </c>
      <c r="BJ3429" s="747" t="str">
        <f t="shared" si="1200"/>
        <v/>
      </c>
      <c r="BK3429" s="498" t="str">
        <f t="shared" si="1194"/>
        <v/>
      </c>
      <c r="BL3429" s="498" t="str">
        <f t="shared" si="1195"/>
        <v/>
      </c>
    </row>
    <row r="3430" spans="1:64" x14ac:dyDescent="0.25">
      <c r="A3430" s="762">
        <f t="shared" si="1196"/>
        <v>3425</v>
      </c>
      <c r="B3430" s="229"/>
      <c r="C3430" s="223"/>
      <c r="D3430" s="224"/>
      <c r="E3430" s="225"/>
      <c r="F3430" s="1036" t="str">
        <f t="shared" si="1202"/>
        <v/>
      </c>
      <c r="G3430" s="1037" t="str">
        <f t="shared" si="1197"/>
        <v/>
      </c>
      <c r="H3430" s="225"/>
      <c r="I3430" s="1013"/>
      <c r="J3430" s="1013"/>
      <c r="K3430" s="1028"/>
      <c r="L3430" s="1035" t="str">
        <f t="shared" si="1201"/>
        <v/>
      </c>
      <c r="S3430" s="498"/>
      <c r="AJ3430" s="498"/>
      <c r="AM3430" s="498">
        <f t="shared" si="1182"/>
        <v>0</v>
      </c>
      <c r="AN3430" s="498">
        <f t="shared" si="1183"/>
        <v>0</v>
      </c>
      <c r="AO3430" s="498">
        <f t="shared" si="1184"/>
        <v>0</v>
      </c>
      <c r="AP3430" s="498">
        <f t="shared" si="1203"/>
        <v>0</v>
      </c>
      <c r="AQ3430" s="498">
        <f t="shared" si="1198"/>
        <v>0</v>
      </c>
      <c r="AU3430" s="498">
        <f t="shared" si="1185"/>
        <v>0</v>
      </c>
      <c r="AV3430" s="498">
        <f t="shared" si="1186"/>
        <v>0</v>
      </c>
      <c r="AW3430" s="498">
        <f t="shared" si="1187"/>
        <v>0</v>
      </c>
      <c r="AX3430" s="498">
        <f t="shared" si="1188"/>
        <v>0</v>
      </c>
      <c r="AY3430" s="498">
        <f t="shared" si="1189"/>
        <v>0</v>
      </c>
      <c r="BB3430" s="498" t="str">
        <f t="shared" si="1190"/>
        <v/>
      </c>
      <c r="BC3430" s="743" t="str">
        <f t="shared" si="1191"/>
        <v/>
      </c>
      <c r="BD3430" s="743" t="str">
        <f t="shared" si="1192"/>
        <v/>
      </c>
      <c r="BE3430" s="743" t="str">
        <f>IF(D3430="","",VLOOKUP(D3430,'General Basis'!$J$39:$K$46,2,0))</f>
        <v/>
      </c>
      <c r="BF3430" s="744" t="str">
        <f>IF(D3430="","",VLOOKUP(D3430,'General Basis'!$J$39:$L$46,3,0))</f>
        <v/>
      </c>
      <c r="BG3430" s="744" t="str">
        <f t="shared" si="1199"/>
        <v/>
      </c>
      <c r="BH3430" s="744" t="str">
        <f>IF(G3430="","",IF(BF3430="Abu Dhabi",IF(G3430&lt;18,'General Basis'!$C$39,IF(G3430&lt;41,'General Basis'!$C$40,IF(G3430&lt;60,'General Basis'!$C$41,IF(G3430&lt;65,'General Basis'!$C$42,'General Basis'!$C$43)))),IF(G3430&lt;11,'General Basis'!$B$39,IF(G3430&lt;18,'General Basis'!$B$40,IF(G3430&lt;26,'General Basis'!$B$41,IF(G3430&lt;31,'General Basis'!$B$42,IF(G3430&lt;36,'General Basis'!$B$43,IF(G3430&lt;41,'General Basis'!$B$44,IF(G3430&lt;46,'General Basis'!$B$45,IF(G3430&lt;51,'General Basis'!$B$46,IF(G3430&lt;56,'General Basis'!$B$47,IF(G3430&lt;60,'General Basis'!$B$48,IF(G3430&lt;65,'General Basis'!$B$49,'General Basis'!$B$50)))))))))))))</f>
        <v/>
      </c>
      <c r="BI3430" s="744" t="str">
        <f t="shared" si="1193"/>
        <v/>
      </c>
      <c r="BJ3430" s="747" t="str">
        <f t="shared" si="1200"/>
        <v/>
      </c>
      <c r="BK3430" s="498" t="str">
        <f t="shared" si="1194"/>
        <v/>
      </c>
      <c r="BL3430" s="498" t="str">
        <f t="shared" si="1195"/>
        <v/>
      </c>
    </row>
    <row r="3431" spans="1:64" x14ac:dyDescent="0.25">
      <c r="A3431" s="762">
        <f t="shared" si="1196"/>
        <v>3426</v>
      </c>
      <c r="B3431" s="229"/>
      <c r="C3431" s="223"/>
      <c r="D3431" s="224"/>
      <c r="E3431" s="225"/>
      <c r="F3431" s="1036" t="str">
        <f t="shared" si="1202"/>
        <v/>
      </c>
      <c r="G3431" s="1037" t="str">
        <f t="shared" si="1197"/>
        <v/>
      </c>
      <c r="H3431" s="225"/>
      <c r="I3431" s="1013"/>
      <c r="J3431" s="1013"/>
      <c r="K3431" s="1028"/>
      <c r="L3431" s="1035" t="str">
        <f t="shared" si="1201"/>
        <v/>
      </c>
      <c r="S3431" s="498"/>
      <c r="AJ3431" s="498"/>
      <c r="AM3431" s="498">
        <f t="shared" si="1182"/>
        <v>0</v>
      </c>
      <c r="AN3431" s="498">
        <f t="shared" si="1183"/>
        <v>0</v>
      </c>
      <c r="AO3431" s="498">
        <f t="shared" si="1184"/>
        <v>0</v>
      </c>
      <c r="AP3431" s="498">
        <f t="shared" si="1203"/>
        <v>0</v>
      </c>
      <c r="AQ3431" s="498">
        <f t="shared" si="1198"/>
        <v>0</v>
      </c>
      <c r="AU3431" s="498">
        <f t="shared" si="1185"/>
        <v>0</v>
      </c>
      <c r="AV3431" s="498">
        <f t="shared" si="1186"/>
        <v>0</v>
      </c>
      <c r="AW3431" s="498">
        <f t="shared" si="1187"/>
        <v>0</v>
      </c>
      <c r="AX3431" s="498">
        <f t="shared" si="1188"/>
        <v>0</v>
      </c>
      <c r="AY3431" s="498">
        <f t="shared" si="1189"/>
        <v>0</v>
      </c>
      <c r="BB3431" s="498" t="str">
        <f t="shared" si="1190"/>
        <v/>
      </c>
      <c r="BC3431" s="743" t="str">
        <f t="shared" si="1191"/>
        <v/>
      </c>
      <c r="BD3431" s="743" t="str">
        <f t="shared" si="1192"/>
        <v/>
      </c>
      <c r="BE3431" s="743" t="str">
        <f>IF(D3431="","",VLOOKUP(D3431,'General Basis'!$J$39:$K$46,2,0))</f>
        <v/>
      </c>
      <c r="BF3431" s="744" t="str">
        <f>IF(D3431="","",VLOOKUP(D3431,'General Basis'!$J$39:$L$46,3,0))</f>
        <v/>
      </c>
      <c r="BG3431" s="744" t="str">
        <f t="shared" si="1199"/>
        <v/>
      </c>
      <c r="BH3431" s="744" t="str">
        <f>IF(G3431="","",IF(BF3431="Abu Dhabi",IF(G3431&lt;18,'General Basis'!$C$39,IF(G3431&lt;41,'General Basis'!$C$40,IF(G3431&lt;60,'General Basis'!$C$41,IF(G3431&lt;65,'General Basis'!$C$42,'General Basis'!$C$43)))),IF(G3431&lt;11,'General Basis'!$B$39,IF(G3431&lt;18,'General Basis'!$B$40,IF(G3431&lt;26,'General Basis'!$B$41,IF(G3431&lt;31,'General Basis'!$B$42,IF(G3431&lt;36,'General Basis'!$B$43,IF(G3431&lt;41,'General Basis'!$B$44,IF(G3431&lt;46,'General Basis'!$B$45,IF(G3431&lt;51,'General Basis'!$B$46,IF(G3431&lt;56,'General Basis'!$B$47,IF(G3431&lt;60,'General Basis'!$B$48,IF(G3431&lt;65,'General Basis'!$B$49,'General Basis'!$B$50)))))))))))))</f>
        <v/>
      </c>
      <c r="BI3431" s="744" t="str">
        <f t="shared" si="1193"/>
        <v/>
      </c>
      <c r="BJ3431" s="747" t="str">
        <f t="shared" si="1200"/>
        <v/>
      </c>
      <c r="BK3431" s="498" t="str">
        <f t="shared" si="1194"/>
        <v/>
      </c>
      <c r="BL3431" s="498" t="str">
        <f t="shared" si="1195"/>
        <v/>
      </c>
    </row>
    <row r="3432" spans="1:64" x14ac:dyDescent="0.25">
      <c r="A3432" s="762">
        <f t="shared" si="1196"/>
        <v>3427</v>
      </c>
      <c r="B3432" s="229"/>
      <c r="C3432" s="223"/>
      <c r="D3432" s="224"/>
      <c r="E3432" s="225"/>
      <c r="F3432" s="1036" t="str">
        <f t="shared" si="1202"/>
        <v/>
      </c>
      <c r="G3432" s="1037" t="str">
        <f t="shared" si="1197"/>
        <v/>
      </c>
      <c r="H3432" s="225"/>
      <c r="I3432" s="1013"/>
      <c r="J3432" s="1013"/>
      <c r="K3432" s="1028"/>
      <c r="L3432" s="1035" t="str">
        <f t="shared" si="1201"/>
        <v/>
      </c>
      <c r="S3432" s="498"/>
      <c r="AJ3432" s="498"/>
      <c r="AM3432" s="498">
        <f t="shared" si="1182"/>
        <v>0</v>
      </c>
      <c r="AN3432" s="498">
        <f t="shared" si="1183"/>
        <v>0</v>
      </c>
      <c r="AO3432" s="498">
        <f t="shared" si="1184"/>
        <v>0</v>
      </c>
      <c r="AP3432" s="498">
        <f t="shared" si="1203"/>
        <v>0</v>
      </c>
      <c r="AQ3432" s="498">
        <f t="shared" si="1198"/>
        <v>0</v>
      </c>
      <c r="AU3432" s="498">
        <f t="shared" si="1185"/>
        <v>0</v>
      </c>
      <c r="AV3432" s="498">
        <f t="shared" si="1186"/>
        <v>0</v>
      </c>
      <c r="AW3432" s="498">
        <f t="shared" si="1187"/>
        <v>0</v>
      </c>
      <c r="AX3432" s="498">
        <f t="shared" si="1188"/>
        <v>0</v>
      </c>
      <c r="AY3432" s="498">
        <f t="shared" si="1189"/>
        <v>0</v>
      </c>
      <c r="BB3432" s="498" t="str">
        <f t="shared" si="1190"/>
        <v/>
      </c>
      <c r="BC3432" s="743" t="str">
        <f t="shared" si="1191"/>
        <v/>
      </c>
      <c r="BD3432" s="743" t="str">
        <f t="shared" si="1192"/>
        <v/>
      </c>
      <c r="BE3432" s="743" t="str">
        <f>IF(D3432="","",VLOOKUP(D3432,'General Basis'!$J$39:$K$46,2,0))</f>
        <v/>
      </c>
      <c r="BF3432" s="744" t="str">
        <f>IF(D3432="","",VLOOKUP(D3432,'General Basis'!$J$39:$L$46,3,0))</f>
        <v/>
      </c>
      <c r="BG3432" s="744" t="str">
        <f t="shared" si="1199"/>
        <v/>
      </c>
      <c r="BH3432" s="744" t="str">
        <f>IF(G3432="","",IF(BF3432="Abu Dhabi",IF(G3432&lt;18,'General Basis'!$C$39,IF(G3432&lt;41,'General Basis'!$C$40,IF(G3432&lt;60,'General Basis'!$C$41,IF(G3432&lt;65,'General Basis'!$C$42,'General Basis'!$C$43)))),IF(G3432&lt;11,'General Basis'!$B$39,IF(G3432&lt;18,'General Basis'!$B$40,IF(G3432&lt;26,'General Basis'!$B$41,IF(G3432&lt;31,'General Basis'!$B$42,IF(G3432&lt;36,'General Basis'!$B$43,IF(G3432&lt;41,'General Basis'!$B$44,IF(G3432&lt;46,'General Basis'!$B$45,IF(G3432&lt;51,'General Basis'!$B$46,IF(G3432&lt;56,'General Basis'!$B$47,IF(G3432&lt;60,'General Basis'!$B$48,IF(G3432&lt;65,'General Basis'!$B$49,'General Basis'!$B$50)))))))))))))</f>
        <v/>
      </c>
      <c r="BI3432" s="744" t="str">
        <f t="shared" si="1193"/>
        <v/>
      </c>
      <c r="BJ3432" s="747" t="str">
        <f t="shared" si="1200"/>
        <v/>
      </c>
      <c r="BK3432" s="498" t="str">
        <f t="shared" si="1194"/>
        <v/>
      </c>
      <c r="BL3432" s="498" t="str">
        <f t="shared" si="1195"/>
        <v/>
      </c>
    </row>
    <row r="3433" spans="1:64" x14ac:dyDescent="0.25">
      <c r="A3433" s="762">
        <f t="shared" si="1196"/>
        <v>3428</v>
      </c>
      <c r="B3433" s="229"/>
      <c r="C3433" s="223"/>
      <c r="D3433" s="224"/>
      <c r="E3433" s="225"/>
      <c r="F3433" s="1036" t="str">
        <f t="shared" si="1202"/>
        <v/>
      </c>
      <c r="G3433" s="1037" t="str">
        <f t="shared" si="1197"/>
        <v/>
      </c>
      <c r="H3433" s="225"/>
      <c r="I3433" s="1013"/>
      <c r="J3433" s="1013"/>
      <c r="K3433" s="1028"/>
      <c r="L3433" s="1035" t="str">
        <f t="shared" si="1201"/>
        <v/>
      </c>
      <c r="S3433" s="498"/>
      <c r="AJ3433" s="498"/>
      <c r="AM3433" s="498">
        <f t="shared" si="1182"/>
        <v>0</v>
      </c>
      <c r="AN3433" s="498">
        <f t="shared" si="1183"/>
        <v>0</v>
      </c>
      <c r="AO3433" s="498">
        <f t="shared" si="1184"/>
        <v>0</v>
      </c>
      <c r="AP3433" s="498">
        <f t="shared" si="1203"/>
        <v>0</v>
      </c>
      <c r="AQ3433" s="498">
        <f t="shared" si="1198"/>
        <v>0</v>
      </c>
      <c r="AU3433" s="498">
        <f t="shared" si="1185"/>
        <v>0</v>
      </c>
      <c r="AV3433" s="498">
        <f t="shared" si="1186"/>
        <v>0</v>
      </c>
      <c r="AW3433" s="498">
        <f t="shared" si="1187"/>
        <v>0</v>
      </c>
      <c r="AX3433" s="498">
        <f t="shared" si="1188"/>
        <v>0</v>
      </c>
      <c r="AY3433" s="498">
        <f t="shared" si="1189"/>
        <v>0</v>
      </c>
      <c r="BB3433" s="498" t="str">
        <f t="shared" si="1190"/>
        <v/>
      </c>
      <c r="BC3433" s="743" t="str">
        <f t="shared" si="1191"/>
        <v/>
      </c>
      <c r="BD3433" s="743" t="str">
        <f t="shared" si="1192"/>
        <v/>
      </c>
      <c r="BE3433" s="743" t="str">
        <f>IF(D3433="","",VLOOKUP(D3433,'General Basis'!$J$39:$K$46,2,0))</f>
        <v/>
      </c>
      <c r="BF3433" s="744" t="str">
        <f>IF(D3433="","",VLOOKUP(D3433,'General Basis'!$J$39:$L$46,3,0))</f>
        <v/>
      </c>
      <c r="BG3433" s="744" t="str">
        <f t="shared" si="1199"/>
        <v/>
      </c>
      <c r="BH3433" s="744" t="str">
        <f>IF(G3433="","",IF(BF3433="Abu Dhabi",IF(G3433&lt;18,'General Basis'!$C$39,IF(G3433&lt;41,'General Basis'!$C$40,IF(G3433&lt;60,'General Basis'!$C$41,IF(G3433&lt;65,'General Basis'!$C$42,'General Basis'!$C$43)))),IF(G3433&lt;11,'General Basis'!$B$39,IF(G3433&lt;18,'General Basis'!$B$40,IF(G3433&lt;26,'General Basis'!$B$41,IF(G3433&lt;31,'General Basis'!$B$42,IF(G3433&lt;36,'General Basis'!$B$43,IF(G3433&lt;41,'General Basis'!$B$44,IF(G3433&lt;46,'General Basis'!$B$45,IF(G3433&lt;51,'General Basis'!$B$46,IF(G3433&lt;56,'General Basis'!$B$47,IF(G3433&lt;60,'General Basis'!$B$48,IF(G3433&lt;65,'General Basis'!$B$49,'General Basis'!$B$50)))))))))))))</f>
        <v/>
      </c>
      <c r="BI3433" s="744" t="str">
        <f t="shared" si="1193"/>
        <v/>
      </c>
      <c r="BJ3433" s="747" t="str">
        <f t="shared" si="1200"/>
        <v/>
      </c>
      <c r="BK3433" s="498" t="str">
        <f t="shared" si="1194"/>
        <v/>
      </c>
      <c r="BL3433" s="498" t="str">
        <f t="shared" si="1195"/>
        <v/>
      </c>
    </row>
    <row r="3434" spans="1:64" x14ac:dyDescent="0.25">
      <c r="A3434" s="762">
        <f t="shared" si="1196"/>
        <v>3429</v>
      </c>
      <c r="B3434" s="229"/>
      <c r="C3434" s="223"/>
      <c r="D3434" s="224"/>
      <c r="E3434" s="225"/>
      <c r="F3434" s="1036" t="str">
        <f t="shared" si="1202"/>
        <v/>
      </c>
      <c r="G3434" s="1037" t="str">
        <f t="shared" si="1197"/>
        <v/>
      </c>
      <c r="H3434" s="225"/>
      <c r="I3434" s="1013"/>
      <c r="J3434" s="1013"/>
      <c r="K3434" s="1028"/>
      <c r="L3434" s="1035" t="str">
        <f t="shared" si="1201"/>
        <v/>
      </c>
      <c r="S3434" s="498"/>
      <c r="AJ3434" s="498"/>
      <c r="AM3434" s="498">
        <f t="shared" si="1182"/>
        <v>0</v>
      </c>
      <c r="AN3434" s="498">
        <f t="shared" si="1183"/>
        <v>0</v>
      </c>
      <c r="AO3434" s="498">
        <f t="shared" si="1184"/>
        <v>0</v>
      </c>
      <c r="AP3434" s="498">
        <f t="shared" si="1203"/>
        <v>0</v>
      </c>
      <c r="AQ3434" s="498">
        <f t="shared" si="1198"/>
        <v>0</v>
      </c>
      <c r="AU3434" s="498">
        <f t="shared" si="1185"/>
        <v>0</v>
      </c>
      <c r="AV3434" s="498">
        <f t="shared" si="1186"/>
        <v>0</v>
      </c>
      <c r="AW3434" s="498">
        <f t="shared" si="1187"/>
        <v>0</v>
      </c>
      <c r="AX3434" s="498">
        <f t="shared" si="1188"/>
        <v>0</v>
      </c>
      <c r="AY3434" s="498">
        <f t="shared" si="1189"/>
        <v>0</v>
      </c>
      <c r="BB3434" s="498" t="str">
        <f t="shared" si="1190"/>
        <v/>
      </c>
      <c r="BC3434" s="743" t="str">
        <f t="shared" si="1191"/>
        <v/>
      </c>
      <c r="BD3434" s="743" t="str">
        <f t="shared" si="1192"/>
        <v/>
      </c>
      <c r="BE3434" s="743" t="str">
        <f>IF(D3434="","",VLOOKUP(D3434,'General Basis'!$J$39:$K$46,2,0))</f>
        <v/>
      </c>
      <c r="BF3434" s="744" t="str">
        <f>IF(D3434="","",VLOOKUP(D3434,'General Basis'!$J$39:$L$46,3,0))</f>
        <v/>
      </c>
      <c r="BG3434" s="744" t="str">
        <f t="shared" si="1199"/>
        <v/>
      </c>
      <c r="BH3434" s="744" t="str">
        <f>IF(G3434="","",IF(BF3434="Abu Dhabi",IF(G3434&lt;18,'General Basis'!$C$39,IF(G3434&lt;41,'General Basis'!$C$40,IF(G3434&lt;60,'General Basis'!$C$41,IF(G3434&lt;65,'General Basis'!$C$42,'General Basis'!$C$43)))),IF(G3434&lt;11,'General Basis'!$B$39,IF(G3434&lt;18,'General Basis'!$B$40,IF(G3434&lt;26,'General Basis'!$B$41,IF(G3434&lt;31,'General Basis'!$B$42,IF(G3434&lt;36,'General Basis'!$B$43,IF(G3434&lt;41,'General Basis'!$B$44,IF(G3434&lt;46,'General Basis'!$B$45,IF(G3434&lt;51,'General Basis'!$B$46,IF(G3434&lt;56,'General Basis'!$B$47,IF(G3434&lt;60,'General Basis'!$B$48,IF(G3434&lt;65,'General Basis'!$B$49,'General Basis'!$B$50)))))))))))))</f>
        <v/>
      </c>
      <c r="BI3434" s="744" t="str">
        <f t="shared" si="1193"/>
        <v/>
      </c>
      <c r="BJ3434" s="747" t="str">
        <f t="shared" si="1200"/>
        <v/>
      </c>
      <c r="BK3434" s="498" t="str">
        <f t="shared" si="1194"/>
        <v/>
      </c>
      <c r="BL3434" s="498" t="str">
        <f t="shared" si="1195"/>
        <v/>
      </c>
    </row>
    <row r="3435" spans="1:64" x14ac:dyDescent="0.25">
      <c r="A3435" s="762">
        <f t="shared" si="1196"/>
        <v>3430</v>
      </c>
      <c r="B3435" s="229"/>
      <c r="C3435" s="223"/>
      <c r="D3435" s="224"/>
      <c r="E3435" s="225"/>
      <c r="F3435" s="1036" t="str">
        <f t="shared" si="1202"/>
        <v/>
      </c>
      <c r="G3435" s="1037" t="str">
        <f t="shared" si="1197"/>
        <v/>
      </c>
      <c r="H3435" s="225"/>
      <c r="I3435" s="1013"/>
      <c r="J3435" s="1013"/>
      <c r="K3435" s="1028"/>
      <c r="L3435" s="1035" t="str">
        <f t="shared" si="1201"/>
        <v/>
      </c>
      <c r="S3435" s="498"/>
      <c r="AJ3435" s="498"/>
      <c r="AM3435" s="498">
        <f t="shared" si="1182"/>
        <v>0</v>
      </c>
      <c r="AN3435" s="498">
        <f t="shared" si="1183"/>
        <v>0</v>
      </c>
      <c r="AO3435" s="498">
        <f t="shared" si="1184"/>
        <v>0</v>
      </c>
      <c r="AP3435" s="498">
        <f t="shared" si="1203"/>
        <v>0</v>
      </c>
      <c r="AQ3435" s="498">
        <f t="shared" si="1198"/>
        <v>0</v>
      </c>
      <c r="AU3435" s="498">
        <f t="shared" si="1185"/>
        <v>0</v>
      </c>
      <c r="AV3435" s="498">
        <f t="shared" si="1186"/>
        <v>0</v>
      </c>
      <c r="AW3435" s="498">
        <f t="shared" si="1187"/>
        <v>0</v>
      </c>
      <c r="AX3435" s="498">
        <f t="shared" si="1188"/>
        <v>0</v>
      </c>
      <c r="AY3435" s="498">
        <f t="shared" si="1189"/>
        <v>0</v>
      </c>
      <c r="BB3435" s="498" t="str">
        <f t="shared" si="1190"/>
        <v/>
      </c>
      <c r="BC3435" s="743" t="str">
        <f t="shared" si="1191"/>
        <v/>
      </c>
      <c r="BD3435" s="743" t="str">
        <f t="shared" si="1192"/>
        <v/>
      </c>
      <c r="BE3435" s="743" t="str">
        <f>IF(D3435="","",VLOOKUP(D3435,'General Basis'!$J$39:$K$46,2,0))</f>
        <v/>
      </c>
      <c r="BF3435" s="744" t="str">
        <f>IF(D3435="","",VLOOKUP(D3435,'General Basis'!$J$39:$L$46,3,0))</f>
        <v/>
      </c>
      <c r="BG3435" s="744" t="str">
        <f t="shared" si="1199"/>
        <v/>
      </c>
      <c r="BH3435" s="744" t="str">
        <f>IF(G3435="","",IF(BF3435="Abu Dhabi",IF(G3435&lt;18,'General Basis'!$C$39,IF(G3435&lt;41,'General Basis'!$C$40,IF(G3435&lt;60,'General Basis'!$C$41,IF(G3435&lt;65,'General Basis'!$C$42,'General Basis'!$C$43)))),IF(G3435&lt;11,'General Basis'!$B$39,IF(G3435&lt;18,'General Basis'!$B$40,IF(G3435&lt;26,'General Basis'!$B$41,IF(G3435&lt;31,'General Basis'!$B$42,IF(G3435&lt;36,'General Basis'!$B$43,IF(G3435&lt;41,'General Basis'!$B$44,IF(G3435&lt;46,'General Basis'!$B$45,IF(G3435&lt;51,'General Basis'!$B$46,IF(G3435&lt;56,'General Basis'!$B$47,IF(G3435&lt;60,'General Basis'!$B$48,IF(G3435&lt;65,'General Basis'!$B$49,'General Basis'!$B$50)))))))))))))</f>
        <v/>
      </c>
      <c r="BI3435" s="744" t="str">
        <f t="shared" si="1193"/>
        <v/>
      </c>
      <c r="BJ3435" s="747" t="str">
        <f t="shared" si="1200"/>
        <v/>
      </c>
      <c r="BK3435" s="498" t="str">
        <f t="shared" si="1194"/>
        <v/>
      </c>
      <c r="BL3435" s="498" t="str">
        <f t="shared" si="1195"/>
        <v/>
      </c>
    </row>
    <row r="3436" spans="1:64" x14ac:dyDescent="0.25">
      <c r="A3436" s="762">
        <f t="shared" si="1196"/>
        <v>3431</v>
      </c>
      <c r="B3436" s="229"/>
      <c r="C3436" s="223"/>
      <c r="D3436" s="224"/>
      <c r="E3436" s="225"/>
      <c r="F3436" s="1036" t="str">
        <f t="shared" si="1202"/>
        <v/>
      </c>
      <c r="G3436" s="1037" t="str">
        <f t="shared" si="1197"/>
        <v/>
      </c>
      <c r="H3436" s="225"/>
      <c r="I3436" s="1013"/>
      <c r="J3436" s="1013"/>
      <c r="K3436" s="1028"/>
      <c r="L3436" s="1035" t="str">
        <f t="shared" si="1201"/>
        <v/>
      </c>
      <c r="S3436" s="498"/>
      <c r="AJ3436" s="498"/>
      <c r="AM3436" s="498">
        <f t="shared" si="1182"/>
        <v>0</v>
      </c>
      <c r="AN3436" s="498">
        <f t="shared" si="1183"/>
        <v>0</v>
      </c>
      <c r="AO3436" s="498">
        <f t="shared" si="1184"/>
        <v>0</v>
      </c>
      <c r="AP3436" s="498">
        <f t="shared" si="1203"/>
        <v>0</v>
      </c>
      <c r="AQ3436" s="498">
        <f t="shared" si="1198"/>
        <v>0</v>
      </c>
      <c r="AU3436" s="498">
        <f t="shared" si="1185"/>
        <v>0</v>
      </c>
      <c r="AV3436" s="498">
        <f t="shared" si="1186"/>
        <v>0</v>
      </c>
      <c r="AW3436" s="498">
        <f t="shared" si="1187"/>
        <v>0</v>
      </c>
      <c r="AX3436" s="498">
        <f t="shared" si="1188"/>
        <v>0</v>
      </c>
      <c r="AY3436" s="498">
        <f t="shared" si="1189"/>
        <v>0</v>
      </c>
      <c r="BB3436" s="498" t="str">
        <f t="shared" si="1190"/>
        <v/>
      </c>
      <c r="BC3436" s="743" t="str">
        <f t="shared" si="1191"/>
        <v/>
      </c>
      <c r="BD3436" s="743" t="str">
        <f t="shared" si="1192"/>
        <v/>
      </c>
      <c r="BE3436" s="743" t="str">
        <f>IF(D3436="","",VLOOKUP(D3436,'General Basis'!$J$39:$K$46,2,0))</f>
        <v/>
      </c>
      <c r="BF3436" s="744" t="str">
        <f>IF(D3436="","",VLOOKUP(D3436,'General Basis'!$J$39:$L$46,3,0))</f>
        <v/>
      </c>
      <c r="BG3436" s="744" t="str">
        <f t="shared" si="1199"/>
        <v/>
      </c>
      <c r="BH3436" s="744" t="str">
        <f>IF(G3436="","",IF(BF3436="Abu Dhabi",IF(G3436&lt;18,'General Basis'!$C$39,IF(G3436&lt;41,'General Basis'!$C$40,IF(G3436&lt;60,'General Basis'!$C$41,IF(G3436&lt;65,'General Basis'!$C$42,'General Basis'!$C$43)))),IF(G3436&lt;11,'General Basis'!$B$39,IF(G3436&lt;18,'General Basis'!$B$40,IF(G3436&lt;26,'General Basis'!$B$41,IF(G3436&lt;31,'General Basis'!$B$42,IF(G3436&lt;36,'General Basis'!$B$43,IF(G3436&lt;41,'General Basis'!$B$44,IF(G3436&lt;46,'General Basis'!$B$45,IF(G3436&lt;51,'General Basis'!$B$46,IF(G3436&lt;56,'General Basis'!$B$47,IF(G3436&lt;60,'General Basis'!$B$48,IF(G3436&lt;65,'General Basis'!$B$49,'General Basis'!$B$50)))))))))))))</f>
        <v/>
      </c>
      <c r="BI3436" s="744" t="str">
        <f t="shared" si="1193"/>
        <v/>
      </c>
      <c r="BJ3436" s="747" t="str">
        <f t="shared" si="1200"/>
        <v/>
      </c>
      <c r="BK3436" s="498" t="str">
        <f t="shared" si="1194"/>
        <v/>
      </c>
      <c r="BL3436" s="498" t="str">
        <f t="shared" si="1195"/>
        <v/>
      </c>
    </row>
    <row r="3437" spans="1:64" x14ac:dyDescent="0.25">
      <c r="A3437" s="762">
        <f t="shared" si="1196"/>
        <v>3432</v>
      </c>
      <c r="B3437" s="229"/>
      <c r="C3437" s="223"/>
      <c r="D3437" s="224"/>
      <c r="E3437" s="225"/>
      <c r="F3437" s="1036" t="str">
        <f t="shared" si="1202"/>
        <v/>
      </c>
      <c r="G3437" s="1037" t="str">
        <f t="shared" si="1197"/>
        <v/>
      </c>
      <c r="H3437" s="225"/>
      <c r="I3437" s="1013"/>
      <c r="J3437" s="1013"/>
      <c r="K3437" s="1028"/>
      <c r="L3437" s="1035" t="str">
        <f t="shared" si="1201"/>
        <v/>
      </c>
      <c r="S3437" s="498"/>
      <c r="AJ3437" s="498"/>
      <c r="AM3437" s="498">
        <f t="shared" si="1182"/>
        <v>0</v>
      </c>
      <c r="AN3437" s="498">
        <f t="shared" si="1183"/>
        <v>0</v>
      </c>
      <c r="AO3437" s="498">
        <f t="shared" si="1184"/>
        <v>0</v>
      </c>
      <c r="AP3437" s="498">
        <f t="shared" si="1203"/>
        <v>0</v>
      </c>
      <c r="AQ3437" s="498">
        <f t="shared" si="1198"/>
        <v>0</v>
      </c>
      <c r="AU3437" s="498">
        <f t="shared" si="1185"/>
        <v>0</v>
      </c>
      <c r="AV3437" s="498">
        <f t="shared" si="1186"/>
        <v>0</v>
      </c>
      <c r="AW3437" s="498">
        <f t="shared" si="1187"/>
        <v>0</v>
      </c>
      <c r="AX3437" s="498">
        <f t="shared" si="1188"/>
        <v>0</v>
      </c>
      <c r="AY3437" s="498">
        <f t="shared" si="1189"/>
        <v>0</v>
      </c>
      <c r="BB3437" s="498" t="str">
        <f t="shared" si="1190"/>
        <v/>
      </c>
      <c r="BC3437" s="743" t="str">
        <f t="shared" si="1191"/>
        <v/>
      </c>
      <c r="BD3437" s="743" t="str">
        <f t="shared" si="1192"/>
        <v/>
      </c>
      <c r="BE3437" s="743" t="str">
        <f>IF(D3437="","",VLOOKUP(D3437,'General Basis'!$J$39:$K$46,2,0))</f>
        <v/>
      </c>
      <c r="BF3437" s="744" t="str">
        <f>IF(D3437="","",VLOOKUP(D3437,'General Basis'!$J$39:$L$46,3,0))</f>
        <v/>
      </c>
      <c r="BG3437" s="744" t="str">
        <f t="shared" si="1199"/>
        <v/>
      </c>
      <c r="BH3437" s="744" t="str">
        <f>IF(G3437="","",IF(BF3437="Abu Dhabi",IF(G3437&lt;18,'General Basis'!$C$39,IF(G3437&lt;41,'General Basis'!$C$40,IF(G3437&lt;60,'General Basis'!$C$41,IF(G3437&lt;65,'General Basis'!$C$42,'General Basis'!$C$43)))),IF(G3437&lt;11,'General Basis'!$B$39,IF(G3437&lt;18,'General Basis'!$B$40,IF(G3437&lt;26,'General Basis'!$B$41,IF(G3437&lt;31,'General Basis'!$B$42,IF(G3437&lt;36,'General Basis'!$B$43,IF(G3437&lt;41,'General Basis'!$B$44,IF(G3437&lt;46,'General Basis'!$B$45,IF(G3437&lt;51,'General Basis'!$B$46,IF(G3437&lt;56,'General Basis'!$B$47,IF(G3437&lt;60,'General Basis'!$B$48,IF(G3437&lt;65,'General Basis'!$B$49,'General Basis'!$B$50)))))))))))))</f>
        <v/>
      </c>
      <c r="BI3437" s="744" t="str">
        <f t="shared" si="1193"/>
        <v/>
      </c>
      <c r="BJ3437" s="747" t="str">
        <f t="shared" si="1200"/>
        <v/>
      </c>
      <c r="BK3437" s="498" t="str">
        <f t="shared" si="1194"/>
        <v/>
      </c>
      <c r="BL3437" s="498" t="str">
        <f t="shared" si="1195"/>
        <v/>
      </c>
    </row>
    <row r="3438" spans="1:64" x14ac:dyDescent="0.25">
      <c r="A3438" s="762">
        <f t="shared" si="1196"/>
        <v>3433</v>
      </c>
      <c r="B3438" s="229"/>
      <c r="C3438" s="223"/>
      <c r="D3438" s="224"/>
      <c r="E3438" s="225"/>
      <c r="F3438" s="1036" t="str">
        <f t="shared" si="1202"/>
        <v/>
      </c>
      <c r="G3438" s="1037" t="str">
        <f t="shared" si="1197"/>
        <v/>
      </c>
      <c r="H3438" s="225"/>
      <c r="I3438" s="1013"/>
      <c r="J3438" s="1013"/>
      <c r="K3438" s="1028"/>
      <c r="L3438" s="1035" t="str">
        <f t="shared" si="1201"/>
        <v/>
      </c>
      <c r="S3438" s="498"/>
      <c r="AJ3438" s="498"/>
      <c r="AM3438" s="498">
        <f t="shared" si="1182"/>
        <v>0</v>
      </c>
      <c r="AN3438" s="498">
        <f t="shared" si="1183"/>
        <v>0</v>
      </c>
      <c r="AO3438" s="498">
        <f t="shared" si="1184"/>
        <v>0</v>
      </c>
      <c r="AP3438" s="498">
        <f t="shared" si="1203"/>
        <v>0</v>
      </c>
      <c r="AQ3438" s="498">
        <f t="shared" si="1198"/>
        <v>0</v>
      </c>
      <c r="AU3438" s="498">
        <f t="shared" si="1185"/>
        <v>0</v>
      </c>
      <c r="AV3438" s="498">
        <f t="shared" si="1186"/>
        <v>0</v>
      </c>
      <c r="AW3438" s="498">
        <f t="shared" si="1187"/>
        <v>0</v>
      </c>
      <c r="AX3438" s="498">
        <f t="shared" si="1188"/>
        <v>0</v>
      </c>
      <c r="AY3438" s="498">
        <f t="shared" si="1189"/>
        <v>0</v>
      </c>
      <c r="BB3438" s="498" t="str">
        <f t="shared" si="1190"/>
        <v/>
      </c>
      <c r="BC3438" s="743" t="str">
        <f t="shared" si="1191"/>
        <v/>
      </c>
      <c r="BD3438" s="743" t="str">
        <f t="shared" si="1192"/>
        <v/>
      </c>
      <c r="BE3438" s="743" t="str">
        <f>IF(D3438="","",VLOOKUP(D3438,'General Basis'!$J$39:$K$46,2,0))</f>
        <v/>
      </c>
      <c r="BF3438" s="744" t="str">
        <f>IF(D3438="","",VLOOKUP(D3438,'General Basis'!$J$39:$L$46,3,0))</f>
        <v/>
      </c>
      <c r="BG3438" s="744" t="str">
        <f t="shared" si="1199"/>
        <v/>
      </c>
      <c r="BH3438" s="744" t="str">
        <f>IF(G3438="","",IF(BF3438="Abu Dhabi",IF(G3438&lt;18,'General Basis'!$C$39,IF(G3438&lt;41,'General Basis'!$C$40,IF(G3438&lt;60,'General Basis'!$C$41,IF(G3438&lt;65,'General Basis'!$C$42,'General Basis'!$C$43)))),IF(G3438&lt;11,'General Basis'!$B$39,IF(G3438&lt;18,'General Basis'!$B$40,IF(G3438&lt;26,'General Basis'!$B$41,IF(G3438&lt;31,'General Basis'!$B$42,IF(G3438&lt;36,'General Basis'!$B$43,IF(G3438&lt;41,'General Basis'!$B$44,IF(G3438&lt;46,'General Basis'!$B$45,IF(G3438&lt;51,'General Basis'!$B$46,IF(G3438&lt;56,'General Basis'!$B$47,IF(G3438&lt;60,'General Basis'!$B$48,IF(G3438&lt;65,'General Basis'!$B$49,'General Basis'!$B$50)))))))))))))</f>
        <v/>
      </c>
      <c r="BI3438" s="744" t="str">
        <f t="shared" si="1193"/>
        <v/>
      </c>
      <c r="BJ3438" s="747" t="str">
        <f t="shared" si="1200"/>
        <v/>
      </c>
      <c r="BK3438" s="498" t="str">
        <f t="shared" si="1194"/>
        <v/>
      </c>
      <c r="BL3438" s="498" t="str">
        <f t="shared" si="1195"/>
        <v/>
      </c>
    </row>
    <row r="3439" spans="1:64" x14ac:dyDescent="0.25">
      <c r="A3439" s="762">
        <f t="shared" si="1196"/>
        <v>3434</v>
      </c>
      <c r="B3439" s="229"/>
      <c r="C3439" s="223"/>
      <c r="D3439" s="224"/>
      <c r="E3439" s="225"/>
      <c r="F3439" s="1036" t="str">
        <f t="shared" si="1202"/>
        <v/>
      </c>
      <c r="G3439" s="1037" t="str">
        <f t="shared" si="1197"/>
        <v/>
      </c>
      <c r="H3439" s="225"/>
      <c r="I3439" s="1013"/>
      <c r="J3439" s="1013"/>
      <c r="K3439" s="1028"/>
      <c r="L3439" s="1035" t="str">
        <f t="shared" si="1201"/>
        <v/>
      </c>
      <c r="S3439" s="498"/>
      <c r="AJ3439" s="498"/>
      <c r="AM3439" s="498">
        <f t="shared" si="1182"/>
        <v>0</v>
      </c>
      <c r="AN3439" s="498">
        <f t="shared" si="1183"/>
        <v>0</v>
      </c>
      <c r="AO3439" s="498">
        <f t="shared" si="1184"/>
        <v>0</v>
      </c>
      <c r="AP3439" s="498">
        <f t="shared" si="1203"/>
        <v>0</v>
      </c>
      <c r="AQ3439" s="498">
        <f t="shared" si="1198"/>
        <v>0</v>
      </c>
      <c r="AU3439" s="498">
        <f t="shared" si="1185"/>
        <v>0</v>
      </c>
      <c r="AV3439" s="498">
        <f t="shared" si="1186"/>
        <v>0</v>
      </c>
      <c r="AW3439" s="498">
        <f t="shared" si="1187"/>
        <v>0</v>
      </c>
      <c r="AX3439" s="498">
        <f t="shared" si="1188"/>
        <v>0</v>
      </c>
      <c r="AY3439" s="498">
        <f t="shared" si="1189"/>
        <v>0</v>
      </c>
      <c r="BB3439" s="498" t="str">
        <f t="shared" si="1190"/>
        <v/>
      </c>
      <c r="BC3439" s="743" t="str">
        <f t="shared" si="1191"/>
        <v/>
      </c>
      <c r="BD3439" s="743" t="str">
        <f t="shared" si="1192"/>
        <v/>
      </c>
      <c r="BE3439" s="743" t="str">
        <f>IF(D3439="","",VLOOKUP(D3439,'General Basis'!$J$39:$K$46,2,0))</f>
        <v/>
      </c>
      <c r="BF3439" s="744" t="str">
        <f>IF(D3439="","",VLOOKUP(D3439,'General Basis'!$J$39:$L$46,3,0))</f>
        <v/>
      </c>
      <c r="BG3439" s="744" t="str">
        <f t="shared" si="1199"/>
        <v/>
      </c>
      <c r="BH3439" s="744" t="str">
        <f>IF(G3439="","",IF(BF3439="Abu Dhabi",IF(G3439&lt;18,'General Basis'!$C$39,IF(G3439&lt;41,'General Basis'!$C$40,IF(G3439&lt;60,'General Basis'!$C$41,IF(G3439&lt;65,'General Basis'!$C$42,'General Basis'!$C$43)))),IF(G3439&lt;11,'General Basis'!$B$39,IF(G3439&lt;18,'General Basis'!$B$40,IF(G3439&lt;26,'General Basis'!$B$41,IF(G3439&lt;31,'General Basis'!$B$42,IF(G3439&lt;36,'General Basis'!$B$43,IF(G3439&lt;41,'General Basis'!$B$44,IF(G3439&lt;46,'General Basis'!$B$45,IF(G3439&lt;51,'General Basis'!$B$46,IF(G3439&lt;56,'General Basis'!$B$47,IF(G3439&lt;60,'General Basis'!$B$48,IF(G3439&lt;65,'General Basis'!$B$49,'General Basis'!$B$50)))))))))))))</f>
        <v/>
      </c>
      <c r="BI3439" s="744" t="str">
        <f t="shared" si="1193"/>
        <v/>
      </c>
      <c r="BJ3439" s="747" t="str">
        <f t="shared" si="1200"/>
        <v/>
      </c>
      <c r="BK3439" s="498" t="str">
        <f t="shared" si="1194"/>
        <v/>
      </c>
      <c r="BL3439" s="498" t="str">
        <f t="shared" si="1195"/>
        <v/>
      </c>
    </row>
    <row r="3440" spans="1:64" x14ac:dyDescent="0.25">
      <c r="A3440" s="762">
        <f t="shared" si="1196"/>
        <v>3435</v>
      </c>
      <c r="B3440" s="229"/>
      <c r="C3440" s="223"/>
      <c r="D3440" s="224"/>
      <c r="E3440" s="225"/>
      <c r="F3440" s="1036" t="str">
        <f t="shared" si="1202"/>
        <v/>
      </c>
      <c r="G3440" s="1037" t="str">
        <f t="shared" si="1197"/>
        <v/>
      </c>
      <c r="H3440" s="225"/>
      <c r="I3440" s="1013"/>
      <c r="J3440" s="1013"/>
      <c r="K3440" s="1028"/>
      <c r="L3440" s="1035" t="str">
        <f t="shared" si="1201"/>
        <v/>
      </c>
      <c r="S3440" s="498"/>
      <c r="AJ3440" s="498"/>
      <c r="AM3440" s="498">
        <f t="shared" si="1182"/>
        <v>0</v>
      </c>
      <c r="AN3440" s="498">
        <f t="shared" si="1183"/>
        <v>0</v>
      </c>
      <c r="AO3440" s="498">
        <f t="shared" si="1184"/>
        <v>0</v>
      </c>
      <c r="AP3440" s="498">
        <f t="shared" si="1203"/>
        <v>0</v>
      </c>
      <c r="AQ3440" s="498">
        <f t="shared" si="1198"/>
        <v>0</v>
      </c>
      <c r="AU3440" s="498">
        <f t="shared" si="1185"/>
        <v>0</v>
      </c>
      <c r="AV3440" s="498">
        <f t="shared" si="1186"/>
        <v>0</v>
      </c>
      <c r="AW3440" s="498">
        <f t="shared" si="1187"/>
        <v>0</v>
      </c>
      <c r="AX3440" s="498">
        <f t="shared" si="1188"/>
        <v>0</v>
      </c>
      <c r="AY3440" s="498">
        <f t="shared" si="1189"/>
        <v>0</v>
      </c>
      <c r="BB3440" s="498" t="str">
        <f t="shared" si="1190"/>
        <v/>
      </c>
      <c r="BC3440" s="743" t="str">
        <f t="shared" si="1191"/>
        <v/>
      </c>
      <c r="BD3440" s="743" t="str">
        <f t="shared" si="1192"/>
        <v/>
      </c>
      <c r="BE3440" s="743" t="str">
        <f>IF(D3440="","",VLOOKUP(D3440,'General Basis'!$J$39:$K$46,2,0))</f>
        <v/>
      </c>
      <c r="BF3440" s="744" t="str">
        <f>IF(D3440="","",VLOOKUP(D3440,'General Basis'!$J$39:$L$46,3,0))</f>
        <v/>
      </c>
      <c r="BG3440" s="744" t="str">
        <f t="shared" si="1199"/>
        <v/>
      </c>
      <c r="BH3440" s="744" t="str">
        <f>IF(G3440="","",IF(BF3440="Abu Dhabi",IF(G3440&lt;18,'General Basis'!$C$39,IF(G3440&lt;41,'General Basis'!$C$40,IF(G3440&lt;60,'General Basis'!$C$41,IF(G3440&lt;65,'General Basis'!$C$42,'General Basis'!$C$43)))),IF(G3440&lt;11,'General Basis'!$B$39,IF(G3440&lt;18,'General Basis'!$B$40,IF(G3440&lt;26,'General Basis'!$B$41,IF(G3440&lt;31,'General Basis'!$B$42,IF(G3440&lt;36,'General Basis'!$B$43,IF(G3440&lt;41,'General Basis'!$B$44,IF(G3440&lt;46,'General Basis'!$B$45,IF(G3440&lt;51,'General Basis'!$B$46,IF(G3440&lt;56,'General Basis'!$B$47,IF(G3440&lt;60,'General Basis'!$B$48,IF(G3440&lt;65,'General Basis'!$B$49,'General Basis'!$B$50)))))))))))))</f>
        <v/>
      </c>
      <c r="BI3440" s="744" t="str">
        <f t="shared" si="1193"/>
        <v/>
      </c>
      <c r="BJ3440" s="747" t="str">
        <f t="shared" si="1200"/>
        <v/>
      </c>
      <c r="BK3440" s="498" t="str">
        <f t="shared" si="1194"/>
        <v/>
      </c>
      <c r="BL3440" s="498" t="str">
        <f t="shared" si="1195"/>
        <v/>
      </c>
    </row>
    <row r="3441" spans="1:64" x14ac:dyDescent="0.25">
      <c r="A3441" s="762">
        <f t="shared" si="1196"/>
        <v>3436</v>
      </c>
      <c r="B3441" s="229"/>
      <c r="C3441" s="223"/>
      <c r="D3441" s="224"/>
      <c r="E3441" s="225"/>
      <c r="F3441" s="1036" t="str">
        <f t="shared" si="1202"/>
        <v/>
      </c>
      <c r="G3441" s="1037" t="str">
        <f t="shared" si="1197"/>
        <v/>
      </c>
      <c r="H3441" s="225"/>
      <c r="I3441" s="1013"/>
      <c r="J3441" s="1013"/>
      <c r="K3441" s="1028"/>
      <c r="L3441" s="1035" t="str">
        <f t="shared" si="1201"/>
        <v/>
      </c>
      <c r="S3441" s="498"/>
      <c r="AJ3441" s="498"/>
      <c r="AM3441" s="498">
        <f t="shared" si="1182"/>
        <v>0</v>
      </c>
      <c r="AN3441" s="498">
        <f t="shared" si="1183"/>
        <v>0</v>
      </c>
      <c r="AO3441" s="498">
        <f t="shared" si="1184"/>
        <v>0</v>
      </c>
      <c r="AP3441" s="498">
        <f t="shared" si="1203"/>
        <v>0</v>
      </c>
      <c r="AQ3441" s="498">
        <f t="shared" si="1198"/>
        <v>0</v>
      </c>
      <c r="AU3441" s="498">
        <f t="shared" si="1185"/>
        <v>0</v>
      </c>
      <c r="AV3441" s="498">
        <f t="shared" si="1186"/>
        <v>0</v>
      </c>
      <c r="AW3441" s="498">
        <f t="shared" si="1187"/>
        <v>0</v>
      </c>
      <c r="AX3441" s="498">
        <f t="shared" si="1188"/>
        <v>0</v>
      </c>
      <c r="AY3441" s="498">
        <f t="shared" si="1189"/>
        <v>0</v>
      </c>
      <c r="BB3441" s="498" t="str">
        <f t="shared" si="1190"/>
        <v/>
      </c>
      <c r="BC3441" s="743" t="str">
        <f t="shared" si="1191"/>
        <v/>
      </c>
      <c r="BD3441" s="743" t="str">
        <f t="shared" si="1192"/>
        <v/>
      </c>
      <c r="BE3441" s="743" t="str">
        <f>IF(D3441="","",VLOOKUP(D3441,'General Basis'!$J$39:$K$46,2,0))</f>
        <v/>
      </c>
      <c r="BF3441" s="744" t="str">
        <f>IF(D3441="","",VLOOKUP(D3441,'General Basis'!$J$39:$L$46,3,0))</f>
        <v/>
      </c>
      <c r="BG3441" s="744" t="str">
        <f t="shared" si="1199"/>
        <v/>
      </c>
      <c r="BH3441" s="744" t="str">
        <f>IF(G3441="","",IF(BF3441="Abu Dhabi",IF(G3441&lt;18,'General Basis'!$C$39,IF(G3441&lt;41,'General Basis'!$C$40,IF(G3441&lt;60,'General Basis'!$C$41,IF(G3441&lt;65,'General Basis'!$C$42,'General Basis'!$C$43)))),IF(G3441&lt;11,'General Basis'!$B$39,IF(G3441&lt;18,'General Basis'!$B$40,IF(G3441&lt;26,'General Basis'!$B$41,IF(G3441&lt;31,'General Basis'!$B$42,IF(G3441&lt;36,'General Basis'!$B$43,IF(G3441&lt;41,'General Basis'!$B$44,IF(G3441&lt;46,'General Basis'!$B$45,IF(G3441&lt;51,'General Basis'!$B$46,IF(G3441&lt;56,'General Basis'!$B$47,IF(G3441&lt;60,'General Basis'!$B$48,IF(G3441&lt;65,'General Basis'!$B$49,'General Basis'!$B$50)))))))))))))</f>
        <v/>
      </c>
      <c r="BI3441" s="744" t="str">
        <f t="shared" si="1193"/>
        <v/>
      </c>
      <c r="BJ3441" s="747" t="str">
        <f t="shared" si="1200"/>
        <v/>
      </c>
      <c r="BK3441" s="498" t="str">
        <f t="shared" si="1194"/>
        <v/>
      </c>
      <c r="BL3441" s="498" t="str">
        <f t="shared" si="1195"/>
        <v/>
      </c>
    </row>
    <row r="3442" spans="1:64" x14ac:dyDescent="0.25">
      <c r="A3442" s="762">
        <f t="shared" si="1196"/>
        <v>3437</v>
      </c>
      <c r="B3442" s="229"/>
      <c r="C3442" s="223"/>
      <c r="D3442" s="224"/>
      <c r="E3442" s="225"/>
      <c r="F3442" s="1036" t="str">
        <f t="shared" si="1202"/>
        <v/>
      </c>
      <c r="G3442" s="1037" t="str">
        <f t="shared" si="1197"/>
        <v/>
      </c>
      <c r="H3442" s="225"/>
      <c r="I3442" s="1013"/>
      <c r="J3442" s="1013"/>
      <c r="K3442" s="1028"/>
      <c r="L3442" s="1035" t="str">
        <f t="shared" si="1201"/>
        <v/>
      </c>
      <c r="S3442" s="498"/>
      <c r="AJ3442" s="498"/>
      <c r="AM3442" s="498">
        <f t="shared" si="1182"/>
        <v>0</v>
      </c>
      <c r="AN3442" s="498">
        <f t="shared" si="1183"/>
        <v>0</v>
      </c>
      <c r="AO3442" s="498">
        <f t="shared" si="1184"/>
        <v>0</v>
      </c>
      <c r="AP3442" s="498">
        <f t="shared" si="1203"/>
        <v>0</v>
      </c>
      <c r="AQ3442" s="498">
        <f t="shared" si="1198"/>
        <v>0</v>
      </c>
      <c r="AU3442" s="498">
        <f t="shared" si="1185"/>
        <v>0</v>
      </c>
      <c r="AV3442" s="498">
        <f t="shared" si="1186"/>
        <v>0</v>
      </c>
      <c r="AW3442" s="498">
        <f t="shared" si="1187"/>
        <v>0</v>
      </c>
      <c r="AX3442" s="498">
        <f t="shared" si="1188"/>
        <v>0</v>
      </c>
      <c r="AY3442" s="498">
        <f t="shared" si="1189"/>
        <v>0</v>
      </c>
      <c r="BB3442" s="498" t="str">
        <f t="shared" si="1190"/>
        <v/>
      </c>
      <c r="BC3442" s="743" t="str">
        <f t="shared" si="1191"/>
        <v/>
      </c>
      <c r="BD3442" s="743" t="str">
        <f t="shared" si="1192"/>
        <v/>
      </c>
      <c r="BE3442" s="743" t="str">
        <f>IF(D3442="","",VLOOKUP(D3442,'General Basis'!$J$39:$K$46,2,0))</f>
        <v/>
      </c>
      <c r="BF3442" s="744" t="str">
        <f>IF(D3442="","",VLOOKUP(D3442,'General Basis'!$J$39:$L$46,3,0))</f>
        <v/>
      </c>
      <c r="BG3442" s="744" t="str">
        <f t="shared" si="1199"/>
        <v/>
      </c>
      <c r="BH3442" s="744" t="str">
        <f>IF(G3442="","",IF(BF3442="Abu Dhabi",IF(G3442&lt;18,'General Basis'!$C$39,IF(G3442&lt;41,'General Basis'!$C$40,IF(G3442&lt;60,'General Basis'!$C$41,IF(G3442&lt;65,'General Basis'!$C$42,'General Basis'!$C$43)))),IF(G3442&lt;11,'General Basis'!$B$39,IF(G3442&lt;18,'General Basis'!$B$40,IF(G3442&lt;26,'General Basis'!$B$41,IF(G3442&lt;31,'General Basis'!$B$42,IF(G3442&lt;36,'General Basis'!$B$43,IF(G3442&lt;41,'General Basis'!$B$44,IF(G3442&lt;46,'General Basis'!$B$45,IF(G3442&lt;51,'General Basis'!$B$46,IF(G3442&lt;56,'General Basis'!$B$47,IF(G3442&lt;60,'General Basis'!$B$48,IF(G3442&lt;65,'General Basis'!$B$49,'General Basis'!$B$50)))))))))))))</f>
        <v/>
      </c>
      <c r="BI3442" s="744" t="str">
        <f t="shared" si="1193"/>
        <v/>
      </c>
      <c r="BJ3442" s="747" t="str">
        <f t="shared" si="1200"/>
        <v/>
      </c>
      <c r="BK3442" s="498" t="str">
        <f t="shared" si="1194"/>
        <v/>
      </c>
      <c r="BL3442" s="498" t="str">
        <f t="shared" si="1195"/>
        <v/>
      </c>
    </row>
    <row r="3443" spans="1:64" x14ac:dyDescent="0.25">
      <c r="A3443" s="762">
        <f t="shared" si="1196"/>
        <v>3438</v>
      </c>
      <c r="B3443" s="229"/>
      <c r="C3443" s="223"/>
      <c r="D3443" s="224"/>
      <c r="E3443" s="225"/>
      <c r="F3443" s="1036" t="str">
        <f t="shared" si="1202"/>
        <v/>
      </c>
      <c r="G3443" s="1037" t="str">
        <f t="shared" si="1197"/>
        <v/>
      </c>
      <c r="H3443" s="225"/>
      <c r="I3443" s="1013"/>
      <c r="J3443" s="1013"/>
      <c r="K3443" s="1028"/>
      <c r="L3443" s="1035" t="str">
        <f t="shared" si="1201"/>
        <v/>
      </c>
      <c r="S3443" s="498"/>
      <c r="AJ3443" s="498"/>
      <c r="AM3443" s="498">
        <f t="shared" si="1182"/>
        <v>0</v>
      </c>
      <c r="AN3443" s="498">
        <f t="shared" si="1183"/>
        <v>0</v>
      </c>
      <c r="AO3443" s="498">
        <f t="shared" si="1184"/>
        <v>0</v>
      </c>
      <c r="AP3443" s="498">
        <f t="shared" si="1203"/>
        <v>0</v>
      </c>
      <c r="AQ3443" s="498">
        <f t="shared" si="1198"/>
        <v>0</v>
      </c>
      <c r="AU3443" s="498">
        <f t="shared" si="1185"/>
        <v>0</v>
      </c>
      <c r="AV3443" s="498">
        <f t="shared" si="1186"/>
        <v>0</v>
      </c>
      <c r="AW3443" s="498">
        <f t="shared" si="1187"/>
        <v>0</v>
      </c>
      <c r="AX3443" s="498">
        <f t="shared" si="1188"/>
        <v>0</v>
      </c>
      <c r="AY3443" s="498">
        <f t="shared" si="1189"/>
        <v>0</v>
      </c>
      <c r="BB3443" s="498" t="str">
        <f t="shared" si="1190"/>
        <v/>
      </c>
      <c r="BC3443" s="743" t="str">
        <f t="shared" si="1191"/>
        <v/>
      </c>
      <c r="BD3443" s="743" t="str">
        <f t="shared" si="1192"/>
        <v/>
      </c>
      <c r="BE3443" s="743" t="str">
        <f>IF(D3443="","",VLOOKUP(D3443,'General Basis'!$J$39:$K$46,2,0))</f>
        <v/>
      </c>
      <c r="BF3443" s="744" t="str">
        <f>IF(D3443="","",VLOOKUP(D3443,'General Basis'!$J$39:$L$46,3,0))</f>
        <v/>
      </c>
      <c r="BG3443" s="744" t="str">
        <f t="shared" si="1199"/>
        <v/>
      </c>
      <c r="BH3443" s="744" t="str">
        <f>IF(G3443="","",IF(BF3443="Abu Dhabi",IF(G3443&lt;18,'General Basis'!$C$39,IF(G3443&lt;41,'General Basis'!$C$40,IF(G3443&lt;60,'General Basis'!$C$41,IF(G3443&lt;65,'General Basis'!$C$42,'General Basis'!$C$43)))),IF(G3443&lt;11,'General Basis'!$B$39,IF(G3443&lt;18,'General Basis'!$B$40,IF(G3443&lt;26,'General Basis'!$B$41,IF(G3443&lt;31,'General Basis'!$B$42,IF(G3443&lt;36,'General Basis'!$B$43,IF(G3443&lt;41,'General Basis'!$B$44,IF(G3443&lt;46,'General Basis'!$B$45,IF(G3443&lt;51,'General Basis'!$B$46,IF(G3443&lt;56,'General Basis'!$B$47,IF(G3443&lt;60,'General Basis'!$B$48,IF(G3443&lt;65,'General Basis'!$B$49,'General Basis'!$B$50)))))))))))))</f>
        <v/>
      </c>
      <c r="BI3443" s="744" t="str">
        <f t="shared" si="1193"/>
        <v/>
      </c>
      <c r="BJ3443" s="747" t="str">
        <f t="shared" si="1200"/>
        <v/>
      </c>
      <c r="BK3443" s="498" t="str">
        <f t="shared" si="1194"/>
        <v/>
      </c>
      <c r="BL3443" s="498" t="str">
        <f t="shared" si="1195"/>
        <v/>
      </c>
    </row>
    <row r="3444" spans="1:64" x14ac:dyDescent="0.25">
      <c r="A3444" s="762">
        <f t="shared" si="1196"/>
        <v>3439</v>
      </c>
      <c r="B3444" s="229"/>
      <c r="C3444" s="223"/>
      <c r="D3444" s="224"/>
      <c r="E3444" s="225"/>
      <c r="F3444" s="1036" t="str">
        <f t="shared" si="1202"/>
        <v/>
      </c>
      <c r="G3444" s="1037" t="str">
        <f t="shared" si="1197"/>
        <v/>
      </c>
      <c r="H3444" s="225"/>
      <c r="I3444" s="1013"/>
      <c r="J3444" s="1013"/>
      <c r="K3444" s="1028"/>
      <c r="L3444" s="1035" t="str">
        <f t="shared" si="1201"/>
        <v/>
      </c>
      <c r="S3444" s="498"/>
      <c r="AJ3444" s="498"/>
      <c r="AM3444" s="498">
        <f t="shared" si="1182"/>
        <v>0</v>
      </c>
      <c r="AN3444" s="498">
        <f t="shared" si="1183"/>
        <v>0</v>
      </c>
      <c r="AO3444" s="498">
        <f t="shared" si="1184"/>
        <v>0</v>
      </c>
      <c r="AP3444" s="498">
        <f t="shared" si="1203"/>
        <v>0</v>
      </c>
      <c r="AQ3444" s="498">
        <f t="shared" si="1198"/>
        <v>0</v>
      </c>
      <c r="AU3444" s="498">
        <f t="shared" si="1185"/>
        <v>0</v>
      </c>
      <c r="AV3444" s="498">
        <f t="shared" si="1186"/>
        <v>0</v>
      </c>
      <c r="AW3444" s="498">
        <f t="shared" si="1187"/>
        <v>0</v>
      </c>
      <c r="AX3444" s="498">
        <f t="shared" si="1188"/>
        <v>0</v>
      </c>
      <c r="AY3444" s="498">
        <f t="shared" si="1189"/>
        <v>0</v>
      </c>
      <c r="BB3444" s="498" t="str">
        <f t="shared" si="1190"/>
        <v/>
      </c>
      <c r="BC3444" s="743" t="str">
        <f t="shared" si="1191"/>
        <v/>
      </c>
      <c r="BD3444" s="743" t="str">
        <f t="shared" si="1192"/>
        <v/>
      </c>
      <c r="BE3444" s="743" t="str">
        <f>IF(D3444="","",VLOOKUP(D3444,'General Basis'!$J$39:$K$46,2,0))</f>
        <v/>
      </c>
      <c r="BF3444" s="744" t="str">
        <f>IF(D3444="","",VLOOKUP(D3444,'General Basis'!$J$39:$L$46,3,0))</f>
        <v/>
      </c>
      <c r="BG3444" s="744" t="str">
        <f t="shared" si="1199"/>
        <v/>
      </c>
      <c r="BH3444" s="744" t="str">
        <f>IF(G3444="","",IF(BF3444="Abu Dhabi",IF(G3444&lt;18,'General Basis'!$C$39,IF(G3444&lt;41,'General Basis'!$C$40,IF(G3444&lt;60,'General Basis'!$C$41,IF(G3444&lt;65,'General Basis'!$C$42,'General Basis'!$C$43)))),IF(G3444&lt;11,'General Basis'!$B$39,IF(G3444&lt;18,'General Basis'!$B$40,IF(G3444&lt;26,'General Basis'!$B$41,IF(G3444&lt;31,'General Basis'!$B$42,IF(G3444&lt;36,'General Basis'!$B$43,IF(G3444&lt;41,'General Basis'!$B$44,IF(G3444&lt;46,'General Basis'!$B$45,IF(G3444&lt;51,'General Basis'!$B$46,IF(G3444&lt;56,'General Basis'!$B$47,IF(G3444&lt;60,'General Basis'!$B$48,IF(G3444&lt;65,'General Basis'!$B$49,'General Basis'!$B$50)))))))))))))</f>
        <v/>
      </c>
      <c r="BI3444" s="744" t="str">
        <f t="shared" si="1193"/>
        <v/>
      </c>
      <c r="BJ3444" s="747" t="str">
        <f t="shared" si="1200"/>
        <v/>
      </c>
      <c r="BK3444" s="498" t="str">
        <f t="shared" si="1194"/>
        <v/>
      </c>
      <c r="BL3444" s="498" t="str">
        <f t="shared" si="1195"/>
        <v/>
      </c>
    </row>
    <row r="3445" spans="1:64" x14ac:dyDescent="0.25">
      <c r="A3445" s="762">
        <f t="shared" si="1196"/>
        <v>3440</v>
      </c>
      <c r="B3445" s="229"/>
      <c r="C3445" s="223"/>
      <c r="D3445" s="224"/>
      <c r="E3445" s="225"/>
      <c r="F3445" s="1036" t="str">
        <f t="shared" si="1202"/>
        <v/>
      </c>
      <c r="G3445" s="1037" t="str">
        <f t="shared" si="1197"/>
        <v/>
      </c>
      <c r="H3445" s="225"/>
      <c r="I3445" s="1013"/>
      <c r="J3445" s="1013"/>
      <c r="K3445" s="1028"/>
      <c r="L3445" s="1035" t="str">
        <f t="shared" si="1201"/>
        <v/>
      </c>
      <c r="S3445" s="498"/>
      <c r="AJ3445" s="498"/>
      <c r="AM3445" s="498">
        <f t="shared" si="1182"/>
        <v>0</v>
      </c>
      <c r="AN3445" s="498">
        <f t="shared" si="1183"/>
        <v>0</v>
      </c>
      <c r="AO3445" s="498">
        <f t="shared" si="1184"/>
        <v>0</v>
      </c>
      <c r="AP3445" s="498">
        <f t="shared" si="1203"/>
        <v>0</v>
      </c>
      <c r="AQ3445" s="498">
        <f t="shared" si="1198"/>
        <v>0</v>
      </c>
      <c r="AU3445" s="498">
        <f t="shared" si="1185"/>
        <v>0</v>
      </c>
      <c r="AV3445" s="498">
        <f t="shared" si="1186"/>
        <v>0</v>
      </c>
      <c r="AW3445" s="498">
        <f t="shared" si="1187"/>
        <v>0</v>
      </c>
      <c r="AX3445" s="498">
        <f t="shared" si="1188"/>
        <v>0</v>
      </c>
      <c r="AY3445" s="498">
        <f t="shared" si="1189"/>
        <v>0</v>
      </c>
      <c r="BB3445" s="498" t="str">
        <f t="shared" si="1190"/>
        <v/>
      </c>
      <c r="BC3445" s="743" t="str">
        <f t="shared" si="1191"/>
        <v/>
      </c>
      <c r="BD3445" s="743" t="str">
        <f t="shared" si="1192"/>
        <v/>
      </c>
      <c r="BE3445" s="743" t="str">
        <f>IF(D3445="","",VLOOKUP(D3445,'General Basis'!$J$39:$K$46,2,0))</f>
        <v/>
      </c>
      <c r="BF3445" s="744" t="str">
        <f>IF(D3445="","",VLOOKUP(D3445,'General Basis'!$J$39:$L$46,3,0))</f>
        <v/>
      </c>
      <c r="BG3445" s="744" t="str">
        <f t="shared" si="1199"/>
        <v/>
      </c>
      <c r="BH3445" s="744" t="str">
        <f>IF(G3445="","",IF(BF3445="Abu Dhabi",IF(G3445&lt;18,'General Basis'!$C$39,IF(G3445&lt;41,'General Basis'!$C$40,IF(G3445&lt;60,'General Basis'!$C$41,IF(G3445&lt;65,'General Basis'!$C$42,'General Basis'!$C$43)))),IF(G3445&lt;11,'General Basis'!$B$39,IF(G3445&lt;18,'General Basis'!$B$40,IF(G3445&lt;26,'General Basis'!$B$41,IF(G3445&lt;31,'General Basis'!$B$42,IF(G3445&lt;36,'General Basis'!$B$43,IF(G3445&lt;41,'General Basis'!$B$44,IF(G3445&lt;46,'General Basis'!$B$45,IF(G3445&lt;51,'General Basis'!$B$46,IF(G3445&lt;56,'General Basis'!$B$47,IF(G3445&lt;60,'General Basis'!$B$48,IF(G3445&lt;65,'General Basis'!$B$49,'General Basis'!$B$50)))))))))))))</f>
        <v/>
      </c>
      <c r="BI3445" s="744" t="str">
        <f t="shared" si="1193"/>
        <v/>
      </c>
      <c r="BJ3445" s="747" t="str">
        <f t="shared" si="1200"/>
        <v/>
      </c>
      <c r="BK3445" s="498" t="str">
        <f t="shared" si="1194"/>
        <v/>
      </c>
      <c r="BL3445" s="498" t="str">
        <f t="shared" si="1195"/>
        <v/>
      </c>
    </row>
    <row r="3446" spans="1:64" x14ac:dyDescent="0.25">
      <c r="A3446" s="762">
        <f t="shared" si="1196"/>
        <v>3441</v>
      </c>
      <c r="B3446" s="229"/>
      <c r="C3446" s="223"/>
      <c r="D3446" s="224"/>
      <c r="E3446" s="225"/>
      <c r="F3446" s="1036" t="str">
        <f t="shared" si="1202"/>
        <v/>
      </c>
      <c r="G3446" s="1037" t="str">
        <f t="shared" si="1197"/>
        <v/>
      </c>
      <c r="H3446" s="225"/>
      <c r="I3446" s="1013"/>
      <c r="J3446" s="1013"/>
      <c r="K3446" s="1028"/>
      <c r="L3446" s="1035" t="str">
        <f t="shared" si="1201"/>
        <v/>
      </c>
      <c r="S3446" s="498"/>
      <c r="AJ3446" s="498"/>
      <c r="AM3446" s="498">
        <f t="shared" si="1182"/>
        <v>0</v>
      </c>
      <c r="AN3446" s="498">
        <f t="shared" si="1183"/>
        <v>0</v>
      </c>
      <c r="AO3446" s="498">
        <f t="shared" si="1184"/>
        <v>0</v>
      </c>
      <c r="AP3446" s="498">
        <f t="shared" si="1203"/>
        <v>0</v>
      </c>
      <c r="AQ3446" s="498">
        <f t="shared" si="1198"/>
        <v>0</v>
      </c>
      <c r="AU3446" s="498">
        <f t="shared" si="1185"/>
        <v>0</v>
      </c>
      <c r="AV3446" s="498">
        <f t="shared" si="1186"/>
        <v>0</v>
      </c>
      <c r="AW3446" s="498">
        <f t="shared" si="1187"/>
        <v>0</v>
      </c>
      <c r="AX3446" s="498">
        <f t="shared" si="1188"/>
        <v>0</v>
      </c>
      <c r="AY3446" s="498">
        <f t="shared" si="1189"/>
        <v>0</v>
      </c>
      <c r="BB3446" s="498" t="str">
        <f t="shared" si="1190"/>
        <v/>
      </c>
      <c r="BC3446" s="743" t="str">
        <f t="shared" si="1191"/>
        <v/>
      </c>
      <c r="BD3446" s="743" t="str">
        <f t="shared" si="1192"/>
        <v/>
      </c>
      <c r="BE3446" s="743" t="str">
        <f>IF(D3446="","",VLOOKUP(D3446,'General Basis'!$J$39:$K$46,2,0))</f>
        <v/>
      </c>
      <c r="BF3446" s="744" t="str">
        <f>IF(D3446="","",VLOOKUP(D3446,'General Basis'!$J$39:$L$46,3,0))</f>
        <v/>
      </c>
      <c r="BG3446" s="744" t="str">
        <f t="shared" si="1199"/>
        <v/>
      </c>
      <c r="BH3446" s="744" t="str">
        <f>IF(G3446="","",IF(BF3446="Abu Dhabi",IF(G3446&lt;18,'General Basis'!$C$39,IF(G3446&lt;41,'General Basis'!$C$40,IF(G3446&lt;60,'General Basis'!$C$41,IF(G3446&lt;65,'General Basis'!$C$42,'General Basis'!$C$43)))),IF(G3446&lt;11,'General Basis'!$B$39,IF(G3446&lt;18,'General Basis'!$B$40,IF(G3446&lt;26,'General Basis'!$B$41,IF(G3446&lt;31,'General Basis'!$B$42,IF(G3446&lt;36,'General Basis'!$B$43,IF(G3446&lt;41,'General Basis'!$B$44,IF(G3446&lt;46,'General Basis'!$B$45,IF(G3446&lt;51,'General Basis'!$B$46,IF(G3446&lt;56,'General Basis'!$B$47,IF(G3446&lt;60,'General Basis'!$B$48,IF(G3446&lt;65,'General Basis'!$B$49,'General Basis'!$B$50)))))))))))))</f>
        <v/>
      </c>
      <c r="BI3446" s="744" t="str">
        <f t="shared" si="1193"/>
        <v/>
      </c>
      <c r="BJ3446" s="747" t="str">
        <f t="shared" si="1200"/>
        <v/>
      </c>
      <c r="BK3446" s="498" t="str">
        <f t="shared" si="1194"/>
        <v/>
      </c>
      <c r="BL3446" s="498" t="str">
        <f t="shared" si="1195"/>
        <v/>
      </c>
    </row>
    <row r="3447" spans="1:64" x14ac:dyDescent="0.25">
      <c r="A3447" s="762">
        <f t="shared" si="1196"/>
        <v>3442</v>
      </c>
      <c r="B3447" s="229"/>
      <c r="C3447" s="223"/>
      <c r="D3447" s="224"/>
      <c r="E3447" s="225"/>
      <c r="F3447" s="1036" t="str">
        <f t="shared" si="1202"/>
        <v/>
      </c>
      <c r="G3447" s="1037" t="str">
        <f t="shared" si="1197"/>
        <v/>
      </c>
      <c r="H3447" s="225"/>
      <c r="I3447" s="1013"/>
      <c r="J3447" s="1013"/>
      <c r="K3447" s="1028"/>
      <c r="L3447" s="1035" t="str">
        <f t="shared" si="1201"/>
        <v/>
      </c>
      <c r="S3447" s="498"/>
      <c r="AJ3447" s="498"/>
      <c r="AM3447" s="498">
        <f t="shared" si="1182"/>
        <v>0</v>
      </c>
      <c r="AN3447" s="498">
        <f t="shared" si="1183"/>
        <v>0</v>
      </c>
      <c r="AO3447" s="498">
        <f t="shared" si="1184"/>
        <v>0</v>
      </c>
      <c r="AP3447" s="498">
        <f t="shared" si="1203"/>
        <v>0</v>
      </c>
      <c r="AQ3447" s="498">
        <f t="shared" si="1198"/>
        <v>0</v>
      </c>
      <c r="AU3447" s="498">
        <f t="shared" si="1185"/>
        <v>0</v>
      </c>
      <c r="AV3447" s="498">
        <f t="shared" si="1186"/>
        <v>0</v>
      </c>
      <c r="AW3447" s="498">
        <f t="shared" si="1187"/>
        <v>0</v>
      </c>
      <c r="AX3447" s="498">
        <f t="shared" si="1188"/>
        <v>0</v>
      </c>
      <c r="AY3447" s="498">
        <f t="shared" si="1189"/>
        <v>0</v>
      </c>
      <c r="BB3447" s="498" t="str">
        <f t="shared" si="1190"/>
        <v/>
      </c>
      <c r="BC3447" s="743" t="str">
        <f t="shared" si="1191"/>
        <v/>
      </c>
      <c r="BD3447" s="743" t="str">
        <f t="shared" si="1192"/>
        <v/>
      </c>
      <c r="BE3447" s="743" t="str">
        <f>IF(D3447="","",VLOOKUP(D3447,'General Basis'!$J$39:$K$46,2,0))</f>
        <v/>
      </c>
      <c r="BF3447" s="744" t="str">
        <f>IF(D3447="","",VLOOKUP(D3447,'General Basis'!$J$39:$L$46,3,0))</f>
        <v/>
      </c>
      <c r="BG3447" s="744" t="str">
        <f t="shared" si="1199"/>
        <v/>
      </c>
      <c r="BH3447" s="744" t="str">
        <f>IF(G3447="","",IF(BF3447="Abu Dhabi",IF(G3447&lt;18,'General Basis'!$C$39,IF(G3447&lt;41,'General Basis'!$C$40,IF(G3447&lt;60,'General Basis'!$C$41,IF(G3447&lt;65,'General Basis'!$C$42,'General Basis'!$C$43)))),IF(G3447&lt;11,'General Basis'!$B$39,IF(G3447&lt;18,'General Basis'!$B$40,IF(G3447&lt;26,'General Basis'!$B$41,IF(G3447&lt;31,'General Basis'!$B$42,IF(G3447&lt;36,'General Basis'!$B$43,IF(G3447&lt;41,'General Basis'!$B$44,IF(G3447&lt;46,'General Basis'!$B$45,IF(G3447&lt;51,'General Basis'!$B$46,IF(G3447&lt;56,'General Basis'!$B$47,IF(G3447&lt;60,'General Basis'!$B$48,IF(G3447&lt;65,'General Basis'!$B$49,'General Basis'!$B$50)))))))))))))</f>
        <v/>
      </c>
      <c r="BI3447" s="744" t="str">
        <f t="shared" si="1193"/>
        <v/>
      </c>
      <c r="BJ3447" s="747" t="str">
        <f t="shared" si="1200"/>
        <v/>
      </c>
      <c r="BK3447" s="498" t="str">
        <f t="shared" si="1194"/>
        <v/>
      </c>
      <c r="BL3447" s="498" t="str">
        <f t="shared" si="1195"/>
        <v/>
      </c>
    </row>
    <row r="3448" spans="1:64" x14ac:dyDescent="0.25">
      <c r="A3448" s="762">
        <f t="shared" si="1196"/>
        <v>3443</v>
      </c>
      <c r="B3448" s="229"/>
      <c r="C3448" s="223"/>
      <c r="D3448" s="224"/>
      <c r="E3448" s="225"/>
      <c r="F3448" s="1036" t="str">
        <f t="shared" si="1202"/>
        <v/>
      </c>
      <c r="G3448" s="1037" t="str">
        <f t="shared" si="1197"/>
        <v/>
      </c>
      <c r="H3448" s="225"/>
      <c r="I3448" s="1013"/>
      <c r="J3448" s="1013"/>
      <c r="K3448" s="1028"/>
      <c r="L3448" s="1035" t="str">
        <f t="shared" si="1201"/>
        <v/>
      </c>
      <c r="S3448" s="498"/>
      <c r="AJ3448" s="498"/>
      <c r="AM3448" s="498">
        <f t="shared" si="1182"/>
        <v>0</v>
      </c>
      <c r="AN3448" s="498">
        <f t="shared" si="1183"/>
        <v>0</v>
      </c>
      <c r="AO3448" s="498">
        <f t="shared" si="1184"/>
        <v>0</v>
      </c>
      <c r="AP3448" s="498">
        <f t="shared" si="1203"/>
        <v>0</v>
      </c>
      <c r="AQ3448" s="498">
        <f t="shared" si="1198"/>
        <v>0</v>
      </c>
      <c r="AU3448" s="498">
        <f t="shared" si="1185"/>
        <v>0</v>
      </c>
      <c r="AV3448" s="498">
        <f t="shared" si="1186"/>
        <v>0</v>
      </c>
      <c r="AW3448" s="498">
        <f t="shared" si="1187"/>
        <v>0</v>
      </c>
      <c r="AX3448" s="498">
        <f t="shared" si="1188"/>
        <v>0</v>
      </c>
      <c r="AY3448" s="498">
        <f t="shared" si="1189"/>
        <v>0</v>
      </c>
      <c r="BB3448" s="498" t="str">
        <f t="shared" si="1190"/>
        <v/>
      </c>
      <c r="BC3448" s="743" t="str">
        <f t="shared" si="1191"/>
        <v/>
      </c>
      <c r="BD3448" s="743" t="str">
        <f t="shared" si="1192"/>
        <v/>
      </c>
      <c r="BE3448" s="743" t="str">
        <f>IF(D3448="","",VLOOKUP(D3448,'General Basis'!$J$39:$K$46,2,0))</f>
        <v/>
      </c>
      <c r="BF3448" s="744" t="str">
        <f>IF(D3448="","",VLOOKUP(D3448,'General Basis'!$J$39:$L$46,3,0))</f>
        <v/>
      </c>
      <c r="BG3448" s="744" t="str">
        <f t="shared" si="1199"/>
        <v/>
      </c>
      <c r="BH3448" s="744" t="str">
        <f>IF(G3448="","",IF(BF3448="Abu Dhabi",IF(G3448&lt;18,'General Basis'!$C$39,IF(G3448&lt;41,'General Basis'!$C$40,IF(G3448&lt;60,'General Basis'!$C$41,IF(G3448&lt;65,'General Basis'!$C$42,'General Basis'!$C$43)))),IF(G3448&lt;11,'General Basis'!$B$39,IF(G3448&lt;18,'General Basis'!$B$40,IF(G3448&lt;26,'General Basis'!$B$41,IF(G3448&lt;31,'General Basis'!$B$42,IF(G3448&lt;36,'General Basis'!$B$43,IF(G3448&lt;41,'General Basis'!$B$44,IF(G3448&lt;46,'General Basis'!$B$45,IF(G3448&lt;51,'General Basis'!$B$46,IF(G3448&lt;56,'General Basis'!$B$47,IF(G3448&lt;60,'General Basis'!$B$48,IF(G3448&lt;65,'General Basis'!$B$49,'General Basis'!$B$50)))))))))))))</f>
        <v/>
      </c>
      <c r="BI3448" s="744" t="str">
        <f t="shared" si="1193"/>
        <v/>
      </c>
      <c r="BJ3448" s="747" t="str">
        <f t="shared" si="1200"/>
        <v/>
      </c>
      <c r="BK3448" s="498" t="str">
        <f t="shared" si="1194"/>
        <v/>
      </c>
      <c r="BL3448" s="498" t="str">
        <f t="shared" si="1195"/>
        <v/>
      </c>
    </row>
    <row r="3449" spans="1:64" x14ac:dyDescent="0.25">
      <c r="A3449" s="762">
        <f t="shared" si="1196"/>
        <v>3444</v>
      </c>
      <c r="B3449" s="229"/>
      <c r="C3449" s="223"/>
      <c r="D3449" s="224"/>
      <c r="E3449" s="225"/>
      <c r="F3449" s="1036" t="str">
        <f t="shared" si="1202"/>
        <v/>
      </c>
      <c r="G3449" s="1037" t="str">
        <f t="shared" si="1197"/>
        <v/>
      </c>
      <c r="H3449" s="225"/>
      <c r="I3449" s="1013"/>
      <c r="J3449" s="1013"/>
      <c r="K3449" s="1028"/>
      <c r="L3449" s="1035" t="str">
        <f t="shared" si="1201"/>
        <v/>
      </c>
      <c r="S3449" s="498"/>
      <c r="AJ3449" s="498"/>
      <c r="AM3449" s="498">
        <f t="shared" si="1182"/>
        <v>0</v>
      </c>
      <c r="AN3449" s="498">
        <f t="shared" si="1183"/>
        <v>0</v>
      </c>
      <c r="AO3449" s="498">
        <f t="shared" si="1184"/>
        <v>0</v>
      </c>
      <c r="AP3449" s="498">
        <f t="shared" si="1203"/>
        <v>0</v>
      </c>
      <c r="AQ3449" s="498">
        <f t="shared" si="1198"/>
        <v>0</v>
      </c>
      <c r="AU3449" s="498">
        <f t="shared" si="1185"/>
        <v>0</v>
      </c>
      <c r="AV3449" s="498">
        <f t="shared" si="1186"/>
        <v>0</v>
      </c>
      <c r="AW3449" s="498">
        <f t="shared" si="1187"/>
        <v>0</v>
      </c>
      <c r="AX3449" s="498">
        <f t="shared" si="1188"/>
        <v>0</v>
      </c>
      <c r="AY3449" s="498">
        <f t="shared" si="1189"/>
        <v>0</v>
      </c>
      <c r="BB3449" s="498" t="str">
        <f t="shared" si="1190"/>
        <v/>
      </c>
      <c r="BC3449" s="743" t="str">
        <f t="shared" si="1191"/>
        <v/>
      </c>
      <c r="BD3449" s="743" t="str">
        <f t="shared" si="1192"/>
        <v/>
      </c>
      <c r="BE3449" s="743" t="str">
        <f>IF(D3449="","",VLOOKUP(D3449,'General Basis'!$J$39:$K$46,2,0))</f>
        <v/>
      </c>
      <c r="BF3449" s="744" t="str">
        <f>IF(D3449="","",VLOOKUP(D3449,'General Basis'!$J$39:$L$46,3,0))</f>
        <v/>
      </c>
      <c r="BG3449" s="744" t="str">
        <f t="shared" si="1199"/>
        <v/>
      </c>
      <c r="BH3449" s="744" t="str">
        <f>IF(G3449="","",IF(BF3449="Abu Dhabi",IF(G3449&lt;18,'General Basis'!$C$39,IF(G3449&lt;41,'General Basis'!$C$40,IF(G3449&lt;60,'General Basis'!$C$41,IF(G3449&lt;65,'General Basis'!$C$42,'General Basis'!$C$43)))),IF(G3449&lt;11,'General Basis'!$B$39,IF(G3449&lt;18,'General Basis'!$B$40,IF(G3449&lt;26,'General Basis'!$B$41,IF(G3449&lt;31,'General Basis'!$B$42,IF(G3449&lt;36,'General Basis'!$B$43,IF(G3449&lt;41,'General Basis'!$B$44,IF(G3449&lt;46,'General Basis'!$B$45,IF(G3449&lt;51,'General Basis'!$B$46,IF(G3449&lt;56,'General Basis'!$B$47,IF(G3449&lt;60,'General Basis'!$B$48,IF(G3449&lt;65,'General Basis'!$B$49,'General Basis'!$B$50)))))))))))))</f>
        <v/>
      </c>
      <c r="BI3449" s="744" t="str">
        <f t="shared" si="1193"/>
        <v/>
      </c>
      <c r="BJ3449" s="747" t="str">
        <f t="shared" si="1200"/>
        <v/>
      </c>
      <c r="BK3449" s="498" t="str">
        <f t="shared" si="1194"/>
        <v/>
      </c>
      <c r="BL3449" s="498" t="str">
        <f t="shared" si="1195"/>
        <v/>
      </c>
    </row>
    <row r="3450" spans="1:64" x14ac:dyDescent="0.25">
      <c r="A3450" s="762">
        <f t="shared" si="1196"/>
        <v>3445</v>
      </c>
      <c r="B3450" s="229"/>
      <c r="C3450" s="223"/>
      <c r="D3450" s="224"/>
      <c r="E3450" s="225"/>
      <c r="F3450" s="1036" t="str">
        <f t="shared" si="1202"/>
        <v/>
      </c>
      <c r="G3450" s="1037" t="str">
        <f t="shared" si="1197"/>
        <v/>
      </c>
      <c r="H3450" s="225"/>
      <c r="I3450" s="1013"/>
      <c r="J3450" s="1013"/>
      <c r="K3450" s="1028"/>
      <c r="L3450" s="1035" t="str">
        <f t="shared" si="1201"/>
        <v/>
      </c>
      <c r="S3450" s="498"/>
      <c r="AJ3450" s="498"/>
      <c r="AM3450" s="498">
        <f t="shared" si="1182"/>
        <v>0</v>
      </c>
      <c r="AN3450" s="498">
        <f t="shared" si="1183"/>
        <v>0</v>
      </c>
      <c r="AO3450" s="498">
        <f t="shared" si="1184"/>
        <v>0</v>
      </c>
      <c r="AP3450" s="498">
        <f t="shared" si="1203"/>
        <v>0</v>
      </c>
      <c r="AQ3450" s="498">
        <f t="shared" si="1198"/>
        <v>0</v>
      </c>
      <c r="AU3450" s="498">
        <f t="shared" si="1185"/>
        <v>0</v>
      </c>
      <c r="AV3450" s="498">
        <f t="shared" si="1186"/>
        <v>0</v>
      </c>
      <c r="AW3450" s="498">
        <f t="shared" si="1187"/>
        <v>0</v>
      </c>
      <c r="AX3450" s="498">
        <f t="shared" si="1188"/>
        <v>0</v>
      </c>
      <c r="AY3450" s="498">
        <f t="shared" si="1189"/>
        <v>0</v>
      </c>
      <c r="BB3450" s="498" t="str">
        <f t="shared" si="1190"/>
        <v/>
      </c>
      <c r="BC3450" s="743" t="str">
        <f t="shared" si="1191"/>
        <v/>
      </c>
      <c r="BD3450" s="743" t="str">
        <f t="shared" si="1192"/>
        <v/>
      </c>
      <c r="BE3450" s="743" t="str">
        <f>IF(D3450="","",VLOOKUP(D3450,'General Basis'!$J$39:$K$46,2,0))</f>
        <v/>
      </c>
      <c r="BF3450" s="744" t="str">
        <f>IF(D3450="","",VLOOKUP(D3450,'General Basis'!$J$39:$L$46,3,0))</f>
        <v/>
      </c>
      <c r="BG3450" s="744" t="str">
        <f t="shared" si="1199"/>
        <v/>
      </c>
      <c r="BH3450" s="744" t="str">
        <f>IF(G3450="","",IF(BF3450="Abu Dhabi",IF(G3450&lt;18,'General Basis'!$C$39,IF(G3450&lt;41,'General Basis'!$C$40,IF(G3450&lt;60,'General Basis'!$C$41,IF(G3450&lt;65,'General Basis'!$C$42,'General Basis'!$C$43)))),IF(G3450&lt;11,'General Basis'!$B$39,IF(G3450&lt;18,'General Basis'!$B$40,IF(G3450&lt;26,'General Basis'!$B$41,IF(G3450&lt;31,'General Basis'!$B$42,IF(G3450&lt;36,'General Basis'!$B$43,IF(G3450&lt;41,'General Basis'!$B$44,IF(G3450&lt;46,'General Basis'!$B$45,IF(G3450&lt;51,'General Basis'!$B$46,IF(G3450&lt;56,'General Basis'!$B$47,IF(G3450&lt;60,'General Basis'!$B$48,IF(G3450&lt;65,'General Basis'!$B$49,'General Basis'!$B$50)))))))))))))</f>
        <v/>
      </c>
      <c r="BI3450" s="744" t="str">
        <f t="shared" si="1193"/>
        <v/>
      </c>
      <c r="BJ3450" s="747" t="str">
        <f t="shared" si="1200"/>
        <v/>
      </c>
      <c r="BK3450" s="498" t="str">
        <f t="shared" si="1194"/>
        <v/>
      </c>
      <c r="BL3450" s="498" t="str">
        <f t="shared" si="1195"/>
        <v/>
      </c>
    </row>
    <row r="3451" spans="1:64" x14ac:dyDescent="0.25">
      <c r="A3451" s="762">
        <f t="shared" si="1196"/>
        <v>3446</v>
      </c>
      <c r="B3451" s="229"/>
      <c r="C3451" s="223"/>
      <c r="D3451" s="224"/>
      <c r="E3451" s="225"/>
      <c r="F3451" s="1036" t="str">
        <f t="shared" si="1202"/>
        <v/>
      </c>
      <c r="G3451" s="1037" t="str">
        <f t="shared" si="1197"/>
        <v/>
      </c>
      <c r="H3451" s="225"/>
      <c r="I3451" s="1013"/>
      <c r="J3451" s="1013"/>
      <c r="K3451" s="1028"/>
      <c r="L3451" s="1035" t="str">
        <f t="shared" si="1201"/>
        <v/>
      </c>
      <c r="S3451" s="498"/>
      <c r="AJ3451" s="498"/>
      <c r="AM3451" s="498">
        <f t="shared" si="1182"/>
        <v>0</v>
      </c>
      <c r="AN3451" s="498">
        <f t="shared" si="1183"/>
        <v>0</v>
      </c>
      <c r="AO3451" s="498">
        <f t="shared" si="1184"/>
        <v>0</v>
      </c>
      <c r="AP3451" s="498">
        <f t="shared" si="1203"/>
        <v>0</v>
      </c>
      <c r="AQ3451" s="498">
        <f t="shared" si="1198"/>
        <v>0</v>
      </c>
      <c r="AU3451" s="498">
        <f t="shared" si="1185"/>
        <v>0</v>
      </c>
      <c r="AV3451" s="498">
        <f t="shared" si="1186"/>
        <v>0</v>
      </c>
      <c r="AW3451" s="498">
        <f t="shared" si="1187"/>
        <v>0</v>
      </c>
      <c r="AX3451" s="498">
        <f t="shared" si="1188"/>
        <v>0</v>
      </c>
      <c r="AY3451" s="498">
        <f t="shared" si="1189"/>
        <v>0</v>
      </c>
      <c r="BB3451" s="498" t="str">
        <f t="shared" si="1190"/>
        <v/>
      </c>
      <c r="BC3451" s="743" t="str">
        <f t="shared" si="1191"/>
        <v/>
      </c>
      <c r="BD3451" s="743" t="str">
        <f t="shared" si="1192"/>
        <v/>
      </c>
      <c r="BE3451" s="743" t="str">
        <f>IF(D3451="","",VLOOKUP(D3451,'General Basis'!$J$39:$K$46,2,0))</f>
        <v/>
      </c>
      <c r="BF3451" s="744" t="str">
        <f>IF(D3451="","",VLOOKUP(D3451,'General Basis'!$J$39:$L$46,3,0))</f>
        <v/>
      </c>
      <c r="BG3451" s="744" t="str">
        <f t="shared" si="1199"/>
        <v/>
      </c>
      <c r="BH3451" s="744" t="str">
        <f>IF(G3451="","",IF(BF3451="Abu Dhabi",IF(G3451&lt;18,'General Basis'!$C$39,IF(G3451&lt;41,'General Basis'!$C$40,IF(G3451&lt;60,'General Basis'!$C$41,IF(G3451&lt;65,'General Basis'!$C$42,'General Basis'!$C$43)))),IF(G3451&lt;11,'General Basis'!$B$39,IF(G3451&lt;18,'General Basis'!$B$40,IF(G3451&lt;26,'General Basis'!$B$41,IF(G3451&lt;31,'General Basis'!$B$42,IF(G3451&lt;36,'General Basis'!$B$43,IF(G3451&lt;41,'General Basis'!$B$44,IF(G3451&lt;46,'General Basis'!$B$45,IF(G3451&lt;51,'General Basis'!$B$46,IF(G3451&lt;56,'General Basis'!$B$47,IF(G3451&lt;60,'General Basis'!$B$48,IF(G3451&lt;65,'General Basis'!$B$49,'General Basis'!$B$50)))))))))))))</f>
        <v/>
      </c>
      <c r="BI3451" s="744" t="str">
        <f t="shared" si="1193"/>
        <v/>
      </c>
      <c r="BJ3451" s="747" t="str">
        <f t="shared" si="1200"/>
        <v/>
      </c>
      <c r="BK3451" s="498" t="str">
        <f t="shared" si="1194"/>
        <v/>
      </c>
      <c r="BL3451" s="498" t="str">
        <f t="shared" si="1195"/>
        <v/>
      </c>
    </row>
    <row r="3452" spans="1:64" x14ac:dyDescent="0.25">
      <c r="A3452" s="762">
        <f t="shared" si="1196"/>
        <v>3447</v>
      </c>
      <c r="B3452" s="229"/>
      <c r="C3452" s="223"/>
      <c r="D3452" s="224"/>
      <c r="E3452" s="225"/>
      <c r="F3452" s="1036" t="str">
        <f t="shared" si="1202"/>
        <v/>
      </c>
      <c r="G3452" s="1037" t="str">
        <f t="shared" si="1197"/>
        <v/>
      </c>
      <c r="H3452" s="225"/>
      <c r="I3452" s="1013"/>
      <c r="J3452" s="1013"/>
      <c r="K3452" s="1028"/>
      <c r="L3452" s="1035" t="str">
        <f t="shared" si="1201"/>
        <v/>
      </c>
      <c r="S3452" s="498"/>
      <c r="AJ3452" s="498"/>
      <c r="AM3452" s="498">
        <f t="shared" si="1182"/>
        <v>0</v>
      </c>
      <c r="AN3452" s="498">
        <f t="shared" si="1183"/>
        <v>0</v>
      </c>
      <c r="AO3452" s="498">
        <f t="shared" si="1184"/>
        <v>0</v>
      </c>
      <c r="AP3452" s="498">
        <f t="shared" si="1203"/>
        <v>0</v>
      </c>
      <c r="AQ3452" s="498">
        <f t="shared" si="1198"/>
        <v>0</v>
      </c>
      <c r="AU3452" s="498">
        <f t="shared" si="1185"/>
        <v>0</v>
      </c>
      <c r="AV3452" s="498">
        <f t="shared" si="1186"/>
        <v>0</v>
      </c>
      <c r="AW3452" s="498">
        <f t="shared" si="1187"/>
        <v>0</v>
      </c>
      <c r="AX3452" s="498">
        <f t="shared" si="1188"/>
        <v>0</v>
      </c>
      <c r="AY3452" s="498">
        <f t="shared" si="1189"/>
        <v>0</v>
      </c>
      <c r="BB3452" s="498" t="str">
        <f t="shared" si="1190"/>
        <v/>
      </c>
      <c r="BC3452" s="743" t="str">
        <f t="shared" si="1191"/>
        <v/>
      </c>
      <c r="BD3452" s="743" t="str">
        <f t="shared" si="1192"/>
        <v/>
      </c>
      <c r="BE3452" s="743" t="str">
        <f>IF(D3452="","",VLOOKUP(D3452,'General Basis'!$J$39:$K$46,2,0))</f>
        <v/>
      </c>
      <c r="BF3452" s="744" t="str">
        <f>IF(D3452="","",VLOOKUP(D3452,'General Basis'!$J$39:$L$46,3,0))</f>
        <v/>
      </c>
      <c r="BG3452" s="744" t="str">
        <f t="shared" si="1199"/>
        <v/>
      </c>
      <c r="BH3452" s="744" t="str">
        <f>IF(G3452="","",IF(BF3452="Abu Dhabi",IF(G3452&lt;18,'General Basis'!$C$39,IF(G3452&lt;41,'General Basis'!$C$40,IF(G3452&lt;60,'General Basis'!$C$41,IF(G3452&lt;65,'General Basis'!$C$42,'General Basis'!$C$43)))),IF(G3452&lt;11,'General Basis'!$B$39,IF(G3452&lt;18,'General Basis'!$B$40,IF(G3452&lt;26,'General Basis'!$B$41,IF(G3452&lt;31,'General Basis'!$B$42,IF(G3452&lt;36,'General Basis'!$B$43,IF(G3452&lt;41,'General Basis'!$B$44,IF(G3452&lt;46,'General Basis'!$B$45,IF(G3452&lt;51,'General Basis'!$B$46,IF(G3452&lt;56,'General Basis'!$B$47,IF(G3452&lt;60,'General Basis'!$B$48,IF(G3452&lt;65,'General Basis'!$B$49,'General Basis'!$B$50)))))))))))))</f>
        <v/>
      </c>
      <c r="BI3452" s="744" t="str">
        <f t="shared" si="1193"/>
        <v/>
      </c>
      <c r="BJ3452" s="747" t="str">
        <f t="shared" si="1200"/>
        <v/>
      </c>
      <c r="BK3452" s="498" t="str">
        <f t="shared" si="1194"/>
        <v/>
      </c>
      <c r="BL3452" s="498" t="str">
        <f t="shared" si="1195"/>
        <v/>
      </c>
    </row>
    <row r="3453" spans="1:64" x14ac:dyDescent="0.25">
      <c r="A3453" s="762">
        <f t="shared" si="1196"/>
        <v>3448</v>
      </c>
      <c r="B3453" s="229"/>
      <c r="C3453" s="223"/>
      <c r="D3453" s="224"/>
      <c r="E3453" s="225"/>
      <c r="F3453" s="1036" t="str">
        <f t="shared" si="1202"/>
        <v/>
      </c>
      <c r="G3453" s="1037" t="str">
        <f t="shared" si="1197"/>
        <v/>
      </c>
      <c r="H3453" s="225"/>
      <c r="I3453" s="1013"/>
      <c r="J3453" s="1013"/>
      <c r="K3453" s="1028"/>
      <c r="L3453" s="1035" t="str">
        <f t="shared" si="1201"/>
        <v/>
      </c>
      <c r="S3453" s="498"/>
      <c r="AJ3453" s="498"/>
      <c r="AM3453" s="498">
        <f t="shared" si="1182"/>
        <v>0</v>
      </c>
      <c r="AN3453" s="498">
        <f t="shared" si="1183"/>
        <v>0</v>
      </c>
      <c r="AO3453" s="498">
        <f t="shared" si="1184"/>
        <v>0</v>
      </c>
      <c r="AP3453" s="498">
        <f t="shared" si="1203"/>
        <v>0</v>
      </c>
      <c r="AQ3453" s="498">
        <f t="shared" si="1198"/>
        <v>0</v>
      </c>
      <c r="AU3453" s="498">
        <f t="shared" si="1185"/>
        <v>0</v>
      </c>
      <c r="AV3453" s="498">
        <f t="shared" si="1186"/>
        <v>0</v>
      </c>
      <c r="AW3453" s="498">
        <f t="shared" si="1187"/>
        <v>0</v>
      </c>
      <c r="AX3453" s="498">
        <f t="shared" si="1188"/>
        <v>0</v>
      </c>
      <c r="AY3453" s="498">
        <f t="shared" si="1189"/>
        <v>0</v>
      </c>
      <c r="BB3453" s="498" t="str">
        <f t="shared" si="1190"/>
        <v/>
      </c>
      <c r="BC3453" s="743" t="str">
        <f t="shared" si="1191"/>
        <v/>
      </c>
      <c r="BD3453" s="743" t="str">
        <f t="shared" si="1192"/>
        <v/>
      </c>
      <c r="BE3453" s="743" t="str">
        <f>IF(D3453="","",VLOOKUP(D3453,'General Basis'!$J$39:$K$46,2,0))</f>
        <v/>
      </c>
      <c r="BF3453" s="744" t="str">
        <f>IF(D3453="","",VLOOKUP(D3453,'General Basis'!$J$39:$L$46,3,0))</f>
        <v/>
      </c>
      <c r="BG3453" s="744" t="str">
        <f t="shared" si="1199"/>
        <v/>
      </c>
      <c r="BH3453" s="744" t="str">
        <f>IF(G3453="","",IF(BF3453="Abu Dhabi",IF(G3453&lt;18,'General Basis'!$C$39,IF(G3453&lt;41,'General Basis'!$C$40,IF(G3453&lt;60,'General Basis'!$C$41,IF(G3453&lt;65,'General Basis'!$C$42,'General Basis'!$C$43)))),IF(G3453&lt;11,'General Basis'!$B$39,IF(G3453&lt;18,'General Basis'!$B$40,IF(G3453&lt;26,'General Basis'!$B$41,IF(G3453&lt;31,'General Basis'!$B$42,IF(G3453&lt;36,'General Basis'!$B$43,IF(G3453&lt;41,'General Basis'!$B$44,IF(G3453&lt;46,'General Basis'!$B$45,IF(G3453&lt;51,'General Basis'!$B$46,IF(G3453&lt;56,'General Basis'!$B$47,IF(G3453&lt;60,'General Basis'!$B$48,IF(G3453&lt;65,'General Basis'!$B$49,'General Basis'!$B$50)))))))))))))</f>
        <v/>
      </c>
      <c r="BI3453" s="744" t="str">
        <f t="shared" si="1193"/>
        <v/>
      </c>
      <c r="BJ3453" s="747" t="str">
        <f t="shared" si="1200"/>
        <v/>
      </c>
      <c r="BK3453" s="498" t="str">
        <f t="shared" si="1194"/>
        <v/>
      </c>
      <c r="BL3453" s="498" t="str">
        <f t="shared" si="1195"/>
        <v/>
      </c>
    </row>
    <row r="3454" spans="1:64" x14ac:dyDescent="0.25">
      <c r="A3454" s="762">
        <f t="shared" si="1196"/>
        <v>3449</v>
      </c>
      <c r="B3454" s="229"/>
      <c r="C3454" s="223"/>
      <c r="D3454" s="224"/>
      <c r="E3454" s="225"/>
      <c r="F3454" s="1036" t="str">
        <f t="shared" si="1202"/>
        <v/>
      </c>
      <c r="G3454" s="1037" t="str">
        <f t="shared" si="1197"/>
        <v/>
      </c>
      <c r="H3454" s="225"/>
      <c r="I3454" s="1013"/>
      <c r="J3454" s="1013"/>
      <c r="K3454" s="1028"/>
      <c r="L3454" s="1035" t="str">
        <f t="shared" si="1201"/>
        <v/>
      </c>
      <c r="S3454" s="498"/>
      <c r="AJ3454" s="498"/>
      <c r="AM3454" s="498">
        <f t="shared" si="1182"/>
        <v>0</v>
      </c>
      <c r="AN3454" s="498">
        <f t="shared" si="1183"/>
        <v>0</v>
      </c>
      <c r="AO3454" s="498">
        <f t="shared" si="1184"/>
        <v>0</v>
      </c>
      <c r="AP3454" s="498">
        <f t="shared" si="1203"/>
        <v>0</v>
      </c>
      <c r="AQ3454" s="498">
        <f t="shared" si="1198"/>
        <v>0</v>
      </c>
      <c r="AU3454" s="498">
        <f t="shared" si="1185"/>
        <v>0</v>
      </c>
      <c r="AV3454" s="498">
        <f t="shared" si="1186"/>
        <v>0</v>
      </c>
      <c r="AW3454" s="498">
        <f t="shared" si="1187"/>
        <v>0</v>
      </c>
      <c r="AX3454" s="498">
        <f t="shared" si="1188"/>
        <v>0</v>
      </c>
      <c r="AY3454" s="498">
        <f t="shared" si="1189"/>
        <v>0</v>
      </c>
      <c r="BB3454" s="498" t="str">
        <f t="shared" si="1190"/>
        <v/>
      </c>
      <c r="BC3454" s="743" t="str">
        <f t="shared" si="1191"/>
        <v/>
      </c>
      <c r="BD3454" s="743" t="str">
        <f t="shared" si="1192"/>
        <v/>
      </c>
      <c r="BE3454" s="743" t="str">
        <f>IF(D3454="","",VLOOKUP(D3454,'General Basis'!$J$39:$K$46,2,0))</f>
        <v/>
      </c>
      <c r="BF3454" s="744" t="str">
        <f>IF(D3454="","",VLOOKUP(D3454,'General Basis'!$J$39:$L$46,3,0))</f>
        <v/>
      </c>
      <c r="BG3454" s="744" t="str">
        <f t="shared" si="1199"/>
        <v/>
      </c>
      <c r="BH3454" s="744" t="str">
        <f>IF(G3454="","",IF(BF3454="Abu Dhabi",IF(G3454&lt;18,'General Basis'!$C$39,IF(G3454&lt;41,'General Basis'!$C$40,IF(G3454&lt;60,'General Basis'!$C$41,IF(G3454&lt;65,'General Basis'!$C$42,'General Basis'!$C$43)))),IF(G3454&lt;11,'General Basis'!$B$39,IF(G3454&lt;18,'General Basis'!$B$40,IF(G3454&lt;26,'General Basis'!$B$41,IF(G3454&lt;31,'General Basis'!$B$42,IF(G3454&lt;36,'General Basis'!$B$43,IF(G3454&lt;41,'General Basis'!$B$44,IF(G3454&lt;46,'General Basis'!$B$45,IF(G3454&lt;51,'General Basis'!$B$46,IF(G3454&lt;56,'General Basis'!$B$47,IF(G3454&lt;60,'General Basis'!$B$48,IF(G3454&lt;65,'General Basis'!$B$49,'General Basis'!$B$50)))))))))))))</f>
        <v/>
      </c>
      <c r="BI3454" s="744" t="str">
        <f t="shared" si="1193"/>
        <v/>
      </c>
      <c r="BJ3454" s="747" t="str">
        <f t="shared" si="1200"/>
        <v/>
      </c>
      <c r="BK3454" s="498" t="str">
        <f t="shared" si="1194"/>
        <v/>
      </c>
      <c r="BL3454" s="498" t="str">
        <f t="shared" si="1195"/>
        <v/>
      </c>
    </row>
    <row r="3455" spans="1:64" x14ac:dyDescent="0.25">
      <c r="A3455" s="762">
        <f t="shared" si="1196"/>
        <v>3450</v>
      </c>
      <c r="B3455" s="229"/>
      <c r="C3455" s="223"/>
      <c r="D3455" s="224"/>
      <c r="E3455" s="225"/>
      <c r="F3455" s="1036" t="str">
        <f t="shared" si="1202"/>
        <v/>
      </c>
      <c r="G3455" s="1037" t="str">
        <f t="shared" si="1197"/>
        <v/>
      </c>
      <c r="H3455" s="225"/>
      <c r="I3455" s="1013"/>
      <c r="J3455" s="1013"/>
      <c r="K3455" s="1028"/>
      <c r="L3455" s="1035" t="str">
        <f t="shared" si="1201"/>
        <v/>
      </c>
      <c r="S3455" s="498"/>
      <c r="AJ3455" s="498"/>
      <c r="AM3455" s="498">
        <f t="shared" si="1182"/>
        <v>0</v>
      </c>
      <c r="AN3455" s="498">
        <f t="shared" si="1183"/>
        <v>0</v>
      </c>
      <c r="AO3455" s="498">
        <f t="shared" si="1184"/>
        <v>0</v>
      </c>
      <c r="AP3455" s="498">
        <f t="shared" si="1203"/>
        <v>0</v>
      </c>
      <c r="AQ3455" s="498">
        <f t="shared" si="1198"/>
        <v>0</v>
      </c>
      <c r="AU3455" s="498">
        <f t="shared" si="1185"/>
        <v>0</v>
      </c>
      <c r="AV3455" s="498">
        <f t="shared" si="1186"/>
        <v>0</v>
      </c>
      <c r="AW3455" s="498">
        <f t="shared" si="1187"/>
        <v>0</v>
      </c>
      <c r="AX3455" s="498">
        <f t="shared" si="1188"/>
        <v>0</v>
      </c>
      <c r="AY3455" s="498">
        <f t="shared" si="1189"/>
        <v>0</v>
      </c>
      <c r="BB3455" s="498" t="str">
        <f t="shared" si="1190"/>
        <v/>
      </c>
      <c r="BC3455" s="743" t="str">
        <f t="shared" si="1191"/>
        <v/>
      </c>
      <c r="BD3455" s="743" t="str">
        <f t="shared" si="1192"/>
        <v/>
      </c>
      <c r="BE3455" s="743" t="str">
        <f>IF(D3455="","",VLOOKUP(D3455,'General Basis'!$J$39:$K$46,2,0))</f>
        <v/>
      </c>
      <c r="BF3455" s="744" t="str">
        <f>IF(D3455="","",VLOOKUP(D3455,'General Basis'!$J$39:$L$46,3,0))</f>
        <v/>
      </c>
      <c r="BG3455" s="744" t="str">
        <f t="shared" si="1199"/>
        <v/>
      </c>
      <c r="BH3455" s="744" t="str">
        <f>IF(G3455="","",IF(BF3455="Abu Dhabi",IF(G3455&lt;18,'General Basis'!$C$39,IF(G3455&lt;41,'General Basis'!$C$40,IF(G3455&lt;60,'General Basis'!$C$41,IF(G3455&lt;65,'General Basis'!$C$42,'General Basis'!$C$43)))),IF(G3455&lt;11,'General Basis'!$B$39,IF(G3455&lt;18,'General Basis'!$B$40,IF(G3455&lt;26,'General Basis'!$B$41,IF(G3455&lt;31,'General Basis'!$B$42,IF(G3455&lt;36,'General Basis'!$B$43,IF(G3455&lt;41,'General Basis'!$B$44,IF(G3455&lt;46,'General Basis'!$B$45,IF(G3455&lt;51,'General Basis'!$B$46,IF(G3455&lt;56,'General Basis'!$B$47,IF(G3455&lt;60,'General Basis'!$B$48,IF(G3455&lt;65,'General Basis'!$B$49,'General Basis'!$B$50)))))))))))))</f>
        <v/>
      </c>
      <c r="BI3455" s="744" t="str">
        <f t="shared" si="1193"/>
        <v/>
      </c>
      <c r="BJ3455" s="747" t="str">
        <f t="shared" si="1200"/>
        <v/>
      </c>
      <c r="BK3455" s="498" t="str">
        <f t="shared" si="1194"/>
        <v/>
      </c>
      <c r="BL3455" s="498" t="str">
        <f t="shared" si="1195"/>
        <v/>
      </c>
    </row>
    <row r="3456" spans="1:64" x14ac:dyDescent="0.25">
      <c r="A3456" s="762">
        <f t="shared" si="1196"/>
        <v>3451</v>
      </c>
      <c r="B3456" s="229"/>
      <c r="C3456" s="223"/>
      <c r="D3456" s="224"/>
      <c r="E3456" s="225"/>
      <c r="F3456" s="1036" t="str">
        <f t="shared" si="1202"/>
        <v/>
      </c>
      <c r="G3456" s="1037" t="str">
        <f t="shared" si="1197"/>
        <v/>
      </c>
      <c r="H3456" s="225"/>
      <c r="I3456" s="1013"/>
      <c r="J3456" s="1013"/>
      <c r="K3456" s="1028"/>
      <c r="L3456" s="1035" t="str">
        <f t="shared" si="1201"/>
        <v/>
      </c>
      <c r="S3456" s="498"/>
      <c r="AJ3456" s="498"/>
      <c r="AM3456" s="498">
        <f t="shared" si="1182"/>
        <v>0</v>
      </c>
      <c r="AN3456" s="498">
        <f t="shared" si="1183"/>
        <v>0</v>
      </c>
      <c r="AO3456" s="498">
        <f t="shared" si="1184"/>
        <v>0</v>
      </c>
      <c r="AP3456" s="498">
        <f t="shared" si="1203"/>
        <v>0</v>
      </c>
      <c r="AQ3456" s="498">
        <f t="shared" si="1198"/>
        <v>0</v>
      </c>
      <c r="AU3456" s="498">
        <f t="shared" si="1185"/>
        <v>0</v>
      </c>
      <c r="AV3456" s="498">
        <f t="shared" si="1186"/>
        <v>0</v>
      </c>
      <c r="AW3456" s="498">
        <f t="shared" si="1187"/>
        <v>0</v>
      </c>
      <c r="AX3456" s="498">
        <f t="shared" si="1188"/>
        <v>0</v>
      </c>
      <c r="AY3456" s="498">
        <f t="shared" si="1189"/>
        <v>0</v>
      </c>
      <c r="BB3456" s="498" t="str">
        <f t="shared" si="1190"/>
        <v/>
      </c>
      <c r="BC3456" s="743" t="str">
        <f t="shared" si="1191"/>
        <v/>
      </c>
      <c r="BD3456" s="743" t="str">
        <f t="shared" si="1192"/>
        <v/>
      </c>
      <c r="BE3456" s="743" t="str">
        <f>IF(D3456="","",VLOOKUP(D3456,'General Basis'!$J$39:$K$46,2,0))</f>
        <v/>
      </c>
      <c r="BF3456" s="744" t="str">
        <f>IF(D3456="","",VLOOKUP(D3456,'General Basis'!$J$39:$L$46,3,0))</f>
        <v/>
      </c>
      <c r="BG3456" s="744" t="str">
        <f t="shared" si="1199"/>
        <v/>
      </c>
      <c r="BH3456" s="744" t="str">
        <f>IF(G3456="","",IF(BF3456="Abu Dhabi",IF(G3456&lt;18,'General Basis'!$C$39,IF(G3456&lt;41,'General Basis'!$C$40,IF(G3456&lt;60,'General Basis'!$C$41,IF(G3456&lt;65,'General Basis'!$C$42,'General Basis'!$C$43)))),IF(G3456&lt;11,'General Basis'!$B$39,IF(G3456&lt;18,'General Basis'!$B$40,IF(G3456&lt;26,'General Basis'!$B$41,IF(G3456&lt;31,'General Basis'!$B$42,IF(G3456&lt;36,'General Basis'!$B$43,IF(G3456&lt;41,'General Basis'!$B$44,IF(G3456&lt;46,'General Basis'!$B$45,IF(G3456&lt;51,'General Basis'!$B$46,IF(G3456&lt;56,'General Basis'!$B$47,IF(G3456&lt;60,'General Basis'!$B$48,IF(G3456&lt;65,'General Basis'!$B$49,'General Basis'!$B$50)))))))))))))</f>
        <v/>
      </c>
      <c r="BI3456" s="744" t="str">
        <f t="shared" si="1193"/>
        <v/>
      </c>
      <c r="BJ3456" s="747" t="str">
        <f t="shared" si="1200"/>
        <v/>
      </c>
      <c r="BK3456" s="498" t="str">
        <f t="shared" si="1194"/>
        <v/>
      </c>
      <c r="BL3456" s="498" t="str">
        <f t="shared" si="1195"/>
        <v/>
      </c>
    </row>
    <row r="3457" spans="1:64" x14ac:dyDescent="0.25">
      <c r="A3457" s="762">
        <f t="shared" si="1196"/>
        <v>3452</v>
      </c>
      <c r="B3457" s="229"/>
      <c r="C3457" s="223"/>
      <c r="D3457" s="224"/>
      <c r="E3457" s="225"/>
      <c r="F3457" s="1036" t="str">
        <f t="shared" si="1202"/>
        <v/>
      </c>
      <c r="G3457" s="1037" t="str">
        <f t="shared" si="1197"/>
        <v/>
      </c>
      <c r="H3457" s="225"/>
      <c r="I3457" s="1013"/>
      <c r="J3457" s="1013"/>
      <c r="K3457" s="1028"/>
      <c r="L3457" s="1035" t="str">
        <f t="shared" si="1201"/>
        <v/>
      </c>
      <c r="S3457" s="498"/>
      <c r="AJ3457" s="498"/>
      <c r="AM3457" s="498">
        <f t="shared" si="1182"/>
        <v>0</v>
      </c>
      <c r="AN3457" s="498">
        <f t="shared" si="1183"/>
        <v>0</v>
      </c>
      <c r="AO3457" s="498">
        <f t="shared" si="1184"/>
        <v>0</v>
      </c>
      <c r="AP3457" s="498">
        <f t="shared" si="1203"/>
        <v>0</v>
      </c>
      <c r="AQ3457" s="498">
        <f t="shared" si="1198"/>
        <v>0</v>
      </c>
      <c r="AU3457" s="498">
        <f t="shared" si="1185"/>
        <v>0</v>
      </c>
      <c r="AV3457" s="498">
        <f t="shared" si="1186"/>
        <v>0</v>
      </c>
      <c r="AW3457" s="498">
        <f t="shared" si="1187"/>
        <v>0</v>
      </c>
      <c r="AX3457" s="498">
        <f t="shared" si="1188"/>
        <v>0</v>
      </c>
      <c r="AY3457" s="498">
        <f t="shared" si="1189"/>
        <v>0</v>
      </c>
      <c r="BB3457" s="498" t="str">
        <f t="shared" si="1190"/>
        <v/>
      </c>
      <c r="BC3457" s="743" t="str">
        <f t="shared" si="1191"/>
        <v/>
      </c>
      <c r="BD3457" s="743" t="str">
        <f t="shared" si="1192"/>
        <v/>
      </c>
      <c r="BE3457" s="743" t="str">
        <f>IF(D3457="","",VLOOKUP(D3457,'General Basis'!$J$39:$K$46,2,0))</f>
        <v/>
      </c>
      <c r="BF3457" s="744" t="str">
        <f>IF(D3457="","",VLOOKUP(D3457,'General Basis'!$J$39:$L$46,3,0))</f>
        <v/>
      </c>
      <c r="BG3457" s="744" t="str">
        <f t="shared" si="1199"/>
        <v/>
      </c>
      <c r="BH3457" s="744" t="str">
        <f>IF(G3457="","",IF(BF3457="Abu Dhabi",IF(G3457&lt;18,'General Basis'!$C$39,IF(G3457&lt;41,'General Basis'!$C$40,IF(G3457&lt;60,'General Basis'!$C$41,IF(G3457&lt;65,'General Basis'!$C$42,'General Basis'!$C$43)))),IF(G3457&lt;11,'General Basis'!$B$39,IF(G3457&lt;18,'General Basis'!$B$40,IF(G3457&lt;26,'General Basis'!$B$41,IF(G3457&lt;31,'General Basis'!$B$42,IF(G3457&lt;36,'General Basis'!$B$43,IF(G3457&lt;41,'General Basis'!$B$44,IF(G3457&lt;46,'General Basis'!$B$45,IF(G3457&lt;51,'General Basis'!$B$46,IF(G3457&lt;56,'General Basis'!$B$47,IF(G3457&lt;60,'General Basis'!$B$48,IF(G3457&lt;65,'General Basis'!$B$49,'General Basis'!$B$50)))))))))))))</f>
        <v/>
      </c>
      <c r="BI3457" s="744" t="str">
        <f t="shared" si="1193"/>
        <v/>
      </c>
      <c r="BJ3457" s="747" t="str">
        <f t="shared" si="1200"/>
        <v/>
      </c>
      <c r="BK3457" s="498" t="str">
        <f t="shared" si="1194"/>
        <v/>
      </c>
      <c r="BL3457" s="498" t="str">
        <f t="shared" si="1195"/>
        <v/>
      </c>
    </row>
    <row r="3458" spans="1:64" x14ac:dyDescent="0.25">
      <c r="A3458" s="762">
        <f t="shared" si="1196"/>
        <v>3453</v>
      </c>
      <c r="B3458" s="229"/>
      <c r="C3458" s="223"/>
      <c r="D3458" s="224"/>
      <c r="E3458" s="225"/>
      <c r="F3458" s="1036" t="str">
        <f t="shared" si="1202"/>
        <v/>
      </c>
      <c r="G3458" s="1037" t="str">
        <f t="shared" si="1197"/>
        <v/>
      </c>
      <c r="H3458" s="225"/>
      <c r="I3458" s="1013"/>
      <c r="J3458" s="1013"/>
      <c r="K3458" s="1028"/>
      <c r="L3458" s="1035" t="str">
        <f t="shared" si="1201"/>
        <v/>
      </c>
      <c r="S3458" s="498"/>
      <c r="AJ3458" s="498"/>
      <c r="AM3458" s="498">
        <f t="shared" si="1182"/>
        <v>0</v>
      </c>
      <c r="AN3458" s="498">
        <f t="shared" si="1183"/>
        <v>0</v>
      </c>
      <c r="AO3458" s="498">
        <f t="shared" si="1184"/>
        <v>0</v>
      </c>
      <c r="AP3458" s="498">
        <f t="shared" si="1203"/>
        <v>0</v>
      </c>
      <c r="AQ3458" s="498">
        <f t="shared" si="1198"/>
        <v>0</v>
      </c>
      <c r="AU3458" s="498">
        <f t="shared" si="1185"/>
        <v>0</v>
      </c>
      <c r="AV3458" s="498">
        <f t="shared" si="1186"/>
        <v>0</v>
      </c>
      <c r="AW3458" s="498">
        <f t="shared" si="1187"/>
        <v>0</v>
      </c>
      <c r="AX3458" s="498">
        <f t="shared" si="1188"/>
        <v>0</v>
      </c>
      <c r="AY3458" s="498">
        <f t="shared" si="1189"/>
        <v>0</v>
      </c>
      <c r="BB3458" s="498" t="str">
        <f t="shared" si="1190"/>
        <v/>
      </c>
      <c r="BC3458" s="743" t="str">
        <f t="shared" si="1191"/>
        <v/>
      </c>
      <c r="BD3458" s="743" t="str">
        <f t="shared" si="1192"/>
        <v/>
      </c>
      <c r="BE3458" s="743" t="str">
        <f>IF(D3458="","",VLOOKUP(D3458,'General Basis'!$J$39:$K$46,2,0))</f>
        <v/>
      </c>
      <c r="BF3458" s="744" t="str">
        <f>IF(D3458="","",VLOOKUP(D3458,'General Basis'!$J$39:$L$46,3,0))</f>
        <v/>
      </c>
      <c r="BG3458" s="744" t="str">
        <f t="shared" si="1199"/>
        <v/>
      </c>
      <c r="BH3458" s="744" t="str">
        <f>IF(G3458="","",IF(BF3458="Abu Dhabi",IF(G3458&lt;18,'General Basis'!$C$39,IF(G3458&lt;41,'General Basis'!$C$40,IF(G3458&lt;60,'General Basis'!$C$41,IF(G3458&lt;65,'General Basis'!$C$42,'General Basis'!$C$43)))),IF(G3458&lt;11,'General Basis'!$B$39,IF(G3458&lt;18,'General Basis'!$B$40,IF(G3458&lt;26,'General Basis'!$B$41,IF(G3458&lt;31,'General Basis'!$B$42,IF(G3458&lt;36,'General Basis'!$B$43,IF(G3458&lt;41,'General Basis'!$B$44,IF(G3458&lt;46,'General Basis'!$B$45,IF(G3458&lt;51,'General Basis'!$B$46,IF(G3458&lt;56,'General Basis'!$B$47,IF(G3458&lt;60,'General Basis'!$B$48,IF(G3458&lt;65,'General Basis'!$B$49,'General Basis'!$B$50)))))))))))))</f>
        <v/>
      </c>
      <c r="BI3458" s="744" t="str">
        <f t="shared" si="1193"/>
        <v/>
      </c>
      <c r="BJ3458" s="747" t="str">
        <f t="shared" si="1200"/>
        <v/>
      </c>
      <c r="BK3458" s="498" t="str">
        <f t="shared" si="1194"/>
        <v/>
      </c>
      <c r="BL3458" s="498" t="str">
        <f t="shared" si="1195"/>
        <v/>
      </c>
    </row>
    <row r="3459" spans="1:64" x14ac:dyDescent="0.25">
      <c r="A3459" s="762">
        <f t="shared" si="1196"/>
        <v>3454</v>
      </c>
      <c r="B3459" s="229"/>
      <c r="C3459" s="223"/>
      <c r="D3459" s="224"/>
      <c r="E3459" s="225"/>
      <c r="F3459" s="1036" t="str">
        <f t="shared" si="1202"/>
        <v/>
      </c>
      <c r="G3459" s="1037" t="str">
        <f t="shared" si="1197"/>
        <v/>
      </c>
      <c r="H3459" s="225"/>
      <c r="I3459" s="1013"/>
      <c r="J3459" s="1013"/>
      <c r="K3459" s="1028"/>
      <c r="L3459" s="1035" t="str">
        <f t="shared" si="1201"/>
        <v/>
      </c>
      <c r="S3459" s="498"/>
      <c r="AJ3459" s="498"/>
      <c r="AM3459" s="498">
        <f t="shared" si="1182"/>
        <v>0</v>
      </c>
      <c r="AN3459" s="498">
        <f t="shared" si="1183"/>
        <v>0</v>
      </c>
      <c r="AO3459" s="498">
        <f t="shared" si="1184"/>
        <v>0</v>
      </c>
      <c r="AP3459" s="498">
        <f t="shared" si="1203"/>
        <v>0</v>
      </c>
      <c r="AQ3459" s="498">
        <f t="shared" si="1198"/>
        <v>0</v>
      </c>
      <c r="AU3459" s="498">
        <f t="shared" si="1185"/>
        <v>0</v>
      </c>
      <c r="AV3459" s="498">
        <f t="shared" si="1186"/>
        <v>0</v>
      </c>
      <c r="AW3459" s="498">
        <f t="shared" si="1187"/>
        <v>0</v>
      </c>
      <c r="AX3459" s="498">
        <f t="shared" si="1188"/>
        <v>0</v>
      </c>
      <c r="AY3459" s="498">
        <f t="shared" si="1189"/>
        <v>0</v>
      </c>
      <c r="BB3459" s="498" t="str">
        <f t="shared" si="1190"/>
        <v/>
      </c>
      <c r="BC3459" s="743" t="str">
        <f t="shared" si="1191"/>
        <v/>
      </c>
      <c r="BD3459" s="743" t="str">
        <f t="shared" si="1192"/>
        <v/>
      </c>
      <c r="BE3459" s="743" t="str">
        <f>IF(D3459="","",VLOOKUP(D3459,'General Basis'!$J$39:$K$46,2,0))</f>
        <v/>
      </c>
      <c r="BF3459" s="744" t="str">
        <f>IF(D3459="","",VLOOKUP(D3459,'General Basis'!$J$39:$L$46,3,0))</f>
        <v/>
      </c>
      <c r="BG3459" s="744" t="str">
        <f t="shared" si="1199"/>
        <v/>
      </c>
      <c r="BH3459" s="744" t="str">
        <f>IF(G3459="","",IF(BF3459="Abu Dhabi",IF(G3459&lt;18,'General Basis'!$C$39,IF(G3459&lt;41,'General Basis'!$C$40,IF(G3459&lt;60,'General Basis'!$C$41,IF(G3459&lt;65,'General Basis'!$C$42,'General Basis'!$C$43)))),IF(G3459&lt;11,'General Basis'!$B$39,IF(G3459&lt;18,'General Basis'!$B$40,IF(G3459&lt;26,'General Basis'!$B$41,IF(G3459&lt;31,'General Basis'!$B$42,IF(G3459&lt;36,'General Basis'!$B$43,IF(G3459&lt;41,'General Basis'!$B$44,IF(G3459&lt;46,'General Basis'!$B$45,IF(G3459&lt;51,'General Basis'!$B$46,IF(G3459&lt;56,'General Basis'!$B$47,IF(G3459&lt;60,'General Basis'!$B$48,IF(G3459&lt;65,'General Basis'!$B$49,'General Basis'!$B$50)))))))))))))</f>
        <v/>
      </c>
      <c r="BI3459" s="744" t="str">
        <f t="shared" si="1193"/>
        <v/>
      </c>
      <c r="BJ3459" s="747" t="str">
        <f t="shared" si="1200"/>
        <v/>
      </c>
      <c r="BK3459" s="498" t="str">
        <f t="shared" si="1194"/>
        <v/>
      </c>
      <c r="BL3459" s="498" t="str">
        <f t="shared" si="1195"/>
        <v/>
      </c>
    </row>
    <row r="3460" spans="1:64" x14ac:dyDescent="0.25">
      <c r="A3460" s="762">
        <f t="shared" si="1196"/>
        <v>3455</v>
      </c>
      <c r="B3460" s="229"/>
      <c r="C3460" s="223"/>
      <c r="D3460" s="224"/>
      <c r="E3460" s="225"/>
      <c r="F3460" s="1036" t="str">
        <f t="shared" si="1202"/>
        <v/>
      </c>
      <c r="G3460" s="1037" t="str">
        <f t="shared" si="1197"/>
        <v/>
      </c>
      <c r="H3460" s="225"/>
      <c r="I3460" s="1013"/>
      <c r="J3460" s="1013"/>
      <c r="K3460" s="1028"/>
      <c r="L3460" s="1035" t="str">
        <f t="shared" si="1201"/>
        <v/>
      </c>
      <c r="S3460" s="498"/>
      <c r="AJ3460" s="498"/>
      <c r="AM3460" s="498">
        <f t="shared" si="1182"/>
        <v>0</v>
      </c>
      <c r="AN3460" s="498">
        <f t="shared" si="1183"/>
        <v>0</v>
      </c>
      <c r="AO3460" s="498">
        <f t="shared" si="1184"/>
        <v>0</v>
      </c>
      <c r="AP3460" s="498">
        <f t="shared" si="1203"/>
        <v>0</v>
      </c>
      <c r="AQ3460" s="498">
        <f t="shared" si="1198"/>
        <v>0</v>
      </c>
      <c r="AU3460" s="498">
        <f t="shared" si="1185"/>
        <v>0</v>
      </c>
      <c r="AV3460" s="498">
        <f t="shared" si="1186"/>
        <v>0</v>
      </c>
      <c r="AW3460" s="498">
        <f t="shared" si="1187"/>
        <v>0</v>
      </c>
      <c r="AX3460" s="498">
        <f t="shared" si="1188"/>
        <v>0</v>
      </c>
      <c r="AY3460" s="498">
        <f t="shared" si="1189"/>
        <v>0</v>
      </c>
      <c r="BB3460" s="498" t="str">
        <f t="shared" si="1190"/>
        <v/>
      </c>
      <c r="BC3460" s="743" t="str">
        <f t="shared" si="1191"/>
        <v/>
      </c>
      <c r="BD3460" s="743" t="str">
        <f t="shared" si="1192"/>
        <v/>
      </c>
      <c r="BE3460" s="743" t="str">
        <f>IF(D3460="","",VLOOKUP(D3460,'General Basis'!$J$39:$K$46,2,0))</f>
        <v/>
      </c>
      <c r="BF3460" s="744" t="str">
        <f>IF(D3460="","",VLOOKUP(D3460,'General Basis'!$J$39:$L$46,3,0))</f>
        <v/>
      </c>
      <c r="BG3460" s="744" t="str">
        <f t="shared" si="1199"/>
        <v/>
      </c>
      <c r="BH3460" s="744" t="str">
        <f>IF(G3460="","",IF(BF3460="Abu Dhabi",IF(G3460&lt;18,'General Basis'!$C$39,IF(G3460&lt;41,'General Basis'!$C$40,IF(G3460&lt;60,'General Basis'!$C$41,IF(G3460&lt;65,'General Basis'!$C$42,'General Basis'!$C$43)))),IF(G3460&lt;11,'General Basis'!$B$39,IF(G3460&lt;18,'General Basis'!$B$40,IF(G3460&lt;26,'General Basis'!$B$41,IF(G3460&lt;31,'General Basis'!$B$42,IF(G3460&lt;36,'General Basis'!$B$43,IF(G3460&lt;41,'General Basis'!$B$44,IF(G3460&lt;46,'General Basis'!$B$45,IF(G3460&lt;51,'General Basis'!$B$46,IF(G3460&lt;56,'General Basis'!$B$47,IF(G3460&lt;60,'General Basis'!$B$48,IF(G3460&lt;65,'General Basis'!$B$49,'General Basis'!$B$50)))))))))))))</f>
        <v/>
      </c>
      <c r="BI3460" s="744" t="str">
        <f t="shared" si="1193"/>
        <v/>
      </c>
      <c r="BJ3460" s="747" t="str">
        <f t="shared" si="1200"/>
        <v/>
      </c>
      <c r="BK3460" s="498" t="str">
        <f t="shared" si="1194"/>
        <v/>
      </c>
      <c r="BL3460" s="498" t="str">
        <f t="shared" si="1195"/>
        <v/>
      </c>
    </row>
    <row r="3461" spans="1:64" x14ac:dyDescent="0.25">
      <c r="A3461" s="762">
        <f t="shared" si="1196"/>
        <v>3456</v>
      </c>
      <c r="B3461" s="229"/>
      <c r="C3461" s="223"/>
      <c r="D3461" s="224"/>
      <c r="E3461" s="225"/>
      <c r="F3461" s="1036" t="str">
        <f t="shared" si="1202"/>
        <v/>
      </c>
      <c r="G3461" s="1037" t="str">
        <f t="shared" si="1197"/>
        <v/>
      </c>
      <c r="H3461" s="225"/>
      <c r="I3461" s="1013"/>
      <c r="J3461" s="1013"/>
      <c r="K3461" s="1028"/>
      <c r="L3461" s="1035" t="str">
        <f t="shared" si="1201"/>
        <v/>
      </c>
      <c r="S3461" s="498"/>
      <c r="AJ3461" s="498"/>
      <c r="AM3461" s="498">
        <f t="shared" si="1182"/>
        <v>0</v>
      </c>
      <c r="AN3461" s="498">
        <f t="shared" si="1183"/>
        <v>0</v>
      </c>
      <c r="AO3461" s="498">
        <f t="shared" si="1184"/>
        <v>0</v>
      </c>
      <c r="AP3461" s="498">
        <f t="shared" si="1203"/>
        <v>0</v>
      </c>
      <c r="AQ3461" s="498">
        <f t="shared" si="1198"/>
        <v>0</v>
      </c>
      <c r="AU3461" s="498">
        <f t="shared" si="1185"/>
        <v>0</v>
      </c>
      <c r="AV3461" s="498">
        <f t="shared" si="1186"/>
        <v>0</v>
      </c>
      <c r="AW3461" s="498">
        <f t="shared" si="1187"/>
        <v>0</v>
      </c>
      <c r="AX3461" s="498">
        <f t="shared" si="1188"/>
        <v>0</v>
      </c>
      <c r="AY3461" s="498">
        <f t="shared" si="1189"/>
        <v>0</v>
      </c>
      <c r="BB3461" s="498" t="str">
        <f t="shared" si="1190"/>
        <v/>
      </c>
      <c r="BC3461" s="743" t="str">
        <f t="shared" si="1191"/>
        <v/>
      </c>
      <c r="BD3461" s="743" t="str">
        <f t="shared" si="1192"/>
        <v/>
      </c>
      <c r="BE3461" s="743" t="str">
        <f>IF(D3461="","",VLOOKUP(D3461,'General Basis'!$J$39:$K$46,2,0))</f>
        <v/>
      </c>
      <c r="BF3461" s="744" t="str">
        <f>IF(D3461="","",VLOOKUP(D3461,'General Basis'!$J$39:$L$46,3,0))</f>
        <v/>
      </c>
      <c r="BG3461" s="744" t="str">
        <f t="shared" si="1199"/>
        <v/>
      </c>
      <c r="BH3461" s="744" t="str">
        <f>IF(G3461="","",IF(BF3461="Abu Dhabi",IF(G3461&lt;18,'General Basis'!$C$39,IF(G3461&lt;41,'General Basis'!$C$40,IF(G3461&lt;60,'General Basis'!$C$41,IF(G3461&lt;65,'General Basis'!$C$42,'General Basis'!$C$43)))),IF(G3461&lt;11,'General Basis'!$B$39,IF(G3461&lt;18,'General Basis'!$B$40,IF(G3461&lt;26,'General Basis'!$B$41,IF(G3461&lt;31,'General Basis'!$B$42,IF(G3461&lt;36,'General Basis'!$B$43,IF(G3461&lt;41,'General Basis'!$B$44,IF(G3461&lt;46,'General Basis'!$B$45,IF(G3461&lt;51,'General Basis'!$B$46,IF(G3461&lt;56,'General Basis'!$B$47,IF(G3461&lt;60,'General Basis'!$B$48,IF(G3461&lt;65,'General Basis'!$B$49,'General Basis'!$B$50)))))))))))))</f>
        <v/>
      </c>
      <c r="BI3461" s="744" t="str">
        <f t="shared" si="1193"/>
        <v/>
      </c>
      <c r="BJ3461" s="747" t="str">
        <f t="shared" si="1200"/>
        <v/>
      </c>
      <c r="BK3461" s="498" t="str">
        <f t="shared" si="1194"/>
        <v/>
      </c>
      <c r="BL3461" s="498" t="str">
        <f t="shared" si="1195"/>
        <v/>
      </c>
    </row>
    <row r="3462" spans="1:64" x14ac:dyDescent="0.25">
      <c r="A3462" s="762">
        <f t="shared" si="1196"/>
        <v>3457</v>
      </c>
      <c r="B3462" s="229"/>
      <c r="C3462" s="223"/>
      <c r="D3462" s="224"/>
      <c r="E3462" s="225"/>
      <c r="F3462" s="1036" t="str">
        <f t="shared" si="1202"/>
        <v/>
      </c>
      <c r="G3462" s="1037" t="str">
        <f t="shared" si="1197"/>
        <v/>
      </c>
      <c r="H3462" s="225"/>
      <c r="I3462" s="1013"/>
      <c r="J3462" s="1013"/>
      <c r="K3462" s="1028"/>
      <c r="L3462" s="1035" t="str">
        <f t="shared" si="1201"/>
        <v/>
      </c>
      <c r="S3462" s="498"/>
      <c r="AJ3462" s="498"/>
      <c r="AM3462" s="498">
        <f t="shared" ref="AM3462:AM3525" si="1204">IF(ISTEXT(B3462),1,0)</f>
        <v>0</v>
      </c>
      <c r="AN3462" s="498">
        <f t="shared" ref="AN3462:AN3525" si="1205">IF(ISBLANK(B3462),0,IF(B3462&lt;$AK$6,1,0))</f>
        <v>0</v>
      </c>
      <c r="AO3462" s="498">
        <f t="shared" ref="AO3462:AO3525" si="1206">IF(ISBLANK(B3462),0,IF(B3462&gt;$AK$7,1,0))</f>
        <v>0</v>
      </c>
      <c r="AP3462" s="498">
        <f t="shared" si="1203"/>
        <v>0</v>
      </c>
      <c r="AQ3462" s="498">
        <f t="shared" si="1198"/>
        <v>0</v>
      </c>
      <c r="AU3462" s="498">
        <f t="shared" ref="AU3462:AU3525" si="1207">IF(ISBLANK(B3462),0,1)</f>
        <v>0</v>
      </c>
      <c r="AV3462" s="498">
        <f t="shared" ref="AV3462:AV3525" si="1208">IF(ISBLANK(C3462),0,1)</f>
        <v>0</v>
      </c>
      <c r="AW3462" s="498">
        <f t="shared" ref="AW3462:AW3525" si="1209">IF(ISBLANK(D3462),0,1)</f>
        <v>0</v>
      </c>
      <c r="AX3462" s="498">
        <f t="shared" ref="AX3462:AX3525" si="1210">IF(ISBLANK(E3462),0,1)</f>
        <v>0</v>
      </c>
      <c r="AY3462" s="498">
        <f t="shared" ref="AY3462:AY3525" si="1211">IF(ISBLANK(H3462),0,1)</f>
        <v>0</v>
      </c>
      <c r="BB3462" s="498" t="str">
        <f t="shared" ref="BB3462:BB3525" si="1212">IF(E3462="Principal","Principal",IF(E3462="","","Other"))</f>
        <v/>
      </c>
      <c r="BC3462" s="743" t="str">
        <f t="shared" ref="BC3462:BC3525" si="1213">IF(D3462="","",D3462)</f>
        <v/>
      </c>
      <c r="BD3462" s="743" t="str">
        <f t="shared" ref="BD3462:BD3525" si="1214">IF(E3462="Principal","Employee",IF(E3462="","","Dependent"))</f>
        <v/>
      </c>
      <c r="BE3462" s="743" t="str">
        <f>IF(D3462="","",VLOOKUP(D3462,'General Basis'!$J$39:$K$46,2,0))</f>
        <v/>
      </c>
      <c r="BF3462" s="744" t="str">
        <f>IF(D3462="","",VLOOKUP(D3462,'General Basis'!$J$39:$L$46,3,0))</f>
        <v/>
      </c>
      <c r="BG3462" s="744" t="str">
        <f t="shared" si="1199"/>
        <v/>
      </c>
      <c r="BH3462" s="744" t="str">
        <f>IF(G3462="","",IF(BF3462="Abu Dhabi",IF(G3462&lt;18,'General Basis'!$C$39,IF(G3462&lt;41,'General Basis'!$C$40,IF(G3462&lt;60,'General Basis'!$C$41,IF(G3462&lt;65,'General Basis'!$C$42,'General Basis'!$C$43)))),IF(G3462&lt;11,'General Basis'!$B$39,IF(G3462&lt;18,'General Basis'!$B$40,IF(G3462&lt;26,'General Basis'!$B$41,IF(G3462&lt;31,'General Basis'!$B$42,IF(G3462&lt;36,'General Basis'!$B$43,IF(G3462&lt;41,'General Basis'!$B$44,IF(G3462&lt;46,'General Basis'!$B$45,IF(G3462&lt;51,'General Basis'!$B$46,IF(G3462&lt;56,'General Basis'!$B$47,IF(G3462&lt;60,'General Basis'!$B$48,IF(G3462&lt;65,'General Basis'!$B$49,'General Basis'!$B$50)))))))))))))</f>
        <v/>
      </c>
      <c r="BI3462" s="744" t="str">
        <f t="shared" ref="BI3462:BI3525" si="1215">IF(C3462="","",IF(C3462="M","Male","Female"))</f>
        <v/>
      </c>
      <c r="BJ3462" s="747" t="str">
        <f t="shared" si="1200"/>
        <v/>
      </c>
      <c r="BK3462" s="498" t="str">
        <f t="shared" ref="BK3462:BK3525" si="1216">IF(BD3462="","",IF(AND(BD3462="Employee",BI3462="Male",BF3462="Abu Dhabi",BE3462=GN_Plus),VLOOKUP(BH3462,AUH_MALE_EMP,2,0),IF(AND(BD3462="Employee",BI3462="Male",BF3462="Abu Dhabi",BE3462=GN),VLOOKUP(BH3462,AUH_MALE_EMP,3,0),IF(AND(BD3462="Employee",BI3462="Male",BF3462="Abu Dhabi",BE3462=RN_Plus),VLOOKUP(BH3462,AUH_MALE_EMP,4,0),IF(AND(BD3462="Employee",BI3462="Male",BF3462="Abu Dhabi",BE3462=RN),VLOOKUP(BH3462,AUH_MALE_EMP,5,0),IF(AND(BD3462="Employee",BI3462="Male",BF3462="Abu Dhabi",BE3462=RN_2),VLOOKUP(BH3462,AUH_MALE_EMP,6,0),IF(AND(BD3462="Employee",BI3462="Male",BF3462="Abu Dhabi",BE3462=RN2_minus),VLOOKUP(BH3462,AUH_MALE_EMP,7,0),IF(AND(BD3462="Employee",BI3462="Male",BF3462="Abu Dhabi",BE3462=RN_3),VLOOKUP(BH3462,AUH_MALE_EMP,8,0),IF(AND(BD3462="Employee",BI3462="Male",BF3462="Abu Dhabi",BE3462=VN),VLOOKUP(BH3462,AUH_MALE_EMP,9,0),IF(BD3462="","",IF(AND(BD3462="Employee",BI3462="Female",BF3462="Abu Dhabi",BE3462=GN_Plus),VLOOKUP(BH3462,AUH_FEMALE_EMP,2,0),IF(AND(BD3462="Employee",BI3462="Female",BF3462="Abu Dhabi",BE3462=GN),VLOOKUP(BH3462,AUH_FEMALE_EMP,3,0),IF(AND(BD3462="Employee",BI3462="Female",BF3462="Abu Dhabi",BE3462=RN_Plus),VLOOKUP(BH3462,AUH_FEMALE_EMP,4,0),IF(AND(BD3462="Employee",BI3462="Female",BF3462="Abu Dhabi",BE3462=RN),VLOOKUP(BH3462,AUH_FEMALE_EMP,5,0),IF(AND(BD3462="Employee",BI3462="Female",BF3462="Abu Dhabi",BE3462=RN_2),VLOOKUP(BH3462,AUH_FEMALE_EMP,6,0),IF(AND(BD3462="Employee",BI3462="Female",BF3462="Abu Dhabi",BE3462=RN2_minus),VLOOKUP(BH3462,AUH_FEMALE_EMP,7,0),IF(AND(BD3462="Employee",BI3462="Female",BF3462="Abu Dhabi",BE3462=RN_3),VLOOKUP(BH3462,AUH_FEMALE_EMP,8,0),IF(AND(BD3462="Employee",BI3462="Female",BF3462="Abu Dhabi",BE3462=VN),VLOOKUP(BH3462,AUH_FEMALE_EMP,9,0),IF(BD3462="","",IF(AND(BD3462="Dependent",BI3462="Male",BF3462="Abu Dhabi",BE3462=GN_Plus),VLOOKUP(BH3462,AUH_MALE_DEP,2,0),IF(AND(BD3462="Dependent",BI3462="Male",BF3462="Abu Dhabi",BE3462=GN),VLOOKUP(BH3462,AUH_MALE_DEP,3,0),IF(AND(BD3462="Dependent",BI3462="Male",BF3462="Abu Dhabi",BE3462=RN_Plus),VLOOKUP(BH3462,AUH_MALE_DEP,4,0),IF(AND(BD3462="Dependent",BI3462="Male",BF3462="Abu Dhabi",BE3462=RN),VLOOKUP(BH3462,AUH_MALE_DEP,5,0),IF(AND(BD3462="Dependent",BI3462="Male",BF3462="Abu Dhabi",BE3462=RN_2),VLOOKUP(BH3462,AUH_MALE_DEP,6,0),IF(AND(BD3462="Dependent",BI3462="Male",BF3462="Abu Dhabi",BE3462=RN2_minus),VLOOKUP(BH3462,AUH_MALE_DEP,7,0),IF(AND(BD3462="Dependent",BI3462="Male",BF3462="Abu Dhabi",BE3462=RN_3),VLOOKUP(BH3462,AUH_MALE_DEP,8,0),IF(AND(BD3462="Dependent",BI3462="Male",BF3462="Abu Dhabi",BE3462=VN),VLOOKUP(BH3462,AUH_MALE_DEP,9,0),IF(BD3462="","",IF(AND(BD3462="Dependent",BI3462="Female",BF3462="Abu Dhabi",BE3462=GN_Plus),VLOOKUP(BH3462,AUH_FEMALE_DEP,2,0),IF(AND(BD3462="Dependent",BI3462="Female",BF3462="Abu Dhabi",BE3462=GN),VLOOKUP(BH3462,AUH_FEMALE_DEP,3,0),IF(AND(BD3462="Dependent",BI3462="Female",BF3462="Abu Dhabi",BE3462=RN_Plus),VLOOKUP(BH3462,AUH_FEMALE_DEP,4,0),IF(AND(BD3462="Dependent",BI3462="Female",BF3462="Abu Dhabi",BE3462=RN),VLOOKUP(BH3462,AUH_FEMALE_DEP,5,0),IF(AND(BD3462="Dependent",BI3462="Female",BF3462="Abu Dhabi",BE3462=RN_2),VLOOKUP(BH3462,AUH_FEMALE_DEP,6,0),IF(AND(BD3462="Dependent",BI3462="Female",BF3462="Abu Dhabi",BE3462=RN2_minus),VLOOKUP(BH3462,AUH_FEMALE_DEP,7,0),IF(AND(BD3462="Dependent",BI3462="Female",BF3462="Abu Dhabi",BE3462=RN_3),VLOOKUP(BH3462,AUH_FEMALE_DEP,8,0),IF(AND(BD3462="Dependent",BI3462="Female",BF3462="Abu Dhabi",BE3462=VN),VLOOKUP(BH3462,AUH_FEMALE_DEP,9,0),"ABC"))))))))))))))))))))))))))))))))))))</f>
        <v/>
      </c>
      <c r="BL3462" s="498" t="str">
        <f t="shared" ref="BL3462:BL3525" si="1217">IF(BD3462="","",IF(AND(BD3462="Employee",BI3462="Male",BF3462="Dubai",BE3462=GN_Plus),VLOOKUP(BH3462,DXB_MALE_EMP,2,0),IF(AND(BD3462="Employee",BI3462="Male",BF3462="Dubai",BE3462=GN),VLOOKUP(BH3462,DXB_MALE_EMP,3,0),IF(AND(BD3462="Employee",BI3462="Male",BF3462="Dubai",BE3462=RN_Plus),VLOOKUP(BH3462,DXB_MALE_EMP,4,0),IF(AND(BD3462="Employee",BI3462="Male",BF3462="Dubai",BE3462=RN),VLOOKUP(BH3462,DXB_MALE_EMP,5,0),IF(AND(BD3462="Employee",BI3462="Male",BF3462="Dubai",BE3462=RN_2),VLOOKUP(BH3462,DXB_MALE_EMP,6,0),IF(AND(BD3462="Employee",BI3462="Male",BF3462="Dubai",BE3462=RN2_minus),VLOOKUP(BH3462,DXB_MALE_EMP,7,0),IF(AND(BD3462="Employee",BI3462="Male",BF3462="Dubai",BE3462=RN_3),VLOOKUP(BH3462,DXB_MALE_EMP,8,0),IF(AND(BD3462="Employee",BI3462="Male",BF3462="Dubai",BE3462=VN),VLOOKUP(BH3462,DXB_MALE_EMP,9,0),IF(BD3462="","",IF(AND(BD3462="Employee",BI3462="Female",BF3462="Dubai",BE3462=GN_Plus),VLOOKUP(BH3462,DXB_FEMALE_EMP,2,0),IF(AND(BD3462="Employee",BI3462="Female",BF3462="Dubai",BE3462=GN),VLOOKUP(BH3462,DXB_FEMALE_EMP,3,0),IF(AND(BD3462="Employee",BI3462="Female",BF3462="Dubai",BE3462=RN_Plus),VLOOKUP(BH3462,DXB_FEMALE_EMP,4,0),IF(AND(BD3462="Employee",BI3462="Female",BF3462="Dubai",BE3462=RN),VLOOKUP(BH3462,DXB_FEMALE_EMP,5,0),IF(AND(BD3462="Employee",BI3462="Female",BF3462="Dubai",BE3462=RN_2),VLOOKUP(BH3462,DXB_FEMALE_EMP,6,0),IF(AND(BD3462="Employee",BI3462="Female",BF3462="Dubai",BE3462=RN2_minus),VLOOKUP(BH3462,DXB_FEMALE_EMP,7,0),IF(AND(BD3462="Employee",BI3462="Female",BF3462="Dubai",BE3462=RN_3),VLOOKUP(BH3462,DXB_FEMALE_EMP,8,0),IF(AND(BD3462="Employee",BI3462="Female",BF3462="Dubai",BE3462=VN),VLOOKUP(BH3462,DXB_FEMALE_EMP,9,0),IF(BD3462="","",IF(AND(BD3462="Dependent",BI3462="Male",BF3462="Dubai",BE3462=GN_Plus),VLOOKUP(BH3462,DXB_MALE_DEP,2,0),IF(AND(BD3462="Dependent",BI3462="Male",BF3462="Dubai",BE3462=GN),VLOOKUP(BH3462,DXB_MALE_DEP,3,0),IF(AND(BD3462="Dependent",BI3462="Male",BF3462="Dubai",BE3462=RN_Plus),VLOOKUP(BH3462,DXB_MALE_DEP,4,0),IF(AND(BD3462="Dependent",BI3462="Male",BF3462="Dubai",BE3462=RN),VLOOKUP(BH3462,DXB_MALE_DEP,5,0),IF(AND(BD3462="Dependent",BI3462="Male",BF3462="Dubai",BE3462=RN_2),VLOOKUP(BH3462,DXB_MALE_DEP,6,0),IF(AND(BD3462="Dependent",BI3462="Male",BF3462="Dubai",BE3462=RN2_minus),VLOOKUP(BH3462,DXB_MALE_DEP,7,0),IF(AND(BD3462="Dependent",BI3462="Male",BF3462="Dubai",BE3462=RN_3),VLOOKUP(BH3462,DXB_MALE_DEP,8,0),IF(AND(BD3462="Dependent",BI3462="Male",BF3462="Dubai",BE3462=VN),VLOOKUP(BH3462,DXB_MALE_DEP,9,0),IF(BD3462="","",IF(AND(BD3462="Dependent",BI3462="Female",BF3462="Dubai",BE3462=GN_Plus),VLOOKUP(BH3462,DXB_FEMALE_DEP,2,0),IF(AND(BD3462="Dependent",BI3462="Female",BF3462="Dubai",BE3462=GN),VLOOKUP(BH3462,DXB_FEMALE_DEP,3,0),IF(AND(BD3462="Dependent",BI3462="Female",BF3462="Dubai",BE3462=RN_Plus),VLOOKUP(BH3462,DXB_FEMALE_DEP,4,0),IF(AND(BD3462="Dependent",BI3462="Female",BF3462="Dubai",BE3462=RN),VLOOKUP(BH3462,DXB_FEMALE_DEP,5,0),IF(AND(BD3462="Dependent",BI3462="Female",BF3462="Dubai",BE3462=RN_2),VLOOKUP(BH3462,DXB_FEMALE_DEP,6,0),IF(AND(BD3462="Dependent",BI3462="Female",BF3462="Dubai",BE3462=RN2_minus),VLOOKUP(BH3462,DXB_FEMALE_DEP,7,0),IF(AND(BD3462="Dependent",BI3462="Female",BF3462="Dubai",BE3462=RN_3),VLOOKUP(BH3462,DXB_FEMALE_DEP,8,0),IF(AND(BD3462="Dependent",BI3462="Female",BF3462="Dubai",BE3462=VN),VLOOKUP(BH3462,DXB_FEMALE_DEP,9,0),"ABC"))))))))))))))))))))))))))))))))))))</f>
        <v/>
      </c>
    </row>
    <row r="3463" spans="1:64" x14ac:dyDescent="0.25">
      <c r="A3463" s="762">
        <f t="shared" ref="A3463:A3526" si="1218">+A3462+1</f>
        <v>3458</v>
      </c>
      <c r="B3463" s="229"/>
      <c r="C3463" s="223"/>
      <c r="D3463" s="224"/>
      <c r="E3463" s="225"/>
      <c r="F3463" s="1036" t="str">
        <f t="shared" si="1202"/>
        <v/>
      </c>
      <c r="G3463" s="1037" t="str">
        <f t="shared" ref="G3463:G3526" si="1219">IF(D3463="","",MAX(0,ROUNDUP(F3463,0)))</f>
        <v/>
      </c>
      <c r="H3463" s="225"/>
      <c r="I3463" s="1013"/>
      <c r="J3463" s="1013"/>
      <c r="K3463" s="1028"/>
      <c r="L3463" s="1035" t="str">
        <f t="shared" si="1201"/>
        <v/>
      </c>
      <c r="S3463" s="498"/>
      <c r="AJ3463" s="498"/>
      <c r="AM3463" s="498">
        <f t="shared" si="1204"/>
        <v>0</v>
      </c>
      <c r="AN3463" s="498">
        <f t="shared" si="1205"/>
        <v>0</v>
      </c>
      <c r="AO3463" s="498">
        <f t="shared" si="1206"/>
        <v>0</v>
      </c>
      <c r="AP3463" s="498">
        <f t="shared" si="1203"/>
        <v>0</v>
      </c>
      <c r="AQ3463" s="498">
        <f t="shared" ref="AQ3463:AQ3526" si="1220">IF(ISBLANK($B3463),0,IF(OR($H3463="Single",$H3463="Married"),0,1))</f>
        <v>0</v>
      </c>
      <c r="AU3463" s="498">
        <f t="shared" si="1207"/>
        <v>0</v>
      </c>
      <c r="AV3463" s="498">
        <f t="shared" si="1208"/>
        <v>0</v>
      </c>
      <c r="AW3463" s="498">
        <f t="shared" si="1209"/>
        <v>0</v>
      </c>
      <c r="AX3463" s="498">
        <f t="shared" si="1210"/>
        <v>0</v>
      </c>
      <c r="AY3463" s="498">
        <f t="shared" si="1211"/>
        <v>0</v>
      </c>
      <c r="BB3463" s="498" t="str">
        <f t="shared" si="1212"/>
        <v/>
      </c>
      <c r="BC3463" s="743" t="str">
        <f t="shared" si="1213"/>
        <v/>
      </c>
      <c r="BD3463" s="743" t="str">
        <f t="shared" si="1214"/>
        <v/>
      </c>
      <c r="BE3463" s="743" t="str">
        <f>IF(D3463="","",VLOOKUP(D3463,'General Basis'!$J$39:$K$46,2,0))</f>
        <v/>
      </c>
      <c r="BF3463" s="744" t="str">
        <f>IF(D3463="","",VLOOKUP(D3463,'General Basis'!$J$39:$L$46,3,0))</f>
        <v/>
      </c>
      <c r="BG3463" s="744" t="str">
        <f t="shared" ref="BG3463:BG3526" si="1221">BC3463&amp;BI3463</f>
        <v/>
      </c>
      <c r="BH3463" s="744" t="str">
        <f>IF(G3463="","",IF(BF3463="Abu Dhabi",IF(G3463&lt;18,'General Basis'!$C$39,IF(G3463&lt;41,'General Basis'!$C$40,IF(G3463&lt;60,'General Basis'!$C$41,IF(G3463&lt;65,'General Basis'!$C$42,'General Basis'!$C$43)))),IF(G3463&lt;11,'General Basis'!$B$39,IF(G3463&lt;18,'General Basis'!$B$40,IF(G3463&lt;26,'General Basis'!$B$41,IF(G3463&lt;31,'General Basis'!$B$42,IF(G3463&lt;36,'General Basis'!$B$43,IF(G3463&lt;41,'General Basis'!$B$44,IF(G3463&lt;46,'General Basis'!$B$45,IF(G3463&lt;51,'General Basis'!$B$46,IF(G3463&lt;56,'General Basis'!$B$47,IF(G3463&lt;60,'General Basis'!$B$48,IF(G3463&lt;65,'General Basis'!$B$49,'General Basis'!$B$50)))))))))))))</f>
        <v/>
      </c>
      <c r="BI3463" s="744" t="str">
        <f t="shared" si="1215"/>
        <v/>
      </c>
      <c r="BJ3463" s="747" t="str">
        <f t="shared" ref="BJ3463:BJ3526" si="1222">IF(BD3463="","",IF(BF3463="Abu Dhabi",BK3463,BL3463))</f>
        <v/>
      </c>
      <c r="BK3463" s="498" t="str">
        <f t="shared" si="1216"/>
        <v/>
      </c>
      <c r="BL3463" s="498" t="str">
        <f t="shared" si="1217"/>
        <v/>
      </c>
    </row>
    <row r="3464" spans="1:64" x14ac:dyDescent="0.25">
      <c r="A3464" s="762">
        <f t="shared" si="1218"/>
        <v>3459</v>
      </c>
      <c r="B3464" s="229"/>
      <c r="C3464" s="223"/>
      <c r="D3464" s="224"/>
      <c r="E3464" s="225"/>
      <c r="F3464" s="1036" t="str">
        <f t="shared" si="1202"/>
        <v/>
      </c>
      <c r="G3464" s="1037" t="str">
        <f t="shared" si="1219"/>
        <v/>
      </c>
      <c r="H3464" s="225"/>
      <c r="I3464" s="1013"/>
      <c r="J3464" s="1013"/>
      <c r="K3464" s="1028"/>
      <c r="L3464" s="1035" t="str">
        <f t="shared" ref="L3464:L3527" si="1223">IF(AND(E3464="Child",H3464="Married"),"Check the Marital Status of the Child. ",IF(AND(E3464="Child",F3464&gt;18),"Child Age exceed 18 years. ",IF(AND(E3464="Spouse",H3464="Single"),"Spouse is selected as Single. ","")))&amp;IF(K3464&gt;0,"UW Loading has been Applied","")</f>
        <v/>
      </c>
      <c r="S3464" s="498"/>
      <c r="AJ3464" s="498"/>
      <c r="AM3464" s="498">
        <f t="shared" si="1204"/>
        <v>0</v>
      </c>
      <c r="AN3464" s="498">
        <f t="shared" si="1205"/>
        <v>0</v>
      </c>
      <c r="AO3464" s="498">
        <f t="shared" si="1206"/>
        <v>0</v>
      </c>
      <c r="AP3464" s="498">
        <f t="shared" si="1203"/>
        <v>0</v>
      </c>
      <c r="AQ3464" s="498">
        <f t="shared" si="1220"/>
        <v>0</v>
      </c>
      <c r="AU3464" s="498">
        <f t="shared" si="1207"/>
        <v>0</v>
      </c>
      <c r="AV3464" s="498">
        <f t="shared" si="1208"/>
        <v>0</v>
      </c>
      <c r="AW3464" s="498">
        <f t="shared" si="1209"/>
        <v>0</v>
      </c>
      <c r="AX3464" s="498">
        <f t="shared" si="1210"/>
        <v>0</v>
      </c>
      <c r="AY3464" s="498">
        <f t="shared" si="1211"/>
        <v>0</v>
      </c>
      <c r="BB3464" s="498" t="str">
        <f t="shared" si="1212"/>
        <v/>
      </c>
      <c r="BC3464" s="743" t="str">
        <f t="shared" si="1213"/>
        <v/>
      </c>
      <c r="BD3464" s="743" t="str">
        <f t="shared" si="1214"/>
        <v/>
      </c>
      <c r="BE3464" s="743" t="str">
        <f>IF(D3464="","",VLOOKUP(D3464,'General Basis'!$J$39:$K$46,2,0))</f>
        <v/>
      </c>
      <c r="BF3464" s="744" t="str">
        <f>IF(D3464="","",VLOOKUP(D3464,'General Basis'!$J$39:$L$46,3,0))</f>
        <v/>
      </c>
      <c r="BG3464" s="744" t="str">
        <f t="shared" si="1221"/>
        <v/>
      </c>
      <c r="BH3464" s="744" t="str">
        <f>IF(G3464="","",IF(BF3464="Abu Dhabi",IF(G3464&lt;18,'General Basis'!$C$39,IF(G3464&lt;41,'General Basis'!$C$40,IF(G3464&lt;60,'General Basis'!$C$41,IF(G3464&lt;65,'General Basis'!$C$42,'General Basis'!$C$43)))),IF(G3464&lt;11,'General Basis'!$B$39,IF(G3464&lt;18,'General Basis'!$B$40,IF(G3464&lt;26,'General Basis'!$B$41,IF(G3464&lt;31,'General Basis'!$B$42,IF(G3464&lt;36,'General Basis'!$B$43,IF(G3464&lt;41,'General Basis'!$B$44,IF(G3464&lt;46,'General Basis'!$B$45,IF(G3464&lt;51,'General Basis'!$B$46,IF(G3464&lt;56,'General Basis'!$B$47,IF(G3464&lt;60,'General Basis'!$B$48,IF(G3464&lt;65,'General Basis'!$B$49,'General Basis'!$B$50)))))))))))))</f>
        <v/>
      </c>
      <c r="BI3464" s="744" t="str">
        <f t="shared" si="1215"/>
        <v/>
      </c>
      <c r="BJ3464" s="747" t="str">
        <f t="shared" si="1222"/>
        <v/>
      </c>
      <c r="BK3464" s="498" t="str">
        <f t="shared" si="1216"/>
        <v/>
      </c>
      <c r="BL3464" s="498" t="str">
        <f t="shared" si="1217"/>
        <v/>
      </c>
    </row>
    <row r="3465" spans="1:64" x14ac:dyDescent="0.25">
      <c r="A3465" s="762">
        <f t="shared" si="1218"/>
        <v>3460</v>
      </c>
      <c r="B3465" s="229"/>
      <c r="C3465" s="223"/>
      <c r="D3465" s="224"/>
      <c r="E3465" s="225"/>
      <c r="F3465" s="1036" t="str">
        <f t="shared" si="1202"/>
        <v/>
      </c>
      <c r="G3465" s="1037" t="str">
        <f t="shared" si="1219"/>
        <v/>
      </c>
      <c r="H3465" s="225"/>
      <c r="I3465" s="1013"/>
      <c r="J3465" s="1013"/>
      <c r="K3465" s="1028"/>
      <c r="L3465" s="1035" t="str">
        <f t="shared" si="1223"/>
        <v/>
      </c>
      <c r="S3465" s="498"/>
      <c r="AJ3465" s="498"/>
      <c r="AM3465" s="498">
        <f t="shared" si="1204"/>
        <v>0</v>
      </c>
      <c r="AN3465" s="498">
        <f t="shared" si="1205"/>
        <v>0</v>
      </c>
      <c r="AO3465" s="498">
        <f t="shared" si="1206"/>
        <v>0</v>
      </c>
      <c r="AP3465" s="498">
        <f t="shared" si="1203"/>
        <v>0</v>
      </c>
      <c r="AQ3465" s="498">
        <f t="shared" si="1220"/>
        <v>0</v>
      </c>
      <c r="AU3465" s="498">
        <f t="shared" si="1207"/>
        <v>0</v>
      </c>
      <c r="AV3465" s="498">
        <f t="shared" si="1208"/>
        <v>0</v>
      </c>
      <c r="AW3465" s="498">
        <f t="shared" si="1209"/>
        <v>0</v>
      </c>
      <c r="AX3465" s="498">
        <f t="shared" si="1210"/>
        <v>0</v>
      </c>
      <c r="AY3465" s="498">
        <f t="shared" si="1211"/>
        <v>0</v>
      </c>
      <c r="BB3465" s="498" t="str">
        <f t="shared" si="1212"/>
        <v/>
      </c>
      <c r="BC3465" s="743" t="str">
        <f t="shared" si="1213"/>
        <v/>
      </c>
      <c r="BD3465" s="743" t="str">
        <f t="shared" si="1214"/>
        <v/>
      </c>
      <c r="BE3465" s="743" t="str">
        <f>IF(D3465="","",VLOOKUP(D3465,'General Basis'!$J$39:$K$46,2,0))</f>
        <v/>
      </c>
      <c r="BF3465" s="744" t="str">
        <f>IF(D3465="","",VLOOKUP(D3465,'General Basis'!$J$39:$L$46,3,0))</f>
        <v/>
      </c>
      <c r="BG3465" s="744" t="str">
        <f t="shared" si="1221"/>
        <v/>
      </c>
      <c r="BH3465" s="744" t="str">
        <f>IF(G3465="","",IF(BF3465="Abu Dhabi",IF(G3465&lt;18,'General Basis'!$C$39,IF(G3465&lt;41,'General Basis'!$C$40,IF(G3465&lt;60,'General Basis'!$C$41,IF(G3465&lt;65,'General Basis'!$C$42,'General Basis'!$C$43)))),IF(G3465&lt;11,'General Basis'!$B$39,IF(G3465&lt;18,'General Basis'!$B$40,IF(G3465&lt;26,'General Basis'!$B$41,IF(G3465&lt;31,'General Basis'!$B$42,IF(G3465&lt;36,'General Basis'!$B$43,IF(G3465&lt;41,'General Basis'!$B$44,IF(G3465&lt;46,'General Basis'!$B$45,IF(G3465&lt;51,'General Basis'!$B$46,IF(G3465&lt;56,'General Basis'!$B$47,IF(G3465&lt;60,'General Basis'!$B$48,IF(G3465&lt;65,'General Basis'!$B$49,'General Basis'!$B$50)))))))))))))</f>
        <v/>
      </c>
      <c r="BI3465" s="744" t="str">
        <f t="shared" si="1215"/>
        <v/>
      </c>
      <c r="BJ3465" s="747" t="str">
        <f t="shared" si="1222"/>
        <v/>
      </c>
      <c r="BK3465" s="498" t="str">
        <f t="shared" si="1216"/>
        <v/>
      </c>
      <c r="BL3465" s="498" t="str">
        <f t="shared" si="1217"/>
        <v/>
      </c>
    </row>
    <row r="3466" spans="1:64" x14ac:dyDescent="0.25">
      <c r="A3466" s="762">
        <f t="shared" si="1218"/>
        <v>3461</v>
      </c>
      <c r="B3466" s="229"/>
      <c r="C3466" s="223"/>
      <c r="D3466" s="224"/>
      <c r="E3466" s="225"/>
      <c r="F3466" s="1036" t="str">
        <f t="shared" si="1202"/>
        <v/>
      </c>
      <c r="G3466" s="1037" t="str">
        <f t="shared" si="1219"/>
        <v/>
      </c>
      <c r="H3466" s="225"/>
      <c r="I3466" s="1013"/>
      <c r="J3466" s="1013"/>
      <c r="K3466" s="1028"/>
      <c r="L3466" s="1035" t="str">
        <f t="shared" si="1223"/>
        <v/>
      </c>
      <c r="S3466" s="498"/>
      <c r="AJ3466" s="498"/>
      <c r="AM3466" s="498">
        <f t="shared" si="1204"/>
        <v>0</v>
      </c>
      <c r="AN3466" s="498">
        <f t="shared" si="1205"/>
        <v>0</v>
      </c>
      <c r="AO3466" s="498">
        <f t="shared" si="1206"/>
        <v>0</v>
      </c>
      <c r="AP3466" s="498">
        <f t="shared" si="1203"/>
        <v>0</v>
      </c>
      <c r="AQ3466" s="498">
        <f t="shared" si="1220"/>
        <v>0</v>
      </c>
      <c r="AU3466" s="498">
        <f t="shared" si="1207"/>
        <v>0</v>
      </c>
      <c r="AV3466" s="498">
        <f t="shared" si="1208"/>
        <v>0</v>
      </c>
      <c r="AW3466" s="498">
        <f t="shared" si="1209"/>
        <v>0</v>
      </c>
      <c r="AX3466" s="498">
        <f t="shared" si="1210"/>
        <v>0</v>
      </c>
      <c r="AY3466" s="498">
        <f t="shared" si="1211"/>
        <v>0</v>
      </c>
      <c r="BB3466" s="498" t="str">
        <f t="shared" si="1212"/>
        <v/>
      </c>
      <c r="BC3466" s="743" t="str">
        <f t="shared" si="1213"/>
        <v/>
      </c>
      <c r="BD3466" s="743" t="str">
        <f t="shared" si="1214"/>
        <v/>
      </c>
      <c r="BE3466" s="743" t="str">
        <f>IF(D3466="","",VLOOKUP(D3466,'General Basis'!$J$39:$K$46,2,0))</f>
        <v/>
      </c>
      <c r="BF3466" s="744" t="str">
        <f>IF(D3466="","",VLOOKUP(D3466,'General Basis'!$J$39:$L$46,3,0))</f>
        <v/>
      </c>
      <c r="BG3466" s="744" t="str">
        <f t="shared" si="1221"/>
        <v/>
      </c>
      <c r="BH3466" s="744" t="str">
        <f>IF(G3466="","",IF(BF3466="Abu Dhabi",IF(G3466&lt;18,'General Basis'!$C$39,IF(G3466&lt;41,'General Basis'!$C$40,IF(G3466&lt;60,'General Basis'!$C$41,IF(G3466&lt;65,'General Basis'!$C$42,'General Basis'!$C$43)))),IF(G3466&lt;11,'General Basis'!$B$39,IF(G3466&lt;18,'General Basis'!$B$40,IF(G3466&lt;26,'General Basis'!$B$41,IF(G3466&lt;31,'General Basis'!$B$42,IF(G3466&lt;36,'General Basis'!$B$43,IF(G3466&lt;41,'General Basis'!$B$44,IF(G3466&lt;46,'General Basis'!$B$45,IF(G3466&lt;51,'General Basis'!$B$46,IF(G3466&lt;56,'General Basis'!$B$47,IF(G3466&lt;60,'General Basis'!$B$48,IF(G3466&lt;65,'General Basis'!$B$49,'General Basis'!$B$50)))))))))))))</f>
        <v/>
      </c>
      <c r="BI3466" s="744" t="str">
        <f t="shared" si="1215"/>
        <v/>
      </c>
      <c r="BJ3466" s="747" t="str">
        <f t="shared" si="1222"/>
        <v/>
      </c>
      <c r="BK3466" s="498" t="str">
        <f t="shared" si="1216"/>
        <v/>
      </c>
      <c r="BL3466" s="498" t="str">
        <f t="shared" si="1217"/>
        <v/>
      </c>
    </row>
    <row r="3467" spans="1:64" x14ac:dyDescent="0.25">
      <c r="A3467" s="762">
        <f t="shared" si="1218"/>
        <v>3462</v>
      </c>
      <c r="B3467" s="229"/>
      <c r="C3467" s="223"/>
      <c r="D3467" s="224"/>
      <c r="E3467" s="225"/>
      <c r="F3467" s="1036" t="str">
        <f t="shared" si="1202"/>
        <v/>
      </c>
      <c r="G3467" s="1037" t="str">
        <f t="shared" si="1219"/>
        <v/>
      </c>
      <c r="H3467" s="225"/>
      <c r="I3467" s="1013"/>
      <c r="J3467" s="1013"/>
      <c r="K3467" s="1028"/>
      <c r="L3467" s="1035" t="str">
        <f t="shared" si="1223"/>
        <v/>
      </c>
      <c r="S3467" s="498"/>
      <c r="AJ3467" s="498"/>
      <c r="AM3467" s="498">
        <f t="shared" si="1204"/>
        <v>0</v>
      </c>
      <c r="AN3467" s="498">
        <f t="shared" si="1205"/>
        <v>0</v>
      </c>
      <c r="AO3467" s="498">
        <f t="shared" si="1206"/>
        <v>0</v>
      </c>
      <c r="AP3467" s="498">
        <f t="shared" si="1203"/>
        <v>0</v>
      </c>
      <c r="AQ3467" s="498">
        <f t="shared" si="1220"/>
        <v>0</v>
      </c>
      <c r="AU3467" s="498">
        <f t="shared" si="1207"/>
        <v>0</v>
      </c>
      <c r="AV3467" s="498">
        <f t="shared" si="1208"/>
        <v>0</v>
      </c>
      <c r="AW3467" s="498">
        <f t="shared" si="1209"/>
        <v>0</v>
      </c>
      <c r="AX3467" s="498">
        <f t="shared" si="1210"/>
        <v>0</v>
      </c>
      <c r="AY3467" s="498">
        <f t="shared" si="1211"/>
        <v>0</v>
      </c>
      <c r="BB3467" s="498" t="str">
        <f t="shared" si="1212"/>
        <v/>
      </c>
      <c r="BC3467" s="743" t="str">
        <f t="shared" si="1213"/>
        <v/>
      </c>
      <c r="BD3467" s="743" t="str">
        <f t="shared" si="1214"/>
        <v/>
      </c>
      <c r="BE3467" s="743" t="str">
        <f>IF(D3467="","",VLOOKUP(D3467,'General Basis'!$J$39:$K$46,2,0))</f>
        <v/>
      </c>
      <c r="BF3467" s="744" t="str">
        <f>IF(D3467="","",VLOOKUP(D3467,'General Basis'!$J$39:$L$46,3,0))</f>
        <v/>
      </c>
      <c r="BG3467" s="744" t="str">
        <f t="shared" si="1221"/>
        <v/>
      </c>
      <c r="BH3467" s="744" t="str">
        <f>IF(G3467="","",IF(BF3467="Abu Dhabi",IF(G3467&lt;18,'General Basis'!$C$39,IF(G3467&lt;41,'General Basis'!$C$40,IF(G3467&lt;60,'General Basis'!$C$41,IF(G3467&lt;65,'General Basis'!$C$42,'General Basis'!$C$43)))),IF(G3467&lt;11,'General Basis'!$B$39,IF(G3467&lt;18,'General Basis'!$B$40,IF(G3467&lt;26,'General Basis'!$B$41,IF(G3467&lt;31,'General Basis'!$B$42,IF(G3467&lt;36,'General Basis'!$B$43,IF(G3467&lt;41,'General Basis'!$B$44,IF(G3467&lt;46,'General Basis'!$B$45,IF(G3467&lt;51,'General Basis'!$B$46,IF(G3467&lt;56,'General Basis'!$B$47,IF(G3467&lt;60,'General Basis'!$B$48,IF(G3467&lt;65,'General Basis'!$B$49,'General Basis'!$B$50)))))))))))))</f>
        <v/>
      </c>
      <c r="BI3467" s="744" t="str">
        <f t="shared" si="1215"/>
        <v/>
      </c>
      <c r="BJ3467" s="747" t="str">
        <f t="shared" si="1222"/>
        <v/>
      </c>
      <c r="BK3467" s="498" t="str">
        <f t="shared" si="1216"/>
        <v/>
      </c>
      <c r="BL3467" s="498" t="str">
        <f t="shared" si="1217"/>
        <v/>
      </c>
    </row>
    <row r="3468" spans="1:64" x14ac:dyDescent="0.25">
      <c r="A3468" s="762">
        <f t="shared" si="1218"/>
        <v>3463</v>
      </c>
      <c r="B3468" s="229"/>
      <c r="C3468" s="223"/>
      <c r="D3468" s="224"/>
      <c r="E3468" s="225"/>
      <c r="F3468" s="1036" t="str">
        <f t="shared" si="1202"/>
        <v/>
      </c>
      <c r="G3468" s="1037" t="str">
        <f t="shared" si="1219"/>
        <v/>
      </c>
      <c r="H3468" s="225"/>
      <c r="I3468" s="1013"/>
      <c r="J3468" s="1013"/>
      <c r="K3468" s="1028"/>
      <c r="L3468" s="1035" t="str">
        <f t="shared" si="1223"/>
        <v/>
      </c>
      <c r="S3468" s="498"/>
      <c r="AJ3468" s="498"/>
      <c r="AM3468" s="498">
        <f t="shared" si="1204"/>
        <v>0</v>
      </c>
      <c r="AN3468" s="498">
        <f t="shared" si="1205"/>
        <v>0</v>
      </c>
      <c r="AO3468" s="498">
        <f t="shared" si="1206"/>
        <v>0</v>
      </c>
      <c r="AP3468" s="498">
        <f t="shared" si="1203"/>
        <v>0</v>
      </c>
      <c r="AQ3468" s="498">
        <f t="shared" si="1220"/>
        <v>0</v>
      </c>
      <c r="AU3468" s="498">
        <f t="shared" si="1207"/>
        <v>0</v>
      </c>
      <c r="AV3468" s="498">
        <f t="shared" si="1208"/>
        <v>0</v>
      </c>
      <c r="AW3468" s="498">
        <f t="shared" si="1209"/>
        <v>0</v>
      </c>
      <c r="AX3468" s="498">
        <f t="shared" si="1210"/>
        <v>0</v>
      </c>
      <c r="AY3468" s="498">
        <f t="shared" si="1211"/>
        <v>0</v>
      </c>
      <c r="BB3468" s="498" t="str">
        <f t="shared" si="1212"/>
        <v/>
      </c>
      <c r="BC3468" s="743" t="str">
        <f t="shared" si="1213"/>
        <v/>
      </c>
      <c r="BD3468" s="743" t="str">
        <f t="shared" si="1214"/>
        <v/>
      </c>
      <c r="BE3468" s="743" t="str">
        <f>IF(D3468="","",VLOOKUP(D3468,'General Basis'!$J$39:$K$46,2,0))</f>
        <v/>
      </c>
      <c r="BF3468" s="744" t="str">
        <f>IF(D3468="","",VLOOKUP(D3468,'General Basis'!$J$39:$L$46,3,0))</f>
        <v/>
      </c>
      <c r="BG3468" s="744" t="str">
        <f t="shared" si="1221"/>
        <v/>
      </c>
      <c r="BH3468" s="744" t="str">
        <f>IF(G3468="","",IF(BF3468="Abu Dhabi",IF(G3468&lt;18,'General Basis'!$C$39,IF(G3468&lt;41,'General Basis'!$C$40,IF(G3468&lt;60,'General Basis'!$C$41,IF(G3468&lt;65,'General Basis'!$C$42,'General Basis'!$C$43)))),IF(G3468&lt;11,'General Basis'!$B$39,IF(G3468&lt;18,'General Basis'!$B$40,IF(G3468&lt;26,'General Basis'!$B$41,IF(G3468&lt;31,'General Basis'!$B$42,IF(G3468&lt;36,'General Basis'!$B$43,IF(G3468&lt;41,'General Basis'!$B$44,IF(G3468&lt;46,'General Basis'!$B$45,IF(G3468&lt;51,'General Basis'!$B$46,IF(G3468&lt;56,'General Basis'!$B$47,IF(G3468&lt;60,'General Basis'!$B$48,IF(G3468&lt;65,'General Basis'!$B$49,'General Basis'!$B$50)))))))))))))</f>
        <v/>
      </c>
      <c r="BI3468" s="744" t="str">
        <f t="shared" si="1215"/>
        <v/>
      </c>
      <c r="BJ3468" s="747" t="str">
        <f t="shared" si="1222"/>
        <v/>
      </c>
      <c r="BK3468" s="498" t="str">
        <f t="shared" si="1216"/>
        <v/>
      </c>
      <c r="BL3468" s="498" t="str">
        <f t="shared" si="1217"/>
        <v/>
      </c>
    </row>
    <row r="3469" spans="1:64" x14ac:dyDescent="0.25">
      <c r="A3469" s="762">
        <f t="shared" si="1218"/>
        <v>3464</v>
      </c>
      <c r="B3469" s="229"/>
      <c r="C3469" s="223"/>
      <c r="D3469" s="224"/>
      <c r="E3469" s="225"/>
      <c r="F3469" s="1036" t="str">
        <f t="shared" si="1202"/>
        <v/>
      </c>
      <c r="G3469" s="1037" t="str">
        <f t="shared" si="1219"/>
        <v/>
      </c>
      <c r="H3469" s="225"/>
      <c r="I3469" s="1013"/>
      <c r="J3469" s="1013"/>
      <c r="K3469" s="1028"/>
      <c r="L3469" s="1035" t="str">
        <f t="shared" si="1223"/>
        <v/>
      </c>
      <c r="S3469" s="498"/>
      <c r="AJ3469" s="498"/>
      <c r="AM3469" s="498">
        <f t="shared" si="1204"/>
        <v>0</v>
      </c>
      <c r="AN3469" s="498">
        <f t="shared" si="1205"/>
        <v>0</v>
      </c>
      <c r="AO3469" s="498">
        <f t="shared" si="1206"/>
        <v>0</v>
      </c>
      <c r="AP3469" s="498">
        <f t="shared" si="1203"/>
        <v>0</v>
      </c>
      <c r="AQ3469" s="498">
        <f t="shared" si="1220"/>
        <v>0</v>
      </c>
      <c r="AU3469" s="498">
        <f t="shared" si="1207"/>
        <v>0</v>
      </c>
      <c r="AV3469" s="498">
        <f t="shared" si="1208"/>
        <v>0</v>
      </c>
      <c r="AW3469" s="498">
        <f t="shared" si="1209"/>
        <v>0</v>
      </c>
      <c r="AX3469" s="498">
        <f t="shared" si="1210"/>
        <v>0</v>
      </c>
      <c r="AY3469" s="498">
        <f t="shared" si="1211"/>
        <v>0</v>
      </c>
      <c r="BB3469" s="498" t="str">
        <f t="shared" si="1212"/>
        <v/>
      </c>
      <c r="BC3469" s="743" t="str">
        <f t="shared" si="1213"/>
        <v/>
      </c>
      <c r="BD3469" s="743" t="str">
        <f t="shared" si="1214"/>
        <v/>
      </c>
      <c r="BE3469" s="743" t="str">
        <f>IF(D3469="","",VLOOKUP(D3469,'General Basis'!$J$39:$K$46,2,0))</f>
        <v/>
      </c>
      <c r="BF3469" s="744" t="str">
        <f>IF(D3469="","",VLOOKUP(D3469,'General Basis'!$J$39:$L$46,3,0))</f>
        <v/>
      </c>
      <c r="BG3469" s="744" t="str">
        <f t="shared" si="1221"/>
        <v/>
      </c>
      <c r="BH3469" s="744" t="str">
        <f>IF(G3469="","",IF(BF3469="Abu Dhabi",IF(G3469&lt;18,'General Basis'!$C$39,IF(G3469&lt;41,'General Basis'!$C$40,IF(G3469&lt;60,'General Basis'!$C$41,IF(G3469&lt;65,'General Basis'!$C$42,'General Basis'!$C$43)))),IF(G3469&lt;11,'General Basis'!$B$39,IF(G3469&lt;18,'General Basis'!$B$40,IF(G3469&lt;26,'General Basis'!$B$41,IF(G3469&lt;31,'General Basis'!$B$42,IF(G3469&lt;36,'General Basis'!$B$43,IF(G3469&lt;41,'General Basis'!$B$44,IF(G3469&lt;46,'General Basis'!$B$45,IF(G3469&lt;51,'General Basis'!$B$46,IF(G3469&lt;56,'General Basis'!$B$47,IF(G3469&lt;60,'General Basis'!$B$48,IF(G3469&lt;65,'General Basis'!$B$49,'General Basis'!$B$50)))))))))))))</f>
        <v/>
      </c>
      <c r="BI3469" s="744" t="str">
        <f t="shared" si="1215"/>
        <v/>
      </c>
      <c r="BJ3469" s="747" t="str">
        <f t="shared" si="1222"/>
        <v/>
      </c>
      <c r="BK3469" s="498" t="str">
        <f t="shared" si="1216"/>
        <v/>
      </c>
      <c r="BL3469" s="498" t="str">
        <f t="shared" si="1217"/>
        <v/>
      </c>
    </row>
    <row r="3470" spans="1:64" x14ac:dyDescent="0.25">
      <c r="A3470" s="762">
        <f t="shared" si="1218"/>
        <v>3465</v>
      </c>
      <c r="B3470" s="229"/>
      <c r="C3470" s="223"/>
      <c r="D3470" s="224"/>
      <c r="E3470" s="225"/>
      <c r="F3470" s="1036" t="str">
        <f t="shared" si="1202"/>
        <v/>
      </c>
      <c r="G3470" s="1037" t="str">
        <f t="shared" si="1219"/>
        <v/>
      </c>
      <c r="H3470" s="225"/>
      <c r="I3470" s="1013"/>
      <c r="J3470" s="1013"/>
      <c r="K3470" s="1028"/>
      <c r="L3470" s="1035" t="str">
        <f t="shared" si="1223"/>
        <v/>
      </c>
      <c r="S3470" s="498"/>
      <c r="AJ3470" s="498"/>
      <c r="AM3470" s="498">
        <f t="shared" si="1204"/>
        <v>0</v>
      </c>
      <c r="AN3470" s="498">
        <f t="shared" si="1205"/>
        <v>0</v>
      </c>
      <c r="AO3470" s="498">
        <f t="shared" si="1206"/>
        <v>0</v>
      </c>
      <c r="AP3470" s="498">
        <f t="shared" si="1203"/>
        <v>0</v>
      </c>
      <c r="AQ3470" s="498">
        <f t="shared" si="1220"/>
        <v>0</v>
      </c>
      <c r="AU3470" s="498">
        <f t="shared" si="1207"/>
        <v>0</v>
      </c>
      <c r="AV3470" s="498">
        <f t="shared" si="1208"/>
        <v>0</v>
      </c>
      <c r="AW3470" s="498">
        <f t="shared" si="1209"/>
        <v>0</v>
      </c>
      <c r="AX3470" s="498">
        <f t="shared" si="1210"/>
        <v>0</v>
      </c>
      <c r="AY3470" s="498">
        <f t="shared" si="1211"/>
        <v>0</v>
      </c>
      <c r="BB3470" s="498" t="str">
        <f t="shared" si="1212"/>
        <v/>
      </c>
      <c r="BC3470" s="743" t="str">
        <f t="shared" si="1213"/>
        <v/>
      </c>
      <c r="BD3470" s="743" t="str">
        <f t="shared" si="1214"/>
        <v/>
      </c>
      <c r="BE3470" s="743" t="str">
        <f>IF(D3470="","",VLOOKUP(D3470,'General Basis'!$J$39:$K$46,2,0))</f>
        <v/>
      </c>
      <c r="BF3470" s="744" t="str">
        <f>IF(D3470="","",VLOOKUP(D3470,'General Basis'!$J$39:$L$46,3,0))</f>
        <v/>
      </c>
      <c r="BG3470" s="744" t="str">
        <f t="shared" si="1221"/>
        <v/>
      </c>
      <c r="BH3470" s="744" t="str">
        <f>IF(G3470="","",IF(BF3470="Abu Dhabi",IF(G3470&lt;18,'General Basis'!$C$39,IF(G3470&lt;41,'General Basis'!$C$40,IF(G3470&lt;60,'General Basis'!$C$41,IF(G3470&lt;65,'General Basis'!$C$42,'General Basis'!$C$43)))),IF(G3470&lt;11,'General Basis'!$B$39,IF(G3470&lt;18,'General Basis'!$B$40,IF(G3470&lt;26,'General Basis'!$B$41,IF(G3470&lt;31,'General Basis'!$B$42,IF(G3470&lt;36,'General Basis'!$B$43,IF(G3470&lt;41,'General Basis'!$B$44,IF(G3470&lt;46,'General Basis'!$B$45,IF(G3470&lt;51,'General Basis'!$B$46,IF(G3470&lt;56,'General Basis'!$B$47,IF(G3470&lt;60,'General Basis'!$B$48,IF(G3470&lt;65,'General Basis'!$B$49,'General Basis'!$B$50)))))))))))))</f>
        <v/>
      </c>
      <c r="BI3470" s="744" t="str">
        <f t="shared" si="1215"/>
        <v/>
      </c>
      <c r="BJ3470" s="747" t="str">
        <f t="shared" si="1222"/>
        <v/>
      </c>
      <c r="BK3470" s="498" t="str">
        <f t="shared" si="1216"/>
        <v/>
      </c>
      <c r="BL3470" s="498" t="str">
        <f t="shared" si="1217"/>
        <v/>
      </c>
    </row>
    <row r="3471" spans="1:64" x14ac:dyDescent="0.25">
      <c r="A3471" s="762">
        <f t="shared" si="1218"/>
        <v>3466</v>
      </c>
      <c r="B3471" s="229"/>
      <c r="C3471" s="223"/>
      <c r="D3471" s="224"/>
      <c r="E3471" s="225"/>
      <c r="F3471" s="1036" t="str">
        <f t="shared" si="1202"/>
        <v/>
      </c>
      <c r="G3471" s="1037" t="str">
        <f t="shared" si="1219"/>
        <v/>
      </c>
      <c r="H3471" s="225"/>
      <c r="I3471" s="1013"/>
      <c r="J3471" s="1013"/>
      <c r="K3471" s="1028"/>
      <c r="L3471" s="1035" t="str">
        <f t="shared" si="1223"/>
        <v/>
      </c>
      <c r="S3471" s="498"/>
      <c r="AJ3471" s="498"/>
      <c r="AM3471" s="498">
        <f t="shared" si="1204"/>
        <v>0</v>
      </c>
      <c r="AN3471" s="498">
        <f t="shared" si="1205"/>
        <v>0</v>
      </c>
      <c r="AO3471" s="498">
        <f t="shared" si="1206"/>
        <v>0</v>
      </c>
      <c r="AP3471" s="498">
        <f t="shared" si="1203"/>
        <v>0</v>
      </c>
      <c r="AQ3471" s="498">
        <f t="shared" si="1220"/>
        <v>0</v>
      </c>
      <c r="AU3471" s="498">
        <f t="shared" si="1207"/>
        <v>0</v>
      </c>
      <c r="AV3471" s="498">
        <f t="shared" si="1208"/>
        <v>0</v>
      </c>
      <c r="AW3471" s="498">
        <f t="shared" si="1209"/>
        <v>0</v>
      </c>
      <c r="AX3471" s="498">
        <f t="shared" si="1210"/>
        <v>0</v>
      </c>
      <c r="AY3471" s="498">
        <f t="shared" si="1211"/>
        <v>0</v>
      </c>
      <c r="BB3471" s="498" t="str">
        <f t="shared" si="1212"/>
        <v/>
      </c>
      <c r="BC3471" s="743" t="str">
        <f t="shared" si="1213"/>
        <v/>
      </c>
      <c r="BD3471" s="743" t="str">
        <f t="shared" si="1214"/>
        <v/>
      </c>
      <c r="BE3471" s="743" t="str">
        <f>IF(D3471="","",VLOOKUP(D3471,'General Basis'!$J$39:$K$46,2,0))</f>
        <v/>
      </c>
      <c r="BF3471" s="744" t="str">
        <f>IF(D3471="","",VLOOKUP(D3471,'General Basis'!$J$39:$L$46,3,0))</f>
        <v/>
      </c>
      <c r="BG3471" s="744" t="str">
        <f t="shared" si="1221"/>
        <v/>
      </c>
      <c r="BH3471" s="744" t="str">
        <f>IF(G3471="","",IF(BF3471="Abu Dhabi",IF(G3471&lt;18,'General Basis'!$C$39,IF(G3471&lt;41,'General Basis'!$C$40,IF(G3471&lt;60,'General Basis'!$C$41,IF(G3471&lt;65,'General Basis'!$C$42,'General Basis'!$C$43)))),IF(G3471&lt;11,'General Basis'!$B$39,IF(G3471&lt;18,'General Basis'!$B$40,IF(G3471&lt;26,'General Basis'!$B$41,IF(G3471&lt;31,'General Basis'!$B$42,IF(G3471&lt;36,'General Basis'!$B$43,IF(G3471&lt;41,'General Basis'!$B$44,IF(G3471&lt;46,'General Basis'!$B$45,IF(G3471&lt;51,'General Basis'!$B$46,IF(G3471&lt;56,'General Basis'!$B$47,IF(G3471&lt;60,'General Basis'!$B$48,IF(G3471&lt;65,'General Basis'!$B$49,'General Basis'!$B$50)))))))))))))</f>
        <v/>
      </c>
      <c r="BI3471" s="744" t="str">
        <f t="shared" si="1215"/>
        <v/>
      </c>
      <c r="BJ3471" s="747" t="str">
        <f t="shared" si="1222"/>
        <v/>
      </c>
      <c r="BK3471" s="498" t="str">
        <f t="shared" si="1216"/>
        <v/>
      </c>
      <c r="BL3471" s="498" t="str">
        <f t="shared" si="1217"/>
        <v/>
      </c>
    </row>
    <row r="3472" spans="1:64" x14ac:dyDescent="0.25">
      <c r="A3472" s="762">
        <f t="shared" si="1218"/>
        <v>3467</v>
      </c>
      <c r="B3472" s="229"/>
      <c r="C3472" s="223"/>
      <c r="D3472" s="224"/>
      <c r="E3472" s="225"/>
      <c r="F3472" s="1036" t="str">
        <f t="shared" ref="F3472:F3535" si="1224">IF(C3472="","",IF($B3472="","",((YEAR($F$3)-YEAR($B3472))+(MONTH($F$3)-MONTH($B3472))/12+(DAY($F$3)-DAY($B3472))/(DATE(YEAR($F$3),12,31)-DATE(YEAR($F$3),1,1)+1))))</f>
        <v/>
      </c>
      <c r="G3472" s="1037" t="str">
        <f t="shared" si="1219"/>
        <v/>
      </c>
      <c r="H3472" s="225"/>
      <c r="I3472" s="1013"/>
      <c r="J3472" s="1013"/>
      <c r="K3472" s="1028"/>
      <c r="L3472" s="1035" t="str">
        <f t="shared" si="1223"/>
        <v/>
      </c>
      <c r="S3472" s="498"/>
      <c r="AJ3472" s="498"/>
      <c r="AM3472" s="498">
        <f t="shared" si="1204"/>
        <v>0</v>
      </c>
      <c r="AN3472" s="498">
        <f t="shared" si="1205"/>
        <v>0</v>
      </c>
      <c r="AO3472" s="498">
        <f t="shared" si="1206"/>
        <v>0</v>
      </c>
      <c r="AP3472" s="498">
        <f t="shared" si="1203"/>
        <v>0</v>
      </c>
      <c r="AQ3472" s="498">
        <f t="shared" si="1220"/>
        <v>0</v>
      </c>
      <c r="AU3472" s="498">
        <f t="shared" si="1207"/>
        <v>0</v>
      </c>
      <c r="AV3472" s="498">
        <f t="shared" si="1208"/>
        <v>0</v>
      </c>
      <c r="AW3472" s="498">
        <f t="shared" si="1209"/>
        <v>0</v>
      </c>
      <c r="AX3472" s="498">
        <f t="shared" si="1210"/>
        <v>0</v>
      </c>
      <c r="AY3472" s="498">
        <f t="shared" si="1211"/>
        <v>0</v>
      </c>
      <c r="BB3472" s="498" t="str">
        <f t="shared" si="1212"/>
        <v/>
      </c>
      <c r="BC3472" s="743" t="str">
        <f t="shared" si="1213"/>
        <v/>
      </c>
      <c r="BD3472" s="743" t="str">
        <f t="shared" si="1214"/>
        <v/>
      </c>
      <c r="BE3472" s="743" t="str">
        <f>IF(D3472="","",VLOOKUP(D3472,'General Basis'!$J$39:$K$46,2,0))</f>
        <v/>
      </c>
      <c r="BF3472" s="744" t="str">
        <f>IF(D3472="","",VLOOKUP(D3472,'General Basis'!$J$39:$L$46,3,0))</f>
        <v/>
      </c>
      <c r="BG3472" s="744" t="str">
        <f t="shared" si="1221"/>
        <v/>
      </c>
      <c r="BH3472" s="744" t="str">
        <f>IF(G3472="","",IF(BF3472="Abu Dhabi",IF(G3472&lt;18,'General Basis'!$C$39,IF(G3472&lt;41,'General Basis'!$C$40,IF(G3472&lt;60,'General Basis'!$C$41,IF(G3472&lt;65,'General Basis'!$C$42,'General Basis'!$C$43)))),IF(G3472&lt;11,'General Basis'!$B$39,IF(G3472&lt;18,'General Basis'!$B$40,IF(G3472&lt;26,'General Basis'!$B$41,IF(G3472&lt;31,'General Basis'!$B$42,IF(G3472&lt;36,'General Basis'!$B$43,IF(G3472&lt;41,'General Basis'!$B$44,IF(G3472&lt;46,'General Basis'!$B$45,IF(G3472&lt;51,'General Basis'!$B$46,IF(G3472&lt;56,'General Basis'!$B$47,IF(G3472&lt;60,'General Basis'!$B$48,IF(G3472&lt;65,'General Basis'!$B$49,'General Basis'!$B$50)))))))))))))</f>
        <v/>
      </c>
      <c r="BI3472" s="744" t="str">
        <f t="shared" si="1215"/>
        <v/>
      </c>
      <c r="BJ3472" s="747" t="str">
        <f t="shared" si="1222"/>
        <v/>
      </c>
      <c r="BK3472" s="498" t="str">
        <f t="shared" si="1216"/>
        <v/>
      </c>
      <c r="BL3472" s="498" t="str">
        <f t="shared" si="1217"/>
        <v/>
      </c>
    </row>
    <row r="3473" spans="1:64" x14ac:dyDescent="0.25">
      <c r="A3473" s="762">
        <f t="shared" si="1218"/>
        <v>3468</v>
      </c>
      <c r="B3473" s="229"/>
      <c r="C3473" s="223"/>
      <c r="D3473" s="224"/>
      <c r="E3473" s="225"/>
      <c r="F3473" s="1036" t="str">
        <f t="shared" si="1224"/>
        <v/>
      </c>
      <c r="G3473" s="1037" t="str">
        <f t="shared" si="1219"/>
        <v/>
      </c>
      <c r="H3473" s="225"/>
      <c r="I3473" s="1013"/>
      <c r="J3473" s="1013"/>
      <c r="K3473" s="1028"/>
      <c r="L3473" s="1035" t="str">
        <f t="shared" si="1223"/>
        <v/>
      </c>
      <c r="S3473" s="498"/>
      <c r="AJ3473" s="498"/>
      <c r="AM3473" s="498">
        <f t="shared" si="1204"/>
        <v>0</v>
      </c>
      <c r="AN3473" s="498">
        <f t="shared" si="1205"/>
        <v>0</v>
      </c>
      <c r="AO3473" s="498">
        <f t="shared" si="1206"/>
        <v>0</v>
      </c>
      <c r="AP3473" s="498">
        <f t="shared" si="1203"/>
        <v>0</v>
      </c>
      <c r="AQ3473" s="498">
        <f t="shared" si="1220"/>
        <v>0</v>
      </c>
      <c r="AU3473" s="498">
        <f t="shared" si="1207"/>
        <v>0</v>
      </c>
      <c r="AV3473" s="498">
        <f t="shared" si="1208"/>
        <v>0</v>
      </c>
      <c r="AW3473" s="498">
        <f t="shared" si="1209"/>
        <v>0</v>
      </c>
      <c r="AX3473" s="498">
        <f t="shared" si="1210"/>
        <v>0</v>
      </c>
      <c r="AY3473" s="498">
        <f t="shared" si="1211"/>
        <v>0</v>
      </c>
      <c r="BB3473" s="498" t="str">
        <f t="shared" si="1212"/>
        <v/>
      </c>
      <c r="BC3473" s="743" t="str">
        <f t="shared" si="1213"/>
        <v/>
      </c>
      <c r="BD3473" s="743" t="str">
        <f t="shared" si="1214"/>
        <v/>
      </c>
      <c r="BE3473" s="743" t="str">
        <f>IF(D3473="","",VLOOKUP(D3473,'General Basis'!$J$39:$K$46,2,0))</f>
        <v/>
      </c>
      <c r="BF3473" s="744" t="str">
        <f>IF(D3473="","",VLOOKUP(D3473,'General Basis'!$J$39:$L$46,3,0))</f>
        <v/>
      </c>
      <c r="BG3473" s="744" t="str">
        <f t="shared" si="1221"/>
        <v/>
      </c>
      <c r="BH3473" s="744" t="str">
        <f>IF(G3473="","",IF(BF3473="Abu Dhabi",IF(G3473&lt;18,'General Basis'!$C$39,IF(G3473&lt;41,'General Basis'!$C$40,IF(G3473&lt;60,'General Basis'!$C$41,IF(G3473&lt;65,'General Basis'!$C$42,'General Basis'!$C$43)))),IF(G3473&lt;11,'General Basis'!$B$39,IF(G3473&lt;18,'General Basis'!$B$40,IF(G3473&lt;26,'General Basis'!$B$41,IF(G3473&lt;31,'General Basis'!$B$42,IF(G3473&lt;36,'General Basis'!$B$43,IF(G3473&lt;41,'General Basis'!$B$44,IF(G3473&lt;46,'General Basis'!$B$45,IF(G3473&lt;51,'General Basis'!$B$46,IF(G3473&lt;56,'General Basis'!$B$47,IF(G3473&lt;60,'General Basis'!$B$48,IF(G3473&lt;65,'General Basis'!$B$49,'General Basis'!$B$50)))))))))))))</f>
        <v/>
      </c>
      <c r="BI3473" s="744" t="str">
        <f t="shared" si="1215"/>
        <v/>
      </c>
      <c r="BJ3473" s="747" t="str">
        <f t="shared" si="1222"/>
        <v/>
      </c>
      <c r="BK3473" s="498" t="str">
        <f t="shared" si="1216"/>
        <v/>
      </c>
      <c r="BL3473" s="498" t="str">
        <f t="shared" si="1217"/>
        <v/>
      </c>
    </row>
    <row r="3474" spans="1:64" x14ac:dyDescent="0.25">
      <c r="A3474" s="762">
        <f t="shared" si="1218"/>
        <v>3469</v>
      </c>
      <c r="B3474" s="229"/>
      <c r="C3474" s="223"/>
      <c r="D3474" s="224"/>
      <c r="E3474" s="225"/>
      <c r="F3474" s="1036" t="str">
        <f t="shared" si="1224"/>
        <v/>
      </c>
      <c r="G3474" s="1037" t="str">
        <f t="shared" si="1219"/>
        <v/>
      </c>
      <c r="H3474" s="225"/>
      <c r="I3474" s="1013"/>
      <c r="J3474" s="1013"/>
      <c r="K3474" s="1028"/>
      <c r="L3474" s="1035" t="str">
        <f t="shared" si="1223"/>
        <v/>
      </c>
      <c r="S3474" s="498"/>
      <c r="AJ3474" s="498"/>
      <c r="AM3474" s="498">
        <f t="shared" si="1204"/>
        <v>0</v>
      </c>
      <c r="AN3474" s="498">
        <f t="shared" si="1205"/>
        <v>0</v>
      </c>
      <c r="AO3474" s="498">
        <f t="shared" si="1206"/>
        <v>0</v>
      </c>
      <c r="AP3474" s="498">
        <f t="shared" si="1203"/>
        <v>0</v>
      </c>
      <c r="AQ3474" s="498">
        <f t="shared" si="1220"/>
        <v>0</v>
      </c>
      <c r="AU3474" s="498">
        <f t="shared" si="1207"/>
        <v>0</v>
      </c>
      <c r="AV3474" s="498">
        <f t="shared" si="1208"/>
        <v>0</v>
      </c>
      <c r="AW3474" s="498">
        <f t="shared" si="1209"/>
        <v>0</v>
      </c>
      <c r="AX3474" s="498">
        <f t="shared" si="1210"/>
        <v>0</v>
      </c>
      <c r="AY3474" s="498">
        <f t="shared" si="1211"/>
        <v>0</v>
      </c>
      <c r="BB3474" s="498" t="str">
        <f t="shared" si="1212"/>
        <v/>
      </c>
      <c r="BC3474" s="743" t="str">
        <f t="shared" si="1213"/>
        <v/>
      </c>
      <c r="BD3474" s="743" t="str">
        <f t="shared" si="1214"/>
        <v/>
      </c>
      <c r="BE3474" s="743" t="str">
        <f>IF(D3474="","",VLOOKUP(D3474,'General Basis'!$J$39:$K$46,2,0))</f>
        <v/>
      </c>
      <c r="BF3474" s="744" t="str">
        <f>IF(D3474="","",VLOOKUP(D3474,'General Basis'!$J$39:$L$46,3,0))</f>
        <v/>
      </c>
      <c r="BG3474" s="744" t="str">
        <f t="shared" si="1221"/>
        <v/>
      </c>
      <c r="BH3474" s="744" t="str">
        <f>IF(G3474="","",IF(BF3474="Abu Dhabi",IF(G3474&lt;18,'General Basis'!$C$39,IF(G3474&lt;41,'General Basis'!$C$40,IF(G3474&lt;60,'General Basis'!$C$41,IF(G3474&lt;65,'General Basis'!$C$42,'General Basis'!$C$43)))),IF(G3474&lt;11,'General Basis'!$B$39,IF(G3474&lt;18,'General Basis'!$B$40,IF(G3474&lt;26,'General Basis'!$B$41,IF(G3474&lt;31,'General Basis'!$B$42,IF(G3474&lt;36,'General Basis'!$B$43,IF(G3474&lt;41,'General Basis'!$B$44,IF(G3474&lt;46,'General Basis'!$B$45,IF(G3474&lt;51,'General Basis'!$B$46,IF(G3474&lt;56,'General Basis'!$B$47,IF(G3474&lt;60,'General Basis'!$B$48,IF(G3474&lt;65,'General Basis'!$B$49,'General Basis'!$B$50)))))))))))))</f>
        <v/>
      </c>
      <c r="BI3474" s="744" t="str">
        <f t="shared" si="1215"/>
        <v/>
      </c>
      <c r="BJ3474" s="747" t="str">
        <f t="shared" si="1222"/>
        <v/>
      </c>
      <c r="BK3474" s="498" t="str">
        <f t="shared" si="1216"/>
        <v/>
      </c>
      <c r="BL3474" s="498" t="str">
        <f t="shared" si="1217"/>
        <v/>
      </c>
    </row>
    <row r="3475" spans="1:64" x14ac:dyDescent="0.25">
      <c r="A3475" s="762">
        <f t="shared" si="1218"/>
        <v>3470</v>
      </c>
      <c r="B3475" s="229"/>
      <c r="C3475" s="223"/>
      <c r="D3475" s="224"/>
      <c r="E3475" s="225"/>
      <c r="F3475" s="1036" t="str">
        <f t="shared" si="1224"/>
        <v/>
      </c>
      <c r="G3475" s="1037" t="str">
        <f t="shared" si="1219"/>
        <v/>
      </c>
      <c r="H3475" s="225"/>
      <c r="I3475" s="1013"/>
      <c r="J3475" s="1013"/>
      <c r="K3475" s="1028"/>
      <c r="L3475" s="1035" t="str">
        <f t="shared" si="1223"/>
        <v/>
      </c>
      <c r="S3475" s="498"/>
      <c r="AJ3475" s="498"/>
      <c r="AM3475" s="498">
        <f t="shared" si="1204"/>
        <v>0</v>
      </c>
      <c r="AN3475" s="498">
        <f t="shared" si="1205"/>
        <v>0</v>
      </c>
      <c r="AO3475" s="498">
        <f t="shared" si="1206"/>
        <v>0</v>
      </c>
      <c r="AP3475" s="498">
        <f t="shared" ref="AP3475:AP3538" si="1225">IF(ISBLANK($B3475),0,IF(OR($C3475="M",$C3475="F"),0,1))</f>
        <v>0</v>
      </c>
      <c r="AQ3475" s="498">
        <f t="shared" si="1220"/>
        <v>0</v>
      </c>
      <c r="AU3475" s="498">
        <f t="shared" si="1207"/>
        <v>0</v>
      </c>
      <c r="AV3475" s="498">
        <f t="shared" si="1208"/>
        <v>0</v>
      </c>
      <c r="AW3475" s="498">
        <f t="shared" si="1209"/>
        <v>0</v>
      </c>
      <c r="AX3475" s="498">
        <f t="shared" si="1210"/>
        <v>0</v>
      </c>
      <c r="AY3475" s="498">
        <f t="shared" si="1211"/>
        <v>0</v>
      </c>
      <c r="BB3475" s="498" t="str">
        <f t="shared" si="1212"/>
        <v/>
      </c>
      <c r="BC3475" s="743" t="str">
        <f t="shared" si="1213"/>
        <v/>
      </c>
      <c r="BD3475" s="743" t="str">
        <f t="shared" si="1214"/>
        <v/>
      </c>
      <c r="BE3475" s="743" t="str">
        <f>IF(D3475="","",VLOOKUP(D3475,'General Basis'!$J$39:$K$46,2,0))</f>
        <v/>
      </c>
      <c r="BF3475" s="744" t="str">
        <f>IF(D3475="","",VLOOKUP(D3475,'General Basis'!$J$39:$L$46,3,0))</f>
        <v/>
      </c>
      <c r="BG3475" s="744" t="str">
        <f t="shared" si="1221"/>
        <v/>
      </c>
      <c r="BH3475" s="744" t="str">
        <f>IF(G3475="","",IF(BF3475="Abu Dhabi",IF(G3475&lt;18,'General Basis'!$C$39,IF(G3475&lt;41,'General Basis'!$C$40,IF(G3475&lt;60,'General Basis'!$C$41,IF(G3475&lt;65,'General Basis'!$C$42,'General Basis'!$C$43)))),IF(G3475&lt;11,'General Basis'!$B$39,IF(G3475&lt;18,'General Basis'!$B$40,IF(G3475&lt;26,'General Basis'!$B$41,IF(G3475&lt;31,'General Basis'!$B$42,IF(G3475&lt;36,'General Basis'!$B$43,IF(G3475&lt;41,'General Basis'!$B$44,IF(G3475&lt;46,'General Basis'!$B$45,IF(G3475&lt;51,'General Basis'!$B$46,IF(G3475&lt;56,'General Basis'!$B$47,IF(G3475&lt;60,'General Basis'!$B$48,IF(G3475&lt;65,'General Basis'!$B$49,'General Basis'!$B$50)))))))))))))</f>
        <v/>
      </c>
      <c r="BI3475" s="744" t="str">
        <f t="shared" si="1215"/>
        <v/>
      </c>
      <c r="BJ3475" s="747" t="str">
        <f t="shared" si="1222"/>
        <v/>
      </c>
      <c r="BK3475" s="498" t="str">
        <f t="shared" si="1216"/>
        <v/>
      </c>
      <c r="BL3475" s="498" t="str">
        <f t="shared" si="1217"/>
        <v/>
      </c>
    </row>
    <row r="3476" spans="1:64" x14ac:dyDescent="0.25">
      <c r="A3476" s="762">
        <f t="shared" si="1218"/>
        <v>3471</v>
      </c>
      <c r="B3476" s="229"/>
      <c r="C3476" s="223"/>
      <c r="D3476" s="224"/>
      <c r="E3476" s="225"/>
      <c r="F3476" s="1036" t="str">
        <f t="shared" si="1224"/>
        <v/>
      </c>
      <c r="G3476" s="1037" t="str">
        <f t="shared" si="1219"/>
        <v/>
      </c>
      <c r="H3476" s="225"/>
      <c r="I3476" s="1013"/>
      <c r="J3476" s="1013"/>
      <c r="K3476" s="1028"/>
      <c r="L3476" s="1035" t="str">
        <f t="shared" si="1223"/>
        <v/>
      </c>
      <c r="S3476" s="498"/>
      <c r="AJ3476" s="498"/>
      <c r="AM3476" s="498">
        <f t="shared" si="1204"/>
        <v>0</v>
      </c>
      <c r="AN3476" s="498">
        <f t="shared" si="1205"/>
        <v>0</v>
      </c>
      <c r="AO3476" s="498">
        <f t="shared" si="1206"/>
        <v>0</v>
      </c>
      <c r="AP3476" s="498">
        <f t="shared" si="1225"/>
        <v>0</v>
      </c>
      <c r="AQ3476" s="498">
        <f t="shared" si="1220"/>
        <v>0</v>
      </c>
      <c r="AU3476" s="498">
        <f t="shared" si="1207"/>
        <v>0</v>
      </c>
      <c r="AV3476" s="498">
        <f t="shared" si="1208"/>
        <v>0</v>
      </c>
      <c r="AW3476" s="498">
        <f t="shared" si="1209"/>
        <v>0</v>
      </c>
      <c r="AX3476" s="498">
        <f t="shared" si="1210"/>
        <v>0</v>
      </c>
      <c r="AY3476" s="498">
        <f t="shared" si="1211"/>
        <v>0</v>
      </c>
      <c r="BB3476" s="498" t="str">
        <f t="shared" si="1212"/>
        <v/>
      </c>
      <c r="BC3476" s="743" t="str">
        <f t="shared" si="1213"/>
        <v/>
      </c>
      <c r="BD3476" s="743" t="str">
        <f t="shared" si="1214"/>
        <v/>
      </c>
      <c r="BE3476" s="743" t="str">
        <f>IF(D3476="","",VLOOKUP(D3476,'General Basis'!$J$39:$K$46,2,0))</f>
        <v/>
      </c>
      <c r="BF3476" s="744" t="str">
        <f>IF(D3476="","",VLOOKUP(D3476,'General Basis'!$J$39:$L$46,3,0))</f>
        <v/>
      </c>
      <c r="BG3476" s="744" t="str">
        <f t="shared" si="1221"/>
        <v/>
      </c>
      <c r="BH3476" s="744" t="str">
        <f>IF(G3476="","",IF(BF3476="Abu Dhabi",IF(G3476&lt;18,'General Basis'!$C$39,IF(G3476&lt;41,'General Basis'!$C$40,IF(G3476&lt;60,'General Basis'!$C$41,IF(G3476&lt;65,'General Basis'!$C$42,'General Basis'!$C$43)))),IF(G3476&lt;11,'General Basis'!$B$39,IF(G3476&lt;18,'General Basis'!$B$40,IF(G3476&lt;26,'General Basis'!$B$41,IF(G3476&lt;31,'General Basis'!$B$42,IF(G3476&lt;36,'General Basis'!$B$43,IF(G3476&lt;41,'General Basis'!$B$44,IF(G3476&lt;46,'General Basis'!$B$45,IF(G3476&lt;51,'General Basis'!$B$46,IF(G3476&lt;56,'General Basis'!$B$47,IF(G3476&lt;60,'General Basis'!$B$48,IF(G3476&lt;65,'General Basis'!$B$49,'General Basis'!$B$50)))))))))))))</f>
        <v/>
      </c>
      <c r="BI3476" s="744" t="str">
        <f t="shared" si="1215"/>
        <v/>
      </c>
      <c r="BJ3476" s="747" t="str">
        <f t="shared" si="1222"/>
        <v/>
      </c>
      <c r="BK3476" s="498" t="str">
        <f t="shared" si="1216"/>
        <v/>
      </c>
      <c r="BL3476" s="498" t="str">
        <f t="shared" si="1217"/>
        <v/>
      </c>
    </row>
    <row r="3477" spans="1:64" x14ac:dyDescent="0.25">
      <c r="A3477" s="762">
        <f t="shared" si="1218"/>
        <v>3472</v>
      </c>
      <c r="B3477" s="229"/>
      <c r="C3477" s="223"/>
      <c r="D3477" s="224"/>
      <c r="E3477" s="225"/>
      <c r="F3477" s="1036" t="str">
        <f t="shared" si="1224"/>
        <v/>
      </c>
      <c r="G3477" s="1037" t="str">
        <f t="shared" si="1219"/>
        <v/>
      </c>
      <c r="H3477" s="225"/>
      <c r="I3477" s="1013"/>
      <c r="J3477" s="1013"/>
      <c r="K3477" s="1028"/>
      <c r="L3477" s="1035" t="str">
        <f t="shared" si="1223"/>
        <v/>
      </c>
      <c r="S3477" s="498"/>
      <c r="AJ3477" s="498"/>
      <c r="AM3477" s="498">
        <f t="shared" si="1204"/>
        <v>0</v>
      </c>
      <c r="AN3477" s="498">
        <f t="shared" si="1205"/>
        <v>0</v>
      </c>
      <c r="AO3477" s="498">
        <f t="shared" si="1206"/>
        <v>0</v>
      </c>
      <c r="AP3477" s="498">
        <f t="shared" si="1225"/>
        <v>0</v>
      </c>
      <c r="AQ3477" s="498">
        <f t="shared" si="1220"/>
        <v>0</v>
      </c>
      <c r="AU3477" s="498">
        <f t="shared" si="1207"/>
        <v>0</v>
      </c>
      <c r="AV3477" s="498">
        <f t="shared" si="1208"/>
        <v>0</v>
      </c>
      <c r="AW3477" s="498">
        <f t="shared" si="1209"/>
        <v>0</v>
      </c>
      <c r="AX3477" s="498">
        <f t="shared" si="1210"/>
        <v>0</v>
      </c>
      <c r="AY3477" s="498">
        <f t="shared" si="1211"/>
        <v>0</v>
      </c>
      <c r="BB3477" s="498" t="str">
        <f t="shared" si="1212"/>
        <v/>
      </c>
      <c r="BC3477" s="743" t="str">
        <f t="shared" si="1213"/>
        <v/>
      </c>
      <c r="BD3477" s="743" t="str">
        <f t="shared" si="1214"/>
        <v/>
      </c>
      <c r="BE3477" s="743" t="str">
        <f>IF(D3477="","",VLOOKUP(D3477,'General Basis'!$J$39:$K$46,2,0))</f>
        <v/>
      </c>
      <c r="BF3477" s="744" t="str">
        <f>IF(D3477="","",VLOOKUP(D3477,'General Basis'!$J$39:$L$46,3,0))</f>
        <v/>
      </c>
      <c r="BG3477" s="744" t="str">
        <f t="shared" si="1221"/>
        <v/>
      </c>
      <c r="BH3477" s="744" t="str">
        <f>IF(G3477="","",IF(BF3477="Abu Dhabi",IF(G3477&lt;18,'General Basis'!$C$39,IF(G3477&lt;41,'General Basis'!$C$40,IF(G3477&lt;60,'General Basis'!$C$41,IF(G3477&lt;65,'General Basis'!$C$42,'General Basis'!$C$43)))),IF(G3477&lt;11,'General Basis'!$B$39,IF(G3477&lt;18,'General Basis'!$B$40,IF(G3477&lt;26,'General Basis'!$B$41,IF(G3477&lt;31,'General Basis'!$B$42,IF(G3477&lt;36,'General Basis'!$B$43,IF(G3477&lt;41,'General Basis'!$B$44,IF(G3477&lt;46,'General Basis'!$B$45,IF(G3477&lt;51,'General Basis'!$B$46,IF(G3477&lt;56,'General Basis'!$B$47,IF(G3477&lt;60,'General Basis'!$B$48,IF(G3477&lt;65,'General Basis'!$B$49,'General Basis'!$B$50)))))))))))))</f>
        <v/>
      </c>
      <c r="BI3477" s="744" t="str">
        <f t="shared" si="1215"/>
        <v/>
      </c>
      <c r="BJ3477" s="747" t="str">
        <f t="shared" si="1222"/>
        <v/>
      </c>
      <c r="BK3477" s="498" t="str">
        <f t="shared" si="1216"/>
        <v/>
      </c>
      <c r="BL3477" s="498" t="str">
        <f t="shared" si="1217"/>
        <v/>
      </c>
    </row>
    <row r="3478" spans="1:64" x14ac:dyDescent="0.25">
      <c r="A3478" s="762">
        <f t="shared" si="1218"/>
        <v>3473</v>
      </c>
      <c r="B3478" s="229"/>
      <c r="C3478" s="223"/>
      <c r="D3478" s="224"/>
      <c r="E3478" s="225"/>
      <c r="F3478" s="1036" t="str">
        <f t="shared" si="1224"/>
        <v/>
      </c>
      <c r="G3478" s="1037" t="str">
        <f t="shared" si="1219"/>
        <v/>
      </c>
      <c r="H3478" s="225"/>
      <c r="I3478" s="1013"/>
      <c r="J3478" s="1013"/>
      <c r="K3478" s="1028"/>
      <c r="L3478" s="1035" t="str">
        <f t="shared" si="1223"/>
        <v/>
      </c>
      <c r="S3478" s="498"/>
      <c r="AJ3478" s="498"/>
      <c r="AM3478" s="498">
        <f t="shared" si="1204"/>
        <v>0</v>
      </c>
      <c r="AN3478" s="498">
        <f t="shared" si="1205"/>
        <v>0</v>
      </c>
      <c r="AO3478" s="498">
        <f t="shared" si="1206"/>
        <v>0</v>
      </c>
      <c r="AP3478" s="498">
        <f t="shared" si="1225"/>
        <v>0</v>
      </c>
      <c r="AQ3478" s="498">
        <f t="shared" si="1220"/>
        <v>0</v>
      </c>
      <c r="AU3478" s="498">
        <f t="shared" si="1207"/>
        <v>0</v>
      </c>
      <c r="AV3478" s="498">
        <f t="shared" si="1208"/>
        <v>0</v>
      </c>
      <c r="AW3478" s="498">
        <f t="shared" si="1209"/>
        <v>0</v>
      </c>
      <c r="AX3478" s="498">
        <f t="shared" si="1210"/>
        <v>0</v>
      </c>
      <c r="AY3478" s="498">
        <f t="shared" si="1211"/>
        <v>0</v>
      </c>
      <c r="BB3478" s="498" t="str">
        <f t="shared" si="1212"/>
        <v/>
      </c>
      <c r="BC3478" s="743" t="str">
        <f t="shared" si="1213"/>
        <v/>
      </c>
      <c r="BD3478" s="743" t="str">
        <f t="shared" si="1214"/>
        <v/>
      </c>
      <c r="BE3478" s="743" t="str">
        <f>IF(D3478="","",VLOOKUP(D3478,'General Basis'!$J$39:$K$46,2,0))</f>
        <v/>
      </c>
      <c r="BF3478" s="744" t="str">
        <f>IF(D3478="","",VLOOKUP(D3478,'General Basis'!$J$39:$L$46,3,0))</f>
        <v/>
      </c>
      <c r="BG3478" s="744" t="str">
        <f t="shared" si="1221"/>
        <v/>
      </c>
      <c r="BH3478" s="744" t="str">
        <f>IF(G3478="","",IF(BF3478="Abu Dhabi",IF(G3478&lt;18,'General Basis'!$C$39,IF(G3478&lt;41,'General Basis'!$C$40,IF(G3478&lt;60,'General Basis'!$C$41,IF(G3478&lt;65,'General Basis'!$C$42,'General Basis'!$C$43)))),IF(G3478&lt;11,'General Basis'!$B$39,IF(G3478&lt;18,'General Basis'!$B$40,IF(G3478&lt;26,'General Basis'!$B$41,IF(G3478&lt;31,'General Basis'!$B$42,IF(G3478&lt;36,'General Basis'!$B$43,IF(G3478&lt;41,'General Basis'!$B$44,IF(G3478&lt;46,'General Basis'!$B$45,IF(G3478&lt;51,'General Basis'!$B$46,IF(G3478&lt;56,'General Basis'!$B$47,IF(G3478&lt;60,'General Basis'!$B$48,IF(G3478&lt;65,'General Basis'!$B$49,'General Basis'!$B$50)))))))))))))</f>
        <v/>
      </c>
      <c r="BI3478" s="744" t="str">
        <f t="shared" si="1215"/>
        <v/>
      </c>
      <c r="BJ3478" s="747" t="str">
        <f t="shared" si="1222"/>
        <v/>
      </c>
      <c r="BK3478" s="498" t="str">
        <f t="shared" si="1216"/>
        <v/>
      </c>
      <c r="BL3478" s="498" t="str">
        <f t="shared" si="1217"/>
        <v/>
      </c>
    </row>
    <row r="3479" spans="1:64" x14ac:dyDescent="0.25">
      <c r="A3479" s="762">
        <f t="shared" si="1218"/>
        <v>3474</v>
      </c>
      <c r="B3479" s="229"/>
      <c r="C3479" s="223"/>
      <c r="D3479" s="224"/>
      <c r="E3479" s="225"/>
      <c r="F3479" s="1036" t="str">
        <f t="shared" si="1224"/>
        <v/>
      </c>
      <c r="G3479" s="1037" t="str">
        <f t="shared" si="1219"/>
        <v/>
      </c>
      <c r="H3479" s="225"/>
      <c r="I3479" s="1013"/>
      <c r="J3479" s="1013"/>
      <c r="K3479" s="1028"/>
      <c r="L3479" s="1035" t="str">
        <f t="shared" si="1223"/>
        <v/>
      </c>
      <c r="S3479" s="498"/>
      <c r="AJ3479" s="498"/>
      <c r="AM3479" s="498">
        <f t="shared" si="1204"/>
        <v>0</v>
      </c>
      <c r="AN3479" s="498">
        <f t="shared" si="1205"/>
        <v>0</v>
      </c>
      <c r="AO3479" s="498">
        <f t="shared" si="1206"/>
        <v>0</v>
      </c>
      <c r="AP3479" s="498">
        <f t="shared" si="1225"/>
        <v>0</v>
      </c>
      <c r="AQ3479" s="498">
        <f t="shared" si="1220"/>
        <v>0</v>
      </c>
      <c r="AU3479" s="498">
        <f t="shared" si="1207"/>
        <v>0</v>
      </c>
      <c r="AV3479" s="498">
        <f t="shared" si="1208"/>
        <v>0</v>
      </c>
      <c r="AW3479" s="498">
        <f t="shared" si="1209"/>
        <v>0</v>
      </c>
      <c r="AX3479" s="498">
        <f t="shared" si="1210"/>
        <v>0</v>
      </c>
      <c r="AY3479" s="498">
        <f t="shared" si="1211"/>
        <v>0</v>
      </c>
      <c r="BB3479" s="498" t="str">
        <f t="shared" si="1212"/>
        <v/>
      </c>
      <c r="BC3479" s="743" t="str">
        <f t="shared" si="1213"/>
        <v/>
      </c>
      <c r="BD3479" s="743" t="str">
        <f t="shared" si="1214"/>
        <v/>
      </c>
      <c r="BE3479" s="743" t="str">
        <f>IF(D3479="","",VLOOKUP(D3479,'General Basis'!$J$39:$K$46,2,0))</f>
        <v/>
      </c>
      <c r="BF3479" s="744" t="str">
        <f>IF(D3479="","",VLOOKUP(D3479,'General Basis'!$J$39:$L$46,3,0))</f>
        <v/>
      </c>
      <c r="BG3479" s="744" t="str">
        <f t="shared" si="1221"/>
        <v/>
      </c>
      <c r="BH3479" s="744" t="str">
        <f>IF(G3479="","",IF(BF3479="Abu Dhabi",IF(G3479&lt;18,'General Basis'!$C$39,IF(G3479&lt;41,'General Basis'!$C$40,IF(G3479&lt;60,'General Basis'!$C$41,IF(G3479&lt;65,'General Basis'!$C$42,'General Basis'!$C$43)))),IF(G3479&lt;11,'General Basis'!$B$39,IF(G3479&lt;18,'General Basis'!$B$40,IF(G3479&lt;26,'General Basis'!$B$41,IF(G3479&lt;31,'General Basis'!$B$42,IF(G3479&lt;36,'General Basis'!$B$43,IF(G3479&lt;41,'General Basis'!$B$44,IF(G3479&lt;46,'General Basis'!$B$45,IF(G3479&lt;51,'General Basis'!$B$46,IF(G3479&lt;56,'General Basis'!$B$47,IF(G3479&lt;60,'General Basis'!$B$48,IF(G3479&lt;65,'General Basis'!$B$49,'General Basis'!$B$50)))))))))))))</f>
        <v/>
      </c>
      <c r="BI3479" s="744" t="str">
        <f t="shared" si="1215"/>
        <v/>
      </c>
      <c r="BJ3479" s="747" t="str">
        <f t="shared" si="1222"/>
        <v/>
      </c>
      <c r="BK3479" s="498" t="str">
        <f t="shared" si="1216"/>
        <v/>
      </c>
      <c r="BL3479" s="498" t="str">
        <f t="shared" si="1217"/>
        <v/>
      </c>
    </row>
    <row r="3480" spans="1:64" x14ac:dyDescent="0.25">
      <c r="A3480" s="762">
        <f t="shared" si="1218"/>
        <v>3475</v>
      </c>
      <c r="B3480" s="229"/>
      <c r="C3480" s="223"/>
      <c r="D3480" s="224"/>
      <c r="E3480" s="225"/>
      <c r="F3480" s="1036" t="str">
        <f t="shared" si="1224"/>
        <v/>
      </c>
      <c r="G3480" s="1037" t="str">
        <f t="shared" si="1219"/>
        <v/>
      </c>
      <c r="H3480" s="225"/>
      <c r="I3480" s="1013"/>
      <c r="J3480" s="1013"/>
      <c r="K3480" s="1028"/>
      <c r="L3480" s="1035" t="str">
        <f t="shared" si="1223"/>
        <v/>
      </c>
      <c r="S3480" s="498"/>
      <c r="AJ3480" s="498"/>
      <c r="AM3480" s="498">
        <f t="shared" si="1204"/>
        <v>0</v>
      </c>
      <c r="AN3480" s="498">
        <f t="shared" si="1205"/>
        <v>0</v>
      </c>
      <c r="AO3480" s="498">
        <f t="shared" si="1206"/>
        <v>0</v>
      </c>
      <c r="AP3480" s="498">
        <f t="shared" si="1225"/>
        <v>0</v>
      </c>
      <c r="AQ3480" s="498">
        <f t="shared" si="1220"/>
        <v>0</v>
      </c>
      <c r="AU3480" s="498">
        <f t="shared" si="1207"/>
        <v>0</v>
      </c>
      <c r="AV3480" s="498">
        <f t="shared" si="1208"/>
        <v>0</v>
      </c>
      <c r="AW3480" s="498">
        <f t="shared" si="1209"/>
        <v>0</v>
      </c>
      <c r="AX3480" s="498">
        <f t="shared" si="1210"/>
        <v>0</v>
      </c>
      <c r="AY3480" s="498">
        <f t="shared" si="1211"/>
        <v>0</v>
      </c>
      <c r="BB3480" s="498" t="str">
        <f t="shared" si="1212"/>
        <v/>
      </c>
      <c r="BC3480" s="743" t="str">
        <f t="shared" si="1213"/>
        <v/>
      </c>
      <c r="BD3480" s="743" t="str">
        <f t="shared" si="1214"/>
        <v/>
      </c>
      <c r="BE3480" s="743" t="str">
        <f>IF(D3480="","",VLOOKUP(D3480,'General Basis'!$J$39:$K$46,2,0))</f>
        <v/>
      </c>
      <c r="BF3480" s="744" t="str">
        <f>IF(D3480="","",VLOOKUP(D3480,'General Basis'!$J$39:$L$46,3,0))</f>
        <v/>
      </c>
      <c r="BG3480" s="744" t="str">
        <f t="shared" si="1221"/>
        <v/>
      </c>
      <c r="BH3480" s="744" t="str">
        <f>IF(G3480="","",IF(BF3480="Abu Dhabi",IF(G3480&lt;18,'General Basis'!$C$39,IF(G3480&lt;41,'General Basis'!$C$40,IF(G3480&lt;60,'General Basis'!$C$41,IF(G3480&lt;65,'General Basis'!$C$42,'General Basis'!$C$43)))),IF(G3480&lt;11,'General Basis'!$B$39,IF(G3480&lt;18,'General Basis'!$B$40,IF(G3480&lt;26,'General Basis'!$B$41,IF(G3480&lt;31,'General Basis'!$B$42,IF(G3480&lt;36,'General Basis'!$B$43,IF(G3480&lt;41,'General Basis'!$B$44,IF(G3480&lt;46,'General Basis'!$B$45,IF(G3480&lt;51,'General Basis'!$B$46,IF(G3480&lt;56,'General Basis'!$B$47,IF(G3480&lt;60,'General Basis'!$B$48,IF(G3480&lt;65,'General Basis'!$B$49,'General Basis'!$B$50)))))))))))))</f>
        <v/>
      </c>
      <c r="BI3480" s="744" t="str">
        <f t="shared" si="1215"/>
        <v/>
      </c>
      <c r="BJ3480" s="747" t="str">
        <f t="shared" si="1222"/>
        <v/>
      </c>
      <c r="BK3480" s="498" t="str">
        <f t="shared" si="1216"/>
        <v/>
      </c>
      <c r="BL3480" s="498" t="str">
        <f t="shared" si="1217"/>
        <v/>
      </c>
    </row>
    <row r="3481" spans="1:64" x14ac:dyDescent="0.25">
      <c r="A3481" s="762">
        <f t="shared" si="1218"/>
        <v>3476</v>
      </c>
      <c r="B3481" s="229"/>
      <c r="C3481" s="223"/>
      <c r="D3481" s="224"/>
      <c r="E3481" s="225"/>
      <c r="F3481" s="1036" t="str">
        <f t="shared" si="1224"/>
        <v/>
      </c>
      <c r="G3481" s="1037" t="str">
        <f t="shared" si="1219"/>
        <v/>
      </c>
      <c r="H3481" s="225"/>
      <c r="I3481" s="1013"/>
      <c r="J3481" s="1013"/>
      <c r="K3481" s="1028"/>
      <c r="L3481" s="1035" t="str">
        <f t="shared" si="1223"/>
        <v/>
      </c>
      <c r="S3481" s="498"/>
      <c r="AJ3481" s="498"/>
      <c r="AM3481" s="498">
        <f t="shared" si="1204"/>
        <v>0</v>
      </c>
      <c r="AN3481" s="498">
        <f t="shared" si="1205"/>
        <v>0</v>
      </c>
      <c r="AO3481" s="498">
        <f t="shared" si="1206"/>
        <v>0</v>
      </c>
      <c r="AP3481" s="498">
        <f t="shared" si="1225"/>
        <v>0</v>
      </c>
      <c r="AQ3481" s="498">
        <f t="shared" si="1220"/>
        <v>0</v>
      </c>
      <c r="AU3481" s="498">
        <f t="shared" si="1207"/>
        <v>0</v>
      </c>
      <c r="AV3481" s="498">
        <f t="shared" si="1208"/>
        <v>0</v>
      </c>
      <c r="AW3481" s="498">
        <f t="shared" si="1209"/>
        <v>0</v>
      </c>
      <c r="AX3481" s="498">
        <f t="shared" si="1210"/>
        <v>0</v>
      </c>
      <c r="AY3481" s="498">
        <f t="shared" si="1211"/>
        <v>0</v>
      </c>
      <c r="BB3481" s="498" t="str">
        <f t="shared" si="1212"/>
        <v/>
      </c>
      <c r="BC3481" s="743" t="str">
        <f t="shared" si="1213"/>
        <v/>
      </c>
      <c r="BD3481" s="743" t="str">
        <f t="shared" si="1214"/>
        <v/>
      </c>
      <c r="BE3481" s="743" t="str">
        <f>IF(D3481="","",VLOOKUP(D3481,'General Basis'!$J$39:$K$46,2,0))</f>
        <v/>
      </c>
      <c r="BF3481" s="744" t="str">
        <f>IF(D3481="","",VLOOKUP(D3481,'General Basis'!$J$39:$L$46,3,0))</f>
        <v/>
      </c>
      <c r="BG3481" s="744" t="str">
        <f t="shared" si="1221"/>
        <v/>
      </c>
      <c r="BH3481" s="744" t="str">
        <f>IF(G3481="","",IF(BF3481="Abu Dhabi",IF(G3481&lt;18,'General Basis'!$C$39,IF(G3481&lt;41,'General Basis'!$C$40,IF(G3481&lt;60,'General Basis'!$C$41,IF(G3481&lt;65,'General Basis'!$C$42,'General Basis'!$C$43)))),IF(G3481&lt;11,'General Basis'!$B$39,IF(G3481&lt;18,'General Basis'!$B$40,IF(G3481&lt;26,'General Basis'!$B$41,IF(G3481&lt;31,'General Basis'!$B$42,IF(G3481&lt;36,'General Basis'!$B$43,IF(G3481&lt;41,'General Basis'!$B$44,IF(G3481&lt;46,'General Basis'!$B$45,IF(G3481&lt;51,'General Basis'!$B$46,IF(G3481&lt;56,'General Basis'!$B$47,IF(G3481&lt;60,'General Basis'!$B$48,IF(G3481&lt;65,'General Basis'!$B$49,'General Basis'!$B$50)))))))))))))</f>
        <v/>
      </c>
      <c r="BI3481" s="744" t="str">
        <f t="shared" si="1215"/>
        <v/>
      </c>
      <c r="BJ3481" s="747" t="str">
        <f t="shared" si="1222"/>
        <v/>
      </c>
      <c r="BK3481" s="498" t="str">
        <f t="shared" si="1216"/>
        <v/>
      </c>
      <c r="BL3481" s="498" t="str">
        <f t="shared" si="1217"/>
        <v/>
      </c>
    </row>
    <row r="3482" spans="1:64" x14ac:dyDescent="0.25">
      <c r="A3482" s="762">
        <f t="shared" si="1218"/>
        <v>3477</v>
      </c>
      <c r="B3482" s="229"/>
      <c r="C3482" s="223"/>
      <c r="D3482" s="224"/>
      <c r="E3482" s="225"/>
      <c r="F3482" s="1036" t="str">
        <f t="shared" si="1224"/>
        <v/>
      </c>
      <c r="G3482" s="1037" t="str">
        <f t="shared" si="1219"/>
        <v/>
      </c>
      <c r="H3482" s="225"/>
      <c r="I3482" s="1013"/>
      <c r="J3482" s="1013"/>
      <c r="K3482" s="1028"/>
      <c r="L3482" s="1035" t="str">
        <f t="shared" si="1223"/>
        <v/>
      </c>
      <c r="S3482" s="498"/>
      <c r="AJ3482" s="498"/>
      <c r="AM3482" s="498">
        <f t="shared" si="1204"/>
        <v>0</v>
      </c>
      <c r="AN3482" s="498">
        <f t="shared" si="1205"/>
        <v>0</v>
      </c>
      <c r="AO3482" s="498">
        <f t="shared" si="1206"/>
        <v>0</v>
      </c>
      <c r="AP3482" s="498">
        <f t="shared" si="1225"/>
        <v>0</v>
      </c>
      <c r="AQ3482" s="498">
        <f t="shared" si="1220"/>
        <v>0</v>
      </c>
      <c r="AU3482" s="498">
        <f t="shared" si="1207"/>
        <v>0</v>
      </c>
      <c r="AV3482" s="498">
        <f t="shared" si="1208"/>
        <v>0</v>
      </c>
      <c r="AW3482" s="498">
        <f t="shared" si="1209"/>
        <v>0</v>
      </c>
      <c r="AX3482" s="498">
        <f t="shared" si="1210"/>
        <v>0</v>
      </c>
      <c r="AY3482" s="498">
        <f t="shared" si="1211"/>
        <v>0</v>
      </c>
      <c r="BB3482" s="498" t="str">
        <f t="shared" si="1212"/>
        <v/>
      </c>
      <c r="BC3482" s="743" t="str">
        <f t="shared" si="1213"/>
        <v/>
      </c>
      <c r="BD3482" s="743" t="str">
        <f t="shared" si="1214"/>
        <v/>
      </c>
      <c r="BE3482" s="743" t="str">
        <f>IF(D3482="","",VLOOKUP(D3482,'General Basis'!$J$39:$K$46,2,0))</f>
        <v/>
      </c>
      <c r="BF3482" s="744" t="str">
        <f>IF(D3482="","",VLOOKUP(D3482,'General Basis'!$J$39:$L$46,3,0))</f>
        <v/>
      </c>
      <c r="BG3482" s="744" t="str">
        <f t="shared" si="1221"/>
        <v/>
      </c>
      <c r="BH3482" s="744" t="str">
        <f>IF(G3482="","",IF(BF3482="Abu Dhabi",IF(G3482&lt;18,'General Basis'!$C$39,IF(G3482&lt;41,'General Basis'!$C$40,IF(G3482&lt;60,'General Basis'!$C$41,IF(G3482&lt;65,'General Basis'!$C$42,'General Basis'!$C$43)))),IF(G3482&lt;11,'General Basis'!$B$39,IF(G3482&lt;18,'General Basis'!$B$40,IF(G3482&lt;26,'General Basis'!$B$41,IF(G3482&lt;31,'General Basis'!$B$42,IF(G3482&lt;36,'General Basis'!$B$43,IF(G3482&lt;41,'General Basis'!$B$44,IF(G3482&lt;46,'General Basis'!$B$45,IF(G3482&lt;51,'General Basis'!$B$46,IF(G3482&lt;56,'General Basis'!$B$47,IF(G3482&lt;60,'General Basis'!$B$48,IF(G3482&lt;65,'General Basis'!$B$49,'General Basis'!$B$50)))))))))))))</f>
        <v/>
      </c>
      <c r="BI3482" s="744" t="str">
        <f t="shared" si="1215"/>
        <v/>
      </c>
      <c r="BJ3482" s="747" t="str">
        <f t="shared" si="1222"/>
        <v/>
      </c>
      <c r="BK3482" s="498" t="str">
        <f t="shared" si="1216"/>
        <v/>
      </c>
      <c r="BL3482" s="498" t="str">
        <f t="shared" si="1217"/>
        <v/>
      </c>
    </row>
    <row r="3483" spans="1:64" x14ac:dyDescent="0.25">
      <c r="A3483" s="762">
        <f t="shared" si="1218"/>
        <v>3478</v>
      </c>
      <c r="B3483" s="229"/>
      <c r="C3483" s="223"/>
      <c r="D3483" s="224"/>
      <c r="E3483" s="225"/>
      <c r="F3483" s="1036" t="str">
        <f t="shared" si="1224"/>
        <v/>
      </c>
      <c r="G3483" s="1037" t="str">
        <f t="shared" si="1219"/>
        <v/>
      </c>
      <c r="H3483" s="225"/>
      <c r="I3483" s="1013"/>
      <c r="J3483" s="1013"/>
      <c r="K3483" s="1028"/>
      <c r="L3483" s="1035" t="str">
        <f t="shared" si="1223"/>
        <v/>
      </c>
      <c r="S3483" s="498"/>
      <c r="AJ3483" s="498"/>
      <c r="AM3483" s="498">
        <f t="shared" si="1204"/>
        <v>0</v>
      </c>
      <c r="AN3483" s="498">
        <f t="shared" si="1205"/>
        <v>0</v>
      </c>
      <c r="AO3483" s="498">
        <f t="shared" si="1206"/>
        <v>0</v>
      </c>
      <c r="AP3483" s="498">
        <f t="shared" si="1225"/>
        <v>0</v>
      </c>
      <c r="AQ3483" s="498">
        <f t="shared" si="1220"/>
        <v>0</v>
      </c>
      <c r="AU3483" s="498">
        <f t="shared" si="1207"/>
        <v>0</v>
      </c>
      <c r="AV3483" s="498">
        <f t="shared" si="1208"/>
        <v>0</v>
      </c>
      <c r="AW3483" s="498">
        <f t="shared" si="1209"/>
        <v>0</v>
      </c>
      <c r="AX3483" s="498">
        <f t="shared" si="1210"/>
        <v>0</v>
      </c>
      <c r="AY3483" s="498">
        <f t="shared" si="1211"/>
        <v>0</v>
      </c>
      <c r="BB3483" s="498" t="str">
        <f t="shared" si="1212"/>
        <v/>
      </c>
      <c r="BC3483" s="743" t="str">
        <f t="shared" si="1213"/>
        <v/>
      </c>
      <c r="BD3483" s="743" t="str">
        <f t="shared" si="1214"/>
        <v/>
      </c>
      <c r="BE3483" s="743" t="str">
        <f>IF(D3483="","",VLOOKUP(D3483,'General Basis'!$J$39:$K$46,2,0))</f>
        <v/>
      </c>
      <c r="BF3483" s="744" t="str">
        <f>IF(D3483="","",VLOOKUP(D3483,'General Basis'!$J$39:$L$46,3,0))</f>
        <v/>
      </c>
      <c r="BG3483" s="744" t="str">
        <f t="shared" si="1221"/>
        <v/>
      </c>
      <c r="BH3483" s="744" t="str">
        <f>IF(G3483="","",IF(BF3483="Abu Dhabi",IF(G3483&lt;18,'General Basis'!$C$39,IF(G3483&lt;41,'General Basis'!$C$40,IF(G3483&lt;60,'General Basis'!$C$41,IF(G3483&lt;65,'General Basis'!$C$42,'General Basis'!$C$43)))),IF(G3483&lt;11,'General Basis'!$B$39,IF(G3483&lt;18,'General Basis'!$B$40,IF(G3483&lt;26,'General Basis'!$B$41,IF(G3483&lt;31,'General Basis'!$B$42,IF(G3483&lt;36,'General Basis'!$B$43,IF(G3483&lt;41,'General Basis'!$B$44,IF(G3483&lt;46,'General Basis'!$B$45,IF(G3483&lt;51,'General Basis'!$B$46,IF(G3483&lt;56,'General Basis'!$B$47,IF(G3483&lt;60,'General Basis'!$B$48,IF(G3483&lt;65,'General Basis'!$B$49,'General Basis'!$B$50)))))))))))))</f>
        <v/>
      </c>
      <c r="BI3483" s="744" t="str">
        <f t="shared" si="1215"/>
        <v/>
      </c>
      <c r="BJ3483" s="747" t="str">
        <f t="shared" si="1222"/>
        <v/>
      </c>
      <c r="BK3483" s="498" t="str">
        <f t="shared" si="1216"/>
        <v/>
      </c>
      <c r="BL3483" s="498" t="str">
        <f t="shared" si="1217"/>
        <v/>
      </c>
    </row>
    <row r="3484" spans="1:64" x14ac:dyDescent="0.25">
      <c r="A3484" s="762">
        <f t="shared" si="1218"/>
        <v>3479</v>
      </c>
      <c r="B3484" s="229"/>
      <c r="C3484" s="223"/>
      <c r="D3484" s="224"/>
      <c r="E3484" s="225"/>
      <c r="F3484" s="1036" t="str">
        <f t="shared" si="1224"/>
        <v/>
      </c>
      <c r="G3484" s="1037" t="str">
        <f t="shared" si="1219"/>
        <v/>
      </c>
      <c r="H3484" s="225"/>
      <c r="I3484" s="1013"/>
      <c r="J3484" s="1013"/>
      <c r="K3484" s="1028"/>
      <c r="L3484" s="1035" t="str">
        <f t="shared" si="1223"/>
        <v/>
      </c>
      <c r="S3484" s="498"/>
      <c r="AJ3484" s="498"/>
      <c r="AM3484" s="498">
        <f t="shared" si="1204"/>
        <v>0</v>
      </c>
      <c r="AN3484" s="498">
        <f t="shared" si="1205"/>
        <v>0</v>
      </c>
      <c r="AO3484" s="498">
        <f t="shared" si="1206"/>
        <v>0</v>
      </c>
      <c r="AP3484" s="498">
        <f t="shared" si="1225"/>
        <v>0</v>
      </c>
      <c r="AQ3484" s="498">
        <f t="shared" si="1220"/>
        <v>0</v>
      </c>
      <c r="AU3484" s="498">
        <f t="shared" si="1207"/>
        <v>0</v>
      </c>
      <c r="AV3484" s="498">
        <f t="shared" si="1208"/>
        <v>0</v>
      </c>
      <c r="AW3484" s="498">
        <f t="shared" si="1209"/>
        <v>0</v>
      </c>
      <c r="AX3484" s="498">
        <f t="shared" si="1210"/>
        <v>0</v>
      </c>
      <c r="AY3484" s="498">
        <f t="shared" si="1211"/>
        <v>0</v>
      </c>
      <c r="BB3484" s="498" t="str">
        <f t="shared" si="1212"/>
        <v/>
      </c>
      <c r="BC3484" s="743" t="str">
        <f t="shared" si="1213"/>
        <v/>
      </c>
      <c r="BD3484" s="743" t="str">
        <f t="shared" si="1214"/>
        <v/>
      </c>
      <c r="BE3484" s="743" t="str">
        <f>IF(D3484="","",VLOOKUP(D3484,'General Basis'!$J$39:$K$46,2,0))</f>
        <v/>
      </c>
      <c r="BF3484" s="744" t="str">
        <f>IF(D3484="","",VLOOKUP(D3484,'General Basis'!$J$39:$L$46,3,0))</f>
        <v/>
      </c>
      <c r="BG3484" s="744" t="str">
        <f t="shared" si="1221"/>
        <v/>
      </c>
      <c r="BH3484" s="744" t="str">
        <f>IF(G3484="","",IF(BF3484="Abu Dhabi",IF(G3484&lt;18,'General Basis'!$C$39,IF(G3484&lt;41,'General Basis'!$C$40,IF(G3484&lt;60,'General Basis'!$C$41,IF(G3484&lt;65,'General Basis'!$C$42,'General Basis'!$C$43)))),IF(G3484&lt;11,'General Basis'!$B$39,IF(G3484&lt;18,'General Basis'!$B$40,IF(G3484&lt;26,'General Basis'!$B$41,IF(G3484&lt;31,'General Basis'!$B$42,IF(G3484&lt;36,'General Basis'!$B$43,IF(G3484&lt;41,'General Basis'!$B$44,IF(G3484&lt;46,'General Basis'!$B$45,IF(G3484&lt;51,'General Basis'!$B$46,IF(G3484&lt;56,'General Basis'!$B$47,IF(G3484&lt;60,'General Basis'!$B$48,IF(G3484&lt;65,'General Basis'!$B$49,'General Basis'!$B$50)))))))))))))</f>
        <v/>
      </c>
      <c r="BI3484" s="744" t="str">
        <f t="shared" si="1215"/>
        <v/>
      </c>
      <c r="BJ3484" s="747" t="str">
        <f t="shared" si="1222"/>
        <v/>
      </c>
      <c r="BK3484" s="498" t="str">
        <f t="shared" si="1216"/>
        <v/>
      </c>
      <c r="BL3484" s="498" t="str">
        <f t="shared" si="1217"/>
        <v/>
      </c>
    </row>
    <row r="3485" spans="1:64" x14ac:dyDescent="0.25">
      <c r="A3485" s="762">
        <f t="shared" si="1218"/>
        <v>3480</v>
      </c>
      <c r="B3485" s="229"/>
      <c r="C3485" s="223"/>
      <c r="D3485" s="224"/>
      <c r="E3485" s="225"/>
      <c r="F3485" s="1036" t="str">
        <f t="shared" si="1224"/>
        <v/>
      </c>
      <c r="G3485" s="1037" t="str">
        <f t="shared" si="1219"/>
        <v/>
      </c>
      <c r="H3485" s="225"/>
      <c r="I3485" s="1013"/>
      <c r="J3485" s="1013"/>
      <c r="K3485" s="1028"/>
      <c r="L3485" s="1035" t="str">
        <f t="shared" si="1223"/>
        <v/>
      </c>
      <c r="S3485" s="498"/>
      <c r="AJ3485" s="498"/>
      <c r="AM3485" s="498">
        <f t="shared" si="1204"/>
        <v>0</v>
      </c>
      <c r="AN3485" s="498">
        <f t="shared" si="1205"/>
        <v>0</v>
      </c>
      <c r="AO3485" s="498">
        <f t="shared" si="1206"/>
        <v>0</v>
      </c>
      <c r="AP3485" s="498">
        <f t="shared" si="1225"/>
        <v>0</v>
      </c>
      <c r="AQ3485" s="498">
        <f t="shared" si="1220"/>
        <v>0</v>
      </c>
      <c r="AU3485" s="498">
        <f t="shared" si="1207"/>
        <v>0</v>
      </c>
      <c r="AV3485" s="498">
        <f t="shared" si="1208"/>
        <v>0</v>
      </c>
      <c r="AW3485" s="498">
        <f t="shared" si="1209"/>
        <v>0</v>
      </c>
      <c r="AX3485" s="498">
        <f t="shared" si="1210"/>
        <v>0</v>
      </c>
      <c r="AY3485" s="498">
        <f t="shared" si="1211"/>
        <v>0</v>
      </c>
      <c r="BB3485" s="498" t="str">
        <f t="shared" si="1212"/>
        <v/>
      </c>
      <c r="BC3485" s="743" t="str">
        <f t="shared" si="1213"/>
        <v/>
      </c>
      <c r="BD3485" s="743" t="str">
        <f t="shared" si="1214"/>
        <v/>
      </c>
      <c r="BE3485" s="743" t="str">
        <f>IF(D3485="","",VLOOKUP(D3485,'General Basis'!$J$39:$K$46,2,0))</f>
        <v/>
      </c>
      <c r="BF3485" s="744" t="str">
        <f>IF(D3485="","",VLOOKUP(D3485,'General Basis'!$J$39:$L$46,3,0))</f>
        <v/>
      </c>
      <c r="BG3485" s="744" t="str">
        <f t="shared" si="1221"/>
        <v/>
      </c>
      <c r="BH3485" s="744" t="str">
        <f>IF(G3485="","",IF(BF3485="Abu Dhabi",IF(G3485&lt;18,'General Basis'!$C$39,IF(G3485&lt;41,'General Basis'!$C$40,IF(G3485&lt;60,'General Basis'!$C$41,IF(G3485&lt;65,'General Basis'!$C$42,'General Basis'!$C$43)))),IF(G3485&lt;11,'General Basis'!$B$39,IF(G3485&lt;18,'General Basis'!$B$40,IF(G3485&lt;26,'General Basis'!$B$41,IF(G3485&lt;31,'General Basis'!$B$42,IF(G3485&lt;36,'General Basis'!$B$43,IF(G3485&lt;41,'General Basis'!$B$44,IF(G3485&lt;46,'General Basis'!$B$45,IF(G3485&lt;51,'General Basis'!$B$46,IF(G3485&lt;56,'General Basis'!$B$47,IF(G3485&lt;60,'General Basis'!$B$48,IF(G3485&lt;65,'General Basis'!$B$49,'General Basis'!$B$50)))))))))))))</f>
        <v/>
      </c>
      <c r="BI3485" s="744" t="str">
        <f t="shared" si="1215"/>
        <v/>
      </c>
      <c r="BJ3485" s="747" t="str">
        <f t="shared" si="1222"/>
        <v/>
      </c>
      <c r="BK3485" s="498" t="str">
        <f t="shared" si="1216"/>
        <v/>
      </c>
      <c r="BL3485" s="498" t="str">
        <f t="shared" si="1217"/>
        <v/>
      </c>
    </row>
    <row r="3486" spans="1:64" x14ac:dyDescent="0.25">
      <c r="A3486" s="762">
        <f t="shared" si="1218"/>
        <v>3481</v>
      </c>
      <c r="B3486" s="229"/>
      <c r="C3486" s="223"/>
      <c r="D3486" s="224"/>
      <c r="E3486" s="225"/>
      <c r="F3486" s="1036" t="str">
        <f t="shared" si="1224"/>
        <v/>
      </c>
      <c r="G3486" s="1037" t="str">
        <f t="shared" si="1219"/>
        <v/>
      </c>
      <c r="H3486" s="225"/>
      <c r="I3486" s="1013"/>
      <c r="J3486" s="1013"/>
      <c r="K3486" s="1028"/>
      <c r="L3486" s="1035" t="str">
        <f t="shared" si="1223"/>
        <v/>
      </c>
      <c r="S3486" s="498"/>
      <c r="AJ3486" s="498"/>
      <c r="AM3486" s="498">
        <f t="shared" si="1204"/>
        <v>0</v>
      </c>
      <c r="AN3486" s="498">
        <f t="shared" si="1205"/>
        <v>0</v>
      </c>
      <c r="AO3486" s="498">
        <f t="shared" si="1206"/>
        <v>0</v>
      </c>
      <c r="AP3486" s="498">
        <f t="shared" si="1225"/>
        <v>0</v>
      </c>
      <c r="AQ3486" s="498">
        <f t="shared" si="1220"/>
        <v>0</v>
      </c>
      <c r="AU3486" s="498">
        <f t="shared" si="1207"/>
        <v>0</v>
      </c>
      <c r="AV3486" s="498">
        <f t="shared" si="1208"/>
        <v>0</v>
      </c>
      <c r="AW3486" s="498">
        <f t="shared" si="1209"/>
        <v>0</v>
      </c>
      <c r="AX3486" s="498">
        <f t="shared" si="1210"/>
        <v>0</v>
      </c>
      <c r="AY3486" s="498">
        <f t="shared" si="1211"/>
        <v>0</v>
      </c>
      <c r="BB3486" s="498" t="str">
        <f t="shared" si="1212"/>
        <v/>
      </c>
      <c r="BC3486" s="743" t="str">
        <f t="shared" si="1213"/>
        <v/>
      </c>
      <c r="BD3486" s="743" t="str">
        <f t="shared" si="1214"/>
        <v/>
      </c>
      <c r="BE3486" s="743" t="str">
        <f>IF(D3486="","",VLOOKUP(D3486,'General Basis'!$J$39:$K$46,2,0))</f>
        <v/>
      </c>
      <c r="BF3486" s="744" t="str">
        <f>IF(D3486="","",VLOOKUP(D3486,'General Basis'!$J$39:$L$46,3,0))</f>
        <v/>
      </c>
      <c r="BG3486" s="744" t="str">
        <f t="shared" si="1221"/>
        <v/>
      </c>
      <c r="BH3486" s="744" t="str">
        <f>IF(G3486="","",IF(BF3486="Abu Dhabi",IF(G3486&lt;18,'General Basis'!$C$39,IF(G3486&lt;41,'General Basis'!$C$40,IF(G3486&lt;60,'General Basis'!$C$41,IF(G3486&lt;65,'General Basis'!$C$42,'General Basis'!$C$43)))),IF(G3486&lt;11,'General Basis'!$B$39,IF(G3486&lt;18,'General Basis'!$B$40,IF(G3486&lt;26,'General Basis'!$B$41,IF(G3486&lt;31,'General Basis'!$B$42,IF(G3486&lt;36,'General Basis'!$B$43,IF(G3486&lt;41,'General Basis'!$B$44,IF(G3486&lt;46,'General Basis'!$B$45,IF(G3486&lt;51,'General Basis'!$B$46,IF(G3486&lt;56,'General Basis'!$B$47,IF(G3486&lt;60,'General Basis'!$B$48,IF(G3486&lt;65,'General Basis'!$B$49,'General Basis'!$B$50)))))))))))))</f>
        <v/>
      </c>
      <c r="BI3486" s="744" t="str">
        <f t="shared" si="1215"/>
        <v/>
      </c>
      <c r="BJ3486" s="747" t="str">
        <f t="shared" si="1222"/>
        <v/>
      </c>
      <c r="BK3486" s="498" t="str">
        <f t="shared" si="1216"/>
        <v/>
      </c>
      <c r="BL3486" s="498" t="str">
        <f t="shared" si="1217"/>
        <v/>
      </c>
    </row>
    <row r="3487" spans="1:64" x14ac:dyDescent="0.25">
      <c r="A3487" s="762">
        <f t="shared" si="1218"/>
        <v>3482</v>
      </c>
      <c r="B3487" s="229"/>
      <c r="C3487" s="223"/>
      <c r="D3487" s="224"/>
      <c r="E3487" s="225"/>
      <c r="F3487" s="1036" t="str">
        <f t="shared" si="1224"/>
        <v/>
      </c>
      <c r="G3487" s="1037" t="str">
        <f t="shared" si="1219"/>
        <v/>
      </c>
      <c r="H3487" s="225"/>
      <c r="I3487" s="1013"/>
      <c r="J3487" s="1013"/>
      <c r="K3487" s="1028"/>
      <c r="L3487" s="1035" t="str">
        <f t="shared" si="1223"/>
        <v/>
      </c>
      <c r="S3487" s="498"/>
      <c r="AJ3487" s="498"/>
      <c r="AM3487" s="498">
        <f t="shared" si="1204"/>
        <v>0</v>
      </c>
      <c r="AN3487" s="498">
        <f t="shared" si="1205"/>
        <v>0</v>
      </c>
      <c r="AO3487" s="498">
        <f t="shared" si="1206"/>
        <v>0</v>
      </c>
      <c r="AP3487" s="498">
        <f t="shared" si="1225"/>
        <v>0</v>
      </c>
      <c r="AQ3487" s="498">
        <f t="shared" si="1220"/>
        <v>0</v>
      </c>
      <c r="AU3487" s="498">
        <f t="shared" si="1207"/>
        <v>0</v>
      </c>
      <c r="AV3487" s="498">
        <f t="shared" si="1208"/>
        <v>0</v>
      </c>
      <c r="AW3487" s="498">
        <f t="shared" si="1209"/>
        <v>0</v>
      </c>
      <c r="AX3487" s="498">
        <f t="shared" si="1210"/>
        <v>0</v>
      </c>
      <c r="AY3487" s="498">
        <f t="shared" si="1211"/>
        <v>0</v>
      </c>
      <c r="BB3487" s="498" t="str">
        <f t="shared" si="1212"/>
        <v/>
      </c>
      <c r="BC3487" s="743" t="str">
        <f t="shared" si="1213"/>
        <v/>
      </c>
      <c r="BD3487" s="743" t="str">
        <f t="shared" si="1214"/>
        <v/>
      </c>
      <c r="BE3487" s="743" t="str">
        <f>IF(D3487="","",VLOOKUP(D3487,'General Basis'!$J$39:$K$46,2,0))</f>
        <v/>
      </c>
      <c r="BF3487" s="744" t="str">
        <f>IF(D3487="","",VLOOKUP(D3487,'General Basis'!$J$39:$L$46,3,0))</f>
        <v/>
      </c>
      <c r="BG3487" s="744" t="str">
        <f t="shared" si="1221"/>
        <v/>
      </c>
      <c r="BH3487" s="744" t="str">
        <f>IF(G3487="","",IF(BF3487="Abu Dhabi",IF(G3487&lt;18,'General Basis'!$C$39,IF(G3487&lt;41,'General Basis'!$C$40,IF(G3487&lt;60,'General Basis'!$C$41,IF(G3487&lt;65,'General Basis'!$C$42,'General Basis'!$C$43)))),IF(G3487&lt;11,'General Basis'!$B$39,IF(G3487&lt;18,'General Basis'!$B$40,IF(G3487&lt;26,'General Basis'!$B$41,IF(G3487&lt;31,'General Basis'!$B$42,IF(G3487&lt;36,'General Basis'!$B$43,IF(G3487&lt;41,'General Basis'!$B$44,IF(G3487&lt;46,'General Basis'!$B$45,IF(G3487&lt;51,'General Basis'!$B$46,IF(G3487&lt;56,'General Basis'!$B$47,IF(G3487&lt;60,'General Basis'!$B$48,IF(G3487&lt;65,'General Basis'!$B$49,'General Basis'!$B$50)))))))))))))</f>
        <v/>
      </c>
      <c r="BI3487" s="744" t="str">
        <f t="shared" si="1215"/>
        <v/>
      </c>
      <c r="BJ3487" s="747" t="str">
        <f t="shared" si="1222"/>
        <v/>
      </c>
      <c r="BK3487" s="498" t="str">
        <f t="shared" si="1216"/>
        <v/>
      </c>
      <c r="BL3487" s="498" t="str">
        <f t="shared" si="1217"/>
        <v/>
      </c>
    </row>
    <row r="3488" spans="1:64" x14ac:dyDescent="0.25">
      <c r="A3488" s="762">
        <f t="shared" si="1218"/>
        <v>3483</v>
      </c>
      <c r="B3488" s="229"/>
      <c r="C3488" s="223"/>
      <c r="D3488" s="224"/>
      <c r="E3488" s="225"/>
      <c r="F3488" s="1036" t="str">
        <f t="shared" si="1224"/>
        <v/>
      </c>
      <c r="G3488" s="1037" t="str">
        <f t="shared" si="1219"/>
        <v/>
      </c>
      <c r="H3488" s="225"/>
      <c r="I3488" s="1013"/>
      <c r="J3488" s="1013"/>
      <c r="K3488" s="1028"/>
      <c r="L3488" s="1035" t="str">
        <f t="shared" si="1223"/>
        <v/>
      </c>
      <c r="S3488" s="498"/>
      <c r="AJ3488" s="498"/>
      <c r="AM3488" s="498">
        <f t="shared" si="1204"/>
        <v>0</v>
      </c>
      <c r="AN3488" s="498">
        <f t="shared" si="1205"/>
        <v>0</v>
      </c>
      <c r="AO3488" s="498">
        <f t="shared" si="1206"/>
        <v>0</v>
      </c>
      <c r="AP3488" s="498">
        <f t="shared" si="1225"/>
        <v>0</v>
      </c>
      <c r="AQ3488" s="498">
        <f t="shared" si="1220"/>
        <v>0</v>
      </c>
      <c r="AU3488" s="498">
        <f t="shared" si="1207"/>
        <v>0</v>
      </c>
      <c r="AV3488" s="498">
        <f t="shared" si="1208"/>
        <v>0</v>
      </c>
      <c r="AW3488" s="498">
        <f t="shared" si="1209"/>
        <v>0</v>
      </c>
      <c r="AX3488" s="498">
        <f t="shared" si="1210"/>
        <v>0</v>
      </c>
      <c r="AY3488" s="498">
        <f t="shared" si="1211"/>
        <v>0</v>
      </c>
      <c r="BB3488" s="498" t="str">
        <f t="shared" si="1212"/>
        <v/>
      </c>
      <c r="BC3488" s="743" t="str">
        <f t="shared" si="1213"/>
        <v/>
      </c>
      <c r="BD3488" s="743" t="str">
        <f t="shared" si="1214"/>
        <v/>
      </c>
      <c r="BE3488" s="743" t="str">
        <f>IF(D3488="","",VLOOKUP(D3488,'General Basis'!$J$39:$K$46,2,0))</f>
        <v/>
      </c>
      <c r="BF3488" s="744" t="str">
        <f>IF(D3488="","",VLOOKUP(D3488,'General Basis'!$J$39:$L$46,3,0))</f>
        <v/>
      </c>
      <c r="BG3488" s="744" t="str">
        <f t="shared" si="1221"/>
        <v/>
      </c>
      <c r="BH3488" s="744" t="str">
        <f>IF(G3488="","",IF(BF3488="Abu Dhabi",IF(G3488&lt;18,'General Basis'!$C$39,IF(G3488&lt;41,'General Basis'!$C$40,IF(G3488&lt;60,'General Basis'!$C$41,IF(G3488&lt;65,'General Basis'!$C$42,'General Basis'!$C$43)))),IF(G3488&lt;11,'General Basis'!$B$39,IF(G3488&lt;18,'General Basis'!$B$40,IF(G3488&lt;26,'General Basis'!$B$41,IF(G3488&lt;31,'General Basis'!$B$42,IF(G3488&lt;36,'General Basis'!$B$43,IF(G3488&lt;41,'General Basis'!$B$44,IF(G3488&lt;46,'General Basis'!$B$45,IF(G3488&lt;51,'General Basis'!$B$46,IF(G3488&lt;56,'General Basis'!$B$47,IF(G3488&lt;60,'General Basis'!$B$48,IF(G3488&lt;65,'General Basis'!$B$49,'General Basis'!$B$50)))))))))))))</f>
        <v/>
      </c>
      <c r="BI3488" s="744" t="str">
        <f t="shared" si="1215"/>
        <v/>
      </c>
      <c r="BJ3488" s="747" t="str">
        <f t="shared" si="1222"/>
        <v/>
      </c>
      <c r="BK3488" s="498" t="str">
        <f t="shared" si="1216"/>
        <v/>
      </c>
      <c r="BL3488" s="498" t="str">
        <f t="shared" si="1217"/>
        <v/>
      </c>
    </row>
    <row r="3489" spans="1:64" x14ac:dyDescent="0.25">
      <c r="A3489" s="762">
        <f t="shared" si="1218"/>
        <v>3484</v>
      </c>
      <c r="B3489" s="229"/>
      <c r="C3489" s="223"/>
      <c r="D3489" s="224"/>
      <c r="E3489" s="225"/>
      <c r="F3489" s="1036" t="str">
        <f t="shared" si="1224"/>
        <v/>
      </c>
      <c r="G3489" s="1037" t="str">
        <f t="shared" si="1219"/>
        <v/>
      </c>
      <c r="H3489" s="225"/>
      <c r="I3489" s="1013"/>
      <c r="J3489" s="1013"/>
      <c r="K3489" s="1028"/>
      <c r="L3489" s="1035" t="str">
        <f t="shared" si="1223"/>
        <v/>
      </c>
      <c r="S3489" s="498"/>
      <c r="AJ3489" s="498"/>
      <c r="AM3489" s="498">
        <f t="shared" si="1204"/>
        <v>0</v>
      </c>
      <c r="AN3489" s="498">
        <f t="shared" si="1205"/>
        <v>0</v>
      </c>
      <c r="AO3489" s="498">
        <f t="shared" si="1206"/>
        <v>0</v>
      </c>
      <c r="AP3489" s="498">
        <f t="shared" si="1225"/>
        <v>0</v>
      </c>
      <c r="AQ3489" s="498">
        <f t="shared" si="1220"/>
        <v>0</v>
      </c>
      <c r="AU3489" s="498">
        <f t="shared" si="1207"/>
        <v>0</v>
      </c>
      <c r="AV3489" s="498">
        <f t="shared" si="1208"/>
        <v>0</v>
      </c>
      <c r="AW3489" s="498">
        <f t="shared" si="1209"/>
        <v>0</v>
      </c>
      <c r="AX3489" s="498">
        <f t="shared" si="1210"/>
        <v>0</v>
      </c>
      <c r="AY3489" s="498">
        <f t="shared" si="1211"/>
        <v>0</v>
      </c>
      <c r="BB3489" s="498" t="str">
        <f t="shared" si="1212"/>
        <v/>
      </c>
      <c r="BC3489" s="743" t="str">
        <f t="shared" si="1213"/>
        <v/>
      </c>
      <c r="BD3489" s="743" t="str">
        <f t="shared" si="1214"/>
        <v/>
      </c>
      <c r="BE3489" s="743" t="str">
        <f>IF(D3489="","",VLOOKUP(D3489,'General Basis'!$J$39:$K$46,2,0))</f>
        <v/>
      </c>
      <c r="BF3489" s="744" t="str">
        <f>IF(D3489="","",VLOOKUP(D3489,'General Basis'!$J$39:$L$46,3,0))</f>
        <v/>
      </c>
      <c r="BG3489" s="744" t="str">
        <f t="shared" si="1221"/>
        <v/>
      </c>
      <c r="BH3489" s="744" t="str">
        <f>IF(G3489="","",IF(BF3489="Abu Dhabi",IF(G3489&lt;18,'General Basis'!$C$39,IF(G3489&lt;41,'General Basis'!$C$40,IF(G3489&lt;60,'General Basis'!$C$41,IF(G3489&lt;65,'General Basis'!$C$42,'General Basis'!$C$43)))),IF(G3489&lt;11,'General Basis'!$B$39,IF(G3489&lt;18,'General Basis'!$B$40,IF(G3489&lt;26,'General Basis'!$B$41,IF(G3489&lt;31,'General Basis'!$B$42,IF(G3489&lt;36,'General Basis'!$B$43,IF(G3489&lt;41,'General Basis'!$B$44,IF(G3489&lt;46,'General Basis'!$B$45,IF(G3489&lt;51,'General Basis'!$B$46,IF(G3489&lt;56,'General Basis'!$B$47,IF(G3489&lt;60,'General Basis'!$B$48,IF(G3489&lt;65,'General Basis'!$B$49,'General Basis'!$B$50)))))))))))))</f>
        <v/>
      </c>
      <c r="BI3489" s="744" t="str">
        <f t="shared" si="1215"/>
        <v/>
      </c>
      <c r="BJ3489" s="747" t="str">
        <f t="shared" si="1222"/>
        <v/>
      </c>
      <c r="BK3489" s="498" t="str">
        <f t="shared" si="1216"/>
        <v/>
      </c>
      <c r="BL3489" s="498" t="str">
        <f t="shared" si="1217"/>
        <v/>
      </c>
    </row>
    <row r="3490" spans="1:64" x14ac:dyDescent="0.25">
      <c r="A3490" s="762">
        <f t="shared" si="1218"/>
        <v>3485</v>
      </c>
      <c r="B3490" s="229"/>
      <c r="C3490" s="223"/>
      <c r="D3490" s="224"/>
      <c r="E3490" s="225"/>
      <c r="F3490" s="1036" t="str">
        <f t="shared" si="1224"/>
        <v/>
      </c>
      <c r="G3490" s="1037" t="str">
        <f t="shared" si="1219"/>
        <v/>
      </c>
      <c r="H3490" s="225"/>
      <c r="I3490" s="1013"/>
      <c r="J3490" s="1013"/>
      <c r="K3490" s="1028"/>
      <c r="L3490" s="1035" t="str">
        <f t="shared" si="1223"/>
        <v/>
      </c>
      <c r="S3490" s="498"/>
      <c r="AJ3490" s="498"/>
      <c r="AM3490" s="498">
        <f t="shared" si="1204"/>
        <v>0</v>
      </c>
      <c r="AN3490" s="498">
        <f t="shared" si="1205"/>
        <v>0</v>
      </c>
      <c r="AO3490" s="498">
        <f t="shared" si="1206"/>
        <v>0</v>
      </c>
      <c r="AP3490" s="498">
        <f t="shared" si="1225"/>
        <v>0</v>
      </c>
      <c r="AQ3490" s="498">
        <f t="shared" si="1220"/>
        <v>0</v>
      </c>
      <c r="AU3490" s="498">
        <f t="shared" si="1207"/>
        <v>0</v>
      </c>
      <c r="AV3490" s="498">
        <f t="shared" si="1208"/>
        <v>0</v>
      </c>
      <c r="AW3490" s="498">
        <f t="shared" si="1209"/>
        <v>0</v>
      </c>
      <c r="AX3490" s="498">
        <f t="shared" si="1210"/>
        <v>0</v>
      </c>
      <c r="AY3490" s="498">
        <f t="shared" si="1211"/>
        <v>0</v>
      </c>
      <c r="BB3490" s="498" t="str">
        <f t="shared" si="1212"/>
        <v/>
      </c>
      <c r="BC3490" s="743" t="str">
        <f t="shared" si="1213"/>
        <v/>
      </c>
      <c r="BD3490" s="743" t="str">
        <f t="shared" si="1214"/>
        <v/>
      </c>
      <c r="BE3490" s="743" t="str">
        <f>IF(D3490="","",VLOOKUP(D3490,'General Basis'!$J$39:$K$46,2,0))</f>
        <v/>
      </c>
      <c r="BF3490" s="744" t="str">
        <f>IF(D3490="","",VLOOKUP(D3490,'General Basis'!$J$39:$L$46,3,0))</f>
        <v/>
      </c>
      <c r="BG3490" s="744" t="str">
        <f t="shared" si="1221"/>
        <v/>
      </c>
      <c r="BH3490" s="744" t="str">
        <f>IF(G3490="","",IF(BF3490="Abu Dhabi",IF(G3490&lt;18,'General Basis'!$C$39,IF(G3490&lt;41,'General Basis'!$C$40,IF(G3490&lt;60,'General Basis'!$C$41,IF(G3490&lt;65,'General Basis'!$C$42,'General Basis'!$C$43)))),IF(G3490&lt;11,'General Basis'!$B$39,IF(G3490&lt;18,'General Basis'!$B$40,IF(G3490&lt;26,'General Basis'!$B$41,IF(G3490&lt;31,'General Basis'!$B$42,IF(G3490&lt;36,'General Basis'!$B$43,IF(G3490&lt;41,'General Basis'!$B$44,IF(G3490&lt;46,'General Basis'!$B$45,IF(G3490&lt;51,'General Basis'!$B$46,IF(G3490&lt;56,'General Basis'!$B$47,IF(G3490&lt;60,'General Basis'!$B$48,IF(G3490&lt;65,'General Basis'!$B$49,'General Basis'!$B$50)))))))))))))</f>
        <v/>
      </c>
      <c r="BI3490" s="744" t="str">
        <f t="shared" si="1215"/>
        <v/>
      </c>
      <c r="BJ3490" s="747" t="str">
        <f t="shared" si="1222"/>
        <v/>
      </c>
      <c r="BK3490" s="498" t="str">
        <f t="shared" si="1216"/>
        <v/>
      </c>
      <c r="BL3490" s="498" t="str">
        <f t="shared" si="1217"/>
        <v/>
      </c>
    </row>
    <row r="3491" spans="1:64" x14ac:dyDescent="0.25">
      <c r="A3491" s="762">
        <f t="shared" si="1218"/>
        <v>3486</v>
      </c>
      <c r="B3491" s="229"/>
      <c r="C3491" s="223"/>
      <c r="D3491" s="224"/>
      <c r="E3491" s="225"/>
      <c r="F3491" s="1036" t="str">
        <f t="shared" si="1224"/>
        <v/>
      </c>
      <c r="G3491" s="1037" t="str">
        <f t="shared" si="1219"/>
        <v/>
      </c>
      <c r="H3491" s="225"/>
      <c r="I3491" s="1013"/>
      <c r="J3491" s="1013"/>
      <c r="K3491" s="1028"/>
      <c r="L3491" s="1035" t="str">
        <f t="shared" si="1223"/>
        <v/>
      </c>
      <c r="S3491" s="498"/>
      <c r="AJ3491" s="498"/>
      <c r="AM3491" s="498">
        <f t="shared" si="1204"/>
        <v>0</v>
      </c>
      <c r="AN3491" s="498">
        <f t="shared" si="1205"/>
        <v>0</v>
      </c>
      <c r="AO3491" s="498">
        <f t="shared" si="1206"/>
        <v>0</v>
      </c>
      <c r="AP3491" s="498">
        <f t="shared" si="1225"/>
        <v>0</v>
      </c>
      <c r="AQ3491" s="498">
        <f t="shared" si="1220"/>
        <v>0</v>
      </c>
      <c r="AU3491" s="498">
        <f t="shared" si="1207"/>
        <v>0</v>
      </c>
      <c r="AV3491" s="498">
        <f t="shared" si="1208"/>
        <v>0</v>
      </c>
      <c r="AW3491" s="498">
        <f t="shared" si="1209"/>
        <v>0</v>
      </c>
      <c r="AX3491" s="498">
        <f t="shared" si="1210"/>
        <v>0</v>
      </c>
      <c r="AY3491" s="498">
        <f t="shared" si="1211"/>
        <v>0</v>
      </c>
      <c r="BB3491" s="498" t="str">
        <f t="shared" si="1212"/>
        <v/>
      </c>
      <c r="BC3491" s="743" t="str">
        <f t="shared" si="1213"/>
        <v/>
      </c>
      <c r="BD3491" s="743" t="str">
        <f t="shared" si="1214"/>
        <v/>
      </c>
      <c r="BE3491" s="743" t="str">
        <f>IF(D3491="","",VLOOKUP(D3491,'General Basis'!$J$39:$K$46,2,0))</f>
        <v/>
      </c>
      <c r="BF3491" s="744" t="str">
        <f>IF(D3491="","",VLOOKUP(D3491,'General Basis'!$J$39:$L$46,3,0))</f>
        <v/>
      </c>
      <c r="BG3491" s="744" t="str">
        <f t="shared" si="1221"/>
        <v/>
      </c>
      <c r="BH3491" s="744" t="str">
        <f>IF(G3491="","",IF(BF3491="Abu Dhabi",IF(G3491&lt;18,'General Basis'!$C$39,IF(G3491&lt;41,'General Basis'!$C$40,IF(G3491&lt;60,'General Basis'!$C$41,IF(G3491&lt;65,'General Basis'!$C$42,'General Basis'!$C$43)))),IF(G3491&lt;11,'General Basis'!$B$39,IF(G3491&lt;18,'General Basis'!$B$40,IF(G3491&lt;26,'General Basis'!$B$41,IF(G3491&lt;31,'General Basis'!$B$42,IF(G3491&lt;36,'General Basis'!$B$43,IF(G3491&lt;41,'General Basis'!$B$44,IF(G3491&lt;46,'General Basis'!$B$45,IF(G3491&lt;51,'General Basis'!$B$46,IF(G3491&lt;56,'General Basis'!$B$47,IF(G3491&lt;60,'General Basis'!$B$48,IF(G3491&lt;65,'General Basis'!$B$49,'General Basis'!$B$50)))))))))))))</f>
        <v/>
      </c>
      <c r="BI3491" s="744" t="str">
        <f t="shared" si="1215"/>
        <v/>
      </c>
      <c r="BJ3491" s="747" t="str">
        <f t="shared" si="1222"/>
        <v/>
      </c>
      <c r="BK3491" s="498" t="str">
        <f t="shared" si="1216"/>
        <v/>
      </c>
      <c r="BL3491" s="498" t="str">
        <f t="shared" si="1217"/>
        <v/>
      </c>
    </row>
    <row r="3492" spans="1:64" x14ac:dyDescent="0.25">
      <c r="A3492" s="762">
        <f t="shared" si="1218"/>
        <v>3487</v>
      </c>
      <c r="B3492" s="229"/>
      <c r="C3492" s="223"/>
      <c r="D3492" s="224"/>
      <c r="E3492" s="225"/>
      <c r="F3492" s="1036" t="str">
        <f t="shared" si="1224"/>
        <v/>
      </c>
      <c r="G3492" s="1037" t="str">
        <f t="shared" si="1219"/>
        <v/>
      </c>
      <c r="H3492" s="225"/>
      <c r="I3492" s="1013"/>
      <c r="J3492" s="1013"/>
      <c r="K3492" s="1028"/>
      <c r="L3492" s="1035" t="str">
        <f t="shared" si="1223"/>
        <v/>
      </c>
      <c r="S3492" s="498"/>
      <c r="AJ3492" s="498"/>
      <c r="AM3492" s="498">
        <f t="shared" si="1204"/>
        <v>0</v>
      </c>
      <c r="AN3492" s="498">
        <f t="shared" si="1205"/>
        <v>0</v>
      </c>
      <c r="AO3492" s="498">
        <f t="shared" si="1206"/>
        <v>0</v>
      </c>
      <c r="AP3492" s="498">
        <f t="shared" si="1225"/>
        <v>0</v>
      </c>
      <c r="AQ3492" s="498">
        <f t="shared" si="1220"/>
        <v>0</v>
      </c>
      <c r="AU3492" s="498">
        <f t="shared" si="1207"/>
        <v>0</v>
      </c>
      <c r="AV3492" s="498">
        <f t="shared" si="1208"/>
        <v>0</v>
      </c>
      <c r="AW3492" s="498">
        <f t="shared" si="1209"/>
        <v>0</v>
      </c>
      <c r="AX3492" s="498">
        <f t="shared" si="1210"/>
        <v>0</v>
      </c>
      <c r="AY3492" s="498">
        <f t="shared" si="1211"/>
        <v>0</v>
      </c>
      <c r="BB3492" s="498" t="str">
        <f t="shared" si="1212"/>
        <v/>
      </c>
      <c r="BC3492" s="743" t="str">
        <f t="shared" si="1213"/>
        <v/>
      </c>
      <c r="BD3492" s="743" t="str">
        <f t="shared" si="1214"/>
        <v/>
      </c>
      <c r="BE3492" s="743" t="str">
        <f>IF(D3492="","",VLOOKUP(D3492,'General Basis'!$J$39:$K$46,2,0))</f>
        <v/>
      </c>
      <c r="BF3492" s="744" t="str">
        <f>IF(D3492="","",VLOOKUP(D3492,'General Basis'!$J$39:$L$46,3,0))</f>
        <v/>
      </c>
      <c r="BG3492" s="744" t="str">
        <f t="shared" si="1221"/>
        <v/>
      </c>
      <c r="BH3492" s="744" t="str">
        <f>IF(G3492="","",IF(BF3492="Abu Dhabi",IF(G3492&lt;18,'General Basis'!$C$39,IF(G3492&lt;41,'General Basis'!$C$40,IF(G3492&lt;60,'General Basis'!$C$41,IF(G3492&lt;65,'General Basis'!$C$42,'General Basis'!$C$43)))),IF(G3492&lt;11,'General Basis'!$B$39,IF(G3492&lt;18,'General Basis'!$B$40,IF(G3492&lt;26,'General Basis'!$B$41,IF(G3492&lt;31,'General Basis'!$B$42,IF(G3492&lt;36,'General Basis'!$B$43,IF(G3492&lt;41,'General Basis'!$B$44,IF(G3492&lt;46,'General Basis'!$B$45,IF(G3492&lt;51,'General Basis'!$B$46,IF(G3492&lt;56,'General Basis'!$B$47,IF(G3492&lt;60,'General Basis'!$B$48,IF(G3492&lt;65,'General Basis'!$B$49,'General Basis'!$B$50)))))))))))))</f>
        <v/>
      </c>
      <c r="BI3492" s="744" t="str">
        <f t="shared" si="1215"/>
        <v/>
      </c>
      <c r="BJ3492" s="747" t="str">
        <f t="shared" si="1222"/>
        <v/>
      </c>
      <c r="BK3492" s="498" t="str">
        <f t="shared" si="1216"/>
        <v/>
      </c>
      <c r="BL3492" s="498" t="str">
        <f t="shared" si="1217"/>
        <v/>
      </c>
    </row>
    <row r="3493" spans="1:64" x14ac:dyDescent="0.25">
      <c r="A3493" s="762">
        <f t="shared" si="1218"/>
        <v>3488</v>
      </c>
      <c r="B3493" s="229"/>
      <c r="C3493" s="223"/>
      <c r="D3493" s="224"/>
      <c r="E3493" s="225"/>
      <c r="F3493" s="1036" t="str">
        <f t="shared" si="1224"/>
        <v/>
      </c>
      <c r="G3493" s="1037" t="str">
        <f t="shared" si="1219"/>
        <v/>
      </c>
      <c r="H3493" s="225"/>
      <c r="I3493" s="1013"/>
      <c r="J3493" s="1013"/>
      <c r="K3493" s="1028"/>
      <c r="L3493" s="1035" t="str">
        <f t="shared" si="1223"/>
        <v/>
      </c>
      <c r="S3493" s="498"/>
      <c r="AJ3493" s="498"/>
      <c r="AM3493" s="498">
        <f t="shared" si="1204"/>
        <v>0</v>
      </c>
      <c r="AN3493" s="498">
        <f t="shared" si="1205"/>
        <v>0</v>
      </c>
      <c r="AO3493" s="498">
        <f t="shared" si="1206"/>
        <v>0</v>
      </c>
      <c r="AP3493" s="498">
        <f t="shared" si="1225"/>
        <v>0</v>
      </c>
      <c r="AQ3493" s="498">
        <f t="shared" si="1220"/>
        <v>0</v>
      </c>
      <c r="AU3493" s="498">
        <f t="shared" si="1207"/>
        <v>0</v>
      </c>
      <c r="AV3493" s="498">
        <f t="shared" si="1208"/>
        <v>0</v>
      </c>
      <c r="AW3493" s="498">
        <f t="shared" si="1209"/>
        <v>0</v>
      </c>
      <c r="AX3493" s="498">
        <f t="shared" si="1210"/>
        <v>0</v>
      </c>
      <c r="AY3493" s="498">
        <f t="shared" si="1211"/>
        <v>0</v>
      </c>
      <c r="BB3493" s="498" t="str">
        <f t="shared" si="1212"/>
        <v/>
      </c>
      <c r="BC3493" s="743" t="str">
        <f t="shared" si="1213"/>
        <v/>
      </c>
      <c r="BD3493" s="743" t="str">
        <f t="shared" si="1214"/>
        <v/>
      </c>
      <c r="BE3493" s="743" t="str">
        <f>IF(D3493="","",VLOOKUP(D3493,'General Basis'!$J$39:$K$46,2,0))</f>
        <v/>
      </c>
      <c r="BF3493" s="744" t="str">
        <f>IF(D3493="","",VLOOKUP(D3493,'General Basis'!$J$39:$L$46,3,0))</f>
        <v/>
      </c>
      <c r="BG3493" s="744" t="str">
        <f t="shared" si="1221"/>
        <v/>
      </c>
      <c r="BH3493" s="744" t="str">
        <f>IF(G3493="","",IF(BF3493="Abu Dhabi",IF(G3493&lt;18,'General Basis'!$C$39,IF(G3493&lt;41,'General Basis'!$C$40,IF(G3493&lt;60,'General Basis'!$C$41,IF(G3493&lt;65,'General Basis'!$C$42,'General Basis'!$C$43)))),IF(G3493&lt;11,'General Basis'!$B$39,IF(G3493&lt;18,'General Basis'!$B$40,IF(G3493&lt;26,'General Basis'!$B$41,IF(G3493&lt;31,'General Basis'!$B$42,IF(G3493&lt;36,'General Basis'!$B$43,IF(G3493&lt;41,'General Basis'!$B$44,IF(G3493&lt;46,'General Basis'!$B$45,IF(G3493&lt;51,'General Basis'!$B$46,IF(G3493&lt;56,'General Basis'!$B$47,IF(G3493&lt;60,'General Basis'!$B$48,IF(G3493&lt;65,'General Basis'!$B$49,'General Basis'!$B$50)))))))))))))</f>
        <v/>
      </c>
      <c r="BI3493" s="744" t="str">
        <f t="shared" si="1215"/>
        <v/>
      </c>
      <c r="BJ3493" s="747" t="str">
        <f t="shared" si="1222"/>
        <v/>
      </c>
      <c r="BK3493" s="498" t="str">
        <f t="shared" si="1216"/>
        <v/>
      </c>
      <c r="BL3493" s="498" t="str">
        <f t="shared" si="1217"/>
        <v/>
      </c>
    </row>
    <row r="3494" spans="1:64" x14ac:dyDescent="0.25">
      <c r="A3494" s="762">
        <f t="shared" si="1218"/>
        <v>3489</v>
      </c>
      <c r="B3494" s="229"/>
      <c r="C3494" s="223"/>
      <c r="D3494" s="224"/>
      <c r="E3494" s="225"/>
      <c r="F3494" s="1036" t="str">
        <f t="shared" si="1224"/>
        <v/>
      </c>
      <c r="G3494" s="1037" t="str">
        <f t="shared" si="1219"/>
        <v/>
      </c>
      <c r="H3494" s="225"/>
      <c r="I3494" s="1013"/>
      <c r="J3494" s="1013"/>
      <c r="K3494" s="1028"/>
      <c r="L3494" s="1035" t="str">
        <f t="shared" si="1223"/>
        <v/>
      </c>
      <c r="S3494" s="498"/>
      <c r="AJ3494" s="498"/>
      <c r="AM3494" s="498">
        <f t="shared" si="1204"/>
        <v>0</v>
      </c>
      <c r="AN3494" s="498">
        <f t="shared" si="1205"/>
        <v>0</v>
      </c>
      <c r="AO3494" s="498">
        <f t="shared" si="1206"/>
        <v>0</v>
      </c>
      <c r="AP3494" s="498">
        <f t="shared" si="1225"/>
        <v>0</v>
      </c>
      <c r="AQ3494" s="498">
        <f t="shared" si="1220"/>
        <v>0</v>
      </c>
      <c r="AU3494" s="498">
        <f t="shared" si="1207"/>
        <v>0</v>
      </c>
      <c r="AV3494" s="498">
        <f t="shared" si="1208"/>
        <v>0</v>
      </c>
      <c r="AW3494" s="498">
        <f t="shared" si="1209"/>
        <v>0</v>
      </c>
      <c r="AX3494" s="498">
        <f t="shared" si="1210"/>
        <v>0</v>
      </c>
      <c r="AY3494" s="498">
        <f t="shared" si="1211"/>
        <v>0</v>
      </c>
      <c r="BB3494" s="498" t="str">
        <f t="shared" si="1212"/>
        <v/>
      </c>
      <c r="BC3494" s="743" t="str">
        <f t="shared" si="1213"/>
        <v/>
      </c>
      <c r="BD3494" s="743" t="str">
        <f t="shared" si="1214"/>
        <v/>
      </c>
      <c r="BE3494" s="743" t="str">
        <f>IF(D3494="","",VLOOKUP(D3494,'General Basis'!$J$39:$K$46,2,0))</f>
        <v/>
      </c>
      <c r="BF3494" s="744" t="str">
        <f>IF(D3494="","",VLOOKUP(D3494,'General Basis'!$J$39:$L$46,3,0))</f>
        <v/>
      </c>
      <c r="BG3494" s="744" t="str">
        <f t="shared" si="1221"/>
        <v/>
      </c>
      <c r="BH3494" s="744" t="str">
        <f>IF(G3494="","",IF(BF3494="Abu Dhabi",IF(G3494&lt;18,'General Basis'!$C$39,IF(G3494&lt;41,'General Basis'!$C$40,IF(G3494&lt;60,'General Basis'!$C$41,IF(G3494&lt;65,'General Basis'!$C$42,'General Basis'!$C$43)))),IF(G3494&lt;11,'General Basis'!$B$39,IF(G3494&lt;18,'General Basis'!$B$40,IF(G3494&lt;26,'General Basis'!$B$41,IF(G3494&lt;31,'General Basis'!$B$42,IF(G3494&lt;36,'General Basis'!$B$43,IF(G3494&lt;41,'General Basis'!$B$44,IF(G3494&lt;46,'General Basis'!$B$45,IF(G3494&lt;51,'General Basis'!$B$46,IF(G3494&lt;56,'General Basis'!$B$47,IF(G3494&lt;60,'General Basis'!$B$48,IF(G3494&lt;65,'General Basis'!$B$49,'General Basis'!$B$50)))))))))))))</f>
        <v/>
      </c>
      <c r="BI3494" s="744" t="str">
        <f t="shared" si="1215"/>
        <v/>
      </c>
      <c r="BJ3494" s="747" t="str">
        <f t="shared" si="1222"/>
        <v/>
      </c>
      <c r="BK3494" s="498" t="str">
        <f t="shared" si="1216"/>
        <v/>
      </c>
      <c r="BL3494" s="498" t="str">
        <f t="shared" si="1217"/>
        <v/>
      </c>
    </row>
    <row r="3495" spans="1:64" x14ac:dyDescent="0.25">
      <c r="A3495" s="762">
        <f t="shared" si="1218"/>
        <v>3490</v>
      </c>
      <c r="B3495" s="229"/>
      <c r="C3495" s="223"/>
      <c r="D3495" s="224"/>
      <c r="E3495" s="225"/>
      <c r="F3495" s="1036" t="str">
        <f t="shared" si="1224"/>
        <v/>
      </c>
      <c r="G3495" s="1037" t="str">
        <f t="shared" si="1219"/>
        <v/>
      </c>
      <c r="H3495" s="225"/>
      <c r="I3495" s="1013"/>
      <c r="J3495" s="1013"/>
      <c r="K3495" s="1028"/>
      <c r="L3495" s="1035" t="str">
        <f t="shared" si="1223"/>
        <v/>
      </c>
      <c r="S3495" s="498"/>
      <c r="AJ3495" s="498"/>
      <c r="AM3495" s="498">
        <f t="shared" si="1204"/>
        <v>0</v>
      </c>
      <c r="AN3495" s="498">
        <f t="shared" si="1205"/>
        <v>0</v>
      </c>
      <c r="AO3495" s="498">
        <f t="shared" si="1206"/>
        <v>0</v>
      </c>
      <c r="AP3495" s="498">
        <f t="shared" si="1225"/>
        <v>0</v>
      </c>
      <c r="AQ3495" s="498">
        <f t="shared" si="1220"/>
        <v>0</v>
      </c>
      <c r="AU3495" s="498">
        <f t="shared" si="1207"/>
        <v>0</v>
      </c>
      <c r="AV3495" s="498">
        <f t="shared" si="1208"/>
        <v>0</v>
      </c>
      <c r="AW3495" s="498">
        <f t="shared" si="1209"/>
        <v>0</v>
      </c>
      <c r="AX3495" s="498">
        <f t="shared" si="1210"/>
        <v>0</v>
      </c>
      <c r="AY3495" s="498">
        <f t="shared" si="1211"/>
        <v>0</v>
      </c>
      <c r="BB3495" s="498" t="str">
        <f t="shared" si="1212"/>
        <v/>
      </c>
      <c r="BC3495" s="743" t="str">
        <f t="shared" si="1213"/>
        <v/>
      </c>
      <c r="BD3495" s="743" t="str">
        <f t="shared" si="1214"/>
        <v/>
      </c>
      <c r="BE3495" s="743" t="str">
        <f>IF(D3495="","",VLOOKUP(D3495,'General Basis'!$J$39:$K$46,2,0))</f>
        <v/>
      </c>
      <c r="BF3495" s="744" t="str">
        <f>IF(D3495="","",VLOOKUP(D3495,'General Basis'!$J$39:$L$46,3,0))</f>
        <v/>
      </c>
      <c r="BG3495" s="744" t="str">
        <f t="shared" si="1221"/>
        <v/>
      </c>
      <c r="BH3495" s="744" t="str">
        <f>IF(G3495="","",IF(BF3495="Abu Dhabi",IF(G3495&lt;18,'General Basis'!$C$39,IF(G3495&lt;41,'General Basis'!$C$40,IF(G3495&lt;60,'General Basis'!$C$41,IF(G3495&lt;65,'General Basis'!$C$42,'General Basis'!$C$43)))),IF(G3495&lt;11,'General Basis'!$B$39,IF(G3495&lt;18,'General Basis'!$B$40,IF(G3495&lt;26,'General Basis'!$B$41,IF(G3495&lt;31,'General Basis'!$B$42,IF(G3495&lt;36,'General Basis'!$B$43,IF(G3495&lt;41,'General Basis'!$B$44,IF(G3495&lt;46,'General Basis'!$B$45,IF(G3495&lt;51,'General Basis'!$B$46,IF(G3495&lt;56,'General Basis'!$B$47,IF(G3495&lt;60,'General Basis'!$B$48,IF(G3495&lt;65,'General Basis'!$B$49,'General Basis'!$B$50)))))))))))))</f>
        <v/>
      </c>
      <c r="BI3495" s="744" t="str">
        <f t="shared" si="1215"/>
        <v/>
      </c>
      <c r="BJ3495" s="747" t="str">
        <f t="shared" si="1222"/>
        <v/>
      </c>
      <c r="BK3495" s="498" t="str">
        <f t="shared" si="1216"/>
        <v/>
      </c>
      <c r="BL3495" s="498" t="str">
        <f t="shared" si="1217"/>
        <v/>
      </c>
    </row>
    <row r="3496" spans="1:64" x14ac:dyDescent="0.25">
      <c r="A3496" s="762">
        <f t="shared" si="1218"/>
        <v>3491</v>
      </c>
      <c r="B3496" s="229"/>
      <c r="C3496" s="223"/>
      <c r="D3496" s="224"/>
      <c r="E3496" s="225"/>
      <c r="F3496" s="1036" t="str">
        <f t="shared" si="1224"/>
        <v/>
      </c>
      <c r="G3496" s="1037" t="str">
        <f t="shared" si="1219"/>
        <v/>
      </c>
      <c r="H3496" s="225"/>
      <c r="I3496" s="1013"/>
      <c r="J3496" s="1013"/>
      <c r="K3496" s="1028"/>
      <c r="L3496" s="1035" t="str">
        <f t="shared" si="1223"/>
        <v/>
      </c>
      <c r="S3496" s="498"/>
      <c r="AJ3496" s="498"/>
      <c r="AM3496" s="498">
        <f t="shared" si="1204"/>
        <v>0</v>
      </c>
      <c r="AN3496" s="498">
        <f t="shared" si="1205"/>
        <v>0</v>
      </c>
      <c r="AO3496" s="498">
        <f t="shared" si="1206"/>
        <v>0</v>
      </c>
      <c r="AP3496" s="498">
        <f t="shared" si="1225"/>
        <v>0</v>
      </c>
      <c r="AQ3496" s="498">
        <f t="shared" si="1220"/>
        <v>0</v>
      </c>
      <c r="AU3496" s="498">
        <f t="shared" si="1207"/>
        <v>0</v>
      </c>
      <c r="AV3496" s="498">
        <f t="shared" si="1208"/>
        <v>0</v>
      </c>
      <c r="AW3496" s="498">
        <f t="shared" si="1209"/>
        <v>0</v>
      </c>
      <c r="AX3496" s="498">
        <f t="shared" si="1210"/>
        <v>0</v>
      </c>
      <c r="AY3496" s="498">
        <f t="shared" si="1211"/>
        <v>0</v>
      </c>
      <c r="BB3496" s="498" t="str">
        <f t="shared" si="1212"/>
        <v/>
      </c>
      <c r="BC3496" s="743" t="str">
        <f t="shared" si="1213"/>
        <v/>
      </c>
      <c r="BD3496" s="743" t="str">
        <f t="shared" si="1214"/>
        <v/>
      </c>
      <c r="BE3496" s="743" t="str">
        <f>IF(D3496="","",VLOOKUP(D3496,'General Basis'!$J$39:$K$46,2,0))</f>
        <v/>
      </c>
      <c r="BF3496" s="744" t="str">
        <f>IF(D3496="","",VLOOKUP(D3496,'General Basis'!$J$39:$L$46,3,0))</f>
        <v/>
      </c>
      <c r="BG3496" s="744" t="str">
        <f t="shared" si="1221"/>
        <v/>
      </c>
      <c r="BH3496" s="744" t="str">
        <f>IF(G3496="","",IF(BF3496="Abu Dhabi",IF(G3496&lt;18,'General Basis'!$C$39,IF(G3496&lt;41,'General Basis'!$C$40,IF(G3496&lt;60,'General Basis'!$C$41,IF(G3496&lt;65,'General Basis'!$C$42,'General Basis'!$C$43)))),IF(G3496&lt;11,'General Basis'!$B$39,IF(G3496&lt;18,'General Basis'!$B$40,IF(G3496&lt;26,'General Basis'!$B$41,IF(G3496&lt;31,'General Basis'!$B$42,IF(G3496&lt;36,'General Basis'!$B$43,IF(G3496&lt;41,'General Basis'!$B$44,IF(G3496&lt;46,'General Basis'!$B$45,IF(G3496&lt;51,'General Basis'!$B$46,IF(G3496&lt;56,'General Basis'!$B$47,IF(G3496&lt;60,'General Basis'!$B$48,IF(G3496&lt;65,'General Basis'!$B$49,'General Basis'!$B$50)))))))))))))</f>
        <v/>
      </c>
      <c r="BI3496" s="744" t="str">
        <f t="shared" si="1215"/>
        <v/>
      </c>
      <c r="BJ3496" s="747" t="str">
        <f t="shared" si="1222"/>
        <v/>
      </c>
      <c r="BK3496" s="498" t="str">
        <f t="shared" si="1216"/>
        <v/>
      </c>
      <c r="BL3496" s="498" t="str">
        <f t="shared" si="1217"/>
        <v/>
      </c>
    </row>
    <row r="3497" spans="1:64" x14ac:dyDescent="0.25">
      <c r="A3497" s="762">
        <f t="shared" si="1218"/>
        <v>3492</v>
      </c>
      <c r="B3497" s="229"/>
      <c r="C3497" s="223"/>
      <c r="D3497" s="224"/>
      <c r="E3497" s="225"/>
      <c r="F3497" s="1036" t="str">
        <f t="shared" si="1224"/>
        <v/>
      </c>
      <c r="G3497" s="1037" t="str">
        <f t="shared" si="1219"/>
        <v/>
      </c>
      <c r="H3497" s="225"/>
      <c r="I3497" s="1013"/>
      <c r="J3497" s="1013"/>
      <c r="K3497" s="1028"/>
      <c r="L3497" s="1035" t="str">
        <f t="shared" si="1223"/>
        <v/>
      </c>
      <c r="S3497" s="498"/>
      <c r="AJ3497" s="498"/>
      <c r="AM3497" s="498">
        <f t="shared" si="1204"/>
        <v>0</v>
      </c>
      <c r="AN3497" s="498">
        <f t="shared" si="1205"/>
        <v>0</v>
      </c>
      <c r="AO3497" s="498">
        <f t="shared" si="1206"/>
        <v>0</v>
      </c>
      <c r="AP3497" s="498">
        <f t="shared" si="1225"/>
        <v>0</v>
      </c>
      <c r="AQ3497" s="498">
        <f t="shared" si="1220"/>
        <v>0</v>
      </c>
      <c r="AU3497" s="498">
        <f t="shared" si="1207"/>
        <v>0</v>
      </c>
      <c r="AV3497" s="498">
        <f t="shared" si="1208"/>
        <v>0</v>
      </c>
      <c r="AW3497" s="498">
        <f t="shared" si="1209"/>
        <v>0</v>
      </c>
      <c r="AX3497" s="498">
        <f t="shared" si="1210"/>
        <v>0</v>
      </c>
      <c r="AY3497" s="498">
        <f t="shared" si="1211"/>
        <v>0</v>
      </c>
      <c r="BB3497" s="498" t="str">
        <f t="shared" si="1212"/>
        <v/>
      </c>
      <c r="BC3497" s="743" t="str">
        <f t="shared" si="1213"/>
        <v/>
      </c>
      <c r="BD3497" s="743" t="str">
        <f t="shared" si="1214"/>
        <v/>
      </c>
      <c r="BE3497" s="743" t="str">
        <f>IF(D3497="","",VLOOKUP(D3497,'General Basis'!$J$39:$K$46,2,0))</f>
        <v/>
      </c>
      <c r="BF3497" s="744" t="str">
        <f>IF(D3497="","",VLOOKUP(D3497,'General Basis'!$J$39:$L$46,3,0))</f>
        <v/>
      </c>
      <c r="BG3497" s="744" t="str">
        <f t="shared" si="1221"/>
        <v/>
      </c>
      <c r="BH3497" s="744" t="str">
        <f>IF(G3497="","",IF(BF3497="Abu Dhabi",IF(G3497&lt;18,'General Basis'!$C$39,IF(G3497&lt;41,'General Basis'!$C$40,IF(G3497&lt;60,'General Basis'!$C$41,IF(G3497&lt;65,'General Basis'!$C$42,'General Basis'!$C$43)))),IF(G3497&lt;11,'General Basis'!$B$39,IF(G3497&lt;18,'General Basis'!$B$40,IF(G3497&lt;26,'General Basis'!$B$41,IF(G3497&lt;31,'General Basis'!$B$42,IF(G3497&lt;36,'General Basis'!$B$43,IF(G3497&lt;41,'General Basis'!$B$44,IF(G3497&lt;46,'General Basis'!$B$45,IF(G3497&lt;51,'General Basis'!$B$46,IF(G3497&lt;56,'General Basis'!$B$47,IF(G3497&lt;60,'General Basis'!$B$48,IF(G3497&lt;65,'General Basis'!$B$49,'General Basis'!$B$50)))))))))))))</f>
        <v/>
      </c>
      <c r="BI3497" s="744" t="str">
        <f t="shared" si="1215"/>
        <v/>
      </c>
      <c r="BJ3497" s="747" t="str">
        <f t="shared" si="1222"/>
        <v/>
      </c>
      <c r="BK3497" s="498" t="str">
        <f t="shared" si="1216"/>
        <v/>
      </c>
      <c r="BL3497" s="498" t="str">
        <f t="shared" si="1217"/>
        <v/>
      </c>
    </row>
    <row r="3498" spans="1:64" x14ac:dyDescent="0.25">
      <c r="A3498" s="762">
        <f t="shared" si="1218"/>
        <v>3493</v>
      </c>
      <c r="B3498" s="229"/>
      <c r="C3498" s="223"/>
      <c r="D3498" s="224"/>
      <c r="E3498" s="225"/>
      <c r="F3498" s="1036" t="str">
        <f t="shared" si="1224"/>
        <v/>
      </c>
      <c r="G3498" s="1037" t="str">
        <f t="shared" si="1219"/>
        <v/>
      </c>
      <c r="H3498" s="225"/>
      <c r="I3498" s="1013"/>
      <c r="J3498" s="1013"/>
      <c r="K3498" s="1028"/>
      <c r="L3498" s="1035" t="str">
        <f t="shared" si="1223"/>
        <v/>
      </c>
      <c r="S3498" s="498"/>
      <c r="AJ3498" s="498"/>
      <c r="AM3498" s="498">
        <f t="shared" si="1204"/>
        <v>0</v>
      </c>
      <c r="AN3498" s="498">
        <f t="shared" si="1205"/>
        <v>0</v>
      </c>
      <c r="AO3498" s="498">
        <f t="shared" si="1206"/>
        <v>0</v>
      </c>
      <c r="AP3498" s="498">
        <f t="shared" si="1225"/>
        <v>0</v>
      </c>
      <c r="AQ3498" s="498">
        <f t="shared" si="1220"/>
        <v>0</v>
      </c>
      <c r="AU3498" s="498">
        <f t="shared" si="1207"/>
        <v>0</v>
      </c>
      <c r="AV3498" s="498">
        <f t="shared" si="1208"/>
        <v>0</v>
      </c>
      <c r="AW3498" s="498">
        <f t="shared" si="1209"/>
        <v>0</v>
      </c>
      <c r="AX3498" s="498">
        <f t="shared" si="1210"/>
        <v>0</v>
      </c>
      <c r="AY3498" s="498">
        <f t="shared" si="1211"/>
        <v>0</v>
      </c>
      <c r="BB3498" s="498" t="str">
        <f t="shared" si="1212"/>
        <v/>
      </c>
      <c r="BC3498" s="743" t="str">
        <f t="shared" si="1213"/>
        <v/>
      </c>
      <c r="BD3498" s="743" t="str">
        <f t="shared" si="1214"/>
        <v/>
      </c>
      <c r="BE3498" s="743" t="str">
        <f>IF(D3498="","",VLOOKUP(D3498,'General Basis'!$J$39:$K$46,2,0))</f>
        <v/>
      </c>
      <c r="BF3498" s="744" t="str">
        <f>IF(D3498="","",VLOOKUP(D3498,'General Basis'!$J$39:$L$46,3,0))</f>
        <v/>
      </c>
      <c r="BG3498" s="744" t="str">
        <f t="shared" si="1221"/>
        <v/>
      </c>
      <c r="BH3498" s="744" t="str">
        <f>IF(G3498="","",IF(BF3498="Abu Dhabi",IF(G3498&lt;18,'General Basis'!$C$39,IF(G3498&lt;41,'General Basis'!$C$40,IF(G3498&lt;60,'General Basis'!$C$41,IF(G3498&lt;65,'General Basis'!$C$42,'General Basis'!$C$43)))),IF(G3498&lt;11,'General Basis'!$B$39,IF(G3498&lt;18,'General Basis'!$B$40,IF(G3498&lt;26,'General Basis'!$B$41,IF(G3498&lt;31,'General Basis'!$B$42,IF(G3498&lt;36,'General Basis'!$B$43,IF(G3498&lt;41,'General Basis'!$B$44,IF(G3498&lt;46,'General Basis'!$B$45,IF(G3498&lt;51,'General Basis'!$B$46,IF(G3498&lt;56,'General Basis'!$B$47,IF(G3498&lt;60,'General Basis'!$B$48,IF(G3498&lt;65,'General Basis'!$B$49,'General Basis'!$B$50)))))))))))))</f>
        <v/>
      </c>
      <c r="BI3498" s="744" t="str">
        <f t="shared" si="1215"/>
        <v/>
      </c>
      <c r="BJ3498" s="747" t="str">
        <f t="shared" si="1222"/>
        <v/>
      </c>
      <c r="BK3498" s="498" t="str">
        <f t="shared" si="1216"/>
        <v/>
      </c>
      <c r="BL3498" s="498" t="str">
        <f t="shared" si="1217"/>
        <v/>
      </c>
    </row>
    <row r="3499" spans="1:64" x14ac:dyDescent="0.25">
      <c r="A3499" s="762">
        <f t="shared" si="1218"/>
        <v>3494</v>
      </c>
      <c r="B3499" s="229"/>
      <c r="C3499" s="223"/>
      <c r="D3499" s="224"/>
      <c r="E3499" s="225"/>
      <c r="F3499" s="1036" t="str">
        <f t="shared" si="1224"/>
        <v/>
      </c>
      <c r="G3499" s="1037" t="str">
        <f t="shared" si="1219"/>
        <v/>
      </c>
      <c r="H3499" s="225"/>
      <c r="I3499" s="1013"/>
      <c r="J3499" s="1013"/>
      <c r="K3499" s="1028"/>
      <c r="L3499" s="1035" t="str">
        <f t="shared" si="1223"/>
        <v/>
      </c>
      <c r="S3499" s="498"/>
      <c r="AJ3499" s="498"/>
      <c r="AM3499" s="498">
        <f t="shared" si="1204"/>
        <v>0</v>
      </c>
      <c r="AN3499" s="498">
        <f t="shared" si="1205"/>
        <v>0</v>
      </c>
      <c r="AO3499" s="498">
        <f t="shared" si="1206"/>
        <v>0</v>
      </c>
      <c r="AP3499" s="498">
        <f t="shared" si="1225"/>
        <v>0</v>
      </c>
      <c r="AQ3499" s="498">
        <f t="shared" si="1220"/>
        <v>0</v>
      </c>
      <c r="AU3499" s="498">
        <f t="shared" si="1207"/>
        <v>0</v>
      </c>
      <c r="AV3499" s="498">
        <f t="shared" si="1208"/>
        <v>0</v>
      </c>
      <c r="AW3499" s="498">
        <f t="shared" si="1209"/>
        <v>0</v>
      </c>
      <c r="AX3499" s="498">
        <f t="shared" si="1210"/>
        <v>0</v>
      </c>
      <c r="AY3499" s="498">
        <f t="shared" si="1211"/>
        <v>0</v>
      </c>
      <c r="BB3499" s="498" t="str">
        <f t="shared" si="1212"/>
        <v/>
      </c>
      <c r="BC3499" s="743" t="str">
        <f t="shared" si="1213"/>
        <v/>
      </c>
      <c r="BD3499" s="743" t="str">
        <f t="shared" si="1214"/>
        <v/>
      </c>
      <c r="BE3499" s="743" t="str">
        <f>IF(D3499="","",VLOOKUP(D3499,'General Basis'!$J$39:$K$46,2,0))</f>
        <v/>
      </c>
      <c r="BF3499" s="744" t="str">
        <f>IF(D3499="","",VLOOKUP(D3499,'General Basis'!$J$39:$L$46,3,0))</f>
        <v/>
      </c>
      <c r="BG3499" s="744" t="str">
        <f t="shared" si="1221"/>
        <v/>
      </c>
      <c r="BH3499" s="744" t="str">
        <f>IF(G3499="","",IF(BF3499="Abu Dhabi",IF(G3499&lt;18,'General Basis'!$C$39,IF(G3499&lt;41,'General Basis'!$C$40,IF(G3499&lt;60,'General Basis'!$C$41,IF(G3499&lt;65,'General Basis'!$C$42,'General Basis'!$C$43)))),IF(G3499&lt;11,'General Basis'!$B$39,IF(G3499&lt;18,'General Basis'!$B$40,IF(G3499&lt;26,'General Basis'!$B$41,IF(G3499&lt;31,'General Basis'!$B$42,IF(G3499&lt;36,'General Basis'!$B$43,IF(G3499&lt;41,'General Basis'!$B$44,IF(G3499&lt;46,'General Basis'!$B$45,IF(G3499&lt;51,'General Basis'!$B$46,IF(G3499&lt;56,'General Basis'!$B$47,IF(G3499&lt;60,'General Basis'!$B$48,IF(G3499&lt;65,'General Basis'!$B$49,'General Basis'!$B$50)))))))))))))</f>
        <v/>
      </c>
      <c r="BI3499" s="744" t="str">
        <f t="shared" si="1215"/>
        <v/>
      </c>
      <c r="BJ3499" s="747" t="str">
        <f t="shared" si="1222"/>
        <v/>
      </c>
      <c r="BK3499" s="498" t="str">
        <f t="shared" si="1216"/>
        <v/>
      </c>
      <c r="BL3499" s="498" t="str">
        <f t="shared" si="1217"/>
        <v/>
      </c>
    </row>
    <row r="3500" spans="1:64" x14ac:dyDescent="0.25">
      <c r="A3500" s="762">
        <f t="shared" si="1218"/>
        <v>3495</v>
      </c>
      <c r="B3500" s="229"/>
      <c r="C3500" s="223"/>
      <c r="D3500" s="224"/>
      <c r="E3500" s="225"/>
      <c r="F3500" s="1036" t="str">
        <f t="shared" si="1224"/>
        <v/>
      </c>
      <c r="G3500" s="1037" t="str">
        <f t="shared" si="1219"/>
        <v/>
      </c>
      <c r="H3500" s="225"/>
      <c r="I3500" s="1013"/>
      <c r="J3500" s="1013"/>
      <c r="K3500" s="1028"/>
      <c r="L3500" s="1035" t="str">
        <f t="shared" si="1223"/>
        <v/>
      </c>
      <c r="S3500" s="498"/>
      <c r="AJ3500" s="498"/>
      <c r="AM3500" s="498">
        <f t="shared" si="1204"/>
        <v>0</v>
      </c>
      <c r="AN3500" s="498">
        <f t="shared" si="1205"/>
        <v>0</v>
      </c>
      <c r="AO3500" s="498">
        <f t="shared" si="1206"/>
        <v>0</v>
      </c>
      <c r="AP3500" s="498">
        <f t="shared" si="1225"/>
        <v>0</v>
      </c>
      <c r="AQ3500" s="498">
        <f t="shared" si="1220"/>
        <v>0</v>
      </c>
      <c r="AU3500" s="498">
        <f t="shared" si="1207"/>
        <v>0</v>
      </c>
      <c r="AV3500" s="498">
        <f t="shared" si="1208"/>
        <v>0</v>
      </c>
      <c r="AW3500" s="498">
        <f t="shared" si="1209"/>
        <v>0</v>
      </c>
      <c r="AX3500" s="498">
        <f t="shared" si="1210"/>
        <v>0</v>
      </c>
      <c r="AY3500" s="498">
        <f t="shared" si="1211"/>
        <v>0</v>
      </c>
      <c r="BB3500" s="498" t="str">
        <f t="shared" si="1212"/>
        <v/>
      </c>
      <c r="BC3500" s="743" t="str">
        <f t="shared" si="1213"/>
        <v/>
      </c>
      <c r="BD3500" s="743" t="str">
        <f t="shared" si="1214"/>
        <v/>
      </c>
      <c r="BE3500" s="743" t="str">
        <f>IF(D3500="","",VLOOKUP(D3500,'General Basis'!$J$39:$K$46,2,0))</f>
        <v/>
      </c>
      <c r="BF3500" s="744" t="str">
        <f>IF(D3500="","",VLOOKUP(D3500,'General Basis'!$J$39:$L$46,3,0))</f>
        <v/>
      </c>
      <c r="BG3500" s="744" t="str">
        <f t="shared" si="1221"/>
        <v/>
      </c>
      <c r="BH3500" s="744" t="str">
        <f>IF(G3500="","",IF(BF3500="Abu Dhabi",IF(G3500&lt;18,'General Basis'!$C$39,IF(G3500&lt;41,'General Basis'!$C$40,IF(G3500&lt;60,'General Basis'!$C$41,IF(G3500&lt;65,'General Basis'!$C$42,'General Basis'!$C$43)))),IF(G3500&lt;11,'General Basis'!$B$39,IF(G3500&lt;18,'General Basis'!$B$40,IF(G3500&lt;26,'General Basis'!$B$41,IF(G3500&lt;31,'General Basis'!$B$42,IF(G3500&lt;36,'General Basis'!$B$43,IF(G3500&lt;41,'General Basis'!$B$44,IF(G3500&lt;46,'General Basis'!$B$45,IF(G3500&lt;51,'General Basis'!$B$46,IF(G3500&lt;56,'General Basis'!$B$47,IF(G3500&lt;60,'General Basis'!$B$48,IF(G3500&lt;65,'General Basis'!$B$49,'General Basis'!$B$50)))))))))))))</f>
        <v/>
      </c>
      <c r="BI3500" s="744" t="str">
        <f t="shared" si="1215"/>
        <v/>
      </c>
      <c r="BJ3500" s="747" t="str">
        <f t="shared" si="1222"/>
        <v/>
      </c>
      <c r="BK3500" s="498" t="str">
        <f t="shared" si="1216"/>
        <v/>
      </c>
      <c r="BL3500" s="498" t="str">
        <f t="shared" si="1217"/>
        <v/>
      </c>
    </row>
    <row r="3501" spans="1:64" x14ac:dyDescent="0.25">
      <c r="A3501" s="762">
        <f t="shared" si="1218"/>
        <v>3496</v>
      </c>
      <c r="B3501" s="229"/>
      <c r="C3501" s="223"/>
      <c r="D3501" s="224"/>
      <c r="E3501" s="225"/>
      <c r="F3501" s="1036" t="str">
        <f t="shared" si="1224"/>
        <v/>
      </c>
      <c r="G3501" s="1037" t="str">
        <f t="shared" si="1219"/>
        <v/>
      </c>
      <c r="H3501" s="225"/>
      <c r="I3501" s="1013"/>
      <c r="J3501" s="1013"/>
      <c r="K3501" s="1028"/>
      <c r="L3501" s="1035" t="str">
        <f t="shared" si="1223"/>
        <v/>
      </c>
      <c r="S3501" s="498"/>
      <c r="AJ3501" s="498"/>
      <c r="AM3501" s="498">
        <f t="shared" si="1204"/>
        <v>0</v>
      </c>
      <c r="AN3501" s="498">
        <f t="shared" si="1205"/>
        <v>0</v>
      </c>
      <c r="AO3501" s="498">
        <f t="shared" si="1206"/>
        <v>0</v>
      </c>
      <c r="AP3501" s="498">
        <f t="shared" si="1225"/>
        <v>0</v>
      </c>
      <c r="AQ3501" s="498">
        <f t="shared" si="1220"/>
        <v>0</v>
      </c>
      <c r="AU3501" s="498">
        <f t="shared" si="1207"/>
        <v>0</v>
      </c>
      <c r="AV3501" s="498">
        <f t="shared" si="1208"/>
        <v>0</v>
      </c>
      <c r="AW3501" s="498">
        <f t="shared" si="1209"/>
        <v>0</v>
      </c>
      <c r="AX3501" s="498">
        <f t="shared" si="1210"/>
        <v>0</v>
      </c>
      <c r="AY3501" s="498">
        <f t="shared" si="1211"/>
        <v>0</v>
      </c>
      <c r="BB3501" s="498" t="str">
        <f t="shared" si="1212"/>
        <v/>
      </c>
      <c r="BC3501" s="743" t="str">
        <f t="shared" si="1213"/>
        <v/>
      </c>
      <c r="BD3501" s="743" t="str">
        <f t="shared" si="1214"/>
        <v/>
      </c>
      <c r="BE3501" s="743" t="str">
        <f>IF(D3501="","",VLOOKUP(D3501,'General Basis'!$J$39:$K$46,2,0))</f>
        <v/>
      </c>
      <c r="BF3501" s="744" t="str">
        <f>IF(D3501="","",VLOOKUP(D3501,'General Basis'!$J$39:$L$46,3,0))</f>
        <v/>
      </c>
      <c r="BG3501" s="744" t="str">
        <f t="shared" si="1221"/>
        <v/>
      </c>
      <c r="BH3501" s="744" t="str">
        <f>IF(G3501="","",IF(BF3501="Abu Dhabi",IF(G3501&lt;18,'General Basis'!$C$39,IF(G3501&lt;41,'General Basis'!$C$40,IF(G3501&lt;60,'General Basis'!$C$41,IF(G3501&lt;65,'General Basis'!$C$42,'General Basis'!$C$43)))),IF(G3501&lt;11,'General Basis'!$B$39,IF(G3501&lt;18,'General Basis'!$B$40,IF(G3501&lt;26,'General Basis'!$B$41,IF(G3501&lt;31,'General Basis'!$B$42,IF(G3501&lt;36,'General Basis'!$B$43,IF(G3501&lt;41,'General Basis'!$B$44,IF(G3501&lt;46,'General Basis'!$B$45,IF(G3501&lt;51,'General Basis'!$B$46,IF(G3501&lt;56,'General Basis'!$B$47,IF(G3501&lt;60,'General Basis'!$B$48,IF(G3501&lt;65,'General Basis'!$B$49,'General Basis'!$B$50)))))))))))))</f>
        <v/>
      </c>
      <c r="BI3501" s="744" t="str">
        <f t="shared" si="1215"/>
        <v/>
      </c>
      <c r="BJ3501" s="747" t="str">
        <f t="shared" si="1222"/>
        <v/>
      </c>
      <c r="BK3501" s="498" t="str">
        <f t="shared" si="1216"/>
        <v/>
      </c>
      <c r="BL3501" s="498" t="str">
        <f t="shared" si="1217"/>
        <v/>
      </c>
    </row>
    <row r="3502" spans="1:64" x14ac:dyDescent="0.25">
      <c r="A3502" s="762">
        <f t="shared" si="1218"/>
        <v>3497</v>
      </c>
      <c r="B3502" s="229"/>
      <c r="C3502" s="223"/>
      <c r="D3502" s="224"/>
      <c r="E3502" s="225"/>
      <c r="F3502" s="1036" t="str">
        <f t="shared" si="1224"/>
        <v/>
      </c>
      <c r="G3502" s="1037" t="str">
        <f t="shared" si="1219"/>
        <v/>
      </c>
      <c r="H3502" s="225"/>
      <c r="I3502" s="1013"/>
      <c r="J3502" s="1013"/>
      <c r="K3502" s="1028"/>
      <c r="L3502" s="1035" t="str">
        <f t="shared" si="1223"/>
        <v/>
      </c>
      <c r="S3502" s="498"/>
      <c r="AJ3502" s="498"/>
      <c r="AM3502" s="498">
        <f t="shared" si="1204"/>
        <v>0</v>
      </c>
      <c r="AN3502" s="498">
        <f t="shared" si="1205"/>
        <v>0</v>
      </c>
      <c r="AO3502" s="498">
        <f t="shared" si="1206"/>
        <v>0</v>
      </c>
      <c r="AP3502" s="498">
        <f t="shared" si="1225"/>
        <v>0</v>
      </c>
      <c r="AQ3502" s="498">
        <f t="shared" si="1220"/>
        <v>0</v>
      </c>
      <c r="AU3502" s="498">
        <f t="shared" si="1207"/>
        <v>0</v>
      </c>
      <c r="AV3502" s="498">
        <f t="shared" si="1208"/>
        <v>0</v>
      </c>
      <c r="AW3502" s="498">
        <f t="shared" si="1209"/>
        <v>0</v>
      </c>
      <c r="AX3502" s="498">
        <f t="shared" si="1210"/>
        <v>0</v>
      </c>
      <c r="AY3502" s="498">
        <f t="shared" si="1211"/>
        <v>0</v>
      </c>
      <c r="BB3502" s="498" t="str">
        <f t="shared" si="1212"/>
        <v/>
      </c>
      <c r="BC3502" s="743" t="str">
        <f t="shared" si="1213"/>
        <v/>
      </c>
      <c r="BD3502" s="743" t="str">
        <f t="shared" si="1214"/>
        <v/>
      </c>
      <c r="BE3502" s="743" t="str">
        <f>IF(D3502="","",VLOOKUP(D3502,'General Basis'!$J$39:$K$46,2,0))</f>
        <v/>
      </c>
      <c r="BF3502" s="744" t="str">
        <f>IF(D3502="","",VLOOKUP(D3502,'General Basis'!$J$39:$L$46,3,0))</f>
        <v/>
      </c>
      <c r="BG3502" s="744" t="str">
        <f t="shared" si="1221"/>
        <v/>
      </c>
      <c r="BH3502" s="744" t="str">
        <f>IF(G3502="","",IF(BF3502="Abu Dhabi",IF(G3502&lt;18,'General Basis'!$C$39,IF(G3502&lt;41,'General Basis'!$C$40,IF(G3502&lt;60,'General Basis'!$C$41,IF(G3502&lt;65,'General Basis'!$C$42,'General Basis'!$C$43)))),IF(G3502&lt;11,'General Basis'!$B$39,IF(G3502&lt;18,'General Basis'!$B$40,IF(G3502&lt;26,'General Basis'!$B$41,IF(G3502&lt;31,'General Basis'!$B$42,IF(G3502&lt;36,'General Basis'!$B$43,IF(G3502&lt;41,'General Basis'!$B$44,IF(G3502&lt;46,'General Basis'!$B$45,IF(G3502&lt;51,'General Basis'!$B$46,IF(G3502&lt;56,'General Basis'!$B$47,IF(G3502&lt;60,'General Basis'!$B$48,IF(G3502&lt;65,'General Basis'!$B$49,'General Basis'!$B$50)))))))))))))</f>
        <v/>
      </c>
      <c r="BI3502" s="744" t="str">
        <f t="shared" si="1215"/>
        <v/>
      </c>
      <c r="BJ3502" s="747" t="str">
        <f t="shared" si="1222"/>
        <v/>
      </c>
      <c r="BK3502" s="498" t="str">
        <f t="shared" si="1216"/>
        <v/>
      </c>
      <c r="BL3502" s="498" t="str">
        <f t="shared" si="1217"/>
        <v/>
      </c>
    </row>
    <row r="3503" spans="1:64" x14ac:dyDescent="0.25">
      <c r="A3503" s="762">
        <f t="shared" si="1218"/>
        <v>3498</v>
      </c>
      <c r="B3503" s="229"/>
      <c r="C3503" s="223"/>
      <c r="D3503" s="224"/>
      <c r="E3503" s="225"/>
      <c r="F3503" s="1036" t="str">
        <f t="shared" si="1224"/>
        <v/>
      </c>
      <c r="G3503" s="1037" t="str">
        <f t="shared" si="1219"/>
        <v/>
      </c>
      <c r="H3503" s="225"/>
      <c r="I3503" s="1013"/>
      <c r="J3503" s="1013"/>
      <c r="K3503" s="1028"/>
      <c r="L3503" s="1035" t="str">
        <f t="shared" si="1223"/>
        <v/>
      </c>
      <c r="S3503" s="498"/>
      <c r="AJ3503" s="498"/>
      <c r="AM3503" s="498">
        <f t="shared" si="1204"/>
        <v>0</v>
      </c>
      <c r="AN3503" s="498">
        <f t="shared" si="1205"/>
        <v>0</v>
      </c>
      <c r="AO3503" s="498">
        <f t="shared" si="1206"/>
        <v>0</v>
      </c>
      <c r="AP3503" s="498">
        <f t="shared" si="1225"/>
        <v>0</v>
      </c>
      <c r="AQ3503" s="498">
        <f t="shared" si="1220"/>
        <v>0</v>
      </c>
      <c r="AU3503" s="498">
        <f t="shared" si="1207"/>
        <v>0</v>
      </c>
      <c r="AV3503" s="498">
        <f t="shared" si="1208"/>
        <v>0</v>
      </c>
      <c r="AW3503" s="498">
        <f t="shared" si="1209"/>
        <v>0</v>
      </c>
      <c r="AX3503" s="498">
        <f t="shared" si="1210"/>
        <v>0</v>
      </c>
      <c r="AY3503" s="498">
        <f t="shared" si="1211"/>
        <v>0</v>
      </c>
      <c r="BB3503" s="498" t="str">
        <f t="shared" si="1212"/>
        <v/>
      </c>
      <c r="BC3503" s="743" t="str">
        <f t="shared" si="1213"/>
        <v/>
      </c>
      <c r="BD3503" s="743" t="str">
        <f t="shared" si="1214"/>
        <v/>
      </c>
      <c r="BE3503" s="743" t="str">
        <f>IF(D3503="","",VLOOKUP(D3503,'General Basis'!$J$39:$K$46,2,0))</f>
        <v/>
      </c>
      <c r="BF3503" s="744" t="str">
        <f>IF(D3503="","",VLOOKUP(D3503,'General Basis'!$J$39:$L$46,3,0))</f>
        <v/>
      </c>
      <c r="BG3503" s="744" t="str">
        <f t="shared" si="1221"/>
        <v/>
      </c>
      <c r="BH3503" s="744" t="str">
        <f>IF(G3503="","",IF(BF3503="Abu Dhabi",IF(G3503&lt;18,'General Basis'!$C$39,IF(G3503&lt;41,'General Basis'!$C$40,IF(G3503&lt;60,'General Basis'!$C$41,IF(G3503&lt;65,'General Basis'!$C$42,'General Basis'!$C$43)))),IF(G3503&lt;11,'General Basis'!$B$39,IF(G3503&lt;18,'General Basis'!$B$40,IF(G3503&lt;26,'General Basis'!$B$41,IF(G3503&lt;31,'General Basis'!$B$42,IF(G3503&lt;36,'General Basis'!$B$43,IF(G3503&lt;41,'General Basis'!$B$44,IF(G3503&lt;46,'General Basis'!$B$45,IF(G3503&lt;51,'General Basis'!$B$46,IF(G3503&lt;56,'General Basis'!$B$47,IF(G3503&lt;60,'General Basis'!$B$48,IF(G3503&lt;65,'General Basis'!$B$49,'General Basis'!$B$50)))))))))))))</f>
        <v/>
      </c>
      <c r="BI3503" s="744" t="str">
        <f t="shared" si="1215"/>
        <v/>
      </c>
      <c r="BJ3503" s="747" t="str">
        <f t="shared" si="1222"/>
        <v/>
      </c>
      <c r="BK3503" s="498" t="str">
        <f t="shared" si="1216"/>
        <v/>
      </c>
      <c r="BL3503" s="498" t="str">
        <f t="shared" si="1217"/>
        <v/>
      </c>
    </row>
    <row r="3504" spans="1:64" x14ac:dyDescent="0.25">
      <c r="A3504" s="762">
        <f t="shared" si="1218"/>
        <v>3499</v>
      </c>
      <c r="B3504" s="229"/>
      <c r="C3504" s="223"/>
      <c r="D3504" s="224"/>
      <c r="E3504" s="225"/>
      <c r="F3504" s="1036" t="str">
        <f t="shared" si="1224"/>
        <v/>
      </c>
      <c r="G3504" s="1037" t="str">
        <f t="shared" si="1219"/>
        <v/>
      </c>
      <c r="H3504" s="225"/>
      <c r="I3504" s="1013"/>
      <c r="J3504" s="1013"/>
      <c r="K3504" s="1028"/>
      <c r="L3504" s="1035" t="str">
        <f t="shared" si="1223"/>
        <v/>
      </c>
      <c r="S3504" s="498"/>
      <c r="AJ3504" s="498"/>
      <c r="AM3504" s="498">
        <f t="shared" si="1204"/>
        <v>0</v>
      </c>
      <c r="AN3504" s="498">
        <f t="shared" si="1205"/>
        <v>0</v>
      </c>
      <c r="AO3504" s="498">
        <f t="shared" si="1206"/>
        <v>0</v>
      </c>
      <c r="AP3504" s="498">
        <f t="shared" si="1225"/>
        <v>0</v>
      </c>
      <c r="AQ3504" s="498">
        <f t="shared" si="1220"/>
        <v>0</v>
      </c>
      <c r="AU3504" s="498">
        <f t="shared" si="1207"/>
        <v>0</v>
      </c>
      <c r="AV3504" s="498">
        <f t="shared" si="1208"/>
        <v>0</v>
      </c>
      <c r="AW3504" s="498">
        <f t="shared" si="1209"/>
        <v>0</v>
      </c>
      <c r="AX3504" s="498">
        <f t="shared" si="1210"/>
        <v>0</v>
      </c>
      <c r="AY3504" s="498">
        <f t="shared" si="1211"/>
        <v>0</v>
      </c>
      <c r="BB3504" s="498" t="str">
        <f t="shared" si="1212"/>
        <v/>
      </c>
      <c r="BC3504" s="743" t="str">
        <f t="shared" si="1213"/>
        <v/>
      </c>
      <c r="BD3504" s="743" t="str">
        <f t="shared" si="1214"/>
        <v/>
      </c>
      <c r="BE3504" s="743" t="str">
        <f>IF(D3504="","",VLOOKUP(D3504,'General Basis'!$J$39:$K$46,2,0))</f>
        <v/>
      </c>
      <c r="BF3504" s="744" t="str">
        <f>IF(D3504="","",VLOOKUP(D3504,'General Basis'!$J$39:$L$46,3,0))</f>
        <v/>
      </c>
      <c r="BG3504" s="744" t="str">
        <f t="shared" si="1221"/>
        <v/>
      </c>
      <c r="BH3504" s="744" t="str">
        <f>IF(G3504="","",IF(BF3504="Abu Dhabi",IF(G3504&lt;18,'General Basis'!$C$39,IF(G3504&lt;41,'General Basis'!$C$40,IF(G3504&lt;60,'General Basis'!$C$41,IF(G3504&lt;65,'General Basis'!$C$42,'General Basis'!$C$43)))),IF(G3504&lt;11,'General Basis'!$B$39,IF(G3504&lt;18,'General Basis'!$B$40,IF(G3504&lt;26,'General Basis'!$B$41,IF(G3504&lt;31,'General Basis'!$B$42,IF(G3504&lt;36,'General Basis'!$B$43,IF(G3504&lt;41,'General Basis'!$B$44,IF(G3504&lt;46,'General Basis'!$B$45,IF(G3504&lt;51,'General Basis'!$B$46,IF(G3504&lt;56,'General Basis'!$B$47,IF(G3504&lt;60,'General Basis'!$B$48,IF(G3504&lt;65,'General Basis'!$B$49,'General Basis'!$B$50)))))))))))))</f>
        <v/>
      </c>
      <c r="BI3504" s="744" t="str">
        <f t="shared" si="1215"/>
        <v/>
      </c>
      <c r="BJ3504" s="747" t="str">
        <f t="shared" si="1222"/>
        <v/>
      </c>
      <c r="BK3504" s="498" t="str">
        <f t="shared" si="1216"/>
        <v/>
      </c>
      <c r="BL3504" s="498" t="str">
        <f t="shared" si="1217"/>
        <v/>
      </c>
    </row>
    <row r="3505" spans="1:64" x14ac:dyDescent="0.25">
      <c r="A3505" s="762">
        <f t="shared" si="1218"/>
        <v>3500</v>
      </c>
      <c r="B3505" s="229"/>
      <c r="C3505" s="223"/>
      <c r="D3505" s="224"/>
      <c r="E3505" s="225"/>
      <c r="F3505" s="1036" t="str">
        <f t="shared" si="1224"/>
        <v/>
      </c>
      <c r="G3505" s="1037" t="str">
        <f t="shared" si="1219"/>
        <v/>
      </c>
      <c r="H3505" s="225"/>
      <c r="I3505" s="1013"/>
      <c r="J3505" s="1013"/>
      <c r="K3505" s="1028"/>
      <c r="L3505" s="1035" t="str">
        <f t="shared" si="1223"/>
        <v/>
      </c>
      <c r="S3505" s="498"/>
      <c r="AJ3505" s="498"/>
      <c r="AM3505" s="498">
        <f t="shared" si="1204"/>
        <v>0</v>
      </c>
      <c r="AN3505" s="498">
        <f t="shared" si="1205"/>
        <v>0</v>
      </c>
      <c r="AO3505" s="498">
        <f t="shared" si="1206"/>
        <v>0</v>
      </c>
      <c r="AP3505" s="498">
        <f t="shared" si="1225"/>
        <v>0</v>
      </c>
      <c r="AQ3505" s="498">
        <f t="shared" si="1220"/>
        <v>0</v>
      </c>
      <c r="AU3505" s="498">
        <f t="shared" si="1207"/>
        <v>0</v>
      </c>
      <c r="AV3505" s="498">
        <f t="shared" si="1208"/>
        <v>0</v>
      </c>
      <c r="AW3505" s="498">
        <f t="shared" si="1209"/>
        <v>0</v>
      </c>
      <c r="AX3505" s="498">
        <f t="shared" si="1210"/>
        <v>0</v>
      </c>
      <c r="AY3505" s="498">
        <f t="shared" si="1211"/>
        <v>0</v>
      </c>
      <c r="BB3505" s="498" t="str">
        <f t="shared" si="1212"/>
        <v/>
      </c>
      <c r="BC3505" s="743" t="str">
        <f t="shared" si="1213"/>
        <v/>
      </c>
      <c r="BD3505" s="743" t="str">
        <f t="shared" si="1214"/>
        <v/>
      </c>
      <c r="BE3505" s="743" t="str">
        <f>IF(D3505="","",VLOOKUP(D3505,'General Basis'!$J$39:$K$46,2,0))</f>
        <v/>
      </c>
      <c r="BF3505" s="744" t="str">
        <f>IF(D3505="","",VLOOKUP(D3505,'General Basis'!$J$39:$L$46,3,0))</f>
        <v/>
      </c>
      <c r="BG3505" s="744" t="str">
        <f t="shared" si="1221"/>
        <v/>
      </c>
      <c r="BH3505" s="744" t="str">
        <f>IF(G3505="","",IF(BF3505="Abu Dhabi",IF(G3505&lt;18,'General Basis'!$C$39,IF(G3505&lt;41,'General Basis'!$C$40,IF(G3505&lt;60,'General Basis'!$C$41,IF(G3505&lt;65,'General Basis'!$C$42,'General Basis'!$C$43)))),IF(G3505&lt;11,'General Basis'!$B$39,IF(G3505&lt;18,'General Basis'!$B$40,IF(G3505&lt;26,'General Basis'!$B$41,IF(G3505&lt;31,'General Basis'!$B$42,IF(G3505&lt;36,'General Basis'!$B$43,IF(G3505&lt;41,'General Basis'!$B$44,IF(G3505&lt;46,'General Basis'!$B$45,IF(G3505&lt;51,'General Basis'!$B$46,IF(G3505&lt;56,'General Basis'!$B$47,IF(G3505&lt;60,'General Basis'!$B$48,IF(G3505&lt;65,'General Basis'!$B$49,'General Basis'!$B$50)))))))))))))</f>
        <v/>
      </c>
      <c r="BI3505" s="744" t="str">
        <f t="shared" si="1215"/>
        <v/>
      </c>
      <c r="BJ3505" s="747" t="str">
        <f t="shared" si="1222"/>
        <v/>
      </c>
      <c r="BK3505" s="498" t="str">
        <f t="shared" si="1216"/>
        <v/>
      </c>
      <c r="BL3505" s="498" t="str">
        <f t="shared" si="1217"/>
        <v/>
      </c>
    </row>
    <row r="3506" spans="1:64" x14ac:dyDescent="0.25">
      <c r="A3506" s="762">
        <f t="shared" si="1218"/>
        <v>3501</v>
      </c>
      <c r="B3506" s="229"/>
      <c r="C3506" s="223"/>
      <c r="D3506" s="224"/>
      <c r="E3506" s="225"/>
      <c r="F3506" s="1036" t="str">
        <f t="shared" si="1224"/>
        <v/>
      </c>
      <c r="G3506" s="1037" t="str">
        <f t="shared" si="1219"/>
        <v/>
      </c>
      <c r="H3506" s="225"/>
      <c r="I3506" s="1013"/>
      <c r="J3506" s="1013"/>
      <c r="K3506" s="1028"/>
      <c r="L3506" s="1035" t="str">
        <f t="shared" si="1223"/>
        <v/>
      </c>
      <c r="S3506" s="498"/>
      <c r="AJ3506" s="498"/>
      <c r="AM3506" s="498">
        <f t="shared" si="1204"/>
        <v>0</v>
      </c>
      <c r="AN3506" s="498">
        <f t="shared" si="1205"/>
        <v>0</v>
      </c>
      <c r="AO3506" s="498">
        <f t="shared" si="1206"/>
        <v>0</v>
      </c>
      <c r="AP3506" s="498">
        <f t="shared" si="1225"/>
        <v>0</v>
      </c>
      <c r="AQ3506" s="498">
        <f t="shared" si="1220"/>
        <v>0</v>
      </c>
      <c r="AU3506" s="498">
        <f t="shared" si="1207"/>
        <v>0</v>
      </c>
      <c r="AV3506" s="498">
        <f t="shared" si="1208"/>
        <v>0</v>
      </c>
      <c r="AW3506" s="498">
        <f t="shared" si="1209"/>
        <v>0</v>
      </c>
      <c r="AX3506" s="498">
        <f t="shared" si="1210"/>
        <v>0</v>
      </c>
      <c r="AY3506" s="498">
        <f t="shared" si="1211"/>
        <v>0</v>
      </c>
      <c r="BB3506" s="498" t="str">
        <f t="shared" si="1212"/>
        <v/>
      </c>
      <c r="BC3506" s="743" t="str">
        <f t="shared" si="1213"/>
        <v/>
      </c>
      <c r="BD3506" s="743" t="str">
        <f t="shared" si="1214"/>
        <v/>
      </c>
      <c r="BE3506" s="743" t="str">
        <f>IF(D3506="","",VLOOKUP(D3506,'General Basis'!$J$39:$K$46,2,0))</f>
        <v/>
      </c>
      <c r="BF3506" s="744" t="str">
        <f>IF(D3506="","",VLOOKUP(D3506,'General Basis'!$J$39:$L$46,3,0))</f>
        <v/>
      </c>
      <c r="BG3506" s="744" t="str">
        <f t="shared" si="1221"/>
        <v/>
      </c>
      <c r="BH3506" s="744" t="str">
        <f>IF(G3506="","",IF(BF3506="Abu Dhabi",IF(G3506&lt;18,'General Basis'!$C$39,IF(G3506&lt;41,'General Basis'!$C$40,IF(G3506&lt;60,'General Basis'!$C$41,IF(G3506&lt;65,'General Basis'!$C$42,'General Basis'!$C$43)))),IF(G3506&lt;11,'General Basis'!$B$39,IF(G3506&lt;18,'General Basis'!$B$40,IF(G3506&lt;26,'General Basis'!$B$41,IF(G3506&lt;31,'General Basis'!$B$42,IF(G3506&lt;36,'General Basis'!$B$43,IF(G3506&lt;41,'General Basis'!$B$44,IF(G3506&lt;46,'General Basis'!$B$45,IF(G3506&lt;51,'General Basis'!$B$46,IF(G3506&lt;56,'General Basis'!$B$47,IF(G3506&lt;60,'General Basis'!$B$48,IF(G3506&lt;65,'General Basis'!$B$49,'General Basis'!$B$50)))))))))))))</f>
        <v/>
      </c>
      <c r="BI3506" s="744" t="str">
        <f t="shared" si="1215"/>
        <v/>
      </c>
      <c r="BJ3506" s="747" t="str">
        <f t="shared" si="1222"/>
        <v/>
      </c>
      <c r="BK3506" s="498" t="str">
        <f t="shared" si="1216"/>
        <v/>
      </c>
      <c r="BL3506" s="498" t="str">
        <f t="shared" si="1217"/>
        <v/>
      </c>
    </row>
    <row r="3507" spans="1:64" x14ac:dyDescent="0.25">
      <c r="A3507" s="762">
        <f t="shared" si="1218"/>
        <v>3502</v>
      </c>
      <c r="B3507" s="229"/>
      <c r="C3507" s="223"/>
      <c r="D3507" s="224"/>
      <c r="E3507" s="225"/>
      <c r="F3507" s="1036" t="str">
        <f t="shared" si="1224"/>
        <v/>
      </c>
      <c r="G3507" s="1037" t="str">
        <f t="shared" si="1219"/>
        <v/>
      </c>
      <c r="H3507" s="225"/>
      <c r="I3507" s="1013"/>
      <c r="J3507" s="1013"/>
      <c r="K3507" s="1028"/>
      <c r="L3507" s="1035" t="str">
        <f t="shared" si="1223"/>
        <v/>
      </c>
      <c r="S3507" s="498"/>
      <c r="AJ3507" s="498"/>
      <c r="AM3507" s="498">
        <f t="shared" si="1204"/>
        <v>0</v>
      </c>
      <c r="AN3507" s="498">
        <f t="shared" si="1205"/>
        <v>0</v>
      </c>
      <c r="AO3507" s="498">
        <f t="shared" si="1206"/>
        <v>0</v>
      </c>
      <c r="AP3507" s="498">
        <f t="shared" si="1225"/>
        <v>0</v>
      </c>
      <c r="AQ3507" s="498">
        <f t="shared" si="1220"/>
        <v>0</v>
      </c>
      <c r="AU3507" s="498">
        <f t="shared" si="1207"/>
        <v>0</v>
      </c>
      <c r="AV3507" s="498">
        <f t="shared" si="1208"/>
        <v>0</v>
      </c>
      <c r="AW3507" s="498">
        <f t="shared" si="1209"/>
        <v>0</v>
      </c>
      <c r="AX3507" s="498">
        <f t="shared" si="1210"/>
        <v>0</v>
      </c>
      <c r="AY3507" s="498">
        <f t="shared" si="1211"/>
        <v>0</v>
      </c>
      <c r="BB3507" s="498" t="str">
        <f t="shared" si="1212"/>
        <v/>
      </c>
      <c r="BC3507" s="743" t="str">
        <f t="shared" si="1213"/>
        <v/>
      </c>
      <c r="BD3507" s="743" t="str">
        <f t="shared" si="1214"/>
        <v/>
      </c>
      <c r="BE3507" s="743" t="str">
        <f>IF(D3507="","",VLOOKUP(D3507,'General Basis'!$J$39:$K$46,2,0))</f>
        <v/>
      </c>
      <c r="BF3507" s="744" t="str">
        <f>IF(D3507="","",VLOOKUP(D3507,'General Basis'!$J$39:$L$46,3,0))</f>
        <v/>
      </c>
      <c r="BG3507" s="744" t="str">
        <f t="shared" si="1221"/>
        <v/>
      </c>
      <c r="BH3507" s="744" t="str">
        <f>IF(G3507="","",IF(BF3507="Abu Dhabi",IF(G3507&lt;18,'General Basis'!$C$39,IF(G3507&lt;41,'General Basis'!$C$40,IF(G3507&lt;60,'General Basis'!$C$41,IF(G3507&lt;65,'General Basis'!$C$42,'General Basis'!$C$43)))),IF(G3507&lt;11,'General Basis'!$B$39,IF(G3507&lt;18,'General Basis'!$B$40,IF(G3507&lt;26,'General Basis'!$B$41,IF(G3507&lt;31,'General Basis'!$B$42,IF(G3507&lt;36,'General Basis'!$B$43,IF(G3507&lt;41,'General Basis'!$B$44,IF(G3507&lt;46,'General Basis'!$B$45,IF(G3507&lt;51,'General Basis'!$B$46,IF(G3507&lt;56,'General Basis'!$B$47,IF(G3507&lt;60,'General Basis'!$B$48,IF(G3507&lt;65,'General Basis'!$B$49,'General Basis'!$B$50)))))))))))))</f>
        <v/>
      </c>
      <c r="BI3507" s="744" t="str">
        <f t="shared" si="1215"/>
        <v/>
      </c>
      <c r="BJ3507" s="747" t="str">
        <f t="shared" si="1222"/>
        <v/>
      </c>
      <c r="BK3507" s="498" t="str">
        <f t="shared" si="1216"/>
        <v/>
      </c>
      <c r="BL3507" s="498" t="str">
        <f t="shared" si="1217"/>
        <v/>
      </c>
    </row>
    <row r="3508" spans="1:64" x14ac:dyDescent="0.25">
      <c r="A3508" s="762">
        <f t="shared" si="1218"/>
        <v>3503</v>
      </c>
      <c r="B3508" s="229"/>
      <c r="C3508" s="223"/>
      <c r="D3508" s="224"/>
      <c r="E3508" s="225"/>
      <c r="F3508" s="1036" t="str">
        <f t="shared" si="1224"/>
        <v/>
      </c>
      <c r="G3508" s="1037" t="str">
        <f t="shared" si="1219"/>
        <v/>
      </c>
      <c r="H3508" s="225"/>
      <c r="I3508" s="1013"/>
      <c r="J3508" s="1013"/>
      <c r="K3508" s="1028"/>
      <c r="L3508" s="1035" t="str">
        <f t="shared" si="1223"/>
        <v/>
      </c>
      <c r="S3508" s="498"/>
      <c r="AJ3508" s="498"/>
      <c r="AM3508" s="498">
        <f t="shared" si="1204"/>
        <v>0</v>
      </c>
      <c r="AN3508" s="498">
        <f t="shared" si="1205"/>
        <v>0</v>
      </c>
      <c r="AO3508" s="498">
        <f t="shared" si="1206"/>
        <v>0</v>
      </c>
      <c r="AP3508" s="498">
        <f t="shared" si="1225"/>
        <v>0</v>
      </c>
      <c r="AQ3508" s="498">
        <f t="shared" si="1220"/>
        <v>0</v>
      </c>
      <c r="AU3508" s="498">
        <f t="shared" si="1207"/>
        <v>0</v>
      </c>
      <c r="AV3508" s="498">
        <f t="shared" si="1208"/>
        <v>0</v>
      </c>
      <c r="AW3508" s="498">
        <f t="shared" si="1209"/>
        <v>0</v>
      </c>
      <c r="AX3508" s="498">
        <f t="shared" si="1210"/>
        <v>0</v>
      </c>
      <c r="AY3508" s="498">
        <f t="shared" si="1211"/>
        <v>0</v>
      </c>
      <c r="BB3508" s="498" t="str">
        <f t="shared" si="1212"/>
        <v/>
      </c>
      <c r="BC3508" s="743" t="str">
        <f t="shared" si="1213"/>
        <v/>
      </c>
      <c r="BD3508" s="743" t="str">
        <f t="shared" si="1214"/>
        <v/>
      </c>
      <c r="BE3508" s="743" t="str">
        <f>IF(D3508="","",VLOOKUP(D3508,'General Basis'!$J$39:$K$46,2,0))</f>
        <v/>
      </c>
      <c r="BF3508" s="744" t="str">
        <f>IF(D3508="","",VLOOKUP(D3508,'General Basis'!$J$39:$L$46,3,0))</f>
        <v/>
      </c>
      <c r="BG3508" s="744" t="str">
        <f t="shared" si="1221"/>
        <v/>
      </c>
      <c r="BH3508" s="744" t="str">
        <f>IF(G3508="","",IF(BF3508="Abu Dhabi",IF(G3508&lt;18,'General Basis'!$C$39,IF(G3508&lt;41,'General Basis'!$C$40,IF(G3508&lt;60,'General Basis'!$C$41,IF(G3508&lt;65,'General Basis'!$C$42,'General Basis'!$C$43)))),IF(G3508&lt;11,'General Basis'!$B$39,IF(G3508&lt;18,'General Basis'!$B$40,IF(G3508&lt;26,'General Basis'!$B$41,IF(G3508&lt;31,'General Basis'!$B$42,IF(G3508&lt;36,'General Basis'!$B$43,IF(G3508&lt;41,'General Basis'!$B$44,IF(G3508&lt;46,'General Basis'!$B$45,IF(G3508&lt;51,'General Basis'!$B$46,IF(G3508&lt;56,'General Basis'!$B$47,IF(G3508&lt;60,'General Basis'!$B$48,IF(G3508&lt;65,'General Basis'!$B$49,'General Basis'!$B$50)))))))))))))</f>
        <v/>
      </c>
      <c r="BI3508" s="744" t="str">
        <f t="shared" si="1215"/>
        <v/>
      </c>
      <c r="BJ3508" s="747" t="str">
        <f t="shared" si="1222"/>
        <v/>
      </c>
      <c r="BK3508" s="498" t="str">
        <f t="shared" si="1216"/>
        <v/>
      </c>
      <c r="BL3508" s="498" t="str">
        <f t="shared" si="1217"/>
        <v/>
      </c>
    </row>
    <row r="3509" spans="1:64" x14ac:dyDescent="0.25">
      <c r="A3509" s="762">
        <f t="shared" si="1218"/>
        <v>3504</v>
      </c>
      <c r="B3509" s="229"/>
      <c r="C3509" s="223"/>
      <c r="D3509" s="224"/>
      <c r="E3509" s="225"/>
      <c r="F3509" s="1036" t="str">
        <f t="shared" si="1224"/>
        <v/>
      </c>
      <c r="G3509" s="1037" t="str">
        <f t="shared" si="1219"/>
        <v/>
      </c>
      <c r="H3509" s="225"/>
      <c r="I3509" s="1013"/>
      <c r="J3509" s="1013"/>
      <c r="K3509" s="1028"/>
      <c r="L3509" s="1035" t="str">
        <f t="shared" si="1223"/>
        <v/>
      </c>
      <c r="S3509" s="498"/>
      <c r="AJ3509" s="498"/>
      <c r="AM3509" s="498">
        <f t="shared" si="1204"/>
        <v>0</v>
      </c>
      <c r="AN3509" s="498">
        <f t="shared" si="1205"/>
        <v>0</v>
      </c>
      <c r="AO3509" s="498">
        <f t="shared" si="1206"/>
        <v>0</v>
      </c>
      <c r="AP3509" s="498">
        <f t="shared" si="1225"/>
        <v>0</v>
      </c>
      <c r="AQ3509" s="498">
        <f t="shared" si="1220"/>
        <v>0</v>
      </c>
      <c r="AU3509" s="498">
        <f t="shared" si="1207"/>
        <v>0</v>
      </c>
      <c r="AV3509" s="498">
        <f t="shared" si="1208"/>
        <v>0</v>
      </c>
      <c r="AW3509" s="498">
        <f t="shared" si="1209"/>
        <v>0</v>
      </c>
      <c r="AX3509" s="498">
        <f t="shared" si="1210"/>
        <v>0</v>
      </c>
      <c r="AY3509" s="498">
        <f t="shared" si="1211"/>
        <v>0</v>
      </c>
      <c r="BB3509" s="498" t="str">
        <f t="shared" si="1212"/>
        <v/>
      </c>
      <c r="BC3509" s="743" t="str">
        <f t="shared" si="1213"/>
        <v/>
      </c>
      <c r="BD3509" s="743" t="str">
        <f t="shared" si="1214"/>
        <v/>
      </c>
      <c r="BE3509" s="743" t="str">
        <f>IF(D3509="","",VLOOKUP(D3509,'General Basis'!$J$39:$K$46,2,0))</f>
        <v/>
      </c>
      <c r="BF3509" s="744" t="str">
        <f>IF(D3509="","",VLOOKUP(D3509,'General Basis'!$J$39:$L$46,3,0))</f>
        <v/>
      </c>
      <c r="BG3509" s="744" t="str">
        <f t="shared" si="1221"/>
        <v/>
      </c>
      <c r="BH3509" s="744" t="str">
        <f>IF(G3509="","",IF(BF3509="Abu Dhabi",IF(G3509&lt;18,'General Basis'!$C$39,IF(G3509&lt;41,'General Basis'!$C$40,IF(G3509&lt;60,'General Basis'!$C$41,IF(G3509&lt;65,'General Basis'!$C$42,'General Basis'!$C$43)))),IF(G3509&lt;11,'General Basis'!$B$39,IF(G3509&lt;18,'General Basis'!$B$40,IF(G3509&lt;26,'General Basis'!$B$41,IF(G3509&lt;31,'General Basis'!$B$42,IF(G3509&lt;36,'General Basis'!$B$43,IF(G3509&lt;41,'General Basis'!$B$44,IF(G3509&lt;46,'General Basis'!$B$45,IF(G3509&lt;51,'General Basis'!$B$46,IF(G3509&lt;56,'General Basis'!$B$47,IF(G3509&lt;60,'General Basis'!$B$48,IF(G3509&lt;65,'General Basis'!$B$49,'General Basis'!$B$50)))))))))))))</f>
        <v/>
      </c>
      <c r="BI3509" s="744" t="str">
        <f t="shared" si="1215"/>
        <v/>
      </c>
      <c r="BJ3509" s="747" t="str">
        <f t="shared" si="1222"/>
        <v/>
      </c>
      <c r="BK3509" s="498" t="str">
        <f t="shared" si="1216"/>
        <v/>
      </c>
      <c r="BL3509" s="498" t="str">
        <f t="shared" si="1217"/>
        <v/>
      </c>
    </row>
    <row r="3510" spans="1:64" x14ac:dyDescent="0.25">
      <c r="A3510" s="762">
        <f t="shared" si="1218"/>
        <v>3505</v>
      </c>
      <c r="B3510" s="229"/>
      <c r="C3510" s="223"/>
      <c r="D3510" s="224"/>
      <c r="E3510" s="225"/>
      <c r="F3510" s="1036" t="str">
        <f t="shared" si="1224"/>
        <v/>
      </c>
      <c r="G3510" s="1037" t="str">
        <f t="shared" si="1219"/>
        <v/>
      </c>
      <c r="H3510" s="225"/>
      <c r="I3510" s="1013"/>
      <c r="J3510" s="1013"/>
      <c r="K3510" s="1028"/>
      <c r="L3510" s="1035" t="str">
        <f t="shared" si="1223"/>
        <v/>
      </c>
      <c r="S3510" s="498"/>
      <c r="AJ3510" s="498"/>
      <c r="AM3510" s="498">
        <f t="shared" si="1204"/>
        <v>0</v>
      </c>
      <c r="AN3510" s="498">
        <f t="shared" si="1205"/>
        <v>0</v>
      </c>
      <c r="AO3510" s="498">
        <f t="shared" si="1206"/>
        <v>0</v>
      </c>
      <c r="AP3510" s="498">
        <f t="shared" si="1225"/>
        <v>0</v>
      </c>
      <c r="AQ3510" s="498">
        <f t="shared" si="1220"/>
        <v>0</v>
      </c>
      <c r="AU3510" s="498">
        <f t="shared" si="1207"/>
        <v>0</v>
      </c>
      <c r="AV3510" s="498">
        <f t="shared" si="1208"/>
        <v>0</v>
      </c>
      <c r="AW3510" s="498">
        <f t="shared" si="1209"/>
        <v>0</v>
      </c>
      <c r="AX3510" s="498">
        <f t="shared" si="1210"/>
        <v>0</v>
      </c>
      <c r="AY3510" s="498">
        <f t="shared" si="1211"/>
        <v>0</v>
      </c>
      <c r="BB3510" s="498" t="str">
        <f t="shared" si="1212"/>
        <v/>
      </c>
      <c r="BC3510" s="743" t="str">
        <f t="shared" si="1213"/>
        <v/>
      </c>
      <c r="BD3510" s="743" t="str">
        <f t="shared" si="1214"/>
        <v/>
      </c>
      <c r="BE3510" s="743" t="str">
        <f>IF(D3510="","",VLOOKUP(D3510,'General Basis'!$J$39:$K$46,2,0))</f>
        <v/>
      </c>
      <c r="BF3510" s="744" t="str">
        <f>IF(D3510="","",VLOOKUP(D3510,'General Basis'!$J$39:$L$46,3,0))</f>
        <v/>
      </c>
      <c r="BG3510" s="744" t="str">
        <f t="shared" si="1221"/>
        <v/>
      </c>
      <c r="BH3510" s="744" t="str">
        <f>IF(G3510="","",IF(BF3510="Abu Dhabi",IF(G3510&lt;18,'General Basis'!$C$39,IF(G3510&lt;41,'General Basis'!$C$40,IF(G3510&lt;60,'General Basis'!$C$41,IF(G3510&lt;65,'General Basis'!$C$42,'General Basis'!$C$43)))),IF(G3510&lt;11,'General Basis'!$B$39,IF(G3510&lt;18,'General Basis'!$B$40,IF(G3510&lt;26,'General Basis'!$B$41,IF(G3510&lt;31,'General Basis'!$B$42,IF(G3510&lt;36,'General Basis'!$B$43,IF(G3510&lt;41,'General Basis'!$B$44,IF(G3510&lt;46,'General Basis'!$B$45,IF(G3510&lt;51,'General Basis'!$B$46,IF(G3510&lt;56,'General Basis'!$B$47,IF(G3510&lt;60,'General Basis'!$B$48,IF(G3510&lt;65,'General Basis'!$B$49,'General Basis'!$B$50)))))))))))))</f>
        <v/>
      </c>
      <c r="BI3510" s="744" t="str">
        <f t="shared" si="1215"/>
        <v/>
      </c>
      <c r="BJ3510" s="747" t="str">
        <f t="shared" si="1222"/>
        <v/>
      </c>
      <c r="BK3510" s="498" t="str">
        <f t="shared" si="1216"/>
        <v/>
      </c>
      <c r="BL3510" s="498" t="str">
        <f t="shared" si="1217"/>
        <v/>
      </c>
    </row>
    <row r="3511" spans="1:64" x14ac:dyDescent="0.25">
      <c r="A3511" s="762">
        <f t="shared" si="1218"/>
        <v>3506</v>
      </c>
      <c r="B3511" s="229"/>
      <c r="C3511" s="223"/>
      <c r="D3511" s="224"/>
      <c r="E3511" s="225"/>
      <c r="F3511" s="1036" t="str">
        <f t="shared" si="1224"/>
        <v/>
      </c>
      <c r="G3511" s="1037" t="str">
        <f t="shared" si="1219"/>
        <v/>
      </c>
      <c r="H3511" s="225"/>
      <c r="I3511" s="1013"/>
      <c r="J3511" s="1013"/>
      <c r="K3511" s="1028"/>
      <c r="L3511" s="1035" t="str">
        <f t="shared" si="1223"/>
        <v/>
      </c>
      <c r="S3511" s="498"/>
      <c r="AJ3511" s="498"/>
      <c r="AM3511" s="498">
        <f t="shared" si="1204"/>
        <v>0</v>
      </c>
      <c r="AN3511" s="498">
        <f t="shared" si="1205"/>
        <v>0</v>
      </c>
      <c r="AO3511" s="498">
        <f t="shared" si="1206"/>
        <v>0</v>
      </c>
      <c r="AP3511" s="498">
        <f t="shared" si="1225"/>
        <v>0</v>
      </c>
      <c r="AQ3511" s="498">
        <f t="shared" si="1220"/>
        <v>0</v>
      </c>
      <c r="AU3511" s="498">
        <f t="shared" si="1207"/>
        <v>0</v>
      </c>
      <c r="AV3511" s="498">
        <f t="shared" si="1208"/>
        <v>0</v>
      </c>
      <c r="AW3511" s="498">
        <f t="shared" si="1209"/>
        <v>0</v>
      </c>
      <c r="AX3511" s="498">
        <f t="shared" si="1210"/>
        <v>0</v>
      </c>
      <c r="AY3511" s="498">
        <f t="shared" si="1211"/>
        <v>0</v>
      </c>
      <c r="BB3511" s="498" t="str">
        <f t="shared" si="1212"/>
        <v/>
      </c>
      <c r="BC3511" s="743" t="str">
        <f t="shared" si="1213"/>
        <v/>
      </c>
      <c r="BD3511" s="743" t="str">
        <f t="shared" si="1214"/>
        <v/>
      </c>
      <c r="BE3511" s="743" t="str">
        <f>IF(D3511="","",VLOOKUP(D3511,'General Basis'!$J$39:$K$46,2,0))</f>
        <v/>
      </c>
      <c r="BF3511" s="744" t="str">
        <f>IF(D3511="","",VLOOKUP(D3511,'General Basis'!$J$39:$L$46,3,0))</f>
        <v/>
      </c>
      <c r="BG3511" s="744" t="str">
        <f t="shared" si="1221"/>
        <v/>
      </c>
      <c r="BH3511" s="744" t="str">
        <f>IF(G3511="","",IF(BF3511="Abu Dhabi",IF(G3511&lt;18,'General Basis'!$C$39,IF(G3511&lt;41,'General Basis'!$C$40,IF(G3511&lt;60,'General Basis'!$C$41,IF(G3511&lt;65,'General Basis'!$C$42,'General Basis'!$C$43)))),IF(G3511&lt;11,'General Basis'!$B$39,IF(G3511&lt;18,'General Basis'!$B$40,IF(G3511&lt;26,'General Basis'!$B$41,IF(G3511&lt;31,'General Basis'!$B$42,IF(G3511&lt;36,'General Basis'!$B$43,IF(G3511&lt;41,'General Basis'!$B$44,IF(G3511&lt;46,'General Basis'!$B$45,IF(G3511&lt;51,'General Basis'!$B$46,IF(G3511&lt;56,'General Basis'!$B$47,IF(G3511&lt;60,'General Basis'!$B$48,IF(G3511&lt;65,'General Basis'!$B$49,'General Basis'!$B$50)))))))))))))</f>
        <v/>
      </c>
      <c r="BI3511" s="744" t="str">
        <f t="shared" si="1215"/>
        <v/>
      </c>
      <c r="BJ3511" s="747" t="str">
        <f t="shared" si="1222"/>
        <v/>
      </c>
      <c r="BK3511" s="498" t="str">
        <f t="shared" si="1216"/>
        <v/>
      </c>
      <c r="BL3511" s="498" t="str">
        <f t="shared" si="1217"/>
        <v/>
      </c>
    </row>
    <row r="3512" spans="1:64" x14ac:dyDescent="0.25">
      <c r="A3512" s="762">
        <f t="shared" si="1218"/>
        <v>3507</v>
      </c>
      <c r="B3512" s="229"/>
      <c r="C3512" s="223"/>
      <c r="D3512" s="224"/>
      <c r="E3512" s="225"/>
      <c r="F3512" s="1036" t="str">
        <f t="shared" si="1224"/>
        <v/>
      </c>
      <c r="G3512" s="1037" t="str">
        <f t="shared" si="1219"/>
        <v/>
      </c>
      <c r="H3512" s="225"/>
      <c r="I3512" s="1013"/>
      <c r="J3512" s="1013"/>
      <c r="K3512" s="1028"/>
      <c r="L3512" s="1035" t="str">
        <f t="shared" si="1223"/>
        <v/>
      </c>
      <c r="S3512" s="498"/>
      <c r="AJ3512" s="498"/>
      <c r="AM3512" s="498">
        <f t="shared" si="1204"/>
        <v>0</v>
      </c>
      <c r="AN3512" s="498">
        <f t="shared" si="1205"/>
        <v>0</v>
      </c>
      <c r="AO3512" s="498">
        <f t="shared" si="1206"/>
        <v>0</v>
      </c>
      <c r="AP3512" s="498">
        <f t="shared" si="1225"/>
        <v>0</v>
      </c>
      <c r="AQ3512" s="498">
        <f t="shared" si="1220"/>
        <v>0</v>
      </c>
      <c r="AU3512" s="498">
        <f t="shared" si="1207"/>
        <v>0</v>
      </c>
      <c r="AV3512" s="498">
        <f t="shared" si="1208"/>
        <v>0</v>
      </c>
      <c r="AW3512" s="498">
        <f t="shared" si="1209"/>
        <v>0</v>
      </c>
      <c r="AX3512" s="498">
        <f t="shared" si="1210"/>
        <v>0</v>
      </c>
      <c r="AY3512" s="498">
        <f t="shared" si="1211"/>
        <v>0</v>
      </c>
      <c r="BB3512" s="498" t="str">
        <f t="shared" si="1212"/>
        <v/>
      </c>
      <c r="BC3512" s="743" t="str">
        <f t="shared" si="1213"/>
        <v/>
      </c>
      <c r="BD3512" s="743" t="str">
        <f t="shared" si="1214"/>
        <v/>
      </c>
      <c r="BE3512" s="743" t="str">
        <f>IF(D3512="","",VLOOKUP(D3512,'General Basis'!$J$39:$K$46,2,0))</f>
        <v/>
      </c>
      <c r="BF3512" s="744" t="str">
        <f>IF(D3512="","",VLOOKUP(D3512,'General Basis'!$J$39:$L$46,3,0))</f>
        <v/>
      </c>
      <c r="BG3512" s="744" t="str">
        <f t="shared" si="1221"/>
        <v/>
      </c>
      <c r="BH3512" s="744" t="str">
        <f>IF(G3512="","",IF(BF3512="Abu Dhabi",IF(G3512&lt;18,'General Basis'!$C$39,IF(G3512&lt;41,'General Basis'!$C$40,IF(G3512&lt;60,'General Basis'!$C$41,IF(G3512&lt;65,'General Basis'!$C$42,'General Basis'!$C$43)))),IF(G3512&lt;11,'General Basis'!$B$39,IF(G3512&lt;18,'General Basis'!$B$40,IF(G3512&lt;26,'General Basis'!$B$41,IF(G3512&lt;31,'General Basis'!$B$42,IF(G3512&lt;36,'General Basis'!$B$43,IF(G3512&lt;41,'General Basis'!$B$44,IF(G3512&lt;46,'General Basis'!$B$45,IF(G3512&lt;51,'General Basis'!$B$46,IF(G3512&lt;56,'General Basis'!$B$47,IF(G3512&lt;60,'General Basis'!$B$48,IF(G3512&lt;65,'General Basis'!$B$49,'General Basis'!$B$50)))))))))))))</f>
        <v/>
      </c>
      <c r="BI3512" s="744" t="str">
        <f t="shared" si="1215"/>
        <v/>
      </c>
      <c r="BJ3512" s="747" t="str">
        <f t="shared" si="1222"/>
        <v/>
      </c>
      <c r="BK3512" s="498" t="str">
        <f t="shared" si="1216"/>
        <v/>
      </c>
      <c r="BL3512" s="498" t="str">
        <f t="shared" si="1217"/>
        <v/>
      </c>
    </row>
    <row r="3513" spans="1:64" x14ac:dyDescent="0.25">
      <c r="A3513" s="762">
        <f t="shared" si="1218"/>
        <v>3508</v>
      </c>
      <c r="B3513" s="229"/>
      <c r="C3513" s="223"/>
      <c r="D3513" s="224"/>
      <c r="E3513" s="225"/>
      <c r="F3513" s="1036" t="str">
        <f t="shared" si="1224"/>
        <v/>
      </c>
      <c r="G3513" s="1037" t="str">
        <f t="shared" si="1219"/>
        <v/>
      </c>
      <c r="H3513" s="225"/>
      <c r="I3513" s="1013"/>
      <c r="J3513" s="1013"/>
      <c r="K3513" s="1028"/>
      <c r="L3513" s="1035" t="str">
        <f t="shared" si="1223"/>
        <v/>
      </c>
      <c r="S3513" s="498"/>
      <c r="AJ3513" s="498"/>
      <c r="AM3513" s="498">
        <f t="shared" si="1204"/>
        <v>0</v>
      </c>
      <c r="AN3513" s="498">
        <f t="shared" si="1205"/>
        <v>0</v>
      </c>
      <c r="AO3513" s="498">
        <f t="shared" si="1206"/>
        <v>0</v>
      </c>
      <c r="AP3513" s="498">
        <f t="shared" si="1225"/>
        <v>0</v>
      </c>
      <c r="AQ3513" s="498">
        <f t="shared" si="1220"/>
        <v>0</v>
      </c>
      <c r="AU3513" s="498">
        <f t="shared" si="1207"/>
        <v>0</v>
      </c>
      <c r="AV3513" s="498">
        <f t="shared" si="1208"/>
        <v>0</v>
      </c>
      <c r="AW3513" s="498">
        <f t="shared" si="1209"/>
        <v>0</v>
      </c>
      <c r="AX3513" s="498">
        <f t="shared" si="1210"/>
        <v>0</v>
      </c>
      <c r="AY3513" s="498">
        <f t="shared" si="1211"/>
        <v>0</v>
      </c>
      <c r="BB3513" s="498" t="str">
        <f t="shared" si="1212"/>
        <v/>
      </c>
      <c r="BC3513" s="743" t="str">
        <f t="shared" si="1213"/>
        <v/>
      </c>
      <c r="BD3513" s="743" t="str">
        <f t="shared" si="1214"/>
        <v/>
      </c>
      <c r="BE3513" s="743" t="str">
        <f>IF(D3513="","",VLOOKUP(D3513,'General Basis'!$J$39:$K$46,2,0))</f>
        <v/>
      </c>
      <c r="BF3513" s="744" t="str">
        <f>IF(D3513="","",VLOOKUP(D3513,'General Basis'!$J$39:$L$46,3,0))</f>
        <v/>
      </c>
      <c r="BG3513" s="744" t="str">
        <f t="shared" si="1221"/>
        <v/>
      </c>
      <c r="BH3513" s="744" t="str">
        <f>IF(G3513="","",IF(BF3513="Abu Dhabi",IF(G3513&lt;18,'General Basis'!$C$39,IF(G3513&lt;41,'General Basis'!$C$40,IF(G3513&lt;60,'General Basis'!$C$41,IF(G3513&lt;65,'General Basis'!$C$42,'General Basis'!$C$43)))),IF(G3513&lt;11,'General Basis'!$B$39,IF(G3513&lt;18,'General Basis'!$B$40,IF(G3513&lt;26,'General Basis'!$B$41,IF(G3513&lt;31,'General Basis'!$B$42,IF(G3513&lt;36,'General Basis'!$B$43,IF(G3513&lt;41,'General Basis'!$B$44,IF(G3513&lt;46,'General Basis'!$B$45,IF(G3513&lt;51,'General Basis'!$B$46,IF(G3513&lt;56,'General Basis'!$B$47,IF(G3513&lt;60,'General Basis'!$B$48,IF(G3513&lt;65,'General Basis'!$B$49,'General Basis'!$B$50)))))))))))))</f>
        <v/>
      </c>
      <c r="BI3513" s="744" t="str">
        <f t="shared" si="1215"/>
        <v/>
      </c>
      <c r="BJ3513" s="747" t="str">
        <f t="shared" si="1222"/>
        <v/>
      </c>
      <c r="BK3513" s="498" t="str">
        <f t="shared" si="1216"/>
        <v/>
      </c>
      <c r="BL3513" s="498" t="str">
        <f t="shared" si="1217"/>
        <v/>
      </c>
    </row>
    <row r="3514" spans="1:64" x14ac:dyDescent="0.25">
      <c r="A3514" s="762">
        <f t="shared" si="1218"/>
        <v>3509</v>
      </c>
      <c r="B3514" s="229"/>
      <c r="C3514" s="223"/>
      <c r="D3514" s="224"/>
      <c r="E3514" s="225"/>
      <c r="F3514" s="1036" t="str">
        <f t="shared" si="1224"/>
        <v/>
      </c>
      <c r="G3514" s="1037" t="str">
        <f t="shared" si="1219"/>
        <v/>
      </c>
      <c r="H3514" s="225"/>
      <c r="I3514" s="1013"/>
      <c r="J3514" s="1013"/>
      <c r="K3514" s="1028"/>
      <c r="L3514" s="1035" t="str">
        <f t="shared" si="1223"/>
        <v/>
      </c>
      <c r="S3514" s="498"/>
      <c r="AJ3514" s="498"/>
      <c r="AM3514" s="498">
        <f t="shared" si="1204"/>
        <v>0</v>
      </c>
      <c r="AN3514" s="498">
        <f t="shared" si="1205"/>
        <v>0</v>
      </c>
      <c r="AO3514" s="498">
        <f t="shared" si="1206"/>
        <v>0</v>
      </c>
      <c r="AP3514" s="498">
        <f t="shared" si="1225"/>
        <v>0</v>
      </c>
      <c r="AQ3514" s="498">
        <f t="shared" si="1220"/>
        <v>0</v>
      </c>
      <c r="AU3514" s="498">
        <f t="shared" si="1207"/>
        <v>0</v>
      </c>
      <c r="AV3514" s="498">
        <f t="shared" si="1208"/>
        <v>0</v>
      </c>
      <c r="AW3514" s="498">
        <f t="shared" si="1209"/>
        <v>0</v>
      </c>
      <c r="AX3514" s="498">
        <f t="shared" si="1210"/>
        <v>0</v>
      </c>
      <c r="AY3514" s="498">
        <f t="shared" si="1211"/>
        <v>0</v>
      </c>
      <c r="BB3514" s="498" t="str">
        <f t="shared" si="1212"/>
        <v/>
      </c>
      <c r="BC3514" s="743" t="str">
        <f t="shared" si="1213"/>
        <v/>
      </c>
      <c r="BD3514" s="743" t="str">
        <f t="shared" si="1214"/>
        <v/>
      </c>
      <c r="BE3514" s="743" t="str">
        <f>IF(D3514="","",VLOOKUP(D3514,'General Basis'!$J$39:$K$46,2,0))</f>
        <v/>
      </c>
      <c r="BF3514" s="744" t="str">
        <f>IF(D3514="","",VLOOKUP(D3514,'General Basis'!$J$39:$L$46,3,0))</f>
        <v/>
      </c>
      <c r="BG3514" s="744" t="str">
        <f t="shared" si="1221"/>
        <v/>
      </c>
      <c r="BH3514" s="744" t="str">
        <f>IF(G3514="","",IF(BF3514="Abu Dhabi",IF(G3514&lt;18,'General Basis'!$C$39,IF(G3514&lt;41,'General Basis'!$C$40,IF(G3514&lt;60,'General Basis'!$C$41,IF(G3514&lt;65,'General Basis'!$C$42,'General Basis'!$C$43)))),IF(G3514&lt;11,'General Basis'!$B$39,IF(G3514&lt;18,'General Basis'!$B$40,IF(G3514&lt;26,'General Basis'!$B$41,IF(G3514&lt;31,'General Basis'!$B$42,IF(G3514&lt;36,'General Basis'!$B$43,IF(G3514&lt;41,'General Basis'!$B$44,IF(G3514&lt;46,'General Basis'!$B$45,IF(G3514&lt;51,'General Basis'!$B$46,IF(G3514&lt;56,'General Basis'!$B$47,IF(G3514&lt;60,'General Basis'!$B$48,IF(G3514&lt;65,'General Basis'!$B$49,'General Basis'!$B$50)))))))))))))</f>
        <v/>
      </c>
      <c r="BI3514" s="744" t="str">
        <f t="shared" si="1215"/>
        <v/>
      </c>
      <c r="BJ3514" s="747" t="str">
        <f t="shared" si="1222"/>
        <v/>
      </c>
      <c r="BK3514" s="498" t="str">
        <f t="shared" si="1216"/>
        <v/>
      </c>
      <c r="BL3514" s="498" t="str">
        <f t="shared" si="1217"/>
        <v/>
      </c>
    </row>
    <row r="3515" spans="1:64" x14ac:dyDescent="0.25">
      <c r="A3515" s="762">
        <f t="shared" si="1218"/>
        <v>3510</v>
      </c>
      <c r="B3515" s="229"/>
      <c r="C3515" s="223"/>
      <c r="D3515" s="224"/>
      <c r="E3515" s="225"/>
      <c r="F3515" s="1036" t="str">
        <f t="shared" si="1224"/>
        <v/>
      </c>
      <c r="G3515" s="1037" t="str">
        <f t="shared" si="1219"/>
        <v/>
      </c>
      <c r="H3515" s="225"/>
      <c r="I3515" s="1013"/>
      <c r="J3515" s="1013"/>
      <c r="K3515" s="1028"/>
      <c r="L3515" s="1035" t="str">
        <f t="shared" si="1223"/>
        <v/>
      </c>
      <c r="S3515" s="498"/>
      <c r="AJ3515" s="498"/>
      <c r="AM3515" s="498">
        <f t="shared" si="1204"/>
        <v>0</v>
      </c>
      <c r="AN3515" s="498">
        <f t="shared" si="1205"/>
        <v>0</v>
      </c>
      <c r="AO3515" s="498">
        <f t="shared" si="1206"/>
        <v>0</v>
      </c>
      <c r="AP3515" s="498">
        <f t="shared" si="1225"/>
        <v>0</v>
      </c>
      <c r="AQ3515" s="498">
        <f t="shared" si="1220"/>
        <v>0</v>
      </c>
      <c r="AU3515" s="498">
        <f t="shared" si="1207"/>
        <v>0</v>
      </c>
      <c r="AV3515" s="498">
        <f t="shared" si="1208"/>
        <v>0</v>
      </c>
      <c r="AW3515" s="498">
        <f t="shared" si="1209"/>
        <v>0</v>
      </c>
      <c r="AX3515" s="498">
        <f t="shared" si="1210"/>
        <v>0</v>
      </c>
      <c r="AY3515" s="498">
        <f t="shared" si="1211"/>
        <v>0</v>
      </c>
      <c r="BB3515" s="498" t="str">
        <f t="shared" si="1212"/>
        <v/>
      </c>
      <c r="BC3515" s="743" t="str">
        <f t="shared" si="1213"/>
        <v/>
      </c>
      <c r="BD3515" s="743" t="str">
        <f t="shared" si="1214"/>
        <v/>
      </c>
      <c r="BE3515" s="743" t="str">
        <f>IF(D3515="","",VLOOKUP(D3515,'General Basis'!$J$39:$K$46,2,0))</f>
        <v/>
      </c>
      <c r="BF3515" s="744" t="str">
        <f>IF(D3515="","",VLOOKUP(D3515,'General Basis'!$J$39:$L$46,3,0))</f>
        <v/>
      </c>
      <c r="BG3515" s="744" t="str">
        <f t="shared" si="1221"/>
        <v/>
      </c>
      <c r="BH3515" s="744" t="str">
        <f>IF(G3515="","",IF(BF3515="Abu Dhabi",IF(G3515&lt;18,'General Basis'!$C$39,IF(G3515&lt;41,'General Basis'!$C$40,IF(G3515&lt;60,'General Basis'!$C$41,IF(G3515&lt;65,'General Basis'!$C$42,'General Basis'!$C$43)))),IF(G3515&lt;11,'General Basis'!$B$39,IF(G3515&lt;18,'General Basis'!$B$40,IF(G3515&lt;26,'General Basis'!$B$41,IF(G3515&lt;31,'General Basis'!$B$42,IF(G3515&lt;36,'General Basis'!$B$43,IF(G3515&lt;41,'General Basis'!$B$44,IF(G3515&lt;46,'General Basis'!$B$45,IF(G3515&lt;51,'General Basis'!$B$46,IF(G3515&lt;56,'General Basis'!$B$47,IF(G3515&lt;60,'General Basis'!$B$48,IF(G3515&lt;65,'General Basis'!$B$49,'General Basis'!$B$50)))))))))))))</f>
        <v/>
      </c>
      <c r="BI3515" s="744" t="str">
        <f t="shared" si="1215"/>
        <v/>
      </c>
      <c r="BJ3515" s="747" t="str">
        <f t="shared" si="1222"/>
        <v/>
      </c>
      <c r="BK3515" s="498" t="str">
        <f t="shared" si="1216"/>
        <v/>
      </c>
      <c r="BL3515" s="498" t="str">
        <f t="shared" si="1217"/>
        <v/>
      </c>
    </row>
    <row r="3516" spans="1:64" x14ac:dyDescent="0.25">
      <c r="A3516" s="762">
        <f t="shared" si="1218"/>
        <v>3511</v>
      </c>
      <c r="B3516" s="229"/>
      <c r="C3516" s="223"/>
      <c r="D3516" s="224"/>
      <c r="E3516" s="225"/>
      <c r="F3516" s="1036" t="str">
        <f t="shared" si="1224"/>
        <v/>
      </c>
      <c r="G3516" s="1037" t="str">
        <f t="shared" si="1219"/>
        <v/>
      </c>
      <c r="H3516" s="225"/>
      <c r="I3516" s="1013"/>
      <c r="J3516" s="1013"/>
      <c r="K3516" s="1028"/>
      <c r="L3516" s="1035" t="str">
        <f t="shared" si="1223"/>
        <v/>
      </c>
      <c r="S3516" s="498"/>
      <c r="AJ3516" s="498"/>
      <c r="AM3516" s="498">
        <f t="shared" si="1204"/>
        <v>0</v>
      </c>
      <c r="AN3516" s="498">
        <f t="shared" si="1205"/>
        <v>0</v>
      </c>
      <c r="AO3516" s="498">
        <f t="shared" si="1206"/>
        <v>0</v>
      </c>
      <c r="AP3516" s="498">
        <f t="shared" si="1225"/>
        <v>0</v>
      </c>
      <c r="AQ3516" s="498">
        <f t="shared" si="1220"/>
        <v>0</v>
      </c>
      <c r="AU3516" s="498">
        <f t="shared" si="1207"/>
        <v>0</v>
      </c>
      <c r="AV3516" s="498">
        <f t="shared" si="1208"/>
        <v>0</v>
      </c>
      <c r="AW3516" s="498">
        <f t="shared" si="1209"/>
        <v>0</v>
      </c>
      <c r="AX3516" s="498">
        <f t="shared" si="1210"/>
        <v>0</v>
      </c>
      <c r="AY3516" s="498">
        <f t="shared" si="1211"/>
        <v>0</v>
      </c>
      <c r="BB3516" s="498" t="str">
        <f t="shared" si="1212"/>
        <v/>
      </c>
      <c r="BC3516" s="743" t="str">
        <f t="shared" si="1213"/>
        <v/>
      </c>
      <c r="BD3516" s="743" t="str">
        <f t="shared" si="1214"/>
        <v/>
      </c>
      <c r="BE3516" s="743" t="str">
        <f>IF(D3516="","",VLOOKUP(D3516,'General Basis'!$J$39:$K$46,2,0))</f>
        <v/>
      </c>
      <c r="BF3516" s="744" t="str">
        <f>IF(D3516="","",VLOOKUP(D3516,'General Basis'!$J$39:$L$46,3,0))</f>
        <v/>
      </c>
      <c r="BG3516" s="744" t="str">
        <f t="shared" si="1221"/>
        <v/>
      </c>
      <c r="BH3516" s="744" t="str">
        <f>IF(G3516="","",IF(BF3516="Abu Dhabi",IF(G3516&lt;18,'General Basis'!$C$39,IF(G3516&lt;41,'General Basis'!$C$40,IF(G3516&lt;60,'General Basis'!$C$41,IF(G3516&lt;65,'General Basis'!$C$42,'General Basis'!$C$43)))),IF(G3516&lt;11,'General Basis'!$B$39,IF(G3516&lt;18,'General Basis'!$B$40,IF(G3516&lt;26,'General Basis'!$B$41,IF(G3516&lt;31,'General Basis'!$B$42,IF(G3516&lt;36,'General Basis'!$B$43,IF(G3516&lt;41,'General Basis'!$B$44,IF(G3516&lt;46,'General Basis'!$B$45,IF(G3516&lt;51,'General Basis'!$B$46,IF(G3516&lt;56,'General Basis'!$B$47,IF(G3516&lt;60,'General Basis'!$B$48,IF(G3516&lt;65,'General Basis'!$B$49,'General Basis'!$B$50)))))))))))))</f>
        <v/>
      </c>
      <c r="BI3516" s="744" t="str">
        <f t="shared" si="1215"/>
        <v/>
      </c>
      <c r="BJ3516" s="747" t="str">
        <f t="shared" si="1222"/>
        <v/>
      </c>
      <c r="BK3516" s="498" t="str">
        <f t="shared" si="1216"/>
        <v/>
      </c>
      <c r="BL3516" s="498" t="str">
        <f t="shared" si="1217"/>
        <v/>
      </c>
    </row>
    <row r="3517" spans="1:64" x14ac:dyDescent="0.25">
      <c r="A3517" s="762">
        <f t="shared" si="1218"/>
        <v>3512</v>
      </c>
      <c r="B3517" s="229"/>
      <c r="C3517" s="223"/>
      <c r="D3517" s="224"/>
      <c r="E3517" s="225"/>
      <c r="F3517" s="1036" t="str">
        <f t="shared" si="1224"/>
        <v/>
      </c>
      <c r="G3517" s="1037" t="str">
        <f t="shared" si="1219"/>
        <v/>
      </c>
      <c r="H3517" s="225"/>
      <c r="I3517" s="1013"/>
      <c r="J3517" s="1013"/>
      <c r="K3517" s="1028"/>
      <c r="L3517" s="1035" t="str">
        <f t="shared" si="1223"/>
        <v/>
      </c>
      <c r="S3517" s="498"/>
      <c r="AJ3517" s="498"/>
      <c r="AM3517" s="498">
        <f t="shared" si="1204"/>
        <v>0</v>
      </c>
      <c r="AN3517" s="498">
        <f t="shared" si="1205"/>
        <v>0</v>
      </c>
      <c r="AO3517" s="498">
        <f t="shared" si="1206"/>
        <v>0</v>
      </c>
      <c r="AP3517" s="498">
        <f t="shared" si="1225"/>
        <v>0</v>
      </c>
      <c r="AQ3517" s="498">
        <f t="shared" si="1220"/>
        <v>0</v>
      </c>
      <c r="AU3517" s="498">
        <f t="shared" si="1207"/>
        <v>0</v>
      </c>
      <c r="AV3517" s="498">
        <f t="shared" si="1208"/>
        <v>0</v>
      </c>
      <c r="AW3517" s="498">
        <f t="shared" si="1209"/>
        <v>0</v>
      </c>
      <c r="AX3517" s="498">
        <f t="shared" si="1210"/>
        <v>0</v>
      </c>
      <c r="AY3517" s="498">
        <f t="shared" si="1211"/>
        <v>0</v>
      </c>
      <c r="BB3517" s="498" t="str">
        <f t="shared" si="1212"/>
        <v/>
      </c>
      <c r="BC3517" s="743" t="str">
        <f t="shared" si="1213"/>
        <v/>
      </c>
      <c r="BD3517" s="743" t="str">
        <f t="shared" si="1214"/>
        <v/>
      </c>
      <c r="BE3517" s="743" t="str">
        <f>IF(D3517="","",VLOOKUP(D3517,'General Basis'!$J$39:$K$46,2,0))</f>
        <v/>
      </c>
      <c r="BF3517" s="744" t="str">
        <f>IF(D3517="","",VLOOKUP(D3517,'General Basis'!$J$39:$L$46,3,0))</f>
        <v/>
      </c>
      <c r="BG3517" s="744" t="str">
        <f t="shared" si="1221"/>
        <v/>
      </c>
      <c r="BH3517" s="744" t="str">
        <f>IF(G3517="","",IF(BF3517="Abu Dhabi",IF(G3517&lt;18,'General Basis'!$C$39,IF(G3517&lt;41,'General Basis'!$C$40,IF(G3517&lt;60,'General Basis'!$C$41,IF(G3517&lt;65,'General Basis'!$C$42,'General Basis'!$C$43)))),IF(G3517&lt;11,'General Basis'!$B$39,IF(G3517&lt;18,'General Basis'!$B$40,IF(G3517&lt;26,'General Basis'!$B$41,IF(G3517&lt;31,'General Basis'!$B$42,IF(G3517&lt;36,'General Basis'!$B$43,IF(G3517&lt;41,'General Basis'!$B$44,IF(G3517&lt;46,'General Basis'!$B$45,IF(G3517&lt;51,'General Basis'!$B$46,IF(G3517&lt;56,'General Basis'!$B$47,IF(G3517&lt;60,'General Basis'!$B$48,IF(G3517&lt;65,'General Basis'!$B$49,'General Basis'!$B$50)))))))))))))</f>
        <v/>
      </c>
      <c r="BI3517" s="744" t="str">
        <f t="shared" si="1215"/>
        <v/>
      </c>
      <c r="BJ3517" s="747" t="str">
        <f t="shared" si="1222"/>
        <v/>
      </c>
      <c r="BK3517" s="498" t="str">
        <f t="shared" si="1216"/>
        <v/>
      </c>
      <c r="BL3517" s="498" t="str">
        <f t="shared" si="1217"/>
        <v/>
      </c>
    </row>
    <row r="3518" spans="1:64" x14ac:dyDescent="0.25">
      <c r="A3518" s="762">
        <f t="shared" si="1218"/>
        <v>3513</v>
      </c>
      <c r="B3518" s="229"/>
      <c r="C3518" s="223"/>
      <c r="D3518" s="224"/>
      <c r="E3518" s="225"/>
      <c r="F3518" s="1036" t="str">
        <f t="shared" si="1224"/>
        <v/>
      </c>
      <c r="G3518" s="1037" t="str">
        <f t="shared" si="1219"/>
        <v/>
      </c>
      <c r="H3518" s="225"/>
      <c r="I3518" s="1013"/>
      <c r="J3518" s="1013"/>
      <c r="K3518" s="1028"/>
      <c r="L3518" s="1035" t="str">
        <f t="shared" si="1223"/>
        <v/>
      </c>
      <c r="S3518" s="498"/>
      <c r="AJ3518" s="498"/>
      <c r="AM3518" s="498">
        <f t="shared" si="1204"/>
        <v>0</v>
      </c>
      <c r="AN3518" s="498">
        <f t="shared" si="1205"/>
        <v>0</v>
      </c>
      <c r="AO3518" s="498">
        <f t="shared" si="1206"/>
        <v>0</v>
      </c>
      <c r="AP3518" s="498">
        <f t="shared" si="1225"/>
        <v>0</v>
      </c>
      <c r="AQ3518" s="498">
        <f t="shared" si="1220"/>
        <v>0</v>
      </c>
      <c r="AU3518" s="498">
        <f t="shared" si="1207"/>
        <v>0</v>
      </c>
      <c r="AV3518" s="498">
        <f t="shared" si="1208"/>
        <v>0</v>
      </c>
      <c r="AW3518" s="498">
        <f t="shared" si="1209"/>
        <v>0</v>
      </c>
      <c r="AX3518" s="498">
        <f t="shared" si="1210"/>
        <v>0</v>
      </c>
      <c r="AY3518" s="498">
        <f t="shared" si="1211"/>
        <v>0</v>
      </c>
      <c r="BB3518" s="498" t="str">
        <f t="shared" si="1212"/>
        <v/>
      </c>
      <c r="BC3518" s="743" t="str">
        <f t="shared" si="1213"/>
        <v/>
      </c>
      <c r="BD3518" s="743" t="str">
        <f t="shared" si="1214"/>
        <v/>
      </c>
      <c r="BE3518" s="743" t="str">
        <f>IF(D3518="","",VLOOKUP(D3518,'General Basis'!$J$39:$K$46,2,0))</f>
        <v/>
      </c>
      <c r="BF3518" s="744" t="str">
        <f>IF(D3518="","",VLOOKUP(D3518,'General Basis'!$J$39:$L$46,3,0))</f>
        <v/>
      </c>
      <c r="BG3518" s="744" t="str">
        <f t="shared" si="1221"/>
        <v/>
      </c>
      <c r="BH3518" s="744" t="str">
        <f>IF(G3518="","",IF(BF3518="Abu Dhabi",IF(G3518&lt;18,'General Basis'!$C$39,IF(G3518&lt;41,'General Basis'!$C$40,IF(G3518&lt;60,'General Basis'!$C$41,IF(G3518&lt;65,'General Basis'!$C$42,'General Basis'!$C$43)))),IF(G3518&lt;11,'General Basis'!$B$39,IF(G3518&lt;18,'General Basis'!$B$40,IF(G3518&lt;26,'General Basis'!$B$41,IF(G3518&lt;31,'General Basis'!$B$42,IF(G3518&lt;36,'General Basis'!$B$43,IF(G3518&lt;41,'General Basis'!$B$44,IF(G3518&lt;46,'General Basis'!$B$45,IF(G3518&lt;51,'General Basis'!$B$46,IF(G3518&lt;56,'General Basis'!$B$47,IF(G3518&lt;60,'General Basis'!$B$48,IF(G3518&lt;65,'General Basis'!$B$49,'General Basis'!$B$50)))))))))))))</f>
        <v/>
      </c>
      <c r="BI3518" s="744" t="str">
        <f t="shared" si="1215"/>
        <v/>
      </c>
      <c r="BJ3518" s="747" t="str">
        <f t="shared" si="1222"/>
        <v/>
      </c>
      <c r="BK3518" s="498" t="str">
        <f t="shared" si="1216"/>
        <v/>
      </c>
      <c r="BL3518" s="498" t="str">
        <f t="shared" si="1217"/>
        <v/>
      </c>
    </row>
    <row r="3519" spans="1:64" x14ac:dyDescent="0.25">
      <c r="A3519" s="762">
        <f t="shared" si="1218"/>
        <v>3514</v>
      </c>
      <c r="B3519" s="229"/>
      <c r="C3519" s="223"/>
      <c r="D3519" s="224"/>
      <c r="E3519" s="225"/>
      <c r="F3519" s="1036" t="str">
        <f t="shared" si="1224"/>
        <v/>
      </c>
      <c r="G3519" s="1037" t="str">
        <f t="shared" si="1219"/>
        <v/>
      </c>
      <c r="H3519" s="225"/>
      <c r="I3519" s="1013"/>
      <c r="J3519" s="1013"/>
      <c r="K3519" s="1028"/>
      <c r="L3519" s="1035" t="str">
        <f t="shared" si="1223"/>
        <v/>
      </c>
      <c r="S3519" s="498"/>
      <c r="AJ3519" s="498"/>
      <c r="AM3519" s="498">
        <f t="shared" si="1204"/>
        <v>0</v>
      </c>
      <c r="AN3519" s="498">
        <f t="shared" si="1205"/>
        <v>0</v>
      </c>
      <c r="AO3519" s="498">
        <f t="shared" si="1206"/>
        <v>0</v>
      </c>
      <c r="AP3519" s="498">
        <f t="shared" si="1225"/>
        <v>0</v>
      </c>
      <c r="AQ3519" s="498">
        <f t="shared" si="1220"/>
        <v>0</v>
      </c>
      <c r="AU3519" s="498">
        <f t="shared" si="1207"/>
        <v>0</v>
      </c>
      <c r="AV3519" s="498">
        <f t="shared" si="1208"/>
        <v>0</v>
      </c>
      <c r="AW3519" s="498">
        <f t="shared" si="1209"/>
        <v>0</v>
      </c>
      <c r="AX3519" s="498">
        <f t="shared" si="1210"/>
        <v>0</v>
      </c>
      <c r="AY3519" s="498">
        <f t="shared" si="1211"/>
        <v>0</v>
      </c>
      <c r="BB3519" s="498" t="str">
        <f t="shared" si="1212"/>
        <v/>
      </c>
      <c r="BC3519" s="743" t="str">
        <f t="shared" si="1213"/>
        <v/>
      </c>
      <c r="BD3519" s="743" t="str">
        <f t="shared" si="1214"/>
        <v/>
      </c>
      <c r="BE3519" s="743" t="str">
        <f>IF(D3519="","",VLOOKUP(D3519,'General Basis'!$J$39:$K$46,2,0))</f>
        <v/>
      </c>
      <c r="BF3519" s="744" t="str">
        <f>IF(D3519="","",VLOOKUP(D3519,'General Basis'!$J$39:$L$46,3,0))</f>
        <v/>
      </c>
      <c r="BG3519" s="744" t="str">
        <f t="shared" si="1221"/>
        <v/>
      </c>
      <c r="BH3519" s="744" t="str">
        <f>IF(G3519="","",IF(BF3519="Abu Dhabi",IF(G3519&lt;18,'General Basis'!$C$39,IF(G3519&lt;41,'General Basis'!$C$40,IF(G3519&lt;60,'General Basis'!$C$41,IF(G3519&lt;65,'General Basis'!$C$42,'General Basis'!$C$43)))),IF(G3519&lt;11,'General Basis'!$B$39,IF(G3519&lt;18,'General Basis'!$B$40,IF(G3519&lt;26,'General Basis'!$B$41,IF(G3519&lt;31,'General Basis'!$B$42,IF(G3519&lt;36,'General Basis'!$B$43,IF(G3519&lt;41,'General Basis'!$B$44,IF(G3519&lt;46,'General Basis'!$B$45,IF(G3519&lt;51,'General Basis'!$B$46,IF(G3519&lt;56,'General Basis'!$B$47,IF(G3519&lt;60,'General Basis'!$B$48,IF(G3519&lt;65,'General Basis'!$B$49,'General Basis'!$B$50)))))))))))))</f>
        <v/>
      </c>
      <c r="BI3519" s="744" t="str">
        <f t="shared" si="1215"/>
        <v/>
      </c>
      <c r="BJ3519" s="747" t="str">
        <f t="shared" si="1222"/>
        <v/>
      </c>
      <c r="BK3519" s="498" t="str">
        <f t="shared" si="1216"/>
        <v/>
      </c>
      <c r="BL3519" s="498" t="str">
        <f t="shared" si="1217"/>
        <v/>
      </c>
    </row>
    <row r="3520" spans="1:64" x14ac:dyDescent="0.25">
      <c r="A3520" s="762">
        <f t="shared" si="1218"/>
        <v>3515</v>
      </c>
      <c r="B3520" s="229"/>
      <c r="C3520" s="223"/>
      <c r="D3520" s="224"/>
      <c r="E3520" s="225"/>
      <c r="F3520" s="1036" t="str">
        <f t="shared" si="1224"/>
        <v/>
      </c>
      <c r="G3520" s="1037" t="str">
        <f t="shared" si="1219"/>
        <v/>
      </c>
      <c r="H3520" s="225"/>
      <c r="I3520" s="1013"/>
      <c r="J3520" s="1013"/>
      <c r="K3520" s="1028"/>
      <c r="L3520" s="1035" t="str">
        <f t="shared" si="1223"/>
        <v/>
      </c>
      <c r="S3520" s="498"/>
      <c r="AJ3520" s="498"/>
      <c r="AM3520" s="498">
        <f t="shared" si="1204"/>
        <v>0</v>
      </c>
      <c r="AN3520" s="498">
        <f t="shared" si="1205"/>
        <v>0</v>
      </c>
      <c r="AO3520" s="498">
        <f t="shared" si="1206"/>
        <v>0</v>
      </c>
      <c r="AP3520" s="498">
        <f t="shared" si="1225"/>
        <v>0</v>
      </c>
      <c r="AQ3520" s="498">
        <f t="shared" si="1220"/>
        <v>0</v>
      </c>
      <c r="AU3520" s="498">
        <f t="shared" si="1207"/>
        <v>0</v>
      </c>
      <c r="AV3520" s="498">
        <f t="shared" si="1208"/>
        <v>0</v>
      </c>
      <c r="AW3520" s="498">
        <f t="shared" si="1209"/>
        <v>0</v>
      </c>
      <c r="AX3520" s="498">
        <f t="shared" si="1210"/>
        <v>0</v>
      </c>
      <c r="AY3520" s="498">
        <f t="shared" si="1211"/>
        <v>0</v>
      </c>
      <c r="BB3520" s="498" t="str">
        <f t="shared" si="1212"/>
        <v/>
      </c>
      <c r="BC3520" s="743" t="str">
        <f t="shared" si="1213"/>
        <v/>
      </c>
      <c r="BD3520" s="743" t="str">
        <f t="shared" si="1214"/>
        <v/>
      </c>
      <c r="BE3520" s="743" t="str">
        <f>IF(D3520="","",VLOOKUP(D3520,'General Basis'!$J$39:$K$46,2,0))</f>
        <v/>
      </c>
      <c r="BF3520" s="744" t="str">
        <f>IF(D3520="","",VLOOKUP(D3520,'General Basis'!$J$39:$L$46,3,0))</f>
        <v/>
      </c>
      <c r="BG3520" s="744" t="str">
        <f t="shared" si="1221"/>
        <v/>
      </c>
      <c r="BH3520" s="744" t="str">
        <f>IF(G3520="","",IF(BF3520="Abu Dhabi",IF(G3520&lt;18,'General Basis'!$C$39,IF(G3520&lt;41,'General Basis'!$C$40,IF(G3520&lt;60,'General Basis'!$C$41,IF(G3520&lt;65,'General Basis'!$C$42,'General Basis'!$C$43)))),IF(G3520&lt;11,'General Basis'!$B$39,IF(G3520&lt;18,'General Basis'!$B$40,IF(G3520&lt;26,'General Basis'!$B$41,IF(G3520&lt;31,'General Basis'!$B$42,IF(G3520&lt;36,'General Basis'!$B$43,IF(G3520&lt;41,'General Basis'!$B$44,IF(G3520&lt;46,'General Basis'!$B$45,IF(G3520&lt;51,'General Basis'!$B$46,IF(G3520&lt;56,'General Basis'!$B$47,IF(G3520&lt;60,'General Basis'!$B$48,IF(G3520&lt;65,'General Basis'!$B$49,'General Basis'!$B$50)))))))))))))</f>
        <v/>
      </c>
      <c r="BI3520" s="744" t="str">
        <f t="shared" si="1215"/>
        <v/>
      </c>
      <c r="BJ3520" s="747" t="str">
        <f t="shared" si="1222"/>
        <v/>
      </c>
      <c r="BK3520" s="498" t="str">
        <f t="shared" si="1216"/>
        <v/>
      </c>
      <c r="BL3520" s="498" t="str">
        <f t="shared" si="1217"/>
        <v/>
      </c>
    </row>
    <row r="3521" spans="1:64" x14ac:dyDescent="0.25">
      <c r="A3521" s="762">
        <f t="shared" si="1218"/>
        <v>3516</v>
      </c>
      <c r="B3521" s="229"/>
      <c r="C3521" s="223"/>
      <c r="D3521" s="224"/>
      <c r="E3521" s="225"/>
      <c r="F3521" s="1036" t="str">
        <f t="shared" si="1224"/>
        <v/>
      </c>
      <c r="G3521" s="1037" t="str">
        <f t="shared" si="1219"/>
        <v/>
      </c>
      <c r="H3521" s="225"/>
      <c r="I3521" s="1013"/>
      <c r="J3521" s="1013"/>
      <c r="K3521" s="1028"/>
      <c r="L3521" s="1035" t="str">
        <f t="shared" si="1223"/>
        <v/>
      </c>
      <c r="S3521" s="498"/>
      <c r="AJ3521" s="498"/>
      <c r="AM3521" s="498">
        <f t="shared" si="1204"/>
        <v>0</v>
      </c>
      <c r="AN3521" s="498">
        <f t="shared" si="1205"/>
        <v>0</v>
      </c>
      <c r="AO3521" s="498">
        <f t="shared" si="1206"/>
        <v>0</v>
      </c>
      <c r="AP3521" s="498">
        <f t="shared" si="1225"/>
        <v>0</v>
      </c>
      <c r="AQ3521" s="498">
        <f t="shared" si="1220"/>
        <v>0</v>
      </c>
      <c r="AU3521" s="498">
        <f t="shared" si="1207"/>
        <v>0</v>
      </c>
      <c r="AV3521" s="498">
        <f t="shared" si="1208"/>
        <v>0</v>
      </c>
      <c r="AW3521" s="498">
        <f t="shared" si="1209"/>
        <v>0</v>
      </c>
      <c r="AX3521" s="498">
        <f t="shared" si="1210"/>
        <v>0</v>
      </c>
      <c r="AY3521" s="498">
        <f t="shared" si="1211"/>
        <v>0</v>
      </c>
      <c r="BB3521" s="498" t="str">
        <f t="shared" si="1212"/>
        <v/>
      </c>
      <c r="BC3521" s="743" t="str">
        <f t="shared" si="1213"/>
        <v/>
      </c>
      <c r="BD3521" s="743" t="str">
        <f t="shared" si="1214"/>
        <v/>
      </c>
      <c r="BE3521" s="743" t="str">
        <f>IF(D3521="","",VLOOKUP(D3521,'General Basis'!$J$39:$K$46,2,0))</f>
        <v/>
      </c>
      <c r="BF3521" s="744" t="str">
        <f>IF(D3521="","",VLOOKUP(D3521,'General Basis'!$J$39:$L$46,3,0))</f>
        <v/>
      </c>
      <c r="BG3521" s="744" t="str">
        <f t="shared" si="1221"/>
        <v/>
      </c>
      <c r="BH3521" s="744" t="str">
        <f>IF(G3521="","",IF(BF3521="Abu Dhabi",IF(G3521&lt;18,'General Basis'!$C$39,IF(G3521&lt;41,'General Basis'!$C$40,IF(G3521&lt;60,'General Basis'!$C$41,IF(G3521&lt;65,'General Basis'!$C$42,'General Basis'!$C$43)))),IF(G3521&lt;11,'General Basis'!$B$39,IF(G3521&lt;18,'General Basis'!$B$40,IF(G3521&lt;26,'General Basis'!$B$41,IF(G3521&lt;31,'General Basis'!$B$42,IF(G3521&lt;36,'General Basis'!$B$43,IF(G3521&lt;41,'General Basis'!$B$44,IF(G3521&lt;46,'General Basis'!$B$45,IF(G3521&lt;51,'General Basis'!$B$46,IF(G3521&lt;56,'General Basis'!$B$47,IF(G3521&lt;60,'General Basis'!$B$48,IF(G3521&lt;65,'General Basis'!$B$49,'General Basis'!$B$50)))))))))))))</f>
        <v/>
      </c>
      <c r="BI3521" s="744" t="str">
        <f t="shared" si="1215"/>
        <v/>
      </c>
      <c r="BJ3521" s="747" t="str">
        <f t="shared" si="1222"/>
        <v/>
      </c>
      <c r="BK3521" s="498" t="str">
        <f t="shared" si="1216"/>
        <v/>
      </c>
      <c r="BL3521" s="498" t="str">
        <f t="shared" si="1217"/>
        <v/>
      </c>
    </row>
    <row r="3522" spans="1:64" x14ac:dyDescent="0.25">
      <c r="A3522" s="762">
        <f t="shared" si="1218"/>
        <v>3517</v>
      </c>
      <c r="B3522" s="229"/>
      <c r="C3522" s="223"/>
      <c r="D3522" s="224"/>
      <c r="E3522" s="225"/>
      <c r="F3522" s="1036" t="str">
        <f t="shared" si="1224"/>
        <v/>
      </c>
      <c r="G3522" s="1037" t="str">
        <f t="shared" si="1219"/>
        <v/>
      </c>
      <c r="H3522" s="225"/>
      <c r="I3522" s="1013"/>
      <c r="J3522" s="1013"/>
      <c r="K3522" s="1028"/>
      <c r="L3522" s="1035" t="str">
        <f t="shared" si="1223"/>
        <v/>
      </c>
      <c r="S3522" s="498"/>
      <c r="AJ3522" s="498"/>
      <c r="AM3522" s="498">
        <f t="shared" si="1204"/>
        <v>0</v>
      </c>
      <c r="AN3522" s="498">
        <f t="shared" si="1205"/>
        <v>0</v>
      </c>
      <c r="AO3522" s="498">
        <f t="shared" si="1206"/>
        <v>0</v>
      </c>
      <c r="AP3522" s="498">
        <f t="shared" si="1225"/>
        <v>0</v>
      </c>
      <c r="AQ3522" s="498">
        <f t="shared" si="1220"/>
        <v>0</v>
      </c>
      <c r="AU3522" s="498">
        <f t="shared" si="1207"/>
        <v>0</v>
      </c>
      <c r="AV3522" s="498">
        <f t="shared" si="1208"/>
        <v>0</v>
      </c>
      <c r="AW3522" s="498">
        <f t="shared" si="1209"/>
        <v>0</v>
      </c>
      <c r="AX3522" s="498">
        <f t="shared" si="1210"/>
        <v>0</v>
      </c>
      <c r="AY3522" s="498">
        <f t="shared" si="1211"/>
        <v>0</v>
      </c>
      <c r="BB3522" s="498" t="str">
        <f t="shared" si="1212"/>
        <v/>
      </c>
      <c r="BC3522" s="743" t="str">
        <f t="shared" si="1213"/>
        <v/>
      </c>
      <c r="BD3522" s="743" t="str">
        <f t="shared" si="1214"/>
        <v/>
      </c>
      <c r="BE3522" s="743" t="str">
        <f>IF(D3522="","",VLOOKUP(D3522,'General Basis'!$J$39:$K$46,2,0))</f>
        <v/>
      </c>
      <c r="BF3522" s="744" t="str">
        <f>IF(D3522="","",VLOOKUP(D3522,'General Basis'!$J$39:$L$46,3,0))</f>
        <v/>
      </c>
      <c r="BG3522" s="744" t="str">
        <f t="shared" si="1221"/>
        <v/>
      </c>
      <c r="BH3522" s="744" t="str">
        <f>IF(G3522="","",IF(BF3522="Abu Dhabi",IF(G3522&lt;18,'General Basis'!$C$39,IF(G3522&lt;41,'General Basis'!$C$40,IF(G3522&lt;60,'General Basis'!$C$41,IF(G3522&lt;65,'General Basis'!$C$42,'General Basis'!$C$43)))),IF(G3522&lt;11,'General Basis'!$B$39,IF(G3522&lt;18,'General Basis'!$B$40,IF(G3522&lt;26,'General Basis'!$B$41,IF(G3522&lt;31,'General Basis'!$B$42,IF(G3522&lt;36,'General Basis'!$B$43,IF(G3522&lt;41,'General Basis'!$B$44,IF(G3522&lt;46,'General Basis'!$B$45,IF(G3522&lt;51,'General Basis'!$B$46,IF(G3522&lt;56,'General Basis'!$B$47,IF(G3522&lt;60,'General Basis'!$B$48,IF(G3522&lt;65,'General Basis'!$B$49,'General Basis'!$B$50)))))))))))))</f>
        <v/>
      </c>
      <c r="BI3522" s="744" t="str">
        <f t="shared" si="1215"/>
        <v/>
      </c>
      <c r="BJ3522" s="747" t="str">
        <f t="shared" si="1222"/>
        <v/>
      </c>
      <c r="BK3522" s="498" t="str">
        <f t="shared" si="1216"/>
        <v/>
      </c>
      <c r="BL3522" s="498" t="str">
        <f t="shared" si="1217"/>
        <v/>
      </c>
    </row>
    <row r="3523" spans="1:64" x14ac:dyDescent="0.25">
      <c r="A3523" s="762">
        <f t="shared" si="1218"/>
        <v>3518</v>
      </c>
      <c r="B3523" s="229"/>
      <c r="C3523" s="223"/>
      <c r="D3523" s="224"/>
      <c r="E3523" s="225"/>
      <c r="F3523" s="1036" t="str">
        <f t="shared" si="1224"/>
        <v/>
      </c>
      <c r="G3523" s="1037" t="str">
        <f t="shared" si="1219"/>
        <v/>
      </c>
      <c r="H3523" s="225"/>
      <c r="I3523" s="1013"/>
      <c r="J3523" s="1013"/>
      <c r="K3523" s="1028"/>
      <c r="L3523" s="1035" t="str">
        <f t="shared" si="1223"/>
        <v/>
      </c>
      <c r="S3523" s="498"/>
      <c r="AJ3523" s="498"/>
      <c r="AM3523" s="498">
        <f t="shared" si="1204"/>
        <v>0</v>
      </c>
      <c r="AN3523" s="498">
        <f t="shared" si="1205"/>
        <v>0</v>
      </c>
      <c r="AO3523" s="498">
        <f t="shared" si="1206"/>
        <v>0</v>
      </c>
      <c r="AP3523" s="498">
        <f t="shared" si="1225"/>
        <v>0</v>
      </c>
      <c r="AQ3523" s="498">
        <f t="shared" si="1220"/>
        <v>0</v>
      </c>
      <c r="AU3523" s="498">
        <f t="shared" si="1207"/>
        <v>0</v>
      </c>
      <c r="AV3523" s="498">
        <f t="shared" si="1208"/>
        <v>0</v>
      </c>
      <c r="AW3523" s="498">
        <f t="shared" si="1209"/>
        <v>0</v>
      </c>
      <c r="AX3523" s="498">
        <f t="shared" si="1210"/>
        <v>0</v>
      </c>
      <c r="AY3523" s="498">
        <f t="shared" si="1211"/>
        <v>0</v>
      </c>
      <c r="BB3523" s="498" t="str">
        <f t="shared" si="1212"/>
        <v/>
      </c>
      <c r="BC3523" s="743" t="str">
        <f t="shared" si="1213"/>
        <v/>
      </c>
      <c r="BD3523" s="743" t="str">
        <f t="shared" si="1214"/>
        <v/>
      </c>
      <c r="BE3523" s="743" t="str">
        <f>IF(D3523="","",VLOOKUP(D3523,'General Basis'!$J$39:$K$46,2,0))</f>
        <v/>
      </c>
      <c r="BF3523" s="744" t="str">
        <f>IF(D3523="","",VLOOKUP(D3523,'General Basis'!$J$39:$L$46,3,0))</f>
        <v/>
      </c>
      <c r="BG3523" s="744" t="str">
        <f t="shared" si="1221"/>
        <v/>
      </c>
      <c r="BH3523" s="744" t="str">
        <f>IF(G3523="","",IF(BF3523="Abu Dhabi",IF(G3523&lt;18,'General Basis'!$C$39,IF(G3523&lt;41,'General Basis'!$C$40,IF(G3523&lt;60,'General Basis'!$C$41,IF(G3523&lt;65,'General Basis'!$C$42,'General Basis'!$C$43)))),IF(G3523&lt;11,'General Basis'!$B$39,IF(G3523&lt;18,'General Basis'!$B$40,IF(G3523&lt;26,'General Basis'!$B$41,IF(G3523&lt;31,'General Basis'!$B$42,IF(G3523&lt;36,'General Basis'!$B$43,IF(G3523&lt;41,'General Basis'!$B$44,IF(G3523&lt;46,'General Basis'!$B$45,IF(G3523&lt;51,'General Basis'!$B$46,IF(G3523&lt;56,'General Basis'!$B$47,IF(G3523&lt;60,'General Basis'!$B$48,IF(G3523&lt;65,'General Basis'!$B$49,'General Basis'!$B$50)))))))))))))</f>
        <v/>
      </c>
      <c r="BI3523" s="744" t="str">
        <f t="shared" si="1215"/>
        <v/>
      </c>
      <c r="BJ3523" s="747" t="str">
        <f t="shared" si="1222"/>
        <v/>
      </c>
      <c r="BK3523" s="498" t="str">
        <f t="shared" si="1216"/>
        <v/>
      </c>
      <c r="BL3523" s="498" t="str">
        <f t="shared" si="1217"/>
        <v/>
      </c>
    </row>
    <row r="3524" spans="1:64" x14ac:dyDescent="0.25">
      <c r="A3524" s="762">
        <f t="shared" si="1218"/>
        <v>3519</v>
      </c>
      <c r="B3524" s="229"/>
      <c r="C3524" s="223"/>
      <c r="D3524" s="224"/>
      <c r="E3524" s="225"/>
      <c r="F3524" s="1036" t="str">
        <f t="shared" si="1224"/>
        <v/>
      </c>
      <c r="G3524" s="1037" t="str">
        <f t="shared" si="1219"/>
        <v/>
      </c>
      <c r="H3524" s="225"/>
      <c r="I3524" s="1013"/>
      <c r="J3524" s="1013"/>
      <c r="K3524" s="1028"/>
      <c r="L3524" s="1035" t="str">
        <f t="shared" si="1223"/>
        <v/>
      </c>
      <c r="S3524" s="498"/>
      <c r="AJ3524" s="498"/>
      <c r="AM3524" s="498">
        <f t="shared" si="1204"/>
        <v>0</v>
      </c>
      <c r="AN3524" s="498">
        <f t="shared" si="1205"/>
        <v>0</v>
      </c>
      <c r="AO3524" s="498">
        <f t="shared" si="1206"/>
        <v>0</v>
      </c>
      <c r="AP3524" s="498">
        <f t="shared" si="1225"/>
        <v>0</v>
      </c>
      <c r="AQ3524" s="498">
        <f t="shared" si="1220"/>
        <v>0</v>
      </c>
      <c r="AU3524" s="498">
        <f t="shared" si="1207"/>
        <v>0</v>
      </c>
      <c r="AV3524" s="498">
        <f t="shared" si="1208"/>
        <v>0</v>
      </c>
      <c r="AW3524" s="498">
        <f t="shared" si="1209"/>
        <v>0</v>
      </c>
      <c r="AX3524" s="498">
        <f t="shared" si="1210"/>
        <v>0</v>
      </c>
      <c r="AY3524" s="498">
        <f t="shared" si="1211"/>
        <v>0</v>
      </c>
      <c r="BB3524" s="498" t="str">
        <f t="shared" si="1212"/>
        <v/>
      </c>
      <c r="BC3524" s="743" t="str">
        <f t="shared" si="1213"/>
        <v/>
      </c>
      <c r="BD3524" s="743" t="str">
        <f t="shared" si="1214"/>
        <v/>
      </c>
      <c r="BE3524" s="743" t="str">
        <f>IF(D3524="","",VLOOKUP(D3524,'General Basis'!$J$39:$K$46,2,0))</f>
        <v/>
      </c>
      <c r="BF3524" s="744" t="str">
        <f>IF(D3524="","",VLOOKUP(D3524,'General Basis'!$J$39:$L$46,3,0))</f>
        <v/>
      </c>
      <c r="BG3524" s="744" t="str">
        <f t="shared" si="1221"/>
        <v/>
      </c>
      <c r="BH3524" s="744" t="str">
        <f>IF(G3524="","",IF(BF3524="Abu Dhabi",IF(G3524&lt;18,'General Basis'!$C$39,IF(G3524&lt;41,'General Basis'!$C$40,IF(G3524&lt;60,'General Basis'!$C$41,IF(G3524&lt;65,'General Basis'!$C$42,'General Basis'!$C$43)))),IF(G3524&lt;11,'General Basis'!$B$39,IF(G3524&lt;18,'General Basis'!$B$40,IF(G3524&lt;26,'General Basis'!$B$41,IF(G3524&lt;31,'General Basis'!$B$42,IF(G3524&lt;36,'General Basis'!$B$43,IF(G3524&lt;41,'General Basis'!$B$44,IF(G3524&lt;46,'General Basis'!$B$45,IF(G3524&lt;51,'General Basis'!$B$46,IF(G3524&lt;56,'General Basis'!$B$47,IF(G3524&lt;60,'General Basis'!$B$48,IF(G3524&lt;65,'General Basis'!$B$49,'General Basis'!$B$50)))))))))))))</f>
        <v/>
      </c>
      <c r="BI3524" s="744" t="str">
        <f t="shared" si="1215"/>
        <v/>
      </c>
      <c r="BJ3524" s="747" t="str">
        <f t="shared" si="1222"/>
        <v/>
      </c>
      <c r="BK3524" s="498" t="str">
        <f t="shared" si="1216"/>
        <v/>
      </c>
      <c r="BL3524" s="498" t="str">
        <f t="shared" si="1217"/>
        <v/>
      </c>
    </row>
    <row r="3525" spans="1:64" x14ac:dyDescent="0.25">
      <c r="A3525" s="762">
        <f t="shared" si="1218"/>
        <v>3520</v>
      </c>
      <c r="B3525" s="229"/>
      <c r="C3525" s="223"/>
      <c r="D3525" s="224"/>
      <c r="E3525" s="225"/>
      <c r="F3525" s="1036" t="str">
        <f t="shared" si="1224"/>
        <v/>
      </c>
      <c r="G3525" s="1037" t="str">
        <f t="shared" si="1219"/>
        <v/>
      </c>
      <c r="H3525" s="225"/>
      <c r="I3525" s="1013"/>
      <c r="J3525" s="1013"/>
      <c r="K3525" s="1028"/>
      <c r="L3525" s="1035" t="str">
        <f t="shared" si="1223"/>
        <v/>
      </c>
      <c r="S3525" s="498"/>
      <c r="AJ3525" s="498"/>
      <c r="AM3525" s="498">
        <f t="shared" si="1204"/>
        <v>0</v>
      </c>
      <c r="AN3525" s="498">
        <f t="shared" si="1205"/>
        <v>0</v>
      </c>
      <c r="AO3525" s="498">
        <f t="shared" si="1206"/>
        <v>0</v>
      </c>
      <c r="AP3525" s="498">
        <f t="shared" si="1225"/>
        <v>0</v>
      </c>
      <c r="AQ3525" s="498">
        <f t="shared" si="1220"/>
        <v>0</v>
      </c>
      <c r="AU3525" s="498">
        <f t="shared" si="1207"/>
        <v>0</v>
      </c>
      <c r="AV3525" s="498">
        <f t="shared" si="1208"/>
        <v>0</v>
      </c>
      <c r="AW3525" s="498">
        <f t="shared" si="1209"/>
        <v>0</v>
      </c>
      <c r="AX3525" s="498">
        <f t="shared" si="1210"/>
        <v>0</v>
      </c>
      <c r="AY3525" s="498">
        <f t="shared" si="1211"/>
        <v>0</v>
      </c>
      <c r="BB3525" s="498" t="str">
        <f t="shared" si="1212"/>
        <v/>
      </c>
      <c r="BC3525" s="743" t="str">
        <f t="shared" si="1213"/>
        <v/>
      </c>
      <c r="BD3525" s="743" t="str">
        <f t="shared" si="1214"/>
        <v/>
      </c>
      <c r="BE3525" s="743" t="str">
        <f>IF(D3525="","",VLOOKUP(D3525,'General Basis'!$J$39:$K$46,2,0))</f>
        <v/>
      </c>
      <c r="BF3525" s="744" t="str">
        <f>IF(D3525="","",VLOOKUP(D3525,'General Basis'!$J$39:$L$46,3,0))</f>
        <v/>
      </c>
      <c r="BG3525" s="744" t="str">
        <f t="shared" si="1221"/>
        <v/>
      </c>
      <c r="BH3525" s="744" t="str">
        <f>IF(G3525="","",IF(BF3525="Abu Dhabi",IF(G3525&lt;18,'General Basis'!$C$39,IF(G3525&lt;41,'General Basis'!$C$40,IF(G3525&lt;60,'General Basis'!$C$41,IF(G3525&lt;65,'General Basis'!$C$42,'General Basis'!$C$43)))),IF(G3525&lt;11,'General Basis'!$B$39,IF(G3525&lt;18,'General Basis'!$B$40,IF(G3525&lt;26,'General Basis'!$B$41,IF(G3525&lt;31,'General Basis'!$B$42,IF(G3525&lt;36,'General Basis'!$B$43,IF(G3525&lt;41,'General Basis'!$B$44,IF(G3525&lt;46,'General Basis'!$B$45,IF(G3525&lt;51,'General Basis'!$B$46,IF(G3525&lt;56,'General Basis'!$B$47,IF(G3525&lt;60,'General Basis'!$B$48,IF(G3525&lt;65,'General Basis'!$B$49,'General Basis'!$B$50)))))))))))))</f>
        <v/>
      </c>
      <c r="BI3525" s="744" t="str">
        <f t="shared" si="1215"/>
        <v/>
      </c>
      <c r="BJ3525" s="747" t="str">
        <f t="shared" si="1222"/>
        <v/>
      </c>
      <c r="BK3525" s="498" t="str">
        <f t="shared" si="1216"/>
        <v/>
      </c>
      <c r="BL3525" s="498" t="str">
        <f t="shared" si="1217"/>
        <v/>
      </c>
    </row>
    <row r="3526" spans="1:64" x14ac:dyDescent="0.25">
      <c r="A3526" s="762">
        <f t="shared" si="1218"/>
        <v>3521</v>
      </c>
      <c r="B3526" s="229"/>
      <c r="C3526" s="223"/>
      <c r="D3526" s="224"/>
      <c r="E3526" s="225"/>
      <c r="F3526" s="1036" t="str">
        <f t="shared" si="1224"/>
        <v/>
      </c>
      <c r="G3526" s="1037" t="str">
        <f t="shared" si="1219"/>
        <v/>
      </c>
      <c r="H3526" s="225"/>
      <c r="I3526" s="1013"/>
      <c r="J3526" s="1013"/>
      <c r="K3526" s="1028"/>
      <c r="L3526" s="1035" t="str">
        <f t="shared" si="1223"/>
        <v/>
      </c>
      <c r="S3526" s="498"/>
      <c r="AJ3526" s="498"/>
      <c r="AM3526" s="498">
        <f t="shared" ref="AM3526:AM3589" si="1226">IF(ISTEXT(B3526),1,0)</f>
        <v>0</v>
      </c>
      <c r="AN3526" s="498">
        <f t="shared" ref="AN3526:AN3589" si="1227">IF(ISBLANK(B3526),0,IF(B3526&lt;$AK$6,1,0))</f>
        <v>0</v>
      </c>
      <c r="AO3526" s="498">
        <f t="shared" ref="AO3526:AO3589" si="1228">IF(ISBLANK(B3526),0,IF(B3526&gt;$AK$7,1,0))</f>
        <v>0</v>
      </c>
      <c r="AP3526" s="498">
        <f t="shared" si="1225"/>
        <v>0</v>
      </c>
      <c r="AQ3526" s="498">
        <f t="shared" si="1220"/>
        <v>0</v>
      </c>
      <c r="AU3526" s="498">
        <f t="shared" ref="AU3526:AU3589" si="1229">IF(ISBLANK(B3526),0,1)</f>
        <v>0</v>
      </c>
      <c r="AV3526" s="498">
        <f t="shared" ref="AV3526:AV3589" si="1230">IF(ISBLANK(C3526),0,1)</f>
        <v>0</v>
      </c>
      <c r="AW3526" s="498">
        <f t="shared" ref="AW3526:AW3589" si="1231">IF(ISBLANK(D3526),0,1)</f>
        <v>0</v>
      </c>
      <c r="AX3526" s="498">
        <f t="shared" ref="AX3526:AX3589" si="1232">IF(ISBLANK(E3526),0,1)</f>
        <v>0</v>
      </c>
      <c r="AY3526" s="498">
        <f t="shared" ref="AY3526:AY3589" si="1233">IF(ISBLANK(H3526),0,1)</f>
        <v>0</v>
      </c>
      <c r="BB3526" s="498" t="str">
        <f t="shared" ref="BB3526:BB3589" si="1234">IF(E3526="Principal","Principal",IF(E3526="","","Other"))</f>
        <v/>
      </c>
      <c r="BC3526" s="743" t="str">
        <f t="shared" ref="BC3526:BC3589" si="1235">IF(D3526="","",D3526)</f>
        <v/>
      </c>
      <c r="BD3526" s="743" t="str">
        <f t="shared" ref="BD3526:BD3589" si="1236">IF(E3526="Principal","Employee",IF(E3526="","","Dependent"))</f>
        <v/>
      </c>
      <c r="BE3526" s="743" t="str">
        <f>IF(D3526="","",VLOOKUP(D3526,'General Basis'!$J$39:$K$46,2,0))</f>
        <v/>
      </c>
      <c r="BF3526" s="744" t="str">
        <f>IF(D3526="","",VLOOKUP(D3526,'General Basis'!$J$39:$L$46,3,0))</f>
        <v/>
      </c>
      <c r="BG3526" s="744" t="str">
        <f t="shared" si="1221"/>
        <v/>
      </c>
      <c r="BH3526" s="744" t="str">
        <f>IF(G3526="","",IF(BF3526="Abu Dhabi",IF(G3526&lt;18,'General Basis'!$C$39,IF(G3526&lt;41,'General Basis'!$C$40,IF(G3526&lt;60,'General Basis'!$C$41,IF(G3526&lt;65,'General Basis'!$C$42,'General Basis'!$C$43)))),IF(G3526&lt;11,'General Basis'!$B$39,IF(G3526&lt;18,'General Basis'!$B$40,IF(G3526&lt;26,'General Basis'!$B$41,IF(G3526&lt;31,'General Basis'!$B$42,IF(G3526&lt;36,'General Basis'!$B$43,IF(G3526&lt;41,'General Basis'!$B$44,IF(G3526&lt;46,'General Basis'!$B$45,IF(G3526&lt;51,'General Basis'!$B$46,IF(G3526&lt;56,'General Basis'!$B$47,IF(G3526&lt;60,'General Basis'!$B$48,IF(G3526&lt;65,'General Basis'!$B$49,'General Basis'!$B$50)))))))))))))</f>
        <v/>
      </c>
      <c r="BI3526" s="744" t="str">
        <f t="shared" ref="BI3526:BI3589" si="1237">IF(C3526="","",IF(C3526="M","Male","Female"))</f>
        <v/>
      </c>
      <c r="BJ3526" s="747" t="str">
        <f t="shared" si="1222"/>
        <v/>
      </c>
      <c r="BK3526" s="498" t="str">
        <f t="shared" ref="BK3526:BK3589" si="1238">IF(BD3526="","",IF(AND(BD3526="Employee",BI3526="Male",BF3526="Abu Dhabi",BE3526=GN_Plus),VLOOKUP(BH3526,AUH_MALE_EMP,2,0),IF(AND(BD3526="Employee",BI3526="Male",BF3526="Abu Dhabi",BE3526=GN),VLOOKUP(BH3526,AUH_MALE_EMP,3,0),IF(AND(BD3526="Employee",BI3526="Male",BF3526="Abu Dhabi",BE3526=RN_Plus),VLOOKUP(BH3526,AUH_MALE_EMP,4,0),IF(AND(BD3526="Employee",BI3526="Male",BF3526="Abu Dhabi",BE3526=RN),VLOOKUP(BH3526,AUH_MALE_EMP,5,0),IF(AND(BD3526="Employee",BI3526="Male",BF3526="Abu Dhabi",BE3526=RN_2),VLOOKUP(BH3526,AUH_MALE_EMP,6,0),IF(AND(BD3526="Employee",BI3526="Male",BF3526="Abu Dhabi",BE3526=RN2_minus),VLOOKUP(BH3526,AUH_MALE_EMP,7,0),IF(AND(BD3526="Employee",BI3526="Male",BF3526="Abu Dhabi",BE3526=RN_3),VLOOKUP(BH3526,AUH_MALE_EMP,8,0),IF(AND(BD3526="Employee",BI3526="Male",BF3526="Abu Dhabi",BE3526=VN),VLOOKUP(BH3526,AUH_MALE_EMP,9,0),IF(BD3526="","",IF(AND(BD3526="Employee",BI3526="Female",BF3526="Abu Dhabi",BE3526=GN_Plus),VLOOKUP(BH3526,AUH_FEMALE_EMP,2,0),IF(AND(BD3526="Employee",BI3526="Female",BF3526="Abu Dhabi",BE3526=GN),VLOOKUP(BH3526,AUH_FEMALE_EMP,3,0),IF(AND(BD3526="Employee",BI3526="Female",BF3526="Abu Dhabi",BE3526=RN_Plus),VLOOKUP(BH3526,AUH_FEMALE_EMP,4,0),IF(AND(BD3526="Employee",BI3526="Female",BF3526="Abu Dhabi",BE3526=RN),VLOOKUP(BH3526,AUH_FEMALE_EMP,5,0),IF(AND(BD3526="Employee",BI3526="Female",BF3526="Abu Dhabi",BE3526=RN_2),VLOOKUP(BH3526,AUH_FEMALE_EMP,6,0),IF(AND(BD3526="Employee",BI3526="Female",BF3526="Abu Dhabi",BE3526=RN2_minus),VLOOKUP(BH3526,AUH_FEMALE_EMP,7,0),IF(AND(BD3526="Employee",BI3526="Female",BF3526="Abu Dhabi",BE3526=RN_3),VLOOKUP(BH3526,AUH_FEMALE_EMP,8,0),IF(AND(BD3526="Employee",BI3526="Female",BF3526="Abu Dhabi",BE3526=VN),VLOOKUP(BH3526,AUH_FEMALE_EMP,9,0),IF(BD3526="","",IF(AND(BD3526="Dependent",BI3526="Male",BF3526="Abu Dhabi",BE3526=GN_Plus),VLOOKUP(BH3526,AUH_MALE_DEP,2,0),IF(AND(BD3526="Dependent",BI3526="Male",BF3526="Abu Dhabi",BE3526=GN),VLOOKUP(BH3526,AUH_MALE_DEP,3,0),IF(AND(BD3526="Dependent",BI3526="Male",BF3526="Abu Dhabi",BE3526=RN_Plus),VLOOKUP(BH3526,AUH_MALE_DEP,4,0),IF(AND(BD3526="Dependent",BI3526="Male",BF3526="Abu Dhabi",BE3526=RN),VLOOKUP(BH3526,AUH_MALE_DEP,5,0),IF(AND(BD3526="Dependent",BI3526="Male",BF3526="Abu Dhabi",BE3526=RN_2),VLOOKUP(BH3526,AUH_MALE_DEP,6,0),IF(AND(BD3526="Dependent",BI3526="Male",BF3526="Abu Dhabi",BE3526=RN2_minus),VLOOKUP(BH3526,AUH_MALE_DEP,7,0),IF(AND(BD3526="Dependent",BI3526="Male",BF3526="Abu Dhabi",BE3526=RN_3),VLOOKUP(BH3526,AUH_MALE_DEP,8,0),IF(AND(BD3526="Dependent",BI3526="Male",BF3526="Abu Dhabi",BE3526=VN),VLOOKUP(BH3526,AUH_MALE_DEP,9,0),IF(BD3526="","",IF(AND(BD3526="Dependent",BI3526="Female",BF3526="Abu Dhabi",BE3526=GN_Plus),VLOOKUP(BH3526,AUH_FEMALE_DEP,2,0),IF(AND(BD3526="Dependent",BI3526="Female",BF3526="Abu Dhabi",BE3526=GN),VLOOKUP(BH3526,AUH_FEMALE_DEP,3,0),IF(AND(BD3526="Dependent",BI3526="Female",BF3526="Abu Dhabi",BE3526=RN_Plus),VLOOKUP(BH3526,AUH_FEMALE_DEP,4,0),IF(AND(BD3526="Dependent",BI3526="Female",BF3526="Abu Dhabi",BE3526=RN),VLOOKUP(BH3526,AUH_FEMALE_DEP,5,0),IF(AND(BD3526="Dependent",BI3526="Female",BF3526="Abu Dhabi",BE3526=RN_2),VLOOKUP(BH3526,AUH_FEMALE_DEP,6,0),IF(AND(BD3526="Dependent",BI3526="Female",BF3526="Abu Dhabi",BE3526=RN2_minus),VLOOKUP(BH3526,AUH_FEMALE_DEP,7,0),IF(AND(BD3526="Dependent",BI3526="Female",BF3526="Abu Dhabi",BE3526=RN_3),VLOOKUP(BH3526,AUH_FEMALE_DEP,8,0),IF(AND(BD3526="Dependent",BI3526="Female",BF3526="Abu Dhabi",BE3526=VN),VLOOKUP(BH3526,AUH_FEMALE_DEP,9,0),"ABC"))))))))))))))))))))))))))))))))))))</f>
        <v/>
      </c>
      <c r="BL3526" s="498" t="str">
        <f t="shared" ref="BL3526:BL3589" si="1239">IF(BD3526="","",IF(AND(BD3526="Employee",BI3526="Male",BF3526="Dubai",BE3526=GN_Plus),VLOOKUP(BH3526,DXB_MALE_EMP,2,0),IF(AND(BD3526="Employee",BI3526="Male",BF3526="Dubai",BE3526=GN),VLOOKUP(BH3526,DXB_MALE_EMP,3,0),IF(AND(BD3526="Employee",BI3526="Male",BF3526="Dubai",BE3526=RN_Plus),VLOOKUP(BH3526,DXB_MALE_EMP,4,0),IF(AND(BD3526="Employee",BI3526="Male",BF3526="Dubai",BE3526=RN),VLOOKUP(BH3526,DXB_MALE_EMP,5,0),IF(AND(BD3526="Employee",BI3526="Male",BF3526="Dubai",BE3526=RN_2),VLOOKUP(BH3526,DXB_MALE_EMP,6,0),IF(AND(BD3526="Employee",BI3526="Male",BF3526="Dubai",BE3526=RN2_minus),VLOOKUP(BH3526,DXB_MALE_EMP,7,0),IF(AND(BD3526="Employee",BI3526="Male",BF3526="Dubai",BE3526=RN_3),VLOOKUP(BH3526,DXB_MALE_EMP,8,0),IF(AND(BD3526="Employee",BI3526="Male",BF3526="Dubai",BE3526=VN),VLOOKUP(BH3526,DXB_MALE_EMP,9,0),IF(BD3526="","",IF(AND(BD3526="Employee",BI3526="Female",BF3526="Dubai",BE3526=GN_Plus),VLOOKUP(BH3526,DXB_FEMALE_EMP,2,0),IF(AND(BD3526="Employee",BI3526="Female",BF3526="Dubai",BE3526=GN),VLOOKUP(BH3526,DXB_FEMALE_EMP,3,0),IF(AND(BD3526="Employee",BI3526="Female",BF3526="Dubai",BE3526=RN_Plus),VLOOKUP(BH3526,DXB_FEMALE_EMP,4,0),IF(AND(BD3526="Employee",BI3526="Female",BF3526="Dubai",BE3526=RN),VLOOKUP(BH3526,DXB_FEMALE_EMP,5,0),IF(AND(BD3526="Employee",BI3526="Female",BF3526="Dubai",BE3526=RN_2),VLOOKUP(BH3526,DXB_FEMALE_EMP,6,0),IF(AND(BD3526="Employee",BI3526="Female",BF3526="Dubai",BE3526=RN2_minus),VLOOKUP(BH3526,DXB_FEMALE_EMP,7,0),IF(AND(BD3526="Employee",BI3526="Female",BF3526="Dubai",BE3526=RN_3),VLOOKUP(BH3526,DXB_FEMALE_EMP,8,0),IF(AND(BD3526="Employee",BI3526="Female",BF3526="Dubai",BE3526=VN),VLOOKUP(BH3526,DXB_FEMALE_EMP,9,0),IF(BD3526="","",IF(AND(BD3526="Dependent",BI3526="Male",BF3526="Dubai",BE3526=GN_Plus),VLOOKUP(BH3526,DXB_MALE_DEP,2,0),IF(AND(BD3526="Dependent",BI3526="Male",BF3526="Dubai",BE3526=GN),VLOOKUP(BH3526,DXB_MALE_DEP,3,0),IF(AND(BD3526="Dependent",BI3526="Male",BF3526="Dubai",BE3526=RN_Plus),VLOOKUP(BH3526,DXB_MALE_DEP,4,0),IF(AND(BD3526="Dependent",BI3526="Male",BF3526="Dubai",BE3526=RN),VLOOKUP(BH3526,DXB_MALE_DEP,5,0),IF(AND(BD3526="Dependent",BI3526="Male",BF3526="Dubai",BE3526=RN_2),VLOOKUP(BH3526,DXB_MALE_DEP,6,0),IF(AND(BD3526="Dependent",BI3526="Male",BF3526="Dubai",BE3526=RN2_minus),VLOOKUP(BH3526,DXB_MALE_DEP,7,0),IF(AND(BD3526="Dependent",BI3526="Male",BF3526="Dubai",BE3526=RN_3),VLOOKUP(BH3526,DXB_MALE_DEP,8,0),IF(AND(BD3526="Dependent",BI3526="Male",BF3526="Dubai",BE3526=VN),VLOOKUP(BH3526,DXB_MALE_DEP,9,0),IF(BD3526="","",IF(AND(BD3526="Dependent",BI3526="Female",BF3526="Dubai",BE3526=GN_Plus),VLOOKUP(BH3526,DXB_FEMALE_DEP,2,0),IF(AND(BD3526="Dependent",BI3526="Female",BF3526="Dubai",BE3526=GN),VLOOKUP(BH3526,DXB_FEMALE_DEP,3,0),IF(AND(BD3526="Dependent",BI3526="Female",BF3526="Dubai",BE3526=RN_Plus),VLOOKUP(BH3526,DXB_FEMALE_DEP,4,0),IF(AND(BD3526="Dependent",BI3526="Female",BF3526="Dubai",BE3526=RN),VLOOKUP(BH3526,DXB_FEMALE_DEP,5,0),IF(AND(BD3526="Dependent",BI3526="Female",BF3526="Dubai",BE3526=RN_2),VLOOKUP(BH3526,DXB_FEMALE_DEP,6,0),IF(AND(BD3526="Dependent",BI3526="Female",BF3526="Dubai",BE3526=RN2_minus),VLOOKUP(BH3526,DXB_FEMALE_DEP,7,0),IF(AND(BD3526="Dependent",BI3526="Female",BF3526="Dubai",BE3526=RN_3),VLOOKUP(BH3526,DXB_FEMALE_DEP,8,0),IF(AND(BD3526="Dependent",BI3526="Female",BF3526="Dubai",BE3526=VN),VLOOKUP(BH3526,DXB_FEMALE_DEP,9,0),"ABC"))))))))))))))))))))))))))))))))))))</f>
        <v/>
      </c>
    </row>
    <row r="3527" spans="1:64" x14ac:dyDescent="0.25">
      <c r="A3527" s="762">
        <f t="shared" ref="A3527:A3590" si="1240">+A3526+1</f>
        <v>3522</v>
      </c>
      <c r="B3527" s="229"/>
      <c r="C3527" s="223"/>
      <c r="D3527" s="224"/>
      <c r="E3527" s="225"/>
      <c r="F3527" s="1036" t="str">
        <f t="shared" si="1224"/>
        <v/>
      </c>
      <c r="G3527" s="1037" t="str">
        <f t="shared" ref="G3527:G3590" si="1241">IF(D3527="","",MAX(0,ROUNDUP(F3527,0)))</f>
        <v/>
      </c>
      <c r="H3527" s="225"/>
      <c r="I3527" s="1013"/>
      <c r="J3527" s="1013"/>
      <c r="K3527" s="1028"/>
      <c r="L3527" s="1035" t="str">
        <f t="shared" si="1223"/>
        <v/>
      </c>
      <c r="S3527" s="498"/>
      <c r="AJ3527" s="498"/>
      <c r="AM3527" s="498">
        <f t="shared" si="1226"/>
        <v>0</v>
      </c>
      <c r="AN3527" s="498">
        <f t="shared" si="1227"/>
        <v>0</v>
      </c>
      <c r="AO3527" s="498">
        <f t="shared" si="1228"/>
        <v>0</v>
      </c>
      <c r="AP3527" s="498">
        <f t="shared" si="1225"/>
        <v>0</v>
      </c>
      <c r="AQ3527" s="498">
        <f t="shared" ref="AQ3527:AQ3590" si="1242">IF(ISBLANK($B3527),0,IF(OR($H3527="Single",$H3527="Married"),0,1))</f>
        <v>0</v>
      </c>
      <c r="AU3527" s="498">
        <f t="shared" si="1229"/>
        <v>0</v>
      </c>
      <c r="AV3527" s="498">
        <f t="shared" si="1230"/>
        <v>0</v>
      </c>
      <c r="AW3527" s="498">
        <f t="shared" si="1231"/>
        <v>0</v>
      </c>
      <c r="AX3527" s="498">
        <f t="shared" si="1232"/>
        <v>0</v>
      </c>
      <c r="AY3527" s="498">
        <f t="shared" si="1233"/>
        <v>0</v>
      </c>
      <c r="BB3527" s="498" t="str">
        <f t="shared" si="1234"/>
        <v/>
      </c>
      <c r="BC3527" s="743" t="str">
        <f t="shared" si="1235"/>
        <v/>
      </c>
      <c r="BD3527" s="743" t="str">
        <f t="shared" si="1236"/>
        <v/>
      </c>
      <c r="BE3527" s="743" t="str">
        <f>IF(D3527="","",VLOOKUP(D3527,'General Basis'!$J$39:$K$46,2,0))</f>
        <v/>
      </c>
      <c r="BF3527" s="744" t="str">
        <f>IF(D3527="","",VLOOKUP(D3527,'General Basis'!$J$39:$L$46,3,0))</f>
        <v/>
      </c>
      <c r="BG3527" s="744" t="str">
        <f t="shared" ref="BG3527:BG3590" si="1243">BC3527&amp;BI3527</f>
        <v/>
      </c>
      <c r="BH3527" s="744" t="str">
        <f>IF(G3527="","",IF(BF3527="Abu Dhabi",IF(G3527&lt;18,'General Basis'!$C$39,IF(G3527&lt;41,'General Basis'!$C$40,IF(G3527&lt;60,'General Basis'!$C$41,IF(G3527&lt;65,'General Basis'!$C$42,'General Basis'!$C$43)))),IF(G3527&lt;11,'General Basis'!$B$39,IF(G3527&lt;18,'General Basis'!$B$40,IF(G3527&lt;26,'General Basis'!$B$41,IF(G3527&lt;31,'General Basis'!$B$42,IF(G3527&lt;36,'General Basis'!$B$43,IF(G3527&lt;41,'General Basis'!$B$44,IF(G3527&lt;46,'General Basis'!$B$45,IF(G3527&lt;51,'General Basis'!$B$46,IF(G3527&lt;56,'General Basis'!$B$47,IF(G3527&lt;60,'General Basis'!$B$48,IF(G3527&lt;65,'General Basis'!$B$49,'General Basis'!$B$50)))))))))))))</f>
        <v/>
      </c>
      <c r="BI3527" s="744" t="str">
        <f t="shared" si="1237"/>
        <v/>
      </c>
      <c r="BJ3527" s="747" t="str">
        <f t="shared" ref="BJ3527:BJ3590" si="1244">IF(BD3527="","",IF(BF3527="Abu Dhabi",BK3527,BL3527))</f>
        <v/>
      </c>
      <c r="BK3527" s="498" t="str">
        <f t="shared" si="1238"/>
        <v/>
      </c>
      <c r="BL3527" s="498" t="str">
        <f t="shared" si="1239"/>
        <v/>
      </c>
    </row>
    <row r="3528" spans="1:64" x14ac:dyDescent="0.25">
      <c r="A3528" s="762">
        <f t="shared" si="1240"/>
        <v>3523</v>
      </c>
      <c r="B3528" s="229"/>
      <c r="C3528" s="223"/>
      <c r="D3528" s="224"/>
      <c r="E3528" s="225"/>
      <c r="F3528" s="1036" t="str">
        <f t="shared" si="1224"/>
        <v/>
      </c>
      <c r="G3528" s="1037" t="str">
        <f t="shared" si="1241"/>
        <v/>
      </c>
      <c r="H3528" s="225"/>
      <c r="I3528" s="1013"/>
      <c r="J3528" s="1013"/>
      <c r="K3528" s="1028"/>
      <c r="L3528" s="1035" t="str">
        <f t="shared" ref="L3528:L3591" si="1245">IF(AND(E3528="Child",H3528="Married"),"Check the Marital Status of the Child. ",IF(AND(E3528="Child",F3528&gt;18),"Child Age exceed 18 years. ",IF(AND(E3528="Spouse",H3528="Single"),"Spouse is selected as Single. ","")))&amp;IF(K3528&gt;0,"UW Loading has been Applied","")</f>
        <v/>
      </c>
      <c r="S3528" s="498"/>
      <c r="AJ3528" s="498"/>
      <c r="AM3528" s="498">
        <f t="shared" si="1226"/>
        <v>0</v>
      </c>
      <c r="AN3528" s="498">
        <f t="shared" si="1227"/>
        <v>0</v>
      </c>
      <c r="AO3528" s="498">
        <f t="shared" si="1228"/>
        <v>0</v>
      </c>
      <c r="AP3528" s="498">
        <f t="shared" si="1225"/>
        <v>0</v>
      </c>
      <c r="AQ3528" s="498">
        <f t="shared" si="1242"/>
        <v>0</v>
      </c>
      <c r="AU3528" s="498">
        <f t="shared" si="1229"/>
        <v>0</v>
      </c>
      <c r="AV3528" s="498">
        <f t="shared" si="1230"/>
        <v>0</v>
      </c>
      <c r="AW3528" s="498">
        <f t="shared" si="1231"/>
        <v>0</v>
      </c>
      <c r="AX3528" s="498">
        <f t="shared" si="1232"/>
        <v>0</v>
      </c>
      <c r="AY3528" s="498">
        <f t="shared" si="1233"/>
        <v>0</v>
      </c>
      <c r="BB3528" s="498" t="str">
        <f t="shared" si="1234"/>
        <v/>
      </c>
      <c r="BC3528" s="743" t="str">
        <f t="shared" si="1235"/>
        <v/>
      </c>
      <c r="BD3528" s="743" t="str">
        <f t="shared" si="1236"/>
        <v/>
      </c>
      <c r="BE3528" s="743" t="str">
        <f>IF(D3528="","",VLOOKUP(D3528,'General Basis'!$J$39:$K$46,2,0))</f>
        <v/>
      </c>
      <c r="BF3528" s="744" t="str">
        <f>IF(D3528="","",VLOOKUP(D3528,'General Basis'!$J$39:$L$46,3,0))</f>
        <v/>
      </c>
      <c r="BG3528" s="744" t="str">
        <f t="shared" si="1243"/>
        <v/>
      </c>
      <c r="BH3528" s="744" t="str">
        <f>IF(G3528="","",IF(BF3528="Abu Dhabi",IF(G3528&lt;18,'General Basis'!$C$39,IF(G3528&lt;41,'General Basis'!$C$40,IF(G3528&lt;60,'General Basis'!$C$41,IF(G3528&lt;65,'General Basis'!$C$42,'General Basis'!$C$43)))),IF(G3528&lt;11,'General Basis'!$B$39,IF(G3528&lt;18,'General Basis'!$B$40,IF(G3528&lt;26,'General Basis'!$B$41,IF(G3528&lt;31,'General Basis'!$B$42,IF(G3528&lt;36,'General Basis'!$B$43,IF(G3528&lt;41,'General Basis'!$B$44,IF(G3528&lt;46,'General Basis'!$B$45,IF(G3528&lt;51,'General Basis'!$B$46,IF(G3528&lt;56,'General Basis'!$B$47,IF(G3528&lt;60,'General Basis'!$B$48,IF(G3528&lt;65,'General Basis'!$B$49,'General Basis'!$B$50)))))))))))))</f>
        <v/>
      </c>
      <c r="BI3528" s="744" t="str">
        <f t="shared" si="1237"/>
        <v/>
      </c>
      <c r="BJ3528" s="747" t="str">
        <f t="shared" si="1244"/>
        <v/>
      </c>
      <c r="BK3528" s="498" t="str">
        <f t="shared" si="1238"/>
        <v/>
      </c>
      <c r="BL3528" s="498" t="str">
        <f t="shared" si="1239"/>
        <v/>
      </c>
    </row>
    <row r="3529" spans="1:64" x14ac:dyDescent="0.25">
      <c r="A3529" s="762">
        <f t="shared" si="1240"/>
        <v>3524</v>
      </c>
      <c r="B3529" s="229"/>
      <c r="C3529" s="223"/>
      <c r="D3529" s="224"/>
      <c r="E3529" s="225"/>
      <c r="F3529" s="1036" t="str">
        <f t="shared" si="1224"/>
        <v/>
      </c>
      <c r="G3529" s="1037" t="str">
        <f t="shared" si="1241"/>
        <v/>
      </c>
      <c r="H3529" s="225"/>
      <c r="I3529" s="1013"/>
      <c r="J3529" s="1013"/>
      <c r="K3529" s="1028"/>
      <c r="L3529" s="1035" t="str">
        <f t="shared" si="1245"/>
        <v/>
      </c>
      <c r="S3529" s="498"/>
      <c r="AJ3529" s="498"/>
      <c r="AM3529" s="498">
        <f t="shared" si="1226"/>
        <v>0</v>
      </c>
      <c r="AN3529" s="498">
        <f t="shared" si="1227"/>
        <v>0</v>
      </c>
      <c r="AO3529" s="498">
        <f t="shared" si="1228"/>
        <v>0</v>
      </c>
      <c r="AP3529" s="498">
        <f t="shared" si="1225"/>
        <v>0</v>
      </c>
      <c r="AQ3529" s="498">
        <f t="shared" si="1242"/>
        <v>0</v>
      </c>
      <c r="AU3529" s="498">
        <f t="shared" si="1229"/>
        <v>0</v>
      </c>
      <c r="AV3529" s="498">
        <f t="shared" si="1230"/>
        <v>0</v>
      </c>
      <c r="AW3529" s="498">
        <f t="shared" si="1231"/>
        <v>0</v>
      </c>
      <c r="AX3529" s="498">
        <f t="shared" si="1232"/>
        <v>0</v>
      </c>
      <c r="AY3529" s="498">
        <f t="shared" si="1233"/>
        <v>0</v>
      </c>
      <c r="BB3529" s="498" t="str">
        <f t="shared" si="1234"/>
        <v/>
      </c>
      <c r="BC3529" s="743" t="str">
        <f t="shared" si="1235"/>
        <v/>
      </c>
      <c r="BD3529" s="743" t="str">
        <f t="shared" si="1236"/>
        <v/>
      </c>
      <c r="BE3529" s="743" t="str">
        <f>IF(D3529="","",VLOOKUP(D3529,'General Basis'!$J$39:$K$46,2,0))</f>
        <v/>
      </c>
      <c r="BF3529" s="744" t="str">
        <f>IF(D3529="","",VLOOKUP(D3529,'General Basis'!$J$39:$L$46,3,0))</f>
        <v/>
      </c>
      <c r="BG3529" s="744" t="str">
        <f t="shared" si="1243"/>
        <v/>
      </c>
      <c r="BH3529" s="744" t="str">
        <f>IF(G3529="","",IF(BF3529="Abu Dhabi",IF(G3529&lt;18,'General Basis'!$C$39,IF(G3529&lt;41,'General Basis'!$C$40,IF(G3529&lt;60,'General Basis'!$C$41,IF(G3529&lt;65,'General Basis'!$C$42,'General Basis'!$C$43)))),IF(G3529&lt;11,'General Basis'!$B$39,IF(G3529&lt;18,'General Basis'!$B$40,IF(G3529&lt;26,'General Basis'!$B$41,IF(G3529&lt;31,'General Basis'!$B$42,IF(G3529&lt;36,'General Basis'!$B$43,IF(G3529&lt;41,'General Basis'!$B$44,IF(G3529&lt;46,'General Basis'!$B$45,IF(G3529&lt;51,'General Basis'!$B$46,IF(G3529&lt;56,'General Basis'!$B$47,IF(G3529&lt;60,'General Basis'!$B$48,IF(G3529&lt;65,'General Basis'!$B$49,'General Basis'!$B$50)))))))))))))</f>
        <v/>
      </c>
      <c r="BI3529" s="744" t="str">
        <f t="shared" si="1237"/>
        <v/>
      </c>
      <c r="BJ3529" s="747" t="str">
        <f t="shared" si="1244"/>
        <v/>
      </c>
      <c r="BK3529" s="498" t="str">
        <f t="shared" si="1238"/>
        <v/>
      </c>
      <c r="BL3529" s="498" t="str">
        <f t="shared" si="1239"/>
        <v/>
      </c>
    </row>
    <row r="3530" spans="1:64" x14ac:dyDescent="0.25">
      <c r="A3530" s="762">
        <f t="shared" si="1240"/>
        <v>3525</v>
      </c>
      <c r="B3530" s="229"/>
      <c r="C3530" s="223"/>
      <c r="D3530" s="224"/>
      <c r="E3530" s="225"/>
      <c r="F3530" s="1036" t="str">
        <f t="shared" si="1224"/>
        <v/>
      </c>
      <c r="G3530" s="1037" t="str">
        <f t="shared" si="1241"/>
        <v/>
      </c>
      <c r="H3530" s="225"/>
      <c r="I3530" s="1013"/>
      <c r="J3530" s="1013"/>
      <c r="K3530" s="1028"/>
      <c r="L3530" s="1035" t="str">
        <f t="shared" si="1245"/>
        <v/>
      </c>
      <c r="S3530" s="498"/>
      <c r="AJ3530" s="498"/>
      <c r="AM3530" s="498">
        <f t="shared" si="1226"/>
        <v>0</v>
      </c>
      <c r="AN3530" s="498">
        <f t="shared" si="1227"/>
        <v>0</v>
      </c>
      <c r="AO3530" s="498">
        <f t="shared" si="1228"/>
        <v>0</v>
      </c>
      <c r="AP3530" s="498">
        <f t="shared" si="1225"/>
        <v>0</v>
      </c>
      <c r="AQ3530" s="498">
        <f t="shared" si="1242"/>
        <v>0</v>
      </c>
      <c r="AU3530" s="498">
        <f t="shared" si="1229"/>
        <v>0</v>
      </c>
      <c r="AV3530" s="498">
        <f t="shared" si="1230"/>
        <v>0</v>
      </c>
      <c r="AW3530" s="498">
        <f t="shared" si="1231"/>
        <v>0</v>
      </c>
      <c r="AX3530" s="498">
        <f t="shared" si="1232"/>
        <v>0</v>
      </c>
      <c r="AY3530" s="498">
        <f t="shared" si="1233"/>
        <v>0</v>
      </c>
      <c r="BB3530" s="498" t="str">
        <f t="shared" si="1234"/>
        <v/>
      </c>
      <c r="BC3530" s="743" t="str">
        <f t="shared" si="1235"/>
        <v/>
      </c>
      <c r="BD3530" s="743" t="str">
        <f t="shared" si="1236"/>
        <v/>
      </c>
      <c r="BE3530" s="743" t="str">
        <f>IF(D3530="","",VLOOKUP(D3530,'General Basis'!$J$39:$K$46,2,0))</f>
        <v/>
      </c>
      <c r="BF3530" s="744" t="str">
        <f>IF(D3530="","",VLOOKUP(D3530,'General Basis'!$J$39:$L$46,3,0))</f>
        <v/>
      </c>
      <c r="BG3530" s="744" t="str">
        <f t="shared" si="1243"/>
        <v/>
      </c>
      <c r="BH3530" s="744" t="str">
        <f>IF(G3530="","",IF(BF3530="Abu Dhabi",IF(G3530&lt;18,'General Basis'!$C$39,IF(G3530&lt;41,'General Basis'!$C$40,IF(G3530&lt;60,'General Basis'!$C$41,IF(G3530&lt;65,'General Basis'!$C$42,'General Basis'!$C$43)))),IF(G3530&lt;11,'General Basis'!$B$39,IF(G3530&lt;18,'General Basis'!$B$40,IF(G3530&lt;26,'General Basis'!$B$41,IF(G3530&lt;31,'General Basis'!$B$42,IF(G3530&lt;36,'General Basis'!$B$43,IF(G3530&lt;41,'General Basis'!$B$44,IF(G3530&lt;46,'General Basis'!$B$45,IF(G3530&lt;51,'General Basis'!$B$46,IF(G3530&lt;56,'General Basis'!$B$47,IF(G3530&lt;60,'General Basis'!$B$48,IF(G3530&lt;65,'General Basis'!$B$49,'General Basis'!$B$50)))))))))))))</f>
        <v/>
      </c>
      <c r="BI3530" s="744" t="str">
        <f t="shared" si="1237"/>
        <v/>
      </c>
      <c r="BJ3530" s="747" t="str">
        <f t="shared" si="1244"/>
        <v/>
      </c>
      <c r="BK3530" s="498" t="str">
        <f t="shared" si="1238"/>
        <v/>
      </c>
      <c r="BL3530" s="498" t="str">
        <f t="shared" si="1239"/>
        <v/>
      </c>
    </row>
    <row r="3531" spans="1:64" x14ac:dyDescent="0.25">
      <c r="A3531" s="762">
        <f t="shared" si="1240"/>
        <v>3526</v>
      </c>
      <c r="B3531" s="229"/>
      <c r="C3531" s="223"/>
      <c r="D3531" s="224"/>
      <c r="E3531" s="225"/>
      <c r="F3531" s="1036" t="str">
        <f t="shared" si="1224"/>
        <v/>
      </c>
      <c r="G3531" s="1037" t="str">
        <f t="shared" si="1241"/>
        <v/>
      </c>
      <c r="H3531" s="225"/>
      <c r="I3531" s="1013"/>
      <c r="J3531" s="1013"/>
      <c r="K3531" s="1028"/>
      <c r="L3531" s="1035" t="str">
        <f t="shared" si="1245"/>
        <v/>
      </c>
      <c r="S3531" s="498"/>
      <c r="AJ3531" s="498"/>
      <c r="AM3531" s="498">
        <f t="shared" si="1226"/>
        <v>0</v>
      </c>
      <c r="AN3531" s="498">
        <f t="shared" si="1227"/>
        <v>0</v>
      </c>
      <c r="AO3531" s="498">
        <f t="shared" si="1228"/>
        <v>0</v>
      </c>
      <c r="AP3531" s="498">
        <f t="shared" si="1225"/>
        <v>0</v>
      </c>
      <c r="AQ3531" s="498">
        <f t="shared" si="1242"/>
        <v>0</v>
      </c>
      <c r="AU3531" s="498">
        <f t="shared" si="1229"/>
        <v>0</v>
      </c>
      <c r="AV3531" s="498">
        <f t="shared" si="1230"/>
        <v>0</v>
      </c>
      <c r="AW3531" s="498">
        <f t="shared" si="1231"/>
        <v>0</v>
      </c>
      <c r="AX3531" s="498">
        <f t="shared" si="1232"/>
        <v>0</v>
      </c>
      <c r="AY3531" s="498">
        <f t="shared" si="1233"/>
        <v>0</v>
      </c>
      <c r="BB3531" s="498" t="str">
        <f t="shared" si="1234"/>
        <v/>
      </c>
      <c r="BC3531" s="743" t="str">
        <f t="shared" si="1235"/>
        <v/>
      </c>
      <c r="BD3531" s="743" t="str">
        <f t="shared" si="1236"/>
        <v/>
      </c>
      <c r="BE3531" s="743" t="str">
        <f>IF(D3531="","",VLOOKUP(D3531,'General Basis'!$J$39:$K$46,2,0))</f>
        <v/>
      </c>
      <c r="BF3531" s="744" t="str">
        <f>IF(D3531="","",VLOOKUP(D3531,'General Basis'!$J$39:$L$46,3,0))</f>
        <v/>
      </c>
      <c r="BG3531" s="744" t="str">
        <f t="shared" si="1243"/>
        <v/>
      </c>
      <c r="BH3531" s="744" t="str">
        <f>IF(G3531="","",IF(BF3531="Abu Dhabi",IF(G3531&lt;18,'General Basis'!$C$39,IF(G3531&lt;41,'General Basis'!$C$40,IF(G3531&lt;60,'General Basis'!$C$41,IF(G3531&lt;65,'General Basis'!$C$42,'General Basis'!$C$43)))),IF(G3531&lt;11,'General Basis'!$B$39,IF(G3531&lt;18,'General Basis'!$B$40,IF(G3531&lt;26,'General Basis'!$B$41,IF(G3531&lt;31,'General Basis'!$B$42,IF(G3531&lt;36,'General Basis'!$B$43,IF(G3531&lt;41,'General Basis'!$B$44,IF(G3531&lt;46,'General Basis'!$B$45,IF(G3531&lt;51,'General Basis'!$B$46,IF(G3531&lt;56,'General Basis'!$B$47,IF(G3531&lt;60,'General Basis'!$B$48,IF(G3531&lt;65,'General Basis'!$B$49,'General Basis'!$B$50)))))))))))))</f>
        <v/>
      </c>
      <c r="BI3531" s="744" t="str">
        <f t="shared" si="1237"/>
        <v/>
      </c>
      <c r="BJ3531" s="747" t="str">
        <f t="shared" si="1244"/>
        <v/>
      </c>
      <c r="BK3531" s="498" t="str">
        <f t="shared" si="1238"/>
        <v/>
      </c>
      <c r="BL3531" s="498" t="str">
        <f t="shared" si="1239"/>
        <v/>
      </c>
    </row>
    <row r="3532" spans="1:64" x14ac:dyDescent="0.25">
      <c r="A3532" s="762">
        <f t="shared" si="1240"/>
        <v>3527</v>
      </c>
      <c r="B3532" s="229"/>
      <c r="C3532" s="223"/>
      <c r="D3532" s="224"/>
      <c r="E3532" s="225"/>
      <c r="F3532" s="1036" t="str">
        <f t="shared" si="1224"/>
        <v/>
      </c>
      <c r="G3532" s="1037" t="str">
        <f t="shared" si="1241"/>
        <v/>
      </c>
      <c r="H3532" s="225"/>
      <c r="I3532" s="1013"/>
      <c r="J3532" s="1013"/>
      <c r="K3532" s="1028"/>
      <c r="L3532" s="1035" t="str">
        <f t="shared" si="1245"/>
        <v/>
      </c>
      <c r="S3532" s="498"/>
      <c r="AJ3532" s="498"/>
      <c r="AM3532" s="498">
        <f t="shared" si="1226"/>
        <v>0</v>
      </c>
      <c r="AN3532" s="498">
        <f t="shared" si="1227"/>
        <v>0</v>
      </c>
      <c r="AO3532" s="498">
        <f t="shared" si="1228"/>
        <v>0</v>
      </c>
      <c r="AP3532" s="498">
        <f t="shared" si="1225"/>
        <v>0</v>
      </c>
      <c r="AQ3532" s="498">
        <f t="shared" si="1242"/>
        <v>0</v>
      </c>
      <c r="AU3532" s="498">
        <f t="shared" si="1229"/>
        <v>0</v>
      </c>
      <c r="AV3532" s="498">
        <f t="shared" si="1230"/>
        <v>0</v>
      </c>
      <c r="AW3532" s="498">
        <f t="shared" si="1231"/>
        <v>0</v>
      </c>
      <c r="AX3532" s="498">
        <f t="shared" si="1232"/>
        <v>0</v>
      </c>
      <c r="AY3532" s="498">
        <f t="shared" si="1233"/>
        <v>0</v>
      </c>
      <c r="BB3532" s="498" t="str">
        <f t="shared" si="1234"/>
        <v/>
      </c>
      <c r="BC3532" s="743" t="str">
        <f t="shared" si="1235"/>
        <v/>
      </c>
      <c r="BD3532" s="743" t="str">
        <f t="shared" si="1236"/>
        <v/>
      </c>
      <c r="BE3532" s="743" t="str">
        <f>IF(D3532="","",VLOOKUP(D3532,'General Basis'!$J$39:$K$46,2,0))</f>
        <v/>
      </c>
      <c r="BF3532" s="744" t="str">
        <f>IF(D3532="","",VLOOKUP(D3532,'General Basis'!$J$39:$L$46,3,0))</f>
        <v/>
      </c>
      <c r="BG3532" s="744" t="str">
        <f t="shared" si="1243"/>
        <v/>
      </c>
      <c r="BH3532" s="744" t="str">
        <f>IF(G3532="","",IF(BF3532="Abu Dhabi",IF(G3532&lt;18,'General Basis'!$C$39,IF(G3532&lt;41,'General Basis'!$C$40,IF(G3532&lt;60,'General Basis'!$C$41,IF(G3532&lt;65,'General Basis'!$C$42,'General Basis'!$C$43)))),IF(G3532&lt;11,'General Basis'!$B$39,IF(G3532&lt;18,'General Basis'!$B$40,IF(G3532&lt;26,'General Basis'!$B$41,IF(G3532&lt;31,'General Basis'!$B$42,IF(G3532&lt;36,'General Basis'!$B$43,IF(G3532&lt;41,'General Basis'!$B$44,IF(G3532&lt;46,'General Basis'!$B$45,IF(G3532&lt;51,'General Basis'!$B$46,IF(G3532&lt;56,'General Basis'!$B$47,IF(G3532&lt;60,'General Basis'!$B$48,IF(G3532&lt;65,'General Basis'!$B$49,'General Basis'!$B$50)))))))))))))</f>
        <v/>
      </c>
      <c r="BI3532" s="744" t="str">
        <f t="shared" si="1237"/>
        <v/>
      </c>
      <c r="BJ3532" s="747" t="str">
        <f t="shared" si="1244"/>
        <v/>
      </c>
      <c r="BK3532" s="498" t="str">
        <f t="shared" si="1238"/>
        <v/>
      </c>
      <c r="BL3532" s="498" t="str">
        <f t="shared" si="1239"/>
        <v/>
      </c>
    </row>
    <row r="3533" spans="1:64" x14ac:dyDescent="0.25">
      <c r="A3533" s="762">
        <f t="shared" si="1240"/>
        <v>3528</v>
      </c>
      <c r="B3533" s="229"/>
      <c r="C3533" s="223"/>
      <c r="D3533" s="224"/>
      <c r="E3533" s="225"/>
      <c r="F3533" s="1036" t="str">
        <f t="shared" si="1224"/>
        <v/>
      </c>
      <c r="G3533" s="1037" t="str">
        <f t="shared" si="1241"/>
        <v/>
      </c>
      <c r="H3533" s="225"/>
      <c r="I3533" s="1013"/>
      <c r="J3533" s="1013"/>
      <c r="K3533" s="1028"/>
      <c r="L3533" s="1035" t="str">
        <f t="shared" si="1245"/>
        <v/>
      </c>
      <c r="S3533" s="498"/>
      <c r="AJ3533" s="498"/>
      <c r="AM3533" s="498">
        <f t="shared" si="1226"/>
        <v>0</v>
      </c>
      <c r="AN3533" s="498">
        <f t="shared" si="1227"/>
        <v>0</v>
      </c>
      <c r="AO3533" s="498">
        <f t="shared" si="1228"/>
        <v>0</v>
      </c>
      <c r="AP3533" s="498">
        <f t="shared" si="1225"/>
        <v>0</v>
      </c>
      <c r="AQ3533" s="498">
        <f t="shared" si="1242"/>
        <v>0</v>
      </c>
      <c r="AU3533" s="498">
        <f t="shared" si="1229"/>
        <v>0</v>
      </c>
      <c r="AV3533" s="498">
        <f t="shared" si="1230"/>
        <v>0</v>
      </c>
      <c r="AW3533" s="498">
        <f t="shared" si="1231"/>
        <v>0</v>
      </c>
      <c r="AX3533" s="498">
        <f t="shared" si="1232"/>
        <v>0</v>
      </c>
      <c r="AY3533" s="498">
        <f t="shared" si="1233"/>
        <v>0</v>
      </c>
      <c r="BB3533" s="498" t="str">
        <f t="shared" si="1234"/>
        <v/>
      </c>
      <c r="BC3533" s="743" t="str">
        <f t="shared" si="1235"/>
        <v/>
      </c>
      <c r="BD3533" s="743" t="str">
        <f t="shared" si="1236"/>
        <v/>
      </c>
      <c r="BE3533" s="743" t="str">
        <f>IF(D3533="","",VLOOKUP(D3533,'General Basis'!$J$39:$K$46,2,0))</f>
        <v/>
      </c>
      <c r="BF3533" s="744" t="str">
        <f>IF(D3533="","",VLOOKUP(D3533,'General Basis'!$J$39:$L$46,3,0))</f>
        <v/>
      </c>
      <c r="BG3533" s="744" t="str">
        <f t="shared" si="1243"/>
        <v/>
      </c>
      <c r="BH3533" s="744" t="str">
        <f>IF(G3533="","",IF(BF3533="Abu Dhabi",IF(G3533&lt;18,'General Basis'!$C$39,IF(G3533&lt;41,'General Basis'!$C$40,IF(G3533&lt;60,'General Basis'!$C$41,IF(G3533&lt;65,'General Basis'!$C$42,'General Basis'!$C$43)))),IF(G3533&lt;11,'General Basis'!$B$39,IF(G3533&lt;18,'General Basis'!$B$40,IF(G3533&lt;26,'General Basis'!$B$41,IF(G3533&lt;31,'General Basis'!$B$42,IF(G3533&lt;36,'General Basis'!$B$43,IF(G3533&lt;41,'General Basis'!$B$44,IF(G3533&lt;46,'General Basis'!$B$45,IF(G3533&lt;51,'General Basis'!$B$46,IF(G3533&lt;56,'General Basis'!$B$47,IF(G3533&lt;60,'General Basis'!$B$48,IF(G3533&lt;65,'General Basis'!$B$49,'General Basis'!$B$50)))))))))))))</f>
        <v/>
      </c>
      <c r="BI3533" s="744" t="str">
        <f t="shared" si="1237"/>
        <v/>
      </c>
      <c r="BJ3533" s="747" t="str">
        <f t="shared" si="1244"/>
        <v/>
      </c>
      <c r="BK3533" s="498" t="str">
        <f t="shared" si="1238"/>
        <v/>
      </c>
      <c r="BL3533" s="498" t="str">
        <f t="shared" si="1239"/>
        <v/>
      </c>
    </row>
    <row r="3534" spans="1:64" x14ac:dyDescent="0.25">
      <c r="A3534" s="762">
        <f t="shared" si="1240"/>
        <v>3529</v>
      </c>
      <c r="B3534" s="229"/>
      <c r="C3534" s="223"/>
      <c r="D3534" s="224"/>
      <c r="E3534" s="225"/>
      <c r="F3534" s="1036" t="str">
        <f t="shared" si="1224"/>
        <v/>
      </c>
      <c r="G3534" s="1037" t="str">
        <f t="shared" si="1241"/>
        <v/>
      </c>
      <c r="H3534" s="225"/>
      <c r="I3534" s="1013"/>
      <c r="J3534" s="1013"/>
      <c r="K3534" s="1028"/>
      <c r="L3534" s="1035" t="str">
        <f t="shared" si="1245"/>
        <v/>
      </c>
      <c r="S3534" s="498"/>
      <c r="AJ3534" s="498"/>
      <c r="AM3534" s="498">
        <f t="shared" si="1226"/>
        <v>0</v>
      </c>
      <c r="AN3534" s="498">
        <f t="shared" si="1227"/>
        <v>0</v>
      </c>
      <c r="AO3534" s="498">
        <f t="shared" si="1228"/>
        <v>0</v>
      </c>
      <c r="AP3534" s="498">
        <f t="shared" si="1225"/>
        <v>0</v>
      </c>
      <c r="AQ3534" s="498">
        <f t="shared" si="1242"/>
        <v>0</v>
      </c>
      <c r="AU3534" s="498">
        <f t="shared" si="1229"/>
        <v>0</v>
      </c>
      <c r="AV3534" s="498">
        <f t="shared" si="1230"/>
        <v>0</v>
      </c>
      <c r="AW3534" s="498">
        <f t="shared" si="1231"/>
        <v>0</v>
      </c>
      <c r="AX3534" s="498">
        <f t="shared" si="1232"/>
        <v>0</v>
      </c>
      <c r="AY3534" s="498">
        <f t="shared" si="1233"/>
        <v>0</v>
      </c>
      <c r="BB3534" s="498" t="str">
        <f t="shared" si="1234"/>
        <v/>
      </c>
      <c r="BC3534" s="743" t="str">
        <f t="shared" si="1235"/>
        <v/>
      </c>
      <c r="BD3534" s="743" t="str">
        <f t="shared" si="1236"/>
        <v/>
      </c>
      <c r="BE3534" s="743" t="str">
        <f>IF(D3534="","",VLOOKUP(D3534,'General Basis'!$J$39:$K$46,2,0))</f>
        <v/>
      </c>
      <c r="BF3534" s="744" t="str">
        <f>IF(D3534="","",VLOOKUP(D3534,'General Basis'!$J$39:$L$46,3,0))</f>
        <v/>
      </c>
      <c r="BG3534" s="744" t="str">
        <f t="shared" si="1243"/>
        <v/>
      </c>
      <c r="BH3534" s="744" t="str">
        <f>IF(G3534="","",IF(BF3534="Abu Dhabi",IF(G3534&lt;18,'General Basis'!$C$39,IF(G3534&lt;41,'General Basis'!$C$40,IF(G3534&lt;60,'General Basis'!$C$41,IF(G3534&lt;65,'General Basis'!$C$42,'General Basis'!$C$43)))),IF(G3534&lt;11,'General Basis'!$B$39,IF(G3534&lt;18,'General Basis'!$B$40,IF(G3534&lt;26,'General Basis'!$B$41,IF(G3534&lt;31,'General Basis'!$B$42,IF(G3534&lt;36,'General Basis'!$B$43,IF(G3534&lt;41,'General Basis'!$B$44,IF(G3534&lt;46,'General Basis'!$B$45,IF(G3534&lt;51,'General Basis'!$B$46,IF(G3534&lt;56,'General Basis'!$B$47,IF(G3534&lt;60,'General Basis'!$B$48,IF(G3534&lt;65,'General Basis'!$B$49,'General Basis'!$B$50)))))))))))))</f>
        <v/>
      </c>
      <c r="BI3534" s="744" t="str">
        <f t="shared" si="1237"/>
        <v/>
      </c>
      <c r="BJ3534" s="747" t="str">
        <f t="shared" si="1244"/>
        <v/>
      </c>
      <c r="BK3534" s="498" t="str">
        <f t="shared" si="1238"/>
        <v/>
      </c>
      <c r="BL3534" s="498" t="str">
        <f t="shared" si="1239"/>
        <v/>
      </c>
    </row>
    <row r="3535" spans="1:64" x14ac:dyDescent="0.25">
      <c r="A3535" s="762">
        <f t="shared" si="1240"/>
        <v>3530</v>
      </c>
      <c r="B3535" s="229"/>
      <c r="C3535" s="223"/>
      <c r="D3535" s="224"/>
      <c r="E3535" s="225"/>
      <c r="F3535" s="1036" t="str">
        <f t="shared" si="1224"/>
        <v/>
      </c>
      <c r="G3535" s="1037" t="str">
        <f t="shared" si="1241"/>
        <v/>
      </c>
      <c r="H3535" s="225"/>
      <c r="I3535" s="1013"/>
      <c r="J3535" s="1013"/>
      <c r="K3535" s="1028"/>
      <c r="L3535" s="1035" t="str">
        <f t="shared" si="1245"/>
        <v/>
      </c>
      <c r="S3535" s="498"/>
      <c r="AJ3535" s="498"/>
      <c r="AM3535" s="498">
        <f t="shared" si="1226"/>
        <v>0</v>
      </c>
      <c r="AN3535" s="498">
        <f t="shared" si="1227"/>
        <v>0</v>
      </c>
      <c r="AO3535" s="498">
        <f t="shared" si="1228"/>
        <v>0</v>
      </c>
      <c r="AP3535" s="498">
        <f t="shared" si="1225"/>
        <v>0</v>
      </c>
      <c r="AQ3535" s="498">
        <f t="shared" si="1242"/>
        <v>0</v>
      </c>
      <c r="AU3535" s="498">
        <f t="shared" si="1229"/>
        <v>0</v>
      </c>
      <c r="AV3535" s="498">
        <f t="shared" si="1230"/>
        <v>0</v>
      </c>
      <c r="AW3535" s="498">
        <f t="shared" si="1231"/>
        <v>0</v>
      </c>
      <c r="AX3535" s="498">
        <f t="shared" si="1232"/>
        <v>0</v>
      </c>
      <c r="AY3535" s="498">
        <f t="shared" si="1233"/>
        <v>0</v>
      </c>
      <c r="BB3535" s="498" t="str">
        <f t="shared" si="1234"/>
        <v/>
      </c>
      <c r="BC3535" s="743" t="str">
        <f t="shared" si="1235"/>
        <v/>
      </c>
      <c r="BD3535" s="743" t="str">
        <f t="shared" si="1236"/>
        <v/>
      </c>
      <c r="BE3535" s="743" t="str">
        <f>IF(D3535="","",VLOOKUP(D3535,'General Basis'!$J$39:$K$46,2,0))</f>
        <v/>
      </c>
      <c r="BF3535" s="744" t="str">
        <f>IF(D3535="","",VLOOKUP(D3535,'General Basis'!$J$39:$L$46,3,0))</f>
        <v/>
      </c>
      <c r="BG3535" s="744" t="str">
        <f t="shared" si="1243"/>
        <v/>
      </c>
      <c r="BH3535" s="744" t="str">
        <f>IF(G3535="","",IF(BF3535="Abu Dhabi",IF(G3535&lt;18,'General Basis'!$C$39,IF(G3535&lt;41,'General Basis'!$C$40,IF(G3535&lt;60,'General Basis'!$C$41,IF(G3535&lt;65,'General Basis'!$C$42,'General Basis'!$C$43)))),IF(G3535&lt;11,'General Basis'!$B$39,IF(G3535&lt;18,'General Basis'!$B$40,IF(G3535&lt;26,'General Basis'!$B$41,IF(G3535&lt;31,'General Basis'!$B$42,IF(G3535&lt;36,'General Basis'!$B$43,IF(G3535&lt;41,'General Basis'!$B$44,IF(G3535&lt;46,'General Basis'!$B$45,IF(G3535&lt;51,'General Basis'!$B$46,IF(G3535&lt;56,'General Basis'!$B$47,IF(G3535&lt;60,'General Basis'!$B$48,IF(G3535&lt;65,'General Basis'!$B$49,'General Basis'!$B$50)))))))))))))</f>
        <v/>
      </c>
      <c r="BI3535" s="744" t="str">
        <f t="shared" si="1237"/>
        <v/>
      </c>
      <c r="BJ3535" s="747" t="str">
        <f t="shared" si="1244"/>
        <v/>
      </c>
      <c r="BK3535" s="498" t="str">
        <f t="shared" si="1238"/>
        <v/>
      </c>
      <c r="BL3535" s="498" t="str">
        <f t="shared" si="1239"/>
        <v/>
      </c>
    </row>
    <row r="3536" spans="1:64" x14ac:dyDescent="0.25">
      <c r="A3536" s="762">
        <f t="shared" si="1240"/>
        <v>3531</v>
      </c>
      <c r="B3536" s="229"/>
      <c r="C3536" s="223"/>
      <c r="D3536" s="224"/>
      <c r="E3536" s="225"/>
      <c r="F3536" s="1036" t="str">
        <f t="shared" ref="F3536:F3599" si="1246">IF(C3536="","",IF($B3536="","",((YEAR($F$3)-YEAR($B3536))+(MONTH($F$3)-MONTH($B3536))/12+(DAY($F$3)-DAY($B3536))/(DATE(YEAR($F$3),12,31)-DATE(YEAR($F$3),1,1)+1))))</f>
        <v/>
      </c>
      <c r="G3536" s="1037" t="str">
        <f t="shared" si="1241"/>
        <v/>
      </c>
      <c r="H3536" s="225"/>
      <c r="I3536" s="1013"/>
      <c r="J3536" s="1013"/>
      <c r="K3536" s="1028"/>
      <c r="L3536" s="1035" t="str">
        <f t="shared" si="1245"/>
        <v/>
      </c>
      <c r="S3536" s="498"/>
      <c r="AJ3536" s="498"/>
      <c r="AM3536" s="498">
        <f t="shared" si="1226"/>
        <v>0</v>
      </c>
      <c r="AN3536" s="498">
        <f t="shared" si="1227"/>
        <v>0</v>
      </c>
      <c r="AO3536" s="498">
        <f t="shared" si="1228"/>
        <v>0</v>
      </c>
      <c r="AP3536" s="498">
        <f t="shared" si="1225"/>
        <v>0</v>
      </c>
      <c r="AQ3536" s="498">
        <f t="shared" si="1242"/>
        <v>0</v>
      </c>
      <c r="AU3536" s="498">
        <f t="shared" si="1229"/>
        <v>0</v>
      </c>
      <c r="AV3536" s="498">
        <f t="shared" si="1230"/>
        <v>0</v>
      </c>
      <c r="AW3536" s="498">
        <f t="shared" si="1231"/>
        <v>0</v>
      </c>
      <c r="AX3536" s="498">
        <f t="shared" si="1232"/>
        <v>0</v>
      </c>
      <c r="AY3536" s="498">
        <f t="shared" si="1233"/>
        <v>0</v>
      </c>
      <c r="BB3536" s="498" t="str">
        <f t="shared" si="1234"/>
        <v/>
      </c>
      <c r="BC3536" s="743" t="str">
        <f t="shared" si="1235"/>
        <v/>
      </c>
      <c r="BD3536" s="743" t="str">
        <f t="shared" si="1236"/>
        <v/>
      </c>
      <c r="BE3536" s="743" t="str">
        <f>IF(D3536="","",VLOOKUP(D3536,'General Basis'!$J$39:$K$46,2,0))</f>
        <v/>
      </c>
      <c r="BF3536" s="744" t="str">
        <f>IF(D3536="","",VLOOKUP(D3536,'General Basis'!$J$39:$L$46,3,0))</f>
        <v/>
      </c>
      <c r="BG3536" s="744" t="str">
        <f t="shared" si="1243"/>
        <v/>
      </c>
      <c r="BH3536" s="744" t="str">
        <f>IF(G3536="","",IF(BF3536="Abu Dhabi",IF(G3536&lt;18,'General Basis'!$C$39,IF(G3536&lt;41,'General Basis'!$C$40,IF(G3536&lt;60,'General Basis'!$C$41,IF(G3536&lt;65,'General Basis'!$C$42,'General Basis'!$C$43)))),IF(G3536&lt;11,'General Basis'!$B$39,IF(G3536&lt;18,'General Basis'!$B$40,IF(G3536&lt;26,'General Basis'!$B$41,IF(G3536&lt;31,'General Basis'!$B$42,IF(G3536&lt;36,'General Basis'!$B$43,IF(G3536&lt;41,'General Basis'!$B$44,IF(G3536&lt;46,'General Basis'!$B$45,IF(G3536&lt;51,'General Basis'!$B$46,IF(G3536&lt;56,'General Basis'!$B$47,IF(G3536&lt;60,'General Basis'!$B$48,IF(G3536&lt;65,'General Basis'!$B$49,'General Basis'!$B$50)))))))))))))</f>
        <v/>
      </c>
      <c r="BI3536" s="744" t="str">
        <f t="shared" si="1237"/>
        <v/>
      </c>
      <c r="BJ3536" s="747" t="str">
        <f t="shared" si="1244"/>
        <v/>
      </c>
      <c r="BK3536" s="498" t="str">
        <f t="shared" si="1238"/>
        <v/>
      </c>
      <c r="BL3536" s="498" t="str">
        <f t="shared" si="1239"/>
        <v/>
      </c>
    </row>
    <row r="3537" spans="1:64" x14ac:dyDescent="0.25">
      <c r="A3537" s="762">
        <f t="shared" si="1240"/>
        <v>3532</v>
      </c>
      <c r="B3537" s="229"/>
      <c r="C3537" s="223"/>
      <c r="D3537" s="224"/>
      <c r="E3537" s="225"/>
      <c r="F3537" s="1036" t="str">
        <f t="shared" si="1246"/>
        <v/>
      </c>
      <c r="G3537" s="1037" t="str">
        <f t="shared" si="1241"/>
        <v/>
      </c>
      <c r="H3537" s="225"/>
      <c r="I3537" s="1013"/>
      <c r="J3537" s="1013"/>
      <c r="K3537" s="1028"/>
      <c r="L3537" s="1035" t="str">
        <f t="shared" si="1245"/>
        <v/>
      </c>
      <c r="S3537" s="498"/>
      <c r="AJ3537" s="498"/>
      <c r="AM3537" s="498">
        <f t="shared" si="1226"/>
        <v>0</v>
      </c>
      <c r="AN3537" s="498">
        <f t="shared" si="1227"/>
        <v>0</v>
      </c>
      <c r="AO3537" s="498">
        <f t="shared" si="1228"/>
        <v>0</v>
      </c>
      <c r="AP3537" s="498">
        <f t="shared" si="1225"/>
        <v>0</v>
      </c>
      <c r="AQ3537" s="498">
        <f t="shared" si="1242"/>
        <v>0</v>
      </c>
      <c r="AU3537" s="498">
        <f t="shared" si="1229"/>
        <v>0</v>
      </c>
      <c r="AV3537" s="498">
        <f t="shared" si="1230"/>
        <v>0</v>
      </c>
      <c r="AW3537" s="498">
        <f t="shared" si="1231"/>
        <v>0</v>
      </c>
      <c r="AX3537" s="498">
        <f t="shared" si="1232"/>
        <v>0</v>
      </c>
      <c r="AY3537" s="498">
        <f t="shared" si="1233"/>
        <v>0</v>
      </c>
      <c r="BB3537" s="498" t="str">
        <f t="shared" si="1234"/>
        <v/>
      </c>
      <c r="BC3537" s="743" t="str">
        <f t="shared" si="1235"/>
        <v/>
      </c>
      <c r="BD3537" s="743" t="str">
        <f t="shared" si="1236"/>
        <v/>
      </c>
      <c r="BE3537" s="743" t="str">
        <f>IF(D3537="","",VLOOKUP(D3537,'General Basis'!$J$39:$K$46,2,0))</f>
        <v/>
      </c>
      <c r="BF3537" s="744" t="str">
        <f>IF(D3537="","",VLOOKUP(D3537,'General Basis'!$J$39:$L$46,3,0))</f>
        <v/>
      </c>
      <c r="BG3537" s="744" t="str">
        <f t="shared" si="1243"/>
        <v/>
      </c>
      <c r="BH3537" s="744" t="str">
        <f>IF(G3537="","",IF(BF3537="Abu Dhabi",IF(G3537&lt;18,'General Basis'!$C$39,IF(G3537&lt;41,'General Basis'!$C$40,IF(G3537&lt;60,'General Basis'!$C$41,IF(G3537&lt;65,'General Basis'!$C$42,'General Basis'!$C$43)))),IF(G3537&lt;11,'General Basis'!$B$39,IF(G3537&lt;18,'General Basis'!$B$40,IF(G3537&lt;26,'General Basis'!$B$41,IF(G3537&lt;31,'General Basis'!$B$42,IF(G3537&lt;36,'General Basis'!$B$43,IF(G3537&lt;41,'General Basis'!$B$44,IF(G3537&lt;46,'General Basis'!$B$45,IF(G3537&lt;51,'General Basis'!$B$46,IF(G3537&lt;56,'General Basis'!$B$47,IF(G3537&lt;60,'General Basis'!$B$48,IF(G3537&lt;65,'General Basis'!$B$49,'General Basis'!$B$50)))))))))))))</f>
        <v/>
      </c>
      <c r="BI3537" s="744" t="str">
        <f t="shared" si="1237"/>
        <v/>
      </c>
      <c r="BJ3537" s="747" t="str">
        <f t="shared" si="1244"/>
        <v/>
      </c>
      <c r="BK3537" s="498" t="str">
        <f t="shared" si="1238"/>
        <v/>
      </c>
      <c r="BL3537" s="498" t="str">
        <f t="shared" si="1239"/>
        <v/>
      </c>
    </row>
    <row r="3538" spans="1:64" x14ac:dyDescent="0.25">
      <c r="A3538" s="762">
        <f t="shared" si="1240"/>
        <v>3533</v>
      </c>
      <c r="B3538" s="229"/>
      <c r="C3538" s="223"/>
      <c r="D3538" s="224"/>
      <c r="E3538" s="225"/>
      <c r="F3538" s="1036" t="str">
        <f t="shared" si="1246"/>
        <v/>
      </c>
      <c r="G3538" s="1037" t="str">
        <f t="shared" si="1241"/>
        <v/>
      </c>
      <c r="H3538" s="225"/>
      <c r="I3538" s="1013"/>
      <c r="J3538" s="1013"/>
      <c r="K3538" s="1028"/>
      <c r="L3538" s="1035" t="str">
        <f t="shared" si="1245"/>
        <v/>
      </c>
      <c r="S3538" s="498"/>
      <c r="AJ3538" s="498"/>
      <c r="AM3538" s="498">
        <f t="shared" si="1226"/>
        <v>0</v>
      </c>
      <c r="AN3538" s="498">
        <f t="shared" si="1227"/>
        <v>0</v>
      </c>
      <c r="AO3538" s="498">
        <f t="shared" si="1228"/>
        <v>0</v>
      </c>
      <c r="AP3538" s="498">
        <f t="shared" si="1225"/>
        <v>0</v>
      </c>
      <c r="AQ3538" s="498">
        <f t="shared" si="1242"/>
        <v>0</v>
      </c>
      <c r="AU3538" s="498">
        <f t="shared" si="1229"/>
        <v>0</v>
      </c>
      <c r="AV3538" s="498">
        <f t="shared" si="1230"/>
        <v>0</v>
      </c>
      <c r="AW3538" s="498">
        <f t="shared" si="1231"/>
        <v>0</v>
      </c>
      <c r="AX3538" s="498">
        <f t="shared" si="1232"/>
        <v>0</v>
      </c>
      <c r="AY3538" s="498">
        <f t="shared" si="1233"/>
        <v>0</v>
      </c>
      <c r="BB3538" s="498" t="str">
        <f t="shared" si="1234"/>
        <v/>
      </c>
      <c r="BC3538" s="743" t="str">
        <f t="shared" si="1235"/>
        <v/>
      </c>
      <c r="BD3538" s="743" t="str">
        <f t="shared" si="1236"/>
        <v/>
      </c>
      <c r="BE3538" s="743" t="str">
        <f>IF(D3538="","",VLOOKUP(D3538,'General Basis'!$J$39:$K$46,2,0))</f>
        <v/>
      </c>
      <c r="BF3538" s="744" t="str">
        <f>IF(D3538="","",VLOOKUP(D3538,'General Basis'!$J$39:$L$46,3,0))</f>
        <v/>
      </c>
      <c r="BG3538" s="744" t="str">
        <f t="shared" si="1243"/>
        <v/>
      </c>
      <c r="BH3538" s="744" t="str">
        <f>IF(G3538="","",IF(BF3538="Abu Dhabi",IF(G3538&lt;18,'General Basis'!$C$39,IF(G3538&lt;41,'General Basis'!$C$40,IF(G3538&lt;60,'General Basis'!$C$41,IF(G3538&lt;65,'General Basis'!$C$42,'General Basis'!$C$43)))),IF(G3538&lt;11,'General Basis'!$B$39,IF(G3538&lt;18,'General Basis'!$B$40,IF(G3538&lt;26,'General Basis'!$B$41,IF(G3538&lt;31,'General Basis'!$B$42,IF(G3538&lt;36,'General Basis'!$B$43,IF(G3538&lt;41,'General Basis'!$B$44,IF(G3538&lt;46,'General Basis'!$B$45,IF(G3538&lt;51,'General Basis'!$B$46,IF(G3538&lt;56,'General Basis'!$B$47,IF(G3538&lt;60,'General Basis'!$B$48,IF(G3538&lt;65,'General Basis'!$B$49,'General Basis'!$B$50)))))))))))))</f>
        <v/>
      </c>
      <c r="BI3538" s="744" t="str">
        <f t="shared" si="1237"/>
        <v/>
      </c>
      <c r="BJ3538" s="747" t="str">
        <f t="shared" si="1244"/>
        <v/>
      </c>
      <c r="BK3538" s="498" t="str">
        <f t="shared" si="1238"/>
        <v/>
      </c>
      <c r="BL3538" s="498" t="str">
        <f t="shared" si="1239"/>
        <v/>
      </c>
    </row>
    <row r="3539" spans="1:64" x14ac:dyDescent="0.25">
      <c r="A3539" s="762">
        <f t="shared" si="1240"/>
        <v>3534</v>
      </c>
      <c r="B3539" s="229"/>
      <c r="C3539" s="223"/>
      <c r="D3539" s="224"/>
      <c r="E3539" s="225"/>
      <c r="F3539" s="1036" t="str">
        <f t="shared" si="1246"/>
        <v/>
      </c>
      <c r="G3539" s="1037" t="str">
        <f t="shared" si="1241"/>
        <v/>
      </c>
      <c r="H3539" s="225"/>
      <c r="I3539" s="1013"/>
      <c r="J3539" s="1013"/>
      <c r="K3539" s="1028"/>
      <c r="L3539" s="1035" t="str">
        <f t="shared" si="1245"/>
        <v/>
      </c>
      <c r="S3539" s="498"/>
      <c r="AJ3539" s="498"/>
      <c r="AM3539" s="498">
        <f t="shared" si="1226"/>
        <v>0</v>
      </c>
      <c r="AN3539" s="498">
        <f t="shared" si="1227"/>
        <v>0</v>
      </c>
      <c r="AO3539" s="498">
        <f t="shared" si="1228"/>
        <v>0</v>
      </c>
      <c r="AP3539" s="498">
        <f t="shared" ref="AP3539:AP3602" si="1247">IF(ISBLANK($B3539),0,IF(OR($C3539="M",$C3539="F"),0,1))</f>
        <v>0</v>
      </c>
      <c r="AQ3539" s="498">
        <f t="shared" si="1242"/>
        <v>0</v>
      </c>
      <c r="AU3539" s="498">
        <f t="shared" si="1229"/>
        <v>0</v>
      </c>
      <c r="AV3539" s="498">
        <f t="shared" si="1230"/>
        <v>0</v>
      </c>
      <c r="AW3539" s="498">
        <f t="shared" si="1231"/>
        <v>0</v>
      </c>
      <c r="AX3539" s="498">
        <f t="shared" si="1232"/>
        <v>0</v>
      </c>
      <c r="AY3539" s="498">
        <f t="shared" si="1233"/>
        <v>0</v>
      </c>
      <c r="BB3539" s="498" t="str">
        <f t="shared" si="1234"/>
        <v/>
      </c>
      <c r="BC3539" s="743" t="str">
        <f t="shared" si="1235"/>
        <v/>
      </c>
      <c r="BD3539" s="743" t="str">
        <f t="shared" si="1236"/>
        <v/>
      </c>
      <c r="BE3539" s="743" t="str">
        <f>IF(D3539="","",VLOOKUP(D3539,'General Basis'!$J$39:$K$46,2,0))</f>
        <v/>
      </c>
      <c r="BF3539" s="744" t="str">
        <f>IF(D3539="","",VLOOKUP(D3539,'General Basis'!$J$39:$L$46,3,0))</f>
        <v/>
      </c>
      <c r="BG3539" s="744" t="str">
        <f t="shared" si="1243"/>
        <v/>
      </c>
      <c r="BH3539" s="744" t="str">
        <f>IF(G3539="","",IF(BF3539="Abu Dhabi",IF(G3539&lt;18,'General Basis'!$C$39,IF(G3539&lt;41,'General Basis'!$C$40,IF(G3539&lt;60,'General Basis'!$C$41,IF(G3539&lt;65,'General Basis'!$C$42,'General Basis'!$C$43)))),IF(G3539&lt;11,'General Basis'!$B$39,IF(G3539&lt;18,'General Basis'!$B$40,IF(G3539&lt;26,'General Basis'!$B$41,IF(G3539&lt;31,'General Basis'!$B$42,IF(G3539&lt;36,'General Basis'!$B$43,IF(G3539&lt;41,'General Basis'!$B$44,IF(G3539&lt;46,'General Basis'!$B$45,IF(G3539&lt;51,'General Basis'!$B$46,IF(G3539&lt;56,'General Basis'!$B$47,IF(G3539&lt;60,'General Basis'!$B$48,IF(G3539&lt;65,'General Basis'!$B$49,'General Basis'!$B$50)))))))))))))</f>
        <v/>
      </c>
      <c r="BI3539" s="744" t="str">
        <f t="shared" si="1237"/>
        <v/>
      </c>
      <c r="BJ3539" s="747" t="str">
        <f t="shared" si="1244"/>
        <v/>
      </c>
      <c r="BK3539" s="498" t="str">
        <f t="shared" si="1238"/>
        <v/>
      </c>
      <c r="BL3539" s="498" t="str">
        <f t="shared" si="1239"/>
        <v/>
      </c>
    </row>
    <row r="3540" spans="1:64" x14ac:dyDescent="0.25">
      <c r="A3540" s="762">
        <f t="shared" si="1240"/>
        <v>3535</v>
      </c>
      <c r="B3540" s="229"/>
      <c r="C3540" s="223"/>
      <c r="D3540" s="224"/>
      <c r="E3540" s="225"/>
      <c r="F3540" s="1036" t="str">
        <f t="shared" si="1246"/>
        <v/>
      </c>
      <c r="G3540" s="1037" t="str">
        <f t="shared" si="1241"/>
        <v/>
      </c>
      <c r="H3540" s="225"/>
      <c r="I3540" s="1013"/>
      <c r="J3540" s="1013"/>
      <c r="K3540" s="1028"/>
      <c r="L3540" s="1035" t="str">
        <f t="shared" si="1245"/>
        <v/>
      </c>
      <c r="S3540" s="498"/>
      <c r="AJ3540" s="498"/>
      <c r="AM3540" s="498">
        <f t="shared" si="1226"/>
        <v>0</v>
      </c>
      <c r="AN3540" s="498">
        <f t="shared" si="1227"/>
        <v>0</v>
      </c>
      <c r="AO3540" s="498">
        <f t="shared" si="1228"/>
        <v>0</v>
      </c>
      <c r="AP3540" s="498">
        <f t="shared" si="1247"/>
        <v>0</v>
      </c>
      <c r="AQ3540" s="498">
        <f t="shared" si="1242"/>
        <v>0</v>
      </c>
      <c r="AU3540" s="498">
        <f t="shared" si="1229"/>
        <v>0</v>
      </c>
      <c r="AV3540" s="498">
        <f t="shared" si="1230"/>
        <v>0</v>
      </c>
      <c r="AW3540" s="498">
        <f t="shared" si="1231"/>
        <v>0</v>
      </c>
      <c r="AX3540" s="498">
        <f t="shared" si="1232"/>
        <v>0</v>
      </c>
      <c r="AY3540" s="498">
        <f t="shared" si="1233"/>
        <v>0</v>
      </c>
      <c r="BB3540" s="498" t="str">
        <f t="shared" si="1234"/>
        <v/>
      </c>
      <c r="BC3540" s="743" t="str">
        <f t="shared" si="1235"/>
        <v/>
      </c>
      <c r="BD3540" s="743" t="str">
        <f t="shared" si="1236"/>
        <v/>
      </c>
      <c r="BE3540" s="743" t="str">
        <f>IF(D3540="","",VLOOKUP(D3540,'General Basis'!$J$39:$K$46,2,0))</f>
        <v/>
      </c>
      <c r="BF3540" s="744" t="str">
        <f>IF(D3540="","",VLOOKUP(D3540,'General Basis'!$J$39:$L$46,3,0))</f>
        <v/>
      </c>
      <c r="BG3540" s="744" t="str">
        <f t="shared" si="1243"/>
        <v/>
      </c>
      <c r="BH3540" s="744" t="str">
        <f>IF(G3540="","",IF(BF3540="Abu Dhabi",IF(G3540&lt;18,'General Basis'!$C$39,IF(G3540&lt;41,'General Basis'!$C$40,IF(G3540&lt;60,'General Basis'!$C$41,IF(G3540&lt;65,'General Basis'!$C$42,'General Basis'!$C$43)))),IF(G3540&lt;11,'General Basis'!$B$39,IF(G3540&lt;18,'General Basis'!$B$40,IF(G3540&lt;26,'General Basis'!$B$41,IF(G3540&lt;31,'General Basis'!$B$42,IF(G3540&lt;36,'General Basis'!$B$43,IF(G3540&lt;41,'General Basis'!$B$44,IF(G3540&lt;46,'General Basis'!$B$45,IF(G3540&lt;51,'General Basis'!$B$46,IF(G3540&lt;56,'General Basis'!$B$47,IF(G3540&lt;60,'General Basis'!$B$48,IF(G3540&lt;65,'General Basis'!$B$49,'General Basis'!$B$50)))))))))))))</f>
        <v/>
      </c>
      <c r="BI3540" s="744" t="str">
        <f t="shared" si="1237"/>
        <v/>
      </c>
      <c r="BJ3540" s="747" t="str">
        <f t="shared" si="1244"/>
        <v/>
      </c>
      <c r="BK3540" s="498" t="str">
        <f t="shared" si="1238"/>
        <v/>
      </c>
      <c r="BL3540" s="498" t="str">
        <f t="shared" si="1239"/>
        <v/>
      </c>
    </row>
    <row r="3541" spans="1:64" x14ac:dyDescent="0.25">
      <c r="A3541" s="762">
        <f t="shared" si="1240"/>
        <v>3536</v>
      </c>
      <c r="B3541" s="229"/>
      <c r="C3541" s="223"/>
      <c r="D3541" s="224"/>
      <c r="E3541" s="225"/>
      <c r="F3541" s="1036" t="str">
        <f t="shared" si="1246"/>
        <v/>
      </c>
      <c r="G3541" s="1037" t="str">
        <f t="shared" si="1241"/>
        <v/>
      </c>
      <c r="H3541" s="225"/>
      <c r="I3541" s="1013"/>
      <c r="J3541" s="1013"/>
      <c r="K3541" s="1028"/>
      <c r="L3541" s="1035" t="str">
        <f t="shared" si="1245"/>
        <v/>
      </c>
      <c r="S3541" s="498"/>
      <c r="AJ3541" s="498"/>
      <c r="AM3541" s="498">
        <f t="shared" si="1226"/>
        <v>0</v>
      </c>
      <c r="AN3541" s="498">
        <f t="shared" si="1227"/>
        <v>0</v>
      </c>
      <c r="AO3541" s="498">
        <f t="shared" si="1228"/>
        <v>0</v>
      </c>
      <c r="AP3541" s="498">
        <f t="shared" si="1247"/>
        <v>0</v>
      </c>
      <c r="AQ3541" s="498">
        <f t="shared" si="1242"/>
        <v>0</v>
      </c>
      <c r="AU3541" s="498">
        <f t="shared" si="1229"/>
        <v>0</v>
      </c>
      <c r="AV3541" s="498">
        <f t="shared" si="1230"/>
        <v>0</v>
      </c>
      <c r="AW3541" s="498">
        <f t="shared" si="1231"/>
        <v>0</v>
      </c>
      <c r="AX3541" s="498">
        <f t="shared" si="1232"/>
        <v>0</v>
      </c>
      <c r="AY3541" s="498">
        <f t="shared" si="1233"/>
        <v>0</v>
      </c>
      <c r="BB3541" s="498" t="str">
        <f t="shared" si="1234"/>
        <v/>
      </c>
      <c r="BC3541" s="743" t="str">
        <f t="shared" si="1235"/>
        <v/>
      </c>
      <c r="BD3541" s="743" t="str">
        <f t="shared" si="1236"/>
        <v/>
      </c>
      <c r="BE3541" s="743" t="str">
        <f>IF(D3541="","",VLOOKUP(D3541,'General Basis'!$J$39:$K$46,2,0))</f>
        <v/>
      </c>
      <c r="BF3541" s="744" t="str">
        <f>IF(D3541="","",VLOOKUP(D3541,'General Basis'!$J$39:$L$46,3,0))</f>
        <v/>
      </c>
      <c r="BG3541" s="744" t="str">
        <f t="shared" si="1243"/>
        <v/>
      </c>
      <c r="BH3541" s="744" t="str">
        <f>IF(G3541="","",IF(BF3541="Abu Dhabi",IF(G3541&lt;18,'General Basis'!$C$39,IF(G3541&lt;41,'General Basis'!$C$40,IF(G3541&lt;60,'General Basis'!$C$41,IF(G3541&lt;65,'General Basis'!$C$42,'General Basis'!$C$43)))),IF(G3541&lt;11,'General Basis'!$B$39,IF(G3541&lt;18,'General Basis'!$B$40,IF(G3541&lt;26,'General Basis'!$B$41,IF(G3541&lt;31,'General Basis'!$B$42,IF(G3541&lt;36,'General Basis'!$B$43,IF(G3541&lt;41,'General Basis'!$B$44,IF(G3541&lt;46,'General Basis'!$B$45,IF(G3541&lt;51,'General Basis'!$B$46,IF(G3541&lt;56,'General Basis'!$B$47,IF(G3541&lt;60,'General Basis'!$B$48,IF(G3541&lt;65,'General Basis'!$B$49,'General Basis'!$B$50)))))))))))))</f>
        <v/>
      </c>
      <c r="BI3541" s="744" t="str">
        <f t="shared" si="1237"/>
        <v/>
      </c>
      <c r="BJ3541" s="747" t="str">
        <f t="shared" si="1244"/>
        <v/>
      </c>
      <c r="BK3541" s="498" t="str">
        <f t="shared" si="1238"/>
        <v/>
      </c>
      <c r="BL3541" s="498" t="str">
        <f t="shared" si="1239"/>
        <v/>
      </c>
    </row>
    <row r="3542" spans="1:64" x14ac:dyDescent="0.25">
      <c r="A3542" s="762">
        <f t="shared" si="1240"/>
        <v>3537</v>
      </c>
      <c r="B3542" s="229"/>
      <c r="C3542" s="223"/>
      <c r="D3542" s="224"/>
      <c r="E3542" s="225"/>
      <c r="F3542" s="1036" t="str">
        <f t="shared" si="1246"/>
        <v/>
      </c>
      <c r="G3542" s="1037" t="str">
        <f t="shared" si="1241"/>
        <v/>
      </c>
      <c r="H3542" s="225"/>
      <c r="I3542" s="1013"/>
      <c r="J3542" s="1013"/>
      <c r="K3542" s="1028"/>
      <c r="L3542" s="1035" t="str">
        <f t="shared" si="1245"/>
        <v/>
      </c>
      <c r="S3542" s="498"/>
      <c r="AJ3542" s="498"/>
      <c r="AM3542" s="498">
        <f t="shared" si="1226"/>
        <v>0</v>
      </c>
      <c r="AN3542" s="498">
        <f t="shared" si="1227"/>
        <v>0</v>
      </c>
      <c r="AO3542" s="498">
        <f t="shared" si="1228"/>
        <v>0</v>
      </c>
      <c r="AP3542" s="498">
        <f t="shared" si="1247"/>
        <v>0</v>
      </c>
      <c r="AQ3542" s="498">
        <f t="shared" si="1242"/>
        <v>0</v>
      </c>
      <c r="AU3542" s="498">
        <f t="shared" si="1229"/>
        <v>0</v>
      </c>
      <c r="AV3542" s="498">
        <f t="shared" si="1230"/>
        <v>0</v>
      </c>
      <c r="AW3542" s="498">
        <f t="shared" si="1231"/>
        <v>0</v>
      </c>
      <c r="AX3542" s="498">
        <f t="shared" si="1232"/>
        <v>0</v>
      </c>
      <c r="AY3542" s="498">
        <f t="shared" si="1233"/>
        <v>0</v>
      </c>
      <c r="BB3542" s="498" t="str">
        <f t="shared" si="1234"/>
        <v/>
      </c>
      <c r="BC3542" s="743" t="str">
        <f t="shared" si="1235"/>
        <v/>
      </c>
      <c r="BD3542" s="743" t="str">
        <f t="shared" si="1236"/>
        <v/>
      </c>
      <c r="BE3542" s="743" t="str">
        <f>IF(D3542="","",VLOOKUP(D3542,'General Basis'!$J$39:$K$46,2,0))</f>
        <v/>
      </c>
      <c r="BF3542" s="744" t="str">
        <f>IF(D3542="","",VLOOKUP(D3542,'General Basis'!$J$39:$L$46,3,0))</f>
        <v/>
      </c>
      <c r="BG3542" s="744" t="str">
        <f t="shared" si="1243"/>
        <v/>
      </c>
      <c r="BH3542" s="744" t="str">
        <f>IF(G3542="","",IF(BF3542="Abu Dhabi",IF(G3542&lt;18,'General Basis'!$C$39,IF(G3542&lt;41,'General Basis'!$C$40,IF(G3542&lt;60,'General Basis'!$C$41,IF(G3542&lt;65,'General Basis'!$C$42,'General Basis'!$C$43)))),IF(G3542&lt;11,'General Basis'!$B$39,IF(G3542&lt;18,'General Basis'!$B$40,IF(G3542&lt;26,'General Basis'!$B$41,IF(G3542&lt;31,'General Basis'!$B$42,IF(G3542&lt;36,'General Basis'!$B$43,IF(G3542&lt;41,'General Basis'!$B$44,IF(G3542&lt;46,'General Basis'!$B$45,IF(G3542&lt;51,'General Basis'!$B$46,IF(G3542&lt;56,'General Basis'!$B$47,IF(G3542&lt;60,'General Basis'!$B$48,IF(G3542&lt;65,'General Basis'!$B$49,'General Basis'!$B$50)))))))))))))</f>
        <v/>
      </c>
      <c r="BI3542" s="744" t="str">
        <f t="shared" si="1237"/>
        <v/>
      </c>
      <c r="BJ3542" s="747" t="str">
        <f t="shared" si="1244"/>
        <v/>
      </c>
      <c r="BK3542" s="498" t="str">
        <f t="shared" si="1238"/>
        <v/>
      </c>
      <c r="BL3542" s="498" t="str">
        <f t="shared" si="1239"/>
        <v/>
      </c>
    </row>
    <row r="3543" spans="1:64" x14ac:dyDescent="0.25">
      <c r="A3543" s="762">
        <f t="shared" si="1240"/>
        <v>3538</v>
      </c>
      <c r="B3543" s="229"/>
      <c r="C3543" s="223"/>
      <c r="D3543" s="224"/>
      <c r="E3543" s="225"/>
      <c r="F3543" s="1036" t="str">
        <f t="shared" si="1246"/>
        <v/>
      </c>
      <c r="G3543" s="1037" t="str">
        <f t="shared" si="1241"/>
        <v/>
      </c>
      <c r="H3543" s="225"/>
      <c r="I3543" s="1013"/>
      <c r="J3543" s="1013"/>
      <c r="K3543" s="1028"/>
      <c r="L3543" s="1035" t="str">
        <f t="shared" si="1245"/>
        <v/>
      </c>
      <c r="S3543" s="498"/>
      <c r="AJ3543" s="498"/>
      <c r="AM3543" s="498">
        <f t="shared" si="1226"/>
        <v>0</v>
      </c>
      <c r="AN3543" s="498">
        <f t="shared" si="1227"/>
        <v>0</v>
      </c>
      <c r="AO3543" s="498">
        <f t="shared" si="1228"/>
        <v>0</v>
      </c>
      <c r="AP3543" s="498">
        <f t="shared" si="1247"/>
        <v>0</v>
      </c>
      <c r="AQ3543" s="498">
        <f t="shared" si="1242"/>
        <v>0</v>
      </c>
      <c r="AU3543" s="498">
        <f t="shared" si="1229"/>
        <v>0</v>
      </c>
      <c r="AV3543" s="498">
        <f t="shared" si="1230"/>
        <v>0</v>
      </c>
      <c r="AW3543" s="498">
        <f t="shared" si="1231"/>
        <v>0</v>
      </c>
      <c r="AX3543" s="498">
        <f t="shared" si="1232"/>
        <v>0</v>
      </c>
      <c r="AY3543" s="498">
        <f t="shared" si="1233"/>
        <v>0</v>
      </c>
      <c r="BB3543" s="498" t="str">
        <f t="shared" si="1234"/>
        <v/>
      </c>
      <c r="BC3543" s="743" t="str">
        <f t="shared" si="1235"/>
        <v/>
      </c>
      <c r="BD3543" s="743" t="str">
        <f t="shared" si="1236"/>
        <v/>
      </c>
      <c r="BE3543" s="743" t="str">
        <f>IF(D3543="","",VLOOKUP(D3543,'General Basis'!$J$39:$K$46,2,0))</f>
        <v/>
      </c>
      <c r="BF3543" s="744" t="str">
        <f>IF(D3543="","",VLOOKUP(D3543,'General Basis'!$J$39:$L$46,3,0))</f>
        <v/>
      </c>
      <c r="BG3543" s="744" t="str">
        <f t="shared" si="1243"/>
        <v/>
      </c>
      <c r="BH3543" s="744" t="str">
        <f>IF(G3543="","",IF(BF3543="Abu Dhabi",IF(G3543&lt;18,'General Basis'!$C$39,IF(G3543&lt;41,'General Basis'!$C$40,IF(G3543&lt;60,'General Basis'!$C$41,IF(G3543&lt;65,'General Basis'!$C$42,'General Basis'!$C$43)))),IF(G3543&lt;11,'General Basis'!$B$39,IF(G3543&lt;18,'General Basis'!$B$40,IF(G3543&lt;26,'General Basis'!$B$41,IF(G3543&lt;31,'General Basis'!$B$42,IF(G3543&lt;36,'General Basis'!$B$43,IF(G3543&lt;41,'General Basis'!$B$44,IF(G3543&lt;46,'General Basis'!$B$45,IF(G3543&lt;51,'General Basis'!$B$46,IF(G3543&lt;56,'General Basis'!$B$47,IF(G3543&lt;60,'General Basis'!$B$48,IF(G3543&lt;65,'General Basis'!$B$49,'General Basis'!$B$50)))))))))))))</f>
        <v/>
      </c>
      <c r="BI3543" s="744" t="str">
        <f t="shared" si="1237"/>
        <v/>
      </c>
      <c r="BJ3543" s="747" t="str">
        <f t="shared" si="1244"/>
        <v/>
      </c>
      <c r="BK3543" s="498" t="str">
        <f t="shared" si="1238"/>
        <v/>
      </c>
      <c r="BL3543" s="498" t="str">
        <f t="shared" si="1239"/>
        <v/>
      </c>
    </row>
    <row r="3544" spans="1:64" x14ac:dyDescent="0.25">
      <c r="A3544" s="762">
        <f t="shared" si="1240"/>
        <v>3539</v>
      </c>
      <c r="B3544" s="229"/>
      <c r="C3544" s="223"/>
      <c r="D3544" s="224"/>
      <c r="E3544" s="225"/>
      <c r="F3544" s="1036" t="str">
        <f t="shared" si="1246"/>
        <v/>
      </c>
      <c r="G3544" s="1037" t="str">
        <f t="shared" si="1241"/>
        <v/>
      </c>
      <c r="H3544" s="225"/>
      <c r="I3544" s="1013"/>
      <c r="J3544" s="1013"/>
      <c r="K3544" s="1028"/>
      <c r="L3544" s="1035" t="str">
        <f t="shared" si="1245"/>
        <v/>
      </c>
      <c r="S3544" s="498"/>
      <c r="AJ3544" s="498"/>
      <c r="AM3544" s="498">
        <f t="shared" si="1226"/>
        <v>0</v>
      </c>
      <c r="AN3544" s="498">
        <f t="shared" si="1227"/>
        <v>0</v>
      </c>
      <c r="AO3544" s="498">
        <f t="shared" si="1228"/>
        <v>0</v>
      </c>
      <c r="AP3544" s="498">
        <f t="shared" si="1247"/>
        <v>0</v>
      </c>
      <c r="AQ3544" s="498">
        <f t="shared" si="1242"/>
        <v>0</v>
      </c>
      <c r="AU3544" s="498">
        <f t="shared" si="1229"/>
        <v>0</v>
      </c>
      <c r="AV3544" s="498">
        <f t="shared" si="1230"/>
        <v>0</v>
      </c>
      <c r="AW3544" s="498">
        <f t="shared" si="1231"/>
        <v>0</v>
      </c>
      <c r="AX3544" s="498">
        <f t="shared" si="1232"/>
        <v>0</v>
      </c>
      <c r="AY3544" s="498">
        <f t="shared" si="1233"/>
        <v>0</v>
      </c>
      <c r="BB3544" s="498" t="str">
        <f t="shared" si="1234"/>
        <v/>
      </c>
      <c r="BC3544" s="743" t="str">
        <f t="shared" si="1235"/>
        <v/>
      </c>
      <c r="BD3544" s="743" t="str">
        <f t="shared" si="1236"/>
        <v/>
      </c>
      <c r="BE3544" s="743" t="str">
        <f>IF(D3544="","",VLOOKUP(D3544,'General Basis'!$J$39:$K$46,2,0))</f>
        <v/>
      </c>
      <c r="BF3544" s="744" t="str">
        <f>IF(D3544="","",VLOOKUP(D3544,'General Basis'!$J$39:$L$46,3,0))</f>
        <v/>
      </c>
      <c r="BG3544" s="744" t="str">
        <f t="shared" si="1243"/>
        <v/>
      </c>
      <c r="BH3544" s="744" t="str">
        <f>IF(G3544="","",IF(BF3544="Abu Dhabi",IF(G3544&lt;18,'General Basis'!$C$39,IF(G3544&lt;41,'General Basis'!$C$40,IF(G3544&lt;60,'General Basis'!$C$41,IF(G3544&lt;65,'General Basis'!$C$42,'General Basis'!$C$43)))),IF(G3544&lt;11,'General Basis'!$B$39,IF(G3544&lt;18,'General Basis'!$B$40,IF(G3544&lt;26,'General Basis'!$B$41,IF(G3544&lt;31,'General Basis'!$B$42,IF(G3544&lt;36,'General Basis'!$B$43,IF(G3544&lt;41,'General Basis'!$B$44,IF(G3544&lt;46,'General Basis'!$B$45,IF(G3544&lt;51,'General Basis'!$B$46,IF(G3544&lt;56,'General Basis'!$B$47,IF(G3544&lt;60,'General Basis'!$B$48,IF(G3544&lt;65,'General Basis'!$B$49,'General Basis'!$B$50)))))))))))))</f>
        <v/>
      </c>
      <c r="BI3544" s="744" t="str">
        <f t="shared" si="1237"/>
        <v/>
      </c>
      <c r="BJ3544" s="747" t="str">
        <f t="shared" si="1244"/>
        <v/>
      </c>
      <c r="BK3544" s="498" t="str">
        <f t="shared" si="1238"/>
        <v/>
      </c>
      <c r="BL3544" s="498" t="str">
        <f t="shared" si="1239"/>
        <v/>
      </c>
    </row>
    <row r="3545" spans="1:64" x14ac:dyDescent="0.25">
      <c r="A3545" s="762">
        <f t="shared" si="1240"/>
        <v>3540</v>
      </c>
      <c r="B3545" s="229"/>
      <c r="C3545" s="223"/>
      <c r="D3545" s="224"/>
      <c r="E3545" s="225"/>
      <c r="F3545" s="1036" t="str">
        <f t="shared" si="1246"/>
        <v/>
      </c>
      <c r="G3545" s="1037" t="str">
        <f t="shared" si="1241"/>
        <v/>
      </c>
      <c r="H3545" s="225"/>
      <c r="I3545" s="1013"/>
      <c r="J3545" s="1013"/>
      <c r="K3545" s="1028"/>
      <c r="L3545" s="1035" t="str">
        <f t="shared" si="1245"/>
        <v/>
      </c>
      <c r="S3545" s="498"/>
      <c r="AJ3545" s="498"/>
      <c r="AM3545" s="498">
        <f t="shared" si="1226"/>
        <v>0</v>
      </c>
      <c r="AN3545" s="498">
        <f t="shared" si="1227"/>
        <v>0</v>
      </c>
      <c r="AO3545" s="498">
        <f t="shared" si="1228"/>
        <v>0</v>
      </c>
      <c r="AP3545" s="498">
        <f t="shared" si="1247"/>
        <v>0</v>
      </c>
      <c r="AQ3545" s="498">
        <f t="shared" si="1242"/>
        <v>0</v>
      </c>
      <c r="AU3545" s="498">
        <f t="shared" si="1229"/>
        <v>0</v>
      </c>
      <c r="AV3545" s="498">
        <f t="shared" si="1230"/>
        <v>0</v>
      </c>
      <c r="AW3545" s="498">
        <f t="shared" si="1231"/>
        <v>0</v>
      </c>
      <c r="AX3545" s="498">
        <f t="shared" si="1232"/>
        <v>0</v>
      </c>
      <c r="AY3545" s="498">
        <f t="shared" si="1233"/>
        <v>0</v>
      </c>
      <c r="BB3545" s="498" t="str">
        <f t="shared" si="1234"/>
        <v/>
      </c>
      <c r="BC3545" s="743" t="str">
        <f t="shared" si="1235"/>
        <v/>
      </c>
      <c r="BD3545" s="743" t="str">
        <f t="shared" si="1236"/>
        <v/>
      </c>
      <c r="BE3545" s="743" t="str">
        <f>IF(D3545="","",VLOOKUP(D3545,'General Basis'!$J$39:$K$46,2,0))</f>
        <v/>
      </c>
      <c r="BF3545" s="744" t="str">
        <f>IF(D3545="","",VLOOKUP(D3545,'General Basis'!$J$39:$L$46,3,0))</f>
        <v/>
      </c>
      <c r="BG3545" s="744" t="str">
        <f t="shared" si="1243"/>
        <v/>
      </c>
      <c r="BH3545" s="744" t="str">
        <f>IF(G3545="","",IF(BF3545="Abu Dhabi",IF(G3545&lt;18,'General Basis'!$C$39,IF(G3545&lt;41,'General Basis'!$C$40,IF(G3545&lt;60,'General Basis'!$C$41,IF(G3545&lt;65,'General Basis'!$C$42,'General Basis'!$C$43)))),IF(G3545&lt;11,'General Basis'!$B$39,IF(G3545&lt;18,'General Basis'!$B$40,IF(G3545&lt;26,'General Basis'!$B$41,IF(G3545&lt;31,'General Basis'!$B$42,IF(G3545&lt;36,'General Basis'!$B$43,IF(G3545&lt;41,'General Basis'!$B$44,IF(G3545&lt;46,'General Basis'!$B$45,IF(G3545&lt;51,'General Basis'!$B$46,IF(G3545&lt;56,'General Basis'!$B$47,IF(G3545&lt;60,'General Basis'!$B$48,IF(G3545&lt;65,'General Basis'!$B$49,'General Basis'!$B$50)))))))))))))</f>
        <v/>
      </c>
      <c r="BI3545" s="744" t="str">
        <f t="shared" si="1237"/>
        <v/>
      </c>
      <c r="BJ3545" s="747" t="str">
        <f t="shared" si="1244"/>
        <v/>
      </c>
      <c r="BK3545" s="498" t="str">
        <f t="shared" si="1238"/>
        <v/>
      </c>
      <c r="BL3545" s="498" t="str">
        <f t="shared" si="1239"/>
        <v/>
      </c>
    </row>
    <row r="3546" spans="1:64" x14ac:dyDescent="0.25">
      <c r="A3546" s="762">
        <f t="shared" si="1240"/>
        <v>3541</v>
      </c>
      <c r="B3546" s="229"/>
      <c r="C3546" s="223"/>
      <c r="D3546" s="224"/>
      <c r="E3546" s="225"/>
      <c r="F3546" s="1036" t="str">
        <f t="shared" si="1246"/>
        <v/>
      </c>
      <c r="G3546" s="1037" t="str">
        <f t="shared" si="1241"/>
        <v/>
      </c>
      <c r="H3546" s="225"/>
      <c r="I3546" s="1013"/>
      <c r="J3546" s="1013"/>
      <c r="K3546" s="1028"/>
      <c r="L3546" s="1035" t="str">
        <f t="shared" si="1245"/>
        <v/>
      </c>
      <c r="S3546" s="498"/>
      <c r="AJ3546" s="498"/>
      <c r="AM3546" s="498">
        <f t="shared" si="1226"/>
        <v>0</v>
      </c>
      <c r="AN3546" s="498">
        <f t="shared" si="1227"/>
        <v>0</v>
      </c>
      <c r="AO3546" s="498">
        <f t="shared" si="1228"/>
        <v>0</v>
      </c>
      <c r="AP3546" s="498">
        <f t="shared" si="1247"/>
        <v>0</v>
      </c>
      <c r="AQ3546" s="498">
        <f t="shared" si="1242"/>
        <v>0</v>
      </c>
      <c r="AU3546" s="498">
        <f t="shared" si="1229"/>
        <v>0</v>
      </c>
      <c r="AV3546" s="498">
        <f t="shared" si="1230"/>
        <v>0</v>
      </c>
      <c r="AW3546" s="498">
        <f t="shared" si="1231"/>
        <v>0</v>
      </c>
      <c r="AX3546" s="498">
        <f t="shared" si="1232"/>
        <v>0</v>
      </c>
      <c r="AY3546" s="498">
        <f t="shared" si="1233"/>
        <v>0</v>
      </c>
      <c r="BB3546" s="498" t="str">
        <f t="shared" si="1234"/>
        <v/>
      </c>
      <c r="BC3546" s="743" t="str">
        <f t="shared" si="1235"/>
        <v/>
      </c>
      <c r="BD3546" s="743" t="str">
        <f t="shared" si="1236"/>
        <v/>
      </c>
      <c r="BE3546" s="743" t="str">
        <f>IF(D3546="","",VLOOKUP(D3546,'General Basis'!$J$39:$K$46,2,0))</f>
        <v/>
      </c>
      <c r="BF3546" s="744" t="str">
        <f>IF(D3546="","",VLOOKUP(D3546,'General Basis'!$J$39:$L$46,3,0))</f>
        <v/>
      </c>
      <c r="BG3546" s="744" t="str">
        <f t="shared" si="1243"/>
        <v/>
      </c>
      <c r="BH3546" s="744" t="str">
        <f>IF(G3546="","",IF(BF3546="Abu Dhabi",IF(G3546&lt;18,'General Basis'!$C$39,IF(G3546&lt;41,'General Basis'!$C$40,IF(G3546&lt;60,'General Basis'!$C$41,IF(G3546&lt;65,'General Basis'!$C$42,'General Basis'!$C$43)))),IF(G3546&lt;11,'General Basis'!$B$39,IF(G3546&lt;18,'General Basis'!$B$40,IF(G3546&lt;26,'General Basis'!$B$41,IF(G3546&lt;31,'General Basis'!$B$42,IF(G3546&lt;36,'General Basis'!$B$43,IF(G3546&lt;41,'General Basis'!$B$44,IF(G3546&lt;46,'General Basis'!$B$45,IF(G3546&lt;51,'General Basis'!$B$46,IF(G3546&lt;56,'General Basis'!$B$47,IF(G3546&lt;60,'General Basis'!$B$48,IF(G3546&lt;65,'General Basis'!$B$49,'General Basis'!$B$50)))))))))))))</f>
        <v/>
      </c>
      <c r="BI3546" s="744" t="str">
        <f t="shared" si="1237"/>
        <v/>
      </c>
      <c r="BJ3546" s="747" t="str">
        <f t="shared" si="1244"/>
        <v/>
      </c>
      <c r="BK3546" s="498" t="str">
        <f t="shared" si="1238"/>
        <v/>
      </c>
      <c r="BL3546" s="498" t="str">
        <f t="shared" si="1239"/>
        <v/>
      </c>
    </row>
    <row r="3547" spans="1:64" x14ac:dyDescent="0.25">
      <c r="A3547" s="762">
        <f t="shared" si="1240"/>
        <v>3542</v>
      </c>
      <c r="B3547" s="229"/>
      <c r="C3547" s="223"/>
      <c r="D3547" s="224"/>
      <c r="E3547" s="225"/>
      <c r="F3547" s="1036" t="str">
        <f t="shared" si="1246"/>
        <v/>
      </c>
      <c r="G3547" s="1037" t="str">
        <f t="shared" si="1241"/>
        <v/>
      </c>
      <c r="H3547" s="225"/>
      <c r="I3547" s="1013"/>
      <c r="J3547" s="1013"/>
      <c r="K3547" s="1028"/>
      <c r="L3547" s="1035" t="str">
        <f t="shared" si="1245"/>
        <v/>
      </c>
      <c r="S3547" s="498"/>
      <c r="AJ3547" s="498"/>
      <c r="AM3547" s="498">
        <f t="shared" si="1226"/>
        <v>0</v>
      </c>
      <c r="AN3547" s="498">
        <f t="shared" si="1227"/>
        <v>0</v>
      </c>
      <c r="AO3547" s="498">
        <f t="shared" si="1228"/>
        <v>0</v>
      </c>
      <c r="AP3547" s="498">
        <f t="shared" si="1247"/>
        <v>0</v>
      </c>
      <c r="AQ3547" s="498">
        <f t="shared" si="1242"/>
        <v>0</v>
      </c>
      <c r="AU3547" s="498">
        <f t="shared" si="1229"/>
        <v>0</v>
      </c>
      <c r="AV3547" s="498">
        <f t="shared" si="1230"/>
        <v>0</v>
      </c>
      <c r="AW3547" s="498">
        <f t="shared" si="1231"/>
        <v>0</v>
      </c>
      <c r="AX3547" s="498">
        <f t="shared" si="1232"/>
        <v>0</v>
      </c>
      <c r="AY3547" s="498">
        <f t="shared" si="1233"/>
        <v>0</v>
      </c>
      <c r="BB3547" s="498" t="str">
        <f t="shared" si="1234"/>
        <v/>
      </c>
      <c r="BC3547" s="743" t="str">
        <f t="shared" si="1235"/>
        <v/>
      </c>
      <c r="BD3547" s="743" t="str">
        <f t="shared" si="1236"/>
        <v/>
      </c>
      <c r="BE3547" s="743" t="str">
        <f>IF(D3547="","",VLOOKUP(D3547,'General Basis'!$J$39:$K$46,2,0))</f>
        <v/>
      </c>
      <c r="BF3547" s="744" t="str">
        <f>IF(D3547="","",VLOOKUP(D3547,'General Basis'!$J$39:$L$46,3,0))</f>
        <v/>
      </c>
      <c r="BG3547" s="744" t="str">
        <f t="shared" si="1243"/>
        <v/>
      </c>
      <c r="BH3547" s="744" t="str">
        <f>IF(G3547="","",IF(BF3547="Abu Dhabi",IF(G3547&lt;18,'General Basis'!$C$39,IF(G3547&lt;41,'General Basis'!$C$40,IF(G3547&lt;60,'General Basis'!$C$41,IF(G3547&lt;65,'General Basis'!$C$42,'General Basis'!$C$43)))),IF(G3547&lt;11,'General Basis'!$B$39,IF(G3547&lt;18,'General Basis'!$B$40,IF(G3547&lt;26,'General Basis'!$B$41,IF(G3547&lt;31,'General Basis'!$B$42,IF(G3547&lt;36,'General Basis'!$B$43,IF(G3547&lt;41,'General Basis'!$B$44,IF(G3547&lt;46,'General Basis'!$B$45,IF(G3547&lt;51,'General Basis'!$B$46,IF(G3547&lt;56,'General Basis'!$B$47,IF(G3547&lt;60,'General Basis'!$B$48,IF(G3547&lt;65,'General Basis'!$B$49,'General Basis'!$B$50)))))))))))))</f>
        <v/>
      </c>
      <c r="BI3547" s="744" t="str">
        <f t="shared" si="1237"/>
        <v/>
      </c>
      <c r="BJ3547" s="747" t="str">
        <f t="shared" si="1244"/>
        <v/>
      </c>
      <c r="BK3547" s="498" t="str">
        <f t="shared" si="1238"/>
        <v/>
      </c>
      <c r="BL3547" s="498" t="str">
        <f t="shared" si="1239"/>
        <v/>
      </c>
    </row>
    <row r="3548" spans="1:64" x14ac:dyDescent="0.25">
      <c r="A3548" s="762">
        <f t="shared" si="1240"/>
        <v>3543</v>
      </c>
      <c r="B3548" s="229"/>
      <c r="C3548" s="223"/>
      <c r="D3548" s="224"/>
      <c r="E3548" s="225"/>
      <c r="F3548" s="1036" t="str">
        <f t="shared" si="1246"/>
        <v/>
      </c>
      <c r="G3548" s="1037" t="str">
        <f t="shared" si="1241"/>
        <v/>
      </c>
      <c r="H3548" s="225"/>
      <c r="I3548" s="1013"/>
      <c r="J3548" s="1013"/>
      <c r="K3548" s="1028"/>
      <c r="L3548" s="1035" t="str">
        <f t="shared" si="1245"/>
        <v/>
      </c>
      <c r="S3548" s="498"/>
      <c r="AJ3548" s="498"/>
      <c r="AM3548" s="498">
        <f t="shared" si="1226"/>
        <v>0</v>
      </c>
      <c r="AN3548" s="498">
        <f t="shared" si="1227"/>
        <v>0</v>
      </c>
      <c r="AO3548" s="498">
        <f t="shared" si="1228"/>
        <v>0</v>
      </c>
      <c r="AP3548" s="498">
        <f t="shared" si="1247"/>
        <v>0</v>
      </c>
      <c r="AQ3548" s="498">
        <f t="shared" si="1242"/>
        <v>0</v>
      </c>
      <c r="AU3548" s="498">
        <f t="shared" si="1229"/>
        <v>0</v>
      </c>
      <c r="AV3548" s="498">
        <f t="shared" si="1230"/>
        <v>0</v>
      </c>
      <c r="AW3548" s="498">
        <f t="shared" si="1231"/>
        <v>0</v>
      </c>
      <c r="AX3548" s="498">
        <f t="shared" si="1232"/>
        <v>0</v>
      </c>
      <c r="AY3548" s="498">
        <f t="shared" si="1233"/>
        <v>0</v>
      </c>
      <c r="BB3548" s="498" t="str">
        <f t="shared" si="1234"/>
        <v/>
      </c>
      <c r="BC3548" s="743" t="str">
        <f t="shared" si="1235"/>
        <v/>
      </c>
      <c r="BD3548" s="743" t="str">
        <f t="shared" si="1236"/>
        <v/>
      </c>
      <c r="BE3548" s="743" t="str">
        <f>IF(D3548="","",VLOOKUP(D3548,'General Basis'!$J$39:$K$46,2,0))</f>
        <v/>
      </c>
      <c r="BF3548" s="744" t="str">
        <f>IF(D3548="","",VLOOKUP(D3548,'General Basis'!$J$39:$L$46,3,0))</f>
        <v/>
      </c>
      <c r="BG3548" s="744" t="str">
        <f t="shared" si="1243"/>
        <v/>
      </c>
      <c r="BH3548" s="744" t="str">
        <f>IF(G3548="","",IF(BF3548="Abu Dhabi",IF(G3548&lt;18,'General Basis'!$C$39,IF(G3548&lt;41,'General Basis'!$C$40,IF(G3548&lt;60,'General Basis'!$C$41,IF(G3548&lt;65,'General Basis'!$C$42,'General Basis'!$C$43)))),IF(G3548&lt;11,'General Basis'!$B$39,IF(G3548&lt;18,'General Basis'!$B$40,IF(G3548&lt;26,'General Basis'!$B$41,IF(G3548&lt;31,'General Basis'!$B$42,IF(G3548&lt;36,'General Basis'!$B$43,IF(G3548&lt;41,'General Basis'!$B$44,IF(G3548&lt;46,'General Basis'!$B$45,IF(G3548&lt;51,'General Basis'!$B$46,IF(G3548&lt;56,'General Basis'!$B$47,IF(G3548&lt;60,'General Basis'!$B$48,IF(G3548&lt;65,'General Basis'!$B$49,'General Basis'!$B$50)))))))))))))</f>
        <v/>
      </c>
      <c r="BI3548" s="744" t="str">
        <f t="shared" si="1237"/>
        <v/>
      </c>
      <c r="BJ3548" s="747" t="str">
        <f t="shared" si="1244"/>
        <v/>
      </c>
      <c r="BK3548" s="498" t="str">
        <f t="shared" si="1238"/>
        <v/>
      </c>
      <c r="BL3548" s="498" t="str">
        <f t="shared" si="1239"/>
        <v/>
      </c>
    </row>
    <row r="3549" spans="1:64" x14ac:dyDescent="0.25">
      <c r="A3549" s="762">
        <f t="shared" si="1240"/>
        <v>3544</v>
      </c>
      <c r="B3549" s="229"/>
      <c r="C3549" s="223"/>
      <c r="D3549" s="224"/>
      <c r="E3549" s="225"/>
      <c r="F3549" s="1036" t="str">
        <f t="shared" si="1246"/>
        <v/>
      </c>
      <c r="G3549" s="1037" t="str">
        <f t="shared" si="1241"/>
        <v/>
      </c>
      <c r="H3549" s="225"/>
      <c r="I3549" s="1013"/>
      <c r="J3549" s="1013"/>
      <c r="K3549" s="1028"/>
      <c r="L3549" s="1035" t="str">
        <f t="shared" si="1245"/>
        <v/>
      </c>
      <c r="S3549" s="498"/>
      <c r="AJ3549" s="498"/>
      <c r="AM3549" s="498">
        <f t="shared" si="1226"/>
        <v>0</v>
      </c>
      <c r="AN3549" s="498">
        <f t="shared" si="1227"/>
        <v>0</v>
      </c>
      <c r="AO3549" s="498">
        <f t="shared" si="1228"/>
        <v>0</v>
      </c>
      <c r="AP3549" s="498">
        <f t="shared" si="1247"/>
        <v>0</v>
      </c>
      <c r="AQ3549" s="498">
        <f t="shared" si="1242"/>
        <v>0</v>
      </c>
      <c r="AU3549" s="498">
        <f t="shared" si="1229"/>
        <v>0</v>
      </c>
      <c r="AV3549" s="498">
        <f t="shared" si="1230"/>
        <v>0</v>
      </c>
      <c r="AW3549" s="498">
        <f t="shared" si="1231"/>
        <v>0</v>
      </c>
      <c r="AX3549" s="498">
        <f t="shared" si="1232"/>
        <v>0</v>
      </c>
      <c r="AY3549" s="498">
        <f t="shared" si="1233"/>
        <v>0</v>
      </c>
      <c r="BB3549" s="498" t="str">
        <f t="shared" si="1234"/>
        <v/>
      </c>
      <c r="BC3549" s="743" t="str">
        <f t="shared" si="1235"/>
        <v/>
      </c>
      <c r="BD3549" s="743" t="str">
        <f t="shared" si="1236"/>
        <v/>
      </c>
      <c r="BE3549" s="743" t="str">
        <f>IF(D3549="","",VLOOKUP(D3549,'General Basis'!$J$39:$K$46,2,0))</f>
        <v/>
      </c>
      <c r="BF3549" s="744" t="str">
        <f>IF(D3549="","",VLOOKUP(D3549,'General Basis'!$J$39:$L$46,3,0))</f>
        <v/>
      </c>
      <c r="BG3549" s="744" t="str">
        <f t="shared" si="1243"/>
        <v/>
      </c>
      <c r="BH3549" s="744" t="str">
        <f>IF(G3549="","",IF(BF3549="Abu Dhabi",IF(G3549&lt;18,'General Basis'!$C$39,IF(G3549&lt;41,'General Basis'!$C$40,IF(G3549&lt;60,'General Basis'!$C$41,IF(G3549&lt;65,'General Basis'!$C$42,'General Basis'!$C$43)))),IF(G3549&lt;11,'General Basis'!$B$39,IF(G3549&lt;18,'General Basis'!$B$40,IF(G3549&lt;26,'General Basis'!$B$41,IF(G3549&lt;31,'General Basis'!$B$42,IF(G3549&lt;36,'General Basis'!$B$43,IF(G3549&lt;41,'General Basis'!$B$44,IF(G3549&lt;46,'General Basis'!$B$45,IF(G3549&lt;51,'General Basis'!$B$46,IF(G3549&lt;56,'General Basis'!$B$47,IF(G3549&lt;60,'General Basis'!$B$48,IF(G3549&lt;65,'General Basis'!$B$49,'General Basis'!$B$50)))))))))))))</f>
        <v/>
      </c>
      <c r="BI3549" s="744" t="str">
        <f t="shared" si="1237"/>
        <v/>
      </c>
      <c r="BJ3549" s="747" t="str">
        <f t="shared" si="1244"/>
        <v/>
      </c>
      <c r="BK3549" s="498" t="str">
        <f t="shared" si="1238"/>
        <v/>
      </c>
      <c r="BL3549" s="498" t="str">
        <f t="shared" si="1239"/>
        <v/>
      </c>
    </row>
    <row r="3550" spans="1:64" x14ac:dyDescent="0.25">
      <c r="A3550" s="762">
        <f t="shared" si="1240"/>
        <v>3545</v>
      </c>
      <c r="B3550" s="229"/>
      <c r="C3550" s="223"/>
      <c r="D3550" s="224"/>
      <c r="E3550" s="225"/>
      <c r="F3550" s="1036" t="str">
        <f t="shared" si="1246"/>
        <v/>
      </c>
      <c r="G3550" s="1037" t="str">
        <f t="shared" si="1241"/>
        <v/>
      </c>
      <c r="H3550" s="225"/>
      <c r="I3550" s="1013"/>
      <c r="J3550" s="1013"/>
      <c r="K3550" s="1028"/>
      <c r="L3550" s="1035" t="str">
        <f t="shared" si="1245"/>
        <v/>
      </c>
      <c r="S3550" s="498"/>
      <c r="AJ3550" s="498"/>
      <c r="AM3550" s="498">
        <f t="shared" si="1226"/>
        <v>0</v>
      </c>
      <c r="AN3550" s="498">
        <f t="shared" si="1227"/>
        <v>0</v>
      </c>
      <c r="AO3550" s="498">
        <f t="shared" si="1228"/>
        <v>0</v>
      </c>
      <c r="AP3550" s="498">
        <f t="shared" si="1247"/>
        <v>0</v>
      </c>
      <c r="AQ3550" s="498">
        <f t="shared" si="1242"/>
        <v>0</v>
      </c>
      <c r="AU3550" s="498">
        <f t="shared" si="1229"/>
        <v>0</v>
      </c>
      <c r="AV3550" s="498">
        <f t="shared" si="1230"/>
        <v>0</v>
      </c>
      <c r="AW3550" s="498">
        <f t="shared" si="1231"/>
        <v>0</v>
      </c>
      <c r="AX3550" s="498">
        <f t="shared" si="1232"/>
        <v>0</v>
      </c>
      <c r="AY3550" s="498">
        <f t="shared" si="1233"/>
        <v>0</v>
      </c>
      <c r="BB3550" s="498" t="str">
        <f t="shared" si="1234"/>
        <v/>
      </c>
      <c r="BC3550" s="743" t="str">
        <f t="shared" si="1235"/>
        <v/>
      </c>
      <c r="BD3550" s="743" t="str">
        <f t="shared" si="1236"/>
        <v/>
      </c>
      <c r="BE3550" s="743" t="str">
        <f>IF(D3550="","",VLOOKUP(D3550,'General Basis'!$J$39:$K$46,2,0))</f>
        <v/>
      </c>
      <c r="BF3550" s="744" t="str">
        <f>IF(D3550="","",VLOOKUP(D3550,'General Basis'!$J$39:$L$46,3,0))</f>
        <v/>
      </c>
      <c r="BG3550" s="744" t="str">
        <f t="shared" si="1243"/>
        <v/>
      </c>
      <c r="BH3550" s="744" t="str">
        <f>IF(G3550="","",IF(BF3550="Abu Dhabi",IF(G3550&lt;18,'General Basis'!$C$39,IF(G3550&lt;41,'General Basis'!$C$40,IF(G3550&lt;60,'General Basis'!$C$41,IF(G3550&lt;65,'General Basis'!$C$42,'General Basis'!$C$43)))),IF(G3550&lt;11,'General Basis'!$B$39,IF(G3550&lt;18,'General Basis'!$B$40,IF(G3550&lt;26,'General Basis'!$B$41,IF(G3550&lt;31,'General Basis'!$B$42,IF(G3550&lt;36,'General Basis'!$B$43,IF(G3550&lt;41,'General Basis'!$B$44,IF(G3550&lt;46,'General Basis'!$B$45,IF(G3550&lt;51,'General Basis'!$B$46,IF(G3550&lt;56,'General Basis'!$B$47,IF(G3550&lt;60,'General Basis'!$B$48,IF(G3550&lt;65,'General Basis'!$B$49,'General Basis'!$B$50)))))))))))))</f>
        <v/>
      </c>
      <c r="BI3550" s="744" t="str">
        <f t="shared" si="1237"/>
        <v/>
      </c>
      <c r="BJ3550" s="747" t="str">
        <f t="shared" si="1244"/>
        <v/>
      </c>
      <c r="BK3550" s="498" t="str">
        <f t="shared" si="1238"/>
        <v/>
      </c>
      <c r="BL3550" s="498" t="str">
        <f t="shared" si="1239"/>
        <v/>
      </c>
    </row>
    <row r="3551" spans="1:64" x14ac:dyDescent="0.25">
      <c r="A3551" s="762">
        <f t="shared" si="1240"/>
        <v>3546</v>
      </c>
      <c r="B3551" s="229"/>
      <c r="C3551" s="223"/>
      <c r="D3551" s="224"/>
      <c r="E3551" s="225"/>
      <c r="F3551" s="1036" t="str">
        <f t="shared" si="1246"/>
        <v/>
      </c>
      <c r="G3551" s="1037" t="str">
        <f t="shared" si="1241"/>
        <v/>
      </c>
      <c r="H3551" s="225"/>
      <c r="I3551" s="1013"/>
      <c r="J3551" s="1013"/>
      <c r="K3551" s="1028"/>
      <c r="L3551" s="1035" t="str">
        <f t="shared" si="1245"/>
        <v/>
      </c>
      <c r="S3551" s="498"/>
      <c r="AJ3551" s="498"/>
      <c r="AM3551" s="498">
        <f t="shared" si="1226"/>
        <v>0</v>
      </c>
      <c r="AN3551" s="498">
        <f t="shared" si="1227"/>
        <v>0</v>
      </c>
      <c r="AO3551" s="498">
        <f t="shared" si="1228"/>
        <v>0</v>
      </c>
      <c r="AP3551" s="498">
        <f t="shared" si="1247"/>
        <v>0</v>
      </c>
      <c r="AQ3551" s="498">
        <f t="shared" si="1242"/>
        <v>0</v>
      </c>
      <c r="AU3551" s="498">
        <f t="shared" si="1229"/>
        <v>0</v>
      </c>
      <c r="AV3551" s="498">
        <f t="shared" si="1230"/>
        <v>0</v>
      </c>
      <c r="AW3551" s="498">
        <f t="shared" si="1231"/>
        <v>0</v>
      </c>
      <c r="AX3551" s="498">
        <f t="shared" si="1232"/>
        <v>0</v>
      </c>
      <c r="AY3551" s="498">
        <f t="shared" si="1233"/>
        <v>0</v>
      </c>
      <c r="BB3551" s="498" t="str">
        <f t="shared" si="1234"/>
        <v/>
      </c>
      <c r="BC3551" s="743" t="str">
        <f t="shared" si="1235"/>
        <v/>
      </c>
      <c r="BD3551" s="743" t="str">
        <f t="shared" si="1236"/>
        <v/>
      </c>
      <c r="BE3551" s="743" t="str">
        <f>IF(D3551="","",VLOOKUP(D3551,'General Basis'!$J$39:$K$46,2,0))</f>
        <v/>
      </c>
      <c r="BF3551" s="744" t="str">
        <f>IF(D3551="","",VLOOKUP(D3551,'General Basis'!$J$39:$L$46,3,0))</f>
        <v/>
      </c>
      <c r="BG3551" s="744" t="str">
        <f t="shared" si="1243"/>
        <v/>
      </c>
      <c r="BH3551" s="744" t="str">
        <f>IF(G3551="","",IF(BF3551="Abu Dhabi",IF(G3551&lt;18,'General Basis'!$C$39,IF(G3551&lt;41,'General Basis'!$C$40,IF(G3551&lt;60,'General Basis'!$C$41,IF(G3551&lt;65,'General Basis'!$C$42,'General Basis'!$C$43)))),IF(G3551&lt;11,'General Basis'!$B$39,IF(G3551&lt;18,'General Basis'!$B$40,IF(G3551&lt;26,'General Basis'!$B$41,IF(G3551&lt;31,'General Basis'!$B$42,IF(G3551&lt;36,'General Basis'!$B$43,IF(G3551&lt;41,'General Basis'!$B$44,IF(G3551&lt;46,'General Basis'!$B$45,IF(G3551&lt;51,'General Basis'!$B$46,IF(G3551&lt;56,'General Basis'!$B$47,IF(G3551&lt;60,'General Basis'!$B$48,IF(G3551&lt;65,'General Basis'!$B$49,'General Basis'!$B$50)))))))))))))</f>
        <v/>
      </c>
      <c r="BI3551" s="744" t="str">
        <f t="shared" si="1237"/>
        <v/>
      </c>
      <c r="BJ3551" s="747" t="str">
        <f t="shared" si="1244"/>
        <v/>
      </c>
      <c r="BK3551" s="498" t="str">
        <f t="shared" si="1238"/>
        <v/>
      </c>
      <c r="BL3551" s="498" t="str">
        <f t="shared" si="1239"/>
        <v/>
      </c>
    </row>
    <row r="3552" spans="1:64" x14ac:dyDescent="0.25">
      <c r="A3552" s="762">
        <f t="shared" si="1240"/>
        <v>3547</v>
      </c>
      <c r="B3552" s="229"/>
      <c r="C3552" s="223"/>
      <c r="D3552" s="224"/>
      <c r="E3552" s="225"/>
      <c r="F3552" s="1036" t="str">
        <f t="shared" si="1246"/>
        <v/>
      </c>
      <c r="G3552" s="1037" t="str">
        <f t="shared" si="1241"/>
        <v/>
      </c>
      <c r="H3552" s="225"/>
      <c r="I3552" s="1013"/>
      <c r="J3552" s="1013"/>
      <c r="K3552" s="1028"/>
      <c r="L3552" s="1035" t="str">
        <f t="shared" si="1245"/>
        <v/>
      </c>
      <c r="S3552" s="498"/>
      <c r="AJ3552" s="498"/>
      <c r="AM3552" s="498">
        <f t="shared" si="1226"/>
        <v>0</v>
      </c>
      <c r="AN3552" s="498">
        <f t="shared" si="1227"/>
        <v>0</v>
      </c>
      <c r="AO3552" s="498">
        <f t="shared" si="1228"/>
        <v>0</v>
      </c>
      <c r="AP3552" s="498">
        <f t="shared" si="1247"/>
        <v>0</v>
      </c>
      <c r="AQ3552" s="498">
        <f t="shared" si="1242"/>
        <v>0</v>
      </c>
      <c r="AU3552" s="498">
        <f t="shared" si="1229"/>
        <v>0</v>
      </c>
      <c r="AV3552" s="498">
        <f t="shared" si="1230"/>
        <v>0</v>
      </c>
      <c r="AW3552" s="498">
        <f t="shared" si="1231"/>
        <v>0</v>
      </c>
      <c r="AX3552" s="498">
        <f t="shared" si="1232"/>
        <v>0</v>
      </c>
      <c r="AY3552" s="498">
        <f t="shared" si="1233"/>
        <v>0</v>
      </c>
      <c r="BB3552" s="498" t="str">
        <f t="shared" si="1234"/>
        <v/>
      </c>
      <c r="BC3552" s="743" t="str">
        <f t="shared" si="1235"/>
        <v/>
      </c>
      <c r="BD3552" s="743" t="str">
        <f t="shared" si="1236"/>
        <v/>
      </c>
      <c r="BE3552" s="743" t="str">
        <f>IF(D3552="","",VLOOKUP(D3552,'General Basis'!$J$39:$K$46,2,0))</f>
        <v/>
      </c>
      <c r="BF3552" s="744" t="str">
        <f>IF(D3552="","",VLOOKUP(D3552,'General Basis'!$J$39:$L$46,3,0))</f>
        <v/>
      </c>
      <c r="BG3552" s="744" t="str">
        <f t="shared" si="1243"/>
        <v/>
      </c>
      <c r="BH3552" s="744" t="str">
        <f>IF(G3552="","",IF(BF3552="Abu Dhabi",IF(G3552&lt;18,'General Basis'!$C$39,IF(G3552&lt;41,'General Basis'!$C$40,IF(G3552&lt;60,'General Basis'!$C$41,IF(G3552&lt;65,'General Basis'!$C$42,'General Basis'!$C$43)))),IF(G3552&lt;11,'General Basis'!$B$39,IF(G3552&lt;18,'General Basis'!$B$40,IF(G3552&lt;26,'General Basis'!$B$41,IF(G3552&lt;31,'General Basis'!$B$42,IF(G3552&lt;36,'General Basis'!$B$43,IF(G3552&lt;41,'General Basis'!$B$44,IF(G3552&lt;46,'General Basis'!$B$45,IF(G3552&lt;51,'General Basis'!$B$46,IF(G3552&lt;56,'General Basis'!$B$47,IF(G3552&lt;60,'General Basis'!$B$48,IF(G3552&lt;65,'General Basis'!$B$49,'General Basis'!$B$50)))))))))))))</f>
        <v/>
      </c>
      <c r="BI3552" s="744" t="str">
        <f t="shared" si="1237"/>
        <v/>
      </c>
      <c r="BJ3552" s="747" t="str">
        <f t="shared" si="1244"/>
        <v/>
      </c>
      <c r="BK3552" s="498" t="str">
        <f t="shared" si="1238"/>
        <v/>
      </c>
      <c r="BL3552" s="498" t="str">
        <f t="shared" si="1239"/>
        <v/>
      </c>
    </row>
    <row r="3553" spans="1:64" x14ac:dyDescent="0.25">
      <c r="A3553" s="762">
        <f t="shared" si="1240"/>
        <v>3548</v>
      </c>
      <c r="B3553" s="229"/>
      <c r="C3553" s="223"/>
      <c r="D3553" s="224"/>
      <c r="E3553" s="225"/>
      <c r="F3553" s="1036" t="str">
        <f t="shared" si="1246"/>
        <v/>
      </c>
      <c r="G3553" s="1037" t="str">
        <f t="shared" si="1241"/>
        <v/>
      </c>
      <c r="H3553" s="225"/>
      <c r="I3553" s="1013"/>
      <c r="J3553" s="1013"/>
      <c r="K3553" s="1028"/>
      <c r="L3553" s="1035" t="str">
        <f t="shared" si="1245"/>
        <v/>
      </c>
      <c r="S3553" s="498"/>
      <c r="AJ3553" s="498"/>
      <c r="AM3553" s="498">
        <f t="shared" si="1226"/>
        <v>0</v>
      </c>
      <c r="AN3553" s="498">
        <f t="shared" si="1227"/>
        <v>0</v>
      </c>
      <c r="AO3553" s="498">
        <f t="shared" si="1228"/>
        <v>0</v>
      </c>
      <c r="AP3553" s="498">
        <f t="shared" si="1247"/>
        <v>0</v>
      </c>
      <c r="AQ3553" s="498">
        <f t="shared" si="1242"/>
        <v>0</v>
      </c>
      <c r="AU3553" s="498">
        <f t="shared" si="1229"/>
        <v>0</v>
      </c>
      <c r="AV3553" s="498">
        <f t="shared" si="1230"/>
        <v>0</v>
      </c>
      <c r="AW3553" s="498">
        <f t="shared" si="1231"/>
        <v>0</v>
      </c>
      <c r="AX3553" s="498">
        <f t="shared" si="1232"/>
        <v>0</v>
      </c>
      <c r="AY3553" s="498">
        <f t="shared" si="1233"/>
        <v>0</v>
      </c>
      <c r="BB3553" s="498" t="str">
        <f t="shared" si="1234"/>
        <v/>
      </c>
      <c r="BC3553" s="743" t="str">
        <f t="shared" si="1235"/>
        <v/>
      </c>
      <c r="BD3553" s="743" t="str">
        <f t="shared" si="1236"/>
        <v/>
      </c>
      <c r="BE3553" s="743" t="str">
        <f>IF(D3553="","",VLOOKUP(D3553,'General Basis'!$J$39:$K$46,2,0))</f>
        <v/>
      </c>
      <c r="BF3553" s="744" t="str">
        <f>IF(D3553="","",VLOOKUP(D3553,'General Basis'!$J$39:$L$46,3,0))</f>
        <v/>
      </c>
      <c r="BG3553" s="744" t="str">
        <f t="shared" si="1243"/>
        <v/>
      </c>
      <c r="BH3553" s="744" t="str">
        <f>IF(G3553="","",IF(BF3553="Abu Dhabi",IF(G3553&lt;18,'General Basis'!$C$39,IF(G3553&lt;41,'General Basis'!$C$40,IF(G3553&lt;60,'General Basis'!$C$41,IF(G3553&lt;65,'General Basis'!$C$42,'General Basis'!$C$43)))),IF(G3553&lt;11,'General Basis'!$B$39,IF(G3553&lt;18,'General Basis'!$B$40,IF(G3553&lt;26,'General Basis'!$B$41,IF(G3553&lt;31,'General Basis'!$B$42,IF(G3553&lt;36,'General Basis'!$B$43,IF(G3553&lt;41,'General Basis'!$B$44,IF(G3553&lt;46,'General Basis'!$B$45,IF(G3553&lt;51,'General Basis'!$B$46,IF(G3553&lt;56,'General Basis'!$B$47,IF(G3553&lt;60,'General Basis'!$B$48,IF(G3553&lt;65,'General Basis'!$B$49,'General Basis'!$B$50)))))))))))))</f>
        <v/>
      </c>
      <c r="BI3553" s="744" t="str">
        <f t="shared" si="1237"/>
        <v/>
      </c>
      <c r="BJ3553" s="747" t="str">
        <f t="shared" si="1244"/>
        <v/>
      </c>
      <c r="BK3553" s="498" t="str">
        <f t="shared" si="1238"/>
        <v/>
      </c>
      <c r="BL3553" s="498" t="str">
        <f t="shared" si="1239"/>
        <v/>
      </c>
    </row>
    <row r="3554" spans="1:64" x14ac:dyDescent="0.25">
      <c r="A3554" s="762">
        <f t="shared" si="1240"/>
        <v>3549</v>
      </c>
      <c r="B3554" s="229"/>
      <c r="C3554" s="223"/>
      <c r="D3554" s="224"/>
      <c r="E3554" s="225"/>
      <c r="F3554" s="1036" t="str">
        <f t="shared" si="1246"/>
        <v/>
      </c>
      <c r="G3554" s="1037" t="str">
        <f t="shared" si="1241"/>
        <v/>
      </c>
      <c r="H3554" s="225"/>
      <c r="I3554" s="1013"/>
      <c r="J3554" s="1013"/>
      <c r="K3554" s="1028"/>
      <c r="L3554" s="1035" t="str">
        <f t="shared" si="1245"/>
        <v/>
      </c>
      <c r="S3554" s="498"/>
      <c r="AJ3554" s="498"/>
      <c r="AM3554" s="498">
        <f t="shared" si="1226"/>
        <v>0</v>
      </c>
      <c r="AN3554" s="498">
        <f t="shared" si="1227"/>
        <v>0</v>
      </c>
      <c r="AO3554" s="498">
        <f t="shared" si="1228"/>
        <v>0</v>
      </c>
      <c r="AP3554" s="498">
        <f t="shared" si="1247"/>
        <v>0</v>
      </c>
      <c r="AQ3554" s="498">
        <f t="shared" si="1242"/>
        <v>0</v>
      </c>
      <c r="AU3554" s="498">
        <f t="shared" si="1229"/>
        <v>0</v>
      </c>
      <c r="AV3554" s="498">
        <f t="shared" si="1230"/>
        <v>0</v>
      </c>
      <c r="AW3554" s="498">
        <f t="shared" si="1231"/>
        <v>0</v>
      </c>
      <c r="AX3554" s="498">
        <f t="shared" si="1232"/>
        <v>0</v>
      </c>
      <c r="AY3554" s="498">
        <f t="shared" si="1233"/>
        <v>0</v>
      </c>
      <c r="BB3554" s="498" t="str">
        <f t="shared" si="1234"/>
        <v/>
      </c>
      <c r="BC3554" s="743" t="str">
        <f t="shared" si="1235"/>
        <v/>
      </c>
      <c r="BD3554" s="743" t="str">
        <f t="shared" si="1236"/>
        <v/>
      </c>
      <c r="BE3554" s="743" t="str">
        <f>IF(D3554="","",VLOOKUP(D3554,'General Basis'!$J$39:$K$46,2,0))</f>
        <v/>
      </c>
      <c r="BF3554" s="744" t="str">
        <f>IF(D3554="","",VLOOKUP(D3554,'General Basis'!$J$39:$L$46,3,0))</f>
        <v/>
      </c>
      <c r="BG3554" s="744" t="str">
        <f t="shared" si="1243"/>
        <v/>
      </c>
      <c r="BH3554" s="744" t="str">
        <f>IF(G3554="","",IF(BF3554="Abu Dhabi",IF(G3554&lt;18,'General Basis'!$C$39,IF(G3554&lt;41,'General Basis'!$C$40,IF(G3554&lt;60,'General Basis'!$C$41,IF(G3554&lt;65,'General Basis'!$C$42,'General Basis'!$C$43)))),IF(G3554&lt;11,'General Basis'!$B$39,IF(G3554&lt;18,'General Basis'!$B$40,IF(G3554&lt;26,'General Basis'!$B$41,IF(G3554&lt;31,'General Basis'!$B$42,IF(G3554&lt;36,'General Basis'!$B$43,IF(G3554&lt;41,'General Basis'!$B$44,IF(G3554&lt;46,'General Basis'!$B$45,IF(G3554&lt;51,'General Basis'!$B$46,IF(G3554&lt;56,'General Basis'!$B$47,IF(G3554&lt;60,'General Basis'!$B$48,IF(G3554&lt;65,'General Basis'!$B$49,'General Basis'!$B$50)))))))))))))</f>
        <v/>
      </c>
      <c r="BI3554" s="744" t="str">
        <f t="shared" si="1237"/>
        <v/>
      </c>
      <c r="BJ3554" s="747" t="str">
        <f t="shared" si="1244"/>
        <v/>
      </c>
      <c r="BK3554" s="498" t="str">
        <f t="shared" si="1238"/>
        <v/>
      </c>
      <c r="BL3554" s="498" t="str">
        <f t="shared" si="1239"/>
        <v/>
      </c>
    </row>
    <row r="3555" spans="1:64" x14ac:dyDescent="0.25">
      <c r="A3555" s="762">
        <f t="shared" si="1240"/>
        <v>3550</v>
      </c>
      <c r="B3555" s="229"/>
      <c r="C3555" s="223"/>
      <c r="D3555" s="224"/>
      <c r="E3555" s="225"/>
      <c r="F3555" s="1036" t="str">
        <f t="shared" si="1246"/>
        <v/>
      </c>
      <c r="G3555" s="1037" t="str">
        <f t="shared" si="1241"/>
        <v/>
      </c>
      <c r="H3555" s="225"/>
      <c r="I3555" s="1013"/>
      <c r="J3555" s="1013"/>
      <c r="K3555" s="1028"/>
      <c r="L3555" s="1035" t="str">
        <f t="shared" si="1245"/>
        <v/>
      </c>
      <c r="S3555" s="498"/>
      <c r="AJ3555" s="498"/>
      <c r="AM3555" s="498">
        <f t="shared" si="1226"/>
        <v>0</v>
      </c>
      <c r="AN3555" s="498">
        <f t="shared" si="1227"/>
        <v>0</v>
      </c>
      <c r="AO3555" s="498">
        <f t="shared" si="1228"/>
        <v>0</v>
      </c>
      <c r="AP3555" s="498">
        <f t="shared" si="1247"/>
        <v>0</v>
      </c>
      <c r="AQ3555" s="498">
        <f t="shared" si="1242"/>
        <v>0</v>
      </c>
      <c r="AU3555" s="498">
        <f t="shared" si="1229"/>
        <v>0</v>
      </c>
      <c r="AV3555" s="498">
        <f t="shared" si="1230"/>
        <v>0</v>
      </c>
      <c r="AW3555" s="498">
        <f t="shared" si="1231"/>
        <v>0</v>
      </c>
      <c r="AX3555" s="498">
        <f t="shared" si="1232"/>
        <v>0</v>
      </c>
      <c r="AY3555" s="498">
        <f t="shared" si="1233"/>
        <v>0</v>
      </c>
      <c r="BB3555" s="498" t="str">
        <f t="shared" si="1234"/>
        <v/>
      </c>
      <c r="BC3555" s="743" t="str">
        <f t="shared" si="1235"/>
        <v/>
      </c>
      <c r="BD3555" s="743" t="str">
        <f t="shared" si="1236"/>
        <v/>
      </c>
      <c r="BE3555" s="743" t="str">
        <f>IF(D3555="","",VLOOKUP(D3555,'General Basis'!$J$39:$K$46,2,0))</f>
        <v/>
      </c>
      <c r="BF3555" s="744" t="str">
        <f>IF(D3555="","",VLOOKUP(D3555,'General Basis'!$J$39:$L$46,3,0))</f>
        <v/>
      </c>
      <c r="BG3555" s="744" t="str">
        <f t="shared" si="1243"/>
        <v/>
      </c>
      <c r="BH3555" s="744" t="str">
        <f>IF(G3555="","",IF(BF3555="Abu Dhabi",IF(G3555&lt;18,'General Basis'!$C$39,IF(G3555&lt;41,'General Basis'!$C$40,IF(G3555&lt;60,'General Basis'!$C$41,IF(G3555&lt;65,'General Basis'!$C$42,'General Basis'!$C$43)))),IF(G3555&lt;11,'General Basis'!$B$39,IF(G3555&lt;18,'General Basis'!$B$40,IF(G3555&lt;26,'General Basis'!$B$41,IF(G3555&lt;31,'General Basis'!$B$42,IF(G3555&lt;36,'General Basis'!$B$43,IF(G3555&lt;41,'General Basis'!$B$44,IF(G3555&lt;46,'General Basis'!$B$45,IF(G3555&lt;51,'General Basis'!$B$46,IF(G3555&lt;56,'General Basis'!$B$47,IF(G3555&lt;60,'General Basis'!$B$48,IF(G3555&lt;65,'General Basis'!$B$49,'General Basis'!$B$50)))))))))))))</f>
        <v/>
      </c>
      <c r="BI3555" s="744" t="str">
        <f t="shared" si="1237"/>
        <v/>
      </c>
      <c r="BJ3555" s="747" t="str">
        <f t="shared" si="1244"/>
        <v/>
      </c>
      <c r="BK3555" s="498" t="str">
        <f t="shared" si="1238"/>
        <v/>
      </c>
      <c r="BL3555" s="498" t="str">
        <f t="shared" si="1239"/>
        <v/>
      </c>
    </row>
    <row r="3556" spans="1:64" x14ac:dyDescent="0.25">
      <c r="A3556" s="762">
        <f t="shared" si="1240"/>
        <v>3551</v>
      </c>
      <c r="B3556" s="229"/>
      <c r="C3556" s="223"/>
      <c r="D3556" s="224"/>
      <c r="E3556" s="225"/>
      <c r="F3556" s="1036" t="str">
        <f t="shared" si="1246"/>
        <v/>
      </c>
      <c r="G3556" s="1037" t="str">
        <f t="shared" si="1241"/>
        <v/>
      </c>
      <c r="H3556" s="225"/>
      <c r="I3556" s="1013"/>
      <c r="J3556" s="1013"/>
      <c r="K3556" s="1028"/>
      <c r="L3556" s="1035" t="str">
        <f t="shared" si="1245"/>
        <v/>
      </c>
      <c r="S3556" s="498"/>
      <c r="AJ3556" s="498"/>
      <c r="AM3556" s="498">
        <f t="shared" si="1226"/>
        <v>0</v>
      </c>
      <c r="AN3556" s="498">
        <f t="shared" si="1227"/>
        <v>0</v>
      </c>
      <c r="AO3556" s="498">
        <f t="shared" si="1228"/>
        <v>0</v>
      </c>
      <c r="AP3556" s="498">
        <f t="shared" si="1247"/>
        <v>0</v>
      </c>
      <c r="AQ3556" s="498">
        <f t="shared" si="1242"/>
        <v>0</v>
      </c>
      <c r="AU3556" s="498">
        <f t="shared" si="1229"/>
        <v>0</v>
      </c>
      <c r="AV3556" s="498">
        <f t="shared" si="1230"/>
        <v>0</v>
      </c>
      <c r="AW3556" s="498">
        <f t="shared" si="1231"/>
        <v>0</v>
      </c>
      <c r="AX3556" s="498">
        <f t="shared" si="1232"/>
        <v>0</v>
      </c>
      <c r="AY3556" s="498">
        <f t="shared" si="1233"/>
        <v>0</v>
      </c>
      <c r="BB3556" s="498" t="str">
        <f t="shared" si="1234"/>
        <v/>
      </c>
      <c r="BC3556" s="743" t="str">
        <f t="shared" si="1235"/>
        <v/>
      </c>
      <c r="BD3556" s="743" t="str">
        <f t="shared" si="1236"/>
        <v/>
      </c>
      <c r="BE3556" s="743" t="str">
        <f>IF(D3556="","",VLOOKUP(D3556,'General Basis'!$J$39:$K$46,2,0))</f>
        <v/>
      </c>
      <c r="BF3556" s="744" t="str">
        <f>IF(D3556="","",VLOOKUP(D3556,'General Basis'!$J$39:$L$46,3,0))</f>
        <v/>
      </c>
      <c r="BG3556" s="744" t="str">
        <f t="shared" si="1243"/>
        <v/>
      </c>
      <c r="BH3556" s="744" t="str">
        <f>IF(G3556="","",IF(BF3556="Abu Dhabi",IF(G3556&lt;18,'General Basis'!$C$39,IF(G3556&lt;41,'General Basis'!$C$40,IF(G3556&lt;60,'General Basis'!$C$41,IF(G3556&lt;65,'General Basis'!$C$42,'General Basis'!$C$43)))),IF(G3556&lt;11,'General Basis'!$B$39,IF(G3556&lt;18,'General Basis'!$B$40,IF(G3556&lt;26,'General Basis'!$B$41,IF(G3556&lt;31,'General Basis'!$B$42,IF(G3556&lt;36,'General Basis'!$B$43,IF(G3556&lt;41,'General Basis'!$B$44,IF(G3556&lt;46,'General Basis'!$B$45,IF(G3556&lt;51,'General Basis'!$B$46,IF(G3556&lt;56,'General Basis'!$B$47,IF(G3556&lt;60,'General Basis'!$B$48,IF(G3556&lt;65,'General Basis'!$B$49,'General Basis'!$B$50)))))))))))))</f>
        <v/>
      </c>
      <c r="BI3556" s="744" t="str">
        <f t="shared" si="1237"/>
        <v/>
      </c>
      <c r="BJ3556" s="747" t="str">
        <f t="shared" si="1244"/>
        <v/>
      </c>
      <c r="BK3556" s="498" t="str">
        <f t="shared" si="1238"/>
        <v/>
      </c>
      <c r="BL3556" s="498" t="str">
        <f t="shared" si="1239"/>
        <v/>
      </c>
    </row>
    <row r="3557" spans="1:64" x14ac:dyDescent="0.25">
      <c r="A3557" s="762">
        <f t="shared" si="1240"/>
        <v>3552</v>
      </c>
      <c r="B3557" s="229"/>
      <c r="C3557" s="223"/>
      <c r="D3557" s="224"/>
      <c r="E3557" s="225"/>
      <c r="F3557" s="1036" t="str">
        <f t="shared" si="1246"/>
        <v/>
      </c>
      <c r="G3557" s="1037" t="str">
        <f t="shared" si="1241"/>
        <v/>
      </c>
      <c r="H3557" s="225"/>
      <c r="I3557" s="1013"/>
      <c r="J3557" s="1013"/>
      <c r="K3557" s="1028"/>
      <c r="L3557" s="1035" t="str">
        <f t="shared" si="1245"/>
        <v/>
      </c>
      <c r="S3557" s="498"/>
      <c r="AJ3557" s="498"/>
      <c r="AM3557" s="498">
        <f t="shared" si="1226"/>
        <v>0</v>
      </c>
      <c r="AN3557" s="498">
        <f t="shared" si="1227"/>
        <v>0</v>
      </c>
      <c r="AO3557" s="498">
        <f t="shared" si="1228"/>
        <v>0</v>
      </c>
      <c r="AP3557" s="498">
        <f t="shared" si="1247"/>
        <v>0</v>
      </c>
      <c r="AQ3557" s="498">
        <f t="shared" si="1242"/>
        <v>0</v>
      </c>
      <c r="AU3557" s="498">
        <f t="shared" si="1229"/>
        <v>0</v>
      </c>
      <c r="AV3557" s="498">
        <f t="shared" si="1230"/>
        <v>0</v>
      </c>
      <c r="AW3557" s="498">
        <f t="shared" si="1231"/>
        <v>0</v>
      </c>
      <c r="AX3557" s="498">
        <f t="shared" si="1232"/>
        <v>0</v>
      </c>
      <c r="AY3557" s="498">
        <f t="shared" si="1233"/>
        <v>0</v>
      </c>
      <c r="BB3557" s="498" t="str">
        <f t="shared" si="1234"/>
        <v/>
      </c>
      <c r="BC3557" s="743" t="str">
        <f t="shared" si="1235"/>
        <v/>
      </c>
      <c r="BD3557" s="743" t="str">
        <f t="shared" si="1236"/>
        <v/>
      </c>
      <c r="BE3557" s="743" t="str">
        <f>IF(D3557="","",VLOOKUP(D3557,'General Basis'!$J$39:$K$46,2,0))</f>
        <v/>
      </c>
      <c r="BF3557" s="744" t="str">
        <f>IF(D3557="","",VLOOKUP(D3557,'General Basis'!$J$39:$L$46,3,0))</f>
        <v/>
      </c>
      <c r="BG3557" s="744" t="str">
        <f t="shared" si="1243"/>
        <v/>
      </c>
      <c r="BH3557" s="744" t="str">
        <f>IF(G3557="","",IF(BF3557="Abu Dhabi",IF(G3557&lt;18,'General Basis'!$C$39,IF(G3557&lt;41,'General Basis'!$C$40,IF(G3557&lt;60,'General Basis'!$C$41,IF(G3557&lt;65,'General Basis'!$C$42,'General Basis'!$C$43)))),IF(G3557&lt;11,'General Basis'!$B$39,IF(G3557&lt;18,'General Basis'!$B$40,IF(G3557&lt;26,'General Basis'!$B$41,IF(G3557&lt;31,'General Basis'!$B$42,IF(G3557&lt;36,'General Basis'!$B$43,IF(G3557&lt;41,'General Basis'!$B$44,IF(G3557&lt;46,'General Basis'!$B$45,IF(G3557&lt;51,'General Basis'!$B$46,IF(G3557&lt;56,'General Basis'!$B$47,IF(G3557&lt;60,'General Basis'!$B$48,IF(G3557&lt;65,'General Basis'!$B$49,'General Basis'!$B$50)))))))))))))</f>
        <v/>
      </c>
      <c r="BI3557" s="744" t="str">
        <f t="shared" si="1237"/>
        <v/>
      </c>
      <c r="BJ3557" s="747" t="str">
        <f t="shared" si="1244"/>
        <v/>
      </c>
      <c r="BK3557" s="498" t="str">
        <f t="shared" si="1238"/>
        <v/>
      </c>
      <c r="BL3557" s="498" t="str">
        <f t="shared" si="1239"/>
        <v/>
      </c>
    </row>
    <row r="3558" spans="1:64" x14ac:dyDescent="0.25">
      <c r="A3558" s="762">
        <f t="shared" si="1240"/>
        <v>3553</v>
      </c>
      <c r="B3558" s="229"/>
      <c r="C3558" s="223"/>
      <c r="D3558" s="224"/>
      <c r="E3558" s="225"/>
      <c r="F3558" s="1036" t="str">
        <f t="shared" si="1246"/>
        <v/>
      </c>
      <c r="G3558" s="1037" t="str">
        <f t="shared" si="1241"/>
        <v/>
      </c>
      <c r="H3558" s="225"/>
      <c r="I3558" s="1013"/>
      <c r="J3558" s="1013"/>
      <c r="K3558" s="1028"/>
      <c r="L3558" s="1035" t="str">
        <f t="shared" si="1245"/>
        <v/>
      </c>
      <c r="S3558" s="498"/>
      <c r="AJ3558" s="498"/>
      <c r="AM3558" s="498">
        <f t="shared" si="1226"/>
        <v>0</v>
      </c>
      <c r="AN3558" s="498">
        <f t="shared" si="1227"/>
        <v>0</v>
      </c>
      <c r="AO3558" s="498">
        <f t="shared" si="1228"/>
        <v>0</v>
      </c>
      <c r="AP3558" s="498">
        <f t="shared" si="1247"/>
        <v>0</v>
      </c>
      <c r="AQ3558" s="498">
        <f t="shared" si="1242"/>
        <v>0</v>
      </c>
      <c r="AU3558" s="498">
        <f t="shared" si="1229"/>
        <v>0</v>
      </c>
      <c r="AV3558" s="498">
        <f t="shared" si="1230"/>
        <v>0</v>
      </c>
      <c r="AW3558" s="498">
        <f t="shared" si="1231"/>
        <v>0</v>
      </c>
      <c r="AX3558" s="498">
        <f t="shared" si="1232"/>
        <v>0</v>
      </c>
      <c r="AY3558" s="498">
        <f t="shared" si="1233"/>
        <v>0</v>
      </c>
      <c r="BB3558" s="498" t="str">
        <f t="shared" si="1234"/>
        <v/>
      </c>
      <c r="BC3558" s="743" t="str">
        <f t="shared" si="1235"/>
        <v/>
      </c>
      <c r="BD3558" s="743" t="str">
        <f t="shared" si="1236"/>
        <v/>
      </c>
      <c r="BE3558" s="743" t="str">
        <f>IF(D3558="","",VLOOKUP(D3558,'General Basis'!$J$39:$K$46,2,0))</f>
        <v/>
      </c>
      <c r="BF3558" s="744" t="str">
        <f>IF(D3558="","",VLOOKUP(D3558,'General Basis'!$J$39:$L$46,3,0))</f>
        <v/>
      </c>
      <c r="BG3558" s="744" t="str">
        <f t="shared" si="1243"/>
        <v/>
      </c>
      <c r="BH3558" s="744" t="str">
        <f>IF(G3558="","",IF(BF3558="Abu Dhabi",IF(G3558&lt;18,'General Basis'!$C$39,IF(G3558&lt;41,'General Basis'!$C$40,IF(G3558&lt;60,'General Basis'!$C$41,IF(G3558&lt;65,'General Basis'!$C$42,'General Basis'!$C$43)))),IF(G3558&lt;11,'General Basis'!$B$39,IF(G3558&lt;18,'General Basis'!$B$40,IF(G3558&lt;26,'General Basis'!$B$41,IF(G3558&lt;31,'General Basis'!$B$42,IF(G3558&lt;36,'General Basis'!$B$43,IF(G3558&lt;41,'General Basis'!$B$44,IF(G3558&lt;46,'General Basis'!$B$45,IF(G3558&lt;51,'General Basis'!$B$46,IF(G3558&lt;56,'General Basis'!$B$47,IF(G3558&lt;60,'General Basis'!$B$48,IF(G3558&lt;65,'General Basis'!$B$49,'General Basis'!$B$50)))))))))))))</f>
        <v/>
      </c>
      <c r="BI3558" s="744" t="str">
        <f t="shared" si="1237"/>
        <v/>
      </c>
      <c r="BJ3558" s="747" t="str">
        <f t="shared" si="1244"/>
        <v/>
      </c>
      <c r="BK3558" s="498" t="str">
        <f t="shared" si="1238"/>
        <v/>
      </c>
      <c r="BL3558" s="498" t="str">
        <f t="shared" si="1239"/>
        <v/>
      </c>
    </row>
    <row r="3559" spans="1:64" x14ac:dyDescent="0.25">
      <c r="A3559" s="762">
        <f t="shared" si="1240"/>
        <v>3554</v>
      </c>
      <c r="B3559" s="229"/>
      <c r="C3559" s="223"/>
      <c r="D3559" s="224"/>
      <c r="E3559" s="225"/>
      <c r="F3559" s="1036" t="str">
        <f t="shared" si="1246"/>
        <v/>
      </c>
      <c r="G3559" s="1037" t="str">
        <f t="shared" si="1241"/>
        <v/>
      </c>
      <c r="H3559" s="225"/>
      <c r="I3559" s="1013"/>
      <c r="J3559" s="1013"/>
      <c r="K3559" s="1028"/>
      <c r="L3559" s="1035" t="str">
        <f t="shared" si="1245"/>
        <v/>
      </c>
      <c r="S3559" s="498"/>
      <c r="AJ3559" s="498"/>
      <c r="AM3559" s="498">
        <f t="shared" si="1226"/>
        <v>0</v>
      </c>
      <c r="AN3559" s="498">
        <f t="shared" si="1227"/>
        <v>0</v>
      </c>
      <c r="AO3559" s="498">
        <f t="shared" si="1228"/>
        <v>0</v>
      </c>
      <c r="AP3559" s="498">
        <f t="shared" si="1247"/>
        <v>0</v>
      </c>
      <c r="AQ3559" s="498">
        <f t="shared" si="1242"/>
        <v>0</v>
      </c>
      <c r="AU3559" s="498">
        <f t="shared" si="1229"/>
        <v>0</v>
      </c>
      <c r="AV3559" s="498">
        <f t="shared" si="1230"/>
        <v>0</v>
      </c>
      <c r="AW3559" s="498">
        <f t="shared" si="1231"/>
        <v>0</v>
      </c>
      <c r="AX3559" s="498">
        <f t="shared" si="1232"/>
        <v>0</v>
      </c>
      <c r="AY3559" s="498">
        <f t="shared" si="1233"/>
        <v>0</v>
      </c>
      <c r="BB3559" s="498" t="str">
        <f t="shared" si="1234"/>
        <v/>
      </c>
      <c r="BC3559" s="743" t="str">
        <f t="shared" si="1235"/>
        <v/>
      </c>
      <c r="BD3559" s="743" t="str">
        <f t="shared" si="1236"/>
        <v/>
      </c>
      <c r="BE3559" s="743" t="str">
        <f>IF(D3559="","",VLOOKUP(D3559,'General Basis'!$J$39:$K$46,2,0))</f>
        <v/>
      </c>
      <c r="BF3559" s="744" t="str">
        <f>IF(D3559="","",VLOOKUP(D3559,'General Basis'!$J$39:$L$46,3,0))</f>
        <v/>
      </c>
      <c r="BG3559" s="744" t="str">
        <f t="shared" si="1243"/>
        <v/>
      </c>
      <c r="BH3559" s="744" t="str">
        <f>IF(G3559="","",IF(BF3559="Abu Dhabi",IF(G3559&lt;18,'General Basis'!$C$39,IF(G3559&lt;41,'General Basis'!$C$40,IF(G3559&lt;60,'General Basis'!$C$41,IF(G3559&lt;65,'General Basis'!$C$42,'General Basis'!$C$43)))),IF(G3559&lt;11,'General Basis'!$B$39,IF(G3559&lt;18,'General Basis'!$B$40,IF(G3559&lt;26,'General Basis'!$B$41,IF(G3559&lt;31,'General Basis'!$B$42,IF(G3559&lt;36,'General Basis'!$B$43,IF(G3559&lt;41,'General Basis'!$B$44,IF(G3559&lt;46,'General Basis'!$B$45,IF(G3559&lt;51,'General Basis'!$B$46,IF(G3559&lt;56,'General Basis'!$B$47,IF(G3559&lt;60,'General Basis'!$B$48,IF(G3559&lt;65,'General Basis'!$B$49,'General Basis'!$B$50)))))))))))))</f>
        <v/>
      </c>
      <c r="BI3559" s="744" t="str">
        <f t="shared" si="1237"/>
        <v/>
      </c>
      <c r="BJ3559" s="747" t="str">
        <f t="shared" si="1244"/>
        <v/>
      </c>
      <c r="BK3559" s="498" t="str">
        <f t="shared" si="1238"/>
        <v/>
      </c>
      <c r="BL3559" s="498" t="str">
        <f t="shared" si="1239"/>
        <v/>
      </c>
    </row>
    <row r="3560" spans="1:64" x14ac:dyDescent="0.25">
      <c r="A3560" s="762">
        <f t="shared" si="1240"/>
        <v>3555</v>
      </c>
      <c r="B3560" s="229"/>
      <c r="C3560" s="223"/>
      <c r="D3560" s="224"/>
      <c r="E3560" s="225"/>
      <c r="F3560" s="1036" t="str">
        <f t="shared" si="1246"/>
        <v/>
      </c>
      <c r="G3560" s="1037" t="str">
        <f t="shared" si="1241"/>
        <v/>
      </c>
      <c r="H3560" s="225"/>
      <c r="I3560" s="1013"/>
      <c r="J3560" s="1013"/>
      <c r="K3560" s="1028"/>
      <c r="L3560" s="1035" t="str">
        <f t="shared" si="1245"/>
        <v/>
      </c>
      <c r="S3560" s="498"/>
      <c r="AJ3560" s="498"/>
      <c r="AM3560" s="498">
        <f t="shared" si="1226"/>
        <v>0</v>
      </c>
      <c r="AN3560" s="498">
        <f t="shared" si="1227"/>
        <v>0</v>
      </c>
      <c r="AO3560" s="498">
        <f t="shared" si="1228"/>
        <v>0</v>
      </c>
      <c r="AP3560" s="498">
        <f t="shared" si="1247"/>
        <v>0</v>
      </c>
      <c r="AQ3560" s="498">
        <f t="shared" si="1242"/>
        <v>0</v>
      </c>
      <c r="AU3560" s="498">
        <f t="shared" si="1229"/>
        <v>0</v>
      </c>
      <c r="AV3560" s="498">
        <f t="shared" si="1230"/>
        <v>0</v>
      </c>
      <c r="AW3560" s="498">
        <f t="shared" si="1231"/>
        <v>0</v>
      </c>
      <c r="AX3560" s="498">
        <f t="shared" si="1232"/>
        <v>0</v>
      </c>
      <c r="AY3560" s="498">
        <f t="shared" si="1233"/>
        <v>0</v>
      </c>
      <c r="BB3560" s="498" t="str">
        <f t="shared" si="1234"/>
        <v/>
      </c>
      <c r="BC3560" s="743" t="str">
        <f t="shared" si="1235"/>
        <v/>
      </c>
      <c r="BD3560" s="743" t="str">
        <f t="shared" si="1236"/>
        <v/>
      </c>
      <c r="BE3560" s="743" t="str">
        <f>IF(D3560="","",VLOOKUP(D3560,'General Basis'!$J$39:$K$46,2,0))</f>
        <v/>
      </c>
      <c r="BF3560" s="744" t="str">
        <f>IF(D3560="","",VLOOKUP(D3560,'General Basis'!$J$39:$L$46,3,0))</f>
        <v/>
      </c>
      <c r="BG3560" s="744" t="str">
        <f t="shared" si="1243"/>
        <v/>
      </c>
      <c r="BH3560" s="744" t="str">
        <f>IF(G3560="","",IF(BF3560="Abu Dhabi",IF(G3560&lt;18,'General Basis'!$C$39,IF(G3560&lt;41,'General Basis'!$C$40,IF(G3560&lt;60,'General Basis'!$C$41,IF(G3560&lt;65,'General Basis'!$C$42,'General Basis'!$C$43)))),IF(G3560&lt;11,'General Basis'!$B$39,IF(G3560&lt;18,'General Basis'!$B$40,IF(G3560&lt;26,'General Basis'!$B$41,IF(G3560&lt;31,'General Basis'!$B$42,IF(G3560&lt;36,'General Basis'!$B$43,IF(G3560&lt;41,'General Basis'!$B$44,IF(G3560&lt;46,'General Basis'!$B$45,IF(G3560&lt;51,'General Basis'!$B$46,IF(G3560&lt;56,'General Basis'!$B$47,IF(G3560&lt;60,'General Basis'!$B$48,IF(G3560&lt;65,'General Basis'!$B$49,'General Basis'!$B$50)))))))))))))</f>
        <v/>
      </c>
      <c r="BI3560" s="744" t="str">
        <f t="shared" si="1237"/>
        <v/>
      </c>
      <c r="BJ3560" s="747" t="str">
        <f t="shared" si="1244"/>
        <v/>
      </c>
      <c r="BK3560" s="498" t="str">
        <f t="shared" si="1238"/>
        <v/>
      </c>
      <c r="BL3560" s="498" t="str">
        <f t="shared" si="1239"/>
        <v/>
      </c>
    </row>
    <row r="3561" spans="1:64" x14ac:dyDescent="0.25">
      <c r="A3561" s="762">
        <f t="shared" si="1240"/>
        <v>3556</v>
      </c>
      <c r="B3561" s="229"/>
      <c r="C3561" s="223"/>
      <c r="D3561" s="224"/>
      <c r="E3561" s="225"/>
      <c r="F3561" s="1036" t="str">
        <f t="shared" si="1246"/>
        <v/>
      </c>
      <c r="G3561" s="1037" t="str">
        <f t="shared" si="1241"/>
        <v/>
      </c>
      <c r="H3561" s="225"/>
      <c r="I3561" s="1013"/>
      <c r="J3561" s="1013"/>
      <c r="K3561" s="1028"/>
      <c r="L3561" s="1035" t="str">
        <f t="shared" si="1245"/>
        <v/>
      </c>
      <c r="S3561" s="498"/>
      <c r="AJ3561" s="498"/>
      <c r="AM3561" s="498">
        <f t="shared" si="1226"/>
        <v>0</v>
      </c>
      <c r="AN3561" s="498">
        <f t="shared" si="1227"/>
        <v>0</v>
      </c>
      <c r="AO3561" s="498">
        <f t="shared" si="1228"/>
        <v>0</v>
      </c>
      <c r="AP3561" s="498">
        <f t="shared" si="1247"/>
        <v>0</v>
      </c>
      <c r="AQ3561" s="498">
        <f t="shared" si="1242"/>
        <v>0</v>
      </c>
      <c r="AU3561" s="498">
        <f t="shared" si="1229"/>
        <v>0</v>
      </c>
      <c r="AV3561" s="498">
        <f t="shared" si="1230"/>
        <v>0</v>
      </c>
      <c r="AW3561" s="498">
        <f t="shared" si="1231"/>
        <v>0</v>
      </c>
      <c r="AX3561" s="498">
        <f t="shared" si="1232"/>
        <v>0</v>
      </c>
      <c r="AY3561" s="498">
        <f t="shared" si="1233"/>
        <v>0</v>
      </c>
      <c r="BB3561" s="498" t="str">
        <f t="shared" si="1234"/>
        <v/>
      </c>
      <c r="BC3561" s="743" t="str">
        <f t="shared" si="1235"/>
        <v/>
      </c>
      <c r="BD3561" s="743" t="str">
        <f t="shared" si="1236"/>
        <v/>
      </c>
      <c r="BE3561" s="743" t="str">
        <f>IF(D3561="","",VLOOKUP(D3561,'General Basis'!$J$39:$K$46,2,0))</f>
        <v/>
      </c>
      <c r="BF3561" s="744" t="str">
        <f>IF(D3561="","",VLOOKUP(D3561,'General Basis'!$J$39:$L$46,3,0))</f>
        <v/>
      </c>
      <c r="BG3561" s="744" t="str">
        <f t="shared" si="1243"/>
        <v/>
      </c>
      <c r="BH3561" s="744" t="str">
        <f>IF(G3561="","",IF(BF3561="Abu Dhabi",IF(G3561&lt;18,'General Basis'!$C$39,IF(G3561&lt;41,'General Basis'!$C$40,IF(G3561&lt;60,'General Basis'!$C$41,IF(G3561&lt;65,'General Basis'!$C$42,'General Basis'!$C$43)))),IF(G3561&lt;11,'General Basis'!$B$39,IF(G3561&lt;18,'General Basis'!$B$40,IF(G3561&lt;26,'General Basis'!$B$41,IF(G3561&lt;31,'General Basis'!$B$42,IF(G3561&lt;36,'General Basis'!$B$43,IF(G3561&lt;41,'General Basis'!$B$44,IF(G3561&lt;46,'General Basis'!$B$45,IF(G3561&lt;51,'General Basis'!$B$46,IF(G3561&lt;56,'General Basis'!$B$47,IF(G3561&lt;60,'General Basis'!$B$48,IF(G3561&lt;65,'General Basis'!$B$49,'General Basis'!$B$50)))))))))))))</f>
        <v/>
      </c>
      <c r="BI3561" s="744" t="str">
        <f t="shared" si="1237"/>
        <v/>
      </c>
      <c r="BJ3561" s="747" t="str">
        <f t="shared" si="1244"/>
        <v/>
      </c>
      <c r="BK3561" s="498" t="str">
        <f t="shared" si="1238"/>
        <v/>
      </c>
      <c r="BL3561" s="498" t="str">
        <f t="shared" si="1239"/>
        <v/>
      </c>
    </row>
    <row r="3562" spans="1:64" x14ac:dyDescent="0.25">
      <c r="A3562" s="762">
        <f t="shared" si="1240"/>
        <v>3557</v>
      </c>
      <c r="B3562" s="229"/>
      <c r="C3562" s="223"/>
      <c r="D3562" s="224"/>
      <c r="E3562" s="225"/>
      <c r="F3562" s="1036" t="str">
        <f t="shared" si="1246"/>
        <v/>
      </c>
      <c r="G3562" s="1037" t="str">
        <f t="shared" si="1241"/>
        <v/>
      </c>
      <c r="H3562" s="225"/>
      <c r="I3562" s="1013"/>
      <c r="J3562" s="1013"/>
      <c r="K3562" s="1028"/>
      <c r="L3562" s="1035" t="str">
        <f t="shared" si="1245"/>
        <v/>
      </c>
      <c r="S3562" s="498"/>
      <c r="AJ3562" s="498"/>
      <c r="AM3562" s="498">
        <f t="shared" si="1226"/>
        <v>0</v>
      </c>
      <c r="AN3562" s="498">
        <f t="shared" si="1227"/>
        <v>0</v>
      </c>
      <c r="AO3562" s="498">
        <f t="shared" si="1228"/>
        <v>0</v>
      </c>
      <c r="AP3562" s="498">
        <f t="shared" si="1247"/>
        <v>0</v>
      </c>
      <c r="AQ3562" s="498">
        <f t="shared" si="1242"/>
        <v>0</v>
      </c>
      <c r="AU3562" s="498">
        <f t="shared" si="1229"/>
        <v>0</v>
      </c>
      <c r="AV3562" s="498">
        <f t="shared" si="1230"/>
        <v>0</v>
      </c>
      <c r="AW3562" s="498">
        <f t="shared" si="1231"/>
        <v>0</v>
      </c>
      <c r="AX3562" s="498">
        <f t="shared" si="1232"/>
        <v>0</v>
      </c>
      <c r="AY3562" s="498">
        <f t="shared" si="1233"/>
        <v>0</v>
      </c>
      <c r="BB3562" s="498" t="str">
        <f t="shared" si="1234"/>
        <v/>
      </c>
      <c r="BC3562" s="743" t="str">
        <f t="shared" si="1235"/>
        <v/>
      </c>
      <c r="BD3562" s="743" t="str">
        <f t="shared" si="1236"/>
        <v/>
      </c>
      <c r="BE3562" s="743" t="str">
        <f>IF(D3562="","",VLOOKUP(D3562,'General Basis'!$J$39:$K$46,2,0))</f>
        <v/>
      </c>
      <c r="BF3562" s="744" t="str">
        <f>IF(D3562="","",VLOOKUP(D3562,'General Basis'!$J$39:$L$46,3,0))</f>
        <v/>
      </c>
      <c r="BG3562" s="744" t="str">
        <f t="shared" si="1243"/>
        <v/>
      </c>
      <c r="BH3562" s="744" t="str">
        <f>IF(G3562="","",IF(BF3562="Abu Dhabi",IF(G3562&lt;18,'General Basis'!$C$39,IF(G3562&lt;41,'General Basis'!$C$40,IF(G3562&lt;60,'General Basis'!$C$41,IF(G3562&lt;65,'General Basis'!$C$42,'General Basis'!$C$43)))),IF(G3562&lt;11,'General Basis'!$B$39,IF(G3562&lt;18,'General Basis'!$B$40,IF(G3562&lt;26,'General Basis'!$B$41,IF(G3562&lt;31,'General Basis'!$B$42,IF(G3562&lt;36,'General Basis'!$B$43,IF(G3562&lt;41,'General Basis'!$B$44,IF(G3562&lt;46,'General Basis'!$B$45,IF(G3562&lt;51,'General Basis'!$B$46,IF(G3562&lt;56,'General Basis'!$B$47,IF(G3562&lt;60,'General Basis'!$B$48,IF(G3562&lt;65,'General Basis'!$B$49,'General Basis'!$B$50)))))))))))))</f>
        <v/>
      </c>
      <c r="BI3562" s="744" t="str">
        <f t="shared" si="1237"/>
        <v/>
      </c>
      <c r="BJ3562" s="747" t="str">
        <f t="shared" si="1244"/>
        <v/>
      </c>
      <c r="BK3562" s="498" t="str">
        <f t="shared" si="1238"/>
        <v/>
      </c>
      <c r="BL3562" s="498" t="str">
        <f t="shared" si="1239"/>
        <v/>
      </c>
    </row>
    <row r="3563" spans="1:64" x14ac:dyDescent="0.25">
      <c r="A3563" s="762">
        <f t="shared" si="1240"/>
        <v>3558</v>
      </c>
      <c r="B3563" s="229"/>
      <c r="C3563" s="223"/>
      <c r="D3563" s="224"/>
      <c r="E3563" s="225"/>
      <c r="F3563" s="1036" t="str">
        <f t="shared" si="1246"/>
        <v/>
      </c>
      <c r="G3563" s="1037" t="str">
        <f t="shared" si="1241"/>
        <v/>
      </c>
      <c r="H3563" s="225"/>
      <c r="I3563" s="1013"/>
      <c r="J3563" s="1013"/>
      <c r="K3563" s="1028"/>
      <c r="L3563" s="1035" t="str">
        <f t="shared" si="1245"/>
        <v/>
      </c>
      <c r="S3563" s="498"/>
      <c r="AJ3563" s="498"/>
      <c r="AM3563" s="498">
        <f t="shared" si="1226"/>
        <v>0</v>
      </c>
      <c r="AN3563" s="498">
        <f t="shared" si="1227"/>
        <v>0</v>
      </c>
      <c r="AO3563" s="498">
        <f t="shared" si="1228"/>
        <v>0</v>
      </c>
      <c r="AP3563" s="498">
        <f t="shared" si="1247"/>
        <v>0</v>
      </c>
      <c r="AQ3563" s="498">
        <f t="shared" si="1242"/>
        <v>0</v>
      </c>
      <c r="AU3563" s="498">
        <f t="shared" si="1229"/>
        <v>0</v>
      </c>
      <c r="AV3563" s="498">
        <f t="shared" si="1230"/>
        <v>0</v>
      </c>
      <c r="AW3563" s="498">
        <f t="shared" si="1231"/>
        <v>0</v>
      </c>
      <c r="AX3563" s="498">
        <f t="shared" si="1232"/>
        <v>0</v>
      </c>
      <c r="AY3563" s="498">
        <f t="shared" si="1233"/>
        <v>0</v>
      </c>
      <c r="BB3563" s="498" t="str">
        <f t="shared" si="1234"/>
        <v/>
      </c>
      <c r="BC3563" s="743" t="str">
        <f t="shared" si="1235"/>
        <v/>
      </c>
      <c r="BD3563" s="743" t="str">
        <f t="shared" si="1236"/>
        <v/>
      </c>
      <c r="BE3563" s="743" t="str">
        <f>IF(D3563="","",VLOOKUP(D3563,'General Basis'!$J$39:$K$46,2,0))</f>
        <v/>
      </c>
      <c r="BF3563" s="744" t="str">
        <f>IF(D3563="","",VLOOKUP(D3563,'General Basis'!$J$39:$L$46,3,0))</f>
        <v/>
      </c>
      <c r="BG3563" s="744" t="str">
        <f t="shared" si="1243"/>
        <v/>
      </c>
      <c r="BH3563" s="744" t="str">
        <f>IF(G3563="","",IF(BF3563="Abu Dhabi",IF(G3563&lt;18,'General Basis'!$C$39,IF(G3563&lt;41,'General Basis'!$C$40,IF(G3563&lt;60,'General Basis'!$C$41,IF(G3563&lt;65,'General Basis'!$C$42,'General Basis'!$C$43)))),IF(G3563&lt;11,'General Basis'!$B$39,IF(G3563&lt;18,'General Basis'!$B$40,IF(G3563&lt;26,'General Basis'!$B$41,IF(G3563&lt;31,'General Basis'!$B$42,IF(G3563&lt;36,'General Basis'!$B$43,IF(G3563&lt;41,'General Basis'!$B$44,IF(G3563&lt;46,'General Basis'!$B$45,IF(G3563&lt;51,'General Basis'!$B$46,IF(G3563&lt;56,'General Basis'!$B$47,IF(G3563&lt;60,'General Basis'!$B$48,IF(G3563&lt;65,'General Basis'!$B$49,'General Basis'!$B$50)))))))))))))</f>
        <v/>
      </c>
      <c r="BI3563" s="744" t="str">
        <f t="shared" si="1237"/>
        <v/>
      </c>
      <c r="BJ3563" s="747" t="str">
        <f t="shared" si="1244"/>
        <v/>
      </c>
      <c r="BK3563" s="498" t="str">
        <f t="shared" si="1238"/>
        <v/>
      </c>
      <c r="BL3563" s="498" t="str">
        <f t="shared" si="1239"/>
        <v/>
      </c>
    </row>
    <row r="3564" spans="1:64" x14ac:dyDescent="0.25">
      <c r="A3564" s="762">
        <f t="shared" si="1240"/>
        <v>3559</v>
      </c>
      <c r="B3564" s="229"/>
      <c r="C3564" s="223"/>
      <c r="D3564" s="224"/>
      <c r="E3564" s="225"/>
      <c r="F3564" s="1036" t="str">
        <f t="shared" si="1246"/>
        <v/>
      </c>
      <c r="G3564" s="1037" t="str">
        <f t="shared" si="1241"/>
        <v/>
      </c>
      <c r="H3564" s="225"/>
      <c r="I3564" s="1013"/>
      <c r="J3564" s="1013"/>
      <c r="K3564" s="1028"/>
      <c r="L3564" s="1035" t="str">
        <f t="shared" si="1245"/>
        <v/>
      </c>
      <c r="S3564" s="498"/>
      <c r="AJ3564" s="498"/>
      <c r="AM3564" s="498">
        <f t="shared" si="1226"/>
        <v>0</v>
      </c>
      <c r="AN3564" s="498">
        <f t="shared" si="1227"/>
        <v>0</v>
      </c>
      <c r="AO3564" s="498">
        <f t="shared" si="1228"/>
        <v>0</v>
      </c>
      <c r="AP3564" s="498">
        <f t="shared" si="1247"/>
        <v>0</v>
      </c>
      <c r="AQ3564" s="498">
        <f t="shared" si="1242"/>
        <v>0</v>
      </c>
      <c r="AU3564" s="498">
        <f t="shared" si="1229"/>
        <v>0</v>
      </c>
      <c r="AV3564" s="498">
        <f t="shared" si="1230"/>
        <v>0</v>
      </c>
      <c r="AW3564" s="498">
        <f t="shared" si="1231"/>
        <v>0</v>
      </c>
      <c r="AX3564" s="498">
        <f t="shared" si="1232"/>
        <v>0</v>
      </c>
      <c r="AY3564" s="498">
        <f t="shared" si="1233"/>
        <v>0</v>
      </c>
      <c r="BB3564" s="498" t="str">
        <f t="shared" si="1234"/>
        <v/>
      </c>
      <c r="BC3564" s="743" t="str">
        <f t="shared" si="1235"/>
        <v/>
      </c>
      <c r="BD3564" s="743" t="str">
        <f t="shared" si="1236"/>
        <v/>
      </c>
      <c r="BE3564" s="743" t="str">
        <f>IF(D3564="","",VLOOKUP(D3564,'General Basis'!$J$39:$K$46,2,0))</f>
        <v/>
      </c>
      <c r="BF3564" s="744" t="str">
        <f>IF(D3564="","",VLOOKUP(D3564,'General Basis'!$J$39:$L$46,3,0))</f>
        <v/>
      </c>
      <c r="BG3564" s="744" t="str">
        <f t="shared" si="1243"/>
        <v/>
      </c>
      <c r="BH3564" s="744" t="str">
        <f>IF(G3564="","",IF(BF3564="Abu Dhabi",IF(G3564&lt;18,'General Basis'!$C$39,IF(G3564&lt;41,'General Basis'!$C$40,IF(G3564&lt;60,'General Basis'!$C$41,IF(G3564&lt;65,'General Basis'!$C$42,'General Basis'!$C$43)))),IF(G3564&lt;11,'General Basis'!$B$39,IF(G3564&lt;18,'General Basis'!$B$40,IF(G3564&lt;26,'General Basis'!$B$41,IF(G3564&lt;31,'General Basis'!$B$42,IF(G3564&lt;36,'General Basis'!$B$43,IF(G3564&lt;41,'General Basis'!$B$44,IF(G3564&lt;46,'General Basis'!$B$45,IF(G3564&lt;51,'General Basis'!$B$46,IF(G3564&lt;56,'General Basis'!$B$47,IF(G3564&lt;60,'General Basis'!$B$48,IF(G3564&lt;65,'General Basis'!$B$49,'General Basis'!$B$50)))))))))))))</f>
        <v/>
      </c>
      <c r="BI3564" s="744" t="str">
        <f t="shared" si="1237"/>
        <v/>
      </c>
      <c r="BJ3564" s="747" t="str">
        <f t="shared" si="1244"/>
        <v/>
      </c>
      <c r="BK3564" s="498" t="str">
        <f t="shared" si="1238"/>
        <v/>
      </c>
      <c r="BL3564" s="498" t="str">
        <f t="shared" si="1239"/>
        <v/>
      </c>
    </row>
    <row r="3565" spans="1:64" x14ac:dyDescent="0.25">
      <c r="A3565" s="762">
        <f t="shared" si="1240"/>
        <v>3560</v>
      </c>
      <c r="B3565" s="229"/>
      <c r="C3565" s="223"/>
      <c r="D3565" s="224"/>
      <c r="E3565" s="225"/>
      <c r="F3565" s="1036" t="str">
        <f t="shared" si="1246"/>
        <v/>
      </c>
      <c r="G3565" s="1037" t="str">
        <f t="shared" si="1241"/>
        <v/>
      </c>
      <c r="H3565" s="225"/>
      <c r="I3565" s="1013"/>
      <c r="J3565" s="1013"/>
      <c r="K3565" s="1028"/>
      <c r="L3565" s="1035" t="str">
        <f t="shared" si="1245"/>
        <v/>
      </c>
      <c r="S3565" s="498"/>
      <c r="AJ3565" s="498"/>
      <c r="AM3565" s="498">
        <f t="shared" si="1226"/>
        <v>0</v>
      </c>
      <c r="AN3565" s="498">
        <f t="shared" si="1227"/>
        <v>0</v>
      </c>
      <c r="AO3565" s="498">
        <f t="shared" si="1228"/>
        <v>0</v>
      </c>
      <c r="AP3565" s="498">
        <f t="shared" si="1247"/>
        <v>0</v>
      </c>
      <c r="AQ3565" s="498">
        <f t="shared" si="1242"/>
        <v>0</v>
      </c>
      <c r="AU3565" s="498">
        <f t="shared" si="1229"/>
        <v>0</v>
      </c>
      <c r="AV3565" s="498">
        <f t="shared" si="1230"/>
        <v>0</v>
      </c>
      <c r="AW3565" s="498">
        <f t="shared" si="1231"/>
        <v>0</v>
      </c>
      <c r="AX3565" s="498">
        <f t="shared" si="1232"/>
        <v>0</v>
      </c>
      <c r="AY3565" s="498">
        <f t="shared" si="1233"/>
        <v>0</v>
      </c>
      <c r="BB3565" s="498" t="str">
        <f t="shared" si="1234"/>
        <v/>
      </c>
      <c r="BC3565" s="743" t="str">
        <f t="shared" si="1235"/>
        <v/>
      </c>
      <c r="BD3565" s="743" t="str">
        <f t="shared" si="1236"/>
        <v/>
      </c>
      <c r="BE3565" s="743" t="str">
        <f>IF(D3565="","",VLOOKUP(D3565,'General Basis'!$J$39:$K$46,2,0))</f>
        <v/>
      </c>
      <c r="BF3565" s="744" t="str">
        <f>IF(D3565="","",VLOOKUP(D3565,'General Basis'!$J$39:$L$46,3,0))</f>
        <v/>
      </c>
      <c r="BG3565" s="744" t="str">
        <f t="shared" si="1243"/>
        <v/>
      </c>
      <c r="BH3565" s="744" t="str">
        <f>IF(G3565="","",IF(BF3565="Abu Dhabi",IF(G3565&lt;18,'General Basis'!$C$39,IF(G3565&lt;41,'General Basis'!$C$40,IF(G3565&lt;60,'General Basis'!$C$41,IF(G3565&lt;65,'General Basis'!$C$42,'General Basis'!$C$43)))),IF(G3565&lt;11,'General Basis'!$B$39,IF(G3565&lt;18,'General Basis'!$B$40,IF(G3565&lt;26,'General Basis'!$B$41,IF(G3565&lt;31,'General Basis'!$B$42,IF(G3565&lt;36,'General Basis'!$B$43,IF(G3565&lt;41,'General Basis'!$B$44,IF(G3565&lt;46,'General Basis'!$B$45,IF(G3565&lt;51,'General Basis'!$B$46,IF(G3565&lt;56,'General Basis'!$B$47,IF(G3565&lt;60,'General Basis'!$B$48,IF(G3565&lt;65,'General Basis'!$B$49,'General Basis'!$B$50)))))))))))))</f>
        <v/>
      </c>
      <c r="BI3565" s="744" t="str">
        <f t="shared" si="1237"/>
        <v/>
      </c>
      <c r="BJ3565" s="747" t="str">
        <f t="shared" si="1244"/>
        <v/>
      </c>
      <c r="BK3565" s="498" t="str">
        <f t="shared" si="1238"/>
        <v/>
      </c>
      <c r="BL3565" s="498" t="str">
        <f t="shared" si="1239"/>
        <v/>
      </c>
    </row>
    <row r="3566" spans="1:64" x14ac:dyDescent="0.25">
      <c r="A3566" s="762">
        <f t="shared" si="1240"/>
        <v>3561</v>
      </c>
      <c r="B3566" s="229"/>
      <c r="C3566" s="223"/>
      <c r="D3566" s="224"/>
      <c r="E3566" s="225"/>
      <c r="F3566" s="1036" t="str">
        <f t="shared" si="1246"/>
        <v/>
      </c>
      <c r="G3566" s="1037" t="str">
        <f t="shared" si="1241"/>
        <v/>
      </c>
      <c r="H3566" s="225"/>
      <c r="I3566" s="1013"/>
      <c r="J3566" s="1013"/>
      <c r="K3566" s="1028"/>
      <c r="L3566" s="1035" t="str">
        <f t="shared" si="1245"/>
        <v/>
      </c>
      <c r="S3566" s="498"/>
      <c r="AJ3566" s="498"/>
      <c r="AM3566" s="498">
        <f t="shared" si="1226"/>
        <v>0</v>
      </c>
      <c r="AN3566" s="498">
        <f t="shared" si="1227"/>
        <v>0</v>
      </c>
      <c r="AO3566" s="498">
        <f t="shared" si="1228"/>
        <v>0</v>
      </c>
      <c r="AP3566" s="498">
        <f t="shared" si="1247"/>
        <v>0</v>
      </c>
      <c r="AQ3566" s="498">
        <f t="shared" si="1242"/>
        <v>0</v>
      </c>
      <c r="AU3566" s="498">
        <f t="shared" si="1229"/>
        <v>0</v>
      </c>
      <c r="AV3566" s="498">
        <f t="shared" si="1230"/>
        <v>0</v>
      </c>
      <c r="AW3566" s="498">
        <f t="shared" si="1231"/>
        <v>0</v>
      </c>
      <c r="AX3566" s="498">
        <f t="shared" si="1232"/>
        <v>0</v>
      </c>
      <c r="AY3566" s="498">
        <f t="shared" si="1233"/>
        <v>0</v>
      </c>
      <c r="BB3566" s="498" t="str">
        <f t="shared" si="1234"/>
        <v/>
      </c>
      <c r="BC3566" s="743" t="str">
        <f t="shared" si="1235"/>
        <v/>
      </c>
      <c r="BD3566" s="743" t="str">
        <f t="shared" si="1236"/>
        <v/>
      </c>
      <c r="BE3566" s="743" t="str">
        <f>IF(D3566="","",VLOOKUP(D3566,'General Basis'!$J$39:$K$46,2,0))</f>
        <v/>
      </c>
      <c r="BF3566" s="744" t="str">
        <f>IF(D3566="","",VLOOKUP(D3566,'General Basis'!$J$39:$L$46,3,0))</f>
        <v/>
      </c>
      <c r="BG3566" s="744" t="str">
        <f t="shared" si="1243"/>
        <v/>
      </c>
      <c r="BH3566" s="744" t="str">
        <f>IF(G3566="","",IF(BF3566="Abu Dhabi",IF(G3566&lt;18,'General Basis'!$C$39,IF(G3566&lt;41,'General Basis'!$C$40,IF(G3566&lt;60,'General Basis'!$C$41,IF(G3566&lt;65,'General Basis'!$C$42,'General Basis'!$C$43)))),IF(G3566&lt;11,'General Basis'!$B$39,IF(G3566&lt;18,'General Basis'!$B$40,IF(G3566&lt;26,'General Basis'!$B$41,IF(G3566&lt;31,'General Basis'!$B$42,IF(G3566&lt;36,'General Basis'!$B$43,IF(G3566&lt;41,'General Basis'!$B$44,IF(G3566&lt;46,'General Basis'!$B$45,IF(G3566&lt;51,'General Basis'!$B$46,IF(G3566&lt;56,'General Basis'!$B$47,IF(G3566&lt;60,'General Basis'!$B$48,IF(G3566&lt;65,'General Basis'!$B$49,'General Basis'!$B$50)))))))))))))</f>
        <v/>
      </c>
      <c r="BI3566" s="744" t="str">
        <f t="shared" si="1237"/>
        <v/>
      </c>
      <c r="BJ3566" s="747" t="str">
        <f t="shared" si="1244"/>
        <v/>
      </c>
      <c r="BK3566" s="498" t="str">
        <f t="shared" si="1238"/>
        <v/>
      </c>
      <c r="BL3566" s="498" t="str">
        <f t="shared" si="1239"/>
        <v/>
      </c>
    </row>
    <row r="3567" spans="1:64" x14ac:dyDescent="0.25">
      <c r="A3567" s="762">
        <f t="shared" si="1240"/>
        <v>3562</v>
      </c>
      <c r="B3567" s="229"/>
      <c r="C3567" s="223"/>
      <c r="D3567" s="224"/>
      <c r="E3567" s="225"/>
      <c r="F3567" s="1036" t="str">
        <f t="shared" si="1246"/>
        <v/>
      </c>
      <c r="G3567" s="1037" t="str">
        <f t="shared" si="1241"/>
        <v/>
      </c>
      <c r="H3567" s="225"/>
      <c r="I3567" s="1013"/>
      <c r="J3567" s="1013"/>
      <c r="K3567" s="1028"/>
      <c r="L3567" s="1035" t="str">
        <f t="shared" si="1245"/>
        <v/>
      </c>
      <c r="S3567" s="498"/>
      <c r="AJ3567" s="498"/>
      <c r="AM3567" s="498">
        <f t="shared" si="1226"/>
        <v>0</v>
      </c>
      <c r="AN3567" s="498">
        <f t="shared" si="1227"/>
        <v>0</v>
      </c>
      <c r="AO3567" s="498">
        <f t="shared" si="1228"/>
        <v>0</v>
      </c>
      <c r="AP3567" s="498">
        <f t="shared" si="1247"/>
        <v>0</v>
      </c>
      <c r="AQ3567" s="498">
        <f t="shared" si="1242"/>
        <v>0</v>
      </c>
      <c r="AU3567" s="498">
        <f t="shared" si="1229"/>
        <v>0</v>
      </c>
      <c r="AV3567" s="498">
        <f t="shared" si="1230"/>
        <v>0</v>
      </c>
      <c r="AW3567" s="498">
        <f t="shared" si="1231"/>
        <v>0</v>
      </c>
      <c r="AX3567" s="498">
        <f t="shared" si="1232"/>
        <v>0</v>
      </c>
      <c r="AY3567" s="498">
        <f t="shared" si="1233"/>
        <v>0</v>
      </c>
      <c r="BB3567" s="498" t="str">
        <f t="shared" si="1234"/>
        <v/>
      </c>
      <c r="BC3567" s="743" t="str">
        <f t="shared" si="1235"/>
        <v/>
      </c>
      <c r="BD3567" s="743" t="str">
        <f t="shared" si="1236"/>
        <v/>
      </c>
      <c r="BE3567" s="743" t="str">
        <f>IF(D3567="","",VLOOKUP(D3567,'General Basis'!$J$39:$K$46,2,0))</f>
        <v/>
      </c>
      <c r="BF3567" s="744" t="str">
        <f>IF(D3567="","",VLOOKUP(D3567,'General Basis'!$J$39:$L$46,3,0))</f>
        <v/>
      </c>
      <c r="BG3567" s="744" t="str">
        <f t="shared" si="1243"/>
        <v/>
      </c>
      <c r="BH3567" s="744" t="str">
        <f>IF(G3567="","",IF(BF3567="Abu Dhabi",IF(G3567&lt;18,'General Basis'!$C$39,IF(G3567&lt;41,'General Basis'!$C$40,IF(G3567&lt;60,'General Basis'!$C$41,IF(G3567&lt;65,'General Basis'!$C$42,'General Basis'!$C$43)))),IF(G3567&lt;11,'General Basis'!$B$39,IF(G3567&lt;18,'General Basis'!$B$40,IF(G3567&lt;26,'General Basis'!$B$41,IF(G3567&lt;31,'General Basis'!$B$42,IF(G3567&lt;36,'General Basis'!$B$43,IF(G3567&lt;41,'General Basis'!$B$44,IF(G3567&lt;46,'General Basis'!$B$45,IF(G3567&lt;51,'General Basis'!$B$46,IF(G3567&lt;56,'General Basis'!$B$47,IF(G3567&lt;60,'General Basis'!$B$48,IF(G3567&lt;65,'General Basis'!$B$49,'General Basis'!$B$50)))))))))))))</f>
        <v/>
      </c>
      <c r="BI3567" s="744" t="str">
        <f t="shared" si="1237"/>
        <v/>
      </c>
      <c r="BJ3567" s="747" t="str">
        <f t="shared" si="1244"/>
        <v/>
      </c>
      <c r="BK3567" s="498" t="str">
        <f t="shared" si="1238"/>
        <v/>
      </c>
      <c r="BL3567" s="498" t="str">
        <f t="shared" si="1239"/>
        <v/>
      </c>
    </row>
    <row r="3568" spans="1:64" x14ac:dyDescent="0.25">
      <c r="A3568" s="762">
        <f t="shared" si="1240"/>
        <v>3563</v>
      </c>
      <c r="B3568" s="229"/>
      <c r="C3568" s="223"/>
      <c r="D3568" s="224"/>
      <c r="E3568" s="225"/>
      <c r="F3568" s="1036" t="str">
        <f t="shared" si="1246"/>
        <v/>
      </c>
      <c r="G3568" s="1037" t="str">
        <f t="shared" si="1241"/>
        <v/>
      </c>
      <c r="H3568" s="225"/>
      <c r="I3568" s="1013"/>
      <c r="J3568" s="1013"/>
      <c r="K3568" s="1028"/>
      <c r="L3568" s="1035" t="str">
        <f t="shared" si="1245"/>
        <v/>
      </c>
      <c r="S3568" s="498"/>
      <c r="AJ3568" s="498"/>
      <c r="AM3568" s="498">
        <f t="shared" si="1226"/>
        <v>0</v>
      </c>
      <c r="AN3568" s="498">
        <f t="shared" si="1227"/>
        <v>0</v>
      </c>
      <c r="AO3568" s="498">
        <f t="shared" si="1228"/>
        <v>0</v>
      </c>
      <c r="AP3568" s="498">
        <f t="shared" si="1247"/>
        <v>0</v>
      </c>
      <c r="AQ3568" s="498">
        <f t="shared" si="1242"/>
        <v>0</v>
      </c>
      <c r="AU3568" s="498">
        <f t="shared" si="1229"/>
        <v>0</v>
      </c>
      <c r="AV3568" s="498">
        <f t="shared" si="1230"/>
        <v>0</v>
      </c>
      <c r="AW3568" s="498">
        <f t="shared" si="1231"/>
        <v>0</v>
      </c>
      <c r="AX3568" s="498">
        <f t="shared" si="1232"/>
        <v>0</v>
      </c>
      <c r="AY3568" s="498">
        <f t="shared" si="1233"/>
        <v>0</v>
      </c>
      <c r="BB3568" s="498" t="str">
        <f t="shared" si="1234"/>
        <v/>
      </c>
      <c r="BC3568" s="743" t="str">
        <f t="shared" si="1235"/>
        <v/>
      </c>
      <c r="BD3568" s="743" t="str">
        <f t="shared" si="1236"/>
        <v/>
      </c>
      <c r="BE3568" s="743" t="str">
        <f>IF(D3568="","",VLOOKUP(D3568,'General Basis'!$J$39:$K$46,2,0))</f>
        <v/>
      </c>
      <c r="BF3568" s="744" t="str">
        <f>IF(D3568="","",VLOOKUP(D3568,'General Basis'!$J$39:$L$46,3,0))</f>
        <v/>
      </c>
      <c r="BG3568" s="744" t="str">
        <f t="shared" si="1243"/>
        <v/>
      </c>
      <c r="BH3568" s="744" t="str">
        <f>IF(G3568="","",IF(BF3568="Abu Dhabi",IF(G3568&lt;18,'General Basis'!$C$39,IF(G3568&lt;41,'General Basis'!$C$40,IF(G3568&lt;60,'General Basis'!$C$41,IF(G3568&lt;65,'General Basis'!$C$42,'General Basis'!$C$43)))),IF(G3568&lt;11,'General Basis'!$B$39,IF(G3568&lt;18,'General Basis'!$B$40,IF(G3568&lt;26,'General Basis'!$B$41,IF(G3568&lt;31,'General Basis'!$B$42,IF(G3568&lt;36,'General Basis'!$B$43,IF(G3568&lt;41,'General Basis'!$B$44,IF(G3568&lt;46,'General Basis'!$B$45,IF(G3568&lt;51,'General Basis'!$B$46,IF(G3568&lt;56,'General Basis'!$B$47,IF(G3568&lt;60,'General Basis'!$B$48,IF(G3568&lt;65,'General Basis'!$B$49,'General Basis'!$B$50)))))))))))))</f>
        <v/>
      </c>
      <c r="BI3568" s="744" t="str">
        <f t="shared" si="1237"/>
        <v/>
      </c>
      <c r="BJ3568" s="747" t="str">
        <f t="shared" si="1244"/>
        <v/>
      </c>
      <c r="BK3568" s="498" t="str">
        <f t="shared" si="1238"/>
        <v/>
      </c>
      <c r="BL3568" s="498" t="str">
        <f t="shared" si="1239"/>
        <v/>
      </c>
    </row>
    <row r="3569" spans="1:64" x14ac:dyDescent="0.25">
      <c r="A3569" s="762">
        <f t="shared" si="1240"/>
        <v>3564</v>
      </c>
      <c r="B3569" s="229"/>
      <c r="C3569" s="223"/>
      <c r="D3569" s="224"/>
      <c r="E3569" s="225"/>
      <c r="F3569" s="1036" t="str">
        <f t="shared" si="1246"/>
        <v/>
      </c>
      <c r="G3569" s="1037" t="str">
        <f t="shared" si="1241"/>
        <v/>
      </c>
      <c r="H3569" s="225"/>
      <c r="I3569" s="1013"/>
      <c r="J3569" s="1013"/>
      <c r="K3569" s="1028"/>
      <c r="L3569" s="1035" t="str">
        <f t="shared" si="1245"/>
        <v/>
      </c>
      <c r="S3569" s="498"/>
      <c r="AJ3569" s="498"/>
      <c r="AM3569" s="498">
        <f t="shared" si="1226"/>
        <v>0</v>
      </c>
      <c r="AN3569" s="498">
        <f t="shared" si="1227"/>
        <v>0</v>
      </c>
      <c r="AO3569" s="498">
        <f t="shared" si="1228"/>
        <v>0</v>
      </c>
      <c r="AP3569" s="498">
        <f t="shared" si="1247"/>
        <v>0</v>
      </c>
      <c r="AQ3569" s="498">
        <f t="shared" si="1242"/>
        <v>0</v>
      </c>
      <c r="AU3569" s="498">
        <f t="shared" si="1229"/>
        <v>0</v>
      </c>
      <c r="AV3569" s="498">
        <f t="shared" si="1230"/>
        <v>0</v>
      </c>
      <c r="AW3569" s="498">
        <f t="shared" si="1231"/>
        <v>0</v>
      </c>
      <c r="AX3569" s="498">
        <f t="shared" si="1232"/>
        <v>0</v>
      </c>
      <c r="AY3569" s="498">
        <f t="shared" si="1233"/>
        <v>0</v>
      </c>
      <c r="BB3569" s="498" t="str">
        <f t="shared" si="1234"/>
        <v/>
      </c>
      <c r="BC3569" s="743" t="str">
        <f t="shared" si="1235"/>
        <v/>
      </c>
      <c r="BD3569" s="743" t="str">
        <f t="shared" si="1236"/>
        <v/>
      </c>
      <c r="BE3569" s="743" t="str">
        <f>IF(D3569="","",VLOOKUP(D3569,'General Basis'!$J$39:$K$46,2,0))</f>
        <v/>
      </c>
      <c r="BF3569" s="744" t="str">
        <f>IF(D3569="","",VLOOKUP(D3569,'General Basis'!$J$39:$L$46,3,0))</f>
        <v/>
      </c>
      <c r="BG3569" s="744" t="str">
        <f t="shared" si="1243"/>
        <v/>
      </c>
      <c r="BH3569" s="744" t="str">
        <f>IF(G3569="","",IF(BF3569="Abu Dhabi",IF(G3569&lt;18,'General Basis'!$C$39,IF(G3569&lt;41,'General Basis'!$C$40,IF(G3569&lt;60,'General Basis'!$C$41,IF(G3569&lt;65,'General Basis'!$C$42,'General Basis'!$C$43)))),IF(G3569&lt;11,'General Basis'!$B$39,IF(G3569&lt;18,'General Basis'!$B$40,IF(G3569&lt;26,'General Basis'!$B$41,IF(G3569&lt;31,'General Basis'!$B$42,IF(G3569&lt;36,'General Basis'!$B$43,IF(G3569&lt;41,'General Basis'!$B$44,IF(G3569&lt;46,'General Basis'!$B$45,IF(G3569&lt;51,'General Basis'!$B$46,IF(G3569&lt;56,'General Basis'!$B$47,IF(G3569&lt;60,'General Basis'!$B$48,IF(G3569&lt;65,'General Basis'!$B$49,'General Basis'!$B$50)))))))))))))</f>
        <v/>
      </c>
      <c r="BI3569" s="744" t="str">
        <f t="shared" si="1237"/>
        <v/>
      </c>
      <c r="BJ3569" s="747" t="str">
        <f t="shared" si="1244"/>
        <v/>
      </c>
      <c r="BK3569" s="498" t="str">
        <f t="shared" si="1238"/>
        <v/>
      </c>
      <c r="BL3569" s="498" t="str">
        <f t="shared" si="1239"/>
        <v/>
      </c>
    </row>
    <row r="3570" spans="1:64" x14ac:dyDescent="0.25">
      <c r="A3570" s="762">
        <f t="shared" si="1240"/>
        <v>3565</v>
      </c>
      <c r="B3570" s="229"/>
      <c r="C3570" s="223"/>
      <c r="D3570" s="224"/>
      <c r="E3570" s="225"/>
      <c r="F3570" s="1036" t="str">
        <f t="shared" si="1246"/>
        <v/>
      </c>
      <c r="G3570" s="1037" t="str">
        <f t="shared" si="1241"/>
        <v/>
      </c>
      <c r="H3570" s="225"/>
      <c r="I3570" s="1013"/>
      <c r="J3570" s="1013"/>
      <c r="K3570" s="1028"/>
      <c r="L3570" s="1035" t="str">
        <f t="shared" si="1245"/>
        <v/>
      </c>
      <c r="S3570" s="498"/>
      <c r="AJ3570" s="498"/>
      <c r="AM3570" s="498">
        <f t="shared" si="1226"/>
        <v>0</v>
      </c>
      <c r="AN3570" s="498">
        <f t="shared" si="1227"/>
        <v>0</v>
      </c>
      <c r="AO3570" s="498">
        <f t="shared" si="1228"/>
        <v>0</v>
      </c>
      <c r="AP3570" s="498">
        <f t="shared" si="1247"/>
        <v>0</v>
      </c>
      <c r="AQ3570" s="498">
        <f t="shared" si="1242"/>
        <v>0</v>
      </c>
      <c r="AU3570" s="498">
        <f t="shared" si="1229"/>
        <v>0</v>
      </c>
      <c r="AV3570" s="498">
        <f t="shared" si="1230"/>
        <v>0</v>
      </c>
      <c r="AW3570" s="498">
        <f t="shared" si="1231"/>
        <v>0</v>
      </c>
      <c r="AX3570" s="498">
        <f t="shared" si="1232"/>
        <v>0</v>
      </c>
      <c r="AY3570" s="498">
        <f t="shared" si="1233"/>
        <v>0</v>
      </c>
      <c r="BB3570" s="498" t="str">
        <f t="shared" si="1234"/>
        <v/>
      </c>
      <c r="BC3570" s="743" t="str">
        <f t="shared" si="1235"/>
        <v/>
      </c>
      <c r="BD3570" s="743" t="str">
        <f t="shared" si="1236"/>
        <v/>
      </c>
      <c r="BE3570" s="743" t="str">
        <f>IF(D3570="","",VLOOKUP(D3570,'General Basis'!$J$39:$K$46,2,0))</f>
        <v/>
      </c>
      <c r="BF3570" s="744" t="str">
        <f>IF(D3570="","",VLOOKUP(D3570,'General Basis'!$J$39:$L$46,3,0))</f>
        <v/>
      </c>
      <c r="BG3570" s="744" t="str">
        <f t="shared" si="1243"/>
        <v/>
      </c>
      <c r="BH3570" s="744" t="str">
        <f>IF(G3570="","",IF(BF3570="Abu Dhabi",IF(G3570&lt;18,'General Basis'!$C$39,IF(G3570&lt;41,'General Basis'!$C$40,IF(G3570&lt;60,'General Basis'!$C$41,IF(G3570&lt;65,'General Basis'!$C$42,'General Basis'!$C$43)))),IF(G3570&lt;11,'General Basis'!$B$39,IF(G3570&lt;18,'General Basis'!$B$40,IF(G3570&lt;26,'General Basis'!$B$41,IF(G3570&lt;31,'General Basis'!$B$42,IF(G3570&lt;36,'General Basis'!$B$43,IF(G3570&lt;41,'General Basis'!$B$44,IF(G3570&lt;46,'General Basis'!$B$45,IF(G3570&lt;51,'General Basis'!$B$46,IF(G3570&lt;56,'General Basis'!$B$47,IF(G3570&lt;60,'General Basis'!$B$48,IF(G3570&lt;65,'General Basis'!$B$49,'General Basis'!$B$50)))))))))))))</f>
        <v/>
      </c>
      <c r="BI3570" s="744" t="str">
        <f t="shared" si="1237"/>
        <v/>
      </c>
      <c r="BJ3570" s="747" t="str">
        <f t="shared" si="1244"/>
        <v/>
      </c>
      <c r="BK3570" s="498" t="str">
        <f t="shared" si="1238"/>
        <v/>
      </c>
      <c r="BL3570" s="498" t="str">
        <f t="shared" si="1239"/>
        <v/>
      </c>
    </row>
    <row r="3571" spans="1:64" x14ac:dyDescent="0.25">
      <c r="A3571" s="762">
        <f t="shared" si="1240"/>
        <v>3566</v>
      </c>
      <c r="B3571" s="229"/>
      <c r="C3571" s="223"/>
      <c r="D3571" s="224"/>
      <c r="E3571" s="225"/>
      <c r="F3571" s="1036" t="str">
        <f t="shared" si="1246"/>
        <v/>
      </c>
      <c r="G3571" s="1037" t="str">
        <f t="shared" si="1241"/>
        <v/>
      </c>
      <c r="H3571" s="225"/>
      <c r="I3571" s="1013"/>
      <c r="J3571" s="1013"/>
      <c r="K3571" s="1028"/>
      <c r="L3571" s="1035" t="str">
        <f t="shared" si="1245"/>
        <v/>
      </c>
      <c r="S3571" s="498"/>
      <c r="AJ3571" s="498"/>
      <c r="AM3571" s="498">
        <f t="shared" si="1226"/>
        <v>0</v>
      </c>
      <c r="AN3571" s="498">
        <f t="shared" si="1227"/>
        <v>0</v>
      </c>
      <c r="AO3571" s="498">
        <f t="shared" si="1228"/>
        <v>0</v>
      </c>
      <c r="AP3571" s="498">
        <f t="shared" si="1247"/>
        <v>0</v>
      </c>
      <c r="AQ3571" s="498">
        <f t="shared" si="1242"/>
        <v>0</v>
      </c>
      <c r="AU3571" s="498">
        <f t="shared" si="1229"/>
        <v>0</v>
      </c>
      <c r="AV3571" s="498">
        <f t="shared" si="1230"/>
        <v>0</v>
      </c>
      <c r="AW3571" s="498">
        <f t="shared" si="1231"/>
        <v>0</v>
      </c>
      <c r="AX3571" s="498">
        <f t="shared" si="1232"/>
        <v>0</v>
      </c>
      <c r="AY3571" s="498">
        <f t="shared" si="1233"/>
        <v>0</v>
      </c>
      <c r="BB3571" s="498" t="str">
        <f t="shared" si="1234"/>
        <v/>
      </c>
      <c r="BC3571" s="743" t="str">
        <f t="shared" si="1235"/>
        <v/>
      </c>
      <c r="BD3571" s="743" t="str">
        <f t="shared" si="1236"/>
        <v/>
      </c>
      <c r="BE3571" s="743" t="str">
        <f>IF(D3571="","",VLOOKUP(D3571,'General Basis'!$J$39:$K$46,2,0))</f>
        <v/>
      </c>
      <c r="BF3571" s="744" t="str">
        <f>IF(D3571="","",VLOOKUP(D3571,'General Basis'!$J$39:$L$46,3,0))</f>
        <v/>
      </c>
      <c r="BG3571" s="744" t="str">
        <f t="shared" si="1243"/>
        <v/>
      </c>
      <c r="BH3571" s="744" t="str">
        <f>IF(G3571="","",IF(BF3571="Abu Dhabi",IF(G3571&lt;18,'General Basis'!$C$39,IF(G3571&lt;41,'General Basis'!$C$40,IF(G3571&lt;60,'General Basis'!$C$41,IF(G3571&lt;65,'General Basis'!$C$42,'General Basis'!$C$43)))),IF(G3571&lt;11,'General Basis'!$B$39,IF(G3571&lt;18,'General Basis'!$B$40,IF(G3571&lt;26,'General Basis'!$B$41,IF(G3571&lt;31,'General Basis'!$B$42,IF(G3571&lt;36,'General Basis'!$B$43,IF(G3571&lt;41,'General Basis'!$B$44,IF(G3571&lt;46,'General Basis'!$B$45,IF(G3571&lt;51,'General Basis'!$B$46,IF(G3571&lt;56,'General Basis'!$B$47,IF(G3571&lt;60,'General Basis'!$B$48,IF(G3571&lt;65,'General Basis'!$B$49,'General Basis'!$B$50)))))))))))))</f>
        <v/>
      </c>
      <c r="BI3571" s="744" t="str">
        <f t="shared" si="1237"/>
        <v/>
      </c>
      <c r="BJ3571" s="747" t="str">
        <f t="shared" si="1244"/>
        <v/>
      </c>
      <c r="BK3571" s="498" t="str">
        <f t="shared" si="1238"/>
        <v/>
      </c>
      <c r="BL3571" s="498" t="str">
        <f t="shared" si="1239"/>
        <v/>
      </c>
    </row>
    <row r="3572" spans="1:64" x14ac:dyDescent="0.25">
      <c r="A3572" s="762">
        <f t="shared" si="1240"/>
        <v>3567</v>
      </c>
      <c r="B3572" s="229"/>
      <c r="C3572" s="223"/>
      <c r="D3572" s="224"/>
      <c r="E3572" s="225"/>
      <c r="F3572" s="1036" t="str">
        <f t="shared" si="1246"/>
        <v/>
      </c>
      <c r="G3572" s="1037" t="str">
        <f t="shared" si="1241"/>
        <v/>
      </c>
      <c r="H3572" s="225"/>
      <c r="I3572" s="1013"/>
      <c r="J3572" s="1013"/>
      <c r="K3572" s="1028"/>
      <c r="L3572" s="1035" t="str">
        <f t="shared" si="1245"/>
        <v/>
      </c>
      <c r="S3572" s="498"/>
      <c r="AJ3572" s="498"/>
      <c r="AM3572" s="498">
        <f t="shared" si="1226"/>
        <v>0</v>
      </c>
      <c r="AN3572" s="498">
        <f t="shared" si="1227"/>
        <v>0</v>
      </c>
      <c r="AO3572" s="498">
        <f t="shared" si="1228"/>
        <v>0</v>
      </c>
      <c r="AP3572" s="498">
        <f t="shared" si="1247"/>
        <v>0</v>
      </c>
      <c r="AQ3572" s="498">
        <f t="shared" si="1242"/>
        <v>0</v>
      </c>
      <c r="AU3572" s="498">
        <f t="shared" si="1229"/>
        <v>0</v>
      </c>
      <c r="AV3572" s="498">
        <f t="shared" si="1230"/>
        <v>0</v>
      </c>
      <c r="AW3572" s="498">
        <f t="shared" si="1231"/>
        <v>0</v>
      </c>
      <c r="AX3572" s="498">
        <f t="shared" si="1232"/>
        <v>0</v>
      </c>
      <c r="AY3572" s="498">
        <f t="shared" si="1233"/>
        <v>0</v>
      </c>
      <c r="BB3572" s="498" t="str">
        <f t="shared" si="1234"/>
        <v/>
      </c>
      <c r="BC3572" s="743" t="str">
        <f t="shared" si="1235"/>
        <v/>
      </c>
      <c r="BD3572" s="743" t="str">
        <f t="shared" si="1236"/>
        <v/>
      </c>
      <c r="BE3572" s="743" t="str">
        <f>IF(D3572="","",VLOOKUP(D3572,'General Basis'!$J$39:$K$46,2,0))</f>
        <v/>
      </c>
      <c r="BF3572" s="744" t="str">
        <f>IF(D3572="","",VLOOKUP(D3572,'General Basis'!$J$39:$L$46,3,0))</f>
        <v/>
      </c>
      <c r="BG3572" s="744" t="str">
        <f t="shared" si="1243"/>
        <v/>
      </c>
      <c r="BH3572" s="744" t="str">
        <f>IF(G3572="","",IF(BF3572="Abu Dhabi",IF(G3572&lt;18,'General Basis'!$C$39,IF(G3572&lt;41,'General Basis'!$C$40,IF(G3572&lt;60,'General Basis'!$C$41,IF(G3572&lt;65,'General Basis'!$C$42,'General Basis'!$C$43)))),IF(G3572&lt;11,'General Basis'!$B$39,IF(G3572&lt;18,'General Basis'!$B$40,IF(G3572&lt;26,'General Basis'!$B$41,IF(G3572&lt;31,'General Basis'!$B$42,IF(G3572&lt;36,'General Basis'!$B$43,IF(G3572&lt;41,'General Basis'!$B$44,IF(G3572&lt;46,'General Basis'!$B$45,IF(G3572&lt;51,'General Basis'!$B$46,IF(G3572&lt;56,'General Basis'!$B$47,IF(G3572&lt;60,'General Basis'!$B$48,IF(G3572&lt;65,'General Basis'!$B$49,'General Basis'!$B$50)))))))))))))</f>
        <v/>
      </c>
      <c r="BI3572" s="744" t="str">
        <f t="shared" si="1237"/>
        <v/>
      </c>
      <c r="BJ3572" s="747" t="str">
        <f t="shared" si="1244"/>
        <v/>
      </c>
      <c r="BK3572" s="498" t="str">
        <f t="shared" si="1238"/>
        <v/>
      </c>
      <c r="BL3572" s="498" t="str">
        <f t="shared" si="1239"/>
        <v/>
      </c>
    </row>
    <row r="3573" spans="1:64" x14ac:dyDescent="0.25">
      <c r="A3573" s="762">
        <f t="shared" si="1240"/>
        <v>3568</v>
      </c>
      <c r="B3573" s="229"/>
      <c r="C3573" s="223"/>
      <c r="D3573" s="224"/>
      <c r="E3573" s="225"/>
      <c r="F3573" s="1036" t="str">
        <f t="shared" si="1246"/>
        <v/>
      </c>
      <c r="G3573" s="1037" t="str">
        <f t="shared" si="1241"/>
        <v/>
      </c>
      <c r="H3573" s="225"/>
      <c r="I3573" s="1013"/>
      <c r="J3573" s="1013"/>
      <c r="K3573" s="1028"/>
      <c r="L3573" s="1035" t="str">
        <f t="shared" si="1245"/>
        <v/>
      </c>
      <c r="S3573" s="498"/>
      <c r="AJ3573" s="498"/>
      <c r="AM3573" s="498">
        <f t="shared" si="1226"/>
        <v>0</v>
      </c>
      <c r="AN3573" s="498">
        <f t="shared" si="1227"/>
        <v>0</v>
      </c>
      <c r="AO3573" s="498">
        <f t="shared" si="1228"/>
        <v>0</v>
      </c>
      <c r="AP3573" s="498">
        <f t="shared" si="1247"/>
        <v>0</v>
      </c>
      <c r="AQ3573" s="498">
        <f t="shared" si="1242"/>
        <v>0</v>
      </c>
      <c r="AU3573" s="498">
        <f t="shared" si="1229"/>
        <v>0</v>
      </c>
      <c r="AV3573" s="498">
        <f t="shared" si="1230"/>
        <v>0</v>
      </c>
      <c r="AW3573" s="498">
        <f t="shared" si="1231"/>
        <v>0</v>
      </c>
      <c r="AX3573" s="498">
        <f t="shared" si="1232"/>
        <v>0</v>
      </c>
      <c r="AY3573" s="498">
        <f t="shared" si="1233"/>
        <v>0</v>
      </c>
      <c r="BB3573" s="498" t="str">
        <f t="shared" si="1234"/>
        <v/>
      </c>
      <c r="BC3573" s="743" t="str">
        <f t="shared" si="1235"/>
        <v/>
      </c>
      <c r="BD3573" s="743" t="str">
        <f t="shared" si="1236"/>
        <v/>
      </c>
      <c r="BE3573" s="743" t="str">
        <f>IF(D3573="","",VLOOKUP(D3573,'General Basis'!$J$39:$K$46,2,0))</f>
        <v/>
      </c>
      <c r="BF3573" s="744" t="str">
        <f>IF(D3573="","",VLOOKUP(D3573,'General Basis'!$J$39:$L$46,3,0))</f>
        <v/>
      </c>
      <c r="BG3573" s="744" t="str">
        <f t="shared" si="1243"/>
        <v/>
      </c>
      <c r="BH3573" s="744" t="str">
        <f>IF(G3573="","",IF(BF3573="Abu Dhabi",IF(G3573&lt;18,'General Basis'!$C$39,IF(G3573&lt;41,'General Basis'!$C$40,IF(G3573&lt;60,'General Basis'!$C$41,IF(G3573&lt;65,'General Basis'!$C$42,'General Basis'!$C$43)))),IF(G3573&lt;11,'General Basis'!$B$39,IF(G3573&lt;18,'General Basis'!$B$40,IF(G3573&lt;26,'General Basis'!$B$41,IF(G3573&lt;31,'General Basis'!$B$42,IF(G3573&lt;36,'General Basis'!$B$43,IF(G3573&lt;41,'General Basis'!$B$44,IF(G3573&lt;46,'General Basis'!$B$45,IF(G3573&lt;51,'General Basis'!$B$46,IF(G3573&lt;56,'General Basis'!$B$47,IF(G3573&lt;60,'General Basis'!$B$48,IF(G3573&lt;65,'General Basis'!$B$49,'General Basis'!$B$50)))))))))))))</f>
        <v/>
      </c>
      <c r="BI3573" s="744" t="str">
        <f t="shared" si="1237"/>
        <v/>
      </c>
      <c r="BJ3573" s="747" t="str">
        <f t="shared" si="1244"/>
        <v/>
      </c>
      <c r="BK3573" s="498" t="str">
        <f t="shared" si="1238"/>
        <v/>
      </c>
      <c r="BL3573" s="498" t="str">
        <f t="shared" si="1239"/>
        <v/>
      </c>
    </row>
    <row r="3574" spans="1:64" x14ac:dyDescent="0.25">
      <c r="A3574" s="762">
        <f t="shared" si="1240"/>
        <v>3569</v>
      </c>
      <c r="B3574" s="229"/>
      <c r="C3574" s="223"/>
      <c r="D3574" s="224"/>
      <c r="E3574" s="225"/>
      <c r="F3574" s="1036" t="str">
        <f t="shared" si="1246"/>
        <v/>
      </c>
      <c r="G3574" s="1037" t="str">
        <f t="shared" si="1241"/>
        <v/>
      </c>
      <c r="H3574" s="225"/>
      <c r="I3574" s="1013"/>
      <c r="J3574" s="1013"/>
      <c r="K3574" s="1028"/>
      <c r="L3574" s="1035" t="str">
        <f t="shared" si="1245"/>
        <v/>
      </c>
      <c r="S3574" s="498"/>
      <c r="AJ3574" s="498"/>
      <c r="AM3574" s="498">
        <f t="shared" si="1226"/>
        <v>0</v>
      </c>
      <c r="AN3574" s="498">
        <f t="shared" si="1227"/>
        <v>0</v>
      </c>
      <c r="AO3574" s="498">
        <f t="shared" si="1228"/>
        <v>0</v>
      </c>
      <c r="AP3574" s="498">
        <f t="shared" si="1247"/>
        <v>0</v>
      </c>
      <c r="AQ3574" s="498">
        <f t="shared" si="1242"/>
        <v>0</v>
      </c>
      <c r="AU3574" s="498">
        <f t="shared" si="1229"/>
        <v>0</v>
      </c>
      <c r="AV3574" s="498">
        <f t="shared" si="1230"/>
        <v>0</v>
      </c>
      <c r="AW3574" s="498">
        <f t="shared" si="1231"/>
        <v>0</v>
      </c>
      <c r="AX3574" s="498">
        <f t="shared" si="1232"/>
        <v>0</v>
      </c>
      <c r="AY3574" s="498">
        <f t="shared" si="1233"/>
        <v>0</v>
      </c>
      <c r="BB3574" s="498" t="str">
        <f t="shared" si="1234"/>
        <v/>
      </c>
      <c r="BC3574" s="743" t="str">
        <f t="shared" si="1235"/>
        <v/>
      </c>
      <c r="BD3574" s="743" t="str">
        <f t="shared" si="1236"/>
        <v/>
      </c>
      <c r="BE3574" s="743" t="str">
        <f>IF(D3574="","",VLOOKUP(D3574,'General Basis'!$J$39:$K$46,2,0))</f>
        <v/>
      </c>
      <c r="BF3574" s="744" t="str">
        <f>IF(D3574="","",VLOOKUP(D3574,'General Basis'!$J$39:$L$46,3,0))</f>
        <v/>
      </c>
      <c r="BG3574" s="744" t="str">
        <f t="shared" si="1243"/>
        <v/>
      </c>
      <c r="BH3574" s="744" t="str">
        <f>IF(G3574="","",IF(BF3574="Abu Dhabi",IF(G3574&lt;18,'General Basis'!$C$39,IF(G3574&lt;41,'General Basis'!$C$40,IF(G3574&lt;60,'General Basis'!$C$41,IF(G3574&lt;65,'General Basis'!$C$42,'General Basis'!$C$43)))),IF(G3574&lt;11,'General Basis'!$B$39,IF(G3574&lt;18,'General Basis'!$B$40,IF(G3574&lt;26,'General Basis'!$B$41,IF(G3574&lt;31,'General Basis'!$B$42,IF(G3574&lt;36,'General Basis'!$B$43,IF(G3574&lt;41,'General Basis'!$B$44,IF(G3574&lt;46,'General Basis'!$B$45,IF(G3574&lt;51,'General Basis'!$B$46,IF(G3574&lt;56,'General Basis'!$B$47,IF(G3574&lt;60,'General Basis'!$B$48,IF(G3574&lt;65,'General Basis'!$B$49,'General Basis'!$B$50)))))))))))))</f>
        <v/>
      </c>
      <c r="BI3574" s="744" t="str">
        <f t="shared" si="1237"/>
        <v/>
      </c>
      <c r="BJ3574" s="747" t="str">
        <f t="shared" si="1244"/>
        <v/>
      </c>
      <c r="BK3574" s="498" t="str">
        <f t="shared" si="1238"/>
        <v/>
      </c>
      <c r="BL3574" s="498" t="str">
        <f t="shared" si="1239"/>
        <v/>
      </c>
    </row>
    <row r="3575" spans="1:64" x14ac:dyDescent="0.25">
      <c r="A3575" s="762">
        <f t="shared" si="1240"/>
        <v>3570</v>
      </c>
      <c r="B3575" s="229"/>
      <c r="C3575" s="223"/>
      <c r="D3575" s="224"/>
      <c r="E3575" s="225"/>
      <c r="F3575" s="1036" t="str">
        <f t="shared" si="1246"/>
        <v/>
      </c>
      <c r="G3575" s="1037" t="str">
        <f t="shared" si="1241"/>
        <v/>
      </c>
      <c r="H3575" s="225"/>
      <c r="I3575" s="1013"/>
      <c r="J3575" s="1013"/>
      <c r="K3575" s="1028"/>
      <c r="L3575" s="1035" t="str">
        <f t="shared" si="1245"/>
        <v/>
      </c>
      <c r="S3575" s="498"/>
      <c r="AJ3575" s="498"/>
      <c r="AM3575" s="498">
        <f t="shared" si="1226"/>
        <v>0</v>
      </c>
      <c r="AN3575" s="498">
        <f t="shared" si="1227"/>
        <v>0</v>
      </c>
      <c r="AO3575" s="498">
        <f t="shared" si="1228"/>
        <v>0</v>
      </c>
      <c r="AP3575" s="498">
        <f t="shared" si="1247"/>
        <v>0</v>
      </c>
      <c r="AQ3575" s="498">
        <f t="shared" si="1242"/>
        <v>0</v>
      </c>
      <c r="AU3575" s="498">
        <f t="shared" si="1229"/>
        <v>0</v>
      </c>
      <c r="AV3575" s="498">
        <f t="shared" si="1230"/>
        <v>0</v>
      </c>
      <c r="AW3575" s="498">
        <f t="shared" si="1231"/>
        <v>0</v>
      </c>
      <c r="AX3575" s="498">
        <f t="shared" si="1232"/>
        <v>0</v>
      </c>
      <c r="AY3575" s="498">
        <f t="shared" si="1233"/>
        <v>0</v>
      </c>
      <c r="BB3575" s="498" t="str">
        <f t="shared" si="1234"/>
        <v/>
      </c>
      <c r="BC3575" s="743" t="str">
        <f t="shared" si="1235"/>
        <v/>
      </c>
      <c r="BD3575" s="743" t="str">
        <f t="shared" si="1236"/>
        <v/>
      </c>
      <c r="BE3575" s="743" t="str">
        <f>IF(D3575="","",VLOOKUP(D3575,'General Basis'!$J$39:$K$46,2,0))</f>
        <v/>
      </c>
      <c r="BF3575" s="744" t="str">
        <f>IF(D3575="","",VLOOKUP(D3575,'General Basis'!$J$39:$L$46,3,0))</f>
        <v/>
      </c>
      <c r="BG3575" s="744" t="str">
        <f t="shared" si="1243"/>
        <v/>
      </c>
      <c r="BH3575" s="744" t="str">
        <f>IF(G3575="","",IF(BF3575="Abu Dhabi",IF(G3575&lt;18,'General Basis'!$C$39,IF(G3575&lt;41,'General Basis'!$C$40,IF(G3575&lt;60,'General Basis'!$C$41,IF(G3575&lt;65,'General Basis'!$C$42,'General Basis'!$C$43)))),IF(G3575&lt;11,'General Basis'!$B$39,IF(G3575&lt;18,'General Basis'!$B$40,IF(G3575&lt;26,'General Basis'!$B$41,IF(G3575&lt;31,'General Basis'!$B$42,IF(G3575&lt;36,'General Basis'!$B$43,IF(G3575&lt;41,'General Basis'!$B$44,IF(G3575&lt;46,'General Basis'!$B$45,IF(G3575&lt;51,'General Basis'!$B$46,IF(G3575&lt;56,'General Basis'!$B$47,IF(G3575&lt;60,'General Basis'!$B$48,IF(G3575&lt;65,'General Basis'!$B$49,'General Basis'!$B$50)))))))))))))</f>
        <v/>
      </c>
      <c r="BI3575" s="744" t="str">
        <f t="shared" si="1237"/>
        <v/>
      </c>
      <c r="BJ3575" s="747" t="str">
        <f t="shared" si="1244"/>
        <v/>
      </c>
      <c r="BK3575" s="498" t="str">
        <f t="shared" si="1238"/>
        <v/>
      </c>
      <c r="BL3575" s="498" t="str">
        <f t="shared" si="1239"/>
        <v/>
      </c>
    </row>
    <row r="3576" spans="1:64" x14ac:dyDescent="0.25">
      <c r="A3576" s="762">
        <f t="shared" si="1240"/>
        <v>3571</v>
      </c>
      <c r="B3576" s="229"/>
      <c r="C3576" s="223"/>
      <c r="D3576" s="224"/>
      <c r="E3576" s="225"/>
      <c r="F3576" s="1036" t="str">
        <f t="shared" si="1246"/>
        <v/>
      </c>
      <c r="G3576" s="1037" t="str">
        <f t="shared" si="1241"/>
        <v/>
      </c>
      <c r="H3576" s="225"/>
      <c r="I3576" s="1013"/>
      <c r="J3576" s="1013"/>
      <c r="K3576" s="1028"/>
      <c r="L3576" s="1035" t="str">
        <f t="shared" si="1245"/>
        <v/>
      </c>
      <c r="S3576" s="498"/>
      <c r="AJ3576" s="498"/>
      <c r="AM3576" s="498">
        <f t="shared" si="1226"/>
        <v>0</v>
      </c>
      <c r="AN3576" s="498">
        <f t="shared" si="1227"/>
        <v>0</v>
      </c>
      <c r="AO3576" s="498">
        <f t="shared" si="1228"/>
        <v>0</v>
      </c>
      <c r="AP3576" s="498">
        <f t="shared" si="1247"/>
        <v>0</v>
      </c>
      <c r="AQ3576" s="498">
        <f t="shared" si="1242"/>
        <v>0</v>
      </c>
      <c r="AU3576" s="498">
        <f t="shared" si="1229"/>
        <v>0</v>
      </c>
      <c r="AV3576" s="498">
        <f t="shared" si="1230"/>
        <v>0</v>
      </c>
      <c r="AW3576" s="498">
        <f t="shared" si="1231"/>
        <v>0</v>
      </c>
      <c r="AX3576" s="498">
        <f t="shared" si="1232"/>
        <v>0</v>
      </c>
      <c r="AY3576" s="498">
        <f t="shared" si="1233"/>
        <v>0</v>
      </c>
      <c r="BB3576" s="498" t="str">
        <f t="shared" si="1234"/>
        <v/>
      </c>
      <c r="BC3576" s="743" t="str">
        <f t="shared" si="1235"/>
        <v/>
      </c>
      <c r="BD3576" s="743" t="str">
        <f t="shared" si="1236"/>
        <v/>
      </c>
      <c r="BE3576" s="743" t="str">
        <f>IF(D3576="","",VLOOKUP(D3576,'General Basis'!$J$39:$K$46,2,0))</f>
        <v/>
      </c>
      <c r="BF3576" s="744" t="str">
        <f>IF(D3576="","",VLOOKUP(D3576,'General Basis'!$J$39:$L$46,3,0))</f>
        <v/>
      </c>
      <c r="BG3576" s="744" t="str">
        <f t="shared" si="1243"/>
        <v/>
      </c>
      <c r="BH3576" s="744" t="str">
        <f>IF(G3576="","",IF(BF3576="Abu Dhabi",IF(G3576&lt;18,'General Basis'!$C$39,IF(G3576&lt;41,'General Basis'!$C$40,IF(G3576&lt;60,'General Basis'!$C$41,IF(G3576&lt;65,'General Basis'!$C$42,'General Basis'!$C$43)))),IF(G3576&lt;11,'General Basis'!$B$39,IF(G3576&lt;18,'General Basis'!$B$40,IF(G3576&lt;26,'General Basis'!$B$41,IF(G3576&lt;31,'General Basis'!$B$42,IF(G3576&lt;36,'General Basis'!$B$43,IF(G3576&lt;41,'General Basis'!$B$44,IF(G3576&lt;46,'General Basis'!$B$45,IF(G3576&lt;51,'General Basis'!$B$46,IF(G3576&lt;56,'General Basis'!$B$47,IF(G3576&lt;60,'General Basis'!$B$48,IF(G3576&lt;65,'General Basis'!$B$49,'General Basis'!$B$50)))))))))))))</f>
        <v/>
      </c>
      <c r="BI3576" s="744" t="str">
        <f t="shared" si="1237"/>
        <v/>
      </c>
      <c r="BJ3576" s="747" t="str">
        <f t="shared" si="1244"/>
        <v/>
      </c>
      <c r="BK3576" s="498" t="str">
        <f t="shared" si="1238"/>
        <v/>
      </c>
      <c r="BL3576" s="498" t="str">
        <f t="shared" si="1239"/>
        <v/>
      </c>
    </row>
    <row r="3577" spans="1:64" x14ac:dyDescent="0.25">
      <c r="A3577" s="762">
        <f t="shared" si="1240"/>
        <v>3572</v>
      </c>
      <c r="B3577" s="229"/>
      <c r="C3577" s="223"/>
      <c r="D3577" s="224"/>
      <c r="E3577" s="225"/>
      <c r="F3577" s="1036" t="str">
        <f t="shared" si="1246"/>
        <v/>
      </c>
      <c r="G3577" s="1037" t="str">
        <f t="shared" si="1241"/>
        <v/>
      </c>
      <c r="H3577" s="225"/>
      <c r="I3577" s="1013"/>
      <c r="J3577" s="1013"/>
      <c r="K3577" s="1028"/>
      <c r="L3577" s="1035" t="str">
        <f t="shared" si="1245"/>
        <v/>
      </c>
      <c r="S3577" s="498"/>
      <c r="AJ3577" s="498"/>
      <c r="AM3577" s="498">
        <f t="shared" si="1226"/>
        <v>0</v>
      </c>
      <c r="AN3577" s="498">
        <f t="shared" si="1227"/>
        <v>0</v>
      </c>
      <c r="AO3577" s="498">
        <f t="shared" si="1228"/>
        <v>0</v>
      </c>
      <c r="AP3577" s="498">
        <f t="shared" si="1247"/>
        <v>0</v>
      </c>
      <c r="AQ3577" s="498">
        <f t="shared" si="1242"/>
        <v>0</v>
      </c>
      <c r="AU3577" s="498">
        <f t="shared" si="1229"/>
        <v>0</v>
      </c>
      <c r="AV3577" s="498">
        <f t="shared" si="1230"/>
        <v>0</v>
      </c>
      <c r="AW3577" s="498">
        <f t="shared" si="1231"/>
        <v>0</v>
      </c>
      <c r="AX3577" s="498">
        <f t="shared" si="1232"/>
        <v>0</v>
      </c>
      <c r="AY3577" s="498">
        <f t="shared" si="1233"/>
        <v>0</v>
      </c>
      <c r="BB3577" s="498" t="str">
        <f t="shared" si="1234"/>
        <v/>
      </c>
      <c r="BC3577" s="743" t="str">
        <f t="shared" si="1235"/>
        <v/>
      </c>
      <c r="BD3577" s="743" t="str">
        <f t="shared" si="1236"/>
        <v/>
      </c>
      <c r="BE3577" s="743" t="str">
        <f>IF(D3577="","",VLOOKUP(D3577,'General Basis'!$J$39:$K$46,2,0))</f>
        <v/>
      </c>
      <c r="BF3577" s="744" t="str">
        <f>IF(D3577="","",VLOOKUP(D3577,'General Basis'!$J$39:$L$46,3,0))</f>
        <v/>
      </c>
      <c r="BG3577" s="744" t="str">
        <f t="shared" si="1243"/>
        <v/>
      </c>
      <c r="BH3577" s="744" t="str">
        <f>IF(G3577="","",IF(BF3577="Abu Dhabi",IF(G3577&lt;18,'General Basis'!$C$39,IF(G3577&lt;41,'General Basis'!$C$40,IF(G3577&lt;60,'General Basis'!$C$41,IF(G3577&lt;65,'General Basis'!$C$42,'General Basis'!$C$43)))),IF(G3577&lt;11,'General Basis'!$B$39,IF(G3577&lt;18,'General Basis'!$B$40,IF(G3577&lt;26,'General Basis'!$B$41,IF(G3577&lt;31,'General Basis'!$B$42,IF(G3577&lt;36,'General Basis'!$B$43,IF(G3577&lt;41,'General Basis'!$B$44,IF(G3577&lt;46,'General Basis'!$B$45,IF(G3577&lt;51,'General Basis'!$B$46,IF(G3577&lt;56,'General Basis'!$B$47,IF(G3577&lt;60,'General Basis'!$B$48,IF(G3577&lt;65,'General Basis'!$B$49,'General Basis'!$B$50)))))))))))))</f>
        <v/>
      </c>
      <c r="BI3577" s="744" t="str">
        <f t="shared" si="1237"/>
        <v/>
      </c>
      <c r="BJ3577" s="747" t="str">
        <f t="shared" si="1244"/>
        <v/>
      </c>
      <c r="BK3577" s="498" t="str">
        <f t="shared" si="1238"/>
        <v/>
      </c>
      <c r="BL3577" s="498" t="str">
        <f t="shared" si="1239"/>
        <v/>
      </c>
    </row>
    <row r="3578" spans="1:64" x14ac:dyDescent="0.25">
      <c r="A3578" s="762">
        <f t="shared" si="1240"/>
        <v>3573</v>
      </c>
      <c r="B3578" s="229"/>
      <c r="C3578" s="223"/>
      <c r="D3578" s="224"/>
      <c r="E3578" s="225"/>
      <c r="F3578" s="1036" t="str">
        <f t="shared" si="1246"/>
        <v/>
      </c>
      <c r="G3578" s="1037" t="str">
        <f t="shared" si="1241"/>
        <v/>
      </c>
      <c r="H3578" s="225"/>
      <c r="I3578" s="1013"/>
      <c r="J3578" s="1013"/>
      <c r="K3578" s="1028"/>
      <c r="L3578" s="1035" t="str">
        <f t="shared" si="1245"/>
        <v/>
      </c>
      <c r="S3578" s="498"/>
      <c r="AJ3578" s="498"/>
      <c r="AM3578" s="498">
        <f t="shared" si="1226"/>
        <v>0</v>
      </c>
      <c r="AN3578" s="498">
        <f t="shared" si="1227"/>
        <v>0</v>
      </c>
      <c r="AO3578" s="498">
        <f t="shared" si="1228"/>
        <v>0</v>
      </c>
      <c r="AP3578" s="498">
        <f t="shared" si="1247"/>
        <v>0</v>
      </c>
      <c r="AQ3578" s="498">
        <f t="shared" si="1242"/>
        <v>0</v>
      </c>
      <c r="AU3578" s="498">
        <f t="shared" si="1229"/>
        <v>0</v>
      </c>
      <c r="AV3578" s="498">
        <f t="shared" si="1230"/>
        <v>0</v>
      </c>
      <c r="AW3578" s="498">
        <f t="shared" si="1231"/>
        <v>0</v>
      </c>
      <c r="AX3578" s="498">
        <f t="shared" si="1232"/>
        <v>0</v>
      </c>
      <c r="AY3578" s="498">
        <f t="shared" si="1233"/>
        <v>0</v>
      </c>
      <c r="BB3578" s="498" t="str">
        <f t="shared" si="1234"/>
        <v/>
      </c>
      <c r="BC3578" s="743" t="str">
        <f t="shared" si="1235"/>
        <v/>
      </c>
      <c r="BD3578" s="743" t="str">
        <f t="shared" si="1236"/>
        <v/>
      </c>
      <c r="BE3578" s="743" t="str">
        <f>IF(D3578="","",VLOOKUP(D3578,'General Basis'!$J$39:$K$46,2,0))</f>
        <v/>
      </c>
      <c r="BF3578" s="744" t="str">
        <f>IF(D3578="","",VLOOKUP(D3578,'General Basis'!$J$39:$L$46,3,0))</f>
        <v/>
      </c>
      <c r="BG3578" s="744" t="str">
        <f t="shared" si="1243"/>
        <v/>
      </c>
      <c r="BH3578" s="744" t="str">
        <f>IF(G3578="","",IF(BF3578="Abu Dhabi",IF(G3578&lt;18,'General Basis'!$C$39,IF(G3578&lt;41,'General Basis'!$C$40,IF(G3578&lt;60,'General Basis'!$C$41,IF(G3578&lt;65,'General Basis'!$C$42,'General Basis'!$C$43)))),IF(G3578&lt;11,'General Basis'!$B$39,IF(G3578&lt;18,'General Basis'!$B$40,IF(G3578&lt;26,'General Basis'!$B$41,IF(G3578&lt;31,'General Basis'!$B$42,IF(G3578&lt;36,'General Basis'!$B$43,IF(G3578&lt;41,'General Basis'!$B$44,IF(G3578&lt;46,'General Basis'!$B$45,IF(G3578&lt;51,'General Basis'!$B$46,IF(G3578&lt;56,'General Basis'!$B$47,IF(G3578&lt;60,'General Basis'!$B$48,IF(G3578&lt;65,'General Basis'!$B$49,'General Basis'!$B$50)))))))))))))</f>
        <v/>
      </c>
      <c r="BI3578" s="744" t="str">
        <f t="shared" si="1237"/>
        <v/>
      </c>
      <c r="BJ3578" s="747" t="str">
        <f t="shared" si="1244"/>
        <v/>
      </c>
      <c r="BK3578" s="498" t="str">
        <f t="shared" si="1238"/>
        <v/>
      </c>
      <c r="BL3578" s="498" t="str">
        <f t="shared" si="1239"/>
        <v/>
      </c>
    </row>
    <row r="3579" spans="1:64" x14ac:dyDescent="0.25">
      <c r="A3579" s="762">
        <f t="shared" si="1240"/>
        <v>3574</v>
      </c>
      <c r="B3579" s="229"/>
      <c r="C3579" s="223"/>
      <c r="D3579" s="224"/>
      <c r="E3579" s="225"/>
      <c r="F3579" s="1036" t="str">
        <f t="shared" si="1246"/>
        <v/>
      </c>
      <c r="G3579" s="1037" t="str">
        <f t="shared" si="1241"/>
        <v/>
      </c>
      <c r="H3579" s="225"/>
      <c r="I3579" s="1013"/>
      <c r="J3579" s="1013"/>
      <c r="K3579" s="1028"/>
      <c r="L3579" s="1035" t="str">
        <f t="shared" si="1245"/>
        <v/>
      </c>
      <c r="S3579" s="498"/>
      <c r="AJ3579" s="498"/>
      <c r="AM3579" s="498">
        <f t="shared" si="1226"/>
        <v>0</v>
      </c>
      <c r="AN3579" s="498">
        <f t="shared" si="1227"/>
        <v>0</v>
      </c>
      <c r="AO3579" s="498">
        <f t="shared" si="1228"/>
        <v>0</v>
      </c>
      <c r="AP3579" s="498">
        <f t="shared" si="1247"/>
        <v>0</v>
      </c>
      <c r="AQ3579" s="498">
        <f t="shared" si="1242"/>
        <v>0</v>
      </c>
      <c r="AU3579" s="498">
        <f t="shared" si="1229"/>
        <v>0</v>
      </c>
      <c r="AV3579" s="498">
        <f t="shared" si="1230"/>
        <v>0</v>
      </c>
      <c r="AW3579" s="498">
        <f t="shared" si="1231"/>
        <v>0</v>
      </c>
      <c r="AX3579" s="498">
        <f t="shared" si="1232"/>
        <v>0</v>
      </c>
      <c r="AY3579" s="498">
        <f t="shared" si="1233"/>
        <v>0</v>
      </c>
      <c r="BB3579" s="498" t="str">
        <f t="shared" si="1234"/>
        <v/>
      </c>
      <c r="BC3579" s="743" t="str">
        <f t="shared" si="1235"/>
        <v/>
      </c>
      <c r="BD3579" s="743" t="str">
        <f t="shared" si="1236"/>
        <v/>
      </c>
      <c r="BE3579" s="743" t="str">
        <f>IF(D3579="","",VLOOKUP(D3579,'General Basis'!$J$39:$K$46,2,0))</f>
        <v/>
      </c>
      <c r="BF3579" s="744" t="str">
        <f>IF(D3579="","",VLOOKUP(D3579,'General Basis'!$J$39:$L$46,3,0))</f>
        <v/>
      </c>
      <c r="BG3579" s="744" t="str">
        <f t="shared" si="1243"/>
        <v/>
      </c>
      <c r="BH3579" s="744" t="str">
        <f>IF(G3579="","",IF(BF3579="Abu Dhabi",IF(G3579&lt;18,'General Basis'!$C$39,IF(G3579&lt;41,'General Basis'!$C$40,IF(G3579&lt;60,'General Basis'!$C$41,IF(G3579&lt;65,'General Basis'!$C$42,'General Basis'!$C$43)))),IF(G3579&lt;11,'General Basis'!$B$39,IF(G3579&lt;18,'General Basis'!$B$40,IF(G3579&lt;26,'General Basis'!$B$41,IF(G3579&lt;31,'General Basis'!$B$42,IF(G3579&lt;36,'General Basis'!$B$43,IF(G3579&lt;41,'General Basis'!$B$44,IF(G3579&lt;46,'General Basis'!$B$45,IF(G3579&lt;51,'General Basis'!$B$46,IF(G3579&lt;56,'General Basis'!$B$47,IF(G3579&lt;60,'General Basis'!$B$48,IF(G3579&lt;65,'General Basis'!$B$49,'General Basis'!$B$50)))))))))))))</f>
        <v/>
      </c>
      <c r="BI3579" s="744" t="str">
        <f t="shared" si="1237"/>
        <v/>
      </c>
      <c r="BJ3579" s="747" t="str">
        <f t="shared" si="1244"/>
        <v/>
      </c>
      <c r="BK3579" s="498" t="str">
        <f t="shared" si="1238"/>
        <v/>
      </c>
      <c r="BL3579" s="498" t="str">
        <f t="shared" si="1239"/>
        <v/>
      </c>
    </row>
    <row r="3580" spans="1:64" x14ac:dyDescent="0.25">
      <c r="A3580" s="762">
        <f t="shared" si="1240"/>
        <v>3575</v>
      </c>
      <c r="B3580" s="229"/>
      <c r="C3580" s="223"/>
      <c r="D3580" s="224"/>
      <c r="E3580" s="225"/>
      <c r="F3580" s="1036" t="str">
        <f t="shared" si="1246"/>
        <v/>
      </c>
      <c r="G3580" s="1037" t="str">
        <f t="shared" si="1241"/>
        <v/>
      </c>
      <c r="H3580" s="225"/>
      <c r="I3580" s="1013"/>
      <c r="J3580" s="1013"/>
      <c r="K3580" s="1028"/>
      <c r="L3580" s="1035" t="str">
        <f t="shared" si="1245"/>
        <v/>
      </c>
      <c r="S3580" s="498"/>
      <c r="AJ3580" s="498"/>
      <c r="AM3580" s="498">
        <f t="shared" si="1226"/>
        <v>0</v>
      </c>
      <c r="AN3580" s="498">
        <f t="shared" si="1227"/>
        <v>0</v>
      </c>
      <c r="AO3580" s="498">
        <f t="shared" si="1228"/>
        <v>0</v>
      </c>
      <c r="AP3580" s="498">
        <f t="shared" si="1247"/>
        <v>0</v>
      </c>
      <c r="AQ3580" s="498">
        <f t="shared" si="1242"/>
        <v>0</v>
      </c>
      <c r="AU3580" s="498">
        <f t="shared" si="1229"/>
        <v>0</v>
      </c>
      <c r="AV3580" s="498">
        <f t="shared" si="1230"/>
        <v>0</v>
      </c>
      <c r="AW3580" s="498">
        <f t="shared" si="1231"/>
        <v>0</v>
      </c>
      <c r="AX3580" s="498">
        <f t="shared" si="1232"/>
        <v>0</v>
      </c>
      <c r="AY3580" s="498">
        <f t="shared" si="1233"/>
        <v>0</v>
      </c>
      <c r="BB3580" s="498" t="str">
        <f t="shared" si="1234"/>
        <v/>
      </c>
      <c r="BC3580" s="743" t="str">
        <f t="shared" si="1235"/>
        <v/>
      </c>
      <c r="BD3580" s="743" t="str">
        <f t="shared" si="1236"/>
        <v/>
      </c>
      <c r="BE3580" s="743" t="str">
        <f>IF(D3580="","",VLOOKUP(D3580,'General Basis'!$J$39:$K$46,2,0))</f>
        <v/>
      </c>
      <c r="BF3580" s="744" t="str">
        <f>IF(D3580="","",VLOOKUP(D3580,'General Basis'!$J$39:$L$46,3,0))</f>
        <v/>
      </c>
      <c r="BG3580" s="744" t="str">
        <f t="shared" si="1243"/>
        <v/>
      </c>
      <c r="BH3580" s="744" t="str">
        <f>IF(G3580="","",IF(BF3580="Abu Dhabi",IF(G3580&lt;18,'General Basis'!$C$39,IF(G3580&lt;41,'General Basis'!$C$40,IF(G3580&lt;60,'General Basis'!$C$41,IF(G3580&lt;65,'General Basis'!$C$42,'General Basis'!$C$43)))),IF(G3580&lt;11,'General Basis'!$B$39,IF(G3580&lt;18,'General Basis'!$B$40,IF(G3580&lt;26,'General Basis'!$B$41,IF(G3580&lt;31,'General Basis'!$B$42,IF(G3580&lt;36,'General Basis'!$B$43,IF(G3580&lt;41,'General Basis'!$B$44,IF(G3580&lt;46,'General Basis'!$B$45,IF(G3580&lt;51,'General Basis'!$B$46,IF(G3580&lt;56,'General Basis'!$B$47,IF(G3580&lt;60,'General Basis'!$B$48,IF(G3580&lt;65,'General Basis'!$B$49,'General Basis'!$B$50)))))))))))))</f>
        <v/>
      </c>
      <c r="BI3580" s="744" t="str">
        <f t="shared" si="1237"/>
        <v/>
      </c>
      <c r="BJ3580" s="747" t="str">
        <f t="shared" si="1244"/>
        <v/>
      </c>
      <c r="BK3580" s="498" t="str">
        <f t="shared" si="1238"/>
        <v/>
      </c>
      <c r="BL3580" s="498" t="str">
        <f t="shared" si="1239"/>
        <v/>
      </c>
    </row>
    <row r="3581" spans="1:64" x14ac:dyDescent="0.25">
      <c r="A3581" s="762">
        <f t="shared" si="1240"/>
        <v>3576</v>
      </c>
      <c r="B3581" s="229"/>
      <c r="C3581" s="223"/>
      <c r="D3581" s="224"/>
      <c r="E3581" s="225"/>
      <c r="F3581" s="1036" t="str">
        <f t="shared" si="1246"/>
        <v/>
      </c>
      <c r="G3581" s="1037" t="str">
        <f t="shared" si="1241"/>
        <v/>
      </c>
      <c r="H3581" s="225"/>
      <c r="I3581" s="1013"/>
      <c r="J3581" s="1013"/>
      <c r="K3581" s="1028"/>
      <c r="L3581" s="1035" t="str">
        <f t="shared" si="1245"/>
        <v/>
      </c>
      <c r="S3581" s="498"/>
      <c r="AJ3581" s="498"/>
      <c r="AM3581" s="498">
        <f t="shared" si="1226"/>
        <v>0</v>
      </c>
      <c r="AN3581" s="498">
        <f t="shared" si="1227"/>
        <v>0</v>
      </c>
      <c r="AO3581" s="498">
        <f t="shared" si="1228"/>
        <v>0</v>
      </c>
      <c r="AP3581" s="498">
        <f t="shared" si="1247"/>
        <v>0</v>
      </c>
      <c r="AQ3581" s="498">
        <f t="shared" si="1242"/>
        <v>0</v>
      </c>
      <c r="AU3581" s="498">
        <f t="shared" si="1229"/>
        <v>0</v>
      </c>
      <c r="AV3581" s="498">
        <f t="shared" si="1230"/>
        <v>0</v>
      </c>
      <c r="AW3581" s="498">
        <f t="shared" si="1231"/>
        <v>0</v>
      </c>
      <c r="AX3581" s="498">
        <f t="shared" si="1232"/>
        <v>0</v>
      </c>
      <c r="AY3581" s="498">
        <f t="shared" si="1233"/>
        <v>0</v>
      </c>
      <c r="BB3581" s="498" t="str">
        <f t="shared" si="1234"/>
        <v/>
      </c>
      <c r="BC3581" s="743" t="str">
        <f t="shared" si="1235"/>
        <v/>
      </c>
      <c r="BD3581" s="743" t="str">
        <f t="shared" si="1236"/>
        <v/>
      </c>
      <c r="BE3581" s="743" t="str">
        <f>IF(D3581="","",VLOOKUP(D3581,'General Basis'!$J$39:$K$46,2,0))</f>
        <v/>
      </c>
      <c r="BF3581" s="744" t="str">
        <f>IF(D3581="","",VLOOKUP(D3581,'General Basis'!$J$39:$L$46,3,0))</f>
        <v/>
      </c>
      <c r="BG3581" s="744" t="str">
        <f t="shared" si="1243"/>
        <v/>
      </c>
      <c r="BH3581" s="744" t="str">
        <f>IF(G3581="","",IF(BF3581="Abu Dhabi",IF(G3581&lt;18,'General Basis'!$C$39,IF(G3581&lt;41,'General Basis'!$C$40,IF(G3581&lt;60,'General Basis'!$C$41,IF(G3581&lt;65,'General Basis'!$C$42,'General Basis'!$C$43)))),IF(G3581&lt;11,'General Basis'!$B$39,IF(G3581&lt;18,'General Basis'!$B$40,IF(G3581&lt;26,'General Basis'!$B$41,IF(G3581&lt;31,'General Basis'!$B$42,IF(G3581&lt;36,'General Basis'!$B$43,IF(G3581&lt;41,'General Basis'!$B$44,IF(G3581&lt;46,'General Basis'!$B$45,IF(G3581&lt;51,'General Basis'!$B$46,IF(G3581&lt;56,'General Basis'!$B$47,IF(G3581&lt;60,'General Basis'!$B$48,IF(G3581&lt;65,'General Basis'!$B$49,'General Basis'!$B$50)))))))))))))</f>
        <v/>
      </c>
      <c r="BI3581" s="744" t="str">
        <f t="shared" si="1237"/>
        <v/>
      </c>
      <c r="BJ3581" s="747" t="str">
        <f t="shared" si="1244"/>
        <v/>
      </c>
      <c r="BK3581" s="498" t="str">
        <f t="shared" si="1238"/>
        <v/>
      </c>
      <c r="BL3581" s="498" t="str">
        <f t="shared" si="1239"/>
        <v/>
      </c>
    </row>
    <row r="3582" spans="1:64" x14ac:dyDescent="0.25">
      <c r="A3582" s="762">
        <f t="shared" si="1240"/>
        <v>3577</v>
      </c>
      <c r="B3582" s="229"/>
      <c r="C3582" s="223"/>
      <c r="D3582" s="224"/>
      <c r="E3582" s="225"/>
      <c r="F3582" s="1036" t="str">
        <f t="shared" si="1246"/>
        <v/>
      </c>
      <c r="G3582" s="1037" t="str">
        <f t="shared" si="1241"/>
        <v/>
      </c>
      <c r="H3582" s="225"/>
      <c r="I3582" s="1013"/>
      <c r="J3582" s="1013"/>
      <c r="K3582" s="1028"/>
      <c r="L3582" s="1035" t="str">
        <f t="shared" si="1245"/>
        <v/>
      </c>
      <c r="S3582" s="498"/>
      <c r="AJ3582" s="498"/>
      <c r="AM3582" s="498">
        <f t="shared" si="1226"/>
        <v>0</v>
      </c>
      <c r="AN3582" s="498">
        <f t="shared" si="1227"/>
        <v>0</v>
      </c>
      <c r="AO3582" s="498">
        <f t="shared" si="1228"/>
        <v>0</v>
      </c>
      <c r="AP3582" s="498">
        <f t="shared" si="1247"/>
        <v>0</v>
      </c>
      <c r="AQ3582" s="498">
        <f t="shared" si="1242"/>
        <v>0</v>
      </c>
      <c r="AU3582" s="498">
        <f t="shared" si="1229"/>
        <v>0</v>
      </c>
      <c r="AV3582" s="498">
        <f t="shared" si="1230"/>
        <v>0</v>
      </c>
      <c r="AW3582" s="498">
        <f t="shared" si="1231"/>
        <v>0</v>
      </c>
      <c r="AX3582" s="498">
        <f t="shared" si="1232"/>
        <v>0</v>
      </c>
      <c r="AY3582" s="498">
        <f t="shared" si="1233"/>
        <v>0</v>
      </c>
      <c r="BB3582" s="498" t="str">
        <f t="shared" si="1234"/>
        <v/>
      </c>
      <c r="BC3582" s="743" t="str">
        <f t="shared" si="1235"/>
        <v/>
      </c>
      <c r="BD3582" s="743" t="str">
        <f t="shared" si="1236"/>
        <v/>
      </c>
      <c r="BE3582" s="743" t="str">
        <f>IF(D3582="","",VLOOKUP(D3582,'General Basis'!$J$39:$K$46,2,0))</f>
        <v/>
      </c>
      <c r="BF3582" s="744" t="str">
        <f>IF(D3582="","",VLOOKUP(D3582,'General Basis'!$J$39:$L$46,3,0))</f>
        <v/>
      </c>
      <c r="BG3582" s="744" t="str">
        <f t="shared" si="1243"/>
        <v/>
      </c>
      <c r="BH3582" s="744" t="str">
        <f>IF(G3582="","",IF(BF3582="Abu Dhabi",IF(G3582&lt;18,'General Basis'!$C$39,IF(G3582&lt;41,'General Basis'!$C$40,IF(G3582&lt;60,'General Basis'!$C$41,IF(G3582&lt;65,'General Basis'!$C$42,'General Basis'!$C$43)))),IF(G3582&lt;11,'General Basis'!$B$39,IF(G3582&lt;18,'General Basis'!$B$40,IF(G3582&lt;26,'General Basis'!$B$41,IF(G3582&lt;31,'General Basis'!$B$42,IF(G3582&lt;36,'General Basis'!$B$43,IF(G3582&lt;41,'General Basis'!$B$44,IF(G3582&lt;46,'General Basis'!$B$45,IF(G3582&lt;51,'General Basis'!$B$46,IF(G3582&lt;56,'General Basis'!$B$47,IF(G3582&lt;60,'General Basis'!$B$48,IF(G3582&lt;65,'General Basis'!$B$49,'General Basis'!$B$50)))))))))))))</f>
        <v/>
      </c>
      <c r="BI3582" s="744" t="str">
        <f t="shared" si="1237"/>
        <v/>
      </c>
      <c r="BJ3582" s="747" t="str">
        <f t="shared" si="1244"/>
        <v/>
      </c>
      <c r="BK3582" s="498" t="str">
        <f t="shared" si="1238"/>
        <v/>
      </c>
      <c r="BL3582" s="498" t="str">
        <f t="shared" si="1239"/>
        <v/>
      </c>
    </row>
    <row r="3583" spans="1:64" x14ac:dyDescent="0.25">
      <c r="A3583" s="762">
        <f t="shared" si="1240"/>
        <v>3578</v>
      </c>
      <c r="B3583" s="229"/>
      <c r="C3583" s="223"/>
      <c r="D3583" s="224"/>
      <c r="E3583" s="225"/>
      <c r="F3583" s="1036" t="str">
        <f t="shared" si="1246"/>
        <v/>
      </c>
      <c r="G3583" s="1037" t="str">
        <f t="shared" si="1241"/>
        <v/>
      </c>
      <c r="H3583" s="225"/>
      <c r="I3583" s="1013"/>
      <c r="J3583" s="1013"/>
      <c r="K3583" s="1028"/>
      <c r="L3583" s="1035" t="str">
        <f t="shared" si="1245"/>
        <v/>
      </c>
      <c r="S3583" s="498"/>
      <c r="AJ3583" s="498"/>
      <c r="AM3583" s="498">
        <f t="shared" si="1226"/>
        <v>0</v>
      </c>
      <c r="AN3583" s="498">
        <f t="shared" si="1227"/>
        <v>0</v>
      </c>
      <c r="AO3583" s="498">
        <f t="shared" si="1228"/>
        <v>0</v>
      </c>
      <c r="AP3583" s="498">
        <f t="shared" si="1247"/>
        <v>0</v>
      </c>
      <c r="AQ3583" s="498">
        <f t="shared" si="1242"/>
        <v>0</v>
      </c>
      <c r="AU3583" s="498">
        <f t="shared" si="1229"/>
        <v>0</v>
      </c>
      <c r="AV3583" s="498">
        <f t="shared" si="1230"/>
        <v>0</v>
      </c>
      <c r="AW3583" s="498">
        <f t="shared" si="1231"/>
        <v>0</v>
      </c>
      <c r="AX3583" s="498">
        <f t="shared" si="1232"/>
        <v>0</v>
      </c>
      <c r="AY3583" s="498">
        <f t="shared" si="1233"/>
        <v>0</v>
      </c>
      <c r="BB3583" s="498" t="str">
        <f t="shared" si="1234"/>
        <v/>
      </c>
      <c r="BC3583" s="743" t="str">
        <f t="shared" si="1235"/>
        <v/>
      </c>
      <c r="BD3583" s="743" t="str">
        <f t="shared" si="1236"/>
        <v/>
      </c>
      <c r="BE3583" s="743" t="str">
        <f>IF(D3583="","",VLOOKUP(D3583,'General Basis'!$J$39:$K$46,2,0))</f>
        <v/>
      </c>
      <c r="BF3583" s="744" t="str">
        <f>IF(D3583="","",VLOOKUP(D3583,'General Basis'!$J$39:$L$46,3,0))</f>
        <v/>
      </c>
      <c r="BG3583" s="744" t="str">
        <f t="shared" si="1243"/>
        <v/>
      </c>
      <c r="BH3583" s="744" t="str">
        <f>IF(G3583="","",IF(BF3583="Abu Dhabi",IF(G3583&lt;18,'General Basis'!$C$39,IF(G3583&lt;41,'General Basis'!$C$40,IF(G3583&lt;60,'General Basis'!$C$41,IF(G3583&lt;65,'General Basis'!$C$42,'General Basis'!$C$43)))),IF(G3583&lt;11,'General Basis'!$B$39,IF(G3583&lt;18,'General Basis'!$B$40,IF(G3583&lt;26,'General Basis'!$B$41,IF(G3583&lt;31,'General Basis'!$B$42,IF(G3583&lt;36,'General Basis'!$B$43,IF(G3583&lt;41,'General Basis'!$B$44,IF(G3583&lt;46,'General Basis'!$B$45,IF(G3583&lt;51,'General Basis'!$B$46,IF(G3583&lt;56,'General Basis'!$B$47,IF(G3583&lt;60,'General Basis'!$B$48,IF(G3583&lt;65,'General Basis'!$B$49,'General Basis'!$B$50)))))))))))))</f>
        <v/>
      </c>
      <c r="BI3583" s="744" t="str">
        <f t="shared" si="1237"/>
        <v/>
      </c>
      <c r="BJ3583" s="747" t="str">
        <f t="shared" si="1244"/>
        <v/>
      </c>
      <c r="BK3583" s="498" t="str">
        <f t="shared" si="1238"/>
        <v/>
      </c>
      <c r="BL3583" s="498" t="str">
        <f t="shared" si="1239"/>
        <v/>
      </c>
    </row>
    <row r="3584" spans="1:64" x14ac:dyDescent="0.25">
      <c r="A3584" s="762">
        <f t="shared" si="1240"/>
        <v>3579</v>
      </c>
      <c r="B3584" s="229"/>
      <c r="C3584" s="223"/>
      <c r="D3584" s="224"/>
      <c r="E3584" s="225"/>
      <c r="F3584" s="1036" t="str">
        <f t="shared" si="1246"/>
        <v/>
      </c>
      <c r="G3584" s="1037" t="str">
        <f t="shared" si="1241"/>
        <v/>
      </c>
      <c r="H3584" s="225"/>
      <c r="I3584" s="1013"/>
      <c r="J3584" s="1013"/>
      <c r="K3584" s="1028"/>
      <c r="L3584" s="1035" t="str">
        <f t="shared" si="1245"/>
        <v/>
      </c>
      <c r="S3584" s="498"/>
      <c r="AJ3584" s="498"/>
      <c r="AM3584" s="498">
        <f t="shared" si="1226"/>
        <v>0</v>
      </c>
      <c r="AN3584" s="498">
        <f t="shared" si="1227"/>
        <v>0</v>
      </c>
      <c r="AO3584" s="498">
        <f t="shared" si="1228"/>
        <v>0</v>
      </c>
      <c r="AP3584" s="498">
        <f t="shared" si="1247"/>
        <v>0</v>
      </c>
      <c r="AQ3584" s="498">
        <f t="shared" si="1242"/>
        <v>0</v>
      </c>
      <c r="AU3584" s="498">
        <f t="shared" si="1229"/>
        <v>0</v>
      </c>
      <c r="AV3584" s="498">
        <f t="shared" si="1230"/>
        <v>0</v>
      </c>
      <c r="AW3584" s="498">
        <f t="shared" si="1231"/>
        <v>0</v>
      </c>
      <c r="AX3584" s="498">
        <f t="shared" si="1232"/>
        <v>0</v>
      </c>
      <c r="AY3584" s="498">
        <f t="shared" si="1233"/>
        <v>0</v>
      </c>
      <c r="BB3584" s="498" t="str">
        <f t="shared" si="1234"/>
        <v/>
      </c>
      <c r="BC3584" s="743" t="str">
        <f t="shared" si="1235"/>
        <v/>
      </c>
      <c r="BD3584" s="743" t="str">
        <f t="shared" si="1236"/>
        <v/>
      </c>
      <c r="BE3584" s="743" t="str">
        <f>IF(D3584="","",VLOOKUP(D3584,'General Basis'!$J$39:$K$46,2,0))</f>
        <v/>
      </c>
      <c r="BF3584" s="744" t="str">
        <f>IF(D3584="","",VLOOKUP(D3584,'General Basis'!$J$39:$L$46,3,0))</f>
        <v/>
      </c>
      <c r="BG3584" s="744" t="str">
        <f t="shared" si="1243"/>
        <v/>
      </c>
      <c r="BH3584" s="744" t="str">
        <f>IF(G3584="","",IF(BF3584="Abu Dhabi",IF(G3584&lt;18,'General Basis'!$C$39,IF(G3584&lt;41,'General Basis'!$C$40,IF(G3584&lt;60,'General Basis'!$C$41,IF(G3584&lt;65,'General Basis'!$C$42,'General Basis'!$C$43)))),IF(G3584&lt;11,'General Basis'!$B$39,IF(G3584&lt;18,'General Basis'!$B$40,IF(G3584&lt;26,'General Basis'!$B$41,IF(G3584&lt;31,'General Basis'!$B$42,IF(G3584&lt;36,'General Basis'!$B$43,IF(G3584&lt;41,'General Basis'!$B$44,IF(G3584&lt;46,'General Basis'!$B$45,IF(G3584&lt;51,'General Basis'!$B$46,IF(G3584&lt;56,'General Basis'!$B$47,IF(G3584&lt;60,'General Basis'!$B$48,IF(G3584&lt;65,'General Basis'!$B$49,'General Basis'!$B$50)))))))))))))</f>
        <v/>
      </c>
      <c r="BI3584" s="744" t="str">
        <f t="shared" si="1237"/>
        <v/>
      </c>
      <c r="BJ3584" s="747" t="str">
        <f t="shared" si="1244"/>
        <v/>
      </c>
      <c r="BK3584" s="498" t="str">
        <f t="shared" si="1238"/>
        <v/>
      </c>
      <c r="BL3584" s="498" t="str">
        <f t="shared" si="1239"/>
        <v/>
      </c>
    </row>
    <row r="3585" spans="1:64" x14ac:dyDescent="0.25">
      <c r="A3585" s="762">
        <f t="shared" si="1240"/>
        <v>3580</v>
      </c>
      <c r="B3585" s="229"/>
      <c r="C3585" s="223"/>
      <c r="D3585" s="224"/>
      <c r="E3585" s="225"/>
      <c r="F3585" s="1036" t="str">
        <f t="shared" si="1246"/>
        <v/>
      </c>
      <c r="G3585" s="1037" t="str">
        <f t="shared" si="1241"/>
        <v/>
      </c>
      <c r="H3585" s="225"/>
      <c r="I3585" s="1013"/>
      <c r="J3585" s="1013"/>
      <c r="K3585" s="1028"/>
      <c r="L3585" s="1035" t="str">
        <f t="shared" si="1245"/>
        <v/>
      </c>
      <c r="S3585" s="498"/>
      <c r="AJ3585" s="498"/>
      <c r="AM3585" s="498">
        <f t="shared" si="1226"/>
        <v>0</v>
      </c>
      <c r="AN3585" s="498">
        <f t="shared" si="1227"/>
        <v>0</v>
      </c>
      <c r="AO3585" s="498">
        <f t="shared" si="1228"/>
        <v>0</v>
      </c>
      <c r="AP3585" s="498">
        <f t="shared" si="1247"/>
        <v>0</v>
      </c>
      <c r="AQ3585" s="498">
        <f t="shared" si="1242"/>
        <v>0</v>
      </c>
      <c r="AU3585" s="498">
        <f t="shared" si="1229"/>
        <v>0</v>
      </c>
      <c r="AV3585" s="498">
        <f t="shared" si="1230"/>
        <v>0</v>
      </c>
      <c r="AW3585" s="498">
        <f t="shared" si="1231"/>
        <v>0</v>
      </c>
      <c r="AX3585" s="498">
        <f t="shared" si="1232"/>
        <v>0</v>
      </c>
      <c r="AY3585" s="498">
        <f t="shared" si="1233"/>
        <v>0</v>
      </c>
      <c r="BB3585" s="498" t="str">
        <f t="shared" si="1234"/>
        <v/>
      </c>
      <c r="BC3585" s="743" t="str">
        <f t="shared" si="1235"/>
        <v/>
      </c>
      <c r="BD3585" s="743" t="str">
        <f t="shared" si="1236"/>
        <v/>
      </c>
      <c r="BE3585" s="743" t="str">
        <f>IF(D3585="","",VLOOKUP(D3585,'General Basis'!$J$39:$K$46,2,0))</f>
        <v/>
      </c>
      <c r="BF3585" s="744" t="str">
        <f>IF(D3585="","",VLOOKUP(D3585,'General Basis'!$J$39:$L$46,3,0))</f>
        <v/>
      </c>
      <c r="BG3585" s="744" t="str">
        <f t="shared" si="1243"/>
        <v/>
      </c>
      <c r="BH3585" s="744" t="str">
        <f>IF(G3585="","",IF(BF3585="Abu Dhabi",IF(G3585&lt;18,'General Basis'!$C$39,IF(G3585&lt;41,'General Basis'!$C$40,IF(G3585&lt;60,'General Basis'!$C$41,IF(G3585&lt;65,'General Basis'!$C$42,'General Basis'!$C$43)))),IF(G3585&lt;11,'General Basis'!$B$39,IF(G3585&lt;18,'General Basis'!$B$40,IF(G3585&lt;26,'General Basis'!$B$41,IF(G3585&lt;31,'General Basis'!$B$42,IF(G3585&lt;36,'General Basis'!$B$43,IF(G3585&lt;41,'General Basis'!$B$44,IF(G3585&lt;46,'General Basis'!$B$45,IF(G3585&lt;51,'General Basis'!$B$46,IF(G3585&lt;56,'General Basis'!$B$47,IF(G3585&lt;60,'General Basis'!$B$48,IF(G3585&lt;65,'General Basis'!$B$49,'General Basis'!$B$50)))))))))))))</f>
        <v/>
      </c>
      <c r="BI3585" s="744" t="str">
        <f t="shared" si="1237"/>
        <v/>
      </c>
      <c r="BJ3585" s="747" t="str">
        <f t="shared" si="1244"/>
        <v/>
      </c>
      <c r="BK3585" s="498" t="str">
        <f t="shared" si="1238"/>
        <v/>
      </c>
      <c r="BL3585" s="498" t="str">
        <f t="shared" si="1239"/>
        <v/>
      </c>
    </row>
    <row r="3586" spans="1:64" x14ac:dyDescent="0.25">
      <c r="A3586" s="762">
        <f t="shared" si="1240"/>
        <v>3581</v>
      </c>
      <c r="B3586" s="229"/>
      <c r="C3586" s="223"/>
      <c r="D3586" s="224"/>
      <c r="E3586" s="225"/>
      <c r="F3586" s="1036" t="str">
        <f t="shared" si="1246"/>
        <v/>
      </c>
      <c r="G3586" s="1037" t="str">
        <f t="shared" si="1241"/>
        <v/>
      </c>
      <c r="H3586" s="225"/>
      <c r="I3586" s="1013"/>
      <c r="J3586" s="1013"/>
      <c r="K3586" s="1028"/>
      <c r="L3586" s="1035" t="str">
        <f t="shared" si="1245"/>
        <v/>
      </c>
      <c r="S3586" s="498"/>
      <c r="AJ3586" s="498"/>
      <c r="AM3586" s="498">
        <f t="shared" si="1226"/>
        <v>0</v>
      </c>
      <c r="AN3586" s="498">
        <f t="shared" si="1227"/>
        <v>0</v>
      </c>
      <c r="AO3586" s="498">
        <f t="shared" si="1228"/>
        <v>0</v>
      </c>
      <c r="AP3586" s="498">
        <f t="shared" si="1247"/>
        <v>0</v>
      </c>
      <c r="AQ3586" s="498">
        <f t="shared" si="1242"/>
        <v>0</v>
      </c>
      <c r="AU3586" s="498">
        <f t="shared" si="1229"/>
        <v>0</v>
      </c>
      <c r="AV3586" s="498">
        <f t="shared" si="1230"/>
        <v>0</v>
      </c>
      <c r="AW3586" s="498">
        <f t="shared" si="1231"/>
        <v>0</v>
      </c>
      <c r="AX3586" s="498">
        <f t="shared" si="1232"/>
        <v>0</v>
      </c>
      <c r="AY3586" s="498">
        <f t="shared" si="1233"/>
        <v>0</v>
      </c>
      <c r="BB3586" s="498" t="str">
        <f t="shared" si="1234"/>
        <v/>
      </c>
      <c r="BC3586" s="743" t="str">
        <f t="shared" si="1235"/>
        <v/>
      </c>
      <c r="BD3586" s="743" t="str">
        <f t="shared" si="1236"/>
        <v/>
      </c>
      <c r="BE3586" s="743" t="str">
        <f>IF(D3586="","",VLOOKUP(D3586,'General Basis'!$J$39:$K$46,2,0))</f>
        <v/>
      </c>
      <c r="BF3586" s="744" t="str">
        <f>IF(D3586="","",VLOOKUP(D3586,'General Basis'!$J$39:$L$46,3,0))</f>
        <v/>
      </c>
      <c r="BG3586" s="744" t="str">
        <f t="shared" si="1243"/>
        <v/>
      </c>
      <c r="BH3586" s="744" t="str">
        <f>IF(G3586="","",IF(BF3586="Abu Dhabi",IF(G3586&lt;18,'General Basis'!$C$39,IF(G3586&lt;41,'General Basis'!$C$40,IF(G3586&lt;60,'General Basis'!$C$41,IF(G3586&lt;65,'General Basis'!$C$42,'General Basis'!$C$43)))),IF(G3586&lt;11,'General Basis'!$B$39,IF(G3586&lt;18,'General Basis'!$B$40,IF(G3586&lt;26,'General Basis'!$B$41,IF(G3586&lt;31,'General Basis'!$B$42,IF(G3586&lt;36,'General Basis'!$B$43,IF(G3586&lt;41,'General Basis'!$B$44,IF(G3586&lt;46,'General Basis'!$B$45,IF(G3586&lt;51,'General Basis'!$B$46,IF(G3586&lt;56,'General Basis'!$B$47,IF(G3586&lt;60,'General Basis'!$B$48,IF(G3586&lt;65,'General Basis'!$B$49,'General Basis'!$B$50)))))))))))))</f>
        <v/>
      </c>
      <c r="BI3586" s="744" t="str">
        <f t="shared" si="1237"/>
        <v/>
      </c>
      <c r="BJ3586" s="747" t="str">
        <f t="shared" si="1244"/>
        <v/>
      </c>
      <c r="BK3586" s="498" t="str">
        <f t="shared" si="1238"/>
        <v/>
      </c>
      <c r="BL3586" s="498" t="str">
        <f t="shared" si="1239"/>
        <v/>
      </c>
    </row>
    <row r="3587" spans="1:64" x14ac:dyDescent="0.25">
      <c r="A3587" s="762">
        <f t="shared" si="1240"/>
        <v>3582</v>
      </c>
      <c r="B3587" s="229"/>
      <c r="C3587" s="223"/>
      <c r="D3587" s="224"/>
      <c r="E3587" s="225"/>
      <c r="F3587" s="1036" t="str">
        <f t="shared" si="1246"/>
        <v/>
      </c>
      <c r="G3587" s="1037" t="str">
        <f t="shared" si="1241"/>
        <v/>
      </c>
      <c r="H3587" s="225"/>
      <c r="I3587" s="1013"/>
      <c r="J3587" s="1013"/>
      <c r="K3587" s="1028"/>
      <c r="L3587" s="1035" t="str">
        <f t="shared" si="1245"/>
        <v/>
      </c>
      <c r="S3587" s="498"/>
      <c r="AJ3587" s="498"/>
      <c r="AM3587" s="498">
        <f t="shared" si="1226"/>
        <v>0</v>
      </c>
      <c r="AN3587" s="498">
        <f t="shared" si="1227"/>
        <v>0</v>
      </c>
      <c r="AO3587" s="498">
        <f t="shared" si="1228"/>
        <v>0</v>
      </c>
      <c r="AP3587" s="498">
        <f t="shared" si="1247"/>
        <v>0</v>
      </c>
      <c r="AQ3587" s="498">
        <f t="shared" si="1242"/>
        <v>0</v>
      </c>
      <c r="AU3587" s="498">
        <f t="shared" si="1229"/>
        <v>0</v>
      </c>
      <c r="AV3587" s="498">
        <f t="shared" si="1230"/>
        <v>0</v>
      </c>
      <c r="AW3587" s="498">
        <f t="shared" si="1231"/>
        <v>0</v>
      </c>
      <c r="AX3587" s="498">
        <f t="shared" si="1232"/>
        <v>0</v>
      </c>
      <c r="AY3587" s="498">
        <f t="shared" si="1233"/>
        <v>0</v>
      </c>
      <c r="BB3587" s="498" t="str">
        <f t="shared" si="1234"/>
        <v/>
      </c>
      <c r="BC3587" s="743" t="str">
        <f t="shared" si="1235"/>
        <v/>
      </c>
      <c r="BD3587" s="743" t="str">
        <f t="shared" si="1236"/>
        <v/>
      </c>
      <c r="BE3587" s="743" t="str">
        <f>IF(D3587="","",VLOOKUP(D3587,'General Basis'!$J$39:$K$46,2,0))</f>
        <v/>
      </c>
      <c r="BF3587" s="744" t="str">
        <f>IF(D3587="","",VLOOKUP(D3587,'General Basis'!$J$39:$L$46,3,0))</f>
        <v/>
      </c>
      <c r="BG3587" s="744" t="str">
        <f t="shared" si="1243"/>
        <v/>
      </c>
      <c r="BH3587" s="744" t="str">
        <f>IF(G3587="","",IF(BF3587="Abu Dhabi",IF(G3587&lt;18,'General Basis'!$C$39,IF(G3587&lt;41,'General Basis'!$C$40,IF(G3587&lt;60,'General Basis'!$C$41,IF(G3587&lt;65,'General Basis'!$C$42,'General Basis'!$C$43)))),IF(G3587&lt;11,'General Basis'!$B$39,IF(G3587&lt;18,'General Basis'!$B$40,IF(G3587&lt;26,'General Basis'!$B$41,IF(G3587&lt;31,'General Basis'!$B$42,IF(G3587&lt;36,'General Basis'!$B$43,IF(G3587&lt;41,'General Basis'!$B$44,IF(G3587&lt;46,'General Basis'!$B$45,IF(G3587&lt;51,'General Basis'!$B$46,IF(G3587&lt;56,'General Basis'!$B$47,IF(G3587&lt;60,'General Basis'!$B$48,IF(G3587&lt;65,'General Basis'!$B$49,'General Basis'!$B$50)))))))))))))</f>
        <v/>
      </c>
      <c r="BI3587" s="744" t="str">
        <f t="shared" si="1237"/>
        <v/>
      </c>
      <c r="BJ3587" s="747" t="str">
        <f t="shared" si="1244"/>
        <v/>
      </c>
      <c r="BK3587" s="498" t="str">
        <f t="shared" si="1238"/>
        <v/>
      </c>
      <c r="BL3587" s="498" t="str">
        <f t="shared" si="1239"/>
        <v/>
      </c>
    </row>
    <row r="3588" spans="1:64" x14ac:dyDescent="0.25">
      <c r="A3588" s="762">
        <f t="shared" si="1240"/>
        <v>3583</v>
      </c>
      <c r="B3588" s="229"/>
      <c r="C3588" s="223"/>
      <c r="D3588" s="224"/>
      <c r="E3588" s="225"/>
      <c r="F3588" s="1036" t="str">
        <f t="shared" si="1246"/>
        <v/>
      </c>
      <c r="G3588" s="1037" t="str">
        <f t="shared" si="1241"/>
        <v/>
      </c>
      <c r="H3588" s="225"/>
      <c r="I3588" s="1013"/>
      <c r="J3588" s="1013"/>
      <c r="K3588" s="1028"/>
      <c r="L3588" s="1035" t="str">
        <f t="shared" si="1245"/>
        <v/>
      </c>
      <c r="S3588" s="498"/>
      <c r="AJ3588" s="498"/>
      <c r="AM3588" s="498">
        <f t="shared" si="1226"/>
        <v>0</v>
      </c>
      <c r="AN3588" s="498">
        <f t="shared" si="1227"/>
        <v>0</v>
      </c>
      <c r="AO3588" s="498">
        <f t="shared" si="1228"/>
        <v>0</v>
      </c>
      <c r="AP3588" s="498">
        <f t="shared" si="1247"/>
        <v>0</v>
      </c>
      <c r="AQ3588" s="498">
        <f t="shared" si="1242"/>
        <v>0</v>
      </c>
      <c r="AU3588" s="498">
        <f t="shared" si="1229"/>
        <v>0</v>
      </c>
      <c r="AV3588" s="498">
        <f t="shared" si="1230"/>
        <v>0</v>
      </c>
      <c r="AW3588" s="498">
        <f t="shared" si="1231"/>
        <v>0</v>
      </c>
      <c r="AX3588" s="498">
        <f t="shared" si="1232"/>
        <v>0</v>
      </c>
      <c r="AY3588" s="498">
        <f t="shared" si="1233"/>
        <v>0</v>
      </c>
      <c r="BB3588" s="498" t="str">
        <f t="shared" si="1234"/>
        <v/>
      </c>
      <c r="BC3588" s="743" t="str">
        <f t="shared" si="1235"/>
        <v/>
      </c>
      <c r="BD3588" s="743" t="str">
        <f t="shared" si="1236"/>
        <v/>
      </c>
      <c r="BE3588" s="743" t="str">
        <f>IF(D3588="","",VLOOKUP(D3588,'General Basis'!$J$39:$K$46,2,0))</f>
        <v/>
      </c>
      <c r="BF3588" s="744" t="str">
        <f>IF(D3588="","",VLOOKUP(D3588,'General Basis'!$J$39:$L$46,3,0))</f>
        <v/>
      </c>
      <c r="BG3588" s="744" t="str">
        <f t="shared" si="1243"/>
        <v/>
      </c>
      <c r="BH3588" s="744" t="str">
        <f>IF(G3588="","",IF(BF3588="Abu Dhabi",IF(G3588&lt;18,'General Basis'!$C$39,IF(G3588&lt;41,'General Basis'!$C$40,IF(G3588&lt;60,'General Basis'!$C$41,IF(G3588&lt;65,'General Basis'!$C$42,'General Basis'!$C$43)))),IF(G3588&lt;11,'General Basis'!$B$39,IF(G3588&lt;18,'General Basis'!$B$40,IF(G3588&lt;26,'General Basis'!$B$41,IF(G3588&lt;31,'General Basis'!$B$42,IF(G3588&lt;36,'General Basis'!$B$43,IF(G3588&lt;41,'General Basis'!$B$44,IF(G3588&lt;46,'General Basis'!$B$45,IF(G3588&lt;51,'General Basis'!$B$46,IF(G3588&lt;56,'General Basis'!$B$47,IF(G3588&lt;60,'General Basis'!$B$48,IF(G3588&lt;65,'General Basis'!$B$49,'General Basis'!$B$50)))))))))))))</f>
        <v/>
      </c>
      <c r="BI3588" s="744" t="str">
        <f t="shared" si="1237"/>
        <v/>
      </c>
      <c r="BJ3588" s="747" t="str">
        <f t="shared" si="1244"/>
        <v/>
      </c>
      <c r="BK3588" s="498" t="str">
        <f t="shared" si="1238"/>
        <v/>
      </c>
      <c r="BL3588" s="498" t="str">
        <f t="shared" si="1239"/>
        <v/>
      </c>
    </row>
    <row r="3589" spans="1:64" x14ac:dyDescent="0.25">
      <c r="A3589" s="762">
        <f t="shared" si="1240"/>
        <v>3584</v>
      </c>
      <c r="B3589" s="229"/>
      <c r="C3589" s="223"/>
      <c r="D3589" s="224"/>
      <c r="E3589" s="225"/>
      <c r="F3589" s="1036" t="str">
        <f t="shared" si="1246"/>
        <v/>
      </c>
      <c r="G3589" s="1037" t="str">
        <f t="shared" si="1241"/>
        <v/>
      </c>
      <c r="H3589" s="225"/>
      <c r="I3589" s="1013"/>
      <c r="J3589" s="1013"/>
      <c r="K3589" s="1028"/>
      <c r="L3589" s="1035" t="str">
        <f t="shared" si="1245"/>
        <v/>
      </c>
      <c r="S3589" s="498"/>
      <c r="AJ3589" s="498"/>
      <c r="AM3589" s="498">
        <f t="shared" si="1226"/>
        <v>0</v>
      </c>
      <c r="AN3589" s="498">
        <f t="shared" si="1227"/>
        <v>0</v>
      </c>
      <c r="AO3589" s="498">
        <f t="shared" si="1228"/>
        <v>0</v>
      </c>
      <c r="AP3589" s="498">
        <f t="shared" si="1247"/>
        <v>0</v>
      </c>
      <c r="AQ3589" s="498">
        <f t="shared" si="1242"/>
        <v>0</v>
      </c>
      <c r="AU3589" s="498">
        <f t="shared" si="1229"/>
        <v>0</v>
      </c>
      <c r="AV3589" s="498">
        <f t="shared" si="1230"/>
        <v>0</v>
      </c>
      <c r="AW3589" s="498">
        <f t="shared" si="1231"/>
        <v>0</v>
      </c>
      <c r="AX3589" s="498">
        <f t="shared" si="1232"/>
        <v>0</v>
      </c>
      <c r="AY3589" s="498">
        <f t="shared" si="1233"/>
        <v>0</v>
      </c>
      <c r="BB3589" s="498" t="str">
        <f t="shared" si="1234"/>
        <v/>
      </c>
      <c r="BC3589" s="743" t="str">
        <f t="shared" si="1235"/>
        <v/>
      </c>
      <c r="BD3589" s="743" t="str">
        <f t="shared" si="1236"/>
        <v/>
      </c>
      <c r="BE3589" s="743" t="str">
        <f>IF(D3589="","",VLOOKUP(D3589,'General Basis'!$J$39:$K$46,2,0))</f>
        <v/>
      </c>
      <c r="BF3589" s="744" t="str">
        <f>IF(D3589="","",VLOOKUP(D3589,'General Basis'!$J$39:$L$46,3,0))</f>
        <v/>
      </c>
      <c r="BG3589" s="744" t="str">
        <f t="shared" si="1243"/>
        <v/>
      </c>
      <c r="BH3589" s="744" t="str">
        <f>IF(G3589="","",IF(BF3589="Abu Dhabi",IF(G3589&lt;18,'General Basis'!$C$39,IF(G3589&lt;41,'General Basis'!$C$40,IF(G3589&lt;60,'General Basis'!$C$41,IF(G3589&lt;65,'General Basis'!$C$42,'General Basis'!$C$43)))),IF(G3589&lt;11,'General Basis'!$B$39,IF(G3589&lt;18,'General Basis'!$B$40,IF(G3589&lt;26,'General Basis'!$B$41,IF(G3589&lt;31,'General Basis'!$B$42,IF(G3589&lt;36,'General Basis'!$B$43,IF(G3589&lt;41,'General Basis'!$B$44,IF(G3589&lt;46,'General Basis'!$B$45,IF(G3589&lt;51,'General Basis'!$B$46,IF(G3589&lt;56,'General Basis'!$B$47,IF(G3589&lt;60,'General Basis'!$B$48,IF(G3589&lt;65,'General Basis'!$B$49,'General Basis'!$B$50)))))))))))))</f>
        <v/>
      </c>
      <c r="BI3589" s="744" t="str">
        <f t="shared" si="1237"/>
        <v/>
      </c>
      <c r="BJ3589" s="747" t="str">
        <f t="shared" si="1244"/>
        <v/>
      </c>
      <c r="BK3589" s="498" t="str">
        <f t="shared" si="1238"/>
        <v/>
      </c>
      <c r="BL3589" s="498" t="str">
        <f t="shared" si="1239"/>
        <v/>
      </c>
    </row>
    <row r="3590" spans="1:64" x14ac:dyDescent="0.25">
      <c r="A3590" s="762">
        <f t="shared" si="1240"/>
        <v>3585</v>
      </c>
      <c r="B3590" s="229"/>
      <c r="C3590" s="223"/>
      <c r="D3590" s="224"/>
      <c r="E3590" s="225"/>
      <c r="F3590" s="1036" t="str">
        <f t="shared" si="1246"/>
        <v/>
      </c>
      <c r="G3590" s="1037" t="str">
        <f t="shared" si="1241"/>
        <v/>
      </c>
      <c r="H3590" s="225"/>
      <c r="I3590" s="1013"/>
      <c r="J3590" s="1013"/>
      <c r="K3590" s="1028"/>
      <c r="L3590" s="1035" t="str">
        <f t="shared" si="1245"/>
        <v/>
      </c>
      <c r="S3590" s="498"/>
      <c r="AJ3590" s="498"/>
      <c r="AM3590" s="498">
        <f t="shared" ref="AM3590:AM3653" si="1248">IF(ISTEXT(B3590),1,0)</f>
        <v>0</v>
      </c>
      <c r="AN3590" s="498">
        <f t="shared" ref="AN3590:AN3653" si="1249">IF(ISBLANK(B3590),0,IF(B3590&lt;$AK$6,1,0))</f>
        <v>0</v>
      </c>
      <c r="AO3590" s="498">
        <f t="shared" ref="AO3590:AO3653" si="1250">IF(ISBLANK(B3590),0,IF(B3590&gt;$AK$7,1,0))</f>
        <v>0</v>
      </c>
      <c r="AP3590" s="498">
        <f t="shared" si="1247"/>
        <v>0</v>
      </c>
      <c r="AQ3590" s="498">
        <f t="shared" si="1242"/>
        <v>0</v>
      </c>
      <c r="AU3590" s="498">
        <f t="shared" ref="AU3590:AU3653" si="1251">IF(ISBLANK(B3590),0,1)</f>
        <v>0</v>
      </c>
      <c r="AV3590" s="498">
        <f t="shared" ref="AV3590:AV3653" si="1252">IF(ISBLANK(C3590),0,1)</f>
        <v>0</v>
      </c>
      <c r="AW3590" s="498">
        <f t="shared" ref="AW3590:AW3653" si="1253">IF(ISBLANK(D3590),0,1)</f>
        <v>0</v>
      </c>
      <c r="AX3590" s="498">
        <f t="shared" ref="AX3590:AX3653" si="1254">IF(ISBLANK(E3590),0,1)</f>
        <v>0</v>
      </c>
      <c r="AY3590" s="498">
        <f t="shared" ref="AY3590:AY3653" si="1255">IF(ISBLANK(H3590),0,1)</f>
        <v>0</v>
      </c>
      <c r="BB3590" s="498" t="str">
        <f t="shared" ref="BB3590:BB3653" si="1256">IF(E3590="Principal","Principal",IF(E3590="","","Other"))</f>
        <v/>
      </c>
      <c r="BC3590" s="743" t="str">
        <f t="shared" ref="BC3590:BC3653" si="1257">IF(D3590="","",D3590)</f>
        <v/>
      </c>
      <c r="BD3590" s="743" t="str">
        <f t="shared" ref="BD3590:BD3653" si="1258">IF(E3590="Principal","Employee",IF(E3590="","","Dependent"))</f>
        <v/>
      </c>
      <c r="BE3590" s="743" t="str">
        <f>IF(D3590="","",VLOOKUP(D3590,'General Basis'!$J$39:$K$46,2,0))</f>
        <v/>
      </c>
      <c r="BF3590" s="744" t="str">
        <f>IF(D3590="","",VLOOKUP(D3590,'General Basis'!$J$39:$L$46,3,0))</f>
        <v/>
      </c>
      <c r="BG3590" s="744" t="str">
        <f t="shared" si="1243"/>
        <v/>
      </c>
      <c r="BH3590" s="744" t="str">
        <f>IF(G3590="","",IF(BF3590="Abu Dhabi",IF(G3590&lt;18,'General Basis'!$C$39,IF(G3590&lt;41,'General Basis'!$C$40,IF(G3590&lt;60,'General Basis'!$C$41,IF(G3590&lt;65,'General Basis'!$C$42,'General Basis'!$C$43)))),IF(G3590&lt;11,'General Basis'!$B$39,IF(G3590&lt;18,'General Basis'!$B$40,IF(G3590&lt;26,'General Basis'!$B$41,IF(G3590&lt;31,'General Basis'!$B$42,IF(G3590&lt;36,'General Basis'!$B$43,IF(G3590&lt;41,'General Basis'!$B$44,IF(G3590&lt;46,'General Basis'!$B$45,IF(G3590&lt;51,'General Basis'!$B$46,IF(G3590&lt;56,'General Basis'!$B$47,IF(G3590&lt;60,'General Basis'!$B$48,IF(G3590&lt;65,'General Basis'!$B$49,'General Basis'!$B$50)))))))))))))</f>
        <v/>
      </c>
      <c r="BI3590" s="744" t="str">
        <f t="shared" ref="BI3590:BI3653" si="1259">IF(C3590="","",IF(C3590="M","Male","Female"))</f>
        <v/>
      </c>
      <c r="BJ3590" s="747" t="str">
        <f t="shared" si="1244"/>
        <v/>
      </c>
      <c r="BK3590" s="498" t="str">
        <f t="shared" ref="BK3590:BK3653" si="1260">IF(BD3590="","",IF(AND(BD3590="Employee",BI3590="Male",BF3590="Abu Dhabi",BE3590=GN_Plus),VLOOKUP(BH3590,AUH_MALE_EMP,2,0),IF(AND(BD3590="Employee",BI3590="Male",BF3590="Abu Dhabi",BE3590=GN),VLOOKUP(BH3590,AUH_MALE_EMP,3,0),IF(AND(BD3590="Employee",BI3590="Male",BF3590="Abu Dhabi",BE3590=RN_Plus),VLOOKUP(BH3590,AUH_MALE_EMP,4,0),IF(AND(BD3590="Employee",BI3590="Male",BF3590="Abu Dhabi",BE3590=RN),VLOOKUP(BH3590,AUH_MALE_EMP,5,0),IF(AND(BD3590="Employee",BI3590="Male",BF3590="Abu Dhabi",BE3590=RN_2),VLOOKUP(BH3590,AUH_MALE_EMP,6,0),IF(AND(BD3590="Employee",BI3590="Male",BF3590="Abu Dhabi",BE3590=RN2_minus),VLOOKUP(BH3590,AUH_MALE_EMP,7,0),IF(AND(BD3590="Employee",BI3590="Male",BF3590="Abu Dhabi",BE3590=RN_3),VLOOKUP(BH3590,AUH_MALE_EMP,8,0),IF(AND(BD3590="Employee",BI3590="Male",BF3590="Abu Dhabi",BE3590=VN),VLOOKUP(BH3590,AUH_MALE_EMP,9,0),IF(BD3590="","",IF(AND(BD3590="Employee",BI3590="Female",BF3590="Abu Dhabi",BE3590=GN_Plus),VLOOKUP(BH3590,AUH_FEMALE_EMP,2,0),IF(AND(BD3590="Employee",BI3590="Female",BF3590="Abu Dhabi",BE3590=GN),VLOOKUP(BH3590,AUH_FEMALE_EMP,3,0),IF(AND(BD3590="Employee",BI3590="Female",BF3590="Abu Dhabi",BE3590=RN_Plus),VLOOKUP(BH3590,AUH_FEMALE_EMP,4,0),IF(AND(BD3590="Employee",BI3590="Female",BF3590="Abu Dhabi",BE3590=RN),VLOOKUP(BH3590,AUH_FEMALE_EMP,5,0),IF(AND(BD3590="Employee",BI3590="Female",BF3590="Abu Dhabi",BE3590=RN_2),VLOOKUP(BH3590,AUH_FEMALE_EMP,6,0),IF(AND(BD3590="Employee",BI3590="Female",BF3590="Abu Dhabi",BE3590=RN2_minus),VLOOKUP(BH3590,AUH_FEMALE_EMP,7,0),IF(AND(BD3590="Employee",BI3590="Female",BF3590="Abu Dhabi",BE3590=RN_3),VLOOKUP(BH3590,AUH_FEMALE_EMP,8,0),IF(AND(BD3590="Employee",BI3590="Female",BF3590="Abu Dhabi",BE3590=VN),VLOOKUP(BH3590,AUH_FEMALE_EMP,9,0),IF(BD3590="","",IF(AND(BD3590="Dependent",BI3590="Male",BF3590="Abu Dhabi",BE3590=GN_Plus),VLOOKUP(BH3590,AUH_MALE_DEP,2,0),IF(AND(BD3590="Dependent",BI3590="Male",BF3590="Abu Dhabi",BE3590=GN),VLOOKUP(BH3590,AUH_MALE_DEP,3,0),IF(AND(BD3590="Dependent",BI3590="Male",BF3590="Abu Dhabi",BE3590=RN_Plus),VLOOKUP(BH3590,AUH_MALE_DEP,4,0),IF(AND(BD3590="Dependent",BI3590="Male",BF3590="Abu Dhabi",BE3590=RN),VLOOKUP(BH3590,AUH_MALE_DEP,5,0),IF(AND(BD3590="Dependent",BI3590="Male",BF3590="Abu Dhabi",BE3590=RN_2),VLOOKUP(BH3590,AUH_MALE_DEP,6,0),IF(AND(BD3590="Dependent",BI3590="Male",BF3590="Abu Dhabi",BE3590=RN2_minus),VLOOKUP(BH3590,AUH_MALE_DEP,7,0),IF(AND(BD3590="Dependent",BI3590="Male",BF3590="Abu Dhabi",BE3590=RN_3),VLOOKUP(BH3590,AUH_MALE_DEP,8,0),IF(AND(BD3590="Dependent",BI3590="Male",BF3590="Abu Dhabi",BE3590=VN),VLOOKUP(BH3590,AUH_MALE_DEP,9,0),IF(BD3590="","",IF(AND(BD3590="Dependent",BI3590="Female",BF3590="Abu Dhabi",BE3590=GN_Plus),VLOOKUP(BH3590,AUH_FEMALE_DEP,2,0),IF(AND(BD3590="Dependent",BI3590="Female",BF3590="Abu Dhabi",BE3590=GN),VLOOKUP(BH3590,AUH_FEMALE_DEP,3,0),IF(AND(BD3590="Dependent",BI3590="Female",BF3590="Abu Dhabi",BE3590=RN_Plus),VLOOKUP(BH3590,AUH_FEMALE_DEP,4,0),IF(AND(BD3590="Dependent",BI3590="Female",BF3590="Abu Dhabi",BE3590=RN),VLOOKUP(BH3590,AUH_FEMALE_DEP,5,0),IF(AND(BD3590="Dependent",BI3590="Female",BF3590="Abu Dhabi",BE3590=RN_2),VLOOKUP(BH3590,AUH_FEMALE_DEP,6,0),IF(AND(BD3590="Dependent",BI3590="Female",BF3590="Abu Dhabi",BE3590=RN2_minus),VLOOKUP(BH3590,AUH_FEMALE_DEP,7,0),IF(AND(BD3590="Dependent",BI3590="Female",BF3590="Abu Dhabi",BE3590=RN_3),VLOOKUP(BH3590,AUH_FEMALE_DEP,8,0),IF(AND(BD3590="Dependent",BI3590="Female",BF3590="Abu Dhabi",BE3590=VN),VLOOKUP(BH3590,AUH_FEMALE_DEP,9,0),"ABC"))))))))))))))))))))))))))))))))))))</f>
        <v/>
      </c>
      <c r="BL3590" s="498" t="str">
        <f t="shared" ref="BL3590:BL3653" si="1261">IF(BD3590="","",IF(AND(BD3590="Employee",BI3590="Male",BF3590="Dubai",BE3590=GN_Plus),VLOOKUP(BH3590,DXB_MALE_EMP,2,0),IF(AND(BD3590="Employee",BI3590="Male",BF3590="Dubai",BE3590=GN),VLOOKUP(BH3590,DXB_MALE_EMP,3,0),IF(AND(BD3590="Employee",BI3590="Male",BF3590="Dubai",BE3590=RN_Plus),VLOOKUP(BH3590,DXB_MALE_EMP,4,0),IF(AND(BD3590="Employee",BI3590="Male",BF3590="Dubai",BE3590=RN),VLOOKUP(BH3590,DXB_MALE_EMP,5,0),IF(AND(BD3590="Employee",BI3590="Male",BF3590="Dubai",BE3590=RN_2),VLOOKUP(BH3590,DXB_MALE_EMP,6,0),IF(AND(BD3590="Employee",BI3590="Male",BF3590="Dubai",BE3590=RN2_minus),VLOOKUP(BH3590,DXB_MALE_EMP,7,0),IF(AND(BD3590="Employee",BI3590="Male",BF3590="Dubai",BE3590=RN_3),VLOOKUP(BH3590,DXB_MALE_EMP,8,0),IF(AND(BD3590="Employee",BI3590="Male",BF3590="Dubai",BE3590=VN),VLOOKUP(BH3590,DXB_MALE_EMP,9,0),IF(BD3590="","",IF(AND(BD3590="Employee",BI3590="Female",BF3590="Dubai",BE3590=GN_Plus),VLOOKUP(BH3590,DXB_FEMALE_EMP,2,0),IF(AND(BD3590="Employee",BI3590="Female",BF3590="Dubai",BE3590=GN),VLOOKUP(BH3590,DXB_FEMALE_EMP,3,0),IF(AND(BD3590="Employee",BI3590="Female",BF3590="Dubai",BE3590=RN_Plus),VLOOKUP(BH3590,DXB_FEMALE_EMP,4,0),IF(AND(BD3590="Employee",BI3590="Female",BF3590="Dubai",BE3590=RN),VLOOKUP(BH3590,DXB_FEMALE_EMP,5,0),IF(AND(BD3590="Employee",BI3590="Female",BF3590="Dubai",BE3590=RN_2),VLOOKUP(BH3590,DXB_FEMALE_EMP,6,0),IF(AND(BD3590="Employee",BI3590="Female",BF3590="Dubai",BE3590=RN2_minus),VLOOKUP(BH3590,DXB_FEMALE_EMP,7,0),IF(AND(BD3590="Employee",BI3590="Female",BF3590="Dubai",BE3590=RN_3),VLOOKUP(BH3590,DXB_FEMALE_EMP,8,0),IF(AND(BD3590="Employee",BI3590="Female",BF3590="Dubai",BE3590=VN),VLOOKUP(BH3590,DXB_FEMALE_EMP,9,0),IF(BD3590="","",IF(AND(BD3590="Dependent",BI3590="Male",BF3590="Dubai",BE3590=GN_Plus),VLOOKUP(BH3590,DXB_MALE_DEP,2,0),IF(AND(BD3590="Dependent",BI3590="Male",BF3590="Dubai",BE3590=GN),VLOOKUP(BH3590,DXB_MALE_DEP,3,0),IF(AND(BD3590="Dependent",BI3590="Male",BF3590="Dubai",BE3590=RN_Plus),VLOOKUP(BH3590,DXB_MALE_DEP,4,0),IF(AND(BD3590="Dependent",BI3590="Male",BF3590="Dubai",BE3590=RN),VLOOKUP(BH3590,DXB_MALE_DEP,5,0),IF(AND(BD3590="Dependent",BI3590="Male",BF3590="Dubai",BE3590=RN_2),VLOOKUP(BH3590,DXB_MALE_DEP,6,0),IF(AND(BD3590="Dependent",BI3590="Male",BF3590="Dubai",BE3590=RN2_minus),VLOOKUP(BH3590,DXB_MALE_DEP,7,0),IF(AND(BD3590="Dependent",BI3590="Male",BF3590="Dubai",BE3590=RN_3),VLOOKUP(BH3590,DXB_MALE_DEP,8,0),IF(AND(BD3590="Dependent",BI3590="Male",BF3590="Dubai",BE3590=VN),VLOOKUP(BH3590,DXB_MALE_DEP,9,0),IF(BD3590="","",IF(AND(BD3590="Dependent",BI3590="Female",BF3590="Dubai",BE3590=GN_Plus),VLOOKUP(BH3590,DXB_FEMALE_DEP,2,0),IF(AND(BD3590="Dependent",BI3590="Female",BF3590="Dubai",BE3590=GN),VLOOKUP(BH3590,DXB_FEMALE_DEP,3,0),IF(AND(BD3590="Dependent",BI3590="Female",BF3590="Dubai",BE3590=RN_Plus),VLOOKUP(BH3590,DXB_FEMALE_DEP,4,0),IF(AND(BD3590="Dependent",BI3590="Female",BF3590="Dubai",BE3590=RN),VLOOKUP(BH3590,DXB_FEMALE_DEP,5,0),IF(AND(BD3590="Dependent",BI3590="Female",BF3590="Dubai",BE3590=RN_2),VLOOKUP(BH3590,DXB_FEMALE_DEP,6,0),IF(AND(BD3590="Dependent",BI3590="Female",BF3590="Dubai",BE3590=RN2_minus),VLOOKUP(BH3590,DXB_FEMALE_DEP,7,0),IF(AND(BD3590="Dependent",BI3590="Female",BF3590="Dubai",BE3590=RN_3),VLOOKUP(BH3590,DXB_FEMALE_DEP,8,0),IF(AND(BD3590="Dependent",BI3590="Female",BF3590="Dubai",BE3590=VN),VLOOKUP(BH3590,DXB_FEMALE_DEP,9,0),"ABC"))))))))))))))))))))))))))))))))))))</f>
        <v/>
      </c>
    </row>
    <row r="3591" spans="1:64" x14ac:dyDescent="0.25">
      <c r="A3591" s="762">
        <f t="shared" ref="A3591:A3654" si="1262">+A3590+1</f>
        <v>3586</v>
      </c>
      <c r="B3591" s="229"/>
      <c r="C3591" s="223"/>
      <c r="D3591" s="224"/>
      <c r="E3591" s="225"/>
      <c r="F3591" s="1036" t="str">
        <f t="shared" si="1246"/>
        <v/>
      </c>
      <c r="G3591" s="1037" t="str">
        <f t="shared" ref="G3591:G3654" si="1263">IF(D3591="","",MAX(0,ROUNDUP(F3591,0)))</f>
        <v/>
      </c>
      <c r="H3591" s="225"/>
      <c r="I3591" s="1013"/>
      <c r="J3591" s="1013"/>
      <c r="K3591" s="1028"/>
      <c r="L3591" s="1035" t="str">
        <f t="shared" si="1245"/>
        <v/>
      </c>
      <c r="S3591" s="498"/>
      <c r="AJ3591" s="498"/>
      <c r="AM3591" s="498">
        <f t="shared" si="1248"/>
        <v>0</v>
      </c>
      <c r="AN3591" s="498">
        <f t="shared" si="1249"/>
        <v>0</v>
      </c>
      <c r="AO3591" s="498">
        <f t="shared" si="1250"/>
        <v>0</v>
      </c>
      <c r="AP3591" s="498">
        <f t="shared" si="1247"/>
        <v>0</v>
      </c>
      <c r="AQ3591" s="498">
        <f t="shared" ref="AQ3591:AQ3654" si="1264">IF(ISBLANK($B3591),0,IF(OR($H3591="Single",$H3591="Married"),0,1))</f>
        <v>0</v>
      </c>
      <c r="AU3591" s="498">
        <f t="shared" si="1251"/>
        <v>0</v>
      </c>
      <c r="AV3591" s="498">
        <f t="shared" si="1252"/>
        <v>0</v>
      </c>
      <c r="AW3591" s="498">
        <f t="shared" si="1253"/>
        <v>0</v>
      </c>
      <c r="AX3591" s="498">
        <f t="shared" si="1254"/>
        <v>0</v>
      </c>
      <c r="AY3591" s="498">
        <f t="shared" si="1255"/>
        <v>0</v>
      </c>
      <c r="BB3591" s="498" t="str">
        <f t="shared" si="1256"/>
        <v/>
      </c>
      <c r="BC3591" s="743" t="str">
        <f t="shared" si="1257"/>
        <v/>
      </c>
      <c r="BD3591" s="743" t="str">
        <f t="shared" si="1258"/>
        <v/>
      </c>
      <c r="BE3591" s="743" t="str">
        <f>IF(D3591="","",VLOOKUP(D3591,'General Basis'!$J$39:$K$46,2,0))</f>
        <v/>
      </c>
      <c r="BF3591" s="744" t="str">
        <f>IF(D3591="","",VLOOKUP(D3591,'General Basis'!$J$39:$L$46,3,0))</f>
        <v/>
      </c>
      <c r="BG3591" s="744" t="str">
        <f t="shared" ref="BG3591:BG3654" si="1265">BC3591&amp;BI3591</f>
        <v/>
      </c>
      <c r="BH3591" s="744" t="str">
        <f>IF(G3591="","",IF(BF3591="Abu Dhabi",IF(G3591&lt;18,'General Basis'!$C$39,IF(G3591&lt;41,'General Basis'!$C$40,IF(G3591&lt;60,'General Basis'!$C$41,IF(G3591&lt;65,'General Basis'!$C$42,'General Basis'!$C$43)))),IF(G3591&lt;11,'General Basis'!$B$39,IF(G3591&lt;18,'General Basis'!$B$40,IF(G3591&lt;26,'General Basis'!$B$41,IF(G3591&lt;31,'General Basis'!$B$42,IF(G3591&lt;36,'General Basis'!$B$43,IF(G3591&lt;41,'General Basis'!$B$44,IF(G3591&lt;46,'General Basis'!$B$45,IF(G3591&lt;51,'General Basis'!$B$46,IF(G3591&lt;56,'General Basis'!$B$47,IF(G3591&lt;60,'General Basis'!$B$48,IF(G3591&lt;65,'General Basis'!$B$49,'General Basis'!$B$50)))))))))))))</f>
        <v/>
      </c>
      <c r="BI3591" s="744" t="str">
        <f t="shared" si="1259"/>
        <v/>
      </c>
      <c r="BJ3591" s="747" t="str">
        <f t="shared" ref="BJ3591:BJ3654" si="1266">IF(BD3591="","",IF(BF3591="Abu Dhabi",BK3591,BL3591))</f>
        <v/>
      </c>
      <c r="BK3591" s="498" t="str">
        <f t="shared" si="1260"/>
        <v/>
      </c>
      <c r="BL3591" s="498" t="str">
        <f t="shared" si="1261"/>
        <v/>
      </c>
    </row>
    <row r="3592" spans="1:64" x14ac:dyDescent="0.25">
      <c r="A3592" s="762">
        <f t="shared" si="1262"/>
        <v>3587</v>
      </c>
      <c r="B3592" s="229"/>
      <c r="C3592" s="223"/>
      <c r="D3592" s="224"/>
      <c r="E3592" s="225"/>
      <c r="F3592" s="1036" t="str">
        <f t="shared" si="1246"/>
        <v/>
      </c>
      <c r="G3592" s="1037" t="str">
        <f t="shared" si="1263"/>
        <v/>
      </c>
      <c r="H3592" s="225"/>
      <c r="I3592" s="1013"/>
      <c r="J3592" s="1013"/>
      <c r="K3592" s="1028"/>
      <c r="L3592" s="1035" t="str">
        <f t="shared" ref="L3592:L3655" si="1267">IF(AND(E3592="Child",H3592="Married"),"Check the Marital Status of the Child. ",IF(AND(E3592="Child",F3592&gt;18),"Child Age exceed 18 years. ",IF(AND(E3592="Spouse",H3592="Single"),"Spouse is selected as Single. ","")))&amp;IF(K3592&gt;0,"UW Loading has been Applied","")</f>
        <v/>
      </c>
      <c r="S3592" s="498"/>
      <c r="AJ3592" s="498"/>
      <c r="AM3592" s="498">
        <f t="shared" si="1248"/>
        <v>0</v>
      </c>
      <c r="AN3592" s="498">
        <f t="shared" si="1249"/>
        <v>0</v>
      </c>
      <c r="AO3592" s="498">
        <f t="shared" si="1250"/>
        <v>0</v>
      </c>
      <c r="AP3592" s="498">
        <f t="shared" si="1247"/>
        <v>0</v>
      </c>
      <c r="AQ3592" s="498">
        <f t="shared" si="1264"/>
        <v>0</v>
      </c>
      <c r="AU3592" s="498">
        <f t="shared" si="1251"/>
        <v>0</v>
      </c>
      <c r="AV3592" s="498">
        <f t="shared" si="1252"/>
        <v>0</v>
      </c>
      <c r="AW3592" s="498">
        <f t="shared" si="1253"/>
        <v>0</v>
      </c>
      <c r="AX3592" s="498">
        <f t="shared" si="1254"/>
        <v>0</v>
      </c>
      <c r="AY3592" s="498">
        <f t="shared" si="1255"/>
        <v>0</v>
      </c>
      <c r="BB3592" s="498" t="str">
        <f t="shared" si="1256"/>
        <v/>
      </c>
      <c r="BC3592" s="743" t="str">
        <f t="shared" si="1257"/>
        <v/>
      </c>
      <c r="BD3592" s="743" t="str">
        <f t="shared" si="1258"/>
        <v/>
      </c>
      <c r="BE3592" s="743" t="str">
        <f>IF(D3592="","",VLOOKUP(D3592,'General Basis'!$J$39:$K$46,2,0))</f>
        <v/>
      </c>
      <c r="BF3592" s="744" t="str">
        <f>IF(D3592="","",VLOOKUP(D3592,'General Basis'!$J$39:$L$46,3,0))</f>
        <v/>
      </c>
      <c r="BG3592" s="744" t="str">
        <f t="shared" si="1265"/>
        <v/>
      </c>
      <c r="BH3592" s="744" t="str">
        <f>IF(G3592="","",IF(BF3592="Abu Dhabi",IF(G3592&lt;18,'General Basis'!$C$39,IF(G3592&lt;41,'General Basis'!$C$40,IF(G3592&lt;60,'General Basis'!$C$41,IF(G3592&lt;65,'General Basis'!$C$42,'General Basis'!$C$43)))),IF(G3592&lt;11,'General Basis'!$B$39,IF(G3592&lt;18,'General Basis'!$B$40,IF(G3592&lt;26,'General Basis'!$B$41,IF(G3592&lt;31,'General Basis'!$B$42,IF(G3592&lt;36,'General Basis'!$B$43,IF(G3592&lt;41,'General Basis'!$B$44,IF(G3592&lt;46,'General Basis'!$B$45,IF(G3592&lt;51,'General Basis'!$B$46,IF(G3592&lt;56,'General Basis'!$B$47,IF(G3592&lt;60,'General Basis'!$B$48,IF(G3592&lt;65,'General Basis'!$B$49,'General Basis'!$B$50)))))))))))))</f>
        <v/>
      </c>
      <c r="BI3592" s="744" t="str">
        <f t="shared" si="1259"/>
        <v/>
      </c>
      <c r="BJ3592" s="747" t="str">
        <f t="shared" si="1266"/>
        <v/>
      </c>
      <c r="BK3592" s="498" t="str">
        <f t="shared" si="1260"/>
        <v/>
      </c>
      <c r="BL3592" s="498" t="str">
        <f t="shared" si="1261"/>
        <v/>
      </c>
    </row>
    <row r="3593" spans="1:64" x14ac:dyDescent="0.25">
      <c r="A3593" s="762">
        <f t="shared" si="1262"/>
        <v>3588</v>
      </c>
      <c r="B3593" s="229"/>
      <c r="C3593" s="223"/>
      <c r="D3593" s="224"/>
      <c r="E3593" s="225"/>
      <c r="F3593" s="1036" t="str">
        <f t="shared" si="1246"/>
        <v/>
      </c>
      <c r="G3593" s="1037" t="str">
        <f t="shared" si="1263"/>
        <v/>
      </c>
      <c r="H3593" s="225"/>
      <c r="I3593" s="1013"/>
      <c r="J3593" s="1013"/>
      <c r="K3593" s="1028"/>
      <c r="L3593" s="1035" t="str">
        <f t="shared" si="1267"/>
        <v/>
      </c>
      <c r="S3593" s="498"/>
      <c r="AJ3593" s="498"/>
      <c r="AM3593" s="498">
        <f t="shared" si="1248"/>
        <v>0</v>
      </c>
      <c r="AN3593" s="498">
        <f t="shared" si="1249"/>
        <v>0</v>
      </c>
      <c r="AO3593" s="498">
        <f t="shared" si="1250"/>
        <v>0</v>
      </c>
      <c r="AP3593" s="498">
        <f t="shared" si="1247"/>
        <v>0</v>
      </c>
      <c r="AQ3593" s="498">
        <f t="shared" si="1264"/>
        <v>0</v>
      </c>
      <c r="AU3593" s="498">
        <f t="shared" si="1251"/>
        <v>0</v>
      </c>
      <c r="AV3593" s="498">
        <f t="shared" si="1252"/>
        <v>0</v>
      </c>
      <c r="AW3593" s="498">
        <f t="shared" si="1253"/>
        <v>0</v>
      </c>
      <c r="AX3593" s="498">
        <f t="shared" si="1254"/>
        <v>0</v>
      </c>
      <c r="AY3593" s="498">
        <f t="shared" si="1255"/>
        <v>0</v>
      </c>
      <c r="BB3593" s="498" t="str">
        <f t="shared" si="1256"/>
        <v/>
      </c>
      <c r="BC3593" s="743" t="str">
        <f t="shared" si="1257"/>
        <v/>
      </c>
      <c r="BD3593" s="743" t="str">
        <f t="shared" si="1258"/>
        <v/>
      </c>
      <c r="BE3593" s="743" t="str">
        <f>IF(D3593="","",VLOOKUP(D3593,'General Basis'!$J$39:$K$46,2,0))</f>
        <v/>
      </c>
      <c r="BF3593" s="744" t="str">
        <f>IF(D3593="","",VLOOKUP(D3593,'General Basis'!$J$39:$L$46,3,0))</f>
        <v/>
      </c>
      <c r="BG3593" s="744" t="str">
        <f t="shared" si="1265"/>
        <v/>
      </c>
      <c r="BH3593" s="744" t="str">
        <f>IF(G3593="","",IF(BF3593="Abu Dhabi",IF(G3593&lt;18,'General Basis'!$C$39,IF(G3593&lt;41,'General Basis'!$C$40,IF(G3593&lt;60,'General Basis'!$C$41,IF(G3593&lt;65,'General Basis'!$C$42,'General Basis'!$C$43)))),IF(G3593&lt;11,'General Basis'!$B$39,IF(G3593&lt;18,'General Basis'!$B$40,IF(G3593&lt;26,'General Basis'!$B$41,IF(G3593&lt;31,'General Basis'!$B$42,IF(G3593&lt;36,'General Basis'!$B$43,IF(G3593&lt;41,'General Basis'!$B$44,IF(G3593&lt;46,'General Basis'!$B$45,IF(G3593&lt;51,'General Basis'!$B$46,IF(G3593&lt;56,'General Basis'!$B$47,IF(G3593&lt;60,'General Basis'!$B$48,IF(G3593&lt;65,'General Basis'!$B$49,'General Basis'!$B$50)))))))))))))</f>
        <v/>
      </c>
      <c r="BI3593" s="744" t="str">
        <f t="shared" si="1259"/>
        <v/>
      </c>
      <c r="BJ3593" s="747" t="str">
        <f t="shared" si="1266"/>
        <v/>
      </c>
      <c r="BK3593" s="498" t="str">
        <f t="shared" si="1260"/>
        <v/>
      </c>
      <c r="BL3593" s="498" t="str">
        <f t="shared" si="1261"/>
        <v/>
      </c>
    </row>
    <row r="3594" spans="1:64" x14ac:dyDescent="0.25">
      <c r="A3594" s="762">
        <f t="shared" si="1262"/>
        <v>3589</v>
      </c>
      <c r="B3594" s="229"/>
      <c r="C3594" s="223"/>
      <c r="D3594" s="224"/>
      <c r="E3594" s="225"/>
      <c r="F3594" s="1036" t="str">
        <f t="shared" si="1246"/>
        <v/>
      </c>
      <c r="G3594" s="1037" t="str">
        <f t="shared" si="1263"/>
        <v/>
      </c>
      <c r="H3594" s="225"/>
      <c r="I3594" s="1013"/>
      <c r="J3594" s="1013"/>
      <c r="K3594" s="1028"/>
      <c r="L3594" s="1035" t="str">
        <f t="shared" si="1267"/>
        <v/>
      </c>
      <c r="S3594" s="498"/>
      <c r="AJ3594" s="498"/>
      <c r="AM3594" s="498">
        <f t="shared" si="1248"/>
        <v>0</v>
      </c>
      <c r="AN3594" s="498">
        <f t="shared" si="1249"/>
        <v>0</v>
      </c>
      <c r="AO3594" s="498">
        <f t="shared" si="1250"/>
        <v>0</v>
      </c>
      <c r="AP3594" s="498">
        <f t="shared" si="1247"/>
        <v>0</v>
      </c>
      <c r="AQ3594" s="498">
        <f t="shared" si="1264"/>
        <v>0</v>
      </c>
      <c r="AU3594" s="498">
        <f t="shared" si="1251"/>
        <v>0</v>
      </c>
      <c r="AV3594" s="498">
        <f t="shared" si="1252"/>
        <v>0</v>
      </c>
      <c r="AW3594" s="498">
        <f t="shared" si="1253"/>
        <v>0</v>
      </c>
      <c r="AX3594" s="498">
        <f t="shared" si="1254"/>
        <v>0</v>
      </c>
      <c r="AY3594" s="498">
        <f t="shared" si="1255"/>
        <v>0</v>
      </c>
      <c r="BB3594" s="498" t="str">
        <f t="shared" si="1256"/>
        <v/>
      </c>
      <c r="BC3594" s="743" t="str">
        <f t="shared" si="1257"/>
        <v/>
      </c>
      <c r="BD3594" s="743" t="str">
        <f t="shared" si="1258"/>
        <v/>
      </c>
      <c r="BE3594" s="743" t="str">
        <f>IF(D3594="","",VLOOKUP(D3594,'General Basis'!$J$39:$K$46,2,0))</f>
        <v/>
      </c>
      <c r="BF3594" s="744" t="str">
        <f>IF(D3594="","",VLOOKUP(D3594,'General Basis'!$J$39:$L$46,3,0))</f>
        <v/>
      </c>
      <c r="BG3594" s="744" t="str">
        <f t="shared" si="1265"/>
        <v/>
      </c>
      <c r="BH3594" s="744" t="str">
        <f>IF(G3594="","",IF(BF3594="Abu Dhabi",IF(G3594&lt;18,'General Basis'!$C$39,IF(G3594&lt;41,'General Basis'!$C$40,IF(G3594&lt;60,'General Basis'!$C$41,IF(G3594&lt;65,'General Basis'!$C$42,'General Basis'!$C$43)))),IF(G3594&lt;11,'General Basis'!$B$39,IF(G3594&lt;18,'General Basis'!$B$40,IF(G3594&lt;26,'General Basis'!$B$41,IF(G3594&lt;31,'General Basis'!$B$42,IF(G3594&lt;36,'General Basis'!$B$43,IF(G3594&lt;41,'General Basis'!$B$44,IF(G3594&lt;46,'General Basis'!$B$45,IF(G3594&lt;51,'General Basis'!$B$46,IF(G3594&lt;56,'General Basis'!$B$47,IF(G3594&lt;60,'General Basis'!$B$48,IF(G3594&lt;65,'General Basis'!$B$49,'General Basis'!$B$50)))))))))))))</f>
        <v/>
      </c>
      <c r="BI3594" s="744" t="str">
        <f t="shared" si="1259"/>
        <v/>
      </c>
      <c r="BJ3594" s="747" t="str">
        <f t="shared" si="1266"/>
        <v/>
      </c>
      <c r="BK3594" s="498" t="str">
        <f t="shared" si="1260"/>
        <v/>
      </c>
      <c r="BL3594" s="498" t="str">
        <f t="shared" si="1261"/>
        <v/>
      </c>
    </row>
    <row r="3595" spans="1:64" x14ac:dyDescent="0.25">
      <c r="A3595" s="762">
        <f t="shared" si="1262"/>
        <v>3590</v>
      </c>
      <c r="B3595" s="229"/>
      <c r="C3595" s="223"/>
      <c r="D3595" s="224"/>
      <c r="E3595" s="225"/>
      <c r="F3595" s="1036" t="str">
        <f t="shared" si="1246"/>
        <v/>
      </c>
      <c r="G3595" s="1037" t="str">
        <f t="shared" si="1263"/>
        <v/>
      </c>
      <c r="H3595" s="225"/>
      <c r="I3595" s="1013"/>
      <c r="J3595" s="1013"/>
      <c r="K3595" s="1028"/>
      <c r="L3595" s="1035" t="str">
        <f t="shared" si="1267"/>
        <v/>
      </c>
      <c r="S3595" s="498"/>
      <c r="AJ3595" s="498"/>
      <c r="AM3595" s="498">
        <f t="shared" si="1248"/>
        <v>0</v>
      </c>
      <c r="AN3595" s="498">
        <f t="shared" si="1249"/>
        <v>0</v>
      </c>
      <c r="AO3595" s="498">
        <f t="shared" si="1250"/>
        <v>0</v>
      </c>
      <c r="AP3595" s="498">
        <f t="shared" si="1247"/>
        <v>0</v>
      </c>
      <c r="AQ3595" s="498">
        <f t="shared" si="1264"/>
        <v>0</v>
      </c>
      <c r="AU3595" s="498">
        <f t="shared" si="1251"/>
        <v>0</v>
      </c>
      <c r="AV3595" s="498">
        <f t="shared" si="1252"/>
        <v>0</v>
      </c>
      <c r="AW3595" s="498">
        <f t="shared" si="1253"/>
        <v>0</v>
      </c>
      <c r="AX3595" s="498">
        <f t="shared" si="1254"/>
        <v>0</v>
      </c>
      <c r="AY3595" s="498">
        <f t="shared" si="1255"/>
        <v>0</v>
      </c>
      <c r="BB3595" s="498" t="str">
        <f t="shared" si="1256"/>
        <v/>
      </c>
      <c r="BC3595" s="743" t="str">
        <f t="shared" si="1257"/>
        <v/>
      </c>
      <c r="BD3595" s="743" t="str">
        <f t="shared" si="1258"/>
        <v/>
      </c>
      <c r="BE3595" s="743" t="str">
        <f>IF(D3595="","",VLOOKUP(D3595,'General Basis'!$J$39:$K$46,2,0))</f>
        <v/>
      </c>
      <c r="BF3595" s="744" t="str">
        <f>IF(D3595="","",VLOOKUP(D3595,'General Basis'!$J$39:$L$46,3,0))</f>
        <v/>
      </c>
      <c r="BG3595" s="744" t="str">
        <f t="shared" si="1265"/>
        <v/>
      </c>
      <c r="BH3595" s="744" t="str">
        <f>IF(G3595="","",IF(BF3595="Abu Dhabi",IF(G3595&lt;18,'General Basis'!$C$39,IF(G3595&lt;41,'General Basis'!$C$40,IF(G3595&lt;60,'General Basis'!$C$41,IF(G3595&lt;65,'General Basis'!$C$42,'General Basis'!$C$43)))),IF(G3595&lt;11,'General Basis'!$B$39,IF(G3595&lt;18,'General Basis'!$B$40,IF(G3595&lt;26,'General Basis'!$B$41,IF(G3595&lt;31,'General Basis'!$B$42,IF(G3595&lt;36,'General Basis'!$B$43,IF(G3595&lt;41,'General Basis'!$B$44,IF(G3595&lt;46,'General Basis'!$B$45,IF(G3595&lt;51,'General Basis'!$B$46,IF(G3595&lt;56,'General Basis'!$B$47,IF(G3595&lt;60,'General Basis'!$B$48,IF(G3595&lt;65,'General Basis'!$B$49,'General Basis'!$B$50)))))))))))))</f>
        <v/>
      </c>
      <c r="BI3595" s="744" t="str">
        <f t="shared" si="1259"/>
        <v/>
      </c>
      <c r="BJ3595" s="747" t="str">
        <f t="shared" si="1266"/>
        <v/>
      </c>
      <c r="BK3595" s="498" t="str">
        <f t="shared" si="1260"/>
        <v/>
      </c>
      <c r="BL3595" s="498" t="str">
        <f t="shared" si="1261"/>
        <v/>
      </c>
    </row>
    <row r="3596" spans="1:64" x14ac:dyDescent="0.25">
      <c r="A3596" s="762">
        <f t="shared" si="1262"/>
        <v>3591</v>
      </c>
      <c r="B3596" s="229"/>
      <c r="C3596" s="223"/>
      <c r="D3596" s="224"/>
      <c r="E3596" s="225"/>
      <c r="F3596" s="1036" t="str">
        <f t="shared" si="1246"/>
        <v/>
      </c>
      <c r="G3596" s="1037" t="str">
        <f t="shared" si="1263"/>
        <v/>
      </c>
      <c r="H3596" s="225"/>
      <c r="I3596" s="1013"/>
      <c r="J3596" s="1013"/>
      <c r="K3596" s="1028"/>
      <c r="L3596" s="1035" t="str">
        <f t="shared" si="1267"/>
        <v/>
      </c>
      <c r="S3596" s="498"/>
      <c r="AJ3596" s="498"/>
      <c r="AM3596" s="498">
        <f t="shared" si="1248"/>
        <v>0</v>
      </c>
      <c r="AN3596" s="498">
        <f t="shared" si="1249"/>
        <v>0</v>
      </c>
      <c r="AO3596" s="498">
        <f t="shared" si="1250"/>
        <v>0</v>
      </c>
      <c r="AP3596" s="498">
        <f t="shared" si="1247"/>
        <v>0</v>
      </c>
      <c r="AQ3596" s="498">
        <f t="shared" si="1264"/>
        <v>0</v>
      </c>
      <c r="AU3596" s="498">
        <f t="shared" si="1251"/>
        <v>0</v>
      </c>
      <c r="AV3596" s="498">
        <f t="shared" si="1252"/>
        <v>0</v>
      </c>
      <c r="AW3596" s="498">
        <f t="shared" si="1253"/>
        <v>0</v>
      </c>
      <c r="AX3596" s="498">
        <f t="shared" si="1254"/>
        <v>0</v>
      </c>
      <c r="AY3596" s="498">
        <f t="shared" si="1255"/>
        <v>0</v>
      </c>
      <c r="BB3596" s="498" t="str">
        <f t="shared" si="1256"/>
        <v/>
      </c>
      <c r="BC3596" s="743" t="str">
        <f t="shared" si="1257"/>
        <v/>
      </c>
      <c r="BD3596" s="743" t="str">
        <f t="shared" si="1258"/>
        <v/>
      </c>
      <c r="BE3596" s="743" t="str">
        <f>IF(D3596="","",VLOOKUP(D3596,'General Basis'!$J$39:$K$46,2,0))</f>
        <v/>
      </c>
      <c r="BF3596" s="744" t="str">
        <f>IF(D3596="","",VLOOKUP(D3596,'General Basis'!$J$39:$L$46,3,0))</f>
        <v/>
      </c>
      <c r="BG3596" s="744" t="str">
        <f t="shared" si="1265"/>
        <v/>
      </c>
      <c r="BH3596" s="744" t="str">
        <f>IF(G3596="","",IF(BF3596="Abu Dhabi",IF(G3596&lt;18,'General Basis'!$C$39,IF(G3596&lt;41,'General Basis'!$C$40,IF(G3596&lt;60,'General Basis'!$C$41,IF(G3596&lt;65,'General Basis'!$C$42,'General Basis'!$C$43)))),IF(G3596&lt;11,'General Basis'!$B$39,IF(G3596&lt;18,'General Basis'!$B$40,IF(G3596&lt;26,'General Basis'!$B$41,IF(G3596&lt;31,'General Basis'!$B$42,IF(G3596&lt;36,'General Basis'!$B$43,IF(G3596&lt;41,'General Basis'!$B$44,IF(G3596&lt;46,'General Basis'!$B$45,IF(G3596&lt;51,'General Basis'!$B$46,IF(G3596&lt;56,'General Basis'!$B$47,IF(G3596&lt;60,'General Basis'!$B$48,IF(G3596&lt;65,'General Basis'!$B$49,'General Basis'!$B$50)))))))))))))</f>
        <v/>
      </c>
      <c r="BI3596" s="744" t="str">
        <f t="shared" si="1259"/>
        <v/>
      </c>
      <c r="BJ3596" s="747" t="str">
        <f t="shared" si="1266"/>
        <v/>
      </c>
      <c r="BK3596" s="498" t="str">
        <f t="shared" si="1260"/>
        <v/>
      </c>
      <c r="BL3596" s="498" t="str">
        <f t="shared" si="1261"/>
        <v/>
      </c>
    </row>
    <row r="3597" spans="1:64" x14ac:dyDescent="0.25">
      <c r="A3597" s="762">
        <f t="shared" si="1262"/>
        <v>3592</v>
      </c>
      <c r="B3597" s="229"/>
      <c r="C3597" s="223"/>
      <c r="D3597" s="224"/>
      <c r="E3597" s="225"/>
      <c r="F3597" s="1036" t="str">
        <f t="shared" si="1246"/>
        <v/>
      </c>
      <c r="G3597" s="1037" t="str">
        <f t="shared" si="1263"/>
        <v/>
      </c>
      <c r="H3597" s="225"/>
      <c r="I3597" s="1013"/>
      <c r="J3597" s="1013"/>
      <c r="K3597" s="1028"/>
      <c r="L3597" s="1035" t="str">
        <f t="shared" si="1267"/>
        <v/>
      </c>
      <c r="S3597" s="498"/>
      <c r="AJ3597" s="498"/>
      <c r="AM3597" s="498">
        <f t="shared" si="1248"/>
        <v>0</v>
      </c>
      <c r="AN3597" s="498">
        <f t="shared" si="1249"/>
        <v>0</v>
      </c>
      <c r="AO3597" s="498">
        <f t="shared" si="1250"/>
        <v>0</v>
      </c>
      <c r="AP3597" s="498">
        <f t="shared" si="1247"/>
        <v>0</v>
      </c>
      <c r="AQ3597" s="498">
        <f t="shared" si="1264"/>
        <v>0</v>
      </c>
      <c r="AU3597" s="498">
        <f t="shared" si="1251"/>
        <v>0</v>
      </c>
      <c r="AV3597" s="498">
        <f t="shared" si="1252"/>
        <v>0</v>
      </c>
      <c r="AW3597" s="498">
        <f t="shared" si="1253"/>
        <v>0</v>
      </c>
      <c r="AX3597" s="498">
        <f t="shared" si="1254"/>
        <v>0</v>
      </c>
      <c r="AY3597" s="498">
        <f t="shared" si="1255"/>
        <v>0</v>
      </c>
      <c r="BB3597" s="498" t="str">
        <f t="shared" si="1256"/>
        <v/>
      </c>
      <c r="BC3597" s="743" t="str">
        <f t="shared" si="1257"/>
        <v/>
      </c>
      <c r="BD3597" s="743" t="str">
        <f t="shared" si="1258"/>
        <v/>
      </c>
      <c r="BE3597" s="743" t="str">
        <f>IF(D3597="","",VLOOKUP(D3597,'General Basis'!$J$39:$K$46,2,0))</f>
        <v/>
      </c>
      <c r="BF3597" s="744" t="str">
        <f>IF(D3597="","",VLOOKUP(D3597,'General Basis'!$J$39:$L$46,3,0))</f>
        <v/>
      </c>
      <c r="BG3597" s="744" t="str">
        <f t="shared" si="1265"/>
        <v/>
      </c>
      <c r="BH3597" s="744" t="str">
        <f>IF(G3597="","",IF(BF3597="Abu Dhabi",IF(G3597&lt;18,'General Basis'!$C$39,IF(G3597&lt;41,'General Basis'!$C$40,IF(G3597&lt;60,'General Basis'!$C$41,IF(G3597&lt;65,'General Basis'!$C$42,'General Basis'!$C$43)))),IF(G3597&lt;11,'General Basis'!$B$39,IF(G3597&lt;18,'General Basis'!$B$40,IF(G3597&lt;26,'General Basis'!$B$41,IF(G3597&lt;31,'General Basis'!$B$42,IF(G3597&lt;36,'General Basis'!$B$43,IF(G3597&lt;41,'General Basis'!$B$44,IF(G3597&lt;46,'General Basis'!$B$45,IF(G3597&lt;51,'General Basis'!$B$46,IF(G3597&lt;56,'General Basis'!$B$47,IF(G3597&lt;60,'General Basis'!$B$48,IF(G3597&lt;65,'General Basis'!$B$49,'General Basis'!$B$50)))))))))))))</f>
        <v/>
      </c>
      <c r="BI3597" s="744" t="str">
        <f t="shared" si="1259"/>
        <v/>
      </c>
      <c r="BJ3597" s="747" t="str">
        <f t="shared" si="1266"/>
        <v/>
      </c>
      <c r="BK3597" s="498" t="str">
        <f t="shared" si="1260"/>
        <v/>
      </c>
      <c r="BL3597" s="498" t="str">
        <f t="shared" si="1261"/>
        <v/>
      </c>
    </row>
    <row r="3598" spans="1:64" x14ac:dyDescent="0.25">
      <c r="A3598" s="762">
        <f t="shared" si="1262"/>
        <v>3593</v>
      </c>
      <c r="B3598" s="229"/>
      <c r="C3598" s="223"/>
      <c r="D3598" s="224"/>
      <c r="E3598" s="225"/>
      <c r="F3598" s="1036" t="str">
        <f t="shared" si="1246"/>
        <v/>
      </c>
      <c r="G3598" s="1037" t="str">
        <f t="shared" si="1263"/>
        <v/>
      </c>
      <c r="H3598" s="225"/>
      <c r="I3598" s="1013"/>
      <c r="J3598" s="1013"/>
      <c r="K3598" s="1028"/>
      <c r="L3598" s="1035" t="str">
        <f t="shared" si="1267"/>
        <v/>
      </c>
      <c r="S3598" s="498"/>
      <c r="AJ3598" s="498"/>
      <c r="AM3598" s="498">
        <f t="shared" si="1248"/>
        <v>0</v>
      </c>
      <c r="AN3598" s="498">
        <f t="shared" si="1249"/>
        <v>0</v>
      </c>
      <c r="AO3598" s="498">
        <f t="shared" si="1250"/>
        <v>0</v>
      </c>
      <c r="AP3598" s="498">
        <f t="shared" si="1247"/>
        <v>0</v>
      </c>
      <c r="AQ3598" s="498">
        <f t="shared" si="1264"/>
        <v>0</v>
      </c>
      <c r="AU3598" s="498">
        <f t="shared" si="1251"/>
        <v>0</v>
      </c>
      <c r="AV3598" s="498">
        <f t="shared" si="1252"/>
        <v>0</v>
      </c>
      <c r="AW3598" s="498">
        <f t="shared" si="1253"/>
        <v>0</v>
      </c>
      <c r="AX3598" s="498">
        <f t="shared" si="1254"/>
        <v>0</v>
      </c>
      <c r="AY3598" s="498">
        <f t="shared" si="1255"/>
        <v>0</v>
      </c>
      <c r="BB3598" s="498" t="str">
        <f t="shared" si="1256"/>
        <v/>
      </c>
      <c r="BC3598" s="743" t="str">
        <f t="shared" si="1257"/>
        <v/>
      </c>
      <c r="BD3598" s="743" t="str">
        <f t="shared" si="1258"/>
        <v/>
      </c>
      <c r="BE3598" s="743" t="str">
        <f>IF(D3598="","",VLOOKUP(D3598,'General Basis'!$J$39:$K$46,2,0))</f>
        <v/>
      </c>
      <c r="BF3598" s="744" t="str">
        <f>IF(D3598="","",VLOOKUP(D3598,'General Basis'!$J$39:$L$46,3,0))</f>
        <v/>
      </c>
      <c r="BG3598" s="744" t="str">
        <f t="shared" si="1265"/>
        <v/>
      </c>
      <c r="BH3598" s="744" t="str">
        <f>IF(G3598="","",IF(BF3598="Abu Dhabi",IF(G3598&lt;18,'General Basis'!$C$39,IF(G3598&lt;41,'General Basis'!$C$40,IF(G3598&lt;60,'General Basis'!$C$41,IF(G3598&lt;65,'General Basis'!$C$42,'General Basis'!$C$43)))),IF(G3598&lt;11,'General Basis'!$B$39,IF(G3598&lt;18,'General Basis'!$B$40,IF(G3598&lt;26,'General Basis'!$B$41,IF(G3598&lt;31,'General Basis'!$B$42,IF(G3598&lt;36,'General Basis'!$B$43,IF(G3598&lt;41,'General Basis'!$B$44,IF(G3598&lt;46,'General Basis'!$B$45,IF(G3598&lt;51,'General Basis'!$B$46,IF(G3598&lt;56,'General Basis'!$B$47,IF(G3598&lt;60,'General Basis'!$B$48,IF(G3598&lt;65,'General Basis'!$B$49,'General Basis'!$B$50)))))))))))))</f>
        <v/>
      </c>
      <c r="BI3598" s="744" t="str">
        <f t="shared" si="1259"/>
        <v/>
      </c>
      <c r="BJ3598" s="747" t="str">
        <f t="shared" si="1266"/>
        <v/>
      </c>
      <c r="BK3598" s="498" t="str">
        <f t="shared" si="1260"/>
        <v/>
      </c>
      <c r="BL3598" s="498" t="str">
        <f t="shared" si="1261"/>
        <v/>
      </c>
    </row>
    <row r="3599" spans="1:64" x14ac:dyDescent="0.25">
      <c r="A3599" s="762">
        <f t="shared" si="1262"/>
        <v>3594</v>
      </c>
      <c r="B3599" s="229"/>
      <c r="C3599" s="223"/>
      <c r="D3599" s="224"/>
      <c r="E3599" s="225"/>
      <c r="F3599" s="1036" t="str">
        <f t="shared" si="1246"/>
        <v/>
      </c>
      <c r="G3599" s="1037" t="str">
        <f t="shared" si="1263"/>
        <v/>
      </c>
      <c r="H3599" s="225"/>
      <c r="I3599" s="1013"/>
      <c r="J3599" s="1013"/>
      <c r="K3599" s="1028"/>
      <c r="L3599" s="1035" t="str">
        <f t="shared" si="1267"/>
        <v/>
      </c>
      <c r="S3599" s="498"/>
      <c r="AJ3599" s="498"/>
      <c r="AM3599" s="498">
        <f t="shared" si="1248"/>
        <v>0</v>
      </c>
      <c r="AN3599" s="498">
        <f t="shared" si="1249"/>
        <v>0</v>
      </c>
      <c r="AO3599" s="498">
        <f t="shared" si="1250"/>
        <v>0</v>
      </c>
      <c r="AP3599" s="498">
        <f t="shared" si="1247"/>
        <v>0</v>
      </c>
      <c r="AQ3599" s="498">
        <f t="shared" si="1264"/>
        <v>0</v>
      </c>
      <c r="AU3599" s="498">
        <f t="shared" si="1251"/>
        <v>0</v>
      </c>
      <c r="AV3599" s="498">
        <f t="shared" si="1252"/>
        <v>0</v>
      </c>
      <c r="AW3599" s="498">
        <f t="shared" si="1253"/>
        <v>0</v>
      </c>
      <c r="AX3599" s="498">
        <f t="shared" si="1254"/>
        <v>0</v>
      </c>
      <c r="AY3599" s="498">
        <f t="shared" si="1255"/>
        <v>0</v>
      </c>
      <c r="BB3599" s="498" t="str">
        <f t="shared" si="1256"/>
        <v/>
      </c>
      <c r="BC3599" s="743" t="str">
        <f t="shared" si="1257"/>
        <v/>
      </c>
      <c r="BD3599" s="743" t="str">
        <f t="shared" si="1258"/>
        <v/>
      </c>
      <c r="BE3599" s="743" t="str">
        <f>IF(D3599="","",VLOOKUP(D3599,'General Basis'!$J$39:$K$46,2,0))</f>
        <v/>
      </c>
      <c r="BF3599" s="744" t="str">
        <f>IF(D3599="","",VLOOKUP(D3599,'General Basis'!$J$39:$L$46,3,0))</f>
        <v/>
      </c>
      <c r="BG3599" s="744" t="str">
        <f t="shared" si="1265"/>
        <v/>
      </c>
      <c r="BH3599" s="744" t="str">
        <f>IF(G3599="","",IF(BF3599="Abu Dhabi",IF(G3599&lt;18,'General Basis'!$C$39,IF(G3599&lt;41,'General Basis'!$C$40,IF(G3599&lt;60,'General Basis'!$C$41,IF(G3599&lt;65,'General Basis'!$C$42,'General Basis'!$C$43)))),IF(G3599&lt;11,'General Basis'!$B$39,IF(G3599&lt;18,'General Basis'!$B$40,IF(G3599&lt;26,'General Basis'!$B$41,IF(G3599&lt;31,'General Basis'!$B$42,IF(G3599&lt;36,'General Basis'!$B$43,IF(G3599&lt;41,'General Basis'!$B$44,IF(G3599&lt;46,'General Basis'!$B$45,IF(G3599&lt;51,'General Basis'!$B$46,IF(G3599&lt;56,'General Basis'!$B$47,IF(G3599&lt;60,'General Basis'!$B$48,IF(G3599&lt;65,'General Basis'!$B$49,'General Basis'!$B$50)))))))))))))</f>
        <v/>
      </c>
      <c r="BI3599" s="744" t="str">
        <f t="shared" si="1259"/>
        <v/>
      </c>
      <c r="BJ3599" s="747" t="str">
        <f t="shared" si="1266"/>
        <v/>
      </c>
      <c r="BK3599" s="498" t="str">
        <f t="shared" si="1260"/>
        <v/>
      </c>
      <c r="BL3599" s="498" t="str">
        <f t="shared" si="1261"/>
        <v/>
      </c>
    </row>
    <row r="3600" spans="1:64" x14ac:dyDescent="0.25">
      <c r="A3600" s="762">
        <f t="shared" si="1262"/>
        <v>3595</v>
      </c>
      <c r="B3600" s="229"/>
      <c r="C3600" s="223"/>
      <c r="D3600" s="224"/>
      <c r="E3600" s="225"/>
      <c r="F3600" s="1036" t="str">
        <f t="shared" ref="F3600:F3663" si="1268">IF(C3600="","",IF($B3600="","",((YEAR($F$3)-YEAR($B3600))+(MONTH($F$3)-MONTH($B3600))/12+(DAY($F$3)-DAY($B3600))/(DATE(YEAR($F$3),12,31)-DATE(YEAR($F$3),1,1)+1))))</f>
        <v/>
      </c>
      <c r="G3600" s="1037" t="str">
        <f t="shared" si="1263"/>
        <v/>
      </c>
      <c r="H3600" s="225"/>
      <c r="I3600" s="1013"/>
      <c r="J3600" s="1013"/>
      <c r="K3600" s="1028"/>
      <c r="L3600" s="1035" t="str">
        <f t="shared" si="1267"/>
        <v/>
      </c>
      <c r="S3600" s="498"/>
      <c r="AJ3600" s="498"/>
      <c r="AM3600" s="498">
        <f t="shared" si="1248"/>
        <v>0</v>
      </c>
      <c r="AN3600" s="498">
        <f t="shared" si="1249"/>
        <v>0</v>
      </c>
      <c r="AO3600" s="498">
        <f t="shared" si="1250"/>
        <v>0</v>
      </c>
      <c r="AP3600" s="498">
        <f t="shared" si="1247"/>
        <v>0</v>
      </c>
      <c r="AQ3600" s="498">
        <f t="shared" si="1264"/>
        <v>0</v>
      </c>
      <c r="AU3600" s="498">
        <f t="shared" si="1251"/>
        <v>0</v>
      </c>
      <c r="AV3600" s="498">
        <f t="shared" si="1252"/>
        <v>0</v>
      </c>
      <c r="AW3600" s="498">
        <f t="shared" si="1253"/>
        <v>0</v>
      </c>
      <c r="AX3600" s="498">
        <f t="shared" si="1254"/>
        <v>0</v>
      </c>
      <c r="AY3600" s="498">
        <f t="shared" si="1255"/>
        <v>0</v>
      </c>
      <c r="BB3600" s="498" t="str">
        <f t="shared" si="1256"/>
        <v/>
      </c>
      <c r="BC3600" s="743" t="str">
        <f t="shared" si="1257"/>
        <v/>
      </c>
      <c r="BD3600" s="743" t="str">
        <f t="shared" si="1258"/>
        <v/>
      </c>
      <c r="BE3600" s="743" t="str">
        <f>IF(D3600="","",VLOOKUP(D3600,'General Basis'!$J$39:$K$46,2,0))</f>
        <v/>
      </c>
      <c r="BF3600" s="744" t="str">
        <f>IF(D3600="","",VLOOKUP(D3600,'General Basis'!$J$39:$L$46,3,0))</f>
        <v/>
      </c>
      <c r="BG3600" s="744" t="str">
        <f t="shared" si="1265"/>
        <v/>
      </c>
      <c r="BH3600" s="744" t="str">
        <f>IF(G3600="","",IF(BF3600="Abu Dhabi",IF(G3600&lt;18,'General Basis'!$C$39,IF(G3600&lt;41,'General Basis'!$C$40,IF(G3600&lt;60,'General Basis'!$C$41,IF(G3600&lt;65,'General Basis'!$C$42,'General Basis'!$C$43)))),IF(G3600&lt;11,'General Basis'!$B$39,IF(G3600&lt;18,'General Basis'!$B$40,IF(G3600&lt;26,'General Basis'!$B$41,IF(G3600&lt;31,'General Basis'!$B$42,IF(G3600&lt;36,'General Basis'!$B$43,IF(G3600&lt;41,'General Basis'!$B$44,IF(G3600&lt;46,'General Basis'!$B$45,IF(G3600&lt;51,'General Basis'!$B$46,IF(G3600&lt;56,'General Basis'!$B$47,IF(G3600&lt;60,'General Basis'!$B$48,IF(G3600&lt;65,'General Basis'!$B$49,'General Basis'!$B$50)))))))))))))</f>
        <v/>
      </c>
      <c r="BI3600" s="744" t="str">
        <f t="shared" si="1259"/>
        <v/>
      </c>
      <c r="BJ3600" s="747" t="str">
        <f t="shared" si="1266"/>
        <v/>
      </c>
      <c r="BK3600" s="498" t="str">
        <f t="shared" si="1260"/>
        <v/>
      </c>
      <c r="BL3600" s="498" t="str">
        <f t="shared" si="1261"/>
        <v/>
      </c>
    </row>
    <row r="3601" spans="1:64" x14ac:dyDescent="0.25">
      <c r="A3601" s="762">
        <f t="shared" si="1262"/>
        <v>3596</v>
      </c>
      <c r="B3601" s="229"/>
      <c r="C3601" s="223"/>
      <c r="D3601" s="224"/>
      <c r="E3601" s="225"/>
      <c r="F3601" s="1036" t="str">
        <f t="shared" si="1268"/>
        <v/>
      </c>
      <c r="G3601" s="1037" t="str">
        <f t="shared" si="1263"/>
        <v/>
      </c>
      <c r="H3601" s="225"/>
      <c r="I3601" s="1013"/>
      <c r="J3601" s="1013"/>
      <c r="K3601" s="1028"/>
      <c r="L3601" s="1035" t="str">
        <f t="shared" si="1267"/>
        <v/>
      </c>
      <c r="S3601" s="498"/>
      <c r="AJ3601" s="498"/>
      <c r="AM3601" s="498">
        <f t="shared" si="1248"/>
        <v>0</v>
      </c>
      <c r="AN3601" s="498">
        <f t="shared" si="1249"/>
        <v>0</v>
      </c>
      <c r="AO3601" s="498">
        <f t="shared" si="1250"/>
        <v>0</v>
      </c>
      <c r="AP3601" s="498">
        <f t="shared" si="1247"/>
        <v>0</v>
      </c>
      <c r="AQ3601" s="498">
        <f t="shared" si="1264"/>
        <v>0</v>
      </c>
      <c r="AU3601" s="498">
        <f t="shared" si="1251"/>
        <v>0</v>
      </c>
      <c r="AV3601" s="498">
        <f t="shared" si="1252"/>
        <v>0</v>
      </c>
      <c r="AW3601" s="498">
        <f t="shared" si="1253"/>
        <v>0</v>
      </c>
      <c r="AX3601" s="498">
        <f t="shared" si="1254"/>
        <v>0</v>
      </c>
      <c r="AY3601" s="498">
        <f t="shared" si="1255"/>
        <v>0</v>
      </c>
      <c r="BB3601" s="498" t="str">
        <f t="shared" si="1256"/>
        <v/>
      </c>
      <c r="BC3601" s="743" t="str">
        <f t="shared" si="1257"/>
        <v/>
      </c>
      <c r="BD3601" s="743" t="str">
        <f t="shared" si="1258"/>
        <v/>
      </c>
      <c r="BE3601" s="743" t="str">
        <f>IF(D3601="","",VLOOKUP(D3601,'General Basis'!$J$39:$K$46,2,0))</f>
        <v/>
      </c>
      <c r="BF3601" s="744" t="str">
        <f>IF(D3601="","",VLOOKUP(D3601,'General Basis'!$J$39:$L$46,3,0))</f>
        <v/>
      </c>
      <c r="BG3601" s="744" t="str">
        <f t="shared" si="1265"/>
        <v/>
      </c>
      <c r="BH3601" s="744" t="str">
        <f>IF(G3601="","",IF(BF3601="Abu Dhabi",IF(G3601&lt;18,'General Basis'!$C$39,IF(G3601&lt;41,'General Basis'!$C$40,IF(G3601&lt;60,'General Basis'!$C$41,IF(G3601&lt;65,'General Basis'!$C$42,'General Basis'!$C$43)))),IF(G3601&lt;11,'General Basis'!$B$39,IF(G3601&lt;18,'General Basis'!$B$40,IF(G3601&lt;26,'General Basis'!$B$41,IF(G3601&lt;31,'General Basis'!$B$42,IF(G3601&lt;36,'General Basis'!$B$43,IF(G3601&lt;41,'General Basis'!$B$44,IF(G3601&lt;46,'General Basis'!$B$45,IF(G3601&lt;51,'General Basis'!$B$46,IF(G3601&lt;56,'General Basis'!$B$47,IF(G3601&lt;60,'General Basis'!$B$48,IF(G3601&lt;65,'General Basis'!$B$49,'General Basis'!$B$50)))))))))))))</f>
        <v/>
      </c>
      <c r="BI3601" s="744" t="str">
        <f t="shared" si="1259"/>
        <v/>
      </c>
      <c r="BJ3601" s="747" t="str">
        <f t="shared" si="1266"/>
        <v/>
      </c>
      <c r="BK3601" s="498" t="str">
        <f t="shared" si="1260"/>
        <v/>
      </c>
      <c r="BL3601" s="498" t="str">
        <f t="shared" si="1261"/>
        <v/>
      </c>
    </row>
    <row r="3602" spans="1:64" x14ac:dyDescent="0.25">
      <c r="A3602" s="762">
        <f t="shared" si="1262"/>
        <v>3597</v>
      </c>
      <c r="B3602" s="229"/>
      <c r="C3602" s="223"/>
      <c r="D3602" s="224"/>
      <c r="E3602" s="225"/>
      <c r="F3602" s="1036" t="str">
        <f t="shared" si="1268"/>
        <v/>
      </c>
      <c r="G3602" s="1037" t="str">
        <f t="shared" si="1263"/>
        <v/>
      </c>
      <c r="H3602" s="225"/>
      <c r="I3602" s="1013"/>
      <c r="J3602" s="1013"/>
      <c r="K3602" s="1028"/>
      <c r="L3602" s="1035" t="str">
        <f t="shared" si="1267"/>
        <v/>
      </c>
      <c r="S3602" s="498"/>
      <c r="AJ3602" s="498"/>
      <c r="AM3602" s="498">
        <f t="shared" si="1248"/>
        <v>0</v>
      </c>
      <c r="AN3602" s="498">
        <f t="shared" si="1249"/>
        <v>0</v>
      </c>
      <c r="AO3602" s="498">
        <f t="shared" si="1250"/>
        <v>0</v>
      </c>
      <c r="AP3602" s="498">
        <f t="shared" si="1247"/>
        <v>0</v>
      </c>
      <c r="AQ3602" s="498">
        <f t="shared" si="1264"/>
        <v>0</v>
      </c>
      <c r="AU3602" s="498">
        <f t="shared" si="1251"/>
        <v>0</v>
      </c>
      <c r="AV3602" s="498">
        <f t="shared" si="1252"/>
        <v>0</v>
      </c>
      <c r="AW3602" s="498">
        <f t="shared" si="1253"/>
        <v>0</v>
      </c>
      <c r="AX3602" s="498">
        <f t="shared" si="1254"/>
        <v>0</v>
      </c>
      <c r="AY3602" s="498">
        <f t="shared" si="1255"/>
        <v>0</v>
      </c>
      <c r="BB3602" s="498" t="str">
        <f t="shared" si="1256"/>
        <v/>
      </c>
      <c r="BC3602" s="743" t="str">
        <f t="shared" si="1257"/>
        <v/>
      </c>
      <c r="BD3602" s="743" t="str">
        <f t="shared" si="1258"/>
        <v/>
      </c>
      <c r="BE3602" s="743" t="str">
        <f>IF(D3602="","",VLOOKUP(D3602,'General Basis'!$J$39:$K$46,2,0))</f>
        <v/>
      </c>
      <c r="BF3602" s="744" t="str">
        <f>IF(D3602="","",VLOOKUP(D3602,'General Basis'!$J$39:$L$46,3,0))</f>
        <v/>
      </c>
      <c r="BG3602" s="744" t="str">
        <f t="shared" si="1265"/>
        <v/>
      </c>
      <c r="BH3602" s="744" t="str">
        <f>IF(G3602="","",IF(BF3602="Abu Dhabi",IF(G3602&lt;18,'General Basis'!$C$39,IF(G3602&lt;41,'General Basis'!$C$40,IF(G3602&lt;60,'General Basis'!$C$41,IF(G3602&lt;65,'General Basis'!$C$42,'General Basis'!$C$43)))),IF(G3602&lt;11,'General Basis'!$B$39,IF(G3602&lt;18,'General Basis'!$B$40,IF(G3602&lt;26,'General Basis'!$B$41,IF(G3602&lt;31,'General Basis'!$B$42,IF(G3602&lt;36,'General Basis'!$B$43,IF(G3602&lt;41,'General Basis'!$B$44,IF(G3602&lt;46,'General Basis'!$B$45,IF(G3602&lt;51,'General Basis'!$B$46,IF(G3602&lt;56,'General Basis'!$B$47,IF(G3602&lt;60,'General Basis'!$B$48,IF(G3602&lt;65,'General Basis'!$B$49,'General Basis'!$B$50)))))))))))))</f>
        <v/>
      </c>
      <c r="BI3602" s="744" t="str">
        <f t="shared" si="1259"/>
        <v/>
      </c>
      <c r="BJ3602" s="747" t="str">
        <f t="shared" si="1266"/>
        <v/>
      </c>
      <c r="BK3602" s="498" t="str">
        <f t="shared" si="1260"/>
        <v/>
      </c>
      <c r="BL3602" s="498" t="str">
        <f t="shared" si="1261"/>
        <v/>
      </c>
    </row>
    <row r="3603" spans="1:64" x14ac:dyDescent="0.25">
      <c r="A3603" s="762">
        <f t="shared" si="1262"/>
        <v>3598</v>
      </c>
      <c r="B3603" s="229"/>
      <c r="C3603" s="223"/>
      <c r="D3603" s="224"/>
      <c r="E3603" s="225"/>
      <c r="F3603" s="1036" t="str">
        <f t="shared" si="1268"/>
        <v/>
      </c>
      <c r="G3603" s="1037" t="str">
        <f t="shared" si="1263"/>
        <v/>
      </c>
      <c r="H3603" s="225"/>
      <c r="I3603" s="1013"/>
      <c r="J3603" s="1013"/>
      <c r="K3603" s="1028"/>
      <c r="L3603" s="1035" t="str">
        <f t="shared" si="1267"/>
        <v/>
      </c>
      <c r="S3603" s="498"/>
      <c r="AJ3603" s="498"/>
      <c r="AM3603" s="498">
        <f t="shared" si="1248"/>
        <v>0</v>
      </c>
      <c r="AN3603" s="498">
        <f t="shared" si="1249"/>
        <v>0</v>
      </c>
      <c r="AO3603" s="498">
        <f t="shared" si="1250"/>
        <v>0</v>
      </c>
      <c r="AP3603" s="498">
        <f t="shared" ref="AP3603:AP3666" si="1269">IF(ISBLANK($B3603),0,IF(OR($C3603="M",$C3603="F"),0,1))</f>
        <v>0</v>
      </c>
      <c r="AQ3603" s="498">
        <f t="shared" si="1264"/>
        <v>0</v>
      </c>
      <c r="AU3603" s="498">
        <f t="shared" si="1251"/>
        <v>0</v>
      </c>
      <c r="AV3603" s="498">
        <f t="shared" si="1252"/>
        <v>0</v>
      </c>
      <c r="AW3603" s="498">
        <f t="shared" si="1253"/>
        <v>0</v>
      </c>
      <c r="AX3603" s="498">
        <f t="shared" si="1254"/>
        <v>0</v>
      </c>
      <c r="AY3603" s="498">
        <f t="shared" si="1255"/>
        <v>0</v>
      </c>
      <c r="BB3603" s="498" t="str">
        <f t="shared" si="1256"/>
        <v/>
      </c>
      <c r="BC3603" s="743" t="str">
        <f t="shared" si="1257"/>
        <v/>
      </c>
      <c r="BD3603" s="743" t="str">
        <f t="shared" si="1258"/>
        <v/>
      </c>
      <c r="BE3603" s="743" t="str">
        <f>IF(D3603="","",VLOOKUP(D3603,'General Basis'!$J$39:$K$46,2,0))</f>
        <v/>
      </c>
      <c r="BF3603" s="744" t="str">
        <f>IF(D3603="","",VLOOKUP(D3603,'General Basis'!$J$39:$L$46,3,0))</f>
        <v/>
      </c>
      <c r="BG3603" s="744" t="str">
        <f t="shared" si="1265"/>
        <v/>
      </c>
      <c r="BH3603" s="744" t="str">
        <f>IF(G3603="","",IF(BF3603="Abu Dhabi",IF(G3603&lt;18,'General Basis'!$C$39,IF(G3603&lt;41,'General Basis'!$C$40,IF(G3603&lt;60,'General Basis'!$C$41,IF(G3603&lt;65,'General Basis'!$C$42,'General Basis'!$C$43)))),IF(G3603&lt;11,'General Basis'!$B$39,IF(G3603&lt;18,'General Basis'!$B$40,IF(G3603&lt;26,'General Basis'!$B$41,IF(G3603&lt;31,'General Basis'!$B$42,IF(G3603&lt;36,'General Basis'!$B$43,IF(G3603&lt;41,'General Basis'!$B$44,IF(G3603&lt;46,'General Basis'!$B$45,IF(G3603&lt;51,'General Basis'!$B$46,IF(G3603&lt;56,'General Basis'!$B$47,IF(G3603&lt;60,'General Basis'!$B$48,IF(G3603&lt;65,'General Basis'!$B$49,'General Basis'!$B$50)))))))))))))</f>
        <v/>
      </c>
      <c r="BI3603" s="744" t="str">
        <f t="shared" si="1259"/>
        <v/>
      </c>
      <c r="BJ3603" s="747" t="str">
        <f t="shared" si="1266"/>
        <v/>
      </c>
      <c r="BK3603" s="498" t="str">
        <f t="shared" si="1260"/>
        <v/>
      </c>
      <c r="BL3603" s="498" t="str">
        <f t="shared" si="1261"/>
        <v/>
      </c>
    </row>
    <row r="3604" spans="1:64" x14ac:dyDescent="0.25">
      <c r="A3604" s="762">
        <f t="shared" si="1262"/>
        <v>3599</v>
      </c>
      <c r="B3604" s="229"/>
      <c r="C3604" s="223"/>
      <c r="D3604" s="224"/>
      <c r="E3604" s="225"/>
      <c r="F3604" s="1036" t="str">
        <f t="shared" si="1268"/>
        <v/>
      </c>
      <c r="G3604" s="1037" t="str">
        <f t="shared" si="1263"/>
        <v/>
      </c>
      <c r="H3604" s="225"/>
      <c r="I3604" s="1013"/>
      <c r="J3604" s="1013"/>
      <c r="K3604" s="1028"/>
      <c r="L3604" s="1035" t="str">
        <f t="shared" si="1267"/>
        <v/>
      </c>
      <c r="S3604" s="498"/>
      <c r="AJ3604" s="498"/>
      <c r="AM3604" s="498">
        <f t="shared" si="1248"/>
        <v>0</v>
      </c>
      <c r="AN3604" s="498">
        <f t="shared" si="1249"/>
        <v>0</v>
      </c>
      <c r="AO3604" s="498">
        <f t="shared" si="1250"/>
        <v>0</v>
      </c>
      <c r="AP3604" s="498">
        <f t="shared" si="1269"/>
        <v>0</v>
      </c>
      <c r="AQ3604" s="498">
        <f t="shared" si="1264"/>
        <v>0</v>
      </c>
      <c r="AU3604" s="498">
        <f t="shared" si="1251"/>
        <v>0</v>
      </c>
      <c r="AV3604" s="498">
        <f t="shared" si="1252"/>
        <v>0</v>
      </c>
      <c r="AW3604" s="498">
        <f t="shared" si="1253"/>
        <v>0</v>
      </c>
      <c r="AX3604" s="498">
        <f t="shared" si="1254"/>
        <v>0</v>
      </c>
      <c r="AY3604" s="498">
        <f t="shared" si="1255"/>
        <v>0</v>
      </c>
      <c r="BB3604" s="498" t="str">
        <f t="shared" si="1256"/>
        <v/>
      </c>
      <c r="BC3604" s="743" t="str">
        <f t="shared" si="1257"/>
        <v/>
      </c>
      <c r="BD3604" s="743" t="str">
        <f t="shared" si="1258"/>
        <v/>
      </c>
      <c r="BE3604" s="743" t="str">
        <f>IF(D3604="","",VLOOKUP(D3604,'General Basis'!$J$39:$K$46,2,0))</f>
        <v/>
      </c>
      <c r="BF3604" s="744" t="str">
        <f>IF(D3604="","",VLOOKUP(D3604,'General Basis'!$J$39:$L$46,3,0))</f>
        <v/>
      </c>
      <c r="BG3604" s="744" t="str">
        <f t="shared" si="1265"/>
        <v/>
      </c>
      <c r="BH3604" s="744" t="str">
        <f>IF(G3604="","",IF(BF3604="Abu Dhabi",IF(G3604&lt;18,'General Basis'!$C$39,IF(G3604&lt;41,'General Basis'!$C$40,IF(G3604&lt;60,'General Basis'!$C$41,IF(G3604&lt;65,'General Basis'!$C$42,'General Basis'!$C$43)))),IF(G3604&lt;11,'General Basis'!$B$39,IF(G3604&lt;18,'General Basis'!$B$40,IF(G3604&lt;26,'General Basis'!$B$41,IF(G3604&lt;31,'General Basis'!$B$42,IF(G3604&lt;36,'General Basis'!$B$43,IF(G3604&lt;41,'General Basis'!$B$44,IF(G3604&lt;46,'General Basis'!$B$45,IF(G3604&lt;51,'General Basis'!$B$46,IF(G3604&lt;56,'General Basis'!$B$47,IF(G3604&lt;60,'General Basis'!$B$48,IF(G3604&lt;65,'General Basis'!$B$49,'General Basis'!$B$50)))))))))))))</f>
        <v/>
      </c>
      <c r="BI3604" s="744" t="str">
        <f t="shared" si="1259"/>
        <v/>
      </c>
      <c r="BJ3604" s="747" t="str">
        <f t="shared" si="1266"/>
        <v/>
      </c>
      <c r="BK3604" s="498" t="str">
        <f t="shared" si="1260"/>
        <v/>
      </c>
      <c r="BL3604" s="498" t="str">
        <f t="shared" si="1261"/>
        <v/>
      </c>
    </row>
    <row r="3605" spans="1:64" x14ac:dyDescent="0.25">
      <c r="A3605" s="762">
        <f t="shared" si="1262"/>
        <v>3600</v>
      </c>
      <c r="B3605" s="229"/>
      <c r="C3605" s="223"/>
      <c r="D3605" s="224"/>
      <c r="E3605" s="225"/>
      <c r="F3605" s="1036" t="str">
        <f t="shared" si="1268"/>
        <v/>
      </c>
      <c r="G3605" s="1037" t="str">
        <f t="shared" si="1263"/>
        <v/>
      </c>
      <c r="H3605" s="225"/>
      <c r="I3605" s="1013"/>
      <c r="J3605" s="1013"/>
      <c r="K3605" s="1028"/>
      <c r="L3605" s="1035" t="str">
        <f t="shared" si="1267"/>
        <v/>
      </c>
      <c r="S3605" s="498"/>
      <c r="AJ3605" s="498"/>
      <c r="AM3605" s="498">
        <f t="shared" si="1248"/>
        <v>0</v>
      </c>
      <c r="AN3605" s="498">
        <f t="shared" si="1249"/>
        <v>0</v>
      </c>
      <c r="AO3605" s="498">
        <f t="shared" si="1250"/>
        <v>0</v>
      </c>
      <c r="AP3605" s="498">
        <f t="shared" si="1269"/>
        <v>0</v>
      </c>
      <c r="AQ3605" s="498">
        <f t="shared" si="1264"/>
        <v>0</v>
      </c>
      <c r="AU3605" s="498">
        <f t="shared" si="1251"/>
        <v>0</v>
      </c>
      <c r="AV3605" s="498">
        <f t="shared" si="1252"/>
        <v>0</v>
      </c>
      <c r="AW3605" s="498">
        <f t="shared" si="1253"/>
        <v>0</v>
      </c>
      <c r="AX3605" s="498">
        <f t="shared" si="1254"/>
        <v>0</v>
      </c>
      <c r="AY3605" s="498">
        <f t="shared" si="1255"/>
        <v>0</v>
      </c>
      <c r="BB3605" s="498" t="str">
        <f t="shared" si="1256"/>
        <v/>
      </c>
      <c r="BC3605" s="743" t="str">
        <f t="shared" si="1257"/>
        <v/>
      </c>
      <c r="BD3605" s="743" t="str">
        <f t="shared" si="1258"/>
        <v/>
      </c>
      <c r="BE3605" s="743" t="str">
        <f>IF(D3605="","",VLOOKUP(D3605,'General Basis'!$J$39:$K$46,2,0))</f>
        <v/>
      </c>
      <c r="BF3605" s="744" t="str">
        <f>IF(D3605="","",VLOOKUP(D3605,'General Basis'!$J$39:$L$46,3,0))</f>
        <v/>
      </c>
      <c r="BG3605" s="744" t="str">
        <f t="shared" si="1265"/>
        <v/>
      </c>
      <c r="BH3605" s="744" t="str">
        <f>IF(G3605="","",IF(BF3605="Abu Dhabi",IF(G3605&lt;18,'General Basis'!$C$39,IF(G3605&lt;41,'General Basis'!$C$40,IF(G3605&lt;60,'General Basis'!$C$41,IF(G3605&lt;65,'General Basis'!$C$42,'General Basis'!$C$43)))),IF(G3605&lt;11,'General Basis'!$B$39,IF(G3605&lt;18,'General Basis'!$B$40,IF(G3605&lt;26,'General Basis'!$B$41,IF(G3605&lt;31,'General Basis'!$B$42,IF(G3605&lt;36,'General Basis'!$B$43,IF(G3605&lt;41,'General Basis'!$B$44,IF(G3605&lt;46,'General Basis'!$B$45,IF(G3605&lt;51,'General Basis'!$B$46,IF(G3605&lt;56,'General Basis'!$B$47,IF(G3605&lt;60,'General Basis'!$B$48,IF(G3605&lt;65,'General Basis'!$B$49,'General Basis'!$B$50)))))))))))))</f>
        <v/>
      </c>
      <c r="BI3605" s="744" t="str">
        <f t="shared" si="1259"/>
        <v/>
      </c>
      <c r="BJ3605" s="747" t="str">
        <f t="shared" si="1266"/>
        <v/>
      </c>
      <c r="BK3605" s="498" t="str">
        <f t="shared" si="1260"/>
        <v/>
      </c>
      <c r="BL3605" s="498" t="str">
        <f t="shared" si="1261"/>
        <v/>
      </c>
    </row>
    <row r="3606" spans="1:64" x14ac:dyDescent="0.25">
      <c r="A3606" s="762">
        <f t="shared" si="1262"/>
        <v>3601</v>
      </c>
      <c r="B3606" s="229"/>
      <c r="C3606" s="223"/>
      <c r="D3606" s="224"/>
      <c r="E3606" s="225"/>
      <c r="F3606" s="1036" t="str">
        <f t="shared" si="1268"/>
        <v/>
      </c>
      <c r="G3606" s="1037" t="str">
        <f t="shared" si="1263"/>
        <v/>
      </c>
      <c r="H3606" s="225"/>
      <c r="I3606" s="1013"/>
      <c r="J3606" s="1013"/>
      <c r="K3606" s="1028"/>
      <c r="L3606" s="1035" t="str">
        <f t="shared" si="1267"/>
        <v/>
      </c>
      <c r="S3606" s="498"/>
      <c r="AJ3606" s="498"/>
      <c r="AM3606" s="498">
        <f t="shared" si="1248"/>
        <v>0</v>
      </c>
      <c r="AN3606" s="498">
        <f t="shared" si="1249"/>
        <v>0</v>
      </c>
      <c r="AO3606" s="498">
        <f t="shared" si="1250"/>
        <v>0</v>
      </c>
      <c r="AP3606" s="498">
        <f t="shared" si="1269"/>
        <v>0</v>
      </c>
      <c r="AQ3606" s="498">
        <f t="shared" si="1264"/>
        <v>0</v>
      </c>
      <c r="AU3606" s="498">
        <f t="shared" si="1251"/>
        <v>0</v>
      </c>
      <c r="AV3606" s="498">
        <f t="shared" si="1252"/>
        <v>0</v>
      </c>
      <c r="AW3606" s="498">
        <f t="shared" si="1253"/>
        <v>0</v>
      </c>
      <c r="AX3606" s="498">
        <f t="shared" si="1254"/>
        <v>0</v>
      </c>
      <c r="AY3606" s="498">
        <f t="shared" si="1255"/>
        <v>0</v>
      </c>
      <c r="BB3606" s="498" t="str">
        <f t="shared" si="1256"/>
        <v/>
      </c>
      <c r="BC3606" s="743" t="str">
        <f t="shared" si="1257"/>
        <v/>
      </c>
      <c r="BD3606" s="743" t="str">
        <f t="shared" si="1258"/>
        <v/>
      </c>
      <c r="BE3606" s="743" t="str">
        <f>IF(D3606="","",VLOOKUP(D3606,'General Basis'!$J$39:$K$46,2,0))</f>
        <v/>
      </c>
      <c r="BF3606" s="744" t="str">
        <f>IF(D3606="","",VLOOKUP(D3606,'General Basis'!$J$39:$L$46,3,0))</f>
        <v/>
      </c>
      <c r="BG3606" s="744" t="str">
        <f t="shared" si="1265"/>
        <v/>
      </c>
      <c r="BH3606" s="744" t="str">
        <f>IF(G3606="","",IF(BF3606="Abu Dhabi",IF(G3606&lt;18,'General Basis'!$C$39,IF(G3606&lt;41,'General Basis'!$C$40,IF(G3606&lt;60,'General Basis'!$C$41,IF(G3606&lt;65,'General Basis'!$C$42,'General Basis'!$C$43)))),IF(G3606&lt;11,'General Basis'!$B$39,IF(G3606&lt;18,'General Basis'!$B$40,IF(G3606&lt;26,'General Basis'!$B$41,IF(G3606&lt;31,'General Basis'!$B$42,IF(G3606&lt;36,'General Basis'!$B$43,IF(G3606&lt;41,'General Basis'!$B$44,IF(G3606&lt;46,'General Basis'!$B$45,IF(G3606&lt;51,'General Basis'!$B$46,IF(G3606&lt;56,'General Basis'!$B$47,IF(G3606&lt;60,'General Basis'!$B$48,IF(G3606&lt;65,'General Basis'!$B$49,'General Basis'!$B$50)))))))))))))</f>
        <v/>
      </c>
      <c r="BI3606" s="744" t="str">
        <f t="shared" si="1259"/>
        <v/>
      </c>
      <c r="BJ3606" s="747" t="str">
        <f t="shared" si="1266"/>
        <v/>
      </c>
      <c r="BK3606" s="498" t="str">
        <f t="shared" si="1260"/>
        <v/>
      </c>
      <c r="BL3606" s="498" t="str">
        <f t="shared" si="1261"/>
        <v/>
      </c>
    </row>
    <row r="3607" spans="1:64" x14ac:dyDescent="0.25">
      <c r="A3607" s="762">
        <f t="shared" si="1262"/>
        <v>3602</v>
      </c>
      <c r="B3607" s="229"/>
      <c r="C3607" s="223"/>
      <c r="D3607" s="224"/>
      <c r="E3607" s="225"/>
      <c r="F3607" s="1036" t="str">
        <f t="shared" si="1268"/>
        <v/>
      </c>
      <c r="G3607" s="1037" t="str">
        <f t="shared" si="1263"/>
        <v/>
      </c>
      <c r="H3607" s="225"/>
      <c r="I3607" s="1013"/>
      <c r="J3607" s="1013"/>
      <c r="K3607" s="1028"/>
      <c r="L3607" s="1035" t="str">
        <f t="shared" si="1267"/>
        <v/>
      </c>
      <c r="S3607" s="498"/>
      <c r="AJ3607" s="498"/>
      <c r="AM3607" s="498">
        <f t="shared" si="1248"/>
        <v>0</v>
      </c>
      <c r="AN3607" s="498">
        <f t="shared" si="1249"/>
        <v>0</v>
      </c>
      <c r="AO3607" s="498">
        <f t="shared" si="1250"/>
        <v>0</v>
      </c>
      <c r="AP3607" s="498">
        <f t="shared" si="1269"/>
        <v>0</v>
      </c>
      <c r="AQ3607" s="498">
        <f t="shared" si="1264"/>
        <v>0</v>
      </c>
      <c r="AU3607" s="498">
        <f t="shared" si="1251"/>
        <v>0</v>
      </c>
      <c r="AV3607" s="498">
        <f t="shared" si="1252"/>
        <v>0</v>
      </c>
      <c r="AW3607" s="498">
        <f t="shared" si="1253"/>
        <v>0</v>
      </c>
      <c r="AX3607" s="498">
        <f t="shared" si="1254"/>
        <v>0</v>
      </c>
      <c r="AY3607" s="498">
        <f t="shared" si="1255"/>
        <v>0</v>
      </c>
      <c r="BB3607" s="498" t="str">
        <f t="shared" si="1256"/>
        <v/>
      </c>
      <c r="BC3607" s="743" t="str">
        <f t="shared" si="1257"/>
        <v/>
      </c>
      <c r="BD3607" s="743" t="str">
        <f t="shared" si="1258"/>
        <v/>
      </c>
      <c r="BE3607" s="743" t="str">
        <f>IF(D3607="","",VLOOKUP(D3607,'General Basis'!$J$39:$K$46,2,0))</f>
        <v/>
      </c>
      <c r="BF3607" s="744" t="str">
        <f>IF(D3607="","",VLOOKUP(D3607,'General Basis'!$J$39:$L$46,3,0))</f>
        <v/>
      </c>
      <c r="BG3607" s="744" t="str">
        <f t="shared" si="1265"/>
        <v/>
      </c>
      <c r="BH3607" s="744" t="str">
        <f>IF(G3607="","",IF(BF3607="Abu Dhabi",IF(G3607&lt;18,'General Basis'!$C$39,IF(G3607&lt;41,'General Basis'!$C$40,IF(G3607&lt;60,'General Basis'!$C$41,IF(G3607&lt;65,'General Basis'!$C$42,'General Basis'!$C$43)))),IF(G3607&lt;11,'General Basis'!$B$39,IF(G3607&lt;18,'General Basis'!$B$40,IF(G3607&lt;26,'General Basis'!$B$41,IF(G3607&lt;31,'General Basis'!$B$42,IF(G3607&lt;36,'General Basis'!$B$43,IF(G3607&lt;41,'General Basis'!$B$44,IF(G3607&lt;46,'General Basis'!$B$45,IF(G3607&lt;51,'General Basis'!$B$46,IF(G3607&lt;56,'General Basis'!$B$47,IF(G3607&lt;60,'General Basis'!$B$48,IF(G3607&lt;65,'General Basis'!$B$49,'General Basis'!$B$50)))))))))))))</f>
        <v/>
      </c>
      <c r="BI3607" s="744" t="str">
        <f t="shared" si="1259"/>
        <v/>
      </c>
      <c r="BJ3607" s="747" t="str">
        <f t="shared" si="1266"/>
        <v/>
      </c>
      <c r="BK3607" s="498" t="str">
        <f t="shared" si="1260"/>
        <v/>
      </c>
      <c r="BL3607" s="498" t="str">
        <f t="shared" si="1261"/>
        <v/>
      </c>
    </row>
    <row r="3608" spans="1:64" x14ac:dyDescent="0.25">
      <c r="A3608" s="762">
        <f t="shared" si="1262"/>
        <v>3603</v>
      </c>
      <c r="B3608" s="229"/>
      <c r="C3608" s="223"/>
      <c r="D3608" s="224"/>
      <c r="E3608" s="225"/>
      <c r="F3608" s="1036" t="str">
        <f t="shared" si="1268"/>
        <v/>
      </c>
      <c r="G3608" s="1037" t="str">
        <f t="shared" si="1263"/>
        <v/>
      </c>
      <c r="H3608" s="225"/>
      <c r="I3608" s="1013"/>
      <c r="J3608" s="1013"/>
      <c r="K3608" s="1028"/>
      <c r="L3608" s="1035" t="str">
        <f t="shared" si="1267"/>
        <v/>
      </c>
      <c r="S3608" s="498"/>
      <c r="AJ3608" s="498"/>
      <c r="AM3608" s="498">
        <f t="shared" si="1248"/>
        <v>0</v>
      </c>
      <c r="AN3608" s="498">
        <f t="shared" si="1249"/>
        <v>0</v>
      </c>
      <c r="AO3608" s="498">
        <f t="shared" si="1250"/>
        <v>0</v>
      </c>
      <c r="AP3608" s="498">
        <f t="shared" si="1269"/>
        <v>0</v>
      </c>
      <c r="AQ3608" s="498">
        <f t="shared" si="1264"/>
        <v>0</v>
      </c>
      <c r="AU3608" s="498">
        <f t="shared" si="1251"/>
        <v>0</v>
      </c>
      <c r="AV3608" s="498">
        <f t="shared" si="1252"/>
        <v>0</v>
      </c>
      <c r="AW3608" s="498">
        <f t="shared" si="1253"/>
        <v>0</v>
      </c>
      <c r="AX3608" s="498">
        <f t="shared" si="1254"/>
        <v>0</v>
      </c>
      <c r="AY3608" s="498">
        <f t="shared" si="1255"/>
        <v>0</v>
      </c>
      <c r="BB3608" s="498" t="str">
        <f t="shared" si="1256"/>
        <v/>
      </c>
      <c r="BC3608" s="743" t="str">
        <f t="shared" si="1257"/>
        <v/>
      </c>
      <c r="BD3608" s="743" t="str">
        <f t="shared" si="1258"/>
        <v/>
      </c>
      <c r="BE3608" s="743" t="str">
        <f>IF(D3608="","",VLOOKUP(D3608,'General Basis'!$J$39:$K$46,2,0))</f>
        <v/>
      </c>
      <c r="BF3608" s="744" t="str">
        <f>IF(D3608="","",VLOOKUP(D3608,'General Basis'!$J$39:$L$46,3,0))</f>
        <v/>
      </c>
      <c r="BG3608" s="744" t="str">
        <f t="shared" si="1265"/>
        <v/>
      </c>
      <c r="BH3608" s="744" t="str">
        <f>IF(G3608="","",IF(BF3608="Abu Dhabi",IF(G3608&lt;18,'General Basis'!$C$39,IF(G3608&lt;41,'General Basis'!$C$40,IF(G3608&lt;60,'General Basis'!$C$41,IF(G3608&lt;65,'General Basis'!$C$42,'General Basis'!$C$43)))),IF(G3608&lt;11,'General Basis'!$B$39,IF(G3608&lt;18,'General Basis'!$B$40,IF(G3608&lt;26,'General Basis'!$B$41,IF(G3608&lt;31,'General Basis'!$B$42,IF(G3608&lt;36,'General Basis'!$B$43,IF(G3608&lt;41,'General Basis'!$B$44,IF(G3608&lt;46,'General Basis'!$B$45,IF(G3608&lt;51,'General Basis'!$B$46,IF(G3608&lt;56,'General Basis'!$B$47,IF(G3608&lt;60,'General Basis'!$B$48,IF(G3608&lt;65,'General Basis'!$B$49,'General Basis'!$B$50)))))))))))))</f>
        <v/>
      </c>
      <c r="BI3608" s="744" t="str">
        <f t="shared" si="1259"/>
        <v/>
      </c>
      <c r="BJ3608" s="747" t="str">
        <f t="shared" si="1266"/>
        <v/>
      </c>
      <c r="BK3608" s="498" t="str">
        <f t="shared" si="1260"/>
        <v/>
      </c>
      <c r="BL3608" s="498" t="str">
        <f t="shared" si="1261"/>
        <v/>
      </c>
    </row>
    <row r="3609" spans="1:64" x14ac:dyDescent="0.25">
      <c r="A3609" s="762">
        <f t="shared" si="1262"/>
        <v>3604</v>
      </c>
      <c r="B3609" s="229"/>
      <c r="C3609" s="223"/>
      <c r="D3609" s="224"/>
      <c r="E3609" s="225"/>
      <c r="F3609" s="1036" t="str">
        <f t="shared" si="1268"/>
        <v/>
      </c>
      <c r="G3609" s="1037" t="str">
        <f t="shared" si="1263"/>
        <v/>
      </c>
      <c r="H3609" s="225"/>
      <c r="I3609" s="1013"/>
      <c r="J3609" s="1013"/>
      <c r="K3609" s="1028"/>
      <c r="L3609" s="1035" t="str">
        <f t="shared" si="1267"/>
        <v/>
      </c>
      <c r="S3609" s="498"/>
      <c r="AJ3609" s="498"/>
      <c r="AM3609" s="498">
        <f t="shared" si="1248"/>
        <v>0</v>
      </c>
      <c r="AN3609" s="498">
        <f t="shared" si="1249"/>
        <v>0</v>
      </c>
      <c r="AO3609" s="498">
        <f t="shared" si="1250"/>
        <v>0</v>
      </c>
      <c r="AP3609" s="498">
        <f t="shared" si="1269"/>
        <v>0</v>
      </c>
      <c r="AQ3609" s="498">
        <f t="shared" si="1264"/>
        <v>0</v>
      </c>
      <c r="AU3609" s="498">
        <f t="shared" si="1251"/>
        <v>0</v>
      </c>
      <c r="AV3609" s="498">
        <f t="shared" si="1252"/>
        <v>0</v>
      </c>
      <c r="AW3609" s="498">
        <f t="shared" si="1253"/>
        <v>0</v>
      </c>
      <c r="AX3609" s="498">
        <f t="shared" si="1254"/>
        <v>0</v>
      </c>
      <c r="AY3609" s="498">
        <f t="shared" si="1255"/>
        <v>0</v>
      </c>
      <c r="BB3609" s="498" t="str">
        <f t="shared" si="1256"/>
        <v/>
      </c>
      <c r="BC3609" s="743" t="str">
        <f t="shared" si="1257"/>
        <v/>
      </c>
      <c r="BD3609" s="743" t="str">
        <f t="shared" si="1258"/>
        <v/>
      </c>
      <c r="BE3609" s="743" t="str">
        <f>IF(D3609="","",VLOOKUP(D3609,'General Basis'!$J$39:$K$46,2,0))</f>
        <v/>
      </c>
      <c r="BF3609" s="744" t="str">
        <f>IF(D3609="","",VLOOKUP(D3609,'General Basis'!$J$39:$L$46,3,0))</f>
        <v/>
      </c>
      <c r="BG3609" s="744" t="str">
        <f t="shared" si="1265"/>
        <v/>
      </c>
      <c r="BH3609" s="744" t="str">
        <f>IF(G3609="","",IF(BF3609="Abu Dhabi",IF(G3609&lt;18,'General Basis'!$C$39,IF(G3609&lt;41,'General Basis'!$C$40,IF(G3609&lt;60,'General Basis'!$C$41,IF(G3609&lt;65,'General Basis'!$C$42,'General Basis'!$C$43)))),IF(G3609&lt;11,'General Basis'!$B$39,IF(G3609&lt;18,'General Basis'!$B$40,IF(G3609&lt;26,'General Basis'!$B$41,IF(G3609&lt;31,'General Basis'!$B$42,IF(G3609&lt;36,'General Basis'!$B$43,IF(G3609&lt;41,'General Basis'!$B$44,IF(G3609&lt;46,'General Basis'!$B$45,IF(G3609&lt;51,'General Basis'!$B$46,IF(G3609&lt;56,'General Basis'!$B$47,IF(G3609&lt;60,'General Basis'!$B$48,IF(G3609&lt;65,'General Basis'!$B$49,'General Basis'!$B$50)))))))))))))</f>
        <v/>
      </c>
      <c r="BI3609" s="744" t="str">
        <f t="shared" si="1259"/>
        <v/>
      </c>
      <c r="BJ3609" s="747" t="str">
        <f t="shared" si="1266"/>
        <v/>
      </c>
      <c r="BK3609" s="498" t="str">
        <f t="shared" si="1260"/>
        <v/>
      </c>
      <c r="BL3609" s="498" t="str">
        <f t="shared" si="1261"/>
        <v/>
      </c>
    </row>
    <row r="3610" spans="1:64" x14ac:dyDescent="0.25">
      <c r="A3610" s="762">
        <f t="shared" si="1262"/>
        <v>3605</v>
      </c>
      <c r="B3610" s="229"/>
      <c r="C3610" s="223"/>
      <c r="D3610" s="224"/>
      <c r="E3610" s="225"/>
      <c r="F3610" s="1036" t="str">
        <f t="shared" si="1268"/>
        <v/>
      </c>
      <c r="G3610" s="1037" t="str">
        <f t="shared" si="1263"/>
        <v/>
      </c>
      <c r="H3610" s="225"/>
      <c r="I3610" s="1013"/>
      <c r="J3610" s="1013"/>
      <c r="K3610" s="1028"/>
      <c r="L3610" s="1035" t="str">
        <f t="shared" si="1267"/>
        <v/>
      </c>
      <c r="S3610" s="498"/>
      <c r="AJ3610" s="498"/>
      <c r="AM3610" s="498">
        <f t="shared" si="1248"/>
        <v>0</v>
      </c>
      <c r="AN3610" s="498">
        <f t="shared" si="1249"/>
        <v>0</v>
      </c>
      <c r="AO3610" s="498">
        <f t="shared" si="1250"/>
        <v>0</v>
      </c>
      <c r="AP3610" s="498">
        <f t="shared" si="1269"/>
        <v>0</v>
      </c>
      <c r="AQ3610" s="498">
        <f t="shared" si="1264"/>
        <v>0</v>
      </c>
      <c r="AU3610" s="498">
        <f t="shared" si="1251"/>
        <v>0</v>
      </c>
      <c r="AV3610" s="498">
        <f t="shared" si="1252"/>
        <v>0</v>
      </c>
      <c r="AW3610" s="498">
        <f t="shared" si="1253"/>
        <v>0</v>
      </c>
      <c r="AX3610" s="498">
        <f t="shared" si="1254"/>
        <v>0</v>
      </c>
      <c r="AY3610" s="498">
        <f t="shared" si="1255"/>
        <v>0</v>
      </c>
      <c r="BB3610" s="498" t="str">
        <f t="shared" si="1256"/>
        <v/>
      </c>
      <c r="BC3610" s="743" t="str">
        <f t="shared" si="1257"/>
        <v/>
      </c>
      <c r="BD3610" s="743" t="str">
        <f t="shared" si="1258"/>
        <v/>
      </c>
      <c r="BE3610" s="743" t="str">
        <f>IF(D3610="","",VLOOKUP(D3610,'General Basis'!$J$39:$K$46,2,0))</f>
        <v/>
      </c>
      <c r="BF3610" s="744" t="str">
        <f>IF(D3610="","",VLOOKUP(D3610,'General Basis'!$J$39:$L$46,3,0))</f>
        <v/>
      </c>
      <c r="BG3610" s="744" t="str">
        <f t="shared" si="1265"/>
        <v/>
      </c>
      <c r="BH3610" s="744" t="str">
        <f>IF(G3610="","",IF(BF3610="Abu Dhabi",IF(G3610&lt;18,'General Basis'!$C$39,IF(G3610&lt;41,'General Basis'!$C$40,IF(G3610&lt;60,'General Basis'!$C$41,IF(G3610&lt;65,'General Basis'!$C$42,'General Basis'!$C$43)))),IF(G3610&lt;11,'General Basis'!$B$39,IF(G3610&lt;18,'General Basis'!$B$40,IF(G3610&lt;26,'General Basis'!$B$41,IF(G3610&lt;31,'General Basis'!$B$42,IF(G3610&lt;36,'General Basis'!$B$43,IF(G3610&lt;41,'General Basis'!$B$44,IF(G3610&lt;46,'General Basis'!$B$45,IF(G3610&lt;51,'General Basis'!$B$46,IF(G3610&lt;56,'General Basis'!$B$47,IF(G3610&lt;60,'General Basis'!$B$48,IF(G3610&lt;65,'General Basis'!$B$49,'General Basis'!$B$50)))))))))))))</f>
        <v/>
      </c>
      <c r="BI3610" s="744" t="str">
        <f t="shared" si="1259"/>
        <v/>
      </c>
      <c r="BJ3610" s="747" t="str">
        <f t="shared" si="1266"/>
        <v/>
      </c>
      <c r="BK3610" s="498" t="str">
        <f t="shared" si="1260"/>
        <v/>
      </c>
      <c r="BL3610" s="498" t="str">
        <f t="shared" si="1261"/>
        <v/>
      </c>
    </row>
    <row r="3611" spans="1:64" x14ac:dyDescent="0.25">
      <c r="A3611" s="762">
        <f t="shared" si="1262"/>
        <v>3606</v>
      </c>
      <c r="B3611" s="229"/>
      <c r="C3611" s="223"/>
      <c r="D3611" s="224"/>
      <c r="E3611" s="225"/>
      <c r="F3611" s="1036" t="str">
        <f t="shared" si="1268"/>
        <v/>
      </c>
      <c r="G3611" s="1037" t="str">
        <f t="shared" si="1263"/>
        <v/>
      </c>
      <c r="H3611" s="225"/>
      <c r="I3611" s="1013"/>
      <c r="J3611" s="1013"/>
      <c r="K3611" s="1028"/>
      <c r="L3611" s="1035" t="str">
        <f t="shared" si="1267"/>
        <v/>
      </c>
      <c r="S3611" s="498"/>
      <c r="AJ3611" s="498"/>
      <c r="AM3611" s="498">
        <f t="shared" si="1248"/>
        <v>0</v>
      </c>
      <c r="AN3611" s="498">
        <f t="shared" si="1249"/>
        <v>0</v>
      </c>
      <c r="AO3611" s="498">
        <f t="shared" si="1250"/>
        <v>0</v>
      </c>
      <c r="AP3611" s="498">
        <f t="shared" si="1269"/>
        <v>0</v>
      </c>
      <c r="AQ3611" s="498">
        <f t="shared" si="1264"/>
        <v>0</v>
      </c>
      <c r="AU3611" s="498">
        <f t="shared" si="1251"/>
        <v>0</v>
      </c>
      <c r="AV3611" s="498">
        <f t="shared" si="1252"/>
        <v>0</v>
      </c>
      <c r="AW3611" s="498">
        <f t="shared" si="1253"/>
        <v>0</v>
      </c>
      <c r="AX3611" s="498">
        <f t="shared" si="1254"/>
        <v>0</v>
      </c>
      <c r="AY3611" s="498">
        <f t="shared" si="1255"/>
        <v>0</v>
      </c>
      <c r="BB3611" s="498" t="str">
        <f t="shared" si="1256"/>
        <v/>
      </c>
      <c r="BC3611" s="743" t="str">
        <f t="shared" si="1257"/>
        <v/>
      </c>
      <c r="BD3611" s="743" t="str">
        <f t="shared" si="1258"/>
        <v/>
      </c>
      <c r="BE3611" s="743" t="str">
        <f>IF(D3611="","",VLOOKUP(D3611,'General Basis'!$J$39:$K$46,2,0))</f>
        <v/>
      </c>
      <c r="BF3611" s="744" t="str">
        <f>IF(D3611="","",VLOOKUP(D3611,'General Basis'!$J$39:$L$46,3,0))</f>
        <v/>
      </c>
      <c r="BG3611" s="744" t="str">
        <f t="shared" si="1265"/>
        <v/>
      </c>
      <c r="BH3611" s="744" t="str">
        <f>IF(G3611="","",IF(BF3611="Abu Dhabi",IF(G3611&lt;18,'General Basis'!$C$39,IF(G3611&lt;41,'General Basis'!$C$40,IF(G3611&lt;60,'General Basis'!$C$41,IF(G3611&lt;65,'General Basis'!$C$42,'General Basis'!$C$43)))),IF(G3611&lt;11,'General Basis'!$B$39,IF(G3611&lt;18,'General Basis'!$B$40,IF(G3611&lt;26,'General Basis'!$B$41,IF(G3611&lt;31,'General Basis'!$B$42,IF(G3611&lt;36,'General Basis'!$B$43,IF(G3611&lt;41,'General Basis'!$B$44,IF(G3611&lt;46,'General Basis'!$B$45,IF(G3611&lt;51,'General Basis'!$B$46,IF(G3611&lt;56,'General Basis'!$B$47,IF(G3611&lt;60,'General Basis'!$B$48,IF(G3611&lt;65,'General Basis'!$B$49,'General Basis'!$B$50)))))))))))))</f>
        <v/>
      </c>
      <c r="BI3611" s="744" t="str">
        <f t="shared" si="1259"/>
        <v/>
      </c>
      <c r="BJ3611" s="747" t="str">
        <f t="shared" si="1266"/>
        <v/>
      </c>
      <c r="BK3611" s="498" t="str">
        <f t="shared" si="1260"/>
        <v/>
      </c>
      <c r="BL3611" s="498" t="str">
        <f t="shared" si="1261"/>
        <v/>
      </c>
    </row>
    <row r="3612" spans="1:64" x14ac:dyDescent="0.25">
      <c r="A3612" s="762">
        <f t="shared" si="1262"/>
        <v>3607</v>
      </c>
      <c r="B3612" s="229"/>
      <c r="C3612" s="223"/>
      <c r="D3612" s="224"/>
      <c r="E3612" s="225"/>
      <c r="F3612" s="1036" t="str">
        <f t="shared" si="1268"/>
        <v/>
      </c>
      <c r="G3612" s="1037" t="str">
        <f t="shared" si="1263"/>
        <v/>
      </c>
      <c r="H3612" s="225"/>
      <c r="I3612" s="1013"/>
      <c r="J3612" s="1013"/>
      <c r="K3612" s="1028"/>
      <c r="L3612" s="1035" t="str">
        <f t="shared" si="1267"/>
        <v/>
      </c>
      <c r="S3612" s="498"/>
      <c r="AJ3612" s="498"/>
      <c r="AM3612" s="498">
        <f t="shared" si="1248"/>
        <v>0</v>
      </c>
      <c r="AN3612" s="498">
        <f t="shared" si="1249"/>
        <v>0</v>
      </c>
      <c r="AO3612" s="498">
        <f t="shared" si="1250"/>
        <v>0</v>
      </c>
      <c r="AP3612" s="498">
        <f t="shared" si="1269"/>
        <v>0</v>
      </c>
      <c r="AQ3612" s="498">
        <f t="shared" si="1264"/>
        <v>0</v>
      </c>
      <c r="AU3612" s="498">
        <f t="shared" si="1251"/>
        <v>0</v>
      </c>
      <c r="AV3612" s="498">
        <f t="shared" si="1252"/>
        <v>0</v>
      </c>
      <c r="AW3612" s="498">
        <f t="shared" si="1253"/>
        <v>0</v>
      </c>
      <c r="AX3612" s="498">
        <f t="shared" si="1254"/>
        <v>0</v>
      </c>
      <c r="AY3612" s="498">
        <f t="shared" si="1255"/>
        <v>0</v>
      </c>
      <c r="BB3612" s="498" t="str">
        <f t="shared" si="1256"/>
        <v/>
      </c>
      <c r="BC3612" s="743" t="str">
        <f t="shared" si="1257"/>
        <v/>
      </c>
      <c r="BD3612" s="743" t="str">
        <f t="shared" si="1258"/>
        <v/>
      </c>
      <c r="BE3612" s="743" t="str">
        <f>IF(D3612="","",VLOOKUP(D3612,'General Basis'!$J$39:$K$46,2,0))</f>
        <v/>
      </c>
      <c r="BF3612" s="744" t="str">
        <f>IF(D3612="","",VLOOKUP(D3612,'General Basis'!$J$39:$L$46,3,0))</f>
        <v/>
      </c>
      <c r="BG3612" s="744" t="str">
        <f t="shared" si="1265"/>
        <v/>
      </c>
      <c r="BH3612" s="744" t="str">
        <f>IF(G3612="","",IF(BF3612="Abu Dhabi",IF(G3612&lt;18,'General Basis'!$C$39,IF(G3612&lt;41,'General Basis'!$C$40,IF(G3612&lt;60,'General Basis'!$C$41,IF(G3612&lt;65,'General Basis'!$C$42,'General Basis'!$C$43)))),IF(G3612&lt;11,'General Basis'!$B$39,IF(G3612&lt;18,'General Basis'!$B$40,IF(G3612&lt;26,'General Basis'!$B$41,IF(G3612&lt;31,'General Basis'!$B$42,IF(G3612&lt;36,'General Basis'!$B$43,IF(G3612&lt;41,'General Basis'!$B$44,IF(G3612&lt;46,'General Basis'!$B$45,IF(G3612&lt;51,'General Basis'!$B$46,IF(G3612&lt;56,'General Basis'!$B$47,IF(G3612&lt;60,'General Basis'!$B$48,IF(G3612&lt;65,'General Basis'!$B$49,'General Basis'!$B$50)))))))))))))</f>
        <v/>
      </c>
      <c r="BI3612" s="744" t="str">
        <f t="shared" si="1259"/>
        <v/>
      </c>
      <c r="BJ3612" s="747" t="str">
        <f t="shared" si="1266"/>
        <v/>
      </c>
      <c r="BK3612" s="498" t="str">
        <f t="shared" si="1260"/>
        <v/>
      </c>
      <c r="BL3612" s="498" t="str">
        <f t="shared" si="1261"/>
        <v/>
      </c>
    </row>
    <row r="3613" spans="1:64" x14ac:dyDescent="0.25">
      <c r="A3613" s="762">
        <f t="shared" si="1262"/>
        <v>3608</v>
      </c>
      <c r="B3613" s="229"/>
      <c r="C3613" s="223"/>
      <c r="D3613" s="224"/>
      <c r="E3613" s="225"/>
      <c r="F3613" s="1036" t="str">
        <f t="shared" si="1268"/>
        <v/>
      </c>
      <c r="G3613" s="1037" t="str">
        <f t="shared" si="1263"/>
        <v/>
      </c>
      <c r="H3613" s="225"/>
      <c r="I3613" s="1013"/>
      <c r="J3613" s="1013"/>
      <c r="K3613" s="1028"/>
      <c r="L3613" s="1035" t="str">
        <f t="shared" si="1267"/>
        <v/>
      </c>
      <c r="S3613" s="498"/>
      <c r="AJ3613" s="498"/>
      <c r="AM3613" s="498">
        <f t="shared" si="1248"/>
        <v>0</v>
      </c>
      <c r="AN3613" s="498">
        <f t="shared" si="1249"/>
        <v>0</v>
      </c>
      <c r="AO3613" s="498">
        <f t="shared" si="1250"/>
        <v>0</v>
      </c>
      <c r="AP3613" s="498">
        <f t="shared" si="1269"/>
        <v>0</v>
      </c>
      <c r="AQ3613" s="498">
        <f t="shared" si="1264"/>
        <v>0</v>
      </c>
      <c r="AU3613" s="498">
        <f t="shared" si="1251"/>
        <v>0</v>
      </c>
      <c r="AV3613" s="498">
        <f t="shared" si="1252"/>
        <v>0</v>
      </c>
      <c r="AW3613" s="498">
        <f t="shared" si="1253"/>
        <v>0</v>
      </c>
      <c r="AX3613" s="498">
        <f t="shared" si="1254"/>
        <v>0</v>
      </c>
      <c r="AY3613" s="498">
        <f t="shared" si="1255"/>
        <v>0</v>
      </c>
      <c r="BB3613" s="498" t="str">
        <f t="shared" si="1256"/>
        <v/>
      </c>
      <c r="BC3613" s="743" t="str">
        <f t="shared" si="1257"/>
        <v/>
      </c>
      <c r="BD3613" s="743" t="str">
        <f t="shared" si="1258"/>
        <v/>
      </c>
      <c r="BE3613" s="743" t="str">
        <f>IF(D3613="","",VLOOKUP(D3613,'General Basis'!$J$39:$K$46,2,0))</f>
        <v/>
      </c>
      <c r="BF3613" s="744" t="str">
        <f>IF(D3613="","",VLOOKUP(D3613,'General Basis'!$J$39:$L$46,3,0))</f>
        <v/>
      </c>
      <c r="BG3613" s="744" t="str">
        <f t="shared" si="1265"/>
        <v/>
      </c>
      <c r="BH3613" s="744" t="str">
        <f>IF(G3613="","",IF(BF3613="Abu Dhabi",IF(G3613&lt;18,'General Basis'!$C$39,IF(G3613&lt;41,'General Basis'!$C$40,IF(G3613&lt;60,'General Basis'!$C$41,IF(G3613&lt;65,'General Basis'!$C$42,'General Basis'!$C$43)))),IF(G3613&lt;11,'General Basis'!$B$39,IF(G3613&lt;18,'General Basis'!$B$40,IF(G3613&lt;26,'General Basis'!$B$41,IF(G3613&lt;31,'General Basis'!$B$42,IF(G3613&lt;36,'General Basis'!$B$43,IF(G3613&lt;41,'General Basis'!$B$44,IF(G3613&lt;46,'General Basis'!$B$45,IF(G3613&lt;51,'General Basis'!$B$46,IF(G3613&lt;56,'General Basis'!$B$47,IF(G3613&lt;60,'General Basis'!$B$48,IF(G3613&lt;65,'General Basis'!$B$49,'General Basis'!$B$50)))))))))))))</f>
        <v/>
      </c>
      <c r="BI3613" s="744" t="str">
        <f t="shared" si="1259"/>
        <v/>
      </c>
      <c r="BJ3613" s="747" t="str">
        <f t="shared" si="1266"/>
        <v/>
      </c>
      <c r="BK3613" s="498" t="str">
        <f t="shared" si="1260"/>
        <v/>
      </c>
      <c r="BL3613" s="498" t="str">
        <f t="shared" si="1261"/>
        <v/>
      </c>
    </row>
    <row r="3614" spans="1:64" x14ac:dyDescent="0.25">
      <c r="A3614" s="762">
        <f t="shared" si="1262"/>
        <v>3609</v>
      </c>
      <c r="B3614" s="229"/>
      <c r="C3614" s="223"/>
      <c r="D3614" s="224"/>
      <c r="E3614" s="225"/>
      <c r="F3614" s="1036" t="str">
        <f t="shared" si="1268"/>
        <v/>
      </c>
      <c r="G3614" s="1037" t="str">
        <f t="shared" si="1263"/>
        <v/>
      </c>
      <c r="H3614" s="225"/>
      <c r="I3614" s="1013"/>
      <c r="J3614" s="1013"/>
      <c r="K3614" s="1028"/>
      <c r="L3614" s="1035" t="str">
        <f t="shared" si="1267"/>
        <v/>
      </c>
      <c r="S3614" s="498"/>
      <c r="AJ3614" s="498"/>
      <c r="AM3614" s="498">
        <f t="shared" si="1248"/>
        <v>0</v>
      </c>
      <c r="AN3614" s="498">
        <f t="shared" si="1249"/>
        <v>0</v>
      </c>
      <c r="AO3614" s="498">
        <f t="shared" si="1250"/>
        <v>0</v>
      </c>
      <c r="AP3614" s="498">
        <f t="shared" si="1269"/>
        <v>0</v>
      </c>
      <c r="AQ3614" s="498">
        <f t="shared" si="1264"/>
        <v>0</v>
      </c>
      <c r="AU3614" s="498">
        <f t="shared" si="1251"/>
        <v>0</v>
      </c>
      <c r="AV3614" s="498">
        <f t="shared" si="1252"/>
        <v>0</v>
      </c>
      <c r="AW3614" s="498">
        <f t="shared" si="1253"/>
        <v>0</v>
      </c>
      <c r="AX3614" s="498">
        <f t="shared" si="1254"/>
        <v>0</v>
      </c>
      <c r="AY3614" s="498">
        <f t="shared" si="1255"/>
        <v>0</v>
      </c>
      <c r="BB3614" s="498" t="str">
        <f t="shared" si="1256"/>
        <v/>
      </c>
      <c r="BC3614" s="743" t="str">
        <f t="shared" si="1257"/>
        <v/>
      </c>
      <c r="BD3614" s="743" t="str">
        <f t="shared" si="1258"/>
        <v/>
      </c>
      <c r="BE3614" s="743" t="str">
        <f>IF(D3614="","",VLOOKUP(D3614,'General Basis'!$J$39:$K$46,2,0))</f>
        <v/>
      </c>
      <c r="BF3614" s="744" t="str">
        <f>IF(D3614="","",VLOOKUP(D3614,'General Basis'!$J$39:$L$46,3,0))</f>
        <v/>
      </c>
      <c r="BG3614" s="744" t="str">
        <f t="shared" si="1265"/>
        <v/>
      </c>
      <c r="BH3614" s="744" t="str">
        <f>IF(G3614="","",IF(BF3614="Abu Dhabi",IF(G3614&lt;18,'General Basis'!$C$39,IF(G3614&lt;41,'General Basis'!$C$40,IF(G3614&lt;60,'General Basis'!$C$41,IF(G3614&lt;65,'General Basis'!$C$42,'General Basis'!$C$43)))),IF(G3614&lt;11,'General Basis'!$B$39,IF(G3614&lt;18,'General Basis'!$B$40,IF(G3614&lt;26,'General Basis'!$B$41,IF(G3614&lt;31,'General Basis'!$B$42,IF(G3614&lt;36,'General Basis'!$B$43,IF(G3614&lt;41,'General Basis'!$B$44,IF(G3614&lt;46,'General Basis'!$B$45,IF(G3614&lt;51,'General Basis'!$B$46,IF(G3614&lt;56,'General Basis'!$B$47,IF(G3614&lt;60,'General Basis'!$B$48,IF(G3614&lt;65,'General Basis'!$B$49,'General Basis'!$B$50)))))))))))))</f>
        <v/>
      </c>
      <c r="BI3614" s="744" t="str">
        <f t="shared" si="1259"/>
        <v/>
      </c>
      <c r="BJ3614" s="747" t="str">
        <f t="shared" si="1266"/>
        <v/>
      </c>
      <c r="BK3614" s="498" t="str">
        <f t="shared" si="1260"/>
        <v/>
      </c>
      <c r="BL3614" s="498" t="str">
        <f t="shared" si="1261"/>
        <v/>
      </c>
    </row>
    <row r="3615" spans="1:64" x14ac:dyDescent="0.25">
      <c r="A3615" s="762">
        <f t="shared" si="1262"/>
        <v>3610</v>
      </c>
      <c r="B3615" s="229"/>
      <c r="C3615" s="223"/>
      <c r="D3615" s="224"/>
      <c r="E3615" s="225"/>
      <c r="F3615" s="1036" t="str">
        <f t="shared" si="1268"/>
        <v/>
      </c>
      <c r="G3615" s="1037" t="str">
        <f t="shared" si="1263"/>
        <v/>
      </c>
      <c r="H3615" s="225"/>
      <c r="I3615" s="1013"/>
      <c r="J3615" s="1013"/>
      <c r="K3615" s="1028"/>
      <c r="L3615" s="1035" t="str">
        <f t="shared" si="1267"/>
        <v/>
      </c>
      <c r="S3615" s="498"/>
      <c r="AJ3615" s="498"/>
      <c r="AM3615" s="498">
        <f t="shared" si="1248"/>
        <v>0</v>
      </c>
      <c r="AN3615" s="498">
        <f t="shared" si="1249"/>
        <v>0</v>
      </c>
      <c r="AO3615" s="498">
        <f t="shared" si="1250"/>
        <v>0</v>
      </c>
      <c r="AP3615" s="498">
        <f t="shared" si="1269"/>
        <v>0</v>
      </c>
      <c r="AQ3615" s="498">
        <f t="shared" si="1264"/>
        <v>0</v>
      </c>
      <c r="AU3615" s="498">
        <f t="shared" si="1251"/>
        <v>0</v>
      </c>
      <c r="AV3615" s="498">
        <f t="shared" si="1252"/>
        <v>0</v>
      </c>
      <c r="AW3615" s="498">
        <f t="shared" si="1253"/>
        <v>0</v>
      </c>
      <c r="AX3615" s="498">
        <f t="shared" si="1254"/>
        <v>0</v>
      </c>
      <c r="AY3615" s="498">
        <f t="shared" si="1255"/>
        <v>0</v>
      </c>
      <c r="BB3615" s="498" t="str">
        <f t="shared" si="1256"/>
        <v/>
      </c>
      <c r="BC3615" s="743" t="str">
        <f t="shared" si="1257"/>
        <v/>
      </c>
      <c r="BD3615" s="743" t="str">
        <f t="shared" si="1258"/>
        <v/>
      </c>
      <c r="BE3615" s="743" t="str">
        <f>IF(D3615="","",VLOOKUP(D3615,'General Basis'!$J$39:$K$46,2,0))</f>
        <v/>
      </c>
      <c r="BF3615" s="744" t="str">
        <f>IF(D3615="","",VLOOKUP(D3615,'General Basis'!$J$39:$L$46,3,0))</f>
        <v/>
      </c>
      <c r="BG3615" s="744" t="str">
        <f t="shared" si="1265"/>
        <v/>
      </c>
      <c r="BH3615" s="744" t="str">
        <f>IF(G3615="","",IF(BF3615="Abu Dhabi",IF(G3615&lt;18,'General Basis'!$C$39,IF(G3615&lt;41,'General Basis'!$C$40,IF(G3615&lt;60,'General Basis'!$C$41,IF(G3615&lt;65,'General Basis'!$C$42,'General Basis'!$C$43)))),IF(G3615&lt;11,'General Basis'!$B$39,IF(G3615&lt;18,'General Basis'!$B$40,IF(G3615&lt;26,'General Basis'!$B$41,IF(G3615&lt;31,'General Basis'!$B$42,IF(G3615&lt;36,'General Basis'!$B$43,IF(G3615&lt;41,'General Basis'!$B$44,IF(G3615&lt;46,'General Basis'!$B$45,IF(G3615&lt;51,'General Basis'!$B$46,IF(G3615&lt;56,'General Basis'!$B$47,IF(G3615&lt;60,'General Basis'!$B$48,IF(G3615&lt;65,'General Basis'!$B$49,'General Basis'!$B$50)))))))))))))</f>
        <v/>
      </c>
      <c r="BI3615" s="744" t="str">
        <f t="shared" si="1259"/>
        <v/>
      </c>
      <c r="BJ3615" s="747" t="str">
        <f t="shared" si="1266"/>
        <v/>
      </c>
      <c r="BK3615" s="498" t="str">
        <f t="shared" si="1260"/>
        <v/>
      </c>
      <c r="BL3615" s="498" t="str">
        <f t="shared" si="1261"/>
        <v/>
      </c>
    </row>
    <row r="3616" spans="1:64" x14ac:dyDescent="0.25">
      <c r="A3616" s="762">
        <f t="shared" si="1262"/>
        <v>3611</v>
      </c>
      <c r="B3616" s="229"/>
      <c r="C3616" s="223"/>
      <c r="D3616" s="224"/>
      <c r="E3616" s="225"/>
      <c r="F3616" s="1036" t="str">
        <f t="shared" si="1268"/>
        <v/>
      </c>
      <c r="G3616" s="1037" t="str">
        <f t="shared" si="1263"/>
        <v/>
      </c>
      <c r="H3616" s="225"/>
      <c r="I3616" s="1013"/>
      <c r="J3616" s="1013"/>
      <c r="K3616" s="1028"/>
      <c r="L3616" s="1035" t="str">
        <f t="shared" si="1267"/>
        <v/>
      </c>
      <c r="S3616" s="498"/>
      <c r="AJ3616" s="498"/>
      <c r="AM3616" s="498">
        <f t="shared" si="1248"/>
        <v>0</v>
      </c>
      <c r="AN3616" s="498">
        <f t="shared" si="1249"/>
        <v>0</v>
      </c>
      <c r="AO3616" s="498">
        <f t="shared" si="1250"/>
        <v>0</v>
      </c>
      <c r="AP3616" s="498">
        <f t="shared" si="1269"/>
        <v>0</v>
      </c>
      <c r="AQ3616" s="498">
        <f t="shared" si="1264"/>
        <v>0</v>
      </c>
      <c r="AU3616" s="498">
        <f t="shared" si="1251"/>
        <v>0</v>
      </c>
      <c r="AV3616" s="498">
        <f t="shared" si="1252"/>
        <v>0</v>
      </c>
      <c r="AW3616" s="498">
        <f t="shared" si="1253"/>
        <v>0</v>
      </c>
      <c r="AX3616" s="498">
        <f t="shared" si="1254"/>
        <v>0</v>
      </c>
      <c r="AY3616" s="498">
        <f t="shared" si="1255"/>
        <v>0</v>
      </c>
      <c r="BB3616" s="498" t="str">
        <f t="shared" si="1256"/>
        <v/>
      </c>
      <c r="BC3616" s="743" t="str">
        <f t="shared" si="1257"/>
        <v/>
      </c>
      <c r="BD3616" s="743" t="str">
        <f t="shared" si="1258"/>
        <v/>
      </c>
      <c r="BE3616" s="743" t="str">
        <f>IF(D3616="","",VLOOKUP(D3616,'General Basis'!$J$39:$K$46,2,0))</f>
        <v/>
      </c>
      <c r="BF3616" s="744" t="str">
        <f>IF(D3616="","",VLOOKUP(D3616,'General Basis'!$J$39:$L$46,3,0))</f>
        <v/>
      </c>
      <c r="BG3616" s="744" t="str">
        <f t="shared" si="1265"/>
        <v/>
      </c>
      <c r="BH3616" s="744" t="str">
        <f>IF(G3616="","",IF(BF3616="Abu Dhabi",IF(G3616&lt;18,'General Basis'!$C$39,IF(G3616&lt;41,'General Basis'!$C$40,IF(G3616&lt;60,'General Basis'!$C$41,IF(G3616&lt;65,'General Basis'!$C$42,'General Basis'!$C$43)))),IF(G3616&lt;11,'General Basis'!$B$39,IF(G3616&lt;18,'General Basis'!$B$40,IF(G3616&lt;26,'General Basis'!$B$41,IF(G3616&lt;31,'General Basis'!$B$42,IF(G3616&lt;36,'General Basis'!$B$43,IF(G3616&lt;41,'General Basis'!$B$44,IF(G3616&lt;46,'General Basis'!$B$45,IF(G3616&lt;51,'General Basis'!$B$46,IF(G3616&lt;56,'General Basis'!$B$47,IF(G3616&lt;60,'General Basis'!$B$48,IF(G3616&lt;65,'General Basis'!$B$49,'General Basis'!$B$50)))))))))))))</f>
        <v/>
      </c>
      <c r="BI3616" s="744" t="str">
        <f t="shared" si="1259"/>
        <v/>
      </c>
      <c r="BJ3616" s="747" t="str">
        <f t="shared" si="1266"/>
        <v/>
      </c>
      <c r="BK3616" s="498" t="str">
        <f t="shared" si="1260"/>
        <v/>
      </c>
      <c r="BL3616" s="498" t="str">
        <f t="shared" si="1261"/>
        <v/>
      </c>
    </row>
    <row r="3617" spans="1:64" x14ac:dyDescent="0.25">
      <c r="A3617" s="762">
        <f t="shared" si="1262"/>
        <v>3612</v>
      </c>
      <c r="B3617" s="229"/>
      <c r="C3617" s="223"/>
      <c r="D3617" s="224"/>
      <c r="E3617" s="225"/>
      <c r="F3617" s="1036" t="str">
        <f t="shared" si="1268"/>
        <v/>
      </c>
      <c r="G3617" s="1037" t="str">
        <f t="shared" si="1263"/>
        <v/>
      </c>
      <c r="H3617" s="225"/>
      <c r="I3617" s="1013"/>
      <c r="J3617" s="1013"/>
      <c r="K3617" s="1028"/>
      <c r="L3617" s="1035" t="str">
        <f t="shared" si="1267"/>
        <v/>
      </c>
      <c r="S3617" s="498"/>
      <c r="AJ3617" s="498"/>
      <c r="AM3617" s="498">
        <f t="shared" si="1248"/>
        <v>0</v>
      </c>
      <c r="AN3617" s="498">
        <f t="shared" si="1249"/>
        <v>0</v>
      </c>
      <c r="AO3617" s="498">
        <f t="shared" si="1250"/>
        <v>0</v>
      </c>
      <c r="AP3617" s="498">
        <f t="shared" si="1269"/>
        <v>0</v>
      </c>
      <c r="AQ3617" s="498">
        <f t="shared" si="1264"/>
        <v>0</v>
      </c>
      <c r="AU3617" s="498">
        <f t="shared" si="1251"/>
        <v>0</v>
      </c>
      <c r="AV3617" s="498">
        <f t="shared" si="1252"/>
        <v>0</v>
      </c>
      <c r="AW3617" s="498">
        <f t="shared" si="1253"/>
        <v>0</v>
      </c>
      <c r="AX3617" s="498">
        <f t="shared" si="1254"/>
        <v>0</v>
      </c>
      <c r="AY3617" s="498">
        <f t="shared" si="1255"/>
        <v>0</v>
      </c>
      <c r="BB3617" s="498" t="str">
        <f t="shared" si="1256"/>
        <v/>
      </c>
      <c r="BC3617" s="743" t="str">
        <f t="shared" si="1257"/>
        <v/>
      </c>
      <c r="BD3617" s="743" t="str">
        <f t="shared" si="1258"/>
        <v/>
      </c>
      <c r="BE3617" s="743" t="str">
        <f>IF(D3617="","",VLOOKUP(D3617,'General Basis'!$J$39:$K$46,2,0))</f>
        <v/>
      </c>
      <c r="BF3617" s="744" t="str">
        <f>IF(D3617="","",VLOOKUP(D3617,'General Basis'!$J$39:$L$46,3,0))</f>
        <v/>
      </c>
      <c r="BG3617" s="744" t="str">
        <f t="shared" si="1265"/>
        <v/>
      </c>
      <c r="BH3617" s="744" t="str">
        <f>IF(G3617="","",IF(BF3617="Abu Dhabi",IF(G3617&lt;18,'General Basis'!$C$39,IF(G3617&lt;41,'General Basis'!$C$40,IF(G3617&lt;60,'General Basis'!$C$41,IF(G3617&lt;65,'General Basis'!$C$42,'General Basis'!$C$43)))),IF(G3617&lt;11,'General Basis'!$B$39,IF(G3617&lt;18,'General Basis'!$B$40,IF(G3617&lt;26,'General Basis'!$B$41,IF(G3617&lt;31,'General Basis'!$B$42,IF(G3617&lt;36,'General Basis'!$B$43,IF(G3617&lt;41,'General Basis'!$B$44,IF(G3617&lt;46,'General Basis'!$B$45,IF(G3617&lt;51,'General Basis'!$B$46,IF(G3617&lt;56,'General Basis'!$B$47,IF(G3617&lt;60,'General Basis'!$B$48,IF(G3617&lt;65,'General Basis'!$B$49,'General Basis'!$B$50)))))))))))))</f>
        <v/>
      </c>
      <c r="BI3617" s="744" t="str">
        <f t="shared" si="1259"/>
        <v/>
      </c>
      <c r="BJ3617" s="747" t="str">
        <f t="shared" si="1266"/>
        <v/>
      </c>
      <c r="BK3617" s="498" t="str">
        <f t="shared" si="1260"/>
        <v/>
      </c>
      <c r="BL3617" s="498" t="str">
        <f t="shared" si="1261"/>
        <v/>
      </c>
    </row>
    <row r="3618" spans="1:64" x14ac:dyDescent="0.25">
      <c r="A3618" s="762">
        <f t="shared" si="1262"/>
        <v>3613</v>
      </c>
      <c r="B3618" s="229"/>
      <c r="C3618" s="223"/>
      <c r="D3618" s="224"/>
      <c r="E3618" s="225"/>
      <c r="F3618" s="1036" t="str">
        <f t="shared" si="1268"/>
        <v/>
      </c>
      <c r="G3618" s="1037" t="str">
        <f t="shared" si="1263"/>
        <v/>
      </c>
      <c r="H3618" s="225"/>
      <c r="I3618" s="1013"/>
      <c r="J3618" s="1013"/>
      <c r="K3618" s="1028"/>
      <c r="L3618" s="1035" t="str">
        <f t="shared" si="1267"/>
        <v/>
      </c>
      <c r="S3618" s="498"/>
      <c r="AJ3618" s="498"/>
      <c r="AM3618" s="498">
        <f t="shared" si="1248"/>
        <v>0</v>
      </c>
      <c r="AN3618" s="498">
        <f t="shared" si="1249"/>
        <v>0</v>
      </c>
      <c r="AO3618" s="498">
        <f t="shared" si="1250"/>
        <v>0</v>
      </c>
      <c r="AP3618" s="498">
        <f t="shared" si="1269"/>
        <v>0</v>
      </c>
      <c r="AQ3618" s="498">
        <f t="shared" si="1264"/>
        <v>0</v>
      </c>
      <c r="AU3618" s="498">
        <f t="shared" si="1251"/>
        <v>0</v>
      </c>
      <c r="AV3618" s="498">
        <f t="shared" si="1252"/>
        <v>0</v>
      </c>
      <c r="AW3618" s="498">
        <f t="shared" si="1253"/>
        <v>0</v>
      </c>
      <c r="AX3618" s="498">
        <f t="shared" si="1254"/>
        <v>0</v>
      </c>
      <c r="AY3618" s="498">
        <f t="shared" si="1255"/>
        <v>0</v>
      </c>
      <c r="BB3618" s="498" t="str">
        <f t="shared" si="1256"/>
        <v/>
      </c>
      <c r="BC3618" s="743" t="str">
        <f t="shared" si="1257"/>
        <v/>
      </c>
      <c r="BD3618" s="743" t="str">
        <f t="shared" si="1258"/>
        <v/>
      </c>
      <c r="BE3618" s="743" t="str">
        <f>IF(D3618="","",VLOOKUP(D3618,'General Basis'!$J$39:$K$46,2,0))</f>
        <v/>
      </c>
      <c r="BF3618" s="744" t="str">
        <f>IF(D3618="","",VLOOKUP(D3618,'General Basis'!$J$39:$L$46,3,0))</f>
        <v/>
      </c>
      <c r="BG3618" s="744" t="str">
        <f t="shared" si="1265"/>
        <v/>
      </c>
      <c r="BH3618" s="744" t="str">
        <f>IF(G3618="","",IF(BF3618="Abu Dhabi",IF(G3618&lt;18,'General Basis'!$C$39,IF(G3618&lt;41,'General Basis'!$C$40,IF(G3618&lt;60,'General Basis'!$C$41,IF(G3618&lt;65,'General Basis'!$C$42,'General Basis'!$C$43)))),IF(G3618&lt;11,'General Basis'!$B$39,IF(G3618&lt;18,'General Basis'!$B$40,IF(G3618&lt;26,'General Basis'!$B$41,IF(G3618&lt;31,'General Basis'!$B$42,IF(G3618&lt;36,'General Basis'!$B$43,IF(G3618&lt;41,'General Basis'!$B$44,IF(G3618&lt;46,'General Basis'!$B$45,IF(G3618&lt;51,'General Basis'!$B$46,IF(G3618&lt;56,'General Basis'!$B$47,IF(G3618&lt;60,'General Basis'!$B$48,IF(G3618&lt;65,'General Basis'!$B$49,'General Basis'!$B$50)))))))))))))</f>
        <v/>
      </c>
      <c r="BI3618" s="744" t="str">
        <f t="shared" si="1259"/>
        <v/>
      </c>
      <c r="BJ3618" s="747" t="str">
        <f t="shared" si="1266"/>
        <v/>
      </c>
      <c r="BK3618" s="498" t="str">
        <f t="shared" si="1260"/>
        <v/>
      </c>
      <c r="BL3618" s="498" t="str">
        <f t="shared" si="1261"/>
        <v/>
      </c>
    </row>
    <row r="3619" spans="1:64" x14ac:dyDescent="0.25">
      <c r="A3619" s="762">
        <f t="shared" si="1262"/>
        <v>3614</v>
      </c>
      <c r="B3619" s="229"/>
      <c r="C3619" s="223"/>
      <c r="D3619" s="224"/>
      <c r="E3619" s="225"/>
      <c r="F3619" s="1036" t="str">
        <f t="shared" si="1268"/>
        <v/>
      </c>
      <c r="G3619" s="1037" t="str">
        <f t="shared" si="1263"/>
        <v/>
      </c>
      <c r="H3619" s="225"/>
      <c r="I3619" s="1013"/>
      <c r="J3619" s="1013"/>
      <c r="K3619" s="1028"/>
      <c r="L3619" s="1035" t="str">
        <f t="shared" si="1267"/>
        <v/>
      </c>
      <c r="S3619" s="498"/>
      <c r="AJ3619" s="498"/>
      <c r="AM3619" s="498">
        <f t="shared" si="1248"/>
        <v>0</v>
      </c>
      <c r="AN3619" s="498">
        <f t="shared" si="1249"/>
        <v>0</v>
      </c>
      <c r="AO3619" s="498">
        <f t="shared" si="1250"/>
        <v>0</v>
      </c>
      <c r="AP3619" s="498">
        <f t="shared" si="1269"/>
        <v>0</v>
      </c>
      <c r="AQ3619" s="498">
        <f t="shared" si="1264"/>
        <v>0</v>
      </c>
      <c r="AU3619" s="498">
        <f t="shared" si="1251"/>
        <v>0</v>
      </c>
      <c r="AV3619" s="498">
        <f t="shared" si="1252"/>
        <v>0</v>
      </c>
      <c r="AW3619" s="498">
        <f t="shared" si="1253"/>
        <v>0</v>
      </c>
      <c r="AX3619" s="498">
        <f t="shared" si="1254"/>
        <v>0</v>
      </c>
      <c r="AY3619" s="498">
        <f t="shared" si="1255"/>
        <v>0</v>
      </c>
      <c r="BB3619" s="498" t="str">
        <f t="shared" si="1256"/>
        <v/>
      </c>
      <c r="BC3619" s="743" t="str">
        <f t="shared" si="1257"/>
        <v/>
      </c>
      <c r="BD3619" s="743" t="str">
        <f t="shared" si="1258"/>
        <v/>
      </c>
      <c r="BE3619" s="743" t="str">
        <f>IF(D3619="","",VLOOKUP(D3619,'General Basis'!$J$39:$K$46,2,0))</f>
        <v/>
      </c>
      <c r="BF3619" s="744" t="str">
        <f>IF(D3619="","",VLOOKUP(D3619,'General Basis'!$J$39:$L$46,3,0))</f>
        <v/>
      </c>
      <c r="BG3619" s="744" t="str">
        <f t="shared" si="1265"/>
        <v/>
      </c>
      <c r="BH3619" s="744" t="str">
        <f>IF(G3619="","",IF(BF3619="Abu Dhabi",IF(G3619&lt;18,'General Basis'!$C$39,IF(G3619&lt;41,'General Basis'!$C$40,IF(G3619&lt;60,'General Basis'!$C$41,IF(G3619&lt;65,'General Basis'!$C$42,'General Basis'!$C$43)))),IF(G3619&lt;11,'General Basis'!$B$39,IF(G3619&lt;18,'General Basis'!$B$40,IF(G3619&lt;26,'General Basis'!$B$41,IF(G3619&lt;31,'General Basis'!$B$42,IF(G3619&lt;36,'General Basis'!$B$43,IF(G3619&lt;41,'General Basis'!$B$44,IF(G3619&lt;46,'General Basis'!$B$45,IF(G3619&lt;51,'General Basis'!$B$46,IF(G3619&lt;56,'General Basis'!$B$47,IF(G3619&lt;60,'General Basis'!$B$48,IF(G3619&lt;65,'General Basis'!$B$49,'General Basis'!$B$50)))))))))))))</f>
        <v/>
      </c>
      <c r="BI3619" s="744" t="str">
        <f t="shared" si="1259"/>
        <v/>
      </c>
      <c r="BJ3619" s="747" t="str">
        <f t="shared" si="1266"/>
        <v/>
      </c>
      <c r="BK3619" s="498" t="str">
        <f t="shared" si="1260"/>
        <v/>
      </c>
      <c r="BL3619" s="498" t="str">
        <f t="shared" si="1261"/>
        <v/>
      </c>
    </row>
    <row r="3620" spans="1:64" x14ac:dyDescent="0.25">
      <c r="A3620" s="762">
        <f t="shared" si="1262"/>
        <v>3615</v>
      </c>
      <c r="B3620" s="229"/>
      <c r="C3620" s="223"/>
      <c r="D3620" s="224"/>
      <c r="E3620" s="225"/>
      <c r="F3620" s="1036" t="str">
        <f t="shared" si="1268"/>
        <v/>
      </c>
      <c r="G3620" s="1037" t="str">
        <f t="shared" si="1263"/>
        <v/>
      </c>
      <c r="H3620" s="225"/>
      <c r="I3620" s="1013"/>
      <c r="J3620" s="1013"/>
      <c r="K3620" s="1028"/>
      <c r="L3620" s="1035" t="str">
        <f t="shared" si="1267"/>
        <v/>
      </c>
      <c r="S3620" s="498"/>
      <c r="AJ3620" s="498"/>
      <c r="AM3620" s="498">
        <f t="shared" si="1248"/>
        <v>0</v>
      </c>
      <c r="AN3620" s="498">
        <f t="shared" si="1249"/>
        <v>0</v>
      </c>
      <c r="AO3620" s="498">
        <f t="shared" si="1250"/>
        <v>0</v>
      </c>
      <c r="AP3620" s="498">
        <f t="shared" si="1269"/>
        <v>0</v>
      </c>
      <c r="AQ3620" s="498">
        <f t="shared" si="1264"/>
        <v>0</v>
      </c>
      <c r="AU3620" s="498">
        <f t="shared" si="1251"/>
        <v>0</v>
      </c>
      <c r="AV3620" s="498">
        <f t="shared" si="1252"/>
        <v>0</v>
      </c>
      <c r="AW3620" s="498">
        <f t="shared" si="1253"/>
        <v>0</v>
      </c>
      <c r="AX3620" s="498">
        <f t="shared" si="1254"/>
        <v>0</v>
      </c>
      <c r="AY3620" s="498">
        <f t="shared" si="1255"/>
        <v>0</v>
      </c>
      <c r="BB3620" s="498" t="str">
        <f t="shared" si="1256"/>
        <v/>
      </c>
      <c r="BC3620" s="743" t="str">
        <f t="shared" si="1257"/>
        <v/>
      </c>
      <c r="BD3620" s="743" t="str">
        <f t="shared" si="1258"/>
        <v/>
      </c>
      <c r="BE3620" s="743" t="str">
        <f>IF(D3620="","",VLOOKUP(D3620,'General Basis'!$J$39:$K$46,2,0))</f>
        <v/>
      </c>
      <c r="BF3620" s="744" t="str">
        <f>IF(D3620="","",VLOOKUP(D3620,'General Basis'!$J$39:$L$46,3,0))</f>
        <v/>
      </c>
      <c r="BG3620" s="744" t="str">
        <f t="shared" si="1265"/>
        <v/>
      </c>
      <c r="BH3620" s="744" t="str">
        <f>IF(G3620="","",IF(BF3620="Abu Dhabi",IF(G3620&lt;18,'General Basis'!$C$39,IF(G3620&lt;41,'General Basis'!$C$40,IF(G3620&lt;60,'General Basis'!$C$41,IF(G3620&lt;65,'General Basis'!$C$42,'General Basis'!$C$43)))),IF(G3620&lt;11,'General Basis'!$B$39,IF(G3620&lt;18,'General Basis'!$B$40,IF(G3620&lt;26,'General Basis'!$B$41,IF(G3620&lt;31,'General Basis'!$B$42,IF(G3620&lt;36,'General Basis'!$B$43,IF(G3620&lt;41,'General Basis'!$B$44,IF(G3620&lt;46,'General Basis'!$B$45,IF(G3620&lt;51,'General Basis'!$B$46,IF(G3620&lt;56,'General Basis'!$B$47,IF(G3620&lt;60,'General Basis'!$B$48,IF(G3620&lt;65,'General Basis'!$B$49,'General Basis'!$B$50)))))))))))))</f>
        <v/>
      </c>
      <c r="BI3620" s="744" t="str">
        <f t="shared" si="1259"/>
        <v/>
      </c>
      <c r="BJ3620" s="747" t="str">
        <f t="shared" si="1266"/>
        <v/>
      </c>
      <c r="BK3620" s="498" t="str">
        <f t="shared" si="1260"/>
        <v/>
      </c>
      <c r="BL3620" s="498" t="str">
        <f t="shared" si="1261"/>
        <v/>
      </c>
    </row>
    <row r="3621" spans="1:64" x14ac:dyDescent="0.25">
      <c r="A3621" s="762">
        <f t="shared" si="1262"/>
        <v>3616</v>
      </c>
      <c r="B3621" s="229"/>
      <c r="C3621" s="223"/>
      <c r="D3621" s="224"/>
      <c r="E3621" s="225"/>
      <c r="F3621" s="1036" t="str">
        <f t="shared" si="1268"/>
        <v/>
      </c>
      <c r="G3621" s="1037" t="str">
        <f t="shared" si="1263"/>
        <v/>
      </c>
      <c r="H3621" s="225"/>
      <c r="I3621" s="1013"/>
      <c r="J3621" s="1013"/>
      <c r="K3621" s="1028"/>
      <c r="L3621" s="1035" t="str">
        <f t="shared" si="1267"/>
        <v/>
      </c>
      <c r="S3621" s="498"/>
      <c r="AJ3621" s="498"/>
      <c r="AM3621" s="498">
        <f t="shared" si="1248"/>
        <v>0</v>
      </c>
      <c r="AN3621" s="498">
        <f t="shared" si="1249"/>
        <v>0</v>
      </c>
      <c r="AO3621" s="498">
        <f t="shared" si="1250"/>
        <v>0</v>
      </c>
      <c r="AP3621" s="498">
        <f t="shared" si="1269"/>
        <v>0</v>
      </c>
      <c r="AQ3621" s="498">
        <f t="shared" si="1264"/>
        <v>0</v>
      </c>
      <c r="AU3621" s="498">
        <f t="shared" si="1251"/>
        <v>0</v>
      </c>
      <c r="AV3621" s="498">
        <f t="shared" si="1252"/>
        <v>0</v>
      </c>
      <c r="AW3621" s="498">
        <f t="shared" si="1253"/>
        <v>0</v>
      </c>
      <c r="AX3621" s="498">
        <f t="shared" si="1254"/>
        <v>0</v>
      </c>
      <c r="AY3621" s="498">
        <f t="shared" si="1255"/>
        <v>0</v>
      </c>
      <c r="BB3621" s="498" t="str">
        <f t="shared" si="1256"/>
        <v/>
      </c>
      <c r="BC3621" s="743" t="str">
        <f t="shared" si="1257"/>
        <v/>
      </c>
      <c r="BD3621" s="743" t="str">
        <f t="shared" si="1258"/>
        <v/>
      </c>
      <c r="BE3621" s="743" t="str">
        <f>IF(D3621="","",VLOOKUP(D3621,'General Basis'!$J$39:$K$46,2,0))</f>
        <v/>
      </c>
      <c r="BF3621" s="744" t="str">
        <f>IF(D3621="","",VLOOKUP(D3621,'General Basis'!$J$39:$L$46,3,0))</f>
        <v/>
      </c>
      <c r="BG3621" s="744" t="str">
        <f t="shared" si="1265"/>
        <v/>
      </c>
      <c r="BH3621" s="744" t="str">
        <f>IF(G3621="","",IF(BF3621="Abu Dhabi",IF(G3621&lt;18,'General Basis'!$C$39,IF(G3621&lt;41,'General Basis'!$C$40,IF(G3621&lt;60,'General Basis'!$C$41,IF(G3621&lt;65,'General Basis'!$C$42,'General Basis'!$C$43)))),IF(G3621&lt;11,'General Basis'!$B$39,IF(G3621&lt;18,'General Basis'!$B$40,IF(G3621&lt;26,'General Basis'!$B$41,IF(G3621&lt;31,'General Basis'!$B$42,IF(G3621&lt;36,'General Basis'!$B$43,IF(G3621&lt;41,'General Basis'!$B$44,IF(G3621&lt;46,'General Basis'!$B$45,IF(G3621&lt;51,'General Basis'!$B$46,IF(G3621&lt;56,'General Basis'!$B$47,IF(G3621&lt;60,'General Basis'!$B$48,IF(G3621&lt;65,'General Basis'!$B$49,'General Basis'!$B$50)))))))))))))</f>
        <v/>
      </c>
      <c r="BI3621" s="744" t="str">
        <f t="shared" si="1259"/>
        <v/>
      </c>
      <c r="BJ3621" s="747" t="str">
        <f t="shared" si="1266"/>
        <v/>
      </c>
      <c r="BK3621" s="498" t="str">
        <f t="shared" si="1260"/>
        <v/>
      </c>
      <c r="BL3621" s="498" t="str">
        <f t="shared" si="1261"/>
        <v/>
      </c>
    </row>
    <row r="3622" spans="1:64" x14ac:dyDescent="0.25">
      <c r="A3622" s="762">
        <f t="shared" si="1262"/>
        <v>3617</v>
      </c>
      <c r="B3622" s="229"/>
      <c r="C3622" s="223"/>
      <c r="D3622" s="224"/>
      <c r="E3622" s="225"/>
      <c r="F3622" s="1036" t="str">
        <f t="shared" si="1268"/>
        <v/>
      </c>
      <c r="G3622" s="1037" t="str">
        <f t="shared" si="1263"/>
        <v/>
      </c>
      <c r="H3622" s="225"/>
      <c r="I3622" s="1013"/>
      <c r="J3622" s="1013"/>
      <c r="K3622" s="1028"/>
      <c r="L3622" s="1035" t="str">
        <f t="shared" si="1267"/>
        <v/>
      </c>
      <c r="S3622" s="498"/>
      <c r="AJ3622" s="498"/>
      <c r="AM3622" s="498">
        <f t="shared" si="1248"/>
        <v>0</v>
      </c>
      <c r="AN3622" s="498">
        <f t="shared" si="1249"/>
        <v>0</v>
      </c>
      <c r="AO3622" s="498">
        <f t="shared" si="1250"/>
        <v>0</v>
      </c>
      <c r="AP3622" s="498">
        <f t="shared" si="1269"/>
        <v>0</v>
      </c>
      <c r="AQ3622" s="498">
        <f t="shared" si="1264"/>
        <v>0</v>
      </c>
      <c r="AU3622" s="498">
        <f t="shared" si="1251"/>
        <v>0</v>
      </c>
      <c r="AV3622" s="498">
        <f t="shared" si="1252"/>
        <v>0</v>
      </c>
      <c r="AW3622" s="498">
        <f t="shared" si="1253"/>
        <v>0</v>
      </c>
      <c r="AX3622" s="498">
        <f t="shared" si="1254"/>
        <v>0</v>
      </c>
      <c r="AY3622" s="498">
        <f t="shared" si="1255"/>
        <v>0</v>
      </c>
      <c r="BB3622" s="498" t="str">
        <f t="shared" si="1256"/>
        <v/>
      </c>
      <c r="BC3622" s="743" t="str">
        <f t="shared" si="1257"/>
        <v/>
      </c>
      <c r="BD3622" s="743" t="str">
        <f t="shared" si="1258"/>
        <v/>
      </c>
      <c r="BE3622" s="743" t="str">
        <f>IF(D3622="","",VLOOKUP(D3622,'General Basis'!$J$39:$K$46,2,0))</f>
        <v/>
      </c>
      <c r="BF3622" s="744" t="str">
        <f>IF(D3622="","",VLOOKUP(D3622,'General Basis'!$J$39:$L$46,3,0))</f>
        <v/>
      </c>
      <c r="BG3622" s="744" t="str">
        <f t="shared" si="1265"/>
        <v/>
      </c>
      <c r="BH3622" s="744" t="str">
        <f>IF(G3622="","",IF(BF3622="Abu Dhabi",IF(G3622&lt;18,'General Basis'!$C$39,IF(G3622&lt;41,'General Basis'!$C$40,IF(G3622&lt;60,'General Basis'!$C$41,IF(G3622&lt;65,'General Basis'!$C$42,'General Basis'!$C$43)))),IF(G3622&lt;11,'General Basis'!$B$39,IF(G3622&lt;18,'General Basis'!$B$40,IF(G3622&lt;26,'General Basis'!$B$41,IF(G3622&lt;31,'General Basis'!$B$42,IF(G3622&lt;36,'General Basis'!$B$43,IF(G3622&lt;41,'General Basis'!$B$44,IF(G3622&lt;46,'General Basis'!$B$45,IF(G3622&lt;51,'General Basis'!$B$46,IF(G3622&lt;56,'General Basis'!$B$47,IF(G3622&lt;60,'General Basis'!$B$48,IF(G3622&lt;65,'General Basis'!$B$49,'General Basis'!$B$50)))))))))))))</f>
        <v/>
      </c>
      <c r="BI3622" s="744" t="str">
        <f t="shared" si="1259"/>
        <v/>
      </c>
      <c r="BJ3622" s="747" t="str">
        <f t="shared" si="1266"/>
        <v/>
      </c>
      <c r="BK3622" s="498" t="str">
        <f t="shared" si="1260"/>
        <v/>
      </c>
      <c r="BL3622" s="498" t="str">
        <f t="shared" si="1261"/>
        <v/>
      </c>
    </row>
    <row r="3623" spans="1:64" x14ac:dyDescent="0.25">
      <c r="A3623" s="762">
        <f t="shared" si="1262"/>
        <v>3618</v>
      </c>
      <c r="B3623" s="229"/>
      <c r="C3623" s="223"/>
      <c r="D3623" s="224"/>
      <c r="E3623" s="225"/>
      <c r="F3623" s="1036" t="str">
        <f t="shared" si="1268"/>
        <v/>
      </c>
      <c r="G3623" s="1037" t="str">
        <f t="shared" si="1263"/>
        <v/>
      </c>
      <c r="H3623" s="225"/>
      <c r="I3623" s="1013"/>
      <c r="J3623" s="1013"/>
      <c r="K3623" s="1028"/>
      <c r="L3623" s="1035" t="str">
        <f t="shared" si="1267"/>
        <v/>
      </c>
      <c r="S3623" s="498"/>
      <c r="AJ3623" s="498"/>
      <c r="AM3623" s="498">
        <f t="shared" si="1248"/>
        <v>0</v>
      </c>
      <c r="AN3623" s="498">
        <f t="shared" si="1249"/>
        <v>0</v>
      </c>
      <c r="AO3623" s="498">
        <f t="shared" si="1250"/>
        <v>0</v>
      </c>
      <c r="AP3623" s="498">
        <f t="shared" si="1269"/>
        <v>0</v>
      </c>
      <c r="AQ3623" s="498">
        <f t="shared" si="1264"/>
        <v>0</v>
      </c>
      <c r="AU3623" s="498">
        <f t="shared" si="1251"/>
        <v>0</v>
      </c>
      <c r="AV3623" s="498">
        <f t="shared" si="1252"/>
        <v>0</v>
      </c>
      <c r="AW3623" s="498">
        <f t="shared" si="1253"/>
        <v>0</v>
      </c>
      <c r="AX3623" s="498">
        <f t="shared" si="1254"/>
        <v>0</v>
      </c>
      <c r="AY3623" s="498">
        <f t="shared" si="1255"/>
        <v>0</v>
      </c>
      <c r="BB3623" s="498" t="str">
        <f t="shared" si="1256"/>
        <v/>
      </c>
      <c r="BC3623" s="743" t="str">
        <f t="shared" si="1257"/>
        <v/>
      </c>
      <c r="BD3623" s="743" t="str">
        <f t="shared" si="1258"/>
        <v/>
      </c>
      <c r="BE3623" s="743" t="str">
        <f>IF(D3623="","",VLOOKUP(D3623,'General Basis'!$J$39:$K$46,2,0))</f>
        <v/>
      </c>
      <c r="BF3623" s="744" t="str">
        <f>IF(D3623="","",VLOOKUP(D3623,'General Basis'!$J$39:$L$46,3,0))</f>
        <v/>
      </c>
      <c r="BG3623" s="744" t="str">
        <f t="shared" si="1265"/>
        <v/>
      </c>
      <c r="BH3623" s="744" t="str">
        <f>IF(G3623="","",IF(BF3623="Abu Dhabi",IF(G3623&lt;18,'General Basis'!$C$39,IF(G3623&lt;41,'General Basis'!$C$40,IF(G3623&lt;60,'General Basis'!$C$41,IF(G3623&lt;65,'General Basis'!$C$42,'General Basis'!$C$43)))),IF(G3623&lt;11,'General Basis'!$B$39,IF(G3623&lt;18,'General Basis'!$B$40,IF(G3623&lt;26,'General Basis'!$B$41,IF(G3623&lt;31,'General Basis'!$B$42,IF(G3623&lt;36,'General Basis'!$B$43,IF(G3623&lt;41,'General Basis'!$B$44,IF(G3623&lt;46,'General Basis'!$B$45,IF(G3623&lt;51,'General Basis'!$B$46,IF(G3623&lt;56,'General Basis'!$B$47,IF(G3623&lt;60,'General Basis'!$B$48,IF(G3623&lt;65,'General Basis'!$B$49,'General Basis'!$B$50)))))))))))))</f>
        <v/>
      </c>
      <c r="BI3623" s="744" t="str">
        <f t="shared" si="1259"/>
        <v/>
      </c>
      <c r="BJ3623" s="747" t="str">
        <f t="shared" si="1266"/>
        <v/>
      </c>
      <c r="BK3623" s="498" t="str">
        <f t="shared" si="1260"/>
        <v/>
      </c>
      <c r="BL3623" s="498" t="str">
        <f t="shared" si="1261"/>
        <v/>
      </c>
    </row>
    <row r="3624" spans="1:64" x14ac:dyDescent="0.25">
      <c r="A3624" s="762">
        <f t="shared" si="1262"/>
        <v>3619</v>
      </c>
      <c r="B3624" s="229"/>
      <c r="C3624" s="223"/>
      <c r="D3624" s="224"/>
      <c r="E3624" s="225"/>
      <c r="F3624" s="1036" t="str">
        <f t="shared" si="1268"/>
        <v/>
      </c>
      <c r="G3624" s="1037" t="str">
        <f t="shared" si="1263"/>
        <v/>
      </c>
      <c r="H3624" s="225"/>
      <c r="I3624" s="1013"/>
      <c r="J3624" s="1013"/>
      <c r="K3624" s="1028"/>
      <c r="L3624" s="1035" t="str">
        <f t="shared" si="1267"/>
        <v/>
      </c>
      <c r="S3624" s="498"/>
      <c r="AJ3624" s="498"/>
      <c r="AM3624" s="498">
        <f t="shared" si="1248"/>
        <v>0</v>
      </c>
      <c r="AN3624" s="498">
        <f t="shared" si="1249"/>
        <v>0</v>
      </c>
      <c r="AO3624" s="498">
        <f t="shared" si="1250"/>
        <v>0</v>
      </c>
      <c r="AP3624" s="498">
        <f t="shared" si="1269"/>
        <v>0</v>
      </c>
      <c r="AQ3624" s="498">
        <f t="shared" si="1264"/>
        <v>0</v>
      </c>
      <c r="AU3624" s="498">
        <f t="shared" si="1251"/>
        <v>0</v>
      </c>
      <c r="AV3624" s="498">
        <f t="shared" si="1252"/>
        <v>0</v>
      </c>
      <c r="AW3624" s="498">
        <f t="shared" si="1253"/>
        <v>0</v>
      </c>
      <c r="AX3624" s="498">
        <f t="shared" si="1254"/>
        <v>0</v>
      </c>
      <c r="AY3624" s="498">
        <f t="shared" si="1255"/>
        <v>0</v>
      </c>
      <c r="BB3624" s="498" t="str">
        <f t="shared" si="1256"/>
        <v/>
      </c>
      <c r="BC3624" s="743" t="str">
        <f t="shared" si="1257"/>
        <v/>
      </c>
      <c r="BD3624" s="743" t="str">
        <f t="shared" si="1258"/>
        <v/>
      </c>
      <c r="BE3624" s="743" t="str">
        <f>IF(D3624="","",VLOOKUP(D3624,'General Basis'!$J$39:$K$46,2,0))</f>
        <v/>
      </c>
      <c r="BF3624" s="744" t="str">
        <f>IF(D3624="","",VLOOKUP(D3624,'General Basis'!$J$39:$L$46,3,0))</f>
        <v/>
      </c>
      <c r="BG3624" s="744" t="str">
        <f t="shared" si="1265"/>
        <v/>
      </c>
      <c r="BH3624" s="744" t="str">
        <f>IF(G3624="","",IF(BF3624="Abu Dhabi",IF(G3624&lt;18,'General Basis'!$C$39,IF(G3624&lt;41,'General Basis'!$C$40,IF(G3624&lt;60,'General Basis'!$C$41,IF(G3624&lt;65,'General Basis'!$C$42,'General Basis'!$C$43)))),IF(G3624&lt;11,'General Basis'!$B$39,IF(G3624&lt;18,'General Basis'!$B$40,IF(G3624&lt;26,'General Basis'!$B$41,IF(G3624&lt;31,'General Basis'!$B$42,IF(G3624&lt;36,'General Basis'!$B$43,IF(G3624&lt;41,'General Basis'!$B$44,IF(G3624&lt;46,'General Basis'!$B$45,IF(G3624&lt;51,'General Basis'!$B$46,IF(G3624&lt;56,'General Basis'!$B$47,IF(G3624&lt;60,'General Basis'!$B$48,IF(G3624&lt;65,'General Basis'!$B$49,'General Basis'!$B$50)))))))))))))</f>
        <v/>
      </c>
      <c r="BI3624" s="744" t="str">
        <f t="shared" si="1259"/>
        <v/>
      </c>
      <c r="BJ3624" s="747" t="str">
        <f t="shared" si="1266"/>
        <v/>
      </c>
      <c r="BK3624" s="498" t="str">
        <f t="shared" si="1260"/>
        <v/>
      </c>
      <c r="BL3624" s="498" t="str">
        <f t="shared" si="1261"/>
        <v/>
      </c>
    </row>
    <row r="3625" spans="1:64" x14ac:dyDescent="0.25">
      <c r="A3625" s="762">
        <f t="shared" si="1262"/>
        <v>3620</v>
      </c>
      <c r="B3625" s="229"/>
      <c r="C3625" s="223"/>
      <c r="D3625" s="224"/>
      <c r="E3625" s="225"/>
      <c r="F3625" s="1036" t="str">
        <f t="shared" si="1268"/>
        <v/>
      </c>
      <c r="G3625" s="1037" t="str">
        <f t="shared" si="1263"/>
        <v/>
      </c>
      <c r="H3625" s="225"/>
      <c r="I3625" s="1013"/>
      <c r="J3625" s="1013"/>
      <c r="K3625" s="1028"/>
      <c r="L3625" s="1035" t="str">
        <f t="shared" si="1267"/>
        <v/>
      </c>
      <c r="S3625" s="498"/>
      <c r="AJ3625" s="498"/>
      <c r="AM3625" s="498">
        <f t="shared" si="1248"/>
        <v>0</v>
      </c>
      <c r="AN3625" s="498">
        <f t="shared" si="1249"/>
        <v>0</v>
      </c>
      <c r="AO3625" s="498">
        <f t="shared" si="1250"/>
        <v>0</v>
      </c>
      <c r="AP3625" s="498">
        <f t="shared" si="1269"/>
        <v>0</v>
      </c>
      <c r="AQ3625" s="498">
        <f t="shared" si="1264"/>
        <v>0</v>
      </c>
      <c r="AU3625" s="498">
        <f t="shared" si="1251"/>
        <v>0</v>
      </c>
      <c r="AV3625" s="498">
        <f t="shared" si="1252"/>
        <v>0</v>
      </c>
      <c r="AW3625" s="498">
        <f t="shared" si="1253"/>
        <v>0</v>
      </c>
      <c r="AX3625" s="498">
        <f t="shared" si="1254"/>
        <v>0</v>
      </c>
      <c r="AY3625" s="498">
        <f t="shared" si="1255"/>
        <v>0</v>
      </c>
      <c r="BB3625" s="498" t="str">
        <f t="shared" si="1256"/>
        <v/>
      </c>
      <c r="BC3625" s="743" t="str">
        <f t="shared" si="1257"/>
        <v/>
      </c>
      <c r="BD3625" s="743" t="str">
        <f t="shared" si="1258"/>
        <v/>
      </c>
      <c r="BE3625" s="743" t="str">
        <f>IF(D3625="","",VLOOKUP(D3625,'General Basis'!$J$39:$K$46,2,0))</f>
        <v/>
      </c>
      <c r="BF3625" s="744" t="str">
        <f>IF(D3625="","",VLOOKUP(D3625,'General Basis'!$J$39:$L$46,3,0))</f>
        <v/>
      </c>
      <c r="BG3625" s="744" t="str">
        <f t="shared" si="1265"/>
        <v/>
      </c>
      <c r="BH3625" s="744" t="str">
        <f>IF(G3625="","",IF(BF3625="Abu Dhabi",IF(G3625&lt;18,'General Basis'!$C$39,IF(G3625&lt;41,'General Basis'!$C$40,IF(G3625&lt;60,'General Basis'!$C$41,IF(G3625&lt;65,'General Basis'!$C$42,'General Basis'!$C$43)))),IF(G3625&lt;11,'General Basis'!$B$39,IF(G3625&lt;18,'General Basis'!$B$40,IF(G3625&lt;26,'General Basis'!$B$41,IF(G3625&lt;31,'General Basis'!$B$42,IF(G3625&lt;36,'General Basis'!$B$43,IF(G3625&lt;41,'General Basis'!$B$44,IF(G3625&lt;46,'General Basis'!$B$45,IF(G3625&lt;51,'General Basis'!$B$46,IF(G3625&lt;56,'General Basis'!$B$47,IF(G3625&lt;60,'General Basis'!$B$48,IF(G3625&lt;65,'General Basis'!$B$49,'General Basis'!$B$50)))))))))))))</f>
        <v/>
      </c>
      <c r="BI3625" s="744" t="str">
        <f t="shared" si="1259"/>
        <v/>
      </c>
      <c r="BJ3625" s="747" t="str">
        <f t="shared" si="1266"/>
        <v/>
      </c>
      <c r="BK3625" s="498" t="str">
        <f t="shared" si="1260"/>
        <v/>
      </c>
      <c r="BL3625" s="498" t="str">
        <f t="shared" si="1261"/>
        <v/>
      </c>
    </row>
    <row r="3626" spans="1:64" x14ac:dyDescent="0.25">
      <c r="A3626" s="762">
        <f t="shared" si="1262"/>
        <v>3621</v>
      </c>
      <c r="B3626" s="229"/>
      <c r="C3626" s="223"/>
      <c r="D3626" s="224"/>
      <c r="E3626" s="225"/>
      <c r="F3626" s="1036" t="str">
        <f t="shared" si="1268"/>
        <v/>
      </c>
      <c r="G3626" s="1037" t="str">
        <f t="shared" si="1263"/>
        <v/>
      </c>
      <c r="H3626" s="225"/>
      <c r="I3626" s="1013"/>
      <c r="J3626" s="1013"/>
      <c r="K3626" s="1028"/>
      <c r="L3626" s="1035" t="str">
        <f t="shared" si="1267"/>
        <v/>
      </c>
      <c r="S3626" s="498"/>
      <c r="AJ3626" s="498"/>
      <c r="AM3626" s="498">
        <f t="shared" si="1248"/>
        <v>0</v>
      </c>
      <c r="AN3626" s="498">
        <f t="shared" si="1249"/>
        <v>0</v>
      </c>
      <c r="AO3626" s="498">
        <f t="shared" si="1250"/>
        <v>0</v>
      </c>
      <c r="AP3626" s="498">
        <f t="shared" si="1269"/>
        <v>0</v>
      </c>
      <c r="AQ3626" s="498">
        <f t="shared" si="1264"/>
        <v>0</v>
      </c>
      <c r="AU3626" s="498">
        <f t="shared" si="1251"/>
        <v>0</v>
      </c>
      <c r="AV3626" s="498">
        <f t="shared" si="1252"/>
        <v>0</v>
      </c>
      <c r="AW3626" s="498">
        <f t="shared" si="1253"/>
        <v>0</v>
      </c>
      <c r="AX3626" s="498">
        <f t="shared" si="1254"/>
        <v>0</v>
      </c>
      <c r="AY3626" s="498">
        <f t="shared" si="1255"/>
        <v>0</v>
      </c>
      <c r="BB3626" s="498" t="str">
        <f t="shared" si="1256"/>
        <v/>
      </c>
      <c r="BC3626" s="743" t="str">
        <f t="shared" si="1257"/>
        <v/>
      </c>
      <c r="BD3626" s="743" t="str">
        <f t="shared" si="1258"/>
        <v/>
      </c>
      <c r="BE3626" s="743" t="str">
        <f>IF(D3626="","",VLOOKUP(D3626,'General Basis'!$J$39:$K$46,2,0))</f>
        <v/>
      </c>
      <c r="BF3626" s="744" t="str">
        <f>IF(D3626="","",VLOOKUP(D3626,'General Basis'!$J$39:$L$46,3,0))</f>
        <v/>
      </c>
      <c r="BG3626" s="744" t="str">
        <f t="shared" si="1265"/>
        <v/>
      </c>
      <c r="BH3626" s="744" t="str">
        <f>IF(G3626="","",IF(BF3626="Abu Dhabi",IF(G3626&lt;18,'General Basis'!$C$39,IF(G3626&lt;41,'General Basis'!$C$40,IF(G3626&lt;60,'General Basis'!$C$41,IF(G3626&lt;65,'General Basis'!$C$42,'General Basis'!$C$43)))),IF(G3626&lt;11,'General Basis'!$B$39,IF(G3626&lt;18,'General Basis'!$B$40,IF(G3626&lt;26,'General Basis'!$B$41,IF(G3626&lt;31,'General Basis'!$B$42,IF(G3626&lt;36,'General Basis'!$B$43,IF(G3626&lt;41,'General Basis'!$B$44,IF(G3626&lt;46,'General Basis'!$B$45,IF(G3626&lt;51,'General Basis'!$B$46,IF(G3626&lt;56,'General Basis'!$B$47,IF(G3626&lt;60,'General Basis'!$B$48,IF(G3626&lt;65,'General Basis'!$B$49,'General Basis'!$B$50)))))))))))))</f>
        <v/>
      </c>
      <c r="BI3626" s="744" t="str">
        <f t="shared" si="1259"/>
        <v/>
      </c>
      <c r="BJ3626" s="747" t="str">
        <f t="shared" si="1266"/>
        <v/>
      </c>
      <c r="BK3626" s="498" t="str">
        <f t="shared" si="1260"/>
        <v/>
      </c>
      <c r="BL3626" s="498" t="str">
        <f t="shared" si="1261"/>
        <v/>
      </c>
    </row>
    <row r="3627" spans="1:64" x14ac:dyDescent="0.25">
      <c r="A3627" s="762">
        <f t="shared" si="1262"/>
        <v>3622</v>
      </c>
      <c r="B3627" s="229"/>
      <c r="C3627" s="223"/>
      <c r="D3627" s="224"/>
      <c r="E3627" s="225"/>
      <c r="F3627" s="1036" t="str">
        <f t="shared" si="1268"/>
        <v/>
      </c>
      <c r="G3627" s="1037" t="str">
        <f t="shared" si="1263"/>
        <v/>
      </c>
      <c r="H3627" s="225"/>
      <c r="I3627" s="1013"/>
      <c r="J3627" s="1013"/>
      <c r="K3627" s="1028"/>
      <c r="L3627" s="1035" t="str">
        <f t="shared" si="1267"/>
        <v/>
      </c>
      <c r="S3627" s="498"/>
      <c r="AJ3627" s="498"/>
      <c r="AM3627" s="498">
        <f t="shared" si="1248"/>
        <v>0</v>
      </c>
      <c r="AN3627" s="498">
        <f t="shared" si="1249"/>
        <v>0</v>
      </c>
      <c r="AO3627" s="498">
        <f t="shared" si="1250"/>
        <v>0</v>
      </c>
      <c r="AP3627" s="498">
        <f t="shared" si="1269"/>
        <v>0</v>
      </c>
      <c r="AQ3627" s="498">
        <f t="shared" si="1264"/>
        <v>0</v>
      </c>
      <c r="AU3627" s="498">
        <f t="shared" si="1251"/>
        <v>0</v>
      </c>
      <c r="AV3627" s="498">
        <f t="shared" si="1252"/>
        <v>0</v>
      </c>
      <c r="AW3627" s="498">
        <f t="shared" si="1253"/>
        <v>0</v>
      </c>
      <c r="AX3627" s="498">
        <f t="shared" si="1254"/>
        <v>0</v>
      </c>
      <c r="AY3627" s="498">
        <f t="shared" si="1255"/>
        <v>0</v>
      </c>
      <c r="BB3627" s="498" t="str">
        <f t="shared" si="1256"/>
        <v/>
      </c>
      <c r="BC3627" s="743" t="str">
        <f t="shared" si="1257"/>
        <v/>
      </c>
      <c r="BD3627" s="743" t="str">
        <f t="shared" si="1258"/>
        <v/>
      </c>
      <c r="BE3627" s="743" t="str">
        <f>IF(D3627="","",VLOOKUP(D3627,'General Basis'!$J$39:$K$46,2,0))</f>
        <v/>
      </c>
      <c r="BF3627" s="744" t="str">
        <f>IF(D3627="","",VLOOKUP(D3627,'General Basis'!$J$39:$L$46,3,0))</f>
        <v/>
      </c>
      <c r="BG3627" s="744" t="str">
        <f t="shared" si="1265"/>
        <v/>
      </c>
      <c r="BH3627" s="744" t="str">
        <f>IF(G3627="","",IF(BF3627="Abu Dhabi",IF(G3627&lt;18,'General Basis'!$C$39,IF(G3627&lt;41,'General Basis'!$C$40,IF(G3627&lt;60,'General Basis'!$C$41,IF(G3627&lt;65,'General Basis'!$C$42,'General Basis'!$C$43)))),IF(G3627&lt;11,'General Basis'!$B$39,IF(G3627&lt;18,'General Basis'!$B$40,IF(G3627&lt;26,'General Basis'!$B$41,IF(G3627&lt;31,'General Basis'!$B$42,IF(G3627&lt;36,'General Basis'!$B$43,IF(G3627&lt;41,'General Basis'!$B$44,IF(G3627&lt;46,'General Basis'!$B$45,IF(G3627&lt;51,'General Basis'!$B$46,IF(G3627&lt;56,'General Basis'!$B$47,IF(G3627&lt;60,'General Basis'!$B$48,IF(G3627&lt;65,'General Basis'!$B$49,'General Basis'!$B$50)))))))))))))</f>
        <v/>
      </c>
      <c r="BI3627" s="744" t="str">
        <f t="shared" si="1259"/>
        <v/>
      </c>
      <c r="BJ3627" s="747" t="str">
        <f t="shared" si="1266"/>
        <v/>
      </c>
      <c r="BK3627" s="498" t="str">
        <f t="shared" si="1260"/>
        <v/>
      </c>
      <c r="BL3627" s="498" t="str">
        <f t="shared" si="1261"/>
        <v/>
      </c>
    </row>
    <row r="3628" spans="1:64" x14ac:dyDescent="0.25">
      <c r="A3628" s="762">
        <f t="shared" si="1262"/>
        <v>3623</v>
      </c>
      <c r="B3628" s="229"/>
      <c r="C3628" s="223"/>
      <c r="D3628" s="224"/>
      <c r="E3628" s="225"/>
      <c r="F3628" s="1036" t="str">
        <f t="shared" si="1268"/>
        <v/>
      </c>
      <c r="G3628" s="1037" t="str">
        <f t="shared" si="1263"/>
        <v/>
      </c>
      <c r="H3628" s="225"/>
      <c r="I3628" s="1013"/>
      <c r="J3628" s="1013"/>
      <c r="K3628" s="1028"/>
      <c r="L3628" s="1035" t="str">
        <f t="shared" si="1267"/>
        <v/>
      </c>
      <c r="S3628" s="498"/>
      <c r="AJ3628" s="498"/>
      <c r="AM3628" s="498">
        <f t="shared" si="1248"/>
        <v>0</v>
      </c>
      <c r="AN3628" s="498">
        <f t="shared" si="1249"/>
        <v>0</v>
      </c>
      <c r="AO3628" s="498">
        <f t="shared" si="1250"/>
        <v>0</v>
      </c>
      <c r="AP3628" s="498">
        <f t="shared" si="1269"/>
        <v>0</v>
      </c>
      <c r="AQ3628" s="498">
        <f t="shared" si="1264"/>
        <v>0</v>
      </c>
      <c r="AU3628" s="498">
        <f t="shared" si="1251"/>
        <v>0</v>
      </c>
      <c r="AV3628" s="498">
        <f t="shared" si="1252"/>
        <v>0</v>
      </c>
      <c r="AW3628" s="498">
        <f t="shared" si="1253"/>
        <v>0</v>
      </c>
      <c r="AX3628" s="498">
        <f t="shared" si="1254"/>
        <v>0</v>
      </c>
      <c r="AY3628" s="498">
        <f t="shared" si="1255"/>
        <v>0</v>
      </c>
      <c r="BB3628" s="498" t="str">
        <f t="shared" si="1256"/>
        <v/>
      </c>
      <c r="BC3628" s="743" t="str">
        <f t="shared" si="1257"/>
        <v/>
      </c>
      <c r="BD3628" s="743" t="str">
        <f t="shared" si="1258"/>
        <v/>
      </c>
      <c r="BE3628" s="743" t="str">
        <f>IF(D3628="","",VLOOKUP(D3628,'General Basis'!$J$39:$K$46,2,0))</f>
        <v/>
      </c>
      <c r="BF3628" s="744" t="str">
        <f>IF(D3628="","",VLOOKUP(D3628,'General Basis'!$J$39:$L$46,3,0))</f>
        <v/>
      </c>
      <c r="BG3628" s="744" t="str">
        <f t="shared" si="1265"/>
        <v/>
      </c>
      <c r="BH3628" s="744" t="str">
        <f>IF(G3628="","",IF(BF3628="Abu Dhabi",IF(G3628&lt;18,'General Basis'!$C$39,IF(G3628&lt;41,'General Basis'!$C$40,IF(G3628&lt;60,'General Basis'!$C$41,IF(G3628&lt;65,'General Basis'!$C$42,'General Basis'!$C$43)))),IF(G3628&lt;11,'General Basis'!$B$39,IF(G3628&lt;18,'General Basis'!$B$40,IF(G3628&lt;26,'General Basis'!$B$41,IF(G3628&lt;31,'General Basis'!$B$42,IF(G3628&lt;36,'General Basis'!$B$43,IF(G3628&lt;41,'General Basis'!$B$44,IF(G3628&lt;46,'General Basis'!$B$45,IF(G3628&lt;51,'General Basis'!$B$46,IF(G3628&lt;56,'General Basis'!$B$47,IF(G3628&lt;60,'General Basis'!$B$48,IF(G3628&lt;65,'General Basis'!$B$49,'General Basis'!$B$50)))))))))))))</f>
        <v/>
      </c>
      <c r="BI3628" s="744" t="str">
        <f t="shared" si="1259"/>
        <v/>
      </c>
      <c r="BJ3628" s="747" t="str">
        <f t="shared" si="1266"/>
        <v/>
      </c>
      <c r="BK3628" s="498" t="str">
        <f t="shared" si="1260"/>
        <v/>
      </c>
      <c r="BL3628" s="498" t="str">
        <f t="shared" si="1261"/>
        <v/>
      </c>
    </row>
    <row r="3629" spans="1:64" x14ac:dyDescent="0.25">
      <c r="A3629" s="762">
        <f t="shared" si="1262"/>
        <v>3624</v>
      </c>
      <c r="B3629" s="229"/>
      <c r="C3629" s="223"/>
      <c r="D3629" s="224"/>
      <c r="E3629" s="225"/>
      <c r="F3629" s="1036" t="str">
        <f t="shared" si="1268"/>
        <v/>
      </c>
      <c r="G3629" s="1037" t="str">
        <f t="shared" si="1263"/>
        <v/>
      </c>
      <c r="H3629" s="225"/>
      <c r="I3629" s="1013"/>
      <c r="J3629" s="1013"/>
      <c r="K3629" s="1028"/>
      <c r="L3629" s="1035" t="str">
        <f t="shared" si="1267"/>
        <v/>
      </c>
      <c r="S3629" s="498"/>
      <c r="AJ3629" s="498"/>
      <c r="AM3629" s="498">
        <f t="shared" si="1248"/>
        <v>0</v>
      </c>
      <c r="AN3629" s="498">
        <f t="shared" si="1249"/>
        <v>0</v>
      </c>
      <c r="AO3629" s="498">
        <f t="shared" si="1250"/>
        <v>0</v>
      </c>
      <c r="AP3629" s="498">
        <f t="shared" si="1269"/>
        <v>0</v>
      </c>
      <c r="AQ3629" s="498">
        <f t="shared" si="1264"/>
        <v>0</v>
      </c>
      <c r="AU3629" s="498">
        <f t="shared" si="1251"/>
        <v>0</v>
      </c>
      <c r="AV3629" s="498">
        <f t="shared" si="1252"/>
        <v>0</v>
      </c>
      <c r="AW3629" s="498">
        <f t="shared" si="1253"/>
        <v>0</v>
      </c>
      <c r="AX3629" s="498">
        <f t="shared" si="1254"/>
        <v>0</v>
      </c>
      <c r="AY3629" s="498">
        <f t="shared" si="1255"/>
        <v>0</v>
      </c>
      <c r="BB3629" s="498" t="str">
        <f t="shared" si="1256"/>
        <v/>
      </c>
      <c r="BC3629" s="743" t="str">
        <f t="shared" si="1257"/>
        <v/>
      </c>
      <c r="BD3629" s="743" t="str">
        <f t="shared" si="1258"/>
        <v/>
      </c>
      <c r="BE3629" s="743" t="str">
        <f>IF(D3629="","",VLOOKUP(D3629,'General Basis'!$J$39:$K$46,2,0))</f>
        <v/>
      </c>
      <c r="BF3629" s="744" t="str">
        <f>IF(D3629="","",VLOOKUP(D3629,'General Basis'!$J$39:$L$46,3,0))</f>
        <v/>
      </c>
      <c r="BG3629" s="744" t="str">
        <f t="shared" si="1265"/>
        <v/>
      </c>
      <c r="BH3629" s="744" t="str">
        <f>IF(G3629="","",IF(BF3629="Abu Dhabi",IF(G3629&lt;18,'General Basis'!$C$39,IF(G3629&lt;41,'General Basis'!$C$40,IF(G3629&lt;60,'General Basis'!$C$41,IF(G3629&lt;65,'General Basis'!$C$42,'General Basis'!$C$43)))),IF(G3629&lt;11,'General Basis'!$B$39,IF(G3629&lt;18,'General Basis'!$B$40,IF(G3629&lt;26,'General Basis'!$B$41,IF(G3629&lt;31,'General Basis'!$B$42,IF(G3629&lt;36,'General Basis'!$B$43,IF(G3629&lt;41,'General Basis'!$B$44,IF(G3629&lt;46,'General Basis'!$B$45,IF(G3629&lt;51,'General Basis'!$B$46,IF(G3629&lt;56,'General Basis'!$B$47,IF(G3629&lt;60,'General Basis'!$B$48,IF(G3629&lt;65,'General Basis'!$B$49,'General Basis'!$B$50)))))))))))))</f>
        <v/>
      </c>
      <c r="BI3629" s="744" t="str">
        <f t="shared" si="1259"/>
        <v/>
      </c>
      <c r="BJ3629" s="747" t="str">
        <f t="shared" si="1266"/>
        <v/>
      </c>
      <c r="BK3629" s="498" t="str">
        <f t="shared" si="1260"/>
        <v/>
      </c>
      <c r="BL3629" s="498" t="str">
        <f t="shared" si="1261"/>
        <v/>
      </c>
    </row>
    <row r="3630" spans="1:64" x14ac:dyDescent="0.25">
      <c r="A3630" s="762">
        <f t="shared" si="1262"/>
        <v>3625</v>
      </c>
      <c r="B3630" s="229"/>
      <c r="C3630" s="223"/>
      <c r="D3630" s="224"/>
      <c r="E3630" s="225"/>
      <c r="F3630" s="1036" t="str">
        <f t="shared" si="1268"/>
        <v/>
      </c>
      <c r="G3630" s="1037" t="str">
        <f t="shared" si="1263"/>
        <v/>
      </c>
      <c r="H3630" s="225"/>
      <c r="I3630" s="1013"/>
      <c r="J3630" s="1013"/>
      <c r="K3630" s="1028"/>
      <c r="L3630" s="1035" t="str">
        <f t="shared" si="1267"/>
        <v/>
      </c>
      <c r="S3630" s="498"/>
      <c r="AJ3630" s="498"/>
      <c r="AM3630" s="498">
        <f t="shared" si="1248"/>
        <v>0</v>
      </c>
      <c r="AN3630" s="498">
        <f t="shared" si="1249"/>
        <v>0</v>
      </c>
      <c r="AO3630" s="498">
        <f t="shared" si="1250"/>
        <v>0</v>
      </c>
      <c r="AP3630" s="498">
        <f t="shared" si="1269"/>
        <v>0</v>
      </c>
      <c r="AQ3630" s="498">
        <f t="shared" si="1264"/>
        <v>0</v>
      </c>
      <c r="AU3630" s="498">
        <f t="shared" si="1251"/>
        <v>0</v>
      </c>
      <c r="AV3630" s="498">
        <f t="shared" si="1252"/>
        <v>0</v>
      </c>
      <c r="AW3630" s="498">
        <f t="shared" si="1253"/>
        <v>0</v>
      </c>
      <c r="AX3630" s="498">
        <f t="shared" si="1254"/>
        <v>0</v>
      </c>
      <c r="AY3630" s="498">
        <f t="shared" si="1255"/>
        <v>0</v>
      </c>
      <c r="BB3630" s="498" t="str">
        <f t="shared" si="1256"/>
        <v/>
      </c>
      <c r="BC3630" s="743" t="str">
        <f t="shared" si="1257"/>
        <v/>
      </c>
      <c r="BD3630" s="743" t="str">
        <f t="shared" si="1258"/>
        <v/>
      </c>
      <c r="BE3630" s="743" t="str">
        <f>IF(D3630="","",VLOOKUP(D3630,'General Basis'!$J$39:$K$46,2,0))</f>
        <v/>
      </c>
      <c r="BF3630" s="744" t="str">
        <f>IF(D3630="","",VLOOKUP(D3630,'General Basis'!$J$39:$L$46,3,0))</f>
        <v/>
      </c>
      <c r="BG3630" s="744" t="str">
        <f t="shared" si="1265"/>
        <v/>
      </c>
      <c r="BH3630" s="744" t="str">
        <f>IF(G3630="","",IF(BF3630="Abu Dhabi",IF(G3630&lt;18,'General Basis'!$C$39,IF(G3630&lt;41,'General Basis'!$C$40,IF(G3630&lt;60,'General Basis'!$C$41,IF(G3630&lt;65,'General Basis'!$C$42,'General Basis'!$C$43)))),IF(G3630&lt;11,'General Basis'!$B$39,IF(G3630&lt;18,'General Basis'!$B$40,IF(G3630&lt;26,'General Basis'!$B$41,IF(G3630&lt;31,'General Basis'!$B$42,IF(G3630&lt;36,'General Basis'!$B$43,IF(G3630&lt;41,'General Basis'!$B$44,IF(G3630&lt;46,'General Basis'!$B$45,IF(G3630&lt;51,'General Basis'!$B$46,IF(G3630&lt;56,'General Basis'!$B$47,IF(G3630&lt;60,'General Basis'!$B$48,IF(G3630&lt;65,'General Basis'!$B$49,'General Basis'!$B$50)))))))))))))</f>
        <v/>
      </c>
      <c r="BI3630" s="744" t="str">
        <f t="shared" si="1259"/>
        <v/>
      </c>
      <c r="BJ3630" s="747" t="str">
        <f t="shared" si="1266"/>
        <v/>
      </c>
      <c r="BK3630" s="498" t="str">
        <f t="shared" si="1260"/>
        <v/>
      </c>
      <c r="BL3630" s="498" t="str">
        <f t="shared" si="1261"/>
        <v/>
      </c>
    </row>
    <row r="3631" spans="1:64" x14ac:dyDescent="0.25">
      <c r="A3631" s="762">
        <f t="shared" si="1262"/>
        <v>3626</v>
      </c>
      <c r="B3631" s="229"/>
      <c r="C3631" s="223"/>
      <c r="D3631" s="224"/>
      <c r="E3631" s="225"/>
      <c r="F3631" s="1036" t="str">
        <f t="shared" si="1268"/>
        <v/>
      </c>
      <c r="G3631" s="1037" t="str">
        <f t="shared" si="1263"/>
        <v/>
      </c>
      <c r="H3631" s="225"/>
      <c r="I3631" s="1013"/>
      <c r="J3631" s="1013"/>
      <c r="K3631" s="1028"/>
      <c r="L3631" s="1035" t="str">
        <f t="shared" si="1267"/>
        <v/>
      </c>
      <c r="S3631" s="498"/>
      <c r="AJ3631" s="498"/>
      <c r="AM3631" s="498">
        <f t="shared" si="1248"/>
        <v>0</v>
      </c>
      <c r="AN3631" s="498">
        <f t="shared" si="1249"/>
        <v>0</v>
      </c>
      <c r="AO3631" s="498">
        <f t="shared" si="1250"/>
        <v>0</v>
      </c>
      <c r="AP3631" s="498">
        <f t="shared" si="1269"/>
        <v>0</v>
      </c>
      <c r="AQ3631" s="498">
        <f t="shared" si="1264"/>
        <v>0</v>
      </c>
      <c r="AU3631" s="498">
        <f t="shared" si="1251"/>
        <v>0</v>
      </c>
      <c r="AV3631" s="498">
        <f t="shared" si="1252"/>
        <v>0</v>
      </c>
      <c r="AW3631" s="498">
        <f t="shared" si="1253"/>
        <v>0</v>
      </c>
      <c r="AX3631" s="498">
        <f t="shared" si="1254"/>
        <v>0</v>
      </c>
      <c r="AY3631" s="498">
        <f t="shared" si="1255"/>
        <v>0</v>
      </c>
      <c r="BB3631" s="498" t="str">
        <f t="shared" si="1256"/>
        <v/>
      </c>
      <c r="BC3631" s="743" t="str">
        <f t="shared" si="1257"/>
        <v/>
      </c>
      <c r="BD3631" s="743" t="str">
        <f t="shared" si="1258"/>
        <v/>
      </c>
      <c r="BE3631" s="743" t="str">
        <f>IF(D3631="","",VLOOKUP(D3631,'General Basis'!$J$39:$K$46,2,0))</f>
        <v/>
      </c>
      <c r="BF3631" s="744" t="str">
        <f>IF(D3631="","",VLOOKUP(D3631,'General Basis'!$J$39:$L$46,3,0))</f>
        <v/>
      </c>
      <c r="BG3631" s="744" t="str">
        <f t="shared" si="1265"/>
        <v/>
      </c>
      <c r="BH3631" s="744" t="str">
        <f>IF(G3631="","",IF(BF3631="Abu Dhabi",IF(G3631&lt;18,'General Basis'!$C$39,IF(G3631&lt;41,'General Basis'!$C$40,IF(G3631&lt;60,'General Basis'!$C$41,IF(G3631&lt;65,'General Basis'!$C$42,'General Basis'!$C$43)))),IF(G3631&lt;11,'General Basis'!$B$39,IF(G3631&lt;18,'General Basis'!$B$40,IF(G3631&lt;26,'General Basis'!$B$41,IF(G3631&lt;31,'General Basis'!$B$42,IF(G3631&lt;36,'General Basis'!$B$43,IF(G3631&lt;41,'General Basis'!$B$44,IF(G3631&lt;46,'General Basis'!$B$45,IF(G3631&lt;51,'General Basis'!$B$46,IF(G3631&lt;56,'General Basis'!$B$47,IF(G3631&lt;60,'General Basis'!$B$48,IF(G3631&lt;65,'General Basis'!$B$49,'General Basis'!$B$50)))))))))))))</f>
        <v/>
      </c>
      <c r="BI3631" s="744" t="str">
        <f t="shared" si="1259"/>
        <v/>
      </c>
      <c r="BJ3631" s="747" t="str">
        <f t="shared" si="1266"/>
        <v/>
      </c>
      <c r="BK3631" s="498" t="str">
        <f t="shared" si="1260"/>
        <v/>
      </c>
      <c r="BL3631" s="498" t="str">
        <f t="shared" si="1261"/>
        <v/>
      </c>
    </row>
    <row r="3632" spans="1:64" x14ac:dyDescent="0.25">
      <c r="A3632" s="762">
        <f t="shared" si="1262"/>
        <v>3627</v>
      </c>
      <c r="B3632" s="229"/>
      <c r="C3632" s="223"/>
      <c r="D3632" s="224"/>
      <c r="E3632" s="225"/>
      <c r="F3632" s="1036" t="str">
        <f t="shared" si="1268"/>
        <v/>
      </c>
      <c r="G3632" s="1037" t="str">
        <f t="shared" si="1263"/>
        <v/>
      </c>
      <c r="H3632" s="225"/>
      <c r="I3632" s="1013"/>
      <c r="J3632" s="1013"/>
      <c r="K3632" s="1028"/>
      <c r="L3632" s="1035" t="str">
        <f t="shared" si="1267"/>
        <v/>
      </c>
      <c r="S3632" s="498"/>
      <c r="AJ3632" s="498"/>
      <c r="AM3632" s="498">
        <f t="shared" si="1248"/>
        <v>0</v>
      </c>
      <c r="AN3632" s="498">
        <f t="shared" si="1249"/>
        <v>0</v>
      </c>
      <c r="AO3632" s="498">
        <f t="shared" si="1250"/>
        <v>0</v>
      </c>
      <c r="AP3632" s="498">
        <f t="shared" si="1269"/>
        <v>0</v>
      </c>
      <c r="AQ3632" s="498">
        <f t="shared" si="1264"/>
        <v>0</v>
      </c>
      <c r="AU3632" s="498">
        <f t="shared" si="1251"/>
        <v>0</v>
      </c>
      <c r="AV3632" s="498">
        <f t="shared" si="1252"/>
        <v>0</v>
      </c>
      <c r="AW3632" s="498">
        <f t="shared" si="1253"/>
        <v>0</v>
      </c>
      <c r="AX3632" s="498">
        <f t="shared" si="1254"/>
        <v>0</v>
      </c>
      <c r="AY3632" s="498">
        <f t="shared" si="1255"/>
        <v>0</v>
      </c>
      <c r="BB3632" s="498" t="str">
        <f t="shared" si="1256"/>
        <v/>
      </c>
      <c r="BC3632" s="743" t="str">
        <f t="shared" si="1257"/>
        <v/>
      </c>
      <c r="BD3632" s="743" t="str">
        <f t="shared" si="1258"/>
        <v/>
      </c>
      <c r="BE3632" s="743" t="str">
        <f>IF(D3632="","",VLOOKUP(D3632,'General Basis'!$J$39:$K$46,2,0))</f>
        <v/>
      </c>
      <c r="BF3632" s="744" t="str">
        <f>IF(D3632="","",VLOOKUP(D3632,'General Basis'!$J$39:$L$46,3,0))</f>
        <v/>
      </c>
      <c r="BG3632" s="744" t="str">
        <f t="shared" si="1265"/>
        <v/>
      </c>
      <c r="BH3632" s="744" t="str">
        <f>IF(G3632="","",IF(BF3632="Abu Dhabi",IF(G3632&lt;18,'General Basis'!$C$39,IF(G3632&lt;41,'General Basis'!$C$40,IF(G3632&lt;60,'General Basis'!$C$41,IF(G3632&lt;65,'General Basis'!$C$42,'General Basis'!$C$43)))),IF(G3632&lt;11,'General Basis'!$B$39,IF(G3632&lt;18,'General Basis'!$B$40,IF(G3632&lt;26,'General Basis'!$B$41,IF(G3632&lt;31,'General Basis'!$B$42,IF(G3632&lt;36,'General Basis'!$B$43,IF(G3632&lt;41,'General Basis'!$B$44,IF(G3632&lt;46,'General Basis'!$B$45,IF(G3632&lt;51,'General Basis'!$B$46,IF(G3632&lt;56,'General Basis'!$B$47,IF(G3632&lt;60,'General Basis'!$B$48,IF(G3632&lt;65,'General Basis'!$B$49,'General Basis'!$B$50)))))))))))))</f>
        <v/>
      </c>
      <c r="BI3632" s="744" t="str">
        <f t="shared" si="1259"/>
        <v/>
      </c>
      <c r="BJ3632" s="747" t="str">
        <f t="shared" si="1266"/>
        <v/>
      </c>
      <c r="BK3632" s="498" t="str">
        <f t="shared" si="1260"/>
        <v/>
      </c>
      <c r="BL3632" s="498" t="str">
        <f t="shared" si="1261"/>
        <v/>
      </c>
    </row>
    <row r="3633" spans="1:64" x14ac:dyDescent="0.25">
      <c r="A3633" s="762">
        <f t="shared" si="1262"/>
        <v>3628</v>
      </c>
      <c r="B3633" s="229"/>
      <c r="C3633" s="223"/>
      <c r="D3633" s="224"/>
      <c r="E3633" s="225"/>
      <c r="F3633" s="1036" t="str">
        <f t="shared" si="1268"/>
        <v/>
      </c>
      <c r="G3633" s="1037" t="str">
        <f t="shared" si="1263"/>
        <v/>
      </c>
      <c r="H3633" s="225"/>
      <c r="I3633" s="1013"/>
      <c r="J3633" s="1013"/>
      <c r="K3633" s="1028"/>
      <c r="L3633" s="1035" t="str">
        <f t="shared" si="1267"/>
        <v/>
      </c>
      <c r="S3633" s="498"/>
      <c r="AJ3633" s="498"/>
      <c r="AM3633" s="498">
        <f t="shared" si="1248"/>
        <v>0</v>
      </c>
      <c r="AN3633" s="498">
        <f t="shared" si="1249"/>
        <v>0</v>
      </c>
      <c r="AO3633" s="498">
        <f t="shared" si="1250"/>
        <v>0</v>
      </c>
      <c r="AP3633" s="498">
        <f t="shared" si="1269"/>
        <v>0</v>
      </c>
      <c r="AQ3633" s="498">
        <f t="shared" si="1264"/>
        <v>0</v>
      </c>
      <c r="AU3633" s="498">
        <f t="shared" si="1251"/>
        <v>0</v>
      </c>
      <c r="AV3633" s="498">
        <f t="shared" si="1252"/>
        <v>0</v>
      </c>
      <c r="AW3633" s="498">
        <f t="shared" si="1253"/>
        <v>0</v>
      </c>
      <c r="AX3633" s="498">
        <f t="shared" si="1254"/>
        <v>0</v>
      </c>
      <c r="AY3633" s="498">
        <f t="shared" si="1255"/>
        <v>0</v>
      </c>
      <c r="BB3633" s="498" t="str">
        <f t="shared" si="1256"/>
        <v/>
      </c>
      <c r="BC3633" s="743" t="str">
        <f t="shared" si="1257"/>
        <v/>
      </c>
      <c r="BD3633" s="743" t="str">
        <f t="shared" si="1258"/>
        <v/>
      </c>
      <c r="BE3633" s="743" t="str">
        <f>IF(D3633="","",VLOOKUP(D3633,'General Basis'!$J$39:$K$46,2,0))</f>
        <v/>
      </c>
      <c r="BF3633" s="744" t="str">
        <f>IF(D3633="","",VLOOKUP(D3633,'General Basis'!$J$39:$L$46,3,0))</f>
        <v/>
      </c>
      <c r="BG3633" s="744" t="str">
        <f t="shared" si="1265"/>
        <v/>
      </c>
      <c r="BH3633" s="744" t="str">
        <f>IF(G3633="","",IF(BF3633="Abu Dhabi",IF(G3633&lt;18,'General Basis'!$C$39,IF(G3633&lt;41,'General Basis'!$C$40,IF(G3633&lt;60,'General Basis'!$C$41,IF(G3633&lt;65,'General Basis'!$C$42,'General Basis'!$C$43)))),IF(G3633&lt;11,'General Basis'!$B$39,IF(G3633&lt;18,'General Basis'!$B$40,IF(G3633&lt;26,'General Basis'!$B$41,IF(G3633&lt;31,'General Basis'!$B$42,IF(G3633&lt;36,'General Basis'!$B$43,IF(G3633&lt;41,'General Basis'!$B$44,IF(G3633&lt;46,'General Basis'!$B$45,IF(G3633&lt;51,'General Basis'!$B$46,IF(G3633&lt;56,'General Basis'!$B$47,IF(G3633&lt;60,'General Basis'!$B$48,IF(G3633&lt;65,'General Basis'!$B$49,'General Basis'!$B$50)))))))))))))</f>
        <v/>
      </c>
      <c r="BI3633" s="744" t="str">
        <f t="shared" si="1259"/>
        <v/>
      </c>
      <c r="BJ3633" s="747" t="str">
        <f t="shared" si="1266"/>
        <v/>
      </c>
      <c r="BK3633" s="498" t="str">
        <f t="shared" si="1260"/>
        <v/>
      </c>
      <c r="BL3633" s="498" t="str">
        <f t="shared" si="1261"/>
        <v/>
      </c>
    </row>
    <row r="3634" spans="1:64" x14ac:dyDescent="0.25">
      <c r="A3634" s="762">
        <f t="shared" si="1262"/>
        <v>3629</v>
      </c>
      <c r="B3634" s="229"/>
      <c r="C3634" s="223"/>
      <c r="D3634" s="224"/>
      <c r="E3634" s="225"/>
      <c r="F3634" s="1036" t="str">
        <f t="shared" si="1268"/>
        <v/>
      </c>
      <c r="G3634" s="1037" t="str">
        <f t="shared" si="1263"/>
        <v/>
      </c>
      <c r="H3634" s="225"/>
      <c r="I3634" s="1013"/>
      <c r="J3634" s="1013"/>
      <c r="K3634" s="1028"/>
      <c r="L3634" s="1035" t="str">
        <f t="shared" si="1267"/>
        <v/>
      </c>
      <c r="S3634" s="498"/>
      <c r="AJ3634" s="498"/>
      <c r="AM3634" s="498">
        <f t="shared" si="1248"/>
        <v>0</v>
      </c>
      <c r="AN3634" s="498">
        <f t="shared" si="1249"/>
        <v>0</v>
      </c>
      <c r="AO3634" s="498">
        <f t="shared" si="1250"/>
        <v>0</v>
      </c>
      <c r="AP3634" s="498">
        <f t="shared" si="1269"/>
        <v>0</v>
      </c>
      <c r="AQ3634" s="498">
        <f t="shared" si="1264"/>
        <v>0</v>
      </c>
      <c r="AU3634" s="498">
        <f t="shared" si="1251"/>
        <v>0</v>
      </c>
      <c r="AV3634" s="498">
        <f t="shared" si="1252"/>
        <v>0</v>
      </c>
      <c r="AW3634" s="498">
        <f t="shared" si="1253"/>
        <v>0</v>
      </c>
      <c r="AX3634" s="498">
        <f t="shared" si="1254"/>
        <v>0</v>
      </c>
      <c r="AY3634" s="498">
        <f t="shared" si="1255"/>
        <v>0</v>
      </c>
      <c r="BB3634" s="498" t="str">
        <f t="shared" si="1256"/>
        <v/>
      </c>
      <c r="BC3634" s="743" t="str">
        <f t="shared" si="1257"/>
        <v/>
      </c>
      <c r="BD3634" s="743" t="str">
        <f t="shared" si="1258"/>
        <v/>
      </c>
      <c r="BE3634" s="743" t="str">
        <f>IF(D3634="","",VLOOKUP(D3634,'General Basis'!$J$39:$K$46,2,0))</f>
        <v/>
      </c>
      <c r="BF3634" s="744" t="str">
        <f>IF(D3634="","",VLOOKUP(D3634,'General Basis'!$J$39:$L$46,3,0))</f>
        <v/>
      </c>
      <c r="BG3634" s="744" t="str">
        <f t="shared" si="1265"/>
        <v/>
      </c>
      <c r="BH3634" s="744" t="str">
        <f>IF(G3634="","",IF(BF3634="Abu Dhabi",IF(G3634&lt;18,'General Basis'!$C$39,IF(G3634&lt;41,'General Basis'!$C$40,IF(G3634&lt;60,'General Basis'!$C$41,IF(G3634&lt;65,'General Basis'!$C$42,'General Basis'!$C$43)))),IF(G3634&lt;11,'General Basis'!$B$39,IF(G3634&lt;18,'General Basis'!$B$40,IF(G3634&lt;26,'General Basis'!$B$41,IF(G3634&lt;31,'General Basis'!$B$42,IF(G3634&lt;36,'General Basis'!$B$43,IF(G3634&lt;41,'General Basis'!$B$44,IF(G3634&lt;46,'General Basis'!$B$45,IF(G3634&lt;51,'General Basis'!$B$46,IF(G3634&lt;56,'General Basis'!$B$47,IF(G3634&lt;60,'General Basis'!$B$48,IF(G3634&lt;65,'General Basis'!$B$49,'General Basis'!$B$50)))))))))))))</f>
        <v/>
      </c>
      <c r="BI3634" s="744" t="str">
        <f t="shared" si="1259"/>
        <v/>
      </c>
      <c r="BJ3634" s="747" t="str">
        <f t="shared" si="1266"/>
        <v/>
      </c>
      <c r="BK3634" s="498" t="str">
        <f t="shared" si="1260"/>
        <v/>
      </c>
      <c r="BL3634" s="498" t="str">
        <f t="shared" si="1261"/>
        <v/>
      </c>
    </row>
    <row r="3635" spans="1:64" x14ac:dyDescent="0.25">
      <c r="A3635" s="762">
        <f t="shared" si="1262"/>
        <v>3630</v>
      </c>
      <c r="B3635" s="229"/>
      <c r="C3635" s="223"/>
      <c r="D3635" s="224"/>
      <c r="E3635" s="225"/>
      <c r="F3635" s="1036" t="str">
        <f t="shared" si="1268"/>
        <v/>
      </c>
      <c r="G3635" s="1037" t="str">
        <f t="shared" si="1263"/>
        <v/>
      </c>
      <c r="H3635" s="225"/>
      <c r="I3635" s="1013"/>
      <c r="J3635" s="1013"/>
      <c r="K3635" s="1028"/>
      <c r="L3635" s="1035" t="str">
        <f t="shared" si="1267"/>
        <v/>
      </c>
      <c r="S3635" s="498"/>
      <c r="AJ3635" s="498"/>
      <c r="AM3635" s="498">
        <f t="shared" si="1248"/>
        <v>0</v>
      </c>
      <c r="AN3635" s="498">
        <f t="shared" si="1249"/>
        <v>0</v>
      </c>
      <c r="AO3635" s="498">
        <f t="shared" si="1250"/>
        <v>0</v>
      </c>
      <c r="AP3635" s="498">
        <f t="shared" si="1269"/>
        <v>0</v>
      </c>
      <c r="AQ3635" s="498">
        <f t="shared" si="1264"/>
        <v>0</v>
      </c>
      <c r="AU3635" s="498">
        <f t="shared" si="1251"/>
        <v>0</v>
      </c>
      <c r="AV3635" s="498">
        <f t="shared" si="1252"/>
        <v>0</v>
      </c>
      <c r="AW3635" s="498">
        <f t="shared" si="1253"/>
        <v>0</v>
      </c>
      <c r="AX3635" s="498">
        <f t="shared" si="1254"/>
        <v>0</v>
      </c>
      <c r="AY3635" s="498">
        <f t="shared" si="1255"/>
        <v>0</v>
      </c>
      <c r="BB3635" s="498" t="str">
        <f t="shared" si="1256"/>
        <v/>
      </c>
      <c r="BC3635" s="743" t="str">
        <f t="shared" si="1257"/>
        <v/>
      </c>
      <c r="BD3635" s="743" t="str">
        <f t="shared" si="1258"/>
        <v/>
      </c>
      <c r="BE3635" s="743" t="str">
        <f>IF(D3635="","",VLOOKUP(D3635,'General Basis'!$J$39:$K$46,2,0))</f>
        <v/>
      </c>
      <c r="BF3635" s="744" t="str">
        <f>IF(D3635="","",VLOOKUP(D3635,'General Basis'!$J$39:$L$46,3,0))</f>
        <v/>
      </c>
      <c r="BG3635" s="744" t="str">
        <f t="shared" si="1265"/>
        <v/>
      </c>
      <c r="BH3635" s="744" t="str">
        <f>IF(G3635="","",IF(BF3635="Abu Dhabi",IF(G3635&lt;18,'General Basis'!$C$39,IF(G3635&lt;41,'General Basis'!$C$40,IF(G3635&lt;60,'General Basis'!$C$41,IF(G3635&lt;65,'General Basis'!$C$42,'General Basis'!$C$43)))),IF(G3635&lt;11,'General Basis'!$B$39,IF(G3635&lt;18,'General Basis'!$B$40,IF(G3635&lt;26,'General Basis'!$B$41,IF(G3635&lt;31,'General Basis'!$B$42,IF(G3635&lt;36,'General Basis'!$B$43,IF(G3635&lt;41,'General Basis'!$B$44,IF(G3635&lt;46,'General Basis'!$B$45,IF(G3635&lt;51,'General Basis'!$B$46,IF(G3635&lt;56,'General Basis'!$B$47,IF(G3635&lt;60,'General Basis'!$B$48,IF(G3635&lt;65,'General Basis'!$B$49,'General Basis'!$B$50)))))))))))))</f>
        <v/>
      </c>
      <c r="BI3635" s="744" t="str">
        <f t="shared" si="1259"/>
        <v/>
      </c>
      <c r="BJ3635" s="747" t="str">
        <f t="shared" si="1266"/>
        <v/>
      </c>
      <c r="BK3635" s="498" t="str">
        <f t="shared" si="1260"/>
        <v/>
      </c>
      <c r="BL3635" s="498" t="str">
        <f t="shared" si="1261"/>
        <v/>
      </c>
    </row>
    <row r="3636" spans="1:64" x14ac:dyDescent="0.25">
      <c r="A3636" s="762">
        <f t="shared" si="1262"/>
        <v>3631</v>
      </c>
      <c r="B3636" s="229"/>
      <c r="C3636" s="223"/>
      <c r="D3636" s="224"/>
      <c r="E3636" s="225"/>
      <c r="F3636" s="1036" t="str">
        <f t="shared" si="1268"/>
        <v/>
      </c>
      <c r="G3636" s="1037" t="str">
        <f t="shared" si="1263"/>
        <v/>
      </c>
      <c r="H3636" s="225"/>
      <c r="I3636" s="1013"/>
      <c r="J3636" s="1013"/>
      <c r="K3636" s="1028"/>
      <c r="L3636" s="1035" t="str">
        <f t="shared" si="1267"/>
        <v/>
      </c>
      <c r="S3636" s="498"/>
      <c r="AJ3636" s="498"/>
      <c r="AM3636" s="498">
        <f t="shared" si="1248"/>
        <v>0</v>
      </c>
      <c r="AN3636" s="498">
        <f t="shared" si="1249"/>
        <v>0</v>
      </c>
      <c r="AO3636" s="498">
        <f t="shared" si="1250"/>
        <v>0</v>
      </c>
      <c r="AP3636" s="498">
        <f t="shared" si="1269"/>
        <v>0</v>
      </c>
      <c r="AQ3636" s="498">
        <f t="shared" si="1264"/>
        <v>0</v>
      </c>
      <c r="AU3636" s="498">
        <f t="shared" si="1251"/>
        <v>0</v>
      </c>
      <c r="AV3636" s="498">
        <f t="shared" si="1252"/>
        <v>0</v>
      </c>
      <c r="AW3636" s="498">
        <f t="shared" si="1253"/>
        <v>0</v>
      </c>
      <c r="AX3636" s="498">
        <f t="shared" si="1254"/>
        <v>0</v>
      </c>
      <c r="AY3636" s="498">
        <f t="shared" si="1255"/>
        <v>0</v>
      </c>
      <c r="BB3636" s="498" t="str">
        <f t="shared" si="1256"/>
        <v/>
      </c>
      <c r="BC3636" s="743" t="str">
        <f t="shared" si="1257"/>
        <v/>
      </c>
      <c r="BD3636" s="743" t="str">
        <f t="shared" si="1258"/>
        <v/>
      </c>
      <c r="BE3636" s="743" t="str">
        <f>IF(D3636="","",VLOOKUP(D3636,'General Basis'!$J$39:$K$46,2,0))</f>
        <v/>
      </c>
      <c r="BF3636" s="744" t="str">
        <f>IF(D3636="","",VLOOKUP(D3636,'General Basis'!$J$39:$L$46,3,0))</f>
        <v/>
      </c>
      <c r="BG3636" s="744" t="str">
        <f t="shared" si="1265"/>
        <v/>
      </c>
      <c r="BH3636" s="744" t="str">
        <f>IF(G3636="","",IF(BF3636="Abu Dhabi",IF(G3636&lt;18,'General Basis'!$C$39,IF(G3636&lt;41,'General Basis'!$C$40,IF(G3636&lt;60,'General Basis'!$C$41,IF(G3636&lt;65,'General Basis'!$C$42,'General Basis'!$C$43)))),IF(G3636&lt;11,'General Basis'!$B$39,IF(G3636&lt;18,'General Basis'!$B$40,IF(G3636&lt;26,'General Basis'!$B$41,IF(G3636&lt;31,'General Basis'!$B$42,IF(G3636&lt;36,'General Basis'!$B$43,IF(G3636&lt;41,'General Basis'!$B$44,IF(G3636&lt;46,'General Basis'!$B$45,IF(G3636&lt;51,'General Basis'!$B$46,IF(G3636&lt;56,'General Basis'!$B$47,IF(G3636&lt;60,'General Basis'!$B$48,IF(G3636&lt;65,'General Basis'!$B$49,'General Basis'!$B$50)))))))))))))</f>
        <v/>
      </c>
      <c r="BI3636" s="744" t="str">
        <f t="shared" si="1259"/>
        <v/>
      </c>
      <c r="BJ3636" s="747" t="str">
        <f t="shared" si="1266"/>
        <v/>
      </c>
      <c r="BK3636" s="498" t="str">
        <f t="shared" si="1260"/>
        <v/>
      </c>
      <c r="BL3636" s="498" t="str">
        <f t="shared" si="1261"/>
        <v/>
      </c>
    </row>
    <row r="3637" spans="1:64" x14ac:dyDescent="0.25">
      <c r="A3637" s="762">
        <f t="shared" si="1262"/>
        <v>3632</v>
      </c>
      <c r="B3637" s="229"/>
      <c r="C3637" s="223"/>
      <c r="D3637" s="224"/>
      <c r="E3637" s="225"/>
      <c r="F3637" s="1036" t="str">
        <f t="shared" si="1268"/>
        <v/>
      </c>
      <c r="G3637" s="1037" t="str">
        <f t="shared" si="1263"/>
        <v/>
      </c>
      <c r="H3637" s="225"/>
      <c r="I3637" s="1013"/>
      <c r="J3637" s="1013"/>
      <c r="K3637" s="1028"/>
      <c r="L3637" s="1035" t="str">
        <f t="shared" si="1267"/>
        <v/>
      </c>
      <c r="S3637" s="498"/>
      <c r="AJ3637" s="498"/>
      <c r="AM3637" s="498">
        <f t="shared" si="1248"/>
        <v>0</v>
      </c>
      <c r="AN3637" s="498">
        <f t="shared" si="1249"/>
        <v>0</v>
      </c>
      <c r="AO3637" s="498">
        <f t="shared" si="1250"/>
        <v>0</v>
      </c>
      <c r="AP3637" s="498">
        <f t="shared" si="1269"/>
        <v>0</v>
      </c>
      <c r="AQ3637" s="498">
        <f t="shared" si="1264"/>
        <v>0</v>
      </c>
      <c r="AU3637" s="498">
        <f t="shared" si="1251"/>
        <v>0</v>
      </c>
      <c r="AV3637" s="498">
        <f t="shared" si="1252"/>
        <v>0</v>
      </c>
      <c r="AW3637" s="498">
        <f t="shared" si="1253"/>
        <v>0</v>
      </c>
      <c r="AX3637" s="498">
        <f t="shared" si="1254"/>
        <v>0</v>
      </c>
      <c r="AY3637" s="498">
        <f t="shared" si="1255"/>
        <v>0</v>
      </c>
      <c r="BB3637" s="498" t="str">
        <f t="shared" si="1256"/>
        <v/>
      </c>
      <c r="BC3637" s="743" t="str">
        <f t="shared" si="1257"/>
        <v/>
      </c>
      <c r="BD3637" s="743" t="str">
        <f t="shared" si="1258"/>
        <v/>
      </c>
      <c r="BE3637" s="743" t="str">
        <f>IF(D3637="","",VLOOKUP(D3637,'General Basis'!$J$39:$K$46,2,0))</f>
        <v/>
      </c>
      <c r="BF3637" s="744" t="str">
        <f>IF(D3637="","",VLOOKUP(D3637,'General Basis'!$J$39:$L$46,3,0))</f>
        <v/>
      </c>
      <c r="BG3637" s="744" t="str">
        <f t="shared" si="1265"/>
        <v/>
      </c>
      <c r="BH3637" s="744" t="str">
        <f>IF(G3637="","",IF(BF3637="Abu Dhabi",IF(G3637&lt;18,'General Basis'!$C$39,IF(G3637&lt;41,'General Basis'!$C$40,IF(G3637&lt;60,'General Basis'!$C$41,IF(G3637&lt;65,'General Basis'!$C$42,'General Basis'!$C$43)))),IF(G3637&lt;11,'General Basis'!$B$39,IF(G3637&lt;18,'General Basis'!$B$40,IF(G3637&lt;26,'General Basis'!$B$41,IF(G3637&lt;31,'General Basis'!$B$42,IF(G3637&lt;36,'General Basis'!$B$43,IF(G3637&lt;41,'General Basis'!$B$44,IF(G3637&lt;46,'General Basis'!$B$45,IF(G3637&lt;51,'General Basis'!$B$46,IF(G3637&lt;56,'General Basis'!$B$47,IF(G3637&lt;60,'General Basis'!$B$48,IF(G3637&lt;65,'General Basis'!$B$49,'General Basis'!$B$50)))))))))))))</f>
        <v/>
      </c>
      <c r="BI3637" s="744" t="str">
        <f t="shared" si="1259"/>
        <v/>
      </c>
      <c r="BJ3637" s="747" t="str">
        <f t="shared" si="1266"/>
        <v/>
      </c>
      <c r="BK3637" s="498" t="str">
        <f t="shared" si="1260"/>
        <v/>
      </c>
      <c r="BL3637" s="498" t="str">
        <f t="shared" si="1261"/>
        <v/>
      </c>
    </row>
    <row r="3638" spans="1:64" x14ac:dyDescent="0.25">
      <c r="A3638" s="762">
        <f t="shared" si="1262"/>
        <v>3633</v>
      </c>
      <c r="B3638" s="229"/>
      <c r="C3638" s="223"/>
      <c r="D3638" s="224"/>
      <c r="E3638" s="225"/>
      <c r="F3638" s="1036" t="str">
        <f t="shared" si="1268"/>
        <v/>
      </c>
      <c r="G3638" s="1037" t="str">
        <f t="shared" si="1263"/>
        <v/>
      </c>
      <c r="H3638" s="225"/>
      <c r="I3638" s="1013"/>
      <c r="J3638" s="1013"/>
      <c r="K3638" s="1028"/>
      <c r="L3638" s="1035" t="str">
        <f t="shared" si="1267"/>
        <v/>
      </c>
      <c r="S3638" s="498"/>
      <c r="AJ3638" s="498"/>
      <c r="AM3638" s="498">
        <f t="shared" si="1248"/>
        <v>0</v>
      </c>
      <c r="AN3638" s="498">
        <f t="shared" si="1249"/>
        <v>0</v>
      </c>
      <c r="AO3638" s="498">
        <f t="shared" si="1250"/>
        <v>0</v>
      </c>
      <c r="AP3638" s="498">
        <f t="shared" si="1269"/>
        <v>0</v>
      </c>
      <c r="AQ3638" s="498">
        <f t="shared" si="1264"/>
        <v>0</v>
      </c>
      <c r="AU3638" s="498">
        <f t="shared" si="1251"/>
        <v>0</v>
      </c>
      <c r="AV3638" s="498">
        <f t="shared" si="1252"/>
        <v>0</v>
      </c>
      <c r="AW3638" s="498">
        <f t="shared" si="1253"/>
        <v>0</v>
      </c>
      <c r="AX3638" s="498">
        <f t="shared" si="1254"/>
        <v>0</v>
      </c>
      <c r="AY3638" s="498">
        <f t="shared" si="1255"/>
        <v>0</v>
      </c>
      <c r="BB3638" s="498" t="str">
        <f t="shared" si="1256"/>
        <v/>
      </c>
      <c r="BC3638" s="743" t="str">
        <f t="shared" si="1257"/>
        <v/>
      </c>
      <c r="BD3638" s="743" t="str">
        <f t="shared" si="1258"/>
        <v/>
      </c>
      <c r="BE3638" s="743" t="str">
        <f>IF(D3638="","",VLOOKUP(D3638,'General Basis'!$J$39:$K$46,2,0))</f>
        <v/>
      </c>
      <c r="BF3638" s="744" t="str">
        <f>IF(D3638="","",VLOOKUP(D3638,'General Basis'!$J$39:$L$46,3,0))</f>
        <v/>
      </c>
      <c r="BG3638" s="744" t="str">
        <f t="shared" si="1265"/>
        <v/>
      </c>
      <c r="BH3638" s="744" t="str">
        <f>IF(G3638="","",IF(BF3638="Abu Dhabi",IF(G3638&lt;18,'General Basis'!$C$39,IF(G3638&lt;41,'General Basis'!$C$40,IF(G3638&lt;60,'General Basis'!$C$41,IF(G3638&lt;65,'General Basis'!$C$42,'General Basis'!$C$43)))),IF(G3638&lt;11,'General Basis'!$B$39,IF(G3638&lt;18,'General Basis'!$B$40,IF(G3638&lt;26,'General Basis'!$B$41,IF(G3638&lt;31,'General Basis'!$B$42,IF(G3638&lt;36,'General Basis'!$B$43,IF(G3638&lt;41,'General Basis'!$B$44,IF(G3638&lt;46,'General Basis'!$B$45,IF(G3638&lt;51,'General Basis'!$B$46,IF(G3638&lt;56,'General Basis'!$B$47,IF(G3638&lt;60,'General Basis'!$B$48,IF(G3638&lt;65,'General Basis'!$B$49,'General Basis'!$B$50)))))))))))))</f>
        <v/>
      </c>
      <c r="BI3638" s="744" t="str">
        <f t="shared" si="1259"/>
        <v/>
      </c>
      <c r="BJ3638" s="747" t="str">
        <f t="shared" si="1266"/>
        <v/>
      </c>
      <c r="BK3638" s="498" t="str">
        <f t="shared" si="1260"/>
        <v/>
      </c>
      <c r="BL3638" s="498" t="str">
        <f t="shared" si="1261"/>
        <v/>
      </c>
    </row>
    <row r="3639" spans="1:64" x14ac:dyDescent="0.25">
      <c r="A3639" s="762">
        <f t="shared" si="1262"/>
        <v>3634</v>
      </c>
      <c r="B3639" s="229"/>
      <c r="C3639" s="223"/>
      <c r="D3639" s="224"/>
      <c r="E3639" s="225"/>
      <c r="F3639" s="1036" t="str">
        <f t="shared" si="1268"/>
        <v/>
      </c>
      <c r="G3639" s="1037" t="str">
        <f t="shared" si="1263"/>
        <v/>
      </c>
      <c r="H3639" s="225"/>
      <c r="I3639" s="1013"/>
      <c r="J3639" s="1013"/>
      <c r="K3639" s="1028"/>
      <c r="L3639" s="1035" t="str">
        <f t="shared" si="1267"/>
        <v/>
      </c>
      <c r="S3639" s="498"/>
      <c r="AJ3639" s="498"/>
      <c r="AM3639" s="498">
        <f t="shared" si="1248"/>
        <v>0</v>
      </c>
      <c r="AN3639" s="498">
        <f t="shared" si="1249"/>
        <v>0</v>
      </c>
      <c r="AO3639" s="498">
        <f t="shared" si="1250"/>
        <v>0</v>
      </c>
      <c r="AP3639" s="498">
        <f t="shared" si="1269"/>
        <v>0</v>
      </c>
      <c r="AQ3639" s="498">
        <f t="shared" si="1264"/>
        <v>0</v>
      </c>
      <c r="AU3639" s="498">
        <f t="shared" si="1251"/>
        <v>0</v>
      </c>
      <c r="AV3639" s="498">
        <f t="shared" si="1252"/>
        <v>0</v>
      </c>
      <c r="AW3639" s="498">
        <f t="shared" si="1253"/>
        <v>0</v>
      </c>
      <c r="AX3639" s="498">
        <f t="shared" si="1254"/>
        <v>0</v>
      </c>
      <c r="AY3639" s="498">
        <f t="shared" si="1255"/>
        <v>0</v>
      </c>
      <c r="BB3639" s="498" t="str">
        <f t="shared" si="1256"/>
        <v/>
      </c>
      <c r="BC3639" s="743" t="str">
        <f t="shared" si="1257"/>
        <v/>
      </c>
      <c r="BD3639" s="743" t="str">
        <f t="shared" si="1258"/>
        <v/>
      </c>
      <c r="BE3639" s="743" t="str">
        <f>IF(D3639="","",VLOOKUP(D3639,'General Basis'!$J$39:$K$46,2,0))</f>
        <v/>
      </c>
      <c r="BF3639" s="744" t="str">
        <f>IF(D3639="","",VLOOKUP(D3639,'General Basis'!$J$39:$L$46,3,0))</f>
        <v/>
      </c>
      <c r="BG3639" s="744" t="str">
        <f t="shared" si="1265"/>
        <v/>
      </c>
      <c r="BH3639" s="744" t="str">
        <f>IF(G3639="","",IF(BF3639="Abu Dhabi",IF(G3639&lt;18,'General Basis'!$C$39,IF(G3639&lt;41,'General Basis'!$C$40,IF(G3639&lt;60,'General Basis'!$C$41,IF(G3639&lt;65,'General Basis'!$C$42,'General Basis'!$C$43)))),IF(G3639&lt;11,'General Basis'!$B$39,IF(G3639&lt;18,'General Basis'!$B$40,IF(G3639&lt;26,'General Basis'!$B$41,IF(G3639&lt;31,'General Basis'!$B$42,IF(G3639&lt;36,'General Basis'!$B$43,IF(G3639&lt;41,'General Basis'!$B$44,IF(G3639&lt;46,'General Basis'!$B$45,IF(G3639&lt;51,'General Basis'!$B$46,IF(G3639&lt;56,'General Basis'!$B$47,IF(G3639&lt;60,'General Basis'!$B$48,IF(G3639&lt;65,'General Basis'!$B$49,'General Basis'!$B$50)))))))))))))</f>
        <v/>
      </c>
      <c r="BI3639" s="744" t="str">
        <f t="shared" si="1259"/>
        <v/>
      </c>
      <c r="BJ3639" s="747" t="str">
        <f t="shared" si="1266"/>
        <v/>
      </c>
      <c r="BK3639" s="498" t="str">
        <f t="shared" si="1260"/>
        <v/>
      </c>
      <c r="BL3639" s="498" t="str">
        <f t="shared" si="1261"/>
        <v/>
      </c>
    </row>
    <row r="3640" spans="1:64" x14ac:dyDescent="0.25">
      <c r="A3640" s="762">
        <f t="shared" si="1262"/>
        <v>3635</v>
      </c>
      <c r="B3640" s="229"/>
      <c r="C3640" s="223"/>
      <c r="D3640" s="224"/>
      <c r="E3640" s="225"/>
      <c r="F3640" s="1036" t="str">
        <f t="shared" si="1268"/>
        <v/>
      </c>
      <c r="G3640" s="1037" t="str">
        <f t="shared" si="1263"/>
        <v/>
      </c>
      <c r="H3640" s="225"/>
      <c r="I3640" s="1013"/>
      <c r="J3640" s="1013"/>
      <c r="K3640" s="1028"/>
      <c r="L3640" s="1035" t="str">
        <f t="shared" si="1267"/>
        <v/>
      </c>
      <c r="S3640" s="498"/>
      <c r="AJ3640" s="498"/>
      <c r="AM3640" s="498">
        <f t="shared" si="1248"/>
        <v>0</v>
      </c>
      <c r="AN3640" s="498">
        <f t="shared" si="1249"/>
        <v>0</v>
      </c>
      <c r="AO3640" s="498">
        <f t="shared" si="1250"/>
        <v>0</v>
      </c>
      <c r="AP3640" s="498">
        <f t="shared" si="1269"/>
        <v>0</v>
      </c>
      <c r="AQ3640" s="498">
        <f t="shared" si="1264"/>
        <v>0</v>
      </c>
      <c r="AU3640" s="498">
        <f t="shared" si="1251"/>
        <v>0</v>
      </c>
      <c r="AV3640" s="498">
        <f t="shared" si="1252"/>
        <v>0</v>
      </c>
      <c r="AW3640" s="498">
        <f t="shared" si="1253"/>
        <v>0</v>
      </c>
      <c r="AX3640" s="498">
        <f t="shared" si="1254"/>
        <v>0</v>
      </c>
      <c r="AY3640" s="498">
        <f t="shared" si="1255"/>
        <v>0</v>
      </c>
      <c r="BB3640" s="498" t="str">
        <f t="shared" si="1256"/>
        <v/>
      </c>
      <c r="BC3640" s="743" t="str">
        <f t="shared" si="1257"/>
        <v/>
      </c>
      <c r="BD3640" s="743" t="str">
        <f t="shared" si="1258"/>
        <v/>
      </c>
      <c r="BE3640" s="743" t="str">
        <f>IF(D3640="","",VLOOKUP(D3640,'General Basis'!$J$39:$K$46,2,0))</f>
        <v/>
      </c>
      <c r="BF3640" s="744" t="str">
        <f>IF(D3640="","",VLOOKUP(D3640,'General Basis'!$J$39:$L$46,3,0))</f>
        <v/>
      </c>
      <c r="BG3640" s="744" t="str">
        <f t="shared" si="1265"/>
        <v/>
      </c>
      <c r="BH3640" s="744" t="str">
        <f>IF(G3640="","",IF(BF3640="Abu Dhabi",IF(G3640&lt;18,'General Basis'!$C$39,IF(G3640&lt;41,'General Basis'!$C$40,IF(G3640&lt;60,'General Basis'!$C$41,IF(G3640&lt;65,'General Basis'!$C$42,'General Basis'!$C$43)))),IF(G3640&lt;11,'General Basis'!$B$39,IF(G3640&lt;18,'General Basis'!$B$40,IF(G3640&lt;26,'General Basis'!$B$41,IF(G3640&lt;31,'General Basis'!$B$42,IF(G3640&lt;36,'General Basis'!$B$43,IF(G3640&lt;41,'General Basis'!$B$44,IF(G3640&lt;46,'General Basis'!$B$45,IF(G3640&lt;51,'General Basis'!$B$46,IF(G3640&lt;56,'General Basis'!$B$47,IF(G3640&lt;60,'General Basis'!$B$48,IF(G3640&lt;65,'General Basis'!$B$49,'General Basis'!$B$50)))))))))))))</f>
        <v/>
      </c>
      <c r="BI3640" s="744" t="str">
        <f t="shared" si="1259"/>
        <v/>
      </c>
      <c r="BJ3640" s="747" t="str">
        <f t="shared" si="1266"/>
        <v/>
      </c>
      <c r="BK3640" s="498" t="str">
        <f t="shared" si="1260"/>
        <v/>
      </c>
      <c r="BL3640" s="498" t="str">
        <f t="shared" si="1261"/>
        <v/>
      </c>
    </row>
    <row r="3641" spans="1:64" x14ac:dyDescent="0.25">
      <c r="A3641" s="762">
        <f t="shared" si="1262"/>
        <v>3636</v>
      </c>
      <c r="B3641" s="229"/>
      <c r="C3641" s="223"/>
      <c r="D3641" s="224"/>
      <c r="E3641" s="225"/>
      <c r="F3641" s="1036" t="str">
        <f t="shared" si="1268"/>
        <v/>
      </c>
      <c r="G3641" s="1037" t="str">
        <f t="shared" si="1263"/>
        <v/>
      </c>
      <c r="H3641" s="225"/>
      <c r="I3641" s="1013"/>
      <c r="J3641" s="1013"/>
      <c r="K3641" s="1028"/>
      <c r="L3641" s="1035" t="str">
        <f t="shared" si="1267"/>
        <v/>
      </c>
      <c r="S3641" s="498"/>
      <c r="AJ3641" s="498"/>
      <c r="AM3641" s="498">
        <f t="shared" si="1248"/>
        <v>0</v>
      </c>
      <c r="AN3641" s="498">
        <f t="shared" si="1249"/>
        <v>0</v>
      </c>
      <c r="AO3641" s="498">
        <f t="shared" si="1250"/>
        <v>0</v>
      </c>
      <c r="AP3641" s="498">
        <f t="shared" si="1269"/>
        <v>0</v>
      </c>
      <c r="AQ3641" s="498">
        <f t="shared" si="1264"/>
        <v>0</v>
      </c>
      <c r="AU3641" s="498">
        <f t="shared" si="1251"/>
        <v>0</v>
      </c>
      <c r="AV3641" s="498">
        <f t="shared" si="1252"/>
        <v>0</v>
      </c>
      <c r="AW3641" s="498">
        <f t="shared" si="1253"/>
        <v>0</v>
      </c>
      <c r="AX3641" s="498">
        <f t="shared" si="1254"/>
        <v>0</v>
      </c>
      <c r="AY3641" s="498">
        <f t="shared" si="1255"/>
        <v>0</v>
      </c>
      <c r="BB3641" s="498" t="str">
        <f t="shared" si="1256"/>
        <v/>
      </c>
      <c r="BC3641" s="743" t="str">
        <f t="shared" si="1257"/>
        <v/>
      </c>
      <c r="BD3641" s="743" t="str">
        <f t="shared" si="1258"/>
        <v/>
      </c>
      <c r="BE3641" s="743" t="str">
        <f>IF(D3641="","",VLOOKUP(D3641,'General Basis'!$J$39:$K$46,2,0))</f>
        <v/>
      </c>
      <c r="BF3641" s="744" t="str">
        <f>IF(D3641="","",VLOOKUP(D3641,'General Basis'!$J$39:$L$46,3,0))</f>
        <v/>
      </c>
      <c r="BG3641" s="744" t="str">
        <f t="shared" si="1265"/>
        <v/>
      </c>
      <c r="BH3641" s="744" t="str">
        <f>IF(G3641="","",IF(BF3641="Abu Dhabi",IF(G3641&lt;18,'General Basis'!$C$39,IF(G3641&lt;41,'General Basis'!$C$40,IF(G3641&lt;60,'General Basis'!$C$41,IF(G3641&lt;65,'General Basis'!$C$42,'General Basis'!$C$43)))),IF(G3641&lt;11,'General Basis'!$B$39,IF(G3641&lt;18,'General Basis'!$B$40,IF(G3641&lt;26,'General Basis'!$B$41,IF(G3641&lt;31,'General Basis'!$B$42,IF(G3641&lt;36,'General Basis'!$B$43,IF(G3641&lt;41,'General Basis'!$B$44,IF(G3641&lt;46,'General Basis'!$B$45,IF(G3641&lt;51,'General Basis'!$B$46,IF(G3641&lt;56,'General Basis'!$B$47,IF(G3641&lt;60,'General Basis'!$B$48,IF(G3641&lt;65,'General Basis'!$B$49,'General Basis'!$B$50)))))))))))))</f>
        <v/>
      </c>
      <c r="BI3641" s="744" t="str">
        <f t="shared" si="1259"/>
        <v/>
      </c>
      <c r="BJ3641" s="747" t="str">
        <f t="shared" si="1266"/>
        <v/>
      </c>
      <c r="BK3641" s="498" t="str">
        <f t="shared" si="1260"/>
        <v/>
      </c>
      <c r="BL3641" s="498" t="str">
        <f t="shared" si="1261"/>
        <v/>
      </c>
    </row>
    <row r="3642" spans="1:64" x14ac:dyDescent="0.25">
      <c r="A3642" s="762">
        <f t="shared" si="1262"/>
        <v>3637</v>
      </c>
      <c r="B3642" s="229"/>
      <c r="C3642" s="223"/>
      <c r="D3642" s="224"/>
      <c r="E3642" s="225"/>
      <c r="F3642" s="1036" t="str">
        <f t="shared" si="1268"/>
        <v/>
      </c>
      <c r="G3642" s="1037" t="str">
        <f t="shared" si="1263"/>
        <v/>
      </c>
      <c r="H3642" s="225"/>
      <c r="I3642" s="1013"/>
      <c r="J3642" s="1013"/>
      <c r="K3642" s="1028"/>
      <c r="L3642" s="1035" t="str">
        <f t="shared" si="1267"/>
        <v/>
      </c>
      <c r="S3642" s="498"/>
      <c r="AJ3642" s="498"/>
      <c r="AM3642" s="498">
        <f t="shared" si="1248"/>
        <v>0</v>
      </c>
      <c r="AN3642" s="498">
        <f t="shared" si="1249"/>
        <v>0</v>
      </c>
      <c r="AO3642" s="498">
        <f t="shared" si="1250"/>
        <v>0</v>
      </c>
      <c r="AP3642" s="498">
        <f t="shared" si="1269"/>
        <v>0</v>
      </c>
      <c r="AQ3642" s="498">
        <f t="shared" si="1264"/>
        <v>0</v>
      </c>
      <c r="AU3642" s="498">
        <f t="shared" si="1251"/>
        <v>0</v>
      </c>
      <c r="AV3642" s="498">
        <f t="shared" si="1252"/>
        <v>0</v>
      </c>
      <c r="AW3642" s="498">
        <f t="shared" si="1253"/>
        <v>0</v>
      </c>
      <c r="AX3642" s="498">
        <f t="shared" si="1254"/>
        <v>0</v>
      </c>
      <c r="AY3642" s="498">
        <f t="shared" si="1255"/>
        <v>0</v>
      </c>
      <c r="BB3642" s="498" t="str">
        <f t="shared" si="1256"/>
        <v/>
      </c>
      <c r="BC3642" s="743" t="str">
        <f t="shared" si="1257"/>
        <v/>
      </c>
      <c r="BD3642" s="743" t="str">
        <f t="shared" si="1258"/>
        <v/>
      </c>
      <c r="BE3642" s="743" t="str">
        <f>IF(D3642="","",VLOOKUP(D3642,'General Basis'!$J$39:$K$46,2,0))</f>
        <v/>
      </c>
      <c r="BF3642" s="744" t="str">
        <f>IF(D3642="","",VLOOKUP(D3642,'General Basis'!$J$39:$L$46,3,0))</f>
        <v/>
      </c>
      <c r="BG3642" s="744" t="str">
        <f t="shared" si="1265"/>
        <v/>
      </c>
      <c r="BH3642" s="744" t="str">
        <f>IF(G3642="","",IF(BF3642="Abu Dhabi",IF(G3642&lt;18,'General Basis'!$C$39,IF(G3642&lt;41,'General Basis'!$C$40,IF(G3642&lt;60,'General Basis'!$C$41,IF(G3642&lt;65,'General Basis'!$C$42,'General Basis'!$C$43)))),IF(G3642&lt;11,'General Basis'!$B$39,IF(G3642&lt;18,'General Basis'!$B$40,IF(G3642&lt;26,'General Basis'!$B$41,IF(G3642&lt;31,'General Basis'!$B$42,IF(G3642&lt;36,'General Basis'!$B$43,IF(G3642&lt;41,'General Basis'!$B$44,IF(G3642&lt;46,'General Basis'!$B$45,IF(G3642&lt;51,'General Basis'!$B$46,IF(G3642&lt;56,'General Basis'!$B$47,IF(G3642&lt;60,'General Basis'!$B$48,IF(G3642&lt;65,'General Basis'!$B$49,'General Basis'!$B$50)))))))))))))</f>
        <v/>
      </c>
      <c r="BI3642" s="744" t="str">
        <f t="shared" si="1259"/>
        <v/>
      </c>
      <c r="BJ3642" s="747" t="str">
        <f t="shared" si="1266"/>
        <v/>
      </c>
      <c r="BK3642" s="498" t="str">
        <f t="shared" si="1260"/>
        <v/>
      </c>
      <c r="BL3642" s="498" t="str">
        <f t="shared" si="1261"/>
        <v/>
      </c>
    </row>
    <row r="3643" spans="1:64" x14ac:dyDescent="0.25">
      <c r="A3643" s="762">
        <f t="shared" si="1262"/>
        <v>3638</v>
      </c>
      <c r="B3643" s="229"/>
      <c r="C3643" s="223"/>
      <c r="D3643" s="224"/>
      <c r="E3643" s="225"/>
      <c r="F3643" s="1036" t="str">
        <f t="shared" si="1268"/>
        <v/>
      </c>
      <c r="G3643" s="1037" t="str">
        <f t="shared" si="1263"/>
        <v/>
      </c>
      <c r="H3643" s="225"/>
      <c r="I3643" s="1013"/>
      <c r="J3643" s="1013"/>
      <c r="K3643" s="1028"/>
      <c r="L3643" s="1035" t="str">
        <f t="shared" si="1267"/>
        <v/>
      </c>
      <c r="S3643" s="498"/>
      <c r="AJ3643" s="498"/>
      <c r="AM3643" s="498">
        <f t="shared" si="1248"/>
        <v>0</v>
      </c>
      <c r="AN3643" s="498">
        <f t="shared" si="1249"/>
        <v>0</v>
      </c>
      <c r="AO3643" s="498">
        <f t="shared" si="1250"/>
        <v>0</v>
      </c>
      <c r="AP3643" s="498">
        <f t="shared" si="1269"/>
        <v>0</v>
      </c>
      <c r="AQ3643" s="498">
        <f t="shared" si="1264"/>
        <v>0</v>
      </c>
      <c r="AU3643" s="498">
        <f t="shared" si="1251"/>
        <v>0</v>
      </c>
      <c r="AV3643" s="498">
        <f t="shared" si="1252"/>
        <v>0</v>
      </c>
      <c r="AW3643" s="498">
        <f t="shared" si="1253"/>
        <v>0</v>
      </c>
      <c r="AX3643" s="498">
        <f t="shared" si="1254"/>
        <v>0</v>
      </c>
      <c r="AY3643" s="498">
        <f t="shared" si="1255"/>
        <v>0</v>
      </c>
      <c r="BB3643" s="498" t="str">
        <f t="shared" si="1256"/>
        <v/>
      </c>
      <c r="BC3643" s="743" t="str">
        <f t="shared" si="1257"/>
        <v/>
      </c>
      <c r="BD3643" s="743" t="str">
        <f t="shared" si="1258"/>
        <v/>
      </c>
      <c r="BE3643" s="743" t="str">
        <f>IF(D3643="","",VLOOKUP(D3643,'General Basis'!$J$39:$K$46,2,0))</f>
        <v/>
      </c>
      <c r="BF3643" s="744" t="str">
        <f>IF(D3643="","",VLOOKUP(D3643,'General Basis'!$J$39:$L$46,3,0))</f>
        <v/>
      </c>
      <c r="BG3643" s="744" t="str">
        <f t="shared" si="1265"/>
        <v/>
      </c>
      <c r="BH3643" s="744" t="str">
        <f>IF(G3643="","",IF(BF3643="Abu Dhabi",IF(G3643&lt;18,'General Basis'!$C$39,IF(G3643&lt;41,'General Basis'!$C$40,IF(G3643&lt;60,'General Basis'!$C$41,IF(G3643&lt;65,'General Basis'!$C$42,'General Basis'!$C$43)))),IF(G3643&lt;11,'General Basis'!$B$39,IF(G3643&lt;18,'General Basis'!$B$40,IF(G3643&lt;26,'General Basis'!$B$41,IF(G3643&lt;31,'General Basis'!$B$42,IF(G3643&lt;36,'General Basis'!$B$43,IF(G3643&lt;41,'General Basis'!$B$44,IF(G3643&lt;46,'General Basis'!$B$45,IF(G3643&lt;51,'General Basis'!$B$46,IF(G3643&lt;56,'General Basis'!$B$47,IF(G3643&lt;60,'General Basis'!$B$48,IF(G3643&lt;65,'General Basis'!$B$49,'General Basis'!$B$50)))))))))))))</f>
        <v/>
      </c>
      <c r="BI3643" s="744" t="str">
        <f t="shared" si="1259"/>
        <v/>
      </c>
      <c r="BJ3643" s="747" t="str">
        <f t="shared" si="1266"/>
        <v/>
      </c>
      <c r="BK3643" s="498" t="str">
        <f t="shared" si="1260"/>
        <v/>
      </c>
      <c r="BL3643" s="498" t="str">
        <f t="shared" si="1261"/>
        <v/>
      </c>
    </row>
    <row r="3644" spans="1:64" x14ac:dyDescent="0.25">
      <c r="A3644" s="762">
        <f t="shared" si="1262"/>
        <v>3639</v>
      </c>
      <c r="B3644" s="229"/>
      <c r="C3644" s="223"/>
      <c r="D3644" s="224"/>
      <c r="E3644" s="225"/>
      <c r="F3644" s="1036" t="str">
        <f t="shared" si="1268"/>
        <v/>
      </c>
      <c r="G3644" s="1037" t="str">
        <f t="shared" si="1263"/>
        <v/>
      </c>
      <c r="H3644" s="225"/>
      <c r="I3644" s="1013"/>
      <c r="J3644" s="1013"/>
      <c r="K3644" s="1028"/>
      <c r="L3644" s="1035" t="str">
        <f t="shared" si="1267"/>
        <v/>
      </c>
      <c r="S3644" s="498"/>
      <c r="AJ3644" s="498"/>
      <c r="AM3644" s="498">
        <f t="shared" si="1248"/>
        <v>0</v>
      </c>
      <c r="AN3644" s="498">
        <f t="shared" si="1249"/>
        <v>0</v>
      </c>
      <c r="AO3644" s="498">
        <f t="shared" si="1250"/>
        <v>0</v>
      </c>
      <c r="AP3644" s="498">
        <f t="shared" si="1269"/>
        <v>0</v>
      </c>
      <c r="AQ3644" s="498">
        <f t="shared" si="1264"/>
        <v>0</v>
      </c>
      <c r="AU3644" s="498">
        <f t="shared" si="1251"/>
        <v>0</v>
      </c>
      <c r="AV3644" s="498">
        <f t="shared" si="1252"/>
        <v>0</v>
      </c>
      <c r="AW3644" s="498">
        <f t="shared" si="1253"/>
        <v>0</v>
      </c>
      <c r="AX3644" s="498">
        <f t="shared" si="1254"/>
        <v>0</v>
      </c>
      <c r="AY3644" s="498">
        <f t="shared" si="1255"/>
        <v>0</v>
      </c>
      <c r="BB3644" s="498" t="str">
        <f t="shared" si="1256"/>
        <v/>
      </c>
      <c r="BC3644" s="743" t="str">
        <f t="shared" si="1257"/>
        <v/>
      </c>
      <c r="BD3644" s="743" t="str">
        <f t="shared" si="1258"/>
        <v/>
      </c>
      <c r="BE3644" s="743" t="str">
        <f>IF(D3644="","",VLOOKUP(D3644,'General Basis'!$J$39:$K$46,2,0))</f>
        <v/>
      </c>
      <c r="BF3644" s="744" t="str">
        <f>IF(D3644="","",VLOOKUP(D3644,'General Basis'!$J$39:$L$46,3,0))</f>
        <v/>
      </c>
      <c r="BG3644" s="744" t="str">
        <f t="shared" si="1265"/>
        <v/>
      </c>
      <c r="BH3644" s="744" t="str">
        <f>IF(G3644="","",IF(BF3644="Abu Dhabi",IF(G3644&lt;18,'General Basis'!$C$39,IF(G3644&lt;41,'General Basis'!$C$40,IF(G3644&lt;60,'General Basis'!$C$41,IF(G3644&lt;65,'General Basis'!$C$42,'General Basis'!$C$43)))),IF(G3644&lt;11,'General Basis'!$B$39,IF(G3644&lt;18,'General Basis'!$B$40,IF(G3644&lt;26,'General Basis'!$B$41,IF(G3644&lt;31,'General Basis'!$B$42,IF(G3644&lt;36,'General Basis'!$B$43,IF(G3644&lt;41,'General Basis'!$B$44,IF(G3644&lt;46,'General Basis'!$B$45,IF(G3644&lt;51,'General Basis'!$B$46,IF(G3644&lt;56,'General Basis'!$B$47,IF(G3644&lt;60,'General Basis'!$B$48,IF(G3644&lt;65,'General Basis'!$B$49,'General Basis'!$B$50)))))))))))))</f>
        <v/>
      </c>
      <c r="BI3644" s="744" t="str">
        <f t="shared" si="1259"/>
        <v/>
      </c>
      <c r="BJ3644" s="747" t="str">
        <f t="shared" si="1266"/>
        <v/>
      </c>
      <c r="BK3644" s="498" t="str">
        <f t="shared" si="1260"/>
        <v/>
      </c>
      <c r="BL3644" s="498" t="str">
        <f t="shared" si="1261"/>
        <v/>
      </c>
    </row>
    <row r="3645" spans="1:64" x14ac:dyDescent="0.25">
      <c r="A3645" s="762">
        <f t="shared" si="1262"/>
        <v>3640</v>
      </c>
      <c r="B3645" s="229"/>
      <c r="C3645" s="223"/>
      <c r="D3645" s="224"/>
      <c r="E3645" s="225"/>
      <c r="F3645" s="1036" t="str">
        <f t="shared" si="1268"/>
        <v/>
      </c>
      <c r="G3645" s="1037" t="str">
        <f t="shared" si="1263"/>
        <v/>
      </c>
      <c r="H3645" s="225"/>
      <c r="I3645" s="1013"/>
      <c r="J3645" s="1013"/>
      <c r="K3645" s="1028"/>
      <c r="L3645" s="1035" t="str">
        <f t="shared" si="1267"/>
        <v/>
      </c>
      <c r="S3645" s="498"/>
      <c r="AJ3645" s="498"/>
      <c r="AM3645" s="498">
        <f t="shared" si="1248"/>
        <v>0</v>
      </c>
      <c r="AN3645" s="498">
        <f t="shared" si="1249"/>
        <v>0</v>
      </c>
      <c r="AO3645" s="498">
        <f t="shared" si="1250"/>
        <v>0</v>
      </c>
      <c r="AP3645" s="498">
        <f t="shared" si="1269"/>
        <v>0</v>
      </c>
      <c r="AQ3645" s="498">
        <f t="shared" si="1264"/>
        <v>0</v>
      </c>
      <c r="AU3645" s="498">
        <f t="shared" si="1251"/>
        <v>0</v>
      </c>
      <c r="AV3645" s="498">
        <f t="shared" si="1252"/>
        <v>0</v>
      </c>
      <c r="AW3645" s="498">
        <f t="shared" si="1253"/>
        <v>0</v>
      </c>
      <c r="AX3645" s="498">
        <f t="shared" si="1254"/>
        <v>0</v>
      </c>
      <c r="AY3645" s="498">
        <f t="shared" si="1255"/>
        <v>0</v>
      </c>
      <c r="BB3645" s="498" t="str">
        <f t="shared" si="1256"/>
        <v/>
      </c>
      <c r="BC3645" s="743" t="str">
        <f t="shared" si="1257"/>
        <v/>
      </c>
      <c r="BD3645" s="743" t="str">
        <f t="shared" si="1258"/>
        <v/>
      </c>
      <c r="BE3645" s="743" t="str">
        <f>IF(D3645="","",VLOOKUP(D3645,'General Basis'!$J$39:$K$46,2,0))</f>
        <v/>
      </c>
      <c r="BF3645" s="744" t="str">
        <f>IF(D3645="","",VLOOKUP(D3645,'General Basis'!$J$39:$L$46,3,0))</f>
        <v/>
      </c>
      <c r="BG3645" s="744" t="str">
        <f t="shared" si="1265"/>
        <v/>
      </c>
      <c r="BH3645" s="744" t="str">
        <f>IF(G3645="","",IF(BF3645="Abu Dhabi",IF(G3645&lt;18,'General Basis'!$C$39,IF(G3645&lt;41,'General Basis'!$C$40,IF(G3645&lt;60,'General Basis'!$C$41,IF(G3645&lt;65,'General Basis'!$C$42,'General Basis'!$C$43)))),IF(G3645&lt;11,'General Basis'!$B$39,IF(G3645&lt;18,'General Basis'!$B$40,IF(G3645&lt;26,'General Basis'!$B$41,IF(G3645&lt;31,'General Basis'!$B$42,IF(G3645&lt;36,'General Basis'!$B$43,IF(G3645&lt;41,'General Basis'!$B$44,IF(G3645&lt;46,'General Basis'!$B$45,IF(G3645&lt;51,'General Basis'!$B$46,IF(G3645&lt;56,'General Basis'!$B$47,IF(G3645&lt;60,'General Basis'!$B$48,IF(G3645&lt;65,'General Basis'!$B$49,'General Basis'!$B$50)))))))))))))</f>
        <v/>
      </c>
      <c r="BI3645" s="744" t="str">
        <f t="shared" si="1259"/>
        <v/>
      </c>
      <c r="BJ3645" s="747" t="str">
        <f t="shared" si="1266"/>
        <v/>
      </c>
      <c r="BK3645" s="498" t="str">
        <f t="shared" si="1260"/>
        <v/>
      </c>
      <c r="BL3645" s="498" t="str">
        <f t="shared" si="1261"/>
        <v/>
      </c>
    </row>
    <row r="3646" spans="1:64" x14ac:dyDescent="0.25">
      <c r="A3646" s="762">
        <f t="shared" si="1262"/>
        <v>3641</v>
      </c>
      <c r="B3646" s="229"/>
      <c r="C3646" s="223"/>
      <c r="D3646" s="224"/>
      <c r="E3646" s="225"/>
      <c r="F3646" s="1036" t="str">
        <f t="shared" si="1268"/>
        <v/>
      </c>
      <c r="G3646" s="1037" t="str">
        <f t="shared" si="1263"/>
        <v/>
      </c>
      <c r="H3646" s="225"/>
      <c r="I3646" s="1013"/>
      <c r="J3646" s="1013"/>
      <c r="K3646" s="1028"/>
      <c r="L3646" s="1035" t="str">
        <f t="shared" si="1267"/>
        <v/>
      </c>
      <c r="S3646" s="498"/>
      <c r="AJ3646" s="498"/>
      <c r="AM3646" s="498">
        <f t="shared" si="1248"/>
        <v>0</v>
      </c>
      <c r="AN3646" s="498">
        <f t="shared" si="1249"/>
        <v>0</v>
      </c>
      <c r="AO3646" s="498">
        <f t="shared" si="1250"/>
        <v>0</v>
      </c>
      <c r="AP3646" s="498">
        <f t="shared" si="1269"/>
        <v>0</v>
      </c>
      <c r="AQ3646" s="498">
        <f t="shared" si="1264"/>
        <v>0</v>
      </c>
      <c r="AU3646" s="498">
        <f t="shared" si="1251"/>
        <v>0</v>
      </c>
      <c r="AV3646" s="498">
        <f t="shared" si="1252"/>
        <v>0</v>
      </c>
      <c r="AW3646" s="498">
        <f t="shared" si="1253"/>
        <v>0</v>
      </c>
      <c r="AX3646" s="498">
        <f t="shared" si="1254"/>
        <v>0</v>
      </c>
      <c r="AY3646" s="498">
        <f t="shared" si="1255"/>
        <v>0</v>
      </c>
      <c r="BB3646" s="498" t="str">
        <f t="shared" si="1256"/>
        <v/>
      </c>
      <c r="BC3646" s="743" t="str">
        <f t="shared" si="1257"/>
        <v/>
      </c>
      <c r="BD3646" s="743" t="str">
        <f t="shared" si="1258"/>
        <v/>
      </c>
      <c r="BE3646" s="743" t="str">
        <f>IF(D3646="","",VLOOKUP(D3646,'General Basis'!$J$39:$K$46,2,0))</f>
        <v/>
      </c>
      <c r="BF3646" s="744" t="str">
        <f>IF(D3646="","",VLOOKUP(D3646,'General Basis'!$J$39:$L$46,3,0))</f>
        <v/>
      </c>
      <c r="BG3646" s="744" t="str">
        <f t="shared" si="1265"/>
        <v/>
      </c>
      <c r="BH3646" s="744" t="str">
        <f>IF(G3646="","",IF(BF3646="Abu Dhabi",IF(G3646&lt;18,'General Basis'!$C$39,IF(G3646&lt;41,'General Basis'!$C$40,IF(G3646&lt;60,'General Basis'!$C$41,IF(G3646&lt;65,'General Basis'!$C$42,'General Basis'!$C$43)))),IF(G3646&lt;11,'General Basis'!$B$39,IF(G3646&lt;18,'General Basis'!$B$40,IF(G3646&lt;26,'General Basis'!$B$41,IF(G3646&lt;31,'General Basis'!$B$42,IF(G3646&lt;36,'General Basis'!$B$43,IF(G3646&lt;41,'General Basis'!$B$44,IF(G3646&lt;46,'General Basis'!$B$45,IF(G3646&lt;51,'General Basis'!$B$46,IF(G3646&lt;56,'General Basis'!$B$47,IF(G3646&lt;60,'General Basis'!$B$48,IF(G3646&lt;65,'General Basis'!$B$49,'General Basis'!$B$50)))))))))))))</f>
        <v/>
      </c>
      <c r="BI3646" s="744" t="str">
        <f t="shared" si="1259"/>
        <v/>
      </c>
      <c r="BJ3646" s="747" t="str">
        <f t="shared" si="1266"/>
        <v/>
      </c>
      <c r="BK3646" s="498" t="str">
        <f t="shared" si="1260"/>
        <v/>
      </c>
      <c r="BL3646" s="498" t="str">
        <f t="shared" si="1261"/>
        <v/>
      </c>
    </row>
    <row r="3647" spans="1:64" x14ac:dyDescent="0.25">
      <c r="A3647" s="762">
        <f t="shared" si="1262"/>
        <v>3642</v>
      </c>
      <c r="B3647" s="229"/>
      <c r="C3647" s="223"/>
      <c r="D3647" s="224"/>
      <c r="E3647" s="225"/>
      <c r="F3647" s="1036" t="str">
        <f t="shared" si="1268"/>
        <v/>
      </c>
      <c r="G3647" s="1037" t="str">
        <f t="shared" si="1263"/>
        <v/>
      </c>
      <c r="H3647" s="225"/>
      <c r="I3647" s="1013"/>
      <c r="J3647" s="1013"/>
      <c r="K3647" s="1028"/>
      <c r="L3647" s="1035" t="str">
        <f t="shared" si="1267"/>
        <v/>
      </c>
      <c r="S3647" s="498"/>
      <c r="AJ3647" s="498"/>
      <c r="AM3647" s="498">
        <f t="shared" si="1248"/>
        <v>0</v>
      </c>
      <c r="AN3647" s="498">
        <f t="shared" si="1249"/>
        <v>0</v>
      </c>
      <c r="AO3647" s="498">
        <f t="shared" si="1250"/>
        <v>0</v>
      </c>
      <c r="AP3647" s="498">
        <f t="shared" si="1269"/>
        <v>0</v>
      </c>
      <c r="AQ3647" s="498">
        <f t="shared" si="1264"/>
        <v>0</v>
      </c>
      <c r="AU3647" s="498">
        <f t="shared" si="1251"/>
        <v>0</v>
      </c>
      <c r="AV3647" s="498">
        <f t="shared" si="1252"/>
        <v>0</v>
      </c>
      <c r="AW3647" s="498">
        <f t="shared" si="1253"/>
        <v>0</v>
      </c>
      <c r="AX3647" s="498">
        <f t="shared" si="1254"/>
        <v>0</v>
      </c>
      <c r="AY3647" s="498">
        <f t="shared" si="1255"/>
        <v>0</v>
      </c>
      <c r="BB3647" s="498" t="str">
        <f t="shared" si="1256"/>
        <v/>
      </c>
      <c r="BC3647" s="743" t="str">
        <f t="shared" si="1257"/>
        <v/>
      </c>
      <c r="BD3647" s="743" t="str">
        <f t="shared" si="1258"/>
        <v/>
      </c>
      <c r="BE3647" s="743" t="str">
        <f>IF(D3647="","",VLOOKUP(D3647,'General Basis'!$J$39:$K$46,2,0))</f>
        <v/>
      </c>
      <c r="BF3647" s="744" t="str">
        <f>IF(D3647="","",VLOOKUP(D3647,'General Basis'!$J$39:$L$46,3,0))</f>
        <v/>
      </c>
      <c r="BG3647" s="744" t="str">
        <f t="shared" si="1265"/>
        <v/>
      </c>
      <c r="BH3647" s="744" t="str">
        <f>IF(G3647="","",IF(BF3647="Abu Dhabi",IF(G3647&lt;18,'General Basis'!$C$39,IF(G3647&lt;41,'General Basis'!$C$40,IF(G3647&lt;60,'General Basis'!$C$41,IF(G3647&lt;65,'General Basis'!$C$42,'General Basis'!$C$43)))),IF(G3647&lt;11,'General Basis'!$B$39,IF(G3647&lt;18,'General Basis'!$B$40,IF(G3647&lt;26,'General Basis'!$B$41,IF(G3647&lt;31,'General Basis'!$B$42,IF(G3647&lt;36,'General Basis'!$B$43,IF(G3647&lt;41,'General Basis'!$B$44,IF(G3647&lt;46,'General Basis'!$B$45,IF(G3647&lt;51,'General Basis'!$B$46,IF(G3647&lt;56,'General Basis'!$B$47,IF(G3647&lt;60,'General Basis'!$B$48,IF(G3647&lt;65,'General Basis'!$B$49,'General Basis'!$B$50)))))))))))))</f>
        <v/>
      </c>
      <c r="BI3647" s="744" t="str">
        <f t="shared" si="1259"/>
        <v/>
      </c>
      <c r="BJ3647" s="747" t="str">
        <f t="shared" si="1266"/>
        <v/>
      </c>
      <c r="BK3647" s="498" t="str">
        <f t="shared" si="1260"/>
        <v/>
      </c>
      <c r="BL3647" s="498" t="str">
        <f t="shared" si="1261"/>
        <v/>
      </c>
    </row>
    <row r="3648" spans="1:64" x14ac:dyDescent="0.25">
      <c r="A3648" s="762">
        <f t="shared" si="1262"/>
        <v>3643</v>
      </c>
      <c r="B3648" s="229"/>
      <c r="C3648" s="223"/>
      <c r="D3648" s="224"/>
      <c r="E3648" s="225"/>
      <c r="F3648" s="1036" t="str">
        <f t="shared" si="1268"/>
        <v/>
      </c>
      <c r="G3648" s="1037" t="str">
        <f t="shared" si="1263"/>
        <v/>
      </c>
      <c r="H3648" s="225"/>
      <c r="I3648" s="1013"/>
      <c r="J3648" s="1013"/>
      <c r="K3648" s="1028"/>
      <c r="L3648" s="1035" t="str">
        <f t="shared" si="1267"/>
        <v/>
      </c>
      <c r="S3648" s="498"/>
      <c r="AJ3648" s="498"/>
      <c r="AM3648" s="498">
        <f t="shared" si="1248"/>
        <v>0</v>
      </c>
      <c r="AN3648" s="498">
        <f t="shared" si="1249"/>
        <v>0</v>
      </c>
      <c r="AO3648" s="498">
        <f t="shared" si="1250"/>
        <v>0</v>
      </c>
      <c r="AP3648" s="498">
        <f t="shared" si="1269"/>
        <v>0</v>
      </c>
      <c r="AQ3648" s="498">
        <f t="shared" si="1264"/>
        <v>0</v>
      </c>
      <c r="AU3648" s="498">
        <f t="shared" si="1251"/>
        <v>0</v>
      </c>
      <c r="AV3648" s="498">
        <f t="shared" si="1252"/>
        <v>0</v>
      </c>
      <c r="AW3648" s="498">
        <f t="shared" si="1253"/>
        <v>0</v>
      </c>
      <c r="AX3648" s="498">
        <f t="shared" si="1254"/>
        <v>0</v>
      </c>
      <c r="AY3648" s="498">
        <f t="shared" si="1255"/>
        <v>0</v>
      </c>
      <c r="BB3648" s="498" t="str">
        <f t="shared" si="1256"/>
        <v/>
      </c>
      <c r="BC3648" s="743" t="str">
        <f t="shared" si="1257"/>
        <v/>
      </c>
      <c r="BD3648" s="743" t="str">
        <f t="shared" si="1258"/>
        <v/>
      </c>
      <c r="BE3648" s="743" t="str">
        <f>IF(D3648="","",VLOOKUP(D3648,'General Basis'!$J$39:$K$46,2,0))</f>
        <v/>
      </c>
      <c r="BF3648" s="744" t="str">
        <f>IF(D3648="","",VLOOKUP(D3648,'General Basis'!$J$39:$L$46,3,0))</f>
        <v/>
      </c>
      <c r="BG3648" s="744" t="str">
        <f t="shared" si="1265"/>
        <v/>
      </c>
      <c r="BH3648" s="744" t="str">
        <f>IF(G3648="","",IF(BF3648="Abu Dhabi",IF(G3648&lt;18,'General Basis'!$C$39,IF(G3648&lt;41,'General Basis'!$C$40,IF(G3648&lt;60,'General Basis'!$C$41,IF(G3648&lt;65,'General Basis'!$C$42,'General Basis'!$C$43)))),IF(G3648&lt;11,'General Basis'!$B$39,IF(G3648&lt;18,'General Basis'!$B$40,IF(G3648&lt;26,'General Basis'!$B$41,IF(G3648&lt;31,'General Basis'!$B$42,IF(G3648&lt;36,'General Basis'!$B$43,IF(G3648&lt;41,'General Basis'!$B$44,IF(G3648&lt;46,'General Basis'!$B$45,IF(G3648&lt;51,'General Basis'!$B$46,IF(G3648&lt;56,'General Basis'!$B$47,IF(G3648&lt;60,'General Basis'!$B$48,IF(G3648&lt;65,'General Basis'!$B$49,'General Basis'!$B$50)))))))))))))</f>
        <v/>
      </c>
      <c r="BI3648" s="744" t="str">
        <f t="shared" si="1259"/>
        <v/>
      </c>
      <c r="BJ3648" s="747" t="str">
        <f t="shared" si="1266"/>
        <v/>
      </c>
      <c r="BK3648" s="498" t="str">
        <f t="shared" si="1260"/>
        <v/>
      </c>
      <c r="BL3648" s="498" t="str">
        <f t="shared" si="1261"/>
        <v/>
      </c>
    </row>
    <row r="3649" spans="1:64" x14ac:dyDescent="0.25">
      <c r="A3649" s="762">
        <f t="shared" si="1262"/>
        <v>3644</v>
      </c>
      <c r="B3649" s="229"/>
      <c r="C3649" s="223"/>
      <c r="D3649" s="224"/>
      <c r="E3649" s="225"/>
      <c r="F3649" s="1036" t="str">
        <f t="shared" si="1268"/>
        <v/>
      </c>
      <c r="G3649" s="1037" t="str">
        <f t="shared" si="1263"/>
        <v/>
      </c>
      <c r="H3649" s="225"/>
      <c r="I3649" s="1013"/>
      <c r="J3649" s="1013"/>
      <c r="K3649" s="1028"/>
      <c r="L3649" s="1035" t="str">
        <f t="shared" si="1267"/>
        <v/>
      </c>
      <c r="S3649" s="498"/>
      <c r="AJ3649" s="498"/>
      <c r="AM3649" s="498">
        <f t="shared" si="1248"/>
        <v>0</v>
      </c>
      <c r="AN3649" s="498">
        <f t="shared" si="1249"/>
        <v>0</v>
      </c>
      <c r="AO3649" s="498">
        <f t="shared" si="1250"/>
        <v>0</v>
      </c>
      <c r="AP3649" s="498">
        <f t="shared" si="1269"/>
        <v>0</v>
      </c>
      <c r="AQ3649" s="498">
        <f t="shared" si="1264"/>
        <v>0</v>
      </c>
      <c r="AU3649" s="498">
        <f t="shared" si="1251"/>
        <v>0</v>
      </c>
      <c r="AV3649" s="498">
        <f t="shared" si="1252"/>
        <v>0</v>
      </c>
      <c r="AW3649" s="498">
        <f t="shared" si="1253"/>
        <v>0</v>
      </c>
      <c r="AX3649" s="498">
        <f t="shared" si="1254"/>
        <v>0</v>
      </c>
      <c r="AY3649" s="498">
        <f t="shared" si="1255"/>
        <v>0</v>
      </c>
      <c r="BB3649" s="498" t="str">
        <f t="shared" si="1256"/>
        <v/>
      </c>
      <c r="BC3649" s="743" t="str">
        <f t="shared" si="1257"/>
        <v/>
      </c>
      <c r="BD3649" s="743" t="str">
        <f t="shared" si="1258"/>
        <v/>
      </c>
      <c r="BE3649" s="743" t="str">
        <f>IF(D3649="","",VLOOKUP(D3649,'General Basis'!$J$39:$K$46,2,0))</f>
        <v/>
      </c>
      <c r="BF3649" s="744" t="str">
        <f>IF(D3649="","",VLOOKUP(D3649,'General Basis'!$J$39:$L$46,3,0))</f>
        <v/>
      </c>
      <c r="BG3649" s="744" t="str">
        <f t="shared" si="1265"/>
        <v/>
      </c>
      <c r="BH3649" s="744" t="str">
        <f>IF(G3649="","",IF(BF3649="Abu Dhabi",IF(G3649&lt;18,'General Basis'!$C$39,IF(G3649&lt;41,'General Basis'!$C$40,IF(G3649&lt;60,'General Basis'!$C$41,IF(G3649&lt;65,'General Basis'!$C$42,'General Basis'!$C$43)))),IF(G3649&lt;11,'General Basis'!$B$39,IF(G3649&lt;18,'General Basis'!$B$40,IF(G3649&lt;26,'General Basis'!$B$41,IF(G3649&lt;31,'General Basis'!$B$42,IF(G3649&lt;36,'General Basis'!$B$43,IF(G3649&lt;41,'General Basis'!$B$44,IF(G3649&lt;46,'General Basis'!$B$45,IF(G3649&lt;51,'General Basis'!$B$46,IF(G3649&lt;56,'General Basis'!$B$47,IF(G3649&lt;60,'General Basis'!$B$48,IF(G3649&lt;65,'General Basis'!$B$49,'General Basis'!$B$50)))))))))))))</f>
        <v/>
      </c>
      <c r="BI3649" s="744" t="str">
        <f t="shared" si="1259"/>
        <v/>
      </c>
      <c r="BJ3649" s="747" t="str">
        <f t="shared" si="1266"/>
        <v/>
      </c>
      <c r="BK3649" s="498" t="str">
        <f t="shared" si="1260"/>
        <v/>
      </c>
      <c r="BL3649" s="498" t="str">
        <f t="shared" si="1261"/>
        <v/>
      </c>
    </row>
    <row r="3650" spans="1:64" x14ac:dyDescent="0.25">
      <c r="A3650" s="762">
        <f t="shared" si="1262"/>
        <v>3645</v>
      </c>
      <c r="B3650" s="229"/>
      <c r="C3650" s="223"/>
      <c r="D3650" s="224"/>
      <c r="E3650" s="225"/>
      <c r="F3650" s="1036" t="str">
        <f t="shared" si="1268"/>
        <v/>
      </c>
      <c r="G3650" s="1037" t="str">
        <f t="shared" si="1263"/>
        <v/>
      </c>
      <c r="H3650" s="225"/>
      <c r="I3650" s="1013"/>
      <c r="J3650" s="1013"/>
      <c r="K3650" s="1028"/>
      <c r="L3650" s="1035" t="str">
        <f t="shared" si="1267"/>
        <v/>
      </c>
      <c r="S3650" s="498"/>
      <c r="AJ3650" s="498"/>
      <c r="AM3650" s="498">
        <f t="shared" si="1248"/>
        <v>0</v>
      </c>
      <c r="AN3650" s="498">
        <f t="shared" si="1249"/>
        <v>0</v>
      </c>
      <c r="AO3650" s="498">
        <f t="shared" si="1250"/>
        <v>0</v>
      </c>
      <c r="AP3650" s="498">
        <f t="shared" si="1269"/>
        <v>0</v>
      </c>
      <c r="AQ3650" s="498">
        <f t="shared" si="1264"/>
        <v>0</v>
      </c>
      <c r="AU3650" s="498">
        <f t="shared" si="1251"/>
        <v>0</v>
      </c>
      <c r="AV3650" s="498">
        <f t="shared" si="1252"/>
        <v>0</v>
      </c>
      <c r="AW3650" s="498">
        <f t="shared" si="1253"/>
        <v>0</v>
      </c>
      <c r="AX3650" s="498">
        <f t="shared" si="1254"/>
        <v>0</v>
      </c>
      <c r="AY3650" s="498">
        <f t="shared" si="1255"/>
        <v>0</v>
      </c>
      <c r="BB3650" s="498" t="str">
        <f t="shared" si="1256"/>
        <v/>
      </c>
      <c r="BC3650" s="743" t="str">
        <f t="shared" si="1257"/>
        <v/>
      </c>
      <c r="BD3650" s="743" t="str">
        <f t="shared" si="1258"/>
        <v/>
      </c>
      <c r="BE3650" s="743" t="str">
        <f>IF(D3650="","",VLOOKUP(D3650,'General Basis'!$J$39:$K$46,2,0))</f>
        <v/>
      </c>
      <c r="BF3650" s="744" t="str">
        <f>IF(D3650="","",VLOOKUP(D3650,'General Basis'!$J$39:$L$46,3,0))</f>
        <v/>
      </c>
      <c r="BG3650" s="744" t="str">
        <f t="shared" si="1265"/>
        <v/>
      </c>
      <c r="BH3650" s="744" t="str">
        <f>IF(G3650="","",IF(BF3650="Abu Dhabi",IF(G3650&lt;18,'General Basis'!$C$39,IF(G3650&lt;41,'General Basis'!$C$40,IF(G3650&lt;60,'General Basis'!$C$41,IF(G3650&lt;65,'General Basis'!$C$42,'General Basis'!$C$43)))),IF(G3650&lt;11,'General Basis'!$B$39,IF(G3650&lt;18,'General Basis'!$B$40,IF(G3650&lt;26,'General Basis'!$B$41,IF(G3650&lt;31,'General Basis'!$B$42,IF(G3650&lt;36,'General Basis'!$B$43,IF(G3650&lt;41,'General Basis'!$B$44,IF(G3650&lt;46,'General Basis'!$B$45,IF(G3650&lt;51,'General Basis'!$B$46,IF(G3650&lt;56,'General Basis'!$B$47,IF(G3650&lt;60,'General Basis'!$B$48,IF(G3650&lt;65,'General Basis'!$B$49,'General Basis'!$B$50)))))))))))))</f>
        <v/>
      </c>
      <c r="BI3650" s="744" t="str">
        <f t="shared" si="1259"/>
        <v/>
      </c>
      <c r="BJ3650" s="747" t="str">
        <f t="shared" si="1266"/>
        <v/>
      </c>
      <c r="BK3650" s="498" t="str">
        <f t="shared" si="1260"/>
        <v/>
      </c>
      <c r="BL3650" s="498" t="str">
        <f t="shared" si="1261"/>
        <v/>
      </c>
    </row>
    <row r="3651" spans="1:64" x14ac:dyDescent="0.25">
      <c r="A3651" s="762">
        <f t="shared" si="1262"/>
        <v>3646</v>
      </c>
      <c r="B3651" s="229"/>
      <c r="C3651" s="223"/>
      <c r="D3651" s="224"/>
      <c r="E3651" s="225"/>
      <c r="F3651" s="1036" t="str">
        <f t="shared" si="1268"/>
        <v/>
      </c>
      <c r="G3651" s="1037" t="str">
        <f t="shared" si="1263"/>
        <v/>
      </c>
      <c r="H3651" s="225"/>
      <c r="I3651" s="1013"/>
      <c r="J3651" s="1013"/>
      <c r="K3651" s="1028"/>
      <c r="L3651" s="1035" t="str">
        <f t="shared" si="1267"/>
        <v/>
      </c>
      <c r="S3651" s="498"/>
      <c r="AJ3651" s="498"/>
      <c r="AM3651" s="498">
        <f t="shared" si="1248"/>
        <v>0</v>
      </c>
      <c r="AN3651" s="498">
        <f t="shared" si="1249"/>
        <v>0</v>
      </c>
      <c r="AO3651" s="498">
        <f t="shared" si="1250"/>
        <v>0</v>
      </c>
      <c r="AP3651" s="498">
        <f t="shared" si="1269"/>
        <v>0</v>
      </c>
      <c r="AQ3651" s="498">
        <f t="shared" si="1264"/>
        <v>0</v>
      </c>
      <c r="AU3651" s="498">
        <f t="shared" si="1251"/>
        <v>0</v>
      </c>
      <c r="AV3651" s="498">
        <f t="shared" si="1252"/>
        <v>0</v>
      </c>
      <c r="AW3651" s="498">
        <f t="shared" si="1253"/>
        <v>0</v>
      </c>
      <c r="AX3651" s="498">
        <f t="shared" si="1254"/>
        <v>0</v>
      </c>
      <c r="AY3651" s="498">
        <f t="shared" si="1255"/>
        <v>0</v>
      </c>
      <c r="BB3651" s="498" t="str">
        <f t="shared" si="1256"/>
        <v/>
      </c>
      <c r="BC3651" s="743" t="str">
        <f t="shared" si="1257"/>
        <v/>
      </c>
      <c r="BD3651" s="743" t="str">
        <f t="shared" si="1258"/>
        <v/>
      </c>
      <c r="BE3651" s="743" t="str">
        <f>IF(D3651="","",VLOOKUP(D3651,'General Basis'!$J$39:$K$46,2,0))</f>
        <v/>
      </c>
      <c r="BF3651" s="744" t="str">
        <f>IF(D3651="","",VLOOKUP(D3651,'General Basis'!$J$39:$L$46,3,0))</f>
        <v/>
      </c>
      <c r="BG3651" s="744" t="str">
        <f t="shared" si="1265"/>
        <v/>
      </c>
      <c r="BH3651" s="744" t="str">
        <f>IF(G3651="","",IF(BF3651="Abu Dhabi",IF(G3651&lt;18,'General Basis'!$C$39,IF(G3651&lt;41,'General Basis'!$C$40,IF(G3651&lt;60,'General Basis'!$C$41,IF(G3651&lt;65,'General Basis'!$C$42,'General Basis'!$C$43)))),IF(G3651&lt;11,'General Basis'!$B$39,IF(G3651&lt;18,'General Basis'!$B$40,IF(G3651&lt;26,'General Basis'!$B$41,IF(G3651&lt;31,'General Basis'!$B$42,IF(G3651&lt;36,'General Basis'!$B$43,IF(G3651&lt;41,'General Basis'!$B$44,IF(G3651&lt;46,'General Basis'!$B$45,IF(G3651&lt;51,'General Basis'!$B$46,IF(G3651&lt;56,'General Basis'!$B$47,IF(G3651&lt;60,'General Basis'!$B$48,IF(G3651&lt;65,'General Basis'!$B$49,'General Basis'!$B$50)))))))))))))</f>
        <v/>
      </c>
      <c r="BI3651" s="744" t="str">
        <f t="shared" si="1259"/>
        <v/>
      </c>
      <c r="BJ3651" s="747" t="str">
        <f t="shared" si="1266"/>
        <v/>
      </c>
      <c r="BK3651" s="498" t="str">
        <f t="shared" si="1260"/>
        <v/>
      </c>
      <c r="BL3651" s="498" t="str">
        <f t="shared" si="1261"/>
        <v/>
      </c>
    </row>
    <row r="3652" spans="1:64" x14ac:dyDescent="0.25">
      <c r="A3652" s="762">
        <f t="shared" si="1262"/>
        <v>3647</v>
      </c>
      <c r="B3652" s="229"/>
      <c r="C3652" s="223"/>
      <c r="D3652" s="224"/>
      <c r="E3652" s="225"/>
      <c r="F3652" s="1036" t="str">
        <f t="shared" si="1268"/>
        <v/>
      </c>
      <c r="G3652" s="1037" t="str">
        <f t="shared" si="1263"/>
        <v/>
      </c>
      <c r="H3652" s="225"/>
      <c r="I3652" s="1013"/>
      <c r="J3652" s="1013"/>
      <c r="K3652" s="1028"/>
      <c r="L3652" s="1035" t="str">
        <f t="shared" si="1267"/>
        <v/>
      </c>
      <c r="S3652" s="498"/>
      <c r="AJ3652" s="498"/>
      <c r="AM3652" s="498">
        <f t="shared" si="1248"/>
        <v>0</v>
      </c>
      <c r="AN3652" s="498">
        <f t="shared" si="1249"/>
        <v>0</v>
      </c>
      <c r="AO3652" s="498">
        <f t="shared" si="1250"/>
        <v>0</v>
      </c>
      <c r="AP3652" s="498">
        <f t="shared" si="1269"/>
        <v>0</v>
      </c>
      <c r="AQ3652" s="498">
        <f t="shared" si="1264"/>
        <v>0</v>
      </c>
      <c r="AU3652" s="498">
        <f t="shared" si="1251"/>
        <v>0</v>
      </c>
      <c r="AV3652" s="498">
        <f t="shared" si="1252"/>
        <v>0</v>
      </c>
      <c r="AW3652" s="498">
        <f t="shared" si="1253"/>
        <v>0</v>
      </c>
      <c r="AX3652" s="498">
        <f t="shared" si="1254"/>
        <v>0</v>
      </c>
      <c r="AY3652" s="498">
        <f t="shared" si="1255"/>
        <v>0</v>
      </c>
      <c r="BB3652" s="498" t="str">
        <f t="shared" si="1256"/>
        <v/>
      </c>
      <c r="BC3652" s="743" t="str">
        <f t="shared" si="1257"/>
        <v/>
      </c>
      <c r="BD3652" s="743" t="str">
        <f t="shared" si="1258"/>
        <v/>
      </c>
      <c r="BE3652" s="743" t="str">
        <f>IF(D3652="","",VLOOKUP(D3652,'General Basis'!$J$39:$K$46,2,0))</f>
        <v/>
      </c>
      <c r="BF3652" s="744" t="str">
        <f>IF(D3652="","",VLOOKUP(D3652,'General Basis'!$J$39:$L$46,3,0))</f>
        <v/>
      </c>
      <c r="BG3652" s="744" t="str">
        <f t="shared" si="1265"/>
        <v/>
      </c>
      <c r="BH3652" s="744" t="str">
        <f>IF(G3652="","",IF(BF3652="Abu Dhabi",IF(G3652&lt;18,'General Basis'!$C$39,IF(G3652&lt;41,'General Basis'!$C$40,IF(G3652&lt;60,'General Basis'!$C$41,IF(G3652&lt;65,'General Basis'!$C$42,'General Basis'!$C$43)))),IF(G3652&lt;11,'General Basis'!$B$39,IF(G3652&lt;18,'General Basis'!$B$40,IF(G3652&lt;26,'General Basis'!$B$41,IF(G3652&lt;31,'General Basis'!$B$42,IF(G3652&lt;36,'General Basis'!$B$43,IF(G3652&lt;41,'General Basis'!$B$44,IF(G3652&lt;46,'General Basis'!$B$45,IF(G3652&lt;51,'General Basis'!$B$46,IF(G3652&lt;56,'General Basis'!$B$47,IF(G3652&lt;60,'General Basis'!$B$48,IF(G3652&lt;65,'General Basis'!$B$49,'General Basis'!$B$50)))))))))))))</f>
        <v/>
      </c>
      <c r="BI3652" s="744" t="str">
        <f t="shared" si="1259"/>
        <v/>
      </c>
      <c r="BJ3652" s="747" t="str">
        <f t="shared" si="1266"/>
        <v/>
      </c>
      <c r="BK3652" s="498" t="str">
        <f t="shared" si="1260"/>
        <v/>
      </c>
      <c r="BL3652" s="498" t="str">
        <f t="shared" si="1261"/>
        <v/>
      </c>
    </row>
    <row r="3653" spans="1:64" x14ac:dyDescent="0.25">
      <c r="A3653" s="762">
        <f t="shared" si="1262"/>
        <v>3648</v>
      </c>
      <c r="B3653" s="229"/>
      <c r="C3653" s="223"/>
      <c r="D3653" s="224"/>
      <c r="E3653" s="225"/>
      <c r="F3653" s="1036" t="str">
        <f t="shared" si="1268"/>
        <v/>
      </c>
      <c r="G3653" s="1037" t="str">
        <f t="shared" si="1263"/>
        <v/>
      </c>
      <c r="H3653" s="225"/>
      <c r="I3653" s="1013"/>
      <c r="J3653" s="1013"/>
      <c r="K3653" s="1028"/>
      <c r="L3653" s="1035" t="str">
        <f t="shared" si="1267"/>
        <v/>
      </c>
      <c r="S3653" s="498"/>
      <c r="AJ3653" s="498"/>
      <c r="AM3653" s="498">
        <f t="shared" si="1248"/>
        <v>0</v>
      </c>
      <c r="AN3653" s="498">
        <f t="shared" si="1249"/>
        <v>0</v>
      </c>
      <c r="AO3653" s="498">
        <f t="shared" si="1250"/>
        <v>0</v>
      </c>
      <c r="AP3653" s="498">
        <f t="shared" si="1269"/>
        <v>0</v>
      </c>
      <c r="AQ3653" s="498">
        <f t="shared" si="1264"/>
        <v>0</v>
      </c>
      <c r="AU3653" s="498">
        <f t="shared" si="1251"/>
        <v>0</v>
      </c>
      <c r="AV3653" s="498">
        <f t="shared" si="1252"/>
        <v>0</v>
      </c>
      <c r="AW3653" s="498">
        <f t="shared" si="1253"/>
        <v>0</v>
      </c>
      <c r="AX3653" s="498">
        <f t="shared" si="1254"/>
        <v>0</v>
      </c>
      <c r="AY3653" s="498">
        <f t="shared" si="1255"/>
        <v>0</v>
      </c>
      <c r="BB3653" s="498" t="str">
        <f t="shared" si="1256"/>
        <v/>
      </c>
      <c r="BC3653" s="743" t="str">
        <f t="shared" si="1257"/>
        <v/>
      </c>
      <c r="BD3653" s="743" t="str">
        <f t="shared" si="1258"/>
        <v/>
      </c>
      <c r="BE3653" s="743" t="str">
        <f>IF(D3653="","",VLOOKUP(D3653,'General Basis'!$J$39:$K$46,2,0))</f>
        <v/>
      </c>
      <c r="BF3653" s="744" t="str">
        <f>IF(D3653="","",VLOOKUP(D3653,'General Basis'!$J$39:$L$46,3,0))</f>
        <v/>
      </c>
      <c r="BG3653" s="744" t="str">
        <f t="shared" si="1265"/>
        <v/>
      </c>
      <c r="BH3653" s="744" t="str">
        <f>IF(G3653="","",IF(BF3653="Abu Dhabi",IF(G3653&lt;18,'General Basis'!$C$39,IF(G3653&lt;41,'General Basis'!$C$40,IF(G3653&lt;60,'General Basis'!$C$41,IF(G3653&lt;65,'General Basis'!$C$42,'General Basis'!$C$43)))),IF(G3653&lt;11,'General Basis'!$B$39,IF(G3653&lt;18,'General Basis'!$B$40,IF(G3653&lt;26,'General Basis'!$B$41,IF(G3653&lt;31,'General Basis'!$B$42,IF(G3653&lt;36,'General Basis'!$B$43,IF(G3653&lt;41,'General Basis'!$B$44,IF(G3653&lt;46,'General Basis'!$B$45,IF(G3653&lt;51,'General Basis'!$B$46,IF(G3653&lt;56,'General Basis'!$B$47,IF(G3653&lt;60,'General Basis'!$B$48,IF(G3653&lt;65,'General Basis'!$B$49,'General Basis'!$B$50)))))))))))))</f>
        <v/>
      </c>
      <c r="BI3653" s="744" t="str">
        <f t="shared" si="1259"/>
        <v/>
      </c>
      <c r="BJ3653" s="747" t="str">
        <f t="shared" si="1266"/>
        <v/>
      </c>
      <c r="BK3653" s="498" t="str">
        <f t="shared" si="1260"/>
        <v/>
      </c>
      <c r="BL3653" s="498" t="str">
        <f t="shared" si="1261"/>
        <v/>
      </c>
    </row>
    <row r="3654" spans="1:64" x14ac:dyDescent="0.25">
      <c r="A3654" s="762">
        <f t="shared" si="1262"/>
        <v>3649</v>
      </c>
      <c r="B3654" s="229"/>
      <c r="C3654" s="223"/>
      <c r="D3654" s="224"/>
      <c r="E3654" s="225"/>
      <c r="F3654" s="1036" t="str">
        <f t="shared" si="1268"/>
        <v/>
      </c>
      <c r="G3654" s="1037" t="str">
        <f t="shared" si="1263"/>
        <v/>
      </c>
      <c r="H3654" s="225"/>
      <c r="I3654" s="1013"/>
      <c r="J3654" s="1013"/>
      <c r="K3654" s="1028"/>
      <c r="L3654" s="1035" t="str">
        <f t="shared" si="1267"/>
        <v/>
      </c>
      <c r="S3654" s="498"/>
      <c r="AJ3654" s="498"/>
      <c r="AM3654" s="498">
        <f t="shared" ref="AM3654:AM3717" si="1270">IF(ISTEXT(B3654),1,0)</f>
        <v>0</v>
      </c>
      <c r="AN3654" s="498">
        <f t="shared" ref="AN3654:AN3717" si="1271">IF(ISBLANK(B3654),0,IF(B3654&lt;$AK$6,1,0))</f>
        <v>0</v>
      </c>
      <c r="AO3654" s="498">
        <f t="shared" ref="AO3654:AO3717" si="1272">IF(ISBLANK(B3654),0,IF(B3654&gt;$AK$7,1,0))</f>
        <v>0</v>
      </c>
      <c r="AP3654" s="498">
        <f t="shared" si="1269"/>
        <v>0</v>
      </c>
      <c r="AQ3654" s="498">
        <f t="shared" si="1264"/>
        <v>0</v>
      </c>
      <c r="AU3654" s="498">
        <f t="shared" ref="AU3654:AU3717" si="1273">IF(ISBLANK(B3654),0,1)</f>
        <v>0</v>
      </c>
      <c r="AV3654" s="498">
        <f t="shared" ref="AV3654:AV3717" si="1274">IF(ISBLANK(C3654),0,1)</f>
        <v>0</v>
      </c>
      <c r="AW3654" s="498">
        <f t="shared" ref="AW3654:AW3717" si="1275">IF(ISBLANK(D3654),0,1)</f>
        <v>0</v>
      </c>
      <c r="AX3654" s="498">
        <f t="shared" ref="AX3654:AX3717" si="1276">IF(ISBLANK(E3654),0,1)</f>
        <v>0</v>
      </c>
      <c r="AY3654" s="498">
        <f t="shared" ref="AY3654:AY3717" si="1277">IF(ISBLANK(H3654),0,1)</f>
        <v>0</v>
      </c>
      <c r="BB3654" s="498" t="str">
        <f t="shared" ref="BB3654:BB3717" si="1278">IF(E3654="Principal","Principal",IF(E3654="","","Other"))</f>
        <v/>
      </c>
      <c r="BC3654" s="743" t="str">
        <f t="shared" ref="BC3654:BC3717" si="1279">IF(D3654="","",D3654)</f>
        <v/>
      </c>
      <c r="BD3654" s="743" t="str">
        <f t="shared" ref="BD3654:BD3717" si="1280">IF(E3654="Principal","Employee",IF(E3654="","","Dependent"))</f>
        <v/>
      </c>
      <c r="BE3654" s="743" t="str">
        <f>IF(D3654="","",VLOOKUP(D3654,'General Basis'!$J$39:$K$46,2,0))</f>
        <v/>
      </c>
      <c r="BF3654" s="744" t="str">
        <f>IF(D3654="","",VLOOKUP(D3654,'General Basis'!$J$39:$L$46,3,0))</f>
        <v/>
      </c>
      <c r="BG3654" s="744" t="str">
        <f t="shared" si="1265"/>
        <v/>
      </c>
      <c r="BH3654" s="744" t="str">
        <f>IF(G3654="","",IF(BF3654="Abu Dhabi",IF(G3654&lt;18,'General Basis'!$C$39,IF(G3654&lt;41,'General Basis'!$C$40,IF(G3654&lt;60,'General Basis'!$C$41,IF(G3654&lt;65,'General Basis'!$C$42,'General Basis'!$C$43)))),IF(G3654&lt;11,'General Basis'!$B$39,IF(G3654&lt;18,'General Basis'!$B$40,IF(G3654&lt;26,'General Basis'!$B$41,IF(G3654&lt;31,'General Basis'!$B$42,IF(G3654&lt;36,'General Basis'!$B$43,IF(G3654&lt;41,'General Basis'!$B$44,IF(G3654&lt;46,'General Basis'!$B$45,IF(G3654&lt;51,'General Basis'!$B$46,IF(G3654&lt;56,'General Basis'!$B$47,IF(G3654&lt;60,'General Basis'!$B$48,IF(G3654&lt;65,'General Basis'!$B$49,'General Basis'!$B$50)))))))))))))</f>
        <v/>
      </c>
      <c r="BI3654" s="744" t="str">
        <f t="shared" ref="BI3654:BI3717" si="1281">IF(C3654="","",IF(C3654="M","Male","Female"))</f>
        <v/>
      </c>
      <c r="BJ3654" s="747" t="str">
        <f t="shared" si="1266"/>
        <v/>
      </c>
      <c r="BK3654" s="498" t="str">
        <f t="shared" ref="BK3654:BK3717" si="1282">IF(BD3654="","",IF(AND(BD3654="Employee",BI3654="Male",BF3654="Abu Dhabi",BE3654=GN_Plus),VLOOKUP(BH3654,AUH_MALE_EMP,2,0),IF(AND(BD3654="Employee",BI3654="Male",BF3654="Abu Dhabi",BE3654=GN),VLOOKUP(BH3654,AUH_MALE_EMP,3,0),IF(AND(BD3654="Employee",BI3654="Male",BF3654="Abu Dhabi",BE3654=RN_Plus),VLOOKUP(BH3654,AUH_MALE_EMP,4,0),IF(AND(BD3654="Employee",BI3654="Male",BF3654="Abu Dhabi",BE3654=RN),VLOOKUP(BH3654,AUH_MALE_EMP,5,0),IF(AND(BD3654="Employee",BI3654="Male",BF3654="Abu Dhabi",BE3654=RN_2),VLOOKUP(BH3654,AUH_MALE_EMP,6,0),IF(AND(BD3654="Employee",BI3654="Male",BF3654="Abu Dhabi",BE3654=RN2_minus),VLOOKUP(BH3654,AUH_MALE_EMP,7,0),IF(AND(BD3654="Employee",BI3654="Male",BF3654="Abu Dhabi",BE3654=RN_3),VLOOKUP(BH3654,AUH_MALE_EMP,8,0),IF(AND(BD3654="Employee",BI3654="Male",BF3654="Abu Dhabi",BE3654=VN),VLOOKUP(BH3654,AUH_MALE_EMP,9,0),IF(BD3654="","",IF(AND(BD3654="Employee",BI3654="Female",BF3654="Abu Dhabi",BE3654=GN_Plus),VLOOKUP(BH3654,AUH_FEMALE_EMP,2,0),IF(AND(BD3654="Employee",BI3654="Female",BF3654="Abu Dhabi",BE3654=GN),VLOOKUP(BH3654,AUH_FEMALE_EMP,3,0),IF(AND(BD3654="Employee",BI3654="Female",BF3654="Abu Dhabi",BE3654=RN_Plus),VLOOKUP(BH3654,AUH_FEMALE_EMP,4,0),IF(AND(BD3654="Employee",BI3654="Female",BF3654="Abu Dhabi",BE3654=RN),VLOOKUP(BH3654,AUH_FEMALE_EMP,5,0),IF(AND(BD3654="Employee",BI3654="Female",BF3654="Abu Dhabi",BE3654=RN_2),VLOOKUP(BH3654,AUH_FEMALE_EMP,6,0),IF(AND(BD3654="Employee",BI3654="Female",BF3654="Abu Dhabi",BE3654=RN2_minus),VLOOKUP(BH3654,AUH_FEMALE_EMP,7,0),IF(AND(BD3654="Employee",BI3654="Female",BF3654="Abu Dhabi",BE3654=RN_3),VLOOKUP(BH3654,AUH_FEMALE_EMP,8,0),IF(AND(BD3654="Employee",BI3654="Female",BF3654="Abu Dhabi",BE3654=VN),VLOOKUP(BH3654,AUH_FEMALE_EMP,9,0),IF(BD3654="","",IF(AND(BD3654="Dependent",BI3654="Male",BF3654="Abu Dhabi",BE3654=GN_Plus),VLOOKUP(BH3654,AUH_MALE_DEP,2,0),IF(AND(BD3654="Dependent",BI3654="Male",BF3654="Abu Dhabi",BE3654=GN),VLOOKUP(BH3654,AUH_MALE_DEP,3,0),IF(AND(BD3654="Dependent",BI3654="Male",BF3654="Abu Dhabi",BE3654=RN_Plus),VLOOKUP(BH3654,AUH_MALE_DEP,4,0),IF(AND(BD3654="Dependent",BI3654="Male",BF3654="Abu Dhabi",BE3654=RN),VLOOKUP(BH3654,AUH_MALE_DEP,5,0),IF(AND(BD3654="Dependent",BI3654="Male",BF3654="Abu Dhabi",BE3654=RN_2),VLOOKUP(BH3654,AUH_MALE_DEP,6,0),IF(AND(BD3654="Dependent",BI3654="Male",BF3654="Abu Dhabi",BE3654=RN2_minus),VLOOKUP(BH3654,AUH_MALE_DEP,7,0),IF(AND(BD3654="Dependent",BI3654="Male",BF3654="Abu Dhabi",BE3654=RN_3),VLOOKUP(BH3654,AUH_MALE_DEP,8,0),IF(AND(BD3654="Dependent",BI3654="Male",BF3654="Abu Dhabi",BE3654=VN),VLOOKUP(BH3654,AUH_MALE_DEP,9,0),IF(BD3654="","",IF(AND(BD3654="Dependent",BI3654="Female",BF3654="Abu Dhabi",BE3654=GN_Plus),VLOOKUP(BH3654,AUH_FEMALE_DEP,2,0),IF(AND(BD3654="Dependent",BI3654="Female",BF3654="Abu Dhabi",BE3654=GN),VLOOKUP(BH3654,AUH_FEMALE_DEP,3,0),IF(AND(BD3654="Dependent",BI3654="Female",BF3654="Abu Dhabi",BE3654=RN_Plus),VLOOKUP(BH3654,AUH_FEMALE_DEP,4,0),IF(AND(BD3654="Dependent",BI3654="Female",BF3654="Abu Dhabi",BE3654=RN),VLOOKUP(BH3654,AUH_FEMALE_DEP,5,0),IF(AND(BD3654="Dependent",BI3654="Female",BF3654="Abu Dhabi",BE3654=RN_2),VLOOKUP(BH3654,AUH_FEMALE_DEP,6,0),IF(AND(BD3654="Dependent",BI3654="Female",BF3654="Abu Dhabi",BE3654=RN2_minus),VLOOKUP(BH3654,AUH_FEMALE_DEP,7,0),IF(AND(BD3654="Dependent",BI3654="Female",BF3654="Abu Dhabi",BE3654=RN_3),VLOOKUP(BH3654,AUH_FEMALE_DEP,8,0),IF(AND(BD3654="Dependent",BI3654="Female",BF3654="Abu Dhabi",BE3654=VN),VLOOKUP(BH3654,AUH_FEMALE_DEP,9,0),"ABC"))))))))))))))))))))))))))))))))))))</f>
        <v/>
      </c>
      <c r="BL3654" s="498" t="str">
        <f t="shared" ref="BL3654:BL3717" si="1283">IF(BD3654="","",IF(AND(BD3654="Employee",BI3654="Male",BF3654="Dubai",BE3654=GN_Plus),VLOOKUP(BH3654,DXB_MALE_EMP,2,0),IF(AND(BD3654="Employee",BI3654="Male",BF3654="Dubai",BE3654=GN),VLOOKUP(BH3654,DXB_MALE_EMP,3,0),IF(AND(BD3654="Employee",BI3654="Male",BF3654="Dubai",BE3654=RN_Plus),VLOOKUP(BH3654,DXB_MALE_EMP,4,0),IF(AND(BD3654="Employee",BI3654="Male",BF3654="Dubai",BE3654=RN),VLOOKUP(BH3654,DXB_MALE_EMP,5,0),IF(AND(BD3654="Employee",BI3654="Male",BF3654="Dubai",BE3654=RN_2),VLOOKUP(BH3654,DXB_MALE_EMP,6,0),IF(AND(BD3654="Employee",BI3654="Male",BF3654="Dubai",BE3654=RN2_minus),VLOOKUP(BH3654,DXB_MALE_EMP,7,0),IF(AND(BD3654="Employee",BI3654="Male",BF3654="Dubai",BE3654=RN_3),VLOOKUP(BH3654,DXB_MALE_EMP,8,0),IF(AND(BD3654="Employee",BI3654="Male",BF3654="Dubai",BE3654=VN),VLOOKUP(BH3654,DXB_MALE_EMP,9,0),IF(BD3654="","",IF(AND(BD3654="Employee",BI3654="Female",BF3654="Dubai",BE3654=GN_Plus),VLOOKUP(BH3654,DXB_FEMALE_EMP,2,0),IF(AND(BD3654="Employee",BI3654="Female",BF3654="Dubai",BE3654=GN),VLOOKUP(BH3654,DXB_FEMALE_EMP,3,0),IF(AND(BD3654="Employee",BI3654="Female",BF3654="Dubai",BE3654=RN_Plus),VLOOKUP(BH3654,DXB_FEMALE_EMP,4,0),IF(AND(BD3654="Employee",BI3654="Female",BF3654="Dubai",BE3654=RN),VLOOKUP(BH3654,DXB_FEMALE_EMP,5,0),IF(AND(BD3654="Employee",BI3654="Female",BF3654="Dubai",BE3654=RN_2),VLOOKUP(BH3654,DXB_FEMALE_EMP,6,0),IF(AND(BD3654="Employee",BI3654="Female",BF3654="Dubai",BE3654=RN2_minus),VLOOKUP(BH3654,DXB_FEMALE_EMP,7,0),IF(AND(BD3654="Employee",BI3654="Female",BF3654="Dubai",BE3654=RN_3),VLOOKUP(BH3654,DXB_FEMALE_EMP,8,0),IF(AND(BD3654="Employee",BI3654="Female",BF3654="Dubai",BE3654=VN),VLOOKUP(BH3654,DXB_FEMALE_EMP,9,0),IF(BD3654="","",IF(AND(BD3654="Dependent",BI3654="Male",BF3654="Dubai",BE3654=GN_Plus),VLOOKUP(BH3654,DXB_MALE_DEP,2,0),IF(AND(BD3654="Dependent",BI3654="Male",BF3654="Dubai",BE3654=GN),VLOOKUP(BH3654,DXB_MALE_DEP,3,0),IF(AND(BD3654="Dependent",BI3654="Male",BF3654="Dubai",BE3654=RN_Plus),VLOOKUP(BH3654,DXB_MALE_DEP,4,0),IF(AND(BD3654="Dependent",BI3654="Male",BF3654="Dubai",BE3654=RN),VLOOKUP(BH3654,DXB_MALE_DEP,5,0),IF(AND(BD3654="Dependent",BI3654="Male",BF3654="Dubai",BE3654=RN_2),VLOOKUP(BH3654,DXB_MALE_DEP,6,0),IF(AND(BD3654="Dependent",BI3654="Male",BF3654="Dubai",BE3654=RN2_minus),VLOOKUP(BH3654,DXB_MALE_DEP,7,0),IF(AND(BD3654="Dependent",BI3654="Male",BF3654="Dubai",BE3654=RN_3),VLOOKUP(BH3654,DXB_MALE_DEP,8,0),IF(AND(BD3654="Dependent",BI3654="Male",BF3654="Dubai",BE3654=VN),VLOOKUP(BH3654,DXB_MALE_DEP,9,0),IF(BD3654="","",IF(AND(BD3654="Dependent",BI3654="Female",BF3654="Dubai",BE3654=GN_Plus),VLOOKUP(BH3654,DXB_FEMALE_DEP,2,0),IF(AND(BD3654="Dependent",BI3654="Female",BF3654="Dubai",BE3654=GN),VLOOKUP(BH3654,DXB_FEMALE_DEP,3,0),IF(AND(BD3654="Dependent",BI3654="Female",BF3654="Dubai",BE3654=RN_Plus),VLOOKUP(BH3654,DXB_FEMALE_DEP,4,0),IF(AND(BD3654="Dependent",BI3654="Female",BF3654="Dubai",BE3654=RN),VLOOKUP(BH3654,DXB_FEMALE_DEP,5,0),IF(AND(BD3654="Dependent",BI3654="Female",BF3654="Dubai",BE3654=RN_2),VLOOKUP(BH3654,DXB_FEMALE_DEP,6,0),IF(AND(BD3654="Dependent",BI3654="Female",BF3654="Dubai",BE3654=RN2_minus),VLOOKUP(BH3654,DXB_FEMALE_DEP,7,0),IF(AND(BD3654="Dependent",BI3654="Female",BF3654="Dubai",BE3654=RN_3),VLOOKUP(BH3654,DXB_FEMALE_DEP,8,0),IF(AND(BD3654="Dependent",BI3654="Female",BF3654="Dubai",BE3654=VN),VLOOKUP(BH3654,DXB_FEMALE_DEP,9,0),"ABC"))))))))))))))))))))))))))))))))))))</f>
        <v/>
      </c>
    </row>
    <row r="3655" spans="1:64" x14ac:dyDescent="0.25">
      <c r="A3655" s="762">
        <f t="shared" ref="A3655:A3718" si="1284">+A3654+1</f>
        <v>3650</v>
      </c>
      <c r="B3655" s="229"/>
      <c r="C3655" s="223"/>
      <c r="D3655" s="224"/>
      <c r="E3655" s="225"/>
      <c r="F3655" s="1036" t="str">
        <f t="shared" si="1268"/>
        <v/>
      </c>
      <c r="G3655" s="1037" t="str">
        <f t="shared" ref="G3655:G3718" si="1285">IF(D3655="","",MAX(0,ROUNDUP(F3655,0)))</f>
        <v/>
      </c>
      <c r="H3655" s="225"/>
      <c r="I3655" s="1013"/>
      <c r="J3655" s="1013"/>
      <c r="K3655" s="1028"/>
      <c r="L3655" s="1035" t="str">
        <f t="shared" si="1267"/>
        <v/>
      </c>
      <c r="S3655" s="498"/>
      <c r="AJ3655" s="498"/>
      <c r="AM3655" s="498">
        <f t="shared" si="1270"/>
        <v>0</v>
      </c>
      <c r="AN3655" s="498">
        <f t="shared" si="1271"/>
        <v>0</v>
      </c>
      <c r="AO3655" s="498">
        <f t="shared" si="1272"/>
        <v>0</v>
      </c>
      <c r="AP3655" s="498">
        <f t="shared" si="1269"/>
        <v>0</v>
      </c>
      <c r="AQ3655" s="498">
        <f t="shared" ref="AQ3655:AQ3718" si="1286">IF(ISBLANK($B3655),0,IF(OR($H3655="Single",$H3655="Married"),0,1))</f>
        <v>0</v>
      </c>
      <c r="AU3655" s="498">
        <f t="shared" si="1273"/>
        <v>0</v>
      </c>
      <c r="AV3655" s="498">
        <f t="shared" si="1274"/>
        <v>0</v>
      </c>
      <c r="AW3655" s="498">
        <f t="shared" si="1275"/>
        <v>0</v>
      </c>
      <c r="AX3655" s="498">
        <f t="shared" si="1276"/>
        <v>0</v>
      </c>
      <c r="AY3655" s="498">
        <f t="shared" si="1277"/>
        <v>0</v>
      </c>
      <c r="BB3655" s="498" t="str">
        <f t="shared" si="1278"/>
        <v/>
      </c>
      <c r="BC3655" s="743" t="str">
        <f t="shared" si="1279"/>
        <v/>
      </c>
      <c r="BD3655" s="743" t="str">
        <f t="shared" si="1280"/>
        <v/>
      </c>
      <c r="BE3655" s="743" t="str">
        <f>IF(D3655="","",VLOOKUP(D3655,'General Basis'!$J$39:$K$46,2,0))</f>
        <v/>
      </c>
      <c r="BF3655" s="744" t="str">
        <f>IF(D3655="","",VLOOKUP(D3655,'General Basis'!$J$39:$L$46,3,0))</f>
        <v/>
      </c>
      <c r="BG3655" s="744" t="str">
        <f t="shared" ref="BG3655:BG3718" si="1287">BC3655&amp;BI3655</f>
        <v/>
      </c>
      <c r="BH3655" s="744" t="str">
        <f>IF(G3655="","",IF(BF3655="Abu Dhabi",IF(G3655&lt;18,'General Basis'!$C$39,IF(G3655&lt;41,'General Basis'!$C$40,IF(G3655&lt;60,'General Basis'!$C$41,IF(G3655&lt;65,'General Basis'!$C$42,'General Basis'!$C$43)))),IF(G3655&lt;11,'General Basis'!$B$39,IF(G3655&lt;18,'General Basis'!$B$40,IF(G3655&lt;26,'General Basis'!$B$41,IF(G3655&lt;31,'General Basis'!$B$42,IF(G3655&lt;36,'General Basis'!$B$43,IF(G3655&lt;41,'General Basis'!$B$44,IF(G3655&lt;46,'General Basis'!$B$45,IF(G3655&lt;51,'General Basis'!$B$46,IF(G3655&lt;56,'General Basis'!$B$47,IF(G3655&lt;60,'General Basis'!$B$48,IF(G3655&lt;65,'General Basis'!$B$49,'General Basis'!$B$50)))))))))))))</f>
        <v/>
      </c>
      <c r="BI3655" s="744" t="str">
        <f t="shared" si="1281"/>
        <v/>
      </c>
      <c r="BJ3655" s="747" t="str">
        <f t="shared" ref="BJ3655:BJ3718" si="1288">IF(BD3655="","",IF(BF3655="Abu Dhabi",BK3655,BL3655))</f>
        <v/>
      </c>
      <c r="BK3655" s="498" t="str">
        <f t="shared" si="1282"/>
        <v/>
      </c>
      <c r="BL3655" s="498" t="str">
        <f t="shared" si="1283"/>
        <v/>
      </c>
    </row>
    <row r="3656" spans="1:64" x14ac:dyDescent="0.25">
      <c r="A3656" s="762">
        <f t="shared" si="1284"/>
        <v>3651</v>
      </c>
      <c r="B3656" s="229"/>
      <c r="C3656" s="223"/>
      <c r="D3656" s="224"/>
      <c r="E3656" s="225"/>
      <c r="F3656" s="1036" t="str">
        <f t="shared" si="1268"/>
        <v/>
      </c>
      <c r="G3656" s="1037" t="str">
        <f t="shared" si="1285"/>
        <v/>
      </c>
      <c r="H3656" s="225"/>
      <c r="I3656" s="1013"/>
      <c r="J3656" s="1013"/>
      <c r="K3656" s="1028"/>
      <c r="L3656" s="1035" t="str">
        <f t="shared" ref="L3656:L3719" si="1289">IF(AND(E3656="Child",H3656="Married"),"Check the Marital Status of the Child. ",IF(AND(E3656="Child",F3656&gt;18),"Child Age exceed 18 years. ",IF(AND(E3656="Spouse",H3656="Single"),"Spouse is selected as Single. ","")))&amp;IF(K3656&gt;0,"UW Loading has been Applied","")</f>
        <v/>
      </c>
      <c r="S3656" s="498"/>
      <c r="AJ3656" s="498"/>
      <c r="AM3656" s="498">
        <f t="shared" si="1270"/>
        <v>0</v>
      </c>
      <c r="AN3656" s="498">
        <f t="shared" si="1271"/>
        <v>0</v>
      </c>
      <c r="AO3656" s="498">
        <f t="shared" si="1272"/>
        <v>0</v>
      </c>
      <c r="AP3656" s="498">
        <f t="shared" si="1269"/>
        <v>0</v>
      </c>
      <c r="AQ3656" s="498">
        <f t="shared" si="1286"/>
        <v>0</v>
      </c>
      <c r="AU3656" s="498">
        <f t="shared" si="1273"/>
        <v>0</v>
      </c>
      <c r="AV3656" s="498">
        <f t="shared" si="1274"/>
        <v>0</v>
      </c>
      <c r="AW3656" s="498">
        <f t="shared" si="1275"/>
        <v>0</v>
      </c>
      <c r="AX3656" s="498">
        <f t="shared" si="1276"/>
        <v>0</v>
      </c>
      <c r="AY3656" s="498">
        <f t="shared" si="1277"/>
        <v>0</v>
      </c>
      <c r="BB3656" s="498" t="str">
        <f t="shared" si="1278"/>
        <v/>
      </c>
      <c r="BC3656" s="743" t="str">
        <f t="shared" si="1279"/>
        <v/>
      </c>
      <c r="BD3656" s="743" t="str">
        <f t="shared" si="1280"/>
        <v/>
      </c>
      <c r="BE3656" s="743" t="str">
        <f>IF(D3656="","",VLOOKUP(D3656,'General Basis'!$J$39:$K$46,2,0))</f>
        <v/>
      </c>
      <c r="BF3656" s="744" t="str">
        <f>IF(D3656="","",VLOOKUP(D3656,'General Basis'!$J$39:$L$46,3,0))</f>
        <v/>
      </c>
      <c r="BG3656" s="744" t="str">
        <f t="shared" si="1287"/>
        <v/>
      </c>
      <c r="BH3656" s="744" t="str">
        <f>IF(G3656="","",IF(BF3656="Abu Dhabi",IF(G3656&lt;18,'General Basis'!$C$39,IF(G3656&lt;41,'General Basis'!$C$40,IF(G3656&lt;60,'General Basis'!$C$41,IF(G3656&lt;65,'General Basis'!$C$42,'General Basis'!$C$43)))),IF(G3656&lt;11,'General Basis'!$B$39,IF(G3656&lt;18,'General Basis'!$B$40,IF(G3656&lt;26,'General Basis'!$B$41,IF(G3656&lt;31,'General Basis'!$B$42,IF(G3656&lt;36,'General Basis'!$B$43,IF(G3656&lt;41,'General Basis'!$B$44,IF(G3656&lt;46,'General Basis'!$B$45,IF(G3656&lt;51,'General Basis'!$B$46,IF(G3656&lt;56,'General Basis'!$B$47,IF(G3656&lt;60,'General Basis'!$B$48,IF(G3656&lt;65,'General Basis'!$B$49,'General Basis'!$B$50)))))))))))))</f>
        <v/>
      </c>
      <c r="BI3656" s="744" t="str">
        <f t="shared" si="1281"/>
        <v/>
      </c>
      <c r="BJ3656" s="747" t="str">
        <f t="shared" si="1288"/>
        <v/>
      </c>
      <c r="BK3656" s="498" t="str">
        <f t="shared" si="1282"/>
        <v/>
      </c>
      <c r="BL3656" s="498" t="str">
        <f t="shared" si="1283"/>
        <v/>
      </c>
    </row>
    <row r="3657" spans="1:64" x14ac:dyDescent="0.25">
      <c r="A3657" s="762">
        <f t="shared" si="1284"/>
        <v>3652</v>
      </c>
      <c r="B3657" s="229"/>
      <c r="C3657" s="223"/>
      <c r="D3657" s="224"/>
      <c r="E3657" s="225"/>
      <c r="F3657" s="1036" t="str">
        <f t="shared" si="1268"/>
        <v/>
      </c>
      <c r="G3657" s="1037" t="str">
        <f t="shared" si="1285"/>
        <v/>
      </c>
      <c r="H3657" s="225"/>
      <c r="I3657" s="1013"/>
      <c r="J3657" s="1013"/>
      <c r="K3657" s="1028"/>
      <c r="L3657" s="1035" t="str">
        <f t="shared" si="1289"/>
        <v/>
      </c>
      <c r="S3657" s="498"/>
      <c r="AJ3657" s="498"/>
      <c r="AM3657" s="498">
        <f t="shared" si="1270"/>
        <v>0</v>
      </c>
      <c r="AN3657" s="498">
        <f t="shared" si="1271"/>
        <v>0</v>
      </c>
      <c r="AO3657" s="498">
        <f t="shared" si="1272"/>
        <v>0</v>
      </c>
      <c r="AP3657" s="498">
        <f t="shared" si="1269"/>
        <v>0</v>
      </c>
      <c r="AQ3657" s="498">
        <f t="shared" si="1286"/>
        <v>0</v>
      </c>
      <c r="AU3657" s="498">
        <f t="shared" si="1273"/>
        <v>0</v>
      </c>
      <c r="AV3657" s="498">
        <f t="shared" si="1274"/>
        <v>0</v>
      </c>
      <c r="AW3657" s="498">
        <f t="shared" si="1275"/>
        <v>0</v>
      </c>
      <c r="AX3657" s="498">
        <f t="shared" si="1276"/>
        <v>0</v>
      </c>
      <c r="AY3657" s="498">
        <f t="shared" si="1277"/>
        <v>0</v>
      </c>
      <c r="BB3657" s="498" t="str">
        <f t="shared" si="1278"/>
        <v/>
      </c>
      <c r="BC3657" s="743" t="str">
        <f t="shared" si="1279"/>
        <v/>
      </c>
      <c r="BD3657" s="743" t="str">
        <f t="shared" si="1280"/>
        <v/>
      </c>
      <c r="BE3657" s="743" t="str">
        <f>IF(D3657="","",VLOOKUP(D3657,'General Basis'!$J$39:$K$46,2,0))</f>
        <v/>
      </c>
      <c r="BF3657" s="744" t="str">
        <f>IF(D3657="","",VLOOKUP(D3657,'General Basis'!$J$39:$L$46,3,0))</f>
        <v/>
      </c>
      <c r="BG3657" s="744" t="str">
        <f t="shared" si="1287"/>
        <v/>
      </c>
      <c r="BH3657" s="744" t="str">
        <f>IF(G3657="","",IF(BF3657="Abu Dhabi",IF(G3657&lt;18,'General Basis'!$C$39,IF(G3657&lt;41,'General Basis'!$C$40,IF(G3657&lt;60,'General Basis'!$C$41,IF(G3657&lt;65,'General Basis'!$C$42,'General Basis'!$C$43)))),IF(G3657&lt;11,'General Basis'!$B$39,IF(G3657&lt;18,'General Basis'!$B$40,IF(G3657&lt;26,'General Basis'!$B$41,IF(G3657&lt;31,'General Basis'!$B$42,IF(G3657&lt;36,'General Basis'!$B$43,IF(G3657&lt;41,'General Basis'!$B$44,IF(G3657&lt;46,'General Basis'!$B$45,IF(G3657&lt;51,'General Basis'!$B$46,IF(G3657&lt;56,'General Basis'!$B$47,IF(G3657&lt;60,'General Basis'!$B$48,IF(G3657&lt;65,'General Basis'!$B$49,'General Basis'!$B$50)))))))))))))</f>
        <v/>
      </c>
      <c r="BI3657" s="744" t="str">
        <f t="shared" si="1281"/>
        <v/>
      </c>
      <c r="BJ3657" s="747" t="str">
        <f t="shared" si="1288"/>
        <v/>
      </c>
      <c r="BK3657" s="498" t="str">
        <f t="shared" si="1282"/>
        <v/>
      </c>
      <c r="BL3657" s="498" t="str">
        <f t="shared" si="1283"/>
        <v/>
      </c>
    </row>
    <row r="3658" spans="1:64" x14ac:dyDescent="0.25">
      <c r="A3658" s="762">
        <f t="shared" si="1284"/>
        <v>3653</v>
      </c>
      <c r="B3658" s="229"/>
      <c r="C3658" s="223"/>
      <c r="D3658" s="224"/>
      <c r="E3658" s="225"/>
      <c r="F3658" s="1036" t="str">
        <f t="shared" si="1268"/>
        <v/>
      </c>
      <c r="G3658" s="1037" t="str">
        <f t="shared" si="1285"/>
        <v/>
      </c>
      <c r="H3658" s="225"/>
      <c r="I3658" s="1013"/>
      <c r="J3658" s="1013"/>
      <c r="K3658" s="1028"/>
      <c r="L3658" s="1035" t="str">
        <f t="shared" si="1289"/>
        <v/>
      </c>
      <c r="S3658" s="498"/>
      <c r="AJ3658" s="498"/>
      <c r="AM3658" s="498">
        <f t="shared" si="1270"/>
        <v>0</v>
      </c>
      <c r="AN3658" s="498">
        <f t="shared" si="1271"/>
        <v>0</v>
      </c>
      <c r="AO3658" s="498">
        <f t="shared" si="1272"/>
        <v>0</v>
      </c>
      <c r="AP3658" s="498">
        <f t="shared" si="1269"/>
        <v>0</v>
      </c>
      <c r="AQ3658" s="498">
        <f t="shared" si="1286"/>
        <v>0</v>
      </c>
      <c r="AU3658" s="498">
        <f t="shared" si="1273"/>
        <v>0</v>
      </c>
      <c r="AV3658" s="498">
        <f t="shared" si="1274"/>
        <v>0</v>
      </c>
      <c r="AW3658" s="498">
        <f t="shared" si="1275"/>
        <v>0</v>
      </c>
      <c r="AX3658" s="498">
        <f t="shared" si="1276"/>
        <v>0</v>
      </c>
      <c r="AY3658" s="498">
        <f t="shared" si="1277"/>
        <v>0</v>
      </c>
      <c r="BB3658" s="498" t="str">
        <f t="shared" si="1278"/>
        <v/>
      </c>
      <c r="BC3658" s="743" t="str">
        <f t="shared" si="1279"/>
        <v/>
      </c>
      <c r="BD3658" s="743" t="str">
        <f t="shared" si="1280"/>
        <v/>
      </c>
      <c r="BE3658" s="743" t="str">
        <f>IF(D3658="","",VLOOKUP(D3658,'General Basis'!$J$39:$K$46,2,0))</f>
        <v/>
      </c>
      <c r="BF3658" s="744" t="str">
        <f>IF(D3658="","",VLOOKUP(D3658,'General Basis'!$J$39:$L$46,3,0))</f>
        <v/>
      </c>
      <c r="BG3658" s="744" t="str">
        <f t="shared" si="1287"/>
        <v/>
      </c>
      <c r="BH3658" s="744" t="str">
        <f>IF(G3658="","",IF(BF3658="Abu Dhabi",IF(G3658&lt;18,'General Basis'!$C$39,IF(G3658&lt;41,'General Basis'!$C$40,IF(G3658&lt;60,'General Basis'!$C$41,IF(G3658&lt;65,'General Basis'!$C$42,'General Basis'!$C$43)))),IF(G3658&lt;11,'General Basis'!$B$39,IF(G3658&lt;18,'General Basis'!$B$40,IF(G3658&lt;26,'General Basis'!$B$41,IF(G3658&lt;31,'General Basis'!$B$42,IF(G3658&lt;36,'General Basis'!$B$43,IF(G3658&lt;41,'General Basis'!$B$44,IF(G3658&lt;46,'General Basis'!$B$45,IF(G3658&lt;51,'General Basis'!$B$46,IF(G3658&lt;56,'General Basis'!$B$47,IF(G3658&lt;60,'General Basis'!$B$48,IF(G3658&lt;65,'General Basis'!$B$49,'General Basis'!$B$50)))))))))))))</f>
        <v/>
      </c>
      <c r="BI3658" s="744" t="str">
        <f t="shared" si="1281"/>
        <v/>
      </c>
      <c r="BJ3658" s="747" t="str">
        <f t="shared" si="1288"/>
        <v/>
      </c>
      <c r="BK3658" s="498" t="str">
        <f t="shared" si="1282"/>
        <v/>
      </c>
      <c r="BL3658" s="498" t="str">
        <f t="shared" si="1283"/>
        <v/>
      </c>
    </row>
    <row r="3659" spans="1:64" x14ac:dyDescent="0.25">
      <c r="A3659" s="762">
        <f t="shared" si="1284"/>
        <v>3654</v>
      </c>
      <c r="B3659" s="229"/>
      <c r="C3659" s="223"/>
      <c r="D3659" s="224"/>
      <c r="E3659" s="225"/>
      <c r="F3659" s="1036" t="str">
        <f t="shared" si="1268"/>
        <v/>
      </c>
      <c r="G3659" s="1037" t="str">
        <f t="shared" si="1285"/>
        <v/>
      </c>
      <c r="H3659" s="225"/>
      <c r="I3659" s="1013"/>
      <c r="J3659" s="1013"/>
      <c r="K3659" s="1028"/>
      <c r="L3659" s="1035" t="str">
        <f t="shared" si="1289"/>
        <v/>
      </c>
      <c r="S3659" s="498"/>
      <c r="AJ3659" s="498"/>
      <c r="AM3659" s="498">
        <f t="shared" si="1270"/>
        <v>0</v>
      </c>
      <c r="AN3659" s="498">
        <f t="shared" si="1271"/>
        <v>0</v>
      </c>
      <c r="AO3659" s="498">
        <f t="shared" si="1272"/>
        <v>0</v>
      </c>
      <c r="AP3659" s="498">
        <f t="shared" si="1269"/>
        <v>0</v>
      </c>
      <c r="AQ3659" s="498">
        <f t="shared" si="1286"/>
        <v>0</v>
      </c>
      <c r="AU3659" s="498">
        <f t="shared" si="1273"/>
        <v>0</v>
      </c>
      <c r="AV3659" s="498">
        <f t="shared" si="1274"/>
        <v>0</v>
      </c>
      <c r="AW3659" s="498">
        <f t="shared" si="1275"/>
        <v>0</v>
      </c>
      <c r="AX3659" s="498">
        <f t="shared" si="1276"/>
        <v>0</v>
      </c>
      <c r="AY3659" s="498">
        <f t="shared" si="1277"/>
        <v>0</v>
      </c>
      <c r="BB3659" s="498" t="str">
        <f t="shared" si="1278"/>
        <v/>
      </c>
      <c r="BC3659" s="743" t="str">
        <f t="shared" si="1279"/>
        <v/>
      </c>
      <c r="BD3659" s="743" t="str">
        <f t="shared" si="1280"/>
        <v/>
      </c>
      <c r="BE3659" s="743" t="str">
        <f>IF(D3659="","",VLOOKUP(D3659,'General Basis'!$J$39:$K$46,2,0))</f>
        <v/>
      </c>
      <c r="BF3659" s="744" t="str">
        <f>IF(D3659="","",VLOOKUP(D3659,'General Basis'!$J$39:$L$46,3,0))</f>
        <v/>
      </c>
      <c r="BG3659" s="744" t="str">
        <f t="shared" si="1287"/>
        <v/>
      </c>
      <c r="BH3659" s="744" t="str">
        <f>IF(G3659="","",IF(BF3659="Abu Dhabi",IF(G3659&lt;18,'General Basis'!$C$39,IF(G3659&lt;41,'General Basis'!$C$40,IF(G3659&lt;60,'General Basis'!$C$41,IF(G3659&lt;65,'General Basis'!$C$42,'General Basis'!$C$43)))),IF(G3659&lt;11,'General Basis'!$B$39,IF(G3659&lt;18,'General Basis'!$B$40,IF(G3659&lt;26,'General Basis'!$B$41,IF(G3659&lt;31,'General Basis'!$B$42,IF(G3659&lt;36,'General Basis'!$B$43,IF(G3659&lt;41,'General Basis'!$B$44,IF(G3659&lt;46,'General Basis'!$B$45,IF(G3659&lt;51,'General Basis'!$B$46,IF(G3659&lt;56,'General Basis'!$B$47,IF(G3659&lt;60,'General Basis'!$B$48,IF(G3659&lt;65,'General Basis'!$B$49,'General Basis'!$B$50)))))))))))))</f>
        <v/>
      </c>
      <c r="BI3659" s="744" t="str">
        <f t="shared" si="1281"/>
        <v/>
      </c>
      <c r="BJ3659" s="747" t="str">
        <f t="shared" si="1288"/>
        <v/>
      </c>
      <c r="BK3659" s="498" t="str">
        <f t="shared" si="1282"/>
        <v/>
      </c>
      <c r="BL3659" s="498" t="str">
        <f t="shared" si="1283"/>
        <v/>
      </c>
    </row>
    <row r="3660" spans="1:64" x14ac:dyDescent="0.25">
      <c r="A3660" s="762">
        <f t="shared" si="1284"/>
        <v>3655</v>
      </c>
      <c r="B3660" s="229"/>
      <c r="C3660" s="223"/>
      <c r="D3660" s="224"/>
      <c r="E3660" s="225"/>
      <c r="F3660" s="1036" t="str">
        <f t="shared" si="1268"/>
        <v/>
      </c>
      <c r="G3660" s="1037" t="str">
        <f t="shared" si="1285"/>
        <v/>
      </c>
      <c r="H3660" s="225"/>
      <c r="I3660" s="1013"/>
      <c r="J3660" s="1013"/>
      <c r="K3660" s="1028"/>
      <c r="L3660" s="1035" t="str">
        <f t="shared" si="1289"/>
        <v/>
      </c>
      <c r="S3660" s="498"/>
      <c r="AJ3660" s="498"/>
      <c r="AM3660" s="498">
        <f t="shared" si="1270"/>
        <v>0</v>
      </c>
      <c r="AN3660" s="498">
        <f t="shared" si="1271"/>
        <v>0</v>
      </c>
      <c r="AO3660" s="498">
        <f t="shared" si="1272"/>
        <v>0</v>
      </c>
      <c r="AP3660" s="498">
        <f t="shared" si="1269"/>
        <v>0</v>
      </c>
      <c r="AQ3660" s="498">
        <f t="shared" si="1286"/>
        <v>0</v>
      </c>
      <c r="AU3660" s="498">
        <f t="shared" si="1273"/>
        <v>0</v>
      </c>
      <c r="AV3660" s="498">
        <f t="shared" si="1274"/>
        <v>0</v>
      </c>
      <c r="AW3660" s="498">
        <f t="shared" si="1275"/>
        <v>0</v>
      </c>
      <c r="AX3660" s="498">
        <f t="shared" si="1276"/>
        <v>0</v>
      </c>
      <c r="AY3660" s="498">
        <f t="shared" si="1277"/>
        <v>0</v>
      </c>
      <c r="BB3660" s="498" t="str">
        <f t="shared" si="1278"/>
        <v/>
      </c>
      <c r="BC3660" s="743" t="str">
        <f t="shared" si="1279"/>
        <v/>
      </c>
      <c r="BD3660" s="743" t="str">
        <f t="shared" si="1280"/>
        <v/>
      </c>
      <c r="BE3660" s="743" t="str">
        <f>IF(D3660="","",VLOOKUP(D3660,'General Basis'!$J$39:$K$46,2,0))</f>
        <v/>
      </c>
      <c r="BF3660" s="744" t="str">
        <f>IF(D3660="","",VLOOKUP(D3660,'General Basis'!$J$39:$L$46,3,0))</f>
        <v/>
      </c>
      <c r="BG3660" s="744" t="str">
        <f t="shared" si="1287"/>
        <v/>
      </c>
      <c r="BH3660" s="744" t="str">
        <f>IF(G3660="","",IF(BF3660="Abu Dhabi",IF(G3660&lt;18,'General Basis'!$C$39,IF(G3660&lt;41,'General Basis'!$C$40,IF(G3660&lt;60,'General Basis'!$C$41,IF(G3660&lt;65,'General Basis'!$C$42,'General Basis'!$C$43)))),IF(G3660&lt;11,'General Basis'!$B$39,IF(G3660&lt;18,'General Basis'!$B$40,IF(G3660&lt;26,'General Basis'!$B$41,IF(G3660&lt;31,'General Basis'!$B$42,IF(G3660&lt;36,'General Basis'!$B$43,IF(G3660&lt;41,'General Basis'!$B$44,IF(G3660&lt;46,'General Basis'!$B$45,IF(G3660&lt;51,'General Basis'!$B$46,IF(G3660&lt;56,'General Basis'!$B$47,IF(G3660&lt;60,'General Basis'!$B$48,IF(G3660&lt;65,'General Basis'!$B$49,'General Basis'!$B$50)))))))))))))</f>
        <v/>
      </c>
      <c r="BI3660" s="744" t="str">
        <f t="shared" si="1281"/>
        <v/>
      </c>
      <c r="BJ3660" s="747" t="str">
        <f t="shared" si="1288"/>
        <v/>
      </c>
      <c r="BK3660" s="498" t="str">
        <f t="shared" si="1282"/>
        <v/>
      </c>
      <c r="BL3660" s="498" t="str">
        <f t="shared" si="1283"/>
        <v/>
      </c>
    </row>
    <row r="3661" spans="1:64" x14ac:dyDescent="0.25">
      <c r="A3661" s="762">
        <f t="shared" si="1284"/>
        <v>3656</v>
      </c>
      <c r="B3661" s="229"/>
      <c r="C3661" s="223"/>
      <c r="D3661" s="224"/>
      <c r="E3661" s="225"/>
      <c r="F3661" s="1036" t="str">
        <f t="shared" si="1268"/>
        <v/>
      </c>
      <c r="G3661" s="1037" t="str">
        <f t="shared" si="1285"/>
        <v/>
      </c>
      <c r="H3661" s="225"/>
      <c r="I3661" s="1013"/>
      <c r="J3661" s="1013"/>
      <c r="K3661" s="1028"/>
      <c r="L3661" s="1035" t="str">
        <f t="shared" si="1289"/>
        <v/>
      </c>
      <c r="S3661" s="498"/>
      <c r="AJ3661" s="498"/>
      <c r="AM3661" s="498">
        <f t="shared" si="1270"/>
        <v>0</v>
      </c>
      <c r="AN3661" s="498">
        <f t="shared" si="1271"/>
        <v>0</v>
      </c>
      <c r="AO3661" s="498">
        <f t="shared" si="1272"/>
        <v>0</v>
      </c>
      <c r="AP3661" s="498">
        <f t="shared" si="1269"/>
        <v>0</v>
      </c>
      <c r="AQ3661" s="498">
        <f t="shared" si="1286"/>
        <v>0</v>
      </c>
      <c r="AU3661" s="498">
        <f t="shared" si="1273"/>
        <v>0</v>
      </c>
      <c r="AV3661" s="498">
        <f t="shared" si="1274"/>
        <v>0</v>
      </c>
      <c r="AW3661" s="498">
        <f t="shared" si="1275"/>
        <v>0</v>
      </c>
      <c r="AX3661" s="498">
        <f t="shared" si="1276"/>
        <v>0</v>
      </c>
      <c r="AY3661" s="498">
        <f t="shared" si="1277"/>
        <v>0</v>
      </c>
      <c r="BB3661" s="498" t="str">
        <f t="shared" si="1278"/>
        <v/>
      </c>
      <c r="BC3661" s="743" t="str">
        <f t="shared" si="1279"/>
        <v/>
      </c>
      <c r="BD3661" s="743" t="str">
        <f t="shared" si="1280"/>
        <v/>
      </c>
      <c r="BE3661" s="743" t="str">
        <f>IF(D3661="","",VLOOKUP(D3661,'General Basis'!$J$39:$K$46,2,0))</f>
        <v/>
      </c>
      <c r="BF3661" s="744" t="str">
        <f>IF(D3661="","",VLOOKUP(D3661,'General Basis'!$J$39:$L$46,3,0))</f>
        <v/>
      </c>
      <c r="BG3661" s="744" t="str">
        <f t="shared" si="1287"/>
        <v/>
      </c>
      <c r="BH3661" s="744" t="str">
        <f>IF(G3661="","",IF(BF3661="Abu Dhabi",IF(G3661&lt;18,'General Basis'!$C$39,IF(G3661&lt;41,'General Basis'!$C$40,IF(G3661&lt;60,'General Basis'!$C$41,IF(G3661&lt;65,'General Basis'!$C$42,'General Basis'!$C$43)))),IF(G3661&lt;11,'General Basis'!$B$39,IF(G3661&lt;18,'General Basis'!$B$40,IF(G3661&lt;26,'General Basis'!$B$41,IF(G3661&lt;31,'General Basis'!$B$42,IF(G3661&lt;36,'General Basis'!$B$43,IF(G3661&lt;41,'General Basis'!$B$44,IF(G3661&lt;46,'General Basis'!$B$45,IF(G3661&lt;51,'General Basis'!$B$46,IF(G3661&lt;56,'General Basis'!$B$47,IF(G3661&lt;60,'General Basis'!$B$48,IF(G3661&lt;65,'General Basis'!$B$49,'General Basis'!$B$50)))))))))))))</f>
        <v/>
      </c>
      <c r="BI3661" s="744" t="str">
        <f t="shared" si="1281"/>
        <v/>
      </c>
      <c r="BJ3661" s="747" t="str">
        <f t="shared" si="1288"/>
        <v/>
      </c>
      <c r="BK3661" s="498" t="str">
        <f t="shared" si="1282"/>
        <v/>
      </c>
      <c r="BL3661" s="498" t="str">
        <f t="shared" si="1283"/>
        <v/>
      </c>
    </row>
    <row r="3662" spans="1:64" x14ac:dyDescent="0.25">
      <c r="A3662" s="762">
        <f t="shared" si="1284"/>
        <v>3657</v>
      </c>
      <c r="B3662" s="229"/>
      <c r="C3662" s="223"/>
      <c r="D3662" s="224"/>
      <c r="E3662" s="225"/>
      <c r="F3662" s="1036" t="str">
        <f t="shared" si="1268"/>
        <v/>
      </c>
      <c r="G3662" s="1037" t="str">
        <f t="shared" si="1285"/>
        <v/>
      </c>
      <c r="H3662" s="225"/>
      <c r="I3662" s="1013"/>
      <c r="J3662" s="1013"/>
      <c r="K3662" s="1028"/>
      <c r="L3662" s="1035" t="str">
        <f t="shared" si="1289"/>
        <v/>
      </c>
      <c r="S3662" s="498"/>
      <c r="AJ3662" s="498"/>
      <c r="AM3662" s="498">
        <f t="shared" si="1270"/>
        <v>0</v>
      </c>
      <c r="AN3662" s="498">
        <f t="shared" si="1271"/>
        <v>0</v>
      </c>
      <c r="AO3662" s="498">
        <f t="shared" si="1272"/>
        <v>0</v>
      </c>
      <c r="AP3662" s="498">
        <f t="shared" si="1269"/>
        <v>0</v>
      </c>
      <c r="AQ3662" s="498">
        <f t="shared" si="1286"/>
        <v>0</v>
      </c>
      <c r="AU3662" s="498">
        <f t="shared" si="1273"/>
        <v>0</v>
      </c>
      <c r="AV3662" s="498">
        <f t="shared" si="1274"/>
        <v>0</v>
      </c>
      <c r="AW3662" s="498">
        <f t="shared" si="1275"/>
        <v>0</v>
      </c>
      <c r="AX3662" s="498">
        <f t="shared" si="1276"/>
        <v>0</v>
      </c>
      <c r="AY3662" s="498">
        <f t="shared" si="1277"/>
        <v>0</v>
      </c>
      <c r="BB3662" s="498" t="str">
        <f t="shared" si="1278"/>
        <v/>
      </c>
      <c r="BC3662" s="743" t="str">
        <f t="shared" si="1279"/>
        <v/>
      </c>
      <c r="BD3662" s="743" t="str">
        <f t="shared" si="1280"/>
        <v/>
      </c>
      <c r="BE3662" s="743" t="str">
        <f>IF(D3662="","",VLOOKUP(D3662,'General Basis'!$J$39:$K$46,2,0))</f>
        <v/>
      </c>
      <c r="BF3662" s="744" t="str">
        <f>IF(D3662="","",VLOOKUP(D3662,'General Basis'!$J$39:$L$46,3,0))</f>
        <v/>
      </c>
      <c r="BG3662" s="744" t="str">
        <f t="shared" si="1287"/>
        <v/>
      </c>
      <c r="BH3662" s="744" t="str">
        <f>IF(G3662="","",IF(BF3662="Abu Dhabi",IF(G3662&lt;18,'General Basis'!$C$39,IF(G3662&lt;41,'General Basis'!$C$40,IF(G3662&lt;60,'General Basis'!$C$41,IF(G3662&lt;65,'General Basis'!$C$42,'General Basis'!$C$43)))),IF(G3662&lt;11,'General Basis'!$B$39,IF(G3662&lt;18,'General Basis'!$B$40,IF(G3662&lt;26,'General Basis'!$B$41,IF(G3662&lt;31,'General Basis'!$B$42,IF(G3662&lt;36,'General Basis'!$B$43,IF(G3662&lt;41,'General Basis'!$B$44,IF(G3662&lt;46,'General Basis'!$B$45,IF(G3662&lt;51,'General Basis'!$B$46,IF(G3662&lt;56,'General Basis'!$B$47,IF(G3662&lt;60,'General Basis'!$B$48,IF(G3662&lt;65,'General Basis'!$B$49,'General Basis'!$B$50)))))))))))))</f>
        <v/>
      </c>
      <c r="BI3662" s="744" t="str">
        <f t="shared" si="1281"/>
        <v/>
      </c>
      <c r="BJ3662" s="747" t="str">
        <f t="shared" si="1288"/>
        <v/>
      </c>
      <c r="BK3662" s="498" t="str">
        <f t="shared" si="1282"/>
        <v/>
      </c>
      <c r="BL3662" s="498" t="str">
        <f t="shared" si="1283"/>
        <v/>
      </c>
    </row>
    <row r="3663" spans="1:64" x14ac:dyDescent="0.25">
      <c r="A3663" s="762">
        <f t="shared" si="1284"/>
        <v>3658</v>
      </c>
      <c r="B3663" s="229"/>
      <c r="C3663" s="223"/>
      <c r="D3663" s="224"/>
      <c r="E3663" s="225"/>
      <c r="F3663" s="1036" t="str">
        <f t="shared" si="1268"/>
        <v/>
      </c>
      <c r="G3663" s="1037" t="str">
        <f t="shared" si="1285"/>
        <v/>
      </c>
      <c r="H3663" s="225"/>
      <c r="I3663" s="1013"/>
      <c r="J3663" s="1013"/>
      <c r="K3663" s="1028"/>
      <c r="L3663" s="1035" t="str">
        <f t="shared" si="1289"/>
        <v/>
      </c>
      <c r="S3663" s="498"/>
      <c r="AJ3663" s="498"/>
      <c r="AM3663" s="498">
        <f t="shared" si="1270"/>
        <v>0</v>
      </c>
      <c r="AN3663" s="498">
        <f t="shared" si="1271"/>
        <v>0</v>
      </c>
      <c r="AO3663" s="498">
        <f t="shared" si="1272"/>
        <v>0</v>
      </c>
      <c r="AP3663" s="498">
        <f t="shared" si="1269"/>
        <v>0</v>
      </c>
      <c r="AQ3663" s="498">
        <f t="shared" si="1286"/>
        <v>0</v>
      </c>
      <c r="AU3663" s="498">
        <f t="shared" si="1273"/>
        <v>0</v>
      </c>
      <c r="AV3663" s="498">
        <f t="shared" si="1274"/>
        <v>0</v>
      </c>
      <c r="AW3663" s="498">
        <f t="shared" si="1275"/>
        <v>0</v>
      </c>
      <c r="AX3663" s="498">
        <f t="shared" si="1276"/>
        <v>0</v>
      </c>
      <c r="AY3663" s="498">
        <f t="shared" si="1277"/>
        <v>0</v>
      </c>
      <c r="BB3663" s="498" t="str">
        <f t="shared" si="1278"/>
        <v/>
      </c>
      <c r="BC3663" s="743" t="str">
        <f t="shared" si="1279"/>
        <v/>
      </c>
      <c r="BD3663" s="743" t="str">
        <f t="shared" si="1280"/>
        <v/>
      </c>
      <c r="BE3663" s="743" t="str">
        <f>IF(D3663="","",VLOOKUP(D3663,'General Basis'!$J$39:$K$46,2,0))</f>
        <v/>
      </c>
      <c r="BF3663" s="744" t="str">
        <f>IF(D3663="","",VLOOKUP(D3663,'General Basis'!$J$39:$L$46,3,0))</f>
        <v/>
      </c>
      <c r="BG3663" s="744" t="str">
        <f t="shared" si="1287"/>
        <v/>
      </c>
      <c r="BH3663" s="744" t="str">
        <f>IF(G3663="","",IF(BF3663="Abu Dhabi",IF(G3663&lt;18,'General Basis'!$C$39,IF(G3663&lt;41,'General Basis'!$C$40,IF(G3663&lt;60,'General Basis'!$C$41,IF(G3663&lt;65,'General Basis'!$C$42,'General Basis'!$C$43)))),IF(G3663&lt;11,'General Basis'!$B$39,IF(G3663&lt;18,'General Basis'!$B$40,IF(G3663&lt;26,'General Basis'!$B$41,IF(G3663&lt;31,'General Basis'!$B$42,IF(G3663&lt;36,'General Basis'!$B$43,IF(G3663&lt;41,'General Basis'!$B$44,IF(G3663&lt;46,'General Basis'!$B$45,IF(G3663&lt;51,'General Basis'!$B$46,IF(G3663&lt;56,'General Basis'!$B$47,IF(G3663&lt;60,'General Basis'!$B$48,IF(G3663&lt;65,'General Basis'!$B$49,'General Basis'!$B$50)))))))))))))</f>
        <v/>
      </c>
      <c r="BI3663" s="744" t="str">
        <f t="shared" si="1281"/>
        <v/>
      </c>
      <c r="BJ3663" s="747" t="str">
        <f t="shared" si="1288"/>
        <v/>
      </c>
      <c r="BK3663" s="498" t="str">
        <f t="shared" si="1282"/>
        <v/>
      </c>
      <c r="BL3663" s="498" t="str">
        <f t="shared" si="1283"/>
        <v/>
      </c>
    </row>
    <row r="3664" spans="1:64" x14ac:dyDescent="0.25">
      <c r="A3664" s="762">
        <f t="shared" si="1284"/>
        <v>3659</v>
      </c>
      <c r="B3664" s="229"/>
      <c r="C3664" s="223"/>
      <c r="D3664" s="224"/>
      <c r="E3664" s="225"/>
      <c r="F3664" s="1036" t="str">
        <f t="shared" ref="F3664:F3727" si="1290">IF(C3664="","",IF($B3664="","",((YEAR($F$3)-YEAR($B3664))+(MONTH($F$3)-MONTH($B3664))/12+(DAY($F$3)-DAY($B3664))/(DATE(YEAR($F$3),12,31)-DATE(YEAR($F$3),1,1)+1))))</f>
        <v/>
      </c>
      <c r="G3664" s="1037" t="str">
        <f t="shared" si="1285"/>
        <v/>
      </c>
      <c r="H3664" s="225"/>
      <c r="I3664" s="1013"/>
      <c r="J3664" s="1013"/>
      <c r="K3664" s="1028"/>
      <c r="L3664" s="1035" t="str">
        <f t="shared" si="1289"/>
        <v/>
      </c>
      <c r="S3664" s="498"/>
      <c r="AJ3664" s="498"/>
      <c r="AM3664" s="498">
        <f t="shared" si="1270"/>
        <v>0</v>
      </c>
      <c r="AN3664" s="498">
        <f t="shared" si="1271"/>
        <v>0</v>
      </c>
      <c r="AO3664" s="498">
        <f t="shared" si="1272"/>
        <v>0</v>
      </c>
      <c r="AP3664" s="498">
        <f t="shared" si="1269"/>
        <v>0</v>
      </c>
      <c r="AQ3664" s="498">
        <f t="shared" si="1286"/>
        <v>0</v>
      </c>
      <c r="AU3664" s="498">
        <f t="shared" si="1273"/>
        <v>0</v>
      </c>
      <c r="AV3664" s="498">
        <f t="shared" si="1274"/>
        <v>0</v>
      </c>
      <c r="AW3664" s="498">
        <f t="shared" si="1275"/>
        <v>0</v>
      </c>
      <c r="AX3664" s="498">
        <f t="shared" si="1276"/>
        <v>0</v>
      </c>
      <c r="AY3664" s="498">
        <f t="shared" si="1277"/>
        <v>0</v>
      </c>
      <c r="BB3664" s="498" t="str">
        <f t="shared" si="1278"/>
        <v/>
      </c>
      <c r="BC3664" s="743" t="str">
        <f t="shared" si="1279"/>
        <v/>
      </c>
      <c r="BD3664" s="743" t="str">
        <f t="shared" si="1280"/>
        <v/>
      </c>
      <c r="BE3664" s="743" t="str">
        <f>IF(D3664="","",VLOOKUP(D3664,'General Basis'!$J$39:$K$46,2,0))</f>
        <v/>
      </c>
      <c r="BF3664" s="744" t="str">
        <f>IF(D3664="","",VLOOKUP(D3664,'General Basis'!$J$39:$L$46,3,0))</f>
        <v/>
      </c>
      <c r="BG3664" s="744" t="str">
        <f t="shared" si="1287"/>
        <v/>
      </c>
      <c r="BH3664" s="744" t="str">
        <f>IF(G3664="","",IF(BF3664="Abu Dhabi",IF(G3664&lt;18,'General Basis'!$C$39,IF(G3664&lt;41,'General Basis'!$C$40,IF(G3664&lt;60,'General Basis'!$C$41,IF(G3664&lt;65,'General Basis'!$C$42,'General Basis'!$C$43)))),IF(G3664&lt;11,'General Basis'!$B$39,IF(G3664&lt;18,'General Basis'!$B$40,IF(G3664&lt;26,'General Basis'!$B$41,IF(G3664&lt;31,'General Basis'!$B$42,IF(G3664&lt;36,'General Basis'!$B$43,IF(G3664&lt;41,'General Basis'!$B$44,IF(G3664&lt;46,'General Basis'!$B$45,IF(G3664&lt;51,'General Basis'!$B$46,IF(G3664&lt;56,'General Basis'!$B$47,IF(G3664&lt;60,'General Basis'!$B$48,IF(G3664&lt;65,'General Basis'!$B$49,'General Basis'!$B$50)))))))))))))</f>
        <v/>
      </c>
      <c r="BI3664" s="744" t="str">
        <f t="shared" si="1281"/>
        <v/>
      </c>
      <c r="BJ3664" s="747" t="str">
        <f t="shared" si="1288"/>
        <v/>
      </c>
      <c r="BK3664" s="498" t="str">
        <f t="shared" si="1282"/>
        <v/>
      </c>
      <c r="BL3664" s="498" t="str">
        <f t="shared" si="1283"/>
        <v/>
      </c>
    </row>
    <row r="3665" spans="1:64" x14ac:dyDescent="0.25">
      <c r="A3665" s="762">
        <f t="shared" si="1284"/>
        <v>3660</v>
      </c>
      <c r="B3665" s="229"/>
      <c r="C3665" s="223"/>
      <c r="D3665" s="224"/>
      <c r="E3665" s="225"/>
      <c r="F3665" s="1036" t="str">
        <f t="shared" si="1290"/>
        <v/>
      </c>
      <c r="G3665" s="1037" t="str">
        <f t="shared" si="1285"/>
        <v/>
      </c>
      <c r="H3665" s="225"/>
      <c r="I3665" s="1013"/>
      <c r="J3665" s="1013"/>
      <c r="K3665" s="1028"/>
      <c r="L3665" s="1035" t="str">
        <f t="shared" si="1289"/>
        <v/>
      </c>
      <c r="S3665" s="498"/>
      <c r="AJ3665" s="498"/>
      <c r="AM3665" s="498">
        <f t="shared" si="1270"/>
        <v>0</v>
      </c>
      <c r="AN3665" s="498">
        <f t="shared" si="1271"/>
        <v>0</v>
      </c>
      <c r="AO3665" s="498">
        <f t="shared" si="1272"/>
        <v>0</v>
      </c>
      <c r="AP3665" s="498">
        <f t="shared" si="1269"/>
        <v>0</v>
      </c>
      <c r="AQ3665" s="498">
        <f t="shared" si="1286"/>
        <v>0</v>
      </c>
      <c r="AU3665" s="498">
        <f t="shared" si="1273"/>
        <v>0</v>
      </c>
      <c r="AV3665" s="498">
        <f t="shared" si="1274"/>
        <v>0</v>
      </c>
      <c r="AW3665" s="498">
        <f t="shared" si="1275"/>
        <v>0</v>
      </c>
      <c r="AX3665" s="498">
        <f t="shared" si="1276"/>
        <v>0</v>
      </c>
      <c r="AY3665" s="498">
        <f t="shared" si="1277"/>
        <v>0</v>
      </c>
      <c r="BB3665" s="498" t="str">
        <f t="shared" si="1278"/>
        <v/>
      </c>
      <c r="BC3665" s="743" t="str">
        <f t="shared" si="1279"/>
        <v/>
      </c>
      <c r="BD3665" s="743" t="str">
        <f t="shared" si="1280"/>
        <v/>
      </c>
      <c r="BE3665" s="743" t="str">
        <f>IF(D3665="","",VLOOKUP(D3665,'General Basis'!$J$39:$K$46,2,0))</f>
        <v/>
      </c>
      <c r="BF3665" s="744" t="str">
        <f>IF(D3665="","",VLOOKUP(D3665,'General Basis'!$J$39:$L$46,3,0))</f>
        <v/>
      </c>
      <c r="BG3665" s="744" t="str">
        <f t="shared" si="1287"/>
        <v/>
      </c>
      <c r="BH3665" s="744" t="str">
        <f>IF(G3665="","",IF(BF3665="Abu Dhabi",IF(G3665&lt;18,'General Basis'!$C$39,IF(G3665&lt;41,'General Basis'!$C$40,IF(G3665&lt;60,'General Basis'!$C$41,IF(G3665&lt;65,'General Basis'!$C$42,'General Basis'!$C$43)))),IF(G3665&lt;11,'General Basis'!$B$39,IF(G3665&lt;18,'General Basis'!$B$40,IF(G3665&lt;26,'General Basis'!$B$41,IF(G3665&lt;31,'General Basis'!$B$42,IF(G3665&lt;36,'General Basis'!$B$43,IF(G3665&lt;41,'General Basis'!$B$44,IF(G3665&lt;46,'General Basis'!$B$45,IF(G3665&lt;51,'General Basis'!$B$46,IF(G3665&lt;56,'General Basis'!$B$47,IF(G3665&lt;60,'General Basis'!$B$48,IF(G3665&lt;65,'General Basis'!$B$49,'General Basis'!$B$50)))))))))))))</f>
        <v/>
      </c>
      <c r="BI3665" s="744" t="str">
        <f t="shared" si="1281"/>
        <v/>
      </c>
      <c r="BJ3665" s="747" t="str">
        <f t="shared" si="1288"/>
        <v/>
      </c>
      <c r="BK3665" s="498" t="str">
        <f t="shared" si="1282"/>
        <v/>
      </c>
      <c r="BL3665" s="498" t="str">
        <f t="shared" si="1283"/>
        <v/>
      </c>
    </row>
    <row r="3666" spans="1:64" x14ac:dyDescent="0.25">
      <c r="A3666" s="762">
        <f t="shared" si="1284"/>
        <v>3661</v>
      </c>
      <c r="B3666" s="229"/>
      <c r="C3666" s="223"/>
      <c r="D3666" s="224"/>
      <c r="E3666" s="225"/>
      <c r="F3666" s="1036" t="str">
        <f t="shared" si="1290"/>
        <v/>
      </c>
      <c r="G3666" s="1037" t="str">
        <f t="shared" si="1285"/>
        <v/>
      </c>
      <c r="H3666" s="225"/>
      <c r="I3666" s="1013"/>
      <c r="J3666" s="1013"/>
      <c r="K3666" s="1028"/>
      <c r="L3666" s="1035" t="str">
        <f t="shared" si="1289"/>
        <v/>
      </c>
      <c r="S3666" s="498"/>
      <c r="AJ3666" s="498"/>
      <c r="AM3666" s="498">
        <f t="shared" si="1270"/>
        <v>0</v>
      </c>
      <c r="AN3666" s="498">
        <f t="shared" si="1271"/>
        <v>0</v>
      </c>
      <c r="AO3666" s="498">
        <f t="shared" si="1272"/>
        <v>0</v>
      </c>
      <c r="AP3666" s="498">
        <f t="shared" si="1269"/>
        <v>0</v>
      </c>
      <c r="AQ3666" s="498">
        <f t="shared" si="1286"/>
        <v>0</v>
      </c>
      <c r="AU3666" s="498">
        <f t="shared" si="1273"/>
        <v>0</v>
      </c>
      <c r="AV3666" s="498">
        <f t="shared" si="1274"/>
        <v>0</v>
      </c>
      <c r="AW3666" s="498">
        <f t="shared" si="1275"/>
        <v>0</v>
      </c>
      <c r="AX3666" s="498">
        <f t="shared" si="1276"/>
        <v>0</v>
      </c>
      <c r="AY3666" s="498">
        <f t="shared" si="1277"/>
        <v>0</v>
      </c>
      <c r="BB3666" s="498" t="str">
        <f t="shared" si="1278"/>
        <v/>
      </c>
      <c r="BC3666" s="743" t="str">
        <f t="shared" si="1279"/>
        <v/>
      </c>
      <c r="BD3666" s="743" t="str">
        <f t="shared" si="1280"/>
        <v/>
      </c>
      <c r="BE3666" s="743" t="str">
        <f>IF(D3666="","",VLOOKUP(D3666,'General Basis'!$J$39:$K$46,2,0))</f>
        <v/>
      </c>
      <c r="BF3666" s="744" t="str">
        <f>IF(D3666="","",VLOOKUP(D3666,'General Basis'!$J$39:$L$46,3,0))</f>
        <v/>
      </c>
      <c r="BG3666" s="744" t="str">
        <f t="shared" si="1287"/>
        <v/>
      </c>
      <c r="BH3666" s="744" t="str">
        <f>IF(G3666="","",IF(BF3666="Abu Dhabi",IF(G3666&lt;18,'General Basis'!$C$39,IF(G3666&lt;41,'General Basis'!$C$40,IF(G3666&lt;60,'General Basis'!$C$41,IF(G3666&lt;65,'General Basis'!$C$42,'General Basis'!$C$43)))),IF(G3666&lt;11,'General Basis'!$B$39,IF(G3666&lt;18,'General Basis'!$B$40,IF(G3666&lt;26,'General Basis'!$B$41,IF(G3666&lt;31,'General Basis'!$B$42,IF(G3666&lt;36,'General Basis'!$B$43,IF(G3666&lt;41,'General Basis'!$B$44,IF(G3666&lt;46,'General Basis'!$B$45,IF(G3666&lt;51,'General Basis'!$B$46,IF(G3666&lt;56,'General Basis'!$B$47,IF(G3666&lt;60,'General Basis'!$B$48,IF(G3666&lt;65,'General Basis'!$B$49,'General Basis'!$B$50)))))))))))))</f>
        <v/>
      </c>
      <c r="BI3666" s="744" t="str">
        <f t="shared" si="1281"/>
        <v/>
      </c>
      <c r="BJ3666" s="747" t="str">
        <f t="shared" si="1288"/>
        <v/>
      </c>
      <c r="BK3666" s="498" t="str">
        <f t="shared" si="1282"/>
        <v/>
      </c>
      <c r="BL3666" s="498" t="str">
        <f t="shared" si="1283"/>
        <v/>
      </c>
    </row>
    <row r="3667" spans="1:64" x14ac:dyDescent="0.25">
      <c r="A3667" s="762">
        <f t="shared" si="1284"/>
        <v>3662</v>
      </c>
      <c r="B3667" s="229"/>
      <c r="C3667" s="223"/>
      <c r="D3667" s="224"/>
      <c r="E3667" s="225"/>
      <c r="F3667" s="1036" t="str">
        <f t="shared" si="1290"/>
        <v/>
      </c>
      <c r="G3667" s="1037" t="str">
        <f t="shared" si="1285"/>
        <v/>
      </c>
      <c r="H3667" s="225"/>
      <c r="I3667" s="1013"/>
      <c r="J3667" s="1013"/>
      <c r="K3667" s="1028"/>
      <c r="L3667" s="1035" t="str">
        <f t="shared" si="1289"/>
        <v/>
      </c>
      <c r="S3667" s="498"/>
      <c r="AJ3667" s="498"/>
      <c r="AM3667" s="498">
        <f t="shared" si="1270"/>
        <v>0</v>
      </c>
      <c r="AN3667" s="498">
        <f t="shared" si="1271"/>
        <v>0</v>
      </c>
      <c r="AO3667" s="498">
        <f t="shared" si="1272"/>
        <v>0</v>
      </c>
      <c r="AP3667" s="498">
        <f t="shared" ref="AP3667:AP3730" si="1291">IF(ISBLANK($B3667),0,IF(OR($C3667="M",$C3667="F"),0,1))</f>
        <v>0</v>
      </c>
      <c r="AQ3667" s="498">
        <f t="shared" si="1286"/>
        <v>0</v>
      </c>
      <c r="AU3667" s="498">
        <f t="shared" si="1273"/>
        <v>0</v>
      </c>
      <c r="AV3667" s="498">
        <f t="shared" si="1274"/>
        <v>0</v>
      </c>
      <c r="AW3667" s="498">
        <f t="shared" si="1275"/>
        <v>0</v>
      </c>
      <c r="AX3667" s="498">
        <f t="shared" si="1276"/>
        <v>0</v>
      </c>
      <c r="AY3667" s="498">
        <f t="shared" si="1277"/>
        <v>0</v>
      </c>
      <c r="BB3667" s="498" t="str">
        <f t="shared" si="1278"/>
        <v/>
      </c>
      <c r="BC3667" s="743" t="str">
        <f t="shared" si="1279"/>
        <v/>
      </c>
      <c r="BD3667" s="743" t="str">
        <f t="shared" si="1280"/>
        <v/>
      </c>
      <c r="BE3667" s="743" t="str">
        <f>IF(D3667="","",VLOOKUP(D3667,'General Basis'!$J$39:$K$46,2,0))</f>
        <v/>
      </c>
      <c r="BF3667" s="744" t="str">
        <f>IF(D3667="","",VLOOKUP(D3667,'General Basis'!$J$39:$L$46,3,0))</f>
        <v/>
      </c>
      <c r="BG3667" s="744" t="str">
        <f t="shared" si="1287"/>
        <v/>
      </c>
      <c r="BH3667" s="744" t="str">
        <f>IF(G3667="","",IF(BF3667="Abu Dhabi",IF(G3667&lt;18,'General Basis'!$C$39,IF(G3667&lt;41,'General Basis'!$C$40,IF(G3667&lt;60,'General Basis'!$C$41,IF(G3667&lt;65,'General Basis'!$C$42,'General Basis'!$C$43)))),IF(G3667&lt;11,'General Basis'!$B$39,IF(G3667&lt;18,'General Basis'!$B$40,IF(G3667&lt;26,'General Basis'!$B$41,IF(G3667&lt;31,'General Basis'!$B$42,IF(G3667&lt;36,'General Basis'!$B$43,IF(G3667&lt;41,'General Basis'!$B$44,IF(G3667&lt;46,'General Basis'!$B$45,IF(G3667&lt;51,'General Basis'!$B$46,IF(G3667&lt;56,'General Basis'!$B$47,IF(G3667&lt;60,'General Basis'!$B$48,IF(G3667&lt;65,'General Basis'!$B$49,'General Basis'!$B$50)))))))))))))</f>
        <v/>
      </c>
      <c r="BI3667" s="744" t="str">
        <f t="shared" si="1281"/>
        <v/>
      </c>
      <c r="BJ3667" s="747" t="str">
        <f t="shared" si="1288"/>
        <v/>
      </c>
      <c r="BK3667" s="498" t="str">
        <f t="shared" si="1282"/>
        <v/>
      </c>
      <c r="BL3667" s="498" t="str">
        <f t="shared" si="1283"/>
        <v/>
      </c>
    </row>
    <row r="3668" spans="1:64" x14ac:dyDescent="0.25">
      <c r="A3668" s="762">
        <f t="shared" si="1284"/>
        <v>3663</v>
      </c>
      <c r="B3668" s="229"/>
      <c r="C3668" s="223"/>
      <c r="D3668" s="224"/>
      <c r="E3668" s="225"/>
      <c r="F3668" s="1036" t="str">
        <f t="shared" si="1290"/>
        <v/>
      </c>
      <c r="G3668" s="1037" t="str">
        <f t="shared" si="1285"/>
        <v/>
      </c>
      <c r="H3668" s="225"/>
      <c r="I3668" s="1013"/>
      <c r="J3668" s="1013"/>
      <c r="K3668" s="1028"/>
      <c r="L3668" s="1035" t="str">
        <f t="shared" si="1289"/>
        <v/>
      </c>
      <c r="S3668" s="498"/>
      <c r="AJ3668" s="498"/>
      <c r="AM3668" s="498">
        <f t="shared" si="1270"/>
        <v>0</v>
      </c>
      <c r="AN3668" s="498">
        <f t="shared" si="1271"/>
        <v>0</v>
      </c>
      <c r="AO3668" s="498">
        <f t="shared" si="1272"/>
        <v>0</v>
      </c>
      <c r="AP3668" s="498">
        <f t="shared" si="1291"/>
        <v>0</v>
      </c>
      <c r="AQ3668" s="498">
        <f t="shared" si="1286"/>
        <v>0</v>
      </c>
      <c r="AU3668" s="498">
        <f t="shared" si="1273"/>
        <v>0</v>
      </c>
      <c r="AV3668" s="498">
        <f t="shared" si="1274"/>
        <v>0</v>
      </c>
      <c r="AW3668" s="498">
        <f t="shared" si="1275"/>
        <v>0</v>
      </c>
      <c r="AX3668" s="498">
        <f t="shared" si="1276"/>
        <v>0</v>
      </c>
      <c r="AY3668" s="498">
        <f t="shared" si="1277"/>
        <v>0</v>
      </c>
      <c r="BB3668" s="498" t="str">
        <f t="shared" si="1278"/>
        <v/>
      </c>
      <c r="BC3668" s="743" t="str">
        <f t="shared" si="1279"/>
        <v/>
      </c>
      <c r="BD3668" s="743" t="str">
        <f t="shared" si="1280"/>
        <v/>
      </c>
      <c r="BE3668" s="743" t="str">
        <f>IF(D3668="","",VLOOKUP(D3668,'General Basis'!$J$39:$K$46,2,0))</f>
        <v/>
      </c>
      <c r="BF3668" s="744" t="str">
        <f>IF(D3668="","",VLOOKUP(D3668,'General Basis'!$J$39:$L$46,3,0))</f>
        <v/>
      </c>
      <c r="BG3668" s="744" t="str">
        <f t="shared" si="1287"/>
        <v/>
      </c>
      <c r="BH3668" s="744" t="str">
        <f>IF(G3668="","",IF(BF3668="Abu Dhabi",IF(G3668&lt;18,'General Basis'!$C$39,IF(G3668&lt;41,'General Basis'!$C$40,IF(G3668&lt;60,'General Basis'!$C$41,IF(G3668&lt;65,'General Basis'!$C$42,'General Basis'!$C$43)))),IF(G3668&lt;11,'General Basis'!$B$39,IF(G3668&lt;18,'General Basis'!$B$40,IF(G3668&lt;26,'General Basis'!$B$41,IF(G3668&lt;31,'General Basis'!$B$42,IF(G3668&lt;36,'General Basis'!$B$43,IF(G3668&lt;41,'General Basis'!$B$44,IF(G3668&lt;46,'General Basis'!$B$45,IF(G3668&lt;51,'General Basis'!$B$46,IF(G3668&lt;56,'General Basis'!$B$47,IF(G3668&lt;60,'General Basis'!$B$48,IF(G3668&lt;65,'General Basis'!$B$49,'General Basis'!$B$50)))))))))))))</f>
        <v/>
      </c>
      <c r="BI3668" s="744" t="str">
        <f t="shared" si="1281"/>
        <v/>
      </c>
      <c r="BJ3668" s="747" t="str">
        <f t="shared" si="1288"/>
        <v/>
      </c>
      <c r="BK3668" s="498" t="str">
        <f t="shared" si="1282"/>
        <v/>
      </c>
      <c r="BL3668" s="498" t="str">
        <f t="shared" si="1283"/>
        <v/>
      </c>
    </row>
    <row r="3669" spans="1:64" x14ac:dyDescent="0.25">
      <c r="A3669" s="762">
        <f t="shared" si="1284"/>
        <v>3664</v>
      </c>
      <c r="B3669" s="229"/>
      <c r="C3669" s="223"/>
      <c r="D3669" s="224"/>
      <c r="E3669" s="225"/>
      <c r="F3669" s="1036" t="str">
        <f t="shared" si="1290"/>
        <v/>
      </c>
      <c r="G3669" s="1037" t="str">
        <f t="shared" si="1285"/>
        <v/>
      </c>
      <c r="H3669" s="225"/>
      <c r="I3669" s="1013"/>
      <c r="J3669" s="1013"/>
      <c r="K3669" s="1028"/>
      <c r="L3669" s="1035" t="str">
        <f t="shared" si="1289"/>
        <v/>
      </c>
      <c r="S3669" s="498"/>
      <c r="AJ3669" s="498"/>
      <c r="AM3669" s="498">
        <f t="shared" si="1270"/>
        <v>0</v>
      </c>
      <c r="AN3669" s="498">
        <f t="shared" si="1271"/>
        <v>0</v>
      </c>
      <c r="AO3669" s="498">
        <f t="shared" si="1272"/>
        <v>0</v>
      </c>
      <c r="AP3669" s="498">
        <f t="shared" si="1291"/>
        <v>0</v>
      </c>
      <c r="AQ3669" s="498">
        <f t="shared" si="1286"/>
        <v>0</v>
      </c>
      <c r="AU3669" s="498">
        <f t="shared" si="1273"/>
        <v>0</v>
      </c>
      <c r="AV3669" s="498">
        <f t="shared" si="1274"/>
        <v>0</v>
      </c>
      <c r="AW3669" s="498">
        <f t="shared" si="1275"/>
        <v>0</v>
      </c>
      <c r="AX3669" s="498">
        <f t="shared" si="1276"/>
        <v>0</v>
      </c>
      <c r="AY3669" s="498">
        <f t="shared" si="1277"/>
        <v>0</v>
      </c>
      <c r="BB3669" s="498" t="str">
        <f t="shared" si="1278"/>
        <v/>
      </c>
      <c r="BC3669" s="743" t="str">
        <f t="shared" si="1279"/>
        <v/>
      </c>
      <c r="BD3669" s="743" t="str">
        <f t="shared" si="1280"/>
        <v/>
      </c>
      <c r="BE3669" s="743" t="str">
        <f>IF(D3669="","",VLOOKUP(D3669,'General Basis'!$J$39:$K$46,2,0))</f>
        <v/>
      </c>
      <c r="BF3669" s="744" t="str">
        <f>IF(D3669="","",VLOOKUP(D3669,'General Basis'!$J$39:$L$46,3,0))</f>
        <v/>
      </c>
      <c r="BG3669" s="744" t="str">
        <f t="shared" si="1287"/>
        <v/>
      </c>
      <c r="BH3669" s="744" t="str">
        <f>IF(G3669="","",IF(BF3669="Abu Dhabi",IF(G3669&lt;18,'General Basis'!$C$39,IF(G3669&lt;41,'General Basis'!$C$40,IF(G3669&lt;60,'General Basis'!$C$41,IF(G3669&lt;65,'General Basis'!$C$42,'General Basis'!$C$43)))),IF(G3669&lt;11,'General Basis'!$B$39,IF(G3669&lt;18,'General Basis'!$B$40,IF(G3669&lt;26,'General Basis'!$B$41,IF(G3669&lt;31,'General Basis'!$B$42,IF(G3669&lt;36,'General Basis'!$B$43,IF(G3669&lt;41,'General Basis'!$B$44,IF(G3669&lt;46,'General Basis'!$B$45,IF(G3669&lt;51,'General Basis'!$B$46,IF(G3669&lt;56,'General Basis'!$B$47,IF(G3669&lt;60,'General Basis'!$B$48,IF(G3669&lt;65,'General Basis'!$B$49,'General Basis'!$B$50)))))))))))))</f>
        <v/>
      </c>
      <c r="BI3669" s="744" t="str">
        <f t="shared" si="1281"/>
        <v/>
      </c>
      <c r="BJ3669" s="747" t="str">
        <f t="shared" si="1288"/>
        <v/>
      </c>
      <c r="BK3669" s="498" t="str">
        <f t="shared" si="1282"/>
        <v/>
      </c>
      <c r="BL3669" s="498" t="str">
        <f t="shared" si="1283"/>
        <v/>
      </c>
    </row>
    <row r="3670" spans="1:64" x14ac:dyDescent="0.25">
      <c r="A3670" s="762">
        <f t="shared" si="1284"/>
        <v>3665</v>
      </c>
      <c r="B3670" s="229"/>
      <c r="C3670" s="223"/>
      <c r="D3670" s="224"/>
      <c r="E3670" s="225"/>
      <c r="F3670" s="1036" t="str">
        <f t="shared" si="1290"/>
        <v/>
      </c>
      <c r="G3670" s="1037" t="str">
        <f t="shared" si="1285"/>
        <v/>
      </c>
      <c r="H3670" s="225"/>
      <c r="I3670" s="1013"/>
      <c r="J3670" s="1013"/>
      <c r="K3670" s="1028"/>
      <c r="L3670" s="1035" t="str">
        <f t="shared" si="1289"/>
        <v/>
      </c>
      <c r="S3670" s="498"/>
      <c r="AJ3670" s="498"/>
      <c r="AM3670" s="498">
        <f t="shared" si="1270"/>
        <v>0</v>
      </c>
      <c r="AN3670" s="498">
        <f t="shared" si="1271"/>
        <v>0</v>
      </c>
      <c r="AO3670" s="498">
        <f t="shared" si="1272"/>
        <v>0</v>
      </c>
      <c r="AP3670" s="498">
        <f t="shared" si="1291"/>
        <v>0</v>
      </c>
      <c r="AQ3670" s="498">
        <f t="shared" si="1286"/>
        <v>0</v>
      </c>
      <c r="AU3670" s="498">
        <f t="shared" si="1273"/>
        <v>0</v>
      </c>
      <c r="AV3670" s="498">
        <f t="shared" si="1274"/>
        <v>0</v>
      </c>
      <c r="AW3670" s="498">
        <f t="shared" si="1275"/>
        <v>0</v>
      </c>
      <c r="AX3670" s="498">
        <f t="shared" si="1276"/>
        <v>0</v>
      </c>
      <c r="AY3670" s="498">
        <f t="shared" si="1277"/>
        <v>0</v>
      </c>
      <c r="BB3670" s="498" t="str">
        <f t="shared" si="1278"/>
        <v/>
      </c>
      <c r="BC3670" s="743" t="str">
        <f t="shared" si="1279"/>
        <v/>
      </c>
      <c r="BD3670" s="743" t="str">
        <f t="shared" si="1280"/>
        <v/>
      </c>
      <c r="BE3670" s="743" t="str">
        <f>IF(D3670="","",VLOOKUP(D3670,'General Basis'!$J$39:$K$46,2,0))</f>
        <v/>
      </c>
      <c r="BF3670" s="744" t="str">
        <f>IF(D3670="","",VLOOKUP(D3670,'General Basis'!$J$39:$L$46,3,0))</f>
        <v/>
      </c>
      <c r="BG3670" s="744" t="str">
        <f t="shared" si="1287"/>
        <v/>
      </c>
      <c r="BH3670" s="744" t="str">
        <f>IF(G3670="","",IF(BF3670="Abu Dhabi",IF(G3670&lt;18,'General Basis'!$C$39,IF(G3670&lt;41,'General Basis'!$C$40,IF(G3670&lt;60,'General Basis'!$C$41,IF(G3670&lt;65,'General Basis'!$C$42,'General Basis'!$C$43)))),IF(G3670&lt;11,'General Basis'!$B$39,IF(G3670&lt;18,'General Basis'!$B$40,IF(G3670&lt;26,'General Basis'!$B$41,IF(G3670&lt;31,'General Basis'!$B$42,IF(G3670&lt;36,'General Basis'!$B$43,IF(G3670&lt;41,'General Basis'!$B$44,IF(G3670&lt;46,'General Basis'!$B$45,IF(G3670&lt;51,'General Basis'!$B$46,IF(G3670&lt;56,'General Basis'!$B$47,IF(G3670&lt;60,'General Basis'!$B$48,IF(G3670&lt;65,'General Basis'!$B$49,'General Basis'!$B$50)))))))))))))</f>
        <v/>
      </c>
      <c r="BI3670" s="744" t="str">
        <f t="shared" si="1281"/>
        <v/>
      </c>
      <c r="BJ3670" s="747" t="str">
        <f t="shared" si="1288"/>
        <v/>
      </c>
      <c r="BK3670" s="498" t="str">
        <f t="shared" si="1282"/>
        <v/>
      </c>
      <c r="BL3670" s="498" t="str">
        <f t="shared" si="1283"/>
        <v/>
      </c>
    </row>
    <row r="3671" spans="1:64" x14ac:dyDescent="0.25">
      <c r="A3671" s="762">
        <f t="shared" si="1284"/>
        <v>3666</v>
      </c>
      <c r="B3671" s="229"/>
      <c r="C3671" s="223"/>
      <c r="D3671" s="224"/>
      <c r="E3671" s="225"/>
      <c r="F3671" s="1036" t="str">
        <f t="shared" si="1290"/>
        <v/>
      </c>
      <c r="G3671" s="1037" t="str">
        <f t="shared" si="1285"/>
        <v/>
      </c>
      <c r="H3671" s="225"/>
      <c r="I3671" s="1013"/>
      <c r="J3671" s="1013"/>
      <c r="K3671" s="1028"/>
      <c r="L3671" s="1035" t="str">
        <f t="shared" si="1289"/>
        <v/>
      </c>
      <c r="S3671" s="498"/>
      <c r="AJ3671" s="498"/>
      <c r="AM3671" s="498">
        <f t="shared" si="1270"/>
        <v>0</v>
      </c>
      <c r="AN3671" s="498">
        <f t="shared" si="1271"/>
        <v>0</v>
      </c>
      <c r="AO3671" s="498">
        <f t="shared" si="1272"/>
        <v>0</v>
      </c>
      <c r="AP3671" s="498">
        <f t="shared" si="1291"/>
        <v>0</v>
      </c>
      <c r="AQ3671" s="498">
        <f t="shared" si="1286"/>
        <v>0</v>
      </c>
      <c r="AU3671" s="498">
        <f t="shared" si="1273"/>
        <v>0</v>
      </c>
      <c r="AV3671" s="498">
        <f t="shared" si="1274"/>
        <v>0</v>
      </c>
      <c r="AW3671" s="498">
        <f t="shared" si="1275"/>
        <v>0</v>
      </c>
      <c r="AX3671" s="498">
        <f t="shared" si="1276"/>
        <v>0</v>
      </c>
      <c r="AY3671" s="498">
        <f t="shared" si="1277"/>
        <v>0</v>
      </c>
      <c r="BB3671" s="498" t="str">
        <f t="shared" si="1278"/>
        <v/>
      </c>
      <c r="BC3671" s="743" t="str">
        <f t="shared" si="1279"/>
        <v/>
      </c>
      <c r="BD3671" s="743" t="str">
        <f t="shared" si="1280"/>
        <v/>
      </c>
      <c r="BE3671" s="743" t="str">
        <f>IF(D3671="","",VLOOKUP(D3671,'General Basis'!$J$39:$K$46,2,0))</f>
        <v/>
      </c>
      <c r="BF3671" s="744" t="str">
        <f>IF(D3671="","",VLOOKUP(D3671,'General Basis'!$J$39:$L$46,3,0))</f>
        <v/>
      </c>
      <c r="BG3671" s="744" t="str">
        <f t="shared" si="1287"/>
        <v/>
      </c>
      <c r="BH3671" s="744" t="str">
        <f>IF(G3671="","",IF(BF3671="Abu Dhabi",IF(G3671&lt;18,'General Basis'!$C$39,IF(G3671&lt;41,'General Basis'!$C$40,IF(G3671&lt;60,'General Basis'!$C$41,IF(G3671&lt;65,'General Basis'!$C$42,'General Basis'!$C$43)))),IF(G3671&lt;11,'General Basis'!$B$39,IF(G3671&lt;18,'General Basis'!$B$40,IF(G3671&lt;26,'General Basis'!$B$41,IF(G3671&lt;31,'General Basis'!$B$42,IF(G3671&lt;36,'General Basis'!$B$43,IF(G3671&lt;41,'General Basis'!$B$44,IF(G3671&lt;46,'General Basis'!$B$45,IF(G3671&lt;51,'General Basis'!$B$46,IF(G3671&lt;56,'General Basis'!$B$47,IF(G3671&lt;60,'General Basis'!$B$48,IF(G3671&lt;65,'General Basis'!$B$49,'General Basis'!$B$50)))))))))))))</f>
        <v/>
      </c>
      <c r="BI3671" s="744" t="str">
        <f t="shared" si="1281"/>
        <v/>
      </c>
      <c r="BJ3671" s="747" t="str">
        <f t="shared" si="1288"/>
        <v/>
      </c>
      <c r="BK3671" s="498" t="str">
        <f t="shared" si="1282"/>
        <v/>
      </c>
      <c r="BL3671" s="498" t="str">
        <f t="shared" si="1283"/>
        <v/>
      </c>
    </row>
    <row r="3672" spans="1:64" x14ac:dyDescent="0.25">
      <c r="A3672" s="762">
        <f t="shared" si="1284"/>
        <v>3667</v>
      </c>
      <c r="B3672" s="229"/>
      <c r="C3672" s="223"/>
      <c r="D3672" s="224"/>
      <c r="E3672" s="225"/>
      <c r="F3672" s="1036" t="str">
        <f t="shared" si="1290"/>
        <v/>
      </c>
      <c r="G3672" s="1037" t="str">
        <f t="shared" si="1285"/>
        <v/>
      </c>
      <c r="H3672" s="225"/>
      <c r="I3672" s="1013"/>
      <c r="J3672" s="1013"/>
      <c r="K3672" s="1028"/>
      <c r="L3672" s="1035" t="str">
        <f t="shared" si="1289"/>
        <v/>
      </c>
      <c r="S3672" s="498"/>
      <c r="AJ3672" s="498"/>
      <c r="AM3672" s="498">
        <f t="shared" si="1270"/>
        <v>0</v>
      </c>
      <c r="AN3672" s="498">
        <f t="shared" si="1271"/>
        <v>0</v>
      </c>
      <c r="AO3672" s="498">
        <f t="shared" si="1272"/>
        <v>0</v>
      </c>
      <c r="AP3672" s="498">
        <f t="shared" si="1291"/>
        <v>0</v>
      </c>
      <c r="AQ3672" s="498">
        <f t="shared" si="1286"/>
        <v>0</v>
      </c>
      <c r="AU3672" s="498">
        <f t="shared" si="1273"/>
        <v>0</v>
      </c>
      <c r="AV3672" s="498">
        <f t="shared" si="1274"/>
        <v>0</v>
      </c>
      <c r="AW3672" s="498">
        <f t="shared" si="1275"/>
        <v>0</v>
      </c>
      <c r="AX3672" s="498">
        <f t="shared" si="1276"/>
        <v>0</v>
      </c>
      <c r="AY3672" s="498">
        <f t="shared" si="1277"/>
        <v>0</v>
      </c>
      <c r="BB3672" s="498" t="str">
        <f t="shared" si="1278"/>
        <v/>
      </c>
      <c r="BC3672" s="743" t="str">
        <f t="shared" si="1279"/>
        <v/>
      </c>
      <c r="BD3672" s="743" t="str">
        <f t="shared" si="1280"/>
        <v/>
      </c>
      <c r="BE3672" s="743" t="str">
        <f>IF(D3672="","",VLOOKUP(D3672,'General Basis'!$J$39:$K$46,2,0))</f>
        <v/>
      </c>
      <c r="BF3672" s="744" t="str">
        <f>IF(D3672="","",VLOOKUP(D3672,'General Basis'!$J$39:$L$46,3,0))</f>
        <v/>
      </c>
      <c r="BG3672" s="744" t="str">
        <f t="shared" si="1287"/>
        <v/>
      </c>
      <c r="BH3672" s="744" t="str">
        <f>IF(G3672="","",IF(BF3672="Abu Dhabi",IF(G3672&lt;18,'General Basis'!$C$39,IF(G3672&lt;41,'General Basis'!$C$40,IF(G3672&lt;60,'General Basis'!$C$41,IF(G3672&lt;65,'General Basis'!$C$42,'General Basis'!$C$43)))),IF(G3672&lt;11,'General Basis'!$B$39,IF(G3672&lt;18,'General Basis'!$B$40,IF(G3672&lt;26,'General Basis'!$B$41,IF(G3672&lt;31,'General Basis'!$B$42,IF(G3672&lt;36,'General Basis'!$B$43,IF(G3672&lt;41,'General Basis'!$B$44,IF(G3672&lt;46,'General Basis'!$B$45,IF(G3672&lt;51,'General Basis'!$B$46,IF(G3672&lt;56,'General Basis'!$B$47,IF(G3672&lt;60,'General Basis'!$B$48,IF(G3672&lt;65,'General Basis'!$B$49,'General Basis'!$B$50)))))))))))))</f>
        <v/>
      </c>
      <c r="BI3672" s="744" t="str">
        <f t="shared" si="1281"/>
        <v/>
      </c>
      <c r="BJ3672" s="747" t="str">
        <f t="shared" si="1288"/>
        <v/>
      </c>
      <c r="BK3672" s="498" t="str">
        <f t="shared" si="1282"/>
        <v/>
      </c>
      <c r="BL3672" s="498" t="str">
        <f t="shared" si="1283"/>
        <v/>
      </c>
    </row>
    <row r="3673" spans="1:64" x14ac:dyDescent="0.25">
      <c r="A3673" s="762">
        <f t="shared" si="1284"/>
        <v>3668</v>
      </c>
      <c r="B3673" s="229"/>
      <c r="C3673" s="223"/>
      <c r="D3673" s="224"/>
      <c r="E3673" s="225"/>
      <c r="F3673" s="1036" t="str">
        <f t="shared" si="1290"/>
        <v/>
      </c>
      <c r="G3673" s="1037" t="str">
        <f t="shared" si="1285"/>
        <v/>
      </c>
      <c r="H3673" s="225"/>
      <c r="I3673" s="1013"/>
      <c r="J3673" s="1013"/>
      <c r="K3673" s="1028"/>
      <c r="L3673" s="1035" t="str">
        <f t="shared" si="1289"/>
        <v/>
      </c>
      <c r="S3673" s="498"/>
      <c r="AJ3673" s="498"/>
      <c r="AM3673" s="498">
        <f t="shared" si="1270"/>
        <v>0</v>
      </c>
      <c r="AN3673" s="498">
        <f t="shared" si="1271"/>
        <v>0</v>
      </c>
      <c r="AO3673" s="498">
        <f t="shared" si="1272"/>
        <v>0</v>
      </c>
      <c r="AP3673" s="498">
        <f t="shared" si="1291"/>
        <v>0</v>
      </c>
      <c r="AQ3673" s="498">
        <f t="shared" si="1286"/>
        <v>0</v>
      </c>
      <c r="AU3673" s="498">
        <f t="shared" si="1273"/>
        <v>0</v>
      </c>
      <c r="AV3673" s="498">
        <f t="shared" si="1274"/>
        <v>0</v>
      </c>
      <c r="AW3673" s="498">
        <f t="shared" si="1275"/>
        <v>0</v>
      </c>
      <c r="AX3673" s="498">
        <f t="shared" si="1276"/>
        <v>0</v>
      </c>
      <c r="AY3673" s="498">
        <f t="shared" si="1277"/>
        <v>0</v>
      </c>
      <c r="BB3673" s="498" t="str">
        <f t="shared" si="1278"/>
        <v/>
      </c>
      <c r="BC3673" s="743" t="str">
        <f t="shared" si="1279"/>
        <v/>
      </c>
      <c r="BD3673" s="743" t="str">
        <f t="shared" si="1280"/>
        <v/>
      </c>
      <c r="BE3673" s="743" t="str">
        <f>IF(D3673="","",VLOOKUP(D3673,'General Basis'!$J$39:$K$46,2,0))</f>
        <v/>
      </c>
      <c r="BF3673" s="744" t="str">
        <f>IF(D3673="","",VLOOKUP(D3673,'General Basis'!$J$39:$L$46,3,0))</f>
        <v/>
      </c>
      <c r="BG3673" s="744" t="str">
        <f t="shared" si="1287"/>
        <v/>
      </c>
      <c r="BH3673" s="744" t="str">
        <f>IF(G3673="","",IF(BF3673="Abu Dhabi",IF(G3673&lt;18,'General Basis'!$C$39,IF(G3673&lt;41,'General Basis'!$C$40,IF(G3673&lt;60,'General Basis'!$C$41,IF(G3673&lt;65,'General Basis'!$C$42,'General Basis'!$C$43)))),IF(G3673&lt;11,'General Basis'!$B$39,IF(G3673&lt;18,'General Basis'!$B$40,IF(G3673&lt;26,'General Basis'!$B$41,IF(G3673&lt;31,'General Basis'!$B$42,IF(G3673&lt;36,'General Basis'!$B$43,IF(G3673&lt;41,'General Basis'!$B$44,IF(G3673&lt;46,'General Basis'!$B$45,IF(G3673&lt;51,'General Basis'!$B$46,IF(G3673&lt;56,'General Basis'!$B$47,IF(G3673&lt;60,'General Basis'!$B$48,IF(G3673&lt;65,'General Basis'!$B$49,'General Basis'!$B$50)))))))))))))</f>
        <v/>
      </c>
      <c r="BI3673" s="744" t="str">
        <f t="shared" si="1281"/>
        <v/>
      </c>
      <c r="BJ3673" s="747" t="str">
        <f t="shared" si="1288"/>
        <v/>
      </c>
      <c r="BK3673" s="498" t="str">
        <f t="shared" si="1282"/>
        <v/>
      </c>
      <c r="BL3673" s="498" t="str">
        <f t="shared" si="1283"/>
        <v/>
      </c>
    </row>
    <row r="3674" spans="1:64" x14ac:dyDescent="0.25">
      <c r="A3674" s="762">
        <f t="shared" si="1284"/>
        <v>3669</v>
      </c>
      <c r="B3674" s="229"/>
      <c r="C3674" s="223"/>
      <c r="D3674" s="224"/>
      <c r="E3674" s="225"/>
      <c r="F3674" s="1036" t="str">
        <f t="shared" si="1290"/>
        <v/>
      </c>
      <c r="G3674" s="1037" t="str">
        <f t="shared" si="1285"/>
        <v/>
      </c>
      <c r="H3674" s="225"/>
      <c r="I3674" s="1013"/>
      <c r="J3674" s="1013"/>
      <c r="K3674" s="1028"/>
      <c r="L3674" s="1035" t="str">
        <f t="shared" si="1289"/>
        <v/>
      </c>
      <c r="S3674" s="498"/>
      <c r="AJ3674" s="498"/>
      <c r="AM3674" s="498">
        <f t="shared" si="1270"/>
        <v>0</v>
      </c>
      <c r="AN3674" s="498">
        <f t="shared" si="1271"/>
        <v>0</v>
      </c>
      <c r="AO3674" s="498">
        <f t="shared" si="1272"/>
        <v>0</v>
      </c>
      <c r="AP3674" s="498">
        <f t="shared" si="1291"/>
        <v>0</v>
      </c>
      <c r="AQ3674" s="498">
        <f t="shared" si="1286"/>
        <v>0</v>
      </c>
      <c r="AU3674" s="498">
        <f t="shared" si="1273"/>
        <v>0</v>
      </c>
      <c r="AV3674" s="498">
        <f t="shared" si="1274"/>
        <v>0</v>
      </c>
      <c r="AW3674" s="498">
        <f t="shared" si="1275"/>
        <v>0</v>
      </c>
      <c r="AX3674" s="498">
        <f t="shared" si="1276"/>
        <v>0</v>
      </c>
      <c r="AY3674" s="498">
        <f t="shared" si="1277"/>
        <v>0</v>
      </c>
      <c r="BB3674" s="498" t="str">
        <f t="shared" si="1278"/>
        <v/>
      </c>
      <c r="BC3674" s="743" t="str">
        <f t="shared" si="1279"/>
        <v/>
      </c>
      <c r="BD3674" s="743" t="str">
        <f t="shared" si="1280"/>
        <v/>
      </c>
      <c r="BE3674" s="743" t="str">
        <f>IF(D3674="","",VLOOKUP(D3674,'General Basis'!$J$39:$K$46,2,0))</f>
        <v/>
      </c>
      <c r="BF3674" s="744" t="str">
        <f>IF(D3674="","",VLOOKUP(D3674,'General Basis'!$J$39:$L$46,3,0))</f>
        <v/>
      </c>
      <c r="BG3674" s="744" t="str">
        <f t="shared" si="1287"/>
        <v/>
      </c>
      <c r="BH3674" s="744" t="str">
        <f>IF(G3674="","",IF(BF3674="Abu Dhabi",IF(G3674&lt;18,'General Basis'!$C$39,IF(G3674&lt;41,'General Basis'!$C$40,IF(G3674&lt;60,'General Basis'!$C$41,IF(G3674&lt;65,'General Basis'!$C$42,'General Basis'!$C$43)))),IF(G3674&lt;11,'General Basis'!$B$39,IF(G3674&lt;18,'General Basis'!$B$40,IF(G3674&lt;26,'General Basis'!$B$41,IF(G3674&lt;31,'General Basis'!$B$42,IF(G3674&lt;36,'General Basis'!$B$43,IF(G3674&lt;41,'General Basis'!$B$44,IF(G3674&lt;46,'General Basis'!$B$45,IF(G3674&lt;51,'General Basis'!$B$46,IF(G3674&lt;56,'General Basis'!$B$47,IF(G3674&lt;60,'General Basis'!$B$48,IF(G3674&lt;65,'General Basis'!$B$49,'General Basis'!$B$50)))))))))))))</f>
        <v/>
      </c>
      <c r="BI3674" s="744" t="str">
        <f t="shared" si="1281"/>
        <v/>
      </c>
      <c r="BJ3674" s="747" t="str">
        <f t="shared" si="1288"/>
        <v/>
      </c>
      <c r="BK3674" s="498" t="str">
        <f t="shared" si="1282"/>
        <v/>
      </c>
      <c r="BL3674" s="498" t="str">
        <f t="shared" si="1283"/>
        <v/>
      </c>
    </row>
    <row r="3675" spans="1:64" x14ac:dyDescent="0.25">
      <c r="A3675" s="762">
        <f t="shared" si="1284"/>
        <v>3670</v>
      </c>
      <c r="B3675" s="229"/>
      <c r="C3675" s="223"/>
      <c r="D3675" s="224"/>
      <c r="E3675" s="225"/>
      <c r="F3675" s="1036" t="str">
        <f t="shared" si="1290"/>
        <v/>
      </c>
      <c r="G3675" s="1037" t="str">
        <f t="shared" si="1285"/>
        <v/>
      </c>
      <c r="H3675" s="225"/>
      <c r="I3675" s="1013"/>
      <c r="J3675" s="1013"/>
      <c r="K3675" s="1028"/>
      <c r="L3675" s="1035" t="str">
        <f t="shared" si="1289"/>
        <v/>
      </c>
      <c r="S3675" s="498"/>
      <c r="AJ3675" s="498"/>
      <c r="AM3675" s="498">
        <f t="shared" si="1270"/>
        <v>0</v>
      </c>
      <c r="AN3675" s="498">
        <f t="shared" si="1271"/>
        <v>0</v>
      </c>
      <c r="AO3675" s="498">
        <f t="shared" si="1272"/>
        <v>0</v>
      </c>
      <c r="AP3675" s="498">
        <f t="shared" si="1291"/>
        <v>0</v>
      </c>
      <c r="AQ3675" s="498">
        <f t="shared" si="1286"/>
        <v>0</v>
      </c>
      <c r="AU3675" s="498">
        <f t="shared" si="1273"/>
        <v>0</v>
      </c>
      <c r="AV3675" s="498">
        <f t="shared" si="1274"/>
        <v>0</v>
      </c>
      <c r="AW3675" s="498">
        <f t="shared" si="1275"/>
        <v>0</v>
      </c>
      <c r="AX3675" s="498">
        <f t="shared" si="1276"/>
        <v>0</v>
      </c>
      <c r="AY3675" s="498">
        <f t="shared" si="1277"/>
        <v>0</v>
      </c>
      <c r="BB3675" s="498" t="str">
        <f t="shared" si="1278"/>
        <v/>
      </c>
      <c r="BC3675" s="743" t="str">
        <f t="shared" si="1279"/>
        <v/>
      </c>
      <c r="BD3675" s="743" t="str">
        <f t="shared" si="1280"/>
        <v/>
      </c>
      <c r="BE3675" s="743" t="str">
        <f>IF(D3675="","",VLOOKUP(D3675,'General Basis'!$J$39:$K$46,2,0))</f>
        <v/>
      </c>
      <c r="BF3675" s="744" t="str">
        <f>IF(D3675="","",VLOOKUP(D3675,'General Basis'!$J$39:$L$46,3,0))</f>
        <v/>
      </c>
      <c r="BG3675" s="744" t="str">
        <f t="shared" si="1287"/>
        <v/>
      </c>
      <c r="BH3675" s="744" t="str">
        <f>IF(G3675="","",IF(BF3675="Abu Dhabi",IF(G3675&lt;18,'General Basis'!$C$39,IF(G3675&lt;41,'General Basis'!$C$40,IF(G3675&lt;60,'General Basis'!$C$41,IF(G3675&lt;65,'General Basis'!$C$42,'General Basis'!$C$43)))),IF(G3675&lt;11,'General Basis'!$B$39,IF(G3675&lt;18,'General Basis'!$B$40,IF(G3675&lt;26,'General Basis'!$B$41,IF(G3675&lt;31,'General Basis'!$B$42,IF(G3675&lt;36,'General Basis'!$B$43,IF(G3675&lt;41,'General Basis'!$B$44,IF(G3675&lt;46,'General Basis'!$B$45,IF(G3675&lt;51,'General Basis'!$B$46,IF(G3675&lt;56,'General Basis'!$B$47,IF(G3675&lt;60,'General Basis'!$B$48,IF(G3675&lt;65,'General Basis'!$B$49,'General Basis'!$B$50)))))))))))))</f>
        <v/>
      </c>
      <c r="BI3675" s="744" t="str">
        <f t="shared" si="1281"/>
        <v/>
      </c>
      <c r="BJ3675" s="747" t="str">
        <f t="shared" si="1288"/>
        <v/>
      </c>
      <c r="BK3675" s="498" t="str">
        <f t="shared" si="1282"/>
        <v/>
      </c>
      <c r="BL3675" s="498" t="str">
        <f t="shared" si="1283"/>
        <v/>
      </c>
    </row>
    <row r="3676" spans="1:64" x14ac:dyDescent="0.25">
      <c r="A3676" s="762">
        <f t="shared" si="1284"/>
        <v>3671</v>
      </c>
      <c r="B3676" s="229"/>
      <c r="C3676" s="223"/>
      <c r="D3676" s="224"/>
      <c r="E3676" s="225"/>
      <c r="F3676" s="1036" t="str">
        <f t="shared" si="1290"/>
        <v/>
      </c>
      <c r="G3676" s="1037" t="str">
        <f t="shared" si="1285"/>
        <v/>
      </c>
      <c r="H3676" s="225"/>
      <c r="I3676" s="1013"/>
      <c r="J3676" s="1013"/>
      <c r="K3676" s="1028"/>
      <c r="L3676" s="1035" t="str">
        <f t="shared" si="1289"/>
        <v/>
      </c>
      <c r="S3676" s="498"/>
      <c r="AJ3676" s="498"/>
      <c r="AM3676" s="498">
        <f t="shared" si="1270"/>
        <v>0</v>
      </c>
      <c r="AN3676" s="498">
        <f t="shared" si="1271"/>
        <v>0</v>
      </c>
      <c r="AO3676" s="498">
        <f t="shared" si="1272"/>
        <v>0</v>
      </c>
      <c r="AP3676" s="498">
        <f t="shared" si="1291"/>
        <v>0</v>
      </c>
      <c r="AQ3676" s="498">
        <f t="shared" si="1286"/>
        <v>0</v>
      </c>
      <c r="AU3676" s="498">
        <f t="shared" si="1273"/>
        <v>0</v>
      </c>
      <c r="AV3676" s="498">
        <f t="shared" si="1274"/>
        <v>0</v>
      </c>
      <c r="AW3676" s="498">
        <f t="shared" si="1275"/>
        <v>0</v>
      </c>
      <c r="AX3676" s="498">
        <f t="shared" si="1276"/>
        <v>0</v>
      </c>
      <c r="AY3676" s="498">
        <f t="shared" si="1277"/>
        <v>0</v>
      </c>
      <c r="BB3676" s="498" t="str">
        <f t="shared" si="1278"/>
        <v/>
      </c>
      <c r="BC3676" s="743" t="str">
        <f t="shared" si="1279"/>
        <v/>
      </c>
      <c r="BD3676" s="743" t="str">
        <f t="shared" si="1280"/>
        <v/>
      </c>
      <c r="BE3676" s="743" t="str">
        <f>IF(D3676="","",VLOOKUP(D3676,'General Basis'!$J$39:$K$46,2,0))</f>
        <v/>
      </c>
      <c r="BF3676" s="744" t="str">
        <f>IF(D3676="","",VLOOKUP(D3676,'General Basis'!$J$39:$L$46,3,0))</f>
        <v/>
      </c>
      <c r="BG3676" s="744" t="str">
        <f t="shared" si="1287"/>
        <v/>
      </c>
      <c r="BH3676" s="744" t="str">
        <f>IF(G3676="","",IF(BF3676="Abu Dhabi",IF(G3676&lt;18,'General Basis'!$C$39,IF(G3676&lt;41,'General Basis'!$C$40,IF(G3676&lt;60,'General Basis'!$C$41,IF(G3676&lt;65,'General Basis'!$C$42,'General Basis'!$C$43)))),IF(G3676&lt;11,'General Basis'!$B$39,IF(G3676&lt;18,'General Basis'!$B$40,IF(G3676&lt;26,'General Basis'!$B$41,IF(G3676&lt;31,'General Basis'!$B$42,IF(G3676&lt;36,'General Basis'!$B$43,IF(G3676&lt;41,'General Basis'!$B$44,IF(G3676&lt;46,'General Basis'!$B$45,IF(G3676&lt;51,'General Basis'!$B$46,IF(G3676&lt;56,'General Basis'!$B$47,IF(G3676&lt;60,'General Basis'!$B$48,IF(G3676&lt;65,'General Basis'!$B$49,'General Basis'!$B$50)))))))))))))</f>
        <v/>
      </c>
      <c r="BI3676" s="744" t="str">
        <f t="shared" si="1281"/>
        <v/>
      </c>
      <c r="BJ3676" s="747" t="str">
        <f t="shared" si="1288"/>
        <v/>
      </c>
      <c r="BK3676" s="498" t="str">
        <f t="shared" si="1282"/>
        <v/>
      </c>
      <c r="BL3676" s="498" t="str">
        <f t="shared" si="1283"/>
        <v/>
      </c>
    </row>
    <row r="3677" spans="1:64" x14ac:dyDescent="0.25">
      <c r="A3677" s="762">
        <f t="shared" si="1284"/>
        <v>3672</v>
      </c>
      <c r="B3677" s="229"/>
      <c r="C3677" s="223"/>
      <c r="D3677" s="224"/>
      <c r="E3677" s="225"/>
      <c r="F3677" s="1036" t="str">
        <f t="shared" si="1290"/>
        <v/>
      </c>
      <c r="G3677" s="1037" t="str">
        <f t="shared" si="1285"/>
        <v/>
      </c>
      <c r="H3677" s="225"/>
      <c r="I3677" s="1013"/>
      <c r="J3677" s="1013"/>
      <c r="K3677" s="1028"/>
      <c r="L3677" s="1035" t="str">
        <f t="shared" si="1289"/>
        <v/>
      </c>
      <c r="S3677" s="498"/>
      <c r="AJ3677" s="498"/>
      <c r="AM3677" s="498">
        <f t="shared" si="1270"/>
        <v>0</v>
      </c>
      <c r="AN3677" s="498">
        <f t="shared" si="1271"/>
        <v>0</v>
      </c>
      <c r="AO3677" s="498">
        <f t="shared" si="1272"/>
        <v>0</v>
      </c>
      <c r="AP3677" s="498">
        <f t="shared" si="1291"/>
        <v>0</v>
      </c>
      <c r="AQ3677" s="498">
        <f t="shared" si="1286"/>
        <v>0</v>
      </c>
      <c r="AU3677" s="498">
        <f t="shared" si="1273"/>
        <v>0</v>
      </c>
      <c r="AV3677" s="498">
        <f t="shared" si="1274"/>
        <v>0</v>
      </c>
      <c r="AW3677" s="498">
        <f t="shared" si="1275"/>
        <v>0</v>
      </c>
      <c r="AX3677" s="498">
        <f t="shared" si="1276"/>
        <v>0</v>
      </c>
      <c r="AY3677" s="498">
        <f t="shared" si="1277"/>
        <v>0</v>
      </c>
      <c r="BB3677" s="498" t="str">
        <f t="shared" si="1278"/>
        <v/>
      </c>
      <c r="BC3677" s="743" t="str">
        <f t="shared" si="1279"/>
        <v/>
      </c>
      <c r="BD3677" s="743" t="str">
        <f t="shared" si="1280"/>
        <v/>
      </c>
      <c r="BE3677" s="743" t="str">
        <f>IF(D3677="","",VLOOKUP(D3677,'General Basis'!$J$39:$K$46,2,0))</f>
        <v/>
      </c>
      <c r="BF3677" s="744" t="str">
        <f>IF(D3677="","",VLOOKUP(D3677,'General Basis'!$J$39:$L$46,3,0))</f>
        <v/>
      </c>
      <c r="BG3677" s="744" t="str">
        <f t="shared" si="1287"/>
        <v/>
      </c>
      <c r="BH3677" s="744" t="str">
        <f>IF(G3677="","",IF(BF3677="Abu Dhabi",IF(G3677&lt;18,'General Basis'!$C$39,IF(G3677&lt;41,'General Basis'!$C$40,IF(G3677&lt;60,'General Basis'!$C$41,IF(G3677&lt;65,'General Basis'!$C$42,'General Basis'!$C$43)))),IF(G3677&lt;11,'General Basis'!$B$39,IF(G3677&lt;18,'General Basis'!$B$40,IF(G3677&lt;26,'General Basis'!$B$41,IF(G3677&lt;31,'General Basis'!$B$42,IF(G3677&lt;36,'General Basis'!$B$43,IF(G3677&lt;41,'General Basis'!$B$44,IF(G3677&lt;46,'General Basis'!$B$45,IF(G3677&lt;51,'General Basis'!$B$46,IF(G3677&lt;56,'General Basis'!$B$47,IF(G3677&lt;60,'General Basis'!$B$48,IF(G3677&lt;65,'General Basis'!$B$49,'General Basis'!$B$50)))))))))))))</f>
        <v/>
      </c>
      <c r="BI3677" s="744" t="str">
        <f t="shared" si="1281"/>
        <v/>
      </c>
      <c r="BJ3677" s="747" t="str">
        <f t="shared" si="1288"/>
        <v/>
      </c>
      <c r="BK3677" s="498" t="str">
        <f t="shared" si="1282"/>
        <v/>
      </c>
      <c r="BL3677" s="498" t="str">
        <f t="shared" si="1283"/>
        <v/>
      </c>
    </row>
    <row r="3678" spans="1:64" x14ac:dyDescent="0.25">
      <c r="A3678" s="762">
        <f t="shared" si="1284"/>
        <v>3673</v>
      </c>
      <c r="B3678" s="229"/>
      <c r="C3678" s="223"/>
      <c r="D3678" s="224"/>
      <c r="E3678" s="225"/>
      <c r="F3678" s="1036" t="str">
        <f t="shared" si="1290"/>
        <v/>
      </c>
      <c r="G3678" s="1037" t="str">
        <f t="shared" si="1285"/>
        <v/>
      </c>
      <c r="H3678" s="225"/>
      <c r="I3678" s="1013"/>
      <c r="J3678" s="1013"/>
      <c r="K3678" s="1028"/>
      <c r="L3678" s="1035" t="str">
        <f t="shared" si="1289"/>
        <v/>
      </c>
      <c r="S3678" s="498"/>
      <c r="AJ3678" s="498"/>
      <c r="AM3678" s="498">
        <f t="shared" si="1270"/>
        <v>0</v>
      </c>
      <c r="AN3678" s="498">
        <f t="shared" si="1271"/>
        <v>0</v>
      </c>
      <c r="AO3678" s="498">
        <f t="shared" si="1272"/>
        <v>0</v>
      </c>
      <c r="AP3678" s="498">
        <f t="shared" si="1291"/>
        <v>0</v>
      </c>
      <c r="AQ3678" s="498">
        <f t="shared" si="1286"/>
        <v>0</v>
      </c>
      <c r="AU3678" s="498">
        <f t="shared" si="1273"/>
        <v>0</v>
      </c>
      <c r="AV3678" s="498">
        <f t="shared" si="1274"/>
        <v>0</v>
      </c>
      <c r="AW3678" s="498">
        <f t="shared" si="1275"/>
        <v>0</v>
      </c>
      <c r="AX3678" s="498">
        <f t="shared" si="1276"/>
        <v>0</v>
      </c>
      <c r="AY3678" s="498">
        <f t="shared" si="1277"/>
        <v>0</v>
      </c>
      <c r="BB3678" s="498" t="str">
        <f t="shared" si="1278"/>
        <v/>
      </c>
      <c r="BC3678" s="743" t="str">
        <f t="shared" si="1279"/>
        <v/>
      </c>
      <c r="BD3678" s="743" t="str">
        <f t="shared" si="1280"/>
        <v/>
      </c>
      <c r="BE3678" s="743" t="str">
        <f>IF(D3678="","",VLOOKUP(D3678,'General Basis'!$J$39:$K$46,2,0))</f>
        <v/>
      </c>
      <c r="BF3678" s="744" t="str">
        <f>IF(D3678="","",VLOOKUP(D3678,'General Basis'!$J$39:$L$46,3,0))</f>
        <v/>
      </c>
      <c r="BG3678" s="744" t="str">
        <f t="shared" si="1287"/>
        <v/>
      </c>
      <c r="BH3678" s="744" t="str">
        <f>IF(G3678="","",IF(BF3678="Abu Dhabi",IF(G3678&lt;18,'General Basis'!$C$39,IF(G3678&lt;41,'General Basis'!$C$40,IF(G3678&lt;60,'General Basis'!$C$41,IF(G3678&lt;65,'General Basis'!$C$42,'General Basis'!$C$43)))),IF(G3678&lt;11,'General Basis'!$B$39,IF(G3678&lt;18,'General Basis'!$B$40,IF(G3678&lt;26,'General Basis'!$B$41,IF(G3678&lt;31,'General Basis'!$B$42,IF(G3678&lt;36,'General Basis'!$B$43,IF(G3678&lt;41,'General Basis'!$B$44,IF(G3678&lt;46,'General Basis'!$B$45,IF(G3678&lt;51,'General Basis'!$B$46,IF(G3678&lt;56,'General Basis'!$B$47,IF(G3678&lt;60,'General Basis'!$B$48,IF(G3678&lt;65,'General Basis'!$B$49,'General Basis'!$B$50)))))))))))))</f>
        <v/>
      </c>
      <c r="BI3678" s="744" t="str">
        <f t="shared" si="1281"/>
        <v/>
      </c>
      <c r="BJ3678" s="747" t="str">
        <f t="shared" si="1288"/>
        <v/>
      </c>
      <c r="BK3678" s="498" t="str">
        <f t="shared" si="1282"/>
        <v/>
      </c>
      <c r="BL3678" s="498" t="str">
        <f t="shared" si="1283"/>
        <v/>
      </c>
    </row>
    <row r="3679" spans="1:64" x14ac:dyDescent="0.25">
      <c r="A3679" s="762">
        <f t="shared" si="1284"/>
        <v>3674</v>
      </c>
      <c r="B3679" s="229"/>
      <c r="C3679" s="223"/>
      <c r="D3679" s="224"/>
      <c r="E3679" s="225"/>
      <c r="F3679" s="1036" t="str">
        <f t="shared" si="1290"/>
        <v/>
      </c>
      <c r="G3679" s="1037" t="str">
        <f t="shared" si="1285"/>
        <v/>
      </c>
      <c r="H3679" s="225"/>
      <c r="I3679" s="1013"/>
      <c r="J3679" s="1013"/>
      <c r="K3679" s="1028"/>
      <c r="L3679" s="1035" t="str">
        <f t="shared" si="1289"/>
        <v/>
      </c>
      <c r="S3679" s="498"/>
      <c r="AJ3679" s="498"/>
      <c r="AM3679" s="498">
        <f t="shared" si="1270"/>
        <v>0</v>
      </c>
      <c r="AN3679" s="498">
        <f t="shared" si="1271"/>
        <v>0</v>
      </c>
      <c r="AO3679" s="498">
        <f t="shared" si="1272"/>
        <v>0</v>
      </c>
      <c r="AP3679" s="498">
        <f t="shared" si="1291"/>
        <v>0</v>
      </c>
      <c r="AQ3679" s="498">
        <f t="shared" si="1286"/>
        <v>0</v>
      </c>
      <c r="AU3679" s="498">
        <f t="shared" si="1273"/>
        <v>0</v>
      </c>
      <c r="AV3679" s="498">
        <f t="shared" si="1274"/>
        <v>0</v>
      </c>
      <c r="AW3679" s="498">
        <f t="shared" si="1275"/>
        <v>0</v>
      </c>
      <c r="AX3679" s="498">
        <f t="shared" si="1276"/>
        <v>0</v>
      </c>
      <c r="AY3679" s="498">
        <f t="shared" si="1277"/>
        <v>0</v>
      </c>
      <c r="BB3679" s="498" t="str">
        <f t="shared" si="1278"/>
        <v/>
      </c>
      <c r="BC3679" s="743" t="str">
        <f t="shared" si="1279"/>
        <v/>
      </c>
      <c r="BD3679" s="743" t="str">
        <f t="shared" si="1280"/>
        <v/>
      </c>
      <c r="BE3679" s="743" t="str">
        <f>IF(D3679="","",VLOOKUP(D3679,'General Basis'!$J$39:$K$46,2,0))</f>
        <v/>
      </c>
      <c r="BF3679" s="744" t="str">
        <f>IF(D3679="","",VLOOKUP(D3679,'General Basis'!$J$39:$L$46,3,0))</f>
        <v/>
      </c>
      <c r="BG3679" s="744" t="str">
        <f t="shared" si="1287"/>
        <v/>
      </c>
      <c r="BH3679" s="744" t="str">
        <f>IF(G3679="","",IF(BF3679="Abu Dhabi",IF(G3679&lt;18,'General Basis'!$C$39,IF(G3679&lt;41,'General Basis'!$C$40,IF(G3679&lt;60,'General Basis'!$C$41,IF(G3679&lt;65,'General Basis'!$C$42,'General Basis'!$C$43)))),IF(G3679&lt;11,'General Basis'!$B$39,IF(G3679&lt;18,'General Basis'!$B$40,IF(G3679&lt;26,'General Basis'!$B$41,IF(G3679&lt;31,'General Basis'!$B$42,IF(G3679&lt;36,'General Basis'!$B$43,IF(G3679&lt;41,'General Basis'!$B$44,IF(G3679&lt;46,'General Basis'!$B$45,IF(G3679&lt;51,'General Basis'!$B$46,IF(G3679&lt;56,'General Basis'!$B$47,IF(G3679&lt;60,'General Basis'!$B$48,IF(G3679&lt;65,'General Basis'!$B$49,'General Basis'!$B$50)))))))))))))</f>
        <v/>
      </c>
      <c r="BI3679" s="744" t="str">
        <f t="shared" si="1281"/>
        <v/>
      </c>
      <c r="BJ3679" s="747" t="str">
        <f t="shared" si="1288"/>
        <v/>
      </c>
      <c r="BK3679" s="498" t="str">
        <f t="shared" si="1282"/>
        <v/>
      </c>
      <c r="BL3679" s="498" t="str">
        <f t="shared" si="1283"/>
        <v/>
      </c>
    </row>
    <row r="3680" spans="1:64" x14ac:dyDescent="0.25">
      <c r="A3680" s="762">
        <f t="shared" si="1284"/>
        <v>3675</v>
      </c>
      <c r="B3680" s="229"/>
      <c r="C3680" s="223"/>
      <c r="D3680" s="224"/>
      <c r="E3680" s="225"/>
      <c r="F3680" s="1036" t="str">
        <f t="shared" si="1290"/>
        <v/>
      </c>
      <c r="G3680" s="1037" t="str">
        <f t="shared" si="1285"/>
        <v/>
      </c>
      <c r="H3680" s="225"/>
      <c r="I3680" s="1013"/>
      <c r="J3680" s="1013"/>
      <c r="K3680" s="1028"/>
      <c r="L3680" s="1035" t="str">
        <f t="shared" si="1289"/>
        <v/>
      </c>
      <c r="S3680" s="498"/>
      <c r="AJ3680" s="498"/>
      <c r="AM3680" s="498">
        <f t="shared" si="1270"/>
        <v>0</v>
      </c>
      <c r="AN3680" s="498">
        <f t="shared" si="1271"/>
        <v>0</v>
      </c>
      <c r="AO3680" s="498">
        <f t="shared" si="1272"/>
        <v>0</v>
      </c>
      <c r="AP3680" s="498">
        <f t="shared" si="1291"/>
        <v>0</v>
      </c>
      <c r="AQ3680" s="498">
        <f t="shared" si="1286"/>
        <v>0</v>
      </c>
      <c r="AU3680" s="498">
        <f t="shared" si="1273"/>
        <v>0</v>
      </c>
      <c r="AV3680" s="498">
        <f t="shared" si="1274"/>
        <v>0</v>
      </c>
      <c r="AW3680" s="498">
        <f t="shared" si="1275"/>
        <v>0</v>
      </c>
      <c r="AX3680" s="498">
        <f t="shared" si="1276"/>
        <v>0</v>
      </c>
      <c r="AY3680" s="498">
        <f t="shared" si="1277"/>
        <v>0</v>
      </c>
      <c r="BB3680" s="498" t="str">
        <f t="shared" si="1278"/>
        <v/>
      </c>
      <c r="BC3680" s="743" t="str">
        <f t="shared" si="1279"/>
        <v/>
      </c>
      <c r="BD3680" s="743" t="str">
        <f t="shared" si="1280"/>
        <v/>
      </c>
      <c r="BE3680" s="743" t="str">
        <f>IF(D3680="","",VLOOKUP(D3680,'General Basis'!$J$39:$K$46,2,0))</f>
        <v/>
      </c>
      <c r="BF3680" s="744" t="str">
        <f>IF(D3680="","",VLOOKUP(D3680,'General Basis'!$J$39:$L$46,3,0))</f>
        <v/>
      </c>
      <c r="BG3680" s="744" t="str">
        <f t="shared" si="1287"/>
        <v/>
      </c>
      <c r="BH3680" s="744" t="str">
        <f>IF(G3680="","",IF(BF3680="Abu Dhabi",IF(G3680&lt;18,'General Basis'!$C$39,IF(G3680&lt;41,'General Basis'!$C$40,IF(G3680&lt;60,'General Basis'!$C$41,IF(G3680&lt;65,'General Basis'!$C$42,'General Basis'!$C$43)))),IF(G3680&lt;11,'General Basis'!$B$39,IF(G3680&lt;18,'General Basis'!$B$40,IF(G3680&lt;26,'General Basis'!$B$41,IF(G3680&lt;31,'General Basis'!$B$42,IF(G3680&lt;36,'General Basis'!$B$43,IF(G3680&lt;41,'General Basis'!$B$44,IF(G3680&lt;46,'General Basis'!$B$45,IF(G3680&lt;51,'General Basis'!$B$46,IF(G3680&lt;56,'General Basis'!$B$47,IF(G3680&lt;60,'General Basis'!$B$48,IF(G3680&lt;65,'General Basis'!$B$49,'General Basis'!$B$50)))))))))))))</f>
        <v/>
      </c>
      <c r="BI3680" s="744" t="str">
        <f t="shared" si="1281"/>
        <v/>
      </c>
      <c r="BJ3680" s="747" t="str">
        <f t="shared" si="1288"/>
        <v/>
      </c>
      <c r="BK3680" s="498" t="str">
        <f t="shared" si="1282"/>
        <v/>
      </c>
      <c r="BL3680" s="498" t="str">
        <f t="shared" si="1283"/>
        <v/>
      </c>
    </row>
    <row r="3681" spans="1:64" x14ac:dyDescent="0.25">
      <c r="A3681" s="762">
        <f t="shared" si="1284"/>
        <v>3676</v>
      </c>
      <c r="B3681" s="229"/>
      <c r="C3681" s="223"/>
      <c r="D3681" s="224"/>
      <c r="E3681" s="225"/>
      <c r="F3681" s="1036" t="str">
        <f t="shared" si="1290"/>
        <v/>
      </c>
      <c r="G3681" s="1037" t="str">
        <f t="shared" si="1285"/>
        <v/>
      </c>
      <c r="H3681" s="225"/>
      <c r="I3681" s="1013"/>
      <c r="J3681" s="1013"/>
      <c r="K3681" s="1028"/>
      <c r="L3681" s="1035" t="str">
        <f t="shared" si="1289"/>
        <v/>
      </c>
      <c r="S3681" s="498"/>
      <c r="AJ3681" s="498"/>
      <c r="AM3681" s="498">
        <f t="shared" si="1270"/>
        <v>0</v>
      </c>
      <c r="AN3681" s="498">
        <f t="shared" si="1271"/>
        <v>0</v>
      </c>
      <c r="AO3681" s="498">
        <f t="shared" si="1272"/>
        <v>0</v>
      </c>
      <c r="AP3681" s="498">
        <f t="shared" si="1291"/>
        <v>0</v>
      </c>
      <c r="AQ3681" s="498">
        <f t="shared" si="1286"/>
        <v>0</v>
      </c>
      <c r="AU3681" s="498">
        <f t="shared" si="1273"/>
        <v>0</v>
      </c>
      <c r="AV3681" s="498">
        <f t="shared" si="1274"/>
        <v>0</v>
      </c>
      <c r="AW3681" s="498">
        <f t="shared" si="1275"/>
        <v>0</v>
      </c>
      <c r="AX3681" s="498">
        <f t="shared" si="1276"/>
        <v>0</v>
      </c>
      <c r="AY3681" s="498">
        <f t="shared" si="1277"/>
        <v>0</v>
      </c>
      <c r="BB3681" s="498" t="str">
        <f t="shared" si="1278"/>
        <v/>
      </c>
      <c r="BC3681" s="743" t="str">
        <f t="shared" si="1279"/>
        <v/>
      </c>
      <c r="BD3681" s="743" t="str">
        <f t="shared" si="1280"/>
        <v/>
      </c>
      <c r="BE3681" s="743" t="str">
        <f>IF(D3681="","",VLOOKUP(D3681,'General Basis'!$J$39:$K$46,2,0))</f>
        <v/>
      </c>
      <c r="BF3681" s="744" t="str">
        <f>IF(D3681="","",VLOOKUP(D3681,'General Basis'!$J$39:$L$46,3,0))</f>
        <v/>
      </c>
      <c r="BG3681" s="744" t="str">
        <f t="shared" si="1287"/>
        <v/>
      </c>
      <c r="BH3681" s="744" t="str">
        <f>IF(G3681="","",IF(BF3681="Abu Dhabi",IF(G3681&lt;18,'General Basis'!$C$39,IF(G3681&lt;41,'General Basis'!$C$40,IF(G3681&lt;60,'General Basis'!$C$41,IF(G3681&lt;65,'General Basis'!$C$42,'General Basis'!$C$43)))),IF(G3681&lt;11,'General Basis'!$B$39,IF(G3681&lt;18,'General Basis'!$B$40,IF(G3681&lt;26,'General Basis'!$B$41,IF(G3681&lt;31,'General Basis'!$B$42,IF(G3681&lt;36,'General Basis'!$B$43,IF(G3681&lt;41,'General Basis'!$B$44,IF(G3681&lt;46,'General Basis'!$B$45,IF(G3681&lt;51,'General Basis'!$B$46,IF(G3681&lt;56,'General Basis'!$B$47,IF(G3681&lt;60,'General Basis'!$B$48,IF(G3681&lt;65,'General Basis'!$B$49,'General Basis'!$B$50)))))))))))))</f>
        <v/>
      </c>
      <c r="BI3681" s="744" t="str">
        <f t="shared" si="1281"/>
        <v/>
      </c>
      <c r="BJ3681" s="747" t="str">
        <f t="shared" si="1288"/>
        <v/>
      </c>
      <c r="BK3681" s="498" t="str">
        <f t="shared" si="1282"/>
        <v/>
      </c>
      <c r="BL3681" s="498" t="str">
        <f t="shared" si="1283"/>
        <v/>
      </c>
    </row>
    <row r="3682" spans="1:64" x14ac:dyDescent="0.25">
      <c r="A3682" s="762">
        <f t="shared" si="1284"/>
        <v>3677</v>
      </c>
      <c r="B3682" s="229"/>
      <c r="C3682" s="223"/>
      <c r="D3682" s="224"/>
      <c r="E3682" s="225"/>
      <c r="F3682" s="1036" t="str">
        <f t="shared" si="1290"/>
        <v/>
      </c>
      <c r="G3682" s="1037" t="str">
        <f t="shared" si="1285"/>
        <v/>
      </c>
      <c r="H3682" s="225"/>
      <c r="I3682" s="1013"/>
      <c r="J3682" s="1013"/>
      <c r="K3682" s="1028"/>
      <c r="L3682" s="1035" t="str">
        <f t="shared" si="1289"/>
        <v/>
      </c>
      <c r="S3682" s="498"/>
      <c r="AJ3682" s="498"/>
      <c r="AM3682" s="498">
        <f t="shared" si="1270"/>
        <v>0</v>
      </c>
      <c r="AN3682" s="498">
        <f t="shared" si="1271"/>
        <v>0</v>
      </c>
      <c r="AO3682" s="498">
        <f t="shared" si="1272"/>
        <v>0</v>
      </c>
      <c r="AP3682" s="498">
        <f t="shared" si="1291"/>
        <v>0</v>
      </c>
      <c r="AQ3682" s="498">
        <f t="shared" si="1286"/>
        <v>0</v>
      </c>
      <c r="AU3682" s="498">
        <f t="shared" si="1273"/>
        <v>0</v>
      </c>
      <c r="AV3682" s="498">
        <f t="shared" si="1274"/>
        <v>0</v>
      </c>
      <c r="AW3682" s="498">
        <f t="shared" si="1275"/>
        <v>0</v>
      </c>
      <c r="AX3682" s="498">
        <f t="shared" si="1276"/>
        <v>0</v>
      </c>
      <c r="AY3682" s="498">
        <f t="shared" si="1277"/>
        <v>0</v>
      </c>
      <c r="BB3682" s="498" t="str">
        <f t="shared" si="1278"/>
        <v/>
      </c>
      <c r="BC3682" s="743" t="str">
        <f t="shared" si="1279"/>
        <v/>
      </c>
      <c r="BD3682" s="743" t="str">
        <f t="shared" si="1280"/>
        <v/>
      </c>
      <c r="BE3682" s="743" t="str">
        <f>IF(D3682="","",VLOOKUP(D3682,'General Basis'!$J$39:$K$46,2,0))</f>
        <v/>
      </c>
      <c r="BF3682" s="744" t="str">
        <f>IF(D3682="","",VLOOKUP(D3682,'General Basis'!$J$39:$L$46,3,0))</f>
        <v/>
      </c>
      <c r="BG3682" s="744" t="str">
        <f t="shared" si="1287"/>
        <v/>
      </c>
      <c r="BH3682" s="744" t="str">
        <f>IF(G3682="","",IF(BF3682="Abu Dhabi",IF(G3682&lt;18,'General Basis'!$C$39,IF(G3682&lt;41,'General Basis'!$C$40,IF(G3682&lt;60,'General Basis'!$C$41,IF(G3682&lt;65,'General Basis'!$C$42,'General Basis'!$C$43)))),IF(G3682&lt;11,'General Basis'!$B$39,IF(G3682&lt;18,'General Basis'!$B$40,IF(G3682&lt;26,'General Basis'!$B$41,IF(G3682&lt;31,'General Basis'!$B$42,IF(G3682&lt;36,'General Basis'!$B$43,IF(G3682&lt;41,'General Basis'!$B$44,IF(G3682&lt;46,'General Basis'!$B$45,IF(G3682&lt;51,'General Basis'!$B$46,IF(G3682&lt;56,'General Basis'!$B$47,IF(G3682&lt;60,'General Basis'!$B$48,IF(G3682&lt;65,'General Basis'!$B$49,'General Basis'!$B$50)))))))))))))</f>
        <v/>
      </c>
      <c r="BI3682" s="744" t="str">
        <f t="shared" si="1281"/>
        <v/>
      </c>
      <c r="BJ3682" s="747" t="str">
        <f t="shared" si="1288"/>
        <v/>
      </c>
      <c r="BK3682" s="498" t="str">
        <f t="shared" si="1282"/>
        <v/>
      </c>
      <c r="BL3682" s="498" t="str">
        <f t="shared" si="1283"/>
        <v/>
      </c>
    </row>
    <row r="3683" spans="1:64" x14ac:dyDescent="0.25">
      <c r="A3683" s="762">
        <f t="shared" si="1284"/>
        <v>3678</v>
      </c>
      <c r="B3683" s="229"/>
      <c r="C3683" s="223"/>
      <c r="D3683" s="224"/>
      <c r="E3683" s="225"/>
      <c r="F3683" s="1036" t="str">
        <f t="shared" si="1290"/>
        <v/>
      </c>
      <c r="G3683" s="1037" t="str">
        <f t="shared" si="1285"/>
        <v/>
      </c>
      <c r="H3683" s="225"/>
      <c r="I3683" s="1013"/>
      <c r="J3683" s="1013"/>
      <c r="K3683" s="1028"/>
      <c r="L3683" s="1035" t="str">
        <f t="shared" si="1289"/>
        <v/>
      </c>
      <c r="S3683" s="498"/>
      <c r="AJ3683" s="498"/>
      <c r="AM3683" s="498">
        <f t="shared" si="1270"/>
        <v>0</v>
      </c>
      <c r="AN3683" s="498">
        <f t="shared" si="1271"/>
        <v>0</v>
      </c>
      <c r="AO3683" s="498">
        <f t="shared" si="1272"/>
        <v>0</v>
      </c>
      <c r="AP3683" s="498">
        <f t="shared" si="1291"/>
        <v>0</v>
      </c>
      <c r="AQ3683" s="498">
        <f t="shared" si="1286"/>
        <v>0</v>
      </c>
      <c r="AU3683" s="498">
        <f t="shared" si="1273"/>
        <v>0</v>
      </c>
      <c r="AV3683" s="498">
        <f t="shared" si="1274"/>
        <v>0</v>
      </c>
      <c r="AW3683" s="498">
        <f t="shared" si="1275"/>
        <v>0</v>
      </c>
      <c r="AX3683" s="498">
        <f t="shared" si="1276"/>
        <v>0</v>
      </c>
      <c r="AY3683" s="498">
        <f t="shared" si="1277"/>
        <v>0</v>
      </c>
      <c r="BB3683" s="498" t="str">
        <f t="shared" si="1278"/>
        <v/>
      </c>
      <c r="BC3683" s="743" t="str">
        <f t="shared" si="1279"/>
        <v/>
      </c>
      <c r="BD3683" s="743" t="str">
        <f t="shared" si="1280"/>
        <v/>
      </c>
      <c r="BE3683" s="743" t="str">
        <f>IF(D3683="","",VLOOKUP(D3683,'General Basis'!$J$39:$K$46,2,0))</f>
        <v/>
      </c>
      <c r="BF3683" s="744" t="str">
        <f>IF(D3683="","",VLOOKUP(D3683,'General Basis'!$J$39:$L$46,3,0))</f>
        <v/>
      </c>
      <c r="BG3683" s="744" t="str">
        <f t="shared" si="1287"/>
        <v/>
      </c>
      <c r="BH3683" s="744" t="str">
        <f>IF(G3683="","",IF(BF3683="Abu Dhabi",IF(G3683&lt;18,'General Basis'!$C$39,IF(G3683&lt;41,'General Basis'!$C$40,IF(G3683&lt;60,'General Basis'!$C$41,IF(G3683&lt;65,'General Basis'!$C$42,'General Basis'!$C$43)))),IF(G3683&lt;11,'General Basis'!$B$39,IF(G3683&lt;18,'General Basis'!$B$40,IF(G3683&lt;26,'General Basis'!$B$41,IF(G3683&lt;31,'General Basis'!$B$42,IF(G3683&lt;36,'General Basis'!$B$43,IF(G3683&lt;41,'General Basis'!$B$44,IF(G3683&lt;46,'General Basis'!$B$45,IF(G3683&lt;51,'General Basis'!$B$46,IF(G3683&lt;56,'General Basis'!$B$47,IF(G3683&lt;60,'General Basis'!$B$48,IF(G3683&lt;65,'General Basis'!$B$49,'General Basis'!$B$50)))))))))))))</f>
        <v/>
      </c>
      <c r="BI3683" s="744" t="str">
        <f t="shared" si="1281"/>
        <v/>
      </c>
      <c r="BJ3683" s="747" t="str">
        <f t="shared" si="1288"/>
        <v/>
      </c>
      <c r="BK3683" s="498" t="str">
        <f t="shared" si="1282"/>
        <v/>
      </c>
      <c r="BL3683" s="498" t="str">
        <f t="shared" si="1283"/>
        <v/>
      </c>
    </row>
    <row r="3684" spans="1:64" x14ac:dyDescent="0.25">
      <c r="A3684" s="762">
        <f t="shared" si="1284"/>
        <v>3679</v>
      </c>
      <c r="B3684" s="229"/>
      <c r="C3684" s="223"/>
      <c r="D3684" s="224"/>
      <c r="E3684" s="225"/>
      <c r="F3684" s="1036" t="str">
        <f t="shared" si="1290"/>
        <v/>
      </c>
      <c r="G3684" s="1037" t="str">
        <f t="shared" si="1285"/>
        <v/>
      </c>
      <c r="H3684" s="225"/>
      <c r="I3684" s="1013"/>
      <c r="J3684" s="1013"/>
      <c r="K3684" s="1028"/>
      <c r="L3684" s="1035" t="str">
        <f t="shared" si="1289"/>
        <v/>
      </c>
      <c r="S3684" s="498"/>
      <c r="AJ3684" s="498"/>
      <c r="AM3684" s="498">
        <f t="shared" si="1270"/>
        <v>0</v>
      </c>
      <c r="AN3684" s="498">
        <f t="shared" si="1271"/>
        <v>0</v>
      </c>
      <c r="AO3684" s="498">
        <f t="shared" si="1272"/>
        <v>0</v>
      </c>
      <c r="AP3684" s="498">
        <f t="shared" si="1291"/>
        <v>0</v>
      </c>
      <c r="AQ3684" s="498">
        <f t="shared" si="1286"/>
        <v>0</v>
      </c>
      <c r="AU3684" s="498">
        <f t="shared" si="1273"/>
        <v>0</v>
      </c>
      <c r="AV3684" s="498">
        <f t="shared" si="1274"/>
        <v>0</v>
      </c>
      <c r="AW3684" s="498">
        <f t="shared" si="1275"/>
        <v>0</v>
      </c>
      <c r="AX3684" s="498">
        <f t="shared" si="1276"/>
        <v>0</v>
      </c>
      <c r="AY3684" s="498">
        <f t="shared" si="1277"/>
        <v>0</v>
      </c>
      <c r="BB3684" s="498" t="str">
        <f t="shared" si="1278"/>
        <v/>
      </c>
      <c r="BC3684" s="743" t="str">
        <f t="shared" si="1279"/>
        <v/>
      </c>
      <c r="BD3684" s="743" t="str">
        <f t="shared" si="1280"/>
        <v/>
      </c>
      <c r="BE3684" s="743" t="str">
        <f>IF(D3684="","",VLOOKUP(D3684,'General Basis'!$J$39:$K$46,2,0))</f>
        <v/>
      </c>
      <c r="BF3684" s="744" t="str">
        <f>IF(D3684="","",VLOOKUP(D3684,'General Basis'!$J$39:$L$46,3,0))</f>
        <v/>
      </c>
      <c r="BG3684" s="744" t="str">
        <f t="shared" si="1287"/>
        <v/>
      </c>
      <c r="BH3684" s="744" t="str">
        <f>IF(G3684="","",IF(BF3684="Abu Dhabi",IF(G3684&lt;18,'General Basis'!$C$39,IF(G3684&lt;41,'General Basis'!$C$40,IF(G3684&lt;60,'General Basis'!$C$41,IF(G3684&lt;65,'General Basis'!$C$42,'General Basis'!$C$43)))),IF(G3684&lt;11,'General Basis'!$B$39,IF(G3684&lt;18,'General Basis'!$B$40,IF(G3684&lt;26,'General Basis'!$B$41,IF(G3684&lt;31,'General Basis'!$B$42,IF(G3684&lt;36,'General Basis'!$B$43,IF(G3684&lt;41,'General Basis'!$B$44,IF(G3684&lt;46,'General Basis'!$B$45,IF(G3684&lt;51,'General Basis'!$B$46,IF(G3684&lt;56,'General Basis'!$B$47,IF(G3684&lt;60,'General Basis'!$B$48,IF(G3684&lt;65,'General Basis'!$B$49,'General Basis'!$B$50)))))))))))))</f>
        <v/>
      </c>
      <c r="BI3684" s="744" t="str">
        <f t="shared" si="1281"/>
        <v/>
      </c>
      <c r="BJ3684" s="747" t="str">
        <f t="shared" si="1288"/>
        <v/>
      </c>
      <c r="BK3684" s="498" t="str">
        <f t="shared" si="1282"/>
        <v/>
      </c>
      <c r="BL3684" s="498" t="str">
        <f t="shared" si="1283"/>
        <v/>
      </c>
    </row>
    <row r="3685" spans="1:64" x14ac:dyDescent="0.25">
      <c r="A3685" s="762">
        <f t="shared" si="1284"/>
        <v>3680</v>
      </c>
      <c r="B3685" s="229"/>
      <c r="C3685" s="223"/>
      <c r="D3685" s="224"/>
      <c r="E3685" s="225"/>
      <c r="F3685" s="1036" t="str">
        <f t="shared" si="1290"/>
        <v/>
      </c>
      <c r="G3685" s="1037" t="str">
        <f t="shared" si="1285"/>
        <v/>
      </c>
      <c r="H3685" s="225"/>
      <c r="I3685" s="1013"/>
      <c r="J3685" s="1013"/>
      <c r="K3685" s="1028"/>
      <c r="L3685" s="1035" t="str">
        <f t="shared" si="1289"/>
        <v/>
      </c>
      <c r="S3685" s="498"/>
      <c r="AJ3685" s="498"/>
      <c r="AM3685" s="498">
        <f t="shared" si="1270"/>
        <v>0</v>
      </c>
      <c r="AN3685" s="498">
        <f t="shared" si="1271"/>
        <v>0</v>
      </c>
      <c r="AO3685" s="498">
        <f t="shared" si="1272"/>
        <v>0</v>
      </c>
      <c r="AP3685" s="498">
        <f t="shared" si="1291"/>
        <v>0</v>
      </c>
      <c r="AQ3685" s="498">
        <f t="shared" si="1286"/>
        <v>0</v>
      </c>
      <c r="AU3685" s="498">
        <f t="shared" si="1273"/>
        <v>0</v>
      </c>
      <c r="AV3685" s="498">
        <f t="shared" si="1274"/>
        <v>0</v>
      </c>
      <c r="AW3685" s="498">
        <f t="shared" si="1275"/>
        <v>0</v>
      </c>
      <c r="AX3685" s="498">
        <f t="shared" si="1276"/>
        <v>0</v>
      </c>
      <c r="AY3685" s="498">
        <f t="shared" si="1277"/>
        <v>0</v>
      </c>
      <c r="BB3685" s="498" t="str">
        <f t="shared" si="1278"/>
        <v/>
      </c>
      <c r="BC3685" s="743" t="str">
        <f t="shared" si="1279"/>
        <v/>
      </c>
      <c r="BD3685" s="743" t="str">
        <f t="shared" si="1280"/>
        <v/>
      </c>
      <c r="BE3685" s="743" t="str">
        <f>IF(D3685="","",VLOOKUP(D3685,'General Basis'!$J$39:$K$46,2,0))</f>
        <v/>
      </c>
      <c r="BF3685" s="744" t="str">
        <f>IF(D3685="","",VLOOKUP(D3685,'General Basis'!$J$39:$L$46,3,0))</f>
        <v/>
      </c>
      <c r="BG3685" s="744" t="str">
        <f t="shared" si="1287"/>
        <v/>
      </c>
      <c r="BH3685" s="744" t="str">
        <f>IF(G3685="","",IF(BF3685="Abu Dhabi",IF(G3685&lt;18,'General Basis'!$C$39,IF(G3685&lt;41,'General Basis'!$C$40,IF(G3685&lt;60,'General Basis'!$C$41,IF(G3685&lt;65,'General Basis'!$C$42,'General Basis'!$C$43)))),IF(G3685&lt;11,'General Basis'!$B$39,IF(G3685&lt;18,'General Basis'!$B$40,IF(G3685&lt;26,'General Basis'!$B$41,IF(G3685&lt;31,'General Basis'!$B$42,IF(G3685&lt;36,'General Basis'!$B$43,IF(G3685&lt;41,'General Basis'!$B$44,IF(G3685&lt;46,'General Basis'!$B$45,IF(G3685&lt;51,'General Basis'!$B$46,IF(G3685&lt;56,'General Basis'!$B$47,IF(G3685&lt;60,'General Basis'!$B$48,IF(G3685&lt;65,'General Basis'!$B$49,'General Basis'!$B$50)))))))))))))</f>
        <v/>
      </c>
      <c r="BI3685" s="744" t="str">
        <f t="shared" si="1281"/>
        <v/>
      </c>
      <c r="BJ3685" s="747" t="str">
        <f t="shared" si="1288"/>
        <v/>
      </c>
      <c r="BK3685" s="498" t="str">
        <f t="shared" si="1282"/>
        <v/>
      </c>
      <c r="BL3685" s="498" t="str">
        <f t="shared" si="1283"/>
        <v/>
      </c>
    </row>
    <row r="3686" spans="1:64" x14ac:dyDescent="0.25">
      <c r="A3686" s="762">
        <f t="shared" si="1284"/>
        <v>3681</v>
      </c>
      <c r="B3686" s="229"/>
      <c r="C3686" s="223"/>
      <c r="D3686" s="224"/>
      <c r="E3686" s="225"/>
      <c r="F3686" s="1036" t="str">
        <f t="shared" si="1290"/>
        <v/>
      </c>
      <c r="G3686" s="1037" t="str">
        <f t="shared" si="1285"/>
        <v/>
      </c>
      <c r="H3686" s="225"/>
      <c r="I3686" s="1013"/>
      <c r="J3686" s="1013"/>
      <c r="K3686" s="1028"/>
      <c r="L3686" s="1035" t="str">
        <f t="shared" si="1289"/>
        <v/>
      </c>
      <c r="S3686" s="498"/>
      <c r="AJ3686" s="498"/>
      <c r="AM3686" s="498">
        <f t="shared" si="1270"/>
        <v>0</v>
      </c>
      <c r="AN3686" s="498">
        <f t="shared" si="1271"/>
        <v>0</v>
      </c>
      <c r="AO3686" s="498">
        <f t="shared" si="1272"/>
        <v>0</v>
      </c>
      <c r="AP3686" s="498">
        <f t="shared" si="1291"/>
        <v>0</v>
      </c>
      <c r="AQ3686" s="498">
        <f t="shared" si="1286"/>
        <v>0</v>
      </c>
      <c r="AU3686" s="498">
        <f t="shared" si="1273"/>
        <v>0</v>
      </c>
      <c r="AV3686" s="498">
        <f t="shared" si="1274"/>
        <v>0</v>
      </c>
      <c r="AW3686" s="498">
        <f t="shared" si="1275"/>
        <v>0</v>
      </c>
      <c r="AX3686" s="498">
        <f t="shared" si="1276"/>
        <v>0</v>
      </c>
      <c r="AY3686" s="498">
        <f t="shared" si="1277"/>
        <v>0</v>
      </c>
      <c r="BB3686" s="498" t="str">
        <f t="shared" si="1278"/>
        <v/>
      </c>
      <c r="BC3686" s="743" t="str">
        <f t="shared" si="1279"/>
        <v/>
      </c>
      <c r="BD3686" s="743" t="str">
        <f t="shared" si="1280"/>
        <v/>
      </c>
      <c r="BE3686" s="743" t="str">
        <f>IF(D3686="","",VLOOKUP(D3686,'General Basis'!$J$39:$K$46,2,0))</f>
        <v/>
      </c>
      <c r="BF3686" s="744" t="str">
        <f>IF(D3686="","",VLOOKUP(D3686,'General Basis'!$J$39:$L$46,3,0))</f>
        <v/>
      </c>
      <c r="BG3686" s="744" t="str">
        <f t="shared" si="1287"/>
        <v/>
      </c>
      <c r="BH3686" s="744" t="str">
        <f>IF(G3686="","",IF(BF3686="Abu Dhabi",IF(G3686&lt;18,'General Basis'!$C$39,IF(G3686&lt;41,'General Basis'!$C$40,IF(G3686&lt;60,'General Basis'!$C$41,IF(G3686&lt;65,'General Basis'!$C$42,'General Basis'!$C$43)))),IF(G3686&lt;11,'General Basis'!$B$39,IF(G3686&lt;18,'General Basis'!$B$40,IF(G3686&lt;26,'General Basis'!$B$41,IF(G3686&lt;31,'General Basis'!$B$42,IF(G3686&lt;36,'General Basis'!$B$43,IF(G3686&lt;41,'General Basis'!$B$44,IF(G3686&lt;46,'General Basis'!$B$45,IF(G3686&lt;51,'General Basis'!$B$46,IF(G3686&lt;56,'General Basis'!$B$47,IF(G3686&lt;60,'General Basis'!$B$48,IF(G3686&lt;65,'General Basis'!$B$49,'General Basis'!$B$50)))))))))))))</f>
        <v/>
      </c>
      <c r="BI3686" s="744" t="str">
        <f t="shared" si="1281"/>
        <v/>
      </c>
      <c r="BJ3686" s="747" t="str">
        <f t="shared" si="1288"/>
        <v/>
      </c>
      <c r="BK3686" s="498" t="str">
        <f t="shared" si="1282"/>
        <v/>
      </c>
      <c r="BL3686" s="498" t="str">
        <f t="shared" si="1283"/>
        <v/>
      </c>
    </row>
    <row r="3687" spans="1:64" x14ac:dyDescent="0.25">
      <c r="A3687" s="762">
        <f t="shared" si="1284"/>
        <v>3682</v>
      </c>
      <c r="B3687" s="229"/>
      <c r="C3687" s="223"/>
      <c r="D3687" s="224"/>
      <c r="E3687" s="225"/>
      <c r="F3687" s="1036" t="str">
        <f t="shared" si="1290"/>
        <v/>
      </c>
      <c r="G3687" s="1037" t="str">
        <f t="shared" si="1285"/>
        <v/>
      </c>
      <c r="H3687" s="225"/>
      <c r="I3687" s="1013"/>
      <c r="J3687" s="1013"/>
      <c r="K3687" s="1028"/>
      <c r="L3687" s="1035" t="str">
        <f t="shared" si="1289"/>
        <v/>
      </c>
      <c r="S3687" s="498"/>
      <c r="AJ3687" s="498"/>
      <c r="AM3687" s="498">
        <f t="shared" si="1270"/>
        <v>0</v>
      </c>
      <c r="AN3687" s="498">
        <f t="shared" si="1271"/>
        <v>0</v>
      </c>
      <c r="AO3687" s="498">
        <f t="shared" si="1272"/>
        <v>0</v>
      </c>
      <c r="AP3687" s="498">
        <f t="shared" si="1291"/>
        <v>0</v>
      </c>
      <c r="AQ3687" s="498">
        <f t="shared" si="1286"/>
        <v>0</v>
      </c>
      <c r="AU3687" s="498">
        <f t="shared" si="1273"/>
        <v>0</v>
      </c>
      <c r="AV3687" s="498">
        <f t="shared" si="1274"/>
        <v>0</v>
      </c>
      <c r="AW3687" s="498">
        <f t="shared" si="1275"/>
        <v>0</v>
      </c>
      <c r="AX3687" s="498">
        <f t="shared" si="1276"/>
        <v>0</v>
      </c>
      <c r="AY3687" s="498">
        <f t="shared" si="1277"/>
        <v>0</v>
      </c>
      <c r="BB3687" s="498" t="str">
        <f t="shared" si="1278"/>
        <v/>
      </c>
      <c r="BC3687" s="743" t="str">
        <f t="shared" si="1279"/>
        <v/>
      </c>
      <c r="BD3687" s="743" t="str">
        <f t="shared" si="1280"/>
        <v/>
      </c>
      <c r="BE3687" s="743" t="str">
        <f>IF(D3687="","",VLOOKUP(D3687,'General Basis'!$J$39:$K$46,2,0))</f>
        <v/>
      </c>
      <c r="BF3687" s="744" t="str">
        <f>IF(D3687="","",VLOOKUP(D3687,'General Basis'!$J$39:$L$46,3,0))</f>
        <v/>
      </c>
      <c r="BG3687" s="744" t="str">
        <f t="shared" si="1287"/>
        <v/>
      </c>
      <c r="BH3687" s="744" t="str">
        <f>IF(G3687="","",IF(BF3687="Abu Dhabi",IF(G3687&lt;18,'General Basis'!$C$39,IF(G3687&lt;41,'General Basis'!$C$40,IF(G3687&lt;60,'General Basis'!$C$41,IF(G3687&lt;65,'General Basis'!$C$42,'General Basis'!$C$43)))),IF(G3687&lt;11,'General Basis'!$B$39,IF(G3687&lt;18,'General Basis'!$B$40,IF(G3687&lt;26,'General Basis'!$B$41,IF(G3687&lt;31,'General Basis'!$B$42,IF(G3687&lt;36,'General Basis'!$B$43,IF(G3687&lt;41,'General Basis'!$B$44,IF(G3687&lt;46,'General Basis'!$B$45,IF(G3687&lt;51,'General Basis'!$B$46,IF(G3687&lt;56,'General Basis'!$B$47,IF(G3687&lt;60,'General Basis'!$B$48,IF(G3687&lt;65,'General Basis'!$B$49,'General Basis'!$B$50)))))))))))))</f>
        <v/>
      </c>
      <c r="BI3687" s="744" t="str">
        <f t="shared" si="1281"/>
        <v/>
      </c>
      <c r="BJ3687" s="747" t="str">
        <f t="shared" si="1288"/>
        <v/>
      </c>
      <c r="BK3687" s="498" t="str">
        <f t="shared" si="1282"/>
        <v/>
      </c>
      <c r="BL3687" s="498" t="str">
        <f t="shared" si="1283"/>
        <v/>
      </c>
    </row>
    <row r="3688" spans="1:64" x14ac:dyDescent="0.25">
      <c r="A3688" s="762">
        <f t="shared" si="1284"/>
        <v>3683</v>
      </c>
      <c r="B3688" s="229"/>
      <c r="C3688" s="223"/>
      <c r="D3688" s="224"/>
      <c r="E3688" s="225"/>
      <c r="F3688" s="1036" t="str">
        <f t="shared" si="1290"/>
        <v/>
      </c>
      <c r="G3688" s="1037" t="str">
        <f t="shared" si="1285"/>
        <v/>
      </c>
      <c r="H3688" s="225"/>
      <c r="I3688" s="1013"/>
      <c r="J3688" s="1013"/>
      <c r="K3688" s="1028"/>
      <c r="L3688" s="1035" t="str">
        <f t="shared" si="1289"/>
        <v/>
      </c>
      <c r="S3688" s="498"/>
      <c r="AJ3688" s="498"/>
      <c r="AM3688" s="498">
        <f t="shared" si="1270"/>
        <v>0</v>
      </c>
      <c r="AN3688" s="498">
        <f t="shared" si="1271"/>
        <v>0</v>
      </c>
      <c r="AO3688" s="498">
        <f t="shared" si="1272"/>
        <v>0</v>
      </c>
      <c r="AP3688" s="498">
        <f t="shared" si="1291"/>
        <v>0</v>
      </c>
      <c r="AQ3688" s="498">
        <f t="shared" si="1286"/>
        <v>0</v>
      </c>
      <c r="AU3688" s="498">
        <f t="shared" si="1273"/>
        <v>0</v>
      </c>
      <c r="AV3688" s="498">
        <f t="shared" si="1274"/>
        <v>0</v>
      </c>
      <c r="AW3688" s="498">
        <f t="shared" si="1275"/>
        <v>0</v>
      </c>
      <c r="AX3688" s="498">
        <f t="shared" si="1276"/>
        <v>0</v>
      </c>
      <c r="AY3688" s="498">
        <f t="shared" si="1277"/>
        <v>0</v>
      </c>
      <c r="BB3688" s="498" t="str">
        <f t="shared" si="1278"/>
        <v/>
      </c>
      <c r="BC3688" s="743" t="str">
        <f t="shared" si="1279"/>
        <v/>
      </c>
      <c r="BD3688" s="743" t="str">
        <f t="shared" si="1280"/>
        <v/>
      </c>
      <c r="BE3688" s="743" t="str">
        <f>IF(D3688="","",VLOOKUP(D3688,'General Basis'!$J$39:$K$46,2,0))</f>
        <v/>
      </c>
      <c r="BF3688" s="744" t="str">
        <f>IF(D3688="","",VLOOKUP(D3688,'General Basis'!$J$39:$L$46,3,0))</f>
        <v/>
      </c>
      <c r="BG3688" s="744" t="str">
        <f t="shared" si="1287"/>
        <v/>
      </c>
      <c r="BH3688" s="744" t="str">
        <f>IF(G3688="","",IF(BF3688="Abu Dhabi",IF(G3688&lt;18,'General Basis'!$C$39,IF(G3688&lt;41,'General Basis'!$C$40,IF(G3688&lt;60,'General Basis'!$C$41,IF(G3688&lt;65,'General Basis'!$C$42,'General Basis'!$C$43)))),IF(G3688&lt;11,'General Basis'!$B$39,IF(G3688&lt;18,'General Basis'!$B$40,IF(G3688&lt;26,'General Basis'!$B$41,IF(G3688&lt;31,'General Basis'!$B$42,IF(G3688&lt;36,'General Basis'!$B$43,IF(G3688&lt;41,'General Basis'!$B$44,IF(G3688&lt;46,'General Basis'!$B$45,IF(G3688&lt;51,'General Basis'!$B$46,IF(G3688&lt;56,'General Basis'!$B$47,IF(G3688&lt;60,'General Basis'!$B$48,IF(G3688&lt;65,'General Basis'!$B$49,'General Basis'!$B$50)))))))))))))</f>
        <v/>
      </c>
      <c r="BI3688" s="744" t="str">
        <f t="shared" si="1281"/>
        <v/>
      </c>
      <c r="BJ3688" s="747" t="str">
        <f t="shared" si="1288"/>
        <v/>
      </c>
      <c r="BK3688" s="498" t="str">
        <f t="shared" si="1282"/>
        <v/>
      </c>
      <c r="BL3688" s="498" t="str">
        <f t="shared" si="1283"/>
        <v/>
      </c>
    </row>
    <row r="3689" spans="1:64" x14ac:dyDescent="0.25">
      <c r="A3689" s="762">
        <f t="shared" si="1284"/>
        <v>3684</v>
      </c>
      <c r="B3689" s="229"/>
      <c r="C3689" s="223"/>
      <c r="D3689" s="224"/>
      <c r="E3689" s="225"/>
      <c r="F3689" s="1036" t="str">
        <f t="shared" si="1290"/>
        <v/>
      </c>
      <c r="G3689" s="1037" t="str">
        <f t="shared" si="1285"/>
        <v/>
      </c>
      <c r="H3689" s="225"/>
      <c r="I3689" s="1013"/>
      <c r="J3689" s="1013"/>
      <c r="K3689" s="1028"/>
      <c r="L3689" s="1035" t="str">
        <f t="shared" si="1289"/>
        <v/>
      </c>
      <c r="S3689" s="498"/>
      <c r="AJ3689" s="498"/>
      <c r="AM3689" s="498">
        <f t="shared" si="1270"/>
        <v>0</v>
      </c>
      <c r="AN3689" s="498">
        <f t="shared" si="1271"/>
        <v>0</v>
      </c>
      <c r="AO3689" s="498">
        <f t="shared" si="1272"/>
        <v>0</v>
      </c>
      <c r="AP3689" s="498">
        <f t="shared" si="1291"/>
        <v>0</v>
      </c>
      <c r="AQ3689" s="498">
        <f t="shared" si="1286"/>
        <v>0</v>
      </c>
      <c r="AU3689" s="498">
        <f t="shared" si="1273"/>
        <v>0</v>
      </c>
      <c r="AV3689" s="498">
        <f t="shared" si="1274"/>
        <v>0</v>
      </c>
      <c r="AW3689" s="498">
        <f t="shared" si="1275"/>
        <v>0</v>
      </c>
      <c r="AX3689" s="498">
        <f t="shared" si="1276"/>
        <v>0</v>
      </c>
      <c r="AY3689" s="498">
        <f t="shared" si="1277"/>
        <v>0</v>
      </c>
      <c r="BB3689" s="498" t="str">
        <f t="shared" si="1278"/>
        <v/>
      </c>
      <c r="BC3689" s="743" t="str">
        <f t="shared" si="1279"/>
        <v/>
      </c>
      <c r="BD3689" s="743" t="str">
        <f t="shared" si="1280"/>
        <v/>
      </c>
      <c r="BE3689" s="743" t="str">
        <f>IF(D3689="","",VLOOKUP(D3689,'General Basis'!$J$39:$K$46,2,0))</f>
        <v/>
      </c>
      <c r="BF3689" s="744" t="str">
        <f>IF(D3689="","",VLOOKUP(D3689,'General Basis'!$J$39:$L$46,3,0))</f>
        <v/>
      </c>
      <c r="BG3689" s="744" t="str">
        <f t="shared" si="1287"/>
        <v/>
      </c>
      <c r="BH3689" s="744" t="str">
        <f>IF(G3689="","",IF(BF3689="Abu Dhabi",IF(G3689&lt;18,'General Basis'!$C$39,IF(G3689&lt;41,'General Basis'!$C$40,IF(G3689&lt;60,'General Basis'!$C$41,IF(G3689&lt;65,'General Basis'!$C$42,'General Basis'!$C$43)))),IF(G3689&lt;11,'General Basis'!$B$39,IF(G3689&lt;18,'General Basis'!$B$40,IF(G3689&lt;26,'General Basis'!$B$41,IF(G3689&lt;31,'General Basis'!$B$42,IF(G3689&lt;36,'General Basis'!$B$43,IF(G3689&lt;41,'General Basis'!$B$44,IF(G3689&lt;46,'General Basis'!$B$45,IF(G3689&lt;51,'General Basis'!$B$46,IF(G3689&lt;56,'General Basis'!$B$47,IF(G3689&lt;60,'General Basis'!$B$48,IF(G3689&lt;65,'General Basis'!$B$49,'General Basis'!$B$50)))))))))))))</f>
        <v/>
      </c>
      <c r="BI3689" s="744" t="str">
        <f t="shared" si="1281"/>
        <v/>
      </c>
      <c r="BJ3689" s="747" t="str">
        <f t="shared" si="1288"/>
        <v/>
      </c>
      <c r="BK3689" s="498" t="str">
        <f t="shared" si="1282"/>
        <v/>
      </c>
      <c r="BL3689" s="498" t="str">
        <f t="shared" si="1283"/>
        <v/>
      </c>
    </row>
    <row r="3690" spans="1:64" x14ac:dyDescent="0.25">
      <c r="A3690" s="762">
        <f t="shared" si="1284"/>
        <v>3685</v>
      </c>
      <c r="B3690" s="229"/>
      <c r="C3690" s="223"/>
      <c r="D3690" s="224"/>
      <c r="E3690" s="225"/>
      <c r="F3690" s="1036" t="str">
        <f t="shared" si="1290"/>
        <v/>
      </c>
      <c r="G3690" s="1037" t="str">
        <f t="shared" si="1285"/>
        <v/>
      </c>
      <c r="H3690" s="225"/>
      <c r="I3690" s="1013"/>
      <c r="J3690" s="1013"/>
      <c r="K3690" s="1028"/>
      <c r="L3690" s="1035" t="str">
        <f t="shared" si="1289"/>
        <v/>
      </c>
      <c r="S3690" s="498"/>
      <c r="AJ3690" s="498"/>
      <c r="AM3690" s="498">
        <f t="shared" si="1270"/>
        <v>0</v>
      </c>
      <c r="AN3690" s="498">
        <f t="shared" si="1271"/>
        <v>0</v>
      </c>
      <c r="AO3690" s="498">
        <f t="shared" si="1272"/>
        <v>0</v>
      </c>
      <c r="AP3690" s="498">
        <f t="shared" si="1291"/>
        <v>0</v>
      </c>
      <c r="AQ3690" s="498">
        <f t="shared" si="1286"/>
        <v>0</v>
      </c>
      <c r="AU3690" s="498">
        <f t="shared" si="1273"/>
        <v>0</v>
      </c>
      <c r="AV3690" s="498">
        <f t="shared" si="1274"/>
        <v>0</v>
      </c>
      <c r="AW3690" s="498">
        <f t="shared" si="1275"/>
        <v>0</v>
      </c>
      <c r="AX3690" s="498">
        <f t="shared" si="1276"/>
        <v>0</v>
      </c>
      <c r="AY3690" s="498">
        <f t="shared" si="1277"/>
        <v>0</v>
      </c>
      <c r="BB3690" s="498" t="str">
        <f t="shared" si="1278"/>
        <v/>
      </c>
      <c r="BC3690" s="743" t="str">
        <f t="shared" si="1279"/>
        <v/>
      </c>
      <c r="BD3690" s="743" t="str">
        <f t="shared" si="1280"/>
        <v/>
      </c>
      <c r="BE3690" s="743" t="str">
        <f>IF(D3690="","",VLOOKUP(D3690,'General Basis'!$J$39:$K$46,2,0))</f>
        <v/>
      </c>
      <c r="BF3690" s="744" t="str">
        <f>IF(D3690="","",VLOOKUP(D3690,'General Basis'!$J$39:$L$46,3,0))</f>
        <v/>
      </c>
      <c r="BG3690" s="744" t="str">
        <f t="shared" si="1287"/>
        <v/>
      </c>
      <c r="BH3690" s="744" t="str">
        <f>IF(G3690="","",IF(BF3690="Abu Dhabi",IF(G3690&lt;18,'General Basis'!$C$39,IF(G3690&lt;41,'General Basis'!$C$40,IF(G3690&lt;60,'General Basis'!$C$41,IF(G3690&lt;65,'General Basis'!$C$42,'General Basis'!$C$43)))),IF(G3690&lt;11,'General Basis'!$B$39,IF(G3690&lt;18,'General Basis'!$B$40,IF(G3690&lt;26,'General Basis'!$B$41,IF(G3690&lt;31,'General Basis'!$B$42,IF(G3690&lt;36,'General Basis'!$B$43,IF(G3690&lt;41,'General Basis'!$B$44,IF(G3690&lt;46,'General Basis'!$B$45,IF(G3690&lt;51,'General Basis'!$B$46,IF(G3690&lt;56,'General Basis'!$B$47,IF(G3690&lt;60,'General Basis'!$B$48,IF(G3690&lt;65,'General Basis'!$B$49,'General Basis'!$B$50)))))))))))))</f>
        <v/>
      </c>
      <c r="BI3690" s="744" t="str">
        <f t="shared" si="1281"/>
        <v/>
      </c>
      <c r="BJ3690" s="747" t="str">
        <f t="shared" si="1288"/>
        <v/>
      </c>
      <c r="BK3690" s="498" t="str">
        <f t="shared" si="1282"/>
        <v/>
      </c>
      <c r="BL3690" s="498" t="str">
        <f t="shared" si="1283"/>
        <v/>
      </c>
    </row>
    <row r="3691" spans="1:64" x14ac:dyDescent="0.25">
      <c r="A3691" s="762">
        <f t="shared" si="1284"/>
        <v>3686</v>
      </c>
      <c r="B3691" s="229"/>
      <c r="C3691" s="223"/>
      <c r="D3691" s="224"/>
      <c r="E3691" s="225"/>
      <c r="F3691" s="1036" t="str">
        <f t="shared" si="1290"/>
        <v/>
      </c>
      <c r="G3691" s="1037" t="str">
        <f t="shared" si="1285"/>
        <v/>
      </c>
      <c r="H3691" s="225"/>
      <c r="I3691" s="1013"/>
      <c r="J3691" s="1013"/>
      <c r="K3691" s="1028"/>
      <c r="L3691" s="1035" t="str">
        <f t="shared" si="1289"/>
        <v/>
      </c>
      <c r="S3691" s="498"/>
      <c r="AJ3691" s="498"/>
      <c r="AM3691" s="498">
        <f t="shared" si="1270"/>
        <v>0</v>
      </c>
      <c r="AN3691" s="498">
        <f t="shared" si="1271"/>
        <v>0</v>
      </c>
      <c r="AO3691" s="498">
        <f t="shared" si="1272"/>
        <v>0</v>
      </c>
      <c r="AP3691" s="498">
        <f t="shared" si="1291"/>
        <v>0</v>
      </c>
      <c r="AQ3691" s="498">
        <f t="shared" si="1286"/>
        <v>0</v>
      </c>
      <c r="AU3691" s="498">
        <f t="shared" si="1273"/>
        <v>0</v>
      </c>
      <c r="AV3691" s="498">
        <f t="shared" si="1274"/>
        <v>0</v>
      </c>
      <c r="AW3691" s="498">
        <f t="shared" si="1275"/>
        <v>0</v>
      </c>
      <c r="AX3691" s="498">
        <f t="shared" si="1276"/>
        <v>0</v>
      </c>
      <c r="AY3691" s="498">
        <f t="shared" si="1277"/>
        <v>0</v>
      </c>
      <c r="BB3691" s="498" t="str">
        <f t="shared" si="1278"/>
        <v/>
      </c>
      <c r="BC3691" s="743" t="str">
        <f t="shared" si="1279"/>
        <v/>
      </c>
      <c r="BD3691" s="743" t="str">
        <f t="shared" si="1280"/>
        <v/>
      </c>
      <c r="BE3691" s="743" t="str">
        <f>IF(D3691="","",VLOOKUP(D3691,'General Basis'!$J$39:$K$46,2,0))</f>
        <v/>
      </c>
      <c r="BF3691" s="744" t="str">
        <f>IF(D3691="","",VLOOKUP(D3691,'General Basis'!$J$39:$L$46,3,0))</f>
        <v/>
      </c>
      <c r="BG3691" s="744" t="str">
        <f t="shared" si="1287"/>
        <v/>
      </c>
      <c r="BH3691" s="744" t="str">
        <f>IF(G3691="","",IF(BF3691="Abu Dhabi",IF(G3691&lt;18,'General Basis'!$C$39,IF(G3691&lt;41,'General Basis'!$C$40,IF(G3691&lt;60,'General Basis'!$C$41,IF(G3691&lt;65,'General Basis'!$C$42,'General Basis'!$C$43)))),IF(G3691&lt;11,'General Basis'!$B$39,IF(G3691&lt;18,'General Basis'!$B$40,IF(G3691&lt;26,'General Basis'!$B$41,IF(G3691&lt;31,'General Basis'!$B$42,IF(G3691&lt;36,'General Basis'!$B$43,IF(G3691&lt;41,'General Basis'!$B$44,IF(G3691&lt;46,'General Basis'!$B$45,IF(G3691&lt;51,'General Basis'!$B$46,IF(G3691&lt;56,'General Basis'!$B$47,IF(G3691&lt;60,'General Basis'!$B$48,IF(G3691&lt;65,'General Basis'!$B$49,'General Basis'!$B$50)))))))))))))</f>
        <v/>
      </c>
      <c r="BI3691" s="744" t="str">
        <f t="shared" si="1281"/>
        <v/>
      </c>
      <c r="BJ3691" s="747" t="str">
        <f t="shared" si="1288"/>
        <v/>
      </c>
      <c r="BK3691" s="498" t="str">
        <f t="shared" si="1282"/>
        <v/>
      </c>
      <c r="BL3691" s="498" t="str">
        <f t="shared" si="1283"/>
        <v/>
      </c>
    </row>
    <row r="3692" spans="1:64" x14ac:dyDescent="0.25">
      <c r="A3692" s="762">
        <f t="shared" si="1284"/>
        <v>3687</v>
      </c>
      <c r="B3692" s="229"/>
      <c r="C3692" s="223"/>
      <c r="D3692" s="224"/>
      <c r="E3692" s="225"/>
      <c r="F3692" s="1036" t="str">
        <f t="shared" si="1290"/>
        <v/>
      </c>
      <c r="G3692" s="1037" t="str">
        <f t="shared" si="1285"/>
        <v/>
      </c>
      <c r="H3692" s="225"/>
      <c r="I3692" s="1013"/>
      <c r="J3692" s="1013"/>
      <c r="K3692" s="1028"/>
      <c r="L3692" s="1035" t="str">
        <f t="shared" si="1289"/>
        <v/>
      </c>
      <c r="S3692" s="498"/>
      <c r="AJ3692" s="498"/>
      <c r="AM3692" s="498">
        <f t="shared" si="1270"/>
        <v>0</v>
      </c>
      <c r="AN3692" s="498">
        <f t="shared" si="1271"/>
        <v>0</v>
      </c>
      <c r="AO3692" s="498">
        <f t="shared" si="1272"/>
        <v>0</v>
      </c>
      <c r="AP3692" s="498">
        <f t="shared" si="1291"/>
        <v>0</v>
      </c>
      <c r="AQ3692" s="498">
        <f t="shared" si="1286"/>
        <v>0</v>
      </c>
      <c r="AU3692" s="498">
        <f t="shared" si="1273"/>
        <v>0</v>
      </c>
      <c r="AV3692" s="498">
        <f t="shared" si="1274"/>
        <v>0</v>
      </c>
      <c r="AW3692" s="498">
        <f t="shared" si="1275"/>
        <v>0</v>
      </c>
      <c r="AX3692" s="498">
        <f t="shared" si="1276"/>
        <v>0</v>
      </c>
      <c r="AY3692" s="498">
        <f t="shared" si="1277"/>
        <v>0</v>
      </c>
      <c r="BB3692" s="498" t="str">
        <f t="shared" si="1278"/>
        <v/>
      </c>
      <c r="BC3692" s="743" t="str">
        <f t="shared" si="1279"/>
        <v/>
      </c>
      <c r="BD3692" s="743" t="str">
        <f t="shared" si="1280"/>
        <v/>
      </c>
      <c r="BE3692" s="743" t="str">
        <f>IF(D3692="","",VLOOKUP(D3692,'General Basis'!$J$39:$K$46,2,0))</f>
        <v/>
      </c>
      <c r="BF3692" s="744" t="str">
        <f>IF(D3692="","",VLOOKUP(D3692,'General Basis'!$J$39:$L$46,3,0))</f>
        <v/>
      </c>
      <c r="BG3692" s="744" t="str">
        <f t="shared" si="1287"/>
        <v/>
      </c>
      <c r="BH3692" s="744" t="str">
        <f>IF(G3692="","",IF(BF3692="Abu Dhabi",IF(G3692&lt;18,'General Basis'!$C$39,IF(G3692&lt;41,'General Basis'!$C$40,IF(G3692&lt;60,'General Basis'!$C$41,IF(G3692&lt;65,'General Basis'!$C$42,'General Basis'!$C$43)))),IF(G3692&lt;11,'General Basis'!$B$39,IF(G3692&lt;18,'General Basis'!$B$40,IF(G3692&lt;26,'General Basis'!$B$41,IF(G3692&lt;31,'General Basis'!$B$42,IF(G3692&lt;36,'General Basis'!$B$43,IF(G3692&lt;41,'General Basis'!$B$44,IF(G3692&lt;46,'General Basis'!$B$45,IF(G3692&lt;51,'General Basis'!$B$46,IF(G3692&lt;56,'General Basis'!$B$47,IF(G3692&lt;60,'General Basis'!$B$48,IF(G3692&lt;65,'General Basis'!$B$49,'General Basis'!$B$50)))))))))))))</f>
        <v/>
      </c>
      <c r="BI3692" s="744" t="str">
        <f t="shared" si="1281"/>
        <v/>
      </c>
      <c r="BJ3692" s="747" t="str">
        <f t="shared" si="1288"/>
        <v/>
      </c>
      <c r="BK3692" s="498" t="str">
        <f t="shared" si="1282"/>
        <v/>
      </c>
      <c r="BL3692" s="498" t="str">
        <f t="shared" si="1283"/>
        <v/>
      </c>
    </row>
    <row r="3693" spans="1:64" x14ac:dyDescent="0.25">
      <c r="A3693" s="762">
        <f t="shared" si="1284"/>
        <v>3688</v>
      </c>
      <c r="B3693" s="229"/>
      <c r="C3693" s="223"/>
      <c r="D3693" s="224"/>
      <c r="E3693" s="225"/>
      <c r="F3693" s="1036" t="str">
        <f t="shared" si="1290"/>
        <v/>
      </c>
      <c r="G3693" s="1037" t="str">
        <f t="shared" si="1285"/>
        <v/>
      </c>
      <c r="H3693" s="225"/>
      <c r="I3693" s="1013"/>
      <c r="J3693" s="1013"/>
      <c r="K3693" s="1028"/>
      <c r="L3693" s="1035" t="str">
        <f t="shared" si="1289"/>
        <v/>
      </c>
      <c r="S3693" s="498"/>
      <c r="AJ3693" s="498"/>
      <c r="AM3693" s="498">
        <f t="shared" si="1270"/>
        <v>0</v>
      </c>
      <c r="AN3693" s="498">
        <f t="shared" si="1271"/>
        <v>0</v>
      </c>
      <c r="AO3693" s="498">
        <f t="shared" si="1272"/>
        <v>0</v>
      </c>
      <c r="AP3693" s="498">
        <f t="shared" si="1291"/>
        <v>0</v>
      </c>
      <c r="AQ3693" s="498">
        <f t="shared" si="1286"/>
        <v>0</v>
      </c>
      <c r="AU3693" s="498">
        <f t="shared" si="1273"/>
        <v>0</v>
      </c>
      <c r="AV3693" s="498">
        <f t="shared" si="1274"/>
        <v>0</v>
      </c>
      <c r="AW3693" s="498">
        <f t="shared" si="1275"/>
        <v>0</v>
      </c>
      <c r="AX3693" s="498">
        <f t="shared" si="1276"/>
        <v>0</v>
      </c>
      <c r="AY3693" s="498">
        <f t="shared" si="1277"/>
        <v>0</v>
      </c>
      <c r="BB3693" s="498" t="str">
        <f t="shared" si="1278"/>
        <v/>
      </c>
      <c r="BC3693" s="743" t="str">
        <f t="shared" si="1279"/>
        <v/>
      </c>
      <c r="BD3693" s="743" t="str">
        <f t="shared" si="1280"/>
        <v/>
      </c>
      <c r="BE3693" s="743" t="str">
        <f>IF(D3693="","",VLOOKUP(D3693,'General Basis'!$J$39:$K$46,2,0))</f>
        <v/>
      </c>
      <c r="BF3693" s="744" t="str">
        <f>IF(D3693="","",VLOOKUP(D3693,'General Basis'!$J$39:$L$46,3,0))</f>
        <v/>
      </c>
      <c r="BG3693" s="744" t="str">
        <f t="shared" si="1287"/>
        <v/>
      </c>
      <c r="BH3693" s="744" t="str">
        <f>IF(G3693="","",IF(BF3693="Abu Dhabi",IF(G3693&lt;18,'General Basis'!$C$39,IF(G3693&lt;41,'General Basis'!$C$40,IF(G3693&lt;60,'General Basis'!$C$41,IF(G3693&lt;65,'General Basis'!$C$42,'General Basis'!$C$43)))),IF(G3693&lt;11,'General Basis'!$B$39,IF(G3693&lt;18,'General Basis'!$B$40,IF(G3693&lt;26,'General Basis'!$B$41,IF(G3693&lt;31,'General Basis'!$B$42,IF(G3693&lt;36,'General Basis'!$B$43,IF(G3693&lt;41,'General Basis'!$B$44,IF(G3693&lt;46,'General Basis'!$B$45,IF(G3693&lt;51,'General Basis'!$B$46,IF(G3693&lt;56,'General Basis'!$B$47,IF(G3693&lt;60,'General Basis'!$B$48,IF(G3693&lt;65,'General Basis'!$B$49,'General Basis'!$B$50)))))))))))))</f>
        <v/>
      </c>
      <c r="BI3693" s="744" t="str">
        <f t="shared" si="1281"/>
        <v/>
      </c>
      <c r="BJ3693" s="747" t="str">
        <f t="shared" si="1288"/>
        <v/>
      </c>
      <c r="BK3693" s="498" t="str">
        <f t="shared" si="1282"/>
        <v/>
      </c>
      <c r="BL3693" s="498" t="str">
        <f t="shared" si="1283"/>
        <v/>
      </c>
    </row>
    <row r="3694" spans="1:64" x14ac:dyDescent="0.25">
      <c r="A3694" s="762">
        <f t="shared" si="1284"/>
        <v>3689</v>
      </c>
      <c r="B3694" s="229"/>
      <c r="C3694" s="223"/>
      <c r="D3694" s="224"/>
      <c r="E3694" s="225"/>
      <c r="F3694" s="1036" t="str">
        <f t="shared" si="1290"/>
        <v/>
      </c>
      <c r="G3694" s="1037" t="str">
        <f t="shared" si="1285"/>
        <v/>
      </c>
      <c r="H3694" s="225"/>
      <c r="I3694" s="1013"/>
      <c r="J3694" s="1013"/>
      <c r="K3694" s="1028"/>
      <c r="L3694" s="1035" t="str">
        <f t="shared" si="1289"/>
        <v/>
      </c>
      <c r="S3694" s="498"/>
      <c r="AJ3694" s="498"/>
      <c r="AM3694" s="498">
        <f t="shared" si="1270"/>
        <v>0</v>
      </c>
      <c r="AN3694" s="498">
        <f t="shared" si="1271"/>
        <v>0</v>
      </c>
      <c r="AO3694" s="498">
        <f t="shared" si="1272"/>
        <v>0</v>
      </c>
      <c r="AP3694" s="498">
        <f t="shared" si="1291"/>
        <v>0</v>
      </c>
      <c r="AQ3694" s="498">
        <f t="shared" si="1286"/>
        <v>0</v>
      </c>
      <c r="AU3694" s="498">
        <f t="shared" si="1273"/>
        <v>0</v>
      </c>
      <c r="AV3694" s="498">
        <f t="shared" si="1274"/>
        <v>0</v>
      </c>
      <c r="AW3694" s="498">
        <f t="shared" si="1275"/>
        <v>0</v>
      </c>
      <c r="AX3694" s="498">
        <f t="shared" si="1276"/>
        <v>0</v>
      </c>
      <c r="AY3694" s="498">
        <f t="shared" si="1277"/>
        <v>0</v>
      </c>
      <c r="BB3694" s="498" t="str">
        <f t="shared" si="1278"/>
        <v/>
      </c>
      <c r="BC3694" s="743" t="str">
        <f t="shared" si="1279"/>
        <v/>
      </c>
      <c r="BD3694" s="743" t="str">
        <f t="shared" si="1280"/>
        <v/>
      </c>
      <c r="BE3694" s="743" t="str">
        <f>IF(D3694="","",VLOOKUP(D3694,'General Basis'!$J$39:$K$46,2,0))</f>
        <v/>
      </c>
      <c r="BF3694" s="744" t="str">
        <f>IF(D3694="","",VLOOKUP(D3694,'General Basis'!$J$39:$L$46,3,0))</f>
        <v/>
      </c>
      <c r="BG3694" s="744" t="str">
        <f t="shared" si="1287"/>
        <v/>
      </c>
      <c r="BH3694" s="744" t="str">
        <f>IF(G3694="","",IF(BF3694="Abu Dhabi",IF(G3694&lt;18,'General Basis'!$C$39,IF(G3694&lt;41,'General Basis'!$C$40,IF(G3694&lt;60,'General Basis'!$C$41,IF(G3694&lt;65,'General Basis'!$C$42,'General Basis'!$C$43)))),IF(G3694&lt;11,'General Basis'!$B$39,IF(G3694&lt;18,'General Basis'!$B$40,IF(G3694&lt;26,'General Basis'!$B$41,IF(G3694&lt;31,'General Basis'!$B$42,IF(G3694&lt;36,'General Basis'!$B$43,IF(G3694&lt;41,'General Basis'!$B$44,IF(G3694&lt;46,'General Basis'!$B$45,IF(G3694&lt;51,'General Basis'!$B$46,IF(G3694&lt;56,'General Basis'!$B$47,IF(G3694&lt;60,'General Basis'!$B$48,IF(G3694&lt;65,'General Basis'!$B$49,'General Basis'!$B$50)))))))))))))</f>
        <v/>
      </c>
      <c r="BI3694" s="744" t="str">
        <f t="shared" si="1281"/>
        <v/>
      </c>
      <c r="BJ3694" s="747" t="str">
        <f t="shared" si="1288"/>
        <v/>
      </c>
      <c r="BK3694" s="498" t="str">
        <f t="shared" si="1282"/>
        <v/>
      </c>
      <c r="BL3694" s="498" t="str">
        <f t="shared" si="1283"/>
        <v/>
      </c>
    </row>
    <row r="3695" spans="1:64" x14ac:dyDescent="0.25">
      <c r="A3695" s="762">
        <f t="shared" si="1284"/>
        <v>3690</v>
      </c>
      <c r="B3695" s="229"/>
      <c r="C3695" s="223"/>
      <c r="D3695" s="224"/>
      <c r="E3695" s="225"/>
      <c r="F3695" s="1036" t="str">
        <f t="shared" si="1290"/>
        <v/>
      </c>
      <c r="G3695" s="1037" t="str">
        <f t="shared" si="1285"/>
        <v/>
      </c>
      <c r="H3695" s="225"/>
      <c r="I3695" s="1013"/>
      <c r="J3695" s="1013"/>
      <c r="K3695" s="1028"/>
      <c r="L3695" s="1035" t="str">
        <f t="shared" si="1289"/>
        <v/>
      </c>
      <c r="S3695" s="498"/>
      <c r="AJ3695" s="498"/>
      <c r="AM3695" s="498">
        <f t="shared" si="1270"/>
        <v>0</v>
      </c>
      <c r="AN3695" s="498">
        <f t="shared" si="1271"/>
        <v>0</v>
      </c>
      <c r="AO3695" s="498">
        <f t="shared" si="1272"/>
        <v>0</v>
      </c>
      <c r="AP3695" s="498">
        <f t="shared" si="1291"/>
        <v>0</v>
      </c>
      <c r="AQ3695" s="498">
        <f t="shared" si="1286"/>
        <v>0</v>
      </c>
      <c r="AU3695" s="498">
        <f t="shared" si="1273"/>
        <v>0</v>
      </c>
      <c r="AV3695" s="498">
        <f t="shared" si="1274"/>
        <v>0</v>
      </c>
      <c r="AW3695" s="498">
        <f t="shared" si="1275"/>
        <v>0</v>
      </c>
      <c r="AX3695" s="498">
        <f t="shared" si="1276"/>
        <v>0</v>
      </c>
      <c r="AY3695" s="498">
        <f t="shared" si="1277"/>
        <v>0</v>
      </c>
      <c r="BB3695" s="498" t="str">
        <f t="shared" si="1278"/>
        <v/>
      </c>
      <c r="BC3695" s="743" t="str">
        <f t="shared" si="1279"/>
        <v/>
      </c>
      <c r="BD3695" s="743" t="str">
        <f t="shared" si="1280"/>
        <v/>
      </c>
      <c r="BE3695" s="743" t="str">
        <f>IF(D3695="","",VLOOKUP(D3695,'General Basis'!$J$39:$K$46,2,0))</f>
        <v/>
      </c>
      <c r="BF3695" s="744" t="str">
        <f>IF(D3695="","",VLOOKUP(D3695,'General Basis'!$J$39:$L$46,3,0))</f>
        <v/>
      </c>
      <c r="BG3695" s="744" t="str">
        <f t="shared" si="1287"/>
        <v/>
      </c>
      <c r="BH3695" s="744" t="str">
        <f>IF(G3695="","",IF(BF3695="Abu Dhabi",IF(G3695&lt;18,'General Basis'!$C$39,IF(G3695&lt;41,'General Basis'!$C$40,IF(G3695&lt;60,'General Basis'!$C$41,IF(G3695&lt;65,'General Basis'!$C$42,'General Basis'!$C$43)))),IF(G3695&lt;11,'General Basis'!$B$39,IF(G3695&lt;18,'General Basis'!$B$40,IF(G3695&lt;26,'General Basis'!$B$41,IF(G3695&lt;31,'General Basis'!$B$42,IF(G3695&lt;36,'General Basis'!$B$43,IF(G3695&lt;41,'General Basis'!$B$44,IF(G3695&lt;46,'General Basis'!$B$45,IF(G3695&lt;51,'General Basis'!$B$46,IF(G3695&lt;56,'General Basis'!$B$47,IF(G3695&lt;60,'General Basis'!$B$48,IF(G3695&lt;65,'General Basis'!$B$49,'General Basis'!$B$50)))))))))))))</f>
        <v/>
      </c>
      <c r="BI3695" s="744" t="str">
        <f t="shared" si="1281"/>
        <v/>
      </c>
      <c r="BJ3695" s="747" t="str">
        <f t="shared" si="1288"/>
        <v/>
      </c>
      <c r="BK3695" s="498" t="str">
        <f t="shared" si="1282"/>
        <v/>
      </c>
      <c r="BL3695" s="498" t="str">
        <f t="shared" si="1283"/>
        <v/>
      </c>
    </row>
    <row r="3696" spans="1:64" x14ac:dyDescent="0.25">
      <c r="A3696" s="762">
        <f t="shared" si="1284"/>
        <v>3691</v>
      </c>
      <c r="B3696" s="229"/>
      <c r="C3696" s="223"/>
      <c r="D3696" s="224"/>
      <c r="E3696" s="225"/>
      <c r="F3696" s="1036" t="str">
        <f t="shared" si="1290"/>
        <v/>
      </c>
      <c r="G3696" s="1037" t="str">
        <f t="shared" si="1285"/>
        <v/>
      </c>
      <c r="H3696" s="225"/>
      <c r="I3696" s="1013"/>
      <c r="J3696" s="1013"/>
      <c r="K3696" s="1028"/>
      <c r="L3696" s="1035" t="str">
        <f t="shared" si="1289"/>
        <v/>
      </c>
      <c r="S3696" s="498"/>
      <c r="AJ3696" s="498"/>
      <c r="AM3696" s="498">
        <f t="shared" si="1270"/>
        <v>0</v>
      </c>
      <c r="AN3696" s="498">
        <f t="shared" si="1271"/>
        <v>0</v>
      </c>
      <c r="AO3696" s="498">
        <f t="shared" si="1272"/>
        <v>0</v>
      </c>
      <c r="AP3696" s="498">
        <f t="shared" si="1291"/>
        <v>0</v>
      </c>
      <c r="AQ3696" s="498">
        <f t="shared" si="1286"/>
        <v>0</v>
      </c>
      <c r="AU3696" s="498">
        <f t="shared" si="1273"/>
        <v>0</v>
      </c>
      <c r="AV3696" s="498">
        <f t="shared" si="1274"/>
        <v>0</v>
      </c>
      <c r="AW3696" s="498">
        <f t="shared" si="1275"/>
        <v>0</v>
      </c>
      <c r="AX3696" s="498">
        <f t="shared" si="1276"/>
        <v>0</v>
      </c>
      <c r="AY3696" s="498">
        <f t="shared" si="1277"/>
        <v>0</v>
      </c>
      <c r="BB3696" s="498" t="str">
        <f t="shared" si="1278"/>
        <v/>
      </c>
      <c r="BC3696" s="743" t="str">
        <f t="shared" si="1279"/>
        <v/>
      </c>
      <c r="BD3696" s="743" t="str">
        <f t="shared" si="1280"/>
        <v/>
      </c>
      <c r="BE3696" s="743" t="str">
        <f>IF(D3696="","",VLOOKUP(D3696,'General Basis'!$J$39:$K$46,2,0))</f>
        <v/>
      </c>
      <c r="BF3696" s="744" t="str">
        <f>IF(D3696="","",VLOOKUP(D3696,'General Basis'!$J$39:$L$46,3,0))</f>
        <v/>
      </c>
      <c r="BG3696" s="744" t="str">
        <f t="shared" si="1287"/>
        <v/>
      </c>
      <c r="BH3696" s="744" t="str">
        <f>IF(G3696="","",IF(BF3696="Abu Dhabi",IF(G3696&lt;18,'General Basis'!$C$39,IF(G3696&lt;41,'General Basis'!$C$40,IF(G3696&lt;60,'General Basis'!$C$41,IF(G3696&lt;65,'General Basis'!$C$42,'General Basis'!$C$43)))),IF(G3696&lt;11,'General Basis'!$B$39,IF(G3696&lt;18,'General Basis'!$B$40,IF(G3696&lt;26,'General Basis'!$B$41,IF(G3696&lt;31,'General Basis'!$B$42,IF(G3696&lt;36,'General Basis'!$B$43,IF(G3696&lt;41,'General Basis'!$B$44,IF(G3696&lt;46,'General Basis'!$B$45,IF(G3696&lt;51,'General Basis'!$B$46,IF(G3696&lt;56,'General Basis'!$B$47,IF(G3696&lt;60,'General Basis'!$B$48,IF(G3696&lt;65,'General Basis'!$B$49,'General Basis'!$B$50)))))))))))))</f>
        <v/>
      </c>
      <c r="BI3696" s="744" t="str">
        <f t="shared" si="1281"/>
        <v/>
      </c>
      <c r="BJ3696" s="747" t="str">
        <f t="shared" si="1288"/>
        <v/>
      </c>
      <c r="BK3696" s="498" t="str">
        <f t="shared" si="1282"/>
        <v/>
      </c>
      <c r="BL3696" s="498" t="str">
        <f t="shared" si="1283"/>
        <v/>
      </c>
    </row>
    <row r="3697" spans="1:64" x14ac:dyDescent="0.25">
      <c r="A3697" s="762">
        <f t="shared" si="1284"/>
        <v>3692</v>
      </c>
      <c r="B3697" s="229"/>
      <c r="C3697" s="223"/>
      <c r="D3697" s="224"/>
      <c r="E3697" s="225"/>
      <c r="F3697" s="1036" t="str">
        <f t="shared" si="1290"/>
        <v/>
      </c>
      <c r="G3697" s="1037" t="str">
        <f t="shared" si="1285"/>
        <v/>
      </c>
      <c r="H3697" s="225"/>
      <c r="I3697" s="1013"/>
      <c r="J3697" s="1013"/>
      <c r="K3697" s="1028"/>
      <c r="L3697" s="1035" t="str">
        <f t="shared" si="1289"/>
        <v/>
      </c>
      <c r="S3697" s="498"/>
      <c r="AJ3697" s="498"/>
      <c r="AM3697" s="498">
        <f t="shared" si="1270"/>
        <v>0</v>
      </c>
      <c r="AN3697" s="498">
        <f t="shared" si="1271"/>
        <v>0</v>
      </c>
      <c r="AO3697" s="498">
        <f t="shared" si="1272"/>
        <v>0</v>
      </c>
      <c r="AP3697" s="498">
        <f t="shared" si="1291"/>
        <v>0</v>
      </c>
      <c r="AQ3697" s="498">
        <f t="shared" si="1286"/>
        <v>0</v>
      </c>
      <c r="AU3697" s="498">
        <f t="shared" si="1273"/>
        <v>0</v>
      </c>
      <c r="AV3697" s="498">
        <f t="shared" si="1274"/>
        <v>0</v>
      </c>
      <c r="AW3697" s="498">
        <f t="shared" si="1275"/>
        <v>0</v>
      </c>
      <c r="AX3697" s="498">
        <f t="shared" si="1276"/>
        <v>0</v>
      </c>
      <c r="AY3697" s="498">
        <f t="shared" si="1277"/>
        <v>0</v>
      </c>
      <c r="BB3697" s="498" t="str">
        <f t="shared" si="1278"/>
        <v/>
      </c>
      <c r="BC3697" s="743" t="str">
        <f t="shared" si="1279"/>
        <v/>
      </c>
      <c r="BD3697" s="743" t="str">
        <f t="shared" si="1280"/>
        <v/>
      </c>
      <c r="BE3697" s="743" t="str">
        <f>IF(D3697="","",VLOOKUP(D3697,'General Basis'!$J$39:$K$46,2,0))</f>
        <v/>
      </c>
      <c r="BF3697" s="744" t="str">
        <f>IF(D3697="","",VLOOKUP(D3697,'General Basis'!$J$39:$L$46,3,0))</f>
        <v/>
      </c>
      <c r="BG3697" s="744" t="str">
        <f t="shared" si="1287"/>
        <v/>
      </c>
      <c r="BH3697" s="744" t="str">
        <f>IF(G3697="","",IF(BF3697="Abu Dhabi",IF(G3697&lt;18,'General Basis'!$C$39,IF(G3697&lt;41,'General Basis'!$C$40,IF(G3697&lt;60,'General Basis'!$C$41,IF(G3697&lt;65,'General Basis'!$C$42,'General Basis'!$C$43)))),IF(G3697&lt;11,'General Basis'!$B$39,IF(G3697&lt;18,'General Basis'!$B$40,IF(G3697&lt;26,'General Basis'!$B$41,IF(G3697&lt;31,'General Basis'!$B$42,IF(G3697&lt;36,'General Basis'!$B$43,IF(G3697&lt;41,'General Basis'!$B$44,IF(G3697&lt;46,'General Basis'!$B$45,IF(G3697&lt;51,'General Basis'!$B$46,IF(G3697&lt;56,'General Basis'!$B$47,IF(G3697&lt;60,'General Basis'!$B$48,IF(G3697&lt;65,'General Basis'!$B$49,'General Basis'!$B$50)))))))))))))</f>
        <v/>
      </c>
      <c r="BI3697" s="744" t="str">
        <f t="shared" si="1281"/>
        <v/>
      </c>
      <c r="BJ3697" s="747" t="str">
        <f t="shared" si="1288"/>
        <v/>
      </c>
      <c r="BK3697" s="498" t="str">
        <f t="shared" si="1282"/>
        <v/>
      </c>
      <c r="BL3697" s="498" t="str">
        <f t="shared" si="1283"/>
        <v/>
      </c>
    </row>
    <row r="3698" spans="1:64" x14ac:dyDescent="0.25">
      <c r="A3698" s="762">
        <f t="shared" si="1284"/>
        <v>3693</v>
      </c>
      <c r="B3698" s="229"/>
      <c r="C3698" s="223"/>
      <c r="D3698" s="224"/>
      <c r="E3698" s="225"/>
      <c r="F3698" s="1036" t="str">
        <f t="shared" si="1290"/>
        <v/>
      </c>
      <c r="G3698" s="1037" t="str">
        <f t="shared" si="1285"/>
        <v/>
      </c>
      <c r="H3698" s="225"/>
      <c r="I3698" s="1013"/>
      <c r="J3698" s="1013"/>
      <c r="K3698" s="1028"/>
      <c r="L3698" s="1035" t="str">
        <f t="shared" si="1289"/>
        <v/>
      </c>
      <c r="S3698" s="498"/>
      <c r="AJ3698" s="498"/>
      <c r="AM3698" s="498">
        <f t="shared" si="1270"/>
        <v>0</v>
      </c>
      <c r="AN3698" s="498">
        <f t="shared" si="1271"/>
        <v>0</v>
      </c>
      <c r="AO3698" s="498">
        <f t="shared" si="1272"/>
        <v>0</v>
      </c>
      <c r="AP3698" s="498">
        <f t="shared" si="1291"/>
        <v>0</v>
      </c>
      <c r="AQ3698" s="498">
        <f t="shared" si="1286"/>
        <v>0</v>
      </c>
      <c r="AU3698" s="498">
        <f t="shared" si="1273"/>
        <v>0</v>
      </c>
      <c r="AV3698" s="498">
        <f t="shared" si="1274"/>
        <v>0</v>
      </c>
      <c r="AW3698" s="498">
        <f t="shared" si="1275"/>
        <v>0</v>
      </c>
      <c r="AX3698" s="498">
        <f t="shared" si="1276"/>
        <v>0</v>
      </c>
      <c r="AY3698" s="498">
        <f t="shared" si="1277"/>
        <v>0</v>
      </c>
      <c r="BB3698" s="498" t="str">
        <f t="shared" si="1278"/>
        <v/>
      </c>
      <c r="BC3698" s="743" t="str">
        <f t="shared" si="1279"/>
        <v/>
      </c>
      <c r="BD3698" s="743" t="str">
        <f t="shared" si="1280"/>
        <v/>
      </c>
      <c r="BE3698" s="743" t="str">
        <f>IF(D3698="","",VLOOKUP(D3698,'General Basis'!$J$39:$K$46,2,0))</f>
        <v/>
      </c>
      <c r="BF3698" s="744" t="str">
        <f>IF(D3698="","",VLOOKUP(D3698,'General Basis'!$J$39:$L$46,3,0))</f>
        <v/>
      </c>
      <c r="BG3698" s="744" t="str">
        <f t="shared" si="1287"/>
        <v/>
      </c>
      <c r="BH3698" s="744" t="str">
        <f>IF(G3698="","",IF(BF3698="Abu Dhabi",IF(G3698&lt;18,'General Basis'!$C$39,IF(G3698&lt;41,'General Basis'!$C$40,IF(G3698&lt;60,'General Basis'!$C$41,IF(G3698&lt;65,'General Basis'!$C$42,'General Basis'!$C$43)))),IF(G3698&lt;11,'General Basis'!$B$39,IF(G3698&lt;18,'General Basis'!$B$40,IF(G3698&lt;26,'General Basis'!$B$41,IF(G3698&lt;31,'General Basis'!$B$42,IF(G3698&lt;36,'General Basis'!$B$43,IF(G3698&lt;41,'General Basis'!$B$44,IF(G3698&lt;46,'General Basis'!$B$45,IF(G3698&lt;51,'General Basis'!$B$46,IF(G3698&lt;56,'General Basis'!$B$47,IF(G3698&lt;60,'General Basis'!$B$48,IF(G3698&lt;65,'General Basis'!$B$49,'General Basis'!$B$50)))))))))))))</f>
        <v/>
      </c>
      <c r="BI3698" s="744" t="str">
        <f t="shared" si="1281"/>
        <v/>
      </c>
      <c r="BJ3698" s="747" t="str">
        <f t="shared" si="1288"/>
        <v/>
      </c>
      <c r="BK3698" s="498" t="str">
        <f t="shared" si="1282"/>
        <v/>
      </c>
      <c r="BL3698" s="498" t="str">
        <f t="shared" si="1283"/>
        <v/>
      </c>
    </row>
    <row r="3699" spans="1:64" x14ac:dyDescent="0.25">
      <c r="A3699" s="762">
        <f t="shared" si="1284"/>
        <v>3694</v>
      </c>
      <c r="B3699" s="229"/>
      <c r="C3699" s="223"/>
      <c r="D3699" s="224"/>
      <c r="E3699" s="225"/>
      <c r="F3699" s="1036" t="str">
        <f t="shared" si="1290"/>
        <v/>
      </c>
      <c r="G3699" s="1037" t="str">
        <f t="shared" si="1285"/>
        <v/>
      </c>
      <c r="H3699" s="225"/>
      <c r="I3699" s="1013"/>
      <c r="J3699" s="1013"/>
      <c r="K3699" s="1028"/>
      <c r="L3699" s="1035" t="str">
        <f t="shared" si="1289"/>
        <v/>
      </c>
      <c r="S3699" s="498"/>
      <c r="AJ3699" s="498"/>
      <c r="AM3699" s="498">
        <f t="shared" si="1270"/>
        <v>0</v>
      </c>
      <c r="AN3699" s="498">
        <f t="shared" si="1271"/>
        <v>0</v>
      </c>
      <c r="AO3699" s="498">
        <f t="shared" si="1272"/>
        <v>0</v>
      </c>
      <c r="AP3699" s="498">
        <f t="shared" si="1291"/>
        <v>0</v>
      </c>
      <c r="AQ3699" s="498">
        <f t="shared" si="1286"/>
        <v>0</v>
      </c>
      <c r="AU3699" s="498">
        <f t="shared" si="1273"/>
        <v>0</v>
      </c>
      <c r="AV3699" s="498">
        <f t="shared" si="1274"/>
        <v>0</v>
      </c>
      <c r="AW3699" s="498">
        <f t="shared" si="1275"/>
        <v>0</v>
      </c>
      <c r="AX3699" s="498">
        <f t="shared" si="1276"/>
        <v>0</v>
      </c>
      <c r="AY3699" s="498">
        <f t="shared" si="1277"/>
        <v>0</v>
      </c>
      <c r="BB3699" s="498" t="str">
        <f t="shared" si="1278"/>
        <v/>
      </c>
      <c r="BC3699" s="743" t="str">
        <f t="shared" si="1279"/>
        <v/>
      </c>
      <c r="BD3699" s="743" t="str">
        <f t="shared" si="1280"/>
        <v/>
      </c>
      <c r="BE3699" s="743" t="str">
        <f>IF(D3699="","",VLOOKUP(D3699,'General Basis'!$J$39:$K$46,2,0))</f>
        <v/>
      </c>
      <c r="BF3699" s="744" t="str">
        <f>IF(D3699="","",VLOOKUP(D3699,'General Basis'!$J$39:$L$46,3,0))</f>
        <v/>
      </c>
      <c r="BG3699" s="744" t="str">
        <f t="shared" si="1287"/>
        <v/>
      </c>
      <c r="BH3699" s="744" t="str">
        <f>IF(G3699="","",IF(BF3699="Abu Dhabi",IF(G3699&lt;18,'General Basis'!$C$39,IF(G3699&lt;41,'General Basis'!$C$40,IF(G3699&lt;60,'General Basis'!$C$41,IF(G3699&lt;65,'General Basis'!$C$42,'General Basis'!$C$43)))),IF(G3699&lt;11,'General Basis'!$B$39,IF(G3699&lt;18,'General Basis'!$B$40,IF(G3699&lt;26,'General Basis'!$B$41,IF(G3699&lt;31,'General Basis'!$B$42,IF(G3699&lt;36,'General Basis'!$B$43,IF(G3699&lt;41,'General Basis'!$B$44,IF(G3699&lt;46,'General Basis'!$B$45,IF(G3699&lt;51,'General Basis'!$B$46,IF(G3699&lt;56,'General Basis'!$B$47,IF(G3699&lt;60,'General Basis'!$B$48,IF(G3699&lt;65,'General Basis'!$B$49,'General Basis'!$B$50)))))))))))))</f>
        <v/>
      </c>
      <c r="BI3699" s="744" t="str">
        <f t="shared" si="1281"/>
        <v/>
      </c>
      <c r="BJ3699" s="747" t="str">
        <f t="shared" si="1288"/>
        <v/>
      </c>
      <c r="BK3699" s="498" t="str">
        <f t="shared" si="1282"/>
        <v/>
      </c>
      <c r="BL3699" s="498" t="str">
        <f t="shared" si="1283"/>
        <v/>
      </c>
    </row>
    <row r="3700" spans="1:64" x14ac:dyDescent="0.25">
      <c r="A3700" s="762">
        <f t="shared" si="1284"/>
        <v>3695</v>
      </c>
      <c r="B3700" s="229"/>
      <c r="C3700" s="223"/>
      <c r="D3700" s="224"/>
      <c r="E3700" s="225"/>
      <c r="F3700" s="1036" t="str">
        <f t="shared" si="1290"/>
        <v/>
      </c>
      <c r="G3700" s="1037" t="str">
        <f t="shared" si="1285"/>
        <v/>
      </c>
      <c r="H3700" s="225"/>
      <c r="I3700" s="1013"/>
      <c r="J3700" s="1013"/>
      <c r="K3700" s="1028"/>
      <c r="L3700" s="1035" t="str">
        <f t="shared" si="1289"/>
        <v/>
      </c>
      <c r="S3700" s="498"/>
      <c r="AJ3700" s="498"/>
      <c r="AM3700" s="498">
        <f t="shared" si="1270"/>
        <v>0</v>
      </c>
      <c r="AN3700" s="498">
        <f t="shared" si="1271"/>
        <v>0</v>
      </c>
      <c r="AO3700" s="498">
        <f t="shared" si="1272"/>
        <v>0</v>
      </c>
      <c r="AP3700" s="498">
        <f t="shared" si="1291"/>
        <v>0</v>
      </c>
      <c r="AQ3700" s="498">
        <f t="shared" si="1286"/>
        <v>0</v>
      </c>
      <c r="AU3700" s="498">
        <f t="shared" si="1273"/>
        <v>0</v>
      </c>
      <c r="AV3700" s="498">
        <f t="shared" si="1274"/>
        <v>0</v>
      </c>
      <c r="AW3700" s="498">
        <f t="shared" si="1275"/>
        <v>0</v>
      </c>
      <c r="AX3700" s="498">
        <f t="shared" si="1276"/>
        <v>0</v>
      </c>
      <c r="AY3700" s="498">
        <f t="shared" si="1277"/>
        <v>0</v>
      </c>
      <c r="BB3700" s="498" t="str">
        <f t="shared" si="1278"/>
        <v/>
      </c>
      <c r="BC3700" s="743" t="str">
        <f t="shared" si="1279"/>
        <v/>
      </c>
      <c r="BD3700" s="743" t="str">
        <f t="shared" si="1280"/>
        <v/>
      </c>
      <c r="BE3700" s="743" t="str">
        <f>IF(D3700="","",VLOOKUP(D3700,'General Basis'!$J$39:$K$46,2,0))</f>
        <v/>
      </c>
      <c r="BF3700" s="744" t="str">
        <f>IF(D3700="","",VLOOKUP(D3700,'General Basis'!$J$39:$L$46,3,0))</f>
        <v/>
      </c>
      <c r="BG3700" s="744" t="str">
        <f t="shared" si="1287"/>
        <v/>
      </c>
      <c r="BH3700" s="744" t="str">
        <f>IF(G3700="","",IF(BF3700="Abu Dhabi",IF(G3700&lt;18,'General Basis'!$C$39,IF(G3700&lt;41,'General Basis'!$C$40,IF(G3700&lt;60,'General Basis'!$C$41,IF(G3700&lt;65,'General Basis'!$C$42,'General Basis'!$C$43)))),IF(G3700&lt;11,'General Basis'!$B$39,IF(G3700&lt;18,'General Basis'!$B$40,IF(G3700&lt;26,'General Basis'!$B$41,IF(G3700&lt;31,'General Basis'!$B$42,IF(G3700&lt;36,'General Basis'!$B$43,IF(G3700&lt;41,'General Basis'!$B$44,IF(G3700&lt;46,'General Basis'!$B$45,IF(G3700&lt;51,'General Basis'!$B$46,IF(G3700&lt;56,'General Basis'!$B$47,IF(G3700&lt;60,'General Basis'!$B$48,IF(G3700&lt;65,'General Basis'!$B$49,'General Basis'!$B$50)))))))))))))</f>
        <v/>
      </c>
      <c r="BI3700" s="744" t="str">
        <f t="shared" si="1281"/>
        <v/>
      </c>
      <c r="BJ3700" s="747" t="str">
        <f t="shared" si="1288"/>
        <v/>
      </c>
      <c r="BK3700" s="498" t="str">
        <f t="shared" si="1282"/>
        <v/>
      </c>
      <c r="BL3700" s="498" t="str">
        <f t="shared" si="1283"/>
        <v/>
      </c>
    </row>
    <row r="3701" spans="1:64" x14ac:dyDescent="0.25">
      <c r="A3701" s="762">
        <f t="shared" si="1284"/>
        <v>3696</v>
      </c>
      <c r="B3701" s="229"/>
      <c r="C3701" s="223"/>
      <c r="D3701" s="224"/>
      <c r="E3701" s="225"/>
      <c r="F3701" s="1036" t="str">
        <f t="shared" si="1290"/>
        <v/>
      </c>
      <c r="G3701" s="1037" t="str">
        <f t="shared" si="1285"/>
        <v/>
      </c>
      <c r="H3701" s="225"/>
      <c r="I3701" s="1013"/>
      <c r="J3701" s="1013"/>
      <c r="K3701" s="1028"/>
      <c r="L3701" s="1035" t="str">
        <f t="shared" si="1289"/>
        <v/>
      </c>
      <c r="S3701" s="498"/>
      <c r="AJ3701" s="498"/>
      <c r="AM3701" s="498">
        <f t="shared" si="1270"/>
        <v>0</v>
      </c>
      <c r="AN3701" s="498">
        <f t="shared" si="1271"/>
        <v>0</v>
      </c>
      <c r="AO3701" s="498">
        <f t="shared" si="1272"/>
        <v>0</v>
      </c>
      <c r="AP3701" s="498">
        <f t="shared" si="1291"/>
        <v>0</v>
      </c>
      <c r="AQ3701" s="498">
        <f t="shared" si="1286"/>
        <v>0</v>
      </c>
      <c r="AU3701" s="498">
        <f t="shared" si="1273"/>
        <v>0</v>
      </c>
      <c r="AV3701" s="498">
        <f t="shared" si="1274"/>
        <v>0</v>
      </c>
      <c r="AW3701" s="498">
        <f t="shared" si="1275"/>
        <v>0</v>
      </c>
      <c r="AX3701" s="498">
        <f t="shared" si="1276"/>
        <v>0</v>
      </c>
      <c r="AY3701" s="498">
        <f t="shared" si="1277"/>
        <v>0</v>
      </c>
      <c r="BB3701" s="498" t="str">
        <f t="shared" si="1278"/>
        <v/>
      </c>
      <c r="BC3701" s="743" t="str">
        <f t="shared" si="1279"/>
        <v/>
      </c>
      <c r="BD3701" s="743" t="str">
        <f t="shared" si="1280"/>
        <v/>
      </c>
      <c r="BE3701" s="743" t="str">
        <f>IF(D3701="","",VLOOKUP(D3701,'General Basis'!$J$39:$K$46,2,0))</f>
        <v/>
      </c>
      <c r="BF3701" s="744" t="str">
        <f>IF(D3701="","",VLOOKUP(D3701,'General Basis'!$J$39:$L$46,3,0))</f>
        <v/>
      </c>
      <c r="BG3701" s="744" t="str">
        <f t="shared" si="1287"/>
        <v/>
      </c>
      <c r="BH3701" s="744" t="str">
        <f>IF(G3701="","",IF(BF3701="Abu Dhabi",IF(G3701&lt;18,'General Basis'!$C$39,IF(G3701&lt;41,'General Basis'!$C$40,IF(G3701&lt;60,'General Basis'!$C$41,IF(G3701&lt;65,'General Basis'!$C$42,'General Basis'!$C$43)))),IF(G3701&lt;11,'General Basis'!$B$39,IF(G3701&lt;18,'General Basis'!$B$40,IF(G3701&lt;26,'General Basis'!$B$41,IF(G3701&lt;31,'General Basis'!$B$42,IF(G3701&lt;36,'General Basis'!$B$43,IF(G3701&lt;41,'General Basis'!$B$44,IF(G3701&lt;46,'General Basis'!$B$45,IF(G3701&lt;51,'General Basis'!$B$46,IF(G3701&lt;56,'General Basis'!$B$47,IF(G3701&lt;60,'General Basis'!$B$48,IF(G3701&lt;65,'General Basis'!$B$49,'General Basis'!$B$50)))))))))))))</f>
        <v/>
      </c>
      <c r="BI3701" s="744" t="str">
        <f t="shared" si="1281"/>
        <v/>
      </c>
      <c r="BJ3701" s="747" t="str">
        <f t="shared" si="1288"/>
        <v/>
      </c>
      <c r="BK3701" s="498" t="str">
        <f t="shared" si="1282"/>
        <v/>
      </c>
      <c r="BL3701" s="498" t="str">
        <f t="shared" si="1283"/>
        <v/>
      </c>
    </row>
    <row r="3702" spans="1:64" x14ac:dyDescent="0.25">
      <c r="A3702" s="762">
        <f t="shared" si="1284"/>
        <v>3697</v>
      </c>
      <c r="B3702" s="229"/>
      <c r="C3702" s="223"/>
      <c r="D3702" s="224"/>
      <c r="E3702" s="225"/>
      <c r="F3702" s="1036" t="str">
        <f t="shared" si="1290"/>
        <v/>
      </c>
      <c r="G3702" s="1037" t="str">
        <f t="shared" si="1285"/>
        <v/>
      </c>
      <c r="H3702" s="225"/>
      <c r="I3702" s="1013"/>
      <c r="J3702" s="1013"/>
      <c r="K3702" s="1028"/>
      <c r="L3702" s="1035" t="str">
        <f t="shared" si="1289"/>
        <v/>
      </c>
      <c r="S3702" s="498"/>
      <c r="AJ3702" s="498"/>
      <c r="AM3702" s="498">
        <f t="shared" si="1270"/>
        <v>0</v>
      </c>
      <c r="AN3702" s="498">
        <f t="shared" si="1271"/>
        <v>0</v>
      </c>
      <c r="AO3702" s="498">
        <f t="shared" si="1272"/>
        <v>0</v>
      </c>
      <c r="AP3702" s="498">
        <f t="shared" si="1291"/>
        <v>0</v>
      </c>
      <c r="AQ3702" s="498">
        <f t="shared" si="1286"/>
        <v>0</v>
      </c>
      <c r="AU3702" s="498">
        <f t="shared" si="1273"/>
        <v>0</v>
      </c>
      <c r="AV3702" s="498">
        <f t="shared" si="1274"/>
        <v>0</v>
      </c>
      <c r="AW3702" s="498">
        <f t="shared" si="1275"/>
        <v>0</v>
      </c>
      <c r="AX3702" s="498">
        <f t="shared" si="1276"/>
        <v>0</v>
      </c>
      <c r="AY3702" s="498">
        <f t="shared" si="1277"/>
        <v>0</v>
      </c>
      <c r="BB3702" s="498" t="str">
        <f t="shared" si="1278"/>
        <v/>
      </c>
      <c r="BC3702" s="743" t="str">
        <f t="shared" si="1279"/>
        <v/>
      </c>
      <c r="BD3702" s="743" t="str">
        <f t="shared" si="1280"/>
        <v/>
      </c>
      <c r="BE3702" s="743" t="str">
        <f>IF(D3702="","",VLOOKUP(D3702,'General Basis'!$J$39:$K$46,2,0))</f>
        <v/>
      </c>
      <c r="BF3702" s="744" t="str">
        <f>IF(D3702="","",VLOOKUP(D3702,'General Basis'!$J$39:$L$46,3,0))</f>
        <v/>
      </c>
      <c r="BG3702" s="744" t="str">
        <f t="shared" si="1287"/>
        <v/>
      </c>
      <c r="BH3702" s="744" t="str">
        <f>IF(G3702="","",IF(BF3702="Abu Dhabi",IF(G3702&lt;18,'General Basis'!$C$39,IF(G3702&lt;41,'General Basis'!$C$40,IF(G3702&lt;60,'General Basis'!$C$41,IF(G3702&lt;65,'General Basis'!$C$42,'General Basis'!$C$43)))),IF(G3702&lt;11,'General Basis'!$B$39,IF(G3702&lt;18,'General Basis'!$B$40,IF(G3702&lt;26,'General Basis'!$B$41,IF(G3702&lt;31,'General Basis'!$B$42,IF(G3702&lt;36,'General Basis'!$B$43,IF(G3702&lt;41,'General Basis'!$B$44,IF(G3702&lt;46,'General Basis'!$B$45,IF(G3702&lt;51,'General Basis'!$B$46,IF(G3702&lt;56,'General Basis'!$B$47,IF(G3702&lt;60,'General Basis'!$B$48,IF(G3702&lt;65,'General Basis'!$B$49,'General Basis'!$B$50)))))))))))))</f>
        <v/>
      </c>
      <c r="BI3702" s="744" t="str">
        <f t="shared" si="1281"/>
        <v/>
      </c>
      <c r="BJ3702" s="747" t="str">
        <f t="shared" si="1288"/>
        <v/>
      </c>
      <c r="BK3702" s="498" t="str">
        <f t="shared" si="1282"/>
        <v/>
      </c>
      <c r="BL3702" s="498" t="str">
        <f t="shared" si="1283"/>
        <v/>
      </c>
    </row>
    <row r="3703" spans="1:64" x14ac:dyDescent="0.25">
      <c r="A3703" s="762">
        <f t="shared" si="1284"/>
        <v>3698</v>
      </c>
      <c r="B3703" s="229"/>
      <c r="C3703" s="223"/>
      <c r="D3703" s="224"/>
      <c r="E3703" s="225"/>
      <c r="F3703" s="1036" t="str">
        <f t="shared" si="1290"/>
        <v/>
      </c>
      <c r="G3703" s="1037" t="str">
        <f t="shared" si="1285"/>
        <v/>
      </c>
      <c r="H3703" s="225"/>
      <c r="I3703" s="1013"/>
      <c r="J3703" s="1013"/>
      <c r="K3703" s="1028"/>
      <c r="L3703" s="1035" t="str">
        <f t="shared" si="1289"/>
        <v/>
      </c>
      <c r="S3703" s="498"/>
      <c r="AJ3703" s="498"/>
      <c r="AM3703" s="498">
        <f t="shared" si="1270"/>
        <v>0</v>
      </c>
      <c r="AN3703" s="498">
        <f t="shared" si="1271"/>
        <v>0</v>
      </c>
      <c r="AO3703" s="498">
        <f t="shared" si="1272"/>
        <v>0</v>
      </c>
      <c r="AP3703" s="498">
        <f t="shared" si="1291"/>
        <v>0</v>
      </c>
      <c r="AQ3703" s="498">
        <f t="shared" si="1286"/>
        <v>0</v>
      </c>
      <c r="AU3703" s="498">
        <f t="shared" si="1273"/>
        <v>0</v>
      </c>
      <c r="AV3703" s="498">
        <f t="shared" si="1274"/>
        <v>0</v>
      </c>
      <c r="AW3703" s="498">
        <f t="shared" si="1275"/>
        <v>0</v>
      </c>
      <c r="AX3703" s="498">
        <f t="shared" si="1276"/>
        <v>0</v>
      </c>
      <c r="AY3703" s="498">
        <f t="shared" si="1277"/>
        <v>0</v>
      </c>
      <c r="BB3703" s="498" t="str">
        <f t="shared" si="1278"/>
        <v/>
      </c>
      <c r="BC3703" s="743" t="str">
        <f t="shared" si="1279"/>
        <v/>
      </c>
      <c r="BD3703" s="743" t="str">
        <f t="shared" si="1280"/>
        <v/>
      </c>
      <c r="BE3703" s="743" t="str">
        <f>IF(D3703="","",VLOOKUP(D3703,'General Basis'!$J$39:$K$46,2,0))</f>
        <v/>
      </c>
      <c r="BF3703" s="744" t="str">
        <f>IF(D3703="","",VLOOKUP(D3703,'General Basis'!$J$39:$L$46,3,0))</f>
        <v/>
      </c>
      <c r="BG3703" s="744" t="str">
        <f t="shared" si="1287"/>
        <v/>
      </c>
      <c r="BH3703" s="744" t="str">
        <f>IF(G3703="","",IF(BF3703="Abu Dhabi",IF(G3703&lt;18,'General Basis'!$C$39,IF(G3703&lt;41,'General Basis'!$C$40,IF(G3703&lt;60,'General Basis'!$C$41,IF(G3703&lt;65,'General Basis'!$C$42,'General Basis'!$C$43)))),IF(G3703&lt;11,'General Basis'!$B$39,IF(G3703&lt;18,'General Basis'!$B$40,IF(G3703&lt;26,'General Basis'!$B$41,IF(G3703&lt;31,'General Basis'!$B$42,IF(G3703&lt;36,'General Basis'!$B$43,IF(G3703&lt;41,'General Basis'!$B$44,IF(G3703&lt;46,'General Basis'!$B$45,IF(G3703&lt;51,'General Basis'!$B$46,IF(G3703&lt;56,'General Basis'!$B$47,IF(G3703&lt;60,'General Basis'!$B$48,IF(G3703&lt;65,'General Basis'!$B$49,'General Basis'!$B$50)))))))))))))</f>
        <v/>
      </c>
      <c r="BI3703" s="744" t="str">
        <f t="shared" si="1281"/>
        <v/>
      </c>
      <c r="BJ3703" s="747" t="str">
        <f t="shared" si="1288"/>
        <v/>
      </c>
      <c r="BK3703" s="498" t="str">
        <f t="shared" si="1282"/>
        <v/>
      </c>
      <c r="BL3703" s="498" t="str">
        <f t="shared" si="1283"/>
        <v/>
      </c>
    </row>
    <row r="3704" spans="1:64" x14ac:dyDescent="0.25">
      <c r="A3704" s="762">
        <f t="shared" si="1284"/>
        <v>3699</v>
      </c>
      <c r="B3704" s="229"/>
      <c r="C3704" s="223"/>
      <c r="D3704" s="224"/>
      <c r="E3704" s="225"/>
      <c r="F3704" s="1036" t="str">
        <f t="shared" si="1290"/>
        <v/>
      </c>
      <c r="G3704" s="1037" t="str">
        <f t="shared" si="1285"/>
        <v/>
      </c>
      <c r="H3704" s="225"/>
      <c r="I3704" s="1013"/>
      <c r="J3704" s="1013"/>
      <c r="K3704" s="1028"/>
      <c r="L3704" s="1035" t="str">
        <f t="shared" si="1289"/>
        <v/>
      </c>
      <c r="S3704" s="498"/>
      <c r="AJ3704" s="498"/>
      <c r="AM3704" s="498">
        <f t="shared" si="1270"/>
        <v>0</v>
      </c>
      <c r="AN3704" s="498">
        <f t="shared" si="1271"/>
        <v>0</v>
      </c>
      <c r="AO3704" s="498">
        <f t="shared" si="1272"/>
        <v>0</v>
      </c>
      <c r="AP3704" s="498">
        <f t="shared" si="1291"/>
        <v>0</v>
      </c>
      <c r="AQ3704" s="498">
        <f t="shared" si="1286"/>
        <v>0</v>
      </c>
      <c r="AU3704" s="498">
        <f t="shared" si="1273"/>
        <v>0</v>
      </c>
      <c r="AV3704" s="498">
        <f t="shared" si="1274"/>
        <v>0</v>
      </c>
      <c r="AW3704" s="498">
        <f t="shared" si="1275"/>
        <v>0</v>
      </c>
      <c r="AX3704" s="498">
        <f t="shared" si="1276"/>
        <v>0</v>
      </c>
      <c r="AY3704" s="498">
        <f t="shared" si="1277"/>
        <v>0</v>
      </c>
      <c r="BB3704" s="498" t="str">
        <f t="shared" si="1278"/>
        <v/>
      </c>
      <c r="BC3704" s="743" t="str">
        <f t="shared" si="1279"/>
        <v/>
      </c>
      <c r="BD3704" s="743" t="str">
        <f t="shared" si="1280"/>
        <v/>
      </c>
      <c r="BE3704" s="743" t="str">
        <f>IF(D3704="","",VLOOKUP(D3704,'General Basis'!$J$39:$K$46,2,0))</f>
        <v/>
      </c>
      <c r="BF3704" s="744" t="str">
        <f>IF(D3704="","",VLOOKUP(D3704,'General Basis'!$J$39:$L$46,3,0))</f>
        <v/>
      </c>
      <c r="BG3704" s="744" t="str">
        <f t="shared" si="1287"/>
        <v/>
      </c>
      <c r="BH3704" s="744" t="str">
        <f>IF(G3704="","",IF(BF3704="Abu Dhabi",IF(G3704&lt;18,'General Basis'!$C$39,IF(G3704&lt;41,'General Basis'!$C$40,IF(G3704&lt;60,'General Basis'!$C$41,IF(G3704&lt;65,'General Basis'!$C$42,'General Basis'!$C$43)))),IF(G3704&lt;11,'General Basis'!$B$39,IF(G3704&lt;18,'General Basis'!$B$40,IF(G3704&lt;26,'General Basis'!$B$41,IF(G3704&lt;31,'General Basis'!$B$42,IF(G3704&lt;36,'General Basis'!$B$43,IF(G3704&lt;41,'General Basis'!$B$44,IF(G3704&lt;46,'General Basis'!$B$45,IF(G3704&lt;51,'General Basis'!$B$46,IF(G3704&lt;56,'General Basis'!$B$47,IF(G3704&lt;60,'General Basis'!$B$48,IF(G3704&lt;65,'General Basis'!$B$49,'General Basis'!$B$50)))))))))))))</f>
        <v/>
      </c>
      <c r="BI3704" s="744" t="str">
        <f t="shared" si="1281"/>
        <v/>
      </c>
      <c r="BJ3704" s="747" t="str">
        <f t="shared" si="1288"/>
        <v/>
      </c>
      <c r="BK3704" s="498" t="str">
        <f t="shared" si="1282"/>
        <v/>
      </c>
      <c r="BL3704" s="498" t="str">
        <f t="shared" si="1283"/>
        <v/>
      </c>
    </row>
    <row r="3705" spans="1:64" x14ac:dyDescent="0.25">
      <c r="A3705" s="762">
        <f t="shared" si="1284"/>
        <v>3700</v>
      </c>
      <c r="B3705" s="229"/>
      <c r="C3705" s="223"/>
      <c r="D3705" s="224"/>
      <c r="E3705" s="225"/>
      <c r="F3705" s="1036" t="str">
        <f t="shared" si="1290"/>
        <v/>
      </c>
      <c r="G3705" s="1037" t="str">
        <f t="shared" si="1285"/>
        <v/>
      </c>
      <c r="H3705" s="225"/>
      <c r="I3705" s="1013"/>
      <c r="J3705" s="1013"/>
      <c r="K3705" s="1028"/>
      <c r="L3705" s="1035" t="str">
        <f t="shared" si="1289"/>
        <v/>
      </c>
      <c r="S3705" s="498"/>
      <c r="AJ3705" s="498"/>
      <c r="AM3705" s="498">
        <f t="shared" si="1270"/>
        <v>0</v>
      </c>
      <c r="AN3705" s="498">
        <f t="shared" si="1271"/>
        <v>0</v>
      </c>
      <c r="AO3705" s="498">
        <f t="shared" si="1272"/>
        <v>0</v>
      </c>
      <c r="AP3705" s="498">
        <f t="shared" si="1291"/>
        <v>0</v>
      </c>
      <c r="AQ3705" s="498">
        <f t="shared" si="1286"/>
        <v>0</v>
      </c>
      <c r="AU3705" s="498">
        <f t="shared" si="1273"/>
        <v>0</v>
      </c>
      <c r="AV3705" s="498">
        <f t="shared" si="1274"/>
        <v>0</v>
      </c>
      <c r="AW3705" s="498">
        <f t="shared" si="1275"/>
        <v>0</v>
      </c>
      <c r="AX3705" s="498">
        <f t="shared" si="1276"/>
        <v>0</v>
      </c>
      <c r="AY3705" s="498">
        <f t="shared" si="1277"/>
        <v>0</v>
      </c>
      <c r="BB3705" s="498" t="str">
        <f t="shared" si="1278"/>
        <v/>
      </c>
      <c r="BC3705" s="743" t="str">
        <f t="shared" si="1279"/>
        <v/>
      </c>
      <c r="BD3705" s="743" t="str">
        <f t="shared" si="1280"/>
        <v/>
      </c>
      <c r="BE3705" s="743" t="str">
        <f>IF(D3705="","",VLOOKUP(D3705,'General Basis'!$J$39:$K$46,2,0))</f>
        <v/>
      </c>
      <c r="BF3705" s="744" t="str">
        <f>IF(D3705="","",VLOOKUP(D3705,'General Basis'!$J$39:$L$46,3,0))</f>
        <v/>
      </c>
      <c r="BG3705" s="744" t="str">
        <f t="shared" si="1287"/>
        <v/>
      </c>
      <c r="BH3705" s="744" t="str">
        <f>IF(G3705="","",IF(BF3705="Abu Dhabi",IF(G3705&lt;18,'General Basis'!$C$39,IF(G3705&lt;41,'General Basis'!$C$40,IF(G3705&lt;60,'General Basis'!$C$41,IF(G3705&lt;65,'General Basis'!$C$42,'General Basis'!$C$43)))),IF(G3705&lt;11,'General Basis'!$B$39,IF(G3705&lt;18,'General Basis'!$B$40,IF(G3705&lt;26,'General Basis'!$B$41,IF(G3705&lt;31,'General Basis'!$B$42,IF(G3705&lt;36,'General Basis'!$B$43,IF(G3705&lt;41,'General Basis'!$B$44,IF(G3705&lt;46,'General Basis'!$B$45,IF(G3705&lt;51,'General Basis'!$B$46,IF(G3705&lt;56,'General Basis'!$B$47,IF(G3705&lt;60,'General Basis'!$B$48,IF(G3705&lt;65,'General Basis'!$B$49,'General Basis'!$B$50)))))))))))))</f>
        <v/>
      </c>
      <c r="BI3705" s="744" t="str">
        <f t="shared" si="1281"/>
        <v/>
      </c>
      <c r="BJ3705" s="747" t="str">
        <f t="shared" si="1288"/>
        <v/>
      </c>
      <c r="BK3705" s="498" t="str">
        <f t="shared" si="1282"/>
        <v/>
      </c>
      <c r="BL3705" s="498" t="str">
        <f t="shared" si="1283"/>
        <v/>
      </c>
    </row>
    <row r="3706" spans="1:64" x14ac:dyDescent="0.25">
      <c r="A3706" s="762">
        <f t="shared" si="1284"/>
        <v>3701</v>
      </c>
      <c r="B3706" s="229"/>
      <c r="C3706" s="223"/>
      <c r="D3706" s="224"/>
      <c r="E3706" s="225"/>
      <c r="F3706" s="1036" t="str">
        <f t="shared" si="1290"/>
        <v/>
      </c>
      <c r="G3706" s="1037" t="str">
        <f t="shared" si="1285"/>
        <v/>
      </c>
      <c r="H3706" s="225"/>
      <c r="I3706" s="1013"/>
      <c r="J3706" s="1013"/>
      <c r="K3706" s="1028"/>
      <c r="L3706" s="1035" t="str">
        <f t="shared" si="1289"/>
        <v/>
      </c>
      <c r="S3706" s="498"/>
      <c r="AJ3706" s="498"/>
      <c r="AM3706" s="498">
        <f t="shared" si="1270"/>
        <v>0</v>
      </c>
      <c r="AN3706" s="498">
        <f t="shared" si="1271"/>
        <v>0</v>
      </c>
      <c r="AO3706" s="498">
        <f t="shared" si="1272"/>
        <v>0</v>
      </c>
      <c r="AP3706" s="498">
        <f t="shared" si="1291"/>
        <v>0</v>
      </c>
      <c r="AQ3706" s="498">
        <f t="shared" si="1286"/>
        <v>0</v>
      </c>
      <c r="AU3706" s="498">
        <f t="shared" si="1273"/>
        <v>0</v>
      </c>
      <c r="AV3706" s="498">
        <f t="shared" si="1274"/>
        <v>0</v>
      </c>
      <c r="AW3706" s="498">
        <f t="shared" si="1275"/>
        <v>0</v>
      </c>
      <c r="AX3706" s="498">
        <f t="shared" si="1276"/>
        <v>0</v>
      </c>
      <c r="AY3706" s="498">
        <f t="shared" si="1277"/>
        <v>0</v>
      </c>
      <c r="BB3706" s="498" t="str">
        <f t="shared" si="1278"/>
        <v/>
      </c>
      <c r="BC3706" s="743" t="str">
        <f t="shared" si="1279"/>
        <v/>
      </c>
      <c r="BD3706" s="743" t="str">
        <f t="shared" si="1280"/>
        <v/>
      </c>
      <c r="BE3706" s="743" t="str">
        <f>IF(D3706="","",VLOOKUP(D3706,'General Basis'!$J$39:$K$46,2,0))</f>
        <v/>
      </c>
      <c r="BF3706" s="744" t="str">
        <f>IF(D3706="","",VLOOKUP(D3706,'General Basis'!$J$39:$L$46,3,0))</f>
        <v/>
      </c>
      <c r="BG3706" s="744" t="str">
        <f t="shared" si="1287"/>
        <v/>
      </c>
      <c r="BH3706" s="744" t="str">
        <f>IF(G3706="","",IF(BF3706="Abu Dhabi",IF(G3706&lt;18,'General Basis'!$C$39,IF(G3706&lt;41,'General Basis'!$C$40,IF(G3706&lt;60,'General Basis'!$C$41,IF(G3706&lt;65,'General Basis'!$C$42,'General Basis'!$C$43)))),IF(G3706&lt;11,'General Basis'!$B$39,IF(G3706&lt;18,'General Basis'!$B$40,IF(G3706&lt;26,'General Basis'!$B$41,IF(G3706&lt;31,'General Basis'!$B$42,IF(G3706&lt;36,'General Basis'!$B$43,IF(G3706&lt;41,'General Basis'!$B$44,IF(G3706&lt;46,'General Basis'!$B$45,IF(G3706&lt;51,'General Basis'!$B$46,IF(G3706&lt;56,'General Basis'!$B$47,IF(G3706&lt;60,'General Basis'!$B$48,IF(G3706&lt;65,'General Basis'!$B$49,'General Basis'!$B$50)))))))))))))</f>
        <v/>
      </c>
      <c r="BI3706" s="744" t="str">
        <f t="shared" si="1281"/>
        <v/>
      </c>
      <c r="BJ3706" s="747" t="str">
        <f t="shared" si="1288"/>
        <v/>
      </c>
      <c r="BK3706" s="498" t="str">
        <f t="shared" si="1282"/>
        <v/>
      </c>
      <c r="BL3706" s="498" t="str">
        <f t="shared" si="1283"/>
        <v/>
      </c>
    </row>
    <row r="3707" spans="1:64" x14ac:dyDescent="0.25">
      <c r="A3707" s="762">
        <f t="shared" si="1284"/>
        <v>3702</v>
      </c>
      <c r="B3707" s="229"/>
      <c r="C3707" s="223"/>
      <c r="D3707" s="224"/>
      <c r="E3707" s="225"/>
      <c r="F3707" s="1036" t="str">
        <f t="shared" si="1290"/>
        <v/>
      </c>
      <c r="G3707" s="1037" t="str">
        <f t="shared" si="1285"/>
        <v/>
      </c>
      <c r="H3707" s="225"/>
      <c r="I3707" s="1013"/>
      <c r="J3707" s="1013"/>
      <c r="K3707" s="1028"/>
      <c r="L3707" s="1035" t="str">
        <f t="shared" si="1289"/>
        <v/>
      </c>
      <c r="S3707" s="498"/>
      <c r="AJ3707" s="498"/>
      <c r="AM3707" s="498">
        <f t="shared" si="1270"/>
        <v>0</v>
      </c>
      <c r="AN3707" s="498">
        <f t="shared" si="1271"/>
        <v>0</v>
      </c>
      <c r="AO3707" s="498">
        <f t="shared" si="1272"/>
        <v>0</v>
      </c>
      <c r="AP3707" s="498">
        <f t="shared" si="1291"/>
        <v>0</v>
      </c>
      <c r="AQ3707" s="498">
        <f t="shared" si="1286"/>
        <v>0</v>
      </c>
      <c r="AU3707" s="498">
        <f t="shared" si="1273"/>
        <v>0</v>
      </c>
      <c r="AV3707" s="498">
        <f t="shared" si="1274"/>
        <v>0</v>
      </c>
      <c r="AW3707" s="498">
        <f t="shared" si="1275"/>
        <v>0</v>
      </c>
      <c r="AX3707" s="498">
        <f t="shared" si="1276"/>
        <v>0</v>
      </c>
      <c r="AY3707" s="498">
        <f t="shared" si="1277"/>
        <v>0</v>
      </c>
      <c r="BB3707" s="498" t="str">
        <f t="shared" si="1278"/>
        <v/>
      </c>
      <c r="BC3707" s="743" t="str">
        <f t="shared" si="1279"/>
        <v/>
      </c>
      <c r="BD3707" s="743" t="str">
        <f t="shared" si="1280"/>
        <v/>
      </c>
      <c r="BE3707" s="743" t="str">
        <f>IF(D3707="","",VLOOKUP(D3707,'General Basis'!$J$39:$K$46,2,0))</f>
        <v/>
      </c>
      <c r="BF3707" s="744" t="str">
        <f>IF(D3707="","",VLOOKUP(D3707,'General Basis'!$J$39:$L$46,3,0))</f>
        <v/>
      </c>
      <c r="BG3707" s="744" t="str">
        <f t="shared" si="1287"/>
        <v/>
      </c>
      <c r="BH3707" s="744" t="str">
        <f>IF(G3707="","",IF(BF3707="Abu Dhabi",IF(G3707&lt;18,'General Basis'!$C$39,IF(G3707&lt;41,'General Basis'!$C$40,IF(G3707&lt;60,'General Basis'!$C$41,IF(G3707&lt;65,'General Basis'!$C$42,'General Basis'!$C$43)))),IF(G3707&lt;11,'General Basis'!$B$39,IF(G3707&lt;18,'General Basis'!$B$40,IF(G3707&lt;26,'General Basis'!$B$41,IF(G3707&lt;31,'General Basis'!$B$42,IF(G3707&lt;36,'General Basis'!$B$43,IF(G3707&lt;41,'General Basis'!$B$44,IF(G3707&lt;46,'General Basis'!$B$45,IF(G3707&lt;51,'General Basis'!$B$46,IF(G3707&lt;56,'General Basis'!$B$47,IF(G3707&lt;60,'General Basis'!$B$48,IF(G3707&lt;65,'General Basis'!$B$49,'General Basis'!$B$50)))))))))))))</f>
        <v/>
      </c>
      <c r="BI3707" s="744" t="str">
        <f t="shared" si="1281"/>
        <v/>
      </c>
      <c r="BJ3707" s="747" t="str">
        <f t="shared" si="1288"/>
        <v/>
      </c>
      <c r="BK3707" s="498" t="str">
        <f t="shared" si="1282"/>
        <v/>
      </c>
      <c r="BL3707" s="498" t="str">
        <f t="shared" si="1283"/>
        <v/>
      </c>
    </row>
    <row r="3708" spans="1:64" x14ac:dyDescent="0.25">
      <c r="A3708" s="762">
        <f t="shared" si="1284"/>
        <v>3703</v>
      </c>
      <c r="B3708" s="229"/>
      <c r="C3708" s="223"/>
      <c r="D3708" s="224"/>
      <c r="E3708" s="225"/>
      <c r="F3708" s="1036" t="str">
        <f t="shared" si="1290"/>
        <v/>
      </c>
      <c r="G3708" s="1037" t="str">
        <f t="shared" si="1285"/>
        <v/>
      </c>
      <c r="H3708" s="225"/>
      <c r="I3708" s="1013"/>
      <c r="J3708" s="1013"/>
      <c r="K3708" s="1028"/>
      <c r="L3708" s="1035" t="str">
        <f t="shared" si="1289"/>
        <v/>
      </c>
      <c r="S3708" s="498"/>
      <c r="AJ3708" s="498"/>
      <c r="AM3708" s="498">
        <f t="shared" si="1270"/>
        <v>0</v>
      </c>
      <c r="AN3708" s="498">
        <f t="shared" si="1271"/>
        <v>0</v>
      </c>
      <c r="AO3708" s="498">
        <f t="shared" si="1272"/>
        <v>0</v>
      </c>
      <c r="AP3708" s="498">
        <f t="shared" si="1291"/>
        <v>0</v>
      </c>
      <c r="AQ3708" s="498">
        <f t="shared" si="1286"/>
        <v>0</v>
      </c>
      <c r="AU3708" s="498">
        <f t="shared" si="1273"/>
        <v>0</v>
      </c>
      <c r="AV3708" s="498">
        <f t="shared" si="1274"/>
        <v>0</v>
      </c>
      <c r="AW3708" s="498">
        <f t="shared" si="1275"/>
        <v>0</v>
      </c>
      <c r="AX3708" s="498">
        <f t="shared" si="1276"/>
        <v>0</v>
      </c>
      <c r="AY3708" s="498">
        <f t="shared" si="1277"/>
        <v>0</v>
      </c>
      <c r="BB3708" s="498" t="str">
        <f t="shared" si="1278"/>
        <v/>
      </c>
      <c r="BC3708" s="743" t="str">
        <f t="shared" si="1279"/>
        <v/>
      </c>
      <c r="BD3708" s="743" t="str">
        <f t="shared" si="1280"/>
        <v/>
      </c>
      <c r="BE3708" s="743" t="str">
        <f>IF(D3708="","",VLOOKUP(D3708,'General Basis'!$J$39:$K$46,2,0))</f>
        <v/>
      </c>
      <c r="BF3708" s="744" t="str">
        <f>IF(D3708="","",VLOOKUP(D3708,'General Basis'!$J$39:$L$46,3,0))</f>
        <v/>
      </c>
      <c r="BG3708" s="744" t="str">
        <f t="shared" si="1287"/>
        <v/>
      </c>
      <c r="BH3708" s="744" t="str">
        <f>IF(G3708="","",IF(BF3708="Abu Dhabi",IF(G3708&lt;18,'General Basis'!$C$39,IF(G3708&lt;41,'General Basis'!$C$40,IF(G3708&lt;60,'General Basis'!$C$41,IF(G3708&lt;65,'General Basis'!$C$42,'General Basis'!$C$43)))),IF(G3708&lt;11,'General Basis'!$B$39,IF(G3708&lt;18,'General Basis'!$B$40,IF(G3708&lt;26,'General Basis'!$B$41,IF(G3708&lt;31,'General Basis'!$B$42,IF(G3708&lt;36,'General Basis'!$B$43,IF(G3708&lt;41,'General Basis'!$B$44,IF(G3708&lt;46,'General Basis'!$B$45,IF(G3708&lt;51,'General Basis'!$B$46,IF(G3708&lt;56,'General Basis'!$B$47,IF(G3708&lt;60,'General Basis'!$B$48,IF(G3708&lt;65,'General Basis'!$B$49,'General Basis'!$B$50)))))))))))))</f>
        <v/>
      </c>
      <c r="BI3708" s="744" t="str">
        <f t="shared" si="1281"/>
        <v/>
      </c>
      <c r="BJ3708" s="747" t="str">
        <f t="shared" si="1288"/>
        <v/>
      </c>
      <c r="BK3708" s="498" t="str">
        <f t="shared" si="1282"/>
        <v/>
      </c>
      <c r="BL3708" s="498" t="str">
        <f t="shared" si="1283"/>
        <v/>
      </c>
    </row>
    <row r="3709" spans="1:64" x14ac:dyDescent="0.25">
      <c r="A3709" s="762">
        <f t="shared" si="1284"/>
        <v>3704</v>
      </c>
      <c r="B3709" s="229"/>
      <c r="C3709" s="223"/>
      <c r="D3709" s="224"/>
      <c r="E3709" s="225"/>
      <c r="F3709" s="1036" t="str">
        <f t="shared" si="1290"/>
        <v/>
      </c>
      <c r="G3709" s="1037" t="str">
        <f t="shared" si="1285"/>
        <v/>
      </c>
      <c r="H3709" s="225"/>
      <c r="I3709" s="1013"/>
      <c r="J3709" s="1013"/>
      <c r="K3709" s="1028"/>
      <c r="L3709" s="1035" t="str">
        <f t="shared" si="1289"/>
        <v/>
      </c>
      <c r="S3709" s="498"/>
      <c r="AJ3709" s="498"/>
      <c r="AM3709" s="498">
        <f t="shared" si="1270"/>
        <v>0</v>
      </c>
      <c r="AN3709" s="498">
        <f t="shared" si="1271"/>
        <v>0</v>
      </c>
      <c r="AO3709" s="498">
        <f t="shared" si="1272"/>
        <v>0</v>
      </c>
      <c r="AP3709" s="498">
        <f t="shared" si="1291"/>
        <v>0</v>
      </c>
      <c r="AQ3709" s="498">
        <f t="shared" si="1286"/>
        <v>0</v>
      </c>
      <c r="AU3709" s="498">
        <f t="shared" si="1273"/>
        <v>0</v>
      </c>
      <c r="AV3709" s="498">
        <f t="shared" si="1274"/>
        <v>0</v>
      </c>
      <c r="AW3709" s="498">
        <f t="shared" si="1275"/>
        <v>0</v>
      </c>
      <c r="AX3709" s="498">
        <f t="shared" si="1276"/>
        <v>0</v>
      </c>
      <c r="AY3709" s="498">
        <f t="shared" si="1277"/>
        <v>0</v>
      </c>
      <c r="BB3709" s="498" t="str">
        <f t="shared" si="1278"/>
        <v/>
      </c>
      <c r="BC3709" s="743" t="str">
        <f t="shared" si="1279"/>
        <v/>
      </c>
      <c r="BD3709" s="743" t="str">
        <f t="shared" si="1280"/>
        <v/>
      </c>
      <c r="BE3709" s="743" t="str">
        <f>IF(D3709="","",VLOOKUP(D3709,'General Basis'!$J$39:$K$46,2,0))</f>
        <v/>
      </c>
      <c r="BF3709" s="744" t="str">
        <f>IF(D3709="","",VLOOKUP(D3709,'General Basis'!$J$39:$L$46,3,0))</f>
        <v/>
      </c>
      <c r="BG3709" s="744" t="str">
        <f t="shared" si="1287"/>
        <v/>
      </c>
      <c r="BH3709" s="744" t="str">
        <f>IF(G3709="","",IF(BF3709="Abu Dhabi",IF(G3709&lt;18,'General Basis'!$C$39,IF(G3709&lt;41,'General Basis'!$C$40,IF(G3709&lt;60,'General Basis'!$C$41,IF(G3709&lt;65,'General Basis'!$C$42,'General Basis'!$C$43)))),IF(G3709&lt;11,'General Basis'!$B$39,IF(G3709&lt;18,'General Basis'!$B$40,IF(G3709&lt;26,'General Basis'!$B$41,IF(G3709&lt;31,'General Basis'!$B$42,IF(G3709&lt;36,'General Basis'!$B$43,IF(G3709&lt;41,'General Basis'!$B$44,IF(G3709&lt;46,'General Basis'!$B$45,IF(G3709&lt;51,'General Basis'!$B$46,IF(G3709&lt;56,'General Basis'!$B$47,IF(G3709&lt;60,'General Basis'!$B$48,IF(G3709&lt;65,'General Basis'!$B$49,'General Basis'!$B$50)))))))))))))</f>
        <v/>
      </c>
      <c r="BI3709" s="744" t="str">
        <f t="shared" si="1281"/>
        <v/>
      </c>
      <c r="BJ3709" s="747" t="str">
        <f t="shared" si="1288"/>
        <v/>
      </c>
      <c r="BK3709" s="498" t="str">
        <f t="shared" si="1282"/>
        <v/>
      </c>
      <c r="BL3709" s="498" t="str">
        <f t="shared" si="1283"/>
        <v/>
      </c>
    </row>
    <row r="3710" spans="1:64" x14ac:dyDescent="0.25">
      <c r="A3710" s="762">
        <f t="shared" si="1284"/>
        <v>3705</v>
      </c>
      <c r="B3710" s="229"/>
      <c r="C3710" s="223"/>
      <c r="D3710" s="224"/>
      <c r="E3710" s="225"/>
      <c r="F3710" s="1036" t="str">
        <f t="shared" si="1290"/>
        <v/>
      </c>
      <c r="G3710" s="1037" t="str">
        <f t="shared" si="1285"/>
        <v/>
      </c>
      <c r="H3710" s="225"/>
      <c r="I3710" s="1013"/>
      <c r="J3710" s="1013"/>
      <c r="K3710" s="1028"/>
      <c r="L3710" s="1035" t="str">
        <f t="shared" si="1289"/>
        <v/>
      </c>
      <c r="S3710" s="498"/>
      <c r="AJ3710" s="498"/>
      <c r="AM3710" s="498">
        <f t="shared" si="1270"/>
        <v>0</v>
      </c>
      <c r="AN3710" s="498">
        <f t="shared" si="1271"/>
        <v>0</v>
      </c>
      <c r="AO3710" s="498">
        <f t="shared" si="1272"/>
        <v>0</v>
      </c>
      <c r="AP3710" s="498">
        <f t="shared" si="1291"/>
        <v>0</v>
      </c>
      <c r="AQ3710" s="498">
        <f t="shared" si="1286"/>
        <v>0</v>
      </c>
      <c r="AU3710" s="498">
        <f t="shared" si="1273"/>
        <v>0</v>
      </c>
      <c r="AV3710" s="498">
        <f t="shared" si="1274"/>
        <v>0</v>
      </c>
      <c r="AW3710" s="498">
        <f t="shared" si="1275"/>
        <v>0</v>
      </c>
      <c r="AX3710" s="498">
        <f t="shared" si="1276"/>
        <v>0</v>
      </c>
      <c r="AY3710" s="498">
        <f t="shared" si="1277"/>
        <v>0</v>
      </c>
      <c r="BB3710" s="498" t="str">
        <f t="shared" si="1278"/>
        <v/>
      </c>
      <c r="BC3710" s="743" t="str">
        <f t="shared" si="1279"/>
        <v/>
      </c>
      <c r="BD3710" s="743" t="str">
        <f t="shared" si="1280"/>
        <v/>
      </c>
      <c r="BE3710" s="743" t="str">
        <f>IF(D3710="","",VLOOKUP(D3710,'General Basis'!$J$39:$K$46,2,0))</f>
        <v/>
      </c>
      <c r="BF3710" s="744" t="str">
        <f>IF(D3710="","",VLOOKUP(D3710,'General Basis'!$J$39:$L$46,3,0))</f>
        <v/>
      </c>
      <c r="BG3710" s="744" t="str">
        <f t="shared" si="1287"/>
        <v/>
      </c>
      <c r="BH3710" s="744" t="str">
        <f>IF(G3710="","",IF(BF3710="Abu Dhabi",IF(G3710&lt;18,'General Basis'!$C$39,IF(G3710&lt;41,'General Basis'!$C$40,IF(G3710&lt;60,'General Basis'!$C$41,IF(G3710&lt;65,'General Basis'!$C$42,'General Basis'!$C$43)))),IF(G3710&lt;11,'General Basis'!$B$39,IF(G3710&lt;18,'General Basis'!$B$40,IF(G3710&lt;26,'General Basis'!$B$41,IF(G3710&lt;31,'General Basis'!$B$42,IF(G3710&lt;36,'General Basis'!$B$43,IF(G3710&lt;41,'General Basis'!$B$44,IF(G3710&lt;46,'General Basis'!$B$45,IF(G3710&lt;51,'General Basis'!$B$46,IF(G3710&lt;56,'General Basis'!$B$47,IF(G3710&lt;60,'General Basis'!$B$48,IF(G3710&lt;65,'General Basis'!$B$49,'General Basis'!$B$50)))))))))))))</f>
        <v/>
      </c>
      <c r="BI3710" s="744" t="str">
        <f t="shared" si="1281"/>
        <v/>
      </c>
      <c r="BJ3710" s="747" t="str">
        <f t="shared" si="1288"/>
        <v/>
      </c>
      <c r="BK3710" s="498" t="str">
        <f t="shared" si="1282"/>
        <v/>
      </c>
      <c r="BL3710" s="498" t="str">
        <f t="shared" si="1283"/>
        <v/>
      </c>
    </row>
    <row r="3711" spans="1:64" x14ac:dyDescent="0.25">
      <c r="A3711" s="762">
        <f t="shared" si="1284"/>
        <v>3706</v>
      </c>
      <c r="B3711" s="229"/>
      <c r="C3711" s="223"/>
      <c r="D3711" s="224"/>
      <c r="E3711" s="225"/>
      <c r="F3711" s="1036" t="str">
        <f t="shared" si="1290"/>
        <v/>
      </c>
      <c r="G3711" s="1037" t="str">
        <f t="shared" si="1285"/>
        <v/>
      </c>
      <c r="H3711" s="225"/>
      <c r="I3711" s="1013"/>
      <c r="J3711" s="1013"/>
      <c r="K3711" s="1028"/>
      <c r="L3711" s="1035" t="str">
        <f t="shared" si="1289"/>
        <v/>
      </c>
      <c r="S3711" s="498"/>
      <c r="AJ3711" s="498"/>
      <c r="AM3711" s="498">
        <f t="shared" si="1270"/>
        <v>0</v>
      </c>
      <c r="AN3711" s="498">
        <f t="shared" si="1271"/>
        <v>0</v>
      </c>
      <c r="AO3711" s="498">
        <f t="shared" si="1272"/>
        <v>0</v>
      </c>
      <c r="AP3711" s="498">
        <f t="shared" si="1291"/>
        <v>0</v>
      </c>
      <c r="AQ3711" s="498">
        <f t="shared" si="1286"/>
        <v>0</v>
      </c>
      <c r="AU3711" s="498">
        <f t="shared" si="1273"/>
        <v>0</v>
      </c>
      <c r="AV3711" s="498">
        <f t="shared" si="1274"/>
        <v>0</v>
      </c>
      <c r="AW3711" s="498">
        <f t="shared" si="1275"/>
        <v>0</v>
      </c>
      <c r="AX3711" s="498">
        <f t="shared" si="1276"/>
        <v>0</v>
      </c>
      <c r="AY3711" s="498">
        <f t="shared" si="1277"/>
        <v>0</v>
      </c>
      <c r="BB3711" s="498" t="str">
        <f t="shared" si="1278"/>
        <v/>
      </c>
      <c r="BC3711" s="743" t="str">
        <f t="shared" si="1279"/>
        <v/>
      </c>
      <c r="BD3711" s="743" t="str">
        <f t="shared" si="1280"/>
        <v/>
      </c>
      <c r="BE3711" s="743" t="str">
        <f>IF(D3711="","",VLOOKUP(D3711,'General Basis'!$J$39:$K$46,2,0))</f>
        <v/>
      </c>
      <c r="BF3711" s="744" t="str">
        <f>IF(D3711="","",VLOOKUP(D3711,'General Basis'!$J$39:$L$46,3,0))</f>
        <v/>
      </c>
      <c r="BG3711" s="744" t="str">
        <f t="shared" si="1287"/>
        <v/>
      </c>
      <c r="BH3711" s="744" t="str">
        <f>IF(G3711="","",IF(BF3711="Abu Dhabi",IF(G3711&lt;18,'General Basis'!$C$39,IF(G3711&lt;41,'General Basis'!$C$40,IF(G3711&lt;60,'General Basis'!$C$41,IF(G3711&lt;65,'General Basis'!$C$42,'General Basis'!$C$43)))),IF(G3711&lt;11,'General Basis'!$B$39,IF(G3711&lt;18,'General Basis'!$B$40,IF(G3711&lt;26,'General Basis'!$B$41,IF(G3711&lt;31,'General Basis'!$B$42,IF(G3711&lt;36,'General Basis'!$B$43,IF(G3711&lt;41,'General Basis'!$B$44,IF(G3711&lt;46,'General Basis'!$B$45,IF(G3711&lt;51,'General Basis'!$B$46,IF(G3711&lt;56,'General Basis'!$B$47,IF(G3711&lt;60,'General Basis'!$B$48,IF(G3711&lt;65,'General Basis'!$B$49,'General Basis'!$B$50)))))))))))))</f>
        <v/>
      </c>
      <c r="BI3711" s="744" t="str">
        <f t="shared" si="1281"/>
        <v/>
      </c>
      <c r="BJ3711" s="747" t="str">
        <f t="shared" si="1288"/>
        <v/>
      </c>
      <c r="BK3711" s="498" t="str">
        <f t="shared" si="1282"/>
        <v/>
      </c>
      <c r="BL3711" s="498" t="str">
        <f t="shared" si="1283"/>
        <v/>
      </c>
    </row>
    <row r="3712" spans="1:64" x14ac:dyDescent="0.25">
      <c r="A3712" s="762">
        <f t="shared" si="1284"/>
        <v>3707</v>
      </c>
      <c r="B3712" s="229"/>
      <c r="C3712" s="223"/>
      <c r="D3712" s="224"/>
      <c r="E3712" s="225"/>
      <c r="F3712" s="1036" t="str">
        <f t="shared" si="1290"/>
        <v/>
      </c>
      <c r="G3712" s="1037" t="str">
        <f t="shared" si="1285"/>
        <v/>
      </c>
      <c r="H3712" s="225"/>
      <c r="I3712" s="1013"/>
      <c r="J3712" s="1013"/>
      <c r="K3712" s="1028"/>
      <c r="L3712" s="1035" t="str">
        <f t="shared" si="1289"/>
        <v/>
      </c>
      <c r="S3712" s="498"/>
      <c r="AJ3712" s="498"/>
      <c r="AM3712" s="498">
        <f t="shared" si="1270"/>
        <v>0</v>
      </c>
      <c r="AN3712" s="498">
        <f t="shared" si="1271"/>
        <v>0</v>
      </c>
      <c r="AO3712" s="498">
        <f t="shared" si="1272"/>
        <v>0</v>
      </c>
      <c r="AP3712" s="498">
        <f t="shared" si="1291"/>
        <v>0</v>
      </c>
      <c r="AQ3712" s="498">
        <f t="shared" si="1286"/>
        <v>0</v>
      </c>
      <c r="AU3712" s="498">
        <f t="shared" si="1273"/>
        <v>0</v>
      </c>
      <c r="AV3712" s="498">
        <f t="shared" si="1274"/>
        <v>0</v>
      </c>
      <c r="AW3712" s="498">
        <f t="shared" si="1275"/>
        <v>0</v>
      </c>
      <c r="AX3712" s="498">
        <f t="shared" si="1276"/>
        <v>0</v>
      </c>
      <c r="AY3712" s="498">
        <f t="shared" si="1277"/>
        <v>0</v>
      </c>
      <c r="BB3712" s="498" t="str">
        <f t="shared" si="1278"/>
        <v/>
      </c>
      <c r="BC3712" s="743" t="str">
        <f t="shared" si="1279"/>
        <v/>
      </c>
      <c r="BD3712" s="743" t="str">
        <f t="shared" si="1280"/>
        <v/>
      </c>
      <c r="BE3712" s="743" t="str">
        <f>IF(D3712="","",VLOOKUP(D3712,'General Basis'!$J$39:$K$46,2,0))</f>
        <v/>
      </c>
      <c r="BF3712" s="744" t="str">
        <f>IF(D3712="","",VLOOKUP(D3712,'General Basis'!$J$39:$L$46,3,0))</f>
        <v/>
      </c>
      <c r="BG3712" s="744" t="str">
        <f t="shared" si="1287"/>
        <v/>
      </c>
      <c r="BH3712" s="744" t="str">
        <f>IF(G3712="","",IF(BF3712="Abu Dhabi",IF(G3712&lt;18,'General Basis'!$C$39,IF(G3712&lt;41,'General Basis'!$C$40,IF(G3712&lt;60,'General Basis'!$C$41,IF(G3712&lt;65,'General Basis'!$C$42,'General Basis'!$C$43)))),IF(G3712&lt;11,'General Basis'!$B$39,IF(G3712&lt;18,'General Basis'!$B$40,IF(G3712&lt;26,'General Basis'!$B$41,IF(G3712&lt;31,'General Basis'!$B$42,IF(G3712&lt;36,'General Basis'!$B$43,IF(G3712&lt;41,'General Basis'!$B$44,IF(G3712&lt;46,'General Basis'!$B$45,IF(G3712&lt;51,'General Basis'!$B$46,IF(G3712&lt;56,'General Basis'!$B$47,IF(G3712&lt;60,'General Basis'!$B$48,IF(G3712&lt;65,'General Basis'!$B$49,'General Basis'!$B$50)))))))))))))</f>
        <v/>
      </c>
      <c r="BI3712" s="744" t="str">
        <f t="shared" si="1281"/>
        <v/>
      </c>
      <c r="BJ3712" s="747" t="str">
        <f t="shared" si="1288"/>
        <v/>
      </c>
      <c r="BK3712" s="498" t="str">
        <f t="shared" si="1282"/>
        <v/>
      </c>
      <c r="BL3712" s="498" t="str">
        <f t="shared" si="1283"/>
        <v/>
      </c>
    </row>
    <row r="3713" spans="1:64" x14ac:dyDescent="0.25">
      <c r="A3713" s="762">
        <f t="shared" si="1284"/>
        <v>3708</v>
      </c>
      <c r="B3713" s="229"/>
      <c r="C3713" s="223"/>
      <c r="D3713" s="224"/>
      <c r="E3713" s="225"/>
      <c r="F3713" s="1036" t="str">
        <f t="shared" si="1290"/>
        <v/>
      </c>
      <c r="G3713" s="1037" t="str">
        <f t="shared" si="1285"/>
        <v/>
      </c>
      <c r="H3713" s="225"/>
      <c r="I3713" s="1013"/>
      <c r="J3713" s="1013"/>
      <c r="K3713" s="1028"/>
      <c r="L3713" s="1035" t="str">
        <f t="shared" si="1289"/>
        <v/>
      </c>
      <c r="S3713" s="498"/>
      <c r="AJ3713" s="498"/>
      <c r="AM3713" s="498">
        <f t="shared" si="1270"/>
        <v>0</v>
      </c>
      <c r="AN3713" s="498">
        <f t="shared" si="1271"/>
        <v>0</v>
      </c>
      <c r="AO3713" s="498">
        <f t="shared" si="1272"/>
        <v>0</v>
      </c>
      <c r="AP3713" s="498">
        <f t="shared" si="1291"/>
        <v>0</v>
      </c>
      <c r="AQ3713" s="498">
        <f t="shared" si="1286"/>
        <v>0</v>
      </c>
      <c r="AU3713" s="498">
        <f t="shared" si="1273"/>
        <v>0</v>
      </c>
      <c r="AV3713" s="498">
        <f t="shared" si="1274"/>
        <v>0</v>
      </c>
      <c r="AW3713" s="498">
        <f t="shared" si="1275"/>
        <v>0</v>
      </c>
      <c r="AX3713" s="498">
        <f t="shared" si="1276"/>
        <v>0</v>
      </c>
      <c r="AY3713" s="498">
        <f t="shared" si="1277"/>
        <v>0</v>
      </c>
      <c r="BB3713" s="498" t="str">
        <f t="shared" si="1278"/>
        <v/>
      </c>
      <c r="BC3713" s="743" t="str">
        <f t="shared" si="1279"/>
        <v/>
      </c>
      <c r="BD3713" s="743" t="str">
        <f t="shared" si="1280"/>
        <v/>
      </c>
      <c r="BE3713" s="743" t="str">
        <f>IF(D3713="","",VLOOKUP(D3713,'General Basis'!$J$39:$K$46,2,0))</f>
        <v/>
      </c>
      <c r="BF3713" s="744" t="str">
        <f>IF(D3713="","",VLOOKUP(D3713,'General Basis'!$J$39:$L$46,3,0))</f>
        <v/>
      </c>
      <c r="BG3713" s="744" t="str">
        <f t="shared" si="1287"/>
        <v/>
      </c>
      <c r="BH3713" s="744" t="str">
        <f>IF(G3713="","",IF(BF3713="Abu Dhabi",IF(G3713&lt;18,'General Basis'!$C$39,IF(G3713&lt;41,'General Basis'!$C$40,IF(G3713&lt;60,'General Basis'!$C$41,IF(G3713&lt;65,'General Basis'!$C$42,'General Basis'!$C$43)))),IF(G3713&lt;11,'General Basis'!$B$39,IF(G3713&lt;18,'General Basis'!$B$40,IF(G3713&lt;26,'General Basis'!$B$41,IF(G3713&lt;31,'General Basis'!$B$42,IF(G3713&lt;36,'General Basis'!$B$43,IF(G3713&lt;41,'General Basis'!$B$44,IF(G3713&lt;46,'General Basis'!$B$45,IF(G3713&lt;51,'General Basis'!$B$46,IF(G3713&lt;56,'General Basis'!$B$47,IF(G3713&lt;60,'General Basis'!$B$48,IF(G3713&lt;65,'General Basis'!$B$49,'General Basis'!$B$50)))))))))))))</f>
        <v/>
      </c>
      <c r="BI3713" s="744" t="str">
        <f t="shared" si="1281"/>
        <v/>
      </c>
      <c r="BJ3713" s="747" t="str">
        <f t="shared" si="1288"/>
        <v/>
      </c>
      <c r="BK3713" s="498" t="str">
        <f t="shared" si="1282"/>
        <v/>
      </c>
      <c r="BL3713" s="498" t="str">
        <f t="shared" si="1283"/>
        <v/>
      </c>
    </row>
    <row r="3714" spans="1:64" x14ac:dyDescent="0.25">
      <c r="A3714" s="762">
        <f t="shared" si="1284"/>
        <v>3709</v>
      </c>
      <c r="B3714" s="229"/>
      <c r="C3714" s="223"/>
      <c r="D3714" s="224"/>
      <c r="E3714" s="225"/>
      <c r="F3714" s="1036" t="str">
        <f t="shared" si="1290"/>
        <v/>
      </c>
      <c r="G3714" s="1037" t="str">
        <f t="shared" si="1285"/>
        <v/>
      </c>
      <c r="H3714" s="225"/>
      <c r="I3714" s="1013"/>
      <c r="J3714" s="1013"/>
      <c r="K3714" s="1028"/>
      <c r="L3714" s="1035" t="str">
        <f t="shared" si="1289"/>
        <v/>
      </c>
      <c r="S3714" s="498"/>
      <c r="AJ3714" s="498"/>
      <c r="AM3714" s="498">
        <f t="shared" si="1270"/>
        <v>0</v>
      </c>
      <c r="AN3714" s="498">
        <f t="shared" si="1271"/>
        <v>0</v>
      </c>
      <c r="AO3714" s="498">
        <f t="shared" si="1272"/>
        <v>0</v>
      </c>
      <c r="AP3714" s="498">
        <f t="shared" si="1291"/>
        <v>0</v>
      </c>
      <c r="AQ3714" s="498">
        <f t="shared" si="1286"/>
        <v>0</v>
      </c>
      <c r="AU3714" s="498">
        <f t="shared" si="1273"/>
        <v>0</v>
      </c>
      <c r="AV3714" s="498">
        <f t="shared" si="1274"/>
        <v>0</v>
      </c>
      <c r="AW3714" s="498">
        <f t="shared" si="1275"/>
        <v>0</v>
      </c>
      <c r="AX3714" s="498">
        <f t="shared" si="1276"/>
        <v>0</v>
      </c>
      <c r="AY3714" s="498">
        <f t="shared" si="1277"/>
        <v>0</v>
      </c>
      <c r="BB3714" s="498" t="str">
        <f t="shared" si="1278"/>
        <v/>
      </c>
      <c r="BC3714" s="743" t="str">
        <f t="shared" si="1279"/>
        <v/>
      </c>
      <c r="BD3714" s="743" t="str">
        <f t="shared" si="1280"/>
        <v/>
      </c>
      <c r="BE3714" s="743" t="str">
        <f>IF(D3714="","",VLOOKUP(D3714,'General Basis'!$J$39:$K$46,2,0))</f>
        <v/>
      </c>
      <c r="BF3714" s="744" t="str">
        <f>IF(D3714="","",VLOOKUP(D3714,'General Basis'!$J$39:$L$46,3,0))</f>
        <v/>
      </c>
      <c r="BG3714" s="744" t="str">
        <f t="shared" si="1287"/>
        <v/>
      </c>
      <c r="BH3714" s="744" t="str">
        <f>IF(G3714="","",IF(BF3714="Abu Dhabi",IF(G3714&lt;18,'General Basis'!$C$39,IF(G3714&lt;41,'General Basis'!$C$40,IF(G3714&lt;60,'General Basis'!$C$41,IF(G3714&lt;65,'General Basis'!$C$42,'General Basis'!$C$43)))),IF(G3714&lt;11,'General Basis'!$B$39,IF(G3714&lt;18,'General Basis'!$B$40,IF(G3714&lt;26,'General Basis'!$B$41,IF(G3714&lt;31,'General Basis'!$B$42,IF(G3714&lt;36,'General Basis'!$B$43,IF(G3714&lt;41,'General Basis'!$B$44,IF(G3714&lt;46,'General Basis'!$B$45,IF(G3714&lt;51,'General Basis'!$B$46,IF(G3714&lt;56,'General Basis'!$B$47,IF(G3714&lt;60,'General Basis'!$B$48,IF(G3714&lt;65,'General Basis'!$B$49,'General Basis'!$B$50)))))))))))))</f>
        <v/>
      </c>
      <c r="BI3714" s="744" t="str">
        <f t="shared" si="1281"/>
        <v/>
      </c>
      <c r="BJ3714" s="747" t="str">
        <f t="shared" si="1288"/>
        <v/>
      </c>
      <c r="BK3714" s="498" t="str">
        <f t="shared" si="1282"/>
        <v/>
      </c>
      <c r="BL3714" s="498" t="str">
        <f t="shared" si="1283"/>
        <v/>
      </c>
    </row>
    <row r="3715" spans="1:64" x14ac:dyDescent="0.25">
      <c r="A3715" s="762">
        <f t="shared" si="1284"/>
        <v>3710</v>
      </c>
      <c r="B3715" s="229"/>
      <c r="C3715" s="223"/>
      <c r="D3715" s="224"/>
      <c r="E3715" s="225"/>
      <c r="F3715" s="1036" t="str">
        <f t="shared" si="1290"/>
        <v/>
      </c>
      <c r="G3715" s="1037" t="str">
        <f t="shared" si="1285"/>
        <v/>
      </c>
      <c r="H3715" s="225"/>
      <c r="I3715" s="1013"/>
      <c r="J3715" s="1013"/>
      <c r="K3715" s="1028"/>
      <c r="L3715" s="1035" t="str">
        <f t="shared" si="1289"/>
        <v/>
      </c>
      <c r="S3715" s="498"/>
      <c r="AJ3715" s="498"/>
      <c r="AM3715" s="498">
        <f t="shared" si="1270"/>
        <v>0</v>
      </c>
      <c r="AN3715" s="498">
        <f t="shared" si="1271"/>
        <v>0</v>
      </c>
      <c r="AO3715" s="498">
        <f t="shared" si="1272"/>
        <v>0</v>
      </c>
      <c r="AP3715" s="498">
        <f t="shared" si="1291"/>
        <v>0</v>
      </c>
      <c r="AQ3715" s="498">
        <f t="shared" si="1286"/>
        <v>0</v>
      </c>
      <c r="AU3715" s="498">
        <f t="shared" si="1273"/>
        <v>0</v>
      </c>
      <c r="AV3715" s="498">
        <f t="shared" si="1274"/>
        <v>0</v>
      </c>
      <c r="AW3715" s="498">
        <f t="shared" si="1275"/>
        <v>0</v>
      </c>
      <c r="AX3715" s="498">
        <f t="shared" si="1276"/>
        <v>0</v>
      </c>
      <c r="AY3715" s="498">
        <f t="shared" si="1277"/>
        <v>0</v>
      </c>
      <c r="BB3715" s="498" t="str">
        <f t="shared" si="1278"/>
        <v/>
      </c>
      <c r="BC3715" s="743" t="str">
        <f t="shared" si="1279"/>
        <v/>
      </c>
      <c r="BD3715" s="743" t="str">
        <f t="shared" si="1280"/>
        <v/>
      </c>
      <c r="BE3715" s="743" t="str">
        <f>IF(D3715="","",VLOOKUP(D3715,'General Basis'!$J$39:$K$46,2,0))</f>
        <v/>
      </c>
      <c r="BF3715" s="744" t="str">
        <f>IF(D3715="","",VLOOKUP(D3715,'General Basis'!$J$39:$L$46,3,0))</f>
        <v/>
      </c>
      <c r="BG3715" s="744" t="str">
        <f t="shared" si="1287"/>
        <v/>
      </c>
      <c r="BH3715" s="744" t="str">
        <f>IF(G3715="","",IF(BF3715="Abu Dhabi",IF(G3715&lt;18,'General Basis'!$C$39,IF(G3715&lt;41,'General Basis'!$C$40,IF(G3715&lt;60,'General Basis'!$C$41,IF(G3715&lt;65,'General Basis'!$C$42,'General Basis'!$C$43)))),IF(G3715&lt;11,'General Basis'!$B$39,IF(G3715&lt;18,'General Basis'!$B$40,IF(G3715&lt;26,'General Basis'!$B$41,IF(G3715&lt;31,'General Basis'!$B$42,IF(G3715&lt;36,'General Basis'!$B$43,IF(G3715&lt;41,'General Basis'!$B$44,IF(G3715&lt;46,'General Basis'!$B$45,IF(G3715&lt;51,'General Basis'!$B$46,IF(G3715&lt;56,'General Basis'!$B$47,IF(G3715&lt;60,'General Basis'!$B$48,IF(G3715&lt;65,'General Basis'!$B$49,'General Basis'!$B$50)))))))))))))</f>
        <v/>
      </c>
      <c r="BI3715" s="744" t="str">
        <f t="shared" si="1281"/>
        <v/>
      </c>
      <c r="BJ3715" s="747" t="str">
        <f t="shared" si="1288"/>
        <v/>
      </c>
      <c r="BK3715" s="498" t="str">
        <f t="shared" si="1282"/>
        <v/>
      </c>
      <c r="BL3715" s="498" t="str">
        <f t="shared" si="1283"/>
        <v/>
      </c>
    </row>
    <row r="3716" spans="1:64" x14ac:dyDescent="0.25">
      <c r="A3716" s="762">
        <f t="shared" si="1284"/>
        <v>3711</v>
      </c>
      <c r="B3716" s="229"/>
      <c r="C3716" s="223"/>
      <c r="D3716" s="224"/>
      <c r="E3716" s="225"/>
      <c r="F3716" s="1036" t="str">
        <f t="shared" si="1290"/>
        <v/>
      </c>
      <c r="G3716" s="1037" t="str">
        <f t="shared" si="1285"/>
        <v/>
      </c>
      <c r="H3716" s="225"/>
      <c r="I3716" s="1013"/>
      <c r="J3716" s="1013"/>
      <c r="K3716" s="1028"/>
      <c r="L3716" s="1035" t="str">
        <f t="shared" si="1289"/>
        <v/>
      </c>
      <c r="S3716" s="498"/>
      <c r="AJ3716" s="498"/>
      <c r="AM3716" s="498">
        <f t="shared" si="1270"/>
        <v>0</v>
      </c>
      <c r="AN3716" s="498">
        <f t="shared" si="1271"/>
        <v>0</v>
      </c>
      <c r="AO3716" s="498">
        <f t="shared" si="1272"/>
        <v>0</v>
      </c>
      <c r="AP3716" s="498">
        <f t="shared" si="1291"/>
        <v>0</v>
      </c>
      <c r="AQ3716" s="498">
        <f t="shared" si="1286"/>
        <v>0</v>
      </c>
      <c r="AU3716" s="498">
        <f t="shared" si="1273"/>
        <v>0</v>
      </c>
      <c r="AV3716" s="498">
        <f t="shared" si="1274"/>
        <v>0</v>
      </c>
      <c r="AW3716" s="498">
        <f t="shared" si="1275"/>
        <v>0</v>
      </c>
      <c r="AX3716" s="498">
        <f t="shared" si="1276"/>
        <v>0</v>
      </c>
      <c r="AY3716" s="498">
        <f t="shared" si="1277"/>
        <v>0</v>
      </c>
      <c r="BB3716" s="498" t="str">
        <f t="shared" si="1278"/>
        <v/>
      </c>
      <c r="BC3716" s="743" t="str">
        <f t="shared" si="1279"/>
        <v/>
      </c>
      <c r="BD3716" s="743" t="str">
        <f t="shared" si="1280"/>
        <v/>
      </c>
      <c r="BE3716" s="743" t="str">
        <f>IF(D3716="","",VLOOKUP(D3716,'General Basis'!$J$39:$K$46,2,0))</f>
        <v/>
      </c>
      <c r="BF3716" s="744" t="str">
        <f>IF(D3716="","",VLOOKUP(D3716,'General Basis'!$J$39:$L$46,3,0))</f>
        <v/>
      </c>
      <c r="BG3716" s="744" t="str">
        <f t="shared" si="1287"/>
        <v/>
      </c>
      <c r="BH3716" s="744" t="str">
        <f>IF(G3716="","",IF(BF3716="Abu Dhabi",IF(G3716&lt;18,'General Basis'!$C$39,IF(G3716&lt;41,'General Basis'!$C$40,IF(G3716&lt;60,'General Basis'!$C$41,IF(G3716&lt;65,'General Basis'!$C$42,'General Basis'!$C$43)))),IF(G3716&lt;11,'General Basis'!$B$39,IF(G3716&lt;18,'General Basis'!$B$40,IF(G3716&lt;26,'General Basis'!$B$41,IF(G3716&lt;31,'General Basis'!$B$42,IF(G3716&lt;36,'General Basis'!$B$43,IF(G3716&lt;41,'General Basis'!$B$44,IF(G3716&lt;46,'General Basis'!$B$45,IF(G3716&lt;51,'General Basis'!$B$46,IF(G3716&lt;56,'General Basis'!$B$47,IF(G3716&lt;60,'General Basis'!$B$48,IF(G3716&lt;65,'General Basis'!$B$49,'General Basis'!$B$50)))))))))))))</f>
        <v/>
      </c>
      <c r="BI3716" s="744" t="str">
        <f t="shared" si="1281"/>
        <v/>
      </c>
      <c r="BJ3716" s="747" t="str">
        <f t="shared" si="1288"/>
        <v/>
      </c>
      <c r="BK3716" s="498" t="str">
        <f t="shared" si="1282"/>
        <v/>
      </c>
      <c r="BL3716" s="498" t="str">
        <f t="shared" si="1283"/>
        <v/>
      </c>
    </row>
    <row r="3717" spans="1:64" x14ac:dyDescent="0.25">
      <c r="A3717" s="762">
        <f t="shared" si="1284"/>
        <v>3712</v>
      </c>
      <c r="B3717" s="229"/>
      <c r="C3717" s="223"/>
      <c r="D3717" s="224"/>
      <c r="E3717" s="225"/>
      <c r="F3717" s="1036" t="str">
        <f t="shared" si="1290"/>
        <v/>
      </c>
      <c r="G3717" s="1037" t="str">
        <f t="shared" si="1285"/>
        <v/>
      </c>
      <c r="H3717" s="225"/>
      <c r="I3717" s="1013"/>
      <c r="J3717" s="1013"/>
      <c r="K3717" s="1028"/>
      <c r="L3717" s="1035" t="str">
        <f t="shared" si="1289"/>
        <v/>
      </c>
      <c r="S3717" s="498"/>
      <c r="AJ3717" s="498"/>
      <c r="AM3717" s="498">
        <f t="shared" si="1270"/>
        <v>0</v>
      </c>
      <c r="AN3717" s="498">
        <f t="shared" si="1271"/>
        <v>0</v>
      </c>
      <c r="AO3717" s="498">
        <f t="shared" si="1272"/>
        <v>0</v>
      </c>
      <c r="AP3717" s="498">
        <f t="shared" si="1291"/>
        <v>0</v>
      </c>
      <c r="AQ3717" s="498">
        <f t="shared" si="1286"/>
        <v>0</v>
      </c>
      <c r="AU3717" s="498">
        <f t="shared" si="1273"/>
        <v>0</v>
      </c>
      <c r="AV3717" s="498">
        <f t="shared" si="1274"/>
        <v>0</v>
      </c>
      <c r="AW3717" s="498">
        <f t="shared" si="1275"/>
        <v>0</v>
      </c>
      <c r="AX3717" s="498">
        <f t="shared" si="1276"/>
        <v>0</v>
      </c>
      <c r="AY3717" s="498">
        <f t="shared" si="1277"/>
        <v>0</v>
      </c>
      <c r="BB3717" s="498" t="str">
        <f t="shared" si="1278"/>
        <v/>
      </c>
      <c r="BC3717" s="743" t="str">
        <f t="shared" si="1279"/>
        <v/>
      </c>
      <c r="BD3717" s="743" t="str">
        <f t="shared" si="1280"/>
        <v/>
      </c>
      <c r="BE3717" s="743" t="str">
        <f>IF(D3717="","",VLOOKUP(D3717,'General Basis'!$J$39:$K$46,2,0))</f>
        <v/>
      </c>
      <c r="BF3717" s="744" t="str">
        <f>IF(D3717="","",VLOOKUP(D3717,'General Basis'!$J$39:$L$46,3,0))</f>
        <v/>
      </c>
      <c r="BG3717" s="744" t="str">
        <f t="shared" si="1287"/>
        <v/>
      </c>
      <c r="BH3717" s="744" t="str">
        <f>IF(G3717="","",IF(BF3717="Abu Dhabi",IF(G3717&lt;18,'General Basis'!$C$39,IF(G3717&lt;41,'General Basis'!$C$40,IF(G3717&lt;60,'General Basis'!$C$41,IF(G3717&lt;65,'General Basis'!$C$42,'General Basis'!$C$43)))),IF(G3717&lt;11,'General Basis'!$B$39,IF(G3717&lt;18,'General Basis'!$B$40,IF(G3717&lt;26,'General Basis'!$B$41,IF(G3717&lt;31,'General Basis'!$B$42,IF(G3717&lt;36,'General Basis'!$B$43,IF(G3717&lt;41,'General Basis'!$B$44,IF(G3717&lt;46,'General Basis'!$B$45,IF(G3717&lt;51,'General Basis'!$B$46,IF(G3717&lt;56,'General Basis'!$B$47,IF(G3717&lt;60,'General Basis'!$B$48,IF(G3717&lt;65,'General Basis'!$B$49,'General Basis'!$B$50)))))))))))))</f>
        <v/>
      </c>
      <c r="BI3717" s="744" t="str">
        <f t="shared" si="1281"/>
        <v/>
      </c>
      <c r="BJ3717" s="747" t="str">
        <f t="shared" si="1288"/>
        <v/>
      </c>
      <c r="BK3717" s="498" t="str">
        <f t="shared" si="1282"/>
        <v/>
      </c>
      <c r="BL3717" s="498" t="str">
        <f t="shared" si="1283"/>
        <v/>
      </c>
    </row>
    <row r="3718" spans="1:64" x14ac:dyDescent="0.25">
      <c r="A3718" s="762">
        <f t="shared" si="1284"/>
        <v>3713</v>
      </c>
      <c r="B3718" s="229"/>
      <c r="C3718" s="223"/>
      <c r="D3718" s="224"/>
      <c r="E3718" s="225"/>
      <c r="F3718" s="1036" t="str">
        <f t="shared" si="1290"/>
        <v/>
      </c>
      <c r="G3718" s="1037" t="str">
        <f t="shared" si="1285"/>
        <v/>
      </c>
      <c r="H3718" s="225"/>
      <c r="I3718" s="1013"/>
      <c r="J3718" s="1013"/>
      <c r="K3718" s="1028"/>
      <c r="L3718" s="1035" t="str">
        <f t="shared" si="1289"/>
        <v/>
      </c>
      <c r="S3718" s="498"/>
      <c r="AJ3718" s="498"/>
      <c r="AM3718" s="498">
        <f t="shared" ref="AM3718:AM3781" si="1292">IF(ISTEXT(B3718),1,0)</f>
        <v>0</v>
      </c>
      <c r="AN3718" s="498">
        <f t="shared" ref="AN3718:AN3781" si="1293">IF(ISBLANK(B3718),0,IF(B3718&lt;$AK$6,1,0))</f>
        <v>0</v>
      </c>
      <c r="AO3718" s="498">
        <f t="shared" ref="AO3718:AO3781" si="1294">IF(ISBLANK(B3718),0,IF(B3718&gt;$AK$7,1,0))</f>
        <v>0</v>
      </c>
      <c r="AP3718" s="498">
        <f t="shared" si="1291"/>
        <v>0</v>
      </c>
      <c r="AQ3718" s="498">
        <f t="shared" si="1286"/>
        <v>0</v>
      </c>
      <c r="AU3718" s="498">
        <f t="shared" ref="AU3718:AU3781" si="1295">IF(ISBLANK(B3718),0,1)</f>
        <v>0</v>
      </c>
      <c r="AV3718" s="498">
        <f t="shared" ref="AV3718:AV3781" si="1296">IF(ISBLANK(C3718),0,1)</f>
        <v>0</v>
      </c>
      <c r="AW3718" s="498">
        <f t="shared" ref="AW3718:AW3781" si="1297">IF(ISBLANK(D3718),0,1)</f>
        <v>0</v>
      </c>
      <c r="AX3718" s="498">
        <f t="shared" ref="AX3718:AX3781" si="1298">IF(ISBLANK(E3718),0,1)</f>
        <v>0</v>
      </c>
      <c r="AY3718" s="498">
        <f t="shared" ref="AY3718:AY3781" si="1299">IF(ISBLANK(H3718),0,1)</f>
        <v>0</v>
      </c>
      <c r="BB3718" s="498" t="str">
        <f t="shared" ref="BB3718:BB3781" si="1300">IF(E3718="Principal","Principal",IF(E3718="","","Other"))</f>
        <v/>
      </c>
      <c r="BC3718" s="743" t="str">
        <f t="shared" ref="BC3718:BC3781" si="1301">IF(D3718="","",D3718)</f>
        <v/>
      </c>
      <c r="BD3718" s="743" t="str">
        <f t="shared" ref="BD3718:BD3781" si="1302">IF(E3718="Principal","Employee",IF(E3718="","","Dependent"))</f>
        <v/>
      </c>
      <c r="BE3718" s="743" t="str">
        <f>IF(D3718="","",VLOOKUP(D3718,'General Basis'!$J$39:$K$46,2,0))</f>
        <v/>
      </c>
      <c r="BF3718" s="744" t="str">
        <f>IF(D3718="","",VLOOKUP(D3718,'General Basis'!$J$39:$L$46,3,0))</f>
        <v/>
      </c>
      <c r="BG3718" s="744" t="str">
        <f t="shared" si="1287"/>
        <v/>
      </c>
      <c r="BH3718" s="744" t="str">
        <f>IF(G3718="","",IF(BF3718="Abu Dhabi",IF(G3718&lt;18,'General Basis'!$C$39,IF(G3718&lt;41,'General Basis'!$C$40,IF(G3718&lt;60,'General Basis'!$C$41,IF(G3718&lt;65,'General Basis'!$C$42,'General Basis'!$C$43)))),IF(G3718&lt;11,'General Basis'!$B$39,IF(G3718&lt;18,'General Basis'!$B$40,IF(G3718&lt;26,'General Basis'!$B$41,IF(G3718&lt;31,'General Basis'!$B$42,IF(G3718&lt;36,'General Basis'!$B$43,IF(G3718&lt;41,'General Basis'!$B$44,IF(G3718&lt;46,'General Basis'!$B$45,IF(G3718&lt;51,'General Basis'!$B$46,IF(G3718&lt;56,'General Basis'!$B$47,IF(G3718&lt;60,'General Basis'!$B$48,IF(G3718&lt;65,'General Basis'!$B$49,'General Basis'!$B$50)))))))))))))</f>
        <v/>
      </c>
      <c r="BI3718" s="744" t="str">
        <f t="shared" ref="BI3718:BI3781" si="1303">IF(C3718="","",IF(C3718="M","Male","Female"))</f>
        <v/>
      </c>
      <c r="BJ3718" s="747" t="str">
        <f t="shared" si="1288"/>
        <v/>
      </c>
      <c r="BK3718" s="498" t="str">
        <f t="shared" ref="BK3718:BK3781" si="1304">IF(BD3718="","",IF(AND(BD3718="Employee",BI3718="Male",BF3718="Abu Dhabi",BE3718=GN_Plus),VLOOKUP(BH3718,AUH_MALE_EMP,2,0),IF(AND(BD3718="Employee",BI3718="Male",BF3718="Abu Dhabi",BE3718=GN),VLOOKUP(BH3718,AUH_MALE_EMP,3,0),IF(AND(BD3718="Employee",BI3718="Male",BF3718="Abu Dhabi",BE3718=RN_Plus),VLOOKUP(BH3718,AUH_MALE_EMP,4,0),IF(AND(BD3718="Employee",BI3718="Male",BF3718="Abu Dhabi",BE3718=RN),VLOOKUP(BH3718,AUH_MALE_EMP,5,0),IF(AND(BD3718="Employee",BI3718="Male",BF3718="Abu Dhabi",BE3718=RN_2),VLOOKUP(BH3718,AUH_MALE_EMP,6,0),IF(AND(BD3718="Employee",BI3718="Male",BF3718="Abu Dhabi",BE3718=RN2_minus),VLOOKUP(BH3718,AUH_MALE_EMP,7,0),IF(AND(BD3718="Employee",BI3718="Male",BF3718="Abu Dhabi",BE3718=RN_3),VLOOKUP(BH3718,AUH_MALE_EMP,8,0),IF(AND(BD3718="Employee",BI3718="Male",BF3718="Abu Dhabi",BE3718=VN),VLOOKUP(BH3718,AUH_MALE_EMP,9,0),IF(BD3718="","",IF(AND(BD3718="Employee",BI3718="Female",BF3718="Abu Dhabi",BE3718=GN_Plus),VLOOKUP(BH3718,AUH_FEMALE_EMP,2,0),IF(AND(BD3718="Employee",BI3718="Female",BF3718="Abu Dhabi",BE3718=GN),VLOOKUP(BH3718,AUH_FEMALE_EMP,3,0),IF(AND(BD3718="Employee",BI3718="Female",BF3718="Abu Dhabi",BE3718=RN_Plus),VLOOKUP(BH3718,AUH_FEMALE_EMP,4,0),IF(AND(BD3718="Employee",BI3718="Female",BF3718="Abu Dhabi",BE3718=RN),VLOOKUP(BH3718,AUH_FEMALE_EMP,5,0),IF(AND(BD3718="Employee",BI3718="Female",BF3718="Abu Dhabi",BE3718=RN_2),VLOOKUP(BH3718,AUH_FEMALE_EMP,6,0),IF(AND(BD3718="Employee",BI3718="Female",BF3718="Abu Dhabi",BE3718=RN2_minus),VLOOKUP(BH3718,AUH_FEMALE_EMP,7,0),IF(AND(BD3718="Employee",BI3718="Female",BF3718="Abu Dhabi",BE3718=RN_3),VLOOKUP(BH3718,AUH_FEMALE_EMP,8,0),IF(AND(BD3718="Employee",BI3718="Female",BF3718="Abu Dhabi",BE3718=VN),VLOOKUP(BH3718,AUH_FEMALE_EMP,9,0),IF(BD3718="","",IF(AND(BD3718="Dependent",BI3718="Male",BF3718="Abu Dhabi",BE3718=GN_Plus),VLOOKUP(BH3718,AUH_MALE_DEP,2,0),IF(AND(BD3718="Dependent",BI3718="Male",BF3718="Abu Dhabi",BE3718=GN),VLOOKUP(BH3718,AUH_MALE_DEP,3,0),IF(AND(BD3718="Dependent",BI3718="Male",BF3718="Abu Dhabi",BE3718=RN_Plus),VLOOKUP(BH3718,AUH_MALE_DEP,4,0),IF(AND(BD3718="Dependent",BI3718="Male",BF3718="Abu Dhabi",BE3718=RN),VLOOKUP(BH3718,AUH_MALE_DEP,5,0),IF(AND(BD3718="Dependent",BI3718="Male",BF3718="Abu Dhabi",BE3718=RN_2),VLOOKUP(BH3718,AUH_MALE_DEP,6,0),IF(AND(BD3718="Dependent",BI3718="Male",BF3718="Abu Dhabi",BE3718=RN2_minus),VLOOKUP(BH3718,AUH_MALE_DEP,7,0),IF(AND(BD3718="Dependent",BI3718="Male",BF3718="Abu Dhabi",BE3718=RN_3),VLOOKUP(BH3718,AUH_MALE_DEP,8,0),IF(AND(BD3718="Dependent",BI3718="Male",BF3718="Abu Dhabi",BE3718=VN),VLOOKUP(BH3718,AUH_MALE_DEP,9,0),IF(BD3718="","",IF(AND(BD3718="Dependent",BI3718="Female",BF3718="Abu Dhabi",BE3718=GN_Plus),VLOOKUP(BH3718,AUH_FEMALE_DEP,2,0),IF(AND(BD3718="Dependent",BI3718="Female",BF3718="Abu Dhabi",BE3718=GN),VLOOKUP(BH3718,AUH_FEMALE_DEP,3,0),IF(AND(BD3718="Dependent",BI3718="Female",BF3718="Abu Dhabi",BE3718=RN_Plus),VLOOKUP(BH3718,AUH_FEMALE_DEP,4,0),IF(AND(BD3718="Dependent",BI3718="Female",BF3718="Abu Dhabi",BE3718=RN),VLOOKUP(BH3718,AUH_FEMALE_DEP,5,0),IF(AND(BD3718="Dependent",BI3718="Female",BF3718="Abu Dhabi",BE3718=RN_2),VLOOKUP(BH3718,AUH_FEMALE_DEP,6,0),IF(AND(BD3718="Dependent",BI3718="Female",BF3718="Abu Dhabi",BE3718=RN2_minus),VLOOKUP(BH3718,AUH_FEMALE_DEP,7,0),IF(AND(BD3718="Dependent",BI3718="Female",BF3718="Abu Dhabi",BE3718=RN_3),VLOOKUP(BH3718,AUH_FEMALE_DEP,8,0),IF(AND(BD3718="Dependent",BI3718="Female",BF3718="Abu Dhabi",BE3718=VN),VLOOKUP(BH3718,AUH_FEMALE_DEP,9,0),"ABC"))))))))))))))))))))))))))))))))))))</f>
        <v/>
      </c>
      <c r="BL3718" s="498" t="str">
        <f t="shared" ref="BL3718:BL3781" si="1305">IF(BD3718="","",IF(AND(BD3718="Employee",BI3718="Male",BF3718="Dubai",BE3718=GN_Plus),VLOOKUP(BH3718,DXB_MALE_EMP,2,0),IF(AND(BD3718="Employee",BI3718="Male",BF3718="Dubai",BE3718=GN),VLOOKUP(BH3718,DXB_MALE_EMP,3,0),IF(AND(BD3718="Employee",BI3718="Male",BF3718="Dubai",BE3718=RN_Plus),VLOOKUP(BH3718,DXB_MALE_EMP,4,0),IF(AND(BD3718="Employee",BI3718="Male",BF3718="Dubai",BE3718=RN),VLOOKUP(BH3718,DXB_MALE_EMP,5,0),IF(AND(BD3718="Employee",BI3718="Male",BF3718="Dubai",BE3718=RN_2),VLOOKUP(BH3718,DXB_MALE_EMP,6,0),IF(AND(BD3718="Employee",BI3718="Male",BF3718="Dubai",BE3718=RN2_minus),VLOOKUP(BH3718,DXB_MALE_EMP,7,0),IF(AND(BD3718="Employee",BI3718="Male",BF3718="Dubai",BE3718=RN_3),VLOOKUP(BH3718,DXB_MALE_EMP,8,0),IF(AND(BD3718="Employee",BI3718="Male",BF3718="Dubai",BE3718=VN),VLOOKUP(BH3718,DXB_MALE_EMP,9,0),IF(BD3718="","",IF(AND(BD3718="Employee",BI3718="Female",BF3718="Dubai",BE3718=GN_Plus),VLOOKUP(BH3718,DXB_FEMALE_EMP,2,0),IF(AND(BD3718="Employee",BI3718="Female",BF3718="Dubai",BE3718=GN),VLOOKUP(BH3718,DXB_FEMALE_EMP,3,0),IF(AND(BD3718="Employee",BI3718="Female",BF3718="Dubai",BE3718=RN_Plus),VLOOKUP(BH3718,DXB_FEMALE_EMP,4,0),IF(AND(BD3718="Employee",BI3718="Female",BF3718="Dubai",BE3718=RN),VLOOKUP(BH3718,DXB_FEMALE_EMP,5,0),IF(AND(BD3718="Employee",BI3718="Female",BF3718="Dubai",BE3718=RN_2),VLOOKUP(BH3718,DXB_FEMALE_EMP,6,0),IF(AND(BD3718="Employee",BI3718="Female",BF3718="Dubai",BE3718=RN2_minus),VLOOKUP(BH3718,DXB_FEMALE_EMP,7,0),IF(AND(BD3718="Employee",BI3718="Female",BF3718="Dubai",BE3718=RN_3),VLOOKUP(BH3718,DXB_FEMALE_EMP,8,0),IF(AND(BD3718="Employee",BI3718="Female",BF3718="Dubai",BE3718=VN),VLOOKUP(BH3718,DXB_FEMALE_EMP,9,0),IF(BD3718="","",IF(AND(BD3718="Dependent",BI3718="Male",BF3718="Dubai",BE3718=GN_Plus),VLOOKUP(BH3718,DXB_MALE_DEP,2,0),IF(AND(BD3718="Dependent",BI3718="Male",BF3718="Dubai",BE3718=GN),VLOOKUP(BH3718,DXB_MALE_DEP,3,0),IF(AND(BD3718="Dependent",BI3718="Male",BF3718="Dubai",BE3718=RN_Plus),VLOOKUP(BH3718,DXB_MALE_DEP,4,0),IF(AND(BD3718="Dependent",BI3718="Male",BF3718="Dubai",BE3718=RN),VLOOKUP(BH3718,DXB_MALE_DEP,5,0),IF(AND(BD3718="Dependent",BI3718="Male",BF3718="Dubai",BE3718=RN_2),VLOOKUP(BH3718,DXB_MALE_DEP,6,0),IF(AND(BD3718="Dependent",BI3718="Male",BF3718="Dubai",BE3718=RN2_minus),VLOOKUP(BH3718,DXB_MALE_DEP,7,0),IF(AND(BD3718="Dependent",BI3718="Male",BF3718="Dubai",BE3718=RN_3),VLOOKUP(BH3718,DXB_MALE_DEP,8,0),IF(AND(BD3718="Dependent",BI3718="Male",BF3718="Dubai",BE3718=VN),VLOOKUP(BH3718,DXB_MALE_DEP,9,0),IF(BD3718="","",IF(AND(BD3718="Dependent",BI3718="Female",BF3718="Dubai",BE3718=GN_Plus),VLOOKUP(BH3718,DXB_FEMALE_DEP,2,0),IF(AND(BD3718="Dependent",BI3718="Female",BF3718="Dubai",BE3718=GN),VLOOKUP(BH3718,DXB_FEMALE_DEP,3,0),IF(AND(BD3718="Dependent",BI3718="Female",BF3718="Dubai",BE3718=RN_Plus),VLOOKUP(BH3718,DXB_FEMALE_DEP,4,0),IF(AND(BD3718="Dependent",BI3718="Female",BF3718="Dubai",BE3718=RN),VLOOKUP(BH3718,DXB_FEMALE_DEP,5,0),IF(AND(BD3718="Dependent",BI3718="Female",BF3718="Dubai",BE3718=RN_2),VLOOKUP(BH3718,DXB_FEMALE_DEP,6,0),IF(AND(BD3718="Dependent",BI3718="Female",BF3718="Dubai",BE3718=RN2_minus),VLOOKUP(BH3718,DXB_FEMALE_DEP,7,0),IF(AND(BD3718="Dependent",BI3718="Female",BF3718="Dubai",BE3718=RN_3),VLOOKUP(BH3718,DXB_FEMALE_DEP,8,0),IF(AND(BD3718="Dependent",BI3718="Female",BF3718="Dubai",BE3718=VN),VLOOKUP(BH3718,DXB_FEMALE_DEP,9,0),"ABC"))))))))))))))))))))))))))))))))))))</f>
        <v/>
      </c>
    </row>
    <row r="3719" spans="1:64" x14ac:dyDescent="0.25">
      <c r="A3719" s="762">
        <f t="shared" ref="A3719:A3782" si="1306">+A3718+1</f>
        <v>3714</v>
      </c>
      <c r="B3719" s="229"/>
      <c r="C3719" s="223"/>
      <c r="D3719" s="224"/>
      <c r="E3719" s="225"/>
      <c r="F3719" s="1036" t="str">
        <f t="shared" si="1290"/>
        <v/>
      </c>
      <c r="G3719" s="1037" t="str">
        <f t="shared" ref="G3719:G3782" si="1307">IF(D3719="","",MAX(0,ROUNDUP(F3719,0)))</f>
        <v/>
      </c>
      <c r="H3719" s="225"/>
      <c r="I3719" s="1013"/>
      <c r="J3719" s="1013"/>
      <c r="K3719" s="1028"/>
      <c r="L3719" s="1035" t="str">
        <f t="shared" si="1289"/>
        <v/>
      </c>
      <c r="S3719" s="498"/>
      <c r="AJ3719" s="498"/>
      <c r="AM3719" s="498">
        <f t="shared" si="1292"/>
        <v>0</v>
      </c>
      <c r="AN3719" s="498">
        <f t="shared" si="1293"/>
        <v>0</v>
      </c>
      <c r="AO3719" s="498">
        <f t="shared" si="1294"/>
        <v>0</v>
      </c>
      <c r="AP3719" s="498">
        <f t="shared" si="1291"/>
        <v>0</v>
      </c>
      <c r="AQ3719" s="498">
        <f t="shared" ref="AQ3719:AQ3782" si="1308">IF(ISBLANK($B3719),0,IF(OR($H3719="Single",$H3719="Married"),0,1))</f>
        <v>0</v>
      </c>
      <c r="AU3719" s="498">
        <f t="shared" si="1295"/>
        <v>0</v>
      </c>
      <c r="AV3719" s="498">
        <f t="shared" si="1296"/>
        <v>0</v>
      </c>
      <c r="AW3719" s="498">
        <f t="shared" si="1297"/>
        <v>0</v>
      </c>
      <c r="AX3719" s="498">
        <f t="shared" si="1298"/>
        <v>0</v>
      </c>
      <c r="AY3719" s="498">
        <f t="shared" si="1299"/>
        <v>0</v>
      </c>
      <c r="BB3719" s="498" t="str">
        <f t="shared" si="1300"/>
        <v/>
      </c>
      <c r="BC3719" s="743" t="str">
        <f t="shared" si="1301"/>
        <v/>
      </c>
      <c r="BD3719" s="743" t="str">
        <f t="shared" si="1302"/>
        <v/>
      </c>
      <c r="BE3719" s="743" t="str">
        <f>IF(D3719="","",VLOOKUP(D3719,'General Basis'!$J$39:$K$46,2,0))</f>
        <v/>
      </c>
      <c r="BF3719" s="744" t="str">
        <f>IF(D3719="","",VLOOKUP(D3719,'General Basis'!$J$39:$L$46,3,0))</f>
        <v/>
      </c>
      <c r="BG3719" s="744" t="str">
        <f t="shared" ref="BG3719:BG3782" si="1309">BC3719&amp;BI3719</f>
        <v/>
      </c>
      <c r="BH3719" s="744" t="str">
        <f>IF(G3719="","",IF(BF3719="Abu Dhabi",IF(G3719&lt;18,'General Basis'!$C$39,IF(G3719&lt;41,'General Basis'!$C$40,IF(G3719&lt;60,'General Basis'!$C$41,IF(G3719&lt;65,'General Basis'!$C$42,'General Basis'!$C$43)))),IF(G3719&lt;11,'General Basis'!$B$39,IF(G3719&lt;18,'General Basis'!$B$40,IF(G3719&lt;26,'General Basis'!$B$41,IF(G3719&lt;31,'General Basis'!$B$42,IF(G3719&lt;36,'General Basis'!$B$43,IF(G3719&lt;41,'General Basis'!$B$44,IF(G3719&lt;46,'General Basis'!$B$45,IF(G3719&lt;51,'General Basis'!$B$46,IF(G3719&lt;56,'General Basis'!$B$47,IF(G3719&lt;60,'General Basis'!$B$48,IF(G3719&lt;65,'General Basis'!$B$49,'General Basis'!$B$50)))))))))))))</f>
        <v/>
      </c>
      <c r="BI3719" s="744" t="str">
        <f t="shared" si="1303"/>
        <v/>
      </c>
      <c r="BJ3719" s="747" t="str">
        <f t="shared" ref="BJ3719:BJ3782" si="1310">IF(BD3719="","",IF(BF3719="Abu Dhabi",BK3719,BL3719))</f>
        <v/>
      </c>
      <c r="BK3719" s="498" t="str">
        <f t="shared" si="1304"/>
        <v/>
      </c>
      <c r="BL3719" s="498" t="str">
        <f t="shared" si="1305"/>
        <v/>
      </c>
    </row>
    <row r="3720" spans="1:64" x14ac:dyDescent="0.25">
      <c r="A3720" s="762">
        <f t="shared" si="1306"/>
        <v>3715</v>
      </c>
      <c r="B3720" s="229"/>
      <c r="C3720" s="223"/>
      <c r="D3720" s="224"/>
      <c r="E3720" s="225"/>
      <c r="F3720" s="1036" t="str">
        <f t="shared" si="1290"/>
        <v/>
      </c>
      <c r="G3720" s="1037" t="str">
        <f t="shared" si="1307"/>
        <v/>
      </c>
      <c r="H3720" s="225"/>
      <c r="I3720" s="1013"/>
      <c r="J3720" s="1013"/>
      <c r="K3720" s="1028"/>
      <c r="L3720" s="1035" t="str">
        <f t="shared" ref="L3720:L3783" si="1311">IF(AND(E3720="Child",H3720="Married"),"Check the Marital Status of the Child. ",IF(AND(E3720="Child",F3720&gt;18),"Child Age exceed 18 years. ",IF(AND(E3720="Spouse",H3720="Single"),"Spouse is selected as Single. ","")))&amp;IF(K3720&gt;0,"UW Loading has been Applied","")</f>
        <v/>
      </c>
      <c r="S3720" s="498"/>
      <c r="AJ3720" s="498"/>
      <c r="AM3720" s="498">
        <f t="shared" si="1292"/>
        <v>0</v>
      </c>
      <c r="AN3720" s="498">
        <f t="shared" si="1293"/>
        <v>0</v>
      </c>
      <c r="AO3720" s="498">
        <f t="shared" si="1294"/>
        <v>0</v>
      </c>
      <c r="AP3720" s="498">
        <f t="shared" si="1291"/>
        <v>0</v>
      </c>
      <c r="AQ3720" s="498">
        <f t="shared" si="1308"/>
        <v>0</v>
      </c>
      <c r="AU3720" s="498">
        <f t="shared" si="1295"/>
        <v>0</v>
      </c>
      <c r="AV3720" s="498">
        <f t="shared" si="1296"/>
        <v>0</v>
      </c>
      <c r="AW3720" s="498">
        <f t="shared" si="1297"/>
        <v>0</v>
      </c>
      <c r="AX3720" s="498">
        <f t="shared" si="1298"/>
        <v>0</v>
      </c>
      <c r="AY3720" s="498">
        <f t="shared" si="1299"/>
        <v>0</v>
      </c>
      <c r="BB3720" s="498" t="str">
        <f t="shared" si="1300"/>
        <v/>
      </c>
      <c r="BC3720" s="743" t="str">
        <f t="shared" si="1301"/>
        <v/>
      </c>
      <c r="BD3720" s="743" t="str">
        <f t="shared" si="1302"/>
        <v/>
      </c>
      <c r="BE3720" s="743" t="str">
        <f>IF(D3720="","",VLOOKUP(D3720,'General Basis'!$J$39:$K$46,2,0))</f>
        <v/>
      </c>
      <c r="BF3720" s="744" t="str">
        <f>IF(D3720="","",VLOOKUP(D3720,'General Basis'!$J$39:$L$46,3,0))</f>
        <v/>
      </c>
      <c r="BG3720" s="744" t="str">
        <f t="shared" si="1309"/>
        <v/>
      </c>
      <c r="BH3720" s="744" t="str">
        <f>IF(G3720="","",IF(BF3720="Abu Dhabi",IF(G3720&lt;18,'General Basis'!$C$39,IF(G3720&lt;41,'General Basis'!$C$40,IF(G3720&lt;60,'General Basis'!$C$41,IF(G3720&lt;65,'General Basis'!$C$42,'General Basis'!$C$43)))),IF(G3720&lt;11,'General Basis'!$B$39,IF(G3720&lt;18,'General Basis'!$B$40,IF(G3720&lt;26,'General Basis'!$B$41,IF(G3720&lt;31,'General Basis'!$B$42,IF(G3720&lt;36,'General Basis'!$B$43,IF(G3720&lt;41,'General Basis'!$B$44,IF(G3720&lt;46,'General Basis'!$B$45,IF(G3720&lt;51,'General Basis'!$B$46,IF(G3720&lt;56,'General Basis'!$B$47,IF(G3720&lt;60,'General Basis'!$B$48,IF(G3720&lt;65,'General Basis'!$B$49,'General Basis'!$B$50)))))))))))))</f>
        <v/>
      </c>
      <c r="BI3720" s="744" t="str">
        <f t="shared" si="1303"/>
        <v/>
      </c>
      <c r="BJ3720" s="747" t="str">
        <f t="shared" si="1310"/>
        <v/>
      </c>
      <c r="BK3720" s="498" t="str">
        <f t="shared" si="1304"/>
        <v/>
      </c>
      <c r="BL3720" s="498" t="str">
        <f t="shared" si="1305"/>
        <v/>
      </c>
    </row>
    <row r="3721" spans="1:64" x14ac:dyDescent="0.25">
      <c r="A3721" s="762">
        <f t="shared" si="1306"/>
        <v>3716</v>
      </c>
      <c r="B3721" s="229"/>
      <c r="C3721" s="223"/>
      <c r="D3721" s="224"/>
      <c r="E3721" s="225"/>
      <c r="F3721" s="1036" t="str">
        <f t="shared" si="1290"/>
        <v/>
      </c>
      <c r="G3721" s="1037" t="str">
        <f t="shared" si="1307"/>
        <v/>
      </c>
      <c r="H3721" s="225"/>
      <c r="I3721" s="1013"/>
      <c r="J3721" s="1013"/>
      <c r="K3721" s="1028"/>
      <c r="L3721" s="1035" t="str">
        <f t="shared" si="1311"/>
        <v/>
      </c>
      <c r="S3721" s="498"/>
      <c r="AJ3721" s="498"/>
      <c r="AM3721" s="498">
        <f t="shared" si="1292"/>
        <v>0</v>
      </c>
      <c r="AN3721" s="498">
        <f t="shared" si="1293"/>
        <v>0</v>
      </c>
      <c r="AO3721" s="498">
        <f t="shared" si="1294"/>
        <v>0</v>
      </c>
      <c r="AP3721" s="498">
        <f t="shared" si="1291"/>
        <v>0</v>
      </c>
      <c r="AQ3721" s="498">
        <f t="shared" si="1308"/>
        <v>0</v>
      </c>
      <c r="AU3721" s="498">
        <f t="shared" si="1295"/>
        <v>0</v>
      </c>
      <c r="AV3721" s="498">
        <f t="shared" si="1296"/>
        <v>0</v>
      </c>
      <c r="AW3721" s="498">
        <f t="shared" si="1297"/>
        <v>0</v>
      </c>
      <c r="AX3721" s="498">
        <f t="shared" si="1298"/>
        <v>0</v>
      </c>
      <c r="AY3721" s="498">
        <f t="shared" si="1299"/>
        <v>0</v>
      </c>
      <c r="BB3721" s="498" t="str">
        <f t="shared" si="1300"/>
        <v/>
      </c>
      <c r="BC3721" s="743" t="str">
        <f t="shared" si="1301"/>
        <v/>
      </c>
      <c r="BD3721" s="743" t="str">
        <f t="shared" si="1302"/>
        <v/>
      </c>
      <c r="BE3721" s="743" t="str">
        <f>IF(D3721="","",VLOOKUP(D3721,'General Basis'!$J$39:$K$46,2,0))</f>
        <v/>
      </c>
      <c r="BF3721" s="744" t="str">
        <f>IF(D3721="","",VLOOKUP(D3721,'General Basis'!$J$39:$L$46,3,0))</f>
        <v/>
      </c>
      <c r="BG3721" s="744" t="str">
        <f t="shared" si="1309"/>
        <v/>
      </c>
      <c r="BH3721" s="744" t="str">
        <f>IF(G3721="","",IF(BF3721="Abu Dhabi",IF(G3721&lt;18,'General Basis'!$C$39,IF(G3721&lt;41,'General Basis'!$C$40,IF(G3721&lt;60,'General Basis'!$C$41,IF(G3721&lt;65,'General Basis'!$C$42,'General Basis'!$C$43)))),IF(G3721&lt;11,'General Basis'!$B$39,IF(G3721&lt;18,'General Basis'!$B$40,IF(G3721&lt;26,'General Basis'!$B$41,IF(G3721&lt;31,'General Basis'!$B$42,IF(G3721&lt;36,'General Basis'!$B$43,IF(G3721&lt;41,'General Basis'!$B$44,IF(G3721&lt;46,'General Basis'!$B$45,IF(G3721&lt;51,'General Basis'!$B$46,IF(G3721&lt;56,'General Basis'!$B$47,IF(G3721&lt;60,'General Basis'!$B$48,IF(G3721&lt;65,'General Basis'!$B$49,'General Basis'!$B$50)))))))))))))</f>
        <v/>
      </c>
      <c r="BI3721" s="744" t="str">
        <f t="shared" si="1303"/>
        <v/>
      </c>
      <c r="BJ3721" s="747" t="str">
        <f t="shared" si="1310"/>
        <v/>
      </c>
      <c r="BK3721" s="498" t="str">
        <f t="shared" si="1304"/>
        <v/>
      </c>
      <c r="BL3721" s="498" t="str">
        <f t="shared" si="1305"/>
        <v/>
      </c>
    </row>
    <row r="3722" spans="1:64" x14ac:dyDescent="0.25">
      <c r="A3722" s="762">
        <f t="shared" si="1306"/>
        <v>3717</v>
      </c>
      <c r="B3722" s="229"/>
      <c r="C3722" s="223"/>
      <c r="D3722" s="224"/>
      <c r="E3722" s="225"/>
      <c r="F3722" s="1036" t="str">
        <f t="shared" si="1290"/>
        <v/>
      </c>
      <c r="G3722" s="1037" t="str">
        <f t="shared" si="1307"/>
        <v/>
      </c>
      <c r="H3722" s="225"/>
      <c r="I3722" s="1013"/>
      <c r="J3722" s="1013"/>
      <c r="K3722" s="1028"/>
      <c r="L3722" s="1035" t="str">
        <f t="shared" si="1311"/>
        <v/>
      </c>
      <c r="S3722" s="498"/>
      <c r="AJ3722" s="498"/>
      <c r="AM3722" s="498">
        <f t="shared" si="1292"/>
        <v>0</v>
      </c>
      <c r="AN3722" s="498">
        <f t="shared" si="1293"/>
        <v>0</v>
      </c>
      <c r="AO3722" s="498">
        <f t="shared" si="1294"/>
        <v>0</v>
      </c>
      <c r="AP3722" s="498">
        <f t="shared" si="1291"/>
        <v>0</v>
      </c>
      <c r="AQ3722" s="498">
        <f t="shared" si="1308"/>
        <v>0</v>
      </c>
      <c r="AU3722" s="498">
        <f t="shared" si="1295"/>
        <v>0</v>
      </c>
      <c r="AV3722" s="498">
        <f t="shared" si="1296"/>
        <v>0</v>
      </c>
      <c r="AW3722" s="498">
        <f t="shared" si="1297"/>
        <v>0</v>
      </c>
      <c r="AX3722" s="498">
        <f t="shared" si="1298"/>
        <v>0</v>
      </c>
      <c r="AY3722" s="498">
        <f t="shared" si="1299"/>
        <v>0</v>
      </c>
      <c r="BB3722" s="498" t="str">
        <f t="shared" si="1300"/>
        <v/>
      </c>
      <c r="BC3722" s="743" t="str">
        <f t="shared" si="1301"/>
        <v/>
      </c>
      <c r="BD3722" s="743" t="str">
        <f t="shared" si="1302"/>
        <v/>
      </c>
      <c r="BE3722" s="743" t="str">
        <f>IF(D3722="","",VLOOKUP(D3722,'General Basis'!$J$39:$K$46,2,0))</f>
        <v/>
      </c>
      <c r="BF3722" s="744" t="str">
        <f>IF(D3722="","",VLOOKUP(D3722,'General Basis'!$J$39:$L$46,3,0))</f>
        <v/>
      </c>
      <c r="BG3722" s="744" t="str">
        <f t="shared" si="1309"/>
        <v/>
      </c>
      <c r="BH3722" s="744" t="str">
        <f>IF(G3722="","",IF(BF3722="Abu Dhabi",IF(G3722&lt;18,'General Basis'!$C$39,IF(G3722&lt;41,'General Basis'!$C$40,IF(G3722&lt;60,'General Basis'!$C$41,IF(G3722&lt;65,'General Basis'!$C$42,'General Basis'!$C$43)))),IF(G3722&lt;11,'General Basis'!$B$39,IF(G3722&lt;18,'General Basis'!$B$40,IF(G3722&lt;26,'General Basis'!$B$41,IF(G3722&lt;31,'General Basis'!$B$42,IF(G3722&lt;36,'General Basis'!$B$43,IF(G3722&lt;41,'General Basis'!$B$44,IF(G3722&lt;46,'General Basis'!$B$45,IF(G3722&lt;51,'General Basis'!$B$46,IF(G3722&lt;56,'General Basis'!$B$47,IF(G3722&lt;60,'General Basis'!$B$48,IF(G3722&lt;65,'General Basis'!$B$49,'General Basis'!$B$50)))))))))))))</f>
        <v/>
      </c>
      <c r="BI3722" s="744" t="str">
        <f t="shared" si="1303"/>
        <v/>
      </c>
      <c r="BJ3722" s="747" t="str">
        <f t="shared" si="1310"/>
        <v/>
      </c>
      <c r="BK3722" s="498" t="str">
        <f t="shared" si="1304"/>
        <v/>
      </c>
      <c r="BL3722" s="498" t="str">
        <f t="shared" si="1305"/>
        <v/>
      </c>
    </row>
    <row r="3723" spans="1:64" x14ac:dyDescent="0.25">
      <c r="A3723" s="762">
        <f t="shared" si="1306"/>
        <v>3718</v>
      </c>
      <c r="B3723" s="229"/>
      <c r="C3723" s="223"/>
      <c r="D3723" s="224"/>
      <c r="E3723" s="225"/>
      <c r="F3723" s="1036" t="str">
        <f t="shared" si="1290"/>
        <v/>
      </c>
      <c r="G3723" s="1037" t="str">
        <f t="shared" si="1307"/>
        <v/>
      </c>
      <c r="H3723" s="225"/>
      <c r="I3723" s="1013"/>
      <c r="J3723" s="1013"/>
      <c r="K3723" s="1028"/>
      <c r="L3723" s="1035" t="str">
        <f t="shared" si="1311"/>
        <v/>
      </c>
      <c r="S3723" s="498"/>
      <c r="AJ3723" s="498"/>
      <c r="AM3723" s="498">
        <f t="shared" si="1292"/>
        <v>0</v>
      </c>
      <c r="AN3723" s="498">
        <f t="shared" si="1293"/>
        <v>0</v>
      </c>
      <c r="AO3723" s="498">
        <f t="shared" si="1294"/>
        <v>0</v>
      </c>
      <c r="AP3723" s="498">
        <f t="shared" si="1291"/>
        <v>0</v>
      </c>
      <c r="AQ3723" s="498">
        <f t="shared" si="1308"/>
        <v>0</v>
      </c>
      <c r="AU3723" s="498">
        <f t="shared" si="1295"/>
        <v>0</v>
      </c>
      <c r="AV3723" s="498">
        <f t="shared" si="1296"/>
        <v>0</v>
      </c>
      <c r="AW3723" s="498">
        <f t="shared" si="1297"/>
        <v>0</v>
      </c>
      <c r="AX3723" s="498">
        <f t="shared" si="1298"/>
        <v>0</v>
      </c>
      <c r="AY3723" s="498">
        <f t="shared" si="1299"/>
        <v>0</v>
      </c>
      <c r="BB3723" s="498" t="str">
        <f t="shared" si="1300"/>
        <v/>
      </c>
      <c r="BC3723" s="743" t="str">
        <f t="shared" si="1301"/>
        <v/>
      </c>
      <c r="BD3723" s="743" t="str">
        <f t="shared" si="1302"/>
        <v/>
      </c>
      <c r="BE3723" s="743" t="str">
        <f>IF(D3723="","",VLOOKUP(D3723,'General Basis'!$J$39:$K$46,2,0))</f>
        <v/>
      </c>
      <c r="BF3723" s="744" t="str">
        <f>IF(D3723="","",VLOOKUP(D3723,'General Basis'!$J$39:$L$46,3,0))</f>
        <v/>
      </c>
      <c r="BG3723" s="744" t="str">
        <f t="shared" si="1309"/>
        <v/>
      </c>
      <c r="BH3723" s="744" t="str">
        <f>IF(G3723="","",IF(BF3723="Abu Dhabi",IF(G3723&lt;18,'General Basis'!$C$39,IF(G3723&lt;41,'General Basis'!$C$40,IF(G3723&lt;60,'General Basis'!$C$41,IF(G3723&lt;65,'General Basis'!$C$42,'General Basis'!$C$43)))),IF(G3723&lt;11,'General Basis'!$B$39,IF(G3723&lt;18,'General Basis'!$B$40,IF(G3723&lt;26,'General Basis'!$B$41,IF(G3723&lt;31,'General Basis'!$B$42,IF(G3723&lt;36,'General Basis'!$B$43,IF(G3723&lt;41,'General Basis'!$B$44,IF(G3723&lt;46,'General Basis'!$B$45,IF(G3723&lt;51,'General Basis'!$B$46,IF(G3723&lt;56,'General Basis'!$B$47,IF(G3723&lt;60,'General Basis'!$B$48,IF(G3723&lt;65,'General Basis'!$B$49,'General Basis'!$B$50)))))))))))))</f>
        <v/>
      </c>
      <c r="BI3723" s="744" t="str">
        <f t="shared" si="1303"/>
        <v/>
      </c>
      <c r="BJ3723" s="747" t="str">
        <f t="shared" si="1310"/>
        <v/>
      </c>
      <c r="BK3723" s="498" t="str">
        <f t="shared" si="1304"/>
        <v/>
      </c>
      <c r="BL3723" s="498" t="str">
        <f t="shared" si="1305"/>
        <v/>
      </c>
    </row>
    <row r="3724" spans="1:64" x14ac:dyDescent="0.25">
      <c r="A3724" s="762">
        <f t="shared" si="1306"/>
        <v>3719</v>
      </c>
      <c r="B3724" s="229"/>
      <c r="C3724" s="223"/>
      <c r="D3724" s="224"/>
      <c r="E3724" s="225"/>
      <c r="F3724" s="1036" t="str">
        <f t="shared" si="1290"/>
        <v/>
      </c>
      <c r="G3724" s="1037" t="str">
        <f t="shared" si="1307"/>
        <v/>
      </c>
      <c r="H3724" s="225"/>
      <c r="I3724" s="1013"/>
      <c r="J3724" s="1013"/>
      <c r="K3724" s="1028"/>
      <c r="L3724" s="1035" t="str">
        <f t="shared" si="1311"/>
        <v/>
      </c>
      <c r="S3724" s="498"/>
      <c r="AJ3724" s="498"/>
      <c r="AM3724" s="498">
        <f t="shared" si="1292"/>
        <v>0</v>
      </c>
      <c r="AN3724" s="498">
        <f t="shared" si="1293"/>
        <v>0</v>
      </c>
      <c r="AO3724" s="498">
        <f t="shared" si="1294"/>
        <v>0</v>
      </c>
      <c r="AP3724" s="498">
        <f t="shared" si="1291"/>
        <v>0</v>
      </c>
      <c r="AQ3724" s="498">
        <f t="shared" si="1308"/>
        <v>0</v>
      </c>
      <c r="AU3724" s="498">
        <f t="shared" si="1295"/>
        <v>0</v>
      </c>
      <c r="AV3724" s="498">
        <f t="shared" si="1296"/>
        <v>0</v>
      </c>
      <c r="AW3724" s="498">
        <f t="shared" si="1297"/>
        <v>0</v>
      </c>
      <c r="AX3724" s="498">
        <f t="shared" si="1298"/>
        <v>0</v>
      </c>
      <c r="AY3724" s="498">
        <f t="shared" si="1299"/>
        <v>0</v>
      </c>
      <c r="BB3724" s="498" t="str">
        <f t="shared" si="1300"/>
        <v/>
      </c>
      <c r="BC3724" s="743" t="str">
        <f t="shared" si="1301"/>
        <v/>
      </c>
      <c r="BD3724" s="743" t="str">
        <f t="shared" si="1302"/>
        <v/>
      </c>
      <c r="BE3724" s="743" t="str">
        <f>IF(D3724="","",VLOOKUP(D3724,'General Basis'!$J$39:$K$46,2,0))</f>
        <v/>
      </c>
      <c r="BF3724" s="744" t="str">
        <f>IF(D3724="","",VLOOKUP(D3724,'General Basis'!$J$39:$L$46,3,0))</f>
        <v/>
      </c>
      <c r="BG3724" s="744" t="str">
        <f t="shared" si="1309"/>
        <v/>
      </c>
      <c r="BH3724" s="744" t="str">
        <f>IF(G3724="","",IF(BF3724="Abu Dhabi",IF(G3724&lt;18,'General Basis'!$C$39,IF(G3724&lt;41,'General Basis'!$C$40,IF(G3724&lt;60,'General Basis'!$C$41,IF(G3724&lt;65,'General Basis'!$C$42,'General Basis'!$C$43)))),IF(G3724&lt;11,'General Basis'!$B$39,IF(G3724&lt;18,'General Basis'!$B$40,IF(G3724&lt;26,'General Basis'!$B$41,IF(G3724&lt;31,'General Basis'!$B$42,IF(G3724&lt;36,'General Basis'!$B$43,IF(G3724&lt;41,'General Basis'!$B$44,IF(G3724&lt;46,'General Basis'!$B$45,IF(G3724&lt;51,'General Basis'!$B$46,IF(G3724&lt;56,'General Basis'!$B$47,IF(G3724&lt;60,'General Basis'!$B$48,IF(G3724&lt;65,'General Basis'!$B$49,'General Basis'!$B$50)))))))))))))</f>
        <v/>
      </c>
      <c r="BI3724" s="744" t="str">
        <f t="shared" si="1303"/>
        <v/>
      </c>
      <c r="BJ3724" s="747" t="str">
        <f t="shared" si="1310"/>
        <v/>
      </c>
      <c r="BK3724" s="498" t="str">
        <f t="shared" si="1304"/>
        <v/>
      </c>
      <c r="BL3724" s="498" t="str">
        <f t="shared" si="1305"/>
        <v/>
      </c>
    </row>
    <row r="3725" spans="1:64" x14ac:dyDescent="0.25">
      <c r="A3725" s="762">
        <f t="shared" si="1306"/>
        <v>3720</v>
      </c>
      <c r="B3725" s="229"/>
      <c r="C3725" s="223"/>
      <c r="D3725" s="224"/>
      <c r="E3725" s="225"/>
      <c r="F3725" s="1036" t="str">
        <f t="shared" si="1290"/>
        <v/>
      </c>
      <c r="G3725" s="1037" t="str">
        <f t="shared" si="1307"/>
        <v/>
      </c>
      <c r="H3725" s="225"/>
      <c r="I3725" s="1013"/>
      <c r="J3725" s="1013"/>
      <c r="K3725" s="1028"/>
      <c r="L3725" s="1035" t="str">
        <f t="shared" si="1311"/>
        <v/>
      </c>
      <c r="S3725" s="498"/>
      <c r="AJ3725" s="498"/>
      <c r="AM3725" s="498">
        <f t="shared" si="1292"/>
        <v>0</v>
      </c>
      <c r="AN3725" s="498">
        <f t="shared" si="1293"/>
        <v>0</v>
      </c>
      <c r="AO3725" s="498">
        <f t="shared" si="1294"/>
        <v>0</v>
      </c>
      <c r="AP3725" s="498">
        <f t="shared" si="1291"/>
        <v>0</v>
      </c>
      <c r="AQ3725" s="498">
        <f t="shared" si="1308"/>
        <v>0</v>
      </c>
      <c r="AU3725" s="498">
        <f t="shared" si="1295"/>
        <v>0</v>
      </c>
      <c r="AV3725" s="498">
        <f t="shared" si="1296"/>
        <v>0</v>
      </c>
      <c r="AW3725" s="498">
        <f t="shared" si="1297"/>
        <v>0</v>
      </c>
      <c r="AX3725" s="498">
        <f t="shared" si="1298"/>
        <v>0</v>
      </c>
      <c r="AY3725" s="498">
        <f t="shared" si="1299"/>
        <v>0</v>
      </c>
      <c r="BB3725" s="498" t="str">
        <f t="shared" si="1300"/>
        <v/>
      </c>
      <c r="BC3725" s="743" t="str">
        <f t="shared" si="1301"/>
        <v/>
      </c>
      <c r="BD3725" s="743" t="str">
        <f t="shared" si="1302"/>
        <v/>
      </c>
      <c r="BE3725" s="743" t="str">
        <f>IF(D3725="","",VLOOKUP(D3725,'General Basis'!$J$39:$K$46,2,0))</f>
        <v/>
      </c>
      <c r="BF3725" s="744" t="str">
        <f>IF(D3725="","",VLOOKUP(D3725,'General Basis'!$J$39:$L$46,3,0))</f>
        <v/>
      </c>
      <c r="BG3725" s="744" t="str">
        <f t="shared" si="1309"/>
        <v/>
      </c>
      <c r="BH3725" s="744" t="str">
        <f>IF(G3725="","",IF(BF3725="Abu Dhabi",IF(G3725&lt;18,'General Basis'!$C$39,IF(G3725&lt;41,'General Basis'!$C$40,IF(G3725&lt;60,'General Basis'!$C$41,IF(G3725&lt;65,'General Basis'!$C$42,'General Basis'!$C$43)))),IF(G3725&lt;11,'General Basis'!$B$39,IF(G3725&lt;18,'General Basis'!$B$40,IF(G3725&lt;26,'General Basis'!$B$41,IF(G3725&lt;31,'General Basis'!$B$42,IF(G3725&lt;36,'General Basis'!$B$43,IF(G3725&lt;41,'General Basis'!$B$44,IF(G3725&lt;46,'General Basis'!$B$45,IF(G3725&lt;51,'General Basis'!$B$46,IF(G3725&lt;56,'General Basis'!$B$47,IF(G3725&lt;60,'General Basis'!$B$48,IF(G3725&lt;65,'General Basis'!$B$49,'General Basis'!$B$50)))))))))))))</f>
        <v/>
      </c>
      <c r="BI3725" s="744" t="str">
        <f t="shared" si="1303"/>
        <v/>
      </c>
      <c r="BJ3725" s="747" t="str">
        <f t="shared" si="1310"/>
        <v/>
      </c>
      <c r="BK3725" s="498" t="str">
        <f t="shared" si="1304"/>
        <v/>
      </c>
      <c r="BL3725" s="498" t="str">
        <f t="shared" si="1305"/>
        <v/>
      </c>
    </row>
    <row r="3726" spans="1:64" x14ac:dyDescent="0.25">
      <c r="A3726" s="762">
        <f t="shared" si="1306"/>
        <v>3721</v>
      </c>
      <c r="B3726" s="229"/>
      <c r="C3726" s="223"/>
      <c r="D3726" s="224"/>
      <c r="E3726" s="225"/>
      <c r="F3726" s="1036" t="str">
        <f t="shared" si="1290"/>
        <v/>
      </c>
      <c r="G3726" s="1037" t="str">
        <f t="shared" si="1307"/>
        <v/>
      </c>
      <c r="H3726" s="225"/>
      <c r="I3726" s="1013"/>
      <c r="J3726" s="1013"/>
      <c r="K3726" s="1028"/>
      <c r="L3726" s="1035" t="str">
        <f t="shared" si="1311"/>
        <v/>
      </c>
      <c r="S3726" s="498"/>
      <c r="AJ3726" s="498"/>
      <c r="AM3726" s="498">
        <f t="shared" si="1292"/>
        <v>0</v>
      </c>
      <c r="AN3726" s="498">
        <f t="shared" si="1293"/>
        <v>0</v>
      </c>
      <c r="AO3726" s="498">
        <f t="shared" si="1294"/>
        <v>0</v>
      </c>
      <c r="AP3726" s="498">
        <f t="shared" si="1291"/>
        <v>0</v>
      </c>
      <c r="AQ3726" s="498">
        <f t="shared" si="1308"/>
        <v>0</v>
      </c>
      <c r="AU3726" s="498">
        <f t="shared" si="1295"/>
        <v>0</v>
      </c>
      <c r="AV3726" s="498">
        <f t="shared" si="1296"/>
        <v>0</v>
      </c>
      <c r="AW3726" s="498">
        <f t="shared" si="1297"/>
        <v>0</v>
      </c>
      <c r="AX3726" s="498">
        <f t="shared" si="1298"/>
        <v>0</v>
      </c>
      <c r="AY3726" s="498">
        <f t="shared" si="1299"/>
        <v>0</v>
      </c>
      <c r="BB3726" s="498" t="str">
        <f t="shared" si="1300"/>
        <v/>
      </c>
      <c r="BC3726" s="743" t="str">
        <f t="shared" si="1301"/>
        <v/>
      </c>
      <c r="BD3726" s="743" t="str">
        <f t="shared" si="1302"/>
        <v/>
      </c>
      <c r="BE3726" s="743" t="str">
        <f>IF(D3726="","",VLOOKUP(D3726,'General Basis'!$J$39:$K$46,2,0))</f>
        <v/>
      </c>
      <c r="BF3726" s="744" t="str">
        <f>IF(D3726="","",VLOOKUP(D3726,'General Basis'!$J$39:$L$46,3,0))</f>
        <v/>
      </c>
      <c r="BG3726" s="744" t="str">
        <f t="shared" si="1309"/>
        <v/>
      </c>
      <c r="BH3726" s="744" t="str">
        <f>IF(G3726="","",IF(BF3726="Abu Dhabi",IF(G3726&lt;18,'General Basis'!$C$39,IF(G3726&lt;41,'General Basis'!$C$40,IF(G3726&lt;60,'General Basis'!$C$41,IF(G3726&lt;65,'General Basis'!$C$42,'General Basis'!$C$43)))),IF(G3726&lt;11,'General Basis'!$B$39,IF(G3726&lt;18,'General Basis'!$B$40,IF(G3726&lt;26,'General Basis'!$B$41,IF(G3726&lt;31,'General Basis'!$B$42,IF(G3726&lt;36,'General Basis'!$B$43,IF(G3726&lt;41,'General Basis'!$B$44,IF(G3726&lt;46,'General Basis'!$B$45,IF(G3726&lt;51,'General Basis'!$B$46,IF(G3726&lt;56,'General Basis'!$B$47,IF(G3726&lt;60,'General Basis'!$B$48,IF(G3726&lt;65,'General Basis'!$B$49,'General Basis'!$B$50)))))))))))))</f>
        <v/>
      </c>
      <c r="BI3726" s="744" t="str">
        <f t="shared" si="1303"/>
        <v/>
      </c>
      <c r="BJ3726" s="747" t="str">
        <f t="shared" si="1310"/>
        <v/>
      </c>
      <c r="BK3726" s="498" t="str">
        <f t="shared" si="1304"/>
        <v/>
      </c>
      <c r="BL3726" s="498" t="str">
        <f t="shared" si="1305"/>
        <v/>
      </c>
    </row>
    <row r="3727" spans="1:64" x14ac:dyDescent="0.25">
      <c r="A3727" s="762">
        <f t="shared" si="1306"/>
        <v>3722</v>
      </c>
      <c r="B3727" s="229"/>
      <c r="C3727" s="223"/>
      <c r="D3727" s="224"/>
      <c r="E3727" s="225"/>
      <c r="F3727" s="1036" t="str">
        <f t="shared" si="1290"/>
        <v/>
      </c>
      <c r="G3727" s="1037" t="str">
        <f t="shared" si="1307"/>
        <v/>
      </c>
      <c r="H3727" s="225"/>
      <c r="I3727" s="1013"/>
      <c r="J3727" s="1013"/>
      <c r="K3727" s="1028"/>
      <c r="L3727" s="1035" t="str">
        <f t="shared" si="1311"/>
        <v/>
      </c>
      <c r="S3727" s="498"/>
      <c r="AJ3727" s="498"/>
      <c r="AM3727" s="498">
        <f t="shared" si="1292"/>
        <v>0</v>
      </c>
      <c r="AN3727" s="498">
        <f t="shared" si="1293"/>
        <v>0</v>
      </c>
      <c r="AO3727" s="498">
        <f t="shared" si="1294"/>
        <v>0</v>
      </c>
      <c r="AP3727" s="498">
        <f t="shared" si="1291"/>
        <v>0</v>
      </c>
      <c r="AQ3727" s="498">
        <f t="shared" si="1308"/>
        <v>0</v>
      </c>
      <c r="AU3727" s="498">
        <f t="shared" si="1295"/>
        <v>0</v>
      </c>
      <c r="AV3727" s="498">
        <f t="shared" si="1296"/>
        <v>0</v>
      </c>
      <c r="AW3727" s="498">
        <f t="shared" si="1297"/>
        <v>0</v>
      </c>
      <c r="AX3727" s="498">
        <f t="shared" si="1298"/>
        <v>0</v>
      </c>
      <c r="AY3727" s="498">
        <f t="shared" si="1299"/>
        <v>0</v>
      </c>
      <c r="BB3727" s="498" t="str">
        <f t="shared" si="1300"/>
        <v/>
      </c>
      <c r="BC3727" s="743" t="str">
        <f t="shared" si="1301"/>
        <v/>
      </c>
      <c r="BD3727" s="743" t="str">
        <f t="shared" si="1302"/>
        <v/>
      </c>
      <c r="BE3727" s="743" t="str">
        <f>IF(D3727="","",VLOOKUP(D3727,'General Basis'!$J$39:$K$46,2,0))</f>
        <v/>
      </c>
      <c r="BF3727" s="744" t="str">
        <f>IF(D3727="","",VLOOKUP(D3727,'General Basis'!$J$39:$L$46,3,0))</f>
        <v/>
      </c>
      <c r="BG3727" s="744" t="str">
        <f t="shared" si="1309"/>
        <v/>
      </c>
      <c r="BH3727" s="744" t="str">
        <f>IF(G3727="","",IF(BF3727="Abu Dhabi",IF(G3727&lt;18,'General Basis'!$C$39,IF(G3727&lt;41,'General Basis'!$C$40,IF(G3727&lt;60,'General Basis'!$C$41,IF(G3727&lt;65,'General Basis'!$C$42,'General Basis'!$C$43)))),IF(G3727&lt;11,'General Basis'!$B$39,IF(G3727&lt;18,'General Basis'!$B$40,IF(G3727&lt;26,'General Basis'!$B$41,IF(G3727&lt;31,'General Basis'!$B$42,IF(G3727&lt;36,'General Basis'!$B$43,IF(G3727&lt;41,'General Basis'!$B$44,IF(G3727&lt;46,'General Basis'!$B$45,IF(G3727&lt;51,'General Basis'!$B$46,IF(G3727&lt;56,'General Basis'!$B$47,IF(G3727&lt;60,'General Basis'!$B$48,IF(G3727&lt;65,'General Basis'!$B$49,'General Basis'!$B$50)))))))))))))</f>
        <v/>
      </c>
      <c r="BI3727" s="744" t="str">
        <f t="shared" si="1303"/>
        <v/>
      </c>
      <c r="BJ3727" s="747" t="str">
        <f t="shared" si="1310"/>
        <v/>
      </c>
      <c r="BK3727" s="498" t="str">
        <f t="shared" si="1304"/>
        <v/>
      </c>
      <c r="BL3727" s="498" t="str">
        <f t="shared" si="1305"/>
        <v/>
      </c>
    </row>
    <row r="3728" spans="1:64" x14ac:dyDescent="0.25">
      <c r="A3728" s="762">
        <f t="shared" si="1306"/>
        <v>3723</v>
      </c>
      <c r="B3728" s="229"/>
      <c r="C3728" s="223"/>
      <c r="D3728" s="224"/>
      <c r="E3728" s="225"/>
      <c r="F3728" s="1036" t="str">
        <f t="shared" ref="F3728:F3791" si="1312">IF(C3728="","",IF($B3728="","",((YEAR($F$3)-YEAR($B3728))+(MONTH($F$3)-MONTH($B3728))/12+(DAY($F$3)-DAY($B3728))/(DATE(YEAR($F$3),12,31)-DATE(YEAR($F$3),1,1)+1))))</f>
        <v/>
      </c>
      <c r="G3728" s="1037" t="str">
        <f t="shared" si="1307"/>
        <v/>
      </c>
      <c r="H3728" s="225"/>
      <c r="I3728" s="1013"/>
      <c r="J3728" s="1013"/>
      <c r="K3728" s="1028"/>
      <c r="L3728" s="1035" t="str">
        <f t="shared" si="1311"/>
        <v/>
      </c>
      <c r="S3728" s="498"/>
      <c r="AJ3728" s="498"/>
      <c r="AM3728" s="498">
        <f t="shared" si="1292"/>
        <v>0</v>
      </c>
      <c r="AN3728" s="498">
        <f t="shared" si="1293"/>
        <v>0</v>
      </c>
      <c r="AO3728" s="498">
        <f t="shared" si="1294"/>
        <v>0</v>
      </c>
      <c r="AP3728" s="498">
        <f t="shared" si="1291"/>
        <v>0</v>
      </c>
      <c r="AQ3728" s="498">
        <f t="shared" si="1308"/>
        <v>0</v>
      </c>
      <c r="AU3728" s="498">
        <f t="shared" si="1295"/>
        <v>0</v>
      </c>
      <c r="AV3728" s="498">
        <f t="shared" si="1296"/>
        <v>0</v>
      </c>
      <c r="AW3728" s="498">
        <f t="shared" si="1297"/>
        <v>0</v>
      </c>
      <c r="AX3728" s="498">
        <f t="shared" si="1298"/>
        <v>0</v>
      </c>
      <c r="AY3728" s="498">
        <f t="shared" si="1299"/>
        <v>0</v>
      </c>
      <c r="BB3728" s="498" t="str">
        <f t="shared" si="1300"/>
        <v/>
      </c>
      <c r="BC3728" s="743" t="str">
        <f t="shared" si="1301"/>
        <v/>
      </c>
      <c r="BD3728" s="743" t="str">
        <f t="shared" si="1302"/>
        <v/>
      </c>
      <c r="BE3728" s="743" t="str">
        <f>IF(D3728="","",VLOOKUP(D3728,'General Basis'!$J$39:$K$46,2,0))</f>
        <v/>
      </c>
      <c r="BF3728" s="744" t="str">
        <f>IF(D3728="","",VLOOKUP(D3728,'General Basis'!$J$39:$L$46,3,0))</f>
        <v/>
      </c>
      <c r="BG3728" s="744" t="str">
        <f t="shared" si="1309"/>
        <v/>
      </c>
      <c r="BH3728" s="744" t="str">
        <f>IF(G3728="","",IF(BF3728="Abu Dhabi",IF(G3728&lt;18,'General Basis'!$C$39,IF(G3728&lt;41,'General Basis'!$C$40,IF(G3728&lt;60,'General Basis'!$C$41,IF(G3728&lt;65,'General Basis'!$C$42,'General Basis'!$C$43)))),IF(G3728&lt;11,'General Basis'!$B$39,IF(G3728&lt;18,'General Basis'!$B$40,IF(G3728&lt;26,'General Basis'!$B$41,IF(G3728&lt;31,'General Basis'!$B$42,IF(G3728&lt;36,'General Basis'!$B$43,IF(G3728&lt;41,'General Basis'!$B$44,IF(G3728&lt;46,'General Basis'!$B$45,IF(G3728&lt;51,'General Basis'!$B$46,IF(G3728&lt;56,'General Basis'!$B$47,IF(G3728&lt;60,'General Basis'!$B$48,IF(G3728&lt;65,'General Basis'!$B$49,'General Basis'!$B$50)))))))))))))</f>
        <v/>
      </c>
      <c r="BI3728" s="744" t="str">
        <f t="shared" si="1303"/>
        <v/>
      </c>
      <c r="BJ3728" s="747" t="str">
        <f t="shared" si="1310"/>
        <v/>
      </c>
      <c r="BK3728" s="498" t="str">
        <f t="shared" si="1304"/>
        <v/>
      </c>
      <c r="BL3728" s="498" t="str">
        <f t="shared" si="1305"/>
        <v/>
      </c>
    </row>
    <row r="3729" spans="1:64" x14ac:dyDescent="0.25">
      <c r="A3729" s="762">
        <f t="shared" si="1306"/>
        <v>3724</v>
      </c>
      <c r="B3729" s="229"/>
      <c r="C3729" s="223"/>
      <c r="D3729" s="224"/>
      <c r="E3729" s="225"/>
      <c r="F3729" s="1036" t="str">
        <f t="shared" si="1312"/>
        <v/>
      </c>
      <c r="G3729" s="1037" t="str">
        <f t="shared" si="1307"/>
        <v/>
      </c>
      <c r="H3729" s="225"/>
      <c r="I3729" s="1013"/>
      <c r="J3729" s="1013"/>
      <c r="K3729" s="1028"/>
      <c r="L3729" s="1035" t="str">
        <f t="shared" si="1311"/>
        <v/>
      </c>
      <c r="S3729" s="498"/>
      <c r="AJ3729" s="498"/>
      <c r="AM3729" s="498">
        <f t="shared" si="1292"/>
        <v>0</v>
      </c>
      <c r="AN3729" s="498">
        <f t="shared" si="1293"/>
        <v>0</v>
      </c>
      <c r="AO3729" s="498">
        <f t="shared" si="1294"/>
        <v>0</v>
      </c>
      <c r="AP3729" s="498">
        <f t="shared" si="1291"/>
        <v>0</v>
      </c>
      <c r="AQ3729" s="498">
        <f t="shared" si="1308"/>
        <v>0</v>
      </c>
      <c r="AU3729" s="498">
        <f t="shared" si="1295"/>
        <v>0</v>
      </c>
      <c r="AV3729" s="498">
        <f t="shared" si="1296"/>
        <v>0</v>
      </c>
      <c r="AW3729" s="498">
        <f t="shared" si="1297"/>
        <v>0</v>
      </c>
      <c r="AX3729" s="498">
        <f t="shared" si="1298"/>
        <v>0</v>
      </c>
      <c r="AY3729" s="498">
        <f t="shared" si="1299"/>
        <v>0</v>
      </c>
      <c r="BB3729" s="498" t="str">
        <f t="shared" si="1300"/>
        <v/>
      </c>
      <c r="BC3729" s="743" t="str">
        <f t="shared" si="1301"/>
        <v/>
      </c>
      <c r="BD3729" s="743" t="str">
        <f t="shared" si="1302"/>
        <v/>
      </c>
      <c r="BE3729" s="743" t="str">
        <f>IF(D3729="","",VLOOKUP(D3729,'General Basis'!$J$39:$K$46,2,0))</f>
        <v/>
      </c>
      <c r="BF3729" s="744" t="str">
        <f>IF(D3729="","",VLOOKUP(D3729,'General Basis'!$J$39:$L$46,3,0))</f>
        <v/>
      </c>
      <c r="BG3729" s="744" t="str">
        <f t="shared" si="1309"/>
        <v/>
      </c>
      <c r="BH3729" s="744" t="str">
        <f>IF(G3729="","",IF(BF3729="Abu Dhabi",IF(G3729&lt;18,'General Basis'!$C$39,IF(G3729&lt;41,'General Basis'!$C$40,IF(G3729&lt;60,'General Basis'!$C$41,IF(G3729&lt;65,'General Basis'!$C$42,'General Basis'!$C$43)))),IF(G3729&lt;11,'General Basis'!$B$39,IF(G3729&lt;18,'General Basis'!$B$40,IF(G3729&lt;26,'General Basis'!$B$41,IF(G3729&lt;31,'General Basis'!$B$42,IF(G3729&lt;36,'General Basis'!$B$43,IF(G3729&lt;41,'General Basis'!$B$44,IF(G3729&lt;46,'General Basis'!$B$45,IF(G3729&lt;51,'General Basis'!$B$46,IF(G3729&lt;56,'General Basis'!$B$47,IF(G3729&lt;60,'General Basis'!$B$48,IF(G3729&lt;65,'General Basis'!$B$49,'General Basis'!$B$50)))))))))))))</f>
        <v/>
      </c>
      <c r="BI3729" s="744" t="str">
        <f t="shared" si="1303"/>
        <v/>
      </c>
      <c r="BJ3729" s="747" t="str">
        <f t="shared" si="1310"/>
        <v/>
      </c>
      <c r="BK3729" s="498" t="str">
        <f t="shared" si="1304"/>
        <v/>
      </c>
      <c r="BL3729" s="498" t="str">
        <f t="shared" si="1305"/>
        <v/>
      </c>
    </row>
    <row r="3730" spans="1:64" x14ac:dyDescent="0.25">
      <c r="A3730" s="762">
        <f t="shared" si="1306"/>
        <v>3725</v>
      </c>
      <c r="B3730" s="229"/>
      <c r="C3730" s="223"/>
      <c r="D3730" s="224"/>
      <c r="E3730" s="225"/>
      <c r="F3730" s="1036" t="str">
        <f t="shared" si="1312"/>
        <v/>
      </c>
      <c r="G3730" s="1037" t="str">
        <f t="shared" si="1307"/>
        <v/>
      </c>
      <c r="H3730" s="225"/>
      <c r="I3730" s="1013"/>
      <c r="J3730" s="1013"/>
      <c r="K3730" s="1028"/>
      <c r="L3730" s="1035" t="str">
        <f t="shared" si="1311"/>
        <v/>
      </c>
      <c r="S3730" s="498"/>
      <c r="AJ3730" s="498"/>
      <c r="AM3730" s="498">
        <f t="shared" si="1292"/>
        <v>0</v>
      </c>
      <c r="AN3730" s="498">
        <f t="shared" si="1293"/>
        <v>0</v>
      </c>
      <c r="AO3730" s="498">
        <f t="shared" si="1294"/>
        <v>0</v>
      </c>
      <c r="AP3730" s="498">
        <f t="shared" si="1291"/>
        <v>0</v>
      </c>
      <c r="AQ3730" s="498">
        <f t="shared" si="1308"/>
        <v>0</v>
      </c>
      <c r="AU3730" s="498">
        <f t="shared" si="1295"/>
        <v>0</v>
      </c>
      <c r="AV3730" s="498">
        <f t="shared" si="1296"/>
        <v>0</v>
      </c>
      <c r="AW3730" s="498">
        <f t="shared" si="1297"/>
        <v>0</v>
      </c>
      <c r="AX3730" s="498">
        <f t="shared" si="1298"/>
        <v>0</v>
      </c>
      <c r="AY3730" s="498">
        <f t="shared" si="1299"/>
        <v>0</v>
      </c>
      <c r="BB3730" s="498" t="str">
        <f t="shared" si="1300"/>
        <v/>
      </c>
      <c r="BC3730" s="743" t="str">
        <f t="shared" si="1301"/>
        <v/>
      </c>
      <c r="BD3730" s="743" t="str">
        <f t="shared" si="1302"/>
        <v/>
      </c>
      <c r="BE3730" s="743" t="str">
        <f>IF(D3730="","",VLOOKUP(D3730,'General Basis'!$J$39:$K$46,2,0))</f>
        <v/>
      </c>
      <c r="BF3730" s="744" t="str">
        <f>IF(D3730="","",VLOOKUP(D3730,'General Basis'!$J$39:$L$46,3,0))</f>
        <v/>
      </c>
      <c r="BG3730" s="744" t="str">
        <f t="shared" si="1309"/>
        <v/>
      </c>
      <c r="BH3730" s="744" t="str">
        <f>IF(G3730="","",IF(BF3730="Abu Dhabi",IF(G3730&lt;18,'General Basis'!$C$39,IF(G3730&lt;41,'General Basis'!$C$40,IF(G3730&lt;60,'General Basis'!$C$41,IF(G3730&lt;65,'General Basis'!$C$42,'General Basis'!$C$43)))),IF(G3730&lt;11,'General Basis'!$B$39,IF(G3730&lt;18,'General Basis'!$B$40,IF(G3730&lt;26,'General Basis'!$B$41,IF(G3730&lt;31,'General Basis'!$B$42,IF(G3730&lt;36,'General Basis'!$B$43,IF(G3730&lt;41,'General Basis'!$B$44,IF(G3730&lt;46,'General Basis'!$B$45,IF(G3730&lt;51,'General Basis'!$B$46,IF(G3730&lt;56,'General Basis'!$B$47,IF(G3730&lt;60,'General Basis'!$B$48,IF(G3730&lt;65,'General Basis'!$B$49,'General Basis'!$B$50)))))))))))))</f>
        <v/>
      </c>
      <c r="BI3730" s="744" t="str">
        <f t="shared" si="1303"/>
        <v/>
      </c>
      <c r="BJ3730" s="747" t="str">
        <f t="shared" si="1310"/>
        <v/>
      </c>
      <c r="BK3730" s="498" t="str">
        <f t="shared" si="1304"/>
        <v/>
      </c>
      <c r="BL3730" s="498" t="str">
        <f t="shared" si="1305"/>
        <v/>
      </c>
    </row>
    <row r="3731" spans="1:64" x14ac:dyDescent="0.25">
      <c r="A3731" s="762">
        <f t="shared" si="1306"/>
        <v>3726</v>
      </c>
      <c r="B3731" s="229"/>
      <c r="C3731" s="223"/>
      <c r="D3731" s="224"/>
      <c r="E3731" s="225"/>
      <c r="F3731" s="1036" t="str">
        <f t="shared" si="1312"/>
        <v/>
      </c>
      <c r="G3731" s="1037" t="str">
        <f t="shared" si="1307"/>
        <v/>
      </c>
      <c r="H3731" s="225"/>
      <c r="I3731" s="1013"/>
      <c r="J3731" s="1013"/>
      <c r="K3731" s="1028"/>
      <c r="L3731" s="1035" t="str">
        <f t="shared" si="1311"/>
        <v/>
      </c>
      <c r="S3731" s="498"/>
      <c r="AJ3731" s="498"/>
      <c r="AM3731" s="498">
        <f t="shared" si="1292"/>
        <v>0</v>
      </c>
      <c r="AN3731" s="498">
        <f t="shared" si="1293"/>
        <v>0</v>
      </c>
      <c r="AO3731" s="498">
        <f t="shared" si="1294"/>
        <v>0</v>
      </c>
      <c r="AP3731" s="498">
        <f t="shared" ref="AP3731:AP3794" si="1313">IF(ISBLANK($B3731),0,IF(OR($C3731="M",$C3731="F"),0,1))</f>
        <v>0</v>
      </c>
      <c r="AQ3731" s="498">
        <f t="shared" si="1308"/>
        <v>0</v>
      </c>
      <c r="AU3731" s="498">
        <f t="shared" si="1295"/>
        <v>0</v>
      </c>
      <c r="AV3731" s="498">
        <f t="shared" si="1296"/>
        <v>0</v>
      </c>
      <c r="AW3731" s="498">
        <f t="shared" si="1297"/>
        <v>0</v>
      </c>
      <c r="AX3731" s="498">
        <f t="shared" si="1298"/>
        <v>0</v>
      </c>
      <c r="AY3731" s="498">
        <f t="shared" si="1299"/>
        <v>0</v>
      </c>
      <c r="BB3731" s="498" t="str">
        <f t="shared" si="1300"/>
        <v/>
      </c>
      <c r="BC3731" s="743" t="str">
        <f t="shared" si="1301"/>
        <v/>
      </c>
      <c r="BD3731" s="743" t="str">
        <f t="shared" si="1302"/>
        <v/>
      </c>
      <c r="BE3731" s="743" t="str">
        <f>IF(D3731="","",VLOOKUP(D3731,'General Basis'!$J$39:$K$46,2,0))</f>
        <v/>
      </c>
      <c r="BF3731" s="744" t="str">
        <f>IF(D3731="","",VLOOKUP(D3731,'General Basis'!$J$39:$L$46,3,0))</f>
        <v/>
      </c>
      <c r="BG3731" s="744" t="str">
        <f t="shared" si="1309"/>
        <v/>
      </c>
      <c r="BH3731" s="744" t="str">
        <f>IF(G3731="","",IF(BF3731="Abu Dhabi",IF(G3731&lt;18,'General Basis'!$C$39,IF(G3731&lt;41,'General Basis'!$C$40,IF(G3731&lt;60,'General Basis'!$C$41,IF(G3731&lt;65,'General Basis'!$C$42,'General Basis'!$C$43)))),IF(G3731&lt;11,'General Basis'!$B$39,IF(G3731&lt;18,'General Basis'!$B$40,IF(G3731&lt;26,'General Basis'!$B$41,IF(G3731&lt;31,'General Basis'!$B$42,IF(G3731&lt;36,'General Basis'!$B$43,IF(G3731&lt;41,'General Basis'!$B$44,IF(G3731&lt;46,'General Basis'!$B$45,IF(G3731&lt;51,'General Basis'!$B$46,IF(G3731&lt;56,'General Basis'!$B$47,IF(G3731&lt;60,'General Basis'!$B$48,IF(G3731&lt;65,'General Basis'!$B$49,'General Basis'!$B$50)))))))))))))</f>
        <v/>
      </c>
      <c r="BI3731" s="744" t="str">
        <f t="shared" si="1303"/>
        <v/>
      </c>
      <c r="BJ3731" s="747" t="str">
        <f t="shared" si="1310"/>
        <v/>
      </c>
      <c r="BK3731" s="498" t="str">
        <f t="shared" si="1304"/>
        <v/>
      </c>
      <c r="BL3731" s="498" t="str">
        <f t="shared" si="1305"/>
        <v/>
      </c>
    </row>
    <row r="3732" spans="1:64" x14ac:dyDescent="0.25">
      <c r="A3732" s="762">
        <f t="shared" si="1306"/>
        <v>3727</v>
      </c>
      <c r="B3732" s="229"/>
      <c r="C3732" s="223"/>
      <c r="D3732" s="224"/>
      <c r="E3732" s="225"/>
      <c r="F3732" s="1036" t="str">
        <f t="shared" si="1312"/>
        <v/>
      </c>
      <c r="G3732" s="1037" t="str">
        <f t="shared" si="1307"/>
        <v/>
      </c>
      <c r="H3732" s="225"/>
      <c r="I3732" s="1013"/>
      <c r="J3732" s="1013"/>
      <c r="K3732" s="1028"/>
      <c r="L3732" s="1035" t="str">
        <f t="shared" si="1311"/>
        <v/>
      </c>
      <c r="S3732" s="498"/>
      <c r="AJ3732" s="498"/>
      <c r="AM3732" s="498">
        <f t="shared" si="1292"/>
        <v>0</v>
      </c>
      <c r="AN3732" s="498">
        <f t="shared" si="1293"/>
        <v>0</v>
      </c>
      <c r="AO3732" s="498">
        <f t="shared" si="1294"/>
        <v>0</v>
      </c>
      <c r="AP3732" s="498">
        <f t="shared" si="1313"/>
        <v>0</v>
      </c>
      <c r="AQ3732" s="498">
        <f t="shared" si="1308"/>
        <v>0</v>
      </c>
      <c r="AU3732" s="498">
        <f t="shared" si="1295"/>
        <v>0</v>
      </c>
      <c r="AV3732" s="498">
        <f t="shared" si="1296"/>
        <v>0</v>
      </c>
      <c r="AW3732" s="498">
        <f t="shared" si="1297"/>
        <v>0</v>
      </c>
      <c r="AX3732" s="498">
        <f t="shared" si="1298"/>
        <v>0</v>
      </c>
      <c r="AY3732" s="498">
        <f t="shared" si="1299"/>
        <v>0</v>
      </c>
      <c r="BB3732" s="498" t="str">
        <f t="shared" si="1300"/>
        <v/>
      </c>
      <c r="BC3732" s="743" t="str">
        <f t="shared" si="1301"/>
        <v/>
      </c>
      <c r="BD3732" s="743" t="str">
        <f t="shared" si="1302"/>
        <v/>
      </c>
      <c r="BE3732" s="743" t="str">
        <f>IF(D3732="","",VLOOKUP(D3732,'General Basis'!$J$39:$K$46,2,0))</f>
        <v/>
      </c>
      <c r="BF3732" s="744" t="str">
        <f>IF(D3732="","",VLOOKUP(D3732,'General Basis'!$J$39:$L$46,3,0))</f>
        <v/>
      </c>
      <c r="BG3732" s="744" t="str">
        <f t="shared" si="1309"/>
        <v/>
      </c>
      <c r="BH3732" s="744" t="str">
        <f>IF(G3732="","",IF(BF3732="Abu Dhabi",IF(G3732&lt;18,'General Basis'!$C$39,IF(G3732&lt;41,'General Basis'!$C$40,IF(G3732&lt;60,'General Basis'!$C$41,IF(G3732&lt;65,'General Basis'!$C$42,'General Basis'!$C$43)))),IF(G3732&lt;11,'General Basis'!$B$39,IF(G3732&lt;18,'General Basis'!$B$40,IF(G3732&lt;26,'General Basis'!$B$41,IF(G3732&lt;31,'General Basis'!$B$42,IF(G3732&lt;36,'General Basis'!$B$43,IF(G3732&lt;41,'General Basis'!$B$44,IF(G3732&lt;46,'General Basis'!$B$45,IF(G3732&lt;51,'General Basis'!$B$46,IF(G3732&lt;56,'General Basis'!$B$47,IF(G3732&lt;60,'General Basis'!$B$48,IF(G3732&lt;65,'General Basis'!$B$49,'General Basis'!$B$50)))))))))))))</f>
        <v/>
      </c>
      <c r="BI3732" s="744" t="str">
        <f t="shared" si="1303"/>
        <v/>
      </c>
      <c r="BJ3732" s="747" t="str">
        <f t="shared" si="1310"/>
        <v/>
      </c>
      <c r="BK3732" s="498" t="str">
        <f t="shared" si="1304"/>
        <v/>
      </c>
      <c r="BL3732" s="498" t="str">
        <f t="shared" si="1305"/>
        <v/>
      </c>
    </row>
    <row r="3733" spans="1:64" x14ac:dyDescent="0.25">
      <c r="A3733" s="762">
        <f t="shared" si="1306"/>
        <v>3728</v>
      </c>
      <c r="B3733" s="229"/>
      <c r="C3733" s="223"/>
      <c r="D3733" s="224"/>
      <c r="E3733" s="225"/>
      <c r="F3733" s="1036" t="str">
        <f t="shared" si="1312"/>
        <v/>
      </c>
      <c r="G3733" s="1037" t="str">
        <f t="shared" si="1307"/>
        <v/>
      </c>
      <c r="H3733" s="225"/>
      <c r="I3733" s="1013"/>
      <c r="J3733" s="1013"/>
      <c r="K3733" s="1028"/>
      <c r="L3733" s="1035" t="str">
        <f t="shared" si="1311"/>
        <v/>
      </c>
      <c r="S3733" s="498"/>
      <c r="AJ3733" s="498"/>
      <c r="AM3733" s="498">
        <f t="shared" si="1292"/>
        <v>0</v>
      </c>
      <c r="AN3733" s="498">
        <f t="shared" si="1293"/>
        <v>0</v>
      </c>
      <c r="AO3733" s="498">
        <f t="shared" si="1294"/>
        <v>0</v>
      </c>
      <c r="AP3733" s="498">
        <f t="shared" si="1313"/>
        <v>0</v>
      </c>
      <c r="AQ3733" s="498">
        <f t="shared" si="1308"/>
        <v>0</v>
      </c>
      <c r="AU3733" s="498">
        <f t="shared" si="1295"/>
        <v>0</v>
      </c>
      <c r="AV3733" s="498">
        <f t="shared" si="1296"/>
        <v>0</v>
      </c>
      <c r="AW3733" s="498">
        <f t="shared" si="1297"/>
        <v>0</v>
      </c>
      <c r="AX3733" s="498">
        <f t="shared" si="1298"/>
        <v>0</v>
      </c>
      <c r="AY3733" s="498">
        <f t="shared" si="1299"/>
        <v>0</v>
      </c>
      <c r="BB3733" s="498" t="str">
        <f t="shared" si="1300"/>
        <v/>
      </c>
      <c r="BC3733" s="743" t="str">
        <f t="shared" si="1301"/>
        <v/>
      </c>
      <c r="BD3733" s="743" t="str">
        <f t="shared" si="1302"/>
        <v/>
      </c>
      <c r="BE3733" s="743" t="str">
        <f>IF(D3733="","",VLOOKUP(D3733,'General Basis'!$J$39:$K$46,2,0))</f>
        <v/>
      </c>
      <c r="BF3733" s="744" t="str">
        <f>IF(D3733="","",VLOOKUP(D3733,'General Basis'!$J$39:$L$46,3,0))</f>
        <v/>
      </c>
      <c r="BG3733" s="744" t="str">
        <f t="shared" si="1309"/>
        <v/>
      </c>
      <c r="BH3733" s="744" t="str">
        <f>IF(G3733="","",IF(BF3733="Abu Dhabi",IF(G3733&lt;18,'General Basis'!$C$39,IF(G3733&lt;41,'General Basis'!$C$40,IF(G3733&lt;60,'General Basis'!$C$41,IF(G3733&lt;65,'General Basis'!$C$42,'General Basis'!$C$43)))),IF(G3733&lt;11,'General Basis'!$B$39,IF(G3733&lt;18,'General Basis'!$B$40,IF(G3733&lt;26,'General Basis'!$B$41,IF(G3733&lt;31,'General Basis'!$B$42,IF(G3733&lt;36,'General Basis'!$B$43,IF(G3733&lt;41,'General Basis'!$B$44,IF(G3733&lt;46,'General Basis'!$B$45,IF(G3733&lt;51,'General Basis'!$B$46,IF(G3733&lt;56,'General Basis'!$B$47,IF(G3733&lt;60,'General Basis'!$B$48,IF(G3733&lt;65,'General Basis'!$B$49,'General Basis'!$B$50)))))))))))))</f>
        <v/>
      </c>
      <c r="BI3733" s="744" t="str">
        <f t="shared" si="1303"/>
        <v/>
      </c>
      <c r="BJ3733" s="747" t="str">
        <f t="shared" si="1310"/>
        <v/>
      </c>
      <c r="BK3733" s="498" t="str">
        <f t="shared" si="1304"/>
        <v/>
      </c>
      <c r="BL3733" s="498" t="str">
        <f t="shared" si="1305"/>
        <v/>
      </c>
    </row>
    <row r="3734" spans="1:64" x14ac:dyDescent="0.25">
      <c r="A3734" s="762">
        <f t="shared" si="1306"/>
        <v>3729</v>
      </c>
      <c r="B3734" s="229"/>
      <c r="C3734" s="223"/>
      <c r="D3734" s="224"/>
      <c r="E3734" s="225"/>
      <c r="F3734" s="1036" t="str">
        <f t="shared" si="1312"/>
        <v/>
      </c>
      <c r="G3734" s="1037" t="str">
        <f t="shared" si="1307"/>
        <v/>
      </c>
      <c r="H3734" s="225"/>
      <c r="I3734" s="1013"/>
      <c r="J3734" s="1013"/>
      <c r="K3734" s="1028"/>
      <c r="L3734" s="1035" t="str">
        <f t="shared" si="1311"/>
        <v/>
      </c>
      <c r="S3734" s="498"/>
      <c r="AJ3734" s="498"/>
      <c r="AM3734" s="498">
        <f t="shared" si="1292"/>
        <v>0</v>
      </c>
      <c r="AN3734" s="498">
        <f t="shared" si="1293"/>
        <v>0</v>
      </c>
      <c r="AO3734" s="498">
        <f t="shared" si="1294"/>
        <v>0</v>
      </c>
      <c r="AP3734" s="498">
        <f t="shared" si="1313"/>
        <v>0</v>
      </c>
      <c r="AQ3734" s="498">
        <f t="shared" si="1308"/>
        <v>0</v>
      </c>
      <c r="AU3734" s="498">
        <f t="shared" si="1295"/>
        <v>0</v>
      </c>
      <c r="AV3734" s="498">
        <f t="shared" si="1296"/>
        <v>0</v>
      </c>
      <c r="AW3734" s="498">
        <f t="shared" si="1297"/>
        <v>0</v>
      </c>
      <c r="AX3734" s="498">
        <f t="shared" si="1298"/>
        <v>0</v>
      </c>
      <c r="AY3734" s="498">
        <f t="shared" si="1299"/>
        <v>0</v>
      </c>
      <c r="BB3734" s="498" t="str">
        <f t="shared" si="1300"/>
        <v/>
      </c>
      <c r="BC3734" s="743" t="str">
        <f t="shared" si="1301"/>
        <v/>
      </c>
      <c r="BD3734" s="743" t="str">
        <f t="shared" si="1302"/>
        <v/>
      </c>
      <c r="BE3734" s="743" t="str">
        <f>IF(D3734="","",VLOOKUP(D3734,'General Basis'!$J$39:$K$46,2,0))</f>
        <v/>
      </c>
      <c r="BF3734" s="744" t="str">
        <f>IF(D3734="","",VLOOKUP(D3734,'General Basis'!$J$39:$L$46,3,0))</f>
        <v/>
      </c>
      <c r="BG3734" s="744" t="str">
        <f t="shared" si="1309"/>
        <v/>
      </c>
      <c r="BH3734" s="744" t="str">
        <f>IF(G3734="","",IF(BF3734="Abu Dhabi",IF(G3734&lt;18,'General Basis'!$C$39,IF(G3734&lt;41,'General Basis'!$C$40,IF(G3734&lt;60,'General Basis'!$C$41,IF(G3734&lt;65,'General Basis'!$C$42,'General Basis'!$C$43)))),IF(G3734&lt;11,'General Basis'!$B$39,IF(G3734&lt;18,'General Basis'!$B$40,IF(G3734&lt;26,'General Basis'!$B$41,IF(G3734&lt;31,'General Basis'!$B$42,IF(G3734&lt;36,'General Basis'!$B$43,IF(G3734&lt;41,'General Basis'!$B$44,IF(G3734&lt;46,'General Basis'!$B$45,IF(G3734&lt;51,'General Basis'!$B$46,IF(G3734&lt;56,'General Basis'!$B$47,IF(G3734&lt;60,'General Basis'!$B$48,IF(G3734&lt;65,'General Basis'!$B$49,'General Basis'!$B$50)))))))))))))</f>
        <v/>
      </c>
      <c r="BI3734" s="744" t="str">
        <f t="shared" si="1303"/>
        <v/>
      </c>
      <c r="BJ3734" s="747" t="str">
        <f t="shared" si="1310"/>
        <v/>
      </c>
      <c r="BK3734" s="498" t="str">
        <f t="shared" si="1304"/>
        <v/>
      </c>
      <c r="BL3734" s="498" t="str">
        <f t="shared" si="1305"/>
        <v/>
      </c>
    </row>
    <row r="3735" spans="1:64" x14ac:dyDescent="0.25">
      <c r="A3735" s="762">
        <f t="shared" si="1306"/>
        <v>3730</v>
      </c>
      <c r="B3735" s="229"/>
      <c r="C3735" s="223"/>
      <c r="D3735" s="224"/>
      <c r="E3735" s="225"/>
      <c r="F3735" s="1036" t="str">
        <f t="shared" si="1312"/>
        <v/>
      </c>
      <c r="G3735" s="1037" t="str">
        <f t="shared" si="1307"/>
        <v/>
      </c>
      <c r="H3735" s="225"/>
      <c r="I3735" s="1013"/>
      <c r="J3735" s="1013"/>
      <c r="K3735" s="1028"/>
      <c r="L3735" s="1035" t="str">
        <f t="shared" si="1311"/>
        <v/>
      </c>
      <c r="S3735" s="498"/>
      <c r="AJ3735" s="498"/>
      <c r="AM3735" s="498">
        <f t="shared" si="1292"/>
        <v>0</v>
      </c>
      <c r="AN3735" s="498">
        <f t="shared" si="1293"/>
        <v>0</v>
      </c>
      <c r="AO3735" s="498">
        <f t="shared" si="1294"/>
        <v>0</v>
      </c>
      <c r="AP3735" s="498">
        <f t="shared" si="1313"/>
        <v>0</v>
      </c>
      <c r="AQ3735" s="498">
        <f t="shared" si="1308"/>
        <v>0</v>
      </c>
      <c r="AU3735" s="498">
        <f t="shared" si="1295"/>
        <v>0</v>
      </c>
      <c r="AV3735" s="498">
        <f t="shared" si="1296"/>
        <v>0</v>
      </c>
      <c r="AW3735" s="498">
        <f t="shared" si="1297"/>
        <v>0</v>
      </c>
      <c r="AX3735" s="498">
        <f t="shared" si="1298"/>
        <v>0</v>
      </c>
      <c r="AY3735" s="498">
        <f t="shared" si="1299"/>
        <v>0</v>
      </c>
      <c r="BB3735" s="498" t="str">
        <f t="shared" si="1300"/>
        <v/>
      </c>
      <c r="BC3735" s="743" t="str">
        <f t="shared" si="1301"/>
        <v/>
      </c>
      <c r="BD3735" s="743" t="str">
        <f t="shared" si="1302"/>
        <v/>
      </c>
      <c r="BE3735" s="743" t="str">
        <f>IF(D3735="","",VLOOKUP(D3735,'General Basis'!$J$39:$K$46,2,0))</f>
        <v/>
      </c>
      <c r="BF3735" s="744" t="str">
        <f>IF(D3735="","",VLOOKUP(D3735,'General Basis'!$J$39:$L$46,3,0))</f>
        <v/>
      </c>
      <c r="BG3735" s="744" t="str">
        <f t="shared" si="1309"/>
        <v/>
      </c>
      <c r="BH3735" s="744" t="str">
        <f>IF(G3735="","",IF(BF3735="Abu Dhabi",IF(G3735&lt;18,'General Basis'!$C$39,IF(G3735&lt;41,'General Basis'!$C$40,IF(G3735&lt;60,'General Basis'!$C$41,IF(G3735&lt;65,'General Basis'!$C$42,'General Basis'!$C$43)))),IF(G3735&lt;11,'General Basis'!$B$39,IF(G3735&lt;18,'General Basis'!$B$40,IF(G3735&lt;26,'General Basis'!$B$41,IF(G3735&lt;31,'General Basis'!$B$42,IF(G3735&lt;36,'General Basis'!$B$43,IF(G3735&lt;41,'General Basis'!$B$44,IF(G3735&lt;46,'General Basis'!$B$45,IF(G3735&lt;51,'General Basis'!$B$46,IF(G3735&lt;56,'General Basis'!$B$47,IF(G3735&lt;60,'General Basis'!$B$48,IF(G3735&lt;65,'General Basis'!$B$49,'General Basis'!$B$50)))))))))))))</f>
        <v/>
      </c>
      <c r="BI3735" s="744" t="str">
        <f t="shared" si="1303"/>
        <v/>
      </c>
      <c r="BJ3735" s="747" t="str">
        <f t="shared" si="1310"/>
        <v/>
      </c>
      <c r="BK3735" s="498" t="str">
        <f t="shared" si="1304"/>
        <v/>
      </c>
      <c r="BL3735" s="498" t="str">
        <f t="shared" si="1305"/>
        <v/>
      </c>
    </row>
    <row r="3736" spans="1:64" x14ac:dyDescent="0.25">
      <c r="A3736" s="762">
        <f t="shared" si="1306"/>
        <v>3731</v>
      </c>
      <c r="B3736" s="229"/>
      <c r="C3736" s="223"/>
      <c r="D3736" s="224"/>
      <c r="E3736" s="225"/>
      <c r="F3736" s="1036" t="str">
        <f t="shared" si="1312"/>
        <v/>
      </c>
      <c r="G3736" s="1037" t="str">
        <f t="shared" si="1307"/>
        <v/>
      </c>
      <c r="H3736" s="225"/>
      <c r="I3736" s="1013"/>
      <c r="J3736" s="1013"/>
      <c r="K3736" s="1028"/>
      <c r="L3736" s="1035" t="str">
        <f t="shared" si="1311"/>
        <v/>
      </c>
      <c r="S3736" s="498"/>
      <c r="AJ3736" s="498"/>
      <c r="AM3736" s="498">
        <f t="shared" si="1292"/>
        <v>0</v>
      </c>
      <c r="AN3736" s="498">
        <f t="shared" si="1293"/>
        <v>0</v>
      </c>
      <c r="AO3736" s="498">
        <f t="shared" si="1294"/>
        <v>0</v>
      </c>
      <c r="AP3736" s="498">
        <f t="shared" si="1313"/>
        <v>0</v>
      </c>
      <c r="AQ3736" s="498">
        <f t="shared" si="1308"/>
        <v>0</v>
      </c>
      <c r="AU3736" s="498">
        <f t="shared" si="1295"/>
        <v>0</v>
      </c>
      <c r="AV3736" s="498">
        <f t="shared" si="1296"/>
        <v>0</v>
      </c>
      <c r="AW3736" s="498">
        <f t="shared" si="1297"/>
        <v>0</v>
      </c>
      <c r="AX3736" s="498">
        <f t="shared" si="1298"/>
        <v>0</v>
      </c>
      <c r="AY3736" s="498">
        <f t="shared" si="1299"/>
        <v>0</v>
      </c>
      <c r="BB3736" s="498" t="str">
        <f t="shared" si="1300"/>
        <v/>
      </c>
      <c r="BC3736" s="743" t="str">
        <f t="shared" si="1301"/>
        <v/>
      </c>
      <c r="BD3736" s="743" t="str">
        <f t="shared" si="1302"/>
        <v/>
      </c>
      <c r="BE3736" s="743" t="str">
        <f>IF(D3736="","",VLOOKUP(D3736,'General Basis'!$J$39:$K$46,2,0))</f>
        <v/>
      </c>
      <c r="BF3736" s="744" t="str">
        <f>IF(D3736="","",VLOOKUP(D3736,'General Basis'!$J$39:$L$46,3,0))</f>
        <v/>
      </c>
      <c r="BG3736" s="744" t="str">
        <f t="shared" si="1309"/>
        <v/>
      </c>
      <c r="BH3736" s="744" t="str">
        <f>IF(G3736="","",IF(BF3736="Abu Dhabi",IF(G3736&lt;18,'General Basis'!$C$39,IF(G3736&lt;41,'General Basis'!$C$40,IF(G3736&lt;60,'General Basis'!$C$41,IF(G3736&lt;65,'General Basis'!$C$42,'General Basis'!$C$43)))),IF(G3736&lt;11,'General Basis'!$B$39,IF(G3736&lt;18,'General Basis'!$B$40,IF(G3736&lt;26,'General Basis'!$B$41,IF(G3736&lt;31,'General Basis'!$B$42,IF(G3736&lt;36,'General Basis'!$B$43,IF(G3736&lt;41,'General Basis'!$B$44,IF(G3736&lt;46,'General Basis'!$B$45,IF(G3736&lt;51,'General Basis'!$B$46,IF(G3736&lt;56,'General Basis'!$B$47,IF(G3736&lt;60,'General Basis'!$B$48,IF(G3736&lt;65,'General Basis'!$B$49,'General Basis'!$B$50)))))))))))))</f>
        <v/>
      </c>
      <c r="BI3736" s="744" t="str">
        <f t="shared" si="1303"/>
        <v/>
      </c>
      <c r="BJ3736" s="747" t="str">
        <f t="shared" si="1310"/>
        <v/>
      </c>
      <c r="BK3736" s="498" t="str">
        <f t="shared" si="1304"/>
        <v/>
      </c>
      <c r="BL3736" s="498" t="str">
        <f t="shared" si="1305"/>
        <v/>
      </c>
    </row>
    <row r="3737" spans="1:64" x14ac:dyDescent="0.25">
      <c r="A3737" s="762">
        <f t="shared" si="1306"/>
        <v>3732</v>
      </c>
      <c r="B3737" s="229"/>
      <c r="C3737" s="223"/>
      <c r="D3737" s="224"/>
      <c r="E3737" s="225"/>
      <c r="F3737" s="1036" t="str">
        <f t="shared" si="1312"/>
        <v/>
      </c>
      <c r="G3737" s="1037" t="str">
        <f t="shared" si="1307"/>
        <v/>
      </c>
      <c r="H3737" s="225"/>
      <c r="I3737" s="1013"/>
      <c r="J3737" s="1013"/>
      <c r="K3737" s="1028"/>
      <c r="L3737" s="1035" t="str">
        <f t="shared" si="1311"/>
        <v/>
      </c>
      <c r="S3737" s="498"/>
      <c r="AJ3737" s="498"/>
      <c r="AM3737" s="498">
        <f t="shared" si="1292"/>
        <v>0</v>
      </c>
      <c r="AN3737" s="498">
        <f t="shared" si="1293"/>
        <v>0</v>
      </c>
      <c r="AO3737" s="498">
        <f t="shared" si="1294"/>
        <v>0</v>
      </c>
      <c r="AP3737" s="498">
        <f t="shared" si="1313"/>
        <v>0</v>
      </c>
      <c r="AQ3737" s="498">
        <f t="shared" si="1308"/>
        <v>0</v>
      </c>
      <c r="AU3737" s="498">
        <f t="shared" si="1295"/>
        <v>0</v>
      </c>
      <c r="AV3737" s="498">
        <f t="shared" si="1296"/>
        <v>0</v>
      </c>
      <c r="AW3737" s="498">
        <f t="shared" si="1297"/>
        <v>0</v>
      </c>
      <c r="AX3737" s="498">
        <f t="shared" si="1298"/>
        <v>0</v>
      </c>
      <c r="AY3737" s="498">
        <f t="shared" si="1299"/>
        <v>0</v>
      </c>
      <c r="BB3737" s="498" t="str">
        <f t="shared" si="1300"/>
        <v/>
      </c>
      <c r="BC3737" s="743" t="str">
        <f t="shared" si="1301"/>
        <v/>
      </c>
      <c r="BD3737" s="743" t="str">
        <f t="shared" si="1302"/>
        <v/>
      </c>
      <c r="BE3737" s="743" t="str">
        <f>IF(D3737="","",VLOOKUP(D3737,'General Basis'!$J$39:$K$46,2,0))</f>
        <v/>
      </c>
      <c r="BF3737" s="744" t="str">
        <f>IF(D3737="","",VLOOKUP(D3737,'General Basis'!$J$39:$L$46,3,0))</f>
        <v/>
      </c>
      <c r="BG3737" s="744" t="str">
        <f t="shared" si="1309"/>
        <v/>
      </c>
      <c r="BH3737" s="744" t="str">
        <f>IF(G3737="","",IF(BF3737="Abu Dhabi",IF(G3737&lt;18,'General Basis'!$C$39,IF(G3737&lt;41,'General Basis'!$C$40,IF(G3737&lt;60,'General Basis'!$C$41,IF(G3737&lt;65,'General Basis'!$C$42,'General Basis'!$C$43)))),IF(G3737&lt;11,'General Basis'!$B$39,IF(G3737&lt;18,'General Basis'!$B$40,IF(G3737&lt;26,'General Basis'!$B$41,IF(G3737&lt;31,'General Basis'!$B$42,IF(G3737&lt;36,'General Basis'!$B$43,IF(G3737&lt;41,'General Basis'!$B$44,IF(G3737&lt;46,'General Basis'!$B$45,IF(G3737&lt;51,'General Basis'!$B$46,IF(G3737&lt;56,'General Basis'!$B$47,IF(G3737&lt;60,'General Basis'!$B$48,IF(G3737&lt;65,'General Basis'!$B$49,'General Basis'!$B$50)))))))))))))</f>
        <v/>
      </c>
      <c r="BI3737" s="744" t="str">
        <f t="shared" si="1303"/>
        <v/>
      </c>
      <c r="BJ3737" s="747" t="str">
        <f t="shared" si="1310"/>
        <v/>
      </c>
      <c r="BK3737" s="498" t="str">
        <f t="shared" si="1304"/>
        <v/>
      </c>
      <c r="BL3737" s="498" t="str">
        <f t="shared" si="1305"/>
        <v/>
      </c>
    </row>
    <row r="3738" spans="1:64" x14ac:dyDescent="0.25">
      <c r="A3738" s="762">
        <f t="shared" si="1306"/>
        <v>3733</v>
      </c>
      <c r="B3738" s="229"/>
      <c r="C3738" s="223"/>
      <c r="D3738" s="224"/>
      <c r="E3738" s="225"/>
      <c r="F3738" s="1036" t="str">
        <f t="shared" si="1312"/>
        <v/>
      </c>
      <c r="G3738" s="1037" t="str">
        <f t="shared" si="1307"/>
        <v/>
      </c>
      <c r="H3738" s="225"/>
      <c r="I3738" s="1013"/>
      <c r="J3738" s="1013"/>
      <c r="K3738" s="1028"/>
      <c r="L3738" s="1035" t="str">
        <f t="shared" si="1311"/>
        <v/>
      </c>
      <c r="S3738" s="498"/>
      <c r="AJ3738" s="498"/>
      <c r="AM3738" s="498">
        <f t="shared" si="1292"/>
        <v>0</v>
      </c>
      <c r="AN3738" s="498">
        <f t="shared" si="1293"/>
        <v>0</v>
      </c>
      <c r="AO3738" s="498">
        <f t="shared" si="1294"/>
        <v>0</v>
      </c>
      <c r="AP3738" s="498">
        <f t="shared" si="1313"/>
        <v>0</v>
      </c>
      <c r="AQ3738" s="498">
        <f t="shared" si="1308"/>
        <v>0</v>
      </c>
      <c r="AU3738" s="498">
        <f t="shared" si="1295"/>
        <v>0</v>
      </c>
      <c r="AV3738" s="498">
        <f t="shared" si="1296"/>
        <v>0</v>
      </c>
      <c r="AW3738" s="498">
        <f t="shared" si="1297"/>
        <v>0</v>
      </c>
      <c r="AX3738" s="498">
        <f t="shared" si="1298"/>
        <v>0</v>
      </c>
      <c r="AY3738" s="498">
        <f t="shared" si="1299"/>
        <v>0</v>
      </c>
      <c r="BB3738" s="498" t="str">
        <f t="shared" si="1300"/>
        <v/>
      </c>
      <c r="BC3738" s="743" t="str">
        <f t="shared" si="1301"/>
        <v/>
      </c>
      <c r="BD3738" s="743" t="str">
        <f t="shared" si="1302"/>
        <v/>
      </c>
      <c r="BE3738" s="743" t="str">
        <f>IF(D3738="","",VLOOKUP(D3738,'General Basis'!$J$39:$K$46,2,0))</f>
        <v/>
      </c>
      <c r="BF3738" s="744" t="str">
        <f>IF(D3738="","",VLOOKUP(D3738,'General Basis'!$J$39:$L$46,3,0))</f>
        <v/>
      </c>
      <c r="BG3738" s="744" t="str">
        <f t="shared" si="1309"/>
        <v/>
      </c>
      <c r="BH3738" s="744" t="str">
        <f>IF(G3738="","",IF(BF3738="Abu Dhabi",IF(G3738&lt;18,'General Basis'!$C$39,IF(G3738&lt;41,'General Basis'!$C$40,IF(G3738&lt;60,'General Basis'!$C$41,IF(G3738&lt;65,'General Basis'!$C$42,'General Basis'!$C$43)))),IF(G3738&lt;11,'General Basis'!$B$39,IF(G3738&lt;18,'General Basis'!$B$40,IF(G3738&lt;26,'General Basis'!$B$41,IF(G3738&lt;31,'General Basis'!$B$42,IF(G3738&lt;36,'General Basis'!$B$43,IF(G3738&lt;41,'General Basis'!$B$44,IF(G3738&lt;46,'General Basis'!$B$45,IF(G3738&lt;51,'General Basis'!$B$46,IF(G3738&lt;56,'General Basis'!$B$47,IF(G3738&lt;60,'General Basis'!$B$48,IF(G3738&lt;65,'General Basis'!$B$49,'General Basis'!$B$50)))))))))))))</f>
        <v/>
      </c>
      <c r="BI3738" s="744" t="str">
        <f t="shared" si="1303"/>
        <v/>
      </c>
      <c r="BJ3738" s="747" t="str">
        <f t="shared" si="1310"/>
        <v/>
      </c>
      <c r="BK3738" s="498" t="str">
        <f t="shared" si="1304"/>
        <v/>
      </c>
      <c r="BL3738" s="498" t="str">
        <f t="shared" si="1305"/>
        <v/>
      </c>
    </row>
    <row r="3739" spans="1:64" x14ac:dyDescent="0.25">
      <c r="A3739" s="762">
        <f t="shared" si="1306"/>
        <v>3734</v>
      </c>
      <c r="B3739" s="229"/>
      <c r="C3739" s="223"/>
      <c r="D3739" s="224"/>
      <c r="E3739" s="225"/>
      <c r="F3739" s="1036" t="str">
        <f t="shared" si="1312"/>
        <v/>
      </c>
      <c r="G3739" s="1037" t="str">
        <f t="shared" si="1307"/>
        <v/>
      </c>
      <c r="H3739" s="225"/>
      <c r="I3739" s="1013"/>
      <c r="J3739" s="1013"/>
      <c r="K3739" s="1028"/>
      <c r="L3739" s="1035" t="str">
        <f t="shared" si="1311"/>
        <v/>
      </c>
      <c r="S3739" s="498"/>
      <c r="AJ3739" s="498"/>
      <c r="AM3739" s="498">
        <f t="shared" si="1292"/>
        <v>0</v>
      </c>
      <c r="AN3739" s="498">
        <f t="shared" si="1293"/>
        <v>0</v>
      </c>
      <c r="AO3739" s="498">
        <f t="shared" si="1294"/>
        <v>0</v>
      </c>
      <c r="AP3739" s="498">
        <f t="shared" si="1313"/>
        <v>0</v>
      </c>
      <c r="AQ3739" s="498">
        <f t="shared" si="1308"/>
        <v>0</v>
      </c>
      <c r="AU3739" s="498">
        <f t="shared" si="1295"/>
        <v>0</v>
      </c>
      <c r="AV3739" s="498">
        <f t="shared" si="1296"/>
        <v>0</v>
      </c>
      <c r="AW3739" s="498">
        <f t="shared" si="1297"/>
        <v>0</v>
      </c>
      <c r="AX3739" s="498">
        <f t="shared" si="1298"/>
        <v>0</v>
      </c>
      <c r="AY3739" s="498">
        <f t="shared" si="1299"/>
        <v>0</v>
      </c>
      <c r="BB3739" s="498" t="str">
        <f t="shared" si="1300"/>
        <v/>
      </c>
      <c r="BC3739" s="743" t="str">
        <f t="shared" si="1301"/>
        <v/>
      </c>
      <c r="BD3739" s="743" t="str">
        <f t="shared" si="1302"/>
        <v/>
      </c>
      <c r="BE3739" s="743" t="str">
        <f>IF(D3739="","",VLOOKUP(D3739,'General Basis'!$J$39:$K$46,2,0))</f>
        <v/>
      </c>
      <c r="BF3739" s="744" t="str">
        <f>IF(D3739="","",VLOOKUP(D3739,'General Basis'!$J$39:$L$46,3,0))</f>
        <v/>
      </c>
      <c r="BG3739" s="744" t="str">
        <f t="shared" si="1309"/>
        <v/>
      </c>
      <c r="BH3739" s="744" t="str">
        <f>IF(G3739="","",IF(BF3739="Abu Dhabi",IF(G3739&lt;18,'General Basis'!$C$39,IF(G3739&lt;41,'General Basis'!$C$40,IF(G3739&lt;60,'General Basis'!$C$41,IF(G3739&lt;65,'General Basis'!$C$42,'General Basis'!$C$43)))),IF(G3739&lt;11,'General Basis'!$B$39,IF(G3739&lt;18,'General Basis'!$B$40,IF(G3739&lt;26,'General Basis'!$B$41,IF(G3739&lt;31,'General Basis'!$B$42,IF(G3739&lt;36,'General Basis'!$B$43,IF(G3739&lt;41,'General Basis'!$B$44,IF(G3739&lt;46,'General Basis'!$B$45,IF(G3739&lt;51,'General Basis'!$B$46,IF(G3739&lt;56,'General Basis'!$B$47,IF(G3739&lt;60,'General Basis'!$B$48,IF(G3739&lt;65,'General Basis'!$B$49,'General Basis'!$B$50)))))))))))))</f>
        <v/>
      </c>
      <c r="BI3739" s="744" t="str">
        <f t="shared" si="1303"/>
        <v/>
      </c>
      <c r="BJ3739" s="747" t="str">
        <f t="shared" si="1310"/>
        <v/>
      </c>
      <c r="BK3739" s="498" t="str">
        <f t="shared" si="1304"/>
        <v/>
      </c>
      <c r="BL3739" s="498" t="str">
        <f t="shared" si="1305"/>
        <v/>
      </c>
    </row>
    <row r="3740" spans="1:64" x14ac:dyDescent="0.25">
      <c r="A3740" s="762">
        <f t="shared" si="1306"/>
        <v>3735</v>
      </c>
      <c r="B3740" s="229"/>
      <c r="C3740" s="223"/>
      <c r="D3740" s="224"/>
      <c r="E3740" s="225"/>
      <c r="F3740" s="1036" t="str">
        <f t="shared" si="1312"/>
        <v/>
      </c>
      <c r="G3740" s="1037" t="str">
        <f t="shared" si="1307"/>
        <v/>
      </c>
      <c r="H3740" s="225"/>
      <c r="I3740" s="1013"/>
      <c r="J3740" s="1013"/>
      <c r="K3740" s="1028"/>
      <c r="L3740" s="1035" t="str">
        <f t="shared" si="1311"/>
        <v/>
      </c>
      <c r="S3740" s="498"/>
      <c r="AJ3740" s="498"/>
      <c r="AM3740" s="498">
        <f t="shared" si="1292"/>
        <v>0</v>
      </c>
      <c r="AN3740" s="498">
        <f t="shared" si="1293"/>
        <v>0</v>
      </c>
      <c r="AO3740" s="498">
        <f t="shared" si="1294"/>
        <v>0</v>
      </c>
      <c r="AP3740" s="498">
        <f t="shared" si="1313"/>
        <v>0</v>
      </c>
      <c r="AQ3740" s="498">
        <f t="shared" si="1308"/>
        <v>0</v>
      </c>
      <c r="AU3740" s="498">
        <f t="shared" si="1295"/>
        <v>0</v>
      </c>
      <c r="AV3740" s="498">
        <f t="shared" si="1296"/>
        <v>0</v>
      </c>
      <c r="AW3740" s="498">
        <f t="shared" si="1297"/>
        <v>0</v>
      </c>
      <c r="AX3740" s="498">
        <f t="shared" si="1298"/>
        <v>0</v>
      </c>
      <c r="AY3740" s="498">
        <f t="shared" si="1299"/>
        <v>0</v>
      </c>
      <c r="BB3740" s="498" t="str">
        <f t="shared" si="1300"/>
        <v/>
      </c>
      <c r="BC3740" s="743" t="str">
        <f t="shared" si="1301"/>
        <v/>
      </c>
      <c r="BD3740" s="743" t="str">
        <f t="shared" si="1302"/>
        <v/>
      </c>
      <c r="BE3740" s="743" t="str">
        <f>IF(D3740="","",VLOOKUP(D3740,'General Basis'!$J$39:$K$46,2,0))</f>
        <v/>
      </c>
      <c r="BF3740" s="744" t="str">
        <f>IF(D3740="","",VLOOKUP(D3740,'General Basis'!$J$39:$L$46,3,0))</f>
        <v/>
      </c>
      <c r="BG3740" s="744" t="str">
        <f t="shared" si="1309"/>
        <v/>
      </c>
      <c r="BH3740" s="744" t="str">
        <f>IF(G3740="","",IF(BF3740="Abu Dhabi",IF(G3740&lt;18,'General Basis'!$C$39,IF(G3740&lt;41,'General Basis'!$C$40,IF(G3740&lt;60,'General Basis'!$C$41,IF(G3740&lt;65,'General Basis'!$C$42,'General Basis'!$C$43)))),IF(G3740&lt;11,'General Basis'!$B$39,IF(G3740&lt;18,'General Basis'!$B$40,IF(G3740&lt;26,'General Basis'!$B$41,IF(G3740&lt;31,'General Basis'!$B$42,IF(G3740&lt;36,'General Basis'!$B$43,IF(G3740&lt;41,'General Basis'!$B$44,IF(G3740&lt;46,'General Basis'!$B$45,IF(G3740&lt;51,'General Basis'!$B$46,IF(G3740&lt;56,'General Basis'!$B$47,IF(G3740&lt;60,'General Basis'!$B$48,IF(G3740&lt;65,'General Basis'!$B$49,'General Basis'!$B$50)))))))))))))</f>
        <v/>
      </c>
      <c r="BI3740" s="744" t="str">
        <f t="shared" si="1303"/>
        <v/>
      </c>
      <c r="BJ3740" s="747" t="str">
        <f t="shared" si="1310"/>
        <v/>
      </c>
      <c r="BK3740" s="498" t="str">
        <f t="shared" si="1304"/>
        <v/>
      </c>
      <c r="BL3740" s="498" t="str">
        <f t="shared" si="1305"/>
        <v/>
      </c>
    </row>
    <row r="3741" spans="1:64" x14ac:dyDescent="0.25">
      <c r="A3741" s="762">
        <f t="shared" si="1306"/>
        <v>3736</v>
      </c>
      <c r="B3741" s="229"/>
      <c r="C3741" s="223"/>
      <c r="D3741" s="224"/>
      <c r="E3741" s="225"/>
      <c r="F3741" s="1036" t="str">
        <f t="shared" si="1312"/>
        <v/>
      </c>
      <c r="G3741" s="1037" t="str">
        <f t="shared" si="1307"/>
        <v/>
      </c>
      <c r="H3741" s="225"/>
      <c r="I3741" s="1013"/>
      <c r="J3741" s="1013"/>
      <c r="K3741" s="1028"/>
      <c r="L3741" s="1035" t="str">
        <f t="shared" si="1311"/>
        <v/>
      </c>
      <c r="S3741" s="498"/>
      <c r="AJ3741" s="498"/>
      <c r="AM3741" s="498">
        <f t="shared" si="1292"/>
        <v>0</v>
      </c>
      <c r="AN3741" s="498">
        <f t="shared" si="1293"/>
        <v>0</v>
      </c>
      <c r="AO3741" s="498">
        <f t="shared" si="1294"/>
        <v>0</v>
      </c>
      <c r="AP3741" s="498">
        <f t="shared" si="1313"/>
        <v>0</v>
      </c>
      <c r="AQ3741" s="498">
        <f t="shared" si="1308"/>
        <v>0</v>
      </c>
      <c r="AU3741" s="498">
        <f t="shared" si="1295"/>
        <v>0</v>
      </c>
      <c r="AV3741" s="498">
        <f t="shared" si="1296"/>
        <v>0</v>
      </c>
      <c r="AW3741" s="498">
        <f t="shared" si="1297"/>
        <v>0</v>
      </c>
      <c r="AX3741" s="498">
        <f t="shared" si="1298"/>
        <v>0</v>
      </c>
      <c r="AY3741" s="498">
        <f t="shared" si="1299"/>
        <v>0</v>
      </c>
      <c r="BB3741" s="498" t="str">
        <f t="shared" si="1300"/>
        <v/>
      </c>
      <c r="BC3741" s="743" t="str">
        <f t="shared" si="1301"/>
        <v/>
      </c>
      <c r="BD3741" s="743" t="str">
        <f t="shared" si="1302"/>
        <v/>
      </c>
      <c r="BE3741" s="743" t="str">
        <f>IF(D3741="","",VLOOKUP(D3741,'General Basis'!$J$39:$K$46,2,0))</f>
        <v/>
      </c>
      <c r="BF3741" s="744" t="str">
        <f>IF(D3741="","",VLOOKUP(D3741,'General Basis'!$J$39:$L$46,3,0))</f>
        <v/>
      </c>
      <c r="BG3741" s="744" t="str">
        <f t="shared" si="1309"/>
        <v/>
      </c>
      <c r="BH3741" s="744" t="str">
        <f>IF(G3741="","",IF(BF3741="Abu Dhabi",IF(G3741&lt;18,'General Basis'!$C$39,IF(G3741&lt;41,'General Basis'!$C$40,IF(G3741&lt;60,'General Basis'!$C$41,IF(G3741&lt;65,'General Basis'!$C$42,'General Basis'!$C$43)))),IF(G3741&lt;11,'General Basis'!$B$39,IF(G3741&lt;18,'General Basis'!$B$40,IF(G3741&lt;26,'General Basis'!$B$41,IF(G3741&lt;31,'General Basis'!$B$42,IF(G3741&lt;36,'General Basis'!$B$43,IF(G3741&lt;41,'General Basis'!$B$44,IF(G3741&lt;46,'General Basis'!$B$45,IF(G3741&lt;51,'General Basis'!$B$46,IF(G3741&lt;56,'General Basis'!$B$47,IF(G3741&lt;60,'General Basis'!$B$48,IF(G3741&lt;65,'General Basis'!$B$49,'General Basis'!$B$50)))))))))))))</f>
        <v/>
      </c>
      <c r="BI3741" s="744" t="str">
        <f t="shared" si="1303"/>
        <v/>
      </c>
      <c r="BJ3741" s="747" t="str">
        <f t="shared" si="1310"/>
        <v/>
      </c>
      <c r="BK3741" s="498" t="str">
        <f t="shared" si="1304"/>
        <v/>
      </c>
      <c r="BL3741" s="498" t="str">
        <f t="shared" si="1305"/>
        <v/>
      </c>
    </row>
    <row r="3742" spans="1:64" x14ac:dyDescent="0.25">
      <c r="A3742" s="762">
        <f t="shared" si="1306"/>
        <v>3737</v>
      </c>
      <c r="B3742" s="229"/>
      <c r="C3742" s="223"/>
      <c r="D3742" s="224"/>
      <c r="E3742" s="225"/>
      <c r="F3742" s="1036" t="str">
        <f t="shared" si="1312"/>
        <v/>
      </c>
      <c r="G3742" s="1037" t="str">
        <f t="shared" si="1307"/>
        <v/>
      </c>
      <c r="H3742" s="225"/>
      <c r="I3742" s="1013"/>
      <c r="J3742" s="1013"/>
      <c r="K3742" s="1028"/>
      <c r="L3742" s="1035" t="str">
        <f t="shared" si="1311"/>
        <v/>
      </c>
      <c r="S3742" s="498"/>
      <c r="AJ3742" s="498"/>
      <c r="AM3742" s="498">
        <f t="shared" si="1292"/>
        <v>0</v>
      </c>
      <c r="AN3742" s="498">
        <f t="shared" si="1293"/>
        <v>0</v>
      </c>
      <c r="AO3742" s="498">
        <f t="shared" si="1294"/>
        <v>0</v>
      </c>
      <c r="AP3742" s="498">
        <f t="shared" si="1313"/>
        <v>0</v>
      </c>
      <c r="AQ3742" s="498">
        <f t="shared" si="1308"/>
        <v>0</v>
      </c>
      <c r="AU3742" s="498">
        <f t="shared" si="1295"/>
        <v>0</v>
      </c>
      <c r="AV3742" s="498">
        <f t="shared" si="1296"/>
        <v>0</v>
      </c>
      <c r="AW3742" s="498">
        <f t="shared" si="1297"/>
        <v>0</v>
      </c>
      <c r="AX3742" s="498">
        <f t="shared" si="1298"/>
        <v>0</v>
      </c>
      <c r="AY3742" s="498">
        <f t="shared" si="1299"/>
        <v>0</v>
      </c>
      <c r="BB3742" s="498" t="str">
        <f t="shared" si="1300"/>
        <v/>
      </c>
      <c r="BC3742" s="743" t="str">
        <f t="shared" si="1301"/>
        <v/>
      </c>
      <c r="BD3742" s="743" t="str">
        <f t="shared" si="1302"/>
        <v/>
      </c>
      <c r="BE3742" s="743" t="str">
        <f>IF(D3742="","",VLOOKUP(D3742,'General Basis'!$J$39:$K$46,2,0))</f>
        <v/>
      </c>
      <c r="BF3742" s="744" t="str">
        <f>IF(D3742="","",VLOOKUP(D3742,'General Basis'!$J$39:$L$46,3,0))</f>
        <v/>
      </c>
      <c r="BG3742" s="744" t="str">
        <f t="shared" si="1309"/>
        <v/>
      </c>
      <c r="BH3742" s="744" t="str">
        <f>IF(G3742="","",IF(BF3742="Abu Dhabi",IF(G3742&lt;18,'General Basis'!$C$39,IF(G3742&lt;41,'General Basis'!$C$40,IF(G3742&lt;60,'General Basis'!$C$41,IF(G3742&lt;65,'General Basis'!$C$42,'General Basis'!$C$43)))),IF(G3742&lt;11,'General Basis'!$B$39,IF(G3742&lt;18,'General Basis'!$B$40,IF(G3742&lt;26,'General Basis'!$B$41,IF(G3742&lt;31,'General Basis'!$B$42,IF(G3742&lt;36,'General Basis'!$B$43,IF(G3742&lt;41,'General Basis'!$B$44,IF(G3742&lt;46,'General Basis'!$B$45,IF(G3742&lt;51,'General Basis'!$B$46,IF(G3742&lt;56,'General Basis'!$B$47,IF(G3742&lt;60,'General Basis'!$B$48,IF(G3742&lt;65,'General Basis'!$B$49,'General Basis'!$B$50)))))))))))))</f>
        <v/>
      </c>
      <c r="BI3742" s="744" t="str">
        <f t="shared" si="1303"/>
        <v/>
      </c>
      <c r="BJ3742" s="747" t="str">
        <f t="shared" si="1310"/>
        <v/>
      </c>
      <c r="BK3742" s="498" t="str">
        <f t="shared" si="1304"/>
        <v/>
      </c>
      <c r="BL3742" s="498" t="str">
        <f t="shared" si="1305"/>
        <v/>
      </c>
    </row>
    <row r="3743" spans="1:64" x14ac:dyDescent="0.25">
      <c r="A3743" s="762">
        <f t="shared" si="1306"/>
        <v>3738</v>
      </c>
      <c r="B3743" s="229"/>
      <c r="C3743" s="223"/>
      <c r="D3743" s="224"/>
      <c r="E3743" s="225"/>
      <c r="F3743" s="1036" t="str">
        <f t="shared" si="1312"/>
        <v/>
      </c>
      <c r="G3743" s="1037" t="str">
        <f t="shared" si="1307"/>
        <v/>
      </c>
      <c r="H3743" s="225"/>
      <c r="I3743" s="1013"/>
      <c r="J3743" s="1013"/>
      <c r="K3743" s="1028"/>
      <c r="L3743" s="1035" t="str">
        <f t="shared" si="1311"/>
        <v/>
      </c>
      <c r="S3743" s="498"/>
      <c r="AJ3743" s="498"/>
      <c r="AM3743" s="498">
        <f t="shared" si="1292"/>
        <v>0</v>
      </c>
      <c r="AN3743" s="498">
        <f t="shared" si="1293"/>
        <v>0</v>
      </c>
      <c r="AO3743" s="498">
        <f t="shared" si="1294"/>
        <v>0</v>
      </c>
      <c r="AP3743" s="498">
        <f t="shared" si="1313"/>
        <v>0</v>
      </c>
      <c r="AQ3743" s="498">
        <f t="shared" si="1308"/>
        <v>0</v>
      </c>
      <c r="AU3743" s="498">
        <f t="shared" si="1295"/>
        <v>0</v>
      </c>
      <c r="AV3743" s="498">
        <f t="shared" si="1296"/>
        <v>0</v>
      </c>
      <c r="AW3743" s="498">
        <f t="shared" si="1297"/>
        <v>0</v>
      </c>
      <c r="AX3743" s="498">
        <f t="shared" si="1298"/>
        <v>0</v>
      </c>
      <c r="AY3743" s="498">
        <f t="shared" si="1299"/>
        <v>0</v>
      </c>
      <c r="BB3743" s="498" t="str">
        <f t="shared" si="1300"/>
        <v/>
      </c>
      <c r="BC3743" s="743" t="str">
        <f t="shared" si="1301"/>
        <v/>
      </c>
      <c r="BD3743" s="743" t="str">
        <f t="shared" si="1302"/>
        <v/>
      </c>
      <c r="BE3743" s="743" t="str">
        <f>IF(D3743="","",VLOOKUP(D3743,'General Basis'!$J$39:$K$46,2,0))</f>
        <v/>
      </c>
      <c r="BF3743" s="744" t="str">
        <f>IF(D3743="","",VLOOKUP(D3743,'General Basis'!$J$39:$L$46,3,0))</f>
        <v/>
      </c>
      <c r="BG3743" s="744" t="str">
        <f t="shared" si="1309"/>
        <v/>
      </c>
      <c r="BH3743" s="744" t="str">
        <f>IF(G3743="","",IF(BF3743="Abu Dhabi",IF(G3743&lt;18,'General Basis'!$C$39,IF(G3743&lt;41,'General Basis'!$C$40,IF(G3743&lt;60,'General Basis'!$C$41,IF(G3743&lt;65,'General Basis'!$C$42,'General Basis'!$C$43)))),IF(G3743&lt;11,'General Basis'!$B$39,IF(G3743&lt;18,'General Basis'!$B$40,IF(G3743&lt;26,'General Basis'!$B$41,IF(G3743&lt;31,'General Basis'!$B$42,IF(G3743&lt;36,'General Basis'!$B$43,IF(G3743&lt;41,'General Basis'!$B$44,IF(G3743&lt;46,'General Basis'!$B$45,IF(G3743&lt;51,'General Basis'!$B$46,IF(G3743&lt;56,'General Basis'!$B$47,IF(G3743&lt;60,'General Basis'!$B$48,IF(G3743&lt;65,'General Basis'!$B$49,'General Basis'!$B$50)))))))))))))</f>
        <v/>
      </c>
      <c r="BI3743" s="744" t="str">
        <f t="shared" si="1303"/>
        <v/>
      </c>
      <c r="BJ3743" s="747" t="str">
        <f t="shared" si="1310"/>
        <v/>
      </c>
      <c r="BK3743" s="498" t="str">
        <f t="shared" si="1304"/>
        <v/>
      </c>
      <c r="BL3743" s="498" t="str">
        <f t="shared" si="1305"/>
        <v/>
      </c>
    </row>
    <row r="3744" spans="1:64" x14ac:dyDescent="0.25">
      <c r="A3744" s="762">
        <f t="shared" si="1306"/>
        <v>3739</v>
      </c>
      <c r="B3744" s="229"/>
      <c r="C3744" s="223"/>
      <c r="D3744" s="224"/>
      <c r="E3744" s="225"/>
      <c r="F3744" s="1036" t="str">
        <f t="shared" si="1312"/>
        <v/>
      </c>
      <c r="G3744" s="1037" t="str">
        <f t="shared" si="1307"/>
        <v/>
      </c>
      <c r="H3744" s="225"/>
      <c r="I3744" s="1013"/>
      <c r="J3744" s="1013"/>
      <c r="K3744" s="1028"/>
      <c r="L3744" s="1035" t="str">
        <f t="shared" si="1311"/>
        <v/>
      </c>
      <c r="S3744" s="498"/>
      <c r="AJ3744" s="498"/>
      <c r="AM3744" s="498">
        <f t="shared" si="1292"/>
        <v>0</v>
      </c>
      <c r="AN3744" s="498">
        <f t="shared" si="1293"/>
        <v>0</v>
      </c>
      <c r="AO3744" s="498">
        <f t="shared" si="1294"/>
        <v>0</v>
      </c>
      <c r="AP3744" s="498">
        <f t="shared" si="1313"/>
        <v>0</v>
      </c>
      <c r="AQ3744" s="498">
        <f t="shared" si="1308"/>
        <v>0</v>
      </c>
      <c r="AU3744" s="498">
        <f t="shared" si="1295"/>
        <v>0</v>
      </c>
      <c r="AV3744" s="498">
        <f t="shared" si="1296"/>
        <v>0</v>
      </c>
      <c r="AW3744" s="498">
        <f t="shared" si="1297"/>
        <v>0</v>
      </c>
      <c r="AX3744" s="498">
        <f t="shared" si="1298"/>
        <v>0</v>
      </c>
      <c r="AY3744" s="498">
        <f t="shared" si="1299"/>
        <v>0</v>
      </c>
      <c r="BB3744" s="498" t="str">
        <f t="shared" si="1300"/>
        <v/>
      </c>
      <c r="BC3744" s="743" t="str">
        <f t="shared" si="1301"/>
        <v/>
      </c>
      <c r="BD3744" s="743" t="str">
        <f t="shared" si="1302"/>
        <v/>
      </c>
      <c r="BE3744" s="743" t="str">
        <f>IF(D3744="","",VLOOKUP(D3744,'General Basis'!$J$39:$K$46,2,0))</f>
        <v/>
      </c>
      <c r="BF3744" s="744" t="str">
        <f>IF(D3744="","",VLOOKUP(D3744,'General Basis'!$J$39:$L$46,3,0))</f>
        <v/>
      </c>
      <c r="BG3744" s="744" t="str">
        <f t="shared" si="1309"/>
        <v/>
      </c>
      <c r="BH3744" s="744" t="str">
        <f>IF(G3744="","",IF(BF3744="Abu Dhabi",IF(G3744&lt;18,'General Basis'!$C$39,IF(G3744&lt;41,'General Basis'!$C$40,IF(G3744&lt;60,'General Basis'!$C$41,IF(G3744&lt;65,'General Basis'!$C$42,'General Basis'!$C$43)))),IF(G3744&lt;11,'General Basis'!$B$39,IF(G3744&lt;18,'General Basis'!$B$40,IF(G3744&lt;26,'General Basis'!$B$41,IF(G3744&lt;31,'General Basis'!$B$42,IF(G3744&lt;36,'General Basis'!$B$43,IF(G3744&lt;41,'General Basis'!$B$44,IF(G3744&lt;46,'General Basis'!$B$45,IF(G3744&lt;51,'General Basis'!$B$46,IF(G3744&lt;56,'General Basis'!$B$47,IF(G3744&lt;60,'General Basis'!$B$48,IF(G3744&lt;65,'General Basis'!$B$49,'General Basis'!$B$50)))))))))))))</f>
        <v/>
      </c>
      <c r="BI3744" s="744" t="str">
        <f t="shared" si="1303"/>
        <v/>
      </c>
      <c r="BJ3744" s="747" t="str">
        <f t="shared" si="1310"/>
        <v/>
      </c>
      <c r="BK3744" s="498" t="str">
        <f t="shared" si="1304"/>
        <v/>
      </c>
      <c r="BL3744" s="498" t="str">
        <f t="shared" si="1305"/>
        <v/>
      </c>
    </row>
    <row r="3745" spans="1:64" x14ac:dyDescent="0.25">
      <c r="A3745" s="762">
        <f t="shared" si="1306"/>
        <v>3740</v>
      </c>
      <c r="B3745" s="229"/>
      <c r="C3745" s="223"/>
      <c r="D3745" s="224"/>
      <c r="E3745" s="225"/>
      <c r="F3745" s="1036" t="str">
        <f t="shared" si="1312"/>
        <v/>
      </c>
      <c r="G3745" s="1037" t="str">
        <f t="shared" si="1307"/>
        <v/>
      </c>
      <c r="H3745" s="225"/>
      <c r="I3745" s="1013"/>
      <c r="J3745" s="1013"/>
      <c r="K3745" s="1028"/>
      <c r="L3745" s="1035" t="str">
        <f t="shared" si="1311"/>
        <v/>
      </c>
      <c r="S3745" s="498"/>
      <c r="AJ3745" s="498"/>
      <c r="AM3745" s="498">
        <f t="shared" si="1292"/>
        <v>0</v>
      </c>
      <c r="AN3745" s="498">
        <f t="shared" si="1293"/>
        <v>0</v>
      </c>
      <c r="AO3745" s="498">
        <f t="shared" si="1294"/>
        <v>0</v>
      </c>
      <c r="AP3745" s="498">
        <f t="shared" si="1313"/>
        <v>0</v>
      </c>
      <c r="AQ3745" s="498">
        <f t="shared" si="1308"/>
        <v>0</v>
      </c>
      <c r="AU3745" s="498">
        <f t="shared" si="1295"/>
        <v>0</v>
      </c>
      <c r="AV3745" s="498">
        <f t="shared" si="1296"/>
        <v>0</v>
      </c>
      <c r="AW3745" s="498">
        <f t="shared" si="1297"/>
        <v>0</v>
      </c>
      <c r="AX3745" s="498">
        <f t="shared" si="1298"/>
        <v>0</v>
      </c>
      <c r="AY3745" s="498">
        <f t="shared" si="1299"/>
        <v>0</v>
      </c>
      <c r="BB3745" s="498" t="str">
        <f t="shared" si="1300"/>
        <v/>
      </c>
      <c r="BC3745" s="743" t="str">
        <f t="shared" si="1301"/>
        <v/>
      </c>
      <c r="BD3745" s="743" t="str">
        <f t="shared" si="1302"/>
        <v/>
      </c>
      <c r="BE3745" s="743" t="str">
        <f>IF(D3745="","",VLOOKUP(D3745,'General Basis'!$J$39:$K$46,2,0))</f>
        <v/>
      </c>
      <c r="BF3745" s="744" t="str">
        <f>IF(D3745="","",VLOOKUP(D3745,'General Basis'!$J$39:$L$46,3,0))</f>
        <v/>
      </c>
      <c r="BG3745" s="744" t="str">
        <f t="shared" si="1309"/>
        <v/>
      </c>
      <c r="BH3745" s="744" t="str">
        <f>IF(G3745="","",IF(BF3745="Abu Dhabi",IF(G3745&lt;18,'General Basis'!$C$39,IF(G3745&lt;41,'General Basis'!$C$40,IF(G3745&lt;60,'General Basis'!$C$41,IF(G3745&lt;65,'General Basis'!$C$42,'General Basis'!$C$43)))),IF(G3745&lt;11,'General Basis'!$B$39,IF(G3745&lt;18,'General Basis'!$B$40,IF(G3745&lt;26,'General Basis'!$B$41,IF(G3745&lt;31,'General Basis'!$B$42,IF(G3745&lt;36,'General Basis'!$B$43,IF(G3745&lt;41,'General Basis'!$B$44,IF(G3745&lt;46,'General Basis'!$B$45,IF(G3745&lt;51,'General Basis'!$B$46,IF(G3745&lt;56,'General Basis'!$B$47,IF(G3745&lt;60,'General Basis'!$B$48,IF(G3745&lt;65,'General Basis'!$B$49,'General Basis'!$B$50)))))))))))))</f>
        <v/>
      </c>
      <c r="BI3745" s="744" t="str">
        <f t="shared" si="1303"/>
        <v/>
      </c>
      <c r="BJ3745" s="747" t="str">
        <f t="shared" si="1310"/>
        <v/>
      </c>
      <c r="BK3745" s="498" t="str">
        <f t="shared" si="1304"/>
        <v/>
      </c>
      <c r="BL3745" s="498" t="str">
        <f t="shared" si="1305"/>
        <v/>
      </c>
    </row>
    <row r="3746" spans="1:64" x14ac:dyDescent="0.25">
      <c r="A3746" s="762">
        <f t="shared" si="1306"/>
        <v>3741</v>
      </c>
      <c r="B3746" s="229"/>
      <c r="C3746" s="223"/>
      <c r="D3746" s="224"/>
      <c r="E3746" s="225"/>
      <c r="F3746" s="1036" t="str">
        <f t="shared" si="1312"/>
        <v/>
      </c>
      <c r="G3746" s="1037" t="str">
        <f t="shared" si="1307"/>
        <v/>
      </c>
      <c r="H3746" s="225"/>
      <c r="I3746" s="1013"/>
      <c r="J3746" s="1013"/>
      <c r="K3746" s="1028"/>
      <c r="L3746" s="1035" t="str">
        <f t="shared" si="1311"/>
        <v/>
      </c>
      <c r="S3746" s="498"/>
      <c r="AJ3746" s="498"/>
      <c r="AM3746" s="498">
        <f t="shared" si="1292"/>
        <v>0</v>
      </c>
      <c r="AN3746" s="498">
        <f t="shared" si="1293"/>
        <v>0</v>
      </c>
      <c r="AO3746" s="498">
        <f t="shared" si="1294"/>
        <v>0</v>
      </c>
      <c r="AP3746" s="498">
        <f t="shared" si="1313"/>
        <v>0</v>
      </c>
      <c r="AQ3746" s="498">
        <f t="shared" si="1308"/>
        <v>0</v>
      </c>
      <c r="AU3746" s="498">
        <f t="shared" si="1295"/>
        <v>0</v>
      </c>
      <c r="AV3746" s="498">
        <f t="shared" si="1296"/>
        <v>0</v>
      </c>
      <c r="AW3746" s="498">
        <f t="shared" si="1297"/>
        <v>0</v>
      </c>
      <c r="AX3746" s="498">
        <f t="shared" si="1298"/>
        <v>0</v>
      </c>
      <c r="AY3746" s="498">
        <f t="shared" si="1299"/>
        <v>0</v>
      </c>
      <c r="BB3746" s="498" t="str">
        <f t="shared" si="1300"/>
        <v/>
      </c>
      <c r="BC3746" s="743" t="str">
        <f t="shared" si="1301"/>
        <v/>
      </c>
      <c r="BD3746" s="743" t="str">
        <f t="shared" si="1302"/>
        <v/>
      </c>
      <c r="BE3746" s="743" t="str">
        <f>IF(D3746="","",VLOOKUP(D3746,'General Basis'!$J$39:$K$46,2,0))</f>
        <v/>
      </c>
      <c r="BF3746" s="744" t="str">
        <f>IF(D3746="","",VLOOKUP(D3746,'General Basis'!$J$39:$L$46,3,0))</f>
        <v/>
      </c>
      <c r="BG3746" s="744" t="str">
        <f t="shared" si="1309"/>
        <v/>
      </c>
      <c r="BH3746" s="744" t="str">
        <f>IF(G3746="","",IF(BF3746="Abu Dhabi",IF(G3746&lt;18,'General Basis'!$C$39,IF(G3746&lt;41,'General Basis'!$C$40,IF(G3746&lt;60,'General Basis'!$C$41,IF(G3746&lt;65,'General Basis'!$C$42,'General Basis'!$C$43)))),IF(G3746&lt;11,'General Basis'!$B$39,IF(G3746&lt;18,'General Basis'!$B$40,IF(G3746&lt;26,'General Basis'!$B$41,IF(G3746&lt;31,'General Basis'!$B$42,IF(G3746&lt;36,'General Basis'!$B$43,IF(G3746&lt;41,'General Basis'!$B$44,IF(G3746&lt;46,'General Basis'!$B$45,IF(G3746&lt;51,'General Basis'!$B$46,IF(G3746&lt;56,'General Basis'!$B$47,IF(G3746&lt;60,'General Basis'!$B$48,IF(G3746&lt;65,'General Basis'!$B$49,'General Basis'!$B$50)))))))))))))</f>
        <v/>
      </c>
      <c r="BI3746" s="744" t="str">
        <f t="shared" si="1303"/>
        <v/>
      </c>
      <c r="BJ3746" s="747" t="str">
        <f t="shared" si="1310"/>
        <v/>
      </c>
      <c r="BK3746" s="498" t="str">
        <f t="shared" si="1304"/>
        <v/>
      </c>
      <c r="BL3746" s="498" t="str">
        <f t="shared" si="1305"/>
        <v/>
      </c>
    </row>
    <row r="3747" spans="1:64" x14ac:dyDescent="0.25">
      <c r="A3747" s="762">
        <f t="shared" si="1306"/>
        <v>3742</v>
      </c>
      <c r="B3747" s="229"/>
      <c r="C3747" s="223"/>
      <c r="D3747" s="224"/>
      <c r="E3747" s="225"/>
      <c r="F3747" s="1036" t="str">
        <f t="shared" si="1312"/>
        <v/>
      </c>
      <c r="G3747" s="1037" t="str">
        <f t="shared" si="1307"/>
        <v/>
      </c>
      <c r="H3747" s="225"/>
      <c r="I3747" s="1013"/>
      <c r="J3747" s="1013"/>
      <c r="K3747" s="1028"/>
      <c r="L3747" s="1035" t="str">
        <f t="shared" si="1311"/>
        <v/>
      </c>
      <c r="S3747" s="498"/>
      <c r="AJ3747" s="498"/>
      <c r="AM3747" s="498">
        <f t="shared" si="1292"/>
        <v>0</v>
      </c>
      <c r="AN3747" s="498">
        <f t="shared" si="1293"/>
        <v>0</v>
      </c>
      <c r="AO3747" s="498">
        <f t="shared" si="1294"/>
        <v>0</v>
      </c>
      <c r="AP3747" s="498">
        <f t="shared" si="1313"/>
        <v>0</v>
      </c>
      <c r="AQ3747" s="498">
        <f t="shared" si="1308"/>
        <v>0</v>
      </c>
      <c r="AU3747" s="498">
        <f t="shared" si="1295"/>
        <v>0</v>
      </c>
      <c r="AV3747" s="498">
        <f t="shared" si="1296"/>
        <v>0</v>
      </c>
      <c r="AW3747" s="498">
        <f t="shared" si="1297"/>
        <v>0</v>
      </c>
      <c r="AX3747" s="498">
        <f t="shared" si="1298"/>
        <v>0</v>
      </c>
      <c r="AY3747" s="498">
        <f t="shared" si="1299"/>
        <v>0</v>
      </c>
      <c r="BB3747" s="498" t="str">
        <f t="shared" si="1300"/>
        <v/>
      </c>
      <c r="BC3747" s="743" t="str">
        <f t="shared" si="1301"/>
        <v/>
      </c>
      <c r="BD3747" s="743" t="str">
        <f t="shared" si="1302"/>
        <v/>
      </c>
      <c r="BE3747" s="743" t="str">
        <f>IF(D3747="","",VLOOKUP(D3747,'General Basis'!$J$39:$K$46,2,0))</f>
        <v/>
      </c>
      <c r="BF3747" s="744" t="str">
        <f>IF(D3747="","",VLOOKUP(D3747,'General Basis'!$J$39:$L$46,3,0))</f>
        <v/>
      </c>
      <c r="BG3747" s="744" t="str">
        <f t="shared" si="1309"/>
        <v/>
      </c>
      <c r="BH3747" s="744" t="str">
        <f>IF(G3747="","",IF(BF3747="Abu Dhabi",IF(G3747&lt;18,'General Basis'!$C$39,IF(G3747&lt;41,'General Basis'!$C$40,IF(G3747&lt;60,'General Basis'!$C$41,IF(G3747&lt;65,'General Basis'!$C$42,'General Basis'!$C$43)))),IF(G3747&lt;11,'General Basis'!$B$39,IF(G3747&lt;18,'General Basis'!$B$40,IF(G3747&lt;26,'General Basis'!$B$41,IF(G3747&lt;31,'General Basis'!$B$42,IF(G3747&lt;36,'General Basis'!$B$43,IF(G3747&lt;41,'General Basis'!$B$44,IF(G3747&lt;46,'General Basis'!$B$45,IF(G3747&lt;51,'General Basis'!$B$46,IF(G3747&lt;56,'General Basis'!$B$47,IF(G3747&lt;60,'General Basis'!$B$48,IF(G3747&lt;65,'General Basis'!$B$49,'General Basis'!$B$50)))))))))))))</f>
        <v/>
      </c>
      <c r="BI3747" s="744" t="str">
        <f t="shared" si="1303"/>
        <v/>
      </c>
      <c r="BJ3747" s="747" t="str">
        <f t="shared" si="1310"/>
        <v/>
      </c>
      <c r="BK3747" s="498" t="str">
        <f t="shared" si="1304"/>
        <v/>
      </c>
      <c r="BL3747" s="498" t="str">
        <f t="shared" si="1305"/>
        <v/>
      </c>
    </row>
    <row r="3748" spans="1:64" x14ac:dyDescent="0.25">
      <c r="A3748" s="762">
        <f t="shared" si="1306"/>
        <v>3743</v>
      </c>
      <c r="B3748" s="229"/>
      <c r="C3748" s="223"/>
      <c r="D3748" s="224"/>
      <c r="E3748" s="225"/>
      <c r="F3748" s="1036" t="str">
        <f t="shared" si="1312"/>
        <v/>
      </c>
      <c r="G3748" s="1037" t="str">
        <f t="shared" si="1307"/>
        <v/>
      </c>
      <c r="H3748" s="225"/>
      <c r="I3748" s="1013"/>
      <c r="J3748" s="1013"/>
      <c r="K3748" s="1028"/>
      <c r="L3748" s="1035" t="str">
        <f t="shared" si="1311"/>
        <v/>
      </c>
      <c r="S3748" s="498"/>
      <c r="AJ3748" s="498"/>
      <c r="AM3748" s="498">
        <f t="shared" si="1292"/>
        <v>0</v>
      </c>
      <c r="AN3748" s="498">
        <f t="shared" si="1293"/>
        <v>0</v>
      </c>
      <c r="AO3748" s="498">
        <f t="shared" si="1294"/>
        <v>0</v>
      </c>
      <c r="AP3748" s="498">
        <f t="shared" si="1313"/>
        <v>0</v>
      </c>
      <c r="AQ3748" s="498">
        <f t="shared" si="1308"/>
        <v>0</v>
      </c>
      <c r="AU3748" s="498">
        <f t="shared" si="1295"/>
        <v>0</v>
      </c>
      <c r="AV3748" s="498">
        <f t="shared" si="1296"/>
        <v>0</v>
      </c>
      <c r="AW3748" s="498">
        <f t="shared" si="1297"/>
        <v>0</v>
      </c>
      <c r="AX3748" s="498">
        <f t="shared" si="1298"/>
        <v>0</v>
      </c>
      <c r="AY3748" s="498">
        <f t="shared" si="1299"/>
        <v>0</v>
      </c>
      <c r="BB3748" s="498" t="str">
        <f t="shared" si="1300"/>
        <v/>
      </c>
      <c r="BC3748" s="743" t="str">
        <f t="shared" si="1301"/>
        <v/>
      </c>
      <c r="BD3748" s="743" t="str">
        <f t="shared" si="1302"/>
        <v/>
      </c>
      <c r="BE3748" s="743" t="str">
        <f>IF(D3748="","",VLOOKUP(D3748,'General Basis'!$J$39:$K$46,2,0))</f>
        <v/>
      </c>
      <c r="BF3748" s="744" t="str">
        <f>IF(D3748="","",VLOOKUP(D3748,'General Basis'!$J$39:$L$46,3,0))</f>
        <v/>
      </c>
      <c r="BG3748" s="744" t="str">
        <f t="shared" si="1309"/>
        <v/>
      </c>
      <c r="BH3748" s="744" t="str">
        <f>IF(G3748="","",IF(BF3748="Abu Dhabi",IF(G3748&lt;18,'General Basis'!$C$39,IF(G3748&lt;41,'General Basis'!$C$40,IF(G3748&lt;60,'General Basis'!$C$41,IF(G3748&lt;65,'General Basis'!$C$42,'General Basis'!$C$43)))),IF(G3748&lt;11,'General Basis'!$B$39,IF(G3748&lt;18,'General Basis'!$B$40,IF(G3748&lt;26,'General Basis'!$B$41,IF(G3748&lt;31,'General Basis'!$B$42,IF(G3748&lt;36,'General Basis'!$B$43,IF(G3748&lt;41,'General Basis'!$B$44,IF(G3748&lt;46,'General Basis'!$B$45,IF(G3748&lt;51,'General Basis'!$B$46,IF(G3748&lt;56,'General Basis'!$B$47,IF(G3748&lt;60,'General Basis'!$B$48,IF(G3748&lt;65,'General Basis'!$B$49,'General Basis'!$B$50)))))))))))))</f>
        <v/>
      </c>
      <c r="BI3748" s="744" t="str">
        <f t="shared" si="1303"/>
        <v/>
      </c>
      <c r="BJ3748" s="747" t="str">
        <f t="shared" si="1310"/>
        <v/>
      </c>
      <c r="BK3748" s="498" t="str">
        <f t="shared" si="1304"/>
        <v/>
      </c>
      <c r="BL3748" s="498" t="str">
        <f t="shared" si="1305"/>
        <v/>
      </c>
    </row>
    <row r="3749" spans="1:64" x14ac:dyDescent="0.25">
      <c r="A3749" s="762">
        <f t="shared" si="1306"/>
        <v>3744</v>
      </c>
      <c r="B3749" s="229"/>
      <c r="C3749" s="223"/>
      <c r="D3749" s="224"/>
      <c r="E3749" s="225"/>
      <c r="F3749" s="1036" t="str">
        <f t="shared" si="1312"/>
        <v/>
      </c>
      <c r="G3749" s="1037" t="str">
        <f t="shared" si="1307"/>
        <v/>
      </c>
      <c r="H3749" s="225"/>
      <c r="I3749" s="1013"/>
      <c r="J3749" s="1013"/>
      <c r="K3749" s="1028"/>
      <c r="L3749" s="1035" t="str">
        <f t="shared" si="1311"/>
        <v/>
      </c>
      <c r="S3749" s="498"/>
      <c r="AJ3749" s="498"/>
      <c r="AM3749" s="498">
        <f t="shared" si="1292"/>
        <v>0</v>
      </c>
      <c r="AN3749" s="498">
        <f t="shared" si="1293"/>
        <v>0</v>
      </c>
      <c r="AO3749" s="498">
        <f t="shared" si="1294"/>
        <v>0</v>
      </c>
      <c r="AP3749" s="498">
        <f t="shared" si="1313"/>
        <v>0</v>
      </c>
      <c r="AQ3749" s="498">
        <f t="shared" si="1308"/>
        <v>0</v>
      </c>
      <c r="AU3749" s="498">
        <f t="shared" si="1295"/>
        <v>0</v>
      </c>
      <c r="AV3749" s="498">
        <f t="shared" si="1296"/>
        <v>0</v>
      </c>
      <c r="AW3749" s="498">
        <f t="shared" si="1297"/>
        <v>0</v>
      </c>
      <c r="AX3749" s="498">
        <f t="shared" si="1298"/>
        <v>0</v>
      </c>
      <c r="AY3749" s="498">
        <f t="shared" si="1299"/>
        <v>0</v>
      </c>
      <c r="BB3749" s="498" t="str">
        <f t="shared" si="1300"/>
        <v/>
      </c>
      <c r="BC3749" s="743" t="str">
        <f t="shared" si="1301"/>
        <v/>
      </c>
      <c r="BD3749" s="743" t="str">
        <f t="shared" si="1302"/>
        <v/>
      </c>
      <c r="BE3749" s="743" t="str">
        <f>IF(D3749="","",VLOOKUP(D3749,'General Basis'!$J$39:$K$46,2,0))</f>
        <v/>
      </c>
      <c r="BF3749" s="744" t="str">
        <f>IF(D3749="","",VLOOKUP(D3749,'General Basis'!$J$39:$L$46,3,0))</f>
        <v/>
      </c>
      <c r="BG3749" s="744" t="str">
        <f t="shared" si="1309"/>
        <v/>
      </c>
      <c r="BH3749" s="744" t="str">
        <f>IF(G3749="","",IF(BF3749="Abu Dhabi",IF(G3749&lt;18,'General Basis'!$C$39,IF(G3749&lt;41,'General Basis'!$C$40,IF(G3749&lt;60,'General Basis'!$C$41,IF(G3749&lt;65,'General Basis'!$C$42,'General Basis'!$C$43)))),IF(G3749&lt;11,'General Basis'!$B$39,IF(G3749&lt;18,'General Basis'!$B$40,IF(G3749&lt;26,'General Basis'!$B$41,IF(G3749&lt;31,'General Basis'!$B$42,IF(G3749&lt;36,'General Basis'!$B$43,IF(G3749&lt;41,'General Basis'!$B$44,IF(G3749&lt;46,'General Basis'!$B$45,IF(G3749&lt;51,'General Basis'!$B$46,IF(G3749&lt;56,'General Basis'!$B$47,IF(G3749&lt;60,'General Basis'!$B$48,IF(G3749&lt;65,'General Basis'!$B$49,'General Basis'!$B$50)))))))))))))</f>
        <v/>
      </c>
      <c r="BI3749" s="744" t="str">
        <f t="shared" si="1303"/>
        <v/>
      </c>
      <c r="BJ3749" s="747" t="str">
        <f t="shared" si="1310"/>
        <v/>
      </c>
      <c r="BK3749" s="498" t="str">
        <f t="shared" si="1304"/>
        <v/>
      </c>
      <c r="BL3749" s="498" t="str">
        <f t="shared" si="1305"/>
        <v/>
      </c>
    </row>
    <row r="3750" spans="1:64" x14ac:dyDescent="0.25">
      <c r="A3750" s="762">
        <f t="shared" si="1306"/>
        <v>3745</v>
      </c>
      <c r="B3750" s="229"/>
      <c r="C3750" s="223"/>
      <c r="D3750" s="224"/>
      <c r="E3750" s="225"/>
      <c r="F3750" s="1036" t="str">
        <f t="shared" si="1312"/>
        <v/>
      </c>
      <c r="G3750" s="1037" t="str">
        <f t="shared" si="1307"/>
        <v/>
      </c>
      <c r="H3750" s="225"/>
      <c r="I3750" s="1013"/>
      <c r="J3750" s="1013"/>
      <c r="K3750" s="1028"/>
      <c r="L3750" s="1035" t="str">
        <f t="shared" si="1311"/>
        <v/>
      </c>
      <c r="S3750" s="498"/>
      <c r="AJ3750" s="498"/>
      <c r="AM3750" s="498">
        <f t="shared" si="1292"/>
        <v>0</v>
      </c>
      <c r="AN3750" s="498">
        <f t="shared" si="1293"/>
        <v>0</v>
      </c>
      <c r="AO3750" s="498">
        <f t="shared" si="1294"/>
        <v>0</v>
      </c>
      <c r="AP3750" s="498">
        <f t="shared" si="1313"/>
        <v>0</v>
      </c>
      <c r="AQ3750" s="498">
        <f t="shared" si="1308"/>
        <v>0</v>
      </c>
      <c r="AU3750" s="498">
        <f t="shared" si="1295"/>
        <v>0</v>
      </c>
      <c r="AV3750" s="498">
        <f t="shared" si="1296"/>
        <v>0</v>
      </c>
      <c r="AW3750" s="498">
        <f t="shared" si="1297"/>
        <v>0</v>
      </c>
      <c r="AX3750" s="498">
        <f t="shared" si="1298"/>
        <v>0</v>
      </c>
      <c r="AY3750" s="498">
        <f t="shared" si="1299"/>
        <v>0</v>
      </c>
      <c r="BB3750" s="498" t="str">
        <f t="shared" si="1300"/>
        <v/>
      </c>
      <c r="BC3750" s="743" t="str">
        <f t="shared" si="1301"/>
        <v/>
      </c>
      <c r="BD3750" s="743" t="str">
        <f t="shared" si="1302"/>
        <v/>
      </c>
      <c r="BE3750" s="743" t="str">
        <f>IF(D3750="","",VLOOKUP(D3750,'General Basis'!$J$39:$K$46,2,0))</f>
        <v/>
      </c>
      <c r="BF3750" s="744" t="str">
        <f>IF(D3750="","",VLOOKUP(D3750,'General Basis'!$J$39:$L$46,3,0))</f>
        <v/>
      </c>
      <c r="BG3750" s="744" t="str">
        <f t="shared" si="1309"/>
        <v/>
      </c>
      <c r="BH3750" s="744" t="str">
        <f>IF(G3750="","",IF(BF3750="Abu Dhabi",IF(G3750&lt;18,'General Basis'!$C$39,IF(G3750&lt;41,'General Basis'!$C$40,IF(G3750&lt;60,'General Basis'!$C$41,IF(G3750&lt;65,'General Basis'!$C$42,'General Basis'!$C$43)))),IF(G3750&lt;11,'General Basis'!$B$39,IF(G3750&lt;18,'General Basis'!$B$40,IF(G3750&lt;26,'General Basis'!$B$41,IF(G3750&lt;31,'General Basis'!$B$42,IF(G3750&lt;36,'General Basis'!$B$43,IF(G3750&lt;41,'General Basis'!$B$44,IF(G3750&lt;46,'General Basis'!$B$45,IF(G3750&lt;51,'General Basis'!$B$46,IF(G3750&lt;56,'General Basis'!$B$47,IF(G3750&lt;60,'General Basis'!$B$48,IF(G3750&lt;65,'General Basis'!$B$49,'General Basis'!$B$50)))))))))))))</f>
        <v/>
      </c>
      <c r="BI3750" s="744" t="str">
        <f t="shared" si="1303"/>
        <v/>
      </c>
      <c r="BJ3750" s="747" t="str">
        <f t="shared" si="1310"/>
        <v/>
      </c>
      <c r="BK3750" s="498" t="str">
        <f t="shared" si="1304"/>
        <v/>
      </c>
      <c r="BL3750" s="498" t="str">
        <f t="shared" si="1305"/>
        <v/>
      </c>
    </row>
    <row r="3751" spans="1:64" x14ac:dyDescent="0.25">
      <c r="A3751" s="762">
        <f t="shared" si="1306"/>
        <v>3746</v>
      </c>
      <c r="B3751" s="229"/>
      <c r="C3751" s="223"/>
      <c r="D3751" s="224"/>
      <c r="E3751" s="225"/>
      <c r="F3751" s="1036" t="str">
        <f t="shared" si="1312"/>
        <v/>
      </c>
      <c r="G3751" s="1037" t="str">
        <f t="shared" si="1307"/>
        <v/>
      </c>
      <c r="H3751" s="225"/>
      <c r="I3751" s="1013"/>
      <c r="J3751" s="1013"/>
      <c r="K3751" s="1028"/>
      <c r="L3751" s="1035" t="str">
        <f t="shared" si="1311"/>
        <v/>
      </c>
      <c r="S3751" s="498"/>
      <c r="AJ3751" s="498"/>
      <c r="AM3751" s="498">
        <f t="shared" si="1292"/>
        <v>0</v>
      </c>
      <c r="AN3751" s="498">
        <f t="shared" si="1293"/>
        <v>0</v>
      </c>
      <c r="AO3751" s="498">
        <f t="shared" si="1294"/>
        <v>0</v>
      </c>
      <c r="AP3751" s="498">
        <f t="shared" si="1313"/>
        <v>0</v>
      </c>
      <c r="AQ3751" s="498">
        <f t="shared" si="1308"/>
        <v>0</v>
      </c>
      <c r="AU3751" s="498">
        <f t="shared" si="1295"/>
        <v>0</v>
      </c>
      <c r="AV3751" s="498">
        <f t="shared" si="1296"/>
        <v>0</v>
      </c>
      <c r="AW3751" s="498">
        <f t="shared" si="1297"/>
        <v>0</v>
      </c>
      <c r="AX3751" s="498">
        <f t="shared" si="1298"/>
        <v>0</v>
      </c>
      <c r="AY3751" s="498">
        <f t="shared" si="1299"/>
        <v>0</v>
      </c>
      <c r="BB3751" s="498" t="str">
        <f t="shared" si="1300"/>
        <v/>
      </c>
      <c r="BC3751" s="743" t="str">
        <f t="shared" si="1301"/>
        <v/>
      </c>
      <c r="BD3751" s="743" t="str">
        <f t="shared" si="1302"/>
        <v/>
      </c>
      <c r="BE3751" s="743" t="str">
        <f>IF(D3751="","",VLOOKUP(D3751,'General Basis'!$J$39:$K$46,2,0))</f>
        <v/>
      </c>
      <c r="BF3751" s="744" t="str">
        <f>IF(D3751="","",VLOOKUP(D3751,'General Basis'!$J$39:$L$46,3,0))</f>
        <v/>
      </c>
      <c r="BG3751" s="744" t="str">
        <f t="shared" si="1309"/>
        <v/>
      </c>
      <c r="BH3751" s="744" t="str">
        <f>IF(G3751="","",IF(BF3751="Abu Dhabi",IF(G3751&lt;18,'General Basis'!$C$39,IF(G3751&lt;41,'General Basis'!$C$40,IF(G3751&lt;60,'General Basis'!$C$41,IF(G3751&lt;65,'General Basis'!$C$42,'General Basis'!$C$43)))),IF(G3751&lt;11,'General Basis'!$B$39,IF(G3751&lt;18,'General Basis'!$B$40,IF(G3751&lt;26,'General Basis'!$B$41,IF(G3751&lt;31,'General Basis'!$B$42,IF(G3751&lt;36,'General Basis'!$B$43,IF(G3751&lt;41,'General Basis'!$B$44,IF(G3751&lt;46,'General Basis'!$B$45,IF(G3751&lt;51,'General Basis'!$B$46,IF(G3751&lt;56,'General Basis'!$B$47,IF(G3751&lt;60,'General Basis'!$B$48,IF(G3751&lt;65,'General Basis'!$B$49,'General Basis'!$B$50)))))))))))))</f>
        <v/>
      </c>
      <c r="BI3751" s="744" t="str">
        <f t="shared" si="1303"/>
        <v/>
      </c>
      <c r="BJ3751" s="747" t="str">
        <f t="shared" si="1310"/>
        <v/>
      </c>
      <c r="BK3751" s="498" t="str">
        <f t="shared" si="1304"/>
        <v/>
      </c>
      <c r="BL3751" s="498" t="str">
        <f t="shared" si="1305"/>
        <v/>
      </c>
    </row>
    <row r="3752" spans="1:64" x14ac:dyDescent="0.25">
      <c r="A3752" s="762">
        <f t="shared" si="1306"/>
        <v>3747</v>
      </c>
      <c r="B3752" s="229"/>
      <c r="C3752" s="223"/>
      <c r="D3752" s="224"/>
      <c r="E3752" s="225"/>
      <c r="F3752" s="1036" t="str">
        <f t="shared" si="1312"/>
        <v/>
      </c>
      <c r="G3752" s="1037" t="str">
        <f t="shared" si="1307"/>
        <v/>
      </c>
      <c r="H3752" s="225"/>
      <c r="I3752" s="1013"/>
      <c r="J3752" s="1013"/>
      <c r="K3752" s="1028"/>
      <c r="L3752" s="1035" t="str">
        <f t="shared" si="1311"/>
        <v/>
      </c>
      <c r="S3752" s="498"/>
      <c r="AJ3752" s="498"/>
      <c r="AM3752" s="498">
        <f t="shared" si="1292"/>
        <v>0</v>
      </c>
      <c r="AN3752" s="498">
        <f t="shared" si="1293"/>
        <v>0</v>
      </c>
      <c r="AO3752" s="498">
        <f t="shared" si="1294"/>
        <v>0</v>
      </c>
      <c r="AP3752" s="498">
        <f t="shared" si="1313"/>
        <v>0</v>
      </c>
      <c r="AQ3752" s="498">
        <f t="shared" si="1308"/>
        <v>0</v>
      </c>
      <c r="AU3752" s="498">
        <f t="shared" si="1295"/>
        <v>0</v>
      </c>
      <c r="AV3752" s="498">
        <f t="shared" si="1296"/>
        <v>0</v>
      </c>
      <c r="AW3752" s="498">
        <f t="shared" si="1297"/>
        <v>0</v>
      </c>
      <c r="AX3752" s="498">
        <f t="shared" si="1298"/>
        <v>0</v>
      </c>
      <c r="AY3752" s="498">
        <f t="shared" si="1299"/>
        <v>0</v>
      </c>
      <c r="BB3752" s="498" t="str">
        <f t="shared" si="1300"/>
        <v/>
      </c>
      <c r="BC3752" s="743" t="str">
        <f t="shared" si="1301"/>
        <v/>
      </c>
      <c r="BD3752" s="743" t="str">
        <f t="shared" si="1302"/>
        <v/>
      </c>
      <c r="BE3752" s="743" t="str">
        <f>IF(D3752="","",VLOOKUP(D3752,'General Basis'!$J$39:$K$46,2,0))</f>
        <v/>
      </c>
      <c r="BF3752" s="744" t="str">
        <f>IF(D3752="","",VLOOKUP(D3752,'General Basis'!$J$39:$L$46,3,0))</f>
        <v/>
      </c>
      <c r="BG3752" s="744" t="str">
        <f t="shared" si="1309"/>
        <v/>
      </c>
      <c r="BH3752" s="744" t="str">
        <f>IF(G3752="","",IF(BF3752="Abu Dhabi",IF(G3752&lt;18,'General Basis'!$C$39,IF(G3752&lt;41,'General Basis'!$C$40,IF(G3752&lt;60,'General Basis'!$C$41,IF(G3752&lt;65,'General Basis'!$C$42,'General Basis'!$C$43)))),IF(G3752&lt;11,'General Basis'!$B$39,IF(G3752&lt;18,'General Basis'!$B$40,IF(G3752&lt;26,'General Basis'!$B$41,IF(G3752&lt;31,'General Basis'!$B$42,IF(G3752&lt;36,'General Basis'!$B$43,IF(G3752&lt;41,'General Basis'!$B$44,IF(G3752&lt;46,'General Basis'!$B$45,IF(G3752&lt;51,'General Basis'!$B$46,IF(G3752&lt;56,'General Basis'!$B$47,IF(G3752&lt;60,'General Basis'!$B$48,IF(G3752&lt;65,'General Basis'!$B$49,'General Basis'!$B$50)))))))))))))</f>
        <v/>
      </c>
      <c r="BI3752" s="744" t="str">
        <f t="shared" si="1303"/>
        <v/>
      </c>
      <c r="BJ3752" s="747" t="str">
        <f t="shared" si="1310"/>
        <v/>
      </c>
      <c r="BK3752" s="498" t="str">
        <f t="shared" si="1304"/>
        <v/>
      </c>
      <c r="BL3752" s="498" t="str">
        <f t="shared" si="1305"/>
        <v/>
      </c>
    </row>
    <row r="3753" spans="1:64" x14ac:dyDescent="0.25">
      <c r="A3753" s="762">
        <f t="shared" si="1306"/>
        <v>3748</v>
      </c>
      <c r="B3753" s="229"/>
      <c r="C3753" s="223"/>
      <c r="D3753" s="224"/>
      <c r="E3753" s="225"/>
      <c r="F3753" s="1036" t="str">
        <f t="shared" si="1312"/>
        <v/>
      </c>
      <c r="G3753" s="1037" t="str">
        <f t="shared" si="1307"/>
        <v/>
      </c>
      <c r="H3753" s="225"/>
      <c r="I3753" s="1013"/>
      <c r="J3753" s="1013"/>
      <c r="K3753" s="1028"/>
      <c r="L3753" s="1035" t="str">
        <f t="shared" si="1311"/>
        <v/>
      </c>
      <c r="S3753" s="498"/>
      <c r="AJ3753" s="498"/>
      <c r="AM3753" s="498">
        <f t="shared" si="1292"/>
        <v>0</v>
      </c>
      <c r="AN3753" s="498">
        <f t="shared" si="1293"/>
        <v>0</v>
      </c>
      <c r="AO3753" s="498">
        <f t="shared" si="1294"/>
        <v>0</v>
      </c>
      <c r="AP3753" s="498">
        <f t="shared" si="1313"/>
        <v>0</v>
      </c>
      <c r="AQ3753" s="498">
        <f t="shared" si="1308"/>
        <v>0</v>
      </c>
      <c r="AU3753" s="498">
        <f t="shared" si="1295"/>
        <v>0</v>
      </c>
      <c r="AV3753" s="498">
        <f t="shared" si="1296"/>
        <v>0</v>
      </c>
      <c r="AW3753" s="498">
        <f t="shared" si="1297"/>
        <v>0</v>
      </c>
      <c r="AX3753" s="498">
        <f t="shared" si="1298"/>
        <v>0</v>
      </c>
      <c r="AY3753" s="498">
        <f t="shared" si="1299"/>
        <v>0</v>
      </c>
      <c r="BB3753" s="498" t="str">
        <f t="shared" si="1300"/>
        <v/>
      </c>
      <c r="BC3753" s="743" t="str">
        <f t="shared" si="1301"/>
        <v/>
      </c>
      <c r="BD3753" s="743" t="str">
        <f t="shared" si="1302"/>
        <v/>
      </c>
      <c r="BE3753" s="743" t="str">
        <f>IF(D3753="","",VLOOKUP(D3753,'General Basis'!$J$39:$K$46,2,0))</f>
        <v/>
      </c>
      <c r="BF3753" s="744" t="str">
        <f>IF(D3753="","",VLOOKUP(D3753,'General Basis'!$J$39:$L$46,3,0))</f>
        <v/>
      </c>
      <c r="BG3753" s="744" t="str">
        <f t="shared" si="1309"/>
        <v/>
      </c>
      <c r="BH3753" s="744" t="str">
        <f>IF(G3753="","",IF(BF3753="Abu Dhabi",IF(G3753&lt;18,'General Basis'!$C$39,IF(G3753&lt;41,'General Basis'!$C$40,IF(G3753&lt;60,'General Basis'!$C$41,IF(G3753&lt;65,'General Basis'!$C$42,'General Basis'!$C$43)))),IF(G3753&lt;11,'General Basis'!$B$39,IF(G3753&lt;18,'General Basis'!$B$40,IF(G3753&lt;26,'General Basis'!$B$41,IF(G3753&lt;31,'General Basis'!$B$42,IF(G3753&lt;36,'General Basis'!$B$43,IF(G3753&lt;41,'General Basis'!$B$44,IF(G3753&lt;46,'General Basis'!$B$45,IF(G3753&lt;51,'General Basis'!$B$46,IF(G3753&lt;56,'General Basis'!$B$47,IF(G3753&lt;60,'General Basis'!$B$48,IF(G3753&lt;65,'General Basis'!$B$49,'General Basis'!$B$50)))))))))))))</f>
        <v/>
      </c>
      <c r="BI3753" s="744" t="str">
        <f t="shared" si="1303"/>
        <v/>
      </c>
      <c r="BJ3753" s="747" t="str">
        <f t="shared" si="1310"/>
        <v/>
      </c>
      <c r="BK3753" s="498" t="str">
        <f t="shared" si="1304"/>
        <v/>
      </c>
      <c r="BL3753" s="498" t="str">
        <f t="shared" si="1305"/>
        <v/>
      </c>
    </row>
    <row r="3754" spans="1:64" x14ac:dyDescent="0.25">
      <c r="A3754" s="762">
        <f t="shared" si="1306"/>
        <v>3749</v>
      </c>
      <c r="B3754" s="229"/>
      <c r="C3754" s="223"/>
      <c r="D3754" s="224"/>
      <c r="E3754" s="225"/>
      <c r="F3754" s="1036" t="str">
        <f t="shared" si="1312"/>
        <v/>
      </c>
      <c r="G3754" s="1037" t="str">
        <f t="shared" si="1307"/>
        <v/>
      </c>
      <c r="H3754" s="225"/>
      <c r="I3754" s="1013"/>
      <c r="J3754" s="1013"/>
      <c r="K3754" s="1028"/>
      <c r="L3754" s="1035" t="str">
        <f t="shared" si="1311"/>
        <v/>
      </c>
      <c r="S3754" s="498"/>
      <c r="AJ3754" s="498"/>
      <c r="AM3754" s="498">
        <f t="shared" si="1292"/>
        <v>0</v>
      </c>
      <c r="AN3754" s="498">
        <f t="shared" si="1293"/>
        <v>0</v>
      </c>
      <c r="AO3754" s="498">
        <f t="shared" si="1294"/>
        <v>0</v>
      </c>
      <c r="AP3754" s="498">
        <f t="shared" si="1313"/>
        <v>0</v>
      </c>
      <c r="AQ3754" s="498">
        <f t="shared" si="1308"/>
        <v>0</v>
      </c>
      <c r="AU3754" s="498">
        <f t="shared" si="1295"/>
        <v>0</v>
      </c>
      <c r="AV3754" s="498">
        <f t="shared" si="1296"/>
        <v>0</v>
      </c>
      <c r="AW3754" s="498">
        <f t="shared" si="1297"/>
        <v>0</v>
      </c>
      <c r="AX3754" s="498">
        <f t="shared" si="1298"/>
        <v>0</v>
      </c>
      <c r="AY3754" s="498">
        <f t="shared" si="1299"/>
        <v>0</v>
      </c>
      <c r="BB3754" s="498" t="str">
        <f t="shared" si="1300"/>
        <v/>
      </c>
      <c r="BC3754" s="743" t="str">
        <f t="shared" si="1301"/>
        <v/>
      </c>
      <c r="BD3754" s="743" t="str">
        <f t="shared" si="1302"/>
        <v/>
      </c>
      <c r="BE3754" s="743" t="str">
        <f>IF(D3754="","",VLOOKUP(D3754,'General Basis'!$J$39:$K$46,2,0))</f>
        <v/>
      </c>
      <c r="BF3754" s="744" t="str">
        <f>IF(D3754="","",VLOOKUP(D3754,'General Basis'!$J$39:$L$46,3,0))</f>
        <v/>
      </c>
      <c r="BG3754" s="744" t="str">
        <f t="shared" si="1309"/>
        <v/>
      </c>
      <c r="BH3754" s="744" t="str">
        <f>IF(G3754="","",IF(BF3754="Abu Dhabi",IF(G3754&lt;18,'General Basis'!$C$39,IF(G3754&lt;41,'General Basis'!$C$40,IF(G3754&lt;60,'General Basis'!$C$41,IF(G3754&lt;65,'General Basis'!$C$42,'General Basis'!$C$43)))),IF(G3754&lt;11,'General Basis'!$B$39,IF(G3754&lt;18,'General Basis'!$B$40,IF(G3754&lt;26,'General Basis'!$B$41,IF(G3754&lt;31,'General Basis'!$B$42,IF(G3754&lt;36,'General Basis'!$B$43,IF(G3754&lt;41,'General Basis'!$B$44,IF(G3754&lt;46,'General Basis'!$B$45,IF(G3754&lt;51,'General Basis'!$B$46,IF(G3754&lt;56,'General Basis'!$B$47,IF(G3754&lt;60,'General Basis'!$B$48,IF(G3754&lt;65,'General Basis'!$B$49,'General Basis'!$B$50)))))))))))))</f>
        <v/>
      </c>
      <c r="BI3754" s="744" t="str">
        <f t="shared" si="1303"/>
        <v/>
      </c>
      <c r="BJ3754" s="747" t="str">
        <f t="shared" si="1310"/>
        <v/>
      </c>
      <c r="BK3754" s="498" t="str">
        <f t="shared" si="1304"/>
        <v/>
      </c>
      <c r="BL3754" s="498" t="str">
        <f t="shared" si="1305"/>
        <v/>
      </c>
    </row>
    <row r="3755" spans="1:64" x14ac:dyDescent="0.25">
      <c r="A3755" s="762">
        <f t="shared" si="1306"/>
        <v>3750</v>
      </c>
      <c r="B3755" s="229"/>
      <c r="C3755" s="223"/>
      <c r="D3755" s="224"/>
      <c r="E3755" s="225"/>
      <c r="F3755" s="1036" t="str">
        <f t="shared" si="1312"/>
        <v/>
      </c>
      <c r="G3755" s="1037" t="str">
        <f t="shared" si="1307"/>
        <v/>
      </c>
      <c r="H3755" s="225"/>
      <c r="I3755" s="1013"/>
      <c r="J3755" s="1013"/>
      <c r="K3755" s="1028"/>
      <c r="L3755" s="1035" t="str">
        <f t="shared" si="1311"/>
        <v/>
      </c>
      <c r="S3755" s="498"/>
      <c r="AJ3755" s="498"/>
      <c r="AM3755" s="498">
        <f t="shared" si="1292"/>
        <v>0</v>
      </c>
      <c r="AN3755" s="498">
        <f t="shared" si="1293"/>
        <v>0</v>
      </c>
      <c r="AO3755" s="498">
        <f t="shared" si="1294"/>
        <v>0</v>
      </c>
      <c r="AP3755" s="498">
        <f t="shared" si="1313"/>
        <v>0</v>
      </c>
      <c r="AQ3755" s="498">
        <f t="shared" si="1308"/>
        <v>0</v>
      </c>
      <c r="AU3755" s="498">
        <f t="shared" si="1295"/>
        <v>0</v>
      </c>
      <c r="AV3755" s="498">
        <f t="shared" si="1296"/>
        <v>0</v>
      </c>
      <c r="AW3755" s="498">
        <f t="shared" si="1297"/>
        <v>0</v>
      </c>
      <c r="AX3755" s="498">
        <f t="shared" si="1298"/>
        <v>0</v>
      </c>
      <c r="AY3755" s="498">
        <f t="shared" si="1299"/>
        <v>0</v>
      </c>
      <c r="BB3755" s="498" t="str">
        <f t="shared" si="1300"/>
        <v/>
      </c>
      <c r="BC3755" s="743" t="str">
        <f t="shared" si="1301"/>
        <v/>
      </c>
      <c r="BD3755" s="743" t="str">
        <f t="shared" si="1302"/>
        <v/>
      </c>
      <c r="BE3755" s="743" t="str">
        <f>IF(D3755="","",VLOOKUP(D3755,'General Basis'!$J$39:$K$46,2,0))</f>
        <v/>
      </c>
      <c r="BF3755" s="744" t="str">
        <f>IF(D3755="","",VLOOKUP(D3755,'General Basis'!$J$39:$L$46,3,0))</f>
        <v/>
      </c>
      <c r="BG3755" s="744" t="str">
        <f t="shared" si="1309"/>
        <v/>
      </c>
      <c r="BH3755" s="744" t="str">
        <f>IF(G3755="","",IF(BF3755="Abu Dhabi",IF(G3755&lt;18,'General Basis'!$C$39,IF(G3755&lt;41,'General Basis'!$C$40,IF(G3755&lt;60,'General Basis'!$C$41,IF(G3755&lt;65,'General Basis'!$C$42,'General Basis'!$C$43)))),IF(G3755&lt;11,'General Basis'!$B$39,IF(G3755&lt;18,'General Basis'!$B$40,IF(G3755&lt;26,'General Basis'!$B$41,IF(G3755&lt;31,'General Basis'!$B$42,IF(G3755&lt;36,'General Basis'!$B$43,IF(G3755&lt;41,'General Basis'!$B$44,IF(G3755&lt;46,'General Basis'!$B$45,IF(G3755&lt;51,'General Basis'!$B$46,IF(G3755&lt;56,'General Basis'!$B$47,IF(G3755&lt;60,'General Basis'!$B$48,IF(G3755&lt;65,'General Basis'!$B$49,'General Basis'!$B$50)))))))))))))</f>
        <v/>
      </c>
      <c r="BI3755" s="744" t="str">
        <f t="shared" si="1303"/>
        <v/>
      </c>
      <c r="BJ3755" s="747" t="str">
        <f t="shared" si="1310"/>
        <v/>
      </c>
      <c r="BK3755" s="498" t="str">
        <f t="shared" si="1304"/>
        <v/>
      </c>
      <c r="BL3755" s="498" t="str">
        <f t="shared" si="1305"/>
        <v/>
      </c>
    </row>
    <row r="3756" spans="1:64" x14ac:dyDescent="0.25">
      <c r="A3756" s="762">
        <f t="shared" si="1306"/>
        <v>3751</v>
      </c>
      <c r="B3756" s="229"/>
      <c r="C3756" s="223"/>
      <c r="D3756" s="224"/>
      <c r="E3756" s="225"/>
      <c r="F3756" s="1036" t="str">
        <f t="shared" si="1312"/>
        <v/>
      </c>
      <c r="G3756" s="1037" t="str">
        <f t="shared" si="1307"/>
        <v/>
      </c>
      <c r="H3756" s="225"/>
      <c r="I3756" s="1013"/>
      <c r="J3756" s="1013"/>
      <c r="K3756" s="1028"/>
      <c r="L3756" s="1035" t="str">
        <f t="shared" si="1311"/>
        <v/>
      </c>
      <c r="S3756" s="498"/>
      <c r="AJ3756" s="498"/>
      <c r="AM3756" s="498">
        <f t="shared" si="1292"/>
        <v>0</v>
      </c>
      <c r="AN3756" s="498">
        <f t="shared" si="1293"/>
        <v>0</v>
      </c>
      <c r="AO3756" s="498">
        <f t="shared" si="1294"/>
        <v>0</v>
      </c>
      <c r="AP3756" s="498">
        <f t="shared" si="1313"/>
        <v>0</v>
      </c>
      <c r="AQ3756" s="498">
        <f t="shared" si="1308"/>
        <v>0</v>
      </c>
      <c r="AU3756" s="498">
        <f t="shared" si="1295"/>
        <v>0</v>
      </c>
      <c r="AV3756" s="498">
        <f t="shared" si="1296"/>
        <v>0</v>
      </c>
      <c r="AW3756" s="498">
        <f t="shared" si="1297"/>
        <v>0</v>
      </c>
      <c r="AX3756" s="498">
        <f t="shared" si="1298"/>
        <v>0</v>
      </c>
      <c r="AY3756" s="498">
        <f t="shared" si="1299"/>
        <v>0</v>
      </c>
      <c r="BB3756" s="498" t="str">
        <f t="shared" si="1300"/>
        <v/>
      </c>
      <c r="BC3756" s="743" t="str">
        <f t="shared" si="1301"/>
        <v/>
      </c>
      <c r="BD3756" s="743" t="str">
        <f t="shared" si="1302"/>
        <v/>
      </c>
      <c r="BE3756" s="743" t="str">
        <f>IF(D3756="","",VLOOKUP(D3756,'General Basis'!$J$39:$K$46,2,0))</f>
        <v/>
      </c>
      <c r="BF3756" s="744" t="str">
        <f>IF(D3756="","",VLOOKUP(D3756,'General Basis'!$J$39:$L$46,3,0))</f>
        <v/>
      </c>
      <c r="BG3756" s="744" t="str">
        <f t="shared" si="1309"/>
        <v/>
      </c>
      <c r="BH3756" s="744" t="str">
        <f>IF(G3756="","",IF(BF3756="Abu Dhabi",IF(G3756&lt;18,'General Basis'!$C$39,IF(G3756&lt;41,'General Basis'!$C$40,IF(G3756&lt;60,'General Basis'!$C$41,IF(G3756&lt;65,'General Basis'!$C$42,'General Basis'!$C$43)))),IF(G3756&lt;11,'General Basis'!$B$39,IF(G3756&lt;18,'General Basis'!$B$40,IF(G3756&lt;26,'General Basis'!$B$41,IF(G3756&lt;31,'General Basis'!$B$42,IF(G3756&lt;36,'General Basis'!$B$43,IF(G3756&lt;41,'General Basis'!$B$44,IF(G3756&lt;46,'General Basis'!$B$45,IF(G3756&lt;51,'General Basis'!$B$46,IF(G3756&lt;56,'General Basis'!$B$47,IF(G3756&lt;60,'General Basis'!$B$48,IF(G3756&lt;65,'General Basis'!$B$49,'General Basis'!$B$50)))))))))))))</f>
        <v/>
      </c>
      <c r="BI3756" s="744" t="str">
        <f t="shared" si="1303"/>
        <v/>
      </c>
      <c r="BJ3756" s="747" t="str">
        <f t="shared" si="1310"/>
        <v/>
      </c>
      <c r="BK3756" s="498" t="str">
        <f t="shared" si="1304"/>
        <v/>
      </c>
      <c r="BL3756" s="498" t="str">
        <f t="shared" si="1305"/>
        <v/>
      </c>
    </row>
    <row r="3757" spans="1:64" x14ac:dyDescent="0.25">
      <c r="A3757" s="762">
        <f t="shared" si="1306"/>
        <v>3752</v>
      </c>
      <c r="B3757" s="229"/>
      <c r="C3757" s="223"/>
      <c r="D3757" s="224"/>
      <c r="E3757" s="225"/>
      <c r="F3757" s="1036" t="str">
        <f t="shared" si="1312"/>
        <v/>
      </c>
      <c r="G3757" s="1037" t="str">
        <f t="shared" si="1307"/>
        <v/>
      </c>
      <c r="H3757" s="225"/>
      <c r="I3757" s="1013"/>
      <c r="J3757" s="1013"/>
      <c r="K3757" s="1028"/>
      <c r="L3757" s="1035" t="str">
        <f t="shared" si="1311"/>
        <v/>
      </c>
      <c r="S3757" s="498"/>
      <c r="AJ3757" s="498"/>
      <c r="AM3757" s="498">
        <f t="shared" si="1292"/>
        <v>0</v>
      </c>
      <c r="AN3757" s="498">
        <f t="shared" si="1293"/>
        <v>0</v>
      </c>
      <c r="AO3757" s="498">
        <f t="shared" si="1294"/>
        <v>0</v>
      </c>
      <c r="AP3757" s="498">
        <f t="shared" si="1313"/>
        <v>0</v>
      </c>
      <c r="AQ3757" s="498">
        <f t="shared" si="1308"/>
        <v>0</v>
      </c>
      <c r="AU3757" s="498">
        <f t="shared" si="1295"/>
        <v>0</v>
      </c>
      <c r="AV3757" s="498">
        <f t="shared" si="1296"/>
        <v>0</v>
      </c>
      <c r="AW3757" s="498">
        <f t="shared" si="1297"/>
        <v>0</v>
      </c>
      <c r="AX3757" s="498">
        <f t="shared" si="1298"/>
        <v>0</v>
      </c>
      <c r="AY3757" s="498">
        <f t="shared" si="1299"/>
        <v>0</v>
      </c>
      <c r="BB3757" s="498" t="str">
        <f t="shared" si="1300"/>
        <v/>
      </c>
      <c r="BC3757" s="743" t="str">
        <f t="shared" si="1301"/>
        <v/>
      </c>
      <c r="BD3757" s="743" t="str">
        <f t="shared" si="1302"/>
        <v/>
      </c>
      <c r="BE3757" s="743" t="str">
        <f>IF(D3757="","",VLOOKUP(D3757,'General Basis'!$J$39:$K$46,2,0))</f>
        <v/>
      </c>
      <c r="BF3757" s="744" t="str">
        <f>IF(D3757="","",VLOOKUP(D3757,'General Basis'!$J$39:$L$46,3,0))</f>
        <v/>
      </c>
      <c r="BG3757" s="744" t="str">
        <f t="shared" si="1309"/>
        <v/>
      </c>
      <c r="BH3757" s="744" t="str">
        <f>IF(G3757="","",IF(BF3757="Abu Dhabi",IF(G3757&lt;18,'General Basis'!$C$39,IF(G3757&lt;41,'General Basis'!$C$40,IF(G3757&lt;60,'General Basis'!$C$41,IF(G3757&lt;65,'General Basis'!$C$42,'General Basis'!$C$43)))),IF(G3757&lt;11,'General Basis'!$B$39,IF(G3757&lt;18,'General Basis'!$B$40,IF(G3757&lt;26,'General Basis'!$B$41,IF(G3757&lt;31,'General Basis'!$B$42,IF(G3757&lt;36,'General Basis'!$B$43,IF(G3757&lt;41,'General Basis'!$B$44,IF(G3757&lt;46,'General Basis'!$B$45,IF(G3757&lt;51,'General Basis'!$B$46,IF(G3757&lt;56,'General Basis'!$B$47,IF(G3757&lt;60,'General Basis'!$B$48,IF(G3757&lt;65,'General Basis'!$B$49,'General Basis'!$B$50)))))))))))))</f>
        <v/>
      </c>
      <c r="BI3757" s="744" t="str">
        <f t="shared" si="1303"/>
        <v/>
      </c>
      <c r="BJ3757" s="747" t="str">
        <f t="shared" si="1310"/>
        <v/>
      </c>
      <c r="BK3757" s="498" t="str">
        <f t="shared" si="1304"/>
        <v/>
      </c>
      <c r="BL3757" s="498" t="str">
        <f t="shared" si="1305"/>
        <v/>
      </c>
    </row>
    <row r="3758" spans="1:64" x14ac:dyDescent="0.25">
      <c r="A3758" s="762">
        <f t="shared" si="1306"/>
        <v>3753</v>
      </c>
      <c r="B3758" s="229"/>
      <c r="C3758" s="223"/>
      <c r="D3758" s="224"/>
      <c r="E3758" s="225"/>
      <c r="F3758" s="1036" t="str">
        <f t="shared" si="1312"/>
        <v/>
      </c>
      <c r="G3758" s="1037" t="str">
        <f t="shared" si="1307"/>
        <v/>
      </c>
      <c r="H3758" s="225"/>
      <c r="I3758" s="1013"/>
      <c r="J3758" s="1013"/>
      <c r="K3758" s="1028"/>
      <c r="L3758" s="1035" t="str">
        <f t="shared" si="1311"/>
        <v/>
      </c>
      <c r="S3758" s="498"/>
      <c r="AJ3758" s="498"/>
      <c r="AM3758" s="498">
        <f t="shared" si="1292"/>
        <v>0</v>
      </c>
      <c r="AN3758" s="498">
        <f t="shared" si="1293"/>
        <v>0</v>
      </c>
      <c r="AO3758" s="498">
        <f t="shared" si="1294"/>
        <v>0</v>
      </c>
      <c r="AP3758" s="498">
        <f t="shared" si="1313"/>
        <v>0</v>
      </c>
      <c r="AQ3758" s="498">
        <f t="shared" si="1308"/>
        <v>0</v>
      </c>
      <c r="AU3758" s="498">
        <f t="shared" si="1295"/>
        <v>0</v>
      </c>
      <c r="AV3758" s="498">
        <f t="shared" si="1296"/>
        <v>0</v>
      </c>
      <c r="AW3758" s="498">
        <f t="shared" si="1297"/>
        <v>0</v>
      </c>
      <c r="AX3758" s="498">
        <f t="shared" si="1298"/>
        <v>0</v>
      </c>
      <c r="AY3758" s="498">
        <f t="shared" si="1299"/>
        <v>0</v>
      </c>
      <c r="BB3758" s="498" t="str">
        <f t="shared" si="1300"/>
        <v/>
      </c>
      <c r="BC3758" s="743" t="str">
        <f t="shared" si="1301"/>
        <v/>
      </c>
      <c r="BD3758" s="743" t="str">
        <f t="shared" si="1302"/>
        <v/>
      </c>
      <c r="BE3758" s="743" t="str">
        <f>IF(D3758="","",VLOOKUP(D3758,'General Basis'!$J$39:$K$46,2,0))</f>
        <v/>
      </c>
      <c r="BF3758" s="744" t="str">
        <f>IF(D3758="","",VLOOKUP(D3758,'General Basis'!$J$39:$L$46,3,0))</f>
        <v/>
      </c>
      <c r="BG3758" s="744" t="str">
        <f t="shared" si="1309"/>
        <v/>
      </c>
      <c r="BH3758" s="744" t="str">
        <f>IF(G3758="","",IF(BF3758="Abu Dhabi",IF(G3758&lt;18,'General Basis'!$C$39,IF(G3758&lt;41,'General Basis'!$C$40,IF(G3758&lt;60,'General Basis'!$C$41,IF(G3758&lt;65,'General Basis'!$C$42,'General Basis'!$C$43)))),IF(G3758&lt;11,'General Basis'!$B$39,IF(G3758&lt;18,'General Basis'!$B$40,IF(G3758&lt;26,'General Basis'!$B$41,IF(G3758&lt;31,'General Basis'!$B$42,IF(G3758&lt;36,'General Basis'!$B$43,IF(G3758&lt;41,'General Basis'!$B$44,IF(G3758&lt;46,'General Basis'!$B$45,IF(G3758&lt;51,'General Basis'!$B$46,IF(G3758&lt;56,'General Basis'!$B$47,IF(G3758&lt;60,'General Basis'!$B$48,IF(G3758&lt;65,'General Basis'!$B$49,'General Basis'!$B$50)))))))))))))</f>
        <v/>
      </c>
      <c r="BI3758" s="744" t="str">
        <f t="shared" si="1303"/>
        <v/>
      </c>
      <c r="BJ3758" s="747" t="str">
        <f t="shared" si="1310"/>
        <v/>
      </c>
      <c r="BK3758" s="498" t="str">
        <f t="shared" si="1304"/>
        <v/>
      </c>
      <c r="BL3758" s="498" t="str">
        <f t="shared" si="1305"/>
        <v/>
      </c>
    </row>
    <row r="3759" spans="1:64" x14ac:dyDescent="0.25">
      <c r="A3759" s="762">
        <f t="shared" si="1306"/>
        <v>3754</v>
      </c>
      <c r="B3759" s="229"/>
      <c r="C3759" s="223"/>
      <c r="D3759" s="224"/>
      <c r="E3759" s="225"/>
      <c r="F3759" s="1036" t="str">
        <f t="shared" si="1312"/>
        <v/>
      </c>
      <c r="G3759" s="1037" t="str">
        <f t="shared" si="1307"/>
        <v/>
      </c>
      <c r="H3759" s="225"/>
      <c r="I3759" s="1013"/>
      <c r="J3759" s="1013"/>
      <c r="K3759" s="1028"/>
      <c r="L3759" s="1035" t="str">
        <f t="shared" si="1311"/>
        <v/>
      </c>
      <c r="S3759" s="498"/>
      <c r="AJ3759" s="498"/>
      <c r="AM3759" s="498">
        <f t="shared" si="1292"/>
        <v>0</v>
      </c>
      <c r="AN3759" s="498">
        <f t="shared" si="1293"/>
        <v>0</v>
      </c>
      <c r="AO3759" s="498">
        <f t="shared" si="1294"/>
        <v>0</v>
      </c>
      <c r="AP3759" s="498">
        <f t="shared" si="1313"/>
        <v>0</v>
      </c>
      <c r="AQ3759" s="498">
        <f t="shared" si="1308"/>
        <v>0</v>
      </c>
      <c r="AU3759" s="498">
        <f t="shared" si="1295"/>
        <v>0</v>
      </c>
      <c r="AV3759" s="498">
        <f t="shared" si="1296"/>
        <v>0</v>
      </c>
      <c r="AW3759" s="498">
        <f t="shared" si="1297"/>
        <v>0</v>
      </c>
      <c r="AX3759" s="498">
        <f t="shared" si="1298"/>
        <v>0</v>
      </c>
      <c r="AY3759" s="498">
        <f t="shared" si="1299"/>
        <v>0</v>
      </c>
      <c r="BB3759" s="498" t="str">
        <f t="shared" si="1300"/>
        <v/>
      </c>
      <c r="BC3759" s="743" t="str">
        <f t="shared" si="1301"/>
        <v/>
      </c>
      <c r="BD3759" s="743" t="str">
        <f t="shared" si="1302"/>
        <v/>
      </c>
      <c r="BE3759" s="743" t="str">
        <f>IF(D3759="","",VLOOKUP(D3759,'General Basis'!$J$39:$K$46,2,0))</f>
        <v/>
      </c>
      <c r="BF3759" s="744" t="str">
        <f>IF(D3759="","",VLOOKUP(D3759,'General Basis'!$J$39:$L$46,3,0))</f>
        <v/>
      </c>
      <c r="BG3759" s="744" t="str">
        <f t="shared" si="1309"/>
        <v/>
      </c>
      <c r="BH3759" s="744" t="str">
        <f>IF(G3759="","",IF(BF3759="Abu Dhabi",IF(G3759&lt;18,'General Basis'!$C$39,IF(G3759&lt;41,'General Basis'!$C$40,IF(G3759&lt;60,'General Basis'!$C$41,IF(G3759&lt;65,'General Basis'!$C$42,'General Basis'!$C$43)))),IF(G3759&lt;11,'General Basis'!$B$39,IF(G3759&lt;18,'General Basis'!$B$40,IF(G3759&lt;26,'General Basis'!$B$41,IF(G3759&lt;31,'General Basis'!$B$42,IF(G3759&lt;36,'General Basis'!$B$43,IF(G3759&lt;41,'General Basis'!$B$44,IF(G3759&lt;46,'General Basis'!$B$45,IF(G3759&lt;51,'General Basis'!$B$46,IF(G3759&lt;56,'General Basis'!$B$47,IF(G3759&lt;60,'General Basis'!$B$48,IF(G3759&lt;65,'General Basis'!$B$49,'General Basis'!$B$50)))))))))))))</f>
        <v/>
      </c>
      <c r="BI3759" s="744" t="str">
        <f t="shared" si="1303"/>
        <v/>
      </c>
      <c r="BJ3759" s="747" t="str">
        <f t="shared" si="1310"/>
        <v/>
      </c>
      <c r="BK3759" s="498" t="str">
        <f t="shared" si="1304"/>
        <v/>
      </c>
      <c r="BL3759" s="498" t="str">
        <f t="shared" si="1305"/>
        <v/>
      </c>
    </row>
    <row r="3760" spans="1:64" x14ac:dyDescent="0.25">
      <c r="A3760" s="762">
        <f t="shared" si="1306"/>
        <v>3755</v>
      </c>
      <c r="B3760" s="229"/>
      <c r="C3760" s="223"/>
      <c r="D3760" s="224"/>
      <c r="E3760" s="225"/>
      <c r="F3760" s="1036" t="str">
        <f t="shared" si="1312"/>
        <v/>
      </c>
      <c r="G3760" s="1037" t="str">
        <f t="shared" si="1307"/>
        <v/>
      </c>
      <c r="H3760" s="225"/>
      <c r="I3760" s="1013"/>
      <c r="J3760" s="1013"/>
      <c r="K3760" s="1028"/>
      <c r="L3760" s="1035" t="str">
        <f t="shared" si="1311"/>
        <v/>
      </c>
      <c r="S3760" s="498"/>
      <c r="AJ3760" s="498"/>
      <c r="AM3760" s="498">
        <f t="shared" si="1292"/>
        <v>0</v>
      </c>
      <c r="AN3760" s="498">
        <f t="shared" si="1293"/>
        <v>0</v>
      </c>
      <c r="AO3760" s="498">
        <f t="shared" si="1294"/>
        <v>0</v>
      </c>
      <c r="AP3760" s="498">
        <f t="shared" si="1313"/>
        <v>0</v>
      </c>
      <c r="AQ3760" s="498">
        <f t="shared" si="1308"/>
        <v>0</v>
      </c>
      <c r="AU3760" s="498">
        <f t="shared" si="1295"/>
        <v>0</v>
      </c>
      <c r="AV3760" s="498">
        <f t="shared" si="1296"/>
        <v>0</v>
      </c>
      <c r="AW3760" s="498">
        <f t="shared" si="1297"/>
        <v>0</v>
      </c>
      <c r="AX3760" s="498">
        <f t="shared" si="1298"/>
        <v>0</v>
      </c>
      <c r="AY3760" s="498">
        <f t="shared" si="1299"/>
        <v>0</v>
      </c>
      <c r="BB3760" s="498" t="str">
        <f t="shared" si="1300"/>
        <v/>
      </c>
      <c r="BC3760" s="743" t="str">
        <f t="shared" si="1301"/>
        <v/>
      </c>
      <c r="BD3760" s="743" t="str">
        <f t="shared" si="1302"/>
        <v/>
      </c>
      <c r="BE3760" s="743" t="str">
        <f>IF(D3760="","",VLOOKUP(D3760,'General Basis'!$J$39:$K$46,2,0))</f>
        <v/>
      </c>
      <c r="BF3760" s="744" t="str">
        <f>IF(D3760="","",VLOOKUP(D3760,'General Basis'!$J$39:$L$46,3,0))</f>
        <v/>
      </c>
      <c r="BG3760" s="744" t="str">
        <f t="shared" si="1309"/>
        <v/>
      </c>
      <c r="BH3760" s="744" t="str">
        <f>IF(G3760="","",IF(BF3760="Abu Dhabi",IF(G3760&lt;18,'General Basis'!$C$39,IF(G3760&lt;41,'General Basis'!$C$40,IF(G3760&lt;60,'General Basis'!$C$41,IF(G3760&lt;65,'General Basis'!$C$42,'General Basis'!$C$43)))),IF(G3760&lt;11,'General Basis'!$B$39,IF(G3760&lt;18,'General Basis'!$B$40,IF(G3760&lt;26,'General Basis'!$B$41,IF(G3760&lt;31,'General Basis'!$B$42,IF(G3760&lt;36,'General Basis'!$B$43,IF(G3760&lt;41,'General Basis'!$B$44,IF(G3760&lt;46,'General Basis'!$B$45,IF(G3760&lt;51,'General Basis'!$B$46,IF(G3760&lt;56,'General Basis'!$B$47,IF(G3760&lt;60,'General Basis'!$B$48,IF(G3760&lt;65,'General Basis'!$B$49,'General Basis'!$B$50)))))))))))))</f>
        <v/>
      </c>
      <c r="BI3760" s="744" t="str">
        <f t="shared" si="1303"/>
        <v/>
      </c>
      <c r="BJ3760" s="747" t="str">
        <f t="shared" si="1310"/>
        <v/>
      </c>
      <c r="BK3760" s="498" t="str">
        <f t="shared" si="1304"/>
        <v/>
      </c>
      <c r="BL3760" s="498" t="str">
        <f t="shared" si="1305"/>
        <v/>
      </c>
    </row>
    <row r="3761" spans="1:64" x14ac:dyDescent="0.25">
      <c r="A3761" s="762">
        <f t="shared" si="1306"/>
        <v>3756</v>
      </c>
      <c r="B3761" s="229"/>
      <c r="C3761" s="223"/>
      <c r="D3761" s="224"/>
      <c r="E3761" s="225"/>
      <c r="F3761" s="1036" t="str">
        <f t="shared" si="1312"/>
        <v/>
      </c>
      <c r="G3761" s="1037" t="str">
        <f t="shared" si="1307"/>
        <v/>
      </c>
      <c r="H3761" s="225"/>
      <c r="I3761" s="1013"/>
      <c r="J3761" s="1013"/>
      <c r="K3761" s="1028"/>
      <c r="L3761" s="1035" t="str">
        <f t="shared" si="1311"/>
        <v/>
      </c>
      <c r="S3761" s="498"/>
      <c r="AJ3761" s="498"/>
      <c r="AM3761" s="498">
        <f t="shared" si="1292"/>
        <v>0</v>
      </c>
      <c r="AN3761" s="498">
        <f t="shared" si="1293"/>
        <v>0</v>
      </c>
      <c r="AO3761" s="498">
        <f t="shared" si="1294"/>
        <v>0</v>
      </c>
      <c r="AP3761" s="498">
        <f t="shared" si="1313"/>
        <v>0</v>
      </c>
      <c r="AQ3761" s="498">
        <f t="shared" si="1308"/>
        <v>0</v>
      </c>
      <c r="AU3761" s="498">
        <f t="shared" si="1295"/>
        <v>0</v>
      </c>
      <c r="AV3761" s="498">
        <f t="shared" si="1296"/>
        <v>0</v>
      </c>
      <c r="AW3761" s="498">
        <f t="shared" si="1297"/>
        <v>0</v>
      </c>
      <c r="AX3761" s="498">
        <f t="shared" si="1298"/>
        <v>0</v>
      </c>
      <c r="AY3761" s="498">
        <f t="shared" si="1299"/>
        <v>0</v>
      </c>
      <c r="BB3761" s="498" t="str">
        <f t="shared" si="1300"/>
        <v/>
      </c>
      <c r="BC3761" s="743" t="str">
        <f t="shared" si="1301"/>
        <v/>
      </c>
      <c r="BD3761" s="743" t="str">
        <f t="shared" si="1302"/>
        <v/>
      </c>
      <c r="BE3761" s="743" t="str">
        <f>IF(D3761="","",VLOOKUP(D3761,'General Basis'!$J$39:$K$46,2,0))</f>
        <v/>
      </c>
      <c r="BF3761" s="744" t="str">
        <f>IF(D3761="","",VLOOKUP(D3761,'General Basis'!$J$39:$L$46,3,0))</f>
        <v/>
      </c>
      <c r="BG3761" s="744" t="str">
        <f t="shared" si="1309"/>
        <v/>
      </c>
      <c r="BH3761" s="744" t="str">
        <f>IF(G3761="","",IF(BF3761="Abu Dhabi",IF(G3761&lt;18,'General Basis'!$C$39,IF(G3761&lt;41,'General Basis'!$C$40,IF(G3761&lt;60,'General Basis'!$C$41,IF(G3761&lt;65,'General Basis'!$C$42,'General Basis'!$C$43)))),IF(G3761&lt;11,'General Basis'!$B$39,IF(G3761&lt;18,'General Basis'!$B$40,IF(G3761&lt;26,'General Basis'!$B$41,IF(G3761&lt;31,'General Basis'!$B$42,IF(G3761&lt;36,'General Basis'!$B$43,IF(G3761&lt;41,'General Basis'!$B$44,IF(G3761&lt;46,'General Basis'!$B$45,IF(G3761&lt;51,'General Basis'!$B$46,IF(G3761&lt;56,'General Basis'!$B$47,IF(G3761&lt;60,'General Basis'!$B$48,IF(G3761&lt;65,'General Basis'!$B$49,'General Basis'!$B$50)))))))))))))</f>
        <v/>
      </c>
      <c r="BI3761" s="744" t="str">
        <f t="shared" si="1303"/>
        <v/>
      </c>
      <c r="BJ3761" s="747" t="str">
        <f t="shared" si="1310"/>
        <v/>
      </c>
      <c r="BK3761" s="498" t="str">
        <f t="shared" si="1304"/>
        <v/>
      </c>
      <c r="BL3761" s="498" t="str">
        <f t="shared" si="1305"/>
        <v/>
      </c>
    </row>
    <row r="3762" spans="1:64" x14ac:dyDescent="0.25">
      <c r="A3762" s="762">
        <f t="shared" si="1306"/>
        <v>3757</v>
      </c>
      <c r="B3762" s="229"/>
      <c r="C3762" s="223"/>
      <c r="D3762" s="224"/>
      <c r="E3762" s="225"/>
      <c r="F3762" s="1036" t="str">
        <f t="shared" si="1312"/>
        <v/>
      </c>
      <c r="G3762" s="1037" t="str">
        <f t="shared" si="1307"/>
        <v/>
      </c>
      <c r="H3762" s="225"/>
      <c r="I3762" s="1013"/>
      <c r="J3762" s="1013"/>
      <c r="K3762" s="1028"/>
      <c r="L3762" s="1035" t="str">
        <f t="shared" si="1311"/>
        <v/>
      </c>
      <c r="S3762" s="498"/>
      <c r="AJ3762" s="498"/>
      <c r="AM3762" s="498">
        <f t="shared" si="1292"/>
        <v>0</v>
      </c>
      <c r="AN3762" s="498">
        <f t="shared" si="1293"/>
        <v>0</v>
      </c>
      <c r="AO3762" s="498">
        <f t="shared" si="1294"/>
        <v>0</v>
      </c>
      <c r="AP3762" s="498">
        <f t="shared" si="1313"/>
        <v>0</v>
      </c>
      <c r="AQ3762" s="498">
        <f t="shared" si="1308"/>
        <v>0</v>
      </c>
      <c r="AU3762" s="498">
        <f t="shared" si="1295"/>
        <v>0</v>
      </c>
      <c r="AV3762" s="498">
        <f t="shared" si="1296"/>
        <v>0</v>
      </c>
      <c r="AW3762" s="498">
        <f t="shared" si="1297"/>
        <v>0</v>
      </c>
      <c r="AX3762" s="498">
        <f t="shared" si="1298"/>
        <v>0</v>
      </c>
      <c r="AY3762" s="498">
        <f t="shared" si="1299"/>
        <v>0</v>
      </c>
      <c r="BB3762" s="498" t="str">
        <f t="shared" si="1300"/>
        <v/>
      </c>
      <c r="BC3762" s="743" t="str">
        <f t="shared" si="1301"/>
        <v/>
      </c>
      <c r="BD3762" s="743" t="str">
        <f t="shared" si="1302"/>
        <v/>
      </c>
      <c r="BE3762" s="743" t="str">
        <f>IF(D3762="","",VLOOKUP(D3762,'General Basis'!$J$39:$K$46,2,0))</f>
        <v/>
      </c>
      <c r="BF3762" s="744" t="str">
        <f>IF(D3762="","",VLOOKUP(D3762,'General Basis'!$J$39:$L$46,3,0))</f>
        <v/>
      </c>
      <c r="BG3762" s="744" t="str">
        <f t="shared" si="1309"/>
        <v/>
      </c>
      <c r="BH3762" s="744" t="str">
        <f>IF(G3762="","",IF(BF3762="Abu Dhabi",IF(G3762&lt;18,'General Basis'!$C$39,IF(G3762&lt;41,'General Basis'!$C$40,IF(G3762&lt;60,'General Basis'!$C$41,IF(G3762&lt;65,'General Basis'!$C$42,'General Basis'!$C$43)))),IF(G3762&lt;11,'General Basis'!$B$39,IF(G3762&lt;18,'General Basis'!$B$40,IF(G3762&lt;26,'General Basis'!$B$41,IF(G3762&lt;31,'General Basis'!$B$42,IF(G3762&lt;36,'General Basis'!$B$43,IF(G3762&lt;41,'General Basis'!$B$44,IF(G3762&lt;46,'General Basis'!$B$45,IF(G3762&lt;51,'General Basis'!$B$46,IF(G3762&lt;56,'General Basis'!$B$47,IF(G3762&lt;60,'General Basis'!$B$48,IF(G3762&lt;65,'General Basis'!$B$49,'General Basis'!$B$50)))))))))))))</f>
        <v/>
      </c>
      <c r="BI3762" s="744" t="str">
        <f t="shared" si="1303"/>
        <v/>
      </c>
      <c r="BJ3762" s="747" t="str">
        <f t="shared" si="1310"/>
        <v/>
      </c>
      <c r="BK3762" s="498" t="str">
        <f t="shared" si="1304"/>
        <v/>
      </c>
      <c r="BL3762" s="498" t="str">
        <f t="shared" si="1305"/>
        <v/>
      </c>
    </row>
    <row r="3763" spans="1:64" x14ac:dyDescent="0.25">
      <c r="A3763" s="762">
        <f t="shared" si="1306"/>
        <v>3758</v>
      </c>
      <c r="B3763" s="229"/>
      <c r="C3763" s="223"/>
      <c r="D3763" s="224"/>
      <c r="E3763" s="225"/>
      <c r="F3763" s="1036" t="str">
        <f t="shared" si="1312"/>
        <v/>
      </c>
      <c r="G3763" s="1037" t="str">
        <f t="shared" si="1307"/>
        <v/>
      </c>
      <c r="H3763" s="225"/>
      <c r="I3763" s="1013"/>
      <c r="J3763" s="1013"/>
      <c r="K3763" s="1028"/>
      <c r="L3763" s="1035" t="str">
        <f t="shared" si="1311"/>
        <v/>
      </c>
      <c r="S3763" s="498"/>
      <c r="AJ3763" s="498"/>
      <c r="AM3763" s="498">
        <f t="shared" si="1292"/>
        <v>0</v>
      </c>
      <c r="AN3763" s="498">
        <f t="shared" si="1293"/>
        <v>0</v>
      </c>
      <c r="AO3763" s="498">
        <f t="shared" si="1294"/>
        <v>0</v>
      </c>
      <c r="AP3763" s="498">
        <f t="shared" si="1313"/>
        <v>0</v>
      </c>
      <c r="AQ3763" s="498">
        <f t="shared" si="1308"/>
        <v>0</v>
      </c>
      <c r="AU3763" s="498">
        <f t="shared" si="1295"/>
        <v>0</v>
      </c>
      <c r="AV3763" s="498">
        <f t="shared" si="1296"/>
        <v>0</v>
      </c>
      <c r="AW3763" s="498">
        <f t="shared" si="1297"/>
        <v>0</v>
      </c>
      <c r="AX3763" s="498">
        <f t="shared" si="1298"/>
        <v>0</v>
      </c>
      <c r="AY3763" s="498">
        <f t="shared" si="1299"/>
        <v>0</v>
      </c>
      <c r="BB3763" s="498" t="str">
        <f t="shared" si="1300"/>
        <v/>
      </c>
      <c r="BC3763" s="743" t="str">
        <f t="shared" si="1301"/>
        <v/>
      </c>
      <c r="BD3763" s="743" t="str">
        <f t="shared" si="1302"/>
        <v/>
      </c>
      <c r="BE3763" s="743" t="str">
        <f>IF(D3763="","",VLOOKUP(D3763,'General Basis'!$J$39:$K$46,2,0))</f>
        <v/>
      </c>
      <c r="BF3763" s="744" t="str">
        <f>IF(D3763="","",VLOOKUP(D3763,'General Basis'!$J$39:$L$46,3,0))</f>
        <v/>
      </c>
      <c r="BG3763" s="744" t="str">
        <f t="shared" si="1309"/>
        <v/>
      </c>
      <c r="BH3763" s="744" t="str">
        <f>IF(G3763="","",IF(BF3763="Abu Dhabi",IF(G3763&lt;18,'General Basis'!$C$39,IF(G3763&lt;41,'General Basis'!$C$40,IF(G3763&lt;60,'General Basis'!$C$41,IF(G3763&lt;65,'General Basis'!$C$42,'General Basis'!$C$43)))),IF(G3763&lt;11,'General Basis'!$B$39,IF(G3763&lt;18,'General Basis'!$B$40,IF(G3763&lt;26,'General Basis'!$B$41,IF(G3763&lt;31,'General Basis'!$B$42,IF(G3763&lt;36,'General Basis'!$B$43,IF(G3763&lt;41,'General Basis'!$B$44,IF(G3763&lt;46,'General Basis'!$B$45,IF(G3763&lt;51,'General Basis'!$B$46,IF(G3763&lt;56,'General Basis'!$B$47,IF(G3763&lt;60,'General Basis'!$B$48,IF(G3763&lt;65,'General Basis'!$B$49,'General Basis'!$B$50)))))))))))))</f>
        <v/>
      </c>
      <c r="BI3763" s="744" t="str">
        <f t="shared" si="1303"/>
        <v/>
      </c>
      <c r="BJ3763" s="747" t="str">
        <f t="shared" si="1310"/>
        <v/>
      </c>
      <c r="BK3763" s="498" t="str">
        <f t="shared" si="1304"/>
        <v/>
      </c>
      <c r="BL3763" s="498" t="str">
        <f t="shared" si="1305"/>
        <v/>
      </c>
    </row>
    <row r="3764" spans="1:64" x14ac:dyDescent="0.25">
      <c r="A3764" s="762">
        <f t="shared" si="1306"/>
        <v>3759</v>
      </c>
      <c r="B3764" s="229"/>
      <c r="C3764" s="223"/>
      <c r="D3764" s="224"/>
      <c r="E3764" s="225"/>
      <c r="F3764" s="1036" t="str">
        <f t="shared" si="1312"/>
        <v/>
      </c>
      <c r="G3764" s="1037" t="str">
        <f t="shared" si="1307"/>
        <v/>
      </c>
      <c r="H3764" s="225"/>
      <c r="I3764" s="1013"/>
      <c r="J3764" s="1013"/>
      <c r="K3764" s="1028"/>
      <c r="L3764" s="1035" t="str">
        <f t="shared" si="1311"/>
        <v/>
      </c>
      <c r="S3764" s="498"/>
      <c r="AJ3764" s="498"/>
      <c r="AM3764" s="498">
        <f t="shared" si="1292"/>
        <v>0</v>
      </c>
      <c r="AN3764" s="498">
        <f t="shared" si="1293"/>
        <v>0</v>
      </c>
      <c r="AO3764" s="498">
        <f t="shared" si="1294"/>
        <v>0</v>
      </c>
      <c r="AP3764" s="498">
        <f t="shared" si="1313"/>
        <v>0</v>
      </c>
      <c r="AQ3764" s="498">
        <f t="shared" si="1308"/>
        <v>0</v>
      </c>
      <c r="AU3764" s="498">
        <f t="shared" si="1295"/>
        <v>0</v>
      </c>
      <c r="AV3764" s="498">
        <f t="shared" si="1296"/>
        <v>0</v>
      </c>
      <c r="AW3764" s="498">
        <f t="shared" si="1297"/>
        <v>0</v>
      </c>
      <c r="AX3764" s="498">
        <f t="shared" si="1298"/>
        <v>0</v>
      </c>
      <c r="AY3764" s="498">
        <f t="shared" si="1299"/>
        <v>0</v>
      </c>
      <c r="BB3764" s="498" t="str">
        <f t="shared" si="1300"/>
        <v/>
      </c>
      <c r="BC3764" s="743" t="str">
        <f t="shared" si="1301"/>
        <v/>
      </c>
      <c r="BD3764" s="743" t="str">
        <f t="shared" si="1302"/>
        <v/>
      </c>
      <c r="BE3764" s="743" t="str">
        <f>IF(D3764="","",VLOOKUP(D3764,'General Basis'!$J$39:$K$46,2,0))</f>
        <v/>
      </c>
      <c r="BF3764" s="744" t="str">
        <f>IF(D3764="","",VLOOKUP(D3764,'General Basis'!$J$39:$L$46,3,0))</f>
        <v/>
      </c>
      <c r="BG3764" s="744" t="str">
        <f t="shared" si="1309"/>
        <v/>
      </c>
      <c r="BH3764" s="744" t="str">
        <f>IF(G3764="","",IF(BF3764="Abu Dhabi",IF(G3764&lt;18,'General Basis'!$C$39,IF(G3764&lt;41,'General Basis'!$C$40,IF(G3764&lt;60,'General Basis'!$C$41,IF(G3764&lt;65,'General Basis'!$C$42,'General Basis'!$C$43)))),IF(G3764&lt;11,'General Basis'!$B$39,IF(G3764&lt;18,'General Basis'!$B$40,IF(G3764&lt;26,'General Basis'!$B$41,IF(G3764&lt;31,'General Basis'!$B$42,IF(G3764&lt;36,'General Basis'!$B$43,IF(G3764&lt;41,'General Basis'!$B$44,IF(G3764&lt;46,'General Basis'!$B$45,IF(G3764&lt;51,'General Basis'!$B$46,IF(G3764&lt;56,'General Basis'!$B$47,IF(G3764&lt;60,'General Basis'!$B$48,IF(G3764&lt;65,'General Basis'!$B$49,'General Basis'!$B$50)))))))))))))</f>
        <v/>
      </c>
      <c r="BI3764" s="744" t="str">
        <f t="shared" si="1303"/>
        <v/>
      </c>
      <c r="BJ3764" s="747" t="str">
        <f t="shared" si="1310"/>
        <v/>
      </c>
      <c r="BK3764" s="498" t="str">
        <f t="shared" si="1304"/>
        <v/>
      </c>
      <c r="BL3764" s="498" t="str">
        <f t="shared" si="1305"/>
        <v/>
      </c>
    </row>
    <row r="3765" spans="1:64" x14ac:dyDescent="0.25">
      <c r="A3765" s="762">
        <f t="shared" si="1306"/>
        <v>3760</v>
      </c>
      <c r="B3765" s="229"/>
      <c r="C3765" s="223"/>
      <c r="D3765" s="224"/>
      <c r="E3765" s="225"/>
      <c r="F3765" s="1036" t="str">
        <f t="shared" si="1312"/>
        <v/>
      </c>
      <c r="G3765" s="1037" t="str">
        <f t="shared" si="1307"/>
        <v/>
      </c>
      <c r="H3765" s="225"/>
      <c r="I3765" s="1013"/>
      <c r="J3765" s="1013"/>
      <c r="K3765" s="1028"/>
      <c r="L3765" s="1035" t="str">
        <f t="shared" si="1311"/>
        <v/>
      </c>
      <c r="S3765" s="498"/>
      <c r="AJ3765" s="498"/>
      <c r="AM3765" s="498">
        <f t="shared" si="1292"/>
        <v>0</v>
      </c>
      <c r="AN3765" s="498">
        <f t="shared" si="1293"/>
        <v>0</v>
      </c>
      <c r="AO3765" s="498">
        <f t="shared" si="1294"/>
        <v>0</v>
      </c>
      <c r="AP3765" s="498">
        <f t="shared" si="1313"/>
        <v>0</v>
      </c>
      <c r="AQ3765" s="498">
        <f t="shared" si="1308"/>
        <v>0</v>
      </c>
      <c r="AU3765" s="498">
        <f t="shared" si="1295"/>
        <v>0</v>
      </c>
      <c r="AV3765" s="498">
        <f t="shared" si="1296"/>
        <v>0</v>
      </c>
      <c r="AW3765" s="498">
        <f t="shared" si="1297"/>
        <v>0</v>
      </c>
      <c r="AX3765" s="498">
        <f t="shared" si="1298"/>
        <v>0</v>
      </c>
      <c r="AY3765" s="498">
        <f t="shared" si="1299"/>
        <v>0</v>
      </c>
      <c r="BB3765" s="498" t="str">
        <f t="shared" si="1300"/>
        <v/>
      </c>
      <c r="BC3765" s="743" t="str">
        <f t="shared" si="1301"/>
        <v/>
      </c>
      <c r="BD3765" s="743" t="str">
        <f t="shared" si="1302"/>
        <v/>
      </c>
      <c r="BE3765" s="743" t="str">
        <f>IF(D3765="","",VLOOKUP(D3765,'General Basis'!$J$39:$K$46,2,0))</f>
        <v/>
      </c>
      <c r="BF3765" s="744" t="str">
        <f>IF(D3765="","",VLOOKUP(D3765,'General Basis'!$J$39:$L$46,3,0))</f>
        <v/>
      </c>
      <c r="BG3765" s="744" t="str">
        <f t="shared" si="1309"/>
        <v/>
      </c>
      <c r="BH3765" s="744" t="str">
        <f>IF(G3765="","",IF(BF3765="Abu Dhabi",IF(G3765&lt;18,'General Basis'!$C$39,IF(G3765&lt;41,'General Basis'!$C$40,IF(G3765&lt;60,'General Basis'!$C$41,IF(G3765&lt;65,'General Basis'!$C$42,'General Basis'!$C$43)))),IF(G3765&lt;11,'General Basis'!$B$39,IF(G3765&lt;18,'General Basis'!$B$40,IF(G3765&lt;26,'General Basis'!$B$41,IF(G3765&lt;31,'General Basis'!$B$42,IF(G3765&lt;36,'General Basis'!$B$43,IF(G3765&lt;41,'General Basis'!$B$44,IF(G3765&lt;46,'General Basis'!$B$45,IF(G3765&lt;51,'General Basis'!$B$46,IF(G3765&lt;56,'General Basis'!$B$47,IF(G3765&lt;60,'General Basis'!$B$48,IF(G3765&lt;65,'General Basis'!$B$49,'General Basis'!$B$50)))))))))))))</f>
        <v/>
      </c>
      <c r="BI3765" s="744" t="str">
        <f t="shared" si="1303"/>
        <v/>
      </c>
      <c r="BJ3765" s="747" t="str">
        <f t="shared" si="1310"/>
        <v/>
      </c>
      <c r="BK3765" s="498" t="str">
        <f t="shared" si="1304"/>
        <v/>
      </c>
      <c r="BL3765" s="498" t="str">
        <f t="shared" si="1305"/>
        <v/>
      </c>
    </row>
    <row r="3766" spans="1:64" x14ac:dyDescent="0.25">
      <c r="A3766" s="762">
        <f t="shared" si="1306"/>
        <v>3761</v>
      </c>
      <c r="B3766" s="229"/>
      <c r="C3766" s="223"/>
      <c r="D3766" s="224"/>
      <c r="E3766" s="225"/>
      <c r="F3766" s="1036" t="str">
        <f t="shared" si="1312"/>
        <v/>
      </c>
      <c r="G3766" s="1037" t="str">
        <f t="shared" si="1307"/>
        <v/>
      </c>
      <c r="H3766" s="225"/>
      <c r="I3766" s="1013"/>
      <c r="J3766" s="1013"/>
      <c r="K3766" s="1028"/>
      <c r="L3766" s="1035" t="str">
        <f t="shared" si="1311"/>
        <v/>
      </c>
      <c r="S3766" s="498"/>
      <c r="AJ3766" s="498"/>
      <c r="AM3766" s="498">
        <f t="shared" si="1292"/>
        <v>0</v>
      </c>
      <c r="AN3766" s="498">
        <f t="shared" si="1293"/>
        <v>0</v>
      </c>
      <c r="AO3766" s="498">
        <f t="shared" si="1294"/>
        <v>0</v>
      </c>
      <c r="AP3766" s="498">
        <f t="shared" si="1313"/>
        <v>0</v>
      </c>
      <c r="AQ3766" s="498">
        <f t="shared" si="1308"/>
        <v>0</v>
      </c>
      <c r="AU3766" s="498">
        <f t="shared" si="1295"/>
        <v>0</v>
      </c>
      <c r="AV3766" s="498">
        <f t="shared" si="1296"/>
        <v>0</v>
      </c>
      <c r="AW3766" s="498">
        <f t="shared" si="1297"/>
        <v>0</v>
      </c>
      <c r="AX3766" s="498">
        <f t="shared" si="1298"/>
        <v>0</v>
      </c>
      <c r="AY3766" s="498">
        <f t="shared" si="1299"/>
        <v>0</v>
      </c>
      <c r="BB3766" s="498" t="str">
        <f t="shared" si="1300"/>
        <v/>
      </c>
      <c r="BC3766" s="743" t="str">
        <f t="shared" si="1301"/>
        <v/>
      </c>
      <c r="BD3766" s="743" t="str">
        <f t="shared" si="1302"/>
        <v/>
      </c>
      <c r="BE3766" s="743" t="str">
        <f>IF(D3766="","",VLOOKUP(D3766,'General Basis'!$J$39:$K$46,2,0))</f>
        <v/>
      </c>
      <c r="BF3766" s="744" t="str">
        <f>IF(D3766="","",VLOOKUP(D3766,'General Basis'!$J$39:$L$46,3,0))</f>
        <v/>
      </c>
      <c r="BG3766" s="744" t="str">
        <f t="shared" si="1309"/>
        <v/>
      </c>
      <c r="BH3766" s="744" t="str">
        <f>IF(G3766="","",IF(BF3766="Abu Dhabi",IF(G3766&lt;18,'General Basis'!$C$39,IF(G3766&lt;41,'General Basis'!$C$40,IF(G3766&lt;60,'General Basis'!$C$41,IF(G3766&lt;65,'General Basis'!$C$42,'General Basis'!$C$43)))),IF(G3766&lt;11,'General Basis'!$B$39,IF(G3766&lt;18,'General Basis'!$B$40,IF(G3766&lt;26,'General Basis'!$B$41,IF(G3766&lt;31,'General Basis'!$B$42,IF(G3766&lt;36,'General Basis'!$B$43,IF(G3766&lt;41,'General Basis'!$B$44,IF(G3766&lt;46,'General Basis'!$B$45,IF(G3766&lt;51,'General Basis'!$B$46,IF(G3766&lt;56,'General Basis'!$B$47,IF(G3766&lt;60,'General Basis'!$B$48,IF(G3766&lt;65,'General Basis'!$B$49,'General Basis'!$B$50)))))))))))))</f>
        <v/>
      </c>
      <c r="BI3766" s="744" t="str">
        <f t="shared" si="1303"/>
        <v/>
      </c>
      <c r="BJ3766" s="747" t="str">
        <f t="shared" si="1310"/>
        <v/>
      </c>
      <c r="BK3766" s="498" t="str">
        <f t="shared" si="1304"/>
        <v/>
      </c>
      <c r="BL3766" s="498" t="str">
        <f t="shared" si="1305"/>
        <v/>
      </c>
    </row>
    <row r="3767" spans="1:64" x14ac:dyDescent="0.25">
      <c r="A3767" s="762">
        <f t="shared" si="1306"/>
        <v>3762</v>
      </c>
      <c r="B3767" s="229"/>
      <c r="C3767" s="223"/>
      <c r="D3767" s="224"/>
      <c r="E3767" s="225"/>
      <c r="F3767" s="1036" t="str">
        <f t="shared" si="1312"/>
        <v/>
      </c>
      <c r="G3767" s="1037" t="str">
        <f t="shared" si="1307"/>
        <v/>
      </c>
      <c r="H3767" s="225"/>
      <c r="I3767" s="1013"/>
      <c r="J3767" s="1013"/>
      <c r="K3767" s="1028"/>
      <c r="L3767" s="1035" t="str">
        <f t="shared" si="1311"/>
        <v/>
      </c>
      <c r="S3767" s="498"/>
      <c r="AJ3767" s="498"/>
      <c r="AM3767" s="498">
        <f t="shared" si="1292"/>
        <v>0</v>
      </c>
      <c r="AN3767" s="498">
        <f t="shared" si="1293"/>
        <v>0</v>
      </c>
      <c r="AO3767" s="498">
        <f t="shared" si="1294"/>
        <v>0</v>
      </c>
      <c r="AP3767" s="498">
        <f t="shared" si="1313"/>
        <v>0</v>
      </c>
      <c r="AQ3767" s="498">
        <f t="shared" si="1308"/>
        <v>0</v>
      </c>
      <c r="AU3767" s="498">
        <f t="shared" si="1295"/>
        <v>0</v>
      </c>
      <c r="AV3767" s="498">
        <f t="shared" si="1296"/>
        <v>0</v>
      </c>
      <c r="AW3767" s="498">
        <f t="shared" si="1297"/>
        <v>0</v>
      </c>
      <c r="AX3767" s="498">
        <f t="shared" si="1298"/>
        <v>0</v>
      </c>
      <c r="AY3767" s="498">
        <f t="shared" si="1299"/>
        <v>0</v>
      </c>
      <c r="BB3767" s="498" t="str">
        <f t="shared" si="1300"/>
        <v/>
      </c>
      <c r="BC3767" s="743" t="str">
        <f t="shared" si="1301"/>
        <v/>
      </c>
      <c r="BD3767" s="743" t="str">
        <f t="shared" si="1302"/>
        <v/>
      </c>
      <c r="BE3767" s="743" t="str">
        <f>IF(D3767="","",VLOOKUP(D3767,'General Basis'!$J$39:$K$46,2,0))</f>
        <v/>
      </c>
      <c r="BF3767" s="744" t="str">
        <f>IF(D3767="","",VLOOKUP(D3767,'General Basis'!$J$39:$L$46,3,0))</f>
        <v/>
      </c>
      <c r="BG3767" s="744" t="str">
        <f t="shared" si="1309"/>
        <v/>
      </c>
      <c r="BH3767" s="744" t="str">
        <f>IF(G3767="","",IF(BF3767="Abu Dhabi",IF(G3767&lt;18,'General Basis'!$C$39,IF(G3767&lt;41,'General Basis'!$C$40,IF(G3767&lt;60,'General Basis'!$C$41,IF(G3767&lt;65,'General Basis'!$C$42,'General Basis'!$C$43)))),IF(G3767&lt;11,'General Basis'!$B$39,IF(G3767&lt;18,'General Basis'!$B$40,IF(G3767&lt;26,'General Basis'!$B$41,IF(G3767&lt;31,'General Basis'!$B$42,IF(G3767&lt;36,'General Basis'!$B$43,IF(G3767&lt;41,'General Basis'!$B$44,IF(G3767&lt;46,'General Basis'!$B$45,IF(G3767&lt;51,'General Basis'!$B$46,IF(G3767&lt;56,'General Basis'!$B$47,IF(G3767&lt;60,'General Basis'!$B$48,IF(G3767&lt;65,'General Basis'!$B$49,'General Basis'!$B$50)))))))))))))</f>
        <v/>
      </c>
      <c r="BI3767" s="744" t="str">
        <f t="shared" si="1303"/>
        <v/>
      </c>
      <c r="BJ3767" s="747" t="str">
        <f t="shared" si="1310"/>
        <v/>
      </c>
      <c r="BK3767" s="498" t="str">
        <f t="shared" si="1304"/>
        <v/>
      </c>
      <c r="BL3767" s="498" t="str">
        <f t="shared" si="1305"/>
        <v/>
      </c>
    </row>
    <row r="3768" spans="1:64" x14ac:dyDescent="0.25">
      <c r="A3768" s="762">
        <f t="shared" si="1306"/>
        <v>3763</v>
      </c>
      <c r="B3768" s="229"/>
      <c r="C3768" s="223"/>
      <c r="D3768" s="224"/>
      <c r="E3768" s="225"/>
      <c r="F3768" s="1036" t="str">
        <f t="shared" si="1312"/>
        <v/>
      </c>
      <c r="G3768" s="1037" t="str">
        <f t="shared" si="1307"/>
        <v/>
      </c>
      <c r="H3768" s="225"/>
      <c r="I3768" s="1013"/>
      <c r="J3768" s="1013"/>
      <c r="K3768" s="1028"/>
      <c r="L3768" s="1035" t="str">
        <f t="shared" si="1311"/>
        <v/>
      </c>
      <c r="S3768" s="498"/>
      <c r="AJ3768" s="498"/>
      <c r="AM3768" s="498">
        <f t="shared" si="1292"/>
        <v>0</v>
      </c>
      <c r="AN3768" s="498">
        <f t="shared" si="1293"/>
        <v>0</v>
      </c>
      <c r="AO3768" s="498">
        <f t="shared" si="1294"/>
        <v>0</v>
      </c>
      <c r="AP3768" s="498">
        <f t="shared" si="1313"/>
        <v>0</v>
      </c>
      <c r="AQ3768" s="498">
        <f t="shared" si="1308"/>
        <v>0</v>
      </c>
      <c r="AU3768" s="498">
        <f t="shared" si="1295"/>
        <v>0</v>
      </c>
      <c r="AV3768" s="498">
        <f t="shared" si="1296"/>
        <v>0</v>
      </c>
      <c r="AW3768" s="498">
        <f t="shared" si="1297"/>
        <v>0</v>
      </c>
      <c r="AX3768" s="498">
        <f t="shared" si="1298"/>
        <v>0</v>
      </c>
      <c r="AY3768" s="498">
        <f t="shared" si="1299"/>
        <v>0</v>
      </c>
      <c r="BB3768" s="498" t="str">
        <f t="shared" si="1300"/>
        <v/>
      </c>
      <c r="BC3768" s="743" t="str">
        <f t="shared" si="1301"/>
        <v/>
      </c>
      <c r="BD3768" s="743" t="str">
        <f t="shared" si="1302"/>
        <v/>
      </c>
      <c r="BE3768" s="743" t="str">
        <f>IF(D3768="","",VLOOKUP(D3768,'General Basis'!$J$39:$K$46,2,0))</f>
        <v/>
      </c>
      <c r="BF3768" s="744" t="str">
        <f>IF(D3768="","",VLOOKUP(D3768,'General Basis'!$J$39:$L$46,3,0))</f>
        <v/>
      </c>
      <c r="BG3768" s="744" t="str">
        <f t="shared" si="1309"/>
        <v/>
      </c>
      <c r="BH3768" s="744" t="str">
        <f>IF(G3768="","",IF(BF3768="Abu Dhabi",IF(G3768&lt;18,'General Basis'!$C$39,IF(G3768&lt;41,'General Basis'!$C$40,IF(G3768&lt;60,'General Basis'!$C$41,IF(G3768&lt;65,'General Basis'!$C$42,'General Basis'!$C$43)))),IF(G3768&lt;11,'General Basis'!$B$39,IF(G3768&lt;18,'General Basis'!$B$40,IF(G3768&lt;26,'General Basis'!$B$41,IF(G3768&lt;31,'General Basis'!$B$42,IF(G3768&lt;36,'General Basis'!$B$43,IF(G3768&lt;41,'General Basis'!$B$44,IF(G3768&lt;46,'General Basis'!$B$45,IF(G3768&lt;51,'General Basis'!$B$46,IF(G3768&lt;56,'General Basis'!$B$47,IF(G3768&lt;60,'General Basis'!$B$48,IF(G3768&lt;65,'General Basis'!$B$49,'General Basis'!$B$50)))))))))))))</f>
        <v/>
      </c>
      <c r="BI3768" s="744" t="str">
        <f t="shared" si="1303"/>
        <v/>
      </c>
      <c r="BJ3768" s="747" t="str">
        <f t="shared" si="1310"/>
        <v/>
      </c>
      <c r="BK3768" s="498" t="str">
        <f t="shared" si="1304"/>
        <v/>
      </c>
      <c r="BL3768" s="498" t="str">
        <f t="shared" si="1305"/>
        <v/>
      </c>
    </row>
    <row r="3769" spans="1:64" x14ac:dyDescent="0.25">
      <c r="A3769" s="762">
        <f t="shared" si="1306"/>
        <v>3764</v>
      </c>
      <c r="B3769" s="229"/>
      <c r="C3769" s="223"/>
      <c r="D3769" s="224"/>
      <c r="E3769" s="225"/>
      <c r="F3769" s="1036" t="str">
        <f t="shared" si="1312"/>
        <v/>
      </c>
      <c r="G3769" s="1037" t="str">
        <f t="shared" si="1307"/>
        <v/>
      </c>
      <c r="H3769" s="225"/>
      <c r="I3769" s="1013"/>
      <c r="J3769" s="1013"/>
      <c r="K3769" s="1028"/>
      <c r="L3769" s="1035" t="str">
        <f t="shared" si="1311"/>
        <v/>
      </c>
      <c r="S3769" s="498"/>
      <c r="AJ3769" s="498"/>
      <c r="AM3769" s="498">
        <f t="shared" si="1292"/>
        <v>0</v>
      </c>
      <c r="AN3769" s="498">
        <f t="shared" si="1293"/>
        <v>0</v>
      </c>
      <c r="AO3769" s="498">
        <f t="shared" si="1294"/>
        <v>0</v>
      </c>
      <c r="AP3769" s="498">
        <f t="shared" si="1313"/>
        <v>0</v>
      </c>
      <c r="AQ3769" s="498">
        <f t="shared" si="1308"/>
        <v>0</v>
      </c>
      <c r="AU3769" s="498">
        <f t="shared" si="1295"/>
        <v>0</v>
      </c>
      <c r="AV3769" s="498">
        <f t="shared" si="1296"/>
        <v>0</v>
      </c>
      <c r="AW3769" s="498">
        <f t="shared" si="1297"/>
        <v>0</v>
      </c>
      <c r="AX3769" s="498">
        <f t="shared" si="1298"/>
        <v>0</v>
      </c>
      <c r="AY3769" s="498">
        <f t="shared" si="1299"/>
        <v>0</v>
      </c>
      <c r="BB3769" s="498" t="str">
        <f t="shared" si="1300"/>
        <v/>
      </c>
      <c r="BC3769" s="743" t="str">
        <f t="shared" si="1301"/>
        <v/>
      </c>
      <c r="BD3769" s="743" t="str">
        <f t="shared" si="1302"/>
        <v/>
      </c>
      <c r="BE3769" s="743" t="str">
        <f>IF(D3769="","",VLOOKUP(D3769,'General Basis'!$J$39:$K$46,2,0))</f>
        <v/>
      </c>
      <c r="BF3769" s="744" t="str">
        <f>IF(D3769="","",VLOOKUP(D3769,'General Basis'!$J$39:$L$46,3,0))</f>
        <v/>
      </c>
      <c r="BG3769" s="744" t="str">
        <f t="shared" si="1309"/>
        <v/>
      </c>
      <c r="BH3769" s="744" t="str">
        <f>IF(G3769="","",IF(BF3769="Abu Dhabi",IF(G3769&lt;18,'General Basis'!$C$39,IF(G3769&lt;41,'General Basis'!$C$40,IF(G3769&lt;60,'General Basis'!$C$41,IF(G3769&lt;65,'General Basis'!$C$42,'General Basis'!$C$43)))),IF(G3769&lt;11,'General Basis'!$B$39,IF(G3769&lt;18,'General Basis'!$B$40,IF(G3769&lt;26,'General Basis'!$B$41,IF(G3769&lt;31,'General Basis'!$B$42,IF(G3769&lt;36,'General Basis'!$B$43,IF(G3769&lt;41,'General Basis'!$B$44,IF(G3769&lt;46,'General Basis'!$B$45,IF(G3769&lt;51,'General Basis'!$B$46,IF(G3769&lt;56,'General Basis'!$B$47,IF(G3769&lt;60,'General Basis'!$B$48,IF(G3769&lt;65,'General Basis'!$B$49,'General Basis'!$B$50)))))))))))))</f>
        <v/>
      </c>
      <c r="BI3769" s="744" t="str">
        <f t="shared" si="1303"/>
        <v/>
      </c>
      <c r="BJ3769" s="747" t="str">
        <f t="shared" si="1310"/>
        <v/>
      </c>
      <c r="BK3769" s="498" t="str">
        <f t="shared" si="1304"/>
        <v/>
      </c>
      <c r="BL3769" s="498" t="str">
        <f t="shared" si="1305"/>
        <v/>
      </c>
    </row>
    <row r="3770" spans="1:64" x14ac:dyDescent="0.25">
      <c r="A3770" s="762">
        <f t="shared" si="1306"/>
        <v>3765</v>
      </c>
      <c r="B3770" s="229"/>
      <c r="C3770" s="223"/>
      <c r="D3770" s="224"/>
      <c r="E3770" s="225"/>
      <c r="F3770" s="1036" t="str">
        <f t="shared" si="1312"/>
        <v/>
      </c>
      <c r="G3770" s="1037" t="str">
        <f t="shared" si="1307"/>
        <v/>
      </c>
      <c r="H3770" s="225"/>
      <c r="I3770" s="1013"/>
      <c r="J3770" s="1013"/>
      <c r="K3770" s="1028"/>
      <c r="L3770" s="1035" t="str">
        <f t="shared" si="1311"/>
        <v/>
      </c>
      <c r="S3770" s="498"/>
      <c r="AJ3770" s="498"/>
      <c r="AM3770" s="498">
        <f t="shared" si="1292"/>
        <v>0</v>
      </c>
      <c r="AN3770" s="498">
        <f t="shared" si="1293"/>
        <v>0</v>
      </c>
      <c r="AO3770" s="498">
        <f t="shared" si="1294"/>
        <v>0</v>
      </c>
      <c r="AP3770" s="498">
        <f t="shared" si="1313"/>
        <v>0</v>
      </c>
      <c r="AQ3770" s="498">
        <f t="shared" si="1308"/>
        <v>0</v>
      </c>
      <c r="AU3770" s="498">
        <f t="shared" si="1295"/>
        <v>0</v>
      </c>
      <c r="AV3770" s="498">
        <f t="shared" si="1296"/>
        <v>0</v>
      </c>
      <c r="AW3770" s="498">
        <f t="shared" si="1297"/>
        <v>0</v>
      </c>
      <c r="AX3770" s="498">
        <f t="shared" si="1298"/>
        <v>0</v>
      </c>
      <c r="AY3770" s="498">
        <f t="shared" si="1299"/>
        <v>0</v>
      </c>
      <c r="BB3770" s="498" t="str">
        <f t="shared" si="1300"/>
        <v/>
      </c>
      <c r="BC3770" s="743" t="str">
        <f t="shared" si="1301"/>
        <v/>
      </c>
      <c r="BD3770" s="743" t="str">
        <f t="shared" si="1302"/>
        <v/>
      </c>
      <c r="BE3770" s="743" t="str">
        <f>IF(D3770="","",VLOOKUP(D3770,'General Basis'!$J$39:$K$46,2,0))</f>
        <v/>
      </c>
      <c r="BF3770" s="744" t="str">
        <f>IF(D3770="","",VLOOKUP(D3770,'General Basis'!$J$39:$L$46,3,0))</f>
        <v/>
      </c>
      <c r="BG3770" s="744" t="str">
        <f t="shared" si="1309"/>
        <v/>
      </c>
      <c r="BH3770" s="744" t="str">
        <f>IF(G3770="","",IF(BF3770="Abu Dhabi",IF(G3770&lt;18,'General Basis'!$C$39,IF(G3770&lt;41,'General Basis'!$C$40,IF(G3770&lt;60,'General Basis'!$C$41,IF(G3770&lt;65,'General Basis'!$C$42,'General Basis'!$C$43)))),IF(G3770&lt;11,'General Basis'!$B$39,IF(G3770&lt;18,'General Basis'!$B$40,IF(G3770&lt;26,'General Basis'!$B$41,IF(G3770&lt;31,'General Basis'!$B$42,IF(G3770&lt;36,'General Basis'!$B$43,IF(G3770&lt;41,'General Basis'!$B$44,IF(G3770&lt;46,'General Basis'!$B$45,IF(G3770&lt;51,'General Basis'!$B$46,IF(G3770&lt;56,'General Basis'!$B$47,IF(G3770&lt;60,'General Basis'!$B$48,IF(G3770&lt;65,'General Basis'!$B$49,'General Basis'!$B$50)))))))))))))</f>
        <v/>
      </c>
      <c r="BI3770" s="744" t="str">
        <f t="shared" si="1303"/>
        <v/>
      </c>
      <c r="BJ3770" s="747" t="str">
        <f t="shared" si="1310"/>
        <v/>
      </c>
      <c r="BK3770" s="498" t="str">
        <f t="shared" si="1304"/>
        <v/>
      </c>
      <c r="BL3770" s="498" t="str">
        <f t="shared" si="1305"/>
        <v/>
      </c>
    </row>
    <row r="3771" spans="1:64" x14ac:dyDescent="0.25">
      <c r="A3771" s="762">
        <f t="shared" si="1306"/>
        <v>3766</v>
      </c>
      <c r="B3771" s="229"/>
      <c r="C3771" s="223"/>
      <c r="D3771" s="224"/>
      <c r="E3771" s="225"/>
      <c r="F3771" s="1036" t="str">
        <f t="shared" si="1312"/>
        <v/>
      </c>
      <c r="G3771" s="1037" t="str">
        <f t="shared" si="1307"/>
        <v/>
      </c>
      <c r="H3771" s="225"/>
      <c r="I3771" s="1013"/>
      <c r="J3771" s="1013"/>
      <c r="K3771" s="1028"/>
      <c r="L3771" s="1035" t="str">
        <f t="shared" si="1311"/>
        <v/>
      </c>
      <c r="S3771" s="498"/>
      <c r="AJ3771" s="498"/>
      <c r="AM3771" s="498">
        <f t="shared" si="1292"/>
        <v>0</v>
      </c>
      <c r="AN3771" s="498">
        <f t="shared" si="1293"/>
        <v>0</v>
      </c>
      <c r="AO3771" s="498">
        <f t="shared" si="1294"/>
        <v>0</v>
      </c>
      <c r="AP3771" s="498">
        <f t="shared" si="1313"/>
        <v>0</v>
      </c>
      <c r="AQ3771" s="498">
        <f t="shared" si="1308"/>
        <v>0</v>
      </c>
      <c r="AU3771" s="498">
        <f t="shared" si="1295"/>
        <v>0</v>
      </c>
      <c r="AV3771" s="498">
        <f t="shared" si="1296"/>
        <v>0</v>
      </c>
      <c r="AW3771" s="498">
        <f t="shared" si="1297"/>
        <v>0</v>
      </c>
      <c r="AX3771" s="498">
        <f t="shared" si="1298"/>
        <v>0</v>
      </c>
      <c r="AY3771" s="498">
        <f t="shared" si="1299"/>
        <v>0</v>
      </c>
      <c r="BB3771" s="498" t="str">
        <f t="shared" si="1300"/>
        <v/>
      </c>
      <c r="BC3771" s="743" t="str">
        <f t="shared" si="1301"/>
        <v/>
      </c>
      <c r="BD3771" s="743" t="str">
        <f t="shared" si="1302"/>
        <v/>
      </c>
      <c r="BE3771" s="743" t="str">
        <f>IF(D3771="","",VLOOKUP(D3771,'General Basis'!$J$39:$K$46,2,0))</f>
        <v/>
      </c>
      <c r="BF3771" s="744" t="str">
        <f>IF(D3771="","",VLOOKUP(D3771,'General Basis'!$J$39:$L$46,3,0))</f>
        <v/>
      </c>
      <c r="BG3771" s="744" t="str">
        <f t="shared" si="1309"/>
        <v/>
      </c>
      <c r="BH3771" s="744" t="str">
        <f>IF(G3771="","",IF(BF3771="Abu Dhabi",IF(G3771&lt;18,'General Basis'!$C$39,IF(G3771&lt;41,'General Basis'!$C$40,IF(G3771&lt;60,'General Basis'!$C$41,IF(G3771&lt;65,'General Basis'!$C$42,'General Basis'!$C$43)))),IF(G3771&lt;11,'General Basis'!$B$39,IF(G3771&lt;18,'General Basis'!$B$40,IF(G3771&lt;26,'General Basis'!$B$41,IF(G3771&lt;31,'General Basis'!$B$42,IF(G3771&lt;36,'General Basis'!$B$43,IF(G3771&lt;41,'General Basis'!$B$44,IF(G3771&lt;46,'General Basis'!$B$45,IF(G3771&lt;51,'General Basis'!$B$46,IF(G3771&lt;56,'General Basis'!$B$47,IF(G3771&lt;60,'General Basis'!$B$48,IF(G3771&lt;65,'General Basis'!$B$49,'General Basis'!$B$50)))))))))))))</f>
        <v/>
      </c>
      <c r="BI3771" s="744" t="str">
        <f t="shared" si="1303"/>
        <v/>
      </c>
      <c r="BJ3771" s="747" t="str">
        <f t="shared" si="1310"/>
        <v/>
      </c>
      <c r="BK3771" s="498" t="str">
        <f t="shared" si="1304"/>
        <v/>
      </c>
      <c r="BL3771" s="498" t="str">
        <f t="shared" si="1305"/>
        <v/>
      </c>
    </row>
    <row r="3772" spans="1:64" x14ac:dyDescent="0.25">
      <c r="A3772" s="762">
        <f t="shared" si="1306"/>
        <v>3767</v>
      </c>
      <c r="B3772" s="229"/>
      <c r="C3772" s="223"/>
      <c r="D3772" s="224"/>
      <c r="E3772" s="225"/>
      <c r="F3772" s="1036" t="str">
        <f t="shared" si="1312"/>
        <v/>
      </c>
      <c r="G3772" s="1037" t="str">
        <f t="shared" si="1307"/>
        <v/>
      </c>
      <c r="H3772" s="225"/>
      <c r="I3772" s="1013"/>
      <c r="J3772" s="1013"/>
      <c r="K3772" s="1028"/>
      <c r="L3772" s="1035" t="str">
        <f t="shared" si="1311"/>
        <v/>
      </c>
      <c r="S3772" s="498"/>
      <c r="AJ3772" s="498"/>
      <c r="AM3772" s="498">
        <f t="shared" si="1292"/>
        <v>0</v>
      </c>
      <c r="AN3772" s="498">
        <f t="shared" si="1293"/>
        <v>0</v>
      </c>
      <c r="AO3772" s="498">
        <f t="shared" si="1294"/>
        <v>0</v>
      </c>
      <c r="AP3772" s="498">
        <f t="shared" si="1313"/>
        <v>0</v>
      </c>
      <c r="AQ3772" s="498">
        <f t="shared" si="1308"/>
        <v>0</v>
      </c>
      <c r="AU3772" s="498">
        <f t="shared" si="1295"/>
        <v>0</v>
      </c>
      <c r="AV3772" s="498">
        <f t="shared" si="1296"/>
        <v>0</v>
      </c>
      <c r="AW3772" s="498">
        <f t="shared" si="1297"/>
        <v>0</v>
      </c>
      <c r="AX3772" s="498">
        <f t="shared" si="1298"/>
        <v>0</v>
      </c>
      <c r="AY3772" s="498">
        <f t="shared" si="1299"/>
        <v>0</v>
      </c>
      <c r="BB3772" s="498" t="str">
        <f t="shared" si="1300"/>
        <v/>
      </c>
      <c r="BC3772" s="743" t="str">
        <f t="shared" si="1301"/>
        <v/>
      </c>
      <c r="BD3772" s="743" t="str">
        <f t="shared" si="1302"/>
        <v/>
      </c>
      <c r="BE3772" s="743" t="str">
        <f>IF(D3772="","",VLOOKUP(D3772,'General Basis'!$J$39:$K$46,2,0))</f>
        <v/>
      </c>
      <c r="BF3772" s="744" t="str">
        <f>IF(D3772="","",VLOOKUP(D3772,'General Basis'!$J$39:$L$46,3,0))</f>
        <v/>
      </c>
      <c r="BG3772" s="744" t="str">
        <f t="shared" si="1309"/>
        <v/>
      </c>
      <c r="BH3772" s="744" t="str">
        <f>IF(G3772="","",IF(BF3772="Abu Dhabi",IF(G3772&lt;18,'General Basis'!$C$39,IF(G3772&lt;41,'General Basis'!$C$40,IF(G3772&lt;60,'General Basis'!$C$41,IF(G3772&lt;65,'General Basis'!$C$42,'General Basis'!$C$43)))),IF(G3772&lt;11,'General Basis'!$B$39,IF(G3772&lt;18,'General Basis'!$B$40,IF(G3772&lt;26,'General Basis'!$B$41,IF(G3772&lt;31,'General Basis'!$B$42,IF(G3772&lt;36,'General Basis'!$B$43,IF(G3772&lt;41,'General Basis'!$B$44,IF(G3772&lt;46,'General Basis'!$B$45,IF(G3772&lt;51,'General Basis'!$B$46,IF(G3772&lt;56,'General Basis'!$B$47,IF(G3772&lt;60,'General Basis'!$B$48,IF(G3772&lt;65,'General Basis'!$B$49,'General Basis'!$B$50)))))))))))))</f>
        <v/>
      </c>
      <c r="BI3772" s="744" t="str">
        <f t="shared" si="1303"/>
        <v/>
      </c>
      <c r="BJ3772" s="747" t="str">
        <f t="shared" si="1310"/>
        <v/>
      </c>
      <c r="BK3772" s="498" t="str">
        <f t="shared" si="1304"/>
        <v/>
      </c>
      <c r="BL3772" s="498" t="str">
        <f t="shared" si="1305"/>
        <v/>
      </c>
    </row>
    <row r="3773" spans="1:64" x14ac:dyDescent="0.25">
      <c r="A3773" s="762">
        <f t="shared" si="1306"/>
        <v>3768</v>
      </c>
      <c r="B3773" s="229"/>
      <c r="C3773" s="223"/>
      <c r="D3773" s="224"/>
      <c r="E3773" s="225"/>
      <c r="F3773" s="1036" t="str">
        <f t="shared" si="1312"/>
        <v/>
      </c>
      <c r="G3773" s="1037" t="str">
        <f t="shared" si="1307"/>
        <v/>
      </c>
      <c r="H3773" s="225"/>
      <c r="I3773" s="1013"/>
      <c r="J3773" s="1013"/>
      <c r="K3773" s="1028"/>
      <c r="L3773" s="1035" t="str">
        <f t="shared" si="1311"/>
        <v/>
      </c>
      <c r="S3773" s="498"/>
      <c r="AJ3773" s="498"/>
      <c r="AM3773" s="498">
        <f t="shared" si="1292"/>
        <v>0</v>
      </c>
      <c r="AN3773" s="498">
        <f t="shared" si="1293"/>
        <v>0</v>
      </c>
      <c r="AO3773" s="498">
        <f t="shared" si="1294"/>
        <v>0</v>
      </c>
      <c r="AP3773" s="498">
        <f t="shared" si="1313"/>
        <v>0</v>
      </c>
      <c r="AQ3773" s="498">
        <f t="shared" si="1308"/>
        <v>0</v>
      </c>
      <c r="AU3773" s="498">
        <f t="shared" si="1295"/>
        <v>0</v>
      </c>
      <c r="AV3773" s="498">
        <f t="shared" si="1296"/>
        <v>0</v>
      </c>
      <c r="AW3773" s="498">
        <f t="shared" si="1297"/>
        <v>0</v>
      </c>
      <c r="AX3773" s="498">
        <f t="shared" si="1298"/>
        <v>0</v>
      </c>
      <c r="AY3773" s="498">
        <f t="shared" si="1299"/>
        <v>0</v>
      </c>
      <c r="BB3773" s="498" t="str">
        <f t="shared" si="1300"/>
        <v/>
      </c>
      <c r="BC3773" s="743" t="str">
        <f t="shared" si="1301"/>
        <v/>
      </c>
      <c r="BD3773" s="743" t="str">
        <f t="shared" si="1302"/>
        <v/>
      </c>
      <c r="BE3773" s="743" t="str">
        <f>IF(D3773="","",VLOOKUP(D3773,'General Basis'!$J$39:$K$46,2,0))</f>
        <v/>
      </c>
      <c r="BF3773" s="744" t="str">
        <f>IF(D3773="","",VLOOKUP(D3773,'General Basis'!$J$39:$L$46,3,0))</f>
        <v/>
      </c>
      <c r="BG3773" s="744" t="str">
        <f t="shared" si="1309"/>
        <v/>
      </c>
      <c r="BH3773" s="744" t="str">
        <f>IF(G3773="","",IF(BF3773="Abu Dhabi",IF(G3773&lt;18,'General Basis'!$C$39,IF(G3773&lt;41,'General Basis'!$C$40,IF(G3773&lt;60,'General Basis'!$C$41,IF(G3773&lt;65,'General Basis'!$C$42,'General Basis'!$C$43)))),IF(G3773&lt;11,'General Basis'!$B$39,IF(G3773&lt;18,'General Basis'!$B$40,IF(G3773&lt;26,'General Basis'!$B$41,IF(G3773&lt;31,'General Basis'!$B$42,IF(G3773&lt;36,'General Basis'!$B$43,IF(G3773&lt;41,'General Basis'!$B$44,IF(G3773&lt;46,'General Basis'!$B$45,IF(G3773&lt;51,'General Basis'!$B$46,IF(G3773&lt;56,'General Basis'!$B$47,IF(G3773&lt;60,'General Basis'!$B$48,IF(G3773&lt;65,'General Basis'!$B$49,'General Basis'!$B$50)))))))))))))</f>
        <v/>
      </c>
      <c r="BI3773" s="744" t="str">
        <f t="shared" si="1303"/>
        <v/>
      </c>
      <c r="BJ3773" s="747" t="str">
        <f t="shared" si="1310"/>
        <v/>
      </c>
      <c r="BK3773" s="498" t="str">
        <f t="shared" si="1304"/>
        <v/>
      </c>
      <c r="BL3773" s="498" t="str">
        <f t="shared" si="1305"/>
        <v/>
      </c>
    </row>
    <row r="3774" spans="1:64" x14ac:dyDescent="0.25">
      <c r="A3774" s="762">
        <f t="shared" si="1306"/>
        <v>3769</v>
      </c>
      <c r="B3774" s="229"/>
      <c r="C3774" s="223"/>
      <c r="D3774" s="224"/>
      <c r="E3774" s="225"/>
      <c r="F3774" s="1036" t="str">
        <f t="shared" si="1312"/>
        <v/>
      </c>
      <c r="G3774" s="1037" t="str">
        <f t="shared" si="1307"/>
        <v/>
      </c>
      <c r="H3774" s="225"/>
      <c r="I3774" s="1013"/>
      <c r="J3774" s="1013"/>
      <c r="K3774" s="1028"/>
      <c r="L3774" s="1035" t="str">
        <f t="shared" si="1311"/>
        <v/>
      </c>
      <c r="S3774" s="498"/>
      <c r="AJ3774" s="498"/>
      <c r="AM3774" s="498">
        <f t="shared" si="1292"/>
        <v>0</v>
      </c>
      <c r="AN3774" s="498">
        <f t="shared" si="1293"/>
        <v>0</v>
      </c>
      <c r="AO3774" s="498">
        <f t="shared" si="1294"/>
        <v>0</v>
      </c>
      <c r="AP3774" s="498">
        <f t="shared" si="1313"/>
        <v>0</v>
      </c>
      <c r="AQ3774" s="498">
        <f t="shared" si="1308"/>
        <v>0</v>
      </c>
      <c r="AU3774" s="498">
        <f t="shared" si="1295"/>
        <v>0</v>
      </c>
      <c r="AV3774" s="498">
        <f t="shared" si="1296"/>
        <v>0</v>
      </c>
      <c r="AW3774" s="498">
        <f t="shared" si="1297"/>
        <v>0</v>
      </c>
      <c r="AX3774" s="498">
        <f t="shared" si="1298"/>
        <v>0</v>
      </c>
      <c r="AY3774" s="498">
        <f t="shared" si="1299"/>
        <v>0</v>
      </c>
      <c r="BB3774" s="498" t="str">
        <f t="shared" si="1300"/>
        <v/>
      </c>
      <c r="BC3774" s="743" t="str">
        <f t="shared" si="1301"/>
        <v/>
      </c>
      <c r="BD3774" s="743" t="str">
        <f t="shared" si="1302"/>
        <v/>
      </c>
      <c r="BE3774" s="743" t="str">
        <f>IF(D3774="","",VLOOKUP(D3774,'General Basis'!$J$39:$K$46,2,0))</f>
        <v/>
      </c>
      <c r="BF3774" s="744" t="str">
        <f>IF(D3774="","",VLOOKUP(D3774,'General Basis'!$J$39:$L$46,3,0))</f>
        <v/>
      </c>
      <c r="BG3774" s="744" t="str">
        <f t="shared" si="1309"/>
        <v/>
      </c>
      <c r="BH3774" s="744" t="str">
        <f>IF(G3774="","",IF(BF3774="Abu Dhabi",IF(G3774&lt;18,'General Basis'!$C$39,IF(G3774&lt;41,'General Basis'!$C$40,IF(G3774&lt;60,'General Basis'!$C$41,IF(G3774&lt;65,'General Basis'!$C$42,'General Basis'!$C$43)))),IF(G3774&lt;11,'General Basis'!$B$39,IF(G3774&lt;18,'General Basis'!$B$40,IF(G3774&lt;26,'General Basis'!$B$41,IF(G3774&lt;31,'General Basis'!$B$42,IF(G3774&lt;36,'General Basis'!$B$43,IF(G3774&lt;41,'General Basis'!$B$44,IF(G3774&lt;46,'General Basis'!$B$45,IF(G3774&lt;51,'General Basis'!$B$46,IF(G3774&lt;56,'General Basis'!$B$47,IF(G3774&lt;60,'General Basis'!$B$48,IF(G3774&lt;65,'General Basis'!$B$49,'General Basis'!$B$50)))))))))))))</f>
        <v/>
      </c>
      <c r="BI3774" s="744" t="str">
        <f t="shared" si="1303"/>
        <v/>
      </c>
      <c r="BJ3774" s="747" t="str">
        <f t="shared" si="1310"/>
        <v/>
      </c>
      <c r="BK3774" s="498" t="str">
        <f t="shared" si="1304"/>
        <v/>
      </c>
      <c r="BL3774" s="498" t="str">
        <f t="shared" si="1305"/>
        <v/>
      </c>
    </row>
    <row r="3775" spans="1:64" x14ac:dyDescent="0.25">
      <c r="A3775" s="762">
        <f t="shared" si="1306"/>
        <v>3770</v>
      </c>
      <c r="B3775" s="229"/>
      <c r="C3775" s="223"/>
      <c r="D3775" s="224"/>
      <c r="E3775" s="225"/>
      <c r="F3775" s="1036" t="str">
        <f t="shared" si="1312"/>
        <v/>
      </c>
      <c r="G3775" s="1037" t="str">
        <f t="shared" si="1307"/>
        <v/>
      </c>
      <c r="H3775" s="225"/>
      <c r="I3775" s="1013"/>
      <c r="J3775" s="1013"/>
      <c r="K3775" s="1028"/>
      <c r="L3775" s="1035" t="str">
        <f t="shared" si="1311"/>
        <v/>
      </c>
      <c r="S3775" s="498"/>
      <c r="AJ3775" s="498"/>
      <c r="AM3775" s="498">
        <f t="shared" si="1292"/>
        <v>0</v>
      </c>
      <c r="AN3775" s="498">
        <f t="shared" si="1293"/>
        <v>0</v>
      </c>
      <c r="AO3775" s="498">
        <f t="shared" si="1294"/>
        <v>0</v>
      </c>
      <c r="AP3775" s="498">
        <f t="shared" si="1313"/>
        <v>0</v>
      </c>
      <c r="AQ3775" s="498">
        <f t="shared" si="1308"/>
        <v>0</v>
      </c>
      <c r="AU3775" s="498">
        <f t="shared" si="1295"/>
        <v>0</v>
      </c>
      <c r="AV3775" s="498">
        <f t="shared" si="1296"/>
        <v>0</v>
      </c>
      <c r="AW3775" s="498">
        <f t="shared" si="1297"/>
        <v>0</v>
      </c>
      <c r="AX3775" s="498">
        <f t="shared" si="1298"/>
        <v>0</v>
      </c>
      <c r="AY3775" s="498">
        <f t="shared" si="1299"/>
        <v>0</v>
      </c>
      <c r="BB3775" s="498" t="str">
        <f t="shared" si="1300"/>
        <v/>
      </c>
      <c r="BC3775" s="743" t="str">
        <f t="shared" si="1301"/>
        <v/>
      </c>
      <c r="BD3775" s="743" t="str">
        <f t="shared" si="1302"/>
        <v/>
      </c>
      <c r="BE3775" s="743" t="str">
        <f>IF(D3775="","",VLOOKUP(D3775,'General Basis'!$J$39:$K$46,2,0))</f>
        <v/>
      </c>
      <c r="BF3775" s="744" t="str">
        <f>IF(D3775="","",VLOOKUP(D3775,'General Basis'!$J$39:$L$46,3,0))</f>
        <v/>
      </c>
      <c r="BG3775" s="744" t="str">
        <f t="shared" si="1309"/>
        <v/>
      </c>
      <c r="BH3775" s="744" t="str">
        <f>IF(G3775="","",IF(BF3775="Abu Dhabi",IF(G3775&lt;18,'General Basis'!$C$39,IF(G3775&lt;41,'General Basis'!$C$40,IF(G3775&lt;60,'General Basis'!$C$41,IF(G3775&lt;65,'General Basis'!$C$42,'General Basis'!$C$43)))),IF(G3775&lt;11,'General Basis'!$B$39,IF(G3775&lt;18,'General Basis'!$B$40,IF(G3775&lt;26,'General Basis'!$B$41,IF(G3775&lt;31,'General Basis'!$B$42,IF(G3775&lt;36,'General Basis'!$B$43,IF(G3775&lt;41,'General Basis'!$B$44,IF(G3775&lt;46,'General Basis'!$B$45,IF(G3775&lt;51,'General Basis'!$B$46,IF(G3775&lt;56,'General Basis'!$B$47,IF(G3775&lt;60,'General Basis'!$B$48,IF(G3775&lt;65,'General Basis'!$B$49,'General Basis'!$B$50)))))))))))))</f>
        <v/>
      </c>
      <c r="BI3775" s="744" t="str">
        <f t="shared" si="1303"/>
        <v/>
      </c>
      <c r="BJ3775" s="747" t="str">
        <f t="shared" si="1310"/>
        <v/>
      </c>
      <c r="BK3775" s="498" t="str">
        <f t="shared" si="1304"/>
        <v/>
      </c>
      <c r="BL3775" s="498" t="str">
        <f t="shared" si="1305"/>
        <v/>
      </c>
    </row>
    <row r="3776" spans="1:64" x14ac:dyDescent="0.25">
      <c r="A3776" s="762">
        <f t="shared" si="1306"/>
        <v>3771</v>
      </c>
      <c r="B3776" s="229"/>
      <c r="C3776" s="223"/>
      <c r="D3776" s="224"/>
      <c r="E3776" s="225"/>
      <c r="F3776" s="1036" t="str">
        <f t="shared" si="1312"/>
        <v/>
      </c>
      <c r="G3776" s="1037" t="str">
        <f t="shared" si="1307"/>
        <v/>
      </c>
      <c r="H3776" s="225"/>
      <c r="I3776" s="1013"/>
      <c r="J3776" s="1013"/>
      <c r="K3776" s="1028"/>
      <c r="L3776" s="1035" t="str">
        <f t="shared" si="1311"/>
        <v/>
      </c>
      <c r="S3776" s="498"/>
      <c r="AJ3776" s="498"/>
      <c r="AM3776" s="498">
        <f t="shared" si="1292"/>
        <v>0</v>
      </c>
      <c r="AN3776" s="498">
        <f t="shared" si="1293"/>
        <v>0</v>
      </c>
      <c r="AO3776" s="498">
        <f t="shared" si="1294"/>
        <v>0</v>
      </c>
      <c r="AP3776" s="498">
        <f t="shared" si="1313"/>
        <v>0</v>
      </c>
      <c r="AQ3776" s="498">
        <f t="shared" si="1308"/>
        <v>0</v>
      </c>
      <c r="AU3776" s="498">
        <f t="shared" si="1295"/>
        <v>0</v>
      </c>
      <c r="AV3776" s="498">
        <f t="shared" si="1296"/>
        <v>0</v>
      </c>
      <c r="AW3776" s="498">
        <f t="shared" si="1297"/>
        <v>0</v>
      </c>
      <c r="AX3776" s="498">
        <f t="shared" si="1298"/>
        <v>0</v>
      </c>
      <c r="AY3776" s="498">
        <f t="shared" si="1299"/>
        <v>0</v>
      </c>
      <c r="BB3776" s="498" t="str">
        <f t="shared" si="1300"/>
        <v/>
      </c>
      <c r="BC3776" s="743" t="str">
        <f t="shared" si="1301"/>
        <v/>
      </c>
      <c r="BD3776" s="743" t="str">
        <f t="shared" si="1302"/>
        <v/>
      </c>
      <c r="BE3776" s="743" t="str">
        <f>IF(D3776="","",VLOOKUP(D3776,'General Basis'!$J$39:$K$46,2,0))</f>
        <v/>
      </c>
      <c r="BF3776" s="744" t="str">
        <f>IF(D3776="","",VLOOKUP(D3776,'General Basis'!$J$39:$L$46,3,0))</f>
        <v/>
      </c>
      <c r="BG3776" s="744" t="str">
        <f t="shared" si="1309"/>
        <v/>
      </c>
      <c r="BH3776" s="744" t="str">
        <f>IF(G3776="","",IF(BF3776="Abu Dhabi",IF(G3776&lt;18,'General Basis'!$C$39,IF(G3776&lt;41,'General Basis'!$C$40,IF(G3776&lt;60,'General Basis'!$C$41,IF(G3776&lt;65,'General Basis'!$C$42,'General Basis'!$C$43)))),IF(G3776&lt;11,'General Basis'!$B$39,IF(G3776&lt;18,'General Basis'!$B$40,IF(G3776&lt;26,'General Basis'!$B$41,IF(G3776&lt;31,'General Basis'!$B$42,IF(G3776&lt;36,'General Basis'!$B$43,IF(G3776&lt;41,'General Basis'!$B$44,IF(G3776&lt;46,'General Basis'!$B$45,IF(G3776&lt;51,'General Basis'!$B$46,IF(G3776&lt;56,'General Basis'!$B$47,IF(G3776&lt;60,'General Basis'!$B$48,IF(G3776&lt;65,'General Basis'!$B$49,'General Basis'!$B$50)))))))))))))</f>
        <v/>
      </c>
      <c r="BI3776" s="744" t="str">
        <f t="shared" si="1303"/>
        <v/>
      </c>
      <c r="BJ3776" s="747" t="str">
        <f t="shared" si="1310"/>
        <v/>
      </c>
      <c r="BK3776" s="498" t="str">
        <f t="shared" si="1304"/>
        <v/>
      </c>
      <c r="BL3776" s="498" t="str">
        <f t="shared" si="1305"/>
        <v/>
      </c>
    </row>
    <row r="3777" spans="1:64" x14ac:dyDescent="0.25">
      <c r="A3777" s="762">
        <f t="shared" si="1306"/>
        <v>3772</v>
      </c>
      <c r="B3777" s="229"/>
      <c r="C3777" s="223"/>
      <c r="D3777" s="224"/>
      <c r="E3777" s="225"/>
      <c r="F3777" s="1036" t="str">
        <f t="shared" si="1312"/>
        <v/>
      </c>
      <c r="G3777" s="1037" t="str">
        <f t="shared" si="1307"/>
        <v/>
      </c>
      <c r="H3777" s="225"/>
      <c r="I3777" s="1013"/>
      <c r="J3777" s="1013"/>
      <c r="K3777" s="1028"/>
      <c r="L3777" s="1035" t="str">
        <f t="shared" si="1311"/>
        <v/>
      </c>
      <c r="S3777" s="498"/>
      <c r="AJ3777" s="498"/>
      <c r="AM3777" s="498">
        <f t="shared" si="1292"/>
        <v>0</v>
      </c>
      <c r="AN3777" s="498">
        <f t="shared" si="1293"/>
        <v>0</v>
      </c>
      <c r="AO3777" s="498">
        <f t="shared" si="1294"/>
        <v>0</v>
      </c>
      <c r="AP3777" s="498">
        <f t="shared" si="1313"/>
        <v>0</v>
      </c>
      <c r="AQ3777" s="498">
        <f t="shared" si="1308"/>
        <v>0</v>
      </c>
      <c r="AU3777" s="498">
        <f t="shared" si="1295"/>
        <v>0</v>
      </c>
      <c r="AV3777" s="498">
        <f t="shared" si="1296"/>
        <v>0</v>
      </c>
      <c r="AW3777" s="498">
        <f t="shared" si="1297"/>
        <v>0</v>
      </c>
      <c r="AX3777" s="498">
        <f t="shared" si="1298"/>
        <v>0</v>
      </c>
      <c r="AY3777" s="498">
        <f t="shared" si="1299"/>
        <v>0</v>
      </c>
      <c r="BB3777" s="498" t="str">
        <f t="shared" si="1300"/>
        <v/>
      </c>
      <c r="BC3777" s="743" t="str">
        <f t="shared" si="1301"/>
        <v/>
      </c>
      <c r="BD3777" s="743" t="str">
        <f t="shared" si="1302"/>
        <v/>
      </c>
      <c r="BE3777" s="743" t="str">
        <f>IF(D3777="","",VLOOKUP(D3777,'General Basis'!$J$39:$K$46,2,0))</f>
        <v/>
      </c>
      <c r="BF3777" s="744" t="str">
        <f>IF(D3777="","",VLOOKUP(D3777,'General Basis'!$J$39:$L$46,3,0))</f>
        <v/>
      </c>
      <c r="BG3777" s="744" t="str">
        <f t="shared" si="1309"/>
        <v/>
      </c>
      <c r="BH3777" s="744" t="str">
        <f>IF(G3777="","",IF(BF3777="Abu Dhabi",IF(G3777&lt;18,'General Basis'!$C$39,IF(G3777&lt;41,'General Basis'!$C$40,IF(G3777&lt;60,'General Basis'!$C$41,IF(G3777&lt;65,'General Basis'!$C$42,'General Basis'!$C$43)))),IF(G3777&lt;11,'General Basis'!$B$39,IF(G3777&lt;18,'General Basis'!$B$40,IF(G3777&lt;26,'General Basis'!$B$41,IF(G3777&lt;31,'General Basis'!$B$42,IF(G3777&lt;36,'General Basis'!$B$43,IF(G3777&lt;41,'General Basis'!$B$44,IF(G3777&lt;46,'General Basis'!$B$45,IF(G3777&lt;51,'General Basis'!$B$46,IF(G3777&lt;56,'General Basis'!$B$47,IF(G3777&lt;60,'General Basis'!$B$48,IF(G3777&lt;65,'General Basis'!$B$49,'General Basis'!$B$50)))))))))))))</f>
        <v/>
      </c>
      <c r="BI3777" s="744" t="str">
        <f t="shared" si="1303"/>
        <v/>
      </c>
      <c r="BJ3777" s="747" t="str">
        <f t="shared" si="1310"/>
        <v/>
      </c>
      <c r="BK3777" s="498" t="str">
        <f t="shared" si="1304"/>
        <v/>
      </c>
      <c r="BL3777" s="498" t="str">
        <f t="shared" si="1305"/>
        <v/>
      </c>
    </row>
    <row r="3778" spans="1:64" x14ac:dyDescent="0.25">
      <c r="A3778" s="762">
        <f t="shared" si="1306"/>
        <v>3773</v>
      </c>
      <c r="B3778" s="229"/>
      <c r="C3778" s="223"/>
      <c r="D3778" s="224"/>
      <c r="E3778" s="225"/>
      <c r="F3778" s="1036" t="str">
        <f t="shared" si="1312"/>
        <v/>
      </c>
      <c r="G3778" s="1037" t="str">
        <f t="shared" si="1307"/>
        <v/>
      </c>
      <c r="H3778" s="225"/>
      <c r="I3778" s="1013"/>
      <c r="J3778" s="1013"/>
      <c r="K3778" s="1028"/>
      <c r="L3778" s="1035" t="str">
        <f t="shared" si="1311"/>
        <v/>
      </c>
      <c r="S3778" s="498"/>
      <c r="AJ3778" s="498"/>
      <c r="AM3778" s="498">
        <f t="shared" si="1292"/>
        <v>0</v>
      </c>
      <c r="AN3778" s="498">
        <f t="shared" si="1293"/>
        <v>0</v>
      </c>
      <c r="AO3778" s="498">
        <f t="shared" si="1294"/>
        <v>0</v>
      </c>
      <c r="AP3778" s="498">
        <f t="shared" si="1313"/>
        <v>0</v>
      </c>
      <c r="AQ3778" s="498">
        <f t="shared" si="1308"/>
        <v>0</v>
      </c>
      <c r="AU3778" s="498">
        <f t="shared" si="1295"/>
        <v>0</v>
      </c>
      <c r="AV3778" s="498">
        <f t="shared" si="1296"/>
        <v>0</v>
      </c>
      <c r="AW3778" s="498">
        <f t="shared" si="1297"/>
        <v>0</v>
      </c>
      <c r="AX3778" s="498">
        <f t="shared" si="1298"/>
        <v>0</v>
      </c>
      <c r="AY3778" s="498">
        <f t="shared" si="1299"/>
        <v>0</v>
      </c>
      <c r="BB3778" s="498" t="str">
        <f t="shared" si="1300"/>
        <v/>
      </c>
      <c r="BC3778" s="743" t="str">
        <f t="shared" si="1301"/>
        <v/>
      </c>
      <c r="BD3778" s="743" t="str">
        <f t="shared" si="1302"/>
        <v/>
      </c>
      <c r="BE3778" s="743" t="str">
        <f>IF(D3778="","",VLOOKUP(D3778,'General Basis'!$J$39:$K$46,2,0))</f>
        <v/>
      </c>
      <c r="BF3778" s="744" t="str">
        <f>IF(D3778="","",VLOOKUP(D3778,'General Basis'!$J$39:$L$46,3,0))</f>
        <v/>
      </c>
      <c r="BG3778" s="744" t="str">
        <f t="shared" si="1309"/>
        <v/>
      </c>
      <c r="BH3778" s="744" t="str">
        <f>IF(G3778="","",IF(BF3778="Abu Dhabi",IF(G3778&lt;18,'General Basis'!$C$39,IF(G3778&lt;41,'General Basis'!$C$40,IF(G3778&lt;60,'General Basis'!$C$41,IF(G3778&lt;65,'General Basis'!$C$42,'General Basis'!$C$43)))),IF(G3778&lt;11,'General Basis'!$B$39,IF(G3778&lt;18,'General Basis'!$B$40,IF(G3778&lt;26,'General Basis'!$B$41,IF(G3778&lt;31,'General Basis'!$B$42,IF(G3778&lt;36,'General Basis'!$B$43,IF(G3778&lt;41,'General Basis'!$B$44,IF(G3778&lt;46,'General Basis'!$B$45,IF(G3778&lt;51,'General Basis'!$B$46,IF(G3778&lt;56,'General Basis'!$B$47,IF(G3778&lt;60,'General Basis'!$B$48,IF(G3778&lt;65,'General Basis'!$B$49,'General Basis'!$B$50)))))))))))))</f>
        <v/>
      </c>
      <c r="BI3778" s="744" t="str">
        <f t="shared" si="1303"/>
        <v/>
      </c>
      <c r="BJ3778" s="747" t="str">
        <f t="shared" si="1310"/>
        <v/>
      </c>
      <c r="BK3778" s="498" t="str">
        <f t="shared" si="1304"/>
        <v/>
      </c>
      <c r="BL3778" s="498" t="str">
        <f t="shared" si="1305"/>
        <v/>
      </c>
    </row>
    <row r="3779" spans="1:64" x14ac:dyDescent="0.25">
      <c r="A3779" s="762">
        <f t="shared" si="1306"/>
        <v>3774</v>
      </c>
      <c r="B3779" s="229"/>
      <c r="C3779" s="223"/>
      <c r="D3779" s="224"/>
      <c r="E3779" s="225"/>
      <c r="F3779" s="1036" t="str">
        <f t="shared" si="1312"/>
        <v/>
      </c>
      <c r="G3779" s="1037" t="str">
        <f t="shared" si="1307"/>
        <v/>
      </c>
      <c r="H3779" s="225"/>
      <c r="I3779" s="1013"/>
      <c r="J3779" s="1013"/>
      <c r="K3779" s="1028"/>
      <c r="L3779" s="1035" t="str">
        <f t="shared" si="1311"/>
        <v/>
      </c>
      <c r="S3779" s="498"/>
      <c r="AJ3779" s="498"/>
      <c r="AM3779" s="498">
        <f t="shared" si="1292"/>
        <v>0</v>
      </c>
      <c r="AN3779" s="498">
        <f t="shared" si="1293"/>
        <v>0</v>
      </c>
      <c r="AO3779" s="498">
        <f t="shared" si="1294"/>
        <v>0</v>
      </c>
      <c r="AP3779" s="498">
        <f t="shared" si="1313"/>
        <v>0</v>
      </c>
      <c r="AQ3779" s="498">
        <f t="shared" si="1308"/>
        <v>0</v>
      </c>
      <c r="AU3779" s="498">
        <f t="shared" si="1295"/>
        <v>0</v>
      </c>
      <c r="AV3779" s="498">
        <f t="shared" si="1296"/>
        <v>0</v>
      </c>
      <c r="AW3779" s="498">
        <f t="shared" si="1297"/>
        <v>0</v>
      </c>
      <c r="AX3779" s="498">
        <f t="shared" si="1298"/>
        <v>0</v>
      </c>
      <c r="AY3779" s="498">
        <f t="shared" si="1299"/>
        <v>0</v>
      </c>
      <c r="BB3779" s="498" t="str">
        <f t="shared" si="1300"/>
        <v/>
      </c>
      <c r="BC3779" s="743" t="str">
        <f t="shared" si="1301"/>
        <v/>
      </c>
      <c r="BD3779" s="743" t="str">
        <f t="shared" si="1302"/>
        <v/>
      </c>
      <c r="BE3779" s="743" t="str">
        <f>IF(D3779="","",VLOOKUP(D3779,'General Basis'!$J$39:$K$46,2,0))</f>
        <v/>
      </c>
      <c r="BF3779" s="744" t="str">
        <f>IF(D3779="","",VLOOKUP(D3779,'General Basis'!$J$39:$L$46,3,0))</f>
        <v/>
      </c>
      <c r="BG3779" s="744" t="str">
        <f t="shared" si="1309"/>
        <v/>
      </c>
      <c r="BH3779" s="744" t="str">
        <f>IF(G3779="","",IF(BF3779="Abu Dhabi",IF(G3779&lt;18,'General Basis'!$C$39,IF(G3779&lt;41,'General Basis'!$C$40,IF(G3779&lt;60,'General Basis'!$C$41,IF(G3779&lt;65,'General Basis'!$C$42,'General Basis'!$C$43)))),IF(G3779&lt;11,'General Basis'!$B$39,IF(G3779&lt;18,'General Basis'!$B$40,IF(G3779&lt;26,'General Basis'!$B$41,IF(G3779&lt;31,'General Basis'!$B$42,IF(G3779&lt;36,'General Basis'!$B$43,IF(G3779&lt;41,'General Basis'!$B$44,IF(G3779&lt;46,'General Basis'!$B$45,IF(G3779&lt;51,'General Basis'!$B$46,IF(G3779&lt;56,'General Basis'!$B$47,IF(G3779&lt;60,'General Basis'!$B$48,IF(G3779&lt;65,'General Basis'!$B$49,'General Basis'!$B$50)))))))))))))</f>
        <v/>
      </c>
      <c r="BI3779" s="744" t="str">
        <f t="shared" si="1303"/>
        <v/>
      </c>
      <c r="BJ3779" s="747" t="str">
        <f t="shared" si="1310"/>
        <v/>
      </c>
      <c r="BK3779" s="498" t="str">
        <f t="shared" si="1304"/>
        <v/>
      </c>
      <c r="BL3779" s="498" t="str">
        <f t="shared" si="1305"/>
        <v/>
      </c>
    </row>
    <row r="3780" spans="1:64" x14ac:dyDescent="0.25">
      <c r="A3780" s="762">
        <f t="shared" si="1306"/>
        <v>3775</v>
      </c>
      <c r="B3780" s="229"/>
      <c r="C3780" s="223"/>
      <c r="D3780" s="224"/>
      <c r="E3780" s="225"/>
      <c r="F3780" s="1036" t="str">
        <f t="shared" si="1312"/>
        <v/>
      </c>
      <c r="G3780" s="1037" t="str">
        <f t="shared" si="1307"/>
        <v/>
      </c>
      <c r="H3780" s="225"/>
      <c r="I3780" s="1013"/>
      <c r="J3780" s="1013"/>
      <c r="K3780" s="1028"/>
      <c r="L3780" s="1035" t="str">
        <f t="shared" si="1311"/>
        <v/>
      </c>
      <c r="S3780" s="498"/>
      <c r="AJ3780" s="498"/>
      <c r="AM3780" s="498">
        <f t="shared" si="1292"/>
        <v>0</v>
      </c>
      <c r="AN3780" s="498">
        <f t="shared" si="1293"/>
        <v>0</v>
      </c>
      <c r="AO3780" s="498">
        <f t="shared" si="1294"/>
        <v>0</v>
      </c>
      <c r="AP3780" s="498">
        <f t="shared" si="1313"/>
        <v>0</v>
      </c>
      <c r="AQ3780" s="498">
        <f t="shared" si="1308"/>
        <v>0</v>
      </c>
      <c r="AU3780" s="498">
        <f t="shared" si="1295"/>
        <v>0</v>
      </c>
      <c r="AV3780" s="498">
        <f t="shared" si="1296"/>
        <v>0</v>
      </c>
      <c r="AW3780" s="498">
        <f t="shared" si="1297"/>
        <v>0</v>
      </c>
      <c r="AX3780" s="498">
        <f t="shared" si="1298"/>
        <v>0</v>
      </c>
      <c r="AY3780" s="498">
        <f t="shared" si="1299"/>
        <v>0</v>
      </c>
      <c r="BB3780" s="498" t="str">
        <f t="shared" si="1300"/>
        <v/>
      </c>
      <c r="BC3780" s="743" t="str">
        <f t="shared" si="1301"/>
        <v/>
      </c>
      <c r="BD3780" s="743" t="str">
        <f t="shared" si="1302"/>
        <v/>
      </c>
      <c r="BE3780" s="743" t="str">
        <f>IF(D3780="","",VLOOKUP(D3780,'General Basis'!$J$39:$K$46,2,0))</f>
        <v/>
      </c>
      <c r="BF3780" s="744" t="str">
        <f>IF(D3780="","",VLOOKUP(D3780,'General Basis'!$J$39:$L$46,3,0))</f>
        <v/>
      </c>
      <c r="BG3780" s="744" t="str">
        <f t="shared" si="1309"/>
        <v/>
      </c>
      <c r="BH3780" s="744" t="str">
        <f>IF(G3780="","",IF(BF3780="Abu Dhabi",IF(G3780&lt;18,'General Basis'!$C$39,IF(G3780&lt;41,'General Basis'!$C$40,IF(G3780&lt;60,'General Basis'!$C$41,IF(G3780&lt;65,'General Basis'!$C$42,'General Basis'!$C$43)))),IF(G3780&lt;11,'General Basis'!$B$39,IF(G3780&lt;18,'General Basis'!$B$40,IF(G3780&lt;26,'General Basis'!$B$41,IF(G3780&lt;31,'General Basis'!$B$42,IF(G3780&lt;36,'General Basis'!$B$43,IF(G3780&lt;41,'General Basis'!$B$44,IF(G3780&lt;46,'General Basis'!$B$45,IF(G3780&lt;51,'General Basis'!$B$46,IF(G3780&lt;56,'General Basis'!$B$47,IF(G3780&lt;60,'General Basis'!$B$48,IF(G3780&lt;65,'General Basis'!$B$49,'General Basis'!$B$50)))))))))))))</f>
        <v/>
      </c>
      <c r="BI3780" s="744" t="str">
        <f t="shared" si="1303"/>
        <v/>
      </c>
      <c r="BJ3780" s="747" t="str">
        <f t="shared" si="1310"/>
        <v/>
      </c>
      <c r="BK3780" s="498" t="str">
        <f t="shared" si="1304"/>
        <v/>
      </c>
      <c r="BL3780" s="498" t="str">
        <f t="shared" si="1305"/>
        <v/>
      </c>
    </row>
    <row r="3781" spans="1:64" x14ac:dyDescent="0.25">
      <c r="A3781" s="762">
        <f t="shared" si="1306"/>
        <v>3776</v>
      </c>
      <c r="B3781" s="229"/>
      <c r="C3781" s="223"/>
      <c r="D3781" s="224"/>
      <c r="E3781" s="225"/>
      <c r="F3781" s="1036" t="str">
        <f t="shared" si="1312"/>
        <v/>
      </c>
      <c r="G3781" s="1037" t="str">
        <f t="shared" si="1307"/>
        <v/>
      </c>
      <c r="H3781" s="225"/>
      <c r="I3781" s="1013"/>
      <c r="J3781" s="1013"/>
      <c r="K3781" s="1028"/>
      <c r="L3781" s="1035" t="str">
        <f t="shared" si="1311"/>
        <v/>
      </c>
      <c r="S3781" s="498"/>
      <c r="AJ3781" s="498"/>
      <c r="AM3781" s="498">
        <f t="shared" si="1292"/>
        <v>0</v>
      </c>
      <c r="AN3781" s="498">
        <f t="shared" si="1293"/>
        <v>0</v>
      </c>
      <c r="AO3781" s="498">
        <f t="shared" si="1294"/>
        <v>0</v>
      </c>
      <c r="AP3781" s="498">
        <f t="shared" si="1313"/>
        <v>0</v>
      </c>
      <c r="AQ3781" s="498">
        <f t="shared" si="1308"/>
        <v>0</v>
      </c>
      <c r="AU3781" s="498">
        <f t="shared" si="1295"/>
        <v>0</v>
      </c>
      <c r="AV3781" s="498">
        <f t="shared" si="1296"/>
        <v>0</v>
      </c>
      <c r="AW3781" s="498">
        <f t="shared" si="1297"/>
        <v>0</v>
      </c>
      <c r="AX3781" s="498">
        <f t="shared" si="1298"/>
        <v>0</v>
      </c>
      <c r="AY3781" s="498">
        <f t="shared" si="1299"/>
        <v>0</v>
      </c>
      <c r="BB3781" s="498" t="str">
        <f t="shared" si="1300"/>
        <v/>
      </c>
      <c r="BC3781" s="743" t="str">
        <f t="shared" si="1301"/>
        <v/>
      </c>
      <c r="BD3781" s="743" t="str">
        <f t="shared" si="1302"/>
        <v/>
      </c>
      <c r="BE3781" s="743" t="str">
        <f>IF(D3781="","",VLOOKUP(D3781,'General Basis'!$J$39:$K$46,2,0))</f>
        <v/>
      </c>
      <c r="BF3781" s="744" t="str">
        <f>IF(D3781="","",VLOOKUP(D3781,'General Basis'!$J$39:$L$46,3,0))</f>
        <v/>
      </c>
      <c r="BG3781" s="744" t="str">
        <f t="shared" si="1309"/>
        <v/>
      </c>
      <c r="BH3781" s="744" t="str">
        <f>IF(G3781="","",IF(BF3781="Abu Dhabi",IF(G3781&lt;18,'General Basis'!$C$39,IF(G3781&lt;41,'General Basis'!$C$40,IF(G3781&lt;60,'General Basis'!$C$41,IF(G3781&lt;65,'General Basis'!$C$42,'General Basis'!$C$43)))),IF(G3781&lt;11,'General Basis'!$B$39,IF(G3781&lt;18,'General Basis'!$B$40,IF(G3781&lt;26,'General Basis'!$B$41,IF(G3781&lt;31,'General Basis'!$B$42,IF(G3781&lt;36,'General Basis'!$B$43,IF(G3781&lt;41,'General Basis'!$B$44,IF(G3781&lt;46,'General Basis'!$B$45,IF(G3781&lt;51,'General Basis'!$B$46,IF(G3781&lt;56,'General Basis'!$B$47,IF(G3781&lt;60,'General Basis'!$B$48,IF(G3781&lt;65,'General Basis'!$B$49,'General Basis'!$B$50)))))))))))))</f>
        <v/>
      </c>
      <c r="BI3781" s="744" t="str">
        <f t="shared" si="1303"/>
        <v/>
      </c>
      <c r="BJ3781" s="747" t="str">
        <f t="shared" si="1310"/>
        <v/>
      </c>
      <c r="BK3781" s="498" t="str">
        <f t="shared" si="1304"/>
        <v/>
      </c>
      <c r="BL3781" s="498" t="str">
        <f t="shared" si="1305"/>
        <v/>
      </c>
    </row>
    <row r="3782" spans="1:64" x14ac:dyDescent="0.25">
      <c r="A3782" s="762">
        <f t="shared" si="1306"/>
        <v>3777</v>
      </c>
      <c r="B3782" s="229"/>
      <c r="C3782" s="223"/>
      <c r="D3782" s="224"/>
      <c r="E3782" s="225"/>
      <c r="F3782" s="1036" t="str">
        <f t="shared" si="1312"/>
        <v/>
      </c>
      <c r="G3782" s="1037" t="str">
        <f t="shared" si="1307"/>
        <v/>
      </c>
      <c r="H3782" s="225"/>
      <c r="I3782" s="1013"/>
      <c r="J3782" s="1013"/>
      <c r="K3782" s="1028"/>
      <c r="L3782" s="1035" t="str">
        <f t="shared" si="1311"/>
        <v/>
      </c>
      <c r="S3782" s="498"/>
      <c r="AJ3782" s="498"/>
      <c r="AM3782" s="498">
        <f t="shared" ref="AM3782:AM3845" si="1314">IF(ISTEXT(B3782),1,0)</f>
        <v>0</v>
      </c>
      <c r="AN3782" s="498">
        <f t="shared" ref="AN3782:AN3845" si="1315">IF(ISBLANK(B3782),0,IF(B3782&lt;$AK$6,1,0))</f>
        <v>0</v>
      </c>
      <c r="AO3782" s="498">
        <f t="shared" ref="AO3782:AO3845" si="1316">IF(ISBLANK(B3782),0,IF(B3782&gt;$AK$7,1,0))</f>
        <v>0</v>
      </c>
      <c r="AP3782" s="498">
        <f t="shared" si="1313"/>
        <v>0</v>
      </c>
      <c r="AQ3782" s="498">
        <f t="shared" si="1308"/>
        <v>0</v>
      </c>
      <c r="AU3782" s="498">
        <f t="shared" ref="AU3782:AU3845" si="1317">IF(ISBLANK(B3782),0,1)</f>
        <v>0</v>
      </c>
      <c r="AV3782" s="498">
        <f t="shared" ref="AV3782:AV3845" si="1318">IF(ISBLANK(C3782),0,1)</f>
        <v>0</v>
      </c>
      <c r="AW3782" s="498">
        <f t="shared" ref="AW3782:AW3845" si="1319">IF(ISBLANK(D3782),0,1)</f>
        <v>0</v>
      </c>
      <c r="AX3782" s="498">
        <f t="shared" ref="AX3782:AX3845" si="1320">IF(ISBLANK(E3782),0,1)</f>
        <v>0</v>
      </c>
      <c r="AY3782" s="498">
        <f t="shared" ref="AY3782:AY3845" si="1321">IF(ISBLANK(H3782),0,1)</f>
        <v>0</v>
      </c>
      <c r="BB3782" s="498" t="str">
        <f t="shared" ref="BB3782:BB3845" si="1322">IF(E3782="Principal","Principal",IF(E3782="","","Other"))</f>
        <v/>
      </c>
      <c r="BC3782" s="743" t="str">
        <f t="shared" ref="BC3782:BC3845" si="1323">IF(D3782="","",D3782)</f>
        <v/>
      </c>
      <c r="BD3782" s="743" t="str">
        <f t="shared" ref="BD3782:BD3845" si="1324">IF(E3782="Principal","Employee",IF(E3782="","","Dependent"))</f>
        <v/>
      </c>
      <c r="BE3782" s="743" t="str">
        <f>IF(D3782="","",VLOOKUP(D3782,'General Basis'!$J$39:$K$46,2,0))</f>
        <v/>
      </c>
      <c r="BF3782" s="744" t="str">
        <f>IF(D3782="","",VLOOKUP(D3782,'General Basis'!$J$39:$L$46,3,0))</f>
        <v/>
      </c>
      <c r="BG3782" s="744" t="str">
        <f t="shared" si="1309"/>
        <v/>
      </c>
      <c r="BH3782" s="744" t="str">
        <f>IF(G3782="","",IF(BF3782="Abu Dhabi",IF(G3782&lt;18,'General Basis'!$C$39,IF(G3782&lt;41,'General Basis'!$C$40,IF(G3782&lt;60,'General Basis'!$C$41,IF(G3782&lt;65,'General Basis'!$C$42,'General Basis'!$C$43)))),IF(G3782&lt;11,'General Basis'!$B$39,IF(G3782&lt;18,'General Basis'!$B$40,IF(G3782&lt;26,'General Basis'!$B$41,IF(G3782&lt;31,'General Basis'!$B$42,IF(G3782&lt;36,'General Basis'!$B$43,IF(G3782&lt;41,'General Basis'!$B$44,IF(G3782&lt;46,'General Basis'!$B$45,IF(G3782&lt;51,'General Basis'!$B$46,IF(G3782&lt;56,'General Basis'!$B$47,IF(G3782&lt;60,'General Basis'!$B$48,IF(G3782&lt;65,'General Basis'!$B$49,'General Basis'!$B$50)))))))))))))</f>
        <v/>
      </c>
      <c r="BI3782" s="744" t="str">
        <f t="shared" ref="BI3782:BI3845" si="1325">IF(C3782="","",IF(C3782="M","Male","Female"))</f>
        <v/>
      </c>
      <c r="BJ3782" s="747" t="str">
        <f t="shared" si="1310"/>
        <v/>
      </c>
      <c r="BK3782" s="498" t="str">
        <f t="shared" ref="BK3782:BK3845" si="1326">IF(BD3782="","",IF(AND(BD3782="Employee",BI3782="Male",BF3782="Abu Dhabi",BE3782=GN_Plus),VLOOKUP(BH3782,AUH_MALE_EMP,2,0),IF(AND(BD3782="Employee",BI3782="Male",BF3782="Abu Dhabi",BE3782=GN),VLOOKUP(BH3782,AUH_MALE_EMP,3,0),IF(AND(BD3782="Employee",BI3782="Male",BF3782="Abu Dhabi",BE3782=RN_Plus),VLOOKUP(BH3782,AUH_MALE_EMP,4,0),IF(AND(BD3782="Employee",BI3782="Male",BF3782="Abu Dhabi",BE3782=RN),VLOOKUP(BH3782,AUH_MALE_EMP,5,0),IF(AND(BD3782="Employee",BI3782="Male",BF3782="Abu Dhabi",BE3782=RN_2),VLOOKUP(BH3782,AUH_MALE_EMP,6,0),IF(AND(BD3782="Employee",BI3782="Male",BF3782="Abu Dhabi",BE3782=RN2_minus),VLOOKUP(BH3782,AUH_MALE_EMP,7,0),IF(AND(BD3782="Employee",BI3782="Male",BF3782="Abu Dhabi",BE3782=RN_3),VLOOKUP(BH3782,AUH_MALE_EMP,8,0),IF(AND(BD3782="Employee",BI3782="Male",BF3782="Abu Dhabi",BE3782=VN),VLOOKUP(BH3782,AUH_MALE_EMP,9,0),IF(BD3782="","",IF(AND(BD3782="Employee",BI3782="Female",BF3782="Abu Dhabi",BE3782=GN_Plus),VLOOKUP(BH3782,AUH_FEMALE_EMP,2,0),IF(AND(BD3782="Employee",BI3782="Female",BF3782="Abu Dhabi",BE3782=GN),VLOOKUP(BH3782,AUH_FEMALE_EMP,3,0),IF(AND(BD3782="Employee",BI3782="Female",BF3782="Abu Dhabi",BE3782=RN_Plus),VLOOKUP(BH3782,AUH_FEMALE_EMP,4,0),IF(AND(BD3782="Employee",BI3782="Female",BF3782="Abu Dhabi",BE3782=RN),VLOOKUP(BH3782,AUH_FEMALE_EMP,5,0),IF(AND(BD3782="Employee",BI3782="Female",BF3782="Abu Dhabi",BE3782=RN_2),VLOOKUP(BH3782,AUH_FEMALE_EMP,6,0),IF(AND(BD3782="Employee",BI3782="Female",BF3782="Abu Dhabi",BE3782=RN2_minus),VLOOKUP(BH3782,AUH_FEMALE_EMP,7,0),IF(AND(BD3782="Employee",BI3782="Female",BF3782="Abu Dhabi",BE3782=RN_3),VLOOKUP(BH3782,AUH_FEMALE_EMP,8,0),IF(AND(BD3782="Employee",BI3782="Female",BF3782="Abu Dhabi",BE3782=VN),VLOOKUP(BH3782,AUH_FEMALE_EMP,9,0),IF(BD3782="","",IF(AND(BD3782="Dependent",BI3782="Male",BF3782="Abu Dhabi",BE3782=GN_Plus),VLOOKUP(BH3782,AUH_MALE_DEP,2,0),IF(AND(BD3782="Dependent",BI3782="Male",BF3782="Abu Dhabi",BE3782=GN),VLOOKUP(BH3782,AUH_MALE_DEP,3,0),IF(AND(BD3782="Dependent",BI3782="Male",BF3782="Abu Dhabi",BE3782=RN_Plus),VLOOKUP(BH3782,AUH_MALE_DEP,4,0),IF(AND(BD3782="Dependent",BI3782="Male",BF3782="Abu Dhabi",BE3782=RN),VLOOKUP(BH3782,AUH_MALE_DEP,5,0),IF(AND(BD3782="Dependent",BI3782="Male",BF3782="Abu Dhabi",BE3782=RN_2),VLOOKUP(BH3782,AUH_MALE_DEP,6,0),IF(AND(BD3782="Dependent",BI3782="Male",BF3782="Abu Dhabi",BE3782=RN2_minus),VLOOKUP(BH3782,AUH_MALE_DEP,7,0),IF(AND(BD3782="Dependent",BI3782="Male",BF3782="Abu Dhabi",BE3782=RN_3),VLOOKUP(BH3782,AUH_MALE_DEP,8,0),IF(AND(BD3782="Dependent",BI3782="Male",BF3782="Abu Dhabi",BE3782=VN),VLOOKUP(BH3782,AUH_MALE_DEP,9,0),IF(BD3782="","",IF(AND(BD3782="Dependent",BI3782="Female",BF3782="Abu Dhabi",BE3782=GN_Plus),VLOOKUP(BH3782,AUH_FEMALE_DEP,2,0),IF(AND(BD3782="Dependent",BI3782="Female",BF3782="Abu Dhabi",BE3782=GN),VLOOKUP(BH3782,AUH_FEMALE_DEP,3,0),IF(AND(BD3782="Dependent",BI3782="Female",BF3782="Abu Dhabi",BE3782=RN_Plus),VLOOKUP(BH3782,AUH_FEMALE_DEP,4,0),IF(AND(BD3782="Dependent",BI3782="Female",BF3782="Abu Dhabi",BE3782=RN),VLOOKUP(BH3782,AUH_FEMALE_DEP,5,0),IF(AND(BD3782="Dependent",BI3782="Female",BF3782="Abu Dhabi",BE3782=RN_2),VLOOKUP(BH3782,AUH_FEMALE_DEP,6,0),IF(AND(BD3782="Dependent",BI3782="Female",BF3782="Abu Dhabi",BE3782=RN2_minus),VLOOKUP(BH3782,AUH_FEMALE_DEP,7,0),IF(AND(BD3782="Dependent",BI3782="Female",BF3782="Abu Dhabi",BE3782=RN_3),VLOOKUP(BH3782,AUH_FEMALE_DEP,8,0),IF(AND(BD3782="Dependent",BI3782="Female",BF3782="Abu Dhabi",BE3782=VN),VLOOKUP(BH3782,AUH_FEMALE_DEP,9,0),"ABC"))))))))))))))))))))))))))))))))))))</f>
        <v/>
      </c>
      <c r="BL3782" s="498" t="str">
        <f t="shared" ref="BL3782:BL3845" si="1327">IF(BD3782="","",IF(AND(BD3782="Employee",BI3782="Male",BF3782="Dubai",BE3782=GN_Plus),VLOOKUP(BH3782,DXB_MALE_EMP,2,0),IF(AND(BD3782="Employee",BI3782="Male",BF3782="Dubai",BE3782=GN),VLOOKUP(BH3782,DXB_MALE_EMP,3,0),IF(AND(BD3782="Employee",BI3782="Male",BF3782="Dubai",BE3782=RN_Plus),VLOOKUP(BH3782,DXB_MALE_EMP,4,0),IF(AND(BD3782="Employee",BI3782="Male",BF3782="Dubai",BE3782=RN),VLOOKUP(BH3782,DXB_MALE_EMP,5,0),IF(AND(BD3782="Employee",BI3782="Male",BF3782="Dubai",BE3782=RN_2),VLOOKUP(BH3782,DXB_MALE_EMP,6,0),IF(AND(BD3782="Employee",BI3782="Male",BF3782="Dubai",BE3782=RN2_minus),VLOOKUP(BH3782,DXB_MALE_EMP,7,0),IF(AND(BD3782="Employee",BI3782="Male",BF3782="Dubai",BE3782=RN_3),VLOOKUP(BH3782,DXB_MALE_EMP,8,0),IF(AND(BD3782="Employee",BI3782="Male",BF3782="Dubai",BE3782=VN),VLOOKUP(BH3782,DXB_MALE_EMP,9,0),IF(BD3782="","",IF(AND(BD3782="Employee",BI3782="Female",BF3782="Dubai",BE3782=GN_Plus),VLOOKUP(BH3782,DXB_FEMALE_EMP,2,0),IF(AND(BD3782="Employee",BI3782="Female",BF3782="Dubai",BE3782=GN),VLOOKUP(BH3782,DXB_FEMALE_EMP,3,0),IF(AND(BD3782="Employee",BI3782="Female",BF3782="Dubai",BE3782=RN_Plus),VLOOKUP(BH3782,DXB_FEMALE_EMP,4,0),IF(AND(BD3782="Employee",BI3782="Female",BF3782="Dubai",BE3782=RN),VLOOKUP(BH3782,DXB_FEMALE_EMP,5,0),IF(AND(BD3782="Employee",BI3782="Female",BF3782="Dubai",BE3782=RN_2),VLOOKUP(BH3782,DXB_FEMALE_EMP,6,0),IF(AND(BD3782="Employee",BI3782="Female",BF3782="Dubai",BE3782=RN2_minus),VLOOKUP(BH3782,DXB_FEMALE_EMP,7,0),IF(AND(BD3782="Employee",BI3782="Female",BF3782="Dubai",BE3782=RN_3),VLOOKUP(BH3782,DXB_FEMALE_EMP,8,0),IF(AND(BD3782="Employee",BI3782="Female",BF3782="Dubai",BE3782=VN),VLOOKUP(BH3782,DXB_FEMALE_EMP,9,0),IF(BD3782="","",IF(AND(BD3782="Dependent",BI3782="Male",BF3782="Dubai",BE3782=GN_Plus),VLOOKUP(BH3782,DXB_MALE_DEP,2,0),IF(AND(BD3782="Dependent",BI3782="Male",BF3782="Dubai",BE3782=GN),VLOOKUP(BH3782,DXB_MALE_DEP,3,0),IF(AND(BD3782="Dependent",BI3782="Male",BF3782="Dubai",BE3782=RN_Plus),VLOOKUP(BH3782,DXB_MALE_DEP,4,0),IF(AND(BD3782="Dependent",BI3782="Male",BF3782="Dubai",BE3782=RN),VLOOKUP(BH3782,DXB_MALE_DEP,5,0),IF(AND(BD3782="Dependent",BI3782="Male",BF3782="Dubai",BE3782=RN_2),VLOOKUP(BH3782,DXB_MALE_DEP,6,0),IF(AND(BD3782="Dependent",BI3782="Male",BF3782="Dubai",BE3782=RN2_minus),VLOOKUP(BH3782,DXB_MALE_DEP,7,0),IF(AND(BD3782="Dependent",BI3782="Male",BF3782="Dubai",BE3782=RN_3),VLOOKUP(BH3782,DXB_MALE_DEP,8,0),IF(AND(BD3782="Dependent",BI3782="Male",BF3782="Dubai",BE3782=VN),VLOOKUP(BH3782,DXB_MALE_DEP,9,0),IF(BD3782="","",IF(AND(BD3782="Dependent",BI3782="Female",BF3782="Dubai",BE3782=GN_Plus),VLOOKUP(BH3782,DXB_FEMALE_DEP,2,0),IF(AND(BD3782="Dependent",BI3782="Female",BF3782="Dubai",BE3782=GN),VLOOKUP(BH3782,DXB_FEMALE_DEP,3,0),IF(AND(BD3782="Dependent",BI3782="Female",BF3782="Dubai",BE3782=RN_Plus),VLOOKUP(BH3782,DXB_FEMALE_DEP,4,0),IF(AND(BD3782="Dependent",BI3782="Female",BF3782="Dubai",BE3782=RN),VLOOKUP(BH3782,DXB_FEMALE_DEP,5,0),IF(AND(BD3782="Dependent",BI3782="Female",BF3782="Dubai",BE3782=RN_2),VLOOKUP(BH3782,DXB_FEMALE_DEP,6,0),IF(AND(BD3782="Dependent",BI3782="Female",BF3782="Dubai",BE3782=RN2_minus),VLOOKUP(BH3782,DXB_FEMALE_DEP,7,0),IF(AND(BD3782="Dependent",BI3782="Female",BF3782="Dubai",BE3782=RN_3),VLOOKUP(BH3782,DXB_FEMALE_DEP,8,0),IF(AND(BD3782="Dependent",BI3782="Female",BF3782="Dubai",BE3782=VN),VLOOKUP(BH3782,DXB_FEMALE_DEP,9,0),"ABC"))))))))))))))))))))))))))))))))))))</f>
        <v/>
      </c>
    </row>
    <row r="3783" spans="1:64" x14ac:dyDescent="0.25">
      <c r="A3783" s="762">
        <f t="shared" ref="A3783:A3846" si="1328">+A3782+1</f>
        <v>3778</v>
      </c>
      <c r="B3783" s="229"/>
      <c r="C3783" s="223"/>
      <c r="D3783" s="224"/>
      <c r="E3783" s="225"/>
      <c r="F3783" s="1036" t="str">
        <f t="shared" si="1312"/>
        <v/>
      </c>
      <c r="G3783" s="1037" t="str">
        <f t="shared" ref="G3783:G3846" si="1329">IF(D3783="","",MAX(0,ROUNDUP(F3783,0)))</f>
        <v/>
      </c>
      <c r="H3783" s="225"/>
      <c r="I3783" s="1013"/>
      <c r="J3783" s="1013"/>
      <c r="K3783" s="1028"/>
      <c r="L3783" s="1035" t="str">
        <f t="shared" si="1311"/>
        <v/>
      </c>
      <c r="S3783" s="498"/>
      <c r="AJ3783" s="498"/>
      <c r="AM3783" s="498">
        <f t="shared" si="1314"/>
        <v>0</v>
      </c>
      <c r="AN3783" s="498">
        <f t="shared" si="1315"/>
        <v>0</v>
      </c>
      <c r="AO3783" s="498">
        <f t="shared" si="1316"/>
        <v>0</v>
      </c>
      <c r="AP3783" s="498">
        <f t="shared" si="1313"/>
        <v>0</v>
      </c>
      <c r="AQ3783" s="498">
        <f t="shared" ref="AQ3783:AQ3846" si="1330">IF(ISBLANK($B3783),0,IF(OR($H3783="Single",$H3783="Married"),0,1))</f>
        <v>0</v>
      </c>
      <c r="AU3783" s="498">
        <f t="shared" si="1317"/>
        <v>0</v>
      </c>
      <c r="AV3783" s="498">
        <f t="shared" si="1318"/>
        <v>0</v>
      </c>
      <c r="AW3783" s="498">
        <f t="shared" si="1319"/>
        <v>0</v>
      </c>
      <c r="AX3783" s="498">
        <f t="shared" si="1320"/>
        <v>0</v>
      </c>
      <c r="AY3783" s="498">
        <f t="shared" si="1321"/>
        <v>0</v>
      </c>
      <c r="BB3783" s="498" t="str">
        <f t="shared" si="1322"/>
        <v/>
      </c>
      <c r="BC3783" s="743" t="str">
        <f t="shared" si="1323"/>
        <v/>
      </c>
      <c r="BD3783" s="743" t="str">
        <f t="shared" si="1324"/>
        <v/>
      </c>
      <c r="BE3783" s="743" t="str">
        <f>IF(D3783="","",VLOOKUP(D3783,'General Basis'!$J$39:$K$46,2,0))</f>
        <v/>
      </c>
      <c r="BF3783" s="744" t="str">
        <f>IF(D3783="","",VLOOKUP(D3783,'General Basis'!$J$39:$L$46,3,0))</f>
        <v/>
      </c>
      <c r="BG3783" s="744" t="str">
        <f t="shared" ref="BG3783:BG3846" si="1331">BC3783&amp;BI3783</f>
        <v/>
      </c>
      <c r="BH3783" s="744" t="str">
        <f>IF(G3783="","",IF(BF3783="Abu Dhabi",IF(G3783&lt;18,'General Basis'!$C$39,IF(G3783&lt;41,'General Basis'!$C$40,IF(G3783&lt;60,'General Basis'!$C$41,IF(G3783&lt;65,'General Basis'!$C$42,'General Basis'!$C$43)))),IF(G3783&lt;11,'General Basis'!$B$39,IF(G3783&lt;18,'General Basis'!$B$40,IF(G3783&lt;26,'General Basis'!$B$41,IF(G3783&lt;31,'General Basis'!$B$42,IF(G3783&lt;36,'General Basis'!$B$43,IF(G3783&lt;41,'General Basis'!$B$44,IF(G3783&lt;46,'General Basis'!$B$45,IF(G3783&lt;51,'General Basis'!$B$46,IF(G3783&lt;56,'General Basis'!$B$47,IF(G3783&lt;60,'General Basis'!$B$48,IF(G3783&lt;65,'General Basis'!$B$49,'General Basis'!$B$50)))))))))))))</f>
        <v/>
      </c>
      <c r="BI3783" s="744" t="str">
        <f t="shared" si="1325"/>
        <v/>
      </c>
      <c r="BJ3783" s="747" t="str">
        <f t="shared" ref="BJ3783:BJ3846" si="1332">IF(BD3783="","",IF(BF3783="Abu Dhabi",BK3783,BL3783))</f>
        <v/>
      </c>
      <c r="BK3783" s="498" t="str">
        <f t="shared" si="1326"/>
        <v/>
      </c>
      <c r="BL3783" s="498" t="str">
        <f t="shared" si="1327"/>
        <v/>
      </c>
    </row>
    <row r="3784" spans="1:64" x14ac:dyDescent="0.25">
      <c r="A3784" s="762">
        <f t="shared" si="1328"/>
        <v>3779</v>
      </c>
      <c r="B3784" s="229"/>
      <c r="C3784" s="223"/>
      <c r="D3784" s="224"/>
      <c r="E3784" s="225"/>
      <c r="F3784" s="1036" t="str">
        <f t="shared" si="1312"/>
        <v/>
      </c>
      <c r="G3784" s="1037" t="str">
        <f t="shared" si="1329"/>
        <v/>
      </c>
      <c r="H3784" s="225"/>
      <c r="I3784" s="1013"/>
      <c r="J3784" s="1013"/>
      <c r="K3784" s="1028"/>
      <c r="L3784" s="1035" t="str">
        <f t="shared" ref="L3784:L3847" si="1333">IF(AND(E3784="Child",H3784="Married"),"Check the Marital Status of the Child. ",IF(AND(E3784="Child",F3784&gt;18),"Child Age exceed 18 years. ",IF(AND(E3784="Spouse",H3784="Single"),"Spouse is selected as Single. ","")))&amp;IF(K3784&gt;0,"UW Loading has been Applied","")</f>
        <v/>
      </c>
      <c r="S3784" s="498"/>
      <c r="AJ3784" s="498"/>
      <c r="AM3784" s="498">
        <f t="shared" si="1314"/>
        <v>0</v>
      </c>
      <c r="AN3784" s="498">
        <f t="shared" si="1315"/>
        <v>0</v>
      </c>
      <c r="AO3784" s="498">
        <f t="shared" si="1316"/>
        <v>0</v>
      </c>
      <c r="AP3784" s="498">
        <f t="shared" si="1313"/>
        <v>0</v>
      </c>
      <c r="AQ3784" s="498">
        <f t="shared" si="1330"/>
        <v>0</v>
      </c>
      <c r="AU3784" s="498">
        <f t="shared" si="1317"/>
        <v>0</v>
      </c>
      <c r="AV3784" s="498">
        <f t="shared" si="1318"/>
        <v>0</v>
      </c>
      <c r="AW3784" s="498">
        <f t="shared" si="1319"/>
        <v>0</v>
      </c>
      <c r="AX3784" s="498">
        <f t="shared" si="1320"/>
        <v>0</v>
      </c>
      <c r="AY3784" s="498">
        <f t="shared" si="1321"/>
        <v>0</v>
      </c>
      <c r="BB3784" s="498" t="str">
        <f t="shared" si="1322"/>
        <v/>
      </c>
      <c r="BC3784" s="743" t="str">
        <f t="shared" si="1323"/>
        <v/>
      </c>
      <c r="BD3784" s="743" t="str">
        <f t="shared" si="1324"/>
        <v/>
      </c>
      <c r="BE3784" s="743" t="str">
        <f>IF(D3784="","",VLOOKUP(D3784,'General Basis'!$J$39:$K$46,2,0))</f>
        <v/>
      </c>
      <c r="BF3784" s="744" t="str">
        <f>IF(D3784="","",VLOOKUP(D3784,'General Basis'!$J$39:$L$46,3,0))</f>
        <v/>
      </c>
      <c r="BG3784" s="744" t="str">
        <f t="shared" si="1331"/>
        <v/>
      </c>
      <c r="BH3784" s="744" t="str">
        <f>IF(G3784="","",IF(BF3784="Abu Dhabi",IF(G3784&lt;18,'General Basis'!$C$39,IF(G3784&lt;41,'General Basis'!$C$40,IF(G3784&lt;60,'General Basis'!$C$41,IF(G3784&lt;65,'General Basis'!$C$42,'General Basis'!$C$43)))),IF(G3784&lt;11,'General Basis'!$B$39,IF(G3784&lt;18,'General Basis'!$B$40,IF(G3784&lt;26,'General Basis'!$B$41,IF(G3784&lt;31,'General Basis'!$B$42,IF(G3784&lt;36,'General Basis'!$B$43,IF(G3784&lt;41,'General Basis'!$B$44,IF(G3784&lt;46,'General Basis'!$B$45,IF(G3784&lt;51,'General Basis'!$B$46,IF(G3784&lt;56,'General Basis'!$B$47,IF(G3784&lt;60,'General Basis'!$B$48,IF(G3784&lt;65,'General Basis'!$B$49,'General Basis'!$B$50)))))))))))))</f>
        <v/>
      </c>
      <c r="BI3784" s="744" t="str">
        <f t="shared" si="1325"/>
        <v/>
      </c>
      <c r="BJ3784" s="747" t="str">
        <f t="shared" si="1332"/>
        <v/>
      </c>
      <c r="BK3784" s="498" t="str">
        <f t="shared" si="1326"/>
        <v/>
      </c>
      <c r="BL3784" s="498" t="str">
        <f t="shared" si="1327"/>
        <v/>
      </c>
    </row>
    <row r="3785" spans="1:64" x14ac:dyDescent="0.25">
      <c r="A3785" s="762">
        <f t="shared" si="1328"/>
        <v>3780</v>
      </c>
      <c r="B3785" s="229"/>
      <c r="C3785" s="223"/>
      <c r="D3785" s="224"/>
      <c r="E3785" s="225"/>
      <c r="F3785" s="1036" t="str">
        <f t="shared" si="1312"/>
        <v/>
      </c>
      <c r="G3785" s="1037" t="str">
        <f t="shared" si="1329"/>
        <v/>
      </c>
      <c r="H3785" s="225"/>
      <c r="I3785" s="1013"/>
      <c r="J3785" s="1013"/>
      <c r="K3785" s="1028"/>
      <c r="L3785" s="1035" t="str">
        <f t="shared" si="1333"/>
        <v/>
      </c>
      <c r="S3785" s="498"/>
      <c r="AJ3785" s="498"/>
      <c r="AM3785" s="498">
        <f t="shared" si="1314"/>
        <v>0</v>
      </c>
      <c r="AN3785" s="498">
        <f t="shared" si="1315"/>
        <v>0</v>
      </c>
      <c r="AO3785" s="498">
        <f t="shared" si="1316"/>
        <v>0</v>
      </c>
      <c r="AP3785" s="498">
        <f t="shared" si="1313"/>
        <v>0</v>
      </c>
      <c r="AQ3785" s="498">
        <f t="shared" si="1330"/>
        <v>0</v>
      </c>
      <c r="AU3785" s="498">
        <f t="shared" si="1317"/>
        <v>0</v>
      </c>
      <c r="AV3785" s="498">
        <f t="shared" si="1318"/>
        <v>0</v>
      </c>
      <c r="AW3785" s="498">
        <f t="shared" si="1319"/>
        <v>0</v>
      </c>
      <c r="AX3785" s="498">
        <f t="shared" si="1320"/>
        <v>0</v>
      </c>
      <c r="AY3785" s="498">
        <f t="shared" si="1321"/>
        <v>0</v>
      </c>
      <c r="BB3785" s="498" t="str">
        <f t="shared" si="1322"/>
        <v/>
      </c>
      <c r="BC3785" s="743" t="str">
        <f t="shared" si="1323"/>
        <v/>
      </c>
      <c r="BD3785" s="743" t="str">
        <f t="shared" si="1324"/>
        <v/>
      </c>
      <c r="BE3785" s="743" t="str">
        <f>IF(D3785="","",VLOOKUP(D3785,'General Basis'!$J$39:$K$46,2,0))</f>
        <v/>
      </c>
      <c r="BF3785" s="744" t="str">
        <f>IF(D3785="","",VLOOKUP(D3785,'General Basis'!$J$39:$L$46,3,0))</f>
        <v/>
      </c>
      <c r="BG3785" s="744" t="str">
        <f t="shared" si="1331"/>
        <v/>
      </c>
      <c r="BH3785" s="744" t="str">
        <f>IF(G3785="","",IF(BF3785="Abu Dhabi",IF(G3785&lt;18,'General Basis'!$C$39,IF(G3785&lt;41,'General Basis'!$C$40,IF(G3785&lt;60,'General Basis'!$C$41,IF(G3785&lt;65,'General Basis'!$C$42,'General Basis'!$C$43)))),IF(G3785&lt;11,'General Basis'!$B$39,IF(G3785&lt;18,'General Basis'!$B$40,IF(G3785&lt;26,'General Basis'!$B$41,IF(G3785&lt;31,'General Basis'!$B$42,IF(G3785&lt;36,'General Basis'!$B$43,IF(G3785&lt;41,'General Basis'!$B$44,IF(G3785&lt;46,'General Basis'!$B$45,IF(G3785&lt;51,'General Basis'!$B$46,IF(G3785&lt;56,'General Basis'!$B$47,IF(G3785&lt;60,'General Basis'!$B$48,IF(G3785&lt;65,'General Basis'!$B$49,'General Basis'!$B$50)))))))))))))</f>
        <v/>
      </c>
      <c r="BI3785" s="744" t="str">
        <f t="shared" si="1325"/>
        <v/>
      </c>
      <c r="BJ3785" s="747" t="str">
        <f t="shared" si="1332"/>
        <v/>
      </c>
      <c r="BK3785" s="498" t="str">
        <f t="shared" si="1326"/>
        <v/>
      </c>
      <c r="BL3785" s="498" t="str">
        <f t="shared" si="1327"/>
        <v/>
      </c>
    </row>
    <row r="3786" spans="1:64" x14ac:dyDescent="0.25">
      <c r="A3786" s="762">
        <f t="shared" si="1328"/>
        <v>3781</v>
      </c>
      <c r="B3786" s="229"/>
      <c r="C3786" s="223"/>
      <c r="D3786" s="224"/>
      <c r="E3786" s="225"/>
      <c r="F3786" s="1036" t="str">
        <f t="shared" si="1312"/>
        <v/>
      </c>
      <c r="G3786" s="1037" t="str">
        <f t="shared" si="1329"/>
        <v/>
      </c>
      <c r="H3786" s="225"/>
      <c r="I3786" s="1013"/>
      <c r="J3786" s="1013"/>
      <c r="K3786" s="1028"/>
      <c r="L3786" s="1035" t="str">
        <f t="shared" si="1333"/>
        <v/>
      </c>
      <c r="S3786" s="498"/>
      <c r="AJ3786" s="498"/>
      <c r="AM3786" s="498">
        <f t="shared" si="1314"/>
        <v>0</v>
      </c>
      <c r="AN3786" s="498">
        <f t="shared" si="1315"/>
        <v>0</v>
      </c>
      <c r="AO3786" s="498">
        <f t="shared" si="1316"/>
        <v>0</v>
      </c>
      <c r="AP3786" s="498">
        <f t="shared" si="1313"/>
        <v>0</v>
      </c>
      <c r="AQ3786" s="498">
        <f t="shared" si="1330"/>
        <v>0</v>
      </c>
      <c r="AU3786" s="498">
        <f t="shared" si="1317"/>
        <v>0</v>
      </c>
      <c r="AV3786" s="498">
        <f t="shared" si="1318"/>
        <v>0</v>
      </c>
      <c r="AW3786" s="498">
        <f t="shared" si="1319"/>
        <v>0</v>
      </c>
      <c r="AX3786" s="498">
        <f t="shared" si="1320"/>
        <v>0</v>
      </c>
      <c r="AY3786" s="498">
        <f t="shared" si="1321"/>
        <v>0</v>
      </c>
      <c r="BB3786" s="498" t="str">
        <f t="shared" si="1322"/>
        <v/>
      </c>
      <c r="BC3786" s="743" t="str">
        <f t="shared" si="1323"/>
        <v/>
      </c>
      <c r="BD3786" s="743" t="str">
        <f t="shared" si="1324"/>
        <v/>
      </c>
      <c r="BE3786" s="743" t="str">
        <f>IF(D3786="","",VLOOKUP(D3786,'General Basis'!$J$39:$K$46,2,0))</f>
        <v/>
      </c>
      <c r="BF3786" s="744" t="str">
        <f>IF(D3786="","",VLOOKUP(D3786,'General Basis'!$J$39:$L$46,3,0))</f>
        <v/>
      </c>
      <c r="BG3786" s="744" t="str">
        <f t="shared" si="1331"/>
        <v/>
      </c>
      <c r="BH3786" s="744" t="str">
        <f>IF(G3786="","",IF(BF3786="Abu Dhabi",IF(G3786&lt;18,'General Basis'!$C$39,IF(G3786&lt;41,'General Basis'!$C$40,IF(G3786&lt;60,'General Basis'!$C$41,IF(G3786&lt;65,'General Basis'!$C$42,'General Basis'!$C$43)))),IF(G3786&lt;11,'General Basis'!$B$39,IF(G3786&lt;18,'General Basis'!$B$40,IF(G3786&lt;26,'General Basis'!$B$41,IF(G3786&lt;31,'General Basis'!$B$42,IF(G3786&lt;36,'General Basis'!$B$43,IF(G3786&lt;41,'General Basis'!$B$44,IF(G3786&lt;46,'General Basis'!$B$45,IF(G3786&lt;51,'General Basis'!$B$46,IF(G3786&lt;56,'General Basis'!$B$47,IF(G3786&lt;60,'General Basis'!$B$48,IF(G3786&lt;65,'General Basis'!$B$49,'General Basis'!$B$50)))))))))))))</f>
        <v/>
      </c>
      <c r="BI3786" s="744" t="str">
        <f t="shared" si="1325"/>
        <v/>
      </c>
      <c r="BJ3786" s="747" t="str">
        <f t="shared" si="1332"/>
        <v/>
      </c>
      <c r="BK3786" s="498" t="str">
        <f t="shared" si="1326"/>
        <v/>
      </c>
      <c r="BL3786" s="498" t="str">
        <f t="shared" si="1327"/>
        <v/>
      </c>
    </row>
    <row r="3787" spans="1:64" x14ac:dyDescent="0.25">
      <c r="A3787" s="762">
        <f t="shared" si="1328"/>
        <v>3782</v>
      </c>
      <c r="B3787" s="229"/>
      <c r="C3787" s="223"/>
      <c r="D3787" s="224"/>
      <c r="E3787" s="225"/>
      <c r="F3787" s="1036" t="str">
        <f t="shared" si="1312"/>
        <v/>
      </c>
      <c r="G3787" s="1037" t="str">
        <f t="shared" si="1329"/>
        <v/>
      </c>
      <c r="H3787" s="225"/>
      <c r="I3787" s="1013"/>
      <c r="J3787" s="1013"/>
      <c r="K3787" s="1028"/>
      <c r="L3787" s="1035" t="str">
        <f t="shared" si="1333"/>
        <v/>
      </c>
      <c r="S3787" s="498"/>
      <c r="AJ3787" s="498"/>
      <c r="AM3787" s="498">
        <f t="shared" si="1314"/>
        <v>0</v>
      </c>
      <c r="AN3787" s="498">
        <f t="shared" si="1315"/>
        <v>0</v>
      </c>
      <c r="AO3787" s="498">
        <f t="shared" si="1316"/>
        <v>0</v>
      </c>
      <c r="AP3787" s="498">
        <f t="shared" si="1313"/>
        <v>0</v>
      </c>
      <c r="AQ3787" s="498">
        <f t="shared" si="1330"/>
        <v>0</v>
      </c>
      <c r="AU3787" s="498">
        <f t="shared" si="1317"/>
        <v>0</v>
      </c>
      <c r="AV3787" s="498">
        <f t="shared" si="1318"/>
        <v>0</v>
      </c>
      <c r="AW3787" s="498">
        <f t="shared" si="1319"/>
        <v>0</v>
      </c>
      <c r="AX3787" s="498">
        <f t="shared" si="1320"/>
        <v>0</v>
      </c>
      <c r="AY3787" s="498">
        <f t="shared" si="1321"/>
        <v>0</v>
      </c>
      <c r="BB3787" s="498" t="str">
        <f t="shared" si="1322"/>
        <v/>
      </c>
      <c r="BC3787" s="743" t="str">
        <f t="shared" si="1323"/>
        <v/>
      </c>
      <c r="BD3787" s="743" t="str">
        <f t="shared" si="1324"/>
        <v/>
      </c>
      <c r="BE3787" s="743" t="str">
        <f>IF(D3787="","",VLOOKUP(D3787,'General Basis'!$J$39:$K$46,2,0))</f>
        <v/>
      </c>
      <c r="BF3787" s="744" t="str">
        <f>IF(D3787="","",VLOOKUP(D3787,'General Basis'!$J$39:$L$46,3,0))</f>
        <v/>
      </c>
      <c r="BG3787" s="744" t="str">
        <f t="shared" si="1331"/>
        <v/>
      </c>
      <c r="BH3787" s="744" t="str">
        <f>IF(G3787="","",IF(BF3787="Abu Dhabi",IF(G3787&lt;18,'General Basis'!$C$39,IF(G3787&lt;41,'General Basis'!$C$40,IF(G3787&lt;60,'General Basis'!$C$41,IF(G3787&lt;65,'General Basis'!$C$42,'General Basis'!$C$43)))),IF(G3787&lt;11,'General Basis'!$B$39,IF(G3787&lt;18,'General Basis'!$B$40,IF(G3787&lt;26,'General Basis'!$B$41,IF(G3787&lt;31,'General Basis'!$B$42,IF(G3787&lt;36,'General Basis'!$B$43,IF(G3787&lt;41,'General Basis'!$B$44,IF(G3787&lt;46,'General Basis'!$B$45,IF(G3787&lt;51,'General Basis'!$B$46,IF(G3787&lt;56,'General Basis'!$B$47,IF(G3787&lt;60,'General Basis'!$B$48,IF(G3787&lt;65,'General Basis'!$B$49,'General Basis'!$B$50)))))))))))))</f>
        <v/>
      </c>
      <c r="BI3787" s="744" t="str">
        <f t="shared" si="1325"/>
        <v/>
      </c>
      <c r="BJ3787" s="747" t="str">
        <f t="shared" si="1332"/>
        <v/>
      </c>
      <c r="BK3787" s="498" t="str">
        <f t="shared" si="1326"/>
        <v/>
      </c>
      <c r="BL3787" s="498" t="str">
        <f t="shared" si="1327"/>
        <v/>
      </c>
    </row>
    <row r="3788" spans="1:64" x14ac:dyDescent="0.25">
      <c r="A3788" s="762">
        <f t="shared" si="1328"/>
        <v>3783</v>
      </c>
      <c r="B3788" s="229"/>
      <c r="C3788" s="223"/>
      <c r="D3788" s="224"/>
      <c r="E3788" s="225"/>
      <c r="F3788" s="1036" t="str">
        <f t="shared" si="1312"/>
        <v/>
      </c>
      <c r="G3788" s="1037" t="str">
        <f t="shared" si="1329"/>
        <v/>
      </c>
      <c r="H3788" s="225"/>
      <c r="I3788" s="1013"/>
      <c r="J3788" s="1013"/>
      <c r="K3788" s="1028"/>
      <c r="L3788" s="1035" t="str">
        <f t="shared" si="1333"/>
        <v/>
      </c>
      <c r="S3788" s="498"/>
      <c r="AJ3788" s="498"/>
      <c r="AM3788" s="498">
        <f t="shared" si="1314"/>
        <v>0</v>
      </c>
      <c r="AN3788" s="498">
        <f t="shared" si="1315"/>
        <v>0</v>
      </c>
      <c r="AO3788" s="498">
        <f t="shared" si="1316"/>
        <v>0</v>
      </c>
      <c r="AP3788" s="498">
        <f t="shared" si="1313"/>
        <v>0</v>
      </c>
      <c r="AQ3788" s="498">
        <f t="shared" si="1330"/>
        <v>0</v>
      </c>
      <c r="AU3788" s="498">
        <f t="shared" si="1317"/>
        <v>0</v>
      </c>
      <c r="AV3788" s="498">
        <f t="shared" si="1318"/>
        <v>0</v>
      </c>
      <c r="AW3788" s="498">
        <f t="shared" si="1319"/>
        <v>0</v>
      </c>
      <c r="AX3788" s="498">
        <f t="shared" si="1320"/>
        <v>0</v>
      </c>
      <c r="AY3788" s="498">
        <f t="shared" si="1321"/>
        <v>0</v>
      </c>
      <c r="BB3788" s="498" t="str">
        <f t="shared" si="1322"/>
        <v/>
      </c>
      <c r="BC3788" s="743" t="str">
        <f t="shared" si="1323"/>
        <v/>
      </c>
      <c r="BD3788" s="743" t="str">
        <f t="shared" si="1324"/>
        <v/>
      </c>
      <c r="BE3788" s="743" t="str">
        <f>IF(D3788="","",VLOOKUP(D3788,'General Basis'!$J$39:$K$46,2,0))</f>
        <v/>
      </c>
      <c r="BF3788" s="744" t="str">
        <f>IF(D3788="","",VLOOKUP(D3788,'General Basis'!$J$39:$L$46,3,0))</f>
        <v/>
      </c>
      <c r="BG3788" s="744" t="str">
        <f t="shared" si="1331"/>
        <v/>
      </c>
      <c r="BH3788" s="744" t="str">
        <f>IF(G3788="","",IF(BF3788="Abu Dhabi",IF(G3788&lt;18,'General Basis'!$C$39,IF(G3788&lt;41,'General Basis'!$C$40,IF(G3788&lt;60,'General Basis'!$C$41,IF(G3788&lt;65,'General Basis'!$C$42,'General Basis'!$C$43)))),IF(G3788&lt;11,'General Basis'!$B$39,IF(G3788&lt;18,'General Basis'!$B$40,IF(G3788&lt;26,'General Basis'!$B$41,IF(G3788&lt;31,'General Basis'!$B$42,IF(G3788&lt;36,'General Basis'!$B$43,IF(G3788&lt;41,'General Basis'!$B$44,IF(G3788&lt;46,'General Basis'!$B$45,IF(G3788&lt;51,'General Basis'!$B$46,IF(G3788&lt;56,'General Basis'!$B$47,IF(G3788&lt;60,'General Basis'!$B$48,IF(G3788&lt;65,'General Basis'!$B$49,'General Basis'!$B$50)))))))))))))</f>
        <v/>
      </c>
      <c r="BI3788" s="744" t="str">
        <f t="shared" si="1325"/>
        <v/>
      </c>
      <c r="BJ3788" s="747" t="str">
        <f t="shared" si="1332"/>
        <v/>
      </c>
      <c r="BK3788" s="498" t="str">
        <f t="shared" si="1326"/>
        <v/>
      </c>
      <c r="BL3788" s="498" t="str">
        <f t="shared" si="1327"/>
        <v/>
      </c>
    </row>
    <row r="3789" spans="1:64" x14ac:dyDescent="0.25">
      <c r="A3789" s="762">
        <f t="shared" si="1328"/>
        <v>3784</v>
      </c>
      <c r="B3789" s="229"/>
      <c r="C3789" s="223"/>
      <c r="D3789" s="224"/>
      <c r="E3789" s="225"/>
      <c r="F3789" s="1036" t="str">
        <f t="shared" si="1312"/>
        <v/>
      </c>
      <c r="G3789" s="1037" t="str">
        <f t="shared" si="1329"/>
        <v/>
      </c>
      <c r="H3789" s="225"/>
      <c r="I3789" s="1013"/>
      <c r="J3789" s="1013"/>
      <c r="K3789" s="1028"/>
      <c r="L3789" s="1035" t="str">
        <f t="shared" si="1333"/>
        <v/>
      </c>
      <c r="S3789" s="498"/>
      <c r="AJ3789" s="498"/>
      <c r="AM3789" s="498">
        <f t="shared" si="1314"/>
        <v>0</v>
      </c>
      <c r="AN3789" s="498">
        <f t="shared" si="1315"/>
        <v>0</v>
      </c>
      <c r="AO3789" s="498">
        <f t="shared" si="1316"/>
        <v>0</v>
      </c>
      <c r="AP3789" s="498">
        <f t="shared" si="1313"/>
        <v>0</v>
      </c>
      <c r="AQ3789" s="498">
        <f t="shared" si="1330"/>
        <v>0</v>
      </c>
      <c r="AU3789" s="498">
        <f t="shared" si="1317"/>
        <v>0</v>
      </c>
      <c r="AV3789" s="498">
        <f t="shared" si="1318"/>
        <v>0</v>
      </c>
      <c r="AW3789" s="498">
        <f t="shared" si="1319"/>
        <v>0</v>
      </c>
      <c r="AX3789" s="498">
        <f t="shared" si="1320"/>
        <v>0</v>
      </c>
      <c r="AY3789" s="498">
        <f t="shared" si="1321"/>
        <v>0</v>
      </c>
      <c r="BB3789" s="498" t="str">
        <f t="shared" si="1322"/>
        <v/>
      </c>
      <c r="BC3789" s="743" t="str">
        <f t="shared" si="1323"/>
        <v/>
      </c>
      <c r="BD3789" s="743" t="str">
        <f t="shared" si="1324"/>
        <v/>
      </c>
      <c r="BE3789" s="743" t="str">
        <f>IF(D3789="","",VLOOKUP(D3789,'General Basis'!$J$39:$K$46,2,0))</f>
        <v/>
      </c>
      <c r="BF3789" s="744" t="str">
        <f>IF(D3789="","",VLOOKUP(D3789,'General Basis'!$J$39:$L$46,3,0))</f>
        <v/>
      </c>
      <c r="BG3789" s="744" t="str">
        <f t="shared" si="1331"/>
        <v/>
      </c>
      <c r="BH3789" s="744" t="str">
        <f>IF(G3789="","",IF(BF3789="Abu Dhabi",IF(G3789&lt;18,'General Basis'!$C$39,IF(G3789&lt;41,'General Basis'!$C$40,IF(G3789&lt;60,'General Basis'!$C$41,IF(G3789&lt;65,'General Basis'!$C$42,'General Basis'!$C$43)))),IF(G3789&lt;11,'General Basis'!$B$39,IF(G3789&lt;18,'General Basis'!$B$40,IF(G3789&lt;26,'General Basis'!$B$41,IF(G3789&lt;31,'General Basis'!$B$42,IF(G3789&lt;36,'General Basis'!$B$43,IF(G3789&lt;41,'General Basis'!$B$44,IF(G3789&lt;46,'General Basis'!$B$45,IF(G3789&lt;51,'General Basis'!$B$46,IF(G3789&lt;56,'General Basis'!$B$47,IF(G3789&lt;60,'General Basis'!$B$48,IF(G3789&lt;65,'General Basis'!$B$49,'General Basis'!$B$50)))))))))))))</f>
        <v/>
      </c>
      <c r="BI3789" s="744" t="str">
        <f t="shared" si="1325"/>
        <v/>
      </c>
      <c r="BJ3789" s="747" t="str">
        <f t="shared" si="1332"/>
        <v/>
      </c>
      <c r="BK3789" s="498" t="str">
        <f t="shared" si="1326"/>
        <v/>
      </c>
      <c r="BL3789" s="498" t="str">
        <f t="shared" si="1327"/>
        <v/>
      </c>
    </row>
    <row r="3790" spans="1:64" x14ac:dyDescent="0.25">
      <c r="A3790" s="762">
        <f t="shared" si="1328"/>
        <v>3785</v>
      </c>
      <c r="B3790" s="229"/>
      <c r="C3790" s="223"/>
      <c r="D3790" s="224"/>
      <c r="E3790" s="225"/>
      <c r="F3790" s="1036" t="str">
        <f t="shared" si="1312"/>
        <v/>
      </c>
      <c r="G3790" s="1037" t="str">
        <f t="shared" si="1329"/>
        <v/>
      </c>
      <c r="H3790" s="225"/>
      <c r="I3790" s="1013"/>
      <c r="J3790" s="1013"/>
      <c r="K3790" s="1028"/>
      <c r="L3790" s="1035" t="str">
        <f t="shared" si="1333"/>
        <v/>
      </c>
      <c r="S3790" s="498"/>
      <c r="AJ3790" s="498"/>
      <c r="AM3790" s="498">
        <f t="shared" si="1314"/>
        <v>0</v>
      </c>
      <c r="AN3790" s="498">
        <f t="shared" si="1315"/>
        <v>0</v>
      </c>
      <c r="AO3790" s="498">
        <f t="shared" si="1316"/>
        <v>0</v>
      </c>
      <c r="AP3790" s="498">
        <f t="shared" si="1313"/>
        <v>0</v>
      </c>
      <c r="AQ3790" s="498">
        <f t="shared" si="1330"/>
        <v>0</v>
      </c>
      <c r="AU3790" s="498">
        <f t="shared" si="1317"/>
        <v>0</v>
      </c>
      <c r="AV3790" s="498">
        <f t="shared" si="1318"/>
        <v>0</v>
      </c>
      <c r="AW3790" s="498">
        <f t="shared" si="1319"/>
        <v>0</v>
      </c>
      <c r="AX3790" s="498">
        <f t="shared" si="1320"/>
        <v>0</v>
      </c>
      <c r="AY3790" s="498">
        <f t="shared" si="1321"/>
        <v>0</v>
      </c>
      <c r="BB3790" s="498" t="str">
        <f t="shared" si="1322"/>
        <v/>
      </c>
      <c r="BC3790" s="743" t="str">
        <f t="shared" si="1323"/>
        <v/>
      </c>
      <c r="BD3790" s="743" t="str">
        <f t="shared" si="1324"/>
        <v/>
      </c>
      <c r="BE3790" s="743" t="str">
        <f>IF(D3790="","",VLOOKUP(D3790,'General Basis'!$J$39:$K$46,2,0))</f>
        <v/>
      </c>
      <c r="BF3790" s="744" t="str">
        <f>IF(D3790="","",VLOOKUP(D3790,'General Basis'!$J$39:$L$46,3,0))</f>
        <v/>
      </c>
      <c r="BG3790" s="744" t="str">
        <f t="shared" si="1331"/>
        <v/>
      </c>
      <c r="BH3790" s="744" t="str">
        <f>IF(G3790="","",IF(BF3790="Abu Dhabi",IF(G3790&lt;18,'General Basis'!$C$39,IF(G3790&lt;41,'General Basis'!$C$40,IF(G3790&lt;60,'General Basis'!$C$41,IF(G3790&lt;65,'General Basis'!$C$42,'General Basis'!$C$43)))),IF(G3790&lt;11,'General Basis'!$B$39,IF(G3790&lt;18,'General Basis'!$B$40,IF(G3790&lt;26,'General Basis'!$B$41,IF(G3790&lt;31,'General Basis'!$B$42,IF(G3790&lt;36,'General Basis'!$B$43,IF(G3790&lt;41,'General Basis'!$B$44,IF(G3790&lt;46,'General Basis'!$B$45,IF(G3790&lt;51,'General Basis'!$B$46,IF(G3790&lt;56,'General Basis'!$B$47,IF(G3790&lt;60,'General Basis'!$B$48,IF(G3790&lt;65,'General Basis'!$B$49,'General Basis'!$B$50)))))))))))))</f>
        <v/>
      </c>
      <c r="BI3790" s="744" t="str">
        <f t="shared" si="1325"/>
        <v/>
      </c>
      <c r="BJ3790" s="747" t="str">
        <f t="shared" si="1332"/>
        <v/>
      </c>
      <c r="BK3790" s="498" t="str">
        <f t="shared" si="1326"/>
        <v/>
      </c>
      <c r="BL3790" s="498" t="str">
        <f t="shared" si="1327"/>
        <v/>
      </c>
    </row>
    <row r="3791" spans="1:64" x14ac:dyDescent="0.25">
      <c r="A3791" s="762">
        <f t="shared" si="1328"/>
        <v>3786</v>
      </c>
      <c r="B3791" s="229"/>
      <c r="C3791" s="223"/>
      <c r="D3791" s="224"/>
      <c r="E3791" s="225"/>
      <c r="F3791" s="1036" t="str">
        <f t="shared" si="1312"/>
        <v/>
      </c>
      <c r="G3791" s="1037" t="str">
        <f t="shared" si="1329"/>
        <v/>
      </c>
      <c r="H3791" s="225"/>
      <c r="I3791" s="1013"/>
      <c r="J3791" s="1013"/>
      <c r="K3791" s="1028"/>
      <c r="L3791" s="1035" t="str">
        <f t="shared" si="1333"/>
        <v/>
      </c>
      <c r="S3791" s="498"/>
      <c r="AJ3791" s="498"/>
      <c r="AM3791" s="498">
        <f t="shared" si="1314"/>
        <v>0</v>
      </c>
      <c r="AN3791" s="498">
        <f t="shared" si="1315"/>
        <v>0</v>
      </c>
      <c r="AO3791" s="498">
        <f t="shared" si="1316"/>
        <v>0</v>
      </c>
      <c r="AP3791" s="498">
        <f t="shared" si="1313"/>
        <v>0</v>
      </c>
      <c r="AQ3791" s="498">
        <f t="shared" si="1330"/>
        <v>0</v>
      </c>
      <c r="AU3791" s="498">
        <f t="shared" si="1317"/>
        <v>0</v>
      </c>
      <c r="AV3791" s="498">
        <f t="shared" si="1318"/>
        <v>0</v>
      </c>
      <c r="AW3791" s="498">
        <f t="shared" si="1319"/>
        <v>0</v>
      </c>
      <c r="AX3791" s="498">
        <f t="shared" si="1320"/>
        <v>0</v>
      </c>
      <c r="AY3791" s="498">
        <f t="shared" si="1321"/>
        <v>0</v>
      </c>
      <c r="BB3791" s="498" t="str">
        <f t="shared" si="1322"/>
        <v/>
      </c>
      <c r="BC3791" s="743" t="str">
        <f t="shared" si="1323"/>
        <v/>
      </c>
      <c r="BD3791" s="743" t="str">
        <f t="shared" si="1324"/>
        <v/>
      </c>
      <c r="BE3791" s="743" t="str">
        <f>IF(D3791="","",VLOOKUP(D3791,'General Basis'!$J$39:$K$46,2,0))</f>
        <v/>
      </c>
      <c r="BF3791" s="744" t="str">
        <f>IF(D3791="","",VLOOKUP(D3791,'General Basis'!$J$39:$L$46,3,0))</f>
        <v/>
      </c>
      <c r="BG3791" s="744" t="str">
        <f t="shared" si="1331"/>
        <v/>
      </c>
      <c r="BH3791" s="744" t="str">
        <f>IF(G3791="","",IF(BF3791="Abu Dhabi",IF(G3791&lt;18,'General Basis'!$C$39,IF(G3791&lt;41,'General Basis'!$C$40,IF(G3791&lt;60,'General Basis'!$C$41,IF(G3791&lt;65,'General Basis'!$C$42,'General Basis'!$C$43)))),IF(G3791&lt;11,'General Basis'!$B$39,IF(G3791&lt;18,'General Basis'!$B$40,IF(G3791&lt;26,'General Basis'!$B$41,IF(G3791&lt;31,'General Basis'!$B$42,IF(G3791&lt;36,'General Basis'!$B$43,IF(G3791&lt;41,'General Basis'!$B$44,IF(G3791&lt;46,'General Basis'!$B$45,IF(G3791&lt;51,'General Basis'!$B$46,IF(G3791&lt;56,'General Basis'!$B$47,IF(G3791&lt;60,'General Basis'!$B$48,IF(G3791&lt;65,'General Basis'!$B$49,'General Basis'!$B$50)))))))))))))</f>
        <v/>
      </c>
      <c r="BI3791" s="744" t="str">
        <f t="shared" si="1325"/>
        <v/>
      </c>
      <c r="BJ3791" s="747" t="str">
        <f t="shared" si="1332"/>
        <v/>
      </c>
      <c r="BK3791" s="498" t="str">
        <f t="shared" si="1326"/>
        <v/>
      </c>
      <c r="BL3791" s="498" t="str">
        <f t="shared" si="1327"/>
        <v/>
      </c>
    </row>
    <row r="3792" spans="1:64" x14ac:dyDescent="0.25">
      <c r="A3792" s="762">
        <f t="shared" si="1328"/>
        <v>3787</v>
      </c>
      <c r="B3792" s="229"/>
      <c r="C3792" s="223"/>
      <c r="D3792" s="224"/>
      <c r="E3792" s="225"/>
      <c r="F3792" s="1036" t="str">
        <f t="shared" ref="F3792:F3855" si="1334">IF(C3792="","",IF($B3792="","",((YEAR($F$3)-YEAR($B3792))+(MONTH($F$3)-MONTH($B3792))/12+(DAY($F$3)-DAY($B3792))/(DATE(YEAR($F$3),12,31)-DATE(YEAR($F$3),1,1)+1))))</f>
        <v/>
      </c>
      <c r="G3792" s="1037" t="str">
        <f t="shared" si="1329"/>
        <v/>
      </c>
      <c r="H3792" s="225"/>
      <c r="I3792" s="1013"/>
      <c r="J3792" s="1013"/>
      <c r="K3792" s="1028"/>
      <c r="L3792" s="1035" t="str">
        <f t="shared" si="1333"/>
        <v/>
      </c>
      <c r="S3792" s="498"/>
      <c r="AJ3792" s="498"/>
      <c r="AM3792" s="498">
        <f t="shared" si="1314"/>
        <v>0</v>
      </c>
      <c r="AN3792" s="498">
        <f t="shared" si="1315"/>
        <v>0</v>
      </c>
      <c r="AO3792" s="498">
        <f t="shared" si="1316"/>
        <v>0</v>
      </c>
      <c r="AP3792" s="498">
        <f t="shared" si="1313"/>
        <v>0</v>
      </c>
      <c r="AQ3792" s="498">
        <f t="shared" si="1330"/>
        <v>0</v>
      </c>
      <c r="AU3792" s="498">
        <f t="shared" si="1317"/>
        <v>0</v>
      </c>
      <c r="AV3792" s="498">
        <f t="shared" si="1318"/>
        <v>0</v>
      </c>
      <c r="AW3792" s="498">
        <f t="shared" si="1319"/>
        <v>0</v>
      </c>
      <c r="AX3792" s="498">
        <f t="shared" si="1320"/>
        <v>0</v>
      </c>
      <c r="AY3792" s="498">
        <f t="shared" si="1321"/>
        <v>0</v>
      </c>
      <c r="BB3792" s="498" t="str">
        <f t="shared" si="1322"/>
        <v/>
      </c>
      <c r="BC3792" s="743" t="str">
        <f t="shared" si="1323"/>
        <v/>
      </c>
      <c r="BD3792" s="743" t="str">
        <f t="shared" si="1324"/>
        <v/>
      </c>
      <c r="BE3792" s="743" t="str">
        <f>IF(D3792="","",VLOOKUP(D3792,'General Basis'!$J$39:$K$46,2,0))</f>
        <v/>
      </c>
      <c r="BF3792" s="744" t="str">
        <f>IF(D3792="","",VLOOKUP(D3792,'General Basis'!$J$39:$L$46,3,0))</f>
        <v/>
      </c>
      <c r="BG3792" s="744" t="str">
        <f t="shared" si="1331"/>
        <v/>
      </c>
      <c r="BH3792" s="744" t="str">
        <f>IF(G3792="","",IF(BF3792="Abu Dhabi",IF(G3792&lt;18,'General Basis'!$C$39,IF(G3792&lt;41,'General Basis'!$C$40,IF(G3792&lt;60,'General Basis'!$C$41,IF(G3792&lt;65,'General Basis'!$C$42,'General Basis'!$C$43)))),IF(G3792&lt;11,'General Basis'!$B$39,IF(G3792&lt;18,'General Basis'!$B$40,IF(G3792&lt;26,'General Basis'!$B$41,IF(G3792&lt;31,'General Basis'!$B$42,IF(G3792&lt;36,'General Basis'!$B$43,IF(G3792&lt;41,'General Basis'!$B$44,IF(G3792&lt;46,'General Basis'!$B$45,IF(G3792&lt;51,'General Basis'!$B$46,IF(G3792&lt;56,'General Basis'!$B$47,IF(G3792&lt;60,'General Basis'!$B$48,IF(G3792&lt;65,'General Basis'!$B$49,'General Basis'!$B$50)))))))))))))</f>
        <v/>
      </c>
      <c r="BI3792" s="744" t="str">
        <f t="shared" si="1325"/>
        <v/>
      </c>
      <c r="BJ3792" s="747" t="str">
        <f t="shared" si="1332"/>
        <v/>
      </c>
      <c r="BK3792" s="498" t="str">
        <f t="shared" si="1326"/>
        <v/>
      </c>
      <c r="BL3792" s="498" t="str">
        <f t="shared" si="1327"/>
        <v/>
      </c>
    </row>
    <row r="3793" spans="1:64" x14ac:dyDescent="0.25">
      <c r="A3793" s="762">
        <f t="shared" si="1328"/>
        <v>3788</v>
      </c>
      <c r="B3793" s="229"/>
      <c r="C3793" s="223"/>
      <c r="D3793" s="224"/>
      <c r="E3793" s="225"/>
      <c r="F3793" s="1036" t="str">
        <f t="shared" si="1334"/>
        <v/>
      </c>
      <c r="G3793" s="1037" t="str">
        <f t="shared" si="1329"/>
        <v/>
      </c>
      <c r="H3793" s="225"/>
      <c r="I3793" s="1013"/>
      <c r="J3793" s="1013"/>
      <c r="K3793" s="1028"/>
      <c r="L3793" s="1035" t="str">
        <f t="shared" si="1333"/>
        <v/>
      </c>
      <c r="S3793" s="498"/>
      <c r="AJ3793" s="498"/>
      <c r="AM3793" s="498">
        <f t="shared" si="1314"/>
        <v>0</v>
      </c>
      <c r="AN3793" s="498">
        <f t="shared" si="1315"/>
        <v>0</v>
      </c>
      <c r="AO3793" s="498">
        <f t="shared" si="1316"/>
        <v>0</v>
      </c>
      <c r="AP3793" s="498">
        <f t="shared" si="1313"/>
        <v>0</v>
      </c>
      <c r="AQ3793" s="498">
        <f t="shared" si="1330"/>
        <v>0</v>
      </c>
      <c r="AU3793" s="498">
        <f t="shared" si="1317"/>
        <v>0</v>
      </c>
      <c r="AV3793" s="498">
        <f t="shared" si="1318"/>
        <v>0</v>
      </c>
      <c r="AW3793" s="498">
        <f t="shared" si="1319"/>
        <v>0</v>
      </c>
      <c r="AX3793" s="498">
        <f t="shared" si="1320"/>
        <v>0</v>
      </c>
      <c r="AY3793" s="498">
        <f t="shared" si="1321"/>
        <v>0</v>
      </c>
      <c r="BB3793" s="498" t="str">
        <f t="shared" si="1322"/>
        <v/>
      </c>
      <c r="BC3793" s="743" t="str">
        <f t="shared" si="1323"/>
        <v/>
      </c>
      <c r="BD3793" s="743" t="str">
        <f t="shared" si="1324"/>
        <v/>
      </c>
      <c r="BE3793" s="743" t="str">
        <f>IF(D3793="","",VLOOKUP(D3793,'General Basis'!$J$39:$K$46,2,0))</f>
        <v/>
      </c>
      <c r="BF3793" s="744" t="str">
        <f>IF(D3793="","",VLOOKUP(D3793,'General Basis'!$J$39:$L$46,3,0))</f>
        <v/>
      </c>
      <c r="BG3793" s="744" t="str">
        <f t="shared" si="1331"/>
        <v/>
      </c>
      <c r="BH3793" s="744" t="str">
        <f>IF(G3793="","",IF(BF3793="Abu Dhabi",IF(G3793&lt;18,'General Basis'!$C$39,IF(G3793&lt;41,'General Basis'!$C$40,IF(G3793&lt;60,'General Basis'!$C$41,IF(G3793&lt;65,'General Basis'!$C$42,'General Basis'!$C$43)))),IF(G3793&lt;11,'General Basis'!$B$39,IF(G3793&lt;18,'General Basis'!$B$40,IF(G3793&lt;26,'General Basis'!$B$41,IF(G3793&lt;31,'General Basis'!$B$42,IF(G3793&lt;36,'General Basis'!$B$43,IF(G3793&lt;41,'General Basis'!$B$44,IF(G3793&lt;46,'General Basis'!$B$45,IF(G3793&lt;51,'General Basis'!$B$46,IF(G3793&lt;56,'General Basis'!$B$47,IF(G3793&lt;60,'General Basis'!$B$48,IF(G3793&lt;65,'General Basis'!$B$49,'General Basis'!$B$50)))))))))))))</f>
        <v/>
      </c>
      <c r="BI3793" s="744" t="str">
        <f t="shared" si="1325"/>
        <v/>
      </c>
      <c r="BJ3793" s="747" t="str">
        <f t="shared" si="1332"/>
        <v/>
      </c>
      <c r="BK3793" s="498" t="str">
        <f t="shared" si="1326"/>
        <v/>
      </c>
      <c r="BL3793" s="498" t="str">
        <f t="shared" si="1327"/>
        <v/>
      </c>
    </row>
    <row r="3794" spans="1:64" x14ac:dyDescent="0.25">
      <c r="A3794" s="762">
        <f t="shared" si="1328"/>
        <v>3789</v>
      </c>
      <c r="B3794" s="229"/>
      <c r="C3794" s="223"/>
      <c r="D3794" s="224"/>
      <c r="E3794" s="225"/>
      <c r="F3794" s="1036" t="str">
        <f t="shared" si="1334"/>
        <v/>
      </c>
      <c r="G3794" s="1037" t="str">
        <f t="shared" si="1329"/>
        <v/>
      </c>
      <c r="H3794" s="225"/>
      <c r="I3794" s="1013"/>
      <c r="J3794" s="1013"/>
      <c r="K3794" s="1028"/>
      <c r="L3794" s="1035" t="str">
        <f t="shared" si="1333"/>
        <v/>
      </c>
      <c r="S3794" s="498"/>
      <c r="AJ3794" s="498"/>
      <c r="AM3794" s="498">
        <f t="shared" si="1314"/>
        <v>0</v>
      </c>
      <c r="AN3794" s="498">
        <f t="shared" si="1315"/>
        <v>0</v>
      </c>
      <c r="AO3794" s="498">
        <f t="shared" si="1316"/>
        <v>0</v>
      </c>
      <c r="AP3794" s="498">
        <f t="shared" si="1313"/>
        <v>0</v>
      </c>
      <c r="AQ3794" s="498">
        <f t="shared" si="1330"/>
        <v>0</v>
      </c>
      <c r="AU3794" s="498">
        <f t="shared" si="1317"/>
        <v>0</v>
      </c>
      <c r="AV3794" s="498">
        <f t="shared" si="1318"/>
        <v>0</v>
      </c>
      <c r="AW3794" s="498">
        <f t="shared" si="1319"/>
        <v>0</v>
      </c>
      <c r="AX3794" s="498">
        <f t="shared" si="1320"/>
        <v>0</v>
      </c>
      <c r="AY3794" s="498">
        <f t="shared" si="1321"/>
        <v>0</v>
      </c>
      <c r="BB3794" s="498" t="str">
        <f t="shared" si="1322"/>
        <v/>
      </c>
      <c r="BC3794" s="743" t="str">
        <f t="shared" si="1323"/>
        <v/>
      </c>
      <c r="BD3794" s="743" t="str">
        <f t="shared" si="1324"/>
        <v/>
      </c>
      <c r="BE3794" s="743" t="str">
        <f>IF(D3794="","",VLOOKUP(D3794,'General Basis'!$J$39:$K$46,2,0))</f>
        <v/>
      </c>
      <c r="BF3794" s="744" t="str">
        <f>IF(D3794="","",VLOOKUP(D3794,'General Basis'!$J$39:$L$46,3,0))</f>
        <v/>
      </c>
      <c r="BG3794" s="744" t="str">
        <f t="shared" si="1331"/>
        <v/>
      </c>
      <c r="BH3794" s="744" t="str">
        <f>IF(G3794="","",IF(BF3794="Abu Dhabi",IF(G3794&lt;18,'General Basis'!$C$39,IF(G3794&lt;41,'General Basis'!$C$40,IF(G3794&lt;60,'General Basis'!$C$41,IF(G3794&lt;65,'General Basis'!$C$42,'General Basis'!$C$43)))),IF(G3794&lt;11,'General Basis'!$B$39,IF(G3794&lt;18,'General Basis'!$B$40,IF(G3794&lt;26,'General Basis'!$B$41,IF(G3794&lt;31,'General Basis'!$B$42,IF(G3794&lt;36,'General Basis'!$B$43,IF(G3794&lt;41,'General Basis'!$B$44,IF(G3794&lt;46,'General Basis'!$B$45,IF(G3794&lt;51,'General Basis'!$B$46,IF(G3794&lt;56,'General Basis'!$B$47,IF(G3794&lt;60,'General Basis'!$B$48,IF(G3794&lt;65,'General Basis'!$B$49,'General Basis'!$B$50)))))))))))))</f>
        <v/>
      </c>
      <c r="BI3794" s="744" t="str">
        <f t="shared" si="1325"/>
        <v/>
      </c>
      <c r="BJ3794" s="747" t="str">
        <f t="shared" si="1332"/>
        <v/>
      </c>
      <c r="BK3794" s="498" t="str">
        <f t="shared" si="1326"/>
        <v/>
      </c>
      <c r="BL3794" s="498" t="str">
        <f t="shared" si="1327"/>
        <v/>
      </c>
    </row>
    <row r="3795" spans="1:64" x14ac:dyDescent="0.25">
      <c r="A3795" s="762">
        <f t="shared" si="1328"/>
        <v>3790</v>
      </c>
      <c r="B3795" s="229"/>
      <c r="C3795" s="223"/>
      <c r="D3795" s="224"/>
      <c r="E3795" s="225"/>
      <c r="F3795" s="1036" t="str">
        <f t="shared" si="1334"/>
        <v/>
      </c>
      <c r="G3795" s="1037" t="str">
        <f t="shared" si="1329"/>
        <v/>
      </c>
      <c r="H3795" s="225"/>
      <c r="I3795" s="1013"/>
      <c r="J3795" s="1013"/>
      <c r="K3795" s="1028"/>
      <c r="L3795" s="1035" t="str">
        <f t="shared" si="1333"/>
        <v/>
      </c>
      <c r="S3795" s="498"/>
      <c r="AJ3795" s="498"/>
      <c r="AM3795" s="498">
        <f t="shared" si="1314"/>
        <v>0</v>
      </c>
      <c r="AN3795" s="498">
        <f t="shared" si="1315"/>
        <v>0</v>
      </c>
      <c r="AO3795" s="498">
        <f t="shared" si="1316"/>
        <v>0</v>
      </c>
      <c r="AP3795" s="498">
        <f t="shared" ref="AP3795:AP3858" si="1335">IF(ISBLANK($B3795),0,IF(OR($C3795="M",$C3795="F"),0,1))</f>
        <v>0</v>
      </c>
      <c r="AQ3795" s="498">
        <f t="shared" si="1330"/>
        <v>0</v>
      </c>
      <c r="AU3795" s="498">
        <f t="shared" si="1317"/>
        <v>0</v>
      </c>
      <c r="AV3795" s="498">
        <f t="shared" si="1318"/>
        <v>0</v>
      </c>
      <c r="AW3795" s="498">
        <f t="shared" si="1319"/>
        <v>0</v>
      </c>
      <c r="AX3795" s="498">
        <f t="shared" si="1320"/>
        <v>0</v>
      </c>
      <c r="AY3795" s="498">
        <f t="shared" si="1321"/>
        <v>0</v>
      </c>
      <c r="BB3795" s="498" t="str">
        <f t="shared" si="1322"/>
        <v/>
      </c>
      <c r="BC3795" s="743" t="str">
        <f t="shared" si="1323"/>
        <v/>
      </c>
      <c r="BD3795" s="743" t="str">
        <f t="shared" si="1324"/>
        <v/>
      </c>
      <c r="BE3795" s="743" t="str">
        <f>IF(D3795="","",VLOOKUP(D3795,'General Basis'!$J$39:$K$46,2,0))</f>
        <v/>
      </c>
      <c r="BF3795" s="744" t="str">
        <f>IF(D3795="","",VLOOKUP(D3795,'General Basis'!$J$39:$L$46,3,0))</f>
        <v/>
      </c>
      <c r="BG3795" s="744" t="str">
        <f t="shared" si="1331"/>
        <v/>
      </c>
      <c r="BH3795" s="744" t="str">
        <f>IF(G3795="","",IF(BF3795="Abu Dhabi",IF(G3795&lt;18,'General Basis'!$C$39,IF(G3795&lt;41,'General Basis'!$C$40,IF(G3795&lt;60,'General Basis'!$C$41,IF(G3795&lt;65,'General Basis'!$C$42,'General Basis'!$C$43)))),IF(G3795&lt;11,'General Basis'!$B$39,IF(G3795&lt;18,'General Basis'!$B$40,IF(G3795&lt;26,'General Basis'!$B$41,IF(G3795&lt;31,'General Basis'!$B$42,IF(G3795&lt;36,'General Basis'!$B$43,IF(G3795&lt;41,'General Basis'!$B$44,IF(G3795&lt;46,'General Basis'!$B$45,IF(G3795&lt;51,'General Basis'!$B$46,IF(G3795&lt;56,'General Basis'!$B$47,IF(G3795&lt;60,'General Basis'!$B$48,IF(G3795&lt;65,'General Basis'!$B$49,'General Basis'!$B$50)))))))))))))</f>
        <v/>
      </c>
      <c r="BI3795" s="744" t="str">
        <f t="shared" si="1325"/>
        <v/>
      </c>
      <c r="BJ3795" s="747" t="str">
        <f t="shared" si="1332"/>
        <v/>
      </c>
      <c r="BK3795" s="498" t="str">
        <f t="shared" si="1326"/>
        <v/>
      </c>
      <c r="BL3795" s="498" t="str">
        <f t="shared" si="1327"/>
        <v/>
      </c>
    </row>
    <row r="3796" spans="1:64" x14ac:dyDescent="0.25">
      <c r="A3796" s="762">
        <f t="shared" si="1328"/>
        <v>3791</v>
      </c>
      <c r="B3796" s="229"/>
      <c r="C3796" s="223"/>
      <c r="D3796" s="224"/>
      <c r="E3796" s="225"/>
      <c r="F3796" s="1036" t="str">
        <f t="shared" si="1334"/>
        <v/>
      </c>
      <c r="G3796" s="1037" t="str">
        <f t="shared" si="1329"/>
        <v/>
      </c>
      <c r="H3796" s="225"/>
      <c r="I3796" s="1013"/>
      <c r="J3796" s="1013"/>
      <c r="K3796" s="1028"/>
      <c r="L3796" s="1035" t="str">
        <f t="shared" si="1333"/>
        <v/>
      </c>
      <c r="S3796" s="498"/>
      <c r="AJ3796" s="498"/>
      <c r="AM3796" s="498">
        <f t="shared" si="1314"/>
        <v>0</v>
      </c>
      <c r="AN3796" s="498">
        <f t="shared" si="1315"/>
        <v>0</v>
      </c>
      <c r="AO3796" s="498">
        <f t="shared" si="1316"/>
        <v>0</v>
      </c>
      <c r="AP3796" s="498">
        <f t="shared" si="1335"/>
        <v>0</v>
      </c>
      <c r="AQ3796" s="498">
        <f t="shared" si="1330"/>
        <v>0</v>
      </c>
      <c r="AU3796" s="498">
        <f t="shared" si="1317"/>
        <v>0</v>
      </c>
      <c r="AV3796" s="498">
        <f t="shared" si="1318"/>
        <v>0</v>
      </c>
      <c r="AW3796" s="498">
        <f t="shared" si="1319"/>
        <v>0</v>
      </c>
      <c r="AX3796" s="498">
        <f t="shared" si="1320"/>
        <v>0</v>
      </c>
      <c r="AY3796" s="498">
        <f t="shared" si="1321"/>
        <v>0</v>
      </c>
      <c r="BB3796" s="498" t="str">
        <f t="shared" si="1322"/>
        <v/>
      </c>
      <c r="BC3796" s="743" t="str">
        <f t="shared" si="1323"/>
        <v/>
      </c>
      <c r="BD3796" s="743" t="str">
        <f t="shared" si="1324"/>
        <v/>
      </c>
      <c r="BE3796" s="743" t="str">
        <f>IF(D3796="","",VLOOKUP(D3796,'General Basis'!$J$39:$K$46,2,0))</f>
        <v/>
      </c>
      <c r="BF3796" s="744" t="str">
        <f>IF(D3796="","",VLOOKUP(D3796,'General Basis'!$J$39:$L$46,3,0))</f>
        <v/>
      </c>
      <c r="BG3796" s="744" t="str">
        <f t="shared" si="1331"/>
        <v/>
      </c>
      <c r="BH3796" s="744" t="str">
        <f>IF(G3796="","",IF(BF3796="Abu Dhabi",IF(G3796&lt;18,'General Basis'!$C$39,IF(G3796&lt;41,'General Basis'!$C$40,IF(G3796&lt;60,'General Basis'!$C$41,IF(G3796&lt;65,'General Basis'!$C$42,'General Basis'!$C$43)))),IF(G3796&lt;11,'General Basis'!$B$39,IF(G3796&lt;18,'General Basis'!$B$40,IF(G3796&lt;26,'General Basis'!$B$41,IF(G3796&lt;31,'General Basis'!$B$42,IF(G3796&lt;36,'General Basis'!$B$43,IF(G3796&lt;41,'General Basis'!$B$44,IF(G3796&lt;46,'General Basis'!$B$45,IF(G3796&lt;51,'General Basis'!$B$46,IF(G3796&lt;56,'General Basis'!$B$47,IF(G3796&lt;60,'General Basis'!$B$48,IF(G3796&lt;65,'General Basis'!$B$49,'General Basis'!$B$50)))))))))))))</f>
        <v/>
      </c>
      <c r="BI3796" s="744" t="str">
        <f t="shared" si="1325"/>
        <v/>
      </c>
      <c r="BJ3796" s="747" t="str">
        <f t="shared" si="1332"/>
        <v/>
      </c>
      <c r="BK3796" s="498" t="str">
        <f t="shared" si="1326"/>
        <v/>
      </c>
      <c r="BL3796" s="498" t="str">
        <f t="shared" si="1327"/>
        <v/>
      </c>
    </row>
    <row r="3797" spans="1:64" x14ac:dyDescent="0.25">
      <c r="A3797" s="762">
        <f t="shared" si="1328"/>
        <v>3792</v>
      </c>
      <c r="B3797" s="229"/>
      <c r="C3797" s="223"/>
      <c r="D3797" s="224"/>
      <c r="E3797" s="225"/>
      <c r="F3797" s="1036" t="str">
        <f t="shared" si="1334"/>
        <v/>
      </c>
      <c r="G3797" s="1037" t="str">
        <f t="shared" si="1329"/>
        <v/>
      </c>
      <c r="H3797" s="225"/>
      <c r="I3797" s="1013"/>
      <c r="J3797" s="1013"/>
      <c r="K3797" s="1028"/>
      <c r="L3797" s="1035" t="str">
        <f t="shared" si="1333"/>
        <v/>
      </c>
      <c r="S3797" s="498"/>
      <c r="AJ3797" s="498"/>
      <c r="AM3797" s="498">
        <f t="shared" si="1314"/>
        <v>0</v>
      </c>
      <c r="AN3797" s="498">
        <f t="shared" si="1315"/>
        <v>0</v>
      </c>
      <c r="AO3797" s="498">
        <f t="shared" si="1316"/>
        <v>0</v>
      </c>
      <c r="AP3797" s="498">
        <f t="shared" si="1335"/>
        <v>0</v>
      </c>
      <c r="AQ3797" s="498">
        <f t="shared" si="1330"/>
        <v>0</v>
      </c>
      <c r="AU3797" s="498">
        <f t="shared" si="1317"/>
        <v>0</v>
      </c>
      <c r="AV3797" s="498">
        <f t="shared" si="1318"/>
        <v>0</v>
      </c>
      <c r="AW3797" s="498">
        <f t="shared" si="1319"/>
        <v>0</v>
      </c>
      <c r="AX3797" s="498">
        <f t="shared" si="1320"/>
        <v>0</v>
      </c>
      <c r="AY3797" s="498">
        <f t="shared" si="1321"/>
        <v>0</v>
      </c>
      <c r="BB3797" s="498" t="str">
        <f t="shared" si="1322"/>
        <v/>
      </c>
      <c r="BC3797" s="743" t="str">
        <f t="shared" si="1323"/>
        <v/>
      </c>
      <c r="BD3797" s="743" t="str">
        <f t="shared" si="1324"/>
        <v/>
      </c>
      <c r="BE3797" s="743" t="str">
        <f>IF(D3797="","",VLOOKUP(D3797,'General Basis'!$J$39:$K$46,2,0))</f>
        <v/>
      </c>
      <c r="BF3797" s="744" t="str">
        <f>IF(D3797="","",VLOOKUP(D3797,'General Basis'!$J$39:$L$46,3,0))</f>
        <v/>
      </c>
      <c r="BG3797" s="744" t="str">
        <f t="shared" si="1331"/>
        <v/>
      </c>
      <c r="BH3797" s="744" t="str">
        <f>IF(G3797="","",IF(BF3797="Abu Dhabi",IF(G3797&lt;18,'General Basis'!$C$39,IF(G3797&lt;41,'General Basis'!$C$40,IF(G3797&lt;60,'General Basis'!$C$41,IF(G3797&lt;65,'General Basis'!$C$42,'General Basis'!$C$43)))),IF(G3797&lt;11,'General Basis'!$B$39,IF(G3797&lt;18,'General Basis'!$B$40,IF(G3797&lt;26,'General Basis'!$B$41,IF(G3797&lt;31,'General Basis'!$B$42,IF(G3797&lt;36,'General Basis'!$B$43,IF(G3797&lt;41,'General Basis'!$B$44,IF(G3797&lt;46,'General Basis'!$B$45,IF(G3797&lt;51,'General Basis'!$B$46,IF(G3797&lt;56,'General Basis'!$B$47,IF(G3797&lt;60,'General Basis'!$B$48,IF(G3797&lt;65,'General Basis'!$B$49,'General Basis'!$B$50)))))))))))))</f>
        <v/>
      </c>
      <c r="BI3797" s="744" t="str">
        <f t="shared" si="1325"/>
        <v/>
      </c>
      <c r="BJ3797" s="747" t="str">
        <f t="shared" si="1332"/>
        <v/>
      </c>
      <c r="BK3797" s="498" t="str">
        <f t="shared" si="1326"/>
        <v/>
      </c>
      <c r="BL3797" s="498" t="str">
        <f t="shared" si="1327"/>
        <v/>
      </c>
    </row>
    <row r="3798" spans="1:64" x14ac:dyDescent="0.25">
      <c r="A3798" s="762">
        <f t="shared" si="1328"/>
        <v>3793</v>
      </c>
      <c r="B3798" s="229"/>
      <c r="C3798" s="223"/>
      <c r="D3798" s="224"/>
      <c r="E3798" s="225"/>
      <c r="F3798" s="1036" t="str">
        <f t="shared" si="1334"/>
        <v/>
      </c>
      <c r="G3798" s="1037" t="str">
        <f t="shared" si="1329"/>
        <v/>
      </c>
      <c r="H3798" s="225"/>
      <c r="I3798" s="1013"/>
      <c r="J3798" s="1013"/>
      <c r="K3798" s="1028"/>
      <c r="L3798" s="1035" t="str">
        <f t="shared" si="1333"/>
        <v/>
      </c>
      <c r="S3798" s="498"/>
      <c r="AJ3798" s="498"/>
      <c r="AM3798" s="498">
        <f t="shared" si="1314"/>
        <v>0</v>
      </c>
      <c r="AN3798" s="498">
        <f t="shared" si="1315"/>
        <v>0</v>
      </c>
      <c r="AO3798" s="498">
        <f t="shared" si="1316"/>
        <v>0</v>
      </c>
      <c r="AP3798" s="498">
        <f t="shared" si="1335"/>
        <v>0</v>
      </c>
      <c r="AQ3798" s="498">
        <f t="shared" si="1330"/>
        <v>0</v>
      </c>
      <c r="AU3798" s="498">
        <f t="shared" si="1317"/>
        <v>0</v>
      </c>
      <c r="AV3798" s="498">
        <f t="shared" si="1318"/>
        <v>0</v>
      </c>
      <c r="AW3798" s="498">
        <f t="shared" si="1319"/>
        <v>0</v>
      </c>
      <c r="AX3798" s="498">
        <f t="shared" si="1320"/>
        <v>0</v>
      </c>
      <c r="AY3798" s="498">
        <f t="shared" si="1321"/>
        <v>0</v>
      </c>
      <c r="BB3798" s="498" t="str">
        <f t="shared" si="1322"/>
        <v/>
      </c>
      <c r="BC3798" s="743" t="str">
        <f t="shared" si="1323"/>
        <v/>
      </c>
      <c r="BD3798" s="743" t="str">
        <f t="shared" si="1324"/>
        <v/>
      </c>
      <c r="BE3798" s="743" t="str">
        <f>IF(D3798="","",VLOOKUP(D3798,'General Basis'!$J$39:$K$46,2,0))</f>
        <v/>
      </c>
      <c r="BF3798" s="744" t="str">
        <f>IF(D3798="","",VLOOKUP(D3798,'General Basis'!$J$39:$L$46,3,0))</f>
        <v/>
      </c>
      <c r="BG3798" s="744" t="str">
        <f t="shared" si="1331"/>
        <v/>
      </c>
      <c r="BH3798" s="744" t="str">
        <f>IF(G3798="","",IF(BF3798="Abu Dhabi",IF(G3798&lt;18,'General Basis'!$C$39,IF(G3798&lt;41,'General Basis'!$C$40,IF(G3798&lt;60,'General Basis'!$C$41,IF(G3798&lt;65,'General Basis'!$C$42,'General Basis'!$C$43)))),IF(G3798&lt;11,'General Basis'!$B$39,IF(G3798&lt;18,'General Basis'!$B$40,IF(G3798&lt;26,'General Basis'!$B$41,IF(G3798&lt;31,'General Basis'!$B$42,IF(G3798&lt;36,'General Basis'!$B$43,IF(G3798&lt;41,'General Basis'!$B$44,IF(G3798&lt;46,'General Basis'!$B$45,IF(G3798&lt;51,'General Basis'!$B$46,IF(G3798&lt;56,'General Basis'!$B$47,IF(G3798&lt;60,'General Basis'!$B$48,IF(G3798&lt;65,'General Basis'!$B$49,'General Basis'!$B$50)))))))))))))</f>
        <v/>
      </c>
      <c r="BI3798" s="744" t="str">
        <f t="shared" si="1325"/>
        <v/>
      </c>
      <c r="BJ3798" s="747" t="str">
        <f t="shared" si="1332"/>
        <v/>
      </c>
      <c r="BK3798" s="498" t="str">
        <f t="shared" si="1326"/>
        <v/>
      </c>
      <c r="BL3798" s="498" t="str">
        <f t="shared" si="1327"/>
        <v/>
      </c>
    </row>
    <row r="3799" spans="1:64" x14ac:dyDescent="0.25">
      <c r="A3799" s="762">
        <f t="shared" si="1328"/>
        <v>3794</v>
      </c>
      <c r="B3799" s="229"/>
      <c r="C3799" s="223"/>
      <c r="D3799" s="224"/>
      <c r="E3799" s="225"/>
      <c r="F3799" s="1036" t="str">
        <f t="shared" si="1334"/>
        <v/>
      </c>
      <c r="G3799" s="1037" t="str">
        <f t="shared" si="1329"/>
        <v/>
      </c>
      <c r="H3799" s="225"/>
      <c r="I3799" s="1013"/>
      <c r="J3799" s="1013"/>
      <c r="K3799" s="1028"/>
      <c r="L3799" s="1035" t="str">
        <f t="shared" si="1333"/>
        <v/>
      </c>
      <c r="S3799" s="498"/>
      <c r="AJ3799" s="498"/>
      <c r="AM3799" s="498">
        <f t="shared" si="1314"/>
        <v>0</v>
      </c>
      <c r="AN3799" s="498">
        <f t="shared" si="1315"/>
        <v>0</v>
      </c>
      <c r="AO3799" s="498">
        <f t="shared" si="1316"/>
        <v>0</v>
      </c>
      <c r="AP3799" s="498">
        <f t="shared" si="1335"/>
        <v>0</v>
      </c>
      <c r="AQ3799" s="498">
        <f t="shared" si="1330"/>
        <v>0</v>
      </c>
      <c r="AU3799" s="498">
        <f t="shared" si="1317"/>
        <v>0</v>
      </c>
      <c r="AV3799" s="498">
        <f t="shared" si="1318"/>
        <v>0</v>
      </c>
      <c r="AW3799" s="498">
        <f t="shared" si="1319"/>
        <v>0</v>
      </c>
      <c r="AX3799" s="498">
        <f t="shared" si="1320"/>
        <v>0</v>
      </c>
      <c r="AY3799" s="498">
        <f t="shared" si="1321"/>
        <v>0</v>
      </c>
      <c r="BB3799" s="498" t="str">
        <f t="shared" si="1322"/>
        <v/>
      </c>
      <c r="BC3799" s="743" t="str">
        <f t="shared" si="1323"/>
        <v/>
      </c>
      <c r="BD3799" s="743" t="str">
        <f t="shared" si="1324"/>
        <v/>
      </c>
      <c r="BE3799" s="743" t="str">
        <f>IF(D3799="","",VLOOKUP(D3799,'General Basis'!$J$39:$K$46,2,0))</f>
        <v/>
      </c>
      <c r="BF3799" s="744" t="str">
        <f>IF(D3799="","",VLOOKUP(D3799,'General Basis'!$J$39:$L$46,3,0))</f>
        <v/>
      </c>
      <c r="BG3799" s="744" t="str">
        <f t="shared" si="1331"/>
        <v/>
      </c>
      <c r="BH3799" s="744" t="str">
        <f>IF(G3799="","",IF(BF3799="Abu Dhabi",IF(G3799&lt;18,'General Basis'!$C$39,IF(G3799&lt;41,'General Basis'!$C$40,IF(G3799&lt;60,'General Basis'!$C$41,IF(G3799&lt;65,'General Basis'!$C$42,'General Basis'!$C$43)))),IF(G3799&lt;11,'General Basis'!$B$39,IF(G3799&lt;18,'General Basis'!$B$40,IF(G3799&lt;26,'General Basis'!$B$41,IF(G3799&lt;31,'General Basis'!$B$42,IF(G3799&lt;36,'General Basis'!$B$43,IF(G3799&lt;41,'General Basis'!$B$44,IF(G3799&lt;46,'General Basis'!$B$45,IF(G3799&lt;51,'General Basis'!$B$46,IF(G3799&lt;56,'General Basis'!$B$47,IF(G3799&lt;60,'General Basis'!$B$48,IF(G3799&lt;65,'General Basis'!$B$49,'General Basis'!$B$50)))))))))))))</f>
        <v/>
      </c>
      <c r="BI3799" s="744" t="str">
        <f t="shared" si="1325"/>
        <v/>
      </c>
      <c r="BJ3799" s="747" t="str">
        <f t="shared" si="1332"/>
        <v/>
      </c>
      <c r="BK3799" s="498" t="str">
        <f t="shared" si="1326"/>
        <v/>
      </c>
      <c r="BL3799" s="498" t="str">
        <f t="shared" si="1327"/>
        <v/>
      </c>
    </row>
    <row r="3800" spans="1:64" x14ac:dyDescent="0.25">
      <c r="A3800" s="762">
        <f t="shared" si="1328"/>
        <v>3795</v>
      </c>
      <c r="B3800" s="229"/>
      <c r="C3800" s="223"/>
      <c r="D3800" s="224"/>
      <c r="E3800" s="225"/>
      <c r="F3800" s="1036" t="str">
        <f t="shared" si="1334"/>
        <v/>
      </c>
      <c r="G3800" s="1037" t="str">
        <f t="shared" si="1329"/>
        <v/>
      </c>
      <c r="H3800" s="225"/>
      <c r="I3800" s="1013"/>
      <c r="J3800" s="1013"/>
      <c r="K3800" s="1028"/>
      <c r="L3800" s="1035" t="str">
        <f t="shared" si="1333"/>
        <v/>
      </c>
      <c r="S3800" s="498"/>
      <c r="AJ3800" s="498"/>
      <c r="AM3800" s="498">
        <f t="shared" si="1314"/>
        <v>0</v>
      </c>
      <c r="AN3800" s="498">
        <f t="shared" si="1315"/>
        <v>0</v>
      </c>
      <c r="AO3800" s="498">
        <f t="shared" si="1316"/>
        <v>0</v>
      </c>
      <c r="AP3800" s="498">
        <f t="shared" si="1335"/>
        <v>0</v>
      </c>
      <c r="AQ3800" s="498">
        <f t="shared" si="1330"/>
        <v>0</v>
      </c>
      <c r="AU3800" s="498">
        <f t="shared" si="1317"/>
        <v>0</v>
      </c>
      <c r="AV3800" s="498">
        <f t="shared" si="1318"/>
        <v>0</v>
      </c>
      <c r="AW3800" s="498">
        <f t="shared" si="1319"/>
        <v>0</v>
      </c>
      <c r="AX3800" s="498">
        <f t="shared" si="1320"/>
        <v>0</v>
      </c>
      <c r="AY3800" s="498">
        <f t="shared" si="1321"/>
        <v>0</v>
      </c>
      <c r="BB3800" s="498" t="str">
        <f t="shared" si="1322"/>
        <v/>
      </c>
      <c r="BC3800" s="743" t="str">
        <f t="shared" si="1323"/>
        <v/>
      </c>
      <c r="BD3800" s="743" t="str">
        <f t="shared" si="1324"/>
        <v/>
      </c>
      <c r="BE3800" s="743" t="str">
        <f>IF(D3800="","",VLOOKUP(D3800,'General Basis'!$J$39:$K$46,2,0))</f>
        <v/>
      </c>
      <c r="BF3800" s="744" t="str">
        <f>IF(D3800="","",VLOOKUP(D3800,'General Basis'!$J$39:$L$46,3,0))</f>
        <v/>
      </c>
      <c r="BG3800" s="744" t="str">
        <f t="shared" si="1331"/>
        <v/>
      </c>
      <c r="BH3800" s="744" t="str">
        <f>IF(G3800="","",IF(BF3800="Abu Dhabi",IF(G3800&lt;18,'General Basis'!$C$39,IF(G3800&lt;41,'General Basis'!$C$40,IF(G3800&lt;60,'General Basis'!$C$41,IF(G3800&lt;65,'General Basis'!$C$42,'General Basis'!$C$43)))),IF(G3800&lt;11,'General Basis'!$B$39,IF(G3800&lt;18,'General Basis'!$B$40,IF(G3800&lt;26,'General Basis'!$B$41,IF(G3800&lt;31,'General Basis'!$B$42,IF(G3800&lt;36,'General Basis'!$B$43,IF(G3800&lt;41,'General Basis'!$B$44,IF(G3800&lt;46,'General Basis'!$B$45,IF(G3800&lt;51,'General Basis'!$B$46,IF(G3800&lt;56,'General Basis'!$B$47,IF(G3800&lt;60,'General Basis'!$B$48,IF(G3800&lt;65,'General Basis'!$B$49,'General Basis'!$B$50)))))))))))))</f>
        <v/>
      </c>
      <c r="BI3800" s="744" t="str">
        <f t="shared" si="1325"/>
        <v/>
      </c>
      <c r="BJ3800" s="747" t="str">
        <f t="shared" si="1332"/>
        <v/>
      </c>
      <c r="BK3800" s="498" t="str">
        <f t="shared" si="1326"/>
        <v/>
      </c>
      <c r="BL3800" s="498" t="str">
        <f t="shared" si="1327"/>
        <v/>
      </c>
    </row>
    <row r="3801" spans="1:64" x14ac:dyDescent="0.25">
      <c r="A3801" s="762">
        <f t="shared" si="1328"/>
        <v>3796</v>
      </c>
      <c r="B3801" s="229"/>
      <c r="C3801" s="223"/>
      <c r="D3801" s="224"/>
      <c r="E3801" s="225"/>
      <c r="F3801" s="1036" t="str">
        <f t="shared" si="1334"/>
        <v/>
      </c>
      <c r="G3801" s="1037" t="str">
        <f t="shared" si="1329"/>
        <v/>
      </c>
      <c r="H3801" s="225"/>
      <c r="I3801" s="1013"/>
      <c r="J3801" s="1013"/>
      <c r="K3801" s="1028"/>
      <c r="L3801" s="1035" t="str">
        <f t="shared" si="1333"/>
        <v/>
      </c>
      <c r="S3801" s="498"/>
      <c r="AJ3801" s="498"/>
      <c r="AM3801" s="498">
        <f t="shared" si="1314"/>
        <v>0</v>
      </c>
      <c r="AN3801" s="498">
        <f t="shared" si="1315"/>
        <v>0</v>
      </c>
      <c r="AO3801" s="498">
        <f t="shared" si="1316"/>
        <v>0</v>
      </c>
      <c r="AP3801" s="498">
        <f t="shared" si="1335"/>
        <v>0</v>
      </c>
      <c r="AQ3801" s="498">
        <f t="shared" si="1330"/>
        <v>0</v>
      </c>
      <c r="AU3801" s="498">
        <f t="shared" si="1317"/>
        <v>0</v>
      </c>
      <c r="AV3801" s="498">
        <f t="shared" si="1318"/>
        <v>0</v>
      </c>
      <c r="AW3801" s="498">
        <f t="shared" si="1319"/>
        <v>0</v>
      </c>
      <c r="AX3801" s="498">
        <f t="shared" si="1320"/>
        <v>0</v>
      </c>
      <c r="AY3801" s="498">
        <f t="shared" si="1321"/>
        <v>0</v>
      </c>
      <c r="BB3801" s="498" t="str">
        <f t="shared" si="1322"/>
        <v/>
      </c>
      <c r="BC3801" s="743" t="str">
        <f t="shared" si="1323"/>
        <v/>
      </c>
      <c r="BD3801" s="743" t="str">
        <f t="shared" si="1324"/>
        <v/>
      </c>
      <c r="BE3801" s="743" t="str">
        <f>IF(D3801="","",VLOOKUP(D3801,'General Basis'!$J$39:$K$46,2,0))</f>
        <v/>
      </c>
      <c r="BF3801" s="744" t="str">
        <f>IF(D3801="","",VLOOKUP(D3801,'General Basis'!$J$39:$L$46,3,0))</f>
        <v/>
      </c>
      <c r="BG3801" s="744" t="str">
        <f t="shared" si="1331"/>
        <v/>
      </c>
      <c r="BH3801" s="744" t="str">
        <f>IF(G3801="","",IF(BF3801="Abu Dhabi",IF(G3801&lt;18,'General Basis'!$C$39,IF(G3801&lt;41,'General Basis'!$C$40,IF(G3801&lt;60,'General Basis'!$C$41,IF(G3801&lt;65,'General Basis'!$C$42,'General Basis'!$C$43)))),IF(G3801&lt;11,'General Basis'!$B$39,IF(G3801&lt;18,'General Basis'!$B$40,IF(G3801&lt;26,'General Basis'!$B$41,IF(G3801&lt;31,'General Basis'!$B$42,IF(G3801&lt;36,'General Basis'!$B$43,IF(G3801&lt;41,'General Basis'!$B$44,IF(G3801&lt;46,'General Basis'!$B$45,IF(G3801&lt;51,'General Basis'!$B$46,IF(G3801&lt;56,'General Basis'!$B$47,IF(G3801&lt;60,'General Basis'!$B$48,IF(G3801&lt;65,'General Basis'!$B$49,'General Basis'!$B$50)))))))))))))</f>
        <v/>
      </c>
      <c r="BI3801" s="744" t="str">
        <f t="shared" si="1325"/>
        <v/>
      </c>
      <c r="BJ3801" s="747" t="str">
        <f t="shared" si="1332"/>
        <v/>
      </c>
      <c r="BK3801" s="498" t="str">
        <f t="shared" si="1326"/>
        <v/>
      </c>
      <c r="BL3801" s="498" t="str">
        <f t="shared" si="1327"/>
        <v/>
      </c>
    </row>
    <row r="3802" spans="1:64" x14ac:dyDescent="0.25">
      <c r="A3802" s="762">
        <f t="shared" si="1328"/>
        <v>3797</v>
      </c>
      <c r="B3802" s="229"/>
      <c r="C3802" s="223"/>
      <c r="D3802" s="224"/>
      <c r="E3802" s="225"/>
      <c r="F3802" s="1036" t="str">
        <f t="shared" si="1334"/>
        <v/>
      </c>
      <c r="G3802" s="1037" t="str">
        <f t="shared" si="1329"/>
        <v/>
      </c>
      <c r="H3802" s="225"/>
      <c r="I3802" s="1013"/>
      <c r="J3802" s="1013"/>
      <c r="K3802" s="1028"/>
      <c r="L3802" s="1035" t="str">
        <f t="shared" si="1333"/>
        <v/>
      </c>
      <c r="S3802" s="498"/>
      <c r="AJ3802" s="498"/>
      <c r="AM3802" s="498">
        <f t="shared" si="1314"/>
        <v>0</v>
      </c>
      <c r="AN3802" s="498">
        <f t="shared" si="1315"/>
        <v>0</v>
      </c>
      <c r="AO3802" s="498">
        <f t="shared" si="1316"/>
        <v>0</v>
      </c>
      <c r="AP3802" s="498">
        <f t="shared" si="1335"/>
        <v>0</v>
      </c>
      <c r="AQ3802" s="498">
        <f t="shared" si="1330"/>
        <v>0</v>
      </c>
      <c r="AU3802" s="498">
        <f t="shared" si="1317"/>
        <v>0</v>
      </c>
      <c r="AV3802" s="498">
        <f t="shared" si="1318"/>
        <v>0</v>
      </c>
      <c r="AW3802" s="498">
        <f t="shared" si="1319"/>
        <v>0</v>
      </c>
      <c r="AX3802" s="498">
        <f t="shared" si="1320"/>
        <v>0</v>
      </c>
      <c r="AY3802" s="498">
        <f t="shared" si="1321"/>
        <v>0</v>
      </c>
      <c r="BB3802" s="498" t="str">
        <f t="shared" si="1322"/>
        <v/>
      </c>
      <c r="BC3802" s="743" t="str">
        <f t="shared" si="1323"/>
        <v/>
      </c>
      <c r="BD3802" s="743" t="str">
        <f t="shared" si="1324"/>
        <v/>
      </c>
      <c r="BE3802" s="743" t="str">
        <f>IF(D3802="","",VLOOKUP(D3802,'General Basis'!$J$39:$K$46,2,0))</f>
        <v/>
      </c>
      <c r="BF3802" s="744" t="str">
        <f>IF(D3802="","",VLOOKUP(D3802,'General Basis'!$J$39:$L$46,3,0))</f>
        <v/>
      </c>
      <c r="BG3802" s="744" t="str">
        <f t="shared" si="1331"/>
        <v/>
      </c>
      <c r="BH3802" s="744" t="str">
        <f>IF(G3802="","",IF(BF3802="Abu Dhabi",IF(G3802&lt;18,'General Basis'!$C$39,IF(G3802&lt;41,'General Basis'!$C$40,IF(G3802&lt;60,'General Basis'!$C$41,IF(G3802&lt;65,'General Basis'!$C$42,'General Basis'!$C$43)))),IF(G3802&lt;11,'General Basis'!$B$39,IF(G3802&lt;18,'General Basis'!$B$40,IF(G3802&lt;26,'General Basis'!$B$41,IF(G3802&lt;31,'General Basis'!$B$42,IF(G3802&lt;36,'General Basis'!$B$43,IF(G3802&lt;41,'General Basis'!$B$44,IF(G3802&lt;46,'General Basis'!$B$45,IF(G3802&lt;51,'General Basis'!$B$46,IF(G3802&lt;56,'General Basis'!$B$47,IF(G3802&lt;60,'General Basis'!$B$48,IF(G3802&lt;65,'General Basis'!$B$49,'General Basis'!$B$50)))))))))))))</f>
        <v/>
      </c>
      <c r="BI3802" s="744" t="str">
        <f t="shared" si="1325"/>
        <v/>
      </c>
      <c r="BJ3802" s="747" t="str">
        <f t="shared" si="1332"/>
        <v/>
      </c>
      <c r="BK3802" s="498" t="str">
        <f t="shared" si="1326"/>
        <v/>
      </c>
      <c r="BL3802" s="498" t="str">
        <f t="shared" si="1327"/>
        <v/>
      </c>
    </row>
    <row r="3803" spans="1:64" x14ac:dyDescent="0.25">
      <c r="A3803" s="762">
        <f t="shared" si="1328"/>
        <v>3798</v>
      </c>
      <c r="B3803" s="229"/>
      <c r="C3803" s="223"/>
      <c r="D3803" s="224"/>
      <c r="E3803" s="225"/>
      <c r="F3803" s="1036" t="str">
        <f t="shared" si="1334"/>
        <v/>
      </c>
      <c r="G3803" s="1037" t="str">
        <f t="shared" si="1329"/>
        <v/>
      </c>
      <c r="H3803" s="225"/>
      <c r="I3803" s="1013"/>
      <c r="J3803" s="1013"/>
      <c r="K3803" s="1028"/>
      <c r="L3803" s="1035" t="str">
        <f t="shared" si="1333"/>
        <v/>
      </c>
      <c r="S3803" s="498"/>
      <c r="AJ3803" s="498"/>
      <c r="AM3803" s="498">
        <f t="shared" si="1314"/>
        <v>0</v>
      </c>
      <c r="AN3803" s="498">
        <f t="shared" si="1315"/>
        <v>0</v>
      </c>
      <c r="AO3803" s="498">
        <f t="shared" si="1316"/>
        <v>0</v>
      </c>
      <c r="AP3803" s="498">
        <f t="shared" si="1335"/>
        <v>0</v>
      </c>
      <c r="AQ3803" s="498">
        <f t="shared" si="1330"/>
        <v>0</v>
      </c>
      <c r="AU3803" s="498">
        <f t="shared" si="1317"/>
        <v>0</v>
      </c>
      <c r="AV3803" s="498">
        <f t="shared" si="1318"/>
        <v>0</v>
      </c>
      <c r="AW3803" s="498">
        <f t="shared" si="1319"/>
        <v>0</v>
      </c>
      <c r="AX3803" s="498">
        <f t="shared" si="1320"/>
        <v>0</v>
      </c>
      <c r="AY3803" s="498">
        <f t="shared" si="1321"/>
        <v>0</v>
      </c>
      <c r="BB3803" s="498" t="str">
        <f t="shared" si="1322"/>
        <v/>
      </c>
      <c r="BC3803" s="743" t="str">
        <f t="shared" si="1323"/>
        <v/>
      </c>
      <c r="BD3803" s="743" t="str">
        <f t="shared" si="1324"/>
        <v/>
      </c>
      <c r="BE3803" s="743" t="str">
        <f>IF(D3803="","",VLOOKUP(D3803,'General Basis'!$J$39:$K$46,2,0))</f>
        <v/>
      </c>
      <c r="BF3803" s="744" t="str">
        <f>IF(D3803="","",VLOOKUP(D3803,'General Basis'!$J$39:$L$46,3,0))</f>
        <v/>
      </c>
      <c r="BG3803" s="744" t="str">
        <f t="shared" si="1331"/>
        <v/>
      </c>
      <c r="BH3803" s="744" t="str">
        <f>IF(G3803="","",IF(BF3803="Abu Dhabi",IF(G3803&lt;18,'General Basis'!$C$39,IF(G3803&lt;41,'General Basis'!$C$40,IF(G3803&lt;60,'General Basis'!$C$41,IF(G3803&lt;65,'General Basis'!$C$42,'General Basis'!$C$43)))),IF(G3803&lt;11,'General Basis'!$B$39,IF(G3803&lt;18,'General Basis'!$B$40,IF(G3803&lt;26,'General Basis'!$B$41,IF(G3803&lt;31,'General Basis'!$B$42,IF(G3803&lt;36,'General Basis'!$B$43,IF(G3803&lt;41,'General Basis'!$B$44,IF(G3803&lt;46,'General Basis'!$B$45,IF(G3803&lt;51,'General Basis'!$B$46,IF(G3803&lt;56,'General Basis'!$B$47,IF(G3803&lt;60,'General Basis'!$B$48,IF(G3803&lt;65,'General Basis'!$B$49,'General Basis'!$B$50)))))))))))))</f>
        <v/>
      </c>
      <c r="BI3803" s="744" t="str">
        <f t="shared" si="1325"/>
        <v/>
      </c>
      <c r="BJ3803" s="747" t="str">
        <f t="shared" si="1332"/>
        <v/>
      </c>
      <c r="BK3803" s="498" t="str">
        <f t="shared" si="1326"/>
        <v/>
      </c>
      <c r="BL3803" s="498" t="str">
        <f t="shared" si="1327"/>
        <v/>
      </c>
    </row>
    <row r="3804" spans="1:64" x14ac:dyDescent="0.25">
      <c r="A3804" s="762">
        <f t="shared" si="1328"/>
        <v>3799</v>
      </c>
      <c r="B3804" s="229"/>
      <c r="C3804" s="223"/>
      <c r="D3804" s="224"/>
      <c r="E3804" s="225"/>
      <c r="F3804" s="1036" t="str">
        <f t="shared" si="1334"/>
        <v/>
      </c>
      <c r="G3804" s="1037" t="str">
        <f t="shared" si="1329"/>
        <v/>
      </c>
      <c r="H3804" s="225"/>
      <c r="I3804" s="1013"/>
      <c r="J3804" s="1013"/>
      <c r="K3804" s="1028"/>
      <c r="L3804" s="1035" t="str">
        <f t="shared" si="1333"/>
        <v/>
      </c>
      <c r="S3804" s="498"/>
      <c r="AJ3804" s="498"/>
      <c r="AM3804" s="498">
        <f t="shared" si="1314"/>
        <v>0</v>
      </c>
      <c r="AN3804" s="498">
        <f t="shared" si="1315"/>
        <v>0</v>
      </c>
      <c r="AO3804" s="498">
        <f t="shared" si="1316"/>
        <v>0</v>
      </c>
      <c r="AP3804" s="498">
        <f t="shared" si="1335"/>
        <v>0</v>
      </c>
      <c r="AQ3804" s="498">
        <f t="shared" si="1330"/>
        <v>0</v>
      </c>
      <c r="AU3804" s="498">
        <f t="shared" si="1317"/>
        <v>0</v>
      </c>
      <c r="AV3804" s="498">
        <f t="shared" si="1318"/>
        <v>0</v>
      </c>
      <c r="AW3804" s="498">
        <f t="shared" si="1319"/>
        <v>0</v>
      </c>
      <c r="AX3804" s="498">
        <f t="shared" si="1320"/>
        <v>0</v>
      </c>
      <c r="AY3804" s="498">
        <f t="shared" si="1321"/>
        <v>0</v>
      </c>
      <c r="BB3804" s="498" t="str">
        <f t="shared" si="1322"/>
        <v/>
      </c>
      <c r="BC3804" s="743" t="str">
        <f t="shared" si="1323"/>
        <v/>
      </c>
      <c r="BD3804" s="743" t="str">
        <f t="shared" si="1324"/>
        <v/>
      </c>
      <c r="BE3804" s="743" t="str">
        <f>IF(D3804="","",VLOOKUP(D3804,'General Basis'!$J$39:$K$46,2,0))</f>
        <v/>
      </c>
      <c r="BF3804" s="744" t="str">
        <f>IF(D3804="","",VLOOKUP(D3804,'General Basis'!$J$39:$L$46,3,0))</f>
        <v/>
      </c>
      <c r="BG3804" s="744" t="str">
        <f t="shared" si="1331"/>
        <v/>
      </c>
      <c r="BH3804" s="744" t="str">
        <f>IF(G3804="","",IF(BF3804="Abu Dhabi",IF(G3804&lt;18,'General Basis'!$C$39,IF(G3804&lt;41,'General Basis'!$C$40,IF(G3804&lt;60,'General Basis'!$C$41,IF(G3804&lt;65,'General Basis'!$C$42,'General Basis'!$C$43)))),IF(G3804&lt;11,'General Basis'!$B$39,IF(G3804&lt;18,'General Basis'!$B$40,IF(G3804&lt;26,'General Basis'!$B$41,IF(G3804&lt;31,'General Basis'!$B$42,IF(G3804&lt;36,'General Basis'!$B$43,IF(G3804&lt;41,'General Basis'!$B$44,IF(G3804&lt;46,'General Basis'!$B$45,IF(G3804&lt;51,'General Basis'!$B$46,IF(G3804&lt;56,'General Basis'!$B$47,IF(G3804&lt;60,'General Basis'!$B$48,IF(G3804&lt;65,'General Basis'!$B$49,'General Basis'!$B$50)))))))))))))</f>
        <v/>
      </c>
      <c r="BI3804" s="744" t="str">
        <f t="shared" si="1325"/>
        <v/>
      </c>
      <c r="BJ3804" s="747" t="str">
        <f t="shared" si="1332"/>
        <v/>
      </c>
      <c r="BK3804" s="498" t="str">
        <f t="shared" si="1326"/>
        <v/>
      </c>
      <c r="BL3804" s="498" t="str">
        <f t="shared" si="1327"/>
        <v/>
      </c>
    </row>
    <row r="3805" spans="1:64" x14ac:dyDescent="0.25">
      <c r="A3805" s="762">
        <f t="shared" si="1328"/>
        <v>3800</v>
      </c>
      <c r="B3805" s="229"/>
      <c r="C3805" s="223"/>
      <c r="D3805" s="224"/>
      <c r="E3805" s="225"/>
      <c r="F3805" s="1036" t="str">
        <f t="shared" si="1334"/>
        <v/>
      </c>
      <c r="G3805" s="1037" t="str">
        <f t="shared" si="1329"/>
        <v/>
      </c>
      <c r="H3805" s="225"/>
      <c r="I3805" s="1013"/>
      <c r="J3805" s="1013"/>
      <c r="K3805" s="1028"/>
      <c r="L3805" s="1035" t="str">
        <f t="shared" si="1333"/>
        <v/>
      </c>
      <c r="S3805" s="498"/>
      <c r="AJ3805" s="498"/>
      <c r="AM3805" s="498">
        <f t="shared" si="1314"/>
        <v>0</v>
      </c>
      <c r="AN3805" s="498">
        <f t="shared" si="1315"/>
        <v>0</v>
      </c>
      <c r="AO3805" s="498">
        <f t="shared" si="1316"/>
        <v>0</v>
      </c>
      <c r="AP3805" s="498">
        <f t="shared" si="1335"/>
        <v>0</v>
      </c>
      <c r="AQ3805" s="498">
        <f t="shared" si="1330"/>
        <v>0</v>
      </c>
      <c r="AU3805" s="498">
        <f t="shared" si="1317"/>
        <v>0</v>
      </c>
      <c r="AV3805" s="498">
        <f t="shared" si="1318"/>
        <v>0</v>
      </c>
      <c r="AW3805" s="498">
        <f t="shared" si="1319"/>
        <v>0</v>
      </c>
      <c r="AX3805" s="498">
        <f t="shared" si="1320"/>
        <v>0</v>
      </c>
      <c r="AY3805" s="498">
        <f t="shared" si="1321"/>
        <v>0</v>
      </c>
      <c r="BB3805" s="498" t="str">
        <f t="shared" si="1322"/>
        <v/>
      </c>
      <c r="BC3805" s="743" t="str">
        <f t="shared" si="1323"/>
        <v/>
      </c>
      <c r="BD3805" s="743" t="str">
        <f t="shared" si="1324"/>
        <v/>
      </c>
      <c r="BE3805" s="743" t="str">
        <f>IF(D3805="","",VLOOKUP(D3805,'General Basis'!$J$39:$K$46,2,0))</f>
        <v/>
      </c>
      <c r="BF3805" s="744" t="str">
        <f>IF(D3805="","",VLOOKUP(D3805,'General Basis'!$J$39:$L$46,3,0))</f>
        <v/>
      </c>
      <c r="BG3805" s="744" t="str">
        <f t="shared" si="1331"/>
        <v/>
      </c>
      <c r="BH3805" s="744" t="str">
        <f>IF(G3805="","",IF(BF3805="Abu Dhabi",IF(G3805&lt;18,'General Basis'!$C$39,IF(G3805&lt;41,'General Basis'!$C$40,IF(G3805&lt;60,'General Basis'!$C$41,IF(G3805&lt;65,'General Basis'!$C$42,'General Basis'!$C$43)))),IF(G3805&lt;11,'General Basis'!$B$39,IF(G3805&lt;18,'General Basis'!$B$40,IF(G3805&lt;26,'General Basis'!$B$41,IF(G3805&lt;31,'General Basis'!$B$42,IF(G3805&lt;36,'General Basis'!$B$43,IF(G3805&lt;41,'General Basis'!$B$44,IF(G3805&lt;46,'General Basis'!$B$45,IF(G3805&lt;51,'General Basis'!$B$46,IF(G3805&lt;56,'General Basis'!$B$47,IF(G3805&lt;60,'General Basis'!$B$48,IF(G3805&lt;65,'General Basis'!$B$49,'General Basis'!$B$50)))))))))))))</f>
        <v/>
      </c>
      <c r="BI3805" s="744" t="str">
        <f t="shared" si="1325"/>
        <v/>
      </c>
      <c r="BJ3805" s="747" t="str">
        <f t="shared" si="1332"/>
        <v/>
      </c>
      <c r="BK3805" s="498" t="str">
        <f t="shared" si="1326"/>
        <v/>
      </c>
      <c r="BL3805" s="498" t="str">
        <f t="shared" si="1327"/>
        <v/>
      </c>
    </row>
    <row r="3806" spans="1:64" x14ac:dyDescent="0.25">
      <c r="A3806" s="762">
        <f t="shared" si="1328"/>
        <v>3801</v>
      </c>
      <c r="B3806" s="229"/>
      <c r="C3806" s="223"/>
      <c r="D3806" s="224"/>
      <c r="E3806" s="225"/>
      <c r="F3806" s="1036" t="str">
        <f t="shared" si="1334"/>
        <v/>
      </c>
      <c r="G3806" s="1037" t="str">
        <f t="shared" si="1329"/>
        <v/>
      </c>
      <c r="H3806" s="225"/>
      <c r="I3806" s="1013"/>
      <c r="J3806" s="1013"/>
      <c r="K3806" s="1028"/>
      <c r="L3806" s="1035" t="str">
        <f t="shared" si="1333"/>
        <v/>
      </c>
      <c r="S3806" s="498"/>
      <c r="AJ3806" s="498"/>
      <c r="AM3806" s="498">
        <f t="shared" si="1314"/>
        <v>0</v>
      </c>
      <c r="AN3806" s="498">
        <f t="shared" si="1315"/>
        <v>0</v>
      </c>
      <c r="AO3806" s="498">
        <f t="shared" si="1316"/>
        <v>0</v>
      </c>
      <c r="AP3806" s="498">
        <f t="shared" si="1335"/>
        <v>0</v>
      </c>
      <c r="AQ3806" s="498">
        <f t="shared" si="1330"/>
        <v>0</v>
      </c>
      <c r="AU3806" s="498">
        <f t="shared" si="1317"/>
        <v>0</v>
      </c>
      <c r="AV3806" s="498">
        <f t="shared" si="1318"/>
        <v>0</v>
      </c>
      <c r="AW3806" s="498">
        <f t="shared" si="1319"/>
        <v>0</v>
      </c>
      <c r="AX3806" s="498">
        <f t="shared" si="1320"/>
        <v>0</v>
      </c>
      <c r="AY3806" s="498">
        <f t="shared" si="1321"/>
        <v>0</v>
      </c>
      <c r="BB3806" s="498" t="str">
        <f t="shared" si="1322"/>
        <v/>
      </c>
      <c r="BC3806" s="743" t="str">
        <f t="shared" si="1323"/>
        <v/>
      </c>
      <c r="BD3806" s="743" t="str">
        <f t="shared" si="1324"/>
        <v/>
      </c>
      <c r="BE3806" s="743" t="str">
        <f>IF(D3806="","",VLOOKUP(D3806,'General Basis'!$J$39:$K$46,2,0))</f>
        <v/>
      </c>
      <c r="BF3806" s="744" t="str">
        <f>IF(D3806="","",VLOOKUP(D3806,'General Basis'!$J$39:$L$46,3,0))</f>
        <v/>
      </c>
      <c r="BG3806" s="744" t="str">
        <f t="shared" si="1331"/>
        <v/>
      </c>
      <c r="BH3806" s="744" t="str">
        <f>IF(G3806="","",IF(BF3806="Abu Dhabi",IF(G3806&lt;18,'General Basis'!$C$39,IF(G3806&lt;41,'General Basis'!$C$40,IF(G3806&lt;60,'General Basis'!$C$41,IF(G3806&lt;65,'General Basis'!$C$42,'General Basis'!$C$43)))),IF(G3806&lt;11,'General Basis'!$B$39,IF(G3806&lt;18,'General Basis'!$B$40,IF(G3806&lt;26,'General Basis'!$B$41,IF(G3806&lt;31,'General Basis'!$B$42,IF(G3806&lt;36,'General Basis'!$B$43,IF(G3806&lt;41,'General Basis'!$B$44,IF(G3806&lt;46,'General Basis'!$B$45,IF(G3806&lt;51,'General Basis'!$B$46,IF(G3806&lt;56,'General Basis'!$B$47,IF(G3806&lt;60,'General Basis'!$B$48,IF(G3806&lt;65,'General Basis'!$B$49,'General Basis'!$B$50)))))))))))))</f>
        <v/>
      </c>
      <c r="BI3806" s="744" t="str">
        <f t="shared" si="1325"/>
        <v/>
      </c>
      <c r="BJ3806" s="747" t="str">
        <f t="shared" si="1332"/>
        <v/>
      </c>
      <c r="BK3806" s="498" t="str">
        <f t="shared" si="1326"/>
        <v/>
      </c>
      <c r="BL3806" s="498" t="str">
        <f t="shared" si="1327"/>
        <v/>
      </c>
    </row>
    <row r="3807" spans="1:64" x14ac:dyDescent="0.25">
      <c r="A3807" s="762">
        <f t="shared" si="1328"/>
        <v>3802</v>
      </c>
      <c r="B3807" s="229"/>
      <c r="C3807" s="223"/>
      <c r="D3807" s="224"/>
      <c r="E3807" s="225"/>
      <c r="F3807" s="1036" t="str">
        <f t="shared" si="1334"/>
        <v/>
      </c>
      <c r="G3807" s="1037" t="str">
        <f t="shared" si="1329"/>
        <v/>
      </c>
      <c r="H3807" s="225"/>
      <c r="I3807" s="1013"/>
      <c r="J3807" s="1013"/>
      <c r="K3807" s="1028"/>
      <c r="L3807" s="1035" t="str">
        <f t="shared" si="1333"/>
        <v/>
      </c>
      <c r="S3807" s="498"/>
      <c r="AJ3807" s="498"/>
      <c r="AM3807" s="498">
        <f t="shared" si="1314"/>
        <v>0</v>
      </c>
      <c r="AN3807" s="498">
        <f t="shared" si="1315"/>
        <v>0</v>
      </c>
      <c r="AO3807" s="498">
        <f t="shared" si="1316"/>
        <v>0</v>
      </c>
      <c r="AP3807" s="498">
        <f t="shared" si="1335"/>
        <v>0</v>
      </c>
      <c r="AQ3807" s="498">
        <f t="shared" si="1330"/>
        <v>0</v>
      </c>
      <c r="AU3807" s="498">
        <f t="shared" si="1317"/>
        <v>0</v>
      </c>
      <c r="AV3807" s="498">
        <f t="shared" si="1318"/>
        <v>0</v>
      </c>
      <c r="AW3807" s="498">
        <f t="shared" si="1319"/>
        <v>0</v>
      </c>
      <c r="AX3807" s="498">
        <f t="shared" si="1320"/>
        <v>0</v>
      </c>
      <c r="AY3807" s="498">
        <f t="shared" si="1321"/>
        <v>0</v>
      </c>
      <c r="BB3807" s="498" t="str">
        <f t="shared" si="1322"/>
        <v/>
      </c>
      <c r="BC3807" s="743" t="str">
        <f t="shared" si="1323"/>
        <v/>
      </c>
      <c r="BD3807" s="743" t="str">
        <f t="shared" si="1324"/>
        <v/>
      </c>
      <c r="BE3807" s="743" t="str">
        <f>IF(D3807="","",VLOOKUP(D3807,'General Basis'!$J$39:$K$46,2,0))</f>
        <v/>
      </c>
      <c r="BF3807" s="744" t="str">
        <f>IF(D3807="","",VLOOKUP(D3807,'General Basis'!$J$39:$L$46,3,0))</f>
        <v/>
      </c>
      <c r="BG3807" s="744" t="str">
        <f t="shared" si="1331"/>
        <v/>
      </c>
      <c r="BH3807" s="744" t="str">
        <f>IF(G3807="","",IF(BF3807="Abu Dhabi",IF(G3807&lt;18,'General Basis'!$C$39,IF(G3807&lt;41,'General Basis'!$C$40,IF(G3807&lt;60,'General Basis'!$C$41,IF(G3807&lt;65,'General Basis'!$C$42,'General Basis'!$C$43)))),IF(G3807&lt;11,'General Basis'!$B$39,IF(G3807&lt;18,'General Basis'!$B$40,IF(G3807&lt;26,'General Basis'!$B$41,IF(G3807&lt;31,'General Basis'!$B$42,IF(G3807&lt;36,'General Basis'!$B$43,IF(G3807&lt;41,'General Basis'!$B$44,IF(G3807&lt;46,'General Basis'!$B$45,IF(G3807&lt;51,'General Basis'!$B$46,IF(G3807&lt;56,'General Basis'!$B$47,IF(G3807&lt;60,'General Basis'!$B$48,IF(G3807&lt;65,'General Basis'!$B$49,'General Basis'!$B$50)))))))))))))</f>
        <v/>
      </c>
      <c r="BI3807" s="744" t="str">
        <f t="shared" si="1325"/>
        <v/>
      </c>
      <c r="BJ3807" s="747" t="str">
        <f t="shared" si="1332"/>
        <v/>
      </c>
      <c r="BK3807" s="498" t="str">
        <f t="shared" si="1326"/>
        <v/>
      </c>
      <c r="BL3807" s="498" t="str">
        <f t="shared" si="1327"/>
        <v/>
      </c>
    </row>
    <row r="3808" spans="1:64" x14ac:dyDescent="0.25">
      <c r="A3808" s="762">
        <f t="shared" si="1328"/>
        <v>3803</v>
      </c>
      <c r="B3808" s="229"/>
      <c r="C3808" s="223"/>
      <c r="D3808" s="224"/>
      <c r="E3808" s="225"/>
      <c r="F3808" s="1036" t="str">
        <f t="shared" si="1334"/>
        <v/>
      </c>
      <c r="G3808" s="1037" t="str">
        <f t="shared" si="1329"/>
        <v/>
      </c>
      <c r="H3808" s="225"/>
      <c r="I3808" s="1013"/>
      <c r="J3808" s="1013"/>
      <c r="K3808" s="1028"/>
      <c r="L3808" s="1035" t="str">
        <f t="shared" si="1333"/>
        <v/>
      </c>
      <c r="S3808" s="498"/>
      <c r="AJ3808" s="498"/>
      <c r="AM3808" s="498">
        <f t="shared" si="1314"/>
        <v>0</v>
      </c>
      <c r="AN3808" s="498">
        <f t="shared" si="1315"/>
        <v>0</v>
      </c>
      <c r="AO3808" s="498">
        <f t="shared" si="1316"/>
        <v>0</v>
      </c>
      <c r="AP3808" s="498">
        <f t="shared" si="1335"/>
        <v>0</v>
      </c>
      <c r="AQ3808" s="498">
        <f t="shared" si="1330"/>
        <v>0</v>
      </c>
      <c r="AU3808" s="498">
        <f t="shared" si="1317"/>
        <v>0</v>
      </c>
      <c r="AV3808" s="498">
        <f t="shared" si="1318"/>
        <v>0</v>
      </c>
      <c r="AW3808" s="498">
        <f t="shared" si="1319"/>
        <v>0</v>
      </c>
      <c r="AX3808" s="498">
        <f t="shared" si="1320"/>
        <v>0</v>
      </c>
      <c r="AY3808" s="498">
        <f t="shared" si="1321"/>
        <v>0</v>
      </c>
      <c r="BB3808" s="498" t="str">
        <f t="shared" si="1322"/>
        <v/>
      </c>
      <c r="BC3808" s="743" t="str">
        <f t="shared" si="1323"/>
        <v/>
      </c>
      <c r="BD3808" s="743" t="str">
        <f t="shared" si="1324"/>
        <v/>
      </c>
      <c r="BE3808" s="743" t="str">
        <f>IF(D3808="","",VLOOKUP(D3808,'General Basis'!$J$39:$K$46,2,0))</f>
        <v/>
      </c>
      <c r="BF3808" s="744" t="str">
        <f>IF(D3808="","",VLOOKUP(D3808,'General Basis'!$J$39:$L$46,3,0))</f>
        <v/>
      </c>
      <c r="BG3808" s="744" t="str">
        <f t="shared" si="1331"/>
        <v/>
      </c>
      <c r="BH3808" s="744" t="str">
        <f>IF(G3808="","",IF(BF3808="Abu Dhabi",IF(G3808&lt;18,'General Basis'!$C$39,IF(G3808&lt;41,'General Basis'!$C$40,IF(G3808&lt;60,'General Basis'!$C$41,IF(G3808&lt;65,'General Basis'!$C$42,'General Basis'!$C$43)))),IF(G3808&lt;11,'General Basis'!$B$39,IF(G3808&lt;18,'General Basis'!$B$40,IF(G3808&lt;26,'General Basis'!$B$41,IF(G3808&lt;31,'General Basis'!$B$42,IF(G3808&lt;36,'General Basis'!$B$43,IF(G3808&lt;41,'General Basis'!$B$44,IF(G3808&lt;46,'General Basis'!$B$45,IF(G3808&lt;51,'General Basis'!$B$46,IF(G3808&lt;56,'General Basis'!$B$47,IF(G3808&lt;60,'General Basis'!$B$48,IF(G3808&lt;65,'General Basis'!$B$49,'General Basis'!$B$50)))))))))))))</f>
        <v/>
      </c>
      <c r="BI3808" s="744" t="str">
        <f t="shared" si="1325"/>
        <v/>
      </c>
      <c r="BJ3808" s="747" t="str">
        <f t="shared" si="1332"/>
        <v/>
      </c>
      <c r="BK3808" s="498" t="str">
        <f t="shared" si="1326"/>
        <v/>
      </c>
      <c r="BL3808" s="498" t="str">
        <f t="shared" si="1327"/>
        <v/>
      </c>
    </row>
    <row r="3809" spans="1:64" x14ac:dyDescent="0.25">
      <c r="A3809" s="762">
        <f t="shared" si="1328"/>
        <v>3804</v>
      </c>
      <c r="B3809" s="229"/>
      <c r="C3809" s="223"/>
      <c r="D3809" s="224"/>
      <c r="E3809" s="225"/>
      <c r="F3809" s="1036" t="str">
        <f t="shared" si="1334"/>
        <v/>
      </c>
      <c r="G3809" s="1037" t="str">
        <f t="shared" si="1329"/>
        <v/>
      </c>
      <c r="H3809" s="225"/>
      <c r="I3809" s="1013"/>
      <c r="J3809" s="1013"/>
      <c r="K3809" s="1028"/>
      <c r="L3809" s="1035" t="str">
        <f t="shared" si="1333"/>
        <v/>
      </c>
      <c r="S3809" s="498"/>
      <c r="AJ3809" s="498"/>
      <c r="AM3809" s="498">
        <f t="shared" si="1314"/>
        <v>0</v>
      </c>
      <c r="AN3809" s="498">
        <f t="shared" si="1315"/>
        <v>0</v>
      </c>
      <c r="AO3809" s="498">
        <f t="shared" si="1316"/>
        <v>0</v>
      </c>
      <c r="AP3809" s="498">
        <f t="shared" si="1335"/>
        <v>0</v>
      </c>
      <c r="AQ3809" s="498">
        <f t="shared" si="1330"/>
        <v>0</v>
      </c>
      <c r="AU3809" s="498">
        <f t="shared" si="1317"/>
        <v>0</v>
      </c>
      <c r="AV3809" s="498">
        <f t="shared" si="1318"/>
        <v>0</v>
      </c>
      <c r="AW3809" s="498">
        <f t="shared" si="1319"/>
        <v>0</v>
      </c>
      <c r="AX3809" s="498">
        <f t="shared" si="1320"/>
        <v>0</v>
      </c>
      <c r="AY3809" s="498">
        <f t="shared" si="1321"/>
        <v>0</v>
      </c>
      <c r="BB3809" s="498" t="str">
        <f t="shared" si="1322"/>
        <v/>
      </c>
      <c r="BC3809" s="743" t="str">
        <f t="shared" si="1323"/>
        <v/>
      </c>
      <c r="BD3809" s="743" t="str">
        <f t="shared" si="1324"/>
        <v/>
      </c>
      <c r="BE3809" s="743" t="str">
        <f>IF(D3809="","",VLOOKUP(D3809,'General Basis'!$J$39:$K$46,2,0))</f>
        <v/>
      </c>
      <c r="BF3809" s="744" t="str">
        <f>IF(D3809="","",VLOOKUP(D3809,'General Basis'!$J$39:$L$46,3,0))</f>
        <v/>
      </c>
      <c r="BG3809" s="744" t="str">
        <f t="shared" si="1331"/>
        <v/>
      </c>
      <c r="BH3809" s="744" t="str">
        <f>IF(G3809="","",IF(BF3809="Abu Dhabi",IF(G3809&lt;18,'General Basis'!$C$39,IF(G3809&lt;41,'General Basis'!$C$40,IF(G3809&lt;60,'General Basis'!$C$41,IF(G3809&lt;65,'General Basis'!$C$42,'General Basis'!$C$43)))),IF(G3809&lt;11,'General Basis'!$B$39,IF(G3809&lt;18,'General Basis'!$B$40,IF(G3809&lt;26,'General Basis'!$B$41,IF(G3809&lt;31,'General Basis'!$B$42,IF(G3809&lt;36,'General Basis'!$B$43,IF(G3809&lt;41,'General Basis'!$B$44,IF(G3809&lt;46,'General Basis'!$B$45,IF(G3809&lt;51,'General Basis'!$B$46,IF(G3809&lt;56,'General Basis'!$B$47,IF(G3809&lt;60,'General Basis'!$B$48,IF(G3809&lt;65,'General Basis'!$B$49,'General Basis'!$B$50)))))))))))))</f>
        <v/>
      </c>
      <c r="BI3809" s="744" t="str">
        <f t="shared" si="1325"/>
        <v/>
      </c>
      <c r="BJ3809" s="747" t="str">
        <f t="shared" si="1332"/>
        <v/>
      </c>
      <c r="BK3809" s="498" t="str">
        <f t="shared" si="1326"/>
        <v/>
      </c>
      <c r="BL3809" s="498" t="str">
        <f t="shared" si="1327"/>
        <v/>
      </c>
    </row>
    <row r="3810" spans="1:64" x14ac:dyDescent="0.25">
      <c r="A3810" s="762">
        <f t="shared" si="1328"/>
        <v>3805</v>
      </c>
      <c r="B3810" s="229"/>
      <c r="C3810" s="223"/>
      <c r="D3810" s="224"/>
      <c r="E3810" s="225"/>
      <c r="F3810" s="1036" t="str">
        <f t="shared" si="1334"/>
        <v/>
      </c>
      <c r="G3810" s="1037" t="str">
        <f t="shared" si="1329"/>
        <v/>
      </c>
      <c r="H3810" s="225"/>
      <c r="I3810" s="1013"/>
      <c r="J3810" s="1013"/>
      <c r="K3810" s="1028"/>
      <c r="L3810" s="1035" t="str">
        <f t="shared" si="1333"/>
        <v/>
      </c>
      <c r="S3810" s="498"/>
      <c r="AJ3810" s="498"/>
      <c r="AM3810" s="498">
        <f t="shared" si="1314"/>
        <v>0</v>
      </c>
      <c r="AN3810" s="498">
        <f t="shared" si="1315"/>
        <v>0</v>
      </c>
      <c r="AO3810" s="498">
        <f t="shared" si="1316"/>
        <v>0</v>
      </c>
      <c r="AP3810" s="498">
        <f t="shared" si="1335"/>
        <v>0</v>
      </c>
      <c r="AQ3810" s="498">
        <f t="shared" si="1330"/>
        <v>0</v>
      </c>
      <c r="AU3810" s="498">
        <f t="shared" si="1317"/>
        <v>0</v>
      </c>
      <c r="AV3810" s="498">
        <f t="shared" si="1318"/>
        <v>0</v>
      </c>
      <c r="AW3810" s="498">
        <f t="shared" si="1319"/>
        <v>0</v>
      </c>
      <c r="AX3810" s="498">
        <f t="shared" si="1320"/>
        <v>0</v>
      </c>
      <c r="AY3810" s="498">
        <f t="shared" si="1321"/>
        <v>0</v>
      </c>
      <c r="BB3810" s="498" t="str">
        <f t="shared" si="1322"/>
        <v/>
      </c>
      <c r="BC3810" s="743" t="str">
        <f t="shared" si="1323"/>
        <v/>
      </c>
      <c r="BD3810" s="743" t="str">
        <f t="shared" si="1324"/>
        <v/>
      </c>
      <c r="BE3810" s="743" t="str">
        <f>IF(D3810="","",VLOOKUP(D3810,'General Basis'!$J$39:$K$46,2,0))</f>
        <v/>
      </c>
      <c r="BF3810" s="744" t="str">
        <f>IF(D3810="","",VLOOKUP(D3810,'General Basis'!$J$39:$L$46,3,0))</f>
        <v/>
      </c>
      <c r="BG3810" s="744" t="str">
        <f t="shared" si="1331"/>
        <v/>
      </c>
      <c r="BH3810" s="744" t="str">
        <f>IF(G3810="","",IF(BF3810="Abu Dhabi",IF(G3810&lt;18,'General Basis'!$C$39,IF(G3810&lt;41,'General Basis'!$C$40,IF(G3810&lt;60,'General Basis'!$C$41,IF(G3810&lt;65,'General Basis'!$C$42,'General Basis'!$C$43)))),IF(G3810&lt;11,'General Basis'!$B$39,IF(G3810&lt;18,'General Basis'!$B$40,IF(G3810&lt;26,'General Basis'!$B$41,IF(G3810&lt;31,'General Basis'!$B$42,IF(G3810&lt;36,'General Basis'!$B$43,IF(G3810&lt;41,'General Basis'!$B$44,IF(G3810&lt;46,'General Basis'!$B$45,IF(G3810&lt;51,'General Basis'!$B$46,IF(G3810&lt;56,'General Basis'!$B$47,IF(G3810&lt;60,'General Basis'!$B$48,IF(G3810&lt;65,'General Basis'!$B$49,'General Basis'!$B$50)))))))))))))</f>
        <v/>
      </c>
      <c r="BI3810" s="744" t="str">
        <f t="shared" si="1325"/>
        <v/>
      </c>
      <c r="BJ3810" s="747" t="str">
        <f t="shared" si="1332"/>
        <v/>
      </c>
      <c r="BK3810" s="498" t="str">
        <f t="shared" si="1326"/>
        <v/>
      </c>
      <c r="BL3810" s="498" t="str">
        <f t="shared" si="1327"/>
        <v/>
      </c>
    </row>
    <row r="3811" spans="1:64" x14ac:dyDescent="0.25">
      <c r="A3811" s="762">
        <f t="shared" si="1328"/>
        <v>3806</v>
      </c>
      <c r="B3811" s="229"/>
      <c r="C3811" s="223"/>
      <c r="D3811" s="224"/>
      <c r="E3811" s="225"/>
      <c r="F3811" s="1036" t="str">
        <f t="shared" si="1334"/>
        <v/>
      </c>
      <c r="G3811" s="1037" t="str">
        <f t="shared" si="1329"/>
        <v/>
      </c>
      <c r="H3811" s="225"/>
      <c r="I3811" s="1013"/>
      <c r="J3811" s="1013"/>
      <c r="K3811" s="1028"/>
      <c r="L3811" s="1035" t="str">
        <f t="shared" si="1333"/>
        <v/>
      </c>
      <c r="S3811" s="498"/>
      <c r="AJ3811" s="498"/>
      <c r="AM3811" s="498">
        <f t="shared" si="1314"/>
        <v>0</v>
      </c>
      <c r="AN3811" s="498">
        <f t="shared" si="1315"/>
        <v>0</v>
      </c>
      <c r="AO3811" s="498">
        <f t="shared" si="1316"/>
        <v>0</v>
      </c>
      <c r="AP3811" s="498">
        <f t="shared" si="1335"/>
        <v>0</v>
      </c>
      <c r="AQ3811" s="498">
        <f t="shared" si="1330"/>
        <v>0</v>
      </c>
      <c r="AU3811" s="498">
        <f t="shared" si="1317"/>
        <v>0</v>
      </c>
      <c r="AV3811" s="498">
        <f t="shared" si="1318"/>
        <v>0</v>
      </c>
      <c r="AW3811" s="498">
        <f t="shared" si="1319"/>
        <v>0</v>
      </c>
      <c r="AX3811" s="498">
        <f t="shared" si="1320"/>
        <v>0</v>
      </c>
      <c r="AY3811" s="498">
        <f t="shared" si="1321"/>
        <v>0</v>
      </c>
      <c r="BB3811" s="498" t="str">
        <f t="shared" si="1322"/>
        <v/>
      </c>
      <c r="BC3811" s="743" t="str">
        <f t="shared" si="1323"/>
        <v/>
      </c>
      <c r="BD3811" s="743" t="str">
        <f t="shared" si="1324"/>
        <v/>
      </c>
      <c r="BE3811" s="743" t="str">
        <f>IF(D3811="","",VLOOKUP(D3811,'General Basis'!$J$39:$K$46,2,0))</f>
        <v/>
      </c>
      <c r="BF3811" s="744" t="str">
        <f>IF(D3811="","",VLOOKUP(D3811,'General Basis'!$J$39:$L$46,3,0))</f>
        <v/>
      </c>
      <c r="BG3811" s="744" t="str">
        <f t="shared" si="1331"/>
        <v/>
      </c>
      <c r="BH3811" s="744" t="str">
        <f>IF(G3811="","",IF(BF3811="Abu Dhabi",IF(G3811&lt;18,'General Basis'!$C$39,IF(G3811&lt;41,'General Basis'!$C$40,IF(G3811&lt;60,'General Basis'!$C$41,IF(G3811&lt;65,'General Basis'!$C$42,'General Basis'!$C$43)))),IF(G3811&lt;11,'General Basis'!$B$39,IF(G3811&lt;18,'General Basis'!$B$40,IF(G3811&lt;26,'General Basis'!$B$41,IF(G3811&lt;31,'General Basis'!$B$42,IF(G3811&lt;36,'General Basis'!$B$43,IF(G3811&lt;41,'General Basis'!$B$44,IF(G3811&lt;46,'General Basis'!$B$45,IF(G3811&lt;51,'General Basis'!$B$46,IF(G3811&lt;56,'General Basis'!$B$47,IF(G3811&lt;60,'General Basis'!$B$48,IF(G3811&lt;65,'General Basis'!$B$49,'General Basis'!$B$50)))))))))))))</f>
        <v/>
      </c>
      <c r="BI3811" s="744" t="str">
        <f t="shared" si="1325"/>
        <v/>
      </c>
      <c r="BJ3811" s="747" t="str">
        <f t="shared" si="1332"/>
        <v/>
      </c>
      <c r="BK3811" s="498" t="str">
        <f t="shared" si="1326"/>
        <v/>
      </c>
      <c r="BL3811" s="498" t="str">
        <f t="shared" si="1327"/>
        <v/>
      </c>
    </row>
    <row r="3812" spans="1:64" x14ac:dyDescent="0.25">
      <c r="A3812" s="762">
        <f t="shared" si="1328"/>
        <v>3807</v>
      </c>
      <c r="B3812" s="229"/>
      <c r="C3812" s="223"/>
      <c r="D3812" s="224"/>
      <c r="E3812" s="225"/>
      <c r="F3812" s="1036" t="str">
        <f t="shared" si="1334"/>
        <v/>
      </c>
      <c r="G3812" s="1037" t="str">
        <f t="shared" si="1329"/>
        <v/>
      </c>
      <c r="H3812" s="225"/>
      <c r="I3812" s="1013"/>
      <c r="J3812" s="1013"/>
      <c r="K3812" s="1028"/>
      <c r="L3812" s="1035" t="str">
        <f t="shared" si="1333"/>
        <v/>
      </c>
      <c r="S3812" s="498"/>
      <c r="AJ3812" s="498"/>
      <c r="AM3812" s="498">
        <f t="shared" si="1314"/>
        <v>0</v>
      </c>
      <c r="AN3812" s="498">
        <f t="shared" si="1315"/>
        <v>0</v>
      </c>
      <c r="AO3812" s="498">
        <f t="shared" si="1316"/>
        <v>0</v>
      </c>
      <c r="AP3812" s="498">
        <f t="shared" si="1335"/>
        <v>0</v>
      </c>
      <c r="AQ3812" s="498">
        <f t="shared" si="1330"/>
        <v>0</v>
      </c>
      <c r="AU3812" s="498">
        <f t="shared" si="1317"/>
        <v>0</v>
      </c>
      <c r="AV3812" s="498">
        <f t="shared" si="1318"/>
        <v>0</v>
      </c>
      <c r="AW3812" s="498">
        <f t="shared" si="1319"/>
        <v>0</v>
      </c>
      <c r="AX3812" s="498">
        <f t="shared" si="1320"/>
        <v>0</v>
      </c>
      <c r="AY3812" s="498">
        <f t="shared" si="1321"/>
        <v>0</v>
      </c>
      <c r="BB3812" s="498" t="str">
        <f t="shared" si="1322"/>
        <v/>
      </c>
      <c r="BC3812" s="743" t="str">
        <f t="shared" si="1323"/>
        <v/>
      </c>
      <c r="BD3812" s="743" t="str">
        <f t="shared" si="1324"/>
        <v/>
      </c>
      <c r="BE3812" s="743" t="str">
        <f>IF(D3812="","",VLOOKUP(D3812,'General Basis'!$J$39:$K$46,2,0))</f>
        <v/>
      </c>
      <c r="BF3812" s="744" t="str">
        <f>IF(D3812="","",VLOOKUP(D3812,'General Basis'!$J$39:$L$46,3,0))</f>
        <v/>
      </c>
      <c r="BG3812" s="744" t="str">
        <f t="shared" si="1331"/>
        <v/>
      </c>
      <c r="BH3812" s="744" t="str">
        <f>IF(G3812="","",IF(BF3812="Abu Dhabi",IF(G3812&lt;18,'General Basis'!$C$39,IF(G3812&lt;41,'General Basis'!$C$40,IF(G3812&lt;60,'General Basis'!$C$41,IF(G3812&lt;65,'General Basis'!$C$42,'General Basis'!$C$43)))),IF(G3812&lt;11,'General Basis'!$B$39,IF(G3812&lt;18,'General Basis'!$B$40,IF(G3812&lt;26,'General Basis'!$B$41,IF(G3812&lt;31,'General Basis'!$B$42,IF(G3812&lt;36,'General Basis'!$B$43,IF(G3812&lt;41,'General Basis'!$B$44,IF(G3812&lt;46,'General Basis'!$B$45,IF(G3812&lt;51,'General Basis'!$B$46,IF(G3812&lt;56,'General Basis'!$B$47,IF(G3812&lt;60,'General Basis'!$B$48,IF(G3812&lt;65,'General Basis'!$B$49,'General Basis'!$B$50)))))))))))))</f>
        <v/>
      </c>
      <c r="BI3812" s="744" t="str">
        <f t="shared" si="1325"/>
        <v/>
      </c>
      <c r="BJ3812" s="747" t="str">
        <f t="shared" si="1332"/>
        <v/>
      </c>
      <c r="BK3812" s="498" t="str">
        <f t="shared" si="1326"/>
        <v/>
      </c>
      <c r="BL3812" s="498" t="str">
        <f t="shared" si="1327"/>
        <v/>
      </c>
    </row>
    <row r="3813" spans="1:64" x14ac:dyDescent="0.25">
      <c r="A3813" s="762">
        <f t="shared" si="1328"/>
        <v>3808</v>
      </c>
      <c r="B3813" s="229"/>
      <c r="C3813" s="223"/>
      <c r="D3813" s="224"/>
      <c r="E3813" s="225"/>
      <c r="F3813" s="1036" t="str">
        <f t="shared" si="1334"/>
        <v/>
      </c>
      <c r="G3813" s="1037" t="str">
        <f t="shared" si="1329"/>
        <v/>
      </c>
      <c r="H3813" s="225"/>
      <c r="I3813" s="1013"/>
      <c r="J3813" s="1013"/>
      <c r="K3813" s="1028"/>
      <c r="L3813" s="1035" t="str">
        <f t="shared" si="1333"/>
        <v/>
      </c>
      <c r="S3813" s="498"/>
      <c r="AJ3813" s="498"/>
      <c r="AM3813" s="498">
        <f t="shared" si="1314"/>
        <v>0</v>
      </c>
      <c r="AN3813" s="498">
        <f t="shared" si="1315"/>
        <v>0</v>
      </c>
      <c r="AO3813" s="498">
        <f t="shared" si="1316"/>
        <v>0</v>
      </c>
      <c r="AP3813" s="498">
        <f t="shared" si="1335"/>
        <v>0</v>
      </c>
      <c r="AQ3813" s="498">
        <f t="shared" si="1330"/>
        <v>0</v>
      </c>
      <c r="AU3813" s="498">
        <f t="shared" si="1317"/>
        <v>0</v>
      </c>
      <c r="AV3813" s="498">
        <f t="shared" si="1318"/>
        <v>0</v>
      </c>
      <c r="AW3813" s="498">
        <f t="shared" si="1319"/>
        <v>0</v>
      </c>
      <c r="AX3813" s="498">
        <f t="shared" si="1320"/>
        <v>0</v>
      </c>
      <c r="AY3813" s="498">
        <f t="shared" si="1321"/>
        <v>0</v>
      </c>
      <c r="BB3813" s="498" t="str">
        <f t="shared" si="1322"/>
        <v/>
      </c>
      <c r="BC3813" s="743" t="str">
        <f t="shared" si="1323"/>
        <v/>
      </c>
      <c r="BD3813" s="743" t="str">
        <f t="shared" si="1324"/>
        <v/>
      </c>
      <c r="BE3813" s="743" t="str">
        <f>IF(D3813="","",VLOOKUP(D3813,'General Basis'!$J$39:$K$46,2,0))</f>
        <v/>
      </c>
      <c r="BF3813" s="744" t="str">
        <f>IF(D3813="","",VLOOKUP(D3813,'General Basis'!$J$39:$L$46,3,0))</f>
        <v/>
      </c>
      <c r="BG3813" s="744" t="str">
        <f t="shared" si="1331"/>
        <v/>
      </c>
      <c r="BH3813" s="744" t="str">
        <f>IF(G3813="","",IF(BF3813="Abu Dhabi",IF(G3813&lt;18,'General Basis'!$C$39,IF(G3813&lt;41,'General Basis'!$C$40,IF(G3813&lt;60,'General Basis'!$C$41,IF(G3813&lt;65,'General Basis'!$C$42,'General Basis'!$C$43)))),IF(G3813&lt;11,'General Basis'!$B$39,IF(G3813&lt;18,'General Basis'!$B$40,IF(G3813&lt;26,'General Basis'!$B$41,IF(G3813&lt;31,'General Basis'!$B$42,IF(G3813&lt;36,'General Basis'!$B$43,IF(G3813&lt;41,'General Basis'!$B$44,IF(G3813&lt;46,'General Basis'!$B$45,IF(G3813&lt;51,'General Basis'!$B$46,IF(G3813&lt;56,'General Basis'!$B$47,IF(G3813&lt;60,'General Basis'!$B$48,IF(G3813&lt;65,'General Basis'!$B$49,'General Basis'!$B$50)))))))))))))</f>
        <v/>
      </c>
      <c r="BI3813" s="744" t="str">
        <f t="shared" si="1325"/>
        <v/>
      </c>
      <c r="BJ3813" s="747" t="str">
        <f t="shared" si="1332"/>
        <v/>
      </c>
      <c r="BK3813" s="498" t="str">
        <f t="shared" si="1326"/>
        <v/>
      </c>
      <c r="BL3813" s="498" t="str">
        <f t="shared" si="1327"/>
        <v/>
      </c>
    </row>
    <row r="3814" spans="1:64" x14ac:dyDescent="0.25">
      <c r="A3814" s="762">
        <f t="shared" si="1328"/>
        <v>3809</v>
      </c>
      <c r="B3814" s="229"/>
      <c r="C3814" s="223"/>
      <c r="D3814" s="224"/>
      <c r="E3814" s="225"/>
      <c r="F3814" s="1036" t="str">
        <f t="shared" si="1334"/>
        <v/>
      </c>
      <c r="G3814" s="1037" t="str">
        <f t="shared" si="1329"/>
        <v/>
      </c>
      <c r="H3814" s="225"/>
      <c r="I3814" s="1013"/>
      <c r="J3814" s="1013"/>
      <c r="K3814" s="1028"/>
      <c r="L3814" s="1035" t="str">
        <f t="shared" si="1333"/>
        <v/>
      </c>
      <c r="S3814" s="498"/>
      <c r="AJ3814" s="498"/>
      <c r="AM3814" s="498">
        <f t="shared" si="1314"/>
        <v>0</v>
      </c>
      <c r="AN3814" s="498">
        <f t="shared" si="1315"/>
        <v>0</v>
      </c>
      <c r="AO3814" s="498">
        <f t="shared" si="1316"/>
        <v>0</v>
      </c>
      <c r="AP3814" s="498">
        <f t="shared" si="1335"/>
        <v>0</v>
      </c>
      <c r="AQ3814" s="498">
        <f t="shared" si="1330"/>
        <v>0</v>
      </c>
      <c r="AU3814" s="498">
        <f t="shared" si="1317"/>
        <v>0</v>
      </c>
      <c r="AV3814" s="498">
        <f t="shared" si="1318"/>
        <v>0</v>
      </c>
      <c r="AW3814" s="498">
        <f t="shared" si="1319"/>
        <v>0</v>
      </c>
      <c r="AX3814" s="498">
        <f t="shared" si="1320"/>
        <v>0</v>
      </c>
      <c r="AY3814" s="498">
        <f t="shared" si="1321"/>
        <v>0</v>
      </c>
      <c r="BB3814" s="498" t="str">
        <f t="shared" si="1322"/>
        <v/>
      </c>
      <c r="BC3814" s="743" t="str">
        <f t="shared" si="1323"/>
        <v/>
      </c>
      <c r="BD3814" s="743" t="str">
        <f t="shared" si="1324"/>
        <v/>
      </c>
      <c r="BE3814" s="743" t="str">
        <f>IF(D3814="","",VLOOKUP(D3814,'General Basis'!$J$39:$K$46,2,0))</f>
        <v/>
      </c>
      <c r="BF3814" s="744" t="str">
        <f>IF(D3814="","",VLOOKUP(D3814,'General Basis'!$J$39:$L$46,3,0))</f>
        <v/>
      </c>
      <c r="BG3814" s="744" t="str">
        <f t="shared" si="1331"/>
        <v/>
      </c>
      <c r="BH3814" s="744" t="str">
        <f>IF(G3814="","",IF(BF3814="Abu Dhabi",IF(G3814&lt;18,'General Basis'!$C$39,IF(G3814&lt;41,'General Basis'!$C$40,IF(G3814&lt;60,'General Basis'!$C$41,IF(G3814&lt;65,'General Basis'!$C$42,'General Basis'!$C$43)))),IF(G3814&lt;11,'General Basis'!$B$39,IF(G3814&lt;18,'General Basis'!$B$40,IF(G3814&lt;26,'General Basis'!$B$41,IF(G3814&lt;31,'General Basis'!$B$42,IF(G3814&lt;36,'General Basis'!$B$43,IF(G3814&lt;41,'General Basis'!$B$44,IF(G3814&lt;46,'General Basis'!$B$45,IF(G3814&lt;51,'General Basis'!$B$46,IF(G3814&lt;56,'General Basis'!$B$47,IF(G3814&lt;60,'General Basis'!$B$48,IF(G3814&lt;65,'General Basis'!$B$49,'General Basis'!$B$50)))))))))))))</f>
        <v/>
      </c>
      <c r="BI3814" s="744" t="str">
        <f t="shared" si="1325"/>
        <v/>
      </c>
      <c r="BJ3814" s="747" t="str">
        <f t="shared" si="1332"/>
        <v/>
      </c>
      <c r="BK3814" s="498" t="str">
        <f t="shared" si="1326"/>
        <v/>
      </c>
      <c r="BL3814" s="498" t="str">
        <f t="shared" si="1327"/>
        <v/>
      </c>
    </row>
    <row r="3815" spans="1:64" x14ac:dyDescent="0.25">
      <c r="A3815" s="762">
        <f t="shared" si="1328"/>
        <v>3810</v>
      </c>
      <c r="B3815" s="229"/>
      <c r="C3815" s="223"/>
      <c r="D3815" s="224"/>
      <c r="E3815" s="225"/>
      <c r="F3815" s="1036" t="str">
        <f t="shared" si="1334"/>
        <v/>
      </c>
      <c r="G3815" s="1037" t="str">
        <f t="shared" si="1329"/>
        <v/>
      </c>
      <c r="H3815" s="225"/>
      <c r="I3815" s="1013"/>
      <c r="J3815" s="1013"/>
      <c r="K3815" s="1028"/>
      <c r="L3815" s="1035" t="str">
        <f t="shared" si="1333"/>
        <v/>
      </c>
      <c r="S3815" s="498"/>
      <c r="AJ3815" s="498"/>
      <c r="AM3815" s="498">
        <f t="shared" si="1314"/>
        <v>0</v>
      </c>
      <c r="AN3815" s="498">
        <f t="shared" si="1315"/>
        <v>0</v>
      </c>
      <c r="AO3815" s="498">
        <f t="shared" si="1316"/>
        <v>0</v>
      </c>
      <c r="AP3815" s="498">
        <f t="shared" si="1335"/>
        <v>0</v>
      </c>
      <c r="AQ3815" s="498">
        <f t="shared" si="1330"/>
        <v>0</v>
      </c>
      <c r="AU3815" s="498">
        <f t="shared" si="1317"/>
        <v>0</v>
      </c>
      <c r="AV3815" s="498">
        <f t="shared" si="1318"/>
        <v>0</v>
      </c>
      <c r="AW3815" s="498">
        <f t="shared" si="1319"/>
        <v>0</v>
      </c>
      <c r="AX3815" s="498">
        <f t="shared" si="1320"/>
        <v>0</v>
      </c>
      <c r="AY3815" s="498">
        <f t="shared" si="1321"/>
        <v>0</v>
      </c>
      <c r="BB3815" s="498" t="str">
        <f t="shared" si="1322"/>
        <v/>
      </c>
      <c r="BC3815" s="743" t="str">
        <f t="shared" si="1323"/>
        <v/>
      </c>
      <c r="BD3815" s="743" t="str">
        <f t="shared" si="1324"/>
        <v/>
      </c>
      <c r="BE3815" s="743" t="str">
        <f>IF(D3815="","",VLOOKUP(D3815,'General Basis'!$J$39:$K$46,2,0))</f>
        <v/>
      </c>
      <c r="BF3815" s="744" t="str">
        <f>IF(D3815="","",VLOOKUP(D3815,'General Basis'!$J$39:$L$46,3,0))</f>
        <v/>
      </c>
      <c r="BG3815" s="744" t="str">
        <f t="shared" si="1331"/>
        <v/>
      </c>
      <c r="BH3815" s="744" t="str">
        <f>IF(G3815="","",IF(BF3815="Abu Dhabi",IF(G3815&lt;18,'General Basis'!$C$39,IF(G3815&lt;41,'General Basis'!$C$40,IF(G3815&lt;60,'General Basis'!$C$41,IF(G3815&lt;65,'General Basis'!$C$42,'General Basis'!$C$43)))),IF(G3815&lt;11,'General Basis'!$B$39,IF(G3815&lt;18,'General Basis'!$B$40,IF(G3815&lt;26,'General Basis'!$B$41,IF(G3815&lt;31,'General Basis'!$B$42,IF(G3815&lt;36,'General Basis'!$B$43,IF(G3815&lt;41,'General Basis'!$B$44,IF(G3815&lt;46,'General Basis'!$B$45,IF(G3815&lt;51,'General Basis'!$B$46,IF(G3815&lt;56,'General Basis'!$B$47,IF(G3815&lt;60,'General Basis'!$B$48,IF(G3815&lt;65,'General Basis'!$B$49,'General Basis'!$B$50)))))))))))))</f>
        <v/>
      </c>
      <c r="BI3815" s="744" t="str">
        <f t="shared" si="1325"/>
        <v/>
      </c>
      <c r="BJ3815" s="747" t="str">
        <f t="shared" si="1332"/>
        <v/>
      </c>
      <c r="BK3815" s="498" t="str">
        <f t="shared" si="1326"/>
        <v/>
      </c>
      <c r="BL3815" s="498" t="str">
        <f t="shared" si="1327"/>
        <v/>
      </c>
    </row>
    <row r="3816" spans="1:64" x14ac:dyDescent="0.25">
      <c r="A3816" s="762">
        <f t="shared" si="1328"/>
        <v>3811</v>
      </c>
      <c r="B3816" s="229"/>
      <c r="C3816" s="223"/>
      <c r="D3816" s="224"/>
      <c r="E3816" s="225"/>
      <c r="F3816" s="1036" t="str">
        <f t="shared" si="1334"/>
        <v/>
      </c>
      <c r="G3816" s="1037" t="str">
        <f t="shared" si="1329"/>
        <v/>
      </c>
      <c r="H3816" s="225"/>
      <c r="I3816" s="1013"/>
      <c r="J3816" s="1013"/>
      <c r="K3816" s="1028"/>
      <c r="L3816" s="1035" t="str">
        <f t="shared" si="1333"/>
        <v/>
      </c>
      <c r="S3816" s="498"/>
      <c r="AJ3816" s="498"/>
      <c r="AM3816" s="498">
        <f t="shared" si="1314"/>
        <v>0</v>
      </c>
      <c r="AN3816" s="498">
        <f t="shared" si="1315"/>
        <v>0</v>
      </c>
      <c r="AO3816" s="498">
        <f t="shared" si="1316"/>
        <v>0</v>
      </c>
      <c r="AP3816" s="498">
        <f t="shared" si="1335"/>
        <v>0</v>
      </c>
      <c r="AQ3816" s="498">
        <f t="shared" si="1330"/>
        <v>0</v>
      </c>
      <c r="AU3816" s="498">
        <f t="shared" si="1317"/>
        <v>0</v>
      </c>
      <c r="AV3816" s="498">
        <f t="shared" si="1318"/>
        <v>0</v>
      </c>
      <c r="AW3816" s="498">
        <f t="shared" si="1319"/>
        <v>0</v>
      </c>
      <c r="AX3816" s="498">
        <f t="shared" si="1320"/>
        <v>0</v>
      </c>
      <c r="AY3816" s="498">
        <f t="shared" si="1321"/>
        <v>0</v>
      </c>
      <c r="BB3816" s="498" t="str">
        <f t="shared" si="1322"/>
        <v/>
      </c>
      <c r="BC3816" s="743" t="str">
        <f t="shared" si="1323"/>
        <v/>
      </c>
      <c r="BD3816" s="743" t="str">
        <f t="shared" si="1324"/>
        <v/>
      </c>
      <c r="BE3816" s="743" t="str">
        <f>IF(D3816="","",VLOOKUP(D3816,'General Basis'!$J$39:$K$46,2,0))</f>
        <v/>
      </c>
      <c r="BF3816" s="744" t="str">
        <f>IF(D3816="","",VLOOKUP(D3816,'General Basis'!$J$39:$L$46,3,0))</f>
        <v/>
      </c>
      <c r="BG3816" s="744" t="str">
        <f t="shared" si="1331"/>
        <v/>
      </c>
      <c r="BH3816" s="744" t="str">
        <f>IF(G3816="","",IF(BF3816="Abu Dhabi",IF(G3816&lt;18,'General Basis'!$C$39,IF(G3816&lt;41,'General Basis'!$C$40,IF(G3816&lt;60,'General Basis'!$C$41,IF(G3816&lt;65,'General Basis'!$C$42,'General Basis'!$C$43)))),IF(G3816&lt;11,'General Basis'!$B$39,IF(G3816&lt;18,'General Basis'!$B$40,IF(G3816&lt;26,'General Basis'!$B$41,IF(G3816&lt;31,'General Basis'!$B$42,IF(G3816&lt;36,'General Basis'!$B$43,IF(G3816&lt;41,'General Basis'!$B$44,IF(G3816&lt;46,'General Basis'!$B$45,IF(G3816&lt;51,'General Basis'!$B$46,IF(G3816&lt;56,'General Basis'!$B$47,IF(G3816&lt;60,'General Basis'!$B$48,IF(G3816&lt;65,'General Basis'!$B$49,'General Basis'!$B$50)))))))))))))</f>
        <v/>
      </c>
      <c r="BI3816" s="744" t="str">
        <f t="shared" si="1325"/>
        <v/>
      </c>
      <c r="BJ3816" s="747" t="str">
        <f t="shared" si="1332"/>
        <v/>
      </c>
      <c r="BK3816" s="498" t="str">
        <f t="shared" si="1326"/>
        <v/>
      </c>
      <c r="BL3816" s="498" t="str">
        <f t="shared" si="1327"/>
        <v/>
      </c>
    </row>
    <row r="3817" spans="1:64" x14ac:dyDescent="0.25">
      <c r="A3817" s="762">
        <f t="shared" si="1328"/>
        <v>3812</v>
      </c>
      <c r="B3817" s="229"/>
      <c r="C3817" s="223"/>
      <c r="D3817" s="224"/>
      <c r="E3817" s="225"/>
      <c r="F3817" s="1036" t="str">
        <f t="shared" si="1334"/>
        <v/>
      </c>
      <c r="G3817" s="1037" t="str">
        <f t="shared" si="1329"/>
        <v/>
      </c>
      <c r="H3817" s="225"/>
      <c r="I3817" s="1013"/>
      <c r="J3817" s="1013"/>
      <c r="K3817" s="1028"/>
      <c r="L3817" s="1035" t="str">
        <f t="shared" si="1333"/>
        <v/>
      </c>
      <c r="S3817" s="498"/>
      <c r="AJ3817" s="498"/>
      <c r="AM3817" s="498">
        <f t="shared" si="1314"/>
        <v>0</v>
      </c>
      <c r="AN3817" s="498">
        <f t="shared" si="1315"/>
        <v>0</v>
      </c>
      <c r="AO3817" s="498">
        <f t="shared" si="1316"/>
        <v>0</v>
      </c>
      <c r="AP3817" s="498">
        <f t="shared" si="1335"/>
        <v>0</v>
      </c>
      <c r="AQ3817" s="498">
        <f t="shared" si="1330"/>
        <v>0</v>
      </c>
      <c r="AU3817" s="498">
        <f t="shared" si="1317"/>
        <v>0</v>
      </c>
      <c r="AV3817" s="498">
        <f t="shared" si="1318"/>
        <v>0</v>
      </c>
      <c r="AW3817" s="498">
        <f t="shared" si="1319"/>
        <v>0</v>
      </c>
      <c r="AX3817" s="498">
        <f t="shared" si="1320"/>
        <v>0</v>
      </c>
      <c r="AY3817" s="498">
        <f t="shared" si="1321"/>
        <v>0</v>
      </c>
      <c r="BB3817" s="498" t="str">
        <f t="shared" si="1322"/>
        <v/>
      </c>
      <c r="BC3817" s="743" t="str">
        <f t="shared" si="1323"/>
        <v/>
      </c>
      <c r="BD3817" s="743" t="str">
        <f t="shared" si="1324"/>
        <v/>
      </c>
      <c r="BE3817" s="743" t="str">
        <f>IF(D3817="","",VLOOKUP(D3817,'General Basis'!$J$39:$K$46,2,0))</f>
        <v/>
      </c>
      <c r="BF3817" s="744" t="str">
        <f>IF(D3817="","",VLOOKUP(D3817,'General Basis'!$J$39:$L$46,3,0))</f>
        <v/>
      </c>
      <c r="BG3817" s="744" t="str">
        <f t="shared" si="1331"/>
        <v/>
      </c>
      <c r="BH3817" s="744" t="str">
        <f>IF(G3817="","",IF(BF3817="Abu Dhabi",IF(G3817&lt;18,'General Basis'!$C$39,IF(G3817&lt;41,'General Basis'!$C$40,IF(G3817&lt;60,'General Basis'!$C$41,IF(G3817&lt;65,'General Basis'!$C$42,'General Basis'!$C$43)))),IF(G3817&lt;11,'General Basis'!$B$39,IF(G3817&lt;18,'General Basis'!$B$40,IF(G3817&lt;26,'General Basis'!$B$41,IF(G3817&lt;31,'General Basis'!$B$42,IF(G3817&lt;36,'General Basis'!$B$43,IF(G3817&lt;41,'General Basis'!$B$44,IF(G3817&lt;46,'General Basis'!$B$45,IF(G3817&lt;51,'General Basis'!$B$46,IF(G3817&lt;56,'General Basis'!$B$47,IF(G3817&lt;60,'General Basis'!$B$48,IF(G3817&lt;65,'General Basis'!$B$49,'General Basis'!$B$50)))))))))))))</f>
        <v/>
      </c>
      <c r="BI3817" s="744" t="str">
        <f t="shared" si="1325"/>
        <v/>
      </c>
      <c r="BJ3817" s="747" t="str">
        <f t="shared" si="1332"/>
        <v/>
      </c>
      <c r="BK3817" s="498" t="str">
        <f t="shared" si="1326"/>
        <v/>
      </c>
      <c r="BL3817" s="498" t="str">
        <f t="shared" si="1327"/>
        <v/>
      </c>
    </row>
    <row r="3818" spans="1:64" x14ac:dyDescent="0.25">
      <c r="A3818" s="762">
        <f t="shared" si="1328"/>
        <v>3813</v>
      </c>
      <c r="B3818" s="229"/>
      <c r="C3818" s="223"/>
      <c r="D3818" s="224"/>
      <c r="E3818" s="225"/>
      <c r="F3818" s="1036" t="str">
        <f t="shared" si="1334"/>
        <v/>
      </c>
      <c r="G3818" s="1037" t="str">
        <f t="shared" si="1329"/>
        <v/>
      </c>
      <c r="H3818" s="225"/>
      <c r="I3818" s="1013"/>
      <c r="J3818" s="1013"/>
      <c r="K3818" s="1028"/>
      <c r="L3818" s="1035" t="str">
        <f t="shared" si="1333"/>
        <v/>
      </c>
      <c r="S3818" s="498"/>
      <c r="AJ3818" s="498"/>
      <c r="AM3818" s="498">
        <f t="shared" si="1314"/>
        <v>0</v>
      </c>
      <c r="AN3818" s="498">
        <f t="shared" si="1315"/>
        <v>0</v>
      </c>
      <c r="AO3818" s="498">
        <f t="shared" si="1316"/>
        <v>0</v>
      </c>
      <c r="AP3818" s="498">
        <f t="shared" si="1335"/>
        <v>0</v>
      </c>
      <c r="AQ3818" s="498">
        <f t="shared" si="1330"/>
        <v>0</v>
      </c>
      <c r="AU3818" s="498">
        <f t="shared" si="1317"/>
        <v>0</v>
      </c>
      <c r="AV3818" s="498">
        <f t="shared" si="1318"/>
        <v>0</v>
      </c>
      <c r="AW3818" s="498">
        <f t="shared" si="1319"/>
        <v>0</v>
      </c>
      <c r="AX3818" s="498">
        <f t="shared" si="1320"/>
        <v>0</v>
      </c>
      <c r="AY3818" s="498">
        <f t="shared" si="1321"/>
        <v>0</v>
      </c>
      <c r="BB3818" s="498" t="str">
        <f t="shared" si="1322"/>
        <v/>
      </c>
      <c r="BC3818" s="743" t="str">
        <f t="shared" si="1323"/>
        <v/>
      </c>
      <c r="BD3818" s="743" t="str">
        <f t="shared" si="1324"/>
        <v/>
      </c>
      <c r="BE3818" s="743" t="str">
        <f>IF(D3818="","",VLOOKUP(D3818,'General Basis'!$J$39:$K$46,2,0))</f>
        <v/>
      </c>
      <c r="BF3818" s="744" t="str">
        <f>IF(D3818="","",VLOOKUP(D3818,'General Basis'!$J$39:$L$46,3,0))</f>
        <v/>
      </c>
      <c r="BG3818" s="744" t="str">
        <f t="shared" si="1331"/>
        <v/>
      </c>
      <c r="BH3818" s="744" t="str">
        <f>IF(G3818="","",IF(BF3818="Abu Dhabi",IF(G3818&lt;18,'General Basis'!$C$39,IF(G3818&lt;41,'General Basis'!$C$40,IF(G3818&lt;60,'General Basis'!$C$41,IF(G3818&lt;65,'General Basis'!$C$42,'General Basis'!$C$43)))),IF(G3818&lt;11,'General Basis'!$B$39,IF(G3818&lt;18,'General Basis'!$B$40,IF(G3818&lt;26,'General Basis'!$B$41,IF(G3818&lt;31,'General Basis'!$B$42,IF(G3818&lt;36,'General Basis'!$B$43,IF(G3818&lt;41,'General Basis'!$B$44,IF(G3818&lt;46,'General Basis'!$B$45,IF(G3818&lt;51,'General Basis'!$B$46,IF(G3818&lt;56,'General Basis'!$B$47,IF(G3818&lt;60,'General Basis'!$B$48,IF(G3818&lt;65,'General Basis'!$B$49,'General Basis'!$B$50)))))))))))))</f>
        <v/>
      </c>
      <c r="BI3818" s="744" t="str">
        <f t="shared" si="1325"/>
        <v/>
      </c>
      <c r="BJ3818" s="747" t="str">
        <f t="shared" si="1332"/>
        <v/>
      </c>
      <c r="BK3818" s="498" t="str">
        <f t="shared" si="1326"/>
        <v/>
      </c>
      <c r="BL3818" s="498" t="str">
        <f t="shared" si="1327"/>
        <v/>
      </c>
    </row>
    <row r="3819" spans="1:64" x14ac:dyDescent="0.25">
      <c r="A3819" s="762">
        <f t="shared" si="1328"/>
        <v>3814</v>
      </c>
      <c r="B3819" s="229"/>
      <c r="C3819" s="223"/>
      <c r="D3819" s="224"/>
      <c r="E3819" s="225"/>
      <c r="F3819" s="1036" t="str">
        <f t="shared" si="1334"/>
        <v/>
      </c>
      <c r="G3819" s="1037" t="str">
        <f t="shared" si="1329"/>
        <v/>
      </c>
      <c r="H3819" s="225"/>
      <c r="I3819" s="1013"/>
      <c r="J3819" s="1013"/>
      <c r="K3819" s="1028"/>
      <c r="L3819" s="1035" t="str">
        <f t="shared" si="1333"/>
        <v/>
      </c>
      <c r="S3819" s="498"/>
      <c r="AJ3819" s="498"/>
      <c r="AM3819" s="498">
        <f t="shared" si="1314"/>
        <v>0</v>
      </c>
      <c r="AN3819" s="498">
        <f t="shared" si="1315"/>
        <v>0</v>
      </c>
      <c r="AO3819" s="498">
        <f t="shared" si="1316"/>
        <v>0</v>
      </c>
      <c r="AP3819" s="498">
        <f t="shared" si="1335"/>
        <v>0</v>
      </c>
      <c r="AQ3819" s="498">
        <f t="shared" si="1330"/>
        <v>0</v>
      </c>
      <c r="AU3819" s="498">
        <f t="shared" si="1317"/>
        <v>0</v>
      </c>
      <c r="AV3819" s="498">
        <f t="shared" si="1318"/>
        <v>0</v>
      </c>
      <c r="AW3819" s="498">
        <f t="shared" si="1319"/>
        <v>0</v>
      </c>
      <c r="AX3819" s="498">
        <f t="shared" si="1320"/>
        <v>0</v>
      </c>
      <c r="AY3819" s="498">
        <f t="shared" si="1321"/>
        <v>0</v>
      </c>
      <c r="BB3819" s="498" t="str">
        <f t="shared" si="1322"/>
        <v/>
      </c>
      <c r="BC3819" s="743" t="str">
        <f t="shared" si="1323"/>
        <v/>
      </c>
      <c r="BD3819" s="743" t="str">
        <f t="shared" si="1324"/>
        <v/>
      </c>
      <c r="BE3819" s="743" t="str">
        <f>IF(D3819="","",VLOOKUP(D3819,'General Basis'!$J$39:$K$46,2,0))</f>
        <v/>
      </c>
      <c r="BF3819" s="744" t="str">
        <f>IF(D3819="","",VLOOKUP(D3819,'General Basis'!$J$39:$L$46,3,0))</f>
        <v/>
      </c>
      <c r="BG3819" s="744" t="str">
        <f t="shared" si="1331"/>
        <v/>
      </c>
      <c r="BH3819" s="744" t="str">
        <f>IF(G3819="","",IF(BF3819="Abu Dhabi",IF(G3819&lt;18,'General Basis'!$C$39,IF(G3819&lt;41,'General Basis'!$C$40,IF(G3819&lt;60,'General Basis'!$C$41,IF(G3819&lt;65,'General Basis'!$C$42,'General Basis'!$C$43)))),IF(G3819&lt;11,'General Basis'!$B$39,IF(G3819&lt;18,'General Basis'!$B$40,IF(G3819&lt;26,'General Basis'!$B$41,IF(G3819&lt;31,'General Basis'!$B$42,IF(G3819&lt;36,'General Basis'!$B$43,IF(G3819&lt;41,'General Basis'!$B$44,IF(G3819&lt;46,'General Basis'!$B$45,IF(G3819&lt;51,'General Basis'!$B$46,IF(G3819&lt;56,'General Basis'!$B$47,IF(G3819&lt;60,'General Basis'!$B$48,IF(G3819&lt;65,'General Basis'!$B$49,'General Basis'!$B$50)))))))))))))</f>
        <v/>
      </c>
      <c r="BI3819" s="744" t="str">
        <f t="shared" si="1325"/>
        <v/>
      </c>
      <c r="BJ3819" s="747" t="str">
        <f t="shared" si="1332"/>
        <v/>
      </c>
      <c r="BK3819" s="498" t="str">
        <f t="shared" si="1326"/>
        <v/>
      </c>
      <c r="BL3819" s="498" t="str">
        <f t="shared" si="1327"/>
        <v/>
      </c>
    </row>
    <row r="3820" spans="1:64" x14ac:dyDescent="0.25">
      <c r="A3820" s="762">
        <f t="shared" si="1328"/>
        <v>3815</v>
      </c>
      <c r="B3820" s="229"/>
      <c r="C3820" s="223"/>
      <c r="D3820" s="224"/>
      <c r="E3820" s="225"/>
      <c r="F3820" s="1036" t="str">
        <f t="shared" si="1334"/>
        <v/>
      </c>
      <c r="G3820" s="1037" t="str">
        <f t="shared" si="1329"/>
        <v/>
      </c>
      <c r="H3820" s="225"/>
      <c r="I3820" s="1013"/>
      <c r="J3820" s="1013"/>
      <c r="K3820" s="1028"/>
      <c r="L3820" s="1035" t="str">
        <f t="shared" si="1333"/>
        <v/>
      </c>
      <c r="S3820" s="498"/>
      <c r="AJ3820" s="498"/>
      <c r="AM3820" s="498">
        <f t="shared" si="1314"/>
        <v>0</v>
      </c>
      <c r="AN3820" s="498">
        <f t="shared" si="1315"/>
        <v>0</v>
      </c>
      <c r="AO3820" s="498">
        <f t="shared" si="1316"/>
        <v>0</v>
      </c>
      <c r="AP3820" s="498">
        <f t="shared" si="1335"/>
        <v>0</v>
      </c>
      <c r="AQ3820" s="498">
        <f t="shared" si="1330"/>
        <v>0</v>
      </c>
      <c r="AU3820" s="498">
        <f t="shared" si="1317"/>
        <v>0</v>
      </c>
      <c r="AV3820" s="498">
        <f t="shared" si="1318"/>
        <v>0</v>
      </c>
      <c r="AW3820" s="498">
        <f t="shared" si="1319"/>
        <v>0</v>
      </c>
      <c r="AX3820" s="498">
        <f t="shared" si="1320"/>
        <v>0</v>
      </c>
      <c r="AY3820" s="498">
        <f t="shared" si="1321"/>
        <v>0</v>
      </c>
      <c r="BB3820" s="498" t="str">
        <f t="shared" si="1322"/>
        <v/>
      </c>
      <c r="BC3820" s="743" t="str">
        <f t="shared" si="1323"/>
        <v/>
      </c>
      <c r="BD3820" s="743" t="str">
        <f t="shared" si="1324"/>
        <v/>
      </c>
      <c r="BE3820" s="743" t="str">
        <f>IF(D3820="","",VLOOKUP(D3820,'General Basis'!$J$39:$K$46,2,0))</f>
        <v/>
      </c>
      <c r="BF3820" s="744" t="str">
        <f>IF(D3820="","",VLOOKUP(D3820,'General Basis'!$J$39:$L$46,3,0))</f>
        <v/>
      </c>
      <c r="BG3820" s="744" t="str">
        <f t="shared" si="1331"/>
        <v/>
      </c>
      <c r="BH3820" s="744" t="str">
        <f>IF(G3820="","",IF(BF3820="Abu Dhabi",IF(G3820&lt;18,'General Basis'!$C$39,IF(G3820&lt;41,'General Basis'!$C$40,IF(G3820&lt;60,'General Basis'!$C$41,IF(G3820&lt;65,'General Basis'!$C$42,'General Basis'!$C$43)))),IF(G3820&lt;11,'General Basis'!$B$39,IF(G3820&lt;18,'General Basis'!$B$40,IF(G3820&lt;26,'General Basis'!$B$41,IF(G3820&lt;31,'General Basis'!$B$42,IF(G3820&lt;36,'General Basis'!$B$43,IF(G3820&lt;41,'General Basis'!$B$44,IF(G3820&lt;46,'General Basis'!$B$45,IF(G3820&lt;51,'General Basis'!$B$46,IF(G3820&lt;56,'General Basis'!$B$47,IF(G3820&lt;60,'General Basis'!$B$48,IF(G3820&lt;65,'General Basis'!$B$49,'General Basis'!$B$50)))))))))))))</f>
        <v/>
      </c>
      <c r="BI3820" s="744" t="str">
        <f t="shared" si="1325"/>
        <v/>
      </c>
      <c r="BJ3820" s="747" t="str">
        <f t="shared" si="1332"/>
        <v/>
      </c>
      <c r="BK3820" s="498" t="str">
        <f t="shared" si="1326"/>
        <v/>
      </c>
      <c r="BL3820" s="498" t="str">
        <f t="shared" si="1327"/>
        <v/>
      </c>
    </row>
    <row r="3821" spans="1:64" x14ac:dyDescent="0.25">
      <c r="A3821" s="762">
        <f t="shared" si="1328"/>
        <v>3816</v>
      </c>
      <c r="B3821" s="229"/>
      <c r="C3821" s="223"/>
      <c r="D3821" s="224"/>
      <c r="E3821" s="225"/>
      <c r="F3821" s="1036" t="str">
        <f t="shared" si="1334"/>
        <v/>
      </c>
      <c r="G3821" s="1037" t="str">
        <f t="shared" si="1329"/>
        <v/>
      </c>
      <c r="H3821" s="225"/>
      <c r="I3821" s="1013"/>
      <c r="J3821" s="1013"/>
      <c r="K3821" s="1028"/>
      <c r="L3821" s="1035" t="str">
        <f t="shared" si="1333"/>
        <v/>
      </c>
      <c r="S3821" s="498"/>
      <c r="AJ3821" s="498"/>
      <c r="AM3821" s="498">
        <f t="shared" si="1314"/>
        <v>0</v>
      </c>
      <c r="AN3821" s="498">
        <f t="shared" si="1315"/>
        <v>0</v>
      </c>
      <c r="AO3821" s="498">
        <f t="shared" si="1316"/>
        <v>0</v>
      </c>
      <c r="AP3821" s="498">
        <f t="shared" si="1335"/>
        <v>0</v>
      </c>
      <c r="AQ3821" s="498">
        <f t="shared" si="1330"/>
        <v>0</v>
      </c>
      <c r="AU3821" s="498">
        <f t="shared" si="1317"/>
        <v>0</v>
      </c>
      <c r="AV3821" s="498">
        <f t="shared" si="1318"/>
        <v>0</v>
      </c>
      <c r="AW3821" s="498">
        <f t="shared" si="1319"/>
        <v>0</v>
      </c>
      <c r="AX3821" s="498">
        <f t="shared" si="1320"/>
        <v>0</v>
      </c>
      <c r="AY3821" s="498">
        <f t="shared" si="1321"/>
        <v>0</v>
      </c>
      <c r="BB3821" s="498" t="str">
        <f t="shared" si="1322"/>
        <v/>
      </c>
      <c r="BC3821" s="743" t="str">
        <f t="shared" si="1323"/>
        <v/>
      </c>
      <c r="BD3821" s="743" t="str">
        <f t="shared" si="1324"/>
        <v/>
      </c>
      <c r="BE3821" s="743" t="str">
        <f>IF(D3821="","",VLOOKUP(D3821,'General Basis'!$J$39:$K$46,2,0))</f>
        <v/>
      </c>
      <c r="BF3821" s="744" t="str">
        <f>IF(D3821="","",VLOOKUP(D3821,'General Basis'!$J$39:$L$46,3,0))</f>
        <v/>
      </c>
      <c r="BG3821" s="744" t="str">
        <f t="shared" si="1331"/>
        <v/>
      </c>
      <c r="BH3821" s="744" t="str">
        <f>IF(G3821="","",IF(BF3821="Abu Dhabi",IF(G3821&lt;18,'General Basis'!$C$39,IF(G3821&lt;41,'General Basis'!$C$40,IF(G3821&lt;60,'General Basis'!$C$41,IF(G3821&lt;65,'General Basis'!$C$42,'General Basis'!$C$43)))),IF(G3821&lt;11,'General Basis'!$B$39,IF(G3821&lt;18,'General Basis'!$B$40,IF(G3821&lt;26,'General Basis'!$B$41,IF(G3821&lt;31,'General Basis'!$B$42,IF(G3821&lt;36,'General Basis'!$B$43,IF(G3821&lt;41,'General Basis'!$B$44,IF(G3821&lt;46,'General Basis'!$B$45,IF(G3821&lt;51,'General Basis'!$B$46,IF(G3821&lt;56,'General Basis'!$B$47,IF(G3821&lt;60,'General Basis'!$B$48,IF(G3821&lt;65,'General Basis'!$B$49,'General Basis'!$B$50)))))))))))))</f>
        <v/>
      </c>
      <c r="BI3821" s="744" t="str">
        <f t="shared" si="1325"/>
        <v/>
      </c>
      <c r="BJ3821" s="747" t="str">
        <f t="shared" si="1332"/>
        <v/>
      </c>
      <c r="BK3821" s="498" t="str">
        <f t="shared" si="1326"/>
        <v/>
      </c>
      <c r="BL3821" s="498" t="str">
        <f t="shared" si="1327"/>
        <v/>
      </c>
    </row>
    <row r="3822" spans="1:64" x14ac:dyDescent="0.25">
      <c r="A3822" s="762">
        <f t="shared" si="1328"/>
        <v>3817</v>
      </c>
      <c r="B3822" s="229"/>
      <c r="C3822" s="223"/>
      <c r="D3822" s="224"/>
      <c r="E3822" s="225"/>
      <c r="F3822" s="1036" t="str">
        <f t="shared" si="1334"/>
        <v/>
      </c>
      <c r="G3822" s="1037" t="str">
        <f t="shared" si="1329"/>
        <v/>
      </c>
      <c r="H3822" s="225"/>
      <c r="I3822" s="1013"/>
      <c r="J3822" s="1013"/>
      <c r="K3822" s="1028"/>
      <c r="L3822" s="1035" t="str">
        <f t="shared" si="1333"/>
        <v/>
      </c>
      <c r="S3822" s="498"/>
      <c r="AJ3822" s="498"/>
      <c r="AM3822" s="498">
        <f t="shared" si="1314"/>
        <v>0</v>
      </c>
      <c r="AN3822" s="498">
        <f t="shared" si="1315"/>
        <v>0</v>
      </c>
      <c r="AO3822" s="498">
        <f t="shared" si="1316"/>
        <v>0</v>
      </c>
      <c r="AP3822" s="498">
        <f t="shared" si="1335"/>
        <v>0</v>
      </c>
      <c r="AQ3822" s="498">
        <f t="shared" si="1330"/>
        <v>0</v>
      </c>
      <c r="AU3822" s="498">
        <f t="shared" si="1317"/>
        <v>0</v>
      </c>
      <c r="AV3822" s="498">
        <f t="shared" si="1318"/>
        <v>0</v>
      </c>
      <c r="AW3822" s="498">
        <f t="shared" si="1319"/>
        <v>0</v>
      </c>
      <c r="AX3822" s="498">
        <f t="shared" si="1320"/>
        <v>0</v>
      </c>
      <c r="AY3822" s="498">
        <f t="shared" si="1321"/>
        <v>0</v>
      </c>
      <c r="BB3822" s="498" t="str">
        <f t="shared" si="1322"/>
        <v/>
      </c>
      <c r="BC3822" s="743" t="str">
        <f t="shared" si="1323"/>
        <v/>
      </c>
      <c r="BD3822" s="743" t="str">
        <f t="shared" si="1324"/>
        <v/>
      </c>
      <c r="BE3822" s="743" t="str">
        <f>IF(D3822="","",VLOOKUP(D3822,'General Basis'!$J$39:$K$46,2,0))</f>
        <v/>
      </c>
      <c r="BF3822" s="744" t="str">
        <f>IF(D3822="","",VLOOKUP(D3822,'General Basis'!$J$39:$L$46,3,0))</f>
        <v/>
      </c>
      <c r="BG3822" s="744" t="str">
        <f t="shared" si="1331"/>
        <v/>
      </c>
      <c r="BH3822" s="744" t="str">
        <f>IF(G3822="","",IF(BF3822="Abu Dhabi",IF(G3822&lt;18,'General Basis'!$C$39,IF(G3822&lt;41,'General Basis'!$C$40,IF(G3822&lt;60,'General Basis'!$C$41,IF(G3822&lt;65,'General Basis'!$C$42,'General Basis'!$C$43)))),IF(G3822&lt;11,'General Basis'!$B$39,IF(G3822&lt;18,'General Basis'!$B$40,IF(G3822&lt;26,'General Basis'!$B$41,IF(G3822&lt;31,'General Basis'!$B$42,IF(G3822&lt;36,'General Basis'!$B$43,IF(G3822&lt;41,'General Basis'!$B$44,IF(G3822&lt;46,'General Basis'!$B$45,IF(G3822&lt;51,'General Basis'!$B$46,IF(G3822&lt;56,'General Basis'!$B$47,IF(G3822&lt;60,'General Basis'!$B$48,IF(G3822&lt;65,'General Basis'!$B$49,'General Basis'!$B$50)))))))))))))</f>
        <v/>
      </c>
      <c r="BI3822" s="744" t="str">
        <f t="shared" si="1325"/>
        <v/>
      </c>
      <c r="BJ3822" s="747" t="str">
        <f t="shared" si="1332"/>
        <v/>
      </c>
      <c r="BK3822" s="498" t="str">
        <f t="shared" si="1326"/>
        <v/>
      </c>
      <c r="BL3822" s="498" t="str">
        <f t="shared" si="1327"/>
        <v/>
      </c>
    </row>
    <row r="3823" spans="1:64" x14ac:dyDescent="0.25">
      <c r="A3823" s="762">
        <f t="shared" si="1328"/>
        <v>3818</v>
      </c>
      <c r="B3823" s="229"/>
      <c r="C3823" s="223"/>
      <c r="D3823" s="224"/>
      <c r="E3823" s="225"/>
      <c r="F3823" s="1036" t="str">
        <f t="shared" si="1334"/>
        <v/>
      </c>
      <c r="G3823" s="1037" t="str">
        <f t="shared" si="1329"/>
        <v/>
      </c>
      <c r="H3823" s="225"/>
      <c r="I3823" s="1013"/>
      <c r="J3823" s="1013"/>
      <c r="K3823" s="1028"/>
      <c r="L3823" s="1035" t="str">
        <f t="shared" si="1333"/>
        <v/>
      </c>
      <c r="S3823" s="498"/>
      <c r="AJ3823" s="498"/>
      <c r="AM3823" s="498">
        <f t="shared" si="1314"/>
        <v>0</v>
      </c>
      <c r="AN3823" s="498">
        <f t="shared" si="1315"/>
        <v>0</v>
      </c>
      <c r="AO3823" s="498">
        <f t="shared" si="1316"/>
        <v>0</v>
      </c>
      <c r="AP3823" s="498">
        <f t="shared" si="1335"/>
        <v>0</v>
      </c>
      <c r="AQ3823" s="498">
        <f t="shared" si="1330"/>
        <v>0</v>
      </c>
      <c r="AU3823" s="498">
        <f t="shared" si="1317"/>
        <v>0</v>
      </c>
      <c r="AV3823" s="498">
        <f t="shared" si="1318"/>
        <v>0</v>
      </c>
      <c r="AW3823" s="498">
        <f t="shared" si="1319"/>
        <v>0</v>
      </c>
      <c r="AX3823" s="498">
        <f t="shared" si="1320"/>
        <v>0</v>
      </c>
      <c r="AY3823" s="498">
        <f t="shared" si="1321"/>
        <v>0</v>
      </c>
      <c r="BB3823" s="498" t="str">
        <f t="shared" si="1322"/>
        <v/>
      </c>
      <c r="BC3823" s="743" t="str">
        <f t="shared" si="1323"/>
        <v/>
      </c>
      <c r="BD3823" s="743" t="str">
        <f t="shared" si="1324"/>
        <v/>
      </c>
      <c r="BE3823" s="743" t="str">
        <f>IF(D3823="","",VLOOKUP(D3823,'General Basis'!$J$39:$K$46,2,0))</f>
        <v/>
      </c>
      <c r="BF3823" s="744" t="str">
        <f>IF(D3823="","",VLOOKUP(D3823,'General Basis'!$J$39:$L$46,3,0))</f>
        <v/>
      </c>
      <c r="BG3823" s="744" t="str">
        <f t="shared" si="1331"/>
        <v/>
      </c>
      <c r="BH3823" s="744" t="str">
        <f>IF(G3823="","",IF(BF3823="Abu Dhabi",IF(G3823&lt;18,'General Basis'!$C$39,IF(G3823&lt;41,'General Basis'!$C$40,IF(G3823&lt;60,'General Basis'!$C$41,IF(G3823&lt;65,'General Basis'!$C$42,'General Basis'!$C$43)))),IF(G3823&lt;11,'General Basis'!$B$39,IF(G3823&lt;18,'General Basis'!$B$40,IF(G3823&lt;26,'General Basis'!$B$41,IF(G3823&lt;31,'General Basis'!$B$42,IF(G3823&lt;36,'General Basis'!$B$43,IF(G3823&lt;41,'General Basis'!$B$44,IF(G3823&lt;46,'General Basis'!$B$45,IF(G3823&lt;51,'General Basis'!$B$46,IF(G3823&lt;56,'General Basis'!$B$47,IF(G3823&lt;60,'General Basis'!$B$48,IF(G3823&lt;65,'General Basis'!$B$49,'General Basis'!$B$50)))))))))))))</f>
        <v/>
      </c>
      <c r="BI3823" s="744" t="str">
        <f t="shared" si="1325"/>
        <v/>
      </c>
      <c r="BJ3823" s="747" t="str">
        <f t="shared" si="1332"/>
        <v/>
      </c>
      <c r="BK3823" s="498" t="str">
        <f t="shared" si="1326"/>
        <v/>
      </c>
      <c r="BL3823" s="498" t="str">
        <f t="shared" si="1327"/>
        <v/>
      </c>
    </row>
    <row r="3824" spans="1:64" x14ac:dyDescent="0.25">
      <c r="A3824" s="762">
        <f t="shared" si="1328"/>
        <v>3819</v>
      </c>
      <c r="B3824" s="229"/>
      <c r="C3824" s="223"/>
      <c r="D3824" s="224"/>
      <c r="E3824" s="225"/>
      <c r="F3824" s="1036" t="str">
        <f t="shared" si="1334"/>
        <v/>
      </c>
      <c r="G3824" s="1037" t="str">
        <f t="shared" si="1329"/>
        <v/>
      </c>
      <c r="H3824" s="225"/>
      <c r="I3824" s="1013"/>
      <c r="J3824" s="1013"/>
      <c r="K3824" s="1028"/>
      <c r="L3824" s="1035" t="str">
        <f t="shared" si="1333"/>
        <v/>
      </c>
      <c r="S3824" s="498"/>
      <c r="AJ3824" s="498"/>
      <c r="AM3824" s="498">
        <f t="shared" si="1314"/>
        <v>0</v>
      </c>
      <c r="AN3824" s="498">
        <f t="shared" si="1315"/>
        <v>0</v>
      </c>
      <c r="AO3824" s="498">
        <f t="shared" si="1316"/>
        <v>0</v>
      </c>
      <c r="AP3824" s="498">
        <f t="shared" si="1335"/>
        <v>0</v>
      </c>
      <c r="AQ3824" s="498">
        <f t="shared" si="1330"/>
        <v>0</v>
      </c>
      <c r="AU3824" s="498">
        <f t="shared" si="1317"/>
        <v>0</v>
      </c>
      <c r="AV3824" s="498">
        <f t="shared" si="1318"/>
        <v>0</v>
      </c>
      <c r="AW3824" s="498">
        <f t="shared" si="1319"/>
        <v>0</v>
      </c>
      <c r="AX3824" s="498">
        <f t="shared" si="1320"/>
        <v>0</v>
      </c>
      <c r="AY3824" s="498">
        <f t="shared" si="1321"/>
        <v>0</v>
      </c>
      <c r="BB3824" s="498" t="str">
        <f t="shared" si="1322"/>
        <v/>
      </c>
      <c r="BC3824" s="743" t="str">
        <f t="shared" si="1323"/>
        <v/>
      </c>
      <c r="BD3824" s="743" t="str">
        <f t="shared" si="1324"/>
        <v/>
      </c>
      <c r="BE3824" s="743" t="str">
        <f>IF(D3824="","",VLOOKUP(D3824,'General Basis'!$J$39:$K$46,2,0))</f>
        <v/>
      </c>
      <c r="BF3824" s="744" t="str">
        <f>IF(D3824="","",VLOOKUP(D3824,'General Basis'!$J$39:$L$46,3,0))</f>
        <v/>
      </c>
      <c r="BG3824" s="744" t="str">
        <f t="shared" si="1331"/>
        <v/>
      </c>
      <c r="BH3824" s="744" t="str">
        <f>IF(G3824="","",IF(BF3824="Abu Dhabi",IF(G3824&lt;18,'General Basis'!$C$39,IF(G3824&lt;41,'General Basis'!$C$40,IF(G3824&lt;60,'General Basis'!$C$41,IF(G3824&lt;65,'General Basis'!$C$42,'General Basis'!$C$43)))),IF(G3824&lt;11,'General Basis'!$B$39,IF(G3824&lt;18,'General Basis'!$B$40,IF(G3824&lt;26,'General Basis'!$B$41,IF(G3824&lt;31,'General Basis'!$B$42,IF(G3824&lt;36,'General Basis'!$B$43,IF(G3824&lt;41,'General Basis'!$B$44,IF(G3824&lt;46,'General Basis'!$B$45,IF(G3824&lt;51,'General Basis'!$B$46,IF(G3824&lt;56,'General Basis'!$B$47,IF(G3824&lt;60,'General Basis'!$B$48,IF(G3824&lt;65,'General Basis'!$B$49,'General Basis'!$B$50)))))))))))))</f>
        <v/>
      </c>
      <c r="BI3824" s="744" t="str">
        <f t="shared" si="1325"/>
        <v/>
      </c>
      <c r="BJ3824" s="747" t="str">
        <f t="shared" si="1332"/>
        <v/>
      </c>
      <c r="BK3824" s="498" t="str">
        <f t="shared" si="1326"/>
        <v/>
      </c>
      <c r="BL3824" s="498" t="str">
        <f t="shared" si="1327"/>
        <v/>
      </c>
    </row>
    <row r="3825" spans="1:64" x14ac:dyDescent="0.25">
      <c r="A3825" s="762">
        <f t="shared" si="1328"/>
        <v>3820</v>
      </c>
      <c r="B3825" s="229"/>
      <c r="C3825" s="223"/>
      <c r="D3825" s="224"/>
      <c r="E3825" s="225"/>
      <c r="F3825" s="1036" t="str">
        <f t="shared" si="1334"/>
        <v/>
      </c>
      <c r="G3825" s="1037" t="str">
        <f t="shared" si="1329"/>
        <v/>
      </c>
      <c r="H3825" s="225"/>
      <c r="I3825" s="1013"/>
      <c r="J3825" s="1013"/>
      <c r="K3825" s="1028"/>
      <c r="L3825" s="1035" t="str">
        <f t="shared" si="1333"/>
        <v/>
      </c>
      <c r="S3825" s="498"/>
      <c r="AJ3825" s="498"/>
      <c r="AM3825" s="498">
        <f t="shared" si="1314"/>
        <v>0</v>
      </c>
      <c r="AN3825" s="498">
        <f t="shared" si="1315"/>
        <v>0</v>
      </c>
      <c r="AO3825" s="498">
        <f t="shared" si="1316"/>
        <v>0</v>
      </c>
      <c r="AP3825" s="498">
        <f t="shared" si="1335"/>
        <v>0</v>
      </c>
      <c r="AQ3825" s="498">
        <f t="shared" si="1330"/>
        <v>0</v>
      </c>
      <c r="AU3825" s="498">
        <f t="shared" si="1317"/>
        <v>0</v>
      </c>
      <c r="AV3825" s="498">
        <f t="shared" si="1318"/>
        <v>0</v>
      </c>
      <c r="AW3825" s="498">
        <f t="shared" si="1319"/>
        <v>0</v>
      </c>
      <c r="AX3825" s="498">
        <f t="shared" si="1320"/>
        <v>0</v>
      </c>
      <c r="AY3825" s="498">
        <f t="shared" si="1321"/>
        <v>0</v>
      </c>
      <c r="BB3825" s="498" t="str">
        <f t="shared" si="1322"/>
        <v/>
      </c>
      <c r="BC3825" s="743" t="str">
        <f t="shared" si="1323"/>
        <v/>
      </c>
      <c r="BD3825" s="743" t="str">
        <f t="shared" si="1324"/>
        <v/>
      </c>
      <c r="BE3825" s="743" t="str">
        <f>IF(D3825="","",VLOOKUP(D3825,'General Basis'!$J$39:$K$46,2,0))</f>
        <v/>
      </c>
      <c r="BF3825" s="744" t="str">
        <f>IF(D3825="","",VLOOKUP(D3825,'General Basis'!$J$39:$L$46,3,0))</f>
        <v/>
      </c>
      <c r="BG3825" s="744" t="str">
        <f t="shared" si="1331"/>
        <v/>
      </c>
      <c r="BH3825" s="744" t="str">
        <f>IF(G3825="","",IF(BF3825="Abu Dhabi",IF(G3825&lt;18,'General Basis'!$C$39,IF(G3825&lt;41,'General Basis'!$C$40,IF(G3825&lt;60,'General Basis'!$C$41,IF(G3825&lt;65,'General Basis'!$C$42,'General Basis'!$C$43)))),IF(G3825&lt;11,'General Basis'!$B$39,IF(G3825&lt;18,'General Basis'!$B$40,IF(G3825&lt;26,'General Basis'!$B$41,IF(G3825&lt;31,'General Basis'!$B$42,IF(G3825&lt;36,'General Basis'!$B$43,IF(G3825&lt;41,'General Basis'!$B$44,IF(G3825&lt;46,'General Basis'!$B$45,IF(G3825&lt;51,'General Basis'!$B$46,IF(G3825&lt;56,'General Basis'!$B$47,IF(G3825&lt;60,'General Basis'!$B$48,IF(G3825&lt;65,'General Basis'!$B$49,'General Basis'!$B$50)))))))))))))</f>
        <v/>
      </c>
      <c r="BI3825" s="744" t="str">
        <f t="shared" si="1325"/>
        <v/>
      </c>
      <c r="BJ3825" s="747" t="str">
        <f t="shared" si="1332"/>
        <v/>
      </c>
      <c r="BK3825" s="498" t="str">
        <f t="shared" si="1326"/>
        <v/>
      </c>
      <c r="BL3825" s="498" t="str">
        <f t="shared" si="1327"/>
        <v/>
      </c>
    </row>
    <row r="3826" spans="1:64" x14ac:dyDescent="0.25">
      <c r="A3826" s="762">
        <f t="shared" si="1328"/>
        <v>3821</v>
      </c>
      <c r="B3826" s="229"/>
      <c r="C3826" s="223"/>
      <c r="D3826" s="224"/>
      <c r="E3826" s="225"/>
      <c r="F3826" s="1036" t="str">
        <f t="shared" si="1334"/>
        <v/>
      </c>
      <c r="G3826" s="1037" t="str">
        <f t="shared" si="1329"/>
        <v/>
      </c>
      <c r="H3826" s="225"/>
      <c r="I3826" s="1013"/>
      <c r="J3826" s="1013"/>
      <c r="K3826" s="1028"/>
      <c r="L3826" s="1035" t="str">
        <f t="shared" si="1333"/>
        <v/>
      </c>
      <c r="S3826" s="498"/>
      <c r="AJ3826" s="498"/>
      <c r="AM3826" s="498">
        <f t="shared" si="1314"/>
        <v>0</v>
      </c>
      <c r="AN3826" s="498">
        <f t="shared" si="1315"/>
        <v>0</v>
      </c>
      <c r="AO3826" s="498">
        <f t="shared" si="1316"/>
        <v>0</v>
      </c>
      <c r="AP3826" s="498">
        <f t="shared" si="1335"/>
        <v>0</v>
      </c>
      <c r="AQ3826" s="498">
        <f t="shared" si="1330"/>
        <v>0</v>
      </c>
      <c r="AU3826" s="498">
        <f t="shared" si="1317"/>
        <v>0</v>
      </c>
      <c r="AV3826" s="498">
        <f t="shared" si="1318"/>
        <v>0</v>
      </c>
      <c r="AW3826" s="498">
        <f t="shared" si="1319"/>
        <v>0</v>
      </c>
      <c r="AX3826" s="498">
        <f t="shared" si="1320"/>
        <v>0</v>
      </c>
      <c r="AY3826" s="498">
        <f t="shared" si="1321"/>
        <v>0</v>
      </c>
      <c r="BB3826" s="498" t="str">
        <f t="shared" si="1322"/>
        <v/>
      </c>
      <c r="BC3826" s="743" t="str">
        <f t="shared" si="1323"/>
        <v/>
      </c>
      <c r="BD3826" s="743" t="str">
        <f t="shared" si="1324"/>
        <v/>
      </c>
      <c r="BE3826" s="743" t="str">
        <f>IF(D3826="","",VLOOKUP(D3826,'General Basis'!$J$39:$K$46,2,0))</f>
        <v/>
      </c>
      <c r="BF3826" s="744" t="str">
        <f>IF(D3826="","",VLOOKUP(D3826,'General Basis'!$J$39:$L$46,3,0))</f>
        <v/>
      </c>
      <c r="BG3826" s="744" t="str">
        <f t="shared" si="1331"/>
        <v/>
      </c>
      <c r="BH3826" s="744" t="str">
        <f>IF(G3826="","",IF(BF3826="Abu Dhabi",IF(G3826&lt;18,'General Basis'!$C$39,IF(G3826&lt;41,'General Basis'!$C$40,IF(G3826&lt;60,'General Basis'!$C$41,IF(G3826&lt;65,'General Basis'!$C$42,'General Basis'!$C$43)))),IF(G3826&lt;11,'General Basis'!$B$39,IF(G3826&lt;18,'General Basis'!$B$40,IF(G3826&lt;26,'General Basis'!$B$41,IF(G3826&lt;31,'General Basis'!$B$42,IF(G3826&lt;36,'General Basis'!$B$43,IF(G3826&lt;41,'General Basis'!$B$44,IF(G3826&lt;46,'General Basis'!$B$45,IF(G3826&lt;51,'General Basis'!$B$46,IF(G3826&lt;56,'General Basis'!$B$47,IF(G3826&lt;60,'General Basis'!$B$48,IF(G3826&lt;65,'General Basis'!$B$49,'General Basis'!$B$50)))))))))))))</f>
        <v/>
      </c>
      <c r="BI3826" s="744" t="str">
        <f t="shared" si="1325"/>
        <v/>
      </c>
      <c r="BJ3826" s="747" t="str">
        <f t="shared" si="1332"/>
        <v/>
      </c>
      <c r="BK3826" s="498" t="str">
        <f t="shared" si="1326"/>
        <v/>
      </c>
      <c r="BL3826" s="498" t="str">
        <f t="shared" si="1327"/>
        <v/>
      </c>
    </row>
    <row r="3827" spans="1:64" x14ac:dyDescent="0.25">
      <c r="A3827" s="762">
        <f t="shared" si="1328"/>
        <v>3822</v>
      </c>
      <c r="B3827" s="229"/>
      <c r="C3827" s="223"/>
      <c r="D3827" s="224"/>
      <c r="E3827" s="225"/>
      <c r="F3827" s="1036" t="str">
        <f t="shared" si="1334"/>
        <v/>
      </c>
      <c r="G3827" s="1037" t="str">
        <f t="shared" si="1329"/>
        <v/>
      </c>
      <c r="H3827" s="225"/>
      <c r="I3827" s="1013"/>
      <c r="J3827" s="1013"/>
      <c r="K3827" s="1028"/>
      <c r="L3827" s="1035" t="str">
        <f t="shared" si="1333"/>
        <v/>
      </c>
      <c r="S3827" s="498"/>
      <c r="AJ3827" s="498"/>
      <c r="AM3827" s="498">
        <f t="shared" si="1314"/>
        <v>0</v>
      </c>
      <c r="AN3827" s="498">
        <f t="shared" si="1315"/>
        <v>0</v>
      </c>
      <c r="AO3827" s="498">
        <f t="shared" si="1316"/>
        <v>0</v>
      </c>
      <c r="AP3827" s="498">
        <f t="shared" si="1335"/>
        <v>0</v>
      </c>
      <c r="AQ3827" s="498">
        <f t="shared" si="1330"/>
        <v>0</v>
      </c>
      <c r="AU3827" s="498">
        <f t="shared" si="1317"/>
        <v>0</v>
      </c>
      <c r="AV3827" s="498">
        <f t="shared" si="1318"/>
        <v>0</v>
      </c>
      <c r="AW3827" s="498">
        <f t="shared" si="1319"/>
        <v>0</v>
      </c>
      <c r="AX3827" s="498">
        <f t="shared" si="1320"/>
        <v>0</v>
      </c>
      <c r="AY3827" s="498">
        <f t="shared" si="1321"/>
        <v>0</v>
      </c>
      <c r="BB3827" s="498" t="str">
        <f t="shared" si="1322"/>
        <v/>
      </c>
      <c r="BC3827" s="743" t="str">
        <f t="shared" si="1323"/>
        <v/>
      </c>
      <c r="BD3827" s="743" t="str">
        <f t="shared" si="1324"/>
        <v/>
      </c>
      <c r="BE3827" s="743" t="str">
        <f>IF(D3827="","",VLOOKUP(D3827,'General Basis'!$J$39:$K$46,2,0))</f>
        <v/>
      </c>
      <c r="BF3827" s="744" t="str">
        <f>IF(D3827="","",VLOOKUP(D3827,'General Basis'!$J$39:$L$46,3,0))</f>
        <v/>
      </c>
      <c r="BG3827" s="744" t="str">
        <f t="shared" si="1331"/>
        <v/>
      </c>
      <c r="BH3827" s="744" t="str">
        <f>IF(G3827="","",IF(BF3827="Abu Dhabi",IF(G3827&lt;18,'General Basis'!$C$39,IF(G3827&lt;41,'General Basis'!$C$40,IF(G3827&lt;60,'General Basis'!$C$41,IF(G3827&lt;65,'General Basis'!$C$42,'General Basis'!$C$43)))),IF(G3827&lt;11,'General Basis'!$B$39,IF(G3827&lt;18,'General Basis'!$B$40,IF(G3827&lt;26,'General Basis'!$B$41,IF(G3827&lt;31,'General Basis'!$B$42,IF(G3827&lt;36,'General Basis'!$B$43,IF(G3827&lt;41,'General Basis'!$B$44,IF(G3827&lt;46,'General Basis'!$B$45,IF(G3827&lt;51,'General Basis'!$B$46,IF(G3827&lt;56,'General Basis'!$B$47,IF(G3827&lt;60,'General Basis'!$B$48,IF(G3827&lt;65,'General Basis'!$B$49,'General Basis'!$B$50)))))))))))))</f>
        <v/>
      </c>
      <c r="BI3827" s="744" t="str">
        <f t="shared" si="1325"/>
        <v/>
      </c>
      <c r="BJ3827" s="747" t="str">
        <f t="shared" si="1332"/>
        <v/>
      </c>
      <c r="BK3827" s="498" t="str">
        <f t="shared" si="1326"/>
        <v/>
      </c>
      <c r="BL3827" s="498" t="str">
        <f t="shared" si="1327"/>
        <v/>
      </c>
    </row>
    <row r="3828" spans="1:64" x14ac:dyDescent="0.25">
      <c r="A3828" s="762">
        <f t="shared" si="1328"/>
        <v>3823</v>
      </c>
      <c r="B3828" s="229"/>
      <c r="C3828" s="223"/>
      <c r="D3828" s="224"/>
      <c r="E3828" s="225"/>
      <c r="F3828" s="1036" t="str">
        <f t="shared" si="1334"/>
        <v/>
      </c>
      <c r="G3828" s="1037" t="str">
        <f t="shared" si="1329"/>
        <v/>
      </c>
      <c r="H3828" s="225"/>
      <c r="I3828" s="1013"/>
      <c r="J3828" s="1013"/>
      <c r="K3828" s="1028"/>
      <c r="L3828" s="1035" t="str">
        <f t="shared" si="1333"/>
        <v/>
      </c>
      <c r="S3828" s="498"/>
      <c r="AJ3828" s="498"/>
      <c r="AM3828" s="498">
        <f t="shared" si="1314"/>
        <v>0</v>
      </c>
      <c r="AN3828" s="498">
        <f t="shared" si="1315"/>
        <v>0</v>
      </c>
      <c r="AO3828" s="498">
        <f t="shared" si="1316"/>
        <v>0</v>
      </c>
      <c r="AP3828" s="498">
        <f t="shared" si="1335"/>
        <v>0</v>
      </c>
      <c r="AQ3828" s="498">
        <f t="shared" si="1330"/>
        <v>0</v>
      </c>
      <c r="AU3828" s="498">
        <f t="shared" si="1317"/>
        <v>0</v>
      </c>
      <c r="AV3828" s="498">
        <f t="shared" si="1318"/>
        <v>0</v>
      </c>
      <c r="AW3828" s="498">
        <f t="shared" si="1319"/>
        <v>0</v>
      </c>
      <c r="AX3828" s="498">
        <f t="shared" si="1320"/>
        <v>0</v>
      </c>
      <c r="AY3828" s="498">
        <f t="shared" si="1321"/>
        <v>0</v>
      </c>
      <c r="BB3828" s="498" t="str">
        <f t="shared" si="1322"/>
        <v/>
      </c>
      <c r="BC3828" s="743" t="str">
        <f t="shared" si="1323"/>
        <v/>
      </c>
      <c r="BD3828" s="743" t="str">
        <f t="shared" si="1324"/>
        <v/>
      </c>
      <c r="BE3828" s="743" t="str">
        <f>IF(D3828="","",VLOOKUP(D3828,'General Basis'!$J$39:$K$46,2,0))</f>
        <v/>
      </c>
      <c r="BF3828" s="744" t="str">
        <f>IF(D3828="","",VLOOKUP(D3828,'General Basis'!$J$39:$L$46,3,0))</f>
        <v/>
      </c>
      <c r="BG3828" s="744" t="str">
        <f t="shared" si="1331"/>
        <v/>
      </c>
      <c r="BH3828" s="744" t="str">
        <f>IF(G3828="","",IF(BF3828="Abu Dhabi",IF(G3828&lt;18,'General Basis'!$C$39,IF(G3828&lt;41,'General Basis'!$C$40,IF(G3828&lt;60,'General Basis'!$C$41,IF(G3828&lt;65,'General Basis'!$C$42,'General Basis'!$C$43)))),IF(G3828&lt;11,'General Basis'!$B$39,IF(G3828&lt;18,'General Basis'!$B$40,IF(G3828&lt;26,'General Basis'!$B$41,IF(G3828&lt;31,'General Basis'!$B$42,IF(G3828&lt;36,'General Basis'!$B$43,IF(G3828&lt;41,'General Basis'!$B$44,IF(G3828&lt;46,'General Basis'!$B$45,IF(G3828&lt;51,'General Basis'!$B$46,IF(G3828&lt;56,'General Basis'!$B$47,IF(G3828&lt;60,'General Basis'!$B$48,IF(G3828&lt;65,'General Basis'!$B$49,'General Basis'!$B$50)))))))))))))</f>
        <v/>
      </c>
      <c r="BI3828" s="744" t="str">
        <f t="shared" si="1325"/>
        <v/>
      </c>
      <c r="BJ3828" s="747" t="str">
        <f t="shared" si="1332"/>
        <v/>
      </c>
      <c r="BK3828" s="498" t="str">
        <f t="shared" si="1326"/>
        <v/>
      </c>
      <c r="BL3828" s="498" t="str">
        <f t="shared" si="1327"/>
        <v/>
      </c>
    </row>
    <row r="3829" spans="1:64" x14ac:dyDescent="0.25">
      <c r="A3829" s="762">
        <f t="shared" si="1328"/>
        <v>3824</v>
      </c>
      <c r="B3829" s="229"/>
      <c r="C3829" s="223"/>
      <c r="D3829" s="224"/>
      <c r="E3829" s="225"/>
      <c r="F3829" s="1036" t="str">
        <f t="shared" si="1334"/>
        <v/>
      </c>
      <c r="G3829" s="1037" t="str">
        <f t="shared" si="1329"/>
        <v/>
      </c>
      <c r="H3829" s="225"/>
      <c r="I3829" s="1013"/>
      <c r="J3829" s="1013"/>
      <c r="K3829" s="1028"/>
      <c r="L3829" s="1035" t="str">
        <f t="shared" si="1333"/>
        <v/>
      </c>
      <c r="S3829" s="498"/>
      <c r="AJ3829" s="498"/>
      <c r="AM3829" s="498">
        <f t="shared" si="1314"/>
        <v>0</v>
      </c>
      <c r="AN3829" s="498">
        <f t="shared" si="1315"/>
        <v>0</v>
      </c>
      <c r="AO3829" s="498">
        <f t="shared" si="1316"/>
        <v>0</v>
      </c>
      <c r="AP3829" s="498">
        <f t="shared" si="1335"/>
        <v>0</v>
      </c>
      <c r="AQ3829" s="498">
        <f t="shared" si="1330"/>
        <v>0</v>
      </c>
      <c r="AU3829" s="498">
        <f t="shared" si="1317"/>
        <v>0</v>
      </c>
      <c r="AV3829" s="498">
        <f t="shared" si="1318"/>
        <v>0</v>
      </c>
      <c r="AW3829" s="498">
        <f t="shared" si="1319"/>
        <v>0</v>
      </c>
      <c r="AX3829" s="498">
        <f t="shared" si="1320"/>
        <v>0</v>
      </c>
      <c r="AY3829" s="498">
        <f t="shared" si="1321"/>
        <v>0</v>
      </c>
      <c r="BB3829" s="498" t="str">
        <f t="shared" si="1322"/>
        <v/>
      </c>
      <c r="BC3829" s="743" t="str">
        <f t="shared" si="1323"/>
        <v/>
      </c>
      <c r="BD3829" s="743" t="str">
        <f t="shared" si="1324"/>
        <v/>
      </c>
      <c r="BE3829" s="743" t="str">
        <f>IF(D3829="","",VLOOKUP(D3829,'General Basis'!$J$39:$K$46,2,0))</f>
        <v/>
      </c>
      <c r="BF3829" s="744" t="str">
        <f>IF(D3829="","",VLOOKUP(D3829,'General Basis'!$J$39:$L$46,3,0))</f>
        <v/>
      </c>
      <c r="BG3829" s="744" t="str">
        <f t="shared" si="1331"/>
        <v/>
      </c>
      <c r="BH3829" s="744" t="str">
        <f>IF(G3829="","",IF(BF3829="Abu Dhabi",IF(G3829&lt;18,'General Basis'!$C$39,IF(G3829&lt;41,'General Basis'!$C$40,IF(G3829&lt;60,'General Basis'!$C$41,IF(G3829&lt;65,'General Basis'!$C$42,'General Basis'!$C$43)))),IF(G3829&lt;11,'General Basis'!$B$39,IF(G3829&lt;18,'General Basis'!$B$40,IF(G3829&lt;26,'General Basis'!$B$41,IF(G3829&lt;31,'General Basis'!$B$42,IF(G3829&lt;36,'General Basis'!$B$43,IF(G3829&lt;41,'General Basis'!$B$44,IF(G3829&lt;46,'General Basis'!$B$45,IF(G3829&lt;51,'General Basis'!$B$46,IF(G3829&lt;56,'General Basis'!$B$47,IF(G3829&lt;60,'General Basis'!$B$48,IF(G3829&lt;65,'General Basis'!$B$49,'General Basis'!$B$50)))))))))))))</f>
        <v/>
      </c>
      <c r="BI3829" s="744" t="str">
        <f t="shared" si="1325"/>
        <v/>
      </c>
      <c r="BJ3829" s="747" t="str">
        <f t="shared" si="1332"/>
        <v/>
      </c>
      <c r="BK3829" s="498" t="str">
        <f t="shared" si="1326"/>
        <v/>
      </c>
      <c r="BL3829" s="498" t="str">
        <f t="shared" si="1327"/>
        <v/>
      </c>
    </row>
    <row r="3830" spans="1:64" x14ac:dyDescent="0.25">
      <c r="A3830" s="762">
        <f t="shared" si="1328"/>
        <v>3825</v>
      </c>
      <c r="B3830" s="229"/>
      <c r="C3830" s="223"/>
      <c r="D3830" s="224"/>
      <c r="E3830" s="225"/>
      <c r="F3830" s="1036" t="str">
        <f t="shared" si="1334"/>
        <v/>
      </c>
      <c r="G3830" s="1037" t="str">
        <f t="shared" si="1329"/>
        <v/>
      </c>
      <c r="H3830" s="225"/>
      <c r="I3830" s="1013"/>
      <c r="J3830" s="1013"/>
      <c r="K3830" s="1028"/>
      <c r="L3830" s="1035" t="str">
        <f t="shared" si="1333"/>
        <v/>
      </c>
      <c r="S3830" s="498"/>
      <c r="AJ3830" s="498"/>
      <c r="AM3830" s="498">
        <f t="shared" si="1314"/>
        <v>0</v>
      </c>
      <c r="AN3830" s="498">
        <f t="shared" si="1315"/>
        <v>0</v>
      </c>
      <c r="AO3830" s="498">
        <f t="shared" si="1316"/>
        <v>0</v>
      </c>
      <c r="AP3830" s="498">
        <f t="shared" si="1335"/>
        <v>0</v>
      </c>
      <c r="AQ3830" s="498">
        <f t="shared" si="1330"/>
        <v>0</v>
      </c>
      <c r="AU3830" s="498">
        <f t="shared" si="1317"/>
        <v>0</v>
      </c>
      <c r="AV3830" s="498">
        <f t="shared" si="1318"/>
        <v>0</v>
      </c>
      <c r="AW3830" s="498">
        <f t="shared" si="1319"/>
        <v>0</v>
      </c>
      <c r="AX3830" s="498">
        <f t="shared" si="1320"/>
        <v>0</v>
      </c>
      <c r="AY3830" s="498">
        <f t="shared" si="1321"/>
        <v>0</v>
      </c>
      <c r="BB3830" s="498" t="str">
        <f t="shared" si="1322"/>
        <v/>
      </c>
      <c r="BC3830" s="743" t="str">
        <f t="shared" si="1323"/>
        <v/>
      </c>
      <c r="BD3830" s="743" t="str">
        <f t="shared" si="1324"/>
        <v/>
      </c>
      <c r="BE3830" s="743" t="str">
        <f>IF(D3830="","",VLOOKUP(D3830,'General Basis'!$J$39:$K$46,2,0))</f>
        <v/>
      </c>
      <c r="BF3830" s="744" t="str">
        <f>IF(D3830="","",VLOOKUP(D3830,'General Basis'!$J$39:$L$46,3,0))</f>
        <v/>
      </c>
      <c r="BG3830" s="744" t="str">
        <f t="shared" si="1331"/>
        <v/>
      </c>
      <c r="BH3830" s="744" t="str">
        <f>IF(G3830="","",IF(BF3830="Abu Dhabi",IF(G3830&lt;18,'General Basis'!$C$39,IF(G3830&lt;41,'General Basis'!$C$40,IF(G3830&lt;60,'General Basis'!$C$41,IF(G3830&lt;65,'General Basis'!$C$42,'General Basis'!$C$43)))),IF(G3830&lt;11,'General Basis'!$B$39,IF(G3830&lt;18,'General Basis'!$B$40,IF(G3830&lt;26,'General Basis'!$B$41,IF(G3830&lt;31,'General Basis'!$B$42,IF(G3830&lt;36,'General Basis'!$B$43,IF(G3830&lt;41,'General Basis'!$B$44,IF(G3830&lt;46,'General Basis'!$B$45,IF(G3830&lt;51,'General Basis'!$B$46,IF(G3830&lt;56,'General Basis'!$B$47,IF(G3830&lt;60,'General Basis'!$B$48,IF(G3830&lt;65,'General Basis'!$B$49,'General Basis'!$B$50)))))))))))))</f>
        <v/>
      </c>
      <c r="BI3830" s="744" t="str">
        <f t="shared" si="1325"/>
        <v/>
      </c>
      <c r="BJ3830" s="747" t="str">
        <f t="shared" si="1332"/>
        <v/>
      </c>
      <c r="BK3830" s="498" t="str">
        <f t="shared" si="1326"/>
        <v/>
      </c>
      <c r="BL3830" s="498" t="str">
        <f t="shared" si="1327"/>
        <v/>
      </c>
    </row>
    <row r="3831" spans="1:64" x14ac:dyDescent="0.25">
      <c r="A3831" s="762">
        <f t="shared" si="1328"/>
        <v>3826</v>
      </c>
      <c r="B3831" s="229"/>
      <c r="C3831" s="223"/>
      <c r="D3831" s="224"/>
      <c r="E3831" s="225"/>
      <c r="F3831" s="1036" t="str">
        <f t="shared" si="1334"/>
        <v/>
      </c>
      <c r="G3831" s="1037" t="str">
        <f t="shared" si="1329"/>
        <v/>
      </c>
      <c r="H3831" s="225"/>
      <c r="I3831" s="1013"/>
      <c r="J3831" s="1013"/>
      <c r="K3831" s="1028"/>
      <c r="L3831" s="1035" t="str">
        <f t="shared" si="1333"/>
        <v/>
      </c>
      <c r="S3831" s="498"/>
      <c r="AJ3831" s="498"/>
      <c r="AM3831" s="498">
        <f t="shared" si="1314"/>
        <v>0</v>
      </c>
      <c r="AN3831" s="498">
        <f t="shared" si="1315"/>
        <v>0</v>
      </c>
      <c r="AO3831" s="498">
        <f t="shared" si="1316"/>
        <v>0</v>
      </c>
      <c r="AP3831" s="498">
        <f t="shared" si="1335"/>
        <v>0</v>
      </c>
      <c r="AQ3831" s="498">
        <f t="shared" si="1330"/>
        <v>0</v>
      </c>
      <c r="AU3831" s="498">
        <f t="shared" si="1317"/>
        <v>0</v>
      </c>
      <c r="AV3831" s="498">
        <f t="shared" si="1318"/>
        <v>0</v>
      </c>
      <c r="AW3831" s="498">
        <f t="shared" si="1319"/>
        <v>0</v>
      </c>
      <c r="AX3831" s="498">
        <f t="shared" si="1320"/>
        <v>0</v>
      </c>
      <c r="AY3831" s="498">
        <f t="shared" si="1321"/>
        <v>0</v>
      </c>
      <c r="BB3831" s="498" t="str">
        <f t="shared" si="1322"/>
        <v/>
      </c>
      <c r="BC3831" s="743" t="str">
        <f t="shared" si="1323"/>
        <v/>
      </c>
      <c r="BD3831" s="743" t="str">
        <f t="shared" si="1324"/>
        <v/>
      </c>
      <c r="BE3831" s="743" t="str">
        <f>IF(D3831="","",VLOOKUP(D3831,'General Basis'!$J$39:$K$46,2,0))</f>
        <v/>
      </c>
      <c r="BF3831" s="744" t="str">
        <f>IF(D3831="","",VLOOKUP(D3831,'General Basis'!$J$39:$L$46,3,0))</f>
        <v/>
      </c>
      <c r="BG3831" s="744" t="str">
        <f t="shared" si="1331"/>
        <v/>
      </c>
      <c r="BH3831" s="744" t="str">
        <f>IF(G3831="","",IF(BF3831="Abu Dhabi",IF(G3831&lt;18,'General Basis'!$C$39,IF(G3831&lt;41,'General Basis'!$C$40,IF(G3831&lt;60,'General Basis'!$C$41,IF(G3831&lt;65,'General Basis'!$C$42,'General Basis'!$C$43)))),IF(G3831&lt;11,'General Basis'!$B$39,IF(G3831&lt;18,'General Basis'!$B$40,IF(G3831&lt;26,'General Basis'!$B$41,IF(G3831&lt;31,'General Basis'!$B$42,IF(G3831&lt;36,'General Basis'!$B$43,IF(G3831&lt;41,'General Basis'!$B$44,IF(G3831&lt;46,'General Basis'!$B$45,IF(G3831&lt;51,'General Basis'!$B$46,IF(G3831&lt;56,'General Basis'!$B$47,IF(G3831&lt;60,'General Basis'!$B$48,IF(G3831&lt;65,'General Basis'!$B$49,'General Basis'!$B$50)))))))))))))</f>
        <v/>
      </c>
      <c r="BI3831" s="744" t="str">
        <f t="shared" si="1325"/>
        <v/>
      </c>
      <c r="BJ3831" s="747" t="str">
        <f t="shared" si="1332"/>
        <v/>
      </c>
      <c r="BK3831" s="498" t="str">
        <f t="shared" si="1326"/>
        <v/>
      </c>
      <c r="BL3831" s="498" t="str">
        <f t="shared" si="1327"/>
        <v/>
      </c>
    </row>
    <row r="3832" spans="1:64" x14ac:dyDescent="0.25">
      <c r="A3832" s="762">
        <f t="shared" si="1328"/>
        <v>3827</v>
      </c>
      <c r="B3832" s="229"/>
      <c r="C3832" s="223"/>
      <c r="D3832" s="224"/>
      <c r="E3832" s="225"/>
      <c r="F3832" s="1036" t="str">
        <f t="shared" si="1334"/>
        <v/>
      </c>
      <c r="G3832" s="1037" t="str">
        <f t="shared" si="1329"/>
        <v/>
      </c>
      <c r="H3832" s="225"/>
      <c r="I3832" s="1013"/>
      <c r="J3832" s="1013"/>
      <c r="K3832" s="1028"/>
      <c r="L3832" s="1035" t="str">
        <f t="shared" si="1333"/>
        <v/>
      </c>
      <c r="S3832" s="498"/>
      <c r="AJ3832" s="498"/>
      <c r="AM3832" s="498">
        <f t="shared" si="1314"/>
        <v>0</v>
      </c>
      <c r="AN3832" s="498">
        <f t="shared" si="1315"/>
        <v>0</v>
      </c>
      <c r="AO3832" s="498">
        <f t="shared" si="1316"/>
        <v>0</v>
      </c>
      <c r="AP3832" s="498">
        <f t="shared" si="1335"/>
        <v>0</v>
      </c>
      <c r="AQ3832" s="498">
        <f t="shared" si="1330"/>
        <v>0</v>
      </c>
      <c r="AU3832" s="498">
        <f t="shared" si="1317"/>
        <v>0</v>
      </c>
      <c r="AV3832" s="498">
        <f t="shared" si="1318"/>
        <v>0</v>
      </c>
      <c r="AW3832" s="498">
        <f t="shared" si="1319"/>
        <v>0</v>
      </c>
      <c r="AX3832" s="498">
        <f t="shared" si="1320"/>
        <v>0</v>
      </c>
      <c r="AY3832" s="498">
        <f t="shared" si="1321"/>
        <v>0</v>
      </c>
      <c r="BB3832" s="498" t="str">
        <f t="shared" si="1322"/>
        <v/>
      </c>
      <c r="BC3832" s="743" t="str">
        <f t="shared" si="1323"/>
        <v/>
      </c>
      <c r="BD3832" s="743" t="str">
        <f t="shared" si="1324"/>
        <v/>
      </c>
      <c r="BE3832" s="743" t="str">
        <f>IF(D3832="","",VLOOKUP(D3832,'General Basis'!$J$39:$K$46,2,0))</f>
        <v/>
      </c>
      <c r="BF3832" s="744" t="str">
        <f>IF(D3832="","",VLOOKUP(D3832,'General Basis'!$J$39:$L$46,3,0))</f>
        <v/>
      </c>
      <c r="BG3832" s="744" t="str">
        <f t="shared" si="1331"/>
        <v/>
      </c>
      <c r="BH3832" s="744" t="str">
        <f>IF(G3832="","",IF(BF3832="Abu Dhabi",IF(G3832&lt;18,'General Basis'!$C$39,IF(G3832&lt;41,'General Basis'!$C$40,IF(G3832&lt;60,'General Basis'!$C$41,IF(G3832&lt;65,'General Basis'!$C$42,'General Basis'!$C$43)))),IF(G3832&lt;11,'General Basis'!$B$39,IF(G3832&lt;18,'General Basis'!$B$40,IF(G3832&lt;26,'General Basis'!$B$41,IF(G3832&lt;31,'General Basis'!$B$42,IF(G3832&lt;36,'General Basis'!$B$43,IF(G3832&lt;41,'General Basis'!$B$44,IF(G3832&lt;46,'General Basis'!$B$45,IF(G3832&lt;51,'General Basis'!$B$46,IF(G3832&lt;56,'General Basis'!$B$47,IF(G3832&lt;60,'General Basis'!$B$48,IF(G3832&lt;65,'General Basis'!$B$49,'General Basis'!$B$50)))))))))))))</f>
        <v/>
      </c>
      <c r="BI3832" s="744" t="str">
        <f t="shared" si="1325"/>
        <v/>
      </c>
      <c r="BJ3832" s="747" t="str">
        <f t="shared" si="1332"/>
        <v/>
      </c>
      <c r="BK3832" s="498" t="str">
        <f t="shared" si="1326"/>
        <v/>
      </c>
      <c r="BL3832" s="498" t="str">
        <f t="shared" si="1327"/>
        <v/>
      </c>
    </row>
    <row r="3833" spans="1:64" x14ac:dyDescent="0.25">
      <c r="A3833" s="762">
        <f t="shared" si="1328"/>
        <v>3828</v>
      </c>
      <c r="B3833" s="229"/>
      <c r="C3833" s="223"/>
      <c r="D3833" s="224"/>
      <c r="E3833" s="225"/>
      <c r="F3833" s="1036" t="str">
        <f t="shared" si="1334"/>
        <v/>
      </c>
      <c r="G3833" s="1037" t="str">
        <f t="shared" si="1329"/>
        <v/>
      </c>
      <c r="H3833" s="225"/>
      <c r="I3833" s="1013"/>
      <c r="J3833" s="1013"/>
      <c r="K3833" s="1028"/>
      <c r="L3833" s="1035" t="str">
        <f t="shared" si="1333"/>
        <v/>
      </c>
      <c r="S3833" s="498"/>
      <c r="AJ3833" s="498"/>
      <c r="AM3833" s="498">
        <f t="shared" si="1314"/>
        <v>0</v>
      </c>
      <c r="AN3833" s="498">
        <f t="shared" si="1315"/>
        <v>0</v>
      </c>
      <c r="AO3833" s="498">
        <f t="shared" si="1316"/>
        <v>0</v>
      </c>
      <c r="AP3833" s="498">
        <f t="shared" si="1335"/>
        <v>0</v>
      </c>
      <c r="AQ3833" s="498">
        <f t="shared" si="1330"/>
        <v>0</v>
      </c>
      <c r="AU3833" s="498">
        <f t="shared" si="1317"/>
        <v>0</v>
      </c>
      <c r="AV3833" s="498">
        <f t="shared" si="1318"/>
        <v>0</v>
      </c>
      <c r="AW3833" s="498">
        <f t="shared" si="1319"/>
        <v>0</v>
      </c>
      <c r="AX3833" s="498">
        <f t="shared" si="1320"/>
        <v>0</v>
      </c>
      <c r="AY3833" s="498">
        <f t="shared" si="1321"/>
        <v>0</v>
      </c>
      <c r="BB3833" s="498" t="str">
        <f t="shared" si="1322"/>
        <v/>
      </c>
      <c r="BC3833" s="743" t="str">
        <f t="shared" si="1323"/>
        <v/>
      </c>
      <c r="BD3833" s="743" t="str">
        <f t="shared" si="1324"/>
        <v/>
      </c>
      <c r="BE3833" s="743" t="str">
        <f>IF(D3833="","",VLOOKUP(D3833,'General Basis'!$J$39:$K$46,2,0))</f>
        <v/>
      </c>
      <c r="BF3833" s="744" t="str">
        <f>IF(D3833="","",VLOOKUP(D3833,'General Basis'!$J$39:$L$46,3,0))</f>
        <v/>
      </c>
      <c r="BG3833" s="744" t="str">
        <f t="shared" si="1331"/>
        <v/>
      </c>
      <c r="BH3833" s="744" t="str">
        <f>IF(G3833="","",IF(BF3833="Abu Dhabi",IF(G3833&lt;18,'General Basis'!$C$39,IF(G3833&lt;41,'General Basis'!$C$40,IF(G3833&lt;60,'General Basis'!$C$41,IF(G3833&lt;65,'General Basis'!$C$42,'General Basis'!$C$43)))),IF(G3833&lt;11,'General Basis'!$B$39,IF(G3833&lt;18,'General Basis'!$B$40,IF(G3833&lt;26,'General Basis'!$B$41,IF(G3833&lt;31,'General Basis'!$B$42,IF(G3833&lt;36,'General Basis'!$B$43,IF(G3833&lt;41,'General Basis'!$B$44,IF(G3833&lt;46,'General Basis'!$B$45,IF(G3833&lt;51,'General Basis'!$B$46,IF(G3833&lt;56,'General Basis'!$B$47,IF(G3833&lt;60,'General Basis'!$B$48,IF(G3833&lt;65,'General Basis'!$B$49,'General Basis'!$B$50)))))))))))))</f>
        <v/>
      </c>
      <c r="BI3833" s="744" t="str">
        <f t="shared" si="1325"/>
        <v/>
      </c>
      <c r="BJ3833" s="747" t="str">
        <f t="shared" si="1332"/>
        <v/>
      </c>
      <c r="BK3833" s="498" t="str">
        <f t="shared" si="1326"/>
        <v/>
      </c>
      <c r="BL3833" s="498" t="str">
        <f t="shared" si="1327"/>
        <v/>
      </c>
    </row>
    <row r="3834" spans="1:64" x14ac:dyDescent="0.25">
      <c r="A3834" s="762">
        <f t="shared" si="1328"/>
        <v>3829</v>
      </c>
      <c r="B3834" s="229"/>
      <c r="C3834" s="223"/>
      <c r="D3834" s="224"/>
      <c r="E3834" s="225"/>
      <c r="F3834" s="1036" t="str">
        <f t="shared" si="1334"/>
        <v/>
      </c>
      <c r="G3834" s="1037" t="str">
        <f t="shared" si="1329"/>
        <v/>
      </c>
      <c r="H3834" s="225"/>
      <c r="I3834" s="1013"/>
      <c r="J3834" s="1013"/>
      <c r="K3834" s="1028"/>
      <c r="L3834" s="1035" t="str">
        <f t="shared" si="1333"/>
        <v/>
      </c>
      <c r="S3834" s="498"/>
      <c r="AJ3834" s="498"/>
      <c r="AM3834" s="498">
        <f t="shared" si="1314"/>
        <v>0</v>
      </c>
      <c r="AN3834" s="498">
        <f t="shared" si="1315"/>
        <v>0</v>
      </c>
      <c r="AO3834" s="498">
        <f t="shared" si="1316"/>
        <v>0</v>
      </c>
      <c r="AP3834" s="498">
        <f t="shared" si="1335"/>
        <v>0</v>
      </c>
      <c r="AQ3834" s="498">
        <f t="shared" si="1330"/>
        <v>0</v>
      </c>
      <c r="AU3834" s="498">
        <f t="shared" si="1317"/>
        <v>0</v>
      </c>
      <c r="AV3834" s="498">
        <f t="shared" si="1318"/>
        <v>0</v>
      </c>
      <c r="AW3834" s="498">
        <f t="shared" si="1319"/>
        <v>0</v>
      </c>
      <c r="AX3834" s="498">
        <f t="shared" si="1320"/>
        <v>0</v>
      </c>
      <c r="AY3834" s="498">
        <f t="shared" si="1321"/>
        <v>0</v>
      </c>
      <c r="BB3834" s="498" t="str">
        <f t="shared" si="1322"/>
        <v/>
      </c>
      <c r="BC3834" s="743" t="str">
        <f t="shared" si="1323"/>
        <v/>
      </c>
      <c r="BD3834" s="743" t="str">
        <f t="shared" si="1324"/>
        <v/>
      </c>
      <c r="BE3834" s="743" t="str">
        <f>IF(D3834="","",VLOOKUP(D3834,'General Basis'!$J$39:$K$46,2,0))</f>
        <v/>
      </c>
      <c r="BF3834" s="744" t="str">
        <f>IF(D3834="","",VLOOKUP(D3834,'General Basis'!$J$39:$L$46,3,0))</f>
        <v/>
      </c>
      <c r="BG3834" s="744" t="str">
        <f t="shared" si="1331"/>
        <v/>
      </c>
      <c r="BH3834" s="744" t="str">
        <f>IF(G3834="","",IF(BF3834="Abu Dhabi",IF(G3834&lt;18,'General Basis'!$C$39,IF(G3834&lt;41,'General Basis'!$C$40,IF(G3834&lt;60,'General Basis'!$C$41,IF(G3834&lt;65,'General Basis'!$C$42,'General Basis'!$C$43)))),IF(G3834&lt;11,'General Basis'!$B$39,IF(G3834&lt;18,'General Basis'!$B$40,IF(G3834&lt;26,'General Basis'!$B$41,IF(G3834&lt;31,'General Basis'!$B$42,IF(G3834&lt;36,'General Basis'!$B$43,IF(G3834&lt;41,'General Basis'!$B$44,IF(G3834&lt;46,'General Basis'!$B$45,IF(G3834&lt;51,'General Basis'!$B$46,IF(G3834&lt;56,'General Basis'!$B$47,IF(G3834&lt;60,'General Basis'!$B$48,IF(G3834&lt;65,'General Basis'!$B$49,'General Basis'!$B$50)))))))))))))</f>
        <v/>
      </c>
      <c r="BI3834" s="744" t="str">
        <f t="shared" si="1325"/>
        <v/>
      </c>
      <c r="BJ3834" s="747" t="str">
        <f t="shared" si="1332"/>
        <v/>
      </c>
      <c r="BK3834" s="498" t="str">
        <f t="shared" si="1326"/>
        <v/>
      </c>
      <c r="BL3834" s="498" t="str">
        <f t="shared" si="1327"/>
        <v/>
      </c>
    </row>
    <row r="3835" spans="1:64" x14ac:dyDescent="0.25">
      <c r="A3835" s="762">
        <f t="shared" si="1328"/>
        <v>3830</v>
      </c>
      <c r="B3835" s="229"/>
      <c r="C3835" s="223"/>
      <c r="D3835" s="224"/>
      <c r="E3835" s="225"/>
      <c r="F3835" s="1036" t="str">
        <f t="shared" si="1334"/>
        <v/>
      </c>
      <c r="G3835" s="1037" t="str">
        <f t="shared" si="1329"/>
        <v/>
      </c>
      <c r="H3835" s="225"/>
      <c r="I3835" s="1013"/>
      <c r="J3835" s="1013"/>
      <c r="K3835" s="1028"/>
      <c r="L3835" s="1035" t="str">
        <f t="shared" si="1333"/>
        <v/>
      </c>
      <c r="S3835" s="498"/>
      <c r="AJ3835" s="498"/>
      <c r="AM3835" s="498">
        <f t="shared" si="1314"/>
        <v>0</v>
      </c>
      <c r="AN3835" s="498">
        <f t="shared" si="1315"/>
        <v>0</v>
      </c>
      <c r="AO3835" s="498">
        <f t="shared" si="1316"/>
        <v>0</v>
      </c>
      <c r="AP3835" s="498">
        <f t="shared" si="1335"/>
        <v>0</v>
      </c>
      <c r="AQ3835" s="498">
        <f t="shared" si="1330"/>
        <v>0</v>
      </c>
      <c r="AU3835" s="498">
        <f t="shared" si="1317"/>
        <v>0</v>
      </c>
      <c r="AV3835" s="498">
        <f t="shared" si="1318"/>
        <v>0</v>
      </c>
      <c r="AW3835" s="498">
        <f t="shared" si="1319"/>
        <v>0</v>
      </c>
      <c r="AX3835" s="498">
        <f t="shared" si="1320"/>
        <v>0</v>
      </c>
      <c r="AY3835" s="498">
        <f t="shared" si="1321"/>
        <v>0</v>
      </c>
      <c r="BB3835" s="498" t="str">
        <f t="shared" si="1322"/>
        <v/>
      </c>
      <c r="BC3835" s="743" t="str">
        <f t="shared" si="1323"/>
        <v/>
      </c>
      <c r="BD3835" s="743" t="str">
        <f t="shared" si="1324"/>
        <v/>
      </c>
      <c r="BE3835" s="743" t="str">
        <f>IF(D3835="","",VLOOKUP(D3835,'General Basis'!$J$39:$K$46,2,0))</f>
        <v/>
      </c>
      <c r="BF3835" s="744" t="str">
        <f>IF(D3835="","",VLOOKUP(D3835,'General Basis'!$J$39:$L$46,3,0))</f>
        <v/>
      </c>
      <c r="BG3835" s="744" t="str">
        <f t="shared" si="1331"/>
        <v/>
      </c>
      <c r="BH3835" s="744" t="str">
        <f>IF(G3835="","",IF(BF3835="Abu Dhabi",IF(G3835&lt;18,'General Basis'!$C$39,IF(G3835&lt;41,'General Basis'!$C$40,IF(G3835&lt;60,'General Basis'!$C$41,IF(G3835&lt;65,'General Basis'!$C$42,'General Basis'!$C$43)))),IF(G3835&lt;11,'General Basis'!$B$39,IF(G3835&lt;18,'General Basis'!$B$40,IF(G3835&lt;26,'General Basis'!$B$41,IF(G3835&lt;31,'General Basis'!$B$42,IF(G3835&lt;36,'General Basis'!$B$43,IF(G3835&lt;41,'General Basis'!$B$44,IF(G3835&lt;46,'General Basis'!$B$45,IF(G3835&lt;51,'General Basis'!$B$46,IF(G3835&lt;56,'General Basis'!$B$47,IF(G3835&lt;60,'General Basis'!$B$48,IF(G3835&lt;65,'General Basis'!$B$49,'General Basis'!$B$50)))))))))))))</f>
        <v/>
      </c>
      <c r="BI3835" s="744" t="str">
        <f t="shared" si="1325"/>
        <v/>
      </c>
      <c r="BJ3835" s="747" t="str">
        <f t="shared" si="1332"/>
        <v/>
      </c>
      <c r="BK3835" s="498" t="str">
        <f t="shared" si="1326"/>
        <v/>
      </c>
      <c r="BL3835" s="498" t="str">
        <f t="shared" si="1327"/>
        <v/>
      </c>
    </row>
    <row r="3836" spans="1:64" x14ac:dyDescent="0.25">
      <c r="A3836" s="762">
        <f t="shared" si="1328"/>
        <v>3831</v>
      </c>
      <c r="B3836" s="229"/>
      <c r="C3836" s="223"/>
      <c r="D3836" s="224"/>
      <c r="E3836" s="225"/>
      <c r="F3836" s="1036" t="str">
        <f t="shared" si="1334"/>
        <v/>
      </c>
      <c r="G3836" s="1037" t="str">
        <f t="shared" si="1329"/>
        <v/>
      </c>
      <c r="H3836" s="225"/>
      <c r="I3836" s="1013"/>
      <c r="J3836" s="1013"/>
      <c r="K3836" s="1028"/>
      <c r="L3836" s="1035" t="str">
        <f t="shared" si="1333"/>
        <v/>
      </c>
      <c r="S3836" s="498"/>
      <c r="AJ3836" s="498"/>
      <c r="AM3836" s="498">
        <f t="shared" si="1314"/>
        <v>0</v>
      </c>
      <c r="AN3836" s="498">
        <f t="shared" si="1315"/>
        <v>0</v>
      </c>
      <c r="AO3836" s="498">
        <f t="shared" si="1316"/>
        <v>0</v>
      </c>
      <c r="AP3836" s="498">
        <f t="shared" si="1335"/>
        <v>0</v>
      </c>
      <c r="AQ3836" s="498">
        <f t="shared" si="1330"/>
        <v>0</v>
      </c>
      <c r="AU3836" s="498">
        <f t="shared" si="1317"/>
        <v>0</v>
      </c>
      <c r="AV3836" s="498">
        <f t="shared" si="1318"/>
        <v>0</v>
      </c>
      <c r="AW3836" s="498">
        <f t="shared" si="1319"/>
        <v>0</v>
      </c>
      <c r="AX3836" s="498">
        <f t="shared" si="1320"/>
        <v>0</v>
      </c>
      <c r="AY3836" s="498">
        <f t="shared" si="1321"/>
        <v>0</v>
      </c>
      <c r="BB3836" s="498" t="str">
        <f t="shared" si="1322"/>
        <v/>
      </c>
      <c r="BC3836" s="743" t="str">
        <f t="shared" si="1323"/>
        <v/>
      </c>
      <c r="BD3836" s="743" t="str">
        <f t="shared" si="1324"/>
        <v/>
      </c>
      <c r="BE3836" s="743" t="str">
        <f>IF(D3836="","",VLOOKUP(D3836,'General Basis'!$J$39:$K$46,2,0))</f>
        <v/>
      </c>
      <c r="BF3836" s="744" t="str">
        <f>IF(D3836="","",VLOOKUP(D3836,'General Basis'!$J$39:$L$46,3,0))</f>
        <v/>
      </c>
      <c r="BG3836" s="744" t="str">
        <f t="shared" si="1331"/>
        <v/>
      </c>
      <c r="BH3836" s="744" t="str">
        <f>IF(G3836="","",IF(BF3836="Abu Dhabi",IF(G3836&lt;18,'General Basis'!$C$39,IF(G3836&lt;41,'General Basis'!$C$40,IF(G3836&lt;60,'General Basis'!$C$41,IF(G3836&lt;65,'General Basis'!$C$42,'General Basis'!$C$43)))),IF(G3836&lt;11,'General Basis'!$B$39,IF(G3836&lt;18,'General Basis'!$B$40,IF(G3836&lt;26,'General Basis'!$B$41,IF(G3836&lt;31,'General Basis'!$B$42,IF(G3836&lt;36,'General Basis'!$B$43,IF(G3836&lt;41,'General Basis'!$B$44,IF(G3836&lt;46,'General Basis'!$B$45,IF(G3836&lt;51,'General Basis'!$B$46,IF(G3836&lt;56,'General Basis'!$B$47,IF(G3836&lt;60,'General Basis'!$B$48,IF(G3836&lt;65,'General Basis'!$B$49,'General Basis'!$B$50)))))))))))))</f>
        <v/>
      </c>
      <c r="BI3836" s="744" t="str">
        <f t="shared" si="1325"/>
        <v/>
      </c>
      <c r="BJ3836" s="747" t="str">
        <f t="shared" si="1332"/>
        <v/>
      </c>
      <c r="BK3836" s="498" t="str">
        <f t="shared" si="1326"/>
        <v/>
      </c>
      <c r="BL3836" s="498" t="str">
        <f t="shared" si="1327"/>
        <v/>
      </c>
    </row>
    <row r="3837" spans="1:64" x14ac:dyDescent="0.25">
      <c r="A3837" s="762">
        <f t="shared" si="1328"/>
        <v>3832</v>
      </c>
      <c r="B3837" s="229"/>
      <c r="C3837" s="223"/>
      <c r="D3837" s="224"/>
      <c r="E3837" s="225"/>
      <c r="F3837" s="1036" t="str">
        <f t="shared" si="1334"/>
        <v/>
      </c>
      <c r="G3837" s="1037" t="str">
        <f t="shared" si="1329"/>
        <v/>
      </c>
      <c r="H3837" s="225"/>
      <c r="I3837" s="1013"/>
      <c r="J3837" s="1013"/>
      <c r="K3837" s="1028"/>
      <c r="L3837" s="1035" t="str">
        <f t="shared" si="1333"/>
        <v/>
      </c>
      <c r="S3837" s="498"/>
      <c r="AJ3837" s="498"/>
      <c r="AM3837" s="498">
        <f t="shared" si="1314"/>
        <v>0</v>
      </c>
      <c r="AN3837" s="498">
        <f t="shared" si="1315"/>
        <v>0</v>
      </c>
      <c r="AO3837" s="498">
        <f t="shared" si="1316"/>
        <v>0</v>
      </c>
      <c r="AP3837" s="498">
        <f t="shared" si="1335"/>
        <v>0</v>
      </c>
      <c r="AQ3837" s="498">
        <f t="shared" si="1330"/>
        <v>0</v>
      </c>
      <c r="AU3837" s="498">
        <f t="shared" si="1317"/>
        <v>0</v>
      </c>
      <c r="AV3837" s="498">
        <f t="shared" si="1318"/>
        <v>0</v>
      </c>
      <c r="AW3837" s="498">
        <f t="shared" si="1319"/>
        <v>0</v>
      </c>
      <c r="AX3837" s="498">
        <f t="shared" si="1320"/>
        <v>0</v>
      </c>
      <c r="AY3837" s="498">
        <f t="shared" si="1321"/>
        <v>0</v>
      </c>
      <c r="BB3837" s="498" t="str">
        <f t="shared" si="1322"/>
        <v/>
      </c>
      <c r="BC3837" s="743" t="str">
        <f t="shared" si="1323"/>
        <v/>
      </c>
      <c r="BD3837" s="743" t="str">
        <f t="shared" si="1324"/>
        <v/>
      </c>
      <c r="BE3837" s="743" t="str">
        <f>IF(D3837="","",VLOOKUP(D3837,'General Basis'!$J$39:$K$46,2,0))</f>
        <v/>
      </c>
      <c r="BF3837" s="744" t="str">
        <f>IF(D3837="","",VLOOKUP(D3837,'General Basis'!$J$39:$L$46,3,0))</f>
        <v/>
      </c>
      <c r="BG3837" s="744" t="str">
        <f t="shared" si="1331"/>
        <v/>
      </c>
      <c r="BH3837" s="744" t="str">
        <f>IF(G3837="","",IF(BF3837="Abu Dhabi",IF(G3837&lt;18,'General Basis'!$C$39,IF(G3837&lt;41,'General Basis'!$C$40,IF(G3837&lt;60,'General Basis'!$C$41,IF(G3837&lt;65,'General Basis'!$C$42,'General Basis'!$C$43)))),IF(G3837&lt;11,'General Basis'!$B$39,IF(G3837&lt;18,'General Basis'!$B$40,IF(G3837&lt;26,'General Basis'!$B$41,IF(G3837&lt;31,'General Basis'!$B$42,IF(G3837&lt;36,'General Basis'!$B$43,IF(G3837&lt;41,'General Basis'!$B$44,IF(G3837&lt;46,'General Basis'!$B$45,IF(G3837&lt;51,'General Basis'!$B$46,IF(G3837&lt;56,'General Basis'!$B$47,IF(G3837&lt;60,'General Basis'!$B$48,IF(G3837&lt;65,'General Basis'!$B$49,'General Basis'!$B$50)))))))))))))</f>
        <v/>
      </c>
      <c r="BI3837" s="744" t="str">
        <f t="shared" si="1325"/>
        <v/>
      </c>
      <c r="BJ3837" s="747" t="str">
        <f t="shared" si="1332"/>
        <v/>
      </c>
      <c r="BK3837" s="498" t="str">
        <f t="shared" si="1326"/>
        <v/>
      </c>
      <c r="BL3837" s="498" t="str">
        <f t="shared" si="1327"/>
        <v/>
      </c>
    </row>
    <row r="3838" spans="1:64" x14ac:dyDescent="0.25">
      <c r="A3838" s="762">
        <f t="shared" si="1328"/>
        <v>3833</v>
      </c>
      <c r="B3838" s="229"/>
      <c r="C3838" s="223"/>
      <c r="D3838" s="224"/>
      <c r="E3838" s="225"/>
      <c r="F3838" s="1036" t="str">
        <f t="shared" si="1334"/>
        <v/>
      </c>
      <c r="G3838" s="1037" t="str">
        <f t="shared" si="1329"/>
        <v/>
      </c>
      <c r="H3838" s="225"/>
      <c r="I3838" s="1013"/>
      <c r="J3838" s="1013"/>
      <c r="K3838" s="1028"/>
      <c r="L3838" s="1035" t="str">
        <f t="shared" si="1333"/>
        <v/>
      </c>
      <c r="S3838" s="498"/>
      <c r="AJ3838" s="498"/>
      <c r="AM3838" s="498">
        <f t="shared" si="1314"/>
        <v>0</v>
      </c>
      <c r="AN3838" s="498">
        <f t="shared" si="1315"/>
        <v>0</v>
      </c>
      <c r="AO3838" s="498">
        <f t="shared" si="1316"/>
        <v>0</v>
      </c>
      <c r="AP3838" s="498">
        <f t="shared" si="1335"/>
        <v>0</v>
      </c>
      <c r="AQ3838" s="498">
        <f t="shared" si="1330"/>
        <v>0</v>
      </c>
      <c r="AU3838" s="498">
        <f t="shared" si="1317"/>
        <v>0</v>
      </c>
      <c r="AV3838" s="498">
        <f t="shared" si="1318"/>
        <v>0</v>
      </c>
      <c r="AW3838" s="498">
        <f t="shared" si="1319"/>
        <v>0</v>
      </c>
      <c r="AX3838" s="498">
        <f t="shared" si="1320"/>
        <v>0</v>
      </c>
      <c r="AY3838" s="498">
        <f t="shared" si="1321"/>
        <v>0</v>
      </c>
      <c r="BB3838" s="498" t="str">
        <f t="shared" si="1322"/>
        <v/>
      </c>
      <c r="BC3838" s="743" t="str">
        <f t="shared" si="1323"/>
        <v/>
      </c>
      <c r="BD3838" s="743" t="str">
        <f t="shared" si="1324"/>
        <v/>
      </c>
      <c r="BE3838" s="743" t="str">
        <f>IF(D3838="","",VLOOKUP(D3838,'General Basis'!$J$39:$K$46,2,0))</f>
        <v/>
      </c>
      <c r="BF3838" s="744" t="str">
        <f>IF(D3838="","",VLOOKUP(D3838,'General Basis'!$J$39:$L$46,3,0))</f>
        <v/>
      </c>
      <c r="BG3838" s="744" t="str">
        <f t="shared" si="1331"/>
        <v/>
      </c>
      <c r="BH3838" s="744" t="str">
        <f>IF(G3838="","",IF(BF3838="Abu Dhabi",IF(G3838&lt;18,'General Basis'!$C$39,IF(G3838&lt;41,'General Basis'!$C$40,IF(G3838&lt;60,'General Basis'!$C$41,IF(G3838&lt;65,'General Basis'!$C$42,'General Basis'!$C$43)))),IF(G3838&lt;11,'General Basis'!$B$39,IF(G3838&lt;18,'General Basis'!$B$40,IF(G3838&lt;26,'General Basis'!$B$41,IF(G3838&lt;31,'General Basis'!$B$42,IF(G3838&lt;36,'General Basis'!$B$43,IF(G3838&lt;41,'General Basis'!$B$44,IF(G3838&lt;46,'General Basis'!$B$45,IF(G3838&lt;51,'General Basis'!$B$46,IF(G3838&lt;56,'General Basis'!$B$47,IF(G3838&lt;60,'General Basis'!$B$48,IF(G3838&lt;65,'General Basis'!$B$49,'General Basis'!$B$50)))))))))))))</f>
        <v/>
      </c>
      <c r="BI3838" s="744" t="str">
        <f t="shared" si="1325"/>
        <v/>
      </c>
      <c r="BJ3838" s="747" t="str">
        <f t="shared" si="1332"/>
        <v/>
      </c>
      <c r="BK3838" s="498" t="str">
        <f t="shared" si="1326"/>
        <v/>
      </c>
      <c r="BL3838" s="498" t="str">
        <f t="shared" si="1327"/>
        <v/>
      </c>
    </row>
    <row r="3839" spans="1:64" x14ac:dyDescent="0.25">
      <c r="A3839" s="762">
        <f t="shared" si="1328"/>
        <v>3834</v>
      </c>
      <c r="B3839" s="229"/>
      <c r="C3839" s="223"/>
      <c r="D3839" s="224"/>
      <c r="E3839" s="225"/>
      <c r="F3839" s="1036" t="str">
        <f t="shared" si="1334"/>
        <v/>
      </c>
      <c r="G3839" s="1037" t="str">
        <f t="shared" si="1329"/>
        <v/>
      </c>
      <c r="H3839" s="225"/>
      <c r="I3839" s="1013"/>
      <c r="J3839" s="1013"/>
      <c r="K3839" s="1028"/>
      <c r="L3839" s="1035" t="str">
        <f t="shared" si="1333"/>
        <v/>
      </c>
      <c r="S3839" s="498"/>
      <c r="AJ3839" s="498"/>
      <c r="AM3839" s="498">
        <f t="shared" si="1314"/>
        <v>0</v>
      </c>
      <c r="AN3839" s="498">
        <f t="shared" si="1315"/>
        <v>0</v>
      </c>
      <c r="AO3839" s="498">
        <f t="shared" si="1316"/>
        <v>0</v>
      </c>
      <c r="AP3839" s="498">
        <f t="shared" si="1335"/>
        <v>0</v>
      </c>
      <c r="AQ3839" s="498">
        <f t="shared" si="1330"/>
        <v>0</v>
      </c>
      <c r="AU3839" s="498">
        <f t="shared" si="1317"/>
        <v>0</v>
      </c>
      <c r="AV3839" s="498">
        <f t="shared" si="1318"/>
        <v>0</v>
      </c>
      <c r="AW3839" s="498">
        <f t="shared" si="1319"/>
        <v>0</v>
      </c>
      <c r="AX3839" s="498">
        <f t="shared" si="1320"/>
        <v>0</v>
      </c>
      <c r="AY3839" s="498">
        <f t="shared" si="1321"/>
        <v>0</v>
      </c>
      <c r="BB3839" s="498" t="str">
        <f t="shared" si="1322"/>
        <v/>
      </c>
      <c r="BC3839" s="743" t="str">
        <f t="shared" si="1323"/>
        <v/>
      </c>
      <c r="BD3839" s="743" t="str">
        <f t="shared" si="1324"/>
        <v/>
      </c>
      <c r="BE3839" s="743" t="str">
        <f>IF(D3839="","",VLOOKUP(D3839,'General Basis'!$J$39:$K$46,2,0))</f>
        <v/>
      </c>
      <c r="BF3839" s="744" t="str">
        <f>IF(D3839="","",VLOOKUP(D3839,'General Basis'!$J$39:$L$46,3,0))</f>
        <v/>
      </c>
      <c r="BG3839" s="744" t="str">
        <f t="shared" si="1331"/>
        <v/>
      </c>
      <c r="BH3839" s="744" t="str">
        <f>IF(G3839="","",IF(BF3839="Abu Dhabi",IF(G3839&lt;18,'General Basis'!$C$39,IF(G3839&lt;41,'General Basis'!$C$40,IF(G3839&lt;60,'General Basis'!$C$41,IF(G3839&lt;65,'General Basis'!$C$42,'General Basis'!$C$43)))),IF(G3839&lt;11,'General Basis'!$B$39,IF(G3839&lt;18,'General Basis'!$B$40,IF(G3839&lt;26,'General Basis'!$B$41,IF(G3839&lt;31,'General Basis'!$B$42,IF(G3839&lt;36,'General Basis'!$B$43,IF(G3839&lt;41,'General Basis'!$B$44,IF(G3839&lt;46,'General Basis'!$B$45,IF(G3839&lt;51,'General Basis'!$B$46,IF(G3839&lt;56,'General Basis'!$B$47,IF(G3839&lt;60,'General Basis'!$B$48,IF(G3839&lt;65,'General Basis'!$B$49,'General Basis'!$B$50)))))))))))))</f>
        <v/>
      </c>
      <c r="BI3839" s="744" t="str">
        <f t="shared" si="1325"/>
        <v/>
      </c>
      <c r="BJ3839" s="747" t="str">
        <f t="shared" si="1332"/>
        <v/>
      </c>
      <c r="BK3839" s="498" t="str">
        <f t="shared" si="1326"/>
        <v/>
      </c>
      <c r="BL3839" s="498" t="str">
        <f t="shared" si="1327"/>
        <v/>
      </c>
    </row>
    <row r="3840" spans="1:64" x14ac:dyDescent="0.25">
      <c r="A3840" s="762">
        <f t="shared" si="1328"/>
        <v>3835</v>
      </c>
      <c r="B3840" s="229"/>
      <c r="C3840" s="223"/>
      <c r="D3840" s="224"/>
      <c r="E3840" s="225"/>
      <c r="F3840" s="1036" t="str">
        <f t="shared" si="1334"/>
        <v/>
      </c>
      <c r="G3840" s="1037" t="str">
        <f t="shared" si="1329"/>
        <v/>
      </c>
      <c r="H3840" s="225"/>
      <c r="I3840" s="1013"/>
      <c r="J3840" s="1013"/>
      <c r="K3840" s="1028"/>
      <c r="L3840" s="1035" t="str">
        <f t="shared" si="1333"/>
        <v/>
      </c>
      <c r="S3840" s="498"/>
      <c r="AJ3840" s="498"/>
      <c r="AM3840" s="498">
        <f t="shared" si="1314"/>
        <v>0</v>
      </c>
      <c r="AN3840" s="498">
        <f t="shared" si="1315"/>
        <v>0</v>
      </c>
      <c r="AO3840" s="498">
        <f t="shared" si="1316"/>
        <v>0</v>
      </c>
      <c r="AP3840" s="498">
        <f t="shared" si="1335"/>
        <v>0</v>
      </c>
      <c r="AQ3840" s="498">
        <f t="shared" si="1330"/>
        <v>0</v>
      </c>
      <c r="AU3840" s="498">
        <f t="shared" si="1317"/>
        <v>0</v>
      </c>
      <c r="AV3840" s="498">
        <f t="shared" si="1318"/>
        <v>0</v>
      </c>
      <c r="AW3840" s="498">
        <f t="shared" si="1319"/>
        <v>0</v>
      </c>
      <c r="AX3840" s="498">
        <f t="shared" si="1320"/>
        <v>0</v>
      </c>
      <c r="AY3840" s="498">
        <f t="shared" si="1321"/>
        <v>0</v>
      </c>
      <c r="BB3840" s="498" t="str">
        <f t="shared" si="1322"/>
        <v/>
      </c>
      <c r="BC3840" s="743" t="str">
        <f t="shared" si="1323"/>
        <v/>
      </c>
      <c r="BD3840" s="743" t="str">
        <f t="shared" si="1324"/>
        <v/>
      </c>
      <c r="BE3840" s="743" t="str">
        <f>IF(D3840="","",VLOOKUP(D3840,'General Basis'!$J$39:$K$46,2,0))</f>
        <v/>
      </c>
      <c r="BF3840" s="744" t="str">
        <f>IF(D3840="","",VLOOKUP(D3840,'General Basis'!$J$39:$L$46,3,0))</f>
        <v/>
      </c>
      <c r="BG3840" s="744" t="str">
        <f t="shared" si="1331"/>
        <v/>
      </c>
      <c r="BH3840" s="744" t="str">
        <f>IF(G3840="","",IF(BF3840="Abu Dhabi",IF(G3840&lt;18,'General Basis'!$C$39,IF(G3840&lt;41,'General Basis'!$C$40,IF(G3840&lt;60,'General Basis'!$C$41,IF(G3840&lt;65,'General Basis'!$C$42,'General Basis'!$C$43)))),IF(G3840&lt;11,'General Basis'!$B$39,IF(G3840&lt;18,'General Basis'!$B$40,IF(G3840&lt;26,'General Basis'!$B$41,IF(G3840&lt;31,'General Basis'!$B$42,IF(G3840&lt;36,'General Basis'!$B$43,IF(G3840&lt;41,'General Basis'!$B$44,IF(G3840&lt;46,'General Basis'!$B$45,IF(G3840&lt;51,'General Basis'!$B$46,IF(G3840&lt;56,'General Basis'!$B$47,IF(G3840&lt;60,'General Basis'!$B$48,IF(G3840&lt;65,'General Basis'!$B$49,'General Basis'!$B$50)))))))))))))</f>
        <v/>
      </c>
      <c r="BI3840" s="744" t="str">
        <f t="shared" si="1325"/>
        <v/>
      </c>
      <c r="BJ3840" s="747" t="str">
        <f t="shared" si="1332"/>
        <v/>
      </c>
      <c r="BK3840" s="498" t="str">
        <f t="shared" si="1326"/>
        <v/>
      </c>
      <c r="BL3840" s="498" t="str">
        <f t="shared" si="1327"/>
        <v/>
      </c>
    </row>
    <row r="3841" spans="1:64" x14ac:dyDescent="0.25">
      <c r="A3841" s="762">
        <f t="shared" si="1328"/>
        <v>3836</v>
      </c>
      <c r="B3841" s="229"/>
      <c r="C3841" s="223"/>
      <c r="D3841" s="224"/>
      <c r="E3841" s="225"/>
      <c r="F3841" s="1036" t="str">
        <f t="shared" si="1334"/>
        <v/>
      </c>
      <c r="G3841" s="1037" t="str">
        <f t="shared" si="1329"/>
        <v/>
      </c>
      <c r="H3841" s="225"/>
      <c r="I3841" s="1013"/>
      <c r="J3841" s="1013"/>
      <c r="K3841" s="1028"/>
      <c r="L3841" s="1035" t="str">
        <f t="shared" si="1333"/>
        <v/>
      </c>
      <c r="S3841" s="498"/>
      <c r="AJ3841" s="498"/>
      <c r="AM3841" s="498">
        <f t="shared" si="1314"/>
        <v>0</v>
      </c>
      <c r="AN3841" s="498">
        <f t="shared" si="1315"/>
        <v>0</v>
      </c>
      <c r="AO3841" s="498">
        <f t="shared" si="1316"/>
        <v>0</v>
      </c>
      <c r="AP3841" s="498">
        <f t="shared" si="1335"/>
        <v>0</v>
      </c>
      <c r="AQ3841" s="498">
        <f t="shared" si="1330"/>
        <v>0</v>
      </c>
      <c r="AU3841" s="498">
        <f t="shared" si="1317"/>
        <v>0</v>
      </c>
      <c r="AV3841" s="498">
        <f t="shared" si="1318"/>
        <v>0</v>
      </c>
      <c r="AW3841" s="498">
        <f t="shared" si="1319"/>
        <v>0</v>
      </c>
      <c r="AX3841" s="498">
        <f t="shared" si="1320"/>
        <v>0</v>
      </c>
      <c r="AY3841" s="498">
        <f t="shared" si="1321"/>
        <v>0</v>
      </c>
      <c r="BB3841" s="498" t="str">
        <f t="shared" si="1322"/>
        <v/>
      </c>
      <c r="BC3841" s="743" t="str">
        <f t="shared" si="1323"/>
        <v/>
      </c>
      <c r="BD3841" s="743" t="str">
        <f t="shared" si="1324"/>
        <v/>
      </c>
      <c r="BE3841" s="743" t="str">
        <f>IF(D3841="","",VLOOKUP(D3841,'General Basis'!$J$39:$K$46,2,0))</f>
        <v/>
      </c>
      <c r="BF3841" s="744" t="str">
        <f>IF(D3841="","",VLOOKUP(D3841,'General Basis'!$J$39:$L$46,3,0))</f>
        <v/>
      </c>
      <c r="BG3841" s="744" t="str">
        <f t="shared" si="1331"/>
        <v/>
      </c>
      <c r="BH3841" s="744" t="str">
        <f>IF(G3841="","",IF(BF3841="Abu Dhabi",IF(G3841&lt;18,'General Basis'!$C$39,IF(G3841&lt;41,'General Basis'!$C$40,IF(G3841&lt;60,'General Basis'!$C$41,IF(G3841&lt;65,'General Basis'!$C$42,'General Basis'!$C$43)))),IF(G3841&lt;11,'General Basis'!$B$39,IF(G3841&lt;18,'General Basis'!$B$40,IF(G3841&lt;26,'General Basis'!$B$41,IF(G3841&lt;31,'General Basis'!$B$42,IF(G3841&lt;36,'General Basis'!$B$43,IF(G3841&lt;41,'General Basis'!$B$44,IF(G3841&lt;46,'General Basis'!$B$45,IF(G3841&lt;51,'General Basis'!$B$46,IF(G3841&lt;56,'General Basis'!$B$47,IF(G3841&lt;60,'General Basis'!$B$48,IF(G3841&lt;65,'General Basis'!$B$49,'General Basis'!$B$50)))))))))))))</f>
        <v/>
      </c>
      <c r="BI3841" s="744" t="str">
        <f t="shared" si="1325"/>
        <v/>
      </c>
      <c r="BJ3841" s="747" t="str">
        <f t="shared" si="1332"/>
        <v/>
      </c>
      <c r="BK3841" s="498" t="str">
        <f t="shared" si="1326"/>
        <v/>
      </c>
      <c r="BL3841" s="498" t="str">
        <f t="shared" si="1327"/>
        <v/>
      </c>
    </row>
    <row r="3842" spans="1:64" x14ac:dyDescent="0.25">
      <c r="A3842" s="762">
        <f t="shared" si="1328"/>
        <v>3837</v>
      </c>
      <c r="B3842" s="229"/>
      <c r="C3842" s="223"/>
      <c r="D3842" s="224"/>
      <c r="E3842" s="225"/>
      <c r="F3842" s="1036" t="str">
        <f t="shared" si="1334"/>
        <v/>
      </c>
      <c r="G3842" s="1037" t="str">
        <f t="shared" si="1329"/>
        <v/>
      </c>
      <c r="H3842" s="225"/>
      <c r="I3842" s="1013"/>
      <c r="J3842" s="1013"/>
      <c r="K3842" s="1028"/>
      <c r="L3842" s="1035" t="str">
        <f t="shared" si="1333"/>
        <v/>
      </c>
      <c r="S3842" s="498"/>
      <c r="AJ3842" s="498"/>
      <c r="AM3842" s="498">
        <f t="shared" si="1314"/>
        <v>0</v>
      </c>
      <c r="AN3842" s="498">
        <f t="shared" si="1315"/>
        <v>0</v>
      </c>
      <c r="AO3842" s="498">
        <f t="shared" si="1316"/>
        <v>0</v>
      </c>
      <c r="AP3842" s="498">
        <f t="shared" si="1335"/>
        <v>0</v>
      </c>
      <c r="AQ3842" s="498">
        <f t="shared" si="1330"/>
        <v>0</v>
      </c>
      <c r="AU3842" s="498">
        <f t="shared" si="1317"/>
        <v>0</v>
      </c>
      <c r="AV3842" s="498">
        <f t="shared" si="1318"/>
        <v>0</v>
      </c>
      <c r="AW3842" s="498">
        <f t="shared" si="1319"/>
        <v>0</v>
      </c>
      <c r="AX3842" s="498">
        <f t="shared" si="1320"/>
        <v>0</v>
      </c>
      <c r="AY3842" s="498">
        <f t="shared" si="1321"/>
        <v>0</v>
      </c>
      <c r="BB3842" s="498" t="str">
        <f t="shared" si="1322"/>
        <v/>
      </c>
      <c r="BC3842" s="743" t="str">
        <f t="shared" si="1323"/>
        <v/>
      </c>
      <c r="BD3842" s="743" t="str">
        <f t="shared" si="1324"/>
        <v/>
      </c>
      <c r="BE3842" s="743" t="str">
        <f>IF(D3842="","",VLOOKUP(D3842,'General Basis'!$J$39:$K$46,2,0))</f>
        <v/>
      </c>
      <c r="BF3842" s="744" t="str">
        <f>IF(D3842="","",VLOOKUP(D3842,'General Basis'!$J$39:$L$46,3,0))</f>
        <v/>
      </c>
      <c r="BG3842" s="744" t="str">
        <f t="shared" si="1331"/>
        <v/>
      </c>
      <c r="BH3842" s="744" t="str">
        <f>IF(G3842="","",IF(BF3842="Abu Dhabi",IF(G3842&lt;18,'General Basis'!$C$39,IF(G3842&lt;41,'General Basis'!$C$40,IF(G3842&lt;60,'General Basis'!$C$41,IF(G3842&lt;65,'General Basis'!$C$42,'General Basis'!$C$43)))),IF(G3842&lt;11,'General Basis'!$B$39,IF(G3842&lt;18,'General Basis'!$B$40,IF(G3842&lt;26,'General Basis'!$B$41,IF(G3842&lt;31,'General Basis'!$B$42,IF(G3842&lt;36,'General Basis'!$B$43,IF(G3842&lt;41,'General Basis'!$B$44,IF(G3842&lt;46,'General Basis'!$B$45,IF(G3842&lt;51,'General Basis'!$B$46,IF(G3842&lt;56,'General Basis'!$B$47,IF(G3842&lt;60,'General Basis'!$B$48,IF(G3842&lt;65,'General Basis'!$B$49,'General Basis'!$B$50)))))))))))))</f>
        <v/>
      </c>
      <c r="BI3842" s="744" t="str">
        <f t="shared" si="1325"/>
        <v/>
      </c>
      <c r="BJ3842" s="747" t="str">
        <f t="shared" si="1332"/>
        <v/>
      </c>
      <c r="BK3842" s="498" t="str">
        <f t="shared" si="1326"/>
        <v/>
      </c>
      <c r="BL3842" s="498" t="str">
        <f t="shared" si="1327"/>
        <v/>
      </c>
    </row>
    <row r="3843" spans="1:64" x14ac:dyDescent="0.25">
      <c r="A3843" s="762">
        <f t="shared" si="1328"/>
        <v>3838</v>
      </c>
      <c r="B3843" s="229"/>
      <c r="C3843" s="223"/>
      <c r="D3843" s="224"/>
      <c r="E3843" s="225"/>
      <c r="F3843" s="1036" t="str">
        <f t="shared" si="1334"/>
        <v/>
      </c>
      <c r="G3843" s="1037" t="str">
        <f t="shared" si="1329"/>
        <v/>
      </c>
      <c r="H3843" s="225"/>
      <c r="I3843" s="1013"/>
      <c r="J3843" s="1013"/>
      <c r="K3843" s="1028"/>
      <c r="L3843" s="1035" t="str">
        <f t="shared" si="1333"/>
        <v/>
      </c>
      <c r="S3843" s="498"/>
      <c r="AJ3843" s="498"/>
      <c r="AM3843" s="498">
        <f t="shared" si="1314"/>
        <v>0</v>
      </c>
      <c r="AN3843" s="498">
        <f t="shared" si="1315"/>
        <v>0</v>
      </c>
      <c r="AO3843" s="498">
        <f t="shared" si="1316"/>
        <v>0</v>
      </c>
      <c r="AP3843" s="498">
        <f t="shared" si="1335"/>
        <v>0</v>
      </c>
      <c r="AQ3843" s="498">
        <f t="shared" si="1330"/>
        <v>0</v>
      </c>
      <c r="AU3843" s="498">
        <f t="shared" si="1317"/>
        <v>0</v>
      </c>
      <c r="AV3843" s="498">
        <f t="shared" si="1318"/>
        <v>0</v>
      </c>
      <c r="AW3843" s="498">
        <f t="shared" si="1319"/>
        <v>0</v>
      </c>
      <c r="AX3843" s="498">
        <f t="shared" si="1320"/>
        <v>0</v>
      </c>
      <c r="AY3843" s="498">
        <f t="shared" si="1321"/>
        <v>0</v>
      </c>
      <c r="BB3843" s="498" t="str">
        <f t="shared" si="1322"/>
        <v/>
      </c>
      <c r="BC3843" s="743" t="str">
        <f t="shared" si="1323"/>
        <v/>
      </c>
      <c r="BD3843" s="743" t="str">
        <f t="shared" si="1324"/>
        <v/>
      </c>
      <c r="BE3843" s="743" t="str">
        <f>IF(D3843="","",VLOOKUP(D3843,'General Basis'!$J$39:$K$46,2,0))</f>
        <v/>
      </c>
      <c r="BF3843" s="744" t="str">
        <f>IF(D3843="","",VLOOKUP(D3843,'General Basis'!$J$39:$L$46,3,0))</f>
        <v/>
      </c>
      <c r="BG3843" s="744" t="str">
        <f t="shared" si="1331"/>
        <v/>
      </c>
      <c r="BH3843" s="744" t="str">
        <f>IF(G3843="","",IF(BF3843="Abu Dhabi",IF(G3843&lt;18,'General Basis'!$C$39,IF(G3843&lt;41,'General Basis'!$C$40,IF(G3843&lt;60,'General Basis'!$C$41,IF(G3843&lt;65,'General Basis'!$C$42,'General Basis'!$C$43)))),IF(G3843&lt;11,'General Basis'!$B$39,IF(G3843&lt;18,'General Basis'!$B$40,IF(G3843&lt;26,'General Basis'!$B$41,IF(G3843&lt;31,'General Basis'!$B$42,IF(G3843&lt;36,'General Basis'!$B$43,IF(G3843&lt;41,'General Basis'!$B$44,IF(G3843&lt;46,'General Basis'!$B$45,IF(G3843&lt;51,'General Basis'!$B$46,IF(G3843&lt;56,'General Basis'!$B$47,IF(G3843&lt;60,'General Basis'!$B$48,IF(G3843&lt;65,'General Basis'!$B$49,'General Basis'!$B$50)))))))))))))</f>
        <v/>
      </c>
      <c r="BI3843" s="744" t="str">
        <f t="shared" si="1325"/>
        <v/>
      </c>
      <c r="BJ3843" s="747" t="str">
        <f t="shared" si="1332"/>
        <v/>
      </c>
      <c r="BK3843" s="498" t="str">
        <f t="shared" si="1326"/>
        <v/>
      </c>
      <c r="BL3843" s="498" t="str">
        <f t="shared" si="1327"/>
        <v/>
      </c>
    </row>
    <row r="3844" spans="1:64" x14ac:dyDescent="0.25">
      <c r="A3844" s="762">
        <f t="shared" si="1328"/>
        <v>3839</v>
      </c>
      <c r="B3844" s="229"/>
      <c r="C3844" s="223"/>
      <c r="D3844" s="224"/>
      <c r="E3844" s="225"/>
      <c r="F3844" s="1036" t="str">
        <f t="shared" si="1334"/>
        <v/>
      </c>
      <c r="G3844" s="1037" t="str">
        <f t="shared" si="1329"/>
        <v/>
      </c>
      <c r="H3844" s="225"/>
      <c r="I3844" s="1013"/>
      <c r="J3844" s="1013"/>
      <c r="K3844" s="1028"/>
      <c r="L3844" s="1035" t="str">
        <f t="shared" si="1333"/>
        <v/>
      </c>
      <c r="S3844" s="498"/>
      <c r="AJ3844" s="498"/>
      <c r="AM3844" s="498">
        <f t="shared" si="1314"/>
        <v>0</v>
      </c>
      <c r="AN3844" s="498">
        <f t="shared" si="1315"/>
        <v>0</v>
      </c>
      <c r="AO3844" s="498">
        <f t="shared" si="1316"/>
        <v>0</v>
      </c>
      <c r="AP3844" s="498">
        <f t="shared" si="1335"/>
        <v>0</v>
      </c>
      <c r="AQ3844" s="498">
        <f t="shared" si="1330"/>
        <v>0</v>
      </c>
      <c r="AU3844" s="498">
        <f t="shared" si="1317"/>
        <v>0</v>
      </c>
      <c r="AV3844" s="498">
        <f t="shared" si="1318"/>
        <v>0</v>
      </c>
      <c r="AW3844" s="498">
        <f t="shared" si="1319"/>
        <v>0</v>
      </c>
      <c r="AX3844" s="498">
        <f t="shared" si="1320"/>
        <v>0</v>
      </c>
      <c r="AY3844" s="498">
        <f t="shared" si="1321"/>
        <v>0</v>
      </c>
      <c r="BB3844" s="498" t="str">
        <f t="shared" si="1322"/>
        <v/>
      </c>
      <c r="BC3844" s="743" t="str">
        <f t="shared" si="1323"/>
        <v/>
      </c>
      <c r="BD3844" s="743" t="str">
        <f t="shared" si="1324"/>
        <v/>
      </c>
      <c r="BE3844" s="743" t="str">
        <f>IF(D3844="","",VLOOKUP(D3844,'General Basis'!$J$39:$K$46,2,0))</f>
        <v/>
      </c>
      <c r="BF3844" s="744" t="str">
        <f>IF(D3844="","",VLOOKUP(D3844,'General Basis'!$J$39:$L$46,3,0))</f>
        <v/>
      </c>
      <c r="BG3844" s="744" t="str">
        <f t="shared" si="1331"/>
        <v/>
      </c>
      <c r="BH3844" s="744" t="str">
        <f>IF(G3844="","",IF(BF3844="Abu Dhabi",IF(G3844&lt;18,'General Basis'!$C$39,IF(G3844&lt;41,'General Basis'!$C$40,IF(G3844&lt;60,'General Basis'!$C$41,IF(G3844&lt;65,'General Basis'!$C$42,'General Basis'!$C$43)))),IF(G3844&lt;11,'General Basis'!$B$39,IF(G3844&lt;18,'General Basis'!$B$40,IF(G3844&lt;26,'General Basis'!$B$41,IF(G3844&lt;31,'General Basis'!$B$42,IF(G3844&lt;36,'General Basis'!$B$43,IF(G3844&lt;41,'General Basis'!$B$44,IF(G3844&lt;46,'General Basis'!$B$45,IF(G3844&lt;51,'General Basis'!$B$46,IF(G3844&lt;56,'General Basis'!$B$47,IF(G3844&lt;60,'General Basis'!$B$48,IF(G3844&lt;65,'General Basis'!$B$49,'General Basis'!$B$50)))))))))))))</f>
        <v/>
      </c>
      <c r="BI3844" s="744" t="str">
        <f t="shared" si="1325"/>
        <v/>
      </c>
      <c r="BJ3844" s="747" t="str">
        <f t="shared" si="1332"/>
        <v/>
      </c>
      <c r="BK3844" s="498" t="str">
        <f t="shared" si="1326"/>
        <v/>
      </c>
      <c r="BL3844" s="498" t="str">
        <f t="shared" si="1327"/>
        <v/>
      </c>
    </row>
    <row r="3845" spans="1:64" x14ac:dyDescent="0.25">
      <c r="A3845" s="762">
        <f t="shared" si="1328"/>
        <v>3840</v>
      </c>
      <c r="B3845" s="229"/>
      <c r="C3845" s="223"/>
      <c r="D3845" s="224"/>
      <c r="E3845" s="225"/>
      <c r="F3845" s="1036" t="str">
        <f t="shared" si="1334"/>
        <v/>
      </c>
      <c r="G3845" s="1037" t="str">
        <f t="shared" si="1329"/>
        <v/>
      </c>
      <c r="H3845" s="225"/>
      <c r="I3845" s="1013"/>
      <c r="J3845" s="1013"/>
      <c r="K3845" s="1028"/>
      <c r="L3845" s="1035" t="str">
        <f t="shared" si="1333"/>
        <v/>
      </c>
      <c r="S3845" s="498"/>
      <c r="AJ3845" s="498"/>
      <c r="AM3845" s="498">
        <f t="shared" si="1314"/>
        <v>0</v>
      </c>
      <c r="AN3845" s="498">
        <f t="shared" si="1315"/>
        <v>0</v>
      </c>
      <c r="AO3845" s="498">
        <f t="shared" si="1316"/>
        <v>0</v>
      </c>
      <c r="AP3845" s="498">
        <f t="shared" si="1335"/>
        <v>0</v>
      </c>
      <c r="AQ3845" s="498">
        <f t="shared" si="1330"/>
        <v>0</v>
      </c>
      <c r="AU3845" s="498">
        <f t="shared" si="1317"/>
        <v>0</v>
      </c>
      <c r="AV3845" s="498">
        <f t="shared" si="1318"/>
        <v>0</v>
      </c>
      <c r="AW3845" s="498">
        <f t="shared" si="1319"/>
        <v>0</v>
      </c>
      <c r="AX3845" s="498">
        <f t="shared" si="1320"/>
        <v>0</v>
      </c>
      <c r="AY3845" s="498">
        <f t="shared" si="1321"/>
        <v>0</v>
      </c>
      <c r="BB3845" s="498" t="str">
        <f t="shared" si="1322"/>
        <v/>
      </c>
      <c r="BC3845" s="743" t="str">
        <f t="shared" si="1323"/>
        <v/>
      </c>
      <c r="BD3845" s="743" t="str">
        <f t="shared" si="1324"/>
        <v/>
      </c>
      <c r="BE3845" s="743" t="str">
        <f>IF(D3845="","",VLOOKUP(D3845,'General Basis'!$J$39:$K$46,2,0))</f>
        <v/>
      </c>
      <c r="BF3845" s="744" t="str">
        <f>IF(D3845="","",VLOOKUP(D3845,'General Basis'!$J$39:$L$46,3,0))</f>
        <v/>
      </c>
      <c r="BG3845" s="744" t="str">
        <f t="shared" si="1331"/>
        <v/>
      </c>
      <c r="BH3845" s="744" t="str">
        <f>IF(G3845="","",IF(BF3845="Abu Dhabi",IF(G3845&lt;18,'General Basis'!$C$39,IF(G3845&lt;41,'General Basis'!$C$40,IF(G3845&lt;60,'General Basis'!$C$41,IF(G3845&lt;65,'General Basis'!$C$42,'General Basis'!$C$43)))),IF(G3845&lt;11,'General Basis'!$B$39,IF(G3845&lt;18,'General Basis'!$B$40,IF(G3845&lt;26,'General Basis'!$B$41,IF(G3845&lt;31,'General Basis'!$B$42,IF(G3845&lt;36,'General Basis'!$B$43,IF(G3845&lt;41,'General Basis'!$B$44,IF(G3845&lt;46,'General Basis'!$B$45,IF(G3845&lt;51,'General Basis'!$B$46,IF(G3845&lt;56,'General Basis'!$B$47,IF(G3845&lt;60,'General Basis'!$B$48,IF(G3845&lt;65,'General Basis'!$B$49,'General Basis'!$B$50)))))))))))))</f>
        <v/>
      </c>
      <c r="BI3845" s="744" t="str">
        <f t="shared" si="1325"/>
        <v/>
      </c>
      <c r="BJ3845" s="747" t="str">
        <f t="shared" si="1332"/>
        <v/>
      </c>
      <c r="BK3845" s="498" t="str">
        <f t="shared" si="1326"/>
        <v/>
      </c>
      <c r="BL3845" s="498" t="str">
        <f t="shared" si="1327"/>
        <v/>
      </c>
    </row>
    <row r="3846" spans="1:64" x14ac:dyDescent="0.25">
      <c r="A3846" s="762">
        <f t="shared" si="1328"/>
        <v>3841</v>
      </c>
      <c r="B3846" s="229"/>
      <c r="C3846" s="223"/>
      <c r="D3846" s="224"/>
      <c r="E3846" s="225"/>
      <c r="F3846" s="1036" t="str">
        <f t="shared" si="1334"/>
        <v/>
      </c>
      <c r="G3846" s="1037" t="str">
        <f t="shared" si="1329"/>
        <v/>
      </c>
      <c r="H3846" s="225"/>
      <c r="I3846" s="1013"/>
      <c r="J3846" s="1013"/>
      <c r="K3846" s="1028"/>
      <c r="L3846" s="1035" t="str">
        <f t="shared" si="1333"/>
        <v/>
      </c>
      <c r="S3846" s="498"/>
      <c r="AJ3846" s="498"/>
      <c r="AM3846" s="498">
        <f t="shared" ref="AM3846:AM3909" si="1336">IF(ISTEXT(B3846),1,0)</f>
        <v>0</v>
      </c>
      <c r="AN3846" s="498">
        <f t="shared" ref="AN3846:AN3909" si="1337">IF(ISBLANK(B3846),0,IF(B3846&lt;$AK$6,1,0))</f>
        <v>0</v>
      </c>
      <c r="AO3846" s="498">
        <f t="shared" ref="AO3846:AO3909" si="1338">IF(ISBLANK(B3846),0,IF(B3846&gt;$AK$7,1,0))</f>
        <v>0</v>
      </c>
      <c r="AP3846" s="498">
        <f t="shared" si="1335"/>
        <v>0</v>
      </c>
      <c r="AQ3846" s="498">
        <f t="shared" si="1330"/>
        <v>0</v>
      </c>
      <c r="AU3846" s="498">
        <f t="shared" ref="AU3846:AU3909" si="1339">IF(ISBLANK(B3846),0,1)</f>
        <v>0</v>
      </c>
      <c r="AV3846" s="498">
        <f t="shared" ref="AV3846:AV3909" si="1340">IF(ISBLANK(C3846),0,1)</f>
        <v>0</v>
      </c>
      <c r="AW3846" s="498">
        <f t="shared" ref="AW3846:AW3909" si="1341">IF(ISBLANK(D3846),0,1)</f>
        <v>0</v>
      </c>
      <c r="AX3846" s="498">
        <f t="shared" ref="AX3846:AX3909" si="1342">IF(ISBLANK(E3846),0,1)</f>
        <v>0</v>
      </c>
      <c r="AY3846" s="498">
        <f t="shared" ref="AY3846:AY3909" si="1343">IF(ISBLANK(H3846),0,1)</f>
        <v>0</v>
      </c>
      <c r="BB3846" s="498" t="str">
        <f t="shared" ref="BB3846:BB3909" si="1344">IF(E3846="Principal","Principal",IF(E3846="","","Other"))</f>
        <v/>
      </c>
      <c r="BC3846" s="743" t="str">
        <f t="shared" ref="BC3846:BC3909" si="1345">IF(D3846="","",D3846)</f>
        <v/>
      </c>
      <c r="BD3846" s="743" t="str">
        <f t="shared" ref="BD3846:BD3909" si="1346">IF(E3846="Principal","Employee",IF(E3846="","","Dependent"))</f>
        <v/>
      </c>
      <c r="BE3846" s="743" t="str">
        <f>IF(D3846="","",VLOOKUP(D3846,'General Basis'!$J$39:$K$46,2,0))</f>
        <v/>
      </c>
      <c r="BF3846" s="744" t="str">
        <f>IF(D3846="","",VLOOKUP(D3846,'General Basis'!$J$39:$L$46,3,0))</f>
        <v/>
      </c>
      <c r="BG3846" s="744" t="str">
        <f t="shared" si="1331"/>
        <v/>
      </c>
      <c r="BH3846" s="744" t="str">
        <f>IF(G3846="","",IF(BF3846="Abu Dhabi",IF(G3846&lt;18,'General Basis'!$C$39,IF(G3846&lt;41,'General Basis'!$C$40,IF(G3846&lt;60,'General Basis'!$C$41,IF(G3846&lt;65,'General Basis'!$C$42,'General Basis'!$C$43)))),IF(G3846&lt;11,'General Basis'!$B$39,IF(G3846&lt;18,'General Basis'!$B$40,IF(G3846&lt;26,'General Basis'!$B$41,IF(G3846&lt;31,'General Basis'!$B$42,IF(G3846&lt;36,'General Basis'!$B$43,IF(G3846&lt;41,'General Basis'!$B$44,IF(G3846&lt;46,'General Basis'!$B$45,IF(G3846&lt;51,'General Basis'!$B$46,IF(G3846&lt;56,'General Basis'!$B$47,IF(G3846&lt;60,'General Basis'!$B$48,IF(G3846&lt;65,'General Basis'!$B$49,'General Basis'!$B$50)))))))))))))</f>
        <v/>
      </c>
      <c r="BI3846" s="744" t="str">
        <f t="shared" ref="BI3846:BI3909" si="1347">IF(C3846="","",IF(C3846="M","Male","Female"))</f>
        <v/>
      </c>
      <c r="BJ3846" s="747" t="str">
        <f t="shared" si="1332"/>
        <v/>
      </c>
      <c r="BK3846" s="498" t="str">
        <f t="shared" ref="BK3846:BK3909" si="1348">IF(BD3846="","",IF(AND(BD3846="Employee",BI3846="Male",BF3846="Abu Dhabi",BE3846=GN_Plus),VLOOKUP(BH3846,AUH_MALE_EMP,2,0),IF(AND(BD3846="Employee",BI3846="Male",BF3846="Abu Dhabi",BE3846=GN),VLOOKUP(BH3846,AUH_MALE_EMP,3,0),IF(AND(BD3846="Employee",BI3846="Male",BF3846="Abu Dhabi",BE3846=RN_Plus),VLOOKUP(BH3846,AUH_MALE_EMP,4,0),IF(AND(BD3846="Employee",BI3846="Male",BF3846="Abu Dhabi",BE3846=RN),VLOOKUP(BH3846,AUH_MALE_EMP,5,0),IF(AND(BD3846="Employee",BI3846="Male",BF3846="Abu Dhabi",BE3846=RN_2),VLOOKUP(BH3846,AUH_MALE_EMP,6,0),IF(AND(BD3846="Employee",BI3846="Male",BF3846="Abu Dhabi",BE3846=RN2_minus),VLOOKUP(BH3846,AUH_MALE_EMP,7,0),IF(AND(BD3846="Employee",BI3846="Male",BF3846="Abu Dhabi",BE3846=RN_3),VLOOKUP(BH3846,AUH_MALE_EMP,8,0),IF(AND(BD3846="Employee",BI3846="Male",BF3846="Abu Dhabi",BE3846=VN),VLOOKUP(BH3846,AUH_MALE_EMP,9,0),IF(BD3846="","",IF(AND(BD3846="Employee",BI3846="Female",BF3846="Abu Dhabi",BE3846=GN_Plus),VLOOKUP(BH3846,AUH_FEMALE_EMP,2,0),IF(AND(BD3846="Employee",BI3846="Female",BF3846="Abu Dhabi",BE3846=GN),VLOOKUP(BH3846,AUH_FEMALE_EMP,3,0),IF(AND(BD3846="Employee",BI3846="Female",BF3846="Abu Dhabi",BE3846=RN_Plus),VLOOKUP(BH3846,AUH_FEMALE_EMP,4,0),IF(AND(BD3846="Employee",BI3846="Female",BF3846="Abu Dhabi",BE3846=RN),VLOOKUP(BH3846,AUH_FEMALE_EMP,5,0),IF(AND(BD3846="Employee",BI3846="Female",BF3846="Abu Dhabi",BE3846=RN_2),VLOOKUP(BH3846,AUH_FEMALE_EMP,6,0),IF(AND(BD3846="Employee",BI3846="Female",BF3846="Abu Dhabi",BE3846=RN2_minus),VLOOKUP(BH3846,AUH_FEMALE_EMP,7,0),IF(AND(BD3846="Employee",BI3846="Female",BF3846="Abu Dhabi",BE3846=RN_3),VLOOKUP(BH3846,AUH_FEMALE_EMP,8,0),IF(AND(BD3846="Employee",BI3846="Female",BF3846="Abu Dhabi",BE3846=VN),VLOOKUP(BH3846,AUH_FEMALE_EMP,9,0),IF(BD3846="","",IF(AND(BD3846="Dependent",BI3846="Male",BF3846="Abu Dhabi",BE3846=GN_Plus),VLOOKUP(BH3846,AUH_MALE_DEP,2,0),IF(AND(BD3846="Dependent",BI3846="Male",BF3846="Abu Dhabi",BE3846=GN),VLOOKUP(BH3846,AUH_MALE_DEP,3,0),IF(AND(BD3846="Dependent",BI3846="Male",BF3846="Abu Dhabi",BE3846=RN_Plus),VLOOKUP(BH3846,AUH_MALE_DEP,4,0),IF(AND(BD3846="Dependent",BI3846="Male",BF3846="Abu Dhabi",BE3846=RN),VLOOKUP(BH3846,AUH_MALE_DEP,5,0),IF(AND(BD3846="Dependent",BI3846="Male",BF3846="Abu Dhabi",BE3846=RN_2),VLOOKUP(BH3846,AUH_MALE_DEP,6,0),IF(AND(BD3846="Dependent",BI3846="Male",BF3846="Abu Dhabi",BE3846=RN2_minus),VLOOKUP(BH3846,AUH_MALE_DEP,7,0),IF(AND(BD3846="Dependent",BI3846="Male",BF3846="Abu Dhabi",BE3846=RN_3),VLOOKUP(BH3846,AUH_MALE_DEP,8,0),IF(AND(BD3846="Dependent",BI3846="Male",BF3846="Abu Dhabi",BE3846=VN),VLOOKUP(BH3846,AUH_MALE_DEP,9,0),IF(BD3846="","",IF(AND(BD3846="Dependent",BI3846="Female",BF3846="Abu Dhabi",BE3846=GN_Plus),VLOOKUP(BH3846,AUH_FEMALE_DEP,2,0),IF(AND(BD3846="Dependent",BI3846="Female",BF3846="Abu Dhabi",BE3846=GN),VLOOKUP(BH3846,AUH_FEMALE_DEP,3,0),IF(AND(BD3846="Dependent",BI3846="Female",BF3846="Abu Dhabi",BE3846=RN_Plus),VLOOKUP(BH3846,AUH_FEMALE_DEP,4,0),IF(AND(BD3846="Dependent",BI3846="Female",BF3846="Abu Dhabi",BE3846=RN),VLOOKUP(BH3846,AUH_FEMALE_DEP,5,0),IF(AND(BD3846="Dependent",BI3846="Female",BF3846="Abu Dhabi",BE3846=RN_2),VLOOKUP(BH3846,AUH_FEMALE_DEP,6,0),IF(AND(BD3846="Dependent",BI3846="Female",BF3846="Abu Dhabi",BE3846=RN2_minus),VLOOKUP(BH3846,AUH_FEMALE_DEP,7,0),IF(AND(BD3846="Dependent",BI3846="Female",BF3846="Abu Dhabi",BE3846=RN_3),VLOOKUP(BH3846,AUH_FEMALE_DEP,8,0),IF(AND(BD3846="Dependent",BI3846="Female",BF3846="Abu Dhabi",BE3846=VN),VLOOKUP(BH3846,AUH_FEMALE_DEP,9,0),"ABC"))))))))))))))))))))))))))))))))))))</f>
        <v/>
      </c>
      <c r="BL3846" s="498" t="str">
        <f t="shared" ref="BL3846:BL3909" si="1349">IF(BD3846="","",IF(AND(BD3846="Employee",BI3846="Male",BF3846="Dubai",BE3846=GN_Plus),VLOOKUP(BH3846,DXB_MALE_EMP,2,0),IF(AND(BD3846="Employee",BI3846="Male",BF3846="Dubai",BE3846=GN),VLOOKUP(BH3846,DXB_MALE_EMP,3,0),IF(AND(BD3846="Employee",BI3846="Male",BF3846="Dubai",BE3846=RN_Plus),VLOOKUP(BH3846,DXB_MALE_EMP,4,0),IF(AND(BD3846="Employee",BI3846="Male",BF3846="Dubai",BE3846=RN),VLOOKUP(BH3846,DXB_MALE_EMP,5,0),IF(AND(BD3846="Employee",BI3846="Male",BF3846="Dubai",BE3846=RN_2),VLOOKUP(BH3846,DXB_MALE_EMP,6,0),IF(AND(BD3846="Employee",BI3846="Male",BF3846="Dubai",BE3846=RN2_minus),VLOOKUP(BH3846,DXB_MALE_EMP,7,0),IF(AND(BD3846="Employee",BI3846="Male",BF3846="Dubai",BE3846=RN_3),VLOOKUP(BH3846,DXB_MALE_EMP,8,0),IF(AND(BD3846="Employee",BI3846="Male",BF3846="Dubai",BE3846=VN),VLOOKUP(BH3846,DXB_MALE_EMP,9,0),IF(BD3846="","",IF(AND(BD3846="Employee",BI3846="Female",BF3846="Dubai",BE3846=GN_Plus),VLOOKUP(BH3846,DXB_FEMALE_EMP,2,0),IF(AND(BD3846="Employee",BI3846="Female",BF3846="Dubai",BE3846=GN),VLOOKUP(BH3846,DXB_FEMALE_EMP,3,0),IF(AND(BD3846="Employee",BI3846="Female",BF3846="Dubai",BE3846=RN_Plus),VLOOKUP(BH3846,DXB_FEMALE_EMP,4,0),IF(AND(BD3846="Employee",BI3846="Female",BF3846="Dubai",BE3846=RN),VLOOKUP(BH3846,DXB_FEMALE_EMP,5,0),IF(AND(BD3846="Employee",BI3846="Female",BF3846="Dubai",BE3846=RN_2),VLOOKUP(BH3846,DXB_FEMALE_EMP,6,0),IF(AND(BD3846="Employee",BI3846="Female",BF3846="Dubai",BE3846=RN2_minus),VLOOKUP(BH3846,DXB_FEMALE_EMP,7,0),IF(AND(BD3846="Employee",BI3846="Female",BF3846="Dubai",BE3846=RN_3),VLOOKUP(BH3846,DXB_FEMALE_EMP,8,0),IF(AND(BD3846="Employee",BI3846="Female",BF3846="Dubai",BE3846=VN),VLOOKUP(BH3846,DXB_FEMALE_EMP,9,0),IF(BD3846="","",IF(AND(BD3846="Dependent",BI3846="Male",BF3846="Dubai",BE3846=GN_Plus),VLOOKUP(BH3846,DXB_MALE_DEP,2,0),IF(AND(BD3846="Dependent",BI3846="Male",BF3846="Dubai",BE3846=GN),VLOOKUP(BH3846,DXB_MALE_DEP,3,0),IF(AND(BD3846="Dependent",BI3846="Male",BF3846="Dubai",BE3846=RN_Plus),VLOOKUP(BH3846,DXB_MALE_DEP,4,0),IF(AND(BD3846="Dependent",BI3846="Male",BF3846="Dubai",BE3846=RN),VLOOKUP(BH3846,DXB_MALE_DEP,5,0),IF(AND(BD3846="Dependent",BI3846="Male",BF3846="Dubai",BE3846=RN_2),VLOOKUP(BH3846,DXB_MALE_DEP,6,0),IF(AND(BD3846="Dependent",BI3846="Male",BF3846="Dubai",BE3846=RN2_minus),VLOOKUP(BH3846,DXB_MALE_DEP,7,0),IF(AND(BD3846="Dependent",BI3846="Male",BF3846="Dubai",BE3846=RN_3),VLOOKUP(BH3846,DXB_MALE_DEP,8,0),IF(AND(BD3846="Dependent",BI3846="Male",BF3846="Dubai",BE3846=VN),VLOOKUP(BH3846,DXB_MALE_DEP,9,0),IF(BD3846="","",IF(AND(BD3846="Dependent",BI3846="Female",BF3846="Dubai",BE3846=GN_Plus),VLOOKUP(BH3846,DXB_FEMALE_DEP,2,0),IF(AND(BD3846="Dependent",BI3846="Female",BF3846="Dubai",BE3846=GN),VLOOKUP(BH3846,DXB_FEMALE_DEP,3,0),IF(AND(BD3846="Dependent",BI3846="Female",BF3846="Dubai",BE3846=RN_Plus),VLOOKUP(BH3846,DXB_FEMALE_DEP,4,0),IF(AND(BD3846="Dependent",BI3846="Female",BF3846="Dubai",BE3846=RN),VLOOKUP(BH3846,DXB_FEMALE_DEP,5,0),IF(AND(BD3846="Dependent",BI3846="Female",BF3846="Dubai",BE3846=RN_2),VLOOKUP(BH3846,DXB_FEMALE_DEP,6,0),IF(AND(BD3846="Dependent",BI3846="Female",BF3846="Dubai",BE3846=RN2_minus),VLOOKUP(BH3846,DXB_FEMALE_DEP,7,0),IF(AND(BD3846="Dependent",BI3846="Female",BF3846="Dubai",BE3846=RN_3),VLOOKUP(BH3846,DXB_FEMALE_DEP,8,0),IF(AND(BD3846="Dependent",BI3846="Female",BF3846="Dubai",BE3846=VN),VLOOKUP(BH3846,DXB_FEMALE_DEP,9,0),"ABC"))))))))))))))))))))))))))))))))))))</f>
        <v/>
      </c>
    </row>
    <row r="3847" spans="1:64" x14ac:dyDescent="0.25">
      <c r="A3847" s="762">
        <f t="shared" ref="A3847:A3910" si="1350">+A3846+1</f>
        <v>3842</v>
      </c>
      <c r="B3847" s="229"/>
      <c r="C3847" s="223"/>
      <c r="D3847" s="224"/>
      <c r="E3847" s="225"/>
      <c r="F3847" s="1036" t="str">
        <f t="shared" si="1334"/>
        <v/>
      </c>
      <c r="G3847" s="1037" t="str">
        <f t="shared" ref="G3847:G3910" si="1351">IF(D3847="","",MAX(0,ROUNDUP(F3847,0)))</f>
        <v/>
      </c>
      <c r="H3847" s="225"/>
      <c r="I3847" s="1013"/>
      <c r="J3847" s="1013"/>
      <c r="K3847" s="1028"/>
      <c r="L3847" s="1035" t="str">
        <f t="shared" si="1333"/>
        <v/>
      </c>
      <c r="S3847" s="498"/>
      <c r="AJ3847" s="498"/>
      <c r="AM3847" s="498">
        <f t="shared" si="1336"/>
        <v>0</v>
      </c>
      <c r="AN3847" s="498">
        <f t="shared" si="1337"/>
        <v>0</v>
      </c>
      <c r="AO3847" s="498">
        <f t="shared" si="1338"/>
        <v>0</v>
      </c>
      <c r="AP3847" s="498">
        <f t="shared" si="1335"/>
        <v>0</v>
      </c>
      <c r="AQ3847" s="498">
        <f t="shared" ref="AQ3847:AQ3910" si="1352">IF(ISBLANK($B3847),0,IF(OR($H3847="Single",$H3847="Married"),0,1))</f>
        <v>0</v>
      </c>
      <c r="AU3847" s="498">
        <f t="shared" si="1339"/>
        <v>0</v>
      </c>
      <c r="AV3847" s="498">
        <f t="shared" si="1340"/>
        <v>0</v>
      </c>
      <c r="AW3847" s="498">
        <f t="shared" si="1341"/>
        <v>0</v>
      </c>
      <c r="AX3847" s="498">
        <f t="shared" si="1342"/>
        <v>0</v>
      </c>
      <c r="AY3847" s="498">
        <f t="shared" si="1343"/>
        <v>0</v>
      </c>
      <c r="BB3847" s="498" t="str">
        <f t="shared" si="1344"/>
        <v/>
      </c>
      <c r="BC3847" s="743" t="str">
        <f t="shared" si="1345"/>
        <v/>
      </c>
      <c r="BD3847" s="743" t="str">
        <f t="shared" si="1346"/>
        <v/>
      </c>
      <c r="BE3847" s="743" t="str">
        <f>IF(D3847="","",VLOOKUP(D3847,'General Basis'!$J$39:$K$46,2,0))</f>
        <v/>
      </c>
      <c r="BF3847" s="744" t="str">
        <f>IF(D3847="","",VLOOKUP(D3847,'General Basis'!$J$39:$L$46,3,0))</f>
        <v/>
      </c>
      <c r="BG3847" s="744" t="str">
        <f t="shared" ref="BG3847:BG3910" si="1353">BC3847&amp;BI3847</f>
        <v/>
      </c>
      <c r="BH3847" s="744" t="str">
        <f>IF(G3847="","",IF(BF3847="Abu Dhabi",IF(G3847&lt;18,'General Basis'!$C$39,IF(G3847&lt;41,'General Basis'!$C$40,IF(G3847&lt;60,'General Basis'!$C$41,IF(G3847&lt;65,'General Basis'!$C$42,'General Basis'!$C$43)))),IF(G3847&lt;11,'General Basis'!$B$39,IF(G3847&lt;18,'General Basis'!$B$40,IF(G3847&lt;26,'General Basis'!$B$41,IF(G3847&lt;31,'General Basis'!$B$42,IF(G3847&lt;36,'General Basis'!$B$43,IF(G3847&lt;41,'General Basis'!$B$44,IF(G3847&lt;46,'General Basis'!$B$45,IF(G3847&lt;51,'General Basis'!$B$46,IF(G3847&lt;56,'General Basis'!$B$47,IF(G3847&lt;60,'General Basis'!$B$48,IF(G3847&lt;65,'General Basis'!$B$49,'General Basis'!$B$50)))))))))))))</f>
        <v/>
      </c>
      <c r="BI3847" s="744" t="str">
        <f t="shared" si="1347"/>
        <v/>
      </c>
      <c r="BJ3847" s="747" t="str">
        <f t="shared" ref="BJ3847:BJ3910" si="1354">IF(BD3847="","",IF(BF3847="Abu Dhabi",BK3847,BL3847))</f>
        <v/>
      </c>
      <c r="BK3847" s="498" t="str">
        <f t="shared" si="1348"/>
        <v/>
      </c>
      <c r="BL3847" s="498" t="str">
        <f t="shared" si="1349"/>
        <v/>
      </c>
    </row>
    <row r="3848" spans="1:64" x14ac:dyDescent="0.25">
      <c r="A3848" s="762">
        <f t="shared" si="1350"/>
        <v>3843</v>
      </c>
      <c r="B3848" s="229"/>
      <c r="C3848" s="223"/>
      <c r="D3848" s="224"/>
      <c r="E3848" s="225"/>
      <c r="F3848" s="1036" t="str">
        <f t="shared" si="1334"/>
        <v/>
      </c>
      <c r="G3848" s="1037" t="str">
        <f t="shared" si="1351"/>
        <v/>
      </c>
      <c r="H3848" s="225"/>
      <c r="I3848" s="1013"/>
      <c r="J3848" s="1013"/>
      <c r="K3848" s="1028"/>
      <c r="L3848" s="1035" t="str">
        <f t="shared" ref="L3848:L3911" si="1355">IF(AND(E3848="Child",H3848="Married"),"Check the Marital Status of the Child. ",IF(AND(E3848="Child",F3848&gt;18),"Child Age exceed 18 years. ",IF(AND(E3848="Spouse",H3848="Single"),"Spouse is selected as Single. ","")))&amp;IF(K3848&gt;0,"UW Loading has been Applied","")</f>
        <v/>
      </c>
      <c r="S3848" s="498"/>
      <c r="AJ3848" s="498"/>
      <c r="AM3848" s="498">
        <f t="shared" si="1336"/>
        <v>0</v>
      </c>
      <c r="AN3848" s="498">
        <f t="shared" si="1337"/>
        <v>0</v>
      </c>
      <c r="AO3848" s="498">
        <f t="shared" si="1338"/>
        <v>0</v>
      </c>
      <c r="AP3848" s="498">
        <f t="shared" si="1335"/>
        <v>0</v>
      </c>
      <c r="AQ3848" s="498">
        <f t="shared" si="1352"/>
        <v>0</v>
      </c>
      <c r="AU3848" s="498">
        <f t="shared" si="1339"/>
        <v>0</v>
      </c>
      <c r="AV3848" s="498">
        <f t="shared" si="1340"/>
        <v>0</v>
      </c>
      <c r="AW3848" s="498">
        <f t="shared" si="1341"/>
        <v>0</v>
      </c>
      <c r="AX3848" s="498">
        <f t="shared" si="1342"/>
        <v>0</v>
      </c>
      <c r="AY3848" s="498">
        <f t="shared" si="1343"/>
        <v>0</v>
      </c>
      <c r="BB3848" s="498" t="str">
        <f t="shared" si="1344"/>
        <v/>
      </c>
      <c r="BC3848" s="743" t="str">
        <f t="shared" si="1345"/>
        <v/>
      </c>
      <c r="BD3848" s="743" t="str">
        <f t="shared" si="1346"/>
        <v/>
      </c>
      <c r="BE3848" s="743" t="str">
        <f>IF(D3848="","",VLOOKUP(D3848,'General Basis'!$J$39:$K$46,2,0))</f>
        <v/>
      </c>
      <c r="BF3848" s="744" t="str">
        <f>IF(D3848="","",VLOOKUP(D3848,'General Basis'!$J$39:$L$46,3,0))</f>
        <v/>
      </c>
      <c r="BG3848" s="744" t="str">
        <f t="shared" si="1353"/>
        <v/>
      </c>
      <c r="BH3848" s="744" t="str">
        <f>IF(G3848="","",IF(BF3848="Abu Dhabi",IF(G3848&lt;18,'General Basis'!$C$39,IF(G3848&lt;41,'General Basis'!$C$40,IF(G3848&lt;60,'General Basis'!$C$41,IF(G3848&lt;65,'General Basis'!$C$42,'General Basis'!$C$43)))),IF(G3848&lt;11,'General Basis'!$B$39,IF(G3848&lt;18,'General Basis'!$B$40,IF(G3848&lt;26,'General Basis'!$B$41,IF(G3848&lt;31,'General Basis'!$B$42,IF(G3848&lt;36,'General Basis'!$B$43,IF(G3848&lt;41,'General Basis'!$B$44,IF(G3848&lt;46,'General Basis'!$B$45,IF(G3848&lt;51,'General Basis'!$B$46,IF(G3848&lt;56,'General Basis'!$B$47,IF(G3848&lt;60,'General Basis'!$B$48,IF(G3848&lt;65,'General Basis'!$B$49,'General Basis'!$B$50)))))))))))))</f>
        <v/>
      </c>
      <c r="BI3848" s="744" t="str">
        <f t="shared" si="1347"/>
        <v/>
      </c>
      <c r="BJ3848" s="747" t="str">
        <f t="shared" si="1354"/>
        <v/>
      </c>
      <c r="BK3848" s="498" t="str">
        <f t="shared" si="1348"/>
        <v/>
      </c>
      <c r="BL3848" s="498" t="str">
        <f t="shared" si="1349"/>
        <v/>
      </c>
    </row>
    <row r="3849" spans="1:64" x14ac:dyDescent="0.25">
      <c r="A3849" s="762">
        <f t="shared" si="1350"/>
        <v>3844</v>
      </c>
      <c r="B3849" s="229"/>
      <c r="C3849" s="223"/>
      <c r="D3849" s="224"/>
      <c r="E3849" s="225"/>
      <c r="F3849" s="1036" t="str">
        <f t="shared" si="1334"/>
        <v/>
      </c>
      <c r="G3849" s="1037" t="str">
        <f t="shared" si="1351"/>
        <v/>
      </c>
      <c r="H3849" s="225"/>
      <c r="I3849" s="1013"/>
      <c r="J3849" s="1013"/>
      <c r="K3849" s="1028"/>
      <c r="L3849" s="1035" t="str">
        <f t="shared" si="1355"/>
        <v/>
      </c>
      <c r="S3849" s="498"/>
      <c r="AJ3849" s="498"/>
      <c r="AM3849" s="498">
        <f t="shared" si="1336"/>
        <v>0</v>
      </c>
      <c r="AN3849" s="498">
        <f t="shared" si="1337"/>
        <v>0</v>
      </c>
      <c r="AO3849" s="498">
        <f t="shared" si="1338"/>
        <v>0</v>
      </c>
      <c r="AP3849" s="498">
        <f t="shared" si="1335"/>
        <v>0</v>
      </c>
      <c r="AQ3849" s="498">
        <f t="shared" si="1352"/>
        <v>0</v>
      </c>
      <c r="AU3849" s="498">
        <f t="shared" si="1339"/>
        <v>0</v>
      </c>
      <c r="AV3849" s="498">
        <f t="shared" si="1340"/>
        <v>0</v>
      </c>
      <c r="AW3849" s="498">
        <f t="shared" si="1341"/>
        <v>0</v>
      </c>
      <c r="AX3849" s="498">
        <f t="shared" si="1342"/>
        <v>0</v>
      </c>
      <c r="AY3849" s="498">
        <f t="shared" si="1343"/>
        <v>0</v>
      </c>
      <c r="BB3849" s="498" t="str">
        <f t="shared" si="1344"/>
        <v/>
      </c>
      <c r="BC3849" s="743" t="str">
        <f t="shared" si="1345"/>
        <v/>
      </c>
      <c r="BD3849" s="743" t="str">
        <f t="shared" si="1346"/>
        <v/>
      </c>
      <c r="BE3849" s="743" t="str">
        <f>IF(D3849="","",VLOOKUP(D3849,'General Basis'!$J$39:$K$46,2,0))</f>
        <v/>
      </c>
      <c r="BF3849" s="744" t="str">
        <f>IF(D3849="","",VLOOKUP(D3849,'General Basis'!$J$39:$L$46,3,0))</f>
        <v/>
      </c>
      <c r="BG3849" s="744" t="str">
        <f t="shared" si="1353"/>
        <v/>
      </c>
      <c r="BH3849" s="744" t="str">
        <f>IF(G3849="","",IF(BF3849="Abu Dhabi",IF(G3849&lt;18,'General Basis'!$C$39,IF(G3849&lt;41,'General Basis'!$C$40,IF(G3849&lt;60,'General Basis'!$C$41,IF(G3849&lt;65,'General Basis'!$C$42,'General Basis'!$C$43)))),IF(G3849&lt;11,'General Basis'!$B$39,IF(G3849&lt;18,'General Basis'!$B$40,IF(G3849&lt;26,'General Basis'!$B$41,IF(G3849&lt;31,'General Basis'!$B$42,IF(G3849&lt;36,'General Basis'!$B$43,IF(G3849&lt;41,'General Basis'!$B$44,IF(G3849&lt;46,'General Basis'!$B$45,IF(G3849&lt;51,'General Basis'!$B$46,IF(G3849&lt;56,'General Basis'!$B$47,IF(G3849&lt;60,'General Basis'!$B$48,IF(G3849&lt;65,'General Basis'!$B$49,'General Basis'!$B$50)))))))))))))</f>
        <v/>
      </c>
      <c r="BI3849" s="744" t="str">
        <f t="shared" si="1347"/>
        <v/>
      </c>
      <c r="BJ3849" s="747" t="str">
        <f t="shared" si="1354"/>
        <v/>
      </c>
      <c r="BK3849" s="498" t="str">
        <f t="shared" si="1348"/>
        <v/>
      </c>
      <c r="BL3849" s="498" t="str">
        <f t="shared" si="1349"/>
        <v/>
      </c>
    </row>
    <row r="3850" spans="1:64" x14ac:dyDescent="0.25">
      <c r="A3850" s="762">
        <f t="shared" si="1350"/>
        <v>3845</v>
      </c>
      <c r="B3850" s="229"/>
      <c r="C3850" s="223"/>
      <c r="D3850" s="224"/>
      <c r="E3850" s="225"/>
      <c r="F3850" s="1036" t="str">
        <f t="shared" si="1334"/>
        <v/>
      </c>
      <c r="G3850" s="1037" t="str">
        <f t="shared" si="1351"/>
        <v/>
      </c>
      <c r="H3850" s="225"/>
      <c r="I3850" s="1013"/>
      <c r="J3850" s="1013"/>
      <c r="K3850" s="1028"/>
      <c r="L3850" s="1035" t="str">
        <f t="shared" si="1355"/>
        <v/>
      </c>
      <c r="S3850" s="498"/>
      <c r="AJ3850" s="498"/>
      <c r="AM3850" s="498">
        <f t="shared" si="1336"/>
        <v>0</v>
      </c>
      <c r="AN3850" s="498">
        <f t="shared" si="1337"/>
        <v>0</v>
      </c>
      <c r="AO3850" s="498">
        <f t="shared" si="1338"/>
        <v>0</v>
      </c>
      <c r="AP3850" s="498">
        <f t="shared" si="1335"/>
        <v>0</v>
      </c>
      <c r="AQ3850" s="498">
        <f t="shared" si="1352"/>
        <v>0</v>
      </c>
      <c r="AU3850" s="498">
        <f t="shared" si="1339"/>
        <v>0</v>
      </c>
      <c r="AV3850" s="498">
        <f t="shared" si="1340"/>
        <v>0</v>
      </c>
      <c r="AW3850" s="498">
        <f t="shared" si="1341"/>
        <v>0</v>
      </c>
      <c r="AX3850" s="498">
        <f t="shared" si="1342"/>
        <v>0</v>
      </c>
      <c r="AY3850" s="498">
        <f t="shared" si="1343"/>
        <v>0</v>
      </c>
      <c r="BB3850" s="498" t="str">
        <f t="shared" si="1344"/>
        <v/>
      </c>
      <c r="BC3850" s="743" t="str">
        <f t="shared" si="1345"/>
        <v/>
      </c>
      <c r="BD3850" s="743" t="str">
        <f t="shared" si="1346"/>
        <v/>
      </c>
      <c r="BE3850" s="743" t="str">
        <f>IF(D3850="","",VLOOKUP(D3850,'General Basis'!$J$39:$K$46,2,0))</f>
        <v/>
      </c>
      <c r="BF3850" s="744" t="str">
        <f>IF(D3850="","",VLOOKUP(D3850,'General Basis'!$J$39:$L$46,3,0))</f>
        <v/>
      </c>
      <c r="BG3850" s="744" t="str">
        <f t="shared" si="1353"/>
        <v/>
      </c>
      <c r="BH3850" s="744" t="str">
        <f>IF(G3850="","",IF(BF3850="Abu Dhabi",IF(G3850&lt;18,'General Basis'!$C$39,IF(G3850&lt;41,'General Basis'!$C$40,IF(G3850&lt;60,'General Basis'!$C$41,IF(G3850&lt;65,'General Basis'!$C$42,'General Basis'!$C$43)))),IF(G3850&lt;11,'General Basis'!$B$39,IF(G3850&lt;18,'General Basis'!$B$40,IF(G3850&lt;26,'General Basis'!$B$41,IF(G3850&lt;31,'General Basis'!$B$42,IF(G3850&lt;36,'General Basis'!$B$43,IF(G3850&lt;41,'General Basis'!$B$44,IF(G3850&lt;46,'General Basis'!$B$45,IF(G3850&lt;51,'General Basis'!$B$46,IF(G3850&lt;56,'General Basis'!$B$47,IF(G3850&lt;60,'General Basis'!$B$48,IF(G3850&lt;65,'General Basis'!$B$49,'General Basis'!$B$50)))))))))))))</f>
        <v/>
      </c>
      <c r="BI3850" s="744" t="str">
        <f t="shared" si="1347"/>
        <v/>
      </c>
      <c r="BJ3850" s="747" t="str">
        <f t="shared" si="1354"/>
        <v/>
      </c>
      <c r="BK3850" s="498" t="str">
        <f t="shared" si="1348"/>
        <v/>
      </c>
      <c r="BL3850" s="498" t="str">
        <f t="shared" si="1349"/>
        <v/>
      </c>
    </row>
    <row r="3851" spans="1:64" x14ac:dyDescent="0.25">
      <c r="A3851" s="762">
        <f t="shared" si="1350"/>
        <v>3846</v>
      </c>
      <c r="B3851" s="229"/>
      <c r="C3851" s="223"/>
      <c r="D3851" s="224"/>
      <c r="E3851" s="225"/>
      <c r="F3851" s="1036" t="str">
        <f t="shared" si="1334"/>
        <v/>
      </c>
      <c r="G3851" s="1037" t="str">
        <f t="shared" si="1351"/>
        <v/>
      </c>
      <c r="H3851" s="225"/>
      <c r="I3851" s="1013"/>
      <c r="J3851" s="1013"/>
      <c r="K3851" s="1028"/>
      <c r="L3851" s="1035" t="str">
        <f t="shared" si="1355"/>
        <v/>
      </c>
      <c r="S3851" s="498"/>
      <c r="AJ3851" s="498"/>
      <c r="AM3851" s="498">
        <f t="shared" si="1336"/>
        <v>0</v>
      </c>
      <c r="AN3851" s="498">
        <f t="shared" si="1337"/>
        <v>0</v>
      </c>
      <c r="AO3851" s="498">
        <f t="shared" si="1338"/>
        <v>0</v>
      </c>
      <c r="AP3851" s="498">
        <f t="shared" si="1335"/>
        <v>0</v>
      </c>
      <c r="AQ3851" s="498">
        <f t="shared" si="1352"/>
        <v>0</v>
      </c>
      <c r="AU3851" s="498">
        <f t="shared" si="1339"/>
        <v>0</v>
      </c>
      <c r="AV3851" s="498">
        <f t="shared" si="1340"/>
        <v>0</v>
      </c>
      <c r="AW3851" s="498">
        <f t="shared" si="1341"/>
        <v>0</v>
      </c>
      <c r="AX3851" s="498">
        <f t="shared" si="1342"/>
        <v>0</v>
      </c>
      <c r="AY3851" s="498">
        <f t="shared" si="1343"/>
        <v>0</v>
      </c>
      <c r="BB3851" s="498" t="str">
        <f t="shared" si="1344"/>
        <v/>
      </c>
      <c r="BC3851" s="743" t="str">
        <f t="shared" si="1345"/>
        <v/>
      </c>
      <c r="BD3851" s="743" t="str">
        <f t="shared" si="1346"/>
        <v/>
      </c>
      <c r="BE3851" s="743" t="str">
        <f>IF(D3851="","",VLOOKUP(D3851,'General Basis'!$J$39:$K$46,2,0))</f>
        <v/>
      </c>
      <c r="BF3851" s="744" t="str">
        <f>IF(D3851="","",VLOOKUP(D3851,'General Basis'!$J$39:$L$46,3,0))</f>
        <v/>
      </c>
      <c r="BG3851" s="744" t="str">
        <f t="shared" si="1353"/>
        <v/>
      </c>
      <c r="BH3851" s="744" t="str">
        <f>IF(G3851="","",IF(BF3851="Abu Dhabi",IF(G3851&lt;18,'General Basis'!$C$39,IF(G3851&lt;41,'General Basis'!$C$40,IF(G3851&lt;60,'General Basis'!$C$41,IF(G3851&lt;65,'General Basis'!$C$42,'General Basis'!$C$43)))),IF(G3851&lt;11,'General Basis'!$B$39,IF(G3851&lt;18,'General Basis'!$B$40,IF(G3851&lt;26,'General Basis'!$B$41,IF(G3851&lt;31,'General Basis'!$B$42,IF(G3851&lt;36,'General Basis'!$B$43,IF(G3851&lt;41,'General Basis'!$B$44,IF(G3851&lt;46,'General Basis'!$B$45,IF(G3851&lt;51,'General Basis'!$B$46,IF(G3851&lt;56,'General Basis'!$B$47,IF(G3851&lt;60,'General Basis'!$B$48,IF(G3851&lt;65,'General Basis'!$B$49,'General Basis'!$B$50)))))))))))))</f>
        <v/>
      </c>
      <c r="BI3851" s="744" t="str">
        <f t="shared" si="1347"/>
        <v/>
      </c>
      <c r="BJ3851" s="747" t="str">
        <f t="shared" si="1354"/>
        <v/>
      </c>
      <c r="BK3851" s="498" t="str">
        <f t="shared" si="1348"/>
        <v/>
      </c>
      <c r="BL3851" s="498" t="str">
        <f t="shared" si="1349"/>
        <v/>
      </c>
    </row>
    <row r="3852" spans="1:64" x14ac:dyDescent="0.25">
      <c r="A3852" s="762">
        <f t="shared" si="1350"/>
        <v>3847</v>
      </c>
      <c r="B3852" s="229"/>
      <c r="C3852" s="223"/>
      <c r="D3852" s="224"/>
      <c r="E3852" s="225"/>
      <c r="F3852" s="1036" t="str">
        <f t="shared" si="1334"/>
        <v/>
      </c>
      <c r="G3852" s="1037" t="str">
        <f t="shared" si="1351"/>
        <v/>
      </c>
      <c r="H3852" s="225"/>
      <c r="I3852" s="1013"/>
      <c r="J3852" s="1013"/>
      <c r="K3852" s="1028"/>
      <c r="L3852" s="1035" t="str">
        <f t="shared" si="1355"/>
        <v/>
      </c>
      <c r="S3852" s="498"/>
      <c r="AJ3852" s="498"/>
      <c r="AM3852" s="498">
        <f t="shared" si="1336"/>
        <v>0</v>
      </c>
      <c r="AN3852" s="498">
        <f t="shared" si="1337"/>
        <v>0</v>
      </c>
      <c r="AO3852" s="498">
        <f t="shared" si="1338"/>
        <v>0</v>
      </c>
      <c r="AP3852" s="498">
        <f t="shared" si="1335"/>
        <v>0</v>
      </c>
      <c r="AQ3852" s="498">
        <f t="shared" si="1352"/>
        <v>0</v>
      </c>
      <c r="AU3852" s="498">
        <f t="shared" si="1339"/>
        <v>0</v>
      </c>
      <c r="AV3852" s="498">
        <f t="shared" si="1340"/>
        <v>0</v>
      </c>
      <c r="AW3852" s="498">
        <f t="shared" si="1341"/>
        <v>0</v>
      </c>
      <c r="AX3852" s="498">
        <f t="shared" si="1342"/>
        <v>0</v>
      </c>
      <c r="AY3852" s="498">
        <f t="shared" si="1343"/>
        <v>0</v>
      </c>
      <c r="BB3852" s="498" t="str">
        <f t="shared" si="1344"/>
        <v/>
      </c>
      <c r="BC3852" s="743" t="str">
        <f t="shared" si="1345"/>
        <v/>
      </c>
      <c r="BD3852" s="743" t="str">
        <f t="shared" si="1346"/>
        <v/>
      </c>
      <c r="BE3852" s="743" t="str">
        <f>IF(D3852="","",VLOOKUP(D3852,'General Basis'!$J$39:$K$46,2,0))</f>
        <v/>
      </c>
      <c r="BF3852" s="744" t="str">
        <f>IF(D3852="","",VLOOKUP(D3852,'General Basis'!$J$39:$L$46,3,0))</f>
        <v/>
      </c>
      <c r="BG3852" s="744" t="str">
        <f t="shared" si="1353"/>
        <v/>
      </c>
      <c r="BH3852" s="744" t="str">
        <f>IF(G3852="","",IF(BF3852="Abu Dhabi",IF(G3852&lt;18,'General Basis'!$C$39,IF(G3852&lt;41,'General Basis'!$C$40,IF(G3852&lt;60,'General Basis'!$C$41,IF(G3852&lt;65,'General Basis'!$C$42,'General Basis'!$C$43)))),IF(G3852&lt;11,'General Basis'!$B$39,IF(G3852&lt;18,'General Basis'!$B$40,IF(G3852&lt;26,'General Basis'!$B$41,IF(G3852&lt;31,'General Basis'!$B$42,IF(G3852&lt;36,'General Basis'!$B$43,IF(G3852&lt;41,'General Basis'!$B$44,IF(G3852&lt;46,'General Basis'!$B$45,IF(G3852&lt;51,'General Basis'!$B$46,IF(G3852&lt;56,'General Basis'!$B$47,IF(G3852&lt;60,'General Basis'!$B$48,IF(G3852&lt;65,'General Basis'!$B$49,'General Basis'!$B$50)))))))))))))</f>
        <v/>
      </c>
      <c r="BI3852" s="744" t="str">
        <f t="shared" si="1347"/>
        <v/>
      </c>
      <c r="BJ3852" s="747" t="str">
        <f t="shared" si="1354"/>
        <v/>
      </c>
      <c r="BK3852" s="498" t="str">
        <f t="shared" si="1348"/>
        <v/>
      </c>
      <c r="BL3852" s="498" t="str">
        <f t="shared" si="1349"/>
        <v/>
      </c>
    </row>
    <row r="3853" spans="1:64" x14ac:dyDescent="0.25">
      <c r="A3853" s="762">
        <f t="shared" si="1350"/>
        <v>3848</v>
      </c>
      <c r="B3853" s="229"/>
      <c r="C3853" s="223"/>
      <c r="D3853" s="224"/>
      <c r="E3853" s="225"/>
      <c r="F3853" s="1036" t="str">
        <f t="shared" si="1334"/>
        <v/>
      </c>
      <c r="G3853" s="1037" t="str">
        <f t="shared" si="1351"/>
        <v/>
      </c>
      <c r="H3853" s="225"/>
      <c r="I3853" s="1013"/>
      <c r="J3853" s="1013"/>
      <c r="K3853" s="1028"/>
      <c r="L3853" s="1035" t="str">
        <f t="shared" si="1355"/>
        <v/>
      </c>
      <c r="S3853" s="498"/>
      <c r="AJ3853" s="498"/>
      <c r="AM3853" s="498">
        <f t="shared" si="1336"/>
        <v>0</v>
      </c>
      <c r="AN3853" s="498">
        <f t="shared" si="1337"/>
        <v>0</v>
      </c>
      <c r="AO3853" s="498">
        <f t="shared" si="1338"/>
        <v>0</v>
      </c>
      <c r="AP3853" s="498">
        <f t="shared" si="1335"/>
        <v>0</v>
      </c>
      <c r="AQ3853" s="498">
        <f t="shared" si="1352"/>
        <v>0</v>
      </c>
      <c r="AU3853" s="498">
        <f t="shared" si="1339"/>
        <v>0</v>
      </c>
      <c r="AV3853" s="498">
        <f t="shared" si="1340"/>
        <v>0</v>
      </c>
      <c r="AW3853" s="498">
        <f t="shared" si="1341"/>
        <v>0</v>
      </c>
      <c r="AX3853" s="498">
        <f t="shared" si="1342"/>
        <v>0</v>
      </c>
      <c r="AY3853" s="498">
        <f t="shared" si="1343"/>
        <v>0</v>
      </c>
      <c r="BB3853" s="498" t="str">
        <f t="shared" si="1344"/>
        <v/>
      </c>
      <c r="BC3853" s="743" t="str">
        <f t="shared" si="1345"/>
        <v/>
      </c>
      <c r="BD3853" s="743" t="str">
        <f t="shared" si="1346"/>
        <v/>
      </c>
      <c r="BE3853" s="743" t="str">
        <f>IF(D3853="","",VLOOKUP(D3853,'General Basis'!$J$39:$K$46,2,0))</f>
        <v/>
      </c>
      <c r="BF3853" s="744" t="str">
        <f>IF(D3853="","",VLOOKUP(D3853,'General Basis'!$J$39:$L$46,3,0))</f>
        <v/>
      </c>
      <c r="BG3853" s="744" t="str">
        <f t="shared" si="1353"/>
        <v/>
      </c>
      <c r="BH3853" s="744" t="str">
        <f>IF(G3853="","",IF(BF3853="Abu Dhabi",IF(G3853&lt;18,'General Basis'!$C$39,IF(G3853&lt;41,'General Basis'!$C$40,IF(G3853&lt;60,'General Basis'!$C$41,IF(G3853&lt;65,'General Basis'!$C$42,'General Basis'!$C$43)))),IF(G3853&lt;11,'General Basis'!$B$39,IF(G3853&lt;18,'General Basis'!$B$40,IF(G3853&lt;26,'General Basis'!$B$41,IF(G3853&lt;31,'General Basis'!$B$42,IF(G3853&lt;36,'General Basis'!$B$43,IF(G3853&lt;41,'General Basis'!$B$44,IF(G3853&lt;46,'General Basis'!$B$45,IF(G3853&lt;51,'General Basis'!$B$46,IF(G3853&lt;56,'General Basis'!$B$47,IF(G3853&lt;60,'General Basis'!$B$48,IF(G3853&lt;65,'General Basis'!$B$49,'General Basis'!$B$50)))))))))))))</f>
        <v/>
      </c>
      <c r="BI3853" s="744" t="str">
        <f t="shared" si="1347"/>
        <v/>
      </c>
      <c r="BJ3853" s="747" t="str">
        <f t="shared" si="1354"/>
        <v/>
      </c>
      <c r="BK3853" s="498" t="str">
        <f t="shared" si="1348"/>
        <v/>
      </c>
      <c r="BL3853" s="498" t="str">
        <f t="shared" si="1349"/>
        <v/>
      </c>
    </row>
    <row r="3854" spans="1:64" x14ac:dyDescent="0.25">
      <c r="A3854" s="762">
        <f t="shared" si="1350"/>
        <v>3849</v>
      </c>
      <c r="B3854" s="229"/>
      <c r="C3854" s="223"/>
      <c r="D3854" s="224"/>
      <c r="E3854" s="225"/>
      <c r="F3854" s="1036" t="str">
        <f t="shared" si="1334"/>
        <v/>
      </c>
      <c r="G3854" s="1037" t="str">
        <f t="shared" si="1351"/>
        <v/>
      </c>
      <c r="H3854" s="225"/>
      <c r="I3854" s="1013"/>
      <c r="J3854" s="1013"/>
      <c r="K3854" s="1028"/>
      <c r="L3854" s="1035" t="str">
        <f t="shared" si="1355"/>
        <v/>
      </c>
      <c r="S3854" s="498"/>
      <c r="AJ3854" s="498"/>
      <c r="AM3854" s="498">
        <f t="shared" si="1336"/>
        <v>0</v>
      </c>
      <c r="AN3854" s="498">
        <f t="shared" si="1337"/>
        <v>0</v>
      </c>
      <c r="AO3854" s="498">
        <f t="shared" si="1338"/>
        <v>0</v>
      </c>
      <c r="AP3854" s="498">
        <f t="shared" si="1335"/>
        <v>0</v>
      </c>
      <c r="AQ3854" s="498">
        <f t="shared" si="1352"/>
        <v>0</v>
      </c>
      <c r="AU3854" s="498">
        <f t="shared" si="1339"/>
        <v>0</v>
      </c>
      <c r="AV3854" s="498">
        <f t="shared" si="1340"/>
        <v>0</v>
      </c>
      <c r="AW3854" s="498">
        <f t="shared" si="1341"/>
        <v>0</v>
      </c>
      <c r="AX3854" s="498">
        <f t="shared" si="1342"/>
        <v>0</v>
      </c>
      <c r="AY3854" s="498">
        <f t="shared" si="1343"/>
        <v>0</v>
      </c>
      <c r="BB3854" s="498" t="str">
        <f t="shared" si="1344"/>
        <v/>
      </c>
      <c r="BC3854" s="743" t="str">
        <f t="shared" si="1345"/>
        <v/>
      </c>
      <c r="BD3854" s="743" t="str">
        <f t="shared" si="1346"/>
        <v/>
      </c>
      <c r="BE3854" s="743" t="str">
        <f>IF(D3854="","",VLOOKUP(D3854,'General Basis'!$J$39:$K$46,2,0))</f>
        <v/>
      </c>
      <c r="BF3854" s="744" t="str">
        <f>IF(D3854="","",VLOOKUP(D3854,'General Basis'!$J$39:$L$46,3,0))</f>
        <v/>
      </c>
      <c r="BG3854" s="744" t="str">
        <f t="shared" si="1353"/>
        <v/>
      </c>
      <c r="BH3854" s="744" t="str">
        <f>IF(G3854="","",IF(BF3854="Abu Dhabi",IF(G3854&lt;18,'General Basis'!$C$39,IF(G3854&lt;41,'General Basis'!$C$40,IF(G3854&lt;60,'General Basis'!$C$41,IF(G3854&lt;65,'General Basis'!$C$42,'General Basis'!$C$43)))),IF(G3854&lt;11,'General Basis'!$B$39,IF(G3854&lt;18,'General Basis'!$B$40,IF(G3854&lt;26,'General Basis'!$B$41,IF(G3854&lt;31,'General Basis'!$B$42,IF(G3854&lt;36,'General Basis'!$B$43,IF(G3854&lt;41,'General Basis'!$B$44,IF(G3854&lt;46,'General Basis'!$B$45,IF(G3854&lt;51,'General Basis'!$B$46,IF(G3854&lt;56,'General Basis'!$B$47,IF(G3854&lt;60,'General Basis'!$B$48,IF(G3854&lt;65,'General Basis'!$B$49,'General Basis'!$B$50)))))))))))))</f>
        <v/>
      </c>
      <c r="BI3854" s="744" t="str">
        <f t="shared" si="1347"/>
        <v/>
      </c>
      <c r="BJ3854" s="747" t="str">
        <f t="shared" si="1354"/>
        <v/>
      </c>
      <c r="BK3854" s="498" t="str">
        <f t="shared" si="1348"/>
        <v/>
      </c>
      <c r="BL3854" s="498" t="str">
        <f t="shared" si="1349"/>
        <v/>
      </c>
    </row>
    <row r="3855" spans="1:64" x14ac:dyDescent="0.25">
      <c r="A3855" s="762">
        <f t="shared" si="1350"/>
        <v>3850</v>
      </c>
      <c r="B3855" s="229"/>
      <c r="C3855" s="223"/>
      <c r="D3855" s="224"/>
      <c r="E3855" s="225"/>
      <c r="F3855" s="1036" t="str">
        <f t="shared" si="1334"/>
        <v/>
      </c>
      <c r="G3855" s="1037" t="str">
        <f t="shared" si="1351"/>
        <v/>
      </c>
      <c r="H3855" s="225"/>
      <c r="I3855" s="1013"/>
      <c r="J3855" s="1013"/>
      <c r="K3855" s="1028"/>
      <c r="L3855" s="1035" t="str">
        <f t="shared" si="1355"/>
        <v/>
      </c>
      <c r="S3855" s="498"/>
      <c r="AJ3855" s="498"/>
      <c r="AM3855" s="498">
        <f t="shared" si="1336"/>
        <v>0</v>
      </c>
      <c r="AN3855" s="498">
        <f t="shared" si="1337"/>
        <v>0</v>
      </c>
      <c r="AO3855" s="498">
        <f t="shared" si="1338"/>
        <v>0</v>
      </c>
      <c r="AP3855" s="498">
        <f t="shared" si="1335"/>
        <v>0</v>
      </c>
      <c r="AQ3855" s="498">
        <f t="shared" si="1352"/>
        <v>0</v>
      </c>
      <c r="AU3855" s="498">
        <f t="shared" si="1339"/>
        <v>0</v>
      </c>
      <c r="AV3855" s="498">
        <f t="shared" si="1340"/>
        <v>0</v>
      </c>
      <c r="AW3855" s="498">
        <f t="shared" si="1341"/>
        <v>0</v>
      </c>
      <c r="AX3855" s="498">
        <f t="shared" si="1342"/>
        <v>0</v>
      </c>
      <c r="AY3855" s="498">
        <f t="shared" si="1343"/>
        <v>0</v>
      </c>
      <c r="BB3855" s="498" t="str">
        <f t="shared" si="1344"/>
        <v/>
      </c>
      <c r="BC3855" s="743" t="str">
        <f t="shared" si="1345"/>
        <v/>
      </c>
      <c r="BD3855" s="743" t="str">
        <f t="shared" si="1346"/>
        <v/>
      </c>
      <c r="BE3855" s="743" t="str">
        <f>IF(D3855="","",VLOOKUP(D3855,'General Basis'!$J$39:$K$46,2,0))</f>
        <v/>
      </c>
      <c r="BF3855" s="744" t="str">
        <f>IF(D3855="","",VLOOKUP(D3855,'General Basis'!$J$39:$L$46,3,0))</f>
        <v/>
      </c>
      <c r="BG3855" s="744" t="str">
        <f t="shared" si="1353"/>
        <v/>
      </c>
      <c r="BH3855" s="744" t="str">
        <f>IF(G3855="","",IF(BF3855="Abu Dhabi",IF(G3855&lt;18,'General Basis'!$C$39,IF(G3855&lt;41,'General Basis'!$C$40,IF(G3855&lt;60,'General Basis'!$C$41,IF(G3855&lt;65,'General Basis'!$C$42,'General Basis'!$C$43)))),IF(G3855&lt;11,'General Basis'!$B$39,IF(G3855&lt;18,'General Basis'!$B$40,IF(G3855&lt;26,'General Basis'!$B$41,IF(G3855&lt;31,'General Basis'!$B$42,IF(G3855&lt;36,'General Basis'!$B$43,IF(G3855&lt;41,'General Basis'!$B$44,IF(G3855&lt;46,'General Basis'!$B$45,IF(G3855&lt;51,'General Basis'!$B$46,IF(G3855&lt;56,'General Basis'!$B$47,IF(G3855&lt;60,'General Basis'!$B$48,IF(G3855&lt;65,'General Basis'!$B$49,'General Basis'!$B$50)))))))))))))</f>
        <v/>
      </c>
      <c r="BI3855" s="744" t="str">
        <f t="shared" si="1347"/>
        <v/>
      </c>
      <c r="BJ3855" s="747" t="str">
        <f t="shared" si="1354"/>
        <v/>
      </c>
      <c r="BK3855" s="498" t="str">
        <f t="shared" si="1348"/>
        <v/>
      </c>
      <c r="BL3855" s="498" t="str">
        <f t="shared" si="1349"/>
        <v/>
      </c>
    </row>
    <row r="3856" spans="1:64" x14ac:dyDescent="0.25">
      <c r="A3856" s="762">
        <f t="shared" si="1350"/>
        <v>3851</v>
      </c>
      <c r="B3856" s="229"/>
      <c r="C3856" s="223"/>
      <c r="D3856" s="224"/>
      <c r="E3856" s="225"/>
      <c r="F3856" s="1036" t="str">
        <f t="shared" ref="F3856:F3919" si="1356">IF(C3856="","",IF($B3856="","",((YEAR($F$3)-YEAR($B3856))+(MONTH($F$3)-MONTH($B3856))/12+(DAY($F$3)-DAY($B3856))/(DATE(YEAR($F$3),12,31)-DATE(YEAR($F$3),1,1)+1))))</f>
        <v/>
      </c>
      <c r="G3856" s="1037" t="str">
        <f t="shared" si="1351"/>
        <v/>
      </c>
      <c r="H3856" s="225"/>
      <c r="I3856" s="1013"/>
      <c r="J3856" s="1013"/>
      <c r="K3856" s="1028"/>
      <c r="L3856" s="1035" t="str">
        <f t="shared" si="1355"/>
        <v/>
      </c>
      <c r="S3856" s="498"/>
      <c r="AJ3856" s="498"/>
      <c r="AM3856" s="498">
        <f t="shared" si="1336"/>
        <v>0</v>
      </c>
      <c r="AN3856" s="498">
        <f t="shared" si="1337"/>
        <v>0</v>
      </c>
      <c r="AO3856" s="498">
        <f t="shared" si="1338"/>
        <v>0</v>
      </c>
      <c r="AP3856" s="498">
        <f t="shared" si="1335"/>
        <v>0</v>
      </c>
      <c r="AQ3856" s="498">
        <f t="shared" si="1352"/>
        <v>0</v>
      </c>
      <c r="AU3856" s="498">
        <f t="shared" si="1339"/>
        <v>0</v>
      </c>
      <c r="AV3856" s="498">
        <f t="shared" si="1340"/>
        <v>0</v>
      </c>
      <c r="AW3856" s="498">
        <f t="shared" si="1341"/>
        <v>0</v>
      </c>
      <c r="AX3856" s="498">
        <f t="shared" si="1342"/>
        <v>0</v>
      </c>
      <c r="AY3856" s="498">
        <f t="shared" si="1343"/>
        <v>0</v>
      </c>
      <c r="BB3856" s="498" t="str">
        <f t="shared" si="1344"/>
        <v/>
      </c>
      <c r="BC3856" s="743" t="str">
        <f t="shared" si="1345"/>
        <v/>
      </c>
      <c r="BD3856" s="743" t="str">
        <f t="shared" si="1346"/>
        <v/>
      </c>
      <c r="BE3856" s="743" t="str">
        <f>IF(D3856="","",VLOOKUP(D3856,'General Basis'!$J$39:$K$46,2,0))</f>
        <v/>
      </c>
      <c r="BF3856" s="744" t="str">
        <f>IF(D3856="","",VLOOKUP(D3856,'General Basis'!$J$39:$L$46,3,0))</f>
        <v/>
      </c>
      <c r="BG3856" s="744" t="str">
        <f t="shared" si="1353"/>
        <v/>
      </c>
      <c r="BH3856" s="744" t="str">
        <f>IF(G3856="","",IF(BF3856="Abu Dhabi",IF(G3856&lt;18,'General Basis'!$C$39,IF(G3856&lt;41,'General Basis'!$C$40,IF(G3856&lt;60,'General Basis'!$C$41,IF(G3856&lt;65,'General Basis'!$C$42,'General Basis'!$C$43)))),IF(G3856&lt;11,'General Basis'!$B$39,IF(G3856&lt;18,'General Basis'!$B$40,IF(G3856&lt;26,'General Basis'!$B$41,IF(G3856&lt;31,'General Basis'!$B$42,IF(G3856&lt;36,'General Basis'!$B$43,IF(G3856&lt;41,'General Basis'!$B$44,IF(G3856&lt;46,'General Basis'!$B$45,IF(G3856&lt;51,'General Basis'!$B$46,IF(G3856&lt;56,'General Basis'!$B$47,IF(G3856&lt;60,'General Basis'!$B$48,IF(G3856&lt;65,'General Basis'!$B$49,'General Basis'!$B$50)))))))))))))</f>
        <v/>
      </c>
      <c r="BI3856" s="744" t="str">
        <f t="shared" si="1347"/>
        <v/>
      </c>
      <c r="BJ3856" s="747" t="str">
        <f t="shared" si="1354"/>
        <v/>
      </c>
      <c r="BK3856" s="498" t="str">
        <f t="shared" si="1348"/>
        <v/>
      </c>
      <c r="BL3856" s="498" t="str">
        <f t="shared" si="1349"/>
        <v/>
      </c>
    </row>
    <row r="3857" spans="1:64" x14ac:dyDescent="0.25">
      <c r="A3857" s="762">
        <f t="shared" si="1350"/>
        <v>3852</v>
      </c>
      <c r="B3857" s="229"/>
      <c r="C3857" s="223"/>
      <c r="D3857" s="224"/>
      <c r="E3857" s="225"/>
      <c r="F3857" s="1036" t="str">
        <f t="shared" si="1356"/>
        <v/>
      </c>
      <c r="G3857" s="1037" t="str">
        <f t="shared" si="1351"/>
        <v/>
      </c>
      <c r="H3857" s="225"/>
      <c r="I3857" s="1013"/>
      <c r="J3857" s="1013"/>
      <c r="K3857" s="1028"/>
      <c r="L3857" s="1035" t="str">
        <f t="shared" si="1355"/>
        <v/>
      </c>
      <c r="S3857" s="498"/>
      <c r="AJ3857" s="498"/>
      <c r="AM3857" s="498">
        <f t="shared" si="1336"/>
        <v>0</v>
      </c>
      <c r="AN3857" s="498">
        <f t="shared" si="1337"/>
        <v>0</v>
      </c>
      <c r="AO3857" s="498">
        <f t="shared" si="1338"/>
        <v>0</v>
      </c>
      <c r="AP3857" s="498">
        <f t="shared" si="1335"/>
        <v>0</v>
      </c>
      <c r="AQ3857" s="498">
        <f t="shared" si="1352"/>
        <v>0</v>
      </c>
      <c r="AU3857" s="498">
        <f t="shared" si="1339"/>
        <v>0</v>
      </c>
      <c r="AV3857" s="498">
        <f t="shared" si="1340"/>
        <v>0</v>
      </c>
      <c r="AW3857" s="498">
        <f t="shared" si="1341"/>
        <v>0</v>
      </c>
      <c r="AX3857" s="498">
        <f t="shared" si="1342"/>
        <v>0</v>
      </c>
      <c r="AY3857" s="498">
        <f t="shared" si="1343"/>
        <v>0</v>
      </c>
      <c r="BB3857" s="498" t="str">
        <f t="shared" si="1344"/>
        <v/>
      </c>
      <c r="BC3857" s="743" t="str">
        <f t="shared" si="1345"/>
        <v/>
      </c>
      <c r="BD3857" s="743" t="str">
        <f t="shared" si="1346"/>
        <v/>
      </c>
      <c r="BE3857" s="743" t="str">
        <f>IF(D3857="","",VLOOKUP(D3857,'General Basis'!$J$39:$K$46,2,0))</f>
        <v/>
      </c>
      <c r="BF3857" s="744" t="str">
        <f>IF(D3857="","",VLOOKUP(D3857,'General Basis'!$J$39:$L$46,3,0))</f>
        <v/>
      </c>
      <c r="BG3857" s="744" t="str">
        <f t="shared" si="1353"/>
        <v/>
      </c>
      <c r="BH3857" s="744" t="str">
        <f>IF(G3857="","",IF(BF3857="Abu Dhabi",IF(G3857&lt;18,'General Basis'!$C$39,IF(G3857&lt;41,'General Basis'!$C$40,IF(G3857&lt;60,'General Basis'!$C$41,IF(G3857&lt;65,'General Basis'!$C$42,'General Basis'!$C$43)))),IF(G3857&lt;11,'General Basis'!$B$39,IF(G3857&lt;18,'General Basis'!$B$40,IF(G3857&lt;26,'General Basis'!$B$41,IF(G3857&lt;31,'General Basis'!$B$42,IF(G3857&lt;36,'General Basis'!$B$43,IF(G3857&lt;41,'General Basis'!$B$44,IF(G3857&lt;46,'General Basis'!$B$45,IF(G3857&lt;51,'General Basis'!$B$46,IF(G3857&lt;56,'General Basis'!$B$47,IF(G3857&lt;60,'General Basis'!$B$48,IF(G3857&lt;65,'General Basis'!$B$49,'General Basis'!$B$50)))))))))))))</f>
        <v/>
      </c>
      <c r="BI3857" s="744" t="str">
        <f t="shared" si="1347"/>
        <v/>
      </c>
      <c r="BJ3857" s="747" t="str">
        <f t="shared" si="1354"/>
        <v/>
      </c>
      <c r="BK3857" s="498" t="str">
        <f t="shared" si="1348"/>
        <v/>
      </c>
      <c r="BL3857" s="498" t="str">
        <f t="shared" si="1349"/>
        <v/>
      </c>
    </row>
    <row r="3858" spans="1:64" x14ac:dyDescent="0.25">
      <c r="A3858" s="762">
        <f t="shared" si="1350"/>
        <v>3853</v>
      </c>
      <c r="B3858" s="229"/>
      <c r="C3858" s="223"/>
      <c r="D3858" s="224"/>
      <c r="E3858" s="225"/>
      <c r="F3858" s="1036" t="str">
        <f t="shared" si="1356"/>
        <v/>
      </c>
      <c r="G3858" s="1037" t="str">
        <f t="shared" si="1351"/>
        <v/>
      </c>
      <c r="H3858" s="225"/>
      <c r="I3858" s="1013"/>
      <c r="J3858" s="1013"/>
      <c r="K3858" s="1028"/>
      <c r="L3858" s="1035" t="str">
        <f t="shared" si="1355"/>
        <v/>
      </c>
      <c r="S3858" s="498"/>
      <c r="AJ3858" s="498"/>
      <c r="AM3858" s="498">
        <f t="shared" si="1336"/>
        <v>0</v>
      </c>
      <c r="AN3858" s="498">
        <f t="shared" si="1337"/>
        <v>0</v>
      </c>
      <c r="AO3858" s="498">
        <f t="shared" si="1338"/>
        <v>0</v>
      </c>
      <c r="AP3858" s="498">
        <f t="shared" si="1335"/>
        <v>0</v>
      </c>
      <c r="AQ3858" s="498">
        <f t="shared" si="1352"/>
        <v>0</v>
      </c>
      <c r="AU3858" s="498">
        <f t="shared" si="1339"/>
        <v>0</v>
      </c>
      <c r="AV3858" s="498">
        <f t="shared" si="1340"/>
        <v>0</v>
      </c>
      <c r="AW3858" s="498">
        <f t="shared" si="1341"/>
        <v>0</v>
      </c>
      <c r="AX3858" s="498">
        <f t="shared" si="1342"/>
        <v>0</v>
      </c>
      <c r="AY3858" s="498">
        <f t="shared" si="1343"/>
        <v>0</v>
      </c>
      <c r="BB3858" s="498" t="str">
        <f t="shared" si="1344"/>
        <v/>
      </c>
      <c r="BC3858" s="743" t="str">
        <f t="shared" si="1345"/>
        <v/>
      </c>
      <c r="BD3858" s="743" t="str">
        <f t="shared" si="1346"/>
        <v/>
      </c>
      <c r="BE3858" s="743" t="str">
        <f>IF(D3858="","",VLOOKUP(D3858,'General Basis'!$J$39:$K$46,2,0))</f>
        <v/>
      </c>
      <c r="BF3858" s="744" t="str">
        <f>IF(D3858="","",VLOOKUP(D3858,'General Basis'!$J$39:$L$46,3,0))</f>
        <v/>
      </c>
      <c r="BG3858" s="744" t="str">
        <f t="shared" si="1353"/>
        <v/>
      </c>
      <c r="BH3858" s="744" t="str">
        <f>IF(G3858="","",IF(BF3858="Abu Dhabi",IF(G3858&lt;18,'General Basis'!$C$39,IF(G3858&lt;41,'General Basis'!$C$40,IF(G3858&lt;60,'General Basis'!$C$41,IF(G3858&lt;65,'General Basis'!$C$42,'General Basis'!$C$43)))),IF(G3858&lt;11,'General Basis'!$B$39,IF(G3858&lt;18,'General Basis'!$B$40,IF(G3858&lt;26,'General Basis'!$B$41,IF(G3858&lt;31,'General Basis'!$B$42,IF(G3858&lt;36,'General Basis'!$B$43,IF(G3858&lt;41,'General Basis'!$B$44,IF(G3858&lt;46,'General Basis'!$B$45,IF(G3858&lt;51,'General Basis'!$B$46,IF(G3858&lt;56,'General Basis'!$B$47,IF(G3858&lt;60,'General Basis'!$B$48,IF(G3858&lt;65,'General Basis'!$B$49,'General Basis'!$B$50)))))))))))))</f>
        <v/>
      </c>
      <c r="BI3858" s="744" t="str">
        <f t="shared" si="1347"/>
        <v/>
      </c>
      <c r="BJ3858" s="747" t="str">
        <f t="shared" si="1354"/>
        <v/>
      </c>
      <c r="BK3858" s="498" t="str">
        <f t="shared" si="1348"/>
        <v/>
      </c>
      <c r="BL3858" s="498" t="str">
        <f t="shared" si="1349"/>
        <v/>
      </c>
    </row>
    <row r="3859" spans="1:64" x14ac:dyDescent="0.25">
      <c r="A3859" s="762">
        <f t="shared" si="1350"/>
        <v>3854</v>
      </c>
      <c r="B3859" s="229"/>
      <c r="C3859" s="223"/>
      <c r="D3859" s="224"/>
      <c r="E3859" s="225"/>
      <c r="F3859" s="1036" t="str">
        <f t="shared" si="1356"/>
        <v/>
      </c>
      <c r="G3859" s="1037" t="str">
        <f t="shared" si="1351"/>
        <v/>
      </c>
      <c r="H3859" s="225"/>
      <c r="I3859" s="1013"/>
      <c r="J3859" s="1013"/>
      <c r="K3859" s="1028"/>
      <c r="L3859" s="1035" t="str">
        <f t="shared" si="1355"/>
        <v/>
      </c>
      <c r="S3859" s="498"/>
      <c r="AJ3859" s="498"/>
      <c r="AM3859" s="498">
        <f t="shared" si="1336"/>
        <v>0</v>
      </c>
      <c r="AN3859" s="498">
        <f t="shared" si="1337"/>
        <v>0</v>
      </c>
      <c r="AO3859" s="498">
        <f t="shared" si="1338"/>
        <v>0</v>
      </c>
      <c r="AP3859" s="498">
        <f t="shared" ref="AP3859:AP3922" si="1357">IF(ISBLANK($B3859),0,IF(OR($C3859="M",$C3859="F"),0,1))</f>
        <v>0</v>
      </c>
      <c r="AQ3859" s="498">
        <f t="shared" si="1352"/>
        <v>0</v>
      </c>
      <c r="AU3859" s="498">
        <f t="shared" si="1339"/>
        <v>0</v>
      </c>
      <c r="AV3859" s="498">
        <f t="shared" si="1340"/>
        <v>0</v>
      </c>
      <c r="AW3859" s="498">
        <f t="shared" si="1341"/>
        <v>0</v>
      </c>
      <c r="AX3859" s="498">
        <f t="shared" si="1342"/>
        <v>0</v>
      </c>
      <c r="AY3859" s="498">
        <f t="shared" si="1343"/>
        <v>0</v>
      </c>
      <c r="BB3859" s="498" t="str">
        <f t="shared" si="1344"/>
        <v/>
      </c>
      <c r="BC3859" s="743" t="str">
        <f t="shared" si="1345"/>
        <v/>
      </c>
      <c r="BD3859" s="743" t="str">
        <f t="shared" si="1346"/>
        <v/>
      </c>
      <c r="BE3859" s="743" t="str">
        <f>IF(D3859="","",VLOOKUP(D3859,'General Basis'!$J$39:$K$46,2,0))</f>
        <v/>
      </c>
      <c r="BF3859" s="744" t="str">
        <f>IF(D3859="","",VLOOKUP(D3859,'General Basis'!$J$39:$L$46,3,0))</f>
        <v/>
      </c>
      <c r="BG3859" s="744" t="str">
        <f t="shared" si="1353"/>
        <v/>
      </c>
      <c r="BH3859" s="744" t="str">
        <f>IF(G3859="","",IF(BF3859="Abu Dhabi",IF(G3859&lt;18,'General Basis'!$C$39,IF(G3859&lt;41,'General Basis'!$C$40,IF(G3859&lt;60,'General Basis'!$C$41,IF(G3859&lt;65,'General Basis'!$C$42,'General Basis'!$C$43)))),IF(G3859&lt;11,'General Basis'!$B$39,IF(G3859&lt;18,'General Basis'!$B$40,IF(G3859&lt;26,'General Basis'!$B$41,IF(G3859&lt;31,'General Basis'!$B$42,IF(G3859&lt;36,'General Basis'!$B$43,IF(G3859&lt;41,'General Basis'!$B$44,IF(G3859&lt;46,'General Basis'!$B$45,IF(G3859&lt;51,'General Basis'!$B$46,IF(G3859&lt;56,'General Basis'!$B$47,IF(G3859&lt;60,'General Basis'!$B$48,IF(G3859&lt;65,'General Basis'!$B$49,'General Basis'!$B$50)))))))))))))</f>
        <v/>
      </c>
      <c r="BI3859" s="744" t="str">
        <f t="shared" si="1347"/>
        <v/>
      </c>
      <c r="BJ3859" s="747" t="str">
        <f t="shared" si="1354"/>
        <v/>
      </c>
      <c r="BK3859" s="498" t="str">
        <f t="shared" si="1348"/>
        <v/>
      </c>
      <c r="BL3859" s="498" t="str">
        <f t="shared" si="1349"/>
        <v/>
      </c>
    </row>
    <row r="3860" spans="1:64" x14ac:dyDescent="0.25">
      <c r="A3860" s="762">
        <f t="shared" si="1350"/>
        <v>3855</v>
      </c>
      <c r="B3860" s="229"/>
      <c r="C3860" s="223"/>
      <c r="D3860" s="224"/>
      <c r="E3860" s="225"/>
      <c r="F3860" s="1036" t="str">
        <f t="shared" si="1356"/>
        <v/>
      </c>
      <c r="G3860" s="1037" t="str">
        <f t="shared" si="1351"/>
        <v/>
      </c>
      <c r="H3860" s="225"/>
      <c r="I3860" s="1013"/>
      <c r="J3860" s="1013"/>
      <c r="K3860" s="1028"/>
      <c r="L3860" s="1035" t="str">
        <f t="shared" si="1355"/>
        <v/>
      </c>
      <c r="S3860" s="498"/>
      <c r="AJ3860" s="498"/>
      <c r="AM3860" s="498">
        <f t="shared" si="1336"/>
        <v>0</v>
      </c>
      <c r="AN3860" s="498">
        <f t="shared" si="1337"/>
        <v>0</v>
      </c>
      <c r="AO3860" s="498">
        <f t="shared" si="1338"/>
        <v>0</v>
      </c>
      <c r="AP3860" s="498">
        <f t="shared" si="1357"/>
        <v>0</v>
      </c>
      <c r="AQ3860" s="498">
        <f t="shared" si="1352"/>
        <v>0</v>
      </c>
      <c r="AU3860" s="498">
        <f t="shared" si="1339"/>
        <v>0</v>
      </c>
      <c r="AV3860" s="498">
        <f t="shared" si="1340"/>
        <v>0</v>
      </c>
      <c r="AW3860" s="498">
        <f t="shared" si="1341"/>
        <v>0</v>
      </c>
      <c r="AX3860" s="498">
        <f t="shared" si="1342"/>
        <v>0</v>
      </c>
      <c r="AY3860" s="498">
        <f t="shared" si="1343"/>
        <v>0</v>
      </c>
      <c r="BB3860" s="498" t="str">
        <f t="shared" si="1344"/>
        <v/>
      </c>
      <c r="BC3860" s="743" t="str">
        <f t="shared" si="1345"/>
        <v/>
      </c>
      <c r="BD3860" s="743" t="str">
        <f t="shared" si="1346"/>
        <v/>
      </c>
      <c r="BE3860" s="743" t="str">
        <f>IF(D3860="","",VLOOKUP(D3860,'General Basis'!$J$39:$K$46,2,0))</f>
        <v/>
      </c>
      <c r="BF3860" s="744" t="str">
        <f>IF(D3860="","",VLOOKUP(D3860,'General Basis'!$J$39:$L$46,3,0))</f>
        <v/>
      </c>
      <c r="BG3860" s="744" t="str">
        <f t="shared" si="1353"/>
        <v/>
      </c>
      <c r="BH3860" s="744" t="str">
        <f>IF(G3860="","",IF(BF3860="Abu Dhabi",IF(G3860&lt;18,'General Basis'!$C$39,IF(G3860&lt;41,'General Basis'!$C$40,IF(G3860&lt;60,'General Basis'!$C$41,IF(G3860&lt;65,'General Basis'!$C$42,'General Basis'!$C$43)))),IF(G3860&lt;11,'General Basis'!$B$39,IF(G3860&lt;18,'General Basis'!$B$40,IF(G3860&lt;26,'General Basis'!$B$41,IF(G3860&lt;31,'General Basis'!$B$42,IF(G3860&lt;36,'General Basis'!$B$43,IF(G3860&lt;41,'General Basis'!$B$44,IF(G3860&lt;46,'General Basis'!$B$45,IF(G3860&lt;51,'General Basis'!$B$46,IF(G3860&lt;56,'General Basis'!$B$47,IF(G3860&lt;60,'General Basis'!$B$48,IF(G3860&lt;65,'General Basis'!$B$49,'General Basis'!$B$50)))))))))))))</f>
        <v/>
      </c>
      <c r="BI3860" s="744" t="str">
        <f t="shared" si="1347"/>
        <v/>
      </c>
      <c r="BJ3860" s="747" t="str">
        <f t="shared" si="1354"/>
        <v/>
      </c>
      <c r="BK3860" s="498" t="str">
        <f t="shared" si="1348"/>
        <v/>
      </c>
      <c r="BL3860" s="498" t="str">
        <f t="shared" si="1349"/>
        <v/>
      </c>
    </row>
    <row r="3861" spans="1:64" x14ac:dyDescent="0.25">
      <c r="A3861" s="762">
        <f t="shared" si="1350"/>
        <v>3856</v>
      </c>
      <c r="B3861" s="229"/>
      <c r="C3861" s="223"/>
      <c r="D3861" s="224"/>
      <c r="E3861" s="225"/>
      <c r="F3861" s="1036" t="str">
        <f t="shared" si="1356"/>
        <v/>
      </c>
      <c r="G3861" s="1037" t="str">
        <f t="shared" si="1351"/>
        <v/>
      </c>
      <c r="H3861" s="225"/>
      <c r="I3861" s="1013"/>
      <c r="J3861" s="1013"/>
      <c r="K3861" s="1028"/>
      <c r="L3861" s="1035" t="str">
        <f t="shared" si="1355"/>
        <v/>
      </c>
      <c r="S3861" s="498"/>
      <c r="AJ3861" s="498"/>
      <c r="AM3861" s="498">
        <f t="shared" si="1336"/>
        <v>0</v>
      </c>
      <c r="AN3861" s="498">
        <f t="shared" si="1337"/>
        <v>0</v>
      </c>
      <c r="AO3861" s="498">
        <f t="shared" si="1338"/>
        <v>0</v>
      </c>
      <c r="AP3861" s="498">
        <f t="shared" si="1357"/>
        <v>0</v>
      </c>
      <c r="AQ3861" s="498">
        <f t="shared" si="1352"/>
        <v>0</v>
      </c>
      <c r="AU3861" s="498">
        <f t="shared" si="1339"/>
        <v>0</v>
      </c>
      <c r="AV3861" s="498">
        <f t="shared" si="1340"/>
        <v>0</v>
      </c>
      <c r="AW3861" s="498">
        <f t="shared" si="1341"/>
        <v>0</v>
      </c>
      <c r="AX3861" s="498">
        <f t="shared" si="1342"/>
        <v>0</v>
      </c>
      <c r="AY3861" s="498">
        <f t="shared" si="1343"/>
        <v>0</v>
      </c>
      <c r="BB3861" s="498" t="str">
        <f t="shared" si="1344"/>
        <v/>
      </c>
      <c r="BC3861" s="743" t="str">
        <f t="shared" si="1345"/>
        <v/>
      </c>
      <c r="BD3861" s="743" t="str">
        <f t="shared" si="1346"/>
        <v/>
      </c>
      <c r="BE3861" s="743" t="str">
        <f>IF(D3861="","",VLOOKUP(D3861,'General Basis'!$J$39:$K$46,2,0))</f>
        <v/>
      </c>
      <c r="BF3861" s="744" t="str">
        <f>IF(D3861="","",VLOOKUP(D3861,'General Basis'!$J$39:$L$46,3,0))</f>
        <v/>
      </c>
      <c r="BG3861" s="744" t="str">
        <f t="shared" si="1353"/>
        <v/>
      </c>
      <c r="BH3861" s="744" t="str">
        <f>IF(G3861="","",IF(BF3861="Abu Dhabi",IF(G3861&lt;18,'General Basis'!$C$39,IF(G3861&lt;41,'General Basis'!$C$40,IF(G3861&lt;60,'General Basis'!$C$41,IF(G3861&lt;65,'General Basis'!$C$42,'General Basis'!$C$43)))),IF(G3861&lt;11,'General Basis'!$B$39,IF(G3861&lt;18,'General Basis'!$B$40,IF(G3861&lt;26,'General Basis'!$B$41,IF(G3861&lt;31,'General Basis'!$B$42,IF(G3861&lt;36,'General Basis'!$B$43,IF(G3861&lt;41,'General Basis'!$B$44,IF(G3861&lt;46,'General Basis'!$B$45,IF(G3861&lt;51,'General Basis'!$B$46,IF(G3861&lt;56,'General Basis'!$B$47,IF(G3861&lt;60,'General Basis'!$B$48,IF(G3861&lt;65,'General Basis'!$B$49,'General Basis'!$B$50)))))))))))))</f>
        <v/>
      </c>
      <c r="BI3861" s="744" t="str">
        <f t="shared" si="1347"/>
        <v/>
      </c>
      <c r="BJ3861" s="747" t="str">
        <f t="shared" si="1354"/>
        <v/>
      </c>
      <c r="BK3861" s="498" t="str">
        <f t="shared" si="1348"/>
        <v/>
      </c>
      <c r="BL3861" s="498" t="str">
        <f t="shared" si="1349"/>
        <v/>
      </c>
    </row>
    <row r="3862" spans="1:64" x14ac:dyDescent="0.25">
      <c r="A3862" s="762">
        <f t="shared" si="1350"/>
        <v>3857</v>
      </c>
      <c r="B3862" s="229"/>
      <c r="C3862" s="223"/>
      <c r="D3862" s="224"/>
      <c r="E3862" s="225"/>
      <c r="F3862" s="1036" t="str">
        <f t="shared" si="1356"/>
        <v/>
      </c>
      <c r="G3862" s="1037" t="str">
        <f t="shared" si="1351"/>
        <v/>
      </c>
      <c r="H3862" s="225"/>
      <c r="I3862" s="1013"/>
      <c r="J3862" s="1013"/>
      <c r="K3862" s="1028"/>
      <c r="L3862" s="1035" t="str">
        <f t="shared" si="1355"/>
        <v/>
      </c>
      <c r="S3862" s="498"/>
      <c r="AJ3862" s="498"/>
      <c r="AM3862" s="498">
        <f t="shared" si="1336"/>
        <v>0</v>
      </c>
      <c r="AN3862" s="498">
        <f t="shared" si="1337"/>
        <v>0</v>
      </c>
      <c r="AO3862" s="498">
        <f t="shared" si="1338"/>
        <v>0</v>
      </c>
      <c r="AP3862" s="498">
        <f t="shared" si="1357"/>
        <v>0</v>
      </c>
      <c r="AQ3862" s="498">
        <f t="shared" si="1352"/>
        <v>0</v>
      </c>
      <c r="AU3862" s="498">
        <f t="shared" si="1339"/>
        <v>0</v>
      </c>
      <c r="AV3862" s="498">
        <f t="shared" si="1340"/>
        <v>0</v>
      </c>
      <c r="AW3862" s="498">
        <f t="shared" si="1341"/>
        <v>0</v>
      </c>
      <c r="AX3862" s="498">
        <f t="shared" si="1342"/>
        <v>0</v>
      </c>
      <c r="AY3862" s="498">
        <f t="shared" si="1343"/>
        <v>0</v>
      </c>
      <c r="BB3862" s="498" t="str">
        <f t="shared" si="1344"/>
        <v/>
      </c>
      <c r="BC3862" s="743" t="str">
        <f t="shared" si="1345"/>
        <v/>
      </c>
      <c r="BD3862" s="743" t="str">
        <f t="shared" si="1346"/>
        <v/>
      </c>
      <c r="BE3862" s="743" t="str">
        <f>IF(D3862="","",VLOOKUP(D3862,'General Basis'!$J$39:$K$46,2,0))</f>
        <v/>
      </c>
      <c r="BF3862" s="744" t="str">
        <f>IF(D3862="","",VLOOKUP(D3862,'General Basis'!$J$39:$L$46,3,0))</f>
        <v/>
      </c>
      <c r="BG3862" s="744" t="str">
        <f t="shared" si="1353"/>
        <v/>
      </c>
      <c r="BH3862" s="744" t="str">
        <f>IF(G3862="","",IF(BF3862="Abu Dhabi",IF(G3862&lt;18,'General Basis'!$C$39,IF(G3862&lt;41,'General Basis'!$C$40,IF(G3862&lt;60,'General Basis'!$C$41,IF(G3862&lt;65,'General Basis'!$C$42,'General Basis'!$C$43)))),IF(G3862&lt;11,'General Basis'!$B$39,IF(G3862&lt;18,'General Basis'!$B$40,IF(G3862&lt;26,'General Basis'!$B$41,IF(G3862&lt;31,'General Basis'!$B$42,IF(G3862&lt;36,'General Basis'!$B$43,IF(G3862&lt;41,'General Basis'!$B$44,IF(G3862&lt;46,'General Basis'!$B$45,IF(G3862&lt;51,'General Basis'!$B$46,IF(G3862&lt;56,'General Basis'!$B$47,IF(G3862&lt;60,'General Basis'!$B$48,IF(G3862&lt;65,'General Basis'!$B$49,'General Basis'!$B$50)))))))))))))</f>
        <v/>
      </c>
      <c r="BI3862" s="744" t="str">
        <f t="shared" si="1347"/>
        <v/>
      </c>
      <c r="BJ3862" s="747" t="str">
        <f t="shared" si="1354"/>
        <v/>
      </c>
      <c r="BK3862" s="498" t="str">
        <f t="shared" si="1348"/>
        <v/>
      </c>
      <c r="BL3862" s="498" t="str">
        <f t="shared" si="1349"/>
        <v/>
      </c>
    </row>
    <row r="3863" spans="1:64" x14ac:dyDescent="0.25">
      <c r="A3863" s="762">
        <f t="shared" si="1350"/>
        <v>3858</v>
      </c>
      <c r="B3863" s="229"/>
      <c r="C3863" s="223"/>
      <c r="D3863" s="224"/>
      <c r="E3863" s="225"/>
      <c r="F3863" s="1036" t="str">
        <f t="shared" si="1356"/>
        <v/>
      </c>
      <c r="G3863" s="1037" t="str">
        <f t="shared" si="1351"/>
        <v/>
      </c>
      <c r="H3863" s="225"/>
      <c r="I3863" s="1013"/>
      <c r="J3863" s="1013"/>
      <c r="K3863" s="1028"/>
      <c r="L3863" s="1035" t="str">
        <f t="shared" si="1355"/>
        <v/>
      </c>
      <c r="S3863" s="498"/>
      <c r="AJ3863" s="498"/>
      <c r="AM3863" s="498">
        <f t="shared" si="1336"/>
        <v>0</v>
      </c>
      <c r="AN3863" s="498">
        <f t="shared" si="1337"/>
        <v>0</v>
      </c>
      <c r="AO3863" s="498">
        <f t="shared" si="1338"/>
        <v>0</v>
      </c>
      <c r="AP3863" s="498">
        <f t="shared" si="1357"/>
        <v>0</v>
      </c>
      <c r="AQ3863" s="498">
        <f t="shared" si="1352"/>
        <v>0</v>
      </c>
      <c r="AU3863" s="498">
        <f t="shared" si="1339"/>
        <v>0</v>
      </c>
      <c r="AV3863" s="498">
        <f t="shared" si="1340"/>
        <v>0</v>
      </c>
      <c r="AW3863" s="498">
        <f t="shared" si="1341"/>
        <v>0</v>
      </c>
      <c r="AX3863" s="498">
        <f t="shared" si="1342"/>
        <v>0</v>
      </c>
      <c r="AY3863" s="498">
        <f t="shared" si="1343"/>
        <v>0</v>
      </c>
      <c r="BB3863" s="498" t="str">
        <f t="shared" si="1344"/>
        <v/>
      </c>
      <c r="BC3863" s="743" t="str">
        <f t="shared" si="1345"/>
        <v/>
      </c>
      <c r="BD3863" s="743" t="str">
        <f t="shared" si="1346"/>
        <v/>
      </c>
      <c r="BE3863" s="743" t="str">
        <f>IF(D3863="","",VLOOKUP(D3863,'General Basis'!$J$39:$K$46,2,0))</f>
        <v/>
      </c>
      <c r="BF3863" s="744" t="str">
        <f>IF(D3863="","",VLOOKUP(D3863,'General Basis'!$J$39:$L$46,3,0))</f>
        <v/>
      </c>
      <c r="BG3863" s="744" t="str">
        <f t="shared" si="1353"/>
        <v/>
      </c>
      <c r="BH3863" s="744" t="str">
        <f>IF(G3863="","",IF(BF3863="Abu Dhabi",IF(G3863&lt;18,'General Basis'!$C$39,IF(G3863&lt;41,'General Basis'!$C$40,IF(G3863&lt;60,'General Basis'!$C$41,IF(G3863&lt;65,'General Basis'!$C$42,'General Basis'!$C$43)))),IF(G3863&lt;11,'General Basis'!$B$39,IF(G3863&lt;18,'General Basis'!$B$40,IF(G3863&lt;26,'General Basis'!$B$41,IF(G3863&lt;31,'General Basis'!$B$42,IF(G3863&lt;36,'General Basis'!$B$43,IF(G3863&lt;41,'General Basis'!$B$44,IF(G3863&lt;46,'General Basis'!$B$45,IF(G3863&lt;51,'General Basis'!$B$46,IF(G3863&lt;56,'General Basis'!$B$47,IF(G3863&lt;60,'General Basis'!$B$48,IF(G3863&lt;65,'General Basis'!$B$49,'General Basis'!$B$50)))))))))))))</f>
        <v/>
      </c>
      <c r="BI3863" s="744" t="str">
        <f t="shared" si="1347"/>
        <v/>
      </c>
      <c r="BJ3863" s="747" t="str">
        <f t="shared" si="1354"/>
        <v/>
      </c>
      <c r="BK3863" s="498" t="str">
        <f t="shared" si="1348"/>
        <v/>
      </c>
      <c r="BL3863" s="498" t="str">
        <f t="shared" si="1349"/>
        <v/>
      </c>
    </row>
    <row r="3864" spans="1:64" x14ac:dyDescent="0.25">
      <c r="A3864" s="762">
        <f t="shared" si="1350"/>
        <v>3859</v>
      </c>
      <c r="B3864" s="229"/>
      <c r="C3864" s="223"/>
      <c r="D3864" s="224"/>
      <c r="E3864" s="225"/>
      <c r="F3864" s="1036" t="str">
        <f t="shared" si="1356"/>
        <v/>
      </c>
      <c r="G3864" s="1037" t="str">
        <f t="shared" si="1351"/>
        <v/>
      </c>
      <c r="H3864" s="225"/>
      <c r="I3864" s="1013"/>
      <c r="J3864" s="1013"/>
      <c r="K3864" s="1028"/>
      <c r="L3864" s="1035" t="str">
        <f t="shared" si="1355"/>
        <v/>
      </c>
      <c r="S3864" s="498"/>
      <c r="AJ3864" s="498"/>
      <c r="AM3864" s="498">
        <f t="shared" si="1336"/>
        <v>0</v>
      </c>
      <c r="AN3864" s="498">
        <f t="shared" si="1337"/>
        <v>0</v>
      </c>
      <c r="AO3864" s="498">
        <f t="shared" si="1338"/>
        <v>0</v>
      </c>
      <c r="AP3864" s="498">
        <f t="shared" si="1357"/>
        <v>0</v>
      </c>
      <c r="AQ3864" s="498">
        <f t="shared" si="1352"/>
        <v>0</v>
      </c>
      <c r="AU3864" s="498">
        <f t="shared" si="1339"/>
        <v>0</v>
      </c>
      <c r="AV3864" s="498">
        <f t="shared" si="1340"/>
        <v>0</v>
      </c>
      <c r="AW3864" s="498">
        <f t="shared" si="1341"/>
        <v>0</v>
      </c>
      <c r="AX3864" s="498">
        <f t="shared" si="1342"/>
        <v>0</v>
      </c>
      <c r="AY3864" s="498">
        <f t="shared" si="1343"/>
        <v>0</v>
      </c>
      <c r="BB3864" s="498" t="str">
        <f t="shared" si="1344"/>
        <v/>
      </c>
      <c r="BC3864" s="743" t="str">
        <f t="shared" si="1345"/>
        <v/>
      </c>
      <c r="BD3864" s="743" t="str">
        <f t="shared" si="1346"/>
        <v/>
      </c>
      <c r="BE3864" s="743" t="str">
        <f>IF(D3864="","",VLOOKUP(D3864,'General Basis'!$J$39:$K$46,2,0))</f>
        <v/>
      </c>
      <c r="BF3864" s="744" t="str">
        <f>IF(D3864="","",VLOOKUP(D3864,'General Basis'!$J$39:$L$46,3,0))</f>
        <v/>
      </c>
      <c r="BG3864" s="744" t="str">
        <f t="shared" si="1353"/>
        <v/>
      </c>
      <c r="BH3864" s="744" t="str">
        <f>IF(G3864="","",IF(BF3864="Abu Dhabi",IF(G3864&lt;18,'General Basis'!$C$39,IF(G3864&lt;41,'General Basis'!$C$40,IF(G3864&lt;60,'General Basis'!$C$41,IF(G3864&lt;65,'General Basis'!$C$42,'General Basis'!$C$43)))),IF(G3864&lt;11,'General Basis'!$B$39,IF(G3864&lt;18,'General Basis'!$B$40,IF(G3864&lt;26,'General Basis'!$B$41,IF(G3864&lt;31,'General Basis'!$B$42,IF(G3864&lt;36,'General Basis'!$B$43,IF(G3864&lt;41,'General Basis'!$B$44,IF(G3864&lt;46,'General Basis'!$B$45,IF(G3864&lt;51,'General Basis'!$B$46,IF(G3864&lt;56,'General Basis'!$B$47,IF(G3864&lt;60,'General Basis'!$B$48,IF(G3864&lt;65,'General Basis'!$B$49,'General Basis'!$B$50)))))))))))))</f>
        <v/>
      </c>
      <c r="BI3864" s="744" t="str">
        <f t="shared" si="1347"/>
        <v/>
      </c>
      <c r="BJ3864" s="747" t="str">
        <f t="shared" si="1354"/>
        <v/>
      </c>
      <c r="BK3864" s="498" t="str">
        <f t="shared" si="1348"/>
        <v/>
      </c>
      <c r="BL3864" s="498" t="str">
        <f t="shared" si="1349"/>
        <v/>
      </c>
    </row>
    <row r="3865" spans="1:64" x14ac:dyDescent="0.25">
      <c r="A3865" s="762">
        <f t="shared" si="1350"/>
        <v>3860</v>
      </c>
      <c r="B3865" s="229"/>
      <c r="C3865" s="223"/>
      <c r="D3865" s="224"/>
      <c r="E3865" s="225"/>
      <c r="F3865" s="1036" t="str">
        <f t="shared" si="1356"/>
        <v/>
      </c>
      <c r="G3865" s="1037" t="str">
        <f t="shared" si="1351"/>
        <v/>
      </c>
      <c r="H3865" s="225"/>
      <c r="I3865" s="1013"/>
      <c r="J3865" s="1013"/>
      <c r="K3865" s="1028"/>
      <c r="L3865" s="1035" t="str">
        <f t="shared" si="1355"/>
        <v/>
      </c>
      <c r="S3865" s="498"/>
      <c r="AJ3865" s="498"/>
      <c r="AM3865" s="498">
        <f t="shared" si="1336"/>
        <v>0</v>
      </c>
      <c r="AN3865" s="498">
        <f t="shared" si="1337"/>
        <v>0</v>
      </c>
      <c r="AO3865" s="498">
        <f t="shared" si="1338"/>
        <v>0</v>
      </c>
      <c r="AP3865" s="498">
        <f t="shared" si="1357"/>
        <v>0</v>
      </c>
      <c r="AQ3865" s="498">
        <f t="shared" si="1352"/>
        <v>0</v>
      </c>
      <c r="AU3865" s="498">
        <f t="shared" si="1339"/>
        <v>0</v>
      </c>
      <c r="AV3865" s="498">
        <f t="shared" si="1340"/>
        <v>0</v>
      </c>
      <c r="AW3865" s="498">
        <f t="shared" si="1341"/>
        <v>0</v>
      </c>
      <c r="AX3865" s="498">
        <f t="shared" si="1342"/>
        <v>0</v>
      </c>
      <c r="AY3865" s="498">
        <f t="shared" si="1343"/>
        <v>0</v>
      </c>
      <c r="BB3865" s="498" t="str">
        <f t="shared" si="1344"/>
        <v/>
      </c>
      <c r="BC3865" s="743" t="str">
        <f t="shared" si="1345"/>
        <v/>
      </c>
      <c r="BD3865" s="743" t="str">
        <f t="shared" si="1346"/>
        <v/>
      </c>
      <c r="BE3865" s="743" t="str">
        <f>IF(D3865="","",VLOOKUP(D3865,'General Basis'!$J$39:$K$46,2,0))</f>
        <v/>
      </c>
      <c r="BF3865" s="744" t="str">
        <f>IF(D3865="","",VLOOKUP(D3865,'General Basis'!$J$39:$L$46,3,0))</f>
        <v/>
      </c>
      <c r="BG3865" s="744" t="str">
        <f t="shared" si="1353"/>
        <v/>
      </c>
      <c r="BH3865" s="744" t="str">
        <f>IF(G3865="","",IF(BF3865="Abu Dhabi",IF(G3865&lt;18,'General Basis'!$C$39,IF(G3865&lt;41,'General Basis'!$C$40,IF(G3865&lt;60,'General Basis'!$C$41,IF(G3865&lt;65,'General Basis'!$C$42,'General Basis'!$C$43)))),IF(G3865&lt;11,'General Basis'!$B$39,IF(G3865&lt;18,'General Basis'!$B$40,IF(G3865&lt;26,'General Basis'!$B$41,IF(G3865&lt;31,'General Basis'!$B$42,IF(G3865&lt;36,'General Basis'!$B$43,IF(G3865&lt;41,'General Basis'!$B$44,IF(G3865&lt;46,'General Basis'!$B$45,IF(G3865&lt;51,'General Basis'!$B$46,IF(G3865&lt;56,'General Basis'!$B$47,IF(G3865&lt;60,'General Basis'!$B$48,IF(G3865&lt;65,'General Basis'!$B$49,'General Basis'!$B$50)))))))))))))</f>
        <v/>
      </c>
      <c r="BI3865" s="744" t="str">
        <f t="shared" si="1347"/>
        <v/>
      </c>
      <c r="BJ3865" s="747" t="str">
        <f t="shared" si="1354"/>
        <v/>
      </c>
      <c r="BK3865" s="498" t="str">
        <f t="shared" si="1348"/>
        <v/>
      </c>
      <c r="BL3865" s="498" t="str">
        <f t="shared" si="1349"/>
        <v/>
      </c>
    </row>
    <row r="3866" spans="1:64" x14ac:dyDescent="0.25">
      <c r="A3866" s="762">
        <f t="shared" si="1350"/>
        <v>3861</v>
      </c>
      <c r="B3866" s="229"/>
      <c r="C3866" s="223"/>
      <c r="D3866" s="224"/>
      <c r="E3866" s="225"/>
      <c r="F3866" s="1036" t="str">
        <f t="shared" si="1356"/>
        <v/>
      </c>
      <c r="G3866" s="1037" t="str">
        <f t="shared" si="1351"/>
        <v/>
      </c>
      <c r="H3866" s="225"/>
      <c r="I3866" s="1013"/>
      <c r="J3866" s="1013"/>
      <c r="K3866" s="1028"/>
      <c r="L3866" s="1035" t="str">
        <f t="shared" si="1355"/>
        <v/>
      </c>
      <c r="S3866" s="498"/>
      <c r="AJ3866" s="498"/>
      <c r="AM3866" s="498">
        <f t="shared" si="1336"/>
        <v>0</v>
      </c>
      <c r="AN3866" s="498">
        <f t="shared" si="1337"/>
        <v>0</v>
      </c>
      <c r="AO3866" s="498">
        <f t="shared" si="1338"/>
        <v>0</v>
      </c>
      <c r="AP3866" s="498">
        <f t="shared" si="1357"/>
        <v>0</v>
      </c>
      <c r="AQ3866" s="498">
        <f t="shared" si="1352"/>
        <v>0</v>
      </c>
      <c r="AU3866" s="498">
        <f t="shared" si="1339"/>
        <v>0</v>
      </c>
      <c r="AV3866" s="498">
        <f t="shared" si="1340"/>
        <v>0</v>
      </c>
      <c r="AW3866" s="498">
        <f t="shared" si="1341"/>
        <v>0</v>
      </c>
      <c r="AX3866" s="498">
        <f t="shared" si="1342"/>
        <v>0</v>
      </c>
      <c r="AY3866" s="498">
        <f t="shared" si="1343"/>
        <v>0</v>
      </c>
      <c r="BB3866" s="498" t="str">
        <f t="shared" si="1344"/>
        <v/>
      </c>
      <c r="BC3866" s="743" t="str">
        <f t="shared" si="1345"/>
        <v/>
      </c>
      <c r="BD3866" s="743" t="str">
        <f t="shared" si="1346"/>
        <v/>
      </c>
      <c r="BE3866" s="743" t="str">
        <f>IF(D3866="","",VLOOKUP(D3866,'General Basis'!$J$39:$K$46,2,0))</f>
        <v/>
      </c>
      <c r="BF3866" s="744" t="str">
        <f>IF(D3866="","",VLOOKUP(D3866,'General Basis'!$J$39:$L$46,3,0))</f>
        <v/>
      </c>
      <c r="BG3866" s="744" t="str">
        <f t="shared" si="1353"/>
        <v/>
      </c>
      <c r="BH3866" s="744" t="str">
        <f>IF(G3866="","",IF(BF3866="Abu Dhabi",IF(G3866&lt;18,'General Basis'!$C$39,IF(G3866&lt;41,'General Basis'!$C$40,IF(G3866&lt;60,'General Basis'!$C$41,IF(G3866&lt;65,'General Basis'!$C$42,'General Basis'!$C$43)))),IF(G3866&lt;11,'General Basis'!$B$39,IF(G3866&lt;18,'General Basis'!$B$40,IF(G3866&lt;26,'General Basis'!$B$41,IF(G3866&lt;31,'General Basis'!$B$42,IF(G3866&lt;36,'General Basis'!$B$43,IF(G3866&lt;41,'General Basis'!$B$44,IF(G3866&lt;46,'General Basis'!$B$45,IF(G3866&lt;51,'General Basis'!$B$46,IF(G3866&lt;56,'General Basis'!$B$47,IF(G3866&lt;60,'General Basis'!$B$48,IF(G3866&lt;65,'General Basis'!$B$49,'General Basis'!$B$50)))))))))))))</f>
        <v/>
      </c>
      <c r="BI3866" s="744" t="str">
        <f t="shared" si="1347"/>
        <v/>
      </c>
      <c r="BJ3866" s="747" t="str">
        <f t="shared" si="1354"/>
        <v/>
      </c>
      <c r="BK3866" s="498" t="str">
        <f t="shared" si="1348"/>
        <v/>
      </c>
      <c r="BL3866" s="498" t="str">
        <f t="shared" si="1349"/>
        <v/>
      </c>
    </row>
    <row r="3867" spans="1:64" x14ac:dyDescent="0.25">
      <c r="A3867" s="762">
        <f t="shared" si="1350"/>
        <v>3862</v>
      </c>
      <c r="B3867" s="229"/>
      <c r="C3867" s="223"/>
      <c r="D3867" s="224"/>
      <c r="E3867" s="225"/>
      <c r="F3867" s="1036" t="str">
        <f t="shared" si="1356"/>
        <v/>
      </c>
      <c r="G3867" s="1037" t="str">
        <f t="shared" si="1351"/>
        <v/>
      </c>
      <c r="H3867" s="225"/>
      <c r="I3867" s="1013"/>
      <c r="J3867" s="1013"/>
      <c r="K3867" s="1028"/>
      <c r="L3867" s="1035" t="str">
        <f t="shared" si="1355"/>
        <v/>
      </c>
      <c r="S3867" s="498"/>
      <c r="AJ3867" s="498"/>
      <c r="AM3867" s="498">
        <f t="shared" si="1336"/>
        <v>0</v>
      </c>
      <c r="AN3867" s="498">
        <f t="shared" si="1337"/>
        <v>0</v>
      </c>
      <c r="AO3867" s="498">
        <f t="shared" si="1338"/>
        <v>0</v>
      </c>
      <c r="AP3867" s="498">
        <f t="shared" si="1357"/>
        <v>0</v>
      </c>
      <c r="AQ3867" s="498">
        <f t="shared" si="1352"/>
        <v>0</v>
      </c>
      <c r="AU3867" s="498">
        <f t="shared" si="1339"/>
        <v>0</v>
      </c>
      <c r="AV3867" s="498">
        <f t="shared" si="1340"/>
        <v>0</v>
      </c>
      <c r="AW3867" s="498">
        <f t="shared" si="1341"/>
        <v>0</v>
      </c>
      <c r="AX3867" s="498">
        <f t="shared" si="1342"/>
        <v>0</v>
      </c>
      <c r="AY3867" s="498">
        <f t="shared" si="1343"/>
        <v>0</v>
      </c>
      <c r="BB3867" s="498" t="str">
        <f t="shared" si="1344"/>
        <v/>
      </c>
      <c r="BC3867" s="743" t="str">
        <f t="shared" si="1345"/>
        <v/>
      </c>
      <c r="BD3867" s="743" t="str">
        <f t="shared" si="1346"/>
        <v/>
      </c>
      <c r="BE3867" s="743" t="str">
        <f>IF(D3867="","",VLOOKUP(D3867,'General Basis'!$J$39:$K$46,2,0))</f>
        <v/>
      </c>
      <c r="BF3867" s="744" t="str">
        <f>IF(D3867="","",VLOOKUP(D3867,'General Basis'!$J$39:$L$46,3,0))</f>
        <v/>
      </c>
      <c r="BG3867" s="744" t="str">
        <f t="shared" si="1353"/>
        <v/>
      </c>
      <c r="BH3867" s="744" t="str">
        <f>IF(G3867="","",IF(BF3867="Abu Dhabi",IF(G3867&lt;18,'General Basis'!$C$39,IF(G3867&lt;41,'General Basis'!$C$40,IF(G3867&lt;60,'General Basis'!$C$41,IF(G3867&lt;65,'General Basis'!$C$42,'General Basis'!$C$43)))),IF(G3867&lt;11,'General Basis'!$B$39,IF(G3867&lt;18,'General Basis'!$B$40,IF(G3867&lt;26,'General Basis'!$B$41,IF(G3867&lt;31,'General Basis'!$B$42,IF(G3867&lt;36,'General Basis'!$B$43,IF(G3867&lt;41,'General Basis'!$B$44,IF(G3867&lt;46,'General Basis'!$B$45,IF(G3867&lt;51,'General Basis'!$B$46,IF(G3867&lt;56,'General Basis'!$B$47,IF(G3867&lt;60,'General Basis'!$B$48,IF(G3867&lt;65,'General Basis'!$B$49,'General Basis'!$B$50)))))))))))))</f>
        <v/>
      </c>
      <c r="BI3867" s="744" t="str">
        <f t="shared" si="1347"/>
        <v/>
      </c>
      <c r="BJ3867" s="747" t="str">
        <f t="shared" si="1354"/>
        <v/>
      </c>
      <c r="BK3867" s="498" t="str">
        <f t="shared" si="1348"/>
        <v/>
      </c>
      <c r="BL3867" s="498" t="str">
        <f t="shared" si="1349"/>
        <v/>
      </c>
    </row>
    <row r="3868" spans="1:64" x14ac:dyDescent="0.25">
      <c r="A3868" s="762">
        <f t="shared" si="1350"/>
        <v>3863</v>
      </c>
      <c r="B3868" s="229"/>
      <c r="C3868" s="223"/>
      <c r="D3868" s="224"/>
      <c r="E3868" s="225"/>
      <c r="F3868" s="1036" t="str">
        <f t="shared" si="1356"/>
        <v/>
      </c>
      <c r="G3868" s="1037" t="str">
        <f t="shared" si="1351"/>
        <v/>
      </c>
      <c r="H3868" s="225"/>
      <c r="I3868" s="1013"/>
      <c r="J3868" s="1013"/>
      <c r="K3868" s="1028"/>
      <c r="L3868" s="1035" t="str">
        <f t="shared" si="1355"/>
        <v/>
      </c>
      <c r="S3868" s="498"/>
      <c r="AJ3868" s="498"/>
      <c r="AM3868" s="498">
        <f t="shared" si="1336"/>
        <v>0</v>
      </c>
      <c r="AN3868" s="498">
        <f t="shared" si="1337"/>
        <v>0</v>
      </c>
      <c r="AO3868" s="498">
        <f t="shared" si="1338"/>
        <v>0</v>
      </c>
      <c r="AP3868" s="498">
        <f t="shared" si="1357"/>
        <v>0</v>
      </c>
      <c r="AQ3868" s="498">
        <f t="shared" si="1352"/>
        <v>0</v>
      </c>
      <c r="AU3868" s="498">
        <f t="shared" si="1339"/>
        <v>0</v>
      </c>
      <c r="AV3868" s="498">
        <f t="shared" si="1340"/>
        <v>0</v>
      </c>
      <c r="AW3868" s="498">
        <f t="shared" si="1341"/>
        <v>0</v>
      </c>
      <c r="AX3868" s="498">
        <f t="shared" si="1342"/>
        <v>0</v>
      </c>
      <c r="AY3868" s="498">
        <f t="shared" si="1343"/>
        <v>0</v>
      </c>
      <c r="BB3868" s="498" t="str">
        <f t="shared" si="1344"/>
        <v/>
      </c>
      <c r="BC3868" s="743" t="str">
        <f t="shared" si="1345"/>
        <v/>
      </c>
      <c r="BD3868" s="743" t="str">
        <f t="shared" si="1346"/>
        <v/>
      </c>
      <c r="BE3868" s="743" t="str">
        <f>IF(D3868="","",VLOOKUP(D3868,'General Basis'!$J$39:$K$46,2,0))</f>
        <v/>
      </c>
      <c r="BF3868" s="744" t="str">
        <f>IF(D3868="","",VLOOKUP(D3868,'General Basis'!$J$39:$L$46,3,0))</f>
        <v/>
      </c>
      <c r="BG3868" s="744" t="str">
        <f t="shared" si="1353"/>
        <v/>
      </c>
      <c r="BH3868" s="744" t="str">
        <f>IF(G3868="","",IF(BF3868="Abu Dhabi",IF(G3868&lt;18,'General Basis'!$C$39,IF(G3868&lt;41,'General Basis'!$C$40,IF(G3868&lt;60,'General Basis'!$C$41,IF(G3868&lt;65,'General Basis'!$C$42,'General Basis'!$C$43)))),IF(G3868&lt;11,'General Basis'!$B$39,IF(G3868&lt;18,'General Basis'!$B$40,IF(G3868&lt;26,'General Basis'!$B$41,IF(G3868&lt;31,'General Basis'!$B$42,IF(G3868&lt;36,'General Basis'!$B$43,IF(G3868&lt;41,'General Basis'!$B$44,IF(G3868&lt;46,'General Basis'!$B$45,IF(G3868&lt;51,'General Basis'!$B$46,IF(G3868&lt;56,'General Basis'!$B$47,IF(G3868&lt;60,'General Basis'!$B$48,IF(G3868&lt;65,'General Basis'!$B$49,'General Basis'!$B$50)))))))))))))</f>
        <v/>
      </c>
      <c r="BI3868" s="744" t="str">
        <f t="shared" si="1347"/>
        <v/>
      </c>
      <c r="BJ3868" s="747" t="str">
        <f t="shared" si="1354"/>
        <v/>
      </c>
      <c r="BK3868" s="498" t="str">
        <f t="shared" si="1348"/>
        <v/>
      </c>
      <c r="BL3868" s="498" t="str">
        <f t="shared" si="1349"/>
        <v/>
      </c>
    </row>
    <row r="3869" spans="1:64" x14ac:dyDescent="0.25">
      <c r="A3869" s="762">
        <f t="shared" si="1350"/>
        <v>3864</v>
      </c>
      <c r="B3869" s="229"/>
      <c r="C3869" s="223"/>
      <c r="D3869" s="224"/>
      <c r="E3869" s="225"/>
      <c r="F3869" s="1036" t="str">
        <f t="shared" si="1356"/>
        <v/>
      </c>
      <c r="G3869" s="1037" t="str">
        <f t="shared" si="1351"/>
        <v/>
      </c>
      <c r="H3869" s="225"/>
      <c r="I3869" s="1013"/>
      <c r="J3869" s="1013"/>
      <c r="K3869" s="1028"/>
      <c r="L3869" s="1035" t="str">
        <f t="shared" si="1355"/>
        <v/>
      </c>
      <c r="S3869" s="498"/>
      <c r="AJ3869" s="498"/>
      <c r="AM3869" s="498">
        <f t="shared" si="1336"/>
        <v>0</v>
      </c>
      <c r="AN3869" s="498">
        <f t="shared" si="1337"/>
        <v>0</v>
      </c>
      <c r="AO3869" s="498">
        <f t="shared" si="1338"/>
        <v>0</v>
      </c>
      <c r="AP3869" s="498">
        <f t="shared" si="1357"/>
        <v>0</v>
      </c>
      <c r="AQ3869" s="498">
        <f t="shared" si="1352"/>
        <v>0</v>
      </c>
      <c r="AU3869" s="498">
        <f t="shared" si="1339"/>
        <v>0</v>
      </c>
      <c r="AV3869" s="498">
        <f t="shared" si="1340"/>
        <v>0</v>
      </c>
      <c r="AW3869" s="498">
        <f t="shared" si="1341"/>
        <v>0</v>
      </c>
      <c r="AX3869" s="498">
        <f t="shared" si="1342"/>
        <v>0</v>
      </c>
      <c r="AY3869" s="498">
        <f t="shared" si="1343"/>
        <v>0</v>
      </c>
      <c r="BB3869" s="498" t="str">
        <f t="shared" si="1344"/>
        <v/>
      </c>
      <c r="BC3869" s="743" t="str">
        <f t="shared" si="1345"/>
        <v/>
      </c>
      <c r="BD3869" s="743" t="str">
        <f t="shared" si="1346"/>
        <v/>
      </c>
      <c r="BE3869" s="743" t="str">
        <f>IF(D3869="","",VLOOKUP(D3869,'General Basis'!$J$39:$K$46,2,0))</f>
        <v/>
      </c>
      <c r="BF3869" s="744" t="str">
        <f>IF(D3869="","",VLOOKUP(D3869,'General Basis'!$J$39:$L$46,3,0))</f>
        <v/>
      </c>
      <c r="BG3869" s="744" t="str">
        <f t="shared" si="1353"/>
        <v/>
      </c>
      <c r="BH3869" s="744" t="str">
        <f>IF(G3869="","",IF(BF3869="Abu Dhabi",IF(G3869&lt;18,'General Basis'!$C$39,IF(G3869&lt;41,'General Basis'!$C$40,IF(G3869&lt;60,'General Basis'!$C$41,IF(G3869&lt;65,'General Basis'!$C$42,'General Basis'!$C$43)))),IF(G3869&lt;11,'General Basis'!$B$39,IF(G3869&lt;18,'General Basis'!$B$40,IF(G3869&lt;26,'General Basis'!$B$41,IF(G3869&lt;31,'General Basis'!$B$42,IF(G3869&lt;36,'General Basis'!$B$43,IF(G3869&lt;41,'General Basis'!$B$44,IF(G3869&lt;46,'General Basis'!$B$45,IF(G3869&lt;51,'General Basis'!$B$46,IF(G3869&lt;56,'General Basis'!$B$47,IF(G3869&lt;60,'General Basis'!$B$48,IF(G3869&lt;65,'General Basis'!$B$49,'General Basis'!$B$50)))))))))))))</f>
        <v/>
      </c>
      <c r="BI3869" s="744" t="str">
        <f t="shared" si="1347"/>
        <v/>
      </c>
      <c r="BJ3869" s="747" t="str">
        <f t="shared" si="1354"/>
        <v/>
      </c>
      <c r="BK3869" s="498" t="str">
        <f t="shared" si="1348"/>
        <v/>
      </c>
      <c r="BL3869" s="498" t="str">
        <f t="shared" si="1349"/>
        <v/>
      </c>
    </row>
    <row r="3870" spans="1:64" x14ac:dyDescent="0.25">
      <c r="A3870" s="762">
        <f t="shared" si="1350"/>
        <v>3865</v>
      </c>
      <c r="B3870" s="229"/>
      <c r="C3870" s="223"/>
      <c r="D3870" s="224"/>
      <c r="E3870" s="225"/>
      <c r="F3870" s="1036" t="str">
        <f t="shared" si="1356"/>
        <v/>
      </c>
      <c r="G3870" s="1037" t="str">
        <f t="shared" si="1351"/>
        <v/>
      </c>
      <c r="H3870" s="225"/>
      <c r="I3870" s="1013"/>
      <c r="J3870" s="1013"/>
      <c r="K3870" s="1028"/>
      <c r="L3870" s="1035" t="str">
        <f t="shared" si="1355"/>
        <v/>
      </c>
      <c r="S3870" s="498"/>
      <c r="AJ3870" s="498"/>
      <c r="AM3870" s="498">
        <f t="shared" si="1336"/>
        <v>0</v>
      </c>
      <c r="AN3870" s="498">
        <f t="shared" si="1337"/>
        <v>0</v>
      </c>
      <c r="AO3870" s="498">
        <f t="shared" si="1338"/>
        <v>0</v>
      </c>
      <c r="AP3870" s="498">
        <f t="shared" si="1357"/>
        <v>0</v>
      </c>
      <c r="AQ3870" s="498">
        <f t="shared" si="1352"/>
        <v>0</v>
      </c>
      <c r="AU3870" s="498">
        <f t="shared" si="1339"/>
        <v>0</v>
      </c>
      <c r="AV3870" s="498">
        <f t="shared" si="1340"/>
        <v>0</v>
      </c>
      <c r="AW3870" s="498">
        <f t="shared" si="1341"/>
        <v>0</v>
      </c>
      <c r="AX3870" s="498">
        <f t="shared" si="1342"/>
        <v>0</v>
      </c>
      <c r="AY3870" s="498">
        <f t="shared" si="1343"/>
        <v>0</v>
      </c>
      <c r="BB3870" s="498" t="str">
        <f t="shared" si="1344"/>
        <v/>
      </c>
      <c r="BC3870" s="743" t="str">
        <f t="shared" si="1345"/>
        <v/>
      </c>
      <c r="BD3870" s="743" t="str">
        <f t="shared" si="1346"/>
        <v/>
      </c>
      <c r="BE3870" s="743" t="str">
        <f>IF(D3870="","",VLOOKUP(D3870,'General Basis'!$J$39:$K$46,2,0))</f>
        <v/>
      </c>
      <c r="BF3870" s="744" t="str">
        <f>IF(D3870="","",VLOOKUP(D3870,'General Basis'!$J$39:$L$46,3,0))</f>
        <v/>
      </c>
      <c r="BG3870" s="744" t="str">
        <f t="shared" si="1353"/>
        <v/>
      </c>
      <c r="BH3870" s="744" t="str">
        <f>IF(G3870="","",IF(BF3870="Abu Dhabi",IF(G3870&lt;18,'General Basis'!$C$39,IF(G3870&lt;41,'General Basis'!$C$40,IF(G3870&lt;60,'General Basis'!$C$41,IF(G3870&lt;65,'General Basis'!$C$42,'General Basis'!$C$43)))),IF(G3870&lt;11,'General Basis'!$B$39,IF(G3870&lt;18,'General Basis'!$B$40,IF(G3870&lt;26,'General Basis'!$B$41,IF(G3870&lt;31,'General Basis'!$B$42,IF(G3870&lt;36,'General Basis'!$B$43,IF(G3870&lt;41,'General Basis'!$B$44,IF(G3870&lt;46,'General Basis'!$B$45,IF(G3870&lt;51,'General Basis'!$B$46,IF(G3870&lt;56,'General Basis'!$B$47,IF(G3870&lt;60,'General Basis'!$B$48,IF(G3870&lt;65,'General Basis'!$B$49,'General Basis'!$B$50)))))))))))))</f>
        <v/>
      </c>
      <c r="BI3870" s="744" t="str">
        <f t="shared" si="1347"/>
        <v/>
      </c>
      <c r="BJ3870" s="747" t="str">
        <f t="shared" si="1354"/>
        <v/>
      </c>
      <c r="BK3870" s="498" t="str">
        <f t="shared" si="1348"/>
        <v/>
      </c>
      <c r="BL3870" s="498" t="str">
        <f t="shared" si="1349"/>
        <v/>
      </c>
    </row>
    <row r="3871" spans="1:64" x14ac:dyDescent="0.25">
      <c r="A3871" s="762">
        <f t="shared" si="1350"/>
        <v>3866</v>
      </c>
      <c r="B3871" s="229"/>
      <c r="C3871" s="223"/>
      <c r="D3871" s="224"/>
      <c r="E3871" s="225"/>
      <c r="F3871" s="1036" t="str">
        <f t="shared" si="1356"/>
        <v/>
      </c>
      <c r="G3871" s="1037" t="str">
        <f t="shared" si="1351"/>
        <v/>
      </c>
      <c r="H3871" s="225"/>
      <c r="I3871" s="1013"/>
      <c r="J3871" s="1013"/>
      <c r="K3871" s="1028"/>
      <c r="L3871" s="1035" t="str">
        <f t="shared" si="1355"/>
        <v/>
      </c>
      <c r="S3871" s="498"/>
      <c r="AJ3871" s="498"/>
      <c r="AM3871" s="498">
        <f t="shared" si="1336"/>
        <v>0</v>
      </c>
      <c r="AN3871" s="498">
        <f t="shared" si="1337"/>
        <v>0</v>
      </c>
      <c r="AO3871" s="498">
        <f t="shared" si="1338"/>
        <v>0</v>
      </c>
      <c r="AP3871" s="498">
        <f t="shared" si="1357"/>
        <v>0</v>
      </c>
      <c r="AQ3871" s="498">
        <f t="shared" si="1352"/>
        <v>0</v>
      </c>
      <c r="AU3871" s="498">
        <f t="shared" si="1339"/>
        <v>0</v>
      </c>
      <c r="AV3871" s="498">
        <f t="shared" si="1340"/>
        <v>0</v>
      </c>
      <c r="AW3871" s="498">
        <f t="shared" si="1341"/>
        <v>0</v>
      </c>
      <c r="AX3871" s="498">
        <f t="shared" si="1342"/>
        <v>0</v>
      </c>
      <c r="AY3871" s="498">
        <f t="shared" si="1343"/>
        <v>0</v>
      </c>
      <c r="BB3871" s="498" t="str">
        <f t="shared" si="1344"/>
        <v/>
      </c>
      <c r="BC3871" s="743" t="str">
        <f t="shared" si="1345"/>
        <v/>
      </c>
      <c r="BD3871" s="743" t="str">
        <f t="shared" si="1346"/>
        <v/>
      </c>
      <c r="BE3871" s="743" t="str">
        <f>IF(D3871="","",VLOOKUP(D3871,'General Basis'!$J$39:$K$46,2,0))</f>
        <v/>
      </c>
      <c r="BF3871" s="744" t="str">
        <f>IF(D3871="","",VLOOKUP(D3871,'General Basis'!$J$39:$L$46,3,0))</f>
        <v/>
      </c>
      <c r="BG3871" s="744" t="str">
        <f t="shared" si="1353"/>
        <v/>
      </c>
      <c r="BH3871" s="744" t="str">
        <f>IF(G3871="","",IF(BF3871="Abu Dhabi",IF(G3871&lt;18,'General Basis'!$C$39,IF(G3871&lt;41,'General Basis'!$C$40,IF(G3871&lt;60,'General Basis'!$C$41,IF(G3871&lt;65,'General Basis'!$C$42,'General Basis'!$C$43)))),IF(G3871&lt;11,'General Basis'!$B$39,IF(G3871&lt;18,'General Basis'!$B$40,IF(G3871&lt;26,'General Basis'!$B$41,IF(G3871&lt;31,'General Basis'!$B$42,IF(G3871&lt;36,'General Basis'!$B$43,IF(G3871&lt;41,'General Basis'!$B$44,IF(G3871&lt;46,'General Basis'!$B$45,IF(G3871&lt;51,'General Basis'!$B$46,IF(G3871&lt;56,'General Basis'!$B$47,IF(G3871&lt;60,'General Basis'!$B$48,IF(G3871&lt;65,'General Basis'!$B$49,'General Basis'!$B$50)))))))))))))</f>
        <v/>
      </c>
      <c r="BI3871" s="744" t="str">
        <f t="shared" si="1347"/>
        <v/>
      </c>
      <c r="BJ3871" s="747" t="str">
        <f t="shared" si="1354"/>
        <v/>
      </c>
      <c r="BK3871" s="498" t="str">
        <f t="shared" si="1348"/>
        <v/>
      </c>
      <c r="BL3871" s="498" t="str">
        <f t="shared" si="1349"/>
        <v/>
      </c>
    </row>
    <row r="3872" spans="1:64" x14ac:dyDescent="0.25">
      <c r="A3872" s="762">
        <f t="shared" si="1350"/>
        <v>3867</v>
      </c>
      <c r="B3872" s="229"/>
      <c r="C3872" s="223"/>
      <c r="D3872" s="224"/>
      <c r="E3872" s="225"/>
      <c r="F3872" s="1036" t="str">
        <f t="shared" si="1356"/>
        <v/>
      </c>
      <c r="G3872" s="1037" t="str">
        <f t="shared" si="1351"/>
        <v/>
      </c>
      <c r="H3872" s="225"/>
      <c r="I3872" s="1013"/>
      <c r="J3872" s="1013"/>
      <c r="K3872" s="1028"/>
      <c r="L3872" s="1035" t="str">
        <f t="shared" si="1355"/>
        <v/>
      </c>
      <c r="S3872" s="498"/>
      <c r="AJ3872" s="498"/>
      <c r="AM3872" s="498">
        <f t="shared" si="1336"/>
        <v>0</v>
      </c>
      <c r="AN3872" s="498">
        <f t="shared" si="1337"/>
        <v>0</v>
      </c>
      <c r="AO3872" s="498">
        <f t="shared" si="1338"/>
        <v>0</v>
      </c>
      <c r="AP3872" s="498">
        <f t="shared" si="1357"/>
        <v>0</v>
      </c>
      <c r="AQ3872" s="498">
        <f t="shared" si="1352"/>
        <v>0</v>
      </c>
      <c r="AU3872" s="498">
        <f t="shared" si="1339"/>
        <v>0</v>
      </c>
      <c r="AV3872" s="498">
        <f t="shared" si="1340"/>
        <v>0</v>
      </c>
      <c r="AW3872" s="498">
        <f t="shared" si="1341"/>
        <v>0</v>
      </c>
      <c r="AX3872" s="498">
        <f t="shared" si="1342"/>
        <v>0</v>
      </c>
      <c r="AY3872" s="498">
        <f t="shared" si="1343"/>
        <v>0</v>
      </c>
      <c r="BB3872" s="498" t="str">
        <f t="shared" si="1344"/>
        <v/>
      </c>
      <c r="BC3872" s="743" t="str">
        <f t="shared" si="1345"/>
        <v/>
      </c>
      <c r="BD3872" s="743" t="str">
        <f t="shared" si="1346"/>
        <v/>
      </c>
      <c r="BE3872" s="743" t="str">
        <f>IF(D3872="","",VLOOKUP(D3872,'General Basis'!$J$39:$K$46,2,0))</f>
        <v/>
      </c>
      <c r="BF3872" s="744" t="str">
        <f>IF(D3872="","",VLOOKUP(D3872,'General Basis'!$J$39:$L$46,3,0))</f>
        <v/>
      </c>
      <c r="BG3872" s="744" t="str">
        <f t="shared" si="1353"/>
        <v/>
      </c>
      <c r="BH3872" s="744" t="str">
        <f>IF(G3872="","",IF(BF3872="Abu Dhabi",IF(G3872&lt;18,'General Basis'!$C$39,IF(G3872&lt;41,'General Basis'!$C$40,IF(G3872&lt;60,'General Basis'!$C$41,IF(G3872&lt;65,'General Basis'!$C$42,'General Basis'!$C$43)))),IF(G3872&lt;11,'General Basis'!$B$39,IF(G3872&lt;18,'General Basis'!$B$40,IF(G3872&lt;26,'General Basis'!$B$41,IF(G3872&lt;31,'General Basis'!$B$42,IF(G3872&lt;36,'General Basis'!$B$43,IF(G3872&lt;41,'General Basis'!$B$44,IF(G3872&lt;46,'General Basis'!$B$45,IF(G3872&lt;51,'General Basis'!$B$46,IF(G3872&lt;56,'General Basis'!$B$47,IF(G3872&lt;60,'General Basis'!$B$48,IF(G3872&lt;65,'General Basis'!$B$49,'General Basis'!$B$50)))))))))))))</f>
        <v/>
      </c>
      <c r="BI3872" s="744" t="str">
        <f t="shared" si="1347"/>
        <v/>
      </c>
      <c r="BJ3872" s="747" t="str">
        <f t="shared" si="1354"/>
        <v/>
      </c>
      <c r="BK3872" s="498" t="str">
        <f t="shared" si="1348"/>
        <v/>
      </c>
      <c r="BL3872" s="498" t="str">
        <f t="shared" si="1349"/>
        <v/>
      </c>
    </row>
    <row r="3873" spans="1:64" x14ac:dyDescent="0.25">
      <c r="A3873" s="762">
        <f t="shared" si="1350"/>
        <v>3868</v>
      </c>
      <c r="B3873" s="229"/>
      <c r="C3873" s="223"/>
      <c r="D3873" s="224"/>
      <c r="E3873" s="225"/>
      <c r="F3873" s="1036" t="str">
        <f t="shared" si="1356"/>
        <v/>
      </c>
      <c r="G3873" s="1037" t="str">
        <f t="shared" si="1351"/>
        <v/>
      </c>
      <c r="H3873" s="225"/>
      <c r="I3873" s="1013"/>
      <c r="J3873" s="1013"/>
      <c r="K3873" s="1028"/>
      <c r="L3873" s="1035" t="str">
        <f t="shared" si="1355"/>
        <v/>
      </c>
      <c r="S3873" s="498"/>
      <c r="AJ3873" s="498"/>
      <c r="AM3873" s="498">
        <f t="shared" si="1336"/>
        <v>0</v>
      </c>
      <c r="AN3873" s="498">
        <f t="shared" si="1337"/>
        <v>0</v>
      </c>
      <c r="AO3873" s="498">
        <f t="shared" si="1338"/>
        <v>0</v>
      </c>
      <c r="AP3873" s="498">
        <f t="shared" si="1357"/>
        <v>0</v>
      </c>
      <c r="AQ3873" s="498">
        <f t="shared" si="1352"/>
        <v>0</v>
      </c>
      <c r="AU3873" s="498">
        <f t="shared" si="1339"/>
        <v>0</v>
      </c>
      <c r="AV3873" s="498">
        <f t="shared" si="1340"/>
        <v>0</v>
      </c>
      <c r="AW3873" s="498">
        <f t="shared" si="1341"/>
        <v>0</v>
      </c>
      <c r="AX3873" s="498">
        <f t="shared" si="1342"/>
        <v>0</v>
      </c>
      <c r="AY3873" s="498">
        <f t="shared" si="1343"/>
        <v>0</v>
      </c>
      <c r="BB3873" s="498" t="str">
        <f t="shared" si="1344"/>
        <v/>
      </c>
      <c r="BC3873" s="743" t="str">
        <f t="shared" si="1345"/>
        <v/>
      </c>
      <c r="BD3873" s="743" t="str">
        <f t="shared" si="1346"/>
        <v/>
      </c>
      <c r="BE3873" s="743" t="str">
        <f>IF(D3873="","",VLOOKUP(D3873,'General Basis'!$J$39:$K$46,2,0))</f>
        <v/>
      </c>
      <c r="BF3873" s="744" t="str">
        <f>IF(D3873="","",VLOOKUP(D3873,'General Basis'!$J$39:$L$46,3,0))</f>
        <v/>
      </c>
      <c r="BG3873" s="744" t="str">
        <f t="shared" si="1353"/>
        <v/>
      </c>
      <c r="BH3873" s="744" t="str">
        <f>IF(G3873="","",IF(BF3873="Abu Dhabi",IF(G3873&lt;18,'General Basis'!$C$39,IF(G3873&lt;41,'General Basis'!$C$40,IF(G3873&lt;60,'General Basis'!$C$41,IF(G3873&lt;65,'General Basis'!$C$42,'General Basis'!$C$43)))),IF(G3873&lt;11,'General Basis'!$B$39,IF(G3873&lt;18,'General Basis'!$B$40,IF(G3873&lt;26,'General Basis'!$B$41,IF(G3873&lt;31,'General Basis'!$B$42,IF(G3873&lt;36,'General Basis'!$B$43,IF(G3873&lt;41,'General Basis'!$B$44,IF(G3873&lt;46,'General Basis'!$B$45,IF(G3873&lt;51,'General Basis'!$B$46,IF(G3873&lt;56,'General Basis'!$B$47,IF(G3873&lt;60,'General Basis'!$B$48,IF(G3873&lt;65,'General Basis'!$B$49,'General Basis'!$B$50)))))))))))))</f>
        <v/>
      </c>
      <c r="BI3873" s="744" t="str">
        <f t="shared" si="1347"/>
        <v/>
      </c>
      <c r="BJ3873" s="747" t="str">
        <f t="shared" si="1354"/>
        <v/>
      </c>
      <c r="BK3873" s="498" t="str">
        <f t="shared" si="1348"/>
        <v/>
      </c>
      <c r="BL3873" s="498" t="str">
        <f t="shared" si="1349"/>
        <v/>
      </c>
    </row>
    <row r="3874" spans="1:64" x14ac:dyDescent="0.25">
      <c r="A3874" s="762">
        <f t="shared" si="1350"/>
        <v>3869</v>
      </c>
      <c r="B3874" s="229"/>
      <c r="C3874" s="223"/>
      <c r="D3874" s="224"/>
      <c r="E3874" s="225"/>
      <c r="F3874" s="1036" t="str">
        <f t="shared" si="1356"/>
        <v/>
      </c>
      <c r="G3874" s="1037" t="str">
        <f t="shared" si="1351"/>
        <v/>
      </c>
      <c r="H3874" s="225"/>
      <c r="I3874" s="1013"/>
      <c r="J3874" s="1013"/>
      <c r="K3874" s="1028"/>
      <c r="L3874" s="1035" t="str">
        <f t="shared" si="1355"/>
        <v/>
      </c>
      <c r="S3874" s="498"/>
      <c r="AJ3874" s="498"/>
      <c r="AM3874" s="498">
        <f t="shared" si="1336"/>
        <v>0</v>
      </c>
      <c r="AN3874" s="498">
        <f t="shared" si="1337"/>
        <v>0</v>
      </c>
      <c r="AO3874" s="498">
        <f t="shared" si="1338"/>
        <v>0</v>
      </c>
      <c r="AP3874" s="498">
        <f t="shared" si="1357"/>
        <v>0</v>
      </c>
      <c r="AQ3874" s="498">
        <f t="shared" si="1352"/>
        <v>0</v>
      </c>
      <c r="AU3874" s="498">
        <f t="shared" si="1339"/>
        <v>0</v>
      </c>
      <c r="AV3874" s="498">
        <f t="shared" si="1340"/>
        <v>0</v>
      </c>
      <c r="AW3874" s="498">
        <f t="shared" si="1341"/>
        <v>0</v>
      </c>
      <c r="AX3874" s="498">
        <f t="shared" si="1342"/>
        <v>0</v>
      </c>
      <c r="AY3874" s="498">
        <f t="shared" si="1343"/>
        <v>0</v>
      </c>
      <c r="BB3874" s="498" t="str">
        <f t="shared" si="1344"/>
        <v/>
      </c>
      <c r="BC3874" s="743" t="str">
        <f t="shared" si="1345"/>
        <v/>
      </c>
      <c r="BD3874" s="743" t="str">
        <f t="shared" si="1346"/>
        <v/>
      </c>
      <c r="BE3874" s="743" t="str">
        <f>IF(D3874="","",VLOOKUP(D3874,'General Basis'!$J$39:$K$46,2,0))</f>
        <v/>
      </c>
      <c r="BF3874" s="744" t="str">
        <f>IF(D3874="","",VLOOKUP(D3874,'General Basis'!$J$39:$L$46,3,0))</f>
        <v/>
      </c>
      <c r="BG3874" s="744" t="str">
        <f t="shared" si="1353"/>
        <v/>
      </c>
      <c r="BH3874" s="744" t="str">
        <f>IF(G3874="","",IF(BF3874="Abu Dhabi",IF(G3874&lt;18,'General Basis'!$C$39,IF(G3874&lt;41,'General Basis'!$C$40,IF(G3874&lt;60,'General Basis'!$C$41,IF(G3874&lt;65,'General Basis'!$C$42,'General Basis'!$C$43)))),IF(G3874&lt;11,'General Basis'!$B$39,IF(G3874&lt;18,'General Basis'!$B$40,IF(G3874&lt;26,'General Basis'!$B$41,IF(G3874&lt;31,'General Basis'!$B$42,IF(G3874&lt;36,'General Basis'!$B$43,IF(G3874&lt;41,'General Basis'!$B$44,IF(G3874&lt;46,'General Basis'!$B$45,IF(G3874&lt;51,'General Basis'!$B$46,IF(G3874&lt;56,'General Basis'!$B$47,IF(G3874&lt;60,'General Basis'!$B$48,IF(G3874&lt;65,'General Basis'!$B$49,'General Basis'!$B$50)))))))))))))</f>
        <v/>
      </c>
      <c r="BI3874" s="744" t="str">
        <f t="shared" si="1347"/>
        <v/>
      </c>
      <c r="BJ3874" s="747" t="str">
        <f t="shared" si="1354"/>
        <v/>
      </c>
      <c r="BK3874" s="498" t="str">
        <f t="shared" si="1348"/>
        <v/>
      </c>
      <c r="BL3874" s="498" t="str">
        <f t="shared" si="1349"/>
        <v/>
      </c>
    </row>
    <row r="3875" spans="1:64" x14ac:dyDescent="0.25">
      <c r="A3875" s="762">
        <f t="shared" si="1350"/>
        <v>3870</v>
      </c>
      <c r="B3875" s="229"/>
      <c r="C3875" s="223"/>
      <c r="D3875" s="224"/>
      <c r="E3875" s="225"/>
      <c r="F3875" s="1036" t="str">
        <f t="shared" si="1356"/>
        <v/>
      </c>
      <c r="G3875" s="1037" t="str">
        <f t="shared" si="1351"/>
        <v/>
      </c>
      <c r="H3875" s="225"/>
      <c r="I3875" s="1013"/>
      <c r="J3875" s="1013"/>
      <c r="K3875" s="1028"/>
      <c r="L3875" s="1035" t="str">
        <f t="shared" si="1355"/>
        <v/>
      </c>
      <c r="S3875" s="498"/>
      <c r="AJ3875" s="498"/>
      <c r="AM3875" s="498">
        <f t="shared" si="1336"/>
        <v>0</v>
      </c>
      <c r="AN3875" s="498">
        <f t="shared" si="1337"/>
        <v>0</v>
      </c>
      <c r="AO3875" s="498">
        <f t="shared" si="1338"/>
        <v>0</v>
      </c>
      <c r="AP3875" s="498">
        <f t="shared" si="1357"/>
        <v>0</v>
      </c>
      <c r="AQ3875" s="498">
        <f t="shared" si="1352"/>
        <v>0</v>
      </c>
      <c r="AU3875" s="498">
        <f t="shared" si="1339"/>
        <v>0</v>
      </c>
      <c r="AV3875" s="498">
        <f t="shared" si="1340"/>
        <v>0</v>
      </c>
      <c r="AW3875" s="498">
        <f t="shared" si="1341"/>
        <v>0</v>
      </c>
      <c r="AX3875" s="498">
        <f t="shared" si="1342"/>
        <v>0</v>
      </c>
      <c r="AY3875" s="498">
        <f t="shared" si="1343"/>
        <v>0</v>
      </c>
      <c r="BB3875" s="498" t="str">
        <f t="shared" si="1344"/>
        <v/>
      </c>
      <c r="BC3875" s="743" t="str">
        <f t="shared" si="1345"/>
        <v/>
      </c>
      <c r="BD3875" s="743" t="str">
        <f t="shared" si="1346"/>
        <v/>
      </c>
      <c r="BE3875" s="743" t="str">
        <f>IF(D3875="","",VLOOKUP(D3875,'General Basis'!$J$39:$K$46,2,0))</f>
        <v/>
      </c>
      <c r="BF3875" s="744" t="str">
        <f>IF(D3875="","",VLOOKUP(D3875,'General Basis'!$J$39:$L$46,3,0))</f>
        <v/>
      </c>
      <c r="BG3875" s="744" t="str">
        <f t="shared" si="1353"/>
        <v/>
      </c>
      <c r="BH3875" s="744" t="str">
        <f>IF(G3875="","",IF(BF3875="Abu Dhabi",IF(G3875&lt;18,'General Basis'!$C$39,IF(G3875&lt;41,'General Basis'!$C$40,IF(G3875&lt;60,'General Basis'!$C$41,IF(G3875&lt;65,'General Basis'!$C$42,'General Basis'!$C$43)))),IF(G3875&lt;11,'General Basis'!$B$39,IF(G3875&lt;18,'General Basis'!$B$40,IF(G3875&lt;26,'General Basis'!$B$41,IF(G3875&lt;31,'General Basis'!$B$42,IF(G3875&lt;36,'General Basis'!$B$43,IF(G3875&lt;41,'General Basis'!$B$44,IF(G3875&lt;46,'General Basis'!$B$45,IF(G3875&lt;51,'General Basis'!$B$46,IF(G3875&lt;56,'General Basis'!$B$47,IF(G3875&lt;60,'General Basis'!$B$48,IF(G3875&lt;65,'General Basis'!$B$49,'General Basis'!$B$50)))))))))))))</f>
        <v/>
      </c>
      <c r="BI3875" s="744" t="str">
        <f t="shared" si="1347"/>
        <v/>
      </c>
      <c r="BJ3875" s="747" t="str">
        <f t="shared" si="1354"/>
        <v/>
      </c>
      <c r="BK3875" s="498" t="str">
        <f t="shared" si="1348"/>
        <v/>
      </c>
      <c r="BL3875" s="498" t="str">
        <f t="shared" si="1349"/>
        <v/>
      </c>
    </row>
    <row r="3876" spans="1:64" x14ac:dyDescent="0.25">
      <c r="A3876" s="762">
        <f t="shared" si="1350"/>
        <v>3871</v>
      </c>
      <c r="B3876" s="229"/>
      <c r="C3876" s="223"/>
      <c r="D3876" s="224"/>
      <c r="E3876" s="225"/>
      <c r="F3876" s="1036" t="str">
        <f t="shared" si="1356"/>
        <v/>
      </c>
      <c r="G3876" s="1037" t="str">
        <f t="shared" si="1351"/>
        <v/>
      </c>
      <c r="H3876" s="225"/>
      <c r="I3876" s="1013"/>
      <c r="J3876" s="1013"/>
      <c r="K3876" s="1028"/>
      <c r="L3876" s="1035" t="str">
        <f t="shared" si="1355"/>
        <v/>
      </c>
      <c r="S3876" s="498"/>
      <c r="AJ3876" s="498"/>
      <c r="AM3876" s="498">
        <f t="shared" si="1336"/>
        <v>0</v>
      </c>
      <c r="AN3876" s="498">
        <f t="shared" si="1337"/>
        <v>0</v>
      </c>
      <c r="AO3876" s="498">
        <f t="shared" si="1338"/>
        <v>0</v>
      </c>
      <c r="AP3876" s="498">
        <f t="shared" si="1357"/>
        <v>0</v>
      </c>
      <c r="AQ3876" s="498">
        <f t="shared" si="1352"/>
        <v>0</v>
      </c>
      <c r="AU3876" s="498">
        <f t="shared" si="1339"/>
        <v>0</v>
      </c>
      <c r="AV3876" s="498">
        <f t="shared" si="1340"/>
        <v>0</v>
      </c>
      <c r="AW3876" s="498">
        <f t="shared" si="1341"/>
        <v>0</v>
      </c>
      <c r="AX3876" s="498">
        <f t="shared" si="1342"/>
        <v>0</v>
      </c>
      <c r="AY3876" s="498">
        <f t="shared" si="1343"/>
        <v>0</v>
      </c>
      <c r="BB3876" s="498" t="str">
        <f t="shared" si="1344"/>
        <v/>
      </c>
      <c r="BC3876" s="743" t="str">
        <f t="shared" si="1345"/>
        <v/>
      </c>
      <c r="BD3876" s="743" t="str">
        <f t="shared" si="1346"/>
        <v/>
      </c>
      <c r="BE3876" s="743" t="str">
        <f>IF(D3876="","",VLOOKUP(D3876,'General Basis'!$J$39:$K$46,2,0))</f>
        <v/>
      </c>
      <c r="BF3876" s="744" t="str">
        <f>IF(D3876="","",VLOOKUP(D3876,'General Basis'!$J$39:$L$46,3,0))</f>
        <v/>
      </c>
      <c r="BG3876" s="744" t="str">
        <f t="shared" si="1353"/>
        <v/>
      </c>
      <c r="BH3876" s="744" t="str">
        <f>IF(G3876="","",IF(BF3876="Abu Dhabi",IF(G3876&lt;18,'General Basis'!$C$39,IF(G3876&lt;41,'General Basis'!$C$40,IF(G3876&lt;60,'General Basis'!$C$41,IF(G3876&lt;65,'General Basis'!$C$42,'General Basis'!$C$43)))),IF(G3876&lt;11,'General Basis'!$B$39,IF(G3876&lt;18,'General Basis'!$B$40,IF(G3876&lt;26,'General Basis'!$B$41,IF(G3876&lt;31,'General Basis'!$B$42,IF(G3876&lt;36,'General Basis'!$B$43,IF(G3876&lt;41,'General Basis'!$B$44,IF(G3876&lt;46,'General Basis'!$B$45,IF(G3876&lt;51,'General Basis'!$B$46,IF(G3876&lt;56,'General Basis'!$B$47,IF(G3876&lt;60,'General Basis'!$B$48,IF(G3876&lt;65,'General Basis'!$B$49,'General Basis'!$B$50)))))))))))))</f>
        <v/>
      </c>
      <c r="BI3876" s="744" t="str">
        <f t="shared" si="1347"/>
        <v/>
      </c>
      <c r="BJ3876" s="747" t="str">
        <f t="shared" si="1354"/>
        <v/>
      </c>
      <c r="BK3876" s="498" t="str">
        <f t="shared" si="1348"/>
        <v/>
      </c>
      <c r="BL3876" s="498" t="str">
        <f t="shared" si="1349"/>
        <v/>
      </c>
    </row>
    <row r="3877" spans="1:64" x14ac:dyDescent="0.25">
      <c r="A3877" s="762">
        <f t="shared" si="1350"/>
        <v>3872</v>
      </c>
      <c r="B3877" s="229"/>
      <c r="C3877" s="223"/>
      <c r="D3877" s="224"/>
      <c r="E3877" s="225"/>
      <c r="F3877" s="1036" t="str">
        <f t="shared" si="1356"/>
        <v/>
      </c>
      <c r="G3877" s="1037" t="str">
        <f t="shared" si="1351"/>
        <v/>
      </c>
      <c r="H3877" s="225"/>
      <c r="I3877" s="1013"/>
      <c r="J3877" s="1013"/>
      <c r="K3877" s="1028"/>
      <c r="L3877" s="1035" t="str">
        <f t="shared" si="1355"/>
        <v/>
      </c>
      <c r="S3877" s="498"/>
      <c r="AJ3877" s="498"/>
      <c r="AM3877" s="498">
        <f t="shared" si="1336"/>
        <v>0</v>
      </c>
      <c r="AN3877" s="498">
        <f t="shared" si="1337"/>
        <v>0</v>
      </c>
      <c r="AO3877" s="498">
        <f t="shared" si="1338"/>
        <v>0</v>
      </c>
      <c r="AP3877" s="498">
        <f t="shared" si="1357"/>
        <v>0</v>
      </c>
      <c r="AQ3877" s="498">
        <f t="shared" si="1352"/>
        <v>0</v>
      </c>
      <c r="AU3877" s="498">
        <f t="shared" si="1339"/>
        <v>0</v>
      </c>
      <c r="AV3877" s="498">
        <f t="shared" si="1340"/>
        <v>0</v>
      </c>
      <c r="AW3877" s="498">
        <f t="shared" si="1341"/>
        <v>0</v>
      </c>
      <c r="AX3877" s="498">
        <f t="shared" si="1342"/>
        <v>0</v>
      </c>
      <c r="AY3877" s="498">
        <f t="shared" si="1343"/>
        <v>0</v>
      </c>
      <c r="BB3877" s="498" t="str">
        <f t="shared" si="1344"/>
        <v/>
      </c>
      <c r="BC3877" s="743" t="str">
        <f t="shared" si="1345"/>
        <v/>
      </c>
      <c r="BD3877" s="743" t="str">
        <f t="shared" si="1346"/>
        <v/>
      </c>
      <c r="BE3877" s="743" t="str">
        <f>IF(D3877="","",VLOOKUP(D3877,'General Basis'!$J$39:$K$46,2,0))</f>
        <v/>
      </c>
      <c r="BF3877" s="744" t="str">
        <f>IF(D3877="","",VLOOKUP(D3877,'General Basis'!$J$39:$L$46,3,0))</f>
        <v/>
      </c>
      <c r="BG3877" s="744" t="str">
        <f t="shared" si="1353"/>
        <v/>
      </c>
      <c r="BH3877" s="744" t="str">
        <f>IF(G3877="","",IF(BF3877="Abu Dhabi",IF(G3877&lt;18,'General Basis'!$C$39,IF(G3877&lt;41,'General Basis'!$C$40,IF(G3877&lt;60,'General Basis'!$C$41,IF(G3877&lt;65,'General Basis'!$C$42,'General Basis'!$C$43)))),IF(G3877&lt;11,'General Basis'!$B$39,IF(G3877&lt;18,'General Basis'!$B$40,IF(G3877&lt;26,'General Basis'!$B$41,IF(G3877&lt;31,'General Basis'!$B$42,IF(G3877&lt;36,'General Basis'!$B$43,IF(G3877&lt;41,'General Basis'!$B$44,IF(G3877&lt;46,'General Basis'!$B$45,IF(G3877&lt;51,'General Basis'!$B$46,IF(G3877&lt;56,'General Basis'!$B$47,IF(G3877&lt;60,'General Basis'!$B$48,IF(G3877&lt;65,'General Basis'!$B$49,'General Basis'!$B$50)))))))))))))</f>
        <v/>
      </c>
      <c r="BI3877" s="744" t="str">
        <f t="shared" si="1347"/>
        <v/>
      </c>
      <c r="BJ3877" s="747" t="str">
        <f t="shared" si="1354"/>
        <v/>
      </c>
      <c r="BK3877" s="498" t="str">
        <f t="shared" si="1348"/>
        <v/>
      </c>
      <c r="BL3877" s="498" t="str">
        <f t="shared" si="1349"/>
        <v/>
      </c>
    </row>
    <row r="3878" spans="1:64" x14ac:dyDescent="0.25">
      <c r="A3878" s="762">
        <f t="shared" si="1350"/>
        <v>3873</v>
      </c>
      <c r="B3878" s="229"/>
      <c r="C3878" s="223"/>
      <c r="D3878" s="224"/>
      <c r="E3878" s="225"/>
      <c r="F3878" s="1036" t="str">
        <f t="shared" si="1356"/>
        <v/>
      </c>
      <c r="G3878" s="1037" t="str">
        <f t="shared" si="1351"/>
        <v/>
      </c>
      <c r="H3878" s="225"/>
      <c r="I3878" s="1013"/>
      <c r="J3878" s="1013"/>
      <c r="K3878" s="1028"/>
      <c r="L3878" s="1035" t="str">
        <f t="shared" si="1355"/>
        <v/>
      </c>
      <c r="S3878" s="498"/>
      <c r="AJ3878" s="498"/>
      <c r="AM3878" s="498">
        <f t="shared" si="1336"/>
        <v>0</v>
      </c>
      <c r="AN3878" s="498">
        <f t="shared" si="1337"/>
        <v>0</v>
      </c>
      <c r="AO3878" s="498">
        <f t="shared" si="1338"/>
        <v>0</v>
      </c>
      <c r="AP3878" s="498">
        <f t="shared" si="1357"/>
        <v>0</v>
      </c>
      <c r="AQ3878" s="498">
        <f t="shared" si="1352"/>
        <v>0</v>
      </c>
      <c r="AU3878" s="498">
        <f t="shared" si="1339"/>
        <v>0</v>
      </c>
      <c r="AV3878" s="498">
        <f t="shared" si="1340"/>
        <v>0</v>
      </c>
      <c r="AW3878" s="498">
        <f t="shared" si="1341"/>
        <v>0</v>
      </c>
      <c r="AX3878" s="498">
        <f t="shared" si="1342"/>
        <v>0</v>
      </c>
      <c r="AY3878" s="498">
        <f t="shared" si="1343"/>
        <v>0</v>
      </c>
      <c r="BB3878" s="498" t="str">
        <f t="shared" si="1344"/>
        <v/>
      </c>
      <c r="BC3878" s="743" t="str">
        <f t="shared" si="1345"/>
        <v/>
      </c>
      <c r="BD3878" s="743" t="str">
        <f t="shared" si="1346"/>
        <v/>
      </c>
      <c r="BE3878" s="743" t="str">
        <f>IF(D3878="","",VLOOKUP(D3878,'General Basis'!$J$39:$K$46,2,0))</f>
        <v/>
      </c>
      <c r="BF3878" s="744" t="str">
        <f>IF(D3878="","",VLOOKUP(D3878,'General Basis'!$J$39:$L$46,3,0))</f>
        <v/>
      </c>
      <c r="BG3878" s="744" t="str">
        <f t="shared" si="1353"/>
        <v/>
      </c>
      <c r="BH3878" s="744" t="str">
        <f>IF(G3878="","",IF(BF3878="Abu Dhabi",IF(G3878&lt;18,'General Basis'!$C$39,IF(G3878&lt;41,'General Basis'!$C$40,IF(G3878&lt;60,'General Basis'!$C$41,IF(G3878&lt;65,'General Basis'!$C$42,'General Basis'!$C$43)))),IF(G3878&lt;11,'General Basis'!$B$39,IF(G3878&lt;18,'General Basis'!$B$40,IF(G3878&lt;26,'General Basis'!$B$41,IF(G3878&lt;31,'General Basis'!$B$42,IF(G3878&lt;36,'General Basis'!$B$43,IF(G3878&lt;41,'General Basis'!$B$44,IF(G3878&lt;46,'General Basis'!$B$45,IF(G3878&lt;51,'General Basis'!$B$46,IF(G3878&lt;56,'General Basis'!$B$47,IF(G3878&lt;60,'General Basis'!$B$48,IF(G3878&lt;65,'General Basis'!$B$49,'General Basis'!$B$50)))))))))))))</f>
        <v/>
      </c>
      <c r="BI3878" s="744" t="str">
        <f t="shared" si="1347"/>
        <v/>
      </c>
      <c r="BJ3878" s="747" t="str">
        <f t="shared" si="1354"/>
        <v/>
      </c>
      <c r="BK3878" s="498" t="str">
        <f t="shared" si="1348"/>
        <v/>
      </c>
      <c r="BL3878" s="498" t="str">
        <f t="shared" si="1349"/>
        <v/>
      </c>
    </row>
    <row r="3879" spans="1:64" x14ac:dyDescent="0.25">
      <c r="A3879" s="762">
        <f t="shared" si="1350"/>
        <v>3874</v>
      </c>
      <c r="B3879" s="229"/>
      <c r="C3879" s="223"/>
      <c r="D3879" s="224"/>
      <c r="E3879" s="225"/>
      <c r="F3879" s="1036" t="str">
        <f t="shared" si="1356"/>
        <v/>
      </c>
      <c r="G3879" s="1037" t="str">
        <f t="shared" si="1351"/>
        <v/>
      </c>
      <c r="H3879" s="225"/>
      <c r="I3879" s="1013"/>
      <c r="J3879" s="1013"/>
      <c r="K3879" s="1028"/>
      <c r="L3879" s="1035" t="str">
        <f t="shared" si="1355"/>
        <v/>
      </c>
      <c r="S3879" s="498"/>
      <c r="AJ3879" s="498"/>
      <c r="AM3879" s="498">
        <f t="shared" si="1336"/>
        <v>0</v>
      </c>
      <c r="AN3879" s="498">
        <f t="shared" si="1337"/>
        <v>0</v>
      </c>
      <c r="AO3879" s="498">
        <f t="shared" si="1338"/>
        <v>0</v>
      </c>
      <c r="AP3879" s="498">
        <f t="shared" si="1357"/>
        <v>0</v>
      </c>
      <c r="AQ3879" s="498">
        <f t="shared" si="1352"/>
        <v>0</v>
      </c>
      <c r="AU3879" s="498">
        <f t="shared" si="1339"/>
        <v>0</v>
      </c>
      <c r="AV3879" s="498">
        <f t="shared" si="1340"/>
        <v>0</v>
      </c>
      <c r="AW3879" s="498">
        <f t="shared" si="1341"/>
        <v>0</v>
      </c>
      <c r="AX3879" s="498">
        <f t="shared" si="1342"/>
        <v>0</v>
      </c>
      <c r="AY3879" s="498">
        <f t="shared" si="1343"/>
        <v>0</v>
      </c>
      <c r="BB3879" s="498" t="str">
        <f t="shared" si="1344"/>
        <v/>
      </c>
      <c r="BC3879" s="743" t="str">
        <f t="shared" si="1345"/>
        <v/>
      </c>
      <c r="BD3879" s="743" t="str">
        <f t="shared" si="1346"/>
        <v/>
      </c>
      <c r="BE3879" s="743" t="str">
        <f>IF(D3879="","",VLOOKUP(D3879,'General Basis'!$J$39:$K$46,2,0))</f>
        <v/>
      </c>
      <c r="BF3879" s="744" t="str">
        <f>IF(D3879="","",VLOOKUP(D3879,'General Basis'!$J$39:$L$46,3,0))</f>
        <v/>
      </c>
      <c r="BG3879" s="744" t="str">
        <f t="shared" si="1353"/>
        <v/>
      </c>
      <c r="BH3879" s="744" t="str">
        <f>IF(G3879="","",IF(BF3879="Abu Dhabi",IF(G3879&lt;18,'General Basis'!$C$39,IF(G3879&lt;41,'General Basis'!$C$40,IF(G3879&lt;60,'General Basis'!$C$41,IF(G3879&lt;65,'General Basis'!$C$42,'General Basis'!$C$43)))),IF(G3879&lt;11,'General Basis'!$B$39,IF(G3879&lt;18,'General Basis'!$B$40,IF(G3879&lt;26,'General Basis'!$B$41,IF(G3879&lt;31,'General Basis'!$B$42,IF(G3879&lt;36,'General Basis'!$B$43,IF(G3879&lt;41,'General Basis'!$B$44,IF(G3879&lt;46,'General Basis'!$B$45,IF(G3879&lt;51,'General Basis'!$B$46,IF(G3879&lt;56,'General Basis'!$B$47,IF(G3879&lt;60,'General Basis'!$B$48,IF(G3879&lt;65,'General Basis'!$B$49,'General Basis'!$B$50)))))))))))))</f>
        <v/>
      </c>
      <c r="BI3879" s="744" t="str">
        <f t="shared" si="1347"/>
        <v/>
      </c>
      <c r="BJ3879" s="747" t="str">
        <f t="shared" si="1354"/>
        <v/>
      </c>
      <c r="BK3879" s="498" t="str">
        <f t="shared" si="1348"/>
        <v/>
      </c>
      <c r="BL3879" s="498" t="str">
        <f t="shared" si="1349"/>
        <v/>
      </c>
    </row>
    <row r="3880" spans="1:64" x14ac:dyDescent="0.25">
      <c r="A3880" s="762">
        <f t="shared" si="1350"/>
        <v>3875</v>
      </c>
      <c r="B3880" s="229"/>
      <c r="C3880" s="223"/>
      <c r="D3880" s="224"/>
      <c r="E3880" s="225"/>
      <c r="F3880" s="1036" t="str">
        <f t="shared" si="1356"/>
        <v/>
      </c>
      <c r="G3880" s="1037" t="str">
        <f t="shared" si="1351"/>
        <v/>
      </c>
      <c r="H3880" s="225"/>
      <c r="I3880" s="1013"/>
      <c r="J3880" s="1013"/>
      <c r="K3880" s="1028"/>
      <c r="L3880" s="1035" t="str">
        <f t="shared" si="1355"/>
        <v/>
      </c>
      <c r="S3880" s="498"/>
      <c r="AJ3880" s="498"/>
      <c r="AM3880" s="498">
        <f t="shared" si="1336"/>
        <v>0</v>
      </c>
      <c r="AN3880" s="498">
        <f t="shared" si="1337"/>
        <v>0</v>
      </c>
      <c r="AO3880" s="498">
        <f t="shared" si="1338"/>
        <v>0</v>
      </c>
      <c r="AP3880" s="498">
        <f t="shared" si="1357"/>
        <v>0</v>
      </c>
      <c r="AQ3880" s="498">
        <f t="shared" si="1352"/>
        <v>0</v>
      </c>
      <c r="AU3880" s="498">
        <f t="shared" si="1339"/>
        <v>0</v>
      </c>
      <c r="AV3880" s="498">
        <f t="shared" si="1340"/>
        <v>0</v>
      </c>
      <c r="AW3880" s="498">
        <f t="shared" si="1341"/>
        <v>0</v>
      </c>
      <c r="AX3880" s="498">
        <f t="shared" si="1342"/>
        <v>0</v>
      </c>
      <c r="AY3880" s="498">
        <f t="shared" si="1343"/>
        <v>0</v>
      </c>
      <c r="BB3880" s="498" t="str">
        <f t="shared" si="1344"/>
        <v/>
      </c>
      <c r="BC3880" s="743" t="str">
        <f t="shared" si="1345"/>
        <v/>
      </c>
      <c r="BD3880" s="743" t="str">
        <f t="shared" si="1346"/>
        <v/>
      </c>
      <c r="BE3880" s="743" t="str">
        <f>IF(D3880="","",VLOOKUP(D3880,'General Basis'!$J$39:$K$46,2,0))</f>
        <v/>
      </c>
      <c r="BF3880" s="744" t="str">
        <f>IF(D3880="","",VLOOKUP(D3880,'General Basis'!$J$39:$L$46,3,0))</f>
        <v/>
      </c>
      <c r="BG3880" s="744" t="str">
        <f t="shared" si="1353"/>
        <v/>
      </c>
      <c r="BH3880" s="744" t="str">
        <f>IF(G3880="","",IF(BF3880="Abu Dhabi",IF(G3880&lt;18,'General Basis'!$C$39,IF(G3880&lt;41,'General Basis'!$C$40,IF(G3880&lt;60,'General Basis'!$C$41,IF(G3880&lt;65,'General Basis'!$C$42,'General Basis'!$C$43)))),IF(G3880&lt;11,'General Basis'!$B$39,IF(G3880&lt;18,'General Basis'!$B$40,IF(G3880&lt;26,'General Basis'!$B$41,IF(G3880&lt;31,'General Basis'!$B$42,IF(G3880&lt;36,'General Basis'!$B$43,IF(G3880&lt;41,'General Basis'!$B$44,IF(G3880&lt;46,'General Basis'!$B$45,IF(G3880&lt;51,'General Basis'!$B$46,IF(G3880&lt;56,'General Basis'!$B$47,IF(G3880&lt;60,'General Basis'!$B$48,IF(G3880&lt;65,'General Basis'!$B$49,'General Basis'!$B$50)))))))))))))</f>
        <v/>
      </c>
      <c r="BI3880" s="744" t="str">
        <f t="shared" si="1347"/>
        <v/>
      </c>
      <c r="BJ3880" s="747" t="str">
        <f t="shared" si="1354"/>
        <v/>
      </c>
      <c r="BK3880" s="498" t="str">
        <f t="shared" si="1348"/>
        <v/>
      </c>
      <c r="BL3880" s="498" t="str">
        <f t="shared" si="1349"/>
        <v/>
      </c>
    </row>
    <row r="3881" spans="1:64" x14ac:dyDescent="0.25">
      <c r="A3881" s="762">
        <f t="shared" si="1350"/>
        <v>3876</v>
      </c>
      <c r="B3881" s="229"/>
      <c r="C3881" s="223"/>
      <c r="D3881" s="224"/>
      <c r="E3881" s="225"/>
      <c r="F3881" s="1036" t="str">
        <f t="shared" si="1356"/>
        <v/>
      </c>
      <c r="G3881" s="1037" t="str">
        <f t="shared" si="1351"/>
        <v/>
      </c>
      <c r="H3881" s="225"/>
      <c r="I3881" s="1013"/>
      <c r="J3881" s="1013"/>
      <c r="K3881" s="1028"/>
      <c r="L3881" s="1035" t="str">
        <f t="shared" si="1355"/>
        <v/>
      </c>
      <c r="S3881" s="498"/>
      <c r="AJ3881" s="498"/>
      <c r="AM3881" s="498">
        <f t="shared" si="1336"/>
        <v>0</v>
      </c>
      <c r="AN3881" s="498">
        <f t="shared" si="1337"/>
        <v>0</v>
      </c>
      <c r="AO3881" s="498">
        <f t="shared" si="1338"/>
        <v>0</v>
      </c>
      <c r="AP3881" s="498">
        <f t="shared" si="1357"/>
        <v>0</v>
      </c>
      <c r="AQ3881" s="498">
        <f t="shared" si="1352"/>
        <v>0</v>
      </c>
      <c r="AU3881" s="498">
        <f t="shared" si="1339"/>
        <v>0</v>
      </c>
      <c r="AV3881" s="498">
        <f t="shared" si="1340"/>
        <v>0</v>
      </c>
      <c r="AW3881" s="498">
        <f t="shared" si="1341"/>
        <v>0</v>
      </c>
      <c r="AX3881" s="498">
        <f t="shared" si="1342"/>
        <v>0</v>
      </c>
      <c r="AY3881" s="498">
        <f t="shared" si="1343"/>
        <v>0</v>
      </c>
      <c r="BB3881" s="498" t="str">
        <f t="shared" si="1344"/>
        <v/>
      </c>
      <c r="BC3881" s="743" t="str">
        <f t="shared" si="1345"/>
        <v/>
      </c>
      <c r="BD3881" s="743" t="str">
        <f t="shared" si="1346"/>
        <v/>
      </c>
      <c r="BE3881" s="743" t="str">
        <f>IF(D3881="","",VLOOKUP(D3881,'General Basis'!$J$39:$K$46,2,0))</f>
        <v/>
      </c>
      <c r="BF3881" s="744" t="str">
        <f>IF(D3881="","",VLOOKUP(D3881,'General Basis'!$J$39:$L$46,3,0))</f>
        <v/>
      </c>
      <c r="BG3881" s="744" t="str">
        <f t="shared" si="1353"/>
        <v/>
      </c>
      <c r="BH3881" s="744" t="str">
        <f>IF(G3881="","",IF(BF3881="Abu Dhabi",IF(G3881&lt;18,'General Basis'!$C$39,IF(G3881&lt;41,'General Basis'!$C$40,IF(G3881&lt;60,'General Basis'!$C$41,IF(G3881&lt;65,'General Basis'!$C$42,'General Basis'!$C$43)))),IF(G3881&lt;11,'General Basis'!$B$39,IF(G3881&lt;18,'General Basis'!$B$40,IF(G3881&lt;26,'General Basis'!$B$41,IF(G3881&lt;31,'General Basis'!$B$42,IF(G3881&lt;36,'General Basis'!$B$43,IF(G3881&lt;41,'General Basis'!$B$44,IF(G3881&lt;46,'General Basis'!$B$45,IF(G3881&lt;51,'General Basis'!$B$46,IF(G3881&lt;56,'General Basis'!$B$47,IF(G3881&lt;60,'General Basis'!$B$48,IF(G3881&lt;65,'General Basis'!$B$49,'General Basis'!$B$50)))))))))))))</f>
        <v/>
      </c>
      <c r="BI3881" s="744" t="str">
        <f t="shared" si="1347"/>
        <v/>
      </c>
      <c r="BJ3881" s="747" t="str">
        <f t="shared" si="1354"/>
        <v/>
      </c>
      <c r="BK3881" s="498" t="str">
        <f t="shared" si="1348"/>
        <v/>
      </c>
      <c r="BL3881" s="498" t="str">
        <f t="shared" si="1349"/>
        <v/>
      </c>
    </row>
    <row r="3882" spans="1:64" x14ac:dyDescent="0.25">
      <c r="A3882" s="762">
        <f t="shared" si="1350"/>
        <v>3877</v>
      </c>
      <c r="B3882" s="229"/>
      <c r="C3882" s="223"/>
      <c r="D3882" s="224"/>
      <c r="E3882" s="225"/>
      <c r="F3882" s="1036" t="str">
        <f t="shared" si="1356"/>
        <v/>
      </c>
      <c r="G3882" s="1037" t="str">
        <f t="shared" si="1351"/>
        <v/>
      </c>
      <c r="H3882" s="225"/>
      <c r="I3882" s="1013"/>
      <c r="J3882" s="1013"/>
      <c r="K3882" s="1028"/>
      <c r="L3882" s="1035" t="str">
        <f t="shared" si="1355"/>
        <v/>
      </c>
      <c r="S3882" s="498"/>
      <c r="AJ3882" s="498"/>
      <c r="AM3882" s="498">
        <f t="shared" si="1336"/>
        <v>0</v>
      </c>
      <c r="AN3882" s="498">
        <f t="shared" si="1337"/>
        <v>0</v>
      </c>
      <c r="AO3882" s="498">
        <f t="shared" si="1338"/>
        <v>0</v>
      </c>
      <c r="AP3882" s="498">
        <f t="shared" si="1357"/>
        <v>0</v>
      </c>
      <c r="AQ3882" s="498">
        <f t="shared" si="1352"/>
        <v>0</v>
      </c>
      <c r="AU3882" s="498">
        <f t="shared" si="1339"/>
        <v>0</v>
      </c>
      <c r="AV3882" s="498">
        <f t="shared" si="1340"/>
        <v>0</v>
      </c>
      <c r="AW3882" s="498">
        <f t="shared" si="1341"/>
        <v>0</v>
      </c>
      <c r="AX3882" s="498">
        <f t="shared" si="1342"/>
        <v>0</v>
      </c>
      <c r="AY3882" s="498">
        <f t="shared" si="1343"/>
        <v>0</v>
      </c>
      <c r="BB3882" s="498" t="str">
        <f t="shared" si="1344"/>
        <v/>
      </c>
      <c r="BC3882" s="743" t="str">
        <f t="shared" si="1345"/>
        <v/>
      </c>
      <c r="BD3882" s="743" t="str">
        <f t="shared" si="1346"/>
        <v/>
      </c>
      <c r="BE3882" s="743" t="str">
        <f>IF(D3882="","",VLOOKUP(D3882,'General Basis'!$J$39:$K$46,2,0))</f>
        <v/>
      </c>
      <c r="BF3882" s="744" t="str">
        <f>IF(D3882="","",VLOOKUP(D3882,'General Basis'!$J$39:$L$46,3,0))</f>
        <v/>
      </c>
      <c r="BG3882" s="744" t="str">
        <f t="shared" si="1353"/>
        <v/>
      </c>
      <c r="BH3882" s="744" t="str">
        <f>IF(G3882="","",IF(BF3882="Abu Dhabi",IF(G3882&lt;18,'General Basis'!$C$39,IF(G3882&lt;41,'General Basis'!$C$40,IF(G3882&lt;60,'General Basis'!$C$41,IF(G3882&lt;65,'General Basis'!$C$42,'General Basis'!$C$43)))),IF(G3882&lt;11,'General Basis'!$B$39,IF(G3882&lt;18,'General Basis'!$B$40,IF(G3882&lt;26,'General Basis'!$B$41,IF(G3882&lt;31,'General Basis'!$B$42,IF(G3882&lt;36,'General Basis'!$B$43,IF(G3882&lt;41,'General Basis'!$B$44,IF(G3882&lt;46,'General Basis'!$B$45,IF(G3882&lt;51,'General Basis'!$B$46,IF(G3882&lt;56,'General Basis'!$B$47,IF(G3882&lt;60,'General Basis'!$B$48,IF(G3882&lt;65,'General Basis'!$B$49,'General Basis'!$B$50)))))))))))))</f>
        <v/>
      </c>
      <c r="BI3882" s="744" t="str">
        <f t="shared" si="1347"/>
        <v/>
      </c>
      <c r="BJ3882" s="747" t="str">
        <f t="shared" si="1354"/>
        <v/>
      </c>
      <c r="BK3882" s="498" t="str">
        <f t="shared" si="1348"/>
        <v/>
      </c>
      <c r="BL3882" s="498" t="str">
        <f t="shared" si="1349"/>
        <v/>
      </c>
    </row>
    <row r="3883" spans="1:64" x14ac:dyDescent="0.25">
      <c r="A3883" s="762">
        <f t="shared" si="1350"/>
        <v>3878</v>
      </c>
      <c r="B3883" s="229"/>
      <c r="C3883" s="223"/>
      <c r="D3883" s="224"/>
      <c r="E3883" s="225"/>
      <c r="F3883" s="1036" t="str">
        <f t="shared" si="1356"/>
        <v/>
      </c>
      <c r="G3883" s="1037" t="str">
        <f t="shared" si="1351"/>
        <v/>
      </c>
      <c r="H3883" s="225"/>
      <c r="I3883" s="1013"/>
      <c r="J3883" s="1013"/>
      <c r="K3883" s="1028"/>
      <c r="L3883" s="1035" t="str">
        <f t="shared" si="1355"/>
        <v/>
      </c>
      <c r="S3883" s="498"/>
      <c r="AJ3883" s="498"/>
      <c r="AM3883" s="498">
        <f t="shared" si="1336"/>
        <v>0</v>
      </c>
      <c r="AN3883" s="498">
        <f t="shared" si="1337"/>
        <v>0</v>
      </c>
      <c r="AO3883" s="498">
        <f t="shared" si="1338"/>
        <v>0</v>
      </c>
      <c r="AP3883" s="498">
        <f t="shared" si="1357"/>
        <v>0</v>
      </c>
      <c r="AQ3883" s="498">
        <f t="shared" si="1352"/>
        <v>0</v>
      </c>
      <c r="AU3883" s="498">
        <f t="shared" si="1339"/>
        <v>0</v>
      </c>
      <c r="AV3883" s="498">
        <f t="shared" si="1340"/>
        <v>0</v>
      </c>
      <c r="AW3883" s="498">
        <f t="shared" si="1341"/>
        <v>0</v>
      </c>
      <c r="AX3883" s="498">
        <f t="shared" si="1342"/>
        <v>0</v>
      </c>
      <c r="AY3883" s="498">
        <f t="shared" si="1343"/>
        <v>0</v>
      </c>
      <c r="BB3883" s="498" t="str">
        <f t="shared" si="1344"/>
        <v/>
      </c>
      <c r="BC3883" s="743" t="str">
        <f t="shared" si="1345"/>
        <v/>
      </c>
      <c r="BD3883" s="743" t="str">
        <f t="shared" si="1346"/>
        <v/>
      </c>
      <c r="BE3883" s="743" t="str">
        <f>IF(D3883="","",VLOOKUP(D3883,'General Basis'!$J$39:$K$46,2,0))</f>
        <v/>
      </c>
      <c r="BF3883" s="744" t="str">
        <f>IF(D3883="","",VLOOKUP(D3883,'General Basis'!$J$39:$L$46,3,0))</f>
        <v/>
      </c>
      <c r="BG3883" s="744" t="str">
        <f t="shared" si="1353"/>
        <v/>
      </c>
      <c r="BH3883" s="744" t="str">
        <f>IF(G3883="","",IF(BF3883="Abu Dhabi",IF(G3883&lt;18,'General Basis'!$C$39,IF(G3883&lt;41,'General Basis'!$C$40,IF(G3883&lt;60,'General Basis'!$C$41,IF(G3883&lt;65,'General Basis'!$C$42,'General Basis'!$C$43)))),IF(G3883&lt;11,'General Basis'!$B$39,IF(G3883&lt;18,'General Basis'!$B$40,IF(G3883&lt;26,'General Basis'!$B$41,IF(G3883&lt;31,'General Basis'!$B$42,IF(G3883&lt;36,'General Basis'!$B$43,IF(G3883&lt;41,'General Basis'!$B$44,IF(G3883&lt;46,'General Basis'!$B$45,IF(G3883&lt;51,'General Basis'!$B$46,IF(G3883&lt;56,'General Basis'!$B$47,IF(G3883&lt;60,'General Basis'!$B$48,IF(G3883&lt;65,'General Basis'!$B$49,'General Basis'!$B$50)))))))))))))</f>
        <v/>
      </c>
      <c r="BI3883" s="744" t="str">
        <f t="shared" si="1347"/>
        <v/>
      </c>
      <c r="BJ3883" s="747" t="str">
        <f t="shared" si="1354"/>
        <v/>
      </c>
      <c r="BK3883" s="498" t="str">
        <f t="shared" si="1348"/>
        <v/>
      </c>
      <c r="BL3883" s="498" t="str">
        <f t="shared" si="1349"/>
        <v/>
      </c>
    </row>
    <row r="3884" spans="1:64" x14ac:dyDescent="0.25">
      <c r="A3884" s="762">
        <f t="shared" si="1350"/>
        <v>3879</v>
      </c>
      <c r="B3884" s="229"/>
      <c r="C3884" s="223"/>
      <c r="D3884" s="224"/>
      <c r="E3884" s="225"/>
      <c r="F3884" s="1036" t="str">
        <f t="shared" si="1356"/>
        <v/>
      </c>
      <c r="G3884" s="1037" t="str">
        <f t="shared" si="1351"/>
        <v/>
      </c>
      <c r="H3884" s="225"/>
      <c r="I3884" s="1013"/>
      <c r="J3884" s="1013"/>
      <c r="K3884" s="1028"/>
      <c r="L3884" s="1035" t="str">
        <f t="shared" si="1355"/>
        <v/>
      </c>
      <c r="S3884" s="498"/>
      <c r="AJ3884" s="498"/>
      <c r="AM3884" s="498">
        <f t="shared" si="1336"/>
        <v>0</v>
      </c>
      <c r="AN3884" s="498">
        <f t="shared" si="1337"/>
        <v>0</v>
      </c>
      <c r="AO3884" s="498">
        <f t="shared" si="1338"/>
        <v>0</v>
      </c>
      <c r="AP3884" s="498">
        <f t="shared" si="1357"/>
        <v>0</v>
      </c>
      <c r="AQ3884" s="498">
        <f t="shared" si="1352"/>
        <v>0</v>
      </c>
      <c r="AU3884" s="498">
        <f t="shared" si="1339"/>
        <v>0</v>
      </c>
      <c r="AV3884" s="498">
        <f t="shared" si="1340"/>
        <v>0</v>
      </c>
      <c r="AW3884" s="498">
        <f t="shared" si="1341"/>
        <v>0</v>
      </c>
      <c r="AX3884" s="498">
        <f t="shared" si="1342"/>
        <v>0</v>
      </c>
      <c r="AY3884" s="498">
        <f t="shared" si="1343"/>
        <v>0</v>
      </c>
      <c r="BB3884" s="498" t="str">
        <f t="shared" si="1344"/>
        <v/>
      </c>
      <c r="BC3884" s="743" t="str">
        <f t="shared" si="1345"/>
        <v/>
      </c>
      <c r="BD3884" s="743" t="str">
        <f t="shared" si="1346"/>
        <v/>
      </c>
      <c r="BE3884" s="743" t="str">
        <f>IF(D3884="","",VLOOKUP(D3884,'General Basis'!$J$39:$K$46,2,0))</f>
        <v/>
      </c>
      <c r="BF3884" s="744" t="str">
        <f>IF(D3884="","",VLOOKUP(D3884,'General Basis'!$J$39:$L$46,3,0))</f>
        <v/>
      </c>
      <c r="BG3884" s="744" t="str">
        <f t="shared" si="1353"/>
        <v/>
      </c>
      <c r="BH3884" s="744" t="str">
        <f>IF(G3884="","",IF(BF3884="Abu Dhabi",IF(G3884&lt;18,'General Basis'!$C$39,IF(G3884&lt;41,'General Basis'!$C$40,IF(G3884&lt;60,'General Basis'!$C$41,IF(G3884&lt;65,'General Basis'!$C$42,'General Basis'!$C$43)))),IF(G3884&lt;11,'General Basis'!$B$39,IF(G3884&lt;18,'General Basis'!$B$40,IF(G3884&lt;26,'General Basis'!$B$41,IF(G3884&lt;31,'General Basis'!$B$42,IF(G3884&lt;36,'General Basis'!$B$43,IF(G3884&lt;41,'General Basis'!$B$44,IF(G3884&lt;46,'General Basis'!$B$45,IF(G3884&lt;51,'General Basis'!$B$46,IF(G3884&lt;56,'General Basis'!$B$47,IF(G3884&lt;60,'General Basis'!$B$48,IF(G3884&lt;65,'General Basis'!$B$49,'General Basis'!$B$50)))))))))))))</f>
        <v/>
      </c>
      <c r="BI3884" s="744" t="str">
        <f t="shared" si="1347"/>
        <v/>
      </c>
      <c r="BJ3884" s="747" t="str">
        <f t="shared" si="1354"/>
        <v/>
      </c>
      <c r="BK3884" s="498" t="str">
        <f t="shared" si="1348"/>
        <v/>
      </c>
      <c r="BL3884" s="498" t="str">
        <f t="shared" si="1349"/>
        <v/>
      </c>
    </row>
    <row r="3885" spans="1:64" x14ac:dyDescent="0.25">
      <c r="A3885" s="762">
        <f t="shared" si="1350"/>
        <v>3880</v>
      </c>
      <c r="B3885" s="229"/>
      <c r="C3885" s="223"/>
      <c r="D3885" s="224"/>
      <c r="E3885" s="225"/>
      <c r="F3885" s="1036" t="str">
        <f t="shared" si="1356"/>
        <v/>
      </c>
      <c r="G3885" s="1037" t="str">
        <f t="shared" si="1351"/>
        <v/>
      </c>
      <c r="H3885" s="225"/>
      <c r="I3885" s="1013"/>
      <c r="J3885" s="1013"/>
      <c r="K3885" s="1028"/>
      <c r="L3885" s="1035" t="str">
        <f t="shared" si="1355"/>
        <v/>
      </c>
      <c r="S3885" s="498"/>
      <c r="AJ3885" s="498"/>
      <c r="AM3885" s="498">
        <f t="shared" si="1336"/>
        <v>0</v>
      </c>
      <c r="AN3885" s="498">
        <f t="shared" si="1337"/>
        <v>0</v>
      </c>
      <c r="AO3885" s="498">
        <f t="shared" si="1338"/>
        <v>0</v>
      </c>
      <c r="AP3885" s="498">
        <f t="shared" si="1357"/>
        <v>0</v>
      </c>
      <c r="AQ3885" s="498">
        <f t="shared" si="1352"/>
        <v>0</v>
      </c>
      <c r="AU3885" s="498">
        <f t="shared" si="1339"/>
        <v>0</v>
      </c>
      <c r="AV3885" s="498">
        <f t="shared" si="1340"/>
        <v>0</v>
      </c>
      <c r="AW3885" s="498">
        <f t="shared" si="1341"/>
        <v>0</v>
      </c>
      <c r="AX3885" s="498">
        <f t="shared" si="1342"/>
        <v>0</v>
      </c>
      <c r="AY3885" s="498">
        <f t="shared" si="1343"/>
        <v>0</v>
      </c>
      <c r="BB3885" s="498" t="str">
        <f t="shared" si="1344"/>
        <v/>
      </c>
      <c r="BC3885" s="743" t="str">
        <f t="shared" si="1345"/>
        <v/>
      </c>
      <c r="BD3885" s="743" t="str">
        <f t="shared" si="1346"/>
        <v/>
      </c>
      <c r="BE3885" s="743" t="str">
        <f>IF(D3885="","",VLOOKUP(D3885,'General Basis'!$J$39:$K$46,2,0))</f>
        <v/>
      </c>
      <c r="BF3885" s="744" t="str">
        <f>IF(D3885="","",VLOOKUP(D3885,'General Basis'!$J$39:$L$46,3,0))</f>
        <v/>
      </c>
      <c r="BG3885" s="744" t="str">
        <f t="shared" si="1353"/>
        <v/>
      </c>
      <c r="BH3885" s="744" t="str">
        <f>IF(G3885="","",IF(BF3885="Abu Dhabi",IF(G3885&lt;18,'General Basis'!$C$39,IF(G3885&lt;41,'General Basis'!$C$40,IF(G3885&lt;60,'General Basis'!$C$41,IF(G3885&lt;65,'General Basis'!$C$42,'General Basis'!$C$43)))),IF(G3885&lt;11,'General Basis'!$B$39,IF(G3885&lt;18,'General Basis'!$B$40,IF(G3885&lt;26,'General Basis'!$B$41,IF(G3885&lt;31,'General Basis'!$B$42,IF(G3885&lt;36,'General Basis'!$B$43,IF(G3885&lt;41,'General Basis'!$B$44,IF(G3885&lt;46,'General Basis'!$B$45,IF(G3885&lt;51,'General Basis'!$B$46,IF(G3885&lt;56,'General Basis'!$B$47,IF(G3885&lt;60,'General Basis'!$B$48,IF(G3885&lt;65,'General Basis'!$B$49,'General Basis'!$B$50)))))))))))))</f>
        <v/>
      </c>
      <c r="BI3885" s="744" t="str">
        <f t="shared" si="1347"/>
        <v/>
      </c>
      <c r="BJ3885" s="747" t="str">
        <f t="shared" si="1354"/>
        <v/>
      </c>
      <c r="BK3885" s="498" t="str">
        <f t="shared" si="1348"/>
        <v/>
      </c>
      <c r="BL3885" s="498" t="str">
        <f t="shared" si="1349"/>
        <v/>
      </c>
    </row>
    <row r="3886" spans="1:64" x14ac:dyDescent="0.25">
      <c r="A3886" s="762">
        <f t="shared" si="1350"/>
        <v>3881</v>
      </c>
      <c r="B3886" s="229"/>
      <c r="C3886" s="223"/>
      <c r="D3886" s="224"/>
      <c r="E3886" s="225"/>
      <c r="F3886" s="1036" t="str">
        <f t="shared" si="1356"/>
        <v/>
      </c>
      <c r="G3886" s="1037" t="str">
        <f t="shared" si="1351"/>
        <v/>
      </c>
      <c r="H3886" s="225"/>
      <c r="I3886" s="1013"/>
      <c r="J3886" s="1013"/>
      <c r="K3886" s="1028"/>
      <c r="L3886" s="1035" t="str">
        <f t="shared" si="1355"/>
        <v/>
      </c>
      <c r="S3886" s="498"/>
      <c r="AJ3886" s="498"/>
      <c r="AM3886" s="498">
        <f t="shared" si="1336"/>
        <v>0</v>
      </c>
      <c r="AN3886" s="498">
        <f t="shared" si="1337"/>
        <v>0</v>
      </c>
      <c r="AO3886" s="498">
        <f t="shared" si="1338"/>
        <v>0</v>
      </c>
      <c r="AP3886" s="498">
        <f t="shared" si="1357"/>
        <v>0</v>
      </c>
      <c r="AQ3886" s="498">
        <f t="shared" si="1352"/>
        <v>0</v>
      </c>
      <c r="AU3886" s="498">
        <f t="shared" si="1339"/>
        <v>0</v>
      </c>
      <c r="AV3886" s="498">
        <f t="shared" si="1340"/>
        <v>0</v>
      </c>
      <c r="AW3886" s="498">
        <f t="shared" si="1341"/>
        <v>0</v>
      </c>
      <c r="AX3886" s="498">
        <f t="shared" si="1342"/>
        <v>0</v>
      </c>
      <c r="AY3886" s="498">
        <f t="shared" si="1343"/>
        <v>0</v>
      </c>
      <c r="BB3886" s="498" t="str">
        <f t="shared" si="1344"/>
        <v/>
      </c>
      <c r="BC3886" s="743" t="str">
        <f t="shared" si="1345"/>
        <v/>
      </c>
      <c r="BD3886" s="743" t="str">
        <f t="shared" si="1346"/>
        <v/>
      </c>
      <c r="BE3886" s="743" t="str">
        <f>IF(D3886="","",VLOOKUP(D3886,'General Basis'!$J$39:$K$46,2,0))</f>
        <v/>
      </c>
      <c r="BF3886" s="744" t="str">
        <f>IF(D3886="","",VLOOKUP(D3886,'General Basis'!$J$39:$L$46,3,0))</f>
        <v/>
      </c>
      <c r="BG3886" s="744" t="str">
        <f t="shared" si="1353"/>
        <v/>
      </c>
      <c r="BH3886" s="744" t="str">
        <f>IF(G3886="","",IF(BF3886="Abu Dhabi",IF(G3886&lt;18,'General Basis'!$C$39,IF(G3886&lt;41,'General Basis'!$C$40,IF(G3886&lt;60,'General Basis'!$C$41,IF(G3886&lt;65,'General Basis'!$C$42,'General Basis'!$C$43)))),IF(G3886&lt;11,'General Basis'!$B$39,IF(G3886&lt;18,'General Basis'!$B$40,IF(G3886&lt;26,'General Basis'!$B$41,IF(G3886&lt;31,'General Basis'!$B$42,IF(G3886&lt;36,'General Basis'!$B$43,IF(G3886&lt;41,'General Basis'!$B$44,IF(G3886&lt;46,'General Basis'!$B$45,IF(G3886&lt;51,'General Basis'!$B$46,IF(G3886&lt;56,'General Basis'!$B$47,IF(G3886&lt;60,'General Basis'!$B$48,IF(G3886&lt;65,'General Basis'!$B$49,'General Basis'!$B$50)))))))))))))</f>
        <v/>
      </c>
      <c r="BI3886" s="744" t="str">
        <f t="shared" si="1347"/>
        <v/>
      </c>
      <c r="BJ3886" s="747" t="str">
        <f t="shared" si="1354"/>
        <v/>
      </c>
      <c r="BK3886" s="498" t="str">
        <f t="shared" si="1348"/>
        <v/>
      </c>
      <c r="BL3886" s="498" t="str">
        <f t="shared" si="1349"/>
        <v/>
      </c>
    </row>
    <row r="3887" spans="1:64" x14ac:dyDescent="0.25">
      <c r="A3887" s="762">
        <f t="shared" si="1350"/>
        <v>3882</v>
      </c>
      <c r="B3887" s="229"/>
      <c r="C3887" s="223"/>
      <c r="D3887" s="224"/>
      <c r="E3887" s="225"/>
      <c r="F3887" s="1036" t="str">
        <f t="shared" si="1356"/>
        <v/>
      </c>
      <c r="G3887" s="1037" t="str">
        <f t="shared" si="1351"/>
        <v/>
      </c>
      <c r="H3887" s="225"/>
      <c r="I3887" s="1013"/>
      <c r="J3887" s="1013"/>
      <c r="K3887" s="1028"/>
      <c r="L3887" s="1035" t="str">
        <f t="shared" si="1355"/>
        <v/>
      </c>
      <c r="S3887" s="498"/>
      <c r="AJ3887" s="498"/>
      <c r="AM3887" s="498">
        <f t="shared" si="1336"/>
        <v>0</v>
      </c>
      <c r="AN3887" s="498">
        <f t="shared" si="1337"/>
        <v>0</v>
      </c>
      <c r="AO3887" s="498">
        <f t="shared" si="1338"/>
        <v>0</v>
      </c>
      <c r="AP3887" s="498">
        <f t="shared" si="1357"/>
        <v>0</v>
      </c>
      <c r="AQ3887" s="498">
        <f t="shared" si="1352"/>
        <v>0</v>
      </c>
      <c r="AU3887" s="498">
        <f t="shared" si="1339"/>
        <v>0</v>
      </c>
      <c r="AV3887" s="498">
        <f t="shared" si="1340"/>
        <v>0</v>
      </c>
      <c r="AW3887" s="498">
        <f t="shared" si="1341"/>
        <v>0</v>
      </c>
      <c r="AX3887" s="498">
        <f t="shared" si="1342"/>
        <v>0</v>
      </c>
      <c r="AY3887" s="498">
        <f t="shared" si="1343"/>
        <v>0</v>
      </c>
      <c r="BB3887" s="498" t="str">
        <f t="shared" si="1344"/>
        <v/>
      </c>
      <c r="BC3887" s="743" t="str">
        <f t="shared" si="1345"/>
        <v/>
      </c>
      <c r="BD3887" s="743" t="str">
        <f t="shared" si="1346"/>
        <v/>
      </c>
      <c r="BE3887" s="743" t="str">
        <f>IF(D3887="","",VLOOKUP(D3887,'General Basis'!$J$39:$K$46,2,0))</f>
        <v/>
      </c>
      <c r="BF3887" s="744" t="str">
        <f>IF(D3887="","",VLOOKUP(D3887,'General Basis'!$J$39:$L$46,3,0))</f>
        <v/>
      </c>
      <c r="BG3887" s="744" t="str">
        <f t="shared" si="1353"/>
        <v/>
      </c>
      <c r="BH3887" s="744" t="str">
        <f>IF(G3887="","",IF(BF3887="Abu Dhabi",IF(G3887&lt;18,'General Basis'!$C$39,IF(G3887&lt;41,'General Basis'!$C$40,IF(G3887&lt;60,'General Basis'!$C$41,IF(G3887&lt;65,'General Basis'!$C$42,'General Basis'!$C$43)))),IF(G3887&lt;11,'General Basis'!$B$39,IF(G3887&lt;18,'General Basis'!$B$40,IF(G3887&lt;26,'General Basis'!$B$41,IF(G3887&lt;31,'General Basis'!$B$42,IF(G3887&lt;36,'General Basis'!$B$43,IF(G3887&lt;41,'General Basis'!$B$44,IF(G3887&lt;46,'General Basis'!$B$45,IF(G3887&lt;51,'General Basis'!$B$46,IF(G3887&lt;56,'General Basis'!$B$47,IF(G3887&lt;60,'General Basis'!$B$48,IF(G3887&lt;65,'General Basis'!$B$49,'General Basis'!$B$50)))))))))))))</f>
        <v/>
      </c>
      <c r="BI3887" s="744" t="str">
        <f t="shared" si="1347"/>
        <v/>
      </c>
      <c r="BJ3887" s="747" t="str">
        <f t="shared" si="1354"/>
        <v/>
      </c>
      <c r="BK3887" s="498" t="str">
        <f t="shared" si="1348"/>
        <v/>
      </c>
      <c r="BL3887" s="498" t="str">
        <f t="shared" si="1349"/>
        <v/>
      </c>
    </row>
    <row r="3888" spans="1:64" x14ac:dyDescent="0.25">
      <c r="A3888" s="762">
        <f t="shared" si="1350"/>
        <v>3883</v>
      </c>
      <c r="B3888" s="229"/>
      <c r="C3888" s="223"/>
      <c r="D3888" s="224"/>
      <c r="E3888" s="225"/>
      <c r="F3888" s="1036" t="str">
        <f t="shared" si="1356"/>
        <v/>
      </c>
      <c r="G3888" s="1037" t="str">
        <f t="shared" si="1351"/>
        <v/>
      </c>
      <c r="H3888" s="225"/>
      <c r="I3888" s="1013"/>
      <c r="J3888" s="1013"/>
      <c r="K3888" s="1028"/>
      <c r="L3888" s="1035" t="str">
        <f t="shared" si="1355"/>
        <v/>
      </c>
      <c r="S3888" s="498"/>
      <c r="AJ3888" s="498"/>
      <c r="AM3888" s="498">
        <f t="shared" si="1336"/>
        <v>0</v>
      </c>
      <c r="AN3888" s="498">
        <f t="shared" si="1337"/>
        <v>0</v>
      </c>
      <c r="AO3888" s="498">
        <f t="shared" si="1338"/>
        <v>0</v>
      </c>
      <c r="AP3888" s="498">
        <f t="shared" si="1357"/>
        <v>0</v>
      </c>
      <c r="AQ3888" s="498">
        <f t="shared" si="1352"/>
        <v>0</v>
      </c>
      <c r="AU3888" s="498">
        <f t="shared" si="1339"/>
        <v>0</v>
      </c>
      <c r="AV3888" s="498">
        <f t="shared" si="1340"/>
        <v>0</v>
      </c>
      <c r="AW3888" s="498">
        <f t="shared" si="1341"/>
        <v>0</v>
      </c>
      <c r="AX3888" s="498">
        <f t="shared" si="1342"/>
        <v>0</v>
      </c>
      <c r="AY3888" s="498">
        <f t="shared" si="1343"/>
        <v>0</v>
      </c>
      <c r="BB3888" s="498" t="str">
        <f t="shared" si="1344"/>
        <v/>
      </c>
      <c r="BC3888" s="743" t="str">
        <f t="shared" si="1345"/>
        <v/>
      </c>
      <c r="BD3888" s="743" t="str">
        <f t="shared" si="1346"/>
        <v/>
      </c>
      <c r="BE3888" s="743" t="str">
        <f>IF(D3888="","",VLOOKUP(D3888,'General Basis'!$J$39:$K$46,2,0))</f>
        <v/>
      </c>
      <c r="BF3888" s="744" t="str">
        <f>IF(D3888="","",VLOOKUP(D3888,'General Basis'!$J$39:$L$46,3,0))</f>
        <v/>
      </c>
      <c r="BG3888" s="744" t="str">
        <f t="shared" si="1353"/>
        <v/>
      </c>
      <c r="BH3888" s="744" t="str">
        <f>IF(G3888="","",IF(BF3888="Abu Dhabi",IF(G3888&lt;18,'General Basis'!$C$39,IF(G3888&lt;41,'General Basis'!$C$40,IF(G3888&lt;60,'General Basis'!$C$41,IF(G3888&lt;65,'General Basis'!$C$42,'General Basis'!$C$43)))),IF(G3888&lt;11,'General Basis'!$B$39,IF(G3888&lt;18,'General Basis'!$B$40,IF(G3888&lt;26,'General Basis'!$B$41,IF(G3888&lt;31,'General Basis'!$B$42,IF(G3888&lt;36,'General Basis'!$B$43,IF(G3888&lt;41,'General Basis'!$B$44,IF(G3888&lt;46,'General Basis'!$B$45,IF(G3888&lt;51,'General Basis'!$B$46,IF(G3888&lt;56,'General Basis'!$B$47,IF(G3888&lt;60,'General Basis'!$B$48,IF(G3888&lt;65,'General Basis'!$B$49,'General Basis'!$B$50)))))))))))))</f>
        <v/>
      </c>
      <c r="BI3888" s="744" t="str">
        <f t="shared" si="1347"/>
        <v/>
      </c>
      <c r="BJ3888" s="747" t="str">
        <f t="shared" si="1354"/>
        <v/>
      </c>
      <c r="BK3888" s="498" t="str">
        <f t="shared" si="1348"/>
        <v/>
      </c>
      <c r="BL3888" s="498" t="str">
        <f t="shared" si="1349"/>
        <v/>
      </c>
    </row>
    <row r="3889" spans="1:64" x14ac:dyDescent="0.25">
      <c r="A3889" s="762">
        <f t="shared" si="1350"/>
        <v>3884</v>
      </c>
      <c r="B3889" s="229"/>
      <c r="C3889" s="223"/>
      <c r="D3889" s="224"/>
      <c r="E3889" s="225"/>
      <c r="F3889" s="1036" t="str">
        <f t="shared" si="1356"/>
        <v/>
      </c>
      <c r="G3889" s="1037" t="str">
        <f t="shared" si="1351"/>
        <v/>
      </c>
      <c r="H3889" s="225"/>
      <c r="I3889" s="1013"/>
      <c r="J3889" s="1013"/>
      <c r="K3889" s="1028"/>
      <c r="L3889" s="1035" t="str">
        <f t="shared" si="1355"/>
        <v/>
      </c>
      <c r="S3889" s="498"/>
      <c r="AJ3889" s="498"/>
      <c r="AM3889" s="498">
        <f t="shared" si="1336"/>
        <v>0</v>
      </c>
      <c r="AN3889" s="498">
        <f t="shared" si="1337"/>
        <v>0</v>
      </c>
      <c r="AO3889" s="498">
        <f t="shared" si="1338"/>
        <v>0</v>
      </c>
      <c r="AP3889" s="498">
        <f t="shared" si="1357"/>
        <v>0</v>
      </c>
      <c r="AQ3889" s="498">
        <f t="shared" si="1352"/>
        <v>0</v>
      </c>
      <c r="AU3889" s="498">
        <f t="shared" si="1339"/>
        <v>0</v>
      </c>
      <c r="AV3889" s="498">
        <f t="shared" si="1340"/>
        <v>0</v>
      </c>
      <c r="AW3889" s="498">
        <f t="shared" si="1341"/>
        <v>0</v>
      </c>
      <c r="AX3889" s="498">
        <f t="shared" si="1342"/>
        <v>0</v>
      </c>
      <c r="AY3889" s="498">
        <f t="shared" si="1343"/>
        <v>0</v>
      </c>
      <c r="BB3889" s="498" t="str">
        <f t="shared" si="1344"/>
        <v/>
      </c>
      <c r="BC3889" s="743" t="str">
        <f t="shared" si="1345"/>
        <v/>
      </c>
      <c r="BD3889" s="743" t="str">
        <f t="shared" si="1346"/>
        <v/>
      </c>
      <c r="BE3889" s="743" t="str">
        <f>IF(D3889="","",VLOOKUP(D3889,'General Basis'!$J$39:$K$46,2,0))</f>
        <v/>
      </c>
      <c r="BF3889" s="744" t="str">
        <f>IF(D3889="","",VLOOKUP(D3889,'General Basis'!$J$39:$L$46,3,0))</f>
        <v/>
      </c>
      <c r="BG3889" s="744" t="str">
        <f t="shared" si="1353"/>
        <v/>
      </c>
      <c r="BH3889" s="744" t="str">
        <f>IF(G3889="","",IF(BF3889="Abu Dhabi",IF(G3889&lt;18,'General Basis'!$C$39,IF(G3889&lt;41,'General Basis'!$C$40,IF(G3889&lt;60,'General Basis'!$C$41,IF(G3889&lt;65,'General Basis'!$C$42,'General Basis'!$C$43)))),IF(G3889&lt;11,'General Basis'!$B$39,IF(G3889&lt;18,'General Basis'!$B$40,IF(G3889&lt;26,'General Basis'!$B$41,IF(G3889&lt;31,'General Basis'!$B$42,IF(G3889&lt;36,'General Basis'!$B$43,IF(G3889&lt;41,'General Basis'!$B$44,IF(G3889&lt;46,'General Basis'!$B$45,IF(G3889&lt;51,'General Basis'!$B$46,IF(G3889&lt;56,'General Basis'!$B$47,IF(G3889&lt;60,'General Basis'!$B$48,IF(G3889&lt;65,'General Basis'!$B$49,'General Basis'!$B$50)))))))))))))</f>
        <v/>
      </c>
      <c r="BI3889" s="744" t="str">
        <f t="shared" si="1347"/>
        <v/>
      </c>
      <c r="BJ3889" s="747" t="str">
        <f t="shared" si="1354"/>
        <v/>
      </c>
      <c r="BK3889" s="498" t="str">
        <f t="shared" si="1348"/>
        <v/>
      </c>
      <c r="BL3889" s="498" t="str">
        <f t="shared" si="1349"/>
        <v/>
      </c>
    </row>
    <row r="3890" spans="1:64" x14ac:dyDescent="0.25">
      <c r="A3890" s="762">
        <f t="shared" si="1350"/>
        <v>3885</v>
      </c>
      <c r="B3890" s="229"/>
      <c r="C3890" s="223"/>
      <c r="D3890" s="224"/>
      <c r="E3890" s="225"/>
      <c r="F3890" s="1036" t="str">
        <f t="shared" si="1356"/>
        <v/>
      </c>
      <c r="G3890" s="1037" t="str">
        <f t="shared" si="1351"/>
        <v/>
      </c>
      <c r="H3890" s="225"/>
      <c r="I3890" s="1013"/>
      <c r="J3890" s="1013"/>
      <c r="K3890" s="1028"/>
      <c r="L3890" s="1035" t="str">
        <f t="shared" si="1355"/>
        <v/>
      </c>
      <c r="S3890" s="498"/>
      <c r="AJ3890" s="498"/>
      <c r="AM3890" s="498">
        <f t="shared" si="1336"/>
        <v>0</v>
      </c>
      <c r="AN3890" s="498">
        <f t="shared" si="1337"/>
        <v>0</v>
      </c>
      <c r="AO3890" s="498">
        <f t="shared" si="1338"/>
        <v>0</v>
      </c>
      <c r="AP3890" s="498">
        <f t="shared" si="1357"/>
        <v>0</v>
      </c>
      <c r="AQ3890" s="498">
        <f t="shared" si="1352"/>
        <v>0</v>
      </c>
      <c r="AU3890" s="498">
        <f t="shared" si="1339"/>
        <v>0</v>
      </c>
      <c r="AV3890" s="498">
        <f t="shared" si="1340"/>
        <v>0</v>
      </c>
      <c r="AW3890" s="498">
        <f t="shared" si="1341"/>
        <v>0</v>
      </c>
      <c r="AX3890" s="498">
        <f t="shared" si="1342"/>
        <v>0</v>
      </c>
      <c r="AY3890" s="498">
        <f t="shared" si="1343"/>
        <v>0</v>
      </c>
      <c r="BB3890" s="498" t="str">
        <f t="shared" si="1344"/>
        <v/>
      </c>
      <c r="BC3890" s="743" t="str">
        <f t="shared" si="1345"/>
        <v/>
      </c>
      <c r="BD3890" s="743" t="str">
        <f t="shared" si="1346"/>
        <v/>
      </c>
      <c r="BE3890" s="743" t="str">
        <f>IF(D3890="","",VLOOKUP(D3890,'General Basis'!$J$39:$K$46,2,0))</f>
        <v/>
      </c>
      <c r="BF3890" s="744" t="str">
        <f>IF(D3890="","",VLOOKUP(D3890,'General Basis'!$J$39:$L$46,3,0))</f>
        <v/>
      </c>
      <c r="BG3890" s="744" t="str">
        <f t="shared" si="1353"/>
        <v/>
      </c>
      <c r="BH3890" s="744" t="str">
        <f>IF(G3890="","",IF(BF3890="Abu Dhabi",IF(G3890&lt;18,'General Basis'!$C$39,IF(G3890&lt;41,'General Basis'!$C$40,IF(G3890&lt;60,'General Basis'!$C$41,IF(G3890&lt;65,'General Basis'!$C$42,'General Basis'!$C$43)))),IF(G3890&lt;11,'General Basis'!$B$39,IF(G3890&lt;18,'General Basis'!$B$40,IF(G3890&lt;26,'General Basis'!$B$41,IF(G3890&lt;31,'General Basis'!$B$42,IF(G3890&lt;36,'General Basis'!$B$43,IF(G3890&lt;41,'General Basis'!$B$44,IF(G3890&lt;46,'General Basis'!$B$45,IF(G3890&lt;51,'General Basis'!$B$46,IF(G3890&lt;56,'General Basis'!$B$47,IF(G3890&lt;60,'General Basis'!$B$48,IF(G3890&lt;65,'General Basis'!$B$49,'General Basis'!$B$50)))))))))))))</f>
        <v/>
      </c>
      <c r="BI3890" s="744" t="str">
        <f t="shared" si="1347"/>
        <v/>
      </c>
      <c r="BJ3890" s="747" t="str">
        <f t="shared" si="1354"/>
        <v/>
      </c>
      <c r="BK3890" s="498" t="str">
        <f t="shared" si="1348"/>
        <v/>
      </c>
      <c r="BL3890" s="498" t="str">
        <f t="shared" si="1349"/>
        <v/>
      </c>
    </row>
    <row r="3891" spans="1:64" x14ac:dyDescent="0.25">
      <c r="A3891" s="762">
        <f t="shared" si="1350"/>
        <v>3886</v>
      </c>
      <c r="B3891" s="229"/>
      <c r="C3891" s="223"/>
      <c r="D3891" s="224"/>
      <c r="E3891" s="225"/>
      <c r="F3891" s="1036" t="str">
        <f t="shared" si="1356"/>
        <v/>
      </c>
      <c r="G3891" s="1037" t="str">
        <f t="shared" si="1351"/>
        <v/>
      </c>
      <c r="H3891" s="225"/>
      <c r="I3891" s="1013"/>
      <c r="J3891" s="1013"/>
      <c r="K3891" s="1028"/>
      <c r="L3891" s="1035" t="str">
        <f t="shared" si="1355"/>
        <v/>
      </c>
      <c r="S3891" s="498"/>
      <c r="AJ3891" s="498"/>
      <c r="AM3891" s="498">
        <f t="shared" si="1336"/>
        <v>0</v>
      </c>
      <c r="AN3891" s="498">
        <f t="shared" si="1337"/>
        <v>0</v>
      </c>
      <c r="AO3891" s="498">
        <f t="shared" si="1338"/>
        <v>0</v>
      </c>
      <c r="AP3891" s="498">
        <f t="shared" si="1357"/>
        <v>0</v>
      </c>
      <c r="AQ3891" s="498">
        <f t="shared" si="1352"/>
        <v>0</v>
      </c>
      <c r="AU3891" s="498">
        <f t="shared" si="1339"/>
        <v>0</v>
      </c>
      <c r="AV3891" s="498">
        <f t="shared" si="1340"/>
        <v>0</v>
      </c>
      <c r="AW3891" s="498">
        <f t="shared" si="1341"/>
        <v>0</v>
      </c>
      <c r="AX3891" s="498">
        <f t="shared" si="1342"/>
        <v>0</v>
      </c>
      <c r="AY3891" s="498">
        <f t="shared" si="1343"/>
        <v>0</v>
      </c>
      <c r="BB3891" s="498" t="str">
        <f t="shared" si="1344"/>
        <v/>
      </c>
      <c r="BC3891" s="743" t="str">
        <f t="shared" si="1345"/>
        <v/>
      </c>
      <c r="BD3891" s="743" t="str">
        <f t="shared" si="1346"/>
        <v/>
      </c>
      <c r="BE3891" s="743" t="str">
        <f>IF(D3891="","",VLOOKUP(D3891,'General Basis'!$J$39:$K$46,2,0))</f>
        <v/>
      </c>
      <c r="BF3891" s="744" t="str">
        <f>IF(D3891="","",VLOOKUP(D3891,'General Basis'!$J$39:$L$46,3,0))</f>
        <v/>
      </c>
      <c r="BG3891" s="744" t="str">
        <f t="shared" si="1353"/>
        <v/>
      </c>
      <c r="BH3891" s="744" t="str">
        <f>IF(G3891="","",IF(BF3891="Abu Dhabi",IF(G3891&lt;18,'General Basis'!$C$39,IF(G3891&lt;41,'General Basis'!$C$40,IF(G3891&lt;60,'General Basis'!$C$41,IF(G3891&lt;65,'General Basis'!$C$42,'General Basis'!$C$43)))),IF(G3891&lt;11,'General Basis'!$B$39,IF(G3891&lt;18,'General Basis'!$B$40,IF(G3891&lt;26,'General Basis'!$B$41,IF(G3891&lt;31,'General Basis'!$B$42,IF(G3891&lt;36,'General Basis'!$B$43,IF(G3891&lt;41,'General Basis'!$B$44,IF(G3891&lt;46,'General Basis'!$B$45,IF(G3891&lt;51,'General Basis'!$B$46,IF(G3891&lt;56,'General Basis'!$B$47,IF(G3891&lt;60,'General Basis'!$B$48,IF(G3891&lt;65,'General Basis'!$B$49,'General Basis'!$B$50)))))))))))))</f>
        <v/>
      </c>
      <c r="BI3891" s="744" t="str">
        <f t="shared" si="1347"/>
        <v/>
      </c>
      <c r="BJ3891" s="747" t="str">
        <f t="shared" si="1354"/>
        <v/>
      </c>
      <c r="BK3891" s="498" t="str">
        <f t="shared" si="1348"/>
        <v/>
      </c>
      <c r="BL3891" s="498" t="str">
        <f t="shared" si="1349"/>
        <v/>
      </c>
    </row>
    <row r="3892" spans="1:64" x14ac:dyDescent="0.25">
      <c r="A3892" s="762">
        <f t="shared" si="1350"/>
        <v>3887</v>
      </c>
      <c r="B3892" s="229"/>
      <c r="C3892" s="223"/>
      <c r="D3892" s="224"/>
      <c r="E3892" s="225"/>
      <c r="F3892" s="1036" t="str">
        <f t="shared" si="1356"/>
        <v/>
      </c>
      <c r="G3892" s="1037" t="str">
        <f t="shared" si="1351"/>
        <v/>
      </c>
      <c r="H3892" s="225"/>
      <c r="I3892" s="1013"/>
      <c r="J3892" s="1013"/>
      <c r="K3892" s="1028"/>
      <c r="L3892" s="1035" t="str">
        <f t="shared" si="1355"/>
        <v/>
      </c>
      <c r="S3892" s="498"/>
      <c r="AJ3892" s="498"/>
      <c r="AM3892" s="498">
        <f t="shared" si="1336"/>
        <v>0</v>
      </c>
      <c r="AN3892" s="498">
        <f t="shared" si="1337"/>
        <v>0</v>
      </c>
      <c r="AO3892" s="498">
        <f t="shared" si="1338"/>
        <v>0</v>
      </c>
      <c r="AP3892" s="498">
        <f t="shared" si="1357"/>
        <v>0</v>
      </c>
      <c r="AQ3892" s="498">
        <f t="shared" si="1352"/>
        <v>0</v>
      </c>
      <c r="AU3892" s="498">
        <f t="shared" si="1339"/>
        <v>0</v>
      </c>
      <c r="AV3892" s="498">
        <f t="shared" si="1340"/>
        <v>0</v>
      </c>
      <c r="AW3892" s="498">
        <f t="shared" si="1341"/>
        <v>0</v>
      </c>
      <c r="AX3892" s="498">
        <f t="shared" si="1342"/>
        <v>0</v>
      </c>
      <c r="AY3892" s="498">
        <f t="shared" si="1343"/>
        <v>0</v>
      </c>
      <c r="BB3892" s="498" t="str">
        <f t="shared" si="1344"/>
        <v/>
      </c>
      <c r="BC3892" s="743" t="str">
        <f t="shared" si="1345"/>
        <v/>
      </c>
      <c r="BD3892" s="743" t="str">
        <f t="shared" si="1346"/>
        <v/>
      </c>
      <c r="BE3892" s="743" t="str">
        <f>IF(D3892="","",VLOOKUP(D3892,'General Basis'!$J$39:$K$46,2,0))</f>
        <v/>
      </c>
      <c r="BF3892" s="744" t="str">
        <f>IF(D3892="","",VLOOKUP(D3892,'General Basis'!$J$39:$L$46,3,0))</f>
        <v/>
      </c>
      <c r="BG3892" s="744" t="str">
        <f t="shared" si="1353"/>
        <v/>
      </c>
      <c r="BH3892" s="744" t="str">
        <f>IF(G3892="","",IF(BF3892="Abu Dhabi",IF(G3892&lt;18,'General Basis'!$C$39,IF(G3892&lt;41,'General Basis'!$C$40,IF(G3892&lt;60,'General Basis'!$C$41,IF(G3892&lt;65,'General Basis'!$C$42,'General Basis'!$C$43)))),IF(G3892&lt;11,'General Basis'!$B$39,IF(G3892&lt;18,'General Basis'!$B$40,IF(G3892&lt;26,'General Basis'!$B$41,IF(G3892&lt;31,'General Basis'!$B$42,IF(G3892&lt;36,'General Basis'!$B$43,IF(G3892&lt;41,'General Basis'!$B$44,IF(G3892&lt;46,'General Basis'!$B$45,IF(G3892&lt;51,'General Basis'!$B$46,IF(G3892&lt;56,'General Basis'!$B$47,IF(G3892&lt;60,'General Basis'!$B$48,IF(G3892&lt;65,'General Basis'!$B$49,'General Basis'!$B$50)))))))))))))</f>
        <v/>
      </c>
      <c r="BI3892" s="744" t="str">
        <f t="shared" si="1347"/>
        <v/>
      </c>
      <c r="BJ3892" s="747" t="str">
        <f t="shared" si="1354"/>
        <v/>
      </c>
      <c r="BK3892" s="498" t="str">
        <f t="shared" si="1348"/>
        <v/>
      </c>
      <c r="BL3892" s="498" t="str">
        <f t="shared" si="1349"/>
        <v/>
      </c>
    </row>
    <row r="3893" spans="1:64" x14ac:dyDescent="0.25">
      <c r="A3893" s="762">
        <f t="shared" si="1350"/>
        <v>3888</v>
      </c>
      <c r="B3893" s="229"/>
      <c r="C3893" s="223"/>
      <c r="D3893" s="224"/>
      <c r="E3893" s="225"/>
      <c r="F3893" s="1036" t="str">
        <f t="shared" si="1356"/>
        <v/>
      </c>
      <c r="G3893" s="1037" t="str">
        <f t="shared" si="1351"/>
        <v/>
      </c>
      <c r="H3893" s="225"/>
      <c r="I3893" s="1013"/>
      <c r="J3893" s="1013"/>
      <c r="K3893" s="1028"/>
      <c r="L3893" s="1035" t="str">
        <f t="shared" si="1355"/>
        <v/>
      </c>
      <c r="S3893" s="498"/>
      <c r="AJ3893" s="498"/>
      <c r="AM3893" s="498">
        <f t="shared" si="1336"/>
        <v>0</v>
      </c>
      <c r="AN3893" s="498">
        <f t="shared" si="1337"/>
        <v>0</v>
      </c>
      <c r="AO3893" s="498">
        <f t="shared" si="1338"/>
        <v>0</v>
      </c>
      <c r="AP3893" s="498">
        <f t="shared" si="1357"/>
        <v>0</v>
      </c>
      <c r="AQ3893" s="498">
        <f t="shared" si="1352"/>
        <v>0</v>
      </c>
      <c r="AU3893" s="498">
        <f t="shared" si="1339"/>
        <v>0</v>
      </c>
      <c r="AV3893" s="498">
        <f t="shared" si="1340"/>
        <v>0</v>
      </c>
      <c r="AW3893" s="498">
        <f t="shared" si="1341"/>
        <v>0</v>
      </c>
      <c r="AX3893" s="498">
        <f t="shared" si="1342"/>
        <v>0</v>
      </c>
      <c r="AY3893" s="498">
        <f t="shared" si="1343"/>
        <v>0</v>
      </c>
      <c r="BB3893" s="498" t="str">
        <f t="shared" si="1344"/>
        <v/>
      </c>
      <c r="BC3893" s="743" t="str">
        <f t="shared" si="1345"/>
        <v/>
      </c>
      <c r="BD3893" s="743" t="str">
        <f t="shared" si="1346"/>
        <v/>
      </c>
      <c r="BE3893" s="743" t="str">
        <f>IF(D3893="","",VLOOKUP(D3893,'General Basis'!$J$39:$K$46,2,0))</f>
        <v/>
      </c>
      <c r="BF3893" s="744" t="str">
        <f>IF(D3893="","",VLOOKUP(D3893,'General Basis'!$J$39:$L$46,3,0))</f>
        <v/>
      </c>
      <c r="BG3893" s="744" t="str">
        <f t="shared" si="1353"/>
        <v/>
      </c>
      <c r="BH3893" s="744" t="str">
        <f>IF(G3893="","",IF(BF3893="Abu Dhabi",IF(G3893&lt;18,'General Basis'!$C$39,IF(G3893&lt;41,'General Basis'!$C$40,IF(G3893&lt;60,'General Basis'!$C$41,IF(G3893&lt;65,'General Basis'!$C$42,'General Basis'!$C$43)))),IF(G3893&lt;11,'General Basis'!$B$39,IF(G3893&lt;18,'General Basis'!$B$40,IF(G3893&lt;26,'General Basis'!$B$41,IF(G3893&lt;31,'General Basis'!$B$42,IF(G3893&lt;36,'General Basis'!$B$43,IF(G3893&lt;41,'General Basis'!$B$44,IF(G3893&lt;46,'General Basis'!$B$45,IF(G3893&lt;51,'General Basis'!$B$46,IF(G3893&lt;56,'General Basis'!$B$47,IF(G3893&lt;60,'General Basis'!$B$48,IF(G3893&lt;65,'General Basis'!$B$49,'General Basis'!$B$50)))))))))))))</f>
        <v/>
      </c>
      <c r="BI3893" s="744" t="str">
        <f t="shared" si="1347"/>
        <v/>
      </c>
      <c r="BJ3893" s="747" t="str">
        <f t="shared" si="1354"/>
        <v/>
      </c>
      <c r="BK3893" s="498" t="str">
        <f t="shared" si="1348"/>
        <v/>
      </c>
      <c r="BL3893" s="498" t="str">
        <f t="shared" si="1349"/>
        <v/>
      </c>
    </row>
    <row r="3894" spans="1:64" x14ac:dyDescent="0.25">
      <c r="A3894" s="762">
        <f t="shared" si="1350"/>
        <v>3889</v>
      </c>
      <c r="B3894" s="229"/>
      <c r="C3894" s="223"/>
      <c r="D3894" s="224"/>
      <c r="E3894" s="225"/>
      <c r="F3894" s="1036" t="str">
        <f t="shared" si="1356"/>
        <v/>
      </c>
      <c r="G3894" s="1037" t="str">
        <f t="shared" si="1351"/>
        <v/>
      </c>
      <c r="H3894" s="225"/>
      <c r="I3894" s="1013"/>
      <c r="J3894" s="1013"/>
      <c r="K3894" s="1028"/>
      <c r="L3894" s="1035" t="str">
        <f t="shared" si="1355"/>
        <v/>
      </c>
      <c r="S3894" s="498"/>
      <c r="AJ3894" s="498"/>
      <c r="AM3894" s="498">
        <f t="shared" si="1336"/>
        <v>0</v>
      </c>
      <c r="AN3894" s="498">
        <f t="shared" si="1337"/>
        <v>0</v>
      </c>
      <c r="AO3894" s="498">
        <f t="shared" si="1338"/>
        <v>0</v>
      </c>
      <c r="AP3894" s="498">
        <f t="shared" si="1357"/>
        <v>0</v>
      </c>
      <c r="AQ3894" s="498">
        <f t="shared" si="1352"/>
        <v>0</v>
      </c>
      <c r="AU3894" s="498">
        <f t="shared" si="1339"/>
        <v>0</v>
      </c>
      <c r="AV3894" s="498">
        <f t="shared" si="1340"/>
        <v>0</v>
      </c>
      <c r="AW3894" s="498">
        <f t="shared" si="1341"/>
        <v>0</v>
      </c>
      <c r="AX3894" s="498">
        <f t="shared" si="1342"/>
        <v>0</v>
      </c>
      <c r="AY3894" s="498">
        <f t="shared" si="1343"/>
        <v>0</v>
      </c>
      <c r="BB3894" s="498" t="str">
        <f t="shared" si="1344"/>
        <v/>
      </c>
      <c r="BC3894" s="743" t="str">
        <f t="shared" si="1345"/>
        <v/>
      </c>
      <c r="BD3894" s="743" t="str">
        <f t="shared" si="1346"/>
        <v/>
      </c>
      <c r="BE3894" s="743" t="str">
        <f>IF(D3894="","",VLOOKUP(D3894,'General Basis'!$J$39:$K$46,2,0))</f>
        <v/>
      </c>
      <c r="BF3894" s="744" t="str">
        <f>IF(D3894="","",VLOOKUP(D3894,'General Basis'!$J$39:$L$46,3,0))</f>
        <v/>
      </c>
      <c r="BG3894" s="744" t="str">
        <f t="shared" si="1353"/>
        <v/>
      </c>
      <c r="BH3894" s="744" t="str">
        <f>IF(G3894="","",IF(BF3894="Abu Dhabi",IF(G3894&lt;18,'General Basis'!$C$39,IF(G3894&lt;41,'General Basis'!$C$40,IF(G3894&lt;60,'General Basis'!$C$41,IF(G3894&lt;65,'General Basis'!$C$42,'General Basis'!$C$43)))),IF(G3894&lt;11,'General Basis'!$B$39,IF(G3894&lt;18,'General Basis'!$B$40,IF(G3894&lt;26,'General Basis'!$B$41,IF(G3894&lt;31,'General Basis'!$B$42,IF(G3894&lt;36,'General Basis'!$B$43,IF(G3894&lt;41,'General Basis'!$B$44,IF(G3894&lt;46,'General Basis'!$B$45,IF(G3894&lt;51,'General Basis'!$B$46,IF(G3894&lt;56,'General Basis'!$B$47,IF(G3894&lt;60,'General Basis'!$B$48,IF(G3894&lt;65,'General Basis'!$B$49,'General Basis'!$B$50)))))))))))))</f>
        <v/>
      </c>
      <c r="BI3894" s="744" t="str">
        <f t="shared" si="1347"/>
        <v/>
      </c>
      <c r="BJ3894" s="747" t="str">
        <f t="shared" si="1354"/>
        <v/>
      </c>
      <c r="BK3894" s="498" t="str">
        <f t="shared" si="1348"/>
        <v/>
      </c>
      <c r="BL3894" s="498" t="str">
        <f t="shared" si="1349"/>
        <v/>
      </c>
    </row>
    <row r="3895" spans="1:64" x14ac:dyDescent="0.25">
      <c r="A3895" s="762">
        <f t="shared" si="1350"/>
        <v>3890</v>
      </c>
      <c r="B3895" s="229"/>
      <c r="C3895" s="223"/>
      <c r="D3895" s="224"/>
      <c r="E3895" s="225"/>
      <c r="F3895" s="1036" t="str">
        <f t="shared" si="1356"/>
        <v/>
      </c>
      <c r="G3895" s="1037" t="str">
        <f t="shared" si="1351"/>
        <v/>
      </c>
      <c r="H3895" s="225"/>
      <c r="I3895" s="1013"/>
      <c r="J3895" s="1013"/>
      <c r="K3895" s="1028"/>
      <c r="L3895" s="1035" t="str">
        <f t="shared" si="1355"/>
        <v/>
      </c>
      <c r="S3895" s="498"/>
      <c r="AJ3895" s="498"/>
      <c r="AM3895" s="498">
        <f t="shared" si="1336"/>
        <v>0</v>
      </c>
      <c r="AN3895" s="498">
        <f t="shared" si="1337"/>
        <v>0</v>
      </c>
      <c r="AO3895" s="498">
        <f t="shared" si="1338"/>
        <v>0</v>
      </c>
      <c r="AP3895" s="498">
        <f t="shared" si="1357"/>
        <v>0</v>
      </c>
      <c r="AQ3895" s="498">
        <f t="shared" si="1352"/>
        <v>0</v>
      </c>
      <c r="AU3895" s="498">
        <f t="shared" si="1339"/>
        <v>0</v>
      </c>
      <c r="AV3895" s="498">
        <f t="shared" si="1340"/>
        <v>0</v>
      </c>
      <c r="AW3895" s="498">
        <f t="shared" si="1341"/>
        <v>0</v>
      </c>
      <c r="AX3895" s="498">
        <f t="shared" si="1342"/>
        <v>0</v>
      </c>
      <c r="AY3895" s="498">
        <f t="shared" si="1343"/>
        <v>0</v>
      </c>
      <c r="BB3895" s="498" t="str">
        <f t="shared" si="1344"/>
        <v/>
      </c>
      <c r="BC3895" s="743" t="str">
        <f t="shared" si="1345"/>
        <v/>
      </c>
      <c r="BD3895" s="743" t="str">
        <f t="shared" si="1346"/>
        <v/>
      </c>
      <c r="BE3895" s="743" t="str">
        <f>IF(D3895="","",VLOOKUP(D3895,'General Basis'!$J$39:$K$46,2,0))</f>
        <v/>
      </c>
      <c r="BF3895" s="744" t="str">
        <f>IF(D3895="","",VLOOKUP(D3895,'General Basis'!$J$39:$L$46,3,0))</f>
        <v/>
      </c>
      <c r="BG3895" s="744" t="str">
        <f t="shared" si="1353"/>
        <v/>
      </c>
      <c r="BH3895" s="744" t="str">
        <f>IF(G3895="","",IF(BF3895="Abu Dhabi",IF(G3895&lt;18,'General Basis'!$C$39,IF(G3895&lt;41,'General Basis'!$C$40,IF(G3895&lt;60,'General Basis'!$C$41,IF(G3895&lt;65,'General Basis'!$C$42,'General Basis'!$C$43)))),IF(G3895&lt;11,'General Basis'!$B$39,IF(G3895&lt;18,'General Basis'!$B$40,IF(G3895&lt;26,'General Basis'!$B$41,IF(G3895&lt;31,'General Basis'!$B$42,IF(G3895&lt;36,'General Basis'!$B$43,IF(G3895&lt;41,'General Basis'!$B$44,IF(G3895&lt;46,'General Basis'!$B$45,IF(G3895&lt;51,'General Basis'!$B$46,IF(G3895&lt;56,'General Basis'!$B$47,IF(G3895&lt;60,'General Basis'!$B$48,IF(G3895&lt;65,'General Basis'!$B$49,'General Basis'!$B$50)))))))))))))</f>
        <v/>
      </c>
      <c r="BI3895" s="744" t="str">
        <f t="shared" si="1347"/>
        <v/>
      </c>
      <c r="BJ3895" s="747" t="str">
        <f t="shared" si="1354"/>
        <v/>
      </c>
      <c r="BK3895" s="498" t="str">
        <f t="shared" si="1348"/>
        <v/>
      </c>
      <c r="BL3895" s="498" t="str">
        <f t="shared" si="1349"/>
        <v/>
      </c>
    </row>
    <row r="3896" spans="1:64" x14ac:dyDescent="0.25">
      <c r="A3896" s="762">
        <f t="shared" si="1350"/>
        <v>3891</v>
      </c>
      <c r="B3896" s="229"/>
      <c r="C3896" s="223"/>
      <c r="D3896" s="224"/>
      <c r="E3896" s="225"/>
      <c r="F3896" s="1036" t="str">
        <f t="shared" si="1356"/>
        <v/>
      </c>
      <c r="G3896" s="1037" t="str">
        <f t="shared" si="1351"/>
        <v/>
      </c>
      <c r="H3896" s="225"/>
      <c r="I3896" s="1013"/>
      <c r="J3896" s="1013"/>
      <c r="K3896" s="1028"/>
      <c r="L3896" s="1035" t="str">
        <f t="shared" si="1355"/>
        <v/>
      </c>
      <c r="S3896" s="498"/>
      <c r="AJ3896" s="498"/>
      <c r="AM3896" s="498">
        <f t="shared" si="1336"/>
        <v>0</v>
      </c>
      <c r="AN3896" s="498">
        <f t="shared" si="1337"/>
        <v>0</v>
      </c>
      <c r="AO3896" s="498">
        <f t="shared" si="1338"/>
        <v>0</v>
      </c>
      <c r="AP3896" s="498">
        <f t="shared" si="1357"/>
        <v>0</v>
      </c>
      <c r="AQ3896" s="498">
        <f t="shared" si="1352"/>
        <v>0</v>
      </c>
      <c r="AU3896" s="498">
        <f t="shared" si="1339"/>
        <v>0</v>
      </c>
      <c r="AV3896" s="498">
        <f t="shared" si="1340"/>
        <v>0</v>
      </c>
      <c r="AW3896" s="498">
        <f t="shared" si="1341"/>
        <v>0</v>
      </c>
      <c r="AX3896" s="498">
        <f t="shared" si="1342"/>
        <v>0</v>
      </c>
      <c r="AY3896" s="498">
        <f t="shared" si="1343"/>
        <v>0</v>
      </c>
      <c r="BB3896" s="498" t="str">
        <f t="shared" si="1344"/>
        <v/>
      </c>
      <c r="BC3896" s="743" t="str">
        <f t="shared" si="1345"/>
        <v/>
      </c>
      <c r="BD3896" s="743" t="str">
        <f t="shared" si="1346"/>
        <v/>
      </c>
      <c r="BE3896" s="743" t="str">
        <f>IF(D3896="","",VLOOKUP(D3896,'General Basis'!$J$39:$K$46,2,0))</f>
        <v/>
      </c>
      <c r="BF3896" s="744" t="str">
        <f>IF(D3896="","",VLOOKUP(D3896,'General Basis'!$J$39:$L$46,3,0))</f>
        <v/>
      </c>
      <c r="BG3896" s="744" t="str">
        <f t="shared" si="1353"/>
        <v/>
      </c>
      <c r="BH3896" s="744" t="str">
        <f>IF(G3896="","",IF(BF3896="Abu Dhabi",IF(G3896&lt;18,'General Basis'!$C$39,IF(G3896&lt;41,'General Basis'!$C$40,IF(G3896&lt;60,'General Basis'!$C$41,IF(G3896&lt;65,'General Basis'!$C$42,'General Basis'!$C$43)))),IF(G3896&lt;11,'General Basis'!$B$39,IF(G3896&lt;18,'General Basis'!$B$40,IF(G3896&lt;26,'General Basis'!$B$41,IF(G3896&lt;31,'General Basis'!$B$42,IF(G3896&lt;36,'General Basis'!$B$43,IF(G3896&lt;41,'General Basis'!$B$44,IF(G3896&lt;46,'General Basis'!$B$45,IF(G3896&lt;51,'General Basis'!$B$46,IF(G3896&lt;56,'General Basis'!$B$47,IF(G3896&lt;60,'General Basis'!$B$48,IF(G3896&lt;65,'General Basis'!$B$49,'General Basis'!$B$50)))))))))))))</f>
        <v/>
      </c>
      <c r="BI3896" s="744" t="str">
        <f t="shared" si="1347"/>
        <v/>
      </c>
      <c r="BJ3896" s="747" t="str">
        <f t="shared" si="1354"/>
        <v/>
      </c>
      <c r="BK3896" s="498" t="str">
        <f t="shared" si="1348"/>
        <v/>
      </c>
      <c r="BL3896" s="498" t="str">
        <f t="shared" si="1349"/>
        <v/>
      </c>
    </row>
    <row r="3897" spans="1:64" x14ac:dyDescent="0.25">
      <c r="A3897" s="762">
        <f t="shared" si="1350"/>
        <v>3892</v>
      </c>
      <c r="B3897" s="229"/>
      <c r="C3897" s="223"/>
      <c r="D3897" s="224"/>
      <c r="E3897" s="225"/>
      <c r="F3897" s="1036" t="str">
        <f t="shared" si="1356"/>
        <v/>
      </c>
      <c r="G3897" s="1037" t="str">
        <f t="shared" si="1351"/>
        <v/>
      </c>
      <c r="H3897" s="225"/>
      <c r="I3897" s="1013"/>
      <c r="J3897" s="1013"/>
      <c r="K3897" s="1028"/>
      <c r="L3897" s="1035" t="str">
        <f t="shared" si="1355"/>
        <v/>
      </c>
      <c r="S3897" s="498"/>
      <c r="AJ3897" s="498"/>
      <c r="AM3897" s="498">
        <f t="shared" si="1336"/>
        <v>0</v>
      </c>
      <c r="AN3897" s="498">
        <f t="shared" si="1337"/>
        <v>0</v>
      </c>
      <c r="AO3897" s="498">
        <f t="shared" si="1338"/>
        <v>0</v>
      </c>
      <c r="AP3897" s="498">
        <f t="shared" si="1357"/>
        <v>0</v>
      </c>
      <c r="AQ3897" s="498">
        <f t="shared" si="1352"/>
        <v>0</v>
      </c>
      <c r="AU3897" s="498">
        <f t="shared" si="1339"/>
        <v>0</v>
      </c>
      <c r="AV3897" s="498">
        <f t="shared" si="1340"/>
        <v>0</v>
      </c>
      <c r="AW3897" s="498">
        <f t="shared" si="1341"/>
        <v>0</v>
      </c>
      <c r="AX3897" s="498">
        <f t="shared" si="1342"/>
        <v>0</v>
      </c>
      <c r="AY3897" s="498">
        <f t="shared" si="1343"/>
        <v>0</v>
      </c>
      <c r="BB3897" s="498" t="str">
        <f t="shared" si="1344"/>
        <v/>
      </c>
      <c r="BC3897" s="743" t="str">
        <f t="shared" si="1345"/>
        <v/>
      </c>
      <c r="BD3897" s="743" t="str">
        <f t="shared" si="1346"/>
        <v/>
      </c>
      <c r="BE3897" s="743" t="str">
        <f>IF(D3897="","",VLOOKUP(D3897,'General Basis'!$J$39:$K$46,2,0))</f>
        <v/>
      </c>
      <c r="BF3897" s="744" t="str">
        <f>IF(D3897="","",VLOOKUP(D3897,'General Basis'!$J$39:$L$46,3,0))</f>
        <v/>
      </c>
      <c r="BG3897" s="744" t="str">
        <f t="shared" si="1353"/>
        <v/>
      </c>
      <c r="BH3897" s="744" t="str">
        <f>IF(G3897="","",IF(BF3897="Abu Dhabi",IF(G3897&lt;18,'General Basis'!$C$39,IF(G3897&lt;41,'General Basis'!$C$40,IF(G3897&lt;60,'General Basis'!$C$41,IF(G3897&lt;65,'General Basis'!$C$42,'General Basis'!$C$43)))),IF(G3897&lt;11,'General Basis'!$B$39,IF(G3897&lt;18,'General Basis'!$B$40,IF(G3897&lt;26,'General Basis'!$B$41,IF(G3897&lt;31,'General Basis'!$B$42,IF(G3897&lt;36,'General Basis'!$B$43,IF(G3897&lt;41,'General Basis'!$B$44,IF(G3897&lt;46,'General Basis'!$B$45,IF(G3897&lt;51,'General Basis'!$B$46,IF(G3897&lt;56,'General Basis'!$B$47,IF(G3897&lt;60,'General Basis'!$B$48,IF(G3897&lt;65,'General Basis'!$B$49,'General Basis'!$B$50)))))))))))))</f>
        <v/>
      </c>
      <c r="BI3897" s="744" t="str">
        <f t="shared" si="1347"/>
        <v/>
      </c>
      <c r="BJ3897" s="747" t="str">
        <f t="shared" si="1354"/>
        <v/>
      </c>
      <c r="BK3897" s="498" t="str">
        <f t="shared" si="1348"/>
        <v/>
      </c>
      <c r="BL3897" s="498" t="str">
        <f t="shared" si="1349"/>
        <v/>
      </c>
    </row>
    <row r="3898" spans="1:64" x14ac:dyDescent="0.25">
      <c r="A3898" s="762">
        <f t="shared" si="1350"/>
        <v>3893</v>
      </c>
      <c r="B3898" s="229"/>
      <c r="C3898" s="223"/>
      <c r="D3898" s="224"/>
      <c r="E3898" s="225"/>
      <c r="F3898" s="1036" t="str">
        <f t="shared" si="1356"/>
        <v/>
      </c>
      <c r="G3898" s="1037" t="str">
        <f t="shared" si="1351"/>
        <v/>
      </c>
      <c r="H3898" s="225"/>
      <c r="I3898" s="1013"/>
      <c r="J3898" s="1013"/>
      <c r="K3898" s="1028"/>
      <c r="L3898" s="1035" t="str">
        <f t="shared" si="1355"/>
        <v/>
      </c>
      <c r="S3898" s="498"/>
      <c r="AJ3898" s="498"/>
      <c r="AM3898" s="498">
        <f t="shared" si="1336"/>
        <v>0</v>
      </c>
      <c r="AN3898" s="498">
        <f t="shared" si="1337"/>
        <v>0</v>
      </c>
      <c r="AO3898" s="498">
        <f t="shared" si="1338"/>
        <v>0</v>
      </c>
      <c r="AP3898" s="498">
        <f t="shared" si="1357"/>
        <v>0</v>
      </c>
      <c r="AQ3898" s="498">
        <f t="shared" si="1352"/>
        <v>0</v>
      </c>
      <c r="AU3898" s="498">
        <f t="shared" si="1339"/>
        <v>0</v>
      </c>
      <c r="AV3898" s="498">
        <f t="shared" si="1340"/>
        <v>0</v>
      </c>
      <c r="AW3898" s="498">
        <f t="shared" si="1341"/>
        <v>0</v>
      </c>
      <c r="AX3898" s="498">
        <f t="shared" si="1342"/>
        <v>0</v>
      </c>
      <c r="AY3898" s="498">
        <f t="shared" si="1343"/>
        <v>0</v>
      </c>
      <c r="BB3898" s="498" t="str">
        <f t="shared" si="1344"/>
        <v/>
      </c>
      <c r="BC3898" s="743" t="str">
        <f t="shared" si="1345"/>
        <v/>
      </c>
      <c r="BD3898" s="743" t="str">
        <f t="shared" si="1346"/>
        <v/>
      </c>
      <c r="BE3898" s="743" t="str">
        <f>IF(D3898="","",VLOOKUP(D3898,'General Basis'!$J$39:$K$46,2,0))</f>
        <v/>
      </c>
      <c r="BF3898" s="744" t="str">
        <f>IF(D3898="","",VLOOKUP(D3898,'General Basis'!$J$39:$L$46,3,0))</f>
        <v/>
      </c>
      <c r="BG3898" s="744" t="str">
        <f t="shared" si="1353"/>
        <v/>
      </c>
      <c r="BH3898" s="744" t="str">
        <f>IF(G3898="","",IF(BF3898="Abu Dhabi",IF(G3898&lt;18,'General Basis'!$C$39,IF(G3898&lt;41,'General Basis'!$C$40,IF(G3898&lt;60,'General Basis'!$C$41,IF(G3898&lt;65,'General Basis'!$C$42,'General Basis'!$C$43)))),IF(G3898&lt;11,'General Basis'!$B$39,IF(G3898&lt;18,'General Basis'!$B$40,IF(G3898&lt;26,'General Basis'!$B$41,IF(G3898&lt;31,'General Basis'!$B$42,IF(G3898&lt;36,'General Basis'!$B$43,IF(G3898&lt;41,'General Basis'!$B$44,IF(G3898&lt;46,'General Basis'!$B$45,IF(G3898&lt;51,'General Basis'!$B$46,IF(G3898&lt;56,'General Basis'!$B$47,IF(G3898&lt;60,'General Basis'!$B$48,IF(G3898&lt;65,'General Basis'!$B$49,'General Basis'!$B$50)))))))))))))</f>
        <v/>
      </c>
      <c r="BI3898" s="744" t="str">
        <f t="shared" si="1347"/>
        <v/>
      </c>
      <c r="BJ3898" s="747" t="str">
        <f t="shared" si="1354"/>
        <v/>
      </c>
      <c r="BK3898" s="498" t="str">
        <f t="shared" si="1348"/>
        <v/>
      </c>
      <c r="BL3898" s="498" t="str">
        <f t="shared" si="1349"/>
        <v/>
      </c>
    </row>
    <row r="3899" spans="1:64" x14ac:dyDescent="0.25">
      <c r="A3899" s="762">
        <f t="shared" si="1350"/>
        <v>3894</v>
      </c>
      <c r="B3899" s="229"/>
      <c r="C3899" s="223"/>
      <c r="D3899" s="224"/>
      <c r="E3899" s="225"/>
      <c r="F3899" s="1036" t="str">
        <f t="shared" si="1356"/>
        <v/>
      </c>
      <c r="G3899" s="1037" t="str">
        <f t="shared" si="1351"/>
        <v/>
      </c>
      <c r="H3899" s="225"/>
      <c r="I3899" s="1013"/>
      <c r="J3899" s="1013"/>
      <c r="K3899" s="1028"/>
      <c r="L3899" s="1035" t="str">
        <f t="shared" si="1355"/>
        <v/>
      </c>
      <c r="S3899" s="498"/>
      <c r="AJ3899" s="498"/>
      <c r="AM3899" s="498">
        <f t="shared" si="1336"/>
        <v>0</v>
      </c>
      <c r="AN3899" s="498">
        <f t="shared" si="1337"/>
        <v>0</v>
      </c>
      <c r="AO3899" s="498">
        <f t="shared" si="1338"/>
        <v>0</v>
      </c>
      <c r="AP3899" s="498">
        <f t="shared" si="1357"/>
        <v>0</v>
      </c>
      <c r="AQ3899" s="498">
        <f t="shared" si="1352"/>
        <v>0</v>
      </c>
      <c r="AU3899" s="498">
        <f t="shared" si="1339"/>
        <v>0</v>
      </c>
      <c r="AV3899" s="498">
        <f t="shared" si="1340"/>
        <v>0</v>
      </c>
      <c r="AW3899" s="498">
        <f t="shared" si="1341"/>
        <v>0</v>
      </c>
      <c r="AX3899" s="498">
        <f t="shared" si="1342"/>
        <v>0</v>
      </c>
      <c r="AY3899" s="498">
        <f t="shared" si="1343"/>
        <v>0</v>
      </c>
      <c r="BB3899" s="498" t="str">
        <f t="shared" si="1344"/>
        <v/>
      </c>
      <c r="BC3899" s="743" t="str">
        <f t="shared" si="1345"/>
        <v/>
      </c>
      <c r="BD3899" s="743" t="str">
        <f t="shared" si="1346"/>
        <v/>
      </c>
      <c r="BE3899" s="743" t="str">
        <f>IF(D3899="","",VLOOKUP(D3899,'General Basis'!$J$39:$K$46,2,0))</f>
        <v/>
      </c>
      <c r="BF3899" s="744" t="str">
        <f>IF(D3899="","",VLOOKUP(D3899,'General Basis'!$J$39:$L$46,3,0))</f>
        <v/>
      </c>
      <c r="BG3899" s="744" t="str">
        <f t="shared" si="1353"/>
        <v/>
      </c>
      <c r="BH3899" s="744" t="str">
        <f>IF(G3899="","",IF(BF3899="Abu Dhabi",IF(G3899&lt;18,'General Basis'!$C$39,IF(G3899&lt;41,'General Basis'!$C$40,IF(G3899&lt;60,'General Basis'!$C$41,IF(G3899&lt;65,'General Basis'!$C$42,'General Basis'!$C$43)))),IF(G3899&lt;11,'General Basis'!$B$39,IF(G3899&lt;18,'General Basis'!$B$40,IF(G3899&lt;26,'General Basis'!$B$41,IF(G3899&lt;31,'General Basis'!$B$42,IF(G3899&lt;36,'General Basis'!$B$43,IF(G3899&lt;41,'General Basis'!$B$44,IF(G3899&lt;46,'General Basis'!$B$45,IF(G3899&lt;51,'General Basis'!$B$46,IF(G3899&lt;56,'General Basis'!$B$47,IF(G3899&lt;60,'General Basis'!$B$48,IF(G3899&lt;65,'General Basis'!$B$49,'General Basis'!$B$50)))))))))))))</f>
        <v/>
      </c>
      <c r="BI3899" s="744" t="str">
        <f t="shared" si="1347"/>
        <v/>
      </c>
      <c r="BJ3899" s="747" t="str">
        <f t="shared" si="1354"/>
        <v/>
      </c>
      <c r="BK3899" s="498" t="str">
        <f t="shared" si="1348"/>
        <v/>
      </c>
      <c r="BL3899" s="498" t="str">
        <f t="shared" si="1349"/>
        <v/>
      </c>
    </row>
    <row r="3900" spans="1:64" x14ac:dyDescent="0.25">
      <c r="A3900" s="762">
        <f t="shared" si="1350"/>
        <v>3895</v>
      </c>
      <c r="B3900" s="229"/>
      <c r="C3900" s="223"/>
      <c r="D3900" s="224"/>
      <c r="E3900" s="225"/>
      <c r="F3900" s="1036" t="str">
        <f t="shared" si="1356"/>
        <v/>
      </c>
      <c r="G3900" s="1037" t="str">
        <f t="shared" si="1351"/>
        <v/>
      </c>
      <c r="H3900" s="225"/>
      <c r="I3900" s="1013"/>
      <c r="J3900" s="1013"/>
      <c r="K3900" s="1028"/>
      <c r="L3900" s="1035" t="str">
        <f t="shared" si="1355"/>
        <v/>
      </c>
      <c r="S3900" s="498"/>
      <c r="AJ3900" s="498"/>
      <c r="AM3900" s="498">
        <f t="shared" si="1336"/>
        <v>0</v>
      </c>
      <c r="AN3900" s="498">
        <f t="shared" si="1337"/>
        <v>0</v>
      </c>
      <c r="AO3900" s="498">
        <f t="shared" si="1338"/>
        <v>0</v>
      </c>
      <c r="AP3900" s="498">
        <f t="shared" si="1357"/>
        <v>0</v>
      </c>
      <c r="AQ3900" s="498">
        <f t="shared" si="1352"/>
        <v>0</v>
      </c>
      <c r="AU3900" s="498">
        <f t="shared" si="1339"/>
        <v>0</v>
      </c>
      <c r="AV3900" s="498">
        <f t="shared" si="1340"/>
        <v>0</v>
      </c>
      <c r="AW3900" s="498">
        <f t="shared" si="1341"/>
        <v>0</v>
      </c>
      <c r="AX3900" s="498">
        <f t="shared" si="1342"/>
        <v>0</v>
      </c>
      <c r="AY3900" s="498">
        <f t="shared" si="1343"/>
        <v>0</v>
      </c>
      <c r="BB3900" s="498" t="str">
        <f t="shared" si="1344"/>
        <v/>
      </c>
      <c r="BC3900" s="743" t="str">
        <f t="shared" si="1345"/>
        <v/>
      </c>
      <c r="BD3900" s="743" t="str">
        <f t="shared" si="1346"/>
        <v/>
      </c>
      <c r="BE3900" s="743" t="str">
        <f>IF(D3900="","",VLOOKUP(D3900,'General Basis'!$J$39:$K$46,2,0))</f>
        <v/>
      </c>
      <c r="BF3900" s="744" t="str">
        <f>IF(D3900="","",VLOOKUP(D3900,'General Basis'!$J$39:$L$46,3,0))</f>
        <v/>
      </c>
      <c r="BG3900" s="744" t="str">
        <f t="shared" si="1353"/>
        <v/>
      </c>
      <c r="BH3900" s="744" t="str">
        <f>IF(G3900="","",IF(BF3900="Abu Dhabi",IF(G3900&lt;18,'General Basis'!$C$39,IF(G3900&lt;41,'General Basis'!$C$40,IF(G3900&lt;60,'General Basis'!$C$41,IF(G3900&lt;65,'General Basis'!$C$42,'General Basis'!$C$43)))),IF(G3900&lt;11,'General Basis'!$B$39,IF(G3900&lt;18,'General Basis'!$B$40,IF(G3900&lt;26,'General Basis'!$B$41,IF(G3900&lt;31,'General Basis'!$B$42,IF(G3900&lt;36,'General Basis'!$B$43,IF(G3900&lt;41,'General Basis'!$B$44,IF(G3900&lt;46,'General Basis'!$B$45,IF(G3900&lt;51,'General Basis'!$B$46,IF(G3900&lt;56,'General Basis'!$B$47,IF(G3900&lt;60,'General Basis'!$B$48,IF(G3900&lt;65,'General Basis'!$B$49,'General Basis'!$B$50)))))))))))))</f>
        <v/>
      </c>
      <c r="BI3900" s="744" t="str">
        <f t="shared" si="1347"/>
        <v/>
      </c>
      <c r="BJ3900" s="747" t="str">
        <f t="shared" si="1354"/>
        <v/>
      </c>
      <c r="BK3900" s="498" t="str">
        <f t="shared" si="1348"/>
        <v/>
      </c>
      <c r="BL3900" s="498" t="str">
        <f t="shared" si="1349"/>
        <v/>
      </c>
    </row>
    <row r="3901" spans="1:64" x14ac:dyDescent="0.25">
      <c r="A3901" s="762">
        <f t="shared" si="1350"/>
        <v>3896</v>
      </c>
      <c r="B3901" s="229"/>
      <c r="C3901" s="223"/>
      <c r="D3901" s="224"/>
      <c r="E3901" s="225"/>
      <c r="F3901" s="1036" t="str">
        <f t="shared" si="1356"/>
        <v/>
      </c>
      <c r="G3901" s="1037" t="str">
        <f t="shared" si="1351"/>
        <v/>
      </c>
      <c r="H3901" s="225"/>
      <c r="I3901" s="1013"/>
      <c r="J3901" s="1013"/>
      <c r="K3901" s="1028"/>
      <c r="L3901" s="1035" t="str">
        <f t="shared" si="1355"/>
        <v/>
      </c>
      <c r="S3901" s="498"/>
      <c r="AJ3901" s="498"/>
      <c r="AM3901" s="498">
        <f t="shared" si="1336"/>
        <v>0</v>
      </c>
      <c r="AN3901" s="498">
        <f t="shared" si="1337"/>
        <v>0</v>
      </c>
      <c r="AO3901" s="498">
        <f t="shared" si="1338"/>
        <v>0</v>
      </c>
      <c r="AP3901" s="498">
        <f t="shared" si="1357"/>
        <v>0</v>
      </c>
      <c r="AQ3901" s="498">
        <f t="shared" si="1352"/>
        <v>0</v>
      </c>
      <c r="AU3901" s="498">
        <f t="shared" si="1339"/>
        <v>0</v>
      </c>
      <c r="AV3901" s="498">
        <f t="shared" si="1340"/>
        <v>0</v>
      </c>
      <c r="AW3901" s="498">
        <f t="shared" si="1341"/>
        <v>0</v>
      </c>
      <c r="AX3901" s="498">
        <f t="shared" si="1342"/>
        <v>0</v>
      </c>
      <c r="AY3901" s="498">
        <f t="shared" si="1343"/>
        <v>0</v>
      </c>
      <c r="BB3901" s="498" t="str">
        <f t="shared" si="1344"/>
        <v/>
      </c>
      <c r="BC3901" s="743" t="str">
        <f t="shared" si="1345"/>
        <v/>
      </c>
      <c r="BD3901" s="743" t="str">
        <f t="shared" si="1346"/>
        <v/>
      </c>
      <c r="BE3901" s="743" t="str">
        <f>IF(D3901="","",VLOOKUP(D3901,'General Basis'!$J$39:$K$46,2,0))</f>
        <v/>
      </c>
      <c r="BF3901" s="744" t="str">
        <f>IF(D3901="","",VLOOKUP(D3901,'General Basis'!$J$39:$L$46,3,0))</f>
        <v/>
      </c>
      <c r="BG3901" s="744" t="str">
        <f t="shared" si="1353"/>
        <v/>
      </c>
      <c r="BH3901" s="744" t="str">
        <f>IF(G3901="","",IF(BF3901="Abu Dhabi",IF(G3901&lt;18,'General Basis'!$C$39,IF(G3901&lt;41,'General Basis'!$C$40,IF(G3901&lt;60,'General Basis'!$C$41,IF(G3901&lt;65,'General Basis'!$C$42,'General Basis'!$C$43)))),IF(G3901&lt;11,'General Basis'!$B$39,IF(G3901&lt;18,'General Basis'!$B$40,IF(G3901&lt;26,'General Basis'!$B$41,IF(G3901&lt;31,'General Basis'!$B$42,IF(G3901&lt;36,'General Basis'!$B$43,IF(G3901&lt;41,'General Basis'!$B$44,IF(G3901&lt;46,'General Basis'!$B$45,IF(G3901&lt;51,'General Basis'!$B$46,IF(G3901&lt;56,'General Basis'!$B$47,IF(G3901&lt;60,'General Basis'!$B$48,IF(G3901&lt;65,'General Basis'!$B$49,'General Basis'!$B$50)))))))))))))</f>
        <v/>
      </c>
      <c r="BI3901" s="744" t="str">
        <f t="shared" si="1347"/>
        <v/>
      </c>
      <c r="BJ3901" s="747" t="str">
        <f t="shared" si="1354"/>
        <v/>
      </c>
      <c r="BK3901" s="498" t="str">
        <f t="shared" si="1348"/>
        <v/>
      </c>
      <c r="BL3901" s="498" t="str">
        <f t="shared" si="1349"/>
        <v/>
      </c>
    </row>
    <row r="3902" spans="1:64" x14ac:dyDescent="0.25">
      <c r="A3902" s="762">
        <f t="shared" si="1350"/>
        <v>3897</v>
      </c>
      <c r="B3902" s="229"/>
      <c r="C3902" s="223"/>
      <c r="D3902" s="224"/>
      <c r="E3902" s="225"/>
      <c r="F3902" s="1036" t="str">
        <f t="shared" si="1356"/>
        <v/>
      </c>
      <c r="G3902" s="1037" t="str">
        <f t="shared" si="1351"/>
        <v/>
      </c>
      <c r="H3902" s="225"/>
      <c r="I3902" s="1013"/>
      <c r="J3902" s="1013"/>
      <c r="K3902" s="1028"/>
      <c r="L3902" s="1035" t="str">
        <f t="shared" si="1355"/>
        <v/>
      </c>
      <c r="S3902" s="498"/>
      <c r="AJ3902" s="498"/>
      <c r="AM3902" s="498">
        <f t="shared" si="1336"/>
        <v>0</v>
      </c>
      <c r="AN3902" s="498">
        <f t="shared" si="1337"/>
        <v>0</v>
      </c>
      <c r="AO3902" s="498">
        <f t="shared" si="1338"/>
        <v>0</v>
      </c>
      <c r="AP3902" s="498">
        <f t="shared" si="1357"/>
        <v>0</v>
      </c>
      <c r="AQ3902" s="498">
        <f t="shared" si="1352"/>
        <v>0</v>
      </c>
      <c r="AU3902" s="498">
        <f t="shared" si="1339"/>
        <v>0</v>
      </c>
      <c r="AV3902" s="498">
        <f t="shared" si="1340"/>
        <v>0</v>
      </c>
      <c r="AW3902" s="498">
        <f t="shared" si="1341"/>
        <v>0</v>
      </c>
      <c r="AX3902" s="498">
        <f t="shared" si="1342"/>
        <v>0</v>
      </c>
      <c r="AY3902" s="498">
        <f t="shared" si="1343"/>
        <v>0</v>
      </c>
      <c r="BB3902" s="498" t="str">
        <f t="shared" si="1344"/>
        <v/>
      </c>
      <c r="BC3902" s="743" t="str">
        <f t="shared" si="1345"/>
        <v/>
      </c>
      <c r="BD3902" s="743" t="str">
        <f t="shared" si="1346"/>
        <v/>
      </c>
      <c r="BE3902" s="743" t="str">
        <f>IF(D3902="","",VLOOKUP(D3902,'General Basis'!$J$39:$K$46,2,0))</f>
        <v/>
      </c>
      <c r="BF3902" s="744" t="str">
        <f>IF(D3902="","",VLOOKUP(D3902,'General Basis'!$J$39:$L$46,3,0))</f>
        <v/>
      </c>
      <c r="BG3902" s="744" t="str">
        <f t="shared" si="1353"/>
        <v/>
      </c>
      <c r="BH3902" s="744" t="str">
        <f>IF(G3902="","",IF(BF3902="Abu Dhabi",IF(G3902&lt;18,'General Basis'!$C$39,IF(G3902&lt;41,'General Basis'!$C$40,IF(G3902&lt;60,'General Basis'!$C$41,IF(G3902&lt;65,'General Basis'!$C$42,'General Basis'!$C$43)))),IF(G3902&lt;11,'General Basis'!$B$39,IF(G3902&lt;18,'General Basis'!$B$40,IF(G3902&lt;26,'General Basis'!$B$41,IF(G3902&lt;31,'General Basis'!$B$42,IF(G3902&lt;36,'General Basis'!$B$43,IF(G3902&lt;41,'General Basis'!$B$44,IF(G3902&lt;46,'General Basis'!$B$45,IF(G3902&lt;51,'General Basis'!$B$46,IF(G3902&lt;56,'General Basis'!$B$47,IF(G3902&lt;60,'General Basis'!$B$48,IF(G3902&lt;65,'General Basis'!$B$49,'General Basis'!$B$50)))))))))))))</f>
        <v/>
      </c>
      <c r="BI3902" s="744" t="str">
        <f t="shared" si="1347"/>
        <v/>
      </c>
      <c r="BJ3902" s="747" t="str">
        <f t="shared" si="1354"/>
        <v/>
      </c>
      <c r="BK3902" s="498" t="str">
        <f t="shared" si="1348"/>
        <v/>
      </c>
      <c r="BL3902" s="498" t="str">
        <f t="shared" si="1349"/>
        <v/>
      </c>
    </row>
    <row r="3903" spans="1:64" x14ac:dyDescent="0.25">
      <c r="A3903" s="762">
        <f t="shared" si="1350"/>
        <v>3898</v>
      </c>
      <c r="B3903" s="229"/>
      <c r="C3903" s="223"/>
      <c r="D3903" s="224"/>
      <c r="E3903" s="225"/>
      <c r="F3903" s="1036" t="str">
        <f t="shared" si="1356"/>
        <v/>
      </c>
      <c r="G3903" s="1037" t="str">
        <f t="shared" si="1351"/>
        <v/>
      </c>
      <c r="H3903" s="225"/>
      <c r="I3903" s="1013"/>
      <c r="J3903" s="1013"/>
      <c r="K3903" s="1028"/>
      <c r="L3903" s="1035" t="str">
        <f t="shared" si="1355"/>
        <v/>
      </c>
      <c r="S3903" s="498"/>
      <c r="AJ3903" s="498"/>
      <c r="AM3903" s="498">
        <f t="shared" si="1336"/>
        <v>0</v>
      </c>
      <c r="AN3903" s="498">
        <f t="shared" si="1337"/>
        <v>0</v>
      </c>
      <c r="AO3903" s="498">
        <f t="shared" si="1338"/>
        <v>0</v>
      </c>
      <c r="AP3903" s="498">
        <f t="shared" si="1357"/>
        <v>0</v>
      </c>
      <c r="AQ3903" s="498">
        <f t="shared" si="1352"/>
        <v>0</v>
      </c>
      <c r="AU3903" s="498">
        <f t="shared" si="1339"/>
        <v>0</v>
      </c>
      <c r="AV3903" s="498">
        <f t="shared" si="1340"/>
        <v>0</v>
      </c>
      <c r="AW3903" s="498">
        <f t="shared" si="1341"/>
        <v>0</v>
      </c>
      <c r="AX3903" s="498">
        <f t="shared" si="1342"/>
        <v>0</v>
      </c>
      <c r="AY3903" s="498">
        <f t="shared" si="1343"/>
        <v>0</v>
      </c>
      <c r="BB3903" s="498" t="str">
        <f t="shared" si="1344"/>
        <v/>
      </c>
      <c r="BC3903" s="743" t="str">
        <f t="shared" si="1345"/>
        <v/>
      </c>
      <c r="BD3903" s="743" t="str">
        <f t="shared" si="1346"/>
        <v/>
      </c>
      <c r="BE3903" s="743" t="str">
        <f>IF(D3903="","",VLOOKUP(D3903,'General Basis'!$J$39:$K$46,2,0))</f>
        <v/>
      </c>
      <c r="BF3903" s="744" t="str">
        <f>IF(D3903="","",VLOOKUP(D3903,'General Basis'!$J$39:$L$46,3,0))</f>
        <v/>
      </c>
      <c r="BG3903" s="744" t="str">
        <f t="shared" si="1353"/>
        <v/>
      </c>
      <c r="BH3903" s="744" t="str">
        <f>IF(G3903="","",IF(BF3903="Abu Dhabi",IF(G3903&lt;18,'General Basis'!$C$39,IF(G3903&lt;41,'General Basis'!$C$40,IF(G3903&lt;60,'General Basis'!$C$41,IF(G3903&lt;65,'General Basis'!$C$42,'General Basis'!$C$43)))),IF(G3903&lt;11,'General Basis'!$B$39,IF(G3903&lt;18,'General Basis'!$B$40,IF(G3903&lt;26,'General Basis'!$B$41,IF(G3903&lt;31,'General Basis'!$B$42,IF(G3903&lt;36,'General Basis'!$B$43,IF(G3903&lt;41,'General Basis'!$B$44,IF(G3903&lt;46,'General Basis'!$B$45,IF(G3903&lt;51,'General Basis'!$B$46,IF(G3903&lt;56,'General Basis'!$B$47,IF(G3903&lt;60,'General Basis'!$B$48,IF(G3903&lt;65,'General Basis'!$B$49,'General Basis'!$B$50)))))))))))))</f>
        <v/>
      </c>
      <c r="BI3903" s="744" t="str">
        <f t="shared" si="1347"/>
        <v/>
      </c>
      <c r="BJ3903" s="747" t="str">
        <f t="shared" si="1354"/>
        <v/>
      </c>
      <c r="BK3903" s="498" t="str">
        <f t="shared" si="1348"/>
        <v/>
      </c>
      <c r="BL3903" s="498" t="str">
        <f t="shared" si="1349"/>
        <v/>
      </c>
    </row>
    <row r="3904" spans="1:64" x14ac:dyDescent="0.25">
      <c r="A3904" s="762">
        <f t="shared" si="1350"/>
        <v>3899</v>
      </c>
      <c r="B3904" s="229"/>
      <c r="C3904" s="223"/>
      <c r="D3904" s="224"/>
      <c r="E3904" s="225"/>
      <c r="F3904" s="1036" t="str">
        <f t="shared" si="1356"/>
        <v/>
      </c>
      <c r="G3904" s="1037" t="str">
        <f t="shared" si="1351"/>
        <v/>
      </c>
      <c r="H3904" s="225"/>
      <c r="I3904" s="1013"/>
      <c r="J3904" s="1013"/>
      <c r="K3904" s="1028"/>
      <c r="L3904" s="1035" t="str">
        <f t="shared" si="1355"/>
        <v/>
      </c>
      <c r="S3904" s="498"/>
      <c r="AJ3904" s="498"/>
      <c r="AM3904" s="498">
        <f t="shared" si="1336"/>
        <v>0</v>
      </c>
      <c r="AN3904" s="498">
        <f t="shared" si="1337"/>
        <v>0</v>
      </c>
      <c r="AO3904" s="498">
        <f t="shared" si="1338"/>
        <v>0</v>
      </c>
      <c r="AP3904" s="498">
        <f t="shared" si="1357"/>
        <v>0</v>
      </c>
      <c r="AQ3904" s="498">
        <f t="shared" si="1352"/>
        <v>0</v>
      </c>
      <c r="AU3904" s="498">
        <f t="shared" si="1339"/>
        <v>0</v>
      </c>
      <c r="AV3904" s="498">
        <f t="shared" si="1340"/>
        <v>0</v>
      </c>
      <c r="AW3904" s="498">
        <f t="shared" si="1341"/>
        <v>0</v>
      </c>
      <c r="AX3904" s="498">
        <f t="shared" si="1342"/>
        <v>0</v>
      </c>
      <c r="AY3904" s="498">
        <f t="shared" si="1343"/>
        <v>0</v>
      </c>
      <c r="BB3904" s="498" t="str">
        <f t="shared" si="1344"/>
        <v/>
      </c>
      <c r="BC3904" s="743" t="str">
        <f t="shared" si="1345"/>
        <v/>
      </c>
      <c r="BD3904" s="743" t="str">
        <f t="shared" si="1346"/>
        <v/>
      </c>
      <c r="BE3904" s="743" t="str">
        <f>IF(D3904="","",VLOOKUP(D3904,'General Basis'!$J$39:$K$46,2,0))</f>
        <v/>
      </c>
      <c r="BF3904" s="744" t="str">
        <f>IF(D3904="","",VLOOKUP(D3904,'General Basis'!$J$39:$L$46,3,0))</f>
        <v/>
      </c>
      <c r="BG3904" s="744" t="str">
        <f t="shared" si="1353"/>
        <v/>
      </c>
      <c r="BH3904" s="744" t="str">
        <f>IF(G3904="","",IF(BF3904="Abu Dhabi",IF(G3904&lt;18,'General Basis'!$C$39,IF(G3904&lt;41,'General Basis'!$C$40,IF(G3904&lt;60,'General Basis'!$C$41,IF(G3904&lt;65,'General Basis'!$C$42,'General Basis'!$C$43)))),IF(G3904&lt;11,'General Basis'!$B$39,IF(G3904&lt;18,'General Basis'!$B$40,IF(G3904&lt;26,'General Basis'!$B$41,IF(G3904&lt;31,'General Basis'!$B$42,IF(G3904&lt;36,'General Basis'!$B$43,IF(G3904&lt;41,'General Basis'!$B$44,IF(G3904&lt;46,'General Basis'!$B$45,IF(G3904&lt;51,'General Basis'!$B$46,IF(G3904&lt;56,'General Basis'!$B$47,IF(G3904&lt;60,'General Basis'!$B$48,IF(G3904&lt;65,'General Basis'!$B$49,'General Basis'!$B$50)))))))))))))</f>
        <v/>
      </c>
      <c r="BI3904" s="744" t="str">
        <f t="shared" si="1347"/>
        <v/>
      </c>
      <c r="BJ3904" s="747" t="str">
        <f t="shared" si="1354"/>
        <v/>
      </c>
      <c r="BK3904" s="498" t="str">
        <f t="shared" si="1348"/>
        <v/>
      </c>
      <c r="BL3904" s="498" t="str">
        <f t="shared" si="1349"/>
        <v/>
      </c>
    </row>
    <row r="3905" spans="1:64" x14ac:dyDescent="0.25">
      <c r="A3905" s="762">
        <f t="shared" si="1350"/>
        <v>3900</v>
      </c>
      <c r="B3905" s="229"/>
      <c r="C3905" s="223"/>
      <c r="D3905" s="224"/>
      <c r="E3905" s="225"/>
      <c r="F3905" s="1036" t="str">
        <f t="shared" si="1356"/>
        <v/>
      </c>
      <c r="G3905" s="1037" t="str">
        <f t="shared" si="1351"/>
        <v/>
      </c>
      <c r="H3905" s="225"/>
      <c r="I3905" s="1013"/>
      <c r="J3905" s="1013"/>
      <c r="K3905" s="1028"/>
      <c r="L3905" s="1035" t="str">
        <f t="shared" si="1355"/>
        <v/>
      </c>
      <c r="S3905" s="498"/>
      <c r="AJ3905" s="498"/>
      <c r="AM3905" s="498">
        <f t="shared" si="1336"/>
        <v>0</v>
      </c>
      <c r="AN3905" s="498">
        <f t="shared" si="1337"/>
        <v>0</v>
      </c>
      <c r="AO3905" s="498">
        <f t="shared" si="1338"/>
        <v>0</v>
      </c>
      <c r="AP3905" s="498">
        <f t="shared" si="1357"/>
        <v>0</v>
      </c>
      <c r="AQ3905" s="498">
        <f t="shared" si="1352"/>
        <v>0</v>
      </c>
      <c r="AU3905" s="498">
        <f t="shared" si="1339"/>
        <v>0</v>
      </c>
      <c r="AV3905" s="498">
        <f t="shared" si="1340"/>
        <v>0</v>
      </c>
      <c r="AW3905" s="498">
        <f t="shared" si="1341"/>
        <v>0</v>
      </c>
      <c r="AX3905" s="498">
        <f t="shared" si="1342"/>
        <v>0</v>
      </c>
      <c r="AY3905" s="498">
        <f t="shared" si="1343"/>
        <v>0</v>
      </c>
      <c r="BB3905" s="498" t="str">
        <f t="shared" si="1344"/>
        <v/>
      </c>
      <c r="BC3905" s="743" t="str">
        <f t="shared" si="1345"/>
        <v/>
      </c>
      <c r="BD3905" s="743" t="str">
        <f t="shared" si="1346"/>
        <v/>
      </c>
      <c r="BE3905" s="743" t="str">
        <f>IF(D3905="","",VLOOKUP(D3905,'General Basis'!$J$39:$K$46,2,0))</f>
        <v/>
      </c>
      <c r="BF3905" s="744" t="str">
        <f>IF(D3905="","",VLOOKUP(D3905,'General Basis'!$J$39:$L$46,3,0))</f>
        <v/>
      </c>
      <c r="BG3905" s="744" t="str">
        <f t="shared" si="1353"/>
        <v/>
      </c>
      <c r="BH3905" s="744" t="str">
        <f>IF(G3905="","",IF(BF3905="Abu Dhabi",IF(G3905&lt;18,'General Basis'!$C$39,IF(G3905&lt;41,'General Basis'!$C$40,IF(G3905&lt;60,'General Basis'!$C$41,IF(G3905&lt;65,'General Basis'!$C$42,'General Basis'!$C$43)))),IF(G3905&lt;11,'General Basis'!$B$39,IF(G3905&lt;18,'General Basis'!$B$40,IF(G3905&lt;26,'General Basis'!$B$41,IF(G3905&lt;31,'General Basis'!$B$42,IF(G3905&lt;36,'General Basis'!$B$43,IF(G3905&lt;41,'General Basis'!$B$44,IF(G3905&lt;46,'General Basis'!$B$45,IF(G3905&lt;51,'General Basis'!$B$46,IF(G3905&lt;56,'General Basis'!$B$47,IF(G3905&lt;60,'General Basis'!$B$48,IF(G3905&lt;65,'General Basis'!$B$49,'General Basis'!$B$50)))))))))))))</f>
        <v/>
      </c>
      <c r="BI3905" s="744" t="str">
        <f t="shared" si="1347"/>
        <v/>
      </c>
      <c r="BJ3905" s="747" t="str">
        <f t="shared" si="1354"/>
        <v/>
      </c>
      <c r="BK3905" s="498" t="str">
        <f t="shared" si="1348"/>
        <v/>
      </c>
      <c r="BL3905" s="498" t="str">
        <f t="shared" si="1349"/>
        <v/>
      </c>
    </row>
    <row r="3906" spans="1:64" x14ac:dyDescent="0.25">
      <c r="A3906" s="762">
        <f t="shared" si="1350"/>
        <v>3901</v>
      </c>
      <c r="B3906" s="229"/>
      <c r="C3906" s="223"/>
      <c r="D3906" s="224"/>
      <c r="E3906" s="225"/>
      <c r="F3906" s="1036" t="str">
        <f t="shared" si="1356"/>
        <v/>
      </c>
      <c r="G3906" s="1037" t="str">
        <f t="shared" si="1351"/>
        <v/>
      </c>
      <c r="H3906" s="225"/>
      <c r="I3906" s="1013"/>
      <c r="J3906" s="1013"/>
      <c r="K3906" s="1028"/>
      <c r="L3906" s="1035" t="str">
        <f t="shared" si="1355"/>
        <v/>
      </c>
      <c r="S3906" s="498"/>
      <c r="AJ3906" s="498"/>
      <c r="AM3906" s="498">
        <f t="shared" si="1336"/>
        <v>0</v>
      </c>
      <c r="AN3906" s="498">
        <f t="shared" si="1337"/>
        <v>0</v>
      </c>
      <c r="AO3906" s="498">
        <f t="shared" si="1338"/>
        <v>0</v>
      </c>
      <c r="AP3906" s="498">
        <f t="shared" si="1357"/>
        <v>0</v>
      </c>
      <c r="AQ3906" s="498">
        <f t="shared" si="1352"/>
        <v>0</v>
      </c>
      <c r="AU3906" s="498">
        <f t="shared" si="1339"/>
        <v>0</v>
      </c>
      <c r="AV3906" s="498">
        <f t="shared" si="1340"/>
        <v>0</v>
      </c>
      <c r="AW3906" s="498">
        <f t="shared" si="1341"/>
        <v>0</v>
      </c>
      <c r="AX3906" s="498">
        <f t="shared" si="1342"/>
        <v>0</v>
      </c>
      <c r="AY3906" s="498">
        <f t="shared" si="1343"/>
        <v>0</v>
      </c>
      <c r="BB3906" s="498" t="str">
        <f t="shared" si="1344"/>
        <v/>
      </c>
      <c r="BC3906" s="743" t="str">
        <f t="shared" si="1345"/>
        <v/>
      </c>
      <c r="BD3906" s="743" t="str">
        <f t="shared" si="1346"/>
        <v/>
      </c>
      <c r="BE3906" s="743" t="str">
        <f>IF(D3906="","",VLOOKUP(D3906,'General Basis'!$J$39:$K$46,2,0))</f>
        <v/>
      </c>
      <c r="BF3906" s="744" t="str">
        <f>IF(D3906="","",VLOOKUP(D3906,'General Basis'!$J$39:$L$46,3,0))</f>
        <v/>
      </c>
      <c r="BG3906" s="744" t="str">
        <f t="shared" si="1353"/>
        <v/>
      </c>
      <c r="BH3906" s="744" t="str">
        <f>IF(G3906="","",IF(BF3906="Abu Dhabi",IF(G3906&lt;18,'General Basis'!$C$39,IF(G3906&lt;41,'General Basis'!$C$40,IF(G3906&lt;60,'General Basis'!$C$41,IF(G3906&lt;65,'General Basis'!$C$42,'General Basis'!$C$43)))),IF(G3906&lt;11,'General Basis'!$B$39,IF(G3906&lt;18,'General Basis'!$B$40,IF(G3906&lt;26,'General Basis'!$B$41,IF(G3906&lt;31,'General Basis'!$B$42,IF(G3906&lt;36,'General Basis'!$B$43,IF(G3906&lt;41,'General Basis'!$B$44,IF(G3906&lt;46,'General Basis'!$B$45,IF(G3906&lt;51,'General Basis'!$B$46,IF(G3906&lt;56,'General Basis'!$B$47,IF(G3906&lt;60,'General Basis'!$B$48,IF(G3906&lt;65,'General Basis'!$B$49,'General Basis'!$B$50)))))))))))))</f>
        <v/>
      </c>
      <c r="BI3906" s="744" t="str">
        <f t="shared" si="1347"/>
        <v/>
      </c>
      <c r="BJ3906" s="747" t="str">
        <f t="shared" si="1354"/>
        <v/>
      </c>
      <c r="BK3906" s="498" t="str">
        <f t="shared" si="1348"/>
        <v/>
      </c>
      <c r="BL3906" s="498" t="str">
        <f t="shared" si="1349"/>
        <v/>
      </c>
    </row>
    <row r="3907" spans="1:64" x14ac:dyDescent="0.25">
      <c r="A3907" s="762">
        <f t="shared" si="1350"/>
        <v>3902</v>
      </c>
      <c r="B3907" s="229"/>
      <c r="C3907" s="223"/>
      <c r="D3907" s="224"/>
      <c r="E3907" s="225"/>
      <c r="F3907" s="1036" t="str">
        <f t="shared" si="1356"/>
        <v/>
      </c>
      <c r="G3907" s="1037" t="str">
        <f t="shared" si="1351"/>
        <v/>
      </c>
      <c r="H3907" s="225"/>
      <c r="I3907" s="1013"/>
      <c r="J3907" s="1013"/>
      <c r="K3907" s="1028"/>
      <c r="L3907" s="1035" t="str">
        <f t="shared" si="1355"/>
        <v/>
      </c>
      <c r="S3907" s="498"/>
      <c r="AJ3907" s="498"/>
      <c r="AM3907" s="498">
        <f t="shared" si="1336"/>
        <v>0</v>
      </c>
      <c r="AN3907" s="498">
        <f t="shared" si="1337"/>
        <v>0</v>
      </c>
      <c r="AO3907" s="498">
        <f t="shared" si="1338"/>
        <v>0</v>
      </c>
      <c r="AP3907" s="498">
        <f t="shared" si="1357"/>
        <v>0</v>
      </c>
      <c r="AQ3907" s="498">
        <f t="shared" si="1352"/>
        <v>0</v>
      </c>
      <c r="AU3907" s="498">
        <f t="shared" si="1339"/>
        <v>0</v>
      </c>
      <c r="AV3907" s="498">
        <f t="shared" si="1340"/>
        <v>0</v>
      </c>
      <c r="AW3907" s="498">
        <f t="shared" si="1341"/>
        <v>0</v>
      </c>
      <c r="AX3907" s="498">
        <f t="shared" si="1342"/>
        <v>0</v>
      </c>
      <c r="AY3907" s="498">
        <f t="shared" si="1343"/>
        <v>0</v>
      </c>
      <c r="BB3907" s="498" t="str">
        <f t="shared" si="1344"/>
        <v/>
      </c>
      <c r="BC3907" s="743" t="str">
        <f t="shared" si="1345"/>
        <v/>
      </c>
      <c r="BD3907" s="743" t="str">
        <f t="shared" si="1346"/>
        <v/>
      </c>
      <c r="BE3907" s="743" t="str">
        <f>IF(D3907="","",VLOOKUP(D3907,'General Basis'!$J$39:$K$46,2,0))</f>
        <v/>
      </c>
      <c r="BF3907" s="744" t="str">
        <f>IF(D3907="","",VLOOKUP(D3907,'General Basis'!$J$39:$L$46,3,0))</f>
        <v/>
      </c>
      <c r="BG3907" s="744" t="str">
        <f t="shared" si="1353"/>
        <v/>
      </c>
      <c r="BH3907" s="744" t="str">
        <f>IF(G3907="","",IF(BF3907="Abu Dhabi",IF(G3907&lt;18,'General Basis'!$C$39,IF(G3907&lt;41,'General Basis'!$C$40,IF(G3907&lt;60,'General Basis'!$C$41,IF(G3907&lt;65,'General Basis'!$C$42,'General Basis'!$C$43)))),IF(G3907&lt;11,'General Basis'!$B$39,IF(G3907&lt;18,'General Basis'!$B$40,IF(G3907&lt;26,'General Basis'!$B$41,IF(G3907&lt;31,'General Basis'!$B$42,IF(G3907&lt;36,'General Basis'!$B$43,IF(G3907&lt;41,'General Basis'!$B$44,IF(G3907&lt;46,'General Basis'!$B$45,IF(G3907&lt;51,'General Basis'!$B$46,IF(G3907&lt;56,'General Basis'!$B$47,IF(G3907&lt;60,'General Basis'!$B$48,IF(G3907&lt;65,'General Basis'!$B$49,'General Basis'!$B$50)))))))))))))</f>
        <v/>
      </c>
      <c r="BI3907" s="744" t="str">
        <f t="shared" si="1347"/>
        <v/>
      </c>
      <c r="BJ3907" s="747" t="str">
        <f t="shared" si="1354"/>
        <v/>
      </c>
      <c r="BK3907" s="498" t="str">
        <f t="shared" si="1348"/>
        <v/>
      </c>
      <c r="BL3907" s="498" t="str">
        <f t="shared" si="1349"/>
        <v/>
      </c>
    </row>
    <row r="3908" spans="1:64" x14ac:dyDescent="0.25">
      <c r="A3908" s="762">
        <f t="shared" si="1350"/>
        <v>3903</v>
      </c>
      <c r="B3908" s="229"/>
      <c r="C3908" s="223"/>
      <c r="D3908" s="224"/>
      <c r="E3908" s="225"/>
      <c r="F3908" s="1036" t="str">
        <f t="shared" si="1356"/>
        <v/>
      </c>
      <c r="G3908" s="1037" t="str">
        <f t="shared" si="1351"/>
        <v/>
      </c>
      <c r="H3908" s="225"/>
      <c r="I3908" s="1013"/>
      <c r="J3908" s="1013"/>
      <c r="K3908" s="1028"/>
      <c r="L3908" s="1035" t="str">
        <f t="shared" si="1355"/>
        <v/>
      </c>
      <c r="S3908" s="498"/>
      <c r="AJ3908" s="498"/>
      <c r="AM3908" s="498">
        <f t="shared" si="1336"/>
        <v>0</v>
      </c>
      <c r="AN3908" s="498">
        <f t="shared" si="1337"/>
        <v>0</v>
      </c>
      <c r="AO3908" s="498">
        <f t="shared" si="1338"/>
        <v>0</v>
      </c>
      <c r="AP3908" s="498">
        <f t="shared" si="1357"/>
        <v>0</v>
      </c>
      <c r="AQ3908" s="498">
        <f t="shared" si="1352"/>
        <v>0</v>
      </c>
      <c r="AU3908" s="498">
        <f t="shared" si="1339"/>
        <v>0</v>
      </c>
      <c r="AV3908" s="498">
        <f t="shared" si="1340"/>
        <v>0</v>
      </c>
      <c r="AW3908" s="498">
        <f t="shared" si="1341"/>
        <v>0</v>
      </c>
      <c r="AX3908" s="498">
        <f t="shared" si="1342"/>
        <v>0</v>
      </c>
      <c r="AY3908" s="498">
        <f t="shared" si="1343"/>
        <v>0</v>
      </c>
      <c r="BB3908" s="498" t="str">
        <f t="shared" si="1344"/>
        <v/>
      </c>
      <c r="BC3908" s="743" t="str">
        <f t="shared" si="1345"/>
        <v/>
      </c>
      <c r="BD3908" s="743" t="str">
        <f t="shared" si="1346"/>
        <v/>
      </c>
      <c r="BE3908" s="743" t="str">
        <f>IF(D3908="","",VLOOKUP(D3908,'General Basis'!$J$39:$K$46,2,0))</f>
        <v/>
      </c>
      <c r="BF3908" s="744" t="str">
        <f>IF(D3908="","",VLOOKUP(D3908,'General Basis'!$J$39:$L$46,3,0))</f>
        <v/>
      </c>
      <c r="BG3908" s="744" t="str">
        <f t="shared" si="1353"/>
        <v/>
      </c>
      <c r="BH3908" s="744" t="str">
        <f>IF(G3908="","",IF(BF3908="Abu Dhabi",IF(G3908&lt;18,'General Basis'!$C$39,IF(G3908&lt;41,'General Basis'!$C$40,IF(G3908&lt;60,'General Basis'!$C$41,IF(G3908&lt;65,'General Basis'!$C$42,'General Basis'!$C$43)))),IF(G3908&lt;11,'General Basis'!$B$39,IF(G3908&lt;18,'General Basis'!$B$40,IF(G3908&lt;26,'General Basis'!$B$41,IF(G3908&lt;31,'General Basis'!$B$42,IF(G3908&lt;36,'General Basis'!$B$43,IF(G3908&lt;41,'General Basis'!$B$44,IF(G3908&lt;46,'General Basis'!$B$45,IF(G3908&lt;51,'General Basis'!$B$46,IF(G3908&lt;56,'General Basis'!$B$47,IF(G3908&lt;60,'General Basis'!$B$48,IF(G3908&lt;65,'General Basis'!$B$49,'General Basis'!$B$50)))))))))))))</f>
        <v/>
      </c>
      <c r="BI3908" s="744" t="str">
        <f t="shared" si="1347"/>
        <v/>
      </c>
      <c r="BJ3908" s="747" t="str">
        <f t="shared" si="1354"/>
        <v/>
      </c>
      <c r="BK3908" s="498" t="str">
        <f t="shared" si="1348"/>
        <v/>
      </c>
      <c r="BL3908" s="498" t="str">
        <f t="shared" si="1349"/>
        <v/>
      </c>
    </row>
    <row r="3909" spans="1:64" x14ac:dyDescent="0.25">
      <c r="A3909" s="762">
        <f t="shared" si="1350"/>
        <v>3904</v>
      </c>
      <c r="B3909" s="229"/>
      <c r="C3909" s="223"/>
      <c r="D3909" s="224"/>
      <c r="E3909" s="225"/>
      <c r="F3909" s="1036" t="str">
        <f t="shared" si="1356"/>
        <v/>
      </c>
      <c r="G3909" s="1037" t="str">
        <f t="shared" si="1351"/>
        <v/>
      </c>
      <c r="H3909" s="225"/>
      <c r="I3909" s="1013"/>
      <c r="J3909" s="1013"/>
      <c r="K3909" s="1028"/>
      <c r="L3909" s="1035" t="str">
        <f t="shared" si="1355"/>
        <v/>
      </c>
      <c r="S3909" s="498"/>
      <c r="AJ3909" s="498"/>
      <c r="AM3909" s="498">
        <f t="shared" si="1336"/>
        <v>0</v>
      </c>
      <c r="AN3909" s="498">
        <f t="shared" si="1337"/>
        <v>0</v>
      </c>
      <c r="AO3909" s="498">
        <f t="shared" si="1338"/>
        <v>0</v>
      </c>
      <c r="AP3909" s="498">
        <f t="shared" si="1357"/>
        <v>0</v>
      </c>
      <c r="AQ3909" s="498">
        <f t="shared" si="1352"/>
        <v>0</v>
      </c>
      <c r="AU3909" s="498">
        <f t="shared" si="1339"/>
        <v>0</v>
      </c>
      <c r="AV3909" s="498">
        <f t="shared" si="1340"/>
        <v>0</v>
      </c>
      <c r="AW3909" s="498">
        <f t="shared" si="1341"/>
        <v>0</v>
      </c>
      <c r="AX3909" s="498">
        <f t="shared" si="1342"/>
        <v>0</v>
      </c>
      <c r="AY3909" s="498">
        <f t="shared" si="1343"/>
        <v>0</v>
      </c>
      <c r="BB3909" s="498" t="str">
        <f t="shared" si="1344"/>
        <v/>
      </c>
      <c r="BC3909" s="743" t="str">
        <f t="shared" si="1345"/>
        <v/>
      </c>
      <c r="BD3909" s="743" t="str">
        <f t="shared" si="1346"/>
        <v/>
      </c>
      <c r="BE3909" s="743" t="str">
        <f>IF(D3909="","",VLOOKUP(D3909,'General Basis'!$J$39:$K$46,2,0))</f>
        <v/>
      </c>
      <c r="BF3909" s="744" t="str">
        <f>IF(D3909="","",VLOOKUP(D3909,'General Basis'!$J$39:$L$46,3,0))</f>
        <v/>
      </c>
      <c r="BG3909" s="744" t="str">
        <f t="shared" si="1353"/>
        <v/>
      </c>
      <c r="BH3909" s="744" t="str">
        <f>IF(G3909="","",IF(BF3909="Abu Dhabi",IF(G3909&lt;18,'General Basis'!$C$39,IF(G3909&lt;41,'General Basis'!$C$40,IF(G3909&lt;60,'General Basis'!$C$41,IF(G3909&lt;65,'General Basis'!$C$42,'General Basis'!$C$43)))),IF(G3909&lt;11,'General Basis'!$B$39,IF(G3909&lt;18,'General Basis'!$B$40,IF(G3909&lt;26,'General Basis'!$B$41,IF(G3909&lt;31,'General Basis'!$B$42,IF(G3909&lt;36,'General Basis'!$B$43,IF(G3909&lt;41,'General Basis'!$B$44,IF(G3909&lt;46,'General Basis'!$B$45,IF(G3909&lt;51,'General Basis'!$B$46,IF(G3909&lt;56,'General Basis'!$B$47,IF(G3909&lt;60,'General Basis'!$B$48,IF(G3909&lt;65,'General Basis'!$B$49,'General Basis'!$B$50)))))))))))))</f>
        <v/>
      </c>
      <c r="BI3909" s="744" t="str">
        <f t="shared" si="1347"/>
        <v/>
      </c>
      <c r="BJ3909" s="747" t="str">
        <f t="shared" si="1354"/>
        <v/>
      </c>
      <c r="BK3909" s="498" t="str">
        <f t="shared" si="1348"/>
        <v/>
      </c>
      <c r="BL3909" s="498" t="str">
        <f t="shared" si="1349"/>
        <v/>
      </c>
    </row>
    <row r="3910" spans="1:64" x14ac:dyDescent="0.25">
      <c r="A3910" s="762">
        <f t="shared" si="1350"/>
        <v>3905</v>
      </c>
      <c r="B3910" s="229"/>
      <c r="C3910" s="223"/>
      <c r="D3910" s="224"/>
      <c r="E3910" s="225"/>
      <c r="F3910" s="1036" t="str">
        <f t="shared" si="1356"/>
        <v/>
      </c>
      <c r="G3910" s="1037" t="str">
        <f t="shared" si="1351"/>
        <v/>
      </c>
      <c r="H3910" s="225"/>
      <c r="I3910" s="1013"/>
      <c r="J3910" s="1013"/>
      <c r="K3910" s="1028"/>
      <c r="L3910" s="1035" t="str">
        <f t="shared" si="1355"/>
        <v/>
      </c>
      <c r="S3910" s="498"/>
      <c r="AJ3910" s="498"/>
      <c r="AM3910" s="498">
        <f t="shared" ref="AM3910:AM3973" si="1358">IF(ISTEXT(B3910),1,0)</f>
        <v>0</v>
      </c>
      <c r="AN3910" s="498">
        <f t="shared" ref="AN3910:AN3973" si="1359">IF(ISBLANK(B3910),0,IF(B3910&lt;$AK$6,1,0))</f>
        <v>0</v>
      </c>
      <c r="AO3910" s="498">
        <f t="shared" ref="AO3910:AO3973" si="1360">IF(ISBLANK(B3910),0,IF(B3910&gt;$AK$7,1,0))</f>
        <v>0</v>
      </c>
      <c r="AP3910" s="498">
        <f t="shared" si="1357"/>
        <v>0</v>
      </c>
      <c r="AQ3910" s="498">
        <f t="shared" si="1352"/>
        <v>0</v>
      </c>
      <c r="AU3910" s="498">
        <f t="shared" ref="AU3910:AU3973" si="1361">IF(ISBLANK(B3910),0,1)</f>
        <v>0</v>
      </c>
      <c r="AV3910" s="498">
        <f t="shared" ref="AV3910:AV3973" si="1362">IF(ISBLANK(C3910),0,1)</f>
        <v>0</v>
      </c>
      <c r="AW3910" s="498">
        <f t="shared" ref="AW3910:AW3973" si="1363">IF(ISBLANK(D3910),0,1)</f>
        <v>0</v>
      </c>
      <c r="AX3910" s="498">
        <f t="shared" ref="AX3910:AX3973" si="1364">IF(ISBLANK(E3910),0,1)</f>
        <v>0</v>
      </c>
      <c r="AY3910" s="498">
        <f t="shared" ref="AY3910:AY3973" si="1365">IF(ISBLANK(H3910),0,1)</f>
        <v>0</v>
      </c>
      <c r="BB3910" s="498" t="str">
        <f t="shared" ref="BB3910:BB3973" si="1366">IF(E3910="Principal","Principal",IF(E3910="","","Other"))</f>
        <v/>
      </c>
      <c r="BC3910" s="743" t="str">
        <f t="shared" ref="BC3910:BC3973" si="1367">IF(D3910="","",D3910)</f>
        <v/>
      </c>
      <c r="BD3910" s="743" t="str">
        <f t="shared" ref="BD3910:BD3973" si="1368">IF(E3910="Principal","Employee",IF(E3910="","","Dependent"))</f>
        <v/>
      </c>
      <c r="BE3910" s="743" t="str">
        <f>IF(D3910="","",VLOOKUP(D3910,'General Basis'!$J$39:$K$46,2,0))</f>
        <v/>
      </c>
      <c r="BF3910" s="744" t="str">
        <f>IF(D3910="","",VLOOKUP(D3910,'General Basis'!$J$39:$L$46,3,0))</f>
        <v/>
      </c>
      <c r="BG3910" s="744" t="str">
        <f t="shared" si="1353"/>
        <v/>
      </c>
      <c r="BH3910" s="744" t="str">
        <f>IF(G3910="","",IF(BF3910="Abu Dhabi",IF(G3910&lt;18,'General Basis'!$C$39,IF(G3910&lt;41,'General Basis'!$C$40,IF(G3910&lt;60,'General Basis'!$C$41,IF(G3910&lt;65,'General Basis'!$C$42,'General Basis'!$C$43)))),IF(G3910&lt;11,'General Basis'!$B$39,IF(G3910&lt;18,'General Basis'!$B$40,IF(G3910&lt;26,'General Basis'!$B$41,IF(G3910&lt;31,'General Basis'!$B$42,IF(G3910&lt;36,'General Basis'!$B$43,IF(G3910&lt;41,'General Basis'!$B$44,IF(G3910&lt;46,'General Basis'!$B$45,IF(G3910&lt;51,'General Basis'!$B$46,IF(G3910&lt;56,'General Basis'!$B$47,IF(G3910&lt;60,'General Basis'!$B$48,IF(G3910&lt;65,'General Basis'!$B$49,'General Basis'!$B$50)))))))))))))</f>
        <v/>
      </c>
      <c r="BI3910" s="744" t="str">
        <f t="shared" ref="BI3910:BI3973" si="1369">IF(C3910="","",IF(C3910="M","Male","Female"))</f>
        <v/>
      </c>
      <c r="BJ3910" s="747" t="str">
        <f t="shared" si="1354"/>
        <v/>
      </c>
      <c r="BK3910" s="498" t="str">
        <f t="shared" ref="BK3910:BK3973" si="1370">IF(BD3910="","",IF(AND(BD3910="Employee",BI3910="Male",BF3910="Abu Dhabi",BE3910=GN_Plus),VLOOKUP(BH3910,AUH_MALE_EMP,2,0),IF(AND(BD3910="Employee",BI3910="Male",BF3910="Abu Dhabi",BE3910=GN),VLOOKUP(BH3910,AUH_MALE_EMP,3,0),IF(AND(BD3910="Employee",BI3910="Male",BF3910="Abu Dhabi",BE3910=RN_Plus),VLOOKUP(BH3910,AUH_MALE_EMP,4,0),IF(AND(BD3910="Employee",BI3910="Male",BF3910="Abu Dhabi",BE3910=RN),VLOOKUP(BH3910,AUH_MALE_EMP,5,0),IF(AND(BD3910="Employee",BI3910="Male",BF3910="Abu Dhabi",BE3910=RN_2),VLOOKUP(BH3910,AUH_MALE_EMP,6,0),IF(AND(BD3910="Employee",BI3910="Male",BF3910="Abu Dhabi",BE3910=RN2_minus),VLOOKUP(BH3910,AUH_MALE_EMP,7,0),IF(AND(BD3910="Employee",BI3910="Male",BF3910="Abu Dhabi",BE3910=RN_3),VLOOKUP(BH3910,AUH_MALE_EMP,8,0),IF(AND(BD3910="Employee",BI3910="Male",BF3910="Abu Dhabi",BE3910=VN),VLOOKUP(BH3910,AUH_MALE_EMP,9,0),IF(BD3910="","",IF(AND(BD3910="Employee",BI3910="Female",BF3910="Abu Dhabi",BE3910=GN_Plus),VLOOKUP(BH3910,AUH_FEMALE_EMP,2,0),IF(AND(BD3910="Employee",BI3910="Female",BF3910="Abu Dhabi",BE3910=GN),VLOOKUP(BH3910,AUH_FEMALE_EMP,3,0),IF(AND(BD3910="Employee",BI3910="Female",BF3910="Abu Dhabi",BE3910=RN_Plus),VLOOKUP(BH3910,AUH_FEMALE_EMP,4,0),IF(AND(BD3910="Employee",BI3910="Female",BF3910="Abu Dhabi",BE3910=RN),VLOOKUP(BH3910,AUH_FEMALE_EMP,5,0),IF(AND(BD3910="Employee",BI3910="Female",BF3910="Abu Dhabi",BE3910=RN_2),VLOOKUP(BH3910,AUH_FEMALE_EMP,6,0),IF(AND(BD3910="Employee",BI3910="Female",BF3910="Abu Dhabi",BE3910=RN2_minus),VLOOKUP(BH3910,AUH_FEMALE_EMP,7,0),IF(AND(BD3910="Employee",BI3910="Female",BF3910="Abu Dhabi",BE3910=RN_3),VLOOKUP(BH3910,AUH_FEMALE_EMP,8,0),IF(AND(BD3910="Employee",BI3910="Female",BF3910="Abu Dhabi",BE3910=VN),VLOOKUP(BH3910,AUH_FEMALE_EMP,9,0),IF(BD3910="","",IF(AND(BD3910="Dependent",BI3910="Male",BF3910="Abu Dhabi",BE3910=GN_Plus),VLOOKUP(BH3910,AUH_MALE_DEP,2,0),IF(AND(BD3910="Dependent",BI3910="Male",BF3910="Abu Dhabi",BE3910=GN),VLOOKUP(BH3910,AUH_MALE_DEP,3,0),IF(AND(BD3910="Dependent",BI3910="Male",BF3910="Abu Dhabi",BE3910=RN_Plus),VLOOKUP(BH3910,AUH_MALE_DEP,4,0),IF(AND(BD3910="Dependent",BI3910="Male",BF3910="Abu Dhabi",BE3910=RN),VLOOKUP(BH3910,AUH_MALE_DEP,5,0),IF(AND(BD3910="Dependent",BI3910="Male",BF3910="Abu Dhabi",BE3910=RN_2),VLOOKUP(BH3910,AUH_MALE_DEP,6,0),IF(AND(BD3910="Dependent",BI3910="Male",BF3910="Abu Dhabi",BE3910=RN2_minus),VLOOKUP(BH3910,AUH_MALE_DEP,7,0),IF(AND(BD3910="Dependent",BI3910="Male",BF3910="Abu Dhabi",BE3910=RN_3),VLOOKUP(BH3910,AUH_MALE_DEP,8,0),IF(AND(BD3910="Dependent",BI3910="Male",BF3910="Abu Dhabi",BE3910=VN),VLOOKUP(BH3910,AUH_MALE_DEP,9,0),IF(BD3910="","",IF(AND(BD3910="Dependent",BI3910="Female",BF3910="Abu Dhabi",BE3910=GN_Plus),VLOOKUP(BH3910,AUH_FEMALE_DEP,2,0),IF(AND(BD3910="Dependent",BI3910="Female",BF3910="Abu Dhabi",BE3910=GN),VLOOKUP(BH3910,AUH_FEMALE_DEP,3,0),IF(AND(BD3910="Dependent",BI3910="Female",BF3910="Abu Dhabi",BE3910=RN_Plus),VLOOKUP(BH3910,AUH_FEMALE_DEP,4,0),IF(AND(BD3910="Dependent",BI3910="Female",BF3910="Abu Dhabi",BE3910=RN),VLOOKUP(BH3910,AUH_FEMALE_DEP,5,0),IF(AND(BD3910="Dependent",BI3910="Female",BF3910="Abu Dhabi",BE3910=RN_2),VLOOKUP(BH3910,AUH_FEMALE_DEP,6,0),IF(AND(BD3910="Dependent",BI3910="Female",BF3910="Abu Dhabi",BE3910=RN2_minus),VLOOKUP(BH3910,AUH_FEMALE_DEP,7,0),IF(AND(BD3910="Dependent",BI3910="Female",BF3910="Abu Dhabi",BE3910=RN_3),VLOOKUP(BH3910,AUH_FEMALE_DEP,8,0),IF(AND(BD3910="Dependent",BI3910="Female",BF3910="Abu Dhabi",BE3910=VN),VLOOKUP(BH3910,AUH_FEMALE_DEP,9,0),"ABC"))))))))))))))))))))))))))))))))))))</f>
        <v/>
      </c>
      <c r="BL3910" s="498" t="str">
        <f t="shared" ref="BL3910:BL3973" si="1371">IF(BD3910="","",IF(AND(BD3910="Employee",BI3910="Male",BF3910="Dubai",BE3910=GN_Plus),VLOOKUP(BH3910,DXB_MALE_EMP,2,0),IF(AND(BD3910="Employee",BI3910="Male",BF3910="Dubai",BE3910=GN),VLOOKUP(BH3910,DXB_MALE_EMP,3,0),IF(AND(BD3910="Employee",BI3910="Male",BF3910="Dubai",BE3910=RN_Plus),VLOOKUP(BH3910,DXB_MALE_EMP,4,0),IF(AND(BD3910="Employee",BI3910="Male",BF3910="Dubai",BE3910=RN),VLOOKUP(BH3910,DXB_MALE_EMP,5,0),IF(AND(BD3910="Employee",BI3910="Male",BF3910="Dubai",BE3910=RN_2),VLOOKUP(BH3910,DXB_MALE_EMP,6,0),IF(AND(BD3910="Employee",BI3910="Male",BF3910="Dubai",BE3910=RN2_minus),VLOOKUP(BH3910,DXB_MALE_EMP,7,0),IF(AND(BD3910="Employee",BI3910="Male",BF3910="Dubai",BE3910=RN_3),VLOOKUP(BH3910,DXB_MALE_EMP,8,0),IF(AND(BD3910="Employee",BI3910="Male",BF3910="Dubai",BE3910=VN),VLOOKUP(BH3910,DXB_MALE_EMP,9,0),IF(BD3910="","",IF(AND(BD3910="Employee",BI3910="Female",BF3910="Dubai",BE3910=GN_Plus),VLOOKUP(BH3910,DXB_FEMALE_EMP,2,0),IF(AND(BD3910="Employee",BI3910="Female",BF3910="Dubai",BE3910=GN),VLOOKUP(BH3910,DXB_FEMALE_EMP,3,0),IF(AND(BD3910="Employee",BI3910="Female",BF3910="Dubai",BE3910=RN_Plus),VLOOKUP(BH3910,DXB_FEMALE_EMP,4,0),IF(AND(BD3910="Employee",BI3910="Female",BF3910="Dubai",BE3910=RN),VLOOKUP(BH3910,DXB_FEMALE_EMP,5,0),IF(AND(BD3910="Employee",BI3910="Female",BF3910="Dubai",BE3910=RN_2),VLOOKUP(BH3910,DXB_FEMALE_EMP,6,0),IF(AND(BD3910="Employee",BI3910="Female",BF3910="Dubai",BE3910=RN2_minus),VLOOKUP(BH3910,DXB_FEMALE_EMP,7,0),IF(AND(BD3910="Employee",BI3910="Female",BF3910="Dubai",BE3910=RN_3),VLOOKUP(BH3910,DXB_FEMALE_EMP,8,0),IF(AND(BD3910="Employee",BI3910="Female",BF3910="Dubai",BE3910=VN),VLOOKUP(BH3910,DXB_FEMALE_EMP,9,0),IF(BD3910="","",IF(AND(BD3910="Dependent",BI3910="Male",BF3910="Dubai",BE3910=GN_Plus),VLOOKUP(BH3910,DXB_MALE_DEP,2,0),IF(AND(BD3910="Dependent",BI3910="Male",BF3910="Dubai",BE3910=GN),VLOOKUP(BH3910,DXB_MALE_DEP,3,0),IF(AND(BD3910="Dependent",BI3910="Male",BF3910="Dubai",BE3910=RN_Plus),VLOOKUP(BH3910,DXB_MALE_DEP,4,0),IF(AND(BD3910="Dependent",BI3910="Male",BF3910="Dubai",BE3910=RN),VLOOKUP(BH3910,DXB_MALE_DEP,5,0),IF(AND(BD3910="Dependent",BI3910="Male",BF3910="Dubai",BE3910=RN_2),VLOOKUP(BH3910,DXB_MALE_DEP,6,0),IF(AND(BD3910="Dependent",BI3910="Male",BF3910="Dubai",BE3910=RN2_minus),VLOOKUP(BH3910,DXB_MALE_DEP,7,0),IF(AND(BD3910="Dependent",BI3910="Male",BF3910="Dubai",BE3910=RN_3),VLOOKUP(BH3910,DXB_MALE_DEP,8,0),IF(AND(BD3910="Dependent",BI3910="Male",BF3910="Dubai",BE3910=VN),VLOOKUP(BH3910,DXB_MALE_DEP,9,0),IF(BD3910="","",IF(AND(BD3910="Dependent",BI3910="Female",BF3910="Dubai",BE3910=GN_Plus),VLOOKUP(BH3910,DXB_FEMALE_DEP,2,0),IF(AND(BD3910="Dependent",BI3910="Female",BF3910="Dubai",BE3910=GN),VLOOKUP(BH3910,DXB_FEMALE_DEP,3,0),IF(AND(BD3910="Dependent",BI3910="Female",BF3910="Dubai",BE3910=RN_Plus),VLOOKUP(BH3910,DXB_FEMALE_DEP,4,0),IF(AND(BD3910="Dependent",BI3910="Female",BF3910="Dubai",BE3910=RN),VLOOKUP(BH3910,DXB_FEMALE_DEP,5,0),IF(AND(BD3910="Dependent",BI3910="Female",BF3910="Dubai",BE3910=RN_2),VLOOKUP(BH3910,DXB_FEMALE_DEP,6,0),IF(AND(BD3910="Dependent",BI3910="Female",BF3910="Dubai",BE3910=RN2_minus),VLOOKUP(BH3910,DXB_FEMALE_DEP,7,0),IF(AND(BD3910="Dependent",BI3910="Female",BF3910="Dubai",BE3910=RN_3),VLOOKUP(BH3910,DXB_FEMALE_DEP,8,0),IF(AND(BD3910="Dependent",BI3910="Female",BF3910="Dubai",BE3910=VN),VLOOKUP(BH3910,DXB_FEMALE_DEP,9,0),"ABC"))))))))))))))))))))))))))))))))))))</f>
        <v/>
      </c>
    </row>
    <row r="3911" spans="1:64" x14ac:dyDescent="0.25">
      <c r="A3911" s="762">
        <f t="shared" ref="A3911:A3974" si="1372">+A3910+1</f>
        <v>3906</v>
      </c>
      <c r="B3911" s="229"/>
      <c r="C3911" s="223"/>
      <c r="D3911" s="224"/>
      <c r="E3911" s="225"/>
      <c r="F3911" s="1036" t="str">
        <f t="shared" si="1356"/>
        <v/>
      </c>
      <c r="G3911" s="1037" t="str">
        <f t="shared" ref="G3911:G3974" si="1373">IF(D3911="","",MAX(0,ROUNDUP(F3911,0)))</f>
        <v/>
      </c>
      <c r="H3911" s="225"/>
      <c r="I3911" s="1013"/>
      <c r="J3911" s="1013"/>
      <c r="K3911" s="1028"/>
      <c r="L3911" s="1035" t="str">
        <f t="shared" si="1355"/>
        <v/>
      </c>
      <c r="S3911" s="498"/>
      <c r="AJ3911" s="498"/>
      <c r="AM3911" s="498">
        <f t="shared" si="1358"/>
        <v>0</v>
      </c>
      <c r="AN3911" s="498">
        <f t="shared" si="1359"/>
        <v>0</v>
      </c>
      <c r="AO3911" s="498">
        <f t="shared" si="1360"/>
        <v>0</v>
      </c>
      <c r="AP3911" s="498">
        <f t="shared" si="1357"/>
        <v>0</v>
      </c>
      <c r="AQ3911" s="498">
        <f t="shared" ref="AQ3911:AQ3974" si="1374">IF(ISBLANK($B3911),0,IF(OR($H3911="Single",$H3911="Married"),0,1))</f>
        <v>0</v>
      </c>
      <c r="AU3911" s="498">
        <f t="shared" si="1361"/>
        <v>0</v>
      </c>
      <c r="AV3911" s="498">
        <f t="shared" si="1362"/>
        <v>0</v>
      </c>
      <c r="AW3911" s="498">
        <f t="shared" si="1363"/>
        <v>0</v>
      </c>
      <c r="AX3911" s="498">
        <f t="shared" si="1364"/>
        <v>0</v>
      </c>
      <c r="AY3911" s="498">
        <f t="shared" si="1365"/>
        <v>0</v>
      </c>
      <c r="BB3911" s="498" t="str">
        <f t="shared" si="1366"/>
        <v/>
      </c>
      <c r="BC3911" s="743" t="str">
        <f t="shared" si="1367"/>
        <v/>
      </c>
      <c r="BD3911" s="743" t="str">
        <f t="shared" si="1368"/>
        <v/>
      </c>
      <c r="BE3911" s="743" t="str">
        <f>IF(D3911="","",VLOOKUP(D3911,'General Basis'!$J$39:$K$46,2,0))</f>
        <v/>
      </c>
      <c r="BF3911" s="744" t="str">
        <f>IF(D3911="","",VLOOKUP(D3911,'General Basis'!$J$39:$L$46,3,0))</f>
        <v/>
      </c>
      <c r="BG3911" s="744" t="str">
        <f t="shared" ref="BG3911:BG3974" si="1375">BC3911&amp;BI3911</f>
        <v/>
      </c>
      <c r="BH3911" s="744" t="str">
        <f>IF(G3911="","",IF(BF3911="Abu Dhabi",IF(G3911&lt;18,'General Basis'!$C$39,IF(G3911&lt;41,'General Basis'!$C$40,IF(G3911&lt;60,'General Basis'!$C$41,IF(G3911&lt;65,'General Basis'!$C$42,'General Basis'!$C$43)))),IF(G3911&lt;11,'General Basis'!$B$39,IF(G3911&lt;18,'General Basis'!$B$40,IF(G3911&lt;26,'General Basis'!$B$41,IF(G3911&lt;31,'General Basis'!$B$42,IF(G3911&lt;36,'General Basis'!$B$43,IF(G3911&lt;41,'General Basis'!$B$44,IF(G3911&lt;46,'General Basis'!$B$45,IF(G3911&lt;51,'General Basis'!$B$46,IF(G3911&lt;56,'General Basis'!$B$47,IF(G3911&lt;60,'General Basis'!$B$48,IF(G3911&lt;65,'General Basis'!$B$49,'General Basis'!$B$50)))))))))))))</f>
        <v/>
      </c>
      <c r="BI3911" s="744" t="str">
        <f t="shared" si="1369"/>
        <v/>
      </c>
      <c r="BJ3911" s="747" t="str">
        <f t="shared" ref="BJ3911:BJ3974" si="1376">IF(BD3911="","",IF(BF3911="Abu Dhabi",BK3911,BL3911))</f>
        <v/>
      </c>
      <c r="BK3911" s="498" t="str">
        <f t="shared" si="1370"/>
        <v/>
      </c>
      <c r="BL3911" s="498" t="str">
        <f t="shared" si="1371"/>
        <v/>
      </c>
    </row>
    <row r="3912" spans="1:64" x14ac:dyDescent="0.25">
      <c r="A3912" s="762">
        <f t="shared" si="1372"/>
        <v>3907</v>
      </c>
      <c r="B3912" s="229"/>
      <c r="C3912" s="223"/>
      <c r="D3912" s="224"/>
      <c r="E3912" s="225"/>
      <c r="F3912" s="1036" t="str">
        <f t="shared" si="1356"/>
        <v/>
      </c>
      <c r="G3912" s="1037" t="str">
        <f t="shared" si="1373"/>
        <v/>
      </c>
      <c r="H3912" s="225"/>
      <c r="I3912" s="1013"/>
      <c r="J3912" s="1013"/>
      <c r="K3912" s="1028"/>
      <c r="L3912" s="1035" t="str">
        <f t="shared" ref="L3912:L3975" si="1377">IF(AND(E3912="Child",H3912="Married"),"Check the Marital Status of the Child. ",IF(AND(E3912="Child",F3912&gt;18),"Child Age exceed 18 years. ",IF(AND(E3912="Spouse",H3912="Single"),"Spouse is selected as Single. ","")))&amp;IF(K3912&gt;0,"UW Loading has been Applied","")</f>
        <v/>
      </c>
      <c r="S3912" s="498"/>
      <c r="AJ3912" s="498"/>
      <c r="AM3912" s="498">
        <f t="shared" si="1358"/>
        <v>0</v>
      </c>
      <c r="AN3912" s="498">
        <f t="shared" si="1359"/>
        <v>0</v>
      </c>
      <c r="AO3912" s="498">
        <f t="shared" si="1360"/>
        <v>0</v>
      </c>
      <c r="AP3912" s="498">
        <f t="shared" si="1357"/>
        <v>0</v>
      </c>
      <c r="AQ3912" s="498">
        <f t="shared" si="1374"/>
        <v>0</v>
      </c>
      <c r="AU3912" s="498">
        <f t="shared" si="1361"/>
        <v>0</v>
      </c>
      <c r="AV3912" s="498">
        <f t="shared" si="1362"/>
        <v>0</v>
      </c>
      <c r="AW3912" s="498">
        <f t="shared" si="1363"/>
        <v>0</v>
      </c>
      <c r="AX3912" s="498">
        <f t="shared" si="1364"/>
        <v>0</v>
      </c>
      <c r="AY3912" s="498">
        <f t="shared" si="1365"/>
        <v>0</v>
      </c>
      <c r="BB3912" s="498" t="str">
        <f t="shared" si="1366"/>
        <v/>
      </c>
      <c r="BC3912" s="743" t="str">
        <f t="shared" si="1367"/>
        <v/>
      </c>
      <c r="BD3912" s="743" t="str">
        <f t="shared" si="1368"/>
        <v/>
      </c>
      <c r="BE3912" s="743" t="str">
        <f>IF(D3912="","",VLOOKUP(D3912,'General Basis'!$J$39:$K$46,2,0))</f>
        <v/>
      </c>
      <c r="BF3912" s="744" t="str">
        <f>IF(D3912="","",VLOOKUP(D3912,'General Basis'!$J$39:$L$46,3,0))</f>
        <v/>
      </c>
      <c r="BG3912" s="744" t="str">
        <f t="shared" si="1375"/>
        <v/>
      </c>
      <c r="BH3912" s="744" t="str">
        <f>IF(G3912="","",IF(BF3912="Abu Dhabi",IF(G3912&lt;18,'General Basis'!$C$39,IF(G3912&lt;41,'General Basis'!$C$40,IF(G3912&lt;60,'General Basis'!$C$41,IF(G3912&lt;65,'General Basis'!$C$42,'General Basis'!$C$43)))),IF(G3912&lt;11,'General Basis'!$B$39,IF(G3912&lt;18,'General Basis'!$B$40,IF(G3912&lt;26,'General Basis'!$B$41,IF(G3912&lt;31,'General Basis'!$B$42,IF(G3912&lt;36,'General Basis'!$B$43,IF(G3912&lt;41,'General Basis'!$B$44,IF(G3912&lt;46,'General Basis'!$B$45,IF(G3912&lt;51,'General Basis'!$B$46,IF(G3912&lt;56,'General Basis'!$B$47,IF(G3912&lt;60,'General Basis'!$B$48,IF(G3912&lt;65,'General Basis'!$B$49,'General Basis'!$B$50)))))))))))))</f>
        <v/>
      </c>
      <c r="BI3912" s="744" t="str">
        <f t="shared" si="1369"/>
        <v/>
      </c>
      <c r="BJ3912" s="747" t="str">
        <f t="shared" si="1376"/>
        <v/>
      </c>
      <c r="BK3912" s="498" t="str">
        <f t="shared" si="1370"/>
        <v/>
      </c>
      <c r="BL3912" s="498" t="str">
        <f t="shared" si="1371"/>
        <v/>
      </c>
    </row>
    <row r="3913" spans="1:64" x14ac:dyDescent="0.25">
      <c r="A3913" s="762">
        <f t="shared" si="1372"/>
        <v>3908</v>
      </c>
      <c r="B3913" s="229"/>
      <c r="C3913" s="223"/>
      <c r="D3913" s="224"/>
      <c r="E3913" s="225"/>
      <c r="F3913" s="1036" t="str">
        <f t="shared" si="1356"/>
        <v/>
      </c>
      <c r="G3913" s="1037" t="str">
        <f t="shared" si="1373"/>
        <v/>
      </c>
      <c r="H3913" s="225"/>
      <c r="I3913" s="1013"/>
      <c r="J3913" s="1013"/>
      <c r="K3913" s="1028"/>
      <c r="L3913" s="1035" t="str">
        <f t="shared" si="1377"/>
        <v/>
      </c>
      <c r="S3913" s="498"/>
      <c r="AJ3913" s="498"/>
      <c r="AM3913" s="498">
        <f t="shared" si="1358"/>
        <v>0</v>
      </c>
      <c r="AN3913" s="498">
        <f t="shared" si="1359"/>
        <v>0</v>
      </c>
      <c r="AO3913" s="498">
        <f t="shared" si="1360"/>
        <v>0</v>
      </c>
      <c r="AP3913" s="498">
        <f t="shared" si="1357"/>
        <v>0</v>
      </c>
      <c r="AQ3913" s="498">
        <f t="shared" si="1374"/>
        <v>0</v>
      </c>
      <c r="AU3913" s="498">
        <f t="shared" si="1361"/>
        <v>0</v>
      </c>
      <c r="AV3913" s="498">
        <f t="shared" si="1362"/>
        <v>0</v>
      </c>
      <c r="AW3913" s="498">
        <f t="shared" si="1363"/>
        <v>0</v>
      </c>
      <c r="AX3913" s="498">
        <f t="shared" si="1364"/>
        <v>0</v>
      </c>
      <c r="AY3913" s="498">
        <f t="shared" si="1365"/>
        <v>0</v>
      </c>
      <c r="BB3913" s="498" t="str">
        <f t="shared" si="1366"/>
        <v/>
      </c>
      <c r="BC3913" s="743" t="str">
        <f t="shared" si="1367"/>
        <v/>
      </c>
      <c r="BD3913" s="743" t="str">
        <f t="shared" si="1368"/>
        <v/>
      </c>
      <c r="BE3913" s="743" t="str">
        <f>IF(D3913="","",VLOOKUP(D3913,'General Basis'!$J$39:$K$46,2,0))</f>
        <v/>
      </c>
      <c r="BF3913" s="744" t="str">
        <f>IF(D3913="","",VLOOKUP(D3913,'General Basis'!$J$39:$L$46,3,0))</f>
        <v/>
      </c>
      <c r="BG3913" s="744" t="str">
        <f t="shared" si="1375"/>
        <v/>
      </c>
      <c r="BH3913" s="744" t="str">
        <f>IF(G3913="","",IF(BF3913="Abu Dhabi",IF(G3913&lt;18,'General Basis'!$C$39,IF(G3913&lt;41,'General Basis'!$C$40,IF(G3913&lt;60,'General Basis'!$C$41,IF(G3913&lt;65,'General Basis'!$C$42,'General Basis'!$C$43)))),IF(G3913&lt;11,'General Basis'!$B$39,IF(G3913&lt;18,'General Basis'!$B$40,IF(G3913&lt;26,'General Basis'!$B$41,IF(G3913&lt;31,'General Basis'!$B$42,IF(G3913&lt;36,'General Basis'!$B$43,IF(G3913&lt;41,'General Basis'!$B$44,IF(G3913&lt;46,'General Basis'!$B$45,IF(G3913&lt;51,'General Basis'!$B$46,IF(G3913&lt;56,'General Basis'!$B$47,IF(G3913&lt;60,'General Basis'!$B$48,IF(G3913&lt;65,'General Basis'!$B$49,'General Basis'!$B$50)))))))))))))</f>
        <v/>
      </c>
      <c r="BI3913" s="744" t="str">
        <f t="shared" si="1369"/>
        <v/>
      </c>
      <c r="BJ3913" s="747" t="str">
        <f t="shared" si="1376"/>
        <v/>
      </c>
      <c r="BK3913" s="498" t="str">
        <f t="shared" si="1370"/>
        <v/>
      </c>
      <c r="BL3913" s="498" t="str">
        <f t="shared" si="1371"/>
        <v/>
      </c>
    </row>
    <row r="3914" spans="1:64" x14ac:dyDescent="0.25">
      <c r="A3914" s="762">
        <f t="shared" si="1372"/>
        <v>3909</v>
      </c>
      <c r="B3914" s="229"/>
      <c r="C3914" s="223"/>
      <c r="D3914" s="224"/>
      <c r="E3914" s="225"/>
      <c r="F3914" s="1036" t="str">
        <f t="shared" si="1356"/>
        <v/>
      </c>
      <c r="G3914" s="1037" t="str">
        <f t="shared" si="1373"/>
        <v/>
      </c>
      <c r="H3914" s="225"/>
      <c r="I3914" s="1013"/>
      <c r="J3914" s="1013"/>
      <c r="K3914" s="1028"/>
      <c r="L3914" s="1035" t="str">
        <f t="shared" si="1377"/>
        <v/>
      </c>
      <c r="S3914" s="498"/>
      <c r="AJ3914" s="498"/>
      <c r="AM3914" s="498">
        <f t="shared" si="1358"/>
        <v>0</v>
      </c>
      <c r="AN3914" s="498">
        <f t="shared" si="1359"/>
        <v>0</v>
      </c>
      <c r="AO3914" s="498">
        <f t="shared" si="1360"/>
        <v>0</v>
      </c>
      <c r="AP3914" s="498">
        <f t="shared" si="1357"/>
        <v>0</v>
      </c>
      <c r="AQ3914" s="498">
        <f t="shared" si="1374"/>
        <v>0</v>
      </c>
      <c r="AU3914" s="498">
        <f t="shared" si="1361"/>
        <v>0</v>
      </c>
      <c r="AV3914" s="498">
        <f t="shared" si="1362"/>
        <v>0</v>
      </c>
      <c r="AW3914" s="498">
        <f t="shared" si="1363"/>
        <v>0</v>
      </c>
      <c r="AX3914" s="498">
        <f t="shared" si="1364"/>
        <v>0</v>
      </c>
      <c r="AY3914" s="498">
        <f t="shared" si="1365"/>
        <v>0</v>
      </c>
      <c r="BB3914" s="498" t="str">
        <f t="shared" si="1366"/>
        <v/>
      </c>
      <c r="BC3914" s="743" t="str">
        <f t="shared" si="1367"/>
        <v/>
      </c>
      <c r="BD3914" s="743" t="str">
        <f t="shared" si="1368"/>
        <v/>
      </c>
      <c r="BE3914" s="743" t="str">
        <f>IF(D3914="","",VLOOKUP(D3914,'General Basis'!$J$39:$K$46,2,0))</f>
        <v/>
      </c>
      <c r="BF3914" s="744" t="str">
        <f>IF(D3914="","",VLOOKUP(D3914,'General Basis'!$J$39:$L$46,3,0))</f>
        <v/>
      </c>
      <c r="BG3914" s="744" t="str">
        <f t="shared" si="1375"/>
        <v/>
      </c>
      <c r="BH3914" s="744" t="str">
        <f>IF(G3914="","",IF(BF3914="Abu Dhabi",IF(G3914&lt;18,'General Basis'!$C$39,IF(G3914&lt;41,'General Basis'!$C$40,IF(G3914&lt;60,'General Basis'!$C$41,IF(G3914&lt;65,'General Basis'!$C$42,'General Basis'!$C$43)))),IF(G3914&lt;11,'General Basis'!$B$39,IF(G3914&lt;18,'General Basis'!$B$40,IF(G3914&lt;26,'General Basis'!$B$41,IF(G3914&lt;31,'General Basis'!$B$42,IF(G3914&lt;36,'General Basis'!$B$43,IF(G3914&lt;41,'General Basis'!$B$44,IF(G3914&lt;46,'General Basis'!$B$45,IF(G3914&lt;51,'General Basis'!$B$46,IF(G3914&lt;56,'General Basis'!$B$47,IF(G3914&lt;60,'General Basis'!$B$48,IF(G3914&lt;65,'General Basis'!$B$49,'General Basis'!$B$50)))))))))))))</f>
        <v/>
      </c>
      <c r="BI3914" s="744" t="str">
        <f t="shared" si="1369"/>
        <v/>
      </c>
      <c r="BJ3914" s="747" t="str">
        <f t="shared" si="1376"/>
        <v/>
      </c>
      <c r="BK3914" s="498" t="str">
        <f t="shared" si="1370"/>
        <v/>
      </c>
      <c r="BL3914" s="498" t="str">
        <f t="shared" si="1371"/>
        <v/>
      </c>
    </row>
    <row r="3915" spans="1:64" x14ac:dyDescent="0.25">
      <c r="A3915" s="762">
        <f t="shared" si="1372"/>
        <v>3910</v>
      </c>
      <c r="B3915" s="229"/>
      <c r="C3915" s="223"/>
      <c r="D3915" s="224"/>
      <c r="E3915" s="225"/>
      <c r="F3915" s="1036" t="str">
        <f t="shared" si="1356"/>
        <v/>
      </c>
      <c r="G3915" s="1037" t="str">
        <f t="shared" si="1373"/>
        <v/>
      </c>
      <c r="H3915" s="225"/>
      <c r="I3915" s="1013"/>
      <c r="J3915" s="1013"/>
      <c r="K3915" s="1028"/>
      <c r="L3915" s="1035" t="str">
        <f t="shared" si="1377"/>
        <v/>
      </c>
      <c r="S3915" s="498"/>
      <c r="AJ3915" s="498"/>
      <c r="AM3915" s="498">
        <f t="shared" si="1358"/>
        <v>0</v>
      </c>
      <c r="AN3915" s="498">
        <f t="shared" si="1359"/>
        <v>0</v>
      </c>
      <c r="AO3915" s="498">
        <f t="shared" si="1360"/>
        <v>0</v>
      </c>
      <c r="AP3915" s="498">
        <f t="shared" si="1357"/>
        <v>0</v>
      </c>
      <c r="AQ3915" s="498">
        <f t="shared" si="1374"/>
        <v>0</v>
      </c>
      <c r="AU3915" s="498">
        <f t="shared" si="1361"/>
        <v>0</v>
      </c>
      <c r="AV3915" s="498">
        <f t="shared" si="1362"/>
        <v>0</v>
      </c>
      <c r="AW3915" s="498">
        <f t="shared" si="1363"/>
        <v>0</v>
      </c>
      <c r="AX3915" s="498">
        <f t="shared" si="1364"/>
        <v>0</v>
      </c>
      <c r="AY3915" s="498">
        <f t="shared" si="1365"/>
        <v>0</v>
      </c>
      <c r="BB3915" s="498" t="str">
        <f t="shared" si="1366"/>
        <v/>
      </c>
      <c r="BC3915" s="743" t="str">
        <f t="shared" si="1367"/>
        <v/>
      </c>
      <c r="BD3915" s="743" t="str">
        <f t="shared" si="1368"/>
        <v/>
      </c>
      <c r="BE3915" s="743" t="str">
        <f>IF(D3915="","",VLOOKUP(D3915,'General Basis'!$J$39:$K$46,2,0))</f>
        <v/>
      </c>
      <c r="BF3915" s="744" t="str">
        <f>IF(D3915="","",VLOOKUP(D3915,'General Basis'!$J$39:$L$46,3,0))</f>
        <v/>
      </c>
      <c r="BG3915" s="744" t="str">
        <f t="shared" si="1375"/>
        <v/>
      </c>
      <c r="BH3915" s="744" t="str">
        <f>IF(G3915="","",IF(BF3915="Abu Dhabi",IF(G3915&lt;18,'General Basis'!$C$39,IF(G3915&lt;41,'General Basis'!$C$40,IF(G3915&lt;60,'General Basis'!$C$41,IF(G3915&lt;65,'General Basis'!$C$42,'General Basis'!$C$43)))),IF(G3915&lt;11,'General Basis'!$B$39,IF(G3915&lt;18,'General Basis'!$B$40,IF(G3915&lt;26,'General Basis'!$B$41,IF(G3915&lt;31,'General Basis'!$B$42,IF(G3915&lt;36,'General Basis'!$B$43,IF(G3915&lt;41,'General Basis'!$B$44,IF(G3915&lt;46,'General Basis'!$B$45,IF(G3915&lt;51,'General Basis'!$B$46,IF(G3915&lt;56,'General Basis'!$B$47,IF(G3915&lt;60,'General Basis'!$B$48,IF(G3915&lt;65,'General Basis'!$B$49,'General Basis'!$B$50)))))))))))))</f>
        <v/>
      </c>
      <c r="BI3915" s="744" t="str">
        <f t="shared" si="1369"/>
        <v/>
      </c>
      <c r="BJ3915" s="747" t="str">
        <f t="shared" si="1376"/>
        <v/>
      </c>
      <c r="BK3915" s="498" t="str">
        <f t="shared" si="1370"/>
        <v/>
      </c>
      <c r="BL3915" s="498" t="str">
        <f t="shared" si="1371"/>
        <v/>
      </c>
    </row>
    <row r="3916" spans="1:64" x14ac:dyDescent="0.25">
      <c r="A3916" s="762">
        <f t="shared" si="1372"/>
        <v>3911</v>
      </c>
      <c r="B3916" s="229"/>
      <c r="C3916" s="223"/>
      <c r="D3916" s="224"/>
      <c r="E3916" s="225"/>
      <c r="F3916" s="1036" t="str">
        <f t="shared" si="1356"/>
        <v/>
      </c>
      <c r="G3916" s="1037" t="str">
        <f t="shared" si="1373"/>
        <v/>
      </c>
      <c r="H3916" s="225"/>
      <c r="I3916" s="1013"/>
      <c r="J3916" s="1013"/>
      <c r="K3916" s="1028"/>
      <c r="L3916" s="1035" t="str">
        <f t="shared" si="1377"/>
        <v/>
      </c>
      <c r="S3916" s="498"/>
      <c r="AJ3916" s="498"/>
      <c r="AM3916" s="498">
        <f t="shared" si="1358"/>
        <v>0</v>
      </c>
      <c r="AN3916" s="498">
        <f t="shared" si="1359"/>
        <v>0</v>
      </c>
      <c r="AO3916" s="498">
        <f t="shared" si="1360"/>
        <v>0</v>
      </c>
      <c r="AP3916" s="498">
        <f t="shared" si="1357"/>
        <v>0</v>
      </c>
      <c r="AQ3916" s="498">
        <f t="shared" si="1374"/>
        <v>0</v>
      </c>
      <c r="AU3916" s="498">
        <f t="shared" si="1361"/>
        <v>0</v>
      </c>
      <c r="AV3916" s="498">
        <f t="shared" si="1362"/>
        <v>0</v>
      </c>
      <c r="AW3916" s="498">
        <f t="shared" si="1363"/>
        <v>0</v>
      </c>
      <c r="AX3916" s="498">
        <f t="shared" si="1364"/>
        <v>0</v>
      </c>
      <c r="AY3916" s="498">
        <f t="shared" si="1365"/>
        <v>0</v>
      </c>
      <c r="BB3916" s="498" t="str">
        <f t="shared" si="1366"/>
        <v/>
      </c>
      <c r="BC3916" s="743" t="str">
        <f t="shared" si="1367"/>
        <v/>
      </c>
      <c r="BD3916" s="743" t="str">
        <f t="shared" si="1368"/>
        <v/>
      </c>
      <c r="BE3916" s="743" t="str">
        <f>IF(D3916="","",VLOOKUP(D3916,'General Basis'!$J$39:$K$46,2,0))</f>
        <v/>
      </c>
      <c r="BF3916" s="744" t="str">
        <f>IF(D3916="","",VLOOKUP(D3916,'General Basis'!$J$39:$L$46,3,0))</f>
        <v/>
      </c>
      <c r="BG3916" s="744" t="str">
        <f t="shared" si="1375"/>
        <v/>
      </c>
      <c r="BH3916" s="744" t="str">
        <f>IF(G3916="","",IF(BF3916="Abu Dhabi",IF(G3916&lt;18,'General Basis'!$C$39,IF(G3916&lt;41,'General Basis'!$C$40,IF(G3916&lt;60,'General Basis'!$C$41,IF(G3916&lt;65,'General Basis'!$C$42,'General Basis'!$C$43)))),IF(G3916&lt;11,'General Basis'!$B$39,IF(G3916&lt;18,'General Basis'!$B$40,IF(G3916&lt;26,'General Basis'!$B$41,IF(G3916&lt;31,'General Basis'!$B$42,IF(G3916&lt;36,'General Basis'!$B$43,IF(G3916&lt;41,'General Basis'!$B$44,IF(G3916&lt;46,'General Basis'!$B$45,IF(G3916&lt;51,'General Basis'!$B$46,IF(G3916&lt;56,'General Basis'!$B$47,IF(G3916&lt;60,'General Basis'!$B$48,IF(G3916&lt;65,'General Basis'!$B$49,'General Basis'!$B$50)))))))))))))</f>
        <v/>
      </c>
      <c r="BI3916" s="744" t="str">
        <f t="shared" si="1369"/>
        <v/>
      </c>
      <c r="BJ3916" s="747" t="str">
        <f t="shared" si="1376"/>
        <v/>
      </c>
      <c r="BK3916" s="498" t="str">
        <f t="shared" si="1370"/>
        <v/>
      </c>
      <c r="BL3916" s="498" t="str">
        <f t="shared" si="1371"/>
        <v/>
      </c>
    </row>
    <row r="3917" spans="1:64" x14ac:dyDescent="0.25">
      <c r="A3917" s="762">
        <f t="shared" si="1372"/>
        <v>3912</v>
      </c>
      <c r="B3917" s="229"/>
      <c r="C3917" s="223"/>
      <c r="D3917" s="224"/>
      <c r="E3917" s="225"/>
      <c r="F3917" s="1036" t="str">
        <f t="shared" si="1356"/>
        <v/>
      </c>
      <c r="G3917" s="1037" t="str">
        <f t="shared" si="1373"/>
        <v/>
      </c>
      <c r="H3917" s="225"/>
      <c r="I3917" s="1013"/>
      <c r="J3917" s="1013"/>
      <c r="K3917" s="1028"/>
      <c r="L3917" s="1035" t="str">
        <f t="shared" si="1377"/>
        <v/>
      </c>
      <c r="S3917" s="498"/>
      <c r="AJ3917" s="498"/>
      <c r="AM3917" s="498">
        <f t="shared" si="1358"/>
        <v>0</v>
      </c>
      <c r="AN3917" s="498">
        <f t="shared" si="1359"/>
        <v>0</v>
      </c>
      <c r="AO3917" s="498">
        <f t="shared" si="1360"/>
        <v>0</v>
      </c>
      <c r="AP3917" s="498">
        <f t="shared" si="1357"/>
        <v>0</v>
      </c>
      <c r="AQ3917" s="498">
        <f t="shared" si="1374"/>
        <v>0</v>
      </c>
      <c r="AU3917" s="498">
        <f t="shared" si="1361"/>
        <v>0</v>
      </c>
      <c r="AV3917" s="498">
        <f t="shared" si="1362"/>
        <v>0</v>
      </c>
      <c r="AW3917" s="498">
        <f t="shared" si="1363"/>
        <v>0</v>
      </c>
      <c r="AX3917" s="498">
        <f t="shared" si="1364"/>
        <v>0</v>
      </c>
      <c r="AY3917" s="498">
        <f t="shared" si="1365"/>
        <v>0</v>
      </c>
      <c r="BB3917" s="498" t="str">
        <f t="shared" si="1366"/>
        <v/>
      </c>
      <c r="BC3917" s="743" t="str">
        <f t="shared" si="1367"/>
        <v/>
      </c>
      <c r="BD3917" s="743" t="str">
        <f t="shared" si="1368"/>
        <v/>
      </c>
      <c r="BE3917" s="743" t="str">
        <f>IF(D3917="","",VLOOKUP(D3917,'General Basis'!$J$39:$K$46,2,0))</f>
        <v/>
      </c>
      <c r="BF3917" s="744" t="str">
        <f>IF(D3917="","",VLOOKUP(D3917,'General Basis'!$J$39:$L$46,3,0))</f>
        <v/>
      </c>
      <c r="BG3917" s="744" t="str">
        <f t="shared" si="1375"/>
        <v/>
      </c>
      <c r="BH3917" s="744" t="str">
        <f>IF(G3917="","",IF(BF3917="Abu Dhabi",IF(G3917&lt;18,'General Basis'!$C$39,IF(G3917&lt;41,'General Basis'!$C$40,IF(G3917&lt;60,'General Basis'!$C$41,IF(G3917&lt;65,'General Basis'!$C$42,'General Basis'!$C$43)))),IF(G3917&lt;11,'General Basis'!$B$39,IF(G3917&lt;18,'General Basis'!$B$40,IF(G3917&lt;26,'General Basis'!$B$41,IF(G3917&lt;31,'General Basis'!$B$42,IF(G3917&lt;36,'General Basis'!$B$43,IF(G3917&lt;41,'General Basis'!$B$44,IF(G3917&lt;46,'General Basis'!$B$45,IF(G3917&lt;51,'General Basis'!$B$46,IF(G3917&lt;56,'General Basis'!$B$47,IF(G3917&lt;60,'General Basis'!$B$48,IF(G3917&lt;65,'General Basis'!$B$49,'General Basis'!$B$50)))))))))))))</f>
        <v/>
      </c>
      <c r="BI3917" s="744" t="str">
        <f t="shared" si="1369"/>
        <v/>
      </c>
      <c r="BJ3917" s="747" t="str">
        <f t="shared" si="1376"/>
        <v/>
      </c>
      <c r="BK3917" s="498" t="str">
        <f t="shared" si="1370"/>
        <v/>
      </c>
      <c r="BL3917" s="498" t="str">
        <f t="shared" si="1371"/>
        <v/>
      </c>
    </row>
    <row r="3918" spans="1:64" x14ac:dyDescent="0.25">
      <c r="A3918" s="762">
        <f t="shared" si="1372"/>
        <v>3913</v>
      </c>
      <c r="B3918" s="229"/>
      <c r="C3918" s="223"/>
      <c r="D3918" s="224"/>
      <c r="E3918" s="225"/>
      <c r="F3918" s="1036" t="str">
        <f t="shared" si="1356"/>
        <v/>
      </c>
      <c r="G3918" s="1037" t="str">
        <f t="shared" si="1373"/>
        <v/>
      </c>
      <c r="H3918" s="225"/>
      <c r="I3918" s="1013"/>
      <c r="J3918" s="1013"/>
      <c r="K3918" s="1028"/>
      <c r="L3918" s="1035" t="str">
        <f t="shared" si="1377"/>
        <v/>
      </c>
      <c r="S3918" s="498"/>
      <c r="AJ3918" s="498"/>
      <c r="AM3918" s="498">
        <f t="shared" si="1358"/>
        <v>0</v>
      </c>
      <c r="AN3918" s="498">
        <f t="shared" si="1359"/>
        <v>0</v>
      </c>
      <c r="AO3918" s="498">
        <f t="shared" si="1360"/>
        <v>0</v>
      </c>
      <c r="AP3918" s="498">
        <f t="shared" si="1357"/>
        <v>0</v>
      </c>
      <c r="AQ3918" s="498">
        <f t="shared" si="1374"/>
        <v>0</v>
      </c>
      <c r="AU3918" s="498">
        <f t="shared" si="1361"/>
        <v>0</v>
      </c>
      <c r="AV3918" s="498">
        <f t="shared" si="1362"/>
        <v>0</v>
      </c>
      <c r="AW3918" s="498">
        <f t="shared" si="1363"/>
        <v>0</v>
      </c>
      <c r="AX3918" s="498">
        <f t="shared" si="1364"/>
        <v>0</v>
      </c>
      <c r="AY3918" s="498">
        <f t="shared" si="1365"/>
        <v>0</v>
      </c>
      <c r="BB3918" s="498" t="str">
        <f t="shared" si="1366"/>
        <v/>
      </c>
      <c r="BC3918" s="743" t="str">
        <f t="shared" si="1367"/>
        <v/>
      </c>
      <c r="BD3918" s="743" t="str">
        <f t="shared" si="1368"/>
        <v/>
      </c>
      <c r="BE3918" s="743" t="str">
        <f>IF(D3918="","",VLOOKUP(D3918,'General Basis'!$J$39:$K$46,2,0))</f>
        <v/>
      </c>
      <c r="BF3918" s="744" t="str">
        <f>IF(D3918="","",VLOOKUP(D3918,'General Basis'!$J$39:$L$46,3,0))</f>
        <v/>
      </c>
      <c r="BG3918" s="744" t="str">
        <f t="shared" si="1375"/>
        <v/>
      </c>
      <c r="BH3918" s="744" t="str">
        <f>IF(G3918="","",IF(BF3918="Abu Dhabi",IF(G3918&lt;18,'General Basis'!$C$39,IF(G3918&lt;41,'General Basis'!$C$40,IF(G3918&lt;60,'General Basis'!$C$41,IF(G3918&lt;65,'General Basis'!$C$42,'General Basis'!$C$43)))),IF(G3918&lt;11,'General Basis'!$B$39,IF(G3918&lt;18,'General Basis'!$B$40,IF(G3918&lt;26,'General Basis'!$B$41,IF(G3918&lt;31,'General Basis'!$B$42,IF(G3918&lt;36,'General Basis'!$B$43,IF(G3918&lt;41,'General Basis'!$B$44,IF(G3918&lt;46,'General Basis'!$B$45,IF(G3918&lt;51,'General Basis'!$B$46,IF(G3918&lt;56,'General Basis'!$B$47,IF(G3918&lt;60,'General Basis'!$B$48,IF(G3918&lt;65,'General Basis'!$B$49,'General Basis'!$B$50)))))))))))))</f>
        <v/>
      </c>
      <c r="BI3918" s="744" t="str">
        <f t="shared" si="1369"/>
        <v/>
      </c>
      <c r="BJ3918" s="747" t="str">
        <f t="shared" si="1376"/>
        <v/>
      </c>
      <c r="BK3918" s="498" t="str">
        <f t="shared" si="1370"/>
        <v/>
      </c>
      <c r="BL3918" s="498" t="str">
        <f t="shared" si="1371"/>
        <v/>
      </c>
    </row>
    <row r="3919" spans="1:64" x14ac:dyDescent="0.25">
      <c r="A3919" s="762">
        <f t="shared" si="1372"/>
        <v>3914</v>
      </c>
      <c r="B3919" s="229"/>
      <c r="C3919" s="223"/>
      <c r="D3919" s="224"/>
      <c r="E3919" s="225"/>
      <c r="F3919" s="1036" t="str">
        <f t="shared" si="1356"/>
        <v/>
      </c>
      <c r="G3919" s="1037" t="str">
        <f t="shared" si="1373"/>
        <v/>
      </c>
      <c r="H3919" s="225"/>
      <c r="I3919" s="1013"/>
      <c r="J3919" s="1013"/>
      <c r="K3919" s="1028"/>
      <c r="L3919" s="1035" t="str">
        <f t="shared" si="1377"/>
        <v/>
      </c>
      <c r="S3919" s="498"/>
      <c r="AJ3919" s="498"/>
      <c r="AM3919" s="498">
        <f t="shared" si="1358"/>
        <v>0</v>
      </c>
      <c r="AN3919" s="498">
        <f t="shared" si="1359"/>
        <v>0</v>
      </c>
      <c r="AO3919" s="498">
        <f t="shared" si="1360"/>
        <v>0</v>
      </c>
      <c r="AP3919" s="498">
        <f t="shared" si="1357"/>
        <v>0</v>
      </c>
      <c r="AQ3919" s="498">
        <f t="shared" si="1374"/>
        <v>0</v>
      </c>
      <c r="AU3919" s="498">
        <f t="shared" si="1361"/>
        <v>0</v>
      </c>
      <c r="AV3919" s="498">
        <f t="shared" si="1362"/>
        <v>0</v>
      </c>
      <c r="AW3919" s="498">
        <f t="shared" si="1363"/>
        <v>0</v>
      </c>
      <c r="AX3919" s="498">
        <f t="shared" si="1364"/>
        <v>0</v>
      </c>
      <c r="AY3919" s="498">
        <f t="shared" si="1365"/>
        <v>0</v>
      </c>
      <c r="BB3919" s="498" t="str">
        <f t="shared" si="1366"/>
        <v/>
      </c>
      <c r="BC3919" s="743" t="str">
        <f t="shared" si="1367"/>
        <v/>
      </c>
      <c r="BD3919" s="743" t="str">
        <f t="shared" si="1368"/>
        <v/>
      </c>
      <c r="BE3919" s="743" t="str">
        <f>IF(D3919="","",VLOOKUP(D3919,'General Basis'!$J$39:$K$46,2,0))</f>
        <v/>
      </c>
      <c r="BF3919" s="744" t="str">
        <f>IF(D3919="","",VLOOKUP(D3919,'General Basis'!$J$39:$L$46,3,0))</f>
        <v/>
      </c>
      <c r="BG3919" s="744" t="str">
        <f t="shared" si="1375"/>
        <v/>
      </c>
      <c r="BH3919" s="744" t="str">
        <f>IF(G3919="","",IF(BF3919="Abu Dhabi",IF(G3919&lt;18,'General Basis'!$C$39,IF(G3919&lt;41,'General Basis'!$C$40,IF(G3919&lt;60,'General Basis'!$C$41,IF(G3919&lt;65,'General Basis'!$C$42,'General Basis'!$C$43)))),IF(G3919&lt;11,'General Basis'!$B$39,IF(G3919&lt;18,'General Basis'!$B$40,IF(G3919&lt;26,'General Basis'!$B$41,IF(G3919&lt;31,'General Basis'!$B$42,IF(G3919&lt;36,'General Basis'!$B$43,IF(G3919&lt;41,'General Basis'!$B$44,IF(G3919&lt;46,'General Basis'!$B$45,IF(G3919&lt;51,'General Basis'!$B$46,IF(G3919&lt;56,'General Basis'!$B$47,IF(G3919&lt;60,'General Basis'!$B$48,IF(G3919&lt;65,'General Basis'!$B$49,'General Basis'!$B$50)))))))))))))</f>
        <v/>
      </c>
      <c r="BI3919" s="744" t="str">
        <f t="shared" si="1369"/>
        <v/>
      </c>
      <c r="BJ3919" s="747" t="str">
        <f t="shared" si="1376"/>
        <v/>
      </c>
      <c r="BK3919" s="498" t="str">
        <f t="shared" si="1370"/>
        <v/>
      </c>
      <c r="BL3919" s="498" t="str">
        <f t="shared" si="1371"/>
        <v/>
      </c>
    </row>
    <row r="3920" spans="1:64" x14ac:dyDescent="0.25">
      <c r="A3920" s="762">
        <f t="shared" si="1372"/>
        <v>3915</v>
      </c>
      <c r="B3920" s="229"/>
      <c r="C3920" s="223"/>
      <c r="D3920" s="224"/>
      <c r="E3920" s="225"/>
      <c r="F3920" s="1036" t="str">
        <f t="shared" ref="F3920:F3983" si="1378">IF(C3920="","",IF($B3920="","",((YEAR($F$3)-YEAR($B3920))+(MONTH($F$3)-MONTH($B3920))/12+(DAY($F$3)-DAY($B3920))/(DATE(YEAR($F$3),12,31)-DATE(YEAR($F$3),1,1)+1))))</f>
        <v/>
      </c>
      <c r="G3920" s="1037" t="str">
        <f t="shared" si="1373"/>
        <v/>
      </c>
      <c r="H3920" s="225"/>
      <c r="I3920" s="1013"/>
      <c r="J3920" s="1013"/>
      <c r="K3920" s="1028"/>
      <c r="L3920" s="1035" t="str">
        <f t="shared" si="1377"/>
        <v/>
      </c>
      <c r="S3920" s="498"/>
      <c r="AJ3920" s="498"/>
      <c r="AM3920" s="498">
        <f t="shared" si="1358"/>
        <v>0</v>
      </c>
      <c r="AN3920" s="498">
        <f t="shared" si="1359"/>
        <v>0</v>
      </c>
      <c r="AO3920" s="498">
        <f t="shared" si="1360"/>
        <v>0</v>
      </c>
      <c r="AP3920" s="498">
        <f t="shared" si="1357"/>
        <v>0</v>
      </c>
      <c r="AQ3920" s="498">
        <f t="shared" si="1374"/>
        <v>0</v>
      </c>
      <c r="AU3920" s="498">
        <f t="shared" si="1361"/>
        <v>0</v>
      </c>
      <c r="AV3920" s="498">
        <f t="shared" si="1362"/>
        <v>0</v>
      </c>
      <c r="AW3920" s="498">
        <f t="shared" si="1363"/>
        <v>0</v>
      </c>
      <c r="AX3920" s="498">
        <f t="shared" si="1364"/>
        <v>0</v>
      </c>
      <c r="AY3920" s="498">
        <f t="shared" si="1365"/>
        <v>0</v>
      </c>
      <c r="BB3920" s="498" t="str">
        <f t="shared" si="1366"/>
        <v/>
      </c>
      <c r="BC3920" s="743" t="str">
        <f t="shared" si="1367"/>
        <v/>
      </c>
      <c r="BD3920" s="743" t="str">
        <f t="shared" si="1368"/>
        <v/>
      </c>
      <c r="BE3920" s="743" t="str">
        <f>IF(D3920="","",VLOOKUP(D3920,'General Basis'!$J$39:$K$46,2,0))</f>
        <v/>
      </c>
      <c r="BF3920" s="744" t="str">
        <f>IF(D3920="","",VLOOKUP(D3920,'General Basis'!$J$39:$L$46,3,0))</f>
        <v/>
      </c>
      <c r="BG3920" s="744" t="str">
        <f t="shared" si="1375"/>
        <v/>
      </c>
      <c r="BH3920" s="744" t="str">
        <f>IF(G3920="","",IF(BF3920="Abu Dhabi",IF(G3920&lt;18,'General Basis'!$C$39,IF(G3920&lt;41,'General Basis'!$C$40,IF(G3920&lt;60,'General Basis'!$C$41,IF(G3920&lt;65,'General Basis'!$C$42,'General Basis'!$C$43)))),IF(G3920&lt;11,'General Basis'!$B$39,IF(G3920&lt;18,'General Basis'!$B$40,IF(G3920&lt;26,'General Basis'!$B$41,IF(G3920&lt;31,'General Basis'!$B$42,IF(G3920&lt;36,'General Basis'!$B$43,IF(G3920&lt;41,'General Basis'!$B$44,IF(G3920&lt;46,'General Basis'!$B$45,IF(G3920&lt;51,'General Basis'!$B$46,IF(G3920&lt;56,'General Basis'!$B$47,IF(G3920&lt;60,'General Basis'!$B$48,IF(G3920&lt;65,'General Basis'!$B$49,'General Basis'!$B$50)))))))))))))</f>
        <v/>
      </c>
      <c r="BI3920" s="744" t="str">
        <f t="shared" si="1369"/>
        <v/>
      </c>
      <c r="BJ3920" s="747" t="str">
        <f t="shared" si="1376"/>
        <v/>
      </c>
      <c r="BK3920" s="498" t="str">
        <f t="shared" si="1370"/>
        <v/>
      </c>
      <c r="BL3920" s="498" t="str">
        <f t="shared" si="1371"/>
        <v/>
      </c>
    </row>
    <row r="3921" spans="1:64" x14ac:dyDescent="0.25">
      <c r="A3921" s="762">
        <f t="shared" si="1372"/>
        <v>3916</v>
      </c>
      <c r="B3921" s="229"/>
      <c r="C3921" s="223"/>
      <c r="D3921" s="224"/>
      <c r="E3921" s="225"/>
      <c r="F3921" s="1036" t="str">
        <f t="shared" si="1378"/>
        <v/>
      </c>
      <c r="G3921" s="1037" t="str">
        <f t="shared" si="1373"/>
        <v/>
      </c>
      <c r="H3921" s="225"/>
      <c r="I3921" s="1013"/>
      <c r="J3921" s="1013"/>
      <c r="K3921" s="1028"/>
      <c r="L3921" s="1035" t="str">
        <f t="shared" si="1377"/>
        <v/>
      </c>
      <c r="S3921" s="498"/>
      <c r="AJ3921" s="498"/>
      <c r="AM3921" s="498">
        <f t="shared" si="1358"/>
        <v>0</v>
      </c>
      <c r="AN3921" s="498">
        <f t="shared" si="1359"/>
        <v>0</v>
      </c>
      <c r="AO3921" s="498">
        <f t="shared" si="1360"/>
        <v>0</v>
      </c>
      <c r="AP3921" s="498">
        <f t="shared" si="1357"/>
        <v>0</v>
      </c>
      <c r="AQ3921" s="498">
        <f t="shared" si="1374"/>
        <v>0</v>
      </c>
      <c r="AU3921" s="498">
        <f t="shared" si="1361"/>
        <v>0</v>
      </c>
      <c r="AV3921" s="498">
        <f t="shared" si="1362"/>
        <v>0</v>
      </c>
      <c r="AW3921" s="498">
        <f t="shared" si="1363"/>
        <v>0</v>
      </c>
      <c r="AX3921" s="498">
        <f t="shared" si="1364"/>
        <v>0</v>
      </c>
      <c r="AY3921" s="498">
        <f t="shared" si="1365"/>
        <v>0</v>
      </c>
      <c r="BB3921" s="498" t="str">
        <f t="shared" si="1366"/>
        <v/>
      </c>
      <c r="BC3921" s="743" t="str">
        <f t="shared" si="1367"/>
        <v/>
      </c>
      <c r="BD3921" s="743" t="str">
        <f t="shared" si="1368"/>
        <v/>
      </c>
      <c r="BE3921" s="743" t="str">
        <f>IF(D3921="","",VLOOKUP(D3921,'General Basis'!$J$39:$K$46,2,0))</f>
        <v/>
      </c>
      <c r="BF3921" s="744" t="str">
        <f>IF(D3921="","",VLOOKUP(D3921,'General Basis'!$J$39:$L$46,3,0))</f>
        <v/>
      </c>
      <c r="BG3921" s="744" t="str">
        <f t="shared" si="1375"/>
        <v/>
      </c>
      <c r="BH3921" s="744" t="str">
        <f>IF(G3921="","",IF(BF3921="Abu Dhabi",IF(G3921&lt;18,'General Basis'!$C$39,IF(G3921&lt;41,'General Basis'!$C$40,IF(G3921&lt;60,'General Basis'!$C$41,IF(G3921&lt;65,'General Basis'!$C$42,'General Basis'!$C$43)))),IF(G3921&lt;11,'General Basis'!$B$39,IF(G3921&lt;18,'General Basis'!$B$40,IF(G3921&lt;26,'General Basis'!$B$41,IF(G3921&lt;31,'General Basis'!$B$42,IF(G3921&lt;36,'General Basis'!$B$43,IF(G3921&lt;41,'General Basis'!$B$44,IF(G3921&lt;46,'General Basis'!$B$45,IF(G3921&lt;51,'General Basis'!$B$46,IF(G3921&lt;56,'General Basis'!$B$47,IF(G3921&lt;60,'General Basis'!$B$48,IF(G3921&lt;65,'General Basis'!$B$49,'General Basis'!$B$50)))))))))))))</f>
        <v/>
      </c>
      <c r="BI3921" s="744" t="str">
        <f t="shared" si="1369"/>
        <v/>
      </c>
      <c r="BJ3921" s="747" t="str">
        <f t="shared" si="1376"/>
        <v/>
      </c>
      <c r="BK3921" s="498" t="str">
        <f t="shared" si="1370"/>
        <v/>
      </c>
      <c r="BL3921" s="498" t="str">
        <f t="shared" si="1371"/>
        <v/>
      </c>
    </row>
    <row r="3922" spans="1:64" x14ac:dyDescent="0.25">
      <c r="A3922" s="762">
        <f t="shared" si="1372"/>
        <v>3917</v>
      </c>
      <c r="B3922" s="229"/>
      <c r="C3922" s="223"/>
      <c r="D3922" s="224"/>
      <c r="E3922" s="225"/>
      <c r="F3922" s="1036" t="str">
        <f t="shared" si="1378"/>
        <v/>
      </c>
      <c r="G3922" s="1037" t="str">
        <f t="shared" si="1373"/>
        <v/>
      </c>
      <c r="H3922" s="225"/>
      <c r="I3922" s="1013"/>
      <c r="J3922" s="1013"/>
      <c r="K3922" s="1028"/>
      <c r="L3922" s="1035" t="str">
        <f t="shared" si="1377"/>
        <v/>
      </c>
      <c r="S3922" s="498"/>
      <c r="AJ3922" s="498"/>
      <c r="AM3922" s="498">
        <f t="shared" si="1358"/>
        <v>0</v>
      </c>
      <c r="AN3922" s="498">
        <f t="shared" si="1359"/>
        <v>0</v>
      </c>
      <c r="AO3922" s="498">
        <f t="shared" si="1360"/>
        <v>0</v>
      </c>
      <c r="AP3922" s="498">
        <f t="shared" si="1357"/>
        <v>0</v>
      </c>
      <c r="AQ3922" s="498">
        <f t="shared" si="1374"/>
        <v>0</v>
      </c>
      <c r="AU3922" s="498">
        <f t="shared" si="1361"/>
        <v>0</v>
      </c>
      <c r="AV3922" s="498">
        <f t="shared" si="1362"/>
        <v>0</v>
      </c>
      <c r="AW3922" s="498">
        <f t="shared" si="1363"/>
        <v>0</v>
      </c>
      <c r="AX3922" s="498">
        <f t="shared" si="1364"/>
        <v>0</v>
      </c>
      <c r="AY3922" s="498">
        <f t="shared" si="1365"/>
        <v>0</v>
      </c>
      <c r="BB3922" s="498" t="str">
        <f t="shared" si="1366"/>
        <v/>
      </c>
      <c r="BC3922" s="743" t="str">
        <f t="shared" si="1367"/>
        <v/>
      </c>
      <c r="BD3922" s="743" t="str">
        <f t="shared" si="1368"/>
        <v/>
      </c>
      <c r="BE3922" s="743" t="str">
        <f>IF(D3922="","",VLOOKUP(D3922,'General Basis'!$J$39:$K$46,2,0))</f>
        <v/>
      </c>
      <c r="BF3922" s="744" t="str">
        <f>IF(D3922="","",VLOOKUP(D3922,'General Basis'!$J$39:$L$46,3,0))</f>
        <v/>
      </c>
      <c r="BG3922" s="744" t="str">
        <f t="shared" si="1375"/>
        <v/>
      </c>
      <c r="BH3922" s="744" t="str">
        <f>IF(G3922="","",IF(BF3922="Abu Dhabi",IF(G3922&lt;18,'General Basis'!$C$39,IF(G3922&lt;41,'General Basis'!$C$40,IF(G3922&lt;60,'General Basis'!$C$41,IF(G3922&lt;65,'General Basis'!$C$42,'General Basis'!$C$43)))),IF(G3922&lt;11,'General Basis'!$B$39,IF(G3922&lt;18,'General Basis'!$B$40,IF(G3922&lt;26,'General Basis'!$B$41,IF(G3922&lt;31,'General Basis'!$B$42,IF(G3922&lt;36,'General Basis'!$B$43,IF(G3922&lt;41,'General Basis'!$B$44,IF(G3922&lt;46,'General Basis'!$B$45,IF(G3922&lt;51,'General Basis'!$B$46,IF(G3922&lt;56,'General Basis'!$B$47,IF(G3922&lt;60,'General Basis'!$B$48,IF(G3922&lt;65,'General Basis'!$B$49,'General Basis'!$B$50)))))))))))))</f>
        <v/>
      </c>
      <c r="BI3922" s="744" t="str">
        <f t="shared" si="1369"/>
        <v/>
      </c>
      <c r="BJ3922" s="747" t="str">
        <f t="shared" si="1376"/>
        <v/>
      </c>
      <c r="BK3922" s="498" t="str">
        <f t="shared" si="1370"/>
        <v/>
      </c>
      <c r="BL3922" s="498" t="str">
        <f t="shared" si="1371"/>
        <v/>
      </c>
    </row>
    <row r="3923" spans="1:64" x14ac:dyDescent="0.25">
      <c r="A3923" s="762">
        <f t="shared" si="1372"/>
        <v>3918</v>
      </c>
      <c r="B3923" s="229"/>
      <c r="C3923" s="223"/>
      <c r="D3923" s="224"/>
      <c r="E3923" s="225"/>
      <c r="F3923" s="1036" t="str">
        <f t="shared" si="1378"/>
        <v/>
      </c>
      <c r="G3923" s="1037" t="str">
        <f t="shared" si="1373"/>
        <v/>
      </c>
      <c r="H3923" s="225"/>
      <c r="I3923" s="1013"/>
      <c r="J3923" s="1013"/>
      <c r="K3923" s="1028"/>
      <c r="L3923" s="1035" t="str">
        <f t="shared" si="1377"/>
        <v/>
      </c>
      <c r="S3923" s="498"/>
      <c r="AJ3923" s="498"/>
      <c r="AM3923" s="498">
        <f t="shared" si="1358"/>
        <v>0</v>
      </c>
      <c r="AN3923" s="498">
        <f t="shared" si="1359"/>
        <v>0</v>
      </c>
      <c r="AO3923" s="498">
        <f t="shared" si="1360"/>
        <v>0</v>
      </c>
      <c r="AP3923" s="498">
        <f t="shared" ref="AP3923:AP3986" si="1379">IF(ISBLANK($B3923),0,IF(OR($C3923="M",$C3923="F"),0,1))</f>
        <v>0</v>
      </c>
      <c r="AQ3923" s="498">
        <f t="shared" si="1374"/>
        <v>0</v>
      </c>
      <c r="AU3923" s="498">
        <f t="shared" si="1361"/>
        <v>0</v>
      </c>
      <c r="AV3923" s="498">
        <f t="shared" si="1362"/>
        <v>0</v>
      </c>
      <c r="AW3923" s="498">
        <f t="shared" si="1363"/>
        <v>0</v>
      </c>
      <c r="AX3923" s="498">
        <f t="shared" si="1364"/>
        <v>0</v>
      </c>
      <c r="AY3923" s="498">
        <f t="shared" si="1365"/>
        <v>0</v>
      </c>
      <c r="BB3923" s="498" t="str">
        <f t="shared" si="1366"/>
        <v/>
      </c>
      <c r="BC3923" s="743" t="str">
        <f t="shared" si="1367"/>
        <v/>
      </c>
      <c r="BD3923" s="743" t="str">
        <f t="shared" si="1368"/>
        <v/>
      </c>
      <c r="BE3923" s="743" t="str">
        <f>IF(D3923="","",VLOOKUP(D3923,'General Basis'!$J$39:$K$46,2,0))</f>
        <v/>
      </c>
      <c r="BF3923" s="744" t="str">
        <f>IF(D3923="","",VLOOKUP(D3923,'General Basis'!$J$39:$L$46,3,0))</f>
        <v/>
      </c>
      <c r="BG3923" s="744" t="str">
        <f t="shared" si="1375"/>
        <v/>
      </c>
      <c r="BH3923" s="744" t="str">
        <f>IF(G3923="","",IF(BF3923="Abu Dhabi",IF(G3923&lt;18,'General Basis'!$C$39,IF(G3923&lt;41,'General Basis'!$C$40,IF(G3923&lt;60,'General Basis'!$C$41,IF(G3923&lt;65,'General Basis'!$C$42,'General Basis'!$C$43)))),IF(G3923&lt;11,'General Basis'!$B$39,IF(G3923&lt;18,'General Basis'!$B$40,IF(G3923&lt;26,'General Basis'!$B$41,IF(G3923&lt;31,'General Basis'!$B$42,IF(G3923&lt;36,'General Basis'!$B$43,IF(G3923&lt;41,'General Basis'!$B$44,IF(G3923&lt;46,'General Basis'!$B$45,IF(G3923&lt;51,'General Basis'!$B$46,IF(G3923&lt;56,'General Basis'!$B$47,IF(G3923&lt;60,'General Basis'!$B$48,IF(G3923&lt;65,'General Basis'!$B$49,'General Basis'!$B$50)))))))))))))</f>
        <v/>
      </c>
      <c r="BI3923" s="744" t="str">
        <f t="shared" si="1369"/>
        <v/>
      </c>
      <c r="BJ3923" s="747" t="str">
        <f t="shared" si="1376"/>
        <v/>
      </c>
      <c r="BK3923" s="498" t="str">
        <f t="shared" si="1370"/>
        <v/>
      </c>
      <c r="BL3923" s="498" t="str">
        <f t="shared" si="1371"/>
        <v/>
      </c>
    </row>
    <row r="3924" spans="1:64" x14ac:dyDescent="0.25">
      <c r="A3924" s="762">
        <f t="shared" si="1372"/>
        <v>3919</v>
      </c>
      <c r="B3924" s="229"/>
      <c r="C3924" s="223"/>
      <c r="D3924" s="224"/>
      <c r="E3924" s="225"/>
      <c r="F3924" s="1036" t="str">
        <f t="shared" si="1378"/>
        <v/>
      </c>
      <c r="G3924" s="1037" t="str">
        <f t="shared" si="1373"/>
        <v/>
      </c>
      <c r="H3924" s="225"/>
      <c r="I3924" s="1013"/>
      <c r="J3924" s="1013"/>
      <c r="K3924" s="1028"/>
      <c r="L3924" s="1035" t="str">
        <f t="shared" si="1377"/>
        <v/>
      </c>
      <c r="S3924" s="498"/>
      <c r="AJ3924" s="498"/>
      <c r="AM3924" s="498">
        <f t="shared" si="1358"/>
        <v>0</v>
      </c>
      <c r="AN3924" s="498">
        <f t="shared" si="1359"/>
        <v>0</v>
      </c>
      <c r="AO3924" s="498">
        <f t="shared" si="1360"/>
        <v>0</v>
      </c>
      <c r="AP3924" s="498">
        <f t="shared" si="1379"/>
        <v>0</v>
      </c>
      <c r="AQ3924" s="498">
        <f t="shared" si="1374"/>
        <v>0</v>
      </c>
      <c r="AU3924" s="498">
        <f t="shared" si="1361"/>
        <v>0</v>
      </c>
      <c r="AV3924" s="498">
        <f t="shared" si="1362"/>
        <v>0</v>
      </c>
      <c r="AW3924" s="498">
        <f t="shared" si="1363"/>
        <v>0</v>
      </c>
      <c r="AX3924" s="498">
        <f t="shared" si="1364"/>
        <v>0</v>
      </c>
      <c r="AY3924" s="498">
        <f t="shared" si="1365"/>
        <v>0</v>
      </c>
      <c r="BB3924" s="498" t="str">
        <f t="shared" si="1366"/>
        <v/>
      </c>
      <c r="BC3924" s="743" t="str">
        <f t="shared" si="1367"/>
        <v/>
      </c>
      <c r="BD3924" s="743" t="str">
        <f t="shared" si="1368"/>
        <v/>
      </c>
      <c r="BE3924" s="743" t="str">
        <f>IF(D3924="","",VLOOKUP(D3924,'General Basis'!$J$39:$K$46,2,0))</f>
        <v/>
      </c>
      <c r="BF3924" s="744" t="str">
        <f>IF(D3924="","",VLOOKUP(D3924,'General Basis'!$J$39:$L$46,3,0))</f>
        <v/>
      </c>
      <c r="BG3924" s="744" t="str">
        <f t="shared" si="1375"/>
        <v/>
      </c>
      <c r="BH3924" s="744" t="str">
        <f>IF(G3924="","",IF(BF3924="Abu Dhabi",IF(G3924&lt;18,'General Basis'!$C$39,IF(G3924&lt;41,'General Basis'!$C$40,IF(G3924&lt;60,'General Basis'!$C$41,IF(G3924&lt;65,'General Basis'!$C$42,'General Basis'!$C$43)))),IF(G3924&lt;11,'General Basis'!$B$39,IF(G3924&lt;18,'General Basis'!$B$40,IF(G3924&lt;26,'General Basis'!$B$41,IF(G3924&lt;31,'General Basis'!$B$42,IF(G3924&lt;36,'General Basis'!$B$43,IF(G3924&lt;41,'General Basis'!$B$44,IF(G3924&lt;46,'General Basis'!$B$45,IF(G3924&lt;51,'General Basis'!$B$46,IF(G3924&lt;56,'General Basis'!$B$47,IF(G3924&lt;60,'General Basis'!$B$48,IF(G3924&lt;65,'General Basis'!$B$49,'General Basis'!$B$50)))))))))))))</f>
        <v/>
      </c>
      <c r="BI3924" s="744" t="str">
        <f t="shared" si="1369"/>
        <v/>
      </c>
      <c r="BJ3924" s="747" t="str">
        <f t="shared" si="1376"/>
        <v/>
      </c>
      <c r="BK3924" s="498" t="str">
        <f t="shared" si="1370"/>
        <v/>
      </c>
      <c r="BL3924" s="498" t="str">
        <f t="shared" si="1371"/>
        <v/>
      </c>
    </row>
    <row r="3925" spans="1:64" x14ac:dyDescent="0.25">
      <c r="A3925" s="762">
        <f t="shared" si="1372"/>
        <v>3920</v>
      </c>
      <c r="B3925" s="229"/>
      <c r="C3925" s="223"/>
      <c r="D3925" s="224"/>
      <c r="E3925" s="225"/>
      <c r="F3925" s="1036" t="str">
        <f t="shared" si="1378"/>
        <v/>
      </c>
      <c r="G3925" s="1037" t="str">
        <f t="shared" si="1373"/>
        <v/>
      </c>
      <c r="H3925" s="225"/>
      <c r="I3925" s="1013"/>
      <c r="J3925" s="1013"/>
      <c r="K3925" s="1028"/>
      <c r="L3925" s="1035" t="str">
        <f t="shared" si="1377"/>
        <v/>
      </c>
      <c r="S3925" s="498"/>
      <c r="AJ3925" s="498"/>
      <c r="AM3925" s="498">
        <f t="shared" si="1358"/>
        <v>0</v>
      </c>
      <c r="AN3925" s="498">
        <f t="shared" si="1359"/>
        <v>0</v>
      </c>
      <c r="AO3925" s="498">
        <f t="shared" si="1360"/>
        <v>0</v>
      </c>
      <c r="AP3925" s="498">
        <f t="shared" si="1379"/>
        <v>0</v>
      </c>
      <c r="AQ3925" s="498">
        <f t="shared" si="1374"/>
        <v>0</v>
      </c>
      <c r="AU3925" s="498">
        <f t="shared" si="1361"/>
        <v>0</v>
      </c>
      <c r="AV3925" s="498">
        <f t="shared" si="1362"/>
        <v>0</v>
      </c>
      <c r="AW3925" s="498">
        <f t="shared" si="1363"/>
        <v>0</v>
      </c>
      <c r="AX3925" s="498">
        <f t="shared" si="1364"/>
        <v>0</v>
      </c>
      <c r="AY3925" s="498">
        <f t="shared" si="1365"/>
        <v>0</v>
      </c>
      <c r="BB3925" s="498" t="str">
        <f t="shared" si="1366"/>
        <v/>
      </c>
      <c r="BC3925" s="743" t="str">
        <f t="shared" si="1367"/>
        <v/>
      </c>
      <c r="BD3925" s="743" t="str">
        <f t="shared" si="1368"/>
        <v/>
      </c>
      <c r="BE3925" s="743" t="str">
        <f>IF(D3925="","",VLOOKUP(D3925,'General Basis'!$J$39:$K$46,2,0))</f>
        <v/>
      </c>
      <c r="BF3925" s="744" t="str">
        <f>IF(D3925="","",VLOOKUP(D3925,'General Basis'!$J$39:$L$46,3,0))</f>
        <v/>
      </c>
      <c r="BG3925" s="744" t="str">
        <f t="shared" si="1375"/>
        <v/>
      </c>
      <c r="BH3925" s="744" t="str">
        <f>IF(G3925="","",IF(BF3925="Abu Dhabi",IF(G3925&lt;18,'General Basis'!$C$39,IF(G3925&lt;41,'General Basis'!$C$40,IF(G3925&lt;60,'General Basis'!$C$41,IF(G3925&lt;65,'General Basis'!$C$42,'General Basis'!$C$43)))),IF(G3925&lt;11,'General Basis'!$B$39,IF(G3925&lt;18,'General Basis'!$B$40,IF(G3925&lt;26,'General Basis'!$B$41,IF(G3925&lt;31,'General Basis'!$B$42,IF(G3925&lt;36,'General Basis'!$B$43,IF(G3925&lt;41,'General Basis'!$B$44,IF(G3925&lt;46,'General Basis'!$B$45,IF(G3925&lt;51,'General Basis'!$B$46,IF(G3925&lt;56,'General Basis'!$B$47,IF(G3925&lt;60,'General Basis'!$B$48,IF(G3925&lt;65,'General Basis'!$B$49,'General Basis'!$B$50)))))))))))))</f>
        <v/>
      </c>
      <c r="BI3925" s="744" t="str">
        <f t="shared" si="1369"/>
        <v/>
      </c>
      <c r="BJ3925" s="747" t="str">
        <f t="shared" si="1376"/>
        <v/>
      </c>
      <c r="BK3925" s="498" t="str">
        <f t="shared" si="1370"/>
        <v/>
      </c>
      <c r="BL3925" s="498" t="str">
        <f t="shared" si="1371"/>
        <v/>
      </c>
    </row>
    <row r="3926" spans="1:64" x14ac:dyDescent="0.25">
      <c r="A3926" s="762">
        <f t="shared" si="1372"/>
        <v>3921</v>
      </c>
      <c r="B3926" s="229"/>
      <c r="C3926" s="223"/>
      <c r="D3926" s="224"/>
      <c r="E3926" s="225"/>
      <c r="F3926" s="1036" t="str">
        <f t="shared" si="1378"/>
        <v/>
      </c>
      <c r="G3926" s="1037" t="str">
        <f t="shared" si="1373"/>
        <v/>
      </c>
      <c r="H3926" s="225"/>
      <c r="I3926" s="1013"/>
      <c r="J3926" s="1013"/>
      <c r="K3926" s="1028"/>
      <c r="L3926" s="1035" t="str">
        <f t="shared" si="1377"/>
        <v/>
      </c>
      <c r="S3926" s="498"/>
      <c r="AJ3926" s="498"/>
      <c r="AM3926" s="498">
        <f t="shared" si="1358"/>
        <v>0</v>
      </c>
      <c r="AN3926" s="498">
        <f t="shared" si="1359"/>
        <v>0</v>
      </c>
      <c r="AO3926" s="498">
        <f t="shared" si="1360"/>
        <v>0</v>
      </c>
      <c r="AP3926" s="498">
        <f t="shared" si="1379"/>
        <v>0</v>
      </c>
      <c r="AQ3926" s="498">
        <f t="shared" si="1374"/>
        <v>0</v>
      </c>
      <c r="AU3926" s="498">
        <f t="shared" si="1361"/>
        <v>0</v>
      </c>
      <c r="AV3926" s="498">
        <f t="shared" si="1362"/>
        <v>0</v>
      </c>
      <c r="AW3926" s="498">
        <f t="shared" si="1363"/>
        <v>0</v>
      </c>
      <c r="AX3926" s="498">
        <f t="shared" si="1364"/>
        <v>0</v>
      </c>
      <c r="AY3926" s="498">
        <f t="shared" si="1365"/>
        <v>0</v>
      </c>
      <c r="BB3926" s="498" t="str">
        <f t="shared" si="1366"/>
        <v/>
      </c>
      <c r="BC3926" s="743" t="str">
        <f t="shared" si="1367"/>
        <v/>
      </c>
      <c r="BD3926" s="743" t="str">
        <f t="shared" si="1368"/>
        <v/>
      </c>
      <c r="BE3926" s="743" t="str">
        <f>IF(D3926="","",VLOOKUP(D3926,'General Basis'!$J$39:$K$46,2,0))</f>
        <v/>
      </c>
      <c r="BF3926" s="744" t="str">
        <f>IF(D3926="","",VLOOKUP(D3926,'General Basis'!$J$39:$L$46,3,0))</f>
        <v/>
      </c>
      <c r="BG3926" s="744" t="str">
        <f t="shared" si="1375"/>
        <v/>
      </c>
      <c r="BH3926" s="744" t="str">
        <f>IF(G3926="","",IF(BF3926="Abu Dhabi",IF(G3926&lt;18,'General Basis'!$C$39,IF(G3926&lt;41,'General Basis'!$C$40,IF(G3926&lt;60,'General Basis'!$C$41,IF(G3926&lt;65,'General Basis'!$C$42,'General Basis'!$C$43)))),IF(G3926&lt;11,'General Basis'!$B$39,IF(G3926&lt;18,'General Basis'!$B$40,IF(G3926&lt;26,'General Basis'!$B$41,IF(G3926&lt;31,'General Basis'!$B$42,IF(G3926&lt;36,'General Basis'!$B$43,IF(G3926&lt;41,'General Basis'!$B$44,IF(G3926&lt;46,'General Basis'!$B$45,IF(G3926&lt;51,'General Basis'!$B$46,IF(G3926&lt;56,'General Basis'!$B$47,IF(G3926&lt;60,'General Basis'!$B$48,IF(G3926&lt;65,'General Basis'!$B$49,'General Basis'!$B$50)))))))))))))</f>
        <v/>
      </c>
      <c r="BI3926" s="744" t="str">
        <f t="shared" si="1369"/>
        <v/>
      </c>
      <c r="BJ3926" s="747" t="str">
        <f t="shared" si="1376"/>
        <v/>
      </c>
      <c r="BK3926" s="498" t="str">
        <f t="shared" si="1370"/>
        <v/>
      </c>
      <c r="BL3926" s="498" t="str">
        <f t="shared" si="1371"/>
        <v/>
      </c>
    </row>
    <row r="3927" spans="1:64" x14ac:dyDescent="0.25">
      <c r="A3927" s="762">
        <f t="shared" si="1372"/>
        <v>3922</v>
      </c>
      <c r="B3927" s="229"/>
      <c r="C3927" s="223"/>
      <c r="D3927" s="224"/>
      <c r="E3927" s="225"/>
      <c r="F3927" s="1036" t="str">
        <f t="shared" si="1378"/>
        <v/>
      </c>
      <c r="G3927" s="1037" t="str">
        <f t="shared" si="1373"/>
        <v/>
      </c>
      <c r="H3927" s="225"/>
      <c r="I3927" s="1013"/>
      <c r="J3927" s="1013"/>
      <c r="K3927" s="1028"/>
      <c r="L3927" s="1035" t="str">
        <f t="shared" si="1377"/>
        <v/>
      </c>
      <c r="S3927" s="498"/>
      <c r="AJ3927" s="498"/>
      <c r="AM3927" s="498">
        <f t="shared" si="1358"/>
        <v>0</v>
      </c>
      <c r="AN3927" s="498">
        <f t="shared" si="1359"/>
        <v>0</v>
      </c>
      <c r="AO3927" s="498">
        <f t="shared" si="1360"/>
        <v>0</v>
      </c>
      <c r="AP3927" s="498">
        <f t="shared" si="1379"/>
        <v>0</v>
      </c>
      <c r="AQ3927" s="498">
        <f t="shared" si="1374"/>
        <v>0</v>
      </c>
      <c r="AU3927" s="498">
        <f t="shared" si="1361"/>
        <v>0</v>
      </c>
      <c r="AV3927" s="498">
        <f t="shared" si="1362"/>
        <v>0</v>
      </c>
      <c r="AW3927" s="498">
        <f t="shared" si="1363"/>
        <v>0</v>
      </c>
      <c r="AX3927" s="498">
        <f t="shared" si="1364"/>
        <v>0</v>
      </c>
      <c r="AY3927" s="498">
        <f t="shared" si="1365"/>
        <v>0</v>
      </c>
      <c r="BB3927" s="498" t="str">
        <f t="shared" si="1366"/>
        <v/>
      </c>
      <c r="BC3927" s="743" t="str">
        <f t="shared" si="1367"/>
        <v/>
      </c>
      <c r="BD3927" s="743" t="str">
        <f t="shared" si="1368"/>
        <v/>
      </c>
      <c r="BE3927" s="743" t="str">
        <f>IF(D3927="","",VLOOKUP(D3927,'General Basis'!$J$39:$K$46,2,0))</f>
        <v/>
      </c>
      <c r="BF3927" s="744" t="str">
        <f>IF(D3927="","",VLOOKUP(D3927,'General Basis'!$J$39:$L$46,3,0))</f>
        <v/>
      </c>
      <c r="BG3927" s="744" t="str">
        <f t="shared" si="1375"/>
        <v/>
      </c>
      <c r="BH3927" s="744" t="str">
        <f>IF(G3927="","",IF(BF3927="Abu Dhabi",IF(G3927&lt;18,'General Basis'!$C$39,IF(G3927&lt;41,'General Basis'!$C$40,IF(G3927&lt;60,'General Basis'!$C$41,IF(G3927&lt;65,'General Basis'!$C$42,'General Basis'!$C$43)))),IF(G3927&lt;11,'General Basis'!$B$39,IF(G3927&lt;18,'General Basis'!$B$40,IF(G3927&lt;26,'General Basis'!$B$41,IF(G3927&lt;31,'General Basis'!$B$42,IF(G3927&lt;36,'General Basis'!$B$43,IF(G3927&lt;41,'General Basis'!$B$44,IF(G3927&lt;46,'General Basis'!$B$45,IF(G3927&lt;51,'General Basis'!$B$46,IF(G3927&lt;56,'General Basis'!$B$47,IF(G3927&lt;60,'General Basis'!$B$48,IF(G3927&lt;65,'General Basis'!$B$49,'General Basis'!$B$50)))))))))))))</f>
        <v/>
      </c>
      <c r="BI3927" s="744" t="str">
        <f t="shared" si="1369"/>
        <v/>
      </c>
      <c r="BJ3927" s="747" t="str">
        <f t="shared" si="1376"/>
        <v/>
      </c>
      <c r="BK3927" s="498" t="str">
        <f t="shared" si="1370"/>
        <v/>
      </c>
      <c r="BL3927" s="498" t="str">
        <f t="shared" si="1371"/>
        <v/>
      </c>
    </row>
    <row r="3928" spans="1:64" x14ac:dyDescent="0.25">
      <c r="A3928" s="762">
        <f t="shared" si="1372"/>
        <v>3923</v>
      </c>
      <c r="B3928" s="229"/>
      <c r="C3928" s="223"/>
      <c r="D3928" s="224"/>
      <c r="E3928" s="225"/>
      <c r="F3928" s="1036" t="str">
        <f t="shared" si="1378"/>
        <v/>
      </c>
      <c r="G3928" s="1037" t="str">
        <f t="shared" si="1373"/>
        <v/>
      </c>
      <c r="H3928" s="225"/>
      <c r="I3928" s="1013"/>
      <c r="J3928" s="1013"/>
      <c r="K3928" s="1028"/>
      <c r="L3928" s="1035" t="str">
        <f t="shared" si="1377"/>
        <v/>
      </c>
      <c r="S3928" s="498"/>
      <c r="AJ3928" s="498"/>
      <c r="AM3928" s="498">
        <f t="shared" si="1358"/>
        <v>0</v>
      </c>
      <c r="AN3928" s="498">
        <f t="shared" si="1359"/>
        <v>0</v>
      </c>
      <c r="AO3928" s="498">
        <f t="shared" si="1360"/>
        <v>0</v>
      </c>
      <c r="AP3928" s="498">
        <f t="shared" si="1379"/>
        <v>0</v>
      </c>
      <c r="AQ3928" s="498">
        <f t="shared" si="1374"/>
        <v>0</v>
      </c>
      <c r="AU3928" s="498">
        <f t="shared" si="1361"/>
        <v>0</v>
      </c>
      <c r="AV3928" s="498">
        <f t="shared" si="1362"/>
        <v>0</v>
      </c>
      <c r="AW3928" s="498">
        <f t="shared" si="1363"/>
        <v>0</v>
      </c>
      <c r="AX3928" s="498">
        <f t="shared" si="1364"/>
        <v>0</v>
      </c>
      <c r="AY3928" s="498">
        <f t="shared" si="1365"/>
        <v>0</v>
      </c>
      <c r="BB3928" s="498" t="str">
        <f t="shared" si="1366"/>
        <v/>
      </c>
      <c r="BC3928" s="743" t="str">
        <f t="shared" si="1367"/>
        <v/>
      </c>
      <c r="BD3928" s="743" t="str">
        <f t="shared" si="1368"/>
        <v/>
      </c>
      <c r="BE3928" s="743" t="str">
        <f>IF(D3928="","",VLOOKUP(D3928,'General Basis'!$J$39:$K$46,2,0))</f>
        <v/>
      </c>
      <c r="BF3928" s="744" t="str">
        <f>IF(D3928="","",VLOOKUP(D3928,'General Basis'!$J$39:$L$46,3,0))</f>
        <v/>
      </c>
      <c r="BG3928" s="744" t="str">
        <f t="shared" si="1375"/>
        <v/>
      </c>
      <c r="BH3928" s="744" t="str">
        <f>IF(G3928="","",IF(BF3928="Abu Dhabi",IF(G3928&lt;18,'General Basis'!$C$39,IF(G3928&lt;41,'General Basis'!$C$40,IF(G3928&lt;60,'General Basis'!$C$41,IF(G3928&lt;65,'General Basis'!$C$42,'General Basis'!$C$43)))),IF(G3928&lt;11,'General Basis'!$B$39,IF(G3928&lt;18,'General Basis'!$B$40,IF(G3928&lt;26,'General Basis'!$B$41,IF(G3928&lt;31,'General Basis'!$B$42,IF(G3928&lt;36,'General Basis'!$B$43,IF(G3928&lt;41,'General Basis'!$B$44,IF(G3928&lt;46,'General Basis'!$B$45,IF(G3928&lt;51,'General Basis'!$B$46,IF(G3928&lt;56,'General Basis'!$B$47,IF(G3928&lt;60,'General Basis'!$B$48,IF(G3928&lt;65,'General Basis'!$B$49,'General Basis'!$B$50)))))))))))))</f>
        <v/>
      </c>
      <c r="BI3928" s="744" t="str">
        <f t="shared" si="1369"/>
        <v/>
      </c>
      <c r="BJ3928" s="747" t="str">
        <f t="shared" si="1376"/>
        <v/>
      </c>
      <c r="BK3928" s="498" t="str">
        <f t="shared" si="1370"/>
        <v/>
      </c>
      <c r="BL3928" s="498" t="str">
        <f t="shared" si="1371"/>
        <v/>
      </c>
    </row>
    <row r="3929" spans="1:64" x14ac:dyDescent="0.25">
      <c r="A3929" s="762">
        <f t="shared" si="1372"/>
        <v>3924</v>
      </c>
      <c r="B3929" s="229"/>
      <c r="C3929" s="223"/>
      <c r="D3929" s="224"/>
      <c r="E3929" s="225"/>
      <c r="F3929" s="1036" t="str">
        <f t="shared" si="1378"/>
        <v/>
      </c>
      <c r="G3929" s="1037" t="str">
        <f t="shared" si="1373"/>
        <v/>
      </c>
      <c r="H3929" s="225"/>
      <c r="I3929" s="1013"/>
      <c r="J3929" s="1013"/>
      <c r="K3929" s="1028"/>
      <c r="L3929" s="1035" t="str">
        <f t="shared" si="1377"/>
        <v/>
      </c>
      <c r="S3929" s="498"/>
      <c r="AJ3929" s="498"/>
      <c r="AM3929" s="498">
        <f t="shared" si="1358"/>
        <v>0</v>
      </c>
      <c r="AN3929" s="498">
        <f t="shared" si="1359"/>
        <v>0</v>
      </c>
      <c r="AO3929" s="498">
        <f t="shared" si="1360"/>
        <v>0</v>
      </c>
      <c r="AP3929" s="498">
        <f t="shared" si="1379"/>
        <v>0</v>
      </c>
      <c r="AQ3929" s="498">
        <f t="shared" si="1374"/>
        <v>0</v>
      </c>
      <c r="AU3929" s="498">
        <f t="shared" si="1361"/>
        <v>0</v>
      </c>
      <c r="AV3929" s="498">
        <f t="shared" si="1362"/>
        <v>0</v>
      </c>
      <c r="AW3929" s="498">
        <f t="shared" si="1363"/>
        <v>0</v>
      </c>
      <c r="AX3929" s="498">
        <f t="shared" si="1364"/>
        <v>0</v>
      </c>
      <c r="AY3929" s="498">
        <f t="shared" si="1365"/>
        <v>0</v>
      </c>
      <c r="BB3929" s="498" t="str">
        <f t="shared" si="1366"/>
        <v/>
      </c>
      <c r="BC3929" s="743" t="str">
        <f t="shared" si="1367"/>
        <v/>
      </c>
      <c r="BD3929" s="743" t="str">
        <f t="shared" si="1368"/>
        <v/>
      </c>
      <c r="BE3929" s="743" t="str">
        <f>IF(D3929="","",VLOOKUP(D3929,'General Basis'!$J$39:$K$46,2,0))</f>
        <v/>
      </c>
      <c r="BF3929" s="744" t="str">
        <f>IF(D3929="","",VLOOKUP(D3929,'General Basis'!$J$39:$L$46,3,0))</f>
        <v/>
      </c>
      <c r="BG3929" s="744" t="str">
        <f t="shared" si="1375"/>
        <v/>
      </c>
      <c r="BH3929" s="744" t="str">
        <f>IF(G3929="","",IF(BF3929="Abu Dhabi",IF(G3929&lt;18,'General Basis'!$C$39,IF(G3929&lt;41,'General Basis'!$C$40,IF(G3929&lt;60,'General Basis'!$C$41,IF(G3929&lt;65,'General Basis'!$C$42,'General Basis'!$C$43)))),IF(G3929&lt;11,'General Basis'!$B$39,IF(G3929&lt;18,'General Basis'!$B$40,IF(G3929&lt;26,'General Basis'!$B$41,IF(G3929&lt;31,'General Basis'!$B$42,IF(G3929&lt;36,'General Basis'!$B$43,IF(G3929&lt;41,'General Basis'!$B$44,IF(G3929&lt;46,'General Basis'!$B$45,IF(G3929&lt;51,'General Basis'!$B$46,IF(G3929&lt;56,'General Basis'!$B$47,IF(G3929&lt;60,'General Basis'!$B$48,IF(G3929&lt;65,'General Basis'!$B$49,'General Basis'!$B$50)))))))))))))</f>
        <v/>
      </c>
      <c r="BI3929" s="744" t="str">
        <f t="shared" si="1369"/>
        <v/>
      </c>
      <c r="BJ3929" s="747" t="str">
        <f t="shared" si="1376"/>
        <v/>
      </c>
      <c r="BK3929" s="498" t="str">
        <f t="shared" si="1370"/>
        <v/>
      </c>
      <c r="BL3929" s="498" t="str">
        <f t="shared" si="1371"/>
        <v/>
      </c>
    </row>
    <row r="3930" spans="1:64" x14ac:dyDescent="0.25">
      <c r="A3930" s="762">
        <f t="shared" si="1372"/>
        <v>3925</v>
      </c>
      <c r="B3930" s="229"/>
      <c r="C3930" s="223"/>
      <c r="D3930" s="224"/>
      <c r="E3930" s="225"/>
      <c r="F3930" s="1036" t="str">
        <f t="shared" si="1378"/>
        <v/>
      </c>
      <c r="G3930" s="1037" t="str">
        <f t="shared" si="1373"/>
        <v/>
      </c>
      <c r="H3930" s="225"/>
      <c r="I3930" s="1013"/>
      <c r="J3930" s="1013"/>
      <c r="K3930" s="1028"/>
      <c r="L3930" s="1035" t="str">
        <f t="shared" si="1377"/>
        <v/>
      </c>
      <c r="S3930" s="498"/>
      <c r="AJ3930" s="498"/>
      <c r="AM3930" s="498">
        <f t="shared" si="1358"/>
        <v>0</v>
      </c>
      <c r="AN3930" s="498">
        <f t="shared" si="1359"/>
        <v>0</v>
      </c>
      <c r="AO3930" s="498">
        <f t="shared" si="1360"/>
        <v>0</v>
      </c>
      <c r="AP3930" s="498">
        <f t="shared" si="1379"/>
        <v>0</v>
      </c>
      <c r="AQ3930" s="498">
        <f t="shared" si="1374"/>
        <v>0</v>
      </c>
      <c r="AU3930" s="498">
        <f t="shared" si="1361"/>
        <v>0</v>
      </c>
      <c r="AV3930" s="498">
        <f t="shared" si="1362"/>
        <v>0</v>
      </c>
      <c r="AW3930" s="498">
        <f t="shared" si="1363"/>
        <v>0</v>
      </c>
      <c r="AX3930" s="498">
        <f t="shared" si="1364"/>
        <v>0</v>
      </c>
      <c r="AY3930" s="498">
        <f t="shared" si="1365"/>
        <v>0</v>
      </c>
      <c r="BB3930" s="498" t="str">
        <f t="shared" si="1366"/>
        <v/>
      </c>
      <c r="BC3930" s="743" t="str">
        <f t="shared" si="1367"/>
        <v/>
      </c>
      <c r="BD3930" s="743" t="str">
        <f t="shared" si="1368"/>
        <v/>
      </c>
      <c r="BE3930" s="743" t="str">
        <f>IF(D3930="","",VLOOKUP(D3930,'General Basis'!$J$39:$K$46,2,0))</f>
        <v/>
      </c>
      <c r="BF3930" s="744" t="str">
        <f>IF(D3930="","",VLOOKUP(D3930,'General Basis'!$J$39:$L$46,3,0))</f>
        <v/>
      </c>
      <c r="BG3930" s="744" t="str">
        <f t="shared" si="1375"/>
        <v/>
      </c>
      <c r="BH3930" s="744" t="str">
        <f>IF(G3930="","",IF(BF3930="Abu Dhabi",IF(G3930&lt;18,'General Basis'!$C$39,IF(G3930&lt;41,'General Basis'!$C$40,IF(G3930&lt;60,'General Basis'!$C$41,IF(G3930&lt;65,'General Basis'!$C$42,'General Basis'!$C$43)))),IF(G3930&lt;11,'General Basis'!$B$39,IF(G3930&lt;18,'General Basis'!$B$40,IF(G3930&lt;26,'General Basis'!$B$41,IF(G3930&lt;31,'General Basis'!$B$42,IF(G3930&lt;36,'General Basis'!$B$43,IF(G3930&lt;41,'General Basis'!$B$44,IF(G3930&lt;46,'General Basis'!$B$45,IF(G3930&lt;51,'General Basis'!$B$46,IF(G3930&lt;56,'General Basis'!$B$47,IF(G3930&lt;60,'General Basis'!$B$48,IF(G3930&lt;65,'General Basis'!$B$49,'General Basis'!$B$50)))))))))))))</f>
        <v/>
      </c>
      <c r="BI3930" s="744" t="str">
        <f t="shared" si="1369"/>
        <v/>
      </c>
      <c r="BJ3930" s="747" t="str">
        <f t="shared" si="1376"/>
        <v/>
      </c>
      <c r="BK3930" s="498" t="str">
        <f t="shared" si="1370"/>
        <v/>
      </c>
      <c r="BL3930" s="498" t="str">
        <f t="shared" si="1371"/>
        <v/>
      </c>
    </row>
    <row r="3931" spans="1:64" x14ac:dyDescent="0.25">
      <c r="A3931" s="762">
        <f t="shared" si="1372"/>
        <v>3926</v>
      </c>
      <c r="B3931" s="229"/>
      <c r="C3931" s="223"/>
      <c r="D3931" s="224"/>
      <c r="E3931" s="225"/>
      <c r="F3931" s="1036" t="str">
        <f t="shared" si="1378"/>
        <v/>
      </c>
      <c r="G3931" s="1037" t="str">
        <f t="shared" si="1373"/>
        <v/>
      </c>
      <c r="H3931" s="225"/>
      <c r="I3931" s="1013"/>
      <c r="J3931" s="1013"/>
      <c r="K3931" s="1028"/>
      <c r="L3931" s="1035" t="str">
        <f t="shared" si="1377"/>
        <v/>
      </c>
      <c r="S3931" s="498"/>
      <c r="AJ3931" s="498"/>
      <c r="AM3931" s="498">
        <f t="shared" si="1358"/>
        <v>0</v>
      </c>
      <c r="AN3931" s="498">
        <f t="shared" si="1359"/>
        <v>0</v>
      </c>
      <c r="AO3931" s="498">
        <f t="shared" si="1360"/>
        <v>0</v>
      </c>
      <c r="AP3931" s="498">
        <f t="shared" si="1379"/>
        <v>0</v>
      </c>
      <c r="AQ3931" s="498">
        <f t="shared" si="1374"/>
        <v>0</v>
      </c>
      <c r="AU3931" s="498">
        <f t="shared" si="1361"/>
        <v>0</v>
      </c>
      <c r="AV3931" s="498">
        <f t="shared" si="1362"/>
        <v>0</v>
      </c>
      <c r="AW3931" s="498">
        <f t="shared" si="1363"/>
        <v>0</v>
      </c>
      <c r="AX3931" s="498">
        <f t="shared" si="1364"/>
        <v>0</v>
      </c>
      <c r="AY3931" s="498">
        <f t="shared" si="1365"/>
        <v>0</v>
      </c>
      <c r="BB3931" s="498" t="str">
        <f t="shared" si="1366"/>
        <v/>
      </c>
      <c r="BC3931" s="743" t="str">
        <f t="shared" si="1367"/>
        <v/>
      </c>
      <c r="BD3931" s="743" t="str">
        <f t="shared" si="1368"/>
        <v/>
      </c>
      <c r="BE3931" s="743" t="str">
        <f>IF(D3931="","",VLOOKUP(D3931,'General Basis'!$J$39:$K$46,2,0))</f>
        <v/>
      </c>
      <c r="BF3931" s="744" t="str">
        <f>IF(D3931="","",VLOOKUP(D3931,'General Basis'!$J$39:$L$46,3,0))</f>
        <v/>
      </c>
      <c r="BG3931" s="744" t="str">
        <f t="shared" si="1375"/>
        <v/>
      </c>
      <c r="BH3931" s="744" t="str">
        <f>IF(G3931="","",IF(BF3931="Abu Dhabi",IF(G3931&lt;18,'General Basis'!$C$39,IF(G3931&lt;41,'General Basis'!$C$40,IF(G3931&lt;60,'General Basis'!$C$41,IF(G3931&lt;65,'General Basis'!$C$42,'General Basis'!$C$43)))),IF(G3931&lt;11,'General Basis'!$B$39,IF(G3931&lt;18,'General Basis'!$B$40,IF(G3931&lt;26,'General Basis'!$B$41,IF(G3931&lt;31,'General Basis'!$B$42,IF(G3931&lt;36,'General Basis'!$B$43,IF(G3931&lt;41,'General Basis'!$B$44,IF(G3931&lt;46,'General Basis'!$B$45,IF(G3931&lt;51,'General Basis'!$B$46,IF(G3931&lt;56,'General Basis'!$B$47,IF(G3931&lt;60,'General Basis'!$B$48,IF(G3931&lt;65,'General Basis'!$B$49,'General Basis'!$B$50)))))))))))))</f>
        <v/>
      </c>
      <c r="BI3931" s="744" t="str">
        <f t="shared" si="1369"/>
        <v/>
      </c>
      <c r="BJ3931" s="747" t="str">
        <f t="shared" si="1376"/>
        <v/>
      </c>
      <c r="BK3931" s="498" t="str">
        <f t="shared" si="1370"/>
        <v/>
      </c>
      <c r="BL3931" s="498" t="str">
        <f t="shared" si="1371"/>
        <v/>
      </c>
    </row>
    <row r="3932" spans="1:64" x14ac:dyDescent="0.25">
      <c r="A3932" s="762">
        <f t="shared" si="1372"/>
        <v>3927</v>
      </c>
      <c r="B3932" s="229"/>
      <c r="C3932" s="223"/>
      <c r="D3932" s="224"/>
      <c r="E3932" s="225"/>
      <c r="F3932" s="1036" t="str">
        <f t="shared" si="1378"/>
        <v/>
      </c>
      <c r="G3932" s="1037" t="str">
        <f t="shared" si="1373"/>
        <v/>
      </c>
      <c r="H3932" s="225"/>
      <c r="I3932" s="1013"/>
      <c r="J3932" s="1013"/>
      <c r="K3932" s="1028"/>
      <c r="L3932" s="1035" t="str">
        <f t="shared" si="1377"/>
        <v/>
      </c>
      <c r="S3932" s="498"/>
      <c r="AJ3932" s="498"/>
      <c r="AM3932" s="498">
        <f t="shared" si="1358"/>
        <v>0</v>
      </c>
      <c r="AN3932" s="498">
        <f t="shared" si="1359"/>
        <v>0</v>
      </c>
      <c r="AO3932" s="498">
        <f t="shared" si="1360"/>
        <v>0</v>
      </c>
      <c r="AP3932" s="498">
        <f t="shared" si="1379"/>
        <v>0</v>
      </c>
      <c r="AQ3932" s="498">
        <f t="shared" si="1374"/>
        <v>0</v>
      </c>
      <c r="AU3932" s="498">
        <f t="shared" si="1361"/>
        <v>0</v>
      </c>
      <c r="AV3932" s="498">
        <f t="shared" si="1362"/>
        <v>0</v>
      </c>
      <c r="AW3932" s="498">
        <f t="shared" si="1363"/>
        <v>0</v>
      </c>
      <c r="AX3932" s="498">
        <f t="shared" si="1364"/>
        <v>0</v>
      </c>
      <c r="AY3932" s="498">
        <f t="shared" si="1365"/>
        <v>0</v>
      </c>
      <c r="BB3932" s="498" t="str">
        <f t="shared" si="1366"/>
        <v/>
      </c>
      <c r="BC3932" s="743" t="str">
        <f t="shared" si="1367"/>
        <v/>
      </c>
      <c r="BD3932" s="743" t="str">
        <f t="shared" si="1368"/>
        <v/>
      </c>
      <c r="BE3932" s="743" t="str">
        <f>IF(D3932="","",VLOOKUP(D3932,'General Basis'!$J$39:$K$46,2,0))</f>
        <v/>
      </c>
      <c r="BF3932" s="744" t="str">
        <f>IF(D3932="","",VLOOKUP(D3932,'General Basis'!$J$39:$L$46,3,0))</f>
        <v/>
      </c>
      <c r="BG3932" s="744" t="str">
        <f t="shared" si="1375"/>
        <v/>
      </c>
      <c r="BH3932" s="744" t="str">
        <f>IF(G3932="","",IF(BF3932="Abu Dhabi",IF(G3932&lt;18,'General Basis'!$C$39,IF(G3932&lt;41,'General Basis'!$C$40,IF(G3932&lt;60,'General Basis'!$C$41,IF(G3932&lt;65,'General Basis'!$C$42,'General Basis'!$C$43)))),IF(G3932&lt;11,'General Basis'!$B$39,IF(G3932&lt;18,'General Basis'!$B$40,IF(G3932&lt;26,'General Basis'!$B$41,IF(G3932&lt;31,'General Basis'!$B$42,IF(G3932&lt;36,'General Basis'!$B$43,IF(G3932&lt;41,'General Basis'!$B$44,IF(G3932&lt;46,'General Basis'!$B$45,IF(G3932&lt;51,'General Basis'!$B$46,IF(G3932&lt;56,'General Basis'!$B$47,IF(G3932&lt;60,'General Basis'!$B$48,IF(G3932&lt;65,'General Basis'!$B$49,'General Basis'!$B$50)))))))))))))</f>
        <v/>
      </c>
      <c r="BI3932" s="744" t="str">
        <f t="shared" si="1369"/>
        <v/>
      </c>
      <c r="BJ3932" s="747" t="str">
        <f t="shared" si="1376"/>
        <v/>
      </c>
      <c r="BK3932" s="498" t="str">
        <f t="shared" si="1370"/>
        <v/>
      </c>
      <c r="BL3932" s="498" t="str">
        <f t="shared" si="1371"/>
        <v/>
      </c>
    </row>
    <row r="3933" spans="1:64" x14ac:dyDescent="0.25">
      <c r="A3933" s="762">
        <f t="shared" si="1372"/>
        <v>3928</v>
      </c>
      <c r="B3933" s="229"/>
      <c r="C3933" s="223"/>
      <c r="D3933" s="224"/>
      <c r="E3933" s="225"/>
      <c r="F3933" s="1036" t="str">
        <f t="shared" si="1378"/>
        <v/>
      </c>
      <c r="G3933" s="1037" t="str">
        <f t="shared" si="1373"/>
        <v/>
      </c>
      <c r="H3933" s="225"/>
      <c r="I3933" s="1013"/>
      <c r="J3933" s="1013"/>
      <c r="K3933" s="1028"/>
      <c r="L3933" s="1035" t="str">
        <f t="shared" si="1377"/>
        <v/>
      </c>
      <c r="S3933" s="498"/>
      <c r="AJ3933" s="498"/>
      <c r="AM3933" s="498">
        <f t="shared" si="1358"/>
        <v>0</v>
      </c>
      <c r="AN3933" s="498">
        <f t="shared" si="1359"/>
        <v>0</v>
      </c>
      <c r="AO3933" s="498">
        <f t="shared" si="1360"/>
        <v>0</v>
      </c>
      <c r="AP3933" s="498">
        <f t="shared" si="1379"/>
        <v>0</v>
      </c>
      <c r="AQ3933" s="498">
        <f t="shared" si="1374"/>
        <v>0</v>
      </c>
      <c r="AU3933" s="498">
        <f t="shared" si="1361"/>
        <v>0</v>
      </c>
      <c r="AV3933" s="498">
        <f t="shared" si="1362"/>
        <v>0</v>
      </c>
      <c r="AW3933" s="498">
        <f t="shared" si="1363"/>
        <v>0</v>
      </c>
      <c r="AX3933" s="498">
        <f t="shared" si="1364"/>
        <v>0</v>
      </c>
      <c r="AY3933" s="498">
        <f t="shared" si="1365"/>
        <v>0</v>
      </c>
      <c r="BB3933" s="498" t="str">
        <f t="shared" si="1366"/>
        <v/>
      </c>
      <c r="BC3933" s="743" t="str">
        <f t="shared" si="1367"/>
        <v/>
      </c>
      <c r="BD3933" s="743" t="str">
        <f t="shared" si="1368"/>
        <v/>
      </c>
      <c r="BE3933" s="743" t="str">
        <f>IF(D3933="","",VLOOKUP(D3933,'General Basis'!$J$39:$K$46,2,0))</f>
        <v/>
      </c>
      <c r="BF3933" s="744" t="str">
        <f>IF(D3933="","",VLOOKUP(D3933,'General Basis'!$J$39:$L$46,3,0))</f>
        <v/>
      </c>
      <c r="BG3933" s="744" t="str">
        <f t="shared" si="1375"/>
        <v/>
      </c>
      <c r="BH3933" s="744" t="str">
        <f>IF(G3933="","",IF(BF3933="Abu Dhabi",IF(G3933&lt;18,'General Basis'!$C$39,IF(G3933&lt;41,'General Basis'!$C$40,IF(G3933&lt;60,'General Basis'!$C$41,IF(G3933&lt;65,'General Basis'!$C$42,'General Basis'!$C$43)))),IF(G3933&lt;11,'General Basis'!$B$39,IF(G3933&lt;18,'General Basis'!$B$40,IF(G3933&lt;26,'General Basis'!$B$41,IF(G3933&lt;31,'General Basis'!$B$42,IF(G3933&lt;36,'General Basis'!$B$43,IF(G3933&lt;41,'General Basis'!$B$44,IF(G3933&lt;46,'General Basis'!$B$45,IF(G3933&lt;51,'General Basis'!$B$46,IF(G3933&lt;56,'General Basis'!$B$47,IF(G3933&lt;60,'General Basis'!$B$48,IF(G3933&lt;65,'General Basis'!$B$49,'General Basis'!$B$50)))))))))))))</f>
        <v/>
      </c>
      <c r="BI3933" s="744" t="str">
        <f t="shared" si="1369"/>
        <v/>
      </c>
      <c r="BJ3933" s="747" t="str">
        <f t="shared" si="1376"/>
        <v/>
      </c>
      <c r="BK3933" s="498" t="str">
        <f t="shared" si="1370"/>
        <v/>
      </c>
      <c r="BL3933" s="498" t="str">
        <f t="shared" si="1371"/>
        <v/>
      </c>
    </row>
    <row r="3934" spans="1:64" x14ac:dyDescent="0.25">
      <c r="A3934" s="762">
        <f t="shared" si="1372"/>
        <v>3929</v>
      </c>
      <c r="B3934" s="229"/>
      <c r="C3934" s="223"/>
      <c r="D3934" s="224"/>
      <c r="E3934" s="225"/>
      <c r="F3934" s="1036" t="str">
        <f t="shared" si="1378"/>
        <v/>
      </c>
      <c r="G3934" s="1037" t="str">
        <f t="shared" si="1373"/>
        <v/>
      </c>
      <c r="H3934" s="225"/>
      <c r="I3934" s="1013"/>
      <c r="J3934" s="1013"/>
      <c r="K3934" s="1028"/>
      <c r="L3934" s="1035" t="str">
        <f t="shared" si="1377"/>
        <v/>
      </c>
      <c r="S3934" s="498"/>
      <c r="AJ3934" s="498"/>
      <c r="AM3934" s="498">
        <f t="shared" si="1358"/>
        <v>0</v>
      </c>
      <c r="AN3934" s="498">
        <f t="shared" si="1359"/>
        <v>0</v>
      </c>
      <c r="AO3934" s="498">
        <f t="shared" si="1360"/>
        <v>0</v>
      </c>
      <c r="AP3934" s="498">
        <f t="shared" si="1379"/>
        <v>0</v>
      </c>
      <c r="AQ3934" s="498">
        <f t="shared" si="1374"/>
        <v>0</v>
      </c>
      <c r="AU3934" s="498">
        <f t="shared" si="1361"/>
        <v>0</v>
      </c>
      <c r="AV3934" s="498">
        <f t="shared" si="1362"/>
        <v>0</v>
      </c>
      <c r="AW3934" s="498">
        <f t="shared" si="1363"/>
        <v>0</v>
      </c>
      <c r="AX3934" s="498">
        <f t="shared" si="1364"/>
        <v>0</v>
      </c>
      <c r="AY3934" s="498">
        <f t="shared" si="1365"/>
        <v>0</v>
      </c>
      <c r="BB3934" s="498" t="str">
        <f t="shared" si="1366"/>
        <v/>
      </c>
      <c r="BC3934" s="743" t="str">
        <f t="shared" si="1367"/>
        <v/>
      </c>
      <c r="BD3934" s="743" t="str">
        <f t="shared" si="1368"/>
        <v/>
      </c>
      <c r="BE3934" s="743" t="str">
        <f>IF(D3934="","",VLOOKUP(D3934,'General Basis'!$J$39:$K$46,2,0))</f>
        <v/>
      </c>
      <c r="BF3934" s="744" t="str">
        <f>IF(D3934="","",VLOOKUP(D3934,'General Basis'!$J$39:$L$46,3,0))</f>
        <v/>
      </c>
      <c r="BG3934" s="744" t="str">
        <f t="shared" si="1375"/>
        <v/>
      </c>
      <c r="BH3934" s="744" t="str">
        <f>IF(G3934="","",IF(BF3934="Abu Dhabi",IF(G3934&lt;18,'General Basis'!$C$39,IF(G3934&lt;41,'General Basis'!$C$40,IF(G3934&lt;60,'General Basis'!$C$41,IF(G3934&lt;65,'General Basis'!$C$42,'General Basis'!$C$43)))),IF(G3934&lt;11,'General Basis'!$B$39,IF(G3934&lt;18,'General Basis'!$B$40,IF(G3934&lt;26,'General Basis'!$B$41,IF(G3934&lt;31,'General Basis'!$B$42,IF(G3934&lt;36,'General Basis'!$B$43,IF(G3934&lt;41,'General Basis'!$B$44,IF(G3934&lt;46,'General Basis'!$B$45,IF(G3934&lt;51,'General Basis'!$B$46,IF(G3934&lt;56,'General Basis'!$B$47,IF(G3934&lt;60,'General Basis'!$B$48,IF(G3934&lt;65,'General Basis'!$B$49,'General Basis'!$B$50)))))))))))))</f>
        <v/>
      </c>
      <c r="BI3934" s="744" t="str">
        <f t="shared" si="1369"/>
        <v/>
      </c>
      <c r="BJ3934" s="747" t="str">
        <f t="shared" si="1376"/>
        <v/>
      </c>
      <c r="BK3934" s="498" t="str">
        <f t="shared" si="1370"/>
        <v/>
      </c>
      <c r="BL3934" s="498" t="str">
        <f t="shared" si="1371"/>
        <v/>
      </c>
    </row>
    <row r="3935" spans="1:64" x14ac:dyDescent="0.25">
      <c r="A3935" s="762">
        <f t="shared" si="1372"/>
        <v>3930</v>
      </c>
      <c r="B3935" s="229"/>
      <c r="C3935" s="223"/>
      <c r="D3935" s="224"/>
      <c r="E3935" s="225"/>
      <c r="F3935" s="1036" t="str">
        <f t="shared" si="1378"/>
        <v/>
      </c>
      <c r="G3935" s="1037" t="str">
        <f t="shared" si="1373"/>
        <v/>
      </c>
      <c r="H3935" s="225"/>
      <c r="I3935" s="1013"/>
      <c r="J3935" s="1013"/>
      <c r="K3935" s="1028"/>
      <c r="L3935" s="1035" t="str">
        <f t="shared" si="1377"/>
        <v/>
      </c>
      <c r="S3935" s="498"/>
      <c r="AJ3935" s="498"/>
      <c r="AM3935" s="498">
        <f t="shared" si="1358"/>
        <v>0</v>
      </c>
      <c r="AN3935" s="498">
        <f t="shared" si="1359"/>
        <v>0</v>
      </c>
      <c r="AO3935" s="498">
        <f t="shared" si="1360"/>
        <v>0</v>
      </c>
      <c r="AP3935" s="498">
        <f t="shared" si="1379"/>
        <v>0</v>
      </c>
      <c r="AQ3935" s="498">
        <f t="shared" si="1374"/>
        <v>0</v>
      </c>
      <c r="AU3935" s="498">
        <f t="shared" si="1361"/>
        <v>0</v>
      </c>
      <c r="AV3935" s="498">
        <f t="shared" si="1362"/>
        <v>0</v>
      </c>
      <c r="AW3935" s="498">
        <f t="shared" si="1363"/>
        <v>0</v>
      </c>
      <c r="AX3935" s="498">
        <f t="shared" si="1364"/>
        <v>0</v>
      </c>
      <c r="AY3935" s="498">
        <f t="shared" si="1365"/>
        <v>0</v>
      </c>
      <c r="BB3935" s="498" t="str">
        <f t="shared" si="1366"/>
        <v/>
      </c>
      <c r="BC3935" s="743" t="str">
        <f t="shared" si="1367"/>
        <v/>
      </c>
      <c r="BD3935" s="743" t="str">
        <f t="shared" si="1368"/>
        <v/>
      </c>
      <c r="BE3935" s="743" t="str">
        <f>IF(D3935="","",VLOOKUP(D3935,'General Basis'!$J$39:$K$46,2,0))</f>
        <v/>
      </c>
      <c r="BF3935" s="744" t="str">
        <f>IF(D3935="","",VLOOKUP(D3935,'General Basis'!$J$39:$L$46,3,0))</f>
        <v/>
      </c>
      <c r="BG3935" s="744" t="str">
        <f t="shared" si="1375"/>
        <v/>
      </c>
      <c r="BH3935" s="744" t="str">
        <f>IF(G3935="","",IF(BF3935="Abu Dhabi",IF(G3935&lt;18,'General Basis'!$C$39,IF(G3935&lt;41,'General Basis'!$C$40,IF(G3935&lt;60,'General Basis'!$C$41,IF(G3935&lt;65,'General Basis'!$C$42,'General Basis'!$C$43)))),IF(G3935&lt;11,'General Basis'!$B$39,IF(G3935&lt;18,'General Basis'!$B$40,IF(G3935&lt;26,'General Basis'!$B$41,IF(G3935&lt;31,'General Basis'!$B$42,IF(G3935&lt;36,'General Basis'!$B$43,IF(G3935&lt;41,'General Basis'!$B$44,IF(G3935&lt;46,'General Basis'!$B$45,IF(G3935&lt;51,'General Basis'!$B$46,IF(G3935&lt;56,'General Basis'!$B$47,IF(G3935&lt;60,'General Basis'!$B$48,IF(G3935&lt;65,'General Basis'!$B$49,'General Basis'!$B$50)))))))))))))</f>
        <v/>
      </c>
      <c r="BI3935" s="744" t="str">
        <f t="shared" si="1369"/>
        <v/>
      </c>
      <c r="BJ3935" s="747" t="str">
        <f t="shared" si="1376"/>
        <v/>
      </c>
      <c r="BK3935" s="498" t="str">
        <f t="shared" si="1370"/>
        <v/>
      </c>
      <c r="BL3935" s="498" t="str">
        <f t="shared" si="1371"/>
        <v/>
      </c>
    </row>
    <row r="3936" spans="1:64" x14ac:dyDescent="0.25">
      <c r="A3936" s="762">
        <f t="shared" si="1372"/>
        <v>3931</v>
      </c>
      <c r="B3936" s="229"/>
      <c r="C3936" s="223"/>
      <c r="D3936" s="224"/>
      <c r="E3936" s="225"/>
      <c r="F3936" s="1036" t="str">
        <f t="shared" si="1378"/>
        <v/>
      </c>
      <c r="G3936" s="1037" t="str">
        <f t="shared" si="1373"/>
        <v/>
      </c>
      <c r="H3936" s="225"/>
      <c r="I3936" s="1013"/>
      <c r="J3936" s="1013"/>
      <c r="K3936" s="1028"/>
      <c r="L3936" s="1035" t="str">
        <f t="shared" si="1377"/>
        <v/>
      </c>
      <c r="S3936" s="498"/>
      <c r="AJ3936" s="498"/>
      <c r="AM3936" s="498">
        <f t="shared" si="1358"/>
        <v>0</v>
      </c>
      <c r="AN3936" s="498">
        <f t="shared" si="1359"/>
        <v>0</v>
      </c>
      <c r="AO3936" s="498">
        <f t="shared" si="1360"/>
        <v>0</v>
      </c>
      <c r="AP3936" s="498">
        <f t="shared" si="1379"/>
        <v>0</v>
      </c>
      <c r="AQ3936" s="498">
        <f t="shared" si="1374"/>
        <v>0</v>
      </c>
      <c r="AU3936" s="498">
        <f t="shared" si="1361"/>
        <v>0</v>
      </c>
      <c r="AV3936" s="498">
        <f t="shared" si="1362"/>
        <v>0</v>
      </c>
      <c r="AW3936" s="498">
        <f t="shared" si="1363"/>
        <v>0</v>
      </c>
      <c r="AX3936" s="498">
        <f t="shared" si="1364"/>
        <v>0</v>
      </c>
      <c r="AY3936" s="498">
        <f t="shared" si="1365"/>
        <v>0</v>
      </c>
      <c r="BB3936" s="498" t="str">
        <f t="shared" si="1366"/>
        <v/>
      </c>
      <c r="BC3936" s="743" t="str">
        <f t="shared" si="1367"/>
        <v/>
      </c>
      <c r="BD3936" s="743" t="str">
        <f t="shared" si="1368"/>
        <v/>
      </c>
      <c r="BE3936" s="743" t="str">
        <f>IF(D3936="","",VLOOKUP(D3936,'General Basis'!$J$39:$K$46,2,0))</f>
        <v/>
      </c>
      <c r="BF3936" s="744" t="str">
        <f>IF(D3936="","",VLOOKUP(D3936,'General Basis'!$J$39:$L$46,3,0))</f>
        <v/>
      </c>
      <c r="BG3936" s="744" t="str">
        <f t="shared" si="1375"/>
        <v/>
      </c>
      <c r="BH3936" s="744" t="str">
        <f>IF(G3936="","",IF(BF3936="Abu Dhabi",IF(G3936&lt;18,'General Basis'!$C$39,IF(G3936&lt;41,'General Basis'!$C$40,IF(G3936&lt;60,'General Basis'!$C$41,IF(G3936&lt;65,'General Basis'!$C$42,'General Basis'!$C$43)))),IF(G3936&lt;11,'General Basis'!$B$39,IF(G3936&lt;18,'General Basis'!$B$40,IF(G3936&lt;26,'General Basis'!$B$41,IF(G3936&lt;31,'General Basis'!$B$42,IF(G3936&lt;36,'General Basis'!$B$43,IF(G3936&lt;41,'General Basis'!$B$44,IF(G3936&lt;46,'General Basis'!$B$45,IF(G3936&lt;51,'General Basis'!$B$46,IF(G3936&lt;56,'General Basis'!$B$47,IF(G3936&lt;60,'General Basis'!$B$48,IF(G3936&lt;65,'General Basis'!$B$49,'General Basis'!$B$50)))))))))))))</f>
        <v/>
      </c>
      <c r="BI3936" s="744" t="str">
        <f t="shared" si="1369"/>
        <v/>
      </c>
      <c r="BJ3936" s="747" t="str">
        <f t="shared" si="1376"/>
        <v/>
      </c>
      <c r="BK3936" s="498" t="str">
        <f t="shared" si="1370"/>
        <v/>
      </c>
      <c r="BL3936" s="498" t="str">
        <f t="shared" si="1371"/>
        <v/>
      </c>
    </row>
    <row r="3937" spans="1:64" x14ac:dyDescent="0.25">
      <c r="A3937" s="762">
        <f t="shared" si="1372"/>
        <v>3932</v>
      </c>
      <c r="B3937" s="229"/>
      <c r="C3937" s="223"/>
      <c r="D3937" s="224"/>
      <c r="E3937" s="225"/>
      <c r="F3937" s="1036" t="str">
        <f t="shared" si="1378"/>
        <v/>
      </c>
      <c r="G3937" s="1037" t="str">
        <f t="shared" si="1373"/>
        <v/>
      </c>
      <c r="H3937" s="225"/>
      <c r="I3937" s="1013"/>
      <c r="J3937" s="1013"/>
      <c r="K3937" s="1028"/>
      <c r="L3937" s="1035" t="str">
        <f t="shared" si="1377"/>
        <v/>
      </c>
      <c r="S3937" s="498"/>
      <c r="AJ3937" s="498"/>
      <c r="AM3937" s="498">
        <f t="shared" si="1358"/>
        <v>0</v>
      </c>
      <c r="AN3937" s="498">
        <f t="shared" si="1359"/>
        <v>0</v>
      </c>
      <c r="AO3937" s="498">
        <f t="shared" si="1360"/>
        <v>0</v>
      </c>
      <c r="AP3937" s="498">
        <f t="shared" si="1379"/>
        <v>0</v>
      </c>
      <c r="AQ3937" s="498">
        <f t="shared" si="1374"/>
        <v>0</v>
      </c>
      <c r="AU3937" s="498">
        <f t="shared" si="1361"/>
        <v>0</v>
      </c>
      <c r="AV3937" s="498">
        <f t="shared" si="1362"/>
        <v>0</v>
      </c>
      <c r="AW3937" s="498">
        <f t="shared" si="1363"/>
        <v>0</v>
      </c>
      <c r="AX3937" s="498">
        <f t="shared" si="1364"/>
        <v>0</v>
      </c>
      <c r="AY3937" s="498">
        <f t="shared" si="1365"/>
        <v>0</v>
      </c>
      <c r="BB3937" s="498" t="str">
        <f t="shared" si="1366"/>
        <v/>
      </c>
      <c r="BC3937" s="743" t="str">
        <f t="shared" si="1367"/>
        <v/>
      </c>
      <c r="BD3937" s="743" t="str">
        <f t="shared" si="1368"/>
        <v/>
      </c>
      <c r="BE3937" s="743" t="str">
        <f>IF(D3937="","",VLOOKUP(D3937,'General Basis'!$J$39:$K$46,2,0))</f>
        <v/>
      </c>
      <c r="BF3937" s="744" t="str">
        <f>IF(D3937="","",VLOOKUP(D3937,'General Basis'!$J$39:$L$46,3,0))</f>
        <v/>
      </c>
      <c r="BG3937" s="744" t="str">
        <f t="shared" si="1375"/>
        <v/>
      </c>
      <c r="BH3937" s="744" t="str">
        <f>IF(G3937="","",IF(BF3937="Abu Dhabi",IF(G3937&lt;18,'General Basis'!$C$39,IF(G3937&lt;41,'General Basis'!$C$40,IF(G3937&lt;60,'General Basis'!$C$41,IF(G3937&lt;65,'General Basis'!$C$42,'General Basis'!$C$43)))),IF(G3937&lt;11,'General Basis'!$B$39,IF(G3937&lt;18,'General Basis'!$B$40,IF(G3937&lt;26,'General Basis'!$B$41,IF(G3937&lt;31,'General Basis'!$B$42,IF(G3937&lt;36,'General Basis'!$B$43,IF(G3937&lt;41,'General Basis'!$B$44,IF(G3937&lt;46,'General Basis'!$B$45,IF(G3937&lt;51,'General Basis'!$B$46,IF(G3937&lt;56,'General Basis'!$B$47,IF(G3937&lt;60,'General Basis'!$B$48,IF(G3937&lt;65,'General Basis'!$B$49,'General Basis'!$B$50)))))))))))))</f>
        <v/>
      </c>
      <c r="BI3937" s="744" t="str">
        <f t="shared" si="1369"/>
        <v/>
      </c>
      <c r="BJ3937" s="747" t="str">
        <f t="shared" si="1376"/>
        <v/>
      </c>
      <c r="BK3937" s="498" t="str">
        <f t="shared" si="1370"/>
        <v/>
      </c>
      <c r="BL3937" s="498" t="str">
        <f t="shared" si="1371"/>
        <v/>
      </c>
    </row>
    <row r="3938" spans="1:64" x14ac:dyDescent="0.25">
      <c r="A3938" s="762">
        <f t="shared" si="1372"/>
        <v>3933</v>
      </c>
      <c r="B3938" s="229"/>
      <c r="C3938" s="223"/>
      <c r="D3938" s="224"/>
      <c r="E3938" s="225"/>
      <c r="F3938" s="1036" t="str">
        <f t="shared" si="1378"/>
        <v/>
      </c>
      <c r="G3938" s="1037" t="str">
        <f t="shared" si="1373"/>
        <v/>
      </c>
      <c r="H3938" s="225"/>
      <c r="I3938" s="1013"/>
      <c r="J3938" s="1013"/>
      <c r="K3938" s="1028"/>
      <c r="L3938" s="1035" t="str">
        <f t="shared" si="1377"/>
        <v/>
      </c>
      <c r="S3938" s="498"/>
      <c r="AJ3938" s="498"/>
      <c r="AM3938" s="498">
        <f t="shared" si="1358"/>
        <v>0</v>
      </c>
      <c r="AN3938" s="498">
        <f t="shared" si="1359"/>
        <v>0</v>
      </c>
      <c r="AO3938" s="498">
        <f t="shared" si="1360"/>
        <v>0</v>
      </c>
      <c r="AP3938" s="498">
        <f t="shared" si="1379"/>
        <v>0</v>
      </c>
      <c r="AQ3938" s="498">
        <f t="shared" si="1374"/>
        <v>0</v>
      </c>
      <c r="AU3938" s="498">
        <f t="shared" si="1361"/>
        <v>0</v>
      </c>
      <c r="AV3938" s="498">
        <f t="shared" si="1362"/>
        <v>0</v>
      </c>
      <c r="AW3938" s="498">
        <f t="shared" si="1363"/>
        <v>0</v>
      </c>
      <c r="AX3938" s="498">
        <f t="shared" si="1364"/>
        <v>0</v>
      </c>
      <c r="AY3938" s="498">
        <f t="shared" si="1365"/>
        <v>0</v>
      </c>
      <c r="BB3938" s="498" t="str">
        <f t="shared" si="1366"/>
        <v/>
      </c>
      <c r="BC3938" s="743" t="str">
        <f t="shared" si="1367"/>
        <v/>
      </c>
      <c r="BD3938" s="743" t="str">
        <f t="shared" si="1368"/>
        <v/>
      </c>
      <c r="BE3938" s="743" t="str">
        <f>IF(D3938="","",VLOOKUP(D3938,'General Basis'!$J$39:$K$46,2,0))</f>
        <v/>
      </c>
      <c r="BF3938" s="744" t="str">
        <f>IF(D3938="","",VLOOKUP(D3938,'General Basis'!$J$39:$L$46,3,0))</f>
        <v/>
      </c>
      <c r="BG3938" s="744" t="str">
        <f t="shared" si="1375"/>
        <v/>
      </c>
      <c r="BH3938" s="744" t="str">
        <f>IF(G3938="","",IF(BF3938="Abu Dhabi",IF(G3938&lt;18,'General Basis'!$C$39,IF(G3938&lt;41,'General Basis'!$C$40,IF(G3938&lt;60,'General Basis'!$C$41,IF(G3938&lt;65,'General Basis'!$C$42,'General Basis'!$C$43)))),IF(G3938&lt;11,'General Basis'!$B$39,IF(G3938&lt;18,'General Basis'!$B$40,IF(G3938&lt;26,'General Basis'!$B$41,IF(G3938&lt;31,'General Basis'!$B$42,IF(G3938&lt;36,'General Basis'!$B$43,IF(G3938&lt;41,'General Basis'!$B$44,IF(G3938&lt;46,'General Basis'!$B$45,IF(G3938&lt;51,'General Basis'!$B$46,IF(G3938&lt;56,'General Basis'!$B$47,IF(G3938&lt;60,'General Basis'!$B$48,IF(G3938&lt;65,'General Basis'!$B$49,'General Basis'!$B$50)))))))))))))</f>
        <v/>
      </c>
      <c r="BI3938" s="744" t="str">
        <f t="shared" si="1369"/>
        <v/>
      </c>
      <c r="BJ3938" s="747" t="str">
        <f t="shared" si="1376"/>
        <v/>
      </c>
      <c r="BK3938" s="498" t="str">
        <f t="shared" si="1370"/>
        <v/>
      </c>
      <c r="BL3938" s="498" t="str">
        <f t="shared" si="1371"/>
        <v/>
      </c>
    </row>
    <row r="3939" spans="1:64" x14ac:dyDescent="0.25">
      <c r="A3939" s="762">
        <f t="shared" si="1372"/>
        <v>3934</v>
      </c>
      <c r="B3939" s="229"/>
      <c r="C3939" s="223"/>
      <c r="D3939" s="224"/>
      <c r="E3939" s="225"/>
      <c r="F3939" s="1036" t="str">
        <f t="shared" si="1378"/>
        <v/>
      </c>
      <c r="G3939" s="1037" t="str">
        <f t="shared" si="1373"/>
        <v/>
      </c>
      <c r="H3939" s="225"/>
      <c r="I3939" s="1013"/>
      <c r="J3939" s="1013"/>
      <c r="K3939" s="1028"/>
      <c r="L3939" s="1035" t="str">
        <f t="shared" si="1377"/>
        <v/>
      </c>
      <c r="S3939" s="498"/>
      <c r="AJ3939" s="498"/>
      <c r="AM3939" s="498">
        <f t="shared" si="1358"/>
        <v>0</v>
      </c>
      <c r="AN3939" s="498">
        <f t="shared" si="1359"/>
        <v>0</v>
      </c>
      <c r="AO3939" s="498">
        <f t="shared" si="1360"/>
        <v>0</v>
      </c>
      <c r="AP3939" s="498">
        <f t="shared" si="1379"/>
        <v>0</v>
      </c>
      <c r="AQ3939" s="498">
        <f t="shared" si="1374"/>
        <v>0</v>
      </c>
      <c r="AU3939" s="498">
        <f t="shared" si="1361"/>
        <v>0</v>
      </c>
      <c r="AV3939" s="498">
        <f t="shared" si="1362"/>
        <v>0</v>
      </c>
      <c r="AW3939" s="498">
        <f t="shared" si="1363"/>
        <v>0</v>
      </c>
      <c r="AX3939" s="498">
        <f t="shared" si="1364"/>
        <v>0</v>
      </c>
      <c r="AY3939" s="498">
        <f t="shared" si="1365"/>
        <v>0</v>
      </c>
      <c r="BB3939" s="498" t="str">
        <f t="shared" si="1366"/>
        <v/>
      </c>
      <c r="BC3939" s="743" t="str">
        <f t="shared" si="1367"/>
        <v/>
      </c>
      <c r="BD3939" s="743" t="str">
        <f t="shared" si="1368"/>
        <v/>
      </c>
      <c r="BE3939" s="743" t="str">
        <f>IF(D3939="","",VLOOKUP(D3939,'General Basis'!$J$39:$K$46,2,0))</f>
        <v/>
      </c>
      <c r="BF3939" s="744" t="str">
        <f>IF(D3939="","",VLOOKUP(D3939,'General Basis'!$J$39:$L$46,3,0))</f>
        <v/>
      </c>
      <c r="BG3939" s="744" t="str">
        <f t="shared" si="1375"/>
        <v/>
      </c>
      <c r="BH3939" s="744" t="str">
        <f>IF(G3939="","",IF(BF3939="Abu Dhabi",IF(G3939&lt;18,'General Basis'!$C$39,IF(G3939&lt;41,'General Basis'!$C$40,IF(G3939&lt;60,'General Basis'!$C$41,IF(G3939&lt;65,'General Basis'!$C$42,'General Basis'!$C$43)))),IF(G3939&lt;11,'General Basis'!$B$39,IF(G3939&lt;18,'General Basis'!$B$40,IF(G3939&lt;26,'General Basis'!$B$41,IF(G3939&lt;31,'General Basis'!$B$42,IF(G3939&lt;36,'General Basis'!$B$43,IF(G3939&lt;41,'General Basis'!$B$44,IF(G3939&lt;46,'General Basis'!$B$45,IF(G3939&lt;51,'General Basis'!$B$46,IF(G3939&lt;56,'General Basis'!$B$47,IF(G3939&lt;60,'General Basis'!$B$48,IF(G3939&lt;65,'General Basis'!$B$49,'General Basis'!$B$50)))))))))))))</f>
        <v/>
      </c>
      <c r="BI3939" s="744" t="str">
        <f t="shared" si="1369"/>
        <v/>
      </c>
      <c r="BJ3939" s="747" t="str">
        <f t="shared" si="1376"/>
        <v/>
      </c>
      <c r="BK3939" s="498" t="str">
        <f t="shared" si="1370"/>
        <v/>
      </c>
      <c r="BL3939" s="498" t="str">
        <f t="shared" si="1371"/>
        <v/>
      </c>
    </row>
    <row r="3940" spans="1:64" x14ac:dyDescent="0.25">
      <c r="A3940" s="762">
        <f t="shared" si="1372"/>
        <v>3935</v>
      </c>
      <c r="B3940" s="229"/>
      <c r="C3940" s="223"/>
      <c r="D3940" s="224"/>
      <c r="E3940" s="225"/>
      <c r="F3940" s="1036" t="str">
        <f t="shared" si="1378"/>
        <v/>
      </c>
      <c r="G3940" s="1037" t="str">
        <f t="shared" si="1373"/>
        <v/>
      </c>
      <c r="H3940" s="225"/>
      <c r="I3940" s="1013"/>
      <c r="J3940" s="1013"/>
      <c r="K3940" s="1028"/>
      <c r="L3940" s="1035" t="str">
        <f t="shared" si="1377"/>
        <v/>
      </c>
      <c r="S3940" s="498"/>
      <c r="AJ3940" s="498"/>
      <c r="AM3940" s="498">
        <f t="shared" si="1358"/>
        <v>0</v>
      </c>
      <c r="AN3940" s="498">
        <f t="shared" si="1359"/>
        <v>0</v>
      </c>
      <c r="AO3940" s="498">
        <f t="shared" si="1360"/>
        <v>0</v>
      </c>
      <c r="AP3940" s="498">
        <f t="shared" si="1379"/>
        <v>0</v>
      </c>
      <c r="AQ3940" s="498">
        <f t="shared" si="1374"/>
        <v>0</v>
      </c>
      <c r="AU3940" s="498">
        <f t="shared" si="1361"/>
        <v>0</v>
      </c>
      <c r="AV3940" s="498">
        <f t="shared" si="1362"/>
        <v>0</v>
      </c>
      <c r="AW3940" s="498">
        <f t="shared" si="1363"/>
        <v>0</v>
      </c>
      <c r="AX3940" s="498">
        <f t="shared" si="1364"/>
        <v>0</v>
      </c>
      <c r="AY3940" s="498">
        <f t="shared" si="1365"/>
        <v>0</v>
      </c>
      <c r="BB3940" s="498" t="str">
        <f t="shared" si="1366"/>
        <v/>
      </c>
      <c r="BC3940" s="743" t="str">
        <f t="shared" si="1367"/>
        <v/>
      </c>
      <c r="BD3940" s="743" t="str">
        <f t="shared" si="1368"/>
        <v/>
      </c>
      <c r="BE3940" s="743" t="str">
        <f>IF(D3940="","",VLOOKUP(D3940,'General Basis'!$J$39:$K$46,2,0))</f>
        <v/>
      </c>
      <c r="BF3940" s="744" t="str">
        <f>IF(D3940="","",VLOOKUP(D3940,'General Basis'!$J$39:$L$46,3,0))</f>
        <v/>
      </c>
      <c r="BG3940" s="744" t="str">
        <f t="shared" si="1375"/>
        <v/>
      </c>
      <c r="BH3940" s="744" t="str">
        <f>IF(G3940="","",IF(BF3940="Abu Dhabi",IF(G3940&lt;18,'General Basis'!$C$39,IF(G3940&lt;41,'General Basis'!$C$40,IF(G3940&lt;60,'General Basis'!$C$41,IF(G3940&lt;65,'General Basis'!$C$42,'General Basis'!$C$43)))),IF(G3940&lt;11,'General Basis'!$B$39,IF(G3940&lt;18,'General Basis'!$B$40,IF(G3940&lt;26,'General Basis'!$B$41,IF(G3940&lt;31,'General Basis'!$B$42,IF(G3940&lt;36,'General Basis'!$B$43,IF(G3940&lt;41,'General Basis'!$B$44,IF(G3940&lt;46,'General Basis'!$B$45,IF(G3940&lt;51,'General Basis'!$B$46,IF(G3940&lt;56,'General Basis'!$B$47,IF(G3940&lt;60,'General Basis'!$B$48,IF(G3940&lt;65,'General Basis'!$B$49,'General Basis'!$B$50)))))))))))))</f>
        <v/>
      </c>
      <c r="BI3940" s="744" t="str">
        <f t="shared" si="1369"/>
        <v/>
      </c>
      <c r="BJ3940" s="747" t="str">
        <f t="shared" si="1376"/>
        <v/>
      </c>
      <c r="BK3940" s="498" t="str">
        <f t="shared" si="1370"/>
        <v/>
      </c>
      <c r="BL3940" s="498" t="str">
        <f t="shared" si="1371"/>
        <v/>
      </c>
    </row>
    <row r="3941" spans="1:64" x14ac:dyDescent="0.25">
      <c r="A3941" s="762">
        <f t="shared" si="1372"/>
        <v>3936</v>
      </c>
      <c r="B3941" s="229"/>
      <c r="C3941" s="223"/>
      <c r="D3941" s="224"/>
      <c r="E3941" s="225"/>
      <c r="F3941" s="1036" t="str">
        <f t="shared" si="1378"/>
        <v/>
      </c>
      <c r="G3941" s="1037" t="str">
        <f t="shared" si="1373"/>
        <v/>
      </c>
      <c r="H3941" s="225"/>
      <c r="I3941" s="1013"/>
      <c r="J3941" s="1013"/>
      <c r="K3941" s="1028"/>
      <c r="L3941" s="1035" t="str">
        <f t="shared" si="1377"/>
        <v/>
      </c>
      <c r="S3941" s="498"/>
      <c r="AJ3941" s="498"/>
      <c r="AM3941" s="498">
        <f t="shared" si="1358"/>
        <v>0</v>
      </c>
      <c r="AN3941" s="498">
        <f t="shared" si="1359"/>
        <v>0</v>
      </c>
      <c r="AO3941" s="498">
        <f t="shared" si="1360"/>
        <v>0</v>
      </c>
      <c r="AP3941" s="498">
        <f t="shared" si="1379"/>
        <v>0</v>
      </c>
      <c r="AQ3941" s="498">
        <f t="shared" si="1374"/>
        <v>0</v>
      </c>
      <c r="AU3941" s="498">
        <f t="shared" si="1361"/>
        <v>0</v>
      </c>
      <c r="AV3941" s="498">
        <f t="shared" si="1362"/>
        <v>0</v>
      </c>
      <c r="AW3941" s="498">
        <f t="shared" si="1363"/>
        <v>0</v>
      </c>
      <c r="AX3941" s="498">
        <f t="shared" si="1364"/>
        <v>0</v>
      </c>
      <c r="AY3941" s="498">
        <f t="shared" si="1365"/>
        <v>0</v>
      </c>
      <c r="BB3941" s="498" t="str">
        <f t="shared" si="1366"/>
        <v/>
      </c>
      <c r="BC3941" s="743" t="str">
        <f t="shared" si="1367"/>
        <v/>
      </c>
      <c r="BD3941" s="743" t="str">
        <f t="shared" si="1368"/>
        <v/>
      </c>
      <c r="BE3941" s="743" t="str">
        <f>IF(D3941="","",VLOOKUP(D3941,'General Basis'!$J$39:$K$46,2,0))</f>
        <v/>
      </c>
      <c r="BF3941" s="744" t="str">
        <f>IF(D3941="","",VLOOKUP(D3941,'General Basis'!$J$39:$L$46,3,0))</f>
        <v/>
      </c>
      <c r="BG3941" s="744" t="str">
        <f t="shared" si="1375"/>
        <v/>
      </c>
      <c r="BH3941" s="744" t="str">
        <f>IF(G3941="","",IF(BF3941="Abu Dhabi",IF(G3941&lt;18,'General Basis'!$C$39,IF(G3941&lt;41,'General Basis'!$C$40,IF(G3941&lt;60,'General Basis'!$C$41,IF(G3941&lt;65,'General Basis'!$C$42,'General Basis'!$C$43)))),IF(G3941&lt;11,'General Basis'!$B$39,IF(G3941&lt;18,'General Basis'!$B$40,IF(G3941&lt;26,'General Basis'!$B$41,IF(G3941&lt;31,'General Basis'!$B$42,IF(G3941&lt;36,'General Basis'!$B$43,IF(G3941&lt;41,'General Basis'!$B$44,IF(G3941&lt;46,'General Basis'!$B$45,IF(G3941&lt;51,'General Basis'!$B$46,IF(G3941&lt;56,'General Basis'!$B$47,IF(G3941&lt;60,'General Basis'!$B$48,IF(G3941&lt;65,'General Basis'!$B$49,'General Basis'!$B$50)))))))))))))</f>
        <v/>
      </c>
      <c r="BI3941" s="744" t="str">
        <f t="shared" si="1369"/>
        <v/>
      </c>
      <c r="BJ3941" s="747" t="str">
        <f t="shared" si="1376"/>
        <v/>
      </c>
      <c r="BK3941" s="498" t="str">
        <f t="shared" si="1370"/>
        <v/>
      </c>
      <c r="BL3941" s="498" t="str">
        <f t="shared" si="1371"/>
        <v/>
      </c>
    </row>
    <row r="3942" spans="1:64" x14ac:dyDescent="0.25">
      <c r="A3942" s="762">
        <f t="shared" si="1372"/>
        <v>3937</v>
      </c>
      <c r="B3942" s="229"/>
      <c r="C3942" s="223"/>
      <c r="D3942" s="224"/>
      <c r="E3942" s="225"/>
      <c r="F3942" s="1036" t="str">
        <f t="shared" si="1378"/>
        <v/>
      </c>
      <c r="G3942" s="1037" t="str">
        <f t="shared" si="1373"/>
        <v/>
      </c>
      <c r="H3942" s="225"/>
      <c r="I3942" s="1013"/>
      <c r="J3942" s="1013"/>
      <c r="K3942" s="1028"/>
      <c r="L3942" s="1035" t="str">
        <f t="shared" si="1377"/>
        <v/>
      </c>
      <c r="S3942" s="498"/>
      <c r="AJ3942" s="498"/>
      <c r="AM3942" s="498">
        <f t="shared" si="1358"/>
        <v>0</v>
      </c>
      <c r="AN3942" s="498">
        <f t="shared" si="1359"/>
        <v>0</v>
      </c>
      <c r="AO3942" s="498">
        <f t="shared" si="1360"/>
        <v>0</v>
      </c>
      <c r="AP3942" s="498">
        <f t="shared" si="1379"/>
        <v>0</v>
      </c>
      <c r="AQ3942" s="498">
        <f t="shared" si="1374"/>
        <v>0</v>
      </c>
      <c r="AU3942" s="498">
        <f t="shared" si="1361"/>
        <v>0</v>
      </c>
      <c r="AV3942" s="498">
        <f t="shared" si="1362"/>
        <v>0</v>
      </c>
      <c r="AW3942" s="498">
        <f t="shared" si="1363"/>
        <v>0</v>
      </c>
      <c r="AX3942" s="498">
        <f t="shared" si="1364"/>
        <v>0</v>
      </c>
      <c r="AY3942" s="498">
        <f t="shared" si="1365"/>
        <v>0</v>
      </c>
      <c r="BB3942" s="498" t="str">
        <f t="shared" si="1366"/>
        <v/>
      </c>
      <c r="BC3942" s="743" t="str">
        <f t="shared" si="1367"/>
        <v/>
      </c>
      <c r="BD3942" s="743" t="str">
        <f t="shared" si="1368"/>
        <v/>
      </c>
      <c r="BE3942" s="743" t="str">
        <f>IF(D3942="","",VLOOKUP(D3942,'General Basis'!$J$39:$K$46,2,0))</f>
        <v/>
      </c>
      <c r="BF3942" s="744" t="str">
        <f>IF(D3942="","",VLOOKUP(D3942,'General Basis'!$J$39:$L$46,3,0))</f>
        <v/>
      </c>
      <c r="BG3942" s="744" t="str">
        <f t="shared" si="1375"/>
        <v/>
      </c>
      <c r="BH3942" s="744" t="str">
        <f>IF(G3942="","",IF(BF3942="Abu Dhabi",IF(G3942&lt;18,'General Basis'!$C$39,IF(G3942&lt;41,'General Basis'!$C$40,IF(G3942&lt;60,'General Basis'!$C$41,IF(G3942&lt;65,'General Basis'!$C$42,'General Basis'!$C$43)))),IF(G3942&lt;11,'General Basis'!$B$39,IF(G3942&lt;18,'General Basis'!$B$40,IF(G3942&lt;26,'General Basis'!$B$41,IF(G3942&lt;31,'General Basis'!$B$42,IF(G3942&lt;36,'General Basis'!$B$43,IF(G3942&lt;41,'General Basis'!$B$44,IF(G3942&lt;46,'General Basis'!$B$45,IF(G3942&lt;51,'General Basis'!$B$46,IF(G3942&lt;56,'General Basis'!$B$47,IF(G3942&lt;60,'General Basis'!$B$48,IF(G3942&lt;65,'General Basis'!$B$49,'General Basis'!$B$50)))))))))))))</f>
        <v/>
      </c>
      <c r="BI3942" s="744" t="str">
        <f t="shared" si="1369"/>
        <v/>
      </c>
      <c r="BJ3942" s="747" t="str">
        <f t="shared" si="1376"/>
        <v/>
      </c>
      <c r="BK3942" s="498" t="str">
        <f t="shared" si="1370"/>
        <v/>
      </c>
      <c r="BL3942" s="498" t="str">
        <f t="shared" si="1371"/>
        <v/>
      </c>
    </row>
    <row r="3943" spans="1:64" x14ac:dyDescent="0.25">
      <c r="A3943" s="762">
        <f t="shared" si="1372"/>
        <v>3938</v>
      </c>
      <c r="B3943" s="229"/>
      <c r="C3943" s="223"/>
      <c r="D3943" s="224"/>
      <c r="E3943" s="225"/>
      <c r="F3943" s="1036" t="str">
        <f t="shared" si="1378"/>
        <v/>
      </c>
      <c r="G3943" s="1037" t="str">
        <f t="shared" si="1373"/>
        <v/>
      </c>
      <c r="H3943" s="225"/>
      <c r="I3943" s="1013"/>
      <c r="J3943" s="1013"/>
      <c r="K3943" s="1028"/>
      <c r="L3943" s="1035" t="str">
        <f t="shared" si="1377"/>
        <v/>
      </c>
      <c r="S3943" s="498"/>
      <c r="AJ3943" s="498"/>
      <c r="AM3943" s="498">
        <f t="shared" si="1358"/>
        <v>0</v>
      </c>
      <c r="AN3943" s="498">
        <f t="shared" si="1359"/>
        <v>0</v>
      </c>
      <c r="AO3943" s="498">
        <f t="shared" si="1360"/>
        <v>0</v>
      </c>
      <c r="AP3943" s="498">
        <f t="shared" si="1379"/>
        <v>0</v>
      </c>
      <c r="AQ3943" s="498">
        <f t="shared" si="1374"/>
        <v>0</v>
      </c>
      <c r="AU3943" s="498">
        <f t="shared" si="1361"/>
        <v>0</v>
      </c>
      <c r="AV3943" s="498">
        <f t="shared" si="1362"/>
        <v>0</v>
      </c>
      <c r="AW3943" s="498">
        <f t="shared" si="1363"/>
        <v>0</v>
      </c>
      <c r="AX3943" s="498">
        <f t="shared" si="1364"/>
        <v>0</v>
      </c>
      <c r="AY3943" s="498">
        <f t="shared" si="1365"/>
        <v>0</v>
      </c>
      <c r="BB3943" s="498" t="str">
        <f t="shared" si="1366"/>
        <v/>
      </c>
      <c r="BC3943" s="743" t="str">
        <f t="shared" si="1367"/>
        <v/>
      </c>
      <c r="BD3943" s="743" t="str">
        <f t="shared" si="1368"/>
        <v/>
      </c>
      <c r="BE3943" s="743" t="str">
        <f>IF(D3943="","",VLOOKUP(D3943,'General Basis'!$J$39:$K$46,2,0))</f>
        <v/>
      </c>
      <c r="BF3943" s="744" t="str">
        <f>IF(D3943="","",VLOOKUP(D3943,'General Basis'!$J$39:$L$46,3,0))</f>
        <v/>
      </c>
      <c r="BG3943" s="744" t="str">
        <f t="shared" si="1375"/>
        <v/>
      </c>
      <c r="BH3943" s="744" t="str">
        <f>IF(G3943="","",IF(BF3943="Abu Dhabi",IF(G3943&lt;18,'General Basis'!$C$39,IF(G3943&lt;41,'General Basis'!$C$40,IF(G3943&lt;60,'General Basis'!$C$41,IF(G3943&lt;65,'General Basis'!$C$42,'General Basis'!$C$43)))),IF(G3943&lt;11,'General Basis'!$B$39,IF(G3943&lt;18,'General Basis'!$B$40,IF(G3943&lt;26,'General Basis'!$B$41,IF(G3943&lt;31,'General Basis'!$B$42,IF(G3943&lt;36,'General Basis'!$B$43,IF(G3943&lt;41,'General Basis'!$B$44,IF(G3943&lt;46,'General Basis'!$B$45,IF(G3943&lt;51,'General Basis'!$B$46,IF(G3943&lt;56,'General Basis'!$B$47,IF(G3943&lt;60,'General Basis'!$B$48,IF(G3943&lt;65,'General Basis'!$B$49,'General Basis'!$B$50)))))))))))))</f>
        <v/>
      </c>
      <c r="BI3943" s="744" t="str">
        <f t="shared" si="1369"/>
        <v/>
      </c>
      <c r="BJ3943" s="747" t="str">
        <f t="shared" si="1376"/>
        <v/>
      </c>
      <c r="BK3943" s="498" t="str">
        <f t="shared" si="1370"/>
        <v/>
      </c>
      <c r="BL3943" s="498" t="str">
        <f t="shared" si="1371"/>
        <v/>
      </c>
    </row>
    <row r="3944" spans="1:64" x14ac:dyDescent="0.25">
      <c r="A3944" s="762">
        <f t="shared" si="1372"/>
        <v>3939</v>
      </c>
      <c r="B3944" s="229"/>
      <c r="C3944" s="223"/>
      <c r="D3944" s="224"/>
      <c r="E3944" s="225"/>
      <c r="F3944" s="1036" t="str">
        <f t="shared" si="1378"/>
        <v/>
      </c>
      <c r="G3944" s="1037" t="str">
        <f t="shared" si="1373"/>
        <v/>
      </c>
      <c r="H3944" s="225"/>
      <c r="I3944" s="1013"/>
      <c r="J3944" s="1013"/>
      <c r="K3944" s="1028"/>
      <c r="L3944" s="1035" t="str">
        <f t="shared" si="1377"/>
        <v/>
      </c>
      <c r="S3944" s="498"/>
      <c r="AJ3944" s="498"/>
      <c r="AM3944" s="498">
        <f t="shared" si="1358"/>
        <v>0</v>
      </c>
      <c r="AN3944" s="498">
        <f t="shared" si="1359"/>
        <v>0</v>
      </c>
      <c r="AO3944" s="498">
        <f t="shared" si="1360"/>
        <v>0</v>
      </c>
      <c r="AP3944" s="498">
        <f t="shared" si="1379"/>
        <v>0</v>
      </c>
      <c r="AQ3944" s="498">
        <f t="shared" si="1374"/>
        <v>0</v>
      </c>
      <c r="AU3944" s="498">
        <f t="shared" si="1361"/>
        <v>0</v>
      </c>
      <c r="AV3944" s="498">
        <f t="shared" si="1362"/>
        <v>0</v>
      </c>
      <c r="AW3944" s="498">
        <f t="shared" si="1363"/>
        <v>0</v>
      </c>
      <c r="AX3944" s="498">
        <f t="shared" si="1364"/>
        <v>0</v>
      </c>
      <c r="AY3944" s="498">
        <f t="shared" si="1365"/>
        <v>0</v>
      </c>
      <c r="BB3944" s="498" t="str">
        <f t="shared" si="1366"/>
        <v/>
      </c>
      <c r="BC3944" s="743" t="str">
        <f t="shared" si="1367"/>
        <v/>
      </c>
      <c r="BD3944" s="743" t="str">
        <f t="shared" si="1368"/>
        <v/>
      </c>
      <c r="BE3944" s="743" t="str">
        <f>IF(D3944="","",VLOOKUP(D3944,'General Basis'!$J$39:$K$46,2,0))</f>
        <v/>
      </c>
      <c r="BF3944" s="744" t="str">
        <f>IF(D3944="","",VLOOKUP(D3944,'General Basis'!$J$39:$L$46,3,0))</f>
        <v/>
      </c>
      <c r="BG3944" s="744" t="str">
        <f t="shared" si="1375"/>
        <v/>
      </c>
      <c r="BH3944" s="744" t="str">
        <f>IF(G3944="","",IF(BF3944="Abu Dhabi",IF(G3944&lt;18,'General Basis'!$C$39,IF(G3944&lt;41,'General Basis'!$C$40,IF(G3944&lt;60,'General Basis'!$C$41,IF(G3944&lt;65,'General Basis'!$C$42,'General Basis'!$C$43)))),IF(G3944&lt;11,'General Basis'!$B$39,IF(G3944&lt;18,'General Basis'!$B$40,IF(G3944&lt;26,'General Basis'!$B$41,IF(G3944&lt;31,'General Basis'!$B$42,IF(G3944&lt;36,'General Basis'!$B$43,IF(G3944&lt;41,'General Basis'!$B$44,IF(G3944&lt;46,'General Basis'!$B$45,IF(G3944&lt;51,'General Basis'!$B$46,IF(G3944&lt;56,'General Basis'!$B$47,IF(G3944&lt;60,'General Basis'!$B$48,IF(G3944&lt;65,'General Basis'!$B$49,'General Basis'!$B$50)))))))))))))</f>
        <v/>
      </c>
      <c r="BI3944" s="744" t="str">
        <f t="shared" si="1369"/>
        <v/>
      </c>
      <c r="BJ3944" s="747" t="str">
        <f t="shared" si="1376"/>
        <v/>
      </c>
      <c r="BK3944" s="498" t="str">
        <f t="shared" si="1370"/>
        <v/>
      </c>
      <c r="BL3944" s="498" t="str">
        <f t="shared" si="1371"/>
        <v/>
      </c>
    </row>
    <row r="3945" spans="1:64" x14ac:dyDescent="0.25">
      <c r="A3945" s="762">
        <f t="shared" si="1372"/>
        <v>3940</v>
      </c>
      <c r="B3945" s="229"/>
      <c r="C3945" s="223"/>
      <c r="D3945" s="224"/>
      <c r="E3945" s="225"/>
      <c r="F3945" s="1036" t="str">
        <f t="shared" si="1378"/>
        <v/>
      </c>
      <c r="G3945" s="1037" t="str">
        <f t="shared" si="1373"/>
        <v/>
      </c>
      <c r="H3945" s="225"/>
      <c r="I3945" s="1013"/>
      <c r="J3945" s="1013"/>
      <c r="K3945" s="1028"/>
      <c r="L3945" s="1035" t="str">
        <f t="shared" si="1377"/>
        <v/>
      </c>
      <c r="S3945" s="498"/>
      <c r="AJ3945" s="498"/>
      <c r="AM3945" s="498">
        <f t="shared" si="1358"/>
        <v>0</v>
      </c>
      <c r="AN3945" s="498">
        <f t="shared" si="1359"/>
        <v>0</v>
      </c>
      <c r="AO3945" s="498">
        <f t="shared" si="1360"/>
        <v>0</v>
      </c>
      <c r="AP3945" s="498">
        <f t="shared" si="1379"/>
        <v>0</v>
      </c>
      <c r="AQ3945" s="498">
        <f t="shared" si="1374"/>
        <v>0</v>
      </c>
      <c r="AU3945" s="498">
        <f t="shared" si="1361"/>
        <v>0</v>
      </c>
      <c r="AV3945" s="498">
        <f t="shared" si="1362"/>
        <v>0</v>
      </c>
      <c r="AW3945" s="498">
        <f t="shared" si="1363"/>
        <v>0</v>
      </c>
      <c r="AX3945" s="498">
        <f t="shared" si="1364"/>
        <v>0</v>
      </c>
      <c r="AY3945" s="498">
        <f t="shared" si="1365"/>
        <v>0</v>
      </c>
      <c r="BB3945" s="498" t="str">
        <f t="shared" si="1366"/>
        <v/>
      </c>
      <c r="BC3945" s="743" t="str">
        <f t="shared" si="1367"/>
        <v/>
      </c>
      <c r="BD3945" s="743" t="str">
        <f t="shared" si="1368"/>
        <v/>
      </c>
      <c r="BE3945" s="743" t="str">
        <f>IF(D3945="","",VLOOKUP(D3945,'General Basis'!$J$39:$K$46,2,0))</f>
        <v/>
      </c>
      <c r="BF3945" s="744" t="str">
        <f>IF(D3945="","",VLOOKUP(D3945,'General Basis'!$J$39:$L$46,3,0))</f>
        <v/>
      </c>
      <c r="BG3945" s="744" t="str">
        <f t="shared" si="1375"/>
        <v/>
      </c>
      <c r="BH3945" s="744" t="str">
        <f>IF(G3945="","",IF(BF3945="Abu Dhabi",IF(G3945&lt;18,'General Basis'!$C$39,IF(G3945&lt;41,'General Basis'!$C$40,IF(G3945&lt;60,'General Basis'!$C$41,IF(G3945&lt;65,'General Basis'!$C$42,'General Basis'!$C$43)))),IF(G3945&lt;11,'General Basis'!$B$39,IF(G3945&lt;18,'General Basis'!$B$40,IF(G3945&lt;26,'General Basis'!$B$41,IF(G3945&lt;31,'General Basis'!$B$42,IF(G3945&lt;36,'General Basis'!$B$43,IF(G3945&lt;41,'General Basis'!$B$44,IF(G3945&lt;46,'General Basis'!$B$45,IF(G3945&lt;51,'General Basis'!$B$46,IF(G3945&lt;56,'General Basis'!$B$47,IF(G3945&lt;60,'General Basis'!$B$48,IF(G3945&lt;65,'General Basis'!$B$49,'General Basis'!$B$50)))))))))))))</f>
        <v/>
      </c>
      <c r="BI3945" s="744" t="str">
        <f t="shared" si="1369"/>
        <v/>
      </c>
      <c r="BJ3945" s="747" t="str">
        <f t="shared" si="1376"/>
        <v/>
      </c>
      <c r="BK3945" s="498" t="str">
        <f t="shared" si="1370"/>
        <v/>
      </c>
      <c r="BL3945" s="498" t="str">
        <f t="shared" si="1371"/>
        <v/>
      </c>
    </row>
    <row r="3946" spans="1:64" x14ac:dyDescent="0.25">
      <c r="A3946" s="762">
        <f t="shared" si="1372"/>
        <v>3941</v>
      </c>
      <c r="B3946" s="229"/>
      <c r="C3946" s="223"/>
      <c r="D3946" s="224"/>
      <c r="E3946" s="225"/>
      <c r="F3946" s="1036" t="str">
        <f t="shared" si="1378"/>
        <v/>
      </c>
      <c r="G3946" s="1037" t="str">
        <f t="shared" si="1373"/>
        <v/>
      </c>
      <c r="H3946" s="225"/>
      <c r="I3946" s="1013"/>
      <c r="J3946" s="1013"/>
      <c r="K3946" s="1028"/>
      <c r="L3946" s="1035" t="str">
        <f t="shared" si="1377"/>
        <v/>
      </c>
      <c r="S3946" s="498"/>
      <c r="AJ3946" s="498"/>
      <c r="AM3946" s="498">
        <f t="shared" si="1358"/>
        <v>0</v>
      </c>
      <c r="AN3946" s="498">
        <f t="shared" si="1359"/>
        <v>0</v>
      </c>
      <c r="AO3946" s="498">
        <f t="shared" si="1360"/>
        <v>0</v>
      </c>
      <c r="AP3946" s="498">
        <f t="shared" si="1379"/>
        <v>0</v>
      </c>
      <c r="AQ3946" s="498">
        <f t="shared" si="1374"/>
        <v>0</v>
      </c>
      <c r="AU3946" s="498">
        <f t="shared" si="1361"/>
        <v>0</v>
      </c>
      <c r="AV3946" s="498">
        <f t="shared" si="1362"/>
        <v>0</v>
      </c>
      <c r="AW3946" s="498">
        <f t="shared" si="1363"/>
        <v>0</v>
      </c>
      <c r="AX3946" s="498">
        <f t="shared" si="1364"/>
        <v>0</v>
      </c>
      <c r="AY3946" s="498">
        <f t="shared" si="1365"/>
        <v>0</v>
      </c>
      <c r="BB3946" s="498" t="str">
        <f t="shared" si="1366"/>
        <v/>
      </c>
      <c r="BC3946" s="743" t="str">
        <f t="shared" si="1367"/>
        <v/>
      </c>
      <c r="BD3946" s="743" t="str">
        <f t="shared" si="1368"/>
        <v/>
      </c>
      <c r="BE3946" s="743" t="str">
        <f>IF(D3946="","",VLOOKUP(D3946,'General Basis'!$J$39:$K$46,2,0))</f>
        <v/>
      </c>
      <c r="BF3946" s="744" t="str">
        <f>IF(D3946="","",VLOOKUP(D3946,'General Basis'!$J$39:$L$46,3,0))</f>
        <v/>
      </c>
      <c r="BG3946" s="744" t="str">
        <f t="shared" si="1375"/>
        <v/>
      </c>
      <c r="BH3946" s="744" t="str">
        <f>IF(G3946="","",IF(BF3946="Abu Dhabi",IF(G3946&lt;18,'General Basis'!$C$39,IF(G3946&lt;41,'General Basis'!$C$40,IF(G3946&lt;60,'General Basis'!$C$41,IF(G3946&lt;65,'General Basis'!$C$42,'General Basis'!$C$43)))),IF(G3946&lt;11,'General Basis'!$B$39,IF(G3946&lt;18,'General Basis'!$B$40,IF(G3946&lt;26,'General Basis'!$B$41,IF(G3946&lt;31,'General Basis'!$B$42,IF(G3946&lt;36,'General Basis'!$B$43,IF(G3946&lt;41,'General Basis'!$B$44,IF(G3946&lt;46,'General Basis'!$B$45,IF(G3946&lt;51,'General Basis'!$B$46,IF(G3946&lt;56,'General Basis'!$B$47,IF(G3946&lt;60,'General Basis'!$B$48,IF(G3946&lt;65,'General Basis'!$B$49,'General Basis'!$B$50)))))))))))))</f>
        <v/>
      </c>
      <c r="BI3946" s="744" t="str">
        <f t="shared" si="1369"/>
        <v/>
      </c>
      <c r="BJ3946" s="747" t="str">
        <f t="shared" si="1376"/>
        <v/>
      </c>
      <c r="BK3946" s="498" t="str">
        <f t="shared" si="1370"/>
        <v/>
      </c>
      <c r="BL3946" s="498" t="str">
        <f t="shared" si="1371"/>
        <v/>
      </c>
    </row>
    <row r="3947" spans="1:64" x14ac:dyDescent="0.25">
      <c r="A3947" s="762">
        <f t="shared" si="1372"/>
        <v>3942</v>
      </c>
      <c r="B3947" s="229"/>
      <c r="C3947" s="223"/>
      <c r="D3947" s="224"/>
      <c r="E3947" s="225"/>
      <c r="F3947" s="1036" t="str">
        <f t="shared" si="1378"/>
        <v/>
      </c>
      <c r="G3947" s="1037" t="str">
        <f t="shared" si="1373"/>
        <v/>
      </c>
      <c r="H3947" s="225"/>
      <c r="I3947" s="1013"/>
      <c r="J3947" s="1013"/>
      <c r="K3947" s="1028"/>
      <c r="L3947" s="1035" t="str">
        <f t="shared" si="1377"/>
        <v/>
      </c>
      <c r="S3947" s="498"/>
      <c r="AJ3947" s="498"/>
      <c r="AM3947" s="498">
        <f t="shared" si="1358"/>
        <v>0</v>
      </c>
      <c r="AN3947" s="498">
        <f t="shared" si="1359"/>
        <v>0</v>
      </c>
      <c r="AO3947" s="498">
        <f t="shared" si="1360"/>
        <v>0</v>
      </c>
      <c r="AP3947" s="498">
        <f t="shared" si="1379"/>
        <v>0</v>
      </c>
      <c r="AQ3947" s="498">
        <f t="shared" si="1374"/>
        <v>0</v>
      </c>
      <c r="AU3947" s="498">
        <f t="shared" si="1361"/>
        <v>0</v>
      </c>
      <c r="AV3947" s="498">
        <f t="shared" si="1362"/>
        <v>0</v>
      </c>
      <c r="AW3947" s="498">
        <f t="shared" si="1363"/>
        <v>0</v>
      </c>
      <c r="AX3947" s="498">
        <f t="shared" si="1364"/>
        <v>0</v>
      </c>
      <c r="AY3947" s="498">
        <f t="shared" si="1365"/>
        <v>0</v>
      </c>
      <c r="BB3947" s="498" t="str">
        <f t="shared" si="1366"/>
        <v/>
      </c>
      <c r="BC3947" s="743" t="str">
        <f t="shared" si="1367"/>
        <v/>
      </c>
      <c r="BD3947" s="743" t="str">
        <f t="shared" si="1368"/>
        <v/>
      </c>
      <c r="BE3947" s="743" t="str">
        <f>IF(D3947="","",VLOOKUP(D3947,'General Basis'!$J$39:$K$46,2,0))</f>
        <v/>
      </c>
      <c r="BF3947" s="744" t="str">
        <f>IF(D3947="","",VLOOKUP(D3947,'General Basis'!$J$39:$L$46,3,0))</f>
        <v/>
      </c>
      <c r="BG3947" s="744" t="str">
        <f t="shared" si="1375"/>
        <v/>
      </c>
      <c r="BH3947" s="744" t="str">
        <f>IF(G3947="","",IF(BF3947="Abu Dhabi",IF(G3947&lt;18,'General Basis'!$C$39,IF(G3947&lt;41,'General Basis'!$C$40,IF(G3947&lt;60,'General Basis'!$C$41,IF(G3947&lt;65,'General Basis'!$C$42,'General Basis'!$C$43)))),IF(G3947&lt;11,'General Basis'!$B$39,IF(G3947&lt;18,'General Basis'!$B$40,IF(G3947&lt;26,'General Basis'!$B$41,IF(G3947&lt;31,'General Basis'!$B$42,IF(G3947&lt;36,'General Basis'!$B$43,IF(G3947&lt;41,'General Basis'!$B$44,IF(G3947&lt;46,'General Basis'!$B$45,IF(G3947&lt;51,'General Basis'!$B$46,IF(G3947&lt;56,'General Basis'!$B$47,IF(G3947&lt;60,'General Basis'!$B$48,IF(G3947&lt;65,'General Basis'!$B$49,'General Basis'!$B$50)))))))))))))</f>
        <v/>
      </c>
      <c r="BI3947" s="744" t="str">
        <f t="shared" si="1369"/>
        <v/>
      </c>
      <c r="BJ3947" s="747" t="str">
        <f t="shared" si="1376"/>
        <v/>
      </c>
      <c r="BK3947" s="498" t="str">
        <f t="shared" si="1370"/>
        <v/>
      </c>
      <c r="BL3947" s="498" t="str">
        <f t="shared" si="1371"/>
        <v/>
      </c>
    </row>
    <row r="3948" spans="1:64" x14ac:dyDescent="0.25">
      <c r="A3948" s="762">
        <f t="shared" si="1372"/>
        <v>3943</v>
      </c>
      <c r="B3948" s="229"/>
      <c r="C3948" s="223"/>
      <c r="D3948" s="224"/>
      <c r="E3948" s="225"/>
      <c r="F3948" s="1036" t="str">
        <f t="shared" si="1378"/>
        <v/>
      </c>
      <c r="G3948" s="1037" t="str">
        <f t="shared" si="1373"/>
        <v/>
      </c>
      <c r="H3948" s="225"/>
      <c r="I3948" s="1013"/>
      <c r="J3948" s="1013"/>
      <c r="K3948" s="1028"/>
      <c r="L3948" s="1035" t="str">
        <f t="shared" si="1377"/>
        <v/>
      </c>
      <c r="S3948" s="498"/>
      <c r="AJ3948" s="498"/>
      <c r="AM3948" s="498">
        <f t="shared" si="1358"/>
        <v>0</v>
      </c>
      <c r="AN3948" s="498">
        <f t="shared" si="1359"/>
        <v>0</v>
      </c>
      <c r="AO3948" s="498">
        <f t="shared" si="1360"/>
        <v>0</v>
      </c>
      <c r="AP3948" s="498">
        <f t="shared" si="1379"/>
        <v>0</v>
      </c>
      <c r="AQ3948" s="498">
        <f t="shared" si="1374"/>
        <v>0</v>
      </c>
      <c r="AU3948" s="498">
        <f t="shared" si="1361"/>
        <v>0</v>
      </c>
      <c r="AV3948" s="498">
        <f t="shared" si="1362"/>
        <v>0</v>
      </c>
      <c r="AW3948" s="498">
        <f t="shared" si="1363"/>
        <v>0</v>
      </c>
      <c r="AX3948" s="498">
        <f t="shared" si="1364"/>
        <v>0</v>
      </c>
      <c r="AY3948" s="498">
        <f t="shared" si="1365"/>
        <v>0</v>
      </c>
      <c r="BB3948" s="498" t="str">
        <f t="shared" si="1366"/>
        <v/>
      </c>
      <c r="BC3948" s="743" t="str">
        <f t="shared" si="1367"/>
        <v/>
      </c>
      <c r="BD3948" s="743" t="str">
        <f t="shared" si="1368"/>
        <v/>
      </c>
      <c r="BE3948" s="743" t="str">
        <f>IF(D3948="","",VLOOKUP(D3948,'General Basis'!$J$39:$K$46,2,0))</f>
        <v/>
      </c>
      <c r="BF3948" s="744" t="str">
        <f>IF(D3948="","",VLOOKUP(D3948,'General Basis'!$J$39:$L$46,3,0))</f>
        <v/>
      </c>
      <c r="BG3948" s="744" t="str">
        <f t="shared" si="1375"/>
        <v/>
      </c>
      <c r="BH3948" s="744" t="str">
        <f>IF(G3948="","",IF(BF3948="Abu Dhabi",IF(G3948&lt;18,'General Basis'!$C$39,IF(G3948&lt;41,'General Basis'!$C$40,IF(G3948&lt;60,'General Basis'!$C$41,IF(G3948&lt;65,'General Basis'!$C$42,'General Basis'!$C$43)))),IF(G3948&lt;11,'General Basis'!$B$39,IF(G3948&lt;18,'General Basis'!$B$40,IF(G3948&lt;26,'General Basis'!$B$41,IF(G3948&lt;31,'General Basis'!$B$42,IF(G3948&lt;36,'General Basis'!$B$43,IF(G3948&lt;41,'General Basis'!$B$44,IF(G3948&lt;46,'General Basis'!$B$45,IF(G3948&lt;51,'General Basis'!$B$46,IF(G3948&lt;56,'General Basis'!$B$47,IF(G3948&lt;60,'General Basis'!$B$48,IF(G3948&lt;65,'General Basis'!$B$49,'General Basis'!$B$50)))))))))))))</f>
        <v/>
      </c>
      <c r="BI3948" s="744" t="str">
        <f t="shared" si="1369"/>
        <v/>
      </c>
      <c r="BJ3948" s="747" t="str">
        <f t="shared" si="1376"/>
        <v/>
      </c>
      <c r="BK3948" s="498" t="str">
        <f t="shared" si="1370"/>
        <v/>
      </c>
      <c r="BL3948" s="498" t="str">
        <f t="shared" si="1371"/>
        <v/>
      </c>
    </row>
    <row r="3949" spans="1:64" x14ac:dyDescent="0.25">
      <c r="A3949" s="762">
        <f t="shared" si="1372"/>
        <v>3944</v>
      </c>
      <c r="B3949" s="229"/>
      <c r="C3949" s="223"/>
      <c r="D3949" s="224"/>
      <c r="E3949" s="225"/>
      <c r="F3949" s="1036" t="str">
        <f t="shared" si="1378"/>
        <v/>
      </c>
      <c r="G3949" s="1037" t="str">
        <f t="shared" si="1373"/>
        <v/>
      </c>
      <c r="H3949" s="225"/>
      <c r="I3949" s="1013"/>
      <c r="J3949" s="1013"/>
      <c r="K3949" s="1028"/>
      <c r="L3949" s="1035" t="str">
        <f t="shared" si="1377"/>
        <v/>
      </c>
      <c r="S3949" s="498"/>
      <c r="AJ3949" s="498"/>
      <c r="AM3949" s="498">
        <f t="shared" si="1358"/>
        <v>0</v>
      </c>
      <c r="AN3949" s="498">
        <f t="shared" si="1359"/>
        <v>0</v>
      </c>
      <c r="AO3949" s="498">
        <f t="shared" si="1360"/>
        <v>0</v>
      </c>
      <c r="AP3949" s="498">
        <f t="shared" si="1379"/>
        <v>0</v>
      </c>
      <c r="AQ3949" s="498">
        <f t="shared" si="1374"/>
        <v>0</v>
      </c>
      <c r="AU3949" s="498">
        <f t="shared" si="1361"/>
        <v>0</v>
      </c>
      <c r="AV3949" s="498">
        <f t="shared" si="1362"/>
        <v>0</v>
      </c>
      <c r="AW3949" s="498">
        <f t="shared" si="1363"/>
        <v>0</v>
      </c>
      <c r="AX3949" s="498">
        <f t="shared" si="1364"/>
        <v>0</v>
      </c>
      <c r="AY3949" s="498">
        <f t="shared" si="1365"/>
        <v>0</v>
      </c>
      <c r="BB3949" s="498" t="str">
        <f t="shared" si="1366"/>
        <v/>
      </c>
      <c r="BC3949" s="743" t="str">
        <f t="shared" si="1367"/>
        <v/>
      </c>
      <c r="BD3949" s="743" t="str">
        <f t="shared" si="1368"/>
        <v/>
      </c>
      <c r="BE3949" s="743" t="str">
        <f>IF(D3949="","",VLOOKUP(D3949,'General Basis'!$J$39:$K$46,2,0))</f>
        <v/>
      </c>
      <c r="BF3949" s="744" t="str">
        <f>IF(D3949="","",VLOOKUP(D3949,'General Basis'!$J$39:$L$46,3,0))</f>
        <v/>
      </c>
      <c r="BG3949" s="744" t="str">
        <f t="shared" si="1375"/>
        <v/>
      </c>
      <c r="BH3949" s="744" t="str">
        <f>IF(G3949="","",IF(BF3949="Abu Dhabi",IF(G3949&lt;18,'General Basis'!$C$39,IF(G3949&lt;41,'General Basis'!$C$40,IF(G3949&lt;60,'General Basis'!$C$41,IF(G3949&lt;65,'General Basis'!$C$42,'General Basis'!$C$43)))),IF(G3949&lt;11,'General Basis'!$B$39,IF(G3949&lt;18,'General Basis'!$B$40,IF(G3949&lt;26,'General Basis'!$B$41,IF(G3949&lt;31,'General Basis'!$B$42,IF(G3949&lt;36,'General Basis'!$B$43,IF(G3949&lt;41,'General Basis'!$B$44,IF(G3949&lt;46,'General Basis'!$B$45,IF(G3949&lt;51,'General Basis'!$B$46,IF(G3949&lt;56,'General Basis'!$B$47,IF(G3949&lt;60,'General Basis'!$B$48,IF(G3949&lt;65,'General Basis'!$B$49,'General Basis'!$B$50)))))))))))))</f>
        <v/>
      </c>
      <c r="BI3949" s="744" t="str">
        <f t="shared" si="1369"/>
        <v/>
      </c>
      <c r="BJ3949" s="747" t="str">
        <f t="shared" si="1376"/>
        <v/>
      </c>
      <c r="BK3949" s="498" t="str">
        <f t="shared" si="1370"/>
        <v/>
      </c>
      <c r="BL3949" s="498" t="str">
        <f t="shared" si="1371"/>
        <v/>
      </c>
    </row>
    <row r="3950" spans="1:64" x14ac:dyDescent="0.25">
      <c r="A3950" s="762">
        <f t="shared" si="1372"/>
        <v>3945</v>
      </c>
      <c r="B3950" s="229"/>
      <c r="C3950" s="223"/>
      <c r="D3950" s="224"/>
      <c r="E3950" s="225"/>
      <c r="F3950" s="1036" t="str">
        <f t="shared" si="1378"/>
        <v/>
      </c>
      <c r="G3950" s="1037" t="str">
        <f t="shared" si="1373"/>
        <v/>
      </c>
      <c r="H3950" s="225"/>
      <c r="I3950" s="1013"/>
      <c r="J3950" s="1013"/>
      <c r="K3950" s="1028"/>
      <c r="L3950" s="1035" t="str">
        <f t="shared" si="1377"/>
        <v/>
      </c>
      <c r="S3950" s="498"/>
      <c r="AJ3950" s="498"/>
      <c r="AM3950" s="498">
        <f t="shared" si="1358"/>
        <v>0</v>
      </c>
      <c r="AN3950" s="498">
        <f t="shared" si="1359"/>
        <v>0</v>
      </c>
      <c r="AO3950" s="498">
        <f t="shared" si="1360"/>
        <v>0</v>
      </c>
      <c r="AP3950" s="498">
        <f t="shared" si="1379"/>
        <v>0</v>
      </c>
      <c r="AQ3950" s="498">
        <f t="shared" si="1374"/>
        <v>0</v>
      </c>
      <c r="AU3950" s="498">
        <f t="shared" si="1361"/>
        <v>0</v>
      </c>
      <c r="AV3950" s="498">
        <f t="shared" si="1362"/>
        <v>0</v>
      </c>
      <c r="AW3950" s="498">
        <f t="shared" si="1363"/>
        <v>0</v>
      </c>
      <c r="AX3950" s="498">
        <f t="shared" si="1364"/>
        <v>0</v>
      </c>
      <c r="AY3950" s="498">
        <f t="shared" si="1365"/>
        <v>0</v>
      </c>
      <c r="BB3950" s="498" t="str">
        <f t="shared" si="1366"/>
        <v/>
      </c>
      <c r="BC3950" s="743" t="str">
        <f t="shared" si="1367"/>
        <v/>
      </c>
      <c r="BD3950" s="743" t="str">
        <f t="shared" si="1368"/>
        <v/>
      </c>
      <c r="BE3950" s="743" t="str">
        <f>IF(D3950="","",VLOOKUP(D3950,'General Basis'!$J$39:$K$46,2,0))</f>
        <v/>
      </c>
      <c r="BF3950" s="744" t="str">
        <f>IF(D3950="","",VLOOKUP(D3950,'General Basis'!$J$39:$L$46,3,0))</f>
        <v/>
      </c>
      <c r="BG3950" s="744" t="str">
        <f t="shared" si="1375"/>
        <v/>
      </c>
      <c r="BH3950" s="744" t="str">
        <f>IF(G3950="","",IF(BF3950="Abu Dhabi",IF(G3950&lt;18,'General Basis'!$C$39,IF(G3950&lt;41,'General Basis'!$C$40,IF(G3950&lt;60,'General Basis'!$C$41,IF(G3950&lt;65,'General Basis'!$C$42,'General Basis'!$C$43)))),IF(G3950&lt;11,'General Basis'!$B$39,IF(G3950&lt;18,'General Basis'!$B$40,IF(G3950&lt;26,'General Basis'!$B$41,IF(G3950&lt;31,'General Basis'!$B$42,IF(G3950&lt;36,'General Basis'!$B$43,IF(G3950&lt;41,'General Basis'!$B$44,IF(G3950&lt;46,'General Basis'!$B$45,IF(G3950&lt;51,'General Basis'!$B$46,IF(G3950&lt;56,'General Basis'!$B$47,IF(G3950&lt;60,'General Basis'!$B$48,IF(G3950&lt;65,'General Basis'!$B$49,'General Basis'!$B$50)))))))))))))</f>
        <v/>
      </c>
      <c r="BI3950" s="744" t="str">
        <f t="shared" si="1369"/>
        <v/>
      </c>
      <c r="BJ3950" s="747" t="str">
        <f t="shared" si="1376"/>
        <v/>
      </c>
      <c r="BK3950" s="498" t="str">
        <f t="shared" si="1370"/>
        <v/>
      </c>
      <c r="BL3950" s="498" t="str">
        <f t="shared" si="1371"/>
        <v/>
      </c>
    </row>
    <row r="3951" spans="1:64" x14ac:dyDescent="0.25">
      <c r="A3951" s="762">
        <f t="shared" si="1372"/>
        <v>3946</v>
      </c>
      <c r="B3951" s="229"/>
      <c r="C3951" s="223"/>
      <c r="D3951" s="224"/>
      <c r="E3951" s="225"/>
      <c r="F3951" s="1036" t="str">
        <f t="shared" si="1378"/>
        <v/>
      </c>
      <c r="G3951" s="1037" t="str">
        <f t="shared" si="1373"/>
        <v/>
      </c>
      <c r="H3951" s="225"/>
      <c r="I3951" s="1013"/>
      <c r="J3951" s="1013"/>
      <c r="K3951" s="1028"/>
      <c r="L3951" s="1035" t="str">
        <f t="shared" si="1377"/>
        <v/>
      </c>
      <c r="S3951" s="498"/>
      <c r="AJ3951" s="498"/>
      <c r="AM3951" s="498">
        <f t="shared" si="1358"/>
        <v>0</v>
      </c>
      <c r="AN3951" s="498">
        <f t="shared" si="1359"/>
        <v>0</v>
      </c>
      <c r="AO3951" s="498">
        <f t="shared" si="1360"/>
        <v>0</v>
      </c>
      <c r="AP3951" s="498">
        <f t="shared" si="1379"/>
        <v>0</v>
      </c>
      <c r="AQ3951" s="498">
        <f t="shared" si="1374"/>
        <v>0</v>
      </c>
      <c r="AU3951" s="498">
        <f t="shared" si="1361"/>
        <v>0</v>
      </c>
      <c r="AV3951" s="498">
        <f t="shared" si="1362"/>
        <v>0</v>
      </c>
      <c r="AW3951" s="498">
        <f t="shared" si="1363"/>
        <v>0</v>
      </c>
      <c r="AX3951" s="498">
        <f t="shared" si="1364"/>
        <v>0</v>
      </c>
      <c r="AY3951" s="498">
        <f t="shared" si="1365"/>
        <v>0</v>
      </c>
      <c r="BB3951" s="498" t="str">
        <f t="shared" si="1366"/>
        <v/>
      </c>
      <c r="BC3951" s="743" t="str">
        <f t="shared" si="1367"/>
        <v/>
      </c>
      <c r="BD3951" s="743" t="str">
        <f t="shared" si="1368"/>
        <v/>
      </c>
      <c r="BE3951" s="743" t="str">
        <f>IF(D3951="","",VLOOKUP(D3951,'General Basis'!$J$39:$K$46,2,0))</f>
        <v/>
      </c>
      <c r="BF3951" s="744" t="str">
        <f>IF(D3951="","",VLOOKUP(D3951,'General Basis'!$J$39:$L$46,3,0))</f>
        <v/>
      </c>
      <c r="BG3951" s="744" t="str">
        <f t="shared" si="1375"/>
        <v/>
      </c>
      <c r="BH3951" s="744" t="str">
        <f>IF(G3951="","",IF(BF3951="Abu Dhabi",IF(G3951&lt;18,'General Basis'!$C$39,IF(G3951&lt;41,'General Basis'!$C$40,IF(G3951&lt;60,'General Basis'!$C$41,IF(G3951&lt;65,'General Basis'!$C$42,'General Basis'!$C$43)))),IF(G3951&lt;11,'General Basis'!$B$39,IF(G3951&lt;18,'General Basis'!$B$40,IF(G3951&lt;26,'General Basis'!$B$41,IF(G3951&lt;31,'General Basis'!$B$42,IF(G3951&lt;36,'General Basis'!$B$43,IF(G3951&lt;41,'General Basis'!$B$44,IF(G3951&lt;46,'General Basis'!$B$45,IF(G3951&lt;51,'General Basis'!$B$46,IF(G3951&lt;56,'General Basis'!$B$47,IF(G3951&lt;60,'General Basis'!$B$48,IF(G3951&lt;65,'General Basis'!$B$49,'General Basis'!$B$50)))))))))))))</f>
        <v/>
      </c>
      <c r="BI3951" s="744" t="str">
        <f t="shared" si="1369"/>
        <v/>
      </c>
      <c r="BJ3951" s="747" t="str">
        <f t="shared" si="1376"/>
        <v/>
      </c>
      <c r="BK3951" s="498" t="str">
        <f t="shared" si="1370"/>
        <v/>
      </c>
      <c r="BL3951" s="498" t="str">
        <f t="shared" si="1371"/>
        <v/>
      </c>
    </row>
    <row r="3952" spans="1:64" x14ac:dyDescent="0.25">
      <c r="A3952" s="762">
        <f t="shared" si="1372"/>
        <v>3947</v>
      </c>
      <c r="B3952" s="229"/>
      <c r="C3952" s="223"/>
      <c r="D3952" s="224"/>
      <c r="E3952" s="225"/>
      <c r="F3952" s="1036" t="str">
        <f t="shared" si="1378"/>
        <v/>
      </c>
      <c r="G3952" s="1037" t="str">
        <f t="shared" si="1373"/>
        <v/>
      </c>
      <c r="H3952" s="225"/>
      <c r="I3952" s="1013"/>
      <c r="J3952" s="1013"/>
      <c r="K3952" s="1028"/>
      <c r="L3952" s="1035" t="str">
        <f t="shared" si="1377"/>
        <v/>
      </c>
      <c r="S3952" s="498"/>
      <c r="AJ3952" s="498"/>
      <c r="AM3952" s="498">
        <f t="shared" si="1358"/>
        <v>0</v>
      </c>
      <c r="AN3952" s="498">
        <f t="shared" si="1359"/>
        <v>0</v>
      </c>
      <c r="AO3952" s="498">
        <f t="shared" si="1360"/>
        <v>0</v>
      </c>
      <c r="AP3952" s="498">
        <f t="shared" si="1379"/>
        <v>0</v>
      </c>
      <c r="AQ3952" s="498">
        <f t="shared" si="1374"/>
        <v>0</v>
      </c>
      <c r="AU3952" s="498">
        <f t="shared" si="1361"/>
        <v>0</v>
      </c>
      <c r="AV3952" s="498">
        <f t="shared" si="1362"/>
        <v>0</v>
      </c>
      <c r="AW3952" s="498">
        <f t="shared" si="1363"/>
        <v>0</v>
      </c>
      <c r="AX3952" s="498">
        <f t="shared" si="1364"/>
        <v>0</v>
      </c>
      <c r="AY3952" s="498">
        <f t="shared" si="1365"/>
        <v>0</v>
      </c>
      <c r="BB3952" s="498" t="str">
        <f t="shared" si="1366"/>
        <v/>
      </c>
      <c r="BC3952" s="743" t="str">
        <f t="shared" si="1367"/>
        <v/>
      </c>
      <c r="BD3952" s="743" t="str">
        <f t="shared" si="1368"/>
        <v/>
      </c>
      <c r="BE3952" s="743" t="str">
        <f>IF(D3952="","",VLOOKUP(D3952,'General Basis'!$J$39:$K$46,2,0))</f>
        <v/>
      </c>
      <c r="BF3952" s="744" t="str">
        <f>IF(D3952="","",VLOOKUP(D3952,'General Basis'!$J$39:$L$46,3,0))</f>
        <v/>
      </c>
      <c r="BG3952" s="744" t="str">
        <f t="shared" si="1375"/>
        <v/>
      </c>
      <c r="BH3952" s="744" t="str">
        <f>IF(G3952="","",IF(BF3952="Abu Dhabi",IF(G3952&lt;18,'General Basis'!$C$39,IF(G3952&lt;41,'General Basis'!$C$40,IF(G3952&lt;60,'General Basis'!$C$41,IF(G3952&lt;65,'General Basis'!$C$42,'General Basis'!$C$43)))),IF(G3952&lt;11,'General Basis'!$B$39,IF(G3952&lt;18,'General Basis'!$B$40,IF(G3952&lt;26,'General Basis'!$B$41,IF(G3952&lt;31,'General Basis'!$B$42,IF(G3952&lt;36,'General Basis'!$B$43,IF(G3952&lt;41,'General Basis'!$B$44,IF(G3952&lt;46,'General Basis'!$B$45,IF(G3952&lt;51,'General Basis'!$B$46,IF(G3952&lt;56,'General Basis'!$B$47,IF(G3952&lt;60,'General Basis'!$B$48,IF(G3952&lt;65,'General Basis'!$B$49,'General Basis'!$B$50)))))))))))))</f>
        <v/>
      </c>
      <c r="BI3952" s="744" t="str">
        <f t="shared" si="1369"/>
        <v/>
      </c>
      <c r="BJ3952" s="747" t="str">
        <f t="shared" si="1376"/>
        <v/>
      </c>
      <c r="BK3952" s="498" t="str">
        <f t="shared" si="1370"/>
        <v/>
      </c>
      <c r="BL3952" s="498" t="str">
        <f t="shared" si="1371"/>
        <v/>
      </c>
    </row>
    <row r="3953" spans="1:64" x14ac:dyDescent="0.25">
      <c r="A3953" s="762">
        <f t="shared" si="1372"/>
        <v>3948</v>
      </c>
      <c r="B3953" s="229"/>
      <c r="C3953" s="223"/>
      <c r="D3953" s="224"/>
      <c r="E3953" s="225"/>
      <c r="F3953" s="1036" t="str">
        <f t="shared" si="1378"/>
        <v/>
      </c>
      <c r="G3953" s="1037" t="str">
        <f t="shared" si="1373"/>
        <v/>
      </c>
      <c r="H3953" s="225"/>
      <c r="I3953" s="1013"/>
      <c r="J3953" s="1013"/>
      <c r="K3953" s="1028"/>
      <c r="L3953" s="1035" t="str">
        <f t="shared" si="1377"/>
        <v/>
      </c>
      <c r="S3953" s="498"/>
      <c r="AJ3953" s="498"/>
      <c r="AM3953" s="498">
        <f t="shared" si="1358"/>
        <v>0</v>
      </c>
      <c r="AN3953" s="498">
        <f t="shared" si="1359"/>
        <v>0</v>
      </c>
      <c r="AO3953" s="498">
        <f t="shared" si="1360"/>
        <v>0</v>
      </c>
      <c r="AP3953" s="498">
        <f t="shared" si="1379"/>
        <v>0</v>
      </c>
      <c r="AQ3953" s="498">
        <f t="shared" si="1374"/>
        <v>0</v>
      </c>
      <c r="AU3953" s="498">
        <f t="shared" si="1361"/>
        <v>0</v>
      </c>
      <c r="AV3953" s="498">
        <f t="shared" si="1362"/>
        <v>0</v>
      </c>
      <c r="AW3953" s="498">
        <f t="shared" si="1363"/>
        <v>0</v>
      </c>
      <c r="AX3953" s="498">
        <f t="shared" si="1364"/>
        <v>0</v>
      </c>
      <c r="AY3953" s="498">
        <f t="shared" si="1365"/>
        <v>0</v>
      </c>
      <c r="BB3953" s="498" t="str">
        <f t="shared" si="1366"/>
        <v/>
      </c>
      <c r="BC3953" s="743" t="str">
        <f t="shared" si="1367"/>
        <v/>
      </c>
      <c r="BD3953" s="743" t="str">
        <f t="shared" si="1368"/>
        <v/>
      </c>
      <c r="BE3953" s="743" t="str">
        <f>IF(D3953="","",VLOOKUP(D3953,'General Basis'!$J$39:$K$46,2,0))</f>
        <v/>
      </c>
      <c r="BF3953" s="744" t="str">
        <f>IF(D3953="","",VLOOKUP(D3953,'General Basis'!$J$39:$L$46,3,0))</f>
        <v/>
      </c>
      <c r="BG3953" s="744" t="str">
        <f t="shared" si="1375"/>
        <v/>
      </c>
      <c r="BH3953" s="744" t="str">
        <f>IF(G3953="","",IF(BF3953="Abu Dhabi",IF(G3953&lt;18,'General Basis'!$C$39,IF(G3953&lt;41,'General Basis'!$C$40,IF(G3953&lt;60,'General Basis'!$C$41,IF(G3953&lt;65,'General Basis'!$C$42,'General Basis'!$C$43)))),IF(G3953&lt;11,'General Basis'!$B$39,IF(G3953&lt;18,'General Basis'!$B$40,IF(G3953&lt;26,'General Basis'!$B$41,IF(G3953&lt;31,'General Basis'!$B$42,IF(G3953&lt;36,'General Basis'!$B$43,IF(G3953&lt;41,'General Basis'!$B$44,IF(G3953&lt;46,'General Basis'!$B$45,IF(G3953&lt;51,'General Basis'!$B$46,IF(G3953&lt;56,'General Basis'!$B$47,IF(G3953&lt;60,'General Basis'!$B$48,IF(G3953&lt;65,'General Basis'!$B$49,'General Basis'!$B$50)))))))))))))</f>
        <v/>
      </c>
      <c r="BI3953" s="744" t="str">
        <f t="shared" si="1369"/>
        <v/>
      </c>
      <c r="BJ3953" s="747" t="str">
        <f t="shared" si="1376"/>
        <v/>
      </c>
      <c r="BK3953" s="498" t="str">
        <f t="shared" si="1370"/>
        <v/>
      </c>
      <c r="BL3953" s="498" t="str">
        <f t="shared" si="1371"/>
        <v/>
      </c>
    </row>
    <row r="3954" spans="1:64" x14ac:dyDescent="0.25">
      <c r="A3954" s="762">
        <f t="shared" si="1372"/>
        <v>3949</v>
      </c>
      <c r="B3954" s="229"/>
      <c r="C3954" s="223"/>
      <c r="D3954" s="224"/>
      <c r="E3954" s="225"/>
      <c r="F3954" s="1036" t="str">
        <f t="shared" si="1378"/>
        <v/>
      </c>
      <c r="G3954" s="1037" t="str">
        <f t="shared" si="1373"/>
        <v/>
      </c>
      <c r="H3954" s="225"/>
      <c r="I3954" s="1013"/>
      <c r="J3954" s="1013"/>
      <c r="K3954" s="1028"/>
      <c r="L3954" s="1035" t="str">
        <f t="shared" si="1377"/>
        <v/>
      </c>
      <c r="S3954" s="498"/>
      <c r="AJ3954" s="498"/>
      <c r="AM3954" s="498">
        <f t="shared" si="1358"/>
        <v>0</v>
      </c>
      <c r="AN3954" s="498">
        <f t="shared" si="1359"/>
        <v>0</v>
      </c>
      <c r="AO3954" s="498">
        <f t="shared" si="1360"/>
        <v>0</v>
      </c>
      <c r="AP3954" s="498">
        <f t="shared" si="1379"/>
        <v>0</v>
      </c>
      <c r="AQ3954" s="498">
        <f t="shared" si="1374"/>
        <v>0</v>
      </c>
      <c r="AU3954" s="498">
        <f t="shared" si="1361"/>
        <v>0</v>
      </c>
      <c r="AV3954" s="498">
        <f t="shared" si="1362"/>
        <v>0</v>
      </c>
      <c r="AW3954" s="498">
        <f t="shared" si="1363"/>
        <v>0</v>
      </c>
      <c r="AX3954" s="498">
        <f t="shared" si="1364"/>
        <v>0</v>
      </c>
      <c r="AY3954" s="498">
        <f t="shared" si="1365"/>
        <v>0</v>
      </c>
      <c r="BB3954" s="498" t="str">
        <f t="shared" si="1366"/>
        <v/>
      </c>
      <c r="BC3954" s="743" t="str">
        <f t="shared" si="1367"/>
        <v/>
      </c>
      <c r="BD3954" s="743" t="str">
        <f t="shared" si="1368"/>
        <v/>
      </c>
      <c r="BE3954" s="743" t="str">
        <f>IF(D3954="","",VLOOKUP(D3954,'General Basis'!$J$39:$K$46,2,0))</f>
        <v/>
      </c>
      <c r="BF3954" s="744" t="str">
        <f>IF(D3954="","",VLOOKUP(D3954,'General Basis'!$J$39:$L$46,3,0))</f>
        <v/>
      </c>
      <c r="BG3954" s="744" t="str">
        <f t="shared" si="1375"/>
        <v/>
      </c>
      <c r="BH3954" s="744" t="str">
        <f>IF(G3954="","",IF(BF3954="Abu Dhabi",IF(G3954&lt;18,'General Basis'!$C$39,IF(G3954&lt;41,'General Basis'!$C$40,IF(G3954&lt;60,'General Basis'!$C$41,IF(G3954&lt;65,'General Basis'!$C$42,'General Basis'!$C$43)))),IF(G3954&lt;11,'General Basis'!$B$39,IF(G3954&lt;18,'General Basis'!$B$40,IF(G3954&lt;26,'General Basis'!$B$41,IF(G3954&lt;31,'General Basis'!$B$42,IF(G3954&lt;36,'General Basis'!$B$43,IF(G3954&lt;41,'General Basis'!$B$44,IF(G3954&lt;46,'General Basis'!$B$45,IF(G3954&lt;51,'General Basis'!$B$46,IF(G3954&lt;56,'General Basis'!$B$47,IF(G3954&lt;60,'General Basis'!$B$48,IF(G3954&lt;65,'General Basis'!$B$49,'General Basis'!$B$50)))))))))))))</f>
        <v/>
      </c>
      <c r="BI3954" s="744" t="str">
        <f t="shared" si="1369"/>
        <v/>
      </c>
      <c r="BJ3954" s="747" t="str">
        <f t="shared" si="1376"/>
        <v/>
      </c>
      <c r="BK3954" s="498" t="str">
        <f t="shared" si="1370"/>
        <v/>
      </c>
      <c r="BL3954" s="498" t="str">
        <f t="shared" si="1371"/>
        <v/>
      </c>
    </row>
    <row r="3955" spans="1:64" x14ac:dyDescent="0.25">
      <c r="A3955" s="762">
        <f t="shared" si="1372"/>
        <v>3950</v>
      </c>
      <c r="B3955" s="229"/>
      <c r="C3955" s="223"/>
      <c r="D3955" s="224"/>
      <c r="E3955" s="225"/>
      <c r="F3955" s="1036" t="str">
        <f t="shared" si="1378"/>
        <v/>
      </c>
      <c r="G3955" s="1037" t="str">
        <f t="shared" si="1373"/>
        <v/>
      </c>
      <c r="H3955" s="225"/>
      <c r="I3955" s="1013"/>
      <c r="J3955" s="1013"/>
      <c r="K3955" s="1028"/>
      <c r="L3955" s="1035" t="str">
        <f t="shared" si="1377"/>
        <v/>
      </c>
      <c r="S3955" s="498"/>
      <c r="AJ3955" s="498"/>
      <c r="AM3955" s="498">
        <f t="shared" si="1358"/>
        <v>0</v>
      </c>
      <c r="AN3955" s="498">
        <f t="shared" si="1359"/>
        <v>0</v>
      </c>
      <c r="AO3955" s="498">
        <f t="shared" si="1360"/>
        <v>0</v>
      </c>
      <c r="AP3955" s="498">
        <f t="shared" si="1379"/>
        <v>0</v>
      </c>
      <c r="AQ3955" s="498">
        <f t="shared" si="1374"/>
        <v>0</v>
      </c>
      <c r="AU3955" s="498">
        <f t="shared" si="1361"/>
        <v>0</v>
      </c>
      <c r="AV3955" s="498">
        <f t="shared" si="1362"/>
        <v>0</v>
      </c>
      <c r="AW3955" s="498">
        <f t="shared" si="1363"/>
        <v>0</v>
      </c>
      <c r="AX3955" s="498">
        <f t="shared" si="1364"/>
        <v>0</v>
      </c>
      <c r="AY3955" s="498">
        <f t="shared" si="1365"/>
        <v>0</v>
      </c>
      <c r="BB3955" s="498" t="str">
        <f t="shared" si="1366"/>
        <v/>
      </c>
      <c r="BC3955" s="743" t="str">
        <f t="shared" si="1367"/>
        <v/>
      </c>
      <c r="BD3955" s="743" t="str">
        <f t="shared" si="1368"/>
        <v/>
      </c>
      <c r="BE3955" s="743" t="str">
        <f>IF(D3955="","",VLOOKUP(D3955,'General Basis'!$J$39:$K$46,2,0))</f>
        <v/>
      </c>
      <c r="BF3955" s="744" t="str">
        <f>IF(D3955="","",VLOOKUP(D3955,'General Basis'!$J$39:$L$46,3,0))</f>
        <v/>
      </c>
      <c r="BG3955" s="744" t="str">
        <f t="shared" si="1375"/>
        <v/>
      </c>
      <c r="BH3955" s="744" t="str">
        <f>IF(G3955="","",IF(BF3955="Abu Dhabi",IF(G3955&lt;18,'General Basis'!$C$39,IF(G3955&lt;41,'General Basis'!$C$40,IF(G3955&lt;60,'General Basis'!$C$41,IF(G3955&lt;65,'General Basis'!$C$42,'General Basis'!$C$43)))),IF(G3955&lt;11,'General Basis'!$B$39,IF(G3955&lt;18,'General Basis'!$B$40,IF(G3955&lt;26,'General Basis'!$B$41,IF(G3955&lt;31,'General Basis'!$B$42,IF(G3955&lt;36,'General Basis'!$B$43,IF(G3955&lt;41,'General Basis'!$B$44,IF(G3955&lt;46,'General Basis'!$B$45,IF(G3955&lt;51,'General Basis'!$B$46,IF(G3955&lt;56,'General Basis'!$B$47,IF(G3955&lt;60,'General Basis'!$B$48,IF(G3955&lt;65,'General Basis'!$B$49,'General Basis'!$B$50)))))))))))))</f>
        <v/>
      </c>
      <c r="BI3955" s="744" t="str">
        <f t="shared" si="1369"/>
        <v/>
      </c>
      <c r="BJ3955" s="747" t="str">
        <f t="shared" si="1376"/>
        <v/>
      </c>
      <c r="BK3955" s="498" t="str">
        <f t="shared" si="1370"/>
        <v/>
      </c>
      <c r="BL3955" s="498" t="str">
        <f t="shared" si="1371"/>
        <v/>
      </c>
    </row>
    <row r="3956" spans="1:64" x14ac:dyDescent="0.25">
      <c r="A3956" s="762">
        <f t="shared" si="1372"/>
        <v>3951</v>
      </c>
      <c r="B3956" s="229"/>
      <c r="C3956" s="223"/>
      <c r="D3956" s="224"/>
      <c r="E3956" s="225"/>
      <c r="F3956" s="1036" t="str">
        <f t="shared" si="1378"/>
        <v/>
      </c>
      <c r="G3956" s="1037" t="str">
        <f t="shared" si="1373"/>
        <v/>
      </c>
      <c r="H3956" s="225"/>
      <c r="I3956" s="1013"/>
      <c r="J3956" s="1013"/>
      <c r="K3956" s="1028"/>
      <c r="L3956" s="1035" t="str">
        <f t="shared" si="1377"/>
        <v/>
      </c>
      <c r="S3956" s="498"/>
      <c r="AJ3956" s="498"/>
      <c r="AM3956" s="498">
        <f t="shared" si="1358"/>
        <v>0</v>
      </c>
      <c r="AN3956" s="498">
        <f t="shared" si="1359"/>
        <v>0</v>
      </c>
      <c r="AO3956" s="498">
        <f t="shared" si="1360"/>
        <v>0</v>
      </c>
      <c r="AP3956" s="498">
        <f t="shared" si="1379"/>
        <v>0</v>
      </c>
      <c r="AQ3956" s="498">
        <f t="shared" si="1374"/>
        <v>0</v>
      </c>
      <c r="AU3956" s="498">
        <f t="shared" si="1361"/>
        <v>0</v>
      </c>
      <c r="AV3956" s="498">
        <f t="shared" si="1362"/>
        <v>0</v>
      </c>
      <c r="AW3956" s="498">
        <f t="shared" si="1363"/>
        <v>0</v>
      </c>
      <c r="AX3956" s="498">
        <f t="shared" si="1364"/>
        <v>0</v>
      </c>
      <c r="AY3956" s="498">
        <f t="shared" si="1365"/>
        <v>0</v>
      </c>
      <c r="BB3956" s="498" t="str">
        <f t="shared" si="1366"/>
        <v/>
      </c>
      <c r="BC3956" s="743" t="str">
        <f t="shared" si="1367"/>
        <v/>
      </c>
      <c r="BD3956" s="743" t="str">
        <f t="shared" si="1368"/>
        <v/>
      </c>
      <c r="BE3956" s="743" t="str">
        <f>IF(D3956="","",VLOOKUP(D3956,'General Basis'!$J$39:$K$46,2,0))</f>
        <v/>
      </c>
      <c r="BF3956" s="744" t="str">
        <f>IF(D3956="","",VLOOKUP(D3956,'General Basis'!$J$39:$L$46,3,0))</f>
        <v/>
      </c>
      <c r="BG3956" s="744" t="str">
        <f t="shared" si="1375"/>
        <v/>
      </c>
      <c r="BH3956" s="744" t="str">
        <f>IF(G3956="","",IF(BF3956="Abu Dhabi",IF(G3956&lt;18,'General Basis'!$C$39,IF(G3956&lt;41,'General Basis'!$C$40,IF(G3956&lt;60,'General Basis'!$C$41,IF(G3956&lt;65,'General Basis'!$C$42,'General Basis'!$C$43)))),IF(G3956&lt;11,'General Basis'!$B$39,IF(G3956&lt;18,'General Basis'!$B$40,IF(G3956&lt;26,'General Basis'!$B$41,IF(G3956&lt;31,'General Basis'!$B$42,IF(G3956&lt;36,'General Basis'!$B$43,IF(G3956&lt;41,'General Basis'!$B$44,IF(G3956&lt;46,'General Basis'!$B$45,IF(G3956&lt;51,'General Basis'!$B$46,IF(G3956&lt;56,'General Basis'!$B$47,IF(G3956&lt;60,'General Basis'!$B$48,IF(G3956&lt;65,'General Basis'!$B$49,'General Basis'!$B$50)))))))))))))</f>
        <v/>
      </c>
      <c r="BI3956" s="744" t="str">
        <f t="shared" si="1369"/>
        <v/>
      </c>
      <c r="BJ3956" s="747" t="str">
        <f t="shared" si="1376"/>
        <v/>
      </c>
      <c r="BK3956" s="498" t="str">
        <f t="shared" si="1370"/>
        <v/>
      </c>
      <c r="BL3956" s="498" t="str">
        <f t="shared" si="1371"/>
        <v/>
      </c>
    </row>
    <row r="3957" spans="1:64" x14ac:dyDescent="0.25">
      <c r="A3957" s="762">
        <f t="shared" si="1372"/>
        <v>3952</v>
      </c>
      <c r="B3957" s="229"/>
      <c r="C3957" s="223"/>
      <c r="D3957" s="224"/>
      <c r="E3957" s="225"/>
      <c r="F3957" s="1036" t="str">
        <f t="shared" si="1378"/>
        <v/>
      </c>
      <c r="G3957" s="1037" t="str">
        <f t="shared" si="1373"/>
        <v/>
      </c>
      <c r="H3957" s="225"/>
      <c r="I3957" s="1013"/>
      <c r="J3957" s="1013"/>
      <c r="K3957" s="1028"/>
      <c r="L3957" s="1035" t="str">
        <f t="shared" si="1377"/>
        <v/>
      </c>
      <c r="S3957" s="498"/>
      <c r="AJ3957" s="498"/>
      <c r="AM3957" s="498">
        <f t="shared" si="1358"/>
        <v>0</v>
      </c>
      <c r="AN3957" s="498">
        <f t="shared" si="1359"/>
        <v>0</v>
      </c>
      <c r="AO3957" s="498">
        <f t="shared" si="1360"/>
        <v>0</v>
      </c>
      <c r="AP3957" s="498">
        <f t="shared" si="1379"/>
        <v>0</v>
      </c>
      <c r="AQ3957" s="498">
        <f t="shared" si="1374"/>
        <v>0</v>
      </c>
      <c r="AU3957" s="498">
        <f t="shared" si="1361"/>
        <v>0</v>
      </c>
      <c r="AV3957" s="498">
        <f t="shared" si="1362"/>
        <v>0</v>
      </c>
      <c r="AW3957" s="498">
        <f t="shared" si="1363"/>
        <v>0</v>
      </c>
      <c r="AX3957" s="498">
        <f t="shared" si="1364"/>
        <v>0</v>
      </c>
      <c r="AY3957" s="498">
        <f t="shared" si="1365"/>
        <v>0</v>
      </c>
      <c r="BB3957" s="498" t="str">
        <f t="shared" si="1366"/>
        <v/>
      </c>
      <c r="BC3957" s="743" t="str">
        <f t="shared" si="1367"/>
        <v/>
      </c>
      <c r="BD3957" s="743" t="str">
        <f t="shared" si="1368"/>
        <v/>
      </c>
      <c r="BE3957" s="743" t="str">
        <f>IF(D3957="","",VLOOKUP(D3957,'General Basis'!$J$39:$K$46,2,0))</f>
        <v/>
      </c>
      <c r="BF3957" s="744" t="str">
        <f>IF(D3957="","",VLOOKUP(D3957,'General Basis'!$J$39:$L$46,3,0))</f>
        <v/>
      </c>
      <c r="BG3957" s="744" t="str">
        <f t="shared" si="1375"/>
        <v/>
      </c>
      <c r="BH3957" s="744" t="str">
        <f>IF(G3957="","",IF(BF3957="Abu Dhabi",IF(G3957&lt;18,'General Basis'!$C$39,IF(G3957&lt;41,'General Basis'!$C$40,IF(G3957&lt;60,'General Basis'!$C$41,IF(G3957&lt;65,'General Basis'!$C$42,'General Basis'!$C$43)))),IF(G3957&lt;11,'General Basis'!$B$39,IF(G3957&lt;18,'General Basis'!$B$40,IF(G3957&lt;26,'General Basis'!$B$41,IF(G3957&lt;31,'General Basis'!$B$42,IF(G3957&lt;36,'General Basis'!$B$43,IF(G3957&lt;41,'General Basis'!$B$44,IF(G3957&lt;46,'General Basis'!$B$45,IF(G3957&lt;51,'General Basis'!$B$46,IF(G3957&lt;56,'General Basis'!$B$47,IF(G3957&lt;60,'General Basis'!$B$48,IF(G3957&lt;65,'General Basis'!$B$49,'General Basis'!$B$50)))))))))))))</f>
        <v/>
      </c>
      <c r="BI3957" s="744" t="str">
        <f t="shared" si="1369"/>
        <v/>
      </c>
      <c r="BJ3957" s="747" t="str">
        <f t="shared" si="1376"/>
        <v/>
      </c>
      <c r="BK3957" s="498" t="str">
        <f t="shared" si="1370"/>
        <v/>
      </c>
      <c r="BL3957" s="498" t="str">
        <f t="shared" si="1371"/>
        <v/>
      </c>
    </row>
    <row r="3958" spans="1:64" x14ac:dyDescent="0.25">
      <c r="A3958" s="762">
        <f t="shared" si="1372"/>
        <v>3953</v>
      </c>
      <c r="B3958" s="229"/>
      <c r="C3958" s="223"/>
      <c r="D3958" s="224"/>
      <c r="E3958" s="225"/>
      <c r="F3958" s="1036" t="str">
        <f t="shared" si="1378"/>
        <v/>
      </c>
      <c r="G3958" s="1037" t="str">
        <f t="shared" si="1373"/>
        <v/>
      </c>
      <c r="H3958" s="225"/>
      <c r="I3958" s="1013"/>
      <c r="J3958" s="1013"/>
      <c r="K3958" s="1028"/>
      <c r="L3958" s="1035" t="str">
        <f t="shared" si="1377"/>
        <v/>
      </c>
      <c r="S3958" s="498"/>
      <c r="AJ3958" s="498"/>
      <c r="AM3958" s="498">
        <f t="shared" si="1358"/>
        <v>0</v>
      </c>
      <c r="AN3958" s="498">
        <f t="shared" si="1359"/>
        <v>0</v>
      </c>
      <c r="AO3958" s="498">
        <f t="shared" si="1360"/>
        <v>0</v>
      </c>
      <c r="AP3958" s="498">
        <f t="shared" si="1379"/>
        <v>0</v>
      </c>
      <c r="AQ3958" s="498">
        <f t="shared" si="1374"/>
        <v>0</v>
      </c>
      <c r="AU3958" s="498">
        <f t="shared" si="1361"/>
        <v>0</v>
      </c>
      <c r="AV3958" s="498">
        <f t="shared" si="1362"/>
        <v>0</v>
      </c>
      <c r="AW3958" s="498">
        <f t="shared" si="1363"/>
        <v>0</v>
      </c>
      <c r="AX3958" s="498">
        <f t="shared" si="1364"/>
        <v>0</v>
      </c>
      <c r="AY3958" s="498">
        <f t="shared" si="1365"/>
        <v>0</v>
      </c>
      <c r="BB3958" s="498" t="str">
        <f t="shared" si="1366"/>
        <v/>
      </c>
      <c r="BC3958" s="743" t="str">
        <f t="shared" si="1367"/>
        <v/>
      </c>
      <c r="BD3958" s="743" t="str">
        <f t="shared" si="1368"/>
        <v/>
      </c>
      <c r="BE3958" s="743" t="str">
        <f>IF(D3958="","",VLOOKUP(D3958,'General Basis'!$J$39:$K$46,2,0))</f>
        <v/>
      </c>
      <c r="BF3958" s="744" t="str">
        <f>IF(D3958="","",VLOOKUP(D3958,'General Basis'!$J$39:$L$46,3,0))</f>
        <v/>
      </c>
      <c r="BG3958" s="744" t="str">
        <f t="shared" si="1375"/>
        <v/>
      </c>
      <c r="BH3958" s="744" t="str">
        <f>IF(G3958="","",IF(BF3958="Abu Dhabi",IF(G3958&lt;18,'General Basis'!$C$39,IF(G3958&lt;41,'General Basis'!$C$40,IF(G3958&lt;60,'General Basis'!$C$41,IF(G3958&lt;65,'General Basis'!$C$42,'General Basis'!$C$43)))),IF(G3958&lt;11,'General Basis'!$B$39,IF(G3958&lt;18,'General Basis'!$B$40,IF(G3958&lt;26,'General Basis'!$B$41,IF(G3958&lt;31,'General Basis'!$B$42,IF(G3958&lt;36,'General Basis'!$B$43,IF(G3958&lt;41,'General Basis'!$B$44,IF(G3958&lt;46,'General Basis'!$B$45,IF(G3958&lt;51,'General Basis'!$B$46,IF(G3958&lt;56,'General Basis'!$B$47,IF(G3958&lt;60,'General Basis'!$B$48,IF(G3958&lt;65,'General Basis'!$B$49,'General Basis'!$B$50)))))))))))))</f>
        <v/>
      </c>
      <c r="BI3958" s="744" t="str">
        <f t="shared" si="1369"/>
        <v/>
      </c>
      <c r="BJ3958" s="747" t="str">
        <f t="shared" si="1376"/>
        <v/>
      </c>
      <c r="BK3958" s="498" t="str">
        <f t="shared" si="1370"/>
        <v/>
      </c>
      <c r="BL3958" s="498" t="str">
        <f t="shared" si="1371"/>
        <v/>
      </c>
    </row>
    <row r="3959" spans="1:64" x14ac:dyDescent="0.25">
      <c r="A3959" s="762">
        <f t="shared" si="1372"/>
        <v>3954</v>
      </c>
      <c r="B3959" s="229"/>
      <c r="C3959" s="223"/>
      <c r="D3959" s="224"/>
      <c r="E3959" s="225"/>
      <c r="F3959" s="1036" t="str">
        <f t="shared" si="1378"/>
        <v/>
      </c>
      <c r="G3959" s="1037" t="str">
        <f t="shared" si="1373"/>
        <v/>
      </c>
      <c r="H3959" s="225"/>
      <c r="I3959" s="1013"/>
      <c r="J3959" s="1013"/>
      <c r="K3959" s="1028"/>
      <c r="L3959" s="1035" t="str">
        <f t="shared" si="1377"/>
        <v/>
      </c>
      <c r="S3959" s="498"/>
      <c r="AJ3959" s="498"/>
      <c r="AM3959" s="498">
        <f t="shared" si="1358"/>
        <v>0</v>
      </c>
      <c r="AN3959" s="498">
        <f t="shared" si="1359"/>
        <v>0</v>
      </c>
      <c r="AO3959" s="498">
        <f t="shared" si="1360"/>
        <v>0</v>
      </c>
      <c r="AP3959" s="498">
        <f t="shared" si="1379"/>
        <v>0</v>
      </c>
      <c r="AQ3959" s="498">
        <f t="shared" si="1374"/>
        <v>0</v>
      </c>
      <c r="AU3959" s="498">
        <f t="shared" si="1361"/>
        <v>0</v>
      </c>
      <c r="AV3959" s="498">
        <f t="shared" si="1362"/>
        <v>0</v>
      </c>
      <c r="AW3959" s="498">
        <f t="shared" si="1363"/>
        <v>0</v>
      </c>
      <c r="AX3959" s="498">
        <f t="shared" si="1364"/>
        <v>0</v>
      </c>
      <c r="AY3959" s="498">
        <f t="shared" si="1365"/>
        <v>0</v>
      </c>
      <c r="BB3959" s="498" t="str">
        <f t="shared" si="1366"/>
        <v/>
      </c>
      <c r="BC3959" s="743" t="str">
        <f t="shared" si="1367"/>
        <v/>
      </c>
      <c r="BD3959" s="743" t="str">
        <f t="shared" si="1368"/>
        <v/>
      </c>
      <c r="BE3959" s="743" t="str">
        <f>IF(D3959="","",VLOOKUP(D3959,'General Basis'!$J$39:$K$46,2,0))</f>
        <v/>
      </c>
      <c r="BF3959" s="744" t="str">
        <f>IF(D3959="","",VLOOKUP(D3959,'General Basis'!$J$39:$L$46,3,0))</f>
        <v/>
      </c>
      <c r="BG3959" s="744" t="str">
        <f t="shared" si="1375"/>
        <v/>
      </c>
      <c r="BH3959" s="744" t="str">
        <f>IF(G3959="","",IF(BF3959="Abu Dhabi",IF(G3959&lt;18,'General Basis'!$C$39,IF(G3959&lt;41,'General Basis'!$C$40,IF(G3959&lt;60,'General Basis'!$C$41,IF(G3959&lt;65,'General Basis'!$C$42,'General Basis'!$C$43)))),IF(G3959&lt;11,'General Basis'!$B$39,IF(G3959&lt;18,'General Basis'!$B$40,IF(G3959&lt;26,'General Basis'!$B$41,IF(G3959&lt;31,'General Basis'!$B$42,IF(G3959&lt;36,'General Basis'!$B$43,IF(G3959&lt;41,'General Basis'!$B$44,IF(G3959&lt;46,'General Basis'!$B$45,IF(G3959&lt;51,'General Basis'!$B$46,IF(G3959&lt;56,'General Basis'!$B$47,IF(G3959&lt;60,'General Basis'!$B$48,IF(G3959&lt;65,'General Basis'!$B$49,'General Basis'!$B$50)))))))))))))</f>
        <v/>
      </c>
      <c r="BI3959" s="744" t="str">
        <f t="shared" si="1369"/>
        <v/>
      </c>
      <c r="BJ3959" s="747" t="str">
        <f t="shared" si="1376"/>
        <v/>
      </c>
      <c r="BK3959" s="498" t="str">
        <f t="shared" si="1370"/>
        <v/>
      </c>
      <c r="BL3959" s="498" t="str">
        <f t="shared" si="1371"/>
        <v/>
      </c>
    </row>
    <row r="3960" spans="1:64" x14ac:dyDescent="0.25">
      <c r="A3960" s="762">
        <f t="shared" si="1372"/>
        <v>3955</v>
      </c>
      <c r="B3960" s="229"/>
      <c r="C3960" s="223"/>
      <c r="D3960" s="224"/>
      <c r="E3960" s="225"/>
      <c r="F3960" s="1036" t="str">
        <f t="shared" si="1378"/>
        <v/>
      </c>
      <c r="G3960" s="1037" t="str">
        <f t="shared" si="1373"/>
        <v/>
      </c>
      <c r="H3960" s="225"/>
      <c r="I3960" s="1013"/>
      <c r="J3960" s="1013"/>
      <c r="K3960" s="1028"/>
      <c r="L3960" s="1035" t="str">
        <f t="shared" si="1377"/>
        <v/>
      </c>
      <c r="S3960" s="498"/>
      <c r="AJ3960" s="498"/>
      <c r="AM3960" s="498">
        <f t="shared" si="1358"/>
        <v>0</v>
      </c>
      <c r="AN3960" s="498">
        <f t="shared" si="1359"/>
        <v>0</v>
      </c>
      <c r="AO3960" s="498">
        <f t="shared" si="1360"/>
        <v>0</v>
      </c>
      <c r="AP3960" s="498">
        <f t="shared" si="1379"/>
        <v>0</v>
      </c>
      <c r="AQ3960" s="498">
        <f t="shared" si="1374"/>
        <v>0</v>
      </c>
      <c r="AU3960" s="498">
        <f t="shared" si="1361"/>
        <v>0</v>
      </c>
      <c r="AV3960" s="498">
        <f t="shared" si="1362"/>
        <v>0</v>
      </c>
      <c r="AW3960" s="498">
        <f t="shared" si="1363"/>
        <v>0</v>
      </c>
      <c r="AX3960" s="498">
        <f t="shared" si="1364"/>
        <v>0</v>
      </c>
      <c r="AY3960" s="498">
        <f t="shared" si="1365"/>
        <v>0</v>
      </c>
      <c r="BB3960" s="498" t="str">
        <f t="shared" si="1366"/>
        <v/>
      </c>
      <c r="BC3960" s="743" t="str">
        <f t="shared" si="1367"/>
        <v/>
      </c>
      <c r="BD3960" s="743" t="str">
        <f t="shared" si="1368"/>
        <v/>
      </c>
      <c r="BE3960" s="743" t="str">
        <f>IF(D3960="","",VLOOKUP(D3960,'General Basis'!$J$39:$K$46,2,0))</f>
        <v/>
      </c>
      <c r="BF3960" s="744" t="str">
        <f>IF(D3960="","",VLOOKUP(D3960,'General Basis'!$J$39:$L$46,3,0))</f>
        <v/>
      </c>
      <c r="BG3960" s="744" t="str">
        <f t="shared" si="1375"/>
        <v/>
      </c>
      <c r="BH3960" s="744" t="str">
        <f>IF(G3960="","",IF(BF3960="Abu Dhabi",IF(G3960&lt;18,'General Basis'!$C$39,IF(G3960&lt;41,'General Basis'!$C$40,IF(G3960&lt;60,'General Basis'!$C$41,IF(G3960&lt;65,'General Basis'!$C$42,'General Basis'!$C$43)))),IF(G3960&lt;11,'General Basis'!$B$39,IF(G3960&lt;18,'General Basis'!$B$40,IF(G3960&lt;26,'General Basis'!$B$41,IF(G3960&lt;31,'General Basis'!$B$42,IF(G3960&lt;36,'General Basis'!$B$43,IF(G3960&lt;41,'General Basis'!$B$44,IF(G3960&lt;46,'General Basis'!$B$45,IF(G3960&lt;51,'General Basis'!$B$46,IF(G3960&lt;56,'General Basis'!$B$47,IF(G3960&lt;60,'General Basis'!$B$48,IF(G3960&lt;65,'General Basis'!$B$49,'General Basis'!$B$50)))))))))))))</f>
        <v/>
      </c>
      <c r="BI3960" s="744" t="str">
        <f t="shared" si="1369"/>
        <v/>
      </c>
      <c r="BJ3960" s="747" t="str">
        <f t="shared" si="1376"/>
        <v/>
      </c>
      <c r="BK3960" s="498" t="str">
        <f t="shared" si="1370"/>
        <v/>
      </c>
      <c r="BL3960" s="498" t="str">
        <f t="shared" si="1371"/>
        <v/>
      </c>
    </row>
    <row r="3961" spans="1:64" x14ac:dyDescent="0.25">
      <c r="A3961" s="762">
        <f t="shared" si="1372"/>
        <v>3956</v>
      </c>
      <c r="B3961" s="229"/>
      <c r="C3961" s="223"/>
      <c r="D3961" s="224"/>
      <c r="E3961" s="225"/>
      <c r="F3961" s="1036" t="str">
        <f t="shared" si="1378"/>
        <v/>
      </c>
      <c r="G3961" s="1037" t="str">
        <f t="shared" si="1373"/>
        <v/>
      </c>
      <c r="H3961" s="225"/>
      <c r="I3961" s="1013"/>
      <c r="J3961" s="1013"/>
      <c r="K3961" s="1028"/>
      <c r="L3961" s="1035" t="str">
        <f t="shared" si="1377"/>
        <v/>
      </c>
      <c r="S3961" s="498"/>
      <c r="AJ3961" s="498"/>
      <c r="AM3961" s="498">
        <f t="shared" si="1358"/>
        <v>0</v>
      </c>
      <c r="AN3961" s="498">
        <f t="shared" si="1359"/>
        <v>0</v>
      </c>
      <c r="AO3961" s="498">
        <f t="shared" si="1360"/>
        <v>0</v>
      </c>
      <c r="AP3961" s="498">
        <f t="shared" si="1379"/>
        <v>0</v>
      </c>
      <c r="AQ3961" s="498">
        <f t="shared" si="1374"/>
        <v>0</v>
      </c>
      <c r="AU3961" s="498">
        <f t="shared" si="1361"/>
        <v>0</v>
      </c>
      <c r="AV3961" s="498">
        <f t="shared" si="1362"/>
        <v>0</v>
      </c>
      <c r="AW3961" s="498">
        <f t="shared" si="1363"/>
        <v>0</v>
      </c>
      <c r="AX3961" s="498">
        <f t="shared" si="1364"/>
        <v>0</v>
      </c>
      <c r="AY3961" s="498">
        <f t="shared" si="1365"/>
        <v>0</v>
      </c>
      <c r="BB3961" s="498" t="str">
        <f t="shared" si="1366"/>
        <v/>
      </c>
      <c r="BC3961" s="743" t="str">
        <f t="shared" si="1367"/>
        <v/>
      </c>
      <c r="BD3961" s="743" t="str">
        <f t="shared" si="1368"/>
        <v/>
      </c>
      <c r="BE3961" s="743" t="str">
        <f>IF(D3961="","",VLOOKUP(D3961,'General Basis'!$J$39:$K$46,2,0))</f>
        <v/>
      </c>
      <c r="BF3961" s="744" t="str">
        <f>IF(D3961="","",VLOOKUP(D3961,'General Basis'!$J$39:$L$46,3,0))</f>
        <v/>
      </c>
      <c r="BG3961" s="744" t="str">
        <f t="shared" si="1375"/>
        <v/>
      </c>
      <c r="BH3961" s="744" t="str">
        <f>IF(G3961="","",IF(BF3961="Abu Dhabi",IF(G3961&lt;18,'General Basis'!$C$39,IF(G3961&lt;41,'General Basis'!$C$40,IF(G3961&lt;60,'General Basis'!$C$41,IF(G3961&lt;65,'General Basis'!$C$42,'General Basis'!$C$43)))),IF(G3961&lt;11,'General Basis'!$B$39,IF(G3961&lt;18,'General Basis'!$B$40,IF(G3961&lt;26,'General Basis'!$B$41,IF(G3961&lt;31,'General Basis'!$B$42,IF(G3961&lt;36,'General Basis'!$B$43,IF(G3961&lt;41,'General Basis'!$B$44,IF(G3961&lt;46,'General Basis'!$B$45,IF(G3961&lt;51,'General Basis'!$B$46,IF(G3961&lt;56,'General Basis'!$B$47,IF(G3961&lt;60,'General Basis'!$B$48,IF(G3961&lt;65,'General Basis'!$B$49,'General Basis'!$B$50)))))))))))))</f>
        <v/>
      </c>
      <c r="BI3961" s="744" t="str">
        <f t="shared" si="1369"/>
        <v/>
      </c>
      <c r="BJ3961" s="747" t="str">
        <f t="shared" si="1376"/>
        <v/>
      </c>
      <c r="BK3961" s="498" t="str">
        <f t="shared" si="1370"/>
        <v/>
      </c>
      <c r="BL3961" s="498" t="str">
        <f t="shared" si="1371"/>
        <v/>
      </c>
    </row>
    <row r="3962" spans="1:64" x14ac:dyDescent="0.25">
      <c r="A3962" s="762">
        <f t="shared" si="1372"/>
        <v>3957</v>
      </c>
      <c r="B3962" s="229"/>
      <c r="C3962" s="223"/>
      <c r="D3962" s="224"/>
      <c r="E3962" s="225"/>
      <c r="F3962" s="1036" t="str">
        <f t="shared" si="1378"/>
        <v/>
      </c>
      <c r="G3962" s="1037" t="str">
        <f t="shared" si="1373"/>
        <v/>
      </c>
      <c r="H3962" s="225"/>
      <c r="I3962" s="1013"/>
      <c r="J3962" s="1013"/>
      <c r="K3962" s="1028"/>
      <c r="L3962" s="1035" t="str">
        <f t="shared" si="1377"/>
        <v/>
      </c>
      <c r="S3962" s="498"/>
      <c r="AJ3962" s="498"/>
      <c r="AM3962" s="498">
        <f t="shared" si="1358"/>
        <v>0</v>
      </c>
      <c r="AN3962" s="498">
        <f t="shared" si="1359"/>
        <v>0</v>
      </c>
      <c r="AO3962" s="498">
        <f t="shared" si="1360"/>
        <v>0</v>
      </c>
      <c r="AP3962" s="498">
        <f t="shared" si="1379"/>
        <v>0</v>
      </c>
      <c r="AQ3962" s="498">
        <f t="shared" si="1374"/>
        <v>0</v>
      </c>
      <c r="AU3962" s="498">
        <f t="shared" si="1361"/>
        <v>0</v>
      </c>
      <c r="AV3962" s="498">
        <f t="shared" si="1362"/>
        <v>0</v>
      </c>
      <c r="AW3962" s="498">
        <f t="shared" si="1363"/>
        <v>0</v>
      </c>
      <c r="AX3962" s="498">
        <f t="shared" si="1364"/>
        <v>0</v>
      </c>
      <c r="AY3962" s="498">
        <f t="shared" si="1365"/>
        <v>0</v>
      </c>
      <c r="BB3962" s="498" t="str">
        <f t="shared" si="1366"/>
        <v/>
      </c>
      <c r="BC3962" s="743" t="str">
        <f t="shared" si="1367"/>
        <v/>
      </c>
      <c r="BD3962" s="743" t="str">
        <f t="shared" si="1368"/>
        <v/>
      </c>
      <c r="BE3962" s="743" t="str">
        <f>IF(D3962="","",VLOOKUP(D3962,'General Basis'!$J$39:$K$46,2,0))</f>
        <v/>
      </c>
      <c r="BF3962" s="744" t="str">
        <f>IF(D3962="","",VLOOKUP(D3962,'General Basis'!$J$39:$L$46,3,0))</f>
        <v/>
      </c>
      <c r="BG3962" s="744" t="str">
        <f t="shared" si="1375"/>
        <v/>
      </c>
      <c r="BH3962" s="744" t="str">
        <f>IF(G3962="","",IF(BF3962="Abu Dhabi",IF(G3962&lt;18,'General Basis'!$C$39,IF(G3962&lt;41,'General Basis'!$C$40,IF(G3962&lt;60,'General Basis'!$C$41,IF(G3962&lt;65,'General Basis'!$C$42,'General Basis'!$C$43)))),IF(G3962&lt;11,'General Basis'!$B$39,IF(G3962&lt;18,'General Basis'!$B$40,IF(G3962&lt;26,'General Basis'!$B$41,IF(G3962&lt;31,'General Basis'!$B$42,IF(G3962&lt;36,'General Basis'!$B$43,IF(G3962&lt;41,'General Basis'!$B$44,IF(G3962&lt;46,'General Basis'!$B$45,IF(G3962&lt;51,'General Basis'!$B$46,IF(G3962&lt;56,'General Basis'!$B$47,IF(G3962&lt;60,'General Basis'!$B$48,IF(G3962&lt;65,'General Basis'!$B$49,'General Basis'!$B$50)))))))))))))</f>
        <v/>
      </c>
      <c r="BI3962" s="744" t="str">
        <f t="shared" si="1369"/>
        <v/>
      </c>
      <c r="BJ3962" s="747" t="str">
        <f t="shared" si="1376"/>
        <v/>
      </c>
      <c r="BK3962" s="498" t="str">
        <f t="shared" si="1370"/>
        <v/>
      </c>
      <c r="BL3962" s="498" t="str">
        <f t="shared" si="1371"/>
        <v/>
      </c>
    </row>
    <row r="3963" spans="1:64" x14ac:dyDescent="0.25">
      <c r="A3963" s="762">
        <f t="shared" si="1372"/>
        <v>3958</v>
      </c>
      <c r="B3963" s="229"/>
      <c r="C3963" s="223"/>
      <c r="D3963" s="224"/>
      <c r="E3963" s="225"/>
      <c r="F3963" s="1036" t="str">
        <f t="shared" si="1378"/>
        <v/>
      </c>
      <c r="G3963" s="1037" t="str">
        <f t="shared" si="1373"/>
        <v/>
      </c>
      <c r="H3963" s="225"/>
      <c r="I3963" s="1013"/>
      <c r="J3963" s="1013"/>
      <c r="K3963" s="1028"/>
      <c r="L3963" s="1035" t="str">
        <f t="shared" si="1377"/>
        <v/>
      </c>
      <c r="S3963" s="498"/>
      <c r="AJ3963" s="498"/>
      <c r="AM3963" s="498">
        <f t="shared" si="1358"/>
        <v>0</v>
      </c>
      <c r="AN3963" s="498">
        <f t="shared" si="1359"/>
        <v>0</v>
      </c>
      <c r="AO3963" s="498">
        <f t="shared" si="1360"/>
        <v>0</v>
      </c>
      <c r="AP3963" s="498">
        <f t="shared" si="1379"/>
        <v>0</v>
      </c>
      <c r="AQ3963" s="498">
        <f t="shared" si="1374"/>
        <v>0</v>
      </c>
      <c r="AU3963" s="498">
        <f t="shared" si="1361"/>
        <v>0</v>
      </c>
      <c r="AV3963" s="498">
        <f t="shared" si="1362"/>
        <v>0</v>
      </c>
      <c r="AW3963" s="498">
        <f t="shared" si="1363"/>
        <v>0</v>
      </c>
      <c r="AX3963" s="498">
        <f t="shared" si="1364"/>
        <v>0</v>
      </c>
      <c r="AY3963" s="498">
        <f t="shared" si="1365"/>
        <v>0</v>
      </c>
      <c r="BB3963" s="498" t="str">
        <f t="shared" si="1366"/>
        <v/>
      </c>
      <c r="BC3963" s="743" t="str">
        <f t="shared" si="1367"/>
        <v/>
      </c>
      <c r="BD3963" s="743" t="str">
        <f t="shared" si="1368"/>
        <v/>
      </c>
      <c r="BE3963" s="743" t="str">
        <f>IF(D3963="","",VLOOKUP(D3963,'General Basis'!$J$39:$K$46,2,0))</f>
        <v/>
      </c>
      <c r="BF3963" s="744" t="str">
        <f>IF(D3963="","",VLOOKUP(D3963,'General Basis'!$J$39:$L$46,3,0))</f>
        <v/>
      </c>
      <c r="BG3963" s="744" t="str">
        <f t="shared" si="1375"/>
        <v/>
      </c>
      <c r="BH3963" s="744" t="str">
        <f>IF(G3963="","",IF(BF3963="Abu Dhabi",IF(G3963&lt;18,'General Basis'!$C$39,IF(G3963&lt;41,'General Basis'!$C$40,IF(G3963&lt;60,'General Basis'!$C$41,IF(G3963&lt;65,'General Basis'!$C$42,'General Basis'!$C$43)))),IF(G3963&lt;11,'General Basis'!$B$39,IF(G3963&lt;18,'General Basis'!$B$40,IF(G3963&lt;26,'General Basis'!$B$41,IF(G3963&lt;31,'General Basis'!$B$42,IF(G3963&lt;36,'General Basis'!$B$43,IF(G3963&lt;41,'General Basis'!$B$44,IF(G3963&lt;46,'General Basis'!$B$45,IF(G3963&lt;51,'General Basis'!$B$46,IF(G3963&lt;56,'General Basis'!$B$47,IF(G3963&lt;60,'General Basis'!$B$48,IF(G3963&lt;65,'General Basis'!$B$49,'General Basis'!$B$50)))))))))))))</f>
        <v/>
      </c>
      <c r="BI3963" s="744" t="str">
        <f t="shared" si="1369"/>
        <v/>
      </c>
      <c r="BJ3963" s="747" t="str">
        <f t="shared" si="1376"/>
        <v/>
      </c>
      <c r="BK3963" s="498" t="str">
        <f t="shared" si="1370"/>
        <v/>
      </c>
      <c r="BL3963" s="498" t="str">
        <f t="shared" si="1371"/>
        <v/>
      </c>
    </row>
    <row r="3964" spans="1:64" x14ac:dyDescent="0.25">
      <c r="A3964" s="762">
        <f t="shared" si="1372"/>
        <v>3959</v>
      </c>
      <c r="B3964" s="229"/>
      <c r="C3964" s="223"/>
      <c r="D3964" s="224"/>
      <c r="E3964" s="225"/>
      <c r="F3964" s="1036" t="str">
        <f t="shared" si="1378"/>
        <v/>
      </c>
      <c r="G3964" s="1037" t="str">
        <f t="shared" si="1373"/>
        <v/>
      </c>
      <c r="H3964" s="225"/>
      <c r="I3964" s="1013"/>
      <c r="J3964" s="1013"/>
      <c r="K3964" s="1028"/>
      <c r="L3964" s="1035" t="str">
        <f t="shared" si="1377"/>
        <v/>
      </c>
      <c r="S3964" s="498"/>
      <c r="AJ3964" s="498"/>
      <c r="AM3964" s="498">
        <f t="shared" si="1358"/>
        <v>0</v>
      </c>
      <c r="AN3964" s="498">
        <f t="shared" si="1359"/>
        <v>0</v>
      </c>
      <c r="AO3964" s="498">
        <f t="shared" si="1360"/>
        <v>0</v>
      </c>
      <c r="AP3964" s="498">
        <f t="shared" si="1379"/>
        <v>0</v>
      </c>
      <c r="AQ3964" s="498">
        <f t="shared" si="1374"/>
        <v>0</v>
      </c>
      <c r="AU3964" s="498">
        <f t="shared" si="1361"/>
        <v>0</v>
      </c>
      <c r="AV3964" s="498">
        <f t="shared" si="1362"/>
        <v>0</v>
      </c>
      <c r="AW3964" s="498">
        <f t="shared" si="1363"/>
        <v>0</v>
      </c>
      <c r="AX3964" s="498">
        <f t="shared" si="1364"/>
        <v>0</v>
      </c>
      <c r="AY3964" s="498">
        <f t="shared" si="1365"/>
        <v>0</v>
      </c>
      <c r="BB3964" s="498" t="str">
        <f t="shared" si="1366"/>
        <v/>
      </c>
      <c r="BC3964" s="743" t="str">
        <f t="shared" si="1367"/>
        <v/>
      </c>
      <c r="BD3964" s="743" t="str">
        <f t="shared" si="1368"/>
        <v/>
      </c>
      <c r="BE3964" s="743" t="str">
        <f>IF(D3964="","",VLOOKUP(D3964,'General Basis'!$J$39:$K$46,2,0))</f>
        <v/>
      </c>
      <c r="BF3964" s="744" t="str">
        <f>IF(D3964="","",VLOOKUP(D3964,'General Basis'!$J$39:$L$46,3,0))</f>
        <v/>
      </c>
      <c r="BG3964" s="744" t="str">
        <f t="shared" si="1375"/>
        <v/>
      </c>
      <c r="BH3964" s="744" t="str">
        <f>IF(G3964="","",IF(BF3964="Abu Dhabi",IF(G3964&lt;18,'General Basis'!$C$39,IF(G3964&lt;41,'General Basis'!$C$40,IF(G3964&lt;60,'General Basis'!$C$41,IF(G3964&lt;65,'General Basis'!$C$42,'General Basis'!$C$43)))),IF(G3964&lt;11,'General Basis'!$B$39,IF(G3964&lt;18,'General Basis'!$B$40,IF(G3964&lt;26,'General Basis'!$B$41,IF(G3964&lt;31,'General Basis'!$B$42,IF(G3964&lt;36,'General Basis'!$B$43,IF(G3964&lt;41,'General Basis'!$B$44,IF(G3964&lt;46,'General Basis'!$B$45,IF(G3964&lt;51,'General Basis'!$B$46,IF(G3964&lt;56,'General Basis'!$B$47,IF(G3964&lt;60,'General Basis'!$B$48,IF(G3964&lt;65,'General Basis'!$B$49,'General Basis'!$B$50)))))))))))))</f>
        <v/>
      </c>
      <c r="BI3964" s="744" t="str">
        <f t="shared" si="1369"/>
        <v/>
      </c>
      <c r="BJ3964" s="747" t="str">
        <f t="shared" si="1376"/>
        <v/>
      </c>
      <c r="BK3964" s="498" t="str">
        <f t="shared" si="1370"/>
        <v/>
      </c>
      <c r="BL3964" s="498" t="str">
        <f t="shared" si="1371"/>
        <v/>
      </c>
    </row>
    <row r="3965" spans="1:64" x14ac:dyDescent="0.25">
      <c r="A3965" s="762">
        <f t="shared" si="1372"/>
        <v>3960</v>
      </c>
      <c r="B3965" s="229"/>
      <c r="C3965" s="223"/>
      <c r="D3965" s="224"/>
      <c r="E3965" s="225"/>
      <c r="F3965" s="1036" t="str">
        <f t="shared" si="1378"/>
        <v/>
      </c>
      <c r="G3965" s="1037" t="str">
        <f t="shared" si="1373"/>
        <v/>
      </c>
      <c r="H3965" s="225"/>
      <c r="I3965" s="1013"/>
      <c r="J3965" s="1013"/>
      <c r="K3965" s="1028"/>
      <c r="L3965" s="1035" t="str">
        <f t="shared" si="1377"/>
        <v/>
      </c>
      <c r="S3965" s="498"/>
      <c r="AJ3965" s="498"/>
      <c r="AM3965" s="498">
        <f t="shared" si="1358"/>
        <v>0</v>
      </c>
      <c r="AN3965" s="498">
        <f t="shared" si="1359"/>
        <v>0</v>
      </c>
      <c r="AO3965" s="498">
        <f t="shared" si="1360"/>
        <v>0</v>
      </c>
      <c r="AP3965" s="498">
        <f t="shared" si="1379"/>
        <v>0</v>
      </c>
      <c r="AQ3965" s="498">
        <f t="shared" si="1374"/>
        <v>0</v>
      </c>
      <c r="AU3965" s="498">
        <f t="shared" si="1361"/>
        <v>0</v>
      </c>
      <c r="AV3965" s="498">
        <f t="shared" si="1362"/>
        <v>0</v>
      </c>
      <c r="AW3965" s="498">
        <f t="shared" si="1363"/>
        <v>0</v>
      </c>
      <c r="AX3965" s="498">
        <f t="shared" si="1364"/>
        <v>0</v>
      </c>
      <c r="AY3965" s="498">
        <f t="shared" si="1365"/>
        <v>0</v>
      </c>
      <c r="BB3965" s="498" t="str">
        <f t="shared" si="1366"/>
        <v/>
      </c>
      <c r="BC3965" s="743" t="str">
        <f t="shared" si="1367"/>
        <v/>
      </c>
      <c r="BD3965" s="743" t="str">
        <f t="shared" si="1368"/>
        <v/>
      </c>
      <c r="BE3965" s="743" t="str">
        <f>IF(D3965="","",VLOOKUP(D3965,'General Basis'!$J$39:$K$46,2,0))</f>
        <v/>
      </c>
      <c r="BF3965" s="744" t="str">
        <f>IF(D3965="","",VLOOKUP(D3965,'General Basis'!$J$39:$L$46,3,0))</f>
        <v/>
      </c>
      <c r="BG3965" s="744" t="str">
        <f t="shared" si="1375"/>
        <v/>
      </c>
      <c r="BH3965" s="744" t="str">
        <f>IF(G3965="","",IF(BF3965="Abu Dhabi",IF(G3965&lt;18,'General Basis'!$C$39,IF(G3965&lt;41,'General Basis'!$C$40,IF(G3965&lt;60,'General Basis'!$C$41,IF(G3965&lt;65,'General Basis'!$C$42,'General Basis'!$C$43)))),IF(G3965&lt;11,'General Basis'!$B$39,IF(G3965&lt;18,'General Basis'!$B$40,IF(G3965&lt;26,'General Basis'!$B$41,IF(G3965&lt;31,'General Basis'!$B$42,IF(G3965&lt;36,'General Basis'!$B$43,IF(G3965&lt;41,'General Basis'!$B$44,IF(G3965&lt;46,'General Basis'!$B$45,IF(G3965&lt;51,'General Basis'!$B$46,IF(G3965&lt;56,'General Basis'!$B$47,IF(G3965&lt;60,'General Basis'!$B$48,IF(G3965&lt;65,'General Basis'!$B$49,'General Basis'!$B$50)))))))))))))</f>
        <v/>
      </c>
      <c r="BI3965" s="744" t="str">
        <f t="shared" si="1369"/>
        <v/>
      </c>
      <c r="BJ3965" s="747" t="str">
        <f t="shared" si="1376"/>
        <v/>
      </c>
      <c r="BK3965" s="498" t="str">
        <f t="shared" si="1370"/>
        <v/>
      </c>
      <c r="BL3965" s="498" t="str">
        <f t="shared" si="1371"/>
        <v/>
      </c>
    </row>
    <row r="3966" spans="1:64" x14ac:dyDescent="0.25">
      <c r="A3966" s="762">
        <f t="shared" si="1372"/>
        <v>3961</v>
      </c>
      <c r="B3966" s="229"/>
      <c r="C3966" s="223"/>
      <c r="D3966" s="224"/>
      <c r="E3966" s="225"/>
      <c r="F3966" s="1036" t="str">
        <f t="shared" si="1378"/>
        <v/>
      </c>
      <c r="G3966" s="1037" t="str">
        <f t="shared" si="1373"/>
        <v/>
      </c>
      <c r="H3966" s="225"/>
      <c r="I3966" s="1013"/>
      <c r="J3966" s="1013"/>
      <c r="K3966" s="1028"/>
      <c r="L3966" s="1035" t="str">
        <f t="shared" si="1377"/>
        <v/>
      </c>
      <c r="S3966" s="498"/>
      <c r="AJ3966" s="498"/>
      <c r="AM3966" s="498">
        <f t="shared" si="1358"/>
        <v>0</v>
      </c>
      <c r="AN3966" s="498">
        <f t="shared" si="1359"/>
        <v>0</v>
      </c>
      <c r="AO3966" s="498">
        <f t="shared" si="1360"/>
        <v>0</v>
      </c>
      <c r="AP3966" s="498">
        <f t="shared" si="1379"/>
        <v>0</v>
      </c>
      <c r="AQ3966" s="498">
        <f t="shared" si="1374"/>
        <v>0</v>
      </c>
      <c r="AU3966" s="498">
        <f t="shared" si="1361"/>
        <v>0</v>
      </c>
      <c r="AV3966" s="498">
        <f t="shared" si="1362"/>
        <v>0</v>
      </c>
      <c r="AW3966" s="498">
        <f t="shared" si="1363"/>
        <v>0</v>
      </c>
      <c r="AX3966" s="498">
        <f t="shared" si="1364"/>
        <v>0</v>
      </c>
      <c r="AY3966" s="498">
        <f t="shared" si="1365"/>
        <v>0</v>
      </c>
      <c r="BB3966" s="498" t="str">
        <f t="shared" si="1366"/>
        <v/>
      </c>
      <c r="BC3966" s="743" t="str">
        <f t="shared" si="1367"/>
        <v/>
      </c>
      <c r="BD3966" s="743" t="str">
        <f t="shared" si="1368"/>
        <v/>
      </c>
      <c r="BE3966" s="743" t="str">
        <f>IF(D3966="","",VLOOKUP(D3966,'General Basis'!$J$39:$K$46,2,0))</f>
        <v/>
      </c>
      <c r="BF3966" s="744" t="str">
        <f>IF(D3966="","",VLOOKUP(D3966,'General Basis'!$J$39:$L$46,3,0))</f>
        <v/>
      </c>
      <c r="BG3966" s="744" t="str">
        <f t="shared" si="1375"/>
        <v/>
      </c>
      <c r="BH3966" s="744" t="str">
        <f>IF(G3966="","",IF(BF3966="Abu Dhabi",IF(G3966&lt;18,'General Basis'!$C$39,IF(G3966&lt;41,'General Basis'!$C$40,IF(G3966&lt;60,'General Basis'!$C$41,IF(G3966&lt;65,'General Basis'!$C$42,'General Basis'!$C$43)))),IF(G3966&lt;11,'General Basis'!$B$39,IF(G3966&lt;18,'General Basis'!$B$40,IF(G3966&lt;26,'General Basis'!$B$41,IF(G3966&lt;31,'General Basis'!$B$42,IF(G3966&lt;36,'General Basis'!$B$43,IF(G3966&lt;41,'General Basis'!$B$44,IF(G3966&lt;46,'General Basis'!$B$45,IF(G3966&lt;51,'General Basis'!$B$46,IF(G3966&lt;56,'General Basis'!$B$47,IF(G3966&lt;60,'General Basis'!$B$48,IF(G3966&lt;65,'General Basis'!$B$49,'General Basis'!$B$50)))))))))))))</f>
        <v/>
      </c>
      <c r="BI3966" s="744" t="str">
        <f t="shared" si="1369"/>
        <v/>
      </c>
      <c r="BJ3966" s="747" t="str">
        <f t="shared" si="1376"/>
        <v/>
      </c>
      <c r="BK3966" s="498" t="str">
        <f t="shared" si="1370"/>
        <v/>
      </c>
      <c r="BL3966" s="498" t="str">
        <f t="shared" si="1371"/>
        <v/>
      </c>
    </row>
    <row r="3967" spans="1:64" x14ac:dyDescent="0.25">
      <c r="A3967" s="762">
        <f t="shared" si="1372"/>
        <v>3962</v>
      </c>
      <c r="B3967" s="229"/>
      <c r="C3967" s="223"/>
      <c r="D3967" s="224"/>
      <c r="E3967" s="225"/>
      <c r="F3967" s="1036" t="str">
        <f t="shared" si="1378"/>
        <v/>
      </c>
      <c r="G3967" s="1037" t="str">
        <f t="shared" si="1373"/>
        <v/>
      </c>
      <c r="H3967" s="225"/>
      <c r="I3967" s="1013"/>
      <c r="J3967" s="1013"/>
      <c r="K3967" s="1028"/>
      <c r="L3967" s="1035" t="str">
        <f t="shared" si="1377"/>
        <v/>
      </c>
      <c r="S3967" s="498"/>
      <c r="AJ3967" s="498"/>
      <c r="AM3967" s="498">
        <f t="shared" si="1358"/>
        <v>0</v>
      </c>
      <c r="AN3967" s="498">
        <f t="shared" si="1359"/>
        <v>0</v>
      </c>
      <c r="AO3967" s="498">
        <f t="shared" si="1360"/>
        <v>0</v>
      </c>
      <c r="AP3967" s="498">
        <f t="shared" si="1379"/>
        <v>0</v>
      </c>
      <c r="AQ3967" s="498">
        <f t="shared" si="1374"/>
        <v>0</v>
      </c>
      <c r="AU3967" s="498">
        <f t="shared" si="1361"/>
        <v>0</v>
      </c>
      <c r="AV3967" s="498">
        <f t="shared" si="1362"/>
        <v>0</v>
      </c>
      <c r="AW3967" s="498">
        <f t="shared" si="1363"/>
        <v>0</v>
      </c>
      <c r="AX3967" s="498">
        <f t="shared" si="1364"/>
        <v>0</v>
      </c>
      <c r="AY3967" s="498">
        <f t="shared" si="1365"/>
        <v>0</v>
      </c>
      <c r="BB3967" s="498" t="str">
        <f t="shared" si="1366"/>
        <v/>
      </c>
      <c r="BC3967" s="743" t="str">
        <f t="shared" si="1367"/>
        <v/>
      </c>
      <c r="BD3967" s="743" t="str">
        <f t="shared" si="1368"/>
        <v/>
      </c>
      <c r="BE3967" s="743" t="str">
        <f>IF(D3967="","",VLOOKUP(D3967,'General Basis'!$J$39:$K$46,2,0))</f>
        <v/>
      </c>
      <c r="BF3967" s="744" t="str">
        <f>IF(D3967="","",VLOOKUP(D3967,'General Basis'!$J$39:$L$46,3,0))</f>
        <v/>
      </c>
      <c r="BG3967" s="744" t="str">
        <f t="shared" si="1375"/>
        <v/>
      </c>
      <c r="BH3967" s="744" t="str">
        <f>IF(G3967="","",IF(BF3967="Abu Dhabi",IF(G3967&lt;18,'General Basis'!$C$39,IF(G3967&lt;41,'General Basis'!$C$40,IF(G3967&lt;60,'General Basis'!$C$41,IF(G3967&lt;65,'General Basis'!$C$42,'General Basis'!$C$43)))),IF(G3967&lt;11,'General Basis'!$B$39,IF(G3967&lt;18,'General Basis'!$B$40,IF(G3967&lt;26,'General Basis'!$B$41,IF(G3967&lt;31,'General Basis'!$B$42,IF(G3967&lt;36,'General Basis'!$B$43,IF(G3967&lt;41,'General Basis'!$B$44,IF(G3967&lt;46,'General Basis'!$B$45,IF(G3967&lt;51,'General Basis'!$B$46,IF(G3967&lt;56,'General Basis'!$B$47,IF(G3967&lt;60,'General Basis'!$B$48,IF(G3967&lt;65,'General Basis'!$B$49,'General Basis'!$B$50)))))))))))))</f>
        <v/>
      </c>
      <c r="BI3967" s="744" t="str">
        <f t="shared" si="1369"/>
        <v/>
      </c>
      <c r="BJ3967" s="747" t="str">
        <f t="shared" si="1376"/>
        <v/>
      </c>
      <c r="BK3967" s="498" t="str">
        <f t="shared" si="1370"/>
        <v/>
      </c>
      <c r="BL3967" s="498" t="str">
        <f t="shared" si="1371"/>
        <v/>
      </c>
    </row>
    <row r="3968" spans="1:64" x14ac:dyDescent="0.25">
      <c r="A3968" s="762">
        <f t="shared" si="1372"/>
        <v>3963</v>
      </c>
      <c r="B3968" s="229"/>
      <c r="C3968" s="223"/>
      <c r="D3968" s="224"/>
      <c r="E3968" s="225"/>
      <c r="F3968" s="1036" t="str">
        <f t="shared" si="1378"/>
        <v/>
      </c>
      <c r="G3968" s="1037" t="str">
        <f t="shared" si="1373"/>
        <v/>
      </c>
      <c r="H3968" s="225"/>
      <c r="I3968" s="1013"/>
      <c r="J3968" s="1013"/>
      <c r="K3968" s="1028"/>
      <c r="L3968" s="1035" t="str">
        <f t="shared" si="1377"/>
        <v/>
      </c>
      <c r="S3968" s="498"/>
      <c r="AJ3968" s="498"/>
      <c r="AM3968" s="498">
        <f t="shared" si="1358"/>
        <v>0</v>
      </c>
      <c r="AN3968" s="498">
        <f t="shared" si="1359"/>
        <v>0</v>
      </c>
      <c r="AO3968" s="498">
        <f t="shared" si="1360"/>
        <v>0</v>
      </c>
      <c r="AP3968" s="498">
        <f t="shared" si="1379"/>
        <v>0</v>
      </c>
      <c r="AQ3968" s="498">
        <f t="shared" si="1374"/>
        <v>0</v>
      </c>
      <c r="AU3968" s="498">
        <f t="shared" si="1361"/>
        <v>0</v>
      </c>
      <c r="AV3968" s="498">
        <f t="shared" si="1362"/>
        <v>0</v>
      </c>
      <c r="AW3968" s="498">
        <f t="shared" si="1363"/>
        <v>0</v>
      </c>
      <c r="AX3968" s="498">
        <f t="shared" si="1364"/>
        <v>0</v>
      </c>
      <c r="AY3968" s="498">
        <f t="shared" si="1365"/>
        <v>0</v>
      </c>
      <c r="BB3968" s="498" t="str">
        <f t="shared" si="1366"/>
        <v/>
      </c>
      <c r="BC3968" s="743" t="str">
        <f t="shared" si="1367"/>
        <v/>
      </c>
      <c r="BD3968" s="743" t="str">
        <f t="shared" si="1368"/>
        <v/>
      </c>
      <c r="BE3968" s="743" t="str">
        <f>IF(D3968="","",VLOOKUP(D3968,'General Basis'!$J$39:$K$46,2,0))</f>
        <v/>
      </c>
      <c r="BF3968" s="744" t="str">
        <f>IF(D3968="","",VLOOKUP(D3968,'General Basis'!$J$39:$L$46,3,0))</f>
        <v/>
      </c>
      <c r="BG3968" s="744" t="str">
        <f t="shared" si="1375"/>
        <v/>
      </c>
      <c r="BH3968" s="744" t="str">
        <f>IF(G3968="","",IF(BF3968="Abu Dhabi",IF(G3968&lt;18,'General Basis'!$C$39,IF(G3968&lt;41,'General Basis'!$C$40,IF(G3968&lt;60,'General Basis'!$C$41,IF(G3968&lt;65,'General Basis'!$C$42,'General Basis'!$C$43)))),IF(G3968&lt;11,'General Basis'!$B$39,IF(G3968&lt;18,'General Basis'!$B$40,IF(G3968&lt;26,'General Basis'!$B$41,IF(G3968&lt;31,'General Basis'!$B$42,IF(G3968&lt;36,'General Basis'!$B$43,IF(G3968&lt;41,'General Basis'!$B$44,IF(G3968&lt;46,'General Basis'!$B$45,IF(G3968&lt;51,'General Basis'!$B$46,IF(G3968&lt;56,'General Basis'!$B$47,IF(G3968&lt;60,'General Basis'!$B$48,IF(G3968&lt;65,'General Basis'!$B$49,'General Basis'!$B$50)))))))))))))</f>
        <v/>
      </c>
      <c r="BI3968" s="744" t="str">
        <f t="shared" si="1369"/>
        <v/>
      </c>
      <c r="BJ3968" s="747" t="str">
        <f t="shared" si="1376"/>
        <v/>
      </c>
      <c r="BK3968" s="498" t="str">
        <f t="shared" si="1370"/>
        <v/>
      </c>
      <c r="BL3968" s="498" t="str">
        <f t="shared" si="1371"/>
        <v/>
      </c>
    </row>
    <row r="3969" spans="1:64" x14ac:dyDescent="0.25">
      <c r="A3969" s="762">
        <f t="shared" si="1372"/>
        <v>3964</v>
      </c>
      <c r="B3969" s="229"/>
      <c r="C3969" s="223"/>
      <c r="D3969" s="224"/>
      <c r="E3969" s="225"/>
      <c r="F3969" s="1036" t="str">
        <f t="shared" si="1378"/>
        <v/>
      </c>
      <c r="G3969" s="1037" t="str">
        <f t="shared" si="1373"/>
        <v/>
      </c>
      <c r="H3969" s="225"/>
      <c r="I3969" s="1013"/>
      <c r="J3969" s="1013"/>
      <c r="K3969" s="1028"/>
      <c r="L3969" s="1035" t="str">
        <f t="shared" si="1377"/>
        <v/>
      </c>
      <c r="S3969" s="498"/>
      <c r="AJ3969" s="498"/>
      <c r="AM3969" s="498">
        <f t="shared" si="1358"/>
        <v>0</v>
      </c>
      <c r="AN3969" s="498">
        <f t="shared" si="1359"/>
        <v>0</v>
      </c>
      <c r="AO3969" s="498">
        <f t="shared" si="1360"/>
        <v>0</v>
      </c>
      <c r="AP3969" s="498">
        <f t="shared" si="1379"/>
        <v>0</v>
      </c>
      <c r="AQ3969" s="498">
        <f t="shared" si="1374"/>
        <v>0</v>
      </c>
      <c r="AU3969" s="498">
        <f t="shared" si="1361"/>
        <v>0</v>
      </c>
      <c r="AV3969" s="498">
        <f t="shared" si="1362"/>
        <v>0</v>
      </c>
      <c r="AW3969" s="498">
        <f t="shared" si="1363"/>
        <v>0</v>
      </c>
      <c r="AX3969" s="498">
        <f t="shared" si="1364"/>
        <v>0</v>
      </c>
      <c r="AY3969" s="498">
        <f t="shared" si="1365"/>
        <v>0</v>
      </c>
      <c r="BB3969" s="498" t="str">
        <f t="shared" si="1366"/>
        <v/>
      </c>
      <c r="BC3969" s="743" t="str">
        <f t="shared" si="1367"/>
        <v/>
      </c>
      <c r="BD3969" s="743" t="str">
        <f t="shared" si="1368"/>
        <v/>
      </c>
      <c r="BE3969" s="743" t="str">
        <f>IF(D3969="","",VLOOKUP(D3969,'General Basis'!$J$39:$K$46,2,0))</f>
        <v/>
      </c>
      <c r="BF3969" s="744" t="str">
        <f>IF(D3969="","",VLOOKUP(D3969,'General Basis'!$J$39:$L$46,3,0))</f>
        <v/>
      </c>
      <c r="BG3969" s="744" t="str">
        <f t="shared" si="1375"/>
        <v/>
      </c>
      <c r="BH3969" s="744" t="str">
        <f>IF(G3969="","",IF(BF3969="Abu Dhabi",IF(G3969&lt;18,'General Basis'!$C$39,IF(G3969&lt;41,'General Basis'!$C$40,IF(G3969&lt;60,'General Basis'!$C$41,IF(G3969&lt;65,'General Basis'!$C$42,'General Basis'!$C$43)))),IF(G3969&lt;11,'General Basis'!$B$39,IF(G3969&lt;18,'General Basis'!$B$40,IF(G3969&lt;26,'General Basis'!$B$41,IF(G3969&lt;31,'General Basis'!$B$42,IF(G3969&lt;36,'General Basis'!$B$43,IF(G3969&lt;41,'General Basis'!$B$44,IF(G3969&lt;46,'General Basis'!$B$45,IF(G3969&lt;51,'General Basis'!$B$46,IF(G3969&lt;56,'General Basis'!$B$47,IF(G3969&lt;60,'General Basis'!$B$48,IF(G3969&lt;65,'General Basis'!$B$49,'General Basis'!$B$50)))))))))))))</f>
        <v/>
      </c>
      <c r="BI3969" s="744" t="str">
        <f t="shared" si="1369"/>
        <v/>
      </c>
      <c r="BJ3969" s="747" t="str">
        <f t="shared" si="1376"/>
        <v/>
      </c>
      <c r="BK3969" s="498" t="str">
        <f t="shared" si="1370"/>
        <v/>
      </c>
      <c r="BL3969" s="498" t="str">
        <f t="shared" si="1371"/>
        <v/>
      </c>
    </row>
    <row r="3970" spans="1:64" x14ac:dyDescent="0.25">
      <c r="A3970" s="762">
        <f t="shared" si="1372"/>
        <v>3965</v>
      </c>
      <c r="B3970" s="229"/>
      <c r="C3970" s="223"/>
      <c r="D3970" s="224"/>
      <c r="E3970" s="225"/>
      <c r="F3970" s="1036" t="str">
        <f t="shared" si="1378"/>
        <v/>
      </c>
      <c r="G3970" s="1037" t="str">
        <f t="shared" si="1373"/>
        <v/>
      </c>
      <c r="H3970" s="225"/>
      <c r="I3970" s="1013"/>
      <c r="J3970" s="1013"/>
      <c r="K3970" s="1028"/>
      <c r="L3970" s="1035" t="str">
        <f t="shared" si="1377"/>
        <v/>
      </c>
      <c r="S3970" s="498"/>
      <c r="AJ3970" s="498"/>
      <c r="AM3970" s="498">
        <f t="shared" si="1358"/>
        <v>0</v>
      </c>
      <c r="AN3970" s="498">
        <f t="shared" si="1359"/>
        <v>0</v>
      </c>
      <c r="AO3970" s="498">
        <f t="shared" si="1360"/>
        <v>0</v>
      </c>
      <c r="AP3970" s="498">
        <f t="shared" si="1379"/>
        <v>0</v>
      </c>
      <c r="AQ3970" s="498">
        <f t="shared" si="1374"/>
        <v>0</v>
      </c>
      <c r="AU3970" s="498">
        <f t="shared" si="1361"/>
        <v>0</v>
      </c>
      <c r="AV3970" s="498">
        <f t="shared" si="1362"/>
        <v>0</v>
      </c>
      <c r="AW3970" s="498">
        <f t="shared" si="1363"/>
        <v>0</v>
      </c>
      <c r="AX3970" s="498">
        <f t="shared" si="1364"/>
        <v>0</v>
      </c>
      <c r="AY3970" s="498">
        <f t="shared" si="1365"/>
        <v>0</v>
      </c>
      <c r="BB3970" s="498" t="str">
        <f t="shared" si="1366"/>
        <v/>
      </c>
      <c r="BC3970" s="743" t="str">
        <f t="shared" si="1367"/>
        <v/>
      </c>
      <c r="BD3970" s="743" t="str">
        <f t="shared" si="1368"/>
        <v/>
      </c>
      <c r="BE3970" s="743" t="str">
        <f>IF(D3970="","",VLOOKUP(D3970,'General Basis'!$J$39:$K$46,2,0))</f>
        <v/>
      </c>
      <c r="BF3970" s="744" t="str">
        <f>IF(D3970="","",VLOOKUP(D3970,'General Basis'!$J$39:$L$46,3,0))</f>
        <v/>
      </c>
      <c r="BG3970" s="744" t="str">
        <f t="shared" si="1375"/>
        <v/>
      </c>
      <c r="BH3970" s="744" t="str">
        <f>IF(G3970="","",IF(BF3970="Abu Dhabi",IF(G3970&lt;18,'General Basis'!$C$39,IF(G3970&lt;41,'General Basis'!$C$40,IF(G3970&lt;60,'General Basis'!$C$41,IF(G3970&lt;65,'General Basis'!$C$42,'General Basis'!$C$43)))),IF(G3970&lt;11,'General Basis'!$B$39,IF(G3970&lt;18,'General Basis'!$B$40,IF(G3970&lt;26,'General Basis'!$B$41,IF(G3970&lt;31,'General Basis'!$B$42,IF(G3970&lt;36,'General Basis'!$B$43,IF(G3970&lt;41,'General Basis'!$B$44,IF(G3970&lt;46,'General Basis'!$B$45,IF(G3970&lt;51,'General Basis'!$B$46,IF(G3970&lt;56,'General Basis'!$B$47,IF(G3970&lt;60,'General Basis'!$B$48,IF(G3970&lt;65,'General Basis'!$B$49,'General Basis'!$B$50)))))))))))))</f>
        <v/>
      </c>
      <c r="BI3970" s="744" t="str">
        <f t="shared" si="1369"/>
        <v/>
      </c>
      <c r="BJ3970" s="747" t="str">
        <f t="shared" si="1376"/>
        <v/>
      </c>
      <c r="BK3970" s="498" t="str">
        <f t="shared" si="1370"/>
        <v/>
      </c>
      <c r="BL3970" s="498" t="str">
        <f t="shared" si="1371"/>
        <v/>
      </c>
    </row>
    <row r="3971" spans="1:64" x14ac:dyDescent="0.25">
      <c r="A3971" s="762">
        <f t="shared" si="1372"/>
        <v>3966</v>
      </c>
      <c r="B3971" s="229"/>
      <c r="C3971" s="223"/>
      <c r="D3971" s="224"/>
      <c r="E3971" s="225"/>
      <c r="F3971" s="1036" t="str">
        <f t="shared" si="1378"/>
        <v/>
      </c>
      <c r="G3971" s="1037" t="str">
        <f t="shared" si="1373"/>
        <v/>
      </c>
      <c r="H3971" s="225"/>
      <c r="I3971" s="1013"/>
      <c r="J3971" s="1013"/>
      <c r="K3971" s="1028"/>
      <c r="L3971" s="1035" t="str">
        <f t="shared" si="1377"/>
        <v/>
      </c>
      <c r="S3971" s="498"/>
      <c r="AJ3971" s="498"/>
      <c r="AM3971" s="498">
        <f t="shared" si="1358"/>
        <v>0</v>
      </c>
      <c r="AN3971" s="498">
        <f t="shared" si="1359"/>
        <v>0</v>
      </c>
      <c r="AO3971" s="498">
        <f t="shared" si="1360"/>
        <v>0</v>
      </c>
      <c r="AP3971" s="498">
        <f t="shared" si="1379"/>
        <v>0</v>
      </c>
      <c r="AQ3971" s="498">
        <f t="shared" si="1374"/>
        <v>0</v>
      </c>
      <c r="AU3971" s="498">
        <f t="shared" si="1361"/>
        <v>0</v>
      </c>
      <c r="AV3971" s="498">
        <f t="shared" si="1362"/>
        <v>0</v>
      </c>
      <c r="AW3971" s="498">
        <f t="shared" si="1363"/>
        <v>0</v>
      </c>
      <c r="AX3971" s="498">
        <f t="shared" si="1364"/>
        <v>0</v>
      </c>
      <c r="AY3971" s="498">
        <f t="shared" si="1365"/>
        <v>0</v>
      </c>
      <c r="BB3971" s="498" t="str">
        <f t="shared" si="1366"/>
        <v/>
      </c>
      <c r="BC3971" s="743" t="str">
        <f t="shared" si="1367"/>
        <v/>
      </c>
      <c r="BD3971" s="743" t="str">
        <f t="shared" si="1368"/>
        <v/>
      </c>
      <c r="BE3971" s="743" t="str">
        <f>IF(D3971="","",VLOOKUP(D3971,'General Basis'!$J$39:$K$46,2,0))</f>
        <v/>
      </c>
      <c r="BF3971" s="744" t="str">
        <f>IF(D3971="","",VLOOKUP(D3971,'General Basis'!$J$39:$L$46,3,0))</f>
        <v/>
      </c>
      <c r="BG3971" s="744" t="str">
        <f t="shared" si="1375"/>
        <v/>
      </c>
      <c r="BH3971" s="744" t="str">
        <f>IF(G3971="","",IF(BF3971="Abu Dhabi",IF(G3971&lt;18,'General Basis'!$C$39,IF(G3971&lt;41,'General Basis'!$C$40,IF(G3971&lt;60,'General Basis'!$C$41,IF(G3971&lt;65,'General Basis'!$C$42,'General Basis'!$C$43)))),IF(G3971&lt;11,'General Basis'!$B$39,IF(G3971&lt;18,'General Basis'!$B$40,IF(G3971&lt;26,'General Basis'!$B$41,IF(G3971&lt;31,'General Basis'!$B$42,IF(G3971&lt;36,'General Basis'!$B$43,IF(G3971&lt;41,'General Basis'!$B$44,IF(G3971&lt;46,'General Basis'!$B$45,IF(G3971&lt;51,'General Basis'!$B$46,IF(G3971&lt;56,'General Basis'!$B$47,IF(G3971&lt;60,'General Basis'!$B$48,IF(G3971&lt;65,'General Basis'!$B$49,'General Basis'!$B$50)))))))))))))</f>
        <v/>
      </c>
      <c r="BI3971" s="744" t="str">
        <f t="shared" si="1369"/>
        <v/>
      </c>
      <c r="BJ3971" s="747" t="str">
        <f t="shared" si="1376"/>
        <v/>
      </c>
      <c r="BK3971" s="498" t="str">
        <f t="shared" si="1370"/>
        <v/>
      </c>
      <c r="BL3971" s="498" t="str">
        <f t="shared" si="1371"/>
        <v/>
      </c>
    </row>
    <row r="3972" spans="1:64" x14ac:dyDescent="0.25">
      <c r="A3972" s="762">
        <f t="shared" si="1372"/>
        <v>3967</v>
      </c>
      <c r="B3972" s="229"/>
      <c r="C3972" s="223"/>
      <c r="D3972" s="224"/>
      <c r="E3972" s="225"/>
      <c r="F3972" s="1036" t="str">
        <f t="shared" si="1378"/>
        <v/>
      </c>
      <c r="G3972" s="1037" t="str">
        <f t="shared" si="1373"/>
        <v/>
      </c>
      <c r="H3972" s="225"/>
      <c r="I3972" s="1013"/>
      <c r="J3972" s="1013"/>
      <c r="K3972" s="1028"/>
      <c r="L3972" s="1035" t="str">
        <f t="shared" si="1377"/>
        <v/>
      </c>
      <c r="S3972" s="498"/>
      <c r="AJ3972" s="498"/>
      <c r="AM3972" s="498">
        <f t="shared" si="1358"/>
        <v>0</v>
      </c>
      <c r="AN3972" s="498">
        <f t="shared" si="1359"/>
        <v>0</v>
      </c>
      <c r="AO3972" s="498">
        <f t="shared" si="1360"/>
        <v>0</v>
      </c>
      <c r="AP3972" s="498">
        <f t="shared" si="1379"/>
        <v>0</v>
      </c>
      <c r="AQ3972" s="498">
        <f t="shared" si="1374"/>
        <v>0</v>
      </c>
      <c r="AU3972" s="498">
        <f t="shared" si="1361"/>
        <v>0</v>
      </c>
      <c r="AV3972" s="498">
        <f t="shared" si="1362"/>
        <v>0</v>
      </c>
      <c r="AW3972" s="498">
        <f t="shared" si="1363"/>
        <v>0</v>
      </c>
      <c r="AX3972" s="498">
        <f t="shared" si="1364"/>
        <v>0</v>
      </c>
      <c r="AY3972" s="498">
        <f t="shared" si="1365"/>
        <v>0</v>
      </c>
      <c r="BB3972" s="498" t="str">
        <f t="shared" si="1366"/>
        <v/>
      </c>
      <c r="BC3972" s="743" t="str">
        <f t="shared" si="1367"/>
        <v/>
      </c>
      <c r="BD3972" s="743" t="str">
        <f t="shared" si="1368"/>
        <v/>
      </c>
      <c r="BE3972" s="743" t="str">
        <f>IF(D3972="","",VLOOKUP(D3972,'General Basis'!$J$39:$K$46,2,0))</f>
        <v/>
      </c>
      <c r="BF3972" s="744" t="str">
        <f>IF(D3972="","",VLOOKUP(D3972,'General Basis'!$J$39:$L$46,3,0))</f>
        <v/>
      </c>
      <c r="BG3972" s="744" t="str">
        <f t="shared" si="1375"/>
        <v/>
      </c>
      <c r="BH3972" s="744" t="str">
        <f>IF(G3972="","",IF(BF3972="Abu Dhabi",IF(G3972&lt;18,'General Basis'!$C$39,IF(G3972&lt;41,'General Basis'!$C$40,IF(G3972&lt;60,'General Basis'!$C$41,IF(G3972&lt;65,'General Basis'!$C$42,'General Basis'!$C$43)))),IF(G3972&lt;11,'General Basis'!$B$39,IF(G3972&lt;18,'General Basis'!$B$40,IF(G3972&lt;26,'General Basis'!$B$41,IF(G3972&lt;31,'General Basis'!$B$42,IF(G3972&lt;36,'General Basis'!$B$43,IF(G3972&lt;41,'General Basis'!$B$44,IF(G3972&lt;46,'General Basis'!$B$45,IF(G3972&lt;51,'General Basis'!$B$46,IF(G3972&lt;56,'General Basis'!$B$47,IF(G3972&lt;60,'General Basis'!$B$48,IF(G3972&lt;65,'General Basis'!$B$49,'General Basis'!$B$50)))))))))))))</f>
        <v/>
      </c>
      <c r="BI3972" s="744" t="str">
        <f t="shared" si="1369"/>
        <v/>
      </c>
      <c r="BJ3972" s="747" t="str">
        <f t="shared" si="1376"/>
        <v/>
      </c>
      <c r="BK3972" s="498" t="str">
        <f t="shared" si="1370"/>
        <v/>
      </c>
      <c r="BL3972" s="498" t="str">
        <f t="shared" si="1371"/>
        <v/>
      </c>
    </row>
    <row r="3973" spans="1:64" x14ac:dyDescent="0.25">
      <c r="A3973" s="762">
        <f t="shared" si="1372"/>
        <v>3968</v>
      </c>
      <c r="B3973" s="229"/>
      <c r="C3973" s="223"/>
      <c r="D3973" s="224"/>
      <c r="E3973" s="225"/>
      <c r="F3973" s="1036" t="str">
        <f t="shared" si="1378"/>
        <v/>
      </c>
      <c r="G3973" s="1037" t="str">
        <f t="shared" si="1373"/>
        <v/>
      </c>
      <c r="H3973" s="225"/>
      <c r="I3973" s="1013"/>
      <c r="J3973" s="1013"/>
      <c r="K3973" s="1028"/>
      <c r="L3973" s="1035" t="str">
        <f t="shared" si="1377"/>
        <v/>
      </c>
      <c r="S3973" s="498"/>
      <c r="AJ3973" s="498"/>
      <c r="AM3973" s="498">
        <f t="shared" si="1358"/>
        <v>0</v>
      </c>
      <c r="AN3973" s="498">
        <f t="shared" si="1359"/>
        <v>0</v>
      </c>
      <c r="AO3973" s="498">
        <f t="shared" si="1360"/>
        <v>0</v>
      </c>
      <c r="AP3973" s="498">
        <f t="shared" si="1379"/>
        <v>0</v>
      </c>
      <c r="AQ3973" s="498">
        <f t="shared" si="1374"/>
        <v>0</v>
      </c>
      <c r="AU3973" s="498">
        <f t="shared" si="1361"/>
        <v>0</v>
      </c>
      <c r="AV3973" s="498">
        <f t="shared" si="1362"/>
        <v>0</v>
      </c>
      <c r="AW3973" s="498">
        <f t="shared" si="1363"/>
        <v>0</v>
      </c>
      <c r="AX3973" s="498">
        <f t="shared" si="1364"/>
        <v>0</v>
      </c>
      <c r="AY3973" s="498">
        <f t="shared" si="1365"/>
        <v>0</v>
      </c>
      <c r="BB3973" s="498" t="str">
        <f t="shared" si="1366"/>
        <v/>
      </c>
      <c r="BC3973" s="743" t="str">
        <f t="shared" si="1367"/>
        <v/>
      </c>
      <c r="BD3973" s="743" t="str">
        <f t="shared" si="1368"/>
        <v/>
      </c>
      <c r="BE3973" s="743" t="str">
        <f>IF(D3973="","",VLOOKUP(D3973,'General Basis'!$J$39:$K$46,2,0))</f>
        <v/>
      </c>
      <c r="BF3973" s="744" t="str">
        <f>IF(D3973="","",VLOOKUP(D3973,'General Basis'!$J$39:$L$46,3,0))</f>
        <v/>
      </c>
      <c r="BG3973" s="744" t="str">
        <f t="shared" si="1375"/>
        <v/>
      </c>
      <c r="BH3973" s="744" t="str">
        <f>IF(G3973="","",IF(BF3973="Abu Dhabi",IF(G3973&lt;18,'General Basis'!$C$39,IF(G3973&lt;41,'General Basis'!$C$40,IF(G3973&lt;60,'General Basis'!$C$41,IF(G3973&lt;65,'General Basis'!$C$42,'General Basis'!$C$43)))),IF(G3973&lt;11,'General Basis'!$B$39,IF(G3973&lt;18,'General Basis'!$B$40,IF(G3973&lt;26,'General Basis'!$B$41,IF(G3973&lt;31,'General Basis'!$B$42,IF(G3973&lt;36,'General Basis'!$B$43,IF(G3973&lt;41,'General Basis'!$B$44,IF(G3973&lt;46,'General Basis'!$B$45,IF(G3973&lt;51,'General Basis'!$B$46,IF(G3973&lt;56,'General Basis'!$B$47,IF(G3973&lt;60,'General Basis'!$B$48,IF(G3973&lt;65,'General Basis'!$B$49,'General Basis'!$B$50)))))))))))))</f>
        <v/>
      </c>
      <c r="BI3973" s="744" t="str">
        <f t="shared" si="1369"/>
        <v/>
      </c>
      <c r="BJ3973" s="747" t="str">
        <f t="shared" si="1376"/>
        <v/>
      </c>
      <c r="BK3973" s="498" t="str">
        <f t="shared" si="1370"/>
        <v/>
      </c>
      <c r="BL3973" s="498" t="str">
        <f t="shared" si="1371"/>
        <v/>
      </c>
    </row>
    <row r="3974" spans="1:64" x14ac:dyDescent="0.25">
      <c r="A3974" s="762">
        <f t="shared" si="1372"/>
        <v>3969</v>
      </c>
      <c r="B3974" s="229"/>
      <c r="C3974" s="223"/>
      <c r="D3974" s="224"/>
      <c r="E3974" s="225"/>
      <c r="F3974" s="1036" t="str">
        <f t="shared" si="1378"/>
        <v/>
      </c>
      <c r="G3974" s="1037" t="str">
        <f t="shared" si="1373"/>
        <v/>
      </c>
      <c r="H3974" s="225"/>
      <c r="I3974" s="1013"/>
      <c r="J3974" s="1013"/>
      <c r="K3974" s="1028"/>
      <c r="L3974" s="1035" t="str">
        <f t="shared" si="1377"/>
        <v/>
      </c>
      <c r="S3974" s="498"/>
      <c r="AJ3974" s="498"/>
      <c r="AM3974" s="498">
        <f t="shared" ref="AM3974:AM4037" si="1380">IF(ISTEXT(B3974),1,0)</f>
        <v>0</v>
      </c>
      <c r="AN3974" s="498">
        <f t="shared" ref="AN3974:AN4037" si="1381">IF(ISBLANK(B3974),0,IF(B3974&lt;$AK$6,1,0))</f>
        <v>0</v>
      </c>
      <c r="AO3974" s="498">
        <f t="shared" ref="AO3974:AO4037" si="1382">IF(ISBLANK(B3974),0,IF(B3974&gt;$AK$7,1,0))</f>
        <v>0</v>
      </c>
      <c r="AP3974" s="498">
        <f t="shared" si="1379"/>
        <v>0</v>
      </c>
      <c r="AQ3974" s="498">
        <f t="shared" si="1374"/>
        <v>0</v>
      </c>
      <c r="AU3974" s="498">
        <f t="shared" ref="AU3974:AU4037" si="1383">IF(ISBLANK(B3974),0,1)</f>
        <v>0</v>
      </c>
      <c r="AV3974" s="498">
        <f t="shared" ref="AV3974:AV4037" si="1384">IF(ISBLANK(C3974),0,1)</f>
        <v>0</v>
      </c>
      <c r="AW3974" s="498">
        <f t="shared" ref="AW3974:AW4037" si="1385">IF(ISBLANK(D3974),0,1)</f>
        <v>0</v>
      </c>
      <c r="AX3974" s="498">
        <f t="shared" ref="AX3974:AX4037" si="1386">IF(ISBLANK(E3974),0,1)</f>
        <v>0</v>
      </c>
      <c r="AY3974" s="498">
        <f t="shared" ref="AY3974:AY4037" si="1387">IF(ISBLANK(H3974),0,1)</f>
        <v>0</v>
      </c>
      <c r="BB3974" s="498" t="str">
        <f t="shared" ref="BB3974:BB4037" si="1388">IF(E3974="Principal","Principal",IF(E3974="","","Other"))</f>
        <v/>
      </c>
      <c r="BC3974" s="743" t="str">
        <f t="shared" ref="BC3974:BC4037" si="1389">IF(D3974="","",D3974)</f>
        <v/>
      </c>
      <c r="BD3974" s="743" t="str">
        <f t="shared" ref="BD3974:BD4037" si="1390">IF(E3974="Principal","Employee",IF(E3974="","","Dependent"))</f>
        <v/>
      </c>
      <c r="BE3974" s="743" t="str">
        <f>IF(D3974="","",VLOOKUP(D3974,'General Basis'!$J$39:$K$46,2,0))</f>
        <v/>
      </c>
      <c r="BF3974" s="744" t="str">
        <f>IF(D3974="","",VLOOKUP(D3974,'General Basis'!$J$39:$L$46,3,0))</f>
        <v/>
      </c>
      <c r="BG3974" s="744" t="str">
        <f t="shared" si="1375"/>
        <v/>
      </c>
      <c r="BH3974" s="744" t="str">
        <f>IF(G3974="","",IF(BF3974="Abu Dhabi",IF(G3974&lt;18,'General Basis'!$C$39,IF(G3974&lt;41,'General Basis'!$C$40,IF(G3974&lt;60,'General Basis'!$C$41,IF(G3974&lt;65,'General Basis'!$C$42,'General Basis'!$C$43)))),IF(G3974&lt;11,'General Basis'!$B$39,IF(G3974&lt;18,'General Basis'!$B$40,IF(G3974&lt;26,'General Basis'!$B$41,IF(G3974&lt;31,'General Basis'!$B$42,IF(G3974&lt;36,'General Basis'!$B$43,IF(G3974&lt;41,'General Basis'!$B$44,IF(G3974&lt;46,'General Basis'!$B$45,IF(G3974&lt;51,'General Basis'!$B$46,IF(G3974&lt;56,'General Basis'!$B$47,IF(G3974&lt;60,'General Basis'!$B$48,IF(G3974&lt;65,'General Basis'!$B$49,'General Basis'!$B$50)))))))))))))</f>
        <v/>
      </c>
      <c r="BI3974" s="744" t="str">
        <f t="shared" ref="BI3974:BI4037" si="1391">IF(C3974="","",IF(C3974="M","Male","Female"))</f>
        <v/>
      </c>
      <c r="BJ3974" s="747" t="str">
        <f t="shared" si="1376"/>
        <v/>
      </c>
      <c r="BK3974" s="498" t="str">
        <f t="shared" ref="BK3974:BK4037" si="1392">IF(BD3974="","",IF(AND(BD3974="Employee",BI3974="Male",BF3974="Abu Dhabi",BE3974=GN_Plus),VLOOKUP(BH3974,AUH_MALE_EMP,2,0),IF(AND(BD3974="Employee",BI3974="Male",BF3974="Abu Dhabi",BE3974=GN),VLOOKUP(BH3974,AUH_MALE_EMP,3,0),IF(AND(BD3974="Employee",BI3974="Male",BF3974="Abu Dhabi",BE3974=RN_Plus),VLOOKUP(BH3974,AUH_MALE_EMP,4,0),IF(AND(BD3974="Employee",BI3974="Male",BF3974="Abu Dhabi",BE3974=RN),VLOOKUP(BH3974,AUH_MALE_EMP,5,0),IF(AND(BD3974="Employee",BI3974="Male",BF3974="Abu Dhabi",BE3974=RN_2),VLOOKUP(BH3974,AUH_MALE_EMP,6,0),IF(AND(BD3974="Employee",BI3974="Male",BF3974="Abu Dhabi",BE3974=RN2_minus),VLOOKUP(BH3974,AUH_MALE_EMP,7,0),IF(AND(BD3974="Employee",BI3974="Male",BF3974="Abu Dhabi",BE3974=RN_3),VLOOKUP(BH3974,AUH_MALE_EMP,8,0),IF(AND(BD3974="Employee",BI3974="Male",BF3974="Abu Dhabi",BE3974=VN),VLOOKUP(BH3974,AUH_MALE_EMP,9,0),IF(BD3974="","",IF(AND(BD3974="Employee",BI3974="Female",BF3974="Abu Dhabi",BE3974=GN_Plus),VLOOKUP(BH3974,AUH_FEMALE_EMP,2,0),IF(AND(BD3974="Employee",BI3974="Female",BF3974="Abu Dhabi",BE3974=GN),VLOOKUP(BH3974,AUH_FEMALE_EMP,3,0),IF(AND(BD3974="Employee",BI3974="Female",BF3974="Abu Dhabi",BE3974=RN_Plus),VLOOKUP(BH3974,AUH_FEMALE_EMP,4,0),IF(AND(BD3974="Employee",BI3974="Female",BF3974="Abu Dhabi",BE3974=RN),VLOOKUP(BH3974,AUH_FEMALE_EMP,5,0),IF(AND(BD3974="Employee",BI3974="Female",BF3974="Abu Dhabi",BE3974=RN_2),VLOOKUP(BH3974,AUH_FEMALE_EMP,6,0),IF(AND(BD3974="Employee",BI3974="Female",BF3974="Abu Dhabi",BE3974=RN2_minus),VLOOKUP(BH3974,AUH_FEMALE_EMP,7,0),IF(AND(BD3974="Employee",BI3974="Female",BF3974="Abu Dhabi",BE3974=RN_3),VLOOKUP(BH3974,AUH_FEMALE_EMP,8,0),IF(AND(BD3974="Employee",BI3974="Female",BF3974="Abu Dhabi",BE3974=VN),VLOOKUP(BH3974,AUH_FEMALE_EMP,9,0),IF(BD3974="","",IF(AND(BD3974="Dependent",BI3974="Male",BF3974="Abu Dhabi",BE3974=GN_Plus),VLOOKUP(BH3974,AUH_MALE_DEP,2,0),IF(AND(BD3974="Dependent",BI3974="Male",BF3974="Abu Dhabi",BE3974=GN),VLOOKUP(BH3974,AUH_MALE_DEP,3,0),IF(AND(BD3974="Dependent",BI3974="Male",BF3974="Abu Dhabi",BE3974=RN_Plus),VLOOKUP(BH3974,AUH_MALE_DEP,4,0),IF(AND(BD3974="Dependent",BI3974="Male",BF3974="Abu Dhabi",BE3974=RN),VLOOKUP(BH3974,AUH_MALE_DEP,5,0),IF(AND(BD3974="Dependent",BI3974="Male",BF3974="Abu Dhabi",BE3974=RN_2),VLOOKUP(BH3974,AUH_MALE_DEP,6,0),IF(AND(BD3974="Dependent",BI3974="Male",BF3974="Abu Dhabi",BE3974=RN2_minus),VLOOKUP(BH3974,AUH_MALE_DEP,7,0),IF(AND(BD3974="Dependent",BI3974="Male",BF3974="Abu Dhabi",BE3974=RN_3),VLOOKUP(BH3974,AUH_MALE_DEP,8,0),IF(AND(BD3974="Dependent",BI3974="Male",BF3974="Abu Dhabi",BE3974=VN),VLOOKUP(BH3974,AUH_MALE_DEP,9,0),IF(BD3974="","",IF(AND(BD3974="Dependent",BI3974="Female",BF3974="Abu Dhabi",BE3974=GN_Plus),VLOOKUP(BH3974,AUH_FEMALE_DEP,2,0),IF(AND(BD3974="Dependent",BI3974="Female",BF3974="Abu Dhabi",BE3974=GN),VLOOKUP(BH3974,AUH_FEMALE_DEP,3,0),IF(AND(BD3974="Dependent",BI3974="Female",BF3974="Abu Dhabi",BE3974=RN_Plus),VLOOKUP(BH3974,AUH_FEMALE_DEP,4,0),IF(AND(BD3974="Dependent",BI3974="Female",BF3974="Abu Dhabi",BE3974=RN),VLOOKUP(BH3974,AUH_FEMALE_DEP,5,0),IF(AND(BD3974="Dependent",BI3974="Female",BF3974="Abu Dhabi",BE3974=RN_2),VLOOKUP(BH3974,AUH_FEMALE_DEP,6,0),IF(AND(BD3974="Dependent",BI3974="Female",BF3974="Abu Dhabi",BE3974=RN2_minus),VLOOKUP(BH3974,AUH_FEMALE_DEP,7,0),IF(AND(BD3974="Dependent",BI3974="Female",BF3974="Abu Dhabi",BE3974=RN_3),VLOOKUP(BH3974,AUH_FEMALE_DEP,8,0),IF(AND(BD3974="Dependent",BI3974="Female",BF3974="Abu Dhabi",BE3974=VN),VLOOKUP(BH3974,AUH_FEMALE_DEP,9,0),"ABC"))))))))))))))))))))))))))))))))))))</f>
        <v/>
      </c>
      <c r="BL3974" s="498" t="str">
        <f t="shared" ref="BL3974:BL4037" si="1393">IF(BD3974="","",IF(AND(BD3974="Employee",BI3974="Male",BF3974="Dubai",BE3974=GN_Plus),VLOOKUP(BH3974,DXB_MALE_EMP,2,0),IF(AND(BD3974="Employee",BI3974="Male",BF3974="Dubai",BE3974=GN),VLOOKUP(BH3974,DXB_MALE_EMP,3,0),IF(AND(BD3974="Employee",BI3974="Male",BF3974="Dubai",BE3974=RN_Plus),VLOOKUP(BH3974,DXB_MALE_EMP,4,0),IF(AND(BD3974="Employee",BI3974="Male",BF3974="Dubai",BE3974=RN),VLOOKUP(BH3974,DXB_MALE_EMP,5,0),IF(AND(BD3974="Employee",BI3974="Male",BF3974="Dubai",BE3974=RN_2),VLOOKUP(BH3974,DXB_MALE_EMP,6,0),IF(AND(BD3974="Employee",BI3974="Male",BF3974="Dubai",BE3974=RN2_minus),VLOOKUP(BH3974,DXB_MALE_EMP,7,0),IF(AND(BD3974="Employee",BI3974="Male",BF3974="Dubai",BE3974=RN_3),VLOOKUP(BH3974,DXB_MALE_EMP,8,0),IF(AND(BD3974="Employee",BI3974="Male",BF3974="Dubai",BE3974=VN),VLOOKUP(BH3974,DXB_MALE_EMP,9,0),IF(BD3974="","",IF(AND(BD3974="Employee",BI3974="Female",BF3974="Dubai",BE3974=GN_Plus),VLOOKUP(BH3974,DXB_FEMALE_EMP,2,0),IF(AND(BD3974="Employee",BI3974="Female",BF3974="Dubai",BE3974=GN),VLOOKUP(BH3974,DXB_FEMALE_EMP,3,0),IF(AND(BD3974="Employee",BI3974="Female",BF3974="Dubai",BE3974=RN_Plus),VLOOKUP(BH3974,DXB_FEMALE_EMP,4,0),IF(AND(BD3974="Employee",BI3974="Female",BF3974="Dubai",BE3974=RN),VLOOKUP(BH3974,DXB_FEMALE_EMP,5,0),IF(AND(BD3974="Employee",BI3974="Female",BF3974="Dubai",BE3974=RN_2),VLOOKUP(BH3974,DXB_FEMALE_EMP,6,0),IF(AND(BD3974="Employee",BI3974="Female",BF3974="Dubai",BE3974=RN2_minus),VLOOKUP(BH3974,DXB_FEMALE_EMP,7,0),IF(AND(BD3974="Employee",BI3974="Female",BF3974="Dubai",BE3974=RN_3),VLOOKUP(BH3974,DXB_FEMALE_EMP,8,0),IF(AND(BD3974="Employee",BI3974="Female",BF3974="Dubai",BE3974=VN),VLOOKUP(BH3974,DXB_FEMALE_EMP,9,0),IF(BD3974="","",IF(AND(BD3974="Dependent",BI3974="Male",BF3974="Dubai",BE3974=GN_Plus),VLOOKUP(BH3974,DXB_MALE_DEP,2,0),IF(AND(BD3974="Dependent",BI3974="Male",BF3974="Dubai",BE3974=GN),VLOOKUP(BH3974,DXB_MALE_DEP,3,0),IF(AND(BD3974="Dependent",BI3974="Male",BF3974="Dubai",BE3974=RN_Plus),VLOOKUP(BH3974,DXB_MALE_DEP,4,0),IF(AND(BD3974="Dependent",BI3974="Male",BF3974="Dubai",BE3974=RN),VLOOKUP(BH3974,DXB_MALE_DEP,5,0),IF(AND(BD3974="Dependent",BI3974="Male",BF3974="Dubai",BE3974=RN_2),VLOOKUP(BH3974,DXB_MALE_DEP,6,0),IF(AND(BD3974="Dependent",BI3974="Male",BF3974="Dubai",BE3974=RN2_minus),VLOOKUP(BH3974,DXB_MALE_DEP,7,0),IF(AND(BD3974="Dependent",BI3974="Male",BF3974="Dubai",BE3974=RN_3),VLOOKUP(BH3974,DXB_MALE_DEP,8,0),IF(AND(BD3974="Dependent",BI3974="Male",BF3974="Dubai",BE3974=VN),VLOOKUP(BH3974,DXB_MALE_DEP,9,0),IF(BD3974="","",IF(AND(BD3974="Dependent",BI3974="Female",BF3974="Dubai",BE3974=GN_Plus),VLOOKUP(BH3974,DXB_FEMALE_DEP,2,0),IF(AND(BD3974="Dependent",BI3974="Female",BF3974="Dubai",BE3974=GN),VLOOKUP(BH3974,DXB_FEMALE_DEP,3,0),IF(AND(BD3974="Dependent",BI3974="Female",BF3974="Dubai",BE3974=RN_Plus),VLOOKUP(BH3974,DXB_FEMALE_DEP,4,0),IF(AND(BD3974="Dependent",BI3974="Female",BF3974="Dubai",BE3974=RN),VLOOKUP(BH3974,DXB_FEMALE_DEP,5,0),IF(AND(BD3974="Dependent",BI3974="Female",BF3974="Dubai",BE3974=RN_2),VLOOKUP(BH3974,DXB_FEMALE_DEP,6,0),IF(AND(BD3974="Dependent",BI3974="Female",BF3974="Dubai",BE3974=RN2_minus),VLOOKUP(BH3974,DXB_FEMALE_DEP,7,0),IF(AND(BD3974="Dependent",BI3974="Female",BF3974="Dubai",BE3974=RN_3),VLOOKUP(BH3974,DXB_FEMALE_DEP,8,0),IF(AND(BD3974="Dependent",BI3974="Female",BF3974="Dubai",BE3974=VN),VLOOKUP(BH3974,DXB_FEMALE_DEP,9,0),"ABC"))))))))))))))))))))))))))))))))))))</f>
        <v/>
      </c>
    </row>
    <row r="3975" spans="1:64" x14ac:dyDescent="0.25">
      <c r="A3975" s="762">
        <f t="shared" ref="A3975:A4038" si="1394">+A3974+1</f>
        <v>3970</v>
      </c>
      <c r="B3975" s="229"/>
      <c r="C3975" s="223"/>
      <c r="D3975" s="224"/>
      <c r="E3975" s="225"/>
      <c r="F3975" s="1036" t="str">
        <f t="shared" si="1378"/>
        <v/>
      </c>
      <c r="G3975" s="1037" t="str">
        <f t="shared" ref="G3975:G4038" si="1395">IF(D3975="","",MAX(0,ROUNDUP(F3975,0)))</f>
        <v/>
      </c>
      <c r="H3975" s="225"/>
      <c r="I3975" s="1013"/>
      <c r="J3975" s="1013"/>
      <c r="K3975" s="1028"/>
      <c r="L3975" s="1035" t="str">
        <f t="shared" si="1377"/>
        <v/>
      </c>
      <c r="S3975" s="498"/>
      <c r="AJ3975" s="498"/>
      <c r="AM3975" s="498">
        <f t="shared" si="1380"/>
        <v>0</v>
      </c>
      <c r="AN3975" s="498">
        <f t="shared" si="1381"/>
        <v>0</v>
      </c>
      <c r="AO3975" s="498">
        <f t="shared" si="1382"/>
        <v>0</v>
      </c>
      <c r="AP3975" s="498">
        <f t="shared" si="1379"/>
        <v>0</v>
      </c>
      <c r="AQ3975" s="498">
        <f t="shared" ref="AQ3975:AQ4038" si="1396">IF(ISBLANK($B3975),0,IF(OR($H3975="Single",$H3975="Married"),0,1))</f>
        <v>0</v>
      </c>
      <c r="AU3975" s="498">
        <f t="shared" si="1383"/>
        <v>0</v>
      </c>
      <c r="AV3975" s="498">
        <f t="shared" si="1384"/>
        <v>0</v>
      </c>
      <c r="AW3975" s="498">
        <f t="shared" si="1385"/>
        <v>0</v>
      </c>
      <c r="AX3975" s="498">
        <f t="shared" si="1386"/>
        <v>0</v>
      </c>
      <c r="AY3975" s="498">
        <f t="shared" si="1387"/>
        <v>0</v>
      </c>
      <c r="BB3975" s="498" t="str">
        <f t="shared" si="1388"/>
        <v/>
      </c>
      <c r="BC3975" s="743" t="str">
        <f t="shared" si="1389"/>
        <v/>
      </c>
      <c r="BD3975" s="743" t="str">
        <f t="shared" si="1390"/>
        <v/>
      </c>
      <c r="BE3975" s="743" t="str">
        <f>IF(D3975="","",VLOOKUP(D3975,'General Basis'!$J$39:$K$46,2,0))</f>
        <v/>
      </c>
      <c r="BF3975" s="744" t="str">
        <f>IF(D3975="","",VLOOKUP(D3975,'General Basis'!$J$39:$L$46,3,0))</f>
        <v/>
      </c>
      <c r="BG3975" s="744" t="str">
        <f t="shared" ref="BG3975:BG4038" si="1397">BC3975&amp;BI3975</f>
        <v/>
      </c>
      <c r="BH3975" s="744" t="str">
        <f>IF(G3975="","",IF(BF3975="Abu Dhabi",IF(G3975&lt;18,'General Basis'!$C$39,IF(G3975&lt;41,'General Basis'!$C$40,IF(G3975&lt;60,'General Basis'!$C$41,IF(G3975&lt;65,'General Basis'!$C$42,'General Basis'!$C$43)))),IF(G3975&lt;11,'General Basis'!$B$39,IF(G3975&lt;18,'General Basis'!$B$40,IF(G3975&lt;26,'General Basis'!$B$41,IF(G3975&lt;31,'General Basis'!$B$42,IF(G3975&lt;36,'General Basis'!$B$43,IF(G3975&lt;41,'General Basis'!$B$44,IF(G3975&lt;46,'General Basis'!$B$45,IF(G3975&lt;51,'General Basis'!$B$46,IF(G3975&lt;56,'General Basis'!$B$47,IF(G3975&lt;60,'General Basis'!$B$48,IF(G3975&lt;65,'General Basis'!$B$49,'General Basis'!$B$50)))))))))))))</f>
        <v/>
      </c>
      <c r="BI3975" s="744" t="str">
        <f t="shared" si="1391"/>
        <v/>
      </c>
      <c r="BJ3975" s="747" t="str">
        <f t="shared" ref="BJ3975:BJ4038" si="1398">IF(BD3975="","",IF(BF3975="Abu Dhabi",BK3975,BL3975))</f>
        <v/>
      </c>
      <c r="BK3975" s="498" t="str">
        <f t="shared" si="1392"/>
        <v/>
      </c>
      <c r="BL3975" s="498" t="str">
        <f t="shared" si="1393"/>
        <v/>
      </c>
    </row>
    <row r="3976" spans="1:64" x14ac:dyDescent="0.25">
      <c r="A3976" s="762">
        <f t="shared" si="1394"/>
        <v>3971</v>
      </c>
      <c r="B3976" s="229"/>
      <c r="C3976" s="223"/>
      <c r="D3976" s="224"/>
      <c r="E3976" s="225"/>
      <c r="F3976" s="1036" t="str">
        <f t="shared" si="1378"/>
        <v/>
      </c>
      <c r="G3976" s="1037" t="str">
        <f t="shared" si="1395"/>
        <v/>
      </c>
      <c r="H3976" s="225"/>
      <c r="I3976" s="1013"/>
      <c r="J3976" s="1013"/>
      <c r="K3976" s="1028"/>
      <c r="L3976" s="1035" t="str">
        <f t="shared" ref="L3976:L4039" si="1399">IF(AND(E3976="Child",H3976="Married"),"Check the Marital Status of the Child. ",IF(AND(E3976="Child",F3976&gt;18),"Child Age exceed 18 years. ",IF(AND(E3976="Spouse",H3976="Single"),"Spouse is selected as Single. ","")))&amp;IF(K3976&gt;0,"UW Loading has been Applied","")</f>
        <v/>
      </c>
      <c r="S3976" s="498"/>
      <c r="AJ3976" s="498"/>
      <c r="AM3976" s="498">
        <f t="shared" si="1380"/>
        <v>0</v>
      </c>
      <c r="AN3976" s="498">
        <f t="shared" si="1381"/>
        <v>0</v>
      </c>
      <c r="AO3976" s="498">
        <f t="shared" si="1382"/>
        <v>0</v>
      </c>
      <c r="AP3976" s="498">
        <f t="shared" si="1379"/>
        <v>0</v>
      </c>
      <c r="AQ3976" s="498">
        <f t="shared" si="1396"/>
        <v>0</v>
      </c>
      <c r="AU3976" s="498">
        <f t="shared" si="1383"/>
        <v>0</v>
      </c>
      <c r="AV3976" s="498">
        <f t="shared" si="1384"/>
        <v>0</v>
      </c>
      <c r="AW3976" s="498">
        <f t="shared" si="1385"/>
        <v>0</v>
      </c>
      <c r="AX3976" s="498">
        <f t="shared" si="1386"/>
        <v>0</v>
      </c>
      <c r="AY3976" s="498">
        <f t="shared" si="1387"/>
        <v>0</v>
      </c>
      <c r="BB3976" s="498" t="str">
        <f t="shared" si="1388"/>
        <v/>
      </c>
      <c r="BC3976" s="743" t="str">
        <f t="shared" si="1389"/>
        <v/>
      </c>
      <c r="BD3976" s="743" t="str">
        <f t="shared" si="1390"/>
        <v/>
      </c>
      <c r="BE3976" s="743" t="str">
        <f>IF(D3976="","",VLOOKUP(D3976,'General Basis'!$J$39:$K$46,2,0))</f>
        <v/>
      </c>
      <c r="BF3976" s="744" t="str">
        <f>IF(D3976="","",VLOOKUP(D3976,'General Basis'!$J$39:$L$46,3,0))</f>
        <v/>
      </c>
      <c r="BG3976" s="744" t="str">
        <f t="shared" si="1397"/>
        <v/>
      </c>
      <c r="BH3976" s="744" t="str">
        <f>IF(G3976="","",IF(BF3976="Abu Dhabi",IF(G3976&lt;18,'General Basis'!$C$39,IF(G3976&lt;41,'General Basis'!$C$40,IF(G3976&lt;60,'General Basis'!$C$41,IF(G3976&lt;65,'General Basis'!$C$42,'General Basis'!$C$43)))),IF(G3976&lt;11,'General Basis'!$B$39,IF(G3976&lt;18,'General Basis'!$B$40,IF(G3976&lt;26,'General Basis'!$B$41,IF(G3976&lt;31,'General Basis'!$B$42,IF(G3976&lt;36,'General Basis'!$B$43,IF(G3976&lt;41,'General Basis'!$B$44,IF(G3976&lt;46,'General Basis'!$B$45,IF(G3976&lt;51,'General Basis'!$B$46,IF(G3976&lt;56,'General Basis'!$B$47,IF(G3976&lt;60,'General Basis'!$B$48,IF(G3976&lt;65,'General Basis'!$B$49,'General Basis'!$B$50)))))))))))))</f>
        <v/>
      </c>
      <c r="BI3976" s="744" t="str">
        <f t="shared" si="1391"/>
        <v/>
      </c>
      <c r="BJ3976" s="747" t="str">
        <f t="shared" si="1398"/>
        <v/>
      </c>
      <c r="BK3976" s="498" t="str">
        <f t="shared" si="1392"/>
        <v/>
      </c>
      <c r="BL3976" s="498" t="str">
        <f t="shared" si="1393"/>
        <v/>
      </c>
    </row>
    <row r="3977" spans="1:64" x14ac:dyDescent="0.25">
      <c r="A3977" s="762">
        <f t="shared" si="1394"/>
        <v>3972</v>
      </c>
      <c r="B3977" s="229"/>
      <c r="C3977" s="223"/>
      <c r="D3977" s="224"/>
      <c r="E3977" s="225"/>
      <c r="F3977" s="1036" t="str">
        <f t="shared" si="1378"/>
        <v/>
      </c>
      <c r="G3977" s="1037" t="str">
        <f t="shared" si="1395"/>
        <v/>
      </c>
      <c r="H3977" s="225"/>
      <c r="I3977" s="1013"/>
      <c r="J3977" s="1013"/>
      <c r="K3977" s="1028"/>
      <c r="L3977" s="1035" t="str">
        <f t="shared" si="1399"/>
        <v/>
      </c>
      <c r="S3977" s="498"/>
      <c r="AJ3977" s="498"/>
      <c r="AM3977" s="498">
        <f t="shared" si="1380"/>
        <v>0</v>
      </c>
      <c r="AN3977" s="498">
        <f t="shared" si="1381"/>
        <v>0</v>
      </c>
      <c r="AO3977" s="498">
        <f t="shared" si="1382"/>
        <v>0</v>
      </c>
      <c r="AP3977" s="498">
        <f t="shared" si="1379"/>
        <v>0</v>
      </c>
      <c r="AQ3977" s="498">
        <f t="shared" si="1396"/>
        <v>0</v>
      </c>
      <c r="AU3977" s="498">
        <f t="shared" si="1383"/>
        <v>0</v>
      </c>
      <c r="AV3977" s="498">
        <f t="shared" si="1384"/>
        <v>0</v>
      </c>
      <c r="AW3977" s="498">
        <f t="shared" si="1385"/>
        <v>0</v>
      </c>
      <c r="AX3977" s="498">
        <f t="shared" si="1386"/>
        <v>0</v>
      </c>
      <c r="AY3977" s="498">
        <f t="shared" si="1387"/>
        <v>0</v>
      </c>
      <c r="BB3977" s="498" t="str">
        <f t="shared" si="1388"/>
        <v/>
      </c>
      <c r="BC3977" s="743" t="str">
        <f t="shared" si="1389"/>
        <v/>
      </c>
      <c r="BD3977" s="743" t="str">
        <f t="shared" si="1390"/>
        <v/>
      </c>
      <c r="BE3977" s="743" t="str">
        <f>IF(D3977="","",VLOOKUP(D3977,'General Basis'!$J$39:$K$46,2,0))</f>
        <v/>
      </c>
      <c r="BF3977" s="744" t="str">
        <f>IF(D3977="","",VLOOKUP(D3977,'General Basis'!$J$39:$L$46,3,0))</f>
        <v/>
      </c>
      <c r="BG3977" s="744" t="str">
        <f t="shared" si="1397"/>
        <v/>
      </c>
      <c r="BH3977" s="744" t="str">
        <f>IF(G3977="","",IF(BF3977="Abu Dhabi",IF(G3977&lt;18,'General Basis'!$C$39,IF(G3977&lt;41,'General Basis'!$C$40,IF(G3977&lt;60,'General Basis'!$C$41,IF(G3977&lt;65,'General Basis'!$C$42,'General Basis'!$C$43)))),IF(G3977&lt;11,'General Basis'!$B$39,IF(G3977&lt;18,'General Basis'!$B$40,IF(G3977&lt;26,'General Basis'!$B$41,IF(G3977&lt;31,'General Basis'!$B$42,IF(G3977&lt;36,'General Basis'!$B$43,IF(G3977&lt;41,'General Basis'!$B$44,IF(G3977&lt;46,'General Basis'!$B$45,IF(G3977&lt;51,'General Basis'!$B$46,IF(G3977&lt;56,'General Basis'!$B$47,IF(G3977&lt;60,'General Basis'!$B$48,IF(G3977&lt;65,'General Basis'!$B$49,'General Basis'!$B$50)))))))))))))</f>
        <v/>
      </c>
      <c r="BI3977" s="744" t="str">
        <f t="shared" si="1391"/>
        <v/>
      </c>
      <c r="BJ3977" s="747" t="str">
        <f t="shared" si="1398"/>
        <v/>
      </c>
      <c r="BK3977" s="498" t="str">
        <f t="shared" si="1392"/>
        <v/>
      </c>
      <c r="BL3977" s="498" t="str">
        <f t="shared" si="1393"/>
        <v/>
      </c>
    </row>
    <row r="3978" spans="1:64" x14ac:dyDescent="0.25">
      <c r="A3978" s="762">
        <f t="shared" si="1394"/>
        <v>3973</v>
      </c>
      <c r="B3978" s="229"/>
      <c r="C3978" s="223"/>
      <c r="D3978" s="224"/>
      <c r="E3978" s="225"/>
      <c r="F3978" s="1036" t="str">
        <f t="shared" si="1378"/>
        <v/>
      </c>
      <c r="G3978" s="1037" t="str">
        <f t="shared" si="1395"/>
        <v/>
      </c>
      <c r="H3978" s="225"/>
      <c r="I3978" s="1013"/>
      <c r="J3978" s="1013"/>
      <c r="K3978" s="1028"/>
      <c r="L3978" s="1035" t="str">
        <f t="shared" si="1399"/>
        <v/>
      </c>
      <c r="S3978" s="498"/>
      <c r="AJ3978" s="498"/>
      <c r="AM3978" s="498">
        <f t="shared" si="1380"/>
        <v>0</v>
      </c>
      <c r="AN3978" s="498">
        <f t="shared" si="1381"/>
        <v>0</v>
      </c>
      <c r="AO3978" s="498">
        <f t="shared" si="1382"/>
        <v>0</v>
      </c>
      <c r="AP3978" s="498">
        <f t="shared" si="1379"/>
        <v>0</v>
      </c>
      <c r="AQ3978" s="498">
        <f t="shared" si="1396"/>
        <v>0</v>
      </c>
      <c r="AU3978" s="498">
        <f t="shared" si="1383"/>
        <v>0</v>
      </c>
      <c r="AV3978" s="498">
        <f t="shared" si="1384"/>
        <v>0</v>
      </c>
      <c r="AW3978" s="498">
        <f t="shared" si="1385"/>
        <v>0</v>
      </c>
      <c r="AX3978" s="498">
        <f t="shared" si="1386"/>
        <v>0</v>
      </c>
      <c r="AY3978" s="498">
        <f t="shared" si="1387"/>
        <v>0</v>
      </c>
      <c r="BB3978" s="498" t="str">
        <f t="shared" si="1388"/>
        <v/>
      </c>
      <c r="BC3978" s="743" t="str">
        <f t="shared" si="1389"/>
        <v/>
      </c>
      <c r="BD3978" s="743" t="str">
        <f t="shared" si="1390"/>
        <v/>
      </c>
      <c r="BE3978" s="743" t="str">
        <f>IF(D3978="","",VLOOKUP(D3978,'General Basis'!$J$39:$K$46,2,0))</f>
        <v/>
      </c>
      <c r="BF3978" s="744" t="str">
        <f>IF(D3978="","",VLOOKUP(D3978,'General Basis'!$J$39:$L$46,3,0))</f>
        <v/>
      </c>
      <c r="BG3978" s="744" t="str">
        <f t="shared" si="1397"/>
        <v/>
      </c>
      <c r="BH3978" s="744" t="str">
        <f>IF(G3978="","",IF(BF3978="Abu Dhabi",IF(G3978&lt;18,'General Basis'!$C$39,IF(G3978&lt;41,'General Basis'!$C$40,IF(G3978&lt;60,'General Basis'!$C$41,IF(G3978&lt;65,'General Basis'!$C$42,'General Basis'!$C$43)))),IF(G3978&lt;11,'General Basis'!$B$39,IF(G3978&lt;18,'General Basis'!$B$40,IF(G3978&lt;26,'General Basis'!$B$41,IF(G3978&lt;31,'General Basis'!$B$42,IF(G3978&lt;36,'General Basis'!$B$43,IF(G3978&lt;41,'General Basis'!$B$44,IF(G3978&lt;46,'General Basis'!$B$45,IF(G3978&lt;51,'General Basis'!$B$46,IF(G3978&lt;56,'General Basis'!$B$47,IF(G3978&lt;60,'General Basis'!$B$48,IF(G3978&lt;65,'General Basis'!$B$49,'General Basis'!$B$50)))))))))))))</f>
        <v/>
      </c>
      <c r="BI3978" s="744" t="str">
        <f t="shared" si="1391"/>
        <v/>
      </c>
      <c r="BJ3978" s="747" t="str">
        <f t="shared" si="1398"/>
        <v/>
      </c>
      <c r="BK3978" s="498" t="str">
        <f t="shared" si="1392"/>
        <v/>
      </c>
      <c r="BL3978" s="498" t="str">
        <f t="shared" si="1393"/>
        <v/>
      </c>
    </row>
    <row r="3979" spans="1:64" x14ac:dyDescent="0.25">
      <c r="A3979" s="762">
        <f t="shared" si="1394"/>
        <v>3974</v>
      </c>
      <c r="B3979" s="229"/>
      <c r="C3979" s="223"/>
      <c r="D3979" s="224"/>
      <c r="E3979" s="225"/>
      <c r="F3979" s="1036" t="str">
        <f t="shared" si="1378"/>
        <v/>
      </c>
      <c r="G3979" s="1037" t="str">
        <f t="shared" si="1395"/>
        <v/>
      </c>
      <c r="H3979" s="225"/>
      <c r="I3979" s="1013"/>
      <c r="J3979" s="1013"/>
      <c r="K3979" s="1028"/>
      <c r="L3979" s="1035" t="str">
        <f t="shared" si="1399"/>
        <v/>
      </c>
      <c r="S3979" s="498"/>
      <c r="AJ3979" s="498"/>
      <c r="AM3979" s="498">
        <f t="shared" si="1380"/>
        <v>0</v>
      </c>
      <c r="AN3979" s="498">
        <f t="shared" si="1381"/>
        <v>0</v>
      </c>
      <c r="AO3979" s="498">
        <f t="shared" si="1382"/>
        <v>0</v>
      </c>
      <c r="AP3979" s="498">
        <f t="shared" si="1379"/>
        <v>0</v>
      </c>
      <c r="AQ3979" s="498">
        <f t="shared" si="1396"/>
        <v>0</v>
      </c>
      <c r="AU3979" s="498">
        <f t="shared" si="1383"/>
        <v>0</v>
      </c>
      <c r="AV3979" s="498">
        <f t="shared" si="1384"/>
        <v>0</v>
      </c>
      <c r="AW3979" s="498">
        <f t="shared" si="1385"/>
        <v>0</v>
      </c>
      <c r="AX3979" s="498">
        <f t="shared" si="1386"/>
        <v>0</v>
      </c>
      <c r="AY3979" s="498">
        <f t="shared" si="1387"/>
        <v>0</v>
      </c>
      <c r="BB3979" s="498" t="str">
        <f t="shared" si="1388"/>
        <v/>
      </c>
      <c r="BC3979" s="743" t="str">
        <f t="shared" si="1389"/>
        <v/>
      </c>
      <c r="BD3979" s="743" t="str">
        <f t="shared" si="1390"/>
        <v/>
      </c>
      <c r="BE3979" s="743" t="str">
        <f>IF(D3979="","",VLOOKUP(D3979,'General Basis'!$J$39:$K$46,2,0))</f>
        <v/>
      </c>
      <c r="BF3979" s="744" t="str">
        <f>IF(D3979="","",VLOOKUP(D3979,'General Basis'!$J$39:$L$46,3,0))</f>
        <v/>
      </c>
      <c r="BG3979" s="744" t="str">
        <f t="shared" si="1397"/>
        <v/>
      </c>
      <c r="BH3979" s="744" t="str">
        <f>IF(G3979="","",IF(BF3979="Abu Dhabi",IF(G3979&lt;18,'General Basis'!$C$39,IF(G3979&lt;41,'General Basis'!$C$40,IF(G3979&lt;60,'General Basis'!$C$41,IF(G3979&lt;65,'General Basis'!$C$42,'General Basis'!$C$43)))),IF(G3979&lt;11,'General Basis'!$B$39,IF(G3979&lt;18,'General Basis'!$B$40,IF(G3979&lt;26,'General Basis'!$B$41,IF(G3979&lt;31,'General Basis'!$B$42,IF(G3979&lt;36,'General Basis'!$B$43,IF(G3979&lt;41,'General Basis'!$B$44,IF(G3979&lt;46,'General Basis'!$B$45,IF(G3979&lt;51,'General Basis'!$B$46,IF(G3979&lt;56,'General Basis'!$B$47,IF(G3979&lt;60,'General Basis'!$B$48,IF(G3979&lt;65,'General Basis'!$B$49,'General Basis'!$B$50)))))))))))))</f>
        <v/>
      </c>
      <c r="BI3979" s="744" t="str">
        <f t="shared" si="1391"/>
        <v/>
      </c>
      <c r="BJ3979" s="747" t="str">
        <f t="shared" si="1398"/>
        <v/>
      </c>
      <c r="BK3979" s="498" t="str">
        <f t="shared" si="1392"/>
        <v/>
      </c>
      <c r="BL3979" s="498" t="str">
        <f t="shared" si="1393"/>
        <v/>
      </c>
    </row>
    <row r="3980" spans="1:64" x14ac:dyDescent="0.25">
      <c r="A3980" s="762">
        <f t="shared" si="1394"/>
        <v>3975</v>
      </c>
      <c r="B3980" s="229"/>
      <c r="C3980" s="223"/>
      <c r="D3980" s="224"/>
      <c r="E3980" s="225"/>
      <c r="F3980" s="1036" t="str">
        <f t="shared" si="1378"/>
        <v/>
      </c>
      <c r="G3980" s="1037" t="str">
        <f t="shared" si="1395"/>
        <v/>
      </c>
      <c r="H3980" s="225"/>
      <c r="I3980" s="1013"/>
      <c r="J3980" s="1013"/>
      <c r="K3980" s="1028"/>
      <c r="L3980" s="1035" t="str">
        <f t="shared" si="1399"/>
        <v/>
      </c>
      <c r="S3980" s="498"/>
      <c r="AJ3980" s="498"/>
      <c r="AM3980" s="498">
        <f t="shared" si="1380"/>
        <v>0</v>
      </c>
      <c r="AN3980" s="498">
        <f t="shared" si="1381"/>
        <v>0</v>
      </c>
      <c r="AO3980" s="498">
        <f t="shared" si="1382"/>
        <v>0</v>
      </c>
      <c r="AP3980" s="498">
        <f t="shared" si="1379"/>
        <v>0</v>
      </c>
      <c r="AQ3980" s="498">
        <f t="shared" si="1396"/>
        <v>0</v>
      </c>
      <c r="AU3980" s="498">
        <f t="shared" si="1383"/>
        <v>0</v>
      </c>
      <c r="AV3980" s="498">
        <f t="shared" si="1384"/>
        <v>0</v>
      </c>
      <c r="AW3980" s="498">
        <f t="shared" si="1385"/>
        <v>0</v>
      </c>
      <c r="AX3980" s="498">
        <f t="shared" si="1386"/>
        <v>0</v>
      </c>
      <c r="AY3980" s="498">
        <f t="shared" si="1387"/>
        <v>0</v>
      </c>
      <c r="BB3980" s="498" t="str">
        <f t="shared" si="1388"/>
        <v/>
      </c>
      <c r="BC3980" s="743" t="str">
        <f t="shared" si="1389"/>
        <v/>
      </c>
      <c r="BD3980" s="743" t="str">
        <f t="shared" si="1390"/>
        <v/>
      </c>
      <c r="BE3980" s="743" t="str">
        <f>IF(D3980="","",VLOOKUP(D3980,'General Basis'!$J$39:$K$46,2,0))</f>
        <v/>
      </c>
      <c r="BF3980" s="744" t="str">
        <f>IF(D3980="","",VLOOKUP(D3980,'General Basis'!$J$39:$L$46,3,0))</f>
        <v/>
      </c>
      <c r="BG3980" s="744" t="str">
        <f t="shared" si="1397"/>
        <v/>
      </c>
      <c r="BH3980" s="744" t="str">
        <f>IF(G3980="","",IF(BF3980="Abu Dhabi",IF(G3980&lt;18,'General Basis'!$C$39,IF(G3980&lt;41,'General Basis'!$C$40,IF(G3980&lt;60,'General Basis'!$C$41,IF(G3980&lt;65,'General Basis'!$C$42,'General Basis'!$C$43)))),IF(G3980&lt;11,'General Basis'!$B$39,IF(G3980&lt;18,'General Basis'!$B$40,IF(G3980&lt;26,'General Basis'!$B$41,IF(G3980&lt;31,'General Basis'!$B$42,IF(G3980&lt;36,'General Basis'!$B$43,IF(G3980&lt;41,'General Basis'!$B$44,IF(G3980&lt;46,'General Basis'!$B$45,IF(G3980&lt;51,'General Basis'!$B$46,IF(G3980&lt;56,'General Basis'!$B$47,IF(G3980&lt;60,'General Basis'!$B$48,IF(G3980&lt;65,'General Basis'!$B$49,'General Basis'!$B$50)))))))))))))</f>
        <v/>
      </c>
      <c r="BI3980" s="744" t="str">
        <f t="shared" si="1391"/>
        <v/>
      </c>
      <c r="BJ3980" s="747" t="str">
        <f t="shared" si="1398"/>
        <v/>
      </c>
      <c r="BK3980" s="498" t="str">
        <f t="shared" si="1392"/>
        <v/>
      </c>
      <c r="BL3980" s="498" t="str">
        <f t="shared" si="1393"/>
        <v/>
      </c>
    </row>
    <row r="3981" spans="1:64" x14ac:dyDescent="0.25">
      <c r="A3981" s="762">
        <f t="shared" si="1394"/>
        <v>3976</v>
      </c>
      <c r="B3981" s="229"/>
      <c r="C3981" s="223"/>
      <c r="D3981" s="224"/>
      <c r="E3981" s="225"/>
      <c r="F3981" s="1036" t="str">
        <f t="shared" si="1378"/>
        <v/>
      </c>
      <c r="G3981" s="1037" t="str">
        <f t="shared" si="1395"/>
        <v/>
      </c>
      <c r="H3981" s="225"/>
      <c r="I3981" s="1013"/>
      <c r="J3981" s="1013"/>
      <c r="K3981" s="1028"/>
      <c r="L3981" s="1035" t="str">
        <f t="shared" si="1399"/>
        <v/>
      </c>
      <c r="S3981" s="498"/>
      <c r="AJ3981" s="498"/>
      <c r="AM3981" s="498">
        <f t="shared" si="1380"/>
        <v>0</v>
      </c>
      <c r="AN3981" s="498">
        <f t="shared" si="1381"/>
        <v>0</v>
      </c>
      <c r="AO3981" s="498">
        <f t="shared" si="1382"/>
        <v>0</v>
      </c>
      <c r="AP3981" s="498">
        <f t="shared" si="1379"/>
        <v>0</v>
      </c>
      <c r="AQ3981" s="498">
        <f t="shared" si="1396"/>
        <v>0</v>
      </c>
      <c r="AU3981" s="498">
        <f t="shared" si="1383"/>
        <v>0</v>
      </c>
      <c r="AV3981" s="498">
        <f t="shared" si="1384"/>
        <v>0</v>
      </c>
      <c r="AW3981" s="498">
        <f t="shared" si="1385"/>
        <v>0</v>
      </c>
      <c r="AX3981" s="498">
        <f t="shared" si="1386"/>
        <v>0</v>
      </c>
      <c r="AY3981" s="498">
        <f t="shared" si="1387"/>
        <v>0</v>
      </c>
      <c r="BB3981" s="498" t="str">
        <f t="shared" si="1388"/>
        <v/>
      </c>
      <c r="BC3981" s="743" t="str">
        <f t="shared" si="1389"/>
        <v/>
      </c>
      <c r="BD3981" s="743" t="str">
        <f t="shared" si="1390"/>
        <v/>
      </c>
      <c r="BE3981" s="743" t="str">
        <f>IF(D3981="","",VLOOKUP(D3981,'General Basis'!$J$39:$K$46,2,0))</f>
        <v/>
      </c>
      <c r="BF3981" s="744" t="str">
        <f>IF(D3981="","",VLOOKUP(D3981,'General Basis'!$J$39:$L$46,3,0))</f>
        <v/>
      </c>
      <c r="BG3981" s="744" t="str">
        <f t="shared" si="1397"/>
        <v/>
      </c>
      <c r="BH3981" s="744" t="str">
        <f>IF(G3981="","",IF(BF3981="Abu Dhabi",IF(G3981&lt;18,'General Basis'!$C$39,IF(G3981&lt;41,'General Basis'!$C$40,IF(G3981&lt;60,'General Basis'!$C$41,IF(G3981&lt;65,'General Basis'!$C$42,'General Basis'!$C$43)))),IF(G3981&lt;11,'General Basis'!$B$39,IF(G3981&lt;18,'General Basis'!$B$40,IF(G3981&lt;26,'General Basis'!$B$41,IF(G3981&lt;31,'General Basis'!$B$42,IF(G3981&lt;36,'General Basis'!$B$43,IF(G3981&lt;41,'General Basis'!$B$44,IF(G3981&lt;46,'General Basis'!$B$45,IF(G3981&lt;51,'General Basis'!$B$46,IF(G3981&lt;56,'General Basis'!$B$47,IF(G3981&lt;60,'General Basis'!$B$48,IF(G3981&lt;65,'General Basis'!$B$49,'General Basis'!$B$50)))))))))))))</f>
        <v/>
      </c>
      <c r="BI3981" s="744" t="str">
        <f t="shared" si="1391"/>
        <v/>
      </c>
      <c r="BJ3981" s="747" t="str">
        <f t="shared" si="1398"/>
        <v/>
      </c>
      <c r="BK3981" s="498" t="str">
        <f t="shared" si="1392"/>
        <v/>
      </c>
      <c r="BL3981" s="498" t="str">
        <f t="shared" si="1393"/>
        <v/>
      </c>
    </row>
    <row r="3982" spans="1:64" x14ac:dyDescent="0.25">
      <c r="A3982" s="762">
        <f t="shared" si="1394"/>
        <v>3977</v>
      </c>
      <c r="B3982" s="229"/>
      <c r="C3982" s="223"/>
      <c r="D3982" s="224"/>
      <c r="E3982" s="225"/>
      <c r="F3982" s="1036" t="str">
        <f t="shared" si="1378"/>
        <v/>
      </c>
      <c r="G3982" s="1037" t="str">
        <f t="shared" si="1395"/>
        <v/>
      </c>
      <c r="H3982" s="225"/>
      <c r="I3982" s="1013"/>
      <c r="J3982" s="1013"/>
      <c r="K3982" s="1028"/>
      <c r="L3982" s="1035" t="str">
        <f t="shared" si="1399"/>
        <v/>
      </c>
      <c r="S3982" s="498"/>
      <c r="AJ3982" s="498"/>
      <c r="AM3982" s="498">
        <f t="shared" si="1380"/>
        <v>0</v>
      </c>
      <c r="AN3982" s="498">
        <f t="shared" si="1381"/>
        <v>0</v>
      </c>
      <c r="AO3982" s="498">
        <f t="shared" si="1382"/>
        <v>0</v>
      </c>
      <c r="AP3982" s="498">
        <f t="shared" si="1379"/>
        <v>0</v>
      </c>
      <c r="AQ3982" s="498">
        <f t="shared" si="1396"/>
        <v>0</v>
      </c>
      <c r="AU3982" s="498">
        <f t="shared" si="1383"/>
        <v>0</v>
      </c>
      <c r="AV3982" s="498">
        <f t="shared" si="1384"/>
        <v>0</v>
      </c>
      <c r="AW3982" s="498">
        <f t="shared" si="1385"/>
        <v>0</v>
      </c>
      <c r="AX3982" s="498">
        <f t="shared" si="1386"/>
        <v>0</v>
      </c>
      <c r="AY3982" s="498">
        <f t="shared" si="1387"/>
        <v>0</v>
      </c>
      <c r="BB3982" s="498" t="str">
        <f t="shared" si="1388"/>
        <v/>
      </c>
      <c r="BC3982" s="743" t="str">
        <f t="shared" si="1389"/>
        <v/>
      </c>
      <c r="BD3982" s="743" t="str">
        <f t="shared" si="1390"/>
        <v/>
      </c>
      <c r="BE3982" s="743" t="str">
        <f>IF(D3982="","",VLOOKUP(D3982,'General Basis'!$J$39:$K$46,2,0))</f>
        <v/>
      </c>
      <c r="BF3982" s="744" t="str">
        <f>IF(D3982="","",VLOOKUP(D3982,'General Basis'!$J$39:$L$46,3,0))</f>
        <v/>
      </c>
      <c r="BG3982" s="744" t="str">
        <f t="shared" si="1397"/>
        <v/>
      </c>
      <c r="BH3982" s="744" t="str">
        <f>IF(G3982="","",IF(BF3982="Abu Dhabi",IF(G3982&lt;18,'General Basis'!$C$39,IF(G3982&lt;41,'General Basis'!$C$40,IF(G3982&lt;60,'General Basis'!$C$41,IF(G3982&lt;65,'General Basis'!$C$42,'General Basis'!$C$43)))),IF(G3982&lt;11,'General Basis'!$B$39,IF(G3982&lt;18,'General Basis'!$B$40,IF(G3982&lt;26,'General Basis'!$B$41,IF(G3982&lt;31,'General Basis'!$B$42,IF(G3982&lt;36,'General Basis'!$B$43,IF(G3982&lt;41,'General Basis'!$B$44,IF(G3982&lt;46,'General Basis'!$B$45,IF(G3982&lt;51,'General Basis'!$B$46,IF(G3982&lt;56,'General Basis'!$B$47,IF(G3982&lt;60,'General Basis'!$B$48,IF(G3982&lt;65,'General Basis'!$B$49,'General Basis'!$B$50)))))))))))))</f>
        <v/>
      </c>
      <c r="BI3982" s="744" t="str">
        <f t="shared" si="1391"/>
        <v/>
      </c>
      <c r="BJ3982" s="747" t="str">
        <f t="shared" si="1398"/>
        <v/>
      </c>
      <c r="BK3982" s="498" t="str">
        <f t="shared" si="1392"/>
        <v/>
      </c>
      <c r="BL3982" s="498" t="str">
        <f t="shared" si="1393"/>
        <v/>
      </c>
    </row>
    <row r="3983" spans="1:64" x14ac:dyDescent="0.25">
      <c r="A3983" s="762">
        <f t="shared" si="1394"/>
        <v>3978</v>
      </c>
      <c r="B3983" s="229"/>
      <c r="C3983" s="223"/>
      <c r="D3983" s="224"/>
      <c r="E3983" s="225"/>
      <c r="F3983" s="1036" t="str">
        <f t="shared" si="1378"/>
        <v/>
      </c>
      <c r="G3983" s="1037" t="str">
        <f t="shared" si="1395"/>
        <v/>
      </c>
      <c r="H3983" s="225"/>
      <c r="I3983" s="1013"/>
      <c r="J3983" s="1013"/>
      <c r="K3983" s="1028"/>
      <c r="L3983" s="1035" t="str">
        <f t="shared" si="1399"/>
        <v/>
      </c>
      <c r="S3983" s="498"/>
      <c r="AJ3983" s="498"/>
      <c r="AM3983" s="498">
        <f t="shared" si="1380"/>
        <v>0</v>
      </c>
      <c r="AN3983" s="498">
        <f t="shared" si="1381"/>
        <v>0</v>
      </c>
      <c r="AO3983" s="498">
        <f t="shared" si="1382"/>
        <v>0</v>
      </c>
      <c r="AP3983" s="498">
        <f t="shared" si="1379"/>
        <v>0</v>
      </c>
      <c r="AQ3983" s="498">
        <f t="shared" si="1396"/>
        <v>0</v>
      </c>
      <c r="AU3983" s="498">
        <f t="shared" si="1383"/>
        <v>0</v>
      </c>
      <c r="AV3983" s="498">
        <f t="shared" si="1384"/>
        <v>0</v>
      </c>
      <c r="AW3983" s="498">
        <f t="shared" si="1385"/>
        <v>0</v>
      </c>
      <c r="AX3983" s="498">
        <f t="shared" si="1386"/>
        <v>0</v>
      </c>
      <c r="AY3983" s="498">
        <f t="shared" si="1387"/>
        <v>0</v>
      </c>
      <c r="BB3983" s="498" t="str">
        <f t="shared" si="1388"/>
        <v/>
      </c>
      <c r="BC3983" s="743" t="str">
        <f t="shared" si="1389"/>
        <v/>
      </c>
      <c r="BD3983" s="743" t="str">
        <f t="shared" si="1390"/>
        <v/>
      </c>
      <c r="BE3983" s="743" t="str">
        <f>IF(D3983="","",VLOOKUP(D3983,'General Basis'!$J$39:$K$46,2,0))</f>
        <v/>
      </c>
      <c r="BF3983" s="744" t="str">
        <f>IF(D3983="","",VLOOKUP(D3983,'General Basis'!$J$39:$L$46,3,0))</f>
        <v/>
      </c>
      <c r="BG3983" s="744" t="str">
        <f t="shared" si="1397"/>
        <v/>
      </c>
      <c r="BH3983" s="744" t="str">
        <f>IF(G3983="","",IF(BF3983="Abu Dhabi",IF(G3983&lt;18,'General Basis'!$C$39,IF(G3983&lt;41,'General Basis'!$C$40,IF(G3983&lt;60,'General Basis'!$C$41,IF(G3983&lt;65,'General Basis'!$C$42,'General Basis'!$C$43)))),IF(G3983&lt;11,'General Basis'!$B$39,IF(G3983&lt;18,'General Basis'!$B$40,IF(G3983&lt;26,'General Basis'!$B$41,IF(G3983&lt;31,'General Basis'!$B$42,IF(G3983&lt;36,'General Basis'!$B$43,IF(G3983&lt;41,'General Basis'!$B$44,IF(G3983&lt;46,'General Basis'!$B$45,IF(G3983&lt;51,'General Basis'!$B$46,IF(G3983&lt;56,'General Basis'!$B$47,IF(G3983&lt;60,'General Basis'!$B$48,IF(G3983&lt;65,'General Basis'!$B$49,'General Basis'!$B$50)))))))))))))</f>
        <v/>
      </c>
      <c r="BI3983" s="744" t="str">
        <f t="shared" si="1391"/>
        <v/>
      </c>
      <c r="BJ3983" s="747" t="str">
        <f t="shared" si="1398"/>
        <v/>
      </c>
      <c r="BK3983" s="498" t="str">
        <f t="shared" si="1392"/>
        <v/>
      </c>
      <c r="BL3983" s="498" t="str">
        <f t="shared" si="1393"/>
        <v/>
      </c>
    </row>
    <row r="3984" spans="1:64" x14ac:dyDescent="0.25">
      <c r="A3984" s="762">
        <f t="shared" si="1394"/>
        <v>3979</v>
      </c>
      <c r="B3984" s="229"/>
      <c r="C3984" s="223"/>
      <c r="D3984" s="224"/>
      <c r="E3984" s="225"/>
      <c r="F3984" s="1036" t="str">
        <f t="shared" ref="F3984:F4047" si="1400">IF(C3984="","",IF($B3984="","",((YEAR($F$3)-YEAR($B3984))+(MONTH($F$3)-MONTH($B3984))/12+(DAY($F$3)-DAY($B3984))/(DATE(YEAR($F$3),12,31)-DATE(YEAR($F$3),1,1)+1))))</f>
        <v/>
      </c>
      <c r="G3984" s="1037" t="str">
        <f t="shared" si="1395"/>
        <v/>
      </c>
      <c r="H3984" s="225"/>
      <c r="I3984" s="1013"/>
      <c r="J3984" s="1013"/>
      <c r="K3984" s="1028"/>
      <c r="L3984" s="1035" t="str">
        <f t="shared" si="1399"/>
        <v/>
      </c>
      <c r="S3984" s="498"/>
      <c r="AJ3984" s="498"/>
      <c r="AM3984" s="498">
        <f t="shared" si="1380"/>
        <v>0</v>
      </c>
      <c r="AN3984" s="498">
        <f t="shared" si="1381"/>
        <v>0</v>
      </c>
      <c r="AO3984" s="498">
        <f t="shared" si="1382"/>
        <v>0</v>
      </c>
      <c r="AP3984" s="498">
        <f t="shared" si="1379"/>
        <v>0</v>
      </c>
      <c r="AQ3984" s="498">
        <f t="shared" si="1396"/>
        <v>0</v>
      </c>
      <c r="AU3984" s="498">
        <f t="shared" si="1383"/>
        <v>0</v>
      </c>
      <c r="AV3984" s="498">
        <f t="shared" si="1384"/>
        <v>0</v>
      </c>
      <c r="AW3984" s="498">
        <f t="shared" si="1385"/>
        <v>0</v>
      </c>
      <c r="AX3984" s="498">
        <f t="shared" si="1386"/>
        <v>0</v>
      </c>
      <c r="AY3984" s="498">
        <f t="shared" si="1387"/>
        <v>0</v>
      </c>
      <c r="BB3984" s="498" t="str">
        <f t="shared" si="1388"/>
        <v/>
      </c>
      <c r="BC3984" s="743" t="str">
        <f t="shared" si="1389"/>
        <v/>
      </c>
      <c r="BD3984" s="743" t="str">
        <f t="shared" si="1390"/>
        <v/>
      </c>
      <c r="BE3984" s="743" t="str">
        <f>IF(D3984="","",VLOOKUP(D3984,'General Basis'!$J$39:$K$46,2,0))</f>
        <v/>
      </c>
      <c r="BF3984" s="744" t="str">
        <f>IF(D3984="","",VLOOKUP(D3984,'General Basis'!$J$39:$L$46,3,0))</f>
        <v/>
      </c>
      <c r="BG3984" s="744" t="str">
        <f t="shared" si="1397"/>
        <v/>
      </c>
      <c r="BH3984" s="744" t="str">
        <f>IF(G3984="","",IF(BF3984="Abu Dhabi",IF(G3984&lt;18,'General Basis'!$C$39,IF(G3984&lt;41,'General Basis'!$C$40,IF(G3984&lt;60,'General Basis'!$C$41,IF(G3984&lt;65,'General Basis'!$C$42,'General Basis'!$C$43)))),IF(G3984&lt;11,'General Basis'!$B$39,IF(G3984&lt;18,'General Basis'!$B$40,IF(G3984&lt;26,'General Basis'!$B$41,IF(G3984&lt;31,'General Basis'!$B$42,IF(G3984&lt;36,'General Basis'!$B$43,IF(G3984&lt;41,'General Basis'!$B$44,IF(G3984&lt;46,'General Basis'!$B$45,IF(G3984&lt;51,'General Basis'!$B$46,IF(G3984&lt;56,'General Basis'!$B$47,IF(G3984&lt;60,'General Basis'!$B$48,IF(G3984&lt;65,'General Basis'!$B$49,'General Basis'!$B$50)))))))))))))</f>
        <v/>
      </c>
      <c r="BI3984" s="744" t="str">
        <f t="shared" si="1391"/>
        <v/>
      </c>
      <c r="BJ3984" s="747" t="str">
        <f t="shared" si="1398"/>
        <v/>
      </c>
      <c r="BK3984" s="498" t="str">
        <f t="shared" si="1392"/>
        <v/>
      </c>
      <c r="BL3984" s="498" t="str">
        <f t="shared" si="1393"/>
        <v/>
      </c>
    </row>
    <row r="3985" spans="1:64" x14ac:dyDescent="0.25">
      <c r="A3985" s="762">
        <f t="shared" si="1394"/>
        <v>3980</v>
      </c>
      <c r="B3985" s="229"/>
      <c r="C3985" s="223"/>
      <c r="D3985" s="224"/>
      <c r="E3985" s="225"/>
      <c r="F3985" s="1036" t="str">
        <f t="shared" si="1400"/>
        <v/>
      </c>
      <c r="G3985" s="1037" t="str">
        <f t="shared" si="1395"/>
        <v/>
      </c>
      <c r="H3985" s="225"/>
      <c r="I3985" s="1013"/>
      <c r="J3985" s="1013"/>
      <c r="K3985" s="1028"/>
      <c r="L3985" s="1035" t="str">
        <f t="shared" si="1399"/>
        <v/>
      </c>
      <c r="S3985" s="498"/>
      <c r="AJ3985" s="498"/>
      <c r="AM3985" s="498">
        <f t="shared" si="1380"/>
        <v>0</v>
      </c>
      <c r="AN3985" s="498">
        <f t="shared" si="1381"/>
        <v>0</v>
      </c>
      <c r="AO3985" s="498">
        <f t="shared" si="1382"/>
        <v>0</v>
      </c>
      <c r="AP3985" s="498">
        <f t="shared" si="1379"/>
        <v>0</v>
      </c>
      <c r="AQ3985" s="498">
        <f t="shared" si="1396"/>
        <v>0</v>
      </c>
      <c r="AU3985" s="498">
        <f t="shared" si="1383"/>
        <v>0</v>
      </c>
      <c r="AV3985" s="498">
        <f t="shared" si="1384"/>
        <v>0</v>
      </c>
      <c r="AW3985" s="498">
        <f t="shared" si="1385"/>
        <v>0</v>
      </c>
      <c r="AX3985" s="498">
        <f t="shared" si="1386"/>
        <v>0</v>
      </c>
      <c r="AY3985" s="498">
        <f t="shared" si="1387"/>
        <v>0</v>
      </c>
      <c r="BB3985" s="498" t="str">
        <f t="shared" si="1388"/>
        <v/>
      </c>
      <c r="BC3985" s="743" t="str">
        <f t="shared" si="1389"/>
        <v/>
      </c>
      <c r="BD3985" s="743" t="str">
        <f t="shared" si="1390"/>
        <v/>
      </c>
      <c r="BE3985" s="743" t="str">
        <f>IF(D3985="","",VLOOKUP(D3985,'General Basis'!$J$39:$K$46,2,0))</f>
        <v/>
      </c>
      <c r="BF3985" s="744" t="str">
        <f>IF(D3985="","",VLOOKUP(D3985,'General Basis'!$J$39:$L$46,3,0))</f>
        <v/>
      </c>
      <c r="BG3985" s="744" t="str">
        <f t="shared" si="1397"/>
        <v/>
      </c>
      <c r="BH3985" s="744" t="str">
        <f>IF(G3985="","",IF(BF3985="Abu Dhabi",IF(G3985&lt;18,'General Basis'!$C$39,IF(G3985&lt;41,'General Basis'!$C$40,IF(G3985&lt;60,'General Basis'!$C$41,IF(G3985&lt;65,'General Basis'!$C$42,'General Basis'!$C$43)))),IF(G3985&lt;11,'General Basis'!$B$39,IF(G3985&lt;18,'General Basis'!$B$40,IF(G3985&lt;26,'General Basis'!$B$41,IF(G3985&lt;31,'General Basis'!$B$42,IF(G3985&lt;36,'General Basis'!$B$43,IF(G3985&lt;41,'General Basis'!$B$44,IF(G3985&lt;46,'General Basis'!$B$45,IF(G3985&lt;51,'General Basis'!$B$46,IF(G3985&lt;56,'General Basis'!$B$47,IF(G3985&lt;60,'General Basis'!$B$48,IF(G3985&lt;65,'General Basis'!$B$49,'General Basis'!$B$50)))))))))))))</f>
        <v/>
      </c>
      <c r="BI3985" s="744" t="str">
        <f t="shared" si="1391"/>
        <v/>
      </c>
      <c r="BJ3985" s="747" t="str">
        <f t="shared" si="1398"/>
        <v/>
      </c>
      <c r="BK3985" s="498" t="str">
        <f t="shared" si="1392"/>
        <v/>
      </c>
      <c r="BL3985" s="498" t="str">
        <f t="shared" si="1393"/>
        <v/>
      </c>
    </row>
    <row r="3986" spans="1:64" x14ac:dyDescent="0.25">
      <c r="A3986" s="762">
        <f t="shared" si="1394"/>
        <v>3981</v>
      </c>
      <c r="B3986" s="229"/>
      <c r="C3986" s="223"/>
      <c r="D3986" s="224"/>
      <c r="E3986" s="225"/>
      <c r="F3986" s="1036" t="str">
        <f t="shared" si="1400"/>
        <v/>
      </c>
      <c r="G3986" s="1037" t="str">
        <f t="shared" si="1395"/>
        <v/>
      </c>
      <c r="H3986" s="225"/>
      <c r="I3986" s="1013"/>
      <c r="J3986" s="1013"/>
      <c r="K3986" s="1028"/>
      <c r="L3986" s="1035" t="str">
        <f t="shared" si="1399"/>
        <v/>
      </c>
      <c r="S3986" s="498"/>
      <c r="AJ3986" s="498"/>
      <c r="AM3986" s="498">
        <f t="shared" si="1380"/>
        <v>0</v>
      </c>
      <c r="AN3986" s="498">
        <f t="shared" si="1381"/>
        <v>0</v>
      </c>
      <c r="AO3986" s="498">
        <f t="shared" si="1382"/>
        <v>0</v>
      </c>
      <c r="AP3986" s="498">
        <f t="shared" si="1379"/>
        <v>0</v>
      </c>
      <c r="AQ3986" s="498">
        <f t="shared" si="1396"/>
        <v>0</v>
      </c>
      <c r="AU3986" s="498">
        <f t="shared" si="1383"/>
        <v>0</v>
      </c>
      <c r="AV3986" s="498">
        <f t="shared" si="1384"/>
        <v>0</v>
      </c>
      <c r="AW3986" s="498">
        <f t="shared" si="1385"/>
        <v>0</v>
      </c>
      <c r="AX3986" s="498">
        <f t="shared" si="1386"/>
        <v>0</v>
      </c>
      <c r="AY3986" s="498">
        <f t="shared" si="1387"/>
        <v>0</v>
      </c>
      <c r="BB3986" s="498" t="str">
        <f t="shared" si="1388"/>
        <v/>
      </c>
      <c r="BC3986" s="743" t="str">
        <f t="shared" si="1389"/>
        <v/>
      </c>
      <c r="BD3986" s="743" t="str">
        <f t="shared" si="1390"/>
        <v/>
      </c>
      <c r="BE3986" s="743" t="str">
        <f>IF(D3986="","",VLOOKUP(D3986,'General Basis'!$J$39:$K$46,2,0))</f>
        <v/>
      </c>
      <c r="BF3986" s="744" t="str">
        <f>IF(D3986="","",VLOOKUP(D3986,'General Basis'!$J$39:$L$46,3,0))</f>
        <v/>
      </c>
      <c r="BG3986" s="744" t="str">
        <f t="shared" si="1397"/>
        <v/>
      </c>
      <c r="BH3986" s="744" t="str">
        <f>IF(G3986="","",IF(BF3986="Abu Dhabi",IF(G3986&lt;18,'General Basis'!$C$39,IF(G3986&lt;41,'General Basis'!$C$40,IF(G3986&lt;60,'General Basis'!$C$41,IF(G3986&lt;65,'General Basis'!$C$42,'General Basis'!$C$43)))),IF(G3986&lt;11,'General Basis'!$B$39,IF(G3986&lt;18,'General Basis'!$B$40,IF(G3986&lt;26,'General Basis'!$B$41,IF(G3986&lt;31,'General Basis'!$B$42,IF(G3986&lt;36,'General Basis'!$B$43,IF(G3986&lt;41,'General Basis'!$B$44,IF(G3986&lt;46,'General Basis'!$B$45,IF(G3986&lt;51,'General Basis'!$B$46,IF(G3986&lt;56,'General Basis'!$B$47,IF(G3986&lt;60,'General Basis'!$B$48,IF(G3986&lt;65,'General Basis'!$B$49,'General Basis'!$B$50)))))))))))))</f>
        <v/>
      </c>
      <c r="BI3986" s="744" t="str">
        <f t="shared" si="1391"/>
        <v/>
      </c>
      <c r="BJ3986" s="747" t="str">
        <f t="shared" si="1398"/>
        <v/>
      </c>
      <c r="BK3986" s="498" t="str">
        <f t="shared" si="1392"/>
        <v/>
      </c>
      <c r="BL3986" s="498" t="str">
        <f t="shared" si="1393"/>
        <v/>
      </c>
    </row>
    <row r="3987" spans="1:64" x14ac:dyDescent="0.25">
      <c r="A3987" s="762">
        <f t="shared" si="1394"/>
        <v>3982</v>
      </c>
      <c r="B3987" s="229"/>
      <c r="C3987" s="223"/>
      <c r="D3987" s="224"/>
      <c r="E3987" s="225"/>
      <c r="F3987" s="1036" t="str">
        <f t="shared" si="1400"/>
        <v/>
      </c>
      <c r="G3987" s="1037" t="str">
        <f t="shared" si="1395"/>
        <v/>
      </c>
      <c r="H3987" s="225"/>
      <c r="I3987" s="1013"/>
      <c r="J3987" s="1013"/>
      <c r="K3987" s="1028"/>
      <c r="L3987" s="1035" t="str">
        <f t="shared" si="1399"/>
        <v/>
      </c>
      <c r="S3987" s="498"/>
      <c r="AJ3987" s="498"/>
      <c r="AM3987" s="498">
        <f t="shared" si="1380"/>
        <v>0</v>
      </c>
      <c r="AN3987" s="498">
        <f t="shared" si="1381"/>
        <v>0</v>
      </c>
      <c r="AO3987" s="498">
        <f t="shared" si="1382"/>
        <v>0</v>
      </c>
      <c r="AP3987" s="498">
        <f t="shared" ref="AP3987:AP4050" si="1401">IF(ISBLANK($B3987),0,IF(OR($C3987="M",$C3987="F"),0,1))</f>
        <v>0</v>
      </c>
      <c r="AQ3987" s="498">
        <f t="shared" si="1396"/>
        <v>0</v>
      </c>
      <c r="AU3987" s="498">
        <f t="shared" si="1383"/>
        <v>0</v>
      </c>
      <c r="AV3987" s="498">
        <f t="shared" si="1384"/>
        <v>0</v>
      </c>
      <c r="AW3987" s="498">
        <f t="shared" si="1385"/>
        <v>0</v>
      </c>
      <c r="AX3987" s="498">
        <f t="shared" si="1386"/>
        <v>0</v>
      </c>
      <c r="AY3987" s="498">
        <f t="shared" si="1387"/>
        <v>0</v>
      </c>
      <c r="BB3987" s="498" t="str">
        <f t="shared" si="1388"/>
        <v/>
      </c>
      <c r="BC3987" s="743" t="str">
        <f t="shared" si="1389"/>
        <v/>
      </c>
      <c r="BD3987" s="743" t="str">
        <f t="shared" si="1390"/>
        <v/>
      </c>
      <c r="BE3987" s="743" t="str">
        <f>IF(D3987="","",VLOOKUP(D3987,'General Basis'!$J$39:$K$46,2,0))</f>
        <v/>
      </c>
      <c r="BF3987" s="744" t="str">
        <f>IF(D3987="","",VLOOKUP(D3987,'General Basis'!$J$39:$L$46,3,0))</f>
        <v/>
      </c>
      <c r="BG3987" s="744" t="str">
        <f t="shared" si="1397"/>
        <v/>
      </c>
      <c r="BH3987" s="744" t="str">
        <f>IF(G3987="","",IF(BF3987="Abu Dhabi",IF(G3987&lt;18,'General Basis'!$C$39,IF(G3987&lt;41,'General Basis'!$C$40,IF(G3987&lt;60,'General Basis'!$C$41,IF(G3987&lt;65,'General Basis'!$C$42,'General Basis'!$C$43)))),IF(G3987&lt;11,'General Basis'!$B$39,IF(G3987&lt;18,'General Basis'!$B$40,IF(G3987&lt;26,'General Basis'!$B$41,IF(G3987&lt;31,'General Basis'!$B$42,IF(G3987&lt;36,'General Basis'!$B$43,IF(G3987&lt;41,'General Basis'!$B$44,IF(G3987&lt;46,'General Basis'!$B$45,IF(G3987&lt;51,'General Basis'!$B$46,IF(G3987&lt;56,'General Basis'!$B$47,IF(G3987&lt;60,'General Basis'!$B$48,IF(G3987&lt;65,'General Basis'!$B$49,'General Basis'!$B$50)))))))))))))</f>
        <v/>
      </c>
      <c r="BI3987" s="744" t="str">
        <f t="shared" si="1391"/>
        <v/>
      </c>
      <c r="BJ3987" s="747" t="str">
        <f t="shared" si="1398"/>
        <v/>
      </c>
      <c r="BK3987" s="498" t="str">
        <f t="shared" si="1392"/>
        <v/>
      </c>
      <c r="BL3987" s="498" t="str">
        <f t="shared" si="1393"/>
        <v/>
      </c>
    </row>
    <row r="3988" spans="1:64" x14ac:dyDescent="0.25">
      <c r="A3988" s="762">
        <f t="shared" si="1394"/>
        <v>3983</v>
      </c>
      <c r="B3988" s="229"/>
      <c r="C3988" s="223"/>
      <c r="D3988" s="224"/>
      <c r="E3988" s="225"/>
      <c r="F3988" s="1036" t="str">
        <f t="shared" si="1400"/>
        <v/>
      </c>
      <c r="G3988" s="1037" t="str">
        <f t="shared" si="1395"/>
        <v/>
      </c>
      <c r="H3988" s="225"/>
      <c r="I3988" s="1013"/>
      <c r="J3988" s="1013"/>
      <c r="K3988" s="1028"/>
      <c r="L3988" s="1035" t="str">
        <f t="shared" si="1399"/>
        <v/>
      </c>
      <c r="S3988" s="498"/>
      <c r="AJ3988" s="498"/>
      <c r="AM3988" s="498">
        <f t="shared" si="1380"/>
        <v>0</v>
      </c>
      <c r="AN3988" s="498">
        <f t="shared" si="1381"/>
        <v>0</v>
      </c>
      <c r="AO3988" s="498">
        <f t="shared" si="1382"/>
        <v>0</v>
      </c>
      <c r="AP3988" s="498">
        <f t="shared" si="1401"/>
        <v>0</v>
      </c>
      <c r="AQ3988" s="498">
        <f t="shared" si="1396"/>
        <v>0</v>
      </c>
      <c r="AU3988" s="498">
        <f t="shared" si="1383"/>
        <v>0</v>
      </c>
      <c r="AV3988" s="498">
        <f t="shared" si="1384"/>
        <v>0</v>
      </c>
      <c r="AW3988" s="498">
        <f t="shared" si="1385"/>
        <v>0</v>
      </c>
      <c r="AX3988" s="498">
        <f t="shared" si="1386"/>
        <v>0</v>
      </c>
      <c r="AY3988" s="498">
        <f t="shared" si="1387"/>
        <v>0</v>
      </c>
      <c r="BB3988" s="498" t="str">
        <f t="shared" si="1388"/>
        <v/>
      </c>
      <c r="BC3988" s="743" t="str">
        <f t="shared" si="1389"/>
        <v/>
      </c>
      <c r="BD3988" s="743" t="str">
        <f t="shared" si="1390"/>
        <v/>
      </c>
      <c r="BE3988" s="743" t="str">
        <f>IF(D3988="","",VLOOKUP(D3988,'General Basis'!$J$39:$K$46,2,0))</f>
        <v/>
      </c>
      <c r="BF3988" s="744" t="str">
        <f>IF(D3988="","",VLOOKUP(D3988,'General Basis'!$J$39:$L$46,3,0))</f>
        <v/>
      </c>
      <c r="BG3988" s="744" t="str">
        <f t="shared" si="1397"/>
        <v/>
      </c>
      <c r="BH3988" s="744" t="str">
        <f>IF(G3988="","",IF(BF3988="Abu Dhabi",IF(G3988&lt;18,'General Basis'!$C$39,IF(G3988&lt;41,'General Basis'!$C$40,IF(G3988&lt;60,'General Basis'!$C$41,IF(G3988&lt;65,'General Basis'!$C$42,'General Basis'!$C$43)))),IF(G3988&lt;11,'General Basis'!$B$39,IF(G3988&lt;18,'General Basis'!$B$40,IF(G3988&lt;26,'General Basis'!$B$41,IF(G3988&lt;31,'General Basis'!$B$42,IF(G3988&lt;36,'General Basis'!$B$43,IF(G3988&lt;41,'General Basis'!$B$44,IF(G3988&lt;46,'General Basis'!$B$45,IF(G3988&lt;51,'General Basis'!$B$46,IF(G3988&lt;56,'General Basis'!$B$47,IF(G3988&lt;60,'General Basis'!$B$48,IF(G3988&lt;65,'General Basis'!$B$49,'General Basis'!$B$50)))))))))))))</f>
        <v/>
      </c>
      <c r="BI3988" s="744" t="str">
        <f t="shared" si="1391"/>
        <v/>
      </c>
      <c r="BJ3988" s="747" t="str">
        <f t="shared" si="1398"/>
        <v/>
      </c>
      <c r="BK3988" s="498" t="str">
        <f t="shared" si="1392"/>
        <v/>
      </c>
      <c r="BL3988" s="498" t="str">
        <f t="shared" si="1393"/>
        <v/>
      </c>
    </row>
    <row r="3989" spans="1:64" x14ac:dyDescent="0.25">
      <c r="A3989" s="762">
        <f t="shared" si="1394"/>
        <v>3984</v>
      </c>
      <c r="B3989" s="229"/>
      <c r="C3989" s="223"/>
      <c r="D3989" s="224"/>
      <c r="E3989" s="225"/>
      <c r="F3989" s="1036" t="str">
        <f t="shared" si="1400"/>
        <v/>
      </c>
      <c r="G3989" s="1037" t="str">
        <f t="shared" si="1395"/>
        <v/>
      </c>
      <c r="H3989" s="225"/>
      <c r="I3989" s="1013"/>
      <c r="J3989" s="1013"/>
      <c r="K3989" s="1028"/>
      <c r="L3989" s="1035" t="str">
        <f t="shared" si="1399"/>
        <v/>
      </c>
      <c r="S3989" s="498"/>
      <c r="AJ3989" s="498"/>
      <c r="AM3989" s="498">
        <f t="shared" si="1380"/>
        <v>0</v>
      </c>
      <c r="AN3989" s="498">
        <f t="shared" si="1381"/>
        <v>0</v>
      </c>
      <c r="AO3989" s="498">
        <f t="shared" si="1382"/>
        <v>0</v>
      </c>
      <c r="AP3989" s="498">
        <f t="shared" si="1401"/>
        <v>0</v>
      </c>
      <c r="AQ3989" s="498">
        <f t="shared" si="1396"/>
        <v>0</v>
      </c>
      <c r="AU3989" s="498">
        <f t="shared" si="1383"/>
        <v>0</v>
      </c>
      <c r="AV3989" s="498">
        <f t="shared" si="1384"/>
        <v>0</v>
      </c>
      <c r="AW3989" s="498">
        <f t="shared" si="1385"/>
        <v>0</v>
      </c>
      <c r="AX3989" s="498">
        <f t="shared" si="1386"/>
        <v>0</v>
      </c>
      <c r="AY3989" s="498">
        <f t="shared" si="1387"/>
        <v>0</v>
      </c>
      <c r="BB3989" s="498" t="str">
        <f t="shared" si="1388"/>
        <v/>
      </c>
      <c r="BC3989" s="743" t="str">
        <f t="shared" si="1389"/>
        <v/>
      </c>
      <c r="BD3989" s="743" t="str">
        <f t="shared" si="1390"/>
        <v/>
      </c>
      <c r="BE3989" s="743" t="str">
        <f>IF(D3989="","",VLOOKUP(D3989,'General Basis'!$J$39:$K$46,2,0))</f>
        <v/>
      </c>
      <c r="BF3989" s="744" t="str">
        <f>IF(D3989="","",VLOOKUP(D3989,'General Basis'!$J$39:$L$46,3,0))</f>
        <v/>
      </c>
      <c r="BG3989" s="744" t="str">
        <f t="shared" si="1397"/>
        <v/>
      </c>
      <c r="BH3989" s="744" t="str">
        <f>IF(G3989="","",IF(BF3989="Abu Dhabi",IF(G3989&lt;18,'General Basis'!$C$39,IF(G3989&lt;41,'General Basis'!$C$40,IF(G3989&lt;60,'General Basis'!$C$41,IF(G3989&lt;65,'General Basis'!$C$42,'General Basis'!$C$43)))),IF(G3989&lt;11,'General Basis'!$B$39,IF(G3989&lt;18,'General Basis'!$B$40,IF(G3989&lt;26,'General Basis'!$B$41,IF(G3989&lt;31,'General Basis'!$B$42,IF(G3989&lt;36,'General Basis'!$B$43,IF(G3989&lt;41,'General Basis'!$B$44,IF(G3989&lt;46,'General Basis'!$B$45,IF(G3989&lt;51,'General Basis'!$B$46,IF(G3989&lt;56,'General Basis'!$B$47,IF(G3989&lt;60,'General Basis'!$B$48,IF(G3989&lt;65,'General Basis'!$B$49,'General Basis'!$B$50)))))))))))))</f>
        <v/>
      </c>
      <c r="BI3989" s="744" t="str">
        <f t="shared" si="1391"/>
        <v/>
      </c>
      <c r="BJ3989" s="747" t="str">
        <f t="shared" si="1398"/>
        <v/>
      </c>
      <c r="BK3989" s="498" t="str">
        <f t="shared" si="1392"/>
        <v/>
      </c>
      <c r="BL3989" s="498" t="str">
        <f t="shared" si="1393"/>
        <v/>
      </c>
    </row>
    <row r="3990" spans="1:64" x14ac:dyDescent="0.25">
      <c r="A3990" s="762">
        <f t="shared" si="1394"/>
        <v>3985</v>
      </c>
      <c r="B3990" s="229"/>
      <c r="C3990" s="223"/>
      <c r="D3990" s="224"/>
      <c r="E3990" s="225"/>
      <c r="F3990" s="1036" t="str">
        <f t="shared" si="1400"/>
        <v/>
      </c>
      <c r="G3990" s="1037" t="str">
        <f t="shared" si="1395"/>
        <v/>
      </c>
      <c r="H3990" s="225"/>
      <c r="I3990" s="1013"/>
      <c r="J3990" s="1013"/>
      <c r="K3990" s="1028"/>
      <c r="L3990" s="1035" t="str">
        <f t="shared" si="1399"/>
        <v/>
      </c>
      <c r="S3990" s="498"/>
      <c r="AJ3990" s="498"/>
      <c r="AM3990" s="498">
        <f t="shared" si="1380"/>
        <v>0</v>
      </c>
      <c r="AN3990" s="498">
        <f t="shared" si="1381"/>
        <v>0</v>
      </c>
      <c r="AO3990" s="498">
        <f t="shared" si="1382"/>
        <v>0</v>
      </c>
      <c r="AP3990" s="498">
        <f t="shared" si="1401"/>
        <v>0</v>
      </c>
      <c r="AQ3990" s="498">
        <f t="shared" si="1396"/>
        <v>0</v>
      </c>
      <c r="AU3990" s="498">
        <f t="shared" si="1383"/>
        <v>0</v>
      </c>
      <c r="AV3990" s="498">
        <f t="shared" si="1384"/>
        <v>0</v>
      </c>
      <c r="AW3990" s="498">
        <f t="shared" si="1385"/>
        <v>0</v>
      </c>
      <c r="AX3990" s="498">
        <f t="shared" si="1386"/>
        <v>0</v>
      </c>
      <c r="AY3990" s="498">
        <f t="shared" si="1387"/>
        <v>0</v>
      </c>
      <c r="BB3990" s="498" t="str">
        <f t="shared" si="1388"/>
        <v/>
      </c>
      <c r="BC3990" s="743" t="str">
        <f t="shared" si="1389"/>
        <v/>
      </c>
      <c r="BD3990" s="743" t="str">
        <f t="shared" si="1390"/>
        <v/>
      </c>
      <c r="BE3990" s="743" t="str">
        <f>IF(D3990="","",VLOOKUP(D3990,'General Basis'!$J$39:$K$46,2,0))</f>
        <v/>
      </c>
      <c r="BF3990" s="744" t="str">
        <f>IF(D3990="","",VLOOKUP(D3990,'General Basis'!$J$39:$L$46,3,0))</f>
        <v/>
      </c>
      <c r="BG3990" s="744" t="str">
        <f t="shared" si="1397"/>
        <v/>
      </c>
      <c r="BH3990" s="744" t="str">
        <f>IF(G3990="","",IF(BF3990="Abu Dhabi",IF(G3990&lt;18,'General Basis'!$C$39,IF(G3990&lt;41,'General Basis'!$C$40,IF(G3990&lt;60,'General Basis'!$C$41,IF(G3990&lt;65,'General Basis'!$C$42,'General Basis'!$C$43)))),IF(G3990&lt;11,'General Basis'!$B$39,IF(G3990&lt;18,'General Basis'!$B$40,IF(G3990&lt;26,'General Basis'!$B$41,IF(G3990&lt;31,'General Basis'!$B$42,IF(G3990&lt;36,'General Basis'!$B$43,IF(G3990&lt;41,'General Basis'!$B$44,IF(G3990&lt;46,'General Basis'!$B$45,IF(G3990&lt;51,'General Basis'!$B$46,IF(G3990&lt;56,'General Basis'!$B$47,IF(G3990&lt;60,'General Basis'!$B$48,IF(G3990&lt;65,'General Basis'!$B$49,'General Basis'!$B$50)))))))))))))</f>
        <v/>
      </c>
      <c r="BI3990" s="744" t="str">
        <f t="shared" si="1391"/>
        <v/>
      </c>
      <c r="BJ3990" s="747" t="str">
        <f t="shared" si="1398"/>
        <v/>
      </c>
      <c r="BK3990" s="498" t="str">
        <f t="shared" si="1392"/>
        <v/>
      </c>
      <c r="BL3990" s="498" t="str">
        <f t="shared" si="1393"/>
        <v/>
      </c>
    </row>
    <row r="3991" spans="1:64" x14ac:dyDescent="0.25">
      <c r="A3991" s="762">
        <f t="shared" si="1394"/>
        <v>3986</v>
      </c>
      <c r="B3991" s="229"/>
      <c r="C3991" s="223"/>
      <c r="D3991" s="224"/>
      <c r="E3991" s="225"/>
      <c r="F3991" s="1036" t="str">
        <f t="shared" si="1400"/>
        <v/>
      </c>
      <c r="G3991" s="1037" t="str">
        <f t="shared" si="1395"/>
        <v/>
      </c>
      <c r="H3991" s="225"/>
      <c r="I3991" s="1013"/>
      <c r="J3991" s="1013"/>
      <c r="K3991" s="1028"/>
      <c r="L3991" s="1035" t="str">
        <f t="shared" si="1399"/>
        <v/>
      </c>
      <c r="S3991" s="498"/>
      <c r="AJ3991" s="498"/>
      <c r="AM3991" s="498">
        <f t="shared" si="1380"/>
        <v>0</v>
      </c>
      <c r="AN3991" s="498">
        <f t="shared" si="1381"/>
        <v>0</v>
      </c>
      <c r="AO3991" s="498">
        <f t="shared" si="1382"/>
        <v>0</v>
      </c>
      <c r="AP3991" s="498">
        <f t="shared" si="1401"/>
        <v>0</v>
      </c>
      <c r="AQ3991" s="498">
        <f t="shared" si="1396"/>
        <v>0</v>
      </c>
      <c r="AU3991" s="498">
        <f t="shared" si="1383"/>
        <v>0</v>
      </c>
      <c r="AV3991" s="498">
        <f t="shared" si="1384"/>
        <v>0</v>
      </c>
      <c r="AW3991" s="498">
        <f t="shared" si="1385"/>
        <v>0</v>
      </c>
      <c r="AX3991" s="498">
        <f t="shared" si="1386"/>
        <v>0</v>
      </c>
      <c r="AY3991" s="498">
        <f t="shared" si="1387"/>
        <v>0</v>
      </c>
      <c r="BB3991" s="498" t="str">
        <f t="shared" si="1388"/>
        <v/>
      </c>
      <c r="BC3991" s="743" t="str">
        <f t="shared" si="1389"/>
        <v/>
      </c>
      <c r="BD3991" s="743" t="str">
        <f t="shared" si="1390"/>
        <v/>
      </c>
      <c r="BE3991" s="743" t="str">
        <f>IF(D3991="","",VLOOKUP(D3991,'General Basis'!$J$39:$K$46,2,0))</f>
        <v/>
      </c>
      <c r="BF3991" s="744" t="str">
        <f>IF(D3991="","",VLOOKUP(D3991,'General Basis'!$J$39:$L$46,3,0))</f>
        <v/>
      </c>
      <c r="BG3991" s="744" t="str">
        <f t="shared" si="1397"/>
        <v/>
      </c>
      <c r="BH3991" s="744" t="str">
        <f>IF(G3991="","",IF(BF3991="Abu Dhabi",IF(G3991&lt;18,'General Basis'!$C$39,IF(G3991&lt;41,'General Basis'!$C$40,IF(G3991&lt;60,'General Basis'!$C$41,IF(G3991&lt;65,'General Basis'!$C$42,'General Basis'!$C$43)))),IF(G3991&lt;11,'General Basis'!$B$39,IF(G3991&lt;18,'General Basis'!$B$40,IF(G3991&lt;26,'General Basis'!$B$41,IF(G3991&lt;31,'General Basis'!$B$42,IF(G3991&lt;36,'General Basis'!$B$43,IF(G3991&lt;41,'General Basis'!$B$44,IF(G3991&lt;46,'General Basis'!$B$45,IF(G3991&lt;51,'General Basis'!$B$46,IF(G3991&lt;56,'General Basis'!$B$47,IF(G3991&lt;60,'General Basis'!$B$48,IF(G3991&lt;65,'General Basis'!$B$49,'General Basis'!$B$50)))))))))))))</f>
        <v/>
      </c>
      <c r="BI3991" s="744" t="str">
        <f t="shared" si="1391"/>
        <v/>
      </c>
      <c r="BJ3991" s="747" t="str">
        <f t="shared" si="1398"/>
        <v/>
      </c>
      <c r="BK3991" s="498" t="str">
        <f t="shared" si="1392"/>
        <v/>
      </c>
      <c r="BL3991" s="498" t="str">
        <f t="shared" si="1393"/>
        <v/>
      </c>
    </row>
    <row r="3992" spans="1:64" x14ac:dyDescent="0.25">
      <c r="A3992" s="762">
        <f t="shared" si="1394"/>
        <v>3987</v>
      </c>
      <c r="B3992" s="229"/>
      <c r="C3992" s="223"/>
      <c r="D3992" s="224"/>
      <c r="E3992" s="225"/>
      <c r="F3992" s="1036" t="str">
        <f t="shared" si="1400"/>
        <v/>
      </c>
      <c r="G3992" s="1037" t="str">
        <f t="shared" si="1395"/>
        <v/>
      </c>
      <c r="H3992" s="225"/>
      <c r="I3992" s="1013"/>
      <c r="J3992" s="1013"/>
      <c r="K3992" s="1028"/>
      <c r="L3992" s="1035" t="str">
        <f t="shared" si="1399"/>
        <v/>
      </c>
      <c r="S3992" s="498"/>
      <c r="AJ3992" s="498"/>
      <c r="AM3992" s="498">
        <f t="shared" si="1380"/>
        <v>0</v>
      </c>
      <c r="AN3992" s="498">
        <f t="shared" si="1381"/>
        <v>0</v>
      </c>
      <c r="AO3992" s="498">
        <f t="shared" si="1382"/>
        <v>0</v>
      </c>
      <c r="AP3992" s="498">
        <f t="shared" si="1401"/>
        <v>0</v>
      </c>
      <c r="AQ3992" s="498">
        <f t="shared" si="1396"/>
        <v>0</v>
      </c>
      <c r="AU3992" s="498">
        <f t="shared" si="1383"/>
        <v>0</v>
      </c>
      <c r="AV3992" s="498">
        <f t="shared" si="1384"/>
        <v>0</v>
      </c>
      <c r="AW3992" s="498">
        <f t="shared" si="1385"/>
        <v>0</v>
      </c>
      <c r="AX3992" s="498">
        <f t="shared" si="1386"/>
        <v>0</v>
      </c>
      <c r="AY3992" s="498">
        <f t="shared" si="1387"/>
        <v>0</v>
      </c>
      <c r="BB3992" s="498" t="str">
        <f t="shared" si="1388"/>
        <v/>
      </c>
      <c r="BC3992" s="743" t="str">
        <f t="shared" si="1389"/>
        <v/>
      </c>
      <c r="BD3992" s="743" t="str">
        <f t="shared" si="1390"/>
        <v/>
      </c>
      <c r="BE3992" s="743" t="str">
        <f>IF(D3992="","",VLOOKUP(D3992,'General Basis'!$J$39:$K$46,2,0))</f>
        <v/>
      </c>
      <c r="BF3992" s="744" t="str">
        <f>IF(D3992="","",VLOOKUP(D3992,'General Basis'!$J$39:$L$46,3,0))</f>
        <v/>
      </c>
      <c r="BG3992" s="744" t="str">
        <f t="shared" si="1397"/>
        <v/>
      </c>
      <c r="BH3992" s="744" t="str">
        <f>IF(G3992="","",IF(BF3992="Abu Dhabi",IF(G3992&lt;18,'General Basis'!$C$39,IF(G3992&lt;41,'General Basis'!$C$40,IF(G3992&lt;60,'General Basis'!$C$41,IF(G3992&lt;65,'General Basis'!$C$42,'General Basis'!$C$43)))),IF(G3992&lt;11,'General Basis'!$B$39,IF(G3992&lt;18,'General Basis'!$B$40,IF(G3992&lt;26,'General Basis'!$B$41,IF(G3992&lt;31,'General Basis'!$B$42,IF(G3992&lt;36,'General Basis'!$B$43,IF(G3992&lt;41,'General Basis'!$B$44,IF(G3992&lt;46,'General Basis'!$B$45,IF(G3992&lt;51,'General Basis'!$B$46,IF(G3992&lt;56,'General Basis'!$B$47,IF(G3992&lt;60,'General Basis'!$B$48,IF(G3992&lt;65,'General Basis'!$B$49,'General Basis'!$B$50)))))))))))))</f>
        <v/>
      </c>
      <c r="BI3992" s="744" t="str">
        <f t="shared" si="1391"/>
        <v/>
      </c>
      <c r="BJ3992" s="747" t="str">
        <f t="shared" si="1398"/>
        <v/>
      </c>
      <c r="BK3992" s="498" t="str">
        <f t="shared" si="1392"/>
        <v/>
      </c>
      <c r="BL3992" s="498" t="str">
        <f t="shared" si="1393"/>
        <v/>
      </c>
    </row>
    <row r="3993" spans="1:64" x14ac:dyDescent="0.25">
      <c r="A3993" s="762">
        <f t="shared" si="1394"/>
        <v>3988</v>
      </c>
      <c r="B3993" s="229"/>
      <c r="C3993" s="223"/>
      <c r="D3993" s="224"/>
      <c r="E3993" s="225"/>
      <c r="F3993" s="1036" t="str">
        <f t="shared" si="1400"/>
        <v/>
      </c>
      <c r="G3993" s="1037" t="str">
        <f t="shared" si="1395"/>
        <v/>
      </c>
      <c r="H3993" s="225"/>
      <c r="I3993" s="1013"/>
      <c r="J3993" s="1013"/>
      <c r="K3993" s="1028"/>
      <c r="L3993" s="1035" t="str">
        <f t="shared" si="1399"/>
        <v/>
      </c>
      <c r="S3993" s="498"/>
      <c r="AJ3993" s="498"/>
      <c r="AM3993" s="498">
        <f t="shared" si="1380"/>
        <v>0</v>
      </c>
      <c r="AN3993" s="498">
        <f t="shared" si="1381"/>
        <v>0</v>
      </c>
      <c r="AO3993" s="498">
        <f t="shared" si="1382"/>
        <v>0</v>
      </c>
      <c r="AP3993" s="498">
        <f t="shared" si="1401"/>
        <v>0</v>
      </c>
      <c r="AQ3993" s="498">
        <f t="shared" si="1396"/>
        <v>0</v>
      </c>
      <c r="AU3993" s="498">
        <f t="shared" si="1383"/>
        <v>0</v>
      </c>
      <c r="AV3993" s="498">
        <f t="shared" si="1384"/>
        <v>0</v>
      </c>
      <c r="AW3993" s="498">
        <f t="shared" si="1385"/>
        <v>0</v>
      </c>
      <c r="AX3993" s="498">
        <f t="shared" si="1386"/>
        <v>0</v>
      </c>
      <c r="AY3993" s="498">
        <f t="shared" si="1387"/>
        <v>0</v>
      </c>
      <c r="BB3993" s="498" t="str">
        <f t="shared" si="1388"/>
        <v/>
      </c>
      <c r="BC3993" s="743" t="str">
        <f t="shared" si="1389"/>
        <v/>
      </c>
      <c r="BD3993" s="743" t="str">
        <f t="shared" si="1390"/>
        <v/>
      </c>
      <c r="BE3993" s="743" t="str">
        <f>IF(D3993="","",VLOOKUP(D3993,'General Basis'!$J$39:$K$46,2,0))</f>
        <v/>
      </c>
      <c r="BF3993" s="744" t="str">
        <f>IF(D3993="","",VLOOKUP(D3993,'General Basis'!$J$39:$L$46,3,0))</f>
        <v/>
      </c>
      <c r="BG3993" s="744" t="str">
        <f t="shared" si="1397"/>
        <v/>
      </c>
      <c r="BH3993" s="744" t="str">
        <f>IF(G3993="","",IF(BF3993="Abu Dhabi",IF(G3993&lt;18,'General Basis'!$C$39,IF(G3993&lt;41,'General Basis'!$C$40,IF(G3993&lt;60,'General Basis'!$C$41,IF(G3993&lt;65,'General Basis'!$C$42,'General Basis'!$C$43)))),IF(G3993&lt;11,'General Basis'!$B$39,IF(G3993&lt;18,'General Basis'!$B$40,IF(G3993&lt;26,'General Basis'!$B$41,IF(G3993&lt;31,'General Basis'!$B$42,IF(G3993&lt;36,'General Basis'!$B$43,IF(G3993&lt;41,'General Basis'!$B$44,IF(G3993&lt;46,'General Basis'!$B$45,IF(G3993&lt;51,'General Basis'!$B$46,IF(G3993&lt;56,'General Basis'!$B$47,IF(G3993&lt;60,'General Basis'!$B$48,IF(G3993&lt;65,'General Basis'!$B$49,'General Basis'!$B$50)))))))))))))</f>
        <v/>
      </c>
      <c r="BI3993" s="744" t="str">
        <f t="shared" si="1391"/>
        <v/>
      </c>
      <c r="BJ3993" s="747" t="str">
        <f t="shared" si="1398"/>
        <v/>
      </c>
      <c r="BK3993" s="498" t="str">
        <f t="shared" si="1392"/>
        <v/>
      </c>
      <c r="BL3993" s="498" t="str">
        <f t="shared" si="1393"/>
        <v/>
      </c>
    </row>
    <row r="3994" spans="1:64" x14ac:dyDescent="0.25">
      <c r="A3994" s="762">
        <f t="shared" si="1394"/>
        <v>3989</v>
      </c>
      <c r="B3994" s="229"/>
      <c r="C3994" s="223"/>
      <c r="D3994" s="224"/>
      <c r="E3994" s="225"/>
      <c r="F3994" s="1036" t="str">
        <f t="shared" si="1400"/>
        <v/>
      </c>
      <c r="G3994" s="1037" t="str">
        <f t="shared" si="1395"/>
        <v/>
      </c>
      <c r="H3994" s="225"/>
      <c r="I3994" s="1013"/>
      <c r="J3994" s="1013"/>
      <c r="K3994" s="1028"/>
      <c r="L3994" s="1035" t="str">
        <f t="shared" si="1399"/>
        <v/>
      </c>
      <c r="S3994" s="498"/>
      <c r="AJ3994" s="498"/>
      <c r="AM3994" s="498">
        <f t="shared" si="1380"/>
        <v>0</v>
      </c>
      <c r="AN3994" s="498">
        <f t="shared" si="1381"/>
        <v>0</v>
      </c>
      <c r="AO3994" s="498">
        <f t="shared" si="1382"/>
        <v>0</v>
      </c>
      <c r="AP3994" s="498">
        <f t="shared" si="1401"/>
        <v>0</v>
      </c>
      <c r="AQ3994" s="498">
        <f t="shared" si="1396"/>
        <v>0</v>
      </c>
      <c r="AU3994" s="498">
        <f t="shared" si="1383"/>
        <v>0</v>
      </c>
      <c r="AV3994" s="498">
        <f t="shared" si="1384"/>
        <v>0</v>
      </c>
      <c r="AW3994" s="498">
        <f t="shared" si="1385"/>
        <v>0</v>
      </c>
      <c r="AX3994" s="498">
        <f t="shared" si="1386"/>
        <v>0</v>
      </c>
      <c r="AY3994" s="498">
        <f t="shared" si="1387"/>
        <v>0</v>
      </c>
      <c r="BB3994" s="498" t="str">
        <f t="shared" si="1388"/>
        <v/>
      </c>
      <c r="BC3994" s="743" t="str">
        <f t="shared" si="1389"/>
        <v/>
      </c>
      <c r="BD3994" s="743" t="str">
        <f t="shared" si="1390"/>
        <v/>
      </c>
      <c r="BE3994" s="743" t="str">
        <f>IF(D3994="","",VLOOKUP(D3994,'General Basis'!$J$39:$K$46,2,0))</f>
        <v/>
      </c>
      <c r="BF3994" s="744" t="str">
        <f>IF(D3994="","",VLOOKUP(D3994,'General Basis'!$J$39:$L$46,3,0))</f>
        <v/>
      </c>
      <c r="BG3994" s="744" t="str">
        <f t="shared" si="1397"/>
        <v/>
      </c>
      <c r="BH3994" s="744" t="str">
        <f>IF(G3994="","",IF(BF3994="Abu Dhabi",IF(G3994&lt;18,'General Basis'!$C$39,IF(G3994&lt;41,'General Basis'!$C$40,IF(G3994&lt;60,'General Basis'!$C$41,IF(G3994&lt;65,'General Basis'!$C$42,'General Basis'!$C$43)))),IF(G3994&lt;11,'General Basis'!$B$39,IF(G3994&lt;18,'General Basis'!$B$40,IF(G3994&lt;26,'General Basis'!$B$41,IF(G3994&lt;31,'General Basis'!$B$42,IF(G3994&lt;36,'General Basis'!$B$43,IF(G3994&lt;41,'General Basis'!$B$44,IF(G3994&lt;46,'General Basis'!$B$45,IF(G3994&lt;51,'General Basis'!$B$46,IF(G3994&lt;56,'General Basis'!$B$47,IF(G3994&lt;60,'General Basis'!$B$48,IF(G3994&lt;65,'General Basis'!$B$49,'General Basis'!$B$50)))))))))))))</f>
        <v/>
      </c>
      <c r="BI3994" s="744" t="str">
        <f t="shared" si="1391"/>
        <v/>
      </c>
      <c r="BJ3994" s="747" t="str">
        <f t="shared" si="1398"/>
        <v/>
      </c>
      <c r="BK3994" s="498" t="str">
        <f t="shared" si="1392"/>
        <v/>
      </c>
      <c r="BL3994" s="498" t="str">
        <f t="shared" si="1393"/>
        <v/>
      </c>
    </row>
    <row r="3995" spans="1:64" x14ac:dyDescent="0.25">
      <c r="A3995" s="762">
        <f t="shared" si="1394"/>
        <v>3990</v>
      </c>
      <c r="B3995" s="229"/>
      <c r="C3995" s="223"/>
      <c r="D3995" s="224"/>
      <c r="E3995" s="225"/>
      <c r="F3995" s="1036" t="str">
        <f t="shared" si="1400"/>
        <v/>
      </c>
      <c r="G3995" s="1037" t="str">
        <f t="shared" si="1395"/>
        <v/>
      </c>
      <c r="H3995" s="225"/>
      <c r="I3995" s="1013"/>
      <c r="J3995" s="1013"/>
      <c r="K3995" s="1028"/>
      <c r="L3995" s="1035" t="str">
        <f t="shared" si="1399"/>
        <v/>
      </c>
      <c r="S3995" s="498"/>
      <c r="AJ3995" s="498"/>
      <c r="AM3995" s="498">
        <f t="shared" si="1380"/>
        <v>0</v>
      </c>
      <c r="AN3995" s="498">
        <f t="shared" si="1381"/>
        <v>0</v>
      </c>
      <c r="AO3995" s="498">
        <f t="shared" si="1382"/>
        <v>0</v>
      </c>
      <c r="AP3995" s="498">
        <f t="shared" si="1401"/>
        <v>0</v>
      </c>
      <c r="AQ3995" s="498">
        <f t="shared" si="1396"/>
        <v>0</v>
      </c>
      <c r="AU3995" s="498">
        <f t="shared" si="1383"/>
        <v>0</v>
      </c>
      <c r="AV3995" s="498">
        <f t="shared" si="1384"/>
        <v>0</v>
      </c>
      <c r="AW3995" s="498">
        <f t="shared" si="1385"/>
        <v>0</v>
      </c>
      <c r="AX3995" s="498">
        <f t="shared" si="1386"/>
        <v>0</v>
      </c>
      <c r="AY3995" s="498">
        <f t="shared" si="1387"/>
        <v>0</v>
      </c>
      <c r="BB3995" s="498" t="str">
        <f t="shared" si="1388"/>
        <v/>
      </c>
      <c r="BC3995" s="743" t="str">
        <f t="shared" si="1389"/>
        <v/>
      </c>
      <c r="BD3995" s="743" t="str">
        <f t="shared" si="1390"/>
        <v/>
      </c>
      <c r="BE3995" s="743" t="str">
        <f>IF(D3995="","",VLOOKUP(D3995,'General Basis'!$J$39:$K$46,2,0))</f>
        <v/>
      </c>
      <c r="BF3995" s="744" t="str">
        <f>IF(D3995="","",VLOOKUP(D3995,'General Basis'!$J$39:$L$46,3,0))</f>
        <v/>
      </c>
      <c r="BG3995" s="744" t="str">
        <f t="shared" si="1397"/>
        <v/>
      </c>
      <c r="BH3995" s="744" t="str">
        <f>IF(G3995="","",IF(BF3995="Abu Dhabi",IF(G3995&lt;18,'General Basis'!$C$39,IF(G3995&lt;41,'General Basis'!$C$40,IF(G3995&lt;60,'General Basis'!$C$41,IF(G3995&lt;65,'General Basis'!$C$42,'General Basis'!$C$43)))),IF(G3995&lt;11,'General Basis'!$B$39,IF(G3995&lt;18,'General Basis'!$B$40,IF(G3995&lt;26,'General Basis'!$B$41,IF(G3995&lt;31,'General Basis'!$B$42,IF(G3995&lt;36,'General Basis'!$B$43,IF(G3995&lt;41,'General Basis'!$B$44,IF(G3995&lt;46,'General Basis'!$B$45,IF(G3995&lt;51,'General Basis'!$B$46,IF(G3995&lt;56,'General Basis'!$B$47,IF(G3995&lt;60,'General Basis'!$B$48,IF(G3995&lt;65,'General Basis'!$B$49,'General Basis'!$B$50)))))))))))))</f>
        <v/>
      </c>
      <c r="BI3995" s="744" t="str">
        <f t="shared" si="1391"/>
        <v/>
      </c>
      <c r="BJ3995" s="747" t="str">
        <f t="shared" si="1398"/>
        <v/>
      </c>
      <c r="BK3995" s="498" t="str">
        <f t="shared" si="1392"/>
        <v/>
      </c>
      <c r="BL3995" s="498" t="str">
        <f t="shared" si="1393"/>
        <v/>
      </c>
    </row>
    <row r="3996" spans="1:64" x14ac:dyDescent="0.25">
      <c r="A3996" s="762">
        <f t="shared" si="1394"/>
        <v>3991</v>
      </c>
      <c r="B3996" s="229"/>
      <c r="C3996" s="223"/>
      <c r="D3996" s="224"/>
      <c r="E3996" s="225"/>
      <c r="F3996" s="1036" t="str">
        <f t="shared" si="1400"/>
        <v/>
      </c>
      <c r="G3996" s="1037" t="str">
        <f t="shared" si="1395"/>
        <v/>
      </c>
      <c r="H3996" s="225"/>
      <c r="I3996" s="1013"/>
      <c r="J3996" s="1013"/>
      <c r="K3996" s="1028"/>
      <c r="L3996" s="1035" t="str">
        <f t="shared" si="1399"/>
        <v/>
      </c>
      <c r="S3996" s="498"/>
      <c r="AJ3996" s="498"/>
      <c r="AM3996" s="498">
        <f t="shared" si="1380"/>
        <v>0</v>
      </c>
      <c r="AN3996" s="498">
        <f t="shared" si="1381"/>
        <v>0</v>
      </c>
      <c r="AO3996" s="498">
        <f t="shared" si="1382"/>
        <v>0</v>
      </c>
      <c r="AP3996" s="498">
        <f t="shared" si="1401"/>
        <v>0</v>
      </c>
      <c r="AQ3996" s="498">
        <f t="shared" si="1396"/>
        <v>0</v>
      </c>
      <c r="AU3996" s="498">
        <f t="shared" si="1383"/>
        <v>0</v>
      </c>
      <c r="AV3996" s="498">
        <f t="shared" si="1384"/>
        <v>0</v>
      </c>
      <c r="AW3996" s="498">
        <f t="shared" si="1385"/>
        <v>0</v>
      </c>
      <c r="AX3996" s="498">
        <f t="shared" si="1386"/>
        <v>0</v>
      </c>
      <c r="AY3996" s="498">
        <f t="shared" si="1387"/>
        <v>0</v>
      </c>
      <c r="BB3996" s="498" t="str">
        <f t="shared" si="1388"/>
        <v/>
      </c>
      <c r="BC3996" s="743" t="str">
        <f t="shared" si="1389"/>
        <v/>
      </c>
      <c r="BD3996" s="743" t="str">
        <f t="shared" si="1390"/>
        <v/>
      </c>
      <c r="BE3996" s="743" t="str">
        <f>IF(D3996="","",VLOOKUP(D3996,'General Basis'!$J$39:$K$46,2,0))</f>
        <v/>
      </c>
      <c r="BF3996" s="744" t="str">
        <f>IF(D3996="","",VLOOKUP(D3996,'General Basis'!$J$39:$L$46,3,0))</f>
        <v/>
      </c>
      <c r="BG3996" s="744" t="str">
        <f t="shared" si="1397"/>
        <v/>
      </c>
      <c r="BH3996" s="744" t="str">
        <f>IF(G3996="","",IF(BF3996="Abu Dhabi",IF(G3996&lt;18,'General Basis'!$C$39,IF(G3996&lt;41,'General Basis'!$C$40,IF(G3996&lt;60,'General Basis'!$C$41,IF(G3996&lt;65,'General Basis'!$C$42,'General Basis'!$C$43)))),IF(G3996&lt;11,'General Basis'!$B$39,IF(G3996&lt;18,'General Basis'!$B$40,IF(G3996&lt;26,'General Basis'!$B$41,IF(G3996&lt;31,'General Basis'!$B$42,IF(G3996&lt;36,'General Basis'!$B$43,IF(G3996&lt;41,'General Basis'!$B$44,IF(G3996&lt;46,'General Basis'!$B$45,IF(G3996&lt;51,'General Basis'!$B$46,IF(G3996&lt;56,'General Basis'!$B$47,IF(G3996&lt;60,'General Basis'!$B$48,IF(G3996&lt;65,'General Basis'!$B$49,'General Basis'!$B$50)))))))))))))</f>
        <v/>
      </c>
      <c r="BI3996" s="744" t="str">
        <f t="shared" si="1391"/>
        <v/>
      </c>
      <c r="BJ3996" s="747" t="str">
        <f t="shared" si="1398"/>
        <v/>
      </c>
      <c r="BK3996" s="498" t="str">
        <f t="shared" si="1392"/>
        <v/>
      </c>
      <c r="BL3996" s="498" t="str">
        <f t="shared" si="1393"/>
        <v/>
      </c>
    </row>
    <row r="3997" spans="1:64" x14ac:dyDescent="0.25">
      <c r="A3997" s="762">
        <f t="shared" si="1394"/>
        <v>3992</v>
      </c>
      <c r="B3997" s="229"/>
      <c r="C3997" s="223"/>
      <c r="D3997" s="224"/>
      <c r="E3997" s="225"/>
      <c r="F3997" s="1036" t="str">
        <f t="shared" si="1400"/>
        <v/>
      </c>
      <c r="G3997" s="1037" t="str">
        <f t="shared" si="1395"/>
        <v/>
      </c>
      <c r="H3997" s="225"/>
      <c r="I3997" s="1013"/>
      <c r="J3997" s="1013"/>
      <c r="K3997" s="1028"/>
      <c r="L3997" s="1035" t="str">
        <f t="shared" si="1399"/>
        <v/>
      </c>
      <c r="S3997" s="498"/>
      <c r="AJ3997" s="498"/>
      <c r="AM3997" s="498">
        <f t="shared" si="1380"/>
        <v>0</v>
      </c>
      <c r="AN3997" s="498">
        <f t="shared" si="1381"/>
        <v>0</v>
      </c>
      <c r="AO3997" s="498">
        <f t="shared" si="1382"/>
        <v>0</v>
      </c>
      <c r="AP3997" s="498">
        <f t="shared" si="1401"/>
        <v>0</v>
      </c>
      <c r="AQ3997" s="498">
        <f t="shared" si="1396"/>
        <v>0</v>
      </c>
      <c r="AU3997" s="498">
        <f t="shared" si="1383"/>
        <v>0</v>
      </c>
      <c r="AV3997" s="498">
        <f t="shared" si="1384"/>
        <v>0</v>
      </c>
      <c r="AW3997" s="498">
        <f t="shared" si="1385"/>
        <v>0</v>
      </c>
      <c r="AX3997" s="498">
        <f t="shared" si="1386"/>
        <v>0</v>
      </c>
      <c r="AY3997" s="498">
        <f t="shared" si="1387"/>
        <v>0</v>
      </c>
      <c r="BB3997" s="498" t="str">
        <f t="shared" si="1388"/>
        <v/>
      </c>
      <c r="BC3997" s="743" t="str">
        <f t="shared" si="1389"/>
        <v/>
      </c>
      <c r="BD3997" s="743" t="str">
        <f t="shared" si="1390"/>
        <v/>
      </c>
      <c r="BE3997" s="743" t="str">
        <f>IF(D3997="","",VLOOKUP(D3997,'General Basis'!$J$39:$K$46,2,0))</f>
        <v/>
      </c>
      <c r="BF3997" s="744" t="str">
        <f>IF(D3997="","",VLOOKUP(D3997,'General Basis'!$J$39:$L$46,3,0))</f>
        <v/>
      </c>
      <c r="BG3997" s="744" t="str">
        <f t="shared" si="1397"/>
        <v/>
      </c>
      <c r="BH3997" s="744" t="str">
        <f>IF(G3997="","",IF(BF3997="Abu Dhabi",IF(G3997&lt;18,'General Basis'!$C$39,IF(G3997&lt;41,'General Basis'!$C$40,IF(G3997&lt;60,'General Basis'!$C$41,IF(G3997&lt;65,'General Basis'!$C$42,'General Basis'!$C$43)))),IF(G3997&lt;11,'General Basis'!$B$39,IF(G3997&lt;18,'General Basis'!$B$40,IF(G3997&lt;26,'General Basis'!$B$41,IF(G3997&lt;31,'General Basis'!$B$42,IF(G3997&lt;36,'General Basis'!$B$43,IF(G3997&lt;41,'General Basis'!$B$44,IF(G3997&lt;46,'General Basis'!$B$45,IF(G3997&lt;51,'General Basis'!$B$46,IF(G3997&lt;56,'General Basis'!$B$47,IF(G3997&lt;60,'General Basis'!$B$48,IF(G3997&lt;65,'General Basis'!$B$49,'General Basis'!$B$50)))))))))))))</f>
        <v/>
      </c>
      <c r="BI3997" s="744" t="str">
        <f t="shared" si="1391"/>
        <v/>
      </c>
      <c r="BJ3997" s="747" t="str">
        <f t="shared" si="1398"/>
        <v/>
      </c>
      <c r="BK3997" s="498" t="str">
        <f t="shared" si="1392"/>
        <v/>
      </c>
      <c r="BL3997" s="498" t="str">
        <f t="shared" si="1393"/>
        <v/>
      </c>
    </row>
    <row r="3998" spans="1:64" x14ac:dyDescent="0.25">
      <c r="A3998" s="762">
        <f t="shared" si="1394"/>
        <v>3993</v>
      </c>
      <c r="B3998" s="229"/>
      <c r="C3998" s="223"/>
      <c r="D3998" s="224"/>
      <c r="E3998" s="225"/>
      <c r="F3998" s="1036" t="str">
        <f t="shared" si="1400"/>
        <v/>
      </c>
      <c r="G3998" s="1037" t="str">
        <f t="shared" si="1395"/>
        <v/>
      </c>
      <c r="H3998" s="225"/>
      <c r="I3998" s="1013"/>
      <c r="J3998" s="1013"/>
      <c r="K3998" s="1028"/>
      <c r="L3998" s="1035" t="str">
        <f t="shared" si="1399"/>
        <v/>
      </c>
      <c r="S3998" s="498"/>
      <c r="AJ3998" s="498"/>
      <c r="AM3998" s="498">
        <f t="shared" si="1380"/>
        <v>0</v>
      </c>
      <c r="AN3998" s="498">
        <f t="shared" si="1381"/>
        <v>0</v>
      </c>
      <c r="AO3998" s="498">
        <f t="shared" si="1382"/>
        <v>0</v>
      </c>
      <c r="AP3998" s="498">
        <f t="shared" si="1401"/>
        <v>0</v>
      </c>
      <c r="AQ3998" s="498">
        <f t="shared" si="1396"/>
        <v>0</v>
      </c>
      <c r="AU3998" s="498">
        <f t="shared" si="1383"/>
        <v>0</v>
      </c>
      <c r="AV3998" s="498">
        <f t="shared" si="1384"/>
        <v>0</v>
      </c>
      <c r="AW3998" s="498">
        <f t="shared" si="1385"/>
        <v>0</v>
      </c>
      <c r="AX3998" s="498">
        <f t="shared" si="1386"/>
        <v>0</v>
      </c>
      <c r="AY3998" s="498">
        <f t="shared" si="1387"/>
        <v>0</v>
      </c>
      <c r="BB3998" s="498" t="str">
        <f t="shared" si="1388"/>
        <v/>
      </c>
      <c r="BC3998" s="743" t="str">
        <f t="shared" si="1389"/>
        <v/>
      </c>
      <c r="BD3998" s="743" t="str">
        <f t="shared" si="1390"/>
        <v/>
      </c>
      <c r="BE3998" s="743" t="str">
        <f>IF(D3998="","",VLOOKUP(D3998,'General Basis'!$J$39:$K$46,2,0))</f>
        <v/>
      </c>
      <c r="BF3998" s="744" t="str">
        <f>IF(D3998="","",VLOOKUP(D3998,'General Basis'!$J$39:$L$46,3,0))</f>
        <v/>
      </c>
      <c r="BG3998" s="744" t="str">
        <f t="shared" si="1397"/>
        <v/>
      </c>
      <c r="BH3998" s="744" t="str">
        <f>IF(G3998="","",IF(BF3998="Abu Dhabi",IF(G3998&lt;18,'General Basis'!$C$39,IF(G3998&lt;41,'General Basis'!$C$40,IF(G3998&lt;60,'General Basis'!$C$41,IF(G3998&lt;65,'General Basis'!$C$42,'General Basis'!$C$43)))),IF(G3998&lt;11,'General Basis'!$B$39,IF(G3998&lt;18,'General Basis'!$B$40,IF(G3998&lt;26,'General Basis'!$B$41,IF(G3998&lt;31,'General Basis'!$B$42,IF(G3998&lt;36,'General Basis'!$B$43,IF(G3998&lt;41,'General Basis'!$B$44,IF(G3998&lt;46,'General Basis'!$B$45,IF(G3998&lt;51,'General Basis'!$B$46,IF(G3998&lt;56,'General Basis'!$B$47,IF(G3998&lt;60,'General Basis'!$B$48,IF(G3998&lt;65,'General Basis'!$B$49,'General Basis'!$B$50)))))))))))))</f>
        <v/>
      </c>
      <c r="BI3998" s="744" t="str">
        <f t="shared" si="1391"/>
        <v/>
      </c>
      <c r="BJ3998" s="747" t="str">
        <f t="shared" si="1398"/>
        <v/>
      </c>
      <c r="BK3998" s="498" t="str">
        <f t="shared" si="1392"/>
        <v/>
      </c>
      <c r="BL3998" s="498" t="str">
        <f t="shared" si="1393"/>
        <v/>
      </c>
    </row>
    <row r="3999" spans="1:64" x14ac:dyDescent="0.25">
      <c r="A3999" s="762">
        <f t="shared" si="1394"/>
        <v>3994</v>
      </c>
      <c r="B3999" s="229"/>
      <c r="C3999" s="223"/>
      <c r="D3999" s="224"/>
      <c r="E3999" s="225"/>
      <c r="F3999" s="1036" t="str">
        <f t="shared" si="1400"/>
        <v/>
      </c>
      <c r="G3999" s="1037" t="str">
        <f t="shared" si="1395"/>
        <v/>
      </c>
      <c r="H3999" s="225"/>
      <c r="I3999" s="1013"/>
      <c r="J3999" s="1013"/>
      <c r="K3999" s="1028"/>
      <c r="L3999" s="1035" t="str">
        <f t="shared" si="1399"/>
        <v/>
      </c>
      <c r="S3999" s="498"/>
      <c r="AJ3999" s="498"/>
      <c r="AM3999" s="498">
        <f t="shared" si="1380"/>
        <v>0</v>
      </c>
      <c r="AN3999" s="498">
        <f t="shared" si="1381"/>
        <v>0</v>
      </c>
      <c r="AO3999" s="498">
        <f t="shared" si="1382"/>
        <v>0</v>
      </c>
      <c r="AP3999" s="498">
        <f t="shared" si="1401"/>
        <v>0</v>
      </c>
      <c r="AQ3999" s="498">
        <f t="shared" si="1396"/>
        <v>0</v>
      </c>
      <c r="AU3999" s="498">
        <f t="shared" si="1383"/>
        <v>0</v>
      </c>
      <c r="AV3999" s="498">
        <f t="shared" si="1384"/>
        <v>0</v>
      </c>
      <c r="AW3999" s="498">
        <f t="shared" si="1385"/>
        <v>0</v>
      </c>
      <c r="AX3999" s="498">
        <f t="shared" si="1386"/>
        <v>0</v>
      </c>
      <c r="AY3999" s="498">
        <f t="shared" si="1387"/>
        <v>0</v>
      </c>
      <c r="BB3999" s="498" t="str">
        <f t="shared" si="1388"/>
        <v/>
      </c>
      <c r="BC3999" s="743" t="str">
        <f t="shared" si="1389"/>
        <v/>
      </c>
      <c r="BD3999" s="743" t="str">
        <f t="shared" si="1390"/>
        <v/>
      </c>
      <c r="BE3999" s="743" t="str">
        <f>IF(D3999="","",VLOOKUP(D3999,'General Basis'!$J$39:$K$46,2,0))</f>
        <v/>
      </c>
      <c r="BF3999" s="744" t="str">
        <f>IF(D3999="","",VLOOKUP(D3999,'General Basis'!$J$39:$L$46,3,0))</f>
        <v/>
      </c>
      <c r="BG3999" s="744" t="str">
        <f t="shared" si="1397"/>
        <v/>
      </c>
      <c r="BH3999" s="744" t="str">
        <f>IF(G3999="","",IF(BF3999="Abu Dhabi",IF(G3999&lt;18,'General Basis'!$C$39,IF(G3999&lt;41,'General Basis'!$C$40,IF(G3999&lt;60,'General Basis'!$C$41,IF(G3999&lt;65,'General Basis'!$C$42,'General Basis'!$C$43)))),IF(G3999&lt;11,'General Basis'!$B$39,IF(G3999&lt;18,'General Basis'!$B$40,IF(G3999&lt;26,'General Basis'!$B$41,IF(G3999&lt;31,'General Basis'!$B$42,IF(G3999&lt;36,'General Basis'!$B$43,IF(G3999&lt;41,'General Basis'!$B$44,IF(G3999&lt;46,'General Basis'!$B$45,IF(G3999&lt;51,'General Basis'!$B$46,IF(G3999&lt;56,'General Basis'!$B$47,IF(G3999&lt;60,'General Basis'!$B$48,IF(G3999&lt;65,'General Basis'!$B$49,'General Basis'!$B$50)))))))))))))</f>
        <v/>
      </c>
      <c r="BI3999" s="744" t="str">
        <f t="shared" si="1391"/>
        <v/>
      </c>
      <c r="BJ3999" s="747" t="str">
        <f t="shared" si="1398"/>
        <v/>
      </c>
      <c r="BK3999" s="498" t="str">
        <f t="shared" si="1392"/>
        <v/>
      </c>
      <c r="BL3999" s="498" t="str">
        <f t="shared" si="1393"/>
        <v/>
      </c>
    </row>
    <row r="4000" spans="1:64" x14ac:dyDescent="0.25">
      <c r="A4000" s="762">
        <f t="shared" si="1394"/>
        <v>3995</v>
      </c>
      <c r="B4000" s="229"/>
      <c r="C4000" s="223"/>
      <c r="D4000" s="224"/>
      <c r="E4000" s="225"/>
      <c r="F4000" s="1036" t="str">
        <f t="shared" si="1400"/>
        <v/>
      </c>
      <c r="G4000" s="1037" t="str">
        <f t="shared" si="1395"/>
        <v/>
      </c>
      <c r="H4000" s="225"/>
      <c r="I4000" s="1013"/>
      <c r="J4000" s="1013"/>
      <c r="K4000" s="1028"/>
      <c r="L4000" s="1035" t="str">
        <f t="shared" si="1399"/>
        <v/>
      </c>
      <c r="S4000" s="498"/>
      <c r="AJ4000" s="498"/>
      <c r="AM4000" s="498">
        <f t="shared" si="1380"/>
        <v>0</v>
      </c>
      <c r="AN4000" s="498">
        <f t="shared" si="1381"/>
        <v>0</v>
      </c>
      <c r="AO4000" s="498">
        <f t="shared" si="1382"/>
        <v>0</v>
      </c>
      <c r="AP4000" s="498">
        <f t="shared" si="1401"/>
        <v>0</v>
      </c>
      <c r="AQ4000" s="498">
        <f t="shared" si="1396"/>
        <v>0</v>
      </c>
      <c r="AU4000" s="498">
        <f t="shared" si="1383"/>
        <v>0</v>
      </c>
      <c r="AV4000" s="498">
        <f t="shared" si="1384"/>
        <v>0</v>
      </c>
      <c r="AW4000" s="498">
        <f t="shared" si="1385"/>
        <v>0</v>
      </c>
      <c r="AX4000" s="498">
        <f t="shared" si="1386"/>
        <v>0</v>
      </c>
      <c r="AY4000" s="498">
        <f t="shared" si="1387"/>
        <v>0</v>
      </c>
      <c r="BB4000" s="498" t="str">
        <f t="shared" si="1388"/>
        <v/>
      </c>
      <c r="BC4000" s="743" t="str">
        <f t="shared" si="1389"/>
        <v/>
      </c>
      <c r="BD4000" s="743" t="str">
        <f t="shared" si="1390"/>
        <v/>
      </c>
      <c r="BE4000" s="743" t="str">
        <f>IF(D4000="","",VLOOKUP(D4000,'General Basis'!$J$39:$K$46,2,0))</f>
        <v/>
      </c>
      <c r="BF4000" s="744" t="str">
        <f>IF(D4000="","",VLOOKUP(D4000,'General Basis'!$J$39:$L$46,3,0))</f>
        <v/>
      </c>
      <c r="BG4000" s="744" t="str">
        <f t="shared" si="1397"/>
        <v/>
      </c>
      <c r="BH4000" s="744" t="str">
        <f>IF(G4000="","",IF(BF4000="Abu Dhabi",IF(G4000&lt;18,'General Basis'!$C$39,IF(G4000&lt;41,'General Basis'!$C$40,IF(G4000&lt;60,'General Basis'!$C$41,IF(G4000&lt;65,'General Basis'!$C$42,'General Basis'!$C$43)))),IF(G4000&lt;11,'General Basis'!$B$39,IF(G4000&lt;18,'General Basis'!$B$40,IF(G4000&lt;26,'General Basis'!$B$41,IF(G4000&lt;31,'General Basis'!$B$42,IF(G4000&lt;36,'General Basis'!$B$43,IF(G4000&lt;41,'General Basis'!$B$44,IF(G4000&lt;46,'General Basis'!$B$45,IF(G4000&lt;51,'General Basis'!$B$46,IF(G4000&lt;56,'General Basis'!$B$47,IF(G4000&lt;60,'General Basis'!$B$48,IF(G4000&lt;65,'General Basis'!$B$49,'General Basis'!$B$50)))))))))))))</f>
        <v/>
      </c>
      <c r="BI4000" s="744" t="str">
        <f t="shared" si="1391"/>
        <v/>
      </c>
      <c r="BJ4000" s="747" t="str">
        <f t="shared" si="1398"/>
        <v/>
      </c>
      <c r="BK4000" s="498" t="str">
        <f t="shared" si="1392"/>
        <v/>
      </c>
      <c r="BL4000" s="498" t="str">
        <f t="shared" si="1393"/>
        <v/>
      </c>
    </row>
    <row r="4001" spans="1:64" x14ac:dyDescent="0.25">
      <c r="A4001" s="762">
        <f t="shared" si="1394"/>
        <v>3996</v>
      </c>
      <c r="B4001" s="229"/>
      <c r="C4001" s="223"/>
      <c r="D4001" s="224"/>
      <c r="E4001" s="225"/>
      <c r="F4001" s="1036" t="str">
        <f t="shared" si="1400"/>
        <v/>
      </c>
      <c r="G4001" s="1037" t="str">
        <f t="shared" si="1395"/>
        <v/>
      </c>
      <c r="H4001" s="225"/>
      <c r="I4001" s="1013"/>
      <c r="J4001" s="1013"/>
      <c r="K4001" s="1028"/>
      <c r="L4001" s="1035" t="str">
        <f t="shared" si="1399"/>
        <v/>
      </c>
      <c r="S4001" s="498"/>
      <c r="AJ4001" s="498"/>
      <c r="AM4001" s="498">
        <f t="shared" si="1380"/>
        <v>0</v>
      </c>
      <c r="AN4001" s="498">
        <f t="shared" si="1381"/>
        <v>0</v>
      </c>
      <c r="AO4001" s="498">
        <f t="shared" si="1382"/>
        <v>0</v>
      </c>
      <c r="AP4001" s="498">
        <f t="shared" si="1401"/>
        <v>0</v>
      </c>
      <c r="AQ4001" s="498">
        <f t="shared" si="1396"/>
        <v>0</v>
      </c>
      <c r="AU4001" s="498">
        <f t="shared" si="1383"/>
        <v>0</v>
      </c>
      <c r="AV4001" s="498">
        <f t="shared" si="1384"/>
        <v>0</v>
      </c>
      <c r="AW4001" s="498">
        <f t="shared" si="1385"/>
        <v>0</v>
      </c>
      <c r="AX4001" s="498">
        <f t="shared" si="1386"/>
        <v>0</v>
      </c>
      <c r="AY4001" s="498">
        <f t="shared" si="1387"/>
        <v>0</v>
      </c>
      <c r="BB4001" s="498" t="str">
        <f t="shared" si="1388"/>
        <v/>
      </c>
      <c r="BC4001" s="743" t="str">
        <f t="shared" si="1389"/>
        <v/>
      </c>
      <c r="BD4001" s="743" t="str">
        <f t="shared" si="1390"/>
        <v/>
      </c>
      <c r="BE4001" s="743" t="str">
        <f>IF(D4001="","",VLOOKUP(D4001,'General Basis'!$J$39:$K$46,2,0))</f>
        <v/>
      </c>
      <c r="BF4001" s="744" t="str">
        <f>IF(D4001="","",VLOOKUP(D4001,'General Basis'!$J$39:$L$46,3,0))</f>
        <v/>
      </c>
      <c r="BG4001" s="744" t="str">
        <f t="shared" si="1397"/>
        <v/>
      </c>
      <c r="BH4001" s="744" t="str">
        <f>IF(G4001="","",IF(BF4001="Abu Dhabi",IF(G4001&lt;18,'General Basis'!$C$39,IF(G4001&lt;41,'General Basis'!$C$40,IF(G4001&lt;60,'General Basis'!$C$41,IF(G4001&lt;65,'General Basis'!$C$42,'General Basis'!$C$43)))),IF(G4001&lt;11,'General Basis'!$B$39,IF(G4001&lt;18,'General Basis'!$B$40,IF(G4001&lt;26,'General Basis'!$B$41,IF(G4001&lt;31,'General Basis'!$B$42,IF(G4001&lt;36,'General Basis'!$B$43,IF(G4001&lt;41,'General Basis'!$B$44,IF(G4001&lt;46,'General Basis'!$B$45,IF(G4001&lt;51,'General Basis'!$B$46,IF(G4001&lt;56,'General Basis'!$B$47,IF(G4001&lt;60,'General Basis'!$B$48,IF(G4001&lt;65,'General Basis'!$B$49,'General Basis'!$B$50)))))))))))))</f>
        <v/>
      </c>
      <c r="BI4001" s="744" t="str">
        <f t="shared" si="1391"/>
        <v/>
      </c>
      <c r="BJ4001" s="747" t="str">
        <f t="shared" si="1398"/>
        <v/>
      </c>
      <c r="BK4001" s="498" t="str">
        <f t="shared" si="1392"/>
        <v/>
      </c>
      <c r="BL4001" s="498" t="str">
        <f t="shared" si="1393"/>
        <v/>
      </c>
    </row>
    <row r="4002" spans="1:64" x14ac:dyDescent="0.25">
      <c r="A4002" s="762">
        <f t="shared" si="1394"/>
        <v>3997</v>
      </c>
      <c r="B4002" s="229"/>
      <c r="C4002" s="223"/>
      <c r="D4002" s="224"/>
      <c r="E4002" s="225"/>
      <c r="F4002" s="1036" t="str">
        <f t="shared" si="1400"/>
        <v/>
      </c>
      <c r="G4002" s="1037" t="str">
        <f t="shared" si="1395"/>
        <v/>
      </c>
      <c r="H4002" s="225"/>
      <c r="I4002" s="1013"/>
      <c r="J4002" s="1013"/>
      <c r="K4002" s="1028"/>
      <c r="L4002" s="1035" t="str">
        <f t="shared" si="1399"/>
        <v/>
      </c>
      <c r="S4002" s="498"/>
      <c r="AJ4002" s="498"/>
      <c r="AM4002" s="498">
        <f t="shared" si="1380"/>
        <v>0</v>
      </c>
      <c r="AN4002" s="498">
        <f t="shared" si="1381"/>
        <v>0</v>
      </c>
      <c r="AO4002" s="498">
        <f t="shared" si="1382"/>
        <v>0</v>
      </c>
      <c r="AP4002" s="498">
        <f t="shared" si="1401"/>
        <v>0</v>
      </c>
      <c r="AQ4002" s="498">
        <f t="shared" si="1396"/>
        <v>0</v>
      </c>
      <c r="AU4002" s="498">
        <f t="shared" si="1383"/>
        <v>0</v>
      </c>
      <c r="AV4002" s="498">
        <f t="shared" si="1384"/>
        <v>0</v>
      </c>
      <c r="AW4002" s="498">
        <f t="shared" si="1385"/>
        <v>0</v>
      </c>
      <c r="AX4002" s="498">
        <f t="shared" si="1386"/>
        <v>0</v>
      </c>
      <c r="AY4002" s="498">
        <f t="shared" si="1387"/>
        <v>0</v>
      </c>
      <c r="BB4002" s="498" t="str">
        <f t="shared" si="1388"/>
        <v/>
      </c>
      <c r="BC4002" s="743" t="str">
        <f t="shared" si="1389"/>
        <v/>
      </c>
      <c r="BD4002" s="743" t="str">
        <f t="shared" si="1390"/>
        <v/>
      </c>
      <c r="BE4002" s="743" t="str">
        <f>IF(D4002="","",VLOOKUP(D4002,'General Basis'!$J$39:$K$46,2,0))</f>
        <v/>
      </c>
      <c r="BF4002" s="744" t="str">
        <f>IF(D4002="","",VLOOKUP(D4002,'General Basis'!$J$39:$L$46,3,0))</f>
        <v/>
      </c>
      <c r="BG4002" s="744" t="str">
        <f t="shared" si="1397"/>
        <v/>
      </c>
      <c r="BH4002" s="744" t="str">
        <f>IF(G4002="","",IF(BF4002="Abu Dhabi",IF(G4002&lt;18,'General Basis'!$C$39,IF(G4002&lt;41,'General Basis'!$C$40,IF(G4002&lt;60,'General Basis'!$C$41,IF(G4002&lt;65,'General Basis'!$C$42,'General Basis'!$C$43)))),IF(G4002&lt;11,'General Basis'!$B$39,IF(G4002&lt;18,'General Basis'!$B$40,IF(G4002&lt;26,'General Basis'!$B$41,IF(G4002&lt;31,'General Basis'!$B$42,IF(G4002&lt;36,'General Basis'!$B$43,IF(G4002&lt;41,'General Basis'!$B$44,IF(G4002&lt;46,'General Basis'!$B$45,IF(G4002&lt;51,'General Basis'!$B$46,IF(G4002&lt;56,'General Basis'!$B$47,IF(G4002&lt;60,'General Basis'!$B$48,IF(G4002&lt;65,'General Basis'!$B$49,'General Basis'!$B$50)))))))))))))</f>
        <v/>
      </c>
      <c r="BI4002" s="744" t="str">
        <f t="shared" si="1391"/>
        <v/>
      </c>
      <c r="BJ4002" s="747" t="str">
        <f t="shared" si="1398"/>
        <v/>
      </c>
      <c r="BK4002" s="498" t="str">
        <f t="shared" si="1392"/>
        <v/>
      </c>
      <c r="BL4002" s="498" t="str">
        <f t="shared" si="1393"/>
        <v/>
      </c>
    </row>
    <row r="4003" spans="1:64" x14ac:dyDescent="0.25">
      <c r="A4003" s="762">
        <f t="shared" si="1394"/>
        <v>3998</v>
      </c>
      <c r="B4003" s="229"/>
      <c r="C4003" s="223"/>
      <c r="D4003" s="224"/>
      <c r="E4003" s="225"/>
      <c r="F4003" s="1036" t="str">
        <f t="shared" si="1400"/>
        <v/>
      </c>
      <c r="G4003" s="1037" t="str">
        <f t="shared" si="1395"/>
        <v/>
      </c>
      <c r="H4003" s="225"/>
      <c r="I4003" s="1013"/>
      <c r="J4003" s="1013"/>
      <c r="K4003" s="1028"/>
      <c r="L4003" s="1035" t="str">
        <f t="shared" si="1399"/>
        <v/>
      </c>
      <c r="S4003" s="498"/>
      <c r="AJ4003" s="498"/>
      <c r="AM4003" s="498">
        <f t="shared" si="1380"/>
        <v>0</v>
      </c>
      <c r="AN4003" s="498">
        <f t="shared" si="1381"/>
        <v>0</v>
      </c>
      <c r="AO4003" s="498">
        <f t="shared" si="1382"/>
        <v>0</v>
      </c>
      <c r="AP4003" s="498">
        <f t="shared" si="1401"/>
        <v>0</v>
      </c>
      <c r="AQ4003" s="498">
        <f t="shared" si="1396"/>
        <v>0</v>
      </c>
      <c r="AU4003" s="498">
        <f t="shared" si="1383"/>
        <v>0</v>
      </c>
      <c r="AV4003" s="498">
        <f t="shared" si="1384"/>
        <v>0</v>
      </c>
      <c r="AW4003" s="498">
        <f t="shared" si="1385"/>
        <v>0</v>
      </c>
      <c r="AX4003" s="498">
        <f t="shared" si="1386"/>
        <v>0</v>
      </c>
      <c r="AY4003" s="498">
        <f t="shared" si="1387"/>
        <v>0</v>
      </c>
      <c r="BB4003" s="498" t="str">
        <f t="shared" si="1388"/>
        <v/>
      </c>
      <c r="BC4003" s="743" t="str">
        <f t="shared" si="1389"/>
        <v/>
      </c>
      <c r="BD4003" s="743" t="str">
        <f t="shared" si="1390"/>
        <v/>
      </c>
      <c r="BE4003" s="743" t="str">
        <f>IF(D4003="","",VLOOKUP(D4003,'General Basis'!$J$39:$K$46,2,0))</f>
        <v/>
      </c>
      <c r="BF4003" s="744" t="str">
        <f>IF(D4003="","",VLOOKUP(D4003,'General Basis'!$J$39:$L$46,3,0))</f>
        <v/>
      </c>
      <c r="BG4003" s="744" t="str">
        <f t="shared" si="1397"/>
        <v/>
      </c>
      <c r="BH4003" s="744" t="str">
        <f>IF(G4003="","",IF(BF4003="Abu Dhabi",IF(G4003&lt;18,'General Basis'!$C$39,IF(G4003&lt;41,'General Basis'!$C$40,IF(G4003&lt;60,'General Basis'!$C$41,IF(G4003&lt;65,'General Basis'!$C$42,'General Basis'!$C$43)))),IF(G4003&lt;11,'General Basis'!$B$39,IF(G4003&lt;18,'General Basis'!$B$40,IF(G4003&lt;26,'General Basis'!$B$41,IF(G4003&lt;31,'General Basis'!$B$42,IF(G4003&lt;36,'General Basis'!$B$43,IF(G4003&lt;41,'General Basis'!$B$44,IF(G4003&lt;46,'General Basis'!$B$45,IF(G4003&lt;51,'General Basis'!$B$46,IF(G4003&lt;56,'General Basis'!$B$47,IF(G4003&lt;60,'General Basis'!$B$48,IF(G4003&lt;65,'General Basis'!$B$49,'General Basis'!$B$50)))))))))))))</f>
        <v/>
      </c>
      <c r="BI4003" s="744" t="str">
        <f t="shared" si="1391"/>
        <v/>
      </c>
      <c r="BJ4003" s="747" t="str">
        <f t="shared" si="1398"/>
        <v/>
      </c>
      <c r="BK4003" s="498" t="str">
        <f t="shared" si="1392"/>
        <v/>
      </c>
      <c r="BL4003" s="498" t="str">
        <f t="shared" si="1393"/>
        <v/>
      </c>
    </row>
    <row r="4004" spans="1:64" x14ac:dyDescent="0.25">
      <c r="A4004" s="762">
        <f t="shared" si="1394"/>
        <v>3999</v>
      </c>
      <c r="B4004" s="229"/>
      <c r="C4004" s="223"/>
      <c r="D4004" s="224"/>
      <c r="E4004" s="225"/>
      <c r="F4004" s="1036" t="str">
        <f t="shared" si="1400"/>
        <v/>
      </c>
      <c r="G4004" s="1037" t="str">
        <f t="shared" si="1395"/>
        <v/>
      </c>
      <c r="H4004" s="225"/>
      <c r="I4004" s="1013"/>
      <c r="J4004" s="1013"/>
      <c r="K4004" s="1028"/>
      <c r="L4004" s="1035" t="str">
        <f t="shared" si="1399"/>
        <v/>
      </c>
      <c r="S4004" s="498"/>
      <c r="AJ4004" s="498"/>
      <c r="AM4004" s="498">
        <f t="shared" si="1380"/>
        <v>0</v>
      </c>
      <c r="AN4004" s="498">
        <f t="shared" si="1381"/>
        <v>0</v>
      </c>
      <c r="AO4004" s="498">
        <f t="shared" si="1382"/>
        <v>0</v>
      </c>
      <c r="AP4004" s="498">
        <f t="shared" si="1401"/>
        <v>0</v>
      </c>
      <c r="AQ4004" s="498">
        <f t="shared" si="1396"/>
        <v>0</v>
      </c>
      <c r="AU4004" s="498">
        <f t="shared" si="1383"/>
        <v>0</v>
      </c>
      <c r="AV4004" s="498">
        <f t="shared" si="1384"/>
        <v>0</v>
      </c>
      <c r="AW4004" s="498">
        <f t="shared" si="1385"/>
        <v>0</v>
      </c>
      <c r="AX4004" s="498">
        <f t="shared" si="1386"/>
        <v>0</v>
      </c>
      <c r="AY4004" s="498">
        <f t="shared" si="1387"/>
        <v>0</v>
      </c>
      <c r="BB4004" s="498" t="str">
        <f t="shared" si="1388"/>
        <v/>
      </c>
      <c r="BC4004" s="743" t="str">
        <f t="shared" si="1389"/>
        <v/>
      </c>
      <c r="BD4004" s="743" t="str">
        <f t="shared" si="1390"/>
        <v/>
      </c>
      <c r="BE4004" s="743" t="str">
        <f>IF(D4004="","",VLOOKUP(D4004,'General Basis'!$J$39:$K$46,2,0))</f>
        <v/>
      </c>
      <c r="BF4004" s="744" t="str">
        <f>IF(D4004="","",VLOOKUP(D4004,'General Basis'!$J$39:$L$46,3,0))</f>
        <v/>
      </c>
      <c r="BG4004" s="744" t="str">
        <f t="shared" si="1397"/>
        <v/>
      </c>
      <c r="BH4004" s="744" t="str">
        <f>IF(G4004="","",IF(BF4004="Abu Dhabi",IF(G4004&lt;18,'General Basis'!$C$39,IF(G4004&lt;41,'General Basis'!$C$40,IF(G4004&lt;60,'General Basis'!$C$41,IF(G4004&lt;65,'General Basis'!$C$42,'General Basis'!$C$43)))),IF(G4004&lt;11,'General Basis'!$B$39,IF(G4004&lt;18,'General Basis'!$B$40,IF(G4004&lt;26,'General Basis'!$B$41,IF(G4004&lt;31,'General Basis'!$B$42,IF(G4004&lt;36,'General Basis'!$B$43,IF(G4004&lt;41,'General Basis'!$B$44,IF(G4004&lt;46,'General Basis'!$B$45,IF(G4004&lt;51,'General Basis'!$B$46,IF(G4004&lt;56,'General Basis'!$B$47,IF(G4004&lt;60,'General Basis'!$B$48,IF(G4004&lt;65,'General Basis'!$B$49,'General Basis'!$B$50)))))))))))))</f>
        <v/>
      </c>
      <c r="BI4004" s="744" t="str">
        <f t="shared" si="1391"/>
        <v/>
      </c>
      <c r="BJ4004" s="747" t="str">
        <f t="shared" si="1398"/>
        <v/>
      </c>
      <c r="BK4004" s="498" t="str">
        <f t="shared" si="1392"/>
        <v/>
      </c>
      <c r="BL4004" s="498" t="str">
        <f t="shared" si="1393"/>
        <v/>
      </c>
    </row>
    <row r="4005" spans="1:64" x14ac:dyDescent="0.25">
      <c r="A4005" s="762">
        <f t="shared" si="1394"/>
        <v>4000</v>
      </c>
      <c r="B4005" s="229"/>
      <c r="C4005" s="223"/>
      <c r="D4005" s="224"/>
      <c r="E4005" s="225"/>
      <c r="F4005" s="1036" t="str">
        <f t="shared" si="1400"/>
        <v/>
      </c>
      <c r="G4005" s="1037" t="str">
        <f t="shared" si="1395"/>
        <v/>
      </c>
      <c r="H4005" s="225"/>
      <c r="I4005" s="1013"/>
      <c r="J4005" s="1013"/>
      <c r="K4005" s="1028"/>
      <c r="L4005" s="1035" t="str">
        <f t="shared" si="1399"/>
        <v/>
      </c>
      <c r="S4005" s="498"/>
      <c r="AJ4005" s="498"/>
      <c r="AM4005" s="498">
        <f t="shared" si="1380"/>
        <v>0</v>
      </c>
      <c r="AN4005" s="498">
        <f t="shared" si="1381"/>
        <v>0</v>
      </c>
      <c r="AO4005" s="498">
        <f t="shared" si="1382"/>
        <v>0</v>
      </c>
      <c r="AP4005" s="498">
        <f t="shared" si="1401"/>
        <v>0</v>
      </c>
      <c r="AQ4005" s="498">
        <f t="shared" si="1396"/>
        <v>0</v>
      </c>
      <c r="AU4005" s="498">
        <f t="shared" si="1383"/>
        <v>0</v>
      </c>
      <c r="AV4005" s="498">
        <f t="shared" si="1384"/>
        <v>0</v>
      </c>
      <c r="AW4005" s="498">
        <f t="shared" si="1385"/>
        <v>0</v>
      </c>
      <c r="AX4005" s="498">
        <f t="shared" si="1386"/>
        <v>0</v>
      </c>
      <c r="AY4005" s="498">
        <f t="shared" si="1387"/>
        <v>0</v>
      </c>
      <c r="BB4005" s="498" t="str">
        <f t="shared" si="1388"/>
        <v/>
      </c>
      <c r="BC4005" s="743" t="str">
        <f t="shared" si="1389"/>
        <v/>
      </c>
      <c r="BD4005" s="743" t="str">
        <f t="shared" si="1390"/>
        <v/>
      </c>
      <c r="BE4005" s="743" t="str">
        <f>IF(D4005="","",VLOOKUP(D4005,'General Basis'!$J$39:$K$46,2,0))</f>
        <v/>
      </c>
      <c r="BF4005" s="744" t="str">
        <f>IF(D4005="","",VLOOKUP(D4005,'General Basis'!$J$39:$L$46,3,0))</f>
        <v/>
      </c>
      <c r="BG4005" s="744" t="str">
        <f t="shared" si="1397"/>
        <v/>
      </c>
      <c r="BH4005" s="744" t="str">
        <f>IF(G4005="","",IF(BF4005="Abu Dhabi",IF(G4005&lt;18,'General Basis'!$C$39,IF(G4005&lt;41,'General Basis'!$C$40,IF(G4005&lt;60,'General Basis'!$C$41,IF(G4005&lt;65,'General Basis'!$C$42,'General Basis'!$C$43)))),IF(G4005&lt;11,'General Basis'!$B$39,IF(G4005&lt;18,'General Basis'!$B$40,IF(G4005&lt;26,'General Basis'!$B$41,IF(G4005&lt;31,'General Basis'!$B$42,IF(G4005&lt;36,'General Basis'!$B$43,IF(G4005&lt;41,'General Basis'!$B$44,IF(G4005&lt;46,'General Basis'!$B$45,IF(G4005&lt;51,'General Basis'!$B$46,IF(G4005&lt;56,'General Basis'!$B$47,IF(G4005&lt;60,'General Basis'!$B$48,IF(G4005&lt;65,'General Basis'!$B$49,'General Basis'!$B$50)))))))))))))</f>
        <v/>
      </c>
      <c r="BI4005" s="744" t="str">
        <f t="shared" si="1391"/>
        <v/>
      </c>
      <c r="BJ4005" s="747" t="str">
        <f t="shared" si="1398"/>
        <v/>
      </c>
      <c r="BK4005" s="498" t="str">
        <f t="shared" si="1392"/>
        <v/>
      </c>
      <c r="BL4005" s="498" t="str">
        <f t="shared" si="1393"/>
        <v/>
      </c>
    </row>
    <row r="4006" spans="1:64" x14ac:dyDescent="0.25">
      <c r="A4006" s="762">
        <f t="shared" si="1394"/>
        <v>4001</v>
      </c>
      <c r="B4006" s="229"/>
      <c r="C4006" s="223"/>
      <c r="D4006" s="224"/>
      <c r="E4006" s="225"/>
      <c r="F4006" s="1036" t="str">
        <f t="shared" si="1400"/>
        <v/>
      </c>
      <c r="G4006" s="1037" t="str">
        <f t="shared" si="1395"/>
        <v/>
      </c>
      <c r="H4006" s="225"/>
      <c r="I4006" s="1013"/>
      <c r="J4006" s="1013"/>
      <c r="K4006" s="1028"/>
      <c r="L4006" s="1035" t="str">
        <f t="shared" si="1399"/>
        <v/>
      </c>
      <c r="S4006" s="498"/>
      <c r="AJ4006" s="498"/>
      <c r="AM4006" s="498">
        <f t="shared" si="1380"/>
        <v>0</v>
      </c>
      <c r="AN4006" s="498">
        <f t="shared" si="1381"/>
        <v>0</v>
      </c>
      <c r="AO4006" s="498">
        <f t="shared" si="1382"/>
        <v>0</v>
      </c>
      <c r="AP4006" s="498">
        <f t="shared" si="1401"/>
        <v>0</v>
      </c>
      <c r="AQ4006" s="498">
        <f t="shared" si="1396"/>
        <v>0</v>
      </c>
      <c r="AU4006" s="498">
        <f t="shared" si="1383"/>
        <v>0</v>
      </c>
      <c r="AV4006" s="498">
        <f t="shared" si="1384"/>
        <v>0</v>
      </c>
      <c r="AW4006" s="498">
        <f t="shared" si="1385"/>
        <v>0</v>
      </c>
      <c r="AX4006" s="498">
        <f t="shared" si="1386"/>
        <v>0</v>
      </c>
      <c r="AY4006" s="498">
        <f t="shared" si="1387"/>
        <v>0</v>
      </c>
      <c r="BB4006" s="498" t="str">
        <f t="shared" si="1388"/>
        <v/>
      </c>
      <c r="BC4006" s="743" t="str">
        <f t="shared" si="1389"/>
        <v/>
      </c>
      <c r="BD4006" s="743" t="str">
        <f t="shared" si="1390"/>
        <v/>
      </c>
      <c r="BE4006" s="743" t="str">
        <f>IF(D4006="","",VLOOKUP(D4006,'General Basis'!$J$39:$K$46,2,0))</f>
        <v/>
      </c>
      <c r="BF4006" s="744" t="str">
        <f>IF(D4006="","",VLOOKUP(D4006,'General Basis'!$J$39:$L$46,3,0))</f>
        <v/>
      </c>
      <c r="BG4006" s="744" t="str">
        <f t="shared" si="1397"/>
        <v/>
      </c>
      <c r="BH4006" s="744" t="str">
        <f>IF(G4006="","",IF(BF4006="Abu Dhabi",IF(G4006&lt;18,'General Basis'!$C$39,IF(G4006&lt;41,'General Basis'!$C$40,IF(G4006&lt;60,'General Basis'!$C$41,IF(G4006&lt;65,'General Basis'!$C$42,'General Basis'!$C$43)))),IF(G4006&lt;11,'General Basis'!$B$39,IF(G4006&lt;18,'General Basis'!$B$40,IF(G4006&lt;26,'General Basis'!$B$41,IF(G4006&lt;31,'General Basis'!$B$42,IF(G4006&lt;36,'General Basis'!$B$43,IF(G4006&lt;41,'General Basis'!$B$44,IF(G4006&lt;46,'General Basis'!$B$45,IF(G4006&lt;51,'General Basis'!$B$46,IF(G4006&lt;56,'General Basis'!$B$47,IF(G4006&lt;60,'General Basis'!$B$48,IF(G4006&lt;65,'General Basis'!$B$49,'General Basis'!$B$50)))))))))))))</f>
        <v/>
      </c>
      <c r="BI4006" s="744" t="str">
        <f t="shared" si="1391"/>
        <v/>
      </c>
      <c r="BJ4006" s="747" t="str">
        <f t="shared" si="1398"/>
        <v/>
      </c>
      <c r="BK4006" s="498" t="str">
        <f t="shared" si="1392"/>
        <v/>
      </c>
      <c r="BL4006" s="498" t="str">
        <f t="shared" si="1393"/>
        <v/>
      </c>
    </row>
    <row r="4007" spans="1:64" x14ac:dyDescent="0.25">
      <c r="A4007" s="762">
        <f t="shared" si="1394"/>
        <v>4002</v>
      </c>
      <c r="B4007" s="229"/>
      <c r="C4007" s="223"/>
      <c r="D4007" s="224"/>
      <c r="E4007" s="225"/>
      <c r="F4007" s="1036" t="str">
        <f t="shared" si="1400"/>
        <v/>
      </c>
      <c r="G4007" s="1037" t="str">
        <f t="shared" si="1395"/>
        <v/>
      </c>
      <c r="H4007" s="225"/>
      <c r="I4007" s="1013"/>
      <c r="J4007" s="1013"/>
      <c r="K4007" s="1028"/>
      <c r="L4007" s="1035" t="str">
        <f t="shared" si="1399"/>
        <v/>
      </c>
      <c r="S4007" s="498"/>
      <c r="AJ4007" s="498"/>
      <c r="AM4007" s="498">
        <f t="shared" si="1380"/>
        <v>0</v>
      </c>
      <c r="AN4007" s="498">
        <f t="shared" si="1381"/>
        <v>0</v>
      </c>
      <c r="AO4007" s="498">
        <f t="shared" si="1382"/>
        <v>0</v>
      </c>
      <c r="AP4007" s="498">
        <f t="shared" si="1401"/>
        <v>0</v>
      </c>
      <c r="AQ4007" s="498">
        <f t="shared" si="1396"/>
        <v>0</v>
      </c>
      <c r="AU4007" s="498">
        <f t="shared" si="1383"/>
        <v>0</v>
      </c>
      <c r="AV4007" s="498">
        <f t="shared" si="1384"/>
        <v>0</v>
      </c>
      <c r="AW4007" s="498">
        <f t="shared" si="1385"/>
        <v>0</v>
      </c>
      <c r="AX4007" s="498">
        <f t="shared" si="1386"/>
        <v>0</v>
      </c>
      <c r="AY4007" s="498">
        <f t="shared" si="1387"/>
        <v>0</v>
      </c>
      <c r="BB4007" s="498" t="str">
        <f t="shared" si="1388"/>
        <v/>
      </c>
      <c r="BC4007" s="743" t="str">
        <f t="shared" si="1389"/>
        <v/>
      </c>
      <c r="BD4007" s="743" t="str">
        <f t="shared" si="1390"/>
        <v/>
      </c>
      <c r="BE4007" s="743" t="str">
        <f>IF(D4007="","",VLOOKUP(D4007,'General Basis'!$J$39:$K$46,2,0))</f>
        <v/>
      </c>
      <c r="BF4007" s="744" t="str">
        <f>IF(D4007="","",VLOOKUP(D4007,'General Basis'!$J$39:$L$46,3,0))</f>
        <v/>
      </c>
      <c r="BG4007" s="744" t="str">
        <f t="shared" si="1397"/>
        <v/>
      </c>
      <c r="BH4007" s="744" t="str">
        <f>IF(G4007="","",IF(BF4007="Abu Dhabi",IF(G4007&lt;18,'General Basis'!$C$39,IF(G4007&lt;41,'General Basis'!$C$40,IF(G4007&lt;60,'General Basis'!$C$41,IF(G4007&lt;65,'General Basis'!$C$42,'General Basis'!$C$43)))),IF(G4007&lt;11,'General Basis'!$B$39,IF(G4007&lt;18,'General Basis'!$B$40,IF(G4007&lt;26,'General Basis'!$B$41,IF(G4007&lt;31,'General Basis'!$B$42,IF(G4007&lt;36,'General Basis'!$B$43,IF(G4007&lt;41,'General Basis'!$B$44,IF(G4007&lt;46,'General Basis'!$B$45,IF(G4007&lt;51,'General Basis'!$B$46,IF(G4007&lt;56,'General Basis'!$B$47,IF(G4007&lt;60,'General Basis'!$B$48,IF(G4007&lt;65,'General Basis'!$B$49,'General Basis'!$B$50)))))))))))))</f>
        <v/>
      </c>
      <c r="BI4007" s="744" t="str">
        <f t="shared" si="1391"/>
        <v/>
      </c>
      <c r="BJ4007" s="747" t="str">
        <f t="shared" si="1398"/>
        <v/>
      </c>
      <c r="BK4007" s="498" t="str">
        <f t="shared" si="1392"/>
        <v/>
      </c>
      <c r="BL4007" s="498" t="str">
        <f t="shared" si="1393"/>
        <v/>
      </c>
    </row>
    <row r="4008" spans="1:64" x14ac:dyDescent="0.25">
      <c r="A4008" s="762">
        <f t="shared" si="1394"/>
        <v>4003</v>
      </c>
      <c r="B4008" s="229"/>
      <c r="C4008" s="223"/>
      <c r="D4008" s="224"/>
      <c r="E4008" s="225"/>
      <c r="F4008" s="1036" t="str">
        <f t="shared" si="1400"/>
        <v/>
      </c>
      <c r="G4008" s="1037" t="str">
        <f t="shared" si="1395"/>
        <v/>
      </c>
      <c r="H4008" s="225"/>
      <c r="I4008" s="1013"/>
      <c r="J4008" s="1013"/>
      <c r="K4008" s="1028"/>
      <c r="L4008" s="1035" t="str">
        <f t="shared" si="1399"/>
        <v/>
      </c>
      <c r="S4008" s="498"/>
      <c r="AJ4008" s="498"/>
      <c r="AM4008" s="498">
        <f t="shared" si="1380"/>
        <v>0</v>
      </c>
      <c r="AN4008" s="498">
        <f t="shared" si="1381"/>
        <v>0</v>
      </c>
      <c r="AO4008" s="498">
        <f t="shared" si="1382"/>
        <v>0</v>
      </c>
      <c r="AP4008" s="498">
        <f t="shared" si="1401"/>
        <v>0</v>
      </c>
      <c r="AQ4008" s="498">
        <f t="shared" si="1396"/>
        <v>0</v>
      </c>
      <c r="AU4008" s="498">
        <f t="shared" si="1383"/>
        <v>0</v>
      </c>
      <c r="AV4008" s="498">
        <f t="shared" si="1384"/>
        <v>0</v>
      </c>
      <c r="AW4008" s="498">
        <f t="shared" si="1385"/>
        <v>0</v>
      </c>
      <c r="AX4008" s="498">
        <f t="shared" si="1386"/>
        <v>0</v>
      </c>
      <c r="AY4008" s="498">
        <f t="shared" si="1387"/>
        <v>0</v>
      </c>
      <c r="BB4008" s="498" t="str">
        <f t="shared" si="1388"/>
        <v/>
      </c>
      <c r="BC4008" s="743" t="str">
        <f t="shared" si="1389"/>
        <v/>
      </c>
      <c r="BD4008" s="743" t="str">
        <f t="shared" si="1390"/>
        <v/>
      </c>
      <c r="BE4008" s="743" t="str">
        <f>IF(D4008="","",VLOOKUP(D4008,'General Basis'!$J$39:$K$46,2,0))</f>
        <v/>
      </c>
      <c r="BF4008" s="744" t="str">
        <f>IF(D4008="","",VLOOKUP(D4008,'General Basis'!$J$39:$L$46,3,0))</f>
        <v/>
      </c>
      <c r="BG4008" s="744" t="str">
        <f t="shared" si="1397"/>
        <v/>
      </c>
      <c r="BH4008" s="744" t="str">
        <f>IF(G4008="","",IF(BF4008="Abu Dhabi",IF(G4008&lt;18,'General Basis'!$C$39,IF(G4008&lt;41,'General Basis'!$C$40,IF(G4008&lt;60,'General Basis'!$C$41,IF(G4008&lt;65,'General Basis'!$C$42,'General Basis'!$C$43)))),IF(G4008&lt;11,'General Basis'!$B$39,IF(G4008&lt;18,'General Basis'!$B$40,IF(G4008&lt;26,'General Basis'!$B$41,IF(G4008&lt;31,'General Basis'!$B$42,IF(G4008&lt;36,'General Basis'!$B$43,IF(G4008&lt;41,'General Basis'!$B$44,IF(G4008&lt;46,'General Basis'!$B$45,IF(G4008&lt;51,'General Basis'!$B$46,IF(G4008&lt;56,'General Basis'!$B$47,IF(G4008&lt;60,'General Basis'!$B$48,IF(G4008&lt;65,'General Basis'!$B$49,'General Basis'!$B$50)))))))))))))</f>
        <v/>
      </c>
      <c r="BI4008" s="744" t="str">
        <f t="shared" si="1391"/>
        <v/>
      </c>
      <c r="BJ4008" s="747" t="str">
        <f t="shared" si="1398"/>
        <v/>
      </c>
      <c r="BK4008" s="498" t="str">
        <f t="shared" si="1392"/>
        <v/>
      </c>
      <c r="BL4008" s="498" t="str">
        <f t="shared" si="1393"/>
        <v/>
      </c>
    </row>
    <row r="4009" spans="1:64" x14ac:dyDescent="0.25">
      <c r="A4009" s="762">
        <f t="shared" si="1394"/>
        <v>4004</v>
      </c>
      <c r="B4009" s="229"/>
      <c r="C4009" s="223"/>
      <c r="D4009" s="224"/>
      <c r="E4009" s="225"/>
      <c r="F4009" s="1036" t="str">
        <f t="shared" si="1400"/>
        <v/>
      </c>
      <c r="G4009" s="1037" t="str">
        <f t="shared" si="1395"/>
        <v/>
      </c>
      <c r="H4009" s="225"/>
      <c r="I4009" s="1013"/>
      <c r="J4009" s="1013"/>
      <c r="K4009" s="1028"/>
      <c r="L4009" s="1035" t="str">
        <f t="shared" si="1399"/>
        <v/>
      </c>
      <c r="S4009" s="498"/>
      <c r="AJ4009" s="498"/>
      <c r="AM4009" s="498">
        <f t="shared" si="1380"/>
        <v>0</v>
      </c>
      <c r="AN4009" s="498">
        <f t="shared" si="1381"/>
        <v>0</v>
      </c>
      <c r="AO4009" s="498">
        <f t="shared" si="1382"/>
        <v>0</v>
      </c>
      <c r="AP4009" s="498">
        <f t="shared" si="1401"/>
        <v>0</v>
      </c>
      <c r="AQ4009" s="498">
        <f t="shared" si="1396"/>
        <v>0</v>
      </c>
      <c r="AU4009" s="498">
        <f t="shared" si="1383"/>
        <v>0</v>
      </c>
      <c r="AV4009" s="498">
        <f t="shared" si="1384"/>
        <v>0</v>
      </c>
      <c r="AW4009" s="498">
        <f t="shared" si="1385"/>
        <v>0</v>
      </c>
      <c r="AX4009" s="498">
        <f t="shared" si="1386"/>
        <v>0</v>
      </c>
      <c r="AY4009" s="498">
        <f t="shared" si="1387"/>
        <v>0</v>
      </c>
      <c r="BB4009" s="498" t="str">
        <f t="shared" si="1388"/>
        <v/>
      </c>
      <c r="BC4009" s="743" t="str">
        <f t="shared" si="1389"/>
        <v/>
      </c>
      <c r="BD4009" s="743" t="str">
        <f t="shared" si="1390"/>
        <v/>
      </c>
      <c r="BE4009" s="743" t="str">
        <f>IF(D4009="","",VLOOKUP(D4009,'General Basis'!$J$39:$K$46,2,0))</f>
        <v/>
      </c>
      <c r="BF4009" s="744" t="str">
        <f>IF(D4009="","",VLOOKUP(D4009,'General Basis'!$J$39:$L$46,3,0))</f>
        <v/>
      </c>
      <c r="BG4009" s="744" t="str">
        <f t="shared" si="1397"/>
        <v/>
      </c>
      <c r="BH4009" s="744" t="str">
        <f>IF(G4009="","",IF(BF4009="Abu Dhabi",IF(G4009&lt;18,'General Basis'!$C$39,IF(G4009&lt;41,'General Basis'!$C$40,IF(G4009&lt;60,'General Basis'!$C$41,IF(G4009&lt;65,'General Basis'!$C$42,'General Basis'!$C$43)))),IF(G4009&lt;11,'General Basis'!$B$39,IF(G4009&lt;18,'General Basis'!$B$40,IF(G4009&lt;26,'General Basis'!$B$41,IF(G4009&lt;31,'General Basis'!$B$42,IF(G4009&lt;36,'General Basis'!$B$43,IF(G4009&lt;41,'General Basis'!$B$44,IF(G4009&lt;46,'General Basis'!$B$45,IF(G4009&lt;51,'General Basis'!$B$46,IF(G4009&lt;56,'General Basis'!$B$47,IF(G4009&lt;60,'General Basis'!$B$48,IF(G4009&lt;65,'General Basis'!$B$49,'General Basis'!$B$50)))))))))))))</f>
        <v/>
      </c>
      <c r="BI4009" s="744" t="str">
        <f t="shared" si="1391"/>
        <v/>
      </c>
      <c r="BJ4009" s="747" t="str">
        <f t="shared" si="1398"/>
        <v/>
      </c>
      <c r="BK4009" s="498" t="str">
        <f t="shared" si="1392"/>
        <v/>
      </c>
      <c r="BL4009" s="498" t="str">
        <f t="shared" si="1393"/>
        <v/>
      </c>
    </row>
    <row r="4010" spans="1:64" x14ac:dyDescent="0.25">
      <c r="A4010" s="762">
        <f t="shared" si="1394"/>
        <v>4005</v>
      </c>
      <c r="B4010" s="229"/>
      <c r="C4010" s="223"/>
      <c r="D4010" s="224"/>
      <c r="E4010" s="225"/>
      <c r="F4010" s="1036" t="str">
        <f t="shared" si="1400"/>
        <v/>
      </c>
      <c r="G4010" s="1037" t="str">
        <f t="shared" si="1395"/>
        <v/>
      </c>
      <c r="H4010" s="225"/>
      <c r="I4010" s="1013"/>
      <c r="J4010" s="1013"/>
      <c r="K4010" s="1028"/>
      <c r="L4010" s="1035" t="str">
        <f t="shared" si="1399"/>
        <v/>
      </c>
      <c r="S4010" s="498"/>
      <c r="AJ4010" s="498"/>
      <c r="AM4010" s="498">
        <f t="shared" si="1380"/>
        <v>0</v>
      </c>
      <c r="AN4010" s="498">
        <f t="shared" si="1381"/>
        <v>0</v>
      </c>
      <c r="AO4010" s="498">
        <f t="shared" si="1382"/>
        <v>0</v>
      </c>
      <c r="AP4010" s="498">
        <f t="shared" si="1401"/>
        <v>0</v>
      </c>
      <c r="AQ4010" s="498">
        <f t="shared" si="1396"/>
        <v>0</v>
      </c>
      <c r="AU4010" s="498">
        <f t="shared" si="1383"/>
        <v>0</v>
      </c>
      <c r="AV4010" s="498">
        <f t="shared" si="1384"/>
        <v>0</v>
      </c>
      <c r="AW4010" s="498">
        <f t="shared" si="1385"/>
        <v>0</v>
      </c>
      <c r="AX4010" s="498">
        <f t="shared" si="1386"/>
        <v>0</v>
      </c>
      <c r="AY4010" s="498">
        <f t="shared" si="1387"/>
        <v>0</v>
      </c>
      <c r="BB4010" s="498" t="str">
        <f t="shared" si="1388"/>
        <v/>
      </c>
      <c r="BC4010" s="743" t="str">
        <f t="shared" si="1389"/>
        <v/>
      </c>
      <c r="BD4010" s="743" t="str">
        <f t="shared" si="1390"/>
        <v/>
      </c>
      <c r="BE4010" s="743" t="str">
        <f>IF(D4010="","",VLOOKUP(D4010,'General Basis'!$J$39:$K$46,2,0))</f>
        <v/>
      </c>
      <c r="BF4010" s="744" t="str">
        <f>IF(D4010="","",VLOOKUP(D4010,'General Basis'!$J$39:$L$46,3,0))</f>
        <v/>
      </c>
      <c r="BG4010" s="744" t="str">
        <f t="shared" si="1397"/>
        <v/>
      </c>
      <c r="BH4010" s="744" t="str">
        <f>IF(G4010="","",IF(BF4010="Abu Dhabi",IF(G4010&lt;18,'General Basis'!$C$39,IF(G4010&lt;41,'General Basis'!$C$40,IF(G4010&lt;60,'General Basis'!$C$41,IF(G4010&lt;65,'General Basis'!$C$42,'General Basis'!$C$43)))),IF(G4010&lt;11,'General Basis'!$B$39,IF(G4010&lt;18,'General Basis'!$B$40,IF(G4010&lt;26,'General Basis'!$B$41,IF(G4010&lt;31,'General Basis'!$B$42,IF(G4010&lt;36,'General Basis'!$B$43,IF(G4010&lt;41,'General Basis'!$B$44,IF(G4010&lt;46,'General Basis'!$B$45,IF(G4010&lt;51,'General Basis'!$B$46,IF(G4010&lt;56,'General Basis'!$B$47,IF(G4010&lt;60,'General Basis'!$B$48,IF(G4010&lt;65,'General Basis'!$B$49,'General Basis'!$B$50)))))))))))))</f>
        <v/>
      </c>
      <c r="BI4010" s="744" t="str">
        <f t="shared" si="1391"/>
        <v/>
      </c>
      <c r="BJ4010" s="747" t="str">
        <f t="shared" si="1398"/>
        <v/>
      </c>
      <c r="BK4010" s="498" t="str">
        <f t="shared" si="1392"/>
        <v/>
      </c>
      <c r="BL4010" s="498" t="str">
        <f t="shared" si="1393"/>
        <v/>
      </c>
    </row>
    <row r="4011" spans="1:64" x14ac:dyDescent="0.25">
      <c r="A4011" s="762">
        <f t="shared" si="1394"/>
        <v>4006</v>
      </c>
      <c r="B4011" s="229"/>
      <c r="C4011" s="223"/>
      <c r="D4011" s="224"/>
      <c r="E4011" s="225"/>
      <c r="F4011" s="1036" t="str">
        <f t="shared" si="1400"/>
        <v/>
      </c>
      <c r="G4011" s="1037" t="str">
        <f t="shared" si="1395"/>
        <v/>
      </c>
      <c r="H4011" s="225"/>
      <c r="I4011" s="1013"/>
      <c r="J4011" s="1013"/>
      <c r="K4011" s="1028"/>
      <c r="L4011" s="1035" t="str">
        <f t="shared" si="1399"/>
        <v/>
      </c>
      <c r="S4011" s="498"/>
      <c r="AJ4011" s="498"/>
      <c r="AM4011" s="498">
        <f t="shared" si="1380"/>
        <v>0</v>
      </c>
      <c r="AN4011" s="498">
        <f t="shared" si="1381"/>
        <v>0</v>
      </c>
      <c r="AO4011" s="498">
        <f t="shared" si="1382"/>
        <v>0</v>
      </c>
      <c r="AP4011" s="498">
        <f t="shared" si="1401"/>
        <v>0</v>
      </c>
      <c r="AQ4011" s="498">
        <f t="shared" si="1396"/>
        <v>0</v>
      </c>
      <c r="AU4011" s="498">
        <f t="shared" si="1383"/>
        <v>0</v>
      </c>
      <c r="AV4011" s="498">
        <f t="shared" si="1384"/>
        <v>0</v>
      </c>
      <c r="AW4011" s="498">
        <f t="shared" si="1385"/>
        <v>0</v>
      </c>
      <c r="AX4011" s="498">
        <f t="shared" si="1386"/>
        <v>0</v>
      </c>
      <c r="AY4011" s="498">
        <f t="shared" si="1387"/>
        <v>0</v>
      </c>
      <c r="BB4011" s="498" t="str">
        <f t="shared" si="1388"/>
        <v/>
      </c>
      <c r="BC4011" s="743" t="str">
        <f t="shared" si="1389"/>
        <v/>
      </c>
      <c r="BD4011" s="743" t="str">
        <f t="shared" si="1390"/>
        <v/>
      </c>
      <c r="BE4011" s="743" t="str">
        <f>IF(D4011="","",VLOOKUP(D4011,'General Basis'!$J$39:$K$46,2,0))</f>
        <v/>
      </c>
      <c r="BF4011" s="744" t="str">
        <f>IF(D4011="","",VLOOKUP(D4011,'General Basis'!$J$39:$L$46,3,0))</f>
        <v/>
      </c>
      <c r="BG4011" s="744" t="str">
        <f t="shared" si="1397"/>
        <v/>
      </c>
      <c r="BH4011" s="744" t="str">
        <f>IF(G4011="","",IF(BF4011="Abu Dhabi",IF(G4011&lt;18,'General Basis'!$C$39,IF(G4011&lt;41,'General Basis'!$C$40,IF(G4011&lt;60,'General Basis'!$C$41,IF(G4011&lt;65,'General Basis'!$C$42,'General Basis'!$C$43)))),IF(G4011&lt;11,'General Basis'!$B$39,IF(G4011&lt;18,'General Basis'!$B$40,IF(G4011&lt;26,'General Basis'!$B$41,IF(G4011&lt;31,'General Basis'!$B$42,IF(G4011&lt;36,'General Basis'!$B$43,IF(G4011&lt;41,'General Basis'!$B$44,IF(G4011&lt;46,'General Basis'!$B$45,IF(G4011&lt;51,'General Basis'!$B$46,IF(G4011&lt;56,'General Basis'!$B$47,IF(G4011&lt;60,'General Basis'!$B$48,IF(G4011&lt;65,'General Basis'!$B$49,'General Basis'!$B$50)))))))))))))</f>
        <v/>
      </c>
      <c r="BI4011" s="744" t="str">
        <f t="shared" si="1391"/>
        <v/>
      </c>
      <c r="BJ4011" s="747" t="str">
        <f t="shared" si="1398"/>
        <v/>
      </c>
      <c r="BK4011" s="498" t="str">
        <f t="shared" si="1392"/>
        <v/>
      </c>
      <c r="BL4011" s="498" t="str">
        <f t="shared" si="1393"/>
        <v/>
      </c>
    </row>
    <row r="4012" spans="1:64" x14ac:dyDescent="0.25">
      <c r="A4012" s="762">
        <f t="shared" si="1394"/>
        <v>4007</v>
      </c>
      <c r="B4012" s="229"/>
      <c r="C4012" s="223"/>
      <c r="D4012" s="224"/>
      <c r="E4012" s="225"/>
      <c r="F4012" s="1036" t="str">
        <f t="shared" si="1400"/>
        <v/>
      </c>
      <c r="G4012" s="1037" t="str">
        <f t="shared" si="1395"/>
        <v/>
      </c>
      <c r="H4012" s="225"/>
      <c r="I4012" s="1013"/>
      <c r="J4012" s="1013"/>
      <c r="K4012" s="1028"/>
      <c r="L4012" s="1035" t="str">
        <f t="shared" si="1399"/>
        <v/>
      </c>
      <c r="S4012" s="498"/>
      <c r="AJ4012" s="498"/>
      <c r="AM4012" s="498">
        <f t="shared" si="1380"/>
        <v>0</v>
      </c>
      <c r="AN4012" s="498">
        <f t="shared" si="1381"/>
        <v>0</v>
      </c>
      <c r="AO4012" s="498">
        <f t="shared" si="1382"/>
        <v>0</v>
      </c>
      <c r="AP4012" s="498">
        <f t="shared" si="1401"/>
        <v>0</v>
      </c>
      <c r="AQ4012" s="498">
        <f t="shared" si="1396"/>
        <v>0</v>
      </c>
      <c r="AU4012" s="498">
        <f t="shared" si="1383"/>
        <v>0</v>
      </c>
      <c r="AV4012" s="498">
        <f t="shared" si="1384"/>
        <v>0</v>
      </c>
      <c r="AW4012" s="498">
        <f t="shared" si="1385"/>
        <v>0</v>
      </c>
      <c r="AX4012" s="498">
        <f t="shared" si="1386"/>
        <v>0</v>
      </c>
      <c r="AY4012" s="498">
        <f t="shared" si="1387"/>
        <v>0</v>
      </c>
      <c r="BB4012" s="498" t="str">
        <f t="shared" si="1388"/>
        <v/>
      </c>
      <c r="BC4012" s="743" t="str">
        <f t="shared" si="1389"/>
        <v/>
      </c>
      <c r="BD4012" s="743" t="str">
        <f t="shared" si="1390"/>
        <v/>
      </c>
      <c r="BE4012" s="743" t="str">
        <f>IF(D4012="","",VLOOKUP(D4012,'General Basis'!$J$39:$K$46,2,0))</f>
        <v/>
      </c>
      <c r="BF4012" s="744" t="str">
        <f>IF(D4012="","",VLOOKUP(D4012,'General Basis'!$J$39:$L$46,3,0))</f>
        <v/>
      </c>
      <c r="BG4012" s="744" t="str">
        <f t="shared" si="1397"/>
        <v/>
      </c>
      <c r="BH4012" s="744" t="str">
        <f>IF(G4012="","",IF(BF4012="Abu Dhabi",IF(G4012&lt;18,'General Basis'!$C$39,IF(G4012&lt;41,'General Basis'!$C$40,IF(G4012&lt;60,'General Basis'!$C$41,IF(G4012&lt;65,'General Basis'!$C$42,'General Basis'!$C$43)))),IF(G4012&lt;11,'General Basis'!$B$39,IF(G4012&lt;18,'General Basis'!$B$40,IF(G4012&lt;26,'General Basis'!$B$41,IF(G4012&lt;31,'General Basis'!$B$42,IF(G4012&lt;36,'General Basis'!$B$43,IF(G4012&lt;41,'General Basis'!$B$44,IF(G4012&lt;46,'General Basis'!$B$45,IF(G4012&lt;51,'General Basis'!$B$46,IF(G4012&lt;56,'General Basis'!$B$47,IF(G4012&lt;60,'General Basis'!$B$48,IF(G4012&lt;65,'General Basis'!$B$49,'General Basis'!$B$50)))))))))))))</f>
        <v/>
      </c>
      <c r="BI4012" s="744" t="str">
        <f t="shared" si="1391"/>
        <v/>
      </c>
      <c r="BJ4012" s="747" t="str">
        <f t="shared" si="1398"/>
        <v/>
      </c>
      <c r="BK4012" s="498" t="str">
        <f t="shared" si="1392"/>
        <v/>
      </c>
      <c r="BL4012" s="498" t="str">
        <f t="shared" si="1393"/>
        <v/>
      </c>
    </row>
    <row r="4013" spans="1:64" x14ac:dyDescent="0.25">
      <c r="A4013" s="762">
        <f t="shared" si="1394"/>
        <v>4008</v>
      </c>
      <c r="B4013" s="229"/>
      <c r="C4013" s="223"/>
      <c r="D4013" s="224"/>
      <c r="E4013" s="225"/>
      <c r="F4013" s="1036" t="str">
        <f t="shared" si="1400"/>
        <v/>
      </c>
      <c r="G4013" s="1037" t="str">
        <f t="shared" si="1395"/>
        <v/>
      </c>
      <c r="H4013" s="225"/>
      <c r="I4013" s="1013"/>
      <c r="J4013" s="1013"/>
      <c r="K4013" s="1028"/>
      <c r="L4013" s="1035" t="str">
        <f t="shared" si="1399"/>
        <v/>
      </c>
      <c r="S4013" s="498"/>
      <c r="AJ4013" s="498"/>
      <c r="AM4013" s="498">
        <f t="shared" si="1380"/>
        <v>0</v>
      </c>
      <c r="AN4013" s="498">
        <f t="shared" si="1381"/>
        <v>0</v>
      </c>
      <c r="AO4013" s="498">
        <f t="shared" si="1382"/>
        <v>0</v>
      </c>
      <c r="AP4013" s="498">
        <f t="shared" si="1401"/>
        <v>0</v>
      </c>
      <c r="AQ4013" s="498">
        <f t="shared" si="1396"/>
        <v>0</v>
      </c>
      <c r="AU4013" s="498">
        <f t="shared" si="1383"/>
        <v>0</v>
      </c>
      <c r="AV4013" s="498">
        <f t="shared" si="1384"/>
        <v>0</v>
      </c>
      <c r="AW4013" s="498">
        <f t="shared" si="1385"/>
        <v>0</v>
      </c>
      <c r="AX4013" s="498">
        <f t="shared" si="1386"/>
        <v>0</v>
      </c>
      <c r="AY4013" s="498">
        <f t="shared" si="1387"/>
        <v>0</v>
      </c>
      <c r="BB4013" s="498" t="str">
        <f t="shared" si="1388"/>
        <v/>
      </c>
      <c r="BC4013" s="743" t="str">
        <f t="shared" si="1389"/>
        <v/>
      </c>
      <c r="BD4013" s="743" t="str">
        <f t="shared" si="1390"/>
        <v/>
      </c>
      <c r="BE4013" s="743" t="str">
        <f>IF(D4013="","",VLOOKUP(D4013,'General Basis'!$J$39:$K$46,2,0))</f>
        <v/>
      </c>
      <c r="BF4013" s="744" t="str">
        <f>IF(D4013="","",VLOOKUP(D4013,'General Basis'!$J$39:$L$46,3,0))</f>
        <v/>
      </c>
      <c r="BG4013" s="744" t="str">
        <f t="shared" si="1397"/>
        <v/>
      </c>
      <c r="BH4013" s="744" t="str">
        <f>IF(G4013="","",IF(BF4013="Abu Dhabi",IF(G4013&lt;18,'General Basis'!$C$39,IF(G4013&lt;41,'General Basis'!$C$40,IF(G4013&lt;60,'General Basis'!$C$41,IF(G4013&lt;65,'General Basis'!$C$42,'General Basis'!$C$43)))),IF(G4013&lt;11,'General Basis'!$B$39,IF(G4013&lt;18,'General Basis'!$B$40,IF(G4013&lt;26,'General Basis'!$B$41,IF(G4013&lt;31,'General Basis'!$B$42,IF(G4013&lt;36,'General Basis'!$B$43,IF(G4013&lt;41,'General Basis'!$B$44,IF(G4013&lt;46,'General Basis'!$B$45,IF(G4013&lt;51,'General Basis'!$B$46,IF(G4013&lt;56,'General Basis'!$B$47,IF(G4013&lt;60,'General Basis'!$B$48,IF(G4013&lt;65,'General Basis'!$B$49,'General Basis'!$B$50)))))))))))))</f>
        <v/>
      </c>
      <c r="BI4013" s="744" t="str">
        <f t="shared" si="1391"/>
        <v/>
      </c>
      <c r="BJ4013" s="747" t="str">
        <f t="shared" si="1398"/>
        <v/>
      </c>
      <c r="BK4013" s="498" t="str">
        <f t="shared" si="1392"/>
        <v/>
      </c>
      <c r="BL4013" s="498" t="str">
        <f t="shared" si="1393"/>
        <v/>
      </c>
    </row>
    <row r="4014" spans="1:64" x14ac:dyDescent="0.25">
      <c r="A4014" s="762">
        <f t="shared" si="1394"/>
        <v>4009</v>
      </c>
      <c r="B4014" s="229"/>
      <c r="C4014" s="223"/>
      <c r="D4014" s="224"/>
      <c r="E4014" s="225"/>
      <c r="F4014" s="1036" t="str">
        <f t="shared" si="1400"/>
        <v/>
      </c>
      <c r="G4014" s="1037" t="str">
        <f t="shared" si="1395"/>
        <v/>
      </c>
      <c r="H4014" s="225"/>
      <c r="I4014" s="1013"/>
      <c r="J4014" s="1013"/>
      <c r="K4014" s="1028"/>
      <c r="L4014" s="1035" t="str">
        <f t="shared" si="1399"/>
        <v/>
      </c>
      <c r="S4014" s="498"/>
      <c r="AJ4014" s="498"/>
      <c r="AM4014" s="498">
        <f t="shared" si="1380"/>
        <v>0</v>
      </c>
      <c r="AN4014" s="498">
        <f t="shared" si="1381"/>
        <v>0</v>
      </c>
      <c r="AO4014" s="498">
        <f t="shared" si="1382"/>
        <v>0</v>
      </c>
      <c r="AP4014" s="498">
        <f t="shared" si="1401"/>
        <v>0</v>
      </c>
      <c r="AQ4014" s="498">
        <f t="shared" si="1396"/>
        <v>0</v>
      </c>
      <c r="AU4014" s="498">
        <f t="shared" si="1383"/>
        <v>0</v>
      </c>
      <c r="AV4014" s="498">
        <f t="shared" si="1384"/>
        <v>0</v>
      </c>
      <c r="AW4014" s="498">
        <f t="shared" si="1385"/>
        <v>0</v>
      </c>
      <c r="AX4014" s="498">
        <f t="shared" si="1386"/>
        <v>0</v>
      </c>
      <c r="AY4014" s="498">
        <f t="shared" si="1387"/>
        <v>0</v>
      </c>
      <c r="BB4014" s="498" t="str">
        <f t="shared" si="1388"/>
        <v/>
      </c>
      <c r="BC4014" s="743" t="str">
        <f t="shared" si="1389"/>
        <v/>
      </c>
      <c r="BD4014" s="743" t="str">
        <f t="shared" si="1390"/>
        <v/>
      </c>
      <c r="BE4014" s="743" t="str">
        <f>IF(D4014="","",VLOOKUP(D4014,'General Basis'!$J$39:$K$46,2,0))</f>
        <v/>
      </c>
      <c r="BF4014" s="744" t="str">
        <f>IF(D4014="","",VLOOKUP(D4014,'General Basis'!$J$39:$L$46,3,0))</f>
        <v/>
      </c>
      <c r="BG4014" s="744" t="str">
        <f t="shared" si="1397"/>
        <v/>
      </c>
      <c r="BH4014" s="744" t="str">
        <f>IF(G4014="","",IF(BF4014="Abu Dhabi",IF(G4014&lt;18,'General Basis'!$C$39,IF(G4014&lt;41,'General Basis'!$C$40,IF(G4014&lt;60,'General Basis'!$C$41,IF(G4014&lt;65,'General Basis'!$C$42,'General Basis'!$C$43)))),IF(G4014&lt;11,'General Basis'!$B$39,IF(G4014&lt;18,'General Basis'!$B$40,IF(G4014&lt;26,'General Basis'!$B$41,IF(G4014&lt;31,'General Basis'!$B$42,IF(G4014&lt;36,'General Basis'!$B$43,IF(G4014&lt;41,'General Basis'!$B$44,IF(G4014&lt;46,'General Basis'!$B$45,IF(G4014&lt;51,'General Basis'!$B$46,IF(G4014&lt;56,'General Basis'!$B$47,IF(G4014&lt;60,'General Basis'!$B$48,IF(G4014&lt;65,'General Basis'!$B$49,'General Basis'!$B$50)))))))))))))</f>
        <v/>
      </c>
      <c r="BI4014" s="744" t="str">
        <f t="shared" si="1391"/>
        <v/>
      </c>
      <c r="BJ4014" s="747" t="str">
        <f t="shared" si="1398"/>
        <v/>
      </c>
      <c r="BK4014" s="498" t="str">
        <f t="shared" si="1392"/>
        <v/>
      </c>
      <c r="BL4014" s="498" t="str">
        <f t="shared" si="1393"/>
        <v/>
      </c>
    </row>
    <row r="4015" spans="1:64" x14ac:dyDescent="0.25">
      <c r="A4015" s="762">
        <f t="shared" si="1394"/>
        <v>4010</v>
      </c>
      <c r="B4015" s="229"/>
      <c r="C4015" s="223"/>
      <c r="D4015" s="224"/>
      <c r="E4015" s="225"/>
      <c r="F4015" s="1036" t="str">
        <f t="shared" si="1400"/>
        <v/>
      </c>
      <c r="G4015" s="1037" t="str">
        <f t="shared" si="1395"/>
        <v/>
      </c>
      <c r="H4015" s="225"/>
      <c r="I4015" s="1013"/>
      <c r="J4015" s="1013"/>
      <c r="K4015" s="1028"/>
      <c r="L4015" s="1035" t="str">
        <f t="shared" si="1399"/>
        <v/>
      </c>
      <c r="S4015" s="498"/>
      <c r="AJ4015" s="498"/>
      <c r="AM4015" s="498">
        <f t="shared" si="1380"/>
        <v>0</v>
      </c>
      <c r="AN4015" s="498">
        <f t="shared" si="1381"/>
        <v>0</v>
      </c>
      <c r="AO4015" s="498">
        <f t="shared" si="1382"/>
        <v>0</v>
      </c>
      <c r="AP4015" s="498">
        <f t="shared" si="1401"/>
        <v>0</v>
      </c>
      <c r="AQ4015" s="498">
        <f t="shared" si="1396"/>
        <v>0</v>
      </c>
      <c r="AU4015" s="498">
        <f t="shared" si="1383"/>
        <v>0</v>
      </c>
      <c r="AV4015" s="498">
        <f t="shared" si="1384"/>
        <v>0</v>
      </c>
      <c r="AW4015" s="498">
        <f t="shared" si="1385"/>
        <v>0</v>
      </c>
      <c r="AX4015" s="498">
        <f t="shared" si="1386"/>
        <v>0</v>
      </c>
      <c r="AY4015" s="498">
        <f t="shared" si="1387"/>
        <v>0</v>
      </c>
      <c r="BB4015" s="498" t="str">
        <f t="shared" si="1388"/>
        <v/>
      </c>
      <c r="BC4015" s="743" t="str">
        <f t="shared" si="1389"/>
        <v/>
      </c>
      <c r="BD4015" s="743" t="str">
        <f t="shared" si="1390"/>
        <v/>
      </c>
      <c r="BE4015" s="743" t="str">
        <f>IF(D4015="","",VLOOKUP(D4015,'General Basis'!$J$39:$K$46,2,0))</f>
        <v/>
      </c>
      <c r="BF4015" s="744" t="str">
        <f>IF(D4015="","",VLOOKUP(D4015,'General Basis'!$J$39:$L$46,3,0))</f>
        <v/>
      </c>
      <c r="BG4015" s="744" t="str">
        <f t="shared" si="1397"/>
        <v/>
      </c>
      <c r="BH4015" s="744" t="str">
        <f>IF(G4015="","",IF(BF4015="Abu Dhabi",IF(G4015&lt;18,'General Basis'!$C$39,IF(G4015&lt;41,'General Basis'!$C$40,IF(G4015&lt;60,'General Basis'!$C$41,IF(G4015&lt;65,'General Basis'!$C$42,'General Basis'!$C$43)))),IF(G4015&lt;11,'General Basis'!$B$39,IF(G4015&lt;18,'General Basis'!$B$40,IF(G4015&lt;26,'General Basis'!$B$41,IF(G4015&lt;31,'General Basis'!$B$42,IF(G4015&lt;36,'General Basis'!$B$43,IF(G4015&lt;41,'General Basis'!$B$44,IF(G4015&lt;46,'General Basis'!$B$45,IF(G4015&lt;51,'General Basis'!$B$46,IF(G4015&lt;56,'General Basis'!$B$47,IF(G4015&lt;60,'General Basis'!$B$48,IF(G4015&lt;65,'General Basis'!$B$49,'General Basis'!$B$50)))))))))))))</f>
        <v/>
      </c>
      <c r="BI4015" s="744" t="str">
        <f t="shared" si="1391"/>
        <v/>
      </c>
      <c r="BJ4015" s="747" t="str">
        <f t="shared" si="1398"/>
        <v/>
      </c>
      <c r="BK4015" s="498" t="str">
        <f t="shared" si="1392"/>
        <v/>
      </c>
      <c r="BL4015" s="498" t="str">
        <f t="shared" si="1393"/>
        <v/>
      </c>
    </row>
    <row r="4016" spans="1:64" x14ac:dyDescent="0.25">
      <c r="A4016" s="762">
        <f t="shared" si="1394"/>
        <v>4011</v>
      </c>
      <c r="B4016" s="229"/>
      <c r="C4016" s="223"/>
      <c r="D4016" s="224"/>
      <c r="E4016" s="225"/>
      <c r="F4016" s="1036" t="str">
        <f t="shared" si="1400"/>
        <v/>
      </c>
      <c r="G4016" s="1037" t="str">
        <f t="shared" si="1395"/>
        <v/>
      </c>
      <c r="H4016" s="225"/>
      <c r="I4016" s="1013"/>
      <c r="J4016" s="1013"/>
      <c r="K4016" s="1028"/>
      <c r="L4016" s="1035" t="str">
        <f t="shared" si="1399"/>
        <v/>
      </c>
      <c r="S4016" s="498"/>
      <c r="AJ4016" s="498"/>
      <c r="AM4016" s="498">
        <f t="shared" si="1380"/>
        <v>0</v>
      </c>
      <c r="AN4016" s="498">
        <f t="shared" si="1381"/>
        <v>0</v>
      </c>
      <c r="AO4016" s="498">
        <f t="shared" si="1382"/>
        <v>0</v>
      </c>
      <c r="AP4016" s="498">
        <f t="shared" si="1401"/>
        <v>0</v>
      </c>
      <c r="AQ4016" s="498">
        <f t="shared" si="1396"/>
        <v>0</v>
      </c>
      <c r="AU4016" s="498">
        <f t="shared" si="1383"/>
        <v>0</v>
      </c>
      <c r="AV4016" s="498">
        <f t="shared" si="1384"/>
        <v>0</v>
      </c>
      <c r="AW4016" s="498">
        <f t="shared" si="1385"/>
        <v>0</v>
      </c>
      <c r="AX4016" s="498">
        <f t="shared" si="1386"/>
        <v>0</v>
      </c>
      <c r="AY4016" s="498">
        <f t="shared" si="1387"/>
        <v>0</v>
      </c>
      <c r="BB4016" s="498" t="str">
        <f t="shared" si="1388"/>
        <v/>
      </c>
      <c r="BC4016" s="743" t="str">
        <f t="shared" si="1389"/>
        <v/>
      </c>
      <c r="BD4016" s="743" t="str">
        <f t="shared" si="1390"/>
        <v/>
      </c>
      <c r="BE4016" s="743" t="str">
        <f>IF(D4016="","",VLOOKUP(D4016,'General Basis'!$J$39:$K$46,2,0))</f>
        <v/>
      </c>
      <c r="BF4016" s="744" t="str">
        <f>IF(D4016="","",VLOOKUP(D4016,'General Basis'!$J$39:$L$46,3,0))</f>
        <v/>
      </c>
      <c r="BG4016" s="744" t="str">
        <f t="shared" si="1397"/>
        <v/>
      </c>
      <c r="BH4016" s="744" t="str">
        <f>IF(G4016="","",IF(BF4016="Abu Dhabi",IF(G4016&lt;18,'General Basis'!$C$39,IF(G4016&lt;41,'General Basis'!$C$40,IF(G4016&lt;60,'General Basis'!$C$41,IF(G4016&lt;65,'General Basis'!$C$42,'General Basis'!$C$43)))),IF(G4016&lt;11,'General Basis'!$B$39,IF(G4016&lt;18,'General Basis'!$B$40,IF(G4016&lt;26,'General Basis'!$B$41,IF(G4016&lt;31,'General Basis'!$B$42,IF(G4016&lt;36,'General Basis'!$B$43,IF(G4016&lt;41,'General Basis'!$B$44,IF(G4016&lt;46,'General Basis'!$B$45,IF(G4016&lt;51,'General Basis'!$B$46,IF(G4016&lt;56,'General Basis'!$B$47,IF(G4016&lt;60,'General Basis'!$B$48,IF(G4016&lt;65,'General Basis'!$B$49,'General Basis'!$B$50)))))))))))))</f>
        <v/>
      </c>
      <c r="BI4016" s="744" t="str">
        <f t="shared" si="1391"/>
        <v/>
      </c>
      <c r="BJ4016" s="747" t="str">
        <f t="shared" si="1398"/>
        <v/>
      </c>
      <c r="BK4016" s="498" t="str">
        <f t="shared" si="1392"/>
        <v/>
      </c>
      <c r="BL4016" s="498" t="str">
        <f t="shared" si="1393"/>
        <v/>
      </c>
    </row>
    <row r="4017" spans="1:64" x14ac:dyDescent="0.25">
      <c r="A4017" s="762">
        <f t="shared" si="1394"/>
        <v>4012</v>
      </c>
      <c r="B4017" s="229"/>
      <c r="C4017" s="223"/>
      <c r="D4017" s="224"/>
      <c r="E4017" s="225"/>
      <c r="F4017" s="1036" t="str">
        <f t="shared" si="1400"/>
        <v/>
      </c>
      <c r="G4017" s="1037" t="str">
        <f t="shared" si="1395"/>
        <v/>
      </c>
      <c r="H4017" s="225"/>
      <c r="I4017" s="1013"/>
      <c r="J4017" s="1013"/>
      <c r="K4017" s="1028"/>
      <c r="L4017" s="1035" t="str">
        <f t="shared" si="1399"/>
        <v/>
      </c>
      <c r="S4017" s="498"/>
      <c r="AJ4017" s="498"/>
      <c r="AM4017" s="498">
        <f t="shared" si="1380"/>
        <v>0</v>
      </c>
      <c r="AN4017" s="498">
        <f t="shared" si="1381"/>
        <v>0</v>
      </c>
      <c r="AO4017" s="498">
        <f t="shared" si="1382"/>
        <v>0</v>
      </c>
      <c r="AP4017" s="498">
        <f t="shared" si="1401"/>
        <v>0</v>
      </c>
      <c r="AQ4017" s="498">
        <f t="shared" si="1396"/>
        <v>0</v>
      </c>
      <c r="AU4017" s="498">
        <f t="shared" si="1383"/>
        <v>0</v>
      </c>
      <c r="AV4017" s="498">
        <f t="shared" si="1384"/>
        <v>0</v>
      </c>
      <c r="AW4017" s="498">
        <f t="shared" si="1385"/>
        <v>0</v>
      </c>
      <c r="AX4017" s="498">
        <f t="shared" si="1386"/>
        <v>0</v>
      </c>
      <c r="AY4017" s="498">
        <f t="shared" si="1387"/>
        <v>0</v>
      </c>
      <c r="BB4017" s="498" t="str">
        <f t="shared" si="1388"/>
        <v/>
      </c>
      <c r="BC4017" s="743" t="str">
        <f t="shared" si="1389"/>
        <v/>
      </c>
      <c r="BD4017" s="743" t="str">
        <f t="shared" si="1390"/>
        <v/>
      </c>
      <c r="BE4017" s="743" t="str">
        <f>IF(D4017="","",VLOOKUP(D4017,'General Basis'!$J$39:$K$46,2,0))</f>
        <v/>
      </c>
      <c r="BF4017" s="744" t="str">
        <f>IF(D4017="","",VLOOKUP(D4017,'General Basis'!$J$39:$L$46,3,0))</f>
        <v/>
      </c>
      <c r="BG4017" s="744" t="str">
        <f t="shared" si="1397"/>
        <v/>
      </c>
      <c r="BH4017" s="744" t="str">
        <f>IF(G4017="","",IF(BF4017="Abu Dhabi",IF(G4017&lt;18,'General Basis'!$C$39,IF(G4017&lt;41,'General Basis'!$C$40,IF(G4017&lt;60,'General Basis'!$C$41,IF(G4017&lt;65,'General Basis'!$C$42,'General Basis'!$C$43)))),IF(G4017&lt;11,'General Basis'!$B$39,IF(G4017&lt;18,'General Basis'!$B$40,IF(G4017&lt;26,'General Basis'!$B$41,IF(G4017&lt;31,'General Basis'!$B$42,IF(G4017&lt;36,'General Basis'!$B$43,IF(G4017&lt;41,'General Basis'!$B$44,IF(G4017&lt;46,'General Basis'!$B$45,IF(G4017&lt;51,'General Basis'!$B$46,IF(G4017&lt;56,'General Basis'!$B$47,IF(G4017&lt;60,'General Basis'!$B$48,IF(G4017&lt;65,'General Basis'!$B$49,'General Basis'!$B$50)))))))))))))</f>
        <v/>
      </c>
      <c r="BI4017" s="744" t="str">
        <f t="shared" si="1391"/>
        <v/>
      </c>
      <c r="BJ4017" s="747" t="str">
        <f t="shared" si="1398"/>
        <v/>
      </c>
      <c r="BK4017" s="498" t="str">
        <f t="shared" si="1392"/>
        <v/>
      </c>
      <c r="BL4017" s="498" t="str">
        <f t="shared" si="1393"/>
        <v/>
      </c>
    </row>
    <row r="4018" spans="1:64" x14ac:dyDescent="0.25">
      <c r="A4018" s="762">
        <f t="shared" si="1394"/>
        <v>4013</v>
      </c>
      <c r="B4018" s="229"/>
      <c r="C4018" s="223"/>
      <c r="D4018" s="224"/>
      <c r="E4018" s="225"/>
      <c r="F4018" s="1036" t="str">
        <f t="shared" si="1400"/>
        <v/>
      </c>
      <c r="G4018" s="1037" t="str">
        <f t="shared" si="1395"/>
        <v/>
      </c>
      <c r="H4018" s="225"/>
      <c r="I4018" s="1013"/>
      <c r="J4018" s="1013"/>
      <c r="K4018" s="1028"/>
      <c r="L4018" s="1035" t="str">
        <f t="shared" si="1399"/>
        <v/>
      </c>
      <c r="S4018" s="498"/>
      <c r="AJ4018" s="498"/>
      <c r="AM4018" s="498">
        <f t="shared" si="1380"/>
        <v>0</v>
      </c>
      <c r="AN4018" s="498">
        <f t="shared" si="1381"/>
        <v>0</v>
      </c>
      <c r="AO4018" s="498">
        <f t="shared" si="1382"/>
        <v>0</v>
      </c>
      <c r="AP4018" s="498">
        <f t="shared" si="1401"/>
        <v>0</v>
      </c>
      <c r="AQ4018" s="498">
        <f t="shared" si="1396"/>
        <v>0</v>
      </c>
      <c r="AU4018" s="498">
        <f t="shared" si="1383"/>
        <v>0</v>
      </c>
      <c r="AV4018" s="498">
        <f t="shared" si="1384"/>
        <v>0</v>
      </c>
      <c r="AW4018" s="498">
        <f t="shared" si="1385"/>
        <v>0</v>
      </c>
      <c r="AX4018" s="498">
        <f t="shared" si="1386"/>
        <v>0</v>
      </c>
      <c r="AY4018" s="498">
        <f t="shared" si="1387"/>
        <v>0</v>
      </c>
      <c r="BB4018" s="498" t="str">
        <f t="shared" si="1388"/>
        <v/>
      </c>
      <c r="BC4018" s="743" t="str">
        <f t="shared" si="1389"/>
        <v/>
      </c>
      <c r="BD4018" s="743" t="str">
        <f t="shared" si="1390"/>
        <v/>
      </c>
      <c r="BE4018" s="743" t="str">
        <f>IF(D4018="","",VLOOKUP(D4018,'General Basis'!$J$39:$K$46,2,0))</f>
        <v/>
      </c>
      <c r="BF4018" s="744" t="str">
        <f>IF(D4018="","",VLOOKUP(D4018,'General Basis'!$J$39:$L$46,3,0))</f>
        <v/>
      </c>
      <c r="BG4018" s="744" t="str">
        <f t="shared" si="1397"/>
        <v/>
      </c>
      <c r="BH4018" s="744" t="str">
        <f>IF(G4018="","",IF(BF4018="Abu Dhabi",IF(G4018&lt;18,'General Basis'!$C$39,IF(G4018&lt;41,'General Basis'!$C$40,IF(G4018&lt;60,'General Basis'!$C$41,IF(G4018&lt;65,'General Basis'!$C$42,'General Basis'!$C$43)))),IF(G4018&lt;11,'General Basis'!$B$39,IF(G4018&lt;18,'General Basis'!$B$40,IF(G4018&lt;26,'General Basis'!$B$41,IF(G4018&lt;31,'General Basis'!$B$42,IF(G4018&lt;36,'General Basis'!$B$43,IF(G4018&lt;41,'General Basis'!$B$44,IF(G4018&lt;46,'General Basis'!$B$45,IF(G4018&lt;51,'General Basis'!$B$46,IF(G4018&lt;56,'General Basis'!$B$47,IF(G4018&lt;60,'General Basis'!$B$48,IF(G4018&lt;65,'General Basis'!$B$49,'General Basis'!$B$50)))))))))))))</f>
        <v/>
      </c>
      <c r="BI4018" s="744" t="str">
        <f t="shared" si="1391"/>
        <v/>
      </c>
      <c r="BJ4018" s="747" t="str">
        <f t="shared" si="1398"/>
        <v/>
      </c>
      <c r="BK4018" s="498" t="str">
        <f t="shared" si="1392"/>
        <v/>
      </c>
      <c r="BL4018" s="498" t="str">
        <f t="shared" si="1393"/>
        <v/>
      </c>
    </row>
    <row r="4019" spans="1:64" x14ac:dyDescent="0.25">
      <c r="A4019" s="762">
        <f t="shared" si="1394"/>
        <v>4014</v>
      </c>
      <c r="B4019" s="229"/>
      <c r="C4019" s="223"/>
      <c r="D4019" s="224"/>
      <c r="E4019" s="225"/>
      <c r="F4019" s="1036" t="str">
        <f t="shared" si="1400"/>
        <v/>
      </c>
      <c r="G4019" s="1037" t="str">
        <f t="shared" si="1395"/>
        <v/>
      </c>
      <c r="H4019" s="225"/>
      <c r="I4019" s="1013"/>
      <c r="J4019" s="1013"/>
      <c r="K4019" s="1028"/>
      <c r="L4019" s="1035" t="str">
        <f t="shared" si="1399"/>
        <v/>
      </c>
      <c r="S4019" s="498"/>
      <c r="AJ4019" s="498"/>
      <c r="AM4019" s="498">
        <f t="shared" si="1380"/>
        <v>0</v>
      </c>
      <c r="AN4019" s="498">
        <f t="shared" si="1381"/>
        <v>0</v>
      </c>
      <c r="AO4019" s="498">
        <f t="shared" si="1382"/>
        <v>0</v>
      </c>
      <c r="AP4019" s="498">
        <f t="shared" si="1401"/>
        <v>0</v>
      </c>
      <c r="AQ4019" s="498">
        <f t="shared" si="1396"/>
        <v>0</v>
      </c>
      <c r="AU4019" s="498">
        <f t="shared" si="1383"/>
        <v>0</v>
      </c>
      <c r="AV4019" s="498">
        <f t="shared" si="1384"/>
        <v>0</v>
      </c>
      <c r="AW4019" s="498">
        <f t="shared" si="1385"/>
        <v>0</v>
      </c>
      <c r="AX4019" s="498">
        <f t="shared" si="1386"/>
        <v>0</v>
      </c>
      <c r="AY4019" s="498">
        <f t="shared" si="1387"/>
        <v>0</v>
      </c>
      <c r="BB4019" s="498" t="str">
        <f t="shared" si="1388"/>
        <v/>
      </c>
      <c r="BC4019" s="743" t="str">
        <f t="shared" si="1389"/>
        <v/>
      </c>
      <c r="BD4019" s="743" t="str">
        <f t="shared" si="1390"/>
        <v/>
      </c>
      <c r="BE4019" s="743" t="str">
        <f>IF(D4019="","",VLOOKUP(D4019,'General Basis'!$J$39:$K$46,2,0))</f>
        <v/>
      </c>
      <c r="BF4019" s="744" t="str">
        <f>IF(D4019="","",VLOOKUP(D4019,'General Basis'!$J$39:$L$46,3,0))</f>
        <v/>
      </c>
      <c r="BG4019" s="744" t="str">
        <f t="shared" si="1397"/>
        <v/>
      </c>
      <c r="BH4019" s="744" t="str">
        <f>IF(G4019="","",IF(BF4019="Abu Dhabi",IF(G4019&lt;18,'General Basis'!$C$39,IF(G4019&lt;41,'General Basis'!$C$40,IF(G4019&lt;60,'General Basis'!$C$41,IF(G4019&lt;65,'General Basis'!$C$42,'General Basis'!$C$43)))),IF(G4019&lt;11,'General Basis'!$B$39,IF(G4019&lt;18,'General Basis'!$B$40,IF(G4019&lt;26,'General Basis'!$B$41,IF(G4019&lt;31,'General Basis'!$B$42,IF(G4019&lt;36,'General Basis'!$B$43,IF(G4019&lt;41,'General Basis'!$B$44,IF(G4019&lt;46,'General Basis'!$B$45,IF(G4019&lt;51,'General Basis'!$B$46,IF(G4019&lt;56,'General Basis'!$B$47,IF(G4019&lt;60,'General Basis'!$B$48,IF(G4019&lt;65,'General Basis'!$B$49,'General Basis'!$B$50)))))))))))))</f>
        <v/>
      </c>
      <c r="BI4019" s="744" t="str">
        <f t="shared" si="1391"/>
        <v/>
      </c>
      <c r="BJ4019" s="747" t="str">
        <f t="shared" si="1398"/>
        <v/>
      </c>
      <c r="BK4019" s="498" t="str">
        <f t="shared" si="1392"/>
        <v/>
      </c>
      <c r="BL4019" s="498" t="str">
        <f t="shared" si="1393"/>
        <v/>
      </c>
    </row>
    <row r="4020" spans="1:64" x14ac:dyDescent="0.25">
      <c r="A4020" s="762">
        <f t="shared" si="1394"/>
        <v>4015</v>
      </c>
      <c r="B4020" s="229"/>
      <c r="C4020" s="223"/>
      <c r="D4020" s="224"/>
      <c r="E4020" s="225"/>
      <c r="F4020" s="1036" t="str">
        <f t="shared" si="1400"/>
        <v/>
      </c>
      <c r="G4020" s="1037" t="str">
        <f t="shared" si="1395"/>
        <v/>
      </c>
      <c r="H4020" s="225"/>
      <c r="I4020" s="1013"/>
      <c r="J4020" s="1013"/>
      <c r="K4020" s="1028"/>
      <c r="L4020" s="1035" t="str">
        <f t="shared" si="1399"/>
        <v/>
      </c>
      <c r="S4020" s="498"/>
      <c r="AJ4020" s="498"/>
      <c r="AM4020" s="498">
        <f t="shared" si="1380"/>
        <v>0</v>
      </c>
      <c r="AN4020" s="498">
        <f t="shared" si="1381"/>
        <v>0</v>
      </c>
      <c r="AO4020" s="498">
        <f t="shared" si="1382"/>
        <v>0</v>
      </c>
      <c r="AP4020" s="498">
        <f t="shared" si="1401"/>
        <v>0</v>
      </c>
      <c r="AQ4020" s="498">
        <f t="shared" si="1396"/>
        <v>0</v>
      </c>
      <c r="AU4020" s="498">
        <f t="shared" si="1383"/>
        <v>0</v>
      </c>
      <c r="AV4020" s="498">
        <f t="shared" si="1384"/>
        <v>0</v>
      </c>
      <c r="AW4020" s="498">
        <f t="shared" si="1385"/>
        <v>0</v>
      </c>
      <c r="AX4020" s="498">
        <f t="shared" si="1386"/>
        <v>0</v>
      </c>
      <c r="AY4020" s="498">
        <f t="shared" si="1387"/>
        <v>0</v>
      </c>
      <c r="BB4020" s="498" t="str">
        <f t="shared" si="1388"/>
        <v/>
      </c>
      <c r="BC4020" s="743" t="str">
        <f t="shared" si="1389"/>
        <v/>
      </c>
      <c r="BD4020" s="743" t="str">
        <f t="shared" si="1390"/>
        <v/>
      </c>
      <c r="BE4020" s="743" t="str">
        <f>IF(D4020="","",VLOOKUP(D4020,'General Basis'!$J$39:$K$46,2,0))</f>
        <v/>
      </c>
      <c r="BF4020" s="744" t="str">
        <f>IF(D4020="","",VLOOKUP(D4020,'General Basis'!$J$39:$L$46,3,0))</f>
        <v/>
      </c>
      <c r="BG4020" s="744" t="str">
        <f t="shared" si="1397"/>
        <v/>
      </c>
      <c r="BH4020" s="744" t="str">
        <f>IF(G4020="","",IF(BF4020="Abu Dhabi",IF(G4020&lt;18,'General Basis'!$C$39,IF(G4020&lt;41,'General Basis'!$C$40,IF(G4020&lt;60,'General Basis'!$C$41,IF(G4020&lt;65,'General Basis'!$C$42,'General Basis'!$C$43)))),IF(G4020&lt;11,'General Basis'!$B$39,IF(G4020&lt;18,'General Basis'!$B$40,IF(G4020&lt;26,'General Basis'!$B$41,IF(G4020&lt;31,'General Basis'!$B$42,IF(G4020&lt;36,'General Basis'!$B$43,IF(G4020&lt;41,'General Basis'!$B$44,IF(G4020&lt;46,'General Basis'!$B$45,IF(G4020&lt;51,'General Basis'!$B$46,IF(G4020&lt;56,'General Basis'!$B$47,IF(G4020&lt;60,'General Basis'!$B$48,IF(G4020&lt;65,'General Basis'!$B$49,'General Basis'!$B$50)))))))))))))</f>
        <v/>
      </c>
      <c r="BI4020" s="744" t="str">
        <f t="shared" si="1391"/>
        <v/>
      </c>
      <c r="BJ4020" s="747" t="str">
        <f t="shared" si="1398"/>
        <v/>
      </c>
      <c r="BK4020" s="498" t="str">
        <f t="shared" si="1392"/>
        <v/>
      </c>
      <c r="BL4020" s="498" t="str">
        <f t="shared" si="1393"/>
        <v/>
      </c>
    </row>
    <row r="4021" spans="1:64" x14ac:dyDescent="0.25">
      <c r="A4021" s="762">
        <f t="shared" si="1394"/>
        <v>4016</v>
      </c>
      <c r="B4021" s="229"/>
      <c r="C4021" s="223"/>
      <c r="D4021" s="224"/>
      <c r="E4021" s="225"/>
      <c r="F4021" s="1036" t="str">
        <f t="shared" si="1400"/>
        <v/>
      </c>
      <c r="G4021" s="1037" t="str">
        <f t="shared" si="1395"/>
        <v/>
      </c>
      <c r="H4021" s="225"/>
      <c r="I4021" s="1013"/>
      <c r="J4021" s="1013"/>
      <c r="K4021" s="1028"/>
      <c r="L4021" s="1035" t="str">
        <f t="shared" si="1399"/>
        <v/>
      </c>
      <c r="S4021" s="498"/>
      <c r="AJ4021" s="498"/>
      <c r="AM4021" s="498">
        <f t="shared" si="1380"/>
        <v>0</v>
      </c>
      <c r="AN4021" s="498">
        <f t="shared" si="1381"/>
        <v>0</v>
      </c>
      <c r="AO4021" s="498">
        <f t="shared" si="1382"/>
        <v>0</v>
      </c>
      <c r="AP4021" s="498">
        <f t="shared" si="1401"/>
        <v>0</v>
      </c>
      <c r="AQ4021" s="498">
        <f t="shared" si="1396"/>
        <v>0</v>
      </c>
      <c r="AU4021" s="498">
        <f t="shared" si="1383"/>
        <v>0</v>
      </c>
      <c r="AV4021" s="498">
        <f t="shared" si="1384"/>
        <v>0</v>
      </c>
      <c r="AW4021" s="498">
        <f t="shared" si="1385"/>
        <v>0</v>
      </c>
      <c r="AX4021" s="498">
        <f t="shared" si="1386"/>
        <v>0</v>
      </c>
      <c r="AY4021" s="498">
        <f t="shared" si="1387"/>
        <v>0</v>
      </c>
      <c r="BB4021" s="498" t="str">
        <f t="shared" si="1388"/>
        <v/>
      </c>
      <c r="BC4021" s="743" t="str">
        <f t="shared" si="1389"/>
        <v/>
      </c>
      <c r="BD4021" s="743" t="str">
        <f t="shared" si="1390"/>
        <v/>
      </c>
      <c r="BE4021" s="743" t="str">
        <f>IF(D4021="","",VLOOKUP(D4021,'General Basis'!$J$39:$K$46,2,0))</f>
        <v/>
      </c>
      <c r="BF4021" s="744" t="str">
        <f>IF(D4021="","",VLOOKUP(D4021,'General Basis'!$J$39:$L$46,3,0))</f>
        <v/>
      </c>
      <c r="BG4021" s="744" t="str">
        <f t="shared" si="1397"/>
        <v/>
      </c>
      <c r="BH4021" s="744" t="str">
        <f>IF(G4021="","",IF(BF4021="Abu Dhabi",IF(G4021&lt;18,'General Basis'!$C$39,IF(G4021&lt;41,'General Basis'!$C$40,IF(G4021&lt;60,'General Basis'!$C$41,IF(G4021&lt;65,'General Basis'!$C$42,'General Basis'!$C$43)))),IF(G4021&lt;11,'General Basis'!$B$39,IF(G4021&lt;18,'General Basis'!$B$40,IF(G4021&lt;26,'General Basis'!$B$41,IF(G4021&lt;31,'General Basis'!$B$42,IF(G4021&lt;36,'General Basis'!$B$43,IF(G4021&lt;41,'General Basis'!$B$44,IF(G4021&lt;46,'General Basis'!$B$45,IF(G4021&lt;51,'General Basis'!$B$46,IF(G4021&lt;56,'General Basis'!$B$47,IF(G4021&lt;60,'General Basis'!$B$48,IF(G4021&lt;65,'General Basis'!$B$49,'General Basis'!$B$50)))))))))))))</f>
        <v/>
      </c>
      <c r="BI4021" s="744" t="str">
        <f t="shared" si="1391"/>
        <v/>
      </c>
      <c r="BJ4021" s="747" t="str">
        <f t="shared" si="1398"/>
        <v/>
      </c>
      <c r="BK4021" s="498" t="str">
        <f t="shared" si="1392"/>
        <v/>
      </c>
      <c r="BL4021" s="498" t="str">
        <f t="shared" si="1393"/>
        <v/>
      </c>
    </row>
    <row r="4022" spans="1:64" x14ac:dyDescent="0.25">
      <c r="A4022" s="762">
        <f t="shared" si="1394"/>
        <v>4017</v>
      </c>
      <c r="B4022" s="229"/>
      <c r="C4022" s="223"/>
      <c r="D4022" s="224"/>
      <c r="E4022" s="225"/>
      <c r="F4022" s="1036" t="str">
        <f t="shared" si="1400"/>
        <v/>
      </c>
      <c r="G4022" s="1037" t="str">
        <f t="shared" si="1395"/>
        <v/>
      </c>
      <c r="H4022" s="225"/>
      <c r="I4022" s="1013"/>
      <c r="J4022" s="1013"/>
      <c r="K4022" s="1028"/>
      <c r="L4022" s="1035" t="str">
        <f t="shared" si="1399"/>
        <v/>
      </c>
      <c r="S4022" s="498"/>
      <c r="AJ4022" s="498"/>
      <c r="AM4022" s="498">
        <f t="shared" si="1380"/>
        <v>0</v>
      </c>
      <c r="AN4022" s="498">
        <f t="shared" si="1381"/>
        <v>0</v>
      </c>
      <c r="AO4022" s="498">
        <f t="shared" si="1382"/>
        <v>0</v>
      </c>
      <c r="AP4022" s="498">
        <f t="shared" si="1401"/>
        <v>0</v>
      </c>
      <c r="AQ4022" s="498">
        <f t="shared" si="1396"/>
        <v>0</v>
      </c>
      <c r="AU4022" s="498">
        <f t="shared" si="1383"/>
        <v>0</v>
      </c>
      <c r="AV4022" s="498">
        <f t="shared" si="1384"/>
        <v>0</v>
      </c>
      <c r="AW4022" s="498">
        <f t="shared" si="1385"/>
        <v>0</v>
      </c>
      <c r="AX4022" s="498">
        <f t="shared" si="1386"/>
        <v>0</v>
      </c>
      <c r="AY4022" s="498">
        <f t="shared" si="1387"/>
        <v>0</v>
      </c>
      <c r="BB4022" s="498" t="str">
        <f t="shared" si="1388"/>
        <v/>
      </c>
      <c r="BC4022" s="743" t="str">
        <f t="shared" si="1389"/>
        <v/>
      </c>
      <c r="BD4022" s="743" t="str">
        <f t="shared" si="1390"/>
        <v/>
      </c>
      <c r="BE4022" s="743" t="str">
        <f>IF(D4022="","",VLOOKUP(D4022,'General Basis'!$J$39:$K$46,2,0))</f>
        <v/>
      </c>
      <c r="BF4022" s="744" t="str">
        <f>IF(D4022="","",VLOOKUP(D4022,'General Basis'!$J$39:$L$46,3,0))</f>
        <v/>
      </c>
      <c r="BG4022" s="744" t="str">
        <f t="shared" si="1397"/>
        <v/>
      </c>
      <c r="BH4022" s="744" t="str">
        <f>IF(G4022="","",IF(BF4022="Abu Dhabi",IF(G4022&lt;18,'General Basis'!$C$39,IF(G4022&lt;41,'General Basis'!$C$40,IF(G4022&lt;60,'General Basis'!$C$41,IF(G4022&lt;65,'General Basis'!$C$42,'General Basis'!$C$43)))),IF(G4022&lt;11,'General Basis'!$B$39,IF(G4022&lt;18,'General Basis'!$B$40,IF(G4022&lt;26,'General Basis'!$B$41,IF(G4022&lt;31,'General Basis'!$B$42,IF(G4022&lt;36,'General Basis'!$B$43,IF(G4022&lt;41,'General Basis'!$B$44,IF(G4022&lt;46,'General Basis'!$B$45,IF(G4022&lt;51,'General Basis'!$B$46,IF(G4022&lt;56,'General Basis'!$B$47,IF(G4022&lt;60,'General Basis'!$B$48,IF(G4022&lt;65,'General Basis'!$B$49,'General Basis'!$B$50)))))))))))))</f>
        <v/>
      </c>
      <c r="BI4022" s="744" t="str">
        <f t="shared" si="1391"/>
        <v/>
      </c>
      <c r="BJ4022" s="747" t="str">
        <f t="shared" si="1398"/>
        <v/>
      </c>
      <c r="BK4022" s="498" t="str">
        <f t="shared" si="1392"/>
        <v/>
      </c>
      <c r="BL4022" s="498" t="str">
        <f t="shared" si="1393"/>
        <v/>
      </c>
    </row>
    <row r="4023" spans="1:64" x14ac:dyDescent="0.25">
      <c r="A4023" s="762">
        <f t="shared" si="1394"/>
        <v>4018</v>
      </c>
      <c r="B4023" s="229"/>
      <c r="C4023" s="223"/>
      <c r="D4023" s="224"/>
      <c r="E4023" s="225"/>
      <c r="F4023" s="1036" t="str">
        <f t="shared" si="1400"/>
        <v/>
      </c>
      <c r="G4023" s="1037" t="str">
        <f t="shared" si="1395"/>
        <v/>
      </c>
      <c r="H4023" s="225"/>
      <c r="I4023" s="1013"/>
      <c r="J4023" s="1013"/>
      <c r="K4023" s="1028"/>
      <c r="L4023" s="1035" t="str">
        <f t="shared" si="1399"/>
        <v/>
      </c>
      <c r="S4023" s="498"/>
      <c r="AJ4023" s="498"/>
      <c r="AM4023" s="498">
        <f t="shared" si="1380"/>
        <v>0</v>
      </c>
      <c r="AN4023" s="498">
        <f t="shared" si="1381"/>
        <v>0</v>
      </c>
      <c r="AO4023" s="498">
        <f t="shared" si="1382"/>
        <v>0</v>
      </c>
      <c r="AP4023" s="498">
        <f t="shared" si="1401"/>
        <v>0</v>
      </c>
      <c r="AQ4023" s="498">
        <f t="shared" si="1396"/>
        <v>0</v>
      </c>
      <c r="AU4023" s="498">
        <f t="shared" si="1383"/>
        <v>0</v>
      </c>
      <c r="AV4023" s="498">
        <f t="shared" si="1384"/>
        <v>0</v>
      </c>
      <c r="AW4023" s="498">
        <f t="shared" si="1385"/>
        <v>0</v>
      </c>
      <c r="AX4023" s="498">
        <f t="shared" si="1386"/>
        <v>0</v>
      </c>
      <c r="AY4023" s="498">
        <f t="shared" si="1387"/>
        <v>0</v>
      </c>
      <c r="BB4023" s="498" t="str">
        <f t="shared" si="1388"/>
        <v/>
      </c>
      <c r="BC4023" s="743" t="str">
        <f t="shared" si="1389"/>
        <v/>
      </c>
      <c r="BD4023" s="743" t="str">
        <f t="shared" si="1390"/>
        <v/>
      </c>
      <c r="BE4023" s="743" t="str">
        <f>IF(D4023="","",VLOOKUP(D4023,'General Basis'!$J$39:$K$46,2,0))</f>
        <v/>
      </c>
      <c r="BF4023" s="744" t="str">
        <f>IF(D4023="","",VLOOKUP(D4023,'General Basis'!$J$39:$L$46,3,0))</f>
        <v/>
      </c>
      <c r="BG4023" s="744" t="str">
        <f t="shared" si="1397"/>
        <v/>
      </c>
      <c r="BH4023" s="744" t="str">
        <f>IF(G4023="","",IF(BF4023="Abu Dhabi",IF(G4023&lt;18,'General Basis'!$C$39,IF(G4023&lt;41,'General Basis'!$C$40,IF(G4023&lt;60,'General Basis'!$C$41,IF(G4023&lt;65,'General Basis'!$C$42,'General Basis'!$C$43)))),IF(G4023&lt;11,'General Basis'!$B$39,IF(G4023&lt;18,'General Basis'!$B$40,IF(G4023&lt;26,'General Basis'!$B$41,IF(G4023&lt;31,'General Basis'!$B$42,IF(G4023&lt;36,'General Basis'!$B$43,IF(G4023&lt;41,'General Basis'!$B$44,IF(G4023&lt;46,'General Basis'!$B$45,IF(G4023&lt;51,'General Basis'!$B$46,IF(G4023&lt;56,'General Basis'!$B$47,IF(G4023&lt;60,'General Basis'!$B$48,IF(G4023&lt;65,'General Basis'!$B$49,'General Basis'!$B$50)))))))))))))</f>
        <v/>
      </c>
      <c r="BI4023" s="744" t="str">
        <f t="shared" si="1391"/>
        <v/>
      </c>
      <c r="BJ4023" s="747" t="str">
        <f t="shared" si="1398"/>
        <v/>
      </c>
      <c r="BK4023" s="498" t="str">
        <f t="shared" si="1392"/>
        <v/>
      </c>
      <c r="BL4023" s="498" t="str">
        <f t="shared" si="1393"/>
        <v/>
      </c>
    </row>
    <row r="4024" spans="1:64" x14ac:dyDescent="0.25">
      <c r="A4024" s="762">
        <f t="shared" si="1394"/>
        <v>4019</v>
      </c>
      <c r="B4024" s="229"/>
      <c r="C4024" s="223"/>
      <c r="D4024" s="224"/>
      <c r="E4024" s="225"/>
      <c r="F4024" s="1036" t="str">
        <f t="shared" si="1400"/>
        <v/>
      </c>
      <c r="G4024" s="1037" t="str">
        <f t="shared" si="1395"/>
        <v/>
      </c>
      <c r="H4024" s="225"/>
      <c r="I4024" s="1013"/>
      <c r="J4024" s="1013"/>
      <c r="K4024" s="1028"/>
      <c r="L4024" s="1035" t="str">
        <f t="shared" si="1399"/>
        <v/>
      </c>
      <c r="S4024" s="498"/>
      <c r="AJ4024" s="498"/>
      <c r="AM4024" s="498">
        <f t="shared" si="1380"/>
        <v>0</v>
      </c>
      <c r="AN4024" s="498">
        <f t="shared" si="1381"/>
        <v>0</v>
      </c>
      <c r="AO4024" s="498">
        <f t="shared" si="1382"/>
        <v>0</v>
      </c>
      <c r="AP4024" s="498">
        <f t="shared" si="1401"/>
        <v>0</v>
      </c>
      <c r="AQ4024" s="498">
        <f t="shared" si="1396"/>
        <v>0</v>
      </c>
      <c r="AU4024" s="498">
        <f t="shared" si="1383"/>
        <v>0</v>
      </c>
      <c r="AV4024" s="498">
        <f t="shared" si="1384"/>
        <v>0</v>
      </c>
      <c r="AW4024" s="498">
        <f t="shared" si="1385"/>
        <v>0</v>
      </c>
      <c r="AX4024" s="498">
        <f t="shared" si="1386"/>
        <v>0</v>
      </c>
      <c r="AY4024" s="498">
        <f t="shared" si="1387"/>
        <v>0</v>
      </c>
      <c r="BB4024" s="498" t="str">
        <f t="shared" si="1388"/>
        <v/>
      </c>
      <c r="BC4024" s="743" t="str">
        <f t="shared" si="1389"/>
        <v/>
      </c>
      <c r="BD4024" s="743" t="str">
        <f t="shared" si="1390"/>
        <v/>
      </c>
      <c r="BE4024" s="743" t="str">
        <f>IF(D4024="","",VLOOKUP(D4024,'General Basis'!$J$39:$K$46,2,0))</f>
        <v/>
      </c>
      <c r="BF4024" s="744" t="str">
        <f>IF(D4024="","",VLOOKUP(D4024,'General Basis'!$J$39:$L$46,3,0))</f>
        <v/>
      </c>
      <c r="BG4024" s="744" t="str">
        <f t="shared" si="1397"/>
        <v/>
      </c>
      <c r="BH4024" s="744" t="str">
        <f>IF(G4024="","",IF(BF4024="Abu Dhabi",IF(G4024&lt;18,'General Basis'!$C$39,IF(G4024&lt;41,'General Basis'!$C$40,IF(G4024&lt;60,'General Basis'!$C$41,IF(G4024&lt;65,'General Basis'!$C$42,'General Basis'!$C$43)))),IF(G4024&lt;11,'General Basis'!$B$39,IF(G4024&lt;18,'General Basis'!$B$40,IF(G4024&lt;26,'General Basis'!$B$41,IF(G4024&lt;31,'General Basis'!$B$42,IF(G4024&lt;36,'General Basis'!$B$43,IF(G4024&lt;41,'General Basis'!$B$44,IF(G4024&lt;46,'General Basis'!$B$45,IF(G4024&lt;51,'General Basis'!$B$46,IF(G4024&lt;56,'General Basis'!$B$47,IF(G4024&lt;60,'General Basis'!$B$48,IF(G4024&lt;65,'General Basis'!$B$49,'General Basis'!$B$50)))))))))))))</f>
        <v/>
      </c>
      <c r="BI4024" s="744" t="str">
        <f t="shared" si="1391"/>
        <v/>
      </c>
      <c r="BJ4024" s="747" t="str">
        <f t="shared" si="1398"/>
        <v/>
      </c>
      <c r="BK4024" s="498" t="str">
        <f t="shared" si="1392"/>
        <v/>
      </c>
      <c r="BL4024" s="498" t="str">
        <f t="shared" si="1393"/>
        <v/>
      </c>
    </row>
    <row r="4025" spans="1:64" x14ac:dyDescent="0.25">
      <c r="A4025" s="762">
        <f t="shared" si="1394"/>
        <v>4020</v>
      </c>
      <c r="B4025" s="229"/>
      <c r="C4025" s="223"/>
      <c r="D4025" s="224"/>
      <c r="E4025" s="225"/>
      <c r="F4025" s="1036" t="str">
        <f t="shared" si="1400"/>
        <v/>
      </c>
      <c r="G4025" s="1037" t="str">
        <f t="shared" si="1395"/>
        <v/>
      </c>
      <c r="H4025" s="225"/>
      <c r="I4025" s="1013"/>
      <c r="J4025" s="1013"/>
      <c r="K4025" s="1028"/>
      <c r="L4025" s="1035" t="str">
        <f t="shared" si="1399"/>
        <v/>
      </c>
      <c r="S4025" s="498"/>
      <c r="AJ4025" s="498"/>
      <c r="AM4025" s="498">
        <f t="shared" si="1380"/>
        <v>0</v>
      </c>
      <c r="AN4025" s="498">
        <f t="shared" si="1381"/>
        <v>0</v>
      </c>
      <c r="AO4025" s="498">
        <f t="shared" si="1382"/>
        <v>0</v>
      </c>
      <c r="AP4025" s="498">
        <f t="shared" si="1401"/>
        <v>0</v>
      </c>
      <c r="AQ4025" s="498">
        <f t="shared" si="1396"/>
        <v>0</v>
      </c>
      <c r="AU4025" s="498">
        <f t="shared" si="1383"/>
        <v>0</v>
      </c>
      <c r="AV4025" s="498">
        <f t="shared" si="1384"/>
        <v>0</v>
      </c>
      <c r="AW4025" s="498">
        <f t="shared" si="1385"/>
        <v>0</v>
      </c>
      <c r="AX4025" s="498">
        <f t="shared" si="1386"/>
        <v>0</v>
      </c>
      <c r="AY4025" s="498">
        <f t="shared" si="1387"/>
        <v>0</v>
      </c>
      <c r="BB4025" s="498" t="str">
        <f t="shared" si="1388"/>
        <v/>
      </c>
      <c r="BC4025" s="743" t="str">
        <f t="shared" si="1389"/>
        <v/>
      </c>
      <c r="BD4025" s="743" t="str">
        <f t="shared" si="1390"/>
        <v/>
      </c>
      <c r="BE4025" s="743" t="str">
        <f>IF(D4025="","",VLOOKUP(D4025,'General Basis'!$J$39:$K$46,2,0))</f>
        <v/>
      </c>
      <c r="BF4025" s="744" t="str">
        <f>IF(D4025="","",VLOOKUP(D4025,'General Basis'!$J$39:$L$46,3,0))</f>
        <v/>
      </c>
      <c r="BG4025" s="744" t="str">
        <f t="shared" si="1397"/>
        <v/>
      </c>
      <c r="BH4025" s="744" t="str">
        <f>IF(G4025="","",IF(BF4025="Abu Dhabi",IF(G4025&lt;18,'General Basis'!$C$39,IF(G4025&lt;41,'General Basis'!$C$40,IF(G4025&lt;60,'General Basis'!$C$41,IF(G4025&lt;65,'General Basis'!$C$42,'General Basis'!$C$43)))),IF(G4025&lt;11,'General Basis'!$B$39,IF(G4025&lt;18,'General Basis'!$B$40,IF(G4025&lt;26,'General Basis'!$B$41,IF(G4025&lt;31,'General Basis'!$B$42,IF(G4025&lt;36,'General Basis'!$B$43,IF(G4025&lt;41,'General Basis'!$B$44,IF(G4025&lt;46,'General Basis'!$B$45,IF(G4025&lt;51,'General Basis'!$B$46,IF(G4025&lt;56,'General Basis'!$B$47,IF(G4025&lt;60,'General Basis'!$B$48,IF(G4025&lt;65,'General Basis'!$B$49,'General Basis'!$B$50)))))))))))))</f>
        <v/>
      </c>
      <c r="BI4025" s="744" t="str">
        <f t="shared" si="1391"/>
        <v/>
      </c>
      <c r="BJ4025" s="747" t="str">
        <f t="shared" si="1398"/>
        <v/>
      </c>
      <c r="BK4025" s="498" t="str">
        <f t="shared" si="1392"/>
        <v/>
      </c>
      <c r="BL4025" s="498" t="str">
        <f t="shared" si="1393"/>
        <v/>
      </c>
    </row>
    <row r="4026" spans="1:64" x14ac:dyDescent="0.25">
      <c r="A4026" s="762">
        <f t="shared" si="1394"/>
        <v>4021</v>
      </c>
      <c r="B4026" s="229"/>
      <c r="C4026" s="223"/>
      <c r="D4026" s="224"/>
      <c r="E4026" s="225"/>
      <c r="F4026" s="1036" t="str">
        <f t="shared" si="1400"/>
        <v/>
      </c>
      <c r="G4026" s="1037" t="str">
        <f t="shared" si="1395"/>
        <v/>
      </c>
      <c r="H4026" s="225"/>
      <c r="I4026" s="1013"/>
      <c r="J4026" s="1013"/>
      <c r="K4026" s="1028"/>
      <c r="L4026" s="1035" t="str">
        <f t="shared" si="1399"/>
        <v/>
      </c>
      <c r="S4026" s="498"/>
      <c r="AJ4026" s="498"/>
      <c r="AM4026" s="498">
        <f t="shared" si="1380"/>
        <v>0</v>
      </c>
      <c r="AN4026" s="498">
        <f t="shared" si="1381"/>
        <v>0</v>
      </c>
      <c r="AO4026" s="498">
        <f t="shared" si="1382"/>
        <v>0</v>
      </c>
      <c r="AP4026" s="498">
        <f t="shared" si="1401"/>
        <v>0</v>
      </c>
      <c r="AQ4026" s="498">
        <f t="shared" si="1396"/>
        <v>0</v>
      </c>
      <c r="AU4026" s="498">
        <f t="shared" si="1383"/>
        <v>0</v>
      </c>
      <c r="AV4026" s="498">
        <f t="shared" si="1384"/>
        <v>0</v>
      </c>
      <c r="AW4026" s="498">
        <f t="shared" si="1385"/>
        <v>0</v>
      </c>
      <c r="AX4026" s="498">
        <f t="shared" si="1386"/>
        <v>0</v>
      </c>
      <c r="AY4026" s="498">
        <f t="shared" si="1387"/>
        <v>0</v>
      </c>
      <c r="BB4026" s="498" t="str">
        <f t="shared" si="1388"/>
        <v/>
      </c>
      <c r="BC4026" s="743" t="str">
        <f t="shared" si="1389"/>
        <v/>
      </c>
      <c r="BD4026" s="743" t="str">
        <f t="shared" si="1390"/>
        <v/>
      </c>
      <c r="BE4026" s="743" t="str">
        <f>IF(D4026="","",VLOOKUP(D4026,'General Basis'!$J$39:$K$46,2,0))</f>
        <v/>
      </c>
      <c r="BF4026" s="744" t="str">
        <f>IF(D4026="","",VLOOKUP(D4026,'General Basis'!$J$39:$L$46,3,0))</f>
        <v/>
      </c>
      <c r="BG4026" s="744" t="str">
        <f t="shared" si="1397"/>
        <v/>
      </c>
      <c r="BH4026" s="744" t="str">
        <f>IF(G4026="","",IF(BF4026="Abu Dhabi",IF(G4026&lt;18,'General Basis'!$C$39,IF(G4026&lt;41,'General Basis'!$C$40,IF(G4026&lt;60,'General Basis'!$C$41,IF(G4026&lt;65,'General Basis'!$C$42,'General Basis'!$C$43)))),IF(G4026&lt;11,'General Basis'!$B$39,IF(G4026&lt;18,'General Basis'!$B$40,IF(G4026&lt;26,'General Basis'!$B$41,IF(G4026&lt;31,'General Basis'!$B$42,IF(G4026&lt;36,'General Basis'!$B$43,IF(G4026&lt;41,'General Basis'!$B$44,IF(G4026&lt;46,'General Basis'!$B$45,IF(G4026&lt;51,'General Basis'!$B$46,IF(G4026&lt;56,'General Basis'!$B$47,IF(G4026&lt;60,'General Basis'!$B$48,IF(G4026&lt;65,'General Basis'!$B$49,'General Basis'!$B$50)))))))))))))</f>
        <v/>
      </c>
      <c r="BI4026" s="744" t="str">
        <f t="shared" si="1391"/>
        <v/>
      </c>
      <c r="BJ4026" s="747" t="str">
        <f t="shared" si="1398"/>
        <v/>
      </c>
      <c r="BK4026" s="498" t="str">
        <f t="shared" si="1392"/>
        <v/>
      </c>
      <c r="BL4026" s="498" t="str">
        <f t="shared" si="1393"/>
        <v/>
      </c>
    </row>
    <row r="4027" spans="1:64" x14ac:dyDescent="0.25">
      <c r="A4027" s="762">
        <f t="shared" si="1394"/>
        <v>4022</v>
      </c>
      <c r="B4027" s="229"/>
      <c r="C4027" s="223"/>
      <c r="D4027" s="224"/>
      <c r="E4027" s="225"/>
      <c r="F4027" s="1036" t="str">
        <f t="shared" si="1400"/>
        <v/>
      </c>
      <c r="G4027" s="1037" t="str">
        <f t="shared" si="1395"/>
        <v/>
      </c>
      <c r="H4027" s="225"/>
      <c r="I4027" s="1013"/>
      <c r="J4027" s="1013"/>
      <c r="K4027" s="1028"/>
      <c r="L4027" s="1035" t="str">
        <f t="shared" si="1399"/>
        <v/>
      </c>
      <c r="S4027" s="498"/>
      <c r="AJ4027" s="498"/>
      <c r="AM4027" s="498">
        <f t="shared" si="1380"/>
        <v>0</v>
      </c>
      <c r="AN4027" s="498">
        <f t="shared" si="1381"/>
        <v>0</v>
      </c>
      <c r="AO4027" s="498">
        <f t="shared" si="1382"/>
        <v>0</v>
      </c>
      <c r="AP4027" s="498">
        <f t="shared" si="1401"/>
        <v>0</v>
      </c>
      <c r="AQ4027" s="498">
        <f t="shared" si="1396"/>
        <v>0</v>
      </c>
      <c r="AU4027" s="498">
        <f t="shared" si="1383"/>
        <v>0</v>
      </c>
      <c r="AV4027" s="498">
        <f t="shared" si="1384"/>
        <v>0</v>
      </c>
      <c r="AW4027" s="498">
        <f t="shared" si="1385"/>
        <v>0</v>
      </c>
      <c r="AX4027" s="498">
        <f t="shared" si="1386"/>
        <v>0</v>
      </c>
      <c r="AY4027" s="498">
        <f t="shared" si="1387"/>
        <v>0</v>
      </c>
      <c r="BB4027" s="498" t="str">
        <f t="shared" si="1388"/>
        <v/>
      </c>
      <c r="BC4027" s="743" t="str">
        <f t="shared" si="1389"/>
        <v/>
      </c>
      <c r="BD4027" s="743" t="str">
        <f t="shared" si="1390"/>
        <v/>
      </c>
      <c r="BE4027" s="743" t="str">
        <f>IF(D4027="","",VLOOKUP(D4027,'General Basis'!$J$39:$K$46,2,0))</f>
        <v/>
      </c>
      <c r="BF4027" s="744" t="str">
        <f>IF(D4027="","",VLOOKUP(D4027,'General Basis'!$J$39:$L$46,3,0))</f>
        <v/>
      </c>
      <c r="BG4027" s="744" t="str">
        <f t="shared" si="1397"/>
        <v/>
      </c>
      <c r="BH4027" s="744" t="str">
        <f>IF(G4027="","",IF(BF4027="Abu Dhabi",IF(G4027&lt;18,'General Basis'!$C$39,IF(G4027&lt;41,'General Basis'!$C$40,IF(G4027&lt;60,'General Basis'!$C$41,IF(G4027&lt;65,'General Basis'!$C$42,'General Basis'!$C$43)))),IF(G4027&lt;11,'General Basis'!$B$39,IF(G4027&lt;18,'General Basis'!$B$40,IF(G4027&lt;26,'General Basis'!$B$41,IF(G4027&lt;31,'General Basis'!$B$42,IF(G4027&lt;36,'General Basis'!$B$43,IF(G4027&lt;41,'General Basis'!$B$44,IF(G4027&lt;46,'General Basis'!$B$45,IF(G4027&lt;51,'General Basis'!$B$46,IF(G4027&lt;56,'General Basis'!$B$47,IF(G4027&lt;60,'General Basis'!$B$48,IF(G4027&lt;65,'General Basis'!$B$49,'General Basis'!$B$50)))))))))))))</f>
        <v/>
      </c>
      <c r="BI4027" s="744" t="str">
        <f t="shared" si="1391"/>
        <v/>
      </c>
      <c r="BJ4027" s="747" t="str">
        <f t="shared" si="1398"/>
        <v/>
      </c>
      <c r="BK4027" s="498" t="str">
        <f t="shared" si="1392"/>
        <v/>
      </c>
      <c r="BL4027" s="498" t="str">
        <f t="shared" si="1393"/>
        <v/>
      </c>
    </row>
    <row r="4028" spans="1:64" x14ac:dyDescent="0.25">
      <c r="A4028" s="762">
        <f t="shared" si="1394"/>
        <v>4023</v>
      </c>
      <c r="B4028" s="229"/>
      <c r="C4028" s="223"/>
      <c r="D4028" s="224"/>
      <c r="E4028" s="225"/>
      <c r="F4028" s="1036" t="str">
        <f t="shared" si="1400"/>
        <v/>
      </c>
      <c r="G4028" s="1037" t="str">
        <f t="shared" si="1395"/>
        <v/>
      </c>
      <c r="H4028" s="225"/>
      <c r="I4028" s="1013"/>
      <c r="J4028" s="1013"/>
      <c r="K4028" s="1028"/>
      <c r="L4028" s="1035" t="str">
        <f t="shared" si="1399"/>
        <v/>
      </c>
      <c r="S4028" s="498"/>
      <c r="AJ4028" s="498"/>
      <c r="AM4028" s="498">
        <f t="shared" si="1380"/>
        <v>0</v>
      </c>
      <c r="AN4028" s="498">
        <f t="shared" si="1381"/>
        <v>0</v>
      </c>
      <c r="AO4028" s="498">
        <f t="shared" si="1382"/>
        <v>0</v>
      </c>
      <c r="AP4028" s="498">
        <f t="shared" si="1401"/>
        <v>0</v>
      </c>
      <c r="AQ4028" s="498">
        <f t="shared" si="1396"/>
        <v>0</v>
      </c>
      <c r="AU4028" s="498">
        <f t="shared" si="1383"/>
        <v>0</v>
      </c>
      <c r="AV4028" s="498">
        <f t="shared" si="1384"/>
        <v>0</v>
      </c>
      <c r="AW4028" s="498">
        <f t="shared" si="1385"/>
        <v>0</v>
      </c>
      <c r="AX4028" s="498">
        <f t="shared" si="1386"/>
        <v>0</v>
      </c>
      <c r="AY4028" s="498">
        <f t="shared" si="1387"/>
        <v>0</v>
      </c>
      <c r="BB4028" s="498" t="str">
        <f t="shared" si="1388"/>
        <v/>
      </c>
      <c r="BC4028" s="743" t="str">
        <f t="shared" si="1389"/>
        <v/>
      </c>
      <c r="BD4028" s="743" t="str">
        <f t="shared" si="1390"/>
        <v/>
      </c>
      <c r="BE4028" s="743" t="str">
        <f>IF(D4028="","",VLOOKUP(D4028,'General Basis'!$J$39:$K$46,2,0))</f>
        <v/>
      </c>
      <c r="BF4028" s="744" t="str">
        <f>IF(D4028="","",VLOOKUP(D4028,'General Basis'!$J$39:$L$46,3,0))</f>
        <v/>
      </c>
      <c r="BG4028" s="744" t="str">
        <f t="shared" si="1397"/>
        <v/>
      </c>
      <c r="BH4028" s="744" t="str">
        <f>IF(G4028="","",IF(BF4028="Abu Dhabi",IF(G4028&lt;18,'General Basis'!$C$39,IF(G4028&lt;41,'General Basis'!$C$40,IF(G4028&lt;60,'General Basis'!$C$41,IF(G4028&lt;65,'General Basis'!$C$42,'General Basis'!$C$43)))),IF(G4028&lt;11,'General Basis'!$B$39,IF(G4028&lt;18,'General Basis'!$B$40,IF(G4028&lt;26,'General Basis'!$B$41,IF(G4028&lt;31,'General Basis'!$B$42,IF(G4028&lt;36,'General Basis'!$B$43,IF(G4028&lt;41,'General Basis'!$B$44,IF(G4028&lt;46,'General Basis'!$B$45,IF(G4028&lt;51,'General Basis'!$B$46,IF(G4028&lt;56,'General Basis'!$B$47,IF(G4028&lt;60,'General Basis'!$B$48,IF(G4028&lt;65,'General Basis'!$B$49,'General Basis'!$B$50)))))))))))))</f>
        <v/>
      </c>
      <c r="BI4028" s="744" t="str">
        <f t="shared" si="1391"/>
        <v/>
      </c>
      <c r="BJ4028" s="747" t="str">
        <f t="shared" si="1398"/>
        <v/>
      </c>
      <c r="BK4028" s="498" t="str">
        <f t="shared" si="1392"/>
        <v/>
      </c>
      <c r="BL4028" s="498" t="str">
        <f t="shared" si="1393"/>
        <v/>
      </c>
    </row>
    <row r="4029" spans="1:64" x14ac:dyDescent="0.25">
      <c r="A4029" s="762">
        <f t="shared" si="1394"/>
        <v>4024</v>
      </c>
      <c r="B4029" s="229"/>
      <c r="C4029" s="223"/>
      <c r="D4029" s="224"/>
      <c r="E4029" s="225"/>
      <c r="F4029" s="1036" t="str">
        <f t="shared" si="1400"/>
        <v/>
      </c>
      <c r="G4029" s="1037" t="str">
        <f t="shared" si="1395"/>
        <v/>
      </c>
      <c r="H4029" s="225"/>
      <c r="I4029" s="1013"/>
      <c r="J4029" s="1013"/>
      <c r="K4029" s="1028"/>
      <c r="L4029" s="1035" t="str">
        <f t="shared" si="1399"/>
        <v/>
      </c>
      <c r="S4029" s="498"/>
      <c r="AJ4029" s="498"/>
      <c r="AM4029" s="498">
        <f t="shared" si="1380"/>
        <v>0</v>
      </c>
      <c r="AN4029" s="498">
        <f t="shared" si="1381"/>
        <v>0</v>
      </c>
      <c r="AO4029" s="498">
        <f t="shared" si="1382"/>
        <v>0</v>
      </c>
      <c r="AP4029" s="498">
        <f t="shared" si="1401"/>
        <v>0</v>
      </c>
      <c r="AQ4029" s="498">
        <f t="shared" si="1396"/>
        <v>0</v>
      </c>
      <c r="AU4029" s="498">
        <f t="shared" si="1383"/>
        <v>0</v>
      </c>
      <c r="AV4029" s="498">
        <f t="shared" si="1384"/>
        <v>0</v>
      </c>
      <c r="AW4029" s="498">
        <f t="shared" si="1385"/>
        <v>0</v>
      </c>
      <c r="AX4029" s="498">
        <f t="shared" si="1386"/>
        <v>0</v>
      </c>
      <c r="AY4029" s="498">
        <f t="shared" si="1387"/>
        <v>0</v>
      </c>
      <c r="BB4029" s="498" t="str">
        <f t="shared" si="1388"/>
        <v/>
      </c>
      <c r="BC4029" s="743" t="str">
        <f t="shared" si="1389"/>
        <v/>
      </c>
      <c r="BD4029" s="743" t="str">
        <f t="shared" si="1390"/>
        <v/>
      </c>
      <c r="BE4029" s="743" t="str">
        <f>IF(D4029="","",VLOOKUP(D4029,'General Basis'!$J$39:$K$46,2,0))</f>
        <v/>
      </c>
      <c r="BF4029" s="744" t="str">
        <f>IF(D4029="","",VLOOKUP(D4029,'General Basis'!$J$39:$L$46,3,0))</f>
        <v/>
      </c>
      <c r="BG4029" s="744" t="str">
        <f t="shared" si="1397"/>
        <v/>
      </c>
      <c r="BH4029" s="744" t="str">
        <f>IF(G4029="","",IF(BF4029="Abu Dhabi",IF(G4029&lt;18,'General Basis'!$C$39,IF(G4029&lt;41,'General Basis'!$C$40,IF(G4029&lt;60,'General Basis'!$C$41,IF(G4029&lt;65,'General Basis'!$C$42,'General Basis'!$C$43)))),IF(G4029&lt;11,'General Basis'!$B$39,IF(G4029&lt;18,'General Basis'!$B$40,IF(G4029&lt;26,'General Basis'!$B$41,IF(G4029&lt;31,'General Basis'!$B$42,IF(G4029&lt;36,'General Basis'!$B$43,IF(G4029&lt;41,'General Basis'!$B$44,IF(G4029&lt;46,'General Basis'!$B$45,IF(G4029&lt;51,'General Basis'!$B$46,IF(G4029&lt;56,'General Basis'!$B$47,IF(G4029&lt;60,'General Basis'!$B$48,IF(G4029&lt;65,'General Basis'!$B$49,'General Basis'!$B$50)))))))))))))</f>
        <v/>
      </c>
      <c r="BI4029" s="744" t="str">
        <f t="shared" si="1391"/>
        <v/>
      </c>
      <c r="BJ4029" s="747" t="str">
        <f t="shared" si="1398"/>
        <v/>
      </c>
      <c r="BK4029" s="498" t="str">
        <f t="shared" si="1392"/>
        <v/>
      </c>
      <c r="BL4029" s="498" t="str">
        <f t="shared" si="1393"/>
        <v/>
      </c>
    </row>
    <row r="4030" spans="1:64" x14ac:dyDescent="0.25">
      <c r="A4030" s="762">
        <f t="shared" si="1394"/>
        <v>4025</v>
      </c>
      <c r="B4030" s="229"/>
      <c r="C4030" s="223"/>
      <c r="D4030" s="224"/>
      <c r="E4030" s="225"/>
      <c r="F4030" s="1036" t="str">
        <f t="shared" si="1400"/>
        <v/>
      </c>
      <c r="G4030" s="1037" t="str">
        <f t="shared" si="1395"/>
        <v/>
      </c>
      <c r="H4030" s="225"/>
      <c r="I4030" s="1013"/>
      <c r="J4030" s="1013"/>
      <c r="K4030" s="1028"/>
      <c r="L4030" s="1035" t="str">
        <f t="shared" si="1399"/>
        <v/>
      </c>
      <c r="S4030" s="498"/>
      <c r="AJ4030" s="498"/>
      <c r="AM4030" s="498">
        <f t="shared" si="1380"/>
        <v>0</v>
      </c>
      <c r="AN4030" s="498">
        <f t="shared" si="1381"/>
        <v>0</v>
      </c>
      <c r="AO4030" s="498">
        <f t="shared" si="1382"/>
        <v>0</v>
      </c>
      <c r="AP4030" s="498">
        <f t="shared" si="1401"/>
        <v>0</v>
      </c>
      <c r="AQ4030" s="498">
        <f t="shared" si="1396"/>
        <v>0</v>
      </c>
      <c r="AU4030" s="498">
        <f t="shared" si="1383"/>
        <v>0</v>
      </c>
      <c r="AV4030" s="498">
        <f t="shared" si="1384"/>
        <v>0</v>
      </c>
      <c r="AW4030" s="498">
        <f t="shared" si="1385"/>
        <v>0</v>
      </c>
      <c r="AX4030" s="498">
        <f t="shared" si="1386"/>
        <v>0</v>
      </c>
      <c r="AY4030" s="498">
        <f t="shared" si="1387"/>
        <v>0</v>
      </c>
      <c r="BB4030" s="498" t="str">
        <f t="shared" si="1388"/>
        <v/>
      </c>
      <c r="BC4030" s="743" t="str">
        <f t="shared" si="1389"/>
        <v/>
      </c>
      <c r="BD4030" s="743" t="str">
        <f t="shared" si="1390"/>
        <v/>
      </c>
      <c r="BE4030" s="743" t="str">
        <f>IF(D4030="","",VLOOKUP(D4030,'General Basis'!$J$39:$K$46,2,0))</f>
        <v/>
      </c>
      <c r="BF4030" s="744" t="str">
        <f>IF(D4030="","",VLOOKUP(D4030,'General Basis'!$J$39:$L$46,3,0))</f>
        <v/>
      </c>
      <c r="BG4030" s="744" t="str">
        <f t="shared" si="1397"/>
        <v/>
      </c>
      <c r="BH4030" s="744" t="str">
        <f>IF(G4030="","",IF(BF4030="Abu Dhabi",IF(G4030&lt;18,'General Basis'!$C$39,IF(G4030&lt;41,'General Basis'!$C$40,IF(G4030&lt;60,'General Basis'!$C$41,IF(G4030&lt;65,'General Basis'!$C$42,'General Basis'!$C$43)))),IF(G4030&lt;11,'General Basis'!$B$39,IF(G4030&lt;18,'General Basis'!$B$40,IF(G4030&lt;26,'General Basis'!$B$41,IF(G4030&lt;31,'General Basis'!$B$42,IF(G4030&lt;36,'General Basis'!$B$43,IF(G4030&lt;41,'General Basis'!$B$44,IF(G4030&lt;46,'General Basis'!$B$45,IF(G4030&lt;51,'General Basis'!$B$46,IF(G4030&lt;56,'General Basis'!$B$47,IF(G4030&lt;60,'General Basis'!$B$48,IF(G4030&lt;65,'General Basis'!$B$49,'General Basis'!$B$50)))))))))))))</f>
        <v/>
      </c>
      <c r="BI4030" s="744" t="str">
        <f t="shared" si="1391"/>
        <v/>
      </c>
      <c r="BJ4030" s="747" t="str">
        <f t="shared" si="1398"/>
        <v/>
      </c>
      <c r="BK4030" s="498" t="str">
        <f t="shared" si="1392"/>
        <v/>
      </c>
      <c r="BL4030" s="498" t="str">
        <f t="shared" si="1393"/>
        <v/>
      </c>
    </row>
    <row r="4031" spans="1:64" x14ac:dyDescent="0.25">
      <c r="A4031" s="762">
        <f t="shared" si="1394"/>
        <v>4026</v>
      </c>
      <c r="B4031" s="229"/>
      <c r="C4031" s="223"/>
      <c r="D4031" s="224"/>
      <c r="E4031" s="225"/>
      <c r="F4031" s="1036" t="str">
        <f t="shared" si="1400"/>
        <v/>
      </c>
      <c r="G4031" s="1037" t="str">
        <f t="shared" si="1395"/>
        <v/>
      </c>
      <c r="H4031" s="225"/>
      <c r="I4031" s="1013"/>
      <c r="J4031" s="1013"/>
      <c r="K4031" s="1028"/>
      <c r="L4031" s="1035" t="str">
        <f t="shared" si="1399"/>
        <v/>
      </c>
      <c r="S4031" s="498"/>
      <c r="AJ4031" s="498"/>
      <c r="AM4031" s="498">
        <f t="shared" si="1380"/>
        <v>0</v>
      </c>
      <c r="AN4031" s="498">
        <f t="shared" si="1381"/>
        <v>0</v>
      </c>
      <c r="AO4031" s="498">
        <f t="shared" si="1382"/>
        <v>0</v>
      </c>
      <c r="AP4031" s="498">
        <f t="shared" si="1401"/>
        <v>0</v>
      </c>
      <c r="AQ4031" s="498">
        <f t="shared" si="1396"/>
        <v>0</v>
      </c>
      <c r="AU4031" s="498">
        <f t="shared" si="1383"/>
        <v>0</v>
      </c>
      <c r="AV4031" s="498">
        <f t="shared" si="1384"/>
        <v>0</v>
      </c>
      <c r="AW4031" s="498">
        <f t="shared" si="1385"/>
        <v>0</v>
      </c>
      <c r="AX4031" s="498">
        <f t="shared" si="1386"/>
        <v>0</v>
      </c>
      <c r="AY4031" s="498">
        <f t="shared" si="1387"/>
        <v>0</v>
      </c>
      <c r="BB4031" s="498" t="str">
        <f t="shared" si="1388"/>
        <v/>
      </c>
      <c r="BC4031" s="743" t="str">
        <f t="shared" si="1389"/>
        <v/>
      </c>
      <c r="BD4031" s="743" t="str">
        <f t="shared" si="1390"/>
        <v/>
      </c>
      <c r="BE4031" s="743" t="str">
        <f>IF(D4031="","",VLOOKUP(D4031,'General Basis'!$J$39:$K$46,2,0))</f>
        <v/>
      </c>
      <c r="BF4031" s="744" t="str">
        <f>IF(D4031="","",VLOOKUP(D4031,'General Basis'!$J$39:$L$46,3,0))</f>
        <v/>
      </c>
      <c r="BG4031" s="744" t="str">
        <f t="shared" si="1397"/>
        <v/>
      </c>
      <c r="BH4031" s="744" t="str">
        <f>IF(G4031="","",IF(BF4031="Abu Dhabi",IF(G4031&lt;18,'General Basis'!$C$39,IF(G4031&lt;41,'General Basis'!$C$40,IF(G4031&lt;60,'General Basis'!$C$41,IF(G4031&lt;65,'General Basis'!$C$42,'General Basis'!$C$43)))),IF(G4031&lt;11,'General Basis'!$B$39,IF(G4031&lt;18,'General Basis'!$B$40,IF(G4031&lt;26,'General Basis'!$B$41,IF(G4031&lt;31,'General Basis'!$B$42,IF(G4031&lt;36,'General Basis'!$B$43,IF(G4031&lt;41,'General Basis'!$B$44,IF(G4031&lt;46,'General Basis'!$B$45,IF(G4031&lt;51,'General Basis'!$B$46,IF(G4031&lt;56,'General Basis'!$B$47,IF(G4031&lt;60,'General Basis'!$B$48,IF(G4031&lt;65,'General Basis'!$B$49,'General Basis'!$B$50)))))))))))))</f>
        <v/>
      </c>
      <c r="BI4031" s="744" t="str">
        <f t="shared" si="1391"/>
        <v/>
      </c>
      <c r="BJ4031" s="747" t="str">
        <f t="shared" si="1398"/>
        <v/>
      </c>
      <c r="BK4031" s="498" t="str">
        <f t="shared" si="1392"/>
        <v/>
      </c>
      <c r="BL4031" s="498" t="str">
        <f t="shared" si="1393"/>
        <v/>
      </c>
    </row>
    <row r="4032" spans="1:64" x14ac:dyDescent="0.25">
      <c r="A4032" s="762">
        <f t="shared" si="1394"/>
        <v>4027</v>
      </c>
      <c r="B4032" s="229"/>
      <c r="C4032" s="223"/>
      <c r="D4032" s="224"/>
      <c r="E4032" s="225"/>
      <c r="F4032" s="1036" t="str">
        <f t="shared" si="1400"/>
        <v/>
      </c>
      <c r="G4032" s="1037" t="str">
        <f t="shared" si="1395"/>
        <v/>
      </c>
      <c r="H4032" s="225"/>
      <c r="I4032" s="1013"/>
      <c r="J4032" s="1013"/>
      <c r="K4032" s="1028"/>
      <c r="L4032" s="1035" t="str">
        <f t="shared" si="1399"/>
        <v/>
      </c>
      <c r="S4032" s="498"/>
      <c r="AJ4032" s="498"/>
      <c r="AM4032" s="498">
        <f t="shared" si="1380"/>
        <v>0</v>
      </c>
      <c r="AN4032" s="498">
        <f t="shared" si="1381"/>
        <v>0</v>
      </c>
      <c r="AO4032" s="498">
        <f t="shared" si="1382"/>
        <v>0</v>
      </c>
      <c r="AP4032" s="498">
        <f t="shared" si="1401"/>
        <v>0</v>
      </c>
      <c r="AQ4032" s="498">
        <f t="shared" si="1396"/>
        <v>0</v>
      </c>
      <c r="AU4032" s="498">
        <f t="shared" si="1383"/>
        <v>0</v>
      </c>
      <c r="AV4032" s="498">
        <f t="shared" si="1384"/>
        <v>0</v>
      </c>
      <c r="AW4032" s="498">
        <f t="shared" si="1385"/>
        <v>0</v>
      </c>
      <c r="AX4032" s="498">
        <f t="shared" si="1386"/>
        <v>0</v>
      </c>
      <c r="AY4032" s="498">
        <f t="shared" si="1387"/>
        <v>0</v>
      </c>
      <c r="BB4032" s="498" t="str">
        <f t="shared" si="1388"/>
        <v/>
      </c>
      <c r="BC4032" s="743" t="str">
        <f t="shared" si="1389"/>
        <v/>
      </c>
      <c r="BD4032" s="743" t="str">
        <f t="shared" si="1390"/>
        <v/>
      </c>
      <c r="BE4032" s="743" t="str">
        <f>IF(D4032="","",VLOOKUP(D4032,'General Basis'!$J$39:$K$46,2,0))</f>
        <v/>
      </c>
      <c r="BF4032" s="744" t="str">
        <f>IF(D4032="","",VLOOKUP(D4032,'General Basis'!$J$39:$L$46,3,0))</f>
        <v/>
      </c>
      <c r="BG4032" s="744" t="str">
        <f t="shared" si="1397"/>
        <v/>
      </c>
      <c r="BH4032" s="744" t="str">
        <f>IF(G4032="","",IF(BF4032="Abu Dhabi",IF(G4032&lt;18,'General Basis'!$C$39,IF(G4032&lt;41,'General Basis'!$C$40,IF(G4032&lt;60,'General Basis'!$C$41,IF(G4032&lt;65,'General Basis'!$C$42,'General Basis'!$C$43)))),IF(G4032&lt;11,'General Basis'!$B$39,IF(G4032&lt;18,'General Basis'!$B$40,IF(G4032&lt;26,'General Basis'!$B$41,IF(G4032&lt;31,'General Basis'!$B$42,IF(G4032&lt;36,'General Basis'!$B$43,IF(G4032&lt;41,'General Basis'!$B$44,IF(G4032&lt;46,'General Basis'!$B$45,IF(G4032&lt;51,'General Basis'!$B$46,IF(G4032&lt;56,'General Basis'!$B$47,IF(G4032&lt;60,'General Basis'!$B$48,IF(G4032&lt;65,'General Basis'!$B$49,'General Basis'!$B$50)))))))))))))</f>
        <v/>
      </c>
      <c r="BI4032" s="744" t="str">
        <f t="shared" si="1391"/>
        <v/>
      </c>
      <c r="BJ4032" s="747" t="str">
        <f t="shared" si="1398"/>
        <v/>
      </c>
      <c r="BK4032" s="498" t="str">
        <f t="shared" si="1392"/>
        <v/>
      </c>
      <c r="BL4032" s="498" t="str">
        <f t="shared" si="1393"/>
        <v/>
      </c>
    </row>
    <row r="4033" spans="1:64" x14ac:dyDescent="0.25">
      <c r="A4033" s="762">
        <f t="shared" si="1394"/>
        <v>4028</v>
      </c>
      <c r="B4033" s="229"/>
      <c r="C4033" s="223"/>
      <c r="D4033" s="224"/>
      <c r="E4033" s="225"/>
      <c r="F4033" s="1036" t="str">
        <f t="shared" si="1400"/>
        <v/>
      </c>
      <c r="G4033" s="1037" t="str">
        <f t="shared" si="1395"/>
        <v/>
      </c>
      <c r="H4033" s="225"/>
      <c r="I4033" s="1013"/>
      <c r="J4033" s="1013"/>
      <c r="K4033" s="1028"/>
      <c r="L4033" s="1035" t="str">
        <f t="shared" si="1399"/>
        <v/>
      </c>
      <c r="S4033" s="498"/>
      <c r="AJ4033" s="498"/>
      <c r="AM4033" s="498">
        <f t="shared" si="1380"/>
        <v>0</v>
      </c>
      <c r="AN4033" s="498">
        <f t="shared" si="1381"/>
        <v>0</v>
      </c>
      <c r="AO4033" s="498">
        <f t="shared" si="1382"/>
        <v>0</v>
      </c>
      <c r="AP4033" s="498">
        <f t="shared" si="1401"/>
        <v>0</v>
      </c>
      <c r="AQ4033" s="498">
        <f t="shared" si="1396"/>
        <v>0</v>
      </c>
      <c r="AU4033" s="498">
        <f t="shared" si="1383"/>
        <v>0</v>
      </c>
      <c r="AV4033" s="498">
        <f t="shared" si="1384"/>
        <v>0</v>
      </c>
      <c r="AW4033" s="498">
        <f t="shared" si="1385"/>
        <v>0</v>
      </c>
      <c r="AX4033" s="498">
        <f t="shared" si="1386"/>
        <v>0</v>
      </c>
      <c r="AY4033" s="498">
        <f t="shared" si="1387"/>
        <v>0</v>
      </c>
      <c r="BB4033" s="498" t="str">
        <f t="shared" si="1388"/>
        <v/>
      </c>
      <c r="BC4033" s="743" t="str">
        <f t="shared" si="1389"/>
        <v/>
      </c>
      <c r="BD4033" s="743" t="str">
        <f t="shared" si="1390"/>
        <v/>
      </c>
      <c r="BE4033" s="743" t="str">
        <f>IF(D4033="","",VLOOKUP(D4033,'General Basis'!$J$39:$K$46,2,0))</f>
        <v/>
      </c>
      <c r="BF4033" s="744" t="str">
        <f>IF(D4033="","",VLOOKUP(D4033,'General Basis'!$J$39:$L$46,3,0))</f>
        <v/>
      </c>
      <c r="BG4033" s="744" t="str">
        <f t="shared" si="1397"/>
        <v/>
      </c>
      <c r="BH4033" s="744" t="str">
        <f>IF(G4033="","",IF(BF4033="Abu Dhabi",IF(G4033&lt;18,'General Basis'!$C$39,IF(G4033&lt;41,'General Basis'!$C$40,IF(G4033&lt;60,'General Basis'!$C$41,IF(G4033&lt;65,'General Basis'!$C$42,'General Basis'!$C$43)))),IF(G4033&lt;11,'General Basis'!$B$39,IF(G4033&lt;18,'General Basis'!$B$40,IF(G4033&lt;26,'General Basis'!$B$41,IF(G4033&lt;31,'General Basis'!$B$42,IF(G4033&lt;36,'General Basis'!$B$43,IF(G4033&lt;41,'General Basis'!$B$44,IF(G4033&lt;46,'General Basis'!$B$45,IF(G4033&lt;51,'General Basis'!$B$46,IF(G4033&lt;56,'General Basis'!$B$47,IF(G4033&lt;60,'General Basis'!$B$48,IF(G4033&lt;65,'General Basis'!$B$49,'General Basis'!$B$50)))))))))))))</f>
        <v/>
      </c>
      <c r="BI4033" s="744" t="str">
        <f t="shared" si="1391"/>
        <v/>
      </c>
      <c r="BJ4033" s="747" t="str">
        <f t="shared" si="1398"/>
        <v/>
      </c>
      <c r="BK4033" s="498" t="str">
        <f t="shared" si="1392"/>
        <v/>
      </c>
      <c r="BL4033" s="498" t="str">
        <f t="shared" si="1393"/>
        <v/>
      </c>
    </row>
    <row r="4034" spans="1:64" x14ac:dyDescent="0.25">
      <c r="A4034" s="762">
        <f t="shared" si="1394"/>
        <v>4029</v>
      </c>
      <c r="B4034" s="229"/>
      <c r="C4034" s="223"/>
      <c r="D4034" s="224"/>
      <c r="E4034" s="225"/>
      <c r="F4034" s="1036" t="str">
        <f t="shared" si="1400"/>
        <v/>
      </c>
      <c r="G4034" s="1037" t="str">
        <f t="shared" si="1395"/>
        <v/>
      </c>
      <c r="H4034" s="225"/>
      <c r="I4034" s="1013"/>
      <c r="J4034" s="1013"/>
      <c r="K4034" s="1028"/>
      <c r="L4034" s="1035" t="str">
        <f t="shared" si="1399"/>
        <v/>
      </c>
      <c r="S4034" s="498"/>
      <c r="AJ4034" s="498"/>
      <c r="AM4034" s="498">
        <f t="shared" si="1380"/>
        <v>0</v>
      </c>
      <c r="AN4034" s="498">
        <f t="shared" si="1381"/>
        <v>0</v>
      </c>
      <c r="AO4034" s="498">
        <f t="shared" si="1382"/>
        <v>0</v>
      </c>
      <c r="AP4034" s="498">
        <f t="shared" si="1401"/>
        <v>0</v>
      </c>
      <c r="AQ4034" s="498">
        <f t="shared" si="1396"/>
        <v>0</v>
      </c>
      <c r="AU4034" s="498">
        <f t="shared" si="1383"/>
        <v>0</v>
      </c>
      <c r="AV4034" s="498">
        <f t="shared" si="1384"/>
        <v>0</v>
      </c>
      <c r="AW4034" s="498">
        <f t="shared" si="1385"/>
        <v>0</v>
      </c>
      <c r="AX4034" s="498">
        <f t="shared" si="1386"/>
        <v>0</v>
      </c>
      <c r="AY4034" s="498">
        <f t="shared" si="1387"/>
        <v>0</v>
      </c>
      <c r="BB4034" s="498" t="str">
        <f t="shared" si="1388"/>
        <v/>
      </c>
      <c r="BC4034" s="743" t="str">
        <f t="shared" si="1389"/>
        <v/>
      </c>
      <c r="BD4034" s="743" t="str">
        <f t="shared" si="1390"/>
        <v/>
      </c>
      <c r="BE4034" s="743" t="str">
        <f>IF(D4034="","",VLOOKUP(D4034,'General Basis'!$J$39:$K$46,2,0))</f>
        <v/>
      </c>
      <c r="BF4034" s="744" t="str">
        <f>IF(D4034="","",VLOOKUP(D4034,'General Basis'!$J$39:$L$46,3,0))</f>
        <v/>
      </c>
      <c r="BG4034" s="744" t="str">
        <f t="shared" si="1397"/>
        <v/>
      </c>
      <c r="BH4034" s="744" t="str">
        <f>IF(G4034="","",IF(BF4034="Abu Dhabi",IF(G4034&lt;18,'General Basis'!$C$39,IF(G4034&lt;41,'General Basis'!$C$40,IF(G4034&lt;60,'General Basis'!$C$41,IF(G4034&lt;65,'General Basis'!$C$42,'General Basis'!$C$43)))),IF(G4034&lt;11,'General Basis'!$B$39,IF(G4034&lt;18,'General Basis'!$B$40,IF(G4034&lt;26,'General Basis'!$B$41,IF(G4034&lt;31,'General Basis'!$B$42,IF(G4034&lt;36,'General Basis'!$B$43,IF(G4034&lt;41,'General Basis'!$B$44,IF(G4034&lt;46,'General Basis'!$B$45,IF(G4034&lt;51,'General Basis'!$B$46,IF(G4034&lt;56,'General Basis'!$B$47,IF(G4034&lt;60,'General Basis'!$B$48,IF(G4034&lt;65,'General Basis'!$B$49,'General Basis'!$B$50)))))))))))))</f>
        <v/>
      </c>
      <c r="BI4034" s="744" t="str">
        <f t="shared" si="1391"/>
        <v/>
      </c>
      <c r="BJ4034" s="747" t="str">
        <f t="shared" si="1398"/>
        <v/>
      </c>
      <c r="BK4034" s="498" t="str">
        <f t="shared" si="1392"/>
        <v/>
      </c>
      <c r="BL4034" s="498" t="str">
        <f t="shared" si="1393"/>
        <v/>
      </c>
    </row>
    <row r="4035" spans="1:64" x14ac:dyDescent="0.25">
      <c r="A4035" s="762">
        <f t="shared" si="1394"/>
        <v>4030</v>
      </c>
      <c r="B4035" s="229"/>
      <c r="C4035" s="223"/>
      <c r="D4035" s="224"/>
      <c r="E4035" s="225"/>
      <c r="F4035" s="1036" t="str">
        <f t="shared" si="1400"/>
        <v/>
      </c>
      <c r="G4035" s="1037" t="str">
        <f t="shared" si="1395"/>
        <v/>
      </c>
      <c r="H4035" s="225"/>
      <c r="I4035" s="1013"/>
      <c r="J4035" s="1013"/>
      <c r="K4035" s="1028"/>
      <c r="L4035" s="1035" t="str">
        <f t="shared" si="1399"/>
        <v/>
      </c>
      <c r="S4035" s="498"/>
      <c r="AJ4035" s="498"/>
      <c r="AM4035" s="498">
        <f t="shared" si="1380"/>
        <v>0</v>
      </c>
      <c r="AN4035" s="498">
        <f t="shared" si="1381"/>
        <v>0</v>
      </c>
      <c r="AO4035" s="498">
        <f t="shared" si="1382"/>
        <v>0</v>
      </c>
      <c r="AP4035" s="498">
        <f t="shared" si="1401"/>
        <v>0</v>
      </c>
      <c r="AQ4035" s="498">
        <f t="shared" si="1396"/>
        <v>0</v>
      </c>
      <c r="AU4035" s="498">
        <f t="shared" si="1383"/>
        <v>0</v>
      </c>
      <c r="AV4035" s="498">
        <f t="shared" si="1384"/>
        <v>0</v>
      </c>
      <c r="AW4035" s="498">
        <f t="shared" si="1385"/>
        <v>0</v>
      </c>
      <c r="AX4035" s="498">
        <f t="shared" si="1386"/>
        <v>0</v>
      </c>
      <c r="AY4035" s="498">
        <f t="shared" si="1387"/>
        <v>0</v>
      </c>
      <c r="BB4035" s="498" t="str">
        <f t="shared" si="1388"/>
        <v/>
      </c>
      <c r="BC4035" s="743" t="str">
        <f t="shared" si="1389"/>
        <v/>
      </c>
      <c r="BD4035" s="743" t="str">
        <f t="shared" si="1390"/>
        <v/>
      </c>
      <c r="BE4035" s="743" t="str">
        <f>IF(D4035="","",VLOOKUP(D4035,'General Basis'!$J$39:$K$46,2,0))</f>
        <v/>
      </c>
      <c r="BF4035" s="744" t="str">
        <f>IF(D4035="","",VLOOKUP(D4035,'General Basis'!$J$39:$L$46,3,0))</f>
        <v/>
      </c>
      <c r="BG4035" s="744" t="str">
        <f t="shared" si="1397"/>
        <v/>
      </c>
      <c r="BH4035" s="744" t="str">
        <f>IF(G4035="","",IF(BF4035="Abu Dhabi",IF(G4035&lt;18,'General Basis'!$C$39,IF(G4035&lt;41,'General Basis'!$C$40,IF(G4035&lt;60,'General Basis'!$C$41,IF(G4035&lt;65,'General Basis'!$C$42,'General Basis'!$C$43)))),IF(G4035&lt;11,'General Basis'!$B$39,IF(G4035&lt;18,'General Basis'!$B$40,IF(G4035&lt;26,'General Basis'!$B$41,IF(G4035&lt;31,'General Basis'!$B$42,IF(G4035&lt;36,'General Basis'!$B$43,IF(G4035&lt;41,'General Basis'!$B$44,IF(G4035&lt;46,'General Basis'!$B$45,IF(G4035&lt;51,'General Basis'!$B$46,IF(G4035&lt;56,'General Basis'!$B$47,IF(G4035&lt;60,'General Basis'!$B$48,IF(G4035&lt;65,'General Basis'!$B$49,'General Basis'!$B$50)))))))))))))</f>
        <v/>
      </c>
      <c r="BI4035" s="744" t="str">
        <f t="shared" si="1391"/>
        <v/>
      </c>
      <c r="BJ4035" s="747" t="str">
        <f t="shared" si="1398"/>
        <v/>
      </c>
      <c r="BK4035" s="498" t="str">
        <f t="shared" si="1392"/>
        <v/>
      </c>
      <c r="BL4035" s="498" t="str">
        <f t="shared" si="1393"/>
        <v/>
      </c>
    </row>
    <row r="4036" spans="1:64" x14ac:dyDescent="0.25">
      <c r="A4036" s="762">
        <f t="shared" si="1394"/>
        <v>4031</v>
      </c>
      <c r="B4036" s="229"/>
      <c r="C4036" s="223"/>
      <c r="D4036" s="224"/>
      <c r="E4036" s="225"/>
      <c r="F4036" s="1036" t="str">
        <f t="shared" si="1400"/>
        <v/>
      </c>
      <c r="G4036" s="1037" t="str">
        <f t="shared" si="1395"/>
        <v/>
      </c>
      <c r="H4036" s="225"/>
      <c r="I4036" s="1013"/>
      <c r="J4036" s="1013"/>
      <c r="K4036" s="1028"/>
      <c r="L4036" s="1035" t="str">
        <f t="shared" si="1399"/>
        <v/>
      </c>
      <c r="S4036" s="498"/>
      <c r="AJ4036" s="498"/>
      <c r="AM4036" s="498">
        <f t="shared" si="1380"/>
        <v>0</v>
      </c>
      <c r="AN4036" s="498">
        <f t="shared" si="1381"/>
        <v>0</v>
      </c>
      <c r="AO4036" s="498">
        <f t="shared" si="1382"/>
        <v>0</v>
      </c>
      <c r="AP4036" s="498">
        <f t="shared" si="1401"/>
        <v>0</v>
      </c>
      <c r="AQ4036" s="498">
        <f t="shared" si="1396"/>
        <v>0</v>
      </c>
      <c r="AU4036" s="498">
        <f t="shared" si="1383"/>
        <v>0</v>
      </c>
      <c r="AV4036" s="498">
        <f t="shared" si="1384"/>
        <v>0</v>
      </c>
      <c r="AW4036" s="498">
        <f t="shared" si="1385"/>
        <v>0</v>
      </c>
      <c r="AX4036" s="498">
        <f t="shared" si="1386"/>
        <v>0</v>
      </c>
      <c r="AY4036" s="498">
        <f t="shared" si="1387"/>
        <v>0</v>
      </c>
      <c r="BB4036" s="498" t="str">
        <f t="shared" si="1388"/>
        <v/>
      </c>
      <c r="BC4036" s="743" t="str">
        <f t="shared" si="1389"/>
        <v/>
      </c>
      <c r="BD4036" s="743" t="str">
        <f t="shared" si="1390"/>
        <v/>
      </c>
      <c r="BE4036" s="743" t="str">
        <f>IF(D4036="","",VLOOKUP(D4036,'General Basis'!$J$39:$K$46,2,0))</f>
        <v/>
      </c>
      <c r="BF4036" s="744" t="str">
        <f>IF(D4036="","",VLOOKUP(D4036,'General Basis'!$J$39:$L$46,3,0))</f>
        <v/>
      </c>
      <c r="BG4036" s="744" t="str">
        <f t="shared" si="1397"/>
        <v/>
      </c>
      <c r="BH4036" s="744" t="str">
        <f>IF(G4036="","",IF(BF4036="Abu Dhabi",IF(G4036&lt;18,'General Basis'!$C$39,IF(G4036&lt;41,'General Basis'!$C$40,IF(G4036&lt;60,'General Basis'!$C$41,IF(G4036&lt;65,'General Basis'!$C$42,'General Basis'!$C$43)))),IF(G4036&lt;11,'General Basis'!$B$39,IF(G4036&lt;18,'General Basis'!$B$40,IF(G4036&lt;26,'General Basis'!$B$41,IF(G4036&lt;31,'General Basis'!$B$42,IF(G4036&lt;36,'General Basis'!$B$43,IF(G4036&lt;41,'General Basis'!$B$44,IF(G4036&lt;46,'General Basis'!$B$45,IF(G4036&lt;51,'General Basis'!$B$46,IF(G4036&lt;56,'General Basis'!$B$47,IF(G4036&lt;60,'General Basis'!$B$48,IF(G4036&lt;65,'General Basis'!$B$49,'General Basis'!$B$50)))))))))))))</f>
        <v/>
      </c>
      <c r="BI4036" s="744" t="str">
        <f t="shared" si="1391"/>
        <v/>
      </c>
      <c r="BJ4036" s="747" t="str">
        <f t="shared" si="1398"/>
        <v/>
      </c>
      <c r="BK4036" s="498" t="str">
        <f t="shared" si="1392"/>
        <v/>
      </c>
      <c r="BL4036" s="498" t="str">
        <f t="shared" si="1393"/>
        <v/>
      </c>
    </row>
    <row r="4037" spans="1:64" x14ac:dyDescent="0.25">
      <c r="A4037" s="762">
        <f t="shared" si="1394"/>
        <v>4032</v>
      </c>
      <c r="B4037" s="229"/>
      <c r="C4037" s="223"/>
      <c r="D4037" s="224"/>
      <c r="E4037" s="225"/>
      <c r="F4037" s="1036" t="str">
        <f t="shared" si="1400"/>
        <v/>
      </c>
      <c r="G4037" s="1037" t="str">
        <f t="shared" si="1395"/>
        <v/>
      </c>
      <c r="H4037" s="225"/>
      <c r="I4037" s="1013"/>
      <c r="J4037" s="1013"/>
      <c r="K4037" s="1028"/>
      <c r="L4037" s="1035" t="str">
        <f t="shared" si="1399"/>
        <v/>
      </c>
      <c r="S4037" s="498"/>
      <c r="AJ4037" s="498"/>
      <c r="AM4037" s="498">
        <f t="shared" si="1380"/>
        <v>0</v>
      </c>
      <c r="AN4037" s="498">
        <f t="shared" si="1381"/>
        <v>0</v>
      </c>
      <c r="AO4037" s="498">
        <f t="shared" si="1382"/>
        <v>0</v>
      </c>
      <c r="AP4037" s="498">
        <f t="shared" si="1401"/>
        <v>0</v>
      </c>
      <c r="AQ4037" s="498">
        <f t="shared" si="1396"/>
        <v>0</v>
      </c>
      <c r="AU4037" s="498">
        <f t="shared" si="1383"/>
        <v>0</v>
      </c>
      <c r="AV4037" s="498">
        <f t="shared" si="1384"/>
        <v>0</v>
      </c>
      <c r="AW4037" s="498">
        <f t="shared" si="1385"/>
        <v>0</v>
      </c>
      <c r="AX4037" s="498">
        <f t="shared" si="1386"/>
        <v>0</v>
      </c>
      <c r="AY4037" s="498">
        <f t="shared" si="1387"/>
        <v>0</v>
      </c>
      <c r="BB4037" s="498" t="str">
        <f t="shared" si="1388"/>
        <v/>
      </c>
      <c r="BC4037" s="743" t="str">
        <f t="shared" si="1389"/>
        <v/>
      </c>
      <c r="BD4037" s="743" t="str">
        <f t="shared" si="1390"/>
        <v/>
      </c>
      <c r="BE4037" s="743" t="str">
        <f>IF(D4037="","",VLOOKUP(D4037,'General Basis'!$J$39:$K$46,2,0))</f>
        <v/>
      </c>
      <c r="BF4037" s="744" t="str">
        <f>IF(D4037="","",VLOOKUP(D4037,'General Basis'!$J$39:$L$46,3,0))</f>
        <v/>
      </c>
      <c r="BG4037" s="744" t="str">
        <f t="shared" si="1397"/>
        <v/>
      </c>
      <c r="BH4037" s="744" t="str">
        <f>IF(G4037="","",IF(BF4037="Abu Dhabi",IF(G4037&lt;18,'General Basis'!$C$39,IF(G4037&lt;41,'General Basis'!$C$40,IF(G4037&lt;60,'General Basis'!$C$41,IF(G4037&lt;65,'General Basis'!$C$42,'General Basis'!$C$43)))),IF(G4037&lt;11,'General Basis'!$B$39,IF(G4037&lt;18,'General Basis'!$B$40,IF(G4037&lt;26,'General Basis'!$B$41,IF(G4037&lt;31,'General Basis'!$B$42,IF(G4037&lt;36,'General Basis'!$B$43,IF(G4037&lt;41,'General Basis'!$B$44,IF(G4037&lt;46,'General Basis'!$B$45,IF(G4037&lt;51,'General Basis'!$B$46,IF(G4037&lt;56,'General Basis'!$B$47,IF(G4037&lt;60,'General Basis'!$B$48,IF(G4037&lt;65,'General Basis'!$B$49,'General Basis'!$B$50)))))))))))))</f>
        <v/>
      </c>
      <c r="BI4037" s="744" t="str">
        <f t="shared" si="1391"/>
        <v/>
      </c>
      <c r="BJ4037" s="747" t="str">
        <f t="shared" si="1398"/>
        <v/>
      </c>
      <c r="BK4037" s="498" t="str">
        <f t="shared" si="1392"/>
        <v/>
      </c>
      <c r="BL4037" s="498" t="str">
        <f t="shared" si="1393"/>
        <v/>
      </c>
    </row>
    <row r="4038" spans="1:64" x14ac:dyDescent="0.25">
      <c r="A4038" s="762">
        <f t="shared" si="1394"/>
        <v>4033</v>
      </c>
      <c r="B4038" s="229"/>
      <c r="C4038" s="223"/>
      <c r="D4038" s="224"/>
      <c r="E4038" s="225"/>
      <c r="F4038" s="1036" t="str">
        <f t="shared" si="1400"/>
        <v/>
      </c>
      <c r="G4038" s="1037" t="str">
        <f t="shared" si="1395"/>
        <v/>
      </c>
      <c r="H4038" s="225"/>
      <c r="I4038" s="1013"/>
      <c r="J4038" s="1013"/>
      <c r="K4038" s="1028"/>
      <c r="L4038" s="1035" t="str">
        <f t="shared" si="1399"/>
        <v/>
      </c>
      <c r="S4038" s="498"/>
      <c r="AJ4038" s="498"/>
      <c r="AM4038" s="498">
        <f t="shared" ref="AM4038:AM4101" si="1402">IF(ISTEXT(B4038),1,0)</f>
        <v>0</v>
      </c>
      <c r="AN4038" s="498">
        <f t="shared" ref="AN4038:AN4101" si="1403">IF(ISBLANK(B4038),0,IF(B4038&lt;$AK$6,1,0))</f>
        <v>0</v>
      </c>
      <c r="AO4038" s="498">
        <f t="shared" ref="AO4038:AO4101" si="1404">IF(ISBLANK(B4038),0,IF(B4038&gt;$AK$7,1,0))</f>
        <v>0</v>
      </c>
      <c r="AP4038" s="498">
        <f t="shared" si="1401"/>
        <v>0</v>
      </c>
      <c r="AQ4038" s="498">
        <f t="shared" si="1396"/>
        <v>0</v>
      </c>
      <c r="AU4038" s="498">
        <f t="shared" ref="AU4038:AU4101" si="1405">IF(ISBLANK(B4038),0,1)</f>
        <v>0</v>
      </c>
      <c r="AV4038" s="498">
        <f t="shared" ref="AV4038:AV4101" si="1406">IF(ISBLANK(C4038),0,1)</f>
        <v>0</v>
      </c>
      <c r="AW4038" s="498">
        <f t="shared" ref="AW4038:AW4101" si="1407">IF(ISBLANK(D4038),0,1)</f>
        <v>0</v>
      </c>
      <c r="AX4038" s="498">
        <f t="shared" ref="AX4038:AX4101" si="1408">IF(ISBLANK(E4038),0,1)</f>
        <v>0</v>
      </c>
      <c r="AY4038" s="498">
        <f t="shared" ref="AY4038:AY4101" si="1409">IF(ISBLANK(H4038),0,1)</f>
        <v>0</v>
      </c>
      <c r="BB4038" s="498" t="str">
        <f t="shared" ref="BB4038:BB4101" si="1410">IF(E4038="Principal","Principal",IF(E4038="","","Other"))</f>
        <v/>
      </c>
      <c r="BC4038" s="743" t="str">
        <f t="shared" ref="BC4038:BC4101" si="1411">IF(D4038="","",D4038)</f>
        <v/>
      </c>
      <c r="BD4038" s="743" t="str">
        <f t="shared" ref="BD4038:BD4101" si="1412">IF(E4038="Principal","Employee",IF(E4038="","","Dependent"))</f>
        <v/>
      </c>
      <c r="BE4038" s="743" t="str">
        <f>IF(D4038="","",VLOOKUP(D4038,'General Basis'!$J$39:$K$46,2,0))</f>
        <v/>
      </c>
      <c r="BF4038" s="744" t="str">
        <f>IF(D4038="","",VLOOKUP(D4038,'General Basis'!$J$39:$L$46,3,0))</f>
        <v/>
      </c>
      <c r="BG4038" s="744" t="str">
        <f t="shared" si="1397"/>
        <v/>
      </c>
      <c r="BH4038" s="744" t="str">
        <f>IF(G4038="","",IF(BF4038="Abu Dhabi",IF(G4038&lt;18,'General Basis'!$C$39,IF(G4038&lt;41,'General Basis'!$C$40,IF(G4038&lt;60,'General Basis'!$C$41,IF(G4038&lt;65,'General Basis'!$C$42,'General Basis'!$C$43)))),IF(G4038&lt;11,'General Basis'!$B$39,IF(G4038&lt;18,'General Basis'!$B$40,IF(G4038&lt;26,'General Basis'!$B$41,IF(G4038&lt;31,'General Basis'!$B$42,IF(G4038&lt;36,'General Basis'!$B$43,IF(G4038&lt;41,'General Basis'!$B$44,IF(G4038&lt;46,'General Basis'!$B$45,IF(G4038&lt;51,'General Basis'!$B$46,IF(G4038&lt;56,'General Basis'!$B$47,IF(G4038&lt;60,'General Basis'!$B$48,IF(G4038&lt;65,'General Basis'!$B$49,'General Basis'!$B$50)))))))))))))</f>
        <v/>
      </c>
      <c r="BI4038" s="744" t="str">
        <f t="shared" ref="BI4038:BI4101" si="1413">IF(C4038="","",IF(C4038="M","Male","Female"))</f>
        <v/>
      </c>
      <c r="BJ4038" s="747" t="str">
        <f t="shared" si="1398"/>
        <v/>
      </c>
      <c r="BK4038" s="498" t="str">
        <f t="shared" ref="BK4038:BK4101" si="1414">IF(BD4038="","",IF(AND(BD4038="Employee",BI4038="Male",BF4038="Abu Dhabi",BE4038=GN_Plus),VLOOKUP(BH4038,AUH_MALE_EMP,2,0),IF(AND(BD4038="Employee",BI4038="Male",BF4038="Abu Dhabi",BE4038=GN),VLOOKUP(BH4038,AUH_MALE_EMP,3,0),IF(AND(BD4038="Employee",BI4038="Male",BF4038="Abu Dhabi",BE4038=RN_Plus),VLOOKUP(BH4038,AUH_MALE_EMP,4,0),IF(AND(BD4038="Employee",BI4038="Male",BF4038="Abu Dhabi",BE4038=RN),VLOOKUP(BH4038,AUH_MALE_EMP,5,0),IF(AND(BD4038="Employee",BI4038="Male",BF4038="Abu Dhabi",BE4038=RN_2),VLOOKUP(BH4038,AUH_MALE_EMP,6,0),IF(AND(BD4038="Employee",BI4038="Male",BF4038="Abu Dhabi",BE4038=RN2_minus),VLOOKUP(BH4038,AUH_MALE_EMP,7,0),IF(AND(BD4038="Employee",BI4038="Male",BF4038="Abu Dhabi",BE4038=RN_3),VLOOKUP(BH4038,AUH_MALE_EMP,8,0),IF(AND(BD4038="Employee",BI4038="Male",BF4038="Abu Dhabi",BE4038=VN),VLOOKUP(BH4038,AUH_MALE_EMP,9,0),IF(BD4038="","",IF(AND(BD4038="Employee",BI4038="Female",BF4038="Abu Dhabi",BE4038=GN_Plus),VLOOKUP(BH4038,AUH_FEMALE_EMP,2,0),IF(AND(BD4038="Employee",BI4038="Female",BF4038="Abu Dhabi",BE4038=GN),VLOOKUP(BH4038,AUH_FEMALE_EMP,3,0),IF(AND(BD4038="Employee",BI4038="Female",BF4038="Abu Dhabi",BE4038=RN_Plus),VLOOKUP(BH4038,AUH_FEMALE_EMP,4,0),IF(AND(BD4038="Employee",BI4038="Female",BF4038="Abu Dhabi",BE4038=RN),VLOOKUP(BH4038,AUH_FEMALE_EMP,5,0),IF(AND(BD4038="Employee",BI4038="Female",BF4038="Abu Dhabi",BE4038=RN_2),VLOOKUP(BH4038,AUH_FEMALE_EMP,6,0),IF(AND(BD4038="Employee",BI4038="Female",BF4038="Abu Dhabi",BE4038=RN2_minus),VLOOKUP(BH4038,AUH_FEMALE_EMP,7,0),IF(AND(BD4038="Employee",BI4038="Female",BF4038="Abu Dhabi",BE4038=RN_3),VLOOKUP(BH4038,AUH_FEMALE_EMP,8,0),IF(AND(BD4038="Employee",BI4038="Female",BF4038="Abu Dhabi",BE4038=VN),VLOOKUP(BH4038,AUH_FEMALE_EMP,9,0),IF(BD4038="","",IF(AND(BD4038="Dependent",BI4038="Male",BF4038="Abu Dhabi",BE4038=GN_Plus),VLOOKUP(BH4038,AUH_MALE_DEP,2,0),IF(AND(BD4038="Dependent",BI4038="Male",BF4038="Abu Dhabi",BE4038=GN),VLOOKUP(BH4038,AUH_MALE_DEP,3,0),IF(AND(BD4038="Dependent",BI4038="Male",BF4038="Abu Dhabi",BE4038=RN_Plus),VLOOKUP(BH4038,AUH_MALE_DEP,4,0),IF(AND(BD4038="Dependent",BI4038="Male",BF4038="Abu Dhabi",BE4038=RN),VLOOKUP(BH4038,AUH_MALE_DEP,5,0),IF(AND(BD4038="Dependent",BI4038="Male",BF4038="Abu Dhabi",BE4038=RN_2),VLOOKUP(BH4038,AUH_MALE_DEP,6,0),IF(AND(BD4038="Dependent",BI4038="Male",BF4038="Abu Dhabi",BE4038=RN2_minus),VLOOKUP(BH4038,AUH_MALE_DEP,7,0),IF(AND(BD4038="Dependent",BI4038="Male",BF4038="Abu Dhabi",BE4038=RN_3),VLOOKUP(BH4038,AUH_MALE_DEP,8,0),IF(AND(BD4038="Dependent",BI4038="Male",BF4038="Abu Dhabi",BE4038=VN),VLOOKUP(BH4038,AUH_MALE_DEP,9,0),IF(BD4038="","",IF(AND(BD4038="Dependent",BI4038="Female",BF4038="Abu Dhabi",BE4038=GN_Plus),VLOOKUP(BH4038,AUH_FEMALE_DEP,2,0),IF(AND(BD4038="Dependent",BI4038="Female",BF4038="Abu Dhabi",BE4038=GN),VLOOKUP(BH4038,AUH_FEMALE_DEP,3,0),IF(AND(BD4038="Dependent",BI4038="Female",BF4038="Abu Dhabi",BE4038=RN_Plus),VLOOKUP(BH4038,AUH_FEMALE_DEP,4,0),IF(AND(BD4038="Dependent",BI4038="Female",BF4038="Abu Dhabi",BE4038=RN),VLOOKUP(BH4038,AUH_FEMALE_DEP,5,0),IF(AND(BD4038="Dependent",BI4038="Female",BF4038="Abu Dhabi",BE4038=RN_2),VLOOKUP(BH4038,AUH_FEMALE_DEP,6,0),IF(AND(BD4038="Dependent",BI4038="Female",BF4038="Abu Dhabi",BE4038=RN2_minus),VLOOKUP(BH4038,AUH_FEMALE_DEP,7,0),IF(AND(BD4038="Dependent",BI4038="Female",BF4038="Abu Dhabi",BE4038=RN_3),VLOOKUP(BH4038,AUH_FEMALE_DEP,8,0),IF(AND(BD4038="Dependent",BI4038="Female",BF4038="Abu Dhabi",BE4038=VN),VLOOKUP(BH4038,AUH_FEMALE_DEP,9,0),"ABC"))))))))))))))))))))))))))))))))))))</f>
        <v/>
      </c>
      <c r="BL4038" s="498" t="str">
        <f t="shared" ref="BL4038:BL4101" si="1415">IF(BD4038="","",IF(AND(BD4038="Employee",BI4038="Male",BF4038="Dubai",BE4038=GN_Plus),VLOOKUP(BH4038,DXB_MALE_EMP,2,0),IF(AND(BD4038="Employee",BI4038="Male",BF4038="Dubai",BE4038=GN),VLOOKUP(BH4038,DXB_MALE_EMP,3,0),IF(AND(BD4038="Employee",BI4038="Male",BF4038="Dubai",BE4038=RN_Plus),VLOOKUP(BH4038,DXB_MALE_EMP,4,0),IF(AND(BD4038="Employee",BI4038="Male",BF4038="Dubai",BE4038=RN),VLOOKUP(BH4038,DXB_MALE_EMP,5,0),IF(AND(BD4038="Employee",BI4038="Male",BF4038="Dubai",BE4038=RN_2),VLOOKUP(BH4038,DXB_MALE_EMP,6,0),IF(AND(BD4038="Employee",BI4038="Male",BF4038="Dubai",BE4038=RN2_minus),VLOOKUP(BH4038,DXB_MALE_EMP,7,0),IF(AND(BD4038="Employee",BI4038="Male",BF4038="Dubai",BE4038=RN_3),VLOOKUP(BH4038,DXB_MALE_EMP,8,0),IF(AND(BD4038="Employee",BI4038="Male",BF4038="Dubai",BE4038=VN),VLOOKUP(BH4038,DXB_MALE_EMP,9,0),IF(BD4038="","",IF(AND(BD4038="Employee",BI4038="Female",BF4038="Dubai",BE4038=GN_Plus),VLOOKUP(BH4038,DXB_FEMALE_EMP,2,0),IF(AND(BD4038="Employee",BI4038="Female",BF4038="Dubai",BE4038=GN),VLOOKUP(BH4038,DXB_FEMALE_EMP,3,0),IF(AND(BD4038="Employee",BI4038="Female",BF4038="Dubai",BE4038=RN_Plus),VLOOKUP(BH4038,DXB_FEMALE_EMP,4,0),IF(AND(BD4038="Employee",BI4038="Female",BF4038="Dubai",BE4038=RN),VLOOKUP(BH4038,DXB_FEMALE_EMP,5,0),IF(AND(BD4038="Employee",BI4038="Female",BF4038="Dubai",BE4038=RN_2),VLOOKUP(BH4038,DXB_FEMALE_EMP,6,0),IF(AND(BD4038="Employee",BI4038="Female",BF4038="Dubai",BE4038=RN2_minus),VLOOKUP(BH4038,DXB_FEMALE_EMP,7,0),IF(AND(BD4038="Employee",BI4038="Female",BF4038="Dubai",BE4038=RN_3),VLOOKUP(BH4038,DXB_FEMALE_EMP,8,0),IF(AND(BD4038="Employee",BI4038="Female",BF4038="Dubai",BE4038=VN),VLOOKUP(BH4038,DXB_FEMALE_EMP,9,0),IF(BD4038="","",IF(AND(BD4038="Dependent",BI4038="Male",BF4038="Dubai",BE4038=GN_Plus),VLOOKUP(BH4038,DXB_MALE_DEP,2,0),IF(AND(BD4038="Dependent",BI4038="Male",BF4038="Dubai",BE4038=GN),VLOOKUP(BH4038,DXB_MALE_DEP,3,0),IF(AND(BD4038="Dependent",BI4038="Male",BF4038="Dubai",BE4038=RN_Plus),VLOOKUP(BH4038,DXB_MALE_DEP,4,0),IF(AND(BD4038="Dependent",BI4038="Male",BF4038="Dubai",BE4038=RN),VLOOKUP(BH4038,DXB_MALE_DEP,5,0),IF(AND(BD4038="Dependent",BI4038="Male",BF4038="Dubai",BE4038=RN_2),VLOOKUP(BH4038,DXB_MALE_DEP,6,0),IF(AND(BD4038="Dependent",BI4038="Male",BF4038="Dubai",BE4038=RN2_minus),VLOOKUP(BH4038,DXB_MALE_DEP,7,0),IF(AND(BD4038="Dependent",BI4038="Male",BF4038="Dubai",BE4038=RN_3),VLOOKUP(BH4038,DXB_MALE_DEP,8,0),IF(AND(BD4038="Dependent",BI4038="Male",BF4038="Dubai",BE4038=VN),VLOOKUP(BH4038,DXB_MALE_DEP,9,0),IF(BD4038="","",IF(AND(BD4038="Dependent",BI4038="Female",BF4038="Dubai",BE4038=GN_Plus),VLOOKUP(BH4038,DXB_FEMALE_DEP,2,0),IF(AND(BD4038="Dependent",BI4038="Female",BF4038="Dubai",BE4038=GN),VLOOKUP(BH4038,DXB_FEMALE_DEP,3,0),IF(AND(BD4038="Dependent",BI4038="Female",BF4038="Dubai",BE4038=RN_Plus),VLOOKUP(BH4038,DXB_FEMALE_DEP,4,0),IF(AND(BD4038="Dependent",BI4038="Female",BF4038="Dubai",BE4038=RN),VLOOKUP(BH4038,DXB_FEMALE_DEP,5,0),IF(AND(BD4038="Dependent",BI4038="Female",BF4038="Dubai",BE4038=RN_2),VLOOKUP(BH4038,DXB_FEMALE_DEP,6,0),IF(AND(BD4038="Dependent",BI4038="Female",BF4038="Dubai",BE4038=RN2_minus),VLOOKUP(BH4038,DXB_FEMALE_DEP,7,0),IF(AND(BD4038="Dependent",BI4038="Female",BF4038="Dubai",BE4038=RN_3),VLOOKUP(BH4038,DXB_FEMALE_DEP,8,0),IF(AND(BD4038="Dependent",BI4038="Female",BF4038="Dubai",BE4038=VN),VLOOKUP(BH4038,DXB_FEMALE_DEP,9,0),"ABC"))))))))))))))))))))))))))))))))))))</f>
        <v/>
      </c>
    </row>
    <row r="4039" spans="1:64" x14ac:dyDescent="0.25">
      <c r="A4039" s="762">
        <f t="shared" ref="A4039:A4102" si="1416">+A4038+1</f>
        <v>4034</v>
      </c>
      <c r="B4039" s="229"/>
      <c r="C4039" s="223"/>
      <c r="D4039" s="224"/>
      <c r="E4039" s="225"/>
      <c r="F4039" s="1036" t="str">
        <f t="shared" si="1400"/>
        <v/>
      </c>
      <c r="G4039" s="1037" t="str">
        <f t="shared" ref="G4039:G4102" si="1417">IF(D4039="","",MAX(0,ROUNDUP(F4039,0)))</f>
        <v/>
      </c>
      <c r="H4039" s="225"/>
      <c r="I4039" s="1013"/>
      <c r="J4039" s="1013"/>
      <c r="K4039" s="1028"/>
      <c r="L4039" s="1035" t="str">
        <f t="shared" si="1399"/>
        <v/>
      </c>
      <c r="S4039" s="498"/>
      <c r="AJ4039" s="498"/>
      <c r="AM4039" s="498">
        <f t="shared" si="1402"/>
        <v>0</v>
      </c>
      <c r="AN4039" s="498">
        <f t="shared" si="1403"/>
        <v>0</v>
      </c>
      <c r="AO4039" s="498">
        <f t="shared" si="1404"/>
        <v>0</v>
      </c>
      <c r="AP4039" s="498">
        <f t="shared" si="1401"/>
        <v>0</v>
      </c>
      <c r="AQ4039" s="498">
        <f t="shared" ref="AQ4039:AQ4102" si="1418">IF(ISBLANK($B4039),0,IF(OR($H4039="Single",$H4039="Married"),0,1))</f>
        <v>0</v>
      </c>
      <c r="AU4039" s="498">
        <f t="shared" si="1405"/>
        <v>0</v>
      </c>
      <c r="AV4039" s="498">
        <f t="shared" si="1406"/>
        <v>0</v>
      </c>
      <c r="AW4039" s="498">
        <f t="shared" si="1407"/>
        <v>0</v>
      </c>
      <c r="AX4039" s="498">
        <f t="shared" si="1408"/>
        <v>0</v>
      </c>
      <c r="AY4039" s="498">
        <f t="shared" si="1409"/>
        <v>0</v>
      </c>
      <c r="BB4039" s="498" t="str">
        <f t="shared" si="1410"/>
        <v/>
      </c>
      <c r="BC4039" s="743" t="str">
        <f t="shared" si="1411"/>
        <v/>
      </c>
      <c r="BD4039" s="743" t="str">
        <f t="shared" si="1412"/>
        <v/>
      </c>
      <c r="BE4039" s="743" t="str">
        <f>IF(D4039="","",VLOOKUP(D4039,'General Basis'!$J$39:$K$46,2,0))</f>
        <v/>
      </c>
      <c r="BF4039" s="744" t="str">
        <f>IF(D4039="","",VLOOKUP(D4039,'General Basis'!$J$39:$L$46,3,0))</f>
        <v/>
      </c>
      <c r="BG4039" s="744" t="str">
        <f t="shared" ref="BG4039:BG4102" si="1419">BC4039&amp;BI4039</f>
        <v/>
      </c>
      <c r="BH4039" s="744" t="str">
        <f>IF(G4039="","",IF(BF4039="Abu Dhabi",IF(G4039&lt;18,'General Basis'!$C$39,IF(G4039&lt;41,'General Basis'!$C$40,IF(G4039&lt;60,'General Basis'!$C$41,IF(G4039&lt;65,'General Basis'!$C$42,'General Basis'!$C$43)))),IF(G4039&lt;11,'General Basis'!$B$39,IF(G4039&lt;18,'General Basis'!$B$40,IF(G4039&lt;26,'General Basis'!$B$41,IF(G4039&lt;31,'General Basis'!$B$42,IF(G4039&lt;36,'General Basis'!$B$43,IF(G4039&lt;41,'General Basis'!$B$44,IF(G4039&lt;46,'General Basis'!$B$45,IF(G4039&lt;51,'General Basis'!$B$46,IF(G4039&lt;56,'General Basis'!$B$47,IF(G4039&lt;60,'General Basis'!$B$48,IF(G4039&lt;65,'General Basis'!$B$49,'General Basis'!$B$50)))))))))))))</f>
        <v/>
      </c>
      <c r="BI4039" s="744" t="str">
        <f t="shared" si="1413"/>
        <v/>
      </c>
      <c r="BJ4039" s="747" t="str">
        <f t="shared" ref="BJ4039:BJ4102" si="1420">IF(BD4039="","",IF(BF4039="Abu Dhabi",BK4039,BL4039))</f>
        <v/>
      </c>
      <c r="BK4039" s="498" t="str">
        <f t="shared" si="1414"/>
        <v/>
      </c>
      <c r="BL4039" s="498" t="str">
        <f t="shared" si="1415"/>
        <v/>
      </c>
    </row>
    <row r="4040" spans="1:64" x14ac:dyDescent="0.25">
      <c r="A4040" s="762">
        <f t="shared" si="1416"/>
        <v>4035</v>
      </c>
      <c r="B4040" s="229"/>
      <c r="C4040" s="223"/>
      <c r="D4040" s="224"/>
      <c r="E4040" s="225"/>
      <c r="F4040" s="1036" t="str">
        <f t="shared" si="1400"/>
        <v/>
      </c>
      <c r="G4040" s="1037" t="str">
        <f t="shared" si="1417"/>
        <v/>
      </c>
      <c r="H4040" s="225"/>
      <c r="I4040" s="1013"/>
      <c r="J4040" s="1013"/>
      <c r="K4040" s="1028"/>
      <c r="L4040" s="1035" t="str">
        <f t="shared" ref="L4040:L4103" si="1421">IF(AND(E4040="Child",H4040="Married"),"Check the Marital Status of the Child. ",IF(AND(E4040="Child",F4040&gt;18),"Child Age exceed 18 years. ",IF(AND(E4040="Spouse",H4040="Single"),"Spouse is selected as Single. ","")))&amp;IF(K4040&gt;0,"UW Loading has been Applied","")</f>
        <v/>
      </c>
      <c r="S4040" s="498"/>
      <c r="AJ4040" s="498"/>
      <c r="AM4040" s="498">
        <f t="shared" si="1402"/>
        <v>0</v>
      </c>
      <c r="AN4040" s="498">
        <f t="shared" si="1403"/>
        <v>0</v>
      </c>
      <c r="AO4040" s="498">
        <f t="shared" si="1404"/>
        <v>0</v>
      </c>
      <c r="AP4040" s="498">
        <f t="shared" si="1401"/>
        <v>0</v>
      </c>
      <c r="AQ4040" s="498">
        <f t="shared" si="1418"/>
        <v>0</v>
      </c>
      <c r="AU4040" s="498">
        <f t="shared" si="1405"/>
        <v>0</v>
      </c>
      <c r="AV4040" s="498">
        <f t="shared" si="1406"/>
        <v>0</v>
      </c>
      <c r="AW4040" s="498">
        <f t="shared" si="1407"/>
        <v>0</v>
      </c>
      <c r="AX4040" s="498">
        <f t="shared" si="1408"/>
        <v>0</v>
      </c>
      <c r="AY4040" s="498">
        <f t="shared" si="1409"/>
        <v>0</v>
      </c>
      <c r="BB4040" s="498" t="str">
        <f t="shared" si="1410"/>
        <v/>
      </c>
      <c r="BC4040" s="743" t="str">
        <f t="shared" si="1411"/>
        <v/>
      </c>
      <c r="BD4040" s="743" t="str">
        <f t="shared" si="1412"/>
        <v/>
      </c>
      <c r="BE4040" s="743" t="str">
        <f>IF(D4040="","",VLOOKUP(D4040,'General Basis'!$J$39:$K$46,2,0))</f>
        <v/>
      </c>
      <c r="BF4040" s="744" t="str">
        <f>IF(D4040="","",VLOOKUP(D4040,'General Basis'!$J$39:$L$46,3,0))</f>
        <v/>
      </c>
      <c r="BG4040" s="744" t="str">
        <f t="shared" si="1419"/>
        <v/>
      </c>
      <c r="BH4040" s="744" t="str">
        <f>IF(G4040="","",IF(BF4040="Abu Dhabi",IF(G4040&lt;18,'General Basis'!$C$39,IF(G4040&lt;41,'General Basis'!$C$40,IF(G4040&lt;60,'General Basis'!$C$41,IF(G4040&lt;65,'General Basis'!$C$42,'General Basis'!$C$43)))),IF(G4040&lt;11,'General Basis'!$B$39,IF(G4040&lt;18,'General Basis'!$B$40,IF(G4040&lt;26,'General Basis'!$B$41,IF(G4040&lt;31,'General Basis'!$B$42,IF(G4040&lt;36,'General Basis'!$B$43,IF(G4040&lt;41,'General Basis'!$B$44,IF(G4040&lt;46,'General Basis'!$B$45,IF(G4040&lt;51,'General Basis'!$B$46,IF(G4040&lt;56,'General Basis'!$B$47,IF(G4040&lt;60,'General Basis'!$B$48,IF(G4040&lt;65,'General Basis'!$B$49,'General Basis'!$B$50)))))))))))))</f>
        <v/>
      </c>
      <c r="BI4040" s="744" t="str">
        <f t="shared" si="1413"/>
        <v/>
      </c>
      <c r="BJ4040" s="747" t="str">
        <f t="shared" si="1420"/>
        <v/>
      </c>
      <c r="BK4040" s="498" t="str">
        <f t="shared" si="1414"/>
        <v/>
      </c>
      <c r="BL4040" s="498" t="str">
        <f t="shared" si="1415"/>
        <v/>
      </c>
    </row>
    <row r="4041" spans="1:64" x14ac:dyDescent="0.25">
      <c r="A4041" s="762">
        <f t="shared" si="1416"/>
        <v>4036</v>
      </c>
      <c r="B4041" s="229"/>
      <c r="C4041" s="223"/>
      <c r="D4041" s="224"/>
      <c r="E4041" s="225"/>
      <c r="F4041" s="1036" t="str">
        <f t="shared" si="1400"/>
        <v/>
      </c>
      <c r="G4041" s="1037" t="str">
        <f t="shared" si="1417"/>
        <v/>
      </c>
      <c r="H4041" s="225"/>
      <c r="I4041" s="1013"/>
      <c r="J4041" s="1013"/>
      <c r="K4041" s="1028"/>
      <c r="L4041" s="1035" t="str">
        <f t="shared" si="1421"/>
        <v/>
      </c>
      <c r="S4041" s="498"/>
      <c r="AJ4041" s="498"/>
      <c r="AM4041" s="498">
        <f t="shared" si="1402"/>
        <v>0</v>
      </c>
      <c r="AN4041" s="498">
        <f t="shared" si="1403"/>
        <v>0</v>
      </c>
      <c r="AO4041" s="498">
        <f t="shared" si="1404"/>
        <v>0</v>
      </c>
      <c r="AP4041" s="498">
        <f t="shared" si="1401"/>
        <v>0</v>
      </c>
      <c r="AQ4041" s="498">
        <f t="shared" si="1418"/>
        <v>0</v>
      </c>
      <c r="AU4041" s="498">
        <f t="shared" si="1405"/>
        <v>0</v>
      </c>
      <c r="AV4041" s="498">
        <f t="shared" si="1406"/>
        <v>0</v>
      </c>
      <c r="AW4041" s="498">
        <f t="shared" si="1407"/>
        <v>0</v>
      </c>
      <c r="AX4041" s="498">
        <f t="shared" si="1408"/>
        <v>0</v>
      </c>
      <c r="AY4041" s="498">
        <f t="shared" si="1409"/>
        <v>0</v>
      </c>
      <c r="BB4041" s="498" t="str">
        <f t="shared" si="1410"/>
        <v/>
      </c>
      <c r="BC4041" s="743" t="str">
        <f t="shared" si="1411"/>
        <v/>
      </c>
      <c r="BD4041" s="743" t="str">
        <f t="shared" si="1412"/>
        <v/>
      </c>
      <c r="BE4041" s="743" t="str">
        <f>IF(D4041="","",VLOOKUP(D4041,'General Basis'!$J$39:$K$46,2,0))</f>
        <v/>
      </c>
      <c r="BF4041" s="744" t="str">
        <f>IF(D4041="","",VLOOKUP(D4041,'General Basis'!$J$39:$L$46,3,0))</f>
        <v/>
      </c>
      <c r="BG4041" s="744" t="str">
        <f t="shared" si="1419"/>
        <v/>
      </c>
      <c r="BH4041" s="744" t="str">
        <f>IF(G4041="","",IF(BF4041="Abu Dhabi",IF(G4041&lt;18,'General Basis'!$C$39,IF(G4041&lt;41,'General Basis'!$C$40,IF(G4041&lt;60,'General Basis'!$C$41,IF(G4041&lt;65,'General Basis'!$C$42,'General Basis'!$C$43)))),IF(G4041&lt;11,'General Basis'!$B$39,IF(G4041&lt;18,'General Basis'!$B$40,IF(G4041&lt;26,'General Basis'!$B$41,IF(G4041&lt;31,'General Basis'!$B$42,IF(G4041&lt;36,'General Basis'!$B$43,IF(G4041&lt;41,'General Basis'!$B$44,IF(G4041&lt;46,'General Basis'!$B$45,IF(G4041&lt;51,'General Basis'!$B$46,IF(G4041&lt;56,'General Basis'!$B$47,IF(G4041&lt;60,'General Basis'!$B$48,IF(G4041&lt;65,'General Basis'!$B$49,'General Basis'!$B$50)))))))))))))</f>
        <v/>
      </c>
      <c r="BI4041" s="744" t="str">
        <f t="shared" si="1413"/>
        <v/>
      </c>
      <c r="BJ4041" s="747" t="str">
        <f t="shared" si="1420"/>
        <v/>
      </c>
      <c r="BK4041" s="498" t="str">
        <f t="shared" si="1414"/>
        <v/>
      </c>
      <c r="BL4041" s="498" t="str">
        <f t="shared" si="1415"/>
        <v/>
      </c>
    </row>
    <row r="4042" spans="1:64" x14ac:dyDescent="0.25">
      <c r="A4042" s="762">
        <f t="shared" si="1416"/>
        <v>4037</v>
      </c>
      <c r="B4042" s="229"/>
      <c r="C4042" s="223"/>
      <c r="D4042" s="224"/>
      <c r="E4042" s="225"/>
      <c r="F4042" s="1036" t="str">
        <f t="shared" si="1400"/>
        <v/>
      </c>
      <c r="G4042" s="1037" t="str">
        <f t="shared" si="1417"/>
        <v/>
      </c>
      <c r="H4042" s="225"/>
      <c r="I4042" s="1013"/>
      <c r="J4042" s="1013"/>
      <c r="K4042" s="1028"/>
      <c r="L4042" s="1035" t="str">
        <f t="shared" si="1421"/>
        <v/>
      </c>
      <c r="S4042" s="498"/>
      <c r="AJ4042" s="498"/>
      <c r="AM4042" s="498">
        <f t="shared" si="1402"/>
        <v>0</v>
      </c>
      <c r="AN4042" s="498">
        <f t="shared" si="1403"/>
        <v>0</v>
      </c>
      <c r="AO4042" s="498">
        <f t="shared" si="1404"/>
        <v>0</v>
      </c>
      <c r="AP4042" s="498">
        <f t="shared" si="1401"/>
        <v>0</v>
      </c>
      <c r="AQ4042" s="498">
        <f t="shared" si="1418"/>
        <v>0</v>
      </c>
      <c r="AU4042" s="498">
        <f t="shared" si="1405"/>
        <v>0</v>
      </c>
      <c r="AV4042" s="498">
        <f t="shared" si="1406"/>
        <v>0</v>
      </c>
      <c r="AW4042" s="498">
        <f t="shared" si="1407"/>
        <v>0</v>
      </c>
      <c r="AX4042" s="498">
        <f t="shared" si="1408"/>
        <v>0</v>
      </c>
      <c r="AY4042" s="498">
        <f t="shared" si="1409"/>
        <v>0</v>
      </c>
      <c r="BB4042" s="498" t="str">
        <f t="shared" si="1410"/>
        <v/>
      </c>
      <c r="BC4042" s="743" t="str">
        <f t="shared" si="1411"/>
        <v/>
      </c>
      <c r="BD4042" s="743" t="str">
        <f t="shared" si="1412"/>
        <v/>
      </c>
      <c r="BE4042" s="743" t="str">
        <f>IF(D4042="","",VLOOKUP(D4042,'General Basis'!$J$39:$K$46,2,0))</f>
        <v/>
      </c>
      <c r="BF4042" s="744" t="str">
        <f>IF(D4042="","",VLOOKUP(D4042,'General Basis'!$J$39:$L$46,3,0))</f>
        <v/>
      </c>
      <c r="BG4042" s="744" t="str">
        <f t="shared" si="1419"/>
        <v/>
      </c>
      <c r="BH4042" s="744" t="str">
        <f>IF(G4042="","",IF(BF4042="Abu Dhabi",IF(G4042&lt;18,'General Basis'!$C$39,IF(G4042&lt;41,'General Basis'!$C$40,IF(G4042&lt;60,'General Basis'!$C$41,IF(G4042&lt;65,'General Basis'!$C$42,'General Basis'!$C$43)))),IF(G4042&lt;11,'General Basis'!$B$39,IF(G4042&lt;18,'General Basis'!$B$40,IF(G4042&lt;26,'General Basis'!$B$41,IF(G4042&lt;31,'General Basis'!$B$42,IF(G4042&lt;36,'General Basis'!$B$43,IF(G4042&lt;41,'General Basis'!$B$44,IF(G4042&lt;46,'General Basis'!$B$45,IF(G4042&lt;51,'General Basis'!$B$46,IF(G4042&lt;56,'General Basis'!$B$47,IF(G4042&lt;60,'General Basis'!$B$48,IF(G4042&lt;65,'General Basis'!$B$49,'General Basis'!$B$50)))))))))))))</f>
        <v/>
      </c>
      <c r="BI4042" s="744" t="str">
        <f t="shared" si="1413"/>
        <v/>
      </c>
      <c r="BJ4042" s="747" t="str">
        <f t="shared" si="1420"/>
        <v/>
      </c>
      <c r="BK4042" s="498" t="str">
        <f t="shared" si="1414"/>
        <v/>
      </c>
      <c r="BL4042" s="498" t="str">
        <f t="shared" si="1415"/>
        <v/>
      </c>
    </row>
    <row r="4043" spans="1:64" x14ac:dyDescent="0.25">
      <c r="A4043" s="762">
        <f t="shared" si="1416"/>
        <v>4038</v>
      </c>
      <c r="B4043" s="229"/>
      <c r="C4043" s="223"/>
      <c r="D4043" s="224"/>
      <c r="E4043" s="225"/>
      <c r="F4043" s="1036" t="str">
        <f t="shared" si="1400"/>
        <v/>
      </c>
      <c r="G4043" s="1037" t="str">
        <f t="shared" si="1417"/>
        <v/>
      </c>
      <c r="H4043" s="225"/>
      <c r="I4043" s="1013"/>
      <c r="J4043" s="1013"/>
      <c r="K4043" s="1028"/>
      <c r="L4043" s="1035" t="str">
        <f t="shared" si="1421"/>
        <v/>
      </c>
      <c r="S4043" s="498"/>
      <c r="AJ4043" s="498"/>
      <c r="AM4043" s="498">
        <f t="shared" si="1402"/>
        <v>0</v>
      </c>
      <c r="AN4043" s="498">
        <f t="shared" si="1403"/>
        <v>0</v>
      </c>
      <c r="AO4043" s="498">
        <f t="shared" si="1404"/>
        <v>0</v>
      </c>
      <c r="AP4043" s="498">
        <f t="shared" si="1401"/>
        <v>0</v>
      </c>
      <c r="AQ4043" s="498">
        <f t="shared" si="1418"/>
        <v>0</v>
      </c>
      <c r="AU4043" s="498">
        <f t="shared" si="1405"/>
        <v>0</v>
      </c>
      <c r="AV4043" s="498">
        <f t="shared" si="1406"/>
        <v>0</v>
      </c>
      <c r="AW4043" s="498">
        <f t="shared" si="1407"/>
        <v>0</v>
      </c>
      <c r="AX4043" s="498">
        <f t="shared" si="1408"/>
        <v>0</v>
      </c>
      <c r="AY4043" s="498">
        <f t="shared" si="1409"/>
        <v>0</v>
      </c>
      <c r="BB4043" s="498" t="str">
        <f t="shared" si="1410"/>
        <v/>
      </c>
      <c r="BC4043" s="743" t="str">
        <f t="shared" si="1411"/>
        <v/>
      </c>
      <c r="BD4043" s="743" t="str">
        <f t="shared" si="1412"/>
        <v/>
      </c>
      <c r="BE4043" s="743" t="str">
        <f>IF(D4043="","",VLOOKUP(D4043,'General Basis'!$J$39:$K$46,2,0))</f>
        <v/>
      </c>
      <c r="BF4043" s="744" t="str">
        <f>IF(D4043="","",VLOOKUP(D4043,'General Basis'!$J$39:$L$46,3,0))</f>
        <v/>
      </c>
      <c r="BG4043" s="744" t="str">
        <f t="shared" si="1419"/>
        <v/>
      </c>
      <c r="BH4043" s="744" t="str">
        <f>IF(G4043="","",IF(BF4043="Abu Dhabi",IF(G4043&lt;18,'General Basis'!$C$39,IF(G4043&lt;41,'General Basis'!$C$40,IF(G4043&lt;60,'General Basis'!$C$41,IF(G4043&lt;65,'General Basis'!$C$42,'General Basis'!$C$43)))),IF(G4043&lt;11,'General Basis'!$B$39,IF(G4043&lt;18,'General Basis'!$B$40,IF(G4043&lt;26,'General Basis'!$B$41,IF(G4043&lt;31,'General Basis'!$B$42,IF(G4043&lt;36,'General Basis'!$B$43,IF(G4043&lt;41,'General Basis'!$B$44,IF(G4043&lt;46,'General Basis'!$B$45,IF(G4043&lt;51,'General Basis'!$B$46,IF(G4043&lt;56,'General Basis'!$B$47,IF(G4043&lt;60,'General Basis'!$B$48,IF(G4043&lt;65,'General Basis'!$B$49,'General Basis'!$B$50)))))))))))))</f>
        <v/>
      </c>
      <c r="BI4043" s="744" t="str">
        <f t="shared" si="1413"/>
        <v/>
      </c>
      <c r="BJ4043" s="747" t="str">
        <f t="shared" si="1420"/>
        <v/>
      </c>
      <c r="BK4043" s="498" t="str">
        <f t="shared" si="1414"/>
        <v/>
      </c>
      <c r="BL4043" s="498" t="str">
        <f t="shared" si="1415"/>
        <v/>
      </c>
    </row>
    <row r="4044" spans="1:64" x14ac:dyDescent="0.25">
      <c r="A4044" s="762">
        <f t="shared" si="1416"/>
        <v>4039</v>
      </c>
      <c r="B4044" s="229"/>
      <c r="C4044" s="223"/>
      <c r="D4044" s="224"/>
      <c r="E4044" s="225"/>
      <c r="F4044" s="1036" t="str">
        <f t="shared" si="1400"/>
        <v/>
      </c>
      <c r="G4044" s="1037" t="str">
        <f t="shared" si="1417"/>
        <v/>
      </c>
      <c r="H4044" s="225"/>
      <c r="I4044" s="1013"/>
      <c r="J4044" s="1013"/>
      <c r="K4044" s="1028"/>
      <c r="L4044" s="1035" t="str">
        <f t="shared" si="1421"/>
        <v/>
      </c>
      <c r="S4044" s="498"/>
      <c r="AJ4044" s="498"/>
      <c r="AM4044" s="498">
        <f t="shared" si="1402"/>
        <v>0</v>
      </c>
      <c r="AN4044" s="498">
        <f t="shared" si="1403"/>
        <v>0</v>
      </c>
      <c r="AO4044" s="498">
        <f t="shared" si="1404"/>
        <v>0</v>
      </c>
      <c r="AP4044" s="498">
        <f t="shared" si="1401"/>
        <v>0</v>
      </c>
      <c r="AQ4044" s="498">
        <f t="shared" si="1418"/>
        <v>0</v>
      </c>
      <c r="AU4044" s="498">
        <f t="shared" si="1405"/>
        <v>0</v>
      </c>
      <c r="AV4044" s="498">
        <f t="shared" si="1406"/>
        <v>0</v>
      </c>
      <c r="AW4044" s="498">
        <f t="shared" si="1407"/>
        <v>0</v>
      </c>
      <c r="AX4044" s="498">
        <f t="shared" si="1408"/>
        <v>0</v>
      </c>
      <c r="AY4044" s="498">
        <f t="shared" si="1409"/>
        <v>0</v>
      </c>
      <c r="BB4044" s="498" t="str">
        <f t="shared" si="1410"/>
        <v/>
      </c>
      <c r="BC4044" s="743" t="str">
        <f t="shared" si="1411"/>
        <v/>
      </c>
      <c r="BD4044" s="743" t="str">
        <f t="shared" si="1412"/>
        <v/>
      </c>
      <c r="BE4044" s="743" t="str">
        <f>IF(D4044="","",VLOOKUP(D4044,'General Basis'!$J$39:$K$46,2,0))</f>
        <v/>
      </c>
      <c r="BF4044" s="744" t="str">
        <f>IF(D4044="","",VLOOKUP(D4044,'General Basis'!$J$39:$L$46,3,0))</f>
        <v/>
      </c>
      <c r="BG4044" s="744" t="str">
        <f t="shared" si="1419"/>
        <v/>
      </c>
      <c r="BH4044" s="744" t="str">
        <f>IF(G4044="","",IF(BF4044="Abu Dhabi",IF(G4044&lt;18,'General Basis'!$C$39,IF(G4044&lt;41,'General Basis'!$C$40,IF(G4044&lt;60,'General Basis'!$C$41,IF(G4044&lt;65,'General Basis'!$C$42,'General Basis'!$C$43)))),IF(G4044&lt;11,'General Basis'!$B$39,IF(G4044&lt;18,'General Basis'!$B$40,IF(G4044&lt;26,'General Basis'!$B$41,IF(G4044&lt;31,'General Basis'!$B$42,IF(G4044&lt;36,'General Basis'!$B$43,IF(G4044&lt;41,'General Basis'!$B$44,IF(G4044&lt;46,'General Basis'!$B$45,IF(G4044&lt;51,'General Basis'!$B$46,IF(G4044&lt;56,'General Basis'!$B$47,IF(G4044&lt;60,'General Basis'!$B$48,IF(G4044&lt;65,'General Basis'!$B$49,'General Basis'!$B$50)))))))))))))</f>
        <v/>
      </c>
      <c r="BI4044" s="744" t="str">
        <f t="shared" si="1413"/>
        <v/>
      </c>
      <c r="BJ4044" s="747" t="str">
        <f t="shared" si="1420"/>
        <v/>
      </c>
      <c r="BK4044" s="498" t="str">
        <f t="shared" si="1414"/>
        <v/>
      </c>
      <c r="BL4044" s="498" t="str">
        <f t="shared" si="1415"/>
        <v/>
      </c>
    </row>
    <row r="4045" spans="1:64" x14ac:dyDescent="0.25">
      <c r="A4045" s="762">
        <f t="shared" si="1416"/>
        <v>4040</v>
      </c>
      <c r="B4045" s="229"/>
      <c r="C4045" s="223"/>
      <c r="D4045" s="224"/>
      <c r="E4045" s="225"/>
      <c r="F4045" s="1036" t="str">
        <f t="shared" si="1400"/>
        <v/>
      </c>
      <c r="G4045" s="1037" t="str">
        <f t="shared" si="1417"/>
        <v/>
      </c>
      <c r="H4045" s="225"/>
      <c r="I4045" s="1013"/>
      <c r="J4045" s="1013"/>
      <c r="K4045" s="1028"/>
      <c r="L4045" s="1035" t="str">
        <f t="shared" si="1421"/>
        <v/>
      </c>
      <c r="S4045" s="498"/>
      <c r="AJ4045" s="498"/>
      <c r="AM4045" s="498">
        <f t="shared" si="1402"/>
        <v>0</v>
      </c>
      <c r="AN4045" s="498">
        <f t="shared" si="1403"/>
        <v>0</v>
      </c>
      <c r="AO4045" s="498">
        <f t="shared" si="1404"/>
        <v>0</v>
      </c>
      <c r="AP4045" s="498">
        <f t="shared" si="1401"/>
        <v>0</v>
      </c>
      <c r="AQ4045" s="498">
        <f t="shared" si="1418"/>
        <v>0</v>
      </c>
      <c r="AU4045" s="498">
        <f t="shared" si="1405"/>
        <v>0</v>
      </c>
      <c r="AV4045" s="498">
        <f t="shared" si="1406"/>
        <v>0</v>
      </c>
      <c r="AW4045" s="498">
        <f t="shared" si="1407"/>
        <v>0</v>
      </c>
      <c r="AX4045" s="498">
        <f t="shared" si="1408"/>
        <v>0</v>
      </c>
      <c r="AY4045" s="498">
        <f t="shared" si="1409"/>
        <v>0</v>
      </c>
      <c r="BB4045" s="498" t="str">
        <f t="shared" si="1410"/>
        <v/>
      </c>
      <c r="BC4045" s="743" t="str">
        <f t="shared" si="1411"/>
        <v/>
      </c>
      <c r="BD4045" s="743" t="str">
        <f t="shared" si="1412"/>
        <v/>
      </c>
      <c r="BE4045" s="743" t="str">
        <f>IF(D4045="","",VLOOKUP(D4045,'General Basis'!$J$39:$K$46,2,0))</f>
        <v/>
      </c>
      <c r="BF4045" s="744" t="str">
        <f>IF(D4045="","",VLOOKUP(D4045,'General Basis'!$J$39:$L$46,3,0))</f>
        <v/>
      </c>
      <c r="BG4045" s="744" t="str">
        <f t="shared" si="1419"/>
        <v/>
      </c>
      <c r="BH4045" s="744" t="str">
        <f>IF(G4045="","",IF(BF4045="Abu Dhabi",IF(G4045&lt;18,'General Basis'!$C$39,IF(G4045&lt;41,'General Basis'!$C$40,IF(G4045&lt;60,'General Basis'!$C$41,IF(G4045&lt;65,'General Basis'!$C$42,'General Basis'!$C$43)))),IF(G4045&lt;11,'General Basis'!$B$39,IF(G4045&lt;18,'General Basis'!$B$40,IF(G4045&lt;26,'General Basis'!$B$41,IF(G4045&lt;31,'General Basis'!$B$42,IF(G4045&lt;36,'General Basis'!$B$43,IF(G4045&lt;41,'General Basis'!$B$44,IF(G4045&lt;46,'General Basis'!$B$45,IF(G4045&lt;51,'General Basis'!$B$46,IF(G4045&lt;56,'General Basis'!$B$47,IF(G4045&lt;60,'General Basis'!$B$48,IF(G4045&lt;65,'General Basis'!$B$49,'General Basis'!$B$50)))))))))))))</f>
        <v/>
      </c>
      <c r="BI4045" s="744" t="str">
        <f t="shared" si="1413"/>
        <v/>
      </c>
      <c r="BJ4045" s="747" t="str">
        <f t="shared" si="1420"/>
        <v/>
      </c>
      <c r="BK4045" s="498" t="str">
        <f t="shared" si="1414"/>
        <v/>
      </c>
      <c r="BL4045" s="498" t="str">
        <f t="shared" si="1415"/>
        <v/>
      </c>
    </row>
    <row r="4046" spans="1:64" x14ac:dyDescent="0.25">
      <c r="A4046" s="762">
        <f t="shared" si="1416"/>
        <v>4041</v>
      </c>
      <c r="B4046" s="229"/>
      <c r="C4046" s="223"/>
      <c r="D4046" s="224"/>
      <c r="E4046" s="225"/>
      <c r="F4046" s="1036" t="str">
        <f t="shared" si="1400"/>
        <v/>
      </c>
      <c r="G4046" s="1037" t="str">
        <f t="shared" si="1417"/>
        <v/>
      </c>
      <c r="H4046" s="225"/>
      <c r="I4046" s="1013"/>
      <c r="J4046" s="1013"/>
      <c r="K4046" s="1028"/>
      <c r="L4046" s="1035" t="str">
        <f t="shared" si="1421"/>
        <v/>
      </c>
      <c r="S4046" s="498"/>
      <c r="AJ4046" s="498"/>
      <c r="AM4046" s="498">
        <f t="shared" si="1402"/>
        <v>0</v>
      </c>
      <c r="AN4046" s="498">
        <f t="shared" si="1403"/>
        <v>0</v>
      </c>
      <c r="AO4046" s="498">
        <f t="shared" si="1404"/>
        <v>0</v>
      </c>
      <c r="AP4046" s="498">
        <f t="shared" si="1401"/>
        <v>0</v>
      </c>
      <c r="AQ4046" s="498">
        <f t="shared" si="1418"/>
        <v>0</v>
      </c>
      <c r="AU4046" s="498">
        <f t="shared" si="1405"/>
        <v>0</v>
      </c>
      <c r="AV4046" s="498">
        <f t="shared" si="1406"/>
        <v>0</v>
      </c>
      <c r="AW4046" s="498">
        <f t="shared" si="1407"/>
        <v>0</v>
      </c>
      <c r="AX4046" s="498">
        <f t="shared" si="1408"/>
        <v>0</v>
      </c>
      <c r="AY4046" s="498">
        <f t="shared" si="1409"/>
        <v>0</v>
      </c>
      <c r="BB4046" s="498" t="str">
        <f t="shared" si="1410"/>
        <v/>
      </c>
      <c r="BC4046" s="743" t="str">
        <f t="shared" si="1411"/>
        <v/>
      </c>
      <c r="BD4046" s="743" t="str">
        <f t="shared" si="1412"/>
        <v/>
      </c>
      <c r="BE4046" s="743" t="str">
        <f>IF(D4046="","",VLOOKUP(D4046,'General Basis'!$J$39:$K$46,2,0))</f>
        <v/>
      </c>
      <c r="BF4046" s="744" t="str">
        <f>IF(D4046="","",VLOOKUP(D4046,'General Basis'!$J$39:$L$46,3,0))</f>
        <v/>
      </c>
      <c r="BG4046" s="744" t="str">
        <f t="shared" si="1419"/>
        <v/>
      </c>
      <c r="BH4046" s="744" t="str">
        <f>IF(G4046="","",IF(BF4046="Abu Dhabi",IF(G4046&lt;18,'General Basis'!$C$39,IF(G4046&lt;41,'General Basis'!$C$40,IF(G4046&lt;60,'General Basis'!$C$41,IF(G4046&lt;65,'General Basis'!$C$42,'General Basis'!$C$43)))),IF(G4046&lt;11,'General Basis'!$B$39,IF(G4046&lt;18,'General Basis'!$B$40,IF(G4046&lt;26,'General Basis'!$B$41,IF(G4046&lt;31,'General Basis'!$B$42,IF(G4046&lt;36,'General Basis'!$B$43,IF(G4046&lt;41,'General Basis'!$B$44,IF(G4046&lt;46,'General Basis'!$B$45,IF(G4046&lt;51,'General Basis'!$B$46,IF(G4046&lt;56,'General Basis'!$B$47,IF(G4046&lt;60,'General Basis'!$B$48,IF(G4046&lt;65,'General Basis'!$B$49,'General Basis'!$B$50)))))))))))))</f>
        <v/>
      </c>
      <c r="BI4046" s="744" t="str">
        <f t="shared" si="1413"/>
        <v/>
      </c>
      <c r="BJ4046" s="747" t="str">
        <f t="shared" si="1420"/>
        <v/>
      </c>
      <c r="BK4046" s="498" t="str">
        <f t="shared" si="1414"/>
        <v/>
      </c>
      <c r="BL4046" s="498" t="str">
        <f t="shared" si="1415"/>
        <v/>
      </c>
    </row>
    <row r="4047" spans="1:64" x14ac:dyDescent="0.25">
      <c r="A4047" s="762">
        <f t="shared" si="1416"/>
        <v>4042</v>
      </c>
      <c r="B4047" s="229"/>
      <c r="C4047" s="223"/>
      <c r="D4047" s="224"/>
      <c r="E4047" s="225"/>
      <c r="F4047" s="1036" t="str">
        <f t="shared" si="1400"/>
        <v/>
      </c>
      <c r="G4047" s="1037" t="str">
        <f t="shared" si="1417"/>
        <v/>
      </c>
      <c r="H4047" s="225"/>
      <c r="I4047" s="1013"/>
      <c r="J4047" s="1013"/>
      <c r="K4047" s="1028"/>
      <c r="L4047" s="1035" t="str">
        <f t="shared" si="1421"/>
        <v/>
      </c>
      <c r="S4047" s="498"/>
      <c r="AJ4047" s="498"/>
      <c r="AM4047" s="498">
        <f t="shared" si="1402"/>
        <v>0</v>
      </c>
      <c r="AN4047" s="498">
        <f t="shared" si="1403"/>
        <v>0</v>
      </c>
      <c r="AO4047" s="498">
        <f t="shared" si="1404"/>
        <v>0</v>
      </c>
      <c r="AP4047" s="498">
        <f t="shared" si="1401"/>
        <v>0</v>
      </c>
      <c r="AQ4047" s="498">
        <f t="shared" si="1418"/>
        <v>0</v>
      </c>
      <c r="AU4047" s="498">
        <f t="shared" si="1405"/>
        <v>0</v>
      </c>
      <c r="AV4047" s="498">
        <f t="shared" si="1406"/>
        <v>0</v>
      </c>
      <c r="AW4047" s="498">
        <f t="shared" si="1407"/>
        <v>0</v>
      </c>
      <c r="AX4047" s="498">
        <f t="shared" si="1408"/>
        <v>0</v>
      </c>
      <c r="AY4047" s="498">
        <f t="shared" si="1409"/>
        <v>0</v>
      </c>
      <c r="BB4047" s="498" t="str">
        <f t="shared" si="1410"/>
        <v/>
      </c>
      <c r="BC4047" s="743" t="str">
        <f t="shared" si="1411"/>
        <v/>
      </c>
      <c r="BD4047" s="743" t="str">
        <f t="shared" si="1412"/>
        <v/>
      </c>
      <c r="BE4047" s="743" t="str">
        <f>IF(D4047="","",VLOOKUP(D4047,'General Basis'!$J$39:$K$46,2,0))</f>
        <v/>
      </c>
      <c r="BF4047" s="744" t="str">
        <f>IF(D4047="","",VLOOKUP(D4047,'General Basis'!$J$39:$L$46,3,0))</f>
        <v/>
      </c>
      <c r="BG4047" s="744" t="str">
        <f t="shared" si="1419"/>
        <v/>
      </c>
      <c r="BH4047" s="744" t="str">
        <f>IF(G4047="","",IF(BF4047="Abu Dhabi",IF(G4047&lt;18,'General Basis'!$C$39,IF(G4047&lt;41,'General Basis'!$C$40,IF(G4047&lt;60,'General Basis'!$C$41,IF(G4047&lt;65,'General Basis'!$C$42,'General Basis'!$C$43)))),IF(G4047&lt;11,'General Basis'!$B$39,IF(G4047&lt;18,'General Basis'!$B$40,IF(G4047&lt;26,'General Basis'!$B$41,IF(G4047&lt;31,'General Basis'!$B$42,IF(G4047&lt;36,'General Basis'!$B$43,IF(G4047&lt;41,'General Basis'!$B$44,IF(G4047&lt;46,'General Basis'!$B$45,IF(G4047&lt;51,'General Basis'!$B$46,IF(G4047&lt;56,'General Basis'!$B$47,IF(G4047&lt;60,'General Basis'!$B$48,IF(G4047&lt;65,'General Basis'!$B$49,'General Basis'!$B$50)))))))))))))</f>
        <v/>
      </c>
      <c r="BI4047" s="744" t="str">
        <f t="shared" si="1413"/>
        <v/>
      </c>
      <c r="BJ4047" s="747" t="str">
        <f t="shared" si="1420"/>
        <v/>
      </c>
      <c r="BK4047" s="498" t="str">
        <f t="shared" si="1414"/>
        <v/>
      </c>
      <c r="BL4047" s="498" t="str">
        <f t="shared" si="1415"/>
        <v/>
      </c>
    </row>
    <row r="4048" spans="1:64" x14ac:dyDescent="0.25">
      <c r="A4048" s="762">
        <f t="shared" si="1416"/>
        <v>4043</v>
      </c>
      <c r="B4048" s="229"/>
      <c r="C4048" s="223"/>
      <c r="D4048" s="224"/>
      <c r="E4048" s="225"/>
      <c r="F4048" s="1036" t="str">
        <f t="shared" ref="F4048:F4111" si="1422">IF(C4048="","",IF($B4048="","",((YEAR($F$3)-YEAR($B4048))+(MONTH($F$3)-MONTH($B4048))/12+(DAY($F$3)-DAY($B4048))/(DATE(YEAR($F$3),12,31)-DATE(YEAR($F$3),1,1)+1))))</f>
        <v/>
      </c>
      <c r="G4048" s="1037" t="str">
        <f t="shared" si="1417"/>
        <v/>
      </c>
      <c r="H4048" s="225"/>
      <c r="I4048" s="1013"/>
      <c r="J4048" s="1013"/>
      <c r="K4048" s="1028"/>
      <c r="L4048" s="1035" t="str">
        <f t="shared" si="1421"/>
        <v/>
      </c>
      <c r="S4048" s="498"/>
      <c r="AJ4048" s="498"/>
      <c r="AM4048" s="498">
        <f t="shared" si="1402"/>
        <v>0</v>
      </c>
      <c r="AN4048" s="498">
        <f t="shared" si="1403"/>
        <v>0</v>
      </c>
      <c r="AO4048" s="498">
        <f t="shared" si="1404"/>
        <v>0</v>
      </c>
      <c r="AP4048" s="498">
        <f t="shared" si="1401"/>
        <v>0</v>
      </c>
      <c r="AQ4048" s="498">
        <f t="shared" si="1418"/>
        <v>0</v>
      </c>
      <c r="AU4048" s="498">
        <f t="shared" si="1405"/>
        <v>0</v>
      </c>
      <c r="AV4048" s="498">
        <f t="shared" si="1406"/>
        <v>0</v>
      </c>
      <c r="AW4048" s="498">
        <f t="shared" si="1407"/>
        <v>0</v>
      </c>
      <c r="AX4048" s="498">
        <f t="shared" si="1408"/>
        <v>0</v>
      </c>
      <c r="AY4048" s="498">
        <f t="shared" si="1409"/>
        <v>0</v>
      </c>
      <c r="BB4048" s="498" t="str">
        <f t="shared" si="1410"/>
        <v/>
      </c>
      <c r="BC4048" s="743" t="str">
        <f t="shared" si="1411"/>
        <v/>
      </c>
      <c r="BD4048" s="743" t="str">
        <f t="shared" si="1412"/>
        <v/>
      </c>
      <c r="BE4048" s="743" t="str">
        <f>IF(D4048="","",VLOOKUP(D4048,'General Basis'!$J$39:$K$46,2,0))</f>
        <v/>
      </c>
      <c r="BF4048" s="744" t="str">
        <f>IF(D4048="","",VLOOKUP(D4048,'General Basis'!$J$39:$L$46,3,0))</f>
        <v/>
      </c>
      <c r="BG4048" s="744" t="str">
        <f t="shared" si="1419"/>
        <v/>
      </c>
      <c r="BH4048" s="744" t="str">
        <f>IF(G4048="","",IF(BF4048="Abu Dhabi",IF(G4048&lt;18,'General Basis'!$C$39,IF(G4048&lt;41,'General Basis'!$C$40,IF(G4048&lt;60,'General Basis'!$C$41,IF(G4048&lt;65,'General Basis'!$C$42,'General Basis'!$C$43)))),IF(G4048&lt;11,'General Basis'!$B$39,IF(G4048&lt;18,'General Basis'!$B$40,IF(G4048&lt;26,'General Basis'!$B$41,IF(G4048&lt;31,'General Basis'!$B$42,IF(G4048&lt;36,'General Basis'!$B$43,IF(G4048&lt;41,'General Basis'!$B$44,IF(G4048&lt;46,'General Basis'!$B$45,IF(G4048&lt;51,'General Basis'!$B$46,IF(G4048&lt;56,'General Basis'!$B$47,IF(G4048&lt;60,'General Basis'!$B$48,IF(G4048&lt;65,'General Basis'!$B$49,'General Basis'!$B$50)))))))))))))</f>
        <v/>
      </c>
      <c r="BI4048" s="744" t="str">
        <f t="shared" si="1413"/>
        <v/>
      </c>
      <c r="BJ4048" s="747" t="str">
        <f t="shared" si="1420"/>
        <v/>
      </c>
      <c r="BK4048" s="498" t="str">
        <f t="shared" si="1414"/>
        <v/>
      </c>
      <c r="BL4048" s="498" t="str">
        <f t="shared" si="1415"/>
        <v/>
      </c>
    </row>
    <row r="4049" spans="1:64" x14ac:dyDescent="0.25">
      <c r="A4049" s="762">
        <f t="shared" si="1416"/>
        <v>4044</v>
      </c>
      <c r="B4049" s="229"/>
      <c r="C4049" s="223"/>
      <c r="D4049" s="224"/>
      <c r="E4049" s="225"/>
      <c r="F4049" s="1036" t="str">
        <f t="shared" si="1422"/>
        <v/>
      </c>
      <c r="G4049" s="1037" t="str">
        <f t="shared" si="1417"/>
        <v/>
      </c>
      <c r="H4049" s="225"/>
      <c r="I4049" s="1013"/>
      <c r="J4049" s="1013"/>
      <c r="K4049" s="1028"/>
      <c r="L4049" s="1035" t="str">
        <f t="shared" si="1421"/>
        <v/>
      </c>
      <c r="S4049" s="498"/>
      <c r="AJ4049" s="498"/>
      <c r="AM4049" s="498">
        <f t="shared" si="1402"/>
        <v>0</v>
      </c>
      <c r="AN4049" s="498">
        <f t="shared" si="1403"/>
        <v>0</v>
      </c>
      <c r="AO4049" s="498">
        <f t="shared" si="1404"/>
        <v>0</v>
      </c>
      <c r="AP4049" s="498">
        <f t="shared" si="1401"/>
        <v>0</v>
      </c>
      <c r="AQ4049" s="498">
        <f t="shared" si="1418"/>
        <v>0</v>
      </c>
      <c r="AU4049" s="498">
        <f t="shared" si="1405"/>
        <v>0</v>
      </c>
      <c r="AV4049" s="498">
        <f t="shared" si="1406"/>
        <v>0</v>
      </c>
      <c r="AW4049" s="498">
        <f t="shared" si="1407"/>
        <v>0</v>
      </c>
      <c r="AX4049" s="498">
        <f t="shared" si="1408"/>
        <v>0</v>
      </c>
      <c r="AY4049" s="498">
        <f t="shared" si="1409"/>
        <v>0</v>
      </c>
      <c r="BB4049" s="498" t="str">
        <f t="shared" si="1410"/>
        <v/>
      </c>
      <c r="BC4049" s="743" t="str">
        <f t="shared" si="1411"/>
        <v/>
      </c>
      <c r="BD4049" s="743" t="str">
        <f t="shared" si="1412"/>
        <v/>
      </c>
      <c r="BE4049" s="743" t="str">
        <f>IF(D4049="","",VLOOKUP(D4049,'General Basis'!$J$39:$K$46,2,0))</f>
        <v/>
      </c>
      <c r="BF4049" s="744" t="str">
        <f>IF(D4049="","",VLOOKUP(D4049,'General Basis'!$J$39:$L$46,3,0))</f>
        <v/>
      </c>
      <c r="BG4049" s="744" t="str">
        <f t="shared" si="1419"/>
        <v/>
      </c>
      <c r="BH4049" s="744" t="str">
        <f>IF(G4049="","",IF(BF4049="Abu Dhabi",IF(G4049&lt;18,'General Basis'!$C$39,IF(G4049&lt;41,'General Basis'!$C$40,IF(G4049&lt;60,'General Basis'!$C$41,IF(G4049&lt;65,'General Basis'!$C$42,'General Basis'!$C$43)))),IF(G4049&lt;11,'General Basis'!$B$39,IF(G4049&lt;18,'General Basis'!$B$40,IF(G4049&lt;26,'General Basis'!$B$41,IF(G4049&lt;31,'General Basis'!$B$42,IF(G4049&lt;36,'General Basis'!$B$43,IF(G4049&lt;41,'General Basis'!$B$44,IF(G4049&lt;46,'General Basis'!$B$45,IF(G4049&lt;51,'General Basis'!$B$46,IF(G4049&lt;56,'General Basis'!$B$47,IF(G4049&lt;60,'General Basis'!$B$48,IF(G4049&lt;65,'General Basis'!$B$49,'General Basis'!$B$50)))))))))))))</f>
        <v/>
      </c>
      <c r="BI4049" s="744" t="str">
        <f t="shared" si="1413"/>
        <v/>
      </c>
      <c r="BJ4049" s="747" t="str">
        <f t="shared" si="1420"/>
        <v/>
      </c>
      <c r="BK4049" s="498" t="str">
        <f t="shared" si="1414"/>
        <v/>
      </c>
      <c r="BL4049" s="498" t="str">
        <f t="shared" si="1415"/>
        <v/>
      </c>
    </row>
    <row r="4050" spans="1:64" x14ac:dyDescent="0.25">
      <c r="A4050" s="762">
        <f t="shared" si="1416"/>
        <v>4045</v>
      </c>
      <c r="B4050" s="229"/>
      <c r="C4050" s="223"/>
      <c r="D4050" s="224"/>
      <c r="E4050" s="225"/>
      <c r="F4050" s="1036" t="str">
        <f t="shared" si="1422"/>
        <v/>
      </c>
      <c r="G4050" s="1037" t="str">
        <f t="shared" si="1417"/>
        <v/>
      </c>
      <c r="H4050" s="225"/>
      <c r="I4050" s="1013"/>
      <c r="J4050" s="1013"/>
      <c r="K4050" s="1028"/>
      <c r="L4050" s="1035" t="str">
        <f t="shared" si="1421"/>
        <v/>
      </c>
      <c r="S4050" s="498"/>
      <c r="AJ4050" s="498"/>
      <c r="AM4050" s="498">
        <f t="shared" si="1402"/>
        <v>0</v>
      </c>
      <c r="AN4050" s="498">
        <f t="shared" si="1403"/>
        <v>0</v>
      </c>
      <c r="AO4050" s="498">
        <f t="shared" si="1404"/>
        <v>0</v>
      </c>
      <c r="AP4050" s="498">
        <f t="shared" si="1401"/>
        <v>0</v>
      </c>
      <c r="AQ4050" s="498">
        <f t="shared" si="1418"/>
        <v>0</v>
      </c>
      <c r="AU4050" s="498">
        <f t="shared" si="1405"/>
        <v>0</v>
      </c>
      <c r="AV4050" s="498">
        <f t="shared" si="1406"/>
        <v>0</v>
      </c>
      <c r="AW4050" s="498">
        <f t="shared" si="1407"/>
        <v>0</v>
      </c>
      <c r="AX4050" s="498">
        <f t="shared" si="1408"/>
        <v>0</v>
      </c>
      <c r="AY4050" s="498">
        <f t="shared" si="1409"/>
        <v>0</v>
      </c>
      <c r="BB4050" s="498" t="str">
        <f t="shared" si="1410"/>
        <v/>
      </c>
      <c r="BC4050" s="743" t="str">
        <f t="shared" si="1411"/>
        <v/>
      </c>
      <c r="BD4050" s="743" t="str">
        <f t="shared" si="1412"/>
        <v/>
      </c>
      <c r="BE4050" s="743" t="str">
        <f>IF(D4050="","",VLOOKUP(D4050,'General Basis'!$J$39:$K$46,2,0))</f>
        <v/>
      </c>
      <c r="BF4050" s="744" t="str">
        <f>IF(D4050="","",VLOOKUP(D4050,'General Basis'!$J$39:$L$46,3,0))</f>
        <v/>
      </c>
      <c r="BG4050" s="744" t="str">
        <f t="shared" si="1419"/>
        <v/>
      </c>
      <c r="BH4050" s="744" t="str">
        <f>IF(G4050="","",IF(BF4050="Abu Dhabi",IF(G4050&lt;18,'General Basis'!$C$39,IF(G4050&lt;41,'General Basis'!$C$40,IF(G4050&lt;60,'General Basis'!$C$41,IF(G4050&lt;65,'General Basis'!$C$42,'General Basis'!$C$43)))),IF(G4050&lt;11,'General Basis'!$B$39,IF(G4050&lt;18,'General Basis'!$B$40,IF(G4050&lt;26,'General Basis'!$B$41,IF(G4050&lt;31,'General Basis'!$B$42,IF(G4050&lt;36,'General Basis'!$B$43,IF(G4050&lt;41,'General Basis'!$B$44,IF(G4050&lt;46,'General Basis'!$B$45,IF(G4050&lt;51,'General Basis'!$B$46,IF(G4050&lt;56,'General Basis'!$B$47,IF(G4050&lt;60,'General Basis'!$B$48,IF(G4050&lt;65,'General Basis'!$B$49,'General Basis'!$B$50)))))))))))))</f>
        <v/>
      </c>
      <c r="BI4050" s="744" t="str">
        <f t="shared" si="1413"/>
        <v/>
      </c>
      <c r="BJ4050" s="747" t="str">
        <f t="shared" si="1420"/>
        <v/>
      </c>
      <c r="BK4050" s="498" t="str">
        <f t="shared" si="1414"/>
        <v/>
      </c>
      <c r="BL4050" s="498" t="str">
        <f t="shared" si="1415"/>
        <v/>
      </c>
    </row>
    <row r="4051" spans="1:64" x14ac:dyDescent="0.25">
      <c r="A4051" s="762">
        <f t="shared" si="1416"/>
        <v>4046</v>
      </c>
      <c r="B4051" s="229"/>
      <c r="C4051" s="223"/>
      <c r="D4051" s="224"/>
      <c r="E4051" s="225"/>
      <c r="F4051" s="1036" t="str">
        <f t="shared" si="1422"/>
        <v/>
      </c>
      <c r="G4051" s="1037" t="str">
        <f t="shared" si="1417"/>
        <v/>
      </c>
      <c r="H4051" s="225"/>
      <c r="I4051" s="1013"/>
      <c r="J4051" s="1013"/>
      <c r="K4051" s="1028"/>
      <c r="L4051" s="1035" t="str">
        <f t="shared" si="1421"/>
        <v/>
      </c>
      <c r="S4051" s="498"/>
      <c r="AJ4051" s="498"/>
      <c r="AM4051" s="498">
        <f t="shared" si="1402"/>
        <v>0</v>
      </c>
      <c r="AN4051" s="498">
        <f t="shared" si="1403"/>
        <v>0</v>
      </c>
      <c r="AO4051" s="498">
        <f t="shared" si="1404"/>
        <v>0</v>
      </c>
      <c r="AP4051" s="498">
        <f t="shared" ref="AP4051:AP4114" si="1423">IF(ISBLANK($B4051),0,IF(OR($C4051="M",$C4051="F"),0,1))</f>
        <v>0</v>
      </c>
      <c r="AQ4051" s="498">
        <f t="shared" si="1418"/>
        <v>0</v>
      </c>
      <c r="AU4051" s="498">
        <f t="shared" si="1405"/>
        <v>0</v>
      </c>
      <c r="AV4051" s="498">
        <f t="shared" si="1406"/>
        <v>0</v>
      </c>
      <c r="AW4051" s="498">
        <f t="shared" si="1407"/>
        <v>0</v>
      </c>
      <c r="AX4051" s="498">
        <f t="shared" si="1408"/>
        <v>0</v>
      </c>
      <c r="AY4051" s="498">
        <f t="shared" si="1409"/>
        <v>0</v>
      </c>
      <c r="BB4051" s="498" t="str">
        <f t="shared" si="1410"/>
        <v/>
      </c>
      <c r="BC4051" s="743" t="str">
        <f t="shared" si="1411"/>
        <v/>
      </c>
      <c r="BD4051" s="743" t="str">
        <f t="shared" si="1412"/>
        <v/>
      </c>
      <c r="BE4051" s="743" t="str">
        <f>IF(D4051="","",VLOOKUP(D4051,'General Basis'!$J$39:$K$46,2,0))</f>
        <v/>
      </c>
      <c r="BF4051" s="744" t="str">
        <f>IF(D4051="","",VLOOKUP(D4051,'General Basis'!$J$39:$L$46,3,0))</f>
        <v/>
      </c>
      <c r="BG4051" s="744" t="str">
        <f t="shared" si="1419"/>
        <v/>
      </c>
      <c r="BH4051" s="744" t="str">
        <f>IF(G4051="","",IF(BF4051="Abu Dhabi",IF(G4051&lt;18,'General Basis'!$C$39,IF(G4051&lt;41,'General Basis'!$C$40,IF(G4051&lt;60,'General Basis'!$C$41,IF(G4051&lt;65,'General Basis'!$C$42,'General Basis'!$C$43)))),IF(G4051&lt;11,'General Basis'!$B$39,IF(G4051&lt;18,'General Basis'!$B$40,IF(G4051&lt;26,'General Basis'!$B$41,IF(G4051&lt;31,'General Basis'!$B$42,IF(G4051&lt;36,'General Basis'!$B$43,IF(G4051&lt;41,'General Basis'!$B$44,IF(G4051&lt;46,'General Basis'!$B$45,IF(G4051&lt;51,'General Basis'!$B$46,IF(G4051&lt;56,'General Basis'!$B$47,IF(G4051&lt;60,'General Basis'!$B$48,IF(G4051&lt;65,'General Basis'!$B$49,'General Basis'!$B$50)))))))))))))</f>
        <v/>
      </c>
      <c r="BI4051" s="744" t="str">
        <f t="shared" si="1413"/>
        <v/>
      </c>
      <c r="BJ4051" s="747" t="str">
        <f t="shared" si="1420"/>
        <v/>
      </c>
      <c r="BK4051" s="498" t="str">
        <f t="shared" si="1414"/>
        <v/>
      </c>
      <c r="BL4051" s="498" t="str">
        <f t="shared" si="1415"/>
        <v/>
      </c>
    </row>
    <row r="4052" spans="1:64" x14ac:dyDescent="0.25">
      <c r="A4052" s="762">
        <f t="shared" si="1416"/>
        <v>4047</v>
      </c>
      <c r="B4052" s="229"/>
      <c r="C4052" s="223"/>
      <c r="D4052" s="224"/>
      <c r="E4052" s="225"/>
      <c r="F4052" s="1036" t="str">
        <f t="shared" si="1422"/>
        <v/>
      </c>
      <c r="G4052" s="1037" t="str">
        <f t="shared" si="1417"/>
        <v/>
      </c>
      <c r="H4052" s="225"/>
      <c r="I4052" s="1013"/>
      <c r="J4052" s="1013"/>
      <c r="K4052" s="1028"/>
      <c r="L4052" s="1035" t="str">
        <f t="shared" si="1421"/>
        <v/>
      </c>
      <c r="S4052" s="498"/>
      <c r="AJ4052" s="498"/>
      <c r="AM4052" s="498">
        <f t="shared" si="1402"/>
        <v>0</v>
      </c>
      <c r="AN4052" s="498">
        <f t="shared" si="1403"/>
        <v>0</v>
      </c>
      <c r="AO4052" s="498">
        <f t="shared" si="1404"/>
        <v>0</v>
      </c>
      <c r="AP4052" s="498">
        <f t="shared" si="1423"/>
        <v>0</v>
      </c>
      <c r="AQ4052" s="498">
        <f t="shared" si="1418"/>
        <v>0</v>
      </c>
      <c r="AU4052" s="498">
        <f t="shared" si="1405"/>
        <v>0</v>
      </c>
      <c r="AV4052" s="498">
        <f t="shared" si="1406"/>
        <v>0</v>
      </c>
      <c r="AW4052" s="498">
        <f t="shared" si="1407"/>
        <v>0</v>
      </c>
      <c r="AX4052" s="498">
        <f t="shared" si="1408"/>
        <v>0</v>
      </c>
      <c r="AY4052" s="498">
        <f t="shared" si="1409"/>
        <v>0</v>
      </c>
      <c r="BB4052" s="498" t="str">
        <f t="shared" si="1410"/>
        <v/>
      </c>
      <c r="BC4052" s="743" t="str">
        <f t="shared" si="1411"/>
        <v/>
      </c>
      <c r="BD4052" s="743" t="str">
        <f t="shared" si="1412"/>
        <v/>
      </c>
      <c r="BE4052" s="743" t="str">
        <f>IF(D4052="","",VLOOKUP(D4052,'General Basis'!$J$39:$K$46,2,0))</f>
        <v/>
      </c>
      <c r="BF4052" s="744" t="str">
        <f>IF(D4052="","",VLOOKUP(D4052,'General Basis'!$J$39:$L$46,3,0))</f>
        <v/>
      </c>
      <c r="BG4052" s="744" t="str">
        <f t="shared" si="1419"/>
        <v/>
      </c>
      <c r="BH4052" s="744" t="str">
        <f>IF(G4052="","",IF(BF4052="Abu Dhabi",IF(G4052&lt;18,'General Basis'!$C$39,IF(G4052&lt;41,'General Basis'!$C$40,IF(G4052&lt;60,'General Basis'!$C$41,IF(G4052&lt;65,'General Basis'!$C$42,'General Basis'!$C$43)))),IF(G4052&lt;11,'General Basis'!$B$39,IF(G4052&lt;18,'General Basis'!$B$40,IF(G4052&lt;26,'General Basis'!$B$41,IF(G4052&lt;31,'General Basis'!$B$42,IF(G4052&lt;36,'General Basis'!$B$43,IF(G4052&lt;41,'General Basis'!$B$44,IF(G4052&lt;46,'General Basis'!$B$45,IF(G4052&lt;51,'General Basis'!$B$46,IF(G4052&lt;56,'General Basis'!$B$47,IF(G4052&lt;60,'General Basis'!$B$48,IF(G4052&lt;65,'General Basis'!$B$49,'General Basis'!$B$50)))))))))))))</f>
        <v/>
      </c>
      <c r="BI4052" s="744" t="str">
        <f t="shared" si="1413"/>
        <v/>
      </c>
      <c r="BJ4052" s="747" t="str">
        <f t="shared" si="1420"/>
        <v/>
      </c>
      <c r="BK4052" s="498" t="str">
        <f t="shared" si="1414"/>
        <v/>
      </c>
      <c r="BL4052" s="498" t="str">
        <f t="shared" si="1415"/>
        <v/>
      </c>
    </row>
    <row r="4053" spans="1:64" x14ac:dyDescent="0.25">
      <c r="A4053" s="762">
        <f t="shared" si="1416"/>
        <v>4048</v>
      </c>
      <c r="B4053" s="229"/>
      <c r="C4053" s="223"/>
      <c r="D4053" s="224"/>
      <c r="E4053" s="225"/>
      <c r="F4053" s="1036" t="str">
        <f t="shared" si="1422"/>
        <v/>
      </c>
      <c r="G4053" s="1037" t="str">
        <f t="shared" si="1417"/>
        <v/>
      </c>
      <c r="H4053" s="225"/>
      <c r="I4053" s="1013"/>
      <c r="J4053" s="1013"/>
      <c r="K4053" s="1028"/>
      <c r="L4053" s="1035" t="str">
        <f t="shared" si="1421"/>
        <v/>
      </c>
      <c r="S4053" s="498"/>
      <c r="AJ4053" s="498"/>
      <c r="AM4053" s="498">
        <f t="shared" si="1402"/>
        <v>0</v>
      </c>
      <c r="AN4053" s="498">
        <f t="shared" si="1403"/>
        <v>0</v>
      </c>
      <c r="AO4053" s="498">
        <f t="shared" si="1404"/>
        <v>0</v>
      </c>
      <c r="AP4053" s="498">
        <f t="shared" si="1423"/>
        <v>0</v>
      </c>
      <c r="AQ4053" s="498">
        <f t="shared" si="1418"/>
        <v>0</v>
      </c>
      <c r="AU4053" s="498">
        <f t="shared" si="1405"/>
        <v>0</v>
      </c>
      <c r="AV4053" s="498">
        <f t="shared" si="1406"/>
        <v>0</v>
      </c>
      <c r="AW4053" s="498">
        <f t="shared" si="1407"/>
        <v>0</v>
      </c>
      <c r="AX4053" s="498">
        <f t="shared" si="1408"/>
        <v>0</v>
      </c>
      <c r="AY4053" s="498">
        <f t="shared" si="1409"/>
        <v>0</v>
      </c>
      <c r="BB4053" s="498" t="str">
        <f t="shared" si="1410"/>
        <v/>
      </c>
      <c r="BC4053" s="743" t="str">
        <f t="shared" si="1411"/>
        <v/>
      </c>
      <c r="BD4053" s="743" t="str">
        <f t="shared" si="1412"/>
        <v/>
      </c>
      <c r="BE4053" s="743" t="str">
        <f>IF(D4053="","",VLOOKUP(D4053,'General Basis'!$J$39:$K$46,2,0))</f>
        <v/>
      </c>
      <c r="BF4053" s="744" t="str">
        <f>IF(D4053="","",VLOOKUP(D4053,'General Basis'!$J$39:$L$46,3,0))</f>
        <v/>
      </c>
      <c r="BG4053" s="744" t="str">
        <f t="shared" si="1419"/>
        <v/>
      </c>
      <c r="BH4053" s="744" t="str">
        <f>IF(G4053="","",IF(BF4053="Abu Dhabi",IF(G4053&lt;18,'General Basis'!$C$39,IF(G4053&lt;41,'General Basis'!$C$40,IF(G4053&lt;60,'General Basis'!$C$41,IF(G4053&lt;65,'General Basis'!$C$42,'General Basis'!$C$43)))),IF(G4053&lt;11,'General Basis'!$B$39,IF(G4053&lt;18,'General Basis'!$B$40,IF(G4053&lt;26,'General Basis'!$B$41,IF(G4053&lt;31,'General Basis'!$B$42,IF(G4053&lt;36,'General Basis'!$B$43,IF(G4053&lt;41,'General Basis'!$B$44,IF(G4053&lt;46,'General Basis'!$B$45,IF(G4053&lt;51,'General Basis'!$B$46,IF(G4053&lt;56,'General Basis'!$B$47,IF(G4053&lt;60,'General Basis'!$B$48,IF(G4053&lt;65,'General Basis'!$B$49,'General Basis'!$B$50)))))))))))))</f>
        <v/>
      </c>
      <c r="BI4053" s="744" t="str">
        <f t="shared" si="1413"/>
        <v/>
      </c>
      <c r="BJ4053" s="747" t="str">
        <f t="shared" si="1420"/>
        <v/>
      </c>
      <c r="BK4053" s="498" t="str">
        <f t="shared" si="1414"/>
        <v/>
      </c>
      <c r="BL4053" s="498" t="str">
        <f t="shared" si="1415"/>
        <v/>
      </c>
    </row>
    <row r="4054" spans="1:64" x14ac:dyDescent="0.25">
      <c r="A4054" s="762">
        <f t="shared" si="1416"/>
        <v>4049</v>
      </c>
      <c r="B4054" s="229"/>
      <c r="C4054" s="223"/>
      <c r="D4054" s="224"/>
      <c r="E4054" s="225"/>
      <c r="F4054" s="1036" t="str">
        <f t="shared" si="1422"/>
        <v/>
      </c>
      <c r="G4054" s="1037" t="str">
        <f t="shared" si="1417"/>
        <v/>
      </c>
      <c r="H4054" s="225"/>
      <c r="I4054" s="1013"/>
      <c r="J4054" s="1013"/>
      <c r="K4054" s="1028"/>
      <c r="L4054" s="1035" t="str">
        <f t="shared" si="1421"/>
        <v/>
      </c>
      <c r="S4054" s="498"/>
      <c r="AJ4054" s="498"/>
      <c r="AM4054" s="498">
        <f t="shared" si="1402"/>
        <v>0</v>
      </c>
      <c r="AN4054" s="498">
        <f t="shared" si="1403"/>
        <v>0</v>
      </c>
      <c r="AO4054" s="498">
        <f t="shared" si="1404"/>
        <v>0</v>
      </c>
      <c r="AP4054" s="498">
        <f t="shared" si="1423"/>
        <v>0</v>
      </c>
      <c r="AQ4054" s="498">
        <f t="shared" si="1418"/>
        <v>0</v>
      </c>
      <c r="AU4054" s="498">
        <f t="shared" si="1405"/>
        <v>0</v>
      </c>
      <c r="AV4054" s="498">
        <f t="shared" si="1406"/>
        <v>0</v>
      </c>
      <c r="AW4054" s="498">
        <f t="shared" si="1407"/>
        <v>0</v>
      </c>
      <c r="AX4054" s="498">
        <f t="shared" si="1408"/>
        <v>0</v>
      </c>
      <c r="AY4054" s="498">
        <f t="shared" si="1409"/>
        <v>0</v>
      </c>
      <c r="BB4054" s="498" t="str">
        <f t="shared" si="1410"/>
        <v/>
      </c>
      <c r="BC4054" s="743" t="str">
        <f t="shared" si="1411"/>
        <v/>
      </c>
      <c r="BD4054" s="743" t="str">
        <f t="shared" si="1412"/>
        <v/>
      </c>
      <c r="BE4054" s="743" t="str">
        <f>IF(D4054="","",VLOOKUP(D4054,'General Basis'!$J$39:$K$46,2,0))</f>
        <v/>
      </c>
      <c r="BF4054" s="744" t="str">
        <f>IF(D4054="","",VLOOKUP(D4054,'General Basis'!$J$39:$L$46,3,0))</f>
        <v/>
      </c>
      <c r="BG4054" s="744" t="str">
        <f t="shared" si="1419"/>
        <v/>
      </c>
      <c r="BH4054" s="744" t="str">
        <f>IF(G4054="","",IF(BF4054="Abu Dhabi",IF(G4054&lt;18,'General Basis'!$C$39,IF(G4054&lt;41,'General Basis'!$C$40,IF(G4054&lt;60,'General Basis'!$C$41,IF(G4054&lt;65,'General Basis'!$C$42,'General Basis'!$C$43)))),IF(G4054&lt;11,'General Basis'!$B$39,IF(G4054&lt;18,'General Basis'!$B$40,IF(G4054&lt;26,'General Basis'!$B$41,IF(G4054&lt;31,'General Basis'!$B$42,IF(G4054&lt;36,'General Basis'!$B$43,IF(G4054&lt;41,'General Basis'!$B$44,IF(G4054&lt;46,'General Basis'!$B$45,IF(G4054&lt;51,'General Basis'!$B$46,IF(G4054&lt;56,'General Basis'!$B$47,IF(G4054&lt;60,'General Basis'!$B$48,IF(G4054&lt;65,'General Basis'!$B$49,'General Basis'!$B$50)))))))))))))</f>
        <v/>
      </c>
      <c r="BI4054" s="744" t="str">
        <f t="shared" si="1413"/>
        <v/>
      </c>
      <c r="BJ4054" s="747" t="str">
        <f t="shared" si="1420"/>
        <v/>
      </c>
      <c r="BK4054" s="498" t="str">
        <f t="shared" si="1414"/>
        <v/>
      </c>
      <c r="BL4054" s="498" t="str">
        <f t="shared" si="1415"/>
        <v/>
      </c>
    </row>
    <row r="4055" spans="1:64" x14ac:dyDescent="0.25">
      <c r="A4055" s="762">
        <f t="shared" si="1416"/>
        <v>4050</v>
      </c>
      <c r="B4055" s="229"/>
      <c r="C4055" s="223"/>
      <c r="D4055" s="224"/>
      <c r="E4055" s="225"/>
      <c r="F4055" s="1036" t="str">
        <f t="shared" si="1422"/>
        <v/>
      </c>
      <c r="G4055" s="1037" t="str">
        <f t="shared" si="1417"/>
        <v/>
      </c>
      <c r="H4055" s="225"/>
      <c r="I4055" s="1013"/>
      <c r="J4055" s="1013"/>
      <c r="K4055" s="1028"/>
      <c r="L4055" s="1035" t="str">
        <f t="shared" si="1421"/>
        <v/>
      </c>
      <c r="S4055" s="498"/>
      <c r="AJ4055" s="498"/>
      <c r="AM4055" s="498">
        <f t="shared" si="1402"/>
        <v>0</v>
      </c>
      <c r="AN4055" s="498">
        <f t="shared" si="1403"/>
        <v>0</v>
      </c>
      <c r="AO4055" s="498">
        <f t="shared" si="1404"/>
        <v>0</v>
      </c>
      <c r="AP4055" s="498">
        <f t="shared" si="1423"/>
        <v>0</v>
      </c>
      <c r="AQ4055" s="498">
        <f t="shared" si="1418"/>
        <v>0</v>
      </c>
      <c r="AU4055" s="498">
        <f t="shared" si="1405"/>
        <v>0</v>
      </c>
      <c r="AV4055" s="498">
        <f t="shared" si="1406"/>
        <v>0</v>
      </c>
      <c r="AW4055" s="498">
        <f t="shared" si="1407"/>
        <v>0</v>
      </c>
      <c r="AX4055" s="498">
        <f t="shared" si="1408"/>
        <v>0</v>
      </c>
      <c r="AY4055" s="498">
        <f t="shared" si="1409"/>
        <v>0</v>
      </c>
      <c r="BB4055" s="498" t="str">
        <f t="shared" si="1410"/>
        <v/>
      </c>
      <c r="BC4055" s="743" t="str">
        <f t="shared" si="1411"/>
        <v/>
      </c>
      <c r="BD4055" s="743" t="str">
        <f t="shared" si="1412"/>
        <v/>
      </c>
      <c r="BE4055" s="743" t="str">
        <f>IF(D4055="","",VLOOKUP(D4055,'General Basis'!$J$39:$K$46,2,0))</f>
        <v/>
      </c>
      <c r="BF4055" s="744" t="str">
        <f>IF(D4055="","",VLOOKUP(D4055,'General Basis'!$J$39:$L$46,3,0))</f>
        <v/>
      </c>
      <c r="BG4055" s="744" t="str">
        <f t="shared" si="1419"/>
        <v/>
      </c>
      <c r="BH4055" s="744" t="str">
        <f>IF(G4055="","",IF(BF4055="Abu Dhabi",IF(G4055&lt;18,'General Basis'!$C$39,IF(G4055&lt;41,'General Basis'!$C$40,IF(G4055&lt;60,'General Basis'!$C$41,IF(G4055&lt;65,'General Basis'!$C$42,'General Basis'!$C$43)))),IF(G4055&lt;11,'General Basis'!$B$39,IF(G4055&lt;18,'General Basis'!$B$40,IF(G4055&lt;26,'General Basis'!$B$41,IF(G4055&lt;31,'General Basis'!$B$42,IF(G4055&lt;36,'General Basis'!$B$43,IF(G4055&lt;41,'General Basis'!$B$44,IF(G4055&lt;46,'General Basis'!$B$45,IF(G4055&lt;51,'General Basis'!$B$46,IF(G4055&lt;56,'General Basis'!$B$47,IF(G4055&lt;60,'General Basis'!$B$48,IF(G4055&lt;65,'General Basis'!$B$49,'General Basis'!$B$50)))))))))))))</f>
        <v/>
      </c>
      <c r="BI4055" s="744" t="str">
        <f t="shared" si="1413"/>
        <v/>
      </c>
      <c r="BJ4055" s="747" t="str">
        <f t="shared" si="1420"/>
        <v/>
      </c>
      <c r="BK4055" s="498" t="str">
        <f t="shared" si="1414"/>
        <v/>
      </c>
      <c r="BL4055" s="498" t="str">
        <f t="shared" si="1415"/>
        <v/>
      </c>
    </row>
    <row r="4056" spans="1:64" x14ac:dyDescent="0.25">
      <c r="A4056" s="762">
        <f t="shared" si="1416"/>
        <v>4051</v>
      </c>
      <c r="B4056" s="229"/>
      <c r="C4056" s="223"/>
      <c r="D4056" s="224"/>
      <c r="E4056" s="225"/>
      <c r="F4056" s="1036" t="str">
        <f t="shared" si="1422"/>
        <v/>
      </c>
      <c r="G4056" s="1037" t="str">
        <f t="shared" si="1417"/>
        <v/>
      </c>
      <c r="H4056" s="225"/>
      <c r="I4056" s="1013"/>
      <c r="J4056" s="1013"/>
      <c r="K4056" s="1028"/>
      <c r="L4056" s="1035" t="str">
        <f t="shared" si="1421"/>
        <v/>
      </c>
      <c r="S4056" s="498"/>
      <c r="AJ4056" s="498"/>
      <c r="AM4056" s="498">
        <f t="shared" si="1402"/>
        <v>0</v>
      </c>
      <c r="AN4056" s="498">
        <f t="shared" si="1403"/>
        <v>0</v>
      </c>
      <c r="AO4056" s="498">
        <f t="shared" si="1404"/>
        <v>0</v>
      </c>
      <c r="AP4056" s="498">
        <f t="shared" si="1423"/>
        <v>0</v>
      </c>
      <c r="AQ4056" s="498">
        <f t="shared" si="1418"/>
        <v>0</v>
      </c>
      <c r="AU4056" s="498">
        <f t="shared" si="1405"/>
        <v>0</v>
      </c>
      <c r="AV4056" s="498">
        <f t="shared" si="1406"/>
        <v>0</v>
      </c>
      <c r="AW4056" s="498">
        <f t="shared" si="1407"/>
        <v>0</v>
      </c>
      <c r="AX4056" s="498">
        <f t="shared" si="1408"/>
        <v>0</v>
      </c>
      <c r="AY4056" s="498">
        <f t="shared" si="1409"/>
        <v>0</v>
      </c>
      <c r="BB4056" s="498" t="str">
        <f t="shared" si="1410"/>
        <v/>
      </c>
      <c r="BC4056" s="743" t="str">
        <f t="shared" si="1411"/>
        <v/>
      </c>
      <c r="BD4056" s="743" t="str">
        <f t="shared" si="1412"/>
        <v/>
      </c>
      <c r="BE4056" s="743" t="str">
        <f>IF(D4056="","",VLOOKUP(D4056,'General Basis'!$J$39:$K$46,2,0))</f>
        <v/>
      </c>
      <c r="BF4056" s="744" t="str">
        <f>IF(D4056="","",VLOOKUP(D4056,'General Basis'!$J$39:$L$46,3,0))</f>
        <v/>
      </c>
      <c r="BG4056" s="744" t="str">
        <f t="shared" si="1419"/>
        <v/>
      </c>
      <c r="BH4056" s="744" t="str">
        <f>IF(G4056="","",IF(BF4056="Abu Dhabi",IF(G4056&lt;18,'General Basis'!$C$39,IF(G4056&lt;41,'General Basis'!$C$40,IF(G4056&lt;60,'General Basis'!$C$41,IF(G4056&lt;65,'General Basis'!$C$42,'General Basis'!$C$43)))),IF(G4056&lt;11,'General Basis'!$B$39,IF(G4056&lt;18,'General Basis'!$B$40,IF(G4056&lt;26,'General Basis'!$B$41,IF(G4056&lt;31,'General Basis'!$B$42,IF(G4056&lt;36,'General Basis'!$B$43,IF(G4056&lt;41,'General Basis'!$B$44,IF(G4056&lt;46,'General Basis'!$B$45,IF(G4056&lt;51,'General Basis'!$B$46,IF(G4056&lt;56,'General Basis'!$B$47,IF(G4056&lt;60,'General Basis'!$B$48,IF(G4056&lt;65,'General Basis'!$B$49,'General Basis'!$B$50)))))))))))))</f>
        <v/>
      </c>
      <c r="BI4056" s="744" t="str">
        <f t="shared" si="1413"/>
        <v/>
      </c>
      <c r="BJ4056" s="747" t="str">
        <f t="shared" si="1420"/>
        <v/>
      </c>
      <c r="BK4056" s="498" t="str">
        <f t="shared" si="1414"/>
        <v/>
      </c>
      <c r="BL4056" s="498" t="str">
        <f t="shared" si="1415"/>
        <v/>
      </c>
    </row>
    <row r="4057" spans="1:64" x14ac:dyDescent="0.25">
      <c r="A4057" s="762">
        <f t="shared" si="1416"/>
        <v>4052</v>
      </c>
      <c r="B4057" s="229"/>
      <c r="C4057" s="223"/>
      <c r="D4057" s="224"/>
      <c r="E4057" s="225"/>
      <c r="F4057" s="1036" t="str">
        <f t="shared" si="1422"/>
        <v/>
      </c>
      <c r="G4057" s="1037" t="str">
        <f t="shared" si="1417"/>
        <v/>
      </c>
      <c r="H4057" s="225"/>
      <c r="I4057" s="1013"/>
      <c r="J4057" s="1013"/>
      <c r="K4057" s="1028"/>
      <c r="L4057" s="1035" t="str">
        <f t="shared" si="1421"/>
        <v/>
      </c>
      <c r="S4057" s="498"/>
      <c r="AJ4057" s="498"/>
      <c r="AM4057" s="498">
        <f t="shared" si="1402"/>
        <v>0</v>
      </c>
      <c r="AN4057" s="498">
        <f t="shared" si="1403"/>
        <v>0</v>
      </c>
      <c r="AO4057" s="498">
        <f t="shared" si="1404"/>
        <v>0</v>
      </c>
      <c r="AP4057" s="498">
        <f t="shared" si="1423"/>
        <v>0</v>
      </c>
      <c r="AQ4057" s="498">
        <f t="shared" si="1418"/>
        <v>0</v>
      </c>
      <c r="AU4057" s="498">
        <f t="shared" si="1405"/>
        <v>0</v>
      </c>
      <c r="AV4057" s="498">
        <f t="shared" si="1406"/>
        <v>0</v>
      </c>
      <c r="AW4057" s="498">
        <f t="shared" si="1407"/>
        <v>0</v>
      </c>
      <c r="AX4057" s="498">
        <f t="shared" si="1408"/>
        <v>0</v>
      </c>
      <c r="AY4057" s="498">
        <f t="shared" si="1409"/>
        <v>0</v>
      </c>
      <c r="BB4057" s="498" t="str">
        <f t="shared" si="1410"/>
        <v/>
      </c>
      <c r="BC4057" s="743" t="str">
        <f t="shared" si="1411"/>
        <v/>
      </c>
      <c r="BD4057" s="743" t="str">
        <f t="shared" si="1412"/>
        <v/>
      </c>
      <c r="BE4057" s="743" t="str">
        <f>IF(D4057="","",VLOOKUP(D4057,'General Basis'!$J$39:$K$46,2,0))</f>
        <v/>
      </c>
      <c r="BF4057" s="744" t="str">
        <f>IF(D4057="","",VLOOKUP(D4057,'General Basis'!$J$39:$L$46,3,0))</f>
        <v/>
      </c>
      <c r="BG4057" s="744" t="str">
        <f t="shared" si="1419"/>
        <v/>
      </c>
      <c r="BH4057" s="744" t="str">
        <f>IF(G4057="","",IF(BF4057="Abu Dhabi",IF(G4057&lt;18,'General Basis'!$C$39,IF(G4057&lt;41,'General Basis'!$C$40,IF(G4057&lt;60,'General Basis'!$C$41,IF(G4057&lt;65,'General Basis'!$C$42,'General Basis'!$C$43)))),IF(G4057&lt;11,'General Basis'!$B$39,IF(G4057&lt;18,'General Basis'!$B$40,IF(G4057&lt;26,'General Basis'!$B$41,IF(G4057&lt;31,'General Basis'!$B$42,IF(G4057&lt;36,'General Basis'!$B$43,IF(G4057&lt;41,'General Basis'!$B$44,IF(G4057&lt;46,'General Basis'!$B$45,IF(G4057&lt;51,'General Basis'!$B$46,IF(G4057&lt;56,'General Basis'!$B$47,IF(G4057&lt;60,'General Basis'!$B$48,IF(G4057&lt;65,'General Basis'!$B$49,'General Basis'!$B$50)))))))))))))</f>
        <v/>
      </c>
      <c r="BI4057" s="744" t="str">
        <f t="shared" si="1413"/>
        <v/>
      </c>
      <c r="BJ4057" s="747" t="str">
        <f t="shared" si="1420"/>
        <v/>
      </c>
      <c r="BK4057" s="498" t="str">
        <f t="shared" si="1414"/>
        <v/>
      </c>
      <c r="BL4057" s="498" t="str">
        <f t="shared" si="1415"/>
        <v/>
      </c>
    </row>
    <row r="4058" spans="1:64" x14ac:dyDescent="0.25">
      <c r="A4058" s="762">
        <f t="shared" si="1416"/>
        <v>4053</v>
      </c>
      <c r="B4058" s="229"/>
      <c r="C4058" s="223"/>
      <c r="D4058" s="224"/>
      <c r="E4058" s="225"/>
      <c r="F4058" s="1036" t="str">
        <f t="shared" si="1422"/>
        <v/>
      </c>
      <c r="G4058" s="1037" t="str">
        <f t="shared" si="1417"/>
        <v/>
      </c>
      <c r="H4058" s="225"/>
      <c r="I4058" s="1013"/>
      <c r="J4058" s="1013"/>
      <c r="K4058" s="1028"/>
      <c r="L4058" s="1035" t="str">
        <f t="shared" si="1421"/>
        <v/>
      </c>
      <c r="S4058" s="498"/>
      <c r="AJ4058" s="498"/>
      <c r="AM4058" s="498">
        <f t="shared" si="1402"/>
        <v>0</v>
      </c>
      <c r="AN4058" s="498">
        <f t="shared" si="1403"/>
        <v>0</v>
      </c>
      <c r="AO4058" s="498">
        <f t="shared" si="1404"/>
        <v>0</v>
      </c>
      <c r="AP4058" s="498">
        <f t="shared" si="1423"/>
        <v>0</v>
      </c>
      <c r="AQ4058" s="498">
        <f t="shared" si="1418"/>
        <v>0</v>
      </c>
      <c r="AU4058" s="498">
        <f t="shared" si="1405"/>
        <v>0</v>
      </c>
      <c r="AV4058" s="498">
        <f t="shared" si="1406"/>
        <v>0</v>
      </c>
      <c r="AW4058" s="498">
        <f t="shared" si="1407"/>
        <v>0</v>
      </c>
      <c r="AX4058" s="498">
        <f t="shared" si="1408"/>
        <v>0</v>
      </c>
      <c r="AY4058" s="498">
        <f t="shared" si="1409"/>
        <v>0</v>
      </c>
      <c r="BB4058" s="498" t="str">
        <f t="shared" si="1410"/>
        <v/>
      </c>
      <c r="BC4058" s="743" t="str">
        <f t="shared" si="1411"/>
        <v/>
      </c>
      <c r="BD4058" s="743" t="str">
        <f t="shared" si="1412"/>
        <v/>
      </c>
      <c r="BE4058" s="743" t="str">
        <f>IF(D4058="","",VLOOKUP(D4058,'General Basis'!$J$39:$K$46,2,0))</f>
        <v/>
      </c>
      <c r="BF4058" s="744" t="str">
        <f>IF(D4058="","",VLOOKUP(D4058,'General Basis'!$J$39:$L$46,3,0))</f>
        <v/>
      </c>
      <c r="BG4058" s="744" t="str">
        <f t="shared" si="1419"/>
        <v/>
      </c>
      <c r="BH4058" s="744" t="str">
        <f>IF(G4058="","",IF(BF4058="Abu Dhabi",IF(G4058&lt;18,'General Basis'!$C$39,IF(G4058&lt;41,'General Basis'!$C$40,IF(G4058&lt;60,'General Basis'!$C$41,IF(G4058&lt;65,'General Basis'!$C$42,'General Basis'!$C$43)))),IF(G4058&lt;11,'General Basis'!$B$39,IF(G4058&lt;18,'General Basis'!$B$40,IF(G4058&lt;26,'General Basis'!$B$41,IF(G4058&lt;31,'General Basis'!$B$42,IF(G4058&lt;36,'General Basis'!$B$43,IF(G4058&lt;41,'General Basis'!$B$44,IF(G4058&lt;46,'General Basis'!$B$45,IF(G4058&lt;51,'General Basis'!$B$46,IF(G4058&lt;56,'General Basis'!$B$47,IF(G4058&lt;60,'General Basis'!$B$48,IF(G4058&lt;65,'General Basis'!$B$49,'General Basis'!$B$50)))))))))))))</f>
        <v/>
      </c>
      <c r="BI4058" s="744" t="str">
        <f t="shared" si="1413"/>
        <v/>
      </c>
      <c r="BJ4058" s="747" t="str">
        <f t="shared" si="1420"/>
        <v/>
      </c>
      <c r="BK4058" s="498" t="str">
        <f t="shared" si="1414"/>
        <v/>
      </c>
      <c r="BL4058" s="498" t="str">
        <f t="shared" si="1415"/>
        <v/>
      </c>
    </row>
    <row r="4059" spans="1:64" x14ac:dyDescent="0.25">
      <c r="A4059" s="762">
        <f t="shared" si="1416"/>
        <v>4054</v>
      </c>
      <c r="B4059" s="229"/>
      <c r="C4059" s="223"/>
      <c r="D4059" s="224"/>
      <c r="E4059" s="225"/>
      <c r="F4059" s="1036" t="str">
        <f t="shared" si="1422"/>
        <v/>
      </c>
      <c r="G4059" s="1037" t="str">
        <f t="shared" si="1417"/>
        <v/>
      </c>
      <c r="H4059" s="225"/>
      <c r="I4059" s="1013"/>
      <c r="J4059" s="1013"/>
      <c r="K4059" s="1028"/>
      <c r="L4059" s="1035" t="str">
        <f t="shared" si="1421"/>
        <v/>
      </c>
      <c r="S4059" s="498"/>
      <c r="AJ4059" s="498"/>
      <c r="AM4059" s="498">
        <f t="shared" si="1402"/>
        <v>0</v>
      </c>
      <c r="AN4059" s="498">
        <f t="shared" si="1403"/>
        <v>0</v>
      </c>
      <c r="AO4059" s="498">
        <f t="shared" si="1404"/>
        <v>0</v>
      </c>
      <c r="AP4059" s="498">
        <f t="shared" si="1423"/>
        <v>0</v>
      </c>
      <c r="AQ4059" s="498">
        <f t="shared" si="1418"/>
        <v>0</v>
      </c>
      <c r="AU4059" s="498">
        <f t="shared" si="1405"/>
        <v>0</v>
      </c>
      <c r="AV4059" s="498">
        <f t="shared" si="1406"/>
        <v>0</v>
      </c>
      <c r="AW4059" s="498">
        <f t="shared" si="1407"/>
        <v>0</v>
      </c>
      <c r="AX4059" s="498">
        <f t="shared" si="1408"/>
        <v>0</v>
      </c>
      <c r="AY4059" s="498">
        <f t="shared" si="1409"/>
        <v>0</v>
      </c>
      <c r="BB4059" s="498" t="str">
        <f t="shared" si="1410"/>
        <v/>
      </c>
      <c r="BC4059" s="743" t="str">
        <f t="shared" si="1411"/>
        <v/>
      </c>
      <c r="BD4059" s="743" t="str">
        <f t="shared" si="1412"/>
        <v/>
      </c>
      <c r="BE4059" s="743" t="str">
        <f>IF(D4059="","",VLOOKUP(D4059,'General Basis'!$J$39:$K$46,2,0))</f>
        <v/>
      </c>
      <c r="BF4059" s="744" t="str">
        <f>IF(D4059="","",VLOOKUP(D4059,'General Basis'!$J$39:$L$46,3,0))</f>
        <v/>
      </c>
      <c r="BG4059" s="744" t="str">
        <f t="shared" si="1419"/>
        <v/>
      </c>
      <c r="BH4059" s="744" t="str">
        <f>IF(G4059="","",IF(BF4059="Abu Dhabi",IF(G4059&lt;18,'General Basis'!$C$39,IF(G4059&lt;41,'General Basis'!$C$40,IF(G4059&lt;60,'General Basis'!$C$41,IF(G4059&lt;65,'General Basis'!$C$42,'General Basis'!$C$43)))),IF(G4059&lt;11,'General Basis'!$B$39,IF(G4059&lt;18,'General Basis'!$B$40,IF(G4059&lt;26,'General Basis'!$B$41,IF(G4059&lt;31,'General Basis'!$B$42,IF(G4059&lt;36,'General Basis'!$B$43,IF(G4059&lt;41,'General Basis'!$B$44,IF(G4059&lt;46,'General Basis'!$B$45,IF(G4059&lt;51,'General Basis'!$B$46,IF(G4059&lt;56,'General Basis'!$B$47,IF(G4059&lt;60,'General Basis'!$B$48,IF(G4059&lt;65,'General Basis'!$B$49,'General Basis'!$B$50)))))))))))))</f>
        <v/>
      </c>
      <c r="BI4059" s="744" t="str">
        <f t="shared" si="1413"/>
        <v/>
      </c>
      <c r="BJ4059" s="747" t="str">
        <f t="shared" si="1420"/>
        <v/>
      </c>
      <c r="BK4059" s="498" t="str">
        <f t="shared" si="1414"/>
        <v/>
      </c>
      <c r="BL4059" s="498" t="str">
        <f t="shared" si="1415"/>
        <v/>
      </c>
    </row>
    <row r="4060" spans="1:64" x14ac:dyDescent="0.25">
      <c r="A4060" s="762">
        <f t="shared" si="1416"/>
        <v>4055</v>
      </c>
      <c r="B4060" s="229"/>
      <c r="C4060" s="223"/>
      <c r="D4060" s="224"/>
      <c r="E4060" s="225"/>
      <c r="F4060" s="1036" t="str">
        <f t="shared" si="1422"/>
        <v/>
      </c>
      <c r="G4060" s="1037" t="str">
        <f t="shared" si="1417"/>
        <v/>
      </c>
      <c r="H4060" s="225"/>
      <c r="I4060" s="1013"/>
      <c r="J4060" s="1013"/>
      <c r="K4060" s="1028"/>
      <c r="L4060" s="1035" t="str">
        <f t="shared" si="1421"/>
        <v/>
      </c>
      <c r="S4060" s="498"/>
      <c r="AJ4060" s="498"/>
      <c r="AM4060" s="498">
        <f t="shared" si="1402"/>
        <v>0</v>
      </c>
      <c r="AN4060" s="498">
        <f t="shared" si="1403"/>
        <v>0</v>
      </c>
      <c r="AO4060" s="498">
        <f t="shared" si="1404"/>
        <v>0</v>
      </c>
      <c r="AP4060" s="498">
        <f t="shared" si="1423"/>
        <v>0</v>
      </c>
      <c r="AQ4060" s="498">
        <f t="shared" si="1418"/>
        <v>0</v>
      </c>
      <c r="AU4060" s="498">
        <f t="shared" si="1405"/>
        <v>0</v>
      </c>
      <c r="AV4060" s="498">
        <f t="shared" si="1406"/>
        <v>0</v>
      </c>
      <c r="AW4060" s="498">
        <f t="shared" si="1407"/>
        <v>0</v>
      </c>
      <c r="AX4060" s="498">
        <f t="shared" si="1408"/>
        <v>0</v>
      </c>
      <c r="AY4060" s="498">
        <f t="shared" si="1409"/>
        <v>0</v>
      </c>
      <c r="BB4060" s="498" t="str">
        <f t="shared" si="1410"/>
        <v/>
      </c>
      <c r="BC4060" s="743" t="str">
        <f t="shared" si="1411"/>
        <v/>
      </c>
      <c r="BD4060" s="743" t="str">
        <f t="shared" si="1412"/>
        <v/>
      </c>
      <c r="BE4060" s="743" t="str">
        <f>IF(D4060="","",VLOOKUP(D4060,'General Basis'!$J$39:$K$46,2,0))</f>
        <v/>
      </c>
      <c r="BF4060" s="744" t="str">
        <f>IF(D4060="","",VLOOKUP(D4060,'General Basis'!$J$39:$L$46,3,0))</f>
        <v/>
      </c>
      <c r="BG4060" s="744" t="str">
        <f t="shared" si="1419"/>
        <v/>
      </c>
      <c r="BH4060" s="744" t="str">
        <f>IF(G4060="","",IF(BF4060="Abu Dhabi",IF(G4060&lt;18,'General Basis'!$C$39,IF(G4060&lt;41,'General Basis'!$C$40,IF(G4060&lt;60,'General Basis'!$C$41,IF(G4060&lt;65,'General Basis'!$C$42,'General Basis'!$C$43)))),IF(G4060&lt;11,'General Basis'!$B$39,IF(G4060&lt;18,'General Basis'!$B$40,IF(G4060&lt;26,'General Basis'!$B$41,IF(G4060&lt;31,'General Basis'!$B$42,IF(G4060&lt;36,'General Basis'!$B$43,IF(G4060&lt;41,'General Basis'!$B$44,IF(G4060&lt;46,'General Basis'!$B$45,IF(G4060&lt;51,'General Basis'!$B$46,IF(G4060&lt;56,'General Basis'!$B$47,IF(G4060&lt;60,'General Basis'!$B$48,IF(G4060&lt;65,'General Basis'!$B$49,'General Basis'!$B$50)))))))))))))</f>
        <v/>
      </c>
      <c r="BI4060" s="744" t="str">
        <f t="shared" si="1413"/>
        <v/>
      </c>
      <c r="BJ4060" s="747" t="str">
        <f t="shared" si="1420"/>
        <v/>
      </c>
      <c r="BK4060" s="498" t="str">
        <f t="shared" si="1414"/>
        <v/>
      </c>
      <c r="BL4060" s="498" t="str">
        <f t="shared" si="1415"/>
        <v/>
      </c>
    </row>
    <row r="4061" spans="1:64" x14ac:dyDescent="0.25">
      <c r="A4061" s="762">
        <f t="shared" si="1416"/>
        <v>4056</v>
      </c>
      <c r="B4061" s="229"/>
      <c r="C4061" s="223"/>
      <c r="D4061" s="224"/>
      <c r="E4061" s="225"/>
      <c r="F4061" s="1036" t="str">
        <f t="shared" si="1422"/>
        <v/>
      </c>
      <c r="G4061" s="1037" t="str">
        <f t="shared" si="1417"/>
        <v/>
      </c>
      <c r="H4061" s="225"/>
      <c r="I4061" s="1013"/>
      <c r="J4061" s="1013"/>
      <c r="K4061" s="1028"/>
      <c r="L4061" s="1035" t="str">
        <f t="shared" si="1421"/>
        <v/>
      </c>
      <c r="S4061" s="498"/>
      <c r="AJ4061" s="498"/>
      <c r="AM4061" s="498">
        <f t="shared" si="1402"/>
        <v>0</v>
      </c>
      <c r="AN4061" s="498">
        <f t="shared" si="1403"/>
        <v>0</v>
      </c>
      <c r="AO4061" s="498">
        <f t="shared" si="1404"/>
        <v>0</v>
      </c>
      <c r="AP4061" s="498">
        <f t="shared" si="1423"/>
        <v>0</v>
      </c>
      <c r="AQ4061" s="498">
        <f t="shared" si="1418"/>
        <v>0</v>
      </c>
      <c r="AU4061" s="498">
        <f t="shared" si="1405"/>
        <v>0</v>
      </c>
      <c r="AV4061" s="498">
        <f t="shared" si="1406"/>
        <v>0</v>
      </c>
      <c r="AW4061" s="498">
        <f t="shared" si="1407"/>
        <v>0</v>
      </c>
      <c r="AX4061" s="498">
        <f t="shared" si="1408"/>
        <v>0</v>
      </c>
      <c r="AY4061" s="498">
        <f t="shared" si="1409"/>
        <v>0</v>
      </c>
      <c r="BB4061" s="498" t="str">
        <f t="shared" si="1410"/>
        <v/>
      </c>
      <c r="BC4061" s="743" t="str">
        <f t="shared" si="1411"/>
        <v/>
      </c>
      <c r="BD4061" s="743" t="str">
        <f t="shared" si="1412"/>
        <v/>
      </c>
      <c r="BE4061" s="743" t="str">
        <f>IF(D4061="","",VLOOKUP(D4061,'General Basis'!$J$39:$K$46,2,0))</f>
        <v/>
      </c>
      <c r="BF4061" s="744" t="str">
        <f>IF(D4061="","",VLOOKUP(D4061,'General Basis'!$J$39:$L$46,3,0))</f>
        <v/>
      </c>
      <c r="BG4061" s="744" t="str">
        <f t="shared" si="1419"/>
        <v/>
      </c>
      <c r="BH4061" s="744" t="str">
        <f>IF(G4061="","",IF(BF4061="Abu Dhabi",IF(G4061&lt;18,'General Basis'!$C$39,IF(G4061&lt;41,'General Basis'!$C$40,IF(G4061&lt;60,'General Basis'!$C$41,IF(G4061&lt;65,'General Basis'!$C$42,'General Basis'!$C$43)))),IF(G4061&lt;11,'General Basis'!$B$39,IF(G4061&lt;18,'General Basis'!$B$40,IF(G4061&lt;26,'General Basis'!$B$41,IF(G4061&lt;31,'General Basis'!$B$42,IF(G4061&lt;36,'General Basis'!$B$43,IF(G4061&lt;41,'General Basis'!$B$44,IF(G4061&lt;46,'General Basis'!$B$45,IF(G4061&lt;51,'General Basis'!$B$46,IF(G4061&lt;56,'General Basis'!$B$47,IF(G4061&lt;60,'General Basis'!$B$48,IF(G4061&lt;65,'General Basis'!$B$49,'General Basis'!$B$50)))))))))))))</f>
        <v/>
      </c>
      <c r="BI4061" s="744" t="str">
        <f t="shared" si="1413"/>
        <v/>
      </c>
      <c r="BJ4061" s="747" t="str">
        <f t="shared" si="1420"/>
        <v/>
      </c>
      <c r="BK4061" s="498" t="str">
        <f t="shared" si="1414"/>
        <v/>
      </c>
      <c r="BL4061" s="498" t="str">
        <f t="shared" si="1415"/>
        <v/>
      </c>
    </row>
    <row r="4062" spans="1:64" x14ac:dyDescent="0.25">
      <c r="A4062" s="762">
        <f t="shared" si="1416"/>
        <v>4057</v>
      </c>
      <c r="B4062" s="229"/>
      <c r="C4062" s="223"/>
      <c r="D4062" s="224"/>
      <c r="E4062" s="225"/>
      <c r="F4062" s="1036" t="str">
        <f t="shared" si="1422"/>
        <v/>
      </c>
      <c r="G4062" s="1037" t="str">
        <f t="shared" si="1417"/>
        <v/>
      </c>
      <c r="H4062" s="225"/>
      <c r="I4062" s="1013"/>
      <c r="J4062" s="1013"/>
      <c r="K4062" s="1028"/>
      <c r="L4062" s="1035" t="str">
        <f t="shared" si="1421"/>
        <v/>
      </c>
      <c r="S4062" s="498"/>
      <c r="AJ4062" s="498"/>
      <c r="AM4062" s="498">
        <f t="shared" si="1402"/>
        <v>0</v>
      </c>
      <c r="AN4062" s="498">
        <f t="shared" si="1403"/>
        <v>0</v>
      </c>
      <c r="AO4062" s="498">
        <f t="shared" si="1404"/>
        <v>0</v>
      </c>
      <c r="AP4062" s="498">
        <f t="shared" si="1423"/>
        <v>0</v>
      </c>
      <c r="AQ4062" s="498">
        <f t="shared" si="1418"/>
        <v>0</v>
      </c>
      <c r="AU4062" s="498">
        <f t="shared" si="1405"/>
        <v>0</v>
      </c>
      <c r="AV4062" s="498">
        <f t="shared" si="1406"/>
        <v>0</v>
      </c>
      <c r="AW4062" s="498">
        <f t="shared" si="1407"/>
        <v>0</v>
      </c>
      <c r="AX4062" s="498">
        <f t="shared" si="1408"/>
        <v>0</v>
      </c>
      <c r="AY4062" s="498">
        <f t="shared" si="1409"/>
        <v>0</v>
      </c>
      <c r="BB4062" s="498" t="str">
        <f t="shared" si="1410"/>
        <v/>
      </c>
      <c r="BC4062" s="743" t="str">
        <f t="shared" si="1411"/>
        <v/>
      </c>
      <c r="BD4062" s="743" t="str">
        <f t="shared" si="1412"/>
        <v/>
      </c>
      <c r="BE4062" s="743" t="str">
        <f>IF(D4062="","",VLOOKUP(D4062,'General Basis'!$J$39:$K$46,2,0))</f>
        <v/>
      </c>
      <c r="BF4062" s="744" t="str">
        <f>IF(D4062="","",VLOOKUP(D4062,'General Basis'!$J$39:$L$46,3,0))</f>
        <v/>
      </c>
      <c r="BG4062" s="744" t="str">
        <f t="shared" si="1419"/>
        <v/>
      </c>
      <c r="BH4062" s="744" t="str">
        <f>IF(G4062="","",IF(BF4062="Abu Dhabi",IF(G4062&lt;18,'General Basis'!$C$39,IF(G4062&lt;41,'General Basis'!$C$40,IF(G4062&lt;60,'General Basis'!$C$41,IF(G4062&lt;65,'General Basis'!$C$42,'General Basis'!$C$43)))),IF(G4062&lt;11,'General Basis'!$B$39,IF(G4062&lt;18,'General Basis'!$B$40,IF(G4062&lt;26,'General Basis'!$B$41,IF(G4062&lt;31,'General Basis'!$B$42,IF(G4062&lt;36,'General Basis'!$B$43,IF(G4062&lt;41,'General Basis'!$B$44,IF(G4062&lt;46,'General Basis'!$B$45,IF(G4062&lt;51,'General Basis'!$B$46,IF(G4062&lt;56,'General Basis'!$B$47,IF(G4062&lt;60,'General Basis'!$B$48,IF(G4062&lt;65,'General Basis'!$B$49,'General Basis'!$B$50)))))))))))))</f>
        <v/>
      </c>
      <c r="BI4062" s="744" t="str">
        <f t="shared" si="1413"/>
        <v/>
      </c>
      <c r="BJ4062" s="747" t="str">
        <f t="shared" si="1420"/>
        <v/>
      </c>
      <c r="BK4062" s="498" t="str">
        <f t="shared" si="1414"/>
        <v/>
      </c>
      <c r="BL4062" s="498" t="str">
        <f t="shared" si="1415"/>
        <v/>
      </c>
    </row>
    <row r="4063" spans="1:64" x14ac:dyDescent="0.25">
      <c r="A4063" s="762">
        <f t="shared" si="1416"/>
        <v>4058</v>
      </c>
      <c r="B4063" s="229"/>
      <c r="C4063" s="223"/>
      <c r="D4063" s="224"/>
      <c r="E4063" s="225"/>
      <c r="F4063" s="1036" t="str">
        <f t="shared" si="1422"/>
        <v/>
      </c>
      <c r="G4063" s="1037" t="str">
        <f t="shared" si="1417"/>
        <v/>
      </c>
      <c r="H4063" s="225"/>
      <c r="I4063" s="1013"/>
      <c r="J4063" s="1013"/>
      <c r="K4063" s="1028"/>
      <c r="L4063" s="1035" t="str">
        <f t="shared" si="1421"/>
        <v/>
      </c>
      <c r="S4063" s="498"/>
      <c r="AJ4063" s="498"/>
      <c r="AM4063" s="498">
        <f t="shared" si="1402"/>
        <v>0</v>
      </c>
      <c r="AN4063" s="498">
        <f t="shared" si="1403"/>
        <v>0</v>
      </c>
      <c r="AO4063" s="498">
        <f t="shared" si="1404"/>
        <v>0</v>
      </c>
      <c r="AP4063" s="498">
        <f t="shared" si="1423"/>
        <v>0</v>
      </c>
      <c r="AQ4063" s="498">
        <f t="shared" si="1418"/>
        <v>0</v>
      </c>
      <c r="AU4063" s="498">
        <f t="shared" si="1405"/>
        <v>0</v>
      </c>
      <c r="AV4063" s="498">
        <f t="shared" si="1406"/>
        <v>0</v>
      </c>
      <c r="AW4063" s="498">
        <f t="shared" si="1407"/>
        <v>0</v>
      </c>
      <c r="AX4063" s="498">
        <f t="shared" si="1408"/>
        <v>0</v>
      </c>
      <c r="AY4063" s="498">
        <f t="shared" si="1409"/>
        <v>0</v>
      </c>
      <c r="BB4063" s="498" t="str">
        <f t="shared" si="1410"/>
        <v/>
      </c>
      <c r="BC4063" s="743" t="str">
        <f t="shared" si="1411"/>
        <v/>
      </c>
      <c r="BD4063" s="743" t="str">
        <f t="shared" si="1412"/>
        <v/>
      </c>
      <c r="BE4063" s="743" t="str">
        <f>IF(D4063="","",VLOOKUP(D4063,'General Basis'!$J$39:$K$46,2,0))</f>
        <v/>
      </c>
      <c r="BF4063" s="744" t="str">
        <f>IF(D4063="","",VLOOKUP(D4063,'General Basis'!$J$39:$L$46,3,0))</f>
        <v/>
      </c>
      <c r="BG4063" s="744" t="str">
        <f t="shared" si="1419"/>
        <v/>
      </c>
      <c r="BH4063" s="744" t="str">
        <f>IF(G4063="","",IF(BF4063="Abu Dhabi",IF(G4063&lt;18,'General Basis'!$C$39,IF(G4063&lt;41,'General Basis'!$C$40,IF(G4063&lt;60,'General Basis'!$C$41,IF(G4063&lt;65,'General Basis'!$C$42,'General Basis'!$C$43)))),IF(G4063&lt;11,'General Basis'!$B$39,IF(G4063&lt;18,'General Basis'!$B$40,IF(G4063&lt;26,'General Basis'!$B$41,IF(G4063&lt;31,'General Basis'!$B$42,IF(G4063&lt;36,'General Basis'!$B$43,IF(G4063&lt;41,'General Basis'!$B$44,IF(G4063&lt;46,'General Basis'!$B$45,IF(G4063&lt;51,'General Basis'!$B$46,IF(G4063&lt;56,'General Basis'!$B$47,IF(G4063&lt;60,'General Basis'!$B$48,IF(G4063&lt;65,'General Basis'!$B$49,'General Basis'!$B$50)))))))))))))</f>
        <v/>
      </c>
      <c r="BI4063" s="744" t="str">
        <f t="shared" si="1413"/>
        <v/>
      </c>
      <c r="BJ4063" s="747" t="str">
        <f t="shared" si="1420"/>
        <v/>
      </c>
      <c r="BK4063" s="498" t="str">
        <f t="shared" si="1414"/>
        <v/>
      </c>
      <c r="BL4063" s="498" t="str">
        <f t="shared" si="1415"/>
        <v/>
      </c>
    </row>
    <row r="4064" spans="1:64" x14ac:dyDescent="0.25">
      <c r="A4064" s="762">
        <f t="shared" si="1416"/>
        <v>4059</v>
      </c>
      <c r="B4064" s="229"/>
      <c r="C4064" s="223"/>
      <c r="D4064" s="224"/>
      <c r="E4064" s="225"/>
      <c r="F4064" s="1036" t="str">
        <f t="shared" si="1422"/>
        <v/>
      </c>
      <c r="G4064" s="1037" t="str">
        <f t="shared" si="1417"/>
        <v/>
      </c>
      <c r="H4064" s="225"/>
      <c r="I4064" s="1013"/>
      <c r="J4064" s="1013"/>
      <c r="K4064" s="1028"/>
      <c r="L4064" s="1035" t="str">
        <f t="shared" si="1421"/>
        <v/>
      </c>
      <c r="S4064" s="498"/>
      <c r="AJ4064" s="498"/>
      <c r="AM4064" s="498">
        <f t="shared" si="1402"/>
        <v>0</v>
      </c>
      <c r="AN4064" s="498">
        <f t="shared" si="1403"/>
        <v>0</v>
      </c>
      <c r="AO4064" s="498">
        <f t="shared" si="1404"/>
        <v>0</v>
      </c>
      <c r="AP4064" s="498">
        <f t="shared" si="1423"/>
        <v>0</v>
      </c>
      <c r="AQ4064" s="498">
        <f t="shared" si="1418"/>
        <v>0</v>
      </c>
      <c r="AU4064" s="498">
        <f t="shared" si="1405"/>
        <v>0</v>
      </c>
      <c r="AV4064" s="498">
        <f t="shared" si="1406"/>
        <v>0</v>
      </c>
      <c r="AW4064" s="498">
        <f t="shared" si="1407"/>
        <v>0</v>
      </c>
      <c r="AX4064" s="498">
        <f t="shared" si="1408"/>
        <v>0</v>
      </c>
      <c r="AY4064" s="498">
        <f t="shared" si="1409"/>
        <v>0</v>
      </c>
      <c r="BB4064" s="498" t="str">
        <f t="shared" si="1410"/>
        <v/>
      </c>
      <c r="BC4064" s="743" t="str">
        <f t="shared" si="1411"/>
        <v/>
      </c>
      <c r="BD4064" s="743" t="str">
        <f t="shared" si="1412"/>
        <v/>
      </c>
      <c r="BE4064" s="743" t="str">
        <f>IF(D4064="","",VLOOKUP(D4064,'General Basis'!$J$39:$K$46,2,0))</f>
        <v/>
      </c>
      <c r="BF4064" s="744" t="str">
        <f>IF(D4064="","",VLOOKUP(D4064,'General Basis'!$J$39:$L$46,3,0))</f>
        <v/>
      </c>
      <c r="BG4064" s="744" t="str">
        <f t="shared" si="1419"/>
        <v/>
      </c>
      <c r="BH4064" s="744" t="str">
        <f>IF(G4064="","",IF(BF4064="Abu Dhabi",IF(G4064&lt;18,'General Basis'!$C$39,IF(G4064&lt;41,'General Basis'!$C$40,IF(G4064&lt;60,'General Basis'!$C$41,IF(G4064&lt;65,'General Basis'!$C$42,'General Basis'!$C$43)))),IF(G4064&lt;11,'General Basis'!$B$39,IF(G4064&lt;18,'General Basis'!$B$40,IF(G4064&lt;26,'General Basis'!$B$41,IF(G4064&lt;31,'General Basis'!$B$42,IF(G4064&lt;36,'General Basis'!$B$43,IF(G4064&lt;41,'General Basis'!$B$44,IF(G4064&lt;46,'General Basis'!$B$45,IF(G4064&lt;51,'General Basis'!$B$46,IF(G4064&lt;56,'General Basis'!$B$47,IF(G4064&lt;60,'General Basis'!$B$48,IF(G4064&lt;65,'General Basis'!$B$49,'General Basis'!$B$50)))))))))))))</f>
        <v/>
      </c>
      <c r="BI4064" s="744" t="str">
        <f t="shared" si="1413"/>
        <v/>
      </c>
      <c r="BJ4064" s="747" t="str">
        <f t="shared" si="1420"/>
        <v/>
      </c>
      <c r="BK4064" s="498" t="str">
        <f t="shared" si="1414"/>
        <v/>
      </c>
      <c r="BL4064" s="498" t="str">
        <f t="shared" si="1415"/>
        <v/>
      </c>
    </row>
    <row r="4065" spans="1:64" x14ac:dyDescent="0.25">
      <c r="A4065" s="762">
        <f t="shared" si="1416"/>
        <v>4060</v>
      </c>
      <c r="B4065" s="229"/>
      <c r="C4065" s="223"/>
      <c r="D4065" s="224"/>
      <c r="E4065" s="225"/>
      <c r="F4065" s="1036" t="str">
        <f t="shared" si="1422"/>
        <v/>
      </c>
      <c r="G4065" s="1037" t="str">
        <f t="shared" si="1417"/>
        <v/>
      </c>
      <c r="H4065" s="225"/>
      <c r="I4065" s="1013"/>
      <c r="J4065" s="1013"/>
      <c r="K4065" s="1028"/>
      <c r="L4065" s="1035" t="str">
        <f t="shared" si="1421"/>
        <v/>
      </c>
      <c r="S4065" s="498"/>
      <c r="AJ4065" s="498"/>
      <c r="AM4065" s="498">
        <f t="shared" si="1402"/>
        <v>0</v>
      </c>
      <c r="AN4065" s="498">
        <f t="shared" si="1403"/>
        <v>0</v>
      </c>
      <c r="AO4065" s="498">
        <f t="shared" si="1404"/>
        <v>0</v>
      </c>
      <c r="AP4065" s="498">
        <f t="shared" si="1423"/>
        <v>0</v>
      </c>
      <c r="AQ4065" s="498">
        <f t="shared" si="1418"/>
        <v>0</v>
      </c>
      <c r="AU4065" s="498">
        <f t="shared" si="1405"/>
        <v>0</v>
      </c>
      <c r="AV4065" s="498">
        <f t="shared" si="1406"/>
        <v>0</v>
      </c>
      <c r="AW4065" s="498">
        <f t="shared" si="1407"/>
        <v>0</v>
      </c>
      <c r="AX4065" s="498">
        <f t="shared" si="1408"/>
        <v>0</v>
      </c>
      <c r="AY4065" s="498">
        <f t="shared" si="1409"/>
        <v>0</v>
      </c>
      <c r="BB4065" s="498" t="str">
        <f t="shared" si="1410"/>
        <v/>
      </c>
      <c r="BC4065" s="743" t="str">
        <f t="shared" si="1411"/>
        <v/>
      </c>
      <c r="BD4065" s="743" t="str">
        <f t="shared" si="1412"/>
        <v/>
      </c>
      <c r="BE4065" s="743" t="str">
        <f>IF(D4065="","",VLOOKUP(D4065,'General Basis'!$J$39:$K$46,2,0))</f>
        <v/>
      </c>
      <c r="BF4065" s="744" t="str">
        <f>IF(D4065="","",VLOOKUP(D4065,'General Basis'!$J$39:$L$46,3,0))</f>
        <v/>
      </c>
      <c r="BG4065" s="744" t="str">
        <f t="shared" si="1419"/>
        <v/>
      </c>
      <c r="BH4065" s="744" t="str">
        <f>IF(G4065="","",IF(BF4065="Abu Dhabi",IF(G4065&lt;18,'General Basis'!$C$39,IF(G4065&lt;41,'General Basis'!$C$40,IF(G4065&lt;60,'General Basis'!$C$41,IF(G4065&lt;65,'General Basis'!$C$42,'General Basis'!$C$43)))),IF(G4065&lt;11,'General Basis'!$B$39,IF(G4065&lt;18,'General Basis'!$B$40,IF(G4065&lt;26,'General Basis'!$B$41,IF(G4065&lt;31,'General Basis'!$B$42,IF(G4065&lt;36,'General Basis'!$B$43,IF(G4065&lt;41,'General Basis'!$B$44,IF(G4065&lt;46,'General Basis'!$B$45,IF(G4065&lt;51,'General Basis'!$B$46,IF(G4065&lt;56,'General Basis'!$B$47,IF(G4065&lt;60,'General Basis'!$B$48,IF(G4065&lt;65,'General Basis'!$B$49,'General Basis'!$B$50)))))))))))))</f>
        <v/>
      </c>
      <c r="BI4065" s="744" t="str">
        <f t="shared" si="1413"/>
        <v/>
      </c>
      <c r="BJ4065" s="747" t="str">
        <f t="shared" si="1420"/>
        <v/>
      </c>
      <c r="BK4065" s="498" t="str">
        <f t="shared" si="1414"/>
        <v/>
      </c>
      <c r="BL4065" s="498" t="str">
        <f t="shared" si="1415"/>
        <v/>
      </c>
    </row>
    <row r="4066" spans="1:64" x14ac:dyDescent="0.25">
      <c r="A4066" s="762">
        <f t="shared" si="1416"/>
        <v>4061</v>
      </c>
      <c r="B4066" s="229"/>
      <c r="C4066" s="223"/>
      <c r="D4066" s="224"/>
      <c r="E4066" s="225"/>
      <c r="F4066" s="1036" t="str">
        <f t="shared" si="1422"/>
        <v/>
      </c>
      <c r="G4066" s="1037" t="str">
        <f t="shared" si="1417"/>
        <v/>
      </c>
      <c r="H4066" s="225"/>
      <c r="I4066" s="1013"/>
      <c r="J4066" s="1013"/>
      <c r="K4066" s="1028"/>
      <c r="L4066" s="1035" t="str">
        <f t="shared" si="1421"/>
        <v/>
      </c>
      <c r="S4066" s="498"/>
      <c r="AJ4066" s="498"/>
      <c r="AM4066" s="498">
        <f t="shared" si="1402"/>
        <v>0</v>
      </c>
      <c r="AN4066" s="498">
        <f t="shared" si="1403"/>
        <v>0</v>
      </c>
      <c r="AO4066" s="498">
        <f t="shared" si="1404"/>
        <v>0</v>
      </c>
      <c r="AP4066" s="498">
        <f t="shared" si="1423"/>
        <v>0</v>
      </c>
      <c r="AQ4066" s="498">
        <f t="shared" si="1418"/>
        <v>0</v>
      </c>
      <c r="AU4066" s="498">
        <f t="shared" si="1405"/>
        <v>0</v>
      </c>
      <c r="AV4066" s="498">
        <f t="shared" si="1406"/>
        <v>0</v>
      </c>
      <c r="AW4066" s="498">
        <f t="shared" si="1407"/>
        <v>0</v>
      </c>
      <c r="AX4066" s="498">
        <f t="shared" si="1408"/>
        <v>0</v>
      </c>
      <c r="AY4066" s="498">
        <f t="shared" si="1409"/>
        <v>0</v>
      </c>
      <c r="BB4066" s="498" t="str">
        <f t="shared" si="1410"/>
        <v/>
      </c>
      <c r="BC4066" s="743" t="str">
        <f t="shared" si="1411"/>
        <v/>
      </c>
      <c r="BD4066" s="743" t="str">
        <f t="shared" si="1412"/>
        <v/>
      </c>
      <c r="BE4066" s="743" t="str">
        <f>IF(D4066="","",VLOOKUP(D4066,'General Basis'!$J$39:$K$46,2,0))</f>
        <v/>
      </c>
      <c r="BF4066" s="744" t="str">
        <f>IF(D4066="","",VLOOKUP(D4066,'General Basis'!$J$39:$L$46,3,0))</f>
        <v/>
      </c>
      <c r="BG4066" s="744" t="str">
        <f t="shared" si="1419"/>
        <v/>
      </c>
      <c r="BH4066" s="744" t="str">
        <f>IF(G4066="","",IF(BF4066="Abu Dhabi",IF(G4066&lt;18,'General Basis'!$C$39,IF(G4066&lt;41,'General Basis'!$C$40,IF(G4066&lt;60,'General Basis'!$C$41,IF(G4066&lt;65,'General Basis'!$C$42,'General Basis'!$C$43)))),IF(G4066&lt;11,'General Basis'!$B$39,IF(G4066&lt;18,'General Basis'!$B$40,IF(G4066&lt;26,'General Basis'!$B$41,IF(G4066&lt;31,'General Basis'!$B$42,IF(G4066&lt;36,'General Basis'!$B$43,IF(G4066&lt;41,'General Basis'!$B$44,IF(G4066&lt;46,'General Basis'!$B$45,IF(G4066&lt;51,'General Basis'!$B$46,IF(G4066&lt;56,'General Basis'!$B$47,IF(G4066&lt;60,'General Basis'!$B$48,IF(G4066&lt;65,'General Basis'!$B$49,'General Basis'!$B$50)))))))))))))</f>
        <v/>
      </c>
      <c r="BI4066" s="744" t="str">
        <f t="shared" si="1413"/>
        <v/>
      </c>
      <c r="BJ4066" s="747" t="str">
        <f t="shared" si="1420"/>
        <v/>
      </c>
      <c r="BK4066" s="498" t="str">
        <f t="shared" si="1414"/>
        <v/>
      </c>
      <c r="BL4066" s="498" t="str">
        <f t="shared" si="1415"/>
        <v/>
      </c>
    </row>
    <row r="4067" spans="1:64" x14ac:dyDescent="0.25">
      <c r="A4067" s="762">
        <f t="shared" si="1416"/>
        <v>4062</v>
      </c>
      <c r="B4067" s="229"/>
      <c r="C4067" s="223"/>
      <c r="D4067" s="224"/>
      <c r="E4067" s="225"/>
      <c r="F4067" s="1036" t="str">
        <f t="shared" si="1422"/>
        <v/>
      </c>
      <c r="G4067" s="1037" t="str">
        <f t="shared" si="1417"/>
        <v/>
      </c>
      <c r="H4067" s="225"/>
      <c r="I4067" s="1013"/>
      <c r="J4067" s="1013"/>
      <c r="K4067" s="1028"/>
      <c r="L4067" s="1035" t="str">
        <f t="shared" si="1421"/>
        <v/>
      </c>
      <c r="S4067" s="498"/>
      <c r="AJ4067" s="498"/>
      <c r="AM4067" s="498">
        <f t="shared" si="1402"/>
        <v>0</v>
      </c>
      <c r="AN4067" s="498">
        <f t="shared" si="1403"/>
        <v>0</v>
      </c>
      <c r="AO4067" s="498">
        <f t="shared" si="1404"/>
        <v>0</v>
      </c>
      <c r="AP4067" s="498">
        <f t="shared" si="1423"/>
        <v>0</v>
      </c>
      <c r="AQ4067" s="498">
        <f t="shared" si="1418"/>
        <v>0</v>
      </c>
      <c r="AU4067" s="498">
        <f t="shared" si="1405"/>
        <v>0</v>
      </c>
      <c r="AV4067" s="498">
        <f t="shared" si="1406"/>
        <v>0</v>
      </c>
      <c r="AW4067" s="498">
        <f t="shared" si="1407"/>
        <v>0</v>
      </c>
      <c r="AX4067" s="498">
        <f t="shared" si="1408"/>
        <v>0</v>
      </c>
      <c r="AY4067" s="498">
        <f t="shared" si="1409"/>
        <v>0</v>
      </c>
      <c r="BB4067" s="498" t="str">
        <f t="shared" si="1410"/>
        <v/>
      </c>
      <c r="BC4067" s="743" t="str">
        <f t="shared" si="1411"/>
        <v/>
      </c>
      <c r="BD4067" s="743" t="str">
        <f t="shared" si="1412"/>
        <v/>
      </c>
      <c r="BE4067" s="743" t="str">
        <f>IF(D4067="","",VLOOKUP(D4067,'General Basis'!$J$39:$K$46,2,0))</f>
        <v/>
      </c>
      <c r="BF4067" s="744" t="str">
        <f>IF(D4067="","",VLOOKUP(D4067,'General Basis'!$J$39:$L$46,3,0))</f>
        <v/>
      </c>
      <c r="BG4067" s="744" t="str">
        <f t="shared" si="1419"/>
        <v/>
      </c>
      <c r="BH4067" s="744" t="str">
        <f>IF(G4067="","",IF(BF4067="Abu Dhabi",IF(G4067&lt;18,'General Basis'!$C$39,IF(G4067&lt;41,'General Basis'!$C$40,IF(G4067&lt;60,'General Basis'!$C$41,IF(G4067&lt;65,'General Basis'!$C$42,'General Basis'!$C$43)))),IF(G4067&lt;11,'General Basis'!$B$39,IF(G4067&lt;18,'General Basis'!$B$40,IF(G4067&lt;26,'General Basis'!$B$41,IF(G4067&lt;31,'General Basis'!$B$42,IF(G4067&lt;36,'General Basis'!$B$43,IF(G4067&lt;41,'General Basis'!$B$44,IF(G4067&lt;46,'General Basis'!$B$45,IF(G4067&lt;51,'General Basis'!$B$46,IF(G4067&lt;56,'General Basis'!$B$47,IF(G4067&lt;60,'General Basis'!$B$48,IF(G4067&lt;65,'General Basis'!$B$49,'General Basis'!$B$50)))))))))))))</f>
        <v/>
      </c>
      <c r="BI4067" s="744" t="str">
        <f t="shared" si="1413"/>
        <v/>
      </c>
      <c r="BJ4067" s="747" t="str">
        <f t="shared" si="1420"/>
        <v/>
      </c>
      <c r="BK4067" s="498" t="str">
        <f t="shared" si="1414"/>
        <v/>
      </c>
      <c r="BL4067" s="498" t="str">
        <f t="shared" si="1415"/>
        <v/>
      </c>
    </row>
    <row r="4068" spans="1:64" x14ac:dyDescent="0.25">
      <c r="A4068" s="762">
        <f t="shared" si="1416"/>
        <v>4063</v>
      </c>
      <c r="B4068" s="229"/>
      <c r="C4068" s="223"/>
      <c r="D4068" s="224"/>
      <c r="E4068" s="225"/>
      <c r="F4068" s="1036" t="str">
        <f t="shared" si="1422"/>
        <v/>
      </c>
      <c r="G4068" s="1037" t="str">
        <f t="shared" si="1417"/>
        <v/>
      </c>
      <c r="H4068" s="225"/>
      <c r="I4068" s="1013"/>
      <c r="J4068" s="1013"/>
      <c r="K4068" s="1028"/>
      <c r="L4068" s="1035" t="str">
        <f t="shared" si="1421"/>
        <v/>
      </c>
      <c r="S4068" s="498"/>
      <c r="AJ4068" s="498"/>
      <c r="AM4068" s="498">
        <f t="shared" si="1402"/>
        <v>0</v>
      </c>
      <c r="AN4068" s="498">
        <f t="shared" si="1403"/>
        <v>0</v>
      </c>
      <c r="AO4068" s="498">
        <f t="shared" si="1404"/>
        <v>0</v>
      </c>
      <c r="AP4068" s="498">
        <f t="shared" si="1423"/>
        <v>0</v>
      </c>
      <c r="AQ4068" s="498">
        <f t="shared" si="1418"/>
        <v>0</v>
      </c>
      <c r="AU4068" s="498">
        <f t="shared" si="1405"/>
        <v>0</v>
      </c>
      <c r="AV4068" s="498">
        <f t="shared" si="1406"/>
        <v>0</v>
      </c>
      <c r="AW4068" s="498">
        <f t="shared" si="1407"/>
        <v>0</v>
      </c>
      <c r="AX4068" s="498">
        <f t="shared" si="1408"/>
        <v>0</v>
      </c>
      <c r="AY4068" s="498">
        <f t="shared" si="1409"/>
        <v>0</v>
      </c>
      <c r="BB4068" s="498" t="str">
        <f t="shared" si="1410"/>
        <v/>
      </c>
      <c r="BC4068" s="743" t="str">
        <f t="shared" si="1411"/>
        <v/>
      </c>
      <c r="BD4068" s="743" t="str">
        <f t="shared" si="1412"/>
        <v/>
      </c>
      <c r="BE4068" s="743" t="str">
        <f>IF(D4068="","",VLOOKUP(D4068,'General Basis'!$J$39:$K$46,2,0))</f>
        <v/>
      </c>
      <c r="BF4068" s="744" t="str">
        <f>IF(D4068="","",VLOOKUP(D4068,'General Basis'!$J$39:$L$46,3,0))</f>
        <v/>
      </c>
      <c r="BG4068" s="744" t="str">
        <f t="shared" si="1419"/>
        <v/>
      </c>
      <c r="BH4068" s="744" t="str">
        <f>IF(G4068="","",IF(BF4068="Abu Dhabi",IF(G4068&lt;18,'General Basis'!$C$39,IF(G4068&lt;41,'General Basis'!$C$40,IF(G4068&lt;60,'General Basis'!$C$41,IF(G4068&lt;65,'General Basis'!$C$42,'General Basis'!$C$43)))),IF(G4068&lt;11,'General Basis'!$B$39,IF(G4068&lt;18,'General Basis'!$B$40,IF(G4068&lt;26,'General Basis'!$B$41,IF(G4068&lt;31,'General Basis'!$B$42,IF(G4068&lt;36,'General Basis'!$B$43,IF(G4068&lt;41,'General Basis'!$B$44,IF(G4068&lt;46,'General Basis'!$B$45,IF(G4068&lt;51,'General Basis'!$B$46,IF(G4068&lt;56,'General Basis'!$B$47,IF(G4068&lt;60,'General Basis'!$B$48,IF(G4068&lt;65,'General Basis'!$B$49,'General Basis'!$B$50)))))))))))))</f>
        <v/>
      </c>
      <c r="BI4068" s="744" t="str">
        <f t="shared" si="1413"/>
        <v/>
      </c>
      <c r="BJ4068" s="747" t="str">
        <f t="shared" si="1420"/>
        <v/>
      </c>
      <c r="BK4068" s="498" t="str">
        <f t="shared" si="1414"/>
        <v/>
      </c>
      <c r="BL4068" s="498" t="str">
        <f t="shared" si="1415"/>
        <v/>
      </c>
    </row>
    <row r="4069" spans="1:64" x14ac:dyDescent="0.25">
      <c r="A4069" s="762">
        <f t="shared" si="1416"/>
        <v>4064</v>
      </c>
      <c r="B4069" s="229"/>
      <c r="C4069" s="223"/>
      <c r="D4069" s="224"/>
      <c r="E4069" s="225"/>
      <c r="F4069" s="1036" t="str">
        <f t="shared" si="1422"/>
        <v/>
      </c>
      <c r="G4069" s="1037" t="str">
        <f t="shared" si="1417"/>
        <v/>
      </c>
      <c r="H4069" s="225"/>
      <c r="I4069" s="1013"/>
      <c r="J4069" s="1013"/>
      <c r="K4069" s="1028"/>
      <c r="L4069" s="1035" t="str">
        <f t="shared" si="1421"/>
        <v/>
      </c>
      <c r="S4069" s="498"/>
      <c r="AJ4069" s="498"/>
      <c r="AM4069" s="498">
        <f t="shared" si="1402"/>
        <v>0</v>
      </c>
      <c r="AN4069" s="498">
        <f t="shared" si="1403"/>
        <v>0</v>
      </c>
      <c r="AO4069" s="498">
        <f t="shared" si="1404"/>
        <v>0</v>
      </c>
      <c r="AP4069" s="498">
        <f t="shared" si="1423"/>
        <v>0</v>
      </c>
      <c r="AQ4069" s="498">
        <f t="shared" si="1418"/>
        <v>0</v>
      </c>
      <c r="AU4069" s="498">
        <f t="shared" si="1405"/>
        <v>0</v>
      </c>
      <c r="AV4069" s="498">
        <f t="shared" si="1406"/>
        <v>0</v>
      </c>
      <c r="AW4069" s="498">
        <f t="shared" si="1407"/>
        <v>0</v>
      </c>
      <c r="AX4069" s="498">
        <f t="shared" si="1408"/>
        <v>0</v>
      </c>
      <c r="AY4069" s="498">
        <f t="shared" si="1409"/>
        <v>0</v>
      </c>
      <c r="BB4069" s="498" t="str">
        <f t="shared" si="1410"/>
        <v/>
      </c>
      <c r="BC4069" s="743" t="str">
        <f t="shared" si="1411"/>
        <v/>
      </c>
      <c r="BD4069" s="743" t="str">
        <f t="shared" si="1412"/>
        <v/>
      </c>
      <c r="BE4069" s="743" t="str">
        <f>IF(D4069="","",VLOOKUP(D4069,'General Basis'!$J$39:$K$46,2,0))</f>
        <v/>
      </c>
      <c r="BF4069" s="744" t="str">
        <f>IF(D4069="","",VLOOKUP(D4069,'General Basis'!$J$39:$L$46,3,0))</f>
        <v/>
      </c>
      <c r="BG4069" s="744" t="str">
        <f t="shared" si="1419"/>
        <v/>
      </c>
      <c r="BH4069" s="744" t="str">
        <f>IF(G4069="","",IF(BF4069="Abu Dhabi",IF(G4069&lt;18,'General Basis'!$C$39,IF(G4069&lt;41,'General Basis'!$C$40,IF(G4069&lt;60,'General Basis'!$C$41,IF(G4069&lt;65,'General Basis'!$C$42,'General Basis'!$C$43)))),IF(G4069&lt;11,'General Basis'!$B$39,IF(G4069&lt;18,'General Basis'!$B$40,IF(G4069&lt;26,'General Basis'!$B$41,IF(G4069&lt;31,'General Basis'!$B$42,IF(G4069&lt;36,'General Basis'!$B$43,IF(G4069&lt;41,'General Basis'!$B$44,IF(G4069&lt;46,'General Basis'!$B$45,IF(G4069&lt;51,'General Basis'!$B$46,IF(G4069&lt;56,'General Basis'!$B$47,IF(G4069&lt;60,'General Basis'!$B$48,IF(G4069&lt;65,'General Basis'!$B$49,'General Basis'!$B$50)))))))))))))</f>
        <v/>
      </c>
      <c r="BI4069" s="744" t="str">
        <f t="shared" si="1413"/>
        <v/>
      </c>
      <c r="BJ4069" s="747" t="str">
        <f t="shared" si="1420"/>
        <v/>
      </c>
      <c r="BK4069" s="498" t="str">
        <f t="shared" si="1414"/>
        <v/>
      </c>
      <c r="BL4069" s="498" t="str">
        <f t="shared" si="1415"/>
        <v/>
      </c>
    </row>
    <row r="4070" spans="1:64" x14ac:dyDescent="0.25">
      <c r="A4070" s="762">
        <f t="shared" si="1416"/>
        <v>4065</v>
      </c>
      <c r="B4070" s="229"/>
      <c r="C4070" s="223"/>
      <c r="D4070" s="224"/>
      <c r="E4070" s="225"/>
      <c r="F4070" s="1036" t="str">
        <f t="shared" si="1422"/>
        <v/>
      </c>
      <c r="G4070" s="1037" t="str">
        <f t="shared" si="1417"/>
        <v/>
      </c>
      <c r="H4070" s="225"/>
      <c r="I4070" s="1013"/>
      <c r="J4070" s="1013"/>
      <c r="K4070" s="1028"/>
      <c r="L4070" s="1035" t="str">
        <f t="shared" si="1421"/>
        <v/>
      </c>
      <c r="S4070" s="498"/>
      <c r="AJ4070" s="498"/>
      <c r="AM4070" s="498">
        <f t="shared" si="1402"/>
        <v>0</v>
      </c>
      <c r="AN4070" s="498">
        <f t="shared" si="1403"/>
        <v>0</v>
      </c>
      <c r="AO4070" s="498">
        <f t="shared" si="1404"/>
        <v>0</v>
      </c>
      <c r="AP4070" s="498">
        <f t="shared" si="1423"/>
        <v>0</v>
      </c>
      <c r="AQ4070" s="498">
        <f t="shared" si="1418"/>
        <v>0</v>
      </c>
      <c r="AU4070" s="498">
        <f t="shared" si="1405"/>
        <v>0</v>
      </c>
      <c r="AV4070" s="498">
        <f t="shared" si="1406"/>
        <v>0</v>
      </c>
      <c r="AW4070" s="498">
        <f t="shared" si="1407"/>
        <v>0</v>
      </c>
      <c r="AX4070" s="498">
        <f t="shared" si="1408"/>
        <v>0</v>
      </c>
      <c r="AY4070" s="498">
        <f t="shared" si="1409"/>
        <v>0</v>
      </c>
      <c r="BB4070" s="498" t="str">
        <f t="shared" si="1410"/>
        <v/>
      </c>
      <c r="BC4070" s="743" t="str">
        <f t="shared" si="1411"/>
        <v/>
      </c>
      <c r="BD4070" s="743" t="str">
        <f t="shared" si="1412"/>
        <v/>
      </c>
      <c r="BE4070" s="743" t="str">
        <f>IF(D4070="","",VLOOKUP(D4070,'General Basis'!$J$39:$K$46,2,0))</f>
        <v/>
      </c>
      <c r="BF4070" s="744" t="str">
        <f>IF(D4070="","",VLOOKUP(D4070,'General Basis'!$J$39:$L$46,3,0))</f>
        <v/>
      </c>
      <c r="BG4070" s="744" t="str">
        <f t="shared" si="1419"/>
        <v/>
      </c>
      <c r="BH4070" s="744" t="str">
        <f>IF(G4070="","",IF(BF4070="Abu Dhabi",IF(G4070&lt;18,'General Basis'!$C$39,IF(G4070&lt;41,'General Basis'!$C$40,IF(G4070&lt;60,'General Basis'!$C$41,IF(G4070&lt;65,'General Basis'!$C$42,'General Basis'!$C$43)))),IF(G4070&lt;11,'General Basis'!$B$39,IF(G4070&lt;18,'General Basis'!$B$40,IF(G4070&lt;26,'General Basis'!$B$41,IF(G4070&lt;31,'General Basis'!$B$42,IF(G4070&lt;36,'General Basis'!$B$43,IF(G4070&lt;41,'General Basis'!$B$44,IF(G4070&lt;46,'General Basis'!$B$45,IF(G4070&lt;51,'General Basis'!$B$46,IF(G4070&lt;56,'General Basis'!$B$47,IF(G4070&lt;60,'General Basis'!$B$48,IF(G4070&lt;65,'General Basis'!$B$49,'General Basis'!$B$50)))))))))))))</f>
        <v/>
      </c>
      <c r="BI4070" s="744" t="str">
        <f t="shared" si="1413"/>
        <v/>
      </c>
      <c r="BJ4070" s="747" t="str">
        <f t="shared" si="1420"/>
        <v/>
      </c>
      <c r="BK4070" s="498" t="str">
        <f t="shared" si="1414"/>
        <v/>
      </c>
      <c r="BL4070" s="498" t="str">
        <f t="shared" si="1415"/>
        <v/>
      </c>
    </row>
    <row r="4071" spans="1:64" x14ac:dyDescent="0.25">
      <c r="A4071" s="762">
        <f t="shared" si="1416"/>
        <v>4066</v>
      </c>
      <c r="B4071" s="229"/>
      <c r="C4071" s="223"/>
      <c r="D4071" s="224"/>
      <c r="E4071" s="225"/>
      <c r="F4071" s="1036" t="str">
        <f t="shared" si="1422"/>
        <v/>
      </c>
      <c r="G4071" s="1037" t="str">
        <f t="shared" si="1417"/>
        <v/>
      </c>
      <c r="H4071" s="225"/>
      <c r="I4071" s="1013"/>
      <c r="J4071" s="1013"/>
      <c r="K4071" s="1028"/>
      <c r="L4071" s="1035" t="str">
        <f t="shared" si="1421"/>
        <v/>
      </c>
      <c r="S4071" s="498"/>
      <c r="AJ4071" s="498"/>
      <c r="AM4071" s="498">
        <f t="shared" si="1402"/>
        <v>0</v>
      </c>
      <c r="AN4071" s="498">
        <f t="shared" si="1403"/>
        <v>0</v>
      </c>
      <c r="AO4071" s="498">
        <f t="shared" si="1404"/>
        <v>0</v>
      </c>
      <c r="AP4071" s="498">
        <f t="shared" si="1423"/>
        <v>0</v>
      </c>
      <c r="AQ4071" s="498">
        <f t="shared" si="1418"/>
        <v>0</v>
      </c>
      <c r="AU4071" s="498">
        <f t="shared" si="1405"/>
        <v>0</v>
      </c>
      <c r="AV4071" s="498">
        <f t="shared" si="1406"/>
        <v>0</v>
      </c>
      <c r="AW4071" s="498">
        <f t="shared" si="1407"/>
        <v>0</v>
      </c>
      <c r="AX4071" s="498">
        <f t="shared" si="1408"/>
        <v>0</v>
      </c>
      <c r="AY4071" s="498">
        <f t="shared" si="1409"/>
        <v>0</v>
      </c>
      <c r="BB4071" s="498" t="str">
        <f t="shared" si="1410"/>
        <v/>
      </c>
      <c r="BC4071" s="743" t="str">
        <f t="shared" si="1411"/>
        <v/>
      </c>
      <c r="BD4071" s="743" t="str">
        <f t="shared" si="1412"/>
        <v/>
      </c>
      <c r="BE4071" s="743" t="str">
        <f>IF(D4071="","",VLOOKUP(D4071,'General Basis'!$J$39:$K$46,2,0))</f>
        <v/>
      </c>
      <c r="BF4071" s="744" t="str">
        <f>IF(D4071="","",VLOOKUP(D4071,'General Basis'!$J$39:$L$46,3,0))</f>
        <v/>
      </c>
      <c r="BG4071" s="744" t="str">
        <f t="shared" si="1419"/>
        <v/>
      </c>
      <c r="BH4071" s="744" t="str">
        <f>IF(G4071="","",IF(BF4071="Abu Dhabi",IF(G4071&lt;18,'General Basis'!$C$39,IF(G4071&lt;41,'General Basis'!$C$40,IF(G4071&lt;60,'General Basis'!$C$41,IF(G4071&lt;65,'General Basis'!$C$42,'General Basis'!$C$43)))),IF(G4071&lt;11,'General Basis'!$B$39,IF(G4071&lt;18,'General Basis'!$B$40,IF(G4071&lt;26,'General Basis'!$B$41,IF(G4071&lt;31,'General Basis'!$B$42,IF(G4071&lt;36,'General Basis'!$B$43,IF(G4071&lt;41,'General Basis'!$B$44,IF(G4071&lt;46,'General Basis'!$B$45,IF(G4071&lt;51,'General Basis'!$B$46,IF(G4071&lt;56,'General Basis'!$B$47,IF(G4071&lt;60,'General Basis'!$B$48,IF(G4071&lt;65,'General Basis'!$B$49,'General Basis'!$B$50)))))))))))))</f>
        <v/>
      </c>
      <c r="BI4071" s="744" t="str">
        <f t="shared" si="1413"/>
        <v/>
      </c>
      <c r="BJ4071" s="747" t="str">
        <f t="shared" si="1420"/>
        <v/>
      </c>
      <c r="BK4071" s="498" t="str">
        <f t="shared" si="1414"/>
        <v/>
      </c>
      <c r="BL4071" s="498" t="str">
        <f t="shared" si="1415"/>
        <v/>
      </c>
    </row>
    <row r="4072" spans="1:64" x14ac:dyDescent="0.25">
      <c r="A4072" s="762">
        <f t="shared" si="1416"/>
        <v>4067</v>
      </c>
      <c r="B4072" s="229"/>
      <c r="C4072" s="223"/>
      <c r="D4072" s="224"/>
      <c r="E4072" s="225"/>
      <c r="F4072" s="1036" t="str">
        <f t="shared" si="1422"/>
        <v/>
      </c>
      <c r="G4072" s="1037" t="str">
        <f t="shared" si="1417"/>
        <v/>
      </c>
      <c r="H4072" s="225"/>
      <c r="I4072" s="1013"/>
      <c r="J4072" s="1013"/>
      <c r="K4072" s="1028"/>
      <c r="L4072" s="1035" t="str">
        <f t="shared" si="1421"/>
        <v/>
      </c>
      <c r="S4072" s="498"/>
      <c r="AJ4072" s="498"/>
      <c r="AM4072" s="498">
        <f t="shared" si="1402"/>
        <v>0</v>
      </c>
      <c r="AN4072" s="498">
        <f t="shared" si="1403"/>
        <v>0</v>
      </c>
      <c r="AO4072" s="498">
        <f t="shared" si="1404"/>
        <v>0</v>
      </c>
      <c r="AP4072" s="498">
        <f t="shared" si="1423"/>
        <v>0</v>
      </c>
      <c r="AQ4072" s="498">
        <f t="shared" si="1418"/>
        <v>0</v>
      </c>
      <c r="AU4072" s="498">
        <f t="shared" si="1405"/>
        <v>0</v>
      </c>
      <c r="AV4072" s="498">
        <f t="shared" si="1406"/>
        <v>0</v>
      </c>
      <c r="AW4072" s="498">
        <f t="shared" si="1407"/>
        <v>0</v>
      </c>
      <c r="AX4072" s="498">
        <f t="shared" si="1408"/>
        <v>0</v>
      </c>
      <c r="AY4072" s="498">
        <f t="shared" si="1409"/>
        <v>0</v>
      </c>
      <c r="BB4072" s="498" t="str">
        <f t="shared" si="1410"/>
        <v/>
      </c>
      <c r="BC4072" s="743" t="str">
        <f t="shared" si="1411"/>
        <v/>
      </c>
      <c r="BD4072" s="743" t="str">
        <f t="shared" si="1412"/>
        <v/>
      </c>
      <c r="BE4072" s="743" t="str">
        <f>IF(D4072="","",VLOOKUP(D4072,'General Basis'!$J$39:$K$46,2,0))</f>
        <v/>
      </c>
      <c r="BF4072" s="744" t="str">
        <f>IF(D4072="","",VLOOKUP(D4072,'General Basis'!$J$39:$L$46,3,0))</f>
        <v/>
      </c>
      <c r="BG4072" s="744" t="str">
        <f t="shared" si="1419"/>
        <v/>
      </c>
      <c r="BH4072" s="744" t="str">
        <f>IF(G4072="","",IF(BF4072="Abu Dhabi",IF(G4072&lt;18,'General Basis'!$C$39,IF(G4072&lt;41,'General Basis'!$C$40,IF(G4072&lt;60,'General Basis'!$C$41,IF(G4072&lt;65,'General Basis'!$C$42,'General Basis'!$C$43)))),IF(G4072&lt;11,'General Basis'!$B$39,IF(G4072&lt;18,'General Basis'!$B$40,IF(G4072&lt;26,'General Basis'!$B$41,IF(G4072&lt;31,'General Basis'!$B$42,IF(G4072&lt;36,'General Basis'!$B$43,IF(G4072&lt;41,'General Basis'!$B$44,IF(G4072&lt;46,'General Basis'!$B$45,IF(G4072&lt;51,'General Basis'!$B$46,IF(G4072&lt;56,'General Basis'!$B$47,IF(G4072&lt;60,'General Basis'!$B$48,IF(G4072&lt;65,'General Basis'!$B$49,'General Basis'!$B$50)))))))))))))</f>
        <v/>
      </c>
      <c r="BI4072" s="744" t="str">
        <f t="shared" si="1413"/>
        <v/>
      </c>
      <c r="BJ4072" s="747" t="str">
        <f t="shared" si="1420"/>
        <v/>
      </c>
      <c r="BK4072" s="498" t="str">
        <f t="shared" si="1414"/>
        <v/>
      </c>
      <c r="BL4072" s="498" t="str">
        <f t="shared" si="1415"/>
        <v/>
      </c>
    </row>
    <row r="4073" spans="1:64" x14ac:dyDescent="0.25">
      <c r="A4073" s="762">
        <f t="shared" si="1416"/>
        <v>4068</v>
      </c>
      <c r="B4073" s="229"/>
      <c r="C4073" s="223"/>
      <c r="D4073" s="224"/>
      <c r="E4073" s="225"/>
      <c r="F4073" s="1036" t="str">
        <f t="shared" si="1422"/>
        <v/>
      </c>
      <c r="G4073" s="1037" t="str">
        <f t="shared" si="1417"/>
        <v/>
      </c>
      <c r="H4073" s="225"/>
      <c r="I4073" s="1013"/>
      <c r="J4073" s="1013"/>
      <c r="K4073" s="1028"/>
      <c r="L4073" s="1035" t="str">
        <f t="shared" si="1421"/>
        <v/>
      </c>
      <c r="S4073" s="498"/>
      <c r="AJ4073" s="498"/>
      <c r="AM4073" s="498">
        <f t="shared" si="1402"/>
        <v>0</v>
      </c>
      <c r="AN4073" s="498">
        <f t="shared" si="1403"/>
        <v>0</v>
      </c>
      <c r="AO4073" s="498">
        <f t="shared" si="1404"/>
        <v>0</v>
      </c>
      <c r="AP4073" s="498">
        <f t="shared" si="1423"/>
        <v>0</v>
      </c>
      <c r="AQ4073" s="498">
        <f t="shared" si="1418"/>
        <v>0</v>
      </c>
      <c r="AU4073" s="498">
        <f t="shared" si="1405"/>
        <v>0</v>
      </c>
      <c r="AV4073" s="498">
        <f t="shared" si="1406"/>
        <v>0</v>
      </c>
      <c r="AW4073" s="498">
        <f t="shared" si="1407"/>
        <v>0</v>
      </c>
      <c r="AX4073" s="498">
        <f t="shared" si="1408"/>
        <v>0</v>
      </c>
      <c r="AY4073" s="498">
        <f t="shared" si="1409"/>
        <v>0</v>
      </c>
      <c r="BB4073" s="498" t="str">
        <f t="shared" si="1410"/>
        <v/>
      </c>
      <c r="BC4073" s="743" t="str">
        <f t="shared" si="1411"/>
        <v/>
      </c>
      <c r="BD4073" s="743" t="str">
        <f t="shared" si="1412"/>
        <v/>
      </c>
      <c r="BE4073" s="743" t="str">
        <f>IF(D4073="","",VLOOKUP(D4073,'General Basis'!$J$39:$K$46,2,0))</f>
        <v/>
      </c>
      <c r="BF4073" s="744" t="str">
        <f>IF(D4073="","",VLOOKUP(D4073,'General Basis'!$J$39:$L$46,3,0))</f>
        <v/>
      </c>
      <c r="BG4073" s="744" t="str">
        <f t="shared" si="1419"/>
        <v/>
      </c>
      <c r="BH4073" s="744" t="str">
        <f>IF(G4073="","",IF(BF4073="Abu Dhabi",IF(G4073&lt;18,'General Basis'!$C$39,IF(G4073&lt;41,'General Basis'!$C$40,IF(G4073&lt;60,'General Basis'!$C$41,IF(G4073&lt;65,'General Basis'!$C$42,'General Basis'!$C$43)))),IF(G4073&lt;11,'General Basis'!$B$39,IF(G4073&lt;18,'General Basis'!$B$40,IF(G4073&lt;26,'General Basis'!$B$41,IF(G4073&lt;31,'General Basis'!$B$42,IF(G4073&lt;36,'General Basis'!$B$43,IF(G4073&lt;41,'General Basis'!$B$44,IF(G4073&lt;46,'General Basis'!$B$45,IF(G4073&lt;51,'General Basis'!$B$46,IF(G4073&lt;56,'General Basis'!$B$47,IF(G4073&lt;60,'General Basis'!$B$48,IF(G4073&lt;65,'General Basis'!$B$49,'General Basis'!$B$50)))))))))))))</f>
        <v/>
      </c>
      <c r="BI4073" s="744" t="str">
        <f t="shared" si="1413"/>
        <v/>
      </c>
      <c r="BJ4073" s="747" t="str">
        <f t="shared" si="1420"/>
        <v/>
      </c>
      <c r="BK4073" s="498" t="str">
        <f t="shared" si="1414"/>
        <v/>
      </c>
      <c r="BL4073" s="498" t="str">
        <f t="shared" si="1415"/>
        <v/>
      </c>
    </row>
    <row r="4074" spans="1:64" x14ac:dyDescent="0.25">
      <c r="A4074" s="762">
        <f t="shared" si="1416"/>
        <v>4069</v>
      </c>
      <c r="B4074" s="229"/>
      <c r="C4074" s="223"/>
      <c r="D4074" s="224"/>
      <c r="E4074" s="225"/>
      <c r="F4074" s="1036" t="str">
        <f t="shared" si="1422"/>
        <v/>
      </c>
      <c r="G4074" s="1037" t="str">
        <f t="shared" si="1417"/>
        <v/>
      </c>
      <c r="H4074" s="225"/>
      <c r="I4074" s="1013"/>
      <c r="J4074" s="1013"/>
      <c r="K4074" s="1028"/>
      <c r="L4074" s="1035" t="str">
        <f t="shared" si="1421"/>
        <v/>
      </c>
      <c r="S4074" s="498"/>
      <c r="AJ4074" s="498"/>
      <c r="AM4074" s="498">
        <f t="shared" si="1402"/>
        <v>0</v>
      </c>
      <c r="AN4074" s="498">
        <f t="shared" si="1403"/>
        <v>0</v>
      </c>
      <c r="AO4074" s="498">
        <f t="shared" si="1404"/>
        <v>0</v>
      </c>
      <c r="AP4074" s="498">
        <f t="shared" si="1423"/>
        <v>0</v>
      </c>
      <c r="AQ4074" s="498">
        <f t="shared" si="1418"/>
        <v>0</v>
      </c>
      <c r="AU4074" s="498">
        <f t="shared" si="1405"/>
        <v>0</v>
      </c>
      <c r="AV4074" s="498">
        <f t="shared" si="1406"/>
        <v>0</v>
      </c>
      <c r="AW4074" s="498">
        <f t="shared" si="1407"/>
        <v>0</v>
      </c>
      <c r="AX4074" s="498">
        <f t="shared" si="1408"/>
        <v>0</v>
      </c>
      <c r="AY4074" s="498">
        <f t="shared" si="1409"/>
        <v>0</v>
      </c>
      <c r="BB4074" s="498" t="str">
        <f t="shared" si="1410"/>
        <v/>
      </c>
      <c r="BC4074" s="743" t="str">
        <f t="shared" si="1411"/>
        <v/>
      </c>
      <c r="BD4074" s="743" t="str">
        <f t="shared" si="1412"/>
        <v/>
      </c>
      <c r="BE4074" s="743" t="str">
        <f>IF(D4074="","",VLOOKUP(D4074,'General Basis'!$J$39:$K$46,2,0))</f>
        <v/>
      </c>
      <c r="BF4074" s="744" t="str">
        <f>IF(D4074="","",VLOOKUP(D4074,'General Basis'!$J$39:$L$46,3,0))</f>
        <v/>
      </c>
      <c r="BG4074" s="744" t="str">
        <f t="shared" si="1419"/>
        <v/>
      </c>
      <c r="BH4074" s="744" t="str">
        <f>IF(G4074="","",IF(BF4074="Abu Dhabi",IF(G4074&lt;18,'General Basis'!$C$39,IF(G4074&lt;41,'General Basis'!$C$40,IF(G4074&lt;60,'General Basis'!$C$41,IF(G4074&lt;65,'General Basis'!$C$42,'General Basis'!$C$43)))),IF(G4074&lt;11,'General Basis'!$B$39,IF(G4074&lt;18,'General Basis'!$B$40,IF(G4074&lt;26,'General Basis'!$B$41,IF(G4074&lt;31,'General Basis'!$B$42,IF(G4074&lt;36,'General Basis'!$B$43,IF(G4074&lt;41,'General Basis'!$B$44,IF(G4074&lt;46,'General Basis'!$B$45,IF(G4074&lt;51,'General Basis'!$B$46,IF(G4074&lt;56,'General Basis'!$B$47,IF(G4074&lt;60,'General Basis'!$B$48,IF(G4074&lt;65,'General Basis'!$B$49,'General Basis'!$B$50)))))))))))))</f>
        <v/>
      </c>
      <c r="BI4074" s="744" t="str">
        <f t="shared" si="1413"/>
        <v/>
      </c>
      <c r="BJ4074" s="747" t="str">
        <f t="shared" si="1420"/>
        <v/>
      </c>
      <c r="BK4074" s="498" t="str">
        <f t="shared" si="1414"/>
        <v/>
      </c>
      <c r="BL4074" s="498" t="str">
        <f t="shared" si="1415"/>
        <v/>
      </c>
    </row>
    <row r="4075" spans="1:64" x14ac:dyDescent="0.25">
      <c r="A4075" s="762">
        <f t="shared" si="1416"/>
        <v>4070</v>
      </c>
      <c r="B4075" s="229"/>
      <c r="C4075" s="223"/>
      <c r="D4075" s="224"/>
      <c r="E4075" s="225"/>
      <c r="F4075" s="1036" t="str">
        <f t="shared" si="1422"/>
        <v/>
      </c>
      <c r="G4075" s="1037" t="str">
        <f t="shared" si="1417"/>
        <v/>
      </c>
      <c r="H4075" s="225"/>
      <c r="I4075" s="1013"/>
      <c r="J4075" s="1013"/>
      <c r="K4075" s="1028"/>
      <c r="L4075" s="1035" t="str">
        <f t="shared" si="1421"/>
        <v/>
      </c>
      <c r="S4075" s="498"/>
      <c r="AJ4075" s="498"/>
      <c r="AM4075" s="498">
        <f t="shared" si="1402"/>
        <v>0</v>
      </c>
      <c r="AN4075" s="498">
        <f t="shared" si="1403"/>
        <v>0</v>
      </c>
      <c r="AO4075" s="498">
        <f t="shared" si="1404"/>
        <v>0</v>
      </c>
      <c r="AP4075" s="498">
        <f t="shared" si="1423"/>
        <v>0</v>
      </c>
      <c r="AQ4075" s="498">
        <f t="shared" si="1418"/>
        <v>0</v>
      </c>
      <c r="AU4075" s="498">
        <f t="shared" si="1405"/>
        <v>0</v>
      </c>
      <c r="AV4075" s="498">
        <f t="shared" si="1406"/>
        <v>0</v>
      </c>
      <c r="AW4075" s="498">
        <f t="shared" si="1407"/>
        <v>0</v>
      </c>
      <c r="AX4075" s="498">
        <f t="shared" si="1408"/>
        <v>0</v>
      </c>
      <c r="AY4075" s="498">
        <f t="shared" si="1409"/>
        <v>0</v>
      </c>
      <c r="BB4075" s="498" t="str">
        <f t="shared" si="1410"/>
        <v/>
      </c>
      <c r="BC4075" s="743" t="str">
        <f t="shared" si="1411"/>
        <v/>
      </c>
      <c r="BD4075" s="743" t="str">
        <f t="shared" si="1412"/>
        <v/>
      </c>
      <c r="BE4075" s="743" t="str">
        <f>IF(D4075="","",VLOOKUP(D4075,'General Basis'!$J$39:$K$46,2,0))</f>
        <v/>
      </c>
      <c r="BF4075" s="744" t="str">
        <f>IF(D4075="","",VLOOKUP(D4075,'General Basis'!$J$39:$L$46,3,0))</f>
        <v/>
      </c>
      <c r="BG4075" s="744" t="str">
        <f t="shared" si="1419"/>
        <v/>
      </c>
      <c r="BH4075" s="744" t="str">
        <f>IF(G4075="","",IF(BF4075="Abu Dhabi",IF(G4075&lt;18,'General Basis'!$C$39,IF(G4075&lt;41,'General Basis'!$C$40,IF(G4075&lt;60,'General Basis'!$C$41,IF(G4075&lt;65,'General Basis'!$C$42,'General Basis'!$C$43)))),IF(G4075&lt;11,'General Basis'!$B$39,IF(G4075&lt;18,'General Basis'!$B$40,IF(G4075&lt;26,'General Basis'!$B$41,IF(G4075&lt;31,'General Basis'!$B$42,IF(G4075&lt;36,'General Basis'!$B$43,IF(G4075&lt;41,'General Basis'!$B$44,IF(G4075&lt;46,'General Basis'!$B$45,IF(G4075&lt;51,'General Basis'!$B$46,IF(G4075&lt;56,'General Basis'!$B$47,IF(G4075&lt;60,'General Basis'!$B$48,IF(G4075&lt;65,'General Basis'!$B$49,'General Basis'!$B$50)))))))))))))</f>
        <v/>
      </c>
      <c r="BI4075" s="744" t="str">
        <f t="shared" si="1413"/>
        <v/>
      </c>
      <c r="BJ4075" s="747" t="str">
        <f t="shared" si="1420"/>
        <v/>
      </c>
      <c r="BK4075" s="498" t="str">
        <f t="shared" si="1414"/>
        <v/>
      </c>
      <c r="BL4075" s="498" t="str">
        <f t="shared" si="1415"/>
        <v/>
      </c>
    </row>
    <row r="4076" spans="1:64" x14ac:dyDescent="0.25">
      <c r="A4076" s="762">
        <f t="shared" si="1416"/>
        <v>4071</v>
      </c>
      <c r="B4076" s="229"/>
      <c r="C4076" s="223"/>
      <c r="D4076" s="224"/>
      <c r="E4076" s="225"/>
      <c r="F4076" s="1036" t="str">
        <f t="shared" si="1422"/>
        <v/>
      </c>
      <c r="G4076" s="1037" t="str">
        <f t="shared" si="1417"/>
        <v/>
      </c>
      <c r="H4076" s="225"/>
      <c r="I4076" s="1013"/>
      <c r="J4076" s="1013"/>
      <c r="K4076" s="1028"/>
      <c r="L4076" s="1035" t="str">
        <f t="shared" si="1421"/>
        <v/>
      </c>
      <c r="S4076" s="498"/>
      <c r="AJ4076" s="498"/>
      <c r="AM4076" s="498">
        <f t="shared" si="1402"/>
        <v>0</v>
      </c>
      <c r="AN4076" s="498">
        <f t="shared" si="1403"/>
        <v>0</v>
      </c>
      <c r="AO4076" s="498">
        <f t="shared" si="1404"/>
        <v>0</v>
      </c>
      <c r="AP4076" s="498">
        <f t="shared" si="1423"/>
        <v>0</v>
      </c>
      <c r="AQ4076" s="498">
        <f t="shared" si="1418"/>
        <v>0</v>
      </c>
      <c r="AU4076" s="498">
        <f t="shared" si="1405"/>
        <v>0</v>
      </c>
      <c r="AV4076" s="498">
        <f t="shared" si="1406"/>
        <v>0</v>
      </c>
      <c r="AW4076" s="498">
        <f t="shared" si="1407"/>
        <v>0</v>
      </c>
      <c r="AX4076" s="498">
        <f t="shared" si="1408"/>
        <v>0</v>
      </c>
      <c r="AY4076" s="498">
        <f t="shared" si="1409"/>
        <v>0</v>
      </c>
      <c r="BB4076" s="498" t="str">
        <f t="shared" si="1410"/>
        <v/>
      </c>
      <c r="BC4076" s="743" t="str">
        <f t="shared" si="1411"/>
        <v/>
      </c>
      <c r="BD4076" s="743" t="str">
        <f t="shared" si="1412"/>
        <v/>
      </c>
      <c r="BE4076" s="743" t="str">
        <f>IF(D4076="","",VLOOKUP(D4076,'General Basis'!$J$39:$K$46,2,0))</f>
        <v/>
      </c>
      <c r="BF4076" s="744" t="str">
        <f>IF(D4076="","",VLOOKUP(D4076,'General Basis'!$J$39:$L$46,3,0))</f>
        <v/>
      </c>
      <c r="BG4076" s="744" t="str">
        <f t="shared" si="1419"/>
        <v/>
      </c>
      <c r="BH4076" s="744" t="str">
        <f>IF(G4076="","",IF(BF4076="Abu Dhabi",IF(G4076&lt;18,'General Basis'!$C$39,IF(G4076&lt;41,'General Basis'!$C$40,IF(G4076&lt;60,'General Basis'!$C$41,IF(G4076&lt;65,'General Basis'!$C$42,'General Basis'!$C$43)))),IF(G4076&lt;11,'General Basis'!$B$39,IF(G4076&lt;18,'General Basis'!$B$40,IF(G4076&lt;26,'General Basis'!$B$41,IF(G4076&lt;31,'General Basis'!$B$42,IF(G4076&lt;36,'General Basis'!$B$43,IF(G4076&lt;41,'General Basis'!$B$44,IF(G4076&lt;46,'General Basis'!$B$45,IF(G4076&lt;51,'General Basis'!$B$46,IF(G4076&lt;56,'General Basis'!$B$47,IF(G4076&lt;60,'General Basis'!$B$48,IF(G4076&lt;65,'General Basis'!$B$49,'General Basis'!$B$50)))))))))))))</f>
        <v/>
      </c>
      <c r="BI4076" s="744" t="str">
        <f t="shared" si="1413"/>
        <v/>
      </c>
      <c r="BJ4076" s="747" t="str">
        <f t="shared" si="1420"/>
        <v/>
      </c>
      <c r="BK4076" s="498" t="str">
        <f t="shared" si="1414"/>
        <v/>
      </c>
      <c r="BL4076" s="498" t="str">
        <f t="shared" si="1415"/>
        <v/>
      </c>
    </row>
    <row r="4077" spans="1:64" x14ac:dyDescent="0.25">
      <c r="A4077" s="762">
        <f t="shared" si="1416"/>
        <v>4072</v>
      </c>
      <c r="B4077" s="229"/>
      <c r="C4077" s="223"/>
      <c r="D4077" s="224"/>
      <c r="E4077" s="225"/>
      <c r="F4077" s="1036" t="str">
        <f t="shared" si="1422"/>
        <v/>
      </c>
      <c r="G4077" s="1037" t="str">
        <f t="shared" si="1417"/>
        <v/>
      </c>
      <c r="H4077" s="225"/>
      <c r="I4077" s="1013"/>
      <c r="J4077" s="1013"/>
      <c r="K4077" s="1028"/>
      <c r="L4077" s="1035" t="str">
        <f t="shared" si="1421"/>
        <v/>
      </c>
      <c r="S4077" s="498"/>
      <c r="AJ4077" s="498"/>
      <c r="AM4077" s="498">
        <f t="shared" si="1402"/>
        <v>0</v>
      </c>
      <c r="AN4077" s="498">
        <f t="shared" si="1403"/>
        <v>0</v>
      </c>
      <c r="AO4077" s="498">
        <f t="shared" si="1404"/>
        <v>0</v>
      </c>
      <c r="AP4077" s="498">
        <f t="shared" si="1423"/>
        <v>0</v>
      </c>
      <c r="AQ4077" s="498">
        <f t="shared" si="1418"/>
        <v>0</v>
      </c>
      <c r="AU4077" s="498">
        <f t="shared" si="1405"/>
        <v>0</v>
      </c>
      <c r="AV4077" s="498">
        <f t="shared" si="1406"/>
        <v>0</v>
      </c>
      <c r="AW4077" s="498">
        <f t="shared" si="1407"/>
        <v>0</v>
      </c>
      <c r="AX4077" s="498">
        <f t="shared" si="1408"/>
        <v>0</v>
      </c>
      <c r="AY4077" s="498">
        <f t="shared" si="1409"/>
        <v>0</v>
      </c>
      <c r="BB4077" s="498" t="str">
        <f t="shared" si="1410"/>
        <v/>
      </c>
      <c r="BC4077" s="743" t="str">
        <f t="shared" si="1411"/>
        <v/>
      </c>
      <c r="BD4077" s="743" t="str">
        <f t="shared" si="1412"/>
        <v/>
      </c>
      <c r="BE4077" s="743" t="str">
        <f>IF(D4077="","",VLOOKUP(D4077,'General Basis'!$J$39:$K$46,2,0))</f>
        <v/>
      </c>
      <c r="BF4077" s="744" t="str">
        <f>IF(D4077="","",VLOOKUP(D4077,'General Basis'!$J$39:$L$46,3,0))</f>
        <v/>
      </c>
      <c r="BG4077" s="744" t="str">
        <f t="shared" si="1419"/>
        <v/>
      </c>
      <c r="BH4077" s="744" t="str">
        <f>IF(G4077="","",IF(BF4077="Abu Dhabi",IF(G4077&lt;18,'General Basis'!$C$39,IF(G4077&lt;41,'General Basis'!$C$40,IF(G4077&lt;60,'General Basis'!$C$41,IF(G4077&lt;65,'General Basis'!$C$42,'General Basis'!$C$43)))),IF(G4077&lt;11,'General Basis'!$B$39,IF(G4077&lt;18,'General Basis'!$B$40,IF(G4077&lt;26,'General Basis'!$B$41,IF(G4077&lt;31,'General Basis'!$B$42,IF(G4077&lt;36,'General Basis'!$B$43,IF(G4077&lt;41,'General Basis'!$B$44,IF(G4077&lt;46,'General Basis'!$B$45,IF(G4077&lt;51,'General Basis'!$B$46,IF(G4077&lt;56,'General Basis'!$B$47,IF(G4077&lt;60,'General Basis'!$B$48,IF(G4077&lt;65,'General Basis'!$B$49,'General Basis'!$B$50)))))))))))))</f>
        <v/>
      </c>
      <c r="BI4077" s="744" t="str">
        <f t="shared" si="1413"/>
        <v/>
      </c>
      <c r="BJ4077" s="747" t="str">
        <f t="shared" si="1420"/>
        <v/>
      </c>
      <c r="BK4077" s="498" t="str">
        <f t="shared" si="1414"/>
        <v/>
      </c>
      <c r="BL4077" s="498" t="str">
        <f t="shared" si="1415"/>
        <v/>
      </c>
    </row>
    <row r="4078" spans="1:64" x14ac:dyDescent="0.25">
      <c r="A4078" s="762">
        <f t="shared" si="1416"/>
        <v>4073</v>
      </c>
      <c r="B4078" s="229"/>
      <c r="C4078" s="223"/>
      <c r="D4078" s="224"/>
      <c r="E4078" s="225"/>
      <c r="F4078" s="1036" t="str">
        <f t="shared" si="1422"/>
        <v/>
      </c>
      <c r="G4078" s="1037" t="str">
        <f t="shared" si="1417"/>
        <v/>
      </c>
      <c r="H4078" s="225"/>
      <c r="I4078" s="1013"/>
      <c r="J4078" s="1013"/>
      <c r="K4078" s="1028"/>
      <c r="L4078" s="1035" t="str">
        <f t="shared" si="1421"/>
        <v/>
      </c>
      <c r="S4078" s="498"/>
      <c r="AJ4078" s="498"/>
      <c r="AM4078" s="498">
        <f t="shared" si="1402"/>
        <v>0</v>
      </c>
      <c r="AN4078" s="498">
        <f t="shared" si="1403"/>
        <v>0</v>
      </c>
      <c r="AO4078" s="498">
        <f t="shared" si="1404"/>
        <v>0</v>
      </c>
      <c r="AP4078" s="498">
        <f t="shared" si="1423"/>
        <v>0</v>
      </c>
      <c r="AQ4078" s="498">
        <f t="shared" si="1418"/>
        <v>0</v>
      </c>
      <c r="AU4078" s="498">
        <f t="shared" si="1405"/>
        <v>0</v>
      </c>
      <c r="AV4078" s="498">
        <f t="shared" si="1406"/>
        <v>0</v>
      </c>
      <c r="AW4078" s="498">
        <f t="shared" si="1407"/>
        <v>0</v>
      </c>
      <c r="AX4078" s="498">
        <f t="shared" si="1408"/>
        <v>0</v>
      </c>
      <c r="AY4078" s="498">
        <f t="shared" si="1409"/>
        <v>0</v>
      </c>
      <c r="BB4078" s="498" t="str">
        <f t="shared" si="1410"/>
        <v/>
      </c>
      <c r="BC4078" s="743" t="str">
        <f t="shared" si="1411"/>
        <v/>
      </c>
      <c r="BD4078" s="743" t="str">
        <f t="shared" si="1412"/>
        <v/>
      </c>
      <c r="BE4078" s="743" t="str">
        <f>IF(D4078="","",VLOOKUP(D4078,'General Basis'!$J$39:$K$46,2,0))</f>
        <v/>
      </c>
      <c r="BF4078" s="744" t="str">
        <f>IF(D4078="","",VLOOKUP(D4078,'General Basis'!$J$39:$L$46,3,0))</f>
        <v/>
      </c>
      <c r="BG4078" s="744" t="str">
        <f t="shared" si="1419"/>
        <v/>
      </c>
      <c r="BH4078" s="744" t="str">
        <f>IF(G4078="","",IF(BF4078="Abu Dhabi",IF(G4078&lt;18,'General Basis'!$C$39,IF(G4078&lt;41,'General Basis'!$C$40,IF(G4078&lt;60,'General Basis'!$C$41,IF(G4078&lt;65,'General Basis'!$C$42,'General Basis'!$C$43)))),IF(G4078&lt;11,'General Basis'!$B$39,IF(G4078&lt;18,'General Basis'!$B$40,IF(G4078&lt;26,'General Basis'!$B$41,IF(G4078&lt;31,'General Basis'!$B$42,IF(G4078&lt;36,'General Basis'!$B$43,IF(G4078&lt;41,'General Basis'!$B$44,IF(G4078&lt;46,'General Basis'!$B$45,IF(G4078&lt;51,'General Basis'!$B$46,IF(G4078&lt;56,'General Basis'!$B$47,IF(G4078&lt;60,'General Basis'!$B$48,IF(G4078&lt;65,'General Basis'!$B$49,'General Basis'!$B$50)))))))))))))</f>
        <v/>
      </c>
      <c r="BI4078" s="744" t="str">
        <f t="shared" si="1413"/>
        <v/>
      </c>
      <c r="BJ4078" s="747" t="str">
        <f t="shared" si="1420"/>
        <v/>
      </c>
      <c r="BK4078" s="498" t="str">
        <f t="shared" si="1414"/>
        <v/>
      </c>
      <c r="BL4078" s="498" t="str">
        <f t="shared" si="1415"/>
        <v/>
      </c>
    </row>
    <row r="4079" spans="1:64" x14ac:dyDescent="0.25">
      <c r="A4079" s="762">
        <f t="shared" si="1416"/>
        <v>4074</v>
      </c>
      <c r="B4079" s="229"/>
      <c r="C4079" s="223"/>
      <c r="D4079" s="224"/>
      <c r="E4079" s="225"/>
      <c r="F4079" s="1036" t="str">
        <f t="shared" si="1422"/>
        <v/>
      </c>
      <c r="G4079" s="1037" t="str">
        <f t="shared" si="1417"/>
        <v/>
      </c>
      <c r="H4079" s="225"/>
      <c r="I4079" s="1013"/>
      <c r="J4079" s="1013"/>
      <c r="K4079" s="1028"/>
      <c r="L4079" s="1035" t="str">
        <f t="shared" si="1421"/>
        <v/>
      </c>
      <c r="S4079" s="498"/>
      <c r="AJ4079" s="498"/>
      <c r="AM4079" s="498">
        <f t="shared" si="1402"/>
        <v>0</v>
      </c>
      <c r="AN4079" s="498">
        <f t="shared" si="1403"/>
        <v>0</v>
      </c>
      <c r="AO4079" s="498">
        <f t="shared" si="1404"/>
        <v>0</v>
      </c>
      <c r="AP4079" s="498">
        <f t="shared" si="1423"/>
        <v>0</v>
      </c>
      <c r="AQ4079" s="498">
        <f t="shared" si="1418"/>
        <v>0</v>
      </c>
      <c r="AU4079" s="498">
        <f t="shared" si="1405"/>
        <v>0</v>
      </c>
      <c r="AV4079" s="498">
        <f t="shared" si="1406"/>
        <v>0</v>
      </c>
      <c r="AW4079" s="498">
        <f t="shared" si="1407"/>
        <v>0</v>
      </c>
      <c r="AX4079" s="498">
        <f t="shared" si="1408"/>
        <v>0</v>
      </c>
      <c r="AY4079" s="498">
        <f t="shared" si="1409"/>
        <v>0</v>
      </c>
      <c r="BB4079" s="498" t="str">
        <f t="shared" si="1410"/>
        <v/>
      </c>
      <c r="BC4079" s="743" t="str">
        <f t="shared" si="1411"/>
        <v/>
      </c>
      <c r="BD4079" s="743" t="str">
        <f t="shared" si="1412"/>
        <v/>
      </c>
      <c r="BE4079" s="743" t="str">
        <f>IF(D4079="","",VLOOKUP(D4079,'General Basis'!$J$39:$K$46,2,0))</f>
        <v/>
      </c>
      <c r="BF4079" s="744" t="str">
        <f>IF(D4079="","",VLOOKUP(D4079,'General Basis'!$J$39:$L$46,3,0))</f>
        <v/>
      </c>
      <c r="BG4079" s="744" t="str">
        <f t="shared" si="1419"/>
        <v/>
      </c>
      <c r="BH4079" s="744" t="str">
        <f>IF(G4079="","",IF(BF4079="Abu Dhabi",IF(G4079&lt;18,'General Basis'!$C$39,IF(G4079&lt;41,'General Basis'!$C$40,IF(G4079&lt;60,'General Basis'!$C$41,IF(G4079&lt;65,'General Basis'!$C$42,'General Basis'!$C$43)))),IF(G4079&lt;11,'General Basis'!$B$39,IF(G4079&lt;18,'General Basis'!$B$40,IF(G4079&lt;26,'General Basis'!$B$41,IF(G4079&lt;31,'General Basis'!$B$42,IF(G4079&lt;36,'General Basis'!$B$43,IF(G4079&lt;41,'General Basis'!$B$44,IF(G4079&lt;46,'General Basis'!$B$45,IF(G4079&lt;51,'General Basis'!$B$46,IF(G4079&lt;56,'General Basis'!$B$47,IF(G4079&lt;60,'General Basis'!$B$48,IF(G4079&lt;65,'General Basis'!$B$49,'General Basis'!$B$50)))))))))))))</f>
        <v/>
      </c>
      <c r="BI4079" s="744" t="str">
        <f t="shared" si="1413"/>
        <v/>
      </c>
      <c r="BJ4079" s="747" t="str">
        <f t="shared" si="1420"/>
        <v/>
      </c>
      <c r="BK4079" s="498" t="str">
        <f t="shared" si="1414"/>
        <v/>
      </c>
      <c r="BL4079" s="498" t="str">
        <f t="shared" si="1415"/>
        <v/>
      </c>
    </row>
    <row r="4080" spans="1:64" x14ac:dyDescent="0.25">
      <c r="A4080" s="762">
        <f t="shared" si="1416"/>
        <v>4075</v>
      </c>
      <c r="B4080" s="229"/>
      <c r="C4080" s="223"/>
      <c r="D4080" s="224"/>
      <c r="E4080" s="225"/>
      <c r="F4080" s="1036" t="str">
        <f t="shared" si="1422"/>
        <v/>
      </c>
      <c r="G4080" s="1037" t="str">
        <f t="shared" si="1417"/>
        <v/>
      </c>
      <c r="H4080" s="225"/>
      <c r="I4080" s="1013"/>
      <c r="J4080" s="1013"/>
      <c r="K4080" s="1028"/>
      <c r="L4080" s="1035" t="str">
        <f t="shared" si="1421"/>
        <v/>
      </c>
      <c r="S4080" s="498"/>
      <c r="AJ4080" s="498"/>
      <c r="AM4080" s="498">
        <f t="shared" si="1402"/>
        <v>0</v>
      </c>
      <c r="AN4080" s="498">
        <f t="shared" si="1403"/>
        <v>0</v>
      </c>
      <c r="AO4080" s="498">
        <f t="shared" si="1404"/>
        <v>0</v>
      </c>
      <c r="AP4080" s="498">
        <f t="shared" si="1423"/>
        <v>0</v>
      </c>
      <c r="AQ4080" s="498">
        <f t="shared" si="1418"/>
        <v>0</v>
      </c>
      <c r="AU4080" s="498">
        <f t="shared" si="1405"/>
        <v>0</v>
      </c>
      <c r="AV4080" s="498">
        <f t="shared" si="1406"/>
        <v>0</v>
      </c>
      <c r="AW4080" s="498">
        <f t="shared" si="1407"/>
        <v>0</v>
      </c>
      <c r="AX4080" s="498">
        <f t="shared" si="1408"/>
        <v>0</v>
      </c>
      <c r="AY4080" s="498">
        <f t="shared" si="1409"/>
        <v>0</v>
      </c>
      <c r="BB4080" s="498" t="str">
        <f t="shared" si="1410"/>
        <v/>
      </c>
      <c r="BC4080" s="743" t="str">
        <f t="shared" si="1411"/>
        <v/>
      </c>
      <c r="BD4080" s="743" t="str">
        <f t="shared" si="1412"/>
        <v/>
      </c>
      <c r="BE4080" s="743" t="str">
        <f>IF(D4080="","",VLOOKUP(D4080,'General Basis'!$J$39:$K$46,2,0))</f>
        <v/>
      </c>
      <c r="BF4080" s="744" t="str">
        <f>IF(D4080="","",VLOOKUP(D4080,'General Basis'!$J$39:$L$46,3,0))</f>
        <v/>
      </c>
      <c r="BG4080" s="744" t="str">
        <f t="shared" si="1419"/>
        <v/>
      </c>
      <c r="BH4080" s="744" t="str">
        <f>IF(G4080="","",IF(BF4080="Abu Dhabi",IF(G4080&lt;18,'General Basis'!$C$39,IF(G4080&lt;41,'General Basis'!$C$40,IF(G4080&lt;60,'General Basis'!$C$41,IF(G4080&lt;65,'General Basis'!$C$42,'General Basis'!$C$43)))),IF(G4080&lt;11,'General Basis'!$B$39,IF(G4080&lt;18,'General Basis'!$B$40,IF(G4080&lt;26,'General Basis'!$B$41,IF(G4080&lt;31,'General Basis'!$B$42,IF(G4080&lt;36,'General Basis'!$B$43,IF(G4080&lt;41,'General Basis'!$B$44,IF(G4080&lt;46,'General Basis'!$B$45,IF(G4080&lt;51,'General Basis'!$B$46,IF(G4080&lt;56,'General Basis'!$B$47,IF(G4080&lt;60,'General Basis'!$B$48,IF(G4080&lt;65,'General Basis'!$B$49,'General Basis'!$B$50)))))))))))))</f>
        <v/>
      </c>
      <c r="BI4080" s="744" t="str">
        <f t="shared" si="1413"/>
        <v/>
      </c>
      <c r="BJ4080" s="747" t="str">
        <f t="shared" si="1420"/>
        <v/>
      </c>
      <c r="BK4080" s="498" t="str">
        <f t="shared" si="1414"/>
        <v/>
      </c>
      <c r="BL4080" s="498" t="str">
        <f t="shared" si="1415"/>
        <v/>
      </c>
    </row>
    <row r="4081" spans="1:64" x14ac:dyDescent="0.25">
      <c r="A4081" s="762">
        <f t="shared" si="1416"/>
        <v>4076</v>
      </c>
      <c r="B4081" s="229"/>
      <c r="C4081" s="223"/>
      <c r="D4081" s="224"/>
      <c r="E4081" s="225"/>
      <c r="F4081" s="1036" t="str">
        <f t="shared" si="1422"/>
        <v/>
      </c>
      <c r="G4081" s="1037" t="str">
        <f t="shared" si="1417"/>
        <v/>
      </c>
      <c r="H4081" s="225"/>
      <c r="I4081" s="1013"/>
      <c r="J4081" s="1013"/>
      <c r="K4081" s="1028"/>
      <c r="L4081" s="1035" t="str">
        <f t="shared" si="1421"/>
        <v/>
      </c>
      <c r="S4081" s="498"/>
      <c r="AJ4081" s="498"/>
      <c r="AM4081" s="498">
        <f t="shared" si="1402"/>
        <v>0</v>
      </c>
      <c r="AN4081" s="498">
        <f t="shared" si="1403"/>
        <v>0</v>
      </c>
      <c r="AO4081" s="498">
        <f t="shared" si="1404"/>
        <v>0</v>
      </c>
      <c r="AP4081" s="498">
        <f t="shared" si="1423"/>
        <v>0</v>
      </c>
      <c r="AQ4081" s="498">
        <f t="shared" si="1418"/>
        <v>0</v>
      </c>
      <c r="AU4081" s="498">
        <f t="shared" si="1405"/>
        <v>0</v>
      </c>
      <c r="AV4081" s="498">
        <f t="shared" si="1406"/>
        <v>0</v>
      </c>
      <c r="AW4081" s="498">
        <f t="shared" si="1407"/>
        <v>0</v>
      </c>
      <c r="AX4081" s="498">
        <f t="shared" si="1408"/>
        <v>0</v>
      </c>
      <c r="AY4081" s="498">
        <f t="shared" si="1409"/>
        <v>0</v>
      </c>
      <c r="BB4081" s="498" t="str">
        <f t="shared" si="1410"/>
        <v/>
      </c>
      <c r="BC4081" s="743" t="str">
        <f t="shared" si="1411"/>
        <v/>
      </c>
      <c r="BD4081" s="743" t="str">
        <f t="shared" si="1412"/>
        <v/>
      </c>
      <c r="BE4081" s="743" t="str">
        <f>IF(D4081="","",VLOOKUP(D4081,'General Basis'!$J$39:$K$46,2,0))</f>
        <v/>
      </c>
      <c r="BF4081" s="744" t="str">
        <f>IF(D4081="","",VLOOKUP(D4081,'General Basis'!$J$39:$L$46,3,0))</f>
        <v/>
      </c>
      <c r="BG4081" s="744" t="str">
        <f t="shared" si="1419"/>
        <v/>
      </c>
      <c r="BH4081" s="744" t="str">
        <f>IF(G4081="","",IF(BF4081="Abu Dhabi",IF(G4081&lt;18,'General Basis'!$C$39,IF(G4081&lt;41,'General Basis'!$C$40,IF(G4081&lt;60,'General Basis'!$C$41,IF(G4081&lt;65,'General Basis'!$C$42,'General Basis'!$C$43)))),IF(G4081&lt;11,'General Basis'!$B$39,IF(G4081&lt;18,'General Basis'!$B$40,IF(G4081&lt;26,'General Basis'!$B$41,IF(G4081&lt;31,'General Basis'!$B$42,IF(G4081&lt;36,'General Basis'!$B$43,IF(G4081&lt;41,'General Basis'!$B$44,IF(G4081&lt;46,'General Basis'!$B$45,IF(G4081&lt;51,'General Basis'!$B$46,IF(G4081&lt;56,'General Basis'!$B$47,IF(G4081&lt;60,'General Basis'!$B$48,IF(G4081&lt;65,'General Basis'!$B$49,'General Basis'!$B$50)))))))))))))</f>
        <v/>
      </c>
      <c r="BI4081" s="744" t="str">
        <f t="shared" si="1413"/>
        <v/>
      </c>
      <c r="BJ4081" s="747" t="str">
        <f t="shared" si="1420"/>
        <v/>
      </c>
      <c r="BK4081" s="498" t="str">
        <f t="shared" si="1414"/>
        <v/>
      </c>
      <c r="BL4081" s="498" t="str">
        <f t="shared" si="1415"/>
        <v/>
      </c>
    </row>
    <row r="4082" spans="1:64" x14ac:dyDescent="0.25">
      <c r="A4082" s="762">
        <f t="shared" si="1416"/>
        <v>4077</v>
      </c>
      <c r="B4082" s="229"/>
      <c r="C4082" s="223"/>
      <c r="D4082" s="224"/>
      <c r="E4082" s="225"/>
      <c r="F4082" s="1036" t="str">
        <f t="shared" si="1422"/>
        <v/>
      </c>
      <c r="G4082" s="1037" t="str">
        <f t="shared" si="1417"/>
        <v/>
      </c>
      <c r="H4082" s="225"/>
      <c r="I4082" s="1013"/>
      <c r="J4082" s="1013"/>
      <c r="K4082" s="1028"/>
      <c r="L4082" s="1035" t="str">
        <f t="shared" si="1421"/>
        <v/>
      </c>
      <c r="S4082" s="498"/>
      <c r="AJ4082" s="498"/>
      <c r="AM4082" s="498">
        <f t="shared" si="1402"/>
        <v>0</v>
      </c>
      <c r="AN4082" s="498">
        <f t="shared" si="1403"/>
        <v>0</v>
      </c>
      <c r="AO4082" s="498">
        <f t="shared" si="1404"/>
        <v>0</v>
      </c>
      <c r="AP4082" s="498">
        <f t="shared" si="1423"/>
        <v>0</v>
      </c>
      <c r="AQ4082" s="498">
        <f t="shared" si="1418"/>
        <v>0</v>
      </c>
      <c r="AU4082" s="498">
        <f t="shared" si="1405"/>
        <v>0</v>
      </c>
      <c r="AV4082" s="498">
        <f t="shared" si="1406"/>
        <v>0</v>
      </c>
      <c r="AW4082" s="498">
        <f t="shared" si="1407"/>
        <v>0</v>
      </c>
      <c r="AX4082" s="498">
        <f t="shared" si="1408"/>
        <v>0</v>
      </c>
      <c r="AY4082" s="498">
        <f t="shared" si="1409"/>
        <v>0</v>
      </c>
      <c r="BB4082" s="498" t="str">
        <f t="shared" si="1410"/>
        <v/>
      </c>
      <c r="BC4082" s="743" t="str">
        <f t="shared" si="1411"/>
        <v/>
      </c>
      <c r="BD4082" s="743" t="str">
        <f t="shared" si="1412"/>
        <v/>
      </c>
      <c r="BE4082" s="743" t="str">
        <f>IF(D4082="","",VLOOKUP(D4082,'General Basis'!$J$39:$K$46,2,0))</f>
        <v/>
      </c>
      <c r="BF4082" s="744" t="str">
        <f>IF(D4082="","",VLOOKUP(D4082,'General Basis'!$J$39:$L$46,3,0))</f>
        <v/>
      </c>
      <c r="BG4082" s="744" t="str">
        <f t="shared" si="1419"/>
        <v/>
      </c>
      <c r="BH4082" s="744" t="str">
        <f>IF(G4082="","",IF(BF4082="Abu Dhabi",IF(G4082&lt;18,'General Basis'!$C$39,IF(G4082&lt;41,'General Basis'!$C$40,IF(G4082&lt;60,'General Basis'!$C$41,IF(G4082&lt;65,'General Basis'!$C$42,'General Basis'!$C$43)))),IF(G4082&lt;11,'General Basis'!$B$39,IF(G4082&lt;18,'General Basis'!$B$40,IF(G4082&lt;26,'General Basis'!$B$41,IF(G4082&lt;31,'General Basis'!$B$42,IF(G4082&lt;36,'General Basis'!$B$43,IF(G4082&lt;41,'General Basis'!$B$44,IF(G4082&lt;46,'General Basis'!$B$45,IF(G4082&lt;51,'General Basis'!$B$46,IF(G4082&lt;56,'General Basis'!$B$47,IF(G4082&lt;60,'General Basis'!$B$48,IF(G4082&lt;65,'General Basis'!$B$49,'General Basis'!$B$50)))))))))))))</f>
        <v/>
      </c>
      <c r="BI4082" s="744" t="str">
        <f t="shared" si="1413"/>
        <v/>
      </c>
      <c r="BJ4082" s="747" t="str">
        <f t="shared" si="1420"/>
        <v/>
      </c>
      <c r="BK4082" s="498" t="str">
        <f t="shared" si="1414"/>
        <v/>
      </c>
      <c r="BL4082" s="498" t="str">
        <f t="shared" si="1415"/>
        <v/>
      </c>
    </row>
    <row r="4083" spans="1:64" x14ac:dyDescent="0.25">
      <c r="A4083" s="762">
        <f t="shared" si="1416"/>
        <v>4078</v>
      </c>
      <c r="B4083" s="229"/>
      <c r="C4083" s="223"/>
      <c r="D4083" s="224"/>
      <c r="E4083" s="225"/>
      <c r="F4083" s="1036" t="str">
        <f t="shared" si="1422"/>
        <v/>
      </c>
      <c r="G4083" s="1037" t="str">
        <f t="shared" si="1417"/>
        <v/>
      </c>
      <c r="H4083" s="225"/>
      <c r="I4083" s="1013"/>
      <c r="J4083" s="1013"/>
      <c r="K4083" s="1028"/>
      <c r="L4083" s="1035" t="str">
        <f t="shared" si="1421"/>
        <v/>
      </c>
      <c r="S4083" s="498"/>
      <c r="AJ4083" s="498"/>
      <c r="AM4083" s="498">
        <f t="shared" si="1402"/>
        <v>0</v>
      </c>
      <c r="AN4083" s="498">
        <f t="shared" si="1403"/>
        <v>0</v>
      </c>
      <c r="AO4083" s="498">
        <f t="shared" si="1404"/>
        <v>0</v>
      </c>
      <c r="AP4083" s="498">
        <f t="shared" si="1423"/>
        <v>0</v>
      </c>
      <c r="AQ4083" s="498">
        <f t="shared" si="1418"/>
        <v>0</v>
      </c>
      <c r="AU4083" s="498">
        <f t="shared" si="1405"/>
        <v>0</v>
      </c>
      <c r="AV4083" s="498">
        <f t="shared" si="1406"/>
        <v>0</v>
      </c>
      <c r="AW4083" s="498">
        <f t="shared" si="1407"/>
        <v>0</v>
      </c>
      <c r="AX4083" s="498">
        <f t="shared" si="1408"/>
        <v>0</v>
      </c>
      <c r="AY4083" s="498">
        <f t="shared" si="1409"/>
        <v>0</v>
      </c>
      <c r="BB4083" s="498" t="str">
        <f t="shared" si="1410"/>
        <v/>
      </c>
      <c r="BC4083" s="743" t="str">
        <f t="shared" si="1411"/>
        <v/>
      </c>
      <c r="BD4083" s="743" t="str">
        <f t="shared" si="1412"/>
        <v/>
      </c>
      <c r="BE4083" s="743" t="str">
        <f>IF(D4083="","",VLOOKUP(D4083,'General Basis'!$J$39:$K$46,2,0))</f>
        <v/>
      </c>
      <c r="BF4083" s="744" t="str">
        <f>IF(D4083="","",VLOOKUP(D4083,'General Basis'!$J$39:$L$46,3,0))</f>
        <v/>
      </c>
      <c r="BG4083" s="744" t="str">
        <f t="shared" si="1419"/>
        <v/>
      </c>
      <c r="BH4083" s="744" t="str">
        <f>IF(G4083="","",IF(BF4083="Abu Dhabi",IF(G4083&lt;18,'General Basis'!$C$39,IF(G4083&lt;41,'General Basis'!$C$40,IF(G4083&lt;60,'General Basis'!$C$41,IF(G4083&lt;65,'General Basis'!$C$42,'General Basis'!$C$43)))),IF(G4083&lt;11,'General Basis'!$B$39,IF(G4083&lt;18,'General Basis'!$B$40,IF(G4083&lt;26,'General Basis'!$B$41,IF(G4083&lt;31,'General Basis'!$B$42,IF(G4083&lt;36,'General Basis'!$B$43,IF(G4083&lt;41,'General Basis'!$B$44,IF(G4083&lt;46,'General Basis'!$B$45,IF(G4083&lt;51,'General Basis'!$B$46,IF(G4083&lt;56,'General Basis'!$B$47,IF(G4083&lt;60,'General Basis'!$B$48,IF(G4083&lt;65,'General Basis'!$B$49,'General Basis'!$B$50)))))))))))))</f>
        <v/>
      </c>
      <c r="BI4083" s="744" t="str">
        <f t="shared" si="1413"/>
        <v/>
      </c>
      <c r="BJ4083" s="747" t="str">
        <f t="shared" si="1420"/>
        <v/>
      </c>
      <c r="BK4083" s="498" t="str">
        <f t="shared" si="1414"/>
        <v/>
      </c>
      <c r="BL4083" s="498" t="str">
        <f t="shared" si="1415"/>
        <v/>
      </c>
    </row>
    <row r="4084" spans="1:64" x14ac:dyDescent="0.25">
      <c r="A4084" s="762">
        <f t="shared" si="1416"/>
        <v>4079</v>
      </c>
      <c r="B4084" s="229"/>
      <c r="C4084" s="223"/>
      <c r="D4084" s="224"/>
      <c r="E4084" s="225"/>
      <c r="F4084" s="1036" t="str">
        <f t="shared" si="1422"/>
        <v/>
      </c>
      <c r="G4084" s="1037" t="str">
        <f t="shared" si="1417"/>
        <v/>
      </c>
      <c r="H4084" s="225"/>
      <c r="I4084" s="1013"/>
      <c r="J4084" s="1013"/>
      <c r="K4084" s="1028"/>
      <c r="L4084" s="1035" t="str">
        <f t="shared" si="1421"/>
        <v/>
      </c>
      <c r="S4084" s="498"/>
      <c r="AJ4084" s="498"/>
      <c r="AM4084" s="498">
        <f t="shared" si="1402"/>
        <v>0</v>
      </c>
      <c r="AN4084" s="498">
        <f t="shared" si="1403"/>
        <v>0</v>
      </c>
      <c r="AO4084" s="498">
        <f t="shared" si="1404"/>
        <v>0</v>
      </c>
      <c r="AP4084" s="498">
        <f t="shared" si="1423"/>
        <v>0</v>
      </c>
      <c r="AQ4084" s="498">
        <f t="shared" si="1418"/>
        <v>0</v>
      </c>
      <c r="AU4084" s="498">
        <f t="shared" si="1405"/>
        <v>0</v>
      </c>
      <c r="AV4084" s="498">
        <f t="shared" si="1406"/>
        <v>0</v>
      </c>
      <c r="AW4084" s="498">
        <f t="shared" si="1407"/>
        <v>0</v>
      </c>
      <c r="AX4084" s="498">
        <f t="shared" si="1408"/>
        <v>0</v>
      </c>
      <c r="AY4084" s="498">
        <f t="shared" si="1409"/>
        <v>0</v>
      </c>
      <c r="BB4084" s="498" t="str">
        <f t="shared" si="1410"/>
        <v/>
      </c>
      <c r="BC4084" s="743" t="str">
        <f t="shared" si="1411"/>
        <v/>
      </c>
      <c r="BD4084" s="743" t="str">
        <f t="shared" si="1412"/>
        <v/>
      </c>
      <c r="BE4084" s="743" t="str">
        <f>IF(D4084="","",VLOOKUP(D4084,'General Basis'!$J$39:$K$46,2,0))</f>
        <v/>
      </c>
      <c r="BF4084" s="744" t="str">
        <f>IF(D4084="","",VLOOKUP(D4084,'General Basis'!$J$39:$L$46,3,0))</f>
        <v/>
      </c>
      <c r="BG4084" s="744" t="str">
        <f t="shared" si="1419"/>
        <v/>
      </c>
      <c r="BH4084" s="744" t="str">
        <f>IF(G4084="","",IF(BF4084="Abu Dhabi",IF(G4084&lt;18,'General Basis'!$C$39,IF(G4084&lt;41,'General Basis'!$C$40,IF(G4084&lt;60,'General Basis'!$C$41,IF(G4084&lt;65,'General Basis'!$C$42,'General Basis'!$C$43)))),IF(G4084&lt;11,'General Basis'!$B$39,IF(G4084&lt;18,'General Basis'!$B$40,IF(G4084&lt;26,'General Basis'!$B$41,IF(G4084&lt;31,'General Basis'!$B$42,IF(G4084&lt;36,'General Basis'!$B$43,IF(G4084&lt;41,'General Basis'!$B$44,IF(G4084&lt;46,'General Basis'!$B$45,IF(G4084&lt;51,'General Basis'!$B$46,IF(G4084&lt;56,'General Basis'!$B$47,IF(G4084&lt;60,'General Basis'!$B$48,IF(G4084&lt;65,'General Basis'!$B$49,'General Basis'!$B$50)))))))))))))</f>
        <v/>
      </c>
      <c r="BI4084" s="744" t="str">
        <f t="shared" si="1413"/>
        <v/>
      </c>
      <c r="BJ4084" s="747" t="str">
        <f t="shared" si="1420"/>
        <v/>
      </c>
      <c r="BK4084" s="498" t="str">
        <f t="shared" si="1414"/>
        <v/>
      </c>
      <c r="BL4084" s="498" t="str">
        <f t="shared" si="1415"/>
        <v/>
      </c>
    </row>
    <row r="4085" spans="1:64" x14ac:dyDescent="0.25">
      <c r="A4085" s="762">
        <f t="shared" si="1416"/>
        <v>4080</v>
      </c>
      <c r="B4085" s="229"/>
      <c r="C4085" s="223"/>
      <c r="D4085" s="224"/>
      <c r="E4085" s="225"/>
      <c r="F4085" s="1036" t="str">
        <f t="shared" si="1422"/>
        <v/>
      </c>
      <c r="G4085" s="1037" t="str">
        <f t="shared" si="1417"/>
        <v/>
      </c>
      <c r="H4085" s="225"/>
      <c r="I4085" s="1013"/>
      <c r="J4085" s="1013"/>
      <c r="K4085" s="1028"/>
      <c r="L4085" s="1035" t="str">
        <f t="shared" si="1421"/>
        <v/>
      </c>
      <c r="S4085" s="498"/>
      <c r="AJ4085" s="498"/>
      <c r="AM4085" s="498">
        <f t="shared" si="1402"/>
        <v>0</v>
      </c>
      <c r="AN4085" s="498">
        <f t="shared" si="1403"/>
        <v>0</v>
      </c>
      <c r="AO4085" s="498">
        <f t="shared" si="1404"/>
        <v>0</v>
      </c>
      <c r="AP4085" s="498">
        <f t="shared" si="1423"/>
        <v>0</v>
      </c>
      <c r="AQ4085" s="498">
        <f t="shared" si="1418"/>
        <v>0</v>
      </c>
      <c r="AU4085" s="498">
        <f t="shared" si="1405"/>
        <v>0</v>
      </c>
      <c r="AV4085" s="498">
        <f t="shared" si="1406"/>
        <v>0</v>
      </c>
      <c r="AW4085" s="498">
        <f t="shared" si="1407"/>
        <v>0</v>
      </c>
      <c r="AX4085" s="498">
        <f t="shared" si="1408"/>
        <v>0</v>
      </c>
      <c r="AY4085" s="498">
        <f t="shared" si="1409"/>
        <v>0</v>
      </c>
      <c r="BB4085" s="498" t="str">
        <f t="shared" si="1410"/>
        <v/>
      </c>
      <c r="BC4085" s="743" t="str">
        <f t="shared" si="1411"/>
        <v/>
      </c>
      <c r="BD4085" s="743" t="str">
        <f t="shared" si="1412"/>
        <v/>
      </c>
      <c r="BE4085" s="743" t="str">
        <f>IF(D4085="","",VLOOKUP(D4085,'General Basis'!$J$39:$K$46,2,0))</f>
        <v/>
      </c>
      <c r="BF4085" s="744" t="str">
        <f>IF(D4085="","",VLOOKUP(D4085,'General Basis'!$J$39:$L$46,3,0))</f>
        <v/>
      </c>
      <c r="BG4085" s="744" t="str">
        <f t="shared" si="1419"/>
        <v/>
      </c>
      <c r="BH4085" s="744" t="str">
        <f>IF(G4085="","",IF(BF4085="Abu Dhabi",IF(G4085&lt;18,'General Basis'!$C$39,IF(G4085&lt;41,'General Basis'!$C$40,IF(G4085&lt;60,'General Basis'!$C$41,IF(G4085&lt;65,'General Basis'!$C$42,'General Basis'!$C$43)))),IF(G4085&lt;11,'General Basis'!$B$39,IF(G4085&lt;18,'General Basis'!$B$40,IF(G4085&lt;26,'General Basis'!$B$41,IF(G4085&lt;31,'General Basis'!$B$42,IF(G4085&lt;36,'General Basis'!$B$43,IF(G4085&lt;41,'General Basis'!$B$44,IF(G4085&lt;46,'General Basis'!$B$45,IF(G4085&lt;51,'General Basis'!$B$46,IF(G4085&lt;56,'General Basis'!$B$47,IF(G4085&lt;60,'General Basis'!$B$48,IF(G4085&lt;65,'General Basis'!$B$49,'General Basis'!$B$50)))))))))))))</f>
        <v/>
      </c>
      <c r="BI4085" s="744" t="str">
        <f t="shared" si="1413"/>
        <v/>
      </c>
      <c r="BJ4085" s="747" t="str">
        <f t="shared" si="1420"/>
        <v/>
      </c>
      <c r="BK4085" s="498" t="str">
        <f t="shared" si="1414"/>
        <v/>
      </c>
      <c r="BL4085" s="498" t="str">
        <f t="shared" si="1415"/>
        <v/>
      </c>
    </row>
    <row r="4086" spans="1:64" x14ac:dyDescent="0.25">
      <c r="A4086" s="762">
        <f t="shared" si="1416"/>
        <v>4081</v>
      </c>
      <c r="B4086" s="229"/>
      <c r="C4086" s="223"/>
      <c r="D4086" s="224"/>
      <c r="E4086" s="225"/>
      <c r="F4086" s="1036" t="str">
        <f t="shared" si="1422"/>
        <v/>
      </c>
      <c r="G4086" s="1037" t="str">
        <f t="shared" si="1417"/>
        <v/>
      </c>
      <c r="H4086" s="225"/>
      <c r="I4086" s="1013"/>
      <c r="J4086" s="1013"/>
      <c r="K4086" s="1028"/>
      <c r="L4086" s="1035" t="str">
        <f t="shared" si="1421"/>
        <v/>
      </c>
      <c r="S4086" s="498"/>
      <c r="AJ4086" s="498"/>
      <c r="AM4086" s="498">
        <f t="shared" si="1402"/>
        <v>0</v>
      </c>
      <c r="AN4086" s="498">
        <f t="shared" si="1403"/>
        <v>0</v>
      </c>
      <c r="AO4086" s="498">
        <f t="shared" si="1404"/>
        <v>0</v>
      </c>
      <c r="AP4086" s="498">
        <f t="shared" si="1423"/>
        <v>0</v>
      </c>
      <c r="AQ4086" s="498">
        <f t="shared" si="1418"/>
        <v>0</v>
      </c>
      <c r="AU4086" s="498">
        <f t="shared" si="1405"/>
        <v>0</v>
      </c>
      <c r="AV4086" s="498">
        <f t="shared" si="1406"/>
        <v>0</v>
      </c>
      <c r="AW4086" s="498">
        <f t="shared" si="1407"/>
        <v>0</v>
      </c>
      <c r="AX4086" s="498">
        <f t="shared" si="1408"/>
        <v>0</v>
      </c>
      <c r="AY4086" s="498">
        <f t="shared" si="1409"/>
        <v>0</v>
      </c>
      <c r="BB4086" s="498" t="str">
        <f t="shared" si="1410"/>
        <v/>
      </c>
      <c r="BC4086" s="743" t="str">
        <f t="shared" si="1411"/>
        <v/>
      </c>
      <c r="BD4086" s="743" t="str">
        <f t="shared" si="1412"/>
        <v/>
      </c>
      <c r="BE4086" s="743" t="str">
        <f>IF(D4086="","",VLOOKUP(D4086,'General Basis'!$J$39:$K$46,2,0))</f>
        <v/>
      </c>
      <c r="BF4086" s="744" t="str">
        <f>IF(D4086="","",VLOOKUP(D4086,'General Basis'!$J$39:$L$46,3,0))</f>
        <v/>
      </c>
      <c r="BG4086" s="744" t="str">
        <f t="shared" si="1419"/>
        <v/>
      </c>
      <c r="BH4086" s="744" t="str">
        <f>IF(G4086="","",IF(BF4086="Abu Dhabi",IF(G4086&lt;18,'General Basis'!$C$39,IF(G4086&lt;41,'General Basis'!$C$40,IF(G4086&lt;60,'General Basis'!$C$41,IF(G4086&lt;65,'General Basis'!$C$42,'General Basis'!$C$43)))),IF(G4086&lt;11,'General Basis'!$B$39,IF(G4086&lt;18,'General Basis'!$B$40,IF(G4086&lt;26,'General Basis'!$B$41,IF(G4086&lt;31,'General Basis'!$B$42,IF(G4086&lt;36,'General Basis'!$B$43,IF(G4086&lt;41,'General Basis'!$B$44,IF(G4086&lt;46,'General Basis'!$B$45,IF(G4086&lt;51,'General Basis'!$B$46,IF(G4086&lt;56,'General Basis'!$B$47,IF(G4086&lt;60,'General Basis'!$B$48,IF(G4086&lt;65,'General Basis'!$B$49,'General Basis'!$B$50)))))))))))))</f>
        <v/>
      </c>
      <c r="BI4086" s="744" t="str">
        <f t="shared" si="1413"/>
        <v/>
      </c>
      <c r="BJ4086" s="747" t="str">
        <f t="shared" si="1420"/>
        <v/>
      </c>
      <c r="BK4086" s="498" t="str">
        <f t="shared" si="1414"/>
        <v/>
      </c>
      <c r="BL4086" s="498" t="str">
        <f t="shared" si="1415"/>
        <v/>
      </c>
    </row>
    <row r="4087" spans="1:64" x14ac:dyDescent="0.25">
      <c r="A4087" s="762">
        <f t="shared" si="1416"/>
        <v>4082</v>
      </c>
      <c r="B4087" s="229"/>
      <c r="C4087" s="223"/>
      <c r="D4087" s="224"/>
      <c r="E4087" s="225"/>
      <c r="F4087" s="1036" t="str">
        <f t="shared" si="1422"/>
        <v/>
      </c>
      <c r="G4087" s="1037" t="str">
        <f t="shared" si="1417"/>
        <v/>
      </c>
      <c r="H4087" s="225"/>
      <c r="I4087" s="1013"/>
      <c r="J4087" s="1013"/>
      <c r="K4087" s="1028"/>
      <c r="L4087" s="1035" t="str">
        <f t="shared" si="1421"/>
        <v/>
      </c>
      <c r="S4087" s="498"/>
      <c r="AJ4087" s="498"/>
      <c r="AM4087" s="498">
        <f t="shared" si="1402"/>
        <v>0</v>
      </c>
      <c r="AN4087" s="498">
        <f t="shared" si="1403"/>
        <v>0</v>
      </c>
      <c r="AO4087" s="498">
        <f t="shared" si="1404"/>
        <v>0</v>
      </c>
      <c r="AP4087" s="498">
        <f t="shared" si="1423"/>
        <v>0</v>
      </c>
      <c r="AQ4087" s="498">
        <f t="shared" si="1418"/>
        <v>0</v>
      </c>
      <c r="AU4087" s="498">
        <f t="shared" si="1405"/>
        <v>0</v>
      </c>
      <c r="AV4087" s="498">
        <f t="shared" si="1406"/>
        <v>0</v>
      </c>
      <c r="AW4087" s="498">
        <f t="shared" si="1407"/>
        <v>0</v>
      </c>
      <c r="AX4087" s="498">
        <f t="shared" si="1408"/>
        <v>0</v>
      </c>
      <c r="AY4087" s="498">
        <f t="shared" si="1409"/>
        <v>0</v>
      </c>
      <c r="BB4087" s="498" t="str">
        <f t="shared" si="1410"/>
        <v/>
      </c>
      <c r="BC4087" s="743" t="str">
        <f t="shared" si="1411"/>
        <v/>
      </c>
      <c r="BD4087" s="743" t="str">
        <f t="shared" si="1412"/>
        <v/>
      </c>
      <c r="BE4087" s="743" t="str">
        <f>IF(D4087="","",VLOOKUP(D4087,'General Basis'!$J$39:$K$46,2,0))</f>
        <v/>
      </c>
      <c r="BF4087" s="744" t="str">
        <f>IF(D4087="","",VLOOKUP(D4087,'General Basis'!$J$39:$L$46,3,0))</f>
        <v/>
      </c>
      <c r="BG4087" s="744" t="str">
        <f t="shared" si="1419"/>
        <v/>
      </c>
      <c r="BH4087" s="744" t="str">
        <f>IF(G4087="","",IF(BF4087="Abu Dhabi",IF(G4087&lt;18,'General Basis'!$C$39,IF(G4087&lt;41,'General Basis'!$C$40,IF(G4087&lt;60,'General Basis'!$C$41,IF(G4087&lt;65,'General Basis'!$C$42,'General Basis'!$C$43)))),IF(G4087&lt;11,'General Basis'!$B$39,IF(G4087&lt;18,'General Basis'!$B$40,IF(G4087&lt;26,'General Basis'!$B$41,IF(G4087&lt;31,'General Basis'!$B$42,IF(G4087&lt;36,'General Basis'!$B$43,IF(G4087&lt;41,'General Basis'!$B$44,IF(G4087&lt;46,'General Basis'!$B$45,IF(G4087&lt;51,'General Basis'!$B$46,IF(G4087&lt;56,'General Basis'!$B$47,IF(G4087&lt;60,'General Basis'!$B$48,IF(G4087&lt;65,'General Basis'!$B$49,'General Basis'!$B$50)))))))))))))</f>
        <v/>
      </c>
      <c r="BI4087" s="744" t="str">
        <f t="shared" si="1413"/>
        <v/>
      </c>
      <c r="BJ4087" s="747" t="str">
        <f t="shared" si="1420"/>
        <v/>
      </c>
      <c r="BK4087" s="498" t="str">
        <f t="shared" si="1414"/>
        <v/>
      </c>
      <c r="BL4087" s="498" t="str">
        <f t="shared" si="1415"/>
        <v/>
      </c>
    </row>
    <row r="4088" spans="1:64" x14ac:dyDescent="0.25">
      <c r="A4088" s="762">
        <f t="shared" si="1416"/>
        <v>4083</v>
      </c>
      <c r="B4088" s="229"/>
      <c r="C4088" s="223"/>
      <c r="D4088" s="224"/>
      <c r="E4088" s="225"/>
      <c r="F4088" s="1036" t="str">
        <f t="shared" si="1422"/>
        <v/>
      </c>
      <c r="G4088" s="1037" t="str">
        <f t="shared" si="1417"/>
        <v/>
      </c>
      <c r="H4088" s="225"/>
      <c r="I4088" s="1013"/>
      <c r="J4088" s="1013"/>
      <c r="K4088" s="1028"/>
      <c r="L4088" s="1035" t="str">
        <f t="shared" si="1421"/>
        <v/>
      </c>
      <c r="S4088" s="498"/>
      <c r="AJ4088" s="498"/>
      <c r="AM4088" s="498">
        <f t="shared" si="1402"/>
        <v>0</v>
      </c>
      <c r="AN4088" s="498">
        <f t="shared" si="1403"/>
        <v>0</v>
      </c>
      <c r="AO4088" s="498">
        <f t="shared" si="1404"/>
        <v>0</v>
      </c>
      <c r="AP4088" s="498">
        <f t="shared" si="1423"/>
        <v>0</v>
      </c>
      <c r="AQ4088" s="498">
        <f t="shared" si="1418"/>
        <v>0</v>
      </c>
      <c r="AU4088" s="498">
        <f t="shared" si="1405"/>
        <v>0</v>
      </c>
      <c r="AV4088" s="498">
        <f t="shared" si="1406"/>
        <v>0</v>
      </c>
      <c r="AW4088" s="498">
        <f t="shared" si="1407"/>
        <v>0</v>
      </c>
      <c r="AX4088" s="498">
        <f t="shared" si="1408"/>
        <v>0</v>
      </c>
      <c r="AY4088" s="498">
        <f t="shared" si="1409"/>
        <v>0</v>
      </c>
      <c r="BB4088" s="498" t="str">
        <f t="shared" si="1410"/>
        <v/>
      </c>
      <c r="BC4088" s="743" t="str">
        <f t="shared" si="1411"/>
        <v/>
      </c>
      <c r="BD4088" s="743" t="str">
        <f t="shared" si="1412"/>
        <v/>
      </c>
      <c r="BE4088" s="743" t="str">
        <f>IF(D4088="","",VLOOKUP(D4088,'General Basis'!$J$39:$K$46,2,0))</f>
        <v/>
      </c>
      <c r="BF4088" s="744" t="str">
        <f>IF(D4088="","",VLOOKUP(D4088,'General Basis'!$J$39:$L$46,3,0))</f>
        <v/>
      </c>
      <c r="BG4088" s="744" t="str">
        <f t="shared" si="1419"/>
        <v/>
      </c>
      <c r="BH4088" s="744" t="str">
        <f>IF(G4088="","",IF(BF4088="Abu Dhabi",IF(G4088&lt;18,'General Basis'!$C$39,IF(G4088&lt;41,'General Basis'!$C$40,IF(G4088&lt;60,'General Basis'!$C$41,IF(G4088&lt;65,'General Basis'!$C$42,'General Basis'!$C$43)))),IF(G4088&lt;11,'General Basis'!$B$39,IF(G4088&lt;18,'General Basis'!$B$40,IF(G4088&lt;26,'General Basis'!$B$41,IF(G4088&lt;31,'General Basis'!$B$42,IF(G4088&lt;36,'General Basis'!$B$43,IF(G4088&lt;41,'General Basis'!$B$44,IF(G4088&lt;46,'General Basis'!$B$45,IF(G4088&lt;51,'General Basis'!$B$46,IF(G4088&lt;56,'General Basis'!$B$47,IF(G4088&lt;60,'General Basis'!$B$48,IF(G4088&lt;65,'General Basis'!$B$49,'General Basis'!$B$50)))))))))))))</f>
        <v/>
      </c>
      <c r="BI4088" s="744" t="str">
        <f t="shared" si="1413"/>
        <v/>
      </c>
      <c r="BJ4088" s="747" t="str">
        <f t="shared" si="1420"/>
        <v/>
      </c>
      <c r="BK4088" s="498" t="str">
        <f t="shared" si="1414"/>
        <v/>
      </c>
      <c r="BL4088" s="498" t="str">
        <f t="shared" si="1415"/>
        <v/>
      </c>
    </row>
    <row r="4089" spans="1:64" x14ac:dyDescent="0.25">
      <c r="A4089" s="762">
        <f t="shared" si="1416"/>
        <v>4084</v>
      </c>
      <c r="B4089" s="229"/>
      <c r="C4089" s="223"/>
      <c r="D4089" s="224"/>
      <c r="E4089" s="225"/>
      <c r="F4089" s="1036" t="str">
        <f t="shared" si="1422"/>
        <v/>
      </c>
      <c r="G4089" s="1037" t="str">
        <f t="shared" si="1417"/>
        <v/>
      </c>
      <c r="H4089" s="225"/>
      <c r="I4089" s="1013"/>
      <c r="J4089" s="1013"/>
      <c r="K4089" s="1028"/>
      <c r="L4089" s="1035" t="str">
        <f t="shared" si="1421"/>
        <v/>
      </c>
      <c r="S4089" s="498"/>
      <c r="AJ4089" s="498"/>
      <c r="AM4089" s="498">
        <f t="shared" si="1402"/>
        <v>0</v>
      </c>
      <c r="AN4089" s="498">
        <f t="shared" si="1403"/>
        <v>0</v>
      </c>
      <c r="AO4089" s="498">
        <f t="shared" si="1404"/>
        <v>0</v>
      </c>
      <c r="AP4089" s="498">
        <f t="shared" si="1423"/>
        <v>0</v>
      </c>
      <c r="AQ4089" s="498">
        <f t="shared" si="1418"/>
        <v>0</v>
      </c>
      <c r="AU4089" s="498">
        <f t="shared" si="1405"/>
        <v>0</v>
      </c>
      <c r="AV4089" s="498">
        <f t="shared" si="1406"/>
        <v>0</v>
      </c>
      <c r="AW4089" s="498">
        <f t="shared" si="1407"/>
        <v>0</v>
      </c>
      <c r="AX4089" s="498">
        <f t="shared" si="1408"/>
        <v>0</v>
      </c>
      <c r="AY4089" s="498">
        <f t="shared" si="1409"/>
        <v>0</v>
      </c>
      <c r="BB4089" s="498" t="str">
        <f t="shared" si="1410"/>
        <v/>
      </c>
      <c r="BC4089" s="743" t="str">
        <f t="shared" si="1411"/>
        <v/>
      </c>
      <c r="BD4089" s="743" t="str">
        <f t="shared" si="1412"/>
        <v/>
      </c>
      <c r="BE4089" s="743" t="str">
        <f>IF(D4089="","",VLOOKUP(D4089,'General Basis'!$J$39:$K$46,2,0))</f>
        <v/>
      </c>
      <c r="BF4089" s="744" t="str">
        <f>IF(D4089="","",VLOOKUP(D4089,'General Basis'!$J$39:$L$46,3,0))</f>
        <v/>
      </c>
      <c r="BG4089" s="744" t="str">
        <f t="shared" si="1419"/>
        <v/>
      </c>
      <c r="BH4089" s="744" t="str">
        <f>IF(G4089="","",IF(BF4089="Abu Dhabi",IF(G4089&lt;18,'General Basis'!$C$39,IF(G4089&lt;41,'General Basis'!$C$40,IF(G4089&lt;60,'General Basis'!$C$41,IF(G4089&lt;65,'General Basis'!$C$42,'General Basis'!$C$43)))),IF(G4089&lt;11,'General Basis'!$B$39,IF(G4089&lt;18,'General Basis'!$B$40,IF(G4089&lt;26,'General Basis'!$B$41,IF(G4089&lt;31,'General Basis'!$B$42,IF(G4089&lt;36,'General Basis'!$B$43,IF(G4089&lt;41,'General Basis'!$B$44,IF(G4089&lt;46,'General Basis'!$B$45,IF(G4089&lt;51,'General Basis'!$B$46,IF(G4089&lt;56,'General Basis'!$B$47,IF(G4089&lt;60,'General Basis'!$B$48,IF(G4089&lt;65,'General Basis'!$B$49,'General Basis'!$B$50)))))))))))))</f>
        <v/>
      </c>
      <c r="BI4089" s="744" t="str">
        <f t="shared" si="1413"/>
        <v/>
      </c>
      <c r="BJ4089" s="747" t="str">
        <f t="shared" si="1420"/>
        <v/>
      </c>
      <c r="BK4089" s="498" t="str">
        <f t="shared" si="1414"/>
        <v/>
      </c>
      <c r="BL4089" s="498" t="str">
        <f t="shared" si="1415"/>
        <v/>
      </c>
    </row>
    <row r="4090" spans="1:64" x14ac:dyDescent="0.25">
      <c r="A4090" s="762">
        <f t="shared" si="1416"/>
        <v>4085</v>
      </c>
      <c r="B4090" s="229"/>
      <c r="C4090" s="223"/>
      <c r="D4090" s="224"/>
      <c r="E4090" s="225"/>
      <c r="F4090" s="1036" t="str">
        <f t="shared" si="1422"/>
        <v/>
      </c>
      <c r="G4090" s="1037" t="str">
        <f t="shared" si="1417"/>
        <v/>
      </c>
      <c r="H4090" s="225"/>
      <c r="I4090" s="1013"/>
      <c r="J4090" s="1013"/>
      <c r="K4090" s="1028"/>
      <c r="L4090" s="1035" t="str">
        <f t="shared" si="1421"/>
        <v/>
      </c>
      <c r="S4090" s="498"/>
      <c r="AJ4090" s="498"/>
      <c r="AM4090" s="498">
        <f t="shared" si="1402"/>
        <v>0</v>
      </c>
      <c r="AN4090" s="498">
        <f t="shared" si="1403"/>
        <v>0</v>
      </c>
      <c r="AO4090" s="498">
        <f t="shared" si="1404"/>
        <v>0</v>
      </c>
      <c r="AP4090" s="498">
        <f t="shared" si="1423"/>
        <v>0</v>
      </c>
      <c r="AQ4090" s="498">
        <f t="shared" si="1418"/>
        <v>0</v>
      </c>
      <c r="AU4090" s="498">
        <f t="shared" si="1405"/>
        <v>0</v>
      </c>
      <c r="AV4090" s="498">
        <f t="shared" si="1406"/>
        <v>0</v>
      </c>
      <c r="AW4090" s="498">
        <f t="shared" si="1407"/>
        <v>0</v>
      </c>
      <c r="AX4090" s="498">
        <f t="shared" si="1408"/>
        <v>0</v>
      </c>
      <c r="AY4090" s="498">
        <f t="shared" si="1409"/>
        <v>0</v>
      </c>
      <c r="BB4090" s="498" t="str">
        <f t="shared" si="1410"/>
        <v/>
      </c>
      <c r="BC4090" s="743" t="str">
        <f t="shared" si="1411"/>
        <v/>
      </c>
      <c r="BD4090" s="743" t="str">
        <f t="shared" si="1412"/>
        <v/>
      </c>
      <c r="BE4090" s="743" t="str">
        <f>IF(D4090="","",VLOOKUP(D4090,'General Basis'!$J$39:$K$46,2,0))</f>
        <v/>
      </c>
      <c r="BF4090" s="744" t="str">
        <f>IF(D4090="","",VLOOKUP(D4090,'General Basis'!$J$39:$L$46,3,0))</f>
        <v/>
      </c>
      <c r="BG4090" s="744" t="str">
        <f t="shared" si="1419"/>
        <v/>
      </c>
      <c r="BH4090" s="744" t="str">
        <f>IF(G4090="","",IF(BF4090="Abu Dhabi",IF(G4090&lt;18,'General Basis'!$C$39,IF(G4090&lt;41,'General Basis'!$C$40,IF(G4090&lt;60,'General Basis'!$C$41,IF(G4090&lt;65,'General Basis'!$C$42,'General Basis'!$C$43)))),IF(G4090&lt;11,'General Basis'!$B$39,IF(G4090&lt;18,'General Basis'!$B$40,IF(G4090&lt;26,'General Basis'!$B$41,IF(G4090&lt;31,'General Basis'!$B$42,IF(G4090&lt;36,'General Basis'!$B$43,IF(G4090&lt;41,'General Basis'!$B$44,IF(G4090&lt;46,'General Basis'!$B$45,IF(G4090&lt;51,'General Basis'!$B$46,IF(G4090&lt;56,'General Basis'!$B$47,IF(G4090&lt;60,'General Basis'!$B$48,IF(G4090&lt;65,'General Basis'!$B$49,'General Basis'!$B$50)))))))))))))</f>
        <v/>
      </c>
      <c r="BI4090" s="744" t="str">
        <f t="shared" si="1413"/>
        <v/>
      </c>
      <c r="BJ4090" s="747" t="str">
        <f t="shared" si="1420"/>
        <v/>
      </c>
      <c r="BK4090" s="498" t="str">
        <f t="shared" si="1414"/>
        <v/>
      </c>
      <c r="BL4090" s="498" t="str">
        <f t="shared" si="1415"/>
        <v/>
      </c>
    </row>
    <row r="4091" spans="1:64" x14ac:dyDescent="0.25">
      <c r="A4091" s="762">
        <f t="shared" si="1416"/>
        <v>4086</v>
      </c>
      <c r="B4091" s="229"/>
      <c r="C4091" s="223"/>
      <c r="D4091" s="224"/>
      <c r="E4091" s="225"/>
      <c r="F4091" s="1036" t="str">
        <f t="shared" si="1422"/>
        <v/>
      </c>
      <c r="G4091" s="1037" t="str">
        <f t="shared" si="1417"/>
        <v/>
      </c>
      <c r="H4091" s="225"/>
      <c r="I4091" s="1013"/>
      <c r="J4091" s="1013"/>
      <c r="K4091" s="1028"/>
      <c r="L4091" s="1035" t="str">
        <f t="shared" si="1421"/>
        <v/>
      </c>
      <c r="S4091" s="498"/>
      <c r="AJ4091" s="498"/>
      <c r="AM4091" s="498">
        <f t="shared" si="1402"/>
        <v>0</v>
      </c>
      <c r="AN4091" s="498">
        <f t="shared" si="1403"/>
        <v>0</v>
      </c>
      <c r="AO4091" s="498">
        <f t="shared" si="1404"/>
        <v>0</v>
      </c>
      <c r="AP4091" s="498">
        <f t="shared" si="1423"/>
        <v>0</v>
      </c>
      <c r="AQ4091" s="498">
        <f t="shared" si="1418"/>
        <v>0</v>
      </c>
      <c r="AU4091" s="498">
        <f t="shared" si="1405"/>
        <v>0</v>
      </c>
      <c r="AV4091" s="498">
        <f t="shared" si="1406"/>
        <v>0</v>
      </c>
      <c r="AW4091" s="498">
        <f t="shared" si="1407"/>
        <v>0</v>
      </c>
      <c r="AX4091" s="498">
        <f t="shared" si="1408"/>
        <v>0</v>
      </c>
      <c r="AY4091" s="498">
        <f t="shared" si="1409"/>
        <v>0</v>
      </c>
      <c r="BB4091" s="498" t="str">
        <f t="shared" si="1410"/>
        <v/>
      </c>
      <c r="BC4091" s="743" t="str">
        <f t="shared" si="1411"/>
        <v/>
      </c>
      <c r="BD4091" s="743" t="str">
        <f t="shared" si="1412"/>
        <v/>
      </c>
      <c r="BE4091" s="743" t="str">
        <f>IF(D4091="","",VLOOKUP(D4091,'General Basis'!$J$39:$K$46,2,0))</f>
        <v/>
      </c>
      <c r="BF4091" s="744" t="str">
        <f>IF(D4091="","",VLOOKUP(D4091,'General Basis'!$J$39:$L$46,3,0))</f>
        <v/>
      </c>
      <c r="BG4091" s="744" t="str">
        <f t="shared" si="1419"/>
        <v/>
      </c>
      <c r="BH4091" s="744" t="str">
        <f>IF(G4091="","",IF(BF4091="Abu Dhabi",IF(G4091&lt;18,'General Basis'!$C$39,IF(G4091&lt;41,'General Basis'!$C$40,IF(G4091&lt;60,'General Basis'!$C$41,IF(G4091&lt;65,'General Basis'!$C$42,'General Basis'!$C$43)))),IF(G4091&lt;11,'General Basis'!$B$39,IF(G4091&lt;18,'General Basis'!$B$40,IF(G4091&lt;26,'General Basis'!$B$41,IF(G4091&lt;31,'General Basis'!$B$42,IF(G4091&lt;36,'General Basis'!$B$43,IF(G4091&lt;41,'General Basis'!$B$44,IF(G4091&lt;46,'General Basis'!$B$45,IF(G4091&lt;51,'General Basis'!$B$46,IF(G4091&lt;56,'General Basis'!$B$47,IF(G4091&lt;60,'General Basis'!$B$48,IF(G4091&lt;65,'General Basis'!$B$49,'General Basis'!$B$50)))))))))))))</f>
        <v/>
      </c>
      <c r="BI4091" s="744" t="str">
        <f t="shared" si="1413"/>
        <v/>
      </c>
      <c r="BJ4091" s="747" t="str">
        <f t="shared" si="1420"/>
        <v/>
      </c>
      <c r="BK4091" s="498" t="str">
        <f t="shared" si="1414"/>
        <v/>
      </c>
      <c r="BL4091" s="498" t="str">
        <f t="shared" si="1415"/>
        <v/>
      </c>
    </row>
    <row r="4092" spans="1:64" x14ac:dyDescent="0.25">
      <c r="A4092" s="762">
        <f t="shared" si="1416"/>
        <v>4087</v>
      </c>
      <c r="B4092" s="229"/>
      <c r="C4092" s="223"/>
      <c r="D4092" s="224"/>
      <c r="E4092" s="225"/>
      <c r="F4092" s="1036" t="str">
        <f t="shared" si="1422"/>
        <v/>
      </c>
      <c r="G4092" s="1037" t="str">
        <f t="shared" si="1417"/>
        <v/>
      </c>
      <c r="H4092" s="225"/>
      <c r="I4092" s="1013"/>
      <c r="J4092" s="1013"/>
      <c r="K4092" s="1028"/>
      <c r="L4092" s="1035" t="str">
        <f t="shared" si="1421"/>
        <v/>
      </c>
      <c r="S4092" s="498"/>
      <c r="AJ4092" s="498"/>
      <c r="AM4092" s="498">
        <f t="shared" si="1402"/>
        <v>0</v>
      </c>
      <c r="AN4092" s="498">
        <f t="shared" si="1403"/>
        <v>0</v>
      </c>
      <c r="AO4092" s="498">
        <f t="shared" si="1404"/>
        <v>0</v>
      </c>
      <c r="AP4092" s="498">
        <f t="shared" si="1423"/>
        <v>0</v>
      </c>
      <c r="AQ4092" s="498">
        <f t="shared" si="1418"/>
        <v>0</v>
      </c>
      <c r="AU4092" s="498">
        <f t="shared" si="1405"/>
        <v>0</v>
      </c>
      <c r="AV4092" s="498">
        <f t="shared" si="1406"/>
        <v>0</v>
      </c>
      <c r="AW4092" s="498">
        <f t="shared" si="1407"/>
        <v>0</v>
      </c>
      <c r="AX4092" s="498">
        <f t="shared" si="1408"/>
        <v>0</v>
      </c>
      <c r="AY4092" s="498">
        <f t="shared" si="1409"/>
        <v>0</v>
      </c>
      <c r="BB4092" s="498" t="str">
        <f t="shared" si="1410"/>
        <v/>
      </c>
      <c r="BC4092" s="743" t="str">
        <f t="shared" si="1411"/>
        <v/>
      </c>
      <c r="BD4092" s="743" t="str">
        <f t="shared" si="1412"/>
        <v/>
      </c>
      <c r="BE4092" s="743" t="str">
        <f>IF(D4092="","",VLOOKUP(D4092,'General Basis'!$J$39:$K$46,2,0))</f>
        <v/>
      </c>
      <c r="BF4092" s="744" t="str">
        <f>IF(D4092="","",VLOOKUP(D4092,'General Basis'!$J$39:$L$46,3,0))</f>
        <v/>
      </c>
      <c r="BG4092" s="744" t="str">
        <f t="shared" si="1419"/>
        <v/>
      </c>
      <c r="BH4092" s="744" t="str">
        <f>IF(G4092="","",IF(BF4092="Abu Dhabi",IF(G4092&lt;18,'General Basis'!$C$39,IF(G4092&lt;41,'General Basis'!$C$40,IF(G4092&lt;60,'General Basis'!$C$41,IF(G4092&lt;65,'General Basis'!$C$42,'General Basis'!$C$43)))),IF(G4092&lt;11,'General Basis'!$B$39,IF(G4092&lt;18,'General Basis'!$B$40,IF(G4092&lt;26,'General Basis'!$B$41,IF(G4092&lt;31,'General Basis'!$B$42,IF(G4092&lt;36,'General Basis'!$B$43,IF(G4092&lt;41,'General Basis'!$B$44,IF(G4092&lt;46,'General Basis'!$B$45,IF(G4092&lt;51,'General Basis'!$B$46,IF(G4092&lt;56,'General Basis'!$B$47,IF(G4092&lt;60,'General Basis'!$B$48,IF(G4092&lt;65,'General Basis'!$B$49,'General Basis'!$B$50)))))))))))))</f>
        <v/>
      </c>
      <c r="BI4092" s="744" t="str">
        <f t="shared" si="1413"/>
        <v/>
      </c>
      <c r="BJ4092" s="747" t="str">
        <f t="shared" si="1420"/>
        <v/>
      </c>
      <c r="BK4092" s="498" t="str">
        <f t="shared" si="1414"/>
        <v/>
      </c>
      <c r="BL4092" s="498" t="str">
        <f t="shared" si="1415"/>
        <v/>
      </c>
    </row>
    <row r="4093" spans="1:64" x14ac:dyDescent="0.25">
      <c r="A4093" s="762">
        <f t="shared" si="1416"/>
        <v>4088</v>
      </c>
      <c r="B4093" s="229"/>
      <c r="C4093" s="223"/>
      <c r="D4093" s="224"/>
      <c r="E4093" s="225"/>
      <c r="F4093" s="1036" t="str">
        <f t="shared" si="1422"/>
        <v/>
      </c>
      <c r="G4093" s="1037" t="str">
        <f t="shared" si="1417"/>
        <v/>
      </c>
      <c r="H4093" s="225"/>
      <c r="I4093" s="1013"/>
      <c r="J4093" s="1013"/>
      <c r="K4093" s="1028"/>
      <c r="L4093" s="1035" t="str">
        <f t="shared" si="1421"/>
        <v/>
      </c>
      <c r="S4093" s="498"/>
      <c r="AJ4093" s="498"/>
      <c r="AM4093" s="498">
        <f t="shared" si="1402"/>
        <v>0</v>
      </c>
      <c r="AN4093" s="498">
        <f t="shared" si="1403"/>
        <v>0</v>
      </c>
      <c r="AO4093" s="498">
        <f t="shared" si="1404"/>
        <v>0</v>
      </c>
      <c r="AP4093" s="498">
        <f t="shared" si="1423"/>
        <v>0</v>
      </c>
      <c r="AQ4093" s="498">
        <f t="shared" si="1418"/>
        <v>0</v>
      </c>
      <c r="AU4093" s="498">
        <f t="shared" si="1405"/>
        <v>0</v>
      </c>
      <c r="AV4093" s="498">
        <f t="shared" si="1406"/>
        <v>0</v>
      </c>
      <c r="AW4093" s="498">
        <f t="shared" si="1407"/>
        <v>0</v>
      </c>
      <c r="AX4093" s="498">
        <f t="shared" si="1408"/>
        <v>0</v>
      </c>
      <c r="AY4093" s="498">
        <f t="shared" si="1409"/>
        <v>0</v>
      </c>
      <c r="BB4093" s="498" t="str">
        <f t="shared" si="1410"/>
        <v/>
      </c>
      <c r="BC4093" s="743" t="str">
        <f t="shared" si="1411"/>
        <v/>
      </c>
      <c r="BD4093" s="743" t="str">
        <f t="shared" si="1412"/>
        <v/>
      </c>
      <c r="BE4093" s="743" t="str">
        <f>IF(D4093="","",VLOOKUP(D4093,'General Basis'!$J$39:$K$46,2,0))</f>
        <v/>
      </c>
      <c r="BF4093" s="744" t="str">
        <f>IF(D4093="","",VLOOKUP(D4093,'General Basis'!$J$39:$L$46,3,0))</f>
        <v/>
      </c>
      <c r="BG4093" s="744" t="str">
        <f t="shared" si="1419"/>
        <v/>
      </c>
      <c r="BH4093" s="744" t="str">
        <f>IF(G4093="","",IF(BF4093="Abu Dhabi",IF(G4093&lt;18,'General Basis'!$C$39,IF(G4093&lt;41,'General Basis'!$C$40,IF(G4093&lt;60,'General Basis'!$C$41,IF(G4093&lt;65,'General Basis'!$C$42,'General Basis'!$C$43)))),IF(G4093&lt;11,'General Basis'!$B$39,IF(G4093&lt;18,'General Basis'!$B$40,IF(G4093&lt;26,'General Basis'!$B$41,IF(G4093&lt;31,'General Basis'!$B$42,IF(G4093&lt;36,'General Basis'!$B$43,IF(G4093&lt;41,'General Basis'!$B$44,IF(G4093&lt;46,'General Basis'!$B$45,IF(G4093&lt;51,'General Basis'!$B$46,IF(G4093&lt;56,'General Basis'!$B$47,IF(G4093&lt;60,'General Basis'!$B$48,IF(G4093&lt;65,'General Basis'!$B$49,'General Basis'!$B$50)))))))))))))</f>
        <v/>
      </c>
      <c r="BI4093" s="744" t="str">
        <f t="shared" si="1413"/>
        <v/>
      </c>
      <c r="BJ4093" s="747" t="str">
        <f t="shared" si="1420"/>
        <v/>
      </c>
      <c r="BK4093" s="498" t="str">
        <f t="shared" si="1414"/>
        <v/>
      </c>
      <c r="BL4093" s="498" t="str">
        <f t="shared" si="1415"/>
        <v/>
      </c>
    </row>
    <row r="4094" spans="1:64" x14ac:dyDescent="0.25">
      <c r="A4094" s="762">
        <f t="shared" si="1416"/>
        <v>4089</v>
      </c>
      <c r="B4094" s="229"/>
      <c r="C4094" s="223"/>
      <c r="D4094" s="224"/>
      <c r="E4094" s="225"/>
      <c r="F4094" s="1036" t="str">
        <f t="shared" si="1422"/>
        <v/>
      </c>
      <c r="G4094" s="1037" t="str">
        <f t="shared" si="1417"/>
        <v/>
      </c>
      <c r="H4094" s="225"/>
      <c r="I4094" s="1013"/>
      <c r="J4094" s="1013"/>
      <c r="K4094" s="1028"/>
      <c r="L4094" s="1035" t="str">
        <f t="shared" si="1421"/>
        <v/>
      </c>
      <c r="S4094" s="498"/>
      <c r="AJ4094" s="498"/>
      <c r="AM4094" s="498">
        <f t="shared" si="1402"/>
        <v>0</v>
      </c>
      <c r="AN4094" s="498">
        <f t="shared" si="1403"/>
        <v>0</v>
      </c>
      <c r="AO4094" s="498">
        <f t="shared" si="1404"/>
        <v>0</v>
      </c>
      <c r="AP4094" s="498">
        <f t="shared" si="1423"/>
        <v>0</v>
      </c>
      <c r="AQ4094" s="498">
        <f t="shared" si="1418"/>
        <v>0</v>
      </c>
      <c r="AU4094" s="498">
        <f t="shared" si="1405"/>
        <v>0</v>
      </c>
      <c r="AV4094" s="498">
        <f t="shared" si="1406"/>
        <v>0</v>
      </c>
      <c r="AW4094" s="498">
        <f t="shared" si="1407"/>
        <v>0</v>
      </c>
      <c r="AX4094" s="498">
        <f t="shared" si="1408"/>
        <v>0</v>
      </c>
      <c r="AY4094" s="498">
        <f t="shared" si="1409"/>
        <v>0</v>
      </c>
      <c r="BB4094" s="498" t="str">
        <f t="shared" si="1410"/>
        <v/>
      </c>
      <c r="BC4094" s="743" t="str">
        <f t="shared" si="1411"/>
        <v/>
      </c>
      <c r="BD4094" s="743" t="str">
        <f t="shared" si="1412"/>
        <v/>
      </c>
      <c r="BE4094" s="743" t="str">
        <f>IF(D4094="","",VLOOKUP(D4094,'General Basis'!$J$39:$K$46,2,0))</f>
        <v/>
      </c>
      <c r="BF4094" s="744" t="str">
        <f>IF(D4094="","",VLOOKUP(D4094,'General Basis'!$J$39:$L$46,3,0))</f>
        <v/>
      </c>
      <c r="BG4094" s="744" t="str">
        <f t="shared" si="1419"/>
        <v/>
      </c>
      <c r="BH4094" s="744" t="str">
        <f>IF(G4094="","",IF(BF4094="Abu Dhabi",IF(G4094&lt;18,'General Basis'!$C$39,IF(G4094&lt;41,'General Basis'!$C$40,IF(G4094&lt;60,'General Basis'!$C$41,IF(G4094&lt;65,'General Basis'!$C$42,'General Basis'!$C$43)))),IF(G4094&lt;11,'General Basis'!$B$39,IF(G4094&lt;18,'General Basis'!$B$40,IF(G4094&lt;26,'General Basis'!$B$41,IF(G4094&lt;31,'General Basis'!$B$42,IF(G4094&lt;36,'General Basis'!$B$43,IF(G4094&lt;41,'General Basis'!$B$44,IF(G4094&lt;46,'General Basis'!$B$45,IF(G4094&lt;51,'General Basis'!$B$46,IF(G4094&lt;56,'General Basis'!$B$47,IF(G4094&lt;60,'General Basis'!$B$48,IF(G4094&lt;65,'General Basis'!$B$49,'General Basis'!$B$50)))))))))))))</f>
        <v/>
      </c>
      <c r="BI4094" s="744" t="str">
        <f t="shared" si="1413"/>
        <v/>
      </c>
      <c r="BJ4094" s="747" t="str">
        <f t="shared" si="1420"/>
        <v/>
      </c>
      <c r="BK4094" s="498" t="str">
        <f t="shared" si="1414"/>
        <v/>
      </c>
      <c r="BL4094" s="498" t="str">
        <f t="shared" si="1415"/>
        <v/>
      </c>
    </row>
    <row r="4095" spans="1:64" x14ac:dyDescent="0.25">
      <c r="A4095" s="762">
        <f t="shared" si="1416"/>
        <v>4090</v>
      </c>
      <c r="B4095" s="229"/>
      <c r="C4095" s="223"/>
      <c r="D4095" s="224"/>
      <c r="E4095" s="225"/>
      <c r="F4095" s="1036" t="str">
        <f t="shared" si="1422"/>
        <v/>
      </c>
      <c r="G4095" s="1037" t="str">
        <f t="shared" si="1417"/>
        <v/>
      </c>
      <c r="H4095" s="225"/>
      <c r="I4095" s="1013"/>
      <c r="J4095" s="1013"/>
      <c r="K4095" s="1028"/>
      <c r="L4095" s="1035" t="str">
        <f t="shared" si="1421"/>
        <v/>
      </c>
      <c r="S4095" s="498"/>
      <c r="AJ4095" s="498"/>
      <c r="AM4095" s="498">
        <f t="shared" si="1402"/>
        <v>0</v>
      </c>
      <c r="AN4095" s="498">
        <f t="shared" si="1403"/>
        <v>0</v>
      </c>
      <c r="AO4095" s="498">
        <f t="shared" si="1404"/>
        <v>0</v>
      </c>
      <c r="AP4095" s="498">
        <f t="shared" si="1423"/>
        <v>0</v>
      </c>
      <c r="AQ4095" s="498">
        <f t="shared" si="1418"/>
        <v>0</v>
      </c>
      <c r="AU4095" s="498">
        <f t="shared" si="1405"/>
        <v>0</v>
      </c>
      <c r="AV4095" s="498">
        <f t="shared" si="1406"/>
        <v>0</v>
      </c>
      <c r="AW4095" s="498">
        <f t="shared" si="1407"/>
        <v>0</v>
      </c>
      <c r="AX4095" s="498">
        <f t="shared" si="1408"/>
        <v>0</v>
      </c>
      <c r="AY4095" s="498">
        <f t="shared" si="1409"/>
        <v>0</v>
      </c>
      <c r="BB4095" s="498" t="str">
        <f t="shared" si="1410"/>
        <v/>
      </c>
      <c r="BC4095" s="743" t="str">
        <f t="shared" si="1411"/>
        <v/>
      </c>
      <c r="BD4095" s="743" t="str">
        <f t="shared" si="1412"/>
        <v/>
      </c>
      <c r="BE4095" s="743" t="str">
        <f>IF(D4095="","",VLOOKUP(D4095,'General Basis'!$J$39:$K$46,2,0))</f>
        <v/>
      </c>
      <c r="BF4095" s="744" t="str">
        <f>IF(D4095="","",VLOOKUP(D4095,'General Basis'!$J$39:$L$46,3,0))</f>
        <v/>
      </c>
      <c r="BG4095" s="744" t="str">
        <f t="shared" si="1419"/>
        <v/>
      </c>
      <c r="BH4095" s="744" t="str">
        <f>IF(G4095="","",IF(BF4095="Abu Dhabi",IF(G4095&lt;18,'General Basis'!$C$39,IF(G4095&lt;41,'General Basis'!$C$40,IF(G4095&lt;60,'General Basis'!$C$41,IF(G4095&lt;65,'General Basis'!$C$42,'General Basis'!$C$43)))),IF(G4095&lt;11,'General Basis'!$B$39,IF(G4095&lt;18,'General Basis'!$B$40,IF(G4095&lt;26,'General Basis'!$B$41,IF(G4095&lt;31,'General Basis'!$B$42,IF(G4095&lt;36,'General Basis'!$B$43,IF(G4095&lt;41,'General Basis'!$B$44,IF(G4095&lt;46,'General Basis'!$B$45,IF(G4095&lt;51,'General Basis'!$B$46,IF(G4095&lt;56,'General Basis'!$B$47,IF(G4095&lt;60,'General Basis'!$B$48,IF(G4095&lt;65,'General Basis'!$B$49,'General Basis'!$B$50)))))))))))))</f>
        <v/>
      </c>
      <c r="BI4095" s="744" t="str">
        <f t="shared" si="1413"/>
        <v/>
      </c>
      <c r="BJ4095" s="747" t="str">
        <f t="shared" si="1420"/>
        <v/>
      </c>
      <c r="BK4095" s="498" t="str">
        <f t="shared" si="1414"/>
        <v/>
      </c>
      <c r="BL4095" s="498" t="str">
        <f t="shared" si="1415"/>
        <v/>
      </c>
    </row>
    <row r="4096" spans="1:64" x14ac:dyDescent="0.25">
      <c r="A4096" s="762">
        <f t="shared" si="1416"/>
        <v>4091</v>
      </c>
      <c r="B4096" s="229"/>
      <c r="C4096" s="223"/>
      <c r="D4096" s="224"/>
      <c r="E4096" s="225"/>
      <c r="F4096" s="1036" t="str">
        <f t="shared" si="1422"/>
        <v/>
      </c>
      <c r="G4096" s="1037" t="str">
        <f t="shared" si="1417"/>
        <v/>
      </c>
      <c r="H4096" s="225"/>
      <c r="I4096" s="1013"/>
      <c r="J4096" s="1013"/>
      <c r="K4096" s="1028"/>
      <c r="L4096" s="1035" t="str">
        <f t="shared" si="1421"/>
        <v/>
      </c>
      <c r="S4096" s="498"/>
      <c r="AJ4096" s="498"/>
      <c r="AM4096" s="498">
        <f t="shared" si="1402"/>
        <v>0</v>
      </c>
      <c r="AN4096" s="498">
        <f t="shared" si="1403"/>
        <v>0</v>
      </c>
      <c r="AO4096" s="498">
        <f t="shared" si="1404"/>
        <v>0</v>
      </c>
      <c r="AP4096" s="498">
        <f t="shared" si="1423"/>
        <v>0</v>
      </c>
      <c r="AQ4096" s="498">
        <f t="shared" si="1418"/>
        <v>0</v>
      </c>
      <c r="AU4096" s="498">
        <f t="shared" si="1405"/>
        <v>0</v>
      </c>
      <c r="AV4096" s="498">
        <f t="shared" si="1406"/>
        <v>0</v>
      </c>
      <c r="AW4096" s="498">
        <f t="shared" si="1407"/>
        <v>0</v>
      </c>
      <c r="AX4096" s="498">
        <f t="shared" si="1408"/>
        <v>0</v>
      </c>
      <c r="AY4096" s="498">
        <f t="shared" si="1409"/>
        <v>0</v>
      </c>
      <c r="BB4096" s="498" t="str">
        <f t="shared" si="1410"/>
        <v/>
      </c>
      <c r="BC4096" s="743" t="str">
        <f t="shared" si="1411"/>
        <v/>
      </c>
      <c r="BD4096" s="743" t="str">
        <f t="shared" si="1412"/>
        <v/>
      </c>
      <c r="BE4096" s="743" t="str">
        <f>IF(D4096="","",VLOOKUP(D4096,'General Basis'!$J$39:$K$46,2,0))</f>
        <v/>
      </c>
      <c r="BF4096" s="744" t="str">
        <f>IF(D4096="","",VLOOKUP(D4096,'General Basis'!$J$39:$L$46,3,0))</f>
        <v/>
      </c>
      <c r="BG4096" s="744" t="str">
        <f t="shared" si="1419"/>
        <v/>
      </c>
      <c r="BH4096" s="744" t="str">
        <f>IF(G4096="","",IF(BF4096="Abu Dhabi",IF(G4096&lt;18,'General Basis'!$C$39,IF(G4096&lt;41,'General Basis'!$C$40,IF(G4096&lt;60,'General Basis'!$C$41,IF(G4096&lt;65,'General Basis'!$C$42,'General Basis'!$C$43)))),IF(G4096&lt;11,'General Basis'!$B$39,IF(G4096&lt;18,'General Basis'!$B$40,IF(G4096&lt;26,'General Basis'!$B$41,IF(G4096&lt;31,'General Basis'!$B$42,IF(G4096&lt;36,'General Basis'!$B$43,IF(G4096&lt;41,'General Basis'!$B$44,IF(G4096&lt;46,'General Basis'!$B$45,IF(G4096&lt;51,'General Basis'!$B$46,IF(G4096&lt;56,'General Basis'!$B$47,IF(G4096&lt;60,'General Basis'!$B$48,IF(G4096&lt;65,'General Basis'!$B$49,'General Basis'!$B$50)))))))))))))</f>
        <v/>
      </c>
      <c r="BI4096" s="744" t="str">
        <f t="shared" si="1413"/>
        <v/>
      </c>
      <c r="BJ4096" s="747" t="str">
        <f t="shared" si="1420"/>
        <v/>
      </c>
      <c r="BK4096" s="498" t="str">
        <f t="shared" si="1414"/>
        <v/>
      </c>
      <c r="BL4096" s="498" t="str">
        <f t="shared" si="1415"/>
        <v/>
      </c>
    </row>
    <row r="4097" spans="1:64" x14ac:dyDescent="0.25">
      <c r="A4097" s="762">
        <f t="shared" si="1416"/>
        <v>4092</v>
      </c>
      <c r="B4097" s="229"/>
      <c r="C4097" s="223"/>
      <c r="D4097" s="224"/>
      <c r="E4097" s="225"/>
      <c r="F4097" s="1036" t="str">
        <f t="shared" si="1422"/>
        <v/>
      </c>
      <c r="G4097" s="1037" t="str">
        <f t="shared" si="1417"/>
        <v/>
      </c>
      <c r="H4097" s="225"/>
      <c r="I4097" s="1013"/>
      <c r="J4097" s="1013"/>
      <c r="K4097" s="1028"/>
      <c r="L4097" s="1035" t="str">
        <f t="shared" si="1421"/>
        <v/>
      </c>
      <c r="S4097" s="498"/>
      <c r="AJ4097" s="498"/>
      <c r="AM4097" s="498">
        <f t="shared" si="1402"/>
        <v>0</v>
      </c>
      <c r="AN4097" s="498">
        <f t="shared" si="1403"/>
        <v>0</v>
      </c>
      <c r="AO4097" s="498">
        <f t="shared" si="1404"/>
        <v>0</v>
      </c>
      <c r="AP4097" s="498">
        <f t="shared" si="1423"/>
        <v>0</v>
      </c>
      <c r="AQ4097" s="498">
        <f t="shared" si="1418"/>
        <v>0</v>
      </c>
      <c r="AU4097" s="498">
        <f t="shared" si="1405"/>
        <v>0</v>
      </c>
      <c r="AV4097" s="498">
        <f t="shared" si="1406"/>
        <v>0</v>
      </c>
      <c r="AW4097" s="498">
        <f t="shared" si="1407"/>
        <v>0</v>
      </c>
      <c r="AX4097" s="498">
        <f t="shared" si="1408"/>
        <v>0</v>
      </c>
      <c r="AY4097" s="498">
        <f t="shared" si="1409"/>
        <v>0</v>
      </c>
      <c r="BB4097" s="498" t="str">
        <f t="shared" si="1410"/>
        <v/>
      </c>
      <c r="BC4097" s="743" t="str">
        <f t="shared" si="1411"/>
        <v/>
      </c>
      <c r="BD4097" s="743" t="str">
        <f t="shared" si="1412"/>
        <v/>
      </c>
      <c r="BE4097" s="743" t="str">
        <f>IF(D4097="","",VLOOKUP(D4097,'General Basis'!$J$39:$K$46,2,0))</f>
        <v/>
      </c>
      <c r="BF4097" s="744" t="str">
        <f>IF(D4097="","",VLOOKUP(D4097,'General Basis'!$J$39:$L$46,3,0))</f>
        <v/>
      </c>
      <c r="BG4097" s="744" t="str">
        <f t="shared" si="1419"/>
        <v/>
      </c>
      <c r="BH4097" s="744" t="str">
        <f>IF(G4097="","",IF(BF4097="Abu Dhabi",IF(G4097&lt;18,'General Basis'!$C$39,IF(G4097&lt;41,'General Basis'!$C$40,IF(G4097&lt;60,'General Basis'!$C$41,IF(G4097&lt;65,'General Basis'!$C$42,'General Basis'!$C$43)))),IF(G4097&lt;11,'General Basis'!$B$39,IF(G4097&lt;18,'General Basis'!$B$40,IF(G4097&lt;26,'General Basis'!$B$41,IF(G4097&lt;31,'General Basis'!$B$42,IF(G4097&lt;36,'General Basis'!$B$43,IF(G4097&lt;41,'General Basis'!$B$44,IF(G4097&lt;46,'General Basis'!$B$45,IF(G4097&lt;51,'General Basis'!$B$46,IF(G4097&lt;56,'General Basis'!$B$47,IF(G4097&lt;60,'General Basis'!$B$48,IF(G4097&lt;65,'General Basis'!$B$49,'General Basis'!$B$50)))))))))))))</f>
        <v/>
      </c>
      <c r="BI4097" s="744" t="str">
        <f t="shared" si="1413"/>
        <v/>
      </c>
      <c r="BJ4097" s="747" t="str">
        <f t="shared" si="1420"/>
        <v/>
      </c>
      <c r="BK4097" s="498" t="str">
        <f t="shared" si="1414"/>
        <v/>
      </c>
      <c r="BL4097" s="498" t="str">
        <f t="shared" si="1415"/>
        <v/>
      </c>
    </row>
    <row r="4098" spans="1:64" x14ac:dyDescent="0.25">
      <c r="A4098" s="762">
        <f t="shared" si="1416"/>
        <v>4093</v>
      </c>
      <c r="B4098" s="229"/>
      <c r="C4098" s="223"/>
      <c r="D4098" s="224"/>
      <c r="E4098" s="225"/>
      <c r="F4098" s="1036" t="str">
        <f t="shared" si="1422"/>
        <v/>
      </c>
      <c r="G4098" s="1037" t="str">
        <f t="shared" si="1417"/>
        <v/>
      </c>
      <c r="H4098" s="225"/>
      <c r="I4098" s="1013"/>
      <c r="J4098" s="1013"/>
      <c r="K4098" s="1028"/>
      <c r="L4098" s="1035" t="str">
        <f t="shared" si="1421"/>
        <v/>
      </c>
      <c r="S4098" s="498"/>
      <c r="AJ4098" s="498"/>
      <c r="AM4098" s="498">
        <f t="shared" si="1402"/>
        <v>0</v>
      </c>
      <c r="AN4098" s="498">
        <f t="shared" si="1403"/>
        <v>0</v>
      </c>
      <c r="AO4098" s="498">
        <f t="shared" si="1404"/>
        <v>0</v>
      </c>
      <c r="AP4098" s="498">
        <f t="shared" si="1423"/>
        <v>0</v>
      </c>
      <c r="AQ4098" s="498">
        <f t="shared" si="1418"/>
        <v>0</v>
      </c>
      <c r="AU4098" s="498">
        <f t="shared" si="1405"/>
        <v>0</v>
      </c>
      <c r="AV4098" s="498">
        <f t="shared" si="1406"/>
        <v>0</v>
      </c>
      <c r="AW4098" s="498">
        <f t="shared" si="1407"/>
        <v>0</v>
      </c>
      <c r="AX4098" s="498">
        <f t="shared" si="1408"/>
        <v>0</v>
      </c>
      <c r="AY4098" s="498">
        <f t="shared" si="1409"/>
        <v>0</v>
      </c>
      <c r="BB4098" s="498" t="str">
        <f t="shared" si="1410"/>
        <v/>
      </c>
      <c r="BC4098" s="743" t="str">
        <f t="shared" si="1411"/>
        <v/>
      </c>
      <c r="BD4098" s="743" t="str">
        <f t="shared" si="1412"/>
        <v/>
      </c>
      <c r="BE4098" s="743" t="str">
        <f>IF(D4098="","",VLOOKUP(D4098,'General Basis'!$J$39:$K$46,2,0))</f>
        <v/>
      </c>
      <c r="BF4098" s="744" t="str">
        <f>IF(D4098="","",VLOOKUP(D4098,'General Basis'!$J$39:$L$46,3,0))</f>
        <v/>
      </c>
      <c r="BG4098" s="744" t="str">
        <f t="shared" si="1419"/>
        <v/>
      </c>
      <c r="BH4098" s="744" t="str">
        <f>IF(G4098="","",IF(BF4098="Abu Dhabi",IF(G4098&lt;18,'General Basis'!$C$39,IF(G4098&lt;41,'General Basis'!$C$40,IF(G4098&lt;60,'General Basis'!$C$41,IF(G4098&lt;65,'General Basis'!$C$42,'General Basis'!$C$43)))),IF(G4098&lt;11,'General Basis'!$B$39,IF(G4098&lt;18,'General Basis'!$B$40,IF(G4098&lt;26,'General Basis'!$B$41,IF(G4098&lt;31,'General Basis'!$B$42,IF(G4098&lt;36,'General Basis'!$B$43,IF(G4098&lt;41,'General Basis'!$B$44,IF(G4098&lt;46,'General Basis'!$B$45,IF(G4098&lt;51,'General Basis'!$B$46,IF(G4098&lt;56,'General Basis'!$B$47,IF(G4098&lt;60,'General Basis'!$B$48,IF(G4098&lt;65,'General Basis'!$B$49,'General Basis'!$B$50)))))))))))))</f>
        <v/>
      </c>
      <c r="BI4098" s="744" t="str">
        <f t="shared" si="1413"/>
        <v/>
      </c>
      <c r="BJ4098" s="747" t="str">
        <f t="shared" si="1420"/>
        <v/>
      </c>
      <c r="BK4098" s="498" t="str">
        <f t="shared" si="1414"/>
        <v/>
      </c>
      <c r="BL4098" s="498" t="str">
        <f t="shared" si="1415"/>
        <v/>
      </c>
    </row>
    <row r="4099" spans="1:64" x14ac:dyDescent="0.25">
      <c r="A4099" s="762">
        <f t="shared" si="1416"/>
        <v>4094</v>
      </c>
      <c r="B4099" s="229"/>
      <c r="C4099" s="223"/>
      <c r="D4099" s="224"/>
      <c r="E4099" s="225"/>
      <c r="F4099" s="1036" t="str">
        <f t="shared" si="1422"/>
        <v/>
      </c>
      <c r="G4099" s="1037" t="str">
        <f t="shared" si="1417"/>
        <v/>
      </c>
      <c r="H4099" s="225"/>
      <c r="I4099" s="1013"/>
      <c r="J4099" s="1013"/>
      <c r="K4099" s="1028"/>
      <c r="L4099" s="1035" t="str">
        <f t="shared" si="1421"/>
        <v/>
      </c>
      <c r="S4099" s="498"/>
      <c r="AJ4099" s="498"/>
      <c r="AM4099" s="498">
        <f t="shared" si="1402"/>
        <v>0</v>
      </c>
      <c r="AN4099" s="498">
        <f t="shared" si="1403"/>
        <v>0</v>
      </c>
      <c r="AO4099" s="498">
        <f t="shared" si="1404"/>
        <v>0</v>
      </c>
      <c r="AP4099" s="498">
        <f t="shared" si="1423"/>
        <v>0</v>
      </c>
      <c r="AQ4099" s="498">
        <f t="shared" si="1418"/>
        <v>0</v>
      </c>
      <c r="AU4099" s="498">
        <f t="shared" si="1405"/>
        <v>0</v>
      </c>
      <c r="AV4099" s="498">
        <f t="shared" si="1406"/>
        <v>0</v>
      </c>
      <c r="AW4099" s="498">
        <f t="shared" si="1407"/>
        <v>0</v>
      </c>
      <c r="AX4099" s="498">
        <f t="shared" si="1408"/>
        <v>0</v>
      </c>
      <c r="AY4099" s="498">
        <f t="shared" si="1409"/>
        <v>0</v>
      </c>
      <c r="BB4099" s="498" t="str">
        <f t="shared" si="1410"/>
        <v/>
      </c>
      <c r="BC4099" s="743" t="str">
        <f t="shared" si="1411"/>
        <v/>
      </c>
      <c r="BD4099" s="743" t="str">
        <f t="shared" si="1412"/>
        <v/>
      </c>
      <c r="BE4099" s="743" t="str">
        <f>IF(D4099="","",VLOOKUP(D4099,'General Basis'!$J$39:$K$46,2,0))</f>
        <v/>
      </c>
      <c r="BF4099" s="744" t="str">
        <f>IF(D4099="","",VLOOKUP(D4099,'General Basis'!$J$39:$L$46,3,0))</f>
        <v/>
      </c>
      <c r="BG4099" s="744" t="str">
        <f t="shared" si="1419"/>
        <v/>
      </c>
      <c r="BH4099" s="744" t="str">
        <f>IF(G4099="","",IF(BF4099="Abu Dhabi",IF(G4099&lt;18,'General Basis'!$C$39,IF(G4099&lt;41,'General Basis'!$C$40,IF(G4099&lt;60,'General Basis'!$C$41,IF(G4099&lt;65,'General Basis'!$C$42,'General Basis'!$C$43)))),IF(G4099&lt;11,'General Basis'!$B$39,IF(G4099&lt;18,'General Basis'!$B$40,IF(G4099&lt;26,'General Basis'!$B$41,IF(G4099&lt;31,'General Basis'!$B$42,IF(G4099&lt;36,'General Basis'!$B$43,IF(G4099&lt;41,'General Basis'!$B$44,IF(G4099&lt;46,'General Basis'!$B$45,IF(G4099&lt;51,'General Basis'!$B$46,IF(G4099&lt;56,'General Basis'!$B$47,IF(G4099&lt;60,'General Basis'!$B$48,IF(G4099&lt;65,'General Basis'!$B$49,'General Basis'!$B$50)))))))))))))</f>
        <v/>
      </c>
      <c r="BI4099" s="744" t="str">
        <f t="shared" si="1413"/>
        <v/>
      </c>
      <c r="BJ4099" s="747" t="str">
        <f t="shared" si="1420"/>
        <v/>
      </c>
      <c r="BK4099" s="498" t="str">
        <f t="shared" si="1414"/>
        <v/>
      </c>
      <c r="BL4099" s="498" t="str">
        <f t="shared" si="1415"/>
        <v/>
      </c>
    </row>
    <row r="4100" spans="1:64" x14ac:dyDescent="0.25">
      <c r="A4100" s="762">
        <f t="shared" si="1416"/>
        <v>4095</v>
      </c>
      <c r="B4100" s="229"/>
      <c r="C4100" s="223"/>
      <c r="D4100" s="224"/>
      <c r="E4100" s="225"/>
      <c r="F4100" s="1036" t="str">
        <f t="shared" si="1422"/>
        <v/>
      </c>
      <c r="G4100" s="1037" t="str">
        <f t="shared" si="1417"/>
        <v/>
      </c>
      <c r="H4100" s="225"/>
      <c r="I4100" s="1013"/>
      <c r="J4100" s="1013"/>
      <c r="K4100" s="1028"/>
      <c r="L4100" s="1035" t="str">
        <f t="shared" si="1421"/>
        <v/>
      </c>
      <c r="S4100" s="498"/>
      <c r="AJ4100" s="498"/>
      <c r="AM4100" s="498">
        <f t="shared" si="1402"/>
        <v>0</v>
      </c>
      <c r="AN4100" s="498">
        <f t="shared" si="1403"/>
        <v>0</v>
      </c>
      <c r="AO4100" s="498">
        <f t="shared" si="1404"/>
        <v>0</v>
      </c>
      <c r="AP4100" s="498">
        <f t="shared" si="1423"/>
        <v>0</v>
      </c>
      <c r="AQ4100" s="498">
        <f t="shared" si="1418"/>
        <v>0</v>
      </c>
      <c r="AU4100" s="498">
        <f t="shared" si="1405"/>
        <v>0</v>
      </c>
      <c r="AV4100" s="498">
        <f t="shared" si="1406"/>
        <v>0</v>
      </c>
      <c r="AW4100" s="498">
        <f t="shared" si="1407"/>
        <v>0</v>
      </c>
      <c r="AX4100" s="498">
        <f t="shared" si="1408"/>
        <v>0</v>
      </c>
      <c r="AY4100" s="498">
        <f t="shared" si="1409"/>
        <v>0</v>
      </c>
      <c r="BB4100" s="498" t="str">
        <f t="shared" si="1410"/>
        <v/>
      </c>
      <c r="BC4100" s="743" t="str">
        <f t="shared" si="1411"/>
        <v/>
      </c>
      <c r="BD4100" s="743" t="str">
        <f t="shared" si="1412"/>
        <v/>
      </c>
      <c r="BE4100" s="743" t="str">
        <f>IF(D4100="","",VLOOKUP(D4100,'General Basis'!$J$39:$K$46,2,0))</f>
        <v/>
      </c>
      <c r="BF4100" s="744" t="str">
        <f>IF(D4100="","",VLOOKUP(D4100,'General Basis'!$J$39:$L$46,3,0))</f>
        <v/>
      </c>
      <c r="BG4100" s="744" t="str">
        <f t="shared" si="1419"/>
        <v/>
      </c>
      <c r="BH4100" s="744" t="str">
        <f>IF(G4100="","",IF(BF4100="Abu Dhabi",IF(G4100&lt;18,'General Basis'!$C$39,IF(G4100&lt;41,'General Basis'!$C$40,IF(G4100&lt;60,'General Basis'!$C$41,IF(G4100&lt;65,'General Basis'!$C$42,'General Basis'!$C$43)))),IF(G4100&lt;11,'General Basis'!$B$39,IF(G4100&lt;18,'General Basis'!$B$40,IF(G4100&lt;26,'General Basis'!$B$41,IF(G4100&lt;31,'General Basis'!$B$42,IF(G4100&lt;36,'General Basis'!$B$43,IF(G4100&lt;41,'General Basis'!$B$44,IF(G4100&lt;46,'General Basis'!$B$45,IF(G4100&lt;51,'General Basis'!$B$46,IF(G4100&lt;56,'General Basis'!$B$47,IF(G4100&lt;60,'General Basis'!$B$48,IF(G4100&lt;65,'General Basis'!$B$49,'General Basis'!$B$50)))))))))))))</f>
        <v/>
      </c>
      <c r="BI4100" s="744" t="str">
        <f t="shared" si="1413"/>
        <v/>
      </c>
      <c r="BJ4100" s="747" t="str">
        <f t="shared" si="1420"/>
        <v/>
      </c>
      <c r="BK4100" s="498" t="str">
        <f t="shared" si="1414"/>
        <v/>
      </c>
      <c r="BL4100" s="498" t="str">
        <f t="shared" si="1415"/>
        <v/>
      </c>
    </row>
    <row r="4101" spans="1:64" x14ac:dyDescent="0.25">
      <c r="A4101" s="762">
        <f t="shared" si="1416"/>
        <v>4096</v>
      </c>
      <c r="B4101" s="229"/>
      <c r="C4101" s="223"/>
      <c r="D4101" s="224"/>
      <c r="E4101" s="225"/>
      <c r="F4101" s="1036" t="str">
        <f t="shared" si="1422"/>
        <v/>
      </c>
      <c r="G4101" s="1037" t="str">
        <f t="shared" si="1417"/>
        <v/>
      </c>
      <c r="H4101" s="225"/>
      <c r="I4101" s="1013"/>
      <c r="J4101" s="1013"/>
      <c r="K4101" s="1028"/>
      <c r="L4101" s="1035" t="str">
        <f t="shared" si="1421"/>
        <v/>
      </c>
      <c r="S4101" s="498"/>
      <c r="AJ4101" s="498"/>
      <c r="AM4101" s="498">
        <f t="shared" si="1402"/>
        <v>0</v>
      </c>
      <c r="AN4101" s="498">
        <f t="shared" si="1403"/>
        <v>0</v>
      </c>
      <c r="AO4101" s="498">
        <f t="shared" si="1404"/>
        <v>0</v>
      </c>
      <c r="AP4101" s="498">
        <f t="shared" si="1423"/>
        <v>0</v>
      </c>
      <c r="AQ4101" s="498">
        <f t="shared" si="1418"/>
        <v>0</v>
      </c>
      <c r="AU4101" s="498">
        <f t="shared" si="1405"/>
        <v>0</v>
      </c>
      <c r="AV4101" s="498">
        <f t="shared" si="1406"/>
        <v>0</v>
      </c>
      <c r="AW4101" s="498">
        <f t="shared" si="1407"/>
        <v>0</v>
      </c>
      <c r="AX4101" s="498">
        <f t="shared" si="1408"/>
        <v>0</v>
      </c>
      <c r="AY4101" s="498">
        <f t="shared" si="1409"/>
        <v>0</v>
      </c>
      <c r="BB4101" s="498" t="str">
        <f t="shared" si="1410"/>
        <v/>
      </c>
      <c r="BC4101" s="743" t="str">
        <f t="shared" si="1411"/>
        <v/>
      </c>
      <c r="BD4101" s="743" t="str">
        <f t="shared" si="1412"/>
        <v/>
      </c>
      <c r="BE4101" s="743" t="str">
        <f>IF(D4101="","",VLOOKUP(D4101,'General Basis'!$J$39:$K$46,2,0))</f>
        <v/>
      </c>
      <c r="BF4101" s="744" t="str">
        <f>IF(D4101="","",VLOOKUP(D4101,'General Basis'!$J$39:$L$46,3,0))</f>
        <v/>
      </c>
      <c r="BG4101" s="744" t="str">
        <f t="shared" si="1419"/>
        <v/>
      </c>
      <c r="BH4101" s="744" t="str">
        <f>IF(G4101="","",IF(BF4101="Abu Dhabi",IF(G4101&lt;18,'General Basis'!$C$39,IF(G4101&lt;41,'General Basis'!$C$40,IF(G4101&lt;60,'General Basis'!$C$41,IF(G4101&lt;65,'General Basis'!$C$42,'General Basis'!$C$43)))),IF(G4101&lt;11,'General Basis'!$B$39,IF(G4101&lt;18,'General Basis'!$B$40,IF(G4101&lt;26,'General Basis'!$B$41,IF(G4101&lt;31,'General Basis'!$B$42,IF(G4101&lt;36,'General Basis'!$B$43,IF(G4101&lt;41,'General Basis'!$B$44,IF(G4101&lt;46,'General Basis'!$B$45,IF(G4101&lt;51,'General Basis'!$B$46,IF(G4101&lt;56,'General Basis'!$B$47,IF(G4101&lt;60,'General Basis'!$B$48,IF(G4101&lt;65,'General Basis'!$B$49,'General Basis'!$B$50)))))))))))))</f>
        <v/>
      </c>
      <c r="BI4101" s="744" t="str">
        <f t="shared" si="1413"/>
        <v/>
      </c>
      <c r="BJ4101" s="747" t="str">
        <f t="shared" si="1420"/>
        <v/>
      </c>
      <c r="BK4101" s="498" t="str">
        <f t="shared" si="1414"/>
        <v/>
      </c>
      <c r="BL4101" s="498" t="str">
        <f t="shared" si="1415"/>
        <v/>
      </c>
    </row>
    <row r="4102" spans="1:64" x14ac:dyDescent="0.25">
      <c r="A4102" s="762">
        <f t="shared" si="1416"/>
        <v>4097</v>
      </c>
      <c r="B4102" s="229"/>
      <c r="C4102" s="223"/>
      <c r="D4102" s="224"/>
      <c r="E4102" s="225"/>
      <c r="F4102" s="1036" t="str">
        <f t="shared" si="1422"/>
        <v/>
      </c>
      <c r="G4102" s="1037" t="str">
        <f t="shared" si="1417"/>
        <v/>
      </c>
      <c r="H4102" s="225"/>
      <c r="I4102" s="1013"/>
      <c r="J4102" s="1013"/>
      <c r="K4102" s="1028"/>
      <c r="L4102" s="1035" t="str">
        <f t="shared" si="1421"/>
        <v/>
      </c>
      <c r="S4102" s="498"/>
      <c r="AJ4102" s="498"/>
      <c r="AM4102" s="498">
        <f t="shared" ref="AM4102:AM4165" si="1424">IF(ISTEXT(B4102),1,0)</f>
        <v>0</v>
      </c>
      <c r="AN4102" s="498">
        <f t="shared" ref="AN4102:AN4165" si="1425">IF(ISBLANK(B4102),0,IF(B4102&lt;$AK$6,1,0))</f>
        <v>0</v>
      </c>
      <c r="AO4102" s="498">
        <f t="shared" ref="AO4102:AO4165" si="1426">IF(ISBLANK(B4102),0,IF(B4102&gt;$AK$7,1,0))</f>
        <v>0</v>
      </c>
      <c r="AP4102" s="498">
        <f t="shared" si="1423"/>
        <v>0</v>
      </c>
      <c r="AQ4102" s="498">
        <f t="shared" si="1418"/>
        <v>0</v>
      </c>
      <c r="AU4102" s="498">
        <f t="shared" ref="AU4102:AU4165" si="1427">IF(ISBLANK(B4102),0,1)</f>
        <v>0</v>
      </c>
      <c r="AV4102" s="498">
        <f t="shared" ref="AV4102:AV4165" si="1428">IF(ISBLANK(C4102),0,1)</f>
        <v>0</v>
      </c>
      <c r="AW4102" s="498">
        <f t="shared" ref="AW4102:AW4165" si="1429">IF(ISBLANK(D4102),0,1)</f>
        <v>0</v>
      </c>
      <c r="AX4102" s="498">
        <f t="shared" ref="AX4102:AX4165" si="1430">IF(ISBLANK(E4102),0,1)</f>
        <v>0</v>
      </c>
      <c r="AY4102" s="498">
        <f t="shared" ref="AY4102:AY4165" si="1431">IF(ISBLANK(H4102),0,1)</f>
        <v>0</v>
      </c>
      <c r="BB4102" s="498" t="str">
        <f t="shared" ref="BB4102:BB4165" si="1432">IF(E4102="Principal","Principal",IF(E4102="","","Other"))</f>
        <v/>
      </c>
      <c r="BC4102" s="743" t="str">
        <f t="shared" ref="BC4102:BC4165" si="1433">IF(D4102="","",D4102)</f>
        <v/>
      </c>
      <c r="BD4102" s="743" t="str">
        <f t="shared" ref="BD4102:BD4165" si="1434">IF(E4102="Principal","Employee",IF(E4102="","","Dependent"))</f>
        <v/>
      </c>
      <c r="BE4102" s="743" t="str">
        <f>IF(D4102="","",VLOOKUP(D4102,'General Basis'!$J$39:$K$46,2,0))</f>
        <v/>
      </c>
      <c r="BF4102" s="744" t="str">
        <f>IF(D4102="","",VLOOKUP(D4102,'General Basis'!$J$39:$L$46,3,0))</f>
        <v/>
      </c>
      <c r="BG4102" s="744" t="str">
        <f t="shared" si="1419"/>
        <v/>
      </c>
      <c r="BH4102" s="744" t="str">
        <f>IF(G4102="","",IF(BF4102="Abu Dhabi",IF(G4102&lt;18,'General Basis'!$C$39,IF(G4102&lt;41,'General Basis'!$C$40,IF(G4102&lt;60,'General Basis'!$C$41,IF(G4102&lt;65,'General Basis'!$C$42,'General Basis'!$C$43)))),IF(G4102&lt;11,'General Basis'!$B$39,IF(G4102&lt;18,'General Basis'!$B$40,IF(G4102&lt;26,'General Basis'!$B$41,IF(G4102&lt;31,'General Basis'!$B$42,IF(G4102&lt;36,'General Basis'!$B$43,IF(G4102&lt;41,'General Basis'!$B$44,IF(G4102&lt;46,'General Basis'!$B$45,IF(G4102&lt;51,'General Basis'!$B$46,IF(G4102&lt;56,'General Basis'!$B$47,IF(G4102&lt;60,'General Basis'!$B$48,IF(G4102&lt;65,'General Basis'!$B$49,'General Basis'!$B$50)))))))))))))</f>
        <v/>
      </c>
      <c r="BI4102" s="744" t="str">
        <f t="shared" ref="BI4102:BI4165" si="1435">IF(C4102="","",IF(C4102="M","Male","Female"))</f>
        <v/>
      </c>
      <c r="BJ4102" s="747" t="str">
        <f t="shared" si="1420"/>
        <v/>
      </c>
      <c r="BK4102" s="498" t="str">
        <f t="shared" ref="BK4102:BK4165" si="1436">IF(BD4102="","",IF(AND(BD4102="Employee",BI4102="Male",BF4102="Abu Dhabi",BE4102=GN_Plus),VLOOKUP(BH4102,AUH_MALE_EMP,2,0),IF(AND(BD4102="Employee",BI4102="Male",BF4102="Abu Dhabi",BE4102=GN),VLOOKUP(BH4102,AUH_MALE_EMP,3,0),IF(AND(BD4102="Employee",BI4102="Male",BF4102="Abu Dhabi",BE4102=RN_Plus),VLOOKUP(BH4102,AUH_MALE_EMP,4,0),IF(AND(BD4102="Employee",BI4102="Male",BF4102="Abu Dhabi",BE4102=RN),VLOOKUP(BH4102,AUH_MALE_EMP,5,0),IF(AND(BD4102="Employee",BI4102="Male",BF4102="Abu Dhabi",BE4102=RN_2),VLOOKUP(BH4102,AUH_MALE_EMP,6,0),IF(AND(BD4102="Employee",BI4102="Male",BF4102="Abu Dhabi",BE4102=RN2_minus),VLOOKUP(BH4102,AUH_MALE_EMP,7,0),IF(AND(BD4102="Employee",BI4102="Male",BF4102="Abu Dhabi",BE4102=RN_3),VLOOKUP(BH4102,AUH_MALE_EMP,8,0),IF(AND(BD4102="Employee",BI4102="Male",BF4102="Abu Dhabi",BE4102=VN),VLOOKUP(BH4102,AUH_MALE_EMP,9,0),IF(BD4102="","",IF(AND(BD4102="Employee",BI4102="Female",BF4102="Abu Dhabi",BE4102=GN_Plus),VLOOKUP(BH4102,AUH_FEMALE_EMP,2,0),IF(AND(BD4102="Employee",BI4102="Female",BF4102="Abu Dhabi",BE4102=GN),VLOOKUP(BH4102,AUH_FEMALE_EMP,3,0),IF(AND(BD4102="Employee",BI4102="Female",BF4102="Abu Dhabi",BE4102=RN_Plus),VLOOKUP(BH4102,AUH_FEMALE_EMP,4,0),IF(AND(BD4102="Employee",BI4102="Female",BF4102="Abu Dhabi",BE4102=RN),VLOOKUP(BH4102,AUH_FEMALE_EMP,5,0),IF(AND(BD4102="Employee",BI4102="Female",BF4102="Abu Dhabi",BE4102=RN_2),VLOOKUP(BH4102,AUH_FEMALE_EMP,6,0),IF(AND(BD4102="Employee",BI4102="Female",BF4102="Abu Dhabi",BE4102=RN2_minus),VLOOKUP(BH4102,AUH_FEMALE_EMP,7,0),IF(AND(BD4102="Employee",BI4102="Female",BF4102="Abu Dhabi",BE4102=RN_3),VLOOKUP(BH4102,AUH_FEMALE_EMP,8,0),IF(AND(BD4102="Employee",BI4102="Female",BF4102="Abu Dhabi",BE4102=VN),VLOOKUP(BH4102,AUH_FEMALE_EMP,9,0),IF(BD4102="","",IF(AND(BD4102="Dependent",BI4102="Male",BF4102="Abu Dhabi",BE4102=GN_Plus),VLOOKUP(BH4102,AUH_MALE_DEP,2,0),IF(AND(BD4102="Dependent",BI4102="Male",BF4102="Abu Dhabi",BE4102=GN),VLOOKUP(BH4102,AUH_MALE_DEP,3,0),IF(AND(BD4102="Dependent",BI4102="Male",BF4102="Abu Dhabi",BE4102=RN_Plus),VLOOKUP(BH4102,AUH_MALE_DEP,4,0),IF(AND(BD4102="Dependent",BI4102="Male",BF4102="Abu Dhabi",BE4102=RN),VLOOKUP(BH4102,AUH_MALE_DEP,5,0),IF(AND(BD4102="Dependent",BI4102="Male",BF4102="Abu Dhabi",BE4102=RN_2),VLOOKUP(BH4102,AUH_MALE_DEP,6,0),IF(AND(BD4102="Dependent",BI4102="Male",BF4102="Abu Dhabi",BE4102=RN2_minus),VLOOKUP(BH4102,AUH_MALE_DEP,7,0),IF(AND(BD4102="Dependent",BI4102="Male",BF4102="Abu Dhabi",BE4102=RN_3),VLOOKUP(BH4102,AUH_MALE_DEP,8,0),IF(AND(BD4102="Dependent",BI4102="Male",BF4102="Abu Dhabi",BE4102=VN),VLOOKUP(BH4102,AUH_MALE_DEP,9,0),IF(BD4102="","",IF(AND(BD4102="Dependent",BI4102="Female",BF4102="Abu Dhabi",BE4102=GN_Plus),VLOOKUP(BH4102,AUH_FEMALE_DEP,2,0),IF(AND(BD4102="Dependent",BI4102="Female",BF4102="Abu Dhabi",BE4102=GN),VLOOKUP(BH4102,AUH_FEMALE_DEP,3,0),IF(AND(BD4102="Dependent",BI4102="Female",BF4102="Abu Dhabi",BE4102=RN_Plus),VLOOKUP(BH4102,AUH_FEMALE_DEP,4,0),IF(AND(BD4102="Dependent",BI4102="Female",BF4102="Abu Dhabi",BE4102=RN),VLOOKUP(BH4102,AUH_FEMALE_DEP,5,0),IF(AND(BD4102="Dependent",BI4102="Female",BF4102="Abu Dhabi",BE4102=RN_2),VLOOKUP(BH4102,AUH_FEMALE_DEP,6,0),IF(AND(BD4102="Dependent",BI4102="Female",BF4102="Abu Dhabi",BE4102=RN2_minus),VLOOKUP(BH4102,AUH_FEMALE_DEP,7,0),IF(AND(BD4102="Dependent",BI4102="Female",BF4102="Abu Dhabi",BE4102=RN_3),VLOOKUP(BH4102,AUH_FEMALE_DEP,8,0),IF(AND(BD4102="Dependent",BI4102="Female",BF4102="Abu Dhabi",BE4102=VN),VLOOKUP(BH4102,AUH_FEMALE_DEP,9,0),"ABC"))))))))))))))))))))))))))))))))))))</f>
        <v/>
      </c>
      <c r="BL4102" s="498" t="str">
        <f t="shared" ref="BL4102:BL4165" si="1437">IF(BD4102="","",IF(AND(BD4102="Employee",BI4102="Male",BF4102="Dubai",BE4102=GN_Plus),VLOOKUP(BH4102,DXB_MALE_EMP,2,0),IF(AND(BD4102="Employee",BI4102="Male",BF4102="Dubai",BE4102=GN),VLOOKUP(BH4102,DXB_MALE_EMP,3,0),IF(AND(BD4102="Employee",BI4102="Male",BF4102="Dubai",BE4102=RN_Plus),VLOOKUP(BH4102,DXB_MALE_EMP,4,0),IF(AND(BD4102="Employee",BI4102="Male",BF4102="Dubai",BE4102=RN),VLOOKUP(BH4102,DXB_MALE_EMP,5,0),IF(AND(BD4102="Employee",BI4102="Male",BF4102="Dubai",BE4102=RN_2),VLOOKUP(BH4102,DXB_MALE_EMP,6,0),IF(AND(BD4102="Employee",BI4102="Male",BF4102="Dubai",BE4102=RN2_minus),VLOOKUP(BH4102,DXB_MALE_EMP,7,0),IF(AND(BD4102="Employee",BI4102="Male",BF4102="Dubai",BE4102=RN_3),VLOOKUP(BH4102,DXB_MALE_EMP,8,0),IF(AND(BD4102="Employee",BI4102="Male",BF4102="Dubai",BE4102=VN),VLOOKUP(BH4102,DXB_MALE_EMP,9,0),IF(BD4102="","",IF(AND(BD4102="Employee",BI4102="Female",BF4102="Dubai",BE4102=GN_Plus),VLOOKUP(BH4102,DXB_FEMALE_EMP,2,0),IF(AND(BD4102="Employee",BI4102="Female",BF4102="Dubai",BE4102=GN),VLOOKUP(BH4102,DXB_FEMALE_EMP,3,0),IF(AND(BD4102="Employee",BI4102="Female",BF4102="Dubai",BE4102=RN_Plus),VLOOKUP(BH4102,DXB_FEMALE_EMP,4,0),IF(AND(BD4102="Employee",BI4102="Female",BF4102="Dubai",BE4102=RN),VLOOKUP(BH4102,DXB_FEMALE_EMP,5,0),IF(AND(BD4102="Employee",BI4102="Female",BF4102="Dubai",BE4102=RN_2),VLOOKUP(BH4102,DXB_FEMALE_EMP,6,0),IF(AND(BD4102="Employee",BI4102="Female",BF4102="Dubai",BE4102=RN2_minus),VLOOKUP(BH4102,DXB_FEMALE_EMP,7,0),IF(AND(BD4102="Employee",BI4102="Female",BF4102="Dubai",BE4102=RN_3),VLOOKUP(BH4102,DXB_FEMALE_EMP,8,0),IF(AND(BD4102="Employee",BI4102="Female",BF4102="Dubai",BE4102=VN),VLOOKUP(BH4102,DXB_FEMALE_EMP,9,0),IF(BD4102="","",IF(AND(BD4102="Dependent",BI4102="Male",BF4102="Dubai",BE4102=GN_Plus),VLOOKUP(BH4102,DXB_MALE_DEP,2,0),IF(AND(BD4102="Dependent",BI4102="Male",BF4102="Dubai",BE4102=GN),VLOOKUP(BH4102,DXB_MALE_DEP,3,0),IF(AND(BD4102="Dependent",BI4102="Male",BF4102="Dubai",BE4102=RN_Plus),VLOOKUP(BH4102,DXB_MALE_DEP,4,0),IF(AND(BD4102="Dependent",BI4102="Male",BF4102="Dubai",BE4102=RN),VLOOKUP(BH4102,DXB_MALE_DEP,5,0),IF(AND(BD4102="Dependent",BI4102="Male",BF4102="Dubai",BE4102=RN_2),VLOOKUP(BH4102,DXB_MALE_DEP,6,0),IF(AND(BD4102="Dependent",BI4102="Male",BF4102="Dubai",BE4102=RN2_minus),VLOOKUP(BH4102,DXB_MALE_DEP,7,0),IF(AND(BD4102="Dependent",BI4102="Male",BF4102="Dubai",BE4102=RN_3),VLOOKUP(BH4102,DXB_MALE_DEP,8,0),IF(AND(BD4102="Dependent",BI4102="Male",BF4102="Dubai",BE4102=VN),VLOOKUP(BH4102,DXB_MALE_DEP,9,0),IF(BD4102="","",IF(AND(BD4102="Dependent",BI4102="Female",BF4102="Dubai",BE4102=GN_Plus),VLOOKUP(BH4102,DXB_FEMALE_DEP,2,0),IF(AND(BD4102="Dependent",BI4102="Female",BF4102="Dubai",BE4102=GN),VLOOKUP(BH4102,DXB_FEMALE_DEP,3,0),IF(AND(BD4102="Dependent",BI4102="Female",BF4102="Dubai",BE4102=RN_Plus),VLOOKUP(BH4102,DXB_FEMALE_DEP,4,0),IF(AND(BD4102="Dependent",BI4102="Female",BF4102="Dubai",BE4102=RN),VLOOKUP(BH4102,DXB_FEMALE_DEP,5,0),IF(AND(BD4102="Dependent",BI4102="Female",BF4102="Dubai",BE4102=RN_2),VLOOKUP(BH4102,DXB_FEMALE_DEP,6,0),IF(AND(BD4102="Dependent",BI4102="Female",BF4102="Dubai",BE4102=RN2_minus),VLOOKUP(BH4102,DXB_FEMALE_DEP,7,0),IF(AND(BD4102="Dependent",BI4102="Female",BF4102="Dubai",BE4102=RN_3),VLOOKUP(BH4102,DXB_FEMALE_DEP,8,0),IF(AND(BD4102="Dependent",BI4102="Female",BF4102="Dubai",BE4102=VN),VLOOKUP(BH4102,DXB_FEMALE_DEP,9,0),"ABC"))))))))))))))))))))))))))))))))))))</f>
        <v/>
      </c>
    </row>
    <row r="4103" spans="1:64" x14ac:dyDescent="0.25">
      <c r="A4103" s="762">
        <f t="shared" ref="A4103:A4166" si="1438">+A4102+1</f>
        <v>4098</v>
      </c>
      <c r="B4103" s="229"/>
      <c r="C4103" s="223"/>
      <c r="D4103" s="224"/>
      <c r="E4103" s="225"/>
      <c r="F4103" s="1036" t="str">
        <f t="shared" si="1422"/>
        <v/>
      </c>
      <c r="G4103" s="1037" t="str">
        <f t="shared" ref="G4103:G4166" si="1439">IF(D4103="","",MAX(0,ROUNDUP(F4103,0)))</f>
        <v/>
      </c>
      <c r="H4103" s="225"/>
      <c r="I4103" s="1013"/>
      <c r="J4103" s="1013"/>
      <c r="K4103" s="1028"/>
      <c r="L4103" s="1035" t="str">
        <f t="shared" si="1421"/>
        <v/>
      </c>
      <c r="S4103" s="498"/>
      <c r="AJ4103" s="498"/>
      <c r="AM4103" s="498">
        <f t="shared" si="1424"/>
        <v>0</v>
      </c>
      <c r="AN4103" s="498">
        <f t="shared" si="1425"/>
        <v>0</v>
      </c>
      <c r="AO4103" s="498">
        <f t="shared" si="1426"/>
        <v>0</v>
      </c>
      <c r="AP4103" s="498">
        <f t="shared" si="1423"/>
        <v>0</v>
      </c>
      <c r="AQ4103" s="498">
        <f t="shared" ref="AQ4103:AQ4166" si="1440">IF(ISBLANK($B4103),0,IF(OR($H4103="Single",$H4103="Married"),0,1))</f>
        <v>0</v>
      </c>
      <c r="AU4103" s="498">
        <f t="shared" si="1427"/>
        <v>0</v>
      </c>
      <c r="AV4103" s="498">
        <f t="shared" si="1428"/>
        <v>0</v>
      </c>
      <c r="AW4103" s="498">
        <f t="shared" si="1429"/>
        <v>0</v>
      </c>
      <c r="AX4103" s="498">
        <f t="shared" si="1430"/>
        <v>0</v>
      </c>
      <c r="AY4103" s="498">
        <f t="shared" si="1431"/>
        <v>0</v>
      </c>
      <c r="BB4103" s="498" t="str">
        <f t="shared" si="1432"/>
        <v/>
      </c>
      <c r="BC4103" s="743" t="str">
        <f t="shared" si="1433"/>
        <v/>
      </c>
      <c r="BD4103" s="743" t="str">
        <f t="shared" si="1434"/>
        <v/>
      </c>
      <c r="BE4103" s="743" t="str">
        <f>IF(D4103="","",VLOOKUP(D4103,'General Basis'!$J$39:$K$46,2,0))</f>
        <v/>
      </c>
      <c r="BF4103" s="744" t="str">
        <f>IF(D4103="","",VLOOKUP(D4103,'General Basis'!$J$39:$L$46,3,0))</f>
        <v/>
      </c>
      <c r="BG4103" s="744" t="str">
        <f t="shared" ref="BG4103:BG4166" si="1441">BC4103&amp;BI4103</f>
        <v/>
      </c>
      <c r="BH4103" s="744" t="str">
        <f>IF(G4103="","",IF(BF4103="Abu Dhabi",IF(G4103&lt;18,'General Basis'!$C$39,IF(G4103&lt;41,'General Basis'!$C$40,IF(G4103&lt;60,'General Basis'!$C$41,IF(G4103&lt;65,'General Basis'!$C$42,'General Basis'!$C$43)))),IF(G4103&lt;11,'General Basis'!$B$39,IF(G4103&lt;18,'General Basis'!$B$40,IF(G4103&lt;26,'General Basis'!$B$41,IF(G4103&lt;31,'General Basis'!$B$42,IF(G4103&lt;36,'General Basis'!$B$43,IF(G4103&lt;41,'General Basis'!$B$44,IF(G4103&lt;46,'General Basis'!$B$45,IF(G4103&lt;51,'General Basis'!$B$46,IF(G4103&lt;56,'General Basis'!$B$47,IF(G4103&lt;60,'General Basis'!$B$48,IF(G4103&lt;65,'General Basis'!$B$49,'General Basis'!$B$50)))))))))))))</f>
        <v/>
      </c>
      <c r="BI4103" s="744" t="str">
        <f t="shared" si="1435"/>
        <v/>
      </c>
      <c r="BJ4103" s="747" t="str">
        <f t="shared" ref="BJ4103:BJ4166" si="1442">IF(BD4103="","",IF(BF4103="Abu Dhabi",BK4103,BL4103))</f>
        <v/>
      </c>
      <c r="BK4103" s="498" t="str">
        <f t="shared" si="1436"/>
        <v/>
      </c>
      <c r="BL4103" s="498" t="str">
        <f t="shared" si="1437"/>
        <v/>
      </c>
    </row>
    <row r="4104" spans="1:64" x14ac:dyDescent="0.25">
      <c r="A4104" s="762">
        <f t="shared" si="1438"/>
        <v>4099</v>
      </c>
      <c r="B4104" s="229"/>
      <c r="C4104" s="223"/>
      <c r="D4104" s="224"/>
      <c r="E4104" s="225"/>
      <c r="F4104" s="1036" t="str">
        <f t="shared" si="1422"/>
        <v/>
      </c>
      <c r="G4104" s="1037" t="str">
        <f t="shared" si="1439"/>
        <v/>
      </c>
      <c r="H4104" s="225"/>
      <c r="I4104" s="1013"/>
      <c r="J4104" s="1013"/>
      <c r="K4104" s="1028"/>
      <c r="L4104" s="1035" t="str">
        <f t="shared" ref="L4104:L4167" si="1443">IF(AND(E4104="Child",H4104="Married"),"Check the Marital Status of the Child. ",IF(AND(E4104="Child",F4104&gt;18),"Child Age exceed 18 years. ",IF(AND(E4104="Spouse",H4104="Single"),"Spouse is selected as Single. ","")))&amp;IF(K4104&gt;0,"UW Loading has been Applied","")</f>
        <v/>
      </c>
      <c r="S4104" s="498"/>
      <c r="AJ4104" s="498"/>
      <c r="AM4104" s="498">
        <f t="shared" si="1424"/>
        <v>0</v>
      </c>
      <c r="AN4104" s="498">
        <f t="shared" si="1425"/>
        <v>0</v>
      </c>
      <c r="AO4104" s="498">
        <f t="shared" si="1426"/>
        <v>0</v>
      </c>
      <c r="AP4104" s="498">
        <f t="shared" si="1423"/>
        <v>0</v>
      </c>
      <c r="AQ4104" s="498">
        <f t="shared" si="1440"/>
        <v>0</v>
      </c>
      <c r="AU4104" s="498">
        <f t="shared" si="1427"/>
        <v>0</v>
      </c>
      <c r="AV4104" s="498">
        <f t="shared" si="1428"/>
        <v>0</v>
      </c>
      <c r="AW4104" s="498">
        <f t="shared" si="1429"/>
        <v>0</v>
      </c>
      <c r="AX4104" s="498">
        <f t="shared" si="1430"/>
        <v>0</v>
      </c>
      <c r="AY4104" s="498">
        <f t="shared" si="1431"/>
        <v>0</v>
      </c>
      <c r="BB4104" s="498" t="str">
        <f t="shared" si="1432"/>
        <v/>
      </c>
      <c r="BC4104" s="743" t="str">
        <f t="shared" si="1433"/>
        <v/>
      </c>
      <c r="BD4104" s="743" t="str">
        <f t="shared" si="1434"/>
        <v/>
      </c>
      <c r="BE4104" s="743" t="str">
        <f>IF(D4104="","",VLOOKUP(D4104,'General Basis'!$J$39:$K$46,2,0))</f>
        <v/>
      </c>
      <c r="BF4104" s="744" t="str">
        <f>IF(D4104="","",VLOOKUP(D4104,'General Basis'!$J$39:$L$46,3,0))</f>
        <v/>
      </c>
      <c r="BG4104" s="744" t="str">
        <f t="shared" si="1441"/>
        <v/>
      </c>
      <c r="BH4104" s="744" t="str">
        <f>IF(G4104="","",IF(BF4104="Abu Dhabi",IF(G4104&lt;18,'General Basis'!$C$39,IF(G4104&lt;41,'General Basis'!$C$40,IF(G4104&lt;60,'General Basis'!$C$41,IF(G4104&lt;65,'General Basis'!$C$42,'General Basis'!$C$43)))),IF(G4104&lt;11,'General Basis'!$B$39,IF(G4104&lt;18,'General Basis'!$B$40,IF(G4104&lt;26,'General Basis'!$B$41,IF(G4104&lt;31,'General Basis'!$B$42,IF(G4104&lt;36,'General Basis'!$B$43,IF(G4104&lt;41,'General Basis'!$B$44,IF(G4104&lt;46,'General Basis'!$B$45,IF(G4104&lt;51,'General Basis'!$B$46,IF(G4104&lt;56,'General Basis'!$B$47,IF(G4104&lt;60,'General Basis'!$B$48,IF(G4104&lt;65,'General Basis'!$B$49,'General Basis'!$B$50)))))))))))))</f>
        <v/>
      </c>
      <c r="BI4104" s="744" t="str">
        <f t="shared" si="1435"/>
        <v/>
      </c>
      <c r="BJ4104" s="747" t="str">
        <f t="shared" si="1442"/>
        <v/>
      </c>
      <c r="BK4104" s="498" t="str">
        <f t="shared" si="1436"/>
        <v/>
      </c>
      <c r="BL4104" s="498" t="str">
        <f t="shared" si="1437"/>
        <v/>
      </c>
    </row>
    <row r="4105" spans="1:64" x14ac:dyDescent="0.25">
      <c r="A4105" s="762">
        <f t="shared" si="1438"/>
        <v>4100</v>
      </c>
      <c r="B4105" s="229"/>
      <c r="C4105" s="223"/>
      <c r="D4105" s="224"/>
      <c r="E4105" s="225"/>
      <c r="F4105" s="1036" t="str">
        <f t="shared" si="1422"/>
        <v/>
      </c>
      <c r="G4105" s="1037" t="str">
        <f t="shared" si="1439"/>
        <v/>
      </c>
      <c r="H4105" s="225"/>
      <c r="I4105" s="1013"/>
      <c r="J4105" s="1013"/>
      <c r="K4105" s="1028"/>
      <c r="L4105" s="1035" t="str">
        <f t="shared" si="1443"/>
        <v/>
      </c>
      <c r="S4105" s="498"/>
      <c r="AJ4105" s="498"/>
      <c r="AM4105" s="498">
        <f t="shared" si="1424"/>
        <v>0</v>
      </c>
      <c r="AN4105" s="498">
        <f t="shared" si="1425"/>
        <v>0</v>
      </c>
      <c r="AO4105" s="498">
        <f t="shared" si="1426"/>
        <v>0</v>
      </c>
      <c r="AP4105" s="498">
        <f t="shared" si="1423"/>
        <v>0</v>
      </c>
      <c r="AQ4105" s="498">
        <f t="shared" si="1440"/>
        <v>0</v>
      </c>
      <c r="AU4105" s="498">
        <f t="shared" si="1427"/>
        <v>0</v>
      </c>
      <c r="AV4105" s="498">
        <f t="shared" si="1428"/>
        <v>0</v>
      </c>
      <c r="AW4105" s="498">
        <f t="shared" si="1429"/>
        <v>0</v>
      </c>
      <c r="AX4105" s="498">
        <f t="shared" si="1430"/>
        <v>0</v>
      </c>
      <c r="AY4105" s="498">
        <f t="shared" si="1431"/>
        <v>0</v>
      </c>
      <c r="BB4105" s="498" t="str">
        <f t="shared" si="1432"/>
        <v/>
      </c>
      <c r="BC4105" s="743" t="str">
        <f t="shared" si="1433"/>
        <v/>
      </c>
      <c r="BD4105" s="743" t="str">
        <f t="shared" si="1434"/>
        <v/>
      </c>
      <c r="BE4105" s="743" t="str">
        <f>IF(D4105="","",VLOOKUP(D4105,'General Basis'!$J$39:$K$46,2,0))</f>
        <v/>
      </c>
      <c r="BF4105" s="744" t="str">
        <f>IF(D4105="","",VLOOKUP(D4105,'General Basis'!$J$39:$L$46,3,0))</f>
        <v/>
      </c>
      <c r="BG4105" s="744" t="str">
        <f t="shared" si="1441"/>
        <v/>
      </c>
      <c r="BH4105" s="744" t="str">
        <f>IF(G4105="","",IF(BF4105="Abu Dhabi",IF(G4105&lt;18,'General Basis'!$C$39,IF(G4105&lt;41,'General Basis'!$C$40,IF(G4105&lt;60,'General Basis'!$C$41,IF(G4105&lt;65,'General Basis'!$C$42,'General Basis'!$C$43)))),IF(G4105&lt;11,'General Basis'!$B$39,IF(G4105&lt;18,'General Basis'!$B$40,IF(G4105&lt;26,'General Basis'!$B$41,IF(G4105&lt;31,'General Basis'!$B$42,IF(G4105&lt;36,'General Basis'!$B$43,IF(G4105&lt;41,'General Basis'!$B$44,IF(G4105&lt;46,'General Basis'!$B$45,IF(G4105&lt;51,'General Basis'!$B$46,IF(G4105&lt;56,'General Basis'!$B$47,IF(G4105&lt;60,'General Basis'!$B$48,IF(G4105&lt;65,'General Basis'!$B$49,'General Basis'!$B$50)))))))))))))</f>
        <v/>
      </c>
      <c r="BI4105" s="744" t="str">
        <f t="shared" si="1435"/>
        <v/>
      </c>
      <c r="BJ4105" s="747" t="str">
        <f t="shared" si="1442"/>
        <v/>
      </c>
      <c r="BK4105" s="498" t="str">
        <f t="shared" si="1436"/>
        <v/>
      </c>
      <c r="BL4105" s="498" t="str">
        <f t="shared" si="1437"/>
        <v/>
      </c>
    </row>
    <row r="4106" spans="1:64" x14ac:dyDescent="0.25">
      <c r="A4106" s="762">
        <f t="shared" si="1438"/>
        <v>4101</v>
      </c>
      <c r="B4106" s="229"/>
      <c r="C4106" s="223"/>
      <c r="D4106" s="224"/>
      <c r="E4106" s="225"/>
      <c r="F4106" s="1036" t="str">
        <f t="shared" si="1422"/>
        <v/>
      </c>
      <c r="G4106" s="1037" t="str">
        <f t="shared" si="1439"/>
        <v/>
      </c>
      <c r="H4106" s="225"/>
      <c r="I4106" s="1013"/>
      <c r="J4106" s="1013"/>
      <c r="K4106" s="1028"/>
      <c r="L4106" s="1035" t="str">
        <f t="shared" si="1443"/>
        <v/>
      </c>
      <c r="S4106" s="498"/>
      <c r="AJ4106" s="498"/>
      <c r="AM4106" s="498">
        <f t="shared" si="1424"/>
        <v>0</v>
      </c>
      <c r="AN4106" s="498">
        <f t="shared" si="1425"/>
        <v>0</v>
      </c>
      <c r="AO4106" s="498">
        <f t="shared" si="1426"/>
        <v>0</v>
      </c>
      <c r="AP4106" s="498">
        <f t="shared" si="1423"/>
        <v>0</v>
      </c>
      <c r="AQ4106" s="498">
        <f t="shared" si="1440"/>
        <v>0</v>
      </c>
      <c r="AU4106" s="498">
        <f t="shared" si="1427"/>
        <v>0</v>
      </c>
      <c r="AV4106" s="498">
        <f t="shared" si="1428"/>
        <v>0</v>
      </c>
      <c r="AW4106" s="498">
        <f t="shared" si="1429"/>
        <v>0</v>
      </c>
      <c r="AX4106" s="498">
        <f t="shared" si="1430"/>
        <v>0</v>
      </c>
      <c r="AY4106" s="498">
        <f t="shared" si="1431"/>
        <v>0</v>
      </c>
      <c r="BB4106" s="498" t="str">
        <f t="shared" si="1432"/>
        <v/>
      </c>
      <c r="BC4106" s="743" t="str">
        <f t="shared" si="1433"/>
        <v/>
      </c>
      <c r="BD4106" s="743" t="str">
        <f t="shared" si="1434"/>
        <v/>
      </c>
      <c r="BE4106" s="743" t="str">
        <f>IF(D4106="","",VLOOKUP(D4106,'General Basis'!$J$39:$K$46,2,0))</f>
        <v/>
      </c>
      <c r="BF4106" s="744" t="str">
        <f>IF(D4106="","",VLOOKUP(D4106,'General Basis'!$J$39:$L$46,3,0))</f>
        <v/>
      </c>
      <c r="BG4106" s="744" t="str">
        <f t="shared" si="1441"/>
        <v/>
      </c>
      <c r="BH4106" s="744" t="str">
        <f>IF(G4106="","",IF(BF4106="Abu Dhabi",IF(G4106&lt;18,'General Basis'!$C$39,IF(G4106&lt;41,'General Basis'!$C$40,IF(G4106&lt;60,'General Basis'!$C$41,IF(G4106&lt;65,'General Basis'!$C$42,'General Basis'!$C$43)))),IF(G4106&lt;11,'General Basis'!$B$39,IF(G4106&lt;18,'General Basis'!$B$40,IF(G4106&lt;26,'General Basis'!$B$41,IF(G4106&lt;31,'General Basis'!$B$42,IF(G4106&lt;36,'General Basis'!$B$43,IF(G4106&lt;41,'General Basis'!$B$44,IF(G4106&lt;46,'General Basis'!$B$45,IF(G4106&lt;51,'General Basis'!$B$46,IF(G4106&lt;56,'General Basis'!$B$47,IF(G4106&lt;60,'General Basis'!$B$48,IF(G4106&lt;65,'General Basis'!$B$49,'General Basis'!$B$50)))))))))))))</f>
        <v/>
      </c>
      <c r="BI4106" s="744" t="str">
        <f t="shared" si="1435"/>
        <v/>
      </c>
      <c r="BJ4106" s="747" t="str">
        <f t="shared" si="1442"/>
        <v/>
      </c>
      <c r="BK4106" s="498" t="str">
        <f t="shared" si="1436"/>
        <v/>
      </c>
      <c r="BL4106" s="498" t="str">
        <f t="shared" si="1437"/>
        <v/>
      </c>
    </row>
    <row r="4107" spans="1:64" x14ac:dyDescent="0.25">
      <c r="A4107" s="762">
        <f t="shared" si="1438"/>
        <v>4102</v>
      </c>
      <c r="B4107" s="229"/>
      <c r="C4107" s="223"/>
      <c r="D4107" s="224"/>
      <c r="E4107" s="225"/>
      <c r="F4107" s="1036" t="str">
        <f t="shared" si="1422"/>
        <v/>
      </c>
      <c r="G4107" s="1037" t="str">
        <f t="shared" si="1439"/>
        <v/>
      </c>
      <c r="H4107" s="225"/>
      <c r="I4107" s="1013"/>
      <c r="J4107" s="1013"/>
      <c r="K4107" s="1028"/>
      <c r="L4107" s="1035" t="str">
        <f t="shared" si="1443"/>
        <v/>
      </c>
      <c r="S4107" s="498"/>
      <c r="AJ4107" s="498"/>
      <c r="AM4107" s="498">
        <f t="shared" si="1424"/>
        <v>0</v>
      </c>
      <c r="AN4107" s="498">
        <f t="shared" si="1425"/>
        <v>0</v>
      </c>
      <c r="AO4107" s="498">
        <f t="shared" si="1426"/>
        <v>0</v>
      </c>
      <c r="AP4107" s="498">
        <f t="shared" si="1423"/>
        <v>0</v>
      </c>
      <c r="AQ4107" s="498">
        <f t="shared" si="1440"/>
        <v>0</v>
      </c>
      <c r="AU4107" s="498">
        <f t="shared" si="1427"/>
        <v>0</v>
      </c>
      <c r="AV4107" s="498">
        <f t="shared" si="1428"/>
        <v>0</v>
      </c>
      <c r="AW4107" s="498">
        <f t="shared" si="1429"/>
        <v>0</v>
      </c>
      <c r="AX4107" s="498">
        <f t="shared" si="1430"/>
        <v>0</v>
      </c>
      <c r="AY4107" s="498">
        <f t="shared" si="1431"/>
        <v>0</v>
      </c>
      <c r="BB4107" s="498" t="str">
        <f t="shared" si="1432"/>
        <v/>
      </c>
      <c r="BC4107" s="743" t="str">
        <f t="shared" si="1433"/>
        <v/>
      </c>
      <c r="BD4107" s="743" t="str">
        <f t="shared" si="1434"/>
        <v/>
      </c>
      <c r="BE4107" s="743" t="str">
        <f>IF(D4107="","",VLOOKUP(D4107,'General Basis'!$J$39:$K$46,2,0))</f>
        <v/>
      </c>
      <c r="BF4107" s="744" t="str">
        <f>IF(D4107="","",VLOOKUP(D4107,'General Basis'!$J$39:$L$46,3,0))</f>
        <v/>
      </c>
      <c r="BG4107" s="744" t="str">
        <f t="shared" si="1441"/>
        <v/>
      </c>
      <c r="BH4107" s="744" t="str">
        <f>IF(G4107="","",IF(BF4107="Abu Dhabi",IF(G4107&lt;18,'General Basis'!$C$39,IF(G4107&lt;41,'General Basis'!$C$40,IF(G4107&lt;60,'General Basis'!$C$41,IF(G4107&lt;65,'General Basis'!$C$42,'General Basis'!$C$43)))),IF(G4107&lt;11,'General Basis'!$B$39,IF(G4107&lt;18,'General Basis'!$B$40,IF(G4107&lt;26,'General Basis'!$B$41,IF(G4107&lt;31,'General Basis'!$B$42,IF(G4107&lt;36,'General Basis'!$B$43,IF(G4107&lt;41,'General Basis'!$B$44,IF(G4107&lt;46,'General Basis'!$B$45,IF(G4107&lt;51,'General Basis'!$B$46,IF(G4107&lt;56,'General Basis'!$B$47,IF(G4107&lt;60,'General Basis'!$B$48,IF(G4107&lt;65,'General Basis'!$B$49,'General Basis'!$B$50)))))))))))))</f>
        <v/>
      </c>
      <c r="BI4107" s="744" t="str">
        <f t="shared" si="1435"/>
        <v/>
      </c>
      <c r="BJ4107" s="747" t="str">
        <f t="shared" si="1442"/>
        <v/>
      </c>
      <c r="BK4107" s="498" t="str">
        <f t="shared" si="1436"/>
        <v/>
      </c>
      <c r="BL4107" s="498" t="str">
        <f t="shared" si="1437"/>
        <v/>
      </c>
    </row>
    <row r="4108" spans="1:64" x14ac:dyDescent="0.25">
      <c r="A4108" s="762">
        <f t="shared" si="1438"/>
        <v>4103</v>
      </c>
      <c r="B4108" s="229"/>
      <c r="C4108" s="223"/>
      <c r="D4108" s="224"/>
      <c r="E4108" s="225"/>
      <c r="F4108" s="1036" t="str">
        <f t="shared" si="1422"/>
        <v/>
      </c>
      <c r="G4108" s="1037" t="str">
        <f t="shared" si="1439"/>
        <v/>
      </c>
      <c r="H4108" s="225"/>
      <c r="I4108" s="1013"/>
      <c r="J4108" s="1013"/>
      <c r="K4108" s="1028"/>
      <c r="L4108" s="1035" t="str">
        <f t="shared" si="1443"/>
        <v/>
      </c>
      <c r="S4108" s="498"/>
      <c r="AJ4108" s="498"/>
      <c r="AM4108" s="498">
        <f t="shared" si="1424"/>
        <v>0</v>
      </c>
      <c r="AN4108" s="498">
        <f t="shared" si="1425"/>
        <v>0</v>
      </c>
      <c r="AO4108" s="498">
        <f t="shared" si="1426"/>
        <v>0</v>
      </c>
      <c r="AP4108" s="498">
        <f t="shared" si="1423"/>
        <v>0</v>
      </c>
      <c r="AQ4108" s="498">
        <f t="shared" si="1440"/>
        <v>0</v>
      </c>
      <c r="AU4108" s="498">
        <f t="shared" si="1427"/>
        <v>0</v>
      </c>
      <c r="AV4108" s="498">
        <f t="shared" si="1428"/>
        <v>0</v>
      </c>
      <c r="AW4108" s="498">
        <f t="shared" si="1429"/>
        <v>0</v>
      </c>
      <c r="AX4108" s="498">
        <f t="shared" si="1430"/>
        <v>0</v>
      </c>
      <c r="AY4108" s="498">
        <f t="shared" si="1431"/>
        <v>0</v>
      </c>
      <c r="BB4108" s="498" t="str">
        <f t="shared" si="1432"/>
        <v/>
      </c>
      <c r="BC4108" s="743" t="str">
        <f t="shared" si="1433"/>
        <v/>
      </c>
      <c r="BD4108" s="743" t="str">
        <f t="shared" si="1434"/>
        <v/>
      </c>
      <c r="BE4108" s="743" t="str">
        <f>IF(D4108="","",VLOOKUP(D4108,'General Basis'!$J$39:$K$46,2,0))</f>
        <v/>
      </c>
      <c r="BF4108" s="744" t="str">
        <f>IF(D4108="","",VLOOKUP(D4108,'General Basis'!$J$39:$L$46,3,0))</f>
        <v/>
      </c>
      <c r="BG4108" s="744" t="str">
        <f t="shared" si="1441"/>
        <v/>
      </c>
      <c r="BH4108" s="744" t="str">
        <f>IF(G4108="","",IF(BF4108="Abu Dhabi",IF(G4108&lt;18,'General Basis'!$C$39,IF(G4108&lt;41,'General Basis'!$C$40,IF(G4108&lt;60,'General Basis'!$C$41,IF(G4108&lt;65,'General Basis'!$C$42,'General Basis'!$C$43)))),IF(G4108&lt;11,'General Basis'!$B$39,IF(G4108&lt;18,'General Basis'!$B$40,IF(G4108&lt;26,'General Basis'!$B$41,IF(G4108&lt;31,'General Basis'!$B$42,IF(G4108&lt;36,'General Basis'!$B$43,IF(G4108&lt;41,'General Basis'!$B$44,IF(G4108&lt;46,'General Basis'!$B$45,IF(G4108&lt;51,'General Basis'!$B$46,IF(G4108&lt;56,'General Basis'!$B$47,IF(G4108&lt;60,'General Basis'!$B$48,IF(G4108&lt;65,'General Basis'!$B$49,'General Basis'!$B$50)))))))))))))</f>
        <v/>
      </c>
      <c r="BI4108" s="744" t="str">
        <f t="shared" si="1435"/>
        <v/>
      </c>
      <c r="BJ4108" s="747" t="str">
        <f t="shared" si="1442"/>
        <v/>
      </c>
      <c r="BK4108" s="498" t="str">
        <f t="shared" si="1436"/>
        <v/>
      </c>
      <c r="BL4108" s="498" t="str">
        <f t="shared" si="1437"/>
        <v/>
      </c>
    </row>
    <row r="4109" spans="1:64" x14ac:dyDescent="0.25">
      <c r="A4109" s="762">
        <f t="shared" si="1438"/>
        <v>4104</v>
      </c>
      <c r="B4109" s="229"/>
      <c r="C4109" s="223"/>
      <c r="D4109" s="224"/>
      <c r="E4109" s="225"/>
      <c r="F4109" s="1036" t="str">
        <f t="shared" si="1422"/>
        <v/>
      </c>
      <c r="G4109" s="1037" t="str">
        <f t="shared" si="1439"/>
        <v/>
      </c>
      <c r="H4109" s="225"/>
      <c r="I4109" s="1013"/>
      <c r="J4109" s="1013"/>
      <c r="K4109" s="1028"/>
      <c r="L4109" s="1035" t="str">
        <f t="shared" si="1443"/>
        <v/>
      </c>
      <c r="S4109" s="498"/>
      <c r="AJ4109" s="498"/>
      <c r="AM4109" s="498">
        <f t="shared" si="1424"/>
        <v>0</v>
      </c>
      <c r="AN4109" s="498">
        <f t="shared" si="1425"/>
        <v>0</v>
      </c>
      <c r="AO4109" s="498">
        <f t="shared" si="1426"/>
        <v>0</v>
      </c>
      <c r="AP4109" s="498">
        <f t="shared" si="1423"/>
        <v>0</v>
      </c>
      <c r="AQ4109" s="498">
        <f t="shared" si="1440"/>
        <v>0</v>
      </c>
      <c r="AU4109" s="498">
        <f t="shared" si="1427"/>
        <v>0</v>
      </c>
      <c r="AV4109" s="498">
        <f t="shared" si="1428"/>
        <v>0</v>
      </c>
      <c r="AW4109" s="498">
        <f t="shared" si="1429"/>
        <v>0</v>
      </c>
      <c r="AX4109" s="498">
        <f t="shared" si="1430"/>
        <v>0</v>
      </c>
      <c r="AY4109" s="498">
        <f t="shared" si="1431"/>
        <v>0</v>
      </c>
      <c r="BB4109" s="498" t="str">
        <f t="shared" si="1432"/>
        <v/>
      </c>
      <c r="BC4109" s="743" t="str">
        <f t="shared" si="1433"/>
        <v/>
      </c>
      <c r="BD4109" s="743" t="str">
        <f t="shared" si="1434"/>
        <v/>
      </c>
      <c r="BE4109" s="743" t="str">
        <f>IF(D4109="","",VLOOKUP(D4109,'General Basis'!$J$39:$K$46,2,0))</f>
        <v/>
      </c>
      <c r="BF4109" s="744" t="str">
        <f>IF(D4109="","",VLOOKUP(D4109,'General Basis'!$J$39:$L$46,3,0))</f>
        <v/>
      </c>
      <c r="BG4109" s="744" t="str">
        <f t="shared" si="1441"/>
        <v/>
      </c>
      <c r="BH4109" s="744" t="str">
        <f>IF(G4109="","",IF(BF4109="Abu Dhabi",IF(G4109&lt;18,'General Basis'!$C$39,IF(G4109&lt;41,'General Basis'!$C$40,IF(G4109&lt;60,'General Basis'!$C$41,IF(G4109&lt;65,'General Basis'!$C$42,'General Basis'!$C$43)))),IF(G4109&lt;11,'General Basis'!$B$39,IF(G4109&lt;18,'General Basis'!$B$40,IF(G4109&lt;26,'General Basis'!$B$41,IF(G4109&lt;31,'General Basis'!$B$42,IF(G4109&lt;36,'General Basis'!$B$43,IF(G4109&lt;41,'General Basis'!$B$44,IF(G4109&lt;46,'General Basis'!$B$45,IF(G4109&lt;51,'General Basis'!$B$46,IF(G4109&lt;56,'General Basis'!$B$47,IF(G4109&lt;60,'General Basis'!$B$48,IF(G4109&lt;65,'General Basis'!$B$49,'General Basis'!$B$50)))))))))))))</f>
        <v/>
      </c>
      <c r="BI4109" s="744" t="str">
        <f t="shared" si="1435"/>
        <v/>
      </c>
      <c r="BJ4109" s="747" t="str">
        <f t="shared" si="1442"/>
        <v/>
      </c>
      <c r="BK4109" s="498" t="str">
        <f t="shared" si="1436"/>
        <v/>
      </c>
      <c r="BL4109" s="498" t="str">
        <f t="shared" si="1437"/>
        <v/>
      </c>
    </row>
    <row r="4110" spans="1:64" x14ac:dyDescent="0.25">
      <c r="A4110" s="762">
        <f t="shared" si="1438"/>
        <v>4105</v>
      </c>
      <c r="B4110" s="229"/>
      <c r="C4110" s="223"/>
      <c r="D4110" s="224"/>
      <c r="E4110" s="225"/>
      <c r="F4110" s="1036" t="str">
        <f t="shared" si="1422"/>
        <v/>
      </c>
      <c r="G4110" s="1037" t="str">
        <f t="shared" si="1439"/>
        <v/>
      </c>
      <c r="H4110" s="225"/>
      <c r="I4110" s="1013"/>
      <c r="J4110" s="1013"/>
      <c r="K4110" s="1028"/>
      <c r="L4110" s="1035" t="str">
        <f t="shared" si="1443"/>
        <v/>
      </c>
      <c r="S4110" s="498"/>
      <c r="AJ4110" s="498"/>
      <c r="AM4110" s="498">
        <f t="shared" si="1424"/>
        <v>0</v>
      </c>
      <c r="AN4110" s="498">
        <f t="shared" si="1425"/>
        <v>0</v>
      </c>
      <c r="AO4110" s="498">
        <f t="shared" si="1426"/>
        <v>0</v>
      </c>
      <c r="AP4110" s="498">
        <f t="shared" si="1423"/>
        <v>0</v>
      </c>
      <c r="AQ4110" s="498">
        <f t="shared" si="1440"/>
        <v>0</v>
      </c>
      <c r="AU4110" s="498">
        <f t="shared" si="1427"/>
        <v>0</v>
      </c>
      <c r="AV4110" s="498">
        <f t="shared" si="1428"/>
        <v>0</v>
      </c>
      <c r="AW4110" s="498">
        <f t="shared" si="1429"/>
        <v>0</v>
      </c>
      <c r="AX4110" s="498">
        <f t="shared" si="1430"/>
        <v>0</v>
      </c>
      <c r="AY4110" s="498">
        <f t="shared" si="1431"/>
        <v>0</v>
      </c>
      <c r="BB4110" s="498" t="str">
        <f t="shared" si="1432"/>
        <v/>
      </c>
      <c r="BC4110" s="743" t="str">
        <f t="shared" si="1433"/>
        <v/>
      </c>
      <c r="BD4110" s="743" t="str">
        <f t="shared" si="1434"/>
        <v/>
      </c>
      <c r="BE4110" s="743" t="str">
        <f>IF(D4110="","",VLOOKUP(D4110,'General Basis'!$J$39:$K$46,2,0))</f>
        <v/>
      </c>
      <c r="BF4110" s="744" t="str">
        <f>IF(D4110="","",VLOOKUP(D4110,'General Basis'!$J$39:$L$46,3,0))</f>
        <v/>
      </c>
      <c r="BG4110" s="744" t="str">
        <f t="shared" si="1441"/>
        <v/>
      </c>
      <c r="BH4110" s="744" t="str">
        <f>IF(G4110="","",IF(BF4110="Abu Dhabi",IF(G4110&lt;18,'General Basis'!$C$39,IF(G4110&lt;41,'General Basis'!$C$40,IF(G4110&lt;60,'General Basis'!$C$41,IF(G4110&lt;65,'General Basis'!$C$42,'General Basis'!$C$43)))),IF(G4110&lt;11,'General Basis'!$B$39,IF(G4110&lt;18,'General Basis'!$B$40,IF(G4110&lt;26,'General Basis'!$B$41,IF(G4110&lt;31,'General Basis'!$B$42,IF(G4110&lt;36,'General Basis'!$B$43,IF(G4110&lt;41,'General Basis'!$B$44,IF(G4110&lt;46,'General Basis'!$B$45,IF(G4110&lt;51,'General Basis'!$B$46,IF(G4110&lt;56,'General Basis'!$B$47,IF(G4110&lt;60,'General Basis'!$B$48,IF(G4110&lt;65,'General Basis'!$B$49,'General Basis'!$B$50)))))))))))))</f>
        <v/>
      </c>
      <c r="BI4110" s="744" t="str">
        <f t="shared" si="1435"/>
        <v/>
      </c>
      <c r="BJ4110" s="747" t="str">
        <f t="shared" si="1442"/>
        <v/>
      </c>
      <c r="BK4110" s="498" t="str">
        <f t="shared" si="1436"/>
        <v/>
      </c>
      <c r="BL4110" s="498" t="str">
        <f t="shared" si="1437"/>
        <v/>
      </c>
    </row>
    <row r="4111" spans="1:64" x14ac:dyDescent="0.25">
      <c r="A4111" s="762">
        <f t="shared" si="1438"/>
        <v>4106</v>
      </c>
      <c r="B4111" s="229"/>
      <c r="C4111" s="223"/>
      <c r="D4111" s="224"/>
      <c r="E4111" s="225"/>
      <c r="F4111" s="1036" t="str">
        <f t="shared" si="1422"/>
        <v/>
      </c>
      <c r="G4111" s="1037" t="str">
        <f t="shared" si="1439"/>
        <v/>
      </c>
      <c r="H4111" s="225"/>
      <c r="I4111" s="1013"/>
      <c r="J4111" s="1013"/>
      <c r="K4111" s="1028"/>
      <c r="L4111" s="1035" t="str">
        <f t="shared" si="1443"/>
        <v/>
      </c>
      <c r="S4111" s="498"/>
      <c r="AJ4111" s="498"/>
      <c r="AM4111" s="498">
        <f t="shared" si="1424"/>
        <v>0</v>
      </c>
      <c r="AN4111" s="498">
        <f t="shared" si="1425"/>
        <v>0</v>
      </c>
      <c r="AO4111" s="498">
        <f t="shared" si="1426"/>
        <v>0</v>
      </c>
      <c r="AP4111" s="498">
        <f t="shared" si="1423"/>
        <v>0</v>
      </c>
      <c r="AQ4111" s="498">
        <f t="shared" si="1440"/>
        <v>0</v>
      </c>
      <c r="AU4111" s="498">
        <f t="shared" si="1427"/>
        <v>0</v>
      </c>
      <c r="AV4111" s="498">
        <f t="shared" si="1428"/>
        <v>0</v>
      </c>
      <c r="AW4111" s="498">
        <f t="shared" si="1429"/>
        <v>0</v>
      </c>
      <c r="AX4111" s="498">
        <f t="shared" si="1430"/>
        <v>0</v>
      </c>
      <c r="AY4111" s="498">
        <f t="shared" si="1431"/>
        <v>0</v>
      </c>
      <c r="BB4111" s="498" t="str">
        <f t="shared" si="1432"/>
        <v/>
      </c>
      <c r="BC4111" s="743" t="str">
        <f t="shared" si="1433"/>
        <v/>
      </c>
      <c r="BD4111" s="743" t="str">
        <f t="shared" si="1434"/>
        <v/>
      </c>
      <c r="BE4111" s="743" t="str">
        <f>IF(D4111="","",VLOOKUP(D4111,'General Basis'!$J$39:$K$46,2,0))</f>
        <v/>
      </c>
      <c r="BF4111" s="744" t="str">
        <f>IF(D4111="","",VLOOKUP(D4111,'General Basis'!$J$39:$L$46,3,0))</f>
        <v/>
      </c>
      <c r="BG4111" s="744" t="str">
        <f t="shared" si="1441"/>
        <v/>
      </c>
      <c r="BH4111" s="744" t="str">
        <f>IF(G4111="","",IF(BF4111="Abu Dhabi",IF(G4111&lt;18,'General Basis'!$C$39,IF(G4111&lt;41,'General Basis'!$C$40,IF(G4111&lt;60,'General Basis'!$C$41,IF(G4111&lt;65,'General Basis'!$C$42,'General Basis'!$C$43)))),IF(G4111&lt;11,'General Basis'!$B$39,IF(G4111&lt;18,'General Basis'!$B$40,IF(G4111&lt;26,'General Basis'!$B$41,IF(G4111&lt;31,'General Basis'!$B$42,IF(G4111&lt;36,'General Basis'!$B$43,IF(G4111&lt;41,'General Basis'!$B$44,IF(G4111&lt;46,'General Basis'!$B$45,IF(G4111&lt;51,'General Basis'!$B$46,IF(G4111&lt;56,'General Basis'!$B$47,IF(G4111&lt;60,'General Basis'!$B$48,IF(G4111&lt;65,'General Basis'!$B$49,'General Basis'!$B$50)))))))))))))</f>
        <v/>
      </c>
      <c r="BI4111" s="744" t="str">
        <f t="shared" si="1435"/>
        <v/>
      </c>
      <c r="BJ4111" s="747" t="str">
        <f t="shared" si="1442"/>
        <v/>
      </c>
      <c r="BK4111" s="498" t="str">
        <f t="shared" si="1436"/>
        <v/>
      </c>
      <c r="BL4111" s="498" t="str">
        <f t="shared" si="1437"/>
        <v/>
      </c>
    </row>
    <row r="4112" spans="1:64" x14ac:dyDescent="0.25">
      <c r="A4112" s="762">
        <f t="shared" si="1438"/>
        <v>4107</v>
      </c>
      <c r="B4112" s="229"/>
      <c r="C4112" s="223"/>
      <c r="D4112" s="224"/>
      <c r="E4112" s="225"/>
      <c r="F4112" s="1036" t="str">
        <f t="shared" ref="F4112:F4175" si="1444">IF(C4112="","",IF($B4112="","",((YEAR($F$3)-YEAR($B4112))+(MONTH($F$3)-MONTH($B4112))/12+(DAY($F$3)-DAY($B4112))/(DATE(YEAR($F$3),12,31)-DATE(YEAR($F$3),1,1)+1))))</f>
        <v/>
      </c>
      <c r="G4112" s="1037" t="str">
        <f t="shared" si="1439"/>
        <v/>
      </c>
      <c r="H4112" s="225"/>
      <c r="I4112" s="1013"/>
      <c r="J4112" s="1013"/>
      <c r="K4112" s="1028"/>
      <c r="L4112" s="1035" t="str">
        <f t="shared" si="1443"/>
        <v/>
      </c>
      <c r="S4112" s="498"/>
      <c r="AJ4112" s="498"/>
      <c r="AM4112" s="498">
        <f t="shared" si="1424"/>
        <v>0</v>
      </c>
      <c r="AN4112" s="498">
        <f t="shared" si="1425"/>
        <v>0</v>
      </c>
      <c r="AO4112" s="498">
        <f t="shared" si="1426"/>
        <v>0</v>
      </c>
      <c r="AP4112" s="498">
        <f t="shared" si="1423"/>
        <v>0</v>
      </c>
      <c r="AQ4112" s="498">
        <f t="shared" si="1440"/>
        <v>0</v>
      </c>
      <c r="AU4112" s="498">
        <f t="shared" si="1427"/>
        <v>0</v>
      </c>
      <c r="AV4112" s="498">
        <f t="shared" si="1428"/>
        <v>0</v>
      </c>
      <c r="AW4112" s="498">
        <f t="shared" si="1429"/>
        <v>0</v>
      </c>
      <c r="AX4112" s="498">
        <f t="shared" si="1430"/>
        <v>0</v>
      </c>
      <c r="AY4112" s="498">
        <f t="shared" si="1431"/>
        <v>0</v>
      </c>
      <c r="BB4112" s="498" t="str">
        <f t="shared" si="1432"/>
        <v/>
      </c>
      <c r="BC4112" s="743" t="str">
        <f t="shared" si="1433"/>
        <v/>
      </c>
      <c r="BD4112" s="743" t="str">
        <f t="shared" si="1434"/>
        <v/>
      </c>
      <c r="BE4112" s="743" t="str">
        <f>IF(D4112="","",VLOOKUP(D4112,'General Basis'!$J$39:$K$46,2,0))</f>
        <v/>
      </c>
      <c r="BF4112" s="744" t="str">
        <f>IF(D4112="","",VLOOKUP(D4112,'General Basis'!$J$39:$L$46,3,0))</f>
        <v/>
      </c>
      <c r="BG4112" s="744" t="str">
        <f t="shared" si="1441"/>
        <v/>
      </c>
      <c r="BH4112" s="744" t="str">
        <f>IF(G4112="","",IF(BF4112="Abu Dhabi",IF(G4112&lt;18,'General Basis'!$C$39,IF(G4112&lt;41,'General Basis'!$C$40,IF(G4112&lt;60,'General Basis'!$C$41,IF(G4112&lt;65,'General Basis'!$C$42,'General Basis'!$C$43)))),IF(G4112&lt;11,'General Basis'!$B$39,IF(G4112&lt;18,'General Basis'!$B$40,IF(G4112&lt;26,'General Basis'!$B$41,IF(G4112&lt;31,'General Basis'!$B$42,IF(G4112&lt;36,'General Basis'!$B$43,IF(G4112&lt;41,'General Basis'!$B$44,IF(G4112&lt;46,'General Basis'!$B$45,IF(G4112&lt;51,'General Basis'!$B$46,IF(G4112&lt;56,'General Basis'!$B$47,IF(G4112&lt;60,'General Basis'!$B$48,IF(G4112&lt;65,'General Basis'!$B$49,'General Basis'!$B$50)))))))))))))</f>
        <v/>
      </c>
      <c r="BI4112" s="744" t="str">
        <f t="shared" si="1435"/>
        <v/>
      </c>
      <c r="BJ4112" s="747" t="str">
        <f t="shared" si="1442"/>
        <v/>
      </c>
      <c r="BK4112" s="498" t="str">
        <f t="shared" si="1436"/>
        <v/>
      </c>
      <c r="BL4112" s="498" t="str">
        <f t="shared" si="1437"/>
        <v/>
      </c>
    </row>
    <row r="4113" spans="1:64" x14ac:dyDescent="0.25">
      <c r="A4113" s="762">
        <f t="shared" si="1438"/>
        <v>4108</v>
      </c>
      <c r="B4113" s="229"/>
      <c r="C4113" s="223"/>
      <c r="D4113" s="224"/>
      <c r="E4113" s="225"/>
      <c r="F4113" s="1036" t="str">
        <f t="shared" si="1444"/>
        <v/>
      </c>
      <c r="G4113" s="1037" t="str">
        <f t="shared" si="1439"/>
        <v/>
      </c>
      <c r="H4113" s="225"/>
      <c r="I4113" s="1013"/>
      <c r="J4113" s="1013"/>
      <c r="K4113" s="1028"/>
      <c r="L4113" s="1035" t="str">
        <f t="shared" si="1443"/>
        <v/>
      </c>
      <c r="S4113" s="498"/>
      <c r="AJ4113" s="498"/>
      <c r="AM4113" s="498">
        <f t="shared" si="1424"/>
        <v>0</v>
      </c>
      <c r="AN4113" s="498">
        <f t="shared" si="1425"/>
        <v>0</v>
      </c>
      <c r="AO4113" s="498">
        <f t="shared" si="1426"/>
        <v>0</v>
      </c>
      <c r="AP4113" s="498">
        <f t="shared" si="1423"/>
        <v>0</v>
      </c>
      <c r="AQ4113" s="498">
        <f t="shared" si="1440"/>
        <v>0</v>
      </c>
      <c r="AU4113" s="498">
        <f t="shared" si="1427"/>
        <v>0</v>
      </c>
      <c r="AV4113" s="498">
        <f t="shared" si="1428"/>
        <v>0</v>
      </c>
      <c r="AW4113" s="498">
        <f t="shared" si="1429"/>
        <v>0</v>
      </c>
      <c r="AX4113" s="498">
        <f t="shared" si="1430"/>
        <v>0</v>
      </c>
      <c r="AY4113" s="498">
        <f t="shared" si="1431"/>
        <v>0</v>
      </c>
      <c r="BB4113" s="498" t="str">
        <f t="shared" si="1432"/>
        <v/>
      </c>
      <c r="BC4113" s="743" t="str">
        <f t="shared" si="1433"/>
        <v/>
      </c>
      <c r="BD4113" s="743" t="str">
        <f t="shared" si="1434"/>
        <v/>
      </c>
      <c r="BE4113" s="743" t="str">
        <f>IF(D4113="","",VLOOKUP(D4113,'General Basis'!$J$39:$K$46,2,0))</f>
        <v/>
      </c>
      <c r="BF4113" s="744" t="str">
        <f>IF(D4113="","",VLOOKUP(D4113,'General Basis'!$J$39:$L$46,3,0))</f>
        <v/>
      </c>
      <c r="BG4113" s="744" t="str">
        <f t="shared" si="1441"/>
        <v/>
      </c>
      <c r="BH4113" s="744" t="str">
        <f>IF(G4113="","",IF(BF4113="Abu Dhabi",IF(G4113&lt;18,'General Basis'!$C$39,IF(G4113&lt;41,'General Basis'!$C$40,IF(G4113&lt;60,'General Basis'!$C$41,IF(G4113&lt;65,'General Basis'!$C$42,'General Basis'!$C$43)))),IF(G4113&lt;11,'General Basis'!$B$39,IF(G4113&lt;18,'General Basis'!$B$40,IF(G4113&lt;26,'General Basis'!$B$41,IF(G4113&lt;31,'General Basis'!$B$42,IF(G4113&lt;36,'General Basis'!$B$43,IF(G4113&lt;41,'General Basis'!$B$44,IF(G4113&lt;46,'General Basis'!$B$45,IF(G4113&lt;51,'General Basis'!$B$46,IF(G4113&lt;56,'General Basis'!$B$47,IF(G4113&lt;60,'General Basis'!$B$48,IF(G4113&lt;65,'General Basis'!$B$49,'General Basis'!$B$50)))))))))))))</f>
        <v/>
      </c>
      <c r="BI4113" s="744" t="str">
        <f t="shared" si="1435"/>
        <v/>
      </c>
      <c r="BJ4113" s="747" t="str">
        <f t="shared" si="1442"/>
        <v/>
      </c>
      <c r="BK4113" s="498" t="str">
        <f t="shared" si="1436"/>
        <v/>
      </c>
      <c r="BL4113" s="498" t="str">
        <f t="shared" si="1437"/>
        <v/>
      </c>
    </row>
    <row r="4114" spans="1:64" x14ac:dyDescent="0.25">
      <c r="A4114" s="762">
        <f t="shared" si="1438"/>
        <v>4109</v>
      </c>
      <c r="B4114" s="229"/>
      <c r="C4114" s="223"/>
      <c r="D4114" s="224"/>
      <c r="E4114" s="225"/>
      <c r="F4114" s="1036" t="str">
        <f t="shared" si="1444"/>
        <v/>
      </c>
      <c r="G4114" s="1037" t="str">
        <f t="shared" si="1439"/>
        <v/>
      </c>
      <c r="H4114" s="225"/>
      <c r="I4114" s="1013"/>
      <c r="J4114" s="1013"/>
      <c r="K4114" s="1028"/>
      <c r="L4114" s="1035" t="str">
        <f t="shared" si="1443"/>
        <v/>
      </c>
      <c r="S4114" s="498"/>
      <c r="AJ4114" s="498"/>
      <c r="AM4114" s="498">
        <f t="shared" si="1424"/>
        <v>0</v>
      </c>
      <c r="AN4114" s="498">
        <f t="shared" si="1425"/>
        <v>0</v>
      </c>
      <c r="AO4114" s="498">
        <f t="shared" si="1426"/>
        <v>0</v>
      </c>
      <c r="AP4114" s="498">
        <f t="shared" si="1423"/>
        <v>0</v>
      </c>
      <c r="AQ4114" s="498">
        <f t="shared" si="1440"/>
        <v>0</v>
      </c>
      <c r="AU4114" s="498">
        <f t="shared" si="1427"/>
        <v>0</v>
      </c>
      <c r="AV4114" s="498">
        <f t="shared" si="1428"/>
        <v>0</v>
      </c>
      <c r="AW4114" s="498">
        <f t="shared" si="1429"/>
        <v>0</v>
      </c>
      <c r="AX4114" s="498">
        <f t="shared" si="1430"/>
        <v>0</v>
      </c>
      <c r="AY4114" s="498">
        <f t="shared" si="1431"/>
        <v>0</v>
      </c>
      <c r="BB4114" s="498" t="str">
        <f t="shared" si="1432"/>
        <v/>
      </c>
      <c r="BC4114" s="743" t="str">
        <f t="shared" si="1433"/>
        <v/>
      </c>
      <c r="BD4114" s="743" t="str">
        <f t="shared" si="1434"/>
        <v/>
      </c>
      <c r="BE4114" s="743" t="str">
        <f>IF(D4114="","",VLOOKUP(D4114,'General Basis'!$J$39:$K$46,2,0))</f>
        <v/>
      </c>
      <c r="BF4114" s="744" t="str">
        <f>IF(D4114="","",VLOOKUP(D4114,'General Basis'!$J$39:$L$46,3,0))</f>
        <v/>
      </c>
      <c r="BG4114" s="744" t="str">
        <f t="shared" si="1441"/>
        <v/>
      </c>
      <c r="BH4114" s="744" t="str">
        <f>IF(G4114="","",IF(BF4114="Abu Dhabi",IF(G4114&lt;18,'General Basis'!$C$39,IF(G4114&lt;41,'General Basis'!$C$40,IF(G4114&lt;60,'General Basis'!$C$41,IF(G4114&lt;65,'General Basis'!$C$42,'General Basis'!$C$43)))),IF(G4114&lt;11,'General Basis'!$B$39,IF(G4114&lt;18,'General Basis'!$B$40,IF(G4114&lt;26,'General Basis'!$B$41,IF(G4114&lt;31,'General Basis'!$B$42,IF(G4114&lt;36,'General Basis'!$B$43,IF(G4114&lt;41,'General Basis'!$B$44,IF(G4114&lt;46,'General Basis'!$B$45,IF(G4114&lt;51,'General Basis'!$B$46,IF(G4114&lt;56,'General Basis'!$B$47,IF(G4114&lt;60,'General Basis'!$B$48,IF(G4114&lt;65,'General Basis'!$B$49,'General Basis'!$B$50)))))))))))))</f>
        <v/>
      </c>
      <c r="BI4114" s="744" t="str">
        <f t="shared" si="1435"/>
        <v/>
      </c>
      <c r="BJ4114" s="747" t="str">
        <f t="shared" si="1442"/>
        <v/>
      </c>
      <c r="BK4114" s="498" t="str">
        <f t="shared" si="1436"/>
        <v/>
      </c>
      <c r="BL4114" s="498" t="str">
        <f t="shared" si="1437"/>
        <v/>
      </c>
    </row>
    <row r="4115" spans="1:64" x14ac:dyDescent="0.25">
      <c r="A4115" s="762">
        <f t="shared" si="1438"/>
        <v>4110</v>
      </c>
      <c r="B4115" s="229"/>
      <c r="C4115" s="223"/>
      <c r="D4115" s="224"/>
      <c r="E4115" s="225"/>
      <c r="F4115" s="1036" t="str">
        <f t="shared" si="1444"/>
        <v/>
      </c>
      <c r="G4115" s="1037" t="str">
        <f t="shared" si="1439"/>
        <v/>
      </c>
      <c r="H4115" s="225"/>
      <c r="I4115" s="1013"/>
      <c r="J4115" s="1013"/>
      <c r="K4115" s="1028"/>
      <c r="L4115" s="1035" t="str">
        <f t="shared" si="1443"/>
        <v/>
      </c>
      <c r="S4115" s="498"/>
      <c r="AJ4115" s="498"/>
      <c r="AM4115" s="498">
        <f t="shared" si="1424"/>
        <v>0</v>
      </c>
      <c r="AN4115" s="498">
        <f t="shared" si="1425"/>
        <v>0</v>
      </c>
      <c r="AO4115" s="498">
        <f t="shared" si="1426"/>
        <v>0</v>
      </c>
      <c r="AP4115" s="498">
        <f t="shared" ref="AP4115:AP4178" si="1445">IF(ISBLANK($B4115),0,IF(OR($C4115="M",$C4115="F"),0,1))</f>
        <v>0</v>
      </c>
      <c r="AQ4115" s="498">
        <f t="shared" si="1440"/>
        <v>0</v>
      </c>
      <c r="AU4115" s="498">
        <f t="shared" si="1427"/>
        <v>0</v>
      </c>
      <c r="AV4115" s="498">
        <f t="shared" si="1428"/>
        <v>0</v>
      </c>
      <c r="AW4115" s="498">
        <f t="shared" si="1429"/>
        <v>0</v>
      </c>
      <c r="AX4115" s="498">
        <f t="shared" si="1430"/>
        <v>0</v>
      </c>
      <c r="AY4115" s="498">
        <f t="shared" si="1431"/>
        <v>0</v>
      </c>
      <c r="BB4115" s="498" t="str">
        <f t="shared" si="1432"/>
        <v/>
      </c>
      <c r="BC4115" s="743" t="str">
        <f t="shared" si="1433"/>
        <v/>
      </c>
      <c r="BD4115" s="743" t="str">
        <f t="shared" si="1434"/>
        <v/>
      </c>
      <c r="BE4115" s="743" t="str">
        <f>IF(D4115="","",VLOOKUP(D4115,'General Basis'!$J$39:$K$46,2,0))</f>
        <v/>
      </c>
      <c r="BF4115" s="744" t="str">
        <f>IF(D4115="","",VLOOKUP(D4115,'General Basis'!$J$39:$L$46,3,0))</f>
        <v/>
      </c>
      <c r="BG4115" s="744" t="str">
        <f t="shared" si="1441"/>
        <v/>
      </c>
      <c r="BH4115" s="744" t="str">
        <f>IF(G4115="","",IF(BF4115="Abu Dhabi",IF(G4115&lt;18,'General Basis'!$C$39,IF(G4115&lt;41,'General Basis'!$C$40,IF(G4115&lt;60,'General Basis'!$C$41,IF(G4115&lt;65,'General Basis'!$C$42,'General Basis'!$C$43)))),IF(G4115&lt;11,'General Basis'!$B$39,IF(G4115&lt;18,'General Basis'!$B$40,IF(G4115&lt;26,'General Basis'!$B$41,IF(G4115&lt;31,'General Basis'!$B$42,IF(G4115&lt;36,'General Basis'!$B$43,IF(G4115&lt;41,'General Basis'!$B$44,IF(G4115&lt;46,'General Basis'!$B$45,IF(G4115&lt;51,'General Basis'!$B$46,IF(G4115&lt;56,'General Basis'!$B$47,IF(G4115&lt;60,'General Basis'!$B$48,IF(G4115&lt;65,'General Basis'!$B$49,'General Basis'!$B$50)))))))))))))</f>
        <v/>
      </c>
      <c r="BI4115" s="744" t="str">
        <f t="shared" si="1435"/>
        <v/>
      </c>
      <c r="BJ4115" s="747" t="str">
        <f t="shared" si="1442"/>
        <v/>
      </c>
      <c r="BK4115" s="498" t="str">
        <f t="shared" si="1436"/>
        <v/>
      </c>
      <c r="BL4115" s="498" t="str">
        <f t="shared" si="1437"/>
        <v/>
      </c>
    </row>
    <row r="4116" spans="1:64" x14ac:dyDescent="0.25">
      <c r="A4116" s="762">
        <f t="shared" si="1438"/>
        <v>4111</v>
      </c>
      <c r="B4116" s="229"/>
      <c r="C4116" s="223"/>
      <c r="D4116" s="224"/>
      <c r="E4116" s="225"/>
      <c r="F4116" s="1036" t="str">
        <f t="shared" si="1444"/>
        <v/>
      </c>
      <c r="G4116" s="1037" t="str">
        <f t="shared" si="1439"/>
        <v/>
      </c>
      <c r="H4116" s="225"/>
      <c r="I4116" s="1013"/>
      <c r="J4116" s="1013"/>
      <c r="K4116" s="1028"/>
      <c r="L4116" s="1035" t="str">
        <f t="shared" si="1443"/>
        <v/>
      </c>
      <c r="S4116" s="498"/>
      <c r="AJ4116" s="498"/>
      <c r="AM4116" s="498">
        <f t="shared" si="1424"/>
        <v>0</v>
      </c>
      <c r="AN4116" s="498">
        <f t="shared" si="1425"/>
        <v>0</v>
      </c>
      <c r="AO4116" s="498">
        <f t="shared" si="1426"/>
        <v>0</v>
      </c>
      <c r="AP4116" s="498">
        <f t="shared" si="1445"/>
        <v>0</v>
      </c>
      <c r="AQ4116" s="498">
        <f t="shared" si="1440"/>
        <v>0</v>
      </c>
      <c r="AU4116" s="498">
        <f t="shared" si="1427"/>
        <v>0</v>
      </c>
      <c r="AV4116" s="498">
        <f t="shared" si="1428"/>
        <v>0</v>
      </c>
      <c r="AW4116" s="498">
        <f t="shared" si="1429"/>
        <v>0</v>
      </c>
      <c r="AX4116" s="498">
        <f t="shared" si="1430"/>
        <v>0</v>
      </c>
      <c r="AY4116" s="498">
        <f t="shared" si="1431"/>
        <v>0</v>
      </c>
      <c r="BB4116" s="498" t="str">
        <f t="shared" si="1432"/>
        <v/>
      </c>
      <c r="BC4116" s="743" t="str">
        <f t="shared" si="1433"/>
        <v/>
      </c>
      <c r="BD4116" s="743" t="str">
        <f t="shared" si="1434"/>
        <v/>
      </c>
      <c r="BE4116" s="743" t="str">
        <f>IF(D4116="","",VLOOKUP(D4116,'General Basis'!$J$39:$K$46,2,0))</f>
        <v/>
      </c>
      <c r="BF4116" s="744" t="str">
        <f>IF(D4116="","",VLOOKUP(D4116,'General Basis'!$J$39:$L$46,3,0))</f>
        <v/>
      </c>
      <c r="BG4116" s="744" t="str">
        <f t="shared" si="1441"/>
        <v/>
      </c>
      <c r="BH4116" s="744" t="str">
        <f>IF(G4116="","",IF(BF4116="Abu Dhabi",IF(G4116&lt;18,'General Basis'!$C$39,IF(G4116&lt;41,'General Basis'!$C$40,IF(G4116&lt;60,'General Basis'!$C$41,IF(G4116&lt;65,'General Basis'!$C$42,'General Basis'!$C$43)))),IF(G4116&lt;11,'General Basis'!$B$39,IF(G4116&lt;18,'General Basis'!$B$40,IF(G4116&lt;26,'General Basis'!$B$41,IF(G4116&lt;31,'General Basis'!$B$42,IF(G4116&lt;36,'General Basis'!$B$43,IF(G4116&lt;41,'General Basis'!$B$44,IF(G4116&lt;46,'General Basis'!$B$45,IF(G4116&lt;51,'General Basis'!$B$46,IF(G4116&lt;56,'General Basis'!$B$47,IF(G4116&lt;60,'General Basis'!$B$48,IF(G4116&lt;65,'General Basis'!$B$49,'General Basis'!$B$50)))))))))))))</f>
        <v/>
      </c>
      <c r="BI4116" s="744" t="str">
        <f t="shared" si="1435"/>
        <v/>
      </c>
      <c r="BJ4116" s="747" t="str">
        <f t="shared" si="1442"/>
        <v/>
      </c>
      <c r="BK4116" s="498" t="str">
        <f t="shared" si="1436"/>
        <v/>
      </c>
      <c r="BL4116" s="498" t="str">
        <f t="shared" si="1437"/>
        <v/>
      </c>
    </row>
    <row r="4117" spans="1:64" x14ac:dyDescent="0.25">
      <c r="A4117" s="762">
        <f t="shared" si="1438"/>
        <v>4112</v>
      </c>
      <c r="B4117" s="229"/>
      <c r="C4117" s="223"/>
      <c r="D4117" s="224"/>
      <c r="E4117" s="225"/>
      <c r="F4117" s="1036" t="str">
        <f t="shared" si="1444"/>
        <v/>
      </c>
      <c r="G4117" s="1037" t="str">
        <f t="shared" si="1439"/>
        <v/>
      </c>
      <c r="H4117" s="225"/>
      <c r="I4117" s="1013"/>
      <c r="J4117" s="1013"/>
      <c r="K4117" s="1028"/>
      <c r="L4117" s="1035" t="str">
        <f t="shared" si="1443"/>
        <v/>
      </c>
      <c r="S4117" s="498"/>
      <c r="AJ4117" s="498"/>
      <c r="AM4117" s="498">
        <f t="shared" si="1424"/>
        <v>0</v>
      </c>
      <c r="AN4117" s="498">
        <f t="shared" si="1425"/>
        <v>0</v>
      </c>
      <c r="AO4117" s="498">
        <f t="shared" si="1426"/>
        <v>0</v>
      </c>
      <c r="AP4117" s="498">
        <f t="shared" si="1445"/>
        <v>0</v>
      </c>
      <c r="AQ4117" s="498">
        <f t="shared" si="1440"/>
        <v>0</v>
      </c>
      <c r="AU4117" s="498">
        <f t="shared" si="1427"/>
        <v>0</v>
      </c>
      <c r="AV4117" s="498">
        <f t="shared" si="1428"/>
        <v>0</v>
      </c>
      <c r="AW4117" s="498">
        <f t="shared" si="1429"/>
        <v>0</v>
      </c>
      <c r="AX4117" s="498">
        <f t="shared" si="1430"/>
        <v>0</v>
      </c>
      <c r="AY4117" s="498">
        <f t="shared" si="1431"/>
        <v>0</v>
      </c>
      <c r="BB4117" s="498" t="str">
        <f t="shared" si="1432"/>
        <v/>
      </c>
      <c r="BC4117" s="743" t="str">
        <f t="shared" si="1433"/>
        <v/>
      </c>
      <c r="BD4117" s="743" t="str">
        <f t="shared" si="1434"/>
        <v/>
      </c>
      <c r="BE4117" s="743" t="str">
        <f>IF(D4117="","",VLOOKUP(D4117,'General Basis'!$J$39:$K$46,2,0))</f>
        <v/>
      </c>
      <c r="BF4117" s="744" t="str">
        <f>IF(D4117="","",VLOOKUP(D4117,'General Basis'!$J$39:$L$46,3,0))</f>
        <v/>
      </c>
      <c r="BG4117" s="744" t="str">
        <f t="shared" si="1441"/>
        <v/>
      </c>
      <c r="BH4117" s="744" t="str">
        <f>IF(G4117="","",IF(BF4117="Abu Dhabi",IF(G4117&lt;18,'General Basis'!$C$39,IF(G4117&lt;41,'General Basis'!$C$40,IF(G4117&lt;60,'General Basis'!$C$41,IF(G4117&lt;65,'General Basis'!$C$42,'General Basis'!$C$43)))),IF(G4117&lt;11,'General Basis'!$B$39,IF(G4117&lt;18,'General Basis'!$B$40,IF(G4117&lt;26,'General Basis'!$B$41,IF(G4117&lt;31,'General Basis'!$B$42,IF(G4117&lt;36,'General Basis'!$B$43,IF(G4117&lt;41,'General Basis'!$B$44,IF(G4117&lt;46,'General Basis'!$B$45,IF(G4117&lt;51,'General Basis'!$B$46,IF(G4117&lt;56,'General Basis'!$B$47,IF(G4117&lt;60,'General Basis'!$B$48,IF(G4117&lt;65,'General Basis'!$B$49,'General Basis'!$B$50)))))))))))))</f>
        <v/>
      </c>
      <c r="BI4117" s="744" t="str">
        <f t="shared" si="1435"/>
        <v/>
      </c>
      <c r="BJ4117" s="747" t="str">
        <f t="shared" si="1442"/>
        <v/>
      </c>
      <c r="BK4117" s="498" t="str">
        <f t="shared" si="1436"/>
        <v/>
      </c>
      <c r="BL4117" s="498" t="str">
        <f t="shared" si="1437"/>
        <v/>
      </c>
    </row>
    <row r="4118" spans="1:64" x14ac:dyDescent="0.25">
      <c r="A4118" s="762">
        <f t="shared" si="1438"/>
        <v>4113</v>
      </c>
      <c r="B4118" s="229"/>
      <c r="C4118" s="223"/>
      <c r="D4118" s="224"/>
      <c r="E4118" s="225"/>
      <c r="F4118" s="1036" t="str">
        <f t="shared" si="1444"/>
        <v/>
      </c>
      <c r="G4118" s="1037" t="str">
        <f t="shared" si="1439"/>
        <v/>
      </c>
      <c r="H4118" s="225"/>
      <c r="I4118" s="1013"/>
      <c r="J4118" s="1013"/>
      <c r="K4118" s="1028"/>
      <c r="L4118" s="1035" t="str">
        <f t="shared" si="1443"/>
        <v/>
      </c>
      <c r="S4118" s="498"/>
      <c r="AJ4118" s="498"/>
      <c r="AM4118" s="498">
        <f t="shared" si="1424"/>
        <v>0</v>
      </c>
      <c r="AN4118" s="498">
        <f t="shared" si="1425"/>
        <v>0</v>
      </c>
      <c r="AO4118" s="498">
        <f t="shared" si="1426"/>
        <v>0</v>
      </c>
      <c r="AP4118" s="498">
        <f t="shared" si="1445"/>
        <v>0</v>
      </c>
      <c r="AQ4118" s="498">
        <f t="shared" si="1440"/>
        <v>0</v>
      </c>
      <c r="AU4118" s="498">
        <f t="shared" si="1427"/>
        <v>0</v>
      </c>
      <c r="AV4118" s="498">
        <f t="shared" si="1428"/>
        <v>0</v>
      </c>
      <c r="AW4118" s="498">
        <f t="shared" si="1429"/>
        <v>0</v>
      </c>
      <c r="AX4118" s="498">
        <f t="shared" si="1430"/>
        <v>0</v>
      </c>
      <c r="AY4118" s="498">
        <f t="shared" si="1431"/>
        <v>0</v>
      </c>
      <c r="BB4118" s="498" t="str">
        <f t="shared" si="1432"/>
        <v/>
      </c>
      <c r="BC4118" s="743" t="str">
        <f t="shared" si="1433"/>
        <v/>
      </c>
      <c r="BD4118" s="743" t="str">
        <f t="shared" si="1434"/>
        <v/>
      </c>
      <c r="BE4118" s="743" t="str">
        <f>IF(D4118="","",VLOOKUP(D4118,'General Basis'!$J$39:$K$46,2,0))</f>
        <v/>
      </c>
      <c r="BF4118" s="744" t="str">
        <f>IF(D4118="","",VLOOKUP(D4118,'General Basis'!$J$39:$L$46,3,0))</f>
        <v/>
      </c>
      <c r="BG4118" s="744" t="str">
        <f t="shared" si="1441"/>
        <v/>
      </c>
      <c r="BH4118" s="744" t="str">
        <f>IF(G4118="","",IF(BF4118="Abu Dhabi",IF(G4118&lt;18,'General Basis'!$C$39,IF(G4118&lt;41,'General Basis'!$C$40,IF(G4118&lt;60,'General Basis'!$C$41,IF(G4118&lt;65,'General Basis'!$C$42,'General Basis'!$C$43)))),IF(G4118&lt;11,'General Basis'!$B$39,IF(G4118&lt;18,'General Basis'!$B$40,IF(G4118&lt;26,'General Basis'!$B$41,IF(G4118&lt;31,'General Basis'!$B$42,IF(G4118&lt;36,'General Basis'!$B$43,IF(G4118&lt;41,'General Basis'!$B$44,IF(G4118&lt;46,'General Basis'!$B$45,IF(G4118&lt;51,'General Basis'!$B$46,IF(G4118&lt;56,'General Basis'!$B$47,IF(G4118&lt;60,'General Basis'!$B$48,IF(G4118&lt;65,'General Basis'!$B$49,'General Basis'!$B$50)))))))))))))</f>
        <v/>
      </c>
      <c r="BI4118" s="744" t="str">
        <f t="shared" si="1435"/>
        <v/>
      </c>
      <c r="BJ4118" s="747" t="str">
        <f t="shared" si="1442"/>
        <v/>
      </c>
      <c r="BK4118" s="498" t="str">
        <f t="shared" si="1436"/>
        <v/>
      </c>
      <c r="BL4118" s="498" t="str">
        <f t="shared" si="1437"/>
        <v/>
      </c>
    </row>
    <row r="4119" spans="1:64" x14ac:dyDescent="0.25">
      <c r="A4119" s="762">
        <f t="shared" si="1438"/>
        <v>4114</v>
      </c>
      <c r="B4119" s="229"/>
      <c r="C4119" s="223"/>
      <c r="D4119" s="224"/>
      <c r="E4119" s="225"/>
      <c r="F4119" s="1036" t="str">
        <f t="shared" si="1444"/>
        <v/>
      </c>
      <c r="G4119" s="1037" t="str">
        <f t="shared" si="1439"/>
        <v/>
      </c>
      <c r="H4119" s="225"/>
      <c r="I4119" s="1013"/>
      <c r="J4119" s="1013"/>
      <c r="K4119" s="1028"/>
      <c r="L4119" s="1035" t="str">
        <f t="shared" si="1443"/>
        <v/>
      </c>
      <c r="S4119" s="498"/>
      <c r="AJ4119" s="498"/>
      <c r="AM4119" s="498">
        <f t="shared" si="1424"/>
        <v>0</v>
      </c>
      <c r="AN4119" s="498">
        <f t="shared" si="1425"/>
        <v>0</v>
      </c>
      <c r="AO4119" s="498">
        <f t="shared" si="1426"/>
        <v>0</v>
      </c>
      <c r="AP4119" s="498">
        <f t="shared" si="1445"/>
        <v>0</v>
      </c>
      <c r="AQ4119" s="498">
        <f t="shared" si="1440"/>
        <v>0</v>
      </c>
      <c r="AU4119" s="498">
        <f t="shared" si="1427"/>
        <v>0</v>
      </c>
      <c r="AV4119" s="498">
        <f t="shared" si="1428"/>
        <v>0</v>
      </c>
      <c r="AW4119" s="498">
        <f t="shared" si="1429"/>
        <v>0</v>
      </c>
      <c r="AX4119" s="498">
        <f t="shared" si="1430"/>
        <v>0</v>
      </c>
      <c r="AY4119" s="498">
        <f t="shared" si="1431"/>
        <v>0</v>
      </c>
      <c r="BB4119" s="498" t="str">
        <f t="shared" si="1432"/>
        <v/>
      </c>
      <c r="BC4119" s="743" t="str">
        <f t="shared" si="1433"/>
        <v/>
      </c>
      <c r="BD4119" s="743" t="str">
        <f t="shared" si="1434"/>
        <v/>
      </c>
      <c r="BE4119" s="743" t="str">
        <f>IF(D4119="","",VLOOKUP(D4119,'General Basis'!$J$39:$K$46,2,0))</f>
        <v/>
      </c>
      <c r="BF4119" s="744" t="str">
        <f>IF(D4119="","",VLOOKUP(D4119,'General Basis'!$J$39:$L$46,3,0))</f>
        <v/>
      </c>
      <c r="BG4119" s="744" t="str">
        <f t="shared" si="1441"/>
        <v/>
      </c>
      <c r="BH4119" s="744" t="str">
        <f>IF(G4119="","",IF(BF4119="Abu Dhabi",IF(G4119&lt;18,'General Basis'!$C$39,IF(G4119&lt;41,'General Basis'!$C$40,IF(G4119&lt;60,'General Basis'!$C$41,IF(G4119&lt;65,'General Basis'!$C$42,'General Basis'!$C$43)))),IF(G4119&lt;11,'General Basis'!$B$39,IF(G4119&lt;18,'General Basis'!$B$40,IF(G4119&lt;26,'General Basis'!$B$41,IF(G4119&lt;31,'General Basis'!$B$42,IF(G4119&lt;36,'General Basis'!$B$43,IF(G4119&lt;41,'General Basis'!$B$44,IF(G4119&lt;46,'General Basis'!$B$45,IF(G4119&lt;51,'General Basis'!$B$46,IF(G4119&lt;56,'General Basis'!$B$47,IF(G4119&lt;60,'General Basis'!$B$48,IF(G4119&lt;65,'General Basis'!$B$49,'General Basis'!$B$50)))))))))))))</f>
        <v/>
      </c>
      <c r="BI4119" s="744" t="str">
        <f t="shared" si="1435"/>
        <v/>
      </c>
      <c r="BJ4119" s="747" t="str">
        <f t="shared" si="1442"/>
        <v/>
      </c>
      <c r="BK4119" s="498" t="str">
        <f t="shared" si="1436"/>
        <v/>
      </c>
      <c r="BL4119" s="498" t="str">
        <f t="shared" si="1437"/>
        <v/>
      </c>
    </row>
    <row r="4120" spans="1:64" x14ac:dyDescent="0.25">
      <c r="A4120" s="762">
        <f t="shared" si="1438"/>
        <v>4115</v>
      </c>
      <c r="B4120" s="229"/>
      <c r="C4120" s="223"/>
      <c r="D4120" s="224"/>
      <c r="E4120" s="225"/>
      <c r="F4120" s="1036" t="str">
        <f t="shared" si="1444"/>
        <v/>
      </c>
      <c r="G4120" s="1037" t="str">
        <f t="shared" si="1439"/>
        <v/>
      </c>
      <c r="H4120" s="225"/>
      <c r="I4120" s="1013"/>
      <c r="J4120" s="1013"/>
      <c r="K4120" s="1028"/>
      <c r="L4120" s="1035" t="str">
        <f t="shared" si="1443"/>
        <v/>
      </c>
      <c r="S4120" s="498"/>
      <c r="AJ4120" s="498"/>
      <c r="AM4120" s="498">
        <f t="shared" si="1424"/>
        <v>0</v>
      </c>
      <c r="AN4120" s="498">
        <f t="shared" si="1425"/>
        <v>0</v>
      </c>
      <c r="AO4120" s="498">
        <f t="shared" si="1426"/>
        <v>0</v>
      </c>
      <c r="AP4120" s="498">
        <f t="shared" si="1445"/>
        <v>0</v>
      </c>
      <c r="AQ4120" s="498">
        <f t="shared" si="1440"/>
        <v>0</v>
      </c>
      <c r="AU4120" s="498">
        <f t="shared" si="1427"/>
        <v>0</v>
      </c>
      <c r="AV4120" s="498">
        <f t="shared" si="1428"/>
        <v>0</v>
      </c>
      <c r="AW4120" s="498">
        <f t="shared" si="1429"/>
        <v>0</v>
      </c>
      <c r="AX4120" s="498">
        <f t="shared" si="1430"/>
        <v>0</v>
      </c>
      <c r="AY4120" s="498">
        <f t="shared" si="1431"/>
        <v>0</v>
      </c>
      <c r="BB4120" s="498" t="str">
        <f t="shared" si="1432"/>
        <v/>
      </c>
      <c r="BC4120" s="743" t="str">
        <f t="shared" si="1433"/>
        <v/>
      </c>
      <c r="BD4120" s="743" t="str">
        <f t="shared" si="1434"/>
        <v/>
      </c>
      <c r="BE4120" s="743" t="str">
        <f>IF(D4120="","",VLOOKUP(D4120,'General Basis'!$J$39:$K$46,2,0))</f>
        <v/>
      </c>
      <c r="BF4120" s="744" t="str">
        <f>IF(D4120="","",VLOOKUP(D4120,'General Basis'!$J$39:$L$46,3,0))</f>
        <v/>
      </c>
      <c r="BG4120" s="744" t="str">
        <f t="shared" si="1441"/>
        <v/>
      </c>
      <c r="BH4120" s="744" t="str">
        <f>IF(G4120="","",IF(BF4120="Abu Dhabi",IF(G4120&lt;18,'General Basis'!$C$39,IF(G4120&lt;41,'General Basis'!$C$40,IF(G4120&lt;60,'General Basis'!$C$41,IF(G4120&lt;65,'General Basis'!$C$42,'General Basis'!$C$43)))),IF(G4120&lt;11,'General Basis'!$B$39,IF(G4120&lt;18,'General Basis'!$B$40,IF(G4120&lt;26,'General Basis'!$B$41,IF(G4120&lt;31,'General Basis'!$B$42,IF(G4120&lt;36,'General Basis'!$B$43,IF(G4120&lt;41,'General Basis'!$B$44,IF(G4120&lt;46,'General Basis'!$B$45,IF(G4120&lt;51,'General Basis'!$B$46,IF(G4120&lt;56,'General Basis'!$B$47,IF(G4120&lt;60,'General Basis'!$B$48,IF(G4120&lt;65,'General Basis'!$B$49,'General Basis'!$B$50)))))))))))))</f>
        <v/>
      </c>
      <c r="BI4120" s="744" t="str">
        <f t="shared" si="1435"/>
        <v/>
      </c>
      <c r="BJ4120" s="747" t="str">
        <f t="shared" si="1442"/>
        <v/>
      </c>
      <c r="BK4120" s="498" t="str">
        <f t="shared" si="1436"/>
        <v/>
      </c>
      <c r="BL4120" s="498" t="str">
        <f t="shared" si="1437"/>
        <v/>
      </c>
    </row>
    <row r="4121" spans="1:64" x14ac:dyDescent="0.25">
      <c r="A4121" s="762">
        <f t="shared" si="1438"/>
        <v>4116</v>
      </c>
      <c r="B4121" s="229"/>
      <c r="C4121" s="223"/>
      <c r="D4121" s="224"/>
      <c r="E4121" s="225"/>
      <c r="F4121" s="1036" t="str">
        <f t="shared" si="1444"/>
        <v/>
      </c>
      <c r="G4121" s="1037" t="str">
        <f t="shared" si="1439"/>
        <v/>
      </c>
      <c r="H4121" s="225"/>
      <c r="I4121" s="1013"/>
      <c r="J4121" s="1013"/>
      <c r="K4121" s="1028"/>
      <c r="L4121" s="1035" t="str">
        <f t="shared" si="1443"/>
        <v/>
      </c>
      <c r="S4121" s="498"/>
      <c r="AJ4121" s="498"/>
      <c r="AM4121" s="498">
        <f t="shared" si="1424"/>
        <v>0</v>
      </c>
      <c r="AN4121" s="498">
        <f t="shared" si="1425"/>
        <v>0</v>
      </c>
      <c r="AO4121" s="498">
        <f t="shared" si="1426"/>
        <v>0</v>
      </c>
      <c r="AP4121" s="498">
        <f t="shared" si="1445"/>
        <v>0</v>
      </c>
      <c r="AQ4121" s="498">
        <f t="shared" si="1440"/>
        <v>0</v>
      </c>
      <c r="AU4121" s="498">
        <f t="shared" si="1427"/>
        <v>0</v>
      </c>
      <c r="AV4121" s="498">
        <f t="shared" si="1428"/>
        <v>0</v>
      </c>
      <c r="AW4121" s="498">
        <f t="shared" si="1429"/>
        <v>0</v>
      </c>
      <c r="AX4121" s="498">
        <f t="shared" si="1430"/>
        <v>0</v>
      </c>
      <c r="AY4121" s="498">
        <f t="shared" si="1431"/>
        <v>0</v>
      </c>
      <c r="BB4121" s="498" t="str">
        <f t="shared" si="1432"/>
        <v/>
      </c>
      <c r="BC4121" s="743" t="str">
        <f t="shared" si="1433"/>
        <v/>
      </c>
      <c r="BD4121" s="743" t="str">
        <f t="shared" si="1434"/>
        <v/>
      </c>
      <c r="BE4121" s="743" t="str">
        <f>IF(D4121="","",VLOOKUP(D4121,'General Basis'!$J$39:$K$46,2,0))</f>
        <v/>
      </c>
      <c r="BF4121" s="744" t="str">
        <f>IF(D4121="","",VLOOKUP(D4121,'General Basis'!$J$39:$L$46,3,0))</f>
        <v/>
      </c>
      <c r="BG4121" s="744" t="str">
        <f t="shared" si="1441"/>
        <v/>
      </c>
      <c r="BH4121" s="744" t="str">
        <f>IF(G4121="","",IF(BF4121="Abu Dhabi",IF(G4121&lt;18,'General Basis'!$C$39,IF(G4121&lt;41,'General Basis'!$C$40,IF(G4121&lt;60,'General Basis'!$C$41,IF(G4121&lt;65,'General Basis'!$C$42,'General Basis'!$C$43)))),IF(G4121&lt;11,'General Basis'!$B$39,IF(G4121&lt;18,'General Basis'!$B$40,IF(G4121&lt;26,'General Basis'!$B$41,IF(G4121&lt;31,'General Basis'!$B$42,IF(G4121&lt;36,'General Basis'!$B$43,IF(G4121&lt;41,'General Basis'!$B$44,IF(G4121&lt;46,'General Basis'!$B$45,IF(G4121&lt;51,'General Basis'!$B$46,IF(G4121&lt;56,'General Basis'!$B$47,IF(G4121&lt;60,'General Basis'!$B$48,IF(G4121&lt;65,'General Basis'!$B$49,'General Basis'!$B$50)))))))))))))</f>
        <v/>
      </c>
      <c r="BI4121" s="744" t="str">
        <f t="shared" si="1435"/>
        <v/>
      </c>
      <c r="BJ4121" s="747" t="str">
        <f t="shared" si="1442"/>
        <v/>
      </c>
      <c r="BK4121" s="498" t="str">
        <f t="shared" si="1436"/>
        <v/>
      </c>
      <c r="BL4121" s="498" t="str">
        <f t="shared" si="1437"/>
        <v/>
      </c>
    </row>
    <row r="4122" spans="1:64" x14ac:dyDescent="0.25">
      <c r="A4122" s="762">
        <f t="shared" si="1438"/>
        <v>4117</v>
      </c>
      <c r="B4122" s="229"/>
      <c r="C4122" s="223"/>
      <c r="D4122" s="224"/>
      <c r="E4122" s="225"/>
      <c r="F4122" s="1036" t="str">
        <f t="shared" si="1444"/>
        <v/>
      </c>
      <c r="G4122" s="1037" t="str">
        <f t="shared" si="1439"/>
        <v/>
      </c>
      <c r="H4122" s="225"/>
      <c r="I4122" s="1013"/>
      <c r="J4122" s="1013"/>
      <c r="K4122" s="1028"/>
      <c r="L4122" s="1035" t="str">
        <f t="shared" si="1443"/>
        <v/>
      </c>
      <c r="S4122" s="498"/>
      <c r="AJ4122" s="498"/>
      <c r="AM4122" s="498">
        <f t="shared" si="1424"/>
        <v>0</v>
      </c>
      <c r="AN4122" s="498">
        <f t="shared" si="1425"/>
        <v>0</v>
      </c>
      <c r="AO4122" s="498">
        <f t="shared" si="1426"/>
        <v>0</v>
      </c>
      <c r="AP4122" s="498">
        <f t="shared" si="1445"/>
        <v>0</v>
      </c>
      <c r="AQ4122" s="498">
        <f t="shared" si="1440"/>
        <v>0</v>
      </c>
      <c r="AU4122" s="498">
        <f t="shared" si="1427"/>
        <v>0</v>
      </c>
      <c r="AV4122" s="498">
        <f t="shared" si="1428"/>
        <v>0</v>
      </c>
      <c r="AW4122" s="498">
        <f t="shared" si="1429"/>
        <v>0</v>
      </c>
      <c r="AX4122" s="498">
        <f t="shared" si="1430"/>
        <v>0</v>
      </c>
      <c r="AY4122" s="498">
        <f t="shared" si="1431"/>
        <v>0</v>
      </c>
      <c r="BB4122" s="498" t="str">
        <f t="shared" si="1432"/>
        <v/>
      </c>
      <c r="BC4122" s="743" t="str">
        <f t="shared" si="1433"/>
        <v/>
      </c>
      <c r="BD4122" s="743" t="str">
        <f t="shared" si="1434"/>
        <v/>
      </c>
      <c r="BE4122" s="743" t="str">
        <f>IF(D4122="","",VLOOKUP(D4122,'General Basis'!$J$39:$K$46,2,0))</f>
        <v/>
      </c>
      <c r="BF4122" s="744" t="str">
        <f>IF(D4122="","",VLOOKUP(D4122,'General Basis'!$J$39:$L$46,3,0))</f>
        <v/>
      </c>
      <c r="BG4122" s="744" t="str">
        <f t="shared" si="1441"/>
        <v/>
      </c>
      <c r="BH4122" s="744" t="str">
        <f>IF(G4122="","",IF(BF4122="Abu Dhabi",IF(G4122&lt;18,'General Basis'!$C$39,IF(G4122&lt;41,'General Basis'!$C$40,IF(G4122&lt;60,'General Basis'!$C$41,IF(G4122&lt;65,'General Basis'!$C$42,'General Basis'!$C$43)))),IF(G4122&lt;11,'General Basis'!$B$39,IF(G4122&lt;18,'General Basis'!$B$40,IF(G4122&lt;26,'General Basis'!$B$41,IF(G4122&lt;31,'General Basis'!$B$42,IF(G4122&lt;36,'General Basis'!$B$43,IF(G4122&lt;41,'General Basis'!$B$44,IF(G4122&lt;46,'General Basis'!$B$45,IF(G4122&lt;51,'General Basis'!$B$46,IF(G4122&lt;56,'General Basis'!$B$47,IF(G4122&lt;60,'General Basis'!$B$48,IF(G4122&lt;65,'General Basis'!$B$49,'General Basis'!$B$50)))))))))))))</f>
        <v/>
      </c>
      <c r="BI4122" s="744" t="str">
        <f t="shared" si="1435"/>
        <v/>
      </c>
      <c r="BJ4122" s="747" t="str">
        <f t="shared" si="1442"/>
        <v/>
      </c>
      <c r="BK4122" s="498" t="str">
        <f t="shared" si="1436"/>
        <v/>
      </c>
      <c r="BL4122" s="498" t="str">
        <f t="shared" si="1437"/>
        <v/>
      </c>
    </row>
    <row r="4123" spans="1:64" x14ac:dyDescent="0.25">
      <c r="A4123" s="762">
        <f t="shared" si="1438"/>
        <v>4118</v>
      </c>
      <c r="B4123" s="229"/>
      <c r="C4123" s="223"/>
      <c r="D4123" s="224"/>
      <c r="E4123" s="225"/>
      <c r="F4123" s="1036" t="str">
        <f t="shared" si="1444"/>
        <v/>
      </c>
      <c r="G4123" s="1037" t="str">
        <f t="shared" si="1439"/>
        <v/>
      </c>
      <c r="H4123" s="225"/>
      <c r="I4123" s="1013"/>
      <c r="J4123" s="1013"/>
      <c r="K4123" s="1028"/>
      <c r="L4123" s="1035" t="str">
        <f t="shared" si="1443"/>
        <v/>
      </c>
      <c r="S4123" s="498"/>
      <c r="AJ4123" s="498"/>
      <c r="AM4123" s="498">
        <f t="shared" si="1424"/>
        <v>0</v>
      </c>
      <c r="AN4123" s="498">
        <f t="shared" si="1425"/>
        <v>0</v>
      </c>
      <c r="AO4123" s="498">
        <f t="shared" si="1426"/>
        <v>0</v>
      </c>
      <c r="AP4123" s="498">
        <f t="shared" si="1445"/>
        <v>0</v>
      </c>
      <c r="AQ4123" s="498">
        <f t="shared" si="1440"/>
        <v>0</v>
      </c>
      <c r="AU4123" s="498">
        <f t="shared" si="1427"/>
        <v>0</v>
      </c>
      <c r="AV4123" s="498">
        <f t="shared" si="1428"/>
        <v>0</v>
      </c>
      <c r="AW4123" s="498">
        <f t="shared" si="1429"/>
        <v>0</v>
      </c>
      <c r="AX4123" s="498">
        <f t="shared" si="1430"/>
        <v>0</v>
      </c>
      <c r="AY4123" s="498">
        <f t="shared" si="1431"/>
        <v>0</v>
      </c>
      <c r="BB4123" s="498" t="str">
        <f t="shared" si="1432"/>
        <v/>
      </c>
      <c r="BC4123" s="743" t="str">
        <f t="shared" si="1433"/>
        <v/>
      </c>
      <c r="BD4123" s="743" t="str">
        <f t="shared" si="1434"/>
        <v/>
      </c>
      <c r="BE4123" s="743" t="str">
        <f>IF(D4123="","",VLOOKUP(D4123,'General Basis'!$J$39:$K$46,2,0))</f>
        <v/>
      </c>
      <c r="BF4123" s="744" t="str">
        <f>IF(D4123="","",VLOOKUP(D4123,'General Basis'!$J$39:$L$46,3,0))</f>
        <v/>
      </c>
      <c r="BG4123" s="744" t="str">
        <f t="shared" si="1441"/>
        <v/>
      </c>
      <c r="BH4123" s="744" t="str">
        <f>IF(G4123="","",IF(BF4123="Abu Dhabi",IF(G4123&lt;18,'General Basis'!$C$39,IF(G4123&lt;41,'General Basis'!$C$40,IF(G4123&lt;60,'General Basis'!$C$41,IF(G4123&lt;65,'General Basis'!$C$42,'General Basis'!$C$43)))),IF(G4123&lt;11,'General Basis'!$B$39,IF(G4123&lt;18,'General Basis'!$B$40,IF(G4123&lt;26,'General Basis'!$B$41,IF(G4123&lt;31,'General Basis'!$B$42,IF(G4123&lt;36,'General Basis'!$B$43,IF(G4123&lt;41,'General Basis'!$B$44,IF(G4123&lt;46,'General Basis'!$B$45,IF(G4123&lt;51,'General Basis'!$B$46,IF(G4123&lt;56,'General Basis'!$B$47,IF(G4123&lt;60,'General Basis'!$B$48,IF(G4123&lt;65,'General Basis'!$B$49,'General Basis'!$B$50)))))))))))))</f>
        <v/>
      </c>
      <c r="BI4123" s="744" t="str">
        <f t="shared" si="1435"/>
        <v/>
      </c>
      <c r="BJ4123" s="747" t="str">
        <f t="shared" si="1442"/>
        <v/>
      </c>
      <c r="BK4123" s="498" t="str">
        <f t="shared" si="1436"/>
        <v/>
      </c>
      <c r="BL4123" s="498" t="str">
        <f t="shared" si="1437"/>
        <v/>
      </c>
    </row>
    <row r="4124" spans="1:64" x14ac:dyDescent="0.25">
      <c r="A4124" s="762">
        <f t="shared" si="1438"/>
        <v>4119</v>
      </c>
      <c r="B4124" s="229"/>
      <c r="C4124" s="223"/>
      <c r="D4124" s="224"/>
      <c r="E4124" s="225"/>
      <c r="F4124" s="1036" t="str">
        <f t="shared" si="1444"/>
        <v/>
      </c>
      <c r="G4124" s="1037" t="str">
        <f t="shared" si="1439"/>
        <v/>
      </c>
      <c r="H4124" s="225"/>
      <c r="I4124" s="1013"/>
      <c r="J4124" s="1013"/>
      <c r="K4124" s="1028"/>
      <c r="L4124" s="1035" t="str">
        <f t="shared" si="1443"/>
        <v/>
      </c>
      <c r="S4124" s="498"/>
      <c r="AJ4124" s="498"/>
      <c r="AM4124" s="498">
        <f t="shared" si="1424"/>
        <v>0</v>
      </c>
      <c r="AN4124" s="498">
        <f t="shared" si="1425"/>
        <v>0</v>
      </c>
      <c r="AO4124" s="498">
        <f t="shared" si="1426"/>
        <v>0</v>
      </c>
      <c r="AP4124" s="498">
        <f t="shared" si="1445"/>
        <v>0</v>
      </c>
      <c r="AQ4124" s="498">
        <f t="shared" si="1440"/>
        <v>0</v>
      </c>
      <c r="AU4124" s="498">
        <f t="shared" si="1427"/>
        <v>0</v>
      </c>
      <c r="AV4124" s="498">
        <f t="shared" si="1428"/>
        <v>0</v>
      </c>
      <c r="AW4124" s="498">
        <f t="shared" si="1429"/>
        <v>0</v>
      </c>
      <c r="AX4124" s="498">
        <f t="shared" si="1430"/>
        <v>0</v>
      </c>
      <c r="AY4124" s="498">
        <f t="shared" si="1431"/>
        <v>0</v>
      </c>
      <c r="BB4124" s="498" t="str">
        <f t="shared" si="1432"/>
        <v/>
      </c>
      <c r="BC4124" s="743" t="str">
        <f t="shared" si="1433"/>
        <v/>
      </c>
      <c r="BD4124" s="743" t="str">
        <f t="shared" si="1434"/>
        <v/>
      </c>
      <c r="BE4124" s="743" t="str">
        <f>IF(D4124="","",VLOOKUP(D4124,'General Basis'!$J$39:$K$46,2,0))</f>
        <v/>
      </c>
      <c r="BF4124" s="744" t="str">
        <f>IF(D4124="","",VLOOKUP(D4124,'General Basis'!$J$39:$L$46,3,0))</f>
        <v/>
      </c>
      <c r="BG4124" s="744" t="str">
        <f t="shared" si="1441"/>
        <v/>
      </c>
      <c r="BH4124" s="744" t="str">
        <f>IF(G4124="","",IF(BF4124="Abu Dhabi",IF(G4124&lt;18,'General Basis'!$C$39,IF(G4124&lt;41,'General Basis'!$C$40,IF(G4124&lt;60,'General Basis'!$C$41,IF(G4124&lt;65,'General Basis'!$C$42,'General Basis'!$C$43)))),IF(G4124&lt;11,'General Basis'!$B$39,IF(G4124&lt;18,'General Basis'!$B$40,IF(G4124&lt;26,'General Basis'!$B$41,IF(G4124&lt;31,'General Basis'!$B$42,IF(G4124&lt;36,'General Basis'!$B$43,IF(G4124&lt;41,'General Basis'!$B$44,IF(G4124&lt;46,'General Basis'!$B$45,IF(G4124&lt;51,'General Basis'!$B$46,IF(G4124&lt;56,'General Basis'!$B$47,IF(G4124&lt;60,'General Basis'!$B$48,IF(G4124&lt;65,'General Basis'!$B$49,'General Basis'!$B$50)))))))))))))</f>
        <v/>
      </c>
      <c r="BI4124" s="744" t="str">
        <f t="shared" si="1435"/>
        <v/>
      </c>
      <c r="BJ4124" s="747" t="str">
        <f t="shared" si="1442"/>
        <v/>
      </c>
      <c r="BK4124" s="498" t="str">
        <f t="shared" si="1436"/>
        <v/>
      </c>
      <c r="BL4124" s="498" t="str">
        <f t="shared" si="1437"/>
        <v/>
      </c>
    </row>
    <row r="4125" spans="1:64" x14ac:dyDescent="0.25">
      <c r="A4125" s="762">
        <f t="shared" si="1438"/>
        <v>4120</v>
      </c>
      <c r="B4125" s="229"/>
      <c r="C4125" s="223"/>
      <c r="D4125" s="224"/>
      <c r="E4125" s="225"/>
      <c r="F4125" s="1036" t="str">
        <f t="shared" si="1444"/>
        <v/>
      </c>
      <c r="G4125" s="1037" t="str">
        <f t="shared" si="1439"/>
        <v/>
      </c>
      <c r="H4125" s="225"/>
      <c r="I4125" s="1013"/>
      <c r="J4125" s="1013"/>
      <c r="K4125" s="1028"/>
      <c r="L4125" s="1035" t="str">
        <f t="shared" si="1443"/>
        <v/>
      </c>
      <c r="S4125" s="498"/>
      <c r="AJ4125" s="498"/>
      <c r="AM4125" s="498">
        <f t="shared" si="1424"/>
        <v>0</v>
      </c>
      <c r="AN4125" s="498">
        <f t="shared" si="1425"/>
        <v>0</v>
      </c>
      <c r="AO4125" s="498">
        <f t="shared" si="1426"/>
        <v>0</v>
      </c>
      <c r="AP4125" s="498">
        <f t="shared" si="1445"/>
        <v>0</v>
      </c>
      <c r="AQ4125" s="498">
        <f t="shared" si="1440"/>
        <v>0</v>
      </c>
      <c r="AU4125" s="498">
        <f t="shared" si="1427"/>
        <v>0</v>
      </c>
      <c r="AV4125" s="498">
        <f t="shared" si="1428"/>
        <v>0</v>
      </c>
      <c r="AW4125" s="498">
        <f t="shared" si="1429"/>
        <v>0</v>
      </c>
      <c r="AX4125" s="498">
        <f t="shared" si="1430"/>
        <v>0</v>
      </c>
      <c r="AY4125" s="498">
        <f t="shared" si="1431"/>
        <v>0</v>
      </c>
      <c r="BB4125" s="498" t="str">
        <f t="shared" si="1432"/>
        <v/>
      </c>
      <c r="BC4125" s="743" t="str">
        <f t="shared" si="1433"/>
        <v/>
      </c>
      <c r="BD4125" s="743" t="str">
        <f t="shared" si="1434"/>
        <v/>
      </c>
      <c r="BE4125" s="743" t="str">
        <f>IF(D4125="","",VLOOKUP(D4125,'General Basis'!$J$39:$K$46,2,0))</f>
        <v/>
      </c>
      <c r="BF4125" s="744" t="str">
        <f>IF(D4125="","",VLOOKUP(D4125,'General Basis'!$J$39:$L$46,3,0))</f>
        <v/>
      </c>
      <c r="BG4125" s="744" t="str">
        <f t="shared" si="1441"/>
        <v/>
      </c>
      <c r="BH4125" s="744" t="str">
        <f>IF(G4125="","",IF(BF4125="Abu Dhabi",IF(G4125&lt;18,'General Basis'!$C$39,IF(G4125&lt;41,'General Basis'!$C$40,IF(G4125&lt;60,'General Basis'!$C$41,IF(G4125&lt;65,'General Basis'!$C$42,'General Basis'!$C$43)))),IF(G4125&lt;11,'General Basis'!$B$39,IF(G4125&lt;18,'General Basis'!$B$40,IF(G4125&lt;26,'General Basis'!$B$41,IF(G4125&lt;31,'General Basis'!$B$42,IF(G4125&lt;36,'General Basis'!$B$43,IF(G4125&lt;41,'General Basis'!$B$44,IF(G4125&lt;46,'General Basis'!$B$45,IF(G4125&lt;51,'General Basis'!$B$46,IF(G4125&lt;56,'General Basis'!$B$47,IF(G4125&lt;60,'General Basis'!$B$48,IF(G4125&lt;65,'General Basis'!$B$49,'General Basis'!$B$50)))))))))))))</f>
        <v/>
      </c>
      <c r="BI4125" s="744" t="str">
        <f t="shared" si="1435"/>
        <v/>
      </c>
      <c r="BJ4125" s="747" t="str">
        <f t="shared" si="1442"/>
        <v/>
      </c>
      <c r="BK4125" s="498" t="str">
        <f t="shared" si="1436"/>
        <v/>
      </c>
      <c r="BL4125" s="498" t="str">
        <f t="shared" si="1437"/>
        <v/>
      </c>
    </row>
    <row r="4126" spans="1:64" x14ac:dyDescent="0.25">
      <c r="A4126" s="762">
        <f t="shared" si="1438"/>
        <v>4121</v>
      </c>
      <c r="B4126" s="229"/>
      <c r="C4126" s="223"/>
      <c r="D4126" s="224"/>
      <c r="E4126" s="225"/>
      <c r="F4126" s="1036" t="str">
        <f t="shared" si="1444"/>
        <v/>
      </c>
      <c r="G4126" s="1037" t="str">
        <f t="shared" si="1439"/>
        <v/>
      </c>
      <c r="H4126" s="225"/>
      <c r="I4126" s="1013"/>
      <c r="J4126" s="1013"/>
      <c r="K4126" s="1028"/>
      <c r="L4126" s="1035" t="str">
        <f t="shared" si="1443"/>
        <v/>
      </c>
      <c r="S4126" s="498"/>
      <c r="AJ4126" s="498"/>
      <c r="AM4126" s="498">
        <f t="shared" si="1424"/>
        <v>0</v>
      </c>
      <c r="AN4126" s="498">
        <f t="shared" si="1425"/>
        <v>0</v>
      </c>
      <c r="AO4126" s="498">
        <f t="shared" si="1426"/>
        <v>0</v>
      </c>
      <c r="AP4126" s="498">
        <f t="shared" si="1445"/>
        <v>0</v>
      </c>
      <c r="AQ4126" s="498">
        <f t="shared" si="1440"/>
        <v>0</v>
      </c>
      <c r="AU4126" s="498">
        <f t="shared" si="1427"/>
        <v>0</v>
      </c>
      <c r="AV4126" s="498">
        <f t="shared" si="1428"/>
        <v>0</v>
      </c>
      <c r="AW4126" s="498">
        <f t="shared" si="1429"/>
        <v>0</v>
      </c>
      <c r="AX4126" s="498">
        <f t="shared" si="1430"/>
        <v>0</v>
      </c>
      <c r="AY4126" s="498">
        <f t="shared" si="1431"/>
        <v>0</v>
      </c>
      <c r="BB4126" s="498" t="str">
        <f t="shared" si="1432"/>
        <v/>
      </c>
      <c r="BC4126" s="743" t="str">
        <f t="shared" si="1433"/>
        <v/>
      </c>
      <c r="BD4126" s="743" t="str">
        <f t="shared" si="1434"/>
        <v/>
      </c>
      <c r="BE4126" s="743" t="str">
        <f>IF(D4126="","",VLOOKUP(D4126,'General Basis'!$J$39:$K$46,2,0))</f>
        <v/>
      </c>
      <c r="BF4126" s="744" t="str">
        <f>IF(D4126="","",VLOOKUP(D4126,'General Basis'!$J$39:$L$46,3,0))</f>
        <v/>
      </c>
      <c r="BG4126" s="744" t="str">
        <f t="shared" si="1441"/>
        <v/>
      </c>
      <c r="BH4126" s="744" t="str">
        <f>IF(G4126="","",IF(BF4126="Abu Dhabi",IF(G4126&lt;18,'General Basis'!$C$39,IF(G4126&lt;41,'General Basis'!$C$40,IF(G4126&lt;60,'General Basis'!$C$41,IF(G4126&lt;65,'General Basis'!$C$42,'General Basis'!$C$43)))),IF(G4126&lt;11,'General Basis'!$B$39,IF(G4126&lt;18,'General Basis'!$B$40,IF(G4126&lt;26,'General Basis'!$B$41,IF(G4126&lt;31,'General Basis'!$B$42,IF(G4126&lt;36,'General Basis'!$B$43,IF(G4126&lt;41,'General Basis'!$B$44,IF(G4126&lt;46,'General Basis'!$B$45,IF(G4126&lt;51,'General Basis'!$B$46,IF(G4126&lt;56,'General Basis'!$B$47,IF(G4126&lt;60,'General Basis'!$B$48,IF(G4126&lt;65,'General Basis'!$B$49,'General Basis'!$B$50)))))))))))))</f>
        <v/>
      </c>
      <c r="BI4126" s="744" t="str">
        <f t="shared" si="1435"/>
        <v/>
      </c>
      <c r="BJ4126" s="747" t="str">
        <f t="shared" si="1442"/>
        <v/>
      </c>
      <c r="BK4126" s="498" t="str">
        <f t="shared" si="1436"/>
        <v/>
      </c>
      <c r="BL4126" s="498" t="str">
        <f t="shared" si="1437"/>
        <v/>
      </c>
    </row>
    <row r="4127" spans="1:64" x14ac:dyDescent="0.25">
      <c r="A4127" s="762">
        <f t="shared" si="1438"/>
        <v>4122</v>
      </c>
      <c r="B4127" s="229"/>
      <c r="C4127" s="223"/>
      <c r="D4127" s="224"/>
      <c r="E4127" s="225"/>
      <c r="F4127" s="1036" t="str">
        <f t="shared" si="1444"/>
        <v/>
      </c>
      <c r="G4127" s="1037" t="str">
        <f t="shared" si="1439"/>
        <v/>
      </c>
      <c r="H4127" s="225"/>
      <c r="I4127" s="1013"/>
      <c r="J4127" s="1013"/>
      <c r="K4127" s="1028"/>
      <c r="L4127" s="1035" t="str">
        <f t="shared" si="1443"/>
        <v/>
      </c>
      <c r="S4127" s="498"/>
      <c r="AJ4127" s="498"/>
      <c r="AM4127" s="498">
        <f t="shared" si="1424"/>
        <v>0</v>
      </c>
      <c r="AN4127" s="498">
        <f t="shared" si="1425"/>
        <v>0</v>
      </c>
      <c r="AO4127" s="498">
        <f t="shared" si="1426"/>
        <v>0</v>
      </c>
      <c r="AP4127" s="498">
        <f t="shared" si="1445"/>
        <v>0</v>
      </c>
      <c r="AQ4127" s="498">
        <f t="shared" si="1440"/>
        <v>0</v>
      </c>
      <c r="AU4127" s="498">
        <f t="shared" si="1427"/>
        <v>0</v>
      </c>
      <c r="AV4127" s="498">
        <f t="shared" si="1428"/>
        <v>0</v>
      </c>
      <c r="AW4127" s="498">
        <f t="shared" si="1429"/>
        <v>0</v>
      </c>
      <c r="AX4127" s="498">
        <f t="shared" si="1430"/>
        <v>0</v>
      </c>
      <c r="AY4127" s="498">
        <f t="shared" si="1431"/>
        <v>0</v>
      </c>
      <c r="BB4127" s="498" t="str">
        <f t="shared" si="1432"/>
        <v/>
      </c>
      <c r="BC4127" s="743" t="str">
        <f t="shared" si="1433"/>
        <v/>
      </c>
      <c r="BD4127" s="743" t="str">
        <f t="shared" si="1434"/>
        <v/>
      </c>
      <c r="BE4127" s="743" t="str">
        <f>IF(D4127="","",VLOOKUP(D4127,'General Basis'!$J$39:$K$46,2,0))</f>
        <v/>
      </c>
      <c r="BF4127" s="744" t="str">
        <f>IF(D4127="","",VLOOKUP(D4127,'General Basis'!$J$39:$L$46,3,0))</f>
        <v/>
      </c>
      <c r="BG4127" s="744" t="str">
        <f t="shared" si="1441"/>
        <v/>
      </c>
      <c r="BH4127" s="744" t="str">
        <f>IF(G4127="","",IF(BF4127="Abu Dhabi",IF(G4127&lt;18,'General Basis'!$C$39,IF(G4127&lt;41,'General Basis'!$C$40,IF(G4127&lt;60,'General Basis'!$C$41,IF(G4127&lt;65,'General Basis'!$C$42,'General Basis'!$C$43)))),IF(G4127&lt;11,'General Basis'!$B$39,IF(G4127&lt;18,'General Basis'!$B$40,IF(G4127&lt;26,'General Basis'!$B$41,IF(G4127&lt;31,'General Basis'!$B$42,IF(G4127&lt;36,'General Basis'!$B$43,IF(G4127&lt;41,'General Basis'!$B$44,IF(G4127&lt;46,'General Basis'!$B$45,IF(G4127&lt;51,'General Basis'!$B$46,IF(G4127&lt;56,'General Basis'!$B$47,IF(G4127&lt;60,'General Basis'!$B$48,IF(G4127&lt;65,'General Basis'!$B$49,'General Basis'!$B$50)))))))))))))</f>
        <v/>
      </c>
      <c r="BI4127" s="744" t="str">
        <f t="shared" si="1435"/>
        <v/>
      </c>
      <c r="BJ4127" s="747" t="str">
        <f t="shared" si="1442"/>
        <v/>
      </c>
      <c r="BK4127" s="498" t="str">
        <f t="shared" si="1436"/>
        <v/>
      </c>
      <c r="BL4127" s="498" t="str">
        <f t="shared" si="1437"/>
        <v/>
      </c>
    </row>
    <row r="4128" spans="1:64" x14ac:dyDescent="0.25">
      <c r="A4128" s="762">
        <f t="shared" si="1438"/>
        <v>4123</v>
      </c>
      <c r="B4128" s="229"/>
      <c r="C4128" s="223"/>
      <c r="D4128" s="224"/>
      <c r="E4128" s="225"/>
      <c r="F4128" s="1036" t="str">
        <f t="shared" si="1444"/>
        <v/>
      </c>
      <c r="G4128" s="1037" t="str">
        <f t="shared" si="1439"/>
        <v/>
      </c>
      <c r="H4128" s="225"/>
      <c r="I4128" s="1013"/>
      <c r="J4128" s="1013"/>
      <c r="K4128" s="1028"/>
      <c r="L4128" s="1035" t="str">
        <f t="shared" si="1443"/>
        <v/>
      </c>
      <c r="S4128" s="498"/>
      <c r="AJ4128" s="498"/>
      <c r="AM4128" s="498">
        <f t="shared" si="1424"/>
        <v>0</v>
      </c>
      <c r="AN4128" s="498">
        <f t="shared" si="1425"/>
        <v>0</v>
      </c>
      <c r="AO4128" s="498">
        <f t="shared" si="1426"/>
        <v>0</v>
      </c>
      <c r="AP4128" s="498">
        <f t="shared" si="1445"/>
        <v>0</v>
      </c>
      <c r="AQ4128" s="498">
        <f t="shared" si="1440"/>
        <v>0</v>
      </c>
      <c r="AU4128" s="498">
        <f t="shared" si="1427"/>
        <v>0</v>
      </c>
      <c r="AV4128" s="498">
        <f t="shared" si="1428"/>
        <v>0</v>
      </c>
      <c r="AW4128" s="498">
        <f t="shared" si="1429"/>
        <v>0</v>
      </c>
      <c r="AX4128" s="498">
        <f t="shared" si="1430"/>
        <v>0</v>
      </c>
      <c r="AY4128" s="498">
        <f t="shared" si="1431"/>
        <v>0</v>
      </c>
      <c r="BB4128" s="498" t="str">
        <f t="shared" si="1432"/>
        <v/>
      </c>
      <c r="BC4128" s="743" t="str">
        <f t="shared" si="1433"/>
        <v/>
      </c>
      <c r="BD4128" s="743" t="str">
        <f t="shared" si="1434"/>
        <v/>
      </c>
      <c r="BE4128" s="743" t="str">
        <f>IF(D4128="","",VLOOKUP(D4128,'General Basis'!$J$39:$K$46,2,0))</f>
        <v/>
      </c>
      <c r="BF4128" s="744" t="str">
        <f>IF(D4128="","",VLOOKUP(D4128,'General Basis'!$J$39:$L$46,3,0))</f>
        <v/>
      </c>
      <c r="BG4128" s="744" t="str">
        <f t="shared" si="1441"/>
        <v/>
      </c>
      <c r="BH4128" s="744" t="str">
        <f>IF(G4128="","",IF(BF4128="Abu Dhabi",IF(G4128&lt;18,'General Basis'!$C$39,IF(G4128&lt;41,'General Basis'!$C$40,IF(G4128&lt;60,'General Basis'!$C$41,IF(G4128&lt;65,'General Basis'!$C$42,'General Basis'!$C$43)))),IF(G4128&lt;11,'General Basis'!$B$39,IF(G4128&lt;18,'General Basis'!$B$40,IF(G4128&lt;26,'General Basis'!$B$41,IF(G4128&lt;31,'General Basis'!$B$42,IF(G4128&lt;36,'General Basis'!$B$43,IF(G4128&lt;41,'General Basis'!$B$44,IF(G4128&lt;46,'General Basis'!$B$45,IF(G4128&lt;51,'General Basis'!$B$46,IF(G4128&lt;56,'General Basis'!$B$47,IF(G4128&lt;60,'General Basis'!$B$48,IF(G4128&lt;65,'General Basis'!$B$49,'General Basis'!$B$50)))))))))))))</f>
        <v/>
      </c>
      <c r="BI4128" s="744" t="str">
        <f t="shared" si="1435"/>
        <v/>
      </c>
      <c r="BJ4128" s="747" t="str">
        <f t="shared" si="1442"/>
        <v/>
      </c>
      <c r="BK4128" s="498" t="str">
        <f t="shared" si="1436"/>
        <v/>
      </c>
      <c r="BL4128" s="498" t="str">
        <f t="shared" si="1437"/>
        <v/>
      </c>
    </row>
    <row r="4129" spans="1:64" x14ac:dyDescent="0.25">
      <c r="A4129" s="762">
        <f t="shared" si="1438"/>
        <v>4124</v>
      </c>
      <c r="B4129" s="229"/>
      <c r="C4129" s="223"/>
      <c r="D4129" s="224"/>
      <c r="E4129" s="225"/>
      <c r="F4129" s="1036" t="str">
        <f t="shared" si="1444"/>
        <v/>
      </c>
      <c r="G4129" s="1037" t="str">
        <f t="shared" si="1439"/>
        <v/>
      </c>
      <c r="H4129" s="225"/>
      <c r="I4129" s="1013"/>
      <c r="J4129" s="1013"/>
      <c r="K4129" s="1028"/>
      <c r="L4129" s="1035" t="str">
        <f t="shared" si="1443"/>
        <v/>
      </c>
      <c r="S4129" s="498"/>
      <c r="AJ4129" s="498"/>
      <c r="AM4129" s="498">
        <f t="shared" si="1424"/>
        <v>0</v>
      </c>
      <c r="AN4129" s="498">
        <f t="shared" si="1425"/>
        <v>0</v>
      </c>
      <c r="AO4129" s="498">
        <f t="shared" si="1426"/>
        <v>0</v>
      </c>
      <c r="AP4129" s="498">
        <f t="shared" si="1445"/>
        <v>0</v>
      </c>
      <c r="AQ4129" s="498">
        <f t="shared" si="1440"/>
        <v>0</v>
      </c>
      <c r="AU4129" s="498">
        <f t="shared" si="1427"/>
        <v>0</v>
      </c>
      <c r="AV4129" s="498">
        <f t="shared" si="1428"/>
        <v>0</v>
      </c>
      <c r="AW4129" s="498">
        <f t="shared" si="1429"/>
        <v>0</v>
      </c>
      <c r="AX4129" s="498">
        <f t="shared" si="1430"/>
        <v>0</v>
      </c>
      <c r="AY4129" s="498">
        <f t="shared" si="1431"/>
        <v>0</v>
      </c>
      <c r="BB4129" s="498" t="str">
        <f t="shared" si="1432"/>
        <v/>
      </c>
      <c r="BC4129" s="743" t="str">
        <f t="shared" si="1433"/>
        <v/>
      </c>
      <c r="BD4129" s="743" t="str">
        <f t="shared" si="1434"/>
        <v/>
      </c>
      <c r="BE4129" s="743" t="str">
        <f>IF(D4129="","",VLOOKUP(D4129,'General Basis'!$J$39:$K$46,2,0))</f>
        <v/>
      </c>
      <c r="BF4129" s="744" t="str">
        <f>IF(D4129="","",VLOOKUP(D4129,'General Basis'!$J$39:$L$46,3,0))</f>
        <v/>
      </c>
      <c r="BG4129" s="744" t="str">
        <f t="shared" si="1441"/>
        <v/>
      </c>
      <c r="BH4129" s="744" t="str">
        <f>IF(G4129="","",IF(BF4129="Abu Dhabi",IF(G4129&lt;18,'General Basis'!$C$39,IF(G4129&lt;41,'General Basis'!$C$40,IF(G4129&lt;60,'General Basis'!$C$41,IF(G4129&lt;65,'General Basis'!$C$42,'General Basis'!$C$43)))),IF(G4129&lt;11,'General Basis'!$B$39,IF(G4129&lt;18,'General Basis'!$B$40,IF(G4129&lt;26,'General Basis'!$B$41,IF(G4129&lt;31,'General Basis'!$B$42,IF(G4129&lt;36,'General Basis'!$B$43,IF(G4129&lt;41,'General Basis'!$B$44,IF(G4129&lt;46,'General Basis'!$B$45,IF(G4129&lt;51,'General Basis'!$B$46,IF(G4129&lt;56,'General Basis'!$B$47,IF(G4129&lt;60,'General Basis'!$B$48,IF(G4129&lt;65,'General Basis'!$B$49,'General Basis'!$B$50)))))))))))))</f>
        <v/>
      </c>
      <c r="BI4129" s="744" t="str">
        <f t="shared" si="1435"/>
        <v/>
      </c>
      <c r="BJ4129" s="747" t="str">
        <f t="shared" si="1442"/>
        <v/>
      </c>
      <c r="BK4129" s="498" t="str">
        <f t="shared" si="1436"/>
        <v/>
      </c>
      <c r="BL4129" s="498" t="str">
        <f t="shared" si="1437"/>
        <v/>
      </c>
    </row>
    <row r="4130" spans="1:64" x14ac:dyDescent="0.25">
      <c r="A4130" s="762">
        <f t="shared" si="1438"/>
        <v>4125</v>
      </c>
      <c r="B4130" s="229"/>
      <c r="C4130" s="223"/>
      <c r="D4130" s="224"/>
      <c r="E4130" s="225"/>
      <c r="F4130" s="1036" t="str">
        <f t="shared" si="1444"/>
        <v/>
      </c>
      <c r="G4130" s="1037" t="str">
        <f t="shared" si="1439"/>
        <v/>
      </c>
      <c r="H4130" s="225"/>
      <c r="I4130" s="1013"/>
      <c r="J4130" s="1013"/>
      <c r="K4130" s="1028"/>
      <c r="L4130" s="1035" t="str">
        <f t="shared" si="1443"/>
        <v/>
      </c>
      <c r="S4130" s="498"/>
      <c r="AJ4130" s="498"/>
      <c r="AM4130" s="498">
        <f t="shared" si="1424"/>
        <v>0</v>
      </c>
      <c r="AN4130" s="498">
        <f t="shared" si="1425"/>
        <v>0</v>
      </c>
      <c r="AO4130" s="498">
        <f t="shared" si="1426"/>
        <v>0</v>
      </c>
      <c r="AP4130" s="498">
        <f t="shared" si="1445"/>
        <v>0</v>
      </c>
      <c r="AQ4130" s="498">
        <f t="shared" si="1440"/>
        <v>0</v>
      </c>
      <c r="AU4130" s="498">
        <f t="shared" si="1427"/>
        <v>0</v>
      </c>
      <c r="AV4130" s="498">
        <f t="shared" si="1428"/>
        <v>0</v>
      </c>
      <c r="AW4130" s="498">
        <f t="shared" si="1429"/>
        <v>0</v>
      </c>
      <c r="AX4130" s="498">
        <f t="shared" si="1430"/>
        <v>0</v>
      </c>
      <c r="AY4130" s="498">
        <f t="shared" si="1431"/>
        <v>0</v>
      </c>
      <c r="BB4130" s="498" t="str">
        <f t="shared" si="1432"/>
        <v/>
      </c>
      <c r="BC4130" s="743" t="str">
        <f t="shared" si="1433"/>
        <v/>
      </c>
      <c r="BD4130" s="743" t="str">
        <f t="shared" si="1434"/>
        <v/>
      </c>
      <c r="BE4130" s="743" t="str">
        <f>IF(D4130="","",VLOOKUP(D4130,'General Basis'!$J$39:$K$46,2,0))</f>
        <v/>
      </c>
      <c r="BF4130" s="744" t="str">
        <f>IF(D4130="","",VLOOKUP(D4130,'General Basis'!$J$39:$L$46,3,0))</f>
        <v/>
      </c>
      <c r="BG4130" s="744" t="str">
        <f t="shared" si="1441"/>
        <v/>
      </c>
      <c r="BH4130" s="744" t="str">
        <f>IF(G4130="","",IF(BF4130="Abu Dhabi",IF(G4130&lt;18,'General Basis'!$C$39,IF(G4130&lt;41,'General Basis'!$C$40,IF(G4130&lt;60,'General Basis'!$C$41,IF(G4130&lt;65,'General Basis'!$C$42,'General Basis'!$C$43)))),IF(G4130&lt;11,'General Basis'!$B$39,IF(G4130&lt;18,'General Basis'!$B$40,IF(G4130&lt;26,'General Basis'!$B$41,IF(G4130&lt;31,'General Basis'!$B$42,IF(G4130&lt;36,'General Basis'!$B$43,IF(G4130&lt;41,'General Basis'!$B$44,IF(G4130&lt;46,'General Basis'!$B$45,IF(G4130&lt;51,'General Basis'!$B$46,IF(G4130&lt;56,'General Basis'!$B$47,IF(G4130&lt;60,'General Basis'!$B$48,IF(G4130&lt;65,'General Basis'!$B$49,'General Basis'!$B$50)))))))))))))</f>
        <v/>
      </c>
      <c r="BI4130" s="744" t="str">
        <f t="shared" si="1435"/>
        <v/>
      </c>
      <c r="BJ4130" s="747" t="str">
        <f t="shared" si="1442"/>
        <v/>
      </c>
      <c r="BK4130" s="498" t="str">
        <f t="shared" si="1436"/>
        <v/>
      </c>
      <c r="BL4130" s="498" t="str">
        <f t="shared" si="1437"/>
        <v/>
      </c>
    </row>
    <row r="4131" spans="1:64" x14ac:dyDescent="0.25">
      <c r="A4131" s="762">
        <f t="shared" si="1438"/>
        <v>4126</v>
      </c>
      <c r="B4131" s="229"/>
      <c r="C4131" s="223"/>
      <c r="D4131" s="224"/>
      <c r="E4131" s="225"/>
      <c r="F4131" s="1036" t="str">
        <f t="shared" si="1444"/>
        <v/>
      </c>
      <c r="G4131" s="1037" t="str">
        <f t="shared" si="1439"/>
        <v/>
      </c>
      <c r="H4131" s="225"/>
      <c r="I4131" s="1013"/>
      <c r="J4131" s="1013"/>
      <c r="K4131" s="1028"/>
      <c r="L4131" s="1035" t="str">
        <f t="shared" si="1443"/>
        <v/>
      </c>
      <c r="S4131" s="498"/>
      <c r="AJ4131" s="498"/>
      <c r="AM4131" s="498">
        <f t="shared" si="1424"/>
        <v>0</v>
      </c>
      <c r="AN4131" s="498">
        <f t="shared" si="1425"/>
        <v>0</v>
      </c>
      <c r="AO4131" s="498">
        <f t="shared" si="1426"/>
        <v>0</v>
      </c>
      <c r="AP4131" s="498">
        <f t="shared" si="1445"/>
        <v>0</v>
      </c>
      <c r="AQ4131" s="498">
        <f t="shared" si="1440"/>
        <v>0</v>
      </c>
      <c r="AU4131" s="498">
        <f t="shared" si="1427"/>
        <v>0</v>
      </c>
      <c r="AV4131" s="498">
        <f t="shared" si="1428"/>
        <v>0</v>
      </c>
      <c r="AW4131" s="498">
        <f t="shared" si="1429"/>
        <v>0</v>
      </c>
      <c r="AX4131" s="498">
        <f t="shared" si="1430"/>
        <v>0</v>
      </c>
      <c r="AY4131" s="498">
        <f t="shared" si="1431"/>
        <v>0</v>
      </c>
      <c r="BB4131" s="498" t="str">
        <f t="shared" si="1432"/>
        <v/>
      </c>
      <c r="BC4131" s="743" t="str">
        <f t="shared" si="1433"/>
        <v/>
      </c>
      <c r="BD4131" s="743" t="str">
        <f t="shared" si="1434"/>
        <v/>
      </c>
      <c r="BE4131" s="743" t="str">
        <f>IF(D4131="","",VLOOKUP(D4131,'General Basis'!$J$39:$K$46,2,0))</f>
        <v/>
      </c>
      <c r="BF4131" s="744" t="str">
        <f>IF(D4131="","",VLOOKUP(D4131,'General Basis'!$J$39:$L$46,3,0))</f>
        <v/>
      </c>
      <c r="BG4131" s="744" t="str">
        <f t="shared" si="1441"/>
        <v/>
      </c>
      <c r="BH4131" s="744" t="str">
        <f>IF(G4131="","",IF(BF4131="Abu Dhabi",IF(G4131&lt;18,'General Basis'!$C$39,IF(G4131&lt;41,'General Basis'!$C$40,IF(G4131&lt;60,'General Basis'!$C$41,IF(G4131&lt;65,'General Basis'!$C$42,'General Basis'!$C$43)))),IF(G4131&lt;11,'General Basis'!$B$39,IF(G4131&lt;18,'General Basis'!$B$40,IF(G4131&lt;26,'General Basis'!$B$41,IF(G4131&lt;31,'General Basis'!$B$42,IF(G4131&lt;36,'General Basis'!$B$43,IF(G4131&lt;41,'General Basis'!$B$44,IF(G4131&lt;46,'General Basis'!$B$45,IF(G4131&lt;51,'General Basis'!$B$46,IF(G4131&lt;56,'General Basis'!$B$47,IF(G4131&lt;60,'General Basis'!$B$48,IF(G4131&lt;65,'General Basis'!$B$49,'General Basis'!$B$50)))))))))))))</f>
        <v/>
      </c>
      <c r="BI4131" s="744" t="str">
        <f t="shared" si="1435"/>
        <v/>
      </c>
      <c r="BJ4131" s="747" t="str">
        <f t="shared" si="1442"/>
        <v/>
      </c>
      <c r="BK4131" s="498" t="str">
        <f t="shared" si="1436"/>
        <v/>
      </c>
      <c r="BL4131" s="498" t="str">
        <f t="shared" si="1437"/>
        <v/>
      </c>
    </row>
    <row r="4132" spans="1:64" x14ac:dyDescent="0.25">
      <c r="A4132" s="762">
        <f t="shared" si="1438"/>
        <v>4127</v>
      </c>
      <c r="B4132" s="229"/>
      <c r="C4132" s="223"/>
      <c r="D4132" s="224"/>
      <c r="E4132" s="225"/>
      <c r="F4132" s="1036" t="str">
        <f t="shared" si="1444"/>
        <v/>
      </c>
      <c r="G4132" s="1037" t="str">
        <f t="shared" si="1439"/>
        <v/>
      </c>
      <c r="H4132" s="225"/>
      <c r="I4132" s="1013"/>
      <c r="J4132" s="1013"/>
      <c r="K4132" s="1028"/>
      <c r="L4132" s="1035" t="str">
        <f t="shared" si="1443"/>
        <v/>
      </c>
      <c r="S4132" s="498"/>
      <c r="AJ4132" s="498"/>
      <c r="AM4132" s="498">
        <f t="shared" si="1424"/>
        <v>0</v>
      </c>
      <c r="AN4132" s="498">
        <f t="shared" si="1425"/>
        <v>0</v>
      </c>
      <c r="AO4132" s="498">
        <f t="shared" si="1426"/>
        <v>0</v>
      </c>
      <c r="AP4132" s="498">
        <f t="shared" si="1445"/>
        <v>0</v>
      </c>
      <c r="AQ4132" s="498">
        <f t="shared" si="1440"/>
        <v>0</v>
      </c>
      <c r="AU4132" s="498">
        <f t="shared" si="1427"/>
        <v>0</v>
      </c>
      <c r="AV4132" s="498">
        <f t="shared" si="1428"/>
        <v>0</v>
      </c>
      <c r="AW4132" s="498">
        <f t="shared" si="1429"/>
        <v>0</v>
      </c>
      <c r="AX4132" s="498">
        <f t="shared" si="1430"/>
        <v>0</v>
      </c>
      <c r="AY4132" s="498">
        <f t="shared" si="1431"/>
        <v>0</v>
      </c>
      <c r="BB4132" s="498" t="str">
        <f t="shared" si="1432"/>
        <v/>
      </c>
      <c r="BC4132" s="743" t="str">
        <f t="shared" si="1433"/>
        <v/>
      </c>
      <c r="BD4132" s="743" t="str">
        <f t="shared" si="1434"/>
        <v/>
      </c>
      <c r="BE4132" s="743" t="str">
        <f>IF(D4132="","",VLOOKUP(D4132,'General Basis'!$J$39:$K$46,2,0))</f>
        <v/>
      </c>
      <c r="BF4132" s="744" t="str">
        <f>IF(D4132="","",VLOOKUP(D4132,'General Basis'!$J$39:$L$46,3,0))</f>
        <v/>
      </c>
      <c r="BG4132" s="744" t="str">
        <f t="shared" si="1441"/>
        <v/>
      </c>
      <c r="BH4132" s="744" t="str">
        <f>IF(G4132="","",IF(BF4132="Abu Dhabi",IF(G4132&lt;18,'General Basis'!$C$39,IF(G4132&lt;41,'General Basis'!$C$40,IF(G4132&lt;60,'General Basis'!$C$41,IF(G4132&lt;65,'General Basis'!$C$42,'General Basis'!$C$43)))),IF(G4132&lt;11,'General Basis'!$B$39,IF(G4132&lt;18,'General Basis'!$B$40,IF(G4132&lt;26,'General Basis'!$B$41,IF(G4132&lt;31,'General Basis'!$B$42,IF(G4132&lt;36,'General Basis'!$B$43,IF(G4132&lt;41,'General Basis'!$B$44,IF(G4132&lt;46,'General Basis'!$B$45,IF(G4132&lt;51,'General Basis'!$B$46,IF(G4132&lt;56,'General Basis'!$B$47,IF(G4132&lt;60,'General Basis'!$B$48,IF(G4132&lt;65,'General Basis'!$B$49,'General Basis'!$B$50)))))))))))))</f>
        <v/>
      </c>
      <c r="BI4132" s="744" t="str">
        <f t="shared" si="1435"/>
        <v/>
      </c>
      <c r="BJ4132" s="747" t="str">
        <f t="shared" si="1442"/>
        <v/>
      </c>
      <c r="BK4132" s="498" t="str">
        <f t="shared" si="1436"/>
        <v/>
      </c>
      <c r="BL4132" s="498" t="str">
        <f t="shared" si="1437"/>
        <v/>
      </c>
    </row>
    <row r="4133" spans="1:64" x14ac:dyDescent="0.25">
      <c r="A4133" s="762">
        <f t="shared" si="1438"/>
        <v>4128</v>
      </c>
      <c r="B4133" s="229"/>
      <c r="C4133" s="223"/>
      <c r="D4133" s="224"/>
      <c r="E4133" s="225"/>
      <c r="F4133" s="1036" t="str">
        <f t="shared" si="1444"/>
        <v/>
      </c>
      <c r="G4133" s="1037" t="str">
        <f t="shared" si="1439"/>
        <v/>
      </c>
      <c r="H4133" s="225"/>
      <c r="I4133" s="1013"/>
      <c r="J4133" s="1013"/>
      <c r="K4133" s="1028"/>
      <c r="L4133" s="1035" t="str">
        <f t="shared" si="1443"/>
        <v/>
      </c>
      <c r="S4133" s="498"/>
      <c r="AJ4133" s="498"/>
      <c r="AM4133" s="498">
        <f t="shared" si="1424"/>
        <v>0</v>
      </c>
      <c r="AN4133" s="498">
        <f t="shared" si="1425"/>
        <v>0</v>
      </c>
      <c r="AO4133" s="498">
        <f t="shared" si="1426"/>
        <v>0</v>
      </c>
      <c r="AP4133" s="498">
        <f t="shared" si="1445"/>
        <v>0</v>
      </c>
      <c r="AQ4133" s="498">
        <f t="shared" si="1440"/>
        <v>0</v>
      </c>
      <c r="AU4133" s="498">
        <f t="shared" si="1427"/>
        <v>0</v>
      </c>
      <c r="AV4133" s="498">
        <f t="shared" si="1428"/>
        <v>0</v>
      </c>
      <c r="AW4133" s="498">
        <f t="shared" si="1429"/>
        <v>0</v>
      </c>
      <c r="AX4133" s="498">
        <f t="shared" si="1430"/>
        <v>0</v>
      </c>
      <c r="AY4133" s="498">
        <f t="shared" si="1431"/>
        <v>0</v>
      </c>
      <c r="BB4133" s="498" t="str">
        <f t="shared" si="1432"/>
        <v/>
      </c>
      <c r="BC4133" s="743" t="str">
        <f t="shared" si="1433"/>
        <v/>
      </c>
      <c r="BD4133" s="743" t="str">
        <f t="shared" si="1434"/>
        <v/>
      </c>
      <c r="BE4133" s="743" t="str">
        <f>IF(D4133="","",VLOOKUP(D4133,'General Basis'!$J$39:$K$46,2,0))</f>
        <v/>
      </c>
      <c r="BF4133" s="744" t="str">
        <f>IF(D4133="","",VLOOKUP(D4133,'General Basis'!$J$39:$L$46,3,0))</f>
        <v/>
      </c>
      <c r="BG4133" s="744" t="str">
        <f t="shared" si="1441"/>
        <v/>
      </c>
      <c r="BH4133" s="744" t="str">
        <f>IF(G4133="","",IF(BF4133="Abu Dhabi",IF(G4133&lt;18,'General Basis'!$C$39,IF(G4133&lt;41,'General Basis'!$C$40,IF(G4133&lt;60,'General Basis'!$C$41,IF(G4133&lt;65,'General Basis'!$C$42,'General Basis'!$C$43)))),IF(G4133&lt;11,'General Basis'!$B$39,IF(G4133&lt;18,'General Basis'!$B$40,IF(G4133&lt;26,'General Basis'!$B$41,IF(G4133&lt;31,'General Basis'!$B$42,IF(G4133&lt;36,'General Basis'!$B$43,IF(G4133&lt;41,'General Basis'!$B$44,IF(G4133&lt;46,'General Basis'!$B$45,IF(G4133&lt;51,'General Basis'!$B$46,IF(G4133&lt;56,'General Basis'!$B$47,IF(G4133&lt;60,'General Basis'!$B$48,IF(G4133&lt;65,'General Basis'!$B$49,'General Basis'!$B$50)))))))))))))</f>
        <v/>
      </c>
      <c r="BI4133" s="744" t="str">
        <f t="shared" si="1435"/>
        <v/>
      </c>
      <c r="BJ4133" s="747" t="str">
        <f t="shared" si="1442"/>
        <v/>
      </c>
      <c r="BK4133" s="498" t="str">
        <f t="shared" si="1436"/>
        <v/>
      </c>
      <c r="BL4133" s="498" t="str">
        <f t="shared" si="1437"/>
        <v/>
      </c>
    </row>
    <row r="4134" spans="1:64" x14ac:dyDescent="0.25">
      <c r="A4134" s="762">
        <f t="shared" si="1438"/>
        <v>4129</v>
      </c>
      <c r="B4134" s="229"/>
      <c r="C4134" s="223"/>
      <c r="D4134" s="224"/>
      <c r="E4134" s="225"/>
      <c r="F4134" s="1036" t="str">
        <f t="shared" si="1444"/>
        <v/>
      </c>
      <c r="G4134" s="1037" t="str">
        <f t="shared" si="1439"/>
        <v/>
      </c>
      <c r="H4134" s="225"/>
      <c r="I4134" s="1013"/>
      <c r="J4134" s="1013"/>
      <c r="K4134" s="1028"/>
      <c r="L4134" s="1035" t="str">
        <f t="shared" si="1443"/>
        <v/>
      </c>
      <c r="S4134" s="498"/>
      <c r="AJ4134" s="498"/>
      <c r="AM4134" s="498">
        <f t="shared" si="1424"/>
        <v>0</v>
      </c>
      <c r="AN4134" s="498">
        <f t="shared" si="1425"/>
        <v>0</v>
      </c>
      <c r="AO4134" s="498">
        <f t="shared" si="1426"/>
        <v>0</v>
      </c>
      <c r="AP4134" s="498">
        <f t="shared" si="1445"/>
        <v>0</v>
      </c>
      <c r="AQ4134" s="498">
        <f t="shared" si="1440"/>
        <v>0</v>
      </c>
      <c r="AU4134" s="498">
        <f t="shared" si="1427"/>
        <v>0</v>
      </c>
      <c r="AV4134" s="498">
        <f t="shared" si="1428"/>
        <v>0</v>
      </c>
      <c r="AW4134" s="498">
        <f t="shared" si="1429"/>
        <v>0</v>
      </c>
      <c r="AX4134" s="498">
        <f t="shared" si="1430"/>
        <v>0</v>
      </c>
      <c r="AY4134" s="498">
        <f t="shared" si="1431"/>
        <v>0</v>
      </c>
      <c r="BB4134" s="498" t="str">
        <f t="shared" si="1432"/>
        <v/>
      </c>
      <c r="BC4134" s="743" t="str">
        <f t="shared" si="1433"/>
        <v/>
      </c>
      <c r="BD4134" s="743" t="str">
        <f t="shared" si="1434"/>
        <v/>
      </c>
      <c r="BE4134" s="743" t="str">
        <f>IF(D4134="","",VLOOKUP(D4134,'General Basis'!$J$39:$K$46,2,0))</f>
        <v/>
      </c>
      <c r="BF4134" s="744" t="str">
        <f>IF(D4134="","",VLOOKUP(D4134,'General Basis'!$J$39:$L$46,3,0))</f>
        <v/>
      </c>
      <c r="BG4134" s="744" t="str">
        <f t="shared" si="1441"/>
        <v/>
      </c>
      <c r="BH4134" s="744" t="str">
        <f>IF(G4134="","",IF(BF4134="Abu Dhabi",IF(G4134&lt;18,'General Basis'!$C$39,IF(G4134&lt;41,'General Basis'!$C$40,IF(G4134&lt;60,'General Basis'!$C$41,IF(G4134&lt;65,'General Basis'!$C$42,'General Basis'!$C$43)))),IF(G4134&lt;11,'General Basis'!$B$39,IF(G4134&lt;18,'General Basis'!$B$40,IF(G4134&lt;26,'General Basis'!$B$41,IF(G4134&lt;31,'General Basis'!$B$42,IF(G4134&lt;36,'General Basis'!$B$43,IF(G4134&lt;41,'General Basis'!$B$44,IF(G4134&lt;46,'General Basis'!$B$45,IF(G4134&lt;51,'General Basis'!$B$46,IF(G4134&lt;56,'General Basis'!$B$47,IF(G4134&lt;60,'General Basis'!$B$48,IF(G4134&lt;65,'General Basis'!$B$49,'General Basis'!$B$50)))))))))))))</f>
        <v/>
      </c>
      <c r="BI4134" s="744" t="str">
        <f t="shared" si="1435"/>
        <v/>
      </c>
      <c r="BJ4134" s="747" t="str">
        <f t="shared" si="1442"/>
        <v/>
      </c>
      <c r="BK4134" s="498" t="str">
        <f t="shared" si="1436"/>
        <v/>
      </c>
      <c r="BL4134" s="498" t="str">
        <f t="shared" si="1437"/>
        <v/>
      </c>
    </row>
    <row r="4135" spans="1:64" x14ac:dyDescent="0.25">
      <c r="A4135" s="762">
        <f t="shared" si="1438"/>
        <v>4130</v>
      </c>
      <c r="B4135" s="229"/>
      <c r="C4135" s="223"/>
      <c r="D4135" s="224"/>
      <c r="E4135" s="225"/>
      <c r="F4135" s="1036" t="str">
        <f t="shared" si="1444"/>
        <v/>
      </c>
      <c r="G4135" s="1037" t="str">
        <f t="shared" si="1439"/>
        <v/>
      </c>
      <c r="H4135" s="225"/>
      <c r="I4135" s="1013"/>
      <c r="J4135" s="1013"/>
      <c r="K4135" s="1028"/>
      <c r="L4135" s="1035" t="str">
        <f t="shared" si="1443"/>
        <v/>
      </c>
      <c r="S4135" s="498"/>
      <c r="AJ4135" s="498"/>
      <c r="AM4135" s="498">
        <f t="shared" si="1424"/>
        <v>0</v>
      </c>
      <c r="AN4135" s="498">
        <f t="shared" si="1425"/>
        <v>0</v>
      </c>
      <c r="AO4135" s="498">
        <f t="shared" si="1426"/>
        <v>0</v>
      </c>
      <c r="AP4135" s="498">
        <f t="shared" si="1445"/>
        <v>0</v>
      </c>
      <c r="AQ4135" s="498">
        <f t="shared" si="1440"/>
        <v>0</v>
      </c>
      <c r="AU4135" s="498">
        <f t="shared" si="1427"/>
        <v>0</v>
      </c>
      <c r="AV4135" s="498">
        <f t="shared" si="1428"/>
        <v>0</v>
      </c>
      <c r="AW4135" s="498">
        <f t="shared" si="1429"/>
        <v>0</v>
      </c>
      <c r="AX4135" s="498">
        <f t="shared" si="1430"/>
        <v>0</v>
      </c>
      <c r="AY4135" s="498">
        <f t="shared" si="1431"/>
        <v>0</v>
      </c>
      <c r="BB4135" s="498" t="str">
        <f t="shared" si="1432"/>
        <v/>
      </c>
      <c r="BC4135" s="743" t="str">
        <f t="shared" si="1433"/>
        <v/>
      </c>
      <c r="BD4135" s="743" t="str">
        <f t="shared" si="1434"/>
        <v/>
      </c>
      <c r="BE4135" s="743" t="str">
        <f>IF(D4135="","",VLOOKUP(D4135,'General Basis'!$J$39:$K$46,2,0))</f>
        <v/>
      </c>
      <c r="BF4135" s="744" t="str">
        <f>IF(D4135="","",VLOOKUP(D4135,'General Basis'!$J$39:$L$46,3,0))</f>
        <v/>
      </c>
      <c r="BG4135" s="744" t="str">
        <f t="shared" si="1441"/>
        <v/>
      </c>
      <c r="BH4135" s="744" t="str">
        <f>IF(G4135="","",IF(BF4135="Abu Dhabi",IF(G4135&lt;18,'General Basis'!$C$39,IF(G4135&lt;41,'General Basis'!$C$40,IF(G4135&lt;60,'General Basis'!$C$41,IF(G4135&lt;65,'General Basis'!$C$42,'General Basis'!$C$43)))),IF(G4135&lt;11,'General Basis'!$B$39,IF(G4135&lt;18,'General Basis'!$B$40,IF(G4135&lt;26,'General Basis'!$B$41,IF(G4135&lt;31,'General Basis'!$B$42,IF(G4135&lt;36,'General Basis'!$B$43,IF(G4135&lt;41,'General Basis'!$B$44,IF(G4135&lt;46,'General Basis'!$B$45,IF(G4135&lt;51,'General Basis'!$B$46,IF(G4135&lt;56,'General Basis'!$B$47,IF(G4135&lt;60,'General Basis'!$B$48,IF(G4135&lt;65,'General Basis'!$B$49,'General Basis'!$B$50)))))))))))))</f>
        <v/>
      </c>
      <c r="BI4135" s="744" t="str">
        <f t="shared" si="1435"/>
        <v/>
      </c>
      <c r="BJ4135" s="747" t="str">
        <f t="shared" si="1442"/>
        <v/>
      </c>
      <c r="BK4135" s="498" t="str">
        <f t="shared" si="1436"/>
        <v/>
      </c>
      <c r="BL4135" s="498" t="str">
        <f t="shared" si="1437"/>
        <v/>
      </c>
    </row>
    <row r="4136" spans="1:64" x14ac:dyDescent="0.25">
      <c r="A4136" s="762">
        <f t="shared" si="1438"/>
        <v>4131</v>
      </c>
      <c r="B4136" s="229"/>
      <c r="C4136" s="223"/>
      <c r="D4136" s="224"/>
      <c r="E4136" s="225"/>
      <c r="F4136" s="1036" t="str">
        <f t="shared" si="1444"/>
        <v/>
      </c>
      <c r="G4136" s="1037" t="str">
        <f t="shared" si="1439"/>
        <v/>
      </c>
      <c r="H4136" s="225"/>
      <c r="I4136" s="1013"/>
      <c r="J4136" s="1013"/>
      <c r="K4136" s="1028"/>
      <c r="L4136" s="1035" t="str">
        <f t="shared" si="1443"/>
        <v/>
      </c>
      <c r="S4136" s="498"/>
      <c r="AJ4136" s="498"/>
      <c r="AM4136" s="498">
        <f t="shared" si="1424"/>
        <v>0</v>
      </c>
      <c r="AN4136" s="498">
        <f t="shared" si="1425"/>
        <v>0</v>
      </c>
      <c r="AO4136" s="498">
        <f t="shared" si="1426"/>
        <v>0</v>
      </c>
      <c r="AP4136" s="498">
        <f t="shared" si="1445"/>
        <v>0</v>
      </c>
      <c r="AQ4136" s="498">
        <f t="shared" si="1440"/>
        <v>0</v>
      </c>
      <c r="AU4136" s="498">
        <f t="shared" si="1427"/>
        <v>0</v>
      </c>
      <c r="AV4136" s="498">
        <f t="shared" si="1428"/>
        <v>0</v>
      </c>
      <c r="AW4136" s="498">
        <f t="shared" si="1429"/>
        <v>0</v>
      </c>
      <c r="AX4136" s="498">
        <f t="shared" si="1430"/>
        <v>0</v>
      </c>
      <c r="AY4136" s="498">
        <f t="shared" si="1431"/>
        <v>0</v>
      </c>
      <c r="BB4136" s="498" t="str">
        <f t="shared" si="1432"/>
        <v/>
      </c>
      <c r="BC4136" s="743" t="str">
        <f t="shared" si="1433"/>
        <v/>
      </c>
      <c r="BD4136" s="743" t="str">
        <f t="shared" si="1434"/>
        <v/>
      </c>
      <c r="BE4136" s="743" t="str">
        <f>IF(D4136="","",VLOOKUP(D4136,'General Basis'!$J$39:$K$46,2,0))</f>
        <v/>
      </c>
      <c r="BF4136" s="744" t="str">
        <f>IF(D4136="","",VLOOKUP(D4136,'General Basis'!$J$39:$L$46,3,0))</f>
        <v/>
      </c>
      <c r="BG4136" s="744" t="str">
        <f t="shared" si="1441"/>
        <v/>
      </c>
      <c r="BH4136" s="744" t="str">
        <f>IF(G4136="","",IF(BF4136="Abu Dhabi",IF(G4136&lt;18,'General Basis'!$C$39,IF(G4136&lt;41,'General Basis'!$C$40,IF(G4136&lt;60,'General Basis'!$C$41,IF(G4136&lt;65,'General Basis'!$C$42,'General Basis'!$C$43)))),IF(G4136&lt;11,'General Basis'!$B$39,IF(G4136&lt;18,'General Basis'!$B$40,IF(G4136&lt;26,'General Basis'!$B$41,IF(G4136&lt;31,'General Basis'!$B$42,IF(G4136&lt;36,'General Basis'!$B$43,IF(G4136&lt;41,'General Basis'!$B$44,IF(G4136&lt;46,'General Basis'!$B$45,IF(G4136&lt;51,'General Basis'!$B$46,IF(G4136&lt;56,'General Basis'!$B$47,IF(G4136&lt;60,'General Basis'!$B$48,IF(G4136&lt;65,'General Basis'!$B$49,'General Basis'!$B$50)))))))))))))</f>
        <v/>
      </c>
      <c r="BI4136" s="744" t="str">
        <f t="shared" si="1435"/>
        <v/>
      </c>
      <c r="BJ4136" s="747" t="str">
        <f t="shared" si="1442"/>
        <v/>
      </c>
      <c r="BK4136" s="498" t="str">
        <f t="shared" si="1436"/>
        <v/>
      </c>
      <c r="BL4136" s="498" t="str">
        <f t="shared" si="1437"/>
        <v/>
      </c>
    </row>
    <row r="4137" spans="1:64" x14ac:dyDescent="0.25">
      <c r="A4137" s="762">
        <f t="shared" si="1438"/>
        <v>4132</v>
      </c>
      <c r="B4137" s="229"/>
      <c r="C4137" s="223"/>
      <c r="D4137" s="224"/>
      <c r="E4137" s="225"/>
      <c r="F4137" s="1036" t="str">
        <f t="shared" si="1444"/>
        <v/>
      </c>
      <c r="G4137" s="1037" t="str">
        <f t="shared" si="1439"/>
        <v/>
      </c>
      <c r="H4137" s="225"/>
      <c r="I4137" s="1013"/>
      <c r="J4137" s="1013"/>
      <c r="K4137" s="1028"/>
      <c r="L4137" s="1035" t="str">
        <f t="shared" si="1443"/>
        <v/>
      </c>
      <c r="S4137" s="498"/>
      <c r="AJ4137" s="498"/>
      <c r="AM4137" s="498">
        <f t="shared" si="1424"/>
        <v>0</v>
      </c>
      <c r="AN4137" s="498">
        <f t="shared" si="1425"/>
        <v>0</v>
      </c>
      <c r="AO4137" s="498">
        <f t="shared" si="1426"/>
        <v>0</v>
      </c>
      <c r="AP4137" s="498">
        <f t="shared" si="1445"/>
        <v>0</v>
      </c>
      <c r="AQ4137" s="498">
        <f t="shared" si="1440"/>
        <v>0</v>
      </c>
      <c r="AU4137" s="498">
        <f t="shared" si="1427"/>
        <v>0</v>
      </c>
      <c r="AV4137" s="498">
        <f t="shared" si="1428"/>
        <v>0</v>
      </c>
      <c r="AW4137" s="498">
        <f t="shared" si="1429"/>
        <v>0</v>
      </c>
      <c r="AX4137" s="498">
        <f t="shared" si="1430"/>
        <v>0</v>
      </c>
      <c r="AY4137" s="498">
        <f t="shared" si="1431"/>
        <v>0</v>
      </c>
      <c r="BB4137" s="498" t="str">
        <f t="shared" si="1432"/>
        <v/>
      </c>
      <c r="BC4137" s="743" t="str">
        <f t="shared" si="1433"/>
        <v/>
      </c>
      <c r="BD4137" s="743" t="str">
        <f t="shared" si="1434"/>
        <v/>
      </c>
      <c r="BE4137" s="743" t="str">
        <f>IF(D4137="","",VLOOKUP(D4137,'General Basis'!$J$39:$K$46,2,0))</f>
        <v/>
      </c>
      <c r="BF4137" s="744" t="str">
        <f>IF(D4137="","",VLOOKUP(D4137,'General Basis'!$J$39:$L$46,3,0))</f>
        <v/>
      </c>
      <c r="BG4137" s="744" t="str">
        <f t="shared" si="1441"/>
        <v/>
      </c>
      <c r="BH4137" s="744" t="str">
        <f>IF(G4137="","",IF(BF4137="Abu Dhabi",IF(G4137&lt;18,'General Basis'!$C$39,IF(G4137&lt;41,'General Basis'!$C$40,IF(G4137&lt;60,'General Basis'!$C$41,IF(G4137&lt;65,'General Basis'!$C$42,'General Basis'!$C$43)))),IF(G4137&lt;11,'General Basis'!$B$39,IF(G4137&lt;18,'General Basis'!$B$40,IF(G4137&lt;26,'General Basis'!$B$41,IF(G4137&lt;31,'General Basis'!$B$42,IF(G4137&lt;36,'General Basis'!$B$43,IF(G4137&lt;41,'General Basis'!$B$44,IF(G4137&lt;46,'General Basis'!$B$45,IF(G4137&lt;51,'General Basis'!$B$46,IF(G4137&lt;56,'General Basis'!$B$47,IF(G4137&lt;60,'General Basis'!$B$48,IF(G4137&lt;65,'General Basis'!$B$49,'General Basis'!$B$50)))))))))))))</f>
        <v/>
      </c>
      <c r="BI4137" s="744" t="str">
        <f t="shared" si="1435"/>
        <v/>
      </c>
      <c r="BJ4137" s="747" t="str">
        <f t="shared" si="1442"/>
        <v/>
      </c>
      <c r="BK4137" s="498" t="str">
        <f t="shared" si="1436"/>
        <v/>
      </c>
      <c r="BL4137" s="498" t="str">
        <f t="shared" si="1437"/>
        <v/>
      </c>
    </row>
    <row r="4138" spans="1:64" x14ac:dyDescent="0.25">
      <c r="A4138" s="762">
        <f t="shared" si="1438"/>
        <v>4133</v>
      </c>
      <c r="B4138" s="229"/>
      <c r="C4138" s="223"/>
      <c r="D4138" s="224"/>
      <c r="E4138" s="225"/>
      <c r="F4138" s="1036" t="str">
        <f t="shared" si="1444"/>
        <v/>
      </c>
      <c r="G4138" s="1037" t="str">
        <f t="shared" si="1439"/>
        <v/>
      </c>
      <c r="H4138" s="225"/>
      <c r="I4138" s="1013"/>
      <c r="J4138" s="1013"/>
      <c r="K4138" s="1028"/>
      <c r="L4138" s="1035" t="str">
        <f t="shared" si="1443"/>
        <v/>
      </c>
      <c r="S4138" s="498"/>
      <c r="AJ4138" s="498"/>
      <c r="AM4138" s="498">
        <f t="shared" si="1424"/>
        <v>0</v>
      </c>
      <c r="AN4138" s="498">
        <f t="shared" si="1425"/>
        <v>0</v>
      </c>
      <c r="AO4138" s="498">
        <f t="shared" si="1426"/>
        <v>0</v>
      </c>
      <c r="AP4138" s="498">
        <f t="shared" si="1445"/>
        <v>0</v>
      </c>
      <c r="AQ4138" s="498">
        <f t="shared" si="1440"/>
        <v>0</v>
      </c>
      <c r="AU4138" s="498">
        <f t="shared" si="1427"/>
        <v>0</v>
      </c>
      <c r="AV4138" s="498">
        <f t="shared" si="1428"/>
        <v>0</v>
      </c>
      <c r="AW4138" s="498">
        <f t="shared" si="1429"/>
        <v>0</v>
      </c>
      <c r="AX4138" s="498">
        <f t="shared" si="1430"/>
        <v>0</v>
      </c>
      <c r="AY4138" s="498">
        <f t="shared" si="1431"/>
        <v>0</v>
      </c>
      <c r="BB4138" s="498" t="str">
        <f t="shared" si="1432"/>
        <v/>
      </c>
      <c r="BC4138" s="743" t="str">
        <f t="shared" si="1433"/>
        <v/>
      </c>
      <c r="BD4138" s="743" t="str">
        <f t="shared" si="1434"/>
        <v/>
      </c>
      <c r="BE4138" s="743" t="str">
        <f>IF(D4138="","",VLOOKUP(D4138,'General Basis'!$J$39:$K$46,2,0))</f>
        <v/>
      </c>
      <c r="BF4138" s="744" t="str">
        <f>IF(D4138="","",VLOOKUP(D4138,'General Basis'!$J$39:$L$46,3,0))</f>
        <v/>
      </c>
      <c r="BG4138" s="744" t="str">
        <f t="shared" si="1441"/>
        <v/>
      </c>
      <c r="BH4138" s="744" t="str">
        <f>IF(G4138="","",IF(BF4138="Abu Dhabi",IF(G4138&lt;18,'General Basis'!$C$39,IF(G4138&lt;41,'General Basis'!$C$40,IF(G4138&lt;60,'General Basis'!$C$41,IF(G4138&lt;65,'General Basis'!$C$42,'General Basis'!$C$43)))),IF(G4138&lt;11,'General Basis'!$B$39,IF(G4138&lt;18,'General Basis'!$B$40,IF(G4138&lt;26,'General Basis'!$B$41,IF(G4138&lt;31,'General Basis'!$B$42,IF(G4138&lt;36,'General Basis'!$B$43,IF(G4138&lt;41,'General Basis'!$B$44,IF(G4138&lt;46,'General Basis'!$B$45,IF(G4138&lt;51,'General Basis'!$B$46,IF(G4138&lt;56,'General Basis'!$B$47,IF(G4138&lt;60,'General Basis'!$B$48,IF(G4138&lt;65,'General Basis'!$B$49,'General Basis'!$B$50)))))))))))))</f>
        <v/>
      </c>
      <c r="BI4138" s="744" t="str">
        <f t="shared" si="1435"/>
        <v/>
      </c>
      <c r="BJ4138" s="747" t="str">
        <f t="shared" si="1442"/>
        <v/>
      </c>
      <c r="BK4138" s="498" t="str">
        <f t="shared" si="1436"/>
        <v/>
      </c>
      <c r="BL4138" s="498" t="str">
        <f t="shared" si="1437"/>
        <v/>
      </c>
    </row>
    <row r="4139" spans="1:64" x14ac:dyDescent="0.25">
      <c r="A4139" s="762">
        <f t="shared" si="1438"/>
        <v>4134</v>
      </c>
      <c r="B4139" s="229"/>
      <c r="C4139" s="223"/>
      <c r="D4139" s="224"/>
      <c r="E4139" s="225"/>
      <c r="F4139" s="1036" t="str">
        <f t="shared" si="1444"/>
        <v/>
      </c>
      <c r="G4139" s="1037" t="str">
        <f t="shared" si="1439"/>
        <v/>
      </c>
      <c r="H4139" s="225"/>
      <c r="I4139" s="1013"/>
      <c r="J4139" s="1013"/>
      <c r="K4139" s="1028"/>
      <c r="L4139" s="1035" t="str">
        <f t="shared" si="1443"/>
        <v/>
      </c>
      <c r="S4139" s="498"/>
      <c r="AJ4139" s="498"/>
      <c r="AM4139" s="498">
        <f t="shared" si="1424"/>
        <v>0</v>
      </c>
      <c r="AN4139" s="498">
        <f t="shared" si="1425"/>
        <v>0</v>
      </c>
      <c r="AO4139" s="498">
        <f t="shared" si="1426"/>
        <v>0</v>
      </c>
      <c r="AP4139" s="498">
        <f t="shared" si="1445"/>
        <v>0</v>
      </c>
      <c r="AQ4139" s="498">
        <f t="shared" si="1440"/>
        <v>0</v>
      </c>
      <c r="AU4139" s="498">
        <f t="shared" si="1427"/>
        <v>0</v>
      </c>
      <c r="AV4139" s="498">
        <f t="shared" si="1428"/>
        <v>0</v>
      </c>
      <c r="AW4139" s="498">
        <f t="shared" si="1429"/>
        <v>0</v>
      </c>
      <c r="AX4139" s="498">
        <f t="shared" si="1430"/>
        <v>0</v>
      </c>
      <c r="AY4139" s="498">
        <f t="shared" si="1431"/>
        <v>0</v>
      </c>
      <c r="BB4139" s="498" t="str">
        <f t="shared" si="1432"/>
        <v/>
      </c>
      <c r="BC4139" s="743" t="str">
        <f t="shared" si="1433"/>
        <v/>
      </c>
      <c r="BD4139" s="743" t="str">
        <f t="shared" si="1434"/>
        <v/>
      </c>
      <c r="BE4139" s="743" t="str">
        <f>IF(D4139="","",VLOOKUP(D4139,'General Basis'!$J$39:$K$46,2,0))</f>
        <v/>
      </c>
      <c r="BF4139" s="744" t="str">
        <f>IF(D4139="","",VLOOKUP(D4139,'General Basis'!$J$39:$L$46,3,0))</f>
        <v/>
      </c>
      <c r="BG4139" s="744" t="str">
        <f t="shared" si="1441"/>
        <v/>
      </c>
      <c r="BH4139" s="744" t="str">
        <f>IF(G4139="","",IF(BF4139="Abu Dhabi",IF(G4139&lt;18,'General Basis'!$C$39,IF(G4139&lt;41,'General Basis'!$C$40,IF(G4139&lt;60,'General Basis'!$C$41,IF(G4139&lt;65,'General Basis'!$C$42,'General Basis'!$C$43)))),IF(G4139&lt;11,'General Basis'!$B$39,IF(G4139&lt;18,'General Basis'!$B$40,IF(G4139&lt;26,'General Basis'!$B$41,IF(G4139&lt;31,'General Basis'!$B$42,IF(G4139&lt;36,'General Basis'!$B$43,IF(G4139&lt;41,'General Basis'!$B$44,IF(G4139&lt;46,'General Basis'!$B$45,IF(G4139&lt;51,'General Basis'!$B$46,IF(G4139&lt;56,'General Basis'!$B$47,IF(G4139&lt;60,'General Basis'!$B$48,IF(G4139&lt;65,'General Basis'!$B$49,'General Basis'!$B$50)))))))))))))</f>
        <v/>
      </c>
      <c r="BI4139" s="744" t="str">
        <f t="shared" si="1435"/>
        <v/>
      </c>
      <c r="BJ4139" s="747" t="str">
        <f t="shared" si="1442"/>
        <v/>
      </c>
      <c r="BK4139" s="498" t="str">
        <f t="shared" si="1436"/>
        <v/>
      </c>
      <c r="BL4139" s="498" t="str">
        <f t="shared" si="1437"/>
        <v/>
      </c>
    </row>
    <row r="4140" spans="1:64" x14ac:dyDescent="0.25">
      <c r="A4140" s="762">
        <f t="shared" si="1438"/>
        <v>4135</v>
      </c>
      <c r="B4140" s="229"/>
      <c r="C4140" s="223"/>
      <c r="D4140" s="224"/>
      <c r="E4140" s="225"/>
      <c r="F4140" s="1036" t="str">
        <f t="shared" si="1444"/>
        <v/>
      </c>
      <c r="G4140" s="1037" t="str">
        <f t="shared" si="1439"/>
        <v/>
      </c>
      <c r="H4140" s="225"/>
      <c r="I4140" s="1013"/>
      <c r="J4140" s="1013"/>
      <c r="K4140" s="1028"/>
      <c r="L4140" s="1035" t="str">
        <f t="shared" si="1443"/>
        <v/>
      </c>
      <c r="S4140" s="498"/>
      <c r="AJ4140" s="498"/>
      <c r="AM4140" s="498">
        <f t="shared" si="1424"/>
        <v>0</v>
      </c>
      <c r="AN4140" s="498">
        <f t="shared" si="1425"/>
        <v>0</v>
      </c>
      <c r="AO4140" s="498">
        <f t="shared" si="1426"/>
        <v>0</v>
      </c>
      <c r="AP4140" s="498">
        <f t="shared" si="1445"/>
        <v>0</v>
      </c>
      <c r="AQ4140" s="498">
        <f t="shared" si="1440"/>
        <v>0</v>
      </c>
      <c r="AU4140" s="498">
        <f t="shared" si="1427"/>
        <v>0</v>
      </c>
      <c r="AV4140" s="498">
        <f t="shared" si="1428"/>
        <v>0</v>
      </c>
      <c r="AW4140" s="498">
        <f t="shared" si="1429"/>
        <v>0</v>
      </c>
      <c r="AX4140" s="498">
        <f t="shared" si="1430"/>
        <v>0</v>
      </c>
      <c r="AY4140" s="498">
        <f t="shared" si="1431"/>
        <v>0</v>
      </c>
      <c r="BB4140" s="498" t="str">
        <f t="shared" si="1432"/>
        <v/>
      </c>
      <c r="BC4140" s="743" t="str">
        <f t="shared" si="1433"/>
        <v/>
      </c>
      <c r="BD4140" s="743" t="str">
        <f t="shared" si="1434"/>
        <v/>
      </c>
      <c r="BE4140" s="743" t="str">
        <f>IF(D4140="","",VLOOKUP(D4140,'General Basis'!$J$39:$K$46,2,0))</f>
        <v/>
      </c>
      <c r="BF4140" s="744" t="str">
        <f>IF(D4140="","",VLOOKUP(D4140,'General Basis'!$J$39:$L$46,3,0))</f>
        <v/>
      </c>
      <c r="BG4140" s="744" t="str">
        <f t="shared" si="1441"/>
        <v/>
      </c>
      <c r="BH4140" s="744" t="str">
        <f>IF(G4140="","",IF(BF4140="Abu Dhabi",IF(G4140&lt;18,'General Basis'!$C$39,IF(G4140&lt;41,'General Basis'!$C$40,IF(G4140&lt;60,'General Basis'!$C$41,IF(G4140&lt;65,'General Basis'!$C$42,'General Basis'!$C$43)))),IF(G4140&lt;11,'General Basis'!$B$39,IF(G4140&lt;18,'General Basis'!$B$40,IF(G4140&lt;26,'General Basis'!$B$41,IF(G4140&lt;31,'General Basis'!$B$42,IF(G4140&lt;36,'General Basis'!$B$43,IF(G4140&lt;41,'General Basis'!$B$44,IF(G4140&lt;46,'General Basis'!$B$45,IF(G4140&lt;51,'General Basis'!$B$46,IF(G4140&lt;56,'General Basis'!$B$47,IF(G4140&lt;60,'General Basis'!$B$48,IF(G4140&lt;65,'General Basis'!$B$49,'General Basis'!$B$50)))))))))))))</f>
        <v/>
      </c>
      <c r="BI4140" s="744" t="str">
        <f t="shared" si="1435"/>
        <v/>
      </c>
      <c r="BJ4140" s="747" t="str">
        <f t="shared" si="1442"/>
        <v/>
      </c>
      <c r="BK4140" s="498" t="str">
        <f t="shared" si="1436"/>
        <v/>
      </c>
      <c r="BL4140" s="498" t="str">
        <f t="shared" si="1437"/>
        <v/>
      </c>
    </row>
    <row r="4141" spans="1:64" x14ac:dyDescent="0.25">
      <c r="A4141" s="762">
        <f t="shared" si="1438"/>
        <v>4136</v>
      </c>
      <c r="B4141" s="229"/>
      <c r="C4141" s="223"/>
      <c r="D4141" s="224"/>
      <c r="E4141" s="225"/>
      <c r="F4141" s="1036" t="str">
        <f t="shared" si="1444"/>
        <v/>
      </c>
      <c r="G4141" s="1037" t="str">
        <f t="shared" si="1439"/>
        <v/>
      </c>
      <c r="H4141" s="225"/>
      <c r="I4141" s="1013"/>
      <c r="J4141" s="1013"/>
      <c r="K4141" s="1028"/>
      <c r="L4141" s="1035" t="str">
        <f t="shared" si="1443"/>
        <v/>
      </c>
      <c r="S4141" s="498"/>
      <c r="AJ4141" s="498"/>
      <c r="AM4141" s="498">
        <f t="shared" si="1424"/>
        <v>0</v>
      </c>
      <c r="AN4141" s="498">
        <f t="shared" si="1425"/>
        <v>0</v>
      </c>
      <c r="AO4141" s="498">
        <f t="shared" si="1426"/>
        <v>0</v>
      </c>
      <c r="AP4141" s="498">
        <f t="shared" si="1445"/>
        <v>0</v>
      </c>
      <c r="AQ4141" s="498">
        <f t="shared" si="1440"/>
        <v>0</v>
      </c>
      <c r="AU4141" s="498">
        <f t="shared" si="1427"/>
        <v>0</v>
      </c>
      <c r="AV4141" s="498">
        <f t="shared" si="1428"/>
        <v>0</v>
      </c>
      <c r="AW4141" s="498">
        <f t="shared" si="1429"/>
        <v>0</v>
      </c>
      <c r="AX4141" s="498">
        <f t="shared" si="1430"/>
        <v>0</v>
      </c>
      <c r="AY4141" s="498">
        <f t="shared" si="1431"/>
        <v>0</v>
      </c>
      <c r="BB4141" s="498" t="str">
        <f t="shared" si="1432"/>
        <v/>
      </c>
      <c r="BC4141" s="743" t="str">
        <f t="shared" si="1433"/>
        <v/>
      </c>
      <c r="BD4141" s="743" t="str">
        <f t="shared" si="1434"/>
        <v/>
      </c>
      <c r="BE4141" s="743" t="str">
        <f>IF(D4141="","",VLOOKUP(D4141,'General Basis'!$J$39:$K$46,2,0))</f>
        <v/>
      </c>
      <c r="BF4141" s="744" t="str">
        <f>IF(D4141="","",VLOOKUP(D4141,'General Basis'!$J$39:$L$46,3,0))</f>
        <v/>
      </c>
      <c r="BG4141" s="744" t="str">
        <f t="shared" si="1441"/>
        <v/>
      </c>
      <c r="BH4141" s="744" t="str">
        <f>IF(G4141="","",IF(BF4141="Abu Dhabi",IF(G4141&lt;18,'General Basis'!$C$39,IF(G4141&lt;41,'General Basis'!$C$40,IF(G4141&lt;60,'General Basis'!$C$41,IF(G4141&lt;65,'General Basis'!$C$42,'General Basis'!$C$43)))),IF(G4141&lt;11,'General Basis'!$B$39,IF(G4141&lt;18,'General Basis'!$B$40,IF(G4141&lt;26,'General Basis'!$B$41,IF(G4141&lt;31,'General Basis'!$B$42,IF(G4141&lt;36,'General Basis'!$B$43,IF(G4141&lt;41,'General Basis'!$B$44,IF(G4141&lt;46,'General Basis'!$B$45,IF(G4141&lt;51,'General Basis'!$B$46,IF(G4141&lt;56,'General Basis'!$B$47,IF(G4141&lt;60,'General Basis'!$B$48,IF(G4141&lt;65,'General Basis'!$B$49,'General Basis'!$B$50)))))))))))))</f>
        <v/>
      </c>
      <c r="BI4141" s="744" t="str">
        <f t="shared" si="1435"/>
        <v/>
      </c>
      <c r="BJ4141" s="747" t="str">
        <f t="shared" si="1442"/>
        <v/>
      </c>
      <c r="BK4141" s="498" t="str">
        <f t="shared" si="1436"/>
        <v/>
      </c>
      <c r="BL4141" s="498" t="str">
        <f t="shared" si="1437"/>
        <v/>
      </c>
    </row>
    <row r="4142" spans="1:64" x14ac:dyDescent="0.25">
      <c r="A4142" s="762">
        <f t="shared" si="1438"/>
        <v>4137</v>
      </c>
      <c r="B4142" s="229"/>
      <c r="C4142" s="223"/>
      <c r="D4142" s="224"/>
      <c r="E4142" s="225"/>
      <c r="F4142" s="1036" t="str">
        <f t="shared" si="1444"/>
        <v/>
      </c>
      <c r="G4142" s="1037" t="str">
        <f t="shared" si="1439"/>
        <v/>
      </c>
      <c r="H4142" s="225"/>
      <c r="I4142" s="1013"/>
      <c r="J4142" s="1013"/>
      <c r="K4142" s="1028"/>
      <c r="L4142" s="1035" t="str">
        <f t="shared" si="1443"/>
        <v/>
      </c>
      <c r="S4142" s="498"/>
      <c r="AJ4142" s="498"/>
      <c r="AM4142" s="498">
        <f t="shared" si="1424"/>
        <v>0</v>
      </c>
      <c r="AN4142" s="498">
        <f t="shared" si="1425"/>
        <v>0</v>
      </c>
      <c r="AO4142" s="498">
        <f t="shared" si="1426"/>
        <v>0</v>
      </c>
      <c r="AP4142" s="498">
        <f t="shared" si="1445"/>
        <v>0</v>
      </c>
      <c r="AQ4142" s="498">
        <f t="shared" si="1440"/>
        <v>0</v>
      </c>
      <c r="AU4142" s="498">
        <f t="shared" si="1427"/>
        <v>0</v>
      </c>
      <c r="AV4142" s="498">
        <f t="shared" si="1428"/>
        <v>0</v>
      </c>
      <c r="AW4142" s="498">
        <f t="shared" si="1429"/>
        <v>0</v>
      </c>
      <c r="AX4142" s="498">
        <f t="shared" si="1430"/>
        <v>0</v>
      </c>
      <c r="AY4142" s="498">
        <f t="shared" si="1431"/>
        <v>0</v>
      </c>
      <c r="BB4142" s="498" t="str">
        <f t="shared" si="1432"/>
        <v/>
      </c>
      <c r="BC4142" s="743" t="str">
        <f t="shared" si="1433"/>
        <v/>
      </c>
      <c r="BD4142" s="743" t="str">
        <f t="shared" si="1434"/>
        <v/>
      </c>
      <c r="BE4142" s="743" t="str">
        <f>IF(D4142="","",VLOOKUP(D4142,'General Basis'!$J$39:$K$46,2,0))</f>
        <v/>
      </c>
      <c r="BF4142" s="744" t="str">
        <f>IF(D4142="","",VLOOKUP(D4142,'General Basis'!$J$39:$L$46,3,0))</f>
        <v/>
      </c>
      <c r="BG4142" s="744" t="str">
        <f t="shared" si="1441"/>
        <v/>
      </c>
      <c r="BH4142" s="744" t="str">
        <f>IF(G4142="","",IF(BF4142="Abu Dhabi",IF(G4142&lt;18,'General Basis'!$C$39,IF(G4142&lt;41,'General Basis'!$C$40,IF(G4142&lt;60,'General Basis'!$C$41,IF(G4142&lt;65,'General Basis'!$C$42,'General Basis'!$C$43)))),IF(G4142&lt;11,'General Basis'!$B$39,IF(G4142&lt;18,'General Basis'!$B$40,IF(G4142&lt;26,'General Basis'!$B$41,IF(G4142&lt;31,'General Basis'!$B$42,IF(G4142&lt;36,'General Basis'!$B$43,IF(G4142&lt;41,'General Basis'!$B$44,IF(G4142&lt;46,'General Basis'!$B$45,IF(G4142&lt;51,'General Basis'!$B$46,IF(G4142&lt;56,'General Basis'!$B$47,IF(G4142&lt;60,'General Basis'!$B$48,IF(G4142&lt;65,'General Basis'!$B$49,'General Basis'!$B$50)))))))))))))</f>
        <v/>
      </c>
      <c r="BI4142" s="744" t="str">
        <f t="shared" si="1435"/>
        <v/>
      </c>
      <c r="BJ4142" s="747" t="str">
        <f t="shared" si="1442"/>
        <v/>
      </c>
      <c r="BK4142" s="498" t="str">
        <f t="shared" si="1436"/>
        <v/>
      </c>
      <c r="BL4142" s="498" t="str">
        <f t="shared" si="1437"/>
        <v/>
      </c>
    </row>
    <row r="4143" spans="1:64" x14ac:dyDescent="0.25">
      <c r="A4143" s="762">
        <f t="shared" si="1438"/>
        <v>4138</v>
      </c>
      <c r="B4143" s="229"/>
      <c r="C4143" s="223"/>
      <c r="D4143" s="224"/>
      <c r="E4143" s="225"/>
      <c r="F4143" s="1036" t="str">
        <f t="shared" si="1444"/>
        <v/>
      </c>
      <c r="G4143" s="1037" t="str">
        <f t="shared" si="1439"/>
        <v/>
      </c>
      <c r="H4143" s="225"/>
      <c r="I4143" s="1013"/>
      <c r="J4143" s="1013"/>
      <c r="K4143" s="1028"/>
      <c r="L4143" s="1035" t="str">
        <f t="shared" si="1443"/>
        <v/>
      </c>
      <c r="S4143" s="498"/>
      <c r="AJ4143" s="498"/>
      <c r="AM4143" s="498">
        <f t="shared" si="1424"/>
        <v>0</v>
      </c>
      <c r="AN4143" s="498">
        <f t="shared" si="1425"/>
        <v>0</v>
      </c>
      <c r="AO4143" s="498">
        <f t="shared" si="1426"/>
        <v>0</v>
      </c>
      <c r="AP4143" s="498">
        <f t="shared" si="1445"/>
        <v>0</v>
      </c>
      <c r="AQ4143" s="498">
        <f t="shared" si="1440"/>
        <v>0</v>
      </c>
      <c r="AU4143" s="498">
        <f t="shared" si="1427"/>
        <v>0</v>
      </c>
      <c r="AV4143" s="498">
        <f t="shared" si="1428"/>
        <v>0</v>
      </c>
      <c r="AW4143" s="498">
        <f t="shared" si="1429"/>
        <v>0</v>
      </c>
      <c r="AX4143" s="498">
        <f t="shared" si="1430"/>
        <v>0</v>
      </c>
      <c r="AY4143" s="498">
        <f t="shared" si="1431"/>
        <v>0</v>
      </c>
      <c r="BB4143" s="498" t="str">
        <f t="shared" si="1432"/>
        <v/>
      </c>
      <c r="BC4143" s="743" t="str">
        <f t="shared" si="1433"/>
        <v/>
      </c>
      <c r="BD4143" s="743" t="str">
        <f t="shared" si="1434"/>
        <v/>
      </c>
      <c r="BE4143" s="743" t="str">
        <f>IF(D4143="","",VLOOKUP(D4143,'General Basis'!$J$39:$K$46,2,0))</f>
        <v/>
      </c>
      <c r="BF4143" s="744" t="str">
        <f>IF(D4143="","",VLOOKUP(D4143,'General Basis'!$J$39:$L$46,3,0))</f>
        <v/>
      </c>
      <c r="BG4143" s="744" t="str">
        <f t="shared" si="1441"/>
        <v/>
      </c>
      <c r="BH4143" s="744" t="str">
        <f>IF(G4143="","",IF(BF4143="Abu Dhabi",IF(G4143&lt;18,'General Basis'!$C$39,IF(G4143&lt;41,'General Basis'!$C$40,IF(G4143&lt;60,'General Basis'!$C$41,IF(G4143&lt;65,'General Basis'!$C$42,'General Basis'!$C$43)))),IF(G4143&lt;11,'General Basis'!$B$39,IF(G4143&lt;18,'General Basis'!$B$40,IF(G4143&lt;26,'General Basis'!$B$41,IF(G4143&lt;31,'General Basis'!$B$42,IF(G4143&lt;36,'General Basis'!$B$43,IF(G4143&lt;41,'General Basis'!$B$44,IF(G4143&lt;46,'General Basis'!$B$45,IF(G4143&lt;51,'General Basis'!$B$46,IF(G4143&lt;56,'General Basis'!$B$47,IF(G4143&lt;60,'General Basis'!$B$48,IF(G4143&lt;65,'General Basis'!$B$49,'General Basis'!$B$50)))))))))))))</f>
        <v/>
      </c>
      <c r="BI4143" s="744" t="str">
        <f t="shared" si="1435"/>
        <v/>
      </c>
      <c r="BJ4143" s="747" t="str">
        <f t="shared" si="1442"/>
        <v/>
      </c>
      <c r="BK4143" s="498" t="str">
        <f t="shared" si="1436"/>
        <v/>
      </c>
      <c r="BL4143" s="498" t="str">
        <f t="shared" si="1437"/>
        <v/>
      </c>
    </row>
    <row r="4144" spans="1:64" x14ac:dyDescent="0.25">
      <c r="A4144" s="762">
        <f t="shared" si="1438"/>
        <v>4139</v>
      </c>
      <c r="B4144" s="229"/>
      <c r="C4144" s="223"/>
      <c r="D4144" s="224"/>
      <c r="E4144" s="225"/>
      <c r="F4144" s="1036" t="str">
        <f t="shared" si="1444"/>
        <v/>
      </c>
      <c r="G4144" s="1037" t="str">
        <f t="shared" si="1439"/>
        <v/>
      </c>
      <c r="H4144" s="225"/>
      <c r="I4144" s="1013"/>
      <c r="J4144" s="1013"/>
      <c r="K4144" s="1028"/>
      <c r="L4144" s="1035" t="str">
        <f t="shared" si="1443"/>
        <v/>
      </c>
      <c r="S4144" s="498"/>
      <c r="AJ4144" s="498"/>
      <c r="AM4144" s="498">
        <f t="shared" si="1424"/>
        <v>0</v>
      </c>
      <c r="AN4144" s="498">
        <f t="shared" si="1425"/>
        <v>0</v>
      </c>
      <c r="AO4144" s="498">
        <f t="shared" si="1426"/>
        <v>0</v>
      </c>
      <c r="AP4144" s="498">
        <f t="shared" si="1445"/>
        <v>0</v>
      </c>
      <c r="AQ4144" s="498">
        <f t="shared" si="1440"/>
        <v>0</v>
      </c>
      <c r="AU4144" s="498">
        <f t="shared" si="1427"/>
        <v>0</v>
      </c>
      <c r="AV4144" s="498">
        <f t="shared" si="1428"/>
        <v>0</v>
      </c>
      <c r="AW4144" s="498">
        <f t="shared" si="1429"/>
        <v>0</v>
      </c>
      <c r="AX4144" s="498">
        <f t="shared" si="1430"/>
        <v>0</v>
      </c>
      <c r="AY4144" s="498">
        <f t="shared" si="1431"/>
        <v>0</v>
      </c>
      <c r="BB4144" s="498" t="str">
        <f t="shared" si="1432"/>
        <v/>
      </c>
      <c r="BC4144" s="743" t="str">
        <f t="shared" si="1433"/>
        <v/>
      </c>
      <c r="BD4144" s="743" t="str">
        <f t="shared" si="1434"/>
        <v/>
      </c>
      <c r="BE4144" s="743" t="str">
        <f>IF(D4144="","",VLOOKUP(D4144,'General Basis'!$J$39:$K$46,2,0))</f>
        <v/>
      </c>
      <c r="BF4144" s="744" t="str">
        <f>IF(D4144="","",VLOOKUP(D4144,'General Basis'!$J$39:$L$46,3,0))</f>
        <v/>
      </c>
      <c r="BG4144" s="744" t="str">
        <f t="shared" si="1441"/>
        <v/>
      </c>
      <c r="BH4144" s="744" t="str">
        <f>IF(G4144="","",IF(BF4144="Abu Dhabi",IF(G4144&lt;18,'General Basis'!$C$39,IF(G4144&lt;41,'General Basis'!$C$40,IF(G4144&lt;60,'General Basis'!$C$41,IF(G4144&lt;65,'General Basis'!$C$42,'General Basis'!$C$43)))),IF(G4144&lt;11,'General Basis'!$B$39,IF(G4144&lt;18,'General Basis'!$B$40,IF(G4144&lt;26,'General Basis'!$B$41,IF(G4144&lt;31,'General Basis'!$B$42,IF(G4144&lt;36,'General Basis'!$B$43,IF(G4144&lt;41,'General Basis'!$B$44,IF(G4144&lt;46,'General Basis'!$B$45,IF(G4144&lt;51,'General Basis'!$B$46,IF(G4144&lt;56,'General Basis'!$B$47,IF(G4144&lt;60,'General Basis'!$B$48,IF(G4144&lt;65,'General Basis'!$B$49,'General Basis'!$B$50)))))))))))))</f>
        <v/>
      </c>
      <c r="BI4144" s="744" t="str">
        <f t="shared" si="1435"/>
        <v/>
      </c>
      <c r="BJ4144" s="747" t="str">
        <f t="shared" si="1442"/>
        <v/>
      </c>
      <c r="BK4144" s="498" t="str">
        <f t="shared" si="1436"/>
        <v/>
      </c>
      <c r="BL4144" s="498" t="str">
        <f t="shared" si="1437"/>
        <v/>
      </c>
    </row>
    <row r="4145" spans="1:64" x14ac:dyDescent="0.25">
      <c r="A4145" s="762">
        <f t="shared" si="1438"/>
        <v>4140</v>
      </c>
      <c r="B4145" s="229"/>
      <c r="C4145" s="223"/>
      <c r="D4145" s="224"/>
      <c r="E4145" s="225"/>
      <c r="F4145" s="1036" t="str">
        <f t="shared" si="1444"/>
        <v/>
      </c>
      <c r="G4145" s="1037" t="str">
        <f t="shared" si="1439"/>
        <v/>
      </c>
      <c r="H4145" s="225"/>
      <c r="I4145" s="1013"/>
      <c r="J4145" s="1013"/>
      <c r="K4145" s="1028"/>
      <c r="L4145" s="1035" t="str">
        <f t="shared" si="1443"/>
        <v/>
      </c>
      <c r="S4145" s="498"/>
      <c r="AJ4145" s="498"/>
      <c r="AM4145" s="498">
        <f t="shared" si="1424"/>
        <v>0</v>
      </c>
      <c r="AN4145" s="498">
        <f t="shared" si="1425"/>
        <v>0</v>
      </c>
      <c r="AO4145" s="498">
        <f t="shared" si="1426"/>
        <v>0</v>
      </c>
      <c r="AP4145" s="498">
        <f t="shared" si="1445"/>
        <v>0</v>
      </c>
      <c r="AQ4145" s="498">
        <f t="shared" si="1440"/>
        <v>0</v>
      </c>
      <c r="AU4145" s="498">
        <f t="shared" si="1427"/>
        <v>0</v>
      </c>
      <c r="AV4145" s="498">
        <f t="shared" si="1428"/>
        <v>0</v>
      </c>
      <c r="AW4145" s="498">
        <f t="shared" si="1429"/>
        <v>0</v>
      </c>
      <c r="AX4145" s="498">
        <f t="shared" si="1430"/>
        <v>0</v>
      </c>
      <c r="AY4145" s="498">
        <f t="shared" si="1431"/>
        <v>0</v>
      </c>
      <c r="BB4145" s="498" t="str">
        <f t="shared" si="1432"/>
        <v/>
      </c>
      <c r="BC4145" s="743" t="str">
        <f t="shared" si="1433"/>
        <v/>
      </c>
      <c r="BD4145" s="743" t="str">
        <f t="shared" si="1434"/>
        <v/>
      </c>
      <c r="BE4145" s="743" t="str">
        <f>IF(D4145="","",VLOOKUP(D4145,'General Basis'!$J$39:$K$46,2,0))</f>
        <v/>
      </c>
      <c r="BF4145" s="744" t="str">
        <f>IF(D4145="","",VLOOKUP(D4145,'General Basis'!$J$39:$L$46,3,0))</f>
        <v/>
      </c>
      <c r="BG4145" s="744" t="str">
        <f t="shared" si="1441"/>
        <v/>
      </c>
      <c r="BH4145" s="744" t="str">
        <f>IF(G4145="","",IF(BF4145="Abu Dhabi",IF(G4145&lt;18,'General Basis'!$C$39,IF(G4145&lt;41,'General Basis'!$C$40,IF(G4145&lt;60,'General Basis'!$C$41,IF(G4145&lt;65,'General Basis'!$C$42,'General Basis'!$C$43)))),IF(G4145&lt;11,'General Basis'!$B$39,IF(G4145&lt;18,'General Basis'!$B$40,IF(G4145&lt;26,'General Basis'!$B$41,IF(G4145&lt;31,'General Basis'!$B$42,IF(G4145&lt;36,'General Basis'!$B$43,IF(G4145&lt;41,'General Basis'!$B$44,IF(G4145&lt;46,'General Basis'!$B$45,IF(G4145&lt;51,'General Basis'!$B$46,IF(G4145&lt;56,'General Basis'!$B$47,IF(G4145&lt;60,'General Basis'!$B$48,IF(G4145&lt;65,'General Basis'!$B$49,'General Basis'!$B$50)))))))))))))</f>
        <v/>
      </c>
      <c r="BI4145" s="744" t="str">
        <f t="shared" si="1435"/>
        <v/>
      </c>
      <c r="BJ4145" s="747" t="str">
        <f t="shared" si="1442"/>
        <v/>
      </c>
      <c r="BK4145" s="498" t="str">
        <f t="shared" si="1436"/>
        <v/>
      </c>
      <c r="BL4145" s="498" t="str">
        <f t="shared" si="1437"/>
        <v/>
      </c>
    </row>
    <row r="4146" spans="1:64" x14ac:dyDescent="0.25">
      <c r="A4146" s="762">
        <f t="shared" si="1438"/>
        <v>4141</v>
      </c>
      <c r="B4146" s="229"/>
      <c r="C4146" s="223"/>
      <c r="D4146" s="224"/>
      <c r="E4146" s="225"/>
      <c r="F4146" s="1036" t="str">
        <f t="shared" si="1444"/>
        <v/>
      </c>
      <c r="G4146" s="1037" t="str">
        <f t="shared" si="1439"/>
        <v/>
      </c>
      <c r="H4146" s="225"/>
      <c r="I4146" s="1013"/>
      <c r="J4146" s="1013"/>
      <c r="K4146" s="1028"/>
      <c r="L4146" s="1035" t="str">
        <f t="shared" si="1443"/>
        <v/>
      </c>
      <c r="S4146" s="498"/>
      <c r="AJ4146" s="498"/>
      <c r="AM4146" s="498">
        <f t="shared" si="1424"/>
        <v>0</v>
      </c>
      <c r="AN4146" s="498">
        <f t="shared" si="1425"/>
        <v>0</v>
      </c>
      <c r="AO4146" s="498">
        <f t="shared" si="1426"/>
        <v>0</v>
      </c>
      <c r="AP4146" s="498">
        <f t="shared" si="1445"/>
        <v>0</v>
      </c>
      <c r="AQ4146" s="498">
        <f t="shared" si="1440"/>
        <v>0</v>
      </c>
      <c r="AU4146" s="498">
        <f t="shared" si="1427"/>
        <v>0</v>
      </c>
      <c r="AV4146" s="498">
        <f t="shared" si="1428"/>
        <v>0</v>
      </c>
      <c r="AW4146" s="498">
        <f t="shared" si="1429"/>
        <v>0</v>
      </c>
      <c r="AX4146" s="498">
        <f t="shared" si="1430"/>
        <v>0</v>
      </c>
      <c r="AY4146" s="498">
        <f t="shared" si="1431"/>
        <v>0</v>
      </c>
      <c r="BB4146" s="498" t="str">
        <f t="shared" si="1432"/>
        <v/>
      </c>
      <c r="BC4146" s="743" t="str">
        <f t="shared" si="1433"/>
        <v/>
      </c>
      <c r="BD4146" s="743" t="str">
        <f t="shared" si="1434"/>
        <v/>
      </c>
      <c r="BE4146" s="743" t="str">
        <f>IF(D4146="","",VLOOKUP(D4146,'General Basis'!$J$39:$K$46,2,0))</f>
        <v/>
      </c>
      <c r="BF4146" s="744" t="str">
        <f>IF(D4146="","",VLOOKUP(D4146,'General Basis'!$J$39:$L$46,3,0))</f>
        <v/>
      </c>
      <c r="BG4146" s="744" t="str">
        <f t="shared" si="1441"/>
        <v/>
      </c>
      <c r="BH4146" s="744" t="str">
        <f>IF(G4146="","",IF(BF4146="Abu Dhabi",IF(G4146&lt;18,'General Basis'!$C$39,IF(G4146&lt;41,'General Basis'!$C$40,IF(G4146&lt;60,'General Basis'!$C$41,IF(G4146&lt;65,'General Basis'!$C$42,'General Basis'!$C$43)))),IF(G4146&lt;11,'General Basis'!$B$39,IF(G4146&lt;18,'General Basis'!$B$40,IF(G4146&lt;26,'General Basis'!$B$41,IF(G4146&lt;31,'General Basis'!$B$42,IF(G4146&lt;36,'General Basis'!$B$43,IF(G4146&lt;41,'General Basis'!$B$44,IF(G4146&lt;46,'General Basis'!$B$45,IF(G4146&lt;51,'General Basis'!$B$46,IF(G4146&lt;56,'General Basis'!$B$47,IF(G4146&lt;60,'General Basis'!$B$48,IF(G4146&lt;65,'General Basis'!$B$49,'General Basis'!$B$50)))))))))))))</f>
        <v/>
      </c>
      <c r="BI4146" s="744" t="str">
        <f t="shared" si="1435"/>
        <v/>
      </c>
      <c r="BJ4146" s="747" t="str">
        <f t="shared" si="1442"/>
        <v/>
      </c>
      <c r="BK4146" s="498" t="str">
        <f t="shared" si="1436"/>
        <v/>
      </c>
      <c r="BL4146" s="498" t="str">
        <f t="shared" si="1437"/>
        <v/>
      </c>
    </row>
    <row r="4147" spans="1:64" x14ac:dyDescent="0.25">
      <c r="A4147" s="762">
        <f t="shared" si="1438"/>
        <v>4142</v>
      </c>
      <c r="B4147" s="229"/>
      <c r="C4147" s="223"/>
      <c r="D4147" s="224"/>
      <c r="E4147" s="225"/>
      <c r="F4147" s="1036" t="str">
        <f t="shared" si="1444"/>
        <v/>
      </c>
      <c r="G4147" s="1037" t="str">
        <f t="shared" si="1439"/>
        <v/>
      </c>
      <c r="H4147" s="225"/>
      <c r="I4147" s="1013"/>
      <c r="J4147" s="1013"/>
      <c r="K4147" s="1028"/>
      <c r="L4147" s="1035" t="str">
        <f t="shared" si="1443"/>
        <v/>
      </c>
      <c r="S4147" s="498"/>
      <c r="AJ4147" s="498"/>
      <c r="AM4147" s="498">
        <f t="shared" si="1424"/>
        <v>0</v>
      </c>
      <c r="AN4147" s="498">
        <f t="shared" si="1425"/>
        <v>0</v>
      </c>
      <c r="AO4147" s="498">
        <f t="shared" si="1426"/>
        <v>0</v>
      </c>
      <c r="AP4147" s="498">
        <f t="shared" si="1445"/>
        <v>0</v>
      </c>
      <c r="AQ4147" s="498">
        <f t="shared" si="1440"/>
        <v>0</v>
      </c>
      <c r="AU4147" s="498">
        <f t="shared" si="1427"/>
        <v>0</v>
      </c>
      <c r="AV4147" s="498">
        <f t="shared" si="1428"/>
        <v>0</v>
      </c>
      <c r="AW4147" s="498">
        <f t="shared" si="1429"/>
        <v>0</v>
      </c>
      <c r="AX4147" s="498">
        <f t="shared" si="1430"/>
        <v>0</v>
      </c>
      <c r="AY4147" s="498">
        <f t="shared" si="1431"/>
        <v>0</v>
      </c>
      <c r="BB4147" s="498" t="str">
        <f t="shared" si="1432"/>
        <v/>
      </c>
      <c r="BC4147" s="743" t="str">
        <f t="shared" si="1433"/>
        <v/>
      </c>
      <c r="BD4147" s="743" t="str">
        <f t="shared" si="1434"/>
        <v/>
      </c>
      <c r="BE4147" s="743" t="str">
        <f>IF(D4147="","",VLOOKUP(D4147,'General Basis'!$J$39:$K$46,2,0))</f>
        <v/>
      </c>
      <c r="BF4147" s="744" t="str">
        <f>IF(D4147="","",VLOOKUP(D4147,'General Basis'!$J$39:$L$46,3,0))</f>
        <v/>
      </c>
      <c r="BG4147" s="744" t="str">
        <f t="shared" si="1441"/>
        <v/>
      </c>
      <c r="BH4147" s="744" t="str">
        <f>IF(G4147="","",IF(BF4147="Abu Dhabi",IF(G4147&lt;18,'General Basis'!$C$39,IF(G4147&lt;41,'General Basis'!$C$40,IF(G4147&lt;60,'General Basis'!$C$41,IF(G4147&lt;65,'General Basis'!$C$42,'General Basis'!$C$43)))),IF(G4147&lt;11,'General Basis'!$B$39,IF(G4147&lt;18,'General Basis'!$B$40,IF(G4147&lt;26,'General Basis'!$B$41,IF(G4147&lt;31,'General Basis'!$B$42,IF(G4147&lt;36,'General Basis'!$B$43,IF(G4147&lt;41,'General Basis'!$B$44,IF(G4147&lt;46,'General Basis'!$B$45,IF(G4147&lt;51,'General Basis'!$B$46,IF(G4147&lt;56,'General Basis'!$B$47,IF(G4147&lt;60,'General Basis'!$B$48,IF(G4147&lt;65,'General Basis'!$B$49,'General Basis'!$B$50)))))))))))))</f>
        <v/>
      </c>
      <c r="BI4147" s="744" t="str">
        <f t="shared" si="1435"/>
        <v/>
      </c>
      <c r="BJ4147" s="747" t="str">
        <f t="shared" si="1442"/>
        <v/>
      </c>
      <c r="BK4147" s="498" t="str">
        <f t="shared" si="1436"/>
        <v/>
      </c>
      <c r="BL4147" s="498" t="str">
        <f t="shared" si="1437"/>
        <v/>
      </c>
    </row>
    <row r="4148" spans="1:64" x14ac:dyDescent="0.25">
      <c r="A4148" s="762">
        <f t="shared" si="1438"/>
        <v>4143</v>
      </c>
      <c r="B4148" s="229"/>
      <c r="C4148" s="223"/>
      <c r="D4148" s="224"/>
      <c r="E4148" s="225"/>
      <c r="F4148" s="1036" t="str">
        <f t="shared" si="1444"/>
        <v/>
      </c>
      <c r="G4148" s="1037" t="str">
        <f t="shared" si="1439"/>
        <v/>
      </c>
      <c r="H4148" s="225"/>
      <c r="I4148" s="1013"/>
      <c r="J4148" s="1013"/>
      <c r="K4148" s="1028"/>
      <c r="L4148" s="1035" t="str">
        <f t="shared" si="1443"/>
        <v/>
      </c>
      <c r="S4148" s="498"/>
      <c r="AJ4148" s="498"/>
      <c r="AM4148" s="498">
        <f t="shared" si="1424"/>
        <v>0</v>
      </c>
      <c r="AN4148" s="498">
        <f t="shared" si="1425"/>
        <v>0</v>
      </c>
      <c r="AO4148" s="498">
        <f t="shared" si="1426"/>
        <v>0</v>
      </c>
      <c r="AP4148" s="498">
        <f t="shared" si="1445"/>
        <v>0</v>
      </c>
      <c r="AQ4148" s="498">
        <f t="shared" si="1440"/>
        <v>0</v>
      </c>
      <c r="AU4148" s="498">
        <f t="shared" si="1427"/>
        <v>0</v>
      </c>
      <c r="AV4148" s="498">
        <f t="shared" si="1428"/>
        <v>0</v>
      </c>
      <c r="AW4148" s="498">
        <f t="shared" si="1429"/>
        <v>0</v>
      </c>
      <c r="AX4148" s="498">
        <f t="shared" si="1430"/>
        <v>0</v>
      </c>
      <c r="AY4148" s="498">
        <f t="shared" si="1431"/>
        <v>0</v>
      </c>
      <c r="BB4148" s="498" t="str">
        <f t="shared" si="1432"/>
        <v/>
      </c>
      <c r="BC4148" s="743" t="str">
        <f t="shared" si="1433"/>
        <v/>
      </c>
      <c r="BD4148" s="743" t="str">
        <f t="shared" si="1434"/>
        <v/>
      </c>
      <c r="BE4148" s="743" t="str">
        <f>IF(D4148="","",VLOOKUP(D4148,'General Basis'!$J$39:$K$46,2,0))</f>
        <v/>
      </c>
      <c r="BF4148" s="744" t="str">
        <f>IF(D4148="","",VLOOKUP(D4148,'General Basis'!$J$39:$L$46,3,0))</f>
        <v/>
      </c>
      <c r="BG4148" s="744" t="str">
        <f t="shared" si="1441"/>
        <v/>
      </c>
      <c r="BH4148" s="744" t="str">
        <f>IF(G4148="","",IF(BF4148="Abu Dhabi",IF(G4148&lt;18,'General Basis'!$C$39,IF(G4148&lt;41,'General Basis'!$C$40,IF(G4148&lt;60,'General Basis'!$C$41,IF(G4148&lt;65,'General Basis'!$C$42,'General Basis'!$C$43)))),IF(G4148&lt;11,'General Basis'!$B$39,IF(G4148&lt;18,'General Basis'!$B$40,IF(G4148&lt;26,'General Basis'!$B$41,IF(G4148&lt;31,'General Basis'!$B$42,IF(G4148&lt;36,'General Basis'!$B$43,IF(G4148&lt;41,'General Basis'!$B$44,IF(G4148&lt;46,'General Basis'!$B$45,IF(G4148&lt;51,'General Basis'!$B$46,IF(G4148&lt;56,'General Basis'!$B$47,IF(G4148&lt;60,'General Basis'!$B$48,IF(G4148&lt;65,'General Basis'!$B$49,'General Basis'!$B$50)))))))))))))</f>
        <v/>
      </c>
      <c r="BI4148" s="744" t="str">
        <f t="shared" si="1435"/>
        <v/>
      </c>
      <c r="BJ4148" s="747" t="str">
        <f t="shared" si="1442"/>
        <v/>
      </c>
      <c r="BK4148" s="498" t="str">
        <f t="shared" si="1436"/>
        <v/>
      </c>
      <c r="BL4148" s="498" t="str">
        <f t="shared" si="1437"/>
        <v/>
      </c>
    </row>
    <row r="4149" spans="1:64" x14ac:dyDescent="0.25">
      <c r="A4149" s="762">
        <f t="shared" si="1438"/>
        <v>4144</v>
      </c>
      <c r="B4149" s="229"/>
      <c r="C4149" s="223"/>
      <c r="D4149" s="224"/>
      <c r="E4149" s="225"/>
      <c r="F4149" s="1036" t="str">
        <f t="shared" si="1444"/>
        <v/>
      </c>
      <c r="G4149" s="1037" t="str">
        <f t="shared" si="1439"/>
        <v/>
      </c>
      <c r="H4149" s="225"/>
      <c r="I4149" s="1013"/>
      <c r="J4149" s="1013"/>
      <c r="K4149" s="1028"/>
      <c r="L4149" s="1035" t="str">
        <f t="shared" si="1443"/>
        <v/>
      </c>
      <c r="S4149" s="498"/>
      <c r="AJ4149" s="498"/>
      <c r="AM4149" s="498">
        <f t="shared" si="1424"/>
        <v>0</v>
      </c>
      <c r="AN4149" s="498">
        <f t="shared" si="1425"/>
        <v>0</v>
      </c>
      <c r="AO4149" s="498">
        <f t="shared" si="1426"/>
        <v>0</v>
      </c>
      <c r="AP4149" s="498">
        <f t="shared" si="1445"/>
        <v>0</v>
      </c>
      <c r="AQ4149" s="498">
        <f t="shared" si="1440"/>
        <v>0</v>
      </c>
      <c r="AU4149" s="498">
        <f t="shared" si="1427"/>
        <v>0</v>
      </c>
      <c r="AV4149" s="498">
        <f t="shared" si="1428"/>
        <v>0</v>
      </c>
      <c r="AW4149" s="498">
        <f t="shared" si="1429"/>
        <v>0</v>
      </c>
      <c r="AX4149" s="498">
        <f t="shared" si="1430"/>
        <v>0</v>
      </c>
      <c r="AY4149" s="498">
        <f t="shared" si="1431"/>
        <v>0</v>
      </c>
      <c r="BB4149" s="498" t="str">
        <f t="shared" si="1432"/>
        <v/>
      </c>
      <c r="BC4149" s="743" t="str">
        <f t="shared" si="1433"/>
        <v/>
      </c>
      <c r="BD4149" s="743" t="str">
        <f t="shared" si="1434"/>
        <v/>
      </c>
      <c r="BE4149" s="743" t="str">
        <f>IF(D4149="","",VLOOKUP(D4149,'General Basis'!$J$39:$K$46,2,0))</f>
        <v/>
      </c>
      <c r="BF4149" s="744" t="str">
        <f>IF(D4149="","",VLOOKUP(D4149,'General Basis'!$J$39:$L$46,3,0))</f>
        <v/>
      </c>
      <c r="BG4149" s="744" t="str">
        <f t="shared" si="1441"/>
        <v/>
      </c>
      <c r="BH4149" s="744" t="str">
        <f>IF(G4149="","",IF(BF4149="Abu Dhabi",IF(G4149&lt;18,'General Basis'!$C$39,IF(G4149&lt;41,'General Basis'!$C$40,IF(G4149&lt;60,'General Basis'!$C$41,IF(G4149&lt;65,'General Basis'!$C$42,'General Basis'!$C$43)))),IF(G4149&lt;11,'General Basis'!$B$39,IF(G4149&lt;18,'General Basis'!$B$40,IF(G4149&lt;26,'General Basis'!$B$41,IF(G4149&lt;31,'General Basis'!$B$42,IF(G4149&lt;36,'General Basis'!$B$43,IF(G4149&lt;41,'General Basis'!$B$44,IF(G4149&lt;46,'General Basis'!$B$45,IF(G4149&lt;51,'General Basis'!$B$46,IF(G4149&lt;56,'General Basis'!$B$47,IF(G4149&lt;60,'General Basis'!$B$48,IF(G4149&lt;65,'General Basis'!$B$49,'General Basis'!$B$50)))))))))))))</f>
        <v/>
      </c>
      <c r="BI4149" s="744" t="str">
        <f t="shared" si="1435"/>
        <v/>
      </c>
      <c r="BJ4149" s="747" t="str">
        <f t="shared" si="1442"/>
        <v/>
      </c>
      <c r="BK4149" s="498" t="str">
        <f t="shared" si="1436"/>
        <v/>
      </c>
      <c r="BL4149" s="498" t="str">
        <f t="shared" si="1437"/>
        <v/>
      </c>
    </row>
    <row r="4150" spans="1:64" x14ac:dyDescent="0.25">
      <c r="A4150" s="762">
        <f t="shared" si="1438"/>
        <v>4145</v>
      </c>
      <c r="B4150" s="229"/>
      <c r="C4150" s="223"/>
      <c r="D4150" s="224"/>
      <c r="E4150" s="225"/>
      <c r="F4150" s="1036" t="str">
        <f t="shared" si="1444"/>
        <v/>
      </c>
      <c r="G4150" s="1037" t="str">
        <f t="shared" si="1439"/>
        <v/>
      </c>
      <c r="H4150" s="225"/>
      <c r="I4150" s="1013"/>
      <c r="J4150" s="1013"/>
      <c r="K4150" s="1028"/>
      <c r="L4150" s="1035" t="str">
        <f t="shared" si="1443"/>
        <v/>
      </c>
      <c r="S4150" s="498"/>
      <c r="AJ4150" s="498"/>
      <c r="AM4150" s="498">
        <f t="shared" si="1424"/>
        <v>0</v>
      </c>
      <c r="AN4150" s="498">
        <f t="shared" si="1425"/>
        <v>0</v>
      </c>
      <c r="AO4150" s="498">
        <f t="shared" si="1426"/>
        <v>0</v>
      </c>
      <c r="AP4150" s="498">
        <f t="shared" si="1445"/>
        <v>0</v>
      </c>
      <c r="AQ4150" s="498">
        <f t="shared" si="1440"/>
        <v>0</v>
      </c>
      <c r="AU4150" s="498">
        <f t="shared" si="1427"/>
        <v>0</v>
      </c>
      <c r="AV4150" s="498">
        <f t="shared" si="1428"/>
        <v>0</v>
      </c>
      <c r="AW4150" s="498">
        <f t="shared" si="1429"/>
        <v>0</v>
      </c>
      <c r="AX4150" s="498">
        <f t="shared" si="1430"/>
        <v>0</v>
      </c>
      <c r="AY4150" s="498">
        <f t="shared" si="1431"/>
        <v>0</v>
      </c>
      <c r="BB4150" s="498" t="str">
        <f t="shared" si="1432"/>
        <v/>
      </c>
      <c r="BC4150" s="743" t="str">
        <f t="shared" si="1433"/>
        <v/>
      </c>
      <c r="BD4150" s="743" t="str">
        <f t="shared" si="1434"/>
        <v/>
      </c>
      <c r="BE4150" s="743" t="str">
        <f>IF(D4150="","",VLOOKUP(D4150,'General Basis'!$J$39:$K$46,2,0))</f>
        <v/>
      </c>
      <c r="BF4150" s="744" t="str">
        <f>IF(D4150="","",VLOOKUP(D4150,'General Basis'!$J$39:$L$46,3,0))</f>
        <v/>
      </c>
      <c r="BG4150" s="744" t="str">
        <f t="shared" si="1441"/>
        <v/>
      </c>
      <c r="BH4150" s="744" t="str">
        <f>IF(G4150="","",IF(BF4150="Abu Dhabi",IF(G4150&lt;18,'General Basis'!$C$39,IF(G4150&lt;41,'General Basis'!$C$40,IF(G4150&lt;60,'General Basis'!$C$41,IF(G4150&lt;65,'General Basis'!$C$42,'General Basis'!$C$43)))),IF(G4150&lt;11,'General Basis'!$B$39,IF(G4150&lt;18,'General Basis'!$B$40,IF(G4150&lt;26,'General Basis'!$B$41,IF(G4150&lt;31,'General Basis'!$B$42,IF(G4150&lt;36,'General Basis'!$B$43,IF(G4150&lt;41,'General Basis'!$B$44,IF(G4150&lt;46,'General Basis'!$B$45,IF(G4150&lt;51,'General Basis'!$B$46,IF(G4150&lt;56,'General Basis'!$B$47,IF(G4150&lt;60,'General Basis'!$B$48,IF(G4150&lt;65,'General Basis'!$B$49,'General Basis'!$B$50)))))))))))))</f>
        <v/>
      </c>
      <c r="BI4150" s="744" t="str">
        <f t="shared" si="1435"/>
        <v/>
      </c>
      <c r="BJ4150" s="747" t="str">
        <f t="shared" si="1442"/>
        <v/>
      </c>
      <c r="BK4150" s="498" t="str">
        <f t="shared" si="1436"/>
        <v/>
      </c>
      <c r="BL4150" s="498" t="str">
        <f t="shared" si="1437"/>
        <v/>
      </c>
    </row>
    <row r="4151" spans="1:64" x14ac:dyDescent="0.25">
      <c r="A4151" s="762">
        <f t="shared" si="1438"/>
        <v>4146</v>
      </c>
      <c r="B4151" s="229"/>
      <c r="C4151" s="223"/>
      <c r="D4151" s="224"/>
      <c r="E4151" s="225"/>
      <c r="F4151" s="1036" t="str">
        <f t="shared" si="1444"/>
        <v/>
      </c>
      <c r="G4151" s="1037" t="str">
        <f t="shared" si="1439"/>
        <v/>
      </c>
      <c r="H4151" s="225"/>
      <c r="I4151" s="1013"/>
      <c r="J4151" s="1013"/>
      <c r="K4151" s="1028"/>
      <c r="L4151" s="1035" t="str">
        <f t="shared" si="1443"/>
        <v/>
      </c>
      <c r="S4151" s="498"/>
      <c r="AJ4151" s="498"/>
      <c r="AM4151" s="498">
        <f t="shared" si="1424"/>
        <v>0</v>
      </c>
      <c r="AN4151" s="498">
        <f t="shared" si="1425"/>
        <v>0</v>
      </c>
      <c r="AO4151" s="498">
        <f t="shared" si="1426"/>
        <v>0</v>
      </c>
      <c r="AP4151" s="498">
        <f t="shared" si="1445"/>
        <v>0</v>
      </c>
      <c r="AQ4151" s="498">
        <f t="shared" si="1440"/>
        <v>0</v>
      </c>
      <c r="AU4151" s="498">
        <f t="shared" si="1427"/>
        <v>0</v>
      </c>
      <c r="AV4151" s="498">
        <f t="shared" si="1428"/>
        <v>0</v>
      </c>
      <c r="AW4151" s="498">
        <f t="shared" si="1429"/>
        <v>0</v>
      </c>
      <c r="AX4151" s="498">
        <f t="shared" si="1430"/>
        <v>0</v>
      </c>
      <c r="AY4151" s="498">
        <f t="shared" si="1431"/>
        <v>0</v>
      </c>
      <c r="BB4151" s="498" t="str">
        <f t="shared" si="1432"/>
        <v/>
      </c>
      <c r="BC4151" s="743" t="str">
        <f t="shared" si="1433"/>
        <v/>
      </c>
      <c r="BD4151" s="743" t="str">
        <f t="shared" si="1434"/>
        <v/>
      </c>
      <c r="BE4151" s="743" t="str">
        <f>IF(D4151="","",VLOOKUP(D4151,'General Basis'!$J$39:$K$46,2,0))</f>
        <v/>
      </c>
      <c r="BF4151" s="744" t="str">
        <f>IF(D4151="","",VLOOKUP(D4151,'General Basis'!$J$39:$L$46,3,0))</f>
        <v/>
      </c>
      <c r="BG4151" s="744" t="str">
        <f t="shared" si="1441"/>
        <v/>
      </c>
      <c r="BH4151" s="744" t="str">
        <f>IF(G4151="","",IF(BF4151="Abu Dhabi",IF(G4151&lt;18,'General Basis'!$C$39,IF(G4151&lt;41,'General Basis'!$C$40,IF(G4151&lt;60,'General Basis'!$C$41,IF(G4151&lt;65,'General Basis'!$C$42,'General Basis'!$C$43)))),IF(G4151&lt;11,'General Basis'!$B$39,IF(G4151&lt;18,'General Basis'!$B$40,IF(G4151&lt;26,'General Basis'!$B$41,IF(G4151&lt;31,'General Basis'!$B$42,IF(G4151&lt;36,'General Basis'!$B$43,IF(G4151&lt;41,'General Basis'!$B$44,IF(G4151&lt;46,'General Basis'!$B$45,IF(G4151&lt;51,'General Basis'!$B$46,IF(G4151&lt;56,'General Basis'!$B$47,IF(G4151&lt;60,'General Basis'!$B$48,IF(G4151&lt;65,'General Basis'!$B$49,'General Basis'!$B$50)))))))))))))</f>
        <v/>
      </c>
      <c r="BI4151" s="744" t="str">
        <f t="shared" si="1435"/>
        <v/>
      </c>
      <c r="BJ4151" s="747" t="str">
        <f t="shared" si="1442"/>
        <v/>
      </c>
      <c r="BK4151" s="498" t="str">
        <f t="shared" si="1436"/>
        <v/>
      </c>
      <c r="BL4151" s="498" t="str">
        <f t="shared" si="1437"/>
        <v/>
      </c>
    </row>
    <row r="4152" spans="1:64" x14ac:dyDescent="0.25">
      <c r="A4152" s="762">
        <f t="shared" si="1438"/>
        <v>4147</v>
      </c>
      <c r="B4152" s="229"/>
      <c r="C4152" s="223"/>
      <c r="D4152" s="224"/>
      <c r="E4152" s="225"/>
      <c r="F4152" s="1036" t="str">
        <f t="shared" si="1444"/>
        <v/>
      </c>
      <c r="G4152" s="1037" t="str">
        <f t="shared" si="1439"/>
        <v/>
      </c>
      <c r="H4152" s="225"/>
      <c r="I4152" s="1013"/>
      <c r="J4152" s="1013"/>
      <c r="K4152" s="1028"/>
      <c r="L4152" s="1035" t="str">
        <f t="shared" si="1443"/>
        <v/>
      </c>
      <c r="S4152" s="498"/>
      <c r="AJ4152" s="498"/>
      <c r="AM4152" s="498">
        <f t="shared" si="1424"/>
        <v>0</v>
      </c>
      <c r="AN4152" s="498">
        <f t="shared" si="1425"/>
        <v>0</v>
      </c>
      <c r="AO4152" s="498">
        <f t="shared" si="1426"/>
        <v>0</v>
      </c>
      <c r="AP4152" s="498">
        <f t="shared" si="1445"/>
        <v>0</v>
      </c>
      <c r="AQ4152" s="498">
        <f t="shared" si="1440"/>
        <v>0</v>
      </c>
      <c r="AU4152" s="498">
        <f t="shared" si="1427"/>
        <v>0</v>
      </c>
      <c r="AV4152" s="498">
        <f t="shared" si="1428"/>
        <v>0</v>
      </c>
      <c r="AW4152" s="498">
        <f t="shared" si="1429"/>
        <v>0</v>
      </c>
      <c r="AX4152" s="498">
        <f t="shared" si="1430"/>
        <v>0</v>
      </c>
      <c r="AY4152" s="498">
        <f t="shared" si="1431"/>
        <v>0</v>
      </c>
      <c r="BB4152" s="498" t="str">
        <f t="shared" si="1432"/>
        <v/>
      </c>
      <c r="BC4152" s="743" t="str">
        <f t="shared" si="1433"/>
        <v/>
      </c>
      <c r="BD4152" s="743" t="str">
        <f t="shared" si="1434"/>
        <v/>
      </c>
      <c r="BE4152" s="743" t="str">
        <f>IF(D4152="","",VLOOKUP(D4152,'General Basis'!$J$39:$K$46,2,0))</f>
        <v/>
      </c>
      <c r="BF4152" s="744" t="str">
        <f>IF(D4152="","",VLOOKUP(D4152,'General Basis'!$J$39:$L$46,3,0))</f>
        <v/>
      </c>
      <c r="BG4152" s="744" t="str">
        <f t="shared" si="1441"/>
        <v/>
      </c>
      <c r="BH4152" s="744" t="str">
        <f>IF(G4152="","",IF(BF4152="Abu Dhabi",IF(G4152&lt;18,'General Basis'!$C$39,IF(G4152&lt;41,'General Basis'!$C$40,IF(G4152&lt;60,'General Basis'!$C$41,IF(G4152&lt;65,'General Basis'!$C$42,'General Basis'!$C$43)))),IF(G4152&lt;11,'General Basis'!$B$39,IF(G4152&lt;18,'General Basis'!$B$40,IF(G4152&lt;26,'General Basis'!$B$41,IF(G4152&lt;31,'General Basis'!$B$42,IF(G4152&lt;36,'General Basis'!$B$43,IF(G4152&lt;41,'General Basis'!$B$44,IF(G4152&lt;46,'General Basis'!$B$45,IF(G4152&lt;51,'General Basis'!$B$46,IF(G4152&lt;56,'General Basis'!$B$47,IF(G4152&lt;60,'General Basis'!$B$48,IF(G4152&lt;65,'General Basis'!$B$49,'General Basis'!$B$50)))))))))))))</f>
        <v/>
      </c>
      <c r="BI4152" s="744" t="str">
        <f t="shared" si="1435"/>
        <v/>
      </c>
      <c r="BJ4152" s="747" t="str">
        <f t="shared" si="1442"/>
        <v/>
      </c>
      <c r="BK4152" s="498" t="str">
        <f t="shared" si="1436"/>
        <v/>
      </c>
      <c r="BL4152" s="498" t="str">
        <f t="shared" si="1437"/>
        <v/>
      </c>
    </row>
    <row r="4153" spans="1:64" x14ac:dyDescent="0.25">
      <c r="A4153" s="762">
        <f t="shared" si="1438"/>
        <v>4148</v>
      </c>
      <c r="B4153" s="229"/>
      <c r="C4153" s="223"/>
      <c r="D4153" s="224"/>
      <c r="E4153" s="225"/>
      <c r="F4153" s="1036" t="str">
        <f t="shared" si="1444"/>
        <v/>
      </c>
      <c r="G4153" s="1037" t="str">
        <f t="shared" si="1439"/>
        <v/>
      </c>
      <c r="H4153" s="225"/>
      <c r="I4153" s="1013"/>
      <c r="J4153" s="1013"/>
      <c r="K4153" s="1028"/>
      <c r="L4153" s="1035" t="str">
        <f t="shared" si="1443"/>
        <v/>
      </c>
      <c r="S4153" s="498"/>
      <c r="AJ4153" s="498"/>
      <c r="AM4153" s="498">
        <f t="shared" si="1424"/>
        <v>0</v>
      </c>
      <c r="AN4153" s="498">
        <f t="shared" si="1425"/>
        <v>0</v>
      </c>
      <c r="AO4153" s="498">
        <f t="shared" si="1426"/>
        <v>0</v>
      </c>
      <c r="AP4153" s="498">
        <f t="shared" si="1445"/>
        <v>0</v>
      </c>
      <c r="AQ4153" s="498">
        <f t="shared" si="1440"/>
        <v>0</v>
      </c>
      <c r="AU4153" s="498">
        <f t="shared" si="1427"/>
        <v>0</v>
      </c>
      <c r="AV4153" s="498">
        <f t="shared" si="1428"/>
        <v>0</v>
      </c>
      <c r="AW4153" s="498">
        <f t="shared" si="1429"/>
        <v>0</v>
      </c>
      <c r="AX4153" s="498">
        <f t="shared" si="1430"/>
        <v>0</v>
      </c>
      <c r="AY4153" s="498">
        <f t="shared" si="1431"/>
        <v>0</v>
      </c>
      <c r="BB4153" s="498" t="str">
        <f t="shared" si="1432"/>
        <v/>
      </c>
      <c r="BC4153" s="743" t="str">
        <f t="shared" si="1433"/>
        <v/>
      </c>
      <c r="BD4153" s="743" t="str">
        <f t="shared" si="1434"/>
        <v/>
      </c>
      <c r="BE4153" s="743" t="str">
        <f>IF(D4153="","",VLOOKUP(D4153,'General Basis'!$J$39:$K$46,2,0))</f>
        <v/>
      </c>
      <c r="BF4153" s="744" t="str">
        <f>IF(D4153="","",VLOOKUP(D4153,'General Basis'!$J$39:$L$46,3,0))</f>
        <v/>
      </c>
      <c r="BG4153" s="744" t="str">
        <f t="shared" si="1441"/>
        <v/>
      </c>
      <c r="BH4153" s="744" t="str">
        <f>IF(G4153="","",IF(BF4153="Abu Dhabi",IF(G4153&lt;18,'General Basis'!$C$39,IF(G4153&lt;41,'General Basis'!$C$40,IF(G4153&lt;60,'General Basis'!$C$41,IF(G4153&lt;65,'General Basis'!$C$42,'General Basis'!$C$43)))),IF(G4153&lt;11,'General Basis'!$B$39,IF(G4153&lt;18,'General Basis'!$B$40,IF(G4153&lt;26,'General Basis'!$B$41,IF(G4153&lt;31,'General Basis'!$B$42,IF(G4153&lt;36,'General Basis'!$B$43,IF(G4153&lt;41,'General Basis'!$B$44,IF(G4153&lt;46,'General Basis'!$B$45,IF(G4153&lt;51,'General Basis'!$B$46,IF(G4153&lt;56,'General Basis'!$B$47,IF(G4153&lt;60,'General Basis'!$B$48,IF(G4153&lt;65,'General Basis'!$B$49,'General Basis'!$B$50)))))))))))))</f>
        <v/>
      </c>
      <c r="BI4153" s="744" t="str">
        <f t="shared" si="1435"/>
        <v/>
      </c>
      <c r="BJ4153" s="747" t="str">
        <f t="shared" si="1442"/>
        <v/>
      </c>
      <c r="BK4153" s="498" t="str">
        <f t="shared" si="1436"/>
        <v/>
      </c>
      <c r="BL4153" s="498" t="str">
        <f t="shared" si="1437"/>
        <v/>
      </c>
    </row>
    <row r="4154" spans="1:64" x14ac:dyDescent="0.25">
      <c r="A4154" s="762">
        <f t="shared" si="1438"/>
        <v>4149</v>
      </c>
      <c r="B4154" s="229"/>
      <c r="C4154" s="223"/>
      <c r="D4154" s="224"/>
      <c r="E4154" s="225"/>
      <c r="F4154" s="1036" t="str">
        <f t="shared" si="1444"/>
        <v/>
      </c>
      <c r="G4154" s="1037" t="str">
        <f t="shared" si="1439"/>
        <v/>
      </c>
      <c r="H4154" s="225"/>
      <c r="I4154" s="1013"/>
      <c r="J4154" s="1013"/>
      <c r="K4154" s="1028"/>
      <c r="L4154" s="1035" t="str">
        <f t="shared" si="1443"/>
        <v/>
      </c>
      <c r="S4154" s="498"/>
      <c r="AJ4154" s="498"/>
      <c r="AM4154" s="498">
        <f t="shared" si="1424"/>
        <v>0</v>
      </c>
      <c r="AN4154" s="498">
        <f t="shared" si="1425"/>
        <v>0</v>
      </c>
      <c r="AO4154" s="498">
        <f t="shared" si="1426"/>
        <v>0</v>
      </c>
      <c r="AP4154" s="498">
        <f t="shared" si="1445"/>
        <v>0</v>
      </c>
      <c r="AQ4154" s="498">
        <f t="shared" si="1440"/>
        <v>0</v>
      </c>
      <c r="AU4154" s="498">
        <f t="shared" si="1427"/>
        <v>0</v>
      </c>
      <c r="AV4154" s="498">
        <f t="shared" si="1428"/>
        <v>0</v>
      </c>
      <c r="AW4154" s="498">
        <f t="shared" si="1429"/>
        <v>0</v>
      </c>
      <c r="AX4154" s="498">
        <f t="shared" si="1430"/>
        <v>0</v>
      </c>
      <c r="AY4154" s="498">
        <f t="shared" si="1431"/>
        <v>0</v>
      </c>
      <c r="BB4154" s="498" t="str">
        <f t="shared" si="1432"/>
        <v/>
      </c>
      <c r="BC4154" s="743" t="str">
        <f t="shared" si="1433"/>
        <v/>
      </c>
      <c r="BD4154" s="743" t="str">
        <f t="shared" si="1434"/>
        <v/>
      </c>
      <c r="BE4154" s="743" t="str">
        <f>IF(D4154="","",VLOOKUP(D4154,'General Basis'!$J$39:$K$46,2,0))</f>
        <v/>
      </c>
      <c r="BF4154" s="744" t="str">
        <f>IF(D4154="","",VLOOKUP(D4154,'General Basis'!$J$39:$L$46,3,0))</f>
        <v/>
      </c>
      <c r="BG4154" s="744" t="str">
        <f t="shared" si="1441"/>
        <v/>
      </c>
      <c r="BH4154" s="744" t="str">
        <f>IF(G4154="","",IF(BF4154="Abu Dhabi",IF(G4154&lt;18,'General Basis'!$C$39,IF(G4154&lt;41,'General Basis'!$C$40,IF(G4154&lt;60,'General Basis'!$C$41,IF(G4154&lt;65,'General Basis'!$C$42,'General Basis'!$C$43)))),IF(G4154&lt;11,'General Basis'!$B$39,IF(G4154&lt;18,'General Basis'!$B$40,IF(G4154&lt;26,'General Basis'!$B$41,IF(G4154&lt;31,'General Basis'!$B$42,IF(G4154&lt;36,'General Basis'!$B$43,IF(G4154&lt;41,'General Basis'!$B$44,IF(G4154&lt;46,'General Basis'!$B$45,IF(G4154&lt;51,'General Basis'!$B$46,IF(G4154&lt;56,'General Basis'!$B$47,IF(G4154&lt;60,'General Basis'!$B$48,IF(G4154&lt;65,'General Basis'!$B$49,'General Basis'!$B$50)))))))))))))</f>
        <v/>
      </c>
      <c r="BI4154" s="744" t="str">
        <f t="shared" si="1435"/>
        <v/>
      </c>
      <c r="BJ4154" s="747" t="str">
        <f t="shared" si="1442"/>
        <v/>
      </c>
      <c r="BK4154" s="498" t="str">
        <f t="shared" si="1436"/>
        <v/>
      </c>
      <c r="BL4154" s="498" t="str">
        <f t="shared" si="1437"/>
        <v/>
      </c>
    </row>
    <row r="4155" spans="1:64" x14ac:dyDescent="0.25">
      <c r="A4155" s="762">
        <f t="shared" si="1438"/>
        <v>4150</v>
      </c>
      <c r="B4155" s="229"/>
      <c r="C4155" s="223"/>
      <c r="D4155" s="224"/>
      <c r="E4155" s="225"/>
      <c r="F4155" s="1036" t="str">
        <f t="shared" si="1444"/>
        <v/>
      </c>
      <c r="G4155" s="1037" t="str">
        <f t="shared" si="1439"/>
        <v/>
      </c>
      <c r="H4155" s="225"/>
      <c r="I4155" s="1013"/>
      <c r="J4155" s="1013"/>
      <c r="K4155" s="1028"/>
      <c r="L4155" s="1035" t="str">
        <f t="shared" si="1443"/>
        <v/>
      </c>
      <c r="S4155" s="498"/>
      <c r="AJ4155" s="498"/>
      <c r="AM4155" s="498">
        <f t="shared" si="1424"/>
        <v>0</v>
      </c>
      <c r="AN4155" s="498">
        <f t="shared" si="1425"/>
        <v>0</v>
      </c>
      <c r="AO4155" s="498">
        <f t="shared" si="1426"/>
        <v>0</v>
      </c>
      <c r="AP4155" s="498">
        <f t="shared" si="1445"/>
        <v>0</v>
      </c>
      <c r="AQ4155" s="498">
        <f t="shared" si="1440"/>
        <v>0</v>
      </c>
      <c r="AU4155" s="498">
        <f t="shared" si="1427"/>
        <v>0</v>
      </c>
      <c r="AV4155" s="498">
        <f t="shared" si="1428"/>
        <v>0</v>
      </c>
      <c r="AW4155" s="498">
        <f t="shared" si="1429"/>
        <v>0</v>
      </c>
      <c r="AX4155" s="498">
        <f t="shared" si="1430"/>
        <v>0</v>
      </c>
      <c r="AY4155" s="498">
        <f t="shared" si="1431"/>
        <v>0</v>
      </c>
      <c r="BB4155" s="498" t="str">
        <f t="shared" si="1432"/>
        <v/>
      </c>
      <c r="BC4155" s="743" t="str">
        <f t="shared" si="1433"/>
        <v/>
      </c>
      <c r="BD4155" s="743" t="str">
        <f t="shared" si="1434"/>
        <v/>
      </c>
      <c r="BE4155" s="743" t="str">
        <f>IF(D4155="","",VLOOKUP(D4155,'General Basis'!$J$39:$K$46,2,0))</f>
        <v/>
      </c>
      <c r="BF4155" s="744" t="str">
        <f>IF(D4155="","",VLOOKUP(D4155,'General Basis'!$J$39:$L$46,3,0))</f>
        <v/>
      </c>
      <c r="BG4155" s="744" t="str">
        <f t="shared" si="1441"/>
        <v/>
      </c>
      <c r="BH4155" s="744" t="str">
        <f>IF(G4155="","",IF(BF4155="Abu Dhabi",IF(G4155&lt;18,'General Basis'!$C$39,IF(G4155&lt;41,'General Basis'!$C$40,IF(G4155&lt;60,'General Basis'!$C$41,IF(G4155&lt;65,'General Basis'!$C$42,'General Basis'!$C$43)))),IF(G4155&lt;11,'General Basis'!$B$39,IF(G4155&lt;18,'General Basis'!$B$40,IF(G4155&lt;26,'General Basis'!$B$41,IF(G4155&lt;31,'General Basis'!$B$42,IF(G4155&lt;36,'General Basis'!$B$43,IF(G4155&lt;41,'General Basis'!$B$44,IF(G4155&lt;46,'General Basis'!$B$45,IF(G4155&lt;51,'General Basis'!$B$46,IF(G4155&lt;56,'General Basis'!$B$47,IF(G4155&lt;60,'General Basis'!$B$48,IF(G4155&lt;65,'General Basis'!$B$49,'General Basis'!$B$50)))))))))))))</f>
        <v/>
      </c>
      <c r="BI4155" s="744" t="str">
        <f t="shared" si="1435"/>
        <v/>
      </c>
      <c r="BJ4155" s="747" t="str">
        <f t="shared" si="1442"/>
        <v/>
      </c>
      <c r="BK4155" s="498" t="str">
        <f t="shared" si="1436"/>
        <v/>
      </c>
      <c r="BL4155" s="498" t="str">
        <f t="shared" si="1437"/>
        <v/>
      </c>
    </row>
    <row r="4156" spans="1:64" x14ac:dyDescent="0.25">
      <c r="A4156" s="762">
        <f t="shared" si="1438"/>
        <v>4151</v>
      </c>
      <c r="B4156" s="229"/>
      <c r="C4156" s="223"/>
      <c r="D4156" s="224"/>
      <c r="E4156" s="225"/>
      <c r="F4156" s="1036" t="str">
        <f t="shared" si="1444"/>
        <v/>
      </c>
      <c r="G4156" s="1037" t="str">
        <f t="shared" si="1439"/>
        <v/>
      </c>
      <c r="H4156" s="225"/>
      <c r="I4156" s="1013"/>
      <c r="J4156" s="1013"/>
      <c r="K4156" s="1028"/>
      <c r="L4156" s="1035" t="str">
        <f t="shared" si="1443"/>
        <v/>
      </c>
      <c r="S4156" s="498"/>
      <c r="AJ4156" s="498"/>
      <c r="AM4156" s="498">
        <f t="shared" si="1424"/>
        <v>0</v>
      </c>
      <c r="AN4156" s="498">
        <f t="shared" si="1425"/>
        <v>0</v>
      </c>
      <c r="AO4156" s="498">
        <f t="shared" si="1426"/>
        <v>0</v>
      </c>
      <c r="AP4156" s="498">
        <f t="shared" si="1445"/>
        <v>0</v>
      </c>
      <c r="AQ4156" s="498">
        <f t="shared" si="1440"/>
        <v>0</v>
      </c>
      <c r="AU4156" s="498">
        <f t="shared" si="1427"/>
        <v>0</v>
      </c>
      <c r="AV4156" s="498">
        <f t="shared" si="1428"/>
        <v>0</v>
      </c>
      <c r="AW4156" s="498">
        <f t="shared" si="1429"/>
        <v>0</v>
      </c>
      <c r="AX4156" s="498">
        <f t="shared" si="1430"/>
        <v>0</v>
      </c>
      <c r="AY4156" s="498">
        <f t="shared" si="1431"/>
        <v>0</v>
      </c>
      <c r="BB4156" s="498" t="str">
        <f t="shared" si="1432"/>
        <v/>
      </c>
      <c r="BC4156" s="743" t="str">
        <f t="shared" si="1433"/>
        <v/>
      </c>
      <c r="BD4156" s="743" t="str">
        <f t="shared" si="1434"/>
        <v/>
      </c>
      <c r="BE4156" s="743" t="str">
        <f>IF(D4156="","",VLOOKUP(D4156,'General Basis'!$J$39:$K$46,2,0))</f>
        <v/>
      </c>
      <c r="BF4156" s="744" t="str">
        <f>IF(D4156="","",VLOOKUP(D4156,'General Basis'!$J$39:$L$46,3,0))</f>
        <v/>
      </c>
      <c r="BG4156" s="744" t="str">
        <f t="shared" si="1441"/>
        <v/>
      </c>
      <c r="BH4156" s="744" t="str">
        <f>IF(G4156="","",IF(BF4156="Abu Dhabi",IF(G4156&lt;18,'General Basis'!$C$39,IF(G4156&lt;41,'General Basis'!$C$40,IF(G4156&lt;60,'General Basis'!$C$41,IF(G4156&lt;65,'General Basis'!$C$42,'General Basis'!$C$43)))),IF(G4156&lt;11,'General Basis'!$B$39,IF(G4156&lt;18,'General Basis'!$B$40,IF(G4156&lt;26,'General Basis'!$B$41,IF(G4156&lt;31,'General Basis'!$B$42,IF(G4156&lt;36,'General Basis'!$B$43,IF(G4156&lt;41,'General Basis'!$B$44,IF(G4156&lt;46,'General Basis'!$B$45,IF(G4156&lt;51,'General Basis'!$B$46,IF(G4156&lt;56,'General Basis'!$B$47,IF(G4156&lt;60,'General Basis'!$B$48,IF(G4156&lt;65,'General Basis'!$B$49,'General Basis'!$B$50)))))))))))))</f>
        <v/>
      </c>
      <c r="BI4156" s="744" t="str">
        <f t="shared" si="1435"/>
        <v/>
      </c>
      <c r="BJ4156" s="747" t="str">
        <f t="shared" si="1442"/>
        <v/>
      </c>
      <c r="BK4156" s="498" t="str">
        <f t="shared" si="1436"/>
        <v/>
      </c>
      <c r="BL4156" s="498" t="str">
        <f t="shared" si="1437"/>
        <v/>
      </c>
    </row>
    <row r="4157" spans="1:64" x14ac:dyDescent="0.25">
      <c r="A4157" s="762">
        <f t="shared" si="1438"/>
        <v>4152</v>
      </c>
      <c r="B4157" s="229"/>
      <c r="C4157" s="223"/>
      <c r="D4157" s="224"/>
      <c r="E4157" s="225"/>
      <c r="F4157" s="1036" t="str">
        <f t="shared" si="1444"/>
        <v/>
      </c>
      <c r="G4157" s="1037" t="str">
        <f t="shared" si="1439"/>
        <v/>
      </c>
      <c r="H4157" s="225"/>
      <c r="I4157" s="1013"/>
      <c r="J4157" s="1013"/>
      <c r="K4157" s="1028"/>
      <c r="L4157" s="1035" t="str">
        <f t="shared" si="1443"/>
        <v/>
      </c>
      <c r="S4157" s="498"/>
      <c r="AJ4157" s="498"/>
      <c r="AM4157" s="498">
        <f t="shared" si="1424"/>
        <v>0</v>
      </c>
      <c r="AN4157" s="498">
        <f t="shared" si="1425"/>
        <v>0</v>
      </c>
      <c r="AO4157" s="498">
        <f t="shared" si="1426"/>
        <v>0</v>
      </c>
      <c r="AP4157" s="498">
        <f t="shared" si="1445"/>
        <v>0</v>
      </c>
      <c r="AQ4157" s="498">
        <f t="shared" si="1440"/>
        <v>0</v>
      </c>
      <c r="AU4157" s="498">
        <f t="shared" si="1427"/>
        <v>0</v>
      </c>
      <c r="AV4157" s="498">
        <f t="shared" si="1428"/>
        <v>0</v>
      </c>
      <c r="AW4157" s="498">
        <f t="shared" si="1429"/>
        <v>0</v>
      </c>
      <c r="AX4157" s="498">
        <f t="shared" si="1430"/>
        <v>0</v>
      </c>
      <c r="AY4157" s="498">
        <f t="shared" si="1431"/>
        <v>0</v>
      </c>
      <c r="BB4157" s="498" t="str">
        <f t="shared" si="1432"/>
        <v/>
      </c>
      <c r="BC4157" s="743" t="str">
        <f t="shared" si="1433"/>
        <v/>
      </c>
      <c r="BD4157" s="743" t="str">
        <f t="shared" si="1434"/>
        <v/>
      </c>
      <c r="BE4157" s="743" t="str">
        <f>IF(D4157="","",VLOOKUP(D4157,'General Basis'!$J$39:$K$46,2,0))</f>
        <v/>
      </c>
      <c r="BF4157" s="744" t="str">
        <f>IF(D4157="","",VLOOKUP(D4157,'General Basis'!$J$39:$L$46,3,0))</f>
        <v/>
      </c>
      <c r="BG4157" s="744" t="str">
        <f t="shared" si="1441"/>
        <v/>
      </c>
      <c r="BH4157" s="744" t="str">
        <f>IF(G4157="","",IF(BF4157="Abu Dhabi",IF(G4157&lt;18,'General Basis'!$C$39,IF(G4157&lt;41,'General Basis'!$C$40,IF(G4157&lt;60,'General Basis'!$C$41,IF(G4157&lt;65,'General Basis'!$C$42,'General Basis'!$C$43)))),IF(G4157&lt;11,'General Basis'!$B$39,IF(G4157&lt;18,'General Basis'!$B$40,IF(G4157&lt;26,'General Basis'!$B$41,IF(G4157&lt;31,'General Basis'!$B$42,IF(G4157&lt;36,'General Basis'!$B$43,IF(G4157&lt;41,'General Basis'!$B$44,IF(G4157&lt;46,'General Basis'!$B$45,IF(G4157&lt;51,'General Basis'!$B$46,IF(G4157&lt;56,'General Basis'!$B$47,IF(G4157&lt;60,'General Basis'!$B$48,IF(G4157&lt;65,'General Basis'!$B$49,'General Basis'!$B$50)))))))))))))</f>
        <v/>
      </c>
      <c r="BI4157" s="744" t="str">
        <f t="shared" si="1435"/>
        <v/>
      </c>
      <c r="BJ4157" s="747" t="str">
        <f t="shared" si="1442"/>
        <v/>
      </c>
      <c r="BK4157" s="498" t="str">
        <f t="shared" si="1436"/>
        <v/>
      </c>
      <c r="BL4157" s="498" t="str">
        <f t="shared" si="1437"/>
        <v/>
      </c>
    </row>
    <row r="4158" spans="1:64" x14ac:dyDescent="0.25">
      <c r="A4158" s="762">
        <f t="shared" si="1438"/>
        <v>4153</v>
      </c>
      <c r="B4158" s="229"/>
      <c r="C4158" s="223"/>
      <c r="D4158" s="224"/>
      <c r="E4158" s="225"/>
      <c r="F4158" s="1036" t="str">
        <f t="shared" si="1444"/>
        <v/>
      </c>
      <c r="G4158" s="1037" t="str">
        <f t="shared" si="1439"/>
        <v/>
      </c>
      <c r="H4158" s="225"/>
      <c r="I4158" s="1013"/>
      <c r="J4158" s="1013"/>
      <c r="K4158" s="1028"/>
      <c r="L4158" s="1035" t="str">
        <f t="shared" si="1443"/>
        <v/>
      </c>
      <c r="S4158" s="498"/>
      <c r="AJ4158" s="498"/>
      <c r="AM4158" s="498">
        <f t="shared" si="1424"/>
        <v>0</v>
      </c>
      <c r="AN4158" s="498">
        <f t="shared" si="1425"/>
        <v>0</v>
      </c>
      <c r="AO4158" s="498">
        <f t="shared" si="1426"/>
        <v>0</v>
      </c>
      <c r="AP4158" s="498">
        <f t="shared" si="1445"/>
        <v>0</v>
      </c>
      <c r="AQ4158" s="498">
        <f t="shared" si="1440"/>
        <v>0</v>
      </c>
      <c r="AU4158" s="498">
        <f t="shared" si="1427"/>
        <v>0</v>
      </c>
      <c r="AV4158" s="498">
        <f t="shared" si="1428"/>
        <v>0</v>
      </c>
      <c r="AW4158" s="498">
        <f t="shared" si="1429"/>
        <v>0</v>
      </c>
      <c r="AX4158" s="498">
        <f t="shared" si="1430"/>
        <v>0</v>
      </c>
      <c r="AY4158" s="498">
        <f t="shared" si="1431"/>
        <v>0</v>
      </c>
      <c r="BB4158" s="498" t="str">
        <f t="shared" si="1432"/>
        <v/>
      </c>
      <c r="BC4158" s="743" t="str">
        <f t="shared" si="1433"/>
        <v/>
      </c>
      <c r="BD4158" s="743" t="str">
        <f t="shared" si="1434"/>
        <v/>
      </c>
      <c r="BE4158" s="743" t="str">
        <f>IF(D4158="","",VLOOKUP(D4158,'General Basis'!$J$39:$K$46,2,0))</f>
        <v/>
      </c>
      <c r="BF4158" s="744" t="str">
        <f>IF(D4158="","",VLOOKUP(D4158,'General Basis'!$J$39:$L$46,3,0))</f>
        <v/>
      </c>
      <c r="BG4158" s="744" t="str">
        <f t="shared" si="1441"/>
        <v/>
      </c>
      <c r="BH4158" s="744" t="str">
        <f>IF(G4158="","",IF(BF4158="Abu Dhabi",IF(G4158&lt;18,'General Basis'!$C$39,IF(G4158&lt;41,'General Basis'!$C$40,IF(G4158&lt;60,'General Basis'!$C$41,IF(G4158&lt;65,'General Basis'!$C$42,'General Basis'!$C$43)))),IF(G4158&lt;11,'General Basis'!$B$39,IF(G4158&lt;18,'General Basis'!$B$40,IF(G4158&lt;26,'General Basis'!$B$41,IF(G4158&lt;31,'General Basis'!$B$42,IF(G4158&lt;36,'General Basis'!$B$43,IF(G4158&lt;41,'General Basis'!$B$44,IF(G4158&lt;46,'General Basis'!$B$45,IF(G4158&lt;51,'General Basis'!$B$46,IF(G4158&lt;56,'General Basis'!$B$47,IF(G4158&lt;60,'General Basis'!$B$48,IF(G4158&lt;65,'General Basis'!$B$49,'General Basis'!$B$50)))))))))))))</f>
        <v/>
      </c>
      <c r="BI4158" s="744" t="str">
        <f t="shared" si="1435"/>
        <v/>
      </c>
      <c r="BJ4158" s="747" t="str">
        <f t="shared" si="1442"/>
        <v/>
      </c>
      <c r="BK4158" s="498" t="str">
        <f t="shared" si="1436"/>
        <v/>
      </c>
      <c r="BL4158" s="498" t="str">
        <f t="shared" si="1437"/>
        <v/>
      </c>
    </row>
    <row r="4159" spans="1:64" x14ac:dyDescent="0.25">
      <c r="A4159" s="762">
        <f t="shared" si="1438"/>
        <v>4154</v>
      </c>
      <c r="B4159" s="229"/>
      <c r="C4159" s="223"/>
      <c r="D4159" s="224"/>
      <c r="E4159" s="225"/>
      <c r="F4159" s="1036" t="str">
        <f t="shared" si="1444"/>
        <v/>
      </c>
      <c r="G4159" s="1037" t="str">
        <f t="shared" si="1439"/>
        <v/>
      </c>
      <c r="H4159" s="225"/>
      <c r="I4159" s="1013"/>
      <c r="J4159" s="1013"/>
      <c r="K4159" s="1028"/>
      <c r="L4159" s="1035" t="str">
        <f t="shared" si="1443"/>
        <v/>
      </c>
      <c r="S4159" s="498"/>
      <c r="AJ4159" s="498"/>
      <c r="AM4159" s="498">
        <f t="shared" si="1424"/>
        <v>0</v>
      </c>
      <c r="AN4159" s="498">
        <f t="shared" si="1425"/>
        <v>0</v>
      </c>
      <c r="AO4159" s="498">
        <f t="shared" si="1426"/>
        <v>0</v>
      </c>
      <c r="AP4159" s="498">
        <f t="shared" si="1445"/>
        <v>0</v>
      </c>
      <c r="AQ4159" s="498">
        <f t="shared" si="1440"/>
        <v>0</v>
      </c>
      <c r="AU4159" s="498">
        <f t="shared" si="1427"/>
        <v>0</v>
      </c>
      <c r="AV4159" s="498">
        <f t="shared" si="1428"/>
        <v>0</v>
      </c>
      <c r="AW4159" s="498">
        <f t="shared" si="1429"/>
        <v>0</v>
      </c>
      <c r="AX4159" s="498">
        <f t="shared" si="1430"/>
        <v>0</v>
      </c>
      <c r="AY4159" s="498">
        <f t="shared" si="1431"/>
        <v>0</v>
      </c>
      <c r="BB4159" s="498" t="str">
        <f t="shared" si="1432"/>
        <v/>
      </c>
      <c r="BC4159" s="743" t="str">
        <f t="shared" si="1433"/>
        <v/>
      </c>
      <c r="BD4159" s="743" t="str">
        <f t="shared" si="1434"/>
        <v/>
      </c>
      <c r="BE4159" s="743" t="str">
        <f>IF(D4159="","",VLOOKUP(D4159,'General Basis'!$J$39:$K$46,2,0))</f>
        <v/>
      </c>
      <c r="BF4159" s="744" t="str">
        <f>IF(D4159="","",VLOOKUP(D4159,'General Basis'!$J$39:$L$46,3,0))</f>
        <v/>
      </c>
      <c r="BG4159" s="744" t="str">
        <f t="shared" si="1441"/>
        <v/>
      </c>
      <c r="BH4159" s="744" t="str">
        <f>IF(G4159="","",IF(BF4159="Abu Dhabi",IF(G4159&lt;18,'General Basis'!$C$39,IF(G4159&lt;41,'General Basis'!$C$40,IF(G4159&lt;60,'General Basis'!$C$41,IF(G4159&lt;65,'General Basis'!$C$42,'General Basis'!$C$43)))),IF(G4159&lt;11,'General Basis'!$B$39,IF(G4159&lt;18,'General Basis'!$B$40,IF(G4159&lt;26,'General Basis'!$B$41,IF(G4159&lt;31,'General Basis'!$B$42,IF(G4159&lt;36,'General Basis'!$B$43,IF(G4159&lt;41,'General Basis'!$B$44,IF(G4159&lt;46,'General Basis'!$B$45,IF(G4159&lt;51,'General Basis'!$B$46,IF(G4159&lt;56,'General Basis'!$B$47,IF(G4159&lt;60,'General Basis'!$B$48,IF(G4159&lt;65,'General Basis'!$B$49,'General Basis'!$B$50)))))))))))))</f>
        <v/>
      </c>
      <c r="BI4159" s="744" t="str">
        <f t="shared" si="1435"/>
        <v/>
      </c>
      <c r="BJ4159" s="747" t="str">
        <f t="shared" si="1442"/>
        <v/>
      </c>
      <c r="BK4159" s="498" t="str">
        <f t="shared" si="1436"/>
        <v/>
      </c>
      <c r="BL4159" s="498" t="str">
        <f t="shared" si="1437"/>
        <v/>
      </c>
    </row>
    <row r="4160" spans="1:64" x14ac:dyDescent="0.25">
      <c r="A4160" s="762">
        <f t="shared" si="1438"/>
        <v>4155</v>
      </c>
      <c r="B4160" s="229"/>
      <c r="C4160" s="223"/>
      <c r="D4160" s="224"/>
      <c r="E4160" s="225"/>
      <c r="F4160" s="1036" t="str">
        <f t="shared" si="1444"/>
        <v/>
      </c>
      <c r="G4160" s="1037" t="str">
        <f t="shared" si="1439"/>
        <v/>
      </c>
      <c r="H4160" s="225"/>
      <c r="I4160" s="1013"/>
      <c r="J4160" s="1013"/>
      <c r="K4160" s="1028"/>
      <c r="L4160" s="1035" t="str">
        <f t="shared" si="1443"/>
        <v/>
      </c>
      <c r="S4160" s="498"/>
      <c r="AJ4160" s="498"/>
      <c r="AM4160" s="498">
        <f t="shared" si="1424"/>
        <v>0</v>
      </c>
      <c r="AN4160" s="498">
        <f t="shared" si="1425"/>
        <v>0</v>
      </c>
      <c r="AO4160" s="498">
        <f t="shared" si="1426"/>
        <v>0</v>
      </c>
      <c r="AP4160" s="498">
        <f t="shared" si="1445"/>
        <v>0</v>
      </c>
      <c r="AQ4160" s="498">
        <f t="shared" si="1440"/>
        <v>0</v>
      </c>
      <c r="AU4160" s="498">
        <f t="shared" si="1427"/>
        <v>0</v>
      </c>
      <c r="AV4160" s="498">
        <f t="shared" si="1428"/>
        <v>0</v>
      </c>
      <c r="AW4160" s="498">
        <f t="shared" si="1429"/>
        <v>0</v>
      </c>
      <c r="AX4160" s="498">
        <f t="shared" si="1430"/>
        <v>0</v>
      </c>
      <c r="AY4160" s="498">
        <f t="shared" si="1431"/>
        <v>0</v>
      </c>
      <c r="BB4160" s="498" t="str">
        <f t="shared" si="1432"/>
        <v/>
      </c>
      <c r="BC4160" s="743" t="str">
        <f t="shared" si="1433"/>
        <v/>
      </c>
      <c r="BD4160" s="743" t="str">
        <f t="shared" si="1434"/>
        <v/>
      </c>
      <c r="BE4160" s="743" t="str">
        <f>IF(D4160="","",VLOOKUP(D4160,'General Basis'!$J$39:$K$46,2,0))</f>
        <v/>
      </c>
      <c r="BF4160" s="744" t="str">
        <f>IF(D4160="","",VLOOKUP(D4160,'General Basis'!$J$39:$L$46,3,0))</f>
        <v/>
      </c>
      <c r="BG4160" s="744" t="str">
        <f t="shared" si="1441"/>
        <v/>
      </c>
      <c r="BH4160" s="744" t="str">
        <f>IF(G4160="","",IF(BF4160="Abu Dhabi",IF(G4160&lt;18,'General Basis'!$C$39,IF(G4160&lt;41,'General Basis'!$C$40,IF(G4160&lt;60,'General Basis'!$C$41,IF(G4160&lt;65,'General Basis'!$C$42,'General Basis'!$C$43)))),IF(G4160&lt;11,'General Basis'!$B$39,IF(G4160&lt;18,'General Basis'!$B$40,IF(G4160&lt;26,'General Basis'!$B$41,IF(G4160&lt;31,'General Basis'!$B$42,IF(G4160&lt;36,'General Basis'!$B$43,IF(G4160&lt;41,'General Basis'!$B$44,IF(G4160&lt;46,'General Basis'!$B$45,IF(G4160&lt;51,'General Basis'!$B$46,IF(G4160&lt;56,'General Basis'!$B$47,IF(G4160&lt;60,'General Basis'!$B$48,IF(G4160&lt;65,'General Basis'!$B$49,'General Basis'!$B$50)))))))))))))</f>
        <v/>
      </c>
      <c r="BI4160" s="744" t="str">
        <f t="shared" si="1435"/>
        <v/>
      </c>
      <c r="BJ4160" s="747" t="str">
        <f t="shared" si="1442"/>
        <v/>
      </c>
      <c r="BK4160" s="498" t="str">
        <f t="shared" si="1436"/>
        <v/>
      </c>
      <c r="BL4160" s="498" t="str">
        <f t="shared" si="1437"/>
        <v/>
      </c>
    </row>
    <row r="4161" spans="1:64" x14ac:dyDescent="0.25">
      <c r="A4161" s="762">
        <f t="shared" si="1438"/>
        <v>4156</v>
      </c>
      <c r="B4161" s="229"/>
      <c r="C4161" s="223"/>
      <c r="D4161" s="224"/>
      <c r="E4161" s="225"/>
      <c r="F4161" s="1036" t="str">
        <f t="shared" si="1444"/>
        <v/>
      </c>
      <c r="G4161" s="1037" t="str">
        <f t="shared" si="1439"/>
        <v/>
      </c>
      <c r="H4161" s="225"/>
      <c r="I4161" s="1013"/>
      <c r="J4161" s="1013"/>
      <c r="K4161" s="1028"/>
      <c r="L4161" s="1035" t="str">
        <f t="shared" si="1443"/>
        <v/>
      </c>
      <c r="S4161" s="498"/>
      <c r="AJ4161" s="498"/>
      <c r="AM4161" s="498">
        <f t="shared" si="1424"/>
        <v>0</v>
      </c>
      <c r="AN4161" s="498">
        <f t="shared" si="1425"/>
        <v>0</v>
      </c>
      <c r="AO4161" s="498">
        <f t="shared" si="1426"/>
        <v>0</v>
      </c>
      <c r="AP4161" s="498">
        <f t="shared" si="1445"/>
        <v>0</v>
      </c>
      <c r="AQ4161" s="498">
        <f t="shared" si="1440"/>
        <v>0</v>
      </c>
      <c r="AU4161" s="498">
        <f t="shared" si="1427"/>
        <v>0</v>
      </c>
      <c r="AV4161" s="498">
        <f t="shared" si="1428"/>
        <v>0</v>
      </c>
      <c r="AW4161" s="498">
        <f t="shared" si="1429"/>
        <v>0</v>
      </c>
      <c r="AX4161" s="498">
        <f t="shared" si="1430"/>
        <v>0</v>
      </c>
      <c r="AY4161" s="498">
        <f t="shared" si="1431"/>
        <v>0</v>
      </c>
      <c r="BB4161" s="498" t="str">
        <f t="shared" si="1432"/>
        <v/>
      </c>
      <c r="BC4161" s="743" t="str">
        <f t="shared" si="1433"/>
        <v/>
      </c>
      <c r="BD4161" s="743" t="str">
        <f t="shared" si="1434"/>
        <v/>
      </c>
      <c r="BE4161" s="743" t="str">
        <f>IF(D4161="","",VLOOKUP(D4161,'General Basis'!$J$39:$K$46,2,0))</f>
        <v/>
      </c>
      <c r="BF4161" s="744" t="str">
        <f>IF(D4161="","",VLOOKUP(D4161,'General Basis'!$J$39:$L$46,3,0))</f>
        <v/>
      </c>
      <c r="BG4161" s="744" t="str">
        <f t="shared" si="1441"/>
        <v/>
      </c>
      <c r="BH4161" s="744" t="str">
        <f>IF(G4161="","",IF(BF4161="Abu Dhabi",IF(G4161&lt;18,'General Basis'!$C$39,IF(G4161&lt;41,'General Basis'!$C$40,IF(G4161&lt;60,'General Basis'!$C$41,IF(G4161&lt;65,'General Basis'!$C$42,'General Basis'!$C$43)))),IF(G4161&lt;11,'General Basis'!$B$39,IF(G4161&lt;18,'General Basis'!$B$40,IF(G4161&lt;26,'General Basis'!$B$41,IF(G4161&lt;31,'General Basis'!$B$42,IF(G4161&lt;36,'General Basis'!$B$43,IF(G4161&lt;41,'General Basis'!$B$44,IF(G4161&lt;46,'General Basis'!$B$45,IF(G4161&lt;51,'General Basis'!$B$46,IF(G4161&lt;56,'General Basis'!$B$47,IF(G4161&lt;60,'General Basis'!$B$48,IF(G4161&lt;65,'General Basis'!$B$49,'General Basis'!$B$50)))))))))))))</f>
        <v/>
      </c>
      <c r="BI4161" s="744" t="str">
        <f t="shared" si="1435"/>
        <v/>
      </c>
      <c r="BJ4161" s="747" t="str">
        <f t="shared" si="1442"/>
        <v/>
      </c>
      <c r="BK4161" s="498" t="str">
        <f t="shared" si="1436"/>
        <v/>
      </c>
      <c r="BL4161" s="498" t="str">
        <f t="shared" si="1437"/>
        <v/>
      </c>
    </row>
    <row r="4162" spans="1:64" x14ac:dyDescent="0.25">
      <c r="A4162" s="762">
        <f t="shared" si="1438"/>
        <v>4157</v>
      </c>
      <c r="B4162" s="229"/>
      <c r="C4162" s="223"/>
      <c r="D4162" s="224"/>
      <c r="E4162" s="225"/>
      <c r="F4162" s="1036" t="str">
        <f t="shared" si="1444"/>
        <v/>
      </c>
      <c r="G4162" s="1037" t="str">
        <f t="shared" si="1439"/>
        <v/>
      </c>
      <c r="H4162" s="225"/>
      <c r="I4162" s="1013"/>
      <c r="J4162" s="1013"/>
      <c r="K4162" s="1028"/>
      <c r="L4162" s="1035" t="str">
        <f t="shared" si="1443"/>
        <v/>
      </c>
      <c r="S4162" s="498"/>
      <c r="AJ4162" s="498"/>
      <c r="AM4162" s="498">
        <f t="shared" si="1424"/>
        <v>0</v>
      </c>
      <c r="AN4162" s="498">
        <f t="shared" si="1425"/>
        <v>0</v>
      </c>
      <c r="AO4162" s="498">
        <f t="shared" si="1426"/>
        <v>0</v>
      </c>
      <c r="AP4162" s="498">
        <f t="shared" si="1445"/>
        <v>0</v>
      </c>
      <c r="AQ4162" s="498">
        <f t="shared" si="1440"/>
        <v>0</v>
      </c>
      <c r="AU4162" s="498">
        <f t="shared" si="1427"/>
        <v>0</v>
      </c>
      <c r="AV4162" s="498">
        <f t="shared" si="1428"/>
        <v>0</v>
      </c>
      <c r="AW4162" s="498">
        <f t="shared" si="1429"/>
        <v>0</v>
      </c>
      <c r="AX4162" s="498">
        <f t="shared" si="1430"/>
        <v>0</v>
      </c>
      <c r="AY4162" s="498">
        <f t="shared" si="1431"/>
        <v>0</v>
      </c>
      <c r="BB4162" s="498" t="str">
        <f t="shared" si="1432"/>
        <v/>
      </c>
      <c r="BC4162" s="743" t="str">
        <f t="shared" si="1433"/>
        <v/>
      </c>
      <c r="BD4162" s="743" t="str">
        <f t="shared" si="1434"/>
        <v/>
      </c>
      <c r="BE4162" s="743" t="str">
        <f>IF(D4162="","",VLOOKUP(D4162,'General Basis'!$J$39:$K$46,2,0))</f>
        <v/>
      </c>
      <c r="BF4162" s="744" t="str">
        <f>IF(D4162="","",VLOOKUP(D4162,'General Basis'!$J$39:$L$46,3,0))</f>
        <v/>
      </c>
      <c r="BG4162" s="744" t="str">
        <f t="shared" si="1441"/>
        <v/>
      </c>
      <c r="BH4162" s="744" t="str">
        <f>IF(G4162="","",IF(BF4162="Abu Dhabi",IF(G4162&lt;18,'General Basis'!$C$39,IF(G4162&lt;41,'General Basis'!$C$40,IF(G4162&lt;60,'General Basis'!$C$41,IF(G4162&lt;65,'General Basis'!$C$42,'General Basis'!$C$43)))),IF(G4162&lt;11,'General Basis'!$B$39,IF(G4162&lt;18,'General Basis'!$B$40,IF(G4162&lt;26,'General Basis'!$B$41,IF(G4162&lt;31,'General Basis'!$B$42,IF(G4162&lt;36,'General Basis'!$B$43,IF(G4162&lt;41,'General Basis'!$B$44,IF(G4162&lt;46,'General Basis'!$B$45,IF(G4162&lt;51,'General Basis'!$B$46,IF(G4162&lt;56,'General Basis'!$B$47,IF(G4162&lt;60,'General Basis'!$B$48,IF(G4162&lt;65,'General Basis'!$B$49,'General Basis'!$B$50)))))))))))))</f>
        <v/>
      </c>
      <c r="BI4162" s="744" t="str">
        <f t="shared" si="1435"/>
        <v/>
      </c>
      <c r="BJ4162" s="747" t="str">
        <f t="shared" si="1442"/>
        <v/>
      </c>
      <c r="BK4162" s="498" t="str">
        <f t="shared" si="1436"/>
        <v/>
      </c>
      <c r="BL4162" s="498" t="str">
        <f t="shared" si="1437"/>
        <v/>
      </c>
    </row>
    <row r="4163" spans="1:64" x14ac:dyDescent="0.25">
      <c r="A4163" s="762">
        <f t="shared" si="1438"/>
        <v>4158</v>
      </c>
      <c r="B4163" s="229"/>
      <c r="C4163" s="223"/>
      <c r="D4163" s="224"/>
      <c r="E4163" s="225"/>
      <c r="F4163" s="1036" t="str">
        <f t="shared" si="1444"/>
        <v/>
      </c>
      <c r="G4163" s="1037" t="str">
        <f t="shared" si="1439"/>
        <v/>
      </c>
      <c r="H4163" s="225"/>
      <c r="I4163" s="1013"/>
      <c r="J4163" s="1013"/>
      <c r="K4163" s="1028"/>
      <c r="L4163" s="1035" t="str">
        <f t="shared" si="1443"/>
        <v/>
      </c>
      <c r="S4163" s="498"/>
      <c r="AJ4163" s="498"/>
      <c r="AM4163" s="498">
        <f t="shared" si="1424"/>
        <v>0</v>
      </c>
      <c r="AN4163" s="498">
        <f t="shared" si="1425"/>
        <v>0</v>
      </c>
      <c r="AO4163" s="498">
        <f t="shared" si="1426"/>
        <v>0</v>
      </c>
      <c r="AP4163" s="498">
        <f t="shared" si="1445"/>
        <v>0</v>
      </c>
      <c r="AQ4163" s="498">
        <f t="shared" si="1440"/>
        <v>0</v>
      </c>
      <c r="AU4163" s="498">
        <f t="shared" si="1427"/>
        <v>0</v>
      </c>
      <c r="AV4163" s="498">
        <f t="shared" si="1428"/>
        <v>0</v>
      </c>
      <c r="AW4163" s="498">
        <f t="shared" si="1429"/>
        <v>0</v>
      </c>
      <c r="AX4163" s="498">
        <f t="shared" si="1430"/>
        <v>0</v>
      </c>
      <c r="AY4163" s="498">
        <f t="shared" si="1431"/>
        <v>0</v>
      </c>
      <c r="BB4163" s="498" t="str">
        <f t="shared" si="1432"/>
        <v/>
      </c>
      <c r="BC4163" s="743" t="str">
        <f t="shared" si="1433"/>
        <v/>
      </c>
      <c r="BD4163" s="743" t="str">
        <f t="shared" si="1434"/>
        <v/>
      </c>
      <c r="BE4163" s="743" t="str">
        <f>IF(D4163="","",VLOOKUP(D4163,'General Basis'!$J$39:$K$46,2,0))</f>
        <v/>
      </c>
      <c r="BF4163" s="744" t="str">
        <f>IF(D4163="","",VLOOKUP(D4163,'General Basis'!$J$39:$L$46,3,0))</f>
        <v/>
      </c>
      <c r="BG4163" s="744" t="str">
        <f t="shared" si="1441"/>
        <v/>
      </c>
      <c r="BH4163" s="744" t="str">
        <f>IF(G4163="","",IF(BF4163="Abu Dhabi",IF(G4163&lt;18,'General Basis'!$C$39,IF(G4163&lt;41,'General Basis'!$C$40,IF(G4163&lt;60,'General Basis'!$C$41,IF(G4163&lt;65,'General Basis'!$C$42,'General Basis'!$C$43)))),IF(G4163&lt;11,'General Basis'!$B$39,IF(G4163&lt;18,'General Basis'!$B$40,IF(G4163&lt;26,'General Basis'!$B$41,IF(G4163&lt;31,'General Basis'!$B$42,IF(G4163&lt;36,'General Basis'!$B$43,IF(G4163&lt;41,'General Basis'!$B$44,IF(G4163&lt;46,'General Basis'!$B$45,IF(G4163&lt;51,'General Basis'!$B$46,IF(G4163&lt;56,'General Basis'!$B$47,IF(G4163&lt;60,'General Basis'!$B$48,IF(G4163&lt;65,'General Basis'!$B$49,'General Basis'!$B$50)))))))))))))</f>
        <v/>
      </c>
      <c r="BI4163" s="744" t="str">
        <f t="shared" si="1435"/>
        <v/>
      </c>
      <c r="BJ4163" s="747" t="str">
        <f t="shared" si="1442"/>
        <v/>
      </c>
      <c r="BK4163" s="498" t="str">
        <f t="shared" si="1436"/>
        <v/>
      </c>
      <c r="BL4163" s="498" t="str">
        <f t="shared" si="1437"/>
        <v/>
      </c>
    </row>
    <row r="4164" spans="1:64" x14ac:dyDescent="0.25">
      <c r="A4164" s="762">
        <f t="shared" si="1438"/>
        <v>4159</v>
      </c>
      <c r="B4164" s="229"/>
      <c r="C4164" s="223"/>
      <c r="D4164" s="224"/>
      <c r="E4164" s="225"/>
      <c r="F4164" s="1036" t="str">
        <f t="shared" si="1444"/>
        <v/>
      </c>
      <c r="G4164" s="1037" t="str">
        <f t="shared" si="1439"/>
        <v/>
      </c>
      <c r="H4164" s="225"/>
      <c r="I4164" s="1013"/>
      <c r="J4164" s="1013"/>
      <c r="K4164" s="1028"/>
      <c r="L4164" s="1035" t="str">
        <f t="shared" si="1443"/>
        <v/>
      </c>
      <c r="S4164" s="498"/>
      <c r="AJ4164" s="498"/>
      <c r="AM4164" s="498">
        <f t="shared" si="1424"/>
        <v>0</v>
      </c>
      <c r="AN4164" s="498">
        <f t="shared" si="1425"/>
        <v>0</v>
      </c>
      <c r="AO4164" s="498">
        <f t="shared" si="1426"/>
        <v>0</v>
      </c>
      <c r="AP4164" s="498">
        <f t="shared" si="1445"/>
        <v>0</v>
      </c>
      <c r="AQ4164" s="498">
        <f t="shared" si="1440"/>
        <v>0</v>
      </c>
      <c r="AU4164" s="498">
        <f t="shared" si="1427"/>
        <v>0</v>
      </c>
      <c r="AV4164" s="498">
        <f t="shared" si="1428"/>
        <v>0</v>
      </c>
      <c r="AW4164" s="498">
        <f t="shared" si="1429"/>
        <v>0</v>
      </c>
      <c r="AX4164" s="498">
        <f t="shared" si="1430"/>
        <v>0</v>
      </c>
      <c r="AY4164" s="498">
        <f t="shared" si="1431"/>
        <v>0</v>
      </c>
      <c r="BB4164" s="498" t="str">
        <f t="shared" si="1432"/>
        <v/>
      </c>
      <c r="BC4164" s="743" t="str">
        <f t="shared" si="1433"/>
        <v/>
      </c>
      <c r="BD4164" s="743" t="str">
        <f t="shared" si="1434"/>
        <v/>
      </c>
      <c r="BE4164" s="743" t="str">
        <f>IF(D4164="","",VLOOKUP(D4164,'General Basis'!$J$39:$K$46,2,0))</f>
        <v/>
      </c>
      <c r="BF4164" s="744" t="str">
        <f>IF(D4164="","",VLOOKUP(D4164,'General Basis'!$J$39:$L$46,3,0))</f>
        <v/>
      </c>
      <c r="BG4164" s="744" t="str">
        <f t="shared" si="1441"/>
        <v/>
      </c>
      <c r="BH4164" s="744" t="str">
        <f>IF(G4164="","",IF(BF4164="Abu Dhabi",IF(G4164&lt;18,'General Basis'!$C$39,IF(G4164&lt;41,'General Basis'!$C$40,IF(G4164&lt;60,'General Basis'!$C$41,IF(G4164&lt;65,'General Basis'!$C$42,'General Basis'!$C$43)))),IF(G4164&lt;11,'General Basis'!$B$39,IF(G4164&lt;18,'General Basis'!$B$40,IF(G4164&lt;26,'General Basis'!$B$41,IF(G4164&lt;31,'General Basis'!$B$42,IF(G4164&lt;36,'General Basis'!$B$43,IF(G4164&lt;41,'General Basis'!$B$44,IF(G4164&lt;46,'General Basis'!$B$45,IF(G4164&lt;51,'General Basis'!$B$46,IF(G4164&lt;56,'General Basis'!$B$47,IF(G4164&lt;60,'General Basis'!$B$48,IF(G4164&lt;65,'General Basis'!$B$49,'General Basis'!$B$50)))))))))))))</f>
        <v/>
      </c>
      <c r="BI4164" s="744" t="str">
        <f t="shared" si="1435"/>
        <v/>
      </c>
      <c r="BJ4164" s="747" t="str">
        <f t="shared" si="1442"/>
        <v/>
      </c>
      <c r="BK4164" s="498" t="str">
        <f t="shared" si="1436"/>
        <v/>
      </c>
      <c r="BL4164" s="498" t="str">
        <f t="shared" si="1437"/>
        <v/>
      </c>
    </row>
    <row r="4165" spans="1:64" x14ac:dyDescent="0.25">
      <c r="A4165" s="762">
        <f t="shared" si="1438"/>
        <v>4160</v>
      </c>
      <c r="B4165" s="229"/>
      <c r="C4165" s="223"/>
      <c r="D4165" s="224"/>
      <c r="E4165" s="225"/>
      <c r="F4165" s="1036" t="str">
        <f t="shared" si="1444"/>
        <v/>
      </c>
      <c r="G4165" s="1037" t="str">
        <f t="shared" si="1439"/>
        <v/>
      </c>
      <c r="H4165" s="225"/>
      <c r="I4165" s="1013"/>
      <c r="J4165" s="1013"/>
      <c r="K4165" s="1028"/>
      <c r="L4165" s="1035" t="str">
        <f t="shared" si="1443"/>
        <v/>
      </c>
      <c r="S4165" s="498"/>
      <c r="AJ4165" s="498"/>
      <c r="AM4165" s="498">
        <f t="shared" si="1424"/>
        <v>0</v>
      </c>
      <c r="AN4165" s="498">
        <f t="shared" si="1425"/>
        <v>0</v>
      </c>
      <c r="AO4165" s="498">
        <f t="shared" si="1426"/>
        <v>0</v>
      </c>
      <c r="AP4165" s="498">
        <f t="shared" si="1445"/>
        <v>0</v>
      </c>
      <c r="AQ4165" s="498">
        <f t="shared" si="1440"/>
        <v>0</v>
      </c>
      <c r="AU4165" s="498">
        <f t="shared" si="1427"/>
        <v>0</v>
      </c>
      <c r="AV4165" s="498">
        <f t="shared" si="1428"/>
        <v>0</v>
      </c>
      <c r="AW4165" s="498">
        <f t="shared" si="1429"/>
        <v>0</v>
      </c>
      <c r="AX4165" s="498">
        <f t="shared" si="1430"/>
        <v>0</v>
      </c>
      <c r="AY4165" s="498">
        <f t="shared" si="1431"/>
        <v>0</v>
      </c>
      <c r="BB4165" s="498" t="str">
        <f t="shared" si="1432"/>
        <v/>
      </c>
      <c r="BC4165" s="743" t="str">
        <f t="shared" si="1433"/>
        <v/>
      </c>
      <c r="BD4165" s="743" t="str">
        <f t="shared" si="1434"/>
        <v/>
      </c>
      <c r="BE4165" s="743" t="str">
        <f>IF(D4165="","",VLOOKUP(D4165,'General Basis'!$J$39:$K$46,2,0))</f>
        <v/>
      </c>
      <c r="BF4165" s="744" t="str">
        <f>IF(D4165="","",VLOOKUP(D4165,'General Basis'!$J$39:$L$46,3,0))</f>
        <v/>
      </c>
      <c r="BG4165" s="744" t="str">
        <f t="shared" si="1441"/>
        <v/>
      </c>
      <c r="BH4165" s="744" t="str">
        <f>IF(G4165="","",IF(BF4165="Abu Dhabi",IF(G4165&lt;18,'General Basis'!$C$39,IF(G4165&lt;41,'General Basis'!$C$40,IF(G4165&lt;60,'General Basis'!$C$41,IF(G4165&lt;65,'General Basis'!$C$42,'General Basis'!$C$43)))),IF(G4165&lt;11,'General Basis'!$B$39,IF(G4165&lt;18,'General Basis'!$B$40,IF(G4165&lt;26,'General Basis'!$B$41,IF(G4165&lt;31,'General Basis'!$B$42,IF(G4165&lt;36,'General Basis'!$B$43,IF(G4165&lt;41,'General Basis'!$B$44,IF(G4165&lt;46,'General Basis'!$B$45,IF(G4165&lt;51,'General Basis'!$B$46,IF(G4165&lt;56,'General Basis'!$B$47,IF(G4165&lt;60,'General Basis'!$B$48,IF(G4165&lt;65,'General Basis'!$B$49,'General Basis'!$B$50)))))))))))))</f>
        <v/>
      </c>
      <c r="BI4165" s="744" t="str">
        <f t="shared" si="1435"/>
        <v/>
      </c>
      <c r="BJ4165" s="747" t="str">
        <f t="shared" si="1442"/>
        <v/>
      </c>
      <c r="BK4165" s="498" t="str">
        <f t="shared" si="1436"/>
        <v/>
      </c>
      <c r="BL4165" s="498" t="str">
        <f t="shared" si="1437"/>
        <v/>
      </c>
    </row>
    <row r="4166" spans="1:64" x14ac:dyDescent="0.25">
      <c r="A4166" s="762">
        <f t="shared" si="1438"/>
        <v>4161</v>
      </c>
      <c r="B4166" s="229"/>
      <c r="C4166" s="223"/>
      <c r="D4166" s="224"/>
      <c r="E4166" s="225"/>
      <c r="F4166" s="1036" t="str">
        <f t="shared" si="1444"/>
        <v/>
      </c>
      <c r="G4166" s="1037" t="str">
        <f t="shared" si="1439"/>
        <v/>
      </c>
      <c r="H4166" s="225"/>
      <c r="I4166" s="1013"/>
      <c r="J4166" s="1013"/>
      <c r="K4166" s="1028"/>
      <c r="L4166" s="1035" t="str">
        <f t="shared" si="1443"/>
        <v/>
      </c>
      <c r="S4166" s="498"/>
      <c r="AJ4166" s="498"/>
      <c r="AM4166" s="498">
        <f t="shared" ref="AM4166:AM4229" si="1446">IF(ISTEXT(B4166),1,0)</f>
        <v>0</v>
      </c>
      <c r="AN4166" s="498">
        <f t="shared" ref="AN4166:AN4229" si="1447">IF(ISBLANK(B4166),0,IF(B4166&lt;$AK$6,1,0))</f>
        <v>0</v>
      </c>
      <c r="AO4166" s="498">
        <f t="shared" ref="AO4166:AO4229" si="1448">IF(ISBLANK(B4166),0,IF(B4166&gt;$AK$7,1,0))</f>
        <v>0</v>
      </c>
      <c r="AP4166" s="498">
        <f t="shared" si="1445"/>
        <v>0</v>
      </c>
      <c r="AQ4166" s="498">
        <f t="shared" si="1440"/>
        <v>0</v>
      </c>
      <c r="AU4166" s="498">
        <f t="shared" ref="AU4166:AU4229" si="1449">IF(ISBLANK(B4166),0,1)</f>
        <v>0</v>
      </c>
      <c r="AV4166" s="498">
        <f t="shared" ref="AV4166:AV4229" si="1450">IF(ISBLANK(C4166),0,1)</f>
        <v>0</v>
      </c>
      <c r="AW4166" s="498">
        <f t="shared" ref="AW4166:AW4229" si="1451">IF(ISBLANK(D4166),0,1)</f>
        <v>0</v>
      </c>
      <c r="AX4166" s="498">
        <f t="shared" ref="AX4166:AX4229" si="1452">IF(ISBLANK(E4166),0,1)</f>
        <v>0</v>
      </c>
      <c r="AY4166" s="498">
        <f t="shared" ref="AY4166:AY4229" si="1453">IF(ISBLANK(H4166),0,1)</f>
        <v>0</v>
      </c>
      <c r="BB4166" s="498" t="str">
        <f t="shared" ref="BB4166:BB4229" si="1454">IF(E4166="Principal","Principal",IF(E4166="","","Other"))</f>
        <v/>
      </c>
      <c r="BC4166" s="743" t="str">
        <f t="shared" ref="BC4166:BC4229" si="1455">IF(D4166="","",D4166)</f>
        <v/>
      </c>
      <c r="BD4166" s="743" t="str">
        <f t="shared" ref="BD4166:BD4229" si="1456">IF(E4166="Principal","Employee",IF(E4166="","","Dependent"))</f>
        <v/>
      </c>
      <c r="BE4166" s="743" t="str">
        <f>IF(D4166="","",VLOOKUP(D4166,'General Basis'!$J$39:$K$46,2,0))</f>
        <v/>
      </c>
      <c r="BF4166" s="744" t="str">
        <f>IF(D4166="","",VLOOKUP(D4166,'General Basis'!$J$39:$L$46,3,0))</f>
        <v/>
      </c>
      <c r="BG4166" s="744" t="str">
        <f t="shared" si="1441"/>
        <v/>
      </c>
      <c r="BH4166" s="744" t="str">
        <f>IF(G4166="","",IF(BF4166="Abu Dhabi",IF(G4166&lt;18,'General Basis'!$C$39,IF(G4166&lt;41,'General Basis'!$C$40,IF(G4166&lt;60,'General Basis'!$C$41,IF(G4166&lt;65,'General Basis'!$C$42,'General Basis'!$C$43)))),IF(G4166&lt;11,'General Basis'!$B$39,IF(G4166&lt;18,'General Basis'!$B$40,IF(G4166&lt;26,'General Basis'!$B$41,IF(G4166&lt;31,'General Basis'!$B$42,IF(G4166&lt;36,'General Basis'!$B$43,IF(G4166&lt;41,'General Basis'!$B$44,IF(G4166&lt;46,'General Basis'!$B$45,IF(G4166&lt;51,'General Basis'!$B$46,IF(G4166&lt;56,'General Basis'!$B$47,IF(G4166&lt;60,'General Basis'!$B$48,IF(G4166&lt;65,'General Basis'!$B$49,'General Basis'!$B$50)))))))))))))</f>
        <v/>
      </c>
      <c r="BI4166" s="744" t="str">
        <f t="shared" ref="BI4166:BI4229" si="1457">IF(C4166="","",IF(C4166="M","Male","Female"))</f>
        <v/>
      </c>
      <c r="BJ4166" s="747" t="str">
        <f t="shared" si="1442"/>
        <v/>
      </c>
      <c r="BK4166" s="498" t="str">
        <f t="shared" ref="BK4166:BK4229" si="1458">IF(BD4166="","",IF(AND(BD4166="Employee",BI4166="Male",BF4166="Abu Dhabi",BE4166=GN_Plus),VLOOKUP(BH4166,AUH_MALE_EMP,2,0),IF(AND(BD4166="Employee",BI4166="Male",BF4166="Abu Dhabi",BE4166=GN),VLOOKUP(BH4166,AUH_MALE_EMP,3,0),IF(AND(BD4166="Employee",BI4166="Male",BF4166="Abu Dhabi",BE4166=RN_Plus),VLOOKUP(BH4166,AUH_MALE_EMP,4,0),IF(AND(BD4166="Employee",BI4166="Male",BF4166="Abu Dhabi",BE4166=RN),VLOOKUP(BH4166,AUH_MALE_EMP,5,0),IF(AND(BD4166="Employee",BI4166="Male",BF4166="Abu Dhabi",BE4166=RN_2),VLOOKUP(BH4166,AUH_MALE_EMP,6,0),IF(AND(BD4166="Employee",BI4166="Male",BF4166="Abu Dhabi",BE4166=RN2_minus),VLOOKUP(BH4166,AUH_MALE_EMP,7,0),IF(AND(BD4166="Employee",BI4166="Male",BF4166="Abu Dhabi",BE4166=RN_3),VLOOKUP(BH4166,AUH_MALE_EMP,8,0),IF(AND(BD4166="Employee",BI4166="Male",BF4166="Abu Dhabi",BE4166=VN),VLOOKUP(BH4166,AUH_MALE_EMP,9,0),IF(BD4166="","",IF(AND(BD4166="Employee",BI4166="Female",BF4166="Abu Dhabi",BE4166=GN_Plus),VLOOKUP(BH4166,AUH_FEMALE_EMP,2,0),IF(AND(BD4166="Employee",BI4166="Female",BF4166="Abu Dhabi",BE4166=GN),VLOOKUP(BH4166,AUH_FEMALE_EMP,3,0),IF(AND(BD4166="Employee",BI4166="Female",BF4166="Abu Dhabi",BE4166=RN_Plus),VLOOKUP(BH4166,AUH_FEMALE_EMP,4,0),IF(AND(BD4166="Employee",BI4166="Female",BF4166="Abu Dhabi",BE4166=RN),VLOOKUP(BH4166,AUH_FEMALE_EMP,5,0),IF(AND(BD4166="Employee",BI4166="Female",BF4166="Abu Dhabi",BE4166=RN_2),VLOOKUP(BH4166,AUH_FEMALE_EMP,6,0),IF(AND(BD4166="Employee",BI4166="Female",BF4166="Abu Dhabi",BE4166=RN2_minus),VLOOKUP(BH4166,AUH_FEMALE_EMP,7,0),IF(AND(BD4166="Employee",BI4166="Female",BF4166="Abu Dhabi",BE4166=RN_3),VLOOKUP(BH4166,AUH_FEMALE_EMP,8,0),IF(AND(BD4166="Employee",BI4166="Female",BF4166="Abu Dhabi",BE4166=VN),VLOOKUP(BH4166,AUH_FEMALE_EMP,9,0),IF(BD4166="","",IF(AND(BD4166="Dependent",BI4166="Male",BF4166="Abu Dhabi",BE4166=GN_Plus),VLOOKUP(BH4166,AUH_MALE_DEP,2,0),IF(AND(BD4166="Dependent",BI4166="Male",BF4166="Abu Dhabi",BE4166=GN),VLOOKUP(BH4166,AUH_MALE_DEP,3,0),IF(AND(BD4166="Dependent",BI4166="Male",BF4166="Abu Dhabi",BE4166=RN_Plus),VLOOKUP(BH4166,AUH_MALE_DEP,4,0),IF(AND(BD4166="Dependent",BI4166="Male",BF4166="Abu Dhabi",BE4166=RN),VLOOKUP(BH4166,AUH_MALE_DEP,5,0),IF(AND(BD4166="Dependent",BI4166="Male",BF4166="Abu Dhabi",BE4166=RN_2),VLOOKUP(BH4166,AUH_MALE_DEP,6,0),IF(AND(BD4166="Dependent",BI4166="Male",BF4166="Abu Dhabi",BE4166=RN2_minus),VLOOKUP(BH4166,AUH_MALE_DEP,7,0),IF(AND(BD4166="Dependent",BI4166="Male",BF4166="Abu Dhabi",BE4166=RN_3),VLOOKUP(BH4166,AUH_MALE_DEP,8,0),IF(AND(BD4166="Dependent",BI4166="Male",BF4166="Abu Dhabi",BE4166=VN),VLOOKUP(BH4166,AUH_MALE_DEP,9,0),IF(BD4166="","",IF(AND(BD4166="Dependent",BI4166="Female",BF4166="Abu Dhabi",BE4166=GN_Plus),VLOOKUP(BH4166,AUH_FEMALE_DEP,2,0),IF(AND(BD4166="Dependent",BI4166="Female",BF4166="Abu Dhabi",BE4166=GN),VLOOKUP(BH4166,AUH_FEMALE_DEP,3,0),IF(AND(BD4166="Dependent",BI4166="Female",BF4166="Abu Dhabi",BE4166=RN_Plus),VLOOKUP(BH4166,AUH_FEMALE_DEP,4,0),IF(AND(BD4166="Dependent",BI4166="Female",BF4166="Abu Dhabi",BE4166=RN),VLOOKUP(BH4166,AUH_FEMALE_DEP,5,0),IF(AND(BD4166="Dependent",BI4166="Female",BF4166="Abu Dhabi",BE4166=RN_2),VLOOKUP(BH4166,AUH_FEMALE_DEP,6,0),IF(AND(BD4166="Dependent",BI4166="Female",BF4166="Abu Dhabi",BE4166=RN2_minus),VLOOKUP(BH4166,AUH_FEMALE_DEP,7,0),IF(AND(BD4166="Dependent",BI4166="Female",BF4166="Abu Dhabi",BE4166=RN_3),VLOOKUP(BH4166,AUH_FEMALE_DEP,8,0),IF(AND(BD4166="Dependent",BI4166="Female",BF4166="Abu Dhabi",BE4166=VN),VLOOKUP(BH4166,AUH_FEMALE_DEP,9,0),"ABC"))))))))))))))))))))))))))))))))))))</f>
        <v/>
      </c>
      <c r="BL4166" s="498" t="str">
        <f t="shared" ref="BL4166:BL4229" si="1459">IF(BD4166="","",IF(AND(BD4166="Employee",BI4166="Male",BF4166="Dubai",BE4166=GN_Plus),VLOOKUP(BH4166,DXB_MALE_EMP,2,0),IF(AND(BD4166="Employee",BI4166="Male",BF4166="Dubai",BE4166=GN),VLOOKUP(BH4166,DXB_MALE_EMP,3,0),IF(AND(BD4166="Employee",BI4166="Male",BF4166="Dubai",BE4166=RN_Plus),VLOOKUP(BH4166,DXB_MALE_EMP,4,0),IF(AND(BD4166="Employee",BI4166="Male",BF4166="Dubai",BE4166=RN),VLOOKUP(BH4166,DXB_MALE_EMP,5,0),IF(AND(BD4166="Employee",BI4166="Male",BF4166="Dubai",BE4166=RN_2),VLOOKUP(BH4166,DXB_MALE_EMP,6,0),IF(AND(BD4166="Employee",BI4166="Male",BF4166="Dubai",BE4166=RN2_minus),VLOOKUP(BH4166,DXB_MALE_EMP,7,0),IF(AND(BD4166="Employee",BI4166="Male",BF4166="Dubai",BE4166=RN_3),VLOOKUP(BH4166,DXB_MALE_EMP,8,0),IF(AND(BD4166="Employee",BI4166="Male",BF4166="Dubai",BE4166=VN),VLOOKUP(BH4166,DXB_MALE_EMP,9,0),IF(BD4166="","",IF(AND(BD4166="Employee",BI4166="Female",BF4166="Dubai",BE4166=GN_Plus),VLOOKUP(BH4166,DXB_FEMALE_EMP,2,0),IF(AND(BD4166="Employee",BI4166="Female",BF4166="Dubai",BE4166=GN),VLOOKUP(BH4166,DXB_FEMALE_EMP,3,0),IF(AND(BD4166="Employee",BI4166="Female",BF4166="Dubai",BE4166=RN_Plus),VLOOKUP(BH4166,DXB_FEMALE_EMP,4,0),IF(AND(BD4166="Employee",BI4166="Female",BF4166="Dubai",BE4166=RN),VLOOKUP(BH4166,DXB_FEMALE_EMP,5,0),IF(AND(BD4166="Employee",BI4166="Female",BF4166="Dubai",BE4166=RN_2),VLOOKUP(BH4166,DXB_FEMALE_EMP,6,0),IF(AND(BD4166="Employee",BI4166="Female",BF4166="Dubai",BE4166=RN2_minus),VLOOKUP(BH4166,DXB_FEMALE_EMP,7,0),IF(AND(BD4166="Employee",BI4166="Female",BF4166="Dubai",BE4166=RN_3),VLOOKUP(BH4166,DXB_FEMALE_EMP,8,0),IF(AND(BD4166="Employee",BI4166="Female",BF4166="Dubai",BE4166=VN),VLOOKUP(BH4166,DXB_FEMALE_EMP,9,0),IF(BD4166="","",IF(AND(BD4166="Dependent",BI4166="Male",BF4166="Dubai",BE4166=GN_Plus),VLOOKUP(BH4166,DXB_MALE_DEP,2,0),IF(AND(BD4166="Dependent",BI4166="Male",BF4166="Dubai",BE4166=GN),VLOOKUP(BH4166,DXB_MALE_DEP,3,0),IF(AND(BD4166="Dependent",BI4166="Male",BF4166="Dubai",BE4166=RN_Plus),VLOOKUP(BH4166,DXB_MALE_DEP,4,0),IF(AND(BD4166="Dependent",BI4166="Male",BF4166="Dubai",BE4166=RN),VLOOKUP(BH4166,DXB_MALE_DEP,5,0),IF(AND(BD4166="Dependent",BI4166="Male",BF4166="Dubai",BE4166=RN_2),VLOOKUP(BH4166,DXB_MALE_DEP,6,0),IF(AND(BD4166="Dependent",BI4166="Male",BF4166="Dubai",BE4166=RN2_minus),VLOOKUP(BH4166,DXB_MALE_DEP,7,0),IF(AND(BD4166="Dependent",BI4166="Male",BF4166="Dubai",BE4166=RN_3),VLOOKUP(BH4166,DXB_MALE_DEP,8,0),IF(AND(BD4166="Dependent",BI4166="Male",BF4166="Dubai",BE4166=VN),VLOOKUP(BH4166,DXB_MALE_DEP,9,0),IF(BD4166="","",IF(AND(BD4166="Dependent",BI4166="Female",BF4166="Dubai",BE4166=GN_Plus),VLOOKUP(BH4166,DXB_FEMALE_DEP,2,0),IF(AND(BD4166="Dependent",BI4166="Female",BF4166="Dubai",BE4166=GN),VLOOKUP(BH4166,DXB_FEMALE_DEP,3,0),IF(AND(BD4166="Dependent",BI4166="Female",BF4166="Dubai",BE4166=RN_Plus),VLOOKUP(BH4166,DXB_FEMALE_DEP,4,0),IF(AND(BD4166="Dependent",BI4166="Female",BF4166="Dubai",BE4166=RN),VLOOKUP(BH4166,DXB_FEMALE_DEP,5,0),IF(AND(BD4166="Dependent",BI4166="Female",BF4166="Dubai",BE4166=RN_2),VLOOKUP(BH4166,DXB_FEMALE_DEP,6,0),IF(AND(BD4166="Dependent",BI4166="Female",BF4166="Dubai",BE4166=RN2_minus),VLOOKUP(BH4166,DXB_FEMALE_DEP,7,0),IF(AND(BD4166="Dependent",BI4166="Female",BF4166="Dubai",BE4166=RN_3),VLOOKUP(BH4166,DXB_FEMALE_DEP,8,0),IF(AND(BD4166="Dependent",BI4166="Female",BF4166="Dubai",BE4166=VN),VLOOKUP(BH4166,DXB_FEMALE_DEP,9,0),"ABC"))))))))))))))))))))))))))))))))))))</f>
        <v/>
      </c>
    </row>
    <row r="4167" spans="1:64" x14ac:dyDescent="0.25">
      <c r="A4167" s="762">
        <f t="shared" ref="A4167:A4230" si="1460">+A4166+1</f>
        <v>4162</v>
      </c>
      <c r="B4167" s="229"/>
      <c r="C4167" s="223"/>
      <c r="D4167" s="224"/>
      <c r="E4167" s="225"/>
      <c r="F4167" s="1036" t="str">
        <f t="shared" si="1444"/>
        <v/>
      </c>
      <c r="G4167" s="1037" t="str">
        <f t="shared" ref="G4167:G4230" si="1461">IF(D4167="","",MAX(0,ROUNDUP(F4167,0)))</f>
        <v/>
      </c>
      <c r="H4167" s="225"/>
      <c r="I4167" s="1013"/>
      <c r="J4167" s="1013"/>
      <c r="K4167" s="1028"/>
      <c r="L4167" s="1035" t="str">
        <f t="shared" si="1443"/>
        <v/>
      </c>
      <c r="S4167" s="498"/>
      <c r="AJ4167" s="498"/>
      <c r="AM4167" s="498">
        <f t="shared" si="1446"/>
        <v>0</v>
      </c>
      <c r="AN4167" s="498">
        <f t="shared" si="1447"/>
        <v>0</v>
      </c>
      <c r="AO4167" s="498">
        <f t="shared" si="1448"/>
        <v>0</v>
      </c>
      <c r="AP4167" s="498">
        <f t="shared" si="1445"/>
        <v>0</v>
      </c>
      <c r="AQ4167" s="498">
        <f t="shared" ref="AQ4167:AQ4230" si="1462">IF(ISBLANK($B4167),0,IF(OR($H4167="Single",$H4167="Married"),0,1))</f>
        <v>0</v>
      </c>
      <c r="AU4167" s="498">
        <f t="shared" si="1449"/>
        <v>0</v>
      </c>
      <c r="AV4167" s="498">
        <f t="shared" si="1450"/>
        <v>0</v>
      </c>
      <c r="AW4167" s="498">
        <f t="shared" si="1451"/>
        <v>0</v>
      </c>
      <c r="AX4167" s="498">
        <f t="shared" si="1452"/>
        <v>0</v>
      </c>
      <c r="AY4167" s="498">
        <f t="shared" si="1453"/>
        <v>0</v>
      </c>
      <c r="BB4167" s="498" t="str">
        <f t="shared" si="1454"/>
        <v/>
      </c>
      <c r="BC4167" s="743" t="str">
        <f t="shared" si="1455"/>
        <v/>
      </c>
      <c r="BD4167" s="743" t="str">
        <f t="shared" si="1456"/>
        <v/>
      </c>
      <c r="BE4167" s="743" t="str">
        <f>IF(D4167="","",VLOOKUP(D4167,'General Basis'!$J$39:$K$46,2,0))</f>
        <v/>
      </c>
      <c r="BF4167" s="744" t="str">
        <f>IF(D4167="","",VLOOKUP(D4167,'General Basis'!$J$39:$L$46,3,0))</f>
        <v/>
      </c>
      <c r="BG4167" s="744" t="str">
        <f t="shared" ref="BG4167:BG4230" si="1463">BC4167&amp;BI4167</f>
        <v/>
      </c>
      <c r="BH4167" s="744" t="str">
        <f>IF(G4167="","",IF(BF4167="Abu Dhabi",IF(G4167&lt;18,'General Basis'!$C$39,IF(G4167&lt;41,'General Basis'!$C$40,IF(G4167&lt;60,'General Basis'!$C$41,IF(G4167&lt;65,'General Basis'!$C$42,'General Basis'!$C$43)))),IF(G4167&lt;11,'General Basis'!$B$39,IF(G4167&lt;18,'General Basis'!$B$40,IF(G4167&lt;26,'General Basis'!$B$41,IF(G4167&lt;31,'General Basis'!$B$42,IF(G4167&lt;36,'General Basis'!$B$43,IF(G4167&lt;41,'General Basis'!$B$44,IF(G4167&lt;46,'General Basis'!$B$45,IF(G4167&lt;51,'General Basis'!$B$46,IF(G4167&lt;56,'General Basis'!$B$47,IF(G4167&lt;60,'General Basis'!$B$48,IF(G4167&lt;65,'General Basis'!$B$49,'General Basis'!$B$50)))))))))))))</f>
        <v/>
      </c>
      <c r="BI4167" s="744" t="str">
        <f t="shared" si="1457"/>
        <v/>
      </c>
      <c r="BJ4167" s="747" t="str">
        <f t="shared" ref="BJ4167:BJ4230" si="1464">IF(BD4167="","",IF(BF4167="Abu Dhabi",BK4167,BL4167))</f>
        <v/>
      </c>
      <c r="BK4167" s="498" t="str">
        <f t="shared" si="1458"/>
        <v/>
      </c>
      <c r="BL4167" s="498" t="str">
        <f t="shared" si="1459"/>
        <v/>
      </c>
    </row>
    <row r="4168" spans="1:64" x14ac:dyDescent="0.25">
      <c r="A4168" s="762">
        <f t="shared" si="1460"/>
        <v>4163</v>
      </c>
      <c r="B4168" s="229"/>
      <c r="C4168" s="223"/>
      <c r="D4168" s="224"/>
      <c r="E4168" s="225"/>
      <c r="F4168" s="1036" t="str">
        <f t="shared" si="1444"/>
        <v/>
      </c>
      <c r="G4168" s="1037" t="str">
        <f t="shared" si="1461"/>
        <v/>
      </c>
      <c r="H4168" s="225"/>
      <c r="I4168" s="1013"/>
      <c r="J4168" s="1013"/>
      <c r="K4168" s="1028"/>
      <c r="L4168" s="1035" t="str">
        <f t="shared" ref="L4168:L4231" si="1465">IF(AND(E4168="Child",H4168="Married"),"Check the Marital Status of the Child. ",IF(AND(E4168="Child",F4168&gt;18),"Child Age exceed 18 years. ",IF(AND(E4168="Spouse",H4168="Single"),"Spouse is selected as Single. ","")))&amp;IF(K4168&gt;0,"UW Loading has been Applied","")</f>
        <v/>
      </c>
      <c r="S4168" s="498"/>
      <c r="AJ4168" s="498"/>
      <c r="AM4168" s="498">
        <f t="shared" si="1446"/>
        <v>0</v>
      </c>
      <c r="AN4168" s="498">
        <f t="shared" si="1447"/>
        <v>0</v>
      </c>
      <c r="AO4168" s="498">
        <f t="shared" si="1448"/>
        <v>0</v>
      </c>
      <c r="AP4168" s="498">
        <f t="shared" si="1445"/>
        <v>0</v>
      </c>
      <c r="AQ4168" s="498">
        <f t="shared" si="1462"/>
        <v>0</v>
      </c>
      <c r="AU4168" s="498">
        <f t="shared" si="1449"/>
        <v>0</v>
      </c>
      <c r="AV4168" s="498">
        <f t="shared" si="1450"/>
        <v>0</v>
      </c>
      <c r="AW4168" s="498">
        <f t="shared" si="1451"/>
        <v>0</v>
      </c>
      <c r="AX4168" s="498">
        <f t="shared" si="1452"/>
        <v>0</v>
      </c>
      <c r="AY4168" s="498">
        <f t="shared" si="1453"/>
        <v>0</v>
      </c>
      <c r="BB4168" s="498" t="str">
        <f t="shared" si="1454"/>
        <v/>
      </c>
      <c r="BC4168" s="743" t="str">
        <f t="shared" si="1455"/>
        <v/>
      </c>
      <c r="BD4168" s="743" t="str">
        <f t="shared" si="1456"/>
        <v/>
      </c>
      <c r="BE4168" s="743" t="str">
        <f>IF(D4168="","",VLOOKUP(D4168,'General Basis'!$J$39:$K$46,2,0))</f>
        <v/>
      </c>
      <c r="BF4168" s="744" t="str">
        <f>IF(D4168="","",VLOOKUP(D4168,'General Basis'!$J$39:$L$46,3,0))</f>
        <v/>
      </c>
      <c r="BG4168" s="744" t="str">
        <f t="shared" si="1463"/>
        <v/>
      </c>
      <c r="BH4168" s="744" t="str">
        <f>IF(G4168="","",IF(BF4168="Abu Dhabi",IF(G4168&lt;18,'General Basis'!$C$39,IF(G4168&lt;41,'General Basis'!$C$40,IF(G4168&lt;60,'General Basis'!$C$41,IF(G4168&lt;65,'General Basis'!$C$42,'General Basis'!$C$43)))),IF(G4168&lt;11,'General Basis'!$B$39,IF(G4168&lt;18,'General Basis'!$B$40,IF(G4168&lt;26,'General Basis'!$B$41,IF(G4168&lt;31,'General Basis'!$B$42,IF(G4168&lt;36,'General Basis'!$B$43,IF(G4168&lt;41,'General Basis'!$B$44,IF(G4168&lt;46,'General Basis'!$B$45,IF(G4168&lt;51,'General Basis'!$B$46,IF(G4168&lt;56,'General Basis'!$B$47,IF(G4168&lt;60,'General Basis'!$B$48,IF(G4168&lt;65,'General Basis'!$B$49,'General Basis'!$B$50)))))))))))))</f>
        <v/>
      </c>
      <c r="BI4168" s="744" t="str">
        <f t="shared" si="1457"/>
        <v/>
      </c>
      <c r="BJ4168" s="747" t="str">
        <f t="shared" si="1464"/>
        <v/>
      </c>
      <c r="BK4168" s="498" t="str">
        <f t="shared" si="1458"/>
        <v/>
      </c>
      <c r="BL4168" s="498" t="str">
        <f t="shared" si="1459"/>
        <v/>
      </c>
    </row>
    <row r="4169" spans="1:64" x14ac:dyDescent="0.25">
      <c r="A4169" s="762">
        <f t="shared" si="1460"/>
        <v>4164</v>
      </c>
      <c r="B4169" s="229"/>
      <c r="C4169" s="223"/>
      <c r="D4169" s="224"/>
      <c r="E4169" s="225"/>
      <c r="F4169" s="1036" t="str">
        <f t="shared" si="1444"/>
        <v/>
      </c>
      <c r="G4169" s="1037" t="str">
        <f t="shared" si="1461"/>
        <v/>
      </c>
      <c r="H4169" s="225"/>
      <c r="I4169" s="1013"/>
      <c r="J4169" s="1013"/>
      <c r="K4169" s="1028"/>
      <c r="L4169" s="1035" t="str">
        <f t="shared" si="1465"/>
        <v/>
      </c>
      <c r="S4169" s="498"/>
      <c r="AJ4169" s="498"/>
      <c r="AM4169" s="498">
        <f t="shared" si="1446"/>
        <v>0</v>
      </c>
      <c r="AN4169" s="498">
        <f t="shared" si="1447"/>
        <v>0</v>
      </c>
      <c r="AO4169" s="498">
        <f t="shared" si="1448"/>
        <v>0</v>
      </c>
      <c r="AP4169" s="498">
        <f t="shared" si="1445"/>
        <v>0</v>
      </c>
      <c r="AQ4169" s="498">
        <f t="shared" si="1462"/>
        <v>0</v>
      </c>
      <c r="AU4169" s="498">
        <f t="shared" si="1449"/>
        <v>0</v>
      </c>
      <c r="AV4169" s="498">
        <f t="shared" si="1450"/>
        <v>0</v>
      </c>
      <c r="AW4169" s="498">
        <f t="shared" si="1451"/>
        <v>0</v>
      </c>
      <c r="AX4169" s="498">
        <f t="shared" si="1452"/>
        <v>0</v>
      </c>
      <c r="AY4169" s="498">
        <f t="shared" si="1453"/>
        <v>0</v>
      </c>
      <c r="BB4169" s="498" t="str">
        <f t="shared" si="1454"/>
        <v/>
      </c>
      <c r="BC4169" s="743" t="str">
        <f t="shared" si="1455"/>
        <v/>
      </c>
      <c r="BD4169" s="743" t="str">
        <f t="shared" si="1456"/>
        <v/>
      </c>
      <c r="BE4169" s="743" t="str">
        <f>IF(D4169="","",VLOOKUP(D4169,'General Basis'!$J$39:$K$46,2,0))</f>
        <v/>
      </c>
      <c r="BF4169" s="744" t="str">
        <f>IF(D4169="","",VLOOKUP(D4169,'General Basis'!$J$39:$L$46,3,0))</f>
        <v/>
      </c>
      <c r="BG4169" s="744" t="str">
        <f t="shared" si="1463"/>
        <v/>
      </c>
      <c r="BH4169" s="744" t="str">
        <f>IF(G4169="","",IF(BF4169="Abu Dhabi",IF(G4169&lt;18,'General Basis'!$C$39,IF(G4169&lt;41,'General Basis'!$C$40,IF(G4169&lt;60,'General Basis'!$C$41,IF(G4169&lt;65,'General Basis'!$C$42,'General Basis'!$C$43)))),IF(G4169&lt;11,'General Basis'!$B$39,IF(G4169&lt;18,'General Basis'!$B$40,IF(G4169&lt;26,'General Basis'!$B$41,IF(G4169&lt;31,'General Basis'!$B$42,IF(G4169&lt;36,'General Basis'!$B$43,IF(G4169&lt;41,'General Basis'!$B$44,IF(G4169&lt;46,'General Basis'!$B$45,IF(G4169&lt;51,'General Basis'!$B$46,IF(G4169&lt;56,'General Basis'!$B$47,IF(G4169&lt;60,'General Basis'!$B$48,IF(G4169&lt;65,'General Basis'!$B$49,'General Basis'!$B$50)))))))))))))</f>
        <v/>
      </c>
      <c r="BI4169" s="744" t="str">
        <f t="shared" si="1457"/>
        <v/>
      </c>
      <c r="BJ4169" s="747" t="str">
        <f t="shared" si="1464"/>
        <v/>
      </c>
      <c r="BK4169" s="498" t="str">
        <f t="shared" si="1458"/>
        <v/>
      </c>
      <c r="BL4169" s="498" t="str">
        <f t="shared" si="1459"/>
        <v/>
      </c>
    </row>
    <row r="4170" spans="1:64" x14ac:dyDescent="0.25">
      <c r="A4170" s="762">
        <f t="shared" si="1460"/>
        <v>4165</v>
      </c>
      <c r="B4170" s="229"/>
      <c r="C4170" s="223"/>
      <c r="D4170" s="224"/>
      <c r="E4170" s="225"/>
      <c r="F4170" s="1036" t="str">
        <f t="shared" si="1444"/>
        <v/>
      </c>
      <c r="G4170" s="1037" t="str">
        <f t="shared" si="1461"/>
        <v/>
      </c>
      <c r="H4170" s="225"/>
      <c r="I4170" s="1013"/>
      <c r="J4170" s="1013"/>
      <c r="K4170" s="1028"/>
      <c r="L4170" s="1035" t="str">
        <f t="shared" si="1465"/>
        <v/>
      </c>
      <c r="S4170" s="498"/>
      <c r="AJ4170" s="498"/>
      <c r="AM4170" s="498">
        <f t="shared" si="1446"/>
        <v>0</v>
      </c>
      <c r="AN4170" s="498">
        <f t="shared" si="1447"/>
        <v>0</v>
      </c>
      <c r="AO4170" s="498">
        <f t="shared" si="1448"/>
        <v>0</v>
      </c>
      <c r="AP4170" s="498">
        <f t="shared" si="1445"/>
        <v>0</v>
      </c>
      <c r="AQ4170" s="498">
        <f t="shared" si="1462"/>
        <v>0</v>
      </c>
      <c r="AU4170" s="498">
        <f t="shared" si="1449"/>
        <v>0</v>
      </c>
      <c r="AV4170" s="498">
        <f t="shared" si="1450"/>
        <v>0</v>
      </c>
      <c r="AW4170" s="498">
        <f t="shared" si="1451"/>
        <v>0</v>
      </c>
      <c r="AX4170" s="498">
        <f t="shared" si="1452"/>
        <v>0</v>
      </c>
      <c r="AY4170" s="498">
        <f t="shared" si="1453"/>
        <v>0</v>
      </c>
      <c r="BB4170" s="498" t="str">
        <f t="shared" si="1454"/>
        <v/>
      </c>
      <c r="BC4170" s="743" t="str">
        <f t="shared" si="1455"/>
        <v/>
      </c>
      <c r="BD4170" s="743" t="str">
        <f t="shared" si="1456"/>
        <v/>
      </c>
      <c r="BE4170" s="743" t="str">
        <f>IF(D4170="","",VLOOKUP(D4170,'General Basis'!$J$39:$K$46,2,0))</f>
        <v/>
      </c>
      <c r="BF4170" s="744" t="str">
        <f>IF(D4170="","",VLOOKUP(D4170,'General Basis'!$J$39:$L$46,3,0))</f>
        <v/>
      </c>
      <c r="BG4170" s="744" t="str">
        <f t="shared" si="1463"/>
        <v/>
      </c>
      <c r="BH4170" s="744" t="str">
        <f>IF(G4170="","",IF(BF4170="Abu Dhabi",IF(G4170&lt;18,'General Basis'!$C$39,IF(G4170&lt;41,'General Basis'!$C$40,IF(G4170&lt;60,'General Basis'!$C$41,IF(G4170&lt;65,'General Basis'!$C$42,'General Basis'!$C$43)))),IF(G4170&lt;11,'General Basis'!$B$39,IF(G4170&lt;18,'General Basis'!$B$40,IF(G4170&lt;26,'General Basis'!$B$41,IF(G4170&lt;31,'General Basis'!$B$42,IF(G4170&lt;36,'General Basis'!$B$43,IF(G4170&lt;41,'General Basis'!$B$44,IF(G4170&lt;46,'General Basis'!$B$45,IF(G4170&lt;51,'General Basis'!$B$46,IF(G4170&lt;56,'General Basis'!$B$47,IF(G4170&lt;60,'General Basis'!$B$48,IF(G4170&lt;65,'General Basis'!$B$49,'General Basis'!$B$50)))))))))))))</f>
        <v/>
      </c>
      <c r="BI4170" s="744" t="str">
        <f t="shared" si="1457"/>
        <v/>
      </c>
      <c r="BJ4170" s="747" t="str">
        <f t="shared" si="1464"/>
        <v/>
      </c>
      <c r="BK4170" s="498" t="str">
        <f t="shared" si="1458"/>
        <v/>
      </c>
      <c r="BL4170" s="498" t="str">
        <f t="shared" si="1459"/>
        <v/>
      </c>
    </row>
    <row r="4171" spans="1:64" x14ac:dyDescent="0.25">
      <c r="A4171" s="762">
        <f t="shared" si="1460"/>
        <v>4166</v>
      </c>
      <c r="B4171" s="229"/>
      <c r="C4171" s="223"/>
      <c r="D4171" s="224"/>
      <c r="E4171" s="225"/>
      <c r="F4171" s="1036" t="str">
        <f t="shared" si="1444"/>
        <v/>
      </c>
      <c r="G4171" s="1037" t="str">
        <f t="shared" si="1461"/>
        <v/>
      </c>
      <c r="H4171" s="225"/>
      <c r="I4171" s="1013"/>
      <c r="J4171" s="1013"/>
      <c r="K4171" s="1028"/>
      <c r="L4171" s="1035" t="str">
        <f t="shared" si="1465"/>
        <v/>
      </c>
      <c r="S4171" s="498"/>
      <c r="AJ4171" s="498"/>
      <c r="AM4171" s="498">
        <f t="shared" si="1446"/>
        <v>0</v>
      </c>
      <c r="AN4171" s="498">
        <f t="shared" si="1447"/>
        <v>0</v>
      </c>
      <c r="AO4171" s="498">
        <f t="shared" si="1448"/>
        <v>0</v>
      </c>
      <c r="AP4171" s="498">
        <f t="shared" si="1445"/>
        <v>0</v>
      </c>
      <c r="AQ4171" s="498">
        <f t="shared" si="1462"/>
        <v>0</v>
      </c>
      <c r="AU4171" s="498">
        <f t="shared" si="1449"/>
        <v>0</v>
      </c>
      <c r="AV4171" s="498">
        <f t="shared" si="1450"/>
        <v>0</v>
      </c>
      <c r="AW4171" s="498">
        <f t="shared" si="1451"/>
        <v>0</v>
      </c>
      <c r="AX4171" s="498">
        <f t="shared" si="1452"/>
        <v>0</v>
      </c>
      <c r="AY4171" s="498">
        <f t="shared" si="1453"/>
        <v>0</v>
      </c>
      <c r="BB4171" s="498" t="str">
        <f t="shared" si="1454"/>
        <v/>
      </c>
      <c r="BC4171" s="743" t="str">
        <f t="shared" si="1455"/>
        <v/>
      </c>
      <c r="BD4171" s="743" t="str">
        <f t="shared" si="1456"/>
        <v/>
      </c>
      <c r="BE4171" s="743" t="str">
        <f>IF(D4171="","",VLOOKUP(D4171,'General Basis'!$J$39:$K$46,2,0))</f>
        <v/>
      </c>
      <c r="BF4171" s="744" t="str">
        <f>IF(D4171="","",VLOOKUP(D4171,'General Basis'!$J$39:$L$46,3,0))</f>
        <v/>
      </c>
      <c r="BG4171" s="744" t="str">
        <f t="shared" si="1463"/>
        <v/>
      </c>
      <c r="BH4171" s="744" t="str">
        <f>IF(G4171="","",IF(BF4171="Abu Dhabi",IF(G4171&lt;18,'General Basis'!$C$39,IF(G4171&lt;41,'General Basis'!$C$40,IF(G4171&lt;60,'General Basis'!$C$41,IF(G4171&lt;65,'General Basis'!$C$42,'General Basis'!$C$43)))),IF(G4171&lt;11,'General Basis'!$B$39,IF(G4171&lt;18,'General Basis'!$B$40,IF(G4171&lt;26,'General Basis'!$B$41,IF(G4171&lt;31,'General Basis'!$B$42,IF(G4171&lt;36,'General Basis'!$B$43,IF(G4171&lt;41,'General Basis'!$B$44,IF(G4171&lt;46,'General Basis'!$B$45,IF(G4171&lt;51,'General Basis'!$B$46,IF(G4171&lt;56,'General Basis'!$B$47,IF(G4171&lt;60,'General Basis'!$B$48,IF(G4171&lt;65,'General Basis'!$B$49,'General Basis'!$B$50)))))))))))))</f>
        <v/>
      </c>
      <c r="BI4171" s="744" t="str">
        <f t="shared" si="1457"/>
        <v/>
      </c>
      <c r="BJ4171" s="747" t="str">
        <f t="shared" si="1464"/>
        <v/>
      </c>
      <c r="BK4171" s="498" t="str">
        <f t="shared" si="1458"/>
        <v/>
      </c>
      <c r="BL4171" s="498" t="str">
        <f t="shared" si="1459"/>
        <v/>
      </c>
    </row>
    <row r="4172" spans="1:64" x14ac:dyDescent="0.25">
      <c r="A4172" s="762">
        <f t="shared" si="1460"/>
        <v>4167</v>
      </c>
      <c r="B4172" s="229"/>
      <c r="C4172" s="223"/>
      <c r="D4172" s="224"/>
      <c r="E4172" s="225"/>
      <c r="F4172" s="1036" t="str">
        <f t="shared" si="1444"/>
        <v/>
      </c>
      <c r="G4172" s="1037" t="str">
        <f t="shared" si="1461"/>
        <v/>
      </c>
      <c r="H4172" s="225"/>
      <c r="I4172" s="1013"/>
      <c r="J4172" s="1013"/>
      <c r="K4172" s="1028"/>
      <c r="L4172" s="1035" t="str">
        <f t="shared" si="1465"/>
        <v/>
      </c>
      <c r="S4172" s="498"/>
      <c r="AJ4172" s="498"/>
      <c r="AM4172" s="498">
        <f t="shared" si="1446"/>
        <v>0</v>
      </c>
      <c r="AN4172" s="498">
        <f t="shared" si="1447"/>
        <v>0</v>
      </c>
      <c r="AO4172" s="498">
        <f t="shared" si="1448"/>
        <v>0</v>
      </c>
      <c r="AP4172" s="498">
        <f t="shared" si="1445"/>
        <v>0</v>
      </c>
      <c r="AQ4172" s="498">
        <f t="shared" si="1462"/>
        <v>0</v>
      </c>
      <c r="AU4172" s="498">
        <f t="shared" si="1449"/>
        <v>0</v>
      </c>
      <c r="AV4172" s="498">
        <f t="shared" si="1450"/>
        <v>0</v>
      </c>
      <c r="AW4172" s="498">
        <f t="shared" si="1451"/>
        <v>0</v>
      </c>
      <c r="AX4172" s="498">
        <f t="shared" si="1452"/>
        <v>0</v>
      </c>
      <c r="AY4172" s="498">
        <f t="shared" si="1453"/>
        <v>0</v>
      </c>
      <c r="BB4172" s="498" t="str">
        <f t="shared" si="1454"/>
        <v/>
      </c>
      <c r="BC4172" s="743" t="str">
        <f t="shared" si="1455"/>
        <v/>
      </c>
      <c r="BD4172" s="743" t="str">
        <f t="shared" si="1456"/>
        <v/>
      </c>
      <c r="BE4172" s="743" t="str">
        <f>IF(D4172="","",VLOOKUP(D4172,'General Basis'!$J$39:$K$46,2,0))</f>
        <v/>
      </c>
      <c r="BF4172" s="744" t="str">
        <f>IF(D4172="","",VLOOKUP(D4172,'General Basis'!$J$39:$L$46,3,0))</f>
        <v/>
      </c>
      <c r="BG4172" s="744" t="str">
        <f t="shared" si="1463"/>
        <v/>
      </c>
      <c r="BH4172" s="744" t="str">
        <f>IF(G4172="","",IF(BF4172="Abu Dhabi",IF(G4172&lt;18,'General Basis'!$C$39,IF(G4172&lt;41,'General Basis'!$C$40,IF(G4172&lt;60,'General Basis'!$C$41,IF(G4172&lt;65,'General Basis'!$C$42,'General Basis'!$C$43)))),IF(G4172&lt;11,'General Basis'!$B$39,IF(G4172&lt;18,'General Basis'!$B$40,IF(G4172&lt;26,'General Basis'!$B$41,IF(G4172&lt;31,'General Basis'!$B$42,IF(G4172&lt;36,'General Basis'!$B$43,IF(G4172&lt;41,'General Basis'!$B$44,IF(G4172&lt;46,'General Basis'!$B$45,IF(G4172&lt;51,'General Basis'!$B$46,IF(G4172&lt;56,'General Basis'!$B$47,IF(G4172&lt;60,'General Basis'!$B$48,IF(G4172&lt;65,'General Basis'!$B$49,'General Basis'!$B$50)))))))))))))</f>
        <v/>
      </c>
      <c r="BI4172" s="744" t="str">
        <f t="shared" si="1457"/>
        <v/>
      </c>
      <c r="BJ4172" s="747" t="str">
        <f t="shared" si="1464"/>
        <v/>
      </c>
      <c r="BK4172" s="498" t="str">
        <f t="shared" si="1458"/>
        <v/>
      </c>
      <c r="BL4172" s="498" t="str">
        <f t="shared" si="1459"/>
        <v/>
      </c>
    </row>
    <row r="4173" spans="1:64" x14ac:dyDescent="0.25">
      <c r="A4173" s="762">
        <f t="shared" si="1460"/>
        <v>4168</v>
      </c>
      <c r="B4173" s="229"/>
      <c r="C4173" s="223"/>
      <c r="D4173" s="224"/>
      <c r="E4173" s="225"/>
      <c r="F4173" s="1036" t="str">
        <f t="shared" si="1444"/>
        <v/>
      </c>
      <c r="G4173" s="1037" t="str">
        <f t="shared" si="1461"/>
        <v/>
      </c>
      <c r="H4173" s="225"/>
      <c r="I4173" s="1013"/>
      <c r="J4173" s="1013"/>
      <c r="K4173" s="1028"/>
      <c r="L4173" s="1035" t="str">
        <f t="shared" si="1465"/>
        <v/>
      </c>
      <c r="S4173" s="498"/>
      <c r="AJ4173" s="498"/>
      <c r="AM4173" s="498">
        <f t="shared" si="1446"/>
        <v>0</v>
      </c>
      <c r="AN4173" s="498">
        <f t="shared" si="1447"/>
        <v>0</v>
      </c>
      <c r="AO4173" s="498">
        <f t="shared" si="1448"/>
        <v>0</v>
      </c>
      <c r="AP4173" s="498">
        <f t="shared" si="1445"/>
        <v>0</v>
      </c>
      <c r="AQ4173" s="498">
        <f t="shared" si="1462"/>
        <v>0</v>
      </c>
      <c r="AU4173" s="498">
        <f t="shared" si="1449"/>
        <v>0</v>
      </c>
      <c r="AV4173" s="498">
        <f t="shared" si="1450"/>
        <v>0</v>
      </c>
      <c r="AW4173" s="498">
        <f t="shared" si="1451"/>
        <v>0</v>
      </c>
      <c r="AX4173" s="498">
        <f t="shared" si="1452"/>
        <v>0</v>
      </c>
      <c r="AY4173" s="498">
        <f t="shared" si="1453"/>
        <v>0</v>
      </c>
      <c r="BB4173" s="498" t="str">
        <f t="shared" si="1454"/>
        <v/>
      </c>
      <c r="BC4173" s="743" t="str">
        <f t="shared" si="1455"/>
        <v/>
      </c>
      <c r="BD4173" s="743" t="str">
        <f t="shared" si="1456"/>
        <v/>
      </c>
      <c r="BE4173" s="743" t="str">
        <f>IF(D4173="","",VLOOKUP(D4173,'General Basis'!$J$39:$K$46,2,0))</f>
        <v/>
      </c>
      <c r="BF4173" s="744" t="str">
        <f>IF(D4173="","",VLOOKUP(D4173,'General Basis'!$J$39:$L$46,3,0))</f>
        <v/>
      </c>
      <c r="BG4173" s="744" t="str">
        <f t="shared" si="1463"/>
        <v/>
      </c>
      <c r="BH4173" s="744" t="str">
        <f>IF(G4173="","",IF(BF4173="Abu Dhabi",IF(G4173&lt;18,'General Basis'!$C$39,IF(G4173&lt;41,'General Basis'!$C$40,IF(G4173&lt;60,'General Basis'!$C$41,IF(G4173&lt;65,'General Basis'!$C$42,'General Basis'!$C$43)))),IF(G4173&lt;11,'General Basis'!$B$39,IF(G4173&lt;18,'General Basis'!$B$40,IF(G4173&lt;26,'General Basis'!$B$41,IF(G4173&lt;31,'General Basis'!$B$42,IF(G4173&lt;36,'General Basis'!$B$43,IF(G4173&lt;41,'General Basis'!$B$44,IF(G4173&lt;46,'General Basis'!$B$45,IF(G4173&lt;51,'General Basis'!$B$46,IF(G4173&lt;56,'General Basis'!$B$47,IF(G4173&lt;60,'General Basis'!$B$48,IF(G4173&lt;65,'General Basis'!$B$49,'General Basis'!$B$50)))))))))))))</f>
        <v/>
      </c>
      <c r="BI4173" s="744" t="str">
        <f t="shared" si="1457"/>
        <v/>
      </c>
      <c r="BJ4173" s="747" t="str">
        <f t="shared" si="1464"/>
        <v/>
      </c>
      <c r="BK4173" s="498" t="str">
        <f t="shared" si="1458"/>
        <v/>
      </c>
      <c r="BL4173" s="498" t="str">
        <f t="shared" si="1459"/>
        <v/>
      </c>
    </row>
    <row r="4174" spans="1:64" x14ac:dyDescent="0.25">
      <c r="A4174" s="762">
        <f t="shared" si="1460"/>
        <v>4169</v>
      </c>
      <c r="B4174" s="229"/>
      <c r="C4174" s="223"/>
      <c r="D4174" s="224"/>
      <c r="E4174" s="225"/>
      <c r="F4174" s="1036" t="str">
        <f t="shared" si="1444"/>
        <v/>
      </c>
      <c r="G4174" s="1037" t="str">
        <f t="shared" si="1461"/>
        <v/>
      </c>
      <c r="H4174" s="225"/>
      <c r="I4174" s="1013"/>
      <c r="J4174" s="1013"/>
      <c r="K4174" s="1028"/>
      <c r="L4174" s="1035" t="str">
        <f t="shared" si="1465"/>
        <v/>
      </c>
      <c r="S4174" s="498"/>
      <c r="AJ4174" s="498"/>
      <c r="AM4174" s="498">
        <f t="shared" si="1446"/>
        <v>0</v>
      </c>
      <c r="AN4174" s="498">
        <f t="shared" si="1447"/>
        <v>0</v>
      </c>
      <c r="AO4174" s="498">
        <f t="shared" si="1448"/>
        <v>0</v>
      </c>
      <c r="AP4174" s="498">
        <f t="shared" si="1445"/>
        <v>0</v>
      </c>
      <c r="AQ4174" s="498">
        <f t="shared" si="1462"/>
        <v>0</v>
      </c>
      <c r="AU4174" s="498">
        <f t="shared" si="1449"/>
        <v>0</v>
      </c>
      <c r="AV4174" s="498">
        <f t="shared" si="1450"/>
        <v>0</v>
      </c>
      <c r="AW4174" s="498">
        <f t="shared" si="1451"/>
        <v>0</v>
      </c>
      <c r="AX4174" s="498">
        <f t="shared" si="1452"/>
        <v>0</v>
      </c>
      <c r="AY4174" s="498">
        <f t="shared" si="1453"/>
        <v>0</v>
      </c>
      <c r="BB4174" s="498" t="str">
        <f t="shared" si="1454"/>
        <v/>
      </c>
      <c r="BC4174" s="743" t="str">
        <f t="shared" si="1455"/>
        <v/>
      </c>
      <c r="BD4174" s="743" t="str">
        <f t="shared" si="1456"/>
        <v/>
      </c>
      <c r="BE4174" s="743" t="str">
        <f>IF(D4174="","",VLOOKUP(D4174,'General Basis'!$J$39:$K$46,2,0))</f>
        <v/>
      </c>
      <c r="BF4174" s="744" t="str">
        <f>IF(D4174="","",VLOOKUP(D4174,'General Basis'!$J$39:$L$46,3,0))</f>
        <v/>
      </c>
      <c r="BG4174" s="744" t="str">
        <f t="shared" si="1463"/>
        <v/>
      </c>
      <c r="BH4174" s="744" t="str">
        <f>IF(G4174="","",IF(BF4174="Abu Dhabi",IF(G4174&lt;18,'General Basis'!$C$39,IF(G4174&lt;41,'General Basis'!$C$40,IF(G4174&lt;60,'General Basis'!$C$41,IF(G4174&lt;65,'General Basis'!$C$42,'General Basis'!$C$43)))),IF(G4174&lt;11,'General Basis'!$B$39,IF(G4174&lt;18,'General Basis'!$B$40,IF(G4174&lt;26,'General Basis'!$B$41,IF(G4174&lt;31,'General Basis'!$B$42,IF(G4174&lt;36,'General Basis'!$B$43,IF(G4174&lt;41,'General Basis'!$B$44,IF(G4174&lt;46,'General Basis'!$B$45,IF(G4174&lt;51,'General Basis'!$B$46,IF(G4174&lt;56,'General Basis'!$B$47,IF(G4174&lt;60,'General Basis'!$B$48,IF(G4174&lt;65,'General Basis'!$B$49,'General Basis'!$B$50)))))))))))))</f>
        <v/>
      </c>
      <c r="BI4174" s="744" t="str">
        <f t="shared" si="1457"/>
        <v/>
      </c>
      <c r="BJ4174" s="747" t="str">
        <f t="shared" si="1464"/>
        <v/>
      </c>
      <c r="BK4174" s="498" t="str">
        <f t="shared" si="1458"/>
        <v/>
      </c>
      <c r="BL4174" s="498" t="str">
        <f t="shared" si="1459"/>
        <v/>
      </c>
    </row>
    <row r="4175" spans="1:64" x14ac:dyDescent="0.25">
      <c r="A4175" s="762">
        <f t="shared" si="1460"/>
        <v>4170</v>
      </c>
      <c r="B4175" s="229"/>
      <c r="C4175" s="223"/>
      <c r="D4175" s="224"/>
      <c r="E4175" s="225"/>
      <c r="F4175" s="1036" t="str">
        <f t="shared" si="1444"/>
        <v/>
      </c>
      <c r="G4175" s="1037" t="str">
        <f t="shared" si="1461"/>
        <v/>
      </c>
      <c r="H4175" s="225"/>
      <c r="I4175" s="1013"/>
      <c r="J4175" s="1013"/>
      <c r="K4175" s="1028"/>
      <c r="L4175" s="1035" t="str">
        <f t="shared" si="1465"/>
        <v/>
      </c>
      <c r="S4175" s="498"/>
      <c r="AJ4175" s="498"/>
      <c r="AM4175" s="498">
        <f t="shared" si="1446"/>
        <v>0</v>
      </c>
      <c r="AN4175" s="498">
        <f t="shared" si="1447"/>
        <v>0</v>
      </c>
      <c r="AO4175" s="498">
        <f t="shared" si="1448"/>
        <v>0</v>
      </c>
      <c r="AP4175" s="498">
        <f t="shared" si="1445"/>
        <v>0</v>
      </c>
      <c r="AQ4175" s="498">
        <f t="shared" si="1462"/>
        <v>0</v>
      </c>
      <c r="AU4175" s="498">
        <f t="shared" si="1449"/>
        <v>0</v>
      </c>
      <c r="AV4175" s="498">
        <f t="shared" si="1450"/>
        <v>0</v>
      </c>
      <c r="AW4175" s="498">
        <f t="shared" si="1451"/>
        <v>0</v>
      </c>
      <c r="AX4175" s="498">
        <f t="shared" si="1452"/>
        <v>0</v>
      </c>
      <c r="AY4175" s="498">
        <f t="shared" si="1453"/>
        <v>0</v>
      </c>
      <c r="BB4175" s="498" t="str">
        <f t="shared" si="1454"/>
        <v/>
      </c>
      <c r="BC4175" s="743" t="str">
        <f t="shared" si="1455"/>
        <v/>
      </c>
      <c r="BD4175" s="743" t="str">
        <f t="shared" si="1456"/>
        <v/>
      </c>
      <c r="BE4175" s="743" t="str">
        <f>IF(D4175="","",VLOOKUP(D4175,'General Basis'!$J$39:$K$46,2,0))</f>
        <v/>
      </c>
      <c r="BF4175" s="744" t="str">
        <f>IF(D4175="","",VLOOKUP(D4175,'General Basis'!$J$39:$L$46,3,0))</f>
        <v/>
      </c>
      <c r="BG4175" s="744" t="str">
        <f t="shared" si="1463"/>
        <v/>
      </c>
      <c r="BH4175" s="744" t="str">
        <f>IF(G4175="","",IF(BF4175="Abu Dhabi",IF(G4175&lt;18,'General Basis'!$C$39,IF(G4175&lt;41,'General Basis'!$C$40,IF(G4175&lt;60,'General Basis'!$C$41,IF(G4175&lt;65,'General Basis'!$C$42,'General Basis'!$C$43)))),IF(G4175&lt;11,'General Basis'!$B$39,IF(G4175&lt;18,'General Basis'!$B$40,IF(G4175&lt;26,'General Basis'!$B$41,IF(G4175&lt;31,'General Basis'!$B$42,IF(G4175&lt;36,'General Basis'!$B$43,IF(G4175&lt;41,'General Basis'!$B$44,IF(G4175&lt;46,'General Basis'!$B$45,IF(G4175&lt;51,'General Basis'!$B$46,IF(G4175&lt;56,'General Basis'!$B$47,IF(G4175&lt;60,'General Basis'!$B$48,IF(G4175&lt;65,'General Basis'!$B$49,'General Basis'!$B$50)))))))))))))</f>
        <v/>
      </c>
      <c r="BI4175" s="744" t="str">
        <f t="shared" si="1457"/>
        <v/>
      </c>
      <c r="BJ4175" s="747" t="str">
        <f t="shared" si="1464"/>
        <v/>
      </c>
      <c r="BK4175" s="498" t="str">
        <f t="shared" si="1458"/>
        <v/>
      </c>
      <c r="BL4175" s="498" t="str">
        <f t="shared" si="1459"/>
        <v/>
      </c>
    </row>
    <row r="4176" spans="1:64" x14ac:dyDescent="0.25">
      <c r="A4176" s="762">
        <f t="shared" si="1460"/>
        <v>4171</v>
      </c>
      <c r="B4176" s="229"/>
      <c r="C4176" s="223"/>
      <c r="D4176" s="224"/>
      <c r="E4176" s="225"/>
      <c r="F4176" s="1036" t="str">
        <f t="shared" ref="F4176:F4239" si="1466">IF(C4176="","",IF($B4176="","",((YEAR($F$3)-YEAR($B4176))+(MONTH($F$3)-MONTH($B4176))/12+(DAY($F$3)-DAY($B4176))/(DATE(YEAR($F$3),12,31)-DATE(YEAR($F$3),1,1)+1))))</f>
        <v/>
      </c>
      <c r="G4176" s="1037" t="str">
        <f t="shared" si="1461"/>
        <v/>
      </c>
      <c r="H4176" s="225"/>
      <c r="I4176" s="1013"/>
      <c r="J4176" s="1013"/>
      <c r="K4176" s="1028"/>
      <c r="L4176" s="1035" t="str">
        <f t="shared" si="1465"/>
        <v/>
      </c>
      <c r="S4176" s="498"/>
      <c r="AJ4176" s="498"/>
      <c r="AM4176" s="498">
        <f t="shared" si="1446"/>
        <v>0</v>
      </c>
      <c r="AN4176" s="498">
        <f t="shared" si="1447"/>
        <v>0</v>
      </c>
      <c r="AO4176" s="498">
        <f t="shared" si="1448"/>
        <v>0</v>
      </c>
      <c r="AP4176" s="498">
        <f t="shared" si="1445"/>
        <v>0</v>
      </c>
      <c r="AQ4176" s="498">
        <f t="shared" si="1462"/>
        <v>0</v>
      </c>
      <c r="AU4176" s="498">
        <f t="shared" si="1449"/>
        <v>0</v>
      </c>
      <c r="AV4176" s="498">
        <f t="shared" si="1450"/>
        <v>0</v>
      </c>
      <c r="AW4176" s="498">
        <f t="shared" si="1451"/>
        <v>0</v>
      </c>
      <c r="AX4176" s="498">
        <f t="shared" si="1452"/>
        <v>0</v>
      </c>
      <c r="AY4176" s="498">
        <f t="shared" si="1453"/>
        <v>0</v>
      </c>
      <c r="BB4176" s="498" t="str">
        <f t="shared" si="1454"/>
        <v/>
      </c>
      <c r="BC4176" s="743" t="str">
        <f t="shared" si="1455"/>
        <v/>
      </c>
      <c r="BD4176" s="743" t="str">
        <f t="shared" si="1456"/>
        <v/>
      </c>
      <c r="BE4176" s="743" t="str">
        <f>IF(D4176="","",VLOOKUP(D4176,'General Basis'!$J$39:$K$46,2,0))</f>
        <v/>
      </c>
      <c r="BF4176" s="744" t="str">
        <f>IF(D4176="","",VLOOKUP(D4176,'General Basis'!$J$39:$L$46,3,0))</f>
        <v/>
      </c>
      <c r="BG4176" s="744" t="str">
        <f t="shared" si="1463"/>
        <v/>
      </c>
      <c r="BH4176" s="744" t="str">
        <f>IF(G4176="","",IF(BF4176="Abu Dhabi",IF(G4176&lt;18,'General Basis'!$C$39,IF(G4176&lt;41,'General Basis'!$C$40,IF(G4176&lt;60,'General Basis'!$C$41,IF(G4176&lt;65,'General Basis'!$C$42,'General Basis'!$C$43)))),IF(G4176&lt;11,'General Basis'!$B$39,IF(G4176&lt;18,'General Basis'!$B$40,IF(G4176&lt;26,'General Basis'!$B$41,IF(G4176&lt;31,'General Basis'!$B$42,IF(G4176&lt;36,'General Basis'!$B$43,IF(G4176&lt;41,'General Basis'!$B$44,IF(G4176&lt;46,'General Basis'!$B$45,IF(G4176&lt;51,'General Basis'!$B$46,IF(G4176&lt;56,'General Basis'!$B$47,IF(G4176&lt;60,'General Basis'!$B$48,IF(G4176&lt;65,'General Basis'!$B$49,'General Basis'!$B$50)))))))))))))</f>
        <v/>
      </c>
      <c r="BI4176" s="744" t="str">
        <f t="shared" si="1457"/>
        <v/>
      </c>
      <c r="BJ4176" s="747" t="str">
        <f t="shared" si="1464"/>
        <v/>
      </c>
      <c r="BK4176" s="498" t="str">
        <f t="shared" si="1458"/>
        <v/>
      </c>
      <c r="BL4176" s="498" t="str">
        <f t="shared" si="1459"/>
        <v/>
      </c>
    </row>
    <row r="4177" spans="1:64" x14ac:dyDescent="0.25">
      <c r="A4177" s="762">
        <f t="shared" si="1460"/>
        <v>4172</v>
      </c>
      <c r="B4177" s="229"/>
      <c r="C4177" s="223"/>
      <c r="D4177" s="224"/>
      <c r="E4177" s="225"/>
      <c r="F4177" s="1036" t="str">
        <f t="shared" si="1466"/>
        <v/>
      </c>
      <c r="G4177" s="1037" t="str">
        <f t="shared" si="1461"/>
        <v/>
      </c>
      <c r="H4177" s="225"/>
      <c r="I4177" s="1013"/>
      <c r="J4177" s="1013"/>
      <c r="K4177" s="1028"/>
      <c r="L4177" s="1035" t="str">
        <f t="shared" si="1465"/>
        <v/>
      </c>
      <c r="S4177" s="498"/>
      <c r="AJ4177" s="498"/>
      <c r="AM4177" s="498">
        <f t="shared" si="1446"/>
        <v>0</v>
      </c>
      <c r="AN4177" s="498">
        <f t="shared" si="1447"/>
        <v>0</v>
      </c>
      <c r="AO4177" s="498">
        <f t="shared" si="1448"/>
        <v>0</v>
      </c>
      <c r="AP4177" s="498">
        <f t="shared" si="1445"/>
        <v>0</v>
      </c>
      <c r="AQ4177" s="498">
        <f t="shared" si="1462"/>
        <v>0</v>
      </c>
      <c r="AU4177" s="498">
        <f t="shared" si="1449"/>
        <v>0</v>
      </c>
      <c r="AV4177" s="498">
        <f t="shared" si="1450"/>
        <v>0</v>
      </c>
      <c r="AW4177" s="498">
        <f t="shared" si="1451"/>
        <v>0</v>
      </c>
      <c r="AX4177" s="498">
        <f t="shared" si="1452"/>
        <v>0</v>
      </c>
      <c r="AY4177" s="498">
        <f t="shared" si="1453"/>
        <v>0</v>
      </c>
      <c r="BB4177" s="498" t="str">
        <f t="shared" si="1454"/>
        <v/>
      </c>
      <c r="BC4177" s="743" t="str">
        <f t="shared" si="1455"/>
        <v/>
      </c>
      <c r="BD4177" s="743" t="str">
        <f t="shared" si="1456"/>
        <v/>
      </c>
      <c r="BE4177" s="743" t="str">
        <f>IF(D4177="","",VLOOKUP(D4177,'General Basis'!$J$39:$K$46,2,0))</f>
        <v/>
      </c>
      <c r="BF4177" s="744" t="str">
        <f>IF(D4177="","",VLOOKUP(D4177,'General Basis'!$J$39:$L$46,3,0))</f>
        <v/>
      </c>
      <c r="BG4177" s="744" t="str">
        <f t="shared" si="1463"/>
        <v/>
      </c>
      <c r="BH4177" s="744" t="str">
        <f>IF(G4177="","",IF(BF4177="Abu Dhabi",IF(G4177&lt;18,'General Basis'!$C$39,IF(G4177&lt;41,'General Basis'!$C$40,IF(G4177&lt;60,'General Basis'!$C$41,IF(G4177&lt;65,'General Basis'!$C$42,'General Basis'!$C$43)))),IF(G4177&lt;11,'General Basis'!$B$39,IF(G4177&lt;18,'General Basis'!$B$40,IF(G4177&lt;26,'General Basis'!$B$41,IF(G4177&lt;31,'General Basis'!$B$42,IF(G4177&lt;36,'General Basis'!$B$43,IF(G4177&lt;41,'General Basis'!$B$44,IF(G4177&lt;46,'General Basis'!$B$45,IF(G4177&lt;51,'General Basis'!$B$46,IF(G4177&lt;56,'General Basis'!$B$47,IF(G4177&lt;60,'General Basis'!$B$48,IF(G4177&lt;65,'General Basis'!$B$49,'General Basis'!$B$50)))))))))))))</f>
        <v/>
      </c>
      <c r="BI4177" s="744" t="str">
        <f t="shared" si="1457"/>
        <v/>
      </c>
      <c r="BJ4177" s="747" t="str">
        <f t="shared" si="1464"/>
        <v/>
      </c>
      <c r="BK4177" s="498" t="str">
        <f t="shared" si="1458"/>
        <v/>
      </c>
      <c r="BL4177" s="498" t="str">
        <f t="shared" si="1459"/>
        <v/>
      </c>
    </row>
    <row r="4178" spans="1:64" x14ac:dyDescent="0.25">
      <c r="A4178" s="762">
        <f t="shared" si="1460"/>
        <v>4173</v>
      </c>
      <c r="B4178" s="229"/>
      <c r="C4178" s="223"/>
      <c r="D4178" s="224"/>
      <c r="E4178" s="225"/>
      <c r="F4178" s="1036" t="str">
        <f t="shared" si="1466"/>
        <v/>
      </c>
      <c r="G4178" s="1037" t="str">
        <f t="shared" si="1461"/>
        <v/>
      </c>
      <c r="H4178" s="225"/>
      <c r="I4178" s="1013"/>
      <c r="J4178" s="1013"/>
      <c r="K4178" s="1028"/>
      <c r="L4178" s="1035" t="str">
        <f t="shared" si="1465"/>
        <v/>
      </c>
      <c r="S4178" s="498"/>
      <c r="AJ4178" s="498"/>
      <c r="AM4178" s="498">
        <f t="shared" si="1446"/>
        <v>0</v>
      </c>
      <c r="AN4178" s="498">
        <f t="shared" si="1447"/>
        <v>0</v>
      </c>
      <c r="AO4178" s="498">
        <f t="shared" si="1448"/>
        <v>0</v>
      </c>
      <c r="AP4178" s="498">
        <f t="shared" si="1445"/>
        <v>0</v>
      </c>
      <c r="AQ4178" s="498">
        <f t="shared" si="1462"/>
        <v>0</v>
      </c>
      <c r="AU4178" s="498">
        <f t="shared" si="1449"/>
        <v>0</v>
      </c>
      <c r="AV4178" s="498">
        <f t="shared" si="1450"/>
        <v>0</v>
      </c>
      <c r="AW4178" s="498">
        <f t="shared" si="1451"/>
        <v>0</v>
      </c>
      <c r="AX4178" s="498">
        <f t="shared" si="1452"/>
        <v>0</v>
      </c>
      <c r="AY4178" s="498">
        <f t="shared" si="1453"/>
        <v>0</v>
      </c>
      <c r="BB4178" s="498" t="str">
        <f t="shared" si="1454"/>
        <v/>
      </c>
      <c r="BC4178" s="743" t="str">
        <f t="shared" si="1455"/>
        <v/>
      </c>
      <c r="BD4178" s="743" t="str">
        <f t="shared" si="1456"/>
        <v/>
      </c>
      <c r="BE4178" s="743" t="str">
        <f>IF(D4178="","",VLOOKUP(D4178,'General Basis'!$J$39:$K$46,2,0))</f>
        <v/>
      </c>
      <c r="BF4178" s="744" t="str">
        <f>IF(D4178="","",VLOOKUP(D4178,'General Basis'!$J$39:$L$46,3,0))</f>
        <v/>
      </c>
      <c r="BG4178" s="744" t="str">
        <f t="shared" si="1463"/>
        <v/>
      </c>
      <c r="BH4178" s="744" t="str">
        <f>IF(G4178="","",IF(BF4178="Abu Dhabi",IF(G4178&lt;18,'General Basis'!$C$39,IF(G4178&lt;41,'General Basis'!$C$40,IF(G4178&lt;60,'General Basis'!$C$41,IF(G4178&lt;65,'General Basis'!$C$42,'General Basis'!$C$43)))),IF(G4178&lt;11,'General Basis'!$B$39,IF(G4178&lt;18,'General Basis'!$B$40,IF(G4178&lt;26,'General Basis'!$B$41,IF(G4178&lt;31,'General Basis'!$B$42,IF(G4178&lt;36,'General Basis'!$B$43,IF(G4178&lt;41,'General Basis'!$B$44,IF(G4178&lt;46,'General Basis'!$B$45,IF(G4178&lt;51,'General Basis'!$B$46,IF(G4178&lt;56,'General Basis'!$B$47,IF(G4178&lt;60,'General Basis'!$B$48,IF(G4178&lt;65,'General Basis'!$B$49,'General Basis'!$B$50)))))))))))))</f>
        <v/>
      </c>
      <c r="BI4178" s="744" t="str">
        <f t="shared" si="1457"/>
        <v/>
      </c>
      <c r="BJ4178" s="747" t="str">
        <f t="shared" si="1464"/>
        <v/>
      </c>
      <c r="BK4178" s="498" t="str">
        <f t="shared" si="1458"/>
        <v/>
      </c>
      <c r="BL4178" s="498" t="str">
        <f t="shared" si="1459"/>
        <v/>
      </c>
    </row>
    <row r="4179" spans="1:64" x14ac:dyDescent="0.25">
      <c r="A4179" s="762">
        <f t="shared" si="1460"/>
        <v>4174</v>
      </c>
      <c r="B4179" s="229"/>
      <c r="C4179" s="223"/>
      <c r="D4179" s="224"/>
      <c r="E4179" s="225"/>
      <c r="F4179" s="1036" t="str">
        <f t="shared" si="1466"/>
        <v/>
      </c>
      <c r="G4179" s="1037" t="str">
        <f t="shared" si="1461"/>
        <v/>
      </c>
      <c r="H4179" s="225"/>
      <c r="I4179" s="1013"/>
      <c r="J4179" s="1013"/>
      <c r="K4179" s="1028"/>
      <c r="L4179" s="1035" t="str">
        <f t="shared" si="1465"/>
        <v/>
      </c>
      <c r="S4179" s="498"/>
      <c r="AJ4179" s="498"/>
      <c r="AM4179" s="498">
        <f t="shared" si="1446"/>
        <v>0</v>
      </c>
      <c r="AN4179" s="498">
        <f t="shared" si="1447"/>
        <v>0</v>
      </c>
      <c r="AO4179" s="498">
        <f t="shared" si="1448"/>
        <v>0</v>
      </c>
      <c r="AP4179" s="498">
        <f t="shared" ref="AP4179:AP4242" si="1467">IF(ISBLANK($B4179),0,IF(OR($C4179="M",$C4179="F"),0,1))</f>
        <v>0</v>
      </c>
      <c r="AQ4179" s="498">
        <f t="shared" si="1462"/>
        <v>0</v>
      </c>
      <c r="AU4179" s="498">
        <f t="shared" si="1449"/>
        <v>0</v>
      </c>
      <c r="AV4179" s="498">
        <f t="shared" si="1450"/>
        <v>0</v>
      </c>
      <c r="AW4179" s="498">
        <f t="shared" si="1451"/>
        <v>0</v>
      </c>
      <c r="AX4179" s="498">
        <f t="shared" si="1452"/>
        <v>0</v>
      </c>
      <c r="AY4179" s="498">
        <f t="shared" si="1453"/>
        <v>0</v>
      </c>
      <c r="BB4179" s="498" t="str">
        <f t="shared" si="1454"/>
        <v/>
      </c>
      <c r="BC4179" s="743" t="str">
        <f t="shared" si="1455"/>
        <v/>
      </c>
      <c r="BD4179" s="743" t="str">
        <f t="shared" si="1456"/>
        <v/>
      </c>
      <c r="BE4179" s="743" t="str">
        <f>IF(D4179="","",VLOOKUP(D4179,'General Basis'!$J$39:$K$46,2,0))</f>
        <v/>
      </c>
      <c r="BF4179" s="744" t="str">
        <f>IF(D4179="","",VLOOKUP(D4179,'General Basis'!$J$39:$L$46,3,0))</f>
        <v/>
      </c>
      <c r="BG4179" s="744" t="str">
        <f t="shared" si="1463"/>
        <v/>
      </c>
      <c r="BH4179" s="744" t="str">
        <f>IF(G4179="","",IF(BF4179="Abu Dhabi",IF(G4179&lt;18,'General Basis'!$C$39,IF(G4179&lt;41,'General Basis'!$C$40,IF(G4179&lt;60,'General Basis'!$C$41,IF(G4179&lt;65,'General Basis'!$C$42,'General Basis'!$C$43)))),IF(G4179&lt;11,'General Basis'!$B$39,IF(G4179&lt;18,'General Basis'!$B$40,IF(G4179&lt;26,'General Basis'!$B$41,IF(G4179&lt;31,'General Basis'!$B$42,IF(G4179&lt;36,'General Basis'!$B$43,IF(G4179&lt;41,'General Basis'!$B$44,IF(G4179&lt;46,'General Basis'!$B$45,IF(G4179&lt;51,'General Basis'!$B$46,IF(G4179&lt;56,'General Basis'!$B$47,IF(G4179&lt;60,'General Basis'!$B$48,IF(G4179&lt;65,'General Basis'!$B$49,'General Basis'!$B$50)))))))))))))</f>
        <v/>
      </c>
      <c r="BI4179" s="744" t="str">
        <f t="shared" si="1457"/>
        <v/>
      </c>
      <c r="BJ4179" s="747" t="str">
        <f t="shared" si="1464"/>
        <v/>
      </c>
      <c r="BK4179" s="498" t="str">
        <f t="shared" si="1458"/>
        <v/>
      </c>
      <c r="BL4179" s="498" t="str">
        <f t="shared" si="1459"/>
        <v/>
      </c>
    </row>
    <row r="4180" spans="1:64" x14ac:dyDescent="0.25">
      <c r="A4180" s="762">
        <f t="shared" si="1460"/>
        <v>4175</v>
      </c>
      <c r="B4180" s="229"/>
      <c r="C4180" s="223"/>
      <c r="D4180" s="224"/>
      <c r="E4180" s="225"/>
      <c r="F4180" s="1036" t="str">
        <f t="shared" si="1466"/>
        <v/>
      </c>
      <c r="G4180" s="1037" t="str">
        <f t="shared" si="1461"/>
        <v/>
      </c>
      <c r="H4180" s="225"/>
      <c r="I4180" s="1013"/>
      <c r="J4180" s="1013"/>
      <c r="K4180" s="1028"/>
      <c r="L4180" s="1035" t="str">
        <f t="shared" si="1465"/>
        <v/>
      </c>
      <c r="S4180" s="498"/>
      <c r="AJ4180" s="498"/>
      <c r="AM4180" s="498">
        <f t="shared" si="1446"/>
        <v>0</v>
      </c>
      <c r="AN4180" s="498">
        <f t="shared" si="1447"/>
        <v>0</v>
      </c>
      <c r="AO4180" s="498">
        <f t="shared" si="1448"/>
        <v>0</v>
      </c>
      <c r="AP4180" s="498">
        <f t="shared" si="1467"/>
        <v>0</v>
      </c>
      <c r="AQ4180" s="498">
        <f t="shared" si="1462"/>
        <v>0</v>
      </c>
      <c r="AU4180" s="498">
        <f t="shared" si="1449"/>
        <v>0</v>
      </c>
      <c r="AV4180" s="498">
        <f t="shared" si="1450"/>
        <v>0</v>
      </c>
      <c r="AW4180" s="498">
        <f t="shared" si="1451"/>
        <v>0</v>
      </c>
      <c r="AX4180" s="498">
        <f t="shared" si="1452"/>
        <v>0</v>
      </c>
      <c r="AY4180" s="498">
        <f t="shared" si="1453"/>
        <v>0</v>
      </c>
      <c r="BB4180" s="498" t="str">
        <f t="shared" si="1454"/>
        <v/>
      </c>
      <c r="BC4180" s="743" t="str">
        <f t="shared" si="1455"/>
        <v/>
      </c>
      <c r="BD4180" s="743" t="str">
        <f t="shared" si="1456"/>
        <v/>
      </c>
      <c r="BE4180" s="743" t="str">
        <f>IF(D4180="","",VLOOKUP(D4180,'General Basis'!$J$39:$K$46,2,0))</f>
        <v/>
      </c>
      <c r="BF4180" s="744" t="str">
        <f>IF(D4180="","",VLOOKUP(D4180,'General Basis'!$J$39:$L$46,3,0))</f>
        <v/>
      </c>
      <c r="BG4180" s="744" t="str">
        <f t="shared" si="1463"/>
        <v/>
      </c>
      <c r="BH4180" s="744" t="str">
        <f>IF(G4180="","",IF(BF4180="Abu Dhabi",IF(G4180&lt;18,'General Basis'!$C$39,IF(G4180&lt;41,'General Basis'!$C$40,IF(G4180&lt;60,'General Basis'!$C$41,IF(G4180&lt;65,'General Basis'!$C$42,'General Basis'!$C$43)))),IF(G4180&lt;11,'General Basis'!$B$39,IF(G4180&lt;18,'General Basis'!$B$40,IF(G4180&lt;26,'General Basis'!$B$41,IF(G4180&lt;31,'General Basis'!$B$42,IF(G4180&lt;36,'General Basis'!$B$43,IF(G4180&lt;41,'General Basis'!$B$44,IF(G4180&lt;46,'General Basis'!$B$45,IF(G4180&lt;51,'General Basis'!$B$46,IF(G4180&lt;56,'General Basis'!$B$47,IF(G4180&lt;60,'General Basis'!$B$48,IF(G4180&lt;65,'General Basis'!$B$49,'General Basis'!$B$50)))))))))))))</f>
        <v/>
      </c>
      <c r="BI4180" s="744" t="str">
        <f t="shared" si="1457"/>
        <v/>
      </c>
      <c r="BJ4180" s="747" t="str">
        <f t="shared" si="1464"/>
        <v/>
      </c>
      <c r="BK4180" s="498" t="str">
        <f t="shared" si="1458"/>
        <v/>
      </c>
      <c r="BL4180" s="498" t="str">
        <f t="shared" si="1459"/>
        <v/>
      </c>
    </row>
    <row r="4181" spans="1:64" x14ac:dyDescent="0.25">
      <c r="A4181" s="762">
        <f t="shared" si="1460"/>
        <v>4176</v>
      </c>
      <c r="B4181" s="229"/>
      <c r="C4181" s="223"/>
      <c r="D4181" s="224"/>
      <c r="E4181" s="225"/>
      <c r="F4181" s="1036" t="str">
        <f t="shared" si="1466"/>
        <v/>
      </c>
      <c r="G4181" s="1037" t="str">
        <f t="shared" si="1461"/>
        <v/>
      </c>
      <c r="H4181" s="225"/>
      <c r="I4181" s="1013"/>
      <c r="J4181" s="1013"/>
      <c r="K4181" s="1028"/>
      <c r="L4181" s="1035" t="str">
        <f t="shared" si="1465"/>
        <v/>
      </c>
      <c r="S4181" s="498"/>
      <c r="AJ4181" s="498"/>
      <c r="AM4181" s="498">
        <f t="shared" si="1446"/>
        <v>0</v>
      </c>
      <c r="AN4181" s="498">
        <f t="shared" si="1447"/>
        <v>0</v>
      </c>
      <c r="AO4181" s="498">
        <f t="shared" si="1448"/>
        <v>0</v>
      </c>
      <c r="AP4181" s="498">
        <f t="shared" si="1467"/>
        <v>0</v>
      </c>
      <c r="AQ4181" s="498">
        <f t="shared" si="1462"/>
        <v>0</v>
      </c>
      <c r="AU4181" s="498">
        <f t="shared" si="1449"/>
        <v>0</v>
      </c>
      <c r="AV4181" s="498">
        <f t="shared" si="1450"/>
        <v>0</v>
      </c>
      <c r="AW4181" s="498">
        <f t="shared" si="1451"/>
        <v>0</v>
      </c>
      <c r="AX4181" s="498">
        <f t="shared" si="1452"/>
        <v>0</v>
      </c>
      <c r="AY4181" s="498">
        <f t="shared" si="1453"/>
        <v>0</v>
      </c>
      <c r="BB4181" s="498" t="str">
        <f t="shared" si="1454"/>
        <v/>
      </c>
      <c r="BC4181" s="743" t="str">
        <f t="shared" si="1455"/>
        <v/>
      </c>
      <c r="BD4181" s="743" t="str">
        <f t="shared" si="1456"/>
        <v/>
      </c>
      <c r="BE4181" s="743" t="str">
        <f>IF(D4181="","",VLOOKUP(D4181,'General Basis'!$J$39:$K$46,2,0))</f>
        <v/>
      </c>
      <c r="BF4181" s="744" t="str">
        <f>IF(D4181="","",VLOOKUP(D4181,'General Basis'!$J$39:$L$46,3,0))</f>
        <v/>
      </c>
      <c r="BG4181" s="744" t="str">
        <f t="shared" si="1463"/>
        <v/>
      </c>
      <c r="BH4181" s="744" t="str">
        <f>IF(G4181="","",IF(BF4181="Abu Dhabi",IF(G4181&lt;18,'General Basis'!$C$39,IF(G4181&lt;41,'General Basis'!$C$40,IF(G4181&lt;60,'General Basis'!$C$41,IF(G4181&lt;65,'General Basis'!$C$42,'General Basis'!$C$43)))),IF(G4181&lt;11,'General Basis'!$B$39,IF(G4181&lt;18,'General Basis'!$B$40,IF(G4181&lt;26,'General Basis'!$B$41,IF(G4181&lt;31,'General Basis'!$B$42,IF(G4181&lt;36,'General Basis'!$B$43,IF(G4181&lt;41,'General Basis'!$B$44,IF(G4181&lt;46,'General Basis'!$B$45,IF(G4181&lt;51,'General Basis'!$B$46,IF(G4181&lt;56,'General Basis'!$B$47,IF(G4181&lt;60,'General Basis'!$B$48,IF(G4181&lt;65,'General Basis'!$B$49,'General Basis'!$B$50)))))))))))))</f>
        <v/>
      </c>
      <c r="BI4181" s="744" t="str">
        <f t="shared" si="1457"/>
        <v/>
      </c>
      <c r="BJ4181" s="747" t="str">
        <f t="shared" si="1464"/>
        <v/>
      </c>
      <c r="BK4181" s="498" t="str">
        <f t="shared" si="1458"/>
        <v/>
      </c>
      <c r="BL4181" s="498" t="str">
        <f t="shared" si="1459"/>
        <v/>
      </c>
    </row>
    <row r="4182" spans="1:64" x14ac:dyDescent="0.25">
      <c r="A4182" s="762">
        <f t="shared" si="1460"/>
        <v>4177</v>
      </c>
      <c r="B4182" s="229"/>
      <c r="C4182" s="223"/>
      <c r="D4182" s="224"/>
      <c r="E4182" s="225"/>
      <c r="F4182" s="1036" t="str">
        <f t="shared" si="1466"/>
        <v/>
      </c>
      <c r="G4182" s="1037" t="str">
        <f t="shared" si="1461"/>
        <v/>
      </c>
      <c r="H4182" s="225"/>
      <c r="I4182" s="1013"/>
      <c r="J4182" s="1013"/>
      <c r="K4182" s="1028"/>
      <c r="L4182" s="1035" t="str">
        <f t="shared" si="1465"/>
        <v/>
      </c>
      <c r="S4182" s="498"/>
      <c r="AJ4182" s="498"/>
      <c r="AM4182" s="498">
        <f t="shared" si="1446"/>
        <v>0</v>
      </c>
      <c r="AN4182" s="498">
        <f t="shared" si="1447"/>
        <v>0</v>
      </c>
      <c r="AO4182" s="498">
        <f t="shared" si="1448"/>
        <v>0</v>
      </c>
      <c r="AP4182" s="498">
        <f t="shared" si="1467"/>
        <v>0</v>
      </c>
      <c r="AQ4182" s="498">
        <f t="shared" si="1462"/>
        <v>0</v>
      </c>
      <c r="AU4182" s="498">
        <f t="shared" si="1449"/>
        <v>0</v>
      </c>
      <c r="AV4182" s="498">
        <f t="shared" si="1450"/>
        <v>0</v>
      </c>
      <c r="AW4182" s="498">
        <f t="shared" si="1451"/>
        <v>0</v>
      </c>
      <c r="AX4182" s="498">
        <f t="shared" si="1452"/>
        <v>0</v>
      </c>
      <c r="AY4182" s="498">
        <f t="shared" si="1453"/>
        <v>0</v>
      </c>
      <c r="BB4182" s="498" t="str">
        <f t="shared" si="1454"/>
        <v/>
      </c>
      <c r="BC4182" s="743" t="str">
        <f t="shared" si="1455"/>
        <v/>
      </c>
      <c r="BD4182" s="743" t="str">
        <f t="shared" si="1456"/>
        <v/>
      </c>
      <c r="BE4182" s="743" t="str">
        <f>IF(D4182="","",VLOOKUP(D4182,'General Basis'!$J$39:$K$46,2,0))</f>
        <v/>
      </c>
      <c r="BF4182" s="744" t="str">
        <f>IF(D4182="","",VLOOKUP(D4182,'General Basis'!$J$39:$L$46,3,0))</f>
        <v/>
      </c>
      <c r="BG4182" s="744" t="str">
        <f t="shared" si="1463"/>
        <v/>
      </c>
      <c r="BH4182" s="744" t="str">
        <f>IF(G4182="","",IF(BF4182="Abu Dhabi",IF(G4182&lt;18,'General Basis'!$C$39,IF(G4182&lt;41,'General Basis'!$C$40,IF(G4182&lt;60,'General Basis'!$C$41,IF(G4182&lt;65,'General Basis'!$C$42,'General Basis'!$C$43)))),IF(G4182&lt;11,'General Basis'!$B$39,IF(G4182&lt;18,'General Basis'!$B$40,IF(G4182&lt;26,'General Basis'!$B$41,IF(G4182&lt;31,'General Basis'!$B$42,IF(G4182&lt;36,'General Basis'!$B$43,IF(G4182&lt;41,'General Basis'!$B$44,IF(G4182&lt;46,'General Basis'!$B$45,IF(G4182&lt;51,'General Basis'!$B$46,IF(G4182&lt;56,'General Basis'!$B$47,IF(G4182&lt;60,'General Basis'!$B$48,IF(G4182&lt;65,'General Basis'!$B$49,'General Basis'!$B$50)))))))))))))</f>
        <v/>
      </c>
      <c r="BI4182" s="744" t="str">
        <f t="shared" si="1457"/>
        <v/>
      </c>
      <c r="BJ4182" s="747" t="str">
        <f t="shared" si="1464"/>
        <v/>
      </c>
      <c r="BK4182" s="498" t="str">
        <f t="shared" si="1458"/>
        <v/>
      </c>
      <c r="BL4182" s="498" t="str">
        <f t="shared" si="1459"/>
        <v/>
      </c>
    </row>
    <row r="4183" spans="1:64" x14ac:dyDescent="0.25">
      <c r="A4183" s="762">
        <f t="shared" si="1460"/>
        <v>4178</v>
      </c>
      <c r="B4183" s="229"/>
      <c r="C4183" s="223"/>
      <c r="D4183" s="224"/>
      <c r="E4183" s="225"/>
      <c r="F4183" s="1036" t="str">
        <f t="shared" si="1466"/>
        <v/>
      </c>
      <c r="G4183" s="1037" t="str">
        <f t="shared" si="1461"/>
        <v/>
      </c>
      <c r="H4183" s="225"/>
      <c r="I4183" s="1013"/>
      <c r="J4183" s="1013"/>
      <c r="K4183" s="1028"/>
      <c r="L4183" s="1035" t="str">
        <f t="shared" si="1465"/>
        <v/>
      </c>
      <c r="S4183" s="498"/>
      <c r="AJ4183" s="498"/>
      <c r="AM4183" s="498">
        <f t="shared" si="1446"/>
        <v>0</v>
      </c>
      <c r="AN4183" s="498">
        <f t="shared" si="1447"/>
        <v>0</v>
      </c>
      <c r="AO4183" s="498">
        <f t="shared" si="1448"/>
        <v>0</v>
      </c>
      <c r="AP4183" s="498">
        <f t="shared" si="1467"/>
        <v>0</v>
      </c>
      <c r="AQ4183" s="498">
        <f t="shared" si="1462"/>
        <v>0</v>
      </c>
      <c r="AU4183" s="498">
        <f t="shared" si="1449"/>
        <v>0</v>
      </c>
      <c r="AV4183" s="498">
        <f t="shared" si="1450"/>
        <v>0</v>
      </c>
      <c r="AW4183" s="498">
        <f t="shared" si="1451"/>
        <v>0</v>
      </c>
      <c r="AX4183" s="498">
        <f t="shared" si="1452"/>
        <v>0</v>
      </c>
      <c r="AY4183" s="498">
        <f t="shared" si="1453"/>
        <v>0</v>
      </c>
      <c r="BB4183" s="498" t="str">
        <f t="shared" si="1454"/>
        <v/>
      </c>
      <c r="BC4183" s="743" t="str">
        <f t="shared" si="1455"/>
        <v/>
      </c>
      <c r="BD4183" s="743" t="str">
        <f t="shared" si="1456"/>
        <v/>
      </c>
      <c r="BE4183" s="743" t="str">
        <f>IF(D4183="","",VLOOKUP(D4183,'General Basis'!$J$39:$K$46,2,0))</f>
        <v/>
      </c>
      <c r="BF4183" s="744" t="str">
        <f>IF(D4183="","",VLOOKUP(D4183,'General Basis'!$J$39:$L$46,3,0))</f>
        <v/>
      </c>
      <c r="BG4183" s="744" t="str">
        <f t="shared" si="1463"/>
        <v/>
      </c>
      <c r="BH4183" s="744" t="str">
        <f>IF(G4183="","",IF(BF4183="Abu Dhabi",IF(G4183&lt;18,'General Basis'!$C$39,IF(G4183&lt;41,'General Basis'!$C$40,IF(G4183&lt;60,'General Basis'!$C$41,IF(G4183&lt;65,'General Basis'!$C$42,'General Basis'!$C$43)))),IF(G4183&lt;11,'General Basis'!$B$39,IF(G4183&lt;18,'General Basis'!$B$40,IF(G4183&lt;26,'General Basis'!$B$41,IF(G4183&lt;31,'General Basis'!$B$42,IF(G4183&lt;36,'General Basis'!$B$43,IF(G4183&lt;41,'General Basis'!$B$44,IF(G4183&lt;46,'General Basis'!$B$45,IF(G4183&lt;51,'General Basis'!$B$46,IF(G4183&lt;56,'General Basis'!$B$47,IF(G4183&lt;60,'General Basis'!$B$48,IF(G4183&lt;65,'General Basis'!$B$49,'General Basis'!$B$50)))))))))))))</f>
        <v/>
      </c>
      <c r="BI4183" s="744" t="str">
        <f t="shared" si="1457"/>
        <v/>
      </c>
      <c r="BJ4183" s="747" t="str">
        <f t="shared" si="1464"/>
        <v/>
      </c>
      <c r="BK4183" s="498" t="str">
        <f t="shared" si="1458"/>
        <v/>
      </c>
      <c r="BL4183" s="498" t="str">
        <f t="shared" si="1459"/>
        <v/>
      </c>
    </row>
    <row r="4184" spans="1:64" x14ac:dyDescent="0.25">
      <c r="A4184" s="762">
        <f t="shared" si="1460"/>
        <v>4179</v>
      </c>
      <c r="B4184" s="229"/>
      <c r="C4184" s="223"/>
      <c r="D4184" s="224"/>
      <c r="E4184" s="225"/>
      <c r="F4184" s="1036" t="str">
        <f t="shared" si="1466"/>
        <v/>
      </c>
      <c r="G4184" s="1037" t="str">
        <f t="shared" si="1461"/>
        <v/>
      </c>
      <c r="H4184" s="225"/>
      <c r="I4184" s="1013"/>
      <c r="J4184" s="1013"/>
      <c r="K4184" s="1028"/>
      <c r="L4184" s="1035" t="str">
        <f t="shared" si="1465"/>
        <v/>
      </c>
      <c r="S4184" s="498"/>
      <c r="AJ4184" s="498"/>
      <c r="AM4184" s="498">
        <f t="shared" si="1446"/>
        <v>0</v>
      </c>
      <c r="AN4184" s="498">
        <f t="shared" si="1447"/>
        <v>0</v>
      </c>
      <c r="AO4184" s="498">
        <f t="shared" si="1448"/>
        <v>0</v>
      </c>
      <c r="AP4184" s="498">
        <f t="shared" si="1467"/>
        <v>0</v>
      </c>
      <c r="AQ4184" s="498">
        <f t="shared" si="1462"/>
        <v>0</v>
      </c>
      <c r="AU4184" s="498">
        <f t="shared" si="1449"/>
        <v>0</v>
      </c>
      <c r="AV4184" s="498">
        <f t="shared" si="1450"/>
        <v>0</v>
      </c>
      <c r="AW4184" s="498">
        <f t="shared" si="1451"/>
        <v>0</v>
      </c>
      <c r="AX4184" s="498">
        <f t="shared" si="1452"/>
        <v>0</v>
      </c>
      <c r="AY4184" s="498">
        <f t="shared" si="1453"/>
        <v>0</v>
      </c>
      <c r="BB4184" s="498" t="str">
        <f t="shared" si="1454"/>
        <v/>
      </c>
      <c r="BC4184" s="743" t="str">
        <f t="shared" si="1455"/>
        <v/>
      </c>
      <c r="BD4184" s="743" t="str">
        <f t="shared" si="1456"/>
        <v/>
      </c>
      <c r="BE4184" s="743" t="str">
        <f>IF(D4184="","",VLOOKUP(D4184,'General Basis'!$J$39:$K$46,2,0))</f>
        <v/>
      </c>
      <c r="BF4184" s="744" t="str">
        <f>IF(D4184="","",VLOOKUP(D4184,'General Basis'!$J$39:$L$46,3,0))</f>
        <v/>
      </c>
      <c r="BG4184" s="744" t="str">
        <f t="shared" si="1463"/>
        <v/>
      </c>
      <c r="BH4184" s="744" t="str">
        <f>IF(G4184="","",IF(BF4184="Abu Dhabi",IF(G4184&lt;18,'General Basis'!$C$39,IF(G4184&lt;41,'General Basis'!$C$40,IF(G4184&lt;60,'General Basis'!$C$41,IF(G4184&lt;65,'General Basis'!$C$42,'General Basis'!$C$43)))),IF(G4184&lt;11,'General Basis'!$B$39,IF(G4184&lt;18,'General Basis'!$B$40,IF(G4184&lt;26,'General Basis'!$B$41,IF(G4184&lt;31,'General Basis'!$B$42,IF(G4184&lt;36,'General Basis'!$B$43,IF(G4184&lt;41,'General Basis'!$B$44,IF(G4184&lt;46,'General Basis'!$B$45,IF(G4184&lt;51,'General Basis'!$B$46,IF(G4184&lt;56,'General Basis'!$B$47,IF(G4184&lt;60,'General Basis'!$B$48,IF(G4184&lt;65,'General Basis'!$B$49,'General Basis'!$B$50)))))))))))))</f>
        <v/>
      </c>
      <c r="BI4184" s="744" t="str">
        <f t="shared" si="1457"/>
        <v/>
      </c>
      <c r="BJ4184" s="747" t="str">
        <f t="shared" si="1464"/>
        <v/>
      </c>
      <c r="BK4184" s="498" t="str">
        <f t="shared" si="1458"/>
        <v/>
      </c>
      <c r="BL4184" s="498" t="str">
        <f t="shared" si="1459"/>
        <v/>
      </c>
    </row>
    <row r="4185" spans="1:64" x14ac:dyDescent="0.25">
      <c r="A4185" s="762">
        <f t="shared" si="1460"/>
        <v>4180</v>
      </c>
      <c r="B4185" s="229"/>
      <c r="C4185" s="223"/>
      <c r="D4185" s="224"/>
      <c r="E4185" s="225"/>
      <c r="F4185" s="1036" t="str">
        <f t="shared" si="1466"/>
        <v/>
      </c>
      <c r="G4185" s="1037" t="str">
        <f t="shared" si="1461"/>
        <v/>
      </c>
      <c r="H4185" s="225"/>
      <c r="I4185" s="1013"/>
      <c r="J4185" s="1013"/>
      <c r="K4185" s="1028"/>
      <c r="L4185" s="1035" t="str">
        <f t="shared" si="1465"/>
        <v/>
      </c>
      <c r="S4185" s="498"/>
      <c r="AJ4185" s="498"/>
      <c r="AM4185" s="498">
        <f t="shared" si="1446"/>
        <v>0</v>
      </c>
      <c r="AN4185" s="498">
        <f t="shared" si="1447"/>
        <v>0</v>
      </c>
      <c r="AO4185" s="498">
        <f t="shared" si="1448"/>
        <v>0</v>
      </c>
      <c r="AP4185" s="498">
        <f t="shared" si="1467"/>
        <v>0</v>
      </c>
      <c r="AQ4185" s="498">
        <f t="shared" si="1462"/>
        <v>0</v>
      </c>
      <c r="AU4185" s="498">
        <f t="shared" si="1449"/>
        <v>0</v>
      </c>
      <c r="AV4185" s="498">
        <f t="shared" si="1450"/>
        <v>0</v>
      </c>
      <c r="AW4185" s="498">
        <f t="shared" si="1451"/>
        <v>0</v>
      </c>
      <c r="AX4185" s="498">
        <f t="shared" si="1452"/>
        <v>0</v>
      </c>
      <c r="AY4185" s="498">
        <f t="shared" si="1453"/>
        <v>0</v>
      </c>
      <c r="BB4185" s="498" t="str">
        <f t="shared" si="1454"/>
        <v/>
      </c>
      <c r="BC4185" s="743" t="str">
        <f t="shared" si="1455"/>
        <v/>
      </c>
      <c r="BD4185" s="743" t="str">
        <f t="shared" si="1456"/>
        <v/>
      </c>
      <c r="BE4185" s="743" t="str">
        <f>IF(D4185="","",VLOOKUP(D4185,'General Basis'!$J$39:$K$46,2,0))</f>
        <v/>
      </c>
      <c r="BF4185" s="744" t="str">
        <f>IF(D4185="","",VLOOKUP(D4185,'General Basis'!$J$39:$L$46,3,0))</f>
        <v/>
      </c>
      <c r="BG4185" s="744" t="str">
        <f t="shared" si="1463"/>
        <v/>
      </c>
      <c r="BH4185" s="744" t="str">
        <f>IF(G4185="","",IF(BF4185="Abu Dhabi",IF(G4185&lt;18,'General Basis'!$C$39,IF(G4185&lt;41,'General Basis'!$C$40,IF(G4185&lt;60,'General Basis'!$C$41,IF(G4185&lt;65,'General Basis'!$C$42,'General Basis'!$C$43)))),IF(G4185&lt;11,'General Basis'!$B$39,IF(G4185&lt;18,'General Basis'!$B$40,IF(G4185&lt;26,'General Basis'!$B$41,IF(G4185&lt;31,'General Basis'!$B$42,IF(G4185&lt;36,'General Basis'!$B$43,IF(G4185&lt;41,'General Basis'!$B$44,IF(G4185&lt;46,'General Basis'!$B$45,IF(G4185&lt;51,'General Basis'!$B$46,IF(G4185&lt;56,'General Basis'!$B$47,IF(G4185&lt;60,'General Basis'!$B$48,IF(G4185&lt;65,'General Basis'!$B$49,'General Basis'!$B$50)))))))))))))</f>
        <v/>
      </c>
      <c r="BI4185" s="744" t="str">
        <f t="shared" si="1457"/>
        <v/>
      </c>
      <c r="BJ4185" s="747" t="str">
        <f t="shared" si="1464"/>
        <v/>
      </c>
      <c r="BK4185" s="498" t="str">
        <f t="shared" si="1458"/>
        <v/>
      </c>
      <c r="BL4185" s="498" t="str">
        <f t="shared" si="1459"/>
        <v/>
      </c>
    </row>
    <row r="4186" spans="1:64" x14ac:dyDescent="0.25">
      <c r="A4186" s="762">
        <f t="shared" si="1460"/>
        <v>4181</v>
      </c>
      <c r="B4186" s="229"/>
      <c r="C4186" s="223"/>
      <c r="D4186" s="224"/>
      <c r="E4186" s="225"/>
      <c r="F4186" s="1036" t="str">
        <f t="shared" si="1466"/>
        <v/>
      </c>
      <c r="G4186" s="1037" t="str">
        <f t="shared" si="1461"/>
        <v/>
      </c>
      <c r="H4186" s="225"/>
      <c r="I4186" s="1013"/>
      <c r="J4186" s="1013"/>
      <c r="K4186" s="1028"/>
      <c r="L4186" s="1035" t="str">
        <f t="shared" si="1465"/>
        <v/>
      </c>
      <c r="S4186" s="498"/>
      <c r="AJ4186" s="498"/>
      <c r="AM4186" s="498">
        <f t="shared" si="1446"/>
        <v>0</v>
      </c>
      <c r="AN4186" s="498">
        <f t="shared" si="1447"/>
        <v>0</v>
      </c>
      <c r="AO4186" s="498">
        <f t="shared" si="1448"/>
        <v>0</v>
      </c>
      <c r="AP4186" s="498">
        <f t="shared" si="1467"/>
        <v>0</v>
      </c>
      <c r="AQ4186" s="498">
        <f t="shared" si="1462"/>
        <v>0</v>
      </c>
      <c r="AU4186" s="498">
        <f t="shared" si="1449"/>
        <v>0</v>
      </c>
      <c r="AV4186" s="498">
        <f t="shared" si="1450"/>
        <v>0</v>
      </c>
      <c r="AW4186" s="498">
        <f t="shared" si="1451"/>
        <v>0</v>
      </c>
      <c r="AX4186" s="498">
        <f t="shared" si="1452"/>
        <v>0</v>
      </c>
      <c r="AY4186" s="498">
        <f t="shared" si="1453"/>
        <v>0</v>
      </c>
      <c r="BB4186" s="498" t="str">
        <f t="shared" si="1454"/>
        <v/>
      </c>
      <c r="BC4186" s="743" t="str">
        <f t="shared" si="1455"/>
        <v/>
      </c>
      <c r="BD4186" s="743" t="str">
        <f t="shared" si="1456"/>
        <v/>
      </c>
      <c r="BE4186" s="743" t="str">
        <f>IF(D4186="","",VLOOKUP(D4186,'General Basis'!$J$39:$K$46,2,0))</f>
        <v/>
      </c>
      <c r="BF4186" s="744" t="str">
        <f>IF(D4186="","",VLOOKUP(D4186,'General Basis'!$J$39:$L$46,3,0))</f>
        <v/>
      </c>
      <c r="BG4186" s="744" t="str">
        <f t="shared" si="1463"/>
        <v/>
      </c>
      <c r="BH4186" s="744" t="str">
        <f>IF(G4186="","",IF(BF4186="Abu Dhabi",IF(G4186&lt;18,'General Basis'!$C$39,IF(G4186&lt;41,'General Basis'!$C$40,IF(G4186&lt;60,'General Basis'!$C$41,IF(G4186&lt;65,'General Basis'!$C$42,'General Basis'!$C$43)))),IF(G4186&lt;11,'General Basis'!$B$39,IF(G4186&lt;18,'General Basis'!$B$40,IF(G4186&lt;26,'General Basis'!$B$41,IF(G4186&lt;31,'General Basis'!$B$42,IF(G4186&lt;36,'General Basis'!$B$43,IF(G4186&lt;41,'General Basis'!$B$44,IF(G4186&lt;46,'General Basis'!$B$45,IF(G4186&lt;51,'General Basis'!$B$46,IF(G4186&lt;56,'General Basis'!$B$47,IF(G4186&lt;60,'General Basis'!$B$48,IF(G4186&lt;65,'General Basis'!$B$49,'General Basis'!$B$50)))))))))))))</f>
        <v/>
      </c>
      <c r="BI4186" s="744" t="str">
        <f t="shared" si="1457"/>
        <v/>
      </c>
      <c r="BJ4186" s="747" t="str">
        <f t="shared" si="1464"/>
        <v/>
      </c>
      <c r="BK4186" s="498" t="str">
        <f t="shared" si="1458"/>
        <v/>
      </c>
      <c r="BL4186" s="498" t="str">
        <f t="shared" si="1459"/>
        <v/>
      </c>
    </row>
    <row r="4187" spans="1:64" x14ac:dyDescent="0.25">
      <c r="A4187" s="762">
        <f t="shared" si="1460"/>
        <v>4182</v>
      </c>
      <c r="B4187" s="229"/>
      <c r="C4187" s="223"/>
      <c r="D4187" s="224"/>
      <c r="E4187" s="225"/>
      <c r="F4187" s="1036" t="str">
        <f t="shared" si="1466"/>
        <v/>
      </c>
      <c r="G4187" s="1037" t="str">
        <f t="shared" si="1461"/>
        <v/>
      </c>
      <c r="H4187" s="225"/>
      <c r="I4187" s="1013"/>
      <c r="J4187" s="1013"/>
      <c r="K4187" s="1028"/>
      <c r="L4187" s="1035" t="str">
        <f t="shared" si="1465"/>
        <v/>
      </c>
      <c r="S4187" s="498"/>
      <c r="AJ4187" s="498"/>
      <c r="AM4187" s="498">
        <f t="shared" si="1446"/>
        <v>0</v>
      </c>
      <c r="AN4187" s="498">
        <f t="shared" si="1447"/>
        <v>0</v>
      </c>
      <c r="AO4187" s="498">
        <f t="shared" si="1448"/>
        <v>0</v>
      </c>
      <c r="AP4187" s="498">
        <f t="shared" si="1467"/>
        <v>0</v>
      </c>
      <c r="AQ4187" s="498">
        <f t="shared" si="1462"/>
        <v>0</v>
      </c>
      <c r="AU4187" s="498">
        <f t="shared" si="1449"/>
        <v>0</v>
      </c>
      <c r="AV4187" s="498">
        <f t="shared" si="1450"/>
        <v>0</v>
      </c>
      <c r="AW4187" s="498">
        <f t="shared" si="1451"/>
        <v>0</v>
      </c>
      <c r="AX4187" s="498">
        <f t="shared" si="1452"/>
        <v>0</v>
      </c>
      <c r="AY4187" s="498">
        <f t="shared" si="1453"/>
        <v>0</v>
      </c>
      <c r="BB4187" s="498" t="str">
        <f t="shared" si="1454"/>
        <v/>
      </c>
      <c r="BC4187" s="743" t="str">
        <f t="shared" si="1455"/>
        <v/>
      </c>
      <c r="BD4187" s="743" t="str">
        <f t="shared" si="1456"/>
        <v/>
      </c>
      <c r="BE4187" s="743" t="str">
        <f>IF(D4187="","",VLOOKUP(D4187,'General Basis'!$J$39:$K$46,2,0))</f>
        <v/>
      </c>
      <c r="BF4187" s="744" t="str">
        <f>IF(D4187="","",VLOOKUP(D4187,'General Basis'!$J$39:$L$46,3,0))</f>
        <v/>
      </c>
      <c r="BG4187" s="744" t="str">
        <f t="shared" si="1463"/>
        <v/>
      </c>
      <c r="BH4187" s="744" t="str">
        <f>IF(G4187="","",IF(BF4187="Abu Dhabi",IF(G4187&lt;18,'General Basis'!$C$39,IF(G4187&lt;41,'General Basis'!$C$40,IF(G4187&lt;60,'General Basis'!$C$41,IF(G4187&lt;65,'General Basis'!$C$42,'General Basis'!$C$43)))),IF(G4187&lt;11,'General Basis'!$B$39,IF(G4187&lt;18,'General Basis'!$B$40,IF(G4187&lt;26,'General Basis'!$B$41,IF(G4187&lt;31,'General Basis'!$B$42,IF(G4187&lt;36,'General Basis'!$B$43,IF(G4187&lt;41,'General Basis'!$B$44,IF(G4187&lt;46,'General Basis'!$B$45,IF(G4187&lt;51,'General Basis'!$B$46,IF(G4187&lt;56,'General Basis'!$B$47,IF(G4187&lt;60,'General Basis'!$B$48,IF(G4187&lt;65,'General Basis'!$B$49,'General Basis'!$B$50)))))))))))))</f>
        <v/>
      </c>
      <c r="BI4187" s="744" t="str">
        <f t="shared" si="1457"/>
        <v/>
      </c>
      <c r="BJ4187" s="747" t="str">
        <f t="shared" si="1464"/>
        <v/>
      </c>
      <c r="BK4187" s="498" t="str">
        <f t="shared" si="1458"/>
        <v/>
      </c>
      <c r="BL4187" s="498" t="str">
        <f t="shared" si="1459"/>
        <v/>
      </c>
    </row>
    <row r="4188" spans="1:64" x14ac:dyDescent="0.25">
      <c r="A4188" s="762">
        <f t="shared" si="1460"/>
        <v>4183</v>
      </c>
      <c r="B4188" s="229"/>
      <c r="C4188" s="223"/>
      <c r="D4188" s="224"/>
      <c r="E4188" s="225"/>
      <c r="F4188" s="1036" t="str">
        <f t="shared" si="1466"/>
        <v/>
      </c>
      <c r="G4188" s="1037" t="str">
        <f t="shared" si="1461"/>
        <v/>
      </c>
      <c r="H4188" s="225"/>
      <c r="I4188" s="1013"/>
      <c r="J4188" s="1013"/>
      <c r="K4188" s="1028"/>
      <c r="L4188" s="1035" t="str">
        <f t="shared" si="1465"/>
        <v/>
      </c>
      <c r="S4188" s="498"/>
      <c r="AJ4188" s="498"/>
      <c r="AM4188" s="498">
        <f t="shared" si="1446"/>
        <v>0</v>
      </c>
      <c r="AN4188" s="498">
        <f t="shared" si="1447"/>
        <v>0</v>
      </c>
      <c r="AO4188" s="498">
        <f t="shared" si="1448"/>
        <v>0</v>
      </c>
      <c r="AP4188" s="498">
        <f t="shared" si="1467"/>
        <v>0</v>
      </c>
      <c r="AQ4188" s="498">
        <f t="shared" si="1462"/>
        <v>0</v>
      </c>
      <c r="AU4188" s="498">
        <f t="shared" si="1449"/>
        <v>0</v>
      </c>
      <c r="AV4188" s="498">
        <f t="shared" si="1450"/>
        <v>0</v>
      </c>
      <c r="AW4188" s="498">
        <f t="shared" si="1451"/>
        <v>0</v>
      </c>
      <c r="AX4188" s="498">
        <f t="shared" si="1452"/>
        <v>0</v>
      </c>
      <c r="AY4188" s="498">
        <f t="shared" si="1453"/>
        <v>0</v>
      </c>
      <c r="BB4188" s="498" t="str">
        <f t="shared" si="1454"/>
        <v/>
      </c>
      <c r="BC4188" s="743" t="str">
        <f t="shared" si="1455"/>
        <v/>
      </c>
      <c r="BD4188" s="743" t="str">
        <f t="shared" si="1456"/>
        <v/>
      </c>
      <c r="BE4188" s="743" t="str">
        <f>IF(D4188="","",VLOOKUP(D4188,'General Basis'!$J$39:$K$46,2,0))</f>
        <v/>
      </c>
      <c r="BF4188" s="744" t="str">
        <f>IF(D4188="","",VLOOKUP(D4188,'General Basis'!$J$39:$L$46,3,0))</f>
        <v/>
      </c>
      <c r="BG4188" s="744" t="str">
        <f t="shared" si="1463"/>
        <v/>
      </c>
      <c r="BH4188" s="744" t="str">
        <f>IF(G4188="","",IF(BF4188="Abu Dhabi",IF(G4188&lt;18,'General Basis'!$C$39,IF(G4188&lt;41,'General Basis'!$C$40,IF(G4188&lt;60,'General Basis'!$C$41,IF(G4188&lt;65,'General Basis'!$C$42,'General Basis'!$C$43)))),IF(G4188&lt;11,'General Basis'!$B$39,IF(G4188&lt;18,'General Basis'!$B$40,IF(G4188&lt;26,'General Basis'!$B$41,IF(G4188&lt;31,'General Basis'!$B$42,IF(G4188&lt;36,'General Basis'!$B$43,IF(G4188&lt;41,'General Basis'!$B$44,IF(G4188&lt;46,'General Basis'!$B$45,IF(G4188&lt;51,'General Basis'!$B$46,IF(G4188&lt;56,'General Basis'!$B$47,IF(G4188&lt;60,'General Basis'!$B$48,IF(G4188&lt;65,'General Basis'!$B$49,'General Basis'!$B$50)))))))))))))</f>
        <v/>
      </c>
      <c r="BI4188" s="744" t="str">
        <f t="shared" si="1457"/>
        <v/>
      </c>
      <c r="BJ4188" s="747" t="str">
        <f t="shared" si="1464"/>
        <v/>
      </c>
      <c r="BK4188" s="498" t="str">
        <f t="shared" si="1458"/>
        <v/>
      </c>
      <c r="BL4188" s="498" t="str">
        <f t="shared" si="1459"/>
        <v/>
      </c>
    </row>
    <row r="4189" spans="1:64" x14ac:dyDescent="0.25">
      <c r="A4189" s="762">
        <f t="shared" si="1460"/>
        <v>4184</v>
      </c>
      <c r="B4189" s="229"/>
      <c r="C4189" s="223"/>
      <c r="D4189" s="224"/>
      <c r="E4189" s="225"/>
      <c r="F4189" s="1036" t="str">
        <f t="shared" si="1466"/>
        <v/>
      </c>
      <c r="G4189" s="1037" t="str">
        <f t="shared" si="1461"/>
        <v/>
      </c>
      <c r="H4189" s="225"/>
      <c r="I4189" s="1013"/>
      <c r="J4189" s="1013"/>
      <c r="K4189" s="1028"/>
      <c r="L4189" s="1035" t="str">
        <f t="shared" si="1465"/>
        <v/>
      </c>
      <c r="S4189" s="498"/>
      <c r="AJ4189" s="498"/>
      <c r="AM4189" s="498">
        <f t="shared" si="1446"/>
        <v>0</v>
      </c>
      <c r="AN4189" s="498">
        <f t="shared" si="1447"/>
        <v>0</v>
      </c>
      <c r="AO4189" s="498">
        <f t="shared" si="1448"/>
        <v>0</v>
      </c>
      <c r="AP4189" s="498">
        <f t="shared" si="1467"/>
        <v>0</v>
      </c>
      <c r="AQ4189" s="498">
        <f t="shared" si="1462"/>
        <v>0</v>
      </c>
      <c r="AU4189" s="498">
        <f t="shared" si="1449"/>
        <v>0</v>
      </c>
      <c r="AV4189" s="498">
        <f t="shared" si="1450"/>
        <v>0</v>
      </c>
      <c r="AW4189" s="498">
        <f t="shared" si="1451"/>
        <v>0</v>
      </c>
      <c r="AX4189" s="498">
        <f t="shared" si="1452"/>
        <v>0</v>
      </c>
      <c r="AY4189" s="498">
        <f t="shared" si="1453"/>
        <v>0</v>
      </c>
      <c r="BB4189" s="498" t="str">
        <f t="shared" si="1454"/>
        <v/>
      </c>
      <c r="BC4189" s="743" t="str">
        <f t="shared" si="1455"/>
        <v/>
      </c>
      <c r="BD4189" s="743" t="str">
        <f t="shared" si="1456"/>
        <v/>
      </c>
      <c r="BE4189" s="743" t="str">
        <f>IF(D4189="","",VLOOKUP(D4189,'General Basis'!$J$39:$K$46,2,0))</f>
        <v/>
      </c>
      <c r="BF4189" s="744" t="str">
        <f>IF(D4189="","",VLOOKUP(D4189,'General Basis'!$J$39:$L$46,3,0))</f>
        <v/>
      </c>
      <c r="BG4189" s="744" t="str">
        <f t="shared" si="1463"/>
        <v/>
      </c>
      <c r="BH4189" s="744" t="str">
        <f>IF(G4189="","",IF(BF4189="Abu Dhabi",IF(G4189&lt;18,'General Basis'!$C$39,IF(G4189&lt;41,'General Basis'!$C$40,IF(G4189&lt;60,'General Basis'!$C$41,IF(G4189&lt;65,'General Basis'!$C$42,'General Basis'!$C$43)))),IF(G4189&lt;11,'General Basis'!$B$39,IF(G4189&lt;18,'General Basis'!$B$40,IF(G4189&lt;26,'General Basis'!$B$41,IF(G4189&lt;31,'General Basis'!$B$42,IF(G4189&lt;36,'General Basis'!$B$43,IF(G4189&lt;41,'General Basis'!$B$44,IF(G4189&lt;46,'General Basis'!$B$45,IF(G4189&lt;51,'General Basis'!$B$46,IF(G4189&lt;56,'General Basis'!$B$47,IF(G4189&lt;60,'General Basis'!$B$48,IF(G4189&lt;65,'General Basis'!$B$49,'General Basis'!$B$50)))))))))))))</f>
        <v/>
      </c>
      <c r="BI4189" s="744" t="str">
        <f t="shared" si="1457"/>
        <v/>
      </c>
      <c r="BJ4189" s="747" t="str">
        <f t="shared" si="1464"/>
        <v/>
      </c>
      <c r="BK4189" s="498" t="str">
        <f t="shared" si="1458"/>
        <v/>
      </c>
      <c r="BL4189" s="498" t="str">
        <f t="shared" si="1459"/>
        <v/>
      </c>
    </row>
    <row r="4190" spans="1:64" x14ac:dyDescent="0.25">
      <c r="A4190" s="762">
        <f t="shared" si="1460"/>
        <v>4185</v>
      </c>
      <c r="B4190" s="229"/>
      <c r="C4190" s="223"/>
      <c r="D4190" s="224"/>
      <c r="E4190" s="225"/>
      <c r="F4190" s="1036" t="str">
        <f t="shared" si="1466"/>
        <v/>
      </c>
      <c r="G4190" s="1037" t="str">
        <f t="shared" si="1461"/>
        <v/>
      </c>
      <c r="H4190" s="225"/>
      <c r="I4190" s="1013"/>
      <c r="J4190" s="1013"/>
      <c r="K4190" s="1028"/>
      <c r="L4190" s="1035" t="str">
        <f t="shared" si="1465"/>
        <v/>
      </c>
      <c r="S4190" s="498"/>
      <c r="AJ4190" s="498"/>
      <c r="AM4190" s="498">
        <f t="shared" si="1446"/>
        <v>0</v>
      </c>
      <c r="AN4190" s="498">
        <f t="shared" si="1447"/>
        <v>0</v>
      </c>
      <c r="AO4190" s="498">
        <f t="shared" si="1448"/>
        <v>0</v>
      </c>
      <c r="AP4190" s="498">
        <f t="shared" si="1467"/>
        <v>0</v>
      </c>
      <c r="AQ4190" s="498">
        <f t="shared" si="1462"/>
        <v>0</v>
      </c>
      <c r="AU4190" s="498">
        <f t="shared" si="1449"/>
        <v>0</v>
      </c>
      <c r="AV4190" s="498">
        <f t="shared" si="1450"/>
        <v>0</v>
      </c>
      <c r="AW4190" s="498">
        <f t="shared" si="1451"/>
        <v>0</v>
      </c>
      <c r="AX4190" s="498">
        <f t="shared" si="1452"/>
        <v>0</v>
      </c>
      <c r="AY4190" s="498">
        <f t="shared" si="1453"/>
        <v>0</v>
      </c>
      <c r="BB4190" s="498" t="str">
        <f t="shared" si="1454"/>
        <v/>
      </c>
      <c r="BC4190" s="743" t="str">
        <f t="shared" si="1455"/>
        <v/>
      </c>
      <c r="BD4190" s="743" t="str">
        <f t="shared" si="1456"/>
        <v/>
      </c>
      <c r="BE4190" s="743" t="str">
        <f>IF(D4190="","",VLOOKUP(D4190,'General Basis'!$J$39:$K$46,2,0))</f>
        <v/>
      </c>
      <c r="BF4190" s="744" t="str">
        <f>IF(D4190="","",VLOOKUP(D4190,'General Basis'!$J$39:$L$46,3,0))</f>
        <v/>
      </c>
      <c r="BG4190" s="744" t="str">
        <f t="shared" si="1463"/>
        <v/>
      </c>
      <c r="BH4190" s="744" t="str">
        <f>IF(G4190="","",IF(BF4190="Abu Dhabi",IF(G4190&lt;18,'General Basis'!$C$39,IF(G4190&lt;41,'General Basis'!$C$40,IF(G4190&lt;60,'General Basis'!$C$41,IF(G4190&lt;65,'General Basis'!$C$42,'General Basis'!$C$43)))),IF(G4190&lt;11,'General Basis'!$B$39,IF(G4190&lt;18,'General Basis'!$B$40,IF(G4190&lt;26,'General Basis'!$B$41,IF(G4190&lt;31,'General Basis'!$B$42,IF(G4190&lt;36,'General Basis'!$B$43,IF(G4190&lt;41,'General Basis'!$B$44,IF(G4190&lt;46,'General Basis'!$B$45,IF(G4190&lt;51,'General Basis'!$B$46,IF(G4190&lt;56,'General Basis'!$B$47,IF(G4190&lt;60,'General Basis'!$B$48,IF(G4190&lt;65,'General Basis'!$B$49,'General Basis'!$B$50)))))))))))))</f>
        <v/>
      </c>
      <c r="BI4190" s="744" t="str">
        <f t="shared" si="1457"/>
        <v/>
      </c>
      <c r="BJ4190" s="747" t="str">
        <f t="shared" si="1464"/>
        <v/>
      </c>
      <c r="BK4190" s="498" t="str">
        <f t="shared" si="1458"/>
        <v/>
      </c>
      <c r="BL4190" s="498" t="str">
        <f t="shared" si="1459"/>
        <v/>
      </c>
    </row>
    <row r="4191" spans="1:64" x14ac:dyDescent="0.25">
      <c r="A4191" s="762">
        <f t="shared" si="1460"/>
        <v>4186</v>
      </c>
      <c r="B4191" s="229"/>
      <c r="C4191" s="223"/>
      <c r="D4191" s="224"/>
      <c r="E4191" s="225"/>
      <c r="F4191" s="1036" t="str">
        <f t="shared" si="1466"/>
        <v/>
      </c>
      <c r="G4191" s="1037" t="str">
        <f t="shared" si="1461"/>
        <v/>
      </c>
      <c r="H4191" s="225"/>
      <c r="I4191" s="1013"/>
      <c r="J4191" s="1013"/>
      <c r="K4191" s="1028"/>
      <c r="L4191" s="1035" t="str">
        <f t="shared" si="1465"/>
        <v/>
      </c>
      <c r="S4191" s="498"/>
      <c r="AJ4191" s="498"/>
      <c r="AM4191" s="498">
        <f t="shared" si="1446"/>
        <v>0</v>
      </c>
      <c r="AN4191" s="498">
        <f t="shared" si="1447"/>
        <v>0</v>
      </c>
      <c r="AO4191" s="498">
        <f t="shared" si="1448"/>
        <v>0</v>
      </c>
      <c r="AP4191" s="498">
        <f t="shared" si="1467"/>
        <v>0</v>
      </c>
      <c r="AQ4191" s="498">
        <f t="shared" si="1462"/>
        <v>0</v>
      </c>
      <c r="AU4191" s="498">
        <f t="shared" si="1449"/>
        <v>0</v>
      </c>
      <c r="AV4191" s="498">
        <f t="shared" si="1450"/>
        <v>0</v>
      </c>
      <c r="AW4191" s="498">
        <f t="shared" si="1451"/>
        <v>0</v>
      </c>
      <c r="AX4191" s="498">
        <f t="shared" si="1452"/>
        <v>0</v>
      </c>
      <c r="AY4191" s="498">
        <f t="shared" si="1453"/>
        <v>0</v>
      </c>
      <c r="BB4191" s="498" t="str">
        <f t="shared" si="1454"/>
        <v/>
      </c>
      <c r="BC4191" s="743" t="str">
        <f t="shared" si="1455"/>
        <v/>
      </c>
      <c r="BD4191" s="743" t="str">
        <f t="shared" si="1456"/>
        <v/>
      </c>
      <c r="BE4191" s="743" t="str">
        <f>IF(D4191="","",VLOOKUP(D4191,'General Basis'!$J$39:$K$46,2,0))</f>
        <v/>
      </c>
      <c r="BF4191" s="744" t="str">
        <f>IF(D4191="","",VLOOKUP(D4191,'General Basis'!$J$39:$L$46,3,0))</f>
        <v/>
      </c>
      <c r="BG4191" s="744" t="str">
        <f t="shared" si="1463"/>
        <v/>
      </c>
      <c r="BH4191" s="744" t="str">
        <f>IF(G4191="","",IF(BF4191="Abu Dhabi",IF(G4191&lt;18,'General Basis'!$C$39,IF(G4191&lt;41,'General Basis'!$C$40,IF(G4191&lt;60,'General Basis'!$C$41,IF(G4191&lt;65,'General Basis'!$C$42,'General Basis'!$C$43)))),IF(G4191&lt;11,'General Basis'!$B$39,IF(G4191&lt;18,'General Basis'!$B$40,IF(G4191&lt;26,'General Basis'!$B$41,IF(G4191&lt;31,'General Basis'!$B$42,IF(G4191&lt;36,'General Basis'!$B$43,IF(G4191&lt;41,'General Basis'!$B$44,IF(G4191&lt;46,'General Basis'!$B$45,IF(G4191&lt;51,'General Basis'!$B$46,IF(G4191&lt;56,'General Basis'!$B$47,IF(G4191&lt;60,'General Basis'!$B$48,IF(G4191&lt;65,'General Basis'!$B$49,'General Basis'!$B$50)))))))))))))</f>
        <v/>
      </c>
      <c r="BI4191" s="744" t="str">
        <f t="shared" si="1457"/>
        <v/>
      </c>
      <c r="BJ4191" s="747" t="str">
        <f t="shared" si="1464"/>
        <v/>
      </c>
      <c r="BK4191" s="498" t="str">
        <f t="shared" si="1458"/>
        <v/>
      </c>
      <c r="BL4191" s="498" t="str">
        <f t="shared" si="1459"/>
        <v/>
      </c>
    </row>
    <row r="4192" spans="1:64" x14ac:dyDescent="0.25">
      <c r="A4192" s="762">
        <f t="shared" si="1460"/>
        <v>4187</v>
      </c>
      <c r="B4192" s="229"/>
      <c r="C4192" s="223"/>
      <c r="D4192" s="224"/>
      <c r="E4192" s="225"/>
      <c r="F4192" s="1036" t="str">
        <f t="shared" si="1466"/>
        <v/>
      </c>
      <c r="G4192" s="1037" t="str">
        <f t="shared" si="1461"/>
        <v/>
      </c>
      <c r="H4192" s="225"/>
      <c r="I4192" s="1013"/>
      <c r="J4192" s="1013"/>
      <c r="K4192" s="1028"/>
      <c r="L4192" s="1035" t="str">
        <f t="shared" si="1465"/>
        <v/>
      </c>
      <c r="S4192" s="498"/>
      <c r="AJ4192" s="498"/>
      <c r="AM4192" s="498">
        <f t="shared" si="1446"/>
        <v>0</v>
      </c>
      <c r="AN4192" s="498">
        <f t="shared" si="1447"/>
        <v>0</v>
      </c>
      <c r="AO4192" s="498">
        <f t="shared" si="1448"/>
        <v>0</v>
      </c>
      <c r="AP4192" s="498">
        <f t="shared" si="1467"/>
        <v>0</v>
      </c>
      <c r="AQ4192" s="498">
        <f t="shared" si="1462"/>
        <v>0</v>
      </c>
      <c r="AU4192" s="498">
        <f t="shared" si="1449"/>
        <v>0</v>
      </c>
      <c r="AV4192" s="498">
        <f t="shared" si="1450"/>
        <v>0</v>
      </c>
      <c r="AW4192" s="498">
        <f t="shared" si="1451"/>
        <v>0</v>
      </c>
      <c r="AX4192" s="498">
        <f t="shared" si="1452"/>
        <v>0</v>
      </c>
      <c r="AY4192" s="498">
        <f t="shared" si="1453"/>
        <v>0</v>
      </c>
      <c r="BB4192" s="498" t="str">
        <f t="shared" si="1454"/>
        <v/>
      </c>
      <c r="BC4192" s="743" t="str">
        <f t="shared" si="1455"/>
        <v/>
      </c>
      <c r="BD4192" s="743" t="str">
        <f t="shared" si="1456"/>
        <v/>
      </c>
      <c r="BE4192" s="743" t="str">
        <f>IF(D4192="","",VLOOKUP(D4192,'General Basis'!$J$39:$K$46,2,0))</f>
        <v/>
      </c>
      <c r="BF4192" s="744" t="str">
        <f>IF(D4192="","",VLOOKUP(D4192,'General Basis'!$J$39:$L$46,3,0))</f>
        <v/>
      </c>
      <c r="BG4192" s="744" t="str">
        <f t="shared" si="1463"/>
        <v/>
      </c>
      <c r="BH4192" s="744" t="str">
        <f>IF(G4192="","",IF(BF4192="Abu Dhabi",IF(G4192&lt;18,'General Basis'!$C$39,IF(G4192&lt;41,'General Basis'!$C$40,IF(G4192&lt;60,'General Basis'!$C$41,IF(G4192&lt;65,'General Basis'!$C$42,'General Basis'!$C$43)))),IF(G4192&lt;11,'General Basis'!$B$39,IF(G4192&lt;18,'General Basis'!$B$40,IF(G4192&lt;26,'General Basis'!$B$41,IF(G4192&lt;31,'General Basis'!$B$42,IF(G4192&lt;36,'General Basis'!$B$43,IF(G4192&lt;41,'General Basis'!$B$44,IF(G4192&lt;46,'General Basis'!$B$45,IF(G4192&lt;51,'General Basis'!$B$46,IF(G4192&lt;56,'General Basis'!$B$47,IF(G4192&lt;60,'General Basis'!$B$48,IF(G4192&lt;65,'General Basis'!$B$49,'General Basis'!$B$50)))))))))))))</f>
        <v/>
      </c>
      <c r="BI4192" s="744" t="str">
        <f t="shared" si="1457"/>
        <v/>
      </c>
      <c r="BJ4192" s="747" t="str">
        <f t="shared" si="1464"/>
        <v/>
      </c>
      <c r="BK4192" s="498" t="str">
        <f t="shared" si="1458"/>
        <v/>
      </c>
      <c r="BL4192" s="498" t="str">
        <f t="shared" si="1459"/>
        <v/>
      </c>
    </row>
    <row r="4193" spans="1:64" x14ac:dyDescent="0.25">
      <c r="A4193" s="762">
        <f t="shared" si="1460"/>
        <v>4188</v>
      </c>
      <c r="B4193" s="229"/>
      <c r="C4193" s="223"/>
      <c r="D4193" s="224"/>
      <c r="E4193" s="225"/>
      <c r="F4193" s="1036" t="str">
        <f t="shared" si="1466"/>
        <v/>
      </c>
      <c r="G4193" s="1037" t="str">
        <f t="shared" si="1461"/>
        <v/>
      </c>
      <c r="H4193" s="225"/>
      <c r="I4193" s="1013"/>
      <c r="J4193" s="1013"/>
      <c r="K4193" s="1028"/>
      <c r="L4193" s="1035" t="str">
        <f t="shared" si="1465"/>
        <v/>
      </c>
      <c r="S4193" s="498"/>
      <c r="AJ4193" s="498"/>
      <c r="AM4193" s="498">
        <f t="shared" si="1446"/>
        <v>0</v>
      </c>
      <c r="AN4193" s="498">
        <f t="shared" si="1447"/>
        <v>0</v>
      </c>
      <c r="AO4193" s="498">
        <f t="shared" si="1448"/>
        <v>0</v>
      </c>
      <c r="AP4193" s="498">
        <f t="shared" si="1467"/>
        <v>0</v>
      </c>
      <c r="AQ4193" s="498">
        <f t="shared" si="1462"/>
        <v>0</v>
      </c>
      <c r="AU4193" s="498">
        <f t="shared" si="1449"/>
        <v>0</v>
      </c>
      <c r="AV4193" s="498">
        <f t="shared" si="1450"/>
        <v>0</v>
      </c>
      <c r="AW4193" s="498">
        <f t="shared" si="1451"/>
        <v>0</v>
      </c>
      <c r="AX4193" s="498">
        <f t="shared" si="1452"/>
        <v>0</v>
      </c>
      <c r="AY4193" s="498">
        <f t="shared" si="1453"/>
        <v>0</v>
      </c>
      <c r="BB4193" s="498" t="str">
        <f t="shared" si="1454"/>
        <v/>
      </c>
      <c r="BC4193" s="743" t="str">
        <f t="shared" si="1455"/>
        <v/>
      </c>
      <c r="BD4193" s="743" t="str">
        <f t="shared" si="1456"/>
        <v/>
      </c>
      <c r="BE4193" s="743" t="str">
        <f>IF(D4193="","",VLOOKUP(D4193,'General Basis'!$J$39:$K$46,2,0))</f>
        <v/>
      </c>
      <c r="BF4193" s="744" t="str">
        <f>IF(D4193="","",VLOOKUP(D4193,'General Basis'!$J$39:$L$46,3,0))</f>
        <v/>
      </c>
      <c r="BG4193" s="744" t="str">
        <f t="shared" si="1463"/>
        <v/>
      </c>
      <c r="BH4193" s="744" t="str">
        <f>IF(G4193="","",IF(BF4193="Abu Dhabi",IF(G4193&lt;18,'General Basis'!$C$39,IF(G4193&lt;41,'General Basis'!$C$40,IF(G4193&lt;60,'General Basis'!$C$41,IF(G4193&lt;65,'General Basis'!$C$42,'General Basis'!$C$43)))),IF(G4193&lt;11,'General Basis'!$B$39,IF(G4193&lt;18,'General Basis'!$B$40,IF(G4193&lt;26,'General Basis'!$B$41,IF(G4193&lt;31,'General Basis'!$B$42,IF(G4193&lt;36,'General Basis'!$B$43,IF(G4193&lt;41,'General Basis'!$B$44,IF(G4193&lt;46,'General Basis'!$B$45,IF(G4193&lt;51,'General Basis'!$B$46,IF(G4193&lt;56,'General Basis'!$B$47,IF(G4193&lt;60,'General Basis'!$B$48,IF(G4193&lt;65,'General Basis'!$B$49,'General Basis'!$B$50)))))))))))))</f>
        <v/>
      </c>
      <c r="BI4193" s="744" t="str">
        <f t="shared" si="1457"/>
        <v/>
      </c>
      <c r="BJ4193" s="747" t="str">
        <f t="shared" si="1464"/>
        <v/>
      </c>
      <c r="BK4193" s="498" t="str">
        <f t="shared" si="1458"/>
        <v/>
      </c>
      <c r="BL4193" s="498" t="str">
        <f t="shared" si="1459"/>
        <v/>
      </c>
    </row>
    <row r="4194" spans="1:64" x14ac:dyDescent="0.25">
      <c r="A4194" s="762">
        <f t="shared" si="1460"/>
        <v>4189</v>
      </c>
      <c r="B4194" s="229"/>
      <c r="C4194" s="223"/>
      <c r="D4194" s="224"/>
      <c r="E4194" s="225"/>
      <c r="F4194" s="1036" t="str">
        <f t="shared" si="1466"/>
        <v/>
      </c>
      <c r="G4194" s="1037" t="str">
        <f t="shared" si="1461"/>
        <v/>
      </c>
      <c r="H4194" s="225"/>
      <c r="I4194" s="1013"/>
      <c r="J4194" s="1013"/>
      <c r="K4194" s="1028"/>
      <c r="L4194" s="1035" t="str">
        <f t="shared" si="1465"/>
        <v/>
      </c>
      <c r="S4194" s="498"/>
      <c r="AJ4194" s="498"/>
      <c r="AM4194" s="498">
        <f t="shared" si="1446"/>
        <v>0</v>
      </c>
      <c r="AN4194" s="498">
        <f t="shared" si="1447"/>
        <v>0</v>
      </c>
      <c r="AO4194" s="498">
        <f t="shared" si="1448"/>
        <v>0</v>
      </c>
      <c r="AP4194" s="498">
        <f t="shared" si="1467"/>
        <v>0</v>
      </c>
      <c r="AQ4194" s="498">
        <f t="shared" si="1462"/>
        <v>0</v>
      </c>
      <c r="AU4194" s="498">
        <f t="shared" si="1449"/>
        <v>0</v>
      </c>
      <c r="AV4194" s="498">
        <f t="shared" si="1450"/>
        <v>0</v>
      </c>
      <c r="AW4194" s="498">
        <f t="shared" si="1451"/>
        <v>0</v>
      </c>
      <c r="AX4194" s="498">
        <f t="shared" si="1452"/>
        <v>0</v>
      </c>
      <c r="AY4194" s="498">
        <f t="shared" si="1453"/>
        <v>0</v>
      </c>
      <c r="BB4194" s="498" t="str">
        <f t="shared" si="1454"/>
        <v/>
      </c>
      <c r="BC4194" s="743" t="str">
        <f t="shared" si="1455"/>
        <v/>
      </c>
      <c r="BD4194" s="743" t="str">
        <f t="shared" si="1456"/>
        <v/>
      </c>
      <c r="BE4194" s="743" t="str">
        <f>IF(D4194="","",VLOOKUP(D4194,'General Basis'!$J$39:$K$46,2,0))</f>
        <v/>
      </c>
      <c r="BF4194" s="744" t="str">
        <f>IF(D4194="","",VLOOKUP(D4194,'General Basis'!$J$39:$L$46,3,0))</f>
        <v/>
      </c>
      <c r="BG4194" s="744" t="str">
        <f t="shared" si="1463"/>
        <v/>
      </c>
      <c r="BH4194" s="744" t="str">
        <f>IF(G4194="","",IF(BF4194="Abu Dhabi",IF(G4194&lt;18,'General Basis'!$C$39,IF(G4194&lt;41,'General Basis'!$C$40,IF(G4194&lt;60,'General Basis'!$C$41,IF(G4194&lt;65,'General Basis'!$C$42,'General Basis'!$C$43)))),IF(G4194&lt;11,'General Basis'!$B$39,IF(G4194&lt;18,'General Basis'!$B$40,IF(G4194&lt;26,'General Basis'!$B$41,IF(G4194&lt;31,'General Basis'!$B$42,IF(G4194&lt;36,'General Basis'!$B$43,IF(G4194&lt;41,'General Basis'!$B$44,IF(G4194&lt;46,'General Basis'!$B$45,IF(G4194&lt;51,'General Basis'!$B$46,IF(G4194&lt;56,'General Basis'!$B$47,IF(G4194&lt;60,'General Basis'!$B$48,IF(G4194&lt;65,'General Basis'!$B$49,'General Basis'!$B$50)))))))))))))</f>
        <v/>
      </c>
      <c r="BI4194" s="744" t="str">
        <f t="shared" si="1457"/>
        <v/>
      </c>
      <c r="BJ4194" s="747" t="str">
        <f t="shared" si="1464"/>
        <v/>
      </c>
      <c r="BK4194" s="498" t="str">
        <f t="shared" si="1458"/>
        <v/>
      </c>
      <c r="BL4194" s="498" t="str">
        <f t="shared" si="1459"/>
        <v/>
      </c>
    </row>
    <row r="4195" spans="1:64" x14ac:dyDescent="0.25">
      <c r="A4195" s="762">
        <f t="shared" si="1460"/>
        <v>4190</v>
      </c>
      <c r="B4195" s="229"/>
      <c r="C4195" s="223"/>
      <c r="D4195" s="224"/>
      <c r="E4195" s="225"/>
      <c r="F4195" s="1036" t="str">
        <f t="shared" si="1466"/>
        <v/>
      </c>
      <c r="G4195" s="1037" t="str">
        <f t="shared" si="1461"/>
        <v/>
      </c>
      <c r="H4195" s="225"/>
      <c r="I4195" s="1013"/>
      <c r="J4195" s="1013"/>
      <c r="K4195" s="1028"/>
      <c r="L4195" s="1035" t="str">
        <f t="shared" si="1465"/>
        <v/>
      </c>
      <c r="S4195" s="498"/>
      <c r="AJ4195" s="498"/>
      <c r="AM4195" s="498">
        <f t="shared" si="1446"/>
        <v>0</v>
      </c>
      <c r="AN4195" s="498">
        <f t="shared" si="1447"/>
        <v>0</v>
      </c>
      <c r="AO4195" s="498">
        <f t="shared" si="1448"/>
        <v>0</v>
      </c>
      <c r="AP4195" s="498">
        <f t="shared" si="1467"/>
        <v>0</v>
      </c>
      <c r="AQ4195" s="498">
        <f t="shared" si="1462"/>
        <v>0</v>
      </c>
      <c r="AU4195" s="498">
        <f t="shared" si="1449"/>
        <v>0</v>
      </c>
      <c r="AV4195" s="498">
        <f t="shared" si="1450"/>
        <v>0</v>
      </c>
      <c r="AW4195" s="498">
        <f t="shared" si="1451"/>
        <v>0</v>
      </c>
      <c r="AX4195" s="498">
        <f t="shared" si="1452"/>
        <v>0</v>
      </c>
      <c r="AY4195" s="498">
        <f t="shared" si="1453"/>
        <v>0</v>
      </c>
      <c r="BB4195" s="498" t="str">
        <f t="shared" si="1454"/>
        <v/>
      </c>
      <c r="BC4195" s="743" t="str">
        <f t="shared" si="1455"/>
        <v/>
      </c>
      <c r="BD4195" s="743" t="str">
        <f t="shared" si="1456"/>
        <v/>
      </c>
      <c r="BE4195" s="743" t="str">
        <f>IF(D4195="","",VLOOKUP(D4195,'General Basis'!$J$39:$K$46,2,0))</f>
        <v/>
      </c>
      <c r="BF4195" s="744" t="str">
        <f>IF(D4195="","",VLOOKUP(D4195,'General Basis'!$J$39:$L$46,3,0))</f>
        <v/>
      </c>
      <c r="BG4195" s="744" t="str">
        <f t="shared" si="1463"/>
        <v/>
      </c>
      <c r="BH4195" s="744" t="str">
        <f>IF(G4195="","",IF(BF4195="Abu Dhabi",IF(G4195&lt;18,'General Basis'!$C$39,IF(G4195&lt;41,'General Basis'!$C$40,IF(G4195&lt;60,'General Basis'!$C$41,IF(G4195&lt;65,'General Basis'!$C$42,'General Basis'!$C$43)))),IF(G4195&lt;11,'General Basis'!$B$39,IF(G4195&lt;18,'General Basis'!$B$40,IF(G4195&lt;26,'General Basis'!$B$41,IF(G4195&lt;31,'General Basis'!$B$42,IF(G4195&lt;36,'General Basis'!$B$43,IF(G4195&lt;41,'General Basis'!$B$44,IF(G4195&lt;46,'General Basis'!$B$45,IF(G4195&lt;51,'General Basis'!$B$46,IF(G4195&lt;56,'General Basis'!$B$47,IF(G4195&lt;60,'General Basis'!$B$48,IF(G4195&lt;65,'General Basis'!$B$49,'General Basis'!$B$50)))))))))))))</f>
        <v/>
      </c>
      <c r="BI4195" s="744" t="str">
        <f t="shared" si="1457"/>
        <v/>
      </c>
      <c r="BJ4195" s="747" t="str">
        <f t="shared" si="1464"/>
        <v/>
      </c>
      <c r="BK4195" s="498" t="str">
        <f t="shared" si="1458"/>
        <v/>
      </c>
      <c r="BL4195" s="498" t="str">
        <f t="shared" si="1459"/>
        <v/>
      </c>
    </row>
    <row r="4196" spans="1:64" x14ac:dyDescent="0.25">
      <c r="A4196" s="762">
        <f t="shared" si="1460"/>
        <v>4191</v>
      </c>
      <c r="B4196" s="229"/>
      <c r="C4196" s="223"/>
      <c r="D4196" s="224"/>
      <c r="E4196" s="225"/>
      <c r="F4196" s="1036" t="str">
        <f t="shared" si="1466"/>
        <v/>
      </c>
      <c r="G4196" s="1037" t="str">
        <f t="shared" si="1461"/>
        <v/>
      </c>
      <c r="H4196" s="225"/>
      <c r="I4196" s="1013"/>
      <c r="J4196" s="1013"/>
      <c r="K4196" s="1028"/>
      <c r="L4196" s="1035" t="str">
        <f t="shared" si="1465"/>
        <v/>
      </c>
      <c r="S4196" s="498"/>
      <c r="AJ4196" s="498"/>
      <c r="AM4196" s="498">
        <f t="shared" si="1446"/>
        <v>0</v>
      </c>
      <c r="AN4196" s="498">
        <f t="shared" si="1447"/>
        <v>0</v>
      </c>
      <c r="AO4196" s="498">
        <f t="shared" si="1448"/>
        <v>0</v>
      </c>
      <c r="AP4196" s="498">
        <f t="shared" si="1467"/>
        <v>0</v>
      </c>
      <c r="AQ4196" s="498">
        <f t="shared" si="1462"/>
        <v>0</v>
      </c>
      <c r="AU4196" s="498">
        <f t="shared" si="1449"/>
        <v>0</v>
      </c>
      <c r="AV4196" s="498">
        <f t="shared" si="1450"/>
        <v>0</v>
      </c>
      <c r="AW4196" s="498">
        <f t="shared" si="1451"/>
        <v>0</v>
      </c>
      <c r="AX4196" s="498">
        <f t="shared" si="1452"/>
        <v>0</v>
      </c>
      <c r="AY4196" s="498">
        <f t="shared" si="1453"/>
        <v>0</v>
      </c>
      <c r="BB4196" s="498" t="str">
        <f t="shared" si="1454"/>
        <v/>
      </c>
      <c r="BC4196" s="743" t="str">
        <f t="shared" si="1455"/>
        <v/>
      </c>
      <c r="BD4196" s="743" t="str">
        <f t="shared" si="1456"/>
        <v/>
      </c>
      <c r="BE4196" s="743" t="str">
        <f>IF(D4196="","",VLOOKUP(D4196,'General Basis'!$J$39:$K$46,2,0))</f>
        <v/>
      </c>
      <c r="BF4196" s="744" t="str">
        <f>IF(D4196="","",VLOOKUP(D4196,'General Basis'!$J$39:$L$46,3,0))</f>
        <v/>
      </c>
      <c r="BG4196" s="744" t="str">
        <f t="shared" si="1463"/>
        <v/>
      </c>
      <c r="BH4196" s="744" t="str">
        <f>IF(G4196="","",IF(BF4196="Abu Dhabi",IF(G4196&lt;18,'General Basis'!$C$39,IF(G4196&lt;41,'General Basis'!$C$40,IF(G4196&lt;60,'General Basis'!$C$41,IF(G4196&lt;65,'General Basis'!$C$42,'General Basis'!$C$43)))),IF(G4196&lt;11,'General Basis'!$B$39,IF(G4196&lt;18,'General Basis'!$B$40,IF(G4196&lt;26,'General Basis'!$B$41,IF(G4196&lt;31,'General Basis'!$B$42,IF(G4196&lt;36,'General Basis'!$B$43,IF(G4196&lt;41,'General Basis'!$B$44,IF(G4196&lt;46,'General Basis'!$B$45,IF(G4196&lt;51,'General Basis'!$B$46,IF(G4196&lt;56,'General Basis'!$B$47,IF(G4196&lt;60,'General Basis'!$B$48,IF(G4196&lt;65,'General Basis'!$B$49,'General Basis'!$B$50)))))))))))))</f>
        <v/>
      </c>
      <c r="BI4196" s="744" t="str">
        <f t="shared" si="1457"/>
        <v/>
      </c>
      <c r="BJ4196" s="747" t="str">
        <f t="shared" si="1464"/>
        <v/>
      </c>
      <c r="BK4196" s="498" t="str">
        <f t="shared" si="1458"/>
        <v/>
      </c>
      <c r="BL4196" s="498" t="str">
        <f t="shared" si="1459"/>
        <v/>
      </c>
    </row>
    <row r="4197" spans="1:64" x14ac:dyDescent="0.25">
      <c r="A4197" s="762">
        <f t="shared" si="1460"/>
        <v>4192</v>
      </c>
      <c r="B4197" s="229"/>
      <c r="C4197" s="223"/>
      <c r="D4197" s="224"/>
      <c r="E4197" s="225"/>
      <c r="F4197" s="1036" t="str">
        <f t="shared" si="1466"/>
        <v/>
      </c>
      <c r="G4197" s="1037" t="str">
        <f t="shared" si="1461"/>
        <v/>
      </c>
      <c r="H4197" s="225"/>
      <c r="I4197" s="1013"/>
      <c r="J4197" s="1013"/>
      <c r="K4197" s="1028"/>
      <c r="L4197" s="1035" t="str">
        <f t="shared" si="1465"/>
        <v/>
      </c>
      <c r="S4197" s="498"/>
      <c r="AJ4197" s="498"/>
      <c r="AM4197" s="498">
        <f t="shared" si="1446"/>
        <v>0</v>
      </c>
      <c r="AN4197" s="498">
        <f t="shared" si="1447"/>
        <v>0</v>
      </c>
      <c r="AO4197" s="498">
        <f t="shared" si="1448"/>
        <v>0</v>
      </c>
      <c r="AP4197" s="498">
        <f t="shared" si="1467"/>
        <v>0</v>
      </c>
      <c r="AQ4197" s="498">
        <f t="shared" si="1462"/>
        <v>0</v>
      </c>
      <c r="AU4197" s="498">
        <f t="shared" si="1449"/>
        <v>0</v>
      </c>
      <c r="AV4197" s="498">
        <f t="shared" si="1450"/>
        <v>0</v>
      </c>
      <c r="AW4197" s="498">
        <f t="shared" si="1451"/>
        <v>0</v>
      </c>
      <c r="AX4197" s="498">
        <f t="shared" si="1452"/>
        <v>0</v>
      </c>
      <c r="AY4197" s="498">
        <f t="shared" si="1453"/>
        <v>0</v>
      </c>
      <c r="BB4197" s="498" t="str">
        <f t="shared" si="1454"/>
        <v/>
      </c>
      <c r="BC4197" s="743" t="str">
        <f t="shared" si="1455"/>
        <v/>
      </c>
      <c r="BD4197" s="743" t="str">
        <f t="shared" si="1456"/>
        <v/>
      </c>
      <c r="BE4197" s="743" t="str">
        <f>IF(D4197="","",VLOOKUP(D4197,'General Basis'!$J$39:$K$46,2,0))</f>
        <v/>
      </c>
      <c r="BF4197" s="744" t="str">
        <f>IF(D4197="","",VLOOKUP(D4197,'General Basis'!$J$39:$L$46,3,0))</f>
        <v/>
      </c>
      <c r="BG4197" s="744" t="str">
        <f t="shared" si="1463"/>
        <v/>
      </c>
      <c r="BH4197" s="744" t="str">
        <f>IF(G4197="","",IF(BF4197="Abu Dhabi",IF(G4197&lt;18,'General Basis'!$C$39,IF(G4197&lt;41,'General Basis'!$C$40,IF(G4197&lt;60,'General Basis'!$C$41,IF(G4197&lt;65,'General Basis'!$C$42,'General Basis'!$C$43)))),IF(G4197&lt;11,'General Basis'!$B$39,IF(G4197&lt;18,'General Basis'!$B$40,IF(G4197&lt;26,'General Basis'!$B$41,IF(G4197&lt;31,'General Basis'!$B$42,IF(G4197&lt;36,'General Basis'!$B$43,IF(G4197&lt;41,'General Basis'!$B$44,IF(G4197&lt;46,'General Basis'!$B$45,IF(G4197&lt;51,'General Basis'!$B$46,IF(G4197&lt;56,'General Basis'!$B$47,IF(G4197&lt;60,'General Basis'!$B$48,IF(G4197&lt;65,'General Basis'!$B$49,'General Basis'!$B$50)))))))))))))</f>
        <v/>
      </c>
      <c r="BI4197" s="744" t="str">
        <f t="shared" si="1457"/>
        <v/>
      </c>
      <c r="BJ4197" s="747" t="str">
        <f t="shared" si="1464"/>
        <v/>
      </c>
      <c r="BK4197" s="498" t="str">
        <f t="shared" si="1458"/>
        <v/>
      </c>
      <c r="BL4197" s="498" t="str">
        <f t="shared" si="1459"/>
        <v/>
      </c>
    </row>
    <row r="4198" spans="1:64" x14ac:dyDescent="0.25">
      <c r="A4198" s="762">
        <f t="shared" si="1460"/>
        <v>4193</v>
      </c>
      <c r="B4198" s="229"/>
      <c r="C4198" s="223"/>
      <c r="D4198" s="224"/>
      <c r="E4198" s="225"/>
      <c r="F4198" s="1036" t="str">
        <f t="shared" si="1466"/>
        <v/>
      </c>
      <c r="G4198" s="1037" t="str">
        <f t="shared" si="1461"/>
        <v/>
      </c>
      <c r="H4198" s="225"/>
      <c r="I4198" s="1013"/>
      <c r="J4198" s="1013"/>
      <c r="K4198" s="1028"/>
      <c r="L4198" s="1035" t="str">
        <f t="shared" si="1465"/>
        <v/>
      </c>
      <c r="S4198" s="498"/>
      <c r="AJ4198" s="498"/>
      <c r="AM4198" s="498">
        <f t="shared" si="1446"/>
        <v>0</v>
      </c>
      <c r="AN4198" s="498">
        <f t="shared" si="1447"/>
        <v>0</v>
      </c>
      <c r="AO4198" s="498">
        <f t="shared" si="1448"/>
        <v>0</v>
      </c>
      <c r="AP4198" s="498">
        <f t="shared" si="1467"/>
        <v>0</v>
      </c>
      <c r="AQ4198" s="498">
        <f t="shared" si="1462"/>
        <v>0</v>
      </c>
      <c r="AU4198" s="498">
        <f t="shared" si="1449"/>
        <v>0</v>
      </c>
      <c r="AV4198" s="498">
        <f t="shared" si="1450"/>
        <v>0</v>
      </c>
      <c r="AW4198" s="498">
        <f t="shared" si="1451"/>
        <v>0</v>
      </c>
      <c r="AX4198" s="498">
        <f t="shared" si="1452"/>
        <v>0</v>
      </c>
      <c r="AY4198" s="498">
        <f t="shared" si="1453"/>
        <v>0</v>
      </c>
      <c r="BB4198" s="498" t="str">
        <f t="shared" si="1454"/>
        <v/>
      </c>
      <c r="BC4198" s="743" t="str">
        <f t="shared" si="1455"/>
        <v/>
      </c>
      <c r="BD4198" s="743" t="str">
        <f t="shared" si="1456"/>
        <v/>
      </c>
      <c r="BE4198" s="743" t="str">
        <f>IF(D4198="","",VLOOKUP(D4198,'General Basis'!$J$39:$K$46,2,0))</f>
        <v/>
      </c>
      <c r="BF4198" s="744" t="str">
        <f>IF(D4198="","",VLOOKUP(D4198,'General Basis'!$J$39:$L$46,3,0))</f>
        <v/>
      </c>
      <c r="BG4198" s="744" t="str">
        <f t="shared" si="1463"/>
        <v/>
      </c>
      <c r="BH4198" s="744" t="str">
        <f>IF(G4198="","",IF(BF4198="Abu Dhabi",IF(G4198&lt;18,'General Basis'!$C$39,IF(G4198&lt;41,'General Basis'!$C$40,IF(G4198&lt;60,'General Basis'!$C$41,IF(G4198&lt;65,'General Basis'!$C$42,'General Basis'!$C$43)))),IF(G4198&lt;11,'General Basis'!$B$39,IF(G4198&lt;18,'General Basis'!$B$40,IF(G4198&lt;26,'General Basis'!$B$41,IF(G4198&lt;31,'General Basis'!$B$42,IF(G4198&lt;36,'General Basis'!$B$43,IF(G4198&lt;41,'General Basis'!$B$44,IF(G4198&lt;46,'General Basis'!$B$45,IF(G4198&lt;51,'General Basis'!$B$46,IF(G4198&lt;56,'General Basis'!$B$47,IF(G4198&lt;60,'General Basis'!$B$48,IF(G4198&lt;65,'General Basis'!$B$49,'General Basis'!$B$50)))))))))))))</f>
        <v/>
      </c>
      <c r="BI4198" s="744" t="str">
        <f t="shared" si="1457"/>
        <v/>
      </c>
      <c r="BJ4198" s="747" t="str">
        <f t="shared" si="1464"/>
        <v/>
      </c>
      <c r="BK4198" s="498" t="str">
        <f t="shared" si="1458"/>
        <v/>
      </c>
      <c r="BL4198" s="498" t="str">
        <f t="shared" si="1459"/>
        <v/>
      </c>
    </row>
    <row r="4199" spans="1:64" x14ac:dyDescent="0.25">
      <c r="A4199" s="762">
        <f t="shared" si="1460"/>
        <v>4194</v>
      </c>
      <c r="B4199" s="229"/>
      <c r="C4199" s="223"/>
      <c r="D4199" s="224"/>
      <c r="E4199" s="225"/>
      <c r="F4199" s="1036" t="str">
        <f t="shared" si="1466"/>
        <v/>
      </c>
      <c r="G4199" s="1037" t="str">
        <f t="shared" si="1461"/>
        <v/>
      </c>
      <c r="H4199" s="225"/>
      <c r="I4199" s="1013"/>
      <c r="J4199" s="1013"/>
      <c r="K4199" s="1028"/>
      <c r="L4199" s="1035" t="str">
        <f t="shared" si="1465"/>
        <v/>
      </c>
      <c r="S4199" s="498"/>
      <c r="AJ4199" s="498"/>
      <c r="AM4199" s="498">
        <f t="shared" si="1446"/>
        <v>0</v>
      </c>
      <c r="AN4199" s="498">
        <f t="shared" si="1447"/>
        <v>0</v>
      </c>
      <c r="AO4199" s="498">
        <f t="shared" si="1448"/>
        <v>0</v>
      </c>
      <c r="AP4199" s="498">
        <f t="shared" si="1467"/>
        <v>0</v>
      </c>
      <c r="AQ4199" s="498">
        <f t="shared" si="1462"/>
        <v>0</v>
      </c>
      <c r="AU4199" s="498">
        <f t="shared" si="1449"/>
        <v>0</v>
      </c>
      <c r="AV4199" s="498">
        <f t="shared" si="1450"/>
        <v>0</v>
      </c>
      <c r="AW4199" s="498">
        <f t="shared" si="1451"/>
        <v>0</v>
      </c>
      <c r="AX4199" s="498">
        <f t="shared" si="1452"/>
        <v>0</v>
      </c>
      <c r="AY4199" s="498">
        <f t="shared" si="1453"/>
        <v>0</v>
      </c>
      <c r="BB4199" s="498" t="str">
        <f t="shared" si="1454"/>
        <v/>
      </c>
      <c r="BC4199" s="743" t="str">
        <f t="shared" si="1455"/>
        <v/>
      </c>
      <c r="BD4199" s="743" t="str">
        <f t="shared" si="1456"/>
        <v/>
      </c>
      <c r="BE4199" s="743" t="str">
        <f>IF(D4199="","",VLOOKUP(D4199,'General Basis'!$J$39:$K$46,2,0))</f>
        <v/>
      </c>
      <c r="BF4199" s="744" t="str">
        <f>IF(D4199="","",VLOOKUP(D4199,'General Basis'!$J$39:$L$46,3,0))</f>
        <v/>
      </c>
      <c r="BG4199" s="744" t="str">
        <f t="shared" si="1463"/>
        <v/>
      </c>
      <c r="BH4199" s="744" t="str">
        <f>IF(G4199="","",IF(BF4199="Abu Dhabi",IF(G4199&lt;18,'General Basis'!$C$39,IF(G4199&lt;41,'General Basis'!$C$40,IF(G4199&lt;60,'General Basis'!$C$41,IF(G4199&lt;65,'General Basis'!$C$42,'General Basis'!$C$43)))),IF(G4199&lt;11,'General Basis'!$B$39,IF(G4199&lt;18,'General Basis'!$B$40,IF(G4199&lt;26,'General Basis'!$B$41,IF(G4199&lt;31,'General Basis'!$B$42,IF(G4199&lt;36,'General Basis'!$B$43,IF(G4199&lt;41,'General Basis'!$B$44,IF(G4199&lt;46,'General Basis'!$B$45,IF(G4199&lt;51,'General Basis'!$B$46,IF(G4199&lt;56,'General Basis'!$B$47,IF(G4199&lt;60,'General Basis'!$B$48,IF(G4199&lt;65,'General Basis'!$B$49,'General Basis'!$B$50)))))))))))))</f>
        <v/>
      </c>
      <c r="BI4199" s="744" t="str">
        <f t="shared" si="1457"/>
        <v/>
      </c>
      <c r="BJ4199" s="747" t="str">
        <f t="shared" si="1464"/>
        <v/>
      </c>
      <c r="BK4199" s="498" t="str">
        <f t="shared" si="1458"/>
        <v/>
      </c>
      <c r="BL4199" s="498" t="str">
        <f t="shared" si="1459"/>
        <v/>
      </c>
    </row>
    <row r="4200" spans="1:64" x14ac:dyDescent="0.25">
      <c r="A4200" s="762">
        <f t="shared" si="1460"/>
        <v>4195</v>
      </c>
      <c r="B4200" s="229"/>
      <c r="C4200" s="223"/>
      <c r="D4200" s="224"/>
      <c r="E4200" s="225"/>
      <c r="F4200" s="1036" t="str">
        <f t="shared" si="1466"/>
        <v/>
      </c>
      <c r="G4200" s="1037" t="str">
        <f t="shared" si="1461"/>
        <v/>
      </c>
      <c r="H4200" s="225"/>
      <c r="I4200" s="1013"/>
      <c r="J4200" s="1013"/>
      <c r="K4200" s="1028"/>
      <c r="L4200" s="1035" t="str">
        <f t="shared" si="1465"/>
        <v/>
      </c>
      <c r="S4200" s="498"/>
      <c r="AJ4200" s="498"/>
      <c r="AM4200" s="498">
        <f t="shared" si="1446"/>
        <v>0</v>
      </c>
      <c r="AN4200" s="498">
        <f t="shared" si="1447"/>
        <v>0</v>
      </c>
      <c r="AO4200" s="498">
        <f t="shared" si="1448"/>
        <v>0</v>
      </c>
      <c r="AP4200" s="498">
        <f t="shared" si="1467"/>
        <v>0</v>
      </c>
      <c r="AQ4200" s="498">
        <f t="shared" si="1462"/>
        <v>0</v>
      </c>
      <c r="AU4200" s="498">
        <f t="shared" si="1449"/>
        <v>0</v>
      </c>
      <c r="AV4200" s="498">
        <f t="shared" si="1450"/>
        <v>0</v>
      </c>
      <c r="AW4200" s="498">
        <f t="shared" si="1451"/>
        <v>0</v>
      </c>
      <c r="AX4200" s="498">
        <f t="shared" si="1452"/>
        <v>0</v>
      </c>
      <c r="AY4200" s="498">
        <f t="shared" si="1453"/>
        <v>0</v>
      </c>
      <c r="BB4200" s="498" t="str">
        <f t="shared" si="1454"/>
        <v/>
      </c>
      <c r="BC4200" s="743" t="str">
        <f t="shared" si="1455"/>
        <v/>
      </c>
      <c r="BD4200" s="743" t="str">
        <f t="shared" si="1456"/>
        <v/>
      </c>
      <c r="BE4200" s="743" t="str">
        <f>IF(D4200="","",VLOOKUP(D4200,'General Basis'!$J$39:$K$46,2,0))</f>
        <v/>
      </c>
      <c r="BF4200" s="744" t="str">
        <f>IF(D4200="","",VLOOKUP(D4200,'General Basis'!$J$39:$L$46,3,0))</f>
        <v/>
      </c>
      <c r="BG4200" s="744" t="str">
        <f t="shared" si="1463"/>
        <v/>
      </c>
      <c r="BH4200" s="744" t="str">
        <f>IF(G4200="","",IF(BF4200="Abu Dhabi",IF(G4200&lt;18,'General Basis'!$C$39,IF(G4200&lt;41,'General Basis'!$C$40,IF(G4200&lt;60,'General Basis'!$C$41,IF(G4200&lt;65,'General Basis'!$C$42,'General Basis'!$C$43)))),IF(G4200&lt;11,'General Basis'!$B$39,IF(G4200&lt;18,'General Basis'!$B$40,IF(G4200&lt;26,'General Basis'!$B$41,IF(G4200&lt;31,'General Basis'!$B$42,IF(G4200&lt;36,'General Basis'!$B$43,IF(G4200&lt;41,'General Basis'!$B$44,IF(G4200&lt;46,'General Basis'!$B$45,IF(G4200&lt;51,'General Basis'!$B$46,IF(G4200&lt;56,'General Basis'!$B$47,IF(G4200&lt;60,'General Basis'!$B$48,IF(G4200&lt;65,'General Basis'!$B$49,'General Basis'!$B$50)))))))))))))</f>
        <v/>
      </c>
      <c r="BI4200" s="744" t="str">
        <f t="shared" si="1457"/>
        <v/>
      </c>
      <c r="BJ4200" s="747" t="str">
        <f t="shared" si="1464"/>
        <v/>
      </c>
      <c r="BK4200" s="498" t="str">
        <f t="shared" si="1458"/>
        <v/>
      </c>
      <c r="BL4200" s="498" t="str">
        <f t="shared" si="1459"/>
        <v/>
      </c>
    </row>
    <row r="4201" spans="1:64" x14ac:dyDescent="0.25">
      <c r="A4201" s="762">
        <f t="shared" si="1460"/>
        <v>4196</v>
      </c>
      <c r="B4201" s="229"/>
      <c r="C4201" s="223"/>
      <c r="D4201" s="224"/>
      <c r="E4201" s="225"/>
      <c r="F4201" s="1036" t="str">
        <f t="shared" si="1466"/>
        <v/>
      </c>
      <c r="G4201" s="1037" t="str">
        <f t="shared" si="1461"/>
        <v/>
      </c>
      <c r="H4201" s="225"/>
      <c r="I4201" s="1013"/>
      <c r="J4201" s="1013"/>
      <c r="K4201" s="1028"/>
      <c r="L4201" s="1035" t="str">
        <f t="shared" si="1465"/>
        <v/>
      </c>
      <c r="S4201" s="498"/>
      <c r="AJ4201" s="498"/>
      <c r="AM4201" s="498">
        <f t="shared" si="1446"/>
        <v>0</v>
      </c>
      <c r="AN4201" s="498">
        <f t="shared" si="1447"/>
        <v>0</v>
      </c>
      <c r="AO4201" s="498">
        <f t="shared" si="1448"/>
        <v>0</v>
      </c>
      <c r="AP4201" s="498">
        <f t="shared" si="1467"/>
        <v>0</v>
      </c>
      <c r="AQ4201" s="498">
        <f t="shared" si="1462"/>
        <v>0</v>
      </c>
      <c r="AU4201" s="498">
        <f t="shared" si="1449"/>
        <v>0</v>
      </c>
      <c r="AV4201" s="498">
        <f t="shared" si="1450"/>
        <v>0</v>
      </c>
      <c r="AW4201" s="498">
        <f t="shared" si="1451"/>
        <v>0</v>
      </c>
      <c r="AX4201" s="498">
        <f t="shared" si="1452"/>
        <v>0</v>
      </c>
      <c r="AY4201" s="498">
        <f t="shared" si="1453"/>
        <v>0</v>
      </c>
      <c r="BB4201" s="498" t="str">
        <f t="shared" si="1454"/>
        <v/>
      </c>
      <c r="BC4201" s="743" t="str">
        <f t="shared" si="1455"/>
        <v/>
      </c>
      <c r="BD4201" s="743" t="str">
        <f t="shared" si="1456"/>
        <v/>
      </c>
      <c r="BE4201" s="743" t="str">
        <f>IF(D4201="","",VLOOKUP(D4201,'General Basis'!$J$39:$K$46,2,0))</f>
        <v/>
      </c>
      <c r="BF4201" s="744" t="str">
        <f>IF(D4201="","",VLOOKUP(D4201,'General Basis'!$J$39:$L$46,3,0))</f>
        <v/>
      </c>
      <c r="BG4201" s="744" t="str">
        <f t="shared" si="1463"/>
        <v/>
      </c>
      <c r="BH4201" s="744" t="str">
        <f>IF(G4201="","",IF(BF4201="Abu Dhabi",IF(G4201&lt;18,'General Basis'!$C$39,IF(G4201&lt;41,'General Basis'!$C$40,IF(G4201&lt;60,'General Basis'!$C$41,IF(G4201&lt;65,'General Basis'!$C$42,'General Basis'!$C$43)))),IF(G4201&lt;11,'General Basis'!$B$39,IF(G4201&lt;18,'General Basis'!$B$40,IF(G4201&lt;26,'General Basis'!$B$41,IF(G4201&lt;31,'General Basis'!$B$42,IF(G4201&lt;36,'General Basis'!$B$43,IF(G4201&lt;41,'General Basis'!$B$44,IF(G4201&lt;46,'General Basis'!$B$45,IF(G4201&lt;51,'General Basis'!$B$46,IF(G4201&lt;56,'General Basis'!$B$47,IF(G4201&lt;60,'General Basis'!$B$48,IF(G4201&lt;65,'General Basis'!$B$49,'General Basis'!$B$50)))))))))))))</f>
        <v/>
      </c>
      <c r="BI4201" s="744" t="str">
        <f t="shared" si="1457"/>
        <v/>
      </c>
      <c r="BJ4201" s="747" t="str">
        <f t="shared" si="1464"/>
        <v/>
      </c>
      <c r="BK4201" s="498" t="str">
        <f t="shared" si="1458"/>
        <v/>
      </c>
      <c r="BL4201" s="498" t="str">
        <f t="shared" si="1459"/>
        <v/>
      </c>
    </row>
    <row r="4202" spans="1:64" x14ac:dyDescent="0.25">
      <c r="A4202" s="762">
        <f t="shared" si="1460"/>
        <v>4197</v>
      </c>
      <c r="B4202" s="229"/>
      <c r="C4202" s="223"/>
      <c r="D4202" s="224"/>
      <c r="E4202" s="225"/>
      <c r="F4202" s="1036" t="str">
        <f t="shared" si="1466"/>
        <v/>
      </c>
      <c r="G4202" s="1037" t="str">
        <f t="shared" si="1461"/>
        <v/>
      </c>
      <c r="H4202" s="225"/>
      <c r="I4202" s="1013"/>
      <c r="J4202" s="1013"/>
      <c r="K4202" s="1028"/>
      <c r="L4202" s="1035" t="str">
        <f t="shared" si="1465"/>
        <v/>
      </c>
      <c r="S4202" s="498"/>
      <c r="AJ4202" s="498"/>
      <c r="AM4202" s="498">
        <f t="shared" si="1446"/>
        <v>0</v>
      </c>
      <c r="AN4202" s="498">
        <f t="shared" si="1447"/>
        <v>0</v>
      </c>
      <c r="AO4202" s="498">
        <f t="shared" si="1448"/>
        <v>0</v>
      </c>
      <c r="AP4202" s="498">
        <f t="shared" si="1467"/>
        <v>0</v>
      </c>
      <c r="AQ4202" s="498">
        <f t="shared" si="1462"/>
        <v>0</v>
      </c>
      <c r="AU4202" s="498">
        <f t="shared" si="1449"/>
        <v>0</v>
      </c>
      <c r="AV4202" s="498">
        <f t="shared" si="1450"/>
        <v>0</v>
      </c>
      <c r="AW4202" s="498">
        <f t="shared" si="1451"/>
        <v>0</v>
      </c>
      <c r="AX4202" s="498">
        <f t="shared" si="1452"/>
        <v>0</v>
      </c>
      <c r="AY4202" s="498">
        <f t="shared" si="1453"/>
        <v>0</v>
      </c>
      <c r="BB4202" s="498" t="str">
        <f t="shared" si="1454"/>
        <v/>
      </c>
      <c r="BC4202" s="743" t="str">
        <f t="shared" si="1455"/>
        <v/>
      </c>
      <c r="BD4202" s="743" t="str">
        <f t="shared" si="1456"/>
        <v/>
      </c>
      <c r="BE4202" s="743" t="str">
        <f>IF(D4202="","",VLOOKUP(D4202,'General Basis'!$J$39:$K$46,2,0))</f>
        <v/>
      </c>
      <c r="BF4202" s="744" t="str">
        <f>IF(D4202="","",VLOOKUP(D4202,'General Basis'!$J$39:$L$46,3,0))</f>
        <v/>
      </c>
      <c r="BG4202" s="744" t="str">
        <f t="shared" si="1463"/>
        <v/>
      </c>
      <c r="BH4202" s="744" t="str">
        <f>IF(G4202="","",IF(BF4202="Abu Dhabi",IF(G4202&lt;18,'General Basis'!$C$39,IF(G4202&lt;41,'General Basis'!$C$40,IF(G4202&lt;60,'General Basis'!$C$41,IF(G4202&lt;65,'General Basis'!$C$42,'General Basis'!$C$43)))),IF(G4202&lt;11,'General Basis'!$B$39,IF(G4202&lt;18,'General Basis'!$B$40,IF(G4202&lt;26,'General Basis'!$B$41,IF(G4202&lt;31,'General Basis'!$B$42,IF(G4202&lt;36,'General Basis'!$B$43,IF(G4202&lt;41,'General Basis'!$B$44,IF(G4202&lt;46,'General Basis'!$B$45,IF(G4202&lt;51,'General Basis'!$B$46,IF(G4202&lt;56,'General Basis'!$B$47,IF(G4202&lt;60,'General Basis'!$B$48,IF(G4202&lt;65,'General Basis'!$B$49,'General Basis'!$B$50)))))))))))))</f>
        <v/>
      </c>
      <c r="BI4202" s="744" t="str">
        <f t="shared" si="1457"/>
        <v/>
      </c>
      <c r="BJ4202" s="747" t="str">
        <f t="shared" si="1464"/>
        <v/>
      </c>
      <c r="BK4202" s="498" t="str">
        <f t="shared" si="1458"/>
        <v/>
      </c>
      <c r="BL4202" s="498" t="str">
        <f t="shared" si="1459"/>
        <v/>
      </c>
    </row>
    <row r="4203" spans="1:64" x14ac:dyDescent="0.25">
      <c r="A4203" s="762">
        <f t="shared" si="1460"/>
        <v>4198</v>
      </c>
      <c r="B4203" s="229"/>
      <c r="C4203" s="223"/>
      <c r="D4203" s="224"/>
      <c r="E4203" s="225"/>
      <c r="F4203" s="1036" t="str">
        <f t="shared" si="1466"/>
        <v/>
      </c>
      <c r="G4203" s="1037" t="str">
        <f t="shared" si="1461"/>
        <v/>
      </c>
      <c r="H4203" s="225"/>
      <c r="I4203" s="1013"/>
      <c r="J4203" s="1013"/>
      <c r="K4203" s="1028"/>
      <c r="L4203" s="1035" t="str">
        <f t="shared" si="1465"/>
        <v/>
      </c>
      <c r="S4203" s="498"/>
      <c r="AJ4203" s="498"/>
      <c r="AM4203" s="498">
        <f t="shared" si="1446"/>
        <v>0</v>
      </c>
      <c r="AN4203" s="498">
        <f t="shared" si="1447"/>
        <v>0</v>
      </c>
      <c r="AO4203" s="498">
        <f t="shared" si="1448"/>
        <v>0</v>
      </c>
      <c r="AP4203" s="498">
        <f t="shared" si="1467"/>
        <v>0</v>
      </c>
      <c r="AQ4203" s="498">
        <f t="shared" si="1462"/>
        <v>0</v>
      </c>
      <c r="AU4203" s="498">
        <f t="shared" si="1449"/>
        <v>0</v>
      </c>
      <c r="AV4203" s="498">
        <f t="shared" si="1450"/>
        <v>0</v>
      </c>
      <c r="AW4203" s="498">
        <f t="shared" si="1451"/>
        <v>0</v>
      </c>
      <c r="AX4203" s="498">
        <f t="shared" si="1452"/>
        <v>0</v>
      </c>
      <c r="AY4203" s="498">
        <f t="shared" si="1453"/>
        <v>0</v>
      </c>
      <c r="BB4203" s="498" t="str">
        <f t="shared" si="1454"/>
        <v/>
      </c>
      <c r="BC4203" s="743" t="str">
        <f t="shared" si="1455"/>
        <v/>
      </c>
      <c r="BD4203" s="743" t="str">
        <f t="shared" si="1456"/>
        <v/>
      </c>
      <c r="BE4203" s="743" t="str">
        <f>IF(D4203="","",VLOOKUP(D4203,'General Basis'!$J$39:$K$46,2,0))</f>
        <v/>
      </c>
      <c r="BF4203" s="744" t="str">
        <f>IF(D4203="","",VLOOKUP(D4203,'General Basis'!$J$39:$L$46,3,0))</f>
        <v/>
      </c>
      <c r="BG4203" s="744" t="str">
        <f t="shared" si="1463"/>
        <v/>
      </c>
      <c r="BH4203" s="744" t="str">
        <f>IF(G4203="","",IF(BF4203="Abu Dhabi",IF(G4203&lt;18,'General Basis'!$C$39,IF(G4203&lt;41,'General Basis'!$C$40,IF(G4203&lt;60,'General Basis'!$C$41,IF(G4203&lt;65,'General Basis'!$C$42,'General Basis'!$C$43)))),IF(G4203&lt;11,'General Basis'!$B$39,IF(G4203&lt;18,'General Basis'!$B$40,IF(G4203&lt;26,'General Basis'!$B$41,IF(G4203&lt;31,'General Basis'!$B$42,IF(G4203&lt;36,'General Basis'!$B$43,IF(G4203&lt;41,'General Basis'!$B$44,IF(G4203&lt;46,'General Basis'!$B$45,IF(G4203&lt;51,'General Basis'!$B$46,IF(G4203&lt;56,'General Basis'!$B$47,IF(G4203&lt;60,'General Basis'!$B$48,IF(G4203&lt;65,'General Basis'!$B$49,'General Basis'!$B$50)))))))))))))</f>
        <v/>
      </c>
      <c r="BI4203" s="744" t="str">
        <f t="shared" si="1457"/>
        <v/>
      </c>
      <c r="BJ4203" s="747" t="str">
        <f t="shared" si="1464"/>
        <v/>
      </c>
      <c r="BK4203" s="498" t="str">
        <f t="shared" si="1458"/>
        <v/>
      </c>
      <c r="BL4203" s="498" t="str">
        <f t="shared" si="1459"/>
        <v/>
      </c>
    </row>
    <row r="4204" spans="1:64" x14ac:dyDescent="0.25">
      <c r="A4204" s="762">
        <f t="shared" si="1460"/>
        <v>4199</v>
      </c>
      <c r="B4204" s="229"/>
      <c r="C4204" s="223"/>
      <c r="D4204" s="224"/>
      <c r="E4204" s="225"/>
      <c r="F4204" s="1036" t="str">
        <f t="shared" si="1466"/>
        <v/>
      </c>
      <c r="G4204" s="1037" t="str">
        <f t="shared" si="1461"/>
        <v/>
      </c>
      <c r="H4204" s="225"/>
      <c r="I4204" s="1013"/>
      <c r="J4204" s="1013"/>
      <c r="K4204" s="1028"/>
      <c r="L4204" s="1035" t="str">
        <f t="shared" si="1465"/>
        <v/>
      </c>
      <c r="S4204" s="498"/>
      <c r="AJ4204" s="498"/>
      <c r="AM4204" s="498">
        <f t="shared" si="1446"/>
        <v>0</v>
      </c>
      <c r="AN4204" s="498">
        <f t="shared" si="1447"/>
        <v>0</v>
      </c>
      <c r="AO4204" s="498">
        <f t="shared" si="1448"/>
        <v>0</v>
      </c>
      <c r="AP4204" s="498">
        <f t="shared" si="1467"/>
        <v>0</v>
      </c>
      <c r="AQ4204" s="498">
        <f t="shared" si="1462"/>
        <v>0</v>
      </c>
      <c r="AU4204" s="498">
        <f t="shared" si="1449"/>
        <v>0</v>
      </c>
      <c r="AV4204" s="498">
        <f t="shared" si="1450"/>
        <v>0</v>
      </c>
      <c r="AW4204" s="498">
        <f t="shared" si="1451"/>
        <v>0</v>
      </c>
      <c r="AX4204" s="498">
        <f t="shared" si="1452"/>
        <v>0</v>
      </c>
      <c r="AY4204" s="498">
        <f t="shared" si="1453"/>
        <v>0</v>
      </c>
      <c r="BB4204" s="498" t="str">
        <f t="shared" si="1454"/>
        <v/>
      </c>
      <c r="BC4204" s="743" t="str">
        <f t="shared" si="1455"/>
        <v/>
      </c>
      <c r="BD4204" s="743" t="str">
        <f t="shared" si="1456"/>
        <v/>
      </c>
      <c r="BE4204" s="743" t="str">
        <f>IF(D4204="","",VLOOKUP(D4204,'General Basis'!$J$39:$K$46,2,0))</f>
        <v/>
      </c>
      <c r="BF4204" s="744" t="str">
        <f>IF(D4204="","",VLOOKUP(D4204,'General Basis'!$J$39:$L$46,3,0))</f>
        <v/>
      </c>
      <c r="BG4204" s="744" t="str">
        <f t="shared" si="1463"/>
        <v/>
      </c>
      <c r="BH4204" s="744" t="str">
        <f>IF(G4204="","",IF(BF4204="Abu Dhabi",IF(G4204&lt;18,'General Basis'!$C$39,IF(G4204&lt;41,'General Basis'!$C$40,IF(G4204&lt;60,'General Basis'!$C$41,IF(G4204&lt;65,'General Basis'!$C$42,'General Basis'!$C$43)))),IF(G4204&lt;11,'General Basis'!$B$39,IF(G4204&lt;18,'General Basis'!$B$40,IF(G4204&lt;26,'General Basis'!$B$41,IF(G4204&lt;31,'General Basis'!$B$42,IF(G4204&lt;36,'General Basis'!$B$43,IF(G4204&lt;41,'General Basis'!$B$44,IF(G4204&lt;46,'General Basis'!$B$45,IF(G4204&lt;51,'General Basis'!$B$46,IF(G4204&lt;56,'General Basis'!$B$47,IF(G4204&lt;60,'General Basis'!$B$48,IF(G4204&lt;65,'General Basis'!$B$49,'General Basis'!$B$50)))))))))))))</f>
        <v/>
      </c>
      <c r="BI4204" s="744" t="str">
        <f t="shared" si="1457"/>
        <v/>
      </c>
      <c r="BJ4204" s="747" t="str">
        <f t="shared" si="1464"/>
        <v/>
      </c>
      <c r="BK4204" s="498" t="str">
        <f t="shared" si="1458"/>
        <v/>
      </c>
      <c r="BL4204" s="498" t="str">
        <f t="shared" si="1459"/>
        <v/>
      </c>
    </row>
    <row r="4205" spans="1:64" x14ac:dyDescent="0.25">
      <c r="A4205" s="762">
        <f t="shared" si="1460"/>
        <v>4200</v>
      </c>
      <c r="B4205" s="229"/>
      <c r="C4205" s="223"/>
      <c r="D4205" s="224"/>
      <c r="E4205" s="225"/>
      <c r="F4205" s="1036" t="str">
        <f t="shared" si="1466"/>
        <v/>
      </c>
      <c r="G4205" s="1037" t="str">
        <f t="shared" si="1461"/>
        <v/>
      </c>
      <c r="H4205" s="225"/>
      <c r="I4205" s="1013"/>
      <c r="J4205" s="1013"/>
      <c r="K4205" s="1028"/>
      <c r="L4205" s="1035" t="str">
        <f t="shared" si="1465"/>
        <v/>
      </c>
      <c r="S4205" s="498"/>
      <c r="AJ4205" s="498"/>
      <c r="AM4205" s="498">
        <f t="shared" si="1446"/>
        <v>0</v>
      </c>
      <c r="AN4205" s="498">
        <f t="shared" si="1447"/>
        <v>0</v>
      </c>
      <c r="AO4205" s="498">
        <f t="shared" si="1448"/>
        <v>0</v>
      </c>
      <c r="AP4205" s="498">
        <f t="shared" si="1467"/>
        <v>0</v>
      </c>
      <c r="AQ4205" s="498">
        <f t="shared" si="1462"/>
        <v>0</v>
      </c>
      <c r="AU4205" s="498">
        <f t="shared" si="1449"/>
        <v>0</v>
      </c>
      <c r="AV4205" s="498">
        <f t="shared" si="1450"/>
        <v>0</v>
      </c>
      <c r="AW4205" s="498">
        <f t="shared" si="1451"/>
        <v>0</v>
      </c>
      <c r="AX4205" s="498">
        <f t="shared" si="1452"/>
        <v>0</v>
      </c>
      <c r="AY4205" s="498">
        <f t="shared" si="1453"/>
        <v>0</v>
      </c>
      <c r="BB4205" s="498" t="str">
        <f t="shared" si="1454"/>
        <v/>
      </c>
      <c r="BC4205" s="743" t="str">
        <f t="shared" si="1455"/>
        <v/>
      </c>
      <c r="BD4205" s="743" t="str">
        <f t="shared" si="1456"/>
        <v/>
      </c>
      <c r="BE4205" s="743" t="str">
        <f>IF(D4205="","",VLOOKUP(D4205,'General Basis'!$J$39:$K$46,2,0))</f>
        <v/>
      </c>
      <c r="BF4205" s="744" t="str">
        <f>IF(D4205="","",VLOOKUP(D4205,'General Basis'!$J$39:$L$46,3,0))</f>
        <v/>
      </c>
      <c r="BG4205" s="744" t="str">
        <f t="shared" si="1463"/>
        <v/>
      </c>
      <c r="BH4205" s="744" t="str">
        <f>IF(G4205="","",IF(BF4205="Abu Dhabi",IF(G4205&lt;18,'General Basis'!$C$39,IF(G4205&lt;41,'General Basis'!$C$40,IF(G4205&lt;60,'General Basis'!$C$41,IF(G4205&lt;65,'General Basis'!$C$42,'General Basis'!$C$43)))),IF(G4205&lt;11,'General Basis'!$B$39,IF(G4205&lt;18,'General Basis'!$B$40,IF(G4205&lt;26,'General Basis'!$B$41,IF(G4205&lt;31,'General Basis'!$B$42,IF(G4205&lt;36,'General Basis'!$B$43,IF(G4205&lt;41,'General Basis'!$B$44,IF(G4205&lt;46,'General Basis'!$B$45,IF(G4205&lt;51,'General Basis'!$B$46,IF(G4205&lt;56,'General Basis'!$B$47,IF(G4205&lt;60,'General Basis'!$B$48,IF(G4205&lt;65,'General Basis'!$B$49,'General Basis'!$B$50)))))))))))))</f>
        <v/>
      </c>
      <c r="BI4205" s="744" t="str">
        <f t="shared" si="1457"/>
        <v/>
      </c>
      <c r="BJ4205" s="747" t="str">
        <f t="shared" si="1464"/>
        <v/>
      </c>
      <c r="BK4205" s="498" t="str">
        <f t="shared" si="1458"/>
        <v/>
      </c>
      <c r="BL4205" s="498" t="str">
        <f t="shared" si="1459"/>
        <v/>
      </c>
    </row>
    <row r="4206" spans="1:64" x14ac:dyDescent="0.25">
      <c r="A4206" s="762">
        <f t="shared" si="1460"/>
        <v>4201</v>
      </c>
      <c r="B4206" s="229"/>
      <c r="C4206" s="223"/>
      <c r="D4206" s="224"/>
      <c r="E4206" s="225"/>
      <c r="F4206" s="1036" t="str">
        <f t="shared" si="1466"/>
        <v/>
      </c>
      <c r="G4206" s="1037" t="str">
        <f t="shared" si="1461"/>
        <v/>
      </c>
      <c r="H4206" s="225"/>
      <c r="I4206" s="1013"/>
      <c r="J4206" s="1013"/>
      <c r="K4206" s="1028"/>
      <c r="L4206" s="1035" t="str">
        <f t="shared" si="1465"/>
        <v/>
      </c>
      <c r="S4206" s="498"/>
      <c r="AJ4206" s="498"/>
      <c r="AM4206" s="498">
        <f t="shared" si="1446"/>
        <v>0</v>
      </c>
      <c r="AN4206" s="498">
        <f t="shared" si="1447"/>
        <v>0</v>
      </c>
      <c r="AO4206" s="498">
        <f t="shared" si="1448"/>
        <v>0</v>
      </c>
      <c r="AP4206" s="498">
        <f t="shared" si="1467"/>
        <v>0</v>
      </c>
      <c r="AQ4206" s="498">
        <f t="shared" si="1462"/>
        <v>0</v>
      </c>
      <c r="AU4206" s="498">
        <f t="shared" si="1449"/>
        <v>0</v>
      </c>
      <c r="AV4206" s="498">
        <f t="shared" si="1450"/>
        <v>0</v>
      </c>
      <c r="AW4206" s="498">
        <f t="shared" si="1451"/>
        <v>0</v>
      </c>
      <c r="AX4206" s="498">
        <f t="shared" si="1452"/>
        <v>0</v>
      </c>
      <c r="AY4206" s="498">
        <f t="shared" si="1453"/>
        <v>0</v>
      </c>
      <c r="BB4206" s="498" t="str">
        <f t="shared" si="1454"/>
        <v/>
      </c>
      <c r="BC4206" s="743" t="str">
        <f t="shared" si="1455"/>
        <v/>
      </c>
      <c r="BD4206" s="743" t="str">
        <f t="shared" si="1456"/>
        <v/>
      </c>
      <c r="BE4206" s="743" t="str">
        <f>IF(D4206="","",VLOOKUP(D4206,'General Basis'!$J$39:$K$46,2,0))</f>
        <v/>
      </c>
      <c r="BF4206" s="744" t="str">
        <f>IF(D4206="","",VLOOKUP(D4206,'General Basis'!$J$39:$L$46,3,0))</f>
        <v/>
      </c>
      <c r="BG4206" s="744" t="str">
        <f t="shared" si="1463"/>
        <v/>
      </c>
      <c r="BH4206" s="744" t="str">
        <f>IF(G4206="","",IF(BF4206="Abu Dhabi",IF(G4206&lt;18,'General Basis'!$C$39,IF(G4206&lt;41,'General Basis'!$C$40,IF(G4206&lt;60,'General Basis'!$C$41,IF(G4206&lt;65,'General Basis'!$C$42,'General Basis'!$C$43)))),IF(G4206&lt;11,'General Basis'!$B$39,IF(G4206&lt;18,'General Basis'!$B$40,IF(G4206&lt;26,'General Basis'!$B$41,IF(G4206&lt;31,'General Basis'!$B$42,IF(G4206&lt;36,'General Basis'!$B$43,IF(G4206&lt;41,'General Basis'!$B$44,IF(G4206&lt;46,'General Basis'!$B$45,IF(G4206&lt;51,'General Basis'!$B$46,IF(G4206&lt;56,'General Basis'!$B$47,IF(G4206&lt;60,'General Basis'!$B$48,IF(G4206&lt;65,'General Basis'!$B$49,'General Basis'!$B$50)))))))))))))</f>
        <v/>
      </c>
      <c r="BI4206" s="744" t="str">
        <f t="shared" si="1457"/>
        <v/>
      </c>
      <c r="BJ4206" s="747" t="str">
        <f t="shared" si="1464"/>
        <v/>
      </c>
      <c r="BK4206" s="498" t="str">
        <f t="shared" si="1458"/>
        <v/>
      </c>
      <c r="BL4206" s="498" t="str">
        <f t="shared" si="1459"/>
        <v/>
      </c>
    </row>
    <row r="4207" spans="1:64" x14ac:dyDescent="0.25">
      <c r="A4207" s="762">
        <f t="shared" si="1460"/>
        <v>4202</v>
      </c>
      <c r="B4207" s="229"/>
      <c r="C4207" s="223"/>
      <c r="D4207" s="224"/>
      <c r="E4207" s="225"/>
      <c r="F4207" s="1036" t="str">
        <f t="shared" si="1466"/>
        <v/>
      </c>
      <c r="G4207" s="1037" t="str">
        <f t="shared" si="1461"/>
        <v/>
      </c>
      <c r="H4207" s="225"/>
      <c r="I4207" s="1013"/>
      <c r="J4207" s="1013"/>
      <c r="K4207" s="1028"/>
      <c r="L4207" s="1035" t="str">
        <f t="shared" si="1465"/>
        <v/>
      </c>
      <c r="S4207" s="498"/>
      <c r="AJ4207" s="498"/>
      <c r="AM4207" s="498">
        <f t="shared" si="1446"/>
        <v>0</v>
      </c>
      <c r="AN4207" s="498">
        <f t="shared" si="1447"/>
        <v>0</v>
      </c>
      <c r="AO4207" s="498">
        <f t="shared" si="1448"/>
        <v>0</v>
      </c>
      <c r="AP4207" s="498">
        <f t="shared" si="1467"/>
        <v>0</v>
      </c>
      <c r="AQ4207" s="498">
        <f t="shared" si="1462"/>
        <v>0</v>
      </c>
      <c r="AU4207" s="498">
        <f t="shared" si="1449"/>
        <v>0</v>
      </c>
      <c r="AV4207" s="498">
        <f t="shared" si="1450"/>
        <v>0</v>
      </c>
      <c r="AW4207" s="498">
        <f t="shared" si="1451"/>
        <v>0</v>
      </c>
      <c r="AX4207" s="498">
        <f t="shared" si="1452"/>
        <v>0</v>
      </c>
      <c r="AY4207" s="498">
        <f t="shared" si="1453"/>
        <v>0</v>
      </c>
      <c r="BB4207" s="498" t="str">
        <f t="shared" si="1454"/>
        <v/>
      </c>
      <c r="BC4207" s="743" t="str">
        <f t="shared" si="1455"/>
        <v/>
      </c>
      <c r="BD4207" s="743" t="str">
        <f t="shared" si="1456"/>
        <v/>
      </c>
      <c r="BE4207" s="743" t="str">
        <f>IF(D4207="","",VLOOKUP(D4207,'General Basis'!$J$39:$K$46,2,0))</f>
        <v/>
      </c>
      <c r="BF4207" s="744" t="str">
        <f>IF(D4207="","",VLOOKUP(D4207,'General Basis'!$J$39:$L$46,3,0))</f>
        <v/>
      </c>
      <c r="BG4207" s="744" t="str">
        <f t="shared" si="1463"/>
        <v/>
      </c>
      <c r="BH4207" s="744" t="str">
        <f>IF(G4207="","",IF(BF4207="Abu Dhabi",IF(G4207&lt;18,'General Basis'!$C$39,IF(G4207&lt;41,'General Basis'!$C$40,IF(G4207&lt;60,'General Basis'!$C$41,IF(G4207&lt;65,'General Basis'!$C$42,'General Basis'!$C$43)))),IF(G4207&lt;11,'General Basis'!$B$39,IF(G4207&lt;18,'General Basis'!$B$40,IF(G4207&lt;26,'General Basis'!$B$41,IF(G4207&lt;31,'General Basis'!$B$42,IF(G4207&lt;36,'General Basis'!$B$43,IF(G4207&lt;41,'General Basis'!$B$44,IF(G4207&lt;46,'General Basis'!$B$45,IF(G4207&lt;51,'General Basis'!$B$46,IF(G4207&lt;56,'General Basis'!$B$47,IF(G4207&lt;60,'General Basis'!$B$48,IF(G4207&lt;65,'General Basis'!$B$49,'General Basis'!$B$50)))))))))))))</f>
        <v/>
      </c>
      <c r="BI4207" s="744" t="str">
        <f t="shared" si="1457"/>
        <v/>
      </c>
      <c r="BJ4207" s="747" t="str">
        <f t="shared" si="1464"/>
        <v/>
      </c>
      <c r="BK4207" s="498" t="str">
        <f t="shared" si="1458"/>
        <v/>
      </c>
      <c r="BL4207" s="498" t="str">
        <f t="shared" si="1459"/>
        <v/>
      </c>
    </row>
    <row r="4208" spans="1:64" x14ac:dyDescent="0.25">
      <c r="A4208" s="762">
        <f t="shared" si="1460"/>
        <v>4203</v>
      </c>
      <c r="B4208" s="229"/>
      <c r="C4208" s="223"/>
      <c r="D4208" s="224"/>
      <c r="E4208" s="225"/>
      <c r="F4208" s="1036" t="str">
        <f t="shared" si="1466"/>
        <v/>
      </c>
      <c r="G4208" s="1037" t="str">
        <f t="shared" si="1461"/>
        <v/>
      </c>
      <c r="H4208" s="225"/>
      <c r="I4208" s="1013"/>
      <c r="J4208" s="1013"/>
      <c r="K4208" s="1028"/>
      <c r="L4208" s="1035" t="str">
        <f t="shared" si="1465"/>
        <v/>
      </c>
      <c r="S4208" s="498"/>
      <c r="AJ4208" s="498"/>
      <c r="AM4208" s="498">
        <f t="shared" si="1446"/>
        <v>0</v>
      </c>
      <c r="AN4208" s="498">
        <f t="shared" si="1447"/>
        <v>0</v>
      </c>
      <c r="AO4208" s="498">
        <f t="shared" si="1448"/>
        <v>0</v>
      </c>
      <c r="AP4208" s="498">
        <f t="shared" si="1467"/>
        <v>0</v>
      </c>
      <c r="AQ4208" s="498">
        <f t="shared" si="1462"/>
        <v>0</v>
      </c>
      <c r="AU4208" s="498">
        <f t="shared" si="1449"/>
        <v>0</v>
      </c>
      <c r="AV4208" s="498">
        <f t="shared" si="1450"/>
        <v>0</v>
      </c>
      <c r="AW4208" s="498">
        <f t="shared" si="1451"/>
        <v>0</v>
      </c>
      <c r="AX4208" s="498">
        <f t="shared" si="1452"/>
        <v>0</v>
      </c>
      <c r="AY4208" s="498">
        <f t="shared" si="1453"/>
        <v>0</v>
      </c>
      <c r="BB4208" s="498" t="str">
        <f t="shared" si="1454"/>
        <v/>
      </c>
      <c r="BC4208" s="743" t="str">
        <f t="shared" si="1455"/>
        <v/>
      </c>
      <c r="BD4208" s="743" t="str">
        <f t="shared" si="1456"/>
        <v/>
      </c>
      <c r="BE4208" s="743" t="str">
        <f>IF(D4208="","",VLOOKUP(D4208,'General Basis'!$J$39:$K$46,2,0))</f>
        <v/>
      </c>
      <c r="BF4208" s="744" t="str">
        <f>IF(D4208="","",VLOOKUP(D4208,'General Basis'!$J$39:$L$46,3,0))</f>
        <v/>
      </c>
      <c r="BG4208" s="744" t="str">
        <f t="shared" si="1463"/>
        <v/>
      </c>
      <c r="BH4208" s="744" t="str">
        <f>IF(G4208="","",IF(BF4208="Abu Dhabi",IF(G4208&lt;18,'General Basis'!$C$39,IF(G4208&lt;41,'General Basis'!$C$40,IF(G4208&lt;60,'General Basis'!$C$41,IF(G4208&lt;65,'General Basis'!$C$42,'General Basis'!$C$43)))),IF(G4208&lt;11,'General Basis'!$B$39,IF(G4208&lt;18,'General Basis'!$B$40,IF(G4208&lt;26,'General Basis'!$B$41,IF(G4208&lt;31,'General Basis'!$B$42,IF(G4208&lt;36,'General Basis'!$B$43,IF(G4208&lt;41,'General Basis'!$B$44,IF(G4208&lt;46,'General Basis'!$B$45,IF(G4208&lt;51,'General Basis'!$B$46,IF(G4208&lt;56,'General Basis'!$B$47,IF(G4208&lt;60,'General Basis'!$B$48,IF(G4208&lt;65,'General Basis'!$B$49,'General Basis'!$B$50)))))))))))))</f>
        <v/>
      </c>
      <c r="BI4208" s="744" t="str">
        <f t="shared" si="1457"/>
        <v/>
      </c>
      <c r="BJ4208" s="747" t="str">
        <f t="shared" si="1464"/>
        <v/>
      </c>
      <c r="BK4208" s="498" t="str">
        <f t="shared" si="1458"/>
        <v/>
      </c>
      <c r="BL4208" s="498" t="str">
        <f t="shared" si="1459"/>
        <v/>
      </c>
    </row>
    <row r="4209" spans="1:64" x14ac:dyDescent="0.25">
      <c r="A4209" s="762">
        <f t="shared" si="1460"/>
        <v>4204</v>
      </c>
      <c r="B4209" s="229"/>
      <c r="C4209" s="223"/>
      <c r="D4209" s="224"/>
      <c r="E4209" s="225"/>
      <c r="F4209" s="1036" t="str">
        <f t="shared" si="1466"/>
        <v/>
      </c>
      <c r="G4209" s="1037" t="str">
        <f t="shared" si="1461"/>
        <v/>
      </c>
      <c r="H4209" s="225"/>
      <c r="I4209" s="1013"/>
      <c r="J4209" s="1013"/>
      <c r="K4209" s="1028"/>
      <c r="L4209" s="1035" t="str">
        <f t="shared" si="1465"/>
        <v/>
      </c>
      <c r="S4209" s="498"/>
      <c r="AJ4209" s="498"/>
      <c r="AM4209" s="498">
        <f t="shared" si="1446"/>
        <v>0</v>
      </c>
      <c r="AN4209" s="498">
        <f t="shared" si="1447"/>
        <v>0</v>
      </c>
      <c r="AO4209" s="498">
        <f t="shared" si="1448"/>
        <v>0</v>
      </c>
      <c r="AP4209" s="498">
        <f t="shared" si="1467"/>
        <v>0</v>
      </c>
      <c r="AQ4209" s="498">
        <f t="shared" si="1462"/>
        <v>0</v>
      </c>
      <c r="AU4209" s="498">
        <f t="shared" si="1449"/>
        <v>0</v>
      </c>
      <c r="AV4209" s="498">
        <f t="shared" si="1450"/>
        <v>0</v>
      </c>
      <c r="AW4209" s="498">
        <f t="shared" si="1451"/>
        <v>0</v>
      </c>
      <c r="AX4209" s="498">
        <f t="shared" si="1452"/>
        <v>0</v>
      </c>
      <c r="AY4209" s="498">
        <f t="shared" si="1453"/>
        <v>0</v>
      </c>
      <c r="BB4209" s="498" t="str">
        <f t="shared" si="1454"/>
        <v/>
      </c>
      <c r="BC4209" s="743" t="str">
        <f t="shared" si="1455"/>
        <v/>
      </c>
      <c r="BD4209" s="743" t="str">
        <f t="shared" si="1456"/>
        <v/>
      </c>
      <c r="BE4209" s="743" t="str">
        <f>IF(D4209="","",VLOOKUP(D4209,'General Basis'!$J$39:$K$46,2,0))</f>
        <v/>
      </c>
      <c r="BF4209" s="744" t="str">
        <f>IF(D4209="","",VLOOKUP(D4209,'General Basis'!$J$39:$L$46,3,0))</f>
        <v/>
      </c>
      <c r="BG4209" s="744" t="str">
        <f t="shared" si="1463"/>
        <v/>
      </c>
      <c r="BH4209" s="744" t="str">
        <f>IF(G4209="","",IF(BF4209="Abu Dhabi",IF(G4209&lt;18,'General Basis'!$C$39,IF(G4209&lt;41,'General Basis'!$C$40,IF(G4209&lt;60,'General Basis'!$C$41,IF(G4209&lt;65,'General Basis'!$C$42,'General Basis'!$C$43)))),IF(G4209&lt;11,'General Basis'!$B$39,IF(G4209&lt;18,'General Basis'!$B$40,IF(G4209&lt;26,'General Basis'!$B$41,IF(G4209&lt;31,'General Basis'!$B$42,IF(G4209&lt;36,'General Basis'!$B$43,IF(G4209&lt;41,'General Basis'!$B$44,IF(G4209&lt;46,'General Basis'!$B$45,IF(G4209&lt;51,'General Basis'!$B$46,IF(G4209&lt;56,'General Basis'!$B$47,IF(G4209&lt;60,'General Basis'!$B$48,IF(G4209&lt;65,'General Basis'!$B$49,'General Basis'!$B$50)))))))))))))</f>
        <v/>
      </c>
      <c r="BI4209" s="744" t="str">
        <f t="shared" si="1457"/>
        <v/>
      </c>
      <c r="BJ4209" s="747" t="str">
        <f t="shared" si="1464"/>
        <v/>
      </c>
      <c r="BK4209" s="498" t="str">
        <f t="shared" si="1458"/>
        <v/>
      </c>
      <c r="BL4209" s="498" t="str">
        <f t="shared" si="1459"/>
        <v/>
      </c>
    </row>
    <row r="4210" spans="1:64" x14ac:dyDescent="0.25">
      <c r="A4210" s="762">
        <f t="shared" si="1460"/>
        <v>4205</v>
      </c>
      <c r="B4210" s="229"/>
      <c r="C4210" s="223"/>
      <c r="D4210" s="224"/>
      <c r="E4210" s="225"/>
      <c r="F4210" s="1036" t="str">
        <f t="shared" si="1466"/>
        <v/>
      </c>
      <c r="G4210" s="1037" t="str">
        <f t="shared" si="1461"/>
        <v/>
      </c>
      <c r="H4210" s="225"/>
      <c r="I4210" s="1013"/>
      <c r="J4210" s="1013"/>
      <c r="K4210" s="1028"/>
      <c r="L4210" s="1035" t="str">
        <f t="shared" si="1465"/>
        <v/>
      </c>
      <c r="S4210" s="498"/>
      <c r="AJ4210" s="498"/>
      <c r="AM4210" s="498">
        <f t="shared" si="1446"/>
        <v>0</v>
      </c>
      <c r="AN4210" s="498">
        <f t="shared" si="1447"/>
        <v>0</v>
      </c>
      <c r="AO4210" s="498">
        <f t="shared" si="1448"/>
        <v>0</v>
      </c>
      <c r="AP4210" s="498">
        <f t="shared" si="1467"/>
        <v>0</v>
      </c>
      <c r="AQ4210" s="498">
        <f t="shared" si="1462"/>
        <v>0</v>
      </c>
      <c r="AU4210" s="498">
        <f t="shared" si="1449"/>
        <v>0</v>
      </c>
      <c r="AV4210" s="498">
        <f t="shared" si="1450"/>
        <v>0</v>
      </c>
      <c r="AW4210" s="498">
        <f t="shared" si="1451"/>
        <v>0</v>
      </c>
      <c r="AX4210" s="498">
        <f t="shared" si="1452"/>
        <v>0</v>
      </c>
      <c r="AY4210" s="498">
        <f t="shared" si="1453"/>
        <v>0</v>
      </c>
      <c r="BB4210" s="498" t="str">
        <f t="shared" si="1454"/>
        <v/>
      </c>
      <c r="BC4210" s="743" t="str">
        <f t="shared" si="1455"/>
        <v/>
      </c>
      <c r="BD4210" s="743" t="str">
        <f t="shared" si="1456"/>
        <v/>
      </c>
      <c r="BE4210" s="743" t="str">
        <f>IF(D4210="","",VLOOKUP(D4210,'General Basis'!$J$39:$K$46,2,0))</f>
        <v/>
      </c>
      <c r="BF4210" s="744" t="str">
        <f>IF(D4210="","",VLOOKUP(D4210,'General Basis'!$J$39:$L$46,3,0))</f>
        <v/>
      </c>
      <c r="BG4210" s="744" t="str">
        <f t="shared" si="1463"/>
        <v/>
      </c>
      <c r="BH4210" s="744" t="str">
        <f>IF(G4210="","",IF(BF4210="Abu Dhabi",IF(G4210&lt;18,'General Basis'!$C$39,IF(G4210&lt;41,'General Basis'!$C$40,IF(G4210&lt;60,'General Basis'!$C$41,IF(G4210&lt;65,'General Basis'!$C$42,'General Basis'!$C$43)))),IF(G4210&lt;11,'General Basis'!$B$39,IF(G4210&lt;18,'General Basis'!$B$40,IF(G4210&lt;26,'General Basis'!$B$41,IF(G4210&lt;31,'General Basis'!$B$42,IF(G4210&lt;36,'General Basis'!$B$43,IF(G4210&lt;41,'General Basis'!$B$44,IF(G4210&lt;46,'General Basis'!$B$45,IF(G4210&lt;51,'General Basis'!$B$46,IF(G4210&lt;56,'General Basis'!$B$47,IF(G4210&lt;60,'General Basis'!$B$48,IF(G4210&lt;65,'General Basis'!$B$49,'General Basis'!$B$50)))))))))))))</f>
        <v/>
      </c>
      <c r="BI4210" s="744" t="str">
        <f t="shared" si="1457"/>
        <v/>
      </c>
      <c r="BJ4210" s="747" t="str">
        <f t="shared" si="1464"/>
        <v/>
      </c>
      <c r="BK4210" s="498" t="str">
        <f t="shared" si="1458"/>
        <v/>
      </c>
      <c r="BL4210" s="498" t="str">
        <f t="shared" si="1459"/>
        <v/>
      </c>
    </row>
    <row r="4211" spans="1:64" x14ac:dyDescent="0.25">
      <c r="A4211" s="762">
        <f t="shared" si="1460"/>
        <v>4206</v>
      </c>
      <c r="B4211" s="229"/>
      <c r="C4211" s="223"/>
      <c r="D4211" s="224"/>
      <c r="E4211" s="225"/>
      <c r="F4211" s="1036" t="str">
        <f t="shared" si="1466"/>
        <v/>
      </c>
      <c r="G4211" s="1037" t="str">
        <f t="shared" si="1461"/>
        <v/>
      </c>
      <c r="H4211" s="225"/>
      <c r="I4211" s="1013"/>
      <c r="J4211" s="1013"/>
      <c r="K4211" s="1028"/>
      <c r="L4211" s="1035" t="str">
        <f t="shared" si="1465"/>
        <v/>
      </c>
      <c r="S4211" s="498"/>
      <c r="AJ4211" s="498"/>
      <c r="AM4211" s="498">
        <f t="shared" si="1446"/>
        <v>0</v>
      </c>
      <c r="AN4211" s="498">
        <f t="shared" si="1447"/>
        <v>0</v>
      </c>
      <c r="AO4211" s="498">
        <f t="shared" si="1448"/>
        <v>0</v>
      </c>
      <c r="AP4211" s="498">
        <f t="shared" si="1467"/>
        <v>0</v>
      </c>
      <c r="AQ4211" s="498">
        <f t="shared" si="1462"/>
        <v>0</v>
      </c>
      <c r="AU4211" s="498">
        <f t="shared" si="1449"/>
        <v>0</v>
      </c>
      <c r="AV4211" s="498">
        <f t="shared" si="1450"/>
        <v>0</v>
      </c>
      <c r="AW4211" s="498">
        <f t="shared" si="1451"/>
        <v>0</v>
      </c>
      <c r="AX4211" s="498">
        <f t="shared" si="1452"/>
        <v>0</v>
      </c>
      <c r="AY4211" s="498">
        <f t="shared" si="1453"/>
        <v>0</v>
      </c>
      <c r="BB4211" s="498" t="str">
        <f t="shared" si="1454"/>
        <v/>
      </c>
      <c r="BC4211" s="743" t="str">
        <f t="shared" si="1455"/>
        <v/>
      </c>
      <c r="BD4211" s="743" t="str">
        <f t="shared" si="1456"/>
        <v/>
      </c>
      <c r="BE4211" s="743" t="str">
        <f>IF(D4211="","",VLOOKUP(D4211,'General Basis'!$J$39:$K$46,2,0))</f>
        <v/>
      </c>
      <c r="BF4211" s="744" t="str">
        <f>IF(D4211="","",VLOOKUP(D4211,'General Basis'!$J$39:$L$46,3,0))</f>
        <v/>
      </c>
      <c r="BG4211" s="744" t="str">
        <f t="shared" si="1463"/>
        <v/>
      </c>
      <c r="BH4211" s="744" t="str">
        <f>IF(G4211="","",IF(BF4211="Abu Dhabi",IF(G4211&lt;18,'General Basis'!$C$39,IF(G4211&lt;41,'General Basis'!$C$40,IF(G4211&lt;60,'General Basis'!$C$41,IF(G4211&lt;65,'General Basis'!$C$42,'General Basis'!$C$43)))),IF(G4211&lt;11,'General Basis'!$B$39,IF(G4211&lt;18,'General Basis'!$B$40,IF(G4211&lt;26,'General Basis'!$B$41,IF(G4211&lt;31,'General Basis'!$B$42,IF(G4211&lt;36,'General Basis'!$B$43,IF(G4211&lt;41,'General Basis'!$B$44,IF(G4211&lt;46,'General Basis'!$B$45,IF(G4211&lt;51,'General Basis'!$B$46,IF(G4211&lt;56,'General Basis'!$B$47,IF(G4211&lt;60,'General Basis'!$B$48,IF(G4211&lt;65,'General Basis'!$B$49,'General Basis'!$B$50)))))))))))))</f>
        <v/>
      </c>
      <c r="BI4211" s="744" t="str">
        <f t="shared" si="1457"/>
        <v/>
      </c>
      <c r="BJ4211" s="747" t="str">
        <f t="shared" si="1464"/>
        <v/>
      </c>
      <c r="BK4211" s="498" t="str">
        <f t="shared" si="1458"/>
        <v/>
      </c>
      <c r="BL4211" s="498" t="str">
        <f t="shared" si="1459"/>
        <v/>
      </c>
    </row>
    <row r="4212" spans="1:64" x14ac:dyDescent="0.25">
      <c r="A4212" s="762">
        <f t="shared" si="1460"/>
        <v>4207</v>
      </c>
      <c r="B4212" s="229"/>
      <c r="C4212" s="223"/>
      <c r="D4212" s="224"/>
      <c r="E4212" s="225"/>
      <c r="F4212" s="1036" t="str">
        <f t="shared" si="1466"/>
        <v/>
      </c>
      <c r="G4212" s="1037" t="str">
        <f t="shared" si="1461"/>
        <v/>
      </c>
      <c r="H4212" s="225"/>
      <c r="I4212" s="1013"/>
      <c r="J4212" s="1013"/>
      <c r="K4212" s="1028"/>
      <c r="L4212" s="1035" t="str">
        <f t="shared" si="1465"/>
        <v/>
      </c>
      <c r="S4212" s="498"/>
      <c r="AJ4212" s="498"/>
      <c r="AM4212" s="498">
        <f t="shared" si="1446"/>
        <v>0</v>
      </c>
      <c r="AN4212" s="498">
        <f t="shared" si="1447"/>
        <v>0</v>
      </c>
      <c r="AO4212" s="498">
        <f t="shared" si="1448"/>
        <v>0</v>
      </c>
      <c r="AP4212" s="498">
        <f t="shared" si="1467"/>
        <v>0</v>
      </c>
      <c r="AQ4212" s="498">
        <f t="shared" si="1462"/>
        <v>0</v>
      </c>
      <c r="AU4212" s="498">
        <f t="shared" si="1449"/>
        <v>0</v>
      </c>
      <c r="AV4212" s="498">
        <f t="shared" si="1450"/>
        <v>0</v>
      </c>
      <c r="AW4212" s="498">
        <f t="shared" si="1451"/>
        <v>0</v>
      </c>
      <c r="AX4212" s="498">
        <f t="shared" si="1452"/>
        <v>0</v>
      </c>
      <c r="AY4212" s="498">
        <f t="shared" si="1453"/>
        <v>0</v>
      </c>
      <c r="BB4212" s="498" t="str">
        <f t="shared" si="1454"/>
        <v/>
      </c>
      <c r="BC4212" s="743" t="str">
        <f t="shared" si="1455"/>
        <v/>
      </c>
      <c r="BD4212" s="743" t="str">
        <f t="shared" si="1456"/>
        <v/>
      </c>
      <c r="BE4212" s="743" t="str">
        <f>IF(D4212="","",VLOOKUP(D4212,'General Basis'!$J$39:$K$46,2,0))</f>
        <v/>
      </c>
      <c r="BF4212" s="744" t="str">
        <f>IF(D4212="","",VLOOKUP(D4212,'General Basis'!$J$39:$L$46,3,0))</f>
        <v/>
      </c>
      <c r="BG4212" s="744" t="str">
        <f t="shared" si="1463"/>
        <v/>
      </c>
      <c r="BH4212" s="744" t="str">
        <f>IF(G4212="","",IF(BF4212="Abu Dhabi",IF(G4212&lt;18,'General Basis'!$C$39,IF(G4212&lt;41,'General Basis'!$C$40,IF(G4212&lt;60,'General Basis'!$C$41,IF(G4212&lt;65,'General Basis'!$C$42,'General Basis'!$C$43)))),IF(G4212&lt;11,'General Basis'!$B$39,IF(G4212&lt;18,'General Basis'!$B$40,IF(G4212&lt;26,'General Basis'!$B$41,IF(G4212&lt;31,'General Basis'!$B$42,IF(G4212&lt;36,'General Basis'!$B$43,IF(G4212&lt;41,'General Basis'!$B$44,IF(G4212&lt;46,'General Basis'!$B$45,IF(G4212&lt;51,'General Basis'!$B$46,IF(G4212&lt;56,'General Basis'!$B$47,IF(G4212&lt;60,'General Basis'!$B$48,IF(G4212&lt;65,'General Basis'!$B$49,'General Basis'!$B$50)))))))))))))</f>
        <v/>
      </c>
      <c r="BI4212" s="744" t="str">
        <f t="shared" si="1457"/>
        <v/>
      </c>
      <c r="BJ4212" s="747" t="str">
        <f t="shared" si="1464"/>
        <v/>
      </c>
      <c r="BK4212" s="498" t="str">
        <f t="shared" si="1458"/>
        <v/>
      </c>
      <c r="BL4212" s="498" t="str">
        <f t="shared" si="1459"/>
        <v/>
      </c>
    </row>
    <row r="4213" spans="1:64" x14ac:dyDescent="0.25">
      <c r="A4213" s="762">
        <f t="shared" si="1460"/>
        <v>4208</v>
      </c>
      <c r="B4213" s="229"/>
      <c r="C4213" s="223"/>
      <c r="D4213" s="224"/>
      <c r="E4213" s="225"/>
      <c r="F4213" s="1036" t="str">
        <f t="shared" si="1466"/>
        <v/>
      </c>
      <c r="G4213" s="1037" t="str">
        <f t="shared" si="1461"/>
        <v/>
      </c>
      <c r="H4213" s="225"/>
      <c r="I4213" s="1013"/>
      <c r="J4213" s="1013"/>
      <c r="K4213" s="1028"/>
      <c r="L4213" s="1035" t="str">
        <f t="shared" si="1465"/>
        <v/>
      </c>
      <c r="S4213" s="498"/>
      <c r="AJ4213" s="498"/>
      <c r="AM4213" s="498">
        <f t="shared" si="1446"/>
        <v>0</v>
      </c>
      <c r="AN4213" s="498">
        <f t="shared" si="1447"/>
        <v>0</v>
      </c>
      <c r="AO4213" s="498">
        <f t="shared" si="1448"/>
        <v>0</v>
      </c>
      <c r="AP4213" s="498">
        <f t="shared" si="1467"/>
        <v>0</v>
      </c>
      <c r="AQ4213" s="498">
        <f t="shared" si="1462"/>
        <v>0</v>
      </c>
      <c r="AU4213" s="498">
        <f t="shared" si="1449"/>
        <v>0</v>
      </c>
      <c r="AV4213" s="498">
        <f t="shared" si="1450"/>
        <v>0</v>
      </c>
      <c r="AW4213" s="498">
        <f t="shared" si="1451"/>
        <v>0</v>
      </c>
      <c r="AX4213" s="498">
        <f t="shared" si="1452"/>
        <v>0</v>
      </c>
      <c r="AY4213" s="498">
        <f t="shared" si="1453"/>
        <v>0</v>
      </c>
      <c r="BB4213" s="498" t="str">
        <f t="shared" si="1454"/>
        <v/>
      </c>
      <c r="BC4213" s="743" t="str">
        <f t="shared" si="1455"/>
        <v/>
      </c>
      <c r="BD4213" s="743" t="str">
        <f t="shared" si="1456"/>
        <v/>
      </c>
      <c r="BE4213" s="743" t="str">
        <f>IF(D4213="","",VLOOKUP(D4213,'General Basis'!$J$39:$K$46,2,0))</f>
        <v/>
      </c>
      <c r="BF4213" s="744" t="str">
        <f>IF(D4213="","",VLOOKUP(D4213,'General Basis'!$J$39:$L$46,3,0))</f>
        <v/>
      </c>
      <c r="BG4213" s="744" t="str">
        <f t="shared" si="1463"/>
        <v/>
      </c>
      <c r="BH4213" s="744" t="str">
        <f>IF(G4213="","",IF(BF4213="Abu Dhabi",IF(G4213&lt;18,'General Basis'!$C$39,IF(G4213&lt;41,'General Basis'!$C$40,IF(G4213&lt;60,'General Basis'!$C$41,IF(G4213&lt;65,'General Basis'!$C$42,'General Basis'!$C$43)))),IF(G4213&lt;11,'General Basis'!$B$39,IF(G4213&lt;18,'General Basis'!$B$40,IF(G4213&lt;26,'General Basis'!$B$41,IF(G4213&lt;31,'General Basis'!$B$42,IF(G4213&lt;36,'General Basis'!$B$43,IF(G4213&lt;41,'General Basis'!$B$44,IF(G4213&lt;46,'General Basis'!$B$45,IF(G4213&lt;51,'General Basis'!$B$46,IF(G4213&lt;56,'General Basis'!$B$47,IF(G4213&lt;60,'General Basis'!$B$48,IF(G4213&lt;65,'General Basis'!$B$49,'General Basis'!$B$50)))))))))))))</f>
        <v/>
      </c>
      <c r="BI4213" s="744" t="str">
        <f t="shared" si="1457"/>
        <v/>
      </c>
      <c r="BJ4213" s="747" t="str">
        <f t="shared" si="1464"/>
        <v/>
      </c>
      <c r="BK4213" s="498" t="str">
        <f t="shared" si="1458"/>
        <v/>
      </c>
      <c r="BL4213" s="498" t="str">
        <f t="shared" si="1459"/>
        <v/>
      </c>
    </row>
    <row r="4214" spans="1:64" x14ac:dyDescent="0.25">
      <c r="A4214" s="762">
        <f t="shared" si="1460"/>
        <v>4209</v>
      </c>
      <c r="B4214" s="229"/>
      <c r="C4214" s="223"/>
      <c r="D4214" s="224"/>
      <c r="E4214" s="225"/>
      <c r="F4214" s="1036" t="str">
        <f t="shared" si="1466"/>
        <v/>
      </c>
      <c r="G4214" s="1037" t="str">
        <f t="shared" si="1461"/>
        <v/>
      </c>
      <c r="H4214" s="225"/>
      <c r="I4214" s="1013"/>
      <c r="J4214" s="1013"/>
      <c r="K4214" s="1028"/>
      <c r="L4214" s="1035" t="str">
        <f t="shared" si="1465"/>
        <v/>
      </c>
      <c r="S4214" s="498"/>
      <c r="AJ4214" s="498"/>
      <c r="AM4214" s="498">
        <f t="shared" si="1446"/>
        <v>0</v>
      </c>
      <c r="AN4214" s="498">
        <f t="shared" si="1447"/>
        <v>0</v>
      </c>
      <c r="AO4214" s="498">
        <f t="shared" si="1448"/>
        <v>0</v>
      </c>
      <c r="AP4214" s="498">
        <f t="shared" si="1467"/>
        <v>0</v>
      </c>
      <c r="AQ4214" s="498">
        <f t="shared" si="1462"/>
        <v>0</v>
      </c>
      <c r="AU4214" s="498">
        <f t="shared" si="1449"/>
        <v>0</v>
      </c>
      <c r="AV4214" s="498">
        <f t="shared" si="1450"/>
        <v>0</v>
      </c>
      <c r="AW4214" s="498">
        <f t="shared" si="1451"/>
        <v>0</v>
      </c>
      <c r="AX4214" s="498">
        <f t="shared" si="1452"/>
        <v>0</v>
      </c>
      <c r="AY4214" s="498">
        <f t="shared" si="1453"/>
        <v>0</v>
      </c>
      <c r="BB4214" s="498" t="str">
        <f t="shared" si="1454"/>
        <v/>
      </c>
      <c r="BC4214" s="743" t="str">
        <f t="shared" si="1455"/>
        <v/>
      </c>
      <c r="BD4214" s="743" t="str">
        <f t="shared" si="1456"/>
        <v/>
      </c>
      <c r="BE4214" s="743" t="str">
        <f>IF(D4214="","",VLOOKUP(D4214,'General Basis'!$J$39:$K$46,2,0))</f>
        <v/>
      </c>
      <c r="BF4214" s="744" t="str">
        <f>IF(D4214="","",VLOOKUP(D4214,'General Basis'!$J$39:$L$46,3,0))</f>
        <v/>
      </c>
      <c r="BG4214" s="744" t="str">
        <f t="shared" si="1463"/>
        <v/>
      </c>
      <c r="BH4214" s="744" t="str">
        <f>IF(G4214="","",IF(BF4214="Abu Dhabi",IF(G4214&lt;18,'General Basis'!$C$39,IF(G4214&lt;41,'General Basis'!$C$40,IF(G4214&lt;60,'General Basis'!$C$41,IF(G4214&lt;65,'General Basis'!$C$42,'General Basis'!$C$43)))),IF(G4214&lt;11,'General Basis'!$B$39,IF(G4214&lt;18,'General Basis'!$B$40,IF(G4214&lt;26,'General Basis'!$B$41,IF(G4214&lt;31,'General Basis'!$B$42,IF(G4214&lt;36,'General Basis'!$B$43,IF(G4214&lt;41,'General Basis'!$B$44,IF(G4214&lt;46,'General Basis'!$B$45,IF(G4214&lt;51,'General Basis'!$B$46,IF(G4214&lt;56,'General Basis'!$B$47,IF(G4214&lt;60,'General Basis'!$B$48,IF(G4214&lt;65,'General Basis'!$B$49,'General Basis'!$B$50)))))))))))))</f>
        <v/>
      </c>
      <c r="BI4214" s="744" t="str">
        <f t="shared" si="1457"/>
        <v/>
      </c>
      <c r="BJ4214" s="747" t="str">
        <f t="shared" si="1464"/>
        <v/>
      </c>
      <c r="BK4214" s="498" t="str">
        <f t="shared" si="1458"/>
        <v/>
      </c>
      <c r="BL4214" s="498" t="str">
        <f t="shared" si="1459"/>
        <v/>
      </c>
    </row>
    <row r="4215" spans="1:64" x14ac:dyDescent="0.25">
      <c r="A4215" s="762">
        <f t="shared" si="1460"/>
        <v>4210</v>
      </c>
      <c r="B4215" s="229"/>
      <c r="C4215" s="223"/>
      <c r="D4215" s="224"/>
      <c r="E4215" s="225"/>
      <c r="F4215" s="1036" t="str">
        <f t="shared" si="1466"/>
        <v/>
      </c>
      <c r="G4215" s="1037" t="str">
        <f t="shared" si="1461"/>
        <v/>
      </c>
      <c r="H4215" s="225"/>
      <c r="I4215" s="1013"/>
      <c r="J4215" s="1013"/>
      <c r="K4215" s="1028"/>
      <c r="L4215" s="1035" t="str">
        <f t="shared" si="1465"/>
        <v/>
      </c>
      <c r="S4215" s="498"/>
      <c r="AJ4215" s="498"/>
      <c r="AM4215" s="498">
        <f t="shared" si="1446"/>
        <v>0</v>
      </c>
      <c r="AN4215" s="498">
        <f t="shared" si="1447"/>
        <v>0</v>
      </c>
      <c r="AO4215" s="498">
        <f t="shared" si="1448"/>
        <v>0</v>
      </c>
      <c r="AP4215" s="498">
        <f t="shared" si="1467"/>
        <v>0</v>
      </c>
      <c r="AQ4215" s="498">
        <f t="shared" si="1462"/>
        <v>0</v>
      </c>
      <c r="AU4215" s="498">
        <f t="shared" si="1449"/>
        <v>0</v>
      </c>
      <c r="AV4215" s="498">
        <f t="shared" si="1450"/>
        <v>0</v>
      </c>
      <c r="AW4215" s="498">
        <f t="shared" si="1451"/>
        <v>0</v>
      </c>
      <c r="AX4215" s="498">
        <f t="shared" si="1452"/>
        <v>0</v>
      </c>
      <c r="AY4215" s="498">
        <f t="shared" si="1453"/>
        <v>0</v>
      </c>
      <c r="BB4215" s="498" t="str">
        <f t="shared" si="1454"/>
        <v/>
      </c>
      <c r="BC4215" s="743" t="str">
        <f t="shared" si="1455"/>
        <v/>
      </c>
      <c r="BD4215" s="743" t="str">
        <f t="shared" si="1456"/>
        <v/>
      </c>
      <c r="BE4215" s="743" t="str">
        <f>IF(D4215="","",VLOOKUP(D4215,'General Basis'!$J$39:$K$46,2,0))</f>
        <v/>
      </c>
      <c r="BF4215" s="744" t="str">
        <f>IF(D4215="","",VLOOKUP(D4215,'General Basis'!$J$39:$L$46,3,0))</f>
        <v/>
      </c>
      <c r="BG4215" s="744" t="str">
        <f t="shared" si="1463"/>
        <v/>
      </c>
      <c r="BH4215" s="744" t="str">
        <f>IF(G4215="","",IF(BF4215="Abu Dhabi",IF(G4215&lt;18,'General Basis'!$C$39,IF(G4215&lt;41,'General Basis'!$C$40,IF(G4215&lt;60,'General Basis'!$C$41,IF(G4215&lt;65,'General Basis'!$C$42,'General Basis'!$C$43)))),IF(G4215&lt;11,'General Basis'!$B$39,IF(G4215&lt;18,'General Basis'!$B$40,IF(G4215&lt;26,'General Basis'!$B$41,IF(G4215&lt;31,'General Basis'!$B$42,IF(G4215&lt;36,'General Basis'!$B$43,IF(G4215&lt;41,'General Basis'!$B$44,IF(G4215&lt;46,'General Basis'!$B$45,IF(G4215&lt;51,'General Basis'!$B$46,IF(G4215&lt;56,'General Basis'!$B$47,IF(G4215&lt;60,'General Basis'!$B$48,IF(G4215&lt;65,'General Basis'!$B$49,'General Basis'!$B$50)))))))))))))</f>
        <v/>
      </c>
      <c r="BI4215" s="744" t="str">
        <f t="shared" si="1457"/>
        <v/>
      </c>
      <c r="BJ4215" s="747" t="str">
        <f t="shared" si="1464"/>
        <v/>
      </c>
      <c r="BK4215" s="498" t="str">
        <f t="shared" si="1458"/>
        <v/>
      </c>
      <c r="BL4215" s="498" t="str">
        <f t="shared" si="1459"/>
        <v/>
      </c>
    </row>
    <row r="4216" spans="1:64" x14ac:dyDescent="0.25">
      <c r="A4216" s="762">
        <f t="shared" si="1460"/>
        <v>4211</v>
      </c>
      <c r="B4216" s="229"/>
      <c r="C4216" s="223"/>
      <c r="D4216" s="224"/>
      <c r="E4216" s="225"/>
      <c r="F4216" s="1036" t="str">
        <f t="shared" si="1466"/>
        <v/>
      </c>
      <c r="G4216" s="1037" t="str">
        <f t="shared" si="1461"/>
        <v/>
      </c>
      <c r="H4216" s="225"/>
      <c r="I4216" s="1013"/>
      <c r="J4216" s="1013"/>
      <c r="K4216" s="1028"/>
      <c r="L4216" s="1035" t="str">
        <f t="shared" si="1465"/>
        <v/>
      </c>
      <c r="S4216" s="498"/>
      <c r="AJ4216" s="498"/>
      <c r="AM4216" s="498">
        <f t="shared" si="1446"/>
        <v>0</v>
      </c>
      <c r="AN4216" s="498">
        <f t="shared" si="1447"/>
        <v>0</v>
      </c>
      <c r="AO4216" s="498">
        <f t="shared" si="1448"/>
        <v>0</v>
      </c>
      <c r="AP4216" s="498">
        <f t="shared" si="1467"/>
        <v>0</v>
      </c>
      <c r="AQ4216" s="498">
        <f t="shared" si="1462"/>
        <v>0</v>
      </c>
      <c r="AU4216" s="498">
        <f t="shared" si="1449"/>
        <v>0</v>
      </c>
      <c r="AV4216" s="498">
        <f t="shared" si="1450"/>
        <v>0</v>
      </c>
      <c r="AW4216" s="498">
        <f t="shared" si="1451"/>
        <v>0</v>
      </c>
      <c r="AX4216" s="498">
        <f t="shared" si="1452"/>
        <v>0</v>
      </c>
      <c r="AY4216" s="498">
        <f t="shared" si="1453"/>
        <v>0</v>
      </c>
      <c r="BB4216" s="498" t="str">
        <f t="shared" si="1454"/>
        <v/>
      </c>
      <c r="BC4216" s="743" t="str">
        <f t="shared" si="1455"/>
        <v/>
      </c>
      <c r="BD4216" s="743" t="str">
        <f t="shared" si="1456"/>
        <v/>
      </c>
      <c r="BE4216" s="743" t="str">
        <f>IF(D4216="","",VLOOKUP(D4216,'General Basis'!$J$39:$K$46,2,0))</f>
        <v/>
      </c>
      <c r="BF4216" s="744" t="str">
        <f>IF(D4216="","",VLOOKUP(D4216,'General Basis'!$J$39:$L$46,3,0))</f>
        <v/>
      </c>
      <c r="BG4216" s="744" t="str">
        <f t="shared" si="1463"/>
        <v/>
      </c>
      <c r="BH4216" s="744" t="str">
        <f>IF(G4216="","",IF(BF4216="Abu Dhabi",IF(G4216&lt;18,'General Basis'!$C$39,IF(G4216&lt;41,'General Basis'!$C$40,IF(G4216&lt;60,'General Basis'!$C$41,IF(G4216&lt;65,'General Basis'!$C$42,'General Basis'!$C$43)))),IF(G4216&lt;11,'General Basis'!$B$39,IF(G4216&lt;18,'General Basis'!$B$40,IF(G4216&lt;26,'General Basis'!$B$41,IF(G4216&lt;31,'General Basis'!$B$42,IF(G4216&lt;36,'General Basis'!$B$43,IF(G4216&lt;41,'General Basis'!$B$44,IF(G4216&lt;46,'General Basis'!$B$45,IF(G4216&lt;51,'General Basis'!$B$46,IF(G4216&lt;56,'General Basis'!$B$47,IF(G4216&lt;60,'General Basis'!$B$48,IF(G4216&lt;65,'General Basis'!$B$49,'General Basis'!$B$50)))))))))))))</f>
        <v/>
      </c>
      <c r="BI4216" s="744" t="str">
        <f t="shared" si="1457"/>
        <v/>
      </c>
      <c r="BJ4216" s="747" t="str">
        <f t="shared" si="1464"/>
        <v/>
      </c>
      <c r="BK4216" s="498" t="str">
        <f t="shared" si="1458"/>
        <v/>
      </c>
      <c r="BL4216" s="498" t="str">
        <f t="shared" si="1459"/>
        <v/>
      </c>
    </row>
    <row r="4217" spans="1:64" x14ac:dyDescent="0.25">
      <c r="A4217" s="762">
        <f t="shared" si="1460"/>
        <v>4212</v>
      </c>
      <c r="B4217" s="229"/>
      <c r="C4217" s="223"/>
      <c r="D4217" s="224"/>
      <c r="E4217" s="225"/>
      <c r="F4217" s="1036" t="str">
        <f t="shared" si="1466"/>
        <v/>
      </c>
      <c r="G4217" s="1037" t="str">
        <f t="shared" si="1461"/>
        <v/>
      </c>
      <c r="H4217" s="225"/>
      <c r="I4217" s="1013"/>
      <c r="J4217" s="1013"/>
      <c r="K4217" s="1028"/>
      <c r="L4217" s="1035" t="str">
        <f t="shared" si="1465"/>
        <v/>
      </c>
      <c r="S4217" s="498"/>
      <c r="AJ4217" s="498"/>
      <c r="AM4217" s="498">
        <f t="shared" si="1446"/>
        <v>0</v>
      </c>
      <c r="AN4217" s="498">
        <f t="shared" si="1447"/>
        <v>0</v>
      </c>
      <c r="AO4217" s="498">
        <f t="shared" si="1448"/>
        <v>0</v>
      </c>
      <c r="AP4217" s="498">
        <f t="shared" si="1467"/>
        <v>0</v>
      </c>
      <c r="AQ4217" s="498">
        <f t="shared" si="1462"/>
        <v>0</v>
      </c>
      <c r="AU4217" s="498">
        <f t="shared" si="1449"/>
        <v>0</v>
      </c>
      <c r="AV4217" s="498">
        <f t="shared" si="1450"/>
        <v>0</v>
      </c>
      <c r="AW4217" s="498">
        <f t="shared" si="1451"/>
        <v>0</v>
      </c>
      <c r="AX4217" s="498">
        <f t="shared" si="1452"/>
        <v>0</v>
      </c>
      <c r="AY4217" s="498">
        <f t="shared" si="1453"/>
        <v>0</v>
      </c>
      <c r="BB4217" s="498" t="str">
        <f t="shared" si="1454"/>
        <v/>
      </c>
      <c r="BC4217" s="743" t="str">
        <f t="shared" si="1455"/>
        <v/>
      </c>
      <c r="BD4217" s="743" t="str">
        <f t="shared" si="1456"/>
        <v/>
      </c>
      <c r="BE4217" s="743" t="str">
        <f>IF(D4217="","",VLOOKUP(D4217,'General Basis'!$J$39:$K$46,2,0))</f>
        <v/>
      </c>
      <c r="BF4217" s="744" t="str">
        <f>IF(D4217="","",VLOOKUP(D4217,'General Basis'!$J$39:$L$46,3,0))</f>
        <v/>
      </c>
      <c r="BG4217" s="744" t="str">
        <f t="shared" si="1463"/>
        <v/>
      </c>
      <c r="BH4217" s="744" t="str">
        <f>IF(G4217="","",IF(BF4217="Abu Dhabi",IF(G4217&lt;18,'General Basis'!$C$39,IF(G4217&lt;41,'General Basis'!$C$40,IF(G4217&lt;60,'General Basis'!$C$41,IF(G4217&lt;65,'General Basis'!$C$42,'General Basis'!$C$43)))),IF(G4217&lt;11,'General Basis'!$B$39,IF(G4217&lt;18,'General Basis'!$B$40,IF(G4217&lt;26,'General Basis'!$B$41,IF(G4217&lt;31,'General Basis'!$B$42,IF(G4217&lt;36,'General Basis'!$B$43,IF(G4217&lt;41,'General Basis'!$B$44,IF(G4217&lt;46,'General Basis'!$B$45,IF(G4217&lt;51,'General Basis'!$B$46,IF(G4217&lt;56,'General Basis'!$B$47,IF(G4217&lt;60,'General Basis'!$B$48,IF(G4217&lt;65,'General Basis'!$B$49,'General Basis'!$B$50)))))))))))))</f>
        <v/>
      </c>
      <c r="BI4217" s="744" t="str">
        <f t="shared" si="1457"/>
        <v/>
      </c>
      <c r="BJ4217" s="747" t="str">
        <f t="shared" si="1464"/>
        <v/>
      </c>
      <c r="BK4217" s="498" t="str">
        <f t="shared" si="1458"/>
        <v/>
      </c>
      <c r="BL4217" s="498" t="str">
        <f t="shared" si="1459"/>
        <v/>
      </c>
    </row>
    <row r="4218" spans="1:64" x14ac:dyDescent="0.25">
      <c r="A4218" s="762">
        <f t="shared" si="1460"/>
        <v>4213</v>
      </c>
      <c r="B4218" s="229"/>
      <c r="C4218" s="223"/>
      <c r="D4218" s="224"/>
      <c r="E4218" s="225"/>
      <c r="F4218" s="1036" t="str">
        <f t="shared" si="1466"/>
        <v/>
      </c>
      <c r="G4218" s="1037" t="str">
        <f t="shared" si="1461"/>
        <v/>
      </c>
      <c r="H4218" s="225"/>
      <c r="I4218" s="1013"/>
      <c r="J4218" s="1013"/>
      <c r="K4218" s="1028"/>
      <c r="L4218" s="1035" t="str">
        <f t="shared" si="1465"/>
        <v/>
      </c>
      <c r="S4218" s="498"/>
      <c r="AJ4218" s="498"/>
      <c r="AM4218" s="498">
        <f t="shared" si="1446"/>
        <v>0</v>
      </c>
      <c r="AN4218" s="498">
        <f t="shared" si="1447"/>
        <v>0</v>
      </c>
      <c r="AO4218" s="498">
        <f t="shared" si="1448"/>
        <v>0</v>
      </c>
      <c r="AP4218" s="498">
        <f t="shared" si="1467"/>
        <v>0</v>
      </c>
      <c r="AQ4218" s="498">
        <f t="shared" si="1462"/>
        <v>0</v>
      </c>
      <c r="AU4218" s="498">
        <f t="shared" si="1449"/>
        <v>0</v>
      </c>
      <c r="AV4218" s="498">
        <f t="shared" si="1450"/>
        <v>0</v>
      </c>
      <c r="AW4218" s="498">
        <f t="shared" si="1451"/>
        <v>0</v>
      </c>
      <c r="AX4218" s="498">
        <f t="shared" si="1452"/>
        <v>0</v>
      </c>
      <c r="AY4218" s="498">
        <f t="shared" si="1453"/>
        <v>0</v>
      </c>
      <c r="BB4218" s="498" t="str">
        <f t="shared" si="1454"/>
        <v/>
      </c>
      <c r="BC4218" s="743" t="str">
        <f t="shared" si="1455"/>
        <v/>
      </c>
      <c r="BD4218" s="743" t="str">
        <f t="shared" si="1456"/>
        <v/>
      </c>
      <c r="BE4218" s="743" t="str">
        <f>IF(D4218="","",VLOOKUP(D4218,'General Basis'!$J$39:$K$46,2,0))</f>
        <v/>
      </c>
      <c r="BF4218" s="744" t="str">
        <f>IF(D4218="","",VLOOKUP(D4218,'General Basis'!$J$39:$L$46,3,0))</f>
        <v/>
      </c>
      <c r="BG4218" s="744" t="str">
        <f t="shared" si="1463"/>
        <v/>
      </c>
      <c r="BH4218" s="744" t="str">
        <f>IF(G4218="","",IF(BF4218="Abu Dhabi",IF(G4218&lt;18,'General Basis'!$C$39,IF(G4218&lt;41,'General Basis'!$C$40,IF(G4218&lt;60,'General Basis'!$C$41,IF(G4218&lt;65,'General Basis'!$C$42,'General Basis'!$C$43)))),IF(G4218&lt;11,'General Basis'!$B$39,IF(G4218&lt;18,'General Basis'!$B$40,IF(G4218&lt;26,'General Basis'!$B$41,IF(G4218&lt;31,'General Basis'!$B$42,IF(G4218&lt;36,'General Basis'!$B$43,IF(G4218&lt;41,'General Basis'!$B$44,IF(G4218&lt;46,'General Basis'!$B$45,IF(G4218&lt;51,'General Basis'!$B$46,IF(G4218&lt;56,'General Basis'!$B$47,IF(G4218&lt;60,'General Basis'!$B$48,IF(G4218&lt;65,'General Basis'!$B$49,'General Basis'!$B$50)))))))))))))</f>
        <v/>
      </c>
      <c r="BI4218" s="744" t="str">
        <f t="shared" si="1457"/>
        <v/>
      </c>
      <c r="BJ4218" s="747" t="str">
        <f t="shared" si="1464"/>
        <v/>
      </c>
      <c r="BK4218" s="498" t="str">
        <f t="shared" si="1458"/>
        <v/>
      </c>
      <c r="BL4218" s="498" t="str">
        <f t="shared" si="1459"/>
        <v/>
      </c>
    </row>
    <row r="4219" spans="1:64" x14ac:dyDescent="0.25">
      <c r="A4219" s="762">
        <f t="shared" si="1460"/>
        <v>4214</v>
      </c>
      <c r="B4219" s="229"/>
      <c r="C4219" s="223"/>
      <c r="D4219" s="224"/>
      <c r="E4219" s="225"/>
      <c r="F4219" s="1036" t="str">
        <f t="shared" si="1466"/>
        <v/>
      </c>
      <c r="G4219" s="1037" t="str">
        <f t="shared" si="1461"/>
        <v/>
      </c>
      <c r="H4219" s="225"/>
      <c r="I4219" s="1013"/>
      <c r="J4219" s="1013"/>
      <c r="K4219" s="1028"/>
      <c r="L4219" s="1035" t="str">
        <f t="shared" si="1465"/>
        <v/>
      </c>
      <c r="S4219" s="498"/>
      <c r="AJ4219" s="498"/>
      <c r="AM4219" s="498">
        <f t="shared" si="1446"/>
        <v>0</v>
      </c>
      <c r="AN4219" s="498">
        <f t="shared" si="1447"/>
        <v>0</v>
      </c>
      <c r="AO4219" s="498">
        <f t="shared" si="1448"/>
        <v>0</v>
      </c>
      <c r="AP4219" s="498">
        <f t="shared" si="1467"/>
        <v>0</v>
      </c>
      <c r="AQ4219" s="498">
        <f t="shared" si="1462"/>
        <v>0</v>
      </c>
      <c r="AU4219" s="498">
        <f t="shared" si="1449"/>
        <v>0</v>
      </c>
      <c r="AV4219" s="498">
        <f t="shared" si="1450"/>
        <v>0</v>
      </c>
      <c r="AW4219" s="498">
        <f t="shared" si="1451"/>
        <v>0</v>
      </c>
      <c r="AX4219" s="498">
        <f t="shared" si="1452"/>
        <v>0</v>
      </c>
      <c r="AY4219" s="498">
        <f t="shared" si="1453"/>
        <v>0</v>
      </c>
      <c r="BB4219" s="498" t="str">
        <f t="shared" si="1454"/>
        <v/>
      </c>
      <c r="BC4219" s="743" t="str">
        <f t="shared" si="1455"/>
        <v/>
      </c>
      <c r="BD4219" s="743" t="str">
        <f t="shared" si="1456"/>
        <v/>
      </c>
      <c r="BE4219" s="743" t="str">
        <f>IF(D4219="","",VLOOKUP(D4219,'General Basis'!$J$39:$K$46,2,0))</f>
        <v/>
      </c>
      <c r="BF4219" s="744" t="str">
        <f>IF(D4219="","",VLOOKUP(D4219,'General Basis'!$J$39:$L$46,3,0))</f>
        <v/>
      </c>
      <c r="BG4219" s="744" t="str">
        <f t="shared" si="1463"/>
        <v/>
      </c>
      <c r="BH4219" s="744" t="str">
        <f>IF(G4219="","",IF(BF4219="Abu Dhabi",IF(G4219&lt;18,'General Basis'!$C$39,IF(G4219&lt;41,'General Basis'!$C$40,IF(G4219&lt;60,'General Basis'!$C$41,IF(G4219&lt;65,'General Basis'!$C$42,'General Basis'!$C$43)))),IF(G4219&lt;11,'General Basis'!$B$39,IF(G4219&lt;18,'General Basis'!$B$40,IF(G4219&lt;26,'General Basis'!$B$41,IF(G4219&lt;31,'General Basis'!$B$42,IF(G4219&lt;36,'General Basis'!$B$43,IF(G4219&lt;41,'General Basis'!$B$44,IF(G4219&lt;46,'General Basis'!$B$45,IF(G4219&lt;51,'General Basis'!$B$46,IF(G4219&lt;56,'General Basis'!$B$47,IF(G4219&lt;60,'General Basis'!$B$48,IF(G4219&lt;65,'General Basis'!$B$49,'General Basis'!$B$50)))))))))))))</f>
        <v/>
      </c>
      <c r="BI4219" s="744" t="str">
        <f t="shared" si="1457"/>
        <v/>
      </c>
      <c r="BJ4219" s="747" t="str">
        <f t="shared" si="1464"/>
        <v/>
      </c>
      <c r="BK4219" s="498" t="str">
        <f t="shared" si="1458"/>
        <v/>
      </c>
      <c r="BL4219" s="498" t="str">
        <f t="shared" si="1459"/>
        <v/>
      </c>
    </row>
    <row r="4220" spans="1:64" x14ac:dyDescent="0.25">
      <c r="A4220" s="762">
        <f t="shared" si="1460"/>
        <v>4215</v>
      </c>
      <c r="B4220" s="229"/>
      <c r="C4220" s="223"/>
      <c r="D4220" s="224"/>
      <c r="E4220" s="225"/>
      <c r="F4220" s="1036" t="str">
        <f t="shared" si="1466"/>
        <v/>
      </c>
      <c r="G4220" s="1037" t="str">
        <f t="shared" si="1461"/>
        <v/>
      </c>
      <c r="H4220" s="225"/>
      <c r="I4220" s="1013"/>
      <c r="J4220" s="1013"/>
      <c r="K4220" s="1028"/>
      <c r="L4220" s="1035" t="str">
        <f t="shared" si="1465"/>
        <v/>
      </c>
      <c r="S4220" s="498"/>
      <c r="AJ4220" s="498"/>
      <c r="AM4220" s="498">
        <f t="shared" si="1446"/>
        <v>0</v>
      </c>
      <c r="AN4220" s="498">
        <f t="shared" si="1447"/>
        <v>0</v>
      </c>
      <c r="AO4220" s="498">
        <f t="shared" si="1448"/>
        <v>0</v>
      </c>
      <c r="AP4220" s="498">
        <f t="shared" si="1467"/>
        <v>0</v>
      </c>
      <c r="AQ4220" s="498">
        <f t="shared" si="1462"/>
        <v>0</v>
      </c>
      <c r="AU4220" s="498">
        <f t="shared" si="1449"/>
        <v>0</v>
      </c>
      <c r="AV4220" s="498">
        <f t="shared" si="1450"/>
        <v>0</v>
      </c>
      <c r="AW4220" s="498">
        <f t="shared" si="1451"/>
        <v>0</v>
      </c>
      <c r="AX4220" s="498">
        <f t="shared" si="1452"/>
        <v>0</v>
      </c>
      <c r="AY4220" s="498">
        <f t="shared" si="1453"/>
        <v>0</v>
      </c>
      <c r="BB4220" s="498" t="str">
        <f t="shared" si="1454"/>
        <v/>
      </c>
      <c r="BC4220" s="743" t="str">
        <f t="shared" si="1455"/>
        <v/>
      </c>
      <c r="BD4220" s="743" t="str">
        <f t="shared" si="1456"/>
        <v/>
      </c>
      <c r="BE4220" s="743" t="str">
        <f>IF(D4220="","",VLOOKUP(D4220,'General Basis'!$J$39:$K$46,2,0))</f>
        <v/>
      </c>
      <c r="BF4220" s="744" t="str">
        <f>IF(D4220="","",VLOOKUP(D4220,'General Basis'!$J$39:$L$46,3,0))</f>
        <v/>
      </c>
      <c r="BG4220" s="744" t="str">
        <f t="shared" si="1463"/>
        <v/>
      </c>
      <c r="BH4220" s="744" t="str">
        <f>IF(G4220="","",IF(BF4220="Abu Dhabi",IF(G4220&lt;18,'General Basis'!$C$39,IF(G4220&lt;41,'General Basis'!$C$40,IF(G4220&lt;60,'General Basis'!$C$41,IF(G4220&lt;65,'General Basis'!$C$42,'General Basis'!$C$43)))),IF(G4220&lt;11,'General Basis'!$B$39,IF(G4220&lt;18,'General Basis'!$B$40,IF(G4220&lt;26,'General Basis'!$B$41,IF(G4220&lt;31,'General Basis'!$B$42,IF(G4220&lt;36,'General Basis'!$B$43,IF(G4220&lt;41,'General Basis'!$B$44,IF(G4220&lt;46,'General Basis'!$B$45,IF(G4220&lt;51,'General Basis'!$B$46,IF(G4220&lt;56,'General Basis'!$B$47,IF(G4220&lt;60,'General Basis'!$B$48,IF(G4220&lt;65,'General Basis'!$B$49,'General Basis'!$B$50)))))))))))))</f>
        <v/>
      </c>
      <c r="BI4220" s="744" t="str">
        <f t="shared" si="1457"/>
        <v/>
      </c>
      <c r="BJ4220" s="747" t="str">
        <f t="shared" si="1464"/>
        <v/>
      </c>
      <c r="BK4220" s="498" t="str">
        <f t="shared" si="1458"/>
        <v/>
      </c>
      <c r="BL4220" s="498" t="str">
        <f t="shared" si="1459"/>
        <v/>
      </c>
    </row>
    <row r="4221" spans="1:64" x14ac:dyDescent="0.25">
      <c r="A4221" s="762">
        <f t="shared" si="1460"/>
        <v>4216</v>
      </c>
      <c r="B4221" s="229"/>
      <c r="C4221" s="223"/>
      <c r="D4221" s="224"/>
      <c r="E4221" s="225"/>
      <c r="F4221" s="1036" t="str">
        <f t="shared" si="1466"/>
        <v/>
      </c>
      <c r="G4221" s="1037" t="str">
        <f t="shared" si="1461"/>
        <v/>
      </c>
      <c r="H4221" s="225"/>
      <c r="I4221" s="1013"/>
      <c r="J4221" s="1013"/>
      <c r="K4221" s="1028"/>
      <c r="L4221" s="1035" t="str">
        <f t="shared" si="1465"/>
        <v/>
      </c>
      <c r="S4221" s="498"/>
      <c r="AJ4221" s="498"/>
      <c r="AM4221" s="498">
        <f t="shared" si="1446"/>
        <v>0</v>
      </c>
      <c r="AN4221" s="498">
        <f t="shared" si="1447"/>
        <v>0</v>
      </c>
      <c r="AO4221" s="498">
        <f t="shared" si="1448"/>
        <v>0</v>
      </c>
      <c r="AP4221" s="498">
        <f t="shared" si="1467"/>
        <v>0</v>
      </c>
      <c r="AQ4221" s="498">
        <f t="shared" si="1462"/>
        <v>0</v>
      </c>
      <c r="AU4221" s="498">
        <f t="shared" si="1449"/>
        <v>0</v>
      </c>
      <c r="AV4221" s="498">
        <f t="shared" si="1450"/>
        <v>0</v>
      </c>
      <c r="AW4221" s="498">
        <f t="shared" si="1451"/>
        <v>0</v>
      </c>
      <c r="AX4221" s="498">
        <f t="shared" si="1452"/>
        <v>0</v>
      </c>
      <c r="AY4221" s="498">
        <f t="shared" si="1453"/>
        <v>0</v>
      </c>
      <c r="BB4221" s="498" t="str">
        <f t="shared" si="1454"/>
        <v/>
      </c>
      <c r="BC4221" s="743" t="str">
        <f t="shared" si="1455"/>
        <v/>
      </c>
      <c r="BD4221" s="743" t="str">
        <f t="shared" si="1456"/>
        <v/>
      </c>
      <c r="BE4221" s="743" t="str">
        <f>IF(D4221="","",VLOOKUP(D4221,'General Basis'!$J$39:$K$46,2,0))</f>
        <v/>
      </c>
      <c r="BF4221" s="744" t="str">
        <f>IF(D4221="","",VLOOKUP(D4221,'General Basis'!$J$39:$L$46,3,0))</f>
        <v/>
      </c>
      <c r="BG4221" s="744" t="str">
        <f t="shared" si="1463"/>
        <v/>
      </c>
      <c r="BH4221" s="744" t="str">
        <f>IF(G4221="","",IF(BF4221="Abu Dhabi",IF(G4221&lt;18,'General Basis'!$C$39,IF(G4221&lt;41,'General Basis'!$C$40,IF(G4221&lt;60,'General Basis'!$C$41,IF(G4221&lt;65,'General Basis'!$C$42,'General Basis'!$C$43)))),IF(G4221&lt;11,'General Basis'!$B$39,IF(G4221&lt;18,'General Basis'!$B$40,IF(G4221&lt;26,'General Basis'!$B$41,IF(G4221&lt;31,'General Basis'!$B$42,IF(G4221&lt;36,'General Basis'!$B$43,IF(G4221&lt;41,'General Basis'!$B$44,IF(G4221&lt;46,'General Basis'!$B$45,IF(G4221&lt;51,'General Basis'!$B$46,IF(G4221&lt;56,'General Basis'!$B$47,IF(G4221&lt;60,'General Basis'!$B$48,IF(G4221&lt;65,'General Basis'!$B$49,'General Basis'!$B$50)))))))))))))</f>
        <v/>
      </c>
      <c r="BI4221" s="744" t="str">
        <f t="shared" si="1457"/>
        <v/>
      </c>
      <c r="BJ4221" s="747" t="str">
        <f t="shared" si="1464"/>
        <v/>
      </c>
      <c r="BK4221" s="498" t="str">
        <f t="shared" si="1458"/>
        <v/>
      </c>
      <c r="BL4221" s="498" t="str">
        <f t="shared" si="1459"/>
        <v/>
      </c>
    </row>
    <row r="4222" spans="1:64" x14ac:dyDescent="0.25">
      <c r="A4222" s="762">
        <f t="shared" si="1460"/>
        <v>4217</v>
      </c>
      <c r="B4222" s="229"/>
      <c r="C4222" s="223"/>
      <c r="D4222" s="224"/>
      <c r="E4222" s="225"/>
      <c r="F4222" s="1036" t="str">
        <f t="shared" si="1466"/>
        <v/>
      </c>
      <c r="G4222" s="1037" t="str">
        <f t="shared" si="1461"/>
        <v/>
      </c>
      <c r="H4222" s="225"/>
      <c r="I4222" s="1013"/>
      <c r="J4222" s="1013"/>
      <c r="K4222" s="1028"/>
      <c r="L4222" s="1035" t="str">
        <f t="shared" si="1465"/>
        <v/>
      </c>
      <c r="S4222" s="498"/>
      <c r="AJ4222" s="498"/>
      <c r="AM4222" s="498">
        <f t="shared" si="1446"/>
        <v>0</v>
      </c>
      <c r="AN4222" s="498">
        <f t="shared" si="1447"/>
        <v>0</v>
      </c>
      <c r="AO4222" s="498">
        <f t="shared" si="1448"/>
        <v>0</v>
      </c>
      <c r="AP4222" s="498">
        <f t="shared" si="1467"/>
        <v>0</v>
      </c>
      <c r="AQ4222" s="498">
        <f t="shared" si="1462"/>
        <v>0</v>
      </c>
      <c r="AU4222" s="498">
        <f t="shared" si="1449"/>
        <v>0</v>
      </c>
      <c r="AV4222" s="498">
        <f t="shared" si="1450"/>
        <v>0</v>
      </c>
      <c r="AW4222" s="498">
        <f t="shared" si="1451"/>
        <v>0</v>
      </c>
      <c r="AX4222" s="498">
        <f t="shared" si="1452"/>
        <v>0</v>
      </c>
      <c r="AY4222" s="498">
        <f t="shared" si="1453"/>
        <v>0</v>
      </c>
      <c r="BB4222" s="498" t="str">
        <f t="shared" si="1454"/>
        <v/>
      </c>
      <c r="BC4222" s="743" t="str">
        <f t="shared" si="1455"/>
        <v/>
      </c>
      <c r="BD4222" s="743" t="str">
        <f t="shared" si="1456"/>
        <v/>
      </c>
      <c r="BE4222" s="743" t="str">
        <f>IF(D4222="","",VLOOKUP(D4222,'General Basis'!$J$39:$K$46,2,0))</f>
        <v/>
      </c>
      <c r="BF4222" s="744" t="str">
        <f>IF(D4222="","",VLOOKUP(D4222,'General Basis'!$J$39:$L$46,3,0))</f>
        <v/>
      </c>
      <c r="BG4222" s="744" t="str">
        <f t="shared" si="1463"/>
        <v/>
      </c>
      <c r="BH4222" s="744" t="str">
        <f>IF(G4222="","",IF(BF4222="Abu Dhabi",IF(G4222&lt;18,'General Basis'!$C$39,IF(G4222&lt;41,'General Basis'!$C$40,IF(G4222&lt;60,'General Basis'!$C$41,IF(G4222&lt;65,'General Basis'!$C$42,'General Basis'!$C$43)))),IF(G4222&lt;11,'General Basis'!$B$39,IF(G4222&lt;18,'General Basis'!$B$40,IF(G4222&lt;26,'General Basis'!$B$41,IF(G4222&lt;31,'General Basis'!$B$42,IF(G4222&lt;36,'General Basis'!$B$43,IF(G4222&lt;41,'General Basis'!$B$44,IF(G4222&lt;46,'General Basis'!$B$45,IF(G4222&lt;51,'General Basis'!$B$46,IF(G4222&lt;56,'General Basis'!$B$47,IF(G4222&lt;60,'General Basis'!$B$48,IF(G4222&lt;65,'General Basis'!$B$49,'General Basis'!$B$50)))))))))))))</f>
        <v/>
      </c>
      <c r="BI4222" s="744" t="str">
        <f t="shared" si="1457"/>
        <v/>
      </c>
      <c r="BJ4222" s="747" t="str">
        <f t="shared" si="1464"/>
        <v/>
      </c>
      <c r="BK4222" s="498" t="str">
        <f t="shared" si="1458"/>
        <v/>
      </c>
      <c r="BL4222" s="498" t="str">
        <f t="shared" si="1459"/>
        <v/>
      </c>
    </row>
    <row r="4223" spans="1:64" x14ac:dyDescent="0.25">
      <c r="A4223" s="762">
        <f t="shared" si="1460"/>
        <v>4218</v>
      </c>
      <c r="B4223" s="229"/>
      <c r="C4223" s="223"/>
      <c r="D4223" s="224"/>
      <c r="E4223" s="225"/>
      <c r="F4223" s="1036" t="str">
        <f t="shared" si="1466"/>
        <v/>
      </c>
      <c r="G4223" s="1037" t="str">
        <f t="shared" si="1461"/>
        <v/>
      </c>
      <c r="H4223" s="225"/>
      <c r="I4223" s="1013"/>
      <c r="J4223" s="1013"/>
      <c r="K4223" s="1028"/>
      <c r="L4223" s="1035" t="str">
        <f t="shared" si="1465"/>
        <v/>
      </c>
      <c r="S4223" s="498"/>
      <c r="AJ4223" s="498"/>
      <c r="AM4223" s="498">
        <f t="shared" si="1446"/>
        <v>0</v>
      </c>
      <c r="AN4223" s="498">
        <f t="shared" si="1447"/>
        <v>0</v>
      </c>
      <c r="AO4223" s="498">
        <f t="shared" si="1448"/>
        <v>0</v>
      </c>
      <c r="AP4223" s="498">
        <f t="shared" si="1467"/>
        <v>0</v>
      </c>
      <c r="AQ4223" s="498">
        <f t="shared" si="1462"/>
        <v>0</v>
      </c>
      <c r="AU4223" s="498">
        <f t="shared" si="1449"/>
        <v>0</v>
      </c>
      <c r="AV4223" s="498">
        <f t="shared" si="1450"/>
        <v>0</v>
      </c>
      <c r="AW4223" s="498">
        <f t="shared" si="1451"/>
        <v>0</v>
      </c>
      <c r="AX4223" s="498">
        <f t="shared" si="1452"/>
        <v>0</v>
      </c>
      <c r="AY4223" s="498">
        <f t="shared" si="1453"/>
        <v>0</v>
      </c>
      <c r="BB4223" s="498" t="str">
        <f t="shared" si="1454"/>
        <v/>
      </c>
      <c r="BC4223" s="743" t="str">
        <f t="shared" si="1455"/>
        <v/>
      </c>
      <c r="BD4223" s="743" t="str">
        <f t="shared" si="1456"/>
        <v/>
      </c>
      <c r="BE4223" s="743" t="str">
        <f>IF(D4223="","",VLOOKUP(D4223,'General Basis'!$J$39:$K$46,2,0))</f>
        <v/>
      </c>
      <c r="BF4223" s="744" t="str">
        <f>IF(D4223="","",VLOOKUP(D4223,'General Basis'!$J$39:$L$46,3,0))</f>
        <v/>
      </c>
      <c r="BG4223" s="744" t="str">
        <f t="shared" si="1463"/>
        <v/>
      </c>
      <c r="BH4223" s="744" t="str">
        <f>IF(G4223="","",IF(BF4223="Abu Dhabi",IF(G4223&lt;18,'General Basis'!$C$39,IF(G4223&lt;41,'General Basis'!$C$40,IF(G4223&lt;60,'General Basis'!$C$41,IF(G4223&lt;65,'General Basis'!$C$42,'General Basis'!$C$43)))),IF(G4223&lt;11,'General Basis'!$B$39,IF(G4223&lt;18,'General Basis'!$B$40,IF(G4223&lt;26,'General Basis'!$B$41,IF(G4223&lt;31,'General Basis'!$B$42,IF(G4223&lt;36,'General Basis'!$B$43,IF(G4223&lt;41,'General Basis'!$B$44,IF(G4223&lt;46,'General Basis'!$B$45,IF(G4223&lt;51,'General Basis'!$B$46,IF(G4223&lt;56,'General Basis'!$B$47,IF(G4223&lt;60,'General Basis'!$B$48,IF(G4223&lt;65,'General Basis'!$B$49,'General Basis'!$B$50)))))))))))))</f>
        <v/>
      </c>
      <c r="BI4223" s="744" t="str">
        <f t="shared" si="1457"/>
        <v/>
      </c>
      <c r="BJ4223" s="747" t="str">
        <f t="shared" si="1464"/>
        <v/>
      </c>
      <c r="BK4223" s="498" t="str">
        <f t="shared" si="1458"/>
        <v/>
      </c>
      <c r="BL4223" s="498" t="str">
        <f t="shared" si="1459"/>
        <v/>
      </c>
    </row>
    <row r="4224" spans="1:64" x14ac:dyDescent="0.25">
      <c r="A4224" s="762">
        <f t="shared" si="1460"/>
        <v>4219</v>
      </c>
      <c r="B4224" s="229"/>
      <c r="C4224" s="223"/>
      <c r="D4224" s="224"/>
      <c r="E4224" s="225"/>
      <c r="F4224" s="1036" t="str">
        <f t="shared" si="1466"/>
        <v/>
      </c>
      <c r="G4224" s="1037" t="str">
        <f t="shared" si="1461"/>
        <v/>
      </c>
      <c r="H4224" s="225"/>
      <c r="I4224" s="1013"/>
      <c r="J4224" s="1013"/>
      <c r="K4224" s="1028"/>
      <c r="L4224" s="1035" t="str">
        <f t="shared" si="1465"/>
        <v/>
      </c>
      <c r="S4224" s="498"/>
      <c r="AJ4224" s="498"/>
      <c r="AM4224" s="498">
        <f t="shared" si="1446"/>
        <v>0</v>
      </c>
      <c r="AN4224" s="498">
        <f t="shared" si="1447"/>
        <v>0</v>
      </c>
      <c r="AO4224" s="498">
        <f t="shared" si="1448"/>
        <v>0</v>
      </c>
      <c r="AP4224" s="498">
        <f t="shared" si="1467"/>
        <v>0</v>
      </c>
      <c r="AQ4224" s="498">
        <f t="shared" si="1462"/>
        <v>0</v>
      </c>
      <c r="AU4224" s="498">
        <f t="shared" si="1449"/>
        <v>0</v>
      </c>
      <c r="AV4224" s="498">
        <f t="shared" si="1450"/>
        <v>0</v>
      </c>
      <c r="AW4224" s="498">
        <f t="shared" si="1451"/>
        <v>0</v>
      </c>
      <c r="AX4224" s="498">
        <f t="shared" si="1452"/>
        <v>0</v>
      </c>
      <c r="AY4224" s="498">
        <f t="shared" si="1453"/>
        <v>0</v>
      </c>
      <c r="BB4224" s="498" t="str">
        <f t="shared" si="1454"/>
        <v/>
      </c>
      <c r="BC4224" s="743" t="str">
        <f t="shared" si="1455"/>
        <v/>
      </c>
      <c r="BD4224" s="743" t="str">
        <f t="shared" si="1456"/>
        <v/>
      </c>
      <c r="BE4224" s="743" t="str">
        <f>IF(D4224="","",VLOOKUP(D4224,'General Basis'!$J$39:$K$46,2,0))</f>
        <v/>
      </c>
      <c r="BF4224" s="744" t="str">
        <f>IF(D4224="","",VLOOKUP(D4224,'General Basis'!$J$39:$L$46,3,0))</f>
        <v/>
      </c>
      <c r="BG4224" s="744" t="str">
        <f t="shared" si="1463"/>
        <v/>
      </c>
      <c r="BH4224" s="744" t="str">
        <f>IF(G4224="","",IF(BF4224="Abu Dhabi",IF(G4224&lt;18,'General Basis'!$C$39,IF(G4224&lt;41,'General Basis'!$C$40,IF(G4224&lt;60,'General Basis'!$C$41,IF(G4224&lt;65,'General Basis'!$C$42,'General Basis'!$C$43)))),IF(G4224&lt;11,'General Basis'!$B$39,IF(G4224&lt;18,'General Basis'!$B$40,IF(G4224&lt;26,'General Basis'!$B$41,IF(G4224&lt;31,'General Basis'!$B$42,IF(G4224&lt;36,'General Basis'!$B$43,IF(G4224&lt;41,'General Basis'!$B$44,IF(G4224&lt;46,'General Basis'!$B$45,IF(G4224&lt;51,'General Basis'!$B$46,IF(G4224&lt;56,'General Basis'!$B$47,IF(G4224&lt;60,'General Basis'!$B$48,IF(G4224&lt;65,'General Basis'!$B$49,'General Basis'!$B$50)))))))))))))</f>
        <v/>
      </c>
      <c r="BI4224" s="744" t="str">
        <f t="shared" si="1457"/>
        <v/>
      </c>
      <c r="BJ4224" s="747" t="str">
        <f t="shared" si="1464"/>
        <v/>
      </c>
      <c r="BK4224" s="498" t="str">
        <f t="shared" si="1458"/>
        <v/>
      </c>
      <c r="BL4224" s="498" t="str">
        <f t="shared" si="1459"/>
        <v/>
      </c>
    </row>
    <row r="4225" spans="1:64" x14ac:dyDescent="0.25">
      <c r="A4225" s="762">
        <f t="shared" si="1460"/>
        <v>4220</v>
      </c>
      <c r="B4225" s="229"/>
      <c r="C4225" s="223"/>
      <c r="D4225" s="224"/>
      <c r="E4225" s="225"/>
      <c r="F4225" s="1036" t="str">
        <f t="shared" si="1466"/>
        <v/>
      </c>
      <c r="G4225" s="1037" t="str">
        <f t="shared" si="1461"/>
        <v/>
      </c>
      <c r="H4225" s="225"/>
      <c r="I4225" s="1013"/>
      <c r="J4225" s="1013"/>
      <c r="K4225" s="1028"/>
      <c r="L4225" s="1035" t="str">
        <f t="shared" si="1465"/>
        <v/>
      </c>
      <c r="S4225" s="498"/>
      <c r="AJ4225" s="498"/>
      <c r="AM4225" s="498">
        <f t="shared" si="1446"/>
        <v>0</v>
      </c>
      <c r="AN4225" s="498">
        <f t="shared" si="1447"/>
        <v>0</v>
      </c>
      <c r="AO4225" s="498">
        <f t="shared" si="1448"/>
        <v>0</v>
      </c>
      <c r="AP4225" s="498">
        <f t="shared" si="1467"/>
        <v>0</v>
      </c>
      <c r="AQ4225" s="498">
        <f t="shared" si="1462"/>
        <v>0</v>
      </c>
      <c r="AU4225" s="498">
        <f t="shared" si="1449"/>
        <v>0</v>
      </c>
      <c r="AV4225" s="498">
        <f t="shared" si="1450"/>
        <v>0</v>
      </c>
      <c r="AW4225" s="498">
        <f t="shared" si="1451"/>
        <v>0</v>
      </c>
      <c r="AX4225" s="498">
        <f t="shared" si="1452"/>
        <v>0</v>
      </c>
      <c r="AY4225" s="498">
        <f t="shared" si="1453"/>
        <v>0</v>
      </c>
      <c r="BB4225" s="498" t="str">
        <f t="shared" si="1454"/>
        <v/>
      </c>
      <c r="BC4225" s="743" t="str">
        <f t="shared" si="1455"/>
        <v/>
      </c>
      <c r="BD4225" s="743" t="str">
        <f t="shared" si="1456"/>
        <v/>
      </c>
      <c r="BE4225" s="743" t="str">
        <f>IF(D4225="","",VLOOKUP(D4225,'General Basis'!$J$39:$K$46,2,0))</f>
        <v/>
      </c>
      <c r="BF4225" s="744" t="str">
        <f>IF(D4225="","",VLOOKUP(D4225,'General Basis'!$J$39:$L$46,3,0))</f>
        <v/>
      </c>
      <c r="BG4225" s="744" t="str">
        <f t="shared" si="1463"/>
        <v/>
      </c>
      <c r="BH4225" s="744" t="str">
        <f>IF(G4225="","",IF(BF4225="Abu Dhabi",IF(G4225&lt;18,'General Basis'!$C$39,IF(G4225&lt;41,'General Basis'!$C$40,IF(G4225&lt;60,'General Basis'!$C$41,IF(G4225&lt;65,'General Basis'!$C$42,'General Basis'!$C$43)))),IF(G4225&lt;11,'General Basis'!$B$39,IF(G4225&lt;18,'General Basis'!$B$40,IF(G4225&lt;26,'General Basis'!$B$41,IF(G4225&lt;31,'General Basis'!$B$42,IF(G4225&lt;36,'General Basis'!$B$43,IF(G4225&lt;41,'General Basis'!$B$44,IF(G4225&lt;46,'General Basis'!$B$45,IF(G4225&lt;51,'General Basis'!$B$46,IF(G4225&lt;56,'General Basis'!$B$47,IF(G4225&lt;60,'General Basis'!$B$48,IF(G4225&lt;65,'General Basis'!$B$49,'General Basis'!$B$50)))))))))))))</f>
        <v/>
      </c>
      <c r="BI4225" s="744" t="str">
        <f t="shared" si="1457"/>
        <v/>
      </c>
      <c r="BJ4225" s="747" t="str">
        <f t="shared" si="1464"/>
        <v/>
      </c>
      <c r="BK4225" s="498" t="str">
        <f t="shared" si="1458"/>
        <v/>
      </c>
      <c r="BL4225" s="498" t="str">
        <f t="shared" si="1459"/>
        <v/>
      </c>
    </row>
    <row r="4226" spans="1:64" x14ac:dyDescent="0.25">
      <c r="A4226" s="762">
        <f t="shared" si="1460"/>
        <v>4221</v>
      </c>
      <c r="B4226" s="229"/>
      <c r="C4226" s="223"/>
      <c r="D4226" s="224"/>
      <c r="E4226" s="225"/>
      <c r="F4226" s="1036" t="str">
        <f t="shared" si="1466"/>
        <v/>
      </c>
      <c r="G4226" s="1037" t="str">
        <f t="shared" si="1461"/>
        <v/>
      </c>
      <c r="H4226" s="225"/>
      <c r="I4226" s="1013"/>
      <c r="J4226" s="1013"/>
      <c r="K4226" s="1028"/>
      <c r="L4226" s="1035" t="str">
        <f t="shared" si="1465"/>
        <v/>
      </c>
      <c r="S4226" s="498"/>
      <c r="AJ4226" s="498"/>
      <c r="AM4226" s="498">
        <f t="shared" si="1446"/>
        <v>0</v>
      </c>
      <c r="AN4226" s="498">
        <f t="shared" si="1447"/>
        <v>0</v>
      </c>
      <c r="AO4226" s="498">
        <f t="shared" si="1448"/>
        <v>0</v>
      </c>
      <c r="AP4226" s="498">
        <f t="shared" si="1467"/>
        <v>0</v>
      </c>
      <c r="AQ4226" s="498">
        <f t="shared" si="1462"/>
        <v>0</v>
      </c>
      <c r="AU4226" s="498">
        <f t="shared" si="1449"/>
        <v>0</v>
      </c>
      <c r="AV4226" s="498">
        <f t="shared" si="1450"/>
        <v>0</v>
      </c>
      <c r="AW4226" s="498">
        <f t="shared" si="1451"/>
        <v>0</v>
      </c>
      <c r="AX4226" s="498">
        <f t="shared" si="1452"/>
        <v>0</v>
      </c>
      <c r="AY4226" s="498">
        <f t="shared" si="1453"/>
        <v>0</v>
      </c>
      <c r="BB4226" s="498" t="str">
        <f t="shared" si="1454"/>
        <v/>
      </c>
      <c r="BC4226" s="743" t="str">
        <f t="shared" si="1455"/>
        <v/>
      </c>
      <c r="BD4226" s="743" t="str">
        <f t="shared" si="1456"/>
        <v/>
      </c>
      <c r="BE4226" s="743" t="str">
        <f>IF(D4226="","",VLOOKUP(D4226,'General Basis'!$J$39:$K$46,2,0))</f>
        <v/>
      </c>
      <c r="BF4226" s="744" t="str">
        <f>IF(D4226="","",VLOOKUP(D4226,'General Basis'!$J$39:$L$46,3,0))</f>
        <v/>
      </c>
      <c r="BG4226" s="744" t="str">
        <f t="shared" si="1463"/>
        <v/>
      </c>
      <c r="BH4226" s="744" t="str">
        <f>IF(G4226="","",IF(BF4226="Abu Dhabi",IF(G4226&lt;18,'General Basis'!$C$39,IF(G4226&lt;41,'General Basis'!$C$40,IF(G4226&lt;60,'General Basis'!$C$41,IF(G4226&lt;65,'General Basis'!$C$42,'General Basis'!$C$43)))),IF(G4226&lt;11,'General Basis'!$B$39,IF(G4226&lt;18,'General Basis'!$B$40,IF(G4226&lt;26,'General Basis'!$B$41,IF(G4226&lt;31,'General Basis'!$B$42,IF(G4226&lt;36,'General Basis'!$B$43,IF(G4226&lt;41,'General Basis'!$B$44,IF(G4226&lt;46,'General Basis'!$B$45,IF(G4226&lt;51,'General Basis'!$B$46,IF(G4226&lt;56,'General Basis'!$B$47,IF(G4226&lt;60,'General Basis'!$B$48,IF(G4226&lt;65,'General Basis'!$B$49,'General Basis'!$B$50)))))))))))))</f>
        <v/>
      </c>
      <c r="BI4226" s="744" t="str">
        <f t="shared" si="1457"/>
        <v/>
      </c>
      <c r="BJ4226" s="747" t="str">
        <f t="shared" si="1464"/>
        <v/>
      </c>
      <c r="BK4226" s="498" t="str">
        <f t="shared" si="1458"/>
        <v/>
      </c>
      <c r="BL4226" s="498" t="str">
        <f t="shared" si="1459"/>
        <v/>
      </c>
    </row>
    <row r="4227" spans="1:64" x14ac:dyDescent="0.25">
      <c r="A4227" s="762">
        <f t="shared" si="1460"/>
        <v>4222</v>
      </c>
      <c r="B4227" s="229"/>
      <c r="C4227" s="223"/>
      <c r="D4227" s="224"/>
      <c r="E4227" s="225"/>
      <c r="F4227" s="1036" t="str">
        <f t="shared" si="1466"/>
        <v/>
      </c>
      <c r="G4227" s="1037" t="str">
        <f t="shared" si="1461"/>
        <v/>
      </c>
      <c r="H4227" s="225"/>
      <c r="I4227" s="1013"/>
      <c r="J4227" s="1013"/>
      <c r="K4227" s="1028"/>
      <c r="L4227" s="1035" t="str">
        <f t="shared" si="1465"/>
        <v/>
      </c>
      <c r="S4227" s="498"/>
      <c r="AJ4227" s="498"/>
      <c r="AM4227" s="498">
        <f t="shared" si="1446"/>
        <v>0</v>
      </c>
      <c r="AN4227" s="498">
        <f t="shared" si="1447"/>
        <v>0</v>
      </c>
      <c r="AO4227" s="498">
        <f t="shared" si="1448"/>
        <v>0</v>
      </c>
      <c r="AP4227" s="498">
        <f t="shared" si="1467"/>
        <v>0</v>
      </c>
      <c r="AQ4227" s="498">
        <f t="shared" si="1462"/>
        <v>0</v>
      </c>
      <c r="AU4227" s="498">
        <f t="shared" si="1449"/>
        <v>0</v>
      </c>
      <c r="AV4227" s="498">
        <f t="shared" si="1450"/>
        <v>0</v>
      </c>
      <c r="AW4227" s="498">
        <f t="shared" si="1451"/>
        <v>0</v>
      </c>
      <c r="AX4227" s="498">
        <f t="shared" si="1452"/>
        <v>0</v>
      </c>
      <c r="AY4227" s="498">
        <f t="shared" si="1453"/>
        <v>0</v>
      </c>
      <c r="BB4227" s="498" t="str">
        <f t="shared" si="1454"/>
        <v/>
      </c>
      <c r="BC4227" s="743" t="str">
        <f t="shared" si="1455"/>
        <v/>
      </c>
      <c r="BD4227" s="743" t="str">
        <f t="shared" si="1456"/>
        <v/>
      </c>
      <c r="BE4227" s="743" t="str">
        <f>IF(D4227="","",VLOOKUP(D4227,'General Basis'!$J$39:$K$46,2,0))</f>
        <v/>
      </c>
      <c r="BF4227" s="744" t="str">
        <f>IF(D4227="","",VLOOKUP(D4227,'General Basis'!$J$39:$L$46,3,0))</f>
        <v/>
      </c>
      <c r="BG4227" s="744" t="str">
        <f t="shared" si="1463"/>
        <v/>
      </c>
      <c r="BH4227" s="744" t="str">
        <f>IF(G4227="","",IF(BF4227="Abu Dhabi",IF(G4227&lt;18,'General Basis'!$C$39,IF(G4227&lt;41,'General Basis'!$C$40,IF(G4227&lt;60,'General Basis'!$C$41,IF(G4227&lt;65,'General Basis'!$C$42,'General Basis'!$C$43)))),IF(G4227&lt;11,'General Basis'!$B$39,IF(G4227&lt;18,'General Basis'!$B$40,IF(G4227&lt;26,'General Basis'!$B$41,IF(G4227&lt;31,'General Basis'!$B$42,IF(G4227&lt;36,'General Basis'!$B$43,IF(G4227&lt;41,'General Basis'!$B$44,IF(G4227&lt;46,'General Basis'!$B$45,IF(G4227&lt;51,'General Basis'!$B$46,IF(G4227&lt;56,'General Basis'!$B$47,IF(G4227&lt;60,'General Basis'!$B$48,IF(G4227&lt;65,'General Basis'!$B$49,'General Basis'!$B$50)))))))))))))</f>
        <v/>
      </c>
      <c r="BI4227" s="744" t="str">
        <f t="shared" si="1457"/>
        <v/>
      </c>
      <c r="BJ4227" s="747" t="str">
        <f t="shared" si="1464"/>
        <v/>
      </c>
      <c r="BK4227" s="498" t="str">
        <f t="shared" si="1458"/>
        <v/>
      </c>
      <c r="BL4227" s="498" t="str">
        <f t="shared" si="1459"/>
        <v/>
      </c>
    </row>
    <row r="4228" spans="1:64" x14ac:dyDescent="0.25">
      <c r="A4228" s="762">
        <f t="shared" si="1460"/>
        <v>4223</v>
      </c>
      <c r="B4228" s="229"/>
      <c r="C4228" s="223"/>
      <c r="D4228" s="224"/>
      <c r="E4228" s="225"/>
      <c r="F4228" s="1036" t="str">
        <f t="shared" si="1466"/>
        <v/>
      </c>
      <c r="G4228" s="1037" t="str">
        <f t="shared" si="1461"/>
        <v/>
      </c>
      <c r="H4228" s="225"/>
      <c r="I4228" s="1013"/>
      <c r="J4228" s="1013"/>
      <c r="K4228" s="1028"/>
      <c r="L4228" s="1035" t="str">
        <f t="shared" si="1465"/>
        <v/>
      </c>
      <c r="S4228" s="498"/>
      <c r="AJ4228" s="498"/>
      <c r="AM4228" s="498">
        <f t="shared" si="1446"/>
        <v>0</v>
      </c>
      <c r="AN4228" s="498">
        <f t="shared" si="1447"/>
        <v>0</v>
      </c>
      <c r="AO4228" s="498">
        <f t="shared" si="1448"/>
        <v>0</v>
      </c>
      <c r="AP4228" s="498">
        <f t="shared" si="1467"/>
        <v>0</v>
      </c>
      <c r="AQ4228" s="498">
        <f t="shared" si="1462"/>
        <v>0</v>
      </c>
      <c r="AU4228" s="498">
        <f t="shared" si="1449"/>
        <v>0</v>
      </c>
      <c r="AV4228" s="498">
        <f t="shared" si="1450"/>
        <v>0</v>
      </c>
      <c r="AW4228" s="498">
        <f t="shared" si="1451"/>
        <v>0</v>
      </c>
      <c r="AX4228" s="498">
        <f t="shared" si="1452"/>
        <v>0</v>
      </c>
      <c r="AY4228" s="498">
        <f t="shared" si="1453"/>
        <v>0</v>
      </c>
      <c r="BB4228" s="498" t="str">
        <f t="shared" si="1454"/>
        <v/>
      </c>
      <c r="BC4228" s="743" t="str">
        <f t="shared" si="1455"/>
        <v/>
      </c>
      <c r="BD4228" s="743" t="str">
        <f t="shared" si="1456"/>
        <v/>
      </c>
      <c r="BE4228" s="743" t="str">
        <f>IF(D4228="","",VLOOKUP(D4228,'General Basis'!$J$39:$K$46,2,0))</f>
        <v/>
      </c>
      <c r="BF4228" s="744" t="str">
        <f>IF(D4228="","",VLOOKUP(D4228,'General Basis'!$J$39:$L$46,3,0))</f>
        <v/>
      </c>
      <c r="BG4228" s="744" t="str">
        <f t="shared" si="1463"/>
        <v/>
      </c>
      <c r="BH4228" s="744" t="str">
        <f>IF(G4228="","",IF(BF4228="Abu Dhabi",IF(G4228&lt;18,'General Basis'!$C$39,IF(G4228&lt;41,'General Basis'!$C$40,IF(G4228&lt;60,'General Basis'!$C$41,IF(G4228&lt;65,'General Basis'!$C$42,'General Basis'!$C$43)))),IF(G4228&lt;11,'General Basis'!$B$39,IF(G4228&lt;18,'General Basis'!$B$40,IF(G4228&lt;26,'General Basis'!$B$41,IF(G4228&lt;31,'General Basis'!$B$42,IF(G4228&lt;36,'General Basis'!$B$43,IF(G4228&lt;41,'General Basis'!$B$44,IF(G4228&lt;46,'General Basis'!$B$45,IF(G4228&lt;51,'General Basis'!$B$46,IF(G4228&lt;56,'General Basis'!$B$47,IF(G4228&lt;60,'General Basis'!$B$48,IF(G4228&lt;65,'General Basis'!$B$49,'General Basis'!$B$50)))))))))))))</f>
        <v/>
      </c>
      <c r="BI4228" s="744" t="str">
        <f t="shared" si="1457"/>
        <v/>
      </c>
      <c r="BJ4228" s="747" t="str">
        <f t="shared" si="1464"/>
        <v/>
      </c>
      <c r="BK4228" s="498" t="str">
        <f t="shared" si="1458"/>
        <v/>
      </c>
      <c r="BL4228" s="498" t="str">
        <f t="shared" si="1459"/>
        <v/>
      </c>
    </row>
    <row r="4229" spans="1:64" x14ac:dyDescent="0.25">
      <c r="A4229" s="762">
        <f t="shared" si="1460"/>
        <v>4224</v>
      </c>
      <c r="B4229" s="229"/>
      <c r="C4229" s="223"/>
      <c r="D4229" s="224"/>
      <c r="E4229" s="225"/>
      <c r="F4229" s="1036" t="str">
        <f t="shared" si="1466"/>
        <v/>
      </c>
      <c r="G4229" s="1037" t="str">
        <f t="shared" si="1461"/>
        <v/>
      </c>
      <c r="H4229" s="225"/>
      <c r="I4229" s="1013"/>
      <c r="J4229" s="1013"/>
      <c r="K4229" s="1028"/>
      <c r="L4229" s="1035" t="str">
        <f t="shared" si="1465"/>
        <v/>
      </c>
      <c r="S4229" s="498"/>
      <c r="AJ4229" s="498"/>
      <c r="AM4229" s="498">
        <f t="shared" si="1446"/>
        <v>0</v>
      </c>
      <c r="AN4229" s="498">
        <f t="shared" si="1447"/>
        <v>0</v>
      </c>
      <c r="AO4229" s="498">
        <f t="shared" si="1448"/>
        <v>0</v>
      </c>
      <c r="AP4229" s="498">
        <f t="shared" si="1467"/>
        <v>0</v>
      </c>
      <c r="AQ4229" s="498">
        <f t="shared" si="1462"/>
        <v>0</v>
      </c>
      <c r="AU4229" s="498">
        <f t="shared" si="1449"/>
        <v>0</v>
      </c>
      <c r="AV4229" s="498">
        <f t="shared" si="1450"/>
        <v>0</v>
      </c>
      <c r="AW4229" s="498">
        <f t="shared" si="1451"/>
        <v>0</v>
      </c>
      <c r="AX4229" s="498">
        <f t="shared" si="1452"/>
        <v>0</v>
      </c>
      <c r="AY4229" s="498">
        <f t="shared" si="1453"/>
        <v>0</v>
      </c>
      <c r="BB4229" s="498" t="str">
        <f t="shared" si="1454"/>
        <v/>
      </c>
      <c r="BC4229" s="743" t="str">
        <f t="shared" si="1455"/>
        <v/>
      </c>
      <c r="BD4229" s="743" t="str">
        <f t="shared" si="1456"/>
        <v/>
      </c>
      <c r="BE4229" s="743" t="str">
        <f>IF(D4229="","",VLOOKUP(D4229,'General Basis'!$J$39:$K$46,2,0))</f>
        <v/>
      </c>
      <c r="BF4229" s="744" t="str">
        <f>IF(D4229="","",VLOOKUP(D4229,'General Basis'!$J$39:$L$46,3,0))</f>
        <v/>
      </c>
      <c r="BG4229" s="744" t="str">
        <f t="shared" si="1463"/>
        <v/>
      </c>
      <c r="BH4229" s="744" t="str">
        <f>IF(G4229="","",IF(BF4229="Abu Dhabi",IF(G4229&lt;18,'General Basis'!$C$39,IF(G4229&lt;41,'General Basis'!$C$40,IF(G4229&lt;60,'General Basis'!$C$41,IF(G4229&lt;65,'General Basis'!$C$42,'General Basis'!$C$43)))),IF(G4229&lt;11,'General Basis'!$B$39,IF(G4229&lt;18,'General Basis'!$B$40,IF(G4229&lt;26,'General Basis'!$B$41,IF(G4229&lt;31,'General Basis'!$B$42,IF(G4229&lt;36,'General Basis'!$B$43,IF(G4229&lt;41,'General Basis'!$B$44,IF(G4229&lt;46,'General Basis'!$B$45,IF(G4229&lt;51,'General Basis'!$B$46,IF(G4229&lt;56,'General Basis'!$B$47,IF(G4229&lt;60,'General Basis'!$B$48,IF(G4229&lt;65,'General Basis'!$B$49,'General Basis'!$B$50)))))))))))))</f>
        <v/>
      </c>
      <c r="BI4229" s="744" t="str">
        <f t="shared" si="1457"/>
        <v/>
      </c>
      <c r="BJ4229" s="747" t="str">
        <f t="shared" si="1464"/>
        <v/>
      </c>
      <c r="BK4229" s="498" t="str">
        <f t="shared" si="1458"/>
        <v/>
      </c>
      <c r="BL4229" s="498" t="str">
        <f t="shared" si="1459"/>
        <v/>
      </c>
    </row>
    <row r="4230" spans="1:64" x14ac:dyDescent="0.25">
      <c r="A4230" s="762">
        <f t="shared" si="1460"/>
        <v>4225</v>
      </c>
      <c r="B4230" s="229"/>
      <c r="C4230" s="223"/>
      <c r="D4230" s="224"/>
      <c r="E4230" s="225"/>
      <c r="F4230" s="1036" t="str">
        <f t="shared" si="1466"/>
        <v/>
      </c>
      <c r="G4230" s="1037" t="str">
        <f t="shared" si="1461"/>
        <v/>
      </c>
      <c r="H4230" s="225"/>
      <c r="I4230" s="1013"/>
      <c r="J4230" s="1013"/>
      <c r="K4230" s="1028"/>
      <c r="L4230" s="1035" t="str">
        <f t="shared" si="1465"/>
        <v/>
      </c>
      <c r="S4230" s="498"/>
      <c r="AJ4230" s="498"/>
      <c r="AM4230" s="498">
        <f t="shared" ref="AM4230:AM4293" si="1468">IF(ISTEXT(B4230),1,0)</f>
        <v>0</v>
      </c>
      <c r="AN4230" s="498">
        <f t="shared" ref="AN4230:AN4293" si="1469">IF(ISBLANK(B4230),0,IF(B4230&lt;$AK$6,1,0))</f>
        <v>0</v>
      </c>
      <c r="AO4230" s="498">
        <f t="shared" ref="AO4230:AO4293" si="1470">IF(ISBLANK(B4230),0,IF(B4230&gt;$AK$7,1,0))</f>
        <v>0</v>
      </c>
      <c r="AP4230" s="498">
        <f t="shared" si="1467"/>
        <v>0</v>
      </c>
      <c r="AQ4230" s="498">
        <f t="shared" si="1462"/>
        <v>0</v>
      </c>
      <c r="AU4230" s="498">
        <f t="shared" ref="AU4230:AU4293" si="1471">IF(ISBLANK(B4230),0,1)</f>
        <v>0</v>
      </c>
      <c r="AV4230" s="498">
        <f t="shared" ref="AV4230:AV4293" si="1472">IF(ISBLANK(C4230),0,1)</f>
        <v>0</v>
      </c>
      <c r="AW4230" s="498">
        <f t="shared" ref="AW4230:AW4293" si="1473">IF(ISBLANK(D4230),0,1)</f>
        <v>0</v>
      </c>
      <c r="AX4230" s="498">
        <f t="shared" ref="AX4230:AX4293" si="1474">IF(ISBLANK(E4230),0,1)</f>
        <v>0</v>
      </c>
      <c r="AY4230" s="498">
        <f t="shared" ref="AY4230:AY4293" si="1475">IF(ISBLANK(H4230),0,1)</f>
        <v>0</v>
      </c>
      <c r="BB4230" s="498" t="str">
        <f t="shared" ref="BB4230:BB4293" si="1476">IF(E4230="Principal","Principal",IF(E4230="","","Other"))</f>
        <v/>
      </c>
      <c r="BC4230" s="743" t="str">
        <f t="shared" ref="BC4230:BC4293" si="1477">IF(D4230="","",D4230)</f>
        <v/>
      </c>
      <c r="BD4230" s="743" t="str">
        <f t="shared" ref="BD4230:BD4293" si="1478">IF(E4230="Principal","Employee",IF(E4230="","","Dependent"))</f>
        <v/>
      </c>
      <c r="BE4230" s="743" t="str">
        <f>IF(D4230="","",VLOOKUP(D4230,'General Basis'!$J$39:$K$46,2,0))</f>
        <v/>
      </c>
      <c r="BF4230" s="744" t="str">
        <f>IF(D4230="","",VLOOKUP(D4230,'General Basis'!$J$39:$L$46,3,0))</f>
        <v/>
      </c>
      <c r="BG4230" s="744" t="str">
        <f t="shared" si="1463"/>
        <v/>
      </c>
      <c r="BH4230" s="744" t="str">
        <f>IF(G4230="","",IF(BF4230="Abu Dhabi",IF(G4230&lt;18,'General Basis'!$C$39,IF(G4230&lt;41,'General Basis'!$C$40,IF(G4230&lt;60,'General Basis'!$C$41,IF(G4230&lt;65,'General Basis'!$C$42,'General Basis'!$C$43)))),IF(G4230&lt;11,'General Basis'!$B$39,IF(G4230&lt;18,'General Basis'!$B$40,IF(G4230&lt;26,'General Basis'!$B$41,IF(G4230&lt;31,'General Basis'!$B$42,IF(G4230&lt;36,'General Basis'!$B$43,IF(G4230&lt;41,'General Basis'!$B$44,IF(G4230&lt;46,'General Basis'!$B$45,IF(G4230&lt;51,'General Basis'!$B$46,IF(G4230&lt;56,'General Basis'!$B$47,IF(G4230&lt;60,'General Basis'!$B$48,IF(G4230&lt;65,'General Basis'!$B$49,'General Basis'!$B$50)))))))))))))</f>
        <v/>
      </c>
      <c r="BI4230" s="744" t="str">
        <f t="shared" ref="BI4230:BI4293" si="1479">IF(C4230="","",IF(C4230="M","Male","Female"))</f>
        <v/>
      </c>
      <c r="BJ4230" s="747" t="str">
        <f t="shared" si="1464"/>
        <v/>
      </c>
      <c r="BK4230" s="498" t="str">
        <f t="shared" ref="BK4230:BK4293" si="1480">IF(BD4230="","",IF(AND(BD4230="Employee",BI4230="Male",BF4230="Abu Dhabi",BE4230=GN_Plus),VLOOKUP(BH4230,AUH_MALE_EMP,2,0),IF(AND(BD4230="Employee",BI4230="Male",BF4230="Abu Dhabi",BE4230=GN),VLOOKUP(BH4230,AUH_MALE_EMP,3,0),IF(AND(BD4230="Employee",BI4230="Male",BF4230="Abu Dhabi",BE4230=RN_Plus),VLOOKUP(BH4230,AUH_MALE_EMP,4,0),IF(AND(BD4230="Employee",BI4230="Male",BF4230="Abu Dhabi",BE4230=RN),VLOOKUP(BH4230,AUH_MALE_EMP,5,0),IF(AND(BD4230="Employee",BI4230="Male",BF4230="Abu Dhabi",BE4230=RN_2),VLOOKUP(BH4230,AUH_MALE_EMP,6,0),IF(AND(BD4230="Employee",BI4230="Male",BF4230="Abu Dhabi",BE4230=RN2_minus),VLOOKUP(BH4230,AUH_MALE_EMP,7,0),IF(AND(BD4230="Employee",BI4230="Male",BF4230="Abu Dhabi",BE4230=RN_3),VLOOKUP(BH4230,AUH_MALE_EMP,8,0),IF(AND(BD4230="Employee",BI4230="Male",BF4230="Abu Dhabi",BE4230=VN),VLOOKUP(BH4230,AUH_MALE_EMP,9,0),IF(BD4230="","",IF(AND(BD4230="Employee",BI4230="Female",BF4230="Abu Dhabi",BE4230=GN_Plus),VLOOKUP(BH4230,AUH_FEMALE_EMP,2,0),IF(AND(BD4230="Employee",BI4230="Female",BF4230="Abu Dhabi",BE4230=GN),VLOOKUP(BH4230,AUH_FEMALE_EMP,3,0),IF(AND(BD4230="Employee",BI4230="Female",BF4230="Abu Dhabi",BE4230=RN_Plus),VLOOKUP(BH4230,AUH_FEMALE_EMP,4,0),IF(AND(BD4230="Employee",BI4230="Female",BF4230="Abu Dhabi",BE4230=RN),VLOOKUP(BH4230,AUH_FEMALE_EMP,5,0),IF(AND(BD4230="Employee",BI4230="Female",BF4230="Abu Dhabi",BE4230=RN_2),VLOOKUP(BH4230,AUH_FEMALE_EMP,6,0),IF(AND(BD4230="Employee",BI4230="Female",BF4230="Abu Dhabi",BE4230=RN2_minus),VLOOKUP(BH4230,AUH_FEMALE_EMP,7,0),IF(AND(BD4230="Employee",BI4230="Female",BF4230="Abu Dhabi",BE4230=RN_3),VLOOKUP(BH4230,AUH_FEMALE_EMP,8,0),IF(AND(BD4230="Employee",BI4230="Female",BF4230="Abu Dhabi",BE4230=VN),VLOOKUP(BH4230,AUH_FEMALE_EMP,9,0),IF(BD4230="","",IF(AND(BD4230="Dependent",BI4230="Male",BF4230="Abu Dhabi",BE4230=GN_Plus),VLOOKUP(BH4230,AUH_MALE_DEP,2,0),IF(AND(BD4230="Dependent",BI4230="Male",BF4230="Abu Dhabi",BE4230=GN),VLOOKUP(BH4230,AUH_MALE_DEP,3,0),IF(AND(BD4230="Dependent",BI4230="Male",BF4230="Abu Dhabi",BE4230=RN_Plus),VLOOKUP(BH4230,AUH_MALE_DEP,4,0),IF(AND(BD4230="Dependent",BI4230="Male",BF4230="Abu Dhabi",BE4230=RN),VLOOKUP(BH4230,AUH_MALE_DEP,5,0),IF(AND(BD4230="Dependent",BI4230="Male",BF4230="Abu Dhabi",BE4230=RN_2),VLOOKUP(BH4230,AUH_MALE_DEP,6,0),IF(AND(BD4230="Dependent",BI4230="Male",BF4230="Abu Dhabi",BE4230=RN2_minus),VLOOKUP(BH4230,AUH_MALE_DEP,7,0),IF(AND(BD4230="Dependent",BI4230="Male",BF4230="Abu Dhabi",BE4230=RN_3),VLOOKUP(BH4230,AUH_MALE_DEP,8,0),IF(AND(BD4230="Dependent",BI4230="Male",BF4230="Abu Dhabi",BE4230=VN),VLOOKUP(BH4230,AUH_MALE_DEP,9,0),IF(BD4230="","",IF(AND(BD4230="Dependent",BI4230="Female",BF4230="Abu Dhabi",BE4230=GN_Plus),VLOOKUP(BH4230,AUH_FEMALE_DEP,2,0),IF(AND(BD4230="Dependent",BI4230="Female",BF4230="Abu Dhabi",BE4230=GN),VLOOKUP(BH4230,AUH_FEMALE_DEP,3,0),IF(AND(BD4230="Dependent",BI4230="Female",BF4230="Abu Dhabi",BE4230=RN_Plus),VLOOKUP(BH4230,AUH_FEMALE_DEP,4,0),IF(AND(BD4230="Dependent",BI4230="Female",BF4230="Abu Dhabi",BE4230=RN),VLOOKUP(BH4230,AUH_FEMALE_DEP,5,0),IF(AND(BD4230="Dependent",BI4230="Female",BF4230="Abu Dhabi",BE4230=RN_2),VLOOKUP(BH4230,AUH_FEMALE_DEP,6,0),IF(AND(BD4230="Dependent",BI4230="Female",BF4230="Abu Dhabi",BE4230=RN2_minus),VLOOKUP(BH4230,AUH_FEMALE_DEP,7,0),IF(AND(BD4230="Dependent",BI4230="Female",BF4230="Abu Dhabi",BE4230=RN_3),VLOOKUP(BH4230,AUH_FEMALE_DEP,8,0),IF(AND(BD4230="Dependent",BI4230="Female",BF4230="Abu Dhabi",BE4230=VN),VLOOKUP(BH4230,AUH_FEMALE_DEP,9,0),"ABC"))))))))))))))))))))))))))))))))))))</f>
        <v/>
      </c>
      <c r="BL4230" s="498" t="str">
        <f t="shared" ref="BL4230:BL4293" si="1481">IF(BD4230="","",IF(AND(BD4230="Employee",BI4230="Male",BF4230="Dubai",BE4230=GN_Plus),VLOOKUP(BH4230,DXB_MALE_EMP,2,0),IF(AND(BD4230="Employee",BI4230="Male",BF4230="Dubai",BE4230=GN),VLOOKUP(BH4230,DXB_MALE_EMP,3,0),IF(AND(BD4230="Employee",BI4230="Male",BF4230="Dubai",BE4230=RN_Plus),VLOOKUP(BH4230,DXB_MALE_EMP,4,0),IF(AND(BD4230="Employee",BI4230="Male",BF4230="Dubai",BE4230=RN),VLOOKUP(BH4230,DXB_MALE_EMP,5,0),IF(AND(BD4230="Employee",BI4230="Male",BF4230="Dubai",BE4230=RN_2),VLOOKUP(BH4230,DXB_MALE_EMP,6,0),IF(AND(BD4230="Employee",BI4230="Male",BF4230="Dubai",BE4230=RN2_minus),VLOOKUP(BH4230,DXB_MALE_EMP,7,0),IF(AND(BD4230="Employee",BI4230="Male",BF4230="Dubai",BE4230=RN_3),VLOOKUP(BH4230,DXB_MALE_EMP,8,0),IF(AND(BD4230="Employee",BI4230="Male",BF4230="Dubai",BE4230=VN),VLOOKUP(BH4230,DXB_MALE_EMP,9,0),IF(BD4230="","",IF(AND(BD4230="Employee",BI4230="Female",BF4230="Dubai",BE4230=GN_Plus),VLOOKUP(BH4230,DXB_FEMALE_EMP,2,0),IF(AND(BD4230="Employee",BI4230="Female",BF4230="Dubai",BE4230=GN),VLOOKUP(BH4230,DXB_FEMALE_EMP,3,0),IF(AND(BD4230="Employee",BI4230="Female",BF4230="Dubai",BE4230=RN_Plus),VLOOKUP(BH4230,DXB_FEMALE_EMP,4,0),IF(AND(BD4230="Employee",BI4230="Female",BF4230="Dubai",BE4230=RN),VLOOKUP(BH4230,DXB_FEMALE_EMP,5,0),IF(AND(BD4230="Employee",BI4230="Female",BF4230="Dubai",BE4230=RN_2),VLOOKUP(BH4230,DXB_FEMALE_EMP,6,0),IF(AND(BD4230="Employee",BI4230="Female",BF4230="Dubai",BE4230=RN2_minus),VLOOKUP(BH4230,DXB_FEMALE_EMP,7,0),IF(AND(BD4230="Employee",BI4230="Female",BF4230="Dubai",BE4230=RN_3),VLOOKUP(BH4230,DXB_FEMALE_EMP,8,0),IF(AND(BD4230="Employee",BI4230="Female",BF4230="Dubai",BE4230=VN),VLOOKUP(BH4230,DXB_FEMALE_EMP,9,0),IF(BD4230="","",IF(AND(BD4230="Dependent",BI4230="Male",BF4230="Dubai",BE4230=GN_Plus),VLOOKUP(BH4230,DXB_MALE_DEP,2,0),IF(AND(BD4230="Dependent",BI4230="Male",BF4230="Dubai",BE4230=GN),VLOOKUP(BH4230,DXB_MALE_DEP,3,0),IF(AND(BD4230="Dependent",BI4230="Male",BF4230="Dubai",BE4230=RN_Plus),VLOOKUP(BH4230,DXB_MALE_DEP,4,0),IF(AND(BD4230="Dependent",BI4230="Male",BF4230="Dubai",BE4230=RN),VLOOKUP(BH4230,DXB_MALE_DEP,5,0),IF(AND(BD4230="Dependent",BI4230="Male",BF4230="Dubai",BE4230=RN_2),VLOOKUP(BH4230,DXB_MALE_DEP,6,0),IF(AND(BD4230="Dependent",BI4230="Male",BF4230="Dubai",BE4230=RN2_minus),VLOOKUP(BH4230,DXB_MALE_DEP,7,0),IF(AND(BD4230="Dependent",BI4230="Male",BF4230="Dubai",BE4230=RN_3),VLOOKUP(BH4230,DXB_MALE_DEP,8,0),IF(AND(BD4230="Dependent",BI4230="Male",BF4230="Dubai",BE4230=VN),VLOOKUP(BH4230,DXB_MALE_DEP,9,0),IF(BD4230="","",IF(AND(BD4230="Dependent",BI4230="Female",BF4230="Dubai",BE4230=GN_Plus),VLOOKUP(BH4230,DXB_FEMALE_DEP,2,0),IF(AND(BD4230="Dependent",BI4230="Female",BF4230="Dubai",BE4230=GN),VLOOKUP(BH4230,DXB_FEMALE_DEP,3,0),IF(AND(BD4230="Dependent",BI4230="Female",BF4230="Dubai",BE4230=RN_Plus),VLOOKUP(BH4230,DXB_FEMALE_DEP,4,0),IF(AND(BD4230="Dependent",BI4230="Female",BF4230="Dubai",BE4230=RN),VLOOKUP(BH4230,DXB_FEMALE_DEP,5,0),IF(AND(BD4230="Dependent",BI4230="Female",BF4230="Dubai",BE4230=RN_2),VLOOKUP(BH4230,DXB_FEMALE_DEP,6,0),IF(AND(BD4230="Dependent",BI4230="Female",BF4230="Dubai",BE4230=RN2_minus),VLOOKUP(BH4230,DXB_FEMALE_DEP,7,0),IF(AND(BD4230="Dependent",BI4230="Female",BF4230="Dubai",BE4230=RN_3),VLOOKUP(BH4230,DXB_FEMALE_DEP,8,0),IF(AND(BD4230="Dependent",BI4230="Female",BF4230="Dubai",BE4230=VN),VLOOKUP(BH4230,DXB_FEMALE_DEP,9,0),"ABC"))))))))))))))))))))))))))))))))))))</f>
        <v/>
      </c>
    </row>
    <row r="4231" spans="1:64" x14ac:dyDescent="0.25">
      <c r="A4231" s="762">
        <f t="shared" ref="A4231:A4294" si="1482">+A4230+1</f>
        <v>4226</v>
      </c>
      <c r="B4231" s="229"/>
      <c r="C4231" s="223"/>
      <c r="D4231" s="224"/>
      <c r="E4231" s="225"/>
      <c r="F4231" s="1036" t="str">
        <f t="shared" si="1466"/>
        <v/>
      </c>
      <c r="G4231" s="1037" t="str">
        <f t="shared" ref="G4231:G4294" si="1483">IF(D4231="","",MAX(0,ROUNDUP(F4231,0)))</f>
        <v/>
      </c>
      <c r="H4231" s="225"/>
      <c r="I4231" s="1013"/>
      <c r="J4231" s="1013"/>
      <c r="K4231" s="1028"/>
      <c r="L4231" s="1035" t="str">
        <f t="shared" si="1465"/>
        <v/>
      </c>
      <c r="S4231" s="498"/>
      <c r="AJ4231" s="498"/>
      <c r="AM4231" s="498">
        <f t="shared" si="1468"/>
        <v>0</v>
      </c>
      <c r="AN4231" s="498">
        <f t="shared" si="1469"/>
        <v>0</v>
      </c>
      <c r="AO4231" s="498">
        <f t="shared" si="1470"/>
        <v>0</v>
      </c>
      <c r="AP4231" s="498">
        <f t="shared" si="1467"/>
        <v>0</v>
      </c>
      <c r="AQ4231" s="498">
        <f t="shared" ref="AQ4231:AQ4294" si="1484">IF(ISBLANK($B4231),0,IF(OR($H4231="Single",$H4231="Married"),0,1))</f>
        <v>0</v>
      </c>
      <c r="AU4231" s="498">
        <f t="shared" si="1471"/>
        <v>0</v>
      </c>
      <c r="AV4231" s="498">
        <f t="shared" si="1472"/>
        <v>0</v>
      </c>
      <c r="AW4231" s="498">
        <f t="shared" si="1473"/>
        <v>0</v>
      </c>
      <c r="AX4231" s="498">
        <f t="shared" si="1474"/>
        <v>0</v>
      </c>
      <c r="AY4231" s="498">
        <f t="shared" si="1475"/>
        <v>0</v>
      </c>
      <c r="BB4231" s="498" t="str">
        <f t="shared" si="1476"/>
        <v/>
      </c>
      <c r="BC4231" s="743" t="str">
        <f t="shared" si="1477"/>
        <v/>
      </c>
      <c r="BD4231" s="743" t="str">
        <f t="shared" si="1478"/>
        <v/>
      </c>
      <c r="BE4231" s="743" t="str">
        <f>IF(D4231="","",VLOOKUP(D4231,'General Basis'!$J$39:$K$46,2,0))</f>
        <v/>
      </c>
      <c r="BF4231" s="744" t="str">
        <f>IF(D4231="","",VLOOKUP(D4231,'General Basis'!$J$39:$L$46,3,0))</f>
        <v/>
      </c>
      <c r="BG4231" s="744" t="str">
        <f t="shared" ref="BG4231:BG4294" si="1485">BC4231&amp;BI4231</f>
        <v/>
      </c>
      <c r="BH4231" s="744" t="str">
        <f>IF(G4231="","",IF(BF4231="Abu Dhabi",IF(G4231&lt;18,'General Basis'!$C$39,IF(G4231&lt;41,'General Basis'!$C$40,IF(G4231&lt;60,'General Basis'!$C$41,IF(G4231&lt;65,'General Basis'!$C$42,'General Basis'!$C$43)))),IF(G4231&lt;11,'General Basis'!$B$39,IF(G4231&lt;18,'General Basis'!$B$40,IF(G4231&lt;26,'General Basis'!$B$41,IF(G4231&lt;31,'General Basis'!$B$42,IF(G4231&lt;36,'General Basis'!$B$43,IF(G4231&lt;41,'General Basis'!$B$44,IF(G4231&lt;46,'General Basis'!$B$45,IF(G4231&lt;51,'General Basis'!$B$46,IF(G4231&lt;56,'General Basis'!$B$47,IF(G4231&lt;60,'General Basis'!$B$48,IF(G4231&lt;65,'General Basis'!$B$49,'General Basis'!$B$50)))))))))))))</f>
        <v/>
      </c>
      <c r="BI4231" s="744" t="str">
        <f t="shared" si="1479"/>
        <v/>
      </c>
      <c r="BJ4231" s="747" t="str">
        <f t="shared" ref="BJ4231:BJ4294" si="1486">IF(BD4231="","",IF(BF4231="Abu Dhabi",BK4231,BL4231))</f>
        <v/>
      </c>
      <c r="BK4231" s="498" t="str">
        <f t="shared" si="1480"/>
        <v/>
      </c>
      <c r="BL4231" s="498" t="str">
        <f t="shared" si="1481"/>
        <v/>
      </c>
    </row>
    <row r="4232" spans="1:64" x14ac:dyDescent="0.25">
      <c r="A4232" s="762">
        <f t="shared" si="1482"/>
        <v>4227</v>
      </c>
      <c r="B4232" s="229"/>
      <c r="C4232" s="223"/>
      <c r="D4232" s="224"/>
      <c r="E4232" s="225"/>
      <c r="F4232" s="1036" t="str">
        <f t="shared" si="1466"/>
        <v/>
      </c>
      <c r="G4232" s="1037" t="str">
        <f t="shared" si="1483"/>
        <v/>
      </c>
      <c r="H4232" s="225"/>
      <c r="I4232" s="1013"/>
      <c r="J4232" s="1013"/>
      <c r="K4232" s="1028"/>
      <c r="L4232" s="1035" t="str">
        <f t="shared" ref="L4232:L4295" si="1487">IF(AND(E4232="Child",H4232="Married"),"Check the Marital Status of the Child. ",IF(AND(E4232="Child",F4232&gt;18),"Child Age exceed 18 years. ",IF(AND(E4232="Spouse",H4232="Single"),"Spouse is selected as Single. ","")))&amp;IF(K4232&gt;0,"UW Loading has been Applied","")</f>
        <v/>
      </c>
      <c r="S4232" s="498"/>
      <c r="AJ4232" s="498"/>
      <c r="AM4232" s="498">
        <f t="shared" si="1468"/>
        <v>0</v>
      </c>
      <c r="AN4232" s="498">
        <f t="shared" si="1469"/>
        <v>0</v>
      </c>
      <c r="AO4232" s="498">
        <f t="shared" si="1470"/>
        <v>0</v>
      </c>
      <c r="AP4232" s="498">
        <f t="shared" si="1467"/>
        <v>0</v>
      </c>
      <c r="AQ4232" s="498">
        <f t="shared" si="1484"/>
        <v>0</v>
      </c>
      <c r="AU4232" s="498">
        <f t="shared" si="1471"/>
        <v>0</v>
      </c>
      <c r="AV4232" s="498">
        <f t="shared" si="1472"/>
        <v>0</v>
      </c>
      <c r="AW4232" s="498">
        <f t="shared" si="1473"/>
        <v>0</v>
      </c>
      <c r="AX4232" s="498">
        <f t="shared" si="1474"/>
        <v>0</v>
      </c>
      <c r="AY4232" s="498">
        <f t="shared" si="1475"/>
        <v>0</v>
      </c>
      <c r="BB4232" s="498" t="str">
        <f t="shared" si="1476"/>
        <v/>
      </c>
      <c r="BC4232" s="743" t="str">
        <f t="shared" si="1477"/>
        <v/>
      </c>
      <c r="BD4232" s="743" t="str">
        <f t="shared" si="1478"/>
        <v/>
      </c>
      <c r="BE4232" s="743" t="str">
        <f>IF(D4232="","",VLOOKUP(D4232,'General Basis'!$J$39:$K$46,2,0))</f>
        <v/>
      </c>
      <c r="BF4232" s="744" t="str">
        <f>IF(D4232="","",VLOOKUP(D4232,'General Basis'!$J$39:$L$46,3,0))</f>
        <v/>
      </c>
      <c r="BG4232" s="744" t="str">
        <f t="shared" si="1485"/>
        <v/>
      </c>
      <c r="BH4232" s="744" t="str">
        <f>IF(G4232="","",IF(BF4232="Abu Dhabi",IF(G4232&lt;18,'General Basis'!$C$39,IF(G4232&lt;41,'General Basis'!$C$40,IF(G4232&lt;60,'General Basis'!$C$41,IF(G4232&lt;65,'General Basis'!$C$42,'General Basis'!$C$43)))),IF(G4232&lt;11,'General Basis'!$B$39,IF(G4232&lt;18,'General Basis'!$B$40,IF(G4232&lt;26,'General Basis'!$B$41,IF(G4232&lt;31,'General Basis'!$B$42,IF(G4232&lt;36,'General Basis'!$B$43,IF(G4232&lt;41,'General Basis'!$B$44,IF(G4232&lt;46,'General Basis'!$B$45,IF(G4232&lt;51,'General Basis'!$B$46,IF(G4232&lt;56,'General Basis'!$B$47,IF(G4232&lt;60,'General Basis'!$B$48,IF(G4232&lt;65,'General Basis'!$B$49,'General Basis'!$B$50)))))))))))))</f>
        <v/>
      </c>
      <c r="BI4232" s="744" t="str">
        <f t="shared" si="1479"/>
        <v/>
      </c>
      <c r="BJ4232" s="747" t="str">
        <f t="shared" si="1486"/>
        <v/>
      </c>
      <c r="BK4232" s="498" t="str">
        <f t="shared" si="1480"/>
        <v/>
      </c>
      <c r="BL4232" s="498" t="str">
        <f t="shared" si="1481"/>
        <v/>
      </c>
    </row>
    <row r="4233" spans="1:64" x14ac:dyDescent="0.25">
      <c r="A4233" s="762">
        <f t="shared" si="1482"/>
        <v>4228</v>
      </c>
      <c r="B4233" s="229"/>
      <c r="C4233" s="223"/>
      <c r="D4233" s="224"/>
      <c r="E4233" s="225"/>
      <c r="F4233" s="1036" t="str">
        <f t="shared" si="1466"/>
        <v/>
      </c>
      <c r="G4233" s="1037" t="str">
        <f t="shared" si="1483"/>
        <v/>
      </c>
      <c r="H4233" s="225"/>
      <c r="I4233" s="1013"/>
      <c r="J4233" s="1013"/>
      <c r="K4233" s="1028"/>
      <c r="L4233" s="1035" t="str">
        <f t="shared" si="1487"/>
        <v/>
      </c>
      <c r="S4233" s="498"/>
      <c r="AJ4233" s="498"/>
      <c r="AM4233" s="498">
        <f t="shared" si="1468"/>
        <v>0</v>
      </c>
      <c r="AN4233" s="498">
        <f t="shared" si="1469"/>
        <v>0</v>
      </c>
      <c r="AO4233" s="498">
        <f t="shared" si="1470"/>
        <v>0</v>
      </c>
      <c r="AP4233" s="498">
        <f t="shared" si="1467"/>
        <v>0</v>
      </c>
      <c r="AQ4233" s="498">
        <f t="shared" si="1484"/>
        <v>0</v>
      </c>
      <c r="AU4233" s="498">
        <f t="shared" si="1471"/>
        <v>0</v>
      </c>
      <c r="AV4233" s="498">
        <f t="shared" si="1472"/>
        <v>0</v>
      </c>
      <c r="AW4233" s="498">
        <f t="shared" si="1473"/>
        <v>0</v>
      </c>
      <c r="AX4233" s="498">
        <f t="shared" si="1474"/>
        <v>0</v>
      </c>
      <c r="AY4233" s="498">
        <f t="shared" si="1475"/>
        <v>0</v>
      </c>
      <c r="BB4233" s="498" t="str">
        <f t="shared" si="1476"/>
        <v/>
      </c>
      <c r="BC4233" s="743" t="str">
        <f t="shared" si="1477"/>
        <v/>
      </c>
      <c r="BD4233" s="743" t="str">
        <f t="shared" si="1478"/>
        <v/>
      </c>
      <c r="BE4233" s="743" t="str">
        <f>IF(D4233="","",VLOOKUP(D4233,'General Basis'!$J$39:$K$46,2,0))</f>
        <v/>
      </c>
      <c r="BF4233" s="744" t="str">
        <f>IF(D4233="","",VLOOKUP(D4233,'General Basis'!$J$39:$L$46,3,0))</f>
        <v/>
      </c>
      <c r="BG4233" s="744" t="str">
        <f t="shared" si="1485"/>
        <v/>
      </c>
      <c r="BH4233" s="744" t="str">
        <f>IF(G4233="","",IF(BF4233="Abu Dhabi",IF(G4233&lt;18,'General Basis'!$C$39,IF(G4233&lt;41,'General Basis'!$C$40,IF(G4233&lt;60,'General Basis'!$C$41,IF(G4233&lt;65,'General Basis'!$C$42,'General Basis'!$C$43)))),IF(G4233&lt;11,'General Basis'!$B$39,IF(G4233&lt;18,'General Basis'!$B$40,IF(G4233&lt;26,'General Basis'!$B$41,IF(G4233&lt;31,'General Basis'!$B$42,IF(G4233&lt;36,'General Basis'!$B$43,IF(G4233&lt;41,'General Basis'!$B$44,IF(G4233&lt;46,'General Basis'!$B$45,IF(G4233&lt;51,'General Basis'!$B$46,IF(G4233&lt;56,'General Basis'!$B$47,IF(G4233&lt;60,'General Basis'!$B$48,IF(G4233&lt;65,'General Basis'!$B$49,'General Basis'!$B$50)))))))))))))</f>
        <v/>
      </c>
      <c r="BI4233" s="744" t="str">
        <f t="shared" si="1479"/>
        <v/>
      </c>
      <c r="BJ4233" s="747" t="str">
        <f t="shared" si="1486"/>
        <v/>
      </c>
      <c r="BK4233" s="498" t="str">
        <f t="shared" si="1480"/>
        <v/>
      </c>
      <c r="BL4233" s="498" t="str">
        <f t="shared" si="1481"/>
        <v/>
      </c>
    </row>
    <row r="4234" spans="1:64" x14ac:dyDescent="0.25">
      <c r="A4234" s="762">
        <f t="shared" si="1482"/>
        <v>4229</v>
      </c>
      <c r="B4234" s="229"/>
      <c r="C4234" s="223"/>
      <c r="D4234" s="224"/>
      <c r="E4234" s="225"/>
      <c r="F4234" s="1036" t="str">
        <f t="shared" si="1466"/>
        <v/>
      </c>
      <c r="G4234" s="1037" t="str">
        <f t="shared" si="1483"/>
        <v/>
      </c>
      <c r="H4234" s="225"/>
      <c r="I4234" s="1013"/>
      <c r="J4234" s="1013"/>
      <c r="K4234" s="1028"/>
      <c r="L4234" s="1035" t="str">
        <f t="shared" si="1487"/>
        <v/>
      </c>
      <c r="S4234" s="498"/>
      <c r="AJ4234" s="498"/>
      <c r="AM4234" s="498">
        <f t="shared" si="1468"/>
        <v>0</v>
      </c>
      <c r="AN4234" s="498">
        <f t="shared" si="1469"/>
        <v>0</v>
      </c>
      <c r="AO4234" s="498">
        <f t="shared" si="1470"/>
        <v>0</v>
      </c>
      <c r="AP4234" s="498">
        <f t="shared" si="1467"/>
        <v>0</v>
      </c>
      <c r="AQ4234" s="498">
        <f t="shared" si="1484"/>
        <v>0</v>
      </c>
      <c r="AU4234" s="498">
        <f t="shared" si="1471"/>
        <v>0</v>
      </c>
      <c r="AV4234" s="498">
        <f t="shared" si="1472"/>
        <v>0</v>
      </c>
      <c r="AW4234" s="498">
        <f t="shared" si="1473"/>
        <v>0</v>
      </c>
      <c r="AX4234" s="498">
        <f t="shared" si="1474"/>
        <v>0</v>
      </c>
      <c r="AY4234" s="498">
        <f t="shared" si="1475"/>
        <v>0</v>
      </c>
      <c r="BB4234" s="498" t="str">
        <f t="shared" si="1476"/>
        <v/>
      </c>
      <c r="BC4234" s="743" t="str">
        <f t="shared" si="1477"/>
        <v/>
      </c>
      <c r="BD4234" s="743" t="str">
        <f t="shared" si="1478"/>
        <v/>
      </c>
      <c r="BE4234" s="743" t="str">
        <f>IF(D4234="","",VLOOKUP(D4234,'General Basis'!$J$39:$K$46,2,0))</f>
        <v/>
      </c>
      <c r="BF4234" s="744" t="str">
        <f>IF(D4234="","",VLOOKUP(D4234,'General Basis'!$J$39:$L$46,3,0))</f>
        <v/>
      </c>
      <c r="BG4234" s="744" t="str">
        <f t="shared" si="1485"/>
        <v/>
      </c>
      <c r="BH4234" s="744" t="str">
        <f>IF(G4234="","",IF(BF4234="Abu Dhabi",IF(G4234&lt;18,'General Basis'!$C$39,IF(G4234&lt;41,'General Basis'!$C$40,IF(G4234&lt;60,'General Basis'!$C$41,IF(G4234&lt;65,'General Basis'!$C$42,'General Basis'!$C$43)))),IF(G4234&lt;11,'General Basis'!$B$39,IF(G4234&lt;18,'General Basis'!$B$40,IF(G4234&lt;26,'General Basis'!$B$41,IF(G4234&lt;31,'General Basis'!$B$42,IF(G4234&lt;36,'General Basis'!$B$43,IF(G4234&lt;41,'General Basis'!$B$44,IF(G4234&lt;46,'General Basis'!$B$45,IF(G4234&lt;51,'General Basis'!$B$46,IF(G4234&lt;56,'General Basis'!$B$47,IF(G4234&lt;60,'General Basis'!$B$48,IF(G4234&lt;65,'General Basis'!$B$49,'General Basis'!$B$50)))))))))))))</f>
        <v/>
      </c>
      <c r="BI4234" s="744" t="str">
        <f t="shared" si="1479"/>
        <v/>
      </c>
      <c r="BJ4234" s="747" t="str">
        <f t="shared" si="1486"/>
        <v/>
      </c>
      <c r="BK4234" s="498" t="str">
        <f t="shared" si="1480"/>
        <v/>
      </c>
      <c r="BL4234" s="498" t="str">
        <f t="shared" si="1481"/>
        <v/>
      </c>
    </row>
    <row r="4235" spans="1:64" x14ac:dyDescent="0.25">
      <c r="A4235" s="762">
        <f t="shared" si="1482"/>
        <v>4230</v>
      </c>
      <c r="B4235" s="229"/>
      <c r="C4235" s="223"/>
      <c r="D4235" s="224"/>
      <c r="E4235" s="225"/>
      <c r="F4235" s="1036" t="str">
        <f t="shared" si="1466"/>
        <v/>
      </c>
      <c r="G4235" s="1037" t="str">
        <f t="shared" si="1483"/>
        <v/>
      </c>
      <c r="H4235" s="225"/>
      <c r="I4235" s="1013"/>
      <c r="J4235" s="1013"/>
      <c r="K4235" s="1028"/>
      <c r="L4235" s="1035" t="str">
        <f t="shared" si="1487"/>
        <v/>
      </c>
      <c r="S4235" s="498"/>
      <c r="AJ4235" s="498"/>
      <c r="AM4235" s="498">
        <f t="shared" si="1468"/>
        <v>0</v>
      </c>
      <c r="AN4235" s="498">
        <f t="shared" si="1469"/>
        <v>0</v>
      </c>
      <c r="AO4235" s="498">
        <f t="shared" si="1470"/>
        <v>0</v>
      </c>
      <c r="AP4235" s="498">
        <f t="shared" si="1467"/>
        <v>0</v>
      </c>
      <c r="AQ4235" s="498">
        <f t="shared" si="1484"/>
        <v>0</v>
      </c>
      <c r="AU4235" s="498">
        <f t="shared" si="1471"/>
        <v>0</v>
      </c>
      <c r="AV4235" s="498">
        <f t="shared" si="1472"/>
        <v>0</v>
      </c>
      <c r="AW4235" s="498">
        <f t="shared" si="1473"/>
        <v>0</v>
      </c>
      <c r="AX4235" s="498">
        <f t="shared" si="1474"/>
        <v>0</v>
      </c>
      <c r="AY4235" s="498">
        <f t="shared" si="1475"/>
        <v>0</v>
      </c>
      <c r="BB4235" s="498" t="str">
        <f t="shared" si="1476"/>
        <v/>
      </c>
      <c r="BC4235" s="743" t="str">
        <f t="shared" si="1477"/>
        <v/>
      </c>
      <c r="BD4235" s="743" t="str">
        <f t="shared" si="1478"/>
        <v/>
      </c>
      <c r="BE4235" s="743" t="str">
        <f>IF(D4235="","",VLOOKUP(D4235,'General Basis'!$J$39:$K$46,2,0))</f>
        <v/>
      </c>
      <c r="BF4235" s="744" t="str">
        <f>IF(D4235="","",VLOOKUP(D4235,'General Basis'!$J$39:$L$46,3,0))</f>
        <v/>
      </c>
      <c r="BG4235" s="744" t="str">
        <f t="shared" si="1485"/>
        <v/>
      </c>
      <c r="BH4235" s="744" t="str">
        <f>IF(G4235="","",IF(BF4235="Abu Dhabi",IF(G4235&lt;18,'General Basis'!$C$39,IF(G4235&lt;41,'General Basis'!$C$40,IF(G4235&lt;60,'General Basis'!$C$41,IF(G4235&lt;65,'General Basis'!$C$42,'General Basis'!$C$43)))),IF(G4235&lt;11,'General Basis'!$B$39,IF(G4235&lt;18,'General Basis'!$B$40,IF(G4235&lt;26,'General Basis'!$B$41,IF(G4235&lt;31,'General Basis'!$B$42,IF(G4235&lt;36,'General Basis'!$B$43,IF(G4235&lt;41,'General Basis'!$B$44,IF(G4235&lt;46,'General Basis'!$B$45,IF(G4235&lt;51,'General Basis'!$B$46,IF(G4235&lt;56,'General Basis'!$B$47,IF(G4235&lt;60,'General Basis'!$B$48,IF(G4235&lt;65,'General Basis'!$B$49,'General Basis'!$B$50)))))))))))))</f>
        <v/>
      </c>
      <c r="BI4235" s="744" t="str">
        <f t="shared" si="1479"/>
        <v/>
      </c>
      <c r="BJ4235" s="747" t="str">
        <f t="shared" si="1486"/>
        <v/>
      </c>
      <c r="BK4235" s="498" t="str">
        <f t="shared" si="1480"/>
        <v/>
      </c>
      <c r="BL4235" s="498" t="str">
        <f t="shared" si="1481"/>
        <v/>
      </c>
    </row>
    <row r="4236" spans="1:64" x14ac:dyDescent="0.25">
      <c r="A4236" s="762">
        <f t="shared" si="1482"/>
        <v>4231</v>
      </c>
      <c r="B4236" s="229"/>
      <c r="C4236" s="223"/>
      <c r="D4236" s="224"/>
      <c r="E4236" s="225"/>
      <c r="F4236" s="1036" t="str">
        <f t="shared" si="1466"/>
        <v/>
      </c>
      <c r="G4236" s="1037" t="str">
        <f t="shared" si="1483"/>
        <v/>
      </c>
      <c r="H4236" s="225"/>
      <c r="I4236" s="1013"/>
      <c r="J4236" s="1013"/>
      <c r="K4236" s="1028"/>
      <c r="L4236" s="1035" t="str">
        <f t="shared" si="1487"/>
        <v/>
      </c>
      <c r="S4236" s="498"/>
      <c r="AJ4236" s="498"/>
      <c r="AM4236" s="498">
        <f t="shared" si="1468"/>
        <v>0</v>
      </c>
      <c r="AN4236" s="498">
        <f t="shared" si="1469"/>
        <v>0</v>
      </c>
      <c r="AO4236" s="498">
        <f t="shared" si="1470"/>
        <v>0</v>
      </c>
      <c r="AP4236" s="498">
        <f t="shared" si="1467"/>
        <v>0</v>
      </c>
      <c r="AQ4236" s="498">
        <f t="shared" si="1484"/>
        <v>0</v>
      </c>
      <c r="AU4236" s="498">
        <f t="shared" si="1471"/>
        <v>0</v>
      </c>
      <c r="AV4236" s="498">
        <f t="shared" si="1472"/>
        <v>0</v>
      </c>
      <c r="AW4236" s="498">
        <f t="shared" si="1473"/>
        <v>0</v>
      </c>
      <c r="AX4236" s="498">
        <f t="shared" si="1474"/>
        <v>0</v>
      </c>
      <c r="AY4236" s="498">
        <f t="shared" si="1475"/>
        <v>0</v>
      </c>
      <c r="BB4236" s="498" t="str">
        <f t="shared" si="1476"/>
        <v/>
      </c>
      <c r="BC4236" s="743" t="str">
        <f t="shared" si="1477"/>
        <v/>
      </c>
      <c r="BD4236" s="743" t="str">
        <f t="shared" si="1478"/>
        <v/>
      </c>
      <c r="BE4236" s="743" t="str">
        <f>IF(D4236="","",VLOOKUP(D4236,'General Basis'!$J$39:$K$46,2,0))</f>
        <v/>
      </c>
      <c r="BF4236" s="744" t="str">
        <f>IF(D4236="","",VLOOKUP(D4236,'General Basis'!$J$39:$L$46,3,0))</f>
        <v/>
      </c>
      <c r="BG4236" s="744" t="str">
        <f t="shared" si="1485"/>
        <v/>
      </c>
      <c r="BH4236" s="744" t="str">
        <f>IF(G4236="","",IF(BF4236="Abu Dhabi",IF(G4236&lt;18,'General Basis'!$C$39,IF(G4236&lt;41,'General Basis'!$C$40,IF(G4236&lt;60,'General Basis'!$C$41,IF(G4236&lt;65,'General Basis'!$C$42,'General Basis'!$C$43)))),IF(G4236&lt;11,'General Basis'!$B$39,IF(G4236&lt;18,'General Basis'!$B$40,IF(G4236&lt;26,'General Basis'!$B$41,IF(G4236&lt;31,'General Basis'!$B$42,IF(G4236&lt;36,'General Basis'!$B$43,IF(G4236&lt;41,'General Basis'!$B$44,IF(G4236&lt;46,'General Basis'!$B$45,IF(G4236&lt;51,'General Basis'!$B$46,IF(G4236&lt;56,'General Basis'!$B$47,IF(G4236&lt;60,'General Basis'!$B$48,IF(G4236&lt;65,'General Basis'!$B$49,'General Basis'!$B$50)))))))))))))</f>
        <v/>
      </c>
      <c r="BI4236" s="744" t="str">
        <f t="shared" si="1479"/>
        <v/>
      </c>
      <c r="BJ4236" s="747" t="str">
        <f t="shared" si="1486"/>
        <v/>
      </c>
      <c r="BK4236" s="498" t="str">
        <f t="shared" si="1480"/>
        <v/>
      </c>
      <c r="BL4236" s="498" t="str">
        <f t="shared" si="1481"/>
        <v/>
      </c>
    </row>
    <row r="4237" spans="1:64" x14ac:dyDescent="0.25">
      <c r="A4237" s="762">
        <f t="shared" si="1482"/>
        <v>4232</v>
      </c>
      <c r="B4237" s="229"/>
      <c r="C4237" s="223"/>
      <c r="D4237" s="224"/>
      <c r="E4237" s="225"/>
      <c r="F4237" s="1036" t="str">
        <f t="shared" si="1466"/>
        <v/>
      </c>
      <c r="G4237" s="1037" t="str">
        <f t="shared" si="1483"/>
        <v/>
      </c>
      <c r="H4237" s="225"/>
      <c r="I4237" s="1013"/>
      <c r="J4237" s="1013"/>
      <c r="K4237" s="1028"/>
      <c r="L4237" s="1035" t="str">
        <f t="shared" si="1487"/>
        <v/>
      </c>
      <c r="S4237" s="498"/>
      <c r="AJ4237" s="498"/>
      <c r="AM4237" s="498">
        <f t="shared" si="1468"/>
        <v>0</v>
      </c>
      <c r="AN4237" s="498">
        <f t="shared" si="1469"/>
        <v>0</v>
      </c>
      <c r="AO4237" s="498">
        <f t="shared" si="1470"/>
        <v>0</v>
      </c>
      <c r="AP4237" s="498">
        <f t="shared" si="1467"/>
        <v>0</v>
      </c>
      <c r="AQ4237" s="498">
        <f t="shared" si="1484"/>
        <v>0</v>
      </c>
      <c r="AU4237" s="498">
        <f t="shared" si="1471"/>
        <v>0</v>
      </c>
      <c r="AV4237" s="498">
        <f t="shared" si="1472"/>
        <v>0</v>
      </c>
      <c r="AW4237" s="498">
        <f t="shared" si="1473"/>
        <v>0</v>
      </c>
      <c r="AX4237" s="498">
        <f t="shared" si="1474"/>
        <v>0</v>
      </c>
      <c r="AY4237" s="498">
        <f t="shared" si="1475"/>
        <v>0</v>
      </c>
      <c r="BB4237" s="498" t="str">
        <f t="shared" si="1476"/>
        <v/>
      </c>
      <c r="BC4237" s="743" t="str">
        <f t="shared" si="1477"/>
        <v/>
      </c>
      <c r="BD4237" s="743" t="str">
        <f t="shared" si="1478"/>
        <v/>
      </c>
      <c r="BE4237" s="743" t="str">
        <f>IF(D4237="","",VLOOKUP(D4237,'General Basis'!$J$39:$K$46,2,0))</f>
        <v/>
      </c>
      <c r="BF4237" s="744" t="str">
        <f>IF(D4237="","",VLOOKUP(D4237,'General Basis'!$J$39:$L$46,3,0))</f>
        <v/>
      </c>
      <c r="BG4237" s="744" t="str">
        <f t="shared" si="1485"/>
        <v/>
      </c>
      <c r="BH4237" s="744" t="str">
        <f>IF(G4237="","",IF(BF4237="Abu Dhabi",IF(G4237&lt;18,'General Basis'!$C$39,IF(G4237&lt;41,'General Basis'!$C$40,IF(G4237&lt;60,'General Basis'!$C$41,IF(G4237&lt;65,'General Basis'!$C$42,'General Basis'!$C$43)))),IF(G4237&lt;11,'General Basis'!$B$39,IF(G4237&lt;18,'General Basis'!$B$40,IF(G4237&lt;26,'General Basis'!$B$41,IF(G4237&lt;31,'General Basis'!$B$42,IF(G4237&lt;36,'General Basis'!$B$43,IF(G4237&lt;41,'General Basis'!$B$44,IF(G4237&lt;46,'General Basis'!$B$45,IF(G4237&lt;51,'General Basis'!$B$46,IF(G4237&lt;56,'General Basis'!$B$47,IF(G4237&lt;60,'General Basis'!$B$48,IF(G4237&lt;65,'General Basis'!$B$49,'General Basis'!$B$50)))))))))))))</f>
        <v/>
      </c>
      <c r="BI4237" s="744" t="str">
        <f t="shared" si="1479"/>
        <v/>
      </c>
      <c r="BJ4237" s="747" t="str">
        <f t="shared" si="1486"/>
        <v/>
      </c>
      <c r="BK4237" s="498" t="str">
        <f t="shared" si="1480"/>
        <v/>
      </c>
      <c r="BL4237" s="498" t="str">
        <f t="shared" si="1481"/>
        <v/>
      </c>
    </row>
    <row r="4238" spans="1:64" x14ac:dyDescent="0.25">
      <c r="A4238" s="762">
        <f t="shared" si="1482"/>
        <v>4233</v>
      </c>
      <c r="B4238" s="229"/>
      <c r="C4238" s="223"/>
      <c r="D4238" s="224"/>
      <c r="E4238" s="225"/>
      <c r="F4238" s="1036" t="str">
        <f t="shared" si="1466"/>
        <v/>
      </c>
      <c r="G4238" s="1037" t="str">
        <f t="shared" si="1483"/>
        <v/>
      </c>
      <c r="H4238" s="225"/>
      <c r="I4238" s="1013"/>
      <c r="J4238" s="1013"/>
      <c r="K4238" s="1028"/>
      <c r="L4238" s="1035" t="str">
        <f t="shared" si="1487"/>
        <v/>
      </c>
      <c r="S4238" s="498"/>
      <c r="AJ4238" s="498"/>
      <c r="AM4238" s="498">
        <f t="shared" si="1468"/>
        <v>0</v>
      </c>
      <c r="AN4238" s="498">
        <f t="shared" si="1469"/>
        <v>0</v>
      </c>
      <c r="AO4238" s="498">
        <f t="shared" si="1470"/>
        <v>0</v>
      </c>
      <c r="AP4238" s="498">
        <f t="shared" si="1467"/>
        <v>0</v>
      </c>
      <c r="AQ4238" s="498">
        <f t="shared" si="1484"/>
        <v>0</v>
      </c>
      <c r="AU4238" s="498">
        <f t="shared" si="1471"/>
        <v>0</v>
      </c>
      <c r="AV4238" s="498">
        <f t="shared" si="1472"/>
        <v>0</v>
      </c>
      <c r="AW4238" s="498">
        <f t="shared" si="1473"/>
        <v>0</v>
      </c>
      <c r="AX4238" s="498">
        <f t="shared" si="1474"/>
        <v>0</v>
      </c>
      <c r="AY4238" s="498">
        <f t="shared" si="1475"/>
        <v>0</v>
      </c>
      <c r="BB4238" s="498" t="str">
        <f t="shared" si="1476"/>
        <v/>
      </c>
      <c r="BC4238" s="743" t="str">
        <f t="shared" si="1477"/>
        <v/>
      </c>
      <c r="BD4238" s="743" t="str">
        <f t="shared" si="1478"/>
        <v/>
      </c>
      <c r="BE4238" s="743" t="str">
        <f>IF(D4238="","",VLOOKUP(D4238,'General Basis'!$J$39:$K$46,2,0))</f>
        <v/>
      </c>
      <c r="BF4238" s="744" t="str">
        <f>IF(D4238="","",VLOOKUP(D4238,'General Basis'!$J$39:$L$46,3,0))</f>
        <v/>
      </c>
      <c r="BG4238" s="744" t="str">
        <f t="shared" si="1485"/>
        <v/>
      </c>
      <c r="BH4238" s="744" t="str">
        <f>IF(G4238="","",IF(BF4238="Abu Dhabi",IF(G4238&lt;18,'General Basis'!$C$39,IF(G4238&lt;41,'General Basis'!$C$40,IF(G4238&lt;60,'General Basis'!$C$41,IF(G4238&lt;65,'General Basis'!$C$42,'General Basis'!$C$43)))),IF(G4238&lt;11,'General Basis'!$B$39,IF(G4238&lt;18,'General Basis'!$B$40,IF(G4238&lt;26,'General Basis'!$B$41,IF(G4238&lt;31,'General Basis'!$B$42,IF(G4238&lt;36,'General Basis'!$B$43,IF(G4238&lt;41,'General Basis'!$B$44,IF(G4238&lt;46,'General Basis'!$B$45,IF(G4238&lt;51,'General Basis'!$B$46,IF(G4238&lt;56,'General Basis'!$B$47,IF(G4238&lt;60,'General Basis'!$B$48,IF(G4238&lt;65,'General Basis'!$B$49,'General Basis'!$B$50)))))))))))))</f>
        <v/>
      </c>
      <c r="BI4238" s="744" t="str">
        <f t="shared" si="1479"/>
        <v/>
      </c>
      <c r="BJ4238" s="747" t="str">
        <f t="shared" si="1486"/>
        <v/>
      </c>
      <c r="BK4238" s="498" t="str">
        <f t="shared" si="1480"/>
        <v/>
      </c>
      <c r="BL4238" s="498" t="str">
        <f t="shared" si="1481"/>
        <v/>
      </c>
    </row>
    <row r="4239" spans="1:64" x14ac:dyDescent="0.25">
      <c r="A4239" s="762">
        <f t="shared" si="1482"/>
        <v>4234</v>
      </c>
      <c r="B4239" s="229"/>
      <c r="C4239" s="223"/>
      <c r="D4239" s="224"/>
      <c r="E4239" s="225"/>
      <c r="F4239" s="1036" t="str">
        <f t="shared" si="1466"/>
        <v/>
      </c>
      <c r="G4239" s="1037" t="str">
        <f t="shared" si="1483"/>
        <v/>
      </c>
      <c r="H4239" s="225"/>
      <c r="I4239" s="1013"/>
      <c r="J4239" s="1013"/>
      <c r="K4239" s="1028"/>
      <c r="L4239" s="1035" t="str">
        <f t="shared" si="1487"/>
        <v/>
      </c>
      <c r="S4239" s="498"/>
      <c r="AJ4239" s="498"/>
      <c r="AM4239" s="498">
        <f t="shared" si="1468"/>
        <v>0</v>
      </c>
      <c r="AN4239" s="498">
        <f t="shared" si="1469"/>
        <v>0</v>
      </c>
      <c r="AO4239" s="498">
        <f t="shared" si="1470"/>
        <v>0</v>
      </c>
      <c r="AP4239" s="498">
        <f t="shared" si="1467"/>
        <v>0</v>
      </c>
      <c r="AQ4239" s="498">
        <f t="shared" si="1484"/>
        <v>0</v>
      </c>
      <c r="AU4239" s="498">
        <f t="shared" si="1471"/>
        <v>0</v>
      </c>
      <c r="AV4239" s="498">
        <f t="shared" si="1472"/>
        <v>0</v>
      </c>
      <c r="AW4239" s="498">
        <f t="shared" si="1473"/>
        <v>0</v>
      </c>
      <c r="AX4239" s="498">
        <f t="shared" si="1474"/>
        <v>0</v>
      </c>
      <c r="AY4239" s="498">
        <f t="shared" si="1475"/>
        <v>0</v>
      </c>
      <c r="BB4239" s="498" t="str">
        <f t="shared" si="1476"/>
        <v/>
      </c>
      <c r="BC4239" s="743" t="str">
        <f t="shared" si="1477"/>
        <v/>
      </c>
      <c r="BD4239" s="743" t="str">
        <f t="shared" si="1478"/>
        <v/>
      </c>
      <c r="BE4239" s="743" t="str">
        <f>IF(D4239="","",VLOOKUP(D4239,'General Basis'!$J$39:$K$46,2,0))</f>
        <v/>
      </c>
      <c r="BF4239" s="744" t="str">
        <f>IF(D4239="","",VLOOKUP(D4239,'General Basis'!$J$39:$L$46,3,0))</f>
        <v/>
      </c>
      <c r="BG4239" s="744" t="str">
        <f t="shared" si="1485"/>
        <v/>
      </c>
      <c r="BH4239" s="744" t="str">
        <f>IF(G4239="","",IF(BF4239="Abu Dhabi",IF(G4239&lt;18,'General Basis'!$C$39,IF(G4239&lt;41,'General Basis'!$C$40,IF(G4239&lt;60,'General Basis'!$C$41,IF(G4239&lt;65,'General Basis'!$C$42,'General Basis'!$C$43)))),IF(G4239&lt;11,'General Basis'!$B$39,IF(G4239&lt;18,'General Basis'!$B$40,IF(G4239&lt;26,'General Basis'!$B$41,IF(G4239&lt;31,'General Basis'!$B$42,IF(G4239&lt;36,'General Basis'!$B$43,IF(G4239&lt;41,'General Basis'!$B$44,IF(G4239&lt;46,'General Basis'!$B$45,IF(G4239&lt;51,'General Basis'!$B$46,IF(G4239&lt;56,'General Basis'!$B$47,IF(G4239&lt;60,'General Basis'!$B$48,IF(G4239&lt;65,'General Basis'!$B$49,'General Basis'!$B$50)))))))))))))</f>
        <v/>
      </c>
      <c r="BI4239" s="744" t="str">
        <f t="shared" si="1479"/>
        <v/>
      </c>
      <c r="BJ4239" s="747" t="str">
        <f t="shared" si="1486"/>
        <v/>
      </c>
      <c r="BK4239" s="498" t="str">
        <f t="shared" si="1480"/>
        <v/>
      </c>
      <c r="BL4239" s="498" t="str">
        <f t="shared" si="1481"/>
        <v/>
      </c>
    </row>
    <row r="4240" spans="1:64" x14ac:dyDescent="0.25">
      <c r="A4240" s="762">
        <f t="shared" si="1482"/>
        <v>4235</v>
      </c>
      <c r="B4240" s="229"/>
      <c r="C4240" s="223"/>
      <c r="D4240" s="224"/>
      <c r="E4240" s="225"/>
      <c r="F4240" s="1036" t="str">
        <f t="shared" ref="F4240:F4303" si="1488">IF(C4240="","",IF($B4240="","",((YEAR($F$3)-YEAR($B4240))+(MONTH($F$3)-MONTH($B4240))/12+(DAY($F$3)-DAY($B4240))/(DATE(YEAR($F$3),12,31)-DATE(YEAR($F$3),1,1)+1))))</f>
        <v/>
      </c>
      <c r="G4240" s="1037" t="str">
        <f t="shared" si="1483"/>
        <v/>
      </c>
      <c r="H4240" s="225"/>
      <c r="I4240" s="1013"/>
      <c r="J4240" s="1013"/>
      <c r="K4240" s="1028"/>
      <c r="L4240" s="1035" t="str">
        <f t="shared" si="1487"/>
        <v/>
      </c>
      <c r="S4240" s="498"/>
      <c r="AJ4240" s="498"/>
      <c r="AM4240" s="498">
        <f t="shared" si="1468"/>
        <v>0</v>
      </c>
      <c r="AN4240" s="498">
        <f t="shared" si="1469"/>
        <v>0</v>
      </c>
      <c r="AO4240" s="498">
        <f t="shared" si="1470"/>
        <v>0</v>
      </c>
      <c r="AP4240" s="498">
        <f t="shared" si="1467"/>
        <v>0</v>
      </c>
      <c r="AQ4240" s="498">
        <f t="shared" si="1484"/>
        <v>0</v>
      </c>
      <c r="AU4240" s="498">
        <f t="shared" si="1471"/>
        <v>0</v>
      </c>
      <c r="AV4240" s="498">
        <f t="shared" si="1472"/>
        <v>0</v>
      </c>
      <c r="AW4240" s="498">
        <f t="shared" si="1473"/>
        <v>0</v>
      </c>
      <c r="AX4240" s="498">
        <f t="shared" si="1474"/>
        <v>0</v>
      </c>
      <c r="AY4240" s="498">
        <f t="shared" si="1475"/>
        <v>0</v>
      </c>
      <c r="BB4240" s="498" t="str">
        <f t="shared" si="1476"/>
        <v/>
      </c>
      <c r="BC4240" s="743" t="str">
        <f t="shared" si="1477"/>
        <v/>
      </c>
      <c r="BD4240" s="743" t="str">
        <f t="shared" si="1478"/>
        <v/>
      </c>
      <c r="BE4240" s="743" t="str">
        <f>IF(D4240="","",VLOOKUP(D4240,'General Basis'!$J$39:$K$46,2,0))</f>
        <v/>
      </c>
      <c r="BF4240" s="744" t="str">
        <f>IF(D4240="","",VLOOKUP(D4240,'General Basis'!$J$39:$L$46,3,0))</f>
        <v/>
      </c>
      <c r="BG4240" s="744" t="str">
        <f t="shared" si="1485"/>
        <v/>
      </c>
      <c r="BH4240" s="744" t="str">
        <f>IF(G4240="","",IF(BF4240="Abu Dhabi",IF(G4240&lt;18,'General Basis'!$C$39,IF(G4240&lt;41,'General Basis'!$C$40,IF(G4240&lt;60,'General Basis'!$C$41,IF(G4240&lt;65,'General Basis'!$C$42,'General Basis'!$C$43)))),IF(G4240&lt;11,'General Basis'!$B$39,IF(G4240&lt;18,'General Basis'!$B$40,IF(G4240&lt;26,'General Basis'!$B$41,IF(G4240&lt;31,'General Basis'!$B$42,IF(G4240&lt;36,'General Basis'!$B$43,IF(G4240&lt;41,'General Basis'!$B$44,IF(G4240&lt;46,'General Basis'!$B$45,IF(G4240&lt;51,'General Basis'!$B$46,IF(G4240&lt;56,'General Basis'!$B$47,IF(G4240&lt;60,'General Basis'!$B$48,IF(G4240&lt;65,'General Basis'!$B$49,'General Basis'!$B$50)))))))))))))</f>
        <v/>
      </c>
      <c r="BI4240" s="744" t="str">
        <f t="shared" si="1479"/>
        <v/>
      </c>
      <c r="BJ4240" s="747" t="str">
        <f t="shared" si="1486"/>
        <v/>
      </c>
      <c r="BK4240" s="498" t="str">
        <f t="shared" si="1480"/>
        <v/>
      </c>
      <c r="BL4240" s="498" t="str">
        <f t="shared" si="1481"/>
        <v/>
      </c>
    </row>
    <row r="4241" spans="1:64" x14ac:dyDescent="0.25">
      <c r="A4241" s="762">
        <f t="shared" si="1482"/>
        <v>4236</v>
      </c>
      <c r="B4241" s="229"/>
      <c r="C4241" s="223"/>
      <c r="D4241" s="224"/>
      <c r="E4241" s="225"/>
      <c r="F4241" s="1036" t="str">
        <f t="shared" si="1488"/>
        <v/>
      </c>
      <c r="G4241" s="1037" t="str">
        <f t="shared" si="1483"/>
        <v/>
      </c>
      <c r="H4241" s="225"/>
      <c r="I4241" s="1013"/>
      <c r="J4241" s="1013"/>
      <c r="K4241" s="1028"/>
      <c r="L4241" s="1035" t="str">
        <f t="shared" si="1487"/>
        <v/>
      </c>
      <c r="S4241" s="498"/>
      <c r="AJ4241" s="498"/>
      <c r="AM4241" s="498">
        <f t="shared" si="1468"/>
        <v>0</v>
      </c>
      <c r="AN4241" s="498">
        <f t="shared" si="1469"/>
        <v>0</v>
      </c>
      <c r="AO4241" s="498">
        <f t="shared" si="1470"/>
        <v>0</v>
      </c>
      <c r="AP4241" s="498">
        <f t="shared" si="1467"/>
        <v>0</v>
      </c>
      <c r="AQ4241" s="498">
        <f t="shared" si="1484"/>
        <v>0</v>
      </c>
      <c r="AU4241" s="498">
        <f t="shared" si="1471"/>
        <v>0</v>
      </c>
      <c r="AV4241" s="498">
        <f t="shared" si="1472"/>
        <v>0</v>
      </c>
      <c r="AW4241" s="498">
        <f t="shared" si="1473"/>
        <v>0</v>
      </c>
      <c r="AX4241" s="498">
        <f t="shared" si="1474"/>
        <v>0</v>
      </c>
      <c r="AY4241" s="498">
        <f t="shared" si="1475"/>
        <v>0</v>
      </c>
      <c r="BB4241" s="498" t="str">
        <f t="shared" si="1476"/>
        <v/>
      </c>
      <c r="BC4241" s="743" t="str">
        <f t="shared" si="1477"/>
        <v/>
      </c>
      <c r="BD4241" s="743" t="str">
        <f t="shared" si="1478"/>
        <v/>
      </c>
      <c r="BE4241" s="743" t="str">
        <f>IF(D4241="","",VLOOKUP(D4241,'General Basis'!$J$39:$K$46,2,0))</f>
        <v/>
      </c>
      <c r="BF4241" s="744" t="str">
        <f>IF(D4241="","",VLOOKUP(D4241,'General Basis'!$J$39:$L$46,3,0))</f>
        <v/>
      </c>
      <c r="BG4241" s="744" t="str">
        <f t="shared" si="1485"/>
        <v/>
      </c>
      <c r="BH4241" s="744" t="str">
        <f>IF(G4241="","",IF(BF4241="Abu Dhabi",IF(G4241&lt;18,'General Basis'!$C$39,IF(G4241&lt;41,'General Basis'!$C$40,IF(G4241&lt;60,'General Basis'!$C$41,IF(G4241&lt;65,'General Basis'!$C$42,'General Basis'!$C$43)))),IF(G4241&lt;11,'General Basis'!$B$39,IF(G4241&lt;18,'General Basis'!$B$40,IF(G4241&lt;26,'General Basis'!$B$41,IF(G4241&lt;31,'General Basis'!$B$42,IF(G4241&lt;36,'General Basis'!$B$43,IF(G4241&lt;41,'General Basis'!$B$44,IF(G4241&lt;46,'General Basis'!$B$45,IF(G4241&lt;51,'General Basis'!$B$46,IF(G4241&lt;56,'General Basis'!$B$47,IF(G4241&lt;60,'General Basis'!$B$48,IF(G4241&lt;65,'General Basis'!$B$49,'General Basis'!$B$50)))))))))))))</f>
        <v/>
      </c>
      <c r="BI4241" s="744" t="str">
        <f t="shared" si="1479"/>
        <v/>
      </c>
      <c r="BJ4241" s="747" t="str">
        <f t="shared" si="1486"/>
        <v/>
      </c>
      <c r="BK4241" s="498" t="str">
        <f t="shared" si="1480"/>
        <v/>
      </c>
      <c r="BL4241" s="498" t="str">
        <f t="shared" si="1481"/>
        <v/>
      </c>
    </row>
    <row r="4242" spans="1:64" x14ac:dyDescent="0.25">
      <c r="A4242" s="762">
        <f t="shared" si="1482"/>
        <v>4237</v>
      </c>
      <c r="B4242" s="229"/>
      <c r="C4242" s="223"/>
      <c r="D4242" s="224"/>
      <c r="E4242" s="225"/>
      <c r="F4242" s="1036" t="str">
        <f t="shared" si="1488"/>
        <v/>
      </c>
      <c r="G4242" s="1037" t="str">
        <f t="shared" si="1483"/>
        <v/>
      </c>
      <c r="H4242" s="225"/>
      <c r="I4242" s="1013"/>
      <c r="J4242" s="1013"/>
      <c r="K4242" s="1028"/>
      <c r="L4242" s="1035" t="str">
        <f t="shared" si="1487"/>
        <v/>
      </c>
      <c r="S4242" s="498"/>
      <c r="AJ4242" s="498"/>
      <c r="AM4242" s="498">
        <f t="shared" si="1468"/>
        <v>0</v>
      </c>
      <c r="AN4242" s="498">
        <f t="shared" si="1469"/>
        <v>0</v>
      </c>
      <c r="AO4242" s="498">
        <f t="shared" si="1470"/>
        <v>0</v>
      </c>
      <c r="AP4242" s="498">
        <f t="shared" si="1467"/>
        <v>0</v>
      </c>
      <c r="AQ4242" s="498">
        <f t="shared" si="1484"/>
        <v>0</v>
      </c>
      <c r="AU4242" s="498">
        <f t="shared" si="1471"/>
        <v>0</v>
      </c>
      <c r="AV4242" s="498">
        <f t="shared" si="1472"/>
        <v>0</v>
      </c>
      <c r="AW4242" s="498">
        <f t="shared" si="1473"/>
        <v>0</v>
      </c>
      <c r="AX4242" s="498">
        <f t="shared" si="1474"/>
        <v>0</v>
      </c>
      <c r="AY4242" s="498">
        <f t="shared" si="1475"/>
        <v>0</v>
      </c>
      <c r="BB4242" s="498" t="str">
        <f t="shared" si="1476"/>
        <v/>
      </c>
      <c r="BC4242" s="743" t="str">
        <f t="shared" si="1477"/>
        <v/>
      </c>
      <c r="BD4242" s="743" t="str">
        <f t="shared" si="1478"/>
        <v/>
      </c>
      <c r="BE4242" s="743" t="str">
        <f>IF(D4242="","",VLOOKUP(D4242,'General Basis'!$J$39:$K$46,2,0))</f>
        <v/>
      </c>
      <c r="BF4242" s="744" t="str">
        <f>IF(D4242="","",VLOOKUP(D4242,'General Basis'!$J$39:$L$46,3,0))</f>
        <v/>
      </c>
      <c r="BG4242" s="744" t="str">
        <f t="shared" si="1485"/>
        <v/>
      </c>
      <c r="BH4242" s="744" t="str">
        <f>IF(G4242="","",IF(BF4242="Abu Dhabi",IF(G4242&lt;18,'General Basis'!$C$39,IF(G4242&lt;41,'General Basis'!$C$40,IF(G4242&lt;60,'General Basis'!$C$41,IF(G4242&lt;65,'General Basis'!$C$42,'General Basis'!$C$43)))),IF(G4242&lt;11,'General Basis'!$B$39,IF(G4242&lt;18,'General Basis'!$B$40,IF(G4242&lt;26,'General Basis'!$B$41,IF(G4242&lt;31,'General Basis'!$B$42,IF(G4242&lt;36,'General Basis'!$B$43,IF(G4242&lt;41,'General Basis'!$B$44,IF(G4242&lt;46,'General Basis'!$B$45,IF(G4242&lt;51,'General Basis'!$B$46,IF(G4242&lt;56,'General Basis'!$B$47,IF(G4242&lt;60,'General Basis'!$B$48,IF(G4242&lt;65,'General Basis'!$B$49,'General Basis'!$B$50)))))))))))))</f>
        <v/>
      </c>
      <c r="BI4242" s="744" t="str">
        <f t="shared" si="1479"/>
        <v/>
      </c>
      <c r="BJ4242" s="747" t="str">
        <f t="shared" si="1486"/>
        <v/>
      </c>
      <c r="BK4242" s="498" t="str">
        <f t="shared" si="1480"/>
        <v/>
      </c>
      <c r="BL4242" s="498" t="str">
        <f t="shared" si="1481"/>
        <v/>
      </c>
    </row>
    <row r="4243" spans="1:64" x14ac:dyDescent="0.25">
      <c r="A4243" s="762">
        <f t="shared" si="1482"/>
        <v>4238</v>
      </c>
      <c r="B4243" s="229"/>
      <c r="C4243" s="223"/>
      <c r="D4243" s="224"/>
      <c r="E4243" s="225"/>
      <c r="F4243" s="1036" t="str">
        <f t="shared" si="1488"/>
        <v/>
      </c>
      <c r="G4243" s="1037" t="str">
        <f t="shared" si="1483"/>
        <v/>
      </c>
      <c r="H4243" s="225"/>
      <c r="I4243" s="1013"/>
      <c r="J4243" s="1013"/>
      <c r="K4243" s="1028"/>
      <c r="L4243" s="1035" t="str">
        <f t="shared" si="1487"/>
        <v/>
      </c>
      <c r="S4243" s="498"/>
      <c r="AJ4243" s="498"/>
      <c r="AM4243" s="498">
        <f t="shared" si="1468"/>
        <v>0</v>
      </c>
      <c r="AN4243" s="498">
        <f t="shared" si="1469"/>
        <v>0</v>
      </c>
      <c r="AO4243" s="498">
        <f t="shared" si="1470"/>
        <v>0</v>
      </c>
      <c r="AP4243" s="498">
        <f t="shared" ref="AP4243:AP4306" si="1489">IF(ISBLANK($B4243),0,IF(OR($C4243="M",$C4243="F"),0,1))</f>
        <v>0</v>
      </c>
      <c r="AQ4243" s="498">
        <f t="shared" si="1484"/>
        <v>0</v>
      </c>
      <c r="AU4243" s="498">
        <f t="shared" si="1471"/>
        <v>0</v>
      </c>
      <c r="AV4243" s="498">
        <f t="shared" si="1472"/>
        <v>0</v>
      </c>
      <c r="AW4243" s="498">
        <f t="shared" si="1473"/>
        <v>0</v>
      </c>
      <c r="AX4243" s="498">
        <f t="shared" si="1474"/>
        <v>0</v>
      </c>
      <c r="AY4243" s="498">
        <f t="shared" si="1475"/>
        <v>0</v>
      </c>
      <c r="BB4243" s="498" t="str">
        <f t="shared" si="1476"/>
        <v/>
      </c>
      <c r="BC4243" s="743" t="str">
        <f t="shared" si="1477"/>
        <v/>
      </c>
      <c r="BD4243" s="743" t="str">
        <f t="shared" si="1478"/>
        <v/>
      </c>
      <c r="BE4243" s="743" t="str">
        <f>IF(D4243="","",VLOOKUP(D4243,'General Basis'!$J$39:$K$46,2,0))</f>
        <v/>
      </c>
      <c r="BF4243" s="744" t="str">
        <f>IF(D4243="","",VLOOKUP(D4243,'General Basis'!$J$39:$L$46,3,0))</f>
        <v/>
      </c>
      <c r="BG4243" s="744" t="str">
        <f t="shared" si="1485"/>
        <v/>
      </c>
      <c r="BH4243" s="744" t="str">
        <f>IF(G4243="","",IF(BF4243="Abu Dhabi",IF(G4243&lt;18,'General Basis'!$C$39,IF(G4243&lt;41,'General Basis'!$C$40,IF(G4243&lt;60,'General Basis'!$C$41,IF(G4243&lt;65,'General Basis'!$C$42,'General Basis'!$C$43)))),IF(G4243&lt;11,'General Basis'!$B$39,IF(G4243&lt;18,'General Basis'!$B$40,IF(G4243&lt;26,'General Basis'!$B$41,IF(G4243&lt;31,'General Basis'!$B$42,IF(G4243&lt;36,'General Basis'!$B$43,IF(G4243&lt;41,'General Basis'!$B$44,IF(G4243&lt;46,'General Basis'!$B$45,IF(G4243&lt;51,'General Basis'!$B$46,IF(G4243&lt;56,'General Basis'!$B$47,IF(G4243&lt;60,'General Basis'!$B$48,IF(G4243&lt;65,'General Basis'!$B$49,'General Basis'!$B$50)))))))))))))</f>
        <v/>
      </c>
      <c r="BI4243" s="744" t="str">
        <f t="shared" si="1479"/>
        <v/>
      </c>
      <c r="BJ4243" s="747" t="str">
        <f t="shared" si="1486"/>
        <v/>
      </c>
      <c r="BK4243" s="498" t="str">
        <f t="shared" si="1480"/>
        <v/>
      </c>
      <c r="BL4243" s="498" t="str">
        <f t="shared" si="1481"/>
        <v/>
      </c>
    </row>
    <row r="4244" spans="1:64" x14ac:dyDescent="0.25">
      <c r="A4244" s="762">
        <f t="shared" si="1482"/>
        <v>4239</v>
      </c>
      <c r="B4244" s="229"/>
      <c r="C4244" s="223"/>
      <c r="D4244" s="224"/>
      <c r="E4244" s="225"/>
      <c r="F4244" s="1036" t="str">
        <f t="shared" si="1488"/>
        <v/>
      </c>
      <c r="G4244" s="1037" t="str">
        <f t="shared" si="1483"/>
        <v/>
      </c>
      <c r="H4244" s="225"/>
      <c r="I4244" s="1013"/>
      <c r="J4244" s="1013"/>
      <c r="K4244" s="1028"/>
      <c r="L4244" s="1035" t="str">
        <f t="shared" si="1487"/>
        <v/>
      </c>
      <c r="S4244" s="498"/>
      <c r="AJ4244" s="498"/>
      <c r="AM4244" s="498">
        <f t="shared" si="1468"/>
        <v>0</v>
      </c>
      <c r="AN4244" s="498">
        <f t="shared" si="1469"/>
        <v>0</v>
      </c>
      <c r="AO4244" s="498">
        <f t="shared" si="1470"/>
        <v>0</v>
      </c>
      <c r="AP4244" s="498">
        <f t="shared" si="1489"/>
        <v>0</v>
      </c>
      <c r="AQ4244" s="498">
        <f t="shared" si="1484"/>
        <v>0</v>
      </c>
      <c r="AU4244" s="498">
        <f t="shared" si="1471"/>
        <v>0</v>
      </c>
      <c r="AV4244" s="498">
        <f t="shared" si="1472"/>
        <v>0</v>
      </c>
      <c r="AW4244" s="498">
        <f t="shared" si="1473"/>
        <v>0</v>
      </c>
      <c r="AX4244" s="498">
        <f t="shared" si="1474"/>
        <v>0</v>
      </c>
      <c r="AY4244" s="498">
        <f t="shared" si="1475"/>
        <v>0</v>
      </c>
      <c r="BB4244" s="498" t="str">
        <f t="shared" si="1476"/>
        <v/>
      </c>
      <c r="BC4244" s="743" t="str">
        <f t="shared" si="1477"/>
        <v/>
      </c>
      <c r="BD4244" s="743" t="str">
        <f t="shared" si="1478"/>
        <v/>
      </c>
      <c r="BE4244" s="743" t="str">
        <f>IF(D4244="","",VLOOKUP(D4244,'General Basis'!$J$39:$K$46,2,0))</f>
        <v/>
      </c>
      <c r="BF4244" s="744" t="str">
        <f>IF(D4244="","",VLOOKUP(D4244,'General Basis'!$J$39:$L$46,3,0))</f>
        <v/>
      </c>
      <c r="BG4244" s="744" t="str">
        <f t="shared" si="1485"/>
        <v/>
      </c>
      <c r="BH4244" s="744" t="str">
        <f>IF(G4244="","",IF(BF4244="Abu Dhabi",IF(G4244&lt;18,'General Basis'!$C$39,IF(G4244&lt;41,'General Basis'!$C$40,IF(G4244&lt;60,'General Basis'!$C$41,IF(G4244&lt;65,'General Basis'!$C$42,'General Basis'!$C$43)))),IF(G4244&lt;11,'General Basis'!$B$39,IF(G4244&lt;18,'General Basis'!$B$40,IF(G4244&lt;26,'General Basis'!$B$41,IF(G4244&lt;31,'General Basis'!$B$42,IF(G4244&lt;36,'General Basis'!$B$43,IF(G4244&lt;41,'General Basis'!$B$44,IF(G4244&lt;46,'General Basis'!$B$45,IF(G4244&lt;51,'General Basis'!$B$46,IF(G4244&lt;56,'General Basis'!$B$47,IF(G4244&lt;60,'General Basis'!$B$48,IF(G4244&lt;65,'General Basis'!$B$49,'General Basis'!$B$50)))))))))))))</f>
        <v/>
      </c>
      <c r="BI4244" s="744" t="str">
        <f t="shared" si="1479"/>
        <v/>
      </c>
      <c r="BJ4244" s="747" t="str">
        <f t="shared" si="1486"/>
        <v/>
      </c>
      <c r="BK4244" s="498" t="str">
        <f t="shared" si="1480"/>
        <v/>
      </c>
      <c r="BL4244" s="498" t="str">
        <f t="shared" si="1481"/>
        <v/>
      </c>
    </row>
    <row r="4245" spans="1:64" x14ac:dyDescent="0.25">
      <c r="A4245" s="762">
        <f t="shared" si="1482"/>
        <v>4240</v>
      </c>
      <c r="B4245" s="229"/>
      <c r="C4245" s="223"/>
      <c r="D4245" s="224"/>
      <c r="E4245" s="225"/>
      <c r="F4245" s="1036" t="str">
        <f t="shared" si="1488"/>
        <v/>
      </c>
      <c r="G4245" s="1037" t="str">
        <f t="shared" si="1483"/>
        <v/>
      </c>
      <c r="H4245" s="225"/>
      <c r="I4245" s="1013"/>
      <c r="J4245" s="1013"/>
      <c r="K4245" s="1028"/>
      <c r="L4245" s="1035" t="str">
        <f t="shared" si="1487"/>
        <v/>
      </c>
      <c r="S4245" s="498"/>
      <c r="AJ4245" s="498"/>
      <c r="AM4245" s="498">
        <f t="shared" si="1468"/>
        <v>0</v>
      </c>
      <c r="AN4245" s="498">
        <f t="shared" si="1469"/>
        <v>0</v>
      </c>
      <c r="AO4245" s="498">
        <f t="shared" si="1470"/>
        <v>0</v>
      </c>
      <c r="AP4245" s="498">
        <f t="shared" si="1489"/>
        <v>0</v>
      </c>
      <c r="AQ4245" s="498">
        <f t="shared" si="1484"/>
        <v>0</v>
      </c>
      <c r="AU4245" s="498">
        <f t="shared" si="1471"/>
        <v>0</v>
      </c>
      <c r="AV4245" s="498">
        <f t="shared" si="1472"/>
        <v>0</v>
      </c>
      <c r="AW4245" s="498">
        <f t="shared" si="1473"/>
        <v>0</v>
      </c>
      <c r="AX4245" s="498">
        <f t="shared" si="1474"/>
        <v>0</v>
      </c>
      <c r="AY4245" s="498">
        <f t="shared" si="1475"/>
        <v>0</v>
      </c>
      <c r="BB4245" s="498" t="str">
        <f t="shared" si="1476"/>
        <v/>
      </c>
      <c r="BC4245" s="743" t="str">
        <f t="shared" si="1477"/>
        <v/>
      </c>
      <c r="BD4245" s="743" t="str">
        <f t="shared" si="1478"/>
        <v/>
      </c>
      <c r="BE4245" s="743" t="str">
        <f>IF(D4245="","",VLOOKUP(D4245,'General Basis'!$J$39:$K$46,2,0))</f>
        <v/>
      </c>
      <c r="BF4245" s="744" t="str">
        <f>IF(D4245="","",VLOOKUP(D4245,'General Basis'!$J$39:$L$46,3,0))</f>
        <v/>
      </c>
      <c r="BG4245" s="744" t="str">
        <f t="shared" si="1485"/>
        <v/>
      </c>
      <c r="BH4245" s="744" t="str">
        <f>IF(G4245="","",IF(BF4245="Abu Dhabi",IF(G4245&lt;18,'General Basis'!$C$39,IF(G4245&lt;41,'General Basis'!$C$40,IF(G4245&lt;60,'General Basis'!$C$41,IF(G4245&lt;65,'General Basis'!$C$42,'General Basis'!$C$43)))),IF(G4245&lt;11,'General Basis'!$B$39,IF(G4245&lt;18,'General Basis'!$B$40,IF(G4245&lt;26,'General Basis'!$B$41,IF(G4245&lt;31,'General Basis'!$B$42,IF(G4245&lt;36,'General Basis'!$B$43,IF(G4245&lt;41,'General Basis'!$B$44,IF(G4245&lt;46,'General Basis'!$B$45,IF(G4245&lt;51,'General Basis'!$B$46,IF(G4245&lt;56,'General Basis'!$B$47,IF(G4245&lt;60,'General Basis'!$B$48,IF(G4245&lt;65,'General Basis'!$B$49,'General Basis'!$B$50)))))))))))))</f>
        <v/>
      </c>
      <c r="BI4245" s="744" t="str">
        <f t="shared" si="1479"/>
        <v/>
      </c>
      <c r="BJ4245" s="747" t="str">
        <f t="shared" si="1486"/>
        <v/>
      </c>
      <c r="BK4245" s="498" t="str">
        <f t="shared" si="1480"/>
        <v/>
      </c>
      <c r="BL4245" s="498" t="str">
        <f t="shared" si="1481"/>
        <v/>
      </c>
    </row>
    <row r="4246" spans="1:64" x14ac:dyDescent="0.25">
      <c r="A4246" s="762">
        <f t="shared" si="1482"/>
        <v>4241</v>
      </c>
      <c r="B4246" s="229"/>
      <c r="C4246" s="223"/>
      <c r="D4246" s="224"/>
      <c r="E4246" s="225"/>
      <c r="F4246" s="1036" t="str">
        <f t="shared" si="1488"/>
        <v/>
      </c>
      <c r="G4246" s="1037" t="str">
        <f t="shared" si="1483"/>
        <v/>
      </c>
      <c r="H4246" s="225"/>
      <c r="I4246" s="1013"/>
      <c r="J4246" s="1013"/>
      <c r="K4246" s="1028"/>
      <c r="L4246" s="1035" t="str">
        <f t="shared" si="1487"/>
        <v/>
      </c>
      <c r="S4246" s="498"/>
      <c r="AJ4246" s="498"/>
      <c r="AM4246" s="498">
        <f t="shared" si="1468"/>
        <v>0</v>
      </c>
      <c r="AN4246" s="498">
        <f t="shared" si="1469"/>
        <v>0</v>
      </c>
      <c r="AO4246" s="498">
        <f t="shared" si="1470"/>
        <v>0</v>
      </c>
      <c r="AP4246" s="498">
        <f t="shared" si="1489"/>
        <v>0</v>
      </c>
      <c r="AQ4246" s="498">
        <f t="shared" si="1484"/>
        <v>0</v>
      </c>
      <c r="AU4246" s="498">
        <f t="shared" si="1471"/>
        <v>0</v>
      </c>
      <c r="AV4246" s="498">
        <f t="shared" si="1472"/>
        <v>0</v>
      </c>
      <c r="AW4246" s="498">
        <f t="shared" si="1473"/>
        <v>0</v>
      </c>
      <c r="AX4246" s="498">
        <f t="shared" si="1474"/>
        <v>0</v>
      </c>
      <c r="AY4246" s="498">
        <f t="shared" si="1475"/>
        <v>0</v>
      </c>
      <c r="BB4246" s="498" t="str">
        <f t="shared" si="1476"/>
        <v/>
      </c>
      <c r="BC4246" s="743" t="str">
        <f t="shared" si="1477"/>
        <v/>
      </c>
      <c r="BD4246" s="743" t="str">
        <f t="shared" si="1478"/>
        <v/>
      </c>
      <c r="BE4246" s="743" t="str">
        <f>IF(D4246="","",VLOOKUP(D4246,'General Basis'!$J$39:$K$46,2,0))</f>
        <v/>
      </c>
      <c r="BF4246" s="744" t="str">
        <f>IF(D4246="","",VLOOKUP(D4246,'General Basis'!$J$39:$L$46,3,0))</f>
        <v/>
      </c>
      <c r="BG4246" s="744" t="str">
        <f t="shared" si="1485"/>
        <v/>
      </c>
      <c r="BH4246" s="744" t="str">
        <f>IF(G4246="","",IF(BF4246="Abu Dhabi",IF(G4246&lt;18,'General Basis'!$C$39,IF(G4246&lt;41,'General Basis'!$C$40,IF(G4246&lt;60,'General Basis'!$C$41,IF(G4246&lt;65,'General Basis'!$C$42,'General Basis'!$C$43)))),IF(G4246&lt;11,'General Basis'!$B$39,IF(G4246&lt;18,'General Basis'!$B$40,IF(G4246&lt;26,'General Basis'!$B$41,IF(G4246&lt;31,'General Basis'!$B$42,IF(G4246&lt;36,'General Basis'!$B$43,IF(G4246&lt;41,'General Basis'!$B$44,IF(G4246&lt;46,'General Basis'!$B$45,IF(G4246&lt;51,'General Basis'!$B$46,IF(G4246&lt;56,'General Basis'!$B$47,IF(G4246&lt;60,'General Basis'!$B$48,IF(G4246&lt;65,'General Basis'!$B$49,'General Basis'!$B$50)))))))))))))</f>
        <v/>
      </c>
      <c r="BI4246" s="744" t="str">
        <f t="shared" si="1479"/>
        <v/>
      </c>
      <c r="BJ4246" s="747" t="str">
        <f t="shared" si="1486"/>
        <v/>
      </c>
      <c r="BK4246" s="498" t="str">
        <f t="shared" si="1480"/>
        <v/>
      </c>
      <c r="BL4246" s="498" t="str">
        <f t="shared" si="1481"/>
        <v/>
      </c>
    </row>
    <row r="4247" spans="1:64" x14ac:dyDescent="0.25">
      <c r="A4247" s="762">
        <f t="shared" si="1482"/>
        <v>4242</v>
      </c>
      <c r="B4247" s="229"/>
      <c r="C4247" s="223"/>
      <c r="D4247" s="224"/>
      <c r="E4247" s="225"/>
      <c r="F4247" s="1036" t="str">
        <f t="shared" si="1488"/>
        <v/>
      </c>
      <c r="G4247" s="1037" t="str">
        <f t="shared" si="1483"/>
        <v/>
      </c>
      <c r="H4247" s="225"/>
      <c r="I4247" s="1013"/>
      <c r="J4247" s="1013"/>
      <c r="K4247" s="1028"/>
      <c r="L4247" s="1035" t="str">
        <f t="shared" si="1487"/>
        <v/>
      </c>
      <c r="S4247" s="498"/>
      <c r="AJ4247" s="498"/>
      <c r="AM4247" s="498">
        <f t="shared" si="1468"/>
        <v>0</v>
      </c>
      <c r="AN4247" s="498">
        <f t="shared" si="1469"/>
        <v>0</v>
      </c>
      <c r="AO4247" s="498">
        <f t="shared" si="1470"/>
        <v>0</v>
      </c>
      <c r="AP4247" s="498">
        <f t="shared" si="1489"/>
        <v>0</v>
      </c>
      <c r="AQ4247" s="498">
        <f t="shared" si="1484"/>
        <v>0</v>
      </c>
      <c r="AU4247" s="498">
        <f t="shared" si="1471"/>
        <v>0</v>
      </c>
      <c r="AV4247" s="498">
        <f t="shared" si="1472"/>
        <v>0</v>
      </c>
      <c r="AW4247" s="498">
        <f t="shared" si="1473"/>
        <v>0</v>
      </c>
      <c r="AX4247" s="498">
        <f t="shared" si="1474"/>
        <v>0</v>
      </c>
      <c r="AY4247" s="498">
        <f t="shared" si="1475"/>
        <v>0</v>
      </c>
      <c r="BB4247" s="498" t="str">
        <f t="shared" si="1476"/>
        <v/>
      </c>
      <c r="BC4247" s="743" t="str">
        <f t="shared" si="1477"/>
        <v/>
      </c>
      <c r="BD4247" s="743" t="str">
        <f t="shared" si="1478"/>
        <v/>
      </c>
      <c r="BE4247" s="743" t="str">
        <f>IF(D4247="","",VLOOKUP(D4247,'General Basis'!$J$39:$K$46,2,0))</f>
        <v/>
      </c>
      <c r="BF4247" s="744" t="str">
        <f>IF(D4247="","",VLOOKUP(D4247,'General Basis'!$J$39:$L$46,3,0))</f>
        <v/>
      </c>
      <c r="BG4247" s="744" t="str">
        <f t="shared" si="1485"/>
        <v/>
      </c>
      <c r="BH4247" s="744" t="str">
        <f>IF(G4247="","",IF(BF4247="Abu Dhabi",IF(G4247&lt;18,'General Basis'!$C$39,IF(G4247&lt;41,'General Basis'!$C$40,IF(G4247&lt;60,'General Basis'!$C$41,IF(G4247&lt;65,'General Basis'!$C$42,'General Basis'!$C$43)))),IF(G4247&lt;11,'General Basis'!$B$39,IF(G4247&lt;18,'General Basis'!$B$40,IF(G4247&lt;26,'General Basis'!$B$41,IF(G4247&lt;31,'General Basis'!$B$42,IF(G4247&lt;36,'General Basis'!$B$43,IF(G4247&lt;41,'General Basis'!$B$44,IF(G4247&lt;46,'General Basis'!$B$45,IF(G4247&lt;51,'General Basis'!$B$46,IF(G4247&lt;56,'General Basis'!$B$47,IF(G4247&lt;60,'General Basis'!$B$48,IF(G4247&lt;65,'General Basis'!$B$49,'General Basis'!$B$50)))))))))))))</f>
        <v/>
      </c>
      <c r="BI4247" s="744" t="str">
        <f t="shared" si="1479"/>
        <v/>
      </c>
      <c r="BJ4247" s="747" t="str">
        <f t="shared" si="1486"/>
        <v/>
      </c>
      <c r="BK4247" s="498" t="str">
        <f t="shared" si="1480"/>
        <v/>
      </c>
      <c r="BL4247" s="498" t="str">
        <f t="shared" si="1481"/>
        <v/>
      </c>
    </row>
    <row r="4248" spans="1:64" x14ac:dyDescent="0.25">
      <c r="A4248" s="762">
        <f t="shared" si="1482"/>
        <v>4243</v>
      </c>
      <c r="B4248" s="229"/>
      <c r="C4248" s="223"/>
      <c r="D4248" s="224"/>
      <c r="E4248" s="225"/>
      <c r="F4248" s="1036" t="str">
        <f t="shared" si="1488"/>
        <v/>
      </c>
      <c r="G4248" s="1037" t="str">
        <f t="shared" si="1483"/>
        <v/>
      </c>
      <c r="H4248" s="225"/>
      <c r="I4248" s="1013"/>
      <c r="J4248" s="1013"/>
      <c r="K4248" s="1028"/>
      <c r="L4248" s="1035" t="str">
        <f t="shared" si="1487"/>
        <v/>
      </c>
      <c r="S4248" s="498"/>
      <c r="AJ4248" s="498"/>
      <c r="AM4248" s="498">
        <f t="shared" si="1468"/>
        <v>0</v>
      </c>
      <c r="AN4248" s="498">
        <f t="shared" si="1469"/>
        <v>0</v>
      </c>
      <c r="AO4248" s="498">
        <f t="shared" si="1470"/>
        <v>0</v>
      </c>
      <c r="AP4248" s="498">
        <f t="shared" si="1489"/>
        <v>0</v>
      </c>
      <c r="AQ4248" s="498">
        <f t="shared" si="1484"/>
        <v>0</v>
      </c>
      <c r="AU4248" s="498">
        <f t="shared" si="1471"/>
        <v>0</v>
      </c>
      <c r="AV4248" s="498">
        <f t="shared" si="1472"/>
        <v>0</v>
      </c>
      <c r="AW4248" s="498">
        <f t="shared" si="1473"/>
        <v>0</v>
      </c>
      <c r="AX4248" s="498">
        <f t="shared" si="1474"/>
        <v>0</v>
      </c>
      <c r="AY4248" s="498">
        <f t="shared" si="1475"/>
        <v>0</v>
      </c>
      <c r="BB4248" s="498" t="str">
        <f t="shared" si="1476"/>
        <v/>
      </c>
      <c r="BC4248" s="743" t="str">
        <f t="shared" si="1477"/>
        <v/>
      </c>
      <c r="BD4248" s="743" t="str">
        <f t="shared" si="1478"/>
        <v/>
      </c>
      <c r="BE4248" s="743" t="str">
        <f>IF(D4248="","",VLOOKUP(D4248,'General Basis'!$J$39:$K$46,2,0))</f>
        <v/>
      </c>
      <c r="BF4248" s="744" t="str">
        <f>IF(D4248="","",VLOOKUP(D4248,'General Basis'!$J$39:$L$46,3,0))</f>
        <v/>
      </c>
      <c r="BG4248" s="744" t="str">
        <f t="shared" si="1485"/>
        <v/>
      </c>
      <c r="BH4248" s="744" t="str">
        <f>IF(G4248="","",IF(BF4248="Abu Dhabi",IF(G4248&lt;18,'General Basis'!$C$39,IF(G4248&lt;41,'General Basis'!$C$40,IF(G4248&lt;60,'General Basis'!$C$41,IF(G4248&lt;65,'General Basis'!$C$42,'General Basis'!$C$43)))),IF(G4248&lt;11,'General Basis'!$B$39,IF(G4248&lt;18,'General Basis'!$B$40,IF(G4248&lt;26,'General Basis'!$B$41,IF(G4248&lt;31,'General Basis'!$B$42,IF(G4248&lt;36,'General Basis'!$B$43,IF(G4248&lt;41,'General Basis'!$B$44,IF(G4248&lt;46,'General Basis'!$B$45,IF(G4248&lt;51,'General Basis'!$B$46,IF(G4248&lt;56,'General Basis'!$B$47,IF(G4248&lt;60,'General Basis'!$B$48,IF(G4248&lt;65,'General Basis'!$B$49,'General Basis'!$B$50)))))))))))))</f>
        <v/>
      </c>
      <c r="BI4248" s="744" t="str">
        <f t="shared" si="1479"/>
        <v/>
      </c>
      <c r="BJ4248" s="747" t="str">
        <f t="shared" si="1486"/>
        <v/>
      </c>
      <c r="BK4248" s="498" t="str">
        <f t="shared" si="1480"/>
        <v/>
      </c>
      <c r="BL4248" s="498" t="str">
        <f t="shared" si="1481"/>
        <v/>
      </c>
    </row>
    <row r="4249" spans="1:64" x14ac:dyDescent="0.25">
      <c r="A4249" s="762">
        <f t="shared" si="1482"/>
        <v>4244</v>
      </c>
      <c r="B4249" s="229"/>
      <c r="C4249" s="223"/>
      <c r="D4249" s="224"/>
      <c r="E4249" s="225"/>
      <c r="F4249" s="1036" t="str">
        <f t="shared" si="1488"/>
        <v/>
      </c>
      <c r="G4249" s="1037" t="str">
        <f t="shared" si="1483"/>
        <v/>
      </c>
      <c r="H4249" s="225"/>
      <c r="I4249" s="1013"/>
      <c r="J4249" s="1013"/>
      <c r="K4249" s="1028"/>
      <c r="L4249" s="1035" t="str">
        <f t="shared" si="1487"/>
        <v/>
      </c>
      <c r="S4249" s="498"/>
      <c r="AJ4249" s="498"/>
      <c r="AM4249" s="498">
        <f t="shared" si="1468"/>
        <v>0</v>
      </c>
      <c r="AN4249" s="498">
        <f t="shared" si="1469"/>
        <v>0</v>
      </c>
      <c r="AO4249" s="498">
        <f t="shared" si="1470"/>
        <v>0</v>
      </c>
      <c r="AP4249" s="498">
        <f t="shared" si="1489"/>
        <v>0</v>
      </c>
      <c r="AQ4249" s="498">
        <f t="shared" si="1484"/>
        <v>0</v>
      </c>
      <c r="AU4249" s="498">
        <f t="shared" si="1471"/>
        <v>0</v>
      </c>
      <c r="AV4249" s="498">
        <f t="shared" si="1472"/>
        <v>0</v>
      </c>
      <c r="AW4249" s="498">
        <f t="shared" si="1473"/>
        <v>0</v>
      </c>
      <c r="AX4249" s="498">
        <f t="shared" si="1474"/>
        <v>0</v>
      </c>
      <c r="AY4249" s="498">
        <f t="shared" si="1475"/>
        <v>0</v>
      </c>
      <c r="BB4249" s="498" t="str">
        <f t="shared" si="1476"/>
        <v/>
      </c>
      <c r="BC4249" s="743" t="str">
        <f t="shared" si="1477"/>
        <v/>
      </c>
      <c r="BD4249" s="743" t="str">
        <f t="shared" si="1478"/>
        <v/>
      </c>
      <c r="BE4249" s="743" t="str">
        <f>IF(D4249="","",VLOOKUP(D4249,'General Basis'!$J$39:$K$46,2,0))</f>
        <v/>
      </c>
      <c r="BF4249" s="744" t="str">
        <f>IF(D4249="","",VLOOKUP(D4249,'General Basis'!$J$39:$L$46,3,0))</f>
        <v/>
      </c>
      <c r="BG4249" s="744" t="str">
        <f t="shared" si="1485"/>
        <v/>
      </c>
      <c r="BH4249" s="744" t="str">
        <f>IF(G4249="","",IF(BF4249="Abu Dhabi",IF(G4249&lt;18,'General Basis'!$C$39,IF(G4249&lt;41,'General Basis'!$C$40,IF(G4249&lt;60,'General Basis'!$C$41,IF(G4249&lt;65,'General Basis'!$C$42,'General Basis'!$C$43)))),IF(G4249&lt;11,'General Basis'!$B$39,IF(G4249&lt;18,'General Basis'!$B$40,IF(G4249&lt;26,'General Basis'!$B$41,IF(G4249&lt;31,'General Basis'!$B$42,IF(G4249&lt;36,'General Basis'!$B$43,IF(G4249&lt;41,'General Basis'!$B$44,IF(G4249&lt;46,'General Basis'!$B$45,IF(G4249&lt;51,'General Basis'!$B$46,IF(G4249&lt;56,'General Basis'!$B$47,IF(G4249&lt;60,'General Basis'!$B$48,IF(G4249&lt;65,'General Basis'!$B$49,'General Basis'!$B$50)))))))))))))</f>
        <v/>
      </c>
      <c r="BI4249" s="744" t="str">
        <f t="shared" si="1479"/>
        <v/>
      </c>
      <c r="BJ4249" s="747" t="str">
        <f t="shared" si="1486"/>
        <v/>
      </c>
      <c r="BK4249" s="498" t="str">
        <f t="shared" si="1480"/>
        <v/>
      </c>
      <c r="BL4249" s="498" t="str">
        <f t="shared" si="1481"/>
        <v/>
      </c>
    </row>
    <row r="4250" spans="1:64" x14ac:dyDescent="0.25">
      <c r="A4250" s="762">
        <f t="shared" si="1482"/>
        <v>4245</v>
      </c>
      <c r="B4250" s="229"/>
      <c r="C4250" s="223"/>
      <c r="D4250" s="224"/>
      <c r="E4250" s="225"/>
      <c r="F4250" s="1036" t="str">
        <f t="shared" si="1488"/>
        <v/>
      </c>
      <c r="G4250" s="1037" t="str">
        <f t="shared" si="1483"/>
        <v/>
      </c>
      <c r="H4250" s="225"/>
      <c r="I4250" s="1013"/>
      <c r="J4250" s="1013"/>
      <c r="K4250" s="1028"/>
      <c r="L4250" s="1035" t="str">
        <f t="shared" si="1487"/>
        <v/>
      </c>
      <c r="S4250" s="498"/>
      <c r="AJ4250" s="498"/>
      <c r="AM4250" s="498">
        <f t="shared" si="1468"/>
        <v>0</v>
      </c>
      <c r="AN4250" s="498">
        <f t="shared" si="1469"/>
        <v>0</v>
      </c>
      <c r="AO4250" s="498">
        <f t="shared" si="1470"/>
        <v>0</v>
      </c>
      <c r="AP4250" s="498">
        <f t="shared" si="1489"/>
        <v>0</v>
      </c>
      <c r="AQ4250" s="498">
        <f t="shared" si="1484"/>
        <v>0</v>
      </c>
      <c r="AU4250" s="498">
        <f t="shared" si="1471"/>
        <v>0</v>
      </c>
      <c r="AV4250" s="498">
        <f t="shared" si="1472"/>
        <v>0</v>
      </c>
      <c r="AW4250" s="498">
        <f t="shared" si="1473"/>
        <v>0</v>
      </c>
      <c r="AX4250" s="498">
        <f t="shared" si="1474"/>
        <v>0</v>
      </c>
      <c r="AY4250" s="498">
        <f t="shared" si="1475"/>
        <v>0</v>
      </c>
      <c r="BB4250" s="498" t="str">
        <f t="shared" si="1476"/>
        <v/>
      </c>
      <c r="BC4250" s="743" t="str">
        <f t="shared" si="1477"/>
        <v/>
      </c>
      <c r="BD4250" s="743" t="str">
        <f t="shared" si="1478"/>
        <v/>
      </c>
      <c r="BE4250" s="743" t="str">
        <f>IF(D4250="","",VLOOKUP(D4250,'General Basis'!$J$39:$K$46,2,0))</f>
        <v/>
      </c>
      <c r="BF4250" s="744" t="str">
        <f>IF(D4250="","",VLOOKUP(D4250,'General Basis'!$J$39:$L$46,3,0))</f>
        <v/>
      </c>
      <c r="BG4250" s="744" t="str">
        <f t="shared" si="1485"/>
        <v/>
      </c>
      <c r="BH4250" s="744" t="str">
        <f>IF(G4250="","",IF(BF4250="Abu Dhabi",IF(G4250&lt;18,'General Basis'!$C$39,IF(G4250&lt;41,'General Basis'!$C$40,IF(G4250&lt;60,'General Basis'!$C$41,IF(G4250&lt;65,'General Basis'!$C$42,'General Basis'!$C$43)))),IF(G4250&lt;11,'General Basis'!$B$39,IF(G4250&lt;18,'General Basis'!$B$40,IF(G4250&lt;26,'General Basis'!$B$41,IF(G4250&lt;31,'General Basis'!$B$42,IF(G4250&lt;36,'General Basis'!$B$43,IF(G4250&lt;41,'General Basis'!$B$44,IF(G4250&lt;46,'General Basis'!$B$45,IF(G4250&lt;51,'General Basis'!$B$46,IF(G4250&lt;56,'General Basis'!$B$47,IF(G4250&lt;60,'General Basis'!$B$48,IF(G4250&lt;65,'General Basis'!$B$49,'General Basis'!$B$50)))))))))))))</f>
        <v/>
      </c>
      <c r="BI4250" s="744" t="str">
        <f t="shared" si="1479"/>
        <v/>
      </c>
      <c r="BJ4250" s="747" t="str">
        <f t="shared" si="1486"/>
        <v/>
      </c>
      <c r="BK4250" s="498" t="str">
        <f t="shared" si="1480"/>
        <v/>
      </c>
      <c r="BL4250" s="498" t="str">
        <f t="shared" si="1481"/>
        <v/>
      </c>
    </row>
    <row r="4251" spans="1:64" x14ac:dyDescent="0.25">
      <c r="A4251" s="762">
        <f t="shared" si="1482"/>
        <v>4246</v>
      </c>
      <c r="B4251" s="229"/>
      <c r="C4251" s="223"/>
      <c r="D4251" s="224"/>
      <c r="E4251" s="225"/>
      <c r="F4251" s="1036" t="str">
        <f t="shared" si="1488"/>
        <v/>
      </c>
      <c r="G4251" s="1037" t="str">
        <f t="shared" si="1483"/>
        <v/>
      </c>
      <c r="H4251" s="225"/>
      <c r="I4251" s="1013"/>
      <c r="J4251" s="1013"/>
      <c r="K4251" s="1028"/>
      <c r="L4251" s="1035" t="str">
        <f t="shared" si="1487"/>
        <v/>
      </c>
      <c r="S4251" s="498"/>
      <c r="AJ4251" s="498"/>
      <c r="AM4251" s="498">
        <f t="shared" si="1468"/>
        <v>0</v>
      </c>
      <c r="AN4251" s="498">
        <f t="shared" si="1469"/>
        <v>0</v>
      </c>
      <c r="AO4251" s="498">
        <f t="shared" si="1470"/>
        <v>0</v>
      </c>
      <c r="AP4251" s="498">
        <f t="shared" si="1489"/>
        <v>0</v>
      </c>
      <c r="AQ4251" s="498">
        <f t="shared" si="1484"/>
        <v>0</v>
      </c>
      <c r="AU4251" s="498">
        <f t="shared" si="1471"/>
        <v>0</v>
      </c>
      <c r="AV4251" s="498">
        <f t="shared" si="1472"/>
        <v>0</v>
      </c>
      <c r="AW4251" s="498">
        <f t="shared" si="1473"/>
        <v>0</v>
      </c>
      <c r="AX4251" s="498">
        <f t="shared" si="1474"/>
        <v>0</v>
      </c>
      <c r="AY4251" s="498">
        <f t="shared" si="1475"/>
        <v>0</v>
      </c>
      <c r="BB4251" s="498" t="str">
        <f t="shared" si="1476"/>
        <v/>
      </c>
      <c r="BC4251" s="743" t="str">
        <f t="shared" si="1477"/>
        <v/>
      </c>
      <c r="BD4251" s="743" t="str">
        <f t="shared" si="1478"/>
        <v/>
      </c>
      <c r="BE4251" s="743" t="str">
        <f>IF(D4251="","",VLOOKUP(D4251,'General Basis'!$J$39:$K$46,2,0))</f>
        <v/>
      </c>
      <c r="BF4251" s="744" t="str">
        <f>IF(D4251="","",VLOOKUP(D4251,'General Basis'!$J$39:$L$46,3,0))</f>
        <v/>
      </c>
      <c r="BG4251" s="744" t="str">
        <f t="shared" si="1485"/>
        <v/>
      </c>
      <c r="BH4251" s="744" t="str">
        <f>IF(G4251="","",IF(BF4251="Abu Dhabi",IF(G4251&lt;18,'General Basis'!$C$39,IF(G4251&lt;41,'General Basis'!$C$40,IF(G4251&lt;60,'General Basis'!$C$41,IF(G4251&lt;65,'General Basis'!$C$42,'General Basis'!$C$43)))),IF(G4251&lt;11,'General Basis'!$B$39,IF(G4251&lt;18,'General Basis'!$B$40,IF(G4251&lt;26,'General Basis'!$B$41,IF(G4251&lt;31,'General Basis'!$B$42,IF(G4251&lt;36,'General Basis'!$B$43,IF(G4251&lt;41,'General Basis'!$B$44,IF(G4251&lt;46,'General Basis'!$B$45,IF(G4251&lt;51,'General Basis'!$B$46,IF(G4251&lt;56,'General Basis'!$B$47,IF(G4251&lt;60,'General Basis'!$B$48,IF(G4251&lt;65,'General Basis'!$B$49,'General Basis'!$B$50)))))))))))))</f>
        <v/>
      </c>
      <c r="BI4251" s="744" t="str">
        <f t="shared" si="1479"/>
        <v/>
      </c>
      <c r="BJ4251" s="747" t="str">
        <f t="shared" si="1486"/>
        <v/>
      </c>
      <c r="BK4251" s="498" t="str">
        <f t="shared" si="1480"/>
        <v/>
      </c>
      <c r="BL4251" s="498" t="str">
        <f t="shared" si="1481"/>
        <v/>
      </c>
    </row>
    <row r="4252" spans="1:64" x14ac:dyDescent="0.25">
      <c r="A4252" s="762">
        <f t="shared" si="1482"/>
        <v>4247</v>
      </c>
      <c r="B4252" s="229"/>
      <c r="C4252" s="223"/>
      <c r="D4252" s="224"/>
      <c r="E4252" s="225"/>
      <c r="F4252" s="1036" t="str">
        <f t="shared" si="1488"/>
        <v/>
      </c>
      <c r="G4252" s="1037" t="str">
        <f t="shared" si="1483"/>
        <v/>
      </c>
      <c r="H4252" s="225"/>
      <c r="I4252" s="1013"/>
      <c r="J4252" s="1013"/>
      <c r="K4252" s="1028"/>
      <c r="L4252" s="1035" t="str">
        <f t="shared" si="1487"/>
        <v/>
      </c>
      <c r="S4252" s="498"/>
      <c r="AJ4252" s="498"/>
      <c r="AM4252" s="498">
        <f t="shared" si="1468"/>
        <v>0</v>
      </c>
      <c r="AN4252" s="498">
        <f t="shared" si="1469"/>
        <v>0</v>
      </c>
      <c r="AO4252" s="498">
        <f t="shared" si="1470"/>
        <v>0</v>
      </c>
      <c r="AP4252" s="498">
        <f t="shared" si="1489"/>
        <v>0</v>
      </c>
      <c r="AQ4252" s="498">
        <f t="shared" si="1484"/>
        <v>0</v>
      </c>
      <c r="AU4252" s="498">
        <f t="shared" si="1471"/>
        <v>0</v>
      </c>
      <c r="AV4252" s="498">
        <f t="shared" si="1472"/>
        <v>0</v>
      </c>
      <c r="AW4252" s="498">
        <f t="shared" si="1473"/>
        <v>0</v>
      </c>
      <c r="AX4252" s="498">
        <f t="shared" si="1474"/>
        <v>0</v>
      </c>
      <c r="AY4252" s="498">
        <f t="shared" si="1475"/>
        <v>0</v>
      </c>
      <c r="BB4252" s="498" t="str">
        <f t="shared" si="1476"/>
        <v/>
      </c>
      <c r="BC4252" s="743" t="str">
        <f t="shared" si="1477"/>
        <v/>
      </c>
      <c r="BD4252" s="743" t="str">
        <f t="shared" si="1478"/>
        <v/>
      </c>
      <c r="BE4252" s="743" t="str">
        <f>IF(D4252="","",VLOOKUP(D4252,'General Basis'!$J$39:$K$46,2,0))</f>
        <v/>
      </c>
      <c r="BF4252" s="744" t="str">
        <f>IF(D4252="","",VLOOKUP(D4252,'General Basis'!$J$39:$L$46,3,0))</f>
        <v/>
      </c>
      <c r="BG4252" s="744" t="str">
        <f t="shared" si="1485"/>
        <v/>
      </c>
      <c r="BH4252" s="744" t="str">
        <f>IF(G4252="","",IF(BF4252="Abu Dhabi",IF(G4252&lt;18,'General Basis'!$C$39,IF(G4252&lt;41,'General Basis'!$C$40,IF(G4252&lt;60,'General Basis'!$C$41,IF(G4252&lt;65,'General Basis'!$C$42,'General Basis'!$C$43)))),IF(G4252&lt;11,'General Basis'!$B$39,IF(G4252&lt;18,'General Basis'!$B$40,IF(G4252&lt;26,'General Basis'!$B$41,IF(G4252&lt;31,'General Basis'!$B$42,IF(G4252&lt;36,'General Basis'!$B$43,IF(G4252&lt;41,'General Basis'!$B$44,IF(G4252&lt;46,'General Basis'!$B$45,IF(G4252&lt;51,'General Basis'!$B$46,IF(G4252&lt;56,'General Basis'!$B$47,IF(G4252&lt;60,'General Basis'!$B$48,IF(G4252&lt;65,'General Basis'!$B$49,'General Basis'!$B$50)))))))))))))</f>
        <v/>
      </c>
      <c r="BI4252" s="744" t="str">
        <f t="shared" si="1479"/>
        <v/>
      </c>
      <c r="BJ4252" s="747" t="str">
        <f t="shared" si="1486"/>
        <v/>
      </c>
      <c r="BK4252" s="498" t="str">
        <f t="shared" si="1480"/>
        <v/>
      </c>
      <c r="BL4252" s="498" t="str">
        <f t="shared" si="1481"/>
        <v/>
      </c>
    </row>
    <row r="4253" spans="1:64" x14ac:dyDescent="0.25">
      <c r="A4253" s="762">
        <f t="shared" si="1482"/>
        <v>4248</v>
      </c>
      <c r="B4253" s="229"/>
      <c r="C4253" s="223"/>
      <c r="D4253" s="224"/>
      <c r="E4253" s="225"/>
      <c r="F4253" s="1036" t="str">
        <f t="shared" si="1488"/>
        <v/>
      </c>
      <c r="G4253" s="1037" t="str">
        <f t="shared" si="1483"/>
        <v/>
      </c>
      <c r="H4253" s="225"/>
      <c r="I4253" s="1013"/>
      <c r="J4253" s="1013"/>
      <c r="K4253" s="1028"/>
      <c r="L4253" s="1035" t="str">
        <f t="shared" si="1487"/>
        <v/>
      </c>
      <c r="S4253" s="498"/>
      <c r="AJ4253" s="498"/>
      <c r="AM4253" s="498">
        <f t="shared" si="1468"/>
        <v>0</v>
      </c>
      <c r="AN4253" s="498">
        <f t="shared" si="1469"/>
        <v>0</v>
      </c>
      <c r="AO4253" s="498">
        <f t="shared" si="1470"/>
        <v>0</v>
      </c>
      <c r="AP4253" s="498">
        <f t="shared" si="1489"/>
        <v>0</v>
      </c>
      <c r="AQ4253" s="498">
        <f t="shared" si="1484"/>
        <v>0</v>
      </c>
      <c r="AU4253" s="498">
        <f t="shared" si="1471"/>
        <v>0</v>
      </c>
      <c r="AV4253" s="498">
        <f t="shared" si="1472"/>
        <v>0</v>
      </c>
      <c r="AW4253" s="498">
        <f t="shared" si="1473"/>
        <v>0</v>
      </c>
      <c r="AX4253" s="498">
        <f t="shared" si="1474"/>
        <v>0</v>
      </c>
      <c r="AY4253" s="498">
        <f t="shared" si="1475"/>
        <v>0</v>
      </c>
      <c r="BB4253" s="498" t="str">
        <f t="shared" si="1476"/>
        <v/>
      </c>
      <c r="BC4253" s="743" t="str">
        <f t="shared" si="1477"/>
        <v/>
      </c>
      <c r="BD4253" s="743" t="str">
        <f t="shared" si="1478"/>
        <v/>
      </c>
      <c r="BE4253" s="743" t="str">
        <f>IF(D4253="","",VLOOKUP(D4253,'General Basis'!$J$39:$K$46,2,0))</f>
        <v/>
      </c>
      <c r="BF4253" s="744" t="str">
        <f>IF(D4253="","",VLOOKUP(D4253,'General Basis'!$J$39:$L$46,3,0))</f>
        <v/>
      </c>
      <c r="BG4253" s="744" t="str">
        <f t="shared" si="1485"/>
        <v/>
      </c>
      <c r="BH4253" s="744" t="str">
        <f>IF(G4253="","",IF(BF4253="Abu Dhabi",IF(G4253&lt;18,'General Basis'!$C$39,IF(G4253&lt;41,'General Basis'!$C$40,IF(G4253&lt;60,'General Basis'!$C$41,IF(G4253&lt;65,'General Basis'!$C$42,'General Basis'!$C$43)))),IF(G4253&lt;11,'General Basis'!$B$39,IF(G4253&lt;18,'General Basis'!$B$40,IF(G4253&lt;26,'General Basis'!$B$41,IF(G4253&lt;31,'General Basis'!$B$42,IF(G4253&lt;36,'General Basis'!$B$43,IF(G4253&lt;41,'General Basis'!$B$44,IF(G4253&lt;46,'General Basis'!$B$45,IF(G4253&lt;51,'General Basis'!$B$46,IF(G4253&lt;56,'General Basis'!$B$47,IF(G4253&lt;60,'General Basis'!$B$48,IF(G4253&lt;65,'General Basis'!$B$49,'General Basis'!$B$50)))))))))))))</f>
        <v/>
      </c>
      <c r="BI4253" s="744" t="str">
        <f t="shared" si="1479"/>
        <v/>
      </c>
      <c r="BJ4253" s="747" t="str">
        <f t="shared" si="1486"/>
        <v/>
      </c>
      <c r="BK4253" s="498" t="str">
        <f t="shared" si="1480"/>
        <v/>
      </c>
      <c r="BL4253" s="498" t="str">
        <f t="shared" si="1481"/>
        <v/>
      </c>
    </row>
    <row r="4254" spans="1:64" x14ac:dyDescent="0.25">
      <c r="A4254" s="762">
        <f t="shared" si="1482"/>
        <v>4249</v>
      </c>
      <c r="B4254" s="229"/>
      <c r="C4254" s="223"/>
      <c r="D4254" s="224"/>
      <c r="E4254" s="225"/>
      <c r="F4254" s="1036" t="str">
        <f t="shared" si="1488"/>
        <v/>
      </c>
      <c r="G4254" s="1037" t="str">
        <f t="shared" si="1483"/>
        <v/>
      </c>
      <c r="H4254" s="225"/>
      <c r="I4254" s="1013"/>
      <c r="J4254" s="1013"/>
      <c r="K4254" s="1028"/>
      <c r="L4254" s="1035" t="str">
        <f t="shared" si="1487"/>
        <v/>
      </c>
      <c r="S4254" s="498"/>
      <c r="AJ4254" s="498"/>
      <c r="AM4254" s="498">
        <f t="shared" si="1468"/>
        <v>0</v>
      </c>
      <c r="AN4254" s="498">
        <f t="shared" si="1469"/>
        <v>0</v>
      </c>
      <c r="AO4254" s="498">
        <f t="shared" si="1470"/>
        <v>0</v>
      </c>
      <c r="AP4254" s="498">
        <f t="shared" si="1489"/>
        <v>0</v>
      </c>
      <c r="AQ4254" s="498">
        <f t="shared" si="1484"/>
        <v>0</v>
      </c>
      <c r="AU4254" s="498">
        <f t="shared" si="1471"/>
        <v>0</v>
      </c>
      <c r="AV4254" s="498">
        <f t="shared" si="1472"/>
        <v>0</v>
      </c>
      <c r="AW4254" s="498">
        <f t="shared" si="1473"/>
        <v>0</v>
      </c>
      <c r="AX4254" s="498">
        <f t="shared" si="1474"/>
        <v>0</v>
      </c>
      <c r="AY4254" s="498">
        <f t="shared" si="1475"/>
        <v>0</v>
      </c>
      <c r="BB4254" s="498" t="str">
        <f t="shared" si="1476"/>
        <v/>
      </c>
      <c r="BC4254" s="743" t="str">
        <f t="shared" si="1477"/>
        <v/>
      </c>
      <c r="BD4254" s="743" t="str">
        <f t="shared" si="1478"/>
        <v/>
      </c>
      <c r="BE4254" s="743" t="str">
        <f>IF(D4254="","",VLOOKUP(D4254,'General Basis'!$J$39:$K$46,2,0))</f>
        <v/>
      </c>
      <c r="BF4254" s="744" t="str">
        <f>IF(D4254="","",VLOOKUP(D4254,'General Basis'!$J$39:$L$46,3,0))</f>
        <v/>
      </c>
      <c r="BG4254" s="744" t="str">
        <f t="shared" si="1485"/>
        <v/>
      </c>
      <c r="BH4254" s="744" t="str">
        <f>IF(G4254="","",IF(BF4254="Abu Dhabi",IF(G4254&lt;18,'General Basis'!$C$39,IF(G4254&lt;41,'General Basis'!$C$40,IF(G4254&lt;60,'General Basis'!$C$41,IF(G4254&lt;65,'General Basis'!$C$42,'General Basis'!$C$43)))),IF(G4254&lt;11,'General Basis'!$B$39,IF(G4254&lt;18,'General Basis'!$B$40,IF(G4254&lt;26,'General Basis'!$B$41,IF(G4254&lt;31,'General Basis'!$B$42,IF(G4254&lt;36,'General Basis'!$B$43,IF(G4254&lt;41,'General Basis'!$B$44,IF(G4254&lt;46,'General Basis'!$B$45,IF(G4254&lt;51,'General Basis'!$B$46,IF(G4254&lt;56,'General Basis'!$B$47,IF(G4254&lt;60,'General Basis'!$B$48,IF(G4254&lt;65,'General Basis'!$B$49,'General Basis'!$B$50)))))))))))))</f>
        <v/>
      </c>
      <c r="BI4254" s="744" t="str">
        <f t="shared" si="1479"/>
        <v/>
      </c>
      <c r="BJ4254" s="747" t="str">
        <f t="shared" si="1486"/>
        <v/>
      </c>
      <c r="BK4254" s="498" t="str">
        <f t="shared" si="1480"/>
        <v/>
      </c>
      <c r="BL4254" s="498" t="str">
        <f t="shared" si="1481"/>
        <v/>
      </c>
    </row>
    <row r="4255" spans="1:64" x14ac:dyDescent="0.25">
      <c r="A4255" s="762">
        <f t="shared" si="1482"/>
        <v>4250</v>
      </c>
      <c r="B4255" s="229"/>
      <c r="C4255" s="223"/>
      <c r="D4255" s="224"/>
      <c r="E4255" s="225"/>
      <c r="F4255" s="1036" t="str">
        <f t="shared" si="1488"/>
        <v/>
      </c>
      <c r="G4255" s="1037" t="str">
        <f t="shared" si="1483"/>
        <v/>
      </c>
      <c r="H4255" s="225"/>
      <c r="I4255" s="1013"/>
      <c r="J4255" s="1013"/>
      <c r="K4255" s="1028"/>
      <c r="L4255" s="1035" t="str">
        <f t="shared" si="1487"/>
        <v/>
      </c>
      <c r="S4255" s="498"/>
      <c r="AJ4255" s="498"/>
      <c r="AM4255" s="498">
        <f t="shared" si="1468"/>
        <v>0</v>
      </c>
      <c r="AN4255" s="498">
        <f t="shared" si="1469"/>
        <v>0</v>
      </c>
      <c r="AO4255" s="498">
        <f t="shared" si="1470"/>
        <v>0</v>
      </c>
      <c r="AP4255" s="498">
        <f t="shared" si="1489"/>
        <v>0</v>
      </c>
      <c r="AQ4255" s="498">
        <f t="shared" si="1484"/>
        <v>0</v>
      </c>
      <c r="AU4255" s="498">
        <f t="shared" si="1471"/>
        <v>0</v>
      </c>
      <c r="AV4255" s="498">
        <f t="shared" si="1472"/>
        <v>0</v>
      </c>
      <c r="AW4255" s="498">
        <f t="shared" si="1473"/>
        <v>0</v>
      </c>
      <c r="AX4255" s="498">
        <f t="shared" si="1474"/>
        <v>0</v>
      </c>
      <c r="AY4255" s="498">
        <f t="shared" si="1475"/>
        <v>0</v>
      </c>
      <c r="BB4255" s="498" t="str">
        <f t="shared" si="1476"/>
        <v/>
      </c>
      <c r="BC4255" s="743" t="str">
        <f t="shared" si="1477"/>
        <v/>
      </c>
      <c r="BD4255" s="743" t="str">
        <f t="shared" si="1478"/>
        <v/>
      </c>
      <c r="BE4255" s="743" t="str">
        <f>IF(D4255="","",VLOOKUP(D4255,'General Basis'!$J$39:$K$46,2,0))</f>
        <v/>
      </c>
      <c r="BF4255" s="744" t="str">
        <f>IF(D4255="","",VLOOKUP(D4255,'General Basis'!$J$39:$L$46,3,0))</f>
        <v/>
      </c>
      <c r="BG4255" s="744" t="str">
        <f t="shared" si="1485"/>
        <v/>
      </c>
      <c r="BH4255" s="744" t="str">
        <f>IF(G4255="","",IF(BF4255="Abu Dhabi",IF(G4255&lt;18,'General Basis'!$C$39,IF(G4255&lt;41,'General Basis'!$C$40,IF(G4255&lt;60,'General Basis'!$C$41,IF(G4255&lt;65,'General Basis'!$C$42,'General Basis'!$C$43)))),IF(G4255&lt;11,'General Basis'!$B$39,IF(G4255&lt;18,'General Basis'!$B$40,IF(G4255&lt;26,'General Basis'!$B$41,IF(G4255&lt;31,'General Basis'!$B$42,IF(G4255&lt;36,'General Basis'!$B$43,IF(G4255&lt;41,'General Basis'!$B$44,IF(G4255&lt;46,'General Basis'!$B$45,IF(G4255&lt;51,'General Basis'!$B$46,IF(G4255&lt;56,'General Basis'!$B$47,IF(G4255&lt;60,'General Basis'!$B$48,IF(G4255&lt;65,'General Basis'!$B$49,'General Basis'!$B$50)))))))))))))</f>
        <v/>
      </c>
      <c r="BI4255" s="744" t="str">
        <f t="shared" si="1479"/>
        <v/>
      </c>
      <c r="BJ4255" s="747" t="str">
        <f t="shared" si="1486"/>
        <v/>
      </c>
      <c r="BK4255" s="498" t="str">
        <f t="shared" si="1480"/>
        <v/>
      </c>
      <c r="BL4255" s="498" t="str">
        <f t="shared" si="1481"/>
        <v/>
      </c>
    </row>
    <row r="4256" spans="1:64" x14ac:dyDescent="0.25">
      <c r="A4256" s="762">
        <f t="shared" si="1482"/>
        <v>4251</v>
      </c>
      <c r="B4256" s="229"/>
      <c r="C4256" s="223"/>
      <c r="D4256" s="224"/>
      <c r="E4256" s="225"/>
      <c r="F4256" s="1036" t="str">
        <f t="shared" si="1488"/>
        <v/>
      </c>
      <c r="G4256" s="1037" t="str">
        <f t="shared" si="1483"/>
        <v/>
      </c>
      <c r="H4256" s="225"/>
      <c r="I4256" s="1013"/>
      <c r="J4256" s="1013"/>
      <c r="K4256" s="1028"/>
      <c r="L4256" s="1035" t="str">
        <f t="shared" si="1487"/>
        <v/>
      </c>
      <c r="S4256" s="498"/>
      <c r="AJ4256" s="498"/>
      <c r="AM4256" s="498">
        <f t="shared" si="1468"/>
        <v>0</v>
      </c>
      <c r="AN4256" s="498">
        <f t="shared" si="1469"/>
        <v>0</v>
      </c>
      <c r="AO4256" s="498">
        <f t="shared" si="1470"/>
        <v>0</v>
      </c>
      <c r="AP4256" s="498">
        <f t="shared" si="1489"/>
        <v>0</v>
      </c>
      <c r="AQ4256" s="498">
        <f t="shared" si="1484"/>
        <v>0</v>
      </c>
      <c r="AU4256" s="498">
        <f t="shared" si="1471"/>
        <v>0</v>
      </c>
      <c r="AV4256" s="498">
        <f t="shared" si="1472"/>
        <v>0</v>
      </c>
      <c r="AW4256" s="498">
        <f t="shared" si="1473"/>
        <v>0</v>
      </c>
      <c r="AX4256" s="498">
        <f t="shared" si="1474"/>
        <v>0</v>
      </c>
      <c r="AY4256" s="498">
        <f t="shared" si="1475"/>
        <v>0</v>
      </c>
      <c r="BB4256" s="498" t="str">
        <f t="shared" si="1476"/>
        <v/>
      </c>
      <c r="BC4256" s="743" t="str">
        <f t="shared" si="1477"/>
        <v/>
      </c>
      <c r="BD4256" s="743" t="str">
        <f t="shared" si="1478"/>
        <v/>
      </c>
      <c r="BE4256" s="743" t="str">
        <f>IF(D4256="","",VLOOKUP(D4256,'General Basis'!$J$39:$K$46,2,0))</f>
        <v/>
      </c>
      <c r="BF4256" s="744" t="str">
        <f>IF(D4256="","",VLOOKUP(D4256,'General Basis'!$J$39:$L$46,3,0))</f>
        <v/>
      </c>
      <c r="BG4256" s="744" t="str">
        <f t="shared" si="1485"/>
        <v/>
      </c>
      <c r="BH4256" s="744" t="str">
        <f>IF(G4256="","",IF(BF4256="Abu Dhabi",IF(G4256&lt;18,'General Basis'!$C$39,IF(G4256&lt;41,'General Basis'!$C$40,IF(G4256&lt;60,'General Basis'!$C$41,IF(G4256&lt;65,'General Basis'!$C$42,'General Basis'!$C$43)))),IF(G4256&lt;11,'General Basis'!$B$39,IF(G4256&lt;18,'General Basis'!$B$40,IF(G4256&lt;26,'General Basis'!$B$41,IF(G4256&lt;31,'General Basis'!$B$42,IF(G4256&lt;36,'General Basis'!$B$43,IF(G4256&lt;41,'General Basis'!$B$44,IF(G4256&lt;46,'General Basis'!$B$45,IF(G4256&lt;51,'General Basis'!$B$46,IF(G4256&lt;56,'General Basis'!$B$47,IF(G4256&lt;60,'General Basis'!$B$48,IF(G4256&lt;65,'General Basis'!$B$49,'General Basis'!$B$50)))))))))))))</f>
        <v/>
      </c>
      <c r="BI4256" s="744" t="str">
        <f t="shared" si="1479"/>
        <v/>
      </c>
      <c r="BJ4256" s="747" t="str">
        <f t="shared" si="1486"/>
        <v/>
      </c>
      <c r="BK4256" s="498" t="str">
        <f t="shared" si="1480"/>
        <v/>
      </c>
      <c r="BL4256" s="498" t="str">
        <f t="shared" si="1481"/>
        <v/>
      </c>
    </row>
    <row r="4257" spans="1:64" x14ac:dyDescent="0.25">
      <c r="A4257" s="762">
        <f t="shared" si="1482"/>
        <v>4252</v>
      </c>
      <c r="B4257" s="229"/>
      <c r="C4257" s="223"/>
      <c r="D4257" s="224"/>
      <c r="E4257" s="225"/>
      <c r="F4257" s="1036" t="str">
        <f t="shared" si="1488"/>
        <v/>
      </c>
      <c r="G4257" s="1037" t="str">
        <f t="shared" si="1483"/>
        <v/>
      </c>
      <c r="H4257" s="225"/>
      <c r="I4257" s="1013"/>
      <c r="J4257" s="1013"/>
      <c r="K4257" s="1028"/>
      <c r="L4257" s="1035" t="str">
        <f t="shared" si="1487"/>
        <v/>
      </c>
      <c r="S4257" s="498"/>
      <c r="AJ4257" s="498"/>
      <c r="AM4257" s="498">
        <f t="shared" si="1468"/>
        <v>0</v>
      </c>
      <c r="AN4257" s="498">
        <f t="shared" si="1469"/>
        <v>0</v>
      </c>
      <c r="AO4257" s="498">
        <f t="shared" si="1470"/>
        <v>0</v>
      </c>
      <c r="AP4257" s="498">
        <f t="shared" si="1489"/>
        <v>0</v>
      </c>
      <c r="AQ4257" s="498">
        <f t="shared" si="1484"/>
        <v>0</v>
      </c>
      <c r="AU4257" s="498">
        <f t="shared" si="1471"/>
        <v>0</v>
      </c>
      <c r="AV4257" s="498">
        <f t="shared" si="1472"/>
        <v>0</v>
      </c>
      <c r="AW4257" s="498">
        <f t="shared" si="1473"/>
        <v>0</v>
      </c>
      <c r="AX4257" s="498">
        <f t="shared" si="1474"/>
        <v>0</v>
      </c>
      <c r="AY4257" s="498">
        <f t="shared" si="1475"/>
        <v>0</v>
      </c>
      <c r="BB4257" s="498" t="str">
        <f t="shared" si="1476"/>
        <v/>
      </c>
      <c r="BC4257" s="743" t="str">
        <f t="shared" si="1477"/>
        <v/>
      </c>
      <c r="BD4257" s="743" t="str">
        <f t="shared" si="1478"/>
        <v/>
      </c>
      <c r="BE4257" s="743" t="str">
        <f>IF(D4257="","",VLOOKUP(D4257,'General Basis'!$J$39:$K$46,2,0))</f>
        <v/>
      </c>
      <c r="BF4257" s="744" t="str">
        <f>IF(D4257="","",VLOOKUP(D4257,'General Basis'!$J$39:$L$46,3,0))</f>
        <v/>
      </c>
      <c r="BG4257" s="744" t="str">
        <f t="shared" si="1485"/>
        <v/>
      </c>
      <c r="BH4257" s="744" t="str">
        <f>IF(G4257="","",IF(BF4257="Abu Dhabi",IF(G4257&lt;18,'General Basis'!$C$39,IF(G4257&lt;41,'General Basis'!$C$40,IF(G4257&lt;60,'General Basis'!$C$41,IF(G4257&lt;65,'General Basis'!$C$42,'General Basis'!$C$43)))),IF(G4257&lt;11,'General Basis'!$B$39,IF(G4257&lt;18,'General Basis'!$B$40,IF(G4257&lt;26,'General Basis'!$B$41,IF(G4257&lt;31,'General Basis'!$B$42,IF(G4257&lt;36,'General Basis'!$B$43,IF(G4257&lt;41,'General Basis'!$B$44,IF(G4257&lt;46,'General Basis'!$B$45,IF(G4257&lt;51,'General Basis'!$B$46,IF(G4257&lt;56,'General Basis'!$B$47,IF(G4257&lt;60,'General Basis'!$B$48,IF(G4257&lt;65,'General Basis'!$B$49,'General Basis'!$B$50)))))))))))))</f>
        <v/>
      </c>
      <c r="BI4257" s="744" t="str">
        <f t="shared" si="1479"/>
        <v/>
      </c>
      <c r="BJ4257" s="747" t="str">
        <f t="shared" si="1486"/>
        <v/>
      </c>
      <c r="BK4257" s="498" t="str">
        <f t="shared" si="1480"/>
        <v/>
      </c>
      <c r="BL4257" s="498" t="str">
        <f t="shared" si="1481"/>
        <v/>
      </c>
    </row>
    <row r="4258" spans="1:64" x14ac:dyDescent="0.25">
      <c r="A4258" s="762">
        <f t="shared" si="1482"/>
        <v>4253</v>
      </c>
      <c r="B4258" s="229"/>
      <c r="C4258" s="223"/>
      <c r="D4258" s="224"/>
      <c r="E4258" s="225"/>
      <c r="F4258" s="1036" t="str">
        <f t="shared" si="1488"/>
        <v/>
      </c>
      <c r="G4258" s="1037" t="str">
        <f t="shared" si="1483"/>
        <v/>
      </c>
      <c r="H4258" s="225"/>
      <c r="I4258" s="1013"/>
      <c r="J4258" s="1013"/>
      <c r="K4258" s="1028"/>
      <c r="L4258" s="1035" t="str">
        <f t="shared" si="1487"/>
        <v/>
      </c>
      <c r="S4258" s="498"/>
      <c r="AJ4258" s="498"/>
      <c r="AM4258" s="498">
        <f t="shared" si="1468"/>
        <v>0</v>
      </c>
      <c r="AN4258" s="498">
        <f t="shared" si="1469"/>
        <v>0</v>
      </c>
      <c r="AO4258" s="498">
        <f t="shared" si="1470"/>
        <v>0</v>
      </c>
      <c r="AP4258" s="498">
        <f t="shared" si="1489"/>
        <v>0</v>
      </c>
      <c r="AQ4258" s="498">
        <f t="shared" si="1484"/>
        <v>0</v>
      </c>
      <c r="AU4258" s="498">
        <f t="shared" si="1471"/>
        <v>0</v>
      </c>
      <c r="AV4258" s="498">
        <f t="shared" si="1472"/>
        <v>0</v>
      </c>
      <c r="AW4258" s="498">
        <f t="shared" si="1473"/>
        <v>0</v>
      </c>
      <c r="AX4258" s="498">
        <f t="shared" si="1474"/>
        <v>0</v>
      </c>
      <c r="AY4258" s="498">
        <f t="shared" si="1475"/>
        <v>0</v>
      </c>
      <c r="BB4258" s="498" t="str">
        <f t="shared" si="1476"/>
        <v/>
      </c>
      <c r="BC4258" s="743" t="str">
        <f t="shared" si="1477"/>
        <v/>
      </c>
      <c r="BD4258" s="743" t="str">
        <f t="shared" si="1478"/>
        <v/>
      </c>
      <c r="BE4258" s="743" t="str">
        <f>IF(D4258="","",VLOOKUP(D4258,'General Basis'!$J$39:$K$46,2,0))</f>
        <v/>
      </c>
      <c r="BF4258" s="744" t="str">
        <f>IF(D4258="","",VLOOKUP(D4258,'General Basis'!$J$39:$L$46,3,0))</f>
        <v/>
      </c>
      <c r="BG4258" s="744" t="str">
        <f t="shared" si="1485"/>
        <v/>
      </c>
      <c r="BH4258" s="744" t="str">
        <f>IF(G4258="","",IF(BF4258="Abu Dhabi",IF(G4258&lt;18,'General Basis'!$C$39,IF(G4258&lt;41,'General Basis'!$C$40,IF(G4258&lt;60,'General Basis'!$C$41,IF(G4258&lt;65,'General Basis'!$C$42,'General Basis'!$C$43)))),IF(G4258&lt;11,'General Basis'!$B$39,IF(G4258&lt;18,'General Basis'!$B$40,IF(G4258&lt;26,'General Basis'!$B$41,IF(G4258&lt;31,'General Basis'!$B$42,IF(G4258&lt;36,'General Basis'!$B$43,IF(G4258&lt;41,'General Basis'!$B$44,IF(G4258&lt;46,'General Basis'!$B$45,IF(G4258&lt;51,'General Basis'!$B$46,IF(G4258&lt;56,'General Basis'!$B$47,IF(G4258&lt;60,'General Basis'!$B$48,IF(G4258&lt;65,'General Basis'!$B$49,'General Basis'!$B$50)))))))))))))</f>
        <v/>
      </c>
      <c r="BI4258" s="744" t="str">
        <f t="shared" si="1479"/>
        <v/>
      </c>
      <c r="BJ4258" s="747" t="str">
        <f t="shared" si="1486"/>
        <v/>
      </c>
      <c r="BK4258" s="498" t="str">
        <f t="shared" si="1480"/>
        <v/>
      </c>
      <c r="BL4258" s="498" t="str">
        <f t="shared" si="1481"/>
        <v/>
      </c>
    </row>
    <row r="4259" spans="1:64" x14ac:dyDescent="0.25">
      <c r="A4259" s="762">
        <f t="shared" si="1482"/>
        <v>4254</v>
      </c>
      <c r="B4259" s="229"/>
      <c r="C4259" s="223"/>
      <c r="D4259" s="224"/>
      <c r="E4259" s="225"/>
      <c r="F4259" s="1036" t="str">
        <f t="shared" si="1488"/>
        <v/>
      </c>
      <c r="G4259" s="1037" t="str">
        <f t="shared" si="1483"/>
        <v/>
      </c>
      <c r="H4259" s="225"/>
      <c r="I4259" s="1013"/>
      <c r="J4259" s="1013"/>
      <c r="K4259" s="1028"/>
      <c r="L4259" s="1035" t="str">
        <f t="shared" si="1487"/>
        <v/>
      </c>
      <c r="S4259" s="498"/>
      <c r="AJ4259" s="498"/>
      <c r="AM4259" s="498">
        <f t="shared" si="1468"/>
        <v>0</v>
      </c>
      <c r="AN4259" s="498">
        <f t="shared" si="1469"/>
        <v>0</v>
      </c>
      <c r="AO4259" s="498">
        <f t="shared" si="1470"/>
        <v>0</v>
      </c>
      <c r="AP4259" s="498">
        <f t="shared" si="1489"/>
        <v>0</v>
      </c>
      <c r="AQ4259" s="498">
        <f t="shared" si="1484"/>
        <v>0</v>
      </c>
      <c r="AU4259" s="498">
        <f t="shared" si="1471"/>
        <v>0</v>
      </c>
      <c r="AV4259" s="498">
        <f t="shared" si="1472"/>
        <v>0</v>
      </c>
      <c r="AW4259" s="498">
        <f t="shared" si="1473"/>
        <v>0</v>
      </c>
      <c r="AX4259" s="498">
        <f t="shared" si="1474"/>
        <v>0</v>
      </c>
      <c r="AY4259" s="498">
        <f t="shared" si="1475"/>
        <v>0</v>
      </c>
      <c r="BB4259" s="498" t="str">
        <f t="shared" si="1476"/>
        <v/>
      </c>
      <c r="BC4259" s="743" t="str">
        <f t="shared" si="1477"/>
        <v/>
      </c>
      <c r="BD4259" s="743" t="str">
        <f t="shared" si="1478"/>
        <v/>
      </c>
      <c r="BE4259" s="743" t="str">
        <f>IF(D4259="","",VLOOKUP(D4259,'General Basis'!$J$39:$K$46,2,0))</f>
        <v/>
      </c>
      <c r="BF4259" s="744" t="str">
        <f>IF(D4259="","",VLOOKUP(D4259,'General Basis'!$J$39:$L$46,3,0))</f>
        <v/>
      </c>
      <c r="BG4259" s="744" t="str">
        <f t="shared" si="1485"/>
        <v/>
      </c>
      <c r="BH4259" s="744" t="str">
        <f>IF(G4259="","",IF(BF4259="Abu Dhabi",IF(G4259&lt;18,'General Basis'!$C$39,IF(G4259&lt;41,'General Basis'!$C$40,IF(G4259&lt;60,'General Basis'!$C$41,IF(G4259&lt;65,'General Basis'!$C$42,'General Basis'!$C$43)))),IF(G4259&lt;11,'General Basis'!$B$39,IF(G4259&lt;18,'General Basis'!$B$40,IF(G4259&lt;26,'General Basis'!$B$41,IF(G4259&lt;31,'General Basis'!$B$42,IF(G4259&lt;36,'General Basis'!$B$43,IF(G4259&lt;41,'General Basis'!$B$44,IF(G4259&lt;46,'General Basis'!$B$45,IF(G4259&lt;51,'General Basis'!$B$46,IF(G4259&lt;56,'General Basis'!$B$47,IF(G4259&lt;60,'General Basis'!$B$48,IF(G4259&lt;65,'General Basis'!$B$49,'General Basis'!$B$50)))))))))))))</f>
        <v/>
      </c>
      <c r="BI4259" s="744" t="str">
        <f t="shared" si="1479"/>
        <v/>
      </c>
      <c r="BJ4259" s="747" t="str">
        <f t="shared" si="1486"/>
        <v/>
      </c>
      <c r="BK4259" s="498" t="str">
        <f t="shared" si="1480"/>
        <v/>
      </c>
      <c r="BL4259" s="498" t="str">
        <f t="shared" si="1481"/>
        <v/>
      </c>
    </row>
    <row r="4260" spans="1:64" x14ac:dyDescent="0.25">
      <c r="A4260" s="762">
        <f t="shared" si="1482"/>
        <v>4255</v>
      </c>
      <c r="B4260" s="229"/>
      <c r="C4260" s="223"/>
      <c r="D4260" s="224"/>
      <c r="E4260" s="225"/>
      <c r="F4260" s="1036" t="str">
        <f t="shared" si="1488"/>
        <v/>
      </c>
      <c r="G4260" s="1037" t="str">
        <f t="shared" si="1483"/>
        <v/>
      </c>
      <c r="H4260" s="225"/>
      <c r="I4260" s="1013"/>
      <c r="J4260" s="1013"/>
      <c r="K4260" s="1028"/>
      <c r="L4260" s="1035" t="str">
        <f t="shared" si="1487"/>
        <v/>
      </c>
      <c r="S4260" s="498"/>
      <c r="AJ4260" s="498"/>
      <c r="AM4260" s="498">
        <f t="shared" si="1468"/>
        <v>0</v>
      </c>
      <c r="AN4260" s="498">
        <f t="shared" si="1469"/>
        <v>0</v>
      </c>
      <c r="AO4260" s="498">
        <f t="shared" si="1470"/>
        <v>0</v>
      </c>
      <c r="AP4260" s="498">
        <f t="shared" si="1489"/>
        <v>0</v>
      </c>
      <c r="AQ4260" s="498">
        <f t="shared" si="1484"/>
        <v>0</v>
      </c>
      <c r="AU4260" s="498">
        <f t="shared" si="1471"/>
        <v>0</v>
      </c>
      <c r="AV4260" s="498">
        <f t="shared" si="1472"/>
        <v>0</v>
      </c>
      <c r="AW4260" s="498">
        <f t="shared" si="1473"/>
        <v>0</v>
      </c>
      <c r="AX4260" s="498">
        <f t="shared" si="1474"/>
        <v>0</v>
      </c>
      <c r="AY4260" s="498">
        <f t="shared" si="1475"/>
        <v>0</v>
      </c>
      <c r="BB4260" s="498" t="str">
        <f t="shared" si="1476"/>
        <v/>
      </c>
      <c r="BC4260" s="743" t="str">
        <f t="shared" si="1477"/>
        <v/>
      </c>
      <c r="BD4260" s="743" t="str">
        <f t="shared" si="1478"/>
        <v/>
      </c>
      <c r="BE4260" s="743" t="str">
        <f>IF(D4260="","",VLOOKUP(D4260,'General Basis'!$J$39:$K$46,2,0))</f>
        <v/>
      </c>
      <c r="BF4260" s="744" t="str">
        <f>IF(D4260="","",VLOOKUP(D4260,'General Basis'!$J$39:$L$46,3,0))</f>
        <v/>
      </c>
      <c r="BG4260" s="744" t="str">
        <f t="shared" si="1485"/>
        <v/>
      </c>
      <c r="BH4260" s="744" t="str">
        <f>IF(G4260="","",IF(BF4260="Abu Dhabi",IF(G4260&lt;18,'General Basis'!$C$39,IF(G4260&lt;41,'General Basis'!$C$40,IF(G4260&lt;60,'General Basis'!$C$41,IF(G4260&lt;65,'General Basis'!$C$42,'General Basis'!$C$43)))),IF(G4260&lt;11,'General Basis'!$B$39,IF(G4260&lt;18,'General Basis'!$B$40,IF(G4260&lt;26,'General Basis'!$B$41,IF(G4260&lt;31,'General Basis'!$B$42,IF(G4260&lt;36,'General Basis'!$B$43,IF(G4260&lt;41,'General Basis'!$B$44,IF(G4260&lt;46,'General Basis'!$B$45,IF(G4260&lt;51,'General Basis'!$B$46,IF(G4260&lt;56,'General Basis'!$B$47,IF(G4260&lt;60,'General Basis'!$B$48,IF(G4260&lt;65,'General Basis'!$B$49,'General Basis'!$B$50)))))))))))))</f>
        <v/>
      </c>
      <c r="BI4260" s="744" t="str">
        <f t="shared" si="1479"/>
        <v/>
      </c>
      <c r="BJ4260" s="747" t="str">
        <f t="shared" si="1486"/>
        <v/>
      </c>
      <c r="BK4260" s="498" t="str">
        <f t="shared" si="1480"/>
        <v/>
      </c>
      <c r="BL4260" s="498" t="str">
        <f t="shared" si="1481"/>
        <v/>
      </c>
    </row>
    <row r="4261" spans="1:64" x14ac:dyDescent="0.25">
      <c r="A4261" s="762">
        <f t="shared" si="1482"/>
        <v>4256</v>
      </c>
      <c r="B4261" s="229"/>
      <c r="C4261" s="223"/>
      <c r="D4261" s="224"/>
      <c r="E4261" s="225"/>
      <c r="F4261" s="1036" t="str">
        <f t="shared" si="1488"/>
        <v/>
      </c>
      <c r="G4261" s="1037" t="str">
        <f t="shared" si="1483"/>
        <v/>
      </c>
      <c r="H4261" s="225"/>
      <c r="I4261" s="1013"/>
      <c r="J4261" s="1013"/>
      <c r="K4261" s="1028"/>
      <c r="L4261" s="1035" t="str">
        <f t="shared" si="1487"/>
        <v/>
      </c>
      <c r="S4261" s="498"/>
      <c r="AJ4261" s="498"/>
      <c r="AM4261" s="498">
        <f t="shared" si="1468"/>
        <v>0</v>
      </c>
      <c r="AN4261" s="498">
        <f t="shared" si="1469"/>
        <v>0</v>
      </c>
      <c r="AO4261" s="498">
        <f t="shared" si="1470"/>
        <v>0</v>
      </c>
      <c r="AP4261" s="498">
        <f t="shared" si="1489"/>
        <v>0</v>
      </c>
      <c r="AQ4261" s="498">
        <f t="shared" si="1484"/>
        <v>0</v>
      </c>
      <c r="AU4261" s="498">
        <f t="shared" si="1471"/>
        <v>0</v>
      </c>
      <c r="AV4261" s="498">
        <f t="shared" si="1472"/>
        <v>0</v>
      </c>
      <c r="AW4261" s="498">
        <f t="shared" si="1473"/>
        <v>0</v>
      </c>
      <c r="AX4261" s="498">
        <f t="shared" si="1474"/>
        <v>0</v>
      </c>
      <c r="AY4261" s="498">
        <f t="shared" si="1475"/>
        <v>0</v>
      </c>
      <c r="BB4261" s="498" t="str">
        <f t="shared" si="1476"/>
        <v/>
      </c>
      <c r="BC4261" s="743" t="str">
        <f t="shared" si="1477"/>
        <v/>
      </c>
      <c r="BD4261" s="743" t="str">
        <f t="shared" si="1478"/>
        <v/>
      </c>
      <c r="BE4261" s="743" t="str">
        <f>IF(D4261="","",VLOOKUP(D4261,'General Basis'!$J$39:$K$46,2,0))</f>
        <v/>
      </c>
      <c r="BF4261" s="744" t="str">
        <f>IF(D4261="","",VLOOKUP(D4261,'General Basis'!$J$39:$L$46,3,0))</f>
        <v/>
      </c>
      <c r="BG4261" s="744" t="str">
        <f t="shared" si="1485"/>
        <v/>
      </c>
      <c r="BH4261" s="744" t="str">
        <f>IF(G4261="","",IF(BF4261="Abu Dhabi",IF(G4261&lt;18,'General Basis'!$C$39,IF(G4261&lt;41,'General Basis'!$C$40,IF(G4261&lt;60,'General Basis'!$C$41,IF(G4261&lt;65,'General Basis'!$C$42,'General Basis'!$C$43)))),IF(G4261&lt;11,'General Basis'!$B$39,IF(G4261&lt;18,'General Basis'!$B$40,IF(G4261&lt;26,'General Basis'!$B$41,IF(G4261&lt;31,'General Basis'!$B$42,IF(G4261&lt;36,'General Basis'!$B$43,IF(G4261&lt;41,'General Basis'!$B$44,IF(G4261&lt;46,'General Basis'!$B$45,IF(G4261&lt;51,'General Basis'!$B$46,IF(G4261&lt;56,'General Basis'!$B$47,IF(G4261&lt;60,'General Basis'!$B$48,IF(G4261&lt;65,'General Basis'!$B$49,'General Basis'!$B$50)))))))))))))</f>
        <v/>
      </c>
      <c r="BI4261" s="744" t="str">
        <f t="shared" si="1479"/>
        <v/>
      </c>
      <c r="BJ4261" s="747" t="str">
        <f t="shared" si="1486"/>
        <v/>
      </c>
      <c r="BK4261" s="498" t="str">
        <f t="shared" si="1480"/>
        <v/>
      </c>
      <c r="BL4261" s="498" t="str">
        <f t="shared" si="1481"/>
        <v/>
      </c>
    </row>
    <row r="4262" spans="1:64" x14ac:dyDescent="0.25">
      <c r="A4262" s="762">
        <f t="shared" si="1482"/>
        <v>4257</v>
      </c>
      <c r="B4262" s="229"/>
      <c r="C4262" s="223"/>
      <c r="D4262" s="224"/>
      <c r="E4262" s="225"/>
      <c r="F4262" s="1036" t="str">
        <f t="shared" si="1488"/>
        <v/>
      </c>
      <c r="G4262" s="1037" t="str">
        <f t="shared" si="1483"/>
        <v/>
      </c>
      <c r="H4262" s="225"/>
      <c r="I4262" s="1013"/>
      <c r="J4262" s="1013"/>
      <c r="K4262" s="1028"/>
      <c r="L4262" s="1035" t="str">
        <f t="shared" si="1487"/>
        <v/>
      </c>
      <c r="S4262" s="498"/>
      <c r="AJ4262" s="498"/>
      <c r="AM4262" s="498">
        <f t="shared" si="1468"/>
        <v>0</v>
      </c>
      <c r="AN4262" s="498">
        <f t="shared" si="1469"/>
        <v>0</v>
      </c>
      <c r="AO4262" s="498">
        <f t="shared" si="1470"/>
        <v>0</v>
      </c>
      <c r="AP4262" s="498">
        <f t="shared" si="1489"/>
        <v>0</v>
      </c>
      <c r="AQ4262" s="498">
        <f t="shared" si="1484"/>
        <v>0</v>
      </c>
      <c r="AU4262" s="498">
        <f t="shared" si="1471"/>
        <v>0</v>
      </c>
      <c r="AV4262" s="498">
        <f t="shared" si="1472"/>
        <v>0</v>
      </c>
      <c r="AW4262" s="498">
        <f t="shared" si="1473"/>
        <v>0</v>
      </c>
      <c r="AX4262" s="498">
        <f t="shared" si="1474"/>
        <v>0</v>
      </c>
      <c r="AY4262" s="498">
        <f t="shared" si="1475"/>
        <v>0</v>
      </c>
      <c r="BB4262" s="498" t="str">
        <f t="shared" si="1476"/>
        <v/>
      </c>
      <c r="BC4262" s="743" t="str">
        <f t="shared" si="1477"/>
        <v/>
      </c>
      <c r="BD4262" s="743" t="str">
        <f t="shared" si="1478"/>
        <v/>
      </c>
      <c r="BE4262" s="743" t="str">
        <f>IF(D4262="","",VLOOKUP(D4262,'General Basis'!$J$39:$K$46,2,0))</f>
        <v/>
      </c>
      <c r="BF4262" s="744" t="str">
        <f>IF(D4262="","",VLOOKUP(D4262,'General Basis'!$J$39:$L$46,3,0))</f>
        <v/>
      </c>
      <c r="BG4262" s="744" t="str">
        <f t="shared" si="1485"/>
        <v/>
      </c>
      <c r="BH4262" s="744" t="str">
        <f>IF(G4262="","",IF(BF4262="Abu Dhabi",IF(G4262&lt;18,'General Basis'!$C$39,IF(G4262&lt;41,'General Basis'!$C$40,IF(G4262&lt;60,'General Basis'!$C$41,IF(G4262&lt;65,'General Basis'!$C$42,'General Basis'!$C$43)))),IF(G4262&lt;11,'General Basis'!$B$39,IF(G4262&lt;18,'General Basis'!$B$40,IF(G4262&lt;26,'General Basis'!$B$41,IF(G4262&lt;31,'General Basis'!$B$42,IF(G4262&lt;36,'General Basis'!$B$43,IF(G4262&lt;41,'General Basis'!$B$44,IF(G4262&lt;46,'General Basis'!$B$45,IF(G4262&lt;51,'General Basis'!$B$46,IF(G4262&lt;56,'General Basis'!$B$47,IF(G4262&lt;60,'General Basis'!$B$48,IF(G4262&lt;65,'General Basis'!$B$49,'General Basis'!$B$50)))))))))))))</f>
        <v/>
      </c>
      <c r="BI4262" s="744" t="str">
        <f t="shared" si="1479"/>
        <v/>
      </c>
      <c r="BJ4262" s="747" t="str">
        <f t="shared" si="1486"/>
        <v/>
      </c>
      <c r="BK4262" s="498" t="str">
        <f t="shared" si="1480"/>
        <v/>
      </c>
      <c r="BL4262" s="498" t="str">
        <f t="shared" si="1481"/>
        <v/>
      </c>
    </row>
    <row r="4263" spans="1:64" x14ac:dyDescent="0.25">
      <c r="A4263" s="762">
        <f t="shared" si="1482"/>
        <v>4258</v>
      </c>
      <c r="B4263" s="229"/>
      <c r="C4263" s="223"/>
      <c r="D4263" s="224"/>
      <c r="E4263" s="225"/>
      <c r="F4263" s="1036" t="str">
        <f t="shared" si="1488"/>
        <v/>
      </c>
      <c r="G4263" s="1037" t="str">
        <f t="shared" si="1483"/>
        <v/>
      </c>
      <c r="H4263" s="225"/>
      <c r="I4263" s="1013"/>
      <c r="J4263" s="1013"/>
      <c r="K4263" s="1028"/>
      <c r="L4263" s="1035" t="str">
        <f t="shared" si="1487"/>
        <v/>
      </c>
      <c r="S4263" s="498"/>
      <c r="AJ4263" s="498"/>
      <c r="AM4263" s="498">
        <f t="shared" si="1468"/>
        <v>0</v>
      </c>
      <c r="AN4263" s="498">
        <f t="shared" si="1469"/>
        <v>0</v>
      </c>
      <c r="AO4263" s="498">
        <f t="shared" si="1470"/>
        <v>0</v>
      </c>
      <c r="AP4263" s="498">
        <f t="shared" si="1489"/>
        <v>0</v>
      </c>
      <c r="AQ4263" s="498">
        <f t="shared" si="1484"/>
        <v>0</v>
      </c>
      <c r="AU4263" s="498">
        <f t="shared" si="1471"/>
        <v>0</v>
      </c>
      <c r="AV4263" s="498">
        <f t="shared" si="1472"/>
        <v>0</v>
      </c>
      <c r="AW4263" s="498">
        <f t="shared" si="1473"/>
        <v>0</v>
      </c>
      <c r="AX4263" s="498">
        <f t="shared" si="1474"/>
        <v>0</v>
      </c>
      <c r="AY4263" s="498">
        <f t="shared" si="1475"/>
        <v>0</v>
      </c>
      <c r="BB4263" s="498" t="str">
        <f t="shared" si="1476"/>
        <v/>
      </c>
      <c r="BC4263" s="743" t="str">
        <f t="shared" si="1477"/>
        <v/>
      </c>
      <c r="BD4263" s="743" t="str">
        <f t="shared" si="1478"/>
        <v/>
      </c>
      <c r="BE4263" s="743" t="str">
        <f>IF(D4263="","",VLOOKUP(D4263,'General Basis'!$J$39:$K$46,2,0))</f>
        <v/>
      </c>
      <c r="BF4263" s="744" t="str">
        <f>IF(D4263="","",VLOOKUP(D4263,'General Basis'!$J$39:$L$46,3,0))</f>
        <v/>
      </c>
      <c r="BG4263" s="744" t="str">
        <f t="shared" si="1485"/>
        <v/>
      </c>
      <c r="BH4263" s="744" t="str">
        <f>IF(G4263="","",IF(BF4263="Abu Dhabi",IF(G4263&lt;18,'General Basis'!$C$39,IF(G4263&lt;41,'General Basis'!$C$40,IF(G4263&lt;60,'General Basis'!$C$41,IF(G4263&lt;65,'General Basis'!$C$42,'General Basis'!$C$43)))),IF(G4263&lt;11,'General Basis'!$B$39,IF(G4263&lt;18,'General Basis'!$B$40,IF(G4263&lt;26,'General Basis'!$B$41,IF(G4263&lt;31,'General Basis'!$B$42,IF(G4263&lt;36,'General Basis'!$B$43,IF(G4263&lt;41,'General Basis'!$B$44,IF(G4263&lt;46,'General Basis'!$B$45,IF(G4263&lt;51,'General Basis'!$B$46,IF(G4263&lt;56,'General Basis'!$B$47,IF(G4263&lt;60,'General Basis'!$B$48,IF(G4263&lt;65,'General Basis'!$B$49,'General Basis'!$B$50)))))))))))))</f>
        <v/>
      </c>
      <c r="BI4263" s="744" t="str">
        <f t="shared" si="1479"/>
        <v/>
      </c>
      <c r="BJ4263" s="747" t="str">
        <f t="shared" si="1486"/>
        <v/>
      </c>
      <c r="BK4263" s="498" t="str">
        <f t="shared" si="1480"/>
        <v/>
      </c>
      <c r="BL4263" s="498" t="str">
        <f t="shared" si="1481"/>
        <v/>
      </c>
    </row>
    <row r="4264" spans="1:64" x14ac:dyDescent="0.25">
      <c r="A4264" s="762">
        <f t="shared" si="1482"/>
        <v>4259</v>
      </c>
      <c r="B4264" s="229"/>
      <c r="C4264" s="223"/>
      <c r="D4264" s="224"/>
      <c r="E4264" s="225"/>
      <c r="F4264" s="1036" t="str">
        <f t="shared" si="1488"/>
        <v/>
      </c>
      <c r="G4264" s="1037" t="str">
        <f t="shared" si="1483"/>
        <v/>
      </c>
      <c r="H4264" s="225"/>
      <c r="I4264" s="1013"/>
      <c r="J4264" s="1013"/>
      <c r="K4264" s="1028"/>
      <c r="L4264" s="1035" t="str">
        <f t="shared" si="1487"/>
        <v/>
      </c>
      <c r="S4264" s="498"/>
      <c r="AJ4264" s="498"/>
      <c r="AM4264" s="498">
        <f t="shared" si="1468"/>
        <v>0</v>
      </c>
      <c r="AN4264" s="498">
        <f t="shared" si="1469"/>
        <v>0</v>
      </c>
      <c r="AO4264" s="498">
        <f t="shared" si="1470"/>
        <v>0</v>
      </c>
      <c r="AP4264" s="498">
        <f t="shared" si="1489"/>
        <v>0</v>
      </c>
      <c r="AQ4264" s="498">
        <f t="shared" si="1484"/>
        <v>0</v>
      </c>
      <c r="AU4264" s="498">
        <f t="shared" si="1471"/>
        <v>0</v>
      </c>
      <c r="AV4264" s="498">
        <f t="shared" si="1472"/>
        <v>0</v>
      </c>
      <c r="AW4264" s="498">
        <f t="shared" si="1473"/>
        <v>0</v>
      </c>
      <c r="AX4264" s="498">
        <f t="shared" si="1474"/>
        <v>0</v>
      </c>
      <c r="AY4264" s="498">
        <f t="shared" si="1475"/>
        <v>0</v>
      </c>
      <c r="BB4264" s="498" t="str">
        <f t="shared" si="1476"/>
        <v/>
      </c>
      <c r="BC4264" s="743" t="str">
        <f t="shared" si="1477"/>
        <v/>
      </c>
      <c r="BD4264" s="743" t="str">
        <f t="shared" si="1478"/>
        <v/>
      </c>
      <c r="BE4264" s="743" t="str">
        <f>IF(D4264="","",VLOOKUP(D4264,'General Basis'!$J$39:$K$46,2,0))</f>
        <v/>
      </c>
      <c r="BF4264" s="744" t="str">
        <f>IF(D4264="","",VLOOKUP(D4264,'General Basis'!$J$39:$L$46,3,0))</f>
        <v/>
      </c>
      <c r="BG4264" s="744" t="str">
        <f t="shared" si="1485"/>
        <v/>
      </c>
      <c r="BH4264" s="744" t="str">
        <f>IF(G4264="","",IF(BF4264="Abu Dhabi",IF(G4264&lt;18,'General Basis'!$C$39,IF(G4264&lt;41,'General Basis'!$C$40,IF(G4264&lt;60,'General Basis'!$C$41,IF(G4264&lt;65,'General Basis'!$C$42,'General Basis'!$C$43)))),IF(G4264&lt;11,'General Basis'!$B$39,IF(G4264&lt;18,'General Basis'!$B$40,IF(G4264&lt;26,'General Basis'!$B$41,IF(G4264&lt;31,'General Basis'!$B$42,IF(G4264&lt;36,'General Basis'!$B$43,IF(G4264&lt;41,'General Basis'!$B$44,IF(G4264&lt;46,'General Basis'!$B$45,IF(G4264&lt;51,'General Basis'!$B$46,IF(G4264&lt;56,'General Basis'!$B$47,IF(G4264&lt;60,'General Basis'!$B$48,IF(G4264&lt;65,'General Basis'!$B$49,'General Basis'!$B$50)))))))))))))</f>
        <v/>
      </c>
      <c r="BI4264" s="744" t="str">
        <f t="shared" si="1479"/>
        <v/>
      </c>
      <c r="BJ4264" s="747" t="str">
        <f t="shared" si="1486"/>
        <v/>
      </c>
      <c r="BK4264" s="498" t="str">
        <f t="shared" si="1480"/>
        <v/>
      </c>
      <c r="BL4264" s="498" t="str">
        <f t="shared" si="1481"/>
        <v/>
      </c>
    </row>
    <row r="4265" spans="1:64" x14ac:dyDescent="0.25">
      <c r="A4265" s="762">
        <f t="shared" si="1482"/>
        <v>4260</v>
      </c>
      <c r="B4265" s="229"/>
      <c r="C4265" s="223"/>
      <c r="D4265" s="224"/>
      <c r="E4265" s="225"/>
      <c r="F4265" s="1036" t="str">
        <f t="shared" si="1488"/>
        <v/>
      </c>
      <c r="G4265" s="1037" t="str">
        <f t="shared" si="1483"/>
        <v/>
      </c>
      <c r="H4265" s="225"/>
      <c r="I4265" s="1013"/>
      <c r="J4265" s="1013"/>
      <c r="K4265" s="1028"/>
      <c r="L4265" s="1035" t="str">
        <f t="shared" si="1487"/>
        <v/>
      </c>
      <c r="S4265" s="498"/>
      <c r="AJ4265" s="498"/>
      <c r="AM4265" s="498">
        <f t="shared" si="1468"/>
        <v>0</v>
      </c>
      <c r="AN4265" s="498">
        <f t="shared" si="1469"/>
        <v>0</v>
      </c>
      <c r="AO4265" s="498">
        <f t="shared" si="1470"/>
        <v>0</v>
      </c>
      <c r="AP4265" s="498">
        <f t="shared" si="1489"/>
        <v>0</v>
      </c>
      <c r="AQ4265" s="498">
        <f t="shared" si="1484"/>
        <v>0</v>
      </c>
      <c r="AU4265" s="498">
        <f t="shared" si="1471"/>
        <v>0</v>
      </c>
      <c r="AV4265" s="498">
        <f t="shared" si="1472"/>
        <v>0</v>
      </c>
      <c r="AW4265" s="498">
        <f t="shared" si="1473"/>
        <v>0</v>
      </c>
      <c r="AX4265" s="498">
        <f t="shared" si="1474"/>
        <v>0</v>
      </c>
      <c r="AY4265" s="498">
        <f t="shared" si="1475"/>
        <v>0</v>
      </c>
      <c r="BB4265" s="498" t="str">
        <f t="shared" si="1476"/>
        <v/>
      </c>
      <c r="BC4265" s="743" t="str">
        <f t="shared" si="1477"/>
        <v/>
      </c>
      <c r="BD4265" s="743" t="str">
        <f t="shared" si="1478"/>
        <v/>
      </c>
      <c r="BE4265" s="743" t="str">
        <f>IF(D4265="","",VLOOKUP(D4265,'General Basis'!$J$39:$K$46,2,0))</f>
        <v/>
      </c>
      <c r="BF4265" s="744" t="str">
        <f>IF(D4265="","",VLOOKUP(D4265,'General Basis'!$J$39:$L$46,3,0))</f>
        <v/>
      </c>
      <c r="BG4265" s="744" t="str">
        <f t="shared" si="1485"/>
        <v/>
      </c>
      <c r="BH4265" s="744" t="str">
        <f>IF(G4265="","",IF(BF4265="Abu Dhabi",IF(G4265&lt;18,'General Basis'!$C$39,IF(G4265&lt;41,'General Basis'!$C$40,IF(G4265&lt;60,'General Basis'!$C$41,IF(G4265&lt;65,'General Basis'!$C$42,'General Basis'!$C$43)))),IF(G4265&lt;11,'General Basis'!$B$39,IF(G4265&lt;18,'General Basis'!$B$40,IF(G4265&lt;26,'General Basis'!$B$41,IF(G4265&lt;31,'General Basis'!$B$42,IF(G4265&lt;36,'General Basis'!$B$43,IF(G4265&lt;41,'General Basis'!$B$44,IF(G4265&lt;46,'General Basis'!$B$45,IF(G4265&lt;51,'General Basis'!$B$46,IF(G4265&lt;56,'General Basis'!$B$47,IF(G4265&lt;60,'General Basis'!$B$48,IF(G4265&lt;65,'General Basis'!$B$49,'General Basis'!$B$50)))))))))))))</f>
        <v/>
      </c>
      <c r="BI4265" s="744" t="str">
        <f t="shared" si="1479"/>
        <v/>
      </c>
      <c r="BJ4265" s="747" t="str">
        <f t="shared" si="1486"/>
        <v/>
      </c>
      <c r="BK4265" s="498" t="str">
        <f t="shared" si="1480"/>
        <v/>
      </c>
      <c r="BL4265" s="498" t="str">
        <f t="shared" si="1481"/>
        <v/>
      </c>
    </row>
    <row r="4266" spans="1:64" x14ac:dyDescent="0.25">
      <c r="A4266" s="762">
        <f t="shared" si="1482"/>
        <v>4261</v>
      </c>
      <c r="B4266" s="229"/>
      <c r="C4266" s="223"/>
      <c r="D4266" s="224"/>
      <c r="E4266" s="225"/>
      <c r="F4266" s="1036" t="str">
        <f t="shared" si="1488"/>
        <v/>
      </c>
      <c r="G4266" s="1037" t="str">
        <f t="shared" si="1483"/>
        <v/>
      </c>
      <c r="H4266" s="225"/>
      <c r="I4266" s="1013"/>
      <c r="J4266" s="1013"/>
      <c r="K4266" s="1028"/>
      <c r="L4266" s="1035" t="str">
        <f t="shared" si="1487"/>
        <v/>
      </c>
      <c r="S4266" s="498"/>
      <c r="AJ4266" s="498"/>
      <c r="AM4266" s="498">
        <f t="shared" si="1468"/>
        <v>0</v>
      </c>
      <c r="AN4266" s="498">
        <f t="shared" si="1469"/>
        <v>0</v>
      </c>
      <c r="AO4266" s="498">
        <f t="shared" si="1470"/>
        <v>0</v>
      </c>
      <c r="AP4266" s="498">
        <f t="shared" si="1489"/>
        <v>0</v>
      </c>
      <c r="AQ4266" s="498">
        <f t="shared" si="1484"/>
        <v>0</v>
      </c>
      <c r="AU4266" s="498">
        <f t="shared" si="1471"/>
        <v>0</v>
      </c>
      <c r="AV4266" s="498">
        <f t="shared" si="1472"/>
        <v>0</v>
      </c>
      <c r="AW4266" s="498">
        <f t="shared" si="1473"/>
        <v>0</v>
      </c>
      <c r="AX4266" s="498">
        <f t="shared" si="1474"/>
        <v>0</v>
      </c>
      <c r="AY4266" s="498">
        <f t="shared" si="1475"/>
        <v>0</v>
      </c>
      <c r="BB4266" s="498" t="str">
        <f t="shared" si="1476"/>
        <v/>
      </c>
      <c r="BC4266" s="743" t="str">
        <f t="shared" si="1477"/>
        <v/>
      </c>
      <c r="BD4266" s="743" t="str">
        <f t="shared" si="1478"/>
        <v/>
      </c>
      <c r="BE4266" s="743" t="str">
        <f>IF(D4266="","",VLOOKUP(D4266,'General Basis'!$J$39:$K$46,2,0))</f>
        <v/>
      </c>
      <c r="BF4266" s="744" t="str">
        <f>IF(D4266="","",VLOOKUP(D4266,'General Basis'!$J$39:$L$46,3,0))</f>
        <v/>
      </c>
      <c r="BG4266" s="744" t="str">
        <f t="shared" si="1485"/>
        <v/>
      </c>
      <c r="BH4266" s="744" t="str">
        <f>IF(G4266="","",IF(BF4266="Abu Dhabi",IF(G4266&lt;18,'General Basis'!$C$39,IF(G4266&lt;41,'General Basis'!$C$40,IF(G4266&lt;60,'General Basis'!$C$41,IF(G4266&lt;65,'General Basis'!$C$42,'General Basis'!$C$43)))),IF(G4266&lt;11,'General Basis'!$B$39,IF(G4266&lt;18,'General Basis'!$B$40,IF(G4266&lt;26,'General Basis'!$B$41,IF(G4266&lt;31,'General Basis'!$B$42,IF(G4266&lt;36,'General Basis'!$B$43,IF(G4266&lt;41,'General Basis'!$B$44,IF(G4266&lt;46,'General Basis'!$B$45,IF(G4266&lt;51,'General Basis'!$B$46,IF(G4266&lt;56,'General Basis'!$B$47,IF(G4266&lt;60,'General Basis'!$B$48,IF(G4266&lt;65,'General Basis'!$B$49,'General Basis'!$B$50)))))))))))))</f>
        <v/>
      </c>
      <c r="BI4266" s="744" t="str">
        <f t="shared" si="1479"/>
        <v/>
      </c>
      <c r="BJ4266" s="747" t="str">
        <f t="shared" si="1486"/>
        <v/>
      </c>
      <c r="BK4266" s="498" t="str">
        <f t="shared" si="1480"/>
        <v/>
      </c>
      <c r="BL4266" s="498" t="str">
        <f t="shared" si="1481"/>
        <v/>
      </c>
    </row>
    <row r="4267" spans="1:64" x14ac:dyDescent="0.25">
      <c r="A4267" s="762">
        <f t="shared" si="1482"/>
        <v>4262</v>
      </c>
      <c r="B4267" s="229"/>
      <c r="C4267" s="223"/>
      <c r="D4267" s="224"/>
      <c r="E4267" s="225"/>
      <c r="F4267" s="1036" t="str">
        <f t="shared" si="1488"/>
        <v/>
      </c>
      <c r="G4267" s="1037" t="str">
        <f t="shared" si="1483"/>
        <v/>
      </c>
      <c r="H4267" s="225"/>
      <c r="I4267" s="1013"/>
      <c r="J4267" s="1013"/>
      <c r="K4267" s="1028"/>
      <c r="L4267" s="1035" t="str">
        <f t="shared" si="1487"/>
        <v/>
      </c>
      <c r="S4267" s="498"/>
      <c r="AJ4267" s="498"/>
      <c r="AM4267" s="498">
        <f t="shared" si="1468"/>
        <v>0</v>
      </c>
      <c r="AN4267" s="498">
        <f t="shared" si="1469"/>
        <v>0</v>
      </c>
      <c r="AO4267" s="498">
        <f t="shared" si="1470"/>
        <v>0</v>
      </c>
      <c r="AP4267" s="498">
        <f t="shared" si="1489"/>
        <v>0</v>
      </c>
      <c r="AQ4267" s="498">
        <f t="shared" si="1484"/>
        <v>0</v>
      </c>
      <c r="AU4267" s="498">
        <f t="shared" si="1471"/>
        <v>0</v>
      </c>
      <c r="AV4267" s="498">
        <f t="shared" si="1472"/>
        <v>0</v>
      </c>
      <c r="AW4267" s="498">
        <f t="shared" si="1473"/>
        <v>0</v>
      </c>
      <c r="AX4267" s="498">
        <f t="shared" si="1474"/>
        <v>0</v>
      </c>
      <c r="AY4267" s="498">
        <f t="shared" si="1475"/>
        <v>0</v>
      </c>
      <c r="BB4267" s="498" t="str">
        <f t="shared" si="1476"/>
        <v/>
      </c>
      <c r="BC4267" s="743" t="str">
        <f t="shared" si="1477"/>
        <v/>
      </c>
      <c r="BD4267" s="743" t="str">
        <f t="shared" si="1478"/>
        <v/>
      </c>
      <c r="BE4267" s="743" t="str">
        <f>IF(D4267="","",VLOOKUP(D4267,'General Basis'!$J$39:$K$46,2,0))</f>
        <v/>
      </c>
      <c r="BF4267" s="744" t="str">
        <f>IF(D4267="","",VLOOKUP(D4267,'General Basis'!$J$39:$L$46,3,0))</f>
        <v/>
      </c>
      <c r="BG4267" s="744" t="str">
        <f t="shared" si="1485"/>
        <v/>
      </c>
      <c r="BH4267" s="744" t="str">
        <f>IF(G4267="","",IF(BF4267="Abu Dhabi",IF(G4267&lt;18,'General Basis'!$C$39,IF(G4267&lt;41,'General Basis'!$C$40,IF(G4267&lt;60,'General Basis'!$C$41,IF(G4267&lt;65,'General Basis'!$C$42,'General Basis'!$C$43)))),IF(G4267&lt;11,'General Basis'!$B$39,IF(G4267&lt;18,'General Basis'!$B$40,IF(G4267&lt;26,'General Basis'!$B$41,IF(G4267&lt;31,'General Basis'!$B$42,IF(G4267&lt;36,'General Basis'!$B$43,IF(G4267&lt;41,'General Basis'!$B$44,IF(G4267&lt;46,'General Basis'!$B$45,IF(G4267&lt;51,'General Basis'!$B$46,IF(G4267&lt;56,'General Basis'!$B$47,IF(G4267&lt;60,'General Basis'!$B$48,IF(G4267&lt;65,'General Basis'!$B$49,'General Basis'!$B$50)))))))))))))</f>
        <v/>
      </c>
      <c r="BI4267" s="744" t="str">
        <f t="shared" si="1479"/>
        <v/>
      </c>
      <c r="BJ4267" s="747" t="str">
        <f t="shared" si="1486"/>
        <v/>
      </c>
      <c r="BK4267" s="498" t="str">
        <f t="shared" si="1480"/>
        <v/>
      </c>
      <c r="BL4267" s="498" t="str">
        <f t="shared" si="1481"/>
        <v/>
      </c>
    </row>
    <row r="4268" spans="1:64" x14ac:dyDescent="0.25">
      <c r="A4268" s="762">
        <f t="shared" si="1482"/>
        <v>4263</v>
      </c>
      <c r="B4268" s="229"/>
      <c r="C4268" s="223"/>
      <c r="D4268" s="224"/>
      <c r="E4268" s="225"/>
      <c r="F4268" s="1036" t="str">
        <f t="shared" si="1488"/>
        <v/>
      </c>
      <c r="G4268" s="1037" t="str">
        <f t="shared" si="1483"/>
        <v/>
      </c>
      <c r="H4268" s="225"/>
      <c r="I4268" s="1013"/>
      <c r="J4268" s="1013"/>
      <c r="K4268" s="1028"/>
      <c r="L4268" s="1035" t="str">
        <f t="shared" si="1487"/>
        <v/>
      </c>
      <c r="S4268" s="498"/>
      <c r="AJ4268" s="498"/>
      <c r="AM4268" s="498">
        <f t="shared" si="1468"/>
        <v>0</v>
      </c>
      <c r="AN4268" s="498">
        <f t="shared" si="1469"/>
        <v>0</v>
      </c>
      <c r="AO4268" s="498">
        <f t="shared" si="1470"/>
        <v>0</v>
      </c>
      <c r="AP4268" s="498">
        <f t="shared" si="1489"/>
        <v>0</v>
      </c>
      <c r="AQ4268" s="498">
        <f t="shared" si="1484"/>
        <v>0</v>
      </c>
      <c r="AU4268" s="498">
        <f t="shared" si="1471"/>
        <v>0</v>
      </c>
      <c r="AV4268" s="498">
        <f t="shared" si="1472"/>
        <v>0</v>
      </c>
      <c r="AW4268" s="498">
        <f t="shared" si="1473"/>
        <v>0</v>
      </c>
      <c r="AX4268" s="498">
        <f t="shared" si="1474"/>
        <v>0</v>
      </c>
      <c r="AY4268" s="498">
        <f t="shared" si="1475"/>
        <v>0</v>
      </c>
      <c r="BB4268" s="498" t="str">
        <f t="shared" si="1476"/>
        <v/>
      </c>
      <c r="BC4268" s="743" t="str">
        <f t="shared" si="1477"/>
        <v/>
      </c>
      <c r="BD4268" s="743" t="str">
        <f t="shared" si="1478"/>
        <v/>
      </c>
      <c r="BE4268" s="743" t="str">
        <f>IF(D4268="","",VLOOKUP(D4268,'General Basis'!$J$39:$K$46,2,0))</f>
        <v/>
      </c>
      <c r="BF4268" s="744" t="str">
        <f>IF(D4268="","",VLOOKUP(D4268,'General Basis'!$J$39:$L$46,3,0))</f>
        <v/>
      </c>
      <c r="BG4268" s="744" t="str">
        <f t="shared" si="1485"/>
        <v/>
      </c>
      <c r="BH4268" s="744" t="str">
        <f>IF(G4268="","",IF(BF4268="Abu Dhabi",IF(G4268&lt;18,'General Basis'!$C$39,IF(G4268&lt;41,'General Basis'!$C$40,IF(G4268&lt;60,'General Basis'!$C$41,IF(G4268&lt;65,'General Basis'!$C$42,'General Basis'!$C$43)))),IF(G4268&lt;11,'General Basis'!$B$39,IF(G4268&lt;18,'General Basis'!$B$40,IF(G4268&lt;26,'General Basis'!$B$41,IF(G4268&lt;31,'General Basis'!$B$42,IF(G4268&lt;36,'General Basis'!$B$43,IF(G4268&lt;41,'General Basis'!$B$44,IF(G4268&lt;46,'General Basis'!$B$45,IF(G4268&lt;51,'General Basis'!$B$46,IF(G4268&lt;56,'General Basis'!$B$47,IF(G4268&lt;60,'General Basis'!$B$48,IF(G4268&lt;65,'General Basis'!$B$49,'General Basis'!$B$50)))))))))))))</f>
        <v/>
      </c>
      <c r="BI4268" s="744" t="str">
        <f t="shared" si="1479"/>
        <v/>
      </c>
      <c r="BJ4268" s="747" t="str">
        <f t="shared" si="1486"/>
        <v/>
      </c>
      <c r="BK4268" s="498" t="str">
        <f t="shared" si="1480"/>
        <v/>
      </c>
      <c r="BL4268" s="498" t="str">
        <f t="shared" si="1481"/>
        <v/>
      </c>
    </row>
    <row r="4269" spans="1:64" x14ac:dyDescent="0.25">
      <c r="A4269" s="762">
        <f t="shared" si="1482"/>
        <v>4264</v>
      </c>
      <c r="B4269" s="229"/>
      <c r="C4269" s="223"/>
      <c r="D4269" s="224"/>
      <c r="E4269" s="225"/>
      <c r="F4269" s="1036" t="str">
        <f t="shared" si="1488"/>
        <v/>
      </c>
      <c r="G4269" s="1037" t="str">
        <f t="shared" si="1483"/>
        <v/>
      </c>
      <c r="H4269" s="225"/>
      <c r="I4269" s="1013"/>
      <c r="J4269" s="1013"/>
      <c r="K4269" s="1028"/>
      <c r="L4269" s="1035" t="str">
        <f t="shared" si="1487"/>
        <v/>
      </c>
      <c r="S4269" s="498"/>
      <c r="AJ4269" s="498"/>
      <c r="AM4269" s="498">
        <f t="shared" si="1468"/>
        <v>0</v>
      </c>
      <c r="AN4269" s="498">
        <f t="shared" si="1469"/>
        <v>0</v>
      </c>
      <c r="AO4269" s="498">
        <f t="shared" si="1470"/>
        <v>0</v>
      </c>
      <c r="AP4269" s="498">
        <f t="shared" si="1489"/>
        <v>0</v>
      </c>
      <c r="AQ4269" s="498">
        <f t="shared" si="1484"/>
        <v>0</v>
      </c>
      <c r="AU4269" s="498">
        <f t="shared" si="1471"/>
        <v>0</v>
      </c>
      <c r="AV4269" s="498">
        <f t="shared" si="1472"/>
        <v>0</v>
      </c>
      <c r="AW4269" s="498">
        <f t="shared" si="1473"/>
        <v>0</v>
      </c>
      <c r="AX4269" s="498">
        <f t="shared" si="1474"/>
        <v>0</v>
      </c>
      <c r="AY4269" s="498">
        <f t="shared" si="1475"/>
        <v>0</v>
      </c>
      <c r="BB4269" s="498" t="str">
        <f t="shared" si="1476"/>
        <v/>
      </c>
      <c r="BC4269" s="743" t="str">
        <f t="shared" si="1477"/>
        <v/>
      </c>
      <c r="BD4269" s="743" t="str">
        <f t="shared" si="1478"/>
        <v/>
      </c>
      <c r="BE4269" s="743" t="str">
        <f>IF(D4269="","",VLOOKUP(D4269,'General Basis'!$J$39:$K$46,2,0))</f>
        <v/>
      </c>
      <c r="BF4269" s="744" t="str">
        <f>IF(D4269="","",VLOOKUP(D4269,'General Basis'!$J$39:$L$46,3,0))</f>
        <v/>
      </c>
      <c r="BG4269" s="744" t="str">
        <f t="shared" si="1485"/>
        <v/>
      </c>
      <c r="BH4269" s="744" t="str">
        <f>IF(G4269="","",IF(BF4269="Abu Dhabi",IF(G4269&lt;18,'General Basis'!$C$39,IF(G4269&lt;41,'General Basis'!$C$40,IF(G4269&lt;60,'General Basis'!$C$41,IF(G4269&lt;65,'General Basis'!$C$42,'General Basis'!$C$43)))),IF(G4269&lt;11,'General Basis'!$B$39,IF(G4269&lt;18,'General Basis'!$B$40,IF(G4269&lt;26,'General Basis'!$B$41,IF(G4269&lt;31,'General Basis'!$B$42,IF(G4269&lt;36,'General Basis'!$B$43,IF(G4269&lt;41,'General Basis'!$B$44,IF(G4269&lt;46,'General Basis'!$B$45,IF(G4269&lt;51,'General Basis'!$B$46,IF(G4269&lt;56,'General Basis'!$B$47,IF(G4269&lt;60,'General Basis'!$B$48,IF(G4269&lt;65,'General Basis'!$B$49,'General Basis'!$B$50)))))))))))))</f>
        <v/>
      </c>
      <c r="BI4269" s="744" t="str">
        <f t="shared" si="1479"/>
        <v/>
      </c>
      <c r="BJ4269" s="747" t="str">
        <f t="shared" si="1486"/>
        <v/>
      </c>
      <c r="BK4269" s="498" t="str">
        <f t="shared" si="1480"/>
        <v/>
      </c>
      <c r="BL4269" s="498" t="str">
        <f t="shared" si="1481"/>
        <v/>
      </c>
    </row>
    <row r="4270" spans="1:64" x14ac:dyDescent="0.25">
      <c r="A4270" s="762">
        <f t="shared" si="1482"/>
        <v>4265</v>
      </c>
      <c r="B4270" s="229"/>
      <c r="C4270" s="223"/>
      <c r="D4270" s="224"/>
      <c r="E4270" s="225"/>
      <c r="F4270" s="1036" t="str">
        <f t="shared" si="1488"/>
        <v/>
      </c>
      <c r="G4270" s="1037" t="str">
        <f t="shared" si="1483"/>
        <v/>
      </c>
      <c r="H4270" s="225"/>
      <c r="I4270" s="1013"/>
      <c r="J4270" s="1013"/>
      <c r="K4270" s="1028"/>
      <c r="L4270" s="1035" t="str">
        <f t="shared" si="1487"/>
        <v/>
      </c>
      <c r="S4270" s="498"/>
      <c r="AJ4270" s="498"/>
      <c r="AM4270" s="498">
        <f t="shared" si="1468"/>
        <v>0</v>
      </c>
      <c r="AN4270" s="498">
        <f t="shared" si="1469"/>
        <v>0</v>
      </c>
      <c r="AO4270" s="498">
        <f t="shared" si="1470"/>
        <v>0</v>
      </c>
      <c r="AP4270" s="498">
        <f t="shared" si="1489"/>
        <v>0</v>
      </c>
      <c r="AQ4270" s="498">
        <f t="shared" si="1484"/>
        <v>0</v>
      </c>
      <c r="AU4270" s="498">
        <f t="shared" si="1471"/>
        <v>0</v>
      </c>
      <c r="AV4270" s="498">
        <f t="shared" si="1472"/>
        <v>0</v>
      </c>
      <c r="AW4270" s="498">
        <f t="shared" si="1473"/>
        <v>0</v>
      </c>
      <c r="AX4270" s="498">
        <f t="shared" si="1474"/>
        <v>0</v>
      </c>
      <c r="AY4270" s="498">
        <f t="shared" si="1475"/>
        <v>0</v>
      </c>
      <c r="BB4270" s="498" t="str">
        <f t="shared" si="1476"/>
        <v/>
      </c>
      <c r="BC4270" s="743" t="str">
        <f t="shared" si="1477"/>
        <v/>
      </c>
      <c r="BD4270" s="743" t="str">
        <f t="shared" si="1478"/>
        <v/>
      </c>
      <c r="BE4270" s="743" t="str">
        <f>IF(D4270="","",VLOOKUP(D4270,'General Basis'!$J$39:$K$46,2,0))</f>
        <v/>
      </c>
      <c r="BF4270" s="744" t="str">
        <f>IF(D4270="","",VLOOKUP(D4270,'General Basis'!$J$39:$L$46,3,0))</f>
        <v/>
      </c>
      <c r="BG4270" s="744" t="str">
        <f t="shared" si="1485"/>
        <v/>
      </c>
      <c r="BH4270" s="744" t="str">
        <f>IF(G4270="","",IF(BF4270="Abu Dhabi",IF(G4270&lt;18,'General Basis'!$C$39,IF(G4270&lt;41,'General Basis'!$C$40,IF(G4270&lt;60,'General Basis'!$C$41,IF(G4270&lt;65,'General Basis'!$C$42,'General Basis'!$C$43)))),IF(G4270&lt;11,'General Basis'!$B$39,IF(G4270&lt;18,'General Basis'!$B$40,IF(G4270&lt;26,'General Basis'!$B$41,IF(G4270&lt;31,'General Basis'!$B$42,IF(G4270&lt;36,'General Basis'!$B$43,IF(G4270&lt;41,'General Basis'!$B$44,IF(G4270&lt;46,'General Basis'!$B$45,IF(G4270&lt;51,'General Basis'!$B$46,IF(G4270&lt;56,'General Basis'!$B$47,IF(G4270&lt;60,'General Basis'!$B$48,IF(G4270&lt;65,'General Basis'!$B$49,'General Basis'!$B$50)))))))))))))</f>
        <v/>
      </c>
      <c r="BI4270" s="744" t="str">
        <f t="shared" si="1479"/>
        <v/>
      </c>
      <c r="BJ4270" s="747" t="str">
        <f t="shared" si="1486"/>
        <v/>
      </c>
      <c r="BK4270" s="498" t="str">
        <f t="shared" si="1480"/>
        <v/>
      </c>
      <c r="BL4270" s="498" t="str">
        <f t="shared" si="1481"/>
        <v/>
      </c>
    </row>
    <row r="4271" spans="1:64" x14ac:dyDescent="0.25">
      <c r="A4271" s="762">
        <f t="shared" si="1482"/>
        <v>4266</v>
      </c>
      <c r="B4271" s="229"/>
      <c r="C4271" s="223"/>
      <c r="D4271" s="224"/>
      <c r="E4271" s="225"/>
      <c r="F4271" s="1036" t="str">
        <f t="shared" si="1488"/>
        <v/>
      </c>
      <c r="G4271" s="1037" t="str">
        <f t="shared" si="1483"/>
        <v/>
      </c>
      <c r="H4271" s="225"/>
      <c r="I4271" s="1013"/>
      <c r="J4271" s="1013"/>
      <c r="K4271" s="1028"/>
      <c r="L4271" s="1035" t="str">
        <f t="shared" si="1487"/>
        <v/>
      </c>
      <c r="S4271" s="498"/>
      <c r="AJ4271" s="498"/>
      <c r="AM4271" s="498">
        <f t="shared" si="1468"/>
        <v>0</v>
      </c>
      <c r="AN4271" s="498">
        <f t="shared" si="1469"/>
        <v>0</v>
      </c>
      <c r="AO4271" s="498">
        <f t="shared" si="1470"/>
        <v>0</v>
      </c>
      <c r="AP4271" s="498">
        <f t="shared" si="1489"/>
        <v>0</v>
      </c>
      <c r="AQ4271" s="498">
        <f t="shared" si="1484"/>
        <v>0</v>
      </c>
      <c r="AU4271" s="498">
        <f t="shared" si="1471"/>
        <v>0</v>
      </c>
      <c r="AV4271" s="498">
        <f t="shared" si="1472"/>
        <v>0</v>
      </c>
      <c r="AW4271" s="498">
        <f t="shared" si="1473"/>
        <v>0</v>
      </c>
      <c r="AX4271" s="498">
        <f t="shared" si="1474"/>
        <v>0</v>
      </c>
      <c r="AY4271" s="498">
        <f t="shared" si="1475"/>
        <v>0</v>
      </c>
      <c r="BB4271" s="498" t="str">
        <f t="shared" si="1476"/>
        <v/>
      </c>
      <c r="BC4271" s="743" t="str">
        <f t="shared" si="1477"/>
        <v/>
      </c>
      <c r="BD4271" s="743" t="str">
        <f t="shared" si="1478"/>
        <v/>
      </c>
      <c r="BE4271" s="743" t="str">
        <f>IF(D4271="","",VLOOKUP(D4271,'General Basis'!$J$39:$K$46,2,0))</f>
        <v/>
      </c>
      <c r="BF4271" s="744" t="str">
        <f>IF(D4271="","",VLOOKUP(D4271,'General Basis'!$J$39:$L$46,3,0))</f>
        <v/>
      </c>
      <c r="BG4271" s="744" t="str">
        <f t="shared" si="1485"/>
        <v/>
      </c>
      <c r="BH4271" s="744" t="str">
        <f>IF(G4271="","",IF(BF4271="Abu Dhabi",IF(G4271&lt;18,'General Basis'!$C$39,IF(G4271&lt;41,'General Basis'!$C$40,IF(G4271&lt;60,'General Basis'!$C$41,IF(G4271&lt;65,'General Basis'!$C$42,'General Basis'!$C$43)))),IF(G4271&lt;11,'General Basis'!$B$39,IF(G4271&lt;18,'General Basis'!$B$40,IF(G4271&lt;26,'General Basis'!$B$41,IF(G4271&lt;31,'General Basis'!$B$42,IF(G4271&lt;36,'General Basis'!$B$43,IF(G4271&lt;41,'General Basis'!$B$44,IF(G4271&lt;46,'General Basis'!$B$45,IF(G4271&lt;51,'General Basis'!$B$46,IF(G4271&lt;56,'General Basis'!$B$47,IF(G4271&lt;60,'General Basis'!$B$48,IF(G4271&lt;65,'General Basis'!$B$49,'General Basis'!$B$50)))))))))))))</f>
        <v/>
      </c>
      <c r="BI4271" s="744" t="str">
        <f t="shared" si="1479"/>
        <v/>
      </c>
      <c r="BJ4271" s="747" t="str">
        <f t="shared" si="1486"/>
        <v/>
      </c>
      <c r="BK4271" s="498" t="str">
        <f t="shared" si="1480"/>
        <v/>
      </c>
      <c r="BL4271" s="498" t="str">
        <f t="shared" si="1481"/>
        <v/>
      </c>
    </row>
    <row r="4272" spans="1:64" x14ac:dyDescent="0.25">
      <c r="A4272" s="762">
        <f t="shared" si="1482"/>
        <v>4267</v>
      </c>
      <c r="B4272" s="229"/>
      <c r="C4272" s="223"/>
      <c r="D4272" s="224"/>
      <c r="E4272" s="225"/>
      <c r="F4272" s="1036" t="str">
        <f t="shared" si="1488"/>
        <v/>
      </c>
      <c r="G4272" s="1037" t="str">
        <f t="shared" si="1483"/>
        <v/>
      </c>
      <c r="H4272" s="225"/>
      <c r="I4272" s="1013"/>
      <c r="J4272" s="1013"/>
      <c r="K4272" s="1028"/>
      <c r="L4272" s="1035" t="str">
        <f t="shared" si="1487"/>
        <v/>
      </c>
      <c r="S4272" s="498"/>
      <c r="AJ4272" s="498"/>
      <c r="AM4272" s="498">
        <f t="shared" si="1468"/>
        <v>0</v>
      </c>
      <c r="AN4272" s="498">
        <f t="shared" si="1469"/>
        <v>0</v>
      </c>
      <c r="AO4272" s="498">
        <f t="shared" si="1470"/>
        <v>0</v>
      </c>
      <c r="AP4272" s="498">
        <f t="shared" si="1489"/>
        <v>0</v>
      </c>
      <c r="AQ4272" s="498">
        <f t="shared" si="1484"/>
        <v>0</v>
      </c>
      <c r="AU4272" s="498">
        <f t="shared" si="1471"/>
        <v>0</v>
      </c>
      <c r="AV4272" s="498">
        <f t="shared" si="1472"/>
        <v>0</v>
      </c>
      <c r="AW4272" s="498">
        <f t="shared" si="1473"/>
        <v>0</v>
      </c>
      <c r="AX4272" s="498">
        <f t="shared" si="1474"/>
        <v>0</v>
      </c>
      <c r="AY4272" s="498">
        <f t="shared" si="1475"/>
        <v>0</v>
      </c>
      <c r="BB4272" s="498" t="str">
        <f t="shared" si="1476"/>
        <v/>
      </c>
      <c r="BC4272" s="743" t="str">
        <f t="shared" si="1477"/>
        <v/>
      </c>
      <c r="BD4272" s="743" t="str">
        <f t="shared" si="1478"/>
        <v/>
      </c>
      <c r="BE4272" s="743" t="str">
        <f>IF(D4272="","",VLOOKUP(D4272,'General Basis'!$J$39:$K$46,2,0))</f>
        <v/>
      </c>
      <c r="BF4272" s="744" t="str">
        <f>IF(D4272="","",VLOOKUP(D4272,'General Basis'!$J$39:$L$46,3,0))</f>
        <v/>
      </c>
      <c r="BG4272" s="744" t="str">
        <f t="shared" si="1485"/>
        <v/>
      </c>
      <c r="BH4272" s="744" t="str">
        <f>IF(G4272="","",IF(BF4272="Abu Dhabi",IF(G4272&lt;18,'General Basis'!$C$39,IF(G4272&lt;41,'General Basis'!$C$40,IF(G4272&lt;60,'General Basis'!$C$41,IF(G4272&lt;65,'General Basis'!$C$42,'General Basis'!$C$43)))),IF(G4272&lt;11,'General Basis'!$B$39,IF(G4272&lt;18,'General Basis'!$B$40,IF(G4272&lt;26,'General Basis'!$B$41,IF(G4272&lt;31,'General Basis'!$B$42,IF(G4272&lt;36,'General Basis'!$B$43,IF(G4272&lt;41,'General Basis'!$B$44,IF(G4272&lt;46,'General Basis'!$B$45,IF(G4272&lt;51,'General Basis'!$B$46,IF(G4272&lt;56,'General Basis'!$B$47,IF(G4272&lt;60,'General Basis'!$B$48,IF(G4272&lt;65,'General Basis'!$B$49,'General Basis'!$B$50)))))))))))))</f>
        <v/>
      </c>
      <c r="BI4272" s="744" t="str">
        <f t="shared" si="1479"/>
        <v/>
      </c>
      <c r="BJ4272" s="747" t="str">
        <f t="shared" si="1486"/>
        <v/>
      </c>
      <c r="BK4272" s="498" t="str">
        <f t="shared" si="1480"/>
        <v/>
      </c>
      <c r="BL4272" s="498" t="str">
        <f t="shared" si="1481"/>
        <v/>
      </c>
    </row>
    <row r="4273" spans="1:64" x14ac:dyDescent="0.25">
      <c r="A4273" s="762">
        <f t="shared" si="1482"/>
        <v>4268</v>
      </c>
      <c r="B4273" s="229"/>
      <c r="C4273" s="223"/>
      <c r="D4273" s="224"/>
      <c r="E4273" s="225"/>
      <c r="F4273" s="1036" t="str">
        <f t="shared" si="1488"/>
        <v/>
      </c>
      <c r="G4273" s="1037" t="str">
        <f t="shared" si="1483"/>
        <v/>
      </c>
      <c r="H4273" s="225"/>
      <c r="I4273" s="1013"/>
      <c r="J4273" s="1013"/>
      <c r="K4273" s="1028"/>
      <c r="L4273" s="1035" t="str">
        <f t="shared" si="1487"/>
        <v/>
      </c>
      <c r="S4273" s="498"/>
      <c r="AJ4273" s="498"/>
      <c r="AM4273" s="498">
        <f t="shared" si="1468"/>
        <v>0</v>
      </c>
      <c r="AN4273" s="498">
        <f t="shared" si="1469"/>
        <v>0</v>
      </c>
      <c r="AO4273" s="498">
        <f t="shared" si="1470"/>
        <v>0</v>
      </c>
      <c r="AP4273" s="498">
        <f t="shared" si="1489"/>
        <v>0</v>
      </c>
      <c r="AQ4273" s="498">
        <f t="shared" si="1484"/>
        <v>0</v>
      </c>
      <c r="AU4273" s="498">
        <f t="shared" si="1471"/>
        <v>0</v>
      </c>
      <c r="AV4273" s="498">
        <f t="shared" si="1472"/>
        <v>0</v>
      </c>
      <c r="AW4273" s="498">
        <f t="shared" si="1473"/>
        <v>0</v>
      </c>
      <c r="AX4273" s="498">
        <f t="shared" si="1474"/>
        <v>0</v>
      </c>
      <c r="AY4273" s="498">
        <f t="shared" si="1475"/>
        <v>0</v>
      </c>
      <c r="BB4273" s="498" t="str">
        <f t="shared" si="1476"/>
        <v/>
      </c>
      <c r="BC4273" s="743" t="str">
        <f t="shared" si="1477"/>
        <v/>
      </c>
      <c r="BD4273" s="743" t="str">
        <f t="shared" si="1478"/>
        <v/>
      </c>
      <c r="BE4273" s="743" t="str">
        <f>IF(D4273="","",VLOOKUP(D4273,'General Basis'!$J$39:$K$46,2,0))</f>
        <v/>
      </c>
      <c r="BF4273" s="744" t="str">
        <f>IF(D4273="","",VLOOKUP(D4273,'General Basis'!$J$39:$L$46,3,0))</f>
        <v/>
      </c>
      <c r="BG4273" s="744" t="str">
        <f t="shared" si="1485"/>
        <v/>
      </c>
      <c r="BH4273" s="744" t="str">
        <f>IF(G4273="","",IF(BF4273="Abu Dhabi",IF(G4273&lt;18,'General Basis'!$C$39,IF(G4273&lt;41,'General Basis'!$C$40,IF(G4273&lt;60,'General Basis'!$C$41,IF(G4273&lt;65,'General Basis'!$C$42,'General Basis'!$C$43)))),IF(G4273&lt;11,'General Basis'!$B$39,IF(G4273&lt;18,'General Basis'!$B$40,IF(G4273&lt;26,'General Basis'!$B$41,IF(G4273&lt;31,'General Basis'!$B$42,IF(G4273&lt;36,'General Basis'!$B$43,IF(G4273&lt;41,'General Basis'!$B$44,IF(G4273&lt;46,'General Basis'!$B$45,IF(G4273&lt;51,'General Basis'!$B$46,IF(G4273&lt;56,'General Basis'!$B$47,IF(G4273&lt;60,'General Basis'!$B$48,IF(G4273&lt;65,'General Basis'!$B$49,'General Basis'!$B$50)))))))))))))</f>
        <v/>
      </c>
      <c r="BI4273" s="744" t="str">
        <f t="shared" si="1479"/>
        <v/>
      </c>
      <c r="BJ4273" s="747" t="str">
        <f t="shared" si="1486"/>
        <v/>
      </c>
      <c r="BK4273" s="498" t="str">
        <f t="shared" si="1480"/>
        <v/>
      </c>
      <c r="BL4273" s="498" t="str">
        <f t="shared" si="1481"/>
        <v/>
      </c>
    </row>
    <row r="4274" spans="1:64" x14ac:dyDescent="0.25">
      <c r="A4274" s="762">
        <f t="shared" si="1482"/>
        <v>4269</v>
      </c>
      <c r="B4274" s="229"/>
      <c r="C4274" s="223"/>
      <c r="D4274" s="224"/>
      <c r="E4274" s="225"/>
      <c r="F4274" s="1036" t="str">
        <f t="shared" si="1488"/>
        <v/>
      </c>
      <c r="G4274" s="1037" t="str">
        <f t="shared" si="1483"/>
        <v/>
      </c>
      <c r="H4274" s="225"/>
      <c r="I4274" s="1013"/>
      <c r="J4274" s="1013"/>
      <c r="K4274" s="1028"/>
      <c r="L4274" s="1035" t="str">
        <f t="shared" si="1487"/>
        <v/>
      </c>
      <c r="S4274" s="498"/>
      <c r="AJ4274" s="498"/>
      <c r="AM4274" s="498">
        <f t="shared" si="1468"/>
        <v>0</v>
      </c>
      <c r="AN4274" s="498">
        <f t="shared" si="1469"/>
        <v>0</v>
      </c>
      <c r="AO4274" s="498">
        <f t="shared" si="1470"/>
        <v>0</v>
      </c>
      <c r="AP4274" s="498">
        <f t="shared" si="1489"/>
        <v>0</v>
      </c>
      <c r="AQ4274" s="498">
        <f t="shared" si="1484"/>
        <v>0</v>
      </c>
      <c r="AU4274" s="498">
        <f t="shared" si="1471"/>
        <v>0</v>
      </c>
      <c r="AV4274" s="498">
        <f t="shared" si="1472"/>
        <v>0</v>
      </c>
      <c r="AW4274" s="498">
        <f t="shared" si="1473"/>
        <v>0</v>
      </c>
      <c r="AX4274" s="498">
        <f t="shared" si="1474"/>
        <v>0</v>
      </c>
      <c r="AY4274" s="498">
        <f t="shared" si="1475"/>
        <v>0</v>
      </c>
      <c r="BB4274" s="498" t="str">
        <f t="shared" si="1476"/>
        <v/>
      </c>
      <c r="BC4274" s="743" t="str">
        <f t="shared" si="1477"/>
        <v/>
      </c>
      <c r="BD4274" s="743" t="str">
        <f t="shared" si="1478"/>
        <v/>
      </c>
      <c r="BE4274" s="743" t="str">
        <f>IF(D4274="","",VLOOKUP(D4274,'General Basis'!$J$39:$K$46,2,0))</f>
        <v/>
      </c>
      <c r="BF4274" s="744" t="str">
        <f>IF(D4274="","",VLOOKUP(D4274,'General Basis'!$J$39:$L$46,3,0))</f>
        <v/>
      </c>
      <c r="BG4274" s="744" t="str">
        <f t="shared" si="1485"/>
        <v/>
      </c>
      <c r="BH4274" s="744" t="str">
        <f>IF(G4274="","",IF(BF4274="Abu Dhabi",IF(G4274&lt;18,'General Basis'!$C$39,IF(G4274&lt;41,'General Basis'!$C$40,IF(G4274&lt;60,'General Basis'!$C$41,IF(G4274&lt;65,'General Basis'!$C$42,'General Basis'!$C$43)))),IF(G4274&lt;11,'General Basis'!$B$39,IF(G4274&lt;18,'General Basis'!$B$40,IF(G4274&lt;26,'General Basis'!$B$41,IF(G4274&lt;31,'General Basis'!$B$42,IF(G4274&lt;36,'General Basis'!$B$43,IF(G4274&lt;41,'General Basis'!$B$44,IF(G4274&lt;46,'General Basis'!$B$45,IF(G4274&lt;51,'General Basis'!$B$46,IF(G4274&lt;56,'General Basis'!$B$47,IF(G4274&lt;60,'General Basis'!$B$48,IF(G4274&lt;65,'General Basis'!$B$49,'General Basis'!$B$50)))))))))))))</f>
        <v/>
      </c>
      <c r="BI4274" s="744" t="str">
        <f t="shared" si="1479"/>
        <v/>
      </c>
      <c r="BJ4274" s="747" t="str">
        <f t="shared" si="1486"/>
        <v/>
      </c>
      <c r="BK4274" s="498" t="str">
        <f t="shared" si="1480"/>
        <v/>
      </c>
      <c r="BL4274" s="498" t="str">
        <f t="shared" si="1481"/>
        <v/>
      </c>
    </row>
    <row r="4275" spans="1:64" x14ac:dyDescent="0.25">
      <c r="A4275" s="762">
        <f t="shared" si="1482"/>
        <v>4270</v>
      </c>
      <c r="B4275" s="229"/>
      <c r="C4275" s="223"/>
      <c r="D4275" s="224"/>
      <c r="E4275" s="225"/>
      <c r="F4275" s="1036" t="str">
        <f t="shared" si="1488"/>
        <v/>
      </c>
      <c r="G4275" s="1037" t="str">
        <f t="shared" si="1483"/>
        <v/>
      </c>
      <c r="H4275" s="225"/>
      <c r="I4275" s="1013"/>
      <c r="J4275" s="1013"/>
      <c r="K4275" s="1028"/>
      <c r="L4275" s="1035" t="str">
        <f t="shared" si="1487"/>
        <v/>
      </c>
      <c r="S4275" s="498"/>
      <c r="AJ4275" s="498"/>
      <c r="AM4275" s="498">
        <f t="shared" si="1468"/>
        <v>0</v>
      </c>
      <c r="AN4275" s="498">
        <f t="shared" si="1469"/>
        <v>0</v>
      </c>
      <c r="AO4275" s="498">
        <f t="shared" si="1470"/>
        <v>0</v>
      </c>
      <c r="AP4275" s="498">
        <f t="shared" si="1489"/>
        <v>0</v>
      </c>
      <c r="AQ4275" s="498">
        <f t="shared" si="1484"/>
        <v>0</v>
      </c>
      <c r="AU4275" s="498">
        <f t="shared" si="1471"/>
        <v>0</v>
      </c>
      <c r="AV4275" s="498">
        <f t="shared" si="1472"/>
        <v>0</v>
      </c>
      <c r="AW4275" s="498">
        <f t="shared" si="1473"/>
        <v>0</v>
      </c>
      <c r="AX4275" s="498">
        <f t="shared" si="1474"/>
        <v>0</v>
      </c>
      <c r="AY4275" s="498">
        <f t="shared" si="1475"/>
        <v>0</v>
      </c>
      <c r="BB4275" s="498" t="str">
        <f t="shared" si="1476"/>
        <v/>
      </c>
      <c r="BC4275" s="743" t="str">
        <f t="shared" si="1477"/>
        <v/>
      </c>
      <c r="BD4275" s="743" t="str">
        <f t="shared" si="1478"/>
        <v/>
      </c>
      <c r="BE4275" s="743" t="str">
        <f>IF(D4275="","",VLOOKUP(D4275,'General Basis'!$J$39:$K$46,2,0))</f>
        <v/>
      </c>
      <c r="BF4275" s="744" t="str">
        <f>IF(D4275="","",VLOOKUP(D4275,'General Basis'!$J$39:$L$46,3,0))</f>
        <v/>
      </c>
      <c r="BG4275" s="744" t="str">
        <f t="shared" si="1485"/>
        <v/>
      </c>
      <c r="BH4275" s="744" t="str">
        <f>IF(G4275="","",IF(BF4275="Abu Dhabi",IF(G4275&lt;18,'General Basis'!$C$39,IF(G4275&lt;41,'General Basis'!$C$40,IF(G4275&lt;60,'General Basis'!$C$41,IF(G4275&lt;65,'General Basis'!$C$42,'General Basis'!$C$43)))),IF(G4275&lt;11,'General Basis'!$B$39,IF(G4275&lt;18,'General Basis'!$B$40,IF(G4275&lt;26,'General Basis'!$B$41,IF(G4275&lt;31,'General Basis'!$B$42,IF(G4275&lt;36,'General Basis'!$B$43,IF(G4275&lt;41,'General Basis'!$B$44,IF(G4275&lt;46,'General Basis'!$B$45,IF(G4275&lt;51,'General Basis'!$B$46,IF(G4275&lt;56,'General Basis'!$B$47,IF(G4275&lt;60,'General Basis'!$B$48,IF(G4275&lt;65,'General Basis'!$B$49,'General Basis'!$B$50)))))))))))))</f>
        <v/>
      </c>
      <c r="BI4275" s="744" t="str">
        <f t="shared" si="1479"/>
        <v/>
      </c>
      <c r="BJ4275" s="747" t="str">
        <f t="shared" si="1486"/>
        <v/>
      </c>
      <c r="BK4275" s="498" t="str">
        <f t="shared" si="1480"/>
        <v/>
      </c>
      <c r="BL4275" s="498" t="str">
        <f t="shared" si="1481"/>
        <v/>
      </c>
    </row>
    <row r="4276" spans="1:64" x14ac:dyDescent="0.25">
      <c r="A4276" s="762">
        <f t="shared" si="1482"/>
        <v>4271</v>
      </c>
      <c r="B4276" s="229"/>
      <c r="C4276" s="223"/>
      <c r="D4276" s="224"/>
      <c r="E4276" s="225"/>
      <c r="F4276" s="1036" t="str">
        <f t="shared" si="1488"/>
        <v/>
      </c>
      <c r="G4276" s="1037" t="str">
        <f t="shared" si="1483"/>
        <v/>
      </c>
      <c r="H4276" s="225"/>
      <c r="I4276" s="1013"/>
      <c r="J4276" s="1013"/>
      <c r="K4276" s="1028"/>
      <c r="L4276" s="1035" t="str">
        <f t="shared" si="1487"/>
        <v/>
      </c>
      <c r="S4276" s="498"/>
      <c r="AJ4276" s="498"/>
      <c r="AM4276" s="498">
        <f t="shared" si="1468"/>
        <v>0</v>
      </c>
      <c r="AN4276" s="498">
        <f t="shared" si="1469"/>
        <v>0</v>
      </c>
      <c r="AO4276" s="498">
        <f t="shared" si="1470"/>
        <v>0</v>
      </c>
      <c r="AP4276" s="498">
        <f t="shared" si="1489"/>
        <v>0</v>
      </c>
      <c r="AQ4276" s="498">
        <f t="shared" si="1484"/>
        <v>0</v>
      </c>
      <c r="AU4276" s="498">
        <f t="shared" si="1471"/>
        <v>0</v>
      </c>
      <c r="AV4276" s="498">
        <f t="shared" si="1472"/>
        <v>0</v>
      </c>
      <c r="AW4276" s="498">
        <f t="shared" si="1473"/>
        <v>0</v>
      </c>
      <c r="AX4276" s="498">
        <f t="shared" si="1474"/>
        <v>0</v>
      </c>
      <c r="AY4276" s="498">
        <f t="shared" si="1475"/>
        <v>0</v>
      </c>
      <c r="BB4276" s="498" t="str">
        <f t="shared" si="1476"/>
        <v/>
      </c>
      <c r="BC4276" s="743" t="str">
        <f t="shared" si="1477"/>
        <v/>
      </c>
      <c r="BD4276" s="743" t="str">
        <f t="shared" si="1478"/>
        <v/>
      </c>
      <c r="BE4276" s="743" t="str">
        <f>IF(D4276="","",VLOOKUP(D4276,'General Basis'!$J$39:$K$46,2,0))</f>
        <v/>
      </c>
      <c r="BF4276" s="744" t="str">
        <f>IF(D4276="","",VLOOKUP(D4276,'General Basis'!$J$39:$L$46,3,0))</f>
        <v/>
      </c>
      <c r="BG4276" s="744" t="str">
        <f t="shared" si="1485"/>
        <v/>
      </c>
      <c r="BH4276" s="744" t="str">
        <f>IF(G4276="","",IF(BF4276="Abu Dhabi",IF(G4276&lt;18,'General Basis'!$C$39,IF(G4276&lt;41,'General Basis'!$C$40,IF(G4276&lt;60,'General Basis'!$C$41,IF(G4276&lt;65,'General Basis'!$C$42,'General Basis'!$C$43)))),IF(G4276&lt;11,'General Basis'!$B$39,IF(G4276&lt;18,'General Basis'!$B$40,IF(G4276&lt;26,'General Basis'!$B$41,IF(G4276&lt;31,'General Basis'!$B$42,IF(G4276&lt;36,'General Basis'!$B$43,IF(G4276&lt;41,'General Basis'!$B$44,IF(G4276&lt;46,'General Basis'!$B$45,IF(G4276&lt;51,'General Basis'!$B$46,IF(G4276&lt;56,'General Basis'!$B$47,IF(G4276&lt;60,'General Basis'!$B$48,IF(G4276&lt;65,'General Basis'!$B$49,'General Basis'!$B$50)))))))))))))</f>
        <v/>
      </c>
      <c r="BI4276" s="744" t="str">
        <f t="shared" si="1479"/>
        <v/>
      </c>
      <c r="BJ4276" s="747" t="str">
        <f t="shared" si="1486"/>
        <v/>
      </c>
      <c r="BK4276" s="498" t="str">
        <f t="shared" si="1480"/>
        <v/>
      </c>
      <c r="BL4276" s="498" t="str">
        <f t="shared" si="1481"/>
        <v/>
      </c>
    </row>
    <row r="4277" spans="1:64" x14ac:dyDescent="0.25">
      <c r="A4277" s="762">
        <f t="shared" si="1482"/>
        <v>4272</v>
      </c>
      <c r="B4277" s="229"/>
      <c r="C4277" s="223"/>
      <c r="D4277" s="224"/>
      <c r="E4277" s="225"/>
      <c r="F4277" s="1036" t="str">
        <f t="shared" si="1488"/>
        <v/>
      </c>
      <c r="G4277" s="1037" t="str">
        <f t="shared" si="1483"/>
        <v/>
      </c>
      <c r="H4277" s="225"/>
      <c r="I4277" s="1013"/>
      <c r="J4277" s="1013"/>
      <c r="K4277" s="1028"/>
      <c r="L4277" s="1035" t="str">
        <f t="shared" si="1487"/>
        <v/>
      </c>
      <c r="S4277" s="498"/>
      <c r="AJ4277" s="498"/>
      <c r="AM4277" s="498">
        <f t="shared" si="1468"/>
        <v>0</v>
      </c>
      <c r="AN4277" s="498">
        <f t="shared" si="1469"/>
        <v>0</v>
      </c>
      <c r="AO4277" s="498">
        <f t="shared" si="1470"/>
        <v>0</v>
      </c>
      <c r="AP4277" s="498">
        <f t="shared" si="1489"/>
        <v>0</v>
      </c>
      <c r="AQ4277" s="498">
        <f t="shared" si="1484"/>
        <v>0</v>
      </c>
      <c r="AU4277" s="498">
        <f t="shared" si="1471"/>
        <v>0</v>
      </c>
      <c r="AV4277" s="498">
        <f t="shared" si="1472"/>
        <v>0</v>
      </c>
      <c r="AW4277" s="498">
        <f t="shared" si="1473"/>
        <v>0</v>
      </c>
      <c r="AX4277" s="498">
        <f t="shared" si="1474"/>
        <v>0</v>
      </c>
      <c r="AY4277" s="498">
        <f t="shared" si="1475"/>
        <v>0</v>
      </c>
      <c r="BB4277" s="498" t="str">
        <f t="shared" si="1476"/>
        <v/>
      </c>
      <c r="BC4277" s="743" t="str">
        <f t="shared" si="1477"/>
        <v/>
      </c>
      <c r="BD4277" s="743" t="str">
        <f t="shared" si="1478"/>
        <v/>
      </c>
      <c r="BE4277" s="743" t="str">
        <f>IF(D4277="","",VLOOKUP(D4277,'General Basis'!$J$39:$K$46,2,0))</f>
        <v/>
      </c>
      <c r="BF4277" s="744" t="str">
        <f>IF(D4277="","",VLOOKUP(D4277,'General Basis'!$J$39:$L$46,3,0))</f>
        <v/>
      </c>
      <c r="BG4277" s="744" t="str">
        <f t="shared" si="1485"/>
        <v/>
      </c>
      <c r="BH4277" s="744" t="str">
        <f>IF(G4277="","",IF(BF4277="Abu Dhabi",IF(G4277&lt;18,'General Basis'!$C$39,IF(G4277&lt;41,'General Basis'!$C$40,IF(G4277&lt;60,'General Basis'!$C$41,IF(G4277&lt;65,'General Basis'!$C$42,'General Basis'!$C$43)))),IF(G4277&lt;11,'General Basis'!$B$39,IF(G4277&lt;18,'General Basis'!$B$40,IF(G4277&lt;26,'General Basis'!$B$41,IF(G4277&lt;31,'General Basis'!$B$42,IF(G4277&lt;36,'General Basis'!$B$43,IF(G4277&lt;41,'General Basis'!$B$44,IF(G4277&lt;46,'General Basis'!$B$45,IF(G4277&lt;51,'General Basis'!$B$46,IF(G4277&lt;56,'General Basis'!$B$47,IF(G4277&lt;60,'General Basis'!$B$48,IF(G4277&lt;65,'General Basis'!$B$49,'General Basis'!$B$50)))))))))))))</f>
        <v/>
      </c>
      <c r="BI4277" s="744" t="str">
        <f t="shared" si="1479"/>
        <v/>
      </c>
      <c r="BJ4277" s="747" t="str">
        <f t="shared" si="1486"/>
        <v/>
      </c>
      <c r="BK4277" s="498" t="str">
        <f t="shared" si="1480"/>
        <v/>
      </c>
      <c r="BL4277" s="498" t="str">
        <f t="shared" si="1481"/>
        <v/>
      </c>
    </row>
    <row r="4278" spans="1:64" x14ac:dyDescent="0.25">
      <c r="A4278" s="762">
        <f t="shared" si="1482"/>
        <v>4273</v>
      </c>
      <c r="B4278" s="229"/>
      <c r="C4278" s="223"/>
      <c r="D4278" s="224"/>
      <c r="E4278" s="225"/>
      <c r="F4278" s="1036" t="str">
        <f t="shared" si="1488"/>
        <v/>
      </c>
      <c r="G4278" s="1037" t="str">
        <f t="shared" si="1483"/>
        <v/>
      </c>
      <c r="H4278" s="225"/>
      <c r="I4278" s="1013"/>
      <c r="J4278" s="1013"/>
      <c r="K4278" s="1028"/>
      <c r="L4278" s="1035" t="str">
        <f t="shared" si="1487"/>
        <v/>
      </c>
      <c r="S4278" s="498"/>
      <c r="AJ4278" s="498"/>
      <c r="AM4278" s="498">
        <f t="shared" si="1468"/>
        <v>0</v>
      </c>
      <c r="AN4278" s="498">
        <f t="shared" si="1469"/>
        <v>0</v>
      </c>
      <c r="AO4278" s="498">
        <f t="shared" si="1470"/>
        <v>0</v>
      </c>
      <c r="AP4278" s="498">
        <f t="shared" si="1489"/>
        <v>0</v>
      </c>
      <c r="AQ4278" s="498">
        <f t="shared" si="1484"/>
        <v>0</v>
      </c>
      <c r="AU4278" s="498">
        <f t="shared" si="1471"/>
        <v>0</v>
      </c>
      <c r="AV4278" s="498">
        <f t="shared" si="1472"/>
        <v>0</v>
      </c>
      <c r="AW4278" s="498">
        <f t="shared" si="1473"/>
        <v>0</v>
      </c>
      <c r="AX4278" s="498">
        <f t="shared" si="1474"/>
        <v>0</v>
      </c>
      <c r="AY4278" s="498">
        <f t="shared" si="1475"/>
        <v>0</v>
      </c>
      <c r="BB4278" s="498" t="str">
        <f t="shared" si="1476"/>
        <v/>
      </c>
      <c r="BC4278" s="743" t="str">
        <f t="shared" si="1477"/>
        <v/>
      </c>
      <c r="BD4278" s="743" t="str">
        <f t="shared" si="1478"/>
        <v/>
      </c>
      <c r="BE4278" s="743" t="str">
        <f>IF(D4278="","",VLOOKUP(D4278,'General Basis'!$J$39:$K$46,2,0))</f>
        <v/>
      </c>
      <c r="BF4278" s="744" t="str">
        <f>IF(D4278="","",VLOOKUP(D4278,'General Basis'!$J$39:$L$46,3,0))</f>
        <v/>
      </c>
      <c r="BG4278" s="744" t="str">
        <f t="shared" si="1485"/>
        <v/>
      </c>
      <c r="BH4278" s="744" t="str">
        <f>IF(G4278="","",IF(BF4278="Abu Dhabi",IF(G4278&lt;18,'General Basis'!$C$39,IF(G4278&lt;41,'General Basis'!$C$40,IF(G4278&lt;60,'General Basis'!$C$41,IF(G4278&lt;65,'General Basis'!$C$42,'General Basis'!$C$43)))),IF(G4278&lt;11,'General Basis'!$B$39,IF(G4278&lt;18,'General Basis'!$B$40,IF(G4278&lt;26,'General Basis'!$B$41,IF(G4278&lt;31,'General Basis'!$B$42,IF(G4278&lt;36,'General Basis'!$B$43,IF(G4278&lt;41,'General Basis'!$B$44,IF(G4278&lt;46,'General Basis'!$B$45,IF(G4278&lt;51,'General Basis'!$B$46,IF(G4278&lt;56,'General Basis'!$B$47,IF(G4278&lt;60,'General Basis'!$B$48,IF(G4278&lt;65,'General Basis'!$B$49,'General Basis'!$B$50)))))))))))))</f>
        <v/>
      </c>
      <c r="BI4278" s="744" t="str">
        <f t="shared" si="1479"/>
        <v/>
      </c>
      <c r="BJ4278" s="747" t="str">
        <f t="shared" si="1486"/>
        <v/>
      </c>
      <c r="BK4278" s="498" t="str">
        <f t="shared" si="1480"/>
        <v/>
      </c>
      <c r="BL4278" s="498" t="str">
        <f t="shared" si="1481"/>
        <v/>
      </c>
    </row>
    <row r="4279" spans="1:64" x14ac:dyDescent="0.25">
      <c r="A4279" s="762">
        <f t="shared" si="1482"/>
        <v>4274</v>
      </c>
      <c r="B4279" s="229"/>
      <c r="C4279" s="223"/>
      <c r="D4279" s="224"/>
      <c r="E4279" s="225"/>
      <c r="F4279" s="1036" t="str">
        <f t="shared" si="1488"/>
        <v/>
      </c>
      <c r="G4279" s="1037" t="str">
        <f t="shared" si="1483"/>
        <v/>
      </c>
      <c r="H4279" s="225"/>
      <c r="I4279" s="1013"/>
      <c r="J4279" s="1013"/>
      <c r="K4279" s="1028"/>
      <c r="L4279" s="1035" t="str">
        <f t="shared" si="1487"/>
        <v/>
      </c>
      <c r="S4279" s="498"/>
      <c r="AJ4279" s="498"/>
      <c r="AM4279" s="498">
        <f t="shared" si="1468"/>
        <v>0</v>
      </c>
      <c r="AN4279" s="498">
        <f t="shared" si="1469"/>
        <v>0</v>
      </c>
      <c r="AO4279" s="498">
        <f t="shared" si="1470"/>
        <v>0</v>
      </c>
      <c r="AP4279" s="498">
        <f t="shared" si="1489"/>
        <v>0</v>
      </c>
      <c r="AQ4279" s="498">
        <f t="shared" si="1484"/>
        <v>0</v>
      </c>
      <c r="AU4279" s="498">
        <f t="shared" si="1471"/>
        <v>0</v>
      </c>
      <c r="AV4279" s="498">
        <f t="shared" si="1472"/>
        <v>0</v>
      </c>
      <c r="AW4279" s="498">
        <f t="shared" si="1473"/>
        <v>0</v>
      </c>
      <c r="AX4279" s="498">
        <f t="shared" si="1474"/>
        <v>0</v>
      </c>
      <c r="AY4279" s="498">
        <f t="shared" si="1475"/>
        <v>0</v>
      </c>
      <c r="BB4279" s="498" t="str">
        <f t="shared" si="1476"/>
        <v/>
      </c>
      <c r="BC4279" s="743" t="str">
        <f t="shared" si="1477"/>
        <v/>
      </c>
      <c r="BD4279" s="743" t="str">
        <f t="shared" si="1478"/>
        <v/>
      </c>
      <c r="BE4279" s="743" t="str">
        <f>IF(D4279="","",VLOOKUP(D4279,'General Basis'!$J$39:$K$46,2,0))</f>
        <v/>
      </c>
      <c r="BF4279" s="744" t="str">
        <f>IF(D4279="","",VLOOKUP(D4279,'General Basis'!$J$39:$L$46,3,0))</f>
        <v/>
      </c>
      <c r="BG4279" s="744" t="str">
        <f t="shared" si="1485"/>
        <v/>
      </c>
      <c r="BH4279" s="744" t="str">
        <f>IF(G4279="","",IF(BF4279="Abu Dhabi",IF(G4279&lt;18,'General Basis'!$C$39,IF(G4279&lt;41,'General Basis'!$C$40,IF(G4279&lt;60,'General Basis'!$C$41,IF(G4279&lt;65,'General Basis'!$C$42,'General Basis'!$C$43)))),IF(G4279&lt;11,'General Basis'!$B$39,IF(G4279&lt;18,'General Basis'!$B$40,IF(G4279&lt;26,'General Basis'!$B$41,IF(G4279&lt;31,'General Basis'!$B$42,IF(G4279&lt;36,'General Basis'!$B$43,IF(G4279&lt;41,'General Basis'!$B$44,IF(G4279&lt;46,'General Basis'!$B$45,IF(G4279&lt;51,'General Basis'!$B$46,IF(G4279&lt;56,'General Basis'!$B$47,IF(G4279&lt;60,'General Basis'!$B$48,IF(G4279&lt;65,'General Basis'!$B$49,'General Basis'!$B$50)))))))))))))</f>
        <v/>
      </c>
      <c r="BI4279" s="744" t="str">
        <f t="shared" si="1479"/>
        <v/>
      </c>
      <c r="BJ4279" s="747" t="str">
        <f t="shared" si="1486"/>
        <v/>
      </c>
      <c r="BK4279" s="498" t="str">
        <f t="shared" si="1480"/>
        <v/>
      </c>
      <c r="BL4279" s="498" t="str">
        <f t="shared" si="1481"/>
        <v/>
      </c>
    </row>
    <row r="4280" spans="1:64" x14ac:dyDescent="0.25">
      <c r="A4280" s="762">
        <f t="shared" si="1482"/>
        <v>4275</v>
      </c>
      <c r="B4280" s="229"/>
      <c r="C4280" s="223"/>
      <c r="D4280" s="224"/>
      <c r="E4280" s="225"/>
      <c r="F4280" s="1036" t="str">
        <f t="shared" si="1488"/>
        <v/>
      </c>
      <c r="G4280" s="1037" t="str">
        <f t="shared" si="1483"/>
        <v/>
      </c>
      <c r="H4280" s="225"/>
      <c r="I4280" s="1013"/>
      <c r="J4280" s="1013"/>
      <c r="K4280" s="1028"/>
      <c r="L4280" s="1035" t="str">
        <f t="shared" si="1487"/>
        <v/>
      </c>
      <c r="S4280" s="498"/>
      <c r="AJ4280" s="498"/>
      <c r="AM4280" s="498">
        <f t="shared" si="1468"/>
        <v>0</v>
      </c>
      <c r="AN4280" s="498">
        <f t="shared" si="1469"/>
        <v>0</v>
      </c>
      <c r="AO4280" s="498">
        <f t="shared" si="1470"/>
        <v>0</v>
      </c>
      <c r="AP4280" s="498">
        <f t="shared" si="1489"/>
        <v>0</v>
      </c>
      <c r="AQ4280" s="498">
        <f t="shared" si="1484"/>
        <v>0</v>
      </c>
      <c r="AU4280" s="498">
        <f t="shared" si="1471"/>
        <v>0</v>
      </c>
      <c r="AV4280" s="498">
        <f t="shared" si="1472"/>
        <v>0</v>
      </c>
      <c r="AW4280" s="498">
        <f t="shared" si="1473"/>
        <v>0</v>
      </c>
      <c r="AX4280" s="498">
        <f t="shared" si="1474"/>
        <v>0</v>
      </c>
      <c r="AY4280" s="498">
        <f t="shared" si="1475"/>
        <v>0</v>
      </c>
      <c r="BB4280" s="498" t="str">
        <f t="shared" si="1476"/>
        <v/>
      </c>
      <c r="BC4280" s="743" t="str">
        <f t="shared" si="1477"/>
        <v/>
      </c>
      <c r="BD4280" s="743" t="str">
        <f t="shared" si="1478"/>
        <v/>
      </c>
      <c r="BE4280" s="743" t="str">
        <f>IF(D4280="","",VLOOKUP(D4280,'General Basis'!$J$39:$K$46,2,0))</f>
        <v/>
      </c>
      <c r="BF4280" s="744" t="str">
        <f>IF(D4280="","",VLOOKUP(D4280,'General Basis'!$J$39:$L$46,3,0))</f>
        <v/>
      </c>
      <c r="BG4280" s="744" t="str">
        <f t="shared" si="1485"/>
        <v/>
      </c>
      <c r="BH4280" s="744" t="str">
        <f>IF(G4280="","",IF(BF4280="Abu Dhabi",IF(G4280&lt;18,'General Basis'!$C$39,IF(G4280&lt;41,'General Basis'!$C$40,IF(G4280&lt;60,'General Basis'!$C$41,IF(G4280&lt;65,'General Basis'!$C$42,'General Basis'!$C$43)))),IF(G4280&lt;11,'General Basis'!$B$39,IF(G4280&lt;18,'General Basis'!$B$40,IF(G4280&lt;26,'General Basis'!$B$41,IF(G4280&lt;31,'General Basis'!$B$42,IF(G4280&lt;36,'General Basis'!$B$43,IF(G4280&lt;41,'General Basis'!$B$44,IF(G4280&lt;46,'General Basis'!$B$45,IF(G4280&lt;51,'General Basis'!$B$46,IF(G4280&lt;56,'General Basis'!$B$47,IF(G4280&lt;60,'General Basis'!$B$48,IF(G4280&lt;65,'General Basis'!$B$49,'General Basis'!$B$50)))))))))))))</f>
        <v/>
      </c>
      <c r="BI4280" s="744" t="str">
        <f t="shared" si="1479"/>
        <v/>
      </c>
      <c r="BJ4280" s="747" t="str">
        <f t="shared" si="1486"/>
        <v/>
      </c>
      <c r="BK4280" s="498" t="str">
        <f t="shared" si="1480"/>
        <v/>
      </c>
      <c r="BL4280" s="498" t="str">
        <f t="shared" si="1481"/>
        <v/>
      </c>
    </row>
    <row r="4281" spans="1:64" x14ac:dyDescent="0.25">
      <c r="A4281" s="762">
        <f t="shared" si="1482"/>
        <v>4276</v>
      </c>
      <c r="B4281" s="229"/>
      <c r="C4281" s="223"/>
      <c r="D4281" s="224"/>
      <c r="E4281" s="225"/>
      <c r="F4281" s="1036" t="str">
        <f t="shared" si="1488"/>
        <v/>
      </c>
      <c r="G4281" s="1037" t="str">
        <f t="shared" si="1483"/>
        <v/>
      </c>
      <c r="H4281" s="225"/>
      <c r="I4281" s="1013"/>
      <c r="J4281" s="1013"/>
      <c r="K4281" s="1028"/>
      <c r="L4281" s="1035" t="str">
        <f t="shared" si="1487"/>
        <v/>
      </c>
      <c r="S4281" s="498"/>
      <c r="AJ4281" s="498"/>
      <c r="AM4281" s="498">
        <f t="shared" si="1468"/>
        <v>0</v>
      </c>
      <c r="AN4281" s="498">
        <f t="shared" si="1469"/>
        <v>0</v>
      </c>
      <c r="AO4281" s="498">
        <f t="shared" si="1470"/>
        <v>0</v>
      </c>
      <c r="AP4281" s="498">
        <f t="shared" si="1489"/>
        <v>0</v>
      </c>
      <c r="AQ4281" s="498">
        <f t="shared" si="1484"/>
        <v>0</v>
      </c>
      <c r="AU4281" s="498">
        <f t="shared" si="1471"/>
        <v>0</v>
      </c>
      <c r="AV4281" s="498">
        <f t="shared" si="1472"/>
        <v>0</v>
      </c>
      <c r="AW4281" s="498">
        <f t="shared" si="1473"/>
        <v>0</v>
      </c>
      <c r="AX4281" s="498">
        <f t="shared" si="1474"/>
        <v>0</v>
      </c>
      <c r="AY4281" s="498">
        <f t="shared" si="1475"/>
        <v>0</v>
      </c>
      <c r="BB4281" s="498" t="str">
        <f t="shared" si="1476"/>
        <v/>
      </c>
      <c r="BC4281" s="743" t="str">
        <f t="shared" si="1477"/>
        <v/>
      </c>
      <c r="BD4281" s="743" t="str">
        <f t="shared" si="1478"/>
        <v/>
      </c>
      <c r="BE4281" s="743" t="str">
        <f>IF(D4281="","",VLOOKUP(D4281,'General Basis'!$J$39:$K$46,2,0))</f>
        <v/>
      </c>
      <c r="BF4281" s="744" t="str">
        <f>IF(D4281="","",VLOOKUP(D4281,'General Basis'!$J$39:$L$46,3,0))</f>
        <v/>
      </c>
      <c r="BG4281" s="744" t="str">
        <f t="shared" si="1485"/>
        <v/>
      </c>
      <c r="BH4281" s="744" t="str">
        <f>IF(G4281="","",IF(BF4281="Abu Dhabi",IF(G4281&lt;18,'General Basis'!$C$39,IF(G4281&lt;41,'General Basis'!$C$40,IF(G4281&lt;60,'General Basis'!$C$41,IF(G4281&lt;65,'General Basis'!$C$42,'General Basis'!$C$43)))),IF(G4281&lt;11,'General Basis'!$B$39,IF(G4281&lt;18,'General Basis'!$B$40,IF(G4281&lt;26,'General Basis'!$B$41,IF(G4281&lt;31,'General Basis'!$B$42,IF(G4281&lt;36,'General Basis'!$B$43,IF(G4281&lt;41,'General Basis'!$B$44,IF(G4281&lt;46,'General Basis'!$B$45,IF(G4281&lt;51,'General Basis'!$B$46,IF(G4281&lt;56,'General Basis'!$B$47,IF(G4281&lt;60,'General Basis'!$B$48,IF(G4281&lt;65,'General Basis'!$B$49,'General Basis'!$B$50)))))))))))))</f>
        <v/>
      </c>
      <c r="BI4281" s="744" t="str">
        <f t="shared" si="1479"/>
        <v/>
      </c>
      <c r="BJ4281" s="747" t="str">
        <f t="shared" si="1486"/>
        <v/>
      </c>
      <c r="BK4281" s="498" t="str">
        <f t="shared" si="1480"/>
        <v/>
      </c>
      <c r="BL4281" s="498" t="str">
        <f t="shared" si="1481"/>
        <v/>
      </c>
    </row>
    <row r="4282" spans="1:64" x14ac:dyDescent="0.25">
      <c r="A4282" s="762">
        <f t="shared" si="1482"/>
        <v>4277</v>
      </c>
      <c r="B4282" s="229"/>
      <c r="C4282" s="223"/>
      <c r="D4282" s="224"/>
      <c r="E4282" s="225"/>
      <c r="F4282" s="1036" t="str">
        <f t="shared" si="1488"/>
        <v/>
      </c>
      <c r="G4282" s="1037" t="str">
        <f t="shared" si="1483"/>
        <v/>
      </c>
      <c r="H4282" s="225"/>
      <c r="I4282" s="1013"/>
      <c r="J4282" s="1013"/>
      <c r="K4282" s="1028"/>
      <c r="L4282" s="1035" t="str">
        <f t="shared" si="1487"/>
        <v/>
      </c>
      <c r="S4282" s="498"/>
      <c r="AJ4282" s="498"/>
      <c r="AM4282" s="498">
        <f t="shared" si="1468"/>
        <v>0</v>
      </c>
      <c r="AN4282" s="498">
        <f t="shared" si="1469"/>
        <v>0</v>
      </c>
      <c r="AO4282" s="498">
        <f t="shared" si="1470"/>
        <v>0</v>
      </c>
      <c r="AP4282" s="498">
        <f t="shared" si="1489"/>
        <v>0</v>
      </c>
      <c r="AQ4282" s="498">
        <f t="shared" si="1484"/>
        <v>0</v>
      </c>
      <c r="AU4282" s="498">
        <f t="shared" si="1471"/>
        <v>0</v>
      </c>
      <c r="AV4282" s="498">
        <f t="shared" si="1472"/>
        <v>0</v>
      </c>
      <c r="AW4282" s="498">
        <f t="shared" si="1473"/>
        <v>0</v>
      </c>
      <c r="AX4282" s="498">
        <f t="shared" si="1474"/>
        <v>0</v>
      </c>
      <c r="AY4282" s="498">
        <f t="shared" si="1475"/>
        <v>0</v>
      </c>
      <c r="BB4282" s="498" t="str">
        <f t="shared" si="1476"/>
        <v/>
      </c>
      <c r="BC4282" s="743" t="str">
        <f t="shared" si="1477"/>
        <v/>
      </c>
      <c r="BD4282" s="743" t="str">
        <f t="shared" si="1478"/>
        <v/>
      </c>
      <c r="BE4282" s="743" t="str">
        <f>IF(D4282="","",VLOOKUP(D4282,'General Basis'!$J$39:$K$46,2,0))</f>
        <v/>
      </c>
      <c r="BF4282" s="744" t="str">
        <f>IF(D4282="","",VLOOKUP(D4282,'General Basis'!$J$39:$L$46,3,0))</f>
        <v/>
      </c>
      <c r="BG4282" s="744" t="str">
        <f t="shared" si="1485"/>
        <v/>
      </c>
      <c r="BH4282" s="744" t="str">
        <f>IF(G4282="","",IF(BF4282="Abu Dhabi",IF(G4282&lt;18,'General Basis'!$C$39,IF(G4282&lt;41,'General Basis'!$C$40,IF(G4282&lt;60,'General Basis'!$C$41,IF(G4282&lt;65,'General Basis'!$C$42,'General Basis'!$C$43)))),IF(G4282&lt;11,'General Basis'!$B$39,IF(G4282&lt;18,'General Basis'!$B$40,IF(G4282&lt;26,'General Basis'!$B$41,IF(G4282&lt;31,'General Basis'!$B$42,IF(G4282&lt;36,'General Basis'!$B$43,IF(G4282&lt;41,'General Basis'!$B$44,IF(G4282&lt;46,'General Basis'!$B$45,IF(G4282&lt;51,'General Basis'!$B$46,IF(G4282&lt;56,'General Basis'!$B$47,IF(G4282&lt;60,'General Basis'!$B$48,IF(G4282&lt;65,'General Basis'!$B$49,'General Basis'!$B$50)))))))))))))</f>
        <v/>
      </c>
      <c r="BI4282" s="744" t="str">
        <f t="shared" si="1479"/>
        <v/>
      </c>
      <c r="BJ4282" s="747" t="str">
        <f t="shared" si="1486"/>
        <v/>
      </c>
      <c r="BK4282" s="498" t="str">
        <f t="shared" si="1480"/>
        <v/>
      </c>
      <c r="BL4282" s="498" t="str">
        <f t="shared" si="1481"/>
        <v/>
      </c>
    </row>
    <row r="4283" spans="1:64" x14ac:dyDescent="0.25">
      <c r="A4283" s="762">
        <f t="shared" si="1482"/>
        <v>4278</v>
      </c>
      <c r="B4283" s="229"/>
      <c r="C4283" s="223"/>
      <c r="D4283" s="224"/>
      <c r="E4283" s="225"/>
      <c r="F4283" s="1036" t="str">
        <f t="shared" si="1488"/>
        <v/>
      </c>
      <c r="G4283" s="1037" t="str">
        <f t="shared" si="1483"/>
        <v/>
      </c>
      <c r="H4283" s="225"/>
      <c r="I4283" s="1013"/>
      <c r="J4283" s="1013"/>
      <c r="K4283" s="1028"/>
      <c r="L4283" s="1035" t="str">
        <f t="shared" si="1487"/>
        <v/>
      </c>
      <c r="S4283" s="498"/>
      <c r="AJ4283" s="498"/>
      <c r="AM4283" s="498">
        <f t="shared" si="1468"/>
        <v>0</v>
      </c>
      <c r="AN4283" s="498">
        <f t="shared" si="1469"/>
        <v>0</v>
      </c>
      <c r="AO4283" s="498">
        <f t="shared" si="1470"/>
        <v>0</v>
      </c>
      <c r="AP4283" s="498">
        <f t="shared" si="1489"/>
        <v>0</v>
      </c>
      <c r="AQ4283" s="498">
        <f t="shared" si="1484"/>
        <v>0</v>
      </c>
      <c r="AU4283" s="498">
        <f t="shared" si="1471"/>
        <v>0</v>
      </c>
      <c r="AV4283" s="498">
        <f t="shared" si="1472"/>
        <v>0</v>
      </c>
      <c r="AW4283" s="498">
        <f t="shared" si="1473"/>
        <v>0</v>
      </c>
      <c r="AX4283" s="498">
        <f t="shared" si="1474"/>
        <v>0</v>
      </c>
      <c r="AY4283" s="498">
        <f t="shared" si="1475"/>
        <v>0</v>
      </c>
      <c r="BB4283" s="498" t="str">
        <f t="shared" si="1476"/>
        <v/>
      </c>
      <c r="BC4283" s="743" t="str">
        <f t="shared" si="1477"/>
        <v/>
      </c>
      <c r="BD4283" s="743" t="str">
        <f t="shared" si="1478"/>
        <v/>
      </c>
      <c r="BE4283" s="743" t="str">
        <f>IF(D4283="","",VLOOKUP(D4283,'General Basis'!$J$39:$K$46,2,0))</f>
        <v/>
      </c>
      <c r="BF4283" s="744" t="str">
        <f>IF(D4283="","",VLOOKUP(D4283,'General Basis'!$J$39:$L$46,3,0))</f>
        <v/>
      </c>
      <c r="BG4283" s="744" t="str">
        <f t="shared" si="1485"/>
        <v/>
      </c>
      <c r="BH4283" s="744" t="str">
        <f>IF(G4283="","",IF(BF4283="Abu Dhabi",IF(G4283&lt;18,'General Basis'!$C$39,IF(G4283&lt;41,'General Basis'!$C$40,IF(G4283&lt;60,'General Basis'!$C$41,IF(G4283&lt;65,'General Basis'!$C$42,'General Basis'!$C$43)))),IF(G4283&lt;11,'General Basis'!$B$39,IF(G4283&lt;18,'General Basis'!$B$40,IF(G4283&lt;26,'General Basis'!$B$41,IF(G4283&lt;31,'General Basis'!$B$42,IF(G4283&lt;36,'General Basis'!$B$43,IF(G4283&lt;41,'General Basis'!$B$44,IF(G4283&lt;46,'General Basis'!$B$45,IF(G4283&lt;51,'General Basis'!$B$46,IF(G4283&lt;56,'General Basis'!$B$47,IF(G4283&lt;60,'General Basis'!$B$48,IF(G4283&lt;65,'General Basis'!$B$49,'General Basis'!$B$50)))))))))))))</f>
        <v/>
      </c>
      <c r="BI4283" s="744" t="str">
        <f t="shared" si="1479"/>
        <v/>
      </c>
      <c r="BJ4283" s="747" t="str">
        <f t="shared" si="1486"/>
        <v/>
      </c>
      <c r="BK4283" s="498" t="str">
        <f t="shared" si="1480"/>
        <v/>
      </c>
      <c r="BL4283" s="498" t="str">
        <f t="shared" si="1481"/>
        <v/>
      </c>
    </row>
    <row r="4284" spans="1:64" x14ac:dyDescent="0.25">
      <c r="A4284" s="762">
        <f t="shared" si="1482"/>
        <v>4279</v>
      </c>
      <c r="B4284" s="229"/>
      <c r="C4284" s="223"/>
      <c r="D4284" s="224"/>
      <c r="E4284" s="225"/>
      <c r="F4284" s="1036" t="str">
        <f t="shared" si="1488"/>
        <v/>
      </c>
      <c r="G4284" s="1037" t="str">
        <f t="shared" si="1483"/>
        <v/>
      </c>
      <c r="H4284" s="225"/>
      <c r="I4284" s="1013"/>
      <c r="J4284" s="1013"/>
      <c r="K4284" s="1028"/>
      <c r="L4284" s="1035" t="str">
        <f t="shared" si="1487"/>
        <v/>
      </c>
      <c r="S4284" s="498"/>
      <c r="AJ4284" s="498"/>
      <c r="AM4284" s="498">
        <f t="shared" si="1468"/>
        <v>0</v>
      </c>
      <c r="AN4284" s="498">
        <f t="shared" si="1469"/>
        <v>0</v>
      </c>
      <c r="AO4284" s="498">
        <f t="shared" si="1470"/>
        <v>0</v>
      </c>
      <c r="AP4284" s="498">
        <f t="shared" si="1489"/>
        <v>0</v>
      </c>
      <c r="AQ4284" s="498">
        <f t="shared" si="1484"/>
        <v>0</v>
      </c>
      <c r="AU4284" s="498">
        <f t="shared" si="1471"/>
        <v>0</v>
      </c>
      <c r="AV4284" s="498">
        <f t="shared" si="1472"/>
        <v>0</v>
      </c>
      <c r="AW4284" s="498">
        <f t="shared" si="1473"/>
        <v>0</v>
      </c>
      <c r="AX4284" s="498">
        <f t="shared" si="1474"/>
        <v>0</v>
      </c>
      <c r="AY4284" s="498">
        <f t="shared" si="1475"/>
        <v>0</v>
      </c>
      <c r="BB4284" s="498" t="str">
        <f t="shared" si="1476"/>
        <v/>
      </c>
      <c r="BC4284" s="743" t="str">
        <f t="shared" si="1477"/>
        <v/>
      </c>
      <c r="BD4284" s="743" t="str">
        <f t="shared" si="1478"/>
        <v/>
      </c>
      <c r="BE4284" s="743" t="str">
        <f>IF(D4284="","",VLOOKUP(D4284,'General Basis'!$J$39:$K$46,2,0))</f>
        <v/>
      </c>
      <c r="BF4284" s="744" t="str">
        <f>IF(D4284="","",VLOOKUP(D4284,'General Basis'!$J$39:$L$46,3,0))</f>
        <v/>
      </c>
      <c r="BG4284" s="744" t="str">
        <f t="shared" si="1485"/>
        <v/>
      </c>
      <c r="BH4284" s="744" t="str">
        <f>IF(G4284="","",IF(BF4284="Abu Dhabi",IF(G4284&lt;18,'General Basis'!$C$39,IF(G4284&lt;41,'General Basis'!$C$40,IF(G4284&lt;60,'General Basis'!$C$41,IF(G4284&lt;65,'General Basis'!$C$42,'General Basis'!$C$43)))),IF(G4284&lt;11,'General Basis'!$B$39,IF(G4284&lt;18,'General Basis'!$B$40,IF(G4284&lt;26,'General Basis'!$B$41,IF(G4284&lt;31,'General Basis'!$B$42,IF(G4284&lt;36,'General Basis'!$B$43,IF(G4284&lt;41,'General Basis'!$B$44,IF(G4284&lt;46,'General Basis'!$B$45,IF(G4284&lt;51,'General Basis'!$B$46,IF(G4284&lt;56,'General Basis'!$B$47,IF(G4284&lt;60,'General Basis'!$B$48,IF(G4284&lt;65,'General Basis'!$B$49,'General Basis'!$B$50)))))))))))))</f>
        <v/>
      </c>
      <c r="BI4284" s="744" t="str">
        <f t="shared" si="1479"/>
        <v/>
      </c>
      <c r="BJ4284" s="747" t="str">
        <f t="shared" si="1486"/>
        <v/>
      </c>
      <c r="BK4284" s="498" t="str">
        <f t="shared" si="1480"/>
        <v/>
      </c>
      <c r="BL4284" s="498" t="str">
        <f t="shared" si="1481"/>
        <v/>
      </c>
    </row>
    <row r="4285" spans="1:64" x14ac:dyDescent="0.25">
      <c r="A4285" s="762">
        <f t="shared" si="1482"/>
        <v>4280</v>
      </c>
      <c r="B4285" s="229"/>
      <c r="C4285" s="223"/>
      <c r="D4285" s="224"/>
      <c r="E4285" s="225"/>
      <c r="F4285" s="1036" t="str">
        <f t="shared" si="1488"/>
        <v/>
      </c>
      <c r="G4285" s="1037" t="str">
        <f t="shared" si="1483"/>
        <v/>
      </c>
      <c r="H4285" s="225"/>
      <c r="I4285" s="1013"/>
      <c r="J4285" s="1013"/>
      <c r="K4285" s="1028"/>
      <c r="L4285" s="1035" t="str">
        <f t="shared" si="1487"/>
        <v/>
      </c>
      <c r="S4285" s="498"/>
      <c r="AJ4285" s="498"/>
      <c r="AM4285" s="498">
        <f t="shared" si="1468"/>
        <v>0</v>
      </c>
      <c r="AN4285" s="498">
        <f t="shared" si="1469"/>
        <v>0</v>
      </c>
      <c r="AO4285" s="498">
        <f t="shared" si="1470"/>
        <v>0</v>
      </c>
      <c r="AP4285" s="498">
        <f t="shared" si="1489"/>
        <v>0</v>
      </c>
      <c r="AQ4285" s="498">
        <f t="shared" si="1484"/>
        <v>0</v>
      </c>
      <c r="AU4285" s="498">
        <f t="shared" si="1471"/>
        <v>0</v>
      </c>
      <c r="AV4285" s="498">
        <f t="shared" si="1472"/>
        <v>0</v>
      </c>
      <c r="AW4285" s="498">
        <f t="shared" si="1473"/>
        <v>0</v>
      </c>
      <c r="AX4285" s="498">
        <f t="shared" si="1474"/>
        <v>0</v>
      </c>
      <c r="AY4285" s="498">
        <f t="shared" si="1475"/>
        <v>0</v>
      </c>
      <c r="BB4285" s="498" t="str">
        <f t="shared" si="1476"/>
        <v/>
      </c>
      <c r="BC4285" s="743" t="str">
        <f t="shared" si="1477"/>
        <v/>
      </c>
      <c r="BD4285" s="743" t="str">
        <f t="shared" si="1478"/>
        <v/>
      </c>
      <c r="BE4285" s="743" t="str">
        <f>IF(D4285="","",VLOOKUP(D4285,'General Basis'!$J$39:$K$46,2,0))</f>
        <v/>
      </c>
      <c r="BF4285" s="744" t="str">
        <f>IF(D4285="","",VLOOKUP(D4285,'General Basis'!$J$39:$L$46,3,0))</f>
        <v/>
      </c>
      <c r="BG4285" s="744" t="str">
        <f t="shared" si="1485"/>
        <v/>
      </c>
      <c r="BH4285" s="744" t="str">
        <f>IF(G4285="","",IF(BF4285="Abu Dhabi",IF(G4285&lt;18,'General Basis'!$C$39,IF(G4285&lt;41,'General Basis'!$C$40,IF(G4285&lt;60,'General Basis'!$C$41,IF(G4285&lt;65,'General Basis'!$C$42,'General Basis'!$C$43)))),IF(G4285&lt;11,'General Basis'!$B$39,IF(G4285&lt;18,'General Basis'!$B$40,IF(G4285&lt;26,'General Basis'!$B$41,IF(G4285&lt;31,'General Basis'!$B$42,IF(G4285&lt;36,'General Basis'!$B$43,IF(G4285&lt;41,'General Basis'!$B$44,IF(G4285&lt;46,'General Basis'!$B$45,IF(G4285&lt;51,'General Basis'!$B$46,IF(G4285&lt;56,'General Basis'!$B$47,IF(G4285&lt;60,'General Basis'!$B$48,IF(G4285&lt;65,'General Basis'!$B$49,'General Basis'!$B$50)))))))))))))</f>
        <v/>
      </c>
      <c r="BI4285" s="744" t="str">
        <f t="shared" si="1479"/>
        <v/>
      </c>
      <c r="BJ4285" s="747" t="str">
        <f t="shared" si="1486"/>
        <v/>
      </c>
      <c r="BK4285" s="498" t="str">
        <f t="shared" si="1480"/>
        <v/>
      </c>
      <c r="BL4285" s="498" t="str">
        <f t="shared" si="1481"/>
        <v/>
      </c>
    </row>
    <row r="4286" spans="1:64" x14ac:dyDescent="0.25">
      <c r="A4286" s="762">
        <f t="shared" si="1482"/>
        <v>4281</v>
      </c>
      <c r="B4286" s="229"/>
      <c r="C4286" s="223"/>
      <c r="D4286" s="224"/>
      <c r="E4286" s="225"/>
      <c r="F4286" s="1036" t="str">
        <f t="shared" si="1488"/>
        <v/>
      </c>
      <c r="G4286" s="1037" t="str">
        <f t="shared" si="1483"/>
        <v/>
      </c>
      <c r="H4286" s="225"/>
      <c r="I4286" s="1013"/>
      <c r="J4286" s="1013"/>
      <c r="K4286" s="1028"/>
      <c r="L4286" s="1035" t="str">
        <f t="shared" si="1487"/>
        <v/>
      </c>
      <c r="S4286" s="498"/>
      <c r="AJ4286" s="498"/>
      <c r="AM4286" s="498">
        <f t="shared" si="1468"/>
        <v>0</v>
      </c>
      <c r="AN4286" s="498">
        <f t="shared" si="1469"/>
        <v>0</v>
      </c>
      <c r="AO4286" s="498">
        <f t="shared" si="1470"/>
        <v>0</v>
      </c>
      <c r="AP4286" s="498">
        <f t="shared" si="1489"/>
        <v>0</v>
      </c>
      <c r="AQ4286" s="498">
        <f t="shared" si="1484"/>
        <v>0</v>
      </c>
      <c r="AU4286" s="498">
        <f t="shared" si="1471"/>
        <v>0</v>
      </c>
      <c r="AV4286" s="498">
        <f t="shared" si="1472"/>
        <v>0</v>
      </c>
      <c r="AW4286" s="498">
        <f t="shared" si="1473"/>
        <v>0</v>
      </c>
      <c r="AX4286" s="498">
        <f t="shared" si="1474"/>
        <v>0</v>
      </c>
      <c r="AY4286" s="498">
        <f t="shared" si="1475"/>
        <v>0</v>
      </c>
      <c r="BB4286" s="498" t="str">
        <f t="shared" si="1476"/>
        <v/>
      </c>
      <c r="BC4286" s="743" t="str">
        <f t="shared" si="1477"/>
        <v/>
      </c>
      <c r="BD4286" s="743" t="str">
        <f t="shared" si="1478"/>
        <v/>
      </c>
      <c r="BE4286" s="743" t="str">
        <f>IF(D4286="","",VLOOKUP(D4286,'General Basis'!$J$39:$K$46,2,0))</f>
        <v/>
      </c>
      <c r="BF4286" s="744" t="str">
        <f>IF(D4286="","",VLOOKUP(D4286,'General Basis'!$J$39:$L$46,3,0))</f>
        <v/>
      </c>
      <c r="BG4286" s="744" t="str">
        <f t="shared" si="1485"/>
        <v/>
      </c>
      <c r="BH4286" s="744" t="str">
        <f>IF(G4286="","",IF(BF4286="Abu Dhabi",IF(G4286&lt;18,'General Basis'!$C$39,IF(G4286&lt;41,'General Basis'!$C$40,IF(G4286&lt;60,'General Basis'!$C$41,IF(G4286&lt;65,'General Basis'!$C$42,'General Basis'!$C$43)))),IF(G4286&lt;11,'General Basis'!$B$39,IF(G4286&lt;18,'General Basis'!$B$40,IF(G4286&lt;26,'General Basis'!$B$41,IF(G4286&lt;31,'General Basis'!$B$42,IF(G4286&lt;36,'General Basis'!$B$43,IF(G4286&lt;41,'General Basis'!$B$44,IF(G4286&lt;46,'General Basis'!$B$45,IF(G4286&lt;51,'General Basis'!$B$46,IF(G4286&lt;56,'General Basis'!$B$47,IF(G4286&lt;60,'General Basis'!$B$48,IF(G4286&lt;65,'General Basis'!$B$49,'General Basis'!$B$50)))))))))))))</f>
        <v/>
      </c>
      <c r="BI4286" s="744" t="str">
        <f t="shared" si="1479"/>
        <v/>
      </c>
      <c r="BJ4286" s="747" t="str">
        <f t="shared" si="1486"/>
        <v/>
      </c>
      <c r="BK4286" s="498" t="str">
        <f t="shared" si="1480"/>
        <v/>
      </c>
      <c r="BL4286" s="498" t="str">
        <f t="shared" si="1481"/>
        <v/>
      </c>
    </row>
    <row r="4287" spans="1:64" x14ac:dyDescent="0.25">
      <c r="A4287" s="762">
        <f t="shared" si="1482"/>
        <v>4282</v>
      </c>
      <c r="B4287" s="229"/>
      <c r="C4287" s="223"/>
      <c r="D4287" s="224"/>
      <c r="E4287" s="225"/>
      <c r="F4287" s="1036" t="str">
        <f t="shared" si="1488"/>
        <v/>
      </c>
      <c r="G4287" s="1037" t="str">
        <f t="shared" si="1483"/>
        <v/>
      </c>
      <c r="H4287" s="225"/>
      <c r="I4287" s="1013"/>
      <c r="J4287" s="1013"/>
      <c r="K4287" s="1028"/>
      <c r="L4287" s="1035" t="str">
        <f t="shared" si="1487"/>
        <v/>
      </c>
      <c r="S4287" s="498"/>
      <c r="AJ4287" s="498"/>
      <c r="AM4287" s="498">
        <f t="shared" si="1468"/>
        <v>0</v>
      </c>
      <c r="AN4287" s="498">
        <f t="shared" si="1469"/>
        <v>0</v>
      </c>
      <c r="AO4287" s="498">
        <f t="shared" si="1470"/>
        <v>0</v>
      </c>
      <c r="AP4287" s="498">
        <f t="shared" si="1489"/>
        <v>0</v>
      </c>
      <c r="AQ4287" s="498">
        <f t="shared" si="1484"/>
        <v>0</v>
      </c>
      <c r="AU4287" s="498">
        <f t="shared" si="1471"/>
        <v>0</v>
      </c>
      <c r="AV4287" s="498">
        <f t="shared" si="1472"/>
        <v>0</v>
      </c>
      <c r="AW4287" s="498">
        <f t="shared" si="1473"/>
        <v>0</v>
      </c>
      <c r="AX4287" s="498">
        <f t="shared" si="1474"/>
        <v>0</v>
      </c>
      <c r="AY4287" s="498">
        <f t="shared" si="1475"/>
        <v>0</v>
      </c>
      <c r="BB4287" s="498" t="str">
        <f t="shared" si="1476"/>
        <v/>
      </c>
      <c r="BC4287" s="743" t="str">
        <f t="shared" si="1477"/>
        <v/>
      </c>
      <c r="BD4287" s="743" t="str">
        <f t="shared" si="1478"/>
        <v/>
      </c>
      <c r="BE4287" s="743" t="str">
        <f>IF(D4287="","",VLOOKUP(D4287,'General Basis'!$J$39:$K$46,2,0))</f>
        <v/>
      </c>
      <c r="BF4287" s="744" t="str">
        <f>IF(D4287="","",VLOOKUP(D4287,'General Basis'!$J$39:$L$46,3,0))</f>
        <v/>
      </c>
      <c r="BG4287" s="744" t="str">
        <f t="shared" si="1485"/>
        <v/>
      </c>
      <c r="BH4287" s="744" t="str">
        <f>IF(G4287="","",IF(BF4287="Abu Dhabi",IF(G4287&lt;18,'General Basis'!$C$39,IF(G4287&lt;41,'General Basis'!$C$40,IF(G4287&lt;60,'General Basis'!$C$41,IF(G4287&lt;65,'General Basis'!$C$42,'General Basis'!$C$43)))),IF(G4287&lt;11,'General Basis'!$B$39,IF(G4287&lt;18,'General Basis'!$B$40,IF(G4287&lt;26,'General Basis'!$B$41,IF(G4287&lt;31,'General Basis'!$B$42,IF(G4287&lt;36,'General Basis'!$B$43,IF(G4287&lt;41,'General Basis'!$B$44,IF(G4287&lt;46,'General Basis'!$B$45,IF(G4287&lt;51,'General Basis'!$B$46,IF(G4287&lt;56,'General Basis'!$B$47,IF(G4287&lt;60,'General Basis'!$B$48,IF(G4287&lt;65,'General Basis'!$B$49,'General Basis'!$B$50)))))))))))))</f>
        <v/>
      </c>
      <c r="BI4287" s="744" t="str">
        <f t="shared" si="1479"/>
        <v/>
      </c>
      <c r="BJ4287" s="747" t="str">
        <f t="shared" si="1486"/>
        <v/>
      </c>
      <c r="BK4287" s="498" t="str">
        <f t="shared" si="1480"/>
        <v/>
      </c>
      <c r="BL4287" s="498" t="str">
        <f t="shared" si="1481"/>
        <v/>
      </c>
    </row>
    <row r="4288" spans="1:64" x14ac:dyDescent="0.25">
      <c r="A4288" s="762">
        <f t="shared" si="1482"/>
        <v>4283</v>
      </c>
      <c r="B4288" s="229"/>
      <c r="C4288" s="223"/>
      <c r="D4288" s="224"/>
      <c r="E4288" s="225"/>
      <c r="F4288" s="1036" t="str">
        <f t="shared" si="1488"/>
        <v/>
      </c>
      <c r="G4288" s="1037" t="str">
        <f t="shared" si="1483"/>
        <v/>
      </c>
      <c r="H4288" s="225"/>
      <c r="I4288" s="1013"/>
      <c r="J4288" s="1013"/>
      <c r="K4288" s="1028"/>
      <c r="L4288" s="1035" t="str">
        <f t="shared" si="1487"/>
        <v/>
      </c>
      <c r="S4288" s="498"/>
      <c r="AJ4288" s="498"/>
      <c r="AM4288" s="498">
        <f t="shared" si="1468"/>
        <v>0</v>
      </c>
      <c r="AN4288" s="498">
        <f t="shared" si="1469"/>
        <v>0</v>
      </c>
      <c r="AO4288" s="498">
        <f t="shared" si="1470"/>
        <v>0</v>
      </c>
      <c r="AP4288" s="498">
        <f t="shared" si="1489"/>
        <v>0</v>
      </c>
      <c r="AQ4288" s="498">
        <f t="shared" si="1484"/>
        <v>0</v>
      </c>
      <c r="AU4288" s="498">
        <f t="shared" si="1471"/>
        <v>0</v>
      </c>
      <c r="AV4288" s="498">
        <f t="shared" si="1472"/>
        <v>0</v>
      </c>
      <c r="AW4288" s="498">
        <f t="shared" si="1473"/>
        <v>0</v>
      </c>
      <c r="AX4288" s="498">
        <f t="shared" si="1474"/>
        <v>0</v>
      </c>
      <c r="AY4288" s="498">
        <f t="shared" si="1475"/>
        <v>0</v>
      </c>
      <c r="BB4288" s="498" t="str">
        <f t="shared" si="1476"/>
        <v/>
      </c>
      <c r="BC4288" s="743" t="str">
        <f t="shared" si="1477"/>
        <v/>
      </c>
      <c r="BD4288" s="743" t="str">
        <f t="shared" si="1478"/>
        <v/>
      </c>
      <c r="BE4288" s="743" t="str">
        <f>IF(D4288="","",VLOOKUP(D4288,'General Basis'!$J$39:$K$46,2,0))</f>
        <v/>
      </c>
      <c r="BF4288" s="744" t="str">
        <f>IF(D4288="","",VLOOKUP(D4288,'General Basis'!$J$39:$L$46,3,0))</f>
        <v/>
      </c>
      <c r="BG4288" s="744" t="str">
        <f t="shared" si="1485"/>
        <v/>
      </c>
      <c r="BH4288" s="744" t="str">
        <f>IF(G4288="","",IF(BF4288="Abu Dhabi",IF(G4288&lt;18,'General Basis'!$C$39,IF(G4288&lt;41,'General Basis'!$C$40,IF(G4288&lt;60,'General Basis'!$C$41,IF(G4288&lt;65,'General Basis'!$C$42,'General Basis'!$C$43)))),IF(G4288&lt;11,'General Basis'!$B$39,IF(G4288&lt;18,'General Basis'!$B$40,IF(G4288&lt;26,'General Basis'!$B$41,IF(G4288&lt;31,'General Basis'!$B$42,IF(G4288&lt;36,'General Basis'!$B$43,IF(G4288&lt;41,'General Basis'!$B$44,IF(G4288&lt;46,'General Basis'!$B$45,IF(G4288&lt;51,'General Basis'!$B$46,IF(G4288&lt;56,'General Basis'!$B$47,IF(G4288&lt;60,'General Basis'!$B$48,IF(G4288&lt;65,'General Basis'!$B$49,'General Basis'!$B$50)))))))))))))</f>
        <v/>
      </c>
      <c r="BI4288" s="744" t="str">
        <f t="shared" si="1479"/>
        <v/>
      </c>
      <c r="BJ4288" s="747" t="str">
        <f t="shared" si="1486"/>
        <v/>
      </c>
      <c r="BK4288" s="498" t="str">
        <f t="shared" si="1480"/>
        <v/>
      </c>
      <c r="BL4288" s="498" t="str">
        <f t="shared" si="1481"/>
        <v/>
      </c>
    </row>
    <row r="4289" spans="1:64" x14ac:dyDescent="0.25">
      <c r="A4289" s="762">
        <f t="shared" si="1482"/>
        <v>4284</v>
      </c>
      <c r="B4289" s="229"/>
      <c r="C4289" s="223"/>
      <c r="D4289" s="224"/>
      <c r="E4289" s="225"/>
      <c r="F4289" s="1036" t="str">
        <f t="shared" si="1488"/>
        <v/>
      </c>
      <c r="G4289" s="1037" t="str">
        <f t="shared" si="1483"/>
        <v/>
      </c>
      <c r="H4289" s="225"/>
      <c r="I4289" s="1013"/>
      <c r="J4289" s="1013"/>
      <c r="K4289" s="1028"/>
      <c r="L4289" s="1035" t="str">
        <f t="shared" si="1487"/>
        <v/>
      </c>
      <c r="S4289" s="498"/>
      <c r="AJ4289" s="498"/>
      <c r="AM4289" s="498">
        <f t="shared" si="1468"/>
        <v>0</v>
      </c>
      <c r="AN4289" s="498">
        <f t="shared" si="1469"/>
        <v>0</v>
      </c>
      <c r="AO4289" s="498">
        <f t="shared" si="1470"/>
        <v>0</v>
      </c>
      <c r="AP4289" s="498">
        <f t="shared" si="1489"/>
        <v>0</v>
      </c>
      <c r="AQ4289" s="498">
        <f t="shared" si="1484"/>
        <v>0</v>
      </c>
      <c r="AU4289" s="498">
        <f t="shared" si="1471"/>
        <v>0</v>
      </c>
      <c r="AV4289" s="498">
        <f t="shared" si="1472"/>
        <v>0</v>
      </c>
      <c r="AW4289" s="498">
        <f t="shared" si="1473"/>
        <v>0</v>
      </c>
      <c r="AX4289" s="498">
        <f t="shared" si="1474"/>
        <v>0</v>
      </c>
      <c r="AY4289" s="498">
        <f t="shared" si="1475"/>
        <v>0</v>
      </c>
      <c r="BB4289" s="498" t="str">
        <f t="shared" si="1476"/>
        <v/>
      </c>
      <c r="BC4289" s="743" t="str">
        <f t="shared" si="1477"/>
        <v/>
      </c>
      <c r="BD4289" s="743" t="str">
        <f t="shared" si="1478"/>
        <v/>
      </c>
      <c r="BE4289" s="743" t="str">
        <f>IF(D4289="","",VLOOKUP(D4289,'General Basis'!$J$39:$K$46,2,0))</f>
        <v/>
      </c>
      <c r="BF4289" s="744" t="str">
        <f>IF(D4289="","",VLOOKUP(D4289,'General Basis'!$J$39:$L$46,3,0))</f>
        <v/>
      </c>
      <c r="BG4289" s="744" t="str">
        <f t="shared" si="1485"/>
        <v/>
      </c>
      <c r="BH4289" s="744" t="str">
        <f>IF(G4289="","",IF(BF4289="Abu Dhabi",IF(G4289&lt;18,'General Basis'!$C$39,IF(G4289&lt;41,'General Basis'!$C$40,IF(G4289&lt;60,'General Basis'!$C$41,IF(G4289&lt;65,'General Basis'!$C$42,'General Basis'!$C$43)))),IF(G4289&lt;11,'General Basis'!$B$39,IF(G4289&lt;18,'General Basis'!$B$40,IF(G4289&lt;26,'General Basis'!$B$41,IF(G4289&lt;31,'General Basis'!$B$42,IF(G4289&lt;36,'General Basis'!$B$43,IF(G4289&lt;41,'General Basis'!$B$44,IF(G4289&lt;46,'General Basis'!$B$45,IF(G4289&lt;51,'General Basis'!$B$46,IF(G4289&lt;56,'General Basis'!$B$47,IF(G4289&lt;60,'General Basis'!$B$48,IF(G4289&lt;65,'General Basis'!$B$49,'General Basis'!$B$50)))))))))))))</f>
        <v/>
      </c>
      <c r="BI4289" s="744" t="str">
        <f t="shared" si="1479"/>
        <v/>
      </c>
      <c r="BJ4289" s="747" t="str">
        <f t="shared" si="1486"/>
        <v/>
      </c>
      <c r="BK4289" s="498" t="str">
        <f t="shared" si="1480"/>
        <v/>
      </c>
      <c r="BL4289" s="498" t="str">
        <f t="shared" si="1481"/>
        <v/>
      </c>
    </row>
    <row r="4290" spans="1:64" x14ac:dyDescent="0.25">
      <c r="A4290" s="762">
        <f t="shared" si="1482"/>
        <v>4285</v>
      </c>
      <c r="B4290" s="229"/>
      <c r="C4290" s="223"/>
      <c r="D4290" s="224"/>
      <c r="E4290" s="225"/>
      <c r="F4290" s="1036" t="str">
        <f t="shared" si="1488"/>
        <v/>
      </c>
      <c r="G4290" s="1037" t="str">
        <f t="shared" si="1483"/>
        <v/>
      </c>
      <c r="H4290" s="225"/>
      <c r="I4290" s="1013"/>
      <c r="J4290" s="1013"/>
      <c r="K4290" s="1028"/>
      <c r="L4290" s="1035" t="str">
        <f t="shared" si="1487"/>
        <v/>
      </c>
      <c r="S4290" s="498"/>
      <c r="AJ4290" s="498"/>
      <c r="AM4290" s="498">
        <f t="shared" si="1468"/>
        <v>0</v>
      </c>
      <c r="AN4290" s="498">
        <f t="shared" si="1469"/>
        <v>0</v>
      </c>
      <c r="AO4290" s="498">
        <f t="shared" si="1470"/>
        <v>0</v>
      </c>
      <c r="AP4290" s="498">
        <f t="shared" si="1489"/>
        <v>0</v>
      </c>
      <c r="AQ4290" s="498">
        <f t="shared" si="1484"/>
        <v>0</v>
      </c>
      <c r="AU4290" s="498">
        <f t="shared" si="1471"/>
        <v>0</v>
      </c>
      <c r="AV4290" s="498">
        <f t="shared" si="1472"/>
        <v>0</v>
      </c>
      <c r="AW4290" s="498">
        <f t="shared" si="1473"/>
        <v>0</v>
      </c>
      <c r="AX4290" s="498">
        <f t="shared" si="1474"/>
        <v>0</v>
      </c>
      <c r="AY4290" s="498">
        <f t="shared" si="1475"/>
        <v>0</v>
      </c>
      <c r="BB4290" s="498" t="str">
        <f t="shared" si="1476"/>
        <v/>
      </c>
      <c r="BC4290" s="743" t="str">
        <f t="shared" si="1477"/>
        <v/>
      </c>
      <c r="BD4290" s="743" t="str">
        <f t="shared" si="1478"/>
        <v/>
      </c>
      <c r="BE4290" s="743" t="str">
        <f>IF(D4290="","",VLOOKUP(D4290,'General Basis'!$J$39:$K$46,2,0))</f>
        <v/>
      </c>
      <c r="BF4290" s="744" t="str">
        <f>IF(D4290="","",VLOOKUP(D4290,'General Basis'!$J$39:$L$46,3,0))</f>
        <v/>
      </c>
      <c r="BG4290" s="744" t="str">
        <f t="shared" si="1485"/>
        <v/>
      </c>
      <c r="BH4290" s="744" t="str">
        <f>IF(G4290="","",IF(BF4290="Abu Dhabi",IF(G4290&lt;18,'General Basis'!$C$39,IF(G4290&lt;41,'General Basis'!$C$40,IF(G4290&lt;60,'General Basis'!$C$41,IF(G4290&lt;65,'General Basis'!$C$42,'General Basis'!$C$43)))),IF(G4290&lt;11,'General Basis'!$B$39,IF(G4290&lt;18,'General Basis'!$B$40,IF(G4290&lt;26,'General Basis'!$B$41,IF(G4290&lt;31,'General Basis'!$B$42,IF(G4290&lt;36,'General Basis'!$B$43,IF(G4290&lt;41,'General Basis'!$B$44,IF(G4290&lt;46,'General Basis'!$B$45,IF(G4290&lt;51,'General Basis'!$B$46,IF(G4290&lt;56,'General Basis'!$B$47,IF(G4290&lt;60,'General Basis'!$B$48,IF(G4290&lt;65,'General Basis'!$B$49,'General Basis'!$B$50)))))))))))))</f>
        <v/>
      </c>
      <c r="BI4290" s="744" t="str">
        <f t="shared" si="1479"/>
        <v/>
      </c>
      <c r="BJ4290" s="747" t="str">
        <f t="shared" si="1486"/>
        <v/>
      </c>
      <c r="BK4290" s="498" t="str">
        <f t="shared" si="1480"/>
        <v/>
      </c>
      <c r="BL4290" s="498" t="str">
        <f t="shared" si="1481"/>
        <v/>
      </c>
    </row>
    <row r="4291" spans="1:64" x14ac:dyDescent="0.25">
      <c r="A4291" s="762">
        <f t="shared" si="1482"/>
        <v>4286</v>
      </c>
      <c r="B4291" s="229"/>
      <c r="C4291" s="223"/>
      <c r="D4291" s="224"/>
      <c r="E4291" s="225"/>
      <c r="F4291" s="1036" t="str">
        <f t="shared" si="1488"/>
        <v/>
      </c>
      <c r="G4291" s="1037" t="str">
        <f t="shared" si="1483"/>
        <v/>
      </c>
      <c r="H4291" s="225"/>
      <c r="I4291" s="1013"/>
      <c r="J4291" s="1013"/>
      <c r="K4291" s="1028"/>
      <c r="L4291" s="1035" t="str">
        <f t="shared" si="1487"/>
        <v/>
      </c>
      <c r="S4291" s="498"/>
      <c r="AJ4291" s="498"/>
      <c r="AM4291" s="498">
        <f t="shared" si="1468"/>
        <v>0</v>
      </c>
      <c r="AN4291" s="498">
        <f t="shared" si="1469"/>
        <v>0</v>
      </c>
      <c r="AO4291" s="498">
        <f t="shared" si="1470"/>
        <v>0</v>
      </c>
      <c r="AP4291" s="498">
        <f t="shared" si="1489"/>
        <v>0</v>
      </c>
      <c r="AQ4291" s="498">
        <f t="shared" si="1484"/>
        <v>0</v>
      </c>
      <c r="AU4291" s="498">
        <f t="shared" si="1471"/>
        <v>0</v>
      </c>
      <c r="AV4291" s="498">
        <f t="shared" si="1472"/>
        <v>0</v>
      </c>
      <c r="AW4291" s="498">
        <f t="shared" si="1473"/>
        <v>0</v>
      </c>
      <c r="AX4291" s="498">
        <f t="shared" si="1474"/>
        <v>0</v>
      </c>
      <c r="AY4291" s="498">
        <f t="shared" si="1475"/>
        <v>0</v>
      </c>
      <c r="BB4291" s="498" t="str">
        <f t="shared" si="1476"/>
        <v/>
      </c>
      <c r="BC4291" s="743" t="str">
        <f t="shared" si="1477"/>
        <v/>
      </c>
      <c r="BD4291" s="743" t="str">
        <f t="shared" si="1478"/>
        <v/>
      </c>
      <c r="BE4291" s="743" t="str">
        <f>IF(D4291="","",VLOOKUP(D4291,'General Basis'!$J$39:$K$46,2,0))</f>
        <v/>
      </c>
      <c r="BF4291" s="744" t="str">
        <f>IF(D4291="","",VLOOKUP(D4291,'General Basis'!$J$39:$L$46,3,0))</f>
        <v/>
      </c>
      <c r="BG4291" s="744" t="str">
        <f t="shared" si="1485"/>
        <v/>
      </c>
      <c r="BH4291" s="744" t="str">
        <f>IF(G4291="","",IF(BF4291="Abu Dhabi",IF(G4291&lt;18,'General Basis'!$C$39,IF(G4291&lt;41,'General Basis'!$C$40,IF(G4291&lt;60,'General Basis'!$C$41,IF(G4291&lt;65,'General Basis'!$C$42,'General Basis'!$C$43)))),IF(G4291&lt;11,'General Basis'!$B$39,IF(G4291&lt;18,'General Basis'!$B$40,IF(G4291&lt;26,'General Basis'!$B$41,IF(G4291&lt;31,'General Basis'!$B$42,IF(G4291&lt;36,'General Basis'!$B$43,IF(G4291&lt;41,'General Basis'!$B$44,IF(G4291&lt;46,'General Basis'!$B$45,IF(G4291&lt;51,'General Basis'!$B$46,IF(G4291&lt;56,'General Basis'!$B$47,IF(G4291&lt;60,'General Basis'!$B$48,IF(G4291&lt;65,'General Basis'!$B$49,'General Basis'!$B$50)))))))))))))</f>
        <v/>
      </c>
      <c r="BI4291" s="744" t="str">
        <f t="shared" si="1479"/>
        <v/>
      </c>
      <c r="BJ4291" s="747" t="str">
        <f t="shared" si="1486"/>
        <v/>
      </c>
      <c r="BK4291" s="498" t="str">
        <f t="shared" si="1480"/>
        <v/>
      </c>
      <c r="BL4291" s="498" t="str">
        <f t="shared" si="1481"/>
        <v/>
      </c>
    </row>
    <row r="4292" spans="1:64" x14ac:dyDescent="0.25">
      <c r="A4292" s="762">
        <f t="shared" si="1482"/>
        <v>4287</v>
      </c>
      <c r="B4292" s="229"/>
      <c r="C4292" s="223"/>
      <c r="D4292" s="224"/>
      <c r="E4292" s="225"/>
      <c r="F4292" s="1036" t="str">
        <f t="shared" si="1488"/>
        <v/>
      </c>
      <c r="G4292" s="1037" t="str">
        <f t="shared" si="1483"/>
        <v/>
      </c>
      <c r="H4292" s="225"/>
      <c r="I4292" s="1013"/>
      <c r="J4292" s="1013"/>
      <c r="K4292" s="1028"/>
      <c r="L4292" s="1035" t="str">
        <f t="shared" si="1487"/>
        <v/>
      </c>
      <c r="S4292" s="498"/>
      <c r="AJ4292" s="498"/>
      <c r="AM4292" s="498">
        <f t="shared" si="1468"/>
        <v>0</v>
      </c>
      <c r="AN4292" s="498">
        <f t="shared" si="1469"/>
        <v>0</v>
      </c>
      <c r="AO4292" s="498">
        <f t="shared" si="1470"/>
        <v>0</v>
      </c>
      <c r="AP4292" s="498">
        <f t="shared" si="1489"/>
        <v>0</v>
      </c>
      <c r="AQ4292" s="498">
        <f t="shared" si="1484"/>
        <v>0</v>
      </c>
      <c r="AU4292" s="498">
        <f t="shared" si="1471"/>
        <v>0</v>
      </c>
      <c r="AV4292" s="498">
        <f t="shared" si="1472"/>
        <v>0</v>
      </c>
      <c r="AW4292" s="498">
        <f t="shared" si="1473"/>
        <v>0</v>
      </c>
      <c r="AX4292" s="498">
        <f t="shared" si="1474"/>
        <v>0</v>
      </c>
      <c r="AY4292" s="498">
        <f t="shared" si="1475"/>
        <v>0</v>
      </c>
      <c r="BB4292" s="498" t="str">
        <f t="shared" si="1476"/>
        <v/>
      </c>
      <c r="BC4292" s="743" t="str">
        <f t="shared" si="1477"/>
        <v/>
      </c>
      <c r="BD4292" s="743" t="str">
        <f t="shared" si="1478"/>
        <v/>
      </c>
      <c r="BE4292" s="743" t="str">
        <f>IF(D4292="","",VLOOKUP(D4292,'General Basis'!$J$39:$K$46,2,0))</f>
        <v/>
      </c>
      <c r="BF4292" s="744" t="str">
        <f>IF(D4292="","",VLOOKUP(D4292,'General Basis'!$J$39:$L$46,3,0))</f>
        <v/>
      </c>
      <c r="BG4292" s="744" t="str">
        <f t="shared" si="1485"/>
        <v/>
      </c>
      <c r="BH4292" s="744" t="str">
        <f>IF(G4292="","",IF(BF4292="Abu Dhabi",IF(G4292&lt;18,'General Basis'!$C$39,IF(G4292&lt;41,'General Basis'!$C$40,IF(G4292&lt;60,'General Basis'!$C$41,IF(G4292&lt;65,'General Basis'!$C$42,'General Basis'!$C$43)))),IF(G4292&lt;11,'General Basis'!$B$39,IF(G4292&lt;18,'General Basis'!$B$40,IF(G4292&lt;26,'General Basis'!$B$41,IF(G4292&lt;31,'General Basis'!$B$42,IF(G4292&lt;36,'General Basis'!$B$43,IF(G4292&lt;41,'General Basis'!$B$44,IF(G4292&lt;46,'General Basis'!$B$45,IF(G4292&lt;51,'General Basis'!$B$46,IF(G4292&lt;56,'General Basis'!$B$47,IF(G4292&lt;60,'General Basis'!$B$48,IF(G4292&lt;65,'General Basis'!$B$49,'General Basis'!$B$50)))))))))))))</f>
        <v/>
      </c>
      <c r="BI4292" s="744" t="str">
        <f t="shared" si="1479"/>
        <v/>
      </c>
      <c r="BJ4292" s="747" t="str">
        <f t="shared" si="1486"/>
        <v/>
      </c>
      <c r="BK4292" s="498" t="str">
        <f t="shared" si="1480"/>
        <v/>
      </c>
      <c r="BL4292" s="498" t="str">
        <f t="shared" si="1481"/>
        <v/>
      </c>
    </row>
    <row r="4293" spans="1:64" x14ac:dyDescent="0.25">
      <c r="A4293" s="762">
        <f t="shared" si="1482"/>
        <v>4288</v>
      </c>
      <c r="B4293" s="229"/>
      <c r="C4293" s="223"/>
      <c r="D4293" s="224"/>
      <c r="E4293" s="225"/>
      <c r="F4293" s="1036" t="str">
        <f t="shared" si="1488"/>
        <v/>
      </c>
      <c r="G4293" s="1037" t="str">
        <f t="shared" si="1483"/>
        <v/>
      </c>
      <c r="H4293" s="225"/>
      <c r="I4293" s="1013"/>
      <c r="J4293" s="1013"/>
      <c r="K4293" s="1028"/>
      <c r="L4293" s="1035" t="str">
        <f t="shared" si="1487"/>
        <v/>
      </c>
      <c r="S4293" s="498"/>
      <c r="AJ4293" s="498"/>
      <c r="AM4293" s="498">
        <f t="shared" si="1468"/>
        <v>0</v>
      </c>
      <c r="AN4293" s="498">
        <f t="shared" si="1469"/>
        <v>0</v>
      </c>
      <c r="AO4293" s="498">
        <f t="shared" si="1470"/>
        <v>0</v>
      </c>
      <c r="AP4293" s="498">
        <f t="shared" si="1489"/>
        <v>0</v>
      </c>
      <c r="AQ4293" s="498">
        <f t="shared" si="1484"/>
        <v>0</v>
      </c>
      <c r="AU4293" s="498">
        <f t="shared" si="1471"/>
        <v>0</v>
      </c>
      <c r="AV4293" s="498">
        <f t="shared" si="1472"/>
        <v>0</v>
      </c>
      <c r="AW4293" s="498">
        <f t="shared" si="1473"/>
        <v>0</v>
      </c>
      <c r="AX4293" s="498">
        <f t="shared" si="1474"/>
        <v>0</v>
      </c>
      <c r="AY4293" s="498">
        <f t="shared" si="1475"/>
        <v>0</v>
      </c>
      <c r="BB4293" s="498" t="str">
        <f t="shared" si="1476"/>
        <v/>
      </c>
      <c r="BC4293" s="743" t="str">
        <f t="shared" si="1477"/>
        <v/>
      </c>
      <c r="BD4293" s="743" t="str">
        <f t="shared" si="1478"/>
        <v/>
      </c>
      <c r="BE4293" s="743" t="str">
        <f>IF(D4293="","",VLOOKUP(D4293,'General Basis'!$J$39:$K$46,2,0))</f>
        <v/>
      </c>
      <c r="BF4293" s="744" t="str">
        <f>IF(D4293="","",VLOOKUP(D4293,'General Basis'!$J$39:$L$46,3,0))</f>
        <v/>
      </c>
      <c r="BG4293" s="744" t="str">
        <f t="shared" si="1485"/>
        <v/>
      </c>
      <c r="BH4293" s="744" t="str">
        <f>IF(G4293="","",IF(BF4293="Abu Dhabi",IF(G4293&lt;18,'General Basis'!$C$39,IF(G4293&lt;41,'General Basis'!$C$40,IF(G4293&lt;60,'General Basis'!$C$41,IF(G4293&lt;65,'General Basis'!$C$42,'General Basis'!$C$43)))),IF(G4293&lt;11,'General Basis'!$B$39,IF(G4293&lt;18,'General Basis'!$B$40,IF(G4293&lt;26,'General Basis'!$B$41,IF(G4293&lt;31,'General Basis'!$B$42,IF(G4293&lt;36,'General Basis'!$B$43,IF(G4293&lt;41,'General Basis'!$B$44,IF(G4293&lt;46,'General Basis'!$B$45,IF(G4293&lt;51,'General Basis'!$B$46,IF(G4293&lt;56,'General Basis'!$B$47,IF(G4293&lt;60,'General Basis'!$B$48,IF(G4293&lt;65,'General Basis'!$B$49,'General Basis'!$B$50)))))))))))))</f>
        <v/>
      </c>
      <c r="BI4293" s="744" t="str">
        <f t="shared" si="1479"/>
        <v/>
      </c>
      <c r="BJ4293" s="747" t="str">
        <f t="shared" si="1486"/>
        <v/>
      </c>
      <c r="BK4293" s="498" t="str">
        <f t="shared" si="1480"/>
        <v/>
      </c>
      <c r="BL4293" s="498" t="str">
        <f t="shared" si="1481"/>
        <v/>
      </c>
    </row>
    <row r="4294" spans="1:64" x14ac:dyDescent="0.25">
      <c r="A4294" s="762">
        <f t="shared" si="1482"/>
        <v>4289</v>
      </c>
      <c r="B4294" s="229"/>
      <c r="C4294" s="223"/>
      <c r="D4294" s="224"/>
      <c r="E4294" s="225"/>
      <c r="F4294" s="1036" t="str">
        <f t="shared" si="1488"/>
        <v/>
      </c>
      <c r="G4294" s="1037" t="str">
        <f t="shared" si="1483"/>
        <v/>
      </c>
      <c r="H4294" s="225"/>
      <c r="I4294" s="1013"/>
      <c r="J4294" s="1013"/>
      <c r="K4294" s="1028"/>
      <c r="L4294" s="1035" t="str">
        <f t="shared" si="1487"/>
        <v/>
      </c>
      <c r="S4294" s="498"/>
      <c r="AJ4294" s="498"/>
      <c r="AM4294" s="498">
        <f t="shared" ref="AM4294:AM4357" si="1490">IF(ISTEXT(B4294),1,0)</f>
        <v>0</v>
      </c>
      <c r="AN4294" s="498">
        <f t="shared" ref="AN4294:AN4357" si="1491">IF(ISBLANK(B4294),0,IF(B4294&lt;$AK$6,1,0))</f>
        <v>0</v>
      </c>
      <c r="AO4294" s="498">
        <f t="shared" ref="AO4294:AO4357" si="1492">IF(ISBLANK(B4294),0,IF(B4294&gt;$AK$7,1,0))</f>
        <v>0</v>
      </c>
      <c r="AP4294" s="498">
        <f t="shared" si="1489"/>
        <v>0</v>
      </c>
      <c r="AQ4294" s="498">
        <f t="shared" si="1484"/>
        <v>0</v>
      </c>
      <c r="AU4294" s="498">
        <f t="shared" ref="AU4294:AU4357" si="1493">IF(ISBLANK(B4294),0,1)</f>
        <v>0</v>
      </c>
      <c r="AV4294" s="498">
        <f t="shared" ref="AV4294:AV4357" si="1494">IF(ISBLANK(C4294),0,1)</f>
        <v>0</v>
      </c>
      <c r="AW4294" s="498">
        <f t="shared" ref="AW4294:AW4357" si="1495">IF(ISBLANK(D4294),0,1)</f>
        <v>0</v>
      </c>
      <c r="AX4294" s="498">
        <f t="shared" ref="AX4294:AX4357" si="1496">IF(ISBLANK(E4294),0,1)</f>
        <v>0</v>
      </c>
      <c r="AY4294" s="498">
        <f t="shared" ref="AY4294:AY4357" si="1497">IF(ISBLANK(H4294),0,1)</f>
        <v>0</v>
      </c>
      <c r="BB4294" s="498" t="str">
        <f t="shared" ref="BB4294:BB4357" si="1498">IF(E4294="Principal","Principal",IF(E4294="","","Other"))</f>
        <v/>
      </c>
      <c r="BC4294" s="743" t="str">
        <f t="shared" ref="BC4294:BC4357" si="1499">IF(D4294="","",D4294)</f>
        <v/>
      </c>
      <c r="BD4294" s="743" t="str">
        <f t="shared" ref="BD4294:BD4357" si="1500">IF(E4294="Principal","Employee",IF(E4294="","","Dependent"))</f>
        <v/>
      </c>
      <c r="BE4294" s="743" t="str">
        <f>IF(D4294="","",VLOOKUP(D4294,'General Basis'!$J$39:$K$46,2,0))</f>
        <v/>
      </c>
      <c r="BF4294" s="744" t="str">
        <f>IF(D4294="","",VLOOKUP(D4294,'General Basis'!$J$39:$L$46,3,0))</f>
        <v/>
      </c>
      <c r="BG4294" s="744" t="str">
        <f t="shared" si="1485"/>
        <v/>
      </c>
      <c r="BH4294" s="744" t="str">
        <f>IF(G4294="","",IF(BF4294="Abu Dhabi",IF(G4294&lt;18,'General Basis'!$C$39,IF(G4294&lt;41,'General Basis'!$C$40,IF(G4294&lt;60,'General Basis'!$C$41,IF(G4294&lt;65,'General Basis'!$C$42,'General Basis'!$C$43)))),IF(G4294&lt;11,'General Basis'!$B$39,IF(G4294&lt;18,'General Basis'!$B$40,IF(G4294&lt;26,'General Basis'!$B$41,IF(G4294&lt;31,'General Basis'!$B$42,IF(G4294&lt;36,'General Basis'!$B$43,IF(G4294&lt;41,'General Basis'!$B$44,IF(G4294&lt;46,'General Basis'!$B$45,IF(G4294&lt;51,'General Basis'!$B$46,IF(G4294&lt;56,'General Basis'!$B$47,IF(G4294&lt;60,'General Basis'!$B$48,IF(G4294&lt;65,'General Basis'!$B$49,'General Basis'!$B$50)))))))))))))</f>
        <v/>
      </c>
      <c r="BI4294" s="744" t="str">
        <f t="shared" ref="BI4294:BI4357" si="1501">IF(C4294="","",IF(C4294="M","Male","Female"))</f>
        <v/>
      </c>
      <c r="BJ4294" s="747" t="str">
        <f t="shared" si="1486"/>
        <v/>
      </c>
      <c r="BK4294" s="498" t="str">
        <f t="shared" ref="BK4294:BK4357" si="1502">IF(BD4294="","",IF(AND(BD4294="Employee",BI4294="Male",BF4294="Abu Dhabi",BE4294=GN_Plus),VLOOKUP(BH4294,AUH_MALE_EMP,2,0),IF(AND(BD4294="Employee",BI4294="Male",BF4294="Abu Dhabi",BE4294=GN),VLOOKUP(BH4294,AUH_MALE_EMP,3,0),IF(AND(BD4294="Employee",BI4294="Male",BF4294="Abu Dhabi",BE4294=RN_Plus),VLOOKUP(BH4294,AUH_MALE_EMP,4,0),IF(AND(BD4294="Employee",BI4294="Male",BF4294="Abu Dhabi",BE4294=RN),VLOOKUP(BH4294,AUH_MALE_EMP,5,0),IF(AND(BD4294="Employee",BI4294="Male",BF4294="Abu Dhabi",BE4294=RN_2),VLOOKUP(BH4294,AUH_MALE_EMP,6,0),IF(AND(BD4294="Employee",BI4294="Male",BF4294="Abu Dhabi",BE4294=RN2_minus),VLOOKUP(BH4294,AUH_MALE_EMP,7,0),IF(AND(BD4294="Employee",BI4294="Male",BF4294="Abu Dhabi",BE4294=RN_3),VLOOKUP(BH4294,AUH_MALE_EMP,8,0),IF(AND(BD4294="Employee",BI4294="Male",BF4294="Abu Dhabi",BE4294=VN),VLOOKUP(BH4294,AUH_MALE_EMP,9,0),IF(BD4294="","",IF(AND(BD4294="Employee",BI4294="Female",BF4294="Abu Dhabi",BE4294=GN_Plus),VLOOKUP(BH4294,AUH_FEMALE_EMP,2,0),IF(AND(BD4294="Employee",BI4294="Female",BF4294="Abu Dhabi",BE4294=GN),VLOOKUP(BH4294,AUH_FEMALE_EMP,3,0),IF(AND(BD4294="Employee",BI4294="Female",BF4294="Abu Dhabi",BE4294=RN_Plus),VLOOKUP(BH4294,AUH_FEMALE_EMP,4,0),IF(AND(BD4294="Employee",BI4294="Female",BF4294="Abu Dhabi",BE4294=RN),VLOOKUP(BH4294,AUH_FEMALE_EMP,5,0),IF(AND(BD4294="Employee",BI4294="Female",BF4294="Abu Dhabi",BE4294=RN_2),VLOOKUP(BH4294,AUH_FEMALE_EMP,6,0),IF(AND(BD4294="Employee",BI4294="Female",BF4294="Abu Dhabi",BE4294=RN2_minus),VLOOKUP(BH4294,AUH_FEMALE_EMP,7,0),IF(AND(BD4294="Employee",BI4294="Female",BF4294="Abu Dhabi",BE4294=RN_3),VLOOKUP(BH4294,AUH_FEMALE_EMP,8,0),IF(AND(BD4294="Employee",BI4294="Female",BF4294="Abu Dhabi",BE4294=VN),VLOOKUP(BH4294,AUH_FEMALE_EMP,9,0),IF(BD4294="","",IF(AND(BD4294="Dependent",BI4294="Male",BF4294="Abu Dhabi",BE4294=GN_Plus),VLOOKUP(BH4294,AUH_MALE_DEP,2,0),IF(AND(BD4294="Dependent",BI4294="Male",BF4294="Abu Dhabi",BE4294=GN),VLOOKUP(BH4294,AUH_MALE_DEP,3,0),IF(AND(BD4294="Dependent",BI4294="Male",BF4294="Abu Dhabi",BE4294=RN_Plus),VLOOKUP(BH4294,AUH_MALE_DEP,4,0),IF(AND(BD4294="Dependent",BI4294="Male",BF4294="Abu Dhabi",BE4294=RN),VLOOKUP(BH4294,AUH_MALE_DEP,5,0),IF(AND(BD4294="Dependent",BI4294="Male",BF4294="Abu Dhabi",BE4294=RN_2),VLOOKUP(BH4294,AUH_MALE_DEP,6,0),IF(AND(BD4294="Dependent",BI4294="Male",BF4294="Abu Dhabi",BE4294=RN2_minus),VLOOKUP(BH4294,AUH_MALE_DEP,7,0),IF(AND(BD4294="Dependent",BI4294="Male",BF4294="Abu Dhabi",BE4294=RN_3),VLOOKUP(BH4294,AUH_MALE_DEP,8,0),IF(AND(BD4294="Dependent",BI4294="Male",BF4294="Abu Dhabi",BE4294=VN),VLOOKUP(BH4294,AUH_MALE_DEP,9,0),IF(BD4294="","",IF(AND(BD4294="Dependent",BI4294="Female",BF4294="Abu Dhabi",BE4294=GN_Plus),VLOOKUP(BH4294,AUH_FEMALE_DEP,2,0),IF(AND(BD4294="Dependent",BI4294="Female",BF4294="Abu Dhabi",BE4294=GN),VLOOKUP(BH4294,AUH_FEMALE_DEP,3,0),IF(AND(BD4294="Dependent",BI4294="Female",BF4294="Abu Dhabi",BE4294=RN_Plus),VLOOKUP(BH4294,AUH_FEMALE_DEP,4,0),IF(AND(BD4294="Dependent",BI4294="Female",BF4294="Abu Dhabi",BE4294=RN),VLOOKUP(BH4294,AUH_FEMALE_DEP,5,0),IF(AND(BD4294="Dependent",BI4294="Female",BF4294="Abu Dhabi",BE4294=RN_2),VLOOKUP(BH4294,AUH_FEMALE_DEP,6,0),IF(AND(BD4294="Dependent",BI4294="Female",BF4294="Abu Dhabi",BE4294=RN2_minus),VLOOKUP(BH4294,AUH_FEMALE_DEP,7,0),IF(AND(BD4294="Dependent",BI4294="Female",BF4294="Abu Dhabi",BE4294=RN_3),VLOOKUP(BH4294,AUH_FEMALE_DEP,8,0),IF(AND(BD4294="Dependent",BI4294="Female",BF4294="Abu Dhabi",BE4294=VN),VLOOKUP(BH4294,AUH_FEMALE_DEP,9,0),"ABC"))))))))))))))))))))))))))))))))))))</f>
        <v/>
      </c>
      <c r="BL4294" s="498" t="str">
        <f t="shared" ref="BL4294:BL4357" si="1503">IF(BD4294="","",IF(AND(BD4294="Employee",BI4294="Male",BF4294="Dubai",BE4294=GN_Plus),VLOOKUP(BH4294,DXB_MALE_EMP,2,0),IF(AND(BD4294="Employee",BI4294="Male",BF4294="Dubai",BE4294=GN),VLOOKUP(BH4294,DXB_MALE_EMP,3,0),IF(AND(BD4294="Employee",BI4294="Male",BF4294="Dubai",BE4294=RN_Plus),VLOOKUP(BH4294,DXB_MALE_EMP,4,0),IF(AND(BD4294="Employee",BI4294="Male",BF4294="Dubai",BE4294=RN),VLOOKUP(BH4294,DXB_MALE_EMP,5,0),IF(AND(BD4294="Employee",BI4294="Male",BF4294="Dubai",BE4294=RN_2),VLOOKUP(BH4294,DXB_MALE_EMP,6,0),IF(AND(BD4294="Employee",BI4294="Male",BF4294="Dubai",BE4294=RN2_minus),VLOOKUP(BH4294,DXB_MALE_EMP,7,0),IF(AND(BD4294="Employee",BI4294="Male",BF4294="Dubai",BE4294=RN_3),VLOOKUP(BH4294,DXB_MALE_EMP,8,0),IF(AND(BD4294="Employee",BI4294="Male",BF4294="Dubai",BE4294=VN),VLOOKUP(BH4294,DXB_MALE_EMP,9,0),IF(BD4294="","",IF(AND(BD4294="Employee",BI4294="Female",BF4294="Dubai",BE4294=GN_Plus),VLOOKUP(BH4294,DXB_FEMALE_EMP,2,0),IF(AND(BD4294="Employee",BI4294="Female",BF4294="Dubai",BE4294=GN),VLOOKUP(BH4294,DXB_FEMALE_EMP,3,0),IF(AND(BD4294="Employee",BI4294="Female",BF4294="Dubai",BE4294=RN_Plus),VLOOKUP(BH4294,DXB_FEMALE_EMP,4,0),IF(AND(BD4294="Employee",BI4294="Female",BF4294="Dubai",BE4294=RN),VLOOKUP(BH4294,DXB_FEMALE_EMP,5,0),IF(AND(BD4294="Employee",BI4294="Female",BF4294="Dubai",BE4294=RN_2),VLOOKUP(BH4294,DXB_FEMALE_EMP,6,0),IF(AND(BD4294="Employee",BI4294="Female",BF4294="Dubai",BE4294=RN2_minus),VLOOKUP(BH4294,DXB_FEMALE_EMP,7,0),IF(AND(BD4294="Employee",BI4294="Female",BF4294="Dubai",BE4294=RN_3),VLOOKUP(BH4294,DXB_FEMALE_EMP,8,0),IF(AND(BD4294="Employee",BI4294="Female",BF4294="Dubai",BE4294=VN),VLOOKUP(BH4294,DXB_FEMALE_EMP,9,0),IF(BD4294="","",IF(AND(BD4294="Dependent",BI4294="Male",BF4294="Dubai",BE4294=GN_Plus),VLOOKUP(BH4294,DXB_MALE_DEP,2,0),IF(AND(BD4294="Dependent",BI4294="Male",BF4294="Dubai",BE4294=GN),VLOOKUP(BH4294,DXB_MALE_DEP,3,0),IF(AND(BD4294="Dependent",BI4294="Male",BF4294="Dubai",BE4294=RN_Plus),VLOOKUP(BH4294,DXB_MALE_DEP,4,0),IF(AND(BD4294="Dependent",BI4294="Male",BF4294="Dubai",BE4294=RN),VLOOKUP(BH4294,DXB_MALE_DEP,5,0),IF(AND(BD4294="Dependent",BI4294="Male",BF4294="Dubai",BE4294=RN_2),VLOOKUP(BH4294,DXB_MALE_DEP,6,0),IF(AND(BD4294="Dependent",BI4294="Male",BF4294="Dubai",BE4294=RN2_minus),VLOOKUP(BH4294,DXB_MALE_DEP,7,0),IF(AND(BD4294="Dependent",BI4294="Male",BF4294="Dubai",BE4294=RN_3),VLOOKUP(BH4294,DXB_MALE_DEP,8,0),IF(AND(BD4294="Dependent",BI4294="Male",BF4294="Dubai",BE4294=VN),VLOOKUP(BH4294,DXB_MALE_DEP,9,0),IF(BD4294="","",IF(AND(BD4294="Dependent",BI4294="Female",BF4294="Dubai",BE4294=GN_Plus),VLOOKUP(BH4294,DXB_FEMALE_DEP,2,0),IF(AND(BD4294="Dependent",BI4294="Female",BF4294="Dubai",BE4294=GN),VLOOKUP(BH4294,DXB_FEMALE_DEP,3,0),IF(AND(BD4294="Dependent",BI4294="Female",BF4294="Dubai",BE4294=RN_Plus),VLOOKUP(BH4294,DXB_FEMALE_DEP,4,0),IF(AND(BD4294="Dependent",BI4294="Female",BF4294="Dubai",BE4294=RN),VLOOKUP(BH4294,DXB_FEMALE_DEP,5,0),IF(AND(BD4294="Dependent",BI4294="Female",BF4294="Dubai",BE4294=RN_2),VLOOKUP(BH4294,DXB_FEMALE_DEP,6,0),IF(AND(BD4294="Dependent",BI4294="Female",BF4294="Dubai",BE4294=RN2_minus),VLOOKUP(BH4294,DXB_FEMALE_DEP,7,0),IF(AND(BD4294="Dependent",BI4294="Female",BF4294="Dubai",BE4294=RN_3),VLOOKUP(BH4294,DXB_FEMALE_DEP,8,0),IF(AND(BD4294="Dependent",BI4294="Female",BF4294="Dubai",BE4294=VN),VLOOKUP(BH4294,DXB_FEMALE_DEP,9,0),"ABC"))))))))))))))))))))))))))))))))))))</f>
        <v/>
      </c>
    </row>
    <row r="4295" spans="1:64" x14ac:dyDescent="0.25">
      <c r="A4295" s="762">
        <f t="shared" ref="A4295:A4358" si="1504">+A4294+1</f>
        <v>4290</v>
      </c>
      <c r="B4295" s="229"/>
      <c r="C4295" s="223"/>
      <c r="D4295" s="224"/>
      <c r="E4295" s="225"/>
      <c r="F4295" s="1036" t="str">
        <f t="shared" si="1488"/>
        <v/>
      </c>
      <c r="G4295" s="1037" t="str">
        <f t="shared" ref="G4295:G4358" si="1505">IF(D4295="","",MAX(0,ROUNDUP(F4295,0)))</f>
        <v/>
      </c>
      <c r="H4295" s="225"/>
      <c r="I4295" s="1013"/>
      <c r="J4295" s="1013"/>
      <c r="K4295" s="1028"/>
      <c r="L4295" s="1035" t="str">
        <f t="shared" si="1487"/>
        <v/>
      </c>
      <c r="S4295" s="498"/>
      <c r="AJ4295" s="498"/>
      <c r="AM4295" s="498">
        <f t="shared" si="1490"/>
        <v>0</v>
      </c>
      <c r="AN4295" s="498">
        <f t="shared" si="1491"/>
        <v>0</v>
      </c>
      <c r="AO4295" s="498">
        <f t="shared" si="1492"/>
        <v>0</v>
      </c>
      <c r="AP4295" s="498">
        <f t="shared" si="1489"/>
        <v>0</v>
      </c>
      <c r="AQ4295" s="498">
        <f t="shared" ref="AQ4295:AQ4358" si="1506">IF(ISBLANK($B4295),0,IF(OR($H4295="Single",$H4295="Married"),0,1))</f>
        <v>0</v>
      </c>
      <c r="AU4295" s="498">
        <f t="shared" si="1493"/>
        <v>0</v>
      </c>
      <c r="AV4295" s="498">
        <f t="shared" si="1494"/>
        <v>0</v>
      </c>
      <c r="AW4295" s="498">
        <f t="shared" si="1495"/>
        <v>0</v>
      </c>
      <c r="AX4295" s="498">
        <f t="shared" si="1496"/>
        <v>0</v>
      </c>
      <c r="AY4295" s="498">
        <f t="shared" si="1497"/>
        <v>0</v>
      </c>
      <c r="BB4295" s="498" t="str">
        <f t="shared" si="1498"/>
        <v/>
      </c>
      <c r="BC4295" s="743" t="str">
        <f t="shared" si="1499"/>
        <v/>
      </c>
      <c r="BD4295" s="743" t="str">
        <f t="shared" si="1500"/>
        <v/>
      </c>
      <c r="BE4295" s="743" t="str">
        <f>IF(D4295="","",VLOOKUP(D4295,'General Basis'!$J$39:$K$46,2,0))</f>
        <v/>
      </c>
      <c r="BF4295" s="744" t="str">
        <f>IF(D4295="","",VLOOKUP(D4295,'General Basis'!$J$39:$L$46,3,0))</f>
        <v/>
      </c>
      <c r="BG4295" s="744" t="str">
        <f t="shared" ref="BG4295:BG4358" si="1507">BC4295&amp;BI4295</f>
        <v/>
      </c>
      <c r="BH4295" s="744" t="str">
        <f>IF(G4295="","",IF(BF4295="Abu Dhabi",IF(G4295&lt;18,'General Basis'!$C$39,IF(G4295&lt;41,'General Basis'!$C$40,IF(G4295&lt;60,'General Basis'!$C$41,IF(G4295&lt;65,'General Basis'!$C$42,'General Basis'!$C$43)))),IF(G4295&lt;11,'General Basis'!$B$39,IF(G4295&lt;18,'General Basis'!$B$40,IF(G4295&lt;26,'General Basis'!$B$41,IF(G4295&lt;31,'General Basis'!$B$42,IF(G4295&lt;36,'General Basis'!$B$43,IF(G4295&lt;41,'General Basis'!$B$44,IF(G4295&lt;46,'General Basis'!$B$45,IF(G4295&lt;51,'General Basis'!$B$46,IF(G4295&lt;56,'General Basis'!$B$47,IF(G4295&lt;60,'General Basis'!$B$48,IF(G4295&lt;65,'General Basis'!$B$49,'General Basis'!$B$50)))))))))))))</f>
        <v/>
      </c>
      <c r="BI4295" s="744" t="str">
        <f t="shared" si="1501"/>
        <v/>
      </c>
      <c r="BJ4295" s="747" t="str">
        <f t="shared" ref="BJ4295:BJ4358" si="1508">IF(BD4295="","",IF(BF4295="Abu Dhabi",BK4295,BL4295))</f>
        <v/>
      </c>
      <c r="BK4295" s="498" t="str">
        <f t="shared" si="1502"/>
        <v/>
      </c>
      <c r="BL4295" s="498" t="str">
        <f t="shared" si="1503"/>
        <v/>
      </c>
    </row>
    <row r="4296" spans="1:64" x14ac:dyDescent="0.25">
      <c r="A4296" s="762">
        <f t="shared" si="1504"/>
        <v>4291</v>
      </c>
      <c r="B4296" s="229"/>
      <c r="C4296" s="223"/>
      <c r="D4296" s="224"/>
      <c r="E4296" s="225"/>
      <c r="F4296" s="1036" t="str">
        <f t="shared" si="1488"/>
        <v/>
      </c>
      <c r="G4296" s="1037" t="str">
        <f t="shared" si="1505"/>
        <v/>
      </c>
      <c r="H4296" s="225"/>
      <c r="I4296" s="1013"/>
      <c r="J4296" s="1013"/>
      <c r="K4296" s="1028"/>
      <c r="L4296" s="1035" t="str">
        <f t="shared" ref="L4296:L4359" si="1509">IF(AND(E4296="Child",H4296="Married"),"Check the Marital Status of the Child. ",IF(AND(E4296="Child",F4296&gt;18),"Child Age exceed 18 years. ",IF(AND(E4296="Spouse",H4296="Single"),"Spouse is selected as Single. ","")))&amp;IF(K4296&gt;0,"UW Loading has been Applied","")</f>
        <v/>
      </c>
      <c r="S4296" s="498"/>
      <c r="AJ4296" s="498"/>
      <c r="AM4296" s="498">
        <f t="shared" si="1490"/>
        <v>0</v>
      </c>
      <c r="AN4296" s="498">
        <f t="shared" si="1491"/>
        <v>0</v>
      </c>
      <c r="AO4296" s="498">
        <f t="shared" si="1492"/>
        <v>0</v>
      </c>
      <c r="AP4296" s="498">
        <f t="shared" si="1489"/>
        <v>0</v>
      </c>
      <c r="AQ4296" s="498">
        <f t="shared" si="1506"/>
        <v>0</v>
      </c>
      <c r="AU4296" s="498">
        <f t="shared" si="1493"/>
        <v>0</v>
      </c>
      <c r="AV4296" s="498">
        <f t="shared" si="1494"/>
        <v>0</v>
      </c>
      <c r="AW4296" s="498">
        <f t="shared" si="1495"/>
        <v>0</v>
      </c>
      <c r="AX4296" s="498">
        <f t="shared" si="1496"/>
        <v>0</v>
      </c>
      <c r="AY4296" s="498">
        <f t="shared" si="1497"/>
        <v>0</v>
      </c>
      <c r="BB4296" s="498" t="str">
        <f t="shared" si="1498"/>
        <v/>
      </c>
      <c r="BC4296" s="743" t="str">
        <f t="shared" si="1499"/>
        <v/>
      </c>
      <c r="BD4296" s="743" t="str">
        <f t="shared" si="1500"/>
        <v/>
      </c>
      <c r="BE4296" s="743" t="str">
        <f>IF(D4296="","",VLOOKUP(D4296,'General Basis'!$J$39:$K$46,2,0))</f>
        <v/>
      </c>
      <c r="BF4296" s="744" t="str">
        <f>IF(D4296="","",VLOOKUP(D4296,'General Basis'!$J$39:$L$46,3,0))</f>
        <v/>
      </c>
      <c r="BG4296" s="744" t="str">
        <f t="shared" si="1507"/>
        <v/>
      </c>
      <c r="BH4296" s="744" t="str">
        <f>IF(G4296="","",IF(BF4296="Abu Dhabi",IF(G4296&lt;18,'General Basis'!$C$39,IF(G4296&lt;41,'General Basis'!$C$40,IF(G4296&lt;60,'General Basis'!$C$41,IF(G4296&lt;65,'General Basis'!$C$42,'General Basis'!$C$43)))),IF(G4296&lt;11,'General Basis'!$B$39,IF(G4296&lt;18,'General Basis'!$B$40,IF(G4296&lt;26,'General Basis'!$B$41,IF(G4296&lt;31,'General Basis'!$B$42,IF(G4296&lt;36,'General Basis'!$B$43,IF(G4296&lt;41,'General Basis'!$B$44,IF(G4296&lt;46,'General Basis'!$B$45,IF(G4296&lt;51,'General Basis'!$B$46,IF(G4296&lt;56,'General Basis'!$B$47,IF(G4296&lt;60,'General Basis'!$B$48,IF(G4296&lt;65,'General Basis'!$B$49,'General Basis'!$B$50)))))))))))))</f>
        <v/>
      </c>
      <c r="BI4296" s="744" t="str">
        <f t="shared" si="1501"/>
        <v/>
      </c>
      <c r="BJ4296" s="747" t="str">
        <f t="shared" si="1508"/>
        <v/>
      </c>
      <c r="BK4296" s="498" t="str">
        <f t="shared" si="1502"/>
        <v/>
      </c>
      <c r="BL4296" s="498" t="str">
        <f t="shared" si="1503"/>
        <v/>
      </c>
    </row>
    <row r="4297" spans="1:64" x14ac:dyDescent="0.25">
      <c r="A4297" s="762">
        <f t="shared" si="1504"/>
        <v>4292</v>
      </c>
      <c r="B4297" s="229"/>
      <c r="C4297" s="223"/>
      <c r="D4297" s="224"/>
      <c r="E4297" s="225"/>
      <c r="F4297" s="1036" t="str">
        <f t="shared" si="1488"/>
        <v/>
      </c>
      <c r="G4297" s="1037" t="str">
        <f t="shared" si="1505"/>
        <v/>
      </c>
      <c r="H4297" s="225"/>
      <c r="I4297" s="1013"/>
      <c r="J4297" s="1013"/>
      <c r="K4297" s="1028"/>
      <c r="L4297" s="1035" t="str">
        <f t="shared" si="1509"/>
        <v/>
      </c>
      <c r="S4297" s="498"/>
      <c r="AJ4297" s="498"/>
      <c r="AM4297" s="498">
        <f t="shared" si="1490"/>
        <v>0</v>
      </c>
      <c r="AN4297" s="498">
        <f t="shared" si="1491"/>
        <v>0</v>
      </c>
      <c r="AO4297" s="498">
        <f t="shared" si="1492"/>
        <v>0</v>
      </c>
      <c r="AP4297" s="498">
        <f t="shared" si="1489"/>
        <v>0</v>
      </c>
      <c r="AQ4297" s="498">
        <f t="shared" si="1506"/>
        <v>0</v>
      </c>
      <c r="AU4297" s="498">
        <f t="shared" si="1493"/>
        <v>0</v>
      </c>
      <c r="AV4297" s="498">
        <f t="shared" si="1494"/>
        <v>0</v>
      </c>
      <c r="AW4297" s="498">
        <f t="shared" si="1495"/>
        <v>0</v>
      </c>
      <c r="AX4297" s="498">
        <f t="shared" si="1496"/>
        <v>0</v>
      </c>
      <c r="AY4297" s="498">
        <f t="shared" si="1497"/>
        <v>0</v>
      </c>
      <c r="BB4297" s="498" t="str">
        <f t="shared" si="1498"/>
        <v/>
      </c>
      <c r="BC4297" s="743" t="str">
        <f t="shared" si="1499"/>
        <v/>
      </c>
      <c r="BD4297" s="743" t="str">
        <f t="shared" si="1500"/>
        <v/>
      </c>
      <c r="BE4297" s="743" t="str">
        <f>IF(D4297="","",VLOOKUP(D4297,'General Basis'!$J$39:$K$46,2,0))</f>
        <v/>
      </c>
      <c r="BF4297" s="744" t="str">
        <f>IF(D4297="","",VLOOKUP(D4297,'General Basis'!$J$39:$L$46,3,0))</f>
        <v/>
      </c>
      <c r="BG4297" s="744" t="str">
        <f t="shared" si="1507"/>
        <v/>
      </c>
      <c r="BH4297" s="744" t="str">
        <f>IF(G4297="","",IF(BF4297="Abu Dhabi",IF(G4297&lt;18,'General Basis'!$C$39,IF(G4297&lt;41,'General Basis'!$C$40,IF(G4297&lt;60,'General Basis'!$C$41,IF(G4297&lt;65,'General Basis'!$C$42,'General Basis'!$C$43)))),IF(G4297&lt;11,'General Basis'!$B$39,IF(G4297&lt;18,'General Basis'!$B$40,IF(G4297&lt;26,'General Basis'!$B$41,IF(G4297&lt;31,'General Basis'!$B$42,IF(G4297&lt;36,'General Basis'!$B$43,IF(G4297&lt;41,'General Basis'!$B$44,IF(G4297&lt;46,'General Basis'!$B$45,IF(G4297&lt;51,'General Basis'!$B$46,IF(G4297&lt;56,'General Basis'!$B$47,IF(G4297&lt;60,'General Basis'!$B$48,IF(G4297&lt;65,'General Basis'!$B$49,'General Basis'!$B$50)))))))))))))</f>
        <v/>
      </c>
      <c r="BI4297" s="744" t="str">
        <f t="shared" si="1501"/>
        <v/>
      </c>
      <c r="BJ4297" s="747" t="str">
        <f t="shared" si="1508"/>
        <v/>
      </c>
      <c r="BK4297" s="498" t="str">
        <f t="shared" si="1502"/>
        <v/>
      </c>
      <c r="BL4297" s="498" t="str">
        <f t="shared" si="1503"/>
        <v/>
      </c>
    </row>
    <row r="4298" spans="1:64" x14ac:dyDescent="0.25">
      <c r="A4298" s="762">
        <f t="shared" si="1504"/>
        <v>4293</v>
      </c>
      <c r="B4298" s="229"/>
      <c r="C4298" s="223"/>
      <c r="D4298" s="224"/>
      <c r="E4298" s="225"/>
      <c r="F4298" s="1036" t="str">
        <f t="shared" si="1488"/>
        <v/>
      </c>
      <c r="G4298" s="1037" t="str">
        <f t="shared" si="1505"/>
        <v/>
      </c>
      <c r="H4298" s="225"/>
      <c r="I4298" s="1013"/>
      <c r="J4298" s="1013"/>
      <c r="K4298" s="1028"/>
      <c r="L4298" s="1035" t="str">
        <f t="shared" si="1509"/>
        <v/>
      </c>
      <c r="S4298" s="498"/>
      <c r="AJ4298" s="498"/>
      <c r="AM4298" s="498">
        <f t="shared" si="1490"/>
        <v>0</v>
      </c>
      <c r="AN4298" s="498">
        <f t="shared" si="1491"/>
        <v>0</v>
      </c>
      <c r="AO4298" s="498">
        <f t="shared" si="1492"/>
        <v>0</v>
      </c>
      <c r="AP4298" s="498">
        <f t="shared" si="1489"/>
        <v>0</v>
      </c>
      <c r="AQ4298" s="498">
        <f t="shared" si="1506"/>
        <v>0</v>
      </c>
      <c r="AU4298" s="498">
        <f t="shared" si="1493"/>
        <v>0</v>
      </c>
      <c r="AV4298" s="498">
        <f t="shared" si="1494"/>
        <v>0</v>
      </c>
      <c r="AW4298" s="498">
        <f t="shared" si="1495"/>
        <v>0</v>
      </c>
      <c r="AX4298" s="498">
        <f t="shared" si="1496"/>
        <v>0</v>
      </c>
      <c r="AY4298" s="498">
        <f t="shared" si="1497"/>
        <v>0</v>
      </c>
      <c r="BB4298" s="498" t="str">
        <f t="shared" si="1498"/>
        <v/>
      </c>
      <c r="BC4298" s="743" t="str">
        <f t="shared" si="1499"/>
        <v/>
      </c>
      <c r="BD4298" s="743" t="str">
        <f t="shared" si="1500"/>
        <v/>
      </c>
      <c r="BE4298" s="743" t="str">
        <f>IF(D4298="","",VLOOKUP(D4298,'General Basis'!$J$39:$K$46,2,0))</f>
        <v/>
      </c>
      <c r="BF4298" s="744" t="str">
        <f>IF(D4298="","",VLOOKUP(D4298,'General Basis'!$J$39:$L$46,3,0))</f>
        <v/>
      </c>
      <c r="BG4298" s="744" t="str">
        <f t="shared" si="1507"/>
        <v/>
      </c>
      <c r="BH4298" s="744" t="str">
        <f>IF(G4298="","",IF(BF4298="Abu Dhabi",IF(G4298&lt;18,'General Basis'!$C$39,IF(G4298&lt;41,'General Basis'!$C$40,IF(G4298&lt;60,'General Basis'!$C$41,IF(G4298&lt;65,'General Basis'!$C$42,'General Basis'!$C$43)))),IF(G4298&lt;11,'General Basis'!$B$39,IF(G4298&lt;18,'General Basis'!$B$40,IF(G4298&lt;26,'General Basis'!$B$41,IF(G4298&lt;31,'General Basis'!$B$42,IF(G4298&lt;36,'General Basis'!$B$43,IF(G4298&lt;41,'General Basis'!$B$44,IF(G4298&lt;46,'General Basis'!$B$45,IF(G4298&lt;51,'General Basis'!$B$46,IF(G4298&lt;56,'General Basis'!$B$47,IF(G4298&lt;60,'General Basis'!$B$48,IF(G4298&lt;65,'General Basis'!$B$49,'General Basis'!$B$50)))))))))))))</f>
        <v/>
      </c>
      <c r="BI4298" s="744" t="str">
        <f t="shared" si="1501"/>
        <v/>
      </c>
      <c r="BJ4298" s="747" t="str">
        <f t="shared" si="1508"/>
        <v/>
      </c>
      <c r="BK4298" s="498" t="str">
        <f t="shared" si="1502"/>
        <v/>
      </c>
      <c r="BL4298" s="498" t="str">
        <f t="shared" si="1503"/>
        <v/>
      </c>
    </row>
    <row r="4299" spans="1:64" x14ac:dyDescent="0.25">
      <c r="A4299" s="762">
        <f t="shared" si="1504"/>
        <v>4294</v>
      </c>
      <c r="B4299" s="229"/>
      <c r="C4299" s="223"/>
      <c r="D4299" s="224"/>
      <c r="E4299" s="225"/>
      <c r="F4299" s="1036" t="str">
        <f t="shared" si="1488"/>
        <v/>
      </c>
      <c r="G4299" s="1037" t="str">
        <f t="shared" si="1505"/>
        <v/>
      </c>
      <c r="H4299" s="225"/>
      <c r="I4299" s="1013"/>
      <c r="J4299" s="1013"/>
      <c r="K4299" s="1028"/>
      <c r="L4299" s="1035" t="str">
        <f t="shared" si="1509"/>
        <v/>
      </c>
      <c r="S4299" s="498"/>
      <c r="AJ4299" s="498"/>
      <c r="AM4299" s="498">
        <f t="shared" si="1490"/>
        <v>0</v>
      </c>
      <c r="AN4299" s="498">
        <f t="shared" si="1491"/>
        <v>0</v>
      </c>
      <c r="AO4299" s="498">
        <f t="shared" si="1492"/>
        <v>0</v>
      </c>
      <c r="AP4299" s="498">
        <f t="shared" si="1489"/>
        <v>0</v>
      </c>
      <c r="AQ4299" s="498">
        <f t="shared" si="1506"/>
        <v>0</v>
      </c>
      <c r="AU4299" s="498">
        <f t="shared" si="1493"/>
        <v>0</v>
      </c>
      <c r="AV4299" s="498">
        <f t="shared" si="1494"/>
        <v>0</v>
      </c>
      <c r="AW4299" s="498">
        <f t="shared" si="1495"/>
        <v>0</v>
      </c>
      <c r="AX4299" s="498">
        <f t="shared" si="1496"/>
        <v>0</v>
      </c>
      <c r="AY4299" s="498">
        <f t="shared" si="1497"/>
        <v>0</v>
      </c>
      <c r="BB4299" s="498" t="str">
        <f t="shared" si="1498"/>
        <v/>
      </c>
      <c r="BC4299" s="743" t="str">
        <f t="shared" si="1499"/>
        <v/>
      </c>
      <c r="BD4299" s="743" t="str">
        <f t="shared" si="1500"/>
        <v/>
      </c>
      <c r="BE4299" s="743" t="str">
        <f>IF(D4299="","",VLOOKUP(D4299,'General Basis'!$J$39:$K$46,2,0))</f>
        <v/>
      </c>
      <c r="BF4299" s="744" t="str">
        <f>IF(D4299="","",VLOOKUP(D4299,'General Basis'!$J$39:$L$46,3,0))</f>
        <v/>
      </c>
      <c r="BG4299" s="744" t="str">
        <f t="shared" si="1507"/>
        <v/>
      </c>
      <c r="BH4299" s="744" t="str">
        <f>IF(G4299="","",IF(BF4299="Abu Dhabi",IF(G4299&lt;18,'General Basis'!$C$39,IF(G4299&lt;41,'General Basis'!$C$40,IF(G4299&lt;60,'General Basis'!$C$41,IF(G4299&lt;65,'General Basis'!$C$42,'General Basis'!$C$43)))),IF(G4299&lt;11,'General Basis'!$B$39,IF(G4299&lt;18,'General Basis'!$B$40,IF(G4299&lt;26,'General Basis'!$B$41,IF(G4299&lt;31,'General Basis'!$B$42,IF(G4299&lt;36,'General Basis'!$B$43,IF(G4299&lt;41,'General Basis'!$B$44,IF(G4299&lt;46,'General Basis'!$B$45,IF(G4299&lt;51,'General Basis'!$B$46,IF(G4299&lt;56,'General Basis'!$B$47,IF(G4299&lt;60,'General Basis'!$B$48,IF(G4299&lt;65,'General Basis'!$B$49,'General Basis'!$B$50)))))))))))))</f>
        <v/>
      </c>
      <c r="BI4299" s="744" t="str">
        <f t="shared" si="1501"/>
        <v/>
      </c>
      <c r="BJ4299" s="747" t="str">
        <f t="shared" si="1508"/>
        <v/>
      </c>
      <c r="BK4299" s="498" t="str">
        <f t="shared" si="1502"/>
        <v/>
      </c>
      <c r="BL4299" s="498" t="str">
        <f t="shared" si="1503"/>
        <v/>
      </c>
    </row>
    <row r="4300" spans="1:64" x14ac:dyDescent="0.25">
      <c r="A4300" s="762">
        <f t="shared" si="1504"/>
        <v>4295</v>
      </c>
      <c r="B4300" s="229"/>
      <c r="C4300" s="223"/>
      <c r="D4300" s="224"/>
      <c r="E4300" s="225"/>
      <c r="F4300" s="1036" t="str">
        <f t="shared" si="1488"/>
        <v/>
      </c>
      <c r="G4300" s="1037" t="str">
        <f t="shared" si="1505"/>
        <v/>
      </c>
      <c r="H4300" s="225"/>
      <c r="I4300" s="1013"/>
      <c r="J4300" s="1013"/>
      <c r="K4300" s="1028"/>
      <c r="L4300" s="1035" t="str">
        <f t="shared" si="1509"/>
        <v/>
      </c>
      <c r="S4300" s="498"/>
      <c r="AJ4300" s="498"/>
      <c r="AM4300" s="498">
        <f t="shared" si="1490"/>
        <v>0</v>
      </c>
      <c r="AN4300" s="498">
        <f t="shared" si="1491"/>
        <v>0</v>
      </c>
      <c r="AO4300" s="498">
        <f t="shared" si="1492"/>
        <v>0</v>
      </c>
      <c r="AP4300" s="498">
        <f t="shared" si="1489"/>
        <v>0</v>
      </c>
      <c r="AQ4300" s="498">
        <f t="shared" si="1506"/>
        <v>0</v>
      </c>
      <c r="AU4300" s="498">
        <f t="shared" si="1493"/>
        <v>0</v>
      </c>
      <c r="AV4300" s="498">
        <f t="shared" si="1494"/>
        <v>0</v>
      </c>
      <c r="AW4300" s="498">
        <f t="shared" si="1495"/>
        <v>0</v>
      </c>
      <c r="AX4300" s="498">
        <f t="shared" si="1496"/>
        <v>0</v>
      </c>
      <c r="AY4300" s="498">
        <f t="shared" si="1497"/>
        <v>0</v>
      </c>
      <c r="BB4300" s="498" t="str">
        <f t="shared" si="1498"/>
        <v/>
      </c>
      <c r="BC4300" s="743" t="str">
        <f t="shared" si="1499"/>
        <v/>
      </c>
      <c r="BD4300" s="743" t="str">
        <f t="shared" si="1500"/>
        <v/>
      </c>
      <c r="BE4300" s="743" t="str">
        <f>IF(D4300="","",VLOOKUP(D4300,'General Basis'!$J$39:$K$46,2,0))</f>
        <v/>
      </c>
      <c r="BF4300" s="744" t="str">
        <f>IF(D4300="","",VLOOKUP(D4300,'General Basis'!$J$39:$L$46,3,0))</f>
        <v/>
      </c>
      <c r="BG4300" s="744" t="str">
        <f t="shared" si="1507"/>
        <v/>
      </c>
      <c r="BH4300" s="744" t="str">
        <f>IF(G4300="","",IF(BF4300="Abu Dhabi",IF(G4300&lt;18,'General Basis'!$C$39,IF(G4300&lt;41,'General Basis'!$C$40,IF(G4300&lt;60,'General Basis'!$C$41,IF(G4300&lt;65,'General Basis'!$C$42,'General Basis'!$C$43)))),IF(G4300&lt;11,'General Basis'!$B$39,IF(G4300&lt;18,'General Basis'!$B$40,IF(G4300&lt;26,'General Basis'!$B$41,IF(G4300&lt;31,'General Basis'!$B$42,IF(G4300&lt;36,'General Basis'!$B$43,IF(G4300&lt;41,'General Basis'!$B$44,IF(G4300&lt;46,'General Basis'!$B$45,IF(G4300&lt;51,'General Basis'!$B$46,IF(G4300&lt;56,'General Basis'!$B$47,IF(G4300&lt;60,'General Basis'!$B$48,IF(G4300&lt;65,'General Basis'!$B$49,'General Basis'!$B$50)))))))))))))</f>
        <v/>
      </c>
      <c r="BI4300" s="744" t="str">
        <f t="shared" si="1501"/>
        <v/>
      </c>
      <c r="BJ4300" s="747" t="str">
        <f t="shared" si="1508"/>
        <v/>
      </c>
      <c r="BK4300" s="498" t="str">
        <f t="shared" si="1502"/>
        <v/>
      </c>
      <c r="BL4300" s="498" t="str">
        <f t="shared" si="1503"/>
        <v/>
      </c>
    </row>
    <row r="4301" spans="1:64" x14ac:dyDescent="0.25">
      <c r="A4301" s="762">
        <f t="shared" si="1504"/>
        <v>4296</v>
      </c>
      <c r="B4301" s="229"/>
      <c r="C4301" s="223"/>
      <c r="D4301" s="224"/>
      <c r="E4301" s="225"/>
      <c r="F4301" s="1036" t="str">
        <f t="shared" si="1488"/>
        <v/>
      </c>
      <c r="G4301" s="1037" t="str">
        <f t="shared" si="1505"/>
        <v/>
      </c>
      <c r="H4301" s="225"/>
      <c r="I4301" s="1013"/>
      <c r="J4301" s="1013"/>
      <c r="K4301" s="1028"/>
      <c r="L4301" s="1035" t="str">
        <f t="shared" si="1509"/>
        <v/>
      </c>
      <c r="S4301" s="498"/>
      <c r="AJ4301" s="498"/>
      <c r="AM4301" s="498">
        <f t="shared" si="1490"/>
        <v>0</v>
      </c>
      <c r="AN4301" s="498">
        <f t="shared" si="1491"/>
        <v>0</v>
      </c>
      <c r="AO4301" s="498">
        <f t="shared" si="1492"/>
        <v>0</v>
      </c>
      <c r="AP4301" s="498">
        <f t="shared" si="1489"/>
        <v>0</v>
      </c>
      <c r="AQ4301" s="498">
        <f t="shared" si="1506"/>
        <v>0</v>
      </c>
      <c r="AU4301" s="498">
        <f t="shared" si="1493"/>
        <v>0</v>
      </c>
      <c r="AV4301" s="498">
        <f t="shared" si="1494"/>
        <v>0</v>
      </c>
      <c r="AW4301" s="498">
        <f t="shared" si="1495"/>
        <v>0</v>
      </c>
      <c r="AX4301" s="498">
        <f t="shared" si="1496"/>
        <v>0</v>
      </c>
      <c r="AY4301" s="498">
        <f t="shared" si="1497"/>
        <v>0</v>
      </c>
      <c r="BB4301" s="498" t="str">
        <f t="shared" si="1498"/>
        <v/>
      </c>
      <c r="BC4301" s="743" t="str">
        <f t="shared" si="1499"/>
        <v/>
      </c>
      <c r="BD4301" s="743" t="str">
        <f t="shared" si="1500"/>
        <v/>
      </c>
      <c r="BE4301" s="743" t="str">
        <f>IF(D4301="","",VLOOKUP(D4301,'General Basis'!$J$39:$K$46,2,0))</f>
        <v/>
      </c>
      <c r="BF4301" s="744" t="str">
        <f>IF(D4301="","",VLOOKUP(D4301,'General Basis'!$J$39:$L$46,3,0))</f>
        <v/>
      </c>
      <c r="BG4301" s="744" t="str">
        <f t="shared" si="1507"/>
        <v/>
      </c>
      <c r="BH4301" s="744" t="str">
        <f>IF(G4301="","",IF(BF4301="Abu Dhabi",IF(G4301&lt;18,'General Basis'!$C$39,IF(G4301&lt;41,'General Basis'!$C$40,IF(G4301&lt;60,'General Basis'!$C$41,IF(G4301&lt;65,'General Basis'!$C$42,'General Basis'!$C$43)))),IF(G4301&lt;11,'General Basis'!$B$39,IF(G4301&lt;18,'General Basis'!$B$40,IF(G4301&lt;26,'General Basis'!$B$41,IF(G4301&lt;31,'General Basis'!$B$42,IF(G4301&lt;36,'General Basis'!$B$43,IF(G4301&lt;41,'General Basis'!$B$44,IF(G4301&lt;46,'General Basis'!$B$45,IF(G4301&lt;51,'General Basis'!$B$46,IF(G4301&lt;56,'General Basis'!$B$47,IF(G4301&lt;60,'General Basis'!$B$48,IF(G4301&lt;65,'General Basis'!$B$49,'General Basis'!$B$50)))))))))))))</f>
        <v/>
      </c>
      <c r="BI4301" s="744" t="str">
        <f t="shared" si="1501"/>
        <v/>
      </c>
      <c r="BJ4301" s="747" t="str">
        <f t="shared" si="1508"/>
        <v/>
      </c>
      <c r="BK4301" s="498" t="str">
        <f t="shared" si="1502"/>
        <v/>
      </c>
      <c r="BL4301" s="498" t="str">
        <f t="shared" si="1503"/>
        <v/>
      </c>
    </row>
    <row r="4302" spans="1:64" x14ac:dyDescent="0.25">
      <c r="A4302" s="762">
        <f t="shared" si="1504"/>
        <v>4297</v>
      </c>
      <c r="B4302" s="229"/>
      <c r="C4302" s="223"/>
      <c r="D4302" s="224"/>
      <c r="E4302" s="225"/>
      <c r="F4302" s="1036" t="str">
        <f t="shared" si="1488"/>
        <v/>
      </c>
      <c r="G4302" s="1037" t="str">
        <f t="shared" si="1505"/>
        <v/>
      </c>
      <c r="H4302" s="225"/>
      <c r="I4302" s="1013"/>
      <c r="J4302" s="1013"/>
      <c r="K4302" s="1028"/>
      <c r="L4302" s="1035" t="str">
        <f t="shared" si="1509"/>
        <v/>
      </c>
      <c r="S4302" s="498"/>
      <c r="AJ4302" s="498"/>
      <c r="AM4302" s="498">
        <f t="shared" si="1490"/>
        <v>0</v>
      </c>
      <c r="AN4302" s="498">
        <f t="shared" si="1491"/>
        <v>0</v>
      </c>
      <c r="AO4302" s="498">
        <f t="shared" si="1492"/>
        <v>0</v>
      </c>
      <c r="AP4302" s="498">
        <f t="shared" si="1489"/>
        <v>0</v>
      </c>
      <c r="AQ4302" s="498">
        <f t="shared" si="1506"/>
        <v>0</v>
      </c>
      <c r="AU4302" s="498">
        <f t="shared" si="1493"/>
        <v>0</v>
      </c>
      <c r="AV4302" s="498">
        <f t="shared" si="1494"/>
        <v>0</v>
      </c>
      <c r="AW4302" s="498">
        <f t="shared" si="1495"/>
        <v>0</v>
      </c>
      <c r="AX4302" s="498">
        <f t="shared" si="1496"/>
        <v>0</v>
      </c>
      <c r="AY4302" s="498">
        <f t="shared" si="1497"/>
        <v>0</v>
      </c>
      <c r="BB4302" s="498" t="str">
        <f t="shared" si="1498"/>
        <v/>
      </c>
      <c r="BC4302" s="743" t="str">
        <f t="shared" si="1499"/>
        <v/>
      </c>
      <c r="BD4302" s="743" t="str">
        <f t="shared" si="1500"/>
        <v/>
      </c>
      <c r="BE4302" s="743" t="str">
        <f>IF(D4302="","",VLOOKUP(D4302,'General Basis'!$J$39:$K$46,2,0))</f>
        <v/>
      </c>
      <c r="BF4302" s="744" t="str">
        <f>IF(D4302="","",VLOOKUP(D4302,'General Basis'!$J$39:$L$46,3,0))</f>
        <v/>
      </c>
      <c r="BG4302" s="744" t="str">
        <f t="shared" si="1507"/>
        <v/>
      </c>
      <c r="BH4302" s="744" t="str">
        <f>IF(G4302="","",IF(BF4302="Abu Dhabi",IF(G4302&lt;18,'General Basis'!$C$39,IF(G4302&lt;41,'General Basis'!$C$40,IF(G4302&lt;60,'General Basis'!$C$41,IF(G4302&lt;65,'General Basis'!$C$42,'General Basis'!$C$43)))),IF(G4302&lt;11,'General Basis'!$B$39,IF(G4302&lt;18,'General Basis'!$B$40,IF(G4302&lt;26,'General Basis'!$B$41,IF(G4302&lt;31,'General Basis'!$B$42,IF(G4302&lt;36,'General Basis'!$B$43,IF(G4302&lt;41,'General Basis'!$B$44,IF(G4302&lt;46,'General Basis'!$B$45,IF(G4302&lt;51,'General Basis'!$B$46,IF(G4302&lt;56,'General Basis'!$B$47,IF(G4302&lt;60,'General Basis'!$B$48,IF(G4302&lt;65,'General Basis'!$B$49,'General Basis'!$B$50)))))))))))))</f>
        <v/>
      </c>
      <c r="BI4302" s="744" t="str">
        <f t="shared" si="1501"/>
        <v/>
      </c>
      <c r="BJ4302" s="747" t="str">
        <f t="shared" si="1508"/>
        <v/>
      </c>
      <c r="BK4302" s="498" t="str">
        <f t="shared" si="1502"/>
        <v/>
      </c>
      <c r="BL4302" s="498" t="str">
        <f t="shared" si="1503"/>
        <v/>
      </c>
    </row>
    <row r="4303" spans="1:64" x14ac:dyDescent="0.25">
      <c r="A4303" s="762">
        <f t="shared" si="1504"/>
        <v>4298</v>
      </c>
      <c r="B4303" s="229"/>
      <c r="C4303" s="223"/>
      <c r="D4303" s="224"/>
      <c r="E4303" s="225"/>
      <c r="F4303" s="1036" t="str">
        <f t="shared" si="1488"/>
        <v/>
      </c>
      <c r="G4303" s="1037" t="str">
        <f t="shared" si="1505"/>
        <v/>
      </c>
      <c r="H4303" s="225"/>
      <c r="I4303" s="1013"/>
      <c r="J4303" s="1013"/>
      <c r="K4303" s="1028"/>
      <c r="L4303" s="1035" t="str">
        <f t="shared" si="1509"/>
        <v/>
      </c>
      <c r="S4303" s="498"/>
      <c r="AJ4303" s="498"/>
      <c r="AM4303" s="498">
        <f t="shared" si="1490"/>
        <v>0</v>
      </c>
      <c r="AN4303" s="498">
        <f t="shared" si="1491"/>
        <v>0</v>
      </c>
      <c r="AO4303" s="498">
        <f t="shared" si="1492"/>
        <v>0</v>
      </c>
      <c r="AP4303" s="498">
        <f t="shared" si="1489"/>
        <v>0</v>
      </c>
      <c r="AQ4303" s="498">
        <f t="shared" si="1506"/>
        <v>0</v>
      </c>
      <c r="AU4303" s="498">
        <f t="shared" si="1493"/>
        <v>0</v>
      </c>
      <c r="AV4303" s="498">
        <f t="shared" si="1494"/>
        <v>0</v>
      </c>
      <c r="AW4303" s="498">
        <f t="shared" si="1495"/>
        <v>0</v>
      </c>
      <c r="AX4303" s="498">
        <f t="shared" si="1496"/>
        <v>0</v>
      </c>
      <c r="AY4303" s="498">
        <f t="shared" si="1497"/>
        <v>0</v>
      </c>
      <c r="BB4303" s="498" t="str">
        <f t="shared" si="1498"/>
        <v/>
      </c>
      <c r="BC4303" s="743" t="str">
        <f t="shared" si="1499"/>
        <v/>
      </c>
      <c r="BD4303" s="743" t="str">
        <f t="shared" si="1500"/>
        <v/>
      </c>
      <c r="BE4303" s="743" t="str">
        <f>IF(D4303="","",VLOOKUP(D4303,'General Basis'!$J$39:$K$46,2,0))</f>
        <v/>
      </c>
      <c r="BF4303" s="744" t="str">
        <f>IF(D4303="","",VLOOKUP(D4303,'General Basis'!$J$39:$L$46,3,0))</f>
        <v/>
      </c>
      <c r="BG4303" s="744" t="str">
        <f t="shared" si="1507"/>
        <v/>
      </c>
      <c r="BH4303" s="744" t="str">
        <f>IF(G4303="","",IF(BF4303="Abu Dhabi",IF(G4303&lt;18,'General Basis'!$C$39,IF(G4303&lt;41,'General Basis'!$C$40,IF(G4303&lt;60,'General Basis'!$C$41,IF(G4303&lt;65,'General Basis'!$C$42,'General Basis'!$C$43)))),IF(G4303&lt;11,'General Basis'!$B$39,IF(G4303&lt;18,'General Basis'!$B$40,IF(G4303&lt;26,'General Basis'!$B$41,IF(G4303&lt;31,'General Basis'!$B$42,IF(G4303&lt;36,'General Basis'!$B$43,IF(G4303&lt;41,'General Basis'!$B$44,IF(G4303&lt;46,'General Basis'!$B$45,IF(G4303&lt;51,'General Basis'!$B$46,IF(G4303&lt;56,'General Basis'!$B$47,IF(G4303&lt;60,'General Basis'!$B$48,IF(G4303&lt;65,'General Basis'!$B$49,'General Basis'!$B$50)))))))))))))</f>
        <v/>
      </c>
      <c r="BI4303" s="744" t="str">
        <f t="shared" si="1501"/>
        <v/>
      </c>
      <c r="BJ4303" s="747" t="str">
        <f t="shared" si="1508"/>
        <v/>
      </c>
      <c r="BK4303" s="498" t="str">
        <f t="shared" si="1502"/>
        <v/>
      </c>
      <c r="BL4303" s="498" t="str">
        <f t="shared" si="1503"/>
        <v/>
      </c>
    </row>
    <row r="4304" spans="1:64" x14ac:dyDescent="0.25">
      <c r="A4304" s="762">
        <f t="shared" si="1504"/>
        <v>4299</v>
      </c>
      <c r="B4304" s="229"/>
      <c r="C4304" s="223"/>
      <c r="D4304" s="224"/>
      <c r="E4304" s="225"/>
      <c r="F4304" s="1036" t="str">
        <f t="shared" ref="F4304:F4367" si="1510">IF(C4304="","",IF($B4304="","",((YEAR($F$3)-YEAR($B4304))+(MONTH($F$3)-MONTH($B4304))/12+(DAY($F$3)-DAY($B4304))/(DATE(YEAR($F$3),12,31)-DATE(YEAR($F$3),1,1)+1))))</f>
        <v/>
      </c>
      <c r="G4304" s="1037" t="str">
        <f t="shared" si="1505"/>
        <v/>
      </c>
      <c r="H4304" s="225"/>
      <c r="I4304" s="1013"/>
      <c r="J4304" s="1013"/>
      <c r="K4304" s="1028"/>
      <c r="L4304" s="1035" t="str">
        <f t="shared" si="1509"/>
        <v/>
      </c>
      <c r="S4304" s="498"/>
      <c r="AJ4304" s="498"/>
      <c r="AM4304" s="498">
        <f t="shared" si="1490"/>
        <v>0</v>
      </c>
      <c r="AN4304" s="498">
        <f t="shared" si="1491"/>
        <v>0</v>
      </c>
      <c r="AO4304" s="498">
        <f t="shared" si="1492"/>
        <v>0</v>
      </c>
      <c r="AP4304" s="498">
        <f t="shared" si="1489"/>
        <v>0</v>
      </c>
      <c r="AQ4304" s="498">
        <f t="shared" si="1506"/>
        <v>0</v>
      </c>
      <c r="AU4304" s="498">
        <f t="shared" si="1493"/>
        <v>0</v>
      </c>
      <c r="AV4304" s="498">
        <f t="shared" si="1494"/>
        <v>0</v>
      </c>
      <c r="AW4304" s="498">
        <f t="shared" si="1495"/>
        <v>0</v>
      </c>
      <c r="AX4304" s="498">
        <f t="shared" si="1496"/>
        <v>0</v>
      </c>
      <c r="AY4304" s="498">
        <f t="shared" si="1497"/>
        <v>0</v>
      </c>
      <c r="BB4304" s="498" t="str">
        <f t="shared" si="1498"/>
        <v/>
      </c>
      <c r="BC4304" s="743" t="str">
        <f t="shared" si="1499"/>
        <v/>
      </c>
      <c r="BD4304" s="743" t="str">
        <f t="shared" si="1500"/>
        <v/>
      </c>
      <c r="BE4304" s="743" t="str">
        <f>IF(D4304="","",VLOOKUP(D4304,'General Basis'!$J$39:$K$46,2,0))</f>
        <v/>
      </c>
      <c r="BF4304" s="744" t="str">
        <f>IF(D4304="","",VLOOKUP(D4304,'General Basis'!$J$39:$L$46,3,0))</f>
        <v/>
      </c>
      <c r="BG4304" s="744" t="str">
        <f t="shared" si="1507"/>
        <v/>
      </c>
      <c r="BH4304" s="744" t="str">
        <f>IF(G4304="","",IF(BF4304="Abu Dhabi",IF(G4304&lt;18,'General Basis'!$C$39,IF(G4304&lt;41,'General Basis'!$C$40,IF(G4304&lt;60,'General Basis'!$C$41,IF(G4304&lt;65,'General Basis'!$C$42,'General Basis'!$C$43)))),IF(G4304&lt;11,'General Basis'!$B$39,IF(G4304&lt;18,'General Basis'!$B$40,IF(G4304&lt;26,'General Basis'!$B$41,IF(G4304&lt;31,'General Basis'!$B$42,IF(G4304&lt;36,'General Basis'!$B$43,IF(G4304&lt;41,'General Basis'!$B$44,IF(G4304&lt;46,'General Basis'!$B$45,IF(G4304&lt;51,'General Basis'!$B$46,IF(G4304&lt;56,'General Basis'!$B$47,IF(G4304&lt;60,'General Basis'!$B$48,IF(G4304&lt;65,'General Basis'!$B$49,'General Basis'!$B$50)))))))))))))</f>
        <v/>
      </c>
      <c r="BI4304" s="744" t="str">
        <f t="shared" si="1501"/>
        <v/>
      </c>
      <c r="BJ4304" s="747" t="str">
        <f t="shared" si="1508"/>
        <v/>
      </c>
      <c r="BK4304" s="498" t="str">
        <f t="shared" si="1502"/>
        <v/>
      </c>
      <c r="BL4304" s="498" t="str">
        <f t="shared" si="1503"/>
        <v/>
      </c>
    </row>
    <row r="4305" spans="1:64" x14ac:dyDescent="0.25">
      <c r="A4305" s="762">
        <f t="shared" si="1504"/>
        <v>4300</v>
      </c>
      <c r="B4305" s="229"/>
      <c r="C4305" s="223"/>
      <c r="D4305" s="224"/>
      <c r="E4305" s="225"/>
      <c r="F4305" s="1036" t="str">
        <f t="shared" si="1510"/>
        <v/>
      </c>
      <c r="G4305" s="1037" t="str">
        <f t="shared" si="1505"/>
        <v/>
      </c>
      <c r="H4305" s="225"/>
      <c r="I4305" s="1013"/>
      <c r="J4305" s="1013"/>
      <c r="K4305" s="1028"/>
      <c r="L4305" s="1035" t="str">
        <f t="shared" si="1509"/>
        <v/>
      </c>
      <c r="S4305" s="498"/>
      <c r="AJ4305" s="498"/>
      <c r="AM4305" s="498">
        <f t="shared" si="1490"/>
        <v>0</v>
      </c>
      <c r="AN4305" s="498">
        <f t="shared" si="1491"/>
        <v>0</v>
      </c>
      <c r="AO4305" s="498">
        <f t="shared" si="1492"/>
        <v>0</v>
      </c>
      <c r="AP4305" s="498">
        <f t="shared" si="1489"/>
        <v>0</v>
      </c>
      <c r="AQ4305" s="498">
        <f t="shared" si="1506"/>
        <v>0</v>
      </c>
      <c r="AU4305" s="498">
        <f t="shared" si="1493"/>
        <v>0</v>
      </c>
      <c r="AV4305" s="498">
        <f t="shared" si="1494"/>
        <v>0</v>
      </c>
      <c r="AW4305" s="498">
        <f t="shared" si="1495"/>
        <v>0</v>
      </c>
      <c r="AX4305" s="498">
        <f t="shared" si="1496"/>
        <v>0</v>
      </c>
      <c r="AY4305" s="498">
        <f t="shared" si="1497"/>
        <v>0</v>
      </c>
      <c r="BB4305" s="498" t="str">
        <f t="shared" si="1498"/>
        <v/>
      </c>
      <c r="BC4305" s="743" t="str">
        <f t="shared" si="1499"/>
        <v/>
      </c>
      <c r="BD4305" s="743" t="str">
        <f t="shared" si="1500"/>
        <v/>
      </c>
      <c r="BE4305" s="743" t="str">
        <f>IF(D4305="","",VLOOKUP(D4305,'General Basis'!$J$39:$K$46,2,0))</f>
        <v/>
      </c>
      <c r="BF4305" s="744" t="str">
        <f>IF(D4305="","",VLOOKUP(D4305,'General Basis'!$J$39:$L$46,3,0))</f>
        <v/>
      </c>
      <c r="BG4305" s="744" t="str">
        <f t="shared" si="1507"/>
        <v/>
      </c>
      <c r="BH4305" s="744" t="str">
        <f>IF(G4305="","",IF(BF4305="Abu Dhabi",IF(G4305&lt;18,'General Basis'!$C$39,IF(G4305&lt;41,'General Basis'!$C$40,IF(G4305&lt;60,'General Basis'!$C$41,IF(G4305&lt;65,'General Basis'!$C$42,'General Basis'!$C$43)))),IF(G4305&lt;11,'General Basis'!$B$39,IF(G4305&lt;18,'General Basis'!$B$40,IF(G4305&lt;26,'General Basis'!$B$41,IF(G4305&lt;31,'General Basis'!$B$42,IF(G4305&lt;36,'General Basis'!$B$43,IF(G4305&lt;41,'General Basis'!$B$44,IF(G4305&lt;46,'General Basis'!$B$45,IF(G4305&lt;51,'General Basis'!$B$46,IF(G4305&lt;56,'General Basis'!$B$47,IF(G4305&lt;60,'General Basis'!$B$48,IF(G4305&lt;65,'General Basis'!$B$49,'General Basis'!$B$50)))))))))))))</f>
        <v/>
      </c>
      <c r="BI4305" s="744" t="str">
        <f t="shared" si="1501"/>
        <v/>
      </c>
      <c r="BJ4305" s="747" t="str">
        <f t="shared" si="1508"/>
        <v/>
      </c>
      <c r="BK4305" s="498" t="str">
        <f t="shared" si="1502"/>
        <v/>
      </c>
      <c r="BL4305" s="498" t="str">
        <f t="shared" si="1503"/>
        <v/>
      </c>
    </row>
    <row r="4306" spans="1:64" x14ac:dyDescent="0.25">
      <c r="A4306" s="762">
        <f t="shared" si="1504"/>
        <v>4301</v>
      </c>
      <c r="B4306" s="229"/>
      <c r="C4306" s="223"/>
      <c r="D4306" s="224"/>
      <c r="E4306" s="225"/>
      <c r="F4306" s="1036" t="str">
        <f t="shared" si="1510"/>
        <v/>
      </c>
      <c r="G4306" s="1037" t="str">
        <f t="shared" si="1505"/>
        <v/>
      </c>
      <c r="H4306" s="225"/>
      <c r="I4306" s="1013"/>
      <c r="J4306" s="1013"/>
      <c r="K4306" s="1028"/>
      <c r="L4306" s="1035" t="str">
        <f t="shared" si="1509"/>
        <v/>
      </c>
      <c r="S4306" s="498"/>
      <c r="AJ4306" s="498"/>
      <c r="AM4306" s="498">
        <f t="shared" si="1490"/>
        <v>0</v>
      </c>
      <c r="AN4306" s="498">
        <f t="shared" si="1491"/>
        <v>0</v>
      </c>
      <c r="AO4306" s="498">
        <f t="shared" si="1492"/>
        <v>0</v>
      </c>
      <c r="AP4306" s="498">
        <f t="shared" si="1489"/>
        <v>0</v>
      </c>
      <c r="AQ4306" s="498">
        <f t="shared" si="1506"/>
        <v>0</v>
      </c>
      <c r="AU4306" s="498">
        <f t="shared" si="1493"/>
        <v>0</v>
      </c>
      <c r="AV4306" s="498">
        <f t="shared" si="1494"/>
        <v>0</v>
      </c>
      <c r="AW4306" s="498">
        <f t="shared" si="1495"/>
        <v>0</v>
      </c>
      <c r="AX4306" s="498">
        <f t="shared" si="1496"/>
        <v>0</v>
      </c>
      <c r="AY4306" s="498">
        <f t="shared" si="1497"/>
        <v>0</v>
      </c>
      <c r="BB4306" s="498" t="str">
        <f t="shared" si="1498"/>
        <v/>
      </c>
      <c r="BC4306" s="743" t="str">
        <f t="shared" si="1499"/>
        <v/>
      </c>
      <c r="BD4306" s="743" t="str">
        <f t="shared" si="1500"/>
        <v/>
      </c>
      <c r="BE4306" s="743" t="str">
        <f>IF(D4306="","",VLOOKUP(D4306,'General Basis'!$J$39:$K$46,2,0))</f>
        <v/>
      </c>
      <c r="BF4306" s="744" t="str">
        <f>IF(D4306="","",VLOOKUP(D4306,'General Basis'!$J$39:$L$46,3,0))</f>
        <v/>
      </c>
      <c r="BG4306" s="744" t="str">
        <f t="shared" si="1507"/>
        <v/>
      </c>
      <c r="BH4306" s="744" t="str">
        <f>IF(G4306="","",IF(BF4306="Abu Dhabi",IF(G4306&lt;18,'General Basis'!$C$39,IF(G4306&lt;41,'General Basis'!$C$40,IF(G4306&lt;60,'General Basis'!$C$41,IF(G4306&lt;65,'General Basis'!$C$42,'General Basis'!$C$43)))),IF(G4306&lt;11,'General Basis'!$B$39,IF(G4306&lt;18,'General Basis'!$B$40,IF(G4306&lt;26,'General Basis'!$B$41,IF(G4306&lt;31,'General Basis'!$B$42,IF(G4306&lt;36,'General Basis'!$B$43,IF(G4306&lt;41,'General Basis'!$B$44,IF(G4306&lt;46,'General Basis'!$B$45,IF(G4306&lt;51,'General Basis'!$B$46,IF(G4306&lt;56,'General Basis'!$B$47,IF(G4306&lt;60,'General Basis'!$B$48,IF(G4306&lt;65,'General Basis'!$B$49,'General Basis'!$B$50)))))))))))))</f>
        <v/>
      </c>
      <c r="BI4306" s="744" t="str">
        <f t="shared" si="1501"/>
        <v/>
      </c>
      <c r="BJ4306" s="747" t="str">
        <f t="shared" si="1508"/>
        <v/>
      </c>
      <c r="BK4306" s="498" t="str">
        <f t="shared" si="1502"/>
        <v/>
      </c>
      <c r="BL4306" s="498" t="str">
        <f t="shared" si="1503"/>
        <v/>
      </c>
    </row>
    <row r="4307" spans="1:64" x14ac:dyDescent="0.25">
      <c r="A4307" s="762">
        <f t="shared" si="1504"/>
        <v>4302</v>
      </c>
      <c r="B4307" s="229"/>
      <c r="C4307" s="223"/>
      <c r="D4307" s="224"/>
      <c r="E4307" s="225"/>
      <c r="F4307" s="1036" t="str">
        <f t="shared" si="1510"/>
        <v/>
      </c>
      <c r="G4307" s="1037" t="str">
        <f t="shared" si="1505"/>
        <v/>
      </c>
      <c r="H4307" s="225"/>
      <c r="I4307" s="1013"/>
      <c r="J4307" s="1013"/>
      <c r="K4307" s="1028"/>
      <c r="L4307" s="1035" t="str">
        <f t="shared" si="1509"/>
        <v/>
      </c>
      <c r="S4307" s="498"/>
      <c r="AJ4307" s="498"/>
      <c r="AM4307" s="498">
        <f t="shared" si="1490"/>
        <v>0</v>
      </c>
      <c r="AN4307" s="498">
        <f t="shared" si="1491"/>
        <v>0</v>
      </c>
      <c r="AO4307" s="498">
        <f t="shared" si="1492"/>
        <v>0</v>
      </c>
      <c r="AP4307" s="498">
        <f t="shared" ref="AP4307:AP4370" si="1511">IF(ISBLANK($B4307),0,IF(OR($C4307="M",$C4307="F"),0,1))</f>
        <v>0</v>
      </c>
      <c r="AQ4307" s="498">
        <f t="shared" si="1506"/>
        <v>0</v>
      </c>
      <c r="AU4307" s="498">
        <f t="shared" si="1493"/>
        <v>0</v>
      </c>
      <c r="AV4307" s="498">
        <f t="shared" si="1494"/>
        <v>0</v>
      </c>
      <c r="AW4307" s="498">
        <f t="shared" si="1495"/>
        <v>0</v>
      </c>
      <c r="AX4307" s="498">
        <f t="shared" si="1496"/>
        <v>0</v>
      </c>
      <c r="AY4307" s="498">
        <f t="shared" si="1497"/>
        <v>0</v>
      </c>
      <c r="BB4307" s="498" t="str">
        <f t="shared" si="1498"/>
        <v/>
      </c>
      <c r="BC4307" s="743" t="str">
        <f t="shared" si="1499"/>
        <v/>
      </c>
      <c r="BD4307" s="743" t="str">
        <f t="shared" si="1500"/>
        <v/>
      </c>
      <c r="BE4307" s="743" t="str">
        <f>IF(D4307="","",VLOOKUP(D4307,'General Basis'!$J$39:$K$46,2,0))</f>
        <v/>
      </c>
      <c r="BF4307" s="744" t="str">
        <f>IF(D4307="","",VLOOKUP(D4307,'General Basis'!$J$39:$L$46,3,0))</f>
        <v/>
      </c>
      <c r="BG4307" s="744" t="str">
        <f t="shared" si="1507"/>
        <v/>
      </c>
      <c r="BH4307" s="744" t="str">
        <f>IF(G4307="","",IF(BF4307="Abu Dhabi",IF(G4307&lt;18,'General Basis'!$C$39,IF(G4307&lt;41,'General Basis'!$C$40,IF(G4307&lt;60,'General Basis'!$C$41,IF(G4307&lt;65,'General Basis'!$C$42,'General Basis'!$C$43)))),IF(G4307&lt;11,'General Basis'!$B$39,IF(G4307&lt;18,'General Basis'!$B$40,IF(G4307&lt;26,'General Basis'!$B$41,IF(G4307&lt;31,'General Basis'!$B$42,IF(G4307&lt;36,'General Basis'!$B$43,IF(G4307&lt;41,'General Basis'!$B$44,IF(G4307&lt;46,'General Basis'!$B$45,IF(G4307&lt;51,'General Basis'!$B$46,IF(G4307&lt;56,'General Basis'!$B$47,IF(G4307&lt;60,'General Basis'!$B$48,IF(G4307&lt;65,'General Basis'!$B$49,'General Basis'!$B$50)))))))))))))</f>
        <v/>
      </c>
      <c r="BI4307" s="744" t="str">
        <f t="shared" si="1501"/>
        <v/>
      </c>
      <c r="BJ4307" s="747" t="str">
        <f t="shared" si="1508"/>
        <v/>
      </c>
      <c r="BK4307" s="498" t="str">
        <f t="shared" si="1502"/>
        <v/>
      </c>
      <c r="BL4307" s="498" t="str">
        <f t="shared" si="1503"/>
        <v/>
      </c>
    </row>
    <row r="4308" spans="1:64" x14ac:dyDescent="0.25">
      <c r="A4308" s="762">
        <f t="shared" si="1504"/>
        <v>4303</v>
      </c>
      <c r="B4308" s="229"/>
      <c r="C4308" s="223"/>
      <c r="D4308" s="224"/>
      <c r="E4308" s="225"/>
      <c r="F4308" s="1036" t="str">
        <f t="shared" si="1510"/>
        <v/>
      </c>
      <c r="G4308" s="1037" t="str">
        <f t="shared" si="1505"/>
        <v/>
      </c>
      <c r="H4308" s="225"/>
      <c r="I4308" s="1013"/>
      <c r="J4308" s="1013"/>
      <c r="K4308" s="1028"/>
      <c r="L4308" s="1035" t="str">
        <f t="shared" si="1509"/>
        <v/>
      </c>
      <c r="S4308" s="498"/>
      <c r="AJ4308" s="498"/>
      <c r="AM4308" s="498">
        <f t="shared" si="1490"/>
        <v>0</v>
      </c>
      <c r="AN4308" s="498">
        <f t="shared" si="1491"/>
        <v>0</v>
      </c>
      <c r="AO4308" s="498">
        <f t="shared" si="1492"/>
        <v>0</v>
      </c>
      <c r="AP4308" s="498">
        <f t="shared" si="1511"/>
        <v>0</v>
      </c>
      <c r="AQ4308" s="498">
        <f t="shared" si="1506"/>
        <v>0</v>
      </c>
      <c r="AU4308" s="498">
        <f t="shared" si="1493"/>
        <v>0</v>
      </c>
      <c r="AV4308" s="498">
        <f t="shared" si="1494"/>
        <v>0</v>
      </c>
      <c r="AW4308" s="498">
        <f t="shared" si="1495"/>
        <v>0</v>
      </c>
      <c r="AX4308" s="498">
        <f t="shared" si="1496"/>
        <v>0</v>
      </c>
      <c r="AY4308" s="498">
        <f t="shared" si="1497"/>
        <v>0</v>
      </c>
      <c r="BB4308" s="498" t="str">
        <f t="shared" si="1498"/>
        <v/>
      </c>
      <c r="BC4308" s="743" t="str">
        <f t="shared" si="1499"/>
        <v/>
      </c>
      <c r="BD4308" s="743" t="str">
        <f t="shared" si="1500"/>
        <v/>
      </c>
      <c r="BE4308" s="743" t="str">
        <f>IF(D4308="","",VLOOKUP(D4308,'General Basis'!$J$39:$K$46,2,0))</f>
        <v/>
      </c>
      <c r="BF4308" s="744" t="str">
        <f>IF(D4308="","",VLOOKUP(D4308,'General Basis'!$J$39:$L$46,3,0))</f>
        <v/>
      </c>
      <c r="BG4308" s="744" t="str">
        <f t="shared" si="1507"/>
        <v/>
      </c>
      <c r="BH4308" s="744" t="str">
        <f>IF(G4308="","",IF(BF4308="Abu Dhabi",IF(G4308&lt;18,'General Basis'!$C$39,IF(G4308&lt;41,'General Basis'!$C$40,IF(G4308&lt;60,'General Basis'!$C$41,IF(G4308&lt;65,'General Basis'!$C$42,'General Basis'!$C$43)))),IF(G4308&lt;11,'General Basis'!$B$39,IF(G4308&lt;18,'General Basis'!$B$40,IF(G4308&lt;26,'General Basis'!$B$41,IF(G4308&lt;31,'General Basis'!$B$42,IF(G4308&lt;36,'General Basis'!$B$43,IF(G4308&lt;41,'General Basis'!$B$44,IF(G4308&lt;46,'General Basis'!$B$45,IF(G4308&lt;51,'General Basis'!$B$46,IF(G4308&lt;56,'General Basis'!$B$47,IF(G4308&lt;60,'General Basis'!$B$48,IF(G4308&lt;65,'General Basis'!$B$49,'General Basis'!$B$50)))))))))))))</f>
        <v/>
      </c>
      <c r="BI4308" s="744" t="str">
        <f t="shared" si="1501"/>
        <v/>
      </c>
      <c r="BJ4308" s="747" t="str">
        <f t="shared" si="1508"/>
        <v/>
      </c>
      <c r="BK4308" s="498" t="str">
        <f t="shared" si="1502"/>
        <v/>
      </c>
      <c r="BL4308" s="498" t="str">
        <f t="shared" si="1503"/>
        <v/>
      </c>
    </row>
    <row r="4309" spans="1:64" x14ac:dyDescent="0.25">
      <c r="A4309" s="762">
        <f t="shared" si="1504"/>
        <v>4304</v>
      </c>
      <c r="B4309" s="229"/>
      <c r="C4309" s="223"/>
      <c r="D4309" s="224"/>
      <c r="E4309" s="225"/>
      <c r="F4309" s="1036" t="str">
        <f t="shared" si="1510"/>
        <v/>
      </c>
      <c r="G4309" s="1037" t="str">
        <f t="shared" si="1505"/>
        <v/>
      </c>
      <c r="H4309" s="225"/>
      <c r="I4309" s="1013"/>
      <c r="J4309" s="1013"/>
      <c r="K4309" s="1028"/>
      <c r="L4309" s="1035" t="str">
        <f t="shared" si="1509"/>
        <v/>
      </c>
      <c r="S4309" s="498"/>
      <c r="AJ4309" s="498"/>
      <c r="AM4309" s="498">
        <f t="shared" si="1490"/>
        <v>0</v>
      </c>
      <c r="AN4309" s="498">
        <f t="shared" si="1491"/>
        <v>0</v>
      </c>
      <c r="AO4309" s="498">
        <f t="shared" si="1492"/>
        <v>0</v>
      </c>
      <c r="AP4309" s="498">
        <f t="shared" si="1511"/>
        <v>0</v>
      </c>
      <c r="AQ4309" s="498">
        <f t="shared" si="1506"/>
        <v>0</v>
      </c>
      <c r="AU4309" s="498">
        <f t="shared" si="1493"/>
        <v>0</v>
      </c>
      <c r="AV4309" s="498">
        <f t="shared" si="1494"/>
        <v>0</v>
      </c>
      <c r="AW4309" s="498">
        <f t="shared" si="1495"/>
        <v>0</v>
      </c>
      <c r="AX4309" s="498">
        <f t="shared" si="1496"/>
        <v>0</v>
      </c>
      <c r="AY4309" s="498">
        <f t="shared" si="1497"/>
        <v>0</v>
      </c>
      <c r="BB4309" s="498" t="str">
        <f t="shared" si="1498"/>
        <v/>
      </c>
      <c r="BC4309" s="743" t="str">
        <f t="shared" si="1499"/>
        <v/>
      </c>
      <c r="BD4309" s="743" t="str">
        <f t="shared" si="1500"/>
        <v/>
      </c>
      <c r="BE4309" s="743" t="str">
        <f>IF(D4309="","",VLOOKUP(D4309,'General Basis'!$J$39:$K$46,2,0))</f>
        <v/>
      </c>
      <c r="BF4309" s="744" t="str">
        <f>IF(D4309="","",VLOOKUP(D4309,'General Basis'!$J$39:$L$46,3,0))</f>
        <v/>
      </c>
      <c r="BG4309" s="744" t="str">
        <f t="shared" si="1507"/>
        <v/>
      </c>
      <c r="BH4309" s="744" t="str">
        <f>IF(G4309="","",IF(BF4309="Abu Dhabi",IF(G4309&lt;18,'General Basis'!$C$39,IF(G4309&lt;41,'General Basis'!$C$40,IF(G4309&lt;60,'General Basis'!$C$41,IF(G4309&lt;65,'General Basis'!$C$42,'General Basis'!$C$43)))),IF(G4309&lt;11,'General Basis'!$B$39,IF(G4309&lt;18,'General Basis'!$B$40,IF(G4309&lt;26,'General Basis'!$B$41,IF(G4309&lt;31,'General Basis'!$B$42,IF(G4309&lt;36,'General Basis'!$B$43,IF(G4309&lt;41,'General Basis'!$B$44,IF(G4309&lt;46,'General Basis'!$B$45,IF(G4309&lt;51,'General Basis'!$B$46,IF(G4309&lt;56,'General Basis'!$B$47,IF(G4309&lt;60,'General Basis'!$B$48,IF(G4309&lt;65,'General Basis'!$B$49,'General Basis'!$B$50)))))))))))))</f>
        <v/>
      </c>
      <c r="BI4309" s="744" t="str">
        <f t="shared" si="1501"/>
        <v/>
      </c>
      <c r="BJ4309" s="747" t="str">
        <f t="shared" si="1508"/>
        <v/>
      </c>
      <c r="BK4309" s="498" t="str">
        <f t="shared" si="1502"/>
        <v/>
      </c>
      <c r="BL4309" s="498" t="str">
        <f t="shared" si="1503"/>
        <v/>
      </c>
    </row>
    <row r="4310" spans="1:64" x14ac:dyDescent="0.25">
      <c r="A4310" s="762">
        <f t="shared" si="1504"/>
        <v>4305</v>
      </c>
      <c r="B4310" s="229"/>
      <c r="C4310" s="223"/>
      <c r="D4310" s="224"/>
      <c r="E4310" s="225"/>
      <c r="F4310" s="1036" t="str">
        <f t="shared" si="1510"/>
        <v/>
      </c>
      <c r="G4310" s="1037" t="str">
        <f t="shared" si="1505"/>
        <v/>
      </c>
      <c r="H4310" s="225"/>
      <c r="I4310" s="1013"/>
      <c r="J4310" s="1013"/>
      <c r="K4310" s="1028"/>
      <c r="L4310" s="1035" t="str">
        <f t="shared" si="1509"/>
        <v/>
      </c>
      <c r="S4310" s="498"/>
      <c r="AJ4310" s="498"/>
      <c r="AM4310" s="498">
        <f t="shared" si="1490"/>
        <v>0</v>
      </c>
      <c r="AN4310" s="498">
        <f t="shared" si="1491"/>
        <v>0</v>
      </c>
      <c r="AO4310" s="498">
        <f t="shared" si="1492"/>
        <v>0</v>
      </c>
      <c r="AP4310" s="498">
        <f t="shared" si="1511"/>
        <v>0</v>
      </c>
      <c r="AQ4310" s="498">
        <f t="shared" si="1506"/>
        <v>0</v>
      </c>
      <c r="AU4310" s="498">
        <f t="shared" si="1493"/>
        <v>0</v>
      </c>
      <c r="AV4310" s="498">
        <f t="shared" si="1494"/>
        <v>0</v>
      </c>
      <c r="AW4310" s="498">
        <f t="shared" si="1495"/>
        <v>0</v>
      </c>
      <c r="AX4310" s="498">
        <f t="shared" si="1496"/>
        <v>0</v>
      </c>
      <c r="AY4310" s="498">
        <f t="shared" si="1497"/>
        <v>0</v>
      </c>
      <c r="BB4310" s="498" t="str">
        <f t="shared" si="1498"/>
        <v/>
      </c>
      <c r="BC4310" s="743" t="str">
        <f t="shared" si="1499"/>
        <v/>
      </c>
      <c r="BD4310" s="743" t="str">
        <f t="shared" si="1500"/>
        <v/>
      </c>
      <c r="BE4310" s="743" t="str">
        <f>IF(D4310="","",VLOOKUP(D4310,'General Basis'!$J$39:$K$46,2,0))</f>
        <v/>
      </c>
      <c r="BF4310" s="744" t="str">
        <f>IF(D4310="","",VLOOKUP(D4310,'General Basis'!$J$39:$L$46,3,0))</f>
        <v/>
      </c>
      <c r="BG4310" s="744" t="str">
        <f t="shared" si="1507"/>
        <v/>
      </c>
      <c r="BH4310" s="744" t="str">
        <f>IF(G4310="","",IF(BF4310="Abu Dhabi",IF(G4310&lt;18,'General Basis'!$C$39,IF(G4310&lt;41,'General Basis'!$C$40,IF(G4310&lt;60,'General Basis'!$C$41,IF(G4310&lt;65,'General Basis'!$C$42,'General Basis'!$C$43)))),IF(G4310&lt;11,'General Basis'!$B$39,IF(G4310&lt;18,'General Basis'!$B$40,IF(G4310&lt;26,'General Basis'!$B$41,IF(G4310&lt;31,'General Basis'!$B$42,IF(G4310&lt;36,'General Basis'!$B$43,IF(G4310&lt;41,'General Basis'!$B$44,IF(G4310&lt;46,'General Basis'!$B$45,IF(G4310&lt;51,'General Basis'!$B$46,IF(G4310&lt;56,'General Basis'!$B$47,IF(G4310&lt;60,'General Basis'!$B$48,IF(G4310&lt;65,'General Basis'!$B$49,'General Basis'!$B$50)))))))))))))</f>
        <v/>
      </c>
      <c r="BI4310" s="744" t="str">
        <f t="shared" si="1501"/>
        <v/>
      </c>
      <c r="BJ4310" s="747" t="str">
        <f t="shared" si="1508"/>
        <v/>
      </c>
      <c r="BK4310" s="498" t="str">
        <f t="shared" si="1502"/>
        <v/>
      </c>
      <c r="BL4310" s="498" t="str">
        <f t="shared" si="1503"/>
        <v/>
      </c>
    </row>
    <row r="4311" spans="1:64" x14ac:dyDescent="0.25">
      <c r="A4311" s="762">
        <f t="shared" si="1504"/>
        <v>4306</v>
      </c>
      <c r="B4311" s="229"/>
      <c r="C4311" s="223"/>
      <c r="D4311" s="224"/>
      <c r="E4311" s="225"/>
      <c r="F4311" s="1036" t="str">
        <f t="shared" si="1510"/>
        <v/>
      </c>
      <c r="G4311" s="1037" t="str">
        <f t="shared" si="1505"/>
        <v/>
      </c>
      <c r="H4311" s="225"/>
      <c r="I4311" s="1013"/>
      <c r="J4311" s="1013"/>
      <c r="K4311" s="1028"/>
      <c r="L4311" s="1035" t="str">
        <f t="shared" si="1509"/>
        <v/>
      </c>
      <c r="S4311" s="498"/>
      <c r="AJ4311" s="498"/>
      <c r="AM4311" s="498">
        <f t="shared" si="1490"/>
        <v>0</v>
      </c>
      <c r="AN4311" s="498">
        <f t="shared" si="1491"/>
        <v>0</v>
      </c>
      <c r="AO4311" s="498">
        <f t="shared" si="1492"/>
        <v>0</v>
      </c>
      <c r="AP4311" s="498">
        <f t="shared" si="1511"/>
        <v>0</v>
      </c>
      <c r="AQ4311" s="498">
        <f t="shared" si="1506"/>
        <v>0</v>
      </c>
      <c r="AU4311" s="498">
        <f t="shared" si="1493"/>
        <v>0</v>
      </c>
      <c r="AV4311" s="498">
        <f t="shared" si="1494"/>
        <v>0</v>
      </c>
      <c r="AW4311" s="498">
        <f t="shared" si="1495"/>
        <v>0</v>
      </c>
      <c r="AX4311" s="498">
        <f t="shared" si="1496"/>
        <v>0</v>
      </c>
      <c r="AY4311" s="498">
        <f t="shared" si="1497"/>
        <v>0</v>
      </c>
      <c r="BB4311" s="498" t="str">
        <f t="shared" si="1498"/>
        <v/>
      </c>
      <c r="BC4311" s="743" t="str">
        <f t="shared" si="1499"/>
        <v/>
      </c>
      <c r="BD4311" s="743" t="str">
        <f t="shared" si="1500"/>
        <v/>
      </c>
      <c r="BE4311" s="743" t="str">
        <f>IF(D4311="","",VLOOKUP(D4311,'General Basis'!$J$39:$K$46,2,0))</f>
        <v/>
      </c>
      <c r="BF4311" s="744" t="str">
        <f>IF(D4311="","",VLOOKUP(D4311,'General Basis'!$J$39:$L$46,3,0))</f>
        <v/>
      </c>
      <c r="BG4311" s="744" t="str">
        <f t="shared" si="1507"/>
        <v/>
      </c>
      <c r="BH4311" s="744" t="str">
        <f>IF(G4311="","",IF(BF4311="Abu Dhabi",IF(G4311&lt;18,'General Basis'!$C$39,IF(G4311&lt;41,'General Basis'!$C$40,IF(G4311&lt;60,'General Basis'!$C$41,IF(G4311&lt;65,'General Basis'!$C$42,'General Basis'!$C$43)))),IF(G4311&lt;11,'General Basis'!$B$39,IF(G4311&lt;18,'General Basis'!$B$40,IF(G4311&lt;26,'General Basis'!$B$41,IF(G4311&lt;31,'General Basis'!$B$42,IF(G4311&lt;36,'General Basis'!$B$43,IF(G4311&lt;41,'General Basis'!$B$44,IF(G4311&lt;46,'General Basis'!$B$45,IF(G4311&lt;51,'General Basis'!$B$46,IF(G4311&lt;56,'General Basis'!$B$47,IF(G4311&lt;60,'General Basis'!$B$48,IF(G4311&lt;65,'General Basis'!$B$49,'General Basis'!$B$50)))))))))))))</f>
        <v/>
      </c>
      <c r="BI4311" s="744" t="str">
        <f t="shared" si="1501"/>
        <v/>
      </c>
      <c r="BJ4311" s="747" t="str">
        <f t="shared" si="1508"/>
        <v/>
      </c>
      <c r="BK4311" s="498" t="str">
        <f t="shared" si="1502"/>
        <v/>
      </c>
      <c r="BL4311" s="498" t="str">
        <f t="shared" si="1503"/>
        <v/>
      </c>
    </row>
    <row r="4312" spans="1:64" x14ac:dyDescent="0.25">
      <c r="A4312" s="762">
        <f t="shared" si="1504"/>
        <v>4307</v>
      </c>
      <c r="B4312" s="229"/>
      <c r="C4312" s="223"/>
      <c r="D4312" s="224"/>
      <c r="E4312" s="225"/>
      <c r="F4312" s="1036" t="str">
        <f t="shared" si="1510"/>
        <v/>
      </c>
      <c r="G4312" s="1037" t="str">
        <f t="shared" si="1505"/>
        <v/>
      </c>
      <c r="H4312" s="225"/>
      <c r="I4312" s="1013"/>
      <c r="J4312" s="1013"/>
      <c r="K4312" s="1028"/>
      <c r="L4312" s="1035" t="str">
        <f t="shared" si="1509"/>
        <v/>
      </c>
      <c r="S4312" s="498"/>
      <c r="AJ4312" s="498"/>
      <c r="AM4312" s="498">
        <f t="shared" si="1490"/>
        <v>0</v>
      </c>
      <c r="AN4312" s="498">
        <f t="shared" si="1491"/>
        <v>0</v>
      </c>
      <c r="AO4312" s="498">
        <f t="shared" si="1492"/>
        <v>0</v>
      </c>
      <c r="AP4312" s="498">
        <f t="shared" si="1511"/>
        <v>0</v>
      </c>
      <c r="AQ4312" s="498">
        <f t="shared" si="1506"/>
        <v>0</v>
      </c>
      <c r="AU4312" s="498">
        <f t="shared" si="1493"/>
        <v>0</v>
      </c>
      <c r="AV4312" s="498">
        <f t="shared" si="1494"/>
        <v>0</v>
      </c>
      <c r="AW4312" s="498">
        <f t="shared" si="1495"/>
        <v>0</v>
      </c>
      <c r="AX4312" s="498">
        <f t="shared" si="1496"/>
        <v>0</v>
      </c>
      <c r="AY4312" s="498">
        <f t="shared" si="1497"/>
        <v>0</v>
      </c>
      <c r="BB4312" s="498" t="str">
        <f t="shared" si="1498"/>
        <v/>
      </c>
      <c r="BC4312" s="743" t="str">
        <f t="shared" si="1499"/>
        <v/>
      </c>
      <c r="BD4312" s="743" t="str">
        <f t="shared" si="1500"/>
        <v/>
      </c>
      <c r="BE4312" s="743" t="str">
        <f>IF(D4312="","",VLOOKUP(D4312,'General Basis'!$J$39:$K$46,2,0))</f>
        <v/>
      </c>
      <c r="BF4312" s="744" t="str">
        <f>IF(D4312="","",VLOOKUP(D4312,'General Basis'!$J$39:$L$46,3,0))</f>
        <v/>
      </c>
      <c r="BG4312" s="744" t="str">
        <f t="shared" si="1507"/>
        <v/>
      </c>
      <c r="BH4312" s="744" t="str">
        <f>IF(G4312="","",IF(BF4312="Abu Dhabi",IF(G4312&lt;18,'General Basis'!$C$39,IF(G4312&lt;41,'General Basis'!$C$40,IF(G4312&lt;60,'General Basis'!$C$41,IF(G4312&lt;65,'General Basis'!$C$42,'General Basis'!$C$43)))),IF(G4312&lt;11,'General Basis'!$B$39,IF(G4312&lt;18,'General Basis'!$B$40,IF(G4312&lt;26,'General Basis'!$B$41,IF(G4312&lt;31,'General Basis'!$B$42,IF(G4312&lt;36,'General Basis'!$B$43,IF(G4312&lt;41,'General Basis'!$B$44,IF(G4312&lt;46,'General Basis'!$B$45,IF(G4312&lt;51,'General Basis'!$B$46,IF(G4312&lt;56,'General Basis'!$B$47,IF(G4312&lt;60,'General Basis'!$B$48,IF(G4312&lt;65,'General Basis'!$B$49,'General Basis'!$B$50)))))))))))))</f>
        <v/>
      </c>
      <c r="BI4312" s="744" t="str">
        <f t="shared" si="1501"/>
        <v/>
      </c>
      <c r="BJ4312" s="747" t="str">
        <f t="shared" si="1508"/>
        <v/>
      </c>
      <c r="BK4312" s="498" t="str">
        <f t="shared" si="1502"/>
        <v/>
      </c>
      <c r="BL4312" s="498" t="str">
        <f t="shared" si="1503"/>
        <v/>
      </c>
    </row>
    <row r="4313" spans="1:64" x14ac:dyDescent="0.25">
      <c r="A4313" s="762">
        <f t="shared" si="1504"/>
        <v>4308</v>
      </c>
      <c r="B4313" s="229"/>
      <c r="C4313" s="223"/>
      <c r="D4313" s="224"/>
      <c r="E4313" s="225"/>
      <c r="F4313" s="1036" t="str">
        <f t="shared" si="1510"/>
        <v/>
      </c>
      <c r="G4313" s="1037" t="str">
        <f t="shared" si="1505"/>
        <v/>
      </c>
      <c r="H4313" s="225"/>
      <c r="I4313" s="1013"/>
      <c r="J4313" s="1013"/>
      <c r="K4313" s="1028"/>
      <c r="L4313" s="1035" t="str">
        <f t="shared" si="1509"/>
        <v/>
      </c>
      <c r="S4313" s="498"/>
      <c r="AJ4313" s="498"/>
      <c r="AM4313" s="498">
        <f t="shared" si="1490"/>
        <v>0</v>
      </c>
      <c r="AN4313" s="498">
        <f t="shared" si="1491"/>
        <v>0</v>
      </c>
      <c r="AO4313" s="498">
        <f t="shared" si="1492"/>
        <v>0</v>
      </c>
      <c r="AP4313" s="498">
        <f t="shared" si="1511"/>
        <v>0</v>
      </c>
      <c r="AQ4313" s="498">
        <f t="shared" si="1506"/>
        <v>0</v>
      </c>
      <c r="AU4313" s="498">
        <f t="shared" si="1493"/>
        <v>0</v>
      </c>
      <c r="AV4313" s="498">
        <f t="shared" si="1494"/>
        <v>0</v>
      </c>
      <c r="AW4313" s="498">
        <f t="shared" si="1495"/>
        <v>0</v>
      </c>
      <c r="AX4313" s="498">
        <f t="shared" si="1496"/>
        <v>0</v>
      </c>
      <c r="AY4313" s="498">
        <f t="shared" si="1497"/>
        <v>0</v>
      </c>
      <c r="BB4313" s="498" t="str">
        <f t="shared" si="1498"/>
        <v/>
      </c>
      <c r="BC4313" s="743" t="str">
        <f t="shared" si="1499"/>
        <v/>
      </c>
      <c r="BD4313" s="743" t="str">
        <f t="shared" si="1500"/>
        <v/>
      </c>
      <c r="BE4313" s="743" t="str">
        <f>IF(D4313="","",VLOOKUP(D4313,'General Basis'!$J$39:$K$46,2,0))</f>
        <v/>
      </c>
      <c r="BF4313" s="744" t="str">
        <f>IF(D4313="","",VLOOKUP(D4313,'General Basis'!$J$39:$L$46,3,0))</f>
        <v/>
      </c>
      <c r="BG4313" s="744" t="str">
        <f t="shared" si="1507"/>
        <v/>
      </c>
      <c r="BH4313" s="744" t="str">
        <f>IF(G4313="","",IF(BF4313="Abu Dhabi",IF(G4313&lt;18,'General Basis'!$C$39,IF(G4313&lt;41,'General Basis'!$C$40,IF(G4313&lt;60,'General Basis'!$C$41,IF(G4313&lt;65,'General Basis'!$C$42,'General Basis'!$C$43)))),IF(G4313&lt;11,'General Basis'!$B$39,IF(G4313&lt;18,'General Basis'!$B$40,IF(G4313&lt;26,'General Basis'!$B$41,IF(G4313&lt;31,'General Basis'!$B$42,IF(G4313&lt;36,'General Basis'!$B$43,IF(G4313&lt;41,'General Basis'!$B$44,IF(G4313&lt;46,'General Basis'!$B$45,IF(G4313&lt;51,'General Basis'!$B$46,IF(G4313&lt;56,'General Basis'!$B$47,IF(G4313&lt;60,'General Basis'!$B$48,IF(G4313&lt;65,'General Basis'!$B$49,'General Basis'!$B$50)))))))))))))</f>
        <v/>
      </c>
      <c r="BI4313" s="744" t="str">
        <f t="shared" si="1501"/>
        <v/>
      </c>
      <c r="BJ4313" s="747" t="str">
        <f t="shared" si="1508"/>
        <v/>
      </c>
      <c r="BK4313" s="498" t="str">
        <f t="shared" si="1502"/>
        <v/>
      </c>
      <c r="BL4313" s="498" t="str">
        <f t="shared" si="1503"/>
        <v/>
      </c>
    </row>
    <row r="4314" spans="1:64" x14ac:dyDescent="0.25">
      <c r="A4314" s="762">
        <f t="shared" si="1504"/>
        <v>4309</v>
      </c>
      <c r="B4314" s="229"/>
      <c r="C4314" s="223"/>
      <c r="D4314" s="224"/>
      <c r="E4314" s="225"/>
      <c r="F4314" s="1036" t="str">
        <f t="shared" si="1510"/>
        <v/>
      </c>
      <c r="G4314" s="1037" t="str">
        <f t="shared" si="1505"/>
        <v/>
      </c>
      <c r="H4314" s="225"/>
      <c r="I4314" s="1013"/>
      <c r="J4314" s="1013"/>
      <c r="K4314" s="1028"/>
      <c r="L4314" s="1035" t="str">
        <f t="shared" si="1509"/>
        <v/>
      </c>
      <c r="S4314" s="498"/>
      <c r="AJ4314" s="498"/>
      <c r="AM4314" s="498">
        <f t="shared" si="1490"/>
        <v>0</v>
      </c>
      <c r="AN4314" s="498">
        <f t="shared" si="1491"/>
        <v>0</v>
      </c>
      <c r="AO4314" s="498">
        <f t="shared" si="1492"/>
        <v>0</v>
      </c>
      <c r="AP4314" s="498">
        <f t="shared" si="1511"/>
        <v>0</v>
      </c>
      <c r="AQ4314" s="498">
        <f t="shared" si="1506"/>
        <v>0</v>
      </c>
      <c r="AU4314" s="498">
        <f t="shared" si="1493"/>
        <v>0</v>
      </c>
      <c r="AV4314" s="498">
        <f t="shared" si="1494"/>
        <v>0</v>
      </c>
      <c r="AW4314" s="498">
        <f t="shared" si="1495"/>
        <v>0</v>
      </c>
      <c r="AX4314" s="498">
        <f t="shared" si="1496"/>
        <v>0</v>
      </c>
      <c r="AY4314" s="498">
        <f t="shared" si="1497"/>
        <v>0</v>
      </c>
      <c r="BB4314" s="498" t="str">
        <f t="shared" si="1498"/>
        <v/>
      </c>
      <c r="BC4314" s="743" t="str">
        <f t="shared" si="1499"/>
        <v/>
      </c>
      <c r="BD4314" s="743" t="str">
        <f t="shared" si="1500"/>
        <v/>
      </c>
      <c r="BE4314" s="743" t="str">
        <f>IF(D4314="","",VLOOKUP(D4314,'General Basis'!$J$39:$K$46,2,0))</f>
        <v/>
      </c>
      <c r="BF4314" s="744" t="str">
        <f>IF(D4314="","",VLOOKUP(D4314,'General Basis'!$J$39:$L$46,3,0))</f>
        <v/>
      </c>
      <c r="BG4314" s="744" t="str">
        <f t="shared" si="1507"/>
        <v/>
      </c>
      <c r="BH4314" s="744" t="str">
        <f>IF(G4314="","",IF(BF4314="Abu Dhabi",IF(G4314&lt;18,'General Basis'!$C$39,IF(G4314&lt;41,'General Basis'!$C$40,IF(G4314&lt;60,'General Basis'!$C$41,IF(G4314&lt;65,'General Basis'!$C$42,'General Basis'!$C$43)))),IF(G4314&lt;11,'General Basis'!$B$39,IF(G4314&lt;18,'General Basis'!$B$40,IF(G4314&lt;26,'General Basis'!$B$41,IF(G4314&lt;31,'General Basis'!$B$42,IF(G4314&lt;36,'General Basis'!$B$43,IF(G4314&lt;41,'General Basis'!$B$44,IF(G4314&lt;46,'General Basis'!$B$45,IF(G4314&lt;51,'General Basis'!$B$46,IF(G4314&lt;56,'General Basis'!$B$47,IF(G4314&lt;60,'General Basis'!$B$48,IF(G4314&lt;65,'General Basis'!$B$49,'General Basis'!$B$50)))))))))))))</f>
        <v/>
      </c>
      <c r="BI4314" s="744" t="str">
        <f t="shared" si="1501"/>
        <v/>
      </c>
      <c r="BJ4314" s="747" t="str">
        <f t="shared" si="1508"/>
        <v/>
      </c>
      <c r="BK4314" s="498" t="str">
        <f t="shared" si="1502"/>
        <v/>
      </c>
      <c r="BL4314" s="498" t="str">
        <f t="shared" si="1503"/>
        <v/>
      </c>
    </row>
    <row r="4315" spans="1:64" x14ac:dyDescent="0.25">
      <c r="A4315" s="762">
        <f t="shared" si="1504"/>
        <v>4310</v>
      </c>
      <c r="B4315" s="229"/>
      <c r="C4315" s="223"/>
      <c r="D4315" s="224"/>
      <c r="E4315" s="225"/>
      <c r="F4315" s="1036" t="str">
        <f t="shared" si="1510"/>
        <v/>
      </c>
      <c r="G4315" s="1037" t="str">
        <f t="shared" si="1505"/>
        <v/>
      </c>
      <c r="H4315" s="225"/>
      <c r="I4315" s="1013"/>
      <c r="J4315" s="1013"/>
      <c r="K4315" s="1028"/>
      <c r="L4315" s="1035" t="str">
        <f t="shared" si="1509"/>
        <v/>
      </c>
      <c r="S4315" s="498"/>
      <c r="AJ4315" s="498"/>
      <c r="AM4315" s="498">
        <f t="shared" si="1490"/>
        <v>0</v>
      </c>
      <c r="AN4315" s="498">
        <f t="shared" si="1491"/>
        <v>0</v>
      </c>
      <c r="AO4315" s="498">
        <f t="shared" si="1492"/>
        <v>0</v>
      </c>
      <c r="AP4315" s="498">
        <f t="shared" si="1511"/>
        <v>0</v>
      </c>
      <c r="AQ4315" s="498">
        <f t="shared" si="1506"/>
        <v>0</v>
      </c>
      <c r="AU4315" s="498">
        <f t="shared" si="1493"/>
        <v>0</v>
      </c>
      <c r="AV4315" s="498">
        <f t="shared" si="1494"/>
        <v>0</v>
      </c>
      <c r="AW4315" s="498">
        <f t="shared" si="1495"/>
        <v>0</v>
      </c>
      <c r="AX4315" s="498">
        <f t="shared" si="1496"/>
        <v>0</v>
      </c>
      <c r="AY4315" s="498">
        <f t="shared" si="1497"/>
        <v>0</v>
      </c>
      <c r="BB4315" s="498" t="str">
        <f t="shared" si="1498"/>
        <v/>
      </c>
      <c r="BC4315" s="743" t="str">
        <f t="shared" si="1499"/>
        <v/>
      </c>
      <c r="BD4315" s="743" t="str">
        <f t="shared" si="1500"/>
        <v/>
      </c>
      <c r="BE4315" s="743" t="str">
        <f>IF(D4315="","",VLOOKUP(D4315,'General Basis'!$J$39:$K$46,2,0))</f>
        <v/>
      </c>
      <c r="BF4315" s="744" t="str">
        <f>IF(D4315="","",VLOOKUP(D4315,'General Basis'!$J$39:$L$46,3,0))</f>
        <v/>
      </c>
      <c r="BG4315" s="744" t="str">
        <f t="shared" si="1507"/>
        <v/>
      </c>
      <c r="BH4315" s="744" t="str">
        <f>IF(G4315="","",IF(BF4315="Abu Dhabi",IF(G4315&lt;18,'General Basis'!$C$39,IF(G4315&lt;41,'General Basis'!$C$40,IF(G4315&lt;60,'General Basis'!$C$41,IF(G4315&lt;65,'General Basis'!$C$42,'General Basis'!$C$43)))),IF(G4315&lt;11,'General Basis'!$B$39,IF(G4315&lt;18,'General Basis'!$B$40,IF(G4315&lt;26,'General Basis'!$B$41,IF(G4315&lt;31,'General Basis'!$B$42,IF(G4315&lt;36,'General Basis'!$B$43,IF(G4315&lt;41,'General Basis'!$B$44,IF(G4315&lt;46,'General Basis'!$B$45,IF(G4315&lt;51,'General Basis'!$B$46,IF(G4315&lt;56,'General Basis'!$B$47,IF(G4315&lt;60,'General Basis'!$B$48,IF(G4315&lt;65,'General Basis'!$B$49,'General Basis'!$B$50)))))))))))))</f>
        <v/>
      </c>
      <c r="BI4315" s="744" t="str">
        <f t="shared" si="1501"/>
        <v/>
      </c>
      <c r="BJ4315" s="747" t="str">
        <f t="shared" si="1508"/>
        <v/>
      </c>
      <c r="BK4315" s="498" t="str">
        <f t="shared" si="1502"/>
        <v/>
      </c>
      <c r="BL4315" s="498" t="str">
        <f t="shared" si="1503"/>
        <v/>
      </c>
    </row>
    <row r="4316" spans="1:64" x14ac:dyDescent="0.25">
      <c r="A4316" s="762">
        <f t="shared" si="1504"/>
        <v>4311</v>
      </c>
      <c r="B4316" s="229"/>
      <c r="C4316" s="223"/>
      <c r="D4316" s="224"/>
      <c r="E4316" s="225"/>
      <c r="F4316" s="1036" t="str">
        <f t="shared" si="1510"/>
        <v/>
      </c>
      <c r="G4316" s="1037" t="str">
        <f t="shared" si="1505"/>
        <v/>
      </c>
      <c r="H4316" s="225"/>
      <c r="I4316" s="1013"/>
      <c r="J4316" s="1013"/>
      <c r="K4316" s="1028"/>
      <c r="L4316" s="1035" t="str">
        <f t="shared" si="1509"/>
        <v/>
      </c>
      <c r="S4316" s="498"/>
      <c r="AJ4316" s="498"/>
      <c r="AM4316" s="498">
        <f t="shared" si="1490"/>
        <v>0</v>
      </c>
      <c r="AN4316" s="498">
        <f t="shared" si="1491"/>
        <v>0</v>
      </c>
      <c r="AO4316" s="498">
        <f t="shared" si="1492"/>
        <v>0</v>
      </c>
      <c r="AP4316" s="498">
        <f t="shared" si="1511"/>
        <v>0</v>
      </c>
      <c r="AQ4316" s="498">
        <f t="shared" si="1506"/>
        <v>0</v>
      </c>
      <c r="AU4316" s="498">
        <f t="shared" si="1493"/>
        <v>0</v>
      </c>
      <c r="AV4316" s="498">
        <f t="shared" si="1494"/>
        <v>0</v>
      </c>
      <c r="AW4316" s="498">
        <f t="shared" si="1495"/>
        <v>0</v>
      </c>
      <c r="AX4316" s="498">
        <f t="shared" si="1496"/>
        <v>0</v>
      </c>
      <c r="AY4316" s="498">
        <f t="shared" si="1497"/>
        <v>0</v>
      </c>
      <c r="BB4316" s="498" t="str">
        <f t="shared" si="1498"/>
        <v/>
      </c>
      <c r="BC4316" s="743" t="str">
        <f t="shared" si="1499"/>
        <v/>
      </c>
      <c r="BD4316" s="743" t="str">
        <f t="shared" si="1500"/>
        <v/>
      </c>
      <c r="BE4316" s="743" t="str">
        <f>IF(D4316="","",VLOOKUP(D4316,'General Basis'!$J$39:$K$46,2,0))</f>
        <v/>
      </c>
      <c r="BF4316" s="744" t="str">
        <f>IF(D4316="","",VLOOKUP(D4316,'General Basis'!$J$39:$L$46,3,0))</f>
        <v/>
      </c>
      <c r="BG4316" s="744" t="str">
        <f t="shared" si="1507"/>
        <v/>
      </c>
      <c r="BH4316" s="744" t="str">
        <f>IF(G4316="","",IF(BF4316="Abu Dhabi",IF(G4316&lt;18,'General Basis'!$C$39,IF(G4316&lt;41,'General Basis'!$C$40,IF(G4316&lt;60,'General Basis'!$C$41,IF(G4316&lt;65,'General Basis'!$C$42,'General Basis'!$C$43)))),IF(G4316&lt;11,'General Basis'!$B$39,IF(G4316&lt;18,'General Basis'!$B$40,IF(G4316&lt;26,'General Basis'!$B$41,IF(G4316&lt;31,'General Basis'!$B$42,IF(G4316&lt;36,'General Basis'!$B$43,IF(G4316&lt;41,'General Basis'!$B$44,IF(G4316&lt;46,'General Basis'!$B$45,IF(G4316&lt;51,'General Basis'!$B$46,IF(G4316&lt;56,'General Basis'!$B$47,IF(G4316&lt;60,'General Basis'!$B$48,IF(G4316&lt;65,'General Basis'!$B$49,'General Basis'!$B$50)))))))))))))</f>
        <v/>
      </c>
      <c r="BI4316" s="744" t="str">
        <f t="shared" si="1501"/>
        <v/>
      </c>
      <c r="BJ4316" s="747" t="str">
        <f t="shared" si="1508"/>
        <v/>
      </c>
      <c r="BK4316" s="498" t="str">
        <f t="shared" si="1502"/>
        <v/>
      </c>
      <c r="BL4316" s="498" t="str">
        <f t="shared" si="1503"/>
        <v/>
      </c>
    </row>
    <row r="4317" spans="1:64" x14ac:dyDescent="0.25">
      <c r="A4317" s="762">
        <f t="shared" si="1504"/>
        <v>4312</v>
      </c>
      <c r="B4317" s="229"/>
      <c r="C4317" s="223"/>
      <c r="D4317" s="224"/>
      <c r="E4317" s="225"/>
      <c r="F4317" s="1036" t="str">
        <f t="shared" si="1510"/>
        <v/>
      </c>
      <c r="G4317" s="1037" t="str">
        <f t="shared" si="1505"/>
        <v/>
      </c>
      <c r="H4317" s="225"/>
      <c r="I4317" s="1013"/>
      <c r="J4317" s="1013"/>
      <c r="K4317" s="1028"/>
      <c r="L4317" s="1035" t="str">
        <f t="shared" si="1509"/>
        <v/>
      </c>
      <c r="S4317" s="498"/>
      <c r="AJ4317" s="498"/>
      <c r="AM4317" s="498">
        <f t="shared" si="1490"/>
        <v>0</v>
      </c>
      <c r="AN4317" s="498">
        <f t="shared" si="1491"/>
        <v>0</v>
      </c>
      <c r="AO4317" s="498">
        <f t="shared" si="1492"/>
        <v>0</v>
      </c>
      <c r="AP4317" s="498">
        <f t="shared" si="1511"/>
        <v>0</v>
      </c>
      <c r="AQ4317" s="498">
        <f t="shared" si="1506"/>
        <v>0</v>
      </c>
      <c r="AU4317" s="498">
        <f t="shared" si="1493"/>
        <v>0</v>
      </c>
      <c r="AV4317" s="498">
        <f t="shared" si="1494"/>
        <v>0</v>
      </c>
      <c r="AW4317" s="498">
        <f t="shared" si="1495"/>
        <v>0</v>
      </c>
      <c r="AX4317" s="498">
        <f t="shared" si="1496"/>
        <v>0</v>
      </c>
      <c r="AY4317" s="498">
        <f t="shared" si="1497"/>
        <v>0</v>
      </c>
      <c r="BB4317" s="498" t="str">
        <f t="shared" si="1498"/>
        <v/>
      </c>
      <c r="BC4317" s="743" t="str">
        <f t="shared" si="1499"/>
        <v/>
      </c>
      <c r="BD4317" s="743" t="str">
        <f t="shared" si="1500"/>
        <v/>
      </c>
      <c r="BE4317" s="743" t="str">
        <f>IF(D4317="","",VLOOKUP(D4317,'General Basis'!$J$39:$K$46,2,0))</f>
        <v/>
      </c>
      <c r="BF4317" s="744" t="str">
        <f>IF(D4317="","",VLOOKUP(D4317,'General Basis'!$J$39:$L$46,3,0))</f>
        <v/>
      </c>
      <c r="BG4317" s="744" t="str">
        <f t="shared" si="1507"/>
        <v/>
      </c>
      <c r="BH4317" s="744" t="str">
        <f>IF(G4317="","",IF(BF4317="Abu Dhabi",IF(G4317&lt;18,'General Basis'!$C$39,IF(G4317&lt;41,'General Basis'!$C$40,IF(G4317&lt;60,'General Basis'!$C$41,IF(G4317&lt;65,'General Basis'!$C$42,'General Basis'!$C$43)))),IF(G4317&lt;11,'General Basis'!$B$39,IF(G4317&lt;18,'General Basis'!$B$40,IF(G4317&lt;26,'General Basis'!$B$41,IF(G4317&lt;31,'General Basis'!$B$42,IF(G4317&lt;36,'General Basis'!$B$43,IF(G4317&lt;41,'General Basis'!$B$44,IF(G4317&lt;46,'General Basis'!$B$45,IF(G4317&lt;51,'General Basis'!$B$46,IF(G4317&lt;56,'General Basis'!$B$47,IF(G4317&lt;60,'General Basis'!$B$48,IF(G4317&lt;65,'General Basis'!$B$49,'General Basis'!$B$50)))))))))))))</f>
        <v/>
      </c>
      <c r="BI4317" s="744" t="str">
        <f t="shared" si="1501"/>
        <v/>
      </c>
      <c r="BJ4317" s="747" t="str">
        <f t="shared" si="1508"/>
        <v/>
      </c>
      <c r="BK4317" s="498" t="str">
        <f t="shared" si="1502"/>
        <v/>
      </c>
      <c r="BL4317" s="498" t="str">
        <f t="shared" si="1503"/>
        <v/>
      </c>
    </row>
    <row r="4318" spans="1:64" x14ac:dyDescent="0.25">
      <c r="A4318" s="762">
        <f t="shared" si="1504"/>
        <v>4313</v>
      </c>
      <c r="B4318" s="229"/>
      <c r="C4318" s="223"/>
      <c r="D4318" s="224"/>
      <c r="E4318" s="225"/>
      <c r="F4318" s="1036" t="str">
        <f t="shared" si="1510"/>
        <v/>
      </c>
      <c r="G4318" s="1037" t="str">
        <f t="shared" si="1505"/>
        <v/>
      </c>
      <c r="H4318" s="225"/>
      <c r="I4318" s="1013"/>
      <c r="J4318" s="1013"/>
      <c r="K4318" s="1028"/>
      <c r="L4318" s="1035" t="str">
        <f t="shared" si="1509"/>
        <v/>
      </c>
      <c r="S4318" s="498"/>
      <c r="AJ4318" s="498"/>
      <c r="AM4318" s="498">
        <f t="shared" si="1490"/>
        <v>0</v>
      </c>
      <c r="AN4318" s="498">
        <f t="shared" si="1491"/>
        <v>0</v>
      </c>
      <c r="AO4318" s="498">
        <f t="shared" si="1492"/>
        <v>0</v>
      </c>
      <c r="AP4318" s="498">
        <f t="shared" si="1511"/>
        <v>0</v>
      </c>
      <c r="AQ4318" s="498">
        <f t="shared" si="1506"/>
        <v>0</v>
      </c>
      <c r="AU4318" s="498">
        <f t="shared" si="1493"/>
        <v>0</v>
      </c>
      <c r="AV4318" s="498">
        <f t="shared" si="1494"/>
        <v>0</v>
      </c>
      <c r="AW4318" s="498">
        <f t="shared" si="1495"/>
        <v>0</v>
      </c>
      <c r="AX4318" s="498">
        <f t="shared" si="1496"/>
        <v>0</v>
      </c>
      <c r="AY4318" s="498">
        <f t="shared" si="1497"/>
        <v>0</v>
      </c>
      <c r="BB4318" s="498" t="str">
        <f t="shared" si="1498"/>
        <v/>
      </c>
      <c r="BC4318" s="743" t="str">
        <f t="shared" si="1499"/>
        <v/>
      </c>
      <c r="BD4318" s="743" t="str">
        <f t="shared" si="1500"/>
        <v/>
      </c>
      <c r="BE4318" s="743" t="str">
        <f>IF(D4318="","",VLOOKUP(D4318,'General Basis'!$J$39:$K$46,2,0))</f>
        <v/>
      </c>
      <c r="BF4318" s="744" t="str">
        <f>IF(D4318="","",VLOOKUP(D4318,'General Basis'!$J$39:$L$46,3,0))</f>
        <v/>
      </c>
      <c r="BG4318" s="744" t="str">
        <f t="shared" si="1507"/>
        <v/>
      </c>
      <c r="BH4318" s="744" t="str">
        <f>IF(G4318="","",IF(BF4318="Abu Dhabi",IF(G4318&lt;18,'General Basis'!$C$39,IF(G4318&lt;41,'General Basis'!$C$40,IF(G4318&lt;60,'General Basis'!$C$41,IF(G4318&lt;65,'General Basis'!$C$42,'General Basis'!$C$43)))),IF(G4318&lt;11,'General Basis'!$B$39,IF(G4318&lt;18,'General Basis'!$B$40,IF(G4318&lt;26,'General Basis'!$B$41,IF(G4318&lt;31,'General Basis'!$B$42,IF(G4318&lt;36,'General Basis'!$B$43,IF(G4318&lt;41,'General Basis'!$B$44,IF(G4318&lt;46,'General Basis'!$B$45,IF(G4318&lt;51,'General Basis'!$B$46,IF(G4318&lt;56,'General Basis'!$B$47,IF(G4318&lt;60,'General Basis'!$B$48,IF(G4318&lt;65,'General Basis'!$B$49,'General Basis'!$B$50)))))))))))))</f>
        <v/>
      </c>
      <c r="BI4318" s="744" t="str">
        <f t="shared" si="1501"/>
        <v/>
      </c>
      <c r="BJ4318" s="747" t="str">
        <f t="shared" si="1508"/>
        <v/>
      </c>
      <c r="BK4318" s="498" t="str">
        <f t="shared" si="1502"/>
        <v/>
      </c>
      <c r="BL4318" s="498" t="str">
        <f t="shared" si="1503"/>
        <v/>
      </c>
    </row>
    <row r="4319" spans="1:64" x14ac:dyDescent="0.25">
      <c r="A4319" s="762">
        <f t="shared" si="1504"/>
        <v>4314</v>
      </c>
      <c r="B4319" s="229"/>
      <c r="C4319" s="223"/>
      <c r="D4319" s="224"/>
      <c r="E4319" s="225"/>
      <c r="F4319" s="1036" t="str">
        <f t="shared" si="1510"/>
        <v/>
      </c>
      <c r="G4319" s="1037" t="str">
        <f t="shared" si="1505"/>
        <v/>
      </c>
      <c r="H4319" s="225"/>
      <c r="I4319" s="1013"/>
      <c r="J4319" s="1013"/>
      <c r="K4319" s="1028"/>
      <c r="L4319" s="1035" t="str">
        <f t="shared" si="1509"/>
        <v/>
      </c>
      <c r="S4319" s="498"/>
      <c r="AJ4319" s="498"/>
      <c r="AM4319" s="498">
        <f t="shared" si="1490"/>
        <v>0</v>
      </c>
      <c r="AN4319" s="498">
        <f t="shared" si="1491"/>
        <v>0</v>
      </c>
      <c r="AO4319" s="498">
        <f t="shared" si="1492"/>
        <v>0</v>
      </c>
      <c r="AP4319" s="498">
        <f t="shared" si="1511"/>
        <v>0</v>
      </c>
      <c r="AQ4319" s="498">
        <f t="shared" si="1506"/>
        <v>0</v>
      </c>
      <c r="AU4319" s="498">
        <f t="shared" si="1493"/>
        <v>0</v>
      </c>
      <c r="AV4319" s="498">
        <f t="shared" si="1494"/>
        <v>0</v>
      </c>
      <c r="AW4319" s="498">
        <f t="shared" si="1495"/>
        <v>0</v>
      </c>
      <c r="AX4319" s="498">
        <f t="shared" si="1496"/>
        <v>0</v>
      </c>
      <c r="AY4319" s="498">
        <f t="shared" si="1497"/>
        <v>0</v>
      </c>
      <c r="BB4319" s="498" t="str">
        <f t="shared" si="1498"/>
        <v/>
      </c>
      <c r="BC4319" s="743" t="str">
        <f t="shared" si="1499"/>
        <v/>
      </c>
      <c r="BD4319" s="743" t="str">
        <f t="shared" si="1500"/>
        <v/>
      </c>
      <c r="BE4319" s="743" t="str">
        <f>IF(D4319="","",VLOOKUP(D4319,'General Basis'!$J$39:$K$46,2,0))</f>
        <v/>
      </c>
      <c r="BF4319" s="744" t="str">
        <f>IF(D4319="","",VLOOKUP(D4319,'General Basis'!$J$39:$L$46,3,0))</f>
        <v/>
      </c>
      <c r="BG4319" s="744" t="str">
        <f t="shared" si="1507"/>
        <v/>
      </c>
      <c r="BH4319" s="744" t="str">
        <f>IF(G4319="","",IF(BF4319="Abu Dhabi",IF(G4319&lt;18,'General Basis'!$C$39,IF(G4319&lt;41,'General Basis'!$C$40,IF(G4319&lt;60,'General Basis'!$C$41,IF(G4319&lt;65,'General Basis'!$C$42,'General Basis'!$C$43)))),IF(G4319&lt;11,'General Basis'!$B$39,IF(G4319&lt;18,'General Basis'!$B$40,IF(G4319&lt;26,'General Basis'!$B$41,IF(G4319&lt;31,'General Basis'!$B$42,IF(G4319&lt;36,'General Basis'!$B$43,IF(G4319&lt;41,'General Basis'!$B$44,IF(G4319&lt;46,'General Basis'!$B$45,IF(G4319&lt;51,'General Basis'!$B$46,IF(G4319&lt;56,'General Basis'!$B$47,IF(G4319&lt;60,'General Basis'!$B$48,IF(G4319&lt;65,'General Basis'!$B$49,'General Basis'!$B$50)))))))))))))</f>
        <v/>
      </c>
      <c r="BI4319" s="744" t="str">
        <f t="shared" si="1501"/>
        <v/>
      </c>
      <c r="BJ4319" s="747" t="str">
        <f t="shared" si="1508"/>
        <v/>
      </c>
      <c r="BK4319" s="498" t="str">
        <f t="shared" si="1502"/>
        <v/>
      </c>
      <c r="BL4319" s="498" t="str">
        <f t="shared" si="1503"/>
        <v/>
      </c>
    </row>
    <row r="4320" spans="1:64" x14ac:dyDescent="0.25">
      <c r="A4320" s="762">
        <f t="shared" si="1504"/>
        <v>4315</v>
      </c>
      <c r="B4320" s="229"/>
      <c r="C4320" s="223"/>
      <c r="D4320" s="224"/>
      <c r="E4320" s="225"/>
      <c r="F4320" s="1036" t="str">
        <f t="shared" si="1510"/>
        <v/>
      </c>
      <c r="G4320" s="1037" t="str">
        <f t="shared" si="1505"/>
        <v/>
      </c>
      <c r="H4320" s="225"/>
      <c r="I4320" s="1013"/>
      <c r="J4320" s="1013"/>
      <c r="K4320" s="1028"/>
      <c r="L4320" s="1035" t="str">
        <f t="shared" si="1509"/>
        <v/>
      </c>
      <c r="S4320" s="498"/>
      <c r="AJ4320" s="498"/>
      <c r="AM4320" s="498">
        <f t="shared" si="1490"/>
        <v>0</v>
      </c>
      <c r="AN4320" s="498">
        <f t="shared" si="1491"/>
        <v>0</v>
      </c>
      <c r="AO4320" s="498">
        <f t="shared" si="1492"/>
        <v>0</v>
      </c>
      <c r="AP4320" s="498">
        <f t="shared" si="1511"/>
        <v>0</v>
      </c>
      <c r="AQ4320" s="498">
        <f t="shared" si="1506"/>
        <v>0</v>
      </c>
      <c r="AU4320" s="498">
        <f t="shared" si="1493"/>
        <v>0</v>
      </c>
      <c r="AV4320" s="498">
        <f t="shared" si="1494"/>
        <v>0</v>
      </c>
      <c r="AW4320" s="498">
        <f t="shared" si="1495"/>
        <v>0</v>
      </c>
      <c r="AX4320" s="498">
        <f t="shared" si="1496"/>
        <v>0</v>
      </c>
      <c r="AY4320" s="498">
        <f t="shared" si="1497"/>
        <v>0</v>
      </c>
      <c r="BB4320" s="498" t="str">
        <f t="shared" si="1498"/>
        <v/>
      </c>
      <c r="BC4320" s="743" t="str">
        <f t="shared" si="1499"/>
        <v/>
      </c>
      <c r="BD4320" s="743" t="str">
        <f t="shared" si="1500"/>
        <v/>
      </c>
      <c r="BE4320" s="743" t="str">
        <f>IF(D4320="","",VLOOKUP(D4320,'General Basis'!$J$39:$K$46,2,0))</f>
        <v/>
      </c>
      <c r="BF4320" s="744" t="str">
        <f>IF(D4320="","",VLOOKUP(D4320,'General Basis'!$J$39:$L$46,3,0))</f>
        <v/>
      </c>
      <c r="BG4320" s="744" t="str">
        <f t="shared" si="1507"/>
        <v/>
      </c>
      <c r="BH4320" s="744" t="str">
        <f>IF(G4320="","",IF(BF4320="Abu Dhabi",IF(G4320&lt;18,'General Basis'!$C$39,IF(G4320&lt;41,'General Basis'!$C$40,IF(G4320&lt;60,'General Basis'!$C$41,IF(G4320&lt;65,'General Basis'!$C$42,'General Basis'!$C$43)))),IF(G4320&lt;11,'General Basis'!$B$39,IF(G4320&lt;18,'General Basis'!$B$40,IF(G4320&lt;26,'General Basis'!$B$41,IF(G4320&lt;31,'General Basis'!$B$42,IF(G4320&lt;36,'General Basis'!$B$43,IF(G4320&lt;41,'General Basis'!$B$44,IF(G4320&lt;46,'General Basis'!$B$45,IF(G4320&lt;51,'General Basis'!$B$46,IF(G4320&lt;56,'General Basis'!$B$47,IF(G4320&lt;60,'General Basis'!$B$48,IF(G4320&lt;65,'General Basis'!$B$49,'General Basis'!$B$50)))))))))))))</f>
        <v/>
      </c>
      <c r="BI4320" s="744" t="str">
        <f t="shared" si="1501"/>
        <v/>
      </c>
      <c r="BJ4320" s="747" t="str">
        <f t="shared" si="1508"/>
        <v/>
      </c>
      <c r="BK4320" s="498" t="str">
        <f t="shared" si="1502"/>
        <v/>
      </c>
      <c r="BL4320" s="498" t="str">
        <f t="shared" si="1503"/>
        <v/>
      </c>
    </row>
    <row r="4321" spans="1:64" x14ac:dyDescent="0.25">
      <c r="A4321" s="762">
        <f t="shared" si="1504"/>
        <v>4316</v>
      </c>
      <c r="B4321" s="229"/>
      <c r="C4321" s="223"/>
      <c r="D4321" s="224"/>
      <c r="E4321" s="225"/>
      <c r="F4321" s="1036" t="str">
        <f t="shared" si="1510"/>
        <v/>
      </c>
      <c r="G4321" s="1037" t="str">
        <f t="shared" si="1505"/>
        <v/>
      </c>
      <c r="H4321" s="225"/>
      <c r="I4321" s="1013"/>
      <c r="J4321" s="1013"/>
      <c r="K4321" s="1028"/>
      <c r="L4321" s="1035" t="str">
        <f t="shared" si="1509"/>
        <v/>
      </c>
      <c r="S4321" s="498"/>
      <c r="AJ4321" s="498"/>
      <c r="AM4321" s="498">
        <f t="shared" si="1490"/>
        <v>0</v>
      </c>
      <c r="AN4321" s="498">
        <f t="shared" si="1491"/>
        <v>0</v>
      </c>
      <c r="AO4321" s="498">
        <f t="shared" si="1492"/>
        <v>0</v>
      </c>
      <c r="AP4321" s="498">
        <f t="shared" si="1511"/>
        <v>0</v>
      </c>
      <c r="AQ4321" s="498">
        <f t="shared" si="1506"/>
        <v>0</v>
      </c>
      <c r="AU4321" s="498">
        <f t="shared" si="1493"/>
        <v>0</v>
      </c>
      <c r="AV4321" s="498">
        <f t="shared" si="1494"/>
        <v>0</v>
      </c>
      <c r="AW4321" s="498">
        <f t="shared" si="1495"/>
        <v>0</v>
      </c>
      <c r="AX4321" s="498">
        <f t="shared" si="1496"/>
        <v>0</v>
      </c>
      <c r="AY4321" s="498">
        <f t="shared" si="1497"/>
        <v>0</v>
      </c>
      <c r="BB4321" s="498" t="str">
        <f t="shared" si="1498"/>
        <v/>
      </c>
      <c r="BC4321" s="743" t="str">
        <f t="shared" si="1499"/>
        <v/>
      </c>
      <c r="BD4321" s="743" t="str">
        <f t="shared" si="1500"/>
        <v/>
      </c>
      <c r="BE4321" s="743" t="str">
        <f>IF(D4321="","",VLOOKUP(D4321,'General Basis'!$J$39:$K$46,2,0))</f>
        <v/>
      </c>
      <c r="BF4321" s="744" t="str">
        <f>IF(D4321="","",VLOOKUP(D4321,'General Basis'!$J$39:$L$46,3,0))</f>
        <v/>
      </c>
      <c r="BG4321" s="744" t="str">
        <f t="shared" si="1507"/>
        <v/>
      </c>
      <c r="BH4321" s="744" t="str">
        <f>IF(G4321="","",IF(BF4321="Abu Dhabi",IF(G4321&lt;18,'General Basis'!$C$39,IF(G4321&lt;41,'General Basis'!$C$40,IF(G4321&lt;60,'General Basis'!$C$41,IF(G4321&lt;65,'General Basis'!$C$42,'General Basis'!$C$43)))),IF(G4321&lt;11,'General Basis'!$B$39,IF(G4321&lt;18,'General Basis'!$B$40,IF(G4321&lt;26,'General Basis'!$B$41,IF(G4321&lt;31,'General Basis'!$B$42,IF(G4321&lt;36,'General Basis'!$B$43,IF(G4321&lt;41,'General Basis'!$B$44,IF(G4321&lt;46,'General Basis'!$B$45,IF(G4321&lt;51,'General Basis'!$B$46,IF(G4321&lt;56,'General Basis'!$B$47,IF(G4321&lt;60,'General Basis'!$B$48,IF(G4321&lt;65,'General Basis'!$B$49,'General Basis'!$B$50)))))))))))))</f>
        <v/>
      </c>
      <c r="BI4321" s="744" t="str">
        <f t="shared" si="1501"/>
        <v/>
      </c>
      <c r="BJ4321" s="747" t="str">
        <f t="shared" si="1508"/>
        <v/>
      </c>
      <c r="BK4321" s="498" t="str">
        <f t="shared" si="1502"/>
        <v/>
      </c>
      <c r="BL4321" s="498" t="str">
        <f t="shared" si="1503"/>
        <v/>
      </c>
    </row>
    <row r="4322" spans="1:64" x14ac:dyDescent="0.25">
      <c r="A4322" s="762">
        <f t="shared" si="1504"/>
        <v>4317</v>
      </c>
      <c r="B4322" s="229"/>
      <c r="C4322" s="223"/>
      <c r="D4322" s="224"/>
      <c r="E4322" s="225"/>
      <c r="F4322" s="1036" t="str">
        <f t="shared" si="1510"/>
        <v/>
      </c>
      <c r="G4322" s="1037" t="str">
        <f t="shared" si="1505"/>
        <v/>
      </c>
      <c r="H4322" s="225"/>
      <c r="I4322" s="1013"/>
      <c r="J4322" s="1013"/>
      <c r="K4322" s="1028"/>
      <c r="L4322" s="1035" t="str">
        <f t="shared" si="1509"/>
        <v/>
      </c>
      <c r="S4322" s="498"/>
      <c r="AJ4322" s="498"/>
      <c r="AM4322" s="498">
        <f t="shared" si="1490"/>
        <v>0</v>
      </c>
      <c r="AN4322" s="498">
        <f t="shared" si="1491"/>
        <v>0</v>
      </c>
      <c r="AO4322" s="498">
        <f t="shared" si="1492"/>
        <v>0</v>
      </c>
      <c r="AP4322" s="498">
        <f t="shared" si="1511"/>
        <v>0</v>
      </c>
      <c r="AQ4322" s="498">
        <f t="shared" si="1506"/>
        <v>0</v>
      </c>
      <c r="AU4322" s="498">
        <f t="shared" si="1493"/>
        <v>0</v>
      </c>
      <c r="AV4322" s="498">
        <f t="shared" si="1494"/>
        <v>0</v>
      </c>
      <c r="AW4322" s="498">
        <f t="shared" si="1495"/>
        <v>0</v>
      </c>
      <c r="AX4322" s="498">
        <f t="shared" si="1496"/>
        <v>0</v>
      </c>
      <c r="AY4322" s="498">
        <f t="shared" si="1497"/>
        <v>0</v>
      </c>
      <c r="BB4322" s="498" t="str">
        <f t="shared" si="1498"/>
        <v/>
      </c>
      <c r="BC4322" s="743" t="str">
        <f t="shared" si="1499"/>
        <v/>
      </c>
      <c r="BD4322" s="743" t="str">
        <f t="shared" si="1500"/>
        <v/>
      </c>
      <c r="BE4322" s="743" t="str">
        <f>IF(D4322="","",VLOOKUP(D4322,'General Basis'!$J$39:$K$46,2,0))</f>
        <v/>
      </c>
      <c r="BF4322" s="744" t="str">
        <f>IF(D4322="","",VLOOKUP(D4322,'General Basis'!$J$39:$L$46,3,0))</f>
        <v/>
      </c>
      <c r="BG4322" s="744" t="str">
        <f t="shared" si="1507"/>
        <v/>
      </c>
      <c r="BH4322" s="744" t="str">
        <f>IF(G4322="","",IF(BF4322="Abu Dhabi",IF(G4322&lt;18,'General Basis'!$C$39,IF(G4322&lt;41,'General Basis'!$C$40,IF(G4322&lt;60,'General Basis'!$C$41,IF(G4322&lt;65,'General Basis'!$C$42,'General Basis'!$C$43)))),IF(G4322&lt;11,'General Basis'!$B$39,IF(G4322&lt;18,'General Basis'!$B$40,IF(G4322&lt;26,'General Basis'!$B$41,IF(G4322&lt;31,'General Basis'!$B$42,IF(G4322&lt;36,'General Basis'!$B$43,IF(G4322&lt;41,'General Basis'!$B$44,IF(G4322&lt;46,'General Basis'!$B$45,IF(G4322&lt;51,'General Basis'!$B$46,IF(G4322&lt;56,'General Basis'!$B$47,IF(G4322&lt;60,'General Basis'!$B$48,IF(G4322&lt;65,'General Basis'!$B$49,'General Basis'!$B$50)))))))))))))</f>
        <v/>
      </c>
      <c r="BI4322" s="744" t="str">
        <f t="shared" si="1501"/>
        <v/>
      </c>
      <c r="BJ4322" s="747" t="str">
        <f t="shared" si="1508"/>
        <v/>
      </c>
      <c r="BK4322" s="498" t="str">
        <f t="shared" si="1502"/>
        <v/>
      </c>
      <c r="BL4322" s="498" t="str">
        <f t="shared" si="1503"/>
        <v/>
      </c>
    </row>
    <row r="4323" spans="1:64" x14ac:dyDescent="0.25">
      <c r="A4323" s="762">
        <f t="shared" si="1504"/>
        <v>4318</v>
      </c>
      <c r="B4323" s="229"/>
      <c r="C4323" s="223"/>
      <c r="D4323" s="224"/>
      <c r="E4323" s="225"/>
      <c r="F4323" s="1036" t="str">
        <f t="shared" si="1510"/>
        <v/>
      </c>
      <c r="G4323" s="1037" t="str">
        <f t="shared" si="1505"/>
        <v/>
      </c>
      <c r="H4323" s="225"/>
      <c r="I4323" s="1013"/>
      <c r="J4323" s="1013"/>
      <c r="K4323" s="1028"/>
      <c r="L4323" s="1035" t="str">
        <f t="shared" si="1509"/>
        <v/>
      </c>
      <c r="S4323" s="498"/>
      <c r="AJ4323" s="498"/>
      <c r="AM4323" s="498">
        <f t="shared" si="1490"/>
        <v>0</v>
      </c>
      <c r="AN4323" s="498">
        <f t="shared" si="1491"/>
        <v>0</v>
      </c>
      <c r="AO4323" s="498">
        <f t="shared" si="1492"/>
        <v>0</v>
      </c>
      <c r="AP4323" s="498">
        <f t="shared" si="1511"/>
        <v>0</v>
      </c>
      <c r="AQ4323" s="498">
        <f t="shared" si="1506"/>
        <v>0</v>
      </c>
      <c r="AU4323" s="498">
        <f t="shared" si="1493"/>
        <v>0</v>
      </c>
      <c r="AV4323" s="498">
        <f t="shared" si="1494"/>
        <v>0</v>
      </c>
      <c r="AW4323" s="498">
        <f t="shared" si="1495"/>
        <v>0</v>
      </c>
      <c r="AX4323" s="498">
        <f t="shared" si="1496"/>
        <v>0</v>
      </c>
      <c r="AY4323" s="498">
        <f t="shared" si="1497"/>
        <v>0</v>
      </c>
      <c r="BB4323" s="498" t="str">
        <f t="shared" si="1498"/>
        <v/>
      </c>
      <c r="BC4323" s="743" t="str">
        <f t="shared" si="1499"/>
        <v/>
      </c>
      <c r="BD4323" s="743" t="str">
        <f t="shared" si="1500"/>
        <v/>
      </c>
      <c r="BE4323" s="743" t="str">
        <f>IF(D4323="","",VLOOKUP(D4323,'General Basis'!$J$39:$K$46,2,0))</f>
        <v/>
      </c>
      <c r="BF4323" s="744" t="str">
        <f>IF(D4323="","",VLOOKUP(D4323,'General Basis'!$J$39:$L$46,3,0))</f>
        <v/>
      </c>
      <c r="BG4323" s="744" t="str">
        <f t="shared" si="1507"/>
        <v/>
      </c>
      <c r="BH4323" s="744" t="str">
        <f>IF(G4323="","",IF(BF4323="Abu Dhabi",IF(G4323&lt;18,'General Basis'!$C$39,IF(G4323&lt;41,'General Basis'!$C$40,IF(G4323&lt;60,'General Basis'!$C$41,IF(G4323&lt;65,'General Basis'!$C$42,'General Basis'!$C$43)))),IF(G4323&lt;11,'General Basis'!$B$39,IF(G4323&lt;18,'General Basis'!$B$40,IF(G4323&lt;26,'General Basis'!$B$41,IF(G4323&lt;31,'General Basis'!$B$42,IF(G4323&lt;36,'General Basis'!$B$43,IF(G4323&lt;41,'General Basis'!$B$44,IF(G4323&lt;46,'General Basis'!$B$45,IF(G4323&lt;51,'General Basis'!$B$46,IF(G4323&lt;56,'General Basis'!$B$47,IF(G4323&lt;60,'General Basis'!$B$48,IF(G4323&lt;65,'General Basis'!$B$49,'General Basis'!$B$50)))))))))))))</f>
        <v/>
      </c>
      <c r="BI4323" s="744" t="str">
        <f t="shared" si="1501"/>
        <v/>
      </c>
      <c r="BJ4323" s="747" t="str">
        <f t="shared" si="1508"/>
        <v/>
      </c>
      <c r="BK4323" s="498" t="str">
        <f t="shared" si="1502"/>
        <v/>
      </c>
      <c r="BL4323" s="498" t="str">
        <f t="shared" si="1503"/>
        <v/>
      </c>
    </row>
    <row r="4324" spans="1:64" x14ac:dyDescent="0.25">
      <c r="A4324" s="762">
        <f t="shared" si="1504"/>
        <v>4319</v>
      </c>
      <c r="B4324" s="229"/>
      <c r="C4324" s="223"/>
      <c r="D4324" s="224"/>
      <c r="E4324" s="225"/>
      <c r="F4324" s="1036" t="str">
        <f t="shared" si="1510"/>
        <v/>
      </c>
      <c r="G4324" s="1037" t="str">
        <f t="shared" si="1505"/>
        <v/>
      </c>
      <c r="H4324" s="225"/>
      <c r="I4324" s="1013"/>
      <c r="J4324" s="1013"/>
      <c r="K4324" s="1028"/>
      <c r="L4324" s="1035" t="str">
        <f t="shared" si="1509"/>
        <v/>
      </c>
      <c r="S4324" s="498"/>
      <c r="AJ4324" s="498"/>
      <c r="AM4324" s="498">
        <f t="shared" si="1490"/>
        <v>0</v>
      </c>
      <c r="AN4324" s="498">
        <f t="shared" si="1491"/>
        <v>0</v>
      </c>
      <c r="AO4324" s="498">
        <f t="shared" si="1492"/>
        <v>0</v>
      </c>
      <c r="AP4324" s="498">
        <f t="shared" si="1511"/>
        <v>0</v>
      </c>
      <c r="AQ4324" s="498">
        <f t="shared" si="1506"/>
        <v>0</v>
      </c>
      <c r="AU4324" s="498">
        <f t="shared" si="1493"/>
        <v>0</v>
      </c>
      <c r="AV4324" s="498">
        <f t="shared" si="1494"/>
        <v>0</v>
      </c>
      <c r="AW4324" s="498">
        <f t="shared" si="1495"/>
        <v>0</v>
      </c>
      <c r="AX4324" s="498">
        <f t="shared" si="1496"/>
        <v>0</v>
      </c>
      <c r="AY4324" s="498">
        <f t="shared" si="1497"/>
        <v>0</v>
      </c>
      <c r="BB4324" s="498" t="str">
        <f t="shared" si="1498"/>
        <v/>
      </c>
      <c r="BC4324" s="743" t="str">
        <f t="shared" si="1499"/>
        <v/>
      </c>
      <c r="BD4324" s="743" t="str">
        <f t="shared" si="1500"/>
        <v/>
      </c>
      <c r="BE4324" s="743" t="str">
        <f>IF(D4324="","",VLOOKUP(D4324,'General Basis'!$J$39:$K$46,2,0))</f>
        <v/>
      </c>
      <c r="BF4324" s="744" t="str">
        <f>IF(D4324="","",VLOOKUP(D4324,'General Basis'!$J$39:$L$46,3,0))</f>
        <v/>
      </c>
      <c r="BG4324" s="744" t="str">
        <f t="shared" si="1507"/>
        <v/>
      </c>
      <c r="BH4324" s="744" t="str">
        <f>IF(G4324="","",IF(BF4324="Abu Dhabi",IF(G4324&lt;18,'General Basis'!$C$39,IF(G4324&lt;41,'General Basis'!$C$40,IF(G4324&lt;60,'General Basis'!$C$41,IF(G4324&lt;65,'General Basis'!$C$42,'General Basis'!$C$43)))),IF(G4324&lt;11,'General Basis'!$B$39,IF(G4324&lt;18,'General Basis'!$B$40,IF(G4324&lt;26,'General Basis'!$B$41,IF(G4324&lt;31,'General Basis'!$B$42,IF(G4324&lt;36,'General Basis'!$B$43,IF(G4324&lt;41,'General Basis'!$B$44,IF(G4324&lt;46,'General Basis'!$B$45,IF(G4324&lt;51,'General Basis'!$B$46,IF(G4324&lt;56,'General Basis'!$B$47,IF(G4324&lt;60,'General Basis'!$B$48,IF(G4324&lt;65,'General Basis'!$B$49,'General Basis'!$B$50)))))))))))))</f>
        <v/>
      </c>
      <c r="BI4324" s="744" t="str">
        <f t="shared" si="1501"/>
        <v/>
      </c>
      <c r="BJ4324" s="747" t="str">
        <f t="shared" si="1508"/>
        <v/>
      </c>
      <c r="BK4324" s="498" t="str">
        <f t="shared" si="1502"/>
        <v/>
      </c>
      <c r="BL4324" s="498" t="str">
        <f t="shared" si="1503"/>
        <v/>
      </c>
    </row>
    <row r="4325" spans="1:64" x14ac:dyDescent="0.25">
      <c r="A4325" s="762">
        <f t="shared" si="1504"/>
        <v>4320</v>
      </c>
      <c r="B4325" s="229"/>
      <c r="C4325" s="223"/>
      <c r="D4325" s="224"/>
      <c r="E4325" s="225"/>
      <c r="F4325" s="1036" t="str">
        <f t="shared" si="1510"/>
        <v/>
      </c>
      <c r="G4325" s="1037" t="str">
        <f t="shared" si="1505"/>
        <v/>
      </c>
      <c r="H4325" s="225"/>
      <c r="I4325" s="1013"/>
      <c r="J4325" s="1013"/>
      <c r="K4325" s="1028"/>
      <c r="L4325" s="1035" t="str">
        <f t="shared" si="1509"/>
        <v/>
      </c>
      <c r="S4325" s="498"/>
      <c r="AJ4325" s="498"/>
      <c r="AM4325" s="498">
        <f t="shared" si="1490"/>
        <v>0</v>
      </c>
      <c r="AN4325" s="498">
        <f t="shared" si="1491"/>
        <v>0</v>
      </c>
      <c r="AO4325" s="498">
        <f t="shared" si="1492"/>
        <v>0</v>
      </c>
      <c r="AP4325" s="498">
        <f t="shared" si="1511"/>
        <v>0</v>
      </c>
      <c r="AQ4325" s="498">
        <f t="shared" si="1506"/>
        <v>0</v>
      </c>
      <c r="AU4325" s="498">
        <f t="shared" si="1493"/>
        <v>0</v>
      </c>
      <c r="AV4325" s="498">
        <f t="shared" si="1494"/>
        <v>0</v>
      </c>
      <c r="AW4325" s="498">
        <f t="shared" si="1495"/>
        <v>0</v>
      </c>
      <c r="AX4325" s="498">
        <f t="shared" si="1496"/>
        <v>0</v>
      </c>
      <c r="AY4325" s="498">
        <f t="shared" si="1497"/>
        <v>0</v>
      </c>
      <c r="BB4325" s="498" t="str">
        <f t="shared" si="1498"/>
        <v/>
      </c>
      <c r="BC4325" s="743" t="str">
        <f t="shared" si="1499"/>
        <v/>
      </c>
      <c r="BD4325" s="743" t="str">
        <f t="shared" si="1500"/>
        <v/>
      </c>
      <c r="BE4325" s="743" t="str">
        <f>IF(D4325="","",VLOOKUP(D4325,'General Basis'!$J$39:$K$46,2,0))</f>
        <v/>
      </c>
      <c r="BF4325" s="744" t="str">
        <f>IF(D4325="","",VLOOKUP(D4325,'General Basis'!$J$39:$L$46,3,0))</f>
        <v/>
      </c>
      <c r="BG4325" s="744" t="str">
        <f t="shared" si="1507"/>
        <v/>
      </c>
      <c r="BH4325" s="744" t="str">
        <f>IF(G4325="","",IF(BF4325="Abu Dhabi",IF(G4325&lt;18,'General Basis'!$C$39,IF(G4325&lt;41,'General Basis'!$C$40,IF(G4325&lt;60,'General Basis'!$C$41,IF(G4325&lt;65,'General Basis'!$C$42,'General Basis'!$C$43)))),IF(G4325&lt;11,'General Basis'!$B$39,IF(G4325&lt;18,'General Basis'!$B$40,IF(G4325&lt;26,'General Basis'!$B$41,IF(G4325&lt;31,'General Basis'!$B$42,IF(G4325&lt;36,'General Basis'!$B$43,IF(G4325&lt;41,'General Basis'!$B$44,IF(G4325&lt;46,'General Basis'!$B$45,IF(G4325&lt;51,'General Basis'!$B$46,IF(G4325&lt;56,'General Basis'!$B$47,IF(G4325&lt;60,'General Basis'!$B$48,IF(G4325&lt;65,'General Basis'!$B$49,'General Basis'!$B$50)))))))))))))</f>
        <v/>
      </c>
      <c r="BI4325" s="744" t="str">
        <f t="shared" si="1501"/>
        <v/>
      </c>
      <c r="BJ4325" s="747" t="str">
        <f t="shared" si="1508"/>
        <v/>
      </c>
      <c r="BK4325" s="498" t="str">
        <f t="shared" si="1502"/>
        <v/>
      </c>
      <c r="BL4325" s="498" t="str">
        <f t="shared" si="1503"/>
        <v/>
      </c>
    </row>
    <row r="4326" spans="1:64" x14ac:dyDescent="0.25">
      <c r="A4326" s="762">
        <f t="shared" si="1504"/>
        <v>4321</v>
      </c>
      <c r="B4326" s="229"/>
      <c r="C4326" s="223"/>
      <c r="D4326" s="224"/>
      <c r="E4326" s="225"/>
      <c r="F4326" s="1036" t="str">
        <f t="shared" si="1510"/>
        <v/>
      </c>
      <c r="G4326" s="1037" t="str">
        <f t="shared" si="1505"/>
        <v/>
      </c>
      <c r="H4326" s="225"/>
      <c r="I4326" s="1013"/>
      <c r="J4326" s="1013"/>
      <c r="K4326" s="1028"/>
      <c r="L4326" s="1035" t="str">
        <f t="shared" si="1509"/>
        <v/>
      </c>
      <c r="S4326" s="498"/>
      <c r="AJ4326" s="498"/>
      <c r="AM4326" s="498">
        <f t="shared" si="1490"/>
        <v>0</v>
      </c>
      <c r="AN4326" s="498">
        <f t="shared" si="1491"/>
        <v>0</v>
      </c>
      <c r="AO4326" s="498">
        <f t="shared" si="1492"/>
        <v>0</v>
      </c>
      <c r="AP4326" s="498">
        <f t="shared" si="1511"/>
        <v>0</v>
      </c>
      <c r="AQ4326" s="498">
        <f t="shared" si="1506"/>
        <v>0</v>
      </c>
      <c r="AU4326" s="498">
        <f t="shared" si="1493"/>
        <v>0</v>
      </c>
      <c r="AV4326" s="498">
        <f t="shared" si="1494"/>
        <v>0</v>
      </c>
      <c r="AW4326" s="498">
        <f t="shared" si="1495"/>
        <v>0</v>
      </c>
      <c r="AX4326" s="498">
        <f t="shared" si="1496"/>
        <v>0</v>
      </c>
      <c r="AY4326" s="498">
        <f t="shared" si="1497"/>
        <v>0</v>
      </c>
      <c r="BB4326" s="498" t="str">
        <f t="shared" si="1498"/>
        <v/>
      </c>
      <c r="BC4326" s="743" t="str">
        <f t="shared" si="1499"/>
        <v/>
      </c>
      <c r="BD4326" s="743" t="str">
        <f t="shared" si="1500"/>
        <v/>
      </c>
      <c r="BE4326" s="743" t="str">
        <f>IF(D4326="","",VLOOKUP(D4326,'General Basis'!$J$39:$K$46,2,0))</f>
        <v/>
      </c>
      <c r="BF4326" s="744" t="str">
        <f>IF(D4326="","",VLOOKUP(D4326,'General Basis'!$J$39:$L$46,3,0))</f>
        <v/>
      </c>
      <c r="BG4326" s="744" t="str">
        <f t="shared" si="1507"/>
        <v/>
      </c>
      <c r="BH4326" s="744" t="str">
        <f>IF(G4326="","",IF(BF4326="Abu Dhabi",IF(G4326&lt;18,'General Basis'!$C$39,IF(G4326&lt;41,'General Basis'!$C$40,IF(G4326&lt;60,'General Basis'!$C$41,IF(G4326&lt;65,'General Basis'!$C$42,'General Basis'!$C$43)))),IF(G4326&lt;11,'General Basis'!$B$39,IF(G4326&lt;18,'General Basis'!$B$40,IF(G4326&lt;26,'General Basis'!$B$41,IF(G4326&lt;31,'General Basis'!$B$42,IF(G4326&lt;36,'General Basis'!$B$43,IF(G4326&lt;41,'General Basis'!$B$44,IF(G4326&lt;46,'General Basis'!$B$45,IF(G4326&lt;51,'General Basis'!$B$46,IF(G4326&lt;56,'General Basis'!$B$47,IF(G4326&lt;60,'General Basis'!$B$48,IF(G4326&lt;65,'General Basis'!$B$49,'General Basis'!$B$50)))))))))))))</f>
        <v/>
      </c>
      <c r="BI4326" s="744" t="str">
        <f t="shared" si="1501"/>
        <v/>
      </c>
      <c r="BJ4326" s="747" t="str">
        <f t="shared" si="1508"/>
        <v/>
      </c>
      <c r="BK4326" s="498" t="str">
        <f t="shared" si="1502"/>
        <v/>
      </c>
      <c r="BL4326" s="498" t="str">
        <f t="shared" si="1503"/>
        <v/>
      </c>
    </row>
    <row r="4327" spans="1:64" x14ac:dyDescent="0.25">
      <c r="A4327" s="762">
        <f t="shared" si="1504"/>
        <v>4322</v>
      </c>
      <c r="B4327" s="229"/>
      <c r="C4327" s="223"/>
      <c r="D4327" s="224"/>
      <c r="E4327" s="225"/>
      <c r="F4327" s="1036" t="str">
        <f t="shared" si="1510"/>
        <v/>
      </c>
      <c r="G4327" s="1037" t="str">
        <f t="shared" si="1505"/>
        <v/>
      </c>
      <c r="H4327" s="225"/>
      <c r="I4327" s="1013"/>
      <c r="J4327" s="1013"/>
      <c r="K4327" s="1028"/>
      <c r="L4327" s="1035" t="str">
        <f t="shared" si="1509"/>
        <v/>
      </c>
      <c r="S4327" s="498"/>
      <c r="AJ4327" s="498"/>
      <c r="AM4327" s="498">
        <f t="shared" si="1490"/>
        <v>0</v>
      </c>
      <c r="AN4327" s="498">
        <f t="shared" si="1491"/>
        <v>0</v>
      </c>
      <c r="AO4327" s="498">
        <f t="shared" si="1492"/>
        <v>0</v>
      </c>
      <c r="AP4327" s="498">
        <f t="shared" si="1511"/>
        <v>0</v>
      </c>
      <c r="AQ4327" s="498">
        <f t="shared" si="1506"/>
        <v>0</v>
      </c>
      <c r="AU4327" s="498">
        <f t="shared" si="1493"/>
        <v>0</v>
      </c>
      <c r="AV4327" s="498">
        <f t="shared" si="1494"/>
        <v>0</v>
      </c>
      <c r="AW4327" s="498">
        <f t="shared" si="1495"/>
        <v>0</v>
      </c>
      <c r="AX4327" s="498">
        <f t="shared" si="1496"/>
        <v>0</v>
      </c>
      <c r="AY4327" s="498">
        <f t="shared" si="1497"/>
        <v>0</v>
      </c>
      <c r="BB4327" s="498" t="str">
        <f t="shared" si="1498"/>
        <v/>
      </c>
      <c r="BC4327" s="743" t="str">
        <f t="shared" si="1499"/>
        <v/>
      </c>
      <c r="BD4327" s="743" t="str">
        <f t="shared" si="1500"/>
        <v/>
      </c>
      <c r="BE4327" s="743" t="str">
        <f>IF(D4327="","",VLOOKUP(D4327,'General Basis'!$J$39:$K$46,2,0))</f>
        <v/>
      </c>
      <c r="BF4327" s="744" t="str">
        <f>IF(D4327="","",VLOOKUP(D4327,'General Basis'!$J$39:$L$46,3,0))</f>
        <v/>
      </c>
      <c r="BG4327" s="744" t="str">
        <f t="shared" si="1507"/>
        <v/>
      </c>
      <c r="BH4327" s="744" t="str">
        <f>IF(G4327="","",IF(BF4327="Abu Dhabi",IF(G4327&lt;18,'General Basis'!$C$39,IF(G4327&lt;41,'General Basis'!$C$40,IF(G4327&lt;60,'General Basis'!$C$41,IF(G4327&lt;65,'General Basis'!$C$42,'General Basis'!$C$43)))),IF(G4327&lt;11,'General Basis'!$B$39,IF(G4327&lt;18,'General Basis'!$B$40,IF(G4327&lt;26,'General Basis'!$B$41,IF(G4327&lt;31,'General Basis'!$B$42,IF(G4327&lt;36,'General Basis'!$B$43,IF(G4327&lt;41,'General Basis'!$B$44,IF(G4327&lt;46,'General Basis'!$B$45,IF(G4327&lt;51,'General Basis'!$B$46,IF(G4327&lt;56,'General Basis'!$B$47,IF(G4327&lt;60,'General Basis'!$B$48,IF(G4327&lt;65,'General Basis'!$B$49,'General Basis'!$B$50)))))))))))))</f>
        <v/>
      </c>
      <c r="BI4327" s="744" t="str">
        <f t="shared" si="1501"/>
        <v/>
      </c>
      <c r="BJ4327" s="747" t="str">
        <f t="shared" si="1508"/>
        <v/>
      </c>
      <c r="BK4327" s="498" t="str">
        <f t="shared" si="1502"/>
        <v/>
      </c>
      <c r="BL4327" s="498" t="str">
        <f t="shared" si="1503"/>
        <v/>
      </c>
    </row>
    <row r="4328" spans="1:64" x14ac:dyDescent="0.25">
      <c r="A4328" s="762">
        <f t="shared" si="1504"/>
        <v>4323</v>
      </c>
      <c r="B4328" s="229"/>
      <c r="C4328" s="223"/>
      <c r="D4328" s="224"/>
      <c r="E4328" s="225"/>
      <c r="F4328" s="1036" t="str">
        <f t="shared" si="1510"/>
        <v/>
      </c>
      <c r="G4328" s="1037" t="str">
        <f t="shared" si="1505"/>
        <v/>
      </c>
      <c r="H4328" s="225"/>
      <c r="I4328" s="1013"/>
      <c r="J4328" s="1013"/>
      <c r="K4328" s="1028"/>
      <c r="L4328" s="1035" t="str">
        <f t="shared" si="1509"/>
        <v/>
      </c>
      <c r="S4328" s="498"/>
      <c r="AJ4328" s="498"/>
      <c r="AM4328" s="498">
        <f t="shared" si="1490"/>
        <v>0</v>
      </c>
      <c r="AN4328" s="498">
        <f t="shared" si="1491"/>
        <v>0</v>
      </c>
      <c r="AO4328" s="498">
        <f t="shared" si="1492"/>
        <v>0</v>
      </c>
      <c r="AP4328" s="498">
        <f t="shared" si="1511"/>
        <v>0</v>
      </c>
      <c r="AQ4328" s="498">
        <f t="shared" si="1506"/>
        <v>0</v>
      </c>
      <c r="AU4328" s="498">
        <f t="shared" si="1493"/>
        <v>0</v>
      </c>
      <c r="AV4328" s="498">
        <f t="shared" si="1494"/>
        <v>0</v>
      </c>
      <c r="AW4328" s="498">
        <f t="shared" si="1495"/>
        <v>0</v>
      </c>
      <c r="AX4328" s="498">
        <f t="shared" si="1496"/>
        <v>0</v>
      </c>
      <c r="AY4328" s="498">
        <f t="shared" si="1497"/>
        <v>0</v>
      </c>
      <c r="BB4328" s="498" t="str">
        <f t="shared" si="1498"/>
        <v/>
      </c>
      <c r="BC4328" s="743" t="str">
        <f t="shared" si="1499"/>
        <v/>
      </c>
      <c r="BD4328" s="743" t="str">
        <f t="shared" si="1500"/>
        <v/>
      </c>
      <c r="BE4328" s="743" t="str">
        <f>IF(D4328="","",VLOOKUP(D4328,'General Basis'!$J$39:$K$46,2,0))</f>
        <v/>
      </c>
      <c r="BF4328" s="744" t="str">
        <f>IF(D4328="","",VLOOKUP(D4328,'General Basis'!$J$39:$L$46,3,0))</f>
        <v/>
      </c>
      <c r="BG4328" s="744" t="str">
        <f t="shared" si="1507"/>
        <v/>
      </c>
      <c r="BH4328" s="744" t="str">
        <f>IF(G4328="","",IF(BF4328="Abu Dhabi",IF(G4328&lt;18,'General Basis'!$C$39,IF(G4328&lt;41,'General Basis'!$C$40,IF(G4328&lt;60,'General Basis'!$C$41,IF(G4328&lt;65,'General Basis'!$C$42,'General Basis'!$C$43)))),IF(G4328&lt;11,'General Basis'!$B$39,IF(G4328&lt;18,'General Basis'!$B$40,IF(G4328&lt;26,'General Basis'!$B$41,IF(G4328&lt;31,'General Basis'!$B$42,IF(G4328&lt;36,'General Basis'!$B$43,IF(G4328&lt;41,'General Basis'!$B$44,IF(G4328&lt;46,'General Basis'!$B$45,IF(G4328&lt;51,'General Basis'!$B$46,IF(G4328&lt;56,'General Basis'!$B$47,IF(G4328&lt;60,'General Basis'!$B$48,IF(G4328&lt;65,'General Basis'!$B$49,'General Basis'!$B$50)))))))))))))</f>
        <v/>
      </c>
      <c r="BI4328" s="744" t="str">
        <f t="shared" si="1501"/>
        <v/>
      </c>
      <c r="BJ4328" s="747" t="str">
        <f t="shared" si="1508"/>
        <v/>
      </c>
      <c r="BK4328" s="498" t="str">
        <f t="shared" si="1502"/>
        <v/>
      </c>
      <c r="BL4328" s="498" t="str">
        <f t="shared" si="1503"/>
        <v/>
      </c>
    </row>
    <row r="4329" spans="1:64" x14ac:dyDescent="0.25">
      <c r="A4329" s="762">
        <f t="shared" si="1504"/>
        <v>4324</v>
      </c>
      <c r="B4329" s="229"/>
      <c r="C4329" s="223"/>
      <c r="D4329" s="224"/>
      <c r="E4329" s="225"/>
      <c r="F4329" s="1036" t="str">
        <f t="shared" si="1510"/>
        <v/>
      </c>
      <c r="G4329" s="1037" t="str">
        <f t="shared" si="1505"/>
        <v/>
      </c>
      <c r="H4329" s="225"/>
      <c r="I4329" s="1013"/>
      <c r="J4329" s="1013"/>
      <c r="K4329" s="1028"/>
      <c r="L4329" s="1035" t="str">
        <f t="shared" si="1509"/>
        <v/>
      </c>
      <c r="S4329" s="498"/>
      <c r="AJ4329" s="498"/>
      <c r="AM4329" s="498">
        <f t="shared" si="1490"/>
        <v>0</v>
      </c>
      <c r="AN4329" s="498">
        <f t="shared" si="1491"/>
        <v>0</v>
      </c>
      <c r="AO4329" s="498">
        <f t="shared" si="1492"/>
        <v>0</v>
      </c>
      <c r="AP4329" s="498">
        <f t="shared" si="1511"/>
        <v>0</v>
      </c>
      <c r="AQ4329" s="498">
        <f t="shared" si="1506"/>
        <v>0</v>
      </c>
      <c r="AU4329" s="498">
        <f t="shared" si="1493"/>
        <v>0</v>
      </c>
      <c r="AV4329" s="498">
        <f t="shared" si="1494"/>
        <v>0</v>
      </c>
      <c r="AW4329" s="498">
        <f t="shared" si="1495"/>
        <v>0</v>
      </c>
      <c r="AX4329" s="498">
        <f t="shared" si="1496"/>
        <v>0</v>
      </c>
      <c r="AY4329" s="498">
        <f t="shared" si="1497"/>
        <v>0</v>
      </c>
      <c r="BB4329" s="498" t="str">
        <f t="shared" si="1498"/>
        <v/>
      </c>
      <c r="BC4329" s="743" t="str">
        <f t="shared" si="1499"/>
        <v/>
      </c>
      <c r="BD4329" s="743" t="str">
        <f t="shared" si="1500"/>
        <v/>
      </c>
      <c r="BE4329" s="743" t="str">
        <f>IF(D4329="","",VLOOKUP(D4329,'General Basis'!$J$39:$K$46,2,0))</f>
        <v/>
      </c>
      <c r="BF4329" s="744" t="str">
        <f>IF(D4329="","",VLOOKUP(D4329,'General Basis'!$J$39:$L$46,3,0))</f>
        <v/>
      </c>
      <c r="BG4329" s="744" t="str">
        <f t="shared" si="1507"/>
        <v/>
      </c>
      <c r="BH4329" s="744" t="str">
        <f>IF(G4329="","",IF(BF4329="Abu Dhabi",IF(G4329&lt;18,'General Basis'!$C$39,IF(G4329&lt;41,'General Basis'!$C$40,IF(G4329&lt;60,'General Basis'!$C$41,IF(G4329&lt;65,'General Basis'!$C$42,'General Basis'!$C$43)))),IF(G4329&lt;11,'General Basis'!$B$39,IF(G4329&lt;18,'General Basis'!$B$40,IF(G4329&lt;26,'General Basis'!$B$41,IF(G4329&lt;31,'General Basis'!$B$42,IF(G4329&lt;36,'General Basis'!$B$43,IF(G4329&lt;41,'General Basis'!$B$44,IF(G4329&lt;46,'General Basis'!$B$45,IF(G4329&lt;51,'General Basis'!$B$46,IF(G4329&lt;56,'General Basis'!$B$47,IF(G4329&lt;60,'General Basis'!$B$48,IF(G4329&lt;65,'General Basis'!$B$49,'General Basis'!$B$50)))))))))))))</f>
        <v/>
      </c>
      <c r="BI4329" s="744" t="str">
        <f t="shared" si="1501"/>
        <v/>
      </c>
      <c r="BJ4329" s="747" t="str">
        <f t="shared" si="1508"/>
        <v/>
      </c>
      <c r="BK4329" s="498" t="str">
        <f t="shared" si="1502"/>
        <v/>
      </c>
      <c r="BL4329" s="498" t="str">
        <f t="shared" si="1503"/>
        <v/>
      </c>
    </row>
    <row r="4330" spans="1:64" x14ac:dyDescent="0.25">
      <c r="A4330" s="762">
        <f t="shared" si="1504"/>
        <v>4325</v>
      </c>
      <c r="B4330" s="229"/>
      <c r="C4330" s="223"/>
      <c r="D4330" s="224"/>
      <c r="E4330" s="225"/>
      <c r="F4330" s="1036" t="str">
        <f t="shared" si="1510"/>
        <v/>
      </c>
      <c r="G4330" s="1037" t="str">
        <f t="shared" si="1505"/>
        <v/>
      </c>
      <c r="H4330" s="225"/>
      <c r="I4330" s="1013"/>
      <c r="J4330" s="1013"/>
      <c r="K4330" s="1028"/>
      <c r="L4330" s="1035" t="str">
        <f t="shared" si="1509"/>
        <v/>
      </c>
      <c r="S4330" s="498"/>
      <c r="AJ4330" s="498"/>
      <c r="AM4330" s="498">
        <f t="shared" si="1490"/>
        <v>0</v>
      </c>
      <c r="AN4330" s="498">
        <f t="shared" si="1491"/>
        <v>0</v>
      </c>
      <c r="AO4330" s="498">
        <f t="shared" si="1492"/>
        <v>0</v>
      </c>
      <c r="AP4330" s="498">
        <f t="shared" si="1511"/>
        <v>0</v>
      </c>
      <c r="AQ4330" s="498">
        <f t="shared" si="1506"/>
        <v>0</v>
      </c>
      <c r="AU4330" s="498">
        <f t="shared" si="1493"/>
        <v>0</v>
      </c>
      <c r="AV4330" s="498">
        <f t="shared" si="1494"/>
        <v>0</v>
      </c>
      <c r="AW4330" s="498">
        <f t="shared" si="1495"/>
        <v>0</v>
      </c>
      <c r="AX4330" s="498">
        <f t="shared" si="1496"/>
        <v>0</v>
      </c>
      <c r="AY4330" s="498">
        <f t="shared" si="1497"/>
        <v>0</v>
      </c>
      <c r="BB4330" s="498" t="str">
        <f t="shared" si="1498"/>
        <v/>
      </c>
      <c r="BC4330" s="743" t="str">
        <f t="shared" si="1499"/>
        <v/>
      </c>
      <c r="BD4330" s="743" t="str">
        <f t="shared" si="1500"/>
        <v/>
      </c>
      <c r="BE4330" s="743" t="str">
        <f>IF(D4330="","",VLOOKUP(D4330,'General Basis'!$J$39:$K$46,2,0))</f>
        <v/>
      </c>
      <c r="BF4330" s="744" t="str">
        <f>IF(D4330="","",VLOOKUP(D4330,'General Basis'!$J$39:$L$46,3,0))</f>
        <v/>
      </c>
      <c r="BG4330" s="744" t="str">
        <f t="shared" si="1507"/>
        <v/>
      </c>
      <c r="BH4330" s="744" t="str">
        <f>IF(G4330="","",IF(BF4330="Abu Dhabi",IF(G4330&lt;18,'General Basis'!$C$39,IF(G4330&lt;41,'General Basis'!$C$40,IF(G4330&lt;60,'General Basis'!$C$41,IF(G4330&lt;65,'General Basis'!$C$42,'General Basis'!$C$43)))),IF(G4330&lt;11,'General Basis'!$B$39,IF(G4330&lt;18,'General Basis'!$B$40,IF(G4330&lt;26,'General Basis'!$B$41,IF(G4330&lt;31,'General Basis'!$B$42,IF(G4330&lt;36,'General Basis'!$B$43,IF(G4330&lt;41,'General Basis'!$B$44,IF(G4330&lt;46,'General Basis'!$B$45,IF(G4330&lt;51,'General Basis'!$B$46,IF(G4330&lt;56,'General Basis'!$B$47,IF(G4330&lt;60,'General Basis'!$B$48,IF(G4330&lt;65,'General Basis'!$B$49,'General Basis'!$B$50)))))))))))))</f>
        <v/>
      </c>
      <c r="BI4330" s="744" t="str">
        <f t="shared" si="1501"/>
        <v/>
      </c>
      <c r="BJ4330" s="747" t="str">
        <f t="shared" si="1508"/>
        <v/>
      </c>
      <c r="BK4330" s="498" t="str">
        <f t="shared" si="1502"/>
        <v/>
      </c>
      <c r="BL4330" s="498" t="str">
        <f t="shared" si="1503"/>
        <v/>
      </c>
    </row>
    <row r="4331" spans="1:64" x14ac:dyDescent="0.25">
      <c r="A4331" s="762">
        <f t="shared" si="1504"/>
        <v>4326</v>
      </c>
      <c r="B4331" s="229"/>
      <c r="C4331" s="223"/>
      <c r="D4331" s="224"/>
      <c r="E4331" s="225"/>
      <c r="F4331" s="1036" t="str">
        <f t="shared" si="1510"/>
        <v/>
      </c>
      <c r="G4331" s="1037" t="str">
        <f t="shared" si="1505"/>
        <v/>
      </c>
      <c r="H4331" s="225"/>
      <c r="I4331" s="1013"/>
      <c r="J4331" s="1013"/>
      <c r="K4331" s="1028"/>
      <c r="L4331" s="1035" t="str">
        <f t="shared" si="1509"/>
        <v/>
      </c>
      <c r="S4331" s="498"/>
      <c r="AJ4331" s="498"/>
      <c r="AM4331" s="498">
        <f t="shared" si="1490"/>
        <v>0</v>
      </c>
      <c r="AN4331" s="498">
        <f t="shared" si="1491"/>
        <v>0</v>
      </c>
      <c r="AO4331" s="498">
        <f t="shared" si="1492"/>
        <v>0</v>
      </c>
      <c r="AP4331" s="498">
        <f t="shared" si="1511"/>
        <v>0</v>
      </c>
      <c r="AQ4331" s="498">
        <f t="shared" si="1506"/>
        <v>0</v>
      </c>
      <c r="AU4331" s="498">
        <f t="shared" si="1493"/>
        <v>0</v>
      </c>
      <c r="AV4331" s="498">
        <f t="shared" si="1494"/>
        <v>0</v>
      </c>
      <c r="AW4331" s="498">
        <f t="shared" si="1495"/>
        <v>0</v>
      </c>
      <c r="AX4331" s="498">
        <f t="shared" si="1496"/>
        <v>0</v>
      </c>
      <c r="AY4331" s="498">
        <f t="shared" si="1497"/>
        <v>0</v>
      </c>
      <c r="BB4331" s="498" t="str">
        <f t="shared" si="1498"/>
        <v/>
      </c>
      <c r="BC4331" s="743" t="str">
        <f t="shared" si="1499"/>
        <v/>
      </c>
      <c r="BD4331" s="743" t="str">
        <f t="shared" si="1500"/>
        <v/>
      </c>
      <c r="BE4331" s="743" t="str">
        <f>IF(D4331="","",VLOOKUP(D4331,'General Basis'!$J$39:$K$46,2,0))</f>
        <v/>
      </c>
      <c r="BF4331" s="744" t="str">
        <f>IF(D4331="","",VLOOKUP(D4331,'General Basis'!$J$39:$L$46,3,0))</f>
        <v/>
      </c>
      <c r="BG4331" s="744" t="str">
        <f t="shared" si="1507"/>
        <v/>
      </c>
      <c r="BH4331" s="744" t="str">
        <f>IF(G4331="","",IF(BF4331="Abu Dhabi",IF(G4331&lt;18,'General Basis'!$C$39,IF(G4331&lt;41,'General Basis'!$C$40,IF(G4331&lt;60,'General Basis'!$C$41,IF(G4331&lt;65,'General Basis'!$C$42,'General Basis'!$C$43)))),IF(G4331&lt;11,'General Basis'!$B$39,IF(G4331&lt;18,'General Basis'!$B$40,IF(G4331&lt;26,'General Basis'!$B$41,IF(G4331&lt;31,'General Basis'!$B$42,IF(G4331&lt;36,'General Basis'!$B$43,IF(G4331&lt;41,'General Basis'!$B$44,IF(G4331&lt;46,'General Basis'!$B$45,IF(G4331&lt;51,'General Basis'!$B$46,IF(G4331&lt;56,'General Basis'!$B$47,IF(G4331&lt;60,'General Basis'!$B$48,IF(G4331&lt;65,'General Basis'!$B$49,'General Basis'!$B$50)))))))))))))</f>
        <v/>
      </c>
      <c r="BI4331" s="744" t="str">
        <f t="shared" si="1501"/>
        <v/>
      </c>
      <c r="BJ4331" s="747" t="str">
        <f t="shared" si="1508"/>
        <v/>
      </c>
      <c r="BK4331" s="498" t="str">
        <f t="shared" si="1502"/>
        <v/>
      </c>
      <c r="BL4331" s="498" t="str">
        <f t="shared" si="1503"/>
        <v/>
      </c>
    </row>
    <row r="4332" spans="1:64" x14ac:dyDescent="0.25">
      <c r="A4332" s="762">
        <f t="shared" si="1504"/>
        <v>4327</v>
      </c>
      <c r="B4332" s="229"/>
      <c r="C4332" s="223"/>
      <c r="D4332" s="224"/>
      <c r="E4332" s="225"/>
      <c r="F4332" s="1036" t="str">
        <f t="shared" si="1510"/>
        <v/>
      </c>
      <c r="G4332" s="1037" t="str">
        <f t="shared" si="1505"/>
        <v/>
      </c>
      <c r="H4332" s="225"/>
      <c r="I4332" s="1013"/>
      <c r="J4332" s="1013"/>
      <c r="K4332" s="1028"/>
      <c r="L4332" s="1035" t="str">
        <f t="shared" si="1509"/>
        <v/>
      </c>
      <c r="S4332" s="498"/>
      <c r="AJ4332" s="498"/>
      <c r="AM4332" s="498">
        <f t="shared" si="1490"/>
        <v>0</v>
      </c>
      <c r="AN4332" s="498">
        <f t="shared" si="1491"/>
        <v>0</v>
      </c>
      <c r="AO4332" s="498">
        <f t="shared" si="1492"/>
        <v>0</v>
      </c>
      <c r="AP4332" s="498">
        <f t="shared" si="1511"/>
        <v>0</v>
      </c>
      <c r="AQ4332" s="498">
        <f t="shared" si="1506"/>
        <v>0</v>
      </c>
      <c r="AU4332" s="498">
        <f t="shared" si="1493"/>
        <v>0</v>
      </c>
      <c r="AV4332" s="498">
        <f t="shared" si="1494"/>
        <v>0</v>
      </c>
      <c r="AW4332" s="498">
        <f t="shared" si="1495"/>
        <v>0</v>
      </c>
      <c r="AX4332" s="498">
        <f t="shared" si="1496"/>
        <v>0</v>
      </c>
      <c r="AY4332" s="498">
        <f t="shared" si="1497"/>
        <v>0</v>
      </c>
      <c r="BB4332" s="498" t="str">
        <f t="shared" si="1498"/>
        <v/>
      </c>
      <c r="BC4332" s="743" t="str">
        <f t="shared" si="1499"/>
        <v/>
      </c>
      <c r="BD4332" s="743" t="str">
        <f t="shared" si="1500"/>
        <v/>
      </c>
      <c r="BE4332" s="743" t="str">
        <f>IF(D4332="","",VLOOKUP(D4332,'General Basis'!$J$39:$K$46,2,0))</f>
        <v/>
      </c>
      <c r="BF4332" s="744" t="str">
        <f>IF(D4332="","",VLOOKUP(D4332,'General Basis'!$J$39:$L$46,3,0))</f>
        <v/>
      </c>
      <c r="BG4332" s="744" t="str">
        <f t="shared" si="1507"/>
        <v/>
      </c>
      <c r="BH4332" s="744" t="str">
        <f>IF(G4332="","",IF(BF4332="Abu Dhabi",IF(G4332&lt;18,'General Basis'!$C$39,IF(G4332&lt;41,'General Basis'!$C$40,IF(G4332&lt;60,'General Basis'!$C$41,IF(G4332&lt;65,'General Basis'!$C$42,'General Basis'!$C$43)))),IF(G4332&lt;11,'General Basis'!$B$39,IF(G4332&lt;18,'General Basis'!$B$40,IF(G4332&lt;26,'General Basis'!$B$41,IF(G4332&lt;31,'General Basis'!$B$42,IF(G4332&lt;36,'General Basis'!$B$43,IF(G4332&lt;41,'General Basis'!$B$44,IF(G4332&lt;46,'General Basis'!$B$45,IF(G4332&lt;51,'General Basis'!$B$46,IF(G4332&lt;56,'General Basis'!$B$47,IF(G4332&lt;60,'General Basis'!$B$48,IF(G4332&lt;65,'General Basis'!$B$49,'General Basis'!$B$50)))))))))))))</f>
        <v/>
      </c>
      <c r="BI4332" s="744" t="str">
        <f t="shared" si="1501"/>
        <v/>
      </c>
      <c r="BJ4332" s="747" t="str">
        <f t="shared" si="1508"/>
        <v/>
      </c>
      <c r="BK4332" s="498" t="str">
        <f t="shared" si="1502"/>
        <v/>
      </c>
      <c r="BL4332" s="498" t="str">
        <f t="shared" si="1503"/>
        <v/>
      </c>
    </row>
    <row r="4333" spans="1:64" x14ac:dyDescent="0.25">
      <c r="A4333" s="762">
        <f t="shared" si="1504"/>
        <v>4328</v>
      </c>
      <c r="B4333" s="229"/>
      <c r="C4333" s="223"/>
      <c r="D4333" s="224"/>
      <c r="E4333" s="225"/>
      <c r="F4333" s="1036" t="str">
        <f t="shared" si="1510"/>
        <v/>
      </c>
      <c r="G4333" s="1037" t="str">
        <f t="shared" si="1505"/>
        <v/>
      </c>
      <c r="H4333" s="225"/>
      <c r="I4333" s="1013"/>
      <c r="J4333" s="1013"/>
      <c r="K4333" s="1028"/>
      <c r="L4333" s="1035" t="str">
        <f t="shared" si="1509"/>
        <v/>
      </c>
      <c r="S4333" s="498"/>
      <c r="AJ4333" s="498"/>
      <c r="AM4333" s="498">
        <f t="shared" si="1490"/>
        <v>0</v>
      </c>
      <c r="AN4333" s="498">
        <f t="shared" si="1491"/>
        <v>0</v>
      </c>
      <c r="AO4333" s="498">
        <f t="shared" si="1492"/>
        <v>0</v>
      </c>
      <c r="AP4333" s="498">
        <f t="shared" si="1511"/>
        <v>0</v>
      </c>
      <c r="AQ4333" s="498">
        <f t="shared" si="1506"/>
        <v>0</v>
      </c>
      <c r="AU4333" s="498">
        <f t="shared" si="1493"/>
        <v>0</v>
      </c>
      <c r="AV4333" s="498">
        <f t="shared" si="1494"/>
        <v>0</v>
      </c>
      <c r="AW4333" s="498">
        <f t="shared" si="1495"/>
        <v>0</v>
      </c>
      <c r="AX4333" s="498">
        <f t="shared" si="1496"/>
        <v>0</v>
      </c>
      <c r="AY4333" s="498">
        <f t="shared" si="1497"/>
        <v>0</v>
      </c>
      <c r="BB4333" s="498" t="str">
        <f t="shared" si="1498"/>
        <v/>
      </c>
      <c r="BC4333" s="743" t="str">
        <f t="shared" si="1499"/>
        <v/>
      </c>
      <c r="BD4333" s="743" t="str">
        <f t="shared" si="1500"/>
        <v/>
      </c>
      <c r="BE4333" s="743" t="str">
        <f>IF(D4333="","",VLOOKUP(D4333,'General Basis'!$J$39:$K$46,2,0))</f>
        <v/>
      </c>
      <c r="BF4333" s="744" t="str">
        <f>IF(D4333="","",VLOOKUP(D4333,'General Basis'!$J$39:$L$46,3,0))</f>
        <v/>
      </c>
      <c r="BG4333" s="744" t="str">
        <f t="shared" si="1507"/>
        <v/>
      </c>
      <c r="BH4333" s="744" t="str">
        <f>IF(G4333="","",IF(BF4333="Abu Dhabi",IF(G4333&lt;18,'General Basis'!$C$39,IF(G4333&lt;41,'General Basis'!$C$40,IF(G4333&lt;60,'General Basis'!$C$41,IF(G4333&lt;65,'General Basis'!$C$42,'General Basis'!$C$43)))),IF(G4333&lt;11,'General Basis'!$B$39,IF(G4333&lt;18,'General Basis'!$B$40,IF(G4333&lt;26,'General Basis'!$B$41,IF(G4333&lt;31,'General Basis'!$B$42,IF(G4333&lt;36,'General Basis'!$B$43,IF(G4333&lt;41,'General Basis'!$B$44,IF(G4333&lt;46,'General Basis'!$B$45,IF(G4333&lt;51,'General Basis'!$B$46,IF(G4333&lt;56,'General Basis'!$B$47,IF(G4333&lt;60,'General Basis'!$B$48,IF(G4333&lt;65,'General Basis'!$B$49,'General Basis'!$B$50)))))))))))))</f>
        <v/>
      </c>
      <c r="BI4333" s="744" t="str">
        <f t="shared" si="1501"/>
        <v/>
      </c>
      <c r="BJ4333" s="747" t="str">
        <f t="shared" si="1508"/>
        <v/>
      </c>
      <c r="BK4333" s="498" t="str">
        <f t="shared" si="1502"/>
        <v/>
      </c>
      <c r="BL4333" s="498" t="str">
        <f t="shared" si="1503"/>
        <v/>
      </c>
    </row>
    <row r="4334" spans="1:64" x14ac:dyDescent="0.25">
      <c r="A4334" s="762">
        <f t="shared" si="1504"/>
        <v>4329</v>
      </c>
      <c r="B4334" s="229"/>
      <c r="C4334" s="223"/>
      <c r="D4334" s="224"/>
      <c r="E4334" s="225"/>
      <c r="F4334" s="1036" t="str">
        <f t="shared" si="1510"/>
        <v/>
      </c>
      <c r="G4334" s="1037" t="str">
        <f t="shared" si="1505"/>
        <v/>
      </c>
      <c r="H4334" s="225"/>
      <c r="I4334" s="1013"/>
      <c r="J4334" s="1013"/>
      <c r="K4334" s="1028"/>
      <c r="L4334" s="1035" t="str">
        <f t="shared" si="1509"/>
        <v/>
      </c>
      <c r="S4334" s="498"/>
      <c r="AJ4334" s="498"/>
      <c r="AM4334" s="498">
        <f t="shared" si="1490"/>
        <v>0</v>
      </c>
      <c r="AN4334" s="498">
        <f t="shared" si="1491"/>
        <v>0</v>
      </c>
      <c r="AO4334" s="498">
        <f t="shared" si="1492"/>
        <v>0</v>
      </c>
      <c r="AP4334" s="498">
        <f t="shared" si="1511"/>
        <v>0</v>
      </c>
      <c r="AQ4334" s="498">
        <f t="shared" si="1506"/>
        <v>0</v>
      </c>
      <c r="AU4334" s="498">
        <f t="shared" si="1493"/>
        <v>0</v>
      </c>
      <c r="AV4334" s="498">
        <f t="shared" si="1494"/>
        <v>0</v>
      </c>
      <c r="AW4334" s="498">
        <f t="shared" si="1495"/>
        <v>0</v>
      </c>
      <c r="AX4334" s="498">
        <f t="shared" si="1496"/>
        <v>0</v>
      </c>
      <c r="AY4334" s="498">
        <f t="shared" si="1497"/>
        <v>0</v>
      </c>
      <c r="BB4334" s="498" t="str">
        <f t="shared" si="1498"/>
        <v/>
      </c>
      <c r="BC4334" s="743" t="str">
        <f t="shared" si="1499"/>
        <v/>
      </c>
      <c r="BD4334" s="743" t="str">
        <f t="shared" si="1500"/>
        <v/>
      </c>
      <c r="BE4334" s="743" t="str">
        <f>IF(D4334="","",VLOOKUP(D4334,'General Basis'!$J$39:$K$46,2,0))</f>
        <v/>
      </c>
      <c r="BF4334" s="744" t="str">
        <f>IF(D4334="","",VLOOKUP(D4334,'General Basis'!$J$39:$L$46,3,0))</f>
        <v/>
      </c>
      <c r="BG4334" s="744" t="str">
        <f t="shared" si="1507"/>
        <v/>
      </c>
      <c r="BH4334" s="744" t="str">
        <f>IF(G4334="","",IF(BF4334="Abu Dhabi",IF(G4334&lt;18,'General Basis'!$C$39,IF(G4334&lt;41,'General Basis'!$C$40,IF(G4334&lt;60,'General Basis'!$C$41,IF(G4334&lt;65,'General Basis'!$C$42,'General Basis'!$C$43)))),IF(G4334&lt;11,'General Basis'!$B$39,IF(G4334&lt;18,'General Basis'!$B$40,IF(G4334&lt;26,'General Basis'!$B$41,IF(G4334&lt;31,'General Basis'!$B$42,IF(G4334&lt;36,'General Basis'!$B$43,IF(G4334&lt;41,'General Basis'!$B$44,IF(G4334&lt;46,'General Basis'!$B$45,IF(G4334&lt;51,'General Basis'!$B$46,IF(G4334&lt;56,'General Basis'!$B$47,IF(G4334&lt;60,'General Basis'!$B$48,IF(G4334&lt;65,'General Basis'!$B$49,'General Basis'!$B$50)))))))))))))</f>
        <v/>
      </c>
      <c r="BI4334" s="744" t="str">
        <f t="shared" si="1501"/>
        <v/>
      </c>
      <c r="BJ4334" s="747" t="str">
        <f t="shared" si="1508"/>
        <v/>
      </c>
      <c r="BK4334" s="498" t="str">
        <f t="shared" si="1502"/>
        <v/>
      </c>
      <c r="BL4334" s="498" t="str">
        <f t="shared" si="1503"/>
        <v/>
      </c>
    </row>
    <row r="4335" spans="1:64" x14ac:dyDescent="0.25">
      <c r="A4335" s="762">
        <f t="shared" si="1504"/>
        <v>4330</v>
      </c>
      <c r="B4335" s="229"/>
      <c r="C4335" s="223"/>
      <c r="D4335" s="224"/>
      <c r="E4335" s="225"/>
      <c r="F4335" s="1036" t="str">
        <f t="shared" si="1510"/>
        <v/>
      </c>
      <c r="G4335" s="1037" t="str">
        <f t="shared" si="1505"/>
        <v/>
      </c>
      <c r="H4335" s="225"/>
      <c r="I4335" s="1013"/>
      <c r="J4335" s="1013"/>
      <c r="K4335" s="1028"/>
      <c r="L4335" s="1035" t="str">
        <f t="shared" si="1509"/>
        <v/>
      </c>
      <c r="S4335" s="498"/>
      <c r="AJ4335" s="498"/>
      <c r="AM4335" s="498">
        <f t="shared" si="1490"/>
        <v>0</v>
      </c>
      <c r="AN4335" s="498">
        <f t="shared" si="1491"/>
        <v>0</v>
      </c>
      <c r="AO4335" s="498">
        <f t="shared" si="1492"/>
        <v>0</v>
      </c>
      <c r="AP4335" s="498">
        <f t="shared" si="1511"/>
        <v>0</v>
      </c>
      <c r="AQ4335" s="498">
        <f t="shared" si="1506"/>
        <v>0</v>
      </c>
      <c r="AU4335" s="498">
        <f t="shared" si="1493"/>
        <v>0</v>
      </c>
      <c r="AV4335" s="498">
        <f t="shared" si="1494"/>
        <v>0</v>
      </c>
      <c r="AW4335" s="498">
        <f t="shared" si="1495"/>
        <v>0</v>
      </c>
      <c r="AX4335" s="498">
        <f t="shared" si="1496"/>
        <v>0</v>
      </c>
      <c r="AY4335" s="498">
        <f t="shared" si="1497"/>
        <v>0</v>
      </c>
      <c r="BB4335" s="498" t="str">
        <f t="shared" si="1498"/>
        <v/>
      </c>
      <c r="BC4335" s="743" t="str">
        <f t="shared" si="1499"/>
        <v/>
      </c>
      <c r="BD4335" s="743" t="str">
        <f t="shared" si="1500"/>
        <v/>
      </c>
      <c r="BE4335" s="743" t="str">
        <f>IF(D4335="","",VLOOKUP(D4335,'General Basis'!$J$39:$K$46,2,0))</f>
        <v/>
      </c>
      <c r="BF4335" s="744" t="str">
        <f>IF(D4335="","",VLOOKUP(D4335,'General Basis'!$J$39:$L$46,3,0))</f>
        <v/>
      </c>
      <c r="BG4335" s="744" t="str">
        <f t="shared" si="1507"/>
        <v/>
      </c>
      <c r="BH4335" s="744" t="str">
        <f>IF(G4335="","",IF(BF4335="Abu Dhabi",IF(G4335&lt;18,'General Basis'!$C$39,IF(G4335&lt;41,'General Basis'!$C$40,IF(G4335&lt;60,'General Basis'!$C$41,IF(G4335&lt;65,'General Basis'!$C$42,'General Basis'!$C$43)))),IF(G4335&lt;11,'General Basis'!$B$39,IF(G4335&lt;18,'General Basis'!$B$40,IF(G4335&lt;26,'General Basis'!$B$41,IF(G4335&lt;31,'General Basis'!$B$42,IF(G4335&lt;36,'General Basis'!$B$43,IF(G4335&lt;41,'General Basis'!$B$44,IF(G4335&lt;46,'General Basis'!$B$45,IF(G4335&lt;51,'General Basis'!$B$46,IF(G4335&lt;56,'General Basis'!$B$47,IF(G4335&lt;60,'General Basis'!$B$48,IF(G4335&lt;65,'General Basis'!$B$49,'General Basis'!$B$50)))))))))))))</f>
        <v/>
      </c>
      <c r="BI4335" s="744" t="str">
        <f t="shared" si="1501"/>
        <v/>
      </c>
      <c r="BJ4335" s="747" t="str">
        <f t="shared" si="1508"/>
        <v/>
      </c>
      <c r="BK4335" s="498" t="str">
        <f t="shared" si="1502"/>
        <v/>
      </c>
      <c r="BL4335" s="498" t="str">
        <f t="shared" si="1503"/>
        <v/>
      </c>
    </row>
    <row r="4336" spans="1:64" x14ac:dyDescent="0.25">
      <c r="A4336" s="762">
        <f t="shared" si="1504"/>
        <v>4331</v>
      </c>
      <c r="B4336" s="229"/>
      <c r="C4336" s="223"/>
      <c r="D4336" s="224"/>
      <c r="E4336" s="225"/>
      <c r="F4336" s="1036" t="str">
        <f t="shared" si="1510"/>
        <v/>
      </c>
      <c r="G4336" s="1037" t="str">
        <f t="shared" si="1505"/>
        <v/>
      </c>
      <c r="H4336" s="225"/>
      <c r="I4336" s="1013"/>
      <c r="J4336" s="1013"/>
      <c r="K4336" s="1028"/>
      <c r="L4336" s="1035" t="str">
        <f t="shared" si="1509"/>
        <v/>
      </c>
      <c r="S4336" s="498"/>
      <c r="AJ4336" s="498"/>
      <c r="AM4336" s="498">
        <f t="shared" si="1490"/>
        <v>0</v>
      </c>
      <c r="AN4336" s="498">
        <f t="shared" si="1491"/>
        <v>0</v>
      </c>
      <c r="AO4336" s="498">
        <f t="shared" si="1492"/>
        <v>0</v>
      </c>
      <c r="AP4336" s="498">
        <f t="shared" si="1511"/>
        <v>0</v>
      </c>
      <c r="AQ4336" s="498">
        <f t="shared" si="1506"/>
        <v>0</v>
      </c>
      <c r="AU4336" s="498">
        <f t="shared" si="1493"/>
        <v>0</v>
      </c>
      <c r="AV4336" s="498">
        <f t="shared" si="1494"/>
        <v>0</v>
      </c>
      <c r="AW4336" s="498">
        <f t="shared" si="1495"/>
        <v>0</v>
      </c>
      <c r="AX4336" s="498">
        <f t="shared" si="1496"/>
        <v>0</v>
      </c>
      <c r="AY4336" s="498">
        <f t="shared" si="1497"/>
        <v>0</v>
      </c>
      <c r="BB4336" s="498" t="str">
        <f t="shared" si="1498"/>
        <v/>
      </c>
      <c r="BC4336" s="743" t="str">
        <f t="shared" si="1499"/>
        <v/>
      </c>
      <c r="BD4336" s="743" t="str">
        <f t="shared" si="1500"/>
        <v/>
      </c>
      <c r="BE4336" s="743" t="str">
        <f>IF(D4336="","",VLOOKUP(D4336,'General Basis'!$J$39:$K$46,2,0))</f>
        <v/>
      </c>
      <c r="BF4336" s="744" t="str">
        <f>IF(D4336="","",VLOOKUP(D4336,'General Basis'!$J$39:$L$46,3,0))</f>
        <v/>
      </c>
      <c r="BG4336" s="744" t="str">
        <f t="shared" si="1507"/>
        <v/>
      </c>
      <c r="BH4336" s="744" t="str">
        <f>IF(G4336="","",IF(BF4336="Abu Dhabi",IF(G4336&lt;18,'General Basis'!$C$39,IF(G4336&lt;41,'General Basis'!$C$40,IF(G4336&lt;60,'General Basis'!$C$41,IF(G4336&lt;65,'General Basis'!$C$42,'General Basis'!$C$43)))),IF(G4336&lt;11,'General Basis'!$B$39,IF(G4336&lt;18,'General Basis'!$B$40,IF(G4336&lt;26,'General Basis'!$B$41,IF(G4336&lt;31,'General Basis'!$B$42,IF(G4336&lt;36,'General Basis'!$B$43,IF(G4336&lt;41,'General Basis'!$B$44,IF(G4336&lt;46,'General Basis'!$B$45,IF(G4336&lt;51,'General Basis'!$B$46,IF(G4336&lt;56,'General Basis'!$B$47,IF(G4336&lt;60,'General Basis'!$B$48,IF(G4336&lt;65,'General Basis'!$B$49,'General Basis'!$B$50)))))))))))))</f>
        <v/>
      </c>
      <c r="BI4336" s="744" t="str">
        <f t="shared" si="1501"/>
        <v/>
      </c>
      <c r="BJ4336" s="747" t="str">
        <f t="shared" si="1508"/>
        <v/>
      </c>
      <c r="BK4336" s="498" t="str">
        <f t="shared" si="1502"/>
        <v/>
      </c>
      <c r="BL4336" s="498" t="str">
        <f t="shared" si="1503"/>
        <v/>
      </c>
    </row>
    <row r="4337" spans="1:64" x14ac:dyDescent="0.25">
      <c r="A4337" s="762">
        <f t="shared" si="1504"/>
        <v>4332</v>
      </c>
      <c r="B4337" s="229"/>
      <c r="C4337" s="223"/>
      <c r="D4337" s="224"/>
      <c r="E4337" s="225"/>
      <c r="F4337" s="1036" t="str">
        <f t="shared" si="1510"/>
        <v/>
      </c>
      <c r="G4337" s="1037" t="str">
        <f t="shared" si="1505"/>
        <v/>
      </c>
      <c r="H4337" s="225"/>
      <c r="I4337" s="1013"/>
      <c r="J4337" s="1013"/>
      <c r="K4337" s="1028"/>
      <c r="L4337" s="1035" t="str">
        <f t="shared" si="1509"/>
        <v/>
      </c>
      <c r="S4337" s="498"/>
      <c r="AJ4337" s="498"/>
      <c r="AM4337" s="498">
        <f t="shared" si="1490"/>
        <v>0</v>
      </c>
      <c r="AN4337" s="498">
        <f t="shared" si="1491"/>
        <v>0</v>
      </c>
      <c r="AO4337" s="498">
        <f t="shared" si="1492"/>
        <v>0</v>
      </c>
      <c r="AP4337" s="498">
        <f t="shared" si="1511"/>
        <v>0</v>
      </c>
      <c r="AQ4337" s="498">
        <f t="shared" si="1506"/>
        <v>0</v>
      </c>
      <c r="AU4337" s="498">
        <f t="shared" si="1493"/>
        <v>0</v>
      </c>
      <c r="AV4337" s="498">
        <f t="shared" si="1494"/>
        <v>0</v>
      </c>
      <c r="AW4337" s="498">
        <f t="shared" si="1495"/>
        <v>0</v>
      </c>
      <c r="AX4337" s="498">
        <f t="shared" si="1496"/>
        <v>0</v>
      </c>
      <c r="AY4337" s="498">
        <f t="shared" si="1497"/>
        <v>0</v>
      </c>
      <c r="BB4337" s="498" t="str">
        <f t="shared" si="1498"/>
        <v/>
      </c>
      <c r="BC4337" s="743" t="str">
        <f t="shared" si="1499"/>
        <v/>
      </c>
      <c r="BD4337" s="743" t="str">
        <f t="shared" si="1500"/>
        <v/>
      </c>
      <c r="BE4337" s="743" t="str">
        <f>IF(D4337="","",VLOOKUP(D4337,'General Basis'!$J$39:$K$46,2,0))</f>
        <v/>
      </c>
      <c r="BF4337" s="744" t="str">
        <f>IF(D4337="","",VLOOKUP(D4337,'General Basis'!$J$39:$L$46,3,0))</f>
        <v/>
      </c>
      <c r="BG4337" s="744" t="str">
        <f t="shared" si="1507"/>
        <v/>
      </c>
      <c r="BH4337" s="744" t="str">
        <f>IF(G4337="","",IF(BF4337="Abu Dhabi",IF(G4337&lt;18,'General Basis'!$C$39,IF(G4337&lt;41,'General Basis'!$C$40,IF(G4337&lt;60,'General Basis'!$C$41,IF(G4337&lt;65,'General Basis'!$C$42,'General Basis'!$C$43)))),IF(G4337&lt;11,'General Basis'!$B$39,IF(G4337&lt;18,'General Basis'!$B$40,IF(G4337&lt;26,'General Basis'!$B$41,IF(G4337&lt;31,'General Basis'!$B$42,IF(G4337&lt;36,'General Basis'!$B$43,IF(G4337&lt;41,'General Basis'!$B$44,IF(G4337&lt;46,'General Basis'!$B$45,IF(G4337&lt;51,'General Basis'!$B$46,IF(G4337&lt;56,'General Basis'!$B$47,IF(G4337&lt;60,'General Basis'!$B$48,IF(G4337&lt;65,'General Basis'!$B$49,'General Basis'!$B$50)))))))))))))</f>
        <v/>
      </c>
      <c r="BI4337" s="744" t="str">
        <f t="shared" si="1501"/>
        <v/>
      </c>
      <c r="BJ4337" s="747" t="str">
        <f t="shared" si="1508"/>
        <v/>
      </c>
      <c r="BK4337" s="498" t="str">
        <f t="shared" si="1502"/>
        <v/>
      </c>
      <c r="BL4337" s="498" t="str">
        <f t="shared" si="1503"/>
        <v/>
      </c>
    </row>
    <row r="4338" spans="1:64" x14ac:dyDescent="0.25">
      <c r="A4338" s="762">
        <f t="shared" si="1504"/>
        <v>4333</v>
      </c>
      <c r="B4338" s="229"/>
      <c r="C4338" s="223"/>
      <c r="D4338" s="224"/>
      <c r="E4338" s="225"/>
      <c r="F4338" s="1036" t="str">
        <f t="shared" si="1510"/>
        <v/>
      </c>
      <c r="G4338" s="1037" t="str">
        <f t="shared" si="1505"/>
        <v/>
      </c>
      <c r="H4338" s="225"/>
      <c r="I4338" s="1013"/>
      <c r="J4338" s="1013"/>
      <c r="K4338" s="1028"/>
      <c r="L4338" s="1035" t="str">
        <f t="shared" si="1509"/>
        <v/>
      </c>
      <c r="S4338" s="498"/>
      <c r="AJ4338" s="498"/>
      <c r="AM4338" s="498">
        <f t="shared" si="1490"/>
        <v>0</v>
      </c>
      <c r="AN4338" s="498">
        <f t="shared" si="1491"/>
        <v>0</v>
      </c>
      <c r="AO4338" s="498">
        <f t="shared" si="1492"/>
        <v>0</v>
      </c>
      <c r="AP4338" s="498">
        <f t="shared" si="1511"/>
        <v>0</v>
      </c>
      <c r="AQ4338" s="498">
        <f t="shared" si="1506"/>
        <v>0</v>
      </c>
      <c r="AU4338" s="498">
        <f t="shared" si="1493"/>
        <v>0</v>
      </c>
      <c r="AV4338" s="498">
        <f t="shared" si="1494"/>
        <v>0</v>
      </c>
      <c r="AW4338" s="498">
        <f t="shared" si="1495"/>
        <v>0</v>
      </c>
      <c r="AX4338" s="498">
        <f t="shared" si="1496"/>
        <v>0</v>
      </c>
      <c r="AY4338" s="498">
        <f t="shared" si="1497"/>
        <v>0</v>
      </c>
      <c r="BB4338" s="498" t="str">
        <f t="shared" si="1498"/>
        <v/>
      </c>
      <c r="BC4338" s="743" t="str">
        <f t="shared" si="1499"/>
        <v/>
      </c>
      <c r="BD4338" s="743" t="str">
        <f t="shared" si="1500"/>
        <v/>
      </c>
      <c r="BE4338" s="743" t="str">
        <f>IF(D4338="","",VLOOKUP(D4338,'General Basis'!$J$39:$K$46,2,0))</f>
        <v/>
      </c>
      <c r="BF4338" s="744" t="str">
        <f>IF(D4338="","",VLOOKUP(D4338,'General Basis'!$J$39:$L$46,3,0))</f>
        <v/>
      </c>
      <c r="BG4338" s="744" t="str">
        <f t="shared" si="1507"/>
        <v/>
      </c>
      <c r="BH4338" s="744" t="str">
        <f>IF(G4338="","",IF(BF4338="Abu Dhabi",IF(G4338&lt;18,'General Basis'!$C$39,IF(G4338&lt;41,'General Basis'!$C$40,IF(G4338&lt;60,'General Basis'!$C$41,IF(G4338&lt;65,'General Basis'!$C$42,'General Basis'!$C$43)))),IF(G4338&lt;11,'General Basis'!$B$39,IF(G4338&lt;18,'General Basis'!$B$40,IF(G4338&lt;26,'General Basis'!$B$41,IF(G4338&lt;31,'General Basis'!$B$42,IF(G4338&lt;36,'General Basis'!$B$43,IF(G4338&lt;41,'General Basis'!$B$44,IF(G4338&lt;46,'General Basis'!$B$45,IF(G4338&lt;51,'General Basis'!$B$46,IF(G4338&lt;56,'General Basis'!$B$47,IF(G4338&lt;60,'General Basis'!$B$48,IF(G4338&lt;65,'General Basis'!$B$49,'General Basis'!$B$50)))))))))))))</f>
        <v/>
      </c>
      <c r="BI4338" s="744" t="str">
        <f t="shared" si="1501"/>
        <v/>
      </c>
      <c r="BJ4338" s="747" t="str">
        <f t="shared" si="1508"/>
        <v/>
      </c>
      <c r="BK4338" s="498" t="str">
        <f t="shared" si="1502"/>
        <v/>
      </c>
      <c r="BL4338" s="498" t="str">
        <f t="shared" si="1503"/>
        <v/>
      </c>
    </row>
    <row r="4339" spans="1:64" x14ac:dyDescent="0.25">
      <c r="A4339" s="762">
        <f t="shared" si="1504"/>
        <v>4334</v>
      </c>
      <c r="B4339" s="229"/>
      <c r="C4339" s="223"/>
      <c r="D4339" s="224"/>
      <c r="E4339" s="225"/>
      <c r="F4339" s="1036" t="str">
        <f t="shared" si="1510"/>
        <v/>
      </c>
      <c r="G4339" s="1037" t="str">
        <f t="shared" si="1505"/>
        <v/>
      </c>
      <c r="H4339" s="225"/>
      <c r="I4339" s="1013"/>
      <c r="J4339" s="1013"/>
      <c r="K4339" s="1028"/>
      <c r="L4339" s="1035" t="str">
        <f t="shared" si="1509"/>
        <v/>
      </c>
      <c r="S4339" s="498"/>
      <c r="AJ4339" s="498"/>
      <c r="AM4339" s="498">
        <f t="shared" si="1490"/>
        <v>0</v>
      </c>
      <c r="AN4339" s="498">
        <f t="shared" si="1491"/>
        <v>0</v>
      </c>
      <c r="AO4339" s="498">
        <f t="shared" si="1492"/>
        <v>0</v>
      </c>
      <c r="AP4339" s="498">
        <f t="shared" si="1511"/>
        <v>0</v>
      </c>
      <c r="AQ4339" s="498">
        <f t="shared" si="1506"/>
        <v>0</v>
      </c>
      <c r="AU4339" s="498">
        <f t="shared" si="1493"/>
        <v>0</v>
      </c>
      <c r="AV4339" s="498">
        <f t="shared" si="1494"/>
        <v>0</v>
      </c>
      <c r="AW4339" s="498">
        <f t="shared" si="1495"/>
        <v>0</v>
      </c>
      <c r="AX4339" s="498">
        <f t="shared" si="1496"/>
        <v>0</v>
      </c>
      <c r="AY4339" s="498">
        <f t="shared" si="1497"/>
        <v>0</v>
      </c>
      <c r="BB4339" s="498" t="str">
        <f t="shared" si="1498"/>
        <v/>
      </c>
      <c r="BC4339" s="743" t="str">
        <f t="shared" si="1499"/>
        <v/>
      </c>
      <c r="BD4339" s="743" t="str">
        <f t="shared" si="1500"/>
        <v/>
      </c>
      <c r="BE4339" s="743" t="str">
        <f>IF(D4339="","",VLOOKUP(D4339,'General Basis'!$J$39:$K$46,2,0))</f>
        <v/>
      </c>
      <c r="BF4339" s="744" t="str">
        <f>IF(D4339="","",VLOOKUP(D4339,'General Basis'!$J$39:$L$46,3,0))</f>
        <v/>
      </c>
      <c r="BG4339" s="744" t="str">
        <f t="shared" si="1507"/>
        <v/>
      </c>
      <c r="BH4339" s="744" t="str">
        <f>IF(G4339="","",IF(BF4339="Abu Dhabi",IF(G4339&lt;18,'General Basis'!$C$39,IF(G4339&lt;41,'General Basis'!$C$40,IF(G4339&lt;60,'General Basis'!$C$41,IF(G4339&lt;65,'General Basis'!$C$42,'General Basis'!$C$43)))),IF(G4339&lt;11,'General Basis'!$B$39,IF(G4339&lt;18,'General Basis'!$B$40,IF(G4339&lt;26,'General Basis'!$B$41,IF(G4339&lt;31,'General Basis'!$B$42,IF(G4339&lt;36,'General Basis'!$B$43,IF(G4339&lt;41,'General Basis'!$B$44,IF(G4339&lt;46,'General Basis'!$B$45,IF(G4339&lt;51,'General Basis'!$B$46,IF(G4339&lt;56,'General Basis'!$B$47,IF(G4339&lt;60,'General Basis'!$B$48,IF(G4339&lt;65,'General Basis'!$B$49,'General Basis'!$B$50)))))))))))))</f>
        <v/>
      </c>
      <c r="BI4339" s="744" t="str">
        <f t="shared" si="1501"/>
        <v/>
      </c>
      <c r="BJ4339" s="747" t="str">
        <f t="shared" si="1508"/>
        <v/>
      </c>
      <c r="BK4339" s="498" t="str">
        <f t="shared" si="1502"/>
        <v/>
      </c>
      <c r="BL4339" s="498" t="str">
        <f t="shared" si="1503"/>
        <v/>
      </c>
    </row>
    <row r="4340" spans="1:64" x14ac:dyDescent="0.25">
      <c r="A4340" s="762">
        <f t="shared" si="1504"/>
        <v>4335</v>
      </c>
      <c r="B4340" s="229"/>
      <c r="C4340" s="223"/>
      <c r="D4340" s="224"/>
      <c r="E4340" s="225"/>
      <c r="F4340" s="1036" t="str">
        <f t="shared" si="1510"/>
        <v/>
      </c>
      <c r="G4340" s="1037" t="str">
        <f t="shared" si="1505"/>
        <v/>
      </c>
      <c r="H4340" s="225"/>
      <c r="I4340" s="1013"/>
      <c r="J4340" s="1013"/>
      <c r="K4340" s="1028"/>
      <c r="L4340" s="1035" t="str">
        <f t="shared" si="1509"/>
        <v/>
      </c>
      <c r="S4340" s="498"/>
      <c r="AJ4340" s="498"/>
      <c r="AM4340" s="498">
        <f t="shared" si="1490"/>
        <v>0</v>
      </c>
      <c r="AN4340" s="498">
        <f t="shared" si="1491"/>
        <v>0</v>
      </c>
      <c r="AO4340" s="498">
        <f t="shared" si="1492"/>
        <v>0</v>
      </c>
      <c r="AP4340" s="498">
        <f t="shared" si="1511"/>
        <v>0</v>
      </c>
      <c r="AQ4340" s="498">
        <f t="shared" si="1506"/>
        <v>0</v>
      </c>
      <c r="AU4340" s="498">
        <f t="shared" si="1493"/>
        <v>0</v>
      </c>
      <c r="AV4340" s="498">
        <f t="shared" si="1494"/>
        <v>0</v>
      </c>
      <c r="AW4340" s="498">
        <f t="shared" si="1495"/>
        <v>0</v>
      </c>
      <c r="AX4340" s="498">
        <f t="shared" si="1496"/>
        <v>0</v>
      </c>
      <c r="AY4340" s="498">
        <f t="shared" si="1497"/>
        <v>0</v>
      </c>
      <c r="BB4340" s="498" t="str">
        <f t="shared" si="1498"/>
        <v/>
      </c>
      <c r="BC4340" s="743" t="str">
        <f t="shared" si="1499"/>
        <v/>
      </c>
      <c r="BD4340" s="743" t="str">
        <f t="shared" si="1500"/>
        <v/>
      </c>
      <c r="BE4340" s="743" t="str">
        <f>IF(D4340="","",VLOOKUP(D4340,'General Basis'!$J$39:$K$46,2,0))</f>
        <v/>
      </c>
      <c r="BF4340" s="744" t="str">
        <f>IF(D4340="","",VLOOKUP(D4340,'General Basis'!$J$39:$L$46,3,0))</f>
        <v/>
      </c>
      <c r="BG4340" s="744" t="str">
        <f t="shared" si="1507"/>
        <v/>
      </c>
      <c r="BH4340" s="744" t="str">
        <f>IF(G4340="","",IF(BF4340="Abu Dhabi",IF(G4340&lt;18,'General Basis'!$C$39,IF(G4340&lt;41,'General Basis'!$C$40,IF(G4340&lt;60,'General Basis'!$C$41,IF(G4340&lt;65,'General Basis'!$C$42,'General Basis'!$C$43)))),IF(G4340&lt;11,'General Basis'!$B$39,IF(G4340&lt;18,'General Basis'!$B$40,IF(G4340&lt;26,'General Basis'!$B$41,IF(G4340&lt;31,'General Basis'!$B$42,IF(G4340&lt;36,'General Basis'!$B$43,IF(G4340&lt;41,'General Basis'!$B$44,IF(G4340&lt;46,'General Basis'!$B$45,IF(G4340&lt;51,'General Basis'!$B$46,IF(G4340&lt;56,'General Basis'!$B$47,IF(G4340&lt;60,'General Basis'!$B$48,IF(G4340&lt;65,'General Basis'!$B$49,'General Basis'!$B$50)))))))))))))</f>
        <v/>
      </c>
      <c r="BI4340" s="744" t="str">
        <f t="shared" si="1501"/>
        <v/>
      </c>
      <c r="BJ4340" s="747" t="str">
        <f t="shared" si="1508"/>
        <v/>
      </c>
      <c r="BK4340" s="498" t="str">
        <f t="shared" si="1502"/>
        <v/>
      </c>
      <c r="BL4340" s="498" t="str">
        <f t="shared" si="1503"/>
        <v/>
      </c>
    </row>
    <row r="4341" spans="1:64" x14ac:dyDescent="0.25">
      <c r="A4341" s="762">
        <f t="shared" si="1504"/>
        <v>4336</v>
      </c>
      <c r="B4341" s="229"/>
      <c r="C4341" s="223"/>
      <c r="D4341" s="224"/>
      <c r="E4341" s="225"/>
      <c r="F4341" s="1036" t="str">
        <f t="shared" si="1510"/>
        <v/>
      </c>
      <c r="G4341" s="1037" t="str">
        <f t="shared" si="1505"/>
        <v/>
      </c>
      <c r="H4341" s="225"/>
      <c r="I4341" s="1013"/>
      <c r="J4341" s="1013"/>
      <c r="K4341" s="1028"/>
      <c r="L4341" s="1035" t="str">
        <f t="shared" si="1509"/>
        <v/>
      </c>
      <c r="S4341" s="498"/>
      <c r="AJ4341" s="498"/>
      <c r="AM4341" s="498">
        <f t="shared" si="1490"/>
        <v>0</v>
      </c>
      <c r="AN4341" s="498">
        <f t="shared" si="1491"/>
        <v>0</v>
      </c>
      <c r="AO4341" s="498">
        <f t="shared" si="1492"/>
        <v>0</v>
      </c>
      <c r="AP4341" s="498">
        <f t="shared" si="1511"/>
        <v>0</v>
      </c>
      <c r="AQ4341" s="498">
        <f t="shared" si="1506"/>
        <v>0</v>
      </c>
      <c r="AU4341" s="498">
        <f t="shared" si="1493"/>
        <v>0</v>
      </c>
      <c r="AV4341" s="498">
        <f t="shared" si="1494"/>
        <v>0</v>
      </c>
      <c r="AW4341" s="498">
        <f t="shared" si="1495"/>
        <v>0</v>
      </c>
      <c r="AX4341" s="498">
        <f t="shared" si="1496"/>
        <v>0</v>
      </c>
      <c r="AY4341" s="498">
        <f t="shared" si="1497"/>
        <v>0</v>
      </c>
      <c r="BB4341" s="498" t="str">
        <f t="shared" si="1498"/>
        <v/>
      </c>
      <c r="BC4341" s="743" t="str">
        <f t="shared" si="1499"/>
        <v/>
      </c>
      <c r="BD4341" s="743" t="str">
        <f t="shared" si="1500"/>
        <v/>
      </c>
      <c r="BE4341" s="743" t="str">
        <f>IF(D4341="","",VLOOKUP(D4341,'General Basis'!$J$39:$K$46,2,0))</f>
        <v/>
      </c>
      <c r="BF4341" s="744" t="str">
        <f>IF(D4341="","",VLOOKUP(D4341,'General Basis'!$J$39:$L$46,3,0))</f>
        <v/>
      </c>
      <c r="BG4341" s="744" t="str">
        <f t="shared" si="1507"/>
        <v/>
      </c>
      <c r="BH4341" s="744" t="str">
        <f>IF(G4341="","",IF(BF4341="Abu Dhabi",IF(G4341&lt;18,'General Basis'!$C$39,IF(G4341&lt;41,'General Basis'!$C$40,IF(G4341&lt;60,'General Basis'!$C$41,IF(G4341&lt;65,'General Basis'!$C$42,'General Basis'!$C$43)))),IF(G4341&lt;11,'General Basis'!$B$39,IF(G4341&lt;18,'General Basis'!$B$40,IF(G4341&lt;26,'General Basis'!$B$41,IF(G4341&lt;31,'General Basis'!$B$42,IF(G4341&lt;36,'General Basis'!$B$43,IF(G4341&lt;41,'General Basis'!$B$44,IF(G4341&lt;46,'General Basis'!$B$45,IF(G4341&lt;51,'General Basis'!$B$46,IF(G4341&lt;56,'General Basis'!$B$47,IF(G4341&lt;60,'General Basis'!$B$48,IF(G4341&lt;65,'General Basis'!$B$49,'General Basis'!$B$50)))))))))))))</f>
        <v/>
      </c>
      <c r="BI4341" s="744" t="str">
        <f t="shared" si="1501"/>
        <v/>
      </c>
      <c r="BJ4341" s="747" t="str">
        <f t="shared" si="1508"/>
        <v/>
      </c>
      <c r="BK4341" s="498" t="str">
        <f t="shared" si="1502"/>
        <v/>
      </c>
      <c r="BL4341" s="498" t="str">
        <f t="shared" si="1503"/>
        <v/>
      </c>
    </row>
    <row r="4342" spans="1:64" x14ac:dyDescent="0.25">
      <c r="A4342" s="762">
        <f t="shared" si="1504"/>
        <v>4337</v>
      </c>
      <c r="B4342" s="229"/>
      <c r="C4342" s="223"/>
      <c r="D4342" s="224"/>
      <c r="E4342" s="225"/>
      <c r="F4342" s="1036" t="str">
        <f t="shared" si="1510"/>
        <v/>
      </c>
      <c r="G4342" s="1037" t="str">
        <f t="shared" si="1505"/>
        <v/>
      </c>
      <c r="H4342" s="225"/>
      <c r="I4342" s="1013"/>
      <c r="J4342" s="1013"/>
      <c r="K4342" s="1028"/>
      <c r="L4342" s="1035" t="str">
        <f t="shared" si="1509"/>
        <v/>
      </c>
      <c r="S4342" s="498"/>
      <c r="AJ4342" s="498"/>
      <c r="AM4342" s="498">
        <f t="shared" si="1490"/>
        <v>0</v>
      </c>
      <c r="AN4342" s="498">
        <f t="shared" si="1491"/>
        <v>0</v>
      </c>
      <c r="AO4342" s="498">
        <f t="shared" si="1492"/>
        <v>0</v>
      </c>
      <c r="AP4342" s="498">
        <f t="shared" si="1511"/>
        <v>0</v>
      </c>
      <c r="AQ4342" s="498">
        <f t="shared" si="1506"/>
        <v>0</v>
      </c>
      <c r="AU4342" s="498">
        <f t="shared" si="1493"/>
        <v>0</v>
      </c>
      <c r="AV4342" s="498">
        <f t="shared" si="1494"/>
        <v>0</v>
      </c>
      <c r="AW4342" s="498">
        <f t="shared" si="1495"/>
        <v>0</v>
      </c>
      <c r="AX4342" s="498">
        <f t="shared" si="1496"/>
        <v>0</v>
      </c>
      <c r="AY4342" s="498">
        <f t="shared" si="1497"/>
        <v>0</v>
      </c>
      <c r="BB4342" s="498" t="str">
        <f t="shared" si="1498"/>
        <v/>
      </c>
      <c r="BC4342" s="743" t="str">
        <f t="shared" si="1499"/>
        <v/>
      </c>
      <c r="BD4342" s="743" t="str">
        <f t="shared" si="1500"/>
        <v/>
      </c>
      <c r="BE4342" s="743" t="str">
        <f>IF(D4342="","",VLOOKUP(D4342,'General Basis'!$J$39:$K$46,2,0))</f>
        <v/>
      </c>
      <c r="BF4342" s="744" t="str">
        <f>IF(D4342="","",VLOOKUP(D4342,'General Basis'!$J$39:$L$46,3,0))</f>
        <v/>
      </c>
      <c r="BG4342" s="744" t="str">
        <f t="shared" si="1507"/>
        <v/>
      </c>
      <c r="BH4342" s="744" t="str">
        <f>IF(G4342="","",IF(BF4342="Abu Dhabi",IF(G4342&lt;18,'General Basis'!$C$39,IF(G4342&lt;41,'General Basis'!$C$40,IF(G4342&lt;60,'General Basis'!$C$41,IF(G4342&lt;65,'General Basis'!$C$42,'General Basis'!$C$43)))),IF(G4342&lt;11,'General Basis'!$B$39,IF(G4342&lt;18,'General Basis'!$B$40,IF(G4342&lt;26,'General Basis'!$B$41,IF(G4342&lt;31,'General Basis'!$B$42,IF(G4342&lt;36,'General Basis'!$B$43,IF(G4342&lt;41,'General Basis'!$B$44,IF(G4342&lt;46,'General Basis'!$B$45,IF(G4342&lt;51,'General Basis'!$B$46,IF(G4342&lt;56,'General Basis'!$B$47,IF(G4342&lt;60,'General Basis'!$B$48,IF(G4342&lt;65,'General Basis'!$B$49,'General Basis'!$B$50)))))))))))))</f>
        <v/>
      </c>
      <c r="BI4342" s="744" t="str">
        <f t="shared" si="1501"/>
        <v/>
      </c>
      <c r="BJ4342" s="747" t="str">
        <f t="shared" si="1508"/>
        <v/>
      </c>
      <c r="BK4342" s="498" t="str">
        <f t="shared" si="1502"/>
        <v/>
      </c>
      <c r="BL4342" s="498" t="str">
        <f t="shared" si="1503"/>
        <v/>
      </c>
    </row>
    <row r="4343" spans="1:64" x14ac:dyDescent="0.25">
      <c r="A4343" s="762">
        <f t="shared" si="1504"/>
        <v>4338</v>
      </c>
      <c r="B4343" s="229"/>
      <c r="C4343" s="223"/>
      <c r="D4343" s="224"/>
      <c r="E4343" s="225"/>
      <c r="F4343" s="1036" t="str">
        <f t="shared" si="1510"/>
        <v/>
      </c>
      <c r="G4343" s="1037" t="str">
        <f t="shared" si="1505"/>
        <v/>
      </c>
      <c r="H4343" s="225"/>
      <c r="I4343" s="1013"/>
      <c r="J4343" s="1013"/>
      <c r="K4343" s="1028"/>
      <c r="L4343" s="1035" t="str">
        <f t="shared" si="1509"/>
        <v/>
      </c>
      <c r="S4343" s="498"/>
      <c r="AJ4343" s="498"/>
      <c r="AM4343" s="498">
        <f t="shared" si="1490"/>
        <v>0</v>
      </c>
      <c r="AN4343" s="498">
        <f t="shared" si="1491"/>
        <v>0</v>
      </c>
      <c r="AO4343" s="498">
        <f t="shared" si="1492"/>
        <v>0</v>
      </c>
      <c r="AP4343" s="498">
        <f t="shared" si="1511"/>
        <v>0</v>
      </c>
      <c r="AQ4343" s="498">
        <f t="shared" si="1506"/>
        <v>0</v>
      </c>
      <c r="AU4343" s="498">
        <f t="shared" si="1493"/>
        <v>0</v>
      </c>
      <c r="AV4343" s="498">
        <f t="shared" si="1494"/>
        <v>0</v>
      </c>
      <c r="AW4343" s="498">
        <f t="shared" si="1495"/>
        <v>0</v>
      </c>
      <c r="AX4343" s="498">
        <f t="shared" si="1496"/>
        <v>0</v>
      </c>
      <c r="AY4343" s="498">
        <f t="shared" si="1497"/>
        <v>0</v>
      </c>
      <c r="BB4343" s="498" t="str">
        <f t="shared" si="1498"/>
        <v/>
      </c>
      <c r="BC4343" s="743" t="str">
        <f t="shared" si="1499"/>
        <v/>
      </c>
      <c r="BD4343" s="743" t="str">
        <f t="shared" si="1500"/>
        <v/>
      </c>
      <c r="BE4343" s="743" t="str">
        <f>IF(D4343="","",VLOOKUP(D4343,'General Basis'!$J$39:$K$46,2,0))</f>
        <v/>
      </c>
      <c r="BF4343" s="744" t="str">
        <f>IF(D4343="","",VLOOKUP(D4343,'General Basis'!$J$39:$L$46,3,0))</f>
        <v/>
      </c>
      <c r="BG4343" s="744" t="str">
        <f t="shared" si="1507"/>
        <v/>
      </c>
      <c r="BH4343" s="744" t="str">
        <f>IF(G4343="","",IF(BF4343="Abu Dhabi",IF(G4343&lt;18,'General Basis'!$C$39,IF(G4343&lt;41,'General Basis'!$C$40,IF(G4343&lt;60,'General Basis'!$C$41,IF(G4343&lt;65,'General Basis'!$C$42,'General Basis'!$C$43)))),IF(G4343&lt;11,'General Basis'!$B$39,IF(G4343&lt;18,'General Basis'!$B$40,IF(G4343&lt;26,'General Basis'!$B$41,IF(G4343&lt;31,'General Basis'!$B$42,IF(G4343&lt;36,'General Basis'!$B$43,IF(G4343&lt;41,'General Basis'!$B$44,IF(G4343&lt;46,'General Basis'!$B$45,IF(G4343&lt;51,'General Basis'!$B$46,IF(G4343&lt;56,'General Basis'!$B$47,IF(G4343&lt;60,'General Basis'!$B$48,IF(G4343&lt;65,'General Basis'!$B$49,'General Basis'!$B$50)))))))))))))</f>
        <v/>
      </c>
      <c r="BI4343" s="744" t="str">
        <f t="shared" si="1501"/>
        <v/>
      </c>
      <c r="BJ4343" s="747" t="str">
        <f t="shared" si="1508"/>
        <v/>
      </c>
      <c r="BK4343" s="498" t="str">
        <f t="shared" si="1502"/>
        <v/>
      </c>
      <c r="BL4343" s="498" t="str">
        <f t="shared" si="1503"/>
        <v/>
      </c>
    </row>
    <row r="4344" spans="1:64" x14ac:dyDescent="0.25">
      <c r="A4344" s="762">
        <f t="shared" si="1504"/>
        <v>4339</v>
      </c>
      <c r="B4344" s="229"/>
      <c r="C4344" s="223"/>
      <c r="D4344" s="224"/>
      <c r="E4344" s="225"/>
      <c r="F4344" s="1036" t="str">
        <f t="shared" si="1510"/>
        <v/>
      </c>
      <c r="G4344" s="1037" t="str">
        <f t="shared" si="1505"/>
        <v/>
      </c>
      <c r="H4344" s="225"/>
      <c r="I4344" s="1013"/>
      <c r="J4344" s="1013"/>
      <c r="K4344" s="1028"/>
      <c r="L4344" s="1035" t="str">
        <f t="shared" si="1509"/>
        <v/>
      </c>
      <c r="S4344" s="498"/>
      <c r="AJ4344" s="498"/>
      <c r="AM4344" s="498">
        <f t="shared" si="1490"/>
        <v>0</v>
      </c>
      <c r="AN4344" s="498">
        <f t="shared" si="1491"/>
        <v>0</v>
      </c>
      <c r="AO4344" s="498">
        <f t="shared" si="1492"/>
        <v>0</v>
      </c>
      <c r="AP4344" s="498">
        <f t="shared" si="1511"/>
        <v>0</v>
      </c>
      <c r="AQ4344" s="498">
        <f t="shared" si="1506"/>
        <v>0</v>
      </c>
      <c r="AU4344" s="498">
        <f t="shared" si="1493"/>
        <v>0</v>
      </c>
      <c r="AV4344" s="498">
        <f t="shared" si="1494"/>
        <v>0</v>
      </c>
      <c r="AW4344" s="498">
        <f t="shared" si="1495"/>
        <v>0</v>
      </c>
      <c r="AX4344" s="498">
        <f t="shared" si="1496"/>
        <v>0</v>
      </c>
      <c r="AY4344" s="498">
        <f t="shared" si="1497"/>
        <v>0</v>
      </c>
      <c r="BB4344" s="498" t="str">
        <f t="shared" si="1498"/>
        <v/>
      </c>
      <c r="BC4344" s="743" t="str">
        <f t="shared" si="1499"/>
        <v/>
      </c>
      <c r="BD4344" s="743" t="str">
        <f t="shared" si="1500"/>
        <v/>
      </c>
      <c r="BE4344" s="743" t="str">
        <f>IF(D4344="","",VLOOKUP(D4344,'General Basis'!$J$39:$K$46,2,0))</f>
        <v/>
      </c>
      <c r="BF4344" s="744" t="str">
        <f>IF(D4344="","",VLOOKUP(D4344,'General Basis'!$J$39:$L$46,3,0))</f>
        <v/>
      </c>
      <c r="BG4344" s="744" t="str">
        <f t="shared" si="1507"/>
        <v/>
      </c>
      <c r="BH4344" s="744" t="str">
        <f>IF(G4344="","",IF(BF4344="Abu Dhabi",IF(G4344&lt;18,'General Basis'!$C$39,IF(G4344&lt;41,'General Basis'!$C$40,IF(G4344&lt;60,'General Basis'!$C$41,IF(G4344&lt;65,'General Basis'!$C$42,'General Basis'!$C$43)))),IF(G4344&lt;11,'General Basis'!$B$39,IF(G4344&lt;18,'General Basis'!$B$40,IF(G4344&lt;26,'General Basis'!$B$41,IF(G4344&lt;31,'General Basis'!$B$42,IF(G4344&lt;36,'General Basis'!$B$43,IF(G4344&lt;41,'General Basis'!$B$44,IF(G4344&lt;46,'General Basis'!$B$45,IF(G4344&lt;51,'General Basis'!$B$46,IF(G4344&lt;56,'General Basis'!$B$47,IF(G4344&lt;60,'General Basis'!$B$48,IF(G4344&lt;65,'General Basis'!$B$49,'General Basis'!$B$50)))))))))))))</f>
        <v/>
      </c>
      <c r="BI4344" s="744" t="str">
        <f t="shared" si="1501"/>
        <v/>
      </c>
      <c r="BJ4344" s="747" t="str">
        <f t="shared" si="1508"/>
        <v/>
      </c>
      <c r="BK4344" s="498" t="str">
        <f t="shared" si="1502"/>
        <v/>
      </c>
      <c r="BL4344" s="498" t="str">
        <f t="shared" si="1503"/>
        <v/>
      </c>
    </row>
    <row r="4345" spans="1:64" x14ac:dyDescent="0.25">
      <c r="A4345" s="762">
        <f t="shared" si="1504"/>
        <v>4340</v>
      </c>
      <c r="B4345" s="229"/>
      <c r="C4345" s="223"/>
      <c r="D4345" s="224"/>
      <c r="E4345" s="225"/>
      <c r="F4345" s="1036" t="str">
        <f t="shared" si="1510"/>
        <v/>
      </c>
      <c r="G4345" s="1037" t="str">
        <f t="shared" si="1505"/>
        <v/>
      </c>
      <c r="H4345" s="225"/>
      <c r="I4345" s="1013"/>
      <c r="J4345" s="1013"/>
      <c r="K4345" s="1028"/>
      <c r="L4345" s="1035" t="str">
        <f t="shared" si="1509"/>
        <v/>
      </c>
      <c r="S4345" s="498"/>
      <c r="AJ4345" s="498"/>
      <c r="AM4345" s="498">
        <f t="shared" si="1490"/>
        <v>0</v>
      </c>
      <c r="AN4345" s="498">
        <f t="shared" si="1491"/>
        <v>0</v>
      </c>
      <c r="AO4345" s="498">
        <f t="shared" si="1492"/>
        <v>0</v>
      </c>
      <c r="AP4345" s="498">
        <f t="shared" si="1511"/>
        <v>0</v>
      </c>
      <c r="AQ4345" s="498">
        <f t="shared" si="1506"/>
        <v>0</v>
      </c>
      <c r="AU4345" s="498">
        <f t="shared" si="1493"/>
        <v>0</v>
      </c>
      <c r="AV4345" s="498">
        <f t="shared" si="1494"/>
        <v>0</v>
      </c>
      <c r="AW4345" s="498">
        <f t="shared" si="1495"/>
        <v>0</v>
      </c>
      <c r="AX4345" s="498">
        <f t="shared" si="1496"/>
        <v>0</v>
      </c>
      <c r="AY4345" s="498">
        <f t="shared" si="1497"/>
        <v>0</v>
      </c>
      <c r="BB4345" s="498" t="str">
        <f t="shared" si="1498"/>
        <v/>
      </c>
      <c r="BC4345" s="743" t="str">
        <f t="shared" si="1499"/>
        <v/>
      </c>
      <c r="BD4345" s="743" t="str">
        <f t="shared" si="1500"/>
        <v/>
      </c>
      <c r="BE4345" s="743" t="str">
        <f>IF(D4345="","",VLOOKUP(D4345,'General Basis'!$J$39:$K$46,2,0))</f>
        <v/>
      </c>
      <c r="BF4345" s="744" t="str">
        <f>IF(D4345="","",VLOOKUP(D4345,'General Basis'!$J$39:$L$46,3,0))</f>
        <v/>
      </c>
      <c r="BG4345" s="744" t="str">
        <f t="shared" si="1507"/>
        <v/>
      </c>
      <c r="BH4345" s="744" t="str">
        <f>IF(G4345="","",IF(BF4345="Abu Dhabi",IF(G4345&lt;18,'General Basis'!$C$39,IF(G4345&lt;41,'General Basis'!$C$40,IF(G4345&lt;60,'General Basis'!$C$41,IF(G4345&lt;65,'General Basis'!$C$42,'General Basis'!$C$43)))),IF(G4345&lt;11,'General Basis'!$B$39,IF(G4345&lt;18,'General Basis'!$B$40,IF(G4345&lt;26,'General Basis'!$B$41,IF(G4345&lt;31,'General Basis'!$B$42,IF(G4345&lt;36,'General Basis'!$B$43,IF(G4345&lt;41,'General Basis'!$B$44,IF(G4345&lt;46,'General Basis'!$B$45,IF(G4345&lt;51,'General Basis'!$B$46,IF(G4345&lt;56,'General Basis'!$B$47,IF(G4345&lt;60,'General Basis'!$B$48,IF(G4345&lt;65,'General Basis'!$B$49,'General Basis'!$B$50)))))))))))))</f>
        <v/>
      </c>
      <c r="BI4345" s="744" t="str">
        <f t="shared" si="1501"/>
        <v/>
      </c>
      <c r="BJ4345" s="747" t="str">
        <f t="shared" si="1508"/>
        <v/>
      </c>
      <c r="BK4345" s="498" t="str">
        <f t="shared" si="1502"/>
        <v/>
      </c>
      <c r="BL4345" s="498" t="str">
        <f t="shared" si="1503"/>
        <v/>
      </c>
    </row>
    <row r="4346" spans="1:64" x14ac:dyDescent="0.25">
      <c r="A4346" s="762">
        <f t="shared" si="1504"/>
        <v>4341</v>
      </c>
      <c r="B4346" s="229"/>
      <c r="C4346" s="223"/>
      <c r="D4346" s="224"/>
      <c r="E4346" s="225"/>
      <c r="F4346" s="1036" t="str">
        <f t="shared" si="1510"/>
        <v/>
      </c>
      <c r="G4346" s="1037" t="str">
        <f t="shared" si="1505"/>
        <v/>
      </c>
      <c r="H4346" s="225"/>
      <c r="I4346" s="1013"/>
      <c r="J4346" s="1013"/>
      <c r="K4346" s="1028"/>
      <c r="L4346" s="1035" t="str">
        <f t="shared" si="1509"/>
        <v/>
      </c>
      <c r="S4346" s="498"/>
      <c r="AJ4346" s="498"/>
      <c r="AM4346" s="498">
        <f t="shared" si="1490"/>
        <v>0</v>
      </c>
      <c r="AN4346" s="498">
        <f t="shared" si="1491"/>
        <v>0</v>
      </c>
      <c r="AO4346" s="498">
        <f t="shared" si="1492"/>
        <v>0</v>
      </c>
      <c r="AP4346" s="498">
        <f t="shared" si="1511"/>
        <v>0</v>
      </c>
      <c r="AQ4346" s="498">
        <f t="shared" si="1506"/>
        <v>0</v>
      </c>
      <c r="AU4346" s="498">
        <f t="shared" si="1493"/>
        <v>0</v>
      </c>
      <c r="AV4346" s="498">
        <f t="shared" si="1494"/>
        <v>0</v>
      </c>
      <c r="AW4346" s="498">
        <f t="shared" si="1495"/>
        <v>0</v>
      </c>
      <c r="AX4346" s="498">
        <f t="shared" si="1496"/>
        <v>0</v>
      </c>
      <c r="AY4346" s="498">
        <f t="shared" si="1497"/>
        <v>0</v>
      </c>
      <c r="BB4346" s="498" t="str">
        <f t="shared" si="1498"/>
        <v/>
      </c>
      <c r="BC4346" s="743" t="str">
        <f t="shared" si="1499"/>
        <v/>
      </c>
      <c r="BD4346" s="743" t="str">
        <f t="shared" si="1500"/>
        <v/>
      </c>
      <c r="BE4346" s="743" t="str">
        <f>IF(D4346="","",VLOOKUP(D4346,'General Basis'!$J$39:$K$46,2,0))</f>
        <v/>
      </c>
      <c r="BF4346" s="744" t="str">
        <f>IF(D4346="","",VLOOKUP(D4346,'General Basis'!$J$39:$L$46,3,0))</f>
        <v/>
      </c>
      <c r="BG4346" s="744" t="str">
        <f t="shared" si="1507"/>
        <v/>
      </c>
      <c r="BH4346" s="744" t="str">
        <f>IF(G4346="","",IF(BF4346="Abu Dhabi",IF(G4346&lt;18,'General Basis'!$C$39,IF(G4346&lt;41,'General Basis'!$C$40,IF(G4346&lt;60,'General Basis'!$C$41,IF(G4346&lt;65,'General Basis'!$C$42,'General Basis'!$C$43)))),IF(G4346&lt;11,'General Basis'!$B$39,IF(G4346&lt;18,'General Basis'!$B$40,IF(G4346&lt;26,'General Basis'!$B$41,IF(G4346&lt;31,'General Basis'!$B$42,IF(G4346&lt;36,'General Basis'!$B$43,IF(G4346&lt;41,'General Basis'!$B$44,IF(G4346&lt;46,'General Basis'!$B$45,IF(G4346&lt;51,'General Basis'!$B$46,IF(G4346&lt;56,'General Basis'!$B$47,IF(G4346&lt;60,'General Basis'!$B$48,IF(G4346&lt;65,'General Basis'!$B$49,'General Basis'!$B$50)))))))))))))</f>
        <v/>
      </c>
      <c r="BI4346" s="744" t="str">
        <f t="shared" si="1501"/>
        <v/>
      </c>
      <c r="BJ4346" s="747" t="str">
        <f t="shared" si="1508"/>
        <v/>
      </c>
      <c r="BK4346" s="498" t="str">
        <f t="shared" si="1502"/>
        <v/>
      </c>
      <c r="BL4346" s="498" t="str">
        <f t="shared" si="1503"/>
        <v/>
      </c>
    </row>
    <row r="4347" spans="1:64" x14ac:dyDescent="0.25">
      <c r="A4347" s="762">
        <f t="shared" si="1504"/>
        <v>4342</v>
      </c>
      <c r="B4347" s="229"/>
      <c r="C4347" s="223"/>
      <c r="D4347" s="224"/>
      <c r="E4347" s="225"/>
      <c r="F4347" s="1036" t="str">
        <f t="shared" si="1510"/>
        <v/>
      </c>
      <c r="G4347" s="1037" t="str">
        <f t="shared" si="1505"/>
        <v/>
      </c>
      <c r="H4347" s="225"/>
      <c r="I4347" s="1013"/>
      <c r="J4347" s="1013"/>
      <c r="K4347" s="1028"/>
      <c r="L4347" s="1035" t="str">
        <f t="shared" si="1509"/>
        <v/>
      </c>
      <c r="S4347" s="498"/>
      <c r="AJ4347" s="498"/>
      <c r="AM4347" s="498">
        <f t="shared" si="1490"/>
        <v>0</v>
      </c>
      <c r="AN4347" s="498">
        <f t="shared" si="1491"/>
        <v>0</v>
      </c>
      <c r="AO4347" s="498">
        <f t="shared" si="1492"/>
        <v>0</v>
      </c>
      <c r="AP4347" s="498">
        <f t="shared" si="1511"/>
        <v>0</v>
      </c>
      <c r="AQ4347" s="498">
        <f t="shared" si="1506"/>
        <v>0</v>
      </c>
      <c r="AU4347" s="498">
        <f t="shared" si="1493"/>
        <v>0</v>
      </c>
      <c r="AV4347" s="498">
        <f t="shared" si="1494"/>
        <v>0</v>
      </c>
      <c r="AW4347" s="498">
        <f t="shared" si="1495"/>
        <v>0</v>
      </c>
      <c r="AX4347" s="498">
        <f t="shared" si="1496"/>
        <v>0</v>
      </c>
      <c r="AY4347" s="498">
        <f t="shared" si="1497"/>
        <v>0</v>
      </c>
      <c r="BB4347" s="498" t="str">
        <f t="shared" si="1498"/>
        <v/>
      </c>
      <c r="BC4347" s="743" t="str">
        <f t="shared" si="1499"/>
        <v/>
      </c>
      <c r="BD4347" s="743" t="str">
        <f t="shared" si="1500"/>
        <v/>
      </c>
      <c r="BE4347" s="743" t="str">
        <f>IF(D4347="","",VLOOKUP(D4347,'General Basis'!$J$39:$K$46,2,0))</f>
        <v/>
      </c>
      <c r="BF4347" s="744" t="str">
        <f>IF(D4347="","",VLOOKUP(D4347,'General Basis'!$J$39:$L$46,3,0))</f>
        <v/>
      </c>
      <c r="BG4347" s="744" t="str">
        <f t="shared" si="1507"/>
        <v/>
      </c>
      <c r="BH4347" s="744" t="str">
        <f>IF(G4347="","",IF(BF4347="Abu Dhabi",IF(G4347&lt;18,'General Basis'!$C$39,IF(G4347&lt;41,'General Basis'!$C$40,IF(G4347&lt;60,'General Basis'!$C$41,IF(G4347&lt;65,'General Basis'!$C$42,'General Basis'!$C$43)))),IF(G4347&lt;11,'General Basis'!$B$39,IF(G4347&lt;18,'General Basis'!$B$40,IF(G4347&lt;26,'General Basis'!$B$41,IF(G4347&lt;31,'General Basis'!$B$42,IF(G4347&lt;36,'General Basis'!$B$43,IF(G4347&lt;41,'General Basis'!$B$44,IF(G4347&lt;46,'General Basis'!$B$45,IF(G4347&lt;51,'General Basis'!$B$46,IF(G4347&lt;56,'General Basis'!$B$47,IF(G4347&lt;60,'General Basis'!$B$48,IF(G4347&lt;65,'General Basis'!$B$49,'General Basis'!$B$50)))))))))))))</f>
        <v/>
      </c>
      <c r="BI4347" s="744" t="str">
        <f t="shared" si="1501"/>
        <v/>
      </c>
      <c r="BJ4347" s="747" t="str">
        <f t="shared" si="1508"/>
        <v/>
      </c>
      <c r="BK4347" s="498" t="str">
        <f t="shared" si="1502"/>
        <v/>
      </c>
      <c r="BL4347" s="498" t="str">
        <f t="shared" si="1503"/>
        <v/>
      </c>
    </row>
    <row r="4348" spans="1:64" x14ac:dyDescent="0.25">
      <c r="A4348" s="762">
        <f t="shared" si="1504"/>
        <v>4343</v>
      </c>
      <c r="B4348" s="229"/>
      <c r="C4348" s="223"/>
      <c r="D4348" s="224"/>
      <c r="E4348" s="225"/>
      <c r="F4348" s="1036" t="str">
        <f t="shared" si="1510"/>
        <v/>
      </c>
      <c r="G4348" s="1037" t="str">
        <f t="shared" si="1505"/>
        <v/>
      </c>
      <c r="H4348" s="225"/>
      <c r="I4348" s="1013"/>
      <c r="J4348" s="1013"/>
      <c r="K4348" s="1028"/>
      <c r="L4348" s="1035" t="str">
        <f t="shared" si="1509"/>
        <v/>
      </c>
      <c r="S4348" s="498"/>
      <c r="AJ4348" s="498"/>
      <c r="AM4348" s="498">
        <f t="shared" si="1490"/>
        <v>0</v>
      </c>
      <c r="AN4348" s="498">
        <f t="shared" si="1491"/>
        <v>0</v>
      </c>
      <c r="AO4348" s="498">
        <f t="shared" si="1492"/>
        <v>0</v>
      </c>
      <c r="AP4348" s="498">
        <f t="shared" si="1511"/>
        <v>0</v>
      </c>
      <c r="AQ4348" s="498">
        <f t="shared" si="1506"/>
        <v>0</v>
      </c>
      <c r="AU4348" s="498">
        <f t="shared" si="1493"/>
        <v>0</v>
      </c>
      <c r="AV4348" s="498">
        <f t="shared" si="1494"/>
        <v>0</v>
      </c>
      <c r="AW4348" s="498">
        <f t="shared" si="1495"/>
        <v>0</v>
      </c>
      <c r="AX4348" s="498">
        <f t="shared" si="1496"/>
        <v>0</v>
      </c>
      <c r="AY4348" s="498">
        <f t="shared" si="1497"/>
        <v>0</v>
      </c>
      <c r="BB4348" s="498" t="str">
        <f t="shared" si="1498"/>
        <v/>
      </c>
      <c r="BC4348" s="743" t="str">
        <f t="shared" si="1499"/>
        <v/>
      </c>
      <c r="BD4348" s="743" t="str">
        <f t="shared" si="1500"/>
        <v/>
      </c>
      <c r="BE4348" s="743" t="str">
        <f>IF(D4348="","",VLOOKUP(D4348,'General Basis'!$J$39:$K$46,2,0))</f>
        <v/>
      </c>
      <c r="BF4348" s="744" t="str">
        <f>IF(D4348="","",VLOOKUP(D4348,'General Basis'!$J$39:$L$46,3,0))</f>
        <v/>
      </c>
      <c r="BG4348" s="744" t="str">
        <f t="shared" si="1507"/>
        <v/>
      </c>
      <c r="BH4348" s="744" t="str">
        <f>IF(G4348="","",IF(BF4348="Abu Dhabi",IF(G4348&lt;18,'General Basis'!$C$39,IF(G4348&lt;41,'General Basis'!$C$40,IF(G4348&lt;60,'General Basis'!$C$41,IF(G4348&lt;65,'General Basis'!$C$42,'General Basis'!$C$43)))),IF(G4348&lt;11,'General Basis'!$B$39,IF(G4348&lt;18,'General Basis'!$B$40,IF(G4348&lt;26,'General Basis'!$B$41,IF(G4348&lt;31,'General Basis'!$B$42,IF(G4348&lt;36,'General Basis'!$B$43,IF(G4348&lt;41,'General Basis'!$B$44,IF(G4348&lt;46,'General Basis'!$B$45,IF(G4348&lt;51,'General Basis'!$B$46,IF(G4348&lt;56,'General Basis'!$B$47,IF(G4348&lt;60,'General Basis'!$B$48,IF(G4348&lt;65,'General Basis'!$B$49,'General Basis'!$B$50)))))))))))))</f>
        <v/>
      </c>
      <c r="BI4348" s="744" t="str">
        <f t="shared" si="1501"/>
        <v/>
      </c>
      <c r="BJ4348" s="747" t="str">
        <f t="shared" si="1508"/>
        <v/>
      </c>
      <c r="BK4348" s="498" t="str">
        <f t="shared" si="1502"/>
        <v/>
      </c>
      <c r="BL4348" s="498" t="str">
        <f t="shared" si="1503"/>
        <v/>
      </c>
    </row>
    <row r="4349" spans="1:64" x14ac:dyDescent="0.25">
      <c r="A4349" s="762">
        <f t="shared" si="1504"/>
        <v>4344</v>
      </c>
      <c r="B4349" s="229"/>
      <c r="C4349" s="223"/>
      <c r="D4349" s="224"/>
      <c r="E4349" s="225"/>
      <c r="F4349" s="1036" t="str">
        <f t="shared" si="1510"/>
        <v/>
      </c>
      <c r="G4349" s="1037" t="str">
        <f t="shared" si="1505"/>
        <v/>
      </c>
      <c r="H4349" s="225"/>
      <c r="I4349" s="1013"/>
      <c r="J4349" s="1013"/>
      <c r="K4349" s="1028"/>
      <c r="L4349" s="1035" t="str">
        <f t="shared" si="1509"/>
        <v/>
      </c>
      <c r="S4349" s="498"/>
      <c r="AJ4349" s="498"/>
      <c r="AM4349" s="498">
        <f t="shared" si="1490"/>
        <v>0</v>
      </c>
      <c r="AN4349" s="498">
        <f t="shared" si="1491"/>
        <v>0</v>
      </c>
      <c r="AO4349" s="498">
        <f t="shared" si="1492"/>
        <v>0</v>
      </c>
      <c r="AP4349" s="498">
        <f t="shared" si="1511"/>
        <v>0</v>
      </c>
      <c r="AQ4349" s="498">
        <f t="shared" si="1506"/>
        <v>0</v>
      </c>
      <c r="AU4349" s="498">
        <f t="shared" si="1493"/>
        <v>0</v>
      </c>
      <c r="AV4349" s="498">
        <f t="shared" si="1494"/>
        <v>0</v>
      </c>
      <c r="AW4349" s="498">
        <f t="shared" si="1495"/>
        <v>0</v>
      </c>
      <c r="AX4349" s="498">
        <f t="shared" si="1496"/>
        <v>0</v>
      </c>
      <c r="AY4349" s="498">
        <f t="shared" si="1497"/>
        <v>0</v>
      </c>
      <c r="BB4349" s="498" t="str">
        <f t="shared" si="1498"/>
        <v/>
      </c>
      <c r="BC4349" s="743" t="str">
        <f t="shared" si="1499"/>
        <v/>
      </c>
      <c r="BD4349" s="743" t="str">
        <f t="shared" si="1500"/>
        <v/>
      </c>
      <c r="BE4349" s="743" t="str">
        <f>IF(D4349="","",VLOOKUP(D4349,'General Basis'!$J$39:$K$46,2,0))</f>
        <v/>
      </c>
      <c r="BF4349" s="744" t="str">
        <f>IF(D4349="","",VLOOKUP(D4349,'General Basis'!$J$39:$L$46,3,0))</f>
        <v/>
      </c>
      <c r="BG4349" s="744" t="str">
        <f t="shared" si="1507"/>
        <v/>
      </c>
      <c r="BH4349" s="744" t="str">
        <f>IF(G4349="","",IF(BF4349="Abu Dhabi",IF(G4349&lt;18,'General Basis'!$C$39,IF(G4349&lt;41,'General Basis'!$C$40,IF(G4349&lt;60,'General Basis'!$C$41,IF(G4349&lt;65,'General Basis'!$C$42,'General Basis'!$C$43)))),IF(G4349&lt;11,'General Basis'!$B$39,IF(G4349&lt;18,'General Basis'!$B$40,IF(G4349&lt;26,'General Basis'!$B$41,IF(G4349&lt;31,'General Basis'!$B$42,IF(G4349&lt;36,'General Basis'!$B$43,IF(G4349&lt;41,'General Basis'!$B$44,IF(G4349&lt;46,'General Basis'!$B$45,IF(G4349&lt;51,'General Basis'!$B$46,IF(G4349&lt;56,'General Basis'!$B$47,IF(G4349&lt;60,'General Basis'!$B$48,IF(G4349&lt;65,'General Basis'!$B$49,'General Basis'!$B$50)))))))))))))</f>
        <v/>
      </c>
      <c r="BI4349" s="744" t="str">
        <f t="shared" si="1501"/>
        <v/>
      </c>
      <c r="BJ4349" s="747" t="str">
        <f t="shared" si="1508"/>
        <v/>
      </c>
      <c r="BK4349" s="498" t="str">
        <f t="shared" si="1502"/>
        <v/>
      </c>
      <c r="BL4349" s="498" t="str">
        <f t="shared" si="1503"/>
        <v/>
      </c>
    </row>
    <row r="4350" spans="1:64" x14ac:dyDescent="0.25">
      <c r="A4350" s="762">
        <f t="shared" si="1504"/>
        <v>4345</v>
      </c>
      <c r="B4350" s="229"/>
      <c r="C4350" s="223"/>
      <c r="D4350" s="224"/>
      <c r="E4350" s="225"/>
      <c r="F4350" s="1036" t="str">
        <f t="shared" si="1510"/>
        <v/>
      </c>
      <c r="G4350" s="1037" t="str">
        <f t="shared" si="1505"/>
        <v/>
      </c>
      <c r="H4350" s="225"/>
      <c r="I4350" s="1013"/>
      <c r="J4350" s="1013"/>
      <c r="K4350" s="1028"/>
      <c r="L4350" s="1035" t="str">
        <f t="shared" si="1509"/>
        <v/>
      </c>
      <c r="S4350" s="498"/>
      <c r="AJ4350" s="498"/>
      <c r="AM4350" s="498">
        <f t="shared" si="1490"/>
        <v>0</v>
      </c>
      <c r="AN4350" s="498">
        <f t="shared" si="1491"/>
        <v>0</v>
      </c>
      <c r="AO4350" s="498">
        <f t="shared" si="1492"/>
        <v>0</v>
      </c>
      <c r="AP4350" s="498">
        <f t="shared" si="1511"/>
        <v>0</v>
      </c>
      <c r="AQ4350" s="498">
        <f t="shared" si="1506"/>
        <v>0</v>
      </c>
      <c r="AU4350" s="498">
        <f t="shared" si="1493"/>
        <v>0</v>
      </c>
      <c r="AV4350" s="498">
        <f t="shared" si="1494"/>
        <v>0</v>
      </c>
      <c r="AW4350" s="498">
        <f t="shared" si="1495"/>
        <v>0</v>
      </c>
      <c r="AX4350" s="498">
        <f t="shared" si="1496"/>
        <v>0</v>
      </c>
      <c r="AY4350" s="498">
        <f t="shared" si="1497"/>
        <v>0</v>
      </c>
      <c r="BB4350" s="498" t="str">
        <f t="shared" si="1498"/>
        <v/>
      </c>
      <c r="BC4350" s="743" t="str">
        <f t="shared" si="1499"/>
        <v/>
      </c>
      <c r="BD4350" s="743" t="str">
        <f t="shared" si="1500"/>
        <v/>
      </c>
      <c r="BE4350" s="743" t="str">
        <f>IF(D4350="","",VLOOKUP(D4350,'General Basis'!$J$39:$K$46,2,0))</f>
        <v/>
      </c>
      <c r="BF4350" s="744" t="str">
        <f>IF(D4350="","",VLOOKUP(D4350,'General Basis'!$J$39:$L$46,3,0))</f>
        <v/>
      </c>
      <c r="BG4350" s="744" t="str">
        <f t="shared" si="1507"/>
        <v/>
      </c>
      <c r="BH4350" s="744" t="str">
        <f>IF(G4350="","",IF(BF4350="Abu Dhabi",IF(G4350&lt;18,'General Basis'!$C$39,IF(G4350&lt;41,'General Basis'!$C$40,IF(G4350&lt;60,'General Basis'!$C$41,IF(G4350&lt;65,'General Basis'!$C$42,'General Basis'!$C$43)))),IF(G4350&lt;11,'General Basis'!$B$39,IF(G4350&lt;18,'General Basis'!$B$40,IF(G4350&lt;26,'General Basis'!$B$41,IF(G4350&lt;31,'General Basis'!$B$42,IF(G4350&lt;36,'General Basis'!$B$43,IF(G4350&lt;41,'General Basis'!$B$44,IF(G4350&lt;46,'General Basis'!$B$45,IF(G4350&lt;51,'General Basis'!$B$46,IF(G4350&lt;56,'General Basis'!$B$47,IF(G4350&lt;60,'General Basis'!$B$48,IF(G4350&lt;65,'General Basis'!$B$49,'General Basis'!$B$50)))))))))))))</f>
        <v/>
      </c>
      <c r="BI4350" s="744" t="str">
        <f t="shared" si="1501"/>
        <v/>
      </c>
      <c r="BJ4350" s="747" t="str">
        <f t="shared" si="1508"/>
        <v/>
      </c>
      <c r="BK4350" s="498" t="str">
        <f t="shared" si="1502"/>
        <v/>
      </c>
      <c r="BL4350" s="498" t="str">
        <f t="shared" si="1503"/>
        <v/>
      </c>
    </row>
    <row r="4351" spans="1:64" x14ac:dyDescent="0.25">
      <c r="A4351" s="762">
        <f t="shared" si="1504"/>
        <v>4346</v>
      </c>
      <c r="B4351" s="229"/>
      <c r="C4351" s="223"/>
      <c r="D4351" s="224"/>
      <c r="E4351" s="225"/>
      <c r="F4351" s="1036" t="str">
        <f t="shared" si="1510"/>
        <v/>
      </c>
      <c r="G4351" s="1037" t="str">
        <f t="shared" si="1505"/>
        <v/>
      </c>
      <c r="H4351" s="225"/>
      <c r="I4351" s="1013"/>
      <c r="J4351" s="1013"/>
      <c r="K4351" s="1028"/>
      <c r="L4351" s="1035" t="str">
        <f t="shared" si="1509"/>
        <v/>
      </c>
      <c r="S4351" s="498"/>
      <c r="AJ4351" s="498"/>
      <c r="AM4351" s="498">
        <f t="shared" si="1490"/>
        <v>0</v>
      </c>
      <c r="AN4351" s="498">
        <f t="shared" si="1491"/>
        <v>0</v>
      </c>
      <c r="AO4351" s="498">
        <f t="shared" si="1492"/>
        <v>0</v>
      </c>
      <c r="AP4351" s="498">
        <f t="shared" si="1511"/>
        <v>0</v>
      </c>
      <c r="AQ4351" s="498">
        <f t="shared" si="1506"/>
        <v>0</v>
      </c>
      <c r="AU4351" s="498">
        <f t="shared" si="1493"/>
        <v>0</v>
      </c>
      <c r="AV4351" s="498">
        <f t="shared" si="1494"/>
        <v>0</v>
      </c>
      <c r="AW4351" s="498">
        <f t="shared" si="1495"/>
        <v>0</v>
      </c>
      <c r="AX4351" s="498">
        <f t="shared" si="1496"/>
        <v>0</v>
      </c>
      <c r="AY4351" s="498">
        <f t="shared" si="1497"/>
        <v>0</v>
      </c>
      <c r="BB4351" s="498" t="str">
        <f t="shared" si="1498"/>
        <v/>
      </c>
      <c r="BC4351" s="743" t="str">
        <f t="shared" si="1499"/>
        <v/>
      </c>
      <c r="BD4351" s="743" t="str">
        <f t="shared" si="1500"/>
        <v/>
      </c>
      <c r="BE4351" s="743" t="str">
        <f>IF(D4351="","",VLOOKUP(D4351,'General Basis'!$J$39:$K$46,2,0))</f>
        <v/>
      </c>
      <c r="BF4351" s="744" t="str">
        <f>IF(D4351="","",VLOOKUP(D4351,'General Basis'!$J$39:$L$46,3,0))</f>
        <v/>
      </c>
      <c r="BG4351" s="744" t="str">
        <f t="shared" si="1507"/>
        <v/>
      </c>
      <c r="BH4351" s="744" t="str">
        <f>IF(G4351="","",IF(BF4351="Abu Dhabi",IF(G4351&lt;18,'General Basis'!$C$39,IF(G4351&lt;41,'General Basis'!$C$40,IF(G4351&lt;60,'General Basis'!$C$41,IF(G4351&lt;65,'General Basis'!$C$42,'General Basis'!$C$43)))),IF(G4351&lt;11,'General Basis'!$B$39,IF(G4351&lt;18,'General Basis'!$B$40,IF(G4351&lt;26,'General Basis'!$B$41,IF(G4351&lt;31,'General Basis'!$B$42,IF(G4351&lt;36,'General Basis'!$B$43,IF(G4351&lt;41,'General Basis'!$B$44,IF(G4351&lt;46,'General Basis'!$B$45,IF(G4351&lt;51,'General Basis'!$B$46,IF(G4351&lt;56,'General Basis'!$B$47,IF(G4351&lt;60,'General Basis'!$B$48,IF(G4351&lt;65,'General Basis'!$B$49,'General Basis'!$B$50)))))))))))))</f>
        <v/>
      </c>
      <c r="BI4351" s="744" t="str">
        <f t="shared" si="1501"/>
        <v/>
      </c>
      <c r="BJ4351" s="747" t="str">
        <f t="shared" si="1508"/>
        <v/>
      </c>
      <c r="BK4351" s="498" t="str">
        <f t="shared" si="1502"/>
        <v/>
      </c>
      <c r="BL4351" s="498" t="str">
        <f t="shared" si="1503"/>
        <v/>
      </c>
    </row>
    <row r="4352" spans="1:64" x14ac:dyDescent="0.25">
      <c r="A4352" s="762">
        <f t="shared" si="1504"/>
        <v>4347</v>
      </c>
      <c r="B4352" s="229"/>
      <c r="C4352" s="223"/>
      <c r="D4352" s="224"/>
      <c r="E4352" s="225"/>
      <c r="F4352" s="1036" t="str">
        <f t="shared" si="1510"/>
        <v/>
      </c>
      <c r="G4352" s="1037" t="str">
        <f t="shared" si="1505"/>
        <v/>
      </c>
      <c r="H4352" s="225"/>
      <c r="I4352" s="1013"/>
      <c r="J4352" s="1013"/>
      <c r="K4352" s="1028"/>
      <c r="L4352" s="1035" t="str">
        <f t="shared" si="1509"/>
        <v/>
      </c>
      <c r="S4352" s="498"/>
      <c r="AJ4352" s="498"/>
      <c r="AM4352" s="498">
        <f t="shared" si="1490"/>
        <v>0</v>
      </c>
      <c r="AN4352" s="498">
        <f t="shared" si="1491"/>
        <v>0</v>
      </c>
      <c r="AO4352" s="498">
        <f t="shared" si="1492"/>
        <v>0</v>
      </c>
      <c r="AP4352" s="498">
        <f t="shared" si="1511"/>
        <v>0</v>
      </c>
      <c r="AQ4352" s="498">
        <f t="shared" si="1506"/>
        <v>0</v>
      </c>
      <c r="AU4352" s="498">
        <f t="shared" si="1493"/>
        <v>0</v>
      </c>
      <c r="AV4352" s="498">
        <f t="shared" si="1494"/>
        <v>0</v>
      </c>
      <c r="AW4352" s="498">
        <f t="shared" si="1495"/>
        <v>0</v>
      </c>
      <c r="AX4352" s="498">
        <f t="shared" si="1496"/>
        <v>0</v>
      </c>
      <c r="AY4352" s="498">
        <f t="shared" si="1497"/>
        <v>0</v>
      </c>
      <c r="BB4352" s="498" t="str">
        <f t="shared" si="1498"/>
        <v/>
      </c>
      <c r="BC4352" s="743" t="str">
        <f t="shared" si="1499"/>
        <v/>
      </c>
      <c r="BD4352" s="743" t="str">
        <f t="shared" si="1500"/>
        <v/>
      </c>
      <c r="BE4352" s="743" t="str">
        <f>IF(D4352="","",VLOOKUP(D4352,'General Basis'!$J$39:$K$46,2,0))</f>
        <v/>
      </c>
      <c r="BF4352" s="744" t="str">
        <f>IF(D4352="","",VLOOKUP(D4352,'General Basis'!$J$39:$L$46,3,0))</f>
        <v/>
      </c>
      <c r="BG4352" s="744" t="str">
        <f t="shared" si="1507"/>
        <v/>
      </c>
      <c r="BH4352" s="744" t="str">
        <f>IF(G4352="","",IF(BF4352="Abu Dhabi",IF(G4352&lt;18,'General Basis'!$C$39,IF(G4352&lt;41,'General Basis'!$C$40,IF(G4352&lt;60,'General Basis'!$C$41,IF(G4352&lt;65,'General Basis'!$C$42,'General Basis'!$C$43)))),IF(G4352&lt;11,'General Basis'!$B$39,IF(G4352&lt;18,'General Basis'!$B$40,IF(G4352&lt;26,'General Basis'!$B$41,IF(G4352&lt;31,'General Basis'!$B$42,IF(G4352&lt;36,'General Basis'!$B$43,IF(G4352&lt;41,'General Basis'!$B$44,IF(G4352&lt;46,'General Basis'!$B$45,IF(G4352&lt;51,'General Basis'!$B$46,IF(G4352&lt;56,'General Basis'!$B$47,IF(G4352&lt;60,'General Basis'!$B$48,IF(G4352&lt;65,'General Basis'!$B$49,'General Basis'!$B$50)))))))))))))</f>
        <v/>
      </c>
      <c r="BI4352" s="744" t="str">
        <f t="shared" si="1501"/>
        <v/>
      </c>
      <c r="BJ4352" s="747" t="str">
        <f t="shared" si="1508"/>
        <v/>
      </c>
      <c r="BK4352" s="498" t="str">
        <f t="shared" si="1502"/>
        <v/>
      </c>
      <c r="BL4352" s="498" t="str">
        <f t="shared" si="1503"/>
        <v/>
      </c>
    </row>
    <row r="4353" spans="1:64" x14ac:dyDescent="0.25">
      <c r="A4353" s="762">
        <f t="shared" si="1504"/>
        <v>4348</v>
      </c>
      <c r="B4353" s="229"/>
      <c r="C4353" s="223"/>
      <c r="D4353" s="224"/>
      <c r="E4353" s="225"/>
      <c r="F4353" s="1036" t="str">
        <f t="shared" si="1510"/>
        <v/>
      </c>
      <c r="G4353" s="1037" t="str">
        <f t="shared" si="1505"/>
        <v/>
      </c>
      <c r="H4353" s="225"/>
      <c r="I4353" s="1013"/>
      <c r="J4353" s="1013"/>
      <c r="K4353" s="1028"/>
      <c r="L4353" s="1035" t="str">
        <f t="shared" si="1509"/>
        <v/>
      </c>
      <c r="S4353" s="498"/>
      <c r="AJ4353" s="498"/>
      <c r="AM4353" s="498">
        <f t="shared" si="1490"/>
        <v>0</v>
      </c>
      <c r="AN4353" s="498">
        <f t="shared" si="1491"/>
        <v>0</v>
      </c>
      <c r="AO4353" s="498">
        <f t="shared" si="1492"/>
        <v>0</v>
      </c>
      <c r="AP4353" s="498">
        <f t="shared" si="1511"/>
        <v>0</v>
      </c>
      <c r="AQ4353" s="498">
        <f t="shared" si="1506"/>
        <v>0</v>
      </c>
      <c r="AU4353" s="498">
        <f t="shared" si="1493"/>
        <v>0</v>
      </c>
      <c r="AV4353" s="498">
        <f t="shared" si="1494"/>
        <v>0</v>
      </c>
      <c r="AW4353" s="498">
        <f t="shared" si="1495"/>
        <v>0</v>
      </c>
      <c r="AX4353" s="498">
        <f t="shared" si="1496"/>
        <v>0</v>
      </c>
      <c r="AY4353" s="498">
        <f t="shared" si="1497"/>
        <v>0</v>
      </c>
      <c r="BB4353" s="498" t="str">
        <f t="shared" si="1498"/>
        <v/>
      </c>
      <c r="BC4353" s="743" t="str">
        <f t="shared" si="1499"/>
        <v/>
      </c>
      <c r="BD4353" s="743" t="str">
        <f t="shared" si="1500"/>
        <v/>
      </c>
      <c r="BE4353" s="743" t="str">
        <f>IF(D4353="","",VLOOKUP(D4353,'General Basis'!$J$39:$K$46,2,0))</f>
        <v/>
      </c>
      <c r="BF4353" s="744" t="str">
        <f>IF(D4353="","",VLOOKUP(D4353,'General Basis'!$J$39:$L$46,3,0))</f>
        <v/>
      </c>
      <c r="BG4353" s="744" t="str">
        <f t="shared" si="1507"/>
        <v/>
      </c>
      <c r="BH4353" s="744" t="str">
        <f>IF(G4353="","",IF(BF4353="Abu Dhabi",IF(G4353&lt;18,'General Basis'!$C$39,IF(G4353&lt;41,'General Basis'!$C$40,IF(G4353&lt;60,'General Basis'!$C$41,IF(G4353&lt;65,'General Basis'!$C$42,'General Basis'!$C$43)))),IF(G4353&lt;11,'General Basis'!$B$39,IF(G4353&lt;18,'General Basis'!$B$40,IF(G4353&lt;26,'General Basis'!$B$41,IF(G4353&lt;31,'General Basis'!$B$42,IF(G4353&lt;36,'General Basis'!$B$43,IF(G4353&lt;41,'General Basis'!$B$44,IF(G4353&lt;46,'General Basis'!$B$45,IF(G4353&lt;51,'General Basis'!$B$46,IF(G4353&lt;56,'General Basis'!$B$47,IF(G4353&lt;60,'General Basis'!$B$48,IF(G4353&lt;65,'General Basis'!$B$49,'General Basis'!$B$50)))))))))))))</f>
        <v/>
      </c>
      <c r="BI4353" s="744" t="str">
        <f t="shared" si="1501"/>
        <v/>
      </c>
      <c r="BJ4353" s="747" t="str">
        <f t="shared" si="1508"/>
        <v/>
      </c>
      <c r="BK4353" s="498" t="str">
        <f t="shared" si="1502"/>
        <v/>
      </c>
      <c r="BL4353" s="498" t="str">
        <f t="shared" si="1503"/>
        <v/>
      </c>
    </row>
    <row r="4354" spans="1:64" x14ac:dyDescent="0.25">
      <c r="A4354" s="762">
        <f t="shared" si="1504"/>
        <v>4349</v>
      </c>
      <c r="B4354" s="229"/>
      <c r="C4354" s="223"/>
      <c r="D4354" s="224"/>
      <c r="E4354" s="225"/>
      <c r="F4354" s="1036" t="str">
        <f t="shared" si="1510"/>
        <v/>
      </c>
      <c r="G4354" s="1037" t="str">
        <f t="shared" si="1505"/>
        <v/>
      </c>
      <c r="H4354" s="225"/>
      <c r="I4354" s="1013"/>
      <c r="J4354" s="1013"/>
      <c r="K4354" s="1028"/>
      <c r="L4354" s="1035" t="str">
        <f t="shared" si="1509"/>
        <v/>
      </c>
      <c r="S4354" s="498"/>
      <c r="AJ4354" s="498"/>
      <c r="AM4354" s="498">
        <f t="shared" si="1490"/>
        <v>0</v>
      </c>
      <c r="AN4354" s="498">
        <f t="shared" si="1491"/>
        <v>0</v>
      </c>
      <c r="AO4354" s="498">
        <f t="shared" si="1492"/>
        <v>0</v>
      </c>
      <c r="AP4354" s="498">
        <f t="shared" si="1511"/>
        <v>0</v>
      </c>
      <c r="AQ4354" s="498">
        <f t="shared" si="1506"/>
        <v>0</v>
      </c>
      <c r="AU4354" s="498">
        <f t="shared" si="1493"/>
        <v>0</v>
      </c>
      <c r="AV4354" s="498">
        <f t="shared" si="1494"/>
        <v>0</v>
      </c>
      <c r="AW4354" s="498">
        <f t="shared" si="1495"/>
        <v>0</v>
      </c>
      <c r="AX4354" s="498">
        <f t="shared" si="1496"/>
        <v>0</v>
      </c>
      <c r="AY4354" s="498">
        <f t="shared" si="1497"/>
        <v>0</v>
      </c>
      <c r="BB4354" s="498" t="str">
        <f t="shared" si="1498"/>
        <v/>
      </c>
      <c r="BC4354" s="743" t="str">
        <f t="shared" si="1499"/>
        <v/>
      </c>
      <c r="BD4354" s="743" t="str">
        <f t="shared" si="1500"/>
        <v/>
      </c>
      <c r="BE4354" s="743" t="str">
        <f>IF(D4354="","",VLOOKUP(D4354,'General Basis'!$J$39:$K$46,2,0))</f>
        <v/>
      </c>
      <c r="BF4354" s="744" t="str">
        <f>IF(D4354="","",VLOOKUP(D4354,'General Basis'!$J$39:$L$46,3,0))</f>
        <v/>
      </c>
      <c r="BG4354" s="744" t="str">
        <f t="shared" si="1507"/>
        <v/>
      </c>
      <c r="BH4354" s="744" t="str">
        <f>IF(G4354="","",IF(BF4354="Abu Dhabi",IF(G4354&lt;18,'General Basis'!$C$39,IF(G4354&lt;41,'General Basis'!$C$40,IF(G4354&lt;60,'General Basis'!$C$41,IF(G4354&lt;65,'General Basis'!$C$42,'General Basis'!$C$43)))),IF(G4354&lt;11,'General Basis'!$B$39,IF(G4354&lt;18,'General Basis'!$B$40,IF(G4354&lt;26,'General Basis'!$B$41,IF(G4354&lt;31,'General Basis'!$B$42,IF(G4354&lt;36,'General Basis'!$B$43,IF(G4354&lt;41,'General Basis'!$B$44,IF(G4354&lt;46,'General Basis'!$B$45,IF(G4354&lt;51,'General Basis'!$B$46,IF(G4354&lt;56,'General Basis'!$B$47,IF(G4354&lt;60,'General Basis'!$B$48,IF(G4354&lt;65,'General Basis'!$B$49,'General Basis'!$B$50)))))))))))))</f>
        <v/>
      </c>
      <c r="BI4354" s="744" t="str">
        <f t="shared" si="1501"/>
        <v/>
      </c>
      <c r="BJ4354" s="747" t="str">
        <f t="shared" si="1508"/>
        <v/>
      </c>
      <c r="BK4354" s="498" t="str">
        <f t="shared" si="1502"/>
        <v/>
      </c>
      <c r="BL4354" s="498" t="str">
        <f t="shared" si="1503"/>
        <v/>
      </c>
    </row>
    <row r="4355" spans="1:64" x14ac:dyDescent="0.25">
      <c r="A4355" s="762">
        <f t="shared" si="1504"/>
        <v>4350</v>
      </c>
      <c r="B4355" s="229"/>
      <c r="C4355" s="223"/>
      <c r="D4355" s="224"/>
      <c r="E4355" s="225"/>
      <c r="F4355" s="1036" t="str">
        <f t="shared" si="1510"/>
        <v/>
      </c>
      <c r="G4355" s="1037" t="str">
        <f t="shared" si="1505"/>
        <v/>
      </c>
      <c r="H4355" s="225"/>
      <c r="I4355" s="1013"/>
      <c r="J4355" s="1013"/>
      <c r="K4355" s="1028"/>
      <c r="L4355" s="1035" t="str">
        <f t="shared" si="1509"/>
        <v/>
      </c>
      <c r="S4355" s="498"/>
      <c r="AJ4355" s="498"/>
      <c r="AM4355" s="498">
        <f t="shared" si="1490"/>
        <v>0</v>
      </c>
      <c r="AN4355" s="498">
        <f t="shared" si="1491"/>
        <v>0</v>
      </c>
      <c r="AO4355" s="498">
        <f t="shared" si="1492"/>
        <v>0</v>
      </c>
      <c r="AP4355" s="498">
        <f t="shared" si="1511"/>
        <v>0</v>
      </c>
      <c r="AQ4355" s="498">
        <f t="shared" si="1506"/>
        <v>0</v>
      </c>
      <c r="AU4355" s="498">
        <f t="shared" si="1493"/>
        <v>0</v>
      </c>
      <c r="AV4355" s="498">
        <f t="shared" si="1494"/>
        <v>0</v>
      </c>
      <c r="AW4355" s="498">
        <f t="shared" si="1495"/>
        <v>0</v>
      </c>
      <c r="AX4355" s="498">
        <f t="shared" si="1496"/>
        <v>0</v>
      </c>
      <c r="AY4355" s="498">
        <f t="shared" si="1497"/>
        <v>0</v>
      </c>
      <c r="BB4355" s="498" t="str">
        <f t="shared" si="1498"/>
        <v/>
      </c>
      <c r="BC4355" s="743" t="str">
        <f t="shared" si="1499"/>
        <v/>
      </c>
      <c r="BD4355" s="743" t="str">
        <f t="shared" si="1500"/>
        <v/>
      </c>
      <c r="BE4355" s="743" t="str">
        <f>IF(D4355="","",VLOOKUP(D4355,'General Basis'!$J$39:$K$46,2,0))</f>
        <v/>
      </c>
      <c r="BF4355" s="744" t="str">
        <f>IF(D4355="","",VLOOKUP(D4355,'General Basis'!$J$39:$L$46,3,0))</f>
        <v/>
      </c>
      <c r="BG4355" s="744" t="str">
        <f t="shared" si="1507"/>
        <v/>
      </c>
      <c r="BH4355" s="744" t="str">
        <f>IF(G4355="","",IF(BF4355="Abu Dhabi",IF(G4355&lt;18,'General Basis'!$C$39,IF(G4355&lt;41,'General Basis'!$C$40,IF(G4355&lt;60,'General Basis'!$C$41,IF(G4355&lt;65,'General Basis'!$C$42,'General Basis'!$C$43)))),IF(G4355&lt;11,'General Basis'!$B$39,IF(G4355&lt;18,'General Basis'!$B$40,IF(G4355&lt;26,'General Basis'!$B$41,IF(G4355&lt;31,'General Basis'!$B$42,IF(G4355&lt;36,'General Basis'!$B$43,IF(G4355&lt;41,'General Basis'!$B$44,IF(G4355&lt;46,'General Basis'!$B$45,IF(G4355&lt;51,'General Basis'!$B$46,IF(G4355&lt;56,'General Basis'!$B$47,IF(G4355&lt;60,'General Basis'!$B$48,IF(G4355&lt;65,'General Basis'!$B$49,'General Basis'!$B$50)))))))))))))</f>
        <v/>
      </c>
      <c r="BI4355" s="744" t="str">
        <f t="shared" si="1501"/>
        <v/>
      </c>
      <c r="BJ4355" s="747" t="str">
        <f t="shared" si="1508"/>
        <v/>
      </c>
      <c r="BK4355" s="498" t="str">
        <f t="shared" si="1502"/>
        <v/>
      </c>
      <c r="BL4355" s="498" t="str">
        <f t="shared" si="1503"/>
        <v/>
      </c>
    </row>
    <row r="4356" spans="1:64" x14ac:dyDescent="0.25">
      <c r="A4356" s="762">
        <f t="shared" si="1504"/>
        <v>4351</v>
      </c>
      <c r="B4356" s="229"/>
      <c r="C4356" s="223"/>
      <c r="D4356" s="224"/>
      <c r="E4356" s="225"/>
      <c r="F4356" s="1036" t="str">
        <f t="shared" si="1510"/>
        <v/>
      </c>
      <c r="G4356" s="1037" t="str">
        <f t="shared" si="1505"/>
        <v/>
      </c>
      <c r="H4356" s="225"/>
      <c r="I4356" s="1013"/>
      <c r="J4356" s="1013"/>
      <c r="K4356" s="1028"/>
      <c r="L4356" s="1035" t="str">
        <f t="shared" si="1509"/>
        <v/>
      </c>
      <c r="S4356" s="498"/>
      <c r="AJ4356" s="498"/>
      <c r="AM4356" s="498">
        <f t="shared" si="1490"/>
        <v>0</v>
      </c>
      <c r="AN4356" s="498">
        <f t="shared" si="1491"/>
        <v>0</v>
      </c>
      <c r="AO4356" s="498">
        <f t="shared" si="1492"/>
        <v>0</v>
      </c>
      <c r="AP4356" s="498">
        <f t="shared" si="1511"/>
        <v>0</v>
      </c>
      <c r="AQ4356" s="498">
        <f t="shared" si="1506"/>
        <v>0</v>
      </c>
      <c r="AU4356" s="498">
        <f t="shared" si="1493"/>
        <v>0</v>
      </c>
      <c r="AV4356" s="498">
        <f t="shared" si="1494"/>
        <v>0</v>
      </c>
      <c r="AW4356" s="498">
        <f t="shared" si="1495"/>
        <v>0</v>
      </c>
      <c r="AX4356" s="498">
        <f t="shared" si="1496"/>
        <v>0</v>
      </c>
      <c r="AY4356" s="498">
        <f t="shared" si="1497"/>
        <v>0</v>
      </c>
      <c r="BB4356" s="498" t="str">
        <f t="shared" si="1498"/>
        <v/>
      </c>
      <c r="BC4356" s="743" t="str">
        <f t="shared" si="1499"/>
        <v/>
      </c>
      <c r="BD4356" s="743" t="str">
        <f t="shared" si="1500"/>
        <v/>
      </c>
      <c r="BE4356" s="743" t="str">
        <f>IF(D4356="","",VLOOKUP(D4356,'General Basis'!$J$39:$K$46,2,0))</f>
        <v/>
      </c>
      <c r="BF4356" s="744" t="str">
        <f>IF(D4356="","",VLOOKUP(D4356,'General Basis'!$J$39:$L$46,3,0))</f>
        <v/>
      </c>
      <c r="BG4356" s="744" t="str">
        <f t="shared" si="1507"/>
        <v/>
      </c>
      <c r="BH4356" s="744" t="str">
        <f>IF(G4356="","",IF(BF4356="Abu Dhabi",IF(G4356&lt;18,'General Basis'!$C$39,IF(G4356&lt;41,'General Basis'!$C$40,IF(G4356&lt;60,'General Basis'!$C$41,IF(G4356&lt;65,'General Basis'!$C$42,'General Basis'!$C$43)))),IF(G4356&lt;11,'General Basis'!$B$39,IF(G4356&lt;18,'General Basis'!$B$40,IF(G4356&lt;26,'General Basis'!$B$41,IF(G4356&lt;31,'General Basis'!$B$42,IF(G4356&lt;36,'General Basis'!$B$43,IF(G4356&lt;41,'General Basis'!$B$44,IF(G4356&lt;46,'General Basis'!$B$45,IF(G4356&lt;51,'General Basis'!$B$46,IF(G4356&lt;56,'General Basis'!$B$47,IF(G4356&lt;60,'General Basis'!$B$48,IF(G4356&lt;65,'General Basis'!$B$49,'General Basis'!$B$50)))))))))))))</f>
        <v/>
      </c>
      <c r="BI4356" s="744" t="str">
        <f t="shared" si="1501"/>
        <v/>
      </c>
      <c r="BJ4356" s="747" t="str">
        <f t="shared" si="1508"/>
        <v/>
      </c>
      <c r="BK4356" s="498" t="str">
        <f t="shared" si="1502"/>
        <v/>
      </c>
      <c r="BL4356" s="498" t="str">
        <f t="shared" si="1503"/>
        <v/>
      </c>
    </row>
    <row r="4357" spans="1:64" x14ac:dyDescent="0.25">
      <c r="A4357" s="762">
        <f t="shared" si="1504"/>
        <v>4352</v>
      </c>
      <c r="B4357" s="229"/>
      <c r="C4357" s="223"/>
      <c r="D4357" s="224"/>
      <c r="E4357" s="225"/>
      <c r="F4357" s="1036" t="str">
        <f t="shared" si="1510"/>
        <v/>
      </c>
      <c r="G4357" s="1037" t="str">
        <f t="shared" si="1505"/>
        <v/>
      </c>
      <c r="H4357" s="225"/>
      <c r="I4357" s="1013"/>
      <c r="J4357" s="1013"/>
      <c r="K4357" s="1028"/>
      <c r="L4357" s="1035" t="str">
        <f t="shared" si="1509"/>
        <v/>
      </c>
      <c r="S4357" s="498"/>
      <c r="AJ4357" s="498"/>
      <c r="AM4357" s="498">
        <f t="shared" si="1490"/>
        <v>0</v>
      </c>
      <c r="AN4357" s="498">
        <f t="shared" si="1491"/>
        <v>0</v>
      </c>
      <c r="AO4357" s="498">
        <f t="shared" si="1492"/>
        <v>0</v>
      </c>
      <c r="AP4357" s="498">
        <f t="shared" si="1511"/>
        <v>0</v>
      </c>
      <c r="AQ4357" s="498">
        <f t="shared" si="1506"/>
        <v>0</v>
      </c>
      <c r="AU4357" s="498">
        <f t="shared" si="1493"/>
        <v>0</v>
      </c>
      <c r="AV4357" s="498">
        <f t="shared" si="1494"/>
        <v>0</v>
      </c>
      <c r="AW4357" s="498">
        <f t="shared" si="1495"/>
        <v>0</v>
      </c>
      <c r="AX4357" s="498">
        <f t="shared" si="1496"/>
        <v>0</v>
      </c>
      <c r="AY4357" s="498">
        <f t="shared" si="1497"/>
        <v>0</v>
      </c>
      <c r="BB4357" s="498" t="str">
        <f t="shared" si="1498"/>
        <v/>
      </c>
      <c r="BC4357" s="743" t="str">
        <f t="shared" si="1499"/>
        <v/>
      </c>
      <c r="BD4357" s="743" t="str">
        <f t="shared" si="1500"/>
        <v/>
      </c>
      <c r="BE4357" s="743" t="str">
        <f>IF(D4357="","",VLOOKUP(D4357,'General Basis'!$J$39:$K$46,2,0))</f>
        <v/>
      </c>
      <c r="BF4357" s="744" t="str">
        <f>IF(D4357="","",VLOOKUP(D4357,'General Basis'!$J$39:$L$46,3,0))</f>
        <v/>
      </c>
      <c r="BG4357" s="744" t="str">
        <f t="shared" si="1507"/>
        <v/>
      </c>
      <c r="BH4357" s="744" t="str">
        <f>IF(G4357="","",IF(BF4357="Abu Dhabi",IF(G4357&lt;18,'General Basis'!$C$39,IF(G4357&lt;41,'General Basis'!$C$40,IF(G4357&lt;60,'General Basis'!$C$41,IF(G4357&lt;65,'General Basis'!$C$42,'General Basis'!$C$43)))),IF(G4357&lt;11,'General Basis'!$B$39,IF(G4357&lt;18,'General Basis'!$B$40,IF(G4357&lt;26,'General Basis'!$B$41,IF(G4357&lt;31,'General Basis'!$B$42,IF(G4357&lt;36,'General Basis'!$B$43,IF(G4357&lt;41,'General Basis'!$B$44,IF(G4357&lt;46,'General Basis'!$B$45,IF(G4357&lt;51,'General Basis'!$B$46,IF(G4357&lt;56,'General Basis'!$B$47,IF(G4357&lt;60,'General Basis'!$B$48,IF(G4357&lt;65,'General Basis'!$B$49,'General Basis'!$B$50)))))))))))))</f>
        <v/>
      </c>
      <c r="BI4357" s="744" t="str">
        <f t="shared" si="1501"/>
        <v/>
      </c>
      <c r="BJ4357" s="747" t="str">
        <f t="shared" si="1508"/>
        <v/>
      </c>
      <c r="BK4357" s="498" t="str">
        <f t="shared" si="1502"/>
        <v/>
      </c>
      <c r="BL4357" s="498" t="str">
        <f t="shared" si="1503"/>
        <v/>
      </c>
    </row>
    <row r="4358" spans="1:64" x14ac:dyDescent="0.25">
      <c r="A4358" s="762">
        <f t="shared" si="1504"/>
        <v>4353</v>
      </c>
      <c r="B4358" s="229"/>
      <c r="C4358" s="223"/>
      <c r="D4358" s="224"/>
      <c r="E4358" s="225"/>
      <c r="F4358" s="1036" t="str">
        <f t="shared" si="1510"/>
        <v/>
      </c>
      <c r="G4358" s="1037" t="str">
        <f t="shared" si="1505"/>
        <v/>
      </c>
      <c r="H4358" s="225"/>
      <c r="I4358" s="1013"/>
      <c r="J4358" s="1013"/>
      <c r="K4358" s="1028"/>
      <c r="L4358" s="1035" t="str">
        <f t="shared" si="1509"/>
        <v/>
      </c>
      <c r="S4358" s="498"/>
      <c r="AJ4358" s="498"/>
      <c r="AM4358" s="498">
        <f t="shared" ref="AM4358:AM4421" si="1512">IF(ISTEXT(B4358),1,0)</f>
        <v>0</v>
      </c>
      <c r="AN4358" s="498">
        <f t="shared" ref="AN4358:AN4421" si="1513">IF(ISBLANK(B4358),0,IF(B4358&lt;$AK$6,1,0))</f>
        <v>0</v>
      </c>
      <c r="AO4358" s="498">
        <f t="shared" ref="AO4358:AO4421" si="1514">IF(ISBLANK(B4358),0,IF(B4358&gt;$AK$7,1,0))</f>
        <v>0</v>
      </c>
      <c r="AP4358" s="498">
        <f t="shared" si="1511"/>
        <v>0</v>
      </c>
      <c r="AQ4358" s="498">
        <f t="shared" si="1506"/>
        <v>0</v>
      </c>
      <c r="AU4358" s="498">
        <f t="shared" ref="AU4358:AU4421" si="1515">IF(ISBLANK(B4358),0,1)</f>
        <v>0</v>
      </c>
      <c r="AV4358" s="498">
        <f t="shared" ref="AV4358:AV4421" si="1516">IF(ISBLANK(C4358),0,1)</f>
        <v>0</v>
      </c>
      <c r="AW4358" s="498">
        <f t="shared" ref="AW4358:AW4421" si="1517">IF(ISBLANK(D4358),0,1)</f>
        <v>0</v>
      </c>
      <c r="AX4358" s="498">
        <f t="shared" ref="AX4358:AX4421" si="1518">IF(ISBLANK(E4358),0,1)</f>
        <v>0</v>
      </c>
      <c r="AY4358" s="498">
        <f t="shared" ref="AY4358:AY4421" si="1519">IF(ISBLANK(H4358),0,1)</f>
        <v>0</v>
      </c>
      <c r="BB4358" s="498" t="str">
        <f t="shared" ref="BB4358:BB4421" si="1520">IF(E4358="Principal","Principal",IF(E4358="","","Other"))</f>
        <v/>
      </c>
      <c r="BC4358" s="743" t="str">
        <f t="shared" ref="BC4358:BC4421" si="1521">IF(D4358="","",D4358)</f>
        <v/>
      </c>
      <c r="BD4358" s="743" t="str">
        <f t="shared" ref="BD4358:BD4421" si="1522">IF(E4358="Principal","Employee",IF(E4358="","","Dependent"))</f>
        <v/>
      </c>
      <c r="BE4358" s="743" t="str">
        <f>IF(D4358="","",VLOOKUP(D4358,'General Basis'!$J$39:$K$46,2,0))</f>
        <v/>
      </c>
      <c r="BF4358" s="744" t="str">
        <f>IF(D4358="","",VLOOKUP(D4358,'General Basis'!$J$39:$L$46,3,0))</f>
        <v/>
      </c>
      <c r="BG4358" s="744" t="str">
        <f t="shared" si="1507"/>
        <v/>
      </c>
      <c r="BH4358" s="744" t="str">
        <f>IF(G4358="","",IF(BF4358="Abu Dhabi",IF(G4358&lt;18,'General Basis'!$C$39,IF(G4358&lt;41,'General Basis'!$C$40,IF(G4358&lt;60,'General Basis'!$C$41,IF(G4358&lt;65,'General Basis'!$C$42,'General Basis'!$C$43)))),IF(G4358&lt;11,'General Basis'!$B$39,IF(G4358&lt;18,'General Basis'!$B$40,IF(G4358&lt;26,'General Basis'!$B$41,IF(G4358&lt;31,'General Basis'!$B$42,IF(G4358&lt;36,'General Basis'!$B$43,IF(G4358&lt;41,'General Basis'!$B$44,IF(G4358&lt;46,'General Basis'!$B$45,IF(G4358&lt;51,'General Basis'!$B$46,IF(G4358&lt;56,'General Basis'!$B$47,IF(G4358&lt;60,'General Basis'!$B$48,IF(G4358&lt;65,'General Basis'!$B$49,'General Basis'!$B$50)))))))))))))</f>
        <v/>
      </c>
      <c r="BI4358" s="744" t="str">
        <f t="shared" ref="BI4358:BI4421" si="1523">IF(C4358="","",IF(C4358="M","Male","Female"))</f>
        <v/>
      </c>
      <c r="BJ4358" s="747" t="str">
        <f t="shared" si="1508"/>
        <v/>
      </c>
      <c r="BK4358" s="498" t="str">
        <f t="shared" ref="BK4358:BK4421" si="1524">IF(BD4358="","",IF(AND(BD4358="Employee",BI4358="Male",BF4358="Abu Dhabi",BE4358=GN_Plus),VLOOKUP(BH4358,AUH_MALE_EMP,2,0),IF(AND(BD4358="Employee",BI4358="Male",BF4358="Abu Dhabi",BE4358=GN),VLOOKUP(BH4358,AUH_MALE_EMP,3,0),IF(AND(BD4358="Employee",BI4358="Male",BF4358="Abu Dhabi",BE4358=RN_Plus),VLOOKUP(BH4358,AUH_MALE_EMP,4,0),IF(AND(BD4358="Employee",BI4358="Male",BF4358="Abu Dhabi",BE4358=RN),VLOOKUP(BH4358,AUH_MALE_EMP,5,0),IF(AND(BD4358="Employee",BI4358="Male",BF4358="Abu Dhabi",BE4358=RN_2),VLOOKUP(BH4358,AUH_MALE_EMP,6,0),IF(AND(BD4358="Employee",BI4358="Male",BF4358="Abu Dhabi",BE4358=RN2_minus),VLOOKUP(BH4358,AUH_MALE_EMP,7,0),IF(AND(BD4358="Employee",BI4358="Male",BF4358="Abu Dhabi",BE4358=RN_3),VLOOKUP(BH4358,AUH_MALE_EMP,8,0),IF(AND(BD4358="Employee",BI4358="Male",BF4358="Abu Dhabi",BE4358=VN),VLOOKUP(BH4358,AUH_MALE_EMP,9,0),IF(BD4358="","",IF(AND(BD4358="Employee",BI4358="Female",BF4358="Abu Dhabi",BE4358=GN_Plus),VLOOKUP(BH4358,AUH_FEMALE_EMP,2,0),IF(AND(BD4358="Employee",BI4358="Female",BF4358="Abu Dhabi",BE4358=GN),VLOOKUP(BH4358,AUH_FEMALE_EMP,3,0),IF(AND(BD4358="Employee",BI4358="Female",BF4358="Abu Dhabi",BE4358=RN_Plus),VLOOKUP(BH4358,AUH_FEMALE_EMP,4,0),IF(AND(BD4358="Employee",BI4358="Female",BF4358="Abu Dhabi",BE4358=RN),VLOOKUP(BH4358,AUH_FEMALE_EMP,5,0),IF(AND(BD4358="Employee",BI4358="Female",BF4358="Abu Dhabi",BE4358=RN_2),VLOOKUP(BH4358,AUH_FEMALE_EMP,6,0),IF(AND(BD4358="Employee",BI4358="Female",BF4358="Abu Dhabi",BE4358=RN2_minus),VLOOKUP(BH4358,AUH_FEMALE_EMP,7,0),IF(AND(BD4358="Employee",BI4358="Female",BF4358="Abu Dhabi",BE4358=RN_3),VLOOKUP(BH4358,AUH_FEMALE_EMP,8,0),IF(AND(BD4358="Employee",BI4358="Female",BF4358="Abu Dhabi",BE4358=VN),VLOOKUP(BH4358,AUH_FEMALE_EMP,9,0),IF(BD4358="","",IF(AND(BD4358="Dependent",BI4358="Male",BF4358="Abu Dhabi",BE4358=GN_Plus),VLOOKUP(BH4358,AUH_MALE_DEP,2,0),IF(AND(BD4358="Dependent",BI4358="Male",BF4358="Abu Dhabi",BE4358=GN),VLOOKUP(BH4358,AUH_MALE_DEP,3,0),IF(AND(BD4358="Dependent",BI4358="Male",BF4358="Abu Dhabi",BE4358=RN_Plus),VLOOKUP(BH4358,AUH_MALE_DEP,4,0),IF(AND(BD4358="Dependent",BI4358="Male",BF4358="Abu Dhabi",BE4358=RN),VLOOKUP(BH4358,AUH_MALE_DEP,5,0),IF(AND(BD4358="Dependent",BI4358="Male",BF4358="Abu Dhabi",BE4358=RN_2),VLOOKUP(BH4358,AUH_MALE_DEP,6,0),IF(AND(BD4358="Dependent",BI4358="Male",BF4358="Abu Dhabi",BE4358=RN2_minus),VLOOKUP(BH4358,AUH_MALE_DEP,7,0),IF(AND(BD4358="Dependent",BI4358="Male",BF4358="Abu Dhabi",BE4358=RN_3),VLOOKUP(BH4358,AUH_MALE_DEP,8,0),IF(AND(BD4358="Dependent",BI4358="Male",BF4358="Abu Dhabi",BE4358=VN),VLOOKUP(BH4358,AUH_MALE_DEP,9,0),IF(BD4358="","",IF(AND(BD4358="Dependent",BI4358="Female",BF4358="Abu Dhabi",BE4358=GN_Plus),VLOOKUP(BH4358,AUH_FEMALE_DEP,2,0),IF(AND(BD4358="Dependent",BI4358="Female",BF4358="Abu Dhabi",BE4358=GN),VLOOKUP(BH4358,AUH_FEMALE_DEP,3,0),IF(AND(BD4358="Dependent",BI4358="Female",BF4358="Abu Dhabi",BE4358=RN_Plus),VLOOKUP(BH4358,AUH_FEMALE_DEP,4,0),IF(AND(BD4358="Dependent",BI4358="Female",BF4358="Abu Dhabi",BE4358=RN),VLOOKUP(BH4358,AUH_FEMALE_DEP,5,0),IF(AND(BD4358="Dependent",BI4358="Female",BF4358="Abu Dhabi",BE4358=RN_2),VLOOKUP(BH4358,AUH_FEMALE_DEP,6,0),IF(AND(BD4358="Dependent",BI4358="Female",BF4358="Abu Dhabi",BE4358=RN2_minus),VLOOKUP(BH4358,AUH_FEMALE_DEP,7,0),IF(AND(BD4358="Dependent",BI4358="Female",BF4358="Abu Dhabi",BE4358=RN_3),VLOOKUP(BH4358,AUH_FEMALE_DEP,8,0),IF(AND(BD4358="Dependent",BI4358="Female",BF4358="Abu Dhabi",BE4358=VN),VLOOKUP(BH4358,AUH_FEMALE_DEP,9,0),"ABC"))))))))))))))))))))))))))))))))))))</f>
        <v/>
      </c>
      <c r="BL4358" s="498" t="str">
        <f t="shared" ref="BL4358:BL4421" si="1525">IF(BD4358="","",IF(AND(BD4358="Employee",BI4358="Male",BF4358="Dubai",BE4358=GN_Plus),VLOOKUP(BH4358,DXB_MALE_EMP,2,0),IF(AND(BD4358="Employee",BI4358="Male",BF4358="Dubai",BE4358=GN),VLOOKUP(BH4358,DXB_MALE_EMP,3,0),IF(AND(BD4358="Employee",BI4358="Male",BF4358="Dubai",BE4358=RN_Plus),VLOOKUP(BH4358,DXB_MALE_EMP,4,0),IF(AND(BD4358="Employee",BI4358="Male",BF4358="Dubai",BE4358=RN),VLOOKUP(BH4358,DXB_MALE_EMP,5,0),IF(AND(BD4358="Employee",BI4358="Male",BF4358="Dubai",BE4358=RN_2),VLOOKUP(BH4358,DXB_MALE_EMP,6,0),IF(AND(BD4358="Employee",BI4358="Male",BF4358="Dubai",BE4358=RN2_minus),VLOOKUP(BH4358,DXB_MALE_EMP,7,0),IF(AND(BD4358="Employee",BI4358="Male",BF4358="Dubai",BE4358=RN_3),VLOOKUP(BH4358,DXB_MALE_EMP,8,0),IF(AND(BD4358="Employee",BI4358="Male",BF4358="Dubai",BE4358=VN),VLOOKUP(BH4358,DXB_MALE_EMP,9,0),IF(BD4358="","",IF(AND(BD4358="Employee",BI4358="Female",BF4358="Dubai",BE4358=GN_Plus),VLOOKUP(BH4358,DXB_FEMALE_EMP,2,0),IF(AND(BD4358="Employee",BI4358="Female",BF4358="Dubai",BE4358=GN),VLOOKUP(BH4358,DXB_FEMALE_EMP,3,0),IF(AND(BD4358="Employee",BI4358="Female",BF4358="Dubai",BE4358=RN_Plus),VLOOKUP(BH4358,DXB_FEMALE_EMP,4,0),IF(AND(BD4358="Employee",BI4358="Female",BF4358="Dubai",BE4358=RN),VLOOKUP(BH4358,DXB_FEMALE_EMP,5,0),IF(AND(BD4358="Employee",BI4358="Female",BF4358="Dubai",BE4358=RN_2),VLOOKUP(BH4358,DXB_FEMALE_EMP,6,0),IF(AND(BD4358="Employee",BI4358="Female",BF4358="Dubai",BE4358=RN2_minus),VLOOKUP(BH4358,DXB_FEMALE_EMP,7,0),IF(AND(BD4358="Employee",BI4358="Female",BF4358="Dubai",BE4358=RN_3),VLOOKUP(BH4358,DXB_FEMALE_EMP,8,0),IF(AND(BD4358="Employee",BI4358="Female",BF4358="Dubai",BE4358=VN),VLOOKUP(BH4358,DXB_FEMALE_EMP,9,0),IF(BD4358="","",IF(AND(BD4358="Dependent",BI4358="Male",BF4358="Dubai",BE4358=GN_Plus),VLOOKUP(BH4358,DXB_MALE_DEP,2,0),IF(AND(BD4358="Dependent",BI4358="Male",BF4358="Dubai",BE4358=GN),VLOOKUP(BH4358,DXB_MALE_DEP,3,0),IF(AND(BD4358="Dependent",BI4358="Male",BF4358="Dubai",BE4358=RN_Plus),VLOOKUP(BH4358,DXB_MALE_DEP,4,0),IF(AND(BD4358="Dependent",BI4358="Male",BF4358="Dubai",BE4358=RN),VLOOKUP(BH4358,DXB_MALE_DEP,5,0),IF(AND(BD4358="Dependent",BI4358="Male",BF4358="Dubai",BE4358=RN_2),VLOOKUP(BH4358,DXB_MALE_DEP,6,0),IF(AND(BD4358="Dependent",BI4358="Male",BF4358="Dubai",BE4358=RN2_minus),VLOOKUP(BH4358,DXB_MALE_DEP,7,0),IF(AND(BD4358="Dependent",BI4358="Male",BF4358="Dubai",BE4358=RN_3),VLOOKUP(BH4358,DXB_MALE_DEP,8,0),IF(AND(BD4358="Dependent",BI4358="Male",BF4358="Dubai",BE4358=VN),VLOOKUP(BH4358,DXB_MALE_DEP,9,0),IF(BD4358="","",IF(AND(BD4358="Dependent",BI4358="Female",BF4358="Dubai",BE4358=GN_Plus),VLOOKUP(BH4358,DXB_FEMALE_DEP,2,0),IF(AND(BD4358="Dependent",BI4358="Female",BF4358="Dubai",BE4358=GN),VLOOKUP(BH4358,DXB_FEMALE_DEP,3,0),IF(AND(BD4358="Dependent",BI4358="Female",BF4358="Dubai",BE4358=RN_Plus),VLOOKUP(BH4358,DXB_FEMALE_DEP,4,0),IF(AND(BD4358="Dependent",BI4358="Female",BF4358="Dubai",BE4358=RN),VLOOKUP(BH4358,DXB_FEMALE_DEP,5,0),IF(AND(BD4358="Dependent",BI4358="Female",BF4358="Dubai",BE4358=RN_2),VLOOKUP(BH4358,DXB_FEMALE_DEP,6,0),IF(AND(BD4358="Dependent",BI4358="Female",BF4358="Dubai",BE4358=RN2_minus),VLOOKUP(BH4358,DXB_FEMALE_DEP,7,0),IF(AND(BD4358="Dependent",BI4358="Female",BF4358="Dubai",BE4358=RN_3),VLOOKUP(BH4358,DXB_FEMALE_DEP,8,0),IF(AND(BD4358="Dependent",BI4358="Female",BF4358="Dubai",BE4358=VN),VLOOKUP(BH4358,DXB_FEMALE_DEP,9,0),"ABC"))))))))))))))))))))))))))))))))))))</f>
        <v/>
      </c>
    </row>
    <row r="4359" spans="1:64" x14ac:dyDescent="0.25">
      <c r="A4359" s="762">
        <f t="shared" ref="A4359:A4422" si="1526">+A4358+1</f>
        <v>4354</v>
      </c>
      <c r="B4359" s="229"/>
      <c r="C4359" s="223"/>
      <c r="D4359" s="224"/>
      <c r="E4359" s="225"/>
      <c r="F4359" s="1036" t="str">
        <f t="shared" si="1510"/>
        <v/>
      </c>
      <c r="G4359" s="1037" t="str">
        <f t="shared" ref="G4359:G4422" si="1527">IF(D4359="","",MAX(0,ROUNDUP(F4359,0)))</f>
        <v/>
      </c>
      <c r="H4359" s="225"/>
      <c r="I4359" s="1013"/>
      <c r="J4359" s="1013"/>
      <c r="K4359" s="1028"/>
      <c r="L4359" s="1035" t="str">
        <f t="shared" si="1509"/>
        <v/>
      </c>
      <c r="S4359" s="498"/>
      <c r="AJ4359" s="498"/>
      <c r="AM4359" s="498">
        <f t="shared" si="1512"/>
        <v>0</v>
      </c>
      <c r="AN4359" s="498">
        <f t="shared" si="1513"/>
        <v>0</v>
      </c>
      <c r="AO4359" s="498">
        <f t="shared" si="1514"/>
        <v>0</v>
      </c>
      <c r="AP4359" s="498">
        <f t="shared" si="1511"/>
        <v>0</v>
      </c>
      <c r="AQ4359" s="498">
        <f t="shared" ref="AQ4359:AQ4422" si="1528">IF(ISBLANK($B4359),0,IF(OR($H4359="Single",$H4359="Married"),0,1))</f>
        <v>0</v>
      </c>
      <c r="AU4359" s="498">
        <f t="shared" si="1515"/>
        <v>0</v>
      </c>
      <c r="AV4359" s="498">
        <f t="shared" si="1516"/>
        <v>0</v>
      </c>
      <c r="AW4359" s="498">
        <f t="shared" si="1517"/>
        <v>0</v>
      </c>
      <c r="AX4359" s="498">
        <f t="shared" si="1518"/>
        <v>0</v>
      </c>
      <c r="AY4359" s="498">
        <f t="shared" si="1519"/>
        <v>0</v>
      </c>
      <c r="BB4359" s="498" t="str">
        <f t="shared" si="1520"/>
        <v/>
      </c>
      <c r="BC4359" s="743" t="str">
        <f t="shared" si="1521"/>
        <v/>
      </c>
      <c r="BD4359" s="743" t="str">
        <f t="shared" si="1522"/>
        <v/>
      </c>
      <c r="BE4359" s="743" t="str">
        <f>IF(D4359="","",VLOOKUP(D4359,'General Basis'!$J$39:$K$46,2,0))</f>
        <v/>
      </c>
      <c r="BF4359" s="744" t="str">
        <f>IF(D4359="","",VLOOKUP(D4359,'General Basis'!$J$39:$L$46,3,0))</f>
        <v/>
      </c>
      <c r="BG4359" s="744" t="str">
        <f t="shared" ref="BG4359:BG4422" si="1529">BC4359&amp;BI4359</f>
        <v/>
      </c>
      <c r="BH4359" s="744" t="str">
        <f>IF(G4359="","",IF(BF4359="Abu Dhabi",IF(G4359&lt;18,'General Basis'!$C$39,IF(G4359&lt;41,'General Basis'!$C$40,IF(G4359&lt;60,'General Basis'!$C$41,IF(G4359&lt;65,'General Basis'!$C$42,'General Basis'!$C$43)))),IF(G4359&lt;11,'General Basis'!$B$39,IF(G4359&lt;18,'General Basis'!$B$40,IF(G4359&lt;26,'General Basis'!$B$41,IF(G4359&lt;31,'General Basis'!$B$42,IF(G4359&lt;36,'General Basis'!$B$43,IF(G4359&lt;41,'General Basis'!$B$44,IF(G4359&lt;46,'General Basis'!$B$45,IF(G4359&lt;51,'General Basis'!$B$46,IF(G4359&lt;56,'General Basis'!$B$47,IF(G4359&lt;60,'General Basis'!$B$48,IF(G4359&lt;65,'General Basis'!$B$49,'General Basis'!$B$50)))))))))))))</f>
        <v/>
      </c>
      <c r="BI4359" s="744" t="str">
        <f t="shared" si="1523"/>
        <v/>
      </c>
      <c r="BJ4359" s="747" t="str">
        <f t="shared" ref="BJ4359:BJ4422" si="1530">IF(BD4359="","",IF(BF4359="Abu Dhabi",BK4359,BL4359))</f>
        <v/>
      </c>
      <c r="BK4359" s="498" t="str">
        <f t="shared" si="1524"/>
        <v/>
      </c>
      <c r="BL4359" s="498" t="str">
        <f t="shared" si="1525"/>
        <v/>
      </c>
    </row>
    <row r="4360" spans="1:64" x14ac:dyDescent="0.25">
      <c r="A4360" s="762">
        <f t="shared" si="1526"/>
        <v>4355</v>
      </c>
      <c r="B4360" s="229"/>
      <c r="C4360" s="223"/>
      <c r="D4360" s="224"/>
      <c r="E4360" s="225"/>
      <c r="F4360" s="1036" t="str">
        <f t="shared" si="1510"/>
        <v/>
      </c>
      <c r="G4360" s="1037" t="str">
        <f t="shared" si="1527"/>
        <v/>
      </c>
      <c r="H4360" s="225"/>
      <c r="I4360" s="1013"/>
      <c r="J4360" s="1013"/>
      <c r="K4360" s="1028"/>
      <c r="L4360" s="1035" t="str">
        <f t="shared" ref="L4360:L4423" si="1531">IF(AND(E4360="Child",H4360="Married"),"Check the Marital Status of the Child. ",IF(AND(E4360="Child",F4360&gt;18),"Child Age exceed 18 years. ",IF(AND(E4360="Spouse",H4360="Single"),"Spouse is selected as Single. ","")))&amp;IF(K4360&gt;0,"UW Loading has been Applied","")</f>
        <v/>
      </c>
      <c r="S4360" s="498"/>
      <c r="AJ4360" s="498"/>
      <c r="AM4360" s="498">
        <f t="shared" si="1512"/>
        <v>0</v>
      </c>
      <c r="AN4360" s="498">
        <f t="shared" si="1513"/>
        <v>0</v>
      </c>
      <c r="AO4360" s="498">
        <f t="shared" si="1514"/>
        <v>0</v>
      </c>
      <c r="AP4360" s="498">
        <f t="shared" si="1511"/>
        <v>0</v>
      </c>
      <c r="AQ4360" s="498">
        <f t="shared" si="1528"/>
        <v>0</v>
      </c>
      <c r="AU4360" s="498">
        <f t="shared" si="1515"/>
        <v>0</v>
      </c>
      <c r="AV4360" s="498">
        <f t="shared" si="1516"/>
        <v>0</v>
      </c>
      <c r="AW4360" s="498">
        <f t="shared" si="1517"/>
        <v>0</v>
      </c>
      <c r="AX4360" s="498">
        <f t="shared" si="1518"/>
        <v>0</v>
      </c>
      <c r="AY4360" s="498">
        <f t="shared" si="1519"/>
        <v>0</v>
      </c>
      <c r="BB4360" s="498" t="str">
        <f t="shared" si="1520"/>
        <v/>
      </c>
      <c r="BC4360" s="743" t="str">
        <f t="shared" si="1521"/>
        <v/>
      </c>
      <c r="BD4360" s="743" t="str">
        <f t="shared" si="1522"/>
        <v/>
      </c>
      <c r="BE4360" s="743" t="str">
        <f>IF(D4360="","",VLOOKUP(D4360,'General Basis'!$J$39:$K$46,2,0))</f>
        <v/>
      </c>
      <c r="BF4360" s="744" t="str">
        <f>IF(D4360="","",VLOOKUP(D4360,'General Basis'!$J$39:$L$46,3,0))</f>
        <v/>
      </c>
      <c r="BG4360" s="744" t="str">
        <f t="shared" si="1529"/>
        <v/>
      </c>
      <c r="BH4360" s="744" t="str">
        <f>IF(G4360="","",IF(BF4360="Abu Dhabi",IF(G4360&lt;18,'General Basis'!$C$39,IF(G4360&lt;41,'General Basis'!$C$40,IF(G4360&lt;60,'General Basis'!$C$41,IF(G4360&lt;65,'General Basis'!$C$42,'General Basis'!$C$43)))),IF(G4360&lt;11,'General Basis'!$B$39,IF(G4360&lt;18,'General Basis'!$B$40,IF(G4360&lt;26,'General Basis'!$B$41,IF(G4360&lt;31,'General Basis'!$B$42,IF(G4360&lt;36,'General Basis'!$B$43,IF(G4360&lt;41,'General Basis'!$B$44,IF(G4360&lt;46,'General Basis'!$B$45,IF(G4360&lt;51,'General Basis'!$B$46,IF(G4360&lt;56,'General Basis'!$B$47,IF(G4360&lt;60,'General Basis'!$B$48,IF(G4360&lt;65,'General Basis'!$B$49,'General Basis'!$B$50)))))))))))))</f>
        <v/>
      </c>
      <c r="BI4360" s="744" t="str">
        <f t="shared" si="1523"/>
        <v/>
      </c>
      <c r="BJ4360" s="747" t="str">
        <f t="shared" si="1530"/>
        <v/>
      </c>
      <c r="BK4360" s="498" t="str">
        <f t="shared" si="1524"/>
        <v/>
      </c>
      <c r="BL4360" s="498" t="str">
        <f t="shared" si="1525"/>
        <v/>
      </c>
    </row>
    <row r="4361" spans="1:64" x14ac:dyDescent="0.25">
      <c r="A4361" s="762">
        <f t="shared" si="1526"/>
        <v>4356</v>
      </c>
      <c r="B4361" s="229"/>
      <c r="C4361" s="223"/>
      <c r="D4361" s="224"/>
      <c r="E4361" s="225"/>
      <c r="F4361" s="1036" t="str">
        <f t="shared" si="1510"/>
        <v/>
      </c>
      <c r="G4361" s="1037" t="str">
        <f t="shared" si="1527"/>
        <v/>
      </c>
      <c r="H4361" s="225"/>
      <c r="I4361" s="1013"/>
      <c r="J4361" s="1013"/>
      <c r="K4361" s="1028"/>
      <c r="L4361" s="1035" t="str">
        <f t="shared" si="1531"/>
        <v/>
      </c>
      <c r="S4361" s="498"/>
      <c r="AJ4361" s="498"/>
      <c r="AM4361" s="498">
        <f t="shared" si="1512"/>
        <v>0</v>
      </c>
      <c r="AN4361" s="498">
        <f t="shared" si="1513"/>
        <v>0</v>
      </c>
      <c r="AO4361" s="498">
        <f t="shared" si="1514"/>
        <v>0</v>
      </c>
      <c r="AP4361" s="498">
        <f t="shared" si="1511"/>
        <v>0</v>
      </c>
      <c r="AQ4361" s="498">
        <f t="shared" si="1528"/>
        <v>0</v>
      </c>
      <c r="AU4361" s="498">
        <f t="shared" si="1515"/>
        <v>0</v>
      </c>
      <c r="AV4361" s="498">
        <f t="shared" si="1516"/>
        <v>0</v>
      </c>
      <c r="AW4361" s="498">
        <f t="shared" si="1517"/>
        <v>0</v>
      </c>
      <c r="AX4361" s="498">
        <f t="shared" si="1518"/>
        <v>0</v>
      </c>
      <c r="AY4361" s="498">
        <f t="shared" si="1519"/>
        <v>0</v>
      </c>
      <c r="BB4361" s="498" t="str">
        <f t="shared" si="1520"/>
        <v/>
      </c>
      <c r="BC4361" s="743" t="str">
        <f t="shared" si="1521"/>
        <v/>
      </c>
      <c r="BD4361" s="743" t="str">
        <f t="shared" si="1522"/>
        <v/>
      </c>
      <c r="BE4361" s="743" t="str">
        <f>IF(D4361="","",VLOOKUP(D4361,'General Basis'!$J$39:$K$46,2,0))</f>
        <v/>
      </c>
      <c r="BF4361" s="744" t="str">
        <f>IF(D4361="","",VLOOKUP(D4361,'General Basis'!$J$39:$L$46,3,0))</f>
        <v/>
      </c>
      <c r="BG4361" s="744" t="str">
        <f t="shared" si="1529"/>
        <v/>
      </c>
      <c r="BH4361" s="744" t="str">
        <f>IF(G4361="","",IF(BF4361="Abu Dhabi",IF(G4361&lt;18,'General Basis'!$C$39,IF(G4361&lt;41,'General Basis'!$C$40,IF(G4361&lt;60,'General Basis'!$C$41,IF(G4361&lt;65,'General Basis'!$C$42,'General Basis'!$C$43)))),IF(G4361&lt;11,'General Basis'!$B$39,IF(G4361&lt;18,'General Basis'!$B$40,IF(G4361&lt;26,'General Basis'!$B$41,IF(G4361&lt;31,'General Basis'!$B$42,IF(G4361&lt;36,'General Basis'!$B$43,IF(G4361&lt;41,'General Basis'!$B$44,IF(G4361&lt;46,'General Basis'!$B$45,IF(G4361&lt;51,'General Basis'!$B$46,IF(G4361&lt;56,'General Basis'!$B$47,IF(G4361&lt;60,'General Basis'!$B$48,IF(G4361&lt;65,'General Basis'!$B$49,'General Basis'!$B$50)))))))))))))</f>
        <v/>
      </c>
      <c r="BI4361" s="744" t="str">
        <f t="shared" si="1523"/>
        <v/>
      </c>
      <c r="BJ4361" s="747" t="str">
        <f t="shared" si="1530"/>
        <v/>
      </c>
      <c r="BK4361" s="498" t="str">
        <f t="shared" si="1524"/>
        <v/>
      </c>
      <c r="BL4361" s="498" t="str">
        <f t="shared" si="1525"/>
        <v/>
      </c>
    </row>
    <row r="4362" spans="1:64" x14ac:dyDescent="0.25">
      <c r="A4362" s="762">
        <f t="shared" si="1526"/>
        <v>4357</v>
      </c>
      <c r="B4362" s="229"/>
      <c r="C4362" s="223"/>
      <c r="D4362" s="224"/>
      <c r="E4362" s="225"/>
      <c r="F4362" s="1036" t="str">
        <f t="shared" si="1510"/>
        <v/>
      </c>
      <c r="G4362" s="1037" t="str">
        <f t="shared" si="1527"/>
        <v/>
      </c>
      <c r="H4362" s="225"/>
      <c r="I4362" s="1013"/>
      <c r="J4362" s="1013"/>
      <c r="K4362" s="1028"/>
      <c r="L4362" s="1035" t="str">
        <f t="shared" si="1531"/>
        <v/>
      </c>
      <c r="S4362" s="498"/>
      <c r="AJ4362" s="498"/>
      <c r="AM4362" s="498">
        <f t="shared" si="1512"/>
        <v>0</v>
      </c>
      <c r="AN4362" s="498">
        <f t="shared" si="1513"/>
        <v>0</v>
      </c>
      <c r="AO4362" s="498">
        <f t="shared" si="1514"/>
        <v>0</v>
      </c>
      <c r="AP4362" s="498">
        <f t="shared" si="1511"/>
        <v>0</v>
      </c>
      <c r="AQ4362" s="498">
        <f t="shared" si="1528"/>
        <v>0</v>
      </c>
      <c r="AU4362" s="498">
        <f t="shared" si="1515"/>
        <v>0</v>
      </c>
      <c r="AV4362" s="498">
        <f t="shared" si="1516"/>
        <v>0</v>
      </c>
      <c r="AW4362" s="498">
        <f t="shared" si="1517"/>
        <v>0</v>
      </c>
      <c r="AX4362" s="498">
        <f t="shared" si="1518"/>
        <v>0</v>
      </c>
      <c r="AY4362" s="498">
        <f t="shared" si="1519"/>
        <v>0</v>
      </c>
      <c r="BB4362" s="498" t="str">
        <f t="shared" si="1520"/>
        <v/>
      </c>
      <c r="BC4362" s="743" t="str">
        <f t="shared" si="1521"/>
        <v/>
      </c>
      <c r="BD4362" s="743" t="str">
        <f t="shared" si="1522"/>
        <v/>
      </c>
      <c r="BE4362" s="743" t="str">
        <f>IF(D4362="","",VLOOKUP(D4362,'General Basis'!$J$39:$K$46,2,0))</f>
        <v/>
      </c>
      <c r="BF4362" s="744" t="str">
        <f>IF(D4362="","",VLOOKUP(D4362,'General Basis'!$J$39:$L$46,3,0))</f>
        <v/>
      </c>
      <c r="BG4362" s="744" t="str">
        <f t="shared" si="1529"/>
        <v/>
      </c>
      <c r="BH4362" s="744" t="str">
        <f>IF(G4362="","",IF(BF4362="Abu Dhabi",IF(G4362&lt;18,'General Basis'!$C$39,IF(G4362&lt;41,'General Basis'!$C$40,IF(G4362&lt;60,'General Basis'!$C$41,IF(G4362&lt;65,'General Basis'!$C$42,'General Basis'!$C$43)))),IF(G4362&lt;11,'General Basis'!$B$39,IF(G4362&lt;18,'General Basis'!$B$40,IF(G4362&lt;26,'General Basis'!$B$41,IF(G4362&lt;31,'General Basis'!$B$42,IF(G4362&lt;36,'General Basis'!$B$43,IF(G4362&lt;41,'General Basis'!$B$44,IF(G4362&lt;46,'General Basis'!$B$45,IF(G4362&lt;51,'General Basis'!$B$46,IF(G4362&lt;56,'General Basis'!$B$47,IF(G4362&lt;60,'General Basis'!$B$48,IF(G4362&lt;65,'General Basis'!$B$49,'General Basis'!$B$50)))))))))))))</f>
        <v/>
      </c>
      <c r="BI4362" s="744" t="str">
        <f t="shared" si="1523"/>
        <v/>
      </c>
      <c r="BJ4362" s="747" t="str">
        <f t="shared" si="1530"/>
        <v/>
      </c>
      <c r="BK4362" s="498" t="str">
        <f t="shared" si="1524"/>
        <v/>
      </c>
      <c r="BL4362" s="498" t="str">
        <f t="shared" si="1525"/>
        <v/>
      </c>
    </row>
    <row r="4363" spans="1:64" x14ac:dyDescent="0.25">
      <c r="A4363" s="762">
        <f t="shared" si="1526"/>
        <v>4358</v>
      </c>
      <c r="B4363" s="229"/>
      <c r="C4363" s="223"/>
      <c r="D4363" s="224"/>
      <c r="E4363" s="225"/>
      <c r="F4363" s="1036" t="str">
        <f t="shared" si="1510"/>
        <v/>
      </c>
      <c r="G4363" s="1037" t="str">
        <f t="shared" si="1527"/>
        <v/>
      </c>
      <c r="H4363" s="225"/>
      <c r="I4363" s="1013"/>
      <c r="J4363" s="1013"/>
      <c r="K4363" s="1028"/>
      <c r="L4363" s="1035" t="str">
        <f t="shared" si="1531"/>
        <v/>
      </c>
      <c r="S4363" s="498"/>
      <c r="AJ4363" s="498"/>
      <c r="AM4363" s="498">
        <f t="shared" si="1512"/>
        <v>0</v>
      </c>
      <c r="AN4363" s="498">
        <f t="shared" si="1513"/>
        <v>0</v>
      </c>
      <c r="AO4363" s="498">
        <f t="shared" si="1514"/>
        <v>0</v>
      </c>
      <c r="AP4363" s="498">
        <f t="shared" si="1511"/>
        <v>0</v>
      </c>
      <c r="AQ4363" s="498">
        <f t="shared" si="1528"/>
        <v>0</v>
      </c>
      <c r="AU4363" s="498">
        <f t="shared" si="1515"/>
        <v>0</v>
      </c>
      <c r="AV4363" s="498">
        <f t="shared" si="1516"/>
        <v>0</v>
      </c>
      <c r="AW4363" s="498">
        <f t="shared" si="1517"/>
        <v>0</v>
      </c>
      <c r="AX4363" s="498">
        <f t="shared" si="1518"/>
        <v>0</v>
      </c>
      <c r="AY4363" s="498">
        <f t="shared" si="1519"/>
        <v>0</v>
      </c>
      <c r="BB4363" s="498" t="str">
        <f t="shared" si="1520"/>
        <v/>
      </c>
      <c r="BC4363" s="743" t="str">
        <f t="shared" si="1521"/>
        <v/>
      </c>
      <c r="BD4363" s="743" t="str">
        <f t="shared" si="1522"/>
        <v/>
      </c>
      <c r="BE4363" s="743" t="str">
        <f>IF(D4363="","",VLOOKUP(D4363,'General Basis'!$J$39:$K$46,2,0))</f>
        <v/>
      </c>
      <c r="BF4363" s="744" t="str">
        <f>IF(D4363="","",VLOOKUP(D4363,'General Basis'!$J$39:$L$46,3,0))</f>
        <v/>
      </c>
      <c r="BG4363" s="744" t="str">
        <f t="shared" si="1529"/>
        <v/>
      </c>
      <c r="BH4363" s="744" t="str">
        <f>IF(G4363="","",IF(BF4363="Abu Dhabi",IF(G4363&lt;18,'General Basis'!$C$39,IF(G4363&lt;41,'General Basis'!$C$40,IF(G4363&lt;60,'General Basis'!$C$41,IF(G4363&lt;65,'General Basis'!$C$42,'General Basis'!$C$43)))),IF(G4363&lt;11,'General Basis'!$B$39,IF(G4363&lt;18,'General Basis'!$B$40,IF(G4363&lt;26,'General Basis'!$B$41,IF(G4363&lt;31,'General Basis'!$B$42,IF(G4363&lt;36,'General Basis'!$B$43,IF(G4363&lt;41,'General Basis'!$B$44,IF(G4363&lt;46,'General Basis'!$B$45,IF(G4363&lt;51,'General Basis'!$B$46,IF(G4363&lt;56,'General Basis'!$B$47,IF(G4363&lt;60,'General Basis'!$B$48,IF(G4363&lt;65,'General Basis'!$B$49,'General Basis'!$B$50)))))))))))))</f>
        <v/>
      </c>
      <c r="BI4363" s="744" t="str">
        <f t="shared" si="1523"/>
        <v/>
      </c>
      <c r="BJ4363" s="747" t="str">
        <f t="shared" si="1530"/>
        <v/>
      </c>
      <c r="BK4363" s="498" t="str">
        <f t="shared" si="1524"/>
        <v/>
      </c>
      <c r="BL4363" s="498" t="str">
        <f t="shared" si="1525"/>
        <v/>
      </c>
    </row>
    <row r="4364" spans="1:64" x14ac:dyDescent="0.25">
      <c r="A4364" s="762">
        <f t="shared" si="1526"/>
        <v>4359</v>
      </c>
      <c r="B4364" s="229"/>
      <c r="C4364" s="223"/>
      <c r="D4364" s="224"/>
      <c r="E4364" s="225"/>
      <c r="F4364" s="1036" t="str">
        <f t="shared" si="1510"/>
        <v/>
      </c>
      <c r="G4364" s="1037" t="str">
        <f t="shared" si="1527"/>
        <v/>
      </c>
      <c r="H4364" s="225"/>
      <c r="I4364" s="1013"/>
      <c r="J4364" s="1013"/>
      <c r="K4364" s="1028"/>
      <c r="L4364" s="1035" t="str">
        <f t="shared" si="1531"/>
        <v/>
      </c>
      <c r="S4364" s="498"/>
      <c r="AJ4364" s="498"/>
      <c r="AM4364" s="498">
        <f t="shared" si="1512"/>
        <v>0</v>
      </c>
      <c r="AN4364" s="498">
        <f t="shared" si="1513"/>
        <v>0</v>
      </c>
      <c r="AO4364" s="498">
        <f t="shared" si="1514"/>
        <v>0</v>
      </c>
      <c r="AP4364" s="498">
        <f t="shared" si="1511"/>
        <v>0</v>
      </c>
      <c r="AQ4364" s="498">
        <f t="shared" si="1528"/>
        <v>0</v>
      </c>
      <c r="AU4364" s="498">
        <f t="shared" si="1515"/>
        <v>0</v>
      </c>
      <c r="AV4364" s="498">
        <f t="shared" si="1516"/>
        <v>0</v>
      </c>
      <c r="AW4364" s="498">
        <f t="shared" si="1517"/>
        <v>0</v>
      </c>
      <c r="AX4364" s="498">
        <f t="shared" si="1518"/>
        <v>0</v>
      </c>
      <c r="AY4364" s="498">
        <f t="shared" si="1519"/>
        <v>0</v>
      </c>
      <c r="BB4364" s="498" t="str">
        <f t="shared" si="1520"/>
        <v/>
      </c>
      <c r="BC4364" s="743" t="str">
        <f t="shared" si="1521"/>
        <v/>
      </c>
      <c r="BD4364" s="743" t="str">
        <f t="shared" si="1522"/>
        <v/>
      </c>
      <c r="BE4364" s="743" t="str">
        <f>IF(D4364="","",VLOOKUP(D4364,'General Basis'!$J$39:$K$46,2,0))</f>
        <v/>
      </c>
      <c r="BF4364" s="744" t="str">
        <f>IF(D4364="","",VLOOKUP(D4364,'General Basis'!$J$39:$L$46,3,0))</f>
        <v/>
      </c>
      <c r="BG4364" s="744" t="str">
        <f t="shared" si="1529"/>
        <v/>
      </c>
      <c r="BH4364" s="744" t="str">
        <f>IF(G4364="","",IF(BF4364="Abu Dhabi",IF(G4364&lt;18,'General Basis'!$C$39,IF(G4364&lt;41,'General Basis'!$C$40,IF(G4364&lt;60,'General Basis'!$C$41,IF(G4364&lt;65,'General Basis'!$C$42,'General Basis'!$C$43)))),IF(G4364&lt;11,'General Basis'!$B$39,IF(G4364&lt;18,'General Basis'!$B$40,IF(G4364&lt;26,'General Basis'!$B$41,IF(G4364&lt;31,'General Basis'!$B$42,IF(G4364&lt;36,'General Basis'!$B$43,IF(G4364&lt;41,'General Basis'!$B$44,IF(G4364&lt;46,'General Basis'!$B$45,IF(G4364&lt;51,'General Basis'!$B$46,IF(G4364&lt;56,'General Basis'!$B$47,IF(G4364&lt;60,'General Basis'!$B$48,IF(G4364&lt;65,'General Basis'!$B$49,'General Basis'!$B$50)))))))))))))</f>
        <v/>
      </c>
      <c r="BI4364" s="744" t="str">
        <f t="shared" si="1523"/>
        <v/>
      </c>
      <c r="BJ4364" s="747" t="str">
        <f t="shared" si="1530"/>
        <v/>
      </c>
      <c r="BK4364" s="498" t="str">
        <f t="shared" si="1524"/>
        <v/>
      </c>
      <c r="BL4364" s="498" t="str">
        <f t="shared" si="1525"/>
        <v/>
      </c>
    </row>
    <row r="4365" spans="1:64" x14ac:dyDescent="0.25">
      <c r="A4365" s="762">
        <f t="shared" si="1526"/>
        <v>4360</v>
      </c>
      <c r="B4365" s="229"/>
      <c r="C4365" s="223"/>
      <c r="D4365" s="224"/>
      <c r="E4365" s="225"/>
      <c r="F4365" s="1036" t="str">
        <f t="shared" si="1510"/>
        <v/>
      </c>
      <c r="G4365" s="1037" t="str">
        <f t="shared" si="1527"/>
        <v/>
      </c>
      <c r="H4365" s="225"/>
      <c r="I4365" s="1013"/>
      <c r="J4365" s="1013"/>
      <c r="K4365" s="1028"/>
      <c r="L4365" s="1035" t="str">
        <f t="shared" si="1531"/>
        <v/>
      </c>
      <c r="S4365" s="498"/>
      <c r="AJ4365" s="498"/>
      <c r="AM4365" s="498">
        <f t="shared" si="1512"/>
        <v>0</v>
      </c>
      <c r="AN4365" s="498">
        <f t="shared" si="1513"/>
        <v>0</v>
      </c>
      <c r="AO4365" s="498">
        <f t="shared" si="1514"/>
        <v>0</v>
      </c>
      <c r="AP4365" s="498">
        <f t="shared" si="1511"/>
        <v>0</v>
      </c>
      <c r="AQ4365" s="498">
        <f t="shared" si="1528"/>
        <v>0</v>
      </c>
      <c r="AU4365" s="498">
        <f t="shared" si="1515"/>
        <v>0</v>
      </c>
      <c r="AV4365" s="498">
        <f t="shared" si="1516"/>
        <v>0</v>
      </c>
      <c r="AW4365" s="498">
        <f t="shared" si="1517"/>
        <v>0</v>
      </c>
      <c r="AX4365" s="498">
        <f t="shared" si="1518"/>
        <v>0</v>
      </c>
      <c r="AY4365" s="498">
        <f t="shared" si="1519"/>
        <v>0</v>
      </c>
      <c r="BB4365" s="498" t="str">
        <f t="shared" si="1520"/>
        <v/>
      </c>
      <c r="BC4365" s="743" t="str">
        <f t="shared" si="1521"/>
        <v/>
      </c>
      <c r="BD4365" s="743" t="str">
        <f t="shared" si="1522"/>
        <v/>
      </c>
      <c r="BE4365" s="743" t="str">
        <f>IF(D4365="","",VLOOKUP(D4365,'General Basis'!$J$39:$K$46,2,0))</f>
        <v/>
      </c>
      <c r="BF4365" s="744" t="str">
        <f>IF(D4365="","",VLOOKUP(D4365,'General Basis'!$J$39:$L$46,3,0))</f>
        <v/>
      </c>
      <c r="BG4365" s="744" t="str">
        <f t="shared" si="1529"/>
        <v/>
      </c>
      <c r="BH4365" s="744" t="str">
        <f>IF(G4365="","",IF(BF4365="Abu Dhabi",IF(G4365&lt;18,'General Basis'!$C$39,IF(G4365&lt;41,'General Basis'!$C$40,IF(G4365&lt;60,'General Basis'!$C$41,IF(G4365&lt;65,'General Basis'!$C$42,'General Basis'!$C$43)))),IF(G4365&lt;11,'General Basis'!$B$39,IF(G4365&lt;18,'General Basis'!$B$40,IF(G4365&lt;26,'General Basis'!$B$41,IF(G4365&lt;31,'General Basis'!$B$42,IF(G4365&lt;36,'General Basis'!$B$43,IF(G4365&lt;41,'General Basis'!$B$44,IF(G4365&lt;46,'General Basis'!$B$45,IF(G4365&lt;51,'General Basis'!$B$46,IF(G4365&lt;56,'General Basis'!$B$47,IF(G4365&lt;60,'General Basis'!$B$48,IF(G4365&lt;65,'General Basis'!$B$49,'General Basis'!$B$50)))))))))))))</f>
        <v/>
      </c>
      <c r="BI4365" s="744" t="str">
        <f t="shared" si="1523"/>
        <v/>
      </c>
      <c r="BJ4365" s="747" t="str">
        <f t="shared" si="1530"/>
        <v/>
      </c>
      <c r="BK4365" s="498" t="str">
        <f t="shared" si="1524"/>
        <v/>
      </c>
      <c r="BL4365" s="498" t="str">
        <f t="shared" si="1525"/>
        <v/>
      </c>
    </row>
    <row r="4366" spans="1:64" x14ac:dyDescent="0.25">
      <c r="A4366" s="762">
        <f t="shared" si="1526"/>
        <v>4361</v>
      </c>
      <c r="B4366" s="229"/>
      <c r="C4366" s="223"/>
      <c r="D4366" s="224"/>
      <c r="E4366" s="225"/>
      <c r="F4366" s="1036" t="str">
        <f t="shared" si="1510"/>
        <v/>
      </c>
      <c r="G4366" s="1037" t="str">
        <f t="shared" si="1527"/>
        <v/>
      </c>
      <c r="H4366" s="225"/>
      <c r="I4366" s="1013"/>
      <c r="J4366" s="1013"/>
      <c r="K4366" s="1028"/>
      <c r="L4366" s="1035" t="str">
        <f t="shared" si="1531"/>
        <v/>
      </c>
      <c r="S4366" s="498"/>
      <c r="AJ4366" s="498"/>
      <c r="AM4366" s="498">
        <f t="shared" si="1512"/>
        <v>0</v>
      </c>
      <c r="AN4366" s="498">
        <f t="shared" si="1513"/>
        <v>0</v>
      </c>
      <c r="AO4366" s="498">
        <f t="shared" si="1514"/>
        <v>0</v>
      </c>
      <c r="AP4366" s="498">
        <f t="shared" si="1511"/>
        <v>0</v>
      </c>
      <c r="AQ4366" s="498">
        <f t="shared" si="1528"/>
        <v>0</v>
      </c>
      <c r="AU4366" s="498">
        <f t="shared" si="1515"/>
        <v>0</v>
      </c>
      <c r="AV4366" s="498">
        <f t="shared" si="1516"/>
        <v>0</v>
      </c>
      <c r="AW4366" s="498">
        <f t="shared" si="1517"/>
        <v>0</v>
      </c>
      <c r="AX4366" s="498">
        <f t="shared" si="1518"/>
        <v>0</v>
      </c>
      <c r="AY4366" s="498">
        <f t="shared" si="1519"/>
        <v>0</v>
      </c>
      <c r="BB4366" s="498" t="str">
        <f t="shared" si="1520"/>
        <v/>
      </c>
      <c r="BC4366" s="743" t="str">
        <f t="shared" si="1521"/>
        <v/>
      </c>
      <c r="BD4366" s="743" t="str">
        <f t="shared" si="1522"/>
        <v/>
      </c>
      <c r="BE4366" s="743" t="str">
        <f>IF(D4366="","",VLOOKUP(D4366,'General Basis'!$J$39:$K$46,2,0))</f>
        <v/>
      </c>
      <c r="BF4366" s="744" t="str">
        <f>IF(D4366="","",VLOOKUP(D4366,'General Basis'!$J$39:$L$46,3,0))</f>
        <v/>
      </c>
      <c r="BG4366" s="744" t="str">
        <f t="shared" si="1529"/>
        <v/>
      </c>
      <c r="BH4366" s="744" t="str">
        <f>IF(G4366="","",IF(BF4366="Abu Dhabi",IF(G4366&lt;18,'General Basis'!$C$39,IF(G4366&lt;41,'General Basis'!$C$40,IF(G4366&lt;60,'General Basis'!$C$41,IF(G4366&lt;65,'General Basis'!$C$42,'General Basis'!$C$43)))),IF(G4366&lt;11,'General Basis'!$B$39,IF(G4366&lt;18,'General Basis'!$B$40,IF(G4366&lt;26,'General Basis'!$B$41,IF(G4366&lt;31,'General Basis'!$B$42,IF(G4366&lt;36,'General Basis'!$B$43,IF(G4366&lt;41,'General Basis'!$B$44,IF(G4366&lt;46,'General Basis'!$B$45,IF(G4366&lt;51,'General Basis'!$B$46,IF(G4366&lt;56,'General Basis'!$B$47,IF(G4366&lt;60,'General Basis'!$B$48,IF(G4366&lt;65,'General Basis'!$B$49,'General Basis'!$B$50)))))))))))))</f>
        <v/>
      </c>
      <c r="BI4366" s="744" t="str">
        <f t="shared" si="1523"/>
        <v/>
      </c>
      <c r="BJ4366" s="747" t="str">
        <f t="shared" si="1530"/>
        <v/>
      </c>
      <c r="BK4366" s="498" t="str">
        <f t="shared" si="1524"/>
        <v/>
      </c>
      <c r="BL4366" s="498" t="str">
        <f t="shared" si="1525"/>
        <v/>
      </c>
    </row>
    <row r="4367" spans="1:64" x14ac:dyDescent="0.25">
      <c r="A4367" s="762">
        <f t="shared" si="1526"/>
        <v>4362</v>
      </c>
      <c r="B4367" s="229"/>
      <c r="C4367" s="223"/>
      <c r="D4367" s="224"/>
      <c r="E4367" s="225"/>
      <c r="F4367" s="1036" t="str">
        <f t="shared" si="1510"/>
        <v/>
      </c>
      <c r="G4367" s="1037" t="str">
        <f t="shared" si="1527"/>
        <v/>
      </c>
      <c r="H4367" s="225"/>
      <c r="I4367" s="1013"/>
      <c r="J4367" s="1013"/>
      <c r="K4367" s="1028"/>
      <c r="L4367" s="1035" t="str">
        <f t="shared" si="1531"/>
        <v/>
      </c>
      <c r="S4367" s="498"/>
      <c r="AJ4367" s="498"/>
      <c r="AM4367" s="498">
        <f t="shared" si="1512"/>
        <v>0</v>
      </c>
      <c r="AN4367" s="498">
        <f t="shared" si="1513"/>
        <v>0</v>
      </c>
      <c r="AO4367" s="498">
        <f t="shared" si="1514"/>
        <v>0</v>
      </c>
      <c r="AP4367" s="498">
        <f t="shared" si="1511"/>
        <v>0</v>
      </c>
      <c r="AQ4367" s="498">
        <f t="shared" si="1528"/>
        <v>0</v>
      </c>
      <c r="AU4367" s="498">
        <f t="shared" si="1515"/>
        <v>0</v>
      </c>
      <c r="AV4367" s="498">
        <f t="shared" si="1516"/>
        <v>0</v>
      </c>
      <c r="AW4367" s="498">
        <f t="shared" si="1517"/>
        <v>0</v>
      </c>
      <c r="AX4367" s="498">
        <f t="shared" si="1518"/>
        <v>0</v>
      </c>
      <c r="AY4367" s="498">
        <f t="shared" si="1519"/>
        <v>0</v>
      </c>
      <c r="BB4367" s="498" t="str">
        <f t="shared" si="1520"/>
        <v/>
      </c>
      <c r="BC4367" s="743" t="str">
        <f t="shared" si="1521"/>
        <v/>
      </c>
      <c r="BD4367" s="743" t="str">
        <f t="shared" si="1522"/>
        <v/>
      </c>
      <c r="BE4367" s="743" t="str">
        <f>IF(D4367="","",VLOOKUP(D4367,'General Basis'!$J$39:$K$46,2,0))</f>
        <v/>
      </c>
      <c r="BF4367" s="744" t="str">
        <f>IF(D4367="","",VLOOKUP(D4367,'General Basis'!$J$39:$L$46,3,0))</f>
        <v/>
      </c>
      <c r="BG4367" s="744" t="str">
        <f t="shared" si="1529"/>
        <v/>
      </c>
      <c r="BH4367" s="744" t="str">
        <f>IF(G4367="","",IF(BF4367="Abu Dhabi",IF(G4367&lt;18,'General Basis'!$C$39,IF(G4367&lt;41,'General Basis'!$C$40,IF(G4367&lt;60,'General Basis'!$C$41,IF(G4367&lt;65,'General Basis'!$C$42,'General Basis'!$C$43)))),IF(G4367&lt;11,'General Basis'!$B$39,IF(G4367&lt;18,'General Basis'!$B$40,IF(G4367&lt;26,'General Basis'!$B$41,IF(G4367&lt;31,'General Basis'!$B$42,IF(G4367&lt;36,'General Basis'!$B$43,IF(G4367&lt;41,'General Basis'!$B$44,IF(G4367&lt;46,'General Basis'!$B$45,IF(G4367&lt;51,'General Basis'!$B$46,IF(G4367&lt;56,'General Basis'!$B$47,IF(G4367&lt;60,'General Basis'!$B$48,IF(G4367&lt;65,'General Basis'!$B$49,'General Basis'!$B$50)))))))))))))</f>
        <v/>
      </c>
      <c r="BI4367" s="744" t="str">
        <f t="shared" si="1523"/>
        <v/>
      </c>
      <c r="BJ4367" s="747" t="str">
        <f t="shared" si="1530"/>
        <v/>
      </c>
      <c r="BK4367" s="498" t="str">
        <f t="shared" si="1524"/>
        <v/>
      </c>
      <c r="BL4367" s="498" t="str">
        <f t="shared" si="1525"/>
        <v/>
      </c>
    </row>
    <row r="4368" spans="1:64" x14ac:dyDescent="0.25">
      <c r="A4368" s="762">
        <f t="shared" si="1526"/>
        <v>4363</v>
      </c>
      <c r="B4368" s="229"/>
      <c r="C4368" s="223"/>
      <c r="D4368" s="224"/>
      <c r="E4368" s="225"/>
      <c r="F4368" s="1036" t="str">
        <f t="shared" ref="F4368:F4431" si="1532">IF(C4368="","",IF($B4368="","",((YEAR($F$3)-YEAR($B4368))+(MONTH($F$3)-MONTH($B4368))/12+(DAY($F$3)-DAY($B4368))/(DATE(YEAR($F$3),12,31)-DATE(YEAR($F$3),1,1)+1))))</f>
        <v/>
      </c>
      <c r="G4368" s="1037" t="str">
        <f t="shared" si="1527"/>
        <v/>
      </c>
      <c r="H4368" s="225"/>
      <c r="I4368" s="1013"/>
      <c r="J4368" s="1013"/>
      <c r="K4368" s="1028"/>
      <c r="L4368" s="1035" t="str">
        <f t="shared" si="1531"/>
        <v/>
      </c>
      <c r="S4368" s="498"/>
      <c r="AJ4368" s="498"/>
      <c r="AM4368" s="498">
        <f t="shared" si="1512"/>
        <v>0</v>
      </c>
      <c r="AN4368" s="498">
        <f t="shared" si="1513"/>
        <v>0</v>
      </c>
      <c r="AO4368" s="498">
        <f t="shared" si="1514"/>
        <v>0</v>
      </c>
      <c r="AP4368" s="498">
        <f t="shared" si="1511"/>
        <v>0</v>
      </c>
      <c r="AQ4368" s="498">
        <f t="shared" si="1528"/>
        <v>0</v>
      </c>
      <c r="AU4368" s="498">
        <f t="shared" si="1515"/>
        <v>0</v>
      </c>
      <c r="AV4368" s="498">
        <f t="shared" si="1516"/>
        <v>0</v>
      </c>
      <c r="AW4368" s="498">
        <f t="shared" si="1517"/>
        <v>0</v>
      </c>
      <c r="AX4368" s="498">
        <f t="shared" si="1518"/>
        <v>0</v>
      </c>
      <c r="AY4368" s="498">
        <f t="shared" si="1519"/>
        <v>0</v>
      </c>
      <c r="BB4368" s="498" t="str">
        <f t="shared" si="1520"/>
        <v/>
      </c>
      <c r="BC4368" s="743" t="str">
        <f t="shared" si="1521"/>
        <v/>
      </c>
      <c r="BD4368" s="743" t="str">
        <f t="shared" si="1522"/>
        <v/>
      </c>
      <c r="BE4368" s="743" t="str">
        <f>IF(D4368="","",VLOOKUP(D4368,'General Basis'!$J$39:$K$46,2,0))</f>
        <v/>
      </c>
      <c r="BF4368" s="744" t="str">
        <f>IF(D4368="","",VLOOKUP(D4368,'General Basis'!$J$39:$L$46,3,0))</f>
        <v/>
      </c>
      <c r="BG4368" s="744" t="str">
        <f t="shared" si="1529"/>
        <v/>
      </c>
      <c r="BH4368" s="744" t="str">
        <f>IF(G4368="","",IF(BF4368="Abu Dhabi",IF(G4368&lt;18,'General Basis'!$C$39,IF(G4368&lt;41,'General Basis'!$C$40,IF(G4368&lt;60,'General Basis'!$C$41,IF(G4368&lt;65,'General Basis'!$C$42,'General Basis'!$C$43)))),IF(G4368&lt;11,'General Basis'!$B$39,IF(G4368&lt;18,'General Basis'!$B$40,IF(G4368&lt;26,'General Basis'!$B$41,IF(G4368&lt;31,'General Basis'!$B$42,IF(G4368&lt;36,'General Basis'!$B$43,IF(G4368&lt;41,'General Basis'!$B$44,IF(G4368&lt;46,'General Basis'!$B$45,IF(G4368&lt;51,'General Basis'!$B$46,IF(G4368&lt;56,'General Basis'!$B$47,IF(G4368&lt;60,'General Basis'!$B$48,IF(G4368&lt;65,'General Basis'!$B$49,'General Basis'!$B$50)))))))))))))</f>
        <v/>
      </c>
      <c r="BI4368" s="744" t="str">
        <f t="shared" si="1523"/>
        <v/>
      </c>
      <c r="BJ4368" s="747" t="str">
        <f t="shared" si="1530"/>
        <v/>
      </c>
      <c r="BK4368" s="498" t="str">
        <f t="shared" si="1524"/>
        <v/>
      </c>
      <c r="BL4368" s="498" t="str">
        <f t="shared" si="1525"/>
        <v/>
      </c>
    </row>
    <row r="4369" spans="1:64" x14ac:dyDescent="0.25">
      <c r="A4369" s="762">
        <f t="shared" si="1526"/>
        <v>4364</v>
      </c>
      <c r="B4369" s="229"/>
      <c r="C4369" s="223"/>
      <c r="D4369" s="224"/>
      <c r="E4369" s="225"/>
      <c r="F4369" s="1036" t="str">
        <f t="shared" si="1532"/>
        <v/>
      </c>
      <c r="G4369" s="1037" t="str">
        <f t="shared" si="1527"/>
        <v/>
      </c>
      <c r="H4369" s="225"/>
      <c r="I4369" s="1013"/>
      <c r="J4369" s="1013"/>
      <c r="K4369" s="1028"/>
      <c r="L4369" s="1035" t="str">
        <f t="shared" si="1531"/>
        <v/>
      </c>
      <c r="S4369" s="498"/>
      <c r="AJ4369" s="498"/>
      <c r="AM4369" s="498">
        <f t="shared" si="1512"/>
        <v>0</v>
      </c>
      <c r="AN4369" s="498">
        <f t="shared" si="1513"/>
        <v>0</v>
      </c>
      <c r="AO4369" s="498">
        <f t="shared" si="1514"/>
        <v>0</v>
      </c>
      <c r="AP4369" s="498">
        <f t="shared" si="1511"/>
        <v>0</v>
      </c>
      <c r="AQ4369" s="498">
        <f t="shared" si="1528"/>
        <v>0</v>
      </c>
      <c r="AU4369" s="498">
        <f t="shared" si="1515"/>
        <v>0</v>
      </c>
      <c r="AV4369" s="498">
        <f t="shared" si="1516"/>
        <v>0</v>
      </c>
      <c r="AW4369" s="498">
        <f t="shared" si="1517"/>
        <v>0</v>
      </c>
      <c r="AX4369" s="498">
        <f t="shared" si="1518"/>
        <v>0</v>
      </c>
      <c r="AY4369" s="498">
        <f t="shared" si="1519"/>
        <v>0</v>
      </c>
      <c r="BB4369" s="498" t="str">
        <f t="shared" si="1520"/>
        <v/>
      </c>
      <c r="BC4369" s="743" t="str">
        <f t="shared" si="1521"/>
        <v/>
      </c>
      <c r="BD4369" s="743" t="str">
        <f t="shared" si="1522"/>
        <v/>
      </c>
      <c r="BE4369" s="743" t="str">
        <f>IF(D4369="","",VLOOKUP(D4369,'General Basis'!$J$39:$K$46,2,0))</f>
        <v/>
      </c>
      <c r="BF4369" s="744" t="str">
        <f>IF(D4369="","",VLOOKUP(D4369,'General Basis'!$J$39:$L$46,3,0))</f>
        <v/>
      </c>
      <c r="BG4369" s="744" t="str">
        <f t="shared" si="1529"/>
        <v/>
      </c>
      <c r="BH4369" s="744" t="str">
        <f>IF(G4369="","",IF(BF4369="Abu Dhabi",IF(G4369&lt;18,'General Basis'!$C$39,IF(G4369&lt;41,'General Basis'!$C$40,IF(G4369&lt;60,'General Basis'!$C$41,IF(G4369&lt;65,'General Basis'!$C$42,'General Basis'!$C$43)))),IF(G4369&lt;11,'General Basis'!$B$39,IF(G4369&lt;18,'General Basis'!$B$40,IF(G4369&lt;26,'General Basis'!$B$41,IF(G4369&lt;31,'General Basis'!$B$42,IF(G4369&lt;36,'General Basis'!$B$43,IF(G4369&lt;41,'General Basis'!$B$44,IF(G4369&lt;46,'General Basis'!$B$45,IF(G4369&lt;51,'General Basis'!$B$46,IF(G4369&lt;56,'General Basis'!$B$47,IF(G4369&lt;60,'General Basis'!$B$48,IF(G4369&lt;65,'General Basis'!$B$49,'General Basis'!$B$50)))))))))))))</f>
        <v/>
      </c>
      <c r="BI4369" s="744" t="str">
        <f t="shared" si="1523"/>
        <v/>
      </c>
      <c r="BJ4369" s="747" t="str">
        <f t="shared" si="1530"/>
        <v/>
      </c>
      <c r="BK4369" s="498" t="str">
        <f t="shared" si="1524"/>
        <v/>
      </c>
      <c r="BL4369" s="498" t="str">
        <f t="shared" si="1525"/>
        <v/>
      </c>
    </row>
    <row r="4370" spans="1:64" x14ac:dyDescent="0.25">
      <c r="A4370" s="762">
        <f t="shared" si="1526"/>
        <v>4365</v>
      </c>
      <c r="B4370" s="229"/>
      <c r="C4370" s="223"/>
      <c r="D4370" s="224"/>
      <c r="E4370" s="225"/>
      <c r="F4370" s="1036" t="str">
        <f t="shared" si="1532"/>
        <v/>
      </c>
      <c r="G4370" s="1037" t="str">
        <f t="shared" si="1527"/>
        <v/>
      </c>
      <c r="H4370" s="225"/>
      <c r="I4370" s="1013"/>
      <c r="J4370" s="1013"/>
      <c r="K4370" s="1028"/>
      <c r="L4370" s="1035" t="str">
        <f t="shared" si="1531"/>
        <v/>
      </c>
      <c r="S4370" s="498"/>
      <c r="AJ4370" s="498"/>
      <c r="AM4370" s="498">
        <f t="shared" si="1512"/>
        <v>0</v>
      </c>
      <c r="AN4370" s="498">
        <f t="shared" si="1513"/>
        <v>0</v>
      </c>
      <c r="AO4370" s="498">
        <f t="shared" si="1514"/>
        <v>0</v>
      </c>
      <c r="AP4370" s="498">
        <f t="shared" si="1511"/>
        <v>0</v>
      </c>
      <c r="AQ4370" s="498">
        <f t="shared" si="1528"/>
        <v>0</v>
      </c>
      <c r="AU4370" s="498">
        <f t="shared" si="1515"/>
        <v>0</v>
      </c>
      <c r="AV4370" s="498">
        <f t="shared" si="1516"/>
        <v>0</v>
      </c>
      <c r="AW4370" s="498">
        <f t="shared" si="1517"/>
        <v>0</v>
      </c>
      <c r="AX4370" s="498">
        <f t="shared" si="1518"/>
        <v>0</v>
      </c>
      <c r="AY4370" s="498">
        <f t="shared" si="1519"/>
        <v>0</v>
      </c>
      <c r="BB4370" s="498" t="str">
        <f t="shared" si="1520"/>
        <v/>
      </c>
      <c r="BC4370" s="743" t="str">
        <f t="shared" si="1521"/>
        <v/>
      </c>
      <c r="BD4370" s="743" t="str">
        <f t="shared" si="1522"/>
        <v/>
      </c>
      <c r="BE4370" s="743" t="str">
        <f>IF(D4370="","",VLOOKUP(D4370,'General Basis'!$J$39:$K$46,2,0))</f>
        <v/>
      </c>
      <c r="BF4370" s="744" t="str">
        <f>IF(D4370="","",VLOOKUP(D4370,'General Basis'!$J$39:$L$46,3,0))</f>
        <v/>
      </c>
      <c r="BG4370" s="744" t="str">
        <f t="shared" si="1529"/>
        <v/>
      </c>
      <c r="BH4370" s="744" t="str">
        <f>IF(G4370="","",IF(BF4370="Abu Dhabi",IF(G4370&lt;18,'General Basis'!$C$39,IF(G4370&lt;41,'General Basis'!$C$40,IF(G4370&lt;60,'General Basis'!$C$41,IF(G4370&lt;65,'General Basis'!$C$42,'General Basis'!$C$43)))),IF(G4370&lt;11,'General Basis'!$B$39,IF(G4370&lt;18,'General Basis'!$B$40,IF(G4370&lt;26,'General Basis'!$B$41,IF(G4370&lt;31,'General Basis'!$B$42,IF(G4370&lt;36,'General Basis'!$B$43,IF(G4370&lt;41,'General Basis'!$B$44,IF(G4370&lt;46,'General Basis'!$B$45,IF(G4370&lt;51,'General Basis'!$B$46,IF(G4370&lt;56,'General Basis'!$B$47,IF(G4370&lt;60,'General Basis'!$B$48,IF(G4370&lt;65,'General Basis'!$B$49,'General Basis'!$B$50)))))))))))))</f>
        <v/>
      </c>
      <c r="BI4370" s="744" t="str">
        <f t="shared" si="1523"/>
        <v/>
      </c>
      <c r="BJ4370" s="747" t="str">
        <f t="shared" si="1530"/>
        <v/>
      </c>
      <c r="BK4370" s="498" t="str">
        <f t="shared" si="1524"/>
        <v/>
      </c>
      <c r="BL4370" s="498" t="str">
        <f t="shared" si="1525"/>
        <v/>
      </c>
    </row>
    <row r="4371" spans="1:64" x14ac:dyDescent="0.25">
      <c r="A4371" s="762">
        <f t="shared" si="1526"/>
        <v>4366</v>
      </c>
      <c r="B4371" s="229"/>
      <c r="C4371" s="223"/>
      <c r="D4371" s="224"/>
      <c r="E4371" s="225"/>
      <c r="F4371" s="1036" t="str">
        <f t="shared" si="1532"/>
        <v/>
      </c>
      <c r="G4371" s="1037" t="str">
        <f t="shared" si="1527"/>
        <v/>
      </c>
      <c r="H4371" s="225"/>
      <c r="I4371" s="1013"/>
      <c r="J4371" s="1013"/>
      <c r="K4371" s="1028"/>
      <c r="L4371" s="1035" t="str">
        <f t="shared" si="1531"/>
        <v/>
      </c>
      <c r="S4371" s="498"/>
      <c r="AJ4371" s="498"/>
      <c r="AM4371" s="498">
        <f t="shared" si="1512"/>
        <v>0</v>
      </c>
      <c r="AN4371" s="498">
        <f t="shared" si="1513"/>
        <v>0</v>
      </c>
      <c r="AO4371" s="498">
        <f t="shared" si="1514"/>
        <v>0</v>
      </c>
      <c r="AP4371" s="498">
        <f t="shared" ref="AP4371:AP4434" si="1533">IF(ISBLANK($B4371),0,IF(OR($C4371="M",$C4371="F"),0,1))</f>
        <v>0</v>
      </c>
      <c r="AQ4371" s="498">
        <f t="shared" si="1528"/>
        <v>0</v>
      </c>
      <c r="AU4371" s="498">
        <f t="shared" si="1515"/>
        <v>0</v>
      </c>
      <c r="AV4371" s="498">
        <f t="shared" si="1516"/>
        <v>0</v>
      </c>
      <c r="AW4371" s="498">
        <f t="shared" si="1517"/>
        <v>0</v>
      </c>
      <c r="AX4371" s="498">
        <f t="shared" si="1518"/>
        <v>0</v>
      </c>
      <c r="AY4371" s="498">
        <f t="shared" si="1519"/>
        <v>0</v>
      </c>
      <c r="BB4371" s="498" t="str">
        <f t="shared" si="1520"/>
        <v/>
      </c>
      <c r="BC4371" s="743" t="str">
        <f t="shared" si="1521"/>
        <v/>
      </c>
      <c r="BD4371" s="743" t="str">
        <f t="shared" si="1522"/>
        <v/>
      </c>
      <c r="BE4371" s="743" t="str">
        <f>IF(D4371="","",VLOOKUP(D4371,'General Basis'!$J$39:$K$46,2,0))</f>
        <v/>
      </c>
      <c r="BF4371" s="744" t="str">
        <f>IF(D4371="","",VLOOKUP(D4371,'General Basis'!$J$39:$L$46,3,0))</f>
        <v/>
      </c>
      <c r="BG4371" s="744" t="str">
        <f t="shared" si="1529"/>
        <v/>
      </c>
      <c r="BH4371" s="744" t="str">
        <f>IF(G4371="","",IF(BF4371="Abu Dhabi",IF(G4371&lt;18,'General Basis'!$C$39,IF(G4371&lt;41,'General Basis'!$C$40,IF(G4371&lt;60,'General Basis'!$C$41,IF(G4371&lt;65,'General Basis'!$C$42,'General Basis'!$C$43)))),IF(G4371&lt;11,'General Basis'!$B$39,IF(G4371&lt;18,'General Basis'!$B$40,IF(G4371&lt;26,'General Basis'!$B$41,IF(G4371&lt;31,'General Basis'!$B$42,IF(G4371&lt;36,'General Basis'!$B$43,IF(G4371&lt;41,'General Basis'!$B$44,IF(G4371&lt;46,'General Basis'!$B$45,IF(G4371&lt;51,'General Basis'!$B$46,IF(G4371&lt;56,'General Basis'!$B$47,IF(G4371&lt;60,'General Basis'!$B$48,IF(G4371&lt;65,'General Basis'!$B$49,'General Basis'!$B$50)))))))))))))</f>
        <v/>
      </c>
      <c r="BI4371" s="744" t="str">
        <f t="shared" si="1523"/>
        <v/>
      </c>
      <c r="BJ4371" s="747" t="str">
        <f t="shared" si="1530"/>
        <v/>
      </c>
      <c r="BK4371" s="498" t="str">
        <f t="shared" si="1524"/>
        <v/>
      </c>
      <c r="BL4371" s="498" t="str">
        <f t="shared" si="1525"/>
        <v/>
      </c>
    </row>
    <row r="4372" spans="1:64" x14ac:dyDescent="0.25">
      <c r="A4372" s="762">
        <f t="shared" si="1526"/>
        <v>4367</v>
      </c>
      <c r="B4372" s="229"/>
      <c r="C4372" s="223"/>
      <c r="D4372" s="224"/>
      <c r="E4372" s="225"/>
      <c r="F4372" s="1036" t="str">
        <f t="shared" si="1532"/>
        <v/>
      </c>
      <c r="G4372" s="1037" t="str">
        <f t="shared" si="1527"/>
        <v/>
      </c>
      <c r="H4372" s="225"/>
      <c r="I4372" s="1013"/>
      <c r="J4372" s="1013"/>
      <c r="K4372" s="1028"/>
      <c r="L4372" s="1035" t="str">
        <f t="shared" si="1531"/>
        <v/>
      </c>
      <c r="S4372" s="498"/>
      <c r="AJ4372" s="498"/>
      <c r="AM4372" s="498">
        <f t="shared" si="1512"/>
        <v>0</v>
      </c>
      <c r="AN4372" s="498">
        <f t="shared" si="1513"/>
        <v>0</v>
      </c>
      <c r="AO4372" s="498">
        <f t="shared" si="1514"/>
        <v>0</v>
      </c>
      <c r="AP4372" s="498">
        <f t="shared" si="1533"/>
        <v>0</v>
      </c>
      <c r="AQ4372" s="498">
        <f t="shared" si="1528"/>
        <v>0</v>
      </c>
      <c r="AU4372" s="498">
        <f t="shared" si="1515"/>
        <v>0</v>
      </c>
      <c r="AV4372" s="498">
        <f t="shared" si="1516"/>
        <v>0</v>
      </c>
      <c r="AW4372" s="498">
        <f t="shared" si="1517"/>
        <v>0</v>
      </c>
      <c r="AX4372" s="498">
        <f t="shared" si="1518"/>
        <v>0</v>
      </c>
      <c r="AY4372" s="498">
        <f t="shared" si="1519"/>
        <v>0</v>
      </c>
      <c r="BB4372" s="498" t="str">
        <f t="shared" si="1520"/>
        <v/>
      </c>
      <c r="BC4372" s="743" t="str">
        <f t="shared" si="1521"/>
        <v/>
      </c>
      <c r="BD4372" s="743" t="str">
        <f t="shared" si="1522"/>
        <v/>
      </c>
      <c r="BE4372" s="743" t="str">
        <f>IF(D4372="","",VLOOKUP(D4372,'General Basis'!$J$39:$K$46,2,0))</f>
        <v/>
      </c>
      <c r="BF4372" s="744" t="str">
        <f>IF(D4372="","",VLOOKUP(D4372,'General Basis'!$J$39:$L$46,3,0))</f>
        <v/>
      </c>
      <c r="BG4372" s="744" t="str">
        <f t="shared" si="1529"/>
        <v/>
      </c>
      <c r="BH4372" s="744" t="str">
        <f>IF(G4372="","",IF(BF4372="Abu Dhabi",IF(G4372&lt;18,'General Basis'!$C$39,IF(G4372&lt;41,'General Basis'!$C$40,IF(G4372&lt;60,'General Basis'!$C$41,IF(G4372&lt;65,'General Basis'!$C$42,'General Basis'!$C$43)))),IF(G4372&lt;11,'General Basis'!$B$39,IF(G4372&lt;18,'General Basis'!$B$40,IF(G4372&lt;26,'General Basis'!$B$41,IF(G4372&lt;31,'General Basis'!$B$42,IF(G4372&lt;36,'General Basis'!$B$43,IF(G4372&lt;41,'General Basis'!$B$44,IF(G4372&lt;46,'General Basis'!$B$45,IF(G4372&lt;51,'General Basis'!$B$46,IF(G4372&lt;56,'General Basis'!$B$47,IF(G4372&lt;60,'General Basis'!$B$48,IF(G4372&lt;65,'General Basis'!$B$49,'General Basis'!$B$50)))))))))))))</f>
        <v/>
      </c>
      <c r="BI4372" s="744" t="str">
        <f t="shared" si="1523"/>
        <v/>
      </c>
      <c r="BJ4372" s="747" t="str">
        <f t="shared" si="1530"/>
        <v/>
      </c>
      <c r="BK4372" s="498" t="str">
        <f t="shared" si="1524"/>
        <v/>
      </c>
      <c r="BL4372" s="498" t="str">
        <f t="shared" si="1525"/>
        <v/>
      </c>
    </row>
    <row r="4373" spans="1:64" x14ac:dyDescent="0.25">
      <c r="A4373" s="762">
        <f t="shared" si="1526"/>
        <v>4368</v>
      </c>
      <c r="B4373" s="229"/>
      <c r="C4373" s="223"/>
      <c r="D4373" s="224"/>
      <c r="E4373" s="225"/>
      <c r="F4373" s="1036" t="str">
        <f t="shared" si="1532"/>
        <v/>
      </c>
      <c r="G4373" s="1037" t="str">
        <f t="shared" si="1527"/>
        <v/>
      </c>
      <c r="H4373" s="225"/>
      <c r="I4373" s="1013"/>
      <c r="J4373" s="1013"/>
      <c r="K4373" s="1028"/>
      <c r="L4373" s="1035" t="str">
        <f t="shared" si="1531"/>
        <v/>
      </c>
      <c r="S4373" s="498"/>
      <c r="AJ4373" s="498"/>
      <c r="AM4373" s="498">
        <f t="shared" si="1512"/>
        <v>0</v>
      </c>
      <c r="AN4373" s="498">
        <f t="shared" si="1513"/>
        <v>0</v>
      </c>
      <c r="AO4373" s="498">
        <f t="shared" si="1514"/>
        <v>0</v>
      </c>
      <c r="AP4373" s="498">
        <f t="shared" si="1533"/>
        <v>0</v>
      </c>
      <c r="AQ4373" s="498">
        <f t="shared" si="1528"/>
        <v>0</v>
      </c>
      <c r="AU4373" s="498">
        <f t="shared" si="1515"/>
        <v>0</v>
      </c>
      <c r="AV4373" s="498">
        <f t="shared" si="1516"/>
        <v>0</v>
      </c>
      <c r="AW4373" s="498">
        <f t="shared" si="1517"/>
        <v>0</v>
      </c>
      <c r="AX4373" s="498">
        <f t="shared" si="1518"/>
        <v>0</v>
      </c>
      <c r="AY4373" s="498">
        <f t="shared" si="1519"/>
        <v>0</v>
      </c>
      <c r="BB4373" s="498" t="str">
        <f t="shared" si="1520"/>
        <v/>
      </c>
      <c r="BC4373" s="743" t="str">
        <f t="shared" si="1521"/>
        <v/>
      </c>
      <c r="BD4373" s="743" t="str">
        <f t="shared" si="1522"/>
        <v/>
      </c>
      <c r="BE4373" s="743" t="str">
        <f>IF(D4373="","",VLOOKUP(D4373,'General Basis'!$J$39:$K$46,2,0))</f>
        <v/>
      </c>
      <c r="BF4373" s="744" t="str">
        <f>IF(D4373="","",VLOOKUP(D4373,'General Basis'!$J$39:$L$46,3,0))</f>
        <v/>
      </c>
      <c r="BG4373" s="744" t="str">
        <f t="shared" si="1529"/>
        <v/>
      </c>
      <c r="BH4373" s="744" t="str">
        <f>IF(G4373="","",IF(BF4373="Abu Dhabi",IF(G4373&lt;18,'General Basis'!$C$39,IF(G4373&lt;41,'General Basis'!$C$40,IF(G4373&lt;60,'General Basis'!$C$41,IF(G4373&lt;65,'General Basis'!$C$42,'General Basis'!$C$43)))),IF(G4373&lt;11,'General Basis'!$B$39,IF(G4373&lt;18,'General Basis'!$B$40,IF(G4373&lt;26,'General Basis'!$B$41,IF(G4373&lt;31,'General Basis'!$B$42,IF(G4373&lt;36,'General Basis'!$B$43,IF(G4373&lt;41,'General Basis'!$B$44,IF(G4373&lt;46,'General Basis'!$B$45,IF(G4373&lt;51,'General Basis'!$B$46,IF(G4373&lt;56,'General Basis'!$B$47,IF(G4373&lt;60,'General Basis'!$B$48,IF(G4373&lt;65,'General Basis'!$B$49,'General Basis'!$B$50)))))))))))))</f>
        <v/>
      </c>
      <c r="BI4373" s="744" t="str">
        <f t="shared" si="1523"/>
        <v/>
      </c>
      <c r="BJ4373" s="747" t="str">
        <f t="shared" si="1530"/>
        <v/>
      </c>
      <c r="BK4373" s="498" t="str">
        <f t="shared" si="1524"/>
        <v/>
      </c>
      <c r="BL4373" s="498" t="str">
        <f t="shared" si="1525"/>
        <v/>
      </c>
    </row>
    <row r="4374" spans="1:64" x14ac:dyDescent="0.25">
      <c r="A4374" s="762">
        <f t="shared" si="1526"/>
        <v>4369</v>
      </c>
      <c r="B4374" s="229"/>
      <c r="C4374" s="223"/>
      <c r="D4374" s="224"/>
      <c r="E4374" s="225"/>
      <c r="F4374" s="1036" t="str">
        <f t="shared" si="1532"/>
        <v/>
      </c>
      <c r="G4374" s="1037" t="str">
        <f t="shared" si="1527"/>
        <v/>
      </c>
      <c r="H4374" s="225"/>
      <c r="I4374" s="1013"/>
      <c r="J4374" s="1013"/>
      <c r="K4374" s="1028"/>
      <c r="L4374" s="1035" t="str">
        <f t="shared" si="1531"/>
        <v/>
      </c>
      <c r="S4374" s="498"/>
      <c r="AJ4374" s="498"/>
      <c r="AM4374" s="498">
        <f t="shared" si="1512"/>
        <v>0</v>
      </c>
      <c r="AN4374" s="498">
        <f t="shared" si="1513"/>
        <v>0</v>
      </c>
      <c r="AO4374" s="498">
        <f t="shared" si="1514"/>
        <v>0</v>
      </c>
      <c r="AP4374" s="498">
        <f t="shared" si="1533"/>
        <v>0</v>
      </c>
      <c r="AQ4374" s="498">
        <f t="shared" si="1528"/>
        <v>0</v>
      </c>
      <c r="AU4374" s="498">
        <f t="shared" si="1515"/>
        <v>0</v>
      </c>
      <c r="AV4374" s="498">
        <f t="shared" si="1516"/>
        <v>0</v>
      </c>
      <c r="AW4374" s="498">
        <f t="shared" si="1517"/>
        <v>0</v>
      </c>
      <c r="AX4374" s="498">
        <f t="shared" si="1518"/>
        <v>0</v>
      </c>
      <c r="AY4374" s="498">
        <f t="shared" si="1519"/>
        <v>0</v>
      </c>
      <c r="BB4374" s="498" t="str">
        <f t="shared" si="1520"/>
        <v/>
      </c>
      <c r="BC4374" s="743" t="str">
        <f t="shared" si="1521"/>
        <v/>
      </c>
      <c r="BD4374" s="743" t="str">
        <f t="shared" si="1522"/>
        <v/>
      </c>
      <c r="BE4374" s="743" t="str">
        <f>IF(D4374="","",VLOOKUP(D4374,'General Basis'!$J$39:$K$46,2,0))</f>
        <v/>
      </c>
      <c r="BF4374" s="744" t="str">
        <f>IF(D4374="","",VLOOKUP(D4374,'General Basis'!$J$39:$L$46,3,0))</f>
        <v/>
      </c>
      <c r="BG4374" s="744" t="str">
        <f t="shared" si="1529"/>
        <v/>
      </c>
      <c r="BH4374" s="744" t="str">
        <f>IF(G4374="","",IF(BF4374="Abu Dhabi",IF(G4374&lt;18,'General Basis'!$C$39,IF(G4374&lt;41,'General Basis'!$C$40,IF(G4374&lt;60,'General Basis'!$C$41,IF(G4374&lt;65,'General Basis'!$C$42,'General Basis'!$C$43)))),IF(G4374&lt;11,'General Basis'!$B$39,IF(G4374&lt;18,'General Basis'!$B$40,IF(G4374&lt;26,'General Basis'!$B$41,IF(G4374&lt;31,'General Basis'!$B$42,IF(G4374&lt;36,'General Basis'!$B$43,IF(G4374&lt;41,'General Basis'!$B$44,IF(G4374&lt;46,'General Basis'!$B$45,IF(G4374&lt;51,'General Basis'!$B$46,IF(G4374&lt;56,'General Basis'!$B$47,IF(G4374&lt;60,'General Basis'!$B$48,IF(G4374&lt;65,'General Basis'!$B$49,'General Basis'!$B$50)))))))))))))</f>
        <v/>
      </c>
      <c r="BI4374" s="744" t="str">
        <f t="shared" si="1523"/>
        <v/>
      </c>
      <c r="BJ4374" s="747" t="str">
        <f t="shared" si="1530"/>
        <v/>
      </c>
      <c r="BK4374" s="498" t="str">
        <f t="shared" si="1524"/>
        <v/>
      </c>
      <c r="BL4374" s="498" t="str">
        <f t="shared" si="1525"/>
        <v/>
      </c>
    </row>
    <row r="4375" spans="1:64" x14ac:dyDescent="0.25">
      <c r="A4375" s="762">
        <f t="shared" si="1526"/>
        <v>4370</v>
      </c>
      <c r="B4375" s="229"/>
      <c r="C4375" s="223"/>
      <c r="D4375" s="224"/>
      <c r="E4375" s="225"/>
      <c r="F4375" s="1036" t="str">
        <f t="shared" si="1532"/>
        <v/>
      </c>
      <c r="G4375" s="1037" t="str">
        <f t="shared" si="1527"/>
        <v/>
      </c>
      <c r="H4375" s="225"/>
      <c r="I4375" s="1013"/>
      <c r="J4375" s="1013"/>
      <c r="K4375" s="1028"/>
      <c r="L4375" s="1035" t="str">
        <f t="shared" si="1531"/>
        <v/>
      </c>
      <c r="S4375" s="498"/>
      <c r="AJ4375" s="498"/>
      <c r="AM4375" s="498">
        <f t="shared" si="1512"/>
        <v>0</v>
      </c>
      <c r="AN4375" s="498">
        <f t="shared" si="1513"/>
        <v>0</v>
      </c>
      <c r="AO4375" s="498">
        <f t="shared" si="1514"/>
        <v>0</v>
      </c>
      <c r="AP4375" s="498">
        <f t="shared" si="1533"/>
        <v>0</v>
      </c>
      <c r="AQ4375" s="498">
        <f t="shared" si="1528"/>
        <v>0</v>
      </c>
      <c r="AU4375" s="498">
        <f t="shared" si="1515"/>
        <v>0</v>
      </c>
      <c r="AV4375" s="498">
        <f t="shared" si="1516"/>
        <v>0</v>
      </c>
      <c r="AW4375" s="498">
        <f t="shared" si="1517"/>
        <v>0</v>
      </c>
      <c r="AX4375" s="498">
        <f t="shared" si="1518"/>
        <v>0</v>
      </c>
      <c r="AY4375" s="498">
        <f t="shared" si="1519"/>
        <v>0</v>
      </c>
      <c r="BB4375" s="498" t="str">
        <f t="shared" si="1520"/>
        <v/>
      </c>
      <c r="BC4375" s="743" t="str">
        <f t="shared" si="1521"/>
        <v/>
      </c>
      <c r="BD4375" s="743" t="str">
        <f t="shared" si="1522"/>
        <v/>
      </c>
      <c r="BE4375" s="743" t="str">
        <f>IF(D4375="","",VLOOKUP(D4375,'General Basis'!$J$39:$K$46,2,0))</f>
        <v/>
      </c>
      <c r="BF4375" s="744" t="str">
        <f>IF(D4375="","",VLOOKUP(D4375,'General Basis'!$J$39:$L$46,3,0))</f>
        <v/>
      </c>
      <c r="BG4375" s="744" t="str">
        <f t="shared" si="1529"/>
        <v/>
      </c>
      <c r="BH4375" s="744" t="str">
        <f>IF(G4375="","",IF(BF4375="Abu Dhabi",IF(G4375&lt;18,'General Basis'!$C$39,IF(G4375&lt;41,'General Basis'!$C$40,IF(G4375&lt;60,'General Basis'!$C$41,IF(G4375&lt;65,'General Basis'!$C$42,'General Basis'!$C$43)))),IF(G4375&lt;11,'General Basis'!$B$39,IF(G4375&lt;18,'General Basis'!$B$40,IF(G4375&lt;26,'General Basis'!$B$41,IF(G4375&lt;31,'General Basis'!$B$42,IF(G4375&lt;36,'General Basis'!$B$43,IF(G4375&lt;41,'General Basis'!$B$44,IF(G4375&lt;46,'General Basis'!$B$45,IF(G4375&lt;51,'General Basis'!$B$46,IF(G4375&lt;56,'General Basis'!$B$47,IF(G4375&lt;60,'General Basis'!$B$48,IF(G4375&lt;65,'General Basis'!$B$49,'General Basis'!$B$50)))))))))))))</f>
        <v/>
      </c>
      <c r="BI4375" s="744" t="str">
        <f t="shared" si="1523"/>
        <v/>
      </c>
      <c r="BJ4375" s="747" t="str">
        <f t="shared" si="1530"/>
        <v/>
      </c>
      <c r="BK4375" s="498" t="str">
        <f t="shared" si="1524"/>
        <v/>
      </c>
      <c r="BL4375" s="498" t="str">
        <f t="shared" si="1525"/>
        <v/>
      </c>
    </row>
    <row r="4376" spans="1:64" x14ac:dyDescent="0.25">
      <c r="A4376" s="762">
        <f t="shared" si="1526"/>
        <v>4371</v>
      </c>
      <c r="B4376" s="229"/>
      <c r="C4376" s="223"/>
      <c r="D4376" s="224"/>
      <c r="E4376" s="225"/>
      <c r="F4376" s="1036" t="str">
        <f t="shared" si="1532"/>
        <v/>
      </c>
      <c r="G4376" s="1037" t="str">
        <f t="shared" si="1527"/>
        <v/>
      </c>
      <c r="H4376" s="225"/>
      <c r="I4376" s="1013"/>
      <c r="J4376" s="1013"/>
      <c r="K4376" s="1028"/>
      <c r="L4376" s="1035" t="str">
        <f t="shared" si="1531"/>
        <v/>
      </c>
      <c r="S4376" s="498"/>
      <c r="AJ4376" s="498"/>
      <c r="AM4376" s="498">
        <f t="shared" si="1512"/>
        <v>0</v>
      </c>
      <c r="AN4376" s="498">
        <f t="shared" si="1513"/>
        <v>0</v>
      </c>
      <c r="AO4376" s="498">
        <f t="shared" si="1514"/>
        <v>0</v>
      </c>
      <c r="AP4376" s="498">
        <f t="shared" si="1533"/>
        <v>0</v>
      </c>
      <c r="AQ4376" s="498">
        <f t="shared" si="1528"/>
        <v>0</v>
      </c>
      <c r="AU4376" s="498">
        <f t="shared" si="1515"/>
        <v>0</v>
      </c>
      <c r="AV4376" s="498">
        <f t="shared" si="1516"/>
        <v>0</v>
      </c>
      <c r="AW4376" s="498">
        <f t="shared" si="1517"/>
        <v>0</v>
      </c>
      <c r="AX4376" s="498">
        <f t="shared" si="1518"/>
        <v>0</v>
      </c>
      <c r="AY4376" s="498">
        <f t="shared" si="1519"/>
        <v>0</v>
      </c>
      <c r="BB4376" s="498" t="str">
        <f t="shared" si="1520"/>
        <v/>
      </c>
      <c r="BC4376" s="743" t="str">
        <f t="shared" si="1521"/>
        <v/>
      </c>
      <c r="BD4376" s="743" t="str">
        <f t="shared" si="1522"/>
        <v/>
      </c>
      <c r="BE4376" s="743" t="str">
        <f>IF(D4376="","",VLOOKUP(D4376,'General Basis'!$J$39:$K$46,2,0))</f>
        <v/>
      </c>
      <c r="BF4376" s="744" t="str">
        <f>IF(D4376="","",VLOOKUP(D4376,'General Basis'!$J$39:$L$46,3,0))</f>
        <v/>
      </c>
      <c r="BG4376" s="744" t="str">
        <f t="shared" si="1529"/>
        <v/>
      </c>
      <c r="BH4376" s="744" t="str">
        <f>IF(G4376="","",IF(BF4376="Abu Dhabi",IF(G4376&lt;18,'General Basis'!$C$39,IF(G4376&lt;41,'General Basis'!$C$40,IF(G4376&lt;60,'General Basis'!$C$41,IF(G4376&lt;65,'General Basis'!$C$42,'General Basis'!$C$43)))),IF(G4376&lt;11,'General Basis'!$B$39,IF(G4376&lt;18,'General Basis'!$B$40,IF(G4376&lt;26,'General Basis'!$B$41,IF(G4376&lt;31,'General Basis'!$B$42,IF(G4376&lt;36,'General Basis'!$B$43,IF(G4376&lt;41,'General Basis'!$B$44,IF(G4376&lt;46,'General Basis'!$B$45,IF(G4376&lt;51,'General Basis'!$B$46,IF(G4376&lt;56,'General Basis'!$B$47,IF(G4376&lt;60,'General Basis'!$B$48,IF(G4376&lt;65,'General Basis'!$B$49,'General Basis'!$B$50)))))))))))))</f>
        <v/>
      </c>
      <c r="BI4376" s="744" t="str">
        <f t="shared" si="1523"/>
        <v/>
      </c>
      <c r="BJ4376" s="747" t="str">
        <f t="shared" si="1530"/>
        <v/>
      </c>
      <c r="BK4376" s="498" t="str">
        <f t="shared" si="1524"/>
        <v/>
      </c>
      <c r="BL4376" s="498" t="str">
        <f t="shared" si="1525"/>
        <v/>
      </c>
    </row>
    <row r="4377" spans="1:64" x14ac:dyDescent="0.25">
      <c r="A4377" s="762">
        <f t="shared" si="1526"/>
        <v>4372</v>
      </c>
      <c r="B4377" s="229"/>
      <c r="C4377" s="223"/>
      <c r="D4377" s="224"/>
      <c r="E4377" s="225"/>
      <c r="F4377" s="1036" t="str">
        <f t="shared" si="1532"/>
        <v/>
      </c>
      <c r="G4377" s="1037" t="str">
        <f t="shared" si="1527"/>
        <v/>
      </c>
      <c r="H4377" s="225"/>
      <c r="I4377" s="1013"/>
      <c r="J4377" s="1013"/>
      <c r="K4377" s="1028"/>
      <c r="L4377" s="1035" t="str">
        <f t="shared" si="1531"/>
        <v/>
      </c>
      <c r="S4377" s="498"/>
      <c r="AJ4377" s="498"/>
      <c r="AM4377" s="498">
        <f t="shared" si="1512"/>
        <v>0</v>
      </c>
      <c r="AN4377" s="498">
        <f t="shared" si="1513"/>
        <v>0</v>
      </c>
      <c r="AO4377" s="498">
        <f t="shared" si="1514"/>
        <v>0</v>
      </c>
      <c r="AP4377" s="498">
        <f t="shared" si="1533"/>
        <v>0</v>
      </c>
      <c r="AQ4377" s="498">
        <f t="shared" si="1528"/>
        <v>0</v>
      </c>
      <c r="AU4377" s="498">
        <f t="shared" si="1515"/>
        <v>0</v>
      </c>
      <c r="AV4377" s="498">
        <f t="shared" si="1516"/>
        <v>0</v>
      </c>
      <c r="AW4377" s="498">
        <f t="shared" si="1517"/>
        <v>0</v>
      </c>
      <c r="AX4377" s="498">
        <f t="shared" si="1518"/>
        <v>0</v>
      </c>
      <c r="AY4377" s="498">
        <f t="shared" si="1519"/>
        <v>0</v>
      </c>
      <c r="BB4377" s="498" t="str">
        <f t="shared" si="1520"/>
        <v/>
      </c>
      <c r="BC4377" s="743" t="str">
        <f t="shared" si="1521"/>
        <v/>
      </c>
      <c r="BD4377" s="743" t="str">
        <f t="shared" si="1522"/>
        <v/>
      </c>
      <c r="BE4377" s="743" t="str">
        <f>IF(D4377="","",VLOOKUP(D4377,'General Basis'!$J$39:$K$46,2,0))</f>
        <v/>
      </c>
      <c r="BF4377" s="744" t="str">
        <f>IF(D4377="","",VLOOKUP(D4377,'General Basis'!$J$39:$L$46,3,0))</f>
        <v/>
      </c>
      <c r="BG4377" s="744" t="str">
        <f t="shared" si="1529"/>
        <v/>
      </c>
      <c r="BH4377" s="744" t="str">
        <f>IF(G4377="","",IF(BF4377="Abu Dhabi",IF(G4377&lt;18,'General Basis'!$C$39,IF(G4377&lt;41,'General Basis'!$C$40,IF(G4377&lt;60,'General Basis'!$C$41,IF(G4377&lt;65,'General Basis'!$C$42,'General Basis'!$C$43)))),IF(G4377&lt;11,'General Basis'!$B$39,IF(G4377&lt;18,'General Basis'!$B$40,IF(G4377&lt;26,'General Basis'!$B$41,IF(G4377&lt;31,'General Basis'!$B$42,IF(G4377&lt;36,'General Basis'!$B$43,IF(G4377&lt;41,'General Basis'!$B$44,IF(G4377&lt;46,'General Basis'!$B$45,IF(G4377&lt;51,'General Basis'!$B$46,IF(G4377&lt;56,'General Basis'!$B$47,IF(G4377&lt;60,'General Basis'!$B$48,IF(G4377&lt;65,'General Basis'!$B$49,'General Basis'!$B$50)))))))))))))</f>
        <v/>
      </c>
      <c r="BI4377" s="744" t="str">
        <f t="shared" si="1523"/>
        <v/>
      </c>
      <c r="BJ4377" s="747" t="str">
        <f t="shared" si="1530"/>
        <v/>
      </c>
      <c r="BK4377" s="498" t="str">
        <f t="shared" si="1524"/>
        <v/>
      </c>
      <c r="BL4377" s="498" t="str">
        <f t="shared" si="1525"/>
        <v/>
      </c>
    </row>
    <row r="4378" spans="1:64" x14ac:dyDescent="0.25">
      <c r="A4378" s="762">
        <f t="shared" si="1526"/>
        <v>4373</v>
      </c>
      <c r="B4378" s="229"/>
      <c r="C4378" s="223"/>
      <c r="D4378" s="224"/>
      <c r="E4378" s="225"/>
      <c r="F4378" s="1036" t="str">
        <f t="shared" si="1532"/>
        <v/>
      </c>
      <c r="G4378" s="1037" t="str">
        <f t="shared" si="1527"/>
        <v/>
      </c>
      <c r="H4378" s="225"/>
      <c r="I4378" s="1013"/>
      <c r="J4378" s="1013"/>
      <c r="K4378" s="1028"/>
      <c r="L4378" s="1035" t="str">
        <f t="shared" si="1531"/>
        <v/>
      </c>
      <c r="S4378" s="498"/>
      <c r="AJ4378" s="498"/>
      <c r="AM4378" s="498">
        <f t="shared" si="1512"/>
        <v>0</v>
      </c>
      <c r="AN4378" s="498">
        <f t="shared" si="1513"/>
        <v>0</v>
      </c>
      <c r="AO4378" s="498">
        <f t="shared" si="1514"/>
        <v>0</v>
      </c>
      <c r="AP4378" s="498">
        <f t="shared" si="1533"/>
        <v>0</v>
      </c>
      <c r="AQ4378" s="498">
        <f t="shared" si="1528"/>
        <v>0</v>
      </c>
      <c r="AU4378" s="498">
        <f t="shared" si="1515"/>
        <v>0</v>
      </c>
      <c r="AV4378" s="498">
        <f t="shared" si="1516"/>
        <v>0</v>
      </c>
      <c r="AW4378" s="498">
        <f t="shared" si="1517"/>
        <v>0</v>
      </c>
      <c r="AX4378" s="498">
        <f t="shared" si="1518"/>
        <v>0</v>
      </c>
      <c r="AY4378" s="498">
        <f t="shared" si="1519"/>
        <v>0</v>
      </c>
      <c r="BB4378" s="498" t="str">
        <f t="shared" si="1520"/>
        <v/>
      </c>
      <c r="BC4378" s="743" t="str">
        <f t="shared" si="1521"/>
        <v/>
      </c>
      <c r="BD4378" s="743" t="str">
        <f t="shared" si="1522"/>
        <v/>
      </c>
      <c r="BE4378" s="743" t="str">
        <f>IF(D4378="","",VLOOKUP(D4378,'General Basis'!$J$39:$K$46,2,0))</f>
        <v/>
      </c>
      <c r="BF4378" s="744" t="str">
        <f>IF(D4378="","",VLOOKUP(D4378,'General Basis'!$J$39:$L$46,3,0))</f>
        <v/>
      </c>
      <c r="BG4378" s="744" t="str">
        <f t="shared" si="1529"/>
        <v/>
      </c>
      <c r="BH4378" s="744" t="str">
        <f>IF(G4378="","",IF(BF4378="Abu Dhabi",IF(G4378&lt;18,'General Basis'!$C$39,IF(G4378&lt;41,'General Basis'!$C$40,IF(G4378&lt;60,'General Basis'!$C$41,IF(G4378&lt;65,'General Basis'!$C$42,'General Basis'!$C$43)))),IF(G4378&lt;11,'General Basis'!$B$39,IF(G4378&lt;18,'General Basis'!$B$40,IF(G4378&lt;26,'General Basis'!$B$41,IF(G4378&lt;31,'General Basis'!$B$42,IF(G4378&lt;36,'General Basis'!$B$43,IF(G4378&lt;41,'General Basis'!$B$44,IF(G4378&lt;46,'General Basis'!$B$45,IF(G4378&lt;51,'General Basis'!$B$46,IF(G4378&lt;56,'General Basis'!$B$47,IF(G4378&lt;60,'General Basis'!$B$48,IF(G4378&lt;65,'General Basis'!$B$49,'General Basis'!$B$50)))))))))))))</f>
        <v/>
      </c>
      <c r="BI4378" s="744" t="str">
        <f t="shared" si="1523"/>
        <v/>
      </c>
      <c r="BJ4378" s="747" t="str">
        <f t="shared" si="1530"/>
        <v/>
      </c>
      <c r="BK4378" s="498" t="str">
        <f t="shared" si="1524"/>
        <v/>
      </c>
      <c r="BL4378" s="498" t="str">
        <f t="shared" si="1525"/>
        <v/>
      </c>
    </row>
    <row r="4379" spans="1:64" x14ac:dyDescent="0.25">
      <c r="A4379" s="762">
        <f t="shared" si="1526"/>
        <v>4374</v>
      </c>
      <c r="B4379" s="229"/>
      <c r="C4379" s="223"/>
      <c r="D4379" s="224"/>
      <c r="E4379" s="225"/>
      <c r="F4379" s="1036" t="str">
        <f t="shared" si="1532"/>
        <v/>
      </c>
      <c r="G4379" s="1037" t="str">
        <f t="shared" si="1527"/>
        <v/>
      </c>
      <c r="H4379" s="225"/>
      <c r="I4379" s="1013"/>
      <c r="J4379" s="1013"/>
      <c r="K4379" s="1028"/>
      <c r="L4379" s="1035" t="str">
        <f t="shared" si="1531"/>
        <v/>
      </c>
      <c r="S4379" s="498"/>
      <c r="AJ4379" s="498"/>
      <c r="AM4379" s="498">
        <f t="shared" si="1512"/>
        <v>0</v>
      </c>
      <c r="AN4379" s="498">
        <f t="shared" si="1513"/>
        <v>0</v>
      </c>
      <c r="AO4379" s="498">
        <f t="shared" si="1514"/>
        <v>0</v>
      </c>
      <c r="AP4379" s="498">
        <f t="shared" si="1533"/>
        <v>0</v>
      </c>
      <c r="AQ4379" s="498">
        <f t="shared" si="1528"/>
        <v>0</v>
      </c>
      <c r="AU4379" s="498">
        <f t="shared" si="1515"/>
        <v>0</v>
      </c>
      <c r="AV4379" s="498">
        <f t="shared" si="1516"/>
        <v>0</v>
      </c>
      <c r="AW4379" s="498">
        <f t="shared" si="1517"/>
        <v>0</v>
      </c>
      <c r="AX4379" s="498">
        <f t="shared" si="1518"/>
        <v>0</v>
      </c>
      <c r="AY4379" s="498">
        <f t="shared" si="1519"/>
        <v>0</v>
      </c>
      <c r="BB4379" s="498" t="str">
        <f t="shared" si="1520"/>
        <v/>
      </c>
      <c r="BC4379" s="743" t="str">
        <f t="shared" si="1521"/>
        <v/>
      </c>
      <c r="BD4379" s="743" t="str">
        <f t="shared" si="1522"/>
        <v/>
      </c>
      <c r="BE4379" s="743" t="str">
        <f>IF(D4379="","",VLOOKUP(D4379,'General Basis'!$J$39:$K$46,2,0))</f>
        <v/>
      </c>
      <c r="BF4379" s="744" t="str">
        <f>IF(D4379="","",VLOOKUP(D4379,'General Basis'!$J$39:$L$46,3,0))</f>
        <v/>
      </c>
      <c r="BG4379" s="744" t="str">
        <f t="shared" si="1529"/>
        <v/>
      </c>
      <c r="BH4379" s="744" t="str">
        <f>IF(G4379="","",IF(BF4379="Abu Dhabi",IF(G4379&lt;18,'General Basis'!$C$39,IF(G4379&lt;41,'General Basis'!$C$40,IF(G4379&lt;60,'General Basis'!$C$41,IF(G4379&lt;65,'General Basis'!$C$42,'General Basis'!$C$43)))),IF(G4379&lt;11,'General Basis'!$B$39,IF(G4379&lt;18,'General Basis'!$B$40,IF(G4379&lt;26,'General Basis'!$B$41,IF(G4379&lt;31,'General Basis'!$B$42,IF(G4379&lt;36,'General Basis'!$B$43,IF(G4379&lt;41,'General Basis'!$B$44,IF(G4379&lt;46,'General Basis'!$B$45,IF(G4379&lt;51,'General Basis'!$B$46,IF(G4379&lt;56,'General Basis'!$B$47,IF(G4379&lt;60,'General Basis'!$B$48,IF(G4379&lt;65,'General Basis'!$B$49,'General Basis'!$B$50)))))))))))))</f>
        <v/>
      </c>
      <c r="BI4379" s="744" t="str">
        <f t="shared" si="1523"/>
        <v/>
      </c>
      <c r="BJ4379" s="747" t="str">
        <f t="shared" si="1530"/>
        <v/>
      </c>
      <c r="BK4379" s="498" t="str">
        <f t="shared" si="1524"/>
        <v/>
      </c>
      <c r="BL4379" s="498" t="str">
        <f t="shared" si="1525"/>
        <v/>
      </c>
    </row>
    <row r="4380" spans="1:64" x14ac:dyDescent="0.25">
      <c r="A4380" s="762">
        <f t="shared" si="1526"/>
        <v>4375</v>
      </c>
      <c r="B4380" s="229"/>
      <c r="C4380" s="223"/>
      <c r="D4380" s="224"/>
      <c r="E4380" s="225"/>
      <c r="F4380" s="1036" t="str">
        <f t="shared" si="1532"/>
        <v/>
      </c>
      <c r="G4380" s="1037" t="str">
        <f t="shared" si="1527"/>
        <v/>
      </c>
      <c r="H4380" s="225"/>
      <c r="I4380" s="1013"/>
      <c r="J4380" s="1013"/>
      <c r="K4380" s="1028"/>
      <c r="L4380" s="1035" t="str">
        <f t="shared" si="1531"/>
        <v/>
      </c>
      <c r="S4380" s="498"/>
      <c r="AJ4380" s="498"/>
      <c r="AM4380" s="498">
        <f t="shared" si="1512"/>
        <v>0</v>
      </c>
      <c r="AN4380" s="498">
        <f t="shared" si="1513"/>
        <v>0</v>
      </c>
      <c r="AO4380" s="498">
        <f t="shared" si="1514"/>
        <v>0</v>
      </c>
      <c r="AP4380" s="498">
        <f t="shared" si="1533"/>
        <v>0</v>
      </c>
      <c r="AQ4380" s="498">
        <f t="shared" si="1528"/>
        <v>0</v>
      </c>
      <c r="AU4380" s="498">
        <f t="shared" si="1515"/>
        <v>0</v>
      </c>
      <c r="AV4380" s="498">
        <f t="shared" si="1516"/>
        <v>0</v>
      </c>
      <c r="AW4380" s="498">
        <f t="shared" si="1517"/>
        <v>0</v>
      </c>
      <c r="AX4380" s="498">
        <f t="shared" si="1518"/>
        <v>0</v>
      </c>
      <c r="AY4380" s="498">
        <f t="shared" si="1519"/>
        <v>0</v>
      </c>
      <c r="BB4380" s="498" t="str">
        <f t="shared" si="1520"/>
        <v/>
      </c>
      <c r="BC4380" s="743" t="str">
        <f t="shared" si="1521"/>
        <v/>
      </c>
      <c r="BD4380" s="743" t="str">
        <f t="shared" si="1522"/>
        <v/>
      </c>
      <c r="BE4380" s="743" t="str">
        <f>IF(D4380="","",VLOOKUP(D4380,'General Basis'!$J$39:$K$46,2,0))</f>
        <v/>
      </c>
      <c r="BF4380" s="744" t="str">
        <f>IF(D4380="","",VLOOKUP(D4380,'General Basis'!$J$39:$L$46,3,0))</f>
        <v/>
      </c>
      <c r="BG4380" s="744" t="str">
        <f t="shared" si="1529"/>
        <v/>
      </c>
      <c r="BH4380" s="744" t="str">
        <f>IF(G4380="","",IF(BF4380="Abu Dhabi",IF(G4380&lt;18,'General Basis'!$C$39,IF(G4380&lt;41,'General Basis'!$C$40,IF(G4380&lt;60,'General Basis'!$C$41,IF(G4380&lt;65,'General Basis'!$C$42,'General Basis'!$C$43)))),IF(G4380&lt;11,'General Basis'!$B$39,IF(G4380&lt;18,'General Basis'!$B$40,IF(G4380&lt;26,'General Basis'!$B$41,IF(G4380&lt;31,'General Basis'!$B$42,IF(G4380&lt;36,'General Basis'!$B$43,IF(G4380&lt;41,'General Basis'!$B$44,IF(G4380&lt;46,'General Basis'!$B$45,IF(G4380&lt;51,'General Basis'!$B$46,IF(G4380&lt;56,'General Basis'!$B$47,IF(G4380&lt;60,'General Basis'!$B$48,IF(G4380&lt;65,'General Basis'!$B$49,'General Basis'!$B$50)))))))))))))</f>
        <v/>
      </c>
      <c r="BI4380" s="744" t="str">
        <f t="shared" si="1523"/>
        <v/>
      </c>
      <c r="BJ4380" s="747" t="str">
        <f t="shared" si="1530"/>
        <v/>
      </c>
      <c r="BK4380" s="498" t="str">
        <f t="shared" si="1524"/>
        <v/>
      </c>
      <c r="BL4380" s="498" t="str">
        <f t="shared" si="1525"/>
        <v/>
      </c>
    </row>
    <row r="4381" spans="1:64" x14ac:dyDescent="0.25">
      <c r="A4381" s="762">
        <f t="shared" si="1526"/>
        <v>4376</v>
      </c>
      <c r="B4381" s="229"/>
      <c r="C4381" s="223"/>
      <c r="D4381" s="224"/>
      <c r="E4381" s="225"/>
      <c r="F4381" s="1036" t="str">
        <f t="shared" si="1532"/>
        <v/>
      </c>
      <c r="G4381" s="1037" t="str">
        <f t="shared" si="1527"/>
        <v/>
      </c>
      <c r="H4381" s="225"/>
      <c r="I4381" s="1013"/>
      <c r="J4381" s="1013"/>
      <c r="K4381" s="1028"/>
      <c r="L4381" s="1035" t="str">
        <f t="shared" si="1531"/>
        <v/>
      </c>
      <c r="S4381" s="498"/>
      <c r="AJ4381" s="498"/>
      <c r="AM4381" s="498">
        <f t="shared" si="1512"/>
        <v>0</v>
      </c>
      <c r="AN4381" s="498">
        <f t="shared" si="1513"/>
        <v>0</v>
      </c>
      <c r="AO4381" s="498">
        <f t="shared" si="1514"/>
        <v>0</v>
      </c>
      <c r="AP4381" s="498">
        <f t="shared" si="1533"/>
        <v>0</v>
      </c>
      <c r="AQ4381" s="498">
        <f t="shared" si="1528"/>
        <v>0</v>
      </c>
      <c r="AU4381" s="498">
        <f t="shared" si="1515"/>
        <v>0</v>
      </c>
      <c r="AV4381" s="498">
        <f t="shared" si="1516"/>
        <v>0</v>
      </c>
      <c r="AW4381" s="498">
        <f t="shared" si="1517"/>
        <v>0</v>
      </c>
      <c r="AX4381" s="498">
        <f t="shared" si="1518"/>
        <v>0</v>
      </c>
      <c r="AY4381" s="498">
        <f t="shared" si="1519"/>
        <v>0</v>
      </c>
      <c r="BB4381" s="498" t="str">
        <f t="shared" si="1520"/>
        <v/>
      </c>
      <c r="BC4381" s="743" t="str">
        <f t="shared" si="1521"/>
        <v/>
      </c>
      <c r="BD4381" s="743" t="str">
        <f t="shared" si="1522"/>
        <v/>
      </c>
      <c r="BE4381" s="743" t="str">
        <f>IF(D4381="","",VLOOKUP(D4381,'General Basis'!$J$39:$K$46,2,0))</f>
        <v/>
      </c>
      <c r="BF4381" s="744" t="str">
        <f>IF(D4381="","",VLOOKUP(D4381,'General Basis'!$J$39:$L$46,3,0))</f>
        <v/>
      </c>
      <c r="BG4381" s="744" t="str">
        <f t="shared" si="1529"/>
        <v/>
      </c>
      <c r="BH4381" s="744" t="str">
        <f>IF(G4381="","",IF(BF4381="Abu Dhabi",IF(G4381&lt;18,'General Basis'!$C$39,IF(G4381&lt;41,'General Basis'!$C$40,IF(G4381&lt;60,'General Basis'!$C$41,IF(G4381&lt;65,'General Basis'!$C$42,'General Basis'!$C$43)))),IF(G4381&lt;11,'General Basis'!$B$39,IF(G4381&lt;18,'General Basis'!$B$40,IF(G4381&lt;26,'General Basis'!$B$41,IF(G4381&lt;31,'General Basis'!$B$42,IF(G4381&lt;36,'General Basis'!$B$43,IF(G4381&lt;41,'General Basis'!$B$44,IF(G4381&lt;46,'General Basis'!$B$45,IF(G4381&lt;51,'General Basis'!$B$46,IF(G4381&lt;56,'General Basis'!$B$47,IF(G4381&lt;60,'General Basis'!$B$48,IF(G4381&lt;65,'General Basis'!$B$49,'General Basis'!$B$50)))))))))))))</f>
        <v/>
      </c>
      <c r="BI4381" s="744" t="str">
        <f t="shared" si="1523"/>
        <v/>
      </c>
      <c r="BJ4381" s="747" t="str">
        <f t="shared" si="1530"/>
        <v/>
      </c>
      <c r="BK4381" s="498" t="str">
        <f t="shared" si="1524"/>
        <v/>
      </c>
      <c r="BL4381" s="498" t="str">
        <f t="shared" si="1525"/>
        <v/>
      </c>
    </row>
    <row r="4382" spans="1:64" x14ac:dyDescent="0.25">
      <c r="A4382" s="762">
        <f t="shared" si="1526"/>
        <v>4377</v>
      </c>
      <c r="B4382" s="229"/>
      <c r="C4382" s="223"/>
      <c r="D4382" s="224"/>
      <c r="E4382" s="225"/>
      <c r="F4382" s="1036" t="str">
        <f t="shared" si="1532"/>
        <v/>
      </c>
      <c r="G4382" s="1037" t="str">
        <f t="shared" si="1527"/>
        <v/>
      </c>
      <c r="H4382" s="225"/>
      <c r="I4382" s="1013"/>
      <c r="J4382" s="1013"/>
      <c r="K4382" s="1028"/>
      <c r="L4382" s="1035" t="str">
        <f t="shared" si="1531"/>
        <v/>
      </c>
      <c r="S4382" s="498"/>
      <c r="AJ4382" s="498"/>
      <c r="AM4382" s="498">
        <f t="shared" si="1512"/>
        <v>0</v>
      </c>
      <c r="AN4382" s="498">
        <f t="shared" si="1513"/>
        <v>0</v>
      </c>
      <c r="AO4382" s="498">
        <f t="shared" si="1514"/>
        <v>0</v>
      </c>
      <c r="AP4382" s="498">
        <f t="shared" si="1533"/>
        <v>0</v>
      </c>
      <c r="AQ4382" s="498">
        <f t="shared" si="1528"/>
        <v>0</v>
      </c>
      <c r="AU4382" s="498">
        <f t="shared" si="1515"/>
        <v>0</v>
      </c>
      <c r="AV4382" s="498">
        <f t="shared" si="1516"/>
        <v>0</v>
      </c>
      <c r="AW4382" s="498">
        <f t="shared" si="1517"/>
        <v>0</v>
      </c>
      <c r="AX4382" s="498">
        <f t="shared" si="1518"/>
        <v>0</v>
      </c>
      <c r="AY4382" s="498">
        <f t="shared" si="1519"/>
        <v>0</v>
      </c>
      <c r="BB4382" s="498" t="str">
        <f t="shared" si="1520"/>
        <v/>
      </c>
      <c r="BC4382" s="743" t="str">
        <f t="shared" si="1521"/>
        <v/>
      </c>
      <c r="BD4382" s="743" t="str">
        <f t="shared" si="1522"/>
        <v/>
      </c>
      <c r="BE4382" s="743" t="str">
        <f>IF(D4382="","",VLOOKUP(D4382,'General Basis'!$J$39:$K$46,2,0))</f>
        <v/>
      </c>
      <c r="BF4382" s="744" t="str">
        <f>IF(D4382="","",VLOOKUP(D4382,'General Basis'!$J$39:$L$46,3,0))</f>
        <v/>
      </c>
      <c r="BG4382" s="744" t="str">
        <f t="shared" si="1529"/>
        <v/>
      </c>
      <c r="BH4382" s="744" t="str">
        <f>IF(G4382="","",IF(BF4382="Abu Dhabi",IF(G4382&lt;18,'General Basis'!$C$39,IF(G4382&lt;41,'General Basis'!$C$40,IF(G4382&lt;60,'General Basis'!$C$41,IF(G4382&lt;65,'General Basis'!$C$42,'General Basis'!$C$43)))),IF(G4382&lt;11,'General Basis'!$B$39,IF(G4382&lt;18,'General Basis'!$B$40,IF(G4382&lt;26,'General Basis'!$B$41,IF(G4382&lt;31,'General Basis'!$B$42,IF(G4382&lt;36,'General Basis'!$B$43,IF(G4382&lt;41,'General Basis'!$B$44,IF(G4382&lt;46,'General Basis'!$B$45,IF(G4382&lt;51,'General Basis'!$B$46,IF(G4382&lt;56,'General Basis'!$B$47,IF(G4382&lt;60,'General Basis'!$B$48,IF(G4382&lt;65,'General Basis'!$B$49,'General Basis'!$B$50)))))))))))))</f>
        <v/>
      </c>
      <c r="BI4382" s="744" t="str">
        <f t="shared" si="1523"/>
        <v/>
      </c>
      <c r="BJ4382" s="747" t="str">
        <f t="shared" si="1530"/>
        <v/>
      </c>
      <c r="BK4382" s="498" t="str">
        <f t="shared" si="1524"/>
        <v/>
      </c>
      <c r="BL4382" s="498" t="str">
        <f t="shared" si="1525"/>
        <v/>
      </c>
    </row>
    <row r="4383" spans="1:64" x14ac:dyDescent="0.25">
      <c r="A4383" s="762">
        <f t="shared" si="1526"/>
        <v>4378</v>
      </c>
      <c r="B4383" s="229"/>
      <c r="C4383" s="223"/>
      <c r="D4383" s="224"/>
      <c r="E4383" s="225"/>
      <c r="F4383" s="1036" t="str">
        <f t="shared" si="1532"/>
        <v/>
      </c>
      <c r="G4383" s="1037" t="str">
        <f t="shared" si="1527"/>
        <v/>
      </c>
      <c r="H4383" s="225"/>
      <c r="I4383" s="1013"/>
      <c r="J4383" s="1013"/>
      <c r="K4383" s="1028"/>
      <c r="L4383" s="1035" t="str">
        <f t="shared" si="1531"/>
        <v/>
      </c>
      <c r="S4383" s="498"/>
      <c r="AJ4383" s="498"/>
      <c r="AM4383" s="498">
        <f t="shared" si="1512"/>
        <v>0</v>
      </c>
      <c r="AN4383" s="498">
        <f t="shared" si="1513"/>
        <v>0</v>
      </c>
      <c r="AO4383" s="498">
        <f t="shared" si="1514"/>
        <v>0</v>
      </c>
      <c r="AP4383" s="498">
        <f t="shared" si="1533"/>
        <v>0</v>
      </c>
      <c r="AQ4383" s="498">
        <f t="shared" si="1528"/>
        <v>0</v>
      </c>
      <c r="AU4383" s="498">
        <f t="shared" si="1515"/>
        <v>0</v>
      </c>
      <c r="AV4383" s="498">
        <f t="shared" si="1516"/>
        <v>0</v>
      </c>
      <c r="AW4383" s="498">
        <f t="shared" si="1517"/>
        <v>0</v>
      </c>
      <c r="AX4383" s="498">
        <f t="shared" si="1518"/>
        <v>0</v>
      </c>
      <c r="AY4383" s="498">
        <f t="shared" si="1519"/>
        <v>0</v>
      </c>
      <c r="BB4383" s="498" t="str">
        <f t="shared" si="1520"/>
        <v/>
      </c>
      <c r="BC4383" s="743" t="str">
        <f t="shared" si="1521"/>
        <v/>
      </c>
      <c r="BD4383" s="743" t="str">
        <f t="shared" si="1522"/>
        <v/>
      </c>
      <c r="BE4383" s="743" t="str">
        <f>IF(D4383="","",VLOOKUP(D4383,'General Basis'!$J$39:$K$46,2,0))</f>
        <v/>
      </c>
      <c r="BF4383" s="744" t="str">
        <f>IF(D4383="","",VLOOKUP(D4383,'General Basis'!$J$39:$L$46,3,0))</f>
        <v/>
      </c>
      <c r="BG4383" s="744" t="str">
        <f t="shared" si="1529"/>
        <v/>
      </c>
      <c r="BH4383" s="744" t="str">
        <f>IF(G4383="","",IF(BF4383="Abu Dhabi",IF(G4383&lt;18,'General Basis'!$C$39,IF(G4383&lt;41,'General Basis'!$C$40,IF(G4383&lt;60,'General Basis'!$C$41,IF(G4383&lt;65,'General Basis'!$C$42,'General Basis'!$C$43)))),IF(G4383&lt;11,'General Basis'!$B$39,IF(G4383&lt;18,'General Basis'!$B$40,IF(G4383&lt;26,'General Basis'!$B$41,IF(G4383&lt;31,'General Basis'!$B$42,IF(G4383&lt;36,'General Basis'!$B$43,IF(G4383&lt;41,'General Basis'!$B$44,IF(G4383&lt;46,'General Basis'!$B$45,IF(G4383&lt;51,'General Basis'!$B$46,IF(G4383&lt;56,'General Basis'!$B$47,IF(G4383&lt;60,'General Basis'!$B$48,IF(G4383&lt;65,'General Basis'!$B$49,'General Basis'!$B$50)))))))))))))</f>
        <v/>
      </c>
      <c r="BI4383" s="744" t="str">
        <f t="shared" si="1523"/>
        <v/>
      </c>
      <c r="BJ4383" s="747" t="str">
        <f t="shared" si="1530"/>
        <v/>
      </c>
      <c r="BK4383" s="498" t="str">
        <f t="shared" si="1524"/>
        <v/>
      </c>
      <c r="BL4383" s="498" t="str">
        <f t="shared" si="1525"/>
        <v/>
      </c>
    </row>
    <row r="4384" spans="1:64" x14ac:dyDescent="0.25">
      <c r="A4384" s="762">
        <f t="shared" si="1526"/>
        <v>4379</v>
      </c>
      <c r="B4384" s="229"/>
      <c r="C4384" s="223"/>
      <c r="D4384" s="224"/>
      <c r="E4384" s="225"/>
      <c r="F4384" s="1036" t="str">
        <f t="shared" si="1532"/>
        <v/>
      </c>
      <c r="G4384" s="1037" t="str">
        <f t="shared" si="1527"/>
        <v/>
      </c>
      <c r="H4384" s="225"/>
      <c r="I4384" s="1013"/>
      <c r="J4384" s="1013"/>
      <c r="K4384" s="1028"/>
      <c r="L4384" s="1035" t="str">
        <f t="shared" si="1531"/>
        <v/>
      </c>
      <c r="S4384" s="498"/>
      <c r="AJ4384" s="498"/>
      <c r="AM4384" s="498">
        <f t="shared" si="1512"/>
        <v>0</v>
      </c>
      <c r="AN4384" s="498">
        <f t="shared" si="1513"/>
        <v>0</v>
      </c>
      <c r="AO4384" s="498">
        <f t="shared" si="1514"/>
        <v>0</v>
      </c>
      <c r="AP4384" s="498">
        <f t="shared" si="1533"/>
        <v>0</v>
      </c>
      <c r="AQ4384" s="498">
        <f t="shared" si="1528"/>
        <v>0</v>
      </c>
      <c r="AU4384" s="498">
        <f t="shared" si="1515"/>
        <v>0</v>
      </c>
      <c r="AV4384" s="498">
        <f t="shared" si="1516"/>
        <v>0</v>
      </c>
      <c r="AW4384" s="498">
        <f t="shared" si="1517"/>
        <v>0</v>
      </c>
      <c r="AX4384" s="498">
        <f t="shared" si="1518"/>
        <v>0</v>
      </c>
      <c r="AY4384" s="498">
        <f t="shared" si="1519"/>
        <v>0</v>
      </c>
      <c r="BB4384" s="498" t="str">
        <f t="shared" si="1520"/>
        <v/>
      </c>
      <c r="BC4384" s="743" t="str">
        <f t="shared" si="1521"/>
        <v/>
      </c>
      <c r="BD4384" s="743" t="str">
        <f t="shared" si="1522"/>
        <v/>
      </c>
      <c r="BE4384" s="743" t="str">
        <f>IF(D4384="","",VLOOKUP(D4384,'General Basis'!$J$39:$K$46,2,0))</f>
        <v/>
      </c>
      <c r="BF4384" s="744" t="str">
        <f>IF(D4384="","",VLOOKUP(D4384,'General Basis'!$J$39:$L$46,3,0))</f>
        <v/>
      </c>
      <c r="BG4384" s="744" t="str">
        <f t="shared" si="1529"/>
        <v/>
      </c>
      <c r="BH4384" s="744" t="str">
        <f>IF(G4384="","",IF(BF4384="Abu Dhabi",IF(G4384&lt;18,'General Basis'!$C$39,IF(G4384&lt;41,'General Basis'!$C$40,IF(G4384&lt;60,'General Basis'!$C$41,IF(G4384&lt;65,'General Basis'!$C$42,'General Basis'!$C$43)))),IF(G4384&lt;11,'General Basis'!$B$39,IF(G4384&lt;18,'General Basis'!$B$40,IF(G4384&lt;26,'General Basis'!$B$41,IF(G4384&lt;31,'General Basis'!$B$42,IF(G4384&lt;36,'General Basis'!$B$43,IF(G4384&lt;41,'General Basis'!$B$44,IF(G4384&lt;46,'General Basis'!$B$45,IF(G4384&lt;51,'General Basis'!$B$46,IF(G4384&lt;56,'General Basis'!$B$47,IF(G4384&lt;60,'General Basis'!$B$48,IF(G4384&lt;65,'General Basis'!$B$49,'General Basis'!$B$50)))))))))))))</f>
        <v/>
      </c>
      <c r="BI4384" s="744" t="str">
        <f t="shared" si="1523"/>
        <v/>
      </c>
      <c r="BJ4384" s="747" t="str">
        <f t="shared" si="1530"/>
        <v/>
      </c>
      <c r="BK4384" s="498" t="str">
        <f t="shared" si="1524"/>
        <v/>
      </c>
      <c r="BL4384" s="498" t="str">
        <f t="shared" si="1525"/>
        <v/>
      </c>
    </row>
    <row r="4385" spans="1:64" x14ac:dyDescent="0.25">
      <c r="A4385" s="762">
        <f t="shared" si="1526"/>
        <v>4380</v>
      </c>
      <c r="B4385" s="229"/>
      <c r="C4385" s="223"/>
      <c r="D4385" s="224"/>
      <c r="E4385" s="225"/>
      <c r="F4385" s="1036" t="str">
        <f t="shared" si="1532"/>
        <v/>
      </c>
      <c r="G4385" s="1037" t="str">
        <f t="shared" si="1527"/>
        <v/>
      </c>
      <c r="H4385" s="225"/>
      <c r="I4385" s="1013"/>
      <c r="J4385" s="1013"/>
      <c r="K4385" s="1028"/>
      <c r="L4385" s="1035" t="str">
        <f t="shared" si="1531"/>
        <v/>
      </c>
      <c r="S4385" s="498"/>
      <c r="AJ4385" s="498"/>
      <c r="AM4385" s="498">
        <f t="shared" si="1512"/>
        <v>0</v>
      </c>
      <c r="AN4385" s="498">
        <f t="shared" si="1513"/>
        <v>0</v>
      </c>
      <c r="AO4385" s="498">
        <f t="shared" si="1514"/>
        <v>0</v>
      </c>
      <c r="AP4385" s="498">
        <f t="shared" si="1533"/>
        <v>0</v>
      </c>
      <c r="AQ4385" s="498">
        <f t="shared" si="1528"/>
        <v>0</v>
      </c>
      <c r="AU4385" s="498">
        <f t="shared" si="1515"/>
        <v>0</v>
      </c>
      <c r="AV4385" s="498">
        <f t="shared" si="1516"/>
        <v>0</v>
      </c>
      <c r="AW4385" s="498">
        <f t="shared" si="1517"/>
        <v>0</v>
      </c>
      <c r="AX4385" s="498">
        <f t="shared" si="1518"/>
        <v>0</v>
      </c>
      <c r="AY4385" s="498">
        <f t="shared" si="1519"/>
        <v>0</v>
      </c>
      <c r="BB4385" s="498" t="str">
        <f t="shared" si="1520"/>
        <v/>
      </c>
      <c r="BC4385" s="743" t="str">
        <f t="shared" si="1521"/>
        <v/>
      </c>
      <c r="BD4385" s="743" t="str">
        <f t="shared" si="1522"/>
        <v/>
      </c>
      <c r="BE4385" s="743" t="str">
        <f>IF(D4385="","",VLOOKUP(D4385,'General Basis'!$J$39:$K$46,2,0))</f>
        <v/>
      </c>
      <c r="BF4385" s="744" t="str">
        <f>IF(D4385="","",VLOOKUP(D4385,'General Basis'!$J$39:$L$46,3,0))</f>
        <v/>
      </c>
      <c r="BG4385" s="744" t="str">
        <f t="shared" si="1529"/>
        <v/>
      </c>
      <c r="BH4385" s="744" t="str">
        <f>IF(G4385="","",IF(BF4385="Abu Dhabi",IF(G4385&lt;18,'General Basis'!$C$39,IF(G4385&lt;41,'General Basis'!$C$40,IF(G4385&lt;60,'General Basis'!$C$41,IF(G4385&lt;65,'General Basis'!$C$42,'General Basis'!$C$43)))),IF(G4385&lt;11,'General Basis'!$B$39,IF(G4385&lt;18,'General Basis'!$B$40,IF(G4385&lt;26,'General Basis'!$B$41,IF(G4385&lt;31,'General Basis'!$B$42,IF(G4385&lt;36,'General Basis'!$B$43,IF(G4385&lt;41,'General Basis'!$B$44,IF(G4385&lt;46,'General Basis'!$B$45,IF(G4385&lt;51,'General Basis'!$B$46,IF(G4385&lt;56,'General Basis'!$B$47,IF(G4385&lt;60,'General Basis'!$B$48,IF(G4385&lt;65,'General Basis'!$B$49,'General Basis'!$B$50)))))))))))))</f>
        <v/>
      </c>
      <c r="BI4385" s="744" t="str">
        <f t="shared" si="1523"/>
        <v/>
      </c>
      <c r="BJ4385" s="747" t="str">
        <f t="shared" si="1530"/>
        <v/>
      </c>
      <c r="BK4385" s="498" t="str">
        <f t="shared" si="1524"/>
        <v/>
      </c>
      <c r="BL4385" s="498" t="str">
        <f t="shared" si="1525"/>
        <v/>
      </c>
    </row>
    <row r="4386" spans="1:64" x14ac:dyDescent="0.25">
      <c r="A4386" s="762">
        <f t="shared" si="1526"/>
        <v>4381</v>
      </c>
      <c r="B4386" s="229"/>
      <c r="C4386" s="223"/>
      <c r="D4386" s="224"/>
      <c r="E4386" s="225"/>
      <c r="F4386" s="1036" t="str">
        <f t="shared" si="1532"/>
        <v/>
      </c>
      <c r="G4386" s="1037" t="str">
        <f t="shared" si="1527"/>
        <v/>
      </c>
      <c r="H4386" s="225"/>
      <c r="I4386" s="1013"/>
      <c r="J4386" s="1013"/>
      <c r="K4386" s="1028"/>
      <c r="L4386" s="1035" t="str">
        <f t="shared" si="1531"/>
        <v/>
      </c>
      <c r="S4386" s="498"/>
      <c r="AJ4386" s="498"/>
      <c r="AM4386" s="498">
        <f t="shared" si="1512"/>
        <v>0</v>
      </c>
      <c r="AN4386" s="498">
        <f t="shared" si="1513"/>
        <v>0</v>
      </c>
      <c r="AO4386" s="498">
        <f t="shared" si="1514"/>
        <v>0</v>
      </c>
      <c r="AP4386" s="498">
        <f t="shared" si="1533"/>
        <v>0</v>
      </c>
      <c r="AQ4386" s="498">
        <f t="shared" si="1528"/>
        <v>0</v>
      </c>
      <c r="AU4386" s="498">
        <f t="shared" si="1515"/>
        <v>0</v>
      </c>
      <c r="AV4386" s="498">
        <f t="shared" si="1516"/>
        <v>0</v>
      </c>
      <c r="AW4386" s="498">
        <f t="shared" si="1517"/>
        <v>0</v>
      </c>
      <c r="AX4386" s="498">
        <f t="shared" si="1518"/>
        <v>0</v>
      </c>
      <c r="AY4386" s="498">
        <f t="shared" si="1519"/>
        <v>0</v>
      </c>
      <c r="BB4386" s="498" t="str">
        <f t="shared" si="1520"/>
        <v/>
      </c>
      <c r="BC4386" s="743" t="str">
        <f t="shared" si="1521"/>
        <v/>
      </c>
      <c r="BD4386" s="743" t="str">
        <f t="shared" si="1522"/>
        <v/>
      </c>
      <c r="BE4386" s="743" t="str">
        <f>IF(D4386="","",VLOOKUP(D4386,'General Basis'!$J$39:$K$46,2,0))</f>
        <v/>
      </c>
      <c r="BF4386" s="744" t="str">
        <f>IF(D4386="","",VLOOKUP(D4386,'General Basis'!$J$39:$L$46,3,0))</f>
        <v/>
      </c>
      <c r="BG4386" s="744" t="str">
        <f t="shared" si="1529"/>
        <v/>
      </c>
      <c r="BH4386" s="744" t="str">
        <f>IF(G4386="","",IF(BF4386="Abu Dhabi",IF(G4386&lt;18,'General Basis'!$C$39,IF(G4386&lt;41,'General Basis'!$C$40,IF(G4386&lt;60,'General Basis'!$C$41,IF(G4386&lt;65,'General Basis'!$C$42,'General Basis'!$C$43)))),IF(G4386&lt;11,'General Basis'!$B$39,IF(G4386&lt;18,'General Basis'!$B$40,IF(G4386&lt;26,'General Basis'!$B$41,IF(G4386&lt;31,'General Basis'!$B$42,IF(G4386&lt;36,'General Basis'!$B$43,IF(G4386&lt;41,'General Basis'!$B$44,IF(G4386&lt;46,'General Basis'!$B$45,IF(G4386&lt;51,'General Basis'!$B$46,IF(G4386&lt;56,'General Basis'!$B$47,IF(G4386&lt;60,'General Basis'!$B$48,IF(G4386&lt;65,'General Basis'!$B$49,'General Basis'!$B$50)))))))))))))</f>
        <v/>
      </c>
      <c r="BI4386" s="744" t="str">
        <f t="shared" si="1523"/>
        <v/>
      </c>
      <c r="BJ4386" s="747" t="str">
        <f t="shared" si="1530"/>
        <v/>
      </c>
      <c r="BK4386" s="498" t="str">
        <f t="shared" si="1524"/>
        <v/>
      </c>
      <c r="BL4386" s="498" t="str">
        <f t="shared" si="1525"/>
        <v/>
      </c>
    </row>
    <row r="4387" spans="1:64" x14ac:dyDescent="0.25">
      <c r="A4387" s="762">
        <f t="shared" si="1526"/>
        <v>4382</v>
      </c>
      <c r="B4387" s="229"/>
      <c r="C4387" s="223"/>
      <c r="D4387" s="224"/>
      <c r="E4387" s="225"/>
      <c r="F4387" s="1036" t="str">
        <f t="shared" si="1532"/>
        <v/>
      </c>
      <c r="G4387" s="1037" t="str">
        <f t="shared" si="1527"/>
        <v/>
      </c>
      <c r="H4387" s="225"/>
      <c r="I4387" s="1013"/>
      <c r="J4387" s="1013"/>
      <c r="K4387" s="1028"/>
      <c r="L4387" s="1035" t="str">
        <f t="shared" si="1531"/>
        <v/>
      </c>
      <c r="S4387" s="498"/>
      <c r="AJ4387" s="498"/>
      <c r="AM4387" s="498">
        <f t="shared" si="1512"/>
        <v>0</v>
      </c>
      <c r="AN4387" s="498">
        <f t="shared" si="1513"/>
        <v>0</v>
      </c>
      <c r="AO4387" s="498">
        <f t="shared" si="1514"/>
        <v>0</v>
      </c>
      <c r="AP4387" s="498">
        <f t="shared" si="1533"/>
        <v>0</v>
      </c>
      <c r="AQ4387" s="498">
        <f t="shared" si="1528"/>
        <v>0</v>
      </c>
      <c r="AU4387" s="498">
        <f t="shared" si="1515"/>
        <v>0</v>
      </c>
      <c r="AV4387" s="498">
        <f t="shared" si="1516"/>
        <v>0</v>
      </c>
      <c r="AW4387" s="498">
        <f t="shared" si="1517"/>
        <v>0</v>
      </c>
      <c r="AX4387" s="498">
        <f t="shared" si="1518"/>
        <v>0</v>
      </c>
      <c r="AY4387" s="498">
        <f t="shared" si="1519"/>
        <v>0</v>
      </c>
      <c r="BB4387" s="498" t="str">
        <f t="shared" si="1520"/>
        <v/>
      </c>
      <c r="BC4387" s="743" t="str">
        <f t="shared" si="1521"/>
        <v/>
      </c>
      <c r="BD4387" s="743" t="str">
        <f t="shared" si="1522"/>
        <v/>
      </c>
      <c r="BE4387" s="743" t="str">
        <f>IF(D4387="","",VLOOKUP(D4387,'General Basis'!$J$39:$K$46,2,0))</f>
        <v/>
      </c>
      <c r="BF4387" s="744" t="str">
        <f>IF(D4387="","",VLOOKUP(D4387,'General Basis'!$J$39:$L$46,3,0))</f>
        <v/>
      </c>
      <c r="BG4387" s="744" t="str">
        <f t="shared" si="1529"/>
        <v/>
      </c>
      <c r="BH4387" s="744" t="str">
        <f>IF(G4387="","",IF(BF4387="Abu Dhabi",IF(G4387&lt;18,'General Basis'!$C$39,IF(G4387&lt;41,'General Basis'!$C$40,IF(G4387&lt;60,'General Basis'!$C$41,IF(G4387&lt;65,'General Basis'!$C$42,'General Basis'!$C$43)))),IF(G4387&lt;11,'General Basis'!$B$39,IF(G4387&lt;18,'General Basis'!$B$40,IF(G4387&lt;26,'General Basis'!$B$41,IF(G4387&lt;31,'General Basis'!$B$42,IF(G4387&lt;36,'General Basis'!$B$43,IF(G4387&lt;41,'General Basis'!$B$44,IF(G4387&lt;46,'General Basis'!$B$45,IF(G4387&lt;51,'General Basis'!$B$46,IF(G4387&lt;56,'General Basis'!$B$47,IF(G4387&lt;60,'General Basis'!$B$48,IF(G4387&lt;65,'General Basis'!$B$49,'General Basis'!$B$50)))))))))))))</f>
        <v/>
      </c>
      <c r="BI4387" s="744" t="str">
        <f t="shared" si="1523"/>
        <v/>
      </c>
      <c r="BJ4387" s="747" t="str">
        <f t="shared" si="1530"/>
        <v/>
      </c>
      <c r="BK4387" s="498" t="str">
        <f t="shared" si="1524"/>
        <v/>
      </c>
      <c r="BL4387" s="498" t="str">
        <f t="shared" si="1525"/>
        <v/>
      </c>
    </row>
    <row r="4388" spans="1:64" x14ac:dyDescent="0.25">
      <c r="A4388" s="762">
        <f t="shared" si="1526"/>
        <v>4383</v>
      </c>
      <c r="B4388" s="229"/>
      <c r="C4388" s="223"/>
      <c r="D4388" s="224"/>
      <c r="E4388" s="225"/>
      <c r="F4388" s="1036" t="str">
        <f t="shared" si="1532"/>
        <v/>
      </c>
      <c r="G4388" s="1037" t="str">
        <f t="shared" si="1527"/>
        <v/>
      </c>
      <c r="H4388" s="225"/>
      <c r="I4388" s="1013"/>
      <c r="J4388" s="1013"/>
      <c r="K4388" s="1028"/>
      <c r="L4388" s="1035" t="str">
        <f t="shared" si="1531"/>
        <v/>
      </c>
      <c r="S4388" s="498"/>
      <c r="AJ4388" s="498"/>
      <c r="AM4388" s="498">
        <f t="shared" si="1512"/>
        <v>0</v>
      </c>
      <c r="AN4388" s="498">
        <f t="shared" si="1513"/>
        <v>0</v>
      </c>
      <c r="AO4388" s="498">
        <f t="shared" si="1514"/>
        <v>0</v>
      </c>
      <c r="AP4388" s="498">
        <f t="shared" si="1533"/>
        <v>0</v>
      </c>
      <c r="AQ4388" s="498">
        <f t="shared" si="1528"/>
        <v>0</v>
      </c>
      <c r="AU4388" s="498">
        <f t="shared" si="1515"/>
        <v>0</v>
      </c>
      <c r="AV4388" s="498">
        <f t="shared" si="1516"/>
        <v>0</v>
      </c>
      <c r="AW4388" s="498">
        <f t="shared" si="1517"/>
        <v>0</v>
      </c>
      <c r="AX4388" s="498">
        <f t="shared" si="1518"/>
        <v>0</v>
      </c>
      <c r="AY4388" s="498">
        <f t="shared" si="1519"/>
        <v>0</v>
      </c>
      <c r="BB4388" s="498" t="str">
        <f t="shared" si="1520"/>
        <v/>
      </c>
      <c r="BC4388" s="743" t="str">
        <f t="shared" si="1521"/>
        <v/>
      </c>
      <c r="BD4388" s="743" t="str">
        <f t="shared" si="1522"/>
        <v/>
      </c>
      <c r="BE4388" s="743" t="str">
        <f>IF(D4388="","",VLOOKUP(D4388,'General Basis'!$J$39:$K$46,2,0))</f>
        <v/>
      </c>
      <c r="BF4388" s="744" t="str">
        <f>IF(D4388="","",VLOOKUP(D4388,'General Basis'!$J$39:$L$46,3,0))</f>
        <v/>
      </c>
      <c r="BG4388" s="744" t="str">
        <f t="shared" si="1529"/>
        <v/>
      </c>
      <c r="BH4388" s="744" t="str">
        <f>IF(G4388="","",IF(BF4388="Abu Dhabi",IF(G4388&lt;18,'General Basis'!$C$39,IF(G4388&lt;41,'General Basis'!$C$40,IF(G4388&lt;60,'General Basis'!$C$41,IF(G4388&lt;65,'General Basis'!$C$42,'General Basis'!$C$43)))),IF(G4388&lt;11,'General Basis'!$B$39,IF(G4388&lt;18,'General Basis'!$B$40,IF(G4388&lt;26,'General Basis'!$B$41,IF(G4388&lt;31,'General Basis'!$B$42,IF(G4388&lt;36,'General Basis'!$B$43,IF(G4388&lt;41,'General Basis'!$B$44,IF(G4388&lt;46,'General Basis'!$B$45,IF(G4388&lt;51,'General Basis'!$B$46,IF(G4388&lt;56,'General Basis'!$B$47,IF(G4388&lt;60,'General Basis'!$B$48,IF(G4388&lt;65,'General Basis'!$B$49,'General Basis'!$B$50)))))))))))))</f>
        <v/>
      </c>
      <c r="BI4388" s="744" t="str">
        <f t="shared" si="1523"/>
        <v/>
      </c>
      <c r="BJ4388" s="747" t="str">
        <f t="shared" si="1530"/>
        <v/>
      </c>
      <c r="BK4388" s="498" t="str">
        <f t="shared" si="1524"/>
        <v/>
      </c>
      <c r="BL4388" s="498" t="str">
        <f t="shared" si="1525"/>
        <v/>
      </c>
    </row>
    <row r="4389" spans="1:64" x14ac:dyDescent="0.25">
      <c r="A4389" s="762">
        <f t="shared" si="1526"/>
        <v>4384</v>
      </c>
      <c r="B4389" s="229"/>
      <c r="C4389" s="223"/>
      <c r="D4389" s="224"/>
      <c r="E4389" s="225"/>
      <c r="F4389" s="1036" t="str">
        <f t="shared" si="1532"/>
        <v/>
      </c>
      <c r="G4389" s="1037" t="str">
        <f t="shared" si="1527"/>
        <v/>
      </c>
      <c r="H4389" s="225"/>
      <c r="I4389" s="1013"/>
      <c r="J4389" s="1013"/>
      <c r="K4389" s="1028"/>
      <c r="L4389" s="1035" t="str">
        <f t="shared" si="1531"/>
        <v/>
      </c>
      <c r="S4389" s="498"/>
      <c r="AJ4389" s="498"/>
      <c r="AM4389" s="498">
        <f t="shared" si="1512"/>
        <v>0</v>
      </c>
      <c r="AN4389" s="498">
        <f t="shared" si="1513"/>
        <v>0</v>
      </c>
      <c r="AO4389" s="498">
        <f t="shared" si="1514"/>
        <v>0</v>
      </c>
      <c r="AP4389" s="498">
        <f t="shared" si="1533"/>
        <v>0</v>
      </c>
      <c r="AQ4389" s="498">
        <f t="shared" si="1528"/>
        <v>0</v>
      </c>
      <c r="AU4389" s="498">
        <f t="shared" si="1515"/>
        <v>0</v>
      </c>
      <c r="AV4389" s="498">
        <f t="shared" si="1516"/>
        <v>0</v>
      </c>
      <c r="AW4389" s="498">
        <f t="shared" si="1517"/>
        <v>0</v>
      </c>
      <c r="AX4389" s="498">
        <f t="shared" si="1518"/>
        <v>0</v>
      </c>
      <c r="AY4389" s="498">
        <f t="shared" si="1519"/>
        <v>0</v>
      </c>
      <c r="BB4389" s="498" t="str">
        <f t="shared" si="1520"/>
        <v/>
      </c>
      <c r="BC4389" s="743" t="str">
        <f t="shared" si="1521"/>
        <v/>
      </c>
      <c r="BD4389" s="743" t="str">
        <f t="shared" si="1522"/>
        <v/>
      </c>
      <c r="BE4389" s="743" t="str">
        <f>IF(D4389="","",VLOOKUP(D4389,'General Basis'!$J$39:$K$46,2,0))</f>
        <v/>
      </c>
      <c r="BF4389" s="744" t="str">
        <f>IF(D4389="","",VLOOKUP(D4389,'General Basis'!$J$39:$L$46,3,0))</f>
        <v/>
      </c>
      <c r="BG4389" s="744" t="str">
        <f t="shared" si="1529"/>
        <v/>
      </c>
      <c r="BH4389" s="744" t="str">
        <f>IF(G4389="","",IF(BF4389="Abu Dhabi",IF(G4389&lt;18,'General Basis'!$C$39,IF(G4389&lt;41,'General Basis'!$C$40,IF(G4389&lt;60,'General Basis'!$C$41,IF(G4389&lt;65,'General Basis'!$C$42,'General Basis'!$C$43)))),IF(G4389&lt;11,'General Basis'!$B$39,IF(G4389&lt;18,'General Basis'!$B$40,IF(G4389&lt;26,'General Basis'!$B$41,IF(G4389&lt;31,'General Basis'!$B$42,IF(G4389&lt;36,'General Basis'!$B$43,IF(G4389&lt;41,'General Basis'!$B$44,IF(G4389&lt;46,'General Basis'!$B$45,IF(G4389&lt;51,'General Basis'!$B$46,IF(G4389&lt;56,'General Basis'!$B$47,IF(G4389&lt;60,'General Basis'!$B$48,IF(G4389&lt;65,'General Basis'!$B$49,'General Basis'!$B$50)))))))))))))</f>
        <v/>
      </c>
      <c r="BI4389" s="744" t="str">
        <f t="shared" si="1523"/>
        <v/>
      </c>
      <c r="BJ4389" s="747" t="str">
        <f t="shared" si="1530"/>
        <v/>
      </c>
      <c r="BK4389" s="498" t="str">
        <f t="shared" si="1524"/>
        <v/>
      </c>
      <c r="BL4389" s="498" t="str">
        <f t="shared" si="1525"/>
        <v/>
      </c>
    </row>
    <row r="4390" spans="1:64" x14ac:dyDescent="0.25">
      <c r="A4390" s="762">
        <f t="shared" si="1526"/>
        <v>4385</v>
      </c>
      <c r="B4390" s="229"/>
      <c r="C4390" s="223"/>
      <c r="D4390" s="224"/>
      <c r="E4390" s="225"/>
      <c r="F4390" s="1036" t="str">
        <f t="shared" si="1532"/>
        <v/>
      </c>
      <c r="G4390" s="1037" t="str">
        <f t="shared" si="1527"/>
        <v/>
      </c>
      <c r="H4390" s="225"/>
      <c r="I4390" s="1013"/>
      <c r="J4390" s="1013"/>
      <c r="K4390" s="1028"/>
      <c r="L4390" s="1035" t="str">
        <f t="shared" si="1531"/>
        <v/>
      </c>
      <c r="S4390" s="498"/>
      <c r="AJ4390" s="498"/>
      <c r="AM4390" s="498">
        <f t="shared" si="1512"/>
        <v>0</v>
      </c>
      <c r="AN4390" s="498">
        <f t="shared" si="1513"/>
        <v>0</v>
      </c>
      <c r="AO4390" s="498">
        <f t="shared" si="1514"/>
        <v>0</v>
      </c>
      <c r="AP4390" s="498">
        <f t="shared" si="1533"/>
        <v>0</v>
      </c>
      <c r="AQ4390" s="498">
        <f t="shared" si="1528"/>
        <v>0</v>
      </c>
      <c r="AU4390" s="498">
        <f t="shared" si="1515"/>
        <v>0</v>
      </c>
      <c r="AV4390" s="498">
        <f t="shared" si="1516"/>
        <v>0</v>
      </c>
      <c r="AW4390" s="498">
        <f t="shared" si="1517"/>
        <v>0</v>
      </c>
      <c r="AX4390" s="498">
        <f t="shared" si="1518"/>
        <v>0</v>
      </c>
      <c r="AY4390" s="498">
        <f t="shared" si="1519"/>
        <v>0</v>
      </c>
      <c r="BB4390" s="498" t="str">
        <f t="shared" si="1520"/>
        <v/>
      </c>
      <c r="BC4390" s="743" t="str">
        <f t="shared" si="1521"/>
        <v/>
      </c>
      <c r="BD4390" s="743" t="str">
        <f t="shared" si="1522"/>
        <v/>
      </c>
      <c r="BE4390" s="743" t="str">
        <f>IF(D4390="","",VLOOKUP(D4390,'General Basis'!$J$39:$K$46,2,0))</f>
        <v/>
      </c>
      <c r="BF4390" s="744" t="str">
        <f>IF(D4390="","",VLOOKUP(D4390,'General Basis'!$J$39:$L$46,3,0))</f>
        <v/>
      </c>
      <c r="BG4390" s="744" t="str">
        <f t="shared" si="1529"/>
        <v/>
      </c>
      <c r="BH4390" s="744" t="str">
        <f>IF(G4390="","",IF(BF4390="Abu Dhabi",IF(G4390&lt;18,'General Basis'!$C$39,IF(G4390&lt;41,'General Basis'!$C$40,IF(G4390&lt;60,'General Basis'!$C$41,IF(G4390&lt;65,'General Basis'!$C$42,'General Basis'!$C$43)))),IF(G4390&lt;11,'General Basis'!$B$39,IF(G4390&lt;18,'General Basis'!$B$40,IF(G4390&lt;26,'General Basis'!$B$41,IF(G4390&lt;31,'General Basis'!$B$42,IF(G4390&lt;36,'General Basis'!$B$43,IF(G4390&lt;41,'General Basis'!$B$44,IF(G4390&lt;46,'General Basis'!$B$45,IF(G4390&lt;51,'General Basis'!$B$46,IF(G4390&lt;56,'General Basis'!$B$47,IF(G4390&lt;60,'General Basis'!$B$48,IF(G4390&lt;65,'General Basis'!$B$49,'General Basis'!$B$50)))))))))))))</f>
        <v/>
      </c>
      <c r="BI4390" s="744" t="str">
        <f t="shared" si="1523"/>
        <v/>
      </c>
      <c r="BJ4390" s="747" t="str">
        <f t="shared" si="1530"/>
        <v/>
      </c>
      <c r="BK4390" s="498" t="str">
        <f t="shared" si="1524"/>
        <v/>
      </c>
      <c r="BL4390" s="498" t="str">
        <f t="shared" si="1525"/>
        <v/>
      </c>
    </row>
    <row r="4391" spans="1:64" x14ac:dyDescent="0.25">
      <c r="A4391" s="762">
        <f t="shared" si="1526"/>
        <v>4386</v>
      </c>
      <c r="B4391" s="229"/>
      <c r="C4391" s="223"/>
      <c r="D4391" s="224"/>
      <c r="E4391" s="225"/>
      <c r="F4391" s="1036" t="str">
        <f t="shared" si="1532"/>
        <v/>
      </c>
      <c r="G4391" s="1037" t="str">
        <f t="shared" si="1527"/>
        <v/>
      </c>
      <c r="H4391" s="225"/>
      <c r="I4391" s="1013"/>
      <c r="J4391" s="1013"/>
      <c r="K4391" s="1028"/>
      <c r="L4391" s="1035" t="str">
        <f t="shared" si="1531"/>
        <v/>
      </c>
      <c r="S4391" s="498"/>
      <c r="AJ4391" s="498"/>
      <c r="AM4391" s="498">
        <f t="shared" si="1512"/>
        <v>0</v>
      </c>
      <c r="AN4391" s="498">
        <f t="shared" si="1513"/>
        <v>0</v>
      </c>
      <c r="AO4391" s="498">
        <f t="shared" si="1514"/>
        <v>0</v>
      </c>
      <c r="AP4391" s="498">
        <f t="shared" si="1533"/>
        <v>0</v>
      </c>
      <c r="AQ4391" s="498">
        <f t="shared" si="1528"/>
        <v>0</v>
      </c>
      <c r="AU4391" s="498">
        <f t="shared" si="1515"/>
        <v>0</v>
      </c>
      <c r="AV4391" s="498">
        <f t="shared" si="1516"/>
        <v>0</v>
      </c>
      <c r="AW4391" s="498">
        <f t="shared" si="1517"/>
        <v>0</v>
      </c>
      <c r="AX4391" s="498">
        <f t="shared" si="1518"/>
        <v>0</v>
      </c>
      <c r="AY4391" s="498">
        <f t="shared" si="1519"/>
        <v>0</v>
      </c>
      <c r="BB4391" s="498" t="str">
        <f t="shared" si="1520"/>
        <v/>
      </c>
      <c r="BC4391" s="743" t="str">
        <f t="shared" si="1521"/>
        <v/>
      </c>
      <c r="BD4391" s="743" t="str">
        <f t="shared" si="1522"/>
        <v/>
      </c>
      <c r="BE4391" s="743" t="str">
        <f>IF(D4391="","",VLOOKUP(D4391,'General Basis'!$J$39:$K$46,2,0))</f>
        <v/>
      </c>
      <c r="BF4391" s="744" t="str">
        <f>IF(D4391="","",VLOOKUP(D4391,'General Basis'!$J$39:$L$46,3,0))</f>
        <v/>
      </c>
      <c r="BG4391" s="744" t="str">
        <f t="shared" si="1529"/>
        <v/>
      </c>
      <c r="BH4391" s="744" t="str">
        <f>IF(G4391="","",IF(BF4391="Abu Dhabi",IF(G4391&lt;18,'General Basis'!$C$39,IF(G4391&lt;41,'General Basis'!$C$40,IF(G4391&lt;60,'General Basis'!$C$41,IF(G4391&lt;65,'General Basis'!$C$42,'General Basis'!$C$43)))),IF(G4391&lt;11,'General Basis'!$B$39,IF(G4391&lt;18,'General Basis'!$B$40,IF(G4391&lt;26,'General Basis'!$B$41,IF(G4391&lt;31,'General Basis'!$B$42,IF(G4391&lt;36,'General Basis'!$B$43,IF(G4391&lt;41,'General Basis'!$B$44,IF(G4391&lt;46,'General Basis'!$B$45,IF(G4391&lt;51,'General Basis'!$B$46,IF(G4391&lt;56,'General Basis'!$B$47,IF(G4391&lt;60,'General Basis'!$B$48,IF(G4391&lt;65,'General Basis'!$B$49,'General Basis'!$B$50)))))))))))))</f>
        <v/>
      </c>
      <c r="BI4391" s="744" t="str">
        <f t="shared" si="1523"/>
        <v/>
      </c>
      <c r="BJ4391" s="747" t="str">
        <f t="shared" si="1530"/>
        <v/>
      </c>
      <c r="BK4391" s="498" t="str">
        <f t="shared" si="1524"/>
        <v/>
      </c>
      <c r="BL4391" s="498" t="str">
        <f t="shared" si="1525"/>
        <v/>
      </c>
    </row>
    <row r="4392" spans="1:64" x14ac:dyDescent="0.25">
      <c r="A4392" s="762">
        <f t="shared" si="1526"/>
        <v>4387</v>
      </c>
      <c r="B4392" s="229"/>
      <c r="C4392" s="223"/>
      <c r="D4392" s="224"/>
      <c r="E4392" s="225"/>
      <c r="F4392" s="1036" t="str">
        <f t="shared" si="1532"/>
        <v/>
      </c>
      <c r="G4392" s="1037" t="str">
        <f t="shared" si="1527"/>
        <v/>
      </c>
      <c r="H4392" s="225"/>
      <c r="I4392" s="1013"/>
      <c r="J4392" s="1013"/>
      <c r="K4392" s="1028"/>
      <c r="L4392" s="1035" t="str">
        <f t="shared" si="1531"/>
        <v/>
      </c>
      <c r="S4392" s="498"/>
      <c r="AJ4392" s="498"/>
      <c r="AM4392" s="498">
        <f t="shared" si="1512"/>
        <v>0</v>
      </c>
      <c r="AN4392" s="498">
        <f t="shared" si="1513"/>
        <v>0</v>
      </c>
      <c r="AO4392" s="498">
        <f t="shared" si="1514"/>
        <v>0</v>
      </c>
      <c r="AP4392" s="498">
        <f t="shared" si="1533"/>
        <v>0</v>
      </c>
      <c r="AQ4392" s="498">
        <f t="shared" si="1528"/>
        <v>0</v>
      </c>
      <c r="AU4392" s="498">
        <f t="shared" si="1515"/>
        <v>0</v>
      </c>
      <c r="AV4392" s="498">
        <f t="shared" si="1516"/>
        <v>0</v>
      </c>
      <c r="AW4392" s="498">
        <f t="shared" si="1517"/>
        <v>0</v>
      </c>
      <c r="AX4392" s="498">
        <f t="shared" si="1518"/>
        <v>0</v>
      </c>
      <c r="AY4392" s="498">
        <f t="shared" si="1519"/>
        <v>0</v>
      </c>
      <c r="BB4392" s="498" t="str">
        <f t="shared" si="1520"/>
        <v/>
      </c>
      <c r="BC4392" s="743" t="str">
        <f t="shared" si="1521"/>
        <v/>
      </c>
      <c r="BD4392" s="743" t="str">
        <f t="shared" si="1522"/>
        <v/>
      </c>
      <c r="BE4392" s="743" t="str">
        <f>IF(D4392="","",VLOOKUP(D4392,'General Basis'!$J$39:$K$46,2,0))</f>
        <v/>
      </c>
      <c r="BF4392" s="744" t="str">
        <f>IF(D4392="","",VLOOKUP(D4392,'General Basis'!$J$39:$L$46,3,0))</f>
        <v/>
      </c>
      <c r="BG4392" s="744" t="str">
        <f t="shared" si="1529"/>
        <v/>
      </c>
      <c r="BH4392" s="744" t="str">
        <f>IF(G4392="","",IF(BF4392="Abu Dhabi",IF(G4392&lt;18,'General Basis'!$C$39,IF(G4392&lt;41,'General Basis'!$C$40,IF(G4392&lt;60,'General Basis'!$C$41,IF(G4392&lt;65,'General Basis'!$C$42,'General Basis'!$C$43)))),IF(G4392&lt;11,'General Basis'!$B$39,IF(G4392&lt;18,'General Basis'!$B$40,IF(G4392&lt;26,'General Basis'!$B$41,IF(G4392&lt;31,'General Basis'!$B$42,IF(G4392&lt;36,'General Basis'!$B$43,IF(G4392&lt;41,'General Basis'!$B$44,IF(G4392&lt;46,'General Basis'!$B$45,IF(G4392&lt;51,'General Basis'!$B$46,IF(G4392&lt;56,'General Basis'!$B$47,IF(G4392&lt;60,'General Basis'!$B$48,IF(G4392&lt;65,'General Basis'!$B$49,'General Basis'!$B$50)))))))))))))</f>
        <v/>
      </c>
      <c r="BI4392" s="744" t="str">
        <f t="shared" si="1523"/>
        <v/>
      </c>
      <c r="BJ4392" s="747" t="str">
        <f t="shared" si="1530"/>
        <v/>
      </c>
      <c r="BK4392" s="498" t="str">
        <f t="shared" si="1524"/>
        <v/>
      </c>
      <c r="BL4392" s="498" t="str">
        <f t="shared" si="1525"/>
        <v/>
      </c>
    </row>
    <row r="4393" spans="1:64" x14ac:dyDescent="0.25">
      <c r="A4393" s="762">
        <f t="shared" si="1526"/>
        <v>4388</v>
      </c>
      <c r="B4393" s="229"/>
      <c r="C4393" s="223"/>
      <c r="D4393" s="224"/>
      <c r="E4393" s="225"/>
      <c r="F4393" s="1036" t="str">
        <f t="shared" si="1532"/>
        <v/>
      </c>
      <c r="G4393" s="1037" t="str">
        <f t="shared" si="1527"/>
        <v/>
      </c>
      <c r="H4393" s="225"/>
      <c r="I4393" s="1013"/>
      <c r="J4393" s="1013"/>
      <c r="K4393" s="1028"/>
      <c r="L4393" s="1035" t="str">
        <f t="shared" si="1531"/>
        <v/>
      </c>
      <c r="S4393" s="498"/>
      <c r="AJ4393" s="498"/>
      <c r="AM4393" s="498">
        <f t="shared" si="1512"/>
        <v>0</v>
      </c>
      <c r="AN4393" s="498">
        <f t="shared" si="1513"/>
        <v>0</v>
      </c>
      <c r="AO4393" s="498">
        <f t="shared" si="1514"/>
        <v>0</v>
      </c>
      <c r="AP4393" s="498">
        <f t="shared" si="1533"/>
        <v>0</v>
      </c>
      <c r="AQ4393" s="498">
        <f t="shared" si="1528"/>
        <v>0</v>
      </c>
      <c r="AU4393" s="498">
        <f t="shared" si="1515"/>
        <v>0</v>
      </c>
      <c r="AV4393" s="498">
        <f t="shared" si="1516"/>
        <v>0</v>
      </c>
      <c r="AW4393" s="498">
        <f t="shared" si="1517"/>
        <v>0</v>
      </c>
      <c r="AX4393" s="498">
        <f t="shared" si="1518"/>
        <v>0</v>
      </c>
      <c r="AY4393" s="498">
        <f t="shared" si="1519"/>
        <v>0</v>
      </c>
      <c r="BB4393" s="498" t="str">
        <f t="shared" si="1520"/>
        <v/>
      </c>
      <c r="BC4393" s="743" t="str">
        <f t="shared" si="1521"/>
        <v/>
      </c>
      <c r="BD4393" s="743" t="str">
        <f t="shared" si="1522"/>
        <v/>
      </c>
      <c r="BE4393" s="743" t="str">
        <f>IF(D4393="","",VLOOKUP(D4393,'General Basis'!$J$39:$K$46,2,0))</f>
        <v/>
      </c>
      <c r="BF4393" s="744" t="str">
        <f>IF(D4393="","",VLOOKUP(D4393,'General Basis'!$J$39:$L$46,3,0))</f>
        <v/>
      </c>
      <c r="BG4393" s="744" t="str">
        <f t="shared" si="1529"/>
        <v/>
      </c>
      <c r="BH4393" s="744" t="str">
        <f>IF(G4393="","",IF(BF4393="Abu Dhabi",IF(G4393&lt;18,'General Basis'!$C$39,IF(G4393&lt;41,'General Basis'!$C$40,IF(G4393&lt;60,'General Basis'!$C$41,IF(G4393&lt;65,'General Basis'!$C$42,'General Basis'!$C$43)))),IF(G4393&lt;11,'General Basis'!$B$39,IF(G4393&lt;18,'General Basis'!$B$40,IF(G4393&lt;26,'General Basis'!$B$41,IF(G4393&lt;31,'General Basis'!$B$42,IF(G4393&lt;36,'General Basis'!$B$43,IF(G4393&lt;41,'General Basis'!$B$44,IF(G4393&lt;46,'General Basis'!$B$45,IF(G4393&lt;51,'General Basis'!$B$46,IF(G4393&lt;56,'General Basis'!$B$47,IF(G4393&lt;60,'General Basis'!$B$48,IF(G4393&lt;65,'General Basis'!$B$49,'General Basis'!$B$50)))))))))))))</f>
        <v/>
      </c>
      <c r="BI4393" s="744" t="str">
        <f t="shared" si="1523"/>
        <v/>
      </c>
      <c r="BJ4393" s="747" t="str">
        <f t="shared" si="1530"/>
        <v/>
      </c>
      <c r="BK4393" s="498" t="str">
        <f t="shared" si="1524"/>
        <v/>
      </c>
      <c r="BL4393" s="498" t="str">
        <f t="shared" si="1525"/>
        <v/>
      </c>
    </row>
    <row r="4394" spans="1:64" x14ac:dyDescent="0.25">
      <c r="A4394" s="762">
        <f t="shared" si="1526"/>
        <v>4389</v>
      </c>
      <c r="B4394" s="229"/>
      <c r="C4394" s="223"/>
      <c r="D4394" s="224"/>
      <c r="E4394" s="225"/>
      <c r="F4394" s="1036" t="str">
        <f t="shared" si="1532"/>
        <v/>
      </c>
      <c r="G4394" s="1037" t="str">
        <f t="shared" si="1527"/>
        <v/>
      </c>
      <c r="H4394" s="225"/>
      <c r="I4394" s="1013"/>
      <c r="J4394" s="1013"/>
      <c r="K4394" s="1028"/>
      <c r="L4394" s="1035" t="str">
        <f t="shared" si="1531"/>
        <v/>
      </c>
      <c r="S4394" s="498"/>
      <c r="AJ4394" s="498"/>
      <c r="AM4394" s="498">
        <f t="shared" si="1512"/>
        <v>0</v>
      </c>
      <c r="AN4394" s="498">
        <f t="shared" si="1513"/>
        <v>0</v>
      </c>
      <c r="AO4394" s="498">
        <f t="shared" si="1514"/>
        <v>0</v>
      </c>
      <c r="AP4394" s="498">
        <f t="shared" si="1533"/>
        <v>0</v>
      </c>
      <c r="AQ4394" s="498">
        <f t="shared" si="1528"/>
        <v>0</v>
      </c>
      <c r="AU4394" s="498">
        <f t="shared" si="1515"/>
        <v>0</v>
      </c>
      <c r="AV4394" s="498">
        <f t="shared" si="1516"/>
        <v>0</v>
      </c>
      <c r="AW4394" s="498">
        <f t="shared" si="1517"/>
        <v>0</v>
      </c>
      <c r="AX4394" s="498">
        <f t="shared" si="1518"/>
        <v>0</v>
      </c>
      <c r="AY4394" s="498">
        <f t="shared" si="1519"/>
        <v>0</v>
      </c>
      <c r="BB4394" s="498" t="str">
        <f t="shared" si="1520"/>
        <v/>
      </c>
      <c r="BC4394" s="743" t="str">
        <f t="shared" si="1521"/>
        <v/>
      </c>
      <c r="BD4394" s="743" t="str">
        <f t="shared" si="1522"/>
        <v/>
      </c>
      <c r="BE4394" s="743" t="str">
        <f>IF(D4394="","",VLOOKUP(D4394,'General Basis'!$J$39:$K$46,2,0))</f>
        <v/>
      </c>
      <c r="BF4394" s="744" t="str">
        <f>IF(D4394="","",VLOOKUP(D4394,'General Basis'!$J$39:$L$46,3,0))</f>
        <v/>
      </c>
      <c r="BG4394" s="744" t="str">
        <f t="shared" si="1529"/>
        <v/>
      </c>
      <c r="BH4394" s="744" t="str">
        <f>IF(G4394="","",IF(BF4394="Abu Dhabi",IF(G4394&lt;18,'General Basis'!$C$39,IF(G4394&lt;41,'General Basis'!$C$40,IF(G4394&lt;60,'General Basis'!$C$41,IF(G4394&lt;65,'General Basis'!$C$42,'General Basis'!$C$43)))),IF(G4394&lt;11,'General Basis'!$B$39,IF(G4394&lt;18,'General Basis'!$B$40,IF(G4394&lt;26,'General Basis'!$B$41,IF(G4394&lt;31,'General Basis'!$B$42,IF(G4394&lt;36,'General Basis'!$B$43,IF(G4394&lt;41,'General Basis'!$B$44,IF(G4394&lt;46,'General Basis'!$B$45,IF(G4394&lt;51,'General Basis'!$B$46,IF(G4394&lt;56,'General Basis'!$B$47,IF(G4394&lt;60,'General Basis'!$B$48,IF(G4394&lt;65,'General Basis'!$B$49,'General Basis'!$B$50)))))))))))))</f>
        <v/>
      </c>
      <c r="BI4394" s="744" t="str">
        <f t="shared" si="1523"/>
        <v/>
      </c>
      <c r="BJ4394" s="747" t="str">
        <f t="shared" si="1530"/>
        <v/>
      </c>
      <c r="BK4394" s="498" t="str">
        <f t="shared" si="1524"/>
        <v/>
      </c>
      <c r="BL4394" s="498" t="str">
        <f t="shared" si="1525"/>
        <v/>
      </c>
    </row>
    <row r="4395" spans="1:64" x14ac:dyDescent="0.25">
      <c r="A4395" s="762">
        <f t="shared" si="1526"/>
        <v>4390</v>
      </c>
      <c r="B4395" s="229"/>
      <c r="C4395" s="223"/>
      <c r="D4395" s="224"/>
      <c r="E4395" s="225"/>
      <c r="F4395" s="1036" t="str">
        <f t="shared" si="1532"/>
        <v/>
      </c>
      <c r="G4395" s="1037" t="str">
        <f t="shared" si="1527"/>
        <v/>
      </c>
      <c r="H4395" s="225"/>
      <c r="I4395" s="1013"/>
      <c r="J4395" s="1013"/>
      <c r="K4395" s="1028"/>
      <c r="L4395" s="1035" t="str">
        <f t="shared" si="1531"/>
        <v/>
      </c>
      <c r="S4395" s="498"/>
      <c r="AJ4395" s="498"/>
      <c r="AM4395" s="498">
        <f t="shared" si="1512"/>
        <v>0</v>
      </c>
      <c r="AN4395" s="498">
        <f t="shared" si="1513"/>
        <v>0</v>
      </c>
      <c r="AO4395" s="498">
        <f t="shared" si="1514"/>
        <v>0</v>
      </c>
      <c r="AP4395" s="498">
        <f t="shared" si="1533"/>
        <v>0</v>
      </c>
      <c r="AQ4395" s="498">
        <f t="shared" si="1528"/>
        <v>0</v>
      </c>
      <c r="AU4395" s="498">
        <f t="shared" si="1515"/>
        <v>0</v>
      </c>
      <c r="AV4395" s="498">
        <f t="shared" si="1516"/>
        <v>0</v>
      </c>
      <c r="AW4395" s="498">
        <f t="shared" si="1517"/>
        <v>0</v>
      </c>
      <c r="AX4395" s="498">
        <f t="shared" si="1518"/>
        <v>0</v>
      </c>
      <c r="AY4395" s="498">
        <f t="shared" si="1519"/>
        <v>0</v>
      </c>
      <c r="BB4395" s="498" t="str">
        <f t="shared" si="1520"/>
        <v/>
      </c>
      <c r="BC4395" s="743" t="str">
        <f t="shared" si="1521"/>
        <v/>
      </c>
      <c r="BD4395" s="743" t="str">
        <f t="shared" si="1522"/>
        <v/>
      </c>
      <c r="BE4395" s="743" t="str">
        <f>IF(D4395="","",VLOOKUP(D4395,'General Basis'!$J$39:$K$46,2,0))</f>
        <v/>
      </c>
      <c r="BF4395" s="744" t="str">
        <f>IF(D4395="","",VLOOKUP(D4395,'General Basis'!$J$39:$L$46,3,0))</f>
        <v/>
      </c>
      <c r="BG4395" s="744" t="str">
        <f t="shared" si="1529"/>
        <v/>
      </c>
      <c r="BH4395" s="744" t="str">
        <f>IF(G4395="","",IF(BF4395="Abu Dhabi",IF(G4395&lt;18,'General Basis'!$C$39,IF(G4395&lt;41,'General Basis'!$C$40,IF(G4395&lt;60,'General Basis'!$C$41,IF(G4395&lt;65,'General Basis'!$C$42,'General Basis'!$C$43)))),IF(G4395&lt;11,'General Basis'!$B$39,IF(G4395&lt;18,'General Basis'!$B$40,IF(G4395&lt;26,'General Basis'!$B$41,IF(G4395&lt;31,'General Basis'!$B$42,IF(G4395&lt;36,'General Basis'!$B$43,IF(G4395&lt;41,'General Basis'!$B$44,IF(G4395&lt;46,'General Basis'!$B$45,IF(G4395&lt;51,'General Basis'!$B$46,IF(G4395&lt;56,'General Basis'!$B$47,IF(G4395&lt;60,'General Basis'!$B$48,IF(G4395&lt;65,'General Basis'!$B$49,'General Basis'!$B$50)))))))))))))</f>
        <v/>
      </c>
      <c r="BI4395" s="744" t="str">
        <f t="shared" si="1523"/>
        <v/>
      </c>
      <c r="BJ4395" s="747" t="str">
        <f t="shared" si="1530"/>
        <v/>
      </c>
      <c r="BK4395" s="498" t="str">
        <f t="shared" si="1524"/>
        <v/>
      </c>
      <c r="BL4395" s="498" t="str">
        <f t="shared" si="1525"/>
        <v/>
      </c>
    </row>
    <row r="4396" spans="1:64" x14ac:dyDescent="0.25">
      <c r="A4396" s="762">
        <f t="shared" si="1526"/>
        <v>4391</v>
      </c>
      <c r="B4396" s="229"/>
      <c r="C4396" s="223"/>
      <c r="D4396" s="224"/>
      <c r="E4396" s="225"/>
      <c r="F4396" s="1036" t="str">
        <f t="shared" si="1532"/>
        <v/>
      </c>
      <c r="G4396" s="1037" t="str">
        <f t="shared" si="1527"/>
        <v/>
      </c>
      <c r="H4396" s="225"/>
      <c r="I4396" s="1013"/>
      <c r="J4396" s="1013"/>
      <c r="K4396" s="1028"/>
      <c r="L4396" s="1035" t="str">
        <f t="shared" si="1531"/>
        <v/>
      </c>
      <c r="S4396" s="498"/>
      <c r="AJ4396" s="498"/>
      <c r="AM4396" s="498">
        <f t="shared" si="1512"/>
        <v>0</v>
      </c>
      <c r="AN4396" s="498">
        <f t="shared" si="1513"/>
        <v>0</v>
      </c>
      <c r="AO4396" s="498">
        <f t="shared" si="1514"/>
        <v>0</v>
      </c>
      <c r="AP4396" s="498">
        <f t="shared" si="1533"/>
        <v>0</v>
      </c>
      <c r="AQ4396" s="498">
        <f t="shared" si="1528"/>
        <v>0</v>
      </c>
      <c r="AU4396" s="498">
        <f t="shared" si="1515"/>
        <v>0</v>
      </c>
      <c r="AV4396" s="498">
        <f t="shared" si="1516"/>
        <v>0</v>
      </c>
      <c r="AW4396" s="498">
        <f t="shared" si="1517"/>
        <v>0</v>
      </c>
      <c r="AX4396" s="498">
        <f t="shared" si="1518"/>
        <v>0</v>
      </c>
      <c r="AY4396" s="498">
        <f t="shared" si="1519"/>
        <v>0</v>
      </c>
      <c r="BB4396" s="498" t="str">
        <f t="shared" si="1520"/>
        <v/>
      </c>
      <c r="BC4396" s="743" t="str">
        <f t="shared" si="1521"/>
        <v/>
      </c>
      <c r="BD4396" s="743" t="str">
        <f t="shared" si="1522"/>
        <v/>
      </c>
      <c r="BE4396" s="743" t="str">
        <f>IF(D4396="","",VLOOKUP(D4396,'General Basis'!$J$39:$K$46,2,0))</f>
        <v/>
      </c>
      <c r="BF4396" s="744" t="str">
        <f>IF(D4396="","",VLOOKUP(D4396,'General Basis'!$J$39:$L$46,3,0))</f>
        <v/>
      </c>
      <c r="BG4396" s="744" t="str">
        <f t="shared" si="1529"/>
        <v/>
      </c>
      <c r="BH4396" s="744" t="str">
        <f>IF(G4396="","",IF(BF4396="Abu Dhabi",IF(G4396&lt;18,'General Basis'!$C$39,IF(G4396&lt;41,'General Basis'!$C$40,IF(G4396&lt;60,'General Basis'!$C$41,IF(G4396&lt;65,'General Basis'!$C$42,'General Basis'!$C$43)))),IF(G4396&lt;11,'General Basis'!$B$39,IF(G4396&lt;18,'General Basis'!$B$40,IF(G4396&lt;26,'General Basis'!$B$41,IF(G4396&lt;31,'General Basis'!$B$42,IF(G4396&lt;36,'General Basis'!$B$43,IF(G4396&lt;41,'General Basis'!$B$44,IF(G4396&lt;46,'General Basis'!$B$45,IF(G4396&lt;51,'General Basis'!$B$46,IF(G4396&lt;56,'General Basis'!$B$47,IF(G4396&lt;60,'General Basis'!$B$48,IF(G4396&lt;65,'General Basis'!$B$49,'General Basis'!$B$50)))))))))))))</f>
        <v/>
      </c>
      <c r="BI4396" s="744" t="str">
        <f t="shared" si="1523"/>
        <v/>
      </c>
      <c r="BJ4396" s="747" t="str">
        <f t="shared" si="1530"/>
        <v/>
      </c>
      <c r="BK4396" s="498" t="str">
        <f t="shared" si="1524"/>
        <v/>
      </c>
      <c r="BL4396" s="498" t="str">
        <f t="shared" si="1525"/>
        <v/>
      </c>
    </row>
    <row r="4397" spans="1:64" x14ac:dyDescent="0.25">
      <c r="A4397" s="762">
        <f t="shared" si="1526"/>
        <v>4392</v>
      </c>
      <c r="B4397" s="229"/>
      <c r="C4397" s="223"/>
      <c r="D4397" s="224"/>
      <c r="E4397" s="225"/>
      <c r="F4397" s="1036" t="str">
        <f t="shared" si="1532"/>
        <v/>
      </c>
      <c r="G4397" s="1037" t="str">
        <f t="shared" si="1527"/>
        <v/>
      </c>
      <c r="H4397" s="225"/>
      <c r="I4397" s="1013"/>
      <c r="J4397" s="1013"/>
      <c r="K4397" s="1028"/>
      <c r="L4397" s="1035" t="str">
        <f t="shared" si="1531"/>
        <v/>
      </c>
      <c r="S4397" s="498"/>
      <c r="AJ4397" s="498"/>
      <c r="AM4397" s="498">
        <f t="shared" si="1512"/>
        <v>0</v>
      </c>
      <c r="AN4397" s="498">
        <f t="shared" si="1513"/>
        <v>0</v>
      </c>
      <c r="AO4397" s="498">
        <f t="shared" si="1514"/>
        <v>0</v>
      </c>
      <c r="AP4397" s="498">
        <f t="shared" si="1533"/>
        <v>0</v>
      </c>
      <c r="AQ4397" s="498">
        <f t="shared" si="1528"/>
        <v>0</v>
      </c>
      <c r="AU4397" s="498">
        <f t="shared" si="1515"/>
        <v>0</v>
      </c>
      <c r="AV4397" s="498">
        <f t="shared" si="1516"/>
        <v>0</v>
      </c>
      <c r="AW4397" s="498">
        <f t="shared" si="1517"/>
        <v>0</v>
      </c>
      <c r="AX4397" s="498">
        <f t="shared" si="1518"/>
        <v>0</v>
      </c>
      <c r="AY4397" s="498">
        <f t="shared" si="1519"/>
        <v>0</v>
      </c>
      <c r="BB4397" s="498" t="str">
        <f t="shared" si="1520"/>
        <v/>
      </c>
      <c r="BC4397" s="743" t="str">
        <f t="shared" si="1521"/>
        <v/>
      </c>
      <c r="BD4397" s="743" t="str">
        <f t="shared" si="1522"/>
        <v/>
      </c>
      <c r="BE4397" s="743" t="str">
        <f>IF(D4397="","",VLOOKUP(D4397,'General Basis'!$J$39:$K$46,2,0))</f>
        <v/>
      </c>
      <c r="BF4397" s="744" t="str">
        <f>IF(D4397="","",VLOOKUP(D4397,'General Basis'!$J$39:$L$46,3,0))</f>
        <v/>
      </c>
      <c r="BG4397" s="744" t="str">
        <f t="shared" si="1529"/>
        <v/>
      </c>
      <c r="BH4397" s="744" t="str">
        <f>IF(G4397="","",IF(BF4397="Abu Dhabi",IF(G4397&lt;18,'General Basis'!$C$39,IF(G4397&lt;41,'General Basis'!$C$40,IF(G4397&lt;60,'General Basis'!$C$41,IF(G4397&lt;65,'General Basis'!$C$42,'General Basis'!$C$43)))),IF(G4397&lt;11,'General Basis'!$B$39,IF(G4397&lt;18,'General Basis'!$B$40,IF(G4397&lt;26,'General Basis'!$B$41,IF(G4397&lt;31,'General Basis'!$B$42,IF(G4397&lt;36,'General Basis'!$B$43,IF(G4397&lt;41,'General Basis'!$B$44,IF(G4397&lt;46,'General Basis'!$B$45,IF(G4397&lt;51,'General Basis'!$B$46,IF(G4397&lt;56,'General Basis'!$B$47,IF(G4397&lt;60,'General Basis'!$B$48,IF(G4397&lt;65,'General Basis'!$B$49,'General Basis'!$B$50)))))))))))))</f>
        <v/>
      </c>
      <c r="BI4397" s="744" t="str">
        <f t="shared" si="1523"/>
        <v/>
      </c>
      <c r="BJ4397" s="747" t="str">
        <f t="shared" si="1530"/>
        <v/>
      </c>
      <c r="BK4397" s="498" t="str">
        <f t="shared" si="1524"/>
        <v/>
      </c>
      <c r="BL4397" s="498" t="str">
        <f t="shared" si="1525"/>
        <v/>
      </c>
    </row>
    <row r="4398" spans="1:64" x14ac:dyDescent="0.25">
      <c r="A4398" s="762">
        <f t="shared" si="1526"/>
        <v>4393</v>
      </c>
      <c r="B4398" s="229"/>
      <c r="C4398" s="223"/>
      <c r="D4398" s="224"/>
      <c r="E4398" s="225"/>
      <c r="F4398" s="1036" t="str">
        <f t="shared" si="1532"/>
        <v/>
      </c>
      <c r="G4398" s="1037" t="str">
        <f t="shared" si="1527"/>
        <v/>
      </c>
      <c r="H4398" s="225"/>
      <c r="I4398" s="1013"/>
      <c r="J4398" s="1013"/>
      <c r="K4398" s="1028"/>
      <c r="L4398" s="1035" t="str">
        <f t="shared" si="1531"/>
        <v/>
      </c>
      <c r="S4398" s="498"/>
      <c r="AJ4398" s="498"/>
      <c r="AM4398" s="498">
        <f t="shared" si="1512"/>
        <v>0</v>
      </c>
      <c r="AN4398" s="498">
        <f t="shared" si="1513"/>
        <v>0</v>
      </c>
      <c r="AO4398" s="498">
        <f t="shared" si="1514"/>
        <v>0</v>
      </c>
      <c r="AP4398" s="498">
        <f t="shared" si="1533"/>
        <v>0</v>
      </c>
      <c r="AQ4398" s="498">
        <f t="shared" si="1528"/>
        <v>0</v>
      </c>
      <c r="AU4398" s="498">
        <f t="shared" si="1515"/>
        <v>0</v>
      </c>
      <c r="AV4398" s="498">
        <f t="shared" si="1516"/>
        <v>0</v>
      </c>
      <c r="AW4398" s="498">
        <f t="shared" si="1517"/>
        <v>0</v>
      </c>
      <c r="AX4398" s="498">
        <f t="shared" si="1518"/>
        <v>0</v>
      </c>
      <c r="AY4398" s="498">
        <f t="shared" si="1519"/>
        <v>0</v>
      </c>
      <c r="BB4398" s="498" t="str">
        <f t="shared" si="1520"/>
        <v/>
      </c>
      <c r="BC4398" s="743" t="str">
        <f t="shared" si="1521"/>
        <v/>
      </c>
      <c r="BD4398" s="743" t="str">
        <f t="shared" si="1522"/>
        <v/>
      </c>
      <c r="BE4398" s="743" t="str">
        <f>IF(D4398="","",VLOOKUP(D4398,'General Basis'!$J$39:$K$46,2,0))</f>
        <v/>
      </c>
      <c r="BF4398" s="744" t="str">
        <f>IF(D4398="","",VLOOKUP(D4398,'General Basis'!$J$39:$L$46,3,0))</f>
        <v/>
      </c>
      <c r="BG4398" s="744" t="str">
        <f t="shared" si="1529"/>
        <v/>
      </c>
      <c r="BH4398" s="744" t="str">
        <f>IF(G4398="","",IF(BF4398="Abu Dhabi",IF(G4398&lt;18,'General Basis'!$C$39,IF(G4398&lt;41,'General Basis'!$C$40,IF(G4398&lt;60,'General Basis'!$C$41,IF(G4398&lt;65,'General Basis'!$C$42,'General Basis'!$C$43)))),IF(G4398&lt;11,'General Basis'!$B$39,IF(G4398&lt;18,'General Basis'!$B$40,IF(G4398&lt;26,'General Basis'!$B$41,IF(G4398&lt;31,'General Basis'!$B$42,IF(G4398&lt;36,'General Basis'!$B$43,IF(G4398&lt;41,'General Basis'!$B$44,IF(G4398&lt;46,'General Basis'!$B$45,IF(G4398&lt;51,'General Basis'!$B$46,IF(G4398&lt;56,'General Basis'!$B$47,IF(G4398&lt;60,'General Basis'!$B$48,IF(G4398&lt;65,'General Basis'!$B$49,'General Basis'!$B$50)))))))))))))</f>
        <v/>
      </c>
      <c r="BI4398" s="744" t="str">
        <f t="shared" si="1523"/>
        <v/>
      </c>
      <c r="BJ4398" s="747" t="str">
        <f t="shared" si="1530"/>
        <v/>
      </c>
      <c r="BK4398" s="498" t="str">
        <f t="shared" si="1524"/>
        <v/>
      </c>
      <c r="BL4398" s="498" t="str">
        <f t="shared" si="1525"/>
        <v/>
      </c>
    </row>
    <row r="4399" spans="1:64" x14ac:dyDescent="0.25">
      <c r="A4399" s="762">
        <f t="shared" si="1526"/>
        <v>4394</v>
      </c>
      <c r="B4399" s="229"/>
      <c r="C4399" s="223"/>
      <c r="D4399" s="224"/>
      <c r="E4399" s="225"/>
      <c r="F4399" s="1036" t="str">
        <f t="shared" si="1532"/>
        <v/>
      </c>
      <c r="G4399" s="1037" t="str">
        <f t="shared" si="1527"/>
        <v/>
      </c>
      <c r="H4399" s="225"/>
      <c r="I4399" s="1013"/>
      <c r="J4399" s="1013"/>
      <c r="K4399" s="1028"/>
      <c r="L4399" s="1035" t="str">
        <f t="shared" si="1531"/>
        <v/>
      </c>
      <c r="S4399" s="498"/>
      <c r="AJ4399" s="498"/>
      <c r="AM4399" s="498">
        <f t="shared" si="1512"/>
        <v>0</v>
      </c>
      <c r="AN4399" s="498">
        <f t="shared" si="1513"/>
        <v>0</v>
      </c>
      <c r="AO4399" s="498">
        <f t="shared" si="1514"/>
        <v>0</v>
      </c>
      <c r="AP4399" s="498">
        <f t="shared" si="1533"/>
        <v>0</v>
      </c>
      <c r="AQ4399" s="498">
        <f t="shared" si="1528"/>
        <v>0</v>
      </c>
      <c r="AU4399" s="498">
        <f t="shared" si="1515"/>
        <v>0</v>
      </c>
      <c r="AV4399" s="498">
        <f t="shared" si="1516"/>
        <v>0</v>
      </c>
      <c r="AW4399" s="498">
        <f t="shared" si="1517"/>
        <v>0</v>
      </c>
      <c r="AX4399" s="498">
        <f t="shared" si="1518"/>
        <v>0</v>
      </c>
      <c r="AY4399" s="498">
        <f t="shared" si="1519"/>
        <v>0</v>
      </c>
      <c r="BB4399" s="498" t="str">
        <f t="shared" si="1520"/>
        <v/>
      </c>
      <c r="BC4399" s="743" t="str">
        <f t="shared" si="1521"/>
        <v/>
      </c>
      <c r="BD4399" s="743" t="str">
        <f t="shared" si="1522"/>
        <v/>
      </c>
      <c r="BE4399" s="743" t="str">
        <f>IF(D4399="","",VLOOKUP(D4399,'General Basis'!$J$39:$K$46,2,0))</f>
        <v/>
      </c>
      <c r="BF4399" s="744" t="str">
        <f>IF(D4399="","",VLOOKUP(D4399,'General Basis'!$J$39:$L$46,3,0))</f>
        <v/>
      </c>
      <c r="BG4399" s="744" t="str">
        <f t="shared" si="1529"/>
        <v/>
      </c>
      <c r="BH4399" s="744" t="str">
        <f>IF(G4399="","",IF(BF4399="Abu Dhabi",IF(G4399&lt;18,'General Basis'!$C$39,IF(G4399&lt;41,'General Basis'!$C$40,IF(G4399&lt;60,'General Basis'!$C$41,IF(G4399&lt;65,'General Basis'!$C$42,'General Basis'!$C$43)))),IF(G4399&lt;11,'General Basis'!$B$39,IF(G4399&lt;18,'General Basis'!$B$40,IF(G4399&lt;26,'General Basis'!$B$41,IF(G4399&lt;31,'General Basis'!$B$42,IF(G4399&lt;36,'General Basis'!$B$43,IF(G4399&lt;41,'General Basis'!$B$44,IF(G4399&lt;46,'General Basis'!$B$45,IF(G4399&lt;51,'General Basis'!$B$46,IF(G4399&lt;56,'General Basis'!$B$47,IF(G4399&lt;60,'General Basis'!$B$48,IF(G4399&lt;65,'General Basis'!$B$49,'General Basis'!$B$50)))))))))))))</f>
        <v/>
      </c>
      <c r="BI4399" s="744" t="str">
        <f t="shared" si="1523"/>
        <v/>
      </c>
      <c r="BJ4399" s="747" t="str">
        <f t="shared" si="1530"/>
        <v/>
      </c>
      <c r="BK4399" s="498" t="str">
        <f t="shared" si="1524"/>
        <v/>
      </c>
      <c r="BL4399" s="498" t="str">
        <f t="shared" si="1525"/>
        <v/>
      </c>
    </row>
    <row r="4400" spans="1:64" x14ac:dyDescent="0.25">
      <c r="A4400" s="762">
        <f t="shared" si="1526"/>
        <v>4395</v>
      </c>
      <c r="B4400" s="229"/>
      <c r="C4400" s="223"/>
      <c r="D4400" s="224"/>
      <c r="E4400" s="225"/>
      <c r="F4400" s="1036" t="str">
        <f t="shared" si="1532"/>
        <v/>
      </c>
      <c r="G4400" s="1037" t="str">
        <f t="shared" si="1527"/>
        <v/>
      </c>
      <c r="H4400" s="225"/>
      <c r="I4400" s="1013"/>
      <c r="J4400" s="1013"/>
      <c r="K4400" s="1028"/>
      <c r="L4400" s="1035" t="str">
        <f t="shared" si="1531"/>
        <v/>
      </c>
      <c r="S4400" s="498"/>
      <c r="AJ4400" s="498"/>
      <c r="AM4400" s="498">
        <f t="shared" si="1512"/>
        <v>0</v>
      </c>
      <c r="AN4400" s="498">
        <f t="shared" si="1513"/>
        <v>0</v>
      </c>
      <c r="AO4400" s="498">
        <f t="shared" si="1514"/>
        <v>0</v>
      </c>
      <c r="AP4400" s="498">
        <f t="shared" si="1533"/>
        <v>0</v>
      </c>
      <c r="AQ4400" s="498">
        <f t="shared" si="1528"/>
        <v>0</v>
      </c>
      <c r="AU4400" s="498">
        <f t="shared" si="1515"/>
        <v>0</v>
      </c>
      <c r="AV4400" s="498">
        <f t="shared" si="1516"/>
        <v>0</v>
      </c>
      <c r="AW4400" s="498">
        <f t="shared" si="1517"/>
        <v>0</v>
      </c>
      <c r="AX4400" s="498">
        <f t="shared" si="1518"/>
        <v>0</v>
      </c>
      <c r="AY4400" s="498">
        <f t="shared" si="1519"/>
        <v>0</v>
      </c>
      <c r="BB4400" s="498" t="str">
        <f t="shared" si="1520"/>
        <v/>
      </c>
      <c r="BC4400" s="743" t="str">
        <f t="shared" si="1521"/>
        <v/>
      </c>
      <c r="BD4400" s="743" t="str">
        <f t="shared" si="1522"/>
        <v/>
      </c>
      <c r="BE4400" s="743" t="str">
        <f>IF(D4400="","",VLOOKUP(D4400,'General Basis'!$J$39:$K$46,2,0))</f>
        <v/>
      </c>
      <c r="BF4400" s="744" t="str">
        <f>IF(D4400="","",VLOOKUP(D4400,'General Basis'!$J$39:$L$46,3,0))</f>
        <v/>
      </c>
      <c r="BG4400" s="744" t="str">
        <f t="shared" si="1529"/>
        <v/>
      </c>
      <c r="BH4400" s="744" t="str">
        <f>IF(G4400="","",IF(BF4400="Abu Dhabi",IF(G4400&lt;18,'General Basis'!$C$39,IF(G4400&lt;41,'General Basis'!$C$40,IF(G4400&lt;60,'General Basis'!$C$41,IF(G4400&lt;65,'General Basis'!$C$42,'General Basis'!$C$43)))),IF(G4400&lt;11,'General Basis'!$B$39,IF(G4400&lt;18,'General Basis'!$B$40,IF(G4400&lt;26,'General Basis'!$B$41,IF(G4400&lt;31,'General Basis'!$B$42,IF(G4400&lt;36,'General Basis'!$B$43,IF(G4400&lt;41,'General Basis'!$B$44,IF(G4400&lt;46,'General Basis'!$B$45,IF(G4400&lt;51,'General Basis'!$B$46,IF(G4400&lt;56,'General Basis'!$B$47,IF(G4400&lt;60,'General Basis'!$B$48,IF(G4400&lt;65,'General Basis'!$B$49,'General Basis'!$B$50)))))))))))))</f>
        <v/>
      </c>
      <c r="BI4400" s="744" t="str">
        <f t="shared" si="1523"/>
        <v/>
      </c>
      <c r="BJ4400" s="747" t="str">
        <f t="shared" si="1530"/>
        <v/>
      </c>
      <c r="BK4400" s="498" t="str">
        <f t="shared" si="1524"/>
        <v/>
      </c>
      <c r="BL4400" s="498" t="str">
        <f t="shared" si="1525"/>
        <v/>
      </c>
    </row>
    <row r="4401" spans="1:64" x14ac:dyDescent="0.25">
      <c r="A4401" s="762">
        <f t="shared" si="1526"/>
        <v>4396</v>
      </c>
      <c r="B4401" s="229"/>
      <c r="C4401" s="223"/>
      <c r="D4401" s="224"/>
      <c r="E4401" s="225"/>
      <c r="F4401" s="1036" t="str">
        <f t="shared" si="1532"/>
        <v/>
      </c>
      <c r="G4401" s="1037" t="str">
        <f t="shared" si="1527"/>
        <v/>
      </c>
      <c r="H4401" s="225"/>
      <c r="I4401" s="1013"/>
      <c r="J4401" s="1013"/>
      <c r="K4401" s="1028"/>
      <c r="L4401" s="1035" t="str">
        <f t="shared" si="1531"/>
        <v/>
      </c>
      <c r="S4401" s="498"/>
      <c r="AJ4401" s="498"/>
      <c r="AM4401" s="498">
        <f t="shared" si="1512"/>
        <v>0</v>
      </c>
      <c r="AN4401" s="498">
        <f t="shared" si="1513"/>
        <v>0</v>
      </c>
      <c r="AO4401" s="498">
        <f t="shared" si="1514"/>
        <v>0</v>
      </c>
      <c r="AP4401" s="498">
        <f t="shared" si="1533"/>
        <v>0</v>
      </c>
      <c r="AQ4401" s="498">
        <f t="shared" si="1528"/>
        <v>0</v>
      </c>
      <c r="AU4401" s="498">
        <f t="shared" si="1515"/>
        <v>0</v>
      </c>
      <c r="AV4401" s="498">
        <f t="shared" si="1516"/>
        <v>0</v>
      </c>
      <c r="AW4401" s="498">
        <f t="shared" si="1517"/>
        <v>0</v>
      </c>
      <c r="AX4401" s="498">
        <f t="shared" si="1518"/>
        <v>0</v>
      </c>
      <c r="AY4401" s="498">
        <f t="shared" si="1519"/>
        <v>0</v>
      </c>
      <c r="BB4401" s="498" t="str">
        <f t="shared" si="1520"/>
        <v/>
      </c>
      <c r="BC4401" s="743" t="str">
        <f t="shared" si="1521"/>
        <v/>
      </c>
      <c r="BD4401" s="743" t="str">
        <f t="shared" si="1522"/>
        <v/>
      </c>
      <c r="BE4401" s="743" t="str">
        <f>IF(D4401="","",VLOOKUP(D4401,'General Basis'!$J$39:$K$46,2,0))</f>
        <v/>
      </c>
      <c r="BF4401" s="744" t="str">
        <f>IF(D4401="","",VLOOKUP(D4401,'General Basis'!$J$39:$L$46,3,0))</f>
        <v/>
      </c>
      <c r="BG4401" s="744" t="str">
        <f t="shared" si="1529"/>
        <v/>
      </c>
      <c r="BH4401" s="744" t="str">
        <f>IF(G4401="","",IF(BF4401="Abu Dhabi",IF(G4401&lt;18,'General Basis'!$C$39,IF(G4401&lt;41,'General Basis'!$C$40,IF(G4401&lt;60,'General Basis'!$C$41,IF(G4401&lt;65,'General Basis'!$C$42,'General Basis'!$C$43)))),IF(G4401&lt;11,'General Basis'!$B$39,IF(G4401&lt;18,'General Basis'!$B$40,IF(G4401&lt;26,'General Basis'!$B$41,IF(G4401&lt;31,'General Basis'!$B$42,IF(G4401&lt;36,'General Basis'!$B$43,IF(G4401&lt;41,'General Basis'!$B$44,IF(G4401&lt;46,'General Basis'!$B$45,IF(G4401&lt;51,'General Basis'!$B$46,IF(G4401&lt;56,'General Basis'!$B$47,IF(G4401&lt;60,'General Basis'!$B$48,IF(G4401&lt;65,'General Basis'!$B$49,'General Basis'!$B$50)))))))))))))</f>
        <v/>
      </c>
      <c r="BI4401" s="744" t="str">
        <f t="shared" si="1523"/>
        <v/>
      </c>
      <c r="BJ4401" s="747" t="str">
        <f t="shared" si="1530"/>
        <v/>
      </c>
      <c r="BK4401" s="498" t="str">
        <f t="shared" si="1524"/>
        <v/>
      </c>
      <c r="BL4401" s="498" t="str">
        <f t="shared" si="1525"/>
        <v/>
      </c>
    </row>
    <row r="4402" spans="1:64" x14ac:dyDescent="0.25">
      <c r="A4402" s="762">
        <f t="shared" si="1526"/>
        <v>4397</v>
      </c>
      <c r="B4402" s="229"/>
      <c r="C4402" s="223"/>
      <c r="D4402" s="224"/>
      <c r="E4402" s="225"/>
      <c r="F4402" s="1036" t="str">
        <f t="shared" si="1532"/>
        <v/>
      </c>
      <c r="G4402" s="1037" t="str">
        <f t="shared" si="1527"/>
        <v/>
      </c>
      <c r="H4402" s="225"/>
      <c r="I4402" s="1013"/>
      <c r="J4402" s="1013"/>
      <c r="K4402" s="1028"/>
      <c r="L4402" s="1035" t="str">
        <f t="shared" si="1531"/>
        <v/>
      </c>
      <c r="S4402" s="498"/>
      <c r="AJ4402" s="498"/>
      <c r="AM4402" s="498">
        <f t="shared" si="1512"/>
        <v>0</v>
      </c>
      <c r="AN4402" s="498">
        <f t="shared" si="1513"/>
        <v>0</v>
      </c>
      <c r="AO4402" s="498">
        <f t="shared" si="1514"/>
        <v>0</v>
      </c>
      <c r="AP4402" s="498">
        <f t="shared" si="1533"/>
        <v>0</v>
      </c>
      <c r="AQ4402" s="498">
        <f t="shared" si="1528"/>
        <v>0</v>
      </c>
      <c r="AU4402" s="498">
        <f t="shared" si="1515"/>
        <v>0</v>
      </c>
      <c r="AV4402" s="498">
        <f t="shared" si="1516"/>
        <v>0</v>
      </c>
      <c r="AW4402" s="498">
        <f t="shared" si="1517"/>
        <v>0</v>
      </c>
      <c r="AX4402" s="498">
        <f t="shared" si="1518"/>
        <v>0</v>
      </c>
      <c r="AY4402" s="498">
        <f t="shared" si="1519"/>
        <v>0</v>
      </c>
      <c r="BB4402" s="498" t="str">
        <f t="shared" si="1520"/>
        <v/>
      </c>
      <c r="BC4402" s="743" t="str">
        <f t="shared" si="1521"/>
        <v/>
      </c>
      <c r="BD4402" s="743" t="str">
        <f t="shared" si="1522"/>
        <v/>
      </c>
      <c r="BE4402" s="743" t="str">
        <f>IF(D4402="","",VLOOKUP(D4402,'General Basis'!$J$39:$K$46,2,0))</f>
        <v/>
      </c>
      <c r="BF4402" s="744" t="str">
        <f>IF(D4402="","",VLOOKUP(D4402,'General Basis'!$J$39:$L$46,3,0))</f>
        <v/>
      </c>
      <c r="BG4402" s="744" t="str">
        <f t="shared" si="1529"/>
        <v/>
      </c>
      <c r="BH4402" s="744" t="str">
        <f>IF(G4402="","",IF(BF4402="Abu Dhabi",IF(G4402&lt;18,'General Basis'!$C$39,IF(G4402&lt;41,'General Basis'!$C$40,IF(G4402&lt;60,'General Basis'!$C$41,IF(G4402&lt;65,'General Basis'!$C$42,'General Basis'!$C$43)))),IF(G4402&lt;11,'General Basis'!$B$39,IF(G4402&lt;18,'General Basis'!$B$40,IF(G4402&lt;26,'General Basis'!$B$41,IF(G4402&lt;31,'General Basis'!$B$42,IF(G4402&lt;36,'General Basis'!$B$43,IF(G4402&lt;41,'General Basis'!$B$44,IF(G4402&lt;46,'General Basis'!$B$45,IF(G4402&lt;51,'General Basis'!$B$46,IF(G4402&lt;56,'General Basis'!$B$47,IF(G4402&lt;60,'General Basis'!$B$48,IF(G4402&lt;65,'General Basis'!$B$49,'General Basis'!$B$50)))))))))))))</f>
        <v/>
      </c>
      <c r="BI4402" s="744" t="str">
        <f t="shared" si="1523"/>
        <v/>
      </c>
      <c r="BJ4402" s="747" t="str">
        <f t="shared" si="1530"/>
        <v/>
      </c>
      <c r="BK4402" s="498" t="str">
        <f t="shared" si="1524"/>
        <v/>
      </c>
      <c r="BL4402" s="498" t="str">
        <f t="shared" si="1525"/>
        <v/>
      </c>
    </row>
    <row r="4403" spans="1:64" x14ac:dyDescent="0.25">
      <c r="A4403" s="762">
        <f t="shared" si="1526"/>
        <v>4398</v>
      </c>
      <c r="B4403" s="229"/>
      <c r="C4403" s="223"/>
      <c r="D4403" s="224"/>
      <c r="E4403" s="225"/>
      <c r="F4403" s="1036" t="str">
        <f t="shared" si="1532"/>
        <v/>
      </c>
      <c r="G4403" s="1037" t="str">
        <f t="shared" si="1527"/>
        <v/>
      </c>
      <c r="H4403" s="225"/>
      <c r="I4403" s="1013"/>
      <c r="J4403" s="1013"/>
      <c r="K4403" s="1028"/>
      <c r="L4403" s="1035" t="str">
        <f t="shared" si="1531"/>
        <v/>
      </c>
      <c r="S4403" s="498"/>
      <c r="AJ4403" s="498"/>
      <c r="AM4403" s="498">
        <f t="shared" si="1512"/>
        <v>0</v>
      </c>
      <c r="AN4403" s="498">
        <f t="shared" si="1513"/>
        <v>0</v>
      </c>
      <c r="AO4403" s="498">
        <f t="shared" si="1514"/>
        <v>0</v>
      </c>
      <c r="AP4403" s="498">
        <f t="shared" si="1533"/>
        <v>0</v>
      </c>
      <c r="AQ4403" s="498">
        <f t="shared" si="1528"/>
        <v>0</v>
      </c>
      <c r="AU4403" s="498">
        <f t="shared" si="1515"/>
        <v>0</v>
      </c>
      <c r="AV4403" s="498">
        <f t="shared" si="1516"/>
        <v>0</v>
      </c>
      <c r="AW4403" s="498">
        <f t="shared" si="1517"/>
        <v>0</v>
      </c>
      <c r="AX4403" s="498">
        <f t="shared" si="1518"/>
        <v>0</v>
      </c>
      <c r="AY4403" s="498">
        <f t="shared" si="1519"/>
        <v>0</v>
      </c>
      <c r="BB4403" s="498" t="str">
        <f t="shared" si="1520"/>
        <v/>
      </c>
      <c r="BC4403" s="743" t="str">
        <f t="shared" si="1521"/>
        <v/>
      </c>
      <c r="BD4403" s="743" t="str">
        <f t="shared" si="1522"/>
        <v/>
      </c>
      <c r="BE4403" s="743" t="str">
        <f>IF(D4403="","",VLOOKUP(D4403,'General Basis'!$J$39:$K$46,2,0))</f>
        <v/>
      </c>
      <c r="BF4403" s="744" t="str">
        <f>IF(D4403="","",VLOOKUP(D4403,'General Basis'!$J$39:$L$46,3,0))</f>
        <v/>
      </c>
      <c r="BG4403" s="744" t="str">
        <f t="shared" si="1529"/>
        <v/>
      </c>
      <c r="BH4403" s="744" t="str">
        <f>IF(G4403="","",IF(BF4403="Abu Dhabi",IF(G4403&lt;18,'General Basis'!$C$39,IF(G4403&lt;41,'General Basis'!$C$40,IF(G4403&lt;60,'General Basis'!$C$41,IF(G4403&lt;65,'General Basis'!$C$42,'General Basis'!$C$43)))),IF(G4403&lt;11,'General Basis'!$B$39,IF(G4403&lt;18,'General Basis'!$B$40,IF(G4403&lt;26,'General Basis'!$B$41,IF(G4403&lt;31,'General Basis'!$B$42,IF(G4403&lt;36,'General Basis'!$B$43,IF(G4403&lt;41,'General Basis'!$B$44,IF(G4403&lt;46,'General Basis'!$B$45,IF(G4403&lt;51,'General Basis'!$B$46,IF(G4403&lt;56,'General Basis'!$B$47,IF(G4403&lt;60,'General Basis'!$B$48,IF(G4403&lt;65,'General Basis'!$B$49,'General Basis'!$B$50)))))))))))))</f>
        <v/>
      </c>
      <c r="BI4403" s="744" t="str">
        <f t="shared" si="1523"/>
        <v/>
      </c>
      <c r="BJ4403" s="747" t="str">
        <f t="shared" si="1530"/>
        <v/>
      </c>
      <c r="BK4403" s="498" t="str">
        <f t="shared" si="1524"/>
        <v/>
      </c>
      <c r="BL4403" s="498" t="str">
        <f t="shared" si="1525"/>
        <v/>
      </c>
    </row>
    <row r="4404" spans="1:64" x14ac:dyDescent="0.25">
      <c r="A4404" s="762">
        <f t="shared" si="1526"/>
        <v>4399</v>
      </c>
      <c r="B4404" s="229"/>
      <c r="C4404" s="223"/>
      <c r="D4404" s="224"/>
      <c r="E4404" s="225"/>
      <c r="F4404" s="1036" t="str">
        <f t="shared" si="1532"/>
        <v/>
      </c>
      <c r="G4404" s="1037" t="str">
        <f t="shared" si="1527"/>
        <v/>
      </c>
      <c r="H4404" s="225"/>
      <c r="I4404" s="1013"/>
      <c r="J4404" s="1013"/>
      <c r="K4404" s="1028"/>
      <c r="L4404" s="1035" t="str">
        <f t="shared" si="1531"/>
        <v/>
      </c>
      <c r="S4404" s="498"/>
      <c r="AJ4404" s="498"/>
      <c r="AM4404" s="498">
        <f t="shared" si="1512"/>
        <v>0</v>
      </c>
      <c r="AN4404" s="498">
        <f t="shared" si="1513"/>
        <v>0</v>
      </c>
      <c r="AO4404" s="498">
        <f t="shared" si="1514"/>
        <v>0</v>
      </c>
      <c r="AP4404" s="498">
        <f t="shared" si="1533"/>
        <v>0</v>
      </c>
      <c r="AQ4404" s="498">
        <f t="shared" si="1528"/>
        <v>0</v>
      </c>
      <c r="AU4404" s="498">
        <f t="shared" si="1515"/>
        <v>0</v>
      </c>
      <c r="AV4404" s="498">
        <f t="shared" si="1516"/>
        <v>0</v>
      </c>
      <c r="AW4404" s="498">
        <f t="shared" si="1517"/>
        <v>0</v>
      </c>
      <c r="AX4404" s="498">
        <f t="shared" si="1518"/>
        <v>0</v>
      </c>
      <c r="AY4404" s="498">
        <f t="shared" si="1519"/>
        <v>0</v>
      </c>
      <c r="BB4404" s="498" t="str">
        <f t="shared" si="1520"/>
        <v/>
      </c>
      <c r="BC4404" s="743" t="str">
        <f t="shared" si="1521"/>
        <v/>
      </c>
      <c r="BD4404" s="743" t="str">
        <f t="shared" si="1522"/>
        <v/>
      </c>
      <c r="BE4404" s="743" t="str">
        <f>IF(D4404="","",VLOOKUP(D4404,'General Basis'!$J$39:$K$46,2,0))</f>
        <v/>
      </c>
      <c r="BF4404" s="744" t="str">
        <f>IF(D4404="","",VLOOKUP(D4404,'General Basis'!$J$39:$L$46,3,0))</f>
        <v/>
      </c>
      <c r="BG4404" s="744" t="str">
        <f t="shared" si="1529"/>
        <v/>
      </c>
      <c r="BH4404" s="744" t="str">
        <f>IF(G4404="","",IF(BF4404="Abu Dhabi",IF(G4404&lt;18,'General Basis'!$C$39,IF(G4404&lt;41,'General Basis'!$C$40,IF(G4404&lt;60,'General Basis'!$C$41,IF(G4404&lt;65,'General Basis'!$C$42,'General Basis'!$C$43)))),IF(G4404&lt;11,'General Basis'!$B$39,IF(G4404&lt;18,'General Basis'!$B$40,IF(G4404&lt;26,'General Basis'!$B$41,IF(G4404&lt;31,'General Basis'!$B$42,IF(G4404&lt;36,'General Basis'!$B$43,IF(G4404&lt;41,'General Basis'!$B$44,IF(G4404&lt;46,'General Basis'!$B$45,IF(G4404&lt;51,'General Basis'!$B$46,IF(G4404&lt;56,'General Basis'!$B$47,IF(G4404&lt;60,'General Basis'!$B$48,IF(G4404&lt;65,'General Basis'!$B$49,'General Basis'!$B$50)))))))))))))</f>
        <v/>
      </c>
      <c r="BI4404" s="744" t="str">
        <f t="shared" si="1523"/>
        <v/>
      </c>
      <c r="BJ4404" s="747" t="str">
        <f t="shared" si="1530"/>
        <v/>
      </c>
      <c r="BK4404" s="498" t="str">
        <f t="shared" si="1524"/>
        <v/>
      </c>
      <c r="BL4404" s="498" t="str">
        <f t="shared" si="1525"/>
        <v/>
      </c>
    </row>
    <row r="4405" spans="1:64" x14ac:dyDescent="0.25">
      <c r="A4405" s="762">
        <f t="shared" si="1526"/>
        <v>4400</v>
      </c>
      <c r="B4405" s="229"/>
      <c r="C4405" s="223"/>
      <c r="D4405" s="224"/>
      <c r="E4405" s="225"/>
      <c r="F4405" s="1036" t="str">
        <f t="shared" si="1532"/>
        <v/>
      </c>
      <c r="G4405" s="1037" t="str">
        <f t="shared" si="1527"/>
        <v/>
      </c>
      <c r="H4405" s="225"/>
      <c r="I4405" s="1013"/>
      <c r="J4405" s="1013"/>
      <c r="K4405" s="1028"/>
      <c r="L4405" s="1035" t="str">
        <f t="shared" si="1531"/>
        <v/>
      </c>
      <c r="S4405" s="498"/>
      <c r="AJ4405" s="498"/>
      <c r="AM4405" s="498">
        <f t="shared" si="1512"/>
        <v>0</v>
      </c>
      <c r="AN4405" s="498">
        <f t="shared" si="1513"/>
        <v>0</v>
      </c>
      <c r="AO4405" s="498">
        <f t="shared" si="1514"/>
        <v>0</v>
      </c>
      <c r="AP4405" s="498">
        <f t="shared" si="1533"/>
        <v>0</v>
      </c>
      <c r="AQ4405" s="498">
        <f t="shared" si="1528"/>
        <v>0</v>
      </c>
      <c r="AU4405" s="498">
        <f t="shared" si="1515"/>
        <v>0</v>
      </c>
      <c r="AV4405" s="498">
        <f t="shared" si="1516"/>
        <v>0</v>
      </c>
      <c r="AW4405" s="498">
        <f t="shared" si="1517"/>
        <v>0</v>
      </c>
      <c r="AX4405" s="498">
        <f t="shared" si="1518"/>
        <v>0</v>
      </c>
      <c r="AY4405" s="498">
        <f t="shared" si="1519"/>
        <v>0</v>
      </c>
      <c r="BB4405" s="498" t="str">
        <f t="shared" si="1520"/>
        <v/>
      </c>
      <c r="BC4405" s="743" t="str">
        <f t="shared" si="1521"/>
        <v/>
      </c>
      <c r="BD4405" s="743" t="str">
        <f t="shared" si="1522"/>
        <v/>
      </c>
      <c r="BE4405" s="743" t="str">
        <f>IF(D4405="","",VLOOKUP(D4405,'General Basis'!$J$39:$K$46,2,0))</f>
        <v/>
      </c>
      <c r="BF4405" s="744" t="str">
        <f>IF(D4405="","",VLOOKUP(D4405,'General Basis'!$J$39:$L$46,3,0))</f>
        <v/>
      </c>
      <c r="BG4405" s="744" t="str">
        <f t="shared" si="1529"/>
        <v/>
      </c>
      <c r="BH4405" s="744" t="str">
        <f>IF(G4405="","",IF(BF4405="Abu Dhabi",IF(G4405&lt;18,'General Basis'!$C$39,IF(G4405&lt;41,'General Basis'!$C$40,IF(G4405&lt;60,'General Basis'!$C$41,IF(G4405&lt;65,'General Basis'!$C$42,'General Basis'!$C$43)))),IF(G4405&lt;11,'General Basis'!$B$39,IF(G4405&lt;18,'General Basis'!$B$40,IF(G4405&lt;26,'General Basis'!$B$41,IF(G4405&lt;31,'General Basis'!$B$42,IF(G4405&lt;36,'General Basis'!$B$43,IF(G4405&lt;41,'General Basis'!$B$44,IF(G4405&lt;46,'General Basis'!$B$45,IF(G4405&lt;51,'General Basis'!$B$46,IF(G4405&lt;56,'General Basis'!$B$47,IF(G4405&lt;60,'General Basis'!$B$48,IF(G4405&lt;65,'General Basis'!$B$49,'General Basis'!$B$50)))))))))))))</f>
        <v/>
      </c>
      <c r="BI4405" s="744" t="str">
        <f t="shared" si="1523"/>
        <v/>
      </c>
      <c r="BJ4405" s="747" t="str">
        <f t="shared" si="1530"/>
        <v/>
      </c>
      <c r="BK4405" s="498" t="str">
        <f t="shared" si="1524"/>
        <v/>
      </c>
      <c r="BL4405" s="498" t="str">
        <f t="shared" si="1525"/>
        <v/>
      </c>
    </row>
    <row r="4406" spans="1:64" x14ac:dyDescent="0.25">
      <c r="A4406" s="762">
        <f t="shared" si="1526"/>
        <v>4401</v>
      </c>
      <c r="B4406" s="229"/>
      <c r="C4406" s="223"/>
      <c r="D4406" s="224"/>
      <c r="E4406" s="225"/>
      <c r="F4406" s="1036" t="str">
        <f t="shared" si="1532"/>
        <v/>
      </c>
      <c r="G4406" s="1037" t="str">
        <f t="shared" si="1527"/>
        <v/>
      </c>
      <c r="H4406" s="225"/>
      <c r="I4406" s="1013"/>
      <c r="J4406" s="1013"/>
      <c r="K4406" s="1028"/>
      <c r="L4406" s="1035" t="str">
        <f t="shared" si="1531"/>
        <v/>
      </c>
      <c r="S4406" s="498"/>
      <c r="AJ4406" s="498"/>
      <c r="AM4406" s="498">
        <f t="shared" si="1512"/>
        <v>0</v>
      </c>
      <c r="AN4406" s="498">
        <f t="shared" si="1513"/>
        <v>0</v>
      </c>
      <c r="AO4406" s="498">
        <f t="shared" si="1514"/>
        <v>0</v>
      </c>
      <c r="AP4406" s="498">
        <f t="shared" si="1533"/>
        <v>0</v>
      </c>
      <c r="AQ4406" s="498">
        <f t="shared" si="1528"/>
        <v>0</v>
      </c>
      <c r="AU4406" s="498">
        <f t="shared" si="1515"/>
        <v>0</v>
      </c>
      <c r="AV4406" s="498">
        <f t="shared" si="1516"/>
        <v>0</v>
      </c>
      <c r="AW4406" s="498">
        <f t="shared" si="1517"/>
        <v>0</v>
      </c>
      <c r="AX4406" s="498">
        <f t="shared" si="1518"/>
        <v>0</v>
      </c>
      <c r="AY4406" s="498">
        <f t="shared" si="1519"/>
        <v>0</v>
      </c>
      <c r="BB4406" s="498" t="str">
        <f t="shared" si="1520"/>
        <v/>
      </c>
      <c r="BC4406" s="743" t="str">
        <f t="shared" si="1521"/>
        <v/>
      </c>
      <c r="BD4406" s="743" t="str">
        <f t="shared" si="1522"/>
        <v/>
      </c>
      <c r="BE4406" s="743" t="str">
        <f>IF(D4406="","",VLOOKUP(D4406,'General Basis'!$J$39:$K$46,2,0))</f>
        <v/>
      </c>
      <c r="BF4406" s="744" t="str">
        <f>IF(D4406="","",VLOOKUP(D4406,'General Basis'!$J$39:$L$46,3,0))</f>
        <v/>
      </c>
      <c r="BG4406" s="744" t="str">
        <f t="shared" si="1529"/>
        <v/>
      </c>
      <c r="BH4406" s="744" t="str">
        <f>IF(G4406="","",IF(BF4406="Abu Dhabi",IF(G4406&lt;18,'General Basis'!$C$39,IF(G4406&lt;41,'General Basis'!$C$40,IF(G4406&lt;60,'General Basis'!$C$41,IF(G4406&lt;65,'General Basis'!$C$42,'General Basis'!$C$43)))),IF(G4406&lt;11,'General Basis'!$B$39,IF(G4406&lt;18,'General Basis'!$B$40,IF(G4406&lt;26,'General Basis'!$B$41,IF(G4406&lt;31,'General Basis'!$B$42,IF(G4406&lt;36,'General Basis'!$B$43,IF(G4406&lt;41,'General Basis'!$B$44,IF(G4406&lt;46,'General Basis'!$B$45,IF(G4406&lt;51,'General Basis'!$B$46,IF(G4406&lt;56,'General Basis'!$B$47,IF(G4406&lt;60,'General Basis'!$B$48,IF(G4406&lt;65,'General Basis'!$B$49,'General Basis'!$B$50)))))))))))))</f>
        <v/>
      </c>
      <c r="BI4406" s="744" t="str">
        <f t="shared" si="1523"/>
        <v/>
      </c>
      <c r="BJ4406" s="747" t="str">
        <f t="shared" si="1530"/>
        <v/>
      </c>
      <c r="BK4406" s="498" t="str">
        <f t="shared" si="1524"/>
        <v/>
      </c>
      <c r="BL4406" s="498" t="str">
        <f t="shared" si="1525"/>
        <v/>
      </c>
    </row>
    <row r="4407" spans="1:64" x14ac:dyDescent="0.25">
      <c r="A4407" s="762">
        <f t="shared" si="1526"/>
        <v>4402</v>
      </c>
      <c r="B4407" s="229"/>
      <c r="C4407" s="223"/>
      <c r="D4407" s="224"/>
      <c r="E4407" s="225"/>
      <c r="F4407" s="1036" t="str">
        <f t="shared" si="1532"/>
        <v/>
      </c>
      <c r="G4407" s="1037" t="str">
        <f t="shared" si="1527"/>
        <v/>
      </c>
      <c r="H4407" s="225"/>
      <c r="I4407" s="1013"/>
      <c r="J4407" s="1013"/>
      <c r="K4407" s="1028"/>
      <c r="L4407" s="1035" t="str">
        <f t="shared" si="1531"/>
        <v/>
      </c>
      <c r="S4407" s="498"/>
      <c r="AJ4407" s="498"/>
      <c r="AM4407" s="498">
        <f t="shared" si="1512"/>
        <v>0</v>
      </c>
      <c r="AN4407" s="498">
        <f t="shared" si="1513"/>
        <v>0</v>
      </c>
      <c r="AO4407" s="498">
        <f t="shared" si="1514"/>
        <v>0</v>
      </c>
      <c r="AP4407" s="498">
        <f t="shared" si="1533"/>
        <v>0</v>
      </c>
      <c r="AQ4407" s="498">
        <f t="shared" si="1528"/>
        <v>0</v>
      </c>
      <c r="AU4407" s="498">
        <f t="shared" si="1515"/>
        <v>0</v>
      </c>
      <c r="AV4407" s="498">
        <f t="shared" si="1516"/>
        <v>0</v>
      </c>
      <c r="AW4407" s="498">
        <f t="shared" si="1517"/>
        <v>0</v>
      </c>
      <c r="AX4407" s="498">
        <f t="shared" si="1518"/>
        <v>0</v>
      </c>
      <c r="AY4407" s="498">
        <f t="shared" si="1519"/>
        <v>0</v>
      </c>
      <c r="BB4407" s="498" t="str">
        <f t="shared" si="1520"/>
        <v/>
      </c>
      <c r="BC4407" s="743" t="str">
        <f t="shared" si="1521"/>
        <v/>
      </c>
      <c r="BD4407" s="743" t="str">
        <f t="shared" si="1522"/>
        <v/>
      </c>
      <c r="BE4407" s="743" t="str">
        <f>IF(D4407="","",VLOOKUP(D4407,'General Basis'!$J$39:$K$46,2,0))</f>
        <v/>
      </c>
      <c r="BF4407" s="744" t="str">
        <f>IF(D4407="","",VLOOKUP(D4407,'General Basis'!$J$39:$L$46,3,0))</f>
        <v/>
      </c>
      <c r="BG4407" s="744" t="str">
        <f t="shared" si="1529"/>
        <v/>
      </c>
      <c r="BH4407" s="744" t="str">
        <f>IF(G4407="","",IF(BF4407="Abu Dhabi",IF(G4407&lt;18,'General Basis'!$C$39,IF(G4407&lt;41,'General Basis'!$C$40,IF(G4407&lt;60,'General Basis'!$C$41,IF(G4407&lt;65,'General Basis'!$C$42,'General Basis'!$C$43)))),IF(G4407&lt;11,'General Basis'!$B$39,IF(G4407&lt;18,'General Basis'!$B$40,IF(G4407&lt;26,'General Basis'!$B$41,IF(G4407&lt;31,'General Basis'!$B$42,IF(G4407&lt;36,'General Basis'!$B$43,IF(G4407&lt;41,'General Basis'!$B$44,IF(G4407&lt;46,'General Basis'!$B$45,IF(G4407&lt;51,'General Basis'!$B$46,IF(G4407&lt;56,'General Basis'!$B$47,IF(G4407&lt;60,'General Basis'!$B$48,IF(G4407&lt;65,'General Basis'!$B$49,'General Basis'!$B$50)))))))))))))</f>
        <v/>
      </c>
      <c r="BI4407" s="744" t="str">
        <f t="shared" si="1523"/>
        <v/>
      </c>
      <c r="BJ4407" s="747" t="str">
        <f t="shared" si="1530"/>
        <v/>
      </c>
      <c r="BK4407" s="498" t="str">
        <f t="shared" si="1524"/>
        <v/>
      </c>
      <c r="BL4407" s="498" t="str">
        <f t="shared" si="1525"/>
        <v/>
      </c>
    </row>
    <row r="4408" spans="1:64" x14ac:dyDescent="0.25">
      <c r="A4408" s="762">
        <f t="shared" si="1526"/>
        <v>4403</v>
      </c>
      <c r="B4408" s="229"/>
      <c r="C4408" s="223"/>
      <c r="D4408" s="224"/>
      <c r="E4408" s="225"/>
      <c r="F4408" s="1036" t="str">
        <f t="shared" si="1532"/>
        <v/>
      </c>
      <c r="G4408" s="1037" t="str">
        <f t="shared" si="1527"/>
        <v/>
      </c>
      <c r="H4408" s="225"/>
      <c r="I4408" s="1013"/>
      <c r="J4408" s="1013"/>
      <c r="K4408" s="1028"/>
      <c r="L4408" s="1035" t="str">
        <f t="shared" si="1531"/>
        <v/>
      </c>
      <c r="S4408" s="498"/>
      <c r="AJ4408" s="498"/>
      <c r="AM4408" s="498">
        <f t="shared" si="1512"/>
        <v>0</v>
      </c>
      <c r="AN4408" s="498">
        <f t="shared" si="1513"/>
        <v>0</v>
      </c>
      <c r="AO4408" s="498">
        <f t="shared" si="1514"/>
        <v>0</v>
      </c>
      <c r="AP4408" s="498">
        <f t="shared" si="1533"/>
        <v>0</v>
      </c>
      <c r="AQ4408" s="498">
        <f t="shared" si="1528"/>
        <v>0</v>
      </c>
      <c r="AU4408" s="498">
        <f t="shared" si="1515"/>
        <v>0</v>
      </c>
      <c r="AV4408" s="498">
        <f t="shared" si="1516"/>
        <v>0</v>
      </c>
      <c r="AW4408" s="498">
        <f t="shared" si="1517"/>
        <v>0</v>
      </c>
      <c r="AX4408" s="498">
        <f t="shared" si="1518"/>
        <v>0</v>
      </c>
      <c r="AY4408" s="498">
        <f t="shared" si="1519"/>
        <v>0</v>
      </c>
      <c r="BB4408" s="498" t="str">
        <f t="shared" si="1520"/>
        <v/>
      </c>
      <c r="BC4408" s="743" t="str">
        <f t="shared" si="1521"/>
        <v/>
      </c>
      <c r="BD4408" s="743" t="str">
        <f t="shared" si="1522"/>
        <v/>
      </c>
      <c r="BE4408" s="743" t="str">
        <f>IF(D4408="","",VLOOKUP(D4408,'General Basis'!$J$39:$K$46,2,0))</f>
        <v/>
      </c>
      <c r="BF4408" s="744" t="str">
        <f>IF(D4408="","",VLOOKUP(D4408,'General Basis'!$J$39:$L$46,3,0))</f>
        <v/>
      </c>
      <c r="BG4408" s="744" t="str">
        <f t="shared" si="1529"/>
        <v/>
      </c>
      <c r="BH4408" s="744" t="str">
        <f>IF(G4408="","",IF(BF4408="Abu Dhabi",IF(G4408&lt;18,'General Basis'!$C$39,IF(G4408&lt;41,'General Basis'!$C$40,IF(G4408&lt;60,'General Basis'!$C$41,IF(G4408&lt;65,'General Basis'!$C$42,'General Basis'!$C$43)))),IF(G4408&lt;11,'General Basis'!$B$39,IF(G4408&lt;18,'General Basis'!$B$40,IF(G4408&lt;26,'General Basis'!$B$41,IF(G4408&lt;31,'General Basis'!$B$42,IF(G4408&lt;36,'General Basis'!$B$43,IF(G4408&lt;41,'General Basis'!$B$44,IF(G4408&lt;46,'General Basis'!$B$45,IF(G4408&lt;51,'General Basis'!$B$46,IF(G4408&lt;56,'General Basis'!$B$47,IF(G4408&lt;60,'General Basis'!$B$48,IF(G4408&lt;65,'General Basis'!$B$49,'General Basis'!$B$50)))))))))))))</f>
        <v/>
      </c>
      <c r="BI4408" s="744" t="str">
        <f t="shared" si="1523"/>
        <v/>
      </c>
      <c r="BJ4408" s="747" t="str">
        <f t="shared" si="1530"/>
        <v/>
      </c>
      <c r="BK4408" s="498" t="str">
        <f t="shared" si="1524"/>
        <v/>
      </c>
      <c r="BL4408" s="498" t="str">
        <f t="shared" si="1525"/>
        <v/>
      </c>
    </row>
    <row r="4409" spans="1:64" x14ac:dyDescent="0.25">
      <c r="A4409" s="762">
        <f t="shared" si="1526"/>
        <v>4404</v>
      </c>
      <c r="B4409" s="229"/>
      <c r="C4409" s="223"/>
      <c r="D4409" s="224"/>
      <c r="E4409" s="225"/>
      <c r="F4409" s="1036" t="str">
        <f t="shared" si="1532"/>
        <v/>
      </c>
      <c r="G4409" s="1037" t="str">
        <f t="shared" si="1527"/>
        <v/>
      </c>
      <c r="H4409" s="225"/>
      <c r="I4409" s="1013"/>
      <c r="J4409" s="1013"/>
      <c r="K4409" s="1028"/>
      <c r="L4409" s="1035" t="str">
        <f t="shared" si="1531"/>
        <v/>
      </c>
      <c r="S4409" s="498"/>
      <c r="AJ4409" s="498"/>
      <c r="AM4409" s="498">
        <f t="shared" si="1512"/>
        <v>0</v>
      </c>
      <c r="AN4409" s="498">
        <f t="shared" si="1513"/>
        <v>0</v>
      </c>
      <c r="AO4409" s="498">
        <f t="shared" si="1514"/>
        <v>0</v>
      </c>
      <c r="AP4409" s="498">
        <f t="shared" si="1533"/>
        <v>0</v>
      </c>
      <c r="AQ4409" s="498">
        <f t="shared" si="1528"/>
        <v>0</v>
      </c>
      <c r="AU4409" s="498">
        <f t="shared" si="1515"/>
        <v>0</v>
      </c>
      <c r="AV4409" s="498">
        <f t="shared" si="1516"/>
        <v>0</v>
      </c>
      <c r="AW4409" s="498">
        <f t="shared" si="1517"/>
        <v>0</v>
      </c>
      <c r="AX4409" s="498">
        <f t="shared" si="1518"/>
        <v>0</v>
      </c>
      <c r="AY4409" s="498">
        <f t="shared" si="1519"/>
        <v>0</v>
      </c>
      <c r="BB4409" s="498" t="str">
        <f t="shared" si="1520"/>
        <v/>
      </c>
      <c r="BC4409" s="743" t="str">
        <f t="shared" si="1521"/>
        <v/>
      </c>
      <c r="BD4409" s="743" t="str">
        <f t="shared" si="1522"/>
        <v/>
      </c>
      <c r="BE4409" s="743" t="str">
        <f>IF(D4409="","",VLOOKUP(D4409,'General Basis'!$J$39:$K$46,2,0))</f>
        <v/>
      </c>
      <c r="BF4409" s="744" t="str">
        <f>IF(D4409="","",VLOOKUP(D4409,'General Basis'!$J$39:$L$46,3,0))</f>
        <v/>
      </c>
      <c r="BG4409" s="744" t="str">
        <f t="shared" si="1529"/>
        <v/>
      </c>
      <c r="BH4409" s="744" t="str">
        <f>IF(G4409="","",IF(BF4409="Abu Dhabi",IF(G4409&lt;18,'General Basis'!$C$39,IF(G4409&lt;41,'General Basis'!$C$40,IF(G4409&lt;60,'General Basis'!$C$41,IF(G4409&lt;65,'General Basis'!$C$42,'General Basis'!$C$43)))),IF(G4409&lt;11,'General Basis'!$B$39,IF(G4409&lt;18,'General Basis'!$B$40,IF(G4409&lt;26,'General Basis'!$B$41,IF(G4409&lt;31,'General Basis'!$B$42,IF(G4409&lt;36,'General Basis'!$B$43,IF(G4409&lt;41,'General Basis'!$B$44,IF(G4409&lt;46,'General Basis'!$B$45,IF(G4409&lt;51,'General Basis'!$B$46,IF(G4409&lt;56,'General Basis'!$B$47,IF(G4409&lt;60,'General Basis'!$B$48,IF(G4409&lt;65,'General Basis'!$B$49,'General Basis'!$B$50)))))))))))))</f>
        <v/>
      </c>
      <c r="BI4409" s="744" t="str">
        <f t="shared" si="1523"/>
        <v/>
      </c>
      <c r="BJ4409" s="747" t="str">
        <f t="shared" si="1530"/>
        <v/>
      </c>
      <c r="BK4409" s="498" t="str">
        <f t="shared" si="1524"/>
        <v/>
      </c>
      <c r="BL4409" s="498" t="str">
        <f t="shared" si="1525"/>
        <v/>
      </c>
    </row>
    <row r="4410" spans="1:64" x14ac:dyDescent="0.25">
      <c r="A4410" s="762">
        <f t="shared" si="1526"/>
        <v>4405</v>
      </c>
      <c r="B4410" s="229"/>
      <c r="C4410" s="223"/>
      <c r="D4410" s="224"/>
      <c r="E4410" s="225"/>
      <c r="F4410" s="1036" t="str">
        <f t="shared" si="1532"/>
        <v/>
      </c>
      <c r="G4410" s="1037" t="str">
        <f t="shared" si="1527"/>
        <v/>
      </c>
      <c r="H4410" s="225"/>
      <c r="I4410" s="1013"/>
      <c r="J4410" s="1013"/>
      <c r="K4410" s="1028"/>
      <c r="L4410" s="1035" t="str">
        <f t="shared" si="1531"/>
        <v/>
      </c>
      <c r="S4410" s="498"/>
      <c r="AJ4410" s="498"/>
      <c r="AM4410" s="498">
        <f t="shared" si="1512"/>
        <v>0</v>
      </c>
      <c r="AN4410" s="498">
        <f t="shared" si="1513"/>
        <v>0</v>
      </c>
      <c r="AO4410" s="498">
        <f t="shared" si="1514"/>
        <v>0</v>
      </c>
      <c r="AP4410" s="498">
        <f t="shared" si="1533"/>
        <v>0</v>
      </c>
      <c r="AQ4410" s="498">
        <f t="shared" si="1528"/>
        <v>0</v>
      </c>
      <c r="AU4410" s="498">
        <f t="shared" si="1515"/>
        <v>0</v>
      </c>
      <c r="AV4410" s="498">
        <f t="shared" si="1516"/>
        <v>0</v>
      </c>
      <c r="AW4410" s="498">
        <f t="shared" si="1517"/>
        <v>0</v>
      </c>
      <c r="AX4410" s="498">
        <f t="shared" si="1518"/>
        <v>0</v>
      </c>
      <c r="AY4410" s="498">
        <f t="shared" si="1519"/>
        <v>0</v>
      </c>
      <c r="BB4410" s="498" t="str">
        <f t="shared" si="1520"/>
        <v/>
      </c>
      <c r="BC4410" s="743" t="str">
        <f t="shared" si="1521"/>
        <v/>
      </c>
      <c r="BD4410" s="743" t="str">
        <f t="shared" si="1522"/>
        <v/>
      </c>
      <c r="BE4410" s="743" t="str">
        <f>IF(D4410="","",VLOOKUP(D4410,'General Basis'!$J$39:$K$46,2,0))</f>
        <v/>
      </c>
      <c r="BF4410" s="744" t="str">
        <f>IF(D4410="","",VLOOKUP(D4410,'General Basis'!$J$39:$L$46,3,0))</f>
        <v/>
      </c>
      <c r="BG4410" s="744" t="str">
        <f t="shared" si="1529"/>
        <v/>
      </c>
      <c r="BH4410" s="744" t="str">
        <f>IF(G4410="","",IF(BF4410="Abu Dhabi",IF(G4410&lt;18,'General Basis'!$C$39,IF(G4410&lt;41,'General Basis'!$C$40,IF(G4410&lt;60,'General Basis'!$C$41,IF(G4410&lt;65,'General Basis'!$C$42,'General Basis'!$C$43)))),IF(G4410&lt;11,'General Basis'!$B$39,IF(G4410&lt;18,'General Basis'!$B$40,IF(G4410&lt;26,'General Basis'!$B$41,IF(G4410&lt;31,'General Basis'!$B$42,IF(G4410&lt;36,'General Basis'!$B$43,IF(G4410&lt;41,'General Basis'!$B$44,IF(G4410&lt;46,'General Basis'!$B$45,IF(G4410&lt;51,'General Basis'!$B$46,IF(G4410&lt;56,'General Basis'!$B$47,IF(G4410&lt;60,'General Basis'!$B$48,IF(G4410&lt;65,'General Basis'!$B$49,'General Basis'!$B$50)))))))))))))</f>
        <v/>
      </c>
      <c r="BI4410" s="744" t="str">
        <f t="shared" si="1523"/>
        <v/>
      </c>
      <c r="BJ4410" s="747" t="str">
        <f t="shared" si="1530"/>
        <v/>
      </c>
      <c r="BK4410" s="498" t="str">
        <f t="shared" si="1524"/>
        <v/>
      </c>
      <c r="BL4410" s="498" t="str">
        <f t="shared" si="1525"/>
        <v/>
      </c>
    </row>
    <row r="4411" spans="1:64" x14ac:dyDescent="0.25">
      <c r="A4411" s="762">
        <f t="shared" si="1526"/>
        <v>4406</v>
      </c>
      <c r="B4411" s="229"/>
      <c r="C4411" s="223"/>
      <c r="D4411" s="224"/>
      <c r="E4411" s="225"/>
      <c r="F4411" s="1036" t="str">
        <f t="shared" si="1532"/>
        <v/>
      </c>
      <c r="G4411" s="1037" t="str">
        <f t="shared" si="1527"/>
        <v/>
      </c>
      <c r="H4411" s="225"/>
      <c r="I4411" s="1013"/>
      <c r="J4411" s="1013"/>
      <c r="K4411" s="1028"/>
      <c r="L4411" s="1035" t="str">
        <f t="shared" si="1531"/>
        <v/>
      </c>
      <c r="S4411" s="498"/>
      <c r="AJ4411" s="498"/>
      <c r="AM4411" s="498">
        <f t="shared" si="1512"/>
        <v>0</v>
      </c>
      <c r="AN4411" s="498">
        <f t="shared" si="1513"/>
        <v>0</v>
      </c>
      <c r="AO4411" s="498">
        <f t="shared" si="1514"/>
        <v>0</v>
      </c>
      <c r="AP4411" s="498">
        <f t="shared" si="1533"/>
        <v>0</v>
      </c>
      <c r="AQ4411" s="498">
        <f t="shared" si="1528"/>
        <v>0</v>
      </c>
      <c r="AU4411" s="498">
        <f t="shared" si="1515"/>
        <v>0</v>
      </c>
      <c r="AV4411" s="498">
        <f t="shared" si="1516"/>
        <v>0</v>
      </c>
      <c r="AW4411" s="498">
        <f t="shared" si="1517"/>
        <v>0</v>
      </c>
      <c r="AX4411" s="498">
        <f t="shared" si="1518"/>
        <v>0</v>
      </c>
      <c r="AY4411" s="498">
        <f t="shared" si="1519"/>
        <v>0</v>
      </c>
      <c r="BB4411" s="498" t="str">
        <f t="shared" si="1520"/>
        <v/>
      </c>
      <c r="BC4411" s="743" t="str">
        <f t="shared" si="1521"/>
        <v/>
      </c>
      <c r="BD4411" s="743" t="str">
        <f t="shared" si="1522"/>
        <v/>
      </c>
      <c r="BE4411" s="743" t="str">
        <f>IF(D4411="","",VLOOKUP(D4411,'General Basis'!$J$39:$K$46,2,0))</f>
        <v/>
      </c>
      <c r="BF4411" s="744" t="str">
        <f>IF(D4411="","",VLOOKUP(D4411,'General Basis'!$J$39:$L$46,3,0))</f>
        <v/>
      </c>
      <c r="BG4411" s="744" t="str">
        <f t="shared" si="1529"/>
        <v/>
      </c>
      <c r="BH4411" s="744" t="str">
        <f>IF(G4411="","",IF(BF4411="Abu Dhabi",IF(G4411&lt;18,'General Basis'!$C$39,IF(G4411&lt;41,'General Basis'!$C$40,IF(G4411&lt;60,'General Basis'!$C$41,IF(G4411&lt;65,'General Basis'!$C$42,'General Basis'!$C$43)))),IF(G4411&lt;11,'General Basis'!$B$39,IF(G4411&lt;18,'General Basis'!$B$40,IF(G4411&lt;26,'General Basis'!$B$41,IF(G4411&lt;31,'General Basis'!$B$42,IF(G4411&lt;36,'General Basis'!$B$43,IF(G4411&lt;41,'General Basis'!$B$44,IF(G4411&lt;46,'General Basis'!$B$45,IF(G4411&lt;51,'General Basis'!$B$46,IF(G4411&lt;56,'General Basis'!$B$47,IF(G4411&lt;60,'General Basis'!$B$48,IF(G4411&lt;65,'General Basis'!$B$49,'General Basis'!$B$50)))))))))))))</f>
        <v/>
      </c>
      <c r="BI4411" s="744" t="str">
        <f t="shared" si="1523"/>
        <v/>
      </c>
      <c r="BJ4411" s="747" t="str">
        <f t="shared" si="1530"/>
        <v/>
      </c>
      <c r="BK4411" s="498" t="str">
        <f t="shared" si="1524"/>
        <v/>
      </c>
      <c r="BL4411" s="498" t="str">
        <f t="shared" si="1525"/>
        <v/>
      </c>
    </row>
    <row r="4412" spans="1:64" x14ac:dyDescent="0.25">
      <c r="A4412" s="762">
        <f t="shared" si="1526"/>
        <v>4407</v>
      </c>
      <c r="B4412" s="229"/>
      <c r="C4412" s="223"/>
      <c r="D4412" s="224"/>
      <c r="E4412" s="225"/>
      <c r="F4412" s="1036" t="str">
        <f t="shared" si="1532"/>
        <v/>
      </c>
      <c r="G4412" s="1037" t="str">
        <f t="shared" si="1527"/>
        <v/>
      </c>
      <c r="H4412" s="225"/>
      <c r="I4412" s="1013"/>
      <c r="J4412" s="1013"/>
      <c r="K4412" s="1028"/>
      <c r="L4412" s="1035" t="str">
        <f t="shared" si="1531"/>
        <v/>
      </c>
      <c r="S4412" s="498"/>
      <c r="AJ4412" s="498"/>
      <c r="AM4412" s="498">
        <f t="shared" si="1512"/>
        <v>0</v>
      </c>
      <c r="AN4412" s="498">
        <f t="shared" si="1513"/>
        <v>0</v>
      </c>
      <c r="AO4412" s="498">
        <f t="shared" si="1514"/>
        <v>0</v>
      </c>
      <c r="AP4412" s="498">
        <f t="shared" si="1533"/>
        <v>0</v>
      </c>
      <c r="AQ4412" s="498">
        <f t="shared" si="1528"/>
        <v>0</v>
      </c>
      <c r="AU4412" s="498">
        <f t="shared" si="1515"/>
        <v>0</v>
      </c>
      <c r="AV4412" s="498">
        <f t="shared" si="1516"/>
        <v>0</v>
      </c>
      <c r="AW4412" s="498">
        <f t="shared" si="1517"/>
        <v>0</v>
      </c>
      <c r="AX4412" s="498">
        <f t="shared" si="1518"/>
        <v>0</v>
      </c>
      <c r="AY4412" s="498">
        <f t="shared" si="1519"/>
        <v>0</v>
      </c>
      <c r="BB4412" s="498" t="str">
        <f t="shared" si="1520"/>
        <v/>
      </c>
      <c r="BC4412" s="743" t="str">
        <f t="shared" si="1521"/>
        <v/>
      </c>
      <c r="BD4412" s="743" t="str">
        <f t="shared" si="1522"/>
        <v/>
      </c>
      <c r="BE4412" s="743" t="str">
        <f>IF(D4412="","",VLOOKUP(D4412,'General Basis'!$J$39:$K$46,2,0))</f>
        <v/>
      </c>
      <c r="BF4412" s="744" t="str">
        <f>IF(D4412="","",VLOOKUP(D4412,'General Basis'!$J$39:$L$46,3,0))</f>
        <v/>
      </c>
      <c r="BG4412" s="744" t="str">
        <f t="shared" si="1529"/>
        <v/>
      </c>
      <c r="BH4412" s="744" t="str">
        <f>IF(G4412="","",IF(BF4412="Abu Dhabi",IF(G4412&lt;18,'General Basis'!$C$39,IF(G4412&lt;41,'General Basis'!$C$40,IF(G4412&lt;60,'General Basis'!$C$41,IF(G4412&lt;65,'General Basis'!$C$42,'General Basis'!$C$43)))),IF(G4412&lt;11,'General Basis'!$B$39,IF(G4412&lt;18,'General Basis'!$B$40,IF(G4412&lt;26,'General Basis'!$B$41,IF(G4412&lt;31,'General Basis'!$B$42,IF(G4412&lt;36,'General Basis'!$B$43,IF(G4412&lt;41,'General Basis'!$B$44,IF(G4412&lt;46,'General Basis'!$B$45,IF(G4412&lt;51,'General Basis'!$B$46,IF(G4412&lt;56,'General Basis'!$B$47,IF(G4412&lt;60,'General Basis'!$B$48,IF(G4412&lt;65,'General Basis'!$B$49,'General Basis'!$B$50)))))))))))))</f>
        <v/>
      </c>
      <c r="BI4412" s="744" t="str">
        <f t="shared" si="1523"/>
        <v/>
      </c>
      <c r="BJ4412" s="747" t="str">
        <f t="shared" si="1530"/>
        <v/>
      </c>
      <c r="BK4412" s="498" t="str">
        <f t="shared" si="1524"/>
        <v/>
      </c>
      <c r="BL4412" s="498" t="str">
        <f t="shared" si="1525"/>
        <v/>
      </c>
    </row>
    <row r="4413" spans="1:64" x14ac:dyDescent="0.25">
      <c r="A4413" s="762">
        <f t="shared" si="1526"/>
        <v>4408</v>
      </c>
      <c r="B4413" s="229"/>
      <c r="C4413" s="223"/>
      <c r="D4413" s="224"/>
      <c r="E4413" s="225"/>
      <c r="F4413" s="1036" t="str">
        <f t="shared" si="1532"/>
        <v/>
      </c>
      <c r="G4413" s="1037" t="str">
        <f t="shared" si="1527"/>
        <v/>
      </c>
      <c r="H4413" s="225"/>
      <c r="I4413" s="1013"/>
      <c r="J4413" s="1013"/>
      <c r="K4413" s="1028"/>
      <c r="L4413" s="1035" t="str">
        <f t="shared" si="1531"/>
        <v/>
      </c>
      <c r="S4413" s="498"/>
      <c r="AJ4413" s="498"/>
      <c r="AM4413" s="498">
        <f t="shared" si="1512"/>
        <v>0</v>
      </c>
      <c r="AN4413" s="498">
        <f t="shared" si="1513"/>
        <v>0</v>
      </c>
      <c r="AO4413" s="498">
        <f t="shared" si="1514"/>
        <v>0</v>
      </c>
      <c r="AP4413" s="498">
        <f t="shared" si="1533"/>
        <v>0</v>
      </c>
      <c r="AQ4413" s="498">
        <f t="shared" si="1528"/>
        <v>0</v>
      </c>
      <c r="AU4413" s="498">
        <f t="shared" si="1515"/>
        <v>0</v>
      </c>
      <c r="AV4413" s="498">
        <f t="shared" si="1516"/>
        <v>0</v>
      </c>
      <c r="AW4413" s="498">
        <f t="shared" si="1517"/>
        <v>0</v>
      </c>
      <c r="AX4413" s="498">
        <f t="shared" si="1518"/>
        <v>0</v>
      </c>
      <c r="AY4413" s="498">
        <f t="shared" si="1519"/>
        <v>0</v>
      </c>
      <c r="BB4413" s="498" t="str">
        <f t="shared" si="1520"/>
        <v/>
      </c>
      <c r="BC4413" s="743" t="str">
        <f t="shared" si="1521"/>
        <v/>
      </c>
      <c r="BD4413" s="743" t="str">
        <f t="shared" si="1522"/>
        <v/>
      </c>
      <c r="BE4413" s="743" t="str">
        <f>IF(D4413="","",VLOOKUP(D4413,'General Basis'!$J$39:$K$46,2,0))</f>
        <v/>
      </c>
      <c r="BF4413" s="744" t="str">
        <f>IF(D4413="","",VLOOKUP(D4413,'General Basis'!$J$39:$L$46,3,0))</f>
        <v/>
      </c>
      <c r="BG4413" s="744" t="str">
        <f t="shared" si="1529"/>
        <v/>
      </c>
      <c r="BH4413" s="744" t="str">
        <f>IF(G4413="","",IF(BF4413="Abu Dhabi",IF(G4413&lt;18,'General Basis'!$C$39,IF(G4413&lt;41,'General Basis'!$C$40,IF(G4413&lt;60,'General Basis'!$C$41,IF(G4413&lt;65,'General Basis'!$C$42,'General Basis'!$C$43)))),IF(G4413&lt;11,'General Basis'!$B$39,IF(G4413&lt;18,'General Basis'!$B$40,IF(G4413&lt;26,'General Basis'!$B$41,IF(G4413&lt;31,'General Basis'!$B$42,IF(G4413&lt;36,'General Basis'!$B$43,IF(G4413&lt;41,'General Basis'!$B$44,IF(G4413&lt;46,'General Basis'!$B$45,IF(G4413&lt;51,'General Basis'!$B$46,IF(G4413&lt;56,'General Basis'!$B$47,IF(G4413&lt;60,'General Basis'!$B$48,IF(G4413&lt;65,'General Basis'!$B$49,'General Basis'!$B$50)))))))))))))</f>
        <v/>
      </c>
      <c r="BI4413" s="744" t="str">
        <f t="shared" si="1523"/>
        <v/>
      </c>
      <c r="BJ4413" s="747" t="str">
        <f t="shared" si="1530"/>
        <v/>
      </c>
      <c r="BK4413" s="498" t="str">
        <f t="shared" si="1524"/>
        <v/>
      </c>
      <c r="BL4413" s="498" t="str">
        <f t="shared" si="1525"/>
        <v/>
      </c>
    </row>
    <row r="4414" spans="1:64" x14ac:dyDescent="0.25">
      <c r="A4414" s="762">
        <f t="shared" si="1526"/>
        <v>4409</v>
      </c>
      <c r="B4414" s="229"/>
      <c r="C4414" s="223"/>
      <c r="D4414" s="224"/>
      <c r="E4414" s="225"/>
      <c r="F4414" s="1036" t="str">
        <f t="shared" si="1532"/>
        <v/>
      </c>
      <c r="G4414" s="1037" t="str">
        <f t="shared" si="1527"/>
        <v/>
      </c>
      <c r="H4414" s="225"/>
      <c r="I4414" s="1013"/>
      <c r="J4414" s="1013"/>
      <c r="K4414" s="1028"/>
      <c r="L4414" s="1035" t="str">
        <f t="shared" si="1531"/>
        <v/>
      </c>
      <c r="S4414" s="498"/>
      <c r="AJ4414" s="498"/>
      <c r="AM4414" s="498">
        <f t="shared" si="1512"/>
        <v>0</v>
      </c>
      <c r="AN4414" s="498">
        <f t="shared" si="1513"/>
        <v>0</v>
      </c>
      <c r="AO4414" s="498">
        <f t="shared" si="1514"/>
        <v>0</v>
      </c>
      <c r="AP4414" s="498">
        <f t="shared" si="1533"/>
        <v>0</v>
      </c>
      <c r="AQ4414" s="498">
        <f t="shared" si="1528"/>
        <v>0</v>
      </c>
      <c r="AU4414" s="498">
        <f t="shared" si="1515"/>
        <v>0</v>
      </c>
      <c r="AV4414" s="498">
        <f t="shared" si="1516"/>
        <v>0</v>
      </c>
      <c r="AW4414" s="498">
        <f t="shared" si="1517"/>
        <v>0</v>
      </c>
      <c r="AX4414" s="498">
        <f t="shared" si="1518"/>
        <v>0</v>
      </c>
      <c r="AY4414" s="498">
        <f t="shared" si="1519"/>
        <v>0</v>
      </c>
      <c r="BB4414" s="498" t="str">
        <f t="shared" si="1520"/>
        <v/>
      </c>
      <c r="BC4414" s="743" t="str">
        <f t="shared" si="1521"/>
        <v/>
      </c>
      <c r="BD4414" s="743" t="str">
        <f t="shared" si="1522"/>
        <v/>
      </c>
      <c r="BE4414" s="743" t="str">
        <f>IF(D4414="","",VLOOKUP(D4414,'General Basis'!$J$39:$K$46,2,0))</f>
        <v/>
      </c>
      <c r="BF4414" s="744" t="str">
        <f>IF(D4414="","",VLOOKUP(D4414,'General Basis'!$J$39:$L$46,3,0))</f>
        <v/>
      </c>
      <c r="BG4414" s="744" t="str">
        <f t="shared" si="1529"/>
        <v/>
      </c>
      <c r="BH4414" s="744" t="str">
        <f>IF(G4414="","",IF(BF4414="Abu Dhabi",IF(G4414&lt;18,'General Basis'!$C$39,IF(G4414&lt;41,'General Basis'!$C$40,IF(G4414&lt;60,'General Basis'!$C$41,IF(G4414&lt;65,'General Basis'!$C$42,'General Basis'!$C$43)))),IF(G4414&lt;11,'General Basis'!$B$39,IF(G4414&lt;18,'General Basis'!$B$40,IF(G4414&lt;26,'General Basis'!$B$41,IF(G4414&lt;31,'General Basis'!$B$42,IF(G4414&lt;36,'General Basis'!$B$43,IF(G4414&lt;41,'General Basis'!$B$44,IF(G4414&lt;46,'General Basis'!$B$45,IF(G4414&lt;51,'General Basis'!$B$46,IF(G4414&lt;56,'General Basis'!$B$47,IF(G4414&lt;60,'General Basis'!$B$48,IF(G4414&lt;65,'General Basis'!$B$49,'General Basis'!$B$50)))))))))))))</f>
        <v/>
      </c>
      <c r="BI4414" s="744" t="str">
        <f t="shared" si="1523"/>
        <v/>
      </c>
      <c r="BJ4414" s="747" t="str">
        <f t="shared" si="1530"/>
        <v/>
      </c>
      <c r="BK4414" s="498" t="str">
        <f t="shared" si="1524"/>
        <v/>
      </c>
      <c r="BL4414" s="498" t="str">
        <f t="shared" si="1525"/>
        <v/>
      </c>
    </row>
    <row r="4415" spans="1:64" x14ac:dyDescent="0.25">
      <c r="A4415" s="762">
        <f t="shared" si="1526"/>
        <v>4410</v>
      </c>
      <c r="B4415" s="229"/>
      <c r="C4415" s="223"/>
      <c r="D4415" s="224"/>
      <c r="E4415" s="225"/>
      <c r="F4415" s="1036" t="str">
        <f t="shared" si="1532"/>
        <v/>
      </c>
      <c r="G4415" s="1037" t="str">
        <f t="shared" si="1527"/>
        <v/>
      </c>
      <c r="H4415" s="225"/>
      <c r="I4415" s="1013"/>
      <c r="J4415" s="1013"/>
      <c r="K4415" s="1028"/>
      <c r="L4415" s="1035" t="str">
        <f t="shared" si="1531"/>
        <v/>
      </c>
      <c r="S4415" s="498"/>
      <c r="AJ4415" s="498"/>
      <c r="AM4415" s="498">
        <f t="shared" si="1512"/>
        <v>0</v>
      </c>
      <c r="AN4415" s="498">
        <f t="shared" si="1513"/>
        <v>0</v>
      </c>
      <c r="AO4415" s="498">
        <f t="shared" si="1514"/>
        <v>0</v>
      </c>
      <c r="AP4415" s="498">
        <f t="shared" si="1533"/>
        <v>0</v>
      </c>
      <c r="AQ4415" s="498">
        <f t="shared" si="1528"/>
        <v>0</v>
      </c>
      <c r="AU4415" s="498">
        <f t="shared" si="1515"/>
        <v>0</v>
      </c>
      <c r="AV4415" s="498">
        <f t="shared" si="1516"/>
        <v>0</v>
      </c>
      <c r="AW4415" s="498">
        <f t="shared" si="1517"/>
        <v>0</v>
      </c>
      <c r="AX4415" s="498">
        <f t="shared" si="1518"/>
        <v>0</v>
      </c>
      <c r="AY4415" s="498">
        <f t="shared" si="1519"/>
        <v>0</v>
      </c>
      <c r="BB4415" s="498" t="str">
        <f t="shared" si="1520"/>
        <v/>
      </c>
      <c r="BC4415" s="743" t="str">
        <f t="shared" si="1521"/>
        <v/>
      </c>
      <c r="BD4415" s="743" t="str">
        <f t="shared" si="1522"/>
        <v/>
      </c>
      <c r="BE4415" s="743" t="str">
        <f>IF(D4415="","",VLOOKUP(D4415,'General Basis'!$J$39:$K$46,2,0))</f>
        <v/>
      </c>
      <c r="BF4415" s="744" t="str">
        <f>IF(D4415="","",VLOOKUP(D4415,'General Basis'!$J$39:$L$46,3,0))</f>
        <v/>
      </c>
      <c r="BG4415" s="744" t="str">
        <f t="shared" si="1529"/>
        <v/>
      </c>
      <c r="BH4415" s="744" t="str">
        <f>IF(G4415="","",IF(BF4415="Abu Dhabi",IF(G4415&lt;18,'General Basis'!$C$39,IF(G4415&lt;41,'General Basis'!$C$40,IF(G4415&lt;60,'General Basis'!$C$41,IF(G4415&lt;65,'General Basis'!$C$42,'General Basis'!$C$43)))),IF(G4415&lt;11,'General Basis'!$B$39,IF(G4415&lt;18,'General Basis'!$B$40,IF(G4415&lt;26,'General Basis'!$B$41,IF(G4415&lt;31,'General Basis'!$B$42,IF(G4415&lt;36,'General Basis'!$B$43,IF(G4415&lt;41,'General Basis'!$B$44,IF(G4415&lt;46,'General Basis'!$B$45,IF(G4415&lt;51,'General Basis'!$B$46,IF(G4415&lt;56,'General Basis'!$B$47,IF(G4415&lt;60,'General Basis'!$B$48,IF(G4415&lt;65,'General Basis'!$B$49,'General Basis'!$B$50)))))))))))))</f>
        <v/>
      </c>
      <c r="BI4415" s="744" t="str">
        <f t="shared" si="1523"/>
        <v/>
      </c>
      <c r="BJ4415" s="747" t="str">
        <f t="shared" si="1530"/>
        <v/>
      </c>
      <c r="BK4415" s="498" t="str">
        <f t="shared" si="1524"/>
        <v/>
      </c>
      <c r="BL4415" s="498" t="str">
        <f t="shared" si="1525"/>
        <v/>
      </c>
    </row>
    <row r="4416" spans="1:64" x14ac:dyDescent="0.25">
      <c r="A4416" s="762">
        <f t="shared" si="1526"/>
        <v>4411</v>
      </c>
      <c r="B4416" s="229"/>
      <c r="C4416" s="223"/>
      <c r="D4416" s="224"/>
      <c r="E4416" s="225"/>
      <c r="F4416" s="1036" t="str">
        <f t="shared" si="1532"/>
        <v/>
      </c>
      <c r="G4416" s="1037" t="str">
        <f t="shared" si="1527"/>
        <v/>
      </c>
      <c r="H4416" s="225"/>
      <c r="I4416" s="1013"/>
      <c r="J4416" s="1013"/>
      <c r="K4416" s="1028"/>
      <c r="L4416" s="1035" t="str">
        <f t="shared" si="1531"/>
        <v/>
      </c>
      <c r="S4416" s="498"/>
      <c r="AJ4416" s="498"/>
      <c r="AM4416" s="498">
        <f t="shared" si="1512"/>
        <v>0</v>
      </c>
      <c r="AN4416" s="498">
        <f t="shared" si="1513"/>
        <v>0</v>
      </c>
      <c r="AO4416" s="498">
        <f t="shared" si="1514"/>
        <v>0</v>
      </c>
      <c r="AP4416" s="498">
        <f t="shared" si="1533"/>
        <v>0</v>
      </c>
      <c r="AQ4416" s="498">
        <f t="shared" si="1528"/>
        <v>0</v>
      </c>
      <c r="AU4416" s="498">
        <f t="shared" si="1515"/>
        <v>0</v>
      </c>
      <c r="AV4416" s="498">
        <f t="shared" si="1516"/>
        <v>0</v>
      </c>
      <c r="AW4416" s="498">
        <f t="shared" si="1517"/>
        <v>0</v>
      </c>
      <c r="AX4416" s="498">
        <f t="shared" si="1518"/>
        <v>0</v>
      </c>
      <c r="AY4416" s="498">
        <f t="shared" si="1519"/>
        <v>0</v>
      </c>
      <c r="BB4416" s="498" t="str">
        <f t="shared" si="1520"/>
        <v/>
      </c>
      <c r="BC4416" s="743" t="str">
        <f t="shared" si="1521"/>
        <v/>
      </c>
      <c r="BD4416" s="743" t="str">
        <f t="shared" si="1522"/>
        <v/>
      </c>
      <c r="BE4416" s="743" t="str">
        <f>IF(D4416="","",VLOOKUP(D4416,'General Basis'!$J$39:$K$46,2,0))</f>
        <v/>
      </c>
      <c r="BF4416" s="744" t="str">
        <f>IF(D4416="","",VLOOKUP(D4416,'General Basis'!$J$39:$L$46,3,0))</f>
        <v/>
      </c>
      <c r="BG4416" s="744" t="str">
        <f t="shared" si="1529"/>
        <v/>
      </c>
      <c r="BH4416" s="744" t="str">
        <f>IF(G4416="","",IF(BF4416="Abu Dhabi",IF(G4416&lt;18,'General Basis'!$C$39,IF(G4416&lt;41,'General Basis'!$C$40,IF(G4416&lt;60,'General Basis'!$C$41,IF(G4416&lt;65,'General Basis'!$C$42,'General Basis'!$C$43)))),IF(G4416&lt;11,'General Basis'!$B$39,IF(G4416&lt;18,'General Basis'!$B$40,IF(G4416&lt;26,'General Basis'!$B$41,IF(G4416&lt;31,'General Basis'!$B$42,IF(G4416&lt;36,'General Basis'!$B$43,IF(G4416&lt;41,'General Basis'!$B$44,IF(G4416&lt;46,'General Basis'!$B$45,IF(G4416&lt;51,'General Basis'!$B$46,IF(G4416&lt;56,'General Basis'!$B$47,IF(G4416&lt;60,'General Basis'!$B$48,IF(G4416&lt;65,'General Basis'!$B$49,'General Basis'!$B$50)))))))))))))</f>
        <v/>
      </c>
      <c r="BI4416" s="744" t="str">
        <f t="shared" si="1523"/>
        <v/>
      </c>
      <c r="BJ4416" s="747" t="str">
        <f t="shared" si="1530"/>
        <v/>
      </c>
      <c r="BK4416" s="498" t="str">
        <f t="shared" si="1524"/>
        <v/>
      </c>
      <c r="BL4416" s="498" t="str">
        <f t="shared" si="1525"/>
        <v/>
      </c>
    </row>
    <row r="4417" spans="1:64" x14ac:dyDescent="0.25">
      <c r="A4417" s="762">
        <f t="shared" si="1526"/>
        <v>4412</v>
      </c>
      <c r="B4417" s="229"/>
      <c r="C4417" s="223"/>
      <c r="D4417" s="224"/>
      <c r="E4417" s="225"/>
      <c r="F4417" s="1036" t="str">
        <f t="shared" si="1532"/>
        <v/>
      </c>
      <c r="G4417" s="1037" t="str">
        <f t="shared" si="1527"/>
        <v/>
      </c>
      <c r="H4417" s="225"/>
      <c r="I4417" s="1013"/>
      <c r="J4417" s="1013"/>
      <c r="K4417" s="1028"/>
      <c r="L4417" s="1035" t="str">
        <f t="shared" si="1531"/>
        <v/>
      </c>
      <c r="S4417" s="498"/>
      <c r="AJ4417" s="498"/>
      <c r="AM4417" s="498">
        <f t="shared" si="1512"/>
        <v>0</v>
      </c>
      <c r="AN4417" s="498">
        <f t="shared" si="1513"/>
        <v>0</v>
      </c>
      <c r="AO4417" s="498">
        <f t="shared" si="1514"/>
        <v>0</v>
      </c>
      <c r="AP4417" s="498">
        <f t="shared" si="1533"/>
        <v>0</v>
      </c>
      <c r="AQ4417" s="498">
        <f t="shared" si="1528"/>
        <v>0</v>
      </c>
      <c r="AU4417" s="498">
        <f t="shared" si="1515"/>
        <v>0</v>
      </c>
      <c r="AV4417" s="498">
        <f t="shared" si="1516"/>
        <v>0</v>
      </c>
      <c r="AW4417" s="498">
        <f t="shared" si="1517"/>
        <v>0</v>
      </c>
      <c r="AX4417" s="498">
        <f t="shared" si="1518"/>
        <v>0</v>
      </c>
      <c r="AY4417" s="498">
        <f t="shared" si="1519"/>
        <v>0</v>
      </c>
      <c r="BB4417" s="498" t="str">
        <f t="shared" si="1520"/>
        <v/>
      </c>
      <c r="BC4417" s="743" t="str">
        <f t="shared" si="1521"/>
        <v/>
      </c>
      <c r="BD4417" s="743" t="str">
        <f t="shared" si="1522"/>
        <v/>
      </c>
      <c r="BE4417" s="743" t="str">
        <f>IF(D4417="","",VLOOKUP(D4417,'General Basis'!$J$39:$K$46,2,0))</f>
        <v/>
      </c>
      <c r="BF4417" s="744" t="str">
        <f>IF(D4417="","",VLOOKUP(D4417,'General Basis'!$J$39:$L$46,3,0))</f>
        <v/>
      </c>
      <c r="BG4417" s="744" t="str">
        <f t="shared" si="1529"/>
        <v/>
      </c>
      <c r="BH4417" s="744" t="str">
        <f>IF(G4417="","",IF(BF4417="Abu Dhabi",IF(G4417&lt;18,'General Basis'!$C$39,IF(G4417&lt;41,'General Basis'!$C$40,IF(G4417&lt;60,'General Basis'!$C$41,IF(G4417&lt;65,'General Basis'!$C$42,'General Basis'!$C$43)))),IF(G4417&lt;11,'General Basis'!$B$39,IF(G4417&lt;18,'General Basis'!$B$40,IF(G4417&lt;26,'General Basis'!$B$41,IF(G4417&lt;31,'General Basis'!$B$42,IF(G4417&lt;36,'General Basis'!$B$43,IF(G4417&lt;41,'General Basis'!$B$44,IF(G4417&lt;46,'General Basis'!$B$45,IF(G4417&lt;51,'General Basis'!$B$46,IF(G4417&lt;56,'General Basis'!$B$47,IF(G4417&lt;60,'General Basis'!$B$48,IF(G4417&lt;65,'General Basis'!$B$49,'General Basis'!$B$50)))))))))))))</f>
        <v/>
      </c>
      <c r="BI4417" s="744" t="str">
        <f t="shared" si="1523"/>
        <v/>
      </c>
      <c r="BJ4417" s="747" t="str">
        <f t="shared" si="1530"/>
        <v/>
      </c>
      <c r="BK4417" s="498" t="str">
        <f t="shared" si="1524"/>
        <v/>
      </c>
      <c r="BL4417" s="498" t="str">
        <f t="shared" si="1525"/>
        <v/>
      </c>
    </row>
    <row r="4418" spans="1:64" x14ac:dyDescent="0.25">
      <c r="A4418" s="762">
        <f t="shared" si="1526"/>
        <v>4413</v>
      </c>
      <c r="B4418" s="229"/>
      <c r="C4418" s="223"/>
      <c r="D4418" s="224"/>
      <c r="E4418" s="225"/>
      <c r="F4418" s="1036" t="str">
        <f t="shared" si="1532"/>
        <v/>
      </c>
      <c r="G4418" s="1037" t="str">
        <f t="shared" si="1527"/>
        <v/>
      </c>
      <c r="H4418" s="225"/>
      <c r="I4418" s="1013"/>
      <c r="J4418" s="1013"/>
      <c r="K4418" s="1028"/>
      <c r="L4418" s="1035" t="str">
        <f t="shared" si="1531"/>
        <v/>
      </c>
      <c r="S4418" s="498"/>
      <c r="AJ4418" s="498"/>
      <c r="AM4418" s="498">
        <f t="shared" si="1512"/>
        <v>0</v>
      </c>
      <c r="AN4418" s="498">
        <f t="shared" si="1513"/>
        <v>0</v>
      </c>
      <c r="AO4418" s="498">
        <f t="shared" si="1514"/>
        <v>0</v>
      </c>
      <c r="AP4418" s="498">
        <f t="shared" si="1533"/>
        <v>0</v>
      </c>
      <c r="AQ4418" s="498">
        <f t="shared" si="1528"/>
        <v>0</v>
      </c>
      <c r="AU4418" s="498">
        <f t="shared" si="1515"/>
        <v>0</v>
      </c>
      <c r="AV4418" s="498">
        <f t="shared" si="1516"/>
        <v>0</v>
      </c>
      <c r="AW4418" s="498">
        <f t="shared" si="1517"/>
        <v>0</v>
      </c>
      <c r="AX4418" s="498">
        <f t="shared" si="1518"/>
        <v>0</v>
      </c>
      <c r="AY4418" s="498">
        <f t="shared" si="1519"/>
        <v>0</v>
      </c>
      <c r="BB4418" s="498" t="str">
        <f t="shared" si="1520"/>
        <v/>
      </c>
      <c r="BC4418" s="743" t="str">
        <f t="shared" si="1521"/>
        <v/>
      </c>
      <c r="BD4418" s="743" t="str">
        <f t="shared" si="1522"/>
        <v/>
      </c>
      <c r="BE4418" s="743" t="str">
        <f>IF(D4418="","",VLOOKUP(D4418,'General Basis'!$J$39:$K$46,2,0))</f>
        <v/>
      </c>
      <c r="BF4418" s="744" t="str">
        <f>IF(D4418="","",VLOOKUP(D4418,'General Basis'!$J$39:$L$46,3,0))</f>
        <v/>
      </c>
      <c r="BG4418" s="744" t="str">
        <f t="shared" si="1529"/>
        <v/>
      </c>
      <c r="BH4418" s="744" t="str">
        <f>IF(G4418="","",IF(BF4418="Abu Dhabi",IF(G4418&lt;18,'General Basis'!$C$39,IF(G4418&lt;41,'General Basis'!$C$40,IF(G4418&lt;60,'General Basis'!$C$41,IF(G4418&lt;65,'General Basis'!$C$42,'General Basis'!$C$43)))),IF(G4418&lt;11,'General Basis'!$B$39,IF(G4418&lt;18,'General Basis'!$B$40,IF(G4418&lt;26,'General Basis'!$B$41,IF(G4418&lt;31,'General Basis'!$B$42,IF(G4418&lt;36,'General Basis'!$B$43,IF(G4418&lt;41,'General Basis'!$B$44,IF(G4418&lt;46,'General Basis'!$B$45,IF(G4418&lt;51,'General Basis'!$B$46,IF(G4418&lt;56,'General Basis'!$B$47,IF(G4418&lt;60,'General Basis'!$B$48,IF(G4418&lt;65,'General Basis'!$B$49,'General Basis'!$B$50)))))))))))))</f>
        <v/>
      </c>
      <c r="BI4418" s="744" t="str">
        <f t="shared" si="1523"/>
        <v/>
      </c>
      <c r="BJ4418" s="747" t="str">
        <f t="shared" si="1530"/>
        <v/>
      </c>
      <c r="BK4418" s="498" t="str">
        <f t="shared" si="1524"/>
        <v/>
      </c>
      <c r="BL4418" s="498" t="str">
        <f t="shared" si="1525"/>
        <v/>
      </c>
    </row>
    <row r="4419" spans="1:64" x14ac:dyDescent="0.25">
      <c r="A4419" s="762">
        <f t="shared" si="1526"/>
        <v>4414</v>
      </c>
      <c r="B4419" s="229"/>
      <c r="C4419" s="223"/>
      <c r="D4419" s="224"/>
      <c r="E4419" s="225"/>
      <c r="F4419" s="1036" t="str">
        <f t="shared" si="1532"/>
        <v/>
      </c>
      <c r="G4419" s="1037" t="str">
        <f t="shared" si="1527"/>
        <v/>
      </c>
      <c r="H4419" s="225"/>
      <c r="I4419" s="1013"/>
      <c r="J4419" s="1013"/>
      <c r="K4419" s="1028"/>
      <c r="L4419" s="1035" t="str">
        <f t="shared" si="1531"/>
        <v/>
      </c>
      <c r="S4419" s="498"/>
      <c r="AJ4419" s="498"/>
      <c r="AM4419" s="498">
        <f t="shared" si="1512"/>
        <v>0</v>
      </c>
      <c r="AN4419" s="498">
        <f t="shared" si="1513"/>
        <v>0</v>
      </c>
      <c r="AO4419" s="498">
        <f t="shared" si="1514"/>
        <v>0</v>
      </c>
      <c r="AP4419" s="498">
        <f t="shared" si="1533"/>
        <v>0</v>
      </c>
      <c r="AQ4419" s="498">
        <f t="shared" si="1528"/>
        <v>0</v>
      </c>
      <c r="AU4419" s="498">
        <f t="shared" si="1515"/>
        <v>0</v>
      </c>
      <c r="AV4419" s="498">
        <f t="shared" si="1516"/>
        <v>0</v>
      </c>
      <c r="AW4419" s="498">
        <f t="shared" si="1517"/>
        <v>0</v>
      </c>
      <c r="AX4419" s="498">
        <f t="shared" si="1518"/>
        <v>0</v>
      </c>
      <c r="AY4419" s="498">
        <f t="shared" si="1519"/>
        <v>0</v>
      </c>
      <c r="BB4419" s="498" t="str">
        <f t="shared" si="1520"/>
        <v/>
      </c>
      <c r="BC4419" s="743" t="str">
        <f t="shared" si="1521"/>
        <v/>
      </c>
      <c r="BD4419" s="743" t="str">
        <f t="shared" si="1522"/>
        <v/>
      </c>
      <c r="BE4419" s="743" t="str">
        <f>IF(D4419="","",VLOOKUP(D4419,'General Basis'!$J$39:$K$46,2,0))</f>
        <v/>
      </c>
      <c r="BF4419" s="744" t="str">
        <f>IF(D4419="","",VLOOKUP(D4419,'General Basis'!$J$39:$L$46,3,0))</f>
        <v/>
      </c>
      <c r="BG4419" s="744" t="str">
        <f t="shared" si="1529"/>
        <v/>
      </c>
      <c r="BH4419" s="744" t="str">
        <f>IF(G4419="","",IF(BF4419="Abu Dhabi",IF(G4419&lt;18,'General Basis'!$C$39,IF(G4419&lt;41,'General Basis'!$C$40,IF(G4419&lt;60,'General Basis'!$C$41,IF(G4419&lt;65,'General Basis'!$C$42,'General Basis'!$C$43)))),IF(G4419&lt;11,'General Basis'!$B$39,IF(G4419&lt;18,'General Basis'!$B$40,IF(G4419&lt;26,'General Basis'!$B$41,IF(G4419&lt;31,'General Basis'!$B$42,IF(G4419&lt;36,'General Basis'!$B$43,IF(G4419&lt;41,'General Basis'!$B$44,IF(G4419&lt;46,'General Basis'!$B$45,IF(G4419&lt;51,'General Basis'!$B$46,IF(G4419&lt;56,'General Basis'!$B$47,IF(G4419&lt;60,'General Basis'!$B$48,IF(G4419&lt;65,'General Basis'!$B$49,'General Basis'!$B$50)))))))))))))</f>
        <v/>
      </c>
      <c r="BI4419" s="744" t="str">
        <f t="shared" si="1523"/>
        <v/>
      </c>
      <c r="BJ4419" s="747" t="str">
        <f t="shared" si="1530"/>
        <v/>
      </c>
      <c r="BK4419" s="498" t="str">
        <f t="shared" si="1524"/>
        <v/>
      </c>
      <c r="BL4419" s="498" t="str">
        <f t="shared" si="1525"/>
        <v/>
      </c>
    </row>
    <row r="4420" spans="1:64" x14ac:dyDescent="0.25">
      <c r="A4420" s="762">
        <f t="shared" si="1526"/>
        <v>4415</v>
      </c>
      <c r="B4420" s="229"/>
      <c r="C4420" s="223"/>
      <c r="D4420" s="224"/>
      <c r="E4420" s="225"/>
      <c r="F4420" s="1036" t="str">
        <f t="shared" si="1532"/>
        <v/>
      </c>
      <c r="G4420" s="1037" t="str">
        <f t="shared" si="1527"/>
        <v/>
      </c>
      <c r="H4420" s="225"/>
      <c r="I4420" s="1013"/>
      <c r="J4420" s="1013"/>
      <c r="K4420" s="1028"/>
      <c r="L4420" s="1035" t="str">
        <f t="shared" si="1531"/>
        <v/>
      </c>
      <c r="S4420" s="498"/>
      <c r="AJ4420" s="498"/>
      <c r="AM4420" s="498">
        <f t="shared" si="1512"/>
        <v>0</v>
      </c>
      <c r="AN4420" s="498">
        <f t="shared" si="1513"/>
        <v>0</v>
      </c>
      <c r="AO4420" s="498">
        <f t="shared" si="1514"/>
        <v>0</v>
      </c>
      <c r="AP4420" s="498">
        <f t="shared" si="1533"/>
        <v>0</v>
      </c>
      <c r="AQ4420" s="498">
        <f t="shared" si="1528"/>
        <v>0</v>
      </c>
      <c r="AU4420" s="498">
        <f t="shared" si="1515"/>
        <v>0</v>
      </c>
      <c r="AV4420" s="498">
        <f t="shared" si="1516"/>
        <v>0</v>
      </c>
      <c r="AW4420" s="498">
        <f t="shared" si="1517"/>
        <v>0</v>
      </c>
      <c r="AX4420" s="498">
        <f t="shared" si="1518"/>
        <v>0</v>
      </c>
      <c r="AY4420" s="498">
        <f t="shared" si="1519"/>
        <v>0</v>
      </c>
      <c r="BB4420" s="498" t="str">
        <f t="shared" si="1520"/>
        <v/>
      </c>
      <c r="BC4420" s="743" t="str">
        <f t="shared" si="1521"/>
        <v/>
      </c>
      <c r="BD4420" s="743" t="str">
        <f t="shared" si="1522"/>
        <v/>
      </c>
      <c r="BE4420" s="743" t="str">
        <f>IF(D4420="","",VLOOKUP(D4420,'General Basis'!$J$39:$K$46,2,0))</f>
        <v/>
      </c>
      <c r="BF4420" s="744" t="str">
        <f>IF(D4420="","",VLOOKUP(D4420,'General Basis'!$J$39:$L$46,3,0))</f>
        <v/>
      </c>
      <c r="BG4420" s="744" t="str">
        <f t="shared" si="1529"/>
        <v/>
      </c>
      <c r="BH4420" s="744" t="str">
        <f>IF(G4420="","",IF(BF4420="Abu Dhabi",IF(G4420&lt;18,'General Basis'!$C$39,IF(G4420&lt;41,'General Basis'!$C$40,IF(G4420&lt;60,'General Basis'!$C$41,IF(G4420&lt;65,'General Basis'!$C$42,'General Basis'!$C$43)))),IF(G4420&lt;11,'General Basis'!$B$39,IF(G4420&lt;18,'General Basis'!$B$40,IF(G4420&lt;26,'General Basis'!$B$41,IF(G4420&lt;31,'General Basis'!$B$42,IF(G4420&lt;36,'General Basis'!$B$43,IF(G4420&lt;41,'General Basis'!$B$44,IF(G4420&lt;46,'General Basis'!$B$45,IF(G4420&lt;51,'General Basis'!$B$46,IF(G4420&lt;56,'General Basis'!$B$47,IF(G4420&lt;60,'General Basis'!$B$48,IF(G4420&lt;65,'General Basis'!$B$49,'General Basis'!$B$50)))))))))))))</f>
        <v/>
      </c>
      <c r="BI4420" s="744" t="str">
        <f t="shared" si="1523"/>
        <v/>
      </c>
      <c r="BJ4420" s="747" t="str">
        <f t="shared" si="1530"/>
        <v/>
      </c>
      <c r="BK4420" s="498" t="str">
        <f t="shared" si="1524"/>
        <v/>
      </c>
      <c r="BL4420" s="498" t="str">
        <f t="shared" si="1525"/>
        <v/>
      </c>
    </row>
    <row r="4421" spans="1:64" x14ac:dyDescent="0.25">
      <c r="A4421" s="762">
        <f t="shared" si="1526"/>
        <v>4416</v>
      </c>
      <c r="B4421" s="229"/>
      <c r="C4421" s="223"/>
      <c r="D4421" s="224"/>
      <c r="E4421" s="225"/>
      <c r="F4421" s="1036" t="str">
        <f t="shared" si="1532"/>
        <v/>
      </c>
      <c r="G4421" s="1037" t="str">
        <f t="shared" si="1527"/>
        <v/>
      </c>
      <c r="H4421" s="225"/>
      <c r="I4421" s="1013"/>
      <c r="J4421" s="1013"/>
      <c r="K4421" s="1028"/>
      <c r="L4421" s="1035" t="str">
        <f t="shared" si="1531"/>
        <v/>
      </c>
      <c r="S4421" s="498"/>
      <c r="AJ4421" s="498"/>
      <c r="AM4421" s="498">
        <f t="shared" si="1512"/>
        <v>0</v>
      </c>
      <c r="AN4421" s="498">
        <f t="shared" si="1513"/>
        <v>0</v>
      </c>
      <c r="AO4421" s="498">
        <f t="shared" si="1514"/>
        <v>0</v>
      </c>
      <c r="AP4421" s="498">
        <f t="shared" si="1533"/>
        <v>0</v>
      </c>
      <c r="AQ4421" s="498">
        <f t="shared" si="1528"/>
        <v>0</v>
      </c>
      <c r="AU4421" s="498">
        <f t="shared" si="1515"/>
        <v>0</v>
      </c>
      <c r="AV4421" s="498">
        <f t="shared" si="1516"/>
        <v>0</v>
      </c>
      <c r="AW4421" s="498">
        <f t="shared" si="1517"/>
        <v>0</v>
      </c>
      <c r="AX4421" s="498">
        <f t="shared" si="1518"/>
        <v>0</v>
      </c>
      <c r="AY4421" s="498">
        <f t="shared" si="1519"/>
        <v>0</v>
      </c>
      <c r="BB4421" s="498" t="str">
        <f t="shared" si="1520"/>
        <v/>
      </c>
      <c r="BC4421" s="743" t="str">
        <f t="shared" si="1521"/>
        <v/>
      </c>
      <c r="BD4421" s="743" t="str">
        <f t="shared" si="1522"/>
        <v/>
      </c>
      <c r="BE4421" s="743" t="str">
        <f>IF(D4421="","",VLOOKUP(D4421,'General Basis'!$J$39:$K$46,2,0))</f>
        <v/>
      </c>
      <c r="BF4421" s="744" t="str">
        <f>IF(D4421="","",VLOOKUP(D4421,'General Basis'!$J$39:$L$46,3,0))</f>
        <v/>
      </c>
      <c r="BG4421" s="744" t="str">
        <f t="shared" si="1529"/>
        <v/>
      </c>
      <c r="BH4421" s="744" t="str">
        <f>IF(G4421="","",IF(BF4421="Abu Dhabi",IF(G4421&lt;18,'General Basis'!$C$39,IF(G4421&lt;41,'General Basis'!$C$40,IF(G4421&lt;60,'General Basis'!$C$41,IF(G4421&lt;65,'General Basis'!$C$42,'General Basis'!$C$43)))),IF(G4421&lt;11,'General Basis'!$B$39,IF(G4421&lt;18,'General Basis'!$B$40,IF(G4421&lt;26,'General Basis'!$B$41,IF(G4421&lt;31,'General Basis'!$B$42,IF(G4421&lt;36,'General Basis'!$B$43,IF(G4421&lt;41,'General Basis'!$B$44,IF(G4421&lt;46,'General Basis'!$B$45,IF(G4421&lt;51,'General Basis'!$B$46,IF(G4421&lt;56,'General Basis'!$B$47,IF(G4421&lt;60,'General Basis'!$B$48,IF(G4421&lt;65,'General Basis'!$B$49,'General Basis'!$B$50)))))))))))))</f>
        <v/>
      </c>
      <c r="BI4421" s="744" t="str">
        <f t="shared" si="1523"/>
        <v/>
      </c>
      <c r="BJ4421" s="747" t="str">
        <f t="shared" si="1530"/>
        <v/>
      </c>
      <c r="BK4421" s="498" t="str">
        <f t="shared" si="1524"/>
        <v/>
      </c>
      <c r="BL4421" s="498" t="str">
        <f t="shared" si="1525"/>
        <v/>
      </c>
    </row>
    <row r="4422" spans="1:64" x14ac:dyDescent="0.25">
      <c r="A4422" s="762">
        <f t="shared" si="1526"/>
        <v>4417</v>
      </c>
      <c r="B4422" s="229"/>
      <c r="C4422" s="223"/>
      <c r="D4422" s="224"/>
      <c r="E4422" s="225"/>
      <c r="F4422" s="1036" t="str">
        <f t="shared" si="1532"/>
        <v/>
      </c>
      <c r="G4422" s="1037" t="str">
        <f t="shared" si="1527"/>
        <v/>
      </c>
      <c r="H4422" s="225"/>
      <c r="I4422" s="1013"/>
      <c r="J4422" s="1013"/>
      <c r="K4422" s="1028"/>
      <c r="L4422" s="1035" t="str">
        <f t="shared" si="1531"/>
        <v/>
      </c>
      <c r="S4422" s="498"/>
      <c r="AJ4422" s="498"/>
      <c r="AM4422" s="498">
        <f t="shared" ref="AM4422:AM4485" si="1534">IF(ISTEXT(B4422),1,0)</f>
        <v>0</v>
      </c>
      <c r="AN4422" s="498">
        <f t="shared" ref="AN4422:AN4485" si="1535">IF(ISBLANK(B4422),0,IF(B4422&lt;$AK$6,1,0))</f>
        <v>0</v>
      </c>
      <c r="AO4422" s="498">
        <f t="shared" ref="AO4422:AO4485" si="1536">IF(ISBLANK(B4422),0,IF(B4422&gt;$AK$7,1,0))</f>
        <v>0</v>
      </c>
      <c r="AP4422" s="498">
        <f t="shared" si="1533"/>
        <v>0</v>
      </c>
      <c r="AQ4422" s="498">
        <f t="shared" si="1528"/>
        <v>0</v>
      </c>
      <c r="AU4422" s="498">
        <f t="shared" ref="AU4422:AU4485" si="1537">IF(ISBLANK(B4422),0,1)</f>
        <v>0</v>
      </c>
      <c r="AV4422" s="498">
        <f t="shared" ref="AV4422:AV4485" si="1538">IF(ISBLANK(C4422),0,1)</f>
        <v>0</v>
      </c>
      <c r="AW4422" s="498">
        <f t="shared" ref="AW4422:AW4485" si="1539">IF(ISBLANK(D4422),0,1)</f>
        <v>0</v>
      </c>
      <c r="AX4422" s="498">
        <f t="shared" ref="AX4422:AX4485" si="1540">IF(ISBLANK(E4422),0,1)</f>
        <v>0</v>
      </c>
      <c r="AY4422" s="498">
        <f t="shared" ref="AY4422:AY4485" si="1541">IF(ISBLANK(H4422),0,1)</f>
        <v>0</v>
      </c>
      <c r="BB4422" s="498" t="str">
        <f t="shared" ref="BB4422:BB4485" si="1542">IF(E4422="Principal","Principal",IF(E4422="","","Other"))</f>
        <v/>
      </c>
      <c r="BC4422" s="743" t="str">
        <f t="shared" ref="BC4422:BC4485" si="1543">IF(D4422="","",D4422)</f>
        <v/>
      </c>
      <c r="BD4422" s="743" t="str">
        <f t="shared" ref="BD4422:BD4485" si="1544">IF(E4422="Principal","Employee",IF(E4422="","","Dependent"))</f>
        <v/>
      </c>
      <c r="BE4422" s="743" t="str">
        <f>IF(D4422="","",VLOOKUP(D4422,'General Basis'!$J$39:$K$46,2,0))</f>
        <v/>
      </c>
      <c r="BF4422" s="744" t="str">
        <f>IF(D4422="","",VLOOKUP(D4422,'General Basis'!$J$39:$L$46,3,0))</f>
        <v/>
      </c>
      <c r="BG4422" s="744" t="str">
        <f t="shared" si="1529"/>
        <v/>
      </c>
      <c r="BH4422" s="744" t="str">
        <f>IF(G4422="","",IF(BF4422="Abu Dhabi",IF(G4422&lt;18,'General Basis'!$C$39,IF(G4422&lt;41,'General Basis'!$C$40,IF(G4422&lt;60,'General Basis'!$C$41,IF(G4422&lt;65,'General Basis'!$C$42,'General Basis'!$C$43)))),IF(G4422&lt;11,'General Basis'!$B$39,IF(G4422&lt;18,'General Basis'!$B$40,IF(G4422&lt;26,'General Basis'!$B$41,IF(G4422&lt;31,'General Basis'!$B$42,IF(G4422&lt;36,'General Basis'!$B$43,IF(G4422&lt;41,'General Basis'!$B$44,IF(G4422&lt;46,'General Basis'!$B$45,IF(G4422&lt;51,'General Basis'!$B$46,IF(G4422&lt;56,'General Basis'!$B$47,IF(G4422&lt;60,'General Basis'!$B$48,IF(G4422&lt;65,'General Basis'!$B$49,'General Basis'!$B$50)))))))))))))</f>
        <v/>
      </c>
      <c r="BI4422" s="744" t="str">
        <f t="shared" ref="BI4422:BI4485" si="1545">IF(C4422="","",IF(C4422="M","Male","Female"))</f>
        <v/>
      </c>
      <c r="BJ4422" s="747" t="str">
        <f t="shared" si="1530"/>
        <v/>
      </c>
      <c r="BK4422" s="498" t="str">
        <f t="shared" ref="BK4422:BK4485" si="1546">IF(BD4422="","",IF(AND(BD4422="Employee",BI4422="Male",BF4422="Abu Dhabi",BE4422=GN_Plus),VLOOKUP(BH4422,AUH_MALE_EMP,2,0),IF(AND(BD4422="Employee",BI4422="Male",BF4422="Abu Dhabi",BE4422=GN),VLOOKUP(BH4422,AUH_MALE_EMP,3,0),IF(AND(BD4422="Employee",BI4422="Male",BF4422="Abu Dhabi",BE4422=RN_Plus),VLOOKUP(BH4422,AUH_MALE_EMP,4,0),IF(AND(BD4422="Employee",BI4422="Male",BF4422="Abu Dhabi",BE4422=RN),VLOOKUP(BH4422,AUH_MALE_EMP,5,0),IF(AND(BD4422="Employee",BI4422="Male",BF4422="Abu Dhabi",BE4422=RN_2),VLOOKUP(BH4422,AUH_MALE_EMP,6,0),IF(AND(BD4422="Employee",BI4422="Male",BF4422="Abu Dhabi",BE4422=RN2_minus),VLOOKUP(BH4422,AUH_MALE_EMP,7,0),IF(AND(BD4422="Employee",BI4422="Male",BF4422="Abu Dhabi",BE4422=RN_3),VLOOKUP(BH4422,AUH_MALE_EMP,8,0),IF(AND(BD4422="Employee",BI4422="Male",BF4422="Abu Dhabi",BE4422=VN),VLOOKUP(BH4422,AUH_MALE_EMP,9,0),IF(BD4422="","",IF(AND(BD4422="Employee",BI4422="Female",BF4422="Abu Dhabi",BE4422=GN_Plus),VLOOKUP(BH4422,AUH_FEMALE_EMP,2,0),IF(AND(BD4422="Employee",BI4422="Female",BF4422="Abu Dhabi",BE4422=GN),VLOOKUP(BH4422,AUH_FEMALE_EMP,3,0),IF(AND(BD4422="Employee",BI4422="Female",BF4422="Abu Dhabi",BE4422=RN_Plus),VLOOKUP(BH4422,AUH_FEMALE_EMP,4,0),IF(AND(BD4422="Employee",BI4422="Female",BF4422="Abu Dhabi",BE4422=RN),VLOOKUP(BH4422,AUH_FEMALE_EMP,5,0),IF(AND(BD4422="Employee",BI4422="Female",BF4422="Abu Dhabi",BE4422=RN_2),VLOOKUP(BH4422,AUH_FEMALE_EMP,6,0),IF(AND(BD4422="Employee",BI4422="Female",BF4422="Abu Dhabi",BE4422=RN2_minus),VLOOKUP(BH4422,AUH_FEMALE_EMP,7,0),IF(AND(BD4422="Employee",BI4422="Female",BF4422="Abu Dhabi",BE4422=RN_3),VLOOKUP(BH4422,AUH_FEMALE_EMP,8,0),IF(AND(BD4422="Employee",BI4422="Female",BF4422="Abu Dhabi",BE4422=VN),VLOOKUP(BH4422,AUH_FEMALE_EMP,9,0),IF(BD4422="","",IF(AND(BD4422="Dependent",BI4422="Male",BF4422="Abu Dhabi",BE4422=GN_Plus),VLOOKUP(BH4422,AUH_MALE_DEP,2,0),IF(AND(BD4422="Dependent",BI4422="Male",BF4422="Abu Dhabi",BE4422=GN),VLOOKUP(BH4422,AUH_MALE_DEP,3,0),IF(AND(BD4422="Dependent",BI4422="Male",BF4422="Abu Dhabi",BE4422=RN_Plus),VLOOKUP(BH4422,AUH_MALE_DEP,4,0),IF(AND(BD4422="Dependent",BI4422="Male",BF4422="Abu Dhabi",BE4422=RN),VLOOKUP(BH4422,AUH_MALE_DEP,5,0),IF(AND(BD4422="Dependent",BI4422="Male",BF4422="Abu Dhabi",BE4422=RN_2),VLOOKUP(BH4422,AUH_MALE_DEP,6,0),IF(AND(BD4422="Dependent",BI4422="Male",BF4422="Abu Dhabi",BE4422=RN2_minus),VLOOKUP(BH4422,AUH_MALE_DEP,7,0),IF(AND(BD4422="Dependent",BI4422="Male",BF4422="Abu Dhabi",BE4422=RN_3),VLOOKUP(BH4422,AUH_MALE_DEP,8,0),IF(AND(BD4422="Dependent",BI4422="Male",BF4422="Abu Dhabi",BE4422=VN),VLOOKUP(BH4422,AUH_MALE_DEP,9,0),IF(BD4422="","",IF(AND(BD4422="Dependent",BI4422="Female",BF4422="Abu Dhabi",BE4422=GN_Plus),VLOOKUP(BH4422,AUH_FEMALE_DEP,2,0),IF(AND(BD4422="Dependent",BI4422="Female",BF4422="Abu Dhabi",BE4422=GN),VLOOKUP(BH4422,AUH_FEMALE_DEP,3,0),IF(AND(BD4422="Dependent",BI4422="Female",BF4422="Abu Dhabi",BE4422=RN_Plus),VLOOKUP(BH4422,AUH_FEMALE_DEP,4,0),IF(AND(BD4422="Dependent",BI4422="Female",BF4422="Abu Dhabi",BE4422=RN),VLOOKUP(BH4422,AUH_FEMALE_DEP,5,0),IF(AND(BD4422="Dependent",BI4422="Female",BF4422="Abu Dhabi",BE4422=RN_2),VLOOKUP(BH4422,AUH_FEMALE_DEP,6,0),IF(AND(BD4422="Dependent",BI4422="Female",BF4422="Abu Dhabi",BE4422=RN2_minus),VLOOKUP(BH4422,AUH_FEMALE_DEP,7,0),IF(AND(BD4422="Dependent",BI4422="Female",BF4422="Abu Dhabi",BE4422=RN_3),VLOOKUP(BH4422,AUH_FEMALE_DEP,8,0),IF(AND(BD4422="Dependent",BI4422="Female",BF4422="Abu Dhabi",BE4422=VN),VLOOKUP(BH4422,AUH_FEMALE_DEP,9,0),"ABC"))))))))))))))))))))))))))))))))))))</f>
        <v/>
      </c>
      <c r="BL4422" s="498" t="str">
        <f t="shared" ref="BL4422:BL4485" si="1547">IF(BD4422="","",IF(AND(BD4422="Employee",BI4422="Male",BF4422="Dubai",BE4422=GN_Plus),VLOOKUP(BH4422,DXB_MALE_EMP,2,0),IF(AND(BD4422="Employee",BI4422="Male",BF4422="Dubai",BE4422=GN),VLOOKUP(BH4422,DXB_MALE_EMP,3,0),IF(AND(BD4422="Employee",BI4422="Male",BF4422="Dubai",BE4422=RN_Plus),VLOOKUP(BH4422,DXB_MALE_EMP,4,0),IF(AND(BD4422="Employee",BI4422="Male",BF4422="Dubai",BE4422=RN),VLOOKUP(BH4422,DXB_MALE_EMP,5,0),IF(AND(BD4422="Employee",BI4422="Male",BF4422="Dubai",BE4422=RN_2),VLOOKUP(BH4422,DXB_MALE_EMP,6,0),IF(AND(BD4422="Employee",BI4422="Male",BF4422="Dubai",BE4422=RN2_minus),VLOOKUP(BH4422,DXB_MALE_EMP,7,0),IF(AND(BD4422="Employee",BI4422="Male",BF4422="Dubai",BE4422=RN_3),VLOOKUP(BH4422,DXB_MALE_EMP,8,0),IF(AND(BD4422="Employee",BI4422="Male",BF4422="Dubai",BE4422=VN),VLOOKUP(BH4422,DXB_MALE_EMP,9,0),IF(BD4422="","",IF(AND(BD4422="Employee",BI4422="Female",BF4422="Dubai",BE4422=GN_Plus),VLOOKUP(BH4422,DXB_FEMALE_EMP,2,0),IF(AND(BD4422="Employee",BI4422="Female",BF4422="Dubai",BE4422=GN),VLOOKUP(BH4422,DXB_FEMALE_EMP,3,0),IF(AND(BD4422="Employee",BI4422="Female",BF4422="Dubai",BE4422=RN_Plus),VLOOKUP(BH4422,DXB_FEMALE_EMP,4,0),IF(AND(BD4422="Employee",BI4422="Female",BF4422="Dubai",BE4422=RN),VLOOKUP(BH4422,DXB_FEMALE_EMP,5,0),IF(AND(BD4422="Employee",BI4422="Female",BF4422="Dubai",BE4422=RN_2),VLOOKUP(BH4422,DXB_FEMALE_EMP,6,0),IF(AND(BD4422="Employee",BI4422="Female",BF4422="Dubai",BE4422=RN2_minus),VLOOKUP(BH4422,DXB_FEMALE_EMP,7,0),IF(AND(BD4422="Employee",BI4422="Female",BF4422="Dubai",BE4422=RN_3),VLOOKUP(BH4422,DXB_FEMALE_EMP,8,0),IF(AND(BD4422="Employee",BI4422="Female",BF4422="Dubai",BE4422=VN),VLOOKUP(BH4422,DXB_FEMALE_EMP,9,0),IF(BD4422="","",IF(AND(BD4422="Dependent",BI4422="Male",BF4422="Dubai",BE4422=GN_Plus),VLOOKUP(BH4422,DXB_MALE_DEP,2,0),IF(AND(BD4422="Dependent",BI4422="Male",BF4422="Dubai",BE4422=GN),VLOOKUP(BH4422,DXB_MALE_DEP,3,0),IF(AND(BD4422="Dependent",BI4422="Male",BF4422="Dubai",BE4422=RN_Plus),VLOOKUP(BH4422,DXB_MALE_DEP,4,0),IF(AND(BD4422="Dependent",BI4422="Male",BF4422="Dubai",BE4422=RN),VLOOKUP(BH4422,DXB_MALE_DEP,5,0),IF(AND(BD4422="Dependent",BI4422="Male",BF4422="Dubai",BE4422=RN_2),VLOOKUP(BH4422,DXB_MALE_DEP,6,0),IF(AND(BD4422="Dependent",BI4422="Male",BF4422="Dubai",BE4422=RN2_minus),VLOOKUP(BH4422,DXB_MALE_DEP,7,0),IF(AND(BD4422="Dependent",BI4422="Male",BF4422="Dubai",BE4422=RN_3),VLOOKUP(BH4422,DXB_MALE_DEP,8,0),IF(AND(BD4422="Dependent",BI4422="Male",BF4422="Dubai",BE4422=VN),VLOOKUP(BH4422,DXB_MALE_DEP,9,0),IF(BD4422="","",IF(AND(BD4422="Dependent",BI4422="Female",BF4422="Dubai",BE4422=GN_Plus),VLOOKUP(BH4422,DXB_FEMALE_DEP,2,0),IF(AND(BD4422="Dependent",BI4422="Female",BF4422="Dubai",BE4422=GN),VLOOKUP(BH4422,DXB_FEMALE_DEP,3,0),IF(AND(BD4422="Dependent",BI4422="Female",BF4422="Dubai",BE4422=RN_Plus),VLOOKUP(BH4422,DXB_FEMALE_DEP,4,0),IF(AND(BD4422="Dependent",BI4422="Female",BF4422="Dubai",BE4422=RN),VLOOKUP(BH4422,DXB_FEMALE_DEP,5,0),IF(AND(BD4422="Dependent",BI4422="Female",BF4422="Dubai",BE4422=RN_2),VLOOKUP(BH4422,DXB_FEMALE_DEP,6,0),IF(AND(BD4422="Dependent",BI4422="Female",BF4422="Dubai",BE4422=RN2_minus),VLOOKUP(BH4422,DXB_FEMALE_DEP,7,0),IF(AND(BD4422="Dependent",BI4422="Female",BF4422="Dubai",BE4422=RN_3),VLOOKUP(BH4422,DXB_FEMALE_DEP,8,0),IF(AND(BD4422="Dependent",BI4422="Female",BF4422="Dubai",BE4422=VN),VLOOKUP(BH4422,DXB_FEMALE_DEP,9,0),"ABC"))))))))))))))))))))))))))))))))))))</f>
        <v/>
      </c>
    </row>
    <row r="4423" spans="1:64" x14ac:dyDescent="0.25">
      <c r="A4423" s="762">
        <f t="shared" ref="A4423:A4486" si="1548">+A4422+1</f>
        <v>4418</v>
      </c>
      <c r="B4423" s="229"/>
      <c r="C4423" s="223"/>
      <c r="D4423" s="224"/>
      <c r="E4423" s="225"/>
      <c r="F4423" s="1036" t="str">
        <f t="shared" si="1532"/>
        <v/>
      </c>
      <c r="G4423" s="1037" t="str">
        <f t="shared" ref="G4423:G4486" si="1549">IF(D4423="","",MAX(0,ROUNDUP(F4423,0)))</f>
        <v/>
      </c>
      <c r="H4423" s="225"/>
      <c r="I4423" s="1013"/>
      <c r="J4423" s="1013"/>
      <c r="K4423" s="1028"/>
      <c r="L4423" s="1035" t="str">
        <f t="shared" si="1531"/>
        <v/>
      </c>
      <c r="S4423" s="498"/>
      <c r="AJ4423" s="498"/>
      <c r="AM4423" s="498">
        <f t="shared" si="1534"/>
        <v>0</v>
      </c>
      <c r="AN4423" s="498">
        <f t="shared" si="1535"/>
        <v>0</v>
      </c>
      <c r="AO4423" s="498">
        <f t="shared" si="1536"/>
        <v>0</v>
      </c>
      <c r="AP4423" s="498">
        <f t="shared" si="1533"/>
        <v>0</v>
      </c>
      <c r="AQ4423" s="498">
        <f t="shared" ref="AQ4423:AQ4486" si="1550">IF(ISBLANK($B4423),0,IF(OR($H4423="Single",$H4423="Married"),0,1))</f>
        <v>0</v>
      </c>
      <c r="AU4423" s="498">
        <f t="shared" si="1537"/>
        <v>0</v>
      </c>
      <c r="AV4423" s="498">
        <f t="shared" si="1538"/>
        <v>0</v>
      </c>
      <c r="AW4423" s="498">
        <f t="shared" si="1539"/>
        <v>0</v>
      </c>
      <c r="AX4423" s="498">
        <f t="shared" si="1540"/>
        <v>0</v>
      </c>
      <c r="AY4423" s="498">
        <f t="shared" si="1541"/>
        <v>0</v>
      </c>
      <c r="BB4423" s="498" t="str">
        <f t="shared" si="1542"/>
        <v/>
      </c>
      <c r="BC4423" s="743" t="str">
        <f t="shared" si="1543"/>
        <v/>
      </c>
      <c r="BD4423" s="743" t="str">
        <f t="shared" si="1544"/>
        <v/>
      </c>
      <c r="BE4423" s="743" t="str">
        <f>IF(D4423="","",VLOOKUP(D4423,'General Basis'!$J$39:$K$46,2,0))</f>
        <v/>
      </c>
      <c r="BF4423" s="744" t="str">
        <f>IF(D4423="","",VLOOKUP(D4423,'General Basis'!$J$39:$L$46,3,0))</f>
        <v/>
      </c>
      <c r="BG4423" s="744" t="str">
        <f t="shared" ref="BG4423:BG4486" si="1551">BC4423&amp;BI4423</f>
        <v/>
      </c>
      <c r="BH4423" s="744" t="str">
        <f>IF(G4423="","",IF(BF4423="Abu Dhabi",IF(G4423&lt;18,'General Basis'!$C$39,IF(G4423&lt;41,'General Basis'!$C$40,IF(G4423&lt;60,'General Basis'!$C$41,IF(G4423&lt;65,'General Basis'!$C$42,'General Basis'!$C$43)))),IF(G4423&lt;11,'General Basis'!$B$39,IF(G4423&lt;18,'General Basis'!$B$40,IF(G4423&lt;26,'General Basis'!$B$41,IF(G4423&lt;31,'General Basis'!$B$42,IF(G4423&lt;36,'General Basis'!$B$43,IF(G4423&lt;41,'General Basis'!$B$44,IF(G4423&lt;46,'General Basis'!$B$45,IF(G4423&lt;51,'General Basis'!$B$46,IF(G4423&lt;56,'General Basis'!$B$47,IF(G4423&lt;60,'General Basis'!$B$48,IF(G4423&lt;65,'General Basis'!$B$49,'General Basis'!$B$50)))))))))))))</f>
        <v/>
      </c>
      <c r="BI4423" s="744" t="str">
        <f t="shared" si="1545"/>
        <v/>
      </c>
      <c r="BJ4423" s="747" t="str">
        <f t="shared" ref="BJ4423:BJ4486" si="1552">IF(BD4423="","",IF(BF4423="Abu Dhabi",BK4423,BL4423))</f>
        <v/>
      </c>
      <c r="BK4423" s="498" t="str">
        <f t="shared" si="1546"/>
        <v/>
      </c>
      <c r="BL4423" s="498" t="str">
        <f t="shared" si="1547"/>
        <v/>
      </c>
    </row>
    <row r="4424" spans="1:64" x14ac:dyDescent="0.25">
      <c r="A4424" s="762">
        <f t="shared" si="1548"/>
        <v>4419</v>
      </c>
      <c r="B4424" s="229"/>
      <c r="C4424" s="223"/>
      <c r="D4424" s="224"/>
      <c r="E4424" s="225"/>
      <c r="F4424" s="1036" t="str">
        <f t="shared" si="1532"/>
        <v/>
      </c>
      <c r="G4424" s="1037" t="str">
        <f t="shared" si="1549"/>
        <v/>
      </c>
      <c r="H4424" s="225"/>
      <c r="I4424" s="1013"/>
      <c r="J4424" s="1013"/>
      <c r="K4424" s="1028"/>
      <c r="L4424" s="1035" t="str">
        <f t="shared" ref="L4424:L4487" si="1553">IF(AND(E4424="Child",H4424="Married"),"Check the Marital Status of the Child. ",IF(AND(E4424="Child",F4424&gt;18),"Child Age exceed 18 years. ",IF(AND(E4424="Spouse",H4424="Single"),"Spouse is selected as Single. ","")))&amp;IF(K4424&gt;0,"UW Loading has been Applied","")</f>
        <v/>
      </c>
      <c r="S4424" s="498"/>
      <c r="AJ4424" s="498"/>
      <c r="AM4424" s="498">
        <f t="shared" si="1534"/>
        <v>0</v>
      </c>
      <c r="AN4424" s="498">
        <f t="shared" si="1535"/>
        <v>0</v>
      </c>
      <c r="AO4424" s="498">
        <f t="shared" si="1536"/>
        <v>0</v>
      </c>
      <c r="AP4424" s="498">
        <f t="shared" si="1533"/>
        <v>0</v>
      </c>
      <c r="AQ4424" s="498">
        <f t="shared" si="1550"/>
        <v>0</v>
      </c>
      <c r="AU4424" s="498">
        <f t="shared" si="1537"/>
        <v>0</v>
      </c>
      <c r="AV4424" s="498">
        <f t="shared" si="1538"/>
        <v>0</v>
      </c>
      <c r="AW4424" s="498">
        <f t="shared" si="1539"/>
        <v>0</v>
      </c>
      <c r="AX4424" s="498">
        <f t="shared" si="1540"/>
        <v>0</v>
      </c>
      <c r="AY4424" s="498">
        <f t="shared" si="1541"/>
        <v>0</v>
      </c>
      <c r="BB4424" s="498" t="str">
        <f t="shared" si="1542"/>
        <v/>
      </c>
      <c r="BC4424" s="743" t="str">
        <f t="shared" si="1543"/>
        <v/>
      </c>
      <c r="BD4424" s="743" t="str">
        <f t="shared" si="1544"/>
        <v/>
      </c>
      <c r="BE4424" s="743" t="str">
        <f>IF(D4424="","",VLOOKUP(D4424,'General Basis'!$J$39:$K$46,2,0))</f>
        <v/>
      </c>
      <c r="BF4424" s="744" t="str">
        <f>IF(D4424="","",VLOOKUP(D4424,'General Basis'!$J$39:$L$46,3,0))</f>
        <v/>
      </c>
      <c r="BG4424" s="744" t="str">
        <f t="shared" si="1551"/>
        <v/>
      </c>
      <c r="BH4424" s="744" t="str">
        <f>IF(G4424="","",IF(BF4424="Abu Dhabi",IF(G4424&lt;18,'General Basis'!$C$39,IF(G4424&lt;41,'General Basis'!$C$40,IF(G4424&lt;60,'General Basis'!$C$41,IF(G4424&lt;65,'General Basis'!$C$42,'General Basis'!$C$43)))),IF(G4424&lt;11,'General Basis'!$B$39,IF(G4424&lt;18,'General Basis'!$B$40,IF(G4424&lt;26,'General Basis'!$B$41,IF(G4424&lt;31,'General Basis'!$B$42,IF(G4424&lt;36,'General Basis'!$B$43,IF(G4424&lt;41,'General Basis'!$B$44,IF(G4424&lt;46,'General Basis'!$B$45,IF(G4424&lt;51,'General Basis'!$B$46,IF(G4424&lt;56,'General Basis'!$B$47,IF(G4424&lt;60,'General Basis'!$B$48,IF(G4424&lt;65,'General Basis'!$B$49,'General Basis'!$B$50)))))))))))))</f>
        <v/>
      </c>
      <c r="BI4424" s="744" t="str">
        <f t="shared" si="1545"/>
        <v/>
      </c>
      <c r="BJ4424" s="747" t="str">
        <f t="shared" si="1552"/>
        <v/>
      </c>
      <c r="BK4424" s="498" t="str">
        <f t="shared" si="1546"/>
        <v/>
      </c>
      <c r="BL4424" s="498" t="str">
        <f t="shared" si="1547"/>
        <v/>
      </c>
    </row>
    <row r="4425" spans="1:64" x14ac:dyDescent="0.25">
      <c r="A4425" s="762">
        <f t="shared" si="1548"/>
        <v>4420</v>
      </c>
      <c r="B4425" s="229"/>
      <c r="C4425" s="223"/>
      <c r="D4425" s="224"/>
      <c r="E4425" s="225"/>
      <c r="F4425" s="1036" t="str">
        <f t="shared" si="1532"/>
        <v/>
      </c>
      <c r="G4425" s="1037" t="str">
        <f t="shared" si="1549"/>
        <v/>
      </c>
      <c r="H4425" s="225"/>
      <c r="I4425" s="1013"/>
      <c r="J4425" s="1013"/>
      <c r="K4425" s="1028"/>
      <c r="L4425" s="1035" t="str">
        <f t="shared" si="1553"/>
        <v/>
      </c>
      <c r="S4425" s="498"/>
      <c r="AJ4425" s="498"/>
      <c r="AM4425" s="498">
        <f t="shared" si="1534"/>
        <v>0</v>
      </c>
      <c r="AN4425" s="498">
        <f t="shared" si="1535"/>
        <v>0</v>
      </c>
      <c r="AO4425" s="498">
        <f t="shared" si="1536"/>
        <v>0</v>
      </c>
      <c r="AP4425" s="498">
        <f t="shared" si="1533"/>
        <v>0</v>
      </c>
      <c r="AQ4425" s="498">
        <f t="shared" si="1550"/>
        <v>0</v>
      </c>
      <c r="AU4425" s="498">
        <f t="shared" si="1537"/>
        <v>0</v>
      </c>
      <c r="AV4425" s="498">
        <f t="shared" si="1538"/>
        <v>0</v>
      </c>
      <c r="AW4425" s="498">
        <f t="shared" si="1539"/>
        <v>0</v>
      </c>
      <c r="AX4425" s="498">
        <f t="shared" si="1540"/>
        <v>0</v>
      </c>
      <c r="AY4425" s="498">
        <f t="shared" si="1541"/>
        <v>0</v>
      </c>
      <c r="BB4425" s="498" t="str">
        <f t="shared" si="1542"/>
        <v/>
      </c>
      <c r="BC4425" s="743" t="str">
        <f t="shared" si="1543"/>
        <v/>
      </c>
      <c r="BD4425" s="743" t="str">
        <f t="shared" si="1544"/>
        <v/>
      </c>
      <c r="BE4425" s="743" t="str">
        <f>IF(D4425="","",VLOOKUP(D4425,'General Basis'!$J$39:$K$46,2,0))</f>
        <v/>
      </c>
      <c r="BF4425" s="744" t="str">
        <f>IF(D4425="","",VLOOKUP(D4425,'General Basis'!$J$39:$L$46,3,0))</f>
        <v/>
      </c>
      <c r="BG4425" s="744" t="str">
        <f t="shared" si="1551"/>
        <v/>
      </c>
      <c r="BH4425" s="744" t="str">
        <f>IF(G4425="","",IF(BF4425="Abu Dhabi",IF(G4425&lt;18,'General Basis'!$C$39,IF(G4425&lt;41,'General Basis'!$C$40,IF(G4425&lt;60,'General Basis'!$C$41,IF(G4425&lt;65,'General Basis'!$C$42,'General Basis'!$C$43)))),IF(G4425&lt;11,'General Basis'!$B$39,IF(G4425&lt;18,'General Basis'!$B$40,IF(G4425&lt;26,'General Basis'!$B$41,IF(G4425&lt;31,'General Basis'!$B$42,IF(G4425&lt;36,'General Basis'!$B$43,IF(G4425&lt;41,'General Basis'!$B$44,IF(G4425&lt;46,'General Basis'!$B$45,IF(G4425&lt;51,'General Basis'!$B$46,IF(G4425&lt;56,'General Basis'!$B$47,IF(G4425&lt;60,'General Basis'!$B$48,IF(G4425&lt;65,'General Basis'!$B$49,'General Basis'!$B$50)))))))))))))</f>
        <v/>
      </c>
      <c r="BI4425" s="744" t="str">
        <f t="shared" si="1545"/>
        <v/>
      </c>
      <c r="BJ4425" s="747" t="str">
        <f t="shared" si="1552"/>
        <v/>
      </c>
      <c r="BK4425" s="498" t="str">
        <f t="shared" si="1546"/>
        <v/>
      </c>
      <c r="BL4425" s="498" t="str">
        <f t="shared" si="1547"/>
        <v/>
      </c>
    </row>
    <row r="4426" spans="1:64" x14ac:dyDescent="0.25">
      <c r="A4426" s="762">
        <f t="shared" si="1548"/>
        <v>4421</v>
      </c>
      <c r="B4426" s="229"/>
      <c r="C4426" s="223"/>
      <c r="D4426" s="224"/>
      <c r="E4426" s="225"/>
      <c r="F4426" s="1036" t="str">
        <f t="shared" si="1532"/>
        <v/>
      </c>
      <c r="G4426" s="1037" t="str">
        <f t="shared" si="1549"/>
        <v/>
      </c>
      <c r="H4426" s="225"/>
      <c r="I4426" s="1013"/>
      <c r="J4426" s="1013"/>
      <c r="K4426" s="1028"/>
      <c r="L4426" s="1035" t="str">
        <f t="shared" si="1553"/>
        <v/>
      </c>
      <c r="S4426" s="498"/>
      <c r="AJ4426" s="498"/>
      <c r="AM4426" s="498">
        <f t="shared" si="1534"/>
        <v>0</v>
      </c>
      <c r="AN4426" s="498">
        <f t="shared" si="1535"/>
        <v>0</v>
      </c>
      <c r="AO4426" s="498">
        <f t="shared" si="1536"/>
        <v>0</v>
      </c>
      <c r="AP4426" s="498">
        <f t="shared" si="1533"/>
        <v>0</v>
      </c>
      <c r="AQ4426" s="498">
        <f t="shared" si="1550"/>
        <v>0</v>
      </c>
      <c r="AU4426" s="498">
        <f t="shared" si="1537"/>
        <v>0</v>
      </c>
      <c r="AV4426" s="498">
        <f t="shared" si="1538"/>
        <v>0</v>
      </c>
      <c r="AW4426" s="498">
        <f t="shared" si="1539"/>
        <v>0</v>
      </c>
      <c r="AX4426" s="498">
        <f t="shared" si="1540"/>
        <v>0</v>
      </c>
      <c r="AY4426" s="498">
        <f t="shared" si="1541"/>
        <v>0</v>
      </c>
      <c r="BB4426" s="498" t="str">
        <f t="shared" si="1542"/>
        <v/>
      </c>
      <c r="BC4426" s="743" t="str">
        <f t="shared" si="1543"/>
        <v/>
      </c>
      <c r="BD4426" s="743" t="str">
        <f t="shared" si="1544"/>
        <v/>
      </c>
      <c r="BE4426" s="743" t="str">
        <f>IF(D4426="","",VLOOKUP(D4426,'General Basis'!$J$39:$K$46,2,0))</f>
        <v/>
      </c>
      <c r="BF4426" s="744" t="str">
        <f>IF(D4426="","",VLOOKUP(D4426,'General Basis'!$J$39:$L$46,3,0))</f>
        <v/>
      </c>
      <c r="BG4426" s="744" t="str">
        <f t="shared" si="1551"/>
        <v/>
      </c>
      <c r="BH4426" s="744" t="str">
        <f>IF(G4426="","",IF(BF4426="Abu Dhabi",IF(G4426&lt;18,'General Basis'!$C$39,IF(G4426&lt;41,'General Basis'!$C$40,IF(G4426&lt;60,'General Basis'!$C$41,IF(G4426&lt;65,'General Basis'!$C$42,'General Basis'!$C$43)))),IF(G4426&lt;11,'General Basis'!$B$39,IF(G4426&lt;18,'General Basis'!$B$40,IF(G4426&lt;26,'General Basis'!$B$41,IF(G4426&lt;31,'General Basis'!$B$42,IF(G4426&lt;36,'General Basis'!$B$43,IF(G4426&lt;41,'General Basis'!$B$44,IF(G4426&lt;46,'General Basis'!$B$45,IF(G4426&lt;51,'General Basis'!$B$46,IF(G4426&lt;56,'General Basis'!$B$47,IF(G4426&lt;60,'General Basis'!$B$48,IF(G4426&lt;65,'General Basis'!$B$49,'General Basis'!$B$50)))))))))))))</f>
        <v/>
      </c>
      <c r="BI4426" s="744" t="str">
        <f t="shared" si="1545"/>
        <v/>
      </c>
      <c r="BJ4426" s="747" t="str">
        <f t="shared" si="1552"/>
        <v/>
      </c>
      <c r="BK4426" s="498" t="str">
        <f t="shared" si="1546"/>
        <v/>
      </c>
      <c r="BL4426" s="498" t="str">
        <f t="shared" si="1547"/>
        <v/>
      </c>
    </row>
    <row r="4427" spans="1:64" x14ac:dyDescent="0.25">
      <c r="A4427" s="762">
        <f t="shared" si="1548"/>
        <v>4422</v>
      </c>
      <c r="B4427" s="229"/>
      <c r="C4427" s="223"/>
      <c r="D4427" s="224"/>
      <c r="E4427" s="225"/>
      <c r="F4427" s="1036" t="str">
        <f t="shared" si="1532"/>
        <v/>
      </c>
      <c r="G4427" s="1037" t="str">
        <f t="shared" si="1549"/>
        <v/>
      </c>
      <c r="H4427" s="225"/>
      <c r="I4427" s="1013"/>
      <c r="J4427" s="1013"/>
      <c r="K4427" s="1028"/>
      <c r="L4427" s="1035" t="str">
        <f t="shared" si="1553"/>
        <v/>
      </c>
      <c r="S4427" s="498"/>
      <c r="AJ4427" s="498"/>
      <c r="AM4427" s="498">
        <f t="shared" si="1534"/>
        <v>0</v>
      </c>
      <c r="AN4427" s="498">
        <f t="shared" si="1535"/>
        <v>0</v>
      </c>
      <c r="AO4427" s="498">
        <f t="shared" si="1536"/>
        <v>0</v>
      </c>
      <c r="AP4427" s="498">
        <f t="shared" si="1533"/>
        <v>0</v>
      </c>
      <c r="AQ4427" s="498">
        <f t="shared" si="1550"/>
        <v>0</v>
      </c>
      <c r="AU4427" s="498">
        <f t="shared" si="1537"/>
        <v>0</v>
      </c>
      <c r="AV4427" s="498">
        <f t="shared" si="1538"/>
        <v>0</v>
      </c>
      <c r="AW4427" s="498">
        <f t="shared" si="1539"/>
        <v>0</v>
      </c>
      <c r="AX4427" s="498">
        <f t="shared" si="1540"/>
        <v>0</v>
      </c>
      <c r="AY4427" s="498">
        <f t="shared" si="1541"/>
        <v>0</v>
      </c>
      <c r="BB4427" s="498" t="str">
        <f t="shared" si="1542"/>
        <v/>
      </c>
      <c r="BC4427" s="743" t="str">
        <f t="shared" si="1543"/>
        <v/>
      </c>
      <c r="BD4427" s="743" t="str">
        <f t="shared" si="1544"/>
        <v/>
      </c>
      <c r="BE4427" s="743" t="str">
        <f>IF(D4427="","",VLOOKUP(D4427,'General Basis'!$J$39:$K$46,2,0))</f>
        <v/>
      </c>
      <c r="BF4427" s="744" t="str">
        <f>IF(D4427="","",VLOOKUP(D4427,'General Basis'!$J$39:$L$46,3,0))</f>
        <v/>
      </c>
      <c r="BG4427" s="744" t="str">
        <f t="shared" si="1551"/>
        <v/>
      </c>
      <c r="BH4427" s="744" t="str">
        <f>IF(G4427="","",IF(BF4427="Abu Dhabi",IF(G4427&lt;18,'General Basis'!$C$39,IF(G4427&lt;41,'General Basis'!$C$40,IF(G4427&lt;60,'General Basis'!$C$41,IF(G4427&lt;65,'General Basis'!$C$42,'General Basis'!$C$43)))),IF(G4427&lt;11,'General Basis'!$B$39,IF(G4427&lt;18,'General Basis'!$B$40,IF(G4427&lt;26,'General Basis'!$B$41,IF(G4427&lt;31,'General Basis'!$B$42,IF(G4427&lt;36,'General Basis'!$B$43,IF(G4427&lt;41,'General Basis'!$B$44,IF(G4427&lt;46,'General Basis'!$B$45,IF(G4427&lt;51,'General Basis'!$B$46,IF(G4427&lt;56,'General Basis'!$B$47,IF(G4427&lt;60,'General Basis'!$B$48,IF(G4427&lt;65,'General Basis'!$B$49,'General Basis'!$B$50)))))))))))))</f>
        <v/>
      </c>
      <c r="BI4427" s="744" t="str">
        <f t="shared" si="1545"/>
        <v/>
      </c>
      <c r="BJ4427" s="747" t="str">
        <f t="shared" si="1552"/>
        <v/>
      </c>
      <c r="BK4427" s="498" t="str">
        <f t="shared" si="1546"/>
        <v/>
      </c>
      <c r="BL4427" s="498" t="str">
        <f t="shared" si="1547"/>
        <v/>
      </c>
    </row>
    <row r="4428" spans="1:64" x14ac:dyDescent="0.25">
      <c r="A4428" s="762">
        <f t="shared" si="1548"/>
        <v>4423</v>
      </c>
      <c r="B4428" s="229"/>
      <c r="C4428" s="223"/>
      <c r="D4428" s="224"/>
      <c r="E4428" s="225"/>
      <c r="F4428" s="1036" t="str">
        <f t="shared" si="1532"/>
        <v/>
      </c>
      <c r="G4428" s="1037" t="str">
        <f t="shared" si="1549"/>
        <v/>
      </c>
      <c r="H4428" s="225"/>
      <c r="I4428" s="1013"/>
      <c r="J4428" s="1013"/>
      <c r="K4428" s="1028"/>
      <c r="L4428" s="1035" t="str">
        <f t="shared" si="1553"/>
        <v/>
      </c>
      <c r="S4428" s="498"/>
      <c r="AJ4428" s="498"/>
      <c r="AM4428" s="498">
        <f t="shared" si="1534"/>
        <v>0</v>
      </c>
      <c r="AN4428" s="498">
        <f t="shared" si="1535"/>
        <v>0</v>
      </c>
      <c r="AO4428" s="498">
        <f t="shared" si="1536"/>
        <v>0</v>
      </c>
      <c r="AP4428" s="498">
        <f t="shared" si="1533"/>
        <v>0</v>
      </c>
      <c r="AQ4428" s="498">
        <f t="shared" si="1550"/>
        <v>0</v>
      </c>
      <c r="AU4428" s="498">
        <f t="shared" si="1537"/>
        <v>0</v>
      </c>
      <c r="AV4428" s="498">
        <f t="shared" si="1538"/>
        <v>0</v>
      </c>
      <c r="AW4428" s="498">
        <f t="shared" si="1539"/>
        <v>0</v>
      </c>
      <c r="AX4428" s="498">
        <f t="shared" si="1540"/>
        <v>0</v>
      </c>
      <c r="AY4428" s="498">
        <f t="shared" si="1541"/>
        <v>0</v>
      </c>
      <c r="BB4428" s="498" t="str">
        <f t="shared" si="1542"/>
        <v/>
      </c>
      <c r="BC4428" s="743" t="str">
        <f t="shared" si="1543"/>
        <v/>
      </c>
      <c r="BD4428" s="743" t="str">
        <f t="shared" si="1544"/>
        <v/>
      </c>
      <c r="BE4428" s="743" t="str">
        <f>IF(D4428="","",VLOOKUP(D4428,'General Basis'!$J$39:$K$46,2,0))</f>
        <v/>
      </c>
      <c r="BF4428" s="744" t="str">
        <f>IF(D4428="","",VLOOKUP(D4428,'General Basis'!$J$39:$L$46,3,0))</f>
        <v/>
      </c>
      <c r="BG4428" s="744" t="str">
        <f t="shared" si="1551"/>
        <v/>
      </c>
      <c r="BH4428" s="744" t="str">
        <f>IF(G4428="","",IF(BF4428="Abu Dhabi",IF(G4428&lt;18,'General Basis'!$C$39,IF(G4428&lt;41,'General Basis'!$C$40,IF(G4428&lt;60,'General Basis'!$C$41,IF(G4428&lt;65,'General Basis'!$C$42,'General Basis'!$C$43)))),IF(G4428&lt;11,'General Basis'!$B$39,IF(G4428&lt;18,'General Basis'!$B$40,IF(G4428&lt;26,'General Basis'!$B$41,IF(G4428&lt;31,'General Basis'!$B$42,IF(G4428&lt;36,'General Basis'!$B$43,IF(G4428&lt;41,'General Basis'!$B$44,IF(G4428&lt;46,'General Basis'!$B$45,IF(G4428&lt;51,'General Basis'!$B$46,IF(G4428&lt;56,'General Basis'!$B$47,IF(G4428&lt;60,'General Basis'!$B$48,IF(G4428&lt;65,'General Basis'!$B$49,'General Basis'!$B$50)))))))))))))</f>
        <v/>
      </c>
      <c r="BI4428" s="744" t="str">
        <f t="shared" si="1545"/>
        <v/>
      </c>
      <c r="BJ4428" s="747" t="str">
        <f t="shared" si="1552"/>
        <v/>
      </c>
      <c r="BK4428" s="498" t="str">
        <f t="shared" si="1546"/>
        <v/>
      </c>
      <c r="BL4428" s="498" t="str">
        <f t="shared" si="1547"/>
        <v/>
      </c>
    </row>
    <row r="4429" spans="1:64" x14ac:dyDescent="0.25">
      <c r="A4429" s="762">
        <f t="shared" si="1548"/>
        <v>4424</v>
      </c>
      <c r="B4429" s="229"/>
      <c r="C4429" s="223"/>
      <c r="D4429" s="224"/>
      <c r="E4429" s="225"/>
      <c r="F4429" s="1036" t="str">
        <f t="shared" si="1532"/>
        <v/>
      </c>
      <c r="G4429" s="1037" t="str">
        <f t="shared" si="1549"/>
        <v/>
      </c>
      <c r="H4429" s="225"/>
      <c r="I4429" s="1013"/>
      <c r="J4429" s="1013"/>
      <c r="K4429" s="1028"/>
      <c r="L4429" s="1035" t="str">
        <f t="shared" si="1553"/>
        <v/>
      </c>
      <c r="S4429" s="498"/>
      <c r="AJ4429" s="498"/>
      <c r="AM4429" s="498">
        <f t="shared" si="1534"/>
        <v>0</v>
      </c>
      <c r="AN4429" s="498">
        <f t="shared" si="1535"/>
        <v>0</v>
      </c>
      <c r="AO4429" s="498">
        <f t="shared" si="1536"/>
        <v>0</v>
      </c>
      <c r="AP4429" s="498">
        <f t="shared" si="1533"/>
        <v>0</v>
      </c>
      <c r="AQ4429" s="498">
        <f t="shared" si="1550"/>
        <v>0</v>
      </c>
      <c r="AU4429" s="498">
        <f t="shared" si="1537"/>
        <v>0</v>
      </c>
      <c r="AV4429" s="498">
        <f t="shared" si="1538"/>
        <v>0</v>
      </c>
      <c r="AW4429" s="498">
        <f t="shared" si="1539"/>
        <v>0</v>
      </c>
      <c r="AX4429" s="498">
        <f t="shared" si="1540"/>
        <v>0</v>
      </c>
      <c r="AY4429" s="498">
        <f t="shared" si="1541"/>
        <v>0</v>
      </c>
      <c r="BB4429" s="498" t="str">
        <f t="shared" si="1542"/>
        <v/>
      </c>
      <c r="BC4429" s="743" t="str">
        <f t="shared" si="1543"/>
        <v/>
      </c>
      <c r="BD4429" s="743" t="str">
        <f t="shared" si="1544"/>
        <v/>
      </c>
      <c r="BE4429" s="743" t="str">
        <f>IF(D4429="","",VLOOKUP(D4429,'General Basis'!$J$39:$K$46,2,0))</f>
        <v/>
      </c>
      <c r="BF4429" s="744" t="str">
        <f>IF(D4429="","",VLOOKUP(D4429,'General Basis'!$J$39:$L$46,3,0))</f>
        <v/>
      </c>
      <c r="BG4429" s="744" t="str">
        <f t="shared" si="1551"/>
        <v/>
      </c>
      <c r="BH4429" s="744" t="str">
        <f>IF(G4429="","",IF(BF4429="Abu Dhabi",IF(G4429&lt;18,'General Basis'!$C$39,IF(G4429&lt;41,'General Basis'!$C$40,IF(G4429&lt;60,'General Basis'!$C$41,IF(G4429&lt;65,'General Basis'!$C$42,'General Basis'!$C$43)))),IF(G4429&lt;11,'General Basis'!$B$39,IF(G4429&lt;18,'General Basis'!$B$40,IF(G4429&lt;26,'General Basis'!$B$41,IF(G4429&lt;31,'General Basis'!$B$42,IF(G4429&lt;36,'General Basis'!$B$43,IF(G4429&lt;41,'General Basis'!$B$44,IF(G4429&lt;46,'General Basis'!$B$45,IF(G4429&lt;51,'General Basis'!$B$46,IF(G4429&lt;56,'General Basis'!$B$47,IF(G4429&lt;60,'General Basis'!$B$48,IF(G4429&lt;65,'General Basis'!$B$49,'General Basis'!$B$50)))))))))))))</f>
        <v/>
      </c>
      <c r="BI4429" s="744" t="str">
        <f t="shared" si="1545"/>
        <v/>
      </c>
      <c r="BJ4429" s="747" t="str">
        <f t="shared" si="1552"/>
        <v/>
      </c>
      <c r="BK4429" s="498" t="str">
        <f t="shared" si="1546"/>
        <v/>
      </c>
      <c r="BL4429" s="498" t="str">
        <f t="shared" si="1547"/>
        <v/>
      </c>
    </row>
    <row r="4430" spans="1:64" x14ac:dyDescent="0.25">
      <c r="A4430" s="762">
        <f t="shared" si="1548"/>
        <v>4425</v>
      </c>
      <c r="B4430" s="229"/>
      <c r="C4430" s="223"/>
      <c r="D4430" s="224"/>
      <c r="E4430" s="225"/>
      <c r="F4430" s="1036" t="str">
        <f t="shared" si="1532"/>
        <v/>
      </c>
      <c r="G4430" s="1037" t="str">
        <f t="shared" si="1549"/>
        <v/>
      </c>
      <c r="H4430" s="225"/>
      <c r="I4430" s="1013"/>
      <c r="J4430" s="1013"/>
      <c r="K4430" s="1028"/>
      <c r="L4430" s="1035" t="str">
        <f t="shared" si="1553"/>
        <v/>
      </c>
      <c r="S4430" s="498"/>
      <c r="AJ4430" s="498"/>
      <c r="AM4430" s="498">
        <f t="shared" si="1534"/>
        <v>0</v>
      </c>
      <c r="AN4430" s="498">
        <f t="shared" si="1535"/>
        <v>0</v>
      </c>
      <c r="AO4430" s="498">
        <f t="shared" si="1536"/>
        <v>0</v>
      </c>
      <c r="AP4430" s="498">
        <f t="shared" si="1533"/>
        <v>0</v>
      </c>
      <c r="AQ4430" s="498">
        <f t="shared" si="1550"/>
        <v>0</v>
      </c>
      <c r="AU4430" s="498">
        <f t="shared" si="1537"/>
        <v>0</v>
      </c>
      <c r="AV4430" s="498">
        <f t="shared" si="1538"/>
        <v>0</v>
      </c>
      <c r="AW4430" s="498">
        <f t="shared" si="1539"/>
        <v>0</v>
      </c>
      <c r="AX4430" s="498">
        <f t="shared" si="1540"/>
        <v>0</v>
      </c>
      <c r="AY4430" s="498">
        <f t="shared" si="1541"/>
        <v>0</v>
      </c>
      <c r="BB4430" s="498" t="str">
        <f t="shared" si="1542"/>
        <v/>
      </c>
      <c r="BC4430" s="743" t="str">
        <f t="shared" si="1543"/>
        <v/>
      </c>
      <c r="BD4430" s="743" t="str">
        <f t="shared" si="1544"/>
        <v/>
      </c>
      <c r="BE4430" s="743" t="str">
        <f>IF(D4430="","",VLOOKUP(D4430,'General Basis'!$J$39:$K$46,2,0))</f>
        <v/>
      </c>
      <c r="BF4430" s="744" t="str">
        <f>IF(D4430="","",VLOOKUP(D4430,'General Basis'!$J$39:$L$46,3,0))</f>
        <v/>
      </c>
      <c r="BG4430" s="744" t="str">
        <f t="shared" si="1551"/>
        <v/>
      </c>
      <c r="BH4430" s="744" t="str">
        <f>IF(G4430="","",IF(BF4430="Abu Dhabi",IF(G4430&lt;18,'General Basis'!$C$39,IF(G4430&lt;41,'General Basis'!$C$40,IF(G4430&lt;60,'General Basis'!$C$41,IF(G4430&lt;65,'General Basis'!$C$42,'General Basis'!$C$43)))),IF(G4430&lt;11,'General Basis'!$B$39,IF(G4430&lt;18,'General Basis'!$B$40,IF(G4430&lt;26,'General Basis'!$B$41,IF(G4430&lt;31,'General Basis'!$B$42,IF(G4430&lt;36,'General Basis'!$B$43,IF(G4430&lt;41,'General Basis'!$B$44,IF(G4430&lt;46,'General Basis'!$B$45,IF(G4430&lt;51,'General Basis'!$B$46,IF(G4430&lt;56,'General Basis'!$B$47,IF(G4430&lt;60,'General Basis'!$B$48,IF(G4430&lt;65,'General Basis'!$B$49,'General Basis'!$B$50)))))))))))))</f>
        <v/>
      </c>
      <c r="BI4430" s="744" t="str">
        <f t="shared" si="1545"/>
        <v/>
      </c>
      <c r="BJ4430" s="747" t="str">
        <f t="shared" si="1552"/>
        <v/>
      </c>
      <c r="BK4430" s="498" t="str">
        <f t="shared" si="1546"/>
        <v/>
      </c>
      <c r="BL4430" s="498" t="str">
        <f t="shared" si="1547"/>
        <v/>
      </c>
    </row>
    <row r="4431" spans="1:64" x14ac:dyDescent="0.25">
      <c r="A4431" s="762">
        <f t="shared" si="1548"/>
        <v>4426</v>
      </c>
      <c r="B4431" s="229"/>
      <c r="C4431" s="223"/>
      <c r="D4431" s="224"/>
      <c r="E4431" s="225"/>
      <c r="F4431" s="1036" t="str">
        <f t="shared" si="1532"/>
        <v/>
      </c>
      <c r="G4431" s="1037" t="str">
        <f t="shared" si="1549"/>
        <v/>
      </c>
      <c r="H4431" s="225"/>
      <c r="I4431" s="1013"/>
      <c r="J4431" s="1013"/>
      <c r="K4431" s="1028"/>
      <c r="L4431" s="1035" t="str">
        <f t="shared" si="1553"/>
        <v/>
      </c>
      <c r="S4431" s="498"/>
      <c r="AJ4431" s="498"/>
      <c r="AM4431" s="498">
        <f t="shared" si="1534"/>
        <v>0</v>
      </c>
      <c r="AN4431" s="498">
        <f t="shared" si="1535"/>
        <v>0</v>
      </c>
      <c r="AO4431" s="498">
        <f t="shared" si="1536"/>
        <v>0</v>
      </c>
      <c r="AP4431" s="498">
        <f t="shared" si="1533"/>
        <v>0</v>
      </c>
      <c r="AQ4431" s="498">
        <f t="shared" si="1550"/>
        <v>0</v>
      </c>
      <c r="AU4431" s="498">
        <f t="shared" si="1537"/>
        <v>0</v>
      </c>
      <c r="AV4431" s="498">
        <f t="shared" si="1538"/>
        <v>0</v>
      </c>
      <c r="AW4431" s="498">
        <f t="shared" si="1539"/>
        <v>0</v>
      </c>
      <c r="AX4431" s="498">
        <f t="shared" si="1540"/>
        <v>0</v>
      </c>
      <c r="AY4431" s="498">
        <f t="shared" si="1541"/>
        <v>0</v>
      </c>
      <c r="BB4431" s="498" t="str">
        <f t="shared" si="1542"/>
        <v/>
      </c>
      <c r="BC4431" s="743" t="str">
        <f t="shared" si="1543"/>
        <v/>
      </c>
      <c r="BD4431" s="743" t="str">
        <f t="shared" si="1544"/>
        <v/>
      </c>
      <c r="BE4431" s="743" t="str">
        <f>IF(D4431="","",VLOOKUP(D4431,'General Basis'!$J$39:$K$46,2,0))</f>
        <v/>
      </c>
      <c r="BF4431" s="744" t="str">
        <f>IF(D4431="","",VLOOKUP(D4431,'General Basis'!$J$39:$L$46,3,0))</f>
        <v/>
      </c>
      <c r="BG4431" s="744" t="str">
        <f t="shared" si="1551"/>
        <v/>
      </c>
      <c r="BH4431" s="744" t="str">
        <f>IF(G4431="","",IF(BF4431="Abu Dhabi",IF(G4431&lt;18,'General Basis'!$C$39,IF(G4431&lt;41,'General Basis'!$C$40,IF(G4431&lt;60,'General Basis'!$C$41,IF(G4431&lt;65,'General Basis'!$C$42,'General Basis'!$C$43)))),IF(G4431&lt;11,'General Basis'!$B$39,IF(G4431&lt;18,'General Basis'!$B$40,IF(G4431&lt;26,'General Basis'!$B$41,IF(G4431&lt;31,'General Basis'!$B$42,IF(G4431&lt;36,'General Basis'!$B$43,IF(G4431&lt;41,'General Basis'!$B$44,IF(G4431&lt;46,'General Basis'!$B$45,IF(G4431&lt;51,'General Basis'!$B$46,IF(G4431&lt;56,'General Basis'!$B$47,IF(G4431&lt;60,'General Basis'!$B$48,IF(G4431&lt;65,'General Basis'!$B$49,'General Basis'!$B$50)))))))))))))</f>
        <v/>
      </c>
      <c r="BI4431" s="744" t="str">
        <f t="shared" si="1545"/>
        <v/>
      </c>
      <c r="BJ4431" s="747" t="str">
        <f t="shared" si="1552"/>
        <v/>
      </c>
      <c r="BK4431" s="498" t="str">
        <f t="shared" si="1546"/>
        <v/>
      </c>
      <c r="BL4431" s="498" t="str">
        <f t="shared" si="1547"/>
        <v/>
      </c>
    </row>
    <row r="4432" spans="1:64" x14ac:dyDescent="0.25">
      <c r="A4432" s="762">
        <f t="shared" si="1548"/>
        <v>4427</v>
      </c>
      <c r="B4432" s="229"/>
      <c r="C4432" s="223"/>
      <c r="D4432" s="224"/>
      <c r="E4432" s="225"/>
      <c r="F4432" s="1036" t="str">
        <f t="shared" ref="F4432:F4495" si="1554">IF(C4432="","",IF($B4432="","",((YEAR($F$3)-YEAR($B4432))+(MONTH($F$3)-MONTH($B4432))/12+(DAY($F$3)-DAY($B4432))/(DATE(YEAR($F$3),12,31)-DATE(YEAR($F$3),1,1)+1))))</f>
        <v/>
      </c>
      <c r="G4432" s="1037" t="str">
        <f t="shared" si="1549"/>
        <v/>
      </c>
      <c r="H4432" s="225"/>
      <c r="I4432" s="1013"/>
      <c r="J4432" s="1013"/>
      <c r="K4432" s="1028"/>
      <c r="L4432" s="1035" t="str">
        <f t="shared" si="1553"/>
        <v/>
      </c>
      <c r="S4432" s="498"/>
      <c r="AJ4432" s="498"/>
      <c r="AM4432" s="498">
        <f t="shared" si="1534"/>
        <v>0</v>
      </c>
      <c r="AN4432" s="498">
        <f t="shared" si="1535"/>
        <v>0</v>
      </c>
      <c r="AO4432" s="498">
        <f t="shared" si="1536"/>
        <v>0</v>
      </c>
      <c r="AP4432" s="498">
        <f t="shared" si="1533"/>
        <v>0</v>
      </c>
      <c r="AQ4432" s="498">
        <f t="shared" si="1550"/>
        <v>0</v>
      </c>
      <c r="AU4432" s="498">
        <f t="shared" si="1537"/>
        <v>0</v>
      </c>
      <c r="AV4432" s="498">
        <f t="shared" si="1538"/>
        <v>0</v>
      </c>
      <c r="AW4432" s="498">
        <f t="shared" si="1539"/>
        <v>0</v>
      </c>
      <c r="AX4432" s="498">
        <f t="shared" si="1540"/>
        <v>0</v>
      </c>
      <c r="AY4432" s="498">
        <f t="shared" si="1541"/>
        <v>0</v>
      </c>
      <c r="BB4432" s="498" t="str">
        <f t="shared" si="1542"/>
        <v/>
      </c>
      <c r="BC4432" s="743" t="str">
        <f t="shared" si="1543"/>
        <v/>
      </c>
      <c r="BD4432" s="743" t="str">
        <f t="shared" si="1544"/>
        <v/>
      </c>
      <c r="BE4432" s="743" t="str">
        <f>IF(D4432="","",VLOOKUP(D4432,'General Basis'!$J$39:$K$46,2,0))</f>
        <v/>
      </c>
      <c r="BF4432" s="744" t="str">
        <f>IF(D4432="","",VLOOKUP(D4432,'General Basis'!$J$39:$L$46,3,0))</f>
        <v/>
      </c>
      <c r="BG4432" s="744" t="str">
        <f t="shared" si="1551"/>
        <v/>
      </c>
      <c r="BH4432" s="744" t="str">
        <f>IF(G4432="","",IF(BF4432="Abu Dhabi",IF(G4432&lt;18,'General Basis'!$C$39,IF(G4432&lt;41,'General Basis'!$C$40,IF(G4432&lt;60,'General Basis'!$C$41,IF(G4432&lt;65,'General Basis'!$C$42,'General Basis'!$C$43)))),IF(G4432&lt;11,'General Basis'!$B$39,IF(G4432&lt;18,'General Basis'!$B$40,IF(G4432&lt;26,'General Basis'!$B$41,IF(G4432&lt;31,'General Basis'!$B$42,IF(G4432&lt;36,'General Basis'!$B$43,IF(G4432&lt;41,'General Basis'!$B$44,IF(G4432&lt;46,'General Basis'!$B$45,IF(G4432&lt;51,'General Basis'!$B$46,IF(G4432&lt;56,'General Basis'!$B$47,IF(G4432&lt;60,'General Basis'!$B$48,IF(G4432&lt;65,'General Basis'!$B$49,'General Basis'!$B$50)))))))))))))</f>
        <v/>
      </c>
      <c r="BI4432" s="744" t="str">
        <f t="shared" si="1545"/>
        <v/>
      </c>
      <c r="BJ4432" s="747" t="str">
        <f t="shared" si="1552"/>
        <v/>
      </c>
      <c r="BK4432" s="498" t="str">
        <f t="shared" si="1546"/>
        <v/>
      </c>
      <c r="BL4432" s="498" t="str">
        <f t="shared" si="1547"/>
        <v/>
      </c>
    </row>
    <row r="4433" spans="1:64" x14ac:dyDescent="0.25">
      <c r="A4433" s="762">
        <f t="shared" si="1548"/>
        <v>4428</v>
      </c>
      <c r="B4433" s="229"/>
      <c r="C4433" s="223"/>
      <c r="D4433" s="224"/>
      <c r="E4433" s="225"/>
      <c r="F4433" s="1036" t="str">
        <f t="shared" si="1554"/>
        <v/>
      </c>
      <c r="G4433" s="1037" t="str">
        <f t="shared" si="1549"/>
        <v/>
      </c>
      <c r="H4433" s="225"/>
      <c r="I4433" s="1013"/>
      <c r="J4433" s="1013"/>
      <c r="K4433" s="1028"/>
      <c r="L4433" s="1035" t="str">
        <f t="shared" si="1553"/>
        <v/>
      </c>
      <c r="S4433" s="498"/>
      <c r="AJ4433" s="498"/>
      <c r="AM4433" s="498">
        <f t="shared" si="1534"/>
        <v>0</v>
      </c>
      <c r="AN4433" s="498">
        <f t="shared" si="1535"/>
        <v>0</v>
      </c>
      <c r="AO4433" s="498">
        <f t="shared" si="1536"/>
        <v>0</v>
      </c>
      <c r="AP4433" s="498">
        <f t="shared" si="1533"/>
        <v>0</v>
      </c>
      <c r="AQ4433" s="498">
        <f t="shared" si="1550"/>
        <v>0</v>
      </c>
      <c r="AU4433" s="498">
        <f t="shared" si="1537"/>
        <v>0</v>
      </c>
      <c r="AV4433" s="498">
        <f t="shared" si="1538"/>
        <v>0</v>
      </c>
      <c r="AW4433" s="498">
        <f t="shared" si="1539"/>
        <v>0</v>
      </c>
      <c r="AX4433" s="498">
        <f t="shared" si="1540"/>
        <v>0</v>
      </c>
      <c r="AY4433" s="498">
        <f t="shared" si="1541"/>
        <v>0</v>
      </c>
      <c r="BB4433" s="498" t="str">
        <f t="shared" si="1542"/>
        <v/>
      </c>
      <c r="BC4433" s="743" t="str">
        <f t="shared" si="1543"/>
        <v/>
      </c>
      <c r="BD4433" s="743" t="str">
        <f t="shared" si="1544"/>
        <v/>
      </c>
      <c r="BE4433" s="743" t="str">
        <f>IF(D4433="","",VLOOKUP(D4433,'General Basis'!$J$39:$K$46,2,0))</f>
        <v/>
      </c>
      <c r="BF4433" s="744" t="str">
        <f>IF(D4433="","",VLOOKUP(D4433,'General Basis'!$J$39:$L$46,3,0))</f>
        <v/>
      </c>
      <c r="BG4433" s="744" t="str">
        <f t="shared" si="1551"/>
        <v/>
      </c>
      <c r="BH4433" s="744" t="str">
        <f>IF(G4433="","",IF(BF4433="Abu Dhabi",IF(G4433&lt;18,'General Basis'!$C$39,IF(G4433&lt;41,'General Basis'!$C$40,IF(G4433&lt;60,'General Basis'!$C$41,IF(G4433&lt;65,'General Basis'!$C$42,'General Basis'!$C$43)))),IF(G4433&lt;11,'General Basis'!$B$39,IF(G4433&lt;18,'General Basis'!$B$40,IF(G4433&lt;26,'General Basis'!$B$41,IF(G4433&lt;31,'General Basis'!$B$42,IF(G4433&lt;36,'General Basis'!$B$43,IF(G4433&lt;41,'General Basis'!$B$44,IF(G4433&lt;46,'General Basis'!$B$45,IF(G4433&lt;51,'General Basis'!$B$46,IF(G4433&lt;56,'General Basis'!$B$47,IF(G4433&lt;60,'General Basis'!$B$48,IF(G4433&lt;65,'General Basis'!$B$49,'General Basis'!$B$50)))))))))))))</f>
        <v/>
      </c>
      <c r="BI4433" s="744" t="str">
        <f t="shared" si="1545"/>
        <v/>
      </c>
      <c r="BJ4433" s="747" t="str">
        <f t="shared" si="1552"/>
        <v/>
      </c>
      <c r="BK4433" s="498" t="str">
        <f t="shared" si="1546"/>
        <v/>
      </c>
      <c r="BL4433" s="498" t="str">
        <f t="shared" si="1547"/>
        <v/>
      </c>
    </row>
    <row r="4434" spans="1:64" x14ac:dyDescent="0.25">
      <c r="A4434" s="762">
        <f t="shared" si="1548"/>
        <v>4429</v>
      </c>
      <c r="B4434" s="229"/>
      <c r="C4434" s="223"/>
      <c r="D4434" s="224"/>
      <c r="E4434" s="225"/>
      <c r="F4434" s="1036" t="str">
        <f t="shared" si="1554"/>
        <v/>
      </c>
      <c r="G4434" s="1037" t="str">
        <f t="shared" si="1549"/>
        <v/>
      </c>
      <c r="H4434" s="225"/>
      <c r="I4434" s="1013"/>
      <c r="J4434" s="1013"/>
      <c r="K4434" s="1028"/>
      <c r="L4434" s="1035" t="str">
        <f t="shared" si="1553"/>
        <v/>
      </c>
      <c r="S4434" s="498"/>
      <c r="AJ4434" s="498"/>
      <c r="AM4434" s="498">
        <f t="shared" si="1534"/>
        <v>0</v>
      </c>
      <c r="AN4434" s="498">
        <f t="shared" si="1535"/>
        <v>0</v>
      </c>
      <c r="AO4434" s="498">
        <f t="shared" si="1536"/>
        <v>0</v>
      </c>
      <c r="AP4434" s="498">
        <f t="shared" si="1533"/>
        <v>0</v>
      </c>
      <c r="AQ4434" s="498">
        <f t="shared" si="1550"/>
        <v>0</v>
      </c>
      <c r="AU4434" s="498">
        <f t="shared" si="1537"/>
        <v>0</v>
      </c>
      <c r="AV4434" s="498">
        <f t="shared" si="1538"/>
        <v>0</v>
      </c>
      <c r="AW4434" s="498">
        <f t="shared" si="1539"/>
        <v>0</v>
      </c>
      <c r="AX4434" s="498">
        <f t="shared" si="1540"/>
        <v>0</v>
      </c>
      <c r="AY4434" s="498">
        <f t="shared" si="1541"/>
        <v>0</v>
      </c>
      <c r="BB4434" s="498" t="str">
        <f t="shared" si="1542"/>
        <v/>
      </c>
      <c r="BC4434" s="743" t="str">
        <f t="shared" si="1543"/>
        <v/>
      </c>
      <c r="BD4434" s="743" t="str">
        <f t="shared" si="1544"/>
        <v/>
      </c>
      <c r="BE4434" s="743" t="str">
        <f>IF(D4434="","",VLOOKUP(D4434,'General Basis'!$J$39:$K$46,2,0))</f>
        <v/>
      </c>
      <c r="BF4434" s="744" t="str">
        <f>IF(D4434="","",VLOOKUP(D4434,'General Basis'!$J$39:$L$46,3,0))</f>
        <v/>
      </c>
      <c r="BG4434" s="744" t="str">
        <f t="shared" si="1551"/>
        <v/>
      </c>
      <c r="BH4434" s="744" t="str">
        <f>IF(G4434="","",IF(BF4434="Abu Dhabi",IF(G4434&lt;18,'General Basis'!$C$39,IF(G4434&lt;41,'General Basis'!$C$40,IF(G4434&lt;60,'General Basis'!$C$41,IF(G4434&lt;65,'General Basis'!$C$42,'General Basis'!$C$43)))),IF(G4434&lt;11,'General Basis'!$B$39,IF(G4434&lt;18,'General Basis'!$B$40,IF(G4434&lt;26,'General Basis'!$B$41,IF(G4434&lt;31,'General Basis'!$B$42,IF(G4434&lt;36,'General Basis'!$B$43,IF(G4434&lt;41,'General Basis'!$B$44,IF(G4434&lt;46,'General Basis'!$B$45,IF(G4434&lt;51,'General Basis'!$B$46,IF(G4434&lt;56,'General Basis'!$B$47,IF(G4434&lt;60,'General Basis'!$B$48,IF(G4434&lt;65,'General Basis'!$B$49,'General Basis'!$B$50)))))))))))))</f>
        <v/>
      </c>
      <c r="BI4434" s="744" t="str">
        <f t="shared" si="1545"/>
        <v/>
      </c>
      <c r="BJ4434" s="747" t="str">
        <f t="shared" si="1552"/>
        <v/>
      </c>
      <c r="BK4434" s="498" t="str">
        <f t="shared" si="1546"/>
        <v/>
      </c>
      <c r="BL4434" s="498" t="str">
        <f t="shared" si="1547"/>
        <v/>
      </c>
    </row>
    <row r="4435" spans="1:64" x14ac:dyDescent="0.25">
      <c r="A4435" s="762">
        <f t="shared" si="1548"/>
        <v>4430</v>
      </c>
      <c r="B4435" s="229"/>
      <c r="C4435" s="223"/>
      <c r="D4435" s="224"/>
      <c r="E4435" s="225"/>
      <c r="F4435" s="1036" t="str">
        <f t="shared" si="1554"/>
        <v/>
      </c>
      <c r="G4435" s="1037" t="str">
        <f t="shared" si="1549"/>
        <v/>
      </c>
      <c r="H4435" s="225"/>
      <c r="I4435" s="1013"/>
      <c r="J4435" s="1013"/>
      <c r="K4435" s="1028"/>
      <c r="L4435" s="1035" t="str">
        <f t="shared" si="1553"/>
        <v/>
      </c>
      <c r="S4435" s="498"/>
      <c r="AJ4435" s="498"/>
      <c r="AM4435" s="498">
        <f t="shared" si="1534"/>
        <v>0</v>
      </c>
      <c r="AN4435" s="498">
        <f t="shared" si="1535"/>
        <v>0</v>
      </c>
      <c r="AO4435" s="498">
        <f t="shared" si="1536"/>
        <v>0</v>
      </c>
      <c r="AP4435" s="498">
        <f t="shared" ref="AP4435:AP4498" si="1555">IF(ISBLANK($B4435),0,IF(OR($C4435="M",$C4435="F"),0,1))</f>
        <v>0</v>
      </c>
      <c r="AQ4435" s="498">
        <f t="shared" si="1550"/>
        <v>0</v>
      </c>
      <c r="AU4435" s="498">
        <f t="shared" si="1537"/>
        <v>0</v>
      </c>
      <c r="AV4435" s="498">
        <f t="shared" si="1538"/>
        <v>0</v>
      </c>
      <c r="AW4435" s="498">
        <f t="shared" si="1539"/>
        <v>0</v>
      </c>
      <c r="AX4435" s="498">
        <f t="shared" si="1540"/>
        <v>0</v>
      </c>
      <c r="AY4435" s="498">
        <f t="shared" si="1541"/>
        <v>0</v>
      </c>
      <c r="BB4435" s="498" t="str">
        <f t="shared" si="1542"/>
        <v/>
      </c>
      <c r="BC4435" s="743" t="str">
        <f t="shared" si="1543"/>
        <v/>
      </c>
      <c r="BD4435" s="743" t="str">
        <f t="shared" si="1544"/>
        <v/>
      </c>
      <c r="BE4435" s="743" t="str">
        <f>IF(D4435="","",VLOOKUP(D4435,'General Basis'!$J$39:$K$46,2,0))</f>
        <v/>
      </c>
      <c r="BF4435" s="744" t="str">
        <f>IF(D4435="","",VLOOKUP(D4435,'General Basis'!$J$39:$L$46,3,0))</f>
        <v/>
      </c>
      <c r="BG4435" s="744" t="str">
        <f t="shared" si="1551"/>
        <v/>
      </c>
      <c r="BH4435" s="744" t="str">
        <f>IF(G4435="","",IF(BF4435="Abu Dhabi",IF(G4435&lt;18,'General Basis'!$C$39,IF(G4435&lt;41,'General Basis'!$C$40,IF(G4435&lt;60,'General Basis'!$C$41,IF(G4435&lt;65,'General Basis'!$C$42,'General Basis'!$C$43)))),IF(G4435&lt;11,'General Basis'!$B$39,IF(G4435&lt;18,'General Basis'!$B$40,IF(G4435&lt;26,'General Basis'!$B$41,IF(G4435&lt;31,'General Basis'!$B$42,IF(G4435&lt;36,'General Basis'!$B$43,IF(G4435&lt;41,'General Basis'!$B$44,IF(G4435&lt;46,'General Basis'!$B$45,IF(G4435&lt;51,'General Basis'!$B$46,IF(G4435&lt;56,'General Basis'!$B$47,IF(G4435&lt;60,'General Basis'!$B$48,IF(G4435&lt;65,'General Basis'!$B$49,'General Basis'!$B$50)))))))))))))</f>
        <v/>
      </c>
      <c r="BI4435" s="744" t="str">
        <f t="shared" si="1545"/>
        <v/>
      </c>
      <c r="BJ4435" s="747" t="str">
        <f t="shared" si="1552"/>
        <v/>
      </c>
      <c r="BK4435" s="498" t="str">
        <f t="shared" si="1546"/>
        <v/>
      </c>
      <c r="BL4435" s="498" t="str">
        <f t="shared" si="1547"/>
        <v/>
      </c>
    </row>
    <row r="4436" spans="1:64" x14ac:dyDescent="0.25">
      <c r="A4436" s="762">
        <f t="shared" si="1548"/>
        <v>4431</v>
      </c>
      <c r="B4436" s="229"/>
      <c r="C4436" s="223"/>
      <c r="D4436" s="224"/>
      <c r="E4436" s="225"/>
      <c r="F4436" s="1036" t="str">
        <f t="shared" si="1554"/>
        <v/>
      </c>
      <c r="G4436" s="1037" t="str">
        <f t="shared" si="1549"/>
        <v/>
      </c>
      <c r="H4436" s="225"/>
      <c r="I4436" s="1013"/>
      <c r="J4436" s="1013"/>
      <c r="K4436" s="1028"/>
      <c r="L4436" s="1035" t="str">
        <f t="shared" si="1553"/>
        <v/>
      </c>
      <c r="S4436" s="498"/>
      <c r="AJ4436" s="498"/>
      <c r="AM4436" s="498">
        <f t="shared" si="1534"/>
        <v>0</v>
      </c>
      <c r="AN4436" s="498">
        <f t="shared" si="1535"/>
        <v>0</v>
      </c>
      <c r="AO4436" s="498">
        <f t="shared" si="1536"/>
        <v>0</v>
      </c>
      <c r="AP4436" s="498">
        <f t="shared" si="1555"/>
        <v>0</v>
      </c>
      <c r="AQ4436" s="498">
        <f t="shared" si="1550"/>
        <v>0</v>
      </c>
      <c r="AU4436" s="498">
        <f t="shared" si="1537"/>
        <v>0</v>
      </c>
      <c r="AV4436" s="498">
        <f t="shared" si="1538"/>
        <v>0</v>
      </c>
      <c r="AW4436" s="498">
        <f t="shared" si="1539"/>
        <v>0</v>
      </c>
      <c r="AX4436" s="498">
        <f t="shared" si="1540"/>
        <v>0</v>
      </c>
      <c r="AY4436" s="498">
        <f t="shared" si="1541"/>
        <v>0</v>
      </c>
      <c r="BB4436" s="498" t="str">
        <f t="shared" si="1542"/>
        <v/>
      </c>
      <c r="BC4436" s="743" t="str">
        <f t="shared" si="1543"/>
        <v/>
      </c>
      <c r="BD4436" s="743" t="str">
        <f t="shared" si="1544"/>
        <v/>
      </c>
      <c r="BE4436" s="743" t="str">
        <f>IF(D4436="","",VLOOKUP(D4436,'General Basis'!$J$39:$K$46,2,0))</f>
        <v/>
      </c>
      <c r="BF4436" s="744" t="str">
        <f>IF(D4436="","",VLOOKUP(D4436,'General Basis'!$J$39:$L$46,3,0))</f>
        <v/>
      </c>
      <c r="BG4436" s="744" t="str">
        <f t="shared" si="1551"/>
        <v/>
      </c>
      <c r="BH4436" s="744" t="str">
        <f>IF(G4436="","",IF(BF4436="Abu Dhabi",IF(G4436&lt;18,'General Basis'!$C$39,IF(G4436&lt;41,'General Basis'!$C$40,IF(G4436&lt;60,'General Basis'!$C$41,IF(G4436&lt;65,'General Basis'!$C$42,'General Basis'!$C$43)))),IF(G4436&lt;11,'General Basis'!$B$39,IF(G4436&lt;18,'General Basis'!$B$40,IF(G4436&lt;26,'General Basis'!$B$41,IF(G4436&lt;31,'General Basis'!$B$42,IF(G4436&lt;36,'General Basis'!$B$43,IF(G4436&lt;41,'General Basis'!$B$44,IF(G4436&lt;46,'General Basis'!$B$45,IF(G4436&lt;51,'General Basis'!$B$46,IF(G4436&lt;56,'General Basis'!$B$47,IF(G4436&lt;60,'General Basis'!$B$48,IF(G4436&lt;65,'General Basis'!$B$49,'General Basis'!$B$50)))))))))))))</f>
        <v/>
      </c>
      <c r="BI4436" s="744" t="str">
        <f t="shared" si="1545"/>
        <v/>
      </c>
      <c r="BJ4436" s="747" t="str">
        <f t="shared" si="1552"/>
        <v/>
      </c>
      <c r="BK4436" s="498" t="str">
        <f t="shared" si="1546"/>
        <v/>
      </c>
      <c r="BL4436" s="498" t="str">
        <f t="shared" si="1547"/>
        <v/>
      </c>
    </row>
    <row r="4437" spans="1:64" x14ac:dyDescent="0.25">
      <c r="A4437" s="762">
        <f t="shared" si="1548"/>
        <v>4432</v>
      </c>
      <c r="B4437" s="229"/>
      <c r="C4437" s="223"/>
      <c r="D4437" s="224"/>
      <c r="E4437" s="225"/>
      <c r="F4437" s="1036" t="str">
        <f t="shared" si="1554"/>
        <v/>
      </c>
      <c r="G4437" s="1037" t="str">
        <f t="shared" si="1549"/>
        <v/>
      </c>
      <c r="H4437" s="225"/>
      <c r="I4437" s="1013"/>
      <c r="J4437" s="1013"/>
      <c r="K4437" s="1028"/>
      <c r="L4437" s="1035" t="str">
        <f t="shared" si="1553"/>
        <v/>
      </c>
      <c r="S4437" s="498"/>
      <c r="AJ4437" s="498"/>
      <c r="AM4437" s="498">
        <f t="shared" si="1534"/>
        <v>0</v>
      </c>
      <c r="AN4437" s="498">
        <f t="shared" si="1535"/>
        <v>0</v>
      </c>
      <c r="AO4437" s="498">
        <f t="shared" si="1536"/>
        <v>0</v>
      </c>
      <c r="AP4437" s="498">
        <f t="shared" si="1555"/>
        <v>0</v>
      </c>
      <c r="AQ4437" s="498">
        <f t="shared" si="1550"/>
        <v>0</v>
      </c>
      <c r="AU4437" s="498">
        <f t="shared" si="1537"/>
        <v>0</v>
      </c>
      <c r="AV4437" s="498">
        <f t="shared" si="1538"/>
        <v>0</v>
      </c>
      <c r="AW4437" s="498">
        <f t="shared" si="1539"/>
        <v>0</v>
      </c>
      <c r="AX4437" s="498">
        <f t="shared" si="1540"/>
        <v>0</v>
      </c>
      <c r="AY4437" s="498">
        <f t="shared" si="1541"/>
        <v>0</v>
      </c>
      <c r="BB4437" s="498" t="str">
        <f t="shared" si="1542"/>
        <v/>
      </c>
      <c r="BC4437" s="743" t="str">
        <f t="shared" si="1543"/>
        <v/>
      </c>
      <c r="BD4437" s="743" t="str">
        <f t="shared" si="1544"/>
        <v/>
      </c>
      <c r="BE4437" s="743" t="str">
        <f>IF(D4437="","",VLOOKUP(D4437,'General Basis'!$J$39:$K$46,2,0))</f>
        <v/>
      </c>
      <c r="BF4437" s="744" t="str">
        <f>IF(D4437="","",VLOOKUP(D4437,'General Basis'!$J$39:$L$46,3,0))</f>
        <v/>
      </c>
      <c r="BG4437" s="744" t="str">
        <f t="shared" si="1551"/>
        <v/>
      </c>
      <c r="BH4437" s="744" t="str">
        <f>IF(G4437="","",IF(BF4437="Abu Dhabi",IF(G4437&lt;18,'General Basis'!$C$39,IF(G4437&lt;41,'General Basis'!$C$40,IF(G4437&lt;60,'General Basis'!$C$41,IF(G4437&lt;65,'General Basis'!$C$42,'General Basis'!$C$43)))),IF(G4437&lt;11,'General Basis'!$B$39,IF(G4437&lt;18,'General Basis'!$B$40,IF(G4437&lt;26,'General Basis'!$B$41,IF(G4437&lt;31,'General Basis'!$B$42,IF(G4437&lt;36,'General Basis'!$B$43,IF(G4437&lt;41,'General Basis'!$B$44,IF(G4437&lt;46,'General Basis'!$B$45,IF(G4437&lt;51,'General Basis'!$B$46,IF(G4437&lt;56,'General Basis'!$B$47,IF(G4437&lt;60,'General Basis'!$B$48,IF(G4437&lt;65,'General Basis'!$B$49,'General Basis'!$B$50)))))))))))))</f>
        <v/>
      </c>
      <c r="BI4437" s="744" t="str">
        <f t="shared" si="1545"/>
        <v/>
      </c>
      <c r="BJ4437" s="747" t="str">
        <f t="shared" si="1552"/>
        <v/>
      </c>
      <c r="BK4437" s="498" t="str">
        <f t="shared" si="1546"/>
        <v/>
      </c>
      <c r="BL4437" s="498" t="str">
        <f t="shared" si="1547"/>
        <v/>
      </c>
    </row>
    <row r="4438" spans="1:64" x14ac:dyDescent="0.25">
      <c r="A4438" s="762">
        <f t="shared" si="1548"/>
        <v>4433</v>
      </c>
      <c r="B4438" s="229"/>
      <c r="C4438" s="223"/>
      <c r="D4438" s="224"/>
      <c r="E4438" s="225"/>
      <c r="F4438" s="1036" t="str">
        <f t="shared" si="1554"/>
        <v/>
      </c>
      <c r="G4438" s="1037" t="str">
        <f t="shared" si="1549"/>
        <v/>
      </c>
      <c r="H4438" s="225"/>
      <c r="I4438" s="1013"/>
      <c r="J4438" s="1013"/>
      <c r="K4438" s="1028"/>
      <c r="L4438" s="1035" t="str">
        <f t="shared" si="1553"/>
        <v/>
      </c>
      <c r="S4438" s="498"/>
      <c r="AJ4438" s="498"/>
      <c r="AM4438" s="498">
        <f t="shared" si="1534"/>
        <v>0</v>
      </c>
      <c r="AN4438" s="498">
        <f t="shared" si="1535"/>
        <v>0</v>
      </c>
      <c r="AO4438" s="498">
        <f t="shared" si="1536"/>
        <v>0</v>
      </c>
      <c r="AP4438" s="498">
        <f t="shared" si="1555"/>
        <v>0</v>
      </c>
      <c r="AQ4438" s="498">
        <f t="shared" si="1550"/>
        <v>0</v>
      </c>
      <c r="AU4438" s="498">
        <f t="shared" si="1537"/>
        <v>0</v>
      </c>
      <c r="AV4438" s="498">
        <f t="shared" si="1538"/>
        <v>0</v>
      </c>
      <c r="AW4438" s="498">
        <f t="shared" si="1539"/>
        <v>0</v>
      </c>
      <c r="AX4438" s="498">
        <f t="shared" si="1540"/>
        <v>0</v>
      </c>
      <c r="AY4438" s="498">
        <f t="shared" si="1541"/>
        <v>0</v>
      </c>
      <c r="BB4438" s="498" t="str">
        <f t="shared" si="1542"/>
        <v/>
      </c>
      <c r="BC4438" s="743" t="str">
        <f t="shared" si="1543"/>
        <v/>
      </c>
      <c r="BD4438" s="743" t="str">
        <f t="shared" si="1544"/>
        <v/>
      </c>
      <c r="BE4438" s="743" t="str">
        <f>IF(D4438="","",VLOOKUP(D4438,'General Basis'!$J$39:$K$46,2,0))</f>
        <v/>
      </c>
      <c r="BF4438" s="744" t="str">
        <f>IF(D4438="","",VLOOKUP(D4438,'General Basis'!$J$39:$L$46,3,0))</f>
        <v/>
      </c>
      <c r="BG4438" s="744" t="str">
        <f t="shared" si="1551"/>
        <v/>
      </c>
      <c r="BH4438" s="744" t="str">
        <f>IF(G4438="","",IF(BF4438="Abu Dhabi",IF(G4438&lt;18,'General Basis'!$C$39,IF(G4438&lt;41,'General Basis'!$C$40,IF(G4438&lt;60,'General Basis'!$C$41,IF(G4438&lt;65,'General Basis'!$C$42,'General Basis'!$C$43)))),IF(G4438&lt;11,'General Basis'!$B$39,IF(G4438&lt;18,'General Basis'!$B$40,IF(G4438&lt;26,'General Basis'!$B$41,IF(G4438&lt;31,'General Basis'!$B$42,IF(G4438&lt;36,'General Basis'!$B$43,IF(G4438&lt;41,'General Basis'!$B$44,IF(G4438&lt;46,'General Basis'!$B$45,IF(G4438&lt;51,'General Basis'!$B$46,IF(G4438&lt;56,'General Basis'!$B$47,IF(G4438&lt;60,'General Basis'!$B$48,IF(G4438&lt;65,'General Basis'!$B$49,'General Basis'!$B$50)))))))))))))</f>
        <v/>
      </c>
      <c r="BI4438" s="744" t="str">
        <f t="shared" si="1545"/>
        <v/>
      </c>
      <c r="BJ4438" s="747" t="str">
        <f t="shared" si="1552"/>
        <v/>
      </c>
      <c r="BK4438" s="498" t="str">
        <f t="shared" si="1546"/>
        <v/>
      </c>
      <c r="BL4438" s="498" t="str">
        <f t="shared" si="1547"/>
        <v/>
      </c>
    </row>
    <row r="4439" spans="1:64" x14ac:dyDescent="0.25">
      <c r="A4439" s="762">
        <f t="shared" si="1548"/>
        <v>4434</v>
      </c>
      <c r="B4439" s="229"/>
      <c r="C4439" s="223"/>
      <c r="D4439" s="224"/>
      <c r="E4439" s="225"/>
      <c r="F4439" s="1036" t="str">
        <f t="shared" si="1554"/>
        <v/>
      </c>
      <c r="G4439" s="1037" t="str">
        <f t="shared" si="1549"/>
        <v/>
      </c>
      <c r="H4439" s="225"/>
      <c r="I4439" s="1013"/>
      <c r="J4439" s="1013"/>
      <c r="K4439" s="1028"/>
      <c r="L4439" s="1035" t="str">
        <f t="shared" si="1553"/>
        <v/>
      </c>
      <c r="S4439" s="498"/>
      <c r="AJ4439" s="498"/>
      <c r="AM4439" s="498">
        <f t="shared" si="1534"/>
        <v>0</v>
      </c>
      <c r="AN4439" s="498">
        <f t="shared" si="1535"/>
        <v>0</v>
      </c>
      <c r="AO4439" s="498">
        <f t="shared" si="1536"/>
        <v>0</v>
      </c>
      <c r="AP4439" s="498">
        <f t="shared" si="1555"/>
        <v>0</v>
      </c>
      <c r="AQ4439" s="498">
        <f t="shared" si="1550"/>
        <v>0</v>
      </c>
      <c r="AU4439" s="498">
        <f t="shared" si="1537"/>
        <v>0</v>
      </c>
      <c r="AV4439" s="498">
        <f t="shared" si="1538"/>
        <v>0</v>
      </c>
      <c r="AW4439" s="498">
        <f t="shared" si="1539"/>
        <v>0</v>
      </c>
      <c r="AX4439" s="498">
        <f t="shared" si="1540"/>
        <v>0</v>
      </c>
      <c r="AY4439" s="498">
        <f t="shared" si="1541"/>
        <v>0</v>
      </c>
      <c r="BB4439" s="498" t="str">
        <f t="shared" si="1542"/>
        <v/>
      </c>
      <c r="BC4439" s="743" t="str">
        <f t="shared" si="1543"/>
        <v/>
      </c>
      <c r="BD4439" s="743" t="str">
        <f t="shared" si="1544"/>
        <v/>
      </c>
      <c r="BE4439" s="743" t="str">
        <f>IF(D4439="","",VLOOKUP(D4439,'General Basis'!$J$39:$K$46,2,0))</f>
        <v/>
      </c>
      <c r="BF4439" s="744" t="str">
        <f>IF(D4439="","",VLOOKUP(D4439,'General Basis'!$J$39:$L$46,3,0))</f>
        <v/>
      </c>
      <c r="BG4439" s="744" t="str">
        <f t="shared" si="1551"/>
        <v/>
      </c>
      <c r="BH4439" s="744" t="str">
        <f>IF(G4439="","",IF(BF4439="Abu Dhabi",IF(G4439&lt;18,'General Basis'!$C$39,IF(G4439&lt;41,'General Basis'!$C$40,IF(G4439&lt;60,'General Basis'!$C$41,IF(G4439&lt;65,'General Basis'!$C$42,'General Basis'!$C$43)))),IF(G4439&lt;11,'General Basis'!$B$39,IF(G4439&lt;18,'General Basis'!$B$40,IF(G4439&lt;26,'General Basis'!$B$41,IF(G4439&lt;31,'General Basis'!$B$42,IF(G4439&lt;36,'General Basis'!$B$43,IF(G4439&lt;41,'General Basis'!$B$44,IF(G4439&lt;46,'General Basis'!$B$45,IF(G4439&lt;51,'General Basis'!$B$46,IF(G4439&lt;56,'General Basis'!$B$47,IF(G4439&lt;60,'General Basis'!$B$48,IF(G4439&lt;65,'General Basis'!$B$49,'General Basis'!$B$50)))))))))))))</f>
        <v/>
      </c>
      <c r="BI4439" s="744" t="str">
        <f t="shared" si="1545"/>
        <v/>
      </c>
      <c r="BJ4439" s="747" t="str">
        <f t="shared" si="1552"/>
        <v/>
      </c>
      <c r="BK4439" s="498" t="str">
        <f t="shared" si="1546"/>
        <v/>
      </c>
      <c r="BL4439" s="498" t="str">
        <f t="shared" si="1547"/>
        <v/>
      </c>
    </row>
    <row r="4440" spans="1:64" x14ac:dyDescent="0.25">
      <c r="A4440" s="762">
        <f t="shared" si="1548"/>
        <v>4435</v>
      </c>
      <c r="B4440" s="229"/>
      <c r="C4440" s="223"/>
      <c r="D4440" s="224"/>
      <c r="E4440" s="225"/>
      <c r="F4440" s="1036" t="str">
        <f t="shared" si="1554"/>
        <v/>
      </c>
      <c r="G4440" s="1037" t="str">
        <f t="shared" si="1549"/>
        <v/>
      </c>
      <c r="H4440" s="225"/>
      <c r="I4440" s="1013"/>
      <c r="J4440" s="1013"/>
      <c r="K4440" s="1028"/>
      <c r="L4440" s="1035" t="str">
        <f t="shared" si="1553"/>
        <v/>
      </c>
      <c r="S4440" s="498"/>
      <c r="AJ4440" s="498"/>
      <c r="AM4440" s="498">
        <f t="shared" si="1534"/>
        <v>0</v>
      </c>
      <c r="AN4440" s="498">
        <f t="shared" si="1535"/>
        <v>0</v>
      </c>
      <c r="AO4440" s="498">
        <f t="shared" si="1536"/>
        <v>0</v>
      </c>
      <c r="AP4440" s="498">
        <f t="shared" si="1555"/>
        <v>0</v>
      </c>
      <c r="AQ4440" s="498">
        <f t="shared" si="1550"/>
        <v>0</v>
      </c>
      <c r="AU4440" s="498">
        <f t="shared" si="1537"/>
        <v>0</v>
      </c>
      <c r="AV4440" s="498">
        <f t="shared" si="1538"/>
        <v>0</v>
      </c>
      <c r="AW4440" s="498">
        <f t="shared" si="1539"/>
        <v>0</v>
      </c>
      <c r="AX4440" s="498">
        <f t="shared" si="1540"/>
        <v>0</v>
      </c>
      <c r="AY4440" s="498">
        <f t="shared" si="1541"/>
        <v>0</v>
      </c>
      <c r="BB4440" s="498" t="str">
        <f t="shared" si="1542"/>
        <v/>
      </c>
      <c r="BC4440" s="743" t="str">
        <f t="shared" si="1543"/>
        <v/>
      </c>
      <c r="BD4440" s="743" t="str">
        <f t="shared" si="1544"/>
        <v/>
      </c>
      <c r="BE4440" s="743" t="str">
        <f>IF(D4440="","",VLOOKUP(D4440,'General Basis'!$J$39:$K$46,2,0))</f>
        <v/>
      </c>
      <c r="BF4440" s="744" t="str">
        <f>IF(D4440="","",VLOOKUP(D4440,'General Basis'!$J$39:$L$46,3,0))</f>
        <v/>
      </c>
      <c r="BG4440" s="744" t="str">
        <f t="shared" si="1551"/>
        <v/>
      </c>
      <c r="BH4440" s="744" t="str">
        <f>IF(G4440="","",IF(BF4440="Abu Dhabi",IF(G4440&lt;18,'General Basis'!$C$39,IF(G4440&lt;41,'General Basis'!$C$40,IF(G4440&lt;60,'General Basis'!$C$41,IF(G4440&lt;65,'General Basis'!$C$42,'General Basis'!$C$43)))),IF(G4440&lt;11,'General Basis'!$B$39,IF(G4440&lt;18,'General Basis'!$B$40,IF(G4440&lt;26,'General Basis'!$B$41,IF(G4440&lt;31,'General Basis'!$B$42,IF(G4440&lt;36,'General Basis'!$B$43,IF(G4440&lt;41,'General Basis'!$B$44,IF(G4440&lt;46,'General Basis'!$B$45,IF(G4440&lt;51,'General Basis'!$B$46,IF(G4440&lt;56,'General Basis'!$B$47,IF(G4440&lt;60,'General Basis'!$B$48,IF(G4440&lt;65,'General Basis'!$B$49,'General Basis'!$B$50)))))))))))))</f>
        <v/>
      </c>
      <c r="BI4440" s="744" t="str">
        <f t="shared" si="1545"/>
        <v/>
      </c>
      <c r="BJ4440" s="747" t="str">
        <f t="shared" si="1552"/>
        <v/>
      </c>
      <c r="BK4440" s="498" t="str">
        <f t="shared" si="1546"/>
        <v/>
      </c>
      <c r="BL4440" s="498" t="str">
        <f t="shared" si="1547"/>
        <v/>
      </c>
    </row>
    <row r="4441" spans="1:64" x14ac:dyDescent="0.25">
      <c r="A4441" s="762">
        <f t="shared" si="1548"/>
        <v>4436</v>
      </c>
      <c r="B4441" s="229"/>
      <c r="C4441" s="223"/>
      <c r="D4441" s="224"/>
      <c r="E4441" s="225"/>
      <c r="F4441" s="1036" t="str">
        <f t="shared" si="1554"/>
        <v/>
      </c>
      <c r="G4441" s="1037" t="str">
        <f t="shared" si="1549"/>
        <v/>
      </c>
      <c r="H4441" s="225"/>
      <c r="I4441" s="1013"/>
      <c r="J4441" s="1013"/>
      <c r="K4441" s="1028"/>
      <c r="L4441" s="1035" t="str">
        <f t="shared" si="1553"/>
        <v/>
      </c>
      <c r="S4441" s="498"/>
      <c r="AJ4441" s="498"/>
      <c r="AM4441" s="498">
        <f t="shared" si="1534"/>
        <v>0</v>
      </c>
      <c r="AN4441" s="498">
        <f t="shared" si="1535"/>
        <v>0</v>
      </c>
      <c r="AO4441" s="498">
        <f t="shared" si="1536"/>
        <v>0</v>
      </c>
      <c r="AP4441" s="498">
        <f t="shared" si="1555"/>
        <v>0</v>
      </c>
      <c r="AQ4441" s="498">
        <f t="shared" si="1550"/>
        <v>0</v>
      </c>
      <c r="AU4441" s="498">
        <f t="shared" si="1537"/>
        <v>0</v>
      </c>
      <c r="AV4441" s="498">
        <f t="shared" si="1538"/>
        <v>0</v>
      </c>
      <c r="AW4441" s="498">
        <f t="shared" si="1539"/>
        <v>0</v>
      </c>
      <c r="AX4441" s="498">
        <f t="shared" si="1540"/>
        <v>0</v>
      </c>
      <c r="AY4441" s="498">
        <f t="shared" si="1541"/>
        <v>0</v>
      </c>
      <c r="BB4441" s="498" t="str">
        <f t="shared" si="1542"/>
        <v/>
      </c>
      <c r="BC4441" s="743" t="str">
        <f t="shared" si="1543"/>
        <v/>
      </c>
      <c r="BD4441" s="743" t="str">
        <f t="shared" si="1544"/>
        <v/>
      </c>
      <c r="BE4441" s="743" t="str">
        <f>IF(D4441="","",VLOOKUP(D4441,'General Basis'!$J$39:$K$46,2,0))</f>
        <v/>
      </c>
      <c r="BF4441" s="744" t="str">
        <f>IF(D4441="","",VLOOKUP(D4441,'General Basis'!$J$39:$L$46,3,0))</f>
        <v/>
      </c>
      <c r="BG4441" s="744" t="str">
        <f t="shared" si="1551"/>
        <v/>
      </c>
      <c r="BH4441" s="744" t="str">
        <f>IF(G4441="","",IF(BF4441="Abu Dhabi",IF(G4441&lt;18,'General Basis'!$C$39,IF(G4441&lt;41,'General Basis'!$C$40,IF(G4441&lt;60,'General Basis'!$C$41,IF(G4441&lt;65,'General Basis'!$C$42,'General Basis'!$C$43)))),IF(G4441&lt;11,'General Basis'!$B$39,IF(G4441&lt;18,'General Basis'!$B$40,IF(G4441&lt;26,'General Basis'!$B$41,IF(G4441&lt;31,'General Basis'!$B$42,IF(G4441&lt;36,'General Basis'!$B$43,IF(G4441&lt;41,'General Basis'!$B$44,IF(G4441&lt;46,'General Basis'!$B$45,IF(G4441&lt;51,'General Basis'!$B$46,IF(G4441&lt;56,'General Basis'!$B$47,IF(G4441&lt;60,'General Basis'!$B$48,IF(G4441&lt;65,'General Basis'!$B$49,'General Basis'!$B$50)))))))))))))</f>
        <v/>
      </c>
      <c r="BI4441" s="744" t="str">
        <f t="shared" si="1545"/>
        <v/>
      </c>
      <c r="BJ4441" s="747" t="str">
        <f t="shared" si="1552"/>
        <v/>
      </c>
      <c r="BK4441" s="498" t="str">
        <f t="shared" si="1546"/>
        <v/>
      </c>
      <c r="BL4441" s="498" t="str">
        <f t="shared" si="1547"/>
        <v/>
      </c>
    </row>
    <row r="4442" spans="1:64" x14ac:dyDescent="0.25">
      <c r="A4442" s="762">
        <f t="shared" si="1548"/>
        <v>4437</v>
      </c>
      <c r="B4442" s="229"/>
      <c r="C4442" s="223"/>
      <c r="D4442" s="224"/>
      <c r="E4442" s="225"/>
      <c r="F4442" s="1036" t="str">
        <f t="shared" si="1554"/>
        <v/>
      </c>
      <c r="G4442" s="1037" t="str">
        <f t="shared" si="1549"/>
        <v/>
      </c>
      <c r="H4442" s="225"/>
      <c r="I4442" s="1013"/>
      <c r="J4442" s="1013"/>
      <c r="K4442" s="1028"/>
      <c r="L4442" s="1035" t="str">
        <f t="shared" si="1553"/>
        <v/>
      </c>
      <c r="S4442" s="498"/>
      <c r="AJ4442" s="498"/>
      <c r="AM4442" s="498">
        <f t="shared" si="1534"/>
        <v>0</v>
      </c>
      <c r="AN4442" s="498">
        <f t="shared" si="1535"/>
        <v>0</v>
      </c>
      <c r="AO4442" s="498">
        <f t="shared" si="1536"/>
        <v>0</v>
      </c>
      <c r="AP4442" s="498">
        <f t="shared" si="1555"/>
        <v>0</v>
      </c>
      <c r="AQ4442" s="498">
        <f t="shared" si="1550"/>
        <v>0</v>
      </c>
      <c r="AU4442" s="498">
        <f t="shared" si="1537"/>
        <v>0</v>
      </c>
      <c r="AV4442" s="498">
        <f t="shared" si="1538"/>
        <v>0</v>
      </c>
      <c r="AW4442" s="498">
        <f t="shared" si="1539"/>
        <v>0</v>
      </c>
      <c r="AX4442" s="498">
        <f t="shared" si="1540"/>
        <v>0</v>
      </c>
      <c r="AY4442" s="498">
        <f t="shared" si="1541"/>
        <v>0</v>
      </c>
      <c r="BB4442" s="498" t="str">
        <f t="shared" si="1542"/>
        <v/>
      </c>
      <c r="BC4442" s="743" t="str">
        <f t="shared" si="1543"/>
        <v/>
      </c>
      <c r="BD4442" s="743" t="str">
        <f t="shared" si="1544"/>
        <v/>
      </c>
      <c r="BE4442" s="743" t="str">
        <f>IF(D4442="","",VLOOKUP(D4442,'General Basis'!$J$39:$K$46,2,0))</f>
        <v/>
      </c>
      <c r="BF4442" s="744" t="str">
        <f>IF(D4442="","",VLOOKUP(D4442,'General Basis'!$J$39:$L$46,3,0))</f>
        <v/>
      </c>
      <c r="BG4442" s="744" t="str">
        <f t="shared" si="1551"/>
        <v/>
      </c>
      <c r="BH4442" s="744" t="str">
        <f>IF(G4442="","",IF(BF4442="Abu Dhabi",IF(G4442&lt;18,'General Basis'!$C$39,IF(G4442&lt;41,'General Basis'!$C$40,IF(G4442&lt;60,'General Basis'!$C$41,IF(G4442&lt;65,'General Basis'!$C$42,'General Basis'!$C$43)))),IF(G4442&lt;11,'General Basis'!$B$39,IF(G4442&lt;18,'General Basis'!$B$40,IF(G4442&lt;26,'General Basis'!$B$41,IF(G4442&lt;31,'General Basis'!$B$42,IF(G4442&lt;36,'General Basis'!$B$43,IF(G4442&lt;41,'General Basis'!$B$44,IF(G4442&lt;46,'General Basis'!$B$45,IF(G4442&lt;51,'General Basis'!$B$46,IF(G4442&lt;56,'General Basis'!$B$47,IF(G4442&lt;60,'General Basis'!$B$48,IF(G4442&lt;65,'General Basis'!$B$49,'General Basis'!$B$50)))))))))))))</f>
        <v/>
      </c>
      <c r="BI4442" s="744" t="str">
        <f t="shared" si="1545"/>
        <v/>
      </c>
      <c r="BJ4442" s="747" t="str">
        <f t="shared" si="1552"/>
        <v/>
      </c>
      <c r="BK4442" s="498" t="str">
        <f t="shared" si="1546"/>
        <v/>
      </c>
      <c r="BL4442" s="498" t="str">
        <f t="shared" si="1547"/>
        <v/>
      </c>
    </row>
    <row r="4443" spans="1:64" x14ac:dyDescent="0.25">
      <c r="A4443" s="762">
        <f t="shared" si="1548"/>
        <v>4438</v>
      </c>
      <c r="B4443" s="229"/>
      <c r="C4443" s="223"/>
      <c r="D4443" s="224"/>
      <c r="E4443" s="225"/>
      <c r="F4443" s="1036" t="str">
        <f t="shared" si="1554"/>
        <v/>
      </c>
      <c r="G4443" s="1037" t="str">
        <f t="shared" si="1549"/>
        <v/>
      </c>
      <c r="H4443" s="225"/>
      <c r="I4443" s="1013"/>
      <c r="J4443" s="1013"/>
      <c r="K4443" s="1028"/>
      <c r="L4443" s="1035" t="str">
        <f t="shared" si="1553"/>
        <v/>
      </c>
      <c r="S4443" s="498"/>
      <c r="AJ4443" s="498"/>
      <c r="AM4443" s="498">
        <f t="shared" si="1534"/>
        <v>0</v>
      </c>
      <c r="AN4443" s="498">
        <f t="shared" si="1535"/>
        <v>0</v>
      </c>
      <c r="AO4443" s="498">
        <f t="shared" si="1536"/>
        <v>0</v>
      </c>
      <c r="AP4443" s="498">
        <f t="shared" si="1555"/>
        <v>0</v>
      </c>
      <c r="AQ4443" s="498">
        <f t="shared" si="1550"/>
        <v>0</v>
      </c>
      <c r="AU4443" s="498">
        <f t="shared" si="1537"/>
        <v>0</v>
      </c>
      <c r="AV4443" s="498">
        <f t="shared" si="1538"/>
        <v>0</v>
      </c>
      <c r="AW4443" s="498">
        <f t="shared" si="1539"/>
        <v>0</v>
      </c>
      <c r="AX4443" s="498">
        <f t="shared" si="1540"/>
        <v>0</v>
      </c>
      <c r="AY4443" s="498">
        <f t="shared" si="1541"/>
        <v>0</v>
      </c>
      <c r="BB4443" s="498" t="str">
        <f t="shared" si="1542"/>
        <v/>
      </c>
      <c r="BC4443" s="743" t="str">
        <f t="shared" si="1543"/>
        <v/>
      </c>
      <c r="BD4443" s="743" t="str">
        <f t="shared" si="1544"/>
        <v/>
      </c>
      <c r="BE4443" s="743" t="str">
        <f>IF(D4443="","",VLOOKUP(D4443,'General Basis'!$J$39:$K$46,2,0))</f>
        <v/>
      </c>
      <c r="BF4443" s="744" t="str">
        <f>IF(D4443="","",VLOOKUP(D4443,'General Basis'!$J$39:$L$46,3,0))</f>
        <v/>
      </c>
      <c r="BG4443" s="744" t="str">
        <f t="shared" si="1551"/>
        <v/>
      </c>
      <c r="BH4443" s="744" t="str">
        <f>IF(G4443="","",IF(BF4443="Abu Dhabi",IF(G4443&lt;18,'General Basis'!$C$39,IF(G4443&lt;41,'General Basis'!$C$40,IF(G4443&lt;60,'General Basis'!$C$41,IF(G4443&lt;65,'General Basis'!$C$42,'General Basis'!$C$43)))),IF(G4443&lt;11,'General Basis'!$B$39,IF(G4443&lt;18,'General Basis'!$B$40,IF(G4443&lt;26,'General Basis'!$B$41,IF(G4443&lt;31,'General Basis'!$B$42,IF(G4443&lt;36,'General Basis'!$B$43,IF(G4443&lt;41,'General Basis'!$B$44,IF(G4443&lt;46,'General Basis'!$B$45,IF(G4443&lt;51,'General Basis'!$B$46,IF(G4443&lt;56,'General Basis'!$B$47,IF(G4443&lt;60,'General Basis'!$B$48,IF(G4443&lt;65,'General Basis'!$B$49,'General Basis'!$B$50)))))))))))))</f>
        <v/>
      </c>
      <c r="BI4443" s="744" t="str">
        <f t="shared" si="1545"/>
        <v/>
      </c>
      <c r="BJ4443" s="747" t="str">
        <f t="shared" si="1552"/>
        <v/>
      </c>
      <c r="BK4443" s="498" t="str">
        <f t="shared" si="1546"/>
        <v/>
      </c>
      <c r="BL4443" s="498" t="str">
        <f t="shared" si="1547"/>
        <v/>
      </c>
    </row>
    <row r="4444" spans="1:64" x14ac:dyDescent="0.25">
      <c r="A4444" s="762">
        <f t="shared" si="1548"/>
        <v>4439</v>
      </c>
      <c r="B4444" s="229"/>
      <c r="C4444" s="223"/>
      <c r="D4444" s="224"/>
      <c r="E4444" s="225"/>
      <c r="F4444" s="1036" t="str">
        <f t="shared" si="1554"/>
        <v/>
      </c>
      <c r="G4444" s="1037" t="str">
        <f t="shared" si="1549"/>
        <v/>
      </c>
      <c r="H4444" s="225"/>
      <c r="I4444" s="1013"/>
      <c r="J4444" s="1013"/>
      <c r="K4444" s="1028"/>
      <c r="L4444" s="1035" t="str">
        <f t="shared" si="1553"/>
        <v/>
      </c>
      <c r="S4444" s="498"/>
      <c r="AJ4444" s="498"/>
      <c r="AM4444" s="498">
        <f t="shared" si="1534"/>
        <v>0</v>
      </c>
      <c r="AN4444" s="498">
        <f t="shared" si="1535"/>
        <v>0</v>
      </c>
      <c r="AO4444" s="498">
        <f t="shared" si="1536"/>
        <v>0</v>
      </c>
      <c r="AP4444" s="498">
        <f t="shared" si="1555"/>
        <v>0</v>
      </c>
      <c r="AQ4444" s="498">
        <f t="shared" si="1550"/>
        <v>0</v>
      </c>
      <c r="AU4444" s="498">
        <f t="shared" si="1537"/>
        <v>0</v>
      </c>
      <c r="AV4444" s="498">
        <f t="shared" si="1538"/>
        <v>0</v>
      </c>
      <c r="AW4444" s="498">
        <f t="shared" si="1539"/>
        <v>0</v>
      </c>
      <c r="AX4444" s="498">
        <f t="shared" si="1540"/>
        <v>0</v>
      </c>
      <c r="AY4444" s="498">
        <f t="shared" si="1541"/>
        <v>0</v>
      </c>
      <c r="BB4444" s="498" t="str">
        <f t="shared" si="1542"/>
        <v/>
      </c>
      <c r="BC4444" s="743" t="str">
        <f t="shared" si="1543"/>
        <v/>
      </c>
      <c r="BD4444" s="743" t="str">
        <f t="shared" si="1544"/>
        <v/>
      </c>
      <c r="BE4444" s="743" t="str">
        <f>IF(D4444="","",VLOOKUP(D4444,'General Basis'!$J$39:$K$46,2,0))</f>
        <v/>
      </c>
      <c r="BF4444" s="744" t="str">
        <f>IF(D4444="","",VLOOKUP(D4444,'General Basis'!$J$39:$L$46,3,0))</f>
        <v/>
      </c>
      <c r="BG4444" s="744" t="str">
        <f t="shared" si="1551"/>
        <v/>
      </c>
      <c r="BH4444" s="744" t="str">
        <f>IF(G4444="","",IF(BF4444="Abu Dhabi",IF(G4444&lt;18,'General Basis'!$C$39,IF(G4444&lt;41,'General Basis'!$C$40,IF(G4444&lt;60,'General Basis'!$C$41,IF(G4444&lt;65,'General Basis'!$C$42,'General Basis'!$C$43)))),IF(G4444&lt;11,'General Basis'!$B$39,IF(G4444&lt;18,'General Basis'!$B$40,IF(G4444&lt;26,'General Basis'!$B$41,IF(G4444&lt;31,'General Basis'!$B$42,IF(G4444&lt;36,'General Basis'!$B$43,IF(G4444&lt;41,'General Basis'!$B$44,IF(G4444&lt;46,'General Basis'!$B$45,IF(G4444&lt;51,'General Basis'!$B$46,IF(G4444&lt;56,'General Basis'!$B$47,IF(G4444&lt;60,'General Basis'!$B$48,IF(G4444&lt;65,'General Basis'!$B$49,'General Basis'!$B$50)))))))))))))</f>
        <v/>
      </c>
      <c r="BI4444" s="744" t="str">
        <f t="shared" si="1545"/>
        <v/>
      </c>
      <c r="BJ4444" s="747" t="str">
        <f t="shared" si="1552"/>
        <v/>
      </c>
      <c r="BK4444" s="498" t="str">
        <f t="shared" si="1546"/>
        <v/>
      </c>
      <c r="BL4444" s="498" t="str">
        <f t="shared" si="1547"/>
        <v/>
      </c>
    </row>
    <row r="4445" spans="1:64" x14ac:dyDescent="0.25">
      <c r="A4445" s="762">
        <f t="shared" si="1548"/>
        <v>4440</v>
      </c>
      <c r="B4445" s="229"/>
      <c r="C4445" s="223"/>
      <c r="D4445" s="224"/>
      <c r="E4445" s="225"/>
      <c r="F4445" s="1036" t="str">
        <f t="shared" si="1554"/>
        <v/>
      </c>
      <c r="G4445" s="1037" t="str">
        <f t="shared" si="1549"/>
        <v/>
      </c>
      <c r="H4445" s="225"/>
      <c r="I4445" s="1013"/>
      <c r="J4445" s="1013"/>
      <c r="K4445" s="1028"/>
      <c r="L4445" s="1035" t="str">
        <f t="shared" si="1553"/>
        <v/>
      </c>
      <c r="S4445" s="498"/>
      <c r="AJ4445" s="498"/>
      <c r="AM4445" s="498">
        <f t="shared" si="1534"/>
        <v>0</v>
      </c>
      <c r="AN4445" s="498">
        <f t="shared" si="1535"/>
        <v>0</v>
      </c>
      <c r="AO4445" s="498">
        <f t="shared" si="1536"/>
        <v>0</v>
      </c>
      <c r="AP4445" s="498">
        <f t="shared" si="1555"/>
        <v>0</v>
      </c>
      <c r="AQ4445" s="498">
        <f t="shared" si="1550"/>
        <v>0</v>
      </c>
      <c r="AU4445" s="498">
        <f t="shared" si="1537"/>
        <v>0</v>
      </c>
      <c r="AV4445" s="498">
        <f t="shared" si="1538"/>
        <v>0</v>
      </c>
      <c r="AW4445" s="498">
        <f t="shared" si="1539"/>
        <v>0</v>
      </c>
      <c r="AX4445" s="498">
        <f t="shared" si="1540"/>
        <v>0</v>
      </c>
      <c r="AY4445" s="498">
        <f t="shared" si="1541"/>
        <v>0</v>
      </c>
      <c r="BB4445" s="498" t="str">
        <f t="shared" si="1542"/>
        <v/>
      </c>
      <c r="BC4445" s="743" t="str">
        <f t="shared" si="1543"/>
        <v/>
      </c>
      <c r="BD4445" s="743" t="str">
        <f t="shared" si="1544"/>
        <v/>
      </c>
      <c r="BE4445" s="743" t="str">
        <f>IF(D4445="","",VLOOKUP(D4445,'General Basis'!$J$39:$K$46,2,0))</f>
        <v/>
      </c>
      <c r="BF4445" s="744" t="str">
        <f>IF(D4445="","",VLOOKUP(D4445,'General Basis'!$J$39:$L$46,3,0))</f>
        <v/>
      </c>
      <c r="BG4445" s="744" t="str">
        <f t="shared" si="1551"/>
        <v/>
      </c>
      <c r="BH4445" s="744" t="str">
        <f>IF(G4445="","",IF(BF4445="Abu Dhabi",IF(G4445&lt;18,'General Basis'!$C$39,IF(G4445&lt;41,'General Basis'!$C$40,IF(G4445&lt;60,'General Basis'!$C$41,IF(G4445&lt;65,'General Basis'!$C$42,'General Basis'!$C$43)))),IF(G4445&lt;11,'General Basis'!$B$39,IF(G4445&lt;18,'General Basis'!$B$40,IF(G4445&lt;26,'General Basis'!$B$41,IF(G4445&lt;31,'General Basis'!$B$42,IF(G4445&lt;36,'General Basis'!$B$43,IF(G4445&lt;41,'General Basis'!$B$44,IF(G4445&lt;46,'General Basis'!$B$45,IF(G4445&lt;51,'General Basis'!$B$46,IF(G4445&lt;56,'General Basis'!$B$47,IF(G4445&lt;60,'General Basis'!$B$48,IF(G4445&lt;65,'General Basis'!$B$49,'General Basis'!$B$50)))))))))))))</f>
        <v/>
      </c>
      <c r="BI4445" s="744" t="str">
        <f t="shared" si="1545"/>
        <v/>
      </c>
      <c r="BJ4445" s="747" t="str">
        <f t="shared" si="1552"/>
        <v/>
      </c>
      <c r="BK4445" s="498" t="str">
        <f t="shared" si="1546"/>
        <v/>
      </c>
      <c r="BL4445" s="498" t="str">
        <f t="shared" si="1547"/>
        <v/>
      </c>
    </row>
    <row r="4446" spans="1:64" x14ac:dyDescent="0.25">
      <c r="A4446" s="762">
        <f t="shared" si="1548"/>
        <v>4441</v>
      </c>
      <c r="B4446" s="229"/>
      <c r="C4446" s="223"/>
      <c r="D4446" s="224"/>
      <c r="E4446" s="225"/>
      <c r="F4446" s="1036" t="str">
        <f t="shared" si="1554"/>
        <v/>
      </c>
      <c r="G4446" s="1037" t="str">
        <f t="shared" si="1549"/>
        <v/>
      </c>
      <c r="H4446" s="225"/>
      <c r="I4446" s="1013"/>
      <c r="J4446" s="1013"/>
      <c r="K4446" s="1028"/>
      <c r="L4446" s="1035" t="str">
        <f t="shared" si="1553"/>
        <v/>
      </c>
      <c r="S4446" s="498"/>
      <c r="AJ4446" s="498"/>
      <c r="AM4446" s="498">
        <f t="shared" si="1534"/>
        <v>0</v>
      </c>
      <c r="AN4446" s="498">
        <f t="shared" si="1535"/>
        <v>0</v>
      </c>
      <c r="AO4446" s="498">
        <f t="shared" si="1536"/>
        <v>0</v>
      </c>
      <c r="AP4446" s="498">
        <f t="shared" si="1555"/>
        <v>0</v>
      </c>
      <c r="AQ4446" s="498">
        <f t="shared" si="1550"/>
        <v>0</v>
      </c>
      <c r="AU4446" s="498">
        <f t="shared" si="1537"/>
        <v>0</v>
      </c>
      <c r="AV4446" s="498">
        <f t="shared" si="1538"/>
        <v>0</v>
      </c>
      <c r="AW4446" s="498">
        <f t="shared" si="1539"/>
        <v>0</v>
      </c>
      <c r="AX4446" s="498">
        <f t="shared" si="1540"/>
        <v>0</v>
      </c>
      <c r="AY4446" s="498">
        <f t="shared" si="1541"/>
        <v>0</v>
      </c>
      <c r="BB4446" s="498" t="str">
        <f t="shared" si="1542"/>
        <v/>
      </c>
      <c r="BC4446" s="743" t="str">
        <f t="shared" si="1543"/>
        <v/>
      </c>
      <c r="BD4446" s="743" t="str">
        <f t="shared" si="1544"/>
        <v/>
      </c>
      <c r="BE4446" s="743" t="str">
        <f>IF(D4446="","",VLOOKUP(D4446,'General Basis'!$J$39:$K$46,2,0))</f>
        <v/>
      </c>
      <c r="BF4446" s="744" t="str">
        <f>IF(D4446="","",VLOOKUP(D4446,'General Basis'!$J$39:$L$46,3,0))</f>
        <v/>
      </c>
      <c r="BG4446" s="744" t="str">
        <f t="shared" si="1551"/>
        <v/>
      </c>
      <c r="BH4446" s="744" t="str">
        <f>IF(G4446="","",IF(BF4446="Abu Dhabi",IF(G4446&lt;18,'General Basis'!$C$39,IF(G4446&lt;41,'General Basis'!$C$40,IF(G4446&lt;60,'General Basis'!$C$41,IF(G4446&lt;65,'General Basis'!$C$42,'General Basis'!$C$43)))),IF(G4446&lt;11,'General Basis'!$B$39,IF(G4446&lt;18,'General Basis'!$B$40,IF(G4446&lt;26,'General Basis'!$B$41,IF(G4446&lt;31,'General Basis'!$B$42,IF(G4446&lt;36,'General Basis'!$B$43,IF(G4446&lt;41,'General Basis'!$B$44,IF(G4446&lt;46,'General Basis'!$B$45,IF(G4446&lt;51,'General Basis'!$B$46,IF(G4446&lt;56,'General Basis'!$B$47,IF(G4446&lt;60,'General Basis'!$B$48,IF(G4446&lt;65,'General Basis'!$B$49,'General Basis'!$B$50)))))))))))))</f>
        <v/>
      </c>
      <c r="BI4446" s="744" t="str">
        <f t="shared" si="1545"/>
        <v/>
      </c>
      <c r="BJ4446" s="747" t="str">
        <f t="shared" si="1552"/>
        <v/>
      </c>
      <c r="BK4446" s="498" t="str">
        <f t="shared" si="1546"/>
        <v/>
      </c>
      <c r="BL4446" s="498" t="str">
        <f t="shared" si="1547"/>
        <v/>
      </c>
    </row>
    <row r="4447" spans="1:64" x14ac:dyDescent="0.25">
      <c r="A4447" s="762">
        <f t="shared" si="1548"/>
        <v>4442</v>
      </c>
      <c r="B4447" s="229"/>
      <c r="C4447" s="223"/>
      <c r="D4447" s="224"/>
      <c r="E4447" s="225"/>
      <c r="F4447" s="1036" t="str">
        <f t="shared" si="1554"/>
        <v/>
      </c>
      <c r="G4447" s="1037" t="str">
        <f t="shared" si="1549"/>
        <v/>
      </c>
      <c r="H4447" s="225"/>
      <c r="I4447" s="1013"/>
      <c r="J4447" s="1013"/>
      <c r="K4447" s="1028"/>
      <c r="L4447" s="1035" t="str">
        <f t="shared" si="1553"/>
        <v/>
      </c>
      <c r="S4447" s="498"/>
      <c r="AJ4447" s="498"/>
      <c r="AM4447" s="498">
        <f t="shared" si="1534"/>
        <v>0</v>
      </c>
      <c r="AN4447" s="498">
        <f t="shared" si="1535"/>
        <v>0</v>
      </c>
      <c r="AO4447" s="498">
        <f t="shared" si="1536"/>
        <v>0</v>
      </c>
      <c r="AP4447" s="498">
        <f t="shared" si="1555"/>
        <v>0</v>
      </c>
      <c r="AQ4447" s="498">
        <f t="shared" si="1550"/>
        <v>0</v>
      </c>
      <c r="AU4447" s="498">
        <f t="shared" si="1537"/>
        <v>0</v>
      </c>
      <c r="AV4447" s="498">
        <f t="shared" si="1538"/>
        <v>0</v>
      </c>
      <c r="AW4447" s="498">
        <f t="shared" si="1539"/>
        <v>0</v>
      </c>
      <c r="AX4447" s="498">
        <f t="shared" si="1540"/>
        <v>0</v>
      </c>
      <c r="AY4447" s="498">
        <f t="shared" si="1541"/>
        <v>0</v>
      </c>
      <c r="BB4447" s="498" t="str">
        <f t="shared" si="1542"/>
        <v/>
      </c>
      <c r="BC4447" s="743" t="str">
        <f t="shared" si="1543"/>
        <v/>
      </c>
      <c r="BD4447" s="743" t="str">
        <f t="shared" si="1544"/>
        <v/>
      </c>
      <c r="BE4447" s="743" t="str">
        <f>IF(D4447="","",VLOOKUP(D4447,'General Basis'!$J$39:$K$46,2,0))</f>
        <v/>
      </c>
      <c r="BF4447" s="744" t="str">
        <f>IF(D4447="","",VLOOKUP(D4447,'General Basis'!$J$39:$L$46,3,0))</f>
        <v/>
      </c>
      <c r="BG4447" s="744" t="str">
        <f t="shared" si="1551"/>
        <v/>
      </c>
      <c r="BH4447" s="744" t="str">
        <f>IF(G4447="","",IF(BF4447="Abu Dhabi",IF(G4447&lt;18,'General Basis'!$C$39,IF(G4447&lt;41,'General Basis'!$C$40,IF(G4447&lt;60,'General Basis'!$C$41,IF(G4447&lt;65,'General Basis'!$C$42,'General Basis'!$C$43)))),IF(G4447&lt;11,'General Basis'!$B$39,IF(G4447&lt;18,'General Basis'!$B$40,IF(G4447&lt;26,'General Basis'!$B$41,IF(G4447&lt;31,'General Basis'!$B$42,IF(G4447&lt;36,'General Basis'!$B$43,IF(G4447&lt;41,'General Basis'!$B$44,IF(G4447&lt;46,'General Basis'!$B$45,IF(G4447&lt;51,'General Basis'!$B$46,IF(G4447&lt;56,'General Basis'!$B$47,IF(G4447&lt;60,'General Basis'!$B$48,IF(G4447&lt;65,'General Basis'!$B$49,'General Basis'!$B$50)))))))))))))</f>
        <v/>
      </c>
      <c r="BI4447" s="744" t="str">
        <f t="shared" si="1545"/>
        <v/>
      </c>
      <c r="BJ4447" s="747" t="str">
        <f t="shared" si="1552"/>
        <v/>
      </c>
      <c r="BK4447" s="498" t="str">
        <f t="shared" si="1546"/>
        <v/>
      </c>
      <c r="BL4447" s="498" t="str">
        <f t="shared" si="1547"/>
        <v/>
      </c>
    </row>
    <row r="4448" spans="1:64" x14ac:dyDescent="0.25">
      <c r="A4448" s="762">
        <f t="shared" si="1548"/>
        <v>4443</v>
      </c>
      <c r="B4448" s="229"/>
      <c r="C4448" s="223"/>
      <c r="D4448" s="224"/>
      <c r="E4448" s="225"/>
      <c r="F4448" s="1036" t="str">
        <f t="shared" si="1554"/>
        <v/>
      </c>
      <c r="G4448" s="1037" t="str">
        <f t="shared" si="1549"/>
        <v/>
      </c>
      <c r="H4448" s="225"/>
      <c r="I4448" s="1013"/>
      <c r="J4448" s="1013"/>
      <c r="K4448" s="1028"/>
      <c r="L4448" s="1035" t="str">
        <f t="shared" si="1553"/>
        <v/>
      </c>
      <c r="S4448" s="498"/>
      <c r="AJ4448" s="498"/>
      <c r="AM4448" s="498">
        <f t="shared" si="1534"/>
        <v>0</v>
      </c>
      <c r="AN4448" s="498">
        <f t="shared" si="1535"/>
        <v>0</v>
      </c>
      <c r="AO4448" s="498">
        <f t="shared" si="1536"/>
        <v>0</v>
      </c>
      <c r="AP4448" s="498">
        <f t="shared" si="1555"/>
        <v>0</v>
      </c>
      <c r="AQ4448" s="498">
        <f t="shared" si="1550"/>
        <v>0</v>
      </c>
      <c r="AU4448" s="498">
        <f t="shared" si="1537"/>
        <v>0</v>
      </c>
      <c r="AV4448" s="498">
        <f t="shared" si="1538"/>
        <v>0</v>
      </c>
      <c r="AW4448" s="498">
        <f t="shared" si="1539"/>
        <v>0</v>
      </c>
      <c r="AX4448" s="498">
        <f t="shared" si="1540"/>
        <v>0</v>
      </c>
      <c r="AY4448" s="498">
        <f t="shared" si="1541"/>
        <v>0</v>
      </c>
      <c r="BB4448" s="498" t="str">
        <f t="shared" si="1542"/>
        <v/>
      </c>
      <c r="BC4448" s="743" t="str">
        <f t="shared" si="1543"/>
        <v/>
      </c>
      <c r="BD4448" s="743" t="str">
        <f t="shared" si="1544"/>
        <v/>
      </c>
      <c r="BE4448" s="743" t="str">
        <f>IF(D4448="","",VLOOKUP(D4448,'General Basis'!$J$39:$K$46,2,0))</f>
        <v/>
      </c>
      <c r="BF4448" s="744" t="str">
        <f>IF(D4448="","",VLOOKUP(D4448,'General Basis'!$J$39:$L$46,3,0))</f>
        <v/>
      </c>
      <c r="BG4448" s="744" t="str">
        <f t="shared" si="1551"/>
        <v/>
      </c>
      <c r="BH4448" s="744" t="str">
        <f>IF(G4448="","",IF(BF4448="Abu Dhabi",IF(G4448&lt;18,'General Basis'!$C$39,IF(G4448&lt;41,'General Basis'!$C$40,IF(G4448&lt;60,'General Basis'!$C$41,IF(G4448&lt;65,'General Basis'!$C$42,'General Basis'!$C$43)))),IF(G4448&lt;11,'General Basis'!$B$39,IF(G4448&lt;18,'General Basis'!$B$40,IF(G4448&lt;26,'General Basis'!$B$41,IF(G4448&lt;31,'General Basis'!$B$42,IF(G4448&lt;36,'General Basis'!$B$43,IF(G4448&lt;41,'General Basis'!$B$44,IF(G4448&lt;46,'General Basis'!$B$45,IF(G4448&lt;51,'General Basis'!$B$46,IF(G4448&lt;56,'General Basis'!$B$47,IF(G4448&lt;60,'General Basis'!$B$48,IF(G4448&lt;65,'General Basis'!$B$49,'General Basis'!$B$50)))))))))))))</f>
        <v/>
      </c>
      <c r="BI4448" s="744" t="str">
        <f t="shared" si="1545"/>
        <v/>
      </c>
      <c r="BJ4448" s="747" t="str">
        <f t="shared" si="1552"/>
        <v/>
      </c>
      <c r="BK4448" s="498" t="str">
        <f t="shared" si="1546"/>
        <v/>
      </c>
      <c r="BL4448" s="498" t="str">
        <f t="shared" si="1547"/>
        <v/>
      </c>
    </row>
    <row r="4449" spans="1:64" x14ac:dyDescent="0.25">
      <c r="A4449" s="762">
        <f t="shared" si="1548"/>
        <v>4444</v>
      </c>
      <c r="B4449" s="229"/>
      <c r="C4449" s="223"/>
      <c r="D4449" s="224"/>
      <c r="E4449" s="225"/>
      <c r="F4449" s="1036" t="str">
        <f t="shared" si="1554"/>
        <v/>
      </c>
      <c r="G4449" s="1037" t="str">
        <f t="shared" si="1549"/>
        <v/>
      </c>
      <c r="H4449" s="225"/>
      <c r="I4449" s="1013"/>
      <c r="J4449" s="1013"/>
      <c r="K4449" s="1028"/>
      <c r="L4449" s="1035" t="str">
        <f t="shared" si="1553"/>
        <v/>
      </c>
      <c r="S4449" s="498"/>
      <c r="AJ4449" s="498"/>
      <c r="AM4449" s="498">
        <f t="shared" si="1534"/>
        <v>0</v>
      </c>
      <c r="AN4449" s="498">
        <f t="shared" si="1535"/>
        <v>0</v>
      </c>
      <c r="AO4449" s="498">
        <f t="shared" si="1536"/>
        <v>0</v>
      </c>
      <c r="AP4449" s="498">
        <f t="shared" si="1555"/>
        <v>0</v>
      </c>
      <c r="AQ4449" s="498">
        <f t="shared" si="1550"/>
        <v>0</v>
      </c>
      <c r="AU4449" s="498">
        <f t="shared" si="1537"/>
        <v>0</v>
      </c>
      <c r="AV4449" s="498">
        <f t="shared" si="1538"/>
        <v>0</v>
      </c>
      <c r="AW4449" s="498">
        <f t="shared" si="1539"/>
        <v>0</v>
      </c>
      <c r="AX4449" s="498">
        <f t="shared" si="1540"/>
        <v>0</v>
      </c>
      <c r="AY4449" s="498">
        <f t="shared" si="1541"/>
        <v>0</v>
      </c>
      <c r="BB4449" s="498" t="str">
        <f t="shared" si="1542"/>
        <v/>
      </c>
      <c r="BC4449" s="743" t="str">
        <f t="shared" si="1543"/>
        <v/>
      </c>
      <c r="BD4449" s="743" t="str">
        <f t="shared" si="1544"/>
        <v/>
      </c>
      <c r="BE4449" s="743" t="str">
        <f>IF(D4449="","",VLOOKUP(D4449,'General Basis'!$J$39:$K$46,2,0))</f>
        <v/>
      </c>
      <c r="BF4449" s="744" t="str">
        <f>IF(D4449="","",VLOOKUP(D4449,'General Basis'!$J$39:$L$46,3,0))</f>
        <v/>
      </c>
      <c r="BG4449" s="744" t="str">
        <f t="shared" si="1551"/>
        <v/>
      </c>
      <c r="BH4449" s="744" t="str">
        <f>IF(G4449="","",IF(BF4449="Abu Dhabi",IF(G4449&lt;18,'General Basis'!$C$39,IF(G4449&lt;41,'General Basis'!$C$40,IF(G4449&lt;60,'General Basis'!$C$41,IF(G4449&lt;65,'General Basis'!$C$42,'General Basis'!$C$43)))),IF(G4449&lt;11,'General Basis'!$B$39,IF(G4449&lt;18,'General Basis'!$B$40,IF(G4449&lt;26,'General Basis'!$B$41,IF(G4449&lt;31,'General Basis'!$B$42,IF(G4449&lt;36,'General Basis'!$B$43,IF(G4449&lt;41,'General Basis'!$B$44,IF(G4449&lt;46,'General Basis'!$B$45,IF(G4449&lt;51,'General Basis'!$B$46,IF(G4449&lt;56,'General Basis'!$B$47,IF(G4449&lt;60,'General Basis'!$B$48,IF(G4449&lt;65,'General Basis'!$B$49,'General Basis'!$B$50)))))))))))))</f>
        <v/>
      </c>
      <c r="BI4449" s="744" t="str">
        <f t="shared" si="1545"/>
        <v/>
      </c>
      <c r="BJ4449" s="747" t="str">
        <f t="shared" si="1552"/>
        <v/>
      </c>
      <c r="BK4449" s="498" t="str">
        <f t="shared" si="1546"/>
        <v/>
      </c>
      <c r="BL4449" s="498" t="str">
        <f t="shared" si="1547"/>
        <v/>
      </c>
    </row>
    <row r="4450" spans="1:64" x14ac:dyDescent="0.25">
      <c r="A4450" s="762">
        <f t="shared" si="1548"/>
        <v>4445</v>
      </c>
      <c r="B4450" s="229"/>
      <c r="C4450" s="223"/>
      <c r="D4450" s="224"/>
      <c r="E4450" s="225"/>
      <c r="F4450" s="1036" t="str">
        <f t="shared" si="1554"/>
        <v/>
      </c>
      <c r="G4450" s="1037" t="str">
        <f t="shared" si="1549"/>
        <v/>
      </c>
      <c r="H4450" s="225"/>
      <c r="I4450" s="1013"/>
      <c r="J4450" s="1013"/>
      <c r="K4450" s="1028"/>
      <c r="L4450" s="1035" t="str">
        <f t="shared" si="1553"/>
        <v/>
      </c>
      <c r="S4450" s="498"/>
      <c r="AJ4450" s="498"/>
      <c r="AM4450" s="498">
        <f t="shared" si="1534"/>
        <v>0</v>
      </c>
      <c r="AN4450" s="498">
        <f t="shared" si="1535"/>
        <v>0</v>
      </c>
      <c r="AO4450" s="498">
        <f t="shared" si="1536"/>
        <v>0</v>
      </c>
      <c r="AP4450" s="498">
        <f t="shared" si="1555"/>
        <v>0</v>
      </c>
      <c r="AQ4450" s="498">
        <f t="shared" si="1550"/>
        <v>0</v>
      </c>
      <c r="AU4450" s="498">
        <f t="shared" si="1537"/>
        <v>0</v>
      </c>
      <c r="AV4450" s="498">
        <f t="shared" si="1538"/>
        <v>0</v>
      </c>
      <c r="AW4450" s="498">
        <f t="shared" si="1539"/>
        <v>0</v>
      </c>
      <c r="AX4450" s="498">
        <f t="shared" si="1540"/>
        <v>0</v>
      </c>
      <c r="AY4450" s="498">
        <f t="shared" si="1541"/>
        <v>0</v>
      </c>
      <c r="BB4450" s="498" t="str">
        <f t="shared" si="1542"/>
        <v/>
      </c>
      <c r="BC4450" s="743" t="str">
        <f t="shared" si="1543"/>
        <v/>
      </c>
      <c r="BD4450" s="743" t="str">
        <f t="shared" si="1544"/>
        <v/>
      </c>
      <c r="BE4450" s="743" t="str">
        <f>IF(D4450="","",VLOOKUP(D4450,'General Basis'!$J$39:$K$46,2,0))</f>
        <v/>
      </c>
      <c r="BF4450" s="744" t="str">
        <f>IF(D4450="","",VLOOKUP(D4450,'General Basis'!$J$39:$L$46,3,0))</f>
        <v/>
      </c>
      <c r="BG4450" s="744" t="str">
        <f t="shared" si="1551"/>
        <v/>
      </c>
      <c r="BH4450" s="744" t="str">
        <f>IF(G4450="","",IF(BF4450="Abu Dhabi",IF(G4450&lt;18,'General Basis'!$C$39,IF(G4450&lt;41,'General Basis'!$C$40,IF(G4450&lt;60,'General Basis'!$C$41,IF(G4450&lt;65,'General Basis'!$C$42,'General Basis'!$C$43)))),IF(G4450&lt;11,'General Basis'!$B$39,IF(G4450&lt;18,'General Basis'!$B$40,IF(G4450&lt;26,'General Basis'!$B$41,IF(G4450&lt;31,'General Basis'!$B$42,IF(G4450&lt;36,'General Basis'!$B$43,IF(G4450&lt;41,'General Basis'!$B$44,IF(G4450&lt;46,'General Basis'!$B$45,IF(G4450&lt;51,'General Basis'!$B$46,IF(G4450&lt;56,'General Basis'!$B$47,IF(G4450&lt;60,'General Basis'!$B$48,IF(G4450&lt;65,'General Basis'!$B$49,'General Basis'!$B$50)))))))))))))</f>
        <v/>
      </c>
      <c r="BI4450" s="744" t="str">
        <f t="shared" si="1545"/>
        <v/>
      </c>
      <c r="BJ4450" s="747" t="str">
        <f t="shared" si="1552"/>
        <v/>
      </c>
      <c r="BK4450" s="498" t="str">
        <f t="shared" si="1546"/>
        <v/>
      </c>
      <c r="BL4450" s="498" t="str">
        <f t="shared" si="1547"/>
        <v/>
      </c>
    </row>
    <row r="4451" spans="1:64" x14ac:dyDescent="0.25">
      <c r="A4451" s="762">
        <f t="shared" si="1548"/>
        <v>4446</v>
      </c>
      <c r="B4451" s="229"/>
      <c r="C4451" s="223"/>
      <c r="D4451" s="224"/>
      <c r="E4451" s="225"/>
      <c r="F4451" s="1036" t="str">
        <f t="shared" si="1554"/>
        <v/>
      </c>
      <c r="G4451" s="1037" t="str">
        <f t="shared" si="1549"/>
        <v/>
      </c>
      <c r="H4451" s="225"/>
      <c r="I4451" s="1013"/>
      <c r="J4451" s="1013"/>
      <c r="K4451" s="1028"/>
      <c r="L4451" s="1035" t="str">
        <f t="shared" si="1553"/>
        <v/>
      </c>
      <c r="S4451" s="498"/>
      <c r="AJ4451" s="498"/>
      <c r="AM4451" s="498">
        <f t="shared" si="1534"/>
        <v>0</v>
      </c>
      <c r="AN4451" s="498">
        <f t="shared" si="1535"/>
        <v>0</v>
      </c>
      <c r="AO4451" s="498">
        <f t="shared" si="1536"/>
        <v>0</v>
      </c>
      <c r="AP4451" s="498">
        <f t="shared" si="1555"/>
        <v>0</v>
      </c>
      <c r="AQ4451" s="498">
        <f t="shared" si="1550"/>
        <v>0</v>
      </c>
      <c r="AU4451" s="498">
        <f t="shared" si="1537"/>
        <v>0</v>
      </c>
      <c r="AV4451" s="498">
        <f t="shared" si="1538"/>
        <v>0</v>
      </c>
      <c r="AW4451" s="498">
        <f t="shared" si="1539"/>
        <v>0</v>
      </c>
      <c r="AX4451" s="498">
        <f t="shared" si="1540"/>
        <v>0</v>
      </c>
      <c r="AY4451" s="498">
        <f t="shared" si="1541"/>
        <v>0</v>
      </c>
      <c r="BB4451" s="498" t="str">
        <f t="shared" si="1542"/>
        <v/>
      </c>
      <c r="BC4451" s="743" t="str">
        <f t="shared" si="1543"/>
        <v/>
      </c>
      <c r="BD4451" s="743" t="str">
        <f t="shared" si="1544"/>
        <v/>
      </c>
      <c r="BE4451" s="743" t="str">
        <f>IF(D4451="","",VLOOKUP(D4451,'General Basis'!$J$39:$K$46,2,0))</f>
        <v/>
      </c>
      <c r="BF4451" s="744" t="str">
        <f>IF(D4451="","",VLOOKUP(D4451,'General Basis'!$J$39:$L$46,3,0))</f>
        <v/>
      </c>
      <c r="BG4451" s="744" t="str">
        <f t="shared" si="1551"/>
        <v/>
      </c>
      <c r="BH4451" s="744" t="str">
        <f>IF(G4451="","",IF(BF4451="Abu Dhabi",IF(G4451&lt;18,'General Basis'!$C$39,IF(G4451&lt;41,'General Basis'!$C$40,IF(G4451&lt;60,'General Basis'!$C$41,IF(G4451&lt;65,'General Basis'!$C$42,'General Basis'!$C$43)))),IF(G4451&lt;11,'General Basis'!$B$39,IF(G4451&lt;18,'General Basis'!$B$40,IF(G4451&lt;26,'General Basis'!$B$41,IF(G4451&lt;31,'General Basis'!$B$42,IF(G4451&lt;36,'General Basis'!$B$43,IF(G4451&lt;41,'General Basis'!$B$44,IF(G4451&lt;46,'General Basis'!$B$45,IF(G4451&lt;51,'General Basis'!$B$46,IF(G4451&lt;56,'General Basis'!$B$47,IF(G4451&lt;60,'General Basis'!$B$48,IF(G4451&lt;65,'General Basis'!$B$49,'General Basis'!$B$50)))))))))))))</f>
        <v/>
      </c>
      <c r="BI4451" s="744" t="str">
        <f t="shared" si="1545"/>
        <v/>
      </c>
      <c r="BJ4451" s="747" t="str">
        <f t="shared" si="1552"/>
        <v/>
      </c>
      <c r="BK4451" s="498" t="str">
        <f t="shared" si="1546"/>
        <v/>
      </c>
      <c r="BL4451" s="498" t="str">
        <f t="shared" si="1547"/>
        <v/>
      </c>
    </row>
    <row r="4452" spans="1:64" x14ac:dyDescent="0.25">
      <c r="A4452" s="762">
        <f t="shared" si="1548"/>
        <v>4447</v>
      </c>
      <c r="B4452" s="229"/>
      <c r="C4452" s="223"/>
      <c r="D4452" s="224"/>
      <c r="E4452" s="225"/>
      <c r="F4452" s="1036" t="str">
        <f t="shared" si="1554"/>
        <v/>
      </c>
      <c r="G4452" s="1037" t="str">
        <f t="shared" si="1549"/>
        <v/>
      </c>
      <c r="H4452" s="225"/>
      <c r="I4452" s="1013"/>
      <c r="J4452" s="1013"/>
      <c r="K4452" s="1028"/>
      <c r="L4452" s="1035" t="str">
        <f t="shared" si="1553"/>
        <v/>
      </c>
      <c r="S4452" s="498"/>
      <c r="AJ4452" s="498"/>
      <c r="AM4452" s="498">
        <f t="shared" si="1534"/>
        <v>0</v>
      </c>
      <c r="AN4452" s="498">
        <f t="shared" si="1535"/>
        <v>0</v>
      </c>
      <c r="AO4452" s="498">
        <f t="shared" si="1536"/>
        <v>0</v>
      </c>
      <c r="AP4452" s="498">
        <f t="shared" si="1555"/>
        <v>0</v>
      </c>
      <c r="AQ4452" s="498">
        <f t="shared" si="1550"/>
        <v>0</v>
      </c>
      <c r="AU4452" s="498">
        <f t="shared" si="1537"/>
        <v>0</v>
      </c>
      <c r="AV4452" s="498">
        <f t="shared" si="1538"/>
        <v>0</v>
      </c>
      <c r="AW4452" s="498">
        <f t="shared" si="1539"/>
        <v>0</v>
      </c>
      <c r="AX4452" s="498">
        <f t="shared" si="1540"/>
        <v>0</v>
      </c>
      <c r="AY4452" s="498">
        <f t="shared" si="1541"/>
        <v>0</v>
      </c>
      <c r="BB4452" s="498" t="str">
        <f t="shared" si="1542"/>
        <v/>
      </c>
      <c r="BC4452" s="743" t="str">
        <f t="shared" si="1543"/>
        <v/>
      </c>
      <c r="BD4452" s="743" t="str">
        <f t="shared" si="1544"/>
        <v/>
      </c>
      <c r="BE4452" s="743" t="str">
        <f>IF(D4452="","",VLOOKUP(D4452,'General Basis'!$J$39:$K$46,2,0))</f>
        <v/>
      </c>
      <c r="BF4452" s="744" t="str">
        <f>IF(D4452="","",VLOOKUP(D4452,'General Basis'!$J$39:$L$46,3,0))</f>
        <v/>
      </c>
      <c r="BG4452" s="744" t="str">
        <f t="shared" si="1551"/>
        <v/>
      </c>
      <c r="BH4452" s="744" t="str">
        <f>IF(G4452="","",IF(BF4452="Abu Dhabi",IF(G4452&lt;18,'General Basis'!$C$39,IF(G4452&lt;41,'General Basis'!$C$40,IF(G4452&lt;60,'General Basis'!$C$41,IF(G4452&lt;65,'General Basis'!$C$42,'General Basis'!$C$43)))),IF(G4452&lt;11,'General Basis'!$B$39,IF(G4452&lt;18,'General Basis'!$B$40,IF(G4452&lt;26,'General Basis'!$B$41,IF(G4452&lt;31,'General Basis'!$B$42,IF(G4452&lt;36,'General Basis'!$B$43,IF(G4452&lt;41,'General Basis'!$B$44,IF(G4452&lt;46,'General Basis'!$B$45,IF(G4452&lt;51,'General Basis'!$B$46,IF(G4452&lt;56,'General Basis'!$B$47,IF(G4452&lt;60,'General Basis'!$B$48,IF(G4452&lt;65,'General Basis'!$B$49,'General Basis'!$B$50)))))))))))))</f>
        <v/>
      </c>
      <c r="BI4452" s="744" t="str">
        <f t="shared" si="1545"/>
        <v/>
      </c>
      <c r="BJ4452" s="747" t="str">
        <f t="shared" si="1552"/>
        <v/>
      </c>
      <c r="BK4452" s="498" t="str">
        <f t="shared" si="1546"/>
        <v/>
      </c>
      <c r="BL4452" s="498" t="str">
        <f t="shared" si="1547"/>
        <v/>
      </c>
    </row>
    <row r="4453" spans="1:64" x14ac:dyDescent="0.25">
      <c r="A4453" s="762">
        <f t="shared" si="1548"/>
        <v>4448</v>
      </c>
      <c r="B4453" s="229"/>
      <c r="C4453" s="223"/>
      <c r="D4453" s="224"/>
      <c r="E4453" s="225"/>
      <c r="F4453" s="1036" t="str">
        <f t="shared" si="1554"/>
        <v/>
      </c>
      <c r="G4453" s="1037" t="str">
        <f t="shared" si="1549"/>
        <v/>
      </c>
      <c r="H4453" s="225"/>
      <c r="I4453" s="1013"/>
      <c r="J4453" s="1013"/>
      <c r="K4453" s="1028"/>
      <c r="L4453" s="1035" t="str">
        <f t="shared" si="1553"/>
        <v/>
      </c>
      <c r="S4453" s="498"/>
      <c r="AJ4453" s="498"/>
      <c r="AM4453" s="498">
        <f t="shared" si="1534"/>
        <v>0</v>
      </c>
      <c r="AN4453" s="498">
        <f t="shared" si="1535"/>
        <v>0</v>
      </c>
      <c r="AO4453" s="498">
        <f t="shared" si="1536"/>
        <v>0</v>
      </c>
      <c r="AP4453" s="498">
        <f t="shared" si="1555"/>
        <v>0</v>
      </c>
      <c r="AQ4453" s="498">
        <f t="shared" si="1550"/>
        <v>0</v>
      </c>
      <c r="AU4453" s="498">
        <f t="shared" si="1537"/>
        <v>0</v>
      </c>
      <c r="AV4453" s="498">
        <f t="shared" si="1538"/>
        <v>0</v>
      </c>
      <c r="AW4453" s="498">
        <f t="shared" si="1539"/>
        <v>0</v>
      </c>
      <c r="AX4453" s="498">
        <f t="shared" si="1540"/>
        <v>0</v>
      </c>
      <c r="AY4453" s="498">
        <f t="shared" si="1541"/>
        <v>0</v>
      </c>
      <c r="BB4453" s="498" t="str">
        <f t="shared" si="1542"/>
        <v/>
      </c>
      <c r="BC4453" s="743" t="str">
        <f t="shared" si="1543"/>
        <v/>
      </c>
      <c r="BD4453" s="743" t="str">
        <f t="shared" si="1544"/>
        <v/>
      </c>
      <c r="BE4453" s="743" t="str">
        <f>IF(D4453="","",VLOOKUP(D4453,'General Basis'!$J$39:$K$46,2,0))</f>
        <v/>
      </c>
      <c r="BF4453" s="744" t="str">
        <f>IF(D4453="","",VLOOKUP(D4453,'General Basis'!$J$39:$L$46,3,0))</f>
        <v/>
      </c>
      <c r="BG4453" s="744" t="str">
        <f t="shared" si="1551"/>
        <v/>
      </c>
      <c r="BH4453" s="744" t="str">
        <f>IF(G4453="","",IF(BF4453="Abu Dhabi",IF(G4453&lt;18,'General Basis'!$C$39,IF(G4453&lt;41,'General Basis'!$C$40,IF(G4453&lt;60,'General Basis'!$C$41,IF(G4453&lt;65,'General Basis'!$C$42,'General Basis'!$C$43)))),IF(G4453&lt;11,'General Basis'!$B$39,IF(G4453&lt;18,'General Basis'!$B$40,IF(G4453&lt;26,'General Basis'!$B$41,IF(G4453&lt;31,'General Basis'!$B$42,IF(G4453&lt;36,'General Basis'!$B$43,IF(G4453&lt;41,'General Basis'!$B$44,IF(G4453&lt;46,'General Basis'!$B$45,IF(G4453&lt;51,'General Basis'!$B$46,IF(G4453&lt;56,'General Basis'!$B$47,IF(G4453&lt;60,'General Basis'!$B$48,IF(G4453&lt;65,'General Basis'!$B$49,'General Basis'!$B$50)))))))))))))</f>
        <v/>
      </c>
      <c r="BI4453" s="744" t="str">
        <f t="shared" si="1545"/>
        <v/>
      </c>
      <c r="BJ4453" s="747" t="str">
        <f t="shared" si="1552"/>
        <v/>
      </c>
      <c r="BK4453" s="498" t="str">
        <f t="shared" si="1546"/>
        <v/>
      </c>
      <c r="BL4453" s="498" t="str">
        <f t="shared" si="1547"/>
        <v/>
      </c>
    </row>
    <row r="4454" spans="1:64" x14ac:dyDescent="0.25">
      <c r="A4454" s="762">
        <f t="shared" si="1548"/>
        <v>4449</v>
      </c>
      <c r="B4454" s="229"/>
      <c r="C4454" s="223"/>
      <c r="D4454" s="224"/>
      <c r="E4454" s="225"/>
      <c r="F4454" s="1036" t="str">
        <f t="shared" si="1554"/>
        <v/>
      </c>
      <c r="G4454" s="1037" t="str">
        <f t="shared" si="1549"/>
        <v/>
      </c>
      <c r="H4454" s="225"/>
      <c r="I4454" s="1013"/>
      <c r="J4454" s="1013"/>
      <c r="K4454" s="1028"/>
      <c r="L4454" s="1035" t="str">
        <f t="shared" si="1553"/>
        <v/>
      </c>
      <c r="S4454" s="498"/>
      <c r="AJ4454" s="498"/>
      <c r="AM4454" s="498">
        <f t="shared" si="1534"/>
        <v>0</v>
      </c>
      <c r="AN4454" s="498">
        <f t="shared" si="1535"/>
        <v>0</v>
      </c>
      <c r="AO4454" s="498">
        <f t="shared" si="1536"/>
        <v>0</v>
      </c>
      <c r="AP4454" s="498">
        <f t="shared" si="1555"/>
        <v>0</v>
      </c>
      <c r="AQ4454" s="498">
        <f t="shared" si="1550"/>
        <v>0</v>
      </c>
      <c r="AU4454" s="498">
        <f t="shared" si="1537"/>
        <v>0</v>
      </c>
      <c r="AV4454" s="498">
        <f t="shared" si="1538"/>
        <v>0</v>
      </c>
      <c r="AW4454" s="498">
        <f t="shared" si="1539"/>
        <v>0</v>
      </c>
      <c r="AX4454" s="498">
        <f t="shared" si="1540"/>
        <v>0</v>
      </c>
      <c r="AY4454" s="498">
        <f t="shared" si="1541"/>
        <v>0</v>
      </c>
      <c r="BB4454" s="498" t="str">
        <f t="shared" si="1542"/>
        <v/>
      </c>
      <c r="BC4454" s="743" t="str">
        <f t="shared" si="1543"/>
        <v/>
      </c>
      <c r="BD4454" s="743" t="str">
        <f t="shared" si="1544"/>
        <v/>
      </c>
      <c r="BE4454" s="743" t="str">
        <f>IF(D4454="","",VLOOKUP(D4454,'General Basis'!$J$39:$K$46,2,0))</f>
        <v/>
      </c>
      <c r="BF4454" s="744" t="str">
        <f>IF(D4454="","",VLOOKUP(D4454,'General Basis'!$J$39:$L$46,3,0))</f>
        <v/>
      </c>
      <c r="BG4454" s="744" t="str">
        <f t="shared" si="1551"/>
        <v/>
      </c>
      <c r="BH4454" s="744" t="str">
        <f>IF(G4454="","",IF(BF4454="Abu Dhabi",IF(G4454&lt;18,'General Basis'!$C$39,IF(G4454&lt;41,'General Basis'!$C$40,IF(G4454&lt;60,'General Basis'!$C$41,IF(G4454&lt;65,'General Basis'!$C$42,'General Basis'!$C$43)))),IF(G4454&lt;11,'General Basis'!$B$39,IF(G4454&lt;18,'General Basis'!$B$40,IF(G4454&lt;26,'General Basis'!$B$41,IF(G4454&lt;31,'General Basis'!$B$42,IF(G4454&lt;36,'General Basis'!$B$43,IF(G4454&lt;41,'General Basis'!$B$44,IF(G4454&lt;46,'General Basis'!$B$45,IF(G4454&lt;51,'General Basis'!$B$46,IF(G4454&lt;56,'General Basis'!$B$47,IF(G4454&lt;60,'General Basis'!$B$48,IF(G4454&lt;65,'General Basis'!$B$49,'General Basis'!$B$50)))))))))))))</f>
        <v/>
      </c>
      <c r="BI4454" s="744" t="str">
        <f t="shared" si="1545"/>
        <v/>
      </c>
      <c r="BJ4454" s="747" t="str">
        <f t="shared" si="1552"/>
        <v/>
      </c>
      <c r="BK4454" s="498" t="str">
        <f t="shared" si="1546"/>
        <v/>
      </c>
      <c r="BL4454" s="498" t="str">
        <f t="shared" si="1547"/>
        <v/>
      </c>
    </row>
    <row r="4455" spans="1:64" x14ac:dyDescent="0.25">
      <c r="A4455" s="762">
        <f t="shared" si="1548"/>
        <v>4450</v>
      </c>
      <c r="B4455" s="229"/>
      <c r="C4455" s="223"/>
      <c r="D4455" s="224"/>
      <c r="E4455" s="225"/>
      <c r="F4455" s="1036" t="str">
        <f t="shared" si="1554"/>
        <v/>
      </c>
      <c r="G4455" s="1037" t="str">
        <f t="shared" si="1549"/>
        <v/>
      </c>
      <c r="H4455" s="225"/>
      <c r="I4455" s="1013"/>
      <c r="J4455" s="1013"/>
      <c r="K4455" s="1028"/>
      <c r="L4455" s="1035" t="str">
        <f t="shared" si="1553"/>
        <v/>
      </c>
      <c r="S4455" s="498"/>
      <c r="AJ4455" s="498"/>
      <c r="AM4455" s="498">
        <f t="shared" si="1534"/>
        <v>0</v>
      </c>
      <c r="AN4455" s="498">
        <f t="shared" si="1535"/>
        <v>0</v>
      </c>
      <c r="AO4455" s="498">
        <f t="shared" si="1536"/>
        <v>0</v>
      </c>
      <c r="AP4455" s="498">
        <f t="shared" si="1555"/>
        <v>0</v>
      </c>
      <c r="AQ4455" s="498">
        <f t="shared" si="1550"/>
        <v>0</v>
      </c>
      <c r="AU4455" s="498">
        <f t="shared" si="1537"/>
        <v>0</v>
      </c>
      <c r="AV4455" s="498">
        <f t="shared" si="1538"/>
        <v>0</v>
      </c>
      <c r="AW4455" s="498">
        <f t="shared" si="1539"/>
        <v>0</v>
      </c>
      <c r="AX4455" s="498">
        <f t="shared" si="1540"/>
        <v>0</v>
      </c>
      <c r="AY4455" s="498">
        <f t="shared" si="1541"/>
        <v>0</v>
      </c>
      <c r="BB4455" s="498" t="str">
        <f t="shared" si="1542"/>
        <v/>
      </c>
      <c r="BC4455" s="743" t="str">
        <f t="shared" si="1543"/>
        <v/>
      </c>
      <c r="BD4455" s="743" t="str">
        <f t="shared" si="1544"/>
        <v/>
      </c>
      <c r="BE4455" s="743" t="str">
        <f>IF(D4455="","",VLOOKUP(D4455,'General Basis'!$J$39:$K$46,2,0))</f>
        <v/>
      </c>
      <c r="BF4455" s="744" t="str">
        <f>IF(D4455="","",VLOOKUP(D4455,'General Basis'!$J$39:$L$46,3,0))</f>
        <v/>
      </c>
      <c r="BG4455" s="744" t="str">
        <f t="shared" si="1551"/>
        <v/>
      </c>
      <c r="BH4455" s="744" t="str">
        <f>IF(G4455="","",IF(BF4455="Abu Dhabi",IF(G4455&lt;18,'General Basis'!$C$39,IF(G4455&lt;41,'General Basis'!$C$40,IF(G4455&lt;60,'General Basis'!$C$41,IF(G4455&lt;65,'General Basis'!$C$42,'General Basis'!$C$43)))),IF(G4455&lt;11,'General Basis'!$B$39,IF(G4455&lt;18,'General Basis'!$B$40,IF(G4455&lt;26,'General Basis'!$B$41,IF(G4455&lt;31,'General Basis'!$B$42,IF(G4455&lt;36,'General Basis'!$B$43,IF(G4455&lt;41,'General Basis'!$B$44,IF(G4455&lt;46,'General Basis'!$B$45,IF(G4455&lt;51,'General Basis'!$B$46,IF(G4455&lt;56,'General Basis'!$B$47,IF(G4455&lt;60,'General Basis'!$B$48,IF(G4455&lt;65,'General Basis'!$B$49,'General Basis'!$B$50)))))))))))))</f>
        <v/>
      </c>
      <c r="BI4455" s="744" t="str">
        <f t="shared" si="1545"/>
        <v/>
      </c>
      <c r="BJ4455" s="747" t="str">
        <f t="shared" si="1552"/>
        <v/>
      </c>
      <c r="BK4455" s="498" t="str">
        <f t="shared" si="1546"/>
        <v/>
      </c>
      <c r="BL4455" s="498" t="str">
        <f t="shared" si="1547"/>
        <v/>
      </c>
    </row>
    <row r="4456" spans="1:64" x14ac:dyDescent="0.25">
      <c r="A4456" s="762">
        <f t="shared" si="1548"/>
        <v>4451</v>
      </c>
      <c r="B4456" s="229"/>
      <c r="C4456" s="223"/>
      <c r="D4456" s="224"/>
      <c r="E4456" s="225"/>
      <c r="F4456" s="1036" t="str">
        <f t="shared" si="1554"/>
        <v/>
      </c>
      <c r="G4456" s="1037" t="str">
        <f t="shared" si="1549"/>
        <v/>
      </c>
      <c r="H4456" s="225"/>
      <c r="I4456" s="1013"/>
      <c r="J4456" s="1013"/>
      <c r="K4456" s="1028"/>
      <c r="L4456" s="1035" t="str">
        <f t="shared" si="1553"/>
        <v/>
      </c>
      <c r="S4456" s="498"/>
      <c r="AJ4456" s="498"/>
      <c r="AM4456" s="498">
        <f t="shared" si="1534"/>
        <v>0</v>
      </c>
      <c r="AN4456" s="498">
        <f t="shared" si="1535"/>
        <v>0</v>
      </c>
      <c r="AO4456" s="498">
        <f t="shared" si="1536"/>
        <v>0</v>
      </c>
      <c r="AP4456" s="498">
        <f t="shared" si="1555"/>
        <v>0</v>
      </c>
      <c r="AQ4456" s="498">
        <f t="shared" si="1550"/>
        <v>0</v>
      </c>
      <c r="AU4456" s="498">
        <f t="shared" si="1537"/>
        <v>0</v>
      </c>
      <c r="AV4456" s="498">
        <f t="shared" si="1538"/>
        <v>0</v>
      </c>
      <c r="AW4456" s="498">
        <f t="shared" si="1539"/>
        <v>0</v>
      </c>
      <c r="AX4456" s="498">
        <f t="shared" si="1540"/>
        <v>0</v>
      </c>
      <c r="AY4456" s="498">
        <f t="shared" si="1541"/>
        <v>0</v>
      </c>
      <c r="BB4456" s="498" t="str">
        <f t="shared" si="1542"/>
        <v/>
      </c>
      <c r="BC4456" s="743" t="str">
        <f t="shared" si="1543"/>
        <v/>
      </c>
      <c r="BD4456" s="743" t="str">
        <f t="shared" si="1544"/>
        <v/>
      </c>
      <c r="BE4456" s="743" t="str">
        <f>IF(D4456="","",VLOOKUP(D4456,'General Basis'!$J$39:$K$46,2,0))</f>
        <v/>
      </c>
      <c r="BF4456" s="744" t="str">
        <f>IF(D4456="","",VLOOKUP(D4456,'General Basis'!$J$39:$L$46,3,0))</f>
        <v/>
      </c>
      <c r="BG4456" s="744" t="str">
        <f t="shared" si="1551"/>
        <v/>
      </c>
      <c r="BH4456" s="744" t="str">
        <f>IF(G4456="","",IF(BF4456="Abu Dhabi",IF(G4456&lt;18,'General Basis'!$C$39,IF(G4456&lt;41,'General Basis'!$C$40,IF(G4456&lt;60,'General Basis'!$C$41,IF(G4456&lt;65,'General Basis'!$C$42,'General Basis'!$C$43)))),IF(G4456&lt;11,'General Basis'!$B$39,IF(G4456&lt;18,'General Basis'!$B$40,IF(G4456&lt;26,'General Basis'!$B$41,IF(G4456&lt;31,'General Basis'!$B$42,IF(G4456&lt;36,'General Basis'!$B$43,IF(G4456&lt;41,'General Basis'!$B$44,IF(G4456&lt;46,'General Basis'!$B$45,IF(G4456&lt;51,'General Basis'!$B$46,IF(G4456&lt;56,'General Basis'!$B$47,IF(G4456&lt;60,'General Basis'!$B$48,IF(G4456&lt;65,'General Basis'!$B$49,'General Basis'!$B$50)))))))))))))</f>
        <v/>
      </c>
      <c r="BI4456" s="744" t="str">
        <f t="shared" si="1545"/>
        <v/>
      </c>
      <c r="BJ4456" s="747" t="str">
        <f t="shared" si="1552"/>
        <v/>
      </c>
      <c r="BK4456" s="498" t="str">
        <f t="shared" si="1546"/>
        <v/>
      </c>
      <c r="BL4456" s="498" t="str">
        <f t="shared" si="1547"/>
        <v/>
      </c>
    </row>
    <row r="4457" spans="1:64" x14ac:dyDescent="0.25">
      <c r="A4457" s="762">
        <f t="shared" si="1548"/>
        <v>4452</v>
      </c>
      <c r="B4457" s="229"/>
      <c r="C4457" s="223"/>
      <c r="D4457" s="224"/>
      <c r="E4457" s="225"/>
      <c r="F4457" s="1036" t="str">
        <f t="shared" si="1554"/>
        <v/>
      </c>
      <c r="G4457" s="1037" t="str">
        <f t="shared" si="1549"/>
        <v/>
      </c>
      <c r="H4457" s="225"/>
      <c r="I4457" s="1013"/>
      <c r="J4457" s="1013"/>
      <c r="K4457" s="1028"/>
      <c r="L4457" s="1035" t="str">
        <f t="shared" si="1553"/>
        <v/>
      </c>
      <c r="S4457" s="498"/>
      <c r="AJ4457" s="498"/>
      <c r="AM4457" s="498">
        <f t="shared" si="1534"/>
        <v>0</v>
      </c>
      <c r="AN4457" s="498">
        <f t="shared" si="1535"/>
        <v>0</v>
      </c>
      <c r="AO4457" s="498">
        <f t="shared" si="1536"/>
        <v>0</v>
      </c>
      <c r="AP4457" s="498">
        <f t="shared" si="1555"/>
        <v>0</v>
      </c>
      <c r="AQ4457" s="498">
        <f t="shared" si="1550"/>
        <v>0</v>
      </c>
      <c r="AU4457" s="498">
        <f t="shared" si="1537"/>
        <v>0</v>
      </c>
      <c r="AV4457" s="498">
        <f t="shared" si="1538"/>
        <v>0</v>
      </c>
      <c r="AW4457" s="498">
        <f t="shared" si="1539"/>
        <v>0</v>
      </c>
      <c r="AX4457" s="498">
        <f t="shared" si="1540"/>
        <v>0</v>
      </c>
      <c r="AY4457" s="498">
        <f t="shared" si="1541"/>
        <v>0</v>
      </c>
      <c r="BB4457" s="498" t="str">
        <f t="shared" si="1542"/>
        <v/>
      </c>
      <c r="BC4457" s="743" t="str">
        <f t="shared" si="1543"/>
        <v/>
      </c>
      <c r="BD4457" s="743" t="str">
        <f t="shared" si="1544"/>
        <v/>
      </c>
      <c r="BE4457" s="743" t="str">
        <f>IF(D4457="","",VLOOKUP(D4457,'General Basis'!$J$39:$K$46,2,0))</f>
        <v/>
      </c>
      <c r="BF4457" s="744" t="str">
        <f>IF(D4457="","",VLOOKUP(D4457,'General Basis'!$J$39:$L$46,3,0))</f>
        <v/>
      </c>
      <c r="BG4457" s="744" t="str">
        <f t="shared" si="1551"/>
        <v/>
      </c>
      <c r="BH4457" s="744" t="str">
        <f>IF(G4457="","",IF(BF4457="Abu Dhabi",IF(G4457&lt;18,'General Basis'!$C$39,IF(G4457&lt;41,'General Basis'!$C$40,IF(G4457&lt;60,'General Basis'!$C$41,IF(G4457&lt;65,'General Basis'!$C$42,'General Basis'!$C$43)))),IF(G4457&lt;11,'General Basis'!$B$39,IF(G4457&lt;18,'General Basis'!$B$40,IF(G4457&lt;26,'General Basis'!$B$41,IF(G4457&lt;31,'General Basis'!$B$42,IF(G4457&lt;36,'General Basis'!$B$43,IF(G4457&lt;41,'General Basis'!$B$44,IF(G4457&lt;46,'General Basis'!$B$45,IF(G4457&lt;51,'General Basis'!$B$46,IF(G4457&lt;56,'General Basis'!$B$47,IF(G4457&lt;60,'General Basis'!$B$48,IF(G4457&lt;65,'General Basis'!$B$49,'General Basis'!$B$50)))))))))))))</f>
        <v/>
      </c>
      <c r="BI4457" s="744" t="str">
        <f t="shared" si="1545"/>
        <v/>
      </c>
      <c r="BJ4457" s="747" t="str">
        <f t="shared" si="1552"/>
        <v/>
      </c>
      <c r="BK4457" s="498" t="str">
        <f t="shared" si="1546"/>
        <v/>
      </c>
      <c r="BL4457" s="498" t="str">
        <f t="shared" si="1547"/>
        <v/>
      </c>
    </row>
    <row r="4458" spans="1:64" x14ac:dyDescent="0.25">
      <c r="A4458" s="762">
        <f t="shared" si="1548"/>
        <v>4453</v>
      </c>
      <c r="B4458" s="229"/>
      <c r="C4458" s="223"/>
      <c r="D4458" s="224"/>
      <c r="E4458" s="225"/>
      <c r="F4458" s="1036" t="str">
        <f t="shared" si="1554"/>
        <v/>
      </c>
      <c r="G4458" s="1037" t="str">
        <f t="shared" si="1549"/>
        <v/>
      </c>
      <c r="H4458" s="225"/>
      <c r="I4458" s="1013"/>
      <c r="J4458" s="1013"/>
      <c r="K4458" s="1028"/>
      <c r="L4458" s="1035" t="str">
        <f t="shared" si="1553"/>
        <v/>
      </c>
      <c r="S4458" s="498"/>
      <c r="AJ4458" s="498"/>
      <c r="AM4458" s="498">
        <f t="shared" si="1534"/>
        <v>0</v>
      </c>
      <c r="AN4458" s="498">
        <f t="shared" si="1535"/>
        <v>0</v>
      </c>
      <c r="AO4458" s="498">
        <f t="shared" si="1536"/>
        <v>0</v>
      </c>
      <c r="AP4458" s="498">
        <f t="shared" si="1555"/>
        <v>0</v>
      </c>
      <c r="AQ4458" s="498">
        <f t="shared" si="1550"/>
        <v>0</v>
      </c>
      <c r="AU4458" s="498">
        <f t="shared" si="1537"/>
        <v>0</v>
      </c>
      <c r="AV4458" s="498">
        <f t="shared" si="1538"/>
        <v>0</v>
      </c>
      <c r="AW4458" s="498">
        <f t="shared" si="1539"/>
        <v>0</v>
      </c>
      <c r="AX4458" s="498">
        <f t="shared" si="1540"/>
        <v>0</v>
      </c>
      <c r="AY4458" s="498">
        <f t="shared" si="1541"/>
        <v>0</v>
      </c>
      <c r="BB4458" s="498" t="str">
        <f t="shared" si="1542"/>
        <v/>
      </c>
      <c r="BC4458" s="743" t="str">
        <f t="shared" si="1543"/>
        <v/>
      </c>
      <c r="BD4458" s="743" t="str">
        <f t="shared" si="1544"/>
        <v/>
      </c>
      <c r="BE4458" s="743" t="str">
        <f>IF(D4458="","",VLOOKUP(D4458,'General Basis'!$J$39:$K$46,2,0))</f>
        <v/>
      </c>
      <c r="BF4458" s="744" t="str">
        <f>IF(D4458="","",VLOOKUP(D4458,'General Basis'!$J$39:$L$46,3,0))</f>
        <v/>
      </c>
      <c r="BG4458" s="744" t="str">
        <f t="shared" si="1551"/>
        <v/>
      </c>
      <c r="BH4458" s="744" t="str">
        <f>IF(G4458="","",IF(BF4458="Abu Dhabi",IF(G4458&lt;18,'General Basis'!$C$39,IF(G4458&lt;41,'General Basis'!$C$40,IF(G4458&lt;60,'General Basis'!$C$41,IF(G4458&lt;65,'General Basis'!$C$42,'General Basis'!$C$43)))),IF(G4458&lt;11,'General Basis'!$B$39,IF(G4458&lt;18,'General Basis'!$B$40,IF(G4458&lt;26,'General Basis'!$B$41,IF(G4458&lt;31,'General Basis'!$B$42,IF(G4458&lt;36,'General Basis'!$B$43,IF(G4458&lt;41,'General Basis'!$B$44,IF(G4458&lt;46,'General Basis'!$B$45,IF(G4458&lt;51,'General Basis'!$B$46,IF(G4458&lt;56,'General Basis'!$B$47,IF(G4458&lt;60,'General Basis'!$B$48,IF(G4458&lt;65,'General Basis'!$B$49,'General Basis'!$B$50)))))))))))))</f>
        <v/>
      </c>
      <c r="BI4458" s="744" t="str">
        <f t="shared" si="1545"/>
        <v/>
      </c>
      <c r="BJ4458" s="747" t="str">
        <f t="shared" si="1552"/>
        <v/>
      </c>
      <c r="BK4458" s="498" t="str">
        <f t="shared" si="1546"/>
        <v/>
      </c>
      <c r="BL4458" s="498" t="str">
        <f t="shared" si="1547"/>
        <v/>
      </c>
    </row>
    <row r="4459" spans="1:64" x14ac:dyDescent="0.25">
      <c r="A4459" s="762">
        <f t="shared" si="1548"/>
        <v>4454</v>
      </c>
      <c r="B4459" s="229"/>
      <c r="C4459" s="223"/>
      <c r="D4459" s="224"/>
      <c r="E4459" s="225"/>
      <c r="F4459" s="1036" t="str">
        <f t="shared" si="1554"/>
        <v/>
      </c>
      <c r="G4459" s="1037" t="str">
        <f t="shared" si="1549"/>
        <v/>
      </c>
      <c r="H4459" s="225"/>
      <c r="I4459" s="1013"/>
      <c r="J4459" s="1013"/>
      <c r="K4459" s="1028"/>
      <c r="L4459" s="1035" t="str">
        <f t="shared" si="1553"/>
        <v/>
      </c>
      <c r="S4459" s="498"/>
      <c r="AJ4459" s="498"/>
      <c r="AM4459" s="498">
        <f t="shared" si="1534"/>
        <v>0</v>
      </c>
      <c r="AN4459" s="498">
        <f t="shared" si="1535"/>
        <v>0</v>
      </c>
      <c r="AO4459" s="498">
        <f t="shared" si="1536"/>
        <v>0</v>
      </c>
      <c r="AP4459" s="498">
        <f t="shared" si="1555"/>
        <v>0</v>
      </c>
      <c r="AQ4459" s="498">
        <f t="shared" si="1550"/>
        <v>0</v>
      </c>
      <c r="AU4459" s="498">
        <f t="shared" si="1537"/>
        <v>0</v>
      </c>
      <c r="AV4459" s="498">
        <f t="shared" si="1538"/>
        <v>0</v>
      </c>
      <c r="AW4459" s="498">
        <f t="shared" si="1539"/>
        <v>0</v>
      </c>
      <c r="AX4459" s="498">
        <f t="shared" si="1540"/>
        <v>0</v>
      </c>
      <c r="AY4459" s="498">
        <f t="shared" si="1541"/>
        <v>0</v>
      </c>
      <c r="BB4459" s="498" t="str">
        <f t="shared" si="1542"/>
        <v/>
      </c>
      <c r="BC4459" s="743" t="str">
        <f t="shared" si="1543"/>
        <v/>
      </c>
      <c r="BD4459" s="743" t="str">
        <f t="shared" si="1544"/>
        <v/>
      </c>
      <c r="BE4459" s="743" t="str">
        <f>IF(D4459="","",VLOOKUP(D4459,'General Basis'!$J$39:$K$46,2,0))</f>
        <v/>
      </c>
      <c r="BF4459" s="744" t="str">
        <f>IF(D4459="","",VLOOKUP(D4459,'General Basis'!$J$39:$L$46,3,0))</f>
        <v/>
      </c>
      <c r="BG4459" s="744" t="str">
        <f t="shared" si="1551"/>
        <v/>
      </c>
      <c r="BH4459" s="744" t="str">
        <f>IF(G4459="","",IF(BF4459="Abu Dhabi",IF(G4459&lt;18,'General Basis'!$C$39,IF(G4459&lt;41,'General Basis'!$C$40,IF(G4459&lt;60,'General Basis'!$C$41,IF(G4459&lt;65,'General Basis'!$C$42,'General Basis'!$C$43)))),IF(G4459&lt;11,'General Basis'!$B$39,IF(G4459&lt;18,'General Basis'!$B$40,IF(G4459&lt;26,'General Basis'!$B$41,IF(G4459&lt;31,'General Basis'!$B$42,IF(G4459&lt;36,'General Basis'!$B$43,IF(G4459&lt;41,'General Basis'!$B$44,IF(G4459&lt;46,'General Basis'!$B$45,IF(G4459&lt;51,'General Basis'!$B$46,IF(G4459&lt;56,'General Basis'!$B$47,IF(G4459&lt;60,'General Basis'!$B$48,IF(G4459&lt;65,'General Basis'!$B$49,'General Basis'!$B$50)))))))))))))</f>
        <v/>
      </c>
      <c r="BI4459" s="744" t="str">
        <f t="shared" si="1545"/>
        <v/>
      </c>
      <c r="BJ4459" s="747" t="str">
        <f t="shared" si="1552"/>
        <v/>
      </c>
      <c r="BK4459" s="498" t="str">
        <f t="shared" si="1546"/>
        <v/>
      </c>
      <c r="BL4459" s="498" t="str">
        <f t="shared" si="1547"/>
        <v/>
      </c>
    </row>
    <row r="4460" spans="1:64" x14ac:dyDescent="0.25">
      <c r="A4460" s="762">
        <f t="shared" si="1548"/>
        <v>4455</v>
      </c>
      <c r="B4460" s="229"/>
      <c r="C4460" s="223"/>
      <c r="D4460" s="224"/>
      <c r="E4460" s="225"/>
      <c r="F4460" s="1036" t="str">
        <f t="shared" si="1554"/>
        <v/>
      </c>
      <c r="G4460" s="1037" t="str">
        <f t="shared" si="1549"/>
        <v/>
      </c>
      <c r="H4460" s="225"/>
      <c r="I4460" s="1013"/>
      <c r="J4460" s="1013"/>
      <c r="K4460" s="1028"/>
      <c r="L4460" s="1035" t="str">
        <f t="shared" si="1553"/>
        <v/>
      </c>
      <c r="S4460" s="498"/>
      <c r="AJ4460" s="498"/>
      <c r="AM4460" s="498">
        <f t="shared" si="1534"/>
        <v>0</v>
      </c>
      <c r="AN4460" s="498">
        <f t="shared" si="1535"/>
        <v>0</v>
      </c>
      <c r="AO4460" s="498">
        <f t="shared" si="1536"/>
        <v>0</v>
      </c>
      <c r="AP4460" s="498">
        <f t="shared" si="1555"/>
        <v>0</v>
      </c>
      <c r="AQ4460" s="498">
        <f t="shared" si="1550"/>
        <v>0</v>
      </c>
      <c r="AU4460" s="498">
        <f t="shared" si="1537"/>
        <v>0</v>
      </c>
      <c r="AV4460" s="498">
        <f t="shared" si="1538"/>
        <v>0</v>
      </c>
      <c r="AW4460" s="498">
        <f t="shared" si="1539"/>
        <v>0</v>
      </c>
      <c r="AX4460" s="498">
        <f t="shared" si="1540"/>
        <v>0</v>
      </c>
      <c r="AY4460" s="498">
        <f t="shared" si="1541"/>
        <v>0</v>
      </c>
      <c r="BB4460" s="498" t="str">
        <f t="shared" si="1542"/>
        <v/>
      </c>
      <c r="BC4460" s="743" t="str">
        <f t="shared" si="1543"/>
        <v/>
      </c>
      <c r="BD4460" s="743" t="str">
        <f t="shared" si="1544"/>
        <v/>
      </c>
      <c r="BE4460" s="743" t="str">
        <f>IF(D4460="","",VLOOKUP(D4460,'General Basis'!$J$39:$K$46,2,0))</f>
        <v/>
      </c>
      <c r="BF4460" s="744" t="str">
        <f>IF(D4460="","",VLOOKUP(D4460,'General Basis'!$J$39:$L$46,3,0))</f>
        <v/>
      </c>
      <c r="BG4460" s="744" t="str">
        <f t="shared" si="1551"/>
        <v/>
      </c>
      <c r="BH4460" s="744" t="str">
        <f>IF(G4460="","",IF(BF4460="Abu Dhabi",IF(G4460&lt;18,'General Basis'!$C$39,IF(G4460&lt;41,'General Basis'!$C$40,IF(G4460&lt;60,'General Basis'!$C$41,IF(G4460&lt;65,'General Basis'!$C$42,'General Basis'!$C$43)))),IF(G4460&lt;11,'General Basis'!$B$39,IF(G4460&lt;18,'General Basis'!$B$40,IF(G4460&lt;26,'General Basis'!$B$41,IF(G4460&lt;31,'General Basis'!$B$42,IF(G4460&lt;36,'General Basis'!$B$43,IF(G4460&lt;41,'General Basis'!$B$44,IF(G4460&lt;46,'General Basis'!$B$45,IF(G4460&lt;51,'General Basis'!$B$46,IF(G4460&lt;56,'General Basis'!$B$47,IF(G4460&lt;60,'General Basis'!$B$48,IF(G4460&lt;65,'General Basis'!$B$49,'General Basis'!$B$50)))))))))))))</f>
        <v/>
      </c>
      <c r="BI4460" s="744" t="str">
        <f t="shared" si="1545"/>
        <v/>
      </c>
      <c r="BJ4460" s="747" t="str">
        <f t="shared" si="1552"/>
        <v/>
      </c>
      <c r="BK4460" s="498" t="str">
        <f t="shared" si="1546"/>
        <v/>
      </c>
      <c r="BL4460" s="498" t="str">
        <f t="shared" si="1547"/>
        <v/>
      </c>
    </row>
    <row r="4461" spans="1:64" x14ac:dyDescent="0.25">
      <c r="A4461" s="762">
        <f t="shared" si="1548"/>
        <v>4456</v>
      </c>
      <c r="B4461" s="229"/>
      <c r="C4461" s="223"/>
      <c r="D4461" s="224"/>
      <c r="E4461" s="225"/>
      <c r="F4461" s="1036" t="str">
        <f t="shared" si="1554"/>
        <v/>
      </c>
      <c r="G4461" s="1037" t="str">
        <f t="shared" si="1549"/>
        <v/>
      </c>
      <c r="H4461" s="225"/>
      <c r="I4461" s="1013"/>
      <c r="J4461" s="1013"/>
      <c r="K4461" s="1028"/>
      <c r="L4461" s="1035" t="str">
        <f t="shared" si="1553"/>
        <v/>
      </c>
      <c r="S4461" s="498"/>
      <c r="AJ4461" s="498"/>
      <c r="AM4461" s="498">
        <f t="shared" si="1534"/>
        <v>0</v>
      </c>
      <c r="AN4461" s="498">
        <f t="shared" si="1535"/>
        <v>0</v>
      </c>
      <c r="AO4461" s="498">
        <f t="shared" si="1536"/>
        <v>0</v>
      </c>
      <c r="AP4461" s="498">
        <f t="shared" si="1555"/>
        <v>0</v>
      </c>
      <c r="AQ4461" s="498">
        <f t="shared" si="1550"/>
        <v>0</v>
      </c>
      <c r="AU4461" s="498">
        <f t="shared" si="1537"/>
        <v>0</v>
      </c>
      <c r="AV4461" s="498">
        <f t="shared" si="1538"/>
        <v>0</v>
      </c>
      <c r="AW4461" s="498">
        <f t="shared" si="1539"/>
        <v>0</v>
      </c>
      <c r="AX4461" s="498">
        <f t="shared" si="1540"/>
        <v>0</v>
      </c>
      <c r="AY4461" s="498">
        <f t="shared" si="1541"/>
        <v>0</v>
      </c>
      <c r="BB4461" s="498" t="str">
        <f t="shared" si="1542"/>
        <v/>
      </c>
      <c r="BC4461" s="743" t="str">
        <f t="shared" si="1543"/>
        <v/>
      </c>
      <c r="BD4461" s="743" t="str">
        <f t="shared" si="1544"/>
        <v/>
      </c>
      <c r="BE4461" s="743" t="str">
        <f>IF(D4461="","",VLOOKUP(D4461,'General Basis'!$J$39:$K$46,2,0))</f>
        <v/>
      </c>
      <c r="BF4461" s="744" t="str">
        <f>IF(D4461="","",VLOOKUP(D4461,'General Basis'!$J$39:$L$46,3,0))</f>
        <v/>
      </c>
      <c r="BG4461" s="744" t="str">
        <f t="shared" si="1551"/>
        <v/>
      </c>
      <c r="BH4461" s="744" t="str">
        <f>IF(G4461="","",IF(BF4461="Abu Dhabi",IF(G4461&lt;18,'General Basis'!$C$39,IF(G4461&lt;41,'General Basis'!$C$40,IF(G4461&lt;60,'General Basis'!$C$41,IF(G4461&lt;65,'General Basis'!$C$42,'General Basis'!$C$43)))),IF(G4461&lt;11,'General Basis'!$B$39,IF(G4461&lt;18,'General Basis'!$B$40,IF(G4461&lt;26,'General Basis'!$B$41,IF(G4461&lt;31,'General Basis'!$B$42,IF(G4461&lt;36,'General Basis'!$B$43,IF(G4461&lt;41,'General Basis'!$B$44,IF(G4461&lt;46,'General Basis'!$B$45,IF(G4461&lt;51,'General Basis'!$B$46,IF(G4461&lt;56,'General Basis'!$B$47,IF(G4461&lt;60,'General Basis'!$B$48,IF(G4461&lt;65,'General Basis'!$B$49,'General Basis'!$B$50)))))))))))))</f>
        <v/>
      </c>
      <c r="BI4461" s="744" t="str">
        <f t="shared" si="1545"/>
        <v/>
      </c>
      <c r="BJ4461" s="747" t="str">
        <f t="shared" si="1552"/>
        <v/>
      </c>
      <c r="BK4461" s="498" t="str">
        <f t="shared" si="1546"/>
        <v/>
      </c>
      <c r="BL4461" s="498" t="str">
        <f t="shared" si="1547"/>
        <v/>
      </c>
    </row>
    <row r="4462" spans="1:64" x14ac:dyDescent="0.25">
      <c r="A4462" s="762">
        <f t="shared" si="1548"/>
        <v>4457</v>
      </c>
      <c r="B4462" s="229"/>
      <c r="C4462" s="223"/>
      <c r="D4462" s="224"/>
      <c r="E4462" s="225"/>
      <c r="F4462" s="1036" t="str">
        <f t="shared" si="1554"/>
        <v/>
      </c>
      <c r="G4462" s="1037" t="str">
        <f t="shared" si="1549"/>
        <v/>
      </c>
      <c r="H4462" s="225"/>
      <c r="I4462" s="1013"/>
      <c r="J4462" s="1013"/>
      <c r="K4462" s="1028"/>
      <c r="L4462" s="1035" t="str">
        <f t="shared" si="1553"/>
        <v/>
      </c>
      <c r="S4462" s="498"/>
      <c r="AJ4462" s="498"/>
      <c r="AM4462" s="498">
        <f t="shared" si="1534"/>
        <v>0</v>
      </c>
      <c r="AN4462" s="498">
        <f t="shared" si="1535"/>
        <v>0</v>
      </c>
      <c r="AO4462" s="498">
        <f t="shared" si="1536"/>
        <v>0</v>
      </c>
      <c r="AP4462" s="498">
        <f t="shared" si="1555"/>
        <v>0</v>
      </c>
      <c r="AQ4462" s="498">
        <f t="shared" si="1550"/>
        <v>0</v>
      </c>
      <c r="AU4462" s="498">
        <f t="shared" si="1537"/>
        <v>0</v>
      </c>
      <c r="AV4462" s="498">
        <f t="shared" si="1538"/>
        <v>0</v>
      </c>
      <c r="AW4462" s="498">
        <f t="shared" si="1539"/>
        <v>0</v>
      </c>
      <c r="AX4462" s="498">
        <f t="shared" si="1540"/>
        <v>0</v>
      </c>
      <c r="AY4462" s="498">
        <f t="shared" si="1541"/>
        <v>0</v>
      </c>
      <c r="BB4462" s="498" t="str">
        <f t="shared" si="1542"/>
        <v/>
      </c>
      <c r="BC4462" s="743" t="str">
        <f t="shared" si="1543"/>
        <v/>
      </c>
      <c r="BD4462" s="743" t="str">
        <f t="shared" si="1544"/>
        <v/>
      </c>
      <c r="BE4462" s="743" t="str">
        <f>IF(D4462="","",VLOOKUP(D4462,'General Basis'!$J$39:$K$46,2,0))</f>
        <v/>
      </c>
      <c r="BF4462" s="744" t="str">
        <f>IF(D4462="","",VLOOKUP(D4462,'General Basis'!$J$39:$L$46,3,0))</f>
        <v/>
      </c>
      <c r="BG4462" s="744" t="str">
        <f t="shared" si="1551"/>
        <v/>
      </c>
      <c r="BH4462" s="744" t="str">
        <f>IF(G4462="","",IF(BF4462="Abu Dhabi",IF(G4462&lt;18,'General Basis'!$C$39,IF(G4462&lt;41,'General Basis'!$C$40,IF(G4462&lt;60,'General Basis'!$C$41,IF(G4462&lt;65,'General Basis'!$C$42,'General Basis'!$C$43)))),IF(G4462&lt;11,'General Basis'!$B$39,IF(G4462&lt;18,'General Basis'!$B$40,IF(G4462&lt;26,'General Basis'!$B$41,IF(G4462&lt;31,'General Basis'!$B$42,IF(G4462&lt;36,'General Basis'!$B$43,IF(G4462&lt;41,'General Basis'!$B$44,IF(G4462&lt;46,'General Basis'!$B$45,IF(G4462&lt;51,'General Basis'!$B$46,IF(G4462&lt;56,'General Basis'!$B$47,IF(G4462&lt;60,'General Basis'!$B$48,IF(G4462&lt;65,'General Basis'!$B$49,'General Basis'!$B$50)))))))))))))</f>
        <v/>
      </c>
      <c r="BI4462" s="744" t="str">
        <f t="shared" si="1545"/>
        <v/>
      </c>
      <c r="BJ4462" s="747" t="str">
        <f t="shared" si="1552"/>
        <v/>
      </c>
      <c r="BK4462" s="498" t="str">
        <f t="shared" si="1546"/>
        <v/>
      </c>
      <c r="BL4462" s="498" t="str">
        <f t="shared" si="1547"/>
        <v/>
      </c>
    </row>
    <row r="4463" spans="1:64" x14ac:dyDescent="0.25">
      <c r="A4463" s="762">
        <f t="shared" si="1548"/>
        <v>4458</v>
      </c>
      <c r="B4463" s="229"/>
      <c r="C4463" s="223"/>
      <c r="D4463" s="224"/>
      <c r="E4463" s="225"/>
      <c r="F4463" s="1036" t="str">
        <f t="shared" si="1554"/>
        <v/>
      </c>
      <c r="G4463" s="1037" t="str">
        <f t="shared" si="1549"/>
        <v/>
      </c>
      <c r="H4463" s="225"/>
      <c r="I4463" s="1013"/>
      <c r="J4463" s="1013"/>
      <c r="K4463" s="1028"/>
      <c r="L4463" s="1035" t="str">
        <f t="shared" si="1553"/>
        <v/>
      </c>
      <c r="S4463" s="498"/>
      <c r="AJ4463" s="498"/>
      <c r="AM4463" s="498">
        <f t="shared" si="1534"/>
        <v>0</v>
      </c>
      <c r="AN4463" s="498">
        <f t="shared" si="1535"/>
        <v>0</v>
      </c>
      <c r="AO4463" s="498">
        <f t="shared" si="1536"/>
        <v>0</v>
      </c>
      <c r="AP4463" s="498">
        <f t="shared" si="1555"/>
        <v>0</v>
      </c>
      <c r="AQ4463" s="498">
        <f t="shared" si="1550"/>
        <v>0</v>
      </c>
      <c r="AU4463" s="498">
        <f t="shared" si="1537"/>
        <v>0</v>
      </c>
      <c r="AV4463" s="498">
        <f t="shared" si="1538"/>
        <v>0</v>
      </c>
      <c r="AW4463" s="498">
        <f t="shared" si="1539"/>
        <v>0</v>
      </c>
      <c r="AX4463" s="498">
        <f t="shared" si="1540"/>
        <v>0</v>
      </c>
      <c r="AY4463" s="498">
        <f t="shared" si="1541"/>
        <v>0</v>
      </c>
      <c r="BB4463" s="498" t="str">
        <f t="shared" si="1542"/>
        <v/>
      </c>
      <c r="BC4463" s="743" t="str">
        <f t="shared" si="1543"/>
        <v/>
      </c>
      <c r="BD4463" s="743" t="str">
        <f t="shared" si="1544"/>
        <v/>
      </c>
      <c r="BE4463" s="743" t="str">
        <f>IF(D4463="","",VLOOKUP(D4463,'General Basis'!$J$39:$K$46,2,0))</f>
        <v/>
      </c>
      <c r="BF4463" s="744" t="str">
        <f>IF(D4463="","",VLOOKUP(D4463,'General Basis'!$J$39:$L$46,3,0))</f>
        <v/>
      </c>
      <c r="BG4463" s="744" t="str">
        <f t="shared" si="1551"/>
        <v/>
      </c>
      <c r="BH4463" s="744" t="str">
        <f>IF(G4463="","",IF(BF4463="Abu Dhabi",IF(G4463&lt;18,'General Basis'!$C$39,IF(G4463&lt;41,'General Basis'!$C$40,IF(G4463&lt;60,'General Basis'!$C$41,IF(G4463&lt;65,'General Basis'!$C$42,'General Basis'!$C$43)))),IF(G4463&lt;11,'General Basis'!$B$39,IF(G4463&lt;18,'General Basis'!$B$40,IF(G4463&lt;26,'General Basis'!$B$41,IF(G4463&lt;31,'General Basis'!$B$42,IF(G4463&lt;36,'General Basis'!$B$43,IF(G4463&lt;41,'General Basis'!$B$44,IF(G4463&lt;46,'General Basis'!$B$45,IF(G4463&lt;51,'General Basis'!$B$46,IF(G4463&lt;56,'General Basis'!$B$47,IF(G4463&lt;60,'General Basis'!$B$48,IF(G4463&lt;65,'General Basis'!$B$49,'General Basis'!$B$50)))))))))))))</f>
        <v/>
      </c>
      <c r="BI4463" s="744" t="str">
        <f t="shared" si="1545"/>
        <v/>
      </c>
      <c r="BJ4463" s="747" t="str">
        <f t="shared" si="1552"/>
        <v/>
      </c>
      <c r="BK4463" s="498" t="str">
        <f t="shared" si="1546"/>
        <v/>
      </c>
      <c r="BL4463" s="498" t="str">
        <f t="shared" si="1547"/>
        <v/>
      </c>
    </row>
    <row r="4464" spans="1:64" x14ac:dyDescent="0.25">
      <c r="A4464" s="762">
        <f t="shared" si="1548"/>
        <v>4459</v>
      </c>
      <c r="B4464" s="229"/>
      <c r="C4464" s="223"/>
      <c r="D4464" s="224"/>
      <c r="E4464" s="225"/>
      <c r="F4464" s="1036" t="str">
        <f t="shared" si="1554"/>
        <v/>
      </c>
      <c r="G4464" s="1037" t="str">
        <f t="shared" si="1549"/>
        <v/>
      </c>
      <c r="H4464" s="225"/>
      <c r="I4464" s="1013"/>
      <c r="J4464" s="1013"/>
      <c r="K4464" s="1028"/>
      <c r="L4464" s="1035" t="str">
        <f t="shared" si="1553"/>
        <v/>
      </c>
      <c r="S4464" s="498"/>
      <c r="AJ4464" s="498"/>
      <c r="AM4464" s="498">
        <f t="shared" si="1534"/>
        <v>0</v>
      </c>
      <c r="AN4464" s="498">
        <f t="shared" si="1535"/>
        <v>0</v>
      </c>
      <c r="AO4464" s="498">
        <f t="shared" si="1536"/>
        <v>0</v>
      </c>
      <c r="AP4464" s="498">
        <f t="shared" si="1555"/>
        <v>0</v>
      </c>
      <c r="AQ4464" s="498">
        <f t="shared" si="1550"/>
        <v>0</v>
      </c>
      <c r="AU4464" s="498">
        <f t="shared" si="1537"/>
        <v>0</v>
      </c>
      <c r="AV4464" s="498">
        <f t="shared" si="1538"/>
        <v>0</v>
      </c>
      <c r="AW4464" s="498">
        <f t="shared" si="1539"/>
        <v>0</v>
      </c>
      <c r="AX4464" s="498">
        <f t="shared" si="1540"/>
        <v>0</v>
      </c>
      <c r="AY4464" s="498">
        <f t="shared" si="1541"/>
        <v>0</v>
      </c>
      <c r="BB4464" s="498" t="str">
        <f t="shared" si="1542"/>
        <v/>
      </c>
      <c r="BC4464" s="743" t="str">
        <f t="shared" si="1543"/>
        <v/>
      </c>
      <c r="BD4464" s="743" t="str">
        <f t="shared" si="1544"/>
        <v/>
      </c>
      <c r="BE4464" s="743" t="str">
        <f>IF(D4464="","",VLOOKUP(D4464,'General Basis'!$J$39:$K$46,2,0))</f>
        <v/>
      </c>
      <c r="BF4464" s="744" t="str">
        <f>IF(D4464="","",VLOOKUP(D4464,'General Basis'!$J$39:$L$46,3,0))</f>
        <v/>
      </c>
      <c r="BG4464" s="744" t="str">
        <f t="shared" si="1551"/>
        <v/>
      </c>
      <c r="BH4464" s="744" t="str">
        <f>IF(G4464="","",IF(BF4464="Abu Dhabi",IF(G4464&lt;18,'General Basis'!$C$39,IF(G4464&lt;41,'General Basis'!$C$40,IF(G4464&lt;60,'General Basis'!$C$41,IF(G4464&lt;65,'General Basis'!$C$42,'General Basis'!$C$43)))),IF(G4464&lt;11,'General Basis'!$B$39,IF(G4464&lt;18,'General Basis'!$B$40,IF(G4464&lt;26,'General Basis'!$B$41,IF(G4464&lt;31,'General Basis'!$B$42,IF(G4464&lt;36,'General Basis'!$B$43,IF(G4464&lt;41,'General Basis'!$B$44,IF(G4464&lt;46,'General Basis'!$B$45,IF(G4464&lt;51,'General Basis'!$B$46,IF(G4464&lt;56,'General Basis'!$B$47,IF(G4464&lt;60,'General Basis'!$B$48,IF(G4464&lt;65,'General Basis'!$B$49,'General Basis'!$B$50)))))))))))))</f>
        <v/>
      </c>
      <c r="BI4464" s="744" t="str">
        <f t="shared" si="1545"/>
        <v/>
      </c>
      <c r="BJ4464" s="747" t="str">
        <f t="shared" si="1552"/>
        <v/>
      </c>
      <c r="BK4464" s="498" t="str">
        <f t="shared" si="1546"/>
        <v/>
      </c>
      <c r="BL4464" s="498" t="str">
        <f t="shared" si="1547"/>
        <v/>
      </c>
    </row>
    <row r="4465" spans="1:64" x14ac:dyDescent="0.25">
      <c r="A4465" s="762">
        <f t="shared" si="1548"/>
        <v>4460</v>
      </c>
      <c r="B4465" s="229"/>
      <c r="C4465" s="223"/>
      <c r="D4465" s="224"/>
      <c r="E4465" s="225"/>
      <c r="F4465" s="1036" t="str">
        <f t="shared" si="1554"/>
        <v/>
      </c>
      <c r="G4465" s="1037" t="str">
        <f t="shared" si="1549"/>
        <v/>
      </c>
      <c r="H4465" s="225"/>
      <c r="I4465" s="1013"/>
      <c r="J4465" s="1013"/>
      <c r="K4465" s="1028"/>
      <c r="L4465" s="1035" t="str">
        <f t="shared" si="1553"/>
        <v/>
      </c>
      <c r="S4465" s="498"/>
      <c r="AJ4465" s="498"/>
      <c r="AM4465" s="498">
        <f t="shared" si="1534"/>
        <v>0</v>
      </c>
      <c r="AN4465" s="498">
        <f t="shared" si="1535"/>
        <v>0</v>
      </c>
      <c r="AO4465" s="498">
        <f t="shared" si="1536"/>
        <v>0</v>
      </c>
      <c r="AP4465" s="498">
        <f t="shared" si="1555"/>
        <v>0</v>
      </c>
      <c r="AQ4465" s="498">
        <f t="shared" si="1550"/>
        <v>0</v>
      </c>
      <c r="AU4465" s="498">
        <f t="shared" si="1537"/>
        <v>0</v>
      </c>
      <c r="AV4465" s="498">
        <f t="shared" si="1538"/>
        <v>0</v>
      </c>
      <c r="AW4465" s="498">
        <f t="shared" si="1539"/>
        <v>0</v>
      </c>
      <c r="AX4465" s="498">
        <f t="shared" si="1540"/>
        <v>0</v>
      </c>
      <c r="AY4465" s="498">
        <f t="shared" si="1541"/>
        <v>0</v>
      </c>
      <c r="BB4465" s="498" t="str">
        <f t="shared" si="1542"/>
        <v/>
      </c>
      <c r="BC4465" s="743" t="str">
        <f t="shared" si="1543"/>
        <v/>
      </c>
      <c r="BD4465" s="743" t="str">
        <f t="shared" si="1544"/>
        <v/>
      </c>
      <c r="BE4465" s="743" t="str">
        <f>IF(D4465="","",VLOOKUP(D4465,'General Basis'!$J$39:$K$46,2,0))</f>
        <v/>
      </c>
      <c r="BF4465" s="744" t="str">
        <f>IF(D4465="","",VLOOKUP(D4465,'General Basis'!$J$39:$L$46,3,0))</f>
        <v/>
      </c>
      <c r="BG4465" s="744" t="str">
        <f t="shared" si="1551"/>
        <v/>
      </c>
      <c r="BH4465" s="744" t="str">
        <f>IF(G4465="","",IF(BF4465="Abu Dhabi",IF(G4465&lt;18,'General Basis'!$C$39,IF(G4465&lt;41,'General Basis'!$C$40,IF(G4465&lt;60,'General Basis'!$C$41,IF(G4465&lt;65,'General Basis'!$C$42,'General Basis'!$C$43)))),IF(G4465&lt;11,'General Basis'!$B$39,IF(G4465&lt;18,'General Basis'!$B$40,IF(G4465&lt;26,'General Basis'!$B$41,IF(G4465&lt;31,'General Basis'!$B$42,IF(G4465&lt;36,'General Basis'!$B$43,IF(G4465&lt;41,'General Basis'!$B$44,IF(G4465&lt;46,'General Basis'!$B$45,IF(G4465&lt;51,'General Basis'!$B$46,IF(G4465&lt;56,'General Basis'!$B$47,IF(G4465&lt;60,'General Basis'!$B$48,IF(G4465&lt;65,'General Basis'!$B$49,'General Basis'!$B$50)))))))))))))</f>
        <v/>
      </c>
      <c r="BI4465" s="744" t="str">
        <f t="shared" si="1545"/>
        <v/>
      </c>
      <c r="BJ4465" s="747" t="str">
        <f t="shared" si="1552"/>
        <v/>
      </c>
      <c r="BK4465" s="498" t="str">
        <f t="shared" si="1546"/>
        <v/>
      </c>
      <c r="BL4465" s="498" t="str">
        <f t="shared" si="1547"/>
        <v/>
      </c>
    </row>
    <row r="4466" spans="1:64" x14ac:dyDescent="0.25">
      <c r="A4466" s="762">
        <f t="shared" si="1548"/>
        <v>4461</v>
      </c>
      <c r="B4466" s="229"/>
      <c r="C4466" s="223"/>
      <c r="D4466" s="224"/>
      <c r="E4466" s="225"/>
      <c r="F4466" s="1036" t="str">
        <f t="shared" si="1554"/>
        <v/>
      </c>
      <c r="G4466" s="1037" t="str">
        <f t="shared" si="1549"/>
        <v/>
      </c>
      <c r="H4466" s="225"/>
      <c r="I4466" s="1013"/>
      <c r="J4466" s="1013"/>
      <c r="K4466" s="1028"/>
      <c r="L4466" s="1035" t="str">
        <f t="shared" si="1553"/>
        <v/>
      </c>
      <c r="S4466" s="498"/>
      <c r="AJ4466" s="498"/>
      <c r="AM4466" s="498">
        <f t="shared" si="1534"/>
        <v>0</v>
      </c>
      <c r="AN4466" s="498">
        <f t="shared" si="1535"/>
        <v>0</v>
      </c>
      <c r="AO4466" s="498">
        <f t="shared" si="1536"/>
        <v>0</v>
      </c>
      <c r="AP4466" s="498">
        <f t="shared" si="1555"/>
        <v>0</v>
      </c>
      <c r="AQ4466" s="498">
        <f t="shared" si="1550"/>
        <v>0</v>
      </c>
      <c r="AU4466" s="498">
        <f t="shared" si="1537"/>
        <v>0</v>
      </c>
      <c r="AV4466" s="498">
        <f t="shared" si="1538"/>
        <v>0</v>
      </c>
      <c r="AW4466" s="498">
        <f t="shared" si="1539"/>
        <v>0</v>
      </c>
      <c r="AX4466" s="498">
        <f t="shared" si="1540"/>
        <v>0</v>
      </c>
      <c r="AY4466" s="498">
        <f t="shared" si="1541"/>
        <v>0</v>
      </c>
      <c r="BB4466" s="498" t="str">
        <f t="shared" si="1542"/>
        <v/>
      </c>
      <c r="BC4466" s="743" t="str">
        <f t="shared" si="1543"/>
        <v/>
      </c>
      <c r="BD4466" s="743" t="str">
        <f t="shared" si="1544"/>
        <v/>
      </c>
      <c r="BE4466" s="743" t="str">
        <f>IF(D4466="","",VLOOKUP(D4466,'General Basis'!$J$39:$K$46,2,0))</f>
        <v/>
      </c>
      <c r="BF4466" s="744" t="str">
        <f>IF(D4466="","",VLOOKUP(D4466,'General Basis'!$J$39:$L$46,3,0))</f>
        <v/>
      </c>
      <c r="BG4466" s="744" t="str">
        <f t="shared" si="1551"/>
        <v/>
      </c>
      <c r="BH4466" s="744" t="str">
        <f>IF(G4466="","",IF(BF4466="Abu Dhabi",IF(G4466&lt;18,'General Basis'!$C$39,IF(G4466&lt;41,'General Basis'!$C$40,IF(G4466&lt;60,'General Basis'!$C$41,IF(G4466&lt;65,'General Basis'!$C$42,'General Basis'!$C$43)))),IF(G4466&lt;11,'General Basis'!$B$39,IF(G4466&lt;18,'General Basis'!$B$40,IF(G4466&lt;26,'General Basis'!$B$41,IF(G4466&lt;31,'General Basis'!$B$42,IF(G4466&lt;36,'General Basis'!$B$43,IF(G4466&lt;41,'General Basis'!$B$44,IF(G4466&lt;46,'General Basis'!$B$45,IF(G4466&lt;51,'General Basis'!$B$46,IF(G4466&lt;56,'General Basis'!$B$47,IF(G4466&lt;60,'General Basis'!$B$48,IF(G4466&lt;65,'General Basis'!$B$49,'General Basis'!$B$50)))))))))))))</f>
        <v/>
      </c>
      <c r="BI4466" s="744" t="str">
        <f t="shared" si="1545"/>
        <v/>
      </c>
      <c r="BJ4466" s="747" t="str">
        <f t="shared" si="1552"/>
        <v/>
      </c>
      <c r="BK4466" s="498" t="str">
        <f t="shared" si="1546"/>
        <v/>
      </c>
      <c r="BL4466" s="498" t="str">
        <f t="shared" si="1547"/>
        <v/>
      </c>
    </row>
    <row r="4467" spans="1:64" x14ac:dyDescent="0.25">
      <c r="A4467" s="762">
        <f t="shared" si="1548"/>
        <v>4462</v>
      </c>
      <c r="B4467" s="229"/>
      <c r="C4467" s="223"/>
      <c r="D4467" s="224"/>
      <c r="E4467" s="225"/>
      <c r="F4467" s="1036" t="str">
        <f t="shared" si="1554"/>
        <v/>
      </c>
      <c r="G4467" s="1037" t="str">
        <f t="shared" si="1549"/>
        <v/>
      </c>
      <c r="H4467" s="225"/>
      <c r="I4467" s="1013"/>
      <c r="J4467" s="1013"/>
      <c r="K4467" s="1028"/>
      <c r="L4467" s="1035" t="str">
        <f t="shared" si="1553"/>
        <v/>
      </c>
      <c r="S4467" s="498"/>
      <c r="AJ4467" s="498"/>
      <c r="AM4467" s="498">
        <f t="shared" si="1534"/>
        <v>0</v>
      </c>
      <c r="AN4467" s="498">
        <f t="shared" si="1535"/>
        <v>0</v>
      </c>
      <c r="AO4467" s="498">
        <f t="shared" si="1536"/>
        <v>0</v>
      </c>
      <c r="AP4467" s="498">
        <f t="shared" si="1555"/>
        <v>0</v>
      </c>
      <c r="AQ4467" s="498">
        <f t="shared" si="1550"/>
        <v>0</v>
      </c>
      <c r="AU4467" s="498">
        <f t="shared" si="1537"/>
        <v>0</v>
      </c>
      <c r="AV4467" s="498">
        <f t="shared" si="1538"/>
        <v>0</v>
      </c>
      <c r="AW4467" s="498">
        <f t="shared" si="1539"/>
        <v>0</v>
      </c>
      <c r="AX4467" s="498">
        <f t="shared" si="1540"/>
        <v>0</v>
      </c>
      <c r="AY4467" s="498">
        <f t="shared" si="1541"/>
        <v>0</v>
      </c>
      <c r="BB4467" s="498" t="str">
        <f t="shared" si="1542"/>
        <v/>
      </c>
      <c r="BC4467" s="743" t="str">
        <f t="shared" si="1543"/>
        <v/>
      </c>
      <c r="BD4467" s="743" t="str">
        <f t="shared" si="1544"/>
        <v/>
      </c>
      <c r="BE4467" s="743" t="str">
        <f>IF(D4467="","",VLOOKUP(D4467,'General Basis'!$J$39:$K$46,2,0))</f>
        <v/>
      </c>
      <c r="BF4467" s="744" t="str">
        <f>IF(D4467="","",VLOOKUP(D4467,'General Basis'!$J$39:$L$46,3,0))</f>
        <v/>
      </c>
      <c r="BG4467" s="744" t="str">
        <f t="shared" si="1551"/>
        <v/>
      </c>
      <c r="BH4467" s="744" t="str">
        <f>IF(G4467="","",IF(BF4467="Abu Dhabi",IF(G4467&lt;18,'General Basis'!$C$39,IF(G4467&lt;41,'General Basis'!$C$40,IF(G4467&lt;60,'General Basis'!$C$41,IF(G4467&lt;65,'General Basis'!$C$42,'General Basis'!$C$43)))),IF(G4467&lt;11,'General Basis'!$B$39,IF(G4467&lt;18,'General Basis'!$B$40,IF(G4467&lt;26,'General Basis'!$B$41,IF(G4467&lt;31,'General Basis'!$B$42,IF(G4467&lt;36,'General Basis'!$B$43,IF(G4467&lt;41,'General Basis'!$B$44,IF(G4467&lt;46,'General Basis'!$B$45,IF(G4467&lt;51,'General Basis'!$B$46,IF(G4467&lt;56,'General Basis'!$B$47,IF(G4467&lt;60,'General Basis'!$B$48,IF(G4467&lt;65,'General Basis'!$B$49,'General Basis'!$B$50)))))))))))))</f>
        <v/>
      </c>
      <c r="BI4467" s="744" t="str">
        <f t="shared" si="1545"/>
        <v/>
      </c>
      <c r="BJ4467" s="747" t="str">
        <f t="shared" si="1552"/>
        <v/>
      </c>
      <c r="BK4467" s="498" t="str">
        <f t="shared" si="1546"/>
        <v/>
      </c>
      <c r="BL4467" s="498" t="str">
        <f t="shared" si="1547"/>
        <v/>
      </c>
    </row>
    <row r="4468" spans="1:64" x14ac:dyDescent="0.25">
      <c r="A4468" s="762">
        <f t="shared" si="1548"/>
        <v>4463</v>
      </c>
      <c r="B4468" s="229"/>
      <c r="C4468" s="223"/>
      <c r="D4468" s="224"/>
      <c r="E4468" s="225"/>
      <c r="F4468" s="1036" t="str">
        <f t="shared" si="1554"/>
        <v/>
      </c>
      <c r="G4468" s="1037" t="str">
        <f t="shared" si="1549"/>
        <v/>
      </c>
      <c r="H4468" s="225"/>
      <c r="I4468" s="1013"/>
      <c r="J4468" s="1013"/>
      <c r="K4468" s="1028"/>
      <c r="L4468" s="1035" t="str">
        <f t="shared" si="1553"/>
        <v/>
      </c>
      <c r="S4468" s="498"/>
      <c r="AJ4468" s="498"/>
      <c r="AM4468" s="498">
        <f t="shared" si="1534"/>
        <v>0</v>
      </c>
      <c r="AN4468" s="498">
        <f t="shared" si="1535"/>
        <v>0</v>
      </c>
      <c r="AO4468" s="498">
        <f t="shared" si="1536"/>
        <v>0</v>
      </c>
      <c r="AP4468" s="498">
        <f t="shared" si="1555"/>
        <v>0</v>
      </c>
      <c r="AQ4468" s="498">
        <f t="shared" si="1550"/>
        <v>0</v>
      </c>
      <c r="AU4468" s="498">
        <f t="shared" si="1537"/>
        <v>0</v>
      </c>
      <c r="AV4468" s="498">
        <f t="shared" si="1538"/>
        <v>0</v>
      </c>
      <c r="AW4468" s="498">
        <f t="shared" si="1539"/>
        <v>0</v>
      </c>
      <c r="AX4468" s="498">
        <f t="shared" si="1540"/>
        <v>0</v>
      </c>
      <c r="AY4468" s="498">
        <f t="shared" si="1541"/>
        <v>0</v>
      </c>
      <c r="BB4468" s="498" t="str">
        <f t="shared" si="1542"/>
        <v/>
      </c>
      <c r="BC4468" s="743" t="str">
        <f t="shared" si="1543"/>
        <v/>
      </c>
      <c r="BD4468" s="743" t="str">
        <f t="shared" si="1544"/>
        <v/>
      </c>
      <c r="BE4468" s="743" t="str">
        <f>IF(D4468="","",VLOOKUP(D4468,'General Basis'!$J$39:$K$46,2,0))</f>
        <v/>
      </c>
      <c r="BF4468" s="744" t="str">
        <f>IF(D4468="","",VLOOKUP(D4468,'General Basis'!$J$39:$L$46,3,0))</f>
        <v/>
      </c>
      <c r="BG4468" s="744" t="str">
        <f t="shared" si="1551"/>
        <v/>
      </c>
      <c r="BH4468" s="744" t="str">
        <f>IF(G4468="","",IF(BF4468="Abu Dhabi",IF(G4468&lt;18,'General Basis'!$C$39,IF(G4468&lt;41,'General Basis'!$C$40,IF(G4468&lt;60,'General Basis'!$C$41,IF(G4468&lt;65,'General Basis'!$C$42,'General Basis'!$C$43)))),IF(G4468&lt;11,'General Basis'!$B$39,IF(G4468&lt;18,'General Basis'!$B$40,IF(G4468&lt;26,'General Basis'!$B$41,IF(G4468&lt;31,'General Basis'!$B$42,IF(G4468&lt;36,'General Basis'!$B$43,IF(G4468&lt;41,'General Basis'!$B$44,IF(G4468&lt;46,'General Basis'!$B$45,IF(G4468&lt;51,'General Basis'!$B$46,IF(G4468&lt;56,'General Basis'!$B$47,IF(G4468&lt;60,'General Basis'!$B$48,IF(G4468&lt;65,'General Basis'!$B$49,'General Basis'!$B$50)))))))))))))</f>
        <v/>
      </c>
      <c r="BI4468" s="744" t="str">
        <f t="shared" si="1545"/>
        <v/>
      </c>
      <c r="BJ4468" s="747" t="str">
        <f t="shared" si="1552"/>
        <v/>
      </c>
      <c r="BK4468" s="498" t="str">
        <f t="shared" si="1546"/>
        <v/>
      </c>
      <c r="BL4468" s="498" t="str">
        <f t="shared" si="1547"/>
        <v/>
      </c>
    </row>
    <row r="4469" spans="1:64" x14ac:dyDescent="0.25">
      <c r="A4469" s="762">
        <f t="shared" si="1548"/>
        <v>4464</v>
      </c>
      <c r="B4469" s="229"/>
      <c r="C4469" s="223"/>
      <c r="D4469" s="224"/>
      <c r="E4469" s="225"/>
      <c r="F4469" s="1036" t="str">
        <f t="shared" si="1554"/>
        <v/>
      </c>
      <c r="G4469" s="1037" t="str">
        <f t="shared" si="1549"/>
        <v/>
      </c>
      <c r="H4469" s="225"/>
      <c r="I4469" s="1013"/>
      <c r="J4469" s="1013"/>
      <c r="K4469" s="1028"/>
      <c r="L4469" s="1035" t="str">
        <f t="shared" si="1553"/>
        <v/>
      </c>
      <c r="S4469" s="498"/>
      <c r="AJ4469" s="498"/>
      <c r="AM4469" s="498">
        <f t="shared" si="1534"/>
        <v>0</v>
      </c>
      <c r="AN4469" s="498">
        <f t="shared" si="1535"/>
        <v>0</v>
      </c>
      <c r="AO4469" s="498">
        <f t="shared" si="1536"/>
        <v>0</v>
      </c>
      <c r="AP4469" s="498">
        <f t="shared" si="1555"/>
        <v>0</v>
      </c>
      <c r="AQ4469" s="498">
        <f t="shared" si="1550"/>
        <v>0</v>
      </c>
      <c r="AU4469" s="498">
        <f t="shared" si="1537"/>
        <v>0</v>
      </c>
      <c r="AV4469" s="498">
        <f t="shared" si="1538"/>
        <v>0</v>
      </c>
      <c r="AW4469" s="498">
        <f t="shared" si="1539"/>
        <v>0</v>
      </c>
      <c r="AX4469" s="498">
        <f t="shared" si="1540"/>
        <v>0</v>
      </c>
      <c r="AY4469" s="498">
        <f t="shared" si="1541"/>
        <v>0</v>
      </c>
      <c r="BB4469" s="498" t="str">
        <f t="shared" si="1542"/>
        <v/>
      </c>
      <c r="BC4469" s="743" t="str">
        <f t="shared" si="1543"/>
        <v/>
      </c>
      <c r="BD4469" s="743" t="str">
        <f t="shared" si="1544"/>
        <v/>
      </c>
      <c r="BE4469" s="743" t="str">
        <f>IF(D4469="","",VLOOKUP(D4469,'General Basis'!$J$39:$K$46,2,0))</f>
        <v/>
      </c>
      <c r="BF4469" s="744" t="str">
        <f>IF(D4469="","",VLOOKUP(D4469,'General Basis'!$J$39:$L$46,3,0))</f>
        <v/>
      </c>
      <c r="BG4469" s="744" t="str">
        <f t="shared" si="1551"/>
        <v/>
      </c>
      <c r="BH4469" s="744" t="str">
        <f>IF(G4469="","",IF(BF4469="Abu Dhabi",IF(G4469&lt;18,'General Basis'!$C$39,IF(G4469&lt;41,'General Basis'!$C$40,IF(G4469&lt;60,'General Basis'!$C$41,IF(G4469&lt;65,'General Basis'!$C$42,'General Basis'!$C$43)))),IF(G4469&lt;11,'General Basis'!$B$39,IF(G4469&lt;18,'General Basis'!$B$40,IF(G4469&lt;26,'General Basis'!$B$41,IF(G4469&lt;31,'General Basis'!$B$42,IF(G4469&lt;36,'General Basis'!$B$43,IF(G4469&lt;41,'General Basis'!$B$44,IF(G4469&lt;46,'General Basis'!$B$45,IF(G4469&lt;51,'General Basis'!$B$46,IF(G4469&lt;56,'General Basis'!$B$47,IF(G4469&lt;60,'General Basis'!$B$48,IF(G4469&lt;65,'General Basis'!$B$49,'General Basis'!$B$50)))))))))))))</f>
        <v/>
      </c>
      <c r="BI4469" s="744" t="str">
        <f t="shared" si="1545"/>
        <v/>
      </c>
      <c r="BJ4469" s="747" t="str">
        <f t="shared" si="1552"/>
        <v/>
      </c>
      <c r="BK4469" s="498" t="str">
        <f t="shared" si="1546"/>
        <v/>
      </c>
      <c r="BL4469" s="498" t="str">
        <f t="shared" si="1547"/>
        <v/>
      </c>
    </row>
    <row r="4470" spans="1:64" x14ac:dyDescent="0.25">
      <c r="A4470" s="762">
        <f t="shared" si="1548"/>
        <v>4465</v>
      </c>
      <c r="B4470" s="229"/>
      <c r="C4470" s="223"/>
      <c r="D4470" s="224"/>
      <c r="E4470" s="225"/>
      <c r="F4470" s="1036" t="str">
        <f t="shared" si="1554"/>
        <v/>
      </c>
      <c r="G4470" s="1037" t="str">
        <f t="shared" si="1549"/>
        <v/>
      </c>
      <c r="H4470" s="225"/>
      <c r="I4470" s="1013"/>
      <c r="J4470" s="1013"/>
      <c r="K4470" s="1028"/>
      <c r="L4470" s="1035" t="str">
        <f t="shared" si="1553"/>
        <v/>
      </c>
      <c r="S4470" s="498"/>
      <c r="AJ4470" s="498"/>
      <c r="AM4470" s="498">
        <f t="shared" si="1534"/>
        <v>0</v>
      </c>
      <c r="AN4470" s="498">
        <f t="shared" si="1535"/>
        <v>0</v>
      </c>
      <c r="AO4470" s="498">
        <f t="shared" si="1536"/>
        <v>0</v>
      </c>
      <c r="AP4470" s="498">
        <f t="shared" si="1555"/>
        <v>0</v>
      </c>
      <c r="AQ4470" s="498">
        <f t="shared" si="1550"/>
        <v>0</v>
      </c>
      <c r="AU4470" s="498">
        <f t="shared" si="1537"/>
        <v>0</v>
      </c>
      <c r="AV4470" s="498">
        <f t="shared" si="1538"/>
        <v>0</v>
      </c>
      <c r="AW4470" s="498">
        <f t="shared" si="1539"/>
        <v>0</v>
      </c>
      <c r="AX4470" s="498">
        <f t="shared" si="1540"/>
        <v>0</v>
      </c>
      <c r="AY4470" s="498">
        <f t="shared" si="1541"/>
        <v>0</v>
      </c>
      <c r="BB4470" s="498" t="str">
        <f t="shared" si="1542"/>
        <v/>
      </c>
      <c r="BC4470" s="743" t="str">
        <f t="shared" si="1543"/>
        <v/>
      </c>
      <c r="BD4470" s="743" t="str">
        <f t="shared" si="1544"/>
        <v/>
      </c>
      <c r="BE4470" s="743" t="str">
        <f>IF(D4470="","",VLOOKUP(D4470,'General Basis'!$J$39:$K$46,2,0))</f>
        <v/>
      </c>
      <c r="BF4470" s="744" t="str">
        <f>IF(D4470="","",VLOOKUP(D4470,'General Basis'!$J$39:$L$46,3,0))</f>
        <v/>
      </c>
      <c r="BG4470" s="744" t="str">
        <f t="shared" si="1551"/>
        <v/>
      </c>
      <c r="BH4470" s="744" t="str">
        <f>IF(G4470="","",IF(BF4470="Abu Dhabi",IF(G4470&lt;18,'General Basis'!$C$39,IF(G4470&lt;41,'General Basis'!$C$40,IF(G4470&lt;60,'General Basis'!$C$41,IF(G4470&lt;65,'General Basis'!$C$42,'General Basis'!$C$43)))),IF(G4470&lt;11,'General Basis'!$B$39,IF(G4470&lt;18,'General Basis'!$B$40,IF(G4470&lt;26,'General Basis'!$B$41,IF(G4470&lt;31,'General Basis'!$B$42,IF(G4470&lt;36,'General Basis'!$B$43,IF(G4470&lt;41,'General Basis'!$B$44,IF(G4470&lt;46,'General Basis'!$B$45,IF(G4470&lt;51,'General Basis'!$B$46,IF(G4470&lt;56,'General Basis'!$B$47,IF(G4470&lt;60,'General Basis'!$B$48,IF(G4470&lt;65,'General Basis'!$B$49,'General Basis'!$B$50)))))))))))))</f>
        <v/>
      </c>
      <c r="BI4470" s="744" t="str">
        <f t="shared" si="1545"/>
        <v/>
      </c>
      <c r="BJ4470" s="747" t="str">
        <f t="shared" si="1552"/>
        <v/>
      </c>
      <c r="BK4470" s="498" t="str">
        <f t="shared" si="1546"/>
        <v/>
      </c>
      <c r="BL4470" s="498" t="str">
        <f t="shared" si="1547"/>
        <v/>
      </c>
    </row>
    <row r="4471" spans="1:64" x14ac:dyDescent="0.25">
      <c r="A4471" s="762">
        <f t="shared" si="1548"/>
        <v>4466</v>
      </c>
      <c r="B4471" s="229"/>
      <c r="C4471" s="223"/>
      <c r="D4471" s="224"/>
      <c r="E4471" s="225"/>
      <c r="F4471" s="1036" t="str">
        <f t="shared" si="1554"/>
        <v/>
      </c>
      <c r="G4471" s="1037" t="str">
        <f t="shared" si="1549"/>
        <v/>
      </c>
      <c r="H4471" s="225"/>
      <c r="I4471" s="1013"/>
      <c r="J4471" s="1013"/>
      <c r="K4471" s="1028"/>
      <c r="L4471" s="1035" t="str">
        <f t="shared" si="1553"/>
        <v/>
      </c>
      <c r="S4471" s="498"/>
      <c r="AJ4471" s="498"/>
      <c r="AM4471" s="498">
        <f t="shared" si="1534"/>
        <v>0</v>
      </c>
      <c r="AN4471" s="498">
        <f t="shared" si="1535"/>
        <v>0</v>
      </c>
      <c r="AO4471" s="498">
        <f t="shared" si="1536"/>
        <v>0</v>
      </c>
      <c r="AP4471" s="498">
        <f t="shared" si="1555"/>
        <v>0</v>
      </c>
      <c r="AQ4471" s="498">
        <f t="shared" si="1550"/>
        <v>0</v>
      </c>
      <c r="AU4471" s="498">
        <f t="shared" si="1537"/>
        <v>0</v>
      </c>
      <c r="AV4471" s="498">
        <f t="shared" si="1538"/>
        <v>0</v>
      </c>
      <c r="AW4471" s="498">
        <f t="shared" si="1539"/>
        <v>0</v>
      </c>
      <c r="AX4471" s="498">
        <f t="shared" si="1540"/>
        <v>0</v>
      </c>
      <c r="AY4471" s="498">
        <f t="shared" si="1541"/>
        <v>0</v>
      </c>
      <c r="BB4471" s="498" t="str">
        <f t="shared" si="1542"/>
        <v/>
      </c>
      <c r="BC4471" s="743" t="str">
        <f t="shared" si="1543"/>
        <v/>
      </c>
      <c r="BD4471" s="743" t="str">
        <f t="shared" si="1544"/>
        <v/>
      </c>
      <c r="BE4471" s="743" t="str">
        <f>IF(D4471="","",VLOOKUP(D4471,'General Basis'!$J$39:$K$46,2,0))</f>
        <v/>
      </c>
      <c r="BF4471" s="744" t="str">
        <f>IF(D4471="","",VLOOKUP(D4471,'General Basis'!$J$39:$L$46,3,0))</f>
        <v/>
      </c>
      <c r="BG4471" s="744" t="str">
        <f t="shared" si="1551"/>
        <v/>
      </c>
      <c r="BH4471" s="744" t="str">
        <f>IF(G4471="","",IF(BF4471="Abu Dhabi",IF(G4471&lt;18,'General Basis'!$C$39,IF(G4471&lt;41,'General Basis'!$C$40,IF(G4471&lt;60,'General Basis'!$C$41,IF(G4471&lt;65,'General Basis'!$C$42,'General Basis'!$C$43)))),IF(G4471&lt;11,'General Basis'!$B$39,IF(G4471&lt;18,'General Basis'!$B$40,IF(G4471&lt;26,'General Basis'!$B$41,IF(G4471&lt;31,'General Basis'!$B$42,IF(G4471&lt;36,'General Basis'!$B$43,IF(G4471&lt;41,'General Basis'!$B$44,IF(G4471&lt;46,'General Basis'!$B$45,IF(G4471&lt;51,'General Basis'!$B$46,IF(G4471&lt;56,'General Basis'!$B$47,IF(G4471&lt;60,'General Basis'!$B$48,IF(G4471&lt;65,'General Basis'!$B$49,'General Basis'!$B$50)))))))))))))</f>
        <v/>
      </c>
      <c r="BI4471" s="744" t="str">
        <f t="shared" si="1545"/>
        <v/>
      </c>
      <c r="BJ4471" s="747" t="str">
        <f t="shared" si="1552"/>
        <v/>
      </c>
      <c r="BK4471" s="498" t="str">
        <f t="shared" si="1546"/>
        <v/>
      </c>
      <c r="BL4471" s="498" t="str">
        <f t="shared" si="1547"/>
        <v/>
      </c>
    </row>
    <row r="4472" spans="1:64" x14ac:dyDescent="0.25">
      <c r="A4472" s="762">
        <f t="shared" si="1548"/>
        <v>4467</v>
      </c>
      <c r="B4472" s="229"/>
      <c r="C4472" s="223"/>
      <c r="D4472" s="224"/>
      <c r="E4472" s="225"/>
      <c r="F4472" s="1036" t="str">
        <f t="shared" si="1554"/>
        <v/>
      </c>
      <c r="G4472" s="1037" t="str">
        <f t="shared" si="1549"/>
        <v/>
      </c>
      <c r="H4472" s="225"/>
      <c r="I4472" s="1013"/>
      <c r="J4472" s="1013"/>
      <c r="K4472" s="1028"/>
      <c r="L4472" s="1035" t="str">
        <f t="shared" si="1553"/>
        <v/>
      </c>
      <c r="S4472" s="498"/>
      <c r="AJ4472" s="498"/>
      <c r="AM4472" s="498">
        <f t="shared" si="1534"/>
        <v>0</v>
      </c>
      <c r="AN4472" s="498">
        <f t="shared" si="1535"/>
        <v>0</v>
      </c>
      <c r="AO4472" s="498">
        <f t="shared" si="1536"/>
        <v>0</v>
      </c>
      <c r="AP4472" s="498">
        <f t="shared" si="1555"/>
        <v>0</v>
      </c>
      <c r="AQ4472" s="498">
        <f t="shared" si="1550"/>
        <v>0</v>
      </c>
      <c r="AU4472" s="498">
        <f t="shared" si="1537"/>
        <v>0</v>
      </c>
      <c r="AV4472" s="498">
        <f t="shared" si="1538"/>
        <v>0</v>
      </c>
      <c r="AW4472" s="498">
        <f t="shared" si="1539"/>
        <v>0</v>
      </c>
      <c r="AX4472" s="498">
        <f t="shared" si="1540"/>
        <v>0</v>
      </c>
      <c r="AY4472" s="498">
        <f t="shared" si="1541"/>
        <v>0</v>
      </c>
      <c r="BB4472" s="498" t="str">
        <f t="shared" si="1542"/>
        <v/>
      </c>
      <c r="BC4472" s="743" t="str">
        <f t="shared" si="1543"/>
        <v/>
      </c>
      <c r="BD4472" s="743" t="str">
        <f t="shared" si="1544"/>
        <v/>
      </c>
      <c r="BE4472" s="743" t="str">
        <f>IF(D4472="","",VLOOKUP(D4472,'General Basis'!$J$39:$K$46,2,0))</f>
        <v/>
      </c>
      <c r="BF4472" s="744" t="str">
        <f>IF(D4472="","",VLOOKUP(D4472,'General Basis'!$J$39:$L$46,3,0))</f>
        <v/>
      </c>
      <c r="BG4472" s="744" t="str">
        <f t="shared" si="1551"/>
        <v/>
      </c>
      <c r="BH4472" s="744" t="str">
        <f>IF(G4472="","",IF(BF4472="Abu Dhabi",IF(G4472&lt;18,'General Basis'!$C$39,IF(G4472&lt;41,'General Basis'!$C$40,IF(G4472&lt;60,'General Basis'!$C$41,IF(G4472&lt;65,'General Basis'!$C$42,'General Basis'!$C$43)))),IF(G4472&lt;11,'General Basis'!$B$39,IF(G4472&lt;18,'General Basis'!$B$40,IF(G4472&lt;26,'General Basis'!$B$41,IF(G4472&lt;31,'General Basis'!$B$42,IF(G4472&lt;36,'General Basis'!$B$43,IF(G4472&lt;41,'General Basis'!$B$44,IF(G4472&lt;46,'General Basis'!$B$45,IF(G4472&lt;51,'General Basis'!$B$46,IF(G4472&lt;56,'General Basis'!$B$47,IF(G4472&lt;60,'General Basis'!$B$48,IF(G4472&lt;65,'General Basis'!$B$49,'General Basis'!$B$50)))))))))))))</f>
        <v/>
      </c>
      <c r="BI4472" s="744" t="str">
        <f t="shared" si="1545"/>
        <v/>
      </c>
      <c r="BJ4472" s="747" t="str">
        <f t="shared" si="1552"/>
        <v/>
      </c>
      <c r="BK4472" s="498" t="str">
        <f t="shared" si="1546"/>
        <v/>
      </c>
      <c r="BL4472" s="498" t="str">
        <f t="shared" si="1547"/>
        <v/>
      </c>
    </row>
    <row r="4473" spans="1:64" x14ac:dyDescent="0.25">
      <c r="A4473" s="762">
        <f t="shared" si="1548"/>
        <v>4468</v>
      </c>
      <c r="B4473" s="229"/>
      <c r="C4473" s="223"/>
      <c r="D4473" s="224"/>
      <c r="E4473" s="225"/>
      <c r="F4473" s="1036" t="str">
        <f t="shared" si="1554"/>
        <v/>
      </c>
      <c r="G4473" s="1037" t="str">
        <f t="shared" si="1549"/>
        <v/>
      </c>
      <c r="H4473" s="225"/>
      <c r="I4473" s="1013"/>
      <c r="J4473" s="1013"/>
      <c r="K4473" s="1028"/>
      <c r="L4473" s="1035" t="str">
        <f t="shared" si="1553"/>
        <v/>
      </c>
      <c r="S4473" s="498"/>
      <c r="AJ4473" s="498"/>
      <c r="AM4473" s="498">
        <f t="shared" si="1534"/>
        <v>0</v>
      </c>
      <c r="AN4473" s="498">
        <f t="shared" si="1535"/>
        <v>0</v>
      </c>
      <c r="AO4473" s="498">
        <f t="shared" si="1536"/>
        <v>0</v>
      </c>
      <c r="AP4473" s="498">
        <f t="shared" si="1555"/>
        <v>0</v>
      </c>
      <c r="AQ4473" s="498">
        <f t="shared" si="1550"/>
        <v>0</v>
      </c>
      <c r="AU4473" s="498">
        <f t="shared" si="1537"/>
        <v>0</v>
      </c>
      <c r="AV4473" s="498">
        <f t="shared" si="1538"/>
        <v>0</v>
      </c>
      <c r="AW4473" s="498">
        <f t="shared" si="1539"/>
        <v>0</v>
      </c>
      <c r="AX4473" s="498">
        <f t="shared" si="1540"/>
        <v>0</v>
      </c>
      <c r="AY4473" s="498">
        <f t="shared" si="1541"/>
        <v>0</v>
      </c>
      <c r="BB4473" s="498" t="str">
        <f t="shared" si="1542"/>
        <v/>
      </c>
      <c r="BC4473" s="743" t="str">
        <f t="shared" si="1543"/>
        <v/>
      </c>
      <c r="BD4473" s="743" t="str">
        <f t="shared" si="1544"/>
        <v/>
      </c>
      <c r="BE4473" s="743" t="str">
        <f>IF(D4473="","",VLOOKUP(D4473,'General Basis'!$J$39:$K$46,2,0))</f>
        <v/>
      </c>
      <c r="BF4473" s="744" t="str">
        <f>IF(D4473="","",VLOOKUP(D4473,'General Basis'!$J$39:$L$46,3,0))</f>
        <v/>
      </c>
      <c r="BG4473" s="744" t="str">
        <f t="shared" si="1551"/>
        <v/>
      </c>
      <c r="BH4473" s="744" t="str">
        <f>IF(G4473="","",IF(BF4473="Abu Dhabi",IF(G4473&lt;18,'General Basis'!$C$39,IF(G4473&lt;41,'General Basis'!$C$40,IF(G4473&lt;60,'General Basis'!$C$41,IF(G4473&lt;65,'General Basis'!$C$42,'General Basis'!$C$43)))),IF(G4473&lt;11,'General Basis'!$B$39,IF(G4473&lt;18,'General Basis'!$B$40,IF(G4473&lt;26,'General Basis'!$B$41,IF(G4473&lt;31,'General Basis'!$B$42,IF(G4473&lt;36,'General Basis'!$B$43,IF(G4473&lt;41,'General Basis'!$B$44,IF(G4473&lt;46,'General Basis'!$B$45,IF(G4473&lt;51,'General Basis'!$B$46,IF(G4473&lt;56,'General Basis'!$B$47,IF(G4473&lt;60,'General Basis'!$B$48,IF(G4473&lt;65,'General Basis'!$B$49,'General Basis'!$B$50)))))))))))))</f>
        <v/>
      </c>
      <c r="BI4473" s="744" t="str">
        <f t="shared" si="1545"/>
        <v/>
      </c>
      <c r="BJ4473" s="747" t="str">
        <f t="shared" si="1552"/>
        <v/>
      </c>
      <c r="BK4473" s="498" t="str">
        <f t="shared" si="1546"/>
        <v/>
      </c>
      <c r="BL4473" s="498" t="str">
        <f t="shared" si="1547"/>
        <v/>
      </c>
    </row>
    <row r="4474" spans="1:64" x14ac:dyDescent="0.25">
      <c r="A4474" s="762">
        <f t="shared" si="1548"/>
        <v>4469</v>
      </c>
      <c r="B4474" s="229"/>
      <c r="C4474" s="223"/>
      <c r="D4474" s="224"/>
      <c r="E4474" s="225"/>
      <c r="F4474" s="1036" t="str">
        <f t="shared" si="1554"/>
        <v/>
      </c>
      <c r="G4474" s="1037" t="str">
        <f t="shared" si="1549"/>
        <v/>
      </c>
      <c r="H4474" s="225"/>
      <c r="I4474" s="1013"/>
      <c r="J4474" s="1013"/>
      <c r="K4474" s="1028"/>
      <c r="L4474" s="1035" t="str">
        <f t="shared" si="1553"/>
        <v/>
      </c>
      <c r="S4474" s="498"/>
      <c r="AJ4474" s="498"/>
      <c r="AM4474" s="498">
        <f t="shared" si="1534"/>
        <v>0</v>
      </c>
      <c r="AN4474" s="498">
        <f t="shared" si="1535"/>
        <v>0</v>
      </c>
      <c r="AO4474" s="498">
        <f t="shared" si="1536"/>
        <v>0</v>
      </c>
      <c r="AP4474" s="498">
        <f t="shared" si="1555"/>
        <v>0</v>
      </c>
      <c r="AQ4474" s="498">
        <f t="shared" si="1550"/>
        <v>0</v>
      </c>
      <c r="AU4474" s="498">
        <f t="shared" si="1537"/>
        <v>0</v>
      </c>
      <c r="AV4474" s="498">
        <f t="shared" si="1538"/>
        <v>0</v>
      </c>
      <c r="AW4474" s="498">
        <f t="shared" si="1539"/>
        <v>0</v>
      </c>
      <c r="AX4474" s="498">
        <f t="shared" si="1540"/>
        <v>0</v>
      </c>
      <c r="AY4474" s="498">
        <f t="shared" si="1541"/>
        <v>0</v>
      </c>
      <c r="BB4474" s="498" t="str">
        <f t="shared" si="1542"/>
        <v/>
      </c>
      <c r="BC4474" s="743" t="str">
        <f t="shared" si="1543"/>
        <v/>
      </c>
      <c r="BD4474" s="743" t="str">
        <f t="shared" si="1544"/>
        <v/>
      </c>
      <c r="BE4474" s="743" t="str">
        <f>IF(D4474="","",VLOOKUP(D4474,'General Basis'!$J$39:$K$46,2,0))</f>
        <v/>
      </c>
      <c r="BF4474" s="744" t="str">
        <f>IF(D4474="","",VLOOKUP(D4474,'General Basis'!$J$39:$L$46,3,0))</f>
        <v/>
      </c>
      <c r="BG4474" s="744" t="str">
        <f t="shared" si="1551"/>
        <v/>
      </c>
      <c r="BH4474" s="744" t="str">
        <f>IF(G4474="","",IF(BF4474="Abu Dhabi",IF(G4474&lt;18,'General Basis'!$C$39,IF(G4474&lt;41,'General Basis'!$C$40,IF(G4474&lt;60,'General Basis'!$C$41,IF(G4474&lt;65,'General Basis'!$C$42,'General Basis'!$C$43)))),IF(G4474&lt;11,'General Basis'!$B$39,IF(G4474&lt;18,'General Basis'!$B$40,IF(G4474&lt;26,'General Basis'!$B$41,IF(G4474&lt;31,'General Basis'!$B$42,IF(G4474&lt;36,'General Basis'!$B$43,IF(G4474&lt;41,'General Basis'!$B$44,IF(G4474&lt;46,'General Basis'!$B$45,IF(G4474&lt;51,'General Basis'!$B$46,IF(G4474&lt;56,'General Basis'!$B$47,IF(G4474&lt;60,'General Basis'!$B$48,IF(G4474&lt;65,'General Basis'!$B$49,'General Basis'!$B$50)))))))))))))</f>
        <v/>
      </c>
      <c r="BI4474" s="744" t="str">
        <f t="shared" si="1545"/>
        <v/>
      </c>
      <c r="BJ4474" s="747" t="str">
        <f t="shared" si="1552"/>
        <v/>
      </c>
      <c r="BK4474" s="498" t="str">
        <f t="shared" si="1546"/>
        <v/>
      </c>
      <c r="BL4474" s="498" t="str">
        <f t="shared" si="1547"/>
        <v/>
      </c>
    </row>
    <row r="4475" spans="1:64" x14ac:dyDescent="0.25">
      <c r="A4475" s="762">
        <f t="shared" si="1548"/>
        <v>4470</v>
      </c>
      <c r="B4475" s="229"/>
      <c r="C4475" s="223"/>
      <c r="D4475" s="224"/>
      <c r="E4475" s="225"/>
      <c r="F4475" s="1036" t="str">
        <f t="shared" si="1554"/>
        <v/>
      </c>
      <c r="G4475" s="1037" t="str">
        <f t="shared" si="1549"/>
        <v/>
      </c>
      <c r="H4475" s="225"/>
      <c r="I4475" s="1013"/>
      <c r="J4475" s="1013"/>
      <c r="K4475" s="1028"/>
      <c r="L4475" s="1035" t="str">
        <f t="shared" si="1553"/>
        <v/>
      </c>
      <c r="S4475" s="498"/>
      <c r="AJ4475" s="498"/>
      <c r="AM4475" s="498">
        <f t="shared" si="1534"/>
        <v>0</v>
      </c>
      <c r="AN4475" s="498">
        <f t="shared" si="1535"/>
        <v>0</v>
      </c>
      <c r="AO4475" s="498">
        <f t="shared" si="1536"/>
        <v>0</v>
      </c>
      <c r="AP4475" s="498">
        <f t="shared" si="1555"/>
        <v>0</v>
      </c>
      <c r="AQ4475" s="498">
        <f t="shared" si="1550"/>
        <v>0</v>
      </c>
      <c r="AU4475" s="498">
        <f t="shared" si="1537"/>
        <v>0</v>
      </c>
      <c r="AV4475" s="498">
        <f t="shared" si="1538"/>
        <v>0</v>
      </c>
      <c r="AW4475" s="498">
        <f t="shared" si="1539"/>
        <v>0</v>
      </c>
      <c r="AX4475" s="498">
        <f t="shared" si="1540"/>
        <v>0</v>
      </c>
      <c r="AY4475" s="498">
        <f t="shared" si="1541"/>
        <v>0</v>
      </c>
      <c r="BB4475" s="498" t="str">
        <f t="shared" si="1542"/>
        <v/>
      </c>
      <c r="BC4475" s="743" t="str">
        <f t="shared" si="1543"/>
        <v/>
      </c>
      <c r="BD4475" s="743" t="str">
        <f t="shared" si="1544"/>
        <v/>
      </c>
      <c r="BE4475" s="743" t="str">
        <f>IF(D4475="","",VLOOKUP(D4475,'General Basis'!$J$39:$K$46,2,0))</f>
        <v/>
      </c>
      <c r="BF4475" s="744" t="str">
        <f>IF(D4475="","",VLOOKUP(D4475,'General Basis'!$J$39:$L$46,3,0))</f>
        <v/>
      </c>
      <c r="BG4475" s="744" t="str">
        <f t="shared" si="1551"/>
        <v/>
      </c>
      <c r="BH4475" s="744" t="str">
        <f>IF(G4475="","",IF(BF4475="Abu Dhabi",IF(G4475&lt;18,'General Basis'!$C$39,IF(G4475&lt;41,'General Basis'!$C$40,IF(G4475&lt;60,'General Basis'!$C$41,IF(G4475&lt;65,'General Basis'!$C$42,'General Basis'!$C$43)))),IF(G4475&lt;11,'General Basis'!$B$39,IF(G4475&lt;18,'General Basis'!$B$40,IF(G4475&lt;26,'General Basis'!$B$41,IF(G4475&lt;31,'General Basis'!$B$42,IF(G4475&lt;36,'General Basis'!$B$43,IF(G4475&lt;41,'General Basis'!$B$44,IF(G4475&lt;46,'General Basis'!$B$45,IF(G4475&lt;51,'General Basis'!$B$46,IF(G4475&lt;56,'General Basis'!$B$47,IF(G4475&lt;60,'General Basis'!$B$48,IF(G4475&lt;65,'General Basis'!$B$49,'General Basis'!$B$50)))))))))))))</f>
        <v/>
      </c>
      <c r="BI4475" s="744" t="str">
        <f t="shared" si="1545"/>
        <v/>
      </c>
      <c r="BJ4475" s="747" t="str">
        <f t="shared" si="1552"/>
        <v/>
      </c>
      <c r="BK4475" s="498" t="str">
        <f t="shared" si="1546"/>
        <v/>
      </c>
      <c r="BL4475" s="498" t="str">
        <f t="shared" si="1547"/>
        <v/>
      </c>
    </row>
    <row r="4476" spans="1:64" x14ac:dyDescent="0.25">
      <c r="A4476" s="762">
        <f t="shared" si="1548"/>
        <v>4471</v>
      </c>
      <c r="B4476" s="229"/>
      <c r="C4476" s="223"/>
      <c r="D4476" s="224"/>
      <c r="E4476" s="225"/>
      <c r="F4476" s="1036" t="str">
        <f t="shared" si="1554"/>
        <v/>
      </c>
      <c r="G4476" s="1037" t="str">
        <f t="shared" si="1549"/>
        <v/>
      </c>
      <c r="H4476" s="225"/>
      <c r="I4476" s="1013"/>
      <c r="J4476" s="1013"/>
      <c r="K4476" s="1028"/>
      <c r="L4476" s="1035" t="str">
        <f t="shared" si="1553"/>
        <v/>
      </c>
      <c r="S4476" s="498"/>
      <c r="AJ4476" s="498"/>
      <c r="AM4476" s="498">
        <f t="shared" si="1534"/>
        <v>0</v>
      </c>
      <c r="AN4476" s="498">
        <f t="shared" si="1535"/>
        <v>0</v>
      </c>
      <c r="AO4476" s="498">
        <f t="shared" si="1536"/>
        <v>0</v>
      </c>
      <c r="AP4476" s="498">
        <f t="shared" si="1555"/>
        <v>0</v>
      </c>
      <c r="AQ4476" s="498">
        <f t="shared" si="1550"/>
        <v>0</v>
      </c>
      <c r="AU4476" s="498">
        <f t="shared" si="1537"/>
        <v>0</v>
      </c>
      <c r="AV4476" s="498">
        <f t="shared" si="1538"/>
        <v>0</v>
      </c>
      <c r="AW4476" s="498">
        <f t="shared" si="1539"/>
        <v>0</v>
      </c>
      <c r="AX4476" s="498">
        <f t="shared" si="1540"/>
        <v>0</v>
      </c>
      <c r="AY4476" s="498">
        <f t="shared" si="1541"/>
        <v>0</v>
      </c>
      <c r="BB4476" s="498" t="str">
        <f t="shared" si="1542"/>
        <v/>
      </c>
      <c r="BC4476" s="743" t="str">
        <f t="shared" si="1543"/>
        <v/>
      </c>
      <c r="BD4476" s="743" t="str">
        <f t="shared" si="1544"/>
        <v/>
      </c>
      <c r="BE4476" s="743" t="str">
        <f>IF(D4476="","",VLOOKUP(D4476,'General Basis'!$J$39:$K$46,2,0))</f>
        <v/>
      </c>
      <c r="BF4476" s="744" t="str">
        <f>IF(D4476="","",VLOOKUP(D4476,'General Basis'!$J$39:$L$46,3,0))</f>
        <v/>
      </c>
      <c r="BG4476" s="744" t="str">
        <f t="shared" si="1551"/>
        <v/>
      </c>
      <c r="BH4476" s="744" t="str">
        <f>IF(G4476="","",IF(BF4476="Abu Dhabi",IF(G4476&lt;18,'General Basis'!$C$39,IF(G4476&lt;41,'General Basis'!$C$40,IF(G4476&lt;60,'General Basis'!$C$41,IF(G4476&lt;65,'General Basis'!$C$42,'General Basis'!$C$43)))),IF(G4476&lt;11,'General Basis'!$B$39,IF(G4476&lt;18,'General Basis'!$B$40,IF(G4476&lt;26,'General Basis'!$B$41,IF(G4476&lt;31,'General Basis'!$B$42,IF(G4476&lt;36,'General Basis'!$B$43,IF(G4476&lt;41,'General Basis'!$B$44,IF(G4476&lt;46,'General Basis'!$B$45,IF(G4476&lt;51,'General Basis'!$B$46,IF(G4476&lt;56,'General Basis'!$B$47,IF(G4476&lt;60,'General Basis'!$B$48,IF(G4476&lt;65,'General Basis'!$B$49,'General Basis'!$B$50)))))))))))))</f>
        <v/>
      </c>
      <c r="BI4476" s="744" t="str">
        <f t="shared" si="1545"/>
        <v/>
      </c>
      <c r="BJ4476" s="747" t="str">
        <f t="shared" si="1552"/>
        <v/>
      </c>
      <c r="BK4476" s="498" t="str">
        <f t="shared" si="1546"/>
        <v/>
      </c>
      <c r="BL4476" s="498" t="str">
        <f t="shared" si="1547"/>
        <v/>
      </c>
    </row>
    <row r="4477" spans="1:64" x14ac:dyDescent="0.25">
      <c r="A4477" s="762">
        <f t="shared" si="1548"/>
        <v>4472</v>
      </c>
      <c r="B4477" s="229"/>
      <c r="C4477" s="223"/>
      <c r="D4477" s="224"/>
      <c r="E4477" s="225"/>
      <c r="F4477" s="1036" t="str">
        <f t="shared" si="1554"/>
        <v/>
      </c>
      <c r="G4477" s="1037" t="str">
        <f t="shared" si="1549"/>
        <v/>
      </c>
      <c r="H4477" s="225"/>
      <c r="I4477" s="1013"/>
      <c r="J4477" s="1013"/>
      <c r="K4477" s="1028"/>
      <c r="L4477" s="1035" t="str">
        <f t="shared" si="1553"/>
        <v/>
      </c>
      <c r="S4477" s="498"/>
      <c r="AJ4477" s="498"/>
      <c r="AM4477" s="498">
        <f t="shared" si="1534"/>
        <v>0</v>
      </c>
      <c r="AN4477" s="498">
        <f t="shared" si="1535"/>
        <v>0</v>
      </c>
      <c r="AO4477" s="498">
        <f t="shared" si="1536"/>
        <v>0</v>
      </c>
      <c r="AP4477" s="498">
        <f t="shared" si="1555"/>
        <v>0</v>
      </c>
      <c r="AQ4477" s="498">
        <f t="shared" si="1550"/>
        <v>0</v>
      </c>
      <c r="AU4477" s="498">
        <f t="shared" si="1537"/>
        <v>0</v>
      </c>
      <c r="AV4477" s="498">
        <f t="shared" si="1538"/>
        <v>0</v>
      </c>
      <c r="AW4477" s="498">
        <f t="shared" si="1539"/>
        <v>0</v>
      </c>
      <c r="AX4477" s="498">
        <f t="shared" si="1540"/>
        <v>0</v>
      </c>
      <c r="AY4477" s="498">
        <f t="shared" si="1541"/>
        <v>0</v>
      </c>
      <c r="BB4477" s="498" t="str">
        <f t="shared" si="1542"/>
        <v/>
      </c>
      <c r="BC4477" s="743" t="str">
        <f t="shared" si="1543"/>
        <v/>
      </c>
      <c r="BD4477" s="743" t="str">
        <f t="shared" si="1544"/>
        <v/>
      </c>
      <c r="BE4477" s="743" t="str">
        <f>IF(D4477="","",VLOOKUP(D4477,'General Basis'!$J$39:$K$46,2,0))</f>
        <v/>
      </c>
      <c r="BF4477" s="744" t="str">
        <f>IF(D4477="","",VLOOKUP(D4477,'General Basis'!$J$39:$L$46,3,0))</f>
        <v/>
      </c>
      <c r="BG4477" s="744" t="str">
        <f t="shared" si="1551"/>
        <v/>
      </c>
      <c r="BH4477" s="744" t="str">
        <f>IF(G4477="","",IF(BF4477="Abu Dhabi",IF(G4477&lt;18,'General Basis'!$C$39,IF(G4477&lt;41,'General Basis'!$C$40,IF(G4477&lt;60,'General Basis'!$C$41,IF(G4477&lt;65,'General Basis'!$C$42,'General Basis'!$C$43)))),IF(G4477&lt;11,'General Basis'!$B$39,IF(G4477&lt;18,'General Basis'!$B$40,IF(G4477&lt;26,'General Basis'!$B$41,IF(G4477&lt;31,'General Basis'!$B$42,IF(G4477&lt;36,'General Basis'!$B$43,IF(G4477&lt;41,'General Basis'!$B$44,IF(G4477&lt;46,'General Basis'!$B$45,IF(G4477&lt;51,'General Basis'!$B$46,IF(G4477&lt;56,'General Basis'!$B$47,IF(G4477&lt;60,'General Basis'!$B$48,IF(G4477&lt;65,'General Basis'!$B$49,'General Basis'!$B$50)))))))))))))</f>
        <v/>
      </c>
      <c r="BI4477" s="744" t="str">
        <f t="shared" si="1545"/>
        <v/>
      </c>
      <c r="BJ4477" s="747" t="str">
        <f t="shared" si="1552"/>
        <v/>
      </c>
      <c r="BK4477" s="498" t="str">
        <f t="shared" si="1546"/>
        <v/>
      </c>
      <c r="BL4477" s="498" t="str">
        <f t="shared" si="1547"/>
        <v/>
      </c>
    </row>
    <row r="4478" spans="1:64" x14ac:dyDescent="0.25">
      <c r="A4478" s="762">
        <f t="shared" si="1548"/>
        <v>4473</v>
      </c>
      <c r="B4478" s="229"/>
      <c r="C4478" s="223"/>
      <c r="D4478" s="224"/>
      <c r="E4478" s="225"/>
      <c r="F4478" s="1036" t="str">
        <f t="shared" si="1554"/>
        <v/>
      </c>
      <c r="G4478" s="1037" t="str">
        <f t="shared" si="1549"/>
        <v/>
      </c>
      <c r="H4478" s="225"/>
      <c r="I4478" s="1013"/>
      <c r="J4478" s="1013"/>
      <c r="K4478" s="1028"/>
      <c r="L4478" s="1035" t="str">
        <f t="shared" si="1553"/>
        <v/>
      </c>
      <c r="S4478" s="498"/>
      <c r="AJ4478" s="498"/>
      <c r="AM4478" s="498">
        <f t="shared" si="1534"/>
        <v>0</v>
      </c>
      <c r="AN4478" s="498">
        <f t="shared" si="1535"/>
        <v>0</v>
      </c>
      <c r="AO4478" s="498">
        <f t="shared" si="1536"/>
        <v>0</v>
      </c>
      <c r="AP4478" s="498">
        <f t="shared" si="1555"/>
        <v>0</v>
      </c>
      <c r="AQ4478" s="498">
        <f t="shared" si="1550"/>
        <v>0</v>
      </c>
      <c r="AU4478" s="498">
        <f t="shared" si="1537"/>
        <v>0</v>
      </c>
      <c r="AV4478" s="498">
        <f t="shared" si="1538"/>
        <v>0</v>
      </c>
      <c r="AW4478" s="498">
        <f t="shared" si="1539"/>
        <v>0</v>
      </c>
      <c r="AX4478" s="498">
        <f t="shared" si="1540"/>
        <v>0</v>
      </c>
      <c r="AY4478" s="498">
        <f t="shared" si="1541"/>
        <v>0</v>
      </c>
      <c r="BB4478" s="498" t="str">
        <f t="shared" si="1542"/>
        <v/>
      </c>
      <c r="BC4478" s="743" t="str">
        <f t="shared" si="1543"/>
        <v/>
      </c>
      <c r="BD4478" s="743" t="str">
        <f t="shared" si="1544"/>
        <v/>
      </c>
      <c r="BE4478" s="743" t="str">
        <f>IF(D4478="","",VLOOKUP(D4478,'General Basis'!$J$39:$K$46,2,0))</f>
        <v/>
      </c>
      <c r="BF4478" s="744" t="str">
        <f>IF(D4478="","",VLOOKUP(D4478,'General Basis'!$J$39:$L$46,3,0))</f>
        <v/>
      </c>
      <c r="BG4478" s="744" t="str">
        <f t="shared" si="1551"/>
        <v/>
      </c>
      <c r="BH4478" s="744" t="str">
        <f>IF(G4478="","",IF(BF4478="Abu Dhabi",IF(G4478&lt;18,'General Basis'!$C$39,IF(G4478&lt;41,'General Basis'!$C$40,IF(G4478&lt;60,'General Basis'!$C$41,IF(G4478&lt;65,'General Basis'!$C$42,'General Basis'!$C$43)))),IF(G4478&lt;11,'General Basis'!$B$39,IF(G4478&lt;18,'General Basis'!$B$40,IF(G4478&lt;26,'General Basis'!$B$41,IF(G4478&lt;31,'General Basis'!$B$42,IF(G4478&lt;36,'General Basis'!$B$43,IF(G4478&lt;41,'General Basis'!$B$44,IF(G4478&lt;46,'General Basis'!$B$45,IF(G4478&lt;51,'General Basis'!$B$46,IF(G4478&lt;56,'General Basis'!$B$47,IF(G4478&lt;60,'General Basis'!$B$48,IF(G4478&lt;65,'General Basis'!$B$49,'General Basis'!$B$50)))))))))))))</f>
        <v/>
      </c>
      <c r="BI4478" s="744" t="str">
        <f t="shared" si="1545"/>
        <v/>
      </c>
      <c r="BJ4478" s="747" t="str">
        <f t="shared" si="1552"/>
        <v/>
      </c>
      <c r="BK4478" s="498" t="str">
        <f t="shared" si="1546"/>
        <v/>
      </c>
      <c r="BL4478" s="498" t="str">
        <f t="shared" si="1547"/>
        <v/>
      </c>
    </row>
    <row r="4479" spans="1:64" x14ac:dyDescent="0.25">
      <c r="A4479" s="762">
        <f t="shared" si="1548"/>
        <v>4474</v>
      </c>
      <c r="B4479" s="229"/>
      <c r="C4479" s="223"/>
      <c r="D4479" s="224"/>
      <c r="E4479" s="225"/>
      <c r="F4479" s="1036" t="str">
        <f t="shared" si="1554"/>
        <v/>
      </c>
      <c r="G4479" s="1037" t="str">
        <f t="shared" si="1549"/>
        <v/>
      </c>
      <c r="H4479" s="225"/>
      <c r="I4479" s="1013"/>
      <c r="J4479" s="1013"/>
      <c r="K4479" s="1028"/>
      <c r="L4479" s="1035" t="str">
        <f t="shared" si="1553"/>
        <v/>
      </c>
      <c r="S4479" s="498"/>
      <c r="AJ4479" s="498"/>
      <c r="AM4479" s="498">
        <f t="shared" si="1534"/>
        <v>0</v>
      </c>
      <c r="AN4479" s="498">
        <f t="shared" si="1535"/>
        <v>0</v>
      </c>
      <c r="AO4479" s="498">
        <f t="shared" si="1536"/>
        <v>0</v>
      </c>
      <c r="AP4479" s="498">
        <f t="shared" si="1555"/>
        <v>0</v>
      </c>
      <c r="AQ4479" s="498">
        <f t="shared" si="1550"/>
        <v>0</v>
      </c>
      <c r="AU4479" s="498">
        <f t="shared" si="1537"/>
        <v>0</v>
      </c>
      <c r="AV4479" s="498">
        <f t="shared" si="1538"/>
        <v>0</v>
      </c>
      <c r="AW4479" s="498">
        <f t="shared" si="1539"/>
        <v>0</v>
      </c>
      <c r="AX4479" s="498">
        <f t="shared" si="1540"/>
        <v>0</v>
      </c>
      <c r="AY4479" s="498">
        <f t="shared" si="1541"/>
        <v>0</v>
      </c>
      <c r="BB4479" s="498" t="str">
        <f t="shared" si="1542"/>
        <v/>
      </c>
      <c r="BC4479" s="743" t="str">
        <f t="shared" si="1543"/>
        <v/>
      </c>
      <c r="BD4479" s="743" t="str">
        <f t="shared" si="1544"/>
        <v/>
      </c>
      <c r="BE4479" s="743" t="str">
        <f>IF(D4479="","",VLOOKUP(D4479,'General Basis'!$J$39:$K$46,2,0))</f>
        <v/>
      </c>
      <c r="BF4479" s="744" t="str">
        <f>IF(D4479="","",VLOOKUP(D4479,'General Basis'!$J$39:$L$46,3,0))</f>
        <v/>
      </c>
      <c r="BG4479" s="744" t="str">
        <f t="shared" si="1551"/>
        <v/>
      </c>
      <c r="BH4479" s="744" t="str">
        <f>IF(G4479="","",IF(BF4479="Abu Dhabi",IF(G4479&lt;18,'General Basis'!$C$39,IF(G4479&lt;41,'General Basis'!$C$40,IF(G4479&lt;60,'General Basis'!$C$41,IF(G4479&lt;65,'General Basis'!$C$42,'General Basis'!$C$43)))),IF(G4479&lt;11,'General Basis'!$B$39,IF(G4479&lt;18,'General Basis'!$B$40,IF(G4479&lt;26,'General Basis'!$B$41,IF(G4479&lt;31,'General Basis'!$B$42,IF(G4479&lt;36,'General Basis'!$B$43,IF(G4479&lt;41,'General Basis'!$B$44,IF(G4479&lt;46,'General Basis'!$B$45,IF(G4479&lt;51,'General Basis'!$B$46,IF(G4479&lt;56,'General Basis'!$B$47,IF(G4479&lt;60,'General Basis'!$B$48,IF(G4479&lt;65,'General Basis'!$B$49,'General Basis'!$B$50)))))))))))))</f>
        <v/>
      </c>
      <c r="BI4479" s="744" t="str">
        <f t="shared" si="1545"/>
        <v/>
      </c>
      <c r="BJ4479" s="747" t="str">
        <f t="shared" si="1552"/>
        <v/>
      </c>
      <c r="BK4479" s="498" t="str">
        <f t="shared" si="1546"/>
        <v/>
      </c>
      <c r="BL4479" s="498" t="str">
        <f t="shared" si="1547"/>
        <v/>
      </c>
    </row>
    <row r="4480" spans="1:64" x14ac:dyDescent="0.25">
      <c r="A4480" s="762">
        <f t="shared" si="1548"/>
        <v>4475</v>
      </c>
      <c r="B4480" s="229"/>
      <c r="C4480" s="223"/>
      <c r="D4480" s="224"/>
      <c r="E4480" s="225"/>
      <c r="F4480" s="1036" t="str">
        <f t="shared" si="1554"/>
        <v/>
      </c>
      <c r="G4480" s="1037" t="str">
        <f t="shared" si="1549"/>
        <v/>
      </c>
      <c r="H4480" s="225"/>
      <c r="I4480" s="1013"/>
      <c r="J4480" s="1013"/>
      <c r="K4480" s="1028"/>
      <c r="L4480" s="1035" t="str">
        <f t="shared" si="1553"/>
        <v/>
      </c>
      <c r="S4480" s="498"/>
      <c r="AJ4480" s="498"/>
      <c r="AM4480" s="498">
        <f t="shared" si="1534"/>
        <v>0</v>
      </c>
      <c r="AN4480" s="498">
        <f t="shared" si="1535"/>
        <v>0</v>
      </c>
      <c r="AO4480" s="498">
        <f t="shared" si="1536"/>
        <v>0</v>
      </c>
      <c r="AP4480" s="498">
        <f t="shared" si="1555"/>
        <v>0</v>
      </c>
      <c r="AQ4480" s="498">
        <f t="shared" si="1550"/>
        <v>0</v>
      </c>
      <c r="AU4480" s="498">
        <f t="shared" si="1537"/>
        <v>0</v>
      </c>
      <c r="AV4480" s="498">
        <f t="shared" si="1538"/>
        <v>0</v>
      </c>
      <c r="AW4480" s="498">
        <f t="shared" si="1539"/>
        <v>0</v>
      </c>
      <c r="AX4480" s="498">
        <f t="shared" si="1540"/>
        <v>0</v>
      </c>
      <c r="AY4480" s="498">
        <f t="shared" si="1541"/>
        <v>0</v>
      </c>
      <c r="BB4480" s="498" t="str">
        <f t="shared" si="1542"/>
        <v/>
      </c>
      <c r="BC4480" s="743" t="str">
        <f t="shared" si="1543"/>
        <v/>
      </c>
      <c r="BD4480" s="743" t="str">
        <f t="shared" si="1544"/>
        <v/>
      </c>
      <c r="BE4480" s="743" t="str">
        <f>IF(D4480="","",VLOOKUP(D4480,'General Basis'!$J$39:$K$46,2,0))</f>
        <v/>
      </c>
      <c r="BF4480" s="744" t="str">
        <f>IF(D4480="","",VLOOKUP(D4480,'General Basis'!$J$39:$L$46,3,0))</f>
        <v/>
      </c>
      <c r="BG4480" s="744" t="str">
        <f t="shared" si="1551"/>
        <v/>
      </c>
      <c r="BH4480" s="744" t="str">
        <f>IF(G4480="","",IF(BF4480="Abu Dhabi",IF(G4480&lt;18,'General Basis'!$C$39,IF(G4480&lt;41,'General Basis'!$C$40,IF(G4480&lt;60,'General Basis'!$C$41,IF(G4480&lt;65,'General Basis'!$C$42,'General Basis'!$C$43)))),IF(G4480&lt;11,'General Basis'!$B$39,IF(G4480&lt;18,'General Basis'!$B$40,IF(G4480&lt;26,'General Basis'!$B$41,IF(G4480&lt;31,'General Basis'!$B$42,IF(G4480&lt;36,'General Basis'!$B$43,IF(G4480&lt;41,'General Basis'!$B$44,IF(G4480&lt;46,'General Basis'!$B$45,IF(G4480&lt;51,'General Basis'!$B$46,IF(G4480&lt;56,'General Basis'!$B$47,IF(G4480&lt;60,'General Basis'!$B$48,IF(G4480&lt;65,'General Basis'!$B$49,'General Basis'!$B$50)))))))))))))</f>
        <v/>
      </c>
      <c r="BI4480" s="744" t="str">
        <f t="shared" si="1545"/>
        <v/>
      </c>
      <c r="BJ4480" s="747" t="str">
        <f t="shared" si="1552"/>
        <v/>
      </c>
      <c r="BK4480" s="498" t="str">
        <f t="shared" si="1546"/>
        <v/>
      </c>
      <c r="BL4480" s="498" t="str">
        <f t="shared" si="1547"/>
        <v/>
      </c>
    </row>
    <row r="4481" spans="1:64" x14ac:dyDescent="0.25">
      <c r="A4481" s="762">
        <f t="shared" si="1548"/>
        <v>4476</v>
      </c>
      <c r="B4481" s="229"/>
      <c r="C4481" s="223"/>
      <c r="D4481" s="224"/>
      <c r="E4481" s="225"/>
      <c r="F4481" s="1036" t="str">
        <f t="shared" si="1554"/>
        <v/>
      </c>
      <c r="G4481" s="1037" t="str">
        <f t="shared" si="1549"/>
        <v/>
      </c>
      <c r="H4481" s="225"/>
      <c r="I4481" s="1013"/>
      <c r="J4481" s="1013"/>
      <c r="K4481" s="1028"/>
      <c r="L4481" s="1035" t="str">
        <f t="shared" si="1553"/>
        <v/>
      </c>
      <c r="S4481" s="498"/>
      <c r="AJ4481" s="498"/>
      <c r="AM4481" s="498">
        <f t="shared" si="1534"/>
        <v>0</v>
      </c>
      <c r="AN4481" s="498">
        <f t="shared" si="1535"/>
        <v>0</v>
      </c>
      <c r="AO4481" s="498">
        <f t="shared" si="1536"/>
        <v>0</v>
      </c>
      <c r="AP4481" s="498">
        <f t="shared" si="1555"/>
        <v>0</v>
      </c>
      <c r="AQ4481" s="498">
        <f t="shared" si="1550"/>
        <v>0</v>
      </c>
      <c r="AU4481" s="498">
        <f t="shared" si="1537"/>
        <v>0</v>
      </c>
      <c r="AV4481" s="498">
        <f t="shared" si="1538"/>
        <v>0</v>
      </c>
      <c r="AW4481" s="498">
        <f t="shared" si="1539"/>
        <v>0</v>
      </c>
      <c r="AX4481" s="498">
        <f t="shared" si="1540"/>
        <v>0</v>
      </c>
      <c r="AY4481" s="498">
        <f t="shared" si="1541"/>
        <v>0</v>
      </c>
      <c r="BB4481" s="498" t="str">
        <f t="shared" si="1542"/>
        <v/>
      </c>
      <c r="BC4481" s="743" t="str">
        <f t="shared" si="1543"/>
        <v/>
      </c>
      <c r="BD4481" s="743" t="str">
        <f t="shared" si="1544"/>
        <v/>
      </c>
      <c r="BE4481" s="743" t="str">
        <f>IF(D4481="","",VLOOKUP(D4481,'General Basis'!$J$39:$K$46,2,0))</f>
        <v/>
      </c>
      <c r="BF4481" s="744" t="str">
        <f>IF(D4481="","",VLOOKUP(D4481,'General Basis'!$J$39:$L$46,3,0))</f>
        <v/>
      </c>
      <c r="BG4481" s="744" t="str">
        <f t="shared" si="1551"/>
        <v/>
      </c>
      <c r="BH4481" s="744" t="str">
        <f>IF(G4481="","",IF(BF4481="Abu Dhabi",IF(G4481&lt;18,'General Basis'!$C$39,IF(G4481&lt;41,'General Basis'!$C$40,IF(G4481&lt;60,'General Basis'!$C$41,IF(G4481&lt;65,'General Basis'!$C$42,'General Basis'!$C$43)))),IF(G4481&lt;11,'General Basis'!$B$39,IF(G4481&lt;18,'General Basis'!$B$40,IF(G4481&lt;26,'General Basis'!$B$41,IF(G4481&lt;31,'General Basis'!$B$42,IF(G4481&lt;36,'General Basis'!$B$43,IF(G4481&lt;41,'General Basis'!$B$44,IF(G4481&lt;46,'General Basis'!$B$45,IF(G4481&lt;51,'General Basis'!$B$46,IF(G4481&lt;56,'General Basis'!$B$47,IF(G4481&lt;60,'General Basis'!$B$48,IF(G4481&lt;65,'General Basis'!$B$49,'General Basis'!$B$50)))))))))))))</f>
        <v/>
      </c>
      <c r="BI4481" s="744" t="str">
        <f t="shared" si="1545"/>
        <v/>
      </c>
      <c r="BJ4481" s="747" t="str">
        <f t="shared" si="1552"/>
        <v/>
      </c>
      <c r="BK4481" s="498" t="str">
        <f t="shared" si="1546"/>
        <v/>
      </c>
      <c r="BL4481" s="498" t="str">
        <f t="shared" si="1547"/>
        <v/>
      </c>
    </row>
    <row r="4482" spans="1:64" x14ac:dyDescent="0.25">
      <c r="A4482" s="762">
        <f t="shared" si="1548"/>
        <v>4477</v>
      </c>
      <c r="B4482" s="229"/>
      <c r="C4482" s="223"/>
      <c r="D4482" s="224"/>
      <c r="E4482" s="225"/>
      <c r="F4482" s="1036" t="str">
        <f t="shared" si="1554"/>
        <v/>
      </c>
      <c r="G4482" s="1037" t="str">
        <f t="shared" si="1549"/>
        <v/>
      </c>
      <c r="H4482" s="225"/>
      <c r="I4482" s="1013"/>
      <c r="J4482" s="1013"/>
      <c r="K4482" s="1028"/>
      <c r="L4482" s="1035" t="str">
        <f t="shared" si="1553"/>
        <v/>
      </c>
      <c r="S4482" s="498"/>
      <c r="AJ4482" s="498"/>
      <c r="AM4482" s="498">
        <f t="shared" si="1534"/>
        <v>0</v>
      </c>
      <c r="AN4482" s="498">
        <f t="shared" si="1535"/>
        <v>0</v>
      </c>
      <c r="AO4482" s="498">
        <f t="shared" si="1536"/>
        <v>0</v>
      </c>
      <c r="AP4482" s="498">
        <f t="shared" si="1555"/>
        <v>0</v>
      </c>
      <c r="AQ4482" s="498">
        <f t="shared" si="1550"/>
        <v>0</v>
      </c>
      <c r="AU4482" s="498">
        <f t="shared" si="1537"/>
        <v>0</v>
      </c>
      <c r="AV4482" s="498">
        <f t="shared" si="1538"/>
        <v>0</v>
      </c>
      <c r="AW4482" s="498">
        <f t="shared" si="1539"/>
        <v>0</v>
      </c>
      <c r="AX4482" s="498">
        <f t="shared" si="1540"/>
        <v>0</v>
      </c>
      <c r="AY4482" s="498">
        <f t="shared" si="1541"/>
        <v>0</v>
      </c>
      <c r="BB4482" s="498" t="str">
        <f t="shared" si="1542"/>
        <v/>
      </c>
      <c r="BC4482" s="743" t="str">
        <f t="shared" si="1543"/>
        <v/>
      </c>
      <c r="BD4482" s="743" t="str">
        <f t="shared" si="1544"/>
        <v/>
      </c>
      <c r="BE4482" s="743" t="str">
        <f>IF(D4482="","",VLOOKUP(D4482,'General Basis'!$J$39:$K$46,2,0))</f>
        <v/>
      </c>
      <c r="BF4482" s="744" t="str">
        <f>IF(D4482="","",VLOOKUP(D4482,'General Basis'!$J$39:$L$46,3,0))</f>
        <v/>
      </c>
      <c r="BG4482" s="744" t="str">
        <f t="shared" si="1551"/>
        <v/>
      </c>
      <c r="BH4482" s="744" t="str">
        <f>IF(G4482="","",IF(BF4482="Abu Dhabi",IF(G4482&lt;18,'General Basis'!$C$39,IF(G4482&lt;41,'General Basis'!$C$40,IF(G4482&lt;60,'General Basis'!$C$41,IF(G4482&lt;65,'General Basis'!$C$42,'General Basis'!$C$43)))),IF(G4482&lt;11,'General Basis'!$B$39,IF(G4482&lt;18,'General Basis'!$B$40,IF(G4482&lt;26,'General Basis'!$B$41,IF(G4482&lt;31,'General Basis'!$B$42,IF(G4482&lt;36,'General Basis'!$B$43,IF(G4482&lt;41,'General Basis'!$B$44,IF(G4482&lt;46,'General Basis'!$B$45,IF(G4482&lt;51,'General Basis'!$B$46,IF(G4482&lt;56,'General Basis'!$B$47,IF(G4482&lt;60,'General Basis'!$B$48,IF(G4482&lt;65,'General Basis'!$B$49,'General Basis'!$B$50)))))))))))))</f>
        <v/>
      </c>
      <c r="BI4482" s="744" t="str">
        <f t="shared" si="1545"/>
        <v/>
      </c>
      <c r="BJ4482" s="747" t="str">
        <f t="shared" si="1552"/>
        <v/>
      </c>
      <c r="BK4482" s="498" t="str">
        <f t="shared" si="1546"/>
        <v/>
      </c>
      <c r="BL4482" s="498" t="str">
        <f t="shared" si="1547"/>
        <v/>
      </c>
    </row>
    <row r="4483" spans="1:64" x14ac:dyDescent="0.25">
      <c r="A4483" s="762">
        <f t="shared" si="1548"/>
        <v>4478</v>
      </c>
      <c r="B4483" s="229"/>
      <c r="C4483" s="223"/>
      <c r="D4483" s="224"/>
      <c r="E4483" s="225"/>
      <c r="F4483" s="1036" t="str">
        <f t="shared" si="1554"/>
        <v/>
      </c>
      <c r="G4483" s="1037" t="str">
        <f t="shared" si="1549"/>
        <v/>
      </c>
      <c r="H4483" s="225"/>
      <c r="I4483" s="1013"/>
      <c r="J4483" s="1013"/>
      <c r="K4483" s="1028"/>
      <c r="L4483" s="1035" t="str">
        <f t="shared" si="1553"/>
        <v/>
      </c>
      <c r="S4483" s="498"/>
      <c r="AJ4483" s="498"/>
      <c r="AM4483" s="498">
        <f t="shared" si="1534"/>
        <v>0</v>
      </c>
      <c r="AN4483" s="498">
        <f t="shared" si="1535"/>
        <v>0</v>
      </c>
      <c r="AO4483" s="498">
        <f t="shared" si="1536"/>
        <v>0</v>
      </c>
      <c r="AP4483" s="498">
        <f t="shared" si="1555"/>
        <v>0</v>
      </c>
      <c r="AQ4483" s="498">
        <f t="shared" si="1550"/>
        <v>0</v>
      </c>
      <c r="AU4483" s="498">
        <f t="shared" si="1537"/>
        <v>0</v>
      </c>
      <c r="AV4483" s="498">
        <f t="shared" si="1538"/>
        <v>0</v>
      </c>
      <c r="AW4483" s="498">
        <f t="shared" si="1539"/>
        <v>0</v>
      </c>
      <c r="AX4483" s="498">
        <f t="shared" si="1540"/>
        <v>0</v>
      </c>
      <c r="AY4483" s="498">
        <f t="shared" si="1541"/>
        <v>0</v>
      </c>
      <c r="BB4483" s="498" t="str">
        <f t="shared" si="1542"/>
        <v/>
      </c>
      <c r="BC4483" s="743" t="str">
        <f t="shared" si="1543"/>
        <v/>
      </c>
      <c r="BD4483" s="743" t="str">
        <f t="shared" si="1544"/>
        <v/>
      </c>
      <c r="BE4483" s="743" t="str">
        <f>IF(D4483="","",VLOOKUP(D4483,'General Basis'!$J$39:$K$46,2,0))</f>
        <v/>
      </c>
      <c r="BF4483" s="744" t="str">
        <f>IF(D4483="","",VLOOKUP(D4483,'General Basis'!$J$39:$L$46,3,0))</f>
        <v/>
      </c>
      <c r="BG4483" s="744" t="str">
        <f t="shared" si="1551"/>
        <v/>
      </c>
      <c r="BH4483" s="744" t="str">
        <f>IF(G4483="","",IF(BF4483="Abu Dhabi",IF(G4483&lt;18,'General Basis'!$C$39,IF(G4483&lt;41,'General Basis'!$C$40,IF(G4483&lt;60,'General Basis'!$C$41,IF(G4483&lt;65,'General Basis'!$C$42,'General Basis'!$C$43)))),IF(G4483&lt;11,'General Basis'!$B$39,IF(G4483&lt;18,'General Basis'!$B$40,IF(G4483&lt;26,'General Basis'!$B$41,IF(G4483&lt;31,'General Basis'!$B$42,IF(G4483&lt;36,'General Basis'!$B$43,IF(G4483&lt;41,'General Basis'!$B$44,IF(G4483&lt;46,'General Basis'!$B$45,IF(G4483&lt;51,'General Basis'!$B$46,IF(G4483&lt;56,'General Basis'!$B$47,IF(G4483&lt;60,'General Basis'!$B$48,IF(G4483&lt;65,'General Basis'!$B$49,'General Basis'!$B$50)))))))))))))</f>
        <v/>
      </c>
      <c r="BI4483" s="744" t="str">
        <f t="shared" si="1545"/>
        <v/>
      </c>
      <c r="BJ4483" s="747" t="str">
        <f t="shared" si="1552"/>
        <v/>
      </c>
      <c r="BK4483" s="498" t="str">
        <f t="shared" si="1546"/>
        <v/>
      </c>
      <c r="BL4483" s="498" t="str">
        <f t="shared" si="1547"/>
        <v/>
      </c>
    </row>
    <row r="4484" spans="1:64" x14ac:dyDescent="0.25">
      <c r="A4484" s="762">
        <f t="shared" si="1548"/>
        <v>4479</v>
      </c>
      <c r="B4484" s="229"/>
      <c r="C4484" s="223"/>
      <c r="D4484" s="224"/>
      <c r="E4484" s="225"/>
      <c r="F4484" s="1036" t="str">
        <f t="shared" si="1554"/>
        <v/>
      </c>
      <c r="G4484" s="1037" t="str">
        <f t="shared" si="1549"/>
        <v/>
      </c>
      <c r="H4484" s="225"/>
      <c r="I4484" s="1013"/>
      <c r="J4484" s="1013"/>
      <c r="K4484" s="1028"/>
      <c r="L4484" s="1035" t="str">
        <f t="shared" si="1553"/>
        <v/>
      </c>
      <c r="S4484" s="498"/>
      <c r="AJ4484" s="498"/>
      <c r="AM4484" s="498">
        <f t="shared" si="1534"/>
        <v>0</v>
      </c>
      <c r="AN4484" s="498">
        <f t="shared" si="1535"/>
        <v>0</v>
      </c>
      <c r="AO4484" s="498">
        <f t="shared" si="1536"/>
        <v>0</v>
      </c>
      <c r="AP4484" s="498">
        <f t="shared" si="1555"/>
        <v>0</v>
      </c>
      <c r="AQ4484" s="498">
        <f t="shared" si="1550"/>
        <v>0</v>
      </c>
      <c r="AU4484" s="498">
        <f t="shared" si="1537"/>
        <v>0</v>
      </c>
      <c r="AV4484" s="498">
        <f t="shared" si="1538"/>
        <v>0</v>
      </c>
      <c r="AW4484" s="498">
        <f t="shared" si="1539"/>
        <v>0</v>
      </c>
      <c r="AX4484" s="498">
        <f t="shared" si="1540"/>
        <v>0</v>
      </c>
      <c r="AY4484" s="498">
        <f t="shared" si="1541"/>
        <v>0</v>
      </c>
      <c r="BB4484" s="498" t="str">
        <f t="shared" si="1542"/>
        <v/>
      </c>
      <c r="BC4484" s="743" t="str">
        <f t="shared" si="1543"/>
        <v/>
      </c>
      <c r="BD4484" s="743" t="str">
        <f t="shared" si="1544"/>
        <v/>
      </c>
      <c r="BE4484" s="743" t="str">
        <f>IF(D4484="","",VLOOKUP(D4484,'General Basis'!$J$39:$K$46,2,0))</f>
        <v/>
      </c>
      <c r="BF4484" s="744" t="str">
        <f>IF(D4484="","",VLOOKUP(D4484,'General Basis'!$J$39:$L$46,3,0))</f>
        <v/>
      </c>
      <c r="BG4484" s="744" t="str">
        <f t="shared" si="1551"/>
        <v/>
      </c>
      <c r="BH4484" s="744" t="str">
        <f>IF(G4484="","",IF(BF4484="Abu Dhabi",IF(G4484&lt;18,'General Basis'!$C$39,IF(G4484&lt;41,'General Basis'!$C$40,IF(G4484&lt;60,'General Basis'!$C$41,IF(G4484&lt;65,'General Basis'!$C$42,'General Basis'!$C$43)))),IF(G4484&lt;11,'General Basis'!$B$39,IF(G4484&lt;18,'General Basis'!$B$40,IF(G4484&lt;26,'General Basis'!$B$41,IF(G4484&lt;31,'General Basis'!$B$42,IF(G4484&lt;36,'General Basis'!$B$43,IF(G4484&lt;41,'General Basis'!$B$44,IF(G4484&lt;46,'General Basis'!$B$45,IF(G4484&lt;51,'General Basis'!$B$46,IF(G4484&lt;56,'General Basis'!$B$47,IF(G4484&lt;60,'General Basis'!$B$48,IF(G4484&lt;65,'General Basis'!$B$49,'General Basis'!$B$50)))))))))))))</f>
        <v/>
      </c>
      <c r="BI4484" s="744" t="str">
        <f t="shared" si="1545"/>
        <v/>
      </c>
      <c r="BJ4484" s="747" t="str">
        <f t="shared" si="1552"/>
        <v/>
      </c>
      <c r="BK4484" s="498" t="str">
        <f t="shared" si="1546"/>
        <v/>
      </c>
      <c r="BL4484" s="498" t="str">
        <f t="shared" si="1547"/>
        <v/>
      </c>
    </row>
    <row r="4485" spans="1:64" x14ac:dyDescent="0.25">
      <c r="A4485" s="762">
        <f t="shared" si="1548"/>
        <v>4480</v>
      </c>
      <c r="B4485" s="229"/>
      <c r="C4485" s="223"/>
      <c r="D4485" s="224"/>
      <c r="E4485" s="225"/>
      <c r="F4485" s="1036" t="str">
        <f t="shared" si="1554"/>
        <v/>
      </c>
      <c r="G4485" s="1037" t="str">
        <f t="shared" si="1549"/>
        <v/>
      </c>
      <c r="H4485" s="225"/>
      <c r="I4485" s="1013"/>
      <c r="J4485" s="1013"/>
      <c r="K4485" s="1028"/>
      <c r="L4485" s="1035" t="str">
        <f t="shared" si="1553"/>
        <v/>
      </c>
      <c r="S4485" s="498"/>
      <c r="AJ4485" s="498"/>
      <c r="AM4485" s="498">
        <f t="shared" si="1534"/>
        <v>0</v>
      </c>
      <c r="AN4485" s="498">
        <f t="shared" si="1535"/>
        <v>0</v>
      </c>
      <c r="AO4485" s="498">
        <f t="shared" si="1536"/>
        <v>0</v>
      </c>
      <c r="AP4485" s="498">
        <f t="shared" si="1555"/>
        <v>0</v>
      </c>
      <c r="AQ4485" s="498">
        <f t="shared" si="1550"/>
        <v>0</v>
      </c>
      <c r="AU4485" s="498">
        <f t="shared" si="1537"/>
        <v>0</v>
      </c>
      <c r="AV4485" s="498">
        <f t="shared" si="1538"/>
        <v>0</v>
      </c>
      <c r="AW4485" s="498">
        <f t="shared" si="1539"/>
        <v>0</v>
      </c>
      <c r="AX4485" s="498">
        <f t="shared" si="1540"/>
        <v>0</v>
      </c>
      <c r="AY4485" s="498">
        <f t="shared" si="1541"/>
        <v>0</v>
      </c>
      <c r="BB4485" s="498" t="str">
        <f t="shared" si="1542"/>
        <v/>
      </c>
      <c r="BC4485" s="743" t="str">
        <f t="shared" si="1543"/>
        <v/>
      </c>
      <c r="BD4485" s="743" t="str">
        <f t="shared" si="1544"/>
        <v/>
      </c>
      <c r="BE4485" s="743" t="str">
        <f>IF(D4485="","",VLOOKUP(D4485,'General Basis'!$J$39:$K$46,2,0))</f>
        <v/>
      </c>
      <c r="BF4485" s="744" t="str">
        <f>IF(D4485="","",VLOOKUP(D4485,'General Basis'!$J$39:$L$46,3,0))</f>
        <v/>
      </c>
      <c r="BG4485" s="744" t="str">
        <f t="shared" si="1551"/>
        <v/>
      </c>
      <c r="BH4485" s="744" t="str">
        <f>IF(G4485="","",IF(BF4485="Abu Dhabi",IF(G4485&lt;18,'General Basis'!$C$39,IF(G4485&lt;41,'General Basis'!$C$40,IF(G4485&lt;60,'General Basis'!$C$41,IF(G4485&lt;65,'General Basis'!$C$42,'General Basis'!$C$43)))),IF(G4485&lt;11,'General Basis'!$B$39,IF(G4485&lt;18,'General Basis'!$B$40,IF(G4485&lt;26,'General Basis'!$B$41,IF(G4485&lt;31,'General Basis'!$B$42,IF(G4485&lt;36,'General Basis'!$B$43,IF(G4485&lt;41,'General Basis'!$B$44,IF(G4485&lt;46,'General Basis'!$B$45,IF(G4485&lt;51,'General Basis'!$B$46,IF(G4485&lt;56,'General Basis'!$B$47,IF(G4485&lt;60,'General Basis'!$B$48,IF(G4485&lt;65,'General Basis'!$B$49,'General Basis'!$B$50)))))))))))))</f>
        <v/>
      </c>
      <c r="BI4485" s="744" t="str">
        <f t="shared" si="1545"/>
        <v/>
      </c>
      <c r="BJ4485" s="747" t="str">
        <f t="shared" si="1552"/>
        <v/>
      </c>
      <c r="BK4485" s="498" t="str">
        <f t="shared" si="1546"/>
        <v/>
      </c>
      <c r="BL4485" s="498" t="str">
        <f t="shared" si="1547"/>
        <v/>
      </c>
    </row>
    <row r="4486" spans="1:64" x14ac:dyDescent="0.25">
      <c r="A4486" s="762">
        <f t="shared" si="1548"/>
        <v>4481</v>
      </c>
      <c r="B4486" s="229"/>
      <c r="C4486" s="223"/>
      <c r="D4486" s="224"/>
      <c r="E4486" s="225"/>
      <c r="F4486" s="1036" t="str">
        <f t="shared" si="1554"/>
        <v/>
      </c>
      <c r="G4486" s="1037" t="str">
        <f t="shared" si="1549"/>
        <v/>
      </c>
      <c r="H4486" s="225"/>
      <c r="I4486" s="1013"/>
      <c r="J4486" s="1013"/>
      <c r="K4486" s="1028"/>
      <c r="L4486" s="1035" t="str">
        <f t="shared" si="1553"/>
        <v/>
      </c>
      <c r="S4486" s="498"/>
      <c r="AJ4486" s="498"/>
      <c r="AM4486" s="498">
        <f t="shared" ref="AM4486:AM4549" si="1556">IF(ISTEXT(B4486),1,0)</f>
        <v>0</v>
      </c>
      <c r="AN4486" s="498">
        <f t="shared" ref="AN4486:AN4549" si="1557">IF(ISBLANK(B4486),0,IF(B4486&lt;$AK$6,1,0))</f>
        <v>0</v>
      </c>
      <c r="AO4486" s="498">
        <f t="shared" ref="AO4486:AO4549" si="1558">IF(ISBLANK(B4486),0,IF(B4486&gt;$AK$7,1,0))</f>
        <v>0</v>
      </c>
      <c r="AP4486" s="498">
        <f t="shared" si="1555"/>
        <v>0</v>
      </c>
      <c r="AQ4486" s="498">
        <f t="shared" si="1550"/>
        <v>0</v>
      </c>
      <c r="AU4486" s="498">
        <f t="shared" ref="AU4486:AU4549" si="1559">IF(ISBLANK(B4486),0,1)</f>
        <v>0</v>
      </c>
      <c r="AV4486" s="498">
        <f t="shared" ref="AV4486:AV4549" si="1560">IF(ISBLANK(C4486),0,1)</f>
        <v>0</v>
      </c>
      <c r="AW4486" s="498">
        <f t="shared" ref="AW4486:AW4549" si="1561">IF(ISBLANK(D4486),0,1)</f>
        <v>0</v>
      </c>
      <c r="AX4486" s="498">
        <f t="shared" ref="AX4486:AX4549" si="1562">IF(ISBLANK(E4486),0,1)</f>
        <v>0</v>
      </c>
      <c r="AY4486" s="498">
        <f t="shared" ref="AY4486:AY4549" si="1563">IF(ISBLANK(H4486),0,1)</f>
        <v>0</v>
      </c>
      <c r="BB4486" s="498" t="str">
        <f t="shared" ref="BB4486:BB4549" si="1564">IF(E4486="Principal","Principal",IF(E4486="","","Other"))</f>
        <v/>
      </c>
      <c r="BC4486" s="743" t="str">
        <f t="shared" ref="BC4486:BC4549" si="1565">IF(D4486="","",D4486)</f>
        <v/>
      </c>
      <c r="BD4486" s="743" t="str">
        <f t="shared" ref="BD4486:BD4549" si="1566">IF(E4486="Principal","Employee",IF(E4486="","","Dependent"))</f>
        <v/>
      </c>
      <c r="BE4486" s="743" t="str">
        <f>IF(D4486="","",VLOOKUP(D4486,'General Basis'!$J$39:$K$46,2,0))</f>
        <v/>
      </c>
      <c r="BF4486" s="744" t="str">
        <f>IF(D4486="","",VLOOKUP(D4486,'General Basis'!$J$39:$L$46,3,0))</f>
        <v/>
      </c>
      <c r="BG4486" s="744" t="str">
        <f t="shared" si="1551"/>
        <v/>
      </c>
      <c r="BH4486" s="744" t="str">
        <f>IF(G4486="","",IF(BF4486="Abu Dhabi",IF(G4486&lt;18,'General Basis'!$C$39,IF(G4486&lt;41,'General Basis'!$C$40,IF(G4486&lt;60,'General Basis'!$C$41,IF(G4486&lt;65,'General Basis'!$C$42,'General Basis'!$C$43)))),IF(G4486&lt;11,'General Basis'!$B$39,IF(G4486&lt;18,'General Basis'!$B$40,IF(G4486&lt;26,'General Basis'!$B$41,IF(G4486&lt;31,'General Basis'!$B$42,IF(G4486&lt;36,'General Basis'!$B$43,IF(G4486&lt;41,'General Basis'!$B$44,IF(G4486&lt;46,'General Basis'!$B$45,IF(G4486&lt;51,'General Basis'!$B$46,IF(G4486&lt;56,'General Basis'!$B$47,IF(G4486&lt;60,'General Basis'!$B$48,IF(G4486&lt;65,'General Basis'!$B$49,'General Basis'!$B$50)))))))))))))</f>
        <v/>
      </c>
      <c r="BI4486" s="744" t="str">
        <f t="shared" ref="BI4486:BI4549" si="1567">IF(C4486="","",IF(C4486="M","Male","Female"))</f>
        <v/>
      </c>
      <c r="BJ4486" s="747" t="str">
        <f t="shared" si="1552"/>
        <v/>
      </c>
      <c r="BK4486" s="498" t="str">
        <f t="shared" ref="BK4486:BK4549" si="1568">IF(BD4486="","",IF(AND(BD4486="Employee",BI4486="Male",BF4486="Abu Dhabi",BE4486=GN_Plus),VLOOKUP(BH4486,AUH_MALE_EMP,2,0),IF(AND(BD4486="Employee",BI4486="Male",BF4486="Abu Dhabi",BE4486=GN),VLOOKUP(BH4486,AUH_MALE_EMP,3,0),IF(AND(BD4486="Employee",BI4486="Male",BF4486="Abu Dhabi",BE4486=RN_Plus),VLOOKUP(BH4486,AUH_MALE_EMP,4,0),IF(AND(BD4486="Employee",BI4486="Male",BF4486="Abu Dhabi",BE4486=RN),VLOOKUP(BH4486,AUH_MALE_EMP,5,0),IF(AND(BD4486="Employee",BI4486="Male",BF4486="Abu Dhabi",BE4486=RN_2),VLOOKUP(BH4486,AUH_MALE_EMP,6,0),IF(AND(BD4486="Employee",BI4486="Male",BF4486="Abu Dhabi",BE4486=RN2_minus),VLOOKUP(BH4486,AUH_MALE_EMP,7,0),IF(AND(BD4486="Employee",BI4486="Male",BF4486="Abu Dhabi",BE4486=RN_3),VLOOKUP(BH4486,AUH_MALE_EMP,8,0),IF(AND(BD4486="Employee",BI4486="Male",BF4486="Abu Dhabi",BE4486=VN),VLOOKUP(BH4486,AUH_MALE_EMP,9,0),IF(BD4486="","",IF(AND(BD4486="Employee",BI4486="Female",BF4486="Abu Dhabi",BE4486=GN_Plus),VLOOKUP(BH4486,AUH_FEMALE_EMP,2,0),IF(AND(BD4486="Employee",BI4486="Female",BF4486="Abu Dhabi",BE4486=GN),VLOOKUP(BH4486,AUH_FEMALE_EMP,3,0),IF(AND(BD4486="Employee",BI4486="Female",BF4486="Abu Dhabi",BE4486=RN_Plus),VLOOKUP(BH4486,AUH_FEMALE_EMP,4,0),IF(AND(BD4486="Employee",BI4486="Female",BF4486="Abu Dhabi",BE4486=RN),VLOOKUP(BH4486,AUH_FEMALE_EMP,5,0),IF(AND(BD4486="Employee",BI4486="Female",BF4486="Abu Dhabi",BE4486=RN_2),VLOOKUP(BH4486,AUH_FEMALE_EMP,6,0),IF(AND(BD4486="Employee",BI4486="Female",BF4486="Abu Dhabi",BE4486=RN2_minus),VLOOKUP(BH4486,AUH_FEMALE_EMP,7,0),IF(AND(BD4486="Employee",BI4486="Female",BF4486="Abu Dhabi",BE4486=RN_3),VLOOKUP(BH4486,AUH_FEMALE_EMP,8,0),IF(AND(BD4486="Employee",BI4486="Female",BF4486="Abu Dhabi",BE4486=VN),VLOOKUP(BH4486,AUH_FEMALE_EMP,9,0),IF(BD4486="","",IF(AND(BD4486="Dependent",BI4486="Male",BF4486="Abu Dhabi",BE4486=GN_Plus),VLOOKUP(BH4486,AUH_MALE_DEP,2,0),IF(AND(BD4486="Dependent",BI4486="Male",BF4486="Abu Dhabi",BE4486=GN),VLOOKUP(BH4486,AUH_MALE_DEP,3,0),IF(AND(BD4486="Dependent",BI4486="Male",BF4486="Abu Dhabi",BE4486=RN_Plus),VLOOKUP(BH4486,AUH_MALE_DEP,4,0),IF(AND(BD4486="Dependent",BI4486="Male",BF4486="Abu Dhabi",BE4486=RN),VLOOKUP(BH4486,AUH_MALE_DEP,5,0),IF(AND(BD4486="Dependent",BI4486="Male",BF4486="Abu Dhabi",BE4486=RN_2),VLOOKUP(BH4486,AUH_MALE_DEP,6,0),IF(AND(BD4486="Dependent",BI4486="Male",BF4486="Abu Dhabi",BE4486=RN2_minus),VLOOKUP(BH4486,AUH_MALE_DEP,7,0),IF(AND(BD4486="Dependent",BI4486="Male",BF4486="Abu Dhabi",BE4486=RN_3),VLOOKUP(BH4486,AUH_MALE_DEP,8,0),IF(AND(BD4486="Dependent",BI4486="Male",BF4486="Abu Dhabi",BE4486=VN),VLOOKUP(BH4486,AUH_MALE_DEP,9,0),IF(BD4486="","",IF(AND(BD4486="Dependent",BI4486="Female",BF4486="Abu Dhabi",BE4486=GN_Plus),VLOOKUP(BH4486,AUH_FEMALE_DEP,2,0),IF(AND(BD4486="Dependent",BI4486="Female",BF4486="Abu Dhabi",BE4486=GN),VLOOKUP(BH4486,AUH_FEMALE_DEP,3,0),IF(AND(BD4486="Dependent",BI4486="Female",BF4486="Abu Dhabi",BE4486=RN_Plus),VLOOKUP(BH4486,AUH_FEMALE_DEP,4,0),IF(AND(BD4486="Dependent",BI4486="Female",BF4486="Abu Dhabi",BE4486=RN),VLOOKUP(BH4486,AUH_FEMALE_DEP,5,0),IF(AND(BD4486="Dependent",BI4486="Female",BF4486="Abu Dhabi",BE4486=RN_2),VLOOKUP(BH4486,AUH_FEMALE_DEP,6,0),IF(AND(BD4486="Dependent",BI4486="Female",BF4486="Abu Dhabi",BE4486=RN2_minus),VLOOKUP(BH4486,AUH_FEMALE_DEP,7,0),IF(AND(BD4486="Dependent",BI4486="Female",BF4486="Abu Dhabi",BE4486=RN_3),VLOOKUP(BH4486,AUH_FEMALE_DEP,8,0),IF(AND(BD4486="Dependent",BI4486="Female",BF4486="Abu Dhabi",BE4486=VN),VLOOKUP(BH4486,AUH_FEMALE_DEP,9,0),"ABC"))))))))))))))))))))))))))))))))))))</f>
        <v/>
      </c>
      <c r="BL4486" s="498" t="str">
        <f t="shared" ref="BL4486:BL4549" si="1569">IF(BD4486="","",IF(AND(BD4486="Employee",BI4486="Male",BF4486="Dubai",BE4486=GN_Plus),VLOOKUP(BH4486,DXB_MALE_EMP,2,0),IF(AND(BD4486="Employee",BI4486="Male",BF4486="Dubai",BE4486=GN),VLOOKUP(BH4486,DXB_MALE_EMP,3,0),IF(AND(BD4486="Employee",BI4486="Male",BF4486="Dubai",BE4486=RN_Plus),VLOOKUP(BH4486,DXB_MALE_EMP,4,0),IF(AND(BD4486="Employee",BI4486="Male",BF4486="Dubai",BE4486=RN),VLOOKUP(BH4486,DXB_MALE_EMP,5,0),IF(AND(BD4486="Employee",BI4486="Male",BF4486="Dubai",BE4486=RN_2),VLOOKUP(BH4486,DXB_MALE_EMP,6,0),IF(AND(BD4486="Employee",BI4486="Male",BF4486="Dubai",BE4486=RN2_minus),VLOOKUP(BH4486,DXB_MALE_EMP,7,0),IF(AND(BD4486="Employee",BI4486="Male",BF4486="Dubai",BE4486=RN_3),VLOOKUP(BH4486,DXB_MALE_EMP,8,0),IF(AND(BD4486="Employee",BI4486="Male",BF4486="Dubai",BE4486=VN),VLOOKUP(BH4486,DXB_MALE_EMP,9,0),IF(BD4486="","",IF(AND(BD4486="Employee",BI4486="Female",BF4486="Dubai",BE4486=GN_Plus),VLOOKUP(BH4486,DXB_FEMALE_EMP,2,0),IF(AND(BD4486="Employee",BI4486="Female",BF4486="Dubai",BE4486=GN),VLOOKUP(BH4486,DXB_FEMALE_EMP,3,0),IF(AND(BD4486="Employee",BI4486="Female",BF4486="Dubai",BE4486=RN_Plus),VLOOKUP(BH4486,DXB_FEMALE_EMP,4,0),IF(AND(BD4486="Employee",BI4486="Female",BF4486="Dubai",BE4486=RN),VLOOKUP(BH4486,DXB_FEMALE_EMP,5,0),IF(AND(BD4486="Employee",BI4486="Female",BF4486="Dubai",BE4486=RN_2),VLOOKUP(BH4486,DXB_FEMALE_EMP,6,0),IF(AND(BD4486="Employee",BI4486="Female",BF4486="Dubai",BE4486=RN2_minus),VLOOKUP(BH4486,DXB_FEMALE_EMP,7,0),IF(AND(BD4486="Employee",BI4486="Female",BF4486="Dubai",BE4486=RN_3),VLOOKUP(BH4486,DXB_FEMALE_EMP,8,0),IF(AND(BD4486="Employee",BI4486="Female",BF4486="Dubai",BE4486=VN),VLOOKUP(BH4486,DXB_FEMALE_EMP,9,0),IF(BD4486="","",IF(AND(BD4486="Dependent",BI4486="Male",BF4486="Dubai",BE4486=GN_Plus),VLOOKUP(BH4486,DXB_MALE_DEP,2,0),IF(AND(BD4486="Dependent",BI4486="Male",BF4486="Dubai",BE4486=GN),VLOOKUP(BH4486,DXB_MALE_DEP,3,0),IF(AND(BD4486="Dependent",BI4486="Male",BF4486="Dubai",BE4486=RN_Plus),VLOOKUP(BH4486,DXB_MALE_DEP,4,0),IF(AND(BD4486="Dependent",BI4486="Male",BF4486="Dubai",BE4486=RN),VLOOKUP(BH4486,DXB_MALE_DEP,5,0),IF(AND(BD4486="Dependent",BI4486="Male",BF4486="Dubai",BE4486=RN_2),VLOOKUP(BH4486,DXB_MALE_DEP,6,0),IF(AND(BD4486="Dependent",BI4486="Male",BF4486="Dubai",BE4486=RN2_minus),VLOOKUP(BH4486,DXB_MALE_DEP,7,0),IF(AND(BD4486="Dependent",BI4486="Male",BF4486="Dubai",BE4486=RN_3),VLOOKUP(BH4486,DXB_MALE_DEP,8,0),IF(AND(BD4486="Dependent",BI4486="Male",BF4486="Dubai",BE4486=VN),VLOOKUP(BH4486,DXB_MALE_DEP,9,0),IF(BD4486="","",IF(AND(BD4486="Dependent",BI4486="Female",BF4486="Dubai",BE4486=GN_Plus),VLOOKUP(BH4486,DXB_FEMALE_DEP,2,0),IF(AND(BD4486="Dependent",BI4486="Female",BF4486="Dubai",BE4486=GN),VLOOKUP(BH4486,DXB_FEMALE_DEP,3,0),IF(AND(BD4486="Dependent",BI4486="Female",BF4486="Dubai",BE4486=RN_Plus),VLOOKUP(BH4486,DXB_FEMALE_DEP,4,0),IF(AND(BD4486="Dependent",BI4486="Female",BF4486="Dubai",BE4486=RN),VLOOKUP(BH4486,DXB_FEMALE_DEP,5,0),IF(AND(BD4486="Dependent",BI4486="Female",BF4486="Dubai",BE4486=RN_2),VLOOKUP(BH4486,DXB_FEMALE_DEP,6,0),IF(AND(BD4486="Dependent",BI4486="Female",BF4486="Dubai",BE4486=RN2_minus),VLOOKUP(BH4486,DXB_FEMALE_DEP,7,0),IF(AND(BD4486="Dependent",BI4486="Female",BF4486="Dubai",BE4486=RN_3),VLOOKUP(BH4486,DXB_FEMALE_DEP,8,0),IF(AND(BD4486="Dependent",BI4486="Female",BF4486="Dubai",BE4486=VN),VLOOKUP(BH4486,DXB_FEMALE_DEP,9,0),"ABC"))))))))))))))))))))))))))))))))))))</f>
        <v/>
      </c>
    </row>
    <row r="4487" spans="1:64" x14ac:dyDescent="0.25">
      <c r="A4487" s="762">
        <f t="shared" ref="A4487:A4550" si="1570">+A4486+1</f>
        <v>4482</v>
      </c>
      <c r="B4487" s="229"/>
      <c r="C4487" s="223"/>
      <c r="D4487" s="224"/>
      <c r="E4487" s="225"/>
      <c r="F4487" s="1036" t="str">
        <f t="shared" si="1554"/>
        <v/>
      </c>
      <c r="G4487" s="1037" t="str">
        <f t="shared" ref="G4487:G4550" si="1571">IF(D4487="","",MAX(0,ROUNDUP(F4487,0)))</f>
        <v/>
      </c>
      <c r="H4487" s="225"/>
      <c r="I4487" s="1013"/>
      <c r="J4487" s="1013"/>
      <c r="K4487" s="1028"/>
      <c r="L4487" s="1035" t="str">
        <f t="shared" si="1553"/>
        <v/>
      </c>
      <c r="S4487" s="498"/>
      <c r="AJ4487" s="498"/>
      <c r="AM4487" s="498">
        <f t="shared" si="1556"/>
        <v>0</v>
      </c>
      <c r="AN4487" s="498">
        <f t="shared" si="1557"/>
        <v>0</v>
      </c>
      <c r="AO4487" s="498">
        <f t="shared" si="1558"/>
        <v>0</v>
      </c>
      <c r="AP4487" s="498">
        <f t="shared" si="1555"/>
        <v>0</v>
      </c>
      <c r="AQ4487" s="498">
        <f t="shared" ref="AQ4487:AQ4550" si="1572">IF(ISBLANK($B4487),0,IF(OR($H4487="Single",$H4487="Married"),0,1))</f>
        <v>0</v>
      </c>
      <c r="AU4487" s="498">
        <f t="shared" si="1559"/>
        <v>0</v>
      </c>
      <c r="AV4487" s="498">
        <f t="shared" si="1560"/>
        <v>0</v>
      </c>
      <c r="AW4487" s="498">
        <f t="shared" si="1561"/>
        <v>0</v>
      </c>
      <c r="AX4487" s="498">
        <f t="shared" si="1562"/>
        <v>0</v>
      </c>
      <c r="AY4487" s="498">
        <f t="shared" si="1563"/>
        <v>0</v>
      </c>
      <c r="BB4487" s="498" t="str">
        <f t="shared" si="1564"/>
        <v/>
      </c>
      <c r="BC4487" s="743" t="str">
        <f t="shared" si="1565"/>
        <v/>
      </c>
      <c r="BD4487" s="743" t="str">
        <f t="shared" si="1566"/>
        <v/>
      </c>
      <c r="BE4487" s="743" t="str">
        <f>IF(D4487="","",VLOOKUP(D4487,'General Basis'!$J$39:$K$46,2,0))</f>
        <v/>
      </c>
      <c r="BF4487" s="744" t="str">
        <f>IF(D4487="","",VLOOKUP(D4487,'General Basis'!$J$39:$L$46,3,0))</f>
        <v/>
      </c>
      <c r="BG4487" s="744" t="str">
        <f t="shared" ref="BG4487:BG4550" si="1573">BC4487&amp;BI4487</f>
        <v/>
      </c>
      <c r="BH4487" s="744" t="str">
        <f>IF(G4487="","",IF(BF4487="Abu Dhabi",IF(G4487&lt;18,'General Basis'!$C$39,IF(G4487&lt;41,'General Basis'!$C$40,IF(G4487&lt;60,'General Basis'!$C$41,IF(G4487&lt;65,'General Basis'!$C$42,'General Basis'!$C$43)))),IF(G4487&lt;11,'General Basis'!$B$39,IF(G4487&lt;18,'General Basis'!$B$40,IF(G4487&lt;26,'General Basis'!$B$41,IF(G4487&lt;31,'General Basis'!$B$42,IF(G4487&lt;36,'General Basis'!$B$43,IF(G4487&lt;41,'General Basis'!$B$44,IF(G4487&lt;46,'General Basis'!$B$45,IF(G4487&lt;51,'General Basis'!$B$46,IF(G4487&lt;56,'General Basis'!$B$47,IF(G4487&lt;60,'General Basis'!$B$48,IF(G4487&lt;65,'General Basis'!$B$49,'General Basis'!$B$50)))))))))))))</f>
        <v/>
      </c>
      <c r="BI4487" s="744" t="str">
        <f t="shared" si="1567"/>
        <v/>
      </c>
      <c r="BJ4487" s="747" t="str">
        <f t="shared" ref="BJ4487:BJ4550" si="1574">IF(BD4487="","",IF(BF4487="Abu Dhabi",BK4487,BL4487))</f>
        <v/>
      </c>
      <c r="BK4487" s="498" t="str">
        <f t="shared" si="1568"/>
        <v/>
      </c>
      <c r="BL4487" s="498" t="str">
        <f t="shared" si="1569"/>
        <v/>
      </c>
    </row>
    <row r="4488" spans="1:64" x14ac:dyDescent="0.25">
      <c r="A4488" s="762">
        <f t="shared" si="1570"/>
        <v>4483</v>
      </c>
      <c r="B4488" s="229"/>
      <c r="C4488" s="223"/>
      <c r="D4488" s="224"/>
      <c r="E4488" s="225"/>
      <c r="F4488" s="1036" t="str">
        <f t="shared" si="1554"/>
        <v/>
      </c>
      <c r="G4488" s="1037" t="str">
        <f t="shared" si="1571"/>
        <v/>
      </c>
      <c r="H4488" s="225"/>
      <c r="I4488" s="1013"/>
      <c r="J4488" s="1013"/>
      <c r="K4488" s="1028"/>
      <c r="L4488" s="1035" t="str">
        <f t="shared" ref="L4488:L4551" si="1575">IF(AND(E4488="Child",H4488="Married"),"Check the Marital Status of the Child. ",IF(AND(E4488="Child",F4488&gt;18),"Child Age exceed 18 years. ",IF(AND(E4488="Spouse",H4488="Single"),"Spouse is selected as Single. ","")))&amp;IF(K4488&gt;0,"UW Loading has been Applied","")</f>
        <v/>
      </c>
      <c r="S4488" s="498"/>
      <c r="AJ4488" s="498"/>
      <c r="AM4488" s="498">
        <f t="shared" si="1556"/>
        <v>0</v>
      </c>
      <c r="AN4488" s="498">
        <f t="shared" si="1557"/>
        <v>0</v>
      </c>
      <c r="AO4488" s="498">
        <f t="shared" si="1558"/>
        <v>0</v>
      </c>
      <c r="AP4488" s="498">
        <f t="shared" si="1555"/>
        <v>0</v>
      </c>
      <c r="AQ4488" s="498">
        <f t="shared" si="1572"/>
        <v>0</v>
      </c>
      <c r="AU4488" s="498">
        <f t="shared" si="1559"/>
        <v>0</v>
      </c>
      <c r="AV4488" s="498">
        <f t="shared" si="1560"/>
        <v>0</v>
      </c>
      <c r="AW4488" s="498">
        <f t="shared" si="1561"/>
        <v>0</v>
      </c>
      <c r="AX4488" s="498">
        <f t="shared" si="1562"/>
        <v>0</v>
      </c>
      <c r="AY4488" s="498">
        <f t="shared" si="1563"/>
        <v>0</v>
      </c>
      <c r="BB4488" s="498" t="str">
        <f t="shared" si="1564"/>
        <v/>
      </c>
      <c r="BC4488" s="743" t="str">
        <f t="shared" si="1565"/>
        <v/>
      </c>
      <c r="BD4488" s="743" t="str">
        <f t="shared" si="1566"/>
        <v/>
      </c>
      <c r="BE4488" s="743" t="str">
        <f>IF(D4488="","",VLOOKUP(D4488,'General Basis'!$J$39:$K$46,2,0))</f>
        <v/>
      </c>
      <c r="BF4488" s="744" t="str">
        <f>IF(D4488="","",VLOOKUP(D4488,'General Basis'!$J$39:$L$46,3,0))</f>
        <v/>
      </c>
      <c r="BG4488" s="744" t="str">
        <f t="shared" si="1573"/>
        <v/>
      </c>
      <c r="BH4488" s="744" t="str">
        <f>IF(G4488="","",IF(BF4488="Abu Dhabi",IF(G4488&lt;18,'General Basis'!$C$39,IF(G4488&lt;41,'General Basis'!$C$40,IF(G4488&lt;60,'General Basis'!$C$41,IF(G4488&lt;65,'General Basis'!$C$42,'General Basis'!$C$43)))),IF(G4488&lt;11,'General Basis'!$B$39,IF(G4488&lt;18,'General Basis'!$B$40,IF(G4488&lt;26,'General Basis'!$B$41,IF(G4488&lt;31,'General Basis'!$B$42,IF(G4488&lt;36,'General Basis'!$B$43,IF(G4488&lt;41,'General Basis'!$B$44,IF(G4488&lt;46,'General Basis'!$B$45,IF(G4488&lt;51,'General Basis'!$B$46,IF(G4488&lt;56,'General Basis'!$B$47,IF(G4488&lt;60,'General Basis'!$B$48,IF(G4488&lt;65,'General Basis'!$B$49,'General Basis'!$B$50)))))))))))))</f>
        <v/>
      </c>
      <c r="BI4488" s="744" t="str">
        <f t="shared" si="1567"/>
        <v/>
      </c>
      <c r="BJ4488" s="747" t="str">
        <f t="shared" si="1574"/>
        <v/>
      </c>
      <c r="BK4488" s="498" t="str">
        <f t="shared" si="1568"/>
        <v/>
      </c>
      <c r="BL4488" s="498" t="str">
        <f t="shared" si="1569"/>
        <v/>
      </c>
    </row>
    <row r="4489" spans="1:64" x14ac:dyDescent="0.25">
      <c r="A4489" s="762">
        <f t="shared" si="1570"/>
        <v>4484</v>
      </c>
      <c r="B4489" s="229"/>
      <c r="C4489" s="223"/>
      <c r="D4489" s="224"/>
      <c r="E4489" s="225"/>
      <c r="F4489" s="1036" t="str">
        <f t="shared" si="1554"/>
        <v/>
      </c>
      <c r="G4489" s="1037" t="str">
        <f t="shared" si="1571"/>
        <v/>
      </c>
      <c r="H4489" s="225"/>
      <c r="I4489" s="1013"/>
      <c r="J4489" s="1013"/>
      <c r="K4489" s="1028"/>
      <c r="L4489" s="1035" t="str">
        <f t="shared" si="1575"/>
        <v/>
      </c>
      <c r="S4489" s="498"/>
      <c r="AJ4489" s="498"/>
      <c r="AM4489" s="498">
        <f t="shared" si="1556"/>
        <v>0</v>
      </c>
      <c r="AN4489" s="498">
        <f t="shared" si="1557"/>
        <v>0</v>
      </c>
      <c r="AO4489" s="498">
        <f t="shared" si="1558"/>
        <v>0</v>
      </c>
      <c r="AP4489" s="498">
        <f t="shared" si="1555"/>
        <v>0</v>
      </c>
      <c r="AQ4489" s="498">
        <f t="shared" si="1572"/>
        <v>0</v>
      </c>
      <c r="AU4489" s="498">
        <f t="shared" si="1559"/>
        <v>0</v>
      </c>
      <c r="AV4489" s="498">
        <f t="shared" si="1560"/>
        <v>0</v>
      </c>
      <c r="AW4489" s="498">
        <f t="shared" si="1561"/>
        <v>0</v>
      </c>
      <c r="AX4489" s="498">
        <f t="shared" si="1562"/>
        <v>0</v>
      </c>
      <c r="AY4489" s="498">
        <f t="shared" si="1563"/>
        <v>0</v>
      </c>
      <c r="BB4489" s="498" t="str">
        <f t="shared" si="1564"/>
        <v/>
      </c>
      <c r="BC4489" s="743" t="str">
        <f t="shared" si="1565"/>
        <v/>
      </c>
      <c r="BD4489" s="743" t="str">
        <f t="shared" si="1566"/>
        <v/>
      </c>
      <c r="BE4489" s="743" t="str">
        <f>IF(D4489="","",VLOOKUP(D4489,'General Basis'!$J$39:$K$46,2,0))</f>
        <v/>
      </c>
      <c r="BF4489" s="744" t="str">
        <f>IF(D4489="","",VLOOKUP(D4489,'General Basis'!$J$39:$L$46,3,0))</f>
        <v/>
      </c>
      <c r="BG4489" s="744" t="str">
        <f t="shared" si="1573"/>
        <v/>
      </c>
      <c r="BH4489" s="744" t="str">
        <f>IF(G4489="","",IF(BF4489="Abu Dhabi",IF(G4489&lt;18,'General Basis'!$C$39,IF(G4489&lt;41,'General Basis'!$C$40,IF(G4489&lt;60,'General Basis'!$C$41,IF(G4489&lt;65,'General Basis'!$C$42,'General Basis'!$C$43)))),IF(G4489&lt;11,'General Basis'!$B$39,IF(G4489&lt;18,'General Basis'!$B$40,IF(G4489&lt;26,'General Basis'!$B$41,IF(G4489&lt;31,'General Basis'!$B$42,IF(G4489&lt;36,'General Basis'!$B$43,IF(G4489&lt;41,'General Basis'!$B$44,IF(G4489&lt;46,'General Basis'!$B$45,IF(G4489&lt;51,'General Basis'!$B$46,IF(G4489&lt;56,'General Basis'!$B$47,IF(G4489&lt;60,'General Basis'!$B$48,IF(G4489&lt;65,'General Basis'!$B$49,'General Basis'!$B$50)))))))))))))</f>
        <v/>
      </c>
      <c r="BI4489" s="744" t="str">
        <f t="shared" si="1567"/>
        <v/>
      </c>
      <c r="BJ4489" s="747" t="str">
        <f t="shared" si="1574"/>
        <v/>
      </c>
      <c r="BK4489" s="498" t="str">
        <f t="shared" si="1568"/>
        <v/>
      </c>
      <c r="BL4489" s="498" t="str">
        <f t="shared" si="1569"/>
        <v/>
      </c>
    </row>
    <row r="4490" spans="1:64" x14ac:dyDescent="0.25">
      <c r="A4490" s="762">
        <f t="shared" si="1570"/>
        <v>4485</v>
      </c>
      <c r="B4490" s="229"/>
      <c r="C4490" s="223"/>
      <c r="D4490" s="224"/>
      <c r="E4490" s="225"/>
      <c r="F4490" s="1036" t="str">
        <f t="shared" si="1554"/>
        <v/>
      </c>
      <c r="G4490" s="1037" t="str">
        <f t="shared" si="1571"/>
        <v/>
      </c>
      <c r="H4490" s="225"/>
      <c r="I4490" s="1013"/>
      <c r="J4490" s="1013"/>
      <c r="K4490" s="1028"/>
      <c r="L4490" s="1035" t="str">
        <f t="shared" si="1575"/>
        <v/>
      </c>
      <c r="S4490" s="498"/>
      <c r="AJ4490" s="498"/>
      <c r="AM4490" s="498">
        <f t="shared" si="1556"/>
        <v>0</v>
      </c>
      <c r="AN4490" s="498">
        <f t="shared" si="1557"/>
        <v>0</v>
      </c>
      <c r="AO4490" s="498">
        <f t="shared" si="1558"/>
        <v>0</v>
      </c>
      <c r="AP4490" s="498">
        <f t="shared" si="1555"/>
        <v>0</v>
      </c>
      <c r="AQ4490" s="498">
        <f t="shared" si="1572"/>
        <v>0</v>
      </c>
      <c r="AU4490" s="498">
        <f t="shared" si="1559"/>
        <v>0</v>
      </c>
      <c r="AV4490" s="498">
        <f t="shared" si="1560"/>
        <v>0</v>
      </c>
      <c r="AW4490" s="498">
        <f t="shared" si="1561"/>
        <v>0</v>
      </c>
      <c r="AX4490" s="498">
        <f t="shared" si="1562"/>
        <v>0</v>
      </c>
      <c r="AY4490" s="498">
        <f t="shared" si="1563"/>
        <v>0</v>
      </c>
      <c r="BB4490" s="498" t="str">
        <f t="shared" si="1564"/>
        <v/>
      </c>
      <c r="BC4490" s="743" t="str">
        <f t="shared" si="1565"/>
        <v/>
      </c>
      <c r="BD4490" s="743" t="str">
        <f t="shared" si="1566"/>
        <v/>
      </c>
      <c r="BE4490" s="743" t="str">
        <f>IF(D4490="","",VLOOKUP(D4490,'General Basis'!$J$39:$K$46,2,0))</f>
        <v/>
      </c>
      <c r="BF4490" s="744" t="str">
        <f>IF(D4490="","",VLOOKUP(D4490,'General Basis'!$J$39:$L$46,3,0))</f>
        <v/>
      </c>
      <c r="BG4490" s="744" t="str">
        <f t="shared" si="1573"/>
        <v/>
      </c>
      <c r="BH4490" s="744" t="str">
        <f>IF(G4490="","",IF(BF4490="Abu Dhabi",IF(G4490&lt;18,'General Basis'!$C$39,IF(G4490&lt;41,'General Basis'!$C$40,IF(G4490&lt;60,'General Basis'!$C$41,IF(G4490&lt;65,'General Basis'!$C$42,'General Basis'!$C$43)))),IF(G4490&lt;11,'General Basis'!$B$39,IF(G4490&lt;18,'General Basis'!$B$40,IF(G4490&lt;26,'General Basis'!$B$41,IF(G4490&lt;31,'General Basis'!$B$42,IF(G4490&lt;36,'General Basis'!$B$43,IF(G4490&lt;41,'General Basis'!$B$44,IF(G4490&lt;46,'General Basis'!$B$45,IF(G4490&lt;51,'General Basis'!$B$46,IF(G4490&lt;56,'General Basis'!$B$47,IF(G4490&lt;60,'General Basis'!$B$48,IF(G4490&lt;65,'General Basis'!$B$49,'General Basis'!$B$50)))))))))))))</f>
        <v/>
      </c>
      <c r="BI4490" s="744" t="str">
        <f t="shared" si="1567"/>
        <v/>
      </c>
      <c r="BJ4490" s="747" t="str">
        <f t="shared" si="1574"/>
        <v/>
      </c>
      <c r="BK4490" s="498" t="str">
        <f t="shared" si="1568"/>
        <v/>
      </c>
      <c r="BL4490" s="498" t="str">
        <f t="shared" si="1569"/>
        <v/>
      </c>
    </row>
    <row r="4491" spans="1:64" x14ac:dyDescent="0.25">
      <c r="A4491" s="762">
        <f t="shared" si="1570"/>
        <v>4486</v>
      </c>
      <c r="B4491" s="229"/>
      <c r="C4491" s="223"/>
      <c r="D4491" s="224"/>
      <c r="E4491" s="225"/>
      <c r="F4491" s="1036" t="str">
        <f t="shared" si="1554"/>
        <v/>
      </c>
      <c r="G4491" s="1037" t="str">
        <f t="shared" si="1571"/>
        <v/>
      </c>
      <c r="H4491" s="225"/>
      <c r="I4491" s="1013"/>
      <c r="J4491" s="1013"/>
      <c r="K4491" s="1028"/>
      <c r="L4491" s="1035" t="str">
        <f t="shared" si="1575"/>
        <v/>
      </c>
      <c r="S4491" s="498"/>
      <c r="AJ4491" s="498"/>
      <c r="AM4491" s="498">
        <f t="shared" si="1556"/>
        <v>0</v>
      </c>
      <c r="AN4491" s="498">
        <f t="shared" si="1557"/>
        <v>0</v>
      </c>
      <c r="AO4491" s="498">
        <f t="shared" si="1558"/>
        <v>0</v>
      </c>
      <c r="AP4491" s="498">
        <f t="shared" si="1555"/>
        <v>0</v>
      </c>
      <c r="AQ4491" s="498">
        <f t="shared" si="1572"/>
        <v>0</v>
      </c>
      <c r="AU4491" s="498">
        <f t="shared" si="1559"/>
        <v>0</v>
      </c>
      <c r="AV4491" s="498">
        <f t="shared" si="1560"/>
        <v>0</v>
      </c>
      <c r="AW4491" s="498">
        <f t="shared" si="1561"/>
        <v>0</v>
      </c>
      <c r="AX4491" s="498">
        <f t="shared" si="1562"/>
        <v>0</v>
      </c>
      <c r="AY4491" s="498">
        <f t="shared" si="1563"/>
        <v>0</v>
      </c>
      <c r="BB4491" s="498" t="str">
        <f t="shared" si="1564"/>
        <v/>
      </c>
      <c r="BC4491" s="743" t="str">
        <f t="shared" si="1565"/>
        <v/>
      </c>
      <c r="BD4491" s="743" t="str">
        <f t="shared" si="1566"/>
        <v/>
      </c>
      <c r="BE4491" s="743" t="str">
        <f>IF(D4491="","",VLOOKUP(D4491,'General Basis'!$J$39:$K$46,2,0))</f>
        <v/>
      </c>
      <c r="BF4491" s="744" t="str">
        <f>IF(D4491="","",VLOOKUP(D4491,'General Basis'!$J$39:$L$46,3,0))</f>
        <v/>
      </c>
      <c r="BG4491" s="744" t="str">
        <f t="shared" si="1573"/>
        <v/>
      </c>
      <c r="BH4491" s="744" t="str">
        <f>IF(G4491="","",IF(BF4491="Abu Dhabi",IF(G4491&lt;18,'General Basis'!$C$39,IF(G4491&lt;41,'General Basis'!$C$40,IF(G4491&lt;60,'General Basis'!$C$41,IF(G4491&lt;65,'General Basis'!$C$42,'General Basis'!$C$43)))),IF(G4491&lt;11,'General Basis'!$B$39,IF(G4491&lt;18,'General Basis'!$B$40,IF(G4491&lt;26,'General Basis'!$B$41,IF(G4491&lt;31,'General Basis'!$B$42,IF(G4491&lt;36,'General Basis'!$B$43,IF(G4491&lt;41,'General Basis'!$B$44,IF(G4491&lt;46,'General Basis'!$B$45,IF(G4491&lt;51,'General Basis'!$B$46,IF(G4491&lt;56,'General Basis'!$B$47,IF(G4491&lt;60,'General Basis'!$B$48,IF(G4491&lt;65,'General Basis'!$B$49,'General Basis'!$B$50)))))))))))))</f>
        <v/>
      </c>
      <c r="BI4491" s="744" t="str">
        <f t="shared" si="1567"/>
        <v/>
      </c>
      <c r="BJ4491" s="747" t="str">
        <f t="shared" si="1574"/>
        <v/>
      </c>
      <c r="BK4491" s="498" t="str">
        <f t="shared" si="1568"/>
        <v/>
      </c>
      <c r="BL4491" s="498" t="str">
        <f t="shared" si="1569"/>
        <v/>
      </c>
    </row>
    <row r="4492" spans="1:64" x14ac:dyDescent="0.25">
      <c r="A4492" s="762">
        <f t="shared" si="1570"/>
        <v>4487</v>
      </c>
      <c r="B4492" s="229"/>
      <c r="C4492" s="223"/>
      <c r="D4492" s="224"/>
      <c r="E4492" s="225"/>
      <c r="F4492" s="1036" t="str">
        <f t="shared" si="1554"/>
        <v/>
      </c>
      <c r="G4492" s="1037" t="str">
        <f t="shared" si="1571"/>
        <v/>
      </c>
      <c r="H4492" s="225"/>
      <c r="I4492" s="1013"/>
      <c r="J4492" s="1013"/>
      <c r="K4492" s="1028"/>
      <c r="L4492" s="1035" t="str">
        <f t="shared" si="1575"/>
        <v/>
      </c>
      <c r="S4492" s="498"/>
      <c r="AJ4492" s="498"/>
      <c r="AM4492" s="498">
        <f t="shared" si="1556"/>
        <v>0</v>
      </c>
      <c r="AN4492" s="498">
        <f t="shared" si="1557"/>
        <v>0</v>
      </c>
      <c r="AO4492" s="498">
        <f t="shared" si="1558"/>
        <v>0</v>
      </c>
      <c r="AP4492" s="498">
        <f t="shared" si="1555"/>
        <v>0</v>
      </c>
      <c r="AQ4492" s="498">
        <f t="shared" si="1572"/>
        <v>0</v>
      </c>
      <c r="AU4492" s="498">
        <f t="shared" si="1559"/>
        <v>0</v>
      </c>
      <c r="AV4492" s="498">
        <f t="shared" si="1560"/>
        <v>0</v>
      </c>
      <c r="AW4492" s="498">
        <f t="shared" si="1561"/>
        <v>0</v>
      </c>
      <c r="AX4492" s="498">
        <f t="shared" si="1562"/>
        <v>0</v>
      </c>
      <c r="AY4492" s="498">
        <f t="shared" si="1563"/>
        <v>0</v>
      </c>
      <c r="BB4492" s="498" t="str">
        <f t="shared" si="1564"/>
        <v/>
      </c>
      <c r="BC4492" s="743" t="str">
        <f t="shared" si="1565"/>
        <v/>
      </c>
      <c r="BD4492" s="743" t="str">
        <f t="shared" si="1566"/>
        <v/>
      </c>
      <c r="BE4492" s="743" t="str">
        <f>IF(D4492="","",VLOOKUP(D4492,'General Basis'!$J$39:$K$46,2,0))</f>
        <v/>
      </c>
      <c r="BF4492" s="744" t="str">
        <f>IF(D4492="","",VLOOKUP(D4492,'General Basis'!$J$39:$L$46,3,0))</f>
        <v/>
      </c>
      <c r="BG4492" s="744" t="str">
        <f t="shared" si="1573"/>
        <v/>
      </c>
      <c r="BH4492" s="744" t="str">
        <f>IF(G4492="","",IF(BF4492="Abu Dhabi",IF(G4492&lt;18,'General Basis'!$C$39,IF(G4492&lt;41,'General Basis'!$C$40,IF(G4492&lt;60,'General Basis'!$C$41,IF(G4492&lt;65,'General Basis'!$C$42,'General Basis'!$C$43)))),IF(G4492&lt;11,'General Basis'!$B$39,IF(G4492&lt;18,'General Basis'!$B$40,IF(G4492&lt;26,'General Basis'!$B$41,IF(G4492&lt;31,'General Basis'!$B$42,IF(G4492&lt;36,'General Basis'!$B$43,IF(G4492&lt;41,'General Basis'!$B$44,IF(G4492&lt;46,'General Basis'!$B$45,IF(G4492&lt;51,'General Basis'!$B$46,IF(G4492&lt;56,'General Basis'!$B$47,IF(G4492&lt;60,'General Basis'!$B$48,IF(G4492&lt;65,'General Basis'!$B$49,'General Basis'!$B$50)))))))))))))</f>
        <v/>
      </c>
      <c r="BI4492" s="744" t="str">
        <f t="shared" si="1567"/>
        <v/>
      </c>
      <c r="BJ4492" s="747" t="str">
        <f t="shared" si="1574"/>
        <v/>
      </c>
      <c r="BK4492" s="498" t="str">
        <f t="shared" si="1568"/>
        <v/>
      </c>
      <c r="BL4492" s="498" t="str">
        <f t="shared" si="1569"/>
        <v/>
      </c>
    </row>
    <row r="4493" spans="1:64" x14ac:dyDescent="0.25">
      <c r="A4493" s="762">
        <f t="shared" si="1570"/>
        <v>4488</v>
      </c>
      <c r="B4493" s="229"/>
      <c r="C4493" s="223"/>
      <c r="D4493" s="224"/>
      <c r="E4493" s="225"/>
      <c r="F4493" s="1036" t="str">
        <f t="shared" si="1554"/>
        <v/>
      </c>
      <c r="G4493" s="1037" t="str">
        <f t="shared" si="1571"/>
        <v/>
      </c>
      <c r="H4493" s="225"/>
      <c r="I4493" s="1013"/>
      <c r="J4493" s="1013"/>
      <c r="K4493" s="1028"/>
      <c r="L4493" s="1035" t="str">
        <f t="shared" si="1575"/>
        <v/>
      </c>
      <c r="S4493" s="498"/>
      <c r="AJ4493" s="498"/>
      <c r="AM4493" s="498">
        <f t="shared" si="1556"/>
        <v>0</v>
      </c>
      <c r="AN4493" s="498">
        <f t="shared" si="1557"/>
        <v>0</v>
      </c>
      <c r="AO4493" s="498">
        <f t="shared" si="1558"/>
        <v>0</v>
      </c>
      <c r="AP4493" s="498">
        <f t="shared" si="1555"/>
        <v>0</v>
      </c>
      <c r="AQ4493" s="498">
        <f t="shared" si="1572"/>
        <v>0</v>
      </c>
      <c r="AU4493" s="498">
        <f t="shared" si="1559"/>
        <v>0</v>
      </c>
      <c r="AV4493" s="498">
        <f t="shared" si="1560"/>
        <v>0</v>
      </c>
      <c r="AW4493" s="498">
        <f t="shared" si="1561"/>
        <v>0</v>
      </c>
      <c r="AX4493" s="498">
        <f t="shared" si="1562"/>
        <v>0</v>
      </c>
      <c r="AY4493" s="498">
        <f t="shared" si="1563"/>
        <v>0</v>
      </c>
      <c r="BB4493" s="498" t="str">
        <f t="shared" si="1564"/>
        <v/>
      </c>
      <c r="BC4493" s="743" t="str">
        <f t="shared" si="1565"/>
        <v/>
      </c>
      <c r="BD4493" s="743" t="str">
        <f t="shared" si="1566"/>
        <v/>
      </c>
      <c r="BE4493" s="743" t="str">
        <f>IF(D4493="","",VLOOKUP(D4493,'General Basis'!$J$39:$K$46,2,0))</f>
        <v/>
      </c>
      <c r="BF4493" s="744" t="str">
        <f>IF(D4493="","",VLOOKUP(D4493,'General Basis'!$J$39:$L$46,3,0))</f>
        <v/>
      </c>
      <c r="BG4493" s="744" t="str">
        <f t="shared" si="1573"/>
        <v/>
      </c>
      <c r="BH4493" s="744" t="str">
        <f>IF(G4493="","",IF(BF4493="Abu Dhabi",IF(G4493&lt;18,'General Basis'!$C$39,IF(G4493&lt;41,'General Basis'!$C$40,IF(G4493&lt;60,'General Basis'!$C$41,IF(G4493&lt;65,'General Basis'!$C$42,'General Basis'!$C$43)))),IF(G4493&lt;11,'General Basis'!$B$39,IF(G4493&lt;18,'General Basis'!$B$40,IF(G4493&lt;26,'General Basis'!$B$41,IF(G4493&lt;31,'General Basis'!$B$42,IF(G4493&lt;36,'General Basis'!$B$43,IF(G4493&lt;41,'General Basis'!$B$44,IF(G4493&lt;46,'General Basis'!$B$45,IF(G4493&lt;51,'General Basis'!$B$46,IF(G4493&lt;56,'General Basis'!$B$47,IF(G4493&lt;60,'General Basis'!$B$48,IF(G4493&lt;65,'General Basis'!$B$49,'General Basis'!$B$50)))))))))))))</f>
        <v/>
      </c>
      <c r="BI4493" s="744" t="str">
        <f t="shared" si="1567"/>
        <v/>
      </c>
      <c r="BJ4493" s="747" t="str">
        <f t="shared" si="1574"/>
        <v/>
      </c>
      <c r="BK4493" s="498" t="str">
        <f t="shared" si="1568"/>
        <v/>
      </c>
      <c r="BL4493" s="498" t="str">
        <f t="shared" si="1569"/>
        <v/>
      </c>
    </row>
    <row r="4494" spans="1:64" x14ac:dyDescent="0.25">
      <c r="A4494" s="762">
        <f t="shared" si="1570"/>
        <v>4489</v>
      </c>
      <c r="B4494" s="229"/>
      <c r="C4494" s="223"/>
      <c r="D4494" s="224"/>
      <c r="E4494" s="225"/>
      <c r="F4494" s="1036" t="str">
        <f t="shared" si="1554"/>
        <v/>
      </c>
      <c r="G4494" s="1037" t="str">
        <f t="shared" si="1571"/>
        <v/>
      </c>
      <c r="H4494" s="225"/>
      <c r="I4494" s="1013"/>
      <c r="J4494" s="1013"/>
      <c r="K4494" s="1028"/>
      <c r="L4494" s="1035" t="str">
        <f t="shared" si="1575"/>
        <v/>
      </c>
      <c r="S4494" s="498"/>
      <c r="AJ4494" s="498"/>
      <c r="AM4494" s="498">
        <f t="shared" si="1556"/>
        <v>0</v>
      </c>
      <c r="AN4494" s="498">
        <f t="shared" si="1557"/>
        <v>0</v>
      </c>
      <c r="AO4494" s="498">
        <f t="shared" si="1558"/>
        <v>0</v>
      </c>
      <c r="AP4494" s="498">
        <f t="shared" si="1555"/>
        <v>0</v>
      </c>
      <c r="AQ4494" s="498">
        <f t="shared" si="1572"/>
        <v>0</v>
      </c>
      <c r="AU4494" s="498">
        <f t="shared" si="1559"/>
        <v>0</v>
      </c>
      <c r="AV4494" s="498">
        <f t="shared" si="1560"/>
        <v>0</v>
      </c>
      <c r="AW4494" s="498">
        <f t="shared" si="1561"/>
        <v>0</v>
      </c>
      <c r="AX4494" s="498">
        <f t="shared" si="1562"/>
        <v>0</v>
      </c>
      <c r="AY4494" s="498">
        <f t="shared" si="1563"/>
        <v>0</v>
      </c>
      <c r="BB4494" s="498" t="str">
        <f t="shared" si="1564"/>
        <v/>
      </c>
      <c r="BC4494" s="743" t="str">
        <f t="shared" si="1565"/>
        <v/>
      </c>
      <c r="BD4494" s="743" t="str">
        <f t="shared" si="1566"/>
        <v/>
      </c>
      <c r="BE4494" s="743" t="str">
        <f>IF(D4494="","",VLOOKUP(D4494,'General Basis'!$J$39:$K$46,2,0))</f>
        <v/>
      </c>
      <c r="BF4494" s="744" t="str">
        <f>IF(D4494="","",VLOOKUP(D4494,'General Basis'!$J$39:$L$46,3,0))</f>
        <v/>
      </c>
      <c r="BG4494" s="744" t="str">
        <f t="shared" si="1573"/>
        <v/>
      </c>
      <c r="BH4494" s="744" t="str">
        <f>IF(G4494="","",IF(BF4494="Abu Dhabi",IF(G4494&lt;18,'General Basis'!$C$39,IF(G4494&lt;41,'General Basis'!$C$40,IF(G4494&lt;60,'General Basis'!$C$41,IF(G4494&lt;65,'General Basis'!$C$42,'General Basis'!$C$43)))),IF(G4494&lt;11,'General Basis'!$B$39,IF(G4494&lt;18,'General Basis'!$B$40,IF(G4494&lt;26,'General Basis'!$B$41,IF(G4494&lt;31,'General Basis'!$B$42,IF(G4494&lt;36,'General Basis'!$B$43,IF(G4494&lt;41,'General Basis'!$B$44,IF(G4494&lt;46,'General Basis'!$B$45,IF(G4494&lt;51,'General Basis'!$B$46,IF(G4494&lt;56,'General Basis'!$B$47,IF(G4494&lt;60,'General Basis'!$B$48,IF(G4494&lt;65,'General Basis'!$B$49,'General Basis'!$B$50)))))))))))))</f>
        <v/>
      </c>
      <c r="BI4494" s="744" t="str">
        <f t="shared" si="1567"/>
        <v/>
      </c>
      <c r="BJ4494" s="747" t="str">
        <f t="shared" si="1574"/>
        <v/>
      </c>
      <c r="BK4494" s="498" t="str">
        <f t="shared" si="1568"/>
        <v/>
      </c>
      <c r="BL4494" s="498" t="str">
        <f t="shared" si="1569"/>
        <v/>
      </c>
    </row>
    <row r="4495" spans="1:64" x14ac:dyDescent="0.25">
      <c r="A4495" s="762">
        <f t="shared" si="1570"/>
        <v>4490</v>
      </c>
      <c r="B4495" s="229"/>
      <c r="C4495" s="223"/>
      <c r="D4495" s="224"/>
      <c r="E4495" s="225"/>
      <c r="F4495" s="1036" t="str">
        <f t="shared" si="1554"/>
        <v/>
      </c>
      <c r="G4495" s="1037" t="str">
        <f t="shared" si="1571"/>
        <v/>
      </c>
      <c r="H4495" s="225"/>
      <c r="I4495" s="1013"/>
      <c r="J4495" s="1013"/>
      <c r="K4495" s="1028"/>
      <c r="L4495" s="1035" t="str">
        <f t="shared" si="1575"/>
        <v/>
      </c>
      <c r="S4495" s="498"/>
      <c r="AJ4495" s="498"/>
      <c r="AM4495" s="498">
        <f t="shared" si="1556"/>
        <v>0</v>
      </c>
      <c r="AN4495" s="498">
        <f t="shared" si="1557"/>
        <v>0</v>
      </c>
      <c r="AO4495" s="498">
        <f t="shared" si="1558"/>
        <v>0</v>
      </c>
      <c r="AP4495" s="498">
        <f t="shared" si="1555"/>
        <v>0</v>
      </c>
      <c r="AQ4495" s="498">
        <f t="shared" si="1572"/>
        <v>0</v>
      </c>
      <c r="AU4495" s="498">
        <f t="shared" si="1559"/>
        <v>0</v>
      </c>
      <c r="AV4495" s="498">
        <f t="shared" si="1560"/>
        <v>0</v>
      </c>
      <c r="AW4495" s="498">
        <f t="shared" si="1561"/>
        <v>0</v>
      </c>
      <c r="AX4495" s="498">
        <f t="shared" si="1562"/>
        <v>0</v>
      </c>
      <c r="AY4495" s="498">
        <f t="shared" si="1563"/>
        <v>0</v>
      </c>
      <c r="BB4495" s="498" t="str">
        <f t="shared" si="1564"/>
        <v/>
      </c>
      <c r="BC4495" s="743" t="str">
        <f t="shared" si="1565"/>
        <v/>
      </c>
      <c r="BD4495" s="743" t="str">
        <f t="shared" si="1566"/>
        <v/>
      </c>
      <c r="BE4495" s="743" t="str">
        <f>IF(D4495="","",VLOOKUP(D4495,'General Basis'!$J$39:$K$46,2,0))</f>
        <v/>
      </c>
      <c r="BF4495" s="744" t="str">
        <f>IF(D4495="","",VLOOKUP(D4495,'General Basis'!$J$39:$L$46,3,0))</f>
        <v/>
      </c>
      <c r="BG4495" s="744" t="str">
        <f t="shared" si="1573"/>
        <v/>
      </c>
      <c r="BH4495" s="744" t="str">
        <f>IF(G4495="","",IF(BF4495="Abu Dhabi",IF(G4495&lt;18,'General Basis'!$C$39,IF(G4495&lt;41,'General Basis'!$C$40,IF(G4495&lt;60,'General Basis'!$C$41,IF(G4495&lt;65,'General Basis'!$C$42,'General Basis'!$C$43)))),IF(G4495&lt;11,'General Basis'!$B$39,IF(G4495&lt;18,'General Basis'!$B$40,IF(G4495&lt;26,'General Basis'!$B$41,IF(G4495&lt;31,'General Basis'!$B$42,IF(G4495&lt;36,'General Basis'!$B$43,IF(G4495&lt;41,'General Basis'!$B$44,IF(G4495&lt;46,'General Basis'!$B$45,IF(G4495&lt;51,'General Basis'!$B$46,IF(G4495&lt;56,'General Basis'!$B$47,IF(G4495&lt;60,'General Basis'!$B$48,IF(G4495&lt;65,'General Basis'!$B$49,'General Basis'!$B$50)))))))))))))</f>
        <v/>
      </c>
      <c r="BI4495" s="744" t="str">
        <f t="shared" si="1567"/>
        <v/>
      </c>
      <c r="BJ4495" s="747" t="str">
        <f t="shared" si="1574"/>
        <v/>
      </c>
      <c r="BK4495" s="498" t="str">
        <f t="shared" si="1568"/>
        <v/>
      </c>
      <c r="BL4495" s="498" t="str">
        <f t="shared" si="1569"/>
        <v/>
      </c>
    </row>
    <row r="4496" spans="1:64" x14ac:dyDescent="0.25">
      <c r="A4496" s="762">
        <f t="shared" si="1570"/>
        <v>4491</v>
      </c>
      <c r="B4496" s="229"/>
      <c r="C4496" s="223"/>
      <c r="D4496" s="224"/>
      <c r="E4496" s="225"/>
      <c r="F4496" s="1036" t="str">
        <f t="shared" ref="F4496:F4559" si="1576">IF(C4496="","",IF($B4496="","",((YEAR($F$3)-YEAR($B4496))+(MONTH($F$3)-MONTH($B4496))/12+(DAY($F$3)-DAY($B4496))/(DATE(YEAR($F$3),12,31)-DATE(YEAR($F$3),1,1)+1))))</f>
        <v/>
      </c>
      <c r="G4496" s="1037" t="str">
        <f t="shared" si="1571"/>
        <v/>
      </c>
      <c r="H4496" s="225"/>
      <c r="I4496" s="1013"/>
      <c r="J4496" s="1013"/>
      <c r="K4496" s="1028"/>
      <c r="L4496" s="1035" t="str">
        <f t="shared" si="1575"/>
        <v/>
      </c>
      <c r="S4496" s="498"/>
      <c r="AJ4496" s="498"/>
      <c r="AM4496" s="498">
        <f t="shared" si="1556"/>
        <v>0</v>
      </c>
      <c r="AN4496" s="498">
        <f t="shared" si="1557"/>
        <v>0</v>
      </c>
      <c r="AO4496" s="498">
        <f t="shared" si="1558"/>
        <v>0</v>
      </c>
      <c r="AP4496" s="498">
        <f t="shared" si="1555"/>
        <v>0</v>
      </c>
      <c r="AQ4496" s="498">
        <f t="shared" si="1572"/>
        <v>0</v>
      </c>
      <c r="AU4496" s="498">
        <f t="shared" si="1559"/>
        <v>0</v>
      </c>
      <c r="AV4496" s="498">
        <f t="shared" si="1560"/>
        <v>0</v>
      </c>
      <c r="AW4496" s="498">
        <f t="shared" si="1561"/>
        <v>0</v>
      </c>
      <c r="AX4496" s="498">
        <f t="shared" si="1562"/>
        <v>0</v>
      </c>
      <c r="AY4496" s="498">
        <f t="shared" si="1563"/>
        <v>0</v>
      </c>
      <c r="BB4496" s="498" t="str">
        <f t="shared" si="1564"/>
        <v/>
      </c>
      <c r="BC4496" s="743" t="str">
        <f t="shared" si="1565"/>
        <v/>
      </c>
      <c r="BD4496" s="743" t="str">
        <f t="shared" si="1566"/>
        <v/>
      </c>
      <c r="BE4496" s="743" t="str">
        <f>IF(D4496="","",VLOOKUP(D4496,'General Basis'!$J$39:$K$46,2,0))</f>
        <v/>
      </c>
      <c r="BF4496" s="744" t="str">
        <f>IF(D4496="","",VLOOKUP(D4496,'General Basis'!$J$39:$L$46,3,0))</f>
        <v/>
      </c>
      <c r="BG4496" s="744" t="str">
        <f t="shared" si="1573"/>
        <v/>
      </c>
      <c r="BH4496" s="744" t="str">
        <f>IF(G4496="","",IF(BF4496="Abu Dhabi",IF(G4496&lt;18,'General Basis'!$C$39,IF(G4496&lt;41,'General Basis'!$C$40,IF(G4496&lt;60,'General Basis'!$C$41,IF(G4496&lt;65,'General Basis'!$C$42,'General Basis'!$C$43)))),IF(G4496&lt;11,'General Basis'!$B$39,IF(G4496&lt;18,'General Basis'!$B$40,IF(G4496&lt;26,'General Basis'!$B$41,IF(G4496&lt;31,'General Basis'!$B$42,IF(G4496&lt;36,'General Basis'!$B$43,IF(G4496&lt;41,'General Basis'!$B$44,IF(G4496&lt;46,'General Basis'!$B$45,IF(G4496&lt;51,'General Basis'!$B$46,IF(G4496&lt;56,'General Basis'!$B$47,IF(G4496&lt;60,'General Basis'!$B$48,IF(G4496&lt;65,'General Basis'!$B$49,'General Basis'!$B$50)))))))))))))</f>
        <v/>
      </c>
      <c r="BI4496" s="744" t="str">
        <f t="shared" si="1567"/>
        <v/>
      </c>
      <c r="BJ4496" s="747" t="str">
        <f t="shared" si="1574"/>
        <v/>
      </c>
      <c r="BK4496" s="498" t="str">
        <f t="shared" si="1568"/>
        <v/>
      </c>
      <c r="BL4496" s="498" t="str">
        <f t="shared" si="1569"/>
        <v/>
      </c>
    </row>
    <row r="4497" spans="1:64" x14ac:dyDescent="0.25">
      <c r="A4497" s="762">
        <f t="shared" si="1570"/>
        <v>4492</v>
      </c>
      <c r="B4497" s="229"/>
      <c r="C4497" s="223"/>
      <c r="D4497" s="224"/>
      <c r="E4497" s="225"/>
      <c r="F4497" s="1036" t="str">
        <f t="shared" si="1576"/>
        <v/>
      </c>
      <c r="G4497" s="1037" t="str">
        <f t="shared" si="1571"/>
        <v/>
      </c>
      <c r="H4497" s="225"/>
      <c r="I4497" s="1013"/>
      <c r="J4497" s="1013"/>
      <c r="K4497" s="1028"/>
      <c r="L4497" s="1035" t="str">
        <f t="shared" si="1575"/>
        <v/>
      </c>
      <c r="S4497" s="498"/>
      <c r="AJ4497" s="498"/>
      <c r="AM4497" s="498">
        <f t="shared" si="1556"/>
        <v>0</v>
      </c>
      <c r="AN4497" s="498">
        <f t="shared" si="1557"/>
        <v>0</v>
      </c>
      <c r="AO4497" s="498">
        <f t="shared" si="1558"/>
        <v>0</v>
      </c>
      <c r="AP4497" s="498">
        <f t="shared" si="1555"/>
        <v>0</v>
      </c>
      <c r="AQ4497" s="498">
        <f t="shared" si="1572"/>
        <v>0</v>
      </c>
      <c r="AU4497" s="498">
        <f t="shared" si="1559"/>
        <v>0</v>
      </c>
      <c r="AV4497" s="498">
        <f t="shared" si="1560"/>
        <v>0</v>
      </c>
      <c r="AW4497" s="498">
        <f t="shared" si="1561"/>
        <v>0</v>
      </c>
      <c r="AX4497" s="498">
        <f t="shared" si="1562"/>
        <v>0</v>
      </c>
      <c r="AY4497" s="498">
        <f t="shared" si="1563"/>
        <v>0</v>
      </c>
      <c r="BB4497" s="498" t="str">
        <f t="shared" si="1564"/>
        <v/>
      </c>
      <c r="BC4497" s="743" t="str">
        <f t="shared" si="1565"/>
        <v/>
      </c>
      <c r="BD4497" s="743" t="str">
        <f t="shared" si="1566"/>
        <v/>
      </c>
      <c r="BE4497" s="743" t="str">
        <f>IF(D4497="","",VLOOKUP(D4497,'General Basis'!$J$39:$K$46,2,0))</f>
        <v/>
      </c>
      <c r="BF4497" s="744" t="str">
        <f>IF(D4497="","",VLOOKUP(D4497,'General Basis'!$J$39:$L$46,3,0))</f>
        <v/>
      </c>
      <c r="BG4497" s="744" t="str">
        <f t="shared" si="1573"/>
        <v/>
      </c>
      <c r="BH4497" s="744" t="str">
        <f>IF(G4497="","",IF(BF4497="Abu Dhabi",IF(G4497&lt;18,'General Basis'!$C$39,IF(G4497&lt;41,'General Basis'!$C$40,IF(G4497&lt;60,'General Basis'!$C$41,IF(G4497&lt;65,'General Basis'!$C$42,'General Basis'!$C$43)))),IF(G4497&lt;11,'General Basis'!$B$39,IF(G4497&lt;18,'General Basis'!$B$40,IF(G4497&lt;26,'General Basis'!$B$41,IF(G4497&lt;31,'General Basis'!$B$42,IF(G4497&lt;36,'General Basis'!$B$43,IF(G4497&lt;41,'General Basis'!$B$44,IF(G4497&lt;46,'General Basis'!$B$45,IF(G4497&lt;51,'General Basis'!$B$46,IF(G4497&lt;56,'General Basis'!$B$47,IF(G4497&lt;60,'General Basis'!$B$48,IF(G4497&lt;65,'General Basis'!$B$49,'General Basis'!$B$50)))))))))))))</f>
        <v/>
      </c>
      <c r="BI4497" s="744" t="str">
        <f t="shared" si="1567"/>
        <v/>
      </c>
      <c r="BJ4497" s="747" t="str">
        <f t="shared" si="1574"/>
        <v/>
      </c>
      <c r="BK4497" s="498" t="str">
        <f t="shared" si="1568"/>
        <v/>
      </c>
      <c r="BL4497" s="498" t="str">
        <f t="shared" si="1569"/>
        <v/>
      </c>
    </row>
    <row r="4498" spans="1:64" x14ac:dyDescent="0.25">
      <c r="A4498" s="762">
        <f t="shared" si="1570"/>
        <v>4493</v>
      </c>
      <c r="B4498" s="229"/>
      <c r="C4498" s="223"/>
      <c r="D4498" s="224"/>
      <c r="E4498" s="225"/>
      <c r="F4498" s="1036" t="str">
        <f t="shared" si="1576"/>
        <v/>
      </c>
      <c r="G4498" s="1037" t="str">
        <f t="shared" si="1571"/>
        <v/>
      </c>
      <c r="H4498" s="225"/>
      <c r="I4498" s="1013"/>
      <c r="J4498" s="1013"/>
      <c r="K4498" s="1028"/>
      <c r="L4498" s="1035" t="str">
        <f t="shared" si="1575"/>
        <v/>
      </c>
      <c r="S4498" s="498"/>
      <c r="AJ4498" s="498"/>
      <c r="AM4498" s="498">
        <f t="shared" si="1556"/>
        <v>0</v>
      </c>
      <c r="AN4498" s="498">
        <f t="shared" si="1557"/>
        <v>0</v>
      </c>
      <c r="AO4498" s="498">
        <f t="shared" si="1558"/>
        <v>0</v>
      </c>
      <c r="AP4498" s="498">
        <f t="shared" si="1555"/>
        <v>0</v>
      </c>
      <c r="AQ4498" s="498">
        <f t="shared" si="1572"/>
        <v>0</v>
      </c>
      <c r="AU4498" s="498">
        <f t="shared" si="1559"/>
        <v>0</v>
      </c>
      <c r="AV4498" s="498">
        <f t="shared" si="1560"/>
        <v>0</v>
      </c>
      <c r="AW4498" s="498">
        <f t="shared" si="1561"/>
        <v>0</v>
      </c>
      <c r="AX4498" s="498">
        <f t="shared" si="1562"/>
        <v>0</v>
      </c>
      <c r="AY4498" s="498">
        <f t="shared" si="1563"/>
        <v>0</v>
      </c>
      <c r="BB4498" s="498" t="str">
        <f t="shared" si="1564"/>
        <v/>
      </c>
      <c r="BC4498" s="743" t="str">
        <f t="shared" si="1565"/>
        <v/>
      </c>
      <c r="BD4498" s="743" t="str">
        <f t="shared" si="1566"/>
        <v/>
      </c>
      <c r="BE4498" s="743" t="str">
        <f>IF(D4498="","",VLOOKUP(D4498,'General Basis'!$J$39:$K$46,2,0))</f>
        <v/>
      </c>
      <c r="BF4498" s="744" t="str">
        <f>IF(D4498="","",VLOOKUP(D4498,'General Basis'!$J$39:$L$46,3,0))</f>
        <v/>
      </c>
      <c r="BG4498" s="744" t="str">
        <f t="shared" si="1573"/>
        <v/>
      </c>
      <c r="BH4498" s="744" t="str">
        <f>IF(G4498="","",IF(BF4498="Abu Dhabi",IF(G4498&lt;18,'General Basis'!$C$39,IF(G4498&lt;41,'General Basis'!$C$40,IF(G4498&lt;60,'General Basis'!$C$41,IF(G4498&lt;65,'General Basis'!$C$42,'General Basis'!$C$43)))),IF(G4498&lt;11,'General Basis'!$B$39,IF(G4498&lt;18,'General Basis'!$B$40,IF(G4498&lt;26,'General Basis'!$B$41,IF(G4498&lt;31,'General Basis'!$B$42,IF(G4498&lt;36,'General Basis'!$B$43,IF(G4498&lt;41,'General Basis'!$B$44,IF(G4498&lt;46,'General Basis'!$B$45,IF(G4498&lt;51,'General Basis'!$B$46,IF(G4498&lt;56,'General Basis'!$B$47,IF(G4498&lt;60,'General Basis'!$B$48,IF(G4498&lt;65,'General Basis'!$B$49,'General Basis'!$B$50)))))))))))))</f>
        <v/>
      </c>
      <c r="BI4498" s="744" t="str">
        <f t="shared" si="1567"/>
        <v/>
      </c>
      <c r="BJ4498" s="747" t="str">
        <f t="shared" si="1574"/>
        <v/>
      </c>
      <c r="BK4498" s="498" t="str">
        <f t="shared" si="1568"/>
        <v/>
      </c>
      <c r="BL4498" s="498" t="str">
        <f t="shared" si="1569"/>
        <v/>
      </c>
    </row>
    <row r="4499" spans="1:64" x14ac:dyDescent="0.25">
      <c r="A4499" s="762">
        <f t="shared" si="1570"/>
        <v>4494</v>
      </c>
      <c r="B4499" s="229"/>
      <c r="C4499" s="223"/>
      <c r="D4499" s="224"/>
      <c r="E4499" s="225"/>
      <c r="F4499" s="1036" t="str">
        <f t="shared" si="1576"/>
        <v/>
      </c>
      <c r="G4499" s="1037" t="str">
        <f t="shared" si="1571"/>
        <v/>
      </c>
      <c r="H4499" s="225"/>
      <c r="I4499" s="1013"/>
      <c r="J4499" s="1013"/>
      <c r="K4499" s="1028"/>
      <c r="L4499" s="1035" t="str">
        <f t="shared" si="1575"/>
        <v/>
      </c>
      <c r="S4499" s="498"/>
      <c r="AJ4499" s="498"/>
      <c r="AM4499" s="498">
        <f t="shared" si="1556"/>
        <v>0</v>
      </c>
      <c r="AN4499" s="498">
        <f t="shared" si="1557"/>
        <v>0</v>
      </c>
      <c r="AO4499" s="498">
        <f t="shared" si="1558"/>
        <v>0</v>
      </c>
      <c r="AP4499" s="498">
        <f t="shared" ref="AP4499:AP4562" si="1577">IF(ISBLANK($B4499),0,IF(OR($C4499="M",$C4499="F"),0,1))</f>
        <v>0</v>
      </c>
      <c r="AQ4499" s="498">
        <f t="shared" si="1572"/>
        <v>0</v>
      </c>
      <c r="AU4499" s="498">
        <f t="shared" si="1559"/>
        <v>0</v>
      </c>
      <c r="AV4499" s="498">
        <f t="shared" si="1560"/>
        <v>0</v>
      </c>
      <c r="AW4499" s="498">
        <f t="shared" si="1561"/>
        <v>0</v>
      </c>
      <c r="AX4499" s="498">
        <f t="shared" si="1562"/>
        <v>0</v>
      </c>
      <c r="AY4499" s="498">
        <f t="shared" si="1563"/>
        <v>0</v>
      </c>
      <c r="BB4499" s="498" t="str">
        <f t="shared" si="1564"/>
        <v/>
      </c>
      <c r="BC4499" s="743" t="str">
        <f t="shared" si="1565"/>
        <v/>
      </c>
      <c r="BD4499" s="743" t="str">
        <f t="shared" si="1566"/>
        <v/>
      </c>
      <c r="BE4499" s="743" t="str">
        <f>IF(D4499="","",VLOOKUP(D4499,'General Basis'!$J$39:$K$46,2,0))</f>
        <v/>
      </c>
      <c r="BF4499" s="744" t="str">
        <f>IF(D4499="","",VLOOKUP(D4499,'General Basis'!$J$39:$L$46,3,0))</f>
        <v/>
      </c>
      <c r="BG4499" s="744" t="str">
        <f t="shared" si="1573"/>
        <v/>
      </c>
      <c r="BH4499" s="744" t="str">
        <f>IF(G4499="","",IF(BF4499="Abu Dhabi",IF(G4499&lt;18,'General Basis'!$C$39,IF(G4499&lt;41,'General Basis'!$C$40,IF(G4499&lt;60,'General Basis'!$C$41,IF(G4499&lt;65,'General Basis'!$C$42,'General Basis'!$C$43)))),IF(G4499&lt;11,'General Basis'!$B$39,IF(G4499&lt;18,'General Basis'!$B$40,IF(G4499&lt;26,'General Basis'!$B$41,IF(G4499&lt;31,'General Basis'!$B$42,IF(G4499&lt;36,'General Basis'!$B$43,IF(G4499&lt;41,'General Basis'!$B$44,IF(G4499&lt;46,'General Basis'!$B$45,IF(G4499&lt;51,'General Basis'!$B$46,IF(G4499&lt;56,'General Basis'!$B$47,IF(G4499&lt;60,'General Basis'!$B$48,IF(G4499&lt;65,'General Basis'!$B$49,'General Basis'!$B$50)))))))))))))</f>
        <v/>
      </c>
      <c r="BI4499" s="744" t="str">
        <f t="shared" si="1567"/>
        <v/>
      </c>
      <c r="BJ4499" s="747" t="str">
        <f t="shared" si="1574"/>
        <v/>
      </c>
      <c r="BK4499" s="498" t="str">
        <f t="shared" si="1568"/>
        <v/>
      </c>
      <c r="BL4499" s="498" t="str">
        <f t="shared" si="1569"/>
        <v/>
      </c>
    </row>
    <row r="4500" spans="1:64" x14ac:dyDescent="0.25">
      <c r="A4500" s="762">
        <f t="shared" si="1570"/>
        <v>4495</v>
      </c>
      <c r="B4500" s="229"/>
      <c r="C4500" s="223"/>
      <c r="D4500" s="224"/>
      <c r="E4500" s="225"/>
      <c r="F4500" s="1036" t="str">
        <f t="shared" si="1576"/>
        <v/>
      </c>
      <c r="G4500" s="1037" t="str">
        <f t="shared" si="1571"/>
        <v/>
      </c>
      <c r="H4500" s="225"/>
      <c r="I4500" s="1013"/>
      <c r="J4500" s="1013"/>
      <c r="K4500" s="1028"/>
      <c r="L4500" s="1035" t="str">
        <f t="shared" si="1575"/>
        <v/>
      </c>
      <c r="S4500" s="498"/>
      <c r="AJ4500" s="498"/>
      <c r="AM4500" s="498">
        <f t="shared" si="1556"/>
        <v>0</v>
      </c>
      <c r="AN4500" s="498">
        <f t="shared" si="1557"/>
        <v>0</v>
      </c>
      <c r="AO4500" s="498">
        <f t="shared" si="1558"/>
        <v>0</v>
      </c>
      <c r="AP4500" s="498">
        <f t="shared" si="1577"/>
        <v>0</v>
      </c>
      <c r="AQ4500" s="498">
        <f t="shared" si="1572"/>
        <v>0</v>
      </c>
      <c r="AU4500" s="498">
        <f t="shared" si="1559"/>
        <v>0</v>
      </c>
      <c r="AV4500" s="498">
        <f t="shared" si="1560"/>
        <v>0</v>
      </c>
      <c r="AW4500" s="498">
        <f t="shared" si="1561"/>
        <v>0</v>
      </c>
      <c r="AX4500" s="498">
        <f t="shared" si="1562"/>
        <v>0</v>
      </c>
      <c r="AY4500" s="498">
        <f t="shared" si="1563"/>
        <v>0</v>
      </c>
      <c r="BB4500" s="498" t="str">
        <f t="shared" si="1564"/>
        <v/>
      </c>
      <c r="BC4500" s="743" t="str">
        <f t="shared" si="1565"/>
        <v/>
      </c>
      <c r="BD4500" s="743" t="str">
        <f t="shared" si="1566"/>
        <v/>
      </c>
      <c r="BE4500" s="743" t="str">
        <f>IF(D4500="","",VLOOKUP(D4500,'General Basis'!$J$39:$K$46,2,0))</f>
        <v/>
      </c>
      <c r="BF4500" s="744" t="str">
        <f>IF(D4500="","",VLOOKUP(D4500,'General Basis'!$J$39:$L$46,3,0))</f>
        <v/>
      </c>
      <c r="BG4500" s="744" t="str">
        <f t="shared" si="1573"/>
        <v/>
      </c>
      <c r="BH4500" s="744" t="str">
        <f>IF(G4500="","",IF(BF4500="Abu Dhabi",IF(G4500&lt;18,'General Basis'!$C$39,IF(G4500&lt;41,'General Basis'!$C$40,IF(G4500&lt;60,'General Basis'!$C$41,IF(G4500&lt;65,'General Basis'!$C$42,'General Basis'!$C$43)))),IF(G4500&lt;11,'General Basis'!$B$39,IF(G4500&lt;18,'General Basis'!$B$40,IF(G4500&lt;26,'General Basis'!$B$41,IF(G4500&lt;31,'General Basis'!$B$42,IF(G4500&lt;36,'General Basis'!$B$43,IF(G4500&lt;41,'General Basis'!$B$44,IF(G4500&lt;46,'General Basis'!$B$45,IF(G4500&lt;51,'General Basis'!$B$46,IF(G4500&lt;56,'General Basis'!$B$47,IF(G4500&lt;60,'General Basis'!$B$48,IF(G4500&lt;65,'General Basis'!$B$49,'General Basis'!$B$50)))))))))))))</f>
        <v/>
      </c>
      <c r="BI4500" s="744" t="str">
        <f t="shared" si="1567"/>
        <v/>
      </c>
      <c r="BJ4500" s="747" t="str">
        <f t="shared" si="1574"/>
        <v/>
      </c>
      <c r="BK4500" s="498" t="str">
        <f t="shared" si="1568"/>
        <v/>
      </c>
      <c r="BL4500" s="498" t="str">
        <f t="shared" si="1569"/>
        <v/>
      </c>
    </row>
    <row r="4501" spans="1:64" x14ac:dyDescent="0.25">
      <c r="A4501" s="762">
        <f t="shared" si="1570"/>
        <v>4496</v>
      </c>
      <c r="B4501" s="229"/>
      <c r="C4501" s="223"/>
      <c r="D4501" s="224"/>
      <c r="E4501" s="225"/>
      <c r="F4501" s="1036" t="str">
        <f t="shared" si="1576"/>
        <v/>
      </c>
      <c r="G4501" s="1037" t="str">
        <f t="shared" si="1571"/>
        <v/>
      </c>
      <c r="H4501" s="225"/>
      <c r="I4501" s="1013"/>
      <c r="J4501" s="1013"/>
      <c r="K4501" s="1028"/>
      <c r="L4501" s="1035" t="str">
        <f t="shared" si="1575"/>
        <v/>
      </c>
      <c r="S4501" s="498"/>
      <c r="AJ4501" s="498"/>
      <c r="AM4501" s="498">
        <f t="shared" si="1556"/>
        <v>0</v>
      </c>
      <c r="AN4501" s="498">
        <f t="shared" si="1557"/>
        <v>0</v>
      </c>
      <c r="AO4501" s="498">
        <f t="shared" si="1558"/>
        <v>0</v>
      </c>
      <c r="AP4501" s="498">
        <f t="shared" si="1577"/>
        <v>0</v>
      </c>
      <c r="AQ4501" s="498">
        <f t="shared" si="1572"/>
        <v>0</v>
      </c>
      <c r="AU4501" s="498">
        <f t="shared" si="1559"/>
        <v>0</v>
      </c>
      <c r="AV4501" s="498">
        <f t="shared" si="1560"/>
        <v>0</v>
      </c>
      <c r="AW4501" s="498">
        <f t="shared" si="1561"/>
        <v>0</v>
      </c>
      <c r="AX4501" s="498">
        <f t="shared" si="1562"/>
        <v>0</v>
      </c>
      <c r="AY4501" s="498">
        <f t="shared" si="1563"/>
        <v>0</v>
      </c>
      <c r="BB4501" s="498" t="str">
        <f t="shared" si="1564"/>
        <v/>
      </c>
      <c r="BC4501" s="743" t="str">
        <f t="shared" si="1565"/>
        <v/>
      </c>
      <c r="BD4501" s="743" t="str">
        <f t="shared" si="1566"/>
        <v/>
      </c>
      <c r="BE4501" s="743" t="str">
        <f>IF(D4501="","",VLOOKUP(D4501,'General Basis'!$J$39:$K$46,2,0))</f>
        <v/>
      </c>
      <c r="BF4501" s="744" t="str">
        <f>IF(D4501="","",VLOOKUP(D4501,'General Basis'!$J$39:$L$46,3,0))</f>
        <v/>
      </c>
      <c r="BG4501" s="744" t="str">
        <f t="shared" si="1573"/>
        <v/>
      </c>
      <c r="BH4501" s="744" t="str">
        <f>IF(G4501="","",IF(BF4501="Abu Dhabi",IF(G4501&lt;18,'General Basis'!$C$39,IF(G4501&lt;41,'General Basis'!$C$40,IF(G4501&lt;60,'General Basis'!$C$41,IF(G4501&lt;65,'General Basis'!$C$42,'General Basis'!$C$43)))),IF(G4501&lt;11,'General Basis'!$B$39,IF(G4501&lt;18,'General Basis'!$B$40,IF(G4501&lt;26,'General Basis'!$B$41,IF(G4501&lt;31,'General Basis'!$B$42,IF(G4501&lt;36,'General Basis'!$B$43,IF(G4501&lt;41,'General Basis'!$B$44,IF(G4501&lt;46,'General Basis'!$B$45,IF(G4501&lt;51,'General Basis'!$B$46,IF(G4501&lt;56,'General Basis'!$B$47,IF(G4501&lt;60,'General Basis'!$B$48,IF(G4501&lt;65,'General Basis'!$B$49,'General Basis'!$B$50)))))))))))))</f>
        <v/>
      </c>
      <c r="BI4501" s="744" t="str">
        <f t="shared" si="1567"/>
        <v/>
      </c>
      <c r="BJ4501" s="747" t="str">
        <f t="shared" si="1574"/>
        <v/>
      </c>
      <c r="BK4501" s="498" t="str">
        <f t="shared" si="1568"/>
        <v/>
      </c>
      <c r="BL4501" s="498" t="str">
        <f t="shared" si="1569"/>
        <v/>
      </c>
    </row>
    <row r="4502" spans="1:64" x14ac:dyDescent="0.25">
      <c r="A4502" s="762">
        <f t="shared" si="1570"/>
        <v>4497</v>
      </c>
      <c r="B4502" s="229"/>
      <c r="C4502" s="223"/>
      <c r="D4502" s="224"/>
      <c r="E4502" s="225"/>
      <c r="F4502" s="1036" t="str">
        <f t="shared" si="1576"/>
        <v/>
      </c>
      <c r="G4502" s="1037" t="str">
        <f t="shared" si="1571"/>
        <v/>
      </c>
      <c r="H4502" s="225"/>
      <c r="I4502" s="1013"/>
      <c r="J4502" s="1013"/>
      <c r="K4502" s="1028"/>
      <c r="L4502" s="1035" t="str">
        <f t="shared" si="1575"/>
        <v/>
      </c>
      <c r="S4502" s="498"/>
      <c r="AJ4502" s="498"/>
      <c r="AM4502" s="498">
        <f t="shared" si="1556"/>
        <v>0</v>
      </c>
      <c r="AN4502" s="498">
        <f t="shared" si="1557"/>
        <v>0</v>
      </c>
      <c r="AO4502" s="498">
        <f t="shared" si="1558"/>
        <v>0</v>
      </c>
      <c r="AP4502" s="498">
        <f t="shared" si="1577"/>
        <v>0</v>
      </c>
      <c r="AQ4502" s="498">
        <f t="shared" si="1572"/>
        <v>0</v>
      </c>
      <c r="AU4502" s="498">
        <f t="shared" si="1559"/>
        <v>0</v>
      </c>
      <c r="AV4502" s="498">
        <f t="shared" si="1560"/>
        <v>0</v>
      </c>
      <c r="AW4502" s="498">
        <f t="shared" si="1561"/>
        <v>0</v>
      </c>
      <c r="AX4502" s="498">
        <f t="shared" si="1562"/>
        <v>0</v>
      </c>
      <c r="AY4502" s="498">
        <f t="shared" si="1563"/>
        <v>0</v>
      </c>
      <c r="BB4502" s="498" t="str">
        <f t="shared" si="1564"/>
        <v/>
      </c>
      <c r="BC4502" s="743" t="str">
        <f t="shared" si="1565"/>
        <v/>
      </c>
      <c r="BD4502" s="743" t="str">
        <f t="shared" si="1566"/>
        <v/>
      </c>
      <c r="BE4502" s="743" t="str">
        <f>IF(D4502="","",VLOOKUP(D4502,'General Basis'!$J$39:$K$46,2,0))</f>
        <v/>
      </c>
      <c r="BF4502" s="744" t="str">
        <f>IF(D4502="","",VLOOKUP(D4502,'General Basis'!$J$39:$L$46,3,0))</f>
        <v/>
      </c>
      <c r="BG4502" s="744" t="str">
        <f t="shared" si="1573"/>
        <v/>
      </c>
      <c r="BH4502" s="744" t="str">
        <f>IF(G4502="","",IF(BF4502="Abu Dhabi",IF(G4502&lt;18,'General Basis'!$C$39,IF(G4502&lt;41,'General Basis'!$C$40,IF(G4502&lt;60,'General Basis'!$C$41,IF(G4502&lt;65,'General Basis'!$C$42,'General Basis'!$C$43)))),IF(G4502&lt;11,'General Basis'!$B$39,IF(G4502&lt;18,'General Basis'!$B$40,IF(G4502&lt;26,'General Basis'!$B$41,IF(G4502&lt;31,'General Basis'!$B$42,IF(G4502&lt;36,'General Basis'!$B$43,IF(G4502&lt;41,'General Basis'!$B$44,IF(G4502&lt;46,'General Basis'!$B$45,IF(G4502&lt;51,'General Basis'!$B$46,IF(G4502&lt;56,'General Basis'!$B$47,IF(G4502&lt;60,'General Basis'!$B$48,IF(G4502&lt;65,'General Basis'!$B$49,'General Basis'!$B$50)))))))))))))</f>
        <v/>
      </c>
      <c r="BI4502" s="744" t="str">
        <f t="shared" si="1567"/>
        <v/>
      </c>
      <c r="BJ4502" s="747" t="str">
        <f t="shared" si="1574"/>
        <v/>
      </c>
      <c r="BK4502" s="498" t="str">
        <f t="shared" si="1568"/>
        <v/>
      </c>
      <c r="BL4502" s="498" t="str">
        <f t="shared" si="1569"/>
        <v/>
      </c>
    </row>
    <row r="4503" spans="1:64" x14ac:dyDescent="0.25">
      <c r="A4503" s="762">
        <f t="shared" si="1570"/>
        <v>4498</v>
      </c>
      <c r="B4503" s="229"/>
      <c r="C4503" s="223"/>
      <c r="D4503" s="224"/>
      <c r="E4503" s="225"/>
      <c r="F4503" s="1036" t="str">
        <f t="shared" si="1576"/>
        <v/>
      </c>
      <c r="G4503" s="1037" t="str">
        <f t="shared" si="1571"/>
        <v/>
      </c>
      <c r="H4503" s="225"/>
      <c r="I4503" s="1013"/>
      <c r="J4503" s="1013"/>
      <c r="K4503" s="1028"/>
      <c r="L4503" s="1035" t="str">
        <f t="shared" si="1575"/>
        <v/>
      </c>
      <c r="S4503" s="498"/>
      <c r="AJ4503" s="498"/>
      <c r="AM4503" s="498">
        <f t="shared" si="1556"/>
        <v>0</v>
      </c>
      <c r="AN4503" s="498">
        <f t="shared" si="1557"/>
        <v>0</v>
      </c>
      <c r="AO4503" s="498">
        <f t="shared" si="1558"/>
        <v>0</v>
      </c>
      <c r="AP4503" s="498">
        <f t="shared" si="1577"/>
        <v>0</v>
      </c>
      <c r="AQ4503" s="498">
        <f t="shared" si="1572"/>
        <v>0</v>
      </c>
      <c r="AU4503" s="498">
        <f t="shared" si="1559"/>
        <v>0</v>
      </c>
      <c r="AV4503" s="498">
        <f t="shared" si="1560"/>
        <v>0</v>
      </c>
      <c r="AW4503" s="498">
        <f t="shared" si="1561"/>
        <v>0</v>
      </c>
      <c r="AX4503" s="498">
        <f t="shared" si="1562"/>
        <v>0</v>
      </c>
      <c r="AY4503" s="498">
        <f t="shared" si="1563"/>
        <v>0</v>
      </c>
      <c r="BB4503" s="498" t="str">
        <f t="shared" si="1564"/>
        <v/>
      </c>
      <c r="BC4503" s="743" t="str">
        <f t="shared" si="1565"/>
        <v/>
      </c>
      <c r="BD4503" s="743" t="str">
        <f t="shared" si="1566"/>
        <v/>
      </c>
      <c r="BE4503" s="743" t="str">
        <f>IF(D4503="","",VLOOKUP(D4503,'General Basis'!$J$39:$K$46,2,0))</f>
        <v/>
      </c>
      <c r="BF4503" s="744" t="str">
        <f>IF(D4503="","",VLOOKUP(D4503,'General Basis'!$J$39:$L$46,3,0))</f>
        <v/>
      </c>
      <c r="BG4503" s="744" t="str">
        <f t="shared" si="1573"/>
        <v/>
      </c>
      <c r="BH4503" s="744" t="str">
        <f>IF(G4503="","",IF(BF4503="Abu Dhabi",IF(G4503&lt;18,'General Basis'!$C$39,IF(G4503&lt;41,'General Basis'!$C$40,IF(G4503&lt;60,'General Basis'!$C$41,IF(G4503&lt;65,'General Basis'!$C$42,'General Basis'!$C$43)))),IF(G4503&lt;11,'General Basis'!$B$39,IF(G4503&lt;18,'General Basis'!$B$40,IF(G4503&lt;26,'General Basis'!$B$41,IF(G4503&lt;31,'General Basis'!$B$42,IF(G4503&lt;36,'General Basis'!$B$43,IF(G4503&lt;41,'General Basis'!$B$44,IF(G4503&lt;46,'General Basis'!$B$45,IF(G4503&lt;51,'General Basis'!$B$46,IF(G4503&lt;56,'General Basis'!$B$47,IF(G4503&lt;60,'General Basis'!$B$48,IF(G4503&lt;65,'General Basis'!$B$49,'General Basis'!$B$50)))))))))))))</f>
        <v/>
      </c>
      <c r="BI4503" s="744" t="str">
        <f t="shared" si="1567"/>
        <v/>
      </c>
      <c r="BJ4503" s="747" t="str">
        <f t="shared" si="1574"/>
        <v/>
      </c>
      <c r="BK4503" s="498" t="str">
        <f t="shared" si="1568"/>
        <v/>
      </c>
      <c r="BL4503" s="498" t="str">
        <f t="shared" si="1569"/>
        <v/>
      </c>
    </row>
    <row r="4504" spans="1:64" x14ac:dyDescent="0.25">
      <c r="A4504" s="762">
        <f t="shared" si="1570"/>
        <v>4499</v>
      </c>
      <c r="B4504" s="229"/>
      <c r="C4504" s="223"/>
      <c r="D4504" s="224"/>
      <c r="E4504" s="225"/>
      <c r="F4504" s="1036" t="str">
        <f t="shared" si="1576"/>
        <v/>
      </c>
      <c r="G4504" s="1037" t="str">
        <f t="shared" si="1571"/>
        <v/>
      </c>
      <c r="H4504" s="225"/>
      <c r="I4504" s="1013"/>
      <c r="J4504" s="1013"/>
      <c r="K4504" s="1028"/>
      <c r="L4504" s="1035" t="str">
        <f t="shared" si="1575"/>
        <v/>
      </c>
      <c r="S4504" s="498"/>
      <c r="AJ4504" s="498"/>
      <c r="AM4504" s="498">
        <f t="shared" si="1556"/>
        <v>0</v>
      </c>
      <c r="AN4504" s="498">
        <f t="shared" si="1557"/>
        <v>0</v>
      </c>
      <c r="AO4504" s="498">
        <f t="shared" si="1558"/>
        <v>0</v>
      </c>
      <c r="AP4504" s="498">
        <f t="shared" si="1577"/>
        <v>0</v>
      </c>
      <c r="AQ4504" s="498">
        <f t="shared" si="1572"/>
        <v>0</v>
      </c>
      <c r="AU4504" s="498">
        <f t="shared" si="1559"/>
        <v>0</v>
      </c>
      <c r="AV4504" s="498">
        <f t="shared" si="1560"/>
        <v>0</v>
      </c>
      <c r="AW4504" s="498">
        <f t="shared" si="1561"/>
        <v>0</v>
      </c>
      <c r="AX4504" s="498">
        <f t="shared" si="1562"/>
        <v>0</v>
      </c>
      <c r="AY4504" s="498">
        <f t="shared" si="1563"/>
        <v>0</v>
      </c>
      <c r="BB4504" s="498" t="str">
        <f t="shared" si="1564"/>
        <v/>
      </c>
      <c r="BC4504" s="743" t="str">
        <f t="shared" si="1565"/>
        <v/>
      </c>
      <c r="BD4504" s="743" t="str">
        <f t="shared" si="1566"/>
        <v/>
      </c>
      <c r="BE4504" s="743" t="str">
        <f>IF(D4504="","",VLOOKUP(D4504,'General Basis'!$J$39:$K$46,2,0))</f>
        <v/>
      </c>
      <c r="BF4504" s="744" t="str">
        <f>IF(D4504="","",VLOOKUP(D4504,'General Basis'!$J$39:$L$46,3,0))</f>
        <v/>
      </c>
      <c r="BG4504" s="744" t="str">
        <f t="shared" si="1573"/>
        <v/>
      </c>
      <c r="BH4504" s="744" t="str">
        <f>IF(G4504="","",IF(BF4504="Abu Dhabi",IF(G4504&lt;18,'General Basis'!$C$39,IF(G4504&lt;41,'General Basis'!$C$40,IF(G4504&lt;60,'General Basis'!$C$41,IF(G4504&lt;65,'General Basis'!$C$42,'General Basis'!$C$43)))),IF(G4504&lt;11,'General Basis'!$B$39,IF(G4504&lt;18,'General Basis'!$B$40,IF(G4504&lt;26,'General Basis'!$B$41,IF(G4504&lt;31,'General Basis'!$B$42,IF(G4504&lt;36,'General Basis'!$B$43,IF(G4504&lt;41,'General Basis'!$B$44,IF(G4504&lt;46,'General Basis'!$B$45,IF(G4504&lt;51,'General Basis'!$B$46,IF(G4504&lt;56,'General Basis'!$B$47,IF(G4504&lt;60,'General Basis'!$B$48,IF(G4504&lt;65,'General Basis'!$B$49,'General Basis'!$B$50)))))))))))))</f>
        <v/>
      </c>
      <c r="BI4504" s="744" t="str">
        <f t="shared" si="1567"/>
        <v/>
      </c>
      <c r="BJ4504" s="747" t="str">
        <f t="shared" si="1574"/>
        <v/>
      </c>
      <c r="BK4504" s="498" t="str">
        <f t="shared" si="1568"/>
        <v/>
      </c>
      <c r="BL4504" s="498" t="str">
        <f t="shared" si="1569"/>
        <v/>
      </c>
    </row>
    <row r="4505" spans="1:64" x14ac:dyDescent="0.25">
      <c r="A4505" s="762">
        <f t="shared" si="1570"/>
        <v>4500</v>
      </c>
      <c r="B4505" s="229"/>
      <c r="C4505" s="223"/>
      <c r="D4505" s="224"/>
      <c r="E4505" s="225"/>
      <c r="F4505" s="1036" t="str">
        <f t="shared" si="1576"/>
        <v/>
      </c>
      <c r="G4505" s="1037" t="str">
        <f t="shared" si="1571"/>
        <v/>
      </c>
      <c r="H4505" s="225"/>
      <c r="I4505" s="1013"/>
      <c r="J4505" s="1013"/>
      <c r="K4505" s="1028"/>
      <c r="L4505" s="1035" t="str">
        <f t="shared" si="1575"/>
        <v/>
      </c>
      <c r="S4505" s="498"/>
      <c r="AJ4505" s="498"/>
      <c r="AM4505" s="498">
        <f t="shared" si="1556"/>
        <v>0</v>
      </c>
      <c r="AN4505" s="498">
        <f t="shared" si="1557"/>
        <v>0</v>
      </c>
      <c r="AO4505" s="498">
        <f t="shared" si="1558"/>
        <v>0</v>
      </c>
      <c r="AP4505" s="498">
        <f t="shared" si="1577"/>
        <v>0</v>
      </c>
      <c r="AQ4505" s="498">
        <f t="shared" si="1572"/>
        <v>0</v>
      </c>
      <c r="AU4505" s="498">
        <f t="shared" si="1559"/>
        <v>0</v>
      </c>
      <c r="AV4505" s="498">
        <f t="shared" si="1560"/>
        <v>0</v>
      </c>
      <c r="AW4505" s="498">
        <f t="shared" si="1561"/>
        <v>0</v>
      </c>
      <c r="AX4505" s="498">
        <f t="shared" si="1562"/>
        <v>0</v>
      </c>
      <c r="AY4505" s="498">
        <f t="shared" si="1563"/>
        <v>0</v>
      </c>
      <c r="BB4505" s="498" t="str">
        <f t="shared" si="1564"/>
        <v/>
      </c>
      <c r="BC4505" s="743" t="str">
        <f t="shared" si="1565"/>
        <v/>
      </c>
      <c r="BD4505" s="743" t="str">
        <f t="shared" si="1566"/>
        <v/>
      </c>
      <c r="BE4505" s="743" t="str">
        <f>IF(D4505="","",VLOOKUP(D4505,'General Basis'!$J$39:$K$46,2,0))</f>
        <v/>
      </c>
      <c r="BF4505" s="744" t="str">
        <f>IF(D4505="","",VLOOKUP(D4505,'General Basis'!$J$39:$L$46,3,0))</f>
        <v/>
      </c>
      <c r="BG4505" s="744" t="str">
        <f t="shared" si="1573"/>
        <v/>
      </c>
      <c r="BH4505" s="744" t="str">
        <f>IF(G4505="","",IF(BF4505="Abu Dhabi",IF(G4505&lt;18,'General Basis'!$C$39,IF(G4505&lt;41,'General Basis'!$C$40,IF(G4505&lt;60,'General Basis'!$C$41,IF(G4505&lt;65,'General Basis'!$C$42,'General Basis'!$C$43)))),IF(G4505&lt;11,'General Basis'!$B$39,IF(G4505&lt;18,'General Basis'!$B$40,IF(G4505&lt;26,'General Basis'!$B$41,IF(G4505&lt;31,'General Basis'!$B$42,IF(G4505&lt;36,'General Basis'!$B$43,IF(G4505&lt;41,'General Basis'!$B$44,IF(G4505&lt;46,'General Basis'!$B$45,IF(G4505&lt;51,'General Basis'!$B$46,IF(G4505&lt;56,'General Basis'!$B$47,IF(G4505&lt;60,'General Basis'!$B$48,IF(G4505&lt;65,'General Basis'!$B$49,'General Basis'!$B$50)))))))))))))</f>
        <v/>
      </c>
      <c r="BI4505" s="744" t="str">
        <f t="shared" si="1567"/>
        <v/>
      </c>
      <c r="BJ4505" s="747" t="str">
        <f t="shared" si="1574"/>
        <v/>
      </c>
      <c r="BK4505" s="498" t="str">
        <f t="shared" si="1568"/>
        <v/>
      </c>
      <c r="BL4505" s="498" t="str">
        <f t="shared" si="1569"/>
        <v/>
      </c>
    </row>
    <row r="4506" spans="1:64" x14ac:dyDescent="0.25">
      <c r="A4506" s="762">
        <f t="shared" si="1570"/>
        <v>4501</v>
      </c>
      <c r="B4506" s="229"/>
      <c r="C4506" s="223"/>
      <c r="D4506" s="224"/>
      <c r="E4506" s="225"/>
      <c r="F4506" s="1036" t="str">
        <f t="shared" si="1576"/>
        <v/>
      </c>
      <c r="G4506" s="1037" t="str">
        <f t="shared" si="1571"/>
        <v/>
      </c>
      <c r="H4506" s="225"/>
      <c r="I4506" s="1013"/>
      <c r="J4506" s="1013"/>
      <c r="K4506" s="1028"/>
      <c r="L4506" s="1035" t="str">
        <f t="shared" si="1575"/>
        <v/>
      </c>
      <c r="S4506" s="498"/>
      <c r="AJ4506" s="498"/>
      <c r="AM4506" s="498">
        <f t="shared" si="1556"/>
        <v>0</v>
      </c>
      <c r="AN4506" s="498">
        <f t="shared" si="1557"/>
        <v>0</v>
      </c>
      <c r="AO4506" s="498">
        <f t="shared" si="1558"/>
        <v>0</v>
      </c>
      <c r="AP4506" s="498">
        <f t="shared" si="1577"/>
        <v>0</v>
      </c>
      <c r="AQ4506" s="498">
        <f t="shared" si="1572"/>
        <v>0</v>
      </c>
      <c r="AU4506" s="498">
        <f t="shared" si="1559"/>
        <v>0</v>
      </c>
      <c r="AV4506" s="498">
        <f t="shared" si="1560"/>
        <v>0</v>
      </c>
      <c r="AW4506" s="498">
        <f t="shared" si="1561"/>
        <v>0</v>
      </c>
      <c r="AX4506" s="498">
        <f t="shared" si="1562"/>
        <v>0</v>
      </c>
      <c r="AY4506" s="498">
        <f t="shared" si="1563"/>
        <v>0</v>
      </c>
      <c r="BB4506" s="498" t="str">
        <f t="shared" si="1564"/>
        <v/>
      </c>
      <c r="BC4506" s="743" t="str">
        <f t="shared" si="1565"/>
        <v/>
      </c>
      <c r="BD4506" s="743" t="str">
        <f t="shared" si="1566"/>
        <v/>
      </c>
      <c r="BE4506" s="743" t="str">
        <f>IF(D4506="","",VLOOKUP(D4506,'General Basis'!$J$39:$K$46,2,0))</f>
        <v/>
      </c>
      <c r="BF4506" s="744" t="str">
        <f>IF(D4506="","",VLOOKUP(D4506,'General Basis'!$J$39:$L$46,3,0))</f>
        <v/>
      </c>
      <c r="BG4506" s="744" t="str">
        <f t="shared" si="1573"/>
        <v/>
      </c>
      <c r="BH4506" s="744" t="str">
        <f>IF(G4506="","",IF(BF4506="Abu Dhabi",IF(G4506&lt;18,'General Basis'!$C$39,IF(G4506&lt;41,'General Basis'!$C$40,IF(G4506&lt;60,'General Basis'!$C$41,IF(G4506&lt;65,'General Basis'!$C$42,'General Basis'!$C$43)))),IF(G4506&lt;11,'General Basis'!$B$39,IF(G4506&lt;18,'General Basis'!$B$40,IF(G4506&lt;26,'General Basis'!$B$41,IF(G4506&lt;31,'General Basis'!$B$42,IF(G4506&lt;36,'General Basis'!$B$43,IF(G4506&lt;41,'General Basis'!$B$44,IF(G4506&lt;46,'General Basis'!$B$45,IF(G4506&lt;51,'General Basis'!$B$46,IF(G4506&lt;56,'General Basis'!$B$47,IF(G4506&lt;60,'General Basis'!$B$48,IF(G4506&lt;65,'General Basis'!$B$49,'General Basis'!$B$50)))))))))))))</f>
        <v/>
      </c>
      <c r="BI4506" s="744" t="str">
        <f t="shared" si="1567"/>
        <v/>
      </c>
      <c r="BJ4506" s="747" t="str">
        <f t="shared" si="1574"/>
        <v/>
      </c>
      <c r="BK4506" s="498" t="str">
        <f t="shared" si="1568"/>
        <v/>
      </c>
      <c r="BL4506" s="498" t="str">
        <f t="shared" si="1569"/>
        <v/>
      </c>
    </row>
    <row r="4507" spans="1:64" x14ac:dyDescent="0.25">
      <c r="A4507" s="762">
        <f t="shared" si="1570"/>
        <v>4502</v>
      </c>
      <c r="B4507" s="229"/>
      <c r="C4507" s="223"/>
      <c r="D4507" s="224"/>
      <c r="E4507" s="225"/>
      <c r="F4507" s="1036" t="str">
        <f t="shared" si="1576"/>
        <v/>
      </c>
      <c r="G4507" s="1037" t="str">
        <f t="shared" si="1571"/>
        <v/>
      </c>
      <c r="H4507" s="225"/>
      <c r="I4507" s="1013"/>
      <c r="J4507" s="1013"/>
      <c r="K4507" s="1028"/>
      <c r="L4507" s="1035" t="str">
        <f t="shared" si="1575"/>
        <v/>
      </c>
      <c r="S4507" s="498"/>
      <c r="AJ4507" s="498"/>
      <c r="AM4507" s="498">
        <f t="shared" si="1556"/>
        <v>0</v>
      </c>
      <c r="AN4507" s="498">
        <f t="shared" si="1557"/>
        <v>0</v>
      </c>
      <c r="AO4507" s="498">
        <f t="shared" si="1558"/>
        <v>0</v>
      </c>
      <c r="AP4507" s="498">
        <f t="shared" si="1577"/>
        <v>0</v>
      </c>
      <c r="AQ4507" s="498">
        <f t="shared" si="1572"/>
        <v>0</v>
      </c>
      <c r="AU4507" s="498">
        <f t="shared" si="1559"/>
        <v>0</v>
      </c>
      <c r="AV4507" s="498">
        <f t="shared" si="1560"/>
        <v>0</v>
      </c>
      <c r="AW4507" s="498">
        <f t="shared" si="1561"/>
        <v>0</v>
      </c>
      <c r="AX4507" s="498">
        <f t="shared" si="1562"/>
        <v>0</v>
      </c>
      <c r="AY4507" s="498">
        <f t="shared" si="1563"/>
        <v>0</v>
      </c>
      <c r="BB4507" s="498" t="str">
        <f t="shared" si="1564"/>
        <v/>
      </c>
      <c r="BC4507" s="743" t="str">
        <f t="shared" si="1565"/>
        <v/>
      </c>
      <c r="BD4507" s="743" t="str">
        <f t="shared" si="1566"/>
        <v/>
      </c>
      <c r="BE4507" s="743" t="str">
        <f>IF(D4507="","",VLOOKUP(D4507,'General Basis'!$J$39:$K$46,2,0))</f>
        <v/>
      </c>
      <c r="BF4507" s="744" t="str">
        <f>IF(D4507="","",VLOOKUP(D4507,'General Basis'!$J$39:$L$46,3,0))</f>
        <v/>
      </c>
      <c r="BG4507" s="744" t="str">
        <f t="shared" si="1573"/>
        <v/>
      </c>
      <c r="BH4507" s="744" t="str">
        <f>IF(G4507="","",IF(BF4507="Abu Dhabi",IF(G4507&lt;18,'General Basis'!$C$39,IF(G4507&lt;41,'General Basis'!$C$40,IF(G4507&lt;60,'General Basis'!$C$41,IF(G4507&lt;65,'General Basis'!$C$42,'General Basis'!$C$43)))),IF(G4507&lt;11,'General Basis'!$B$39,IF(G4507&lt;18,'General Basis'!$B$40,IF(G4507&lt;26,'General Basis'!$B$41,IF(G4507&lt;31,'General Basis'!$B$42,IF(G4507&lt;36,'General Basis'!$B$43,IF(G4507&lt;41,'General Basis'!$B$44,IF(G4507&lt;46,'General Basis'!$B$45,IF(G4507&lt;51,'General Basis'!$B$46,IF(G4507&lt;56,'General Basis'!$B$47,IF(G4507&lt;60,'General Basis'!$B$48,IF(G4507&lt;65,'General Basis'!$B$49,'General Basis'!$B$50)))))))))))))</f>
        <v/>
      </c>
      <c r="BI4507" s="744" t="str">
        <f t="shared" si="1567"/>
        <v/>
      </c>
      <c r="BJ4507" s="747" t="str">
        <f t="shared" si="1574"/>
        <v/>
      </c>
      <c r="BK4507" s="498" t="str">
        <f t="shared" si="1568"/>
        <v/>
      </c>
      <c r="BL4507" s="498" t="str">
        <f t="shared" si="1569"/>
        <v/>
      </c>
    </row>
    <row r="4508" spans="1:64" x14ac:dyDescent="0.25">
      <c r="A4508" s="762">
        <f t="shared" si="1570"/>
        <v>4503</v>
      </c>
      <c r="B4508" s="229"/>
      <c r="C4508" s="223"/>
      <c r="D4508" s="224"/>
      <c r="E4508" s="225"/>
      <c r="F4508" s="1036" t="str">
        <f t="shared" si="1576"/>
        <v/>
      </c>
      <c r="G4508" s="1037" t="str">
        <f t="shared" si="1571"/>
        <v/>
      </c>
      <c r="H4508" s="225"/>
      <c r="I4508" s="1013"/>
      <c r="J4508" s="1013"/>
      <c r="K4508" s="1028"/>
      <c r="L4508" s="1035" t="str">
        <f t="shared" si="1575"/>
        <v/>
      </c>
      <c r="S4508" s="498"/>
      <c r="AJ4508" s="498"/>
      <c r="AM4508" s="498">
        <f t="shared" si="1556"/>
        <v>0</v>
      </c>
      <c r="AN4508" s="498">
        <f t="shared" si="1557"/>
        <v>0</v>
      </c>
      <c r="AO4508" s="498">
        <f t="shared" si="1558"/>
        <v>0</v>
      </c>
      <c r="AP4508" s="498">
        <f t="shared" si="1577"/>
        <v>0</v>
      </c>
      <c r="AQ4508" s="498">
        <f t="shared" si="1572"/>
        <v>0</v>
      </c>
      <c r="AU4508" s="498">
        <f t="shared" si="1559"/>
        <v>0</v>
      </c>
      <c r="AV4508" s="498">
        <f t="shared" si="1560"/>
        <v>0</v>
      </c>
      <c r="AW4508" s="498">
        <f t="shared" si="1561"/>
        <v>0</v>
      </c>
      <c r="AX4508" s="498">
        <f t="shared" si="1562"/>
        <v>0</v>
      </c>
      <c r="AY4508" s="498">
        <f t="shared" si="1563"/>
        <v>0</v>
      </c>
      <c r="BB4508" s="498" t="str">
        <f t="shared" si="1564"/>
        <v/>
      </c>
      <c r="BC4508" s="743" t="str">
        <f t="shared" si="1565"/>
        <v/>
      </c>
      <c r="BD4508" s="743" t="str">
        <f t="shared" si="1566"/>
        <v/>
      </c>
      <c r="BE4508" s="743" t="str">
        <f>IF(D4508="","",VLOOKUP(D4508,'General Basis'!$J$39:$K$46,2,0))</f>
        <v/>
      </c>
      <c r="BF4508" s="744" t="str">
        <f>IF(D4508="","",VLOOKUP(D4508,'General Basis'!$J$39:$L$46,3,0))</f>
        <v/>
      </c>
      <c r="BG4508" s="744" t="str">
        <f t="shared" si="1573"/>
        <v/>
      </c>
      <c r="BH4508" s="744" t="str">
        <f>IF(G4508="","",IF(BF4508="Abu Dhabi",IF(G4508&lt;18,'General Basis'!$C$39,IF(G4508&lt;41,'General Basis'!$C$40,IF(G4508&lt;60,'General Basis'!$C$41,IF(G4508&lt;65,'General Basis'!$C$42,'General Basis'!$C$43)))),IF(G4508&lt;11,'General Basis'!$B$39,IF(G4508&lt;18,'General Basis'!$B$40,IF(G4508&lt;26,'General Basis'!$B$41,IF(G4508&lt;31,'General Basis'!$B$42,IF(G4508&lt;36,'General Basis'!$B$43,IF(G4508&lt;41,'General Basis'!$B$44,IF(G4508&lt;46,'General Basis'!$B$45,IF(G4508&lt;51,'General Basis'!$B$46,IF(G4508&lt;56,'General Basis'!$B$47,IF(G4508&lt;60,'General Basis'!$B$48,IF(G4508&lt;65,'General Basis'!$B$49,'General Basis'!$B$50)))))))))))))</f>
        <v/>
      </c>
      <c r="BI4508" s="744" t="str">
        <f t="shared" si="1567"/>
        <v/>
      </c>
      <c r="BJ4508" s="747" t="str">
        <f t="shared" si="1574"/>
        <v/>
      </c>
      <c r="BK4508" s="498" t="str">
        <f t="shared" si="1568"/>
        <v/>
      </c>
      <c r="BL4508" s="498" t="str">
        <f t="shared" si="1569"/>
        <v/>
      </c>
    </row>
    <row r="4509" spans="1:64" x14ac:dyDescent="0.25">
      <c r="A4509" s="762">
        <f t="shared" si="1570"/>
        <v>4504</v>
      </c>
      <c r="B4509" s="229"/>
      <c r="C4509" s="223"/>
      <c r="D4509" s="224"/>
      <c r="E4509" s="225"/>
      <c r="F4509" s="1036" t="str">
        <f t="shared" si="1576"/>
        <v/>
      </c>
      <c r="G4509" s="1037" t="str">
        <f t="shared" si="1571"/>
        <v/>
      </c>
      <c r="H4509" s="225"/>
      <c r="I4509" s="1013"/>
      <c r="J4509" s="1013"/>
      <c r="K4509" s="1028"/>
      <c r="L4509" s="1035" t="str">
        <f t="shared" si="1575"/>
        <v/>
      </c>
      <c r="S4509" s="498"/>
      <c r="AJ4509" s="498"/>
      <c r="AM4509" s="498">
        <f t="shared" si="1556"/>
        <v>0</v>
      </c>
      <c r="AN4509" s="498">
        <f t="shared" si="1557"/>
        <v>0</v>
      </c>
      <c r="AO4509" s="498">
        <f t="shared" si="1558"/>
        <v>0</v>
      </c>
      <c r="AP4509" s="498">
        <f t="shared" si="1577"/>
        <v>0</v>
      </c>
      <c r="AQ4509" s="498">
        <f t="shared" si="1572"/>
        <v>0</v>
      </c>
      <c r="AU4509" s="498">
        <f t="shared" si="1559"/>
        <v>0</v>
      </c>
      <c r="AV4509" s="498">
        <f t="shared" si="1560"/>
        <v>0</v>
      </c>
      <c r="AW4509" s="498">
        <f t="shared" si="1561"/>
        <v>0</v>
      </c>
      <c r="AX4509" s="498">
        <f t="shared" si="1562"/>
        <v>0</v>
      </c>
      <c r="AY4509" s="498">
        <f t="shared" si="1563"/>
        <v>0</v>
      </c>
      <c r="BB4509" s="498" t="str">
        <f t="shared" si="1564"/>
        <v/>
      </c>
      <c r="BC4509" s="743" t="str">
        <f t="shared" si="1565"/>
        <v/>
      </c>
      <c r="BD4509" s="743" t="str">
        <f t="shared" si="1566"/>
        <v/>
      </c>
      <c r="BE4509" s="743" t="str">
        <f>IF(D4509="","",VLOOKUP(D4509,'General Basis'!$J$39:$K$46,2,0))</f>
        <v/>
      </c>
      <c r="BF4509" s="744" t="str">
        <f>IF(D4509="","",VLOOKUP(D4509,'General Basis'!$J$39:$L$46,3,0))</f>
        <v/>
      </c>
      <c r="BG4509" s="744" t="str">
        <f t="shared" si="1573"/>
        <v/>
      </c>
      <c r="BH4509" s="744" t="str">
        <f>IF(G4509="","",IF(BF4509="Abu Dhabi",IF(G4509&lt;18,'General Basis'!$C$39,IF(G4509&lt;41,'General Basis'!$C$40,IF(G4509&lt;60,'General Basis'!$C$41,IF(G4509&lt;65,'General Basis'!$C$42,'General Basis'!$C$43)))),IF(G4509&lt;11,'General Basis'!$B$39,IF(G4509&lt;18,'General Basis'!$B$40,IF(G4509&lt;26,'General Basis'!$B$41,IF(G4509&lt;31,'General Basis'!$B$42,IF(G4509&lt;36,'General Basis'!$B$43,IF(G4509&lt;41,'General Basis'!$B$44,IF(G4509&lt;46,'General Basis'!$B$45,IF(G4509&lt;51,'General Basis'!$B$46,IF(G4509&lt;56,'General Basis'!$B$47,IF(G4509&lt;60,'General Basis'!$B$48,IF(G4509&lt;65,'General Basis'!$B$49,'General Basis'!$B$50)))))))))))))</f>
        <v/>
      </c>
      <c r="BI4509" s="744" t="str">
        <f t="shared" si="1567"/>
        <v/>
      </c>
      <c r="BJ4509" s="747" t="str">
        <f t="shared" si="1574"/>
        <v/>
      </c>
      <c r="BK4509" s="498" t="str">
        <f t="shared" si="1568"/>
        <v/>
      </c>
      <c r="BL4509" s="498" t="str">
        <f t="shared" si="1569"/>
        <v/>
      </c>
    </row>
    <row r="4510" spans="1:64" x14ac:dyDescent="0.25">
      <c r="A4510" s="762">
        <f t="shared" si="1570"/>
        <v>4505</v>
      </c>
      <c r="B4510" s="229"/>
      <c r="C4510" s="223"/>
      <c r="D4510" s="224"/>
      <c r="E4510" s="225"/>
      <c r="F4510" s="1036" t="str">
        <f t="shared" si="1576"/>
        <v/>
      </c>
      <c r="G4510" s="1037" t="str">
        <f t="shared" si="1571"/>
        <v/>
      </c>
      <c r="H4510" s="225"/>
      <c r="I4510" s="1013"/>
      <c r="J4510" s="1013"/>
      <c r="K4510" s="1028"/>
      <c r="L4510" s="1035" t="str">
        <f t="shared" si="1575"/>
        <v/>
      </c>
      <c r="S4510" s="498"/>
      <c r="AJ4510" s="498"/>
      <c r="AM4510" s="498">
        <f t="shared" si="1556"/>
        <v>0</v>
      </c>
      <c r="AN4510" s="498">
        <f t="shared" si="1557"/>
        <v>0</v>
      </c>
      <c r="AO4510" s="498">
        <f t="shared" si="1558"/>
        <v>0</v>
      </c>
      <c r="AP4510" s="498">
        <f t="shared" si="1577"/>
        <v>0</v>
      </c>
      <c r="AQ4510" s="498">
        <f t="shared" si="1572"/>
        <v>0</v>
      </c>
      <c r="AU4510" s="498">
        <f t="shared" si="1559"/>
        <v>0</v>
      </c>
      <c r="AV4510" s="498">
        <f t="shared" si="1560"/>
        <v>0</v>
      </c>
      <c r="AW4510" s="498">
        <f t="shared" si="1561"/>
        <v>0</v>
      </c>
      <c r="AX4510" s="498">
        <f t="shared" si="1562"/>
        <v>0</v>
      </c>
      <c r="AY4510" s="498">
        <f t="shared" si="1563"/>
        <v>0</v>
      </c>
      <c r="BB4510" s="498" t="str">
        <f t="shared" si="1564"/>
        <v/>
      </c>
      <c r="BC4510" s="743" t="str">
        <f t="shared" si="1565"/>
        <v/>
      </c>
      <c r="BD4510" s="743" t="str">
        <f t="shared" si="1566"/>
        <v/>
      </c>
      <c r="BE4510" s="743" t="str">
        <f>IF(D4510="","",VLOOKUP(D4510,'General Basis'!$J$39:$K$46,2,0))</f>
        <v/>
      </c>
      <c r="BF4510" s="744" t="str">
        <f>IF(D4510="","",VLOOKUP(D4510,'General Basis'!$J$39:$L$46,3,0))</f>
        <v/>
      </c>
      <c r="BG4510" s="744" t="str">
        <f t="shared" si="1573"/>
        <v/>
      </c>
      <c r="BH4510" s="744" t="str">
        <f>IF(G4510="","",IF(BF4510="Abu Dhabi",IF(G4510&lt;18,'General Basis'!$C$39,IF(G4510&lt;41,'General Basis'!$C$40,IF(G4510&lt;60,'General Basis'!$C$41,IF(G4510&lt;65,'General Basis'!$C$42,'General Basis'!$C$43)))),IF(G4510&lt;11,'General Basis'!$B$39,IF(G4510&lt;18,'General Basis'!$B$40,IF(G4510&lt;26,'General Basis'!$B$41,IF(G4510&lt;31,'General Basis'!$B$42,IF(G4510&lt;36,'General Basis'!$B$43,IF(G4510&lt;41,'General Basis'!$B$44,IF(G4510&lt;46,'General Basis'!$B$45,IF(G4510&lt;51,'General Basis'!$B$46,IF(G4510&lt;56,'General Basis'!$B$47,IF(G4510&lt;60,'General Basis'!$B$48,IF(G4510&lt;65,'General Basis'!$B$49,'General Basis'!$B$50)))))))))))))</f>
        <v/>
      </c>
      <c r="BI4510" s="744" t="str">
        <f t="shared" si="1567"/>
        <v/>
      </c>
      <c r="BJ4510" s="747" t="str">
        <f t="shared" si="1574"/>
        <v/>
      </c>
      <c r="BK4510" s="498" t="str">
        <f t="shared" si="1568"/>
        <v/>
      </c>
      <c r="BL4510" s="498" t="str">
        <f t="shared" si="1569"/>
        <v/>
      </c>
    </row>
    <row r="4511" spans="1:64" x14ac:dyDescent="0.25">
      <c r="A4511" s="762">
        <f t="shared" si="1570"/>
        <v>4506</v>
      </c>
      <c r="B4511" s="229"/>
      <c r="C4511" s="223"/>
      <c r="D4511" s="224"/>
      <c r="E4511" s="225"/>
      <c r="F4511" s="1036" t="str">
        <f t="shared" si="1576"/>
        <v/>
      </c>
      <c r="G4511" s="1037" t="str">
        <f t="shared" si="1571"/>
        <v/>
      </c>
      <c r="H4511" s="225"/>
      <c r="I4511" s="1013"/>
      <c r="J4511" s="1013"/>
      <c r="K4511" s="1028"/>
      <c r="L4511" s="1035" t="str">
        <f t="shared" si="1575"/>
        <v/>
      </c>
      <c r="S4511" s="498"/>
      <c r="AJ4511" s="498"/>
      <c r="AM4511" s="498">
        <f t="shared" si="1556"/>
        <v>0</v>
      </c>
      <c r="AN4511" s="498">
        <f t="shared" si="1557"/>
        <v>0</v>
      </c>
      <c r="AO4511" s="498">
        <f t="shared" si="1558"/>
        <v>0</v>
      </c>
      <c r="AP4511" s="498">
        <f t="shared" si="1577"/>
        <v>0</v>
      </c>
      <c r="AQ4511" s="498">
        <f t="shared" si="1572"/>
        <v>0</v>
      </c>
      <c r="AU4511" s="498">
        <f t="shared" si="1559"/>
        <v>0</v>
      </c>
      <c r="AV4511" s="498">
        <f t="shared" si="1560"/>
        <v>0</v>
      </c>
      <c r="AW4511" s="498">
        <f t="shared" si="1561"/>
        <v>0</v>
      </c>
      <c r="AX4511" s="498">
        <f t="shared" si="1562"/>
        <v>0</v>
      </c>
      <c r="AY4511" s="498">
        <f t="shared" si="1563"/>
        <v>0</v>
      </c>
      <c r="BB4511" s="498" t="str">
        <f t="shared" si="1564"/>
        <v/>
      </c>
      <c r="BC4511" s="743" t="str">
        <f t="shared" si="1565"/>
        <v/>
      </c>
      <c r="BD4511" s="743" t="str">
        <f t="shared" si="1566"/>
        <v/>
      </c>
      <c r="BE4511" s="743" t="str">
        <f>IF(D4511="","",VLOOKUP(D4511,'General Basis'!$J$39:$K$46,2,0))</f>
        <v/>
      </c>
      <c r="BF4511" s="744" t="str">
        <f>IF(D4511="","",VLOOKUP(D4511,'General Basis'!$J$39:$L$46,3,0))</f>
        <v/>
      </c>
      <c r="BG4511" s="744" t="str">
        <f t="shared" si="1573"/>
        <v/>
      </c>
      <c r="BH4511" s="744" t="str">
        <f>IF(G4511="","",IF(BF4511="Abu Dhabi",IF(G4511&lt;18,'General Basis'!$C$39,IF(G4511&lt;41,'General Basis'!$C$40,IF(G4511&lt;60,'General Basis'!$C$41,IF(G4511&lt;65,'General Basis'!$C$42,'General Basis'!$C$43)))),IF(G4511&lt;11,'General Basis'!$B$39,IF(G4511&lt;18,'General Basis'!$B$40,IF(G4511&lt;26,'General Basis'!$B$41,IF(G4511&lt;31,'General Basis'!$B$42,IF(G4511&lt;36,'General Basis'!$B$43,IF(G4511&lt;41,'General Basis'!$B$44,IF(G4511&lt;46,'General Basis'!$B$45,IF(G4511&lt;51,'General Basis'!$B$46,IF(G4511&lt;56,'General Basis'!$B$47,IF(G4511&lt;60,'General Basis'!$B$48,IF(G4511&lt;65,'General Basis'!$B$49,'General Basis'!$B$50)))))))))))))</f>
        <v/>
      </c>
      <c r="BI4511" s="744" t="str">
        <f t="shared" si="1567"/>
        <v/>
      </c>
      <c r="BJ4511" s="747" t="str">
        <f t="shared" si="1574"/>
        <v/>
      </c>
      <c r="BK4511" s="498" t="str">
        <f t="shared" si="1568"/>
        <v/>
      </c>
      <c r="BL4511" s="498" t="str">
        <f t="shared" si="1569"/>
        <v/>
      </c>
    </row>
    <row r="4512" spans="1:64" x14ac:dyDescent="0.25">
      <c r="A4512" s="762">
        <f t="shared" si="1570"/>
        <v>4507</v>
      </c>
      <c r="B4512" s="229"/>
      <c r="C4512" s="223"/>
      <c r="D4512" s="224"/>
      <c r="E4512" s="225"/>
      <c r="F4512" s="1036" t="str">
        <f t="shared" si="1576"/>
        <v/>
      </c>
      <c r="G4512" s="1037" t="str">
        <f t="shared" si="1571"/>
        <v/>
      </c>
      <c r="H4512" s="225"/>
      <c r="I4512" s="1013"/>
      <c r="J4512" s="1013"/>
      <c r="K4512" s="1028"/>
      <c r="L4512" s="1035" t="str">
        <f t="shared" si="1575"/>
        <v/>
      </c>
      <c r="S4512" s="498"/>
      <c r="AJ4512" s="498"/>
      <c r="AM4512" s="498">
        <f t="shared" si="1556"/>
        <v>0</v>
      </c>
      <c r="AN4512" s="498">
        <f t="shared" si="1557"/>
        <v>0</v>
      </c>
      <c r="AO4512" s="498">
        <f t="shared" si="1558"/>
        <v>0</v>
      </c>
      <c r="AP4512" s="498">
        <f t="shared" si="1577"/>
        <v>0</v>
      </c>
      <c r="AQ4512" s="498">
        <f t="shared" si="1572"/>
        <v>0</v>
      </c>
      <c r="AU4512" s="498">
        <f t="shared" si="1559"/>
        <v>0</v>
      </c>
      <c r="AV4512" s="498">
        <f t="shared" si="1560"/>
        <v>0</v>
      </c>
      <c r="AW4512" s="498">
        <f t="shared" si="1561"/>
        <v>0</v>
      </c>
      <c r="AX4512" s="498">
        <f t="shared" si="1562"/>
        <v>0</v>
      </c>
      <c r="AY4512" s="498">
        <f t="shared" si="1563"/>
        <v>0</v>
      </c>
      <c r="BB4512" s="498" t="str">
        <f t="shared" si="1564"/>
        <v/>
      </c>
      <c r="BC4512" s="743" t="str">
        <f t="shared" si="1565"/>
        <v/>
      </c>
      <c r="BD4512" s="743" t="str">
        <f t="shared" si="1566"/>
        <v/>
      </c>
      <c r="BE4512" s="743" t="str">
        <f>IF(D4512="","",VLOOKUP(D4512,'General Basis'!$J$39:$K$46,2,0))</f>
        <v/>
      </c>
      <c r="BF4512" s="744" t="str">
        <f>IF(D4512="","",VLOOKUP(D4512,'General Basis'!$J$39:$L$46,3,0))</f>
        <v/>
      </c>
      <c r="BG4512" s="744" t="str">
        <f t="shared" si="1573"/>
        <v/>
      </c>
      <c r="BH4512" s="744" t="str">
        <f>IF(G4512="","",IF(BF4512="Abu Dhabi",IF(G4512&lt;18,'General Basis'!$C$39,IF(G4512&lt;41,'General Basis'!$C$40,IF(G4512&lt;60,'General Basis'!$C$41,IF(G4512&lt;65,'General Basis'!$C$42,'General Basis'!$C$43)))),IF(G4512&lt;11,'General Basis'!$B$39,IF(G4512&lt;18,'General Basis'!$B$40,IF(G4512&lt;26,'General Basis'!$B$41,IF(G4512&lt;31,'General Basis'!$B$42,IF(G4512&lt;36,'General Basis'!$B$43,IF(G4512&lt;41,'General Basis'!$B$44,IF(G4512&lt;46,'General Basis'!$B$45,IF(G4512&lt;51,'General Basis'!$B$46,IF(G4512&lt;56,'General Basis'!$B$47,IF(G4512&lt;60,'General Basis'!$B$48,IF(G4512&lt;65,'General Basis'!$B$49,'General Basis'!$B$50)))))))))))))</f>
        <v/>
      </c>
      <c r="BI4512" s="744" t="str">
        <f t="shared" si="1567"/>
        <v/>
      </c>
      <c r="BJ4512" s="747" t="str">
        <f t="shared" si="1574"/>
        <v/>
      </c>
      <c r="BK4512" s="498" t="str">
        <f t="shared" si="1568"/>
        <v/>
      </c>
      <c r="BL4512" s="498" t="str">
        <f t="shared" si="1569"/>
        <v/>
      </c>
    </row>
    <row r="4513" spans="1:64" x14ac:dyDescent="0.25">
      <c r="A4513" s="762">
        <f t="shared" si="1570"/>
        <v>4508</v>
      </c>
      <c r="B4513" s="229"/>
      <c r="C4513" s="223"/>
      <c r="D4513" s="224"/>
      <c r="E4513" s="225"/>
      <c r="F4513" s="1036" t="str">
        <f t="shared" si="1576"/>
        <v/>
      </c>
      <c r="G4513" s="1037" t="str">
        <f t="shared" si="1571"/>
        <v/>
      </c>
      <c r="H4513" s="225"/>
      <c r="I4513" s="1013"/>
      <c r="J4513" s="1013"/>
      <c r="K4513" s="1028"/>
      <c r="L4513" s="1035" t="str">
        <f t="shared" si="1575"/>
        <v/>
      </c>
      <c r="S4513" s="498"/>
      <c r="AJ4513" s="498"/>
      <c r="AM4513" s="498">
        <f t="shared" si="1556"/>
        <v>0</v>
      </c>
      <c r="AN4513" s="498">
        <f t="shared" si="1557"/>
        <v>0</v>
      </c>
      <c r="AO4513" s="498">
        <f t="shared" si="1558"/>
        <v>0</v>
      </c>
      <c r="AP4513" s="498">
        <f t="shared" si="1577"/>
        <v>0</v>
      </c>
      <c r="AQ4513" s="498">
        <f t="shared" si="1572"/>
        <v>0</v>
      </c>
      <c r="AU4513" s="498">
        <f t="shared" si="1559"/>
        <v>0</v>
      </c>
      <c r="AV4513" s="498">
        <f t="shared" si="1560"/>
        <v>0</v>
      </c>
      <c r="AW4513" s="498">
        <f t="shared" si="1561"/>
        <v>0</v>
      </c>
      <c r="AX4513" s="498">
        <f t="shared" si="1562"/>
        <v>0</v>
      </c>
      <c r="AY4513" s="498">
        <f t="shared" si="1563"/>
        <v>0</v>
      </c>
      <c r="BB4513" s="498" t="str">
        <f t="shared" si="1564"/>
        <v/>
      </c>
      <c r="BC4513" s="743" t="str">
        <f t="shared" si="1565"/>
        <v/>
      </c>
      <c r="BD4513" s="743" t="str">
        <f t="shared" si="1566"/>
        <v/>
      </c>
      <c r="BE4513" s="743" t="str">
        <f>IF(D4513="","",VLOOKUP(D4513,'General Basis'!$J$39:$K$46,2,0))</f>
        <v/>
      </c>
      <c r="BF4513" s="744" t="str">
        <f>IF(D4513="","",VLOOKUP(D4513,'General Basis'!$J$39:$L$46,3,0))</f>
        <v/>
      </c>
      <c r="BG4513" s="744" t="str">
        <f t="shared" si="1573"/>
        <v/>
      </c>
      <c r="BH4513" s="744" t="str">
        <f>IF(G4513="","",IF(BF4513="Abu Dhabi",IF(G4513&lt;18,'General Basis'!$C$39,IF(G4513&lt;41,'General Basis'!$C$40,IF(G4513&lt;60,'General Basis'!$C$41,IF(G4513&lt;65,'General Basis'!$C$42,'General Basis'!$C$43)))),IF(G4513&lt;11,'General Basis'!$B$39,IF(G4513&lt;18,'General Basis'!$B$40,IF(G4513&lt;26,'General Basis'!$B$41,IF(G4513&lt;31,'General Basis'!$B$42,IF(G4513&lt;36,'General Basis'!$B$43,IF(G4513&lt;41,'General Basis'!$B$44,IF(G4513&lt;46,'General Basis'!$B$45,IF(G4513&lt;51,'General Basis'!$B$46,IF(G4513&lt;56,'General Basis'!$B$47,IF(G4513&lt;60,'General Basis'!$B$48,IF(G4513&lt;65,'General Basis'!$B$49,'General Basis'!$B$50)))))))))))))</f>
        <v/>
      </c>
      <c r="BI4513" s="744" t="str">
        <f t="shared" si="1567"/>
        <v/>
      </c>
      <c r="BJ4513" s="747" t="str">
        <f t="shared" si="1574"/>
        <v/>
      </c>
      <c r="BK4513" s="498" t="str">
        <f t="shared" si="1568"/>
        <v/>
      </c>
      <c r="BL4513" s="498" t="str">
        <f t="shared" si="1569"/>
        <v/>
      </c>
    </row>
    <row r="4514" spans="1:64" x14ac:dyDescent="0.25">
      <c r="A4514" s="762">
        <f t="shared" si="1570"/>
        <v>4509</v>
      </c>
      <c r="B4514" s="229"/>
      <c r="C4514" s="223"/>
      <c r="D4514" s="224"/>
      <c r="E4514" s="225"/>
      <c r="F4514" s="1036" t="str">
        <f t="shared" si="1576"/>
        <v/>
      </c>
      <c r="G4514" s="1037" t="str">
        <f t="shared" si="1571"/>
        <v/>
      </c>
      <c r="H4514" s="225"/>
      <c r="I4514" s="1013"/>
      <c r="J4514" s="1013"/>
      <c r="K4514" s="1028"/>
      <c r="L4514" s="1035" t="str">
        <f t="shared" si="1575"/>
        <v/>
      </c>
      <c r="S4514" s="498"/>
      <c r="AJ4514" s="498"/>
      <c r="AM4514" s="498">
        <f t="shared" si="1556"/>
        <v>0</v>
      </c>
      <c r="AN4514" s="498">
        <f t="shared" si="1557"/>
        <v>0</v>
      </c>
      <c r="AO4514" s="498">
        <f t="shared" si="1558"/>
        <v>0</v>
      </c>
      <c r="AP4514" s="498">
        <f t="shared" si="1577"/>
        <v>0</v>
      </c>
      <c r="AQ4514" s="498">
        <f t="shared" si="1572"/>
        <v>0</v>
      </c>
      <c r="AU4514" s="498">
        <f t="shared" si="1559"/>
        <v>0</v>
      </c>
      <c r="AV4514" s="498">
        <f t="shared" si="1560"/>
        <v>0</v>
      </c>
      <c r="AW4514" s="498">
        <f t="shared" si="1561"/>
        <v>0</v>
      </c>
      <c r="AX4514" s="498">
        <f t="shared" si="1562"/>
        <v>0</v>
      </c>
      <c r="AY4514" s="498">
        <f t="shared" si="1563"/>
        <v>0</v>
      </c>
      <c r="BB4514" s="498" t="str">
        <f t="shared" si="1564"/>
        <v/>
      </c>
      <c r="BC4514" s="743" t="str">
        <f t="shared" si="1565"/>
        <v/>
      </c>
      <c r="BD4514" s="743" t="str">
        <f t="shared" si="1566"/>
        <v/>
      </c>
      <c r="BE4514" s="743" t="str">
        <f>IF(D4514="","",VLOOKUP(D4514,'General Basis'!$J$39:$K$46,2,0))</f>
        <v/>
      </c>
      <c r="BF4514" s="744" t="str">
        <f>IF(D4514="","",VLOOKUP(D4514,'General Basis'!$J$39:$L$46,3,0))</f>
        <v/>
      </c>
      <c r="BG4514" s="744" t="str">
        <f t="shared" si="1573"/>
        <v/>
      </c>
      <c r="BH4514" s="744" t="str">
        <f>IF(G4514="","",IF(BF4514="Abu Dhabi",IF(G4514&lt;18,'General Basis'!$C$39,IF(G4514&lt;41,'General Basis'!$C$40,IF(G4514&lt;60,'General Basis'!$C$41,IF(G4514&lt;65,'General Basis'!$C$42,'General Basis'!$C$43)))),IF(G4514&lt;11,'General Basis'!$B$39,IF(G4514&lt;18,'General Basis'!$B$40,IF(G4514&lt;26,'General Basis'!$B$41,IF(G4514&lt;31,'General Basis'!$B$42,IF(G4514&lt;36,'General Basis'!$B$43,IF(G4514&lt;41,'General Basis'!$B$44,IF(G4514&lt;46,'General Basis'!$B$45,IF(G4514&lt;51,'General Basis'!$B$46,IF(G4514&lt;56,'General Basis'!$B$47,IF(G4514&lt;60,'General Basis'!$B$48,IF(G4514&lt;65,'General Basis'!$B$49,'General Basis'!$B$50)))))))))))))</f>
        <v/>
      </c>
      <c r="BI4514" s="744" t="str">
        <f t="shared" si="1567"/>
        <v/>
      </c>
      <c r="BJ4514" s="747" t="str">
        <f t="shared" si="1574"/>
        <v/>
      </c>
      <c r="BK4514" s="498" t="str">
        <f t="shared" si="1568"/>
        <v/>
      </c>
      <c r="BL4514" s="498" t="str">
        <f t="shared" si="1569"/>
        <v/>
      </c>
    </row>
    <row r="4515" spans="1:64" x14ac:dyDescent="0.25">
      <c r="A4515" s="762">
        <f t="shared" si="1570"/>
        <v>4510</v>
      </c>
      <c r="B4515" s="229"/>
      <c r="C4515" s="223"/>
      <c r="D4515" s="224"/>
      <c r="E4515" s="225"/>
      <c r="F4515" s="1036" t="str">
        <f t="shared" si="1576"/>
        <v/>
      </c>
      <c r="G4515" s="1037" t="str">
        <f t="shared" si="1571"/>
        <v/>
      </c>
      <c r="H4515" s="225"/>
      <c r="I4515" s="1013"/>
      <c r="J4515" s="1013"/>
      <c r="K4515" s="1028"/>
      <c r="L4515" s="1035" t="str">
        <f t="shared" si="1575"/>
        <v/>
      </c>
      <c r="S4515" s="498"/>
      <c r="AJ4515" s="498"/>
      <c r="AM4515" s="498">
        <f t="shared" si="1556"/>
        <v>0</v>
      </c>
      <c r="AN4515" s="498">
        <f t="shared" si="1557"/>
        <v>0</v>
      </c>
      <c r="AO4515" s="498">
        <f t="shared" si="1558"/>
        <v>0</v>
      </c>
      <c r="AP4515" s="498">
        <f t="shared" si="1577"/>
        <v>0</v>
      </c>
      <c r="AQ4515" s="498">
        <f t="shared" si="1572"/>
        <v>0</v>
      </c>
      <c r="AU4515" s="498">
        <f t="shared" si="1559"/>
        <v>0</v>
      </c>
      <c r="AV4515" s="498">
        <f t="shared" si="1560"/>
        <v>0</v>
      </c>
      <c r="AW4515" s="498">
        <f t="shared" si="1561"/>
        <v>0</v>
      </c>
      <c r="AX4515" s="498">
        <f t="shared" si="1562"/>
        <v>0</v>
      </c>
      <c r="AY4515" s="498">
        <f t="shared" si="1563"/>
        <v>0</v>
      </c>
      <c r="BB4515" s="498" t="str">
        <f t="shared" si="1564"/>
        <v/>
      </c>
      <c r="BC4515" s="743" t="str">
        <f t="shared" si="1565"/>
        <v/>
      </c>
      <c r="BD4515" s="743" t="str">
        <f t="shared" si="1566"/>
        <v/>
      </c>
      <c r="BE4515" s="743" t="str">
        <f>IF(D4515="","",VLOOKUP(D4515,'General Basis'!$J$39:$K$46,2,0))</f>
        <v/>
      </c>
      <c r="BF4515" s="744" t="str">
        <f>IF(D4515="","",VLOOKUP(D4515,'General Basis'!$J$39:$L$46,3,0))</f>
        <v/>
      </c>
      <c r="BG4515" s="744" t="str">
        <f t="shared" si="1573"/>
        <v/>
      </c>
      <c r="BH4515" s="744" t="str">
        <f>IF(G4515="","",IF(BF4515="Abu Dhabi",IF(G4515&lt;18,'General Basis'!$C$39,IF(G4515&lt;41,'General Basis'!$C$40,IF(G4515&lt;60,'General Basis'!$C$41,IF(G4515&lt;65,'General Basis'!$C$42,'General Basis'!$C$43)))),IF(G4515&lt;11,'General Basis'!$B$39,IF(G4515&lt;18,'General Basis'!$B$40,IF(G4515&lt;26,'General Basis'!$B$41,IF(G4515&lt;31,'General Basis'!$B$42,IF(G4515&lt;36,'General Basis'!$B$43,IF(G4515&lt;41,'General Basis'!$B$44,IF(G4515&lt;46,'General Basis'!$B$45,IF(G4515&lt;51,'General Basis'!$B$46,IF(G4515&lt;56,'General Basis'!$B$47,IF(G4515&lt;60,'General Basis'!$B$48,IF(G4515&lt;65,'General Basis'!$B$49,'General Basis'!$B$50)))))))))))))</f>
        <v/>
      </c>
      <c r="BI4515" s="744" t="str">
        <f t="shared" si="1567"/>
        <v/>
      </c>
      <c r="BJ4515" s="747" t="str">
        <f t="shared" si="1574"/>
        <v/>
      </c>
      <c r="BK4515" s="498" t="str">
        <f t="shared" si="1568"/>
        <v/>
      </c>
      <c r="BL4515" s="498" t="str">
        <f t="shared" si="1569"/>
        <v/>
      </c>
    </row>
    <row r="4516" spans="1:64" x14ac:dyDescent="0.25">
      <c r="A4516" s="762">
        <f t="shared" si="1570"/>
        <v>4511</v>
      </c>
      <c r="B4516" s="229"/>
      <c r="C4516" s="223"/>
      <c r="D4516" s="224"/>
      <c r="E4516" s="225"/>
      <c r="F4516" s="1036" t="str">
        <f t="shared" si="1576"/>
        <v/>
      </c>
      <c r="G4516" s="1037" t="str">
        <f t="shared" si="1571"/>
        <v/>
      </c>
      <c r="H4516" s="225"/>
      <c r="I4516" s="1013"/>
      <c r="J4516" s="1013"/>
      <c r="K4516" s="1028"/>
      <c r="L4516" s="1035" t="str">
        <f t="shared" si="1575"/>
        <v/>
      </c>
      <c r="S4516" s="498"/>
      <c r="AJ4516" s="498"/>
      <c r="AM4516" s="498">
        <f t="shared" si="1556"/>
        <v>0</v>
      </c>
      <c r="AN4516" s="498">
        <f t="shared" si="1557"/>
        <v>0</v>
      </c>
      <c r="AO4516" s="498">
        <f t="shared" si="1558"/>
        <v>0</v>
      </c>
      <c r="AP4516" s="498">
        <f t="shared" si="1577"/>
        <v>0</v>
      </c>
      <c r="AQ4516" s="498">
        <f t="shared" si="1572"/>
        <v>0</v>
      </c>
      <c r="AU4516" s="498">
        <f t="shared" si="1559"/>
        <v>0</v>
      </c>
      <c r="AV4516" s="498">
        <f t="shared" si="1560"/>
        <v>0</v>
      </c>
      <c r="AW4516" s="498">
        <f t="shared" si="1561"/>
        <v>0</v>
      </c>
      <c r="AX4516" s="498">
        <f t="shared" si="1562"/>
        <v>0</v>
      </c>
      <c r="AY4516" s="498">
        <f t="shared" si="1563"/>
        <v>0</v>
      </c>
      <c r="BB4516" s="498" t="str">
        <f t="shared" si="1564"/>
        <v/>
      </c>
      <c r="BC4516" s="743" t="str">
        <f t="shared" si="1565"/>
        <v/>
      </c>
      <c r="BD4516" s="743" t="str">
        <f t="shared" si="1566"/>
        <v/>
      </c>
      <c r="BE4516" s="743" t="str">
        <f>IF(D4516="","",VLOOKUP(D4516,'General Basis'!$J$39:$K$46,2,0))</f>
        <v/>
      </c>
      <c r="BF4516" s="744" t="str">
        <f>IF(D4516="","",VLOOKUP(D4516,'General Basis'!$J$39:$L$46,3,0))</f>
        <v/>
      </c>
      <c r="BG4516" s="744" t="str">
        <f t="shared" si="1573"/>
        <v/>
      </c>
      <c r="BH4516" s="744" t="str">
        <f>IF(G4516="","",IF(BF4516="Abu Dhabi",IF(G4516&lt;18,'General Basis'!$C$39,IF(G4516&lt;41,'General Basis'!$C$40,IF(G4516&lt;60,'General Basis'!$C$41,IF(G4516&lt;65,'General Basis'!$C$42,'General Basis'!$C$43)))),IF(G4516&lt;11,'General Basis'!$B$39,IF(G4516&lt;18,'General Basis'!$B$40,IF(G4516&lt;26,'General Basis'!$B$41,IF(G4516&lt;31,'General Basis'!$B$42,IF(G4516&lt;36,'General Basis'!$B$43,IF(G4516&lt;41,'General Basis'!$B$44,IF(G4516&lt;46,'General Basis'!$B$45,IF(G4516&lt;51,'General Basis'!$B$46,IF(G4516&lt;56,'General Basis'!$B$47,IF(G4516&lt;60,'General Basis'!$B$48,IF(G4516&lt;65,'General Basis'!$B$49,'General Basis'!$B$50)))))))))))))</f>
        <v/>
      </c>
      <c r="BI4516" s="744" t="str">
        <f t="shared" si="1567"/>
        <v/>
      </c>
      <c r="BJ4516" s="747" t="str">
        <f t="shared" si="1574"/>
        <v/>
      </c>
      <c r="BK4516" s="498" t="str">
        <f t="shared" si="1568"/>
        <v/>
      </c>
      <c r="BL4516" s="498" t="str">
        <f t="shared" si="1569"/>
        <v/>
      </c>
    </row>
    <row r="4517" spans="1:64" x14ac:dyDescent="0.25">
      <c r="A4517" s="762">
        <f t="shared" si="1570"/>
        <v>4512</v>
      </c>
      <c r="B4517" s="229"/>
      <c r="C4517" s="223"/>
      <c r="D4517" s="224"/>
      <c r="E4517" s="225"/>
      <c r="F4517" s="1036" t="str">
        <f t="shared" si="1576"/>
        <v/>
      </c>
      <c r="G4517" s="1037" t="str">
        <f t="shared" si="1571"/>
        <v/>
      </c>
      <c r="H4517" s="225"/>
      <c r="I4517" s="1013"/>
      <c r="J4517" s="1013"/>
      <c r="K4517" s="1028"/>
      <c r="L4517" s="1035" t="str">
        <f t="shared" si="1575"/>
        <v/>
      </c>
      <c r="S4517" s="498"/>
      <c r="AJ4517" s="498"/>
      <c r="AM4517" s="498">
        <f t="shared" si="1556"/>
        <v>0</v>
      </c>
      <c r="AN4517" s="498">
        <f t="shared" si="1557"/>
        <v>0</v>
      </c>
      <c r="AO4517" s="498">
        <f t="shared" si="1558"/>
        <v>0</v>
      </c>
      <c r="AP4517" s="498">
        <f t="shared" si="1577"/>
        <v>0</v>
      </c>
      <c r="AQ4517" s="498">
        <f t="shared" si="1572"/>
        <v>0</v>
      </c>
      <c r="AU4517" s="498">
        <f t="shared" si="1559"/>
        <v>0</v>
      </c>
      <c r="AV4517" s="498">
        <f t="shared" si="1560"/>
        <v>0</v>
      </c>
      <c r="AW4517" s="498">
        <f t="shared" si="1561"/>
        <v>0</v>
      </c>
      <c r="AX4517" s="498">
        <f t="shared" si="1562"/>
        <v>0</v>
      </c>
      <c r="AY4517" s="498">
        <f t="shared" si="1563"/>
        <v>0</v>
      </c>
      <c r="BB4517" s="498" t="str">
        <f t="shared" si="1564"/>
        <v/>
      </c>
      <c r="BC4517" s="743" t="str">
        <f t="shared" si="1565"/>
        <v/>
      </c>
      <c r="BD4517" s="743" t="str">
        <f t="shared" si="1566"/>
        <v/>
      </c>
      <c r="BE4517" s="743" t="str">
        <f>IF(D4517="","",VLOOKUP(D4517,'General Basis'!$J$39:$K$46,2,0))</f>
        <v/>
      </c>
      <c r="BF4517" s="744" t="str">
        <f>IF(D4517="","",VLOOKUP(D4517,'General Basis'!$J$39:$L$46,3,0))</f>
        <v/>
      </c>
      <c r="BG4517" s="744" t="str">
        <f t="shared" si="1573"/>
        <v/>
      </c>
      <c r="BH4517" s="744" t="str">
        <f>IF(G4517="","",IF(BF4517="Abu Dhabi",IF(G4517&lt;18,'General Basis'!$C$39,IF(G4517&lt;41,'General Basis'!$C$40,IF(G4517&lt;60,'General Basis'!$C$41,IF(G4517&lt;65,'General Basis'!$C$42,'General Basis'!$C$43)))),IF(G4517&lt;11,'General Basis'!$B$39,IF(G4517&lt;18,'General Basis'!$B$40,IF(G4517&lt;26,'General Basis'!$B$41,IF(G4517&lt;31,'General Basis'!$B$42,IF(G4517&lt;36,'General Basis'!$B$43,IF(G4517&lt;41,'General Basis'!$B$44,IF(G4517&lt;46,'General Basis'!$B$45,IF(G4517&lt;51,'General Basis'!$B$46,IF(G4517&lt;56,'General Basis'!$B$47,IF(G4517&lt;60,'General Basis'!$B$48,IF(G4517&lt;65,'General Basis'!$B$49,'General Basis'!$B$50)))))))))))))</f>
        <v/>
      </c>
      <c r="BI4517" s="744" t="str">
        <f t="shared" si="1567"/>
        <v/>
      </c>
      <c r="BJ4517" s="747" t="str">
        <f t="shared" si="1574"/>
        <v/>
      </c>
      <c r="BK4517" s="498" t="str">
        <f t="shared" si="1568"/>
        <v/>
      </c>
      <c r="BL4517" s="498" t="str">
        <f t="shared" si="1569"/>
        <v/>
      </c>
    </row>
    <row r="4518" spans="1:64" x14ac:dyDescent="0.25">
      <c r="A4518" s="762">
        <f t="shared" si="1570"/>
        <v>4513</v>
      </c>
      <c r="B4518" s="229"/>
      <c r="C4518" s="223"/>
      <c r="D4518" s="224"/>
      <c r="E4518" s="225"/>
      <c r="F4518" s="1036" t="str">
        <f t="shared" si="1576"/>
        <v/>
      </c>
      <c r="G4518" s="1037" t="str">
        <f t="shared" si="1571"/>
        <v/>
      </c>
      <c r="H4518" s="225"/>
      <c r="I4518" s="1013"/>
      <c r="J4518" s="1013"/>
      <c r="K4518" s="1028"/>
      <c r="L4518" s="1035" t="str">
        <f t="shared" si="1575"/>
        <v/>
      </c>
      <c r="S4518" s="498"/>
      <c r="AJ4518" s="498"/>
      <c r="AM4518" s="498">
        <f t="shared" si="1556"/>
        <v>0</v>
      </c>
      <c r="AN4518" s="498">
        <f t="shared" si="1557"/>
        <v>0</v>
      </c>
      <c r="AO4518" s="498">
        <f t="shared" si="1558"/>
        <v>0</v>
      </c>
      <c r="AP4518" s="498">
        <f t="shared" si="1577"/>
        <v>0</v>
      </c>
      <c r="AQ4518" s="498">
        <f t="shared" si="1572"/>
        <v>0</v>
      </c>
      <c r="AU4518" s="498">
        <f t="shared" si="1559"/>
        <v>0</v>
      </c>
      <c r="AV4518" s="498">
        <f t="shared" si="1560"/>
        <v>0</v>
      </c>
      <c r="AW4518" s="498">
        <f t="shared" si="1561"/>
        <v>0</v>
      </c>
      <c r="AX4518" s="498">
        <f t="shared" si="1562"/>
        <v>0</v>
      </c>
      <c r="AY4518" s="498">
        <f t="shared" si="1563"/>
        <v>0</v>
      </c>
      <c r="BB4518" s="498" t="str">
        <f t="shared" si="1564"/>
        <v/>
      </c>
      <c r="BC4518" s="743" t="str">
        <f t="shared" si="1565"/>
        <v/>
      </c>
      <c r="BD4518" s="743" t="str">
        <f t="shared" si="1566"/>
        <v/>
      </c>
      <c r="BE4518" s="743" t="str">
        <f>IF(D4518="","",VLOOKUP(D4518,'General Basis'!$J$39:$K$46,2,0))</f>
        <v/>
      </c>
      <c r="BF4518" s="744" t="str">
        <f>IF(D4518="","",VLOOKUP(D4518,'General Basis'!$J$39:$L$46,3,0))</f>
        <v/>
      </c>
      <c r="BG4518" s="744" t="str">
        <f t="shared" si="1573"/>
        <v/>
      </c>
      <c r="BH4518" s="744" t="str">
        <f>IF(G4518="","",IF(BF4518="Abu Dhabi",IF(G4518&lt;18,'General Basis'!$C$39,IF(G4518&lt;41,'General Basis'!$C$40,IF(G4518&lt;60,'General Basis'!$C$41,IF(G4518&lt;65,'General Basis'!$C$42,'General Basis'!$C$43)))),IF(G4518&lt;11,'General Basis'!$B$39,IF(G4518&lt;18,'General Basis'!$B$40,IF(G4518&lt;26,'General Basis'!$B$41,IF(G4518&lt;31,'General Basis'!$B$42,IF(G4518&lt;36,'General Basis'!$B$43,IF(G4518&lt;41,'General Basis'!$B$44,IF(G4518&lt;46,'General Basis'!$B$45,IF(G4518&lt;51,'General Basis'!$B$46,IF(G4518&lt;56,'General Basis'!$B$47,IF(G4518&lt;60,'General Basis'!$B$48,IF(G4518&lt;65,'General Basis'!$B$49,'General Basis'!$B$50)))))))))))))</f>
        <v/>
      </c>
      <c r="BI4518" s="744" t="str">
        <f t="shared" si="1567"/>
        <v/>
      </c>
      <c r="BJ4518" s="747" t="str">
        <f t="shared" si="1574"/>
        <v/>
      </c>
      <c r="BK4518" s="498" t="str">
        <f t="shared" si="1568"/>
        <v/>
      </c>
      <c r="BL4518" s="498" t="str">
        <f t="shared" si="1569"/>
        <v/>
      </c>
    </row>
    <row r="4519" spans="1:64" x14ac:dyDescent="0.25">
      <c r="A4519" s="762">
        <f t="shared" si="1570"/>
        <v>4514</v>
      </c>
      <c r="B4519" s="229"/>
      <c r="C4519" s="223"/>
      <c r="D4519" s="224"/>
      <c r="E4519" s="225"/>
      <c r="F4519" s="1036" t="str">
        <f t="shared" si="1576"/>
        <v/>
      </c>
      <c r="G4519" s="1037" t="str">
        <f t="shared" si="1571"/>
        <v/>
      </c>
      <c r="H4519" s="225"/>
      <c r="I4519" s="1013"/>
      <c r="J4519" s="1013"/>
      <c r="K4519" s="1028"/>
      <c r="L4519" s="1035" t="str">
        <f t="shared" si="1575"/>
        <v/>
      </c>
      <c r="S4519" s="498"/>
      <c r="AJ4519" s="498"/>
      <c r="AM4519" s="498">
        <f t="shared" si="1556"/>
        <v>0</v>
      </c>
      <c r="AN4519" s="498">
        <f t="shared" si="1557"/>
        <v>0</v>
      </c>
      <c r="AO4519" s="498">
        <f t="shared" si="1558"/>
        <v>0</v>
      </c>
      <c r="AP4519" s="498">
        <f t="shared" si="1577"/>
        <v>0</v>
      </c>
      <c r="AQ4519" s="498">
        <f t="shared" si="1572"/>
        <v>0</v>
      </c>
      <c r="AU4519" s="498">
        <f t="shared" si="1559"/>
        <v>0</v>
      </c>
      <c r="AV4519" s="498">
        <f t="shared" si="1560"/>
        <v>0</v>
      </c>
      <c r="AW4519" s="498">
        <f t="shared" si="1561"/>
        <v>0</v>
      </c>
      <c r="AX4519" s="498">
        <f t="shared" si="1562"/>
        <v>0</v>
      </c>
      <c r="AY4519" s="498">
        <f t="shared" si="1563"/>
        <v>0</v>
      </c>
      <c r="BB4519" s="498" t="str">
        <f t="shared" si="1564"/>
        <v/>
      </c>
      <c r="BC4519" s="743" t="str">
        <f t="shared" si="1565"/>
        <v/>
      </c>
      <c r="BD4519" s="743" t="str">
        <f t="shared" si="1566"/>
        <v/>
      </c>
      <c r="BE4519" s="743" t="str">
        <f>IF(D4519="","",VLOOKUP(D4519,'General Basis'!$J$39:$K$46,2,0))</f>
        <v/>
      </c>
      <c r="BF4519" s="744" t="str">
        <f>IF(D4519="","",VLOOKUP(D4519,'General Basis'!$J$39:$L$46,3,0))</f>
        <v/>
      </c>
      <c r="BG4519" s="744" t="str">
        <f t="shared" si="1573"/>
        <v/>
      </c>
      <c r="BH4519" s="744" t="str">
        <f>IF(G4519="","",IF(BF4519="Abu Dhabi",IF(G4519&lt;18,'General Basis'!$C$39,IF(G4519&lt;41,'General Basis'!$C$40,IF(G4519&lt;60,'General Basis'!$C$41,IF(G4519&lt;65,'General Basis'!$C$42,'General Basis'!$C$43)))),IF(G4519&lt;11,'General Basis'!$B$39,IF(G4519&lt;18,'General Basis'!$B$40,IF(G4519&lt;26,'General Basis'!$B$41,IF(G4519&lt;31,'General Basis'!$B$42,IF(G4519&lt;36,'General Basis'!$B$43,IF(G4519&lt;41,'General Basis'!$B$44,IF(G4519&lt;46,'General Basis'!$B$45,IF(G4519&lt;51,'General Basis'!$B$46,IF(G4519&lt;56,'General Basis'!$B$47,IF(G4519&lt;60,'General Basis'!$B$48,IF(G4519&lt;65,'General Basis'!$B$49,'General Basis'!$B$50)))))))))))))</f>
        <v/>
      </c>
      <c r="BI4519" s="744" t="str">
        <f t="shared" si="1567"/>
        <v/>
      </c>
      <c r="BJ4519" s="747" t="str">
        <f t="shared" si="1574"/>
        <v/>
      </c>
      <c r="BK4519" s="498" t="str">
        <f t="shared" si="1568"/>
        <v/>
      </c>
      <c r="BL4519" s="498" t="str">
        <f t="shared" si="1569"/>
        <v/>
      </c>
    </row>
    <row r="4520" spans="1:64" x14ac:dyDescent="0.25">
      <c r="A4520" s="762">
        <f t="shared" si="1570"/>
        <v>4515</v>
      </c>
      <c r="B4520" s="229"/>
      <c r="C4520" s="223"/>
      <c r="D4520" s="224"/>
      <c r="E4520" s="225"/>
      <c r="F4520" s="1036" t="str">
        <f t="shared" si="1576"/>
        <v/>
      </c>
      <c r="G4520" s="1037" t="str">
        <f t="shared" si="1571"/>
        <v/>
      </c>
      <c r="H4520" s="225"/>
      <c r="I4520" s="1013"/>
      <c r="J4520" s="1013"/>
      <c r="K4520" s="1028"/>
      <c r="L4520" s="1035" t="str">
        <f t="shared" si="1575"/>
        <v/>
      </c>
      <c r="S4520" s="498"/>
      <c r="AJ4520" s="498"/>
      <c r="AM4520" s="498">
        <f t="shared" si="1556"/>
        <v>0</v>
      </c>
      <c r="AN4520" s="498">
        <f t="shared" si="1557"/>
        <v>0</v>
      </c>
      <c r="AO4520" s="498">
        <f t="shared" si="1558"/>
        <v>0</v>
      </c>
      <c r="AP4520" s="498">
        <f t="shared" si="1577"/>
        <v>0</v>
      </c>
      <c r="AQ4520" s="498">
        <f t="shared" si="1572"/>
        <v>0</v>
      </c>
      <c r="AU4520" s="498">
        <f t="shared" si="1559"/>
        <v>0</v>
      </c>
      <c r="AV4520" s="498">
        <f t="shared" si="1560"/>
        <v>0</v>
      </c>
      <c r="AW4520" s="498">
        <f t="shared" si="1561"/>
        <v>0</v>
      </c>
      <c r="AX4520" s="498">
        <f t="shared" si="1562"/>
        <v>0</v>
      </c>
      <c r="AY4520" s="498">
        <f t="shared" si="1563"/>
        <v>0</v>
      </c>
      <c r="BB4520" s="498" t="str">
        <f t="shared" si="1564"/>
        <v/>
      </c>
      <c r="BC4520" s="743" t="str">
        <f t="shared" si="1565"/>
        <v/>
      </c>
      <c r="BD4520" s="743" t="str">
        <f t="shared" si="1566"/>
        <v/>
      </c>
      <c r="BE4520" s="743" t="str">
        <f>IF(D4520="","",VLOOKUP(D4520,'General Basis'!$J$39:$K$46,2,0))</f>
        <v/>
      </c>
      <c r="BF4520" s="744" t="str">
        <f>IF(D4520="","",VLOOKUP(D4520,'General Basis'!$J$39:$L$46,3,0))</f>
        <v/>
      </c>
      <c r="BG4520" s="744" t="str">
        <f t="shared" si="1573"/>
        <v/>
      </c>
      <c r="BH4520" s="744" t="str">
        <f>IF(G4520="","",IF(BF4520="Abu Dhabi",IF(G4520&lt;18,'General Basis'!$C$39,IF(G4520&lt;41,'General Basis'!$C$40,IF(G4520&lt;60,'General Basis'!$C$41,IF(G4520&lt;65,'General Basis'!$C$42,'General Basis'!$C$43)))),IF(G4520&lt;11,'General Basis'!$B$39,IF(G4520&lt;18,'General Basis'!$B$40,IF(G4520&lt;26,'General Basis'!$B$41,IF(G4520&lt;31,'General Basis'!$B$42,IF(G4520&lt;36,'General Basis'!$B$43,IF(G4520&lt;41,'General Basis'!$B$44,IF(G4520&lt;46,'General Basis'!$B$45,IF(G4520&lt;51,'General Basis'!$B$46,IF(G4520&lt;56,'General Basis'!$B$47,IF(G4520&lt;60,'General Basis'!$B$48,IF(G4520&lt;65,'General Basis'!$B$49,'General Basis'!$B$50)))))))))))))</f>
        <v/>
      </c>
      <c r="BI4520" s="744" t="str">
        <f t="shared" si="1567"/>
        <v/>
      </c>
      <c r="BJ4520" s="747" t="str">
        <f t="shared" si="1574"/>
        <v/>
      </c>
      <c r="BK4520" s="498" t="str">
        <f t="shared" si="1568"/>
        <v/>
      </c>
      <c r="BL4520" s="498" t="str">
        <f t="shared" si="1569"/>
        <v/>
      </c>
    </row>
    <row r="4521" spans="1:64" x14ac:dyDescent="0.25">
      <c r="A4521" s="762">
        <f t="shared" si="1570"/>
        <v>4516</v>
      </c>
      <c r="B4521" s="229"/>
      <c r="C4521" s="223"/>
      <c r="D4521" s="224"/>
      <c r="E4521" s="225"/>
      <c r="F4521" s="1036" t="str">
        <f t="shared" si="1576"/>
        <v/>
      </c>
      <c r="G4521" s="1037" t="str">
        <f t="shared" si="1571"/>
        <v/>
      </c>
      <c r="H4521" s="225"/>
      <c r="I4521" s="1013"/>
      <c r="J4521" s="1013"/>
      <c r="K4521" s="1028"/>
      <c r="L4521" s="1035" t="str">
        <f t="shared" si="1575"/>
        <v/>
      </c>
      <c r="S4521" s="498"/>
      <c r="AJ4521" s="498"/>
      <c r="AM4521" s="498">
        <f t="shared" si="1556"/>
        <v>0</v>
      </c>
      <c r="AN4521" s="498">
        <f t="shared" si="1557"/>
        <v>0</v>
      </c>
      <c r="AO4521" s="498">
        <f t="shared" si="1558"/>
        <v>0</v>
      </c>
      <c r="AP4521" s="498">
        <f t="shared" si="1577"/>
        <v>0</v>
      </c>
      <c r="AQ4521" s="498">
        <f t="shared" si="1572"/>
        <v>0</v>
      </c>
      <c r="AU4521" s="498">
        <f t="shared" si="1559"/>
        <v>0</v>
      </c>
      <c r="AV4521" s="498">
        <f t="shared" si="1560"/>
        <v>0</v>
      </c>
      <c r="AW4521" s="498">
        <f t="shared" si="1561"/>
        <v>0</v>
      </c>
      <c r="AX4521" s="498">
        <f t="shared" si="1562"/>
        <v>0</v>
      </c>
      <c r="AY4521" s="498">
        <f t="shared" si="1563"/>
        <v>0</v>
      </c>
      <c r="BB4521" s="498" t="str">
        <f t="shared" si="1564"/>
        <v/>
      </c>
      <c r="BC4521" s="743" t="str">
        <f t="shared" si="1565"/>
        <v/>
      </c>
      <c r="BD4521" s="743" t="str">
        <f t="shared" si="1566"/>
        <v/>
      </c>
      <c r="BE4521" s="743" t="str">
        <f>IF(D4521="","",VLOOKUP(D4521,'General Basis'!$J$39:$K$46,2,0))</f>
        <v/>
      </c>
      <c r="BF4521" s="744" t="str">
        <f>IF(D4521="","",VLOOKUP(D4521,'General Basis'!$J$39:$L$46,3,0))</f>
        <v/>
      </c>
      <c r="BG4521" s="744" t="str">
        <f t="shared" si="1573"/>
        <v/>
      </c>
      <c r="BH4521" s="744" t="str">
        <f>IF(G4521="","",IF(BF4521="Abu Dhabi",IF(G4521&lt;18,'General Basis'!$C$39,IF(G4521&lt;41,'General Basis'!$C$40,IF(G4521&lt;60,'General Basis'!$C$41,IF(G4521&lt;65,'General Basis'!$C$42,'General Basis'!$C$43)))),IF(G4521&lt;11,'General Basis'!$B$39,IF(G4521&lt;18,'General Basis'!$B$40,IF(G4521&lt;26,'General Basis'!$B$41,IF(G4521&lt;31,'General Basis'!$B$42,IF(G4521&lt;36,'General Basis'!$B$43,IF(G4521&lt;41,'General Basis'!$B$44,IF(G4521&lt;46,'General Basis'!$B$45,IF(G4521&lt;51,'General Basis'!$B$46,IF(G4521&lt;56,'General Basis'!$B$47,IF(G4521&lt;60,'General Basis'!$B$48,IF(G4521&lt;65,'General Basis'!$B$49,'General Basis'!$B$50)))))))))))))</f>
        <v/>
      </c>
      <c r="BI4521" s="744" t="str">
        <f t="shared" si="1567"/>
        <v/>
      </c>
      <c r="BJ4521" s="747" t="str">
        <f t="shared" si="1574"/>
        <v/>
      </c>
      <c r="BK4521" s="498" t="str">
        <f t="shared" si="1568"/>
        <v/>
      </c>
      <c r="BL4521" s="498" t="str">
        <f t="shared" si="1569"/>
        <v/>
      </c>
    </row>
    <row r="4522" spans="1:64" x14ac:dyDescent="0.25">
      <c r="A4522" s="762">
        <f t="shared" si="1570"/>
        <v>4517</v>
      </c>
      <c r="B4522" s="229"/>
      <c r="C4522" s="223"/>
      <c r="D4522" s="224"/>
      <c r="E4522" s="225"/>
      <c r="F4522" s="1036" t="str">
        <f t="shared" si="1576"/>
        <v/>
      </c>
      <c r="G4522" s="1037" t="str">
        <f t="shared" si="1571"/>
        <v/>
      </c>
      <c r="H4522" s="225"/>
      <c r="I4522" s="1013"/>
      <c r="J4522" s="1013"/>
      <c r="K4522" s="1028"/>
      <c r="L4522" s="1035" t="str">
        <f t="shared" si="1575"/>
        <v/>
      </c>
      <c r="S4522" s="498"/>
      <c r="AJ4522" s="498"/>
      <c r="AM4522" s="498">
        <f t="shared" si="1556"/>
        <v>0</v>
      </c>
      <c r="AN4522" s="498">
        <f t="shared" si="1557"/>
        <v>0</v>
      </c>
      <c r="AO4522" s="498">
        <f t="shared" si="1558"/>
        <v>0</v>
      </c>
      <c r="AP4522" s="498">
        <f t="shared" si="1577"/>
        <v>0</v>
      </c>
      <c r="AQ4522" s="498">
        <f t="shared" si="1572"/>
        <v>0</v>
      </c>
      <c r="AU4522" s="498">
        <f t="shared" si="1559"/>
        <v>0</v>
      </c>
      <c r="AV4522" s="498">
        <f t="shared" si="1560"/>
        <v>0</v>
      </c>
      <c r="AW4522" s="498">
        <f t="shared" si="1561"/>
        <v>0</v>
      </c>
      <c r="AX4522" s="498">
        <f t="shared" si="1562"/>
        <v>0</v>
      </c>
      <c r="AY4522" s="498">
        <f t="shared" si="1563"/>
        <v>0</v>
      </c>
      <c r="BB4522" s="498" t="str">
        <f t="shared" si="1564"/>
        <v/>
      </c>
      <c r="BC4522" s="743" t="str">
        <f t="shared" si="1565"/>
        <v/>
      </c>
      <c r="BD4522" s="743" t="str">
        <f t="shared" si="1566"/>
        <v/>
      </c>
      <c r="BE4522" s="743" t="str">
        <f>IF(D4522="","",VLOOKUP(D4522,'General Basis'!$J$39:$K$46,2,0))</f>
        <v/>
      </c>
      <c r="BF4522" s="744" t="str">
        <f>IF(D4522="","",VLOOKUP(D4522,'General Basis'!$J$39:$L$46,3,0))</f>
        <v/>
      </c>
      <c r="BG4522" s="744" t="str">
        <f t="shared" si="1573"/>
        <v/>
      </c>
      <c r="BH4522" s="744" t="str">
        <f>IF(G4522="","",IF(BF4522="Abu Dhabi",IF(G4522&lt;18,'General Basis'!$C$39,IF(G4522&lt;41,'General Basis'!$C$40,IF(G4522&lt;60,'General Basis'!$C$41,IF(G4522&lt;65,'General Basis'!$C$42,'General Basis'!$C$43)))),IF(G4522&lt;11,'General Basis'!$B$39,IF(G4522&lt;18,'General Basis'!$B$40,IF(G4522&lt;26,'General Basis'!$B$41,IF(G4522&lt;31,'General Basis'!$B$42,IF(G4522&lt;36,'General Basis'!$B$43,IF(G4522&lt;41,'General Basis'!$B$44,IF(G4522&lt;46,'General Basis'!$B$45,IF(G4522&lt;51,'General Basis'!$B$46,IF(G4522&lt;56,'General Basis'!$B$47,IF(G4522&lt;60,'General Basis'!$B$48,IF(G4522&lt;65,'General Basis'!$B$49,'General Basis'!$B$50)))))))))))))</f>
        <v/>
      </c>
      <c r="BI4522" s="744" t="str">
        <f t="shared" si="1567"/>
        <v/>
      </c>
      <c r="BJ4522" s="747" t="str">
        <f t="shared" si="1574"/>
        <v/>
      </c>
      <c r="BK4522" s="498" t="str">
        <f t="shared" si="1568"/>
        <v/>
      </c>
      <c r="BL4522" s="498" t="str">
        <f t="shared" si="1569"/>
        <v/>
      </c>
    </row>
    <row r="4523" spans="1:64" x14ac:dyDescent="0.25">
      <c r="A4523" s="762">
        <f t="shared" si="1570"/>
        <v>4518</v>
      </c>
      <c r="B4523" s="229"/>
      <c r="C4523" s="223"/>
      <c r="D4523" s="224"/>
      <c r="E4523" s="225"/>
      <c r="F4523" s="1036" t="str">
        <f t="shared" si="1576"/>
        <v/>
      </c>
      <c r="G4523" s="1037" t="str">
        <f t="shared" si="1571"/>
        <v/>
      </c>
      <c r="H4523" s="225"/>
      <c r="I4523" s="1013"/>
      <c r="J4523" s="1013"/>
      <c r="K4523" s="1028"/>
      <c r="L4523" s="1035" t="str">
        <f t="shared" si="1575"/>
        <v/>
      </c>
      <c r="S4523" s="498"/>
      <c r="AJ4523" s="498"/>
      <c r="AM4523" s="498">
        <f t="shared" si="1556"/>
        <v>0</v>
      </c>
      <c r="AN4523" s="498">
        <f t="shared" si="1557"/>
        <v>0</v>
      </c>
      <c r="AO4523" s="498">
        <f t="shared" si="1558"/>
        <v>0</v>
      </c>
      <c r="AP4523" s="498">
        <f t="shared" si="1577"/>
        <v>0</v>
      </c>
      <c r="AQ4523" s="498">
        <f t="shared" si="1572"/>
        <v>0</v>
      </c>
      <c r="AU4523" s="498">
        <f t="shared" si="1559"/>
        <v>0</v>
      </c>
      <c r="AV4523" s="498">
        <f t="shared" si="1560"/>
        <v>0</v>
      </c>
      <c r="AW4523" s="498">
        <f t="shared" si="1561"/>
        <v>0</v>
      </c>
      <c r="AX4523" s="498">
        <f t="shared" si="1562"/>
        <v>0</v>
      </c>
      <c r="AY4523" s="498">
        <f t="shared" si="1563"/>
        <v>0</v>
      </c>
      <c r="BB4523" s="498" t="str">
        <f t="shared" si="1564"/>
        <v/>
      </c>
      <c r="BC4523" s="743" t="str">
        <f t="shared" si="1565"/>
        <v/>
      </c>
      <c r="BD4523" s="743" t="str">
        <f t="shared" si="1566"/>
        <v/>
      </c>
      <c r="BE4523" s="743" t="str">
        <f>IF(D4523="","",VLOOKUP(D4523,'General Basis'!$J$39:$K$46,2,0))</f>
        <v/>
      </c>
      <c r="BF4523" s="744" t="str">
        <f>IF(D4523="","",VLOOKUP(D4523,'General Basis'!$J$39:$L$46,3,0))</f>
        <v/>
      </c>
      <c r="BG4523" s="744" t="str">
        <f t="shared" si="1573"/>
        <v/>
      </c>
      <c r="BH4523" s="744" t="str">
        <f>IF(G4523="","",IF(BF4523="Abu Dhabi",IF(G4523&lt;18,'General Basis'!$C$39,IF(G4523&lt;41,'General Basis'!$C$40,IF(G4523&lt;60,'General Basis'!$C$41,IF(G4523&lt;65,'General Basis'!$C$42,'General Basis'!$C$43)))),IF(G4523&lt;11,'General Basis'!$B$39,IF(G4523&lt;18,'General Basis'!$B$40,IF(G4523&lt;26,'General Basis'!$B$41,IF(G4523&lt;31,'General Basis'!$B$42,IF(G4523&lt;36,'General Basis'!$B$43,IF(G4523&lt;41,'General Basis'!$B$44,IF(G4523&lt;46,'General Basis'!$B$45,IF(G4523&lt;51,'General Basis'!$B$46,IF(G4523&lt;56,'General Basis'!$B$47,IF(G4523&lt;60,'General Basis'!$B$48,IF(G4523&lt;65,'General Basis'!$B$49,'General Basis'!$B$50)))))))))))))</f>
        <v/>
      </c>
      <c r="BI4523" s="744" t="str">
        <f t="shared" si="1567"/>
        <v/>
      </c>
      <c r="BJ4523" s="747" t="str">
        <f t="shared" si="1574"/>
        <v/>
      </c>
      <c r="BK4523" s="498" t="str">
        <f t="shared" si="1568"/>
        <v/>
      </c>
      <c r="BL4523" s="498" t="str">
        <f t="shared" si="1569"/>
        <v/>
      </c>
    </row>
    <row r="4524" spans="1:64" x14ac:dyDescent="0.25">
      <c r="A4524" s="762">
        <f t="shared" si="1570"/>
        <v>4519</v>
      </c>
      <c r="B4524" s="229"/>
      <c r="C4524" s="223"/>
      <c r="D4524" s="224"/>
      <c r="E4524" s="225"/>
      <c r="F4524" s="1036" t="str">
        <f t="shared" si="1576"/>
        <v/>
      </c>
      <c r="G4524" s="1037" t="str">
        <f t="shared" si="1571"/>
        <v/>
      </c>
      <c r="H4524" s="225"/>
      <c r="I4524" s="1013"/>
      <c r="J4524" s="1013"/>
      <c r="K4524" s="1028"/>
      <c r="L4524" s="1035" t="str">
        <f t="shared" si="1575"/>
        <v/>
      </c>
      <c r="S4524" s="498"/>
      <c r="AJ4524" s="498"/>
      <c r="AM4524" s="498">
        <f t="shared" si="1556"/>
        <v>0</v>
      </c>
      <c r="AN4524" s="498">
        <f t="shared" si="1557"/>
        <v>0</v>
      </c>
      <c r="AO4524" s="498">
        <f t="shared" si="1558"/>
        <v>0</v>
      </c>
      <c r="AP4524" s="498">
        <f t="shared" si="1577"/>
        <v>0</v>
      </c>
      <c r="AQ4524" s="498">
        <f t="shared" si="1572"/>
        <v>0</v>
      </c>
      <c r="AU4524" s="498">
        <f t="shared" si="1559"/>
        <v>0</v>
      </c>
      <c r="AV4524" s="498">
        <f t="shared" si="1560"/>
        <v>0</v>
      </c>
      <c r="AW4524" s="498">
        <f t="shared" si="1561"/>
        <v>0</v>
      </c>
      <c r="AX4524" s="498">
        <f t="shared" si="1562"/>
        <v>0</v>
      </c>
      <c r="AY4524" s="498">
        <f t="shared" si="1563"/>
        <v>0</v>
      </c>
      <c r="BB4524" s="498" t="str">
        <f t="shared" si="1564"/>
        <v/>
      </c>
      <c r="BC4524" s="743" t="str">
        <f t="shared" si="1565"/>
        <v/>
      </c>
      <c r="BD4524" s="743" t="str">
        <f t="shared" si="1566"/>
        <v/>
      </c>
      <c r="BE4524" s="743" t="str">
        <f>IF(D4524="","",VLOOKUP(D4524,'General Basis'!$J$39:$K$46,2,0))</f>
        <v/>
      </c>
      <c r="BF4524" s="744" t="str">
        <f>IF(D4524="","",VLOOKUP(D4524,'General Basis'!$J$39:$L$46,3,0))</f>
        <v/>
      </c>
      <c r="BG4524" s="744" t="str">
        <f t="shared" si="1573"/>
        <v/>
      </c>
      <c r="BH4524" s="744" t="str">
        <f>IF(G4524="","",IF(BF4524="Abu Dhabi",IF(G4524&lt;18,'General Basis'!$C$39,IF(G4524&lt;41,'General Basis'!$C$40,IF(G4524&lt;60,'General Basis'!$C$41,IF(G4524&lt;65,'General Basis'!$C$42,'General Basis'!$C$43)))),IF(G4524&lt;11,'General Basis'!$B$39,IF(G4524&lt;18,'General Basis'!$B$40,IF(G4524&lt;26,'General Basis'!$B$41,IF(G4524&lt;31,'General Basis'!$B$42,IF(G4524&lt;36,'General Basis'!$B$43,IF(G4524&lt;41,'General Basis'!$B$44,IF(G4524&lt;46,'General Basis'!$B$45,IF(G4524&lt;51,'General Basis'!$B$46,IF(G4524&lt;56,'General Basis'!$B$47,IF(G4524&lt;60,'General Basis'!$B$48,IF(G4524&lt;65,'General Basis'!$B$49,'General Basis'!$B$50)))))))))))))</f>
        <v/>
      </c>
      <c r="BI4524" s="744" t="str">
        <f t="shared" si="1567"/>
        <v/>
      </c>
      <c r="BJ4524" s="747" t="str">
        <f t="shared" si="1574"/>
        <v/>
      </c>
      <c r="BK4524" s="498" t="str">
        <f t="shared" si="1568"/>
        <v/>
      </c>
      <c r="BL4524" s="498" t="str">
        <f t="shared" si="1569"/>
        <v/>
      </c>
    </row>
    <row r="4525" spans="1:64" x14ac:dyDescent="0.25">
      <c r="A4525" s="762">
        <f t="shared" si="1570"/>
        <v>4520</v>
      </c>
      <c r="B4525" s="229"/>
      <c r="C4525" s="223"/>
      <c r="D4525" s="224"/>
      <c r="E4525" s="225"/>
      <c r="F4525" s="1036" t="str">
        <f t="shared" si="1576"/>
        <v/>
      </c>
      <c r="G4525" s="1037" t="str">
        <f t="shared" si="1571"/>
        <v/>
      </c>
      <c r="H4525" s="225"/>
      <c r="I4525" s="1013"/>
      <c r="J4525" s="1013"/>
      <c r="K4525" s="1028"/>
      <c r="L4525" s="1035" t="str">
        <f t="shared" si="1575"/>
        <v/>
      </c>
      <c r="S4525" s="498"/>
      <c r="AJ4525" s="498"/>
      <c r="AM4525" s="498">
        <f t="shared" si="1556"/>
        <v>0</v>
      </c>
      <c r="AN4525" s="498">
        <f t="shared" si="1557"/>
        <v>0</v>
      </c>
      <c r="AO4525" s="498">
        <f t="shared" si="1558"/>
        <v>0</v>
      </c>
      <c r="AP4525" s="498">
        <f t="shared" si="1577"/>
        <v>0</v>
      </c>
      <c r="AQ4525" s="498">
        <f t="shared" si="1572"/>
        <v>0</v>
      </c>
      <c r="AU4525" s="498">
        <f t="shared" si="1559"/>
        <v>0</v>
      </c>
      <c r="AV4525" s="498">
        <f t="shared" si="1560"/>
        <v>0</v>
      </c>
      <c r="AW4525" s="498">
        <f t="shared" si="1561"/>
        <v>0</v>
      </c>
      <c r="AX4525" s="498">
        <f t="shared" si="1562"/>
        <v>0</v>
      </c>
      <c r="AY4525" s="498">
        <f t="shared" si="1563"/>
        <v>0</v>
      </c>
      <c r="BB4525" s="498" t="str">
        <f t="shared" si="1564"/>
        <v/>
      </c>
      <c r="BC4525" s="743" t="str">
        <f t="shared" si="1565"/>
        <v/>
      </c>
      <c r="BD4525" s="743" t="str">
        <f t="shared" si="1566"/>
        <v/>
      </c>
      <c r="BE4525" s="743" t="str">
        <f>IF(D4525="","",VLOOKUP(D4525,'General Basis'!$J$39:$K$46,2,0))</f>
        <v/>
      </c>
      <c r="BF4525" s="744" t="str">
        <f>IF(D4525="","",VLOOKUP(D4525,'General Basis'!$J$39:$L$46,3,0))</f>
        <v/>
      </c>
      <c r="BG4525" s="744" t="str">
        <f t="shared" si="1573"/>
        <v/>
      </c>
      <c r="BH4525" s="744" t="str">
        <f>IF(G4525="","",IF(BF4525="Abu Dhabi",IF(G4525&lt;18,'General Basis'!$C$39,IF(G4525&lt;41,'General Basis'!$C$40,IF(G4525&lt;60,'General Basis'!$C$41,IF(G4525&lt;65,'General Basis'!$C$42,'General Basis'!$C$43)))),IF(G4525&lt;11,'General Basis'!$B$39,IF(G4525&lt;18,'General Basis'!$B$40,IF(G4525&lt;26,'General Basis'!$B$41,IF(G4525&lt;31,'General Basis'!$B$42,IF(G4525&lt;36,'General Basis'!$B$43,IF(G4525&lt;41,'General Basis'!$B$44,IF(G4525&lt;46,'General Basis'!$B$45,IF(G4525&lt;51,'General Basis'!$B$46,IF(G4525&lt;56,'General Basis'!$B$47,IF(G4525&lt;60,'General Basis'!$B$48,IF(G4525&lt;65,'General Basis'!$B$49,'General Basis'!$B$50)))))))))))))</f>
        <v/>
      </c>
      <c r="BI4525" s="744" t="str">
        <f t="shared" si="1567"/>
        <v/>
      </c>
      <c r="BJ4525" s="747" t="str">
        <f t="shared" si="1574"/>
        <v/>
      </c>
      <c r="BK4525" s="498" t="str">
        <f t="shared" si="1568"/>
        <v/>
      </c>
      <c r="BL4525" s="498" t="str">
        <f t="shared" si="1569"/>
        <v/>
      </c>
    </row>
    <row r="4526" spans="1:64" x14ac:dyDescent="0.25">
      <c r="A4526" s="762">
        <f t="shared" si="1570"/>
        <v>4521</v>
      </c>
      <c r="B4526" s="229"/>
      <c r="C4526" s="223"/>
      <c r="D4526" s="224"/>
      <c r="E4526" s="225"/>
      <c r="F4526" s="1036" t="str">
        <f t="shared" si="1576"/>
        <v/>
      </c>
      <c r="G4526" s="1037" t="str">
        <f t="shared" si="1571"/>
        <v/>
      </c>
      <c r="H4526" s="225"/>
      <c r="I4526" s="1013"/>
      <c r="J4526" s="1013"/>
      <c r="K4526" s="1028"/>
      <c r="L4526" s="1035" t="str">
        <f t="shared" si="1575"/>
        <v/>
      </c>
      <c r="S4526" s="498"/>
      <c r="AJ4526" s="498"/>
      <c r="AM4526" s="498">
        <f t="shared" si="1556"/>
        <v>0</v>
      </c>
      <c r="AN4526" s="498">
        <f t="shared" si="1557"/>
        <v>0</v>
      </c>
      <c r="AO4526" s="498">
        <f t="shared" si="1558"/>
        <v>0</v>
      </c>
      <c r="AP4526" s="498">
        <f t="shared" si="1577"/>
        <v>0</v>
      </c>
      <c r="AQ4526" s="498">
        <f t="shared" si="1572"/>
        <v>0</v>
      </c>
      <c r="AU4526" s="498">
        <f t="shared" si="1559"/>
        <v>0</v>
      </c>
      <c r="AV4526" s="498">
        <f t="shared" si="1560"/>
        <v>0</v>
      </c>
      <c r="AW4526" s="498">
        <f t="shared" si="1561"/>
        <v>0</v>
      </c>
      <c r="AX4526" s="498">
        <f t="shared" si="1562"/>
        <v>0</v>
      </c>
      <c r="AY4526" s="498">
        <f t="shared" si="1563"/>
        <v>0</v>
      </c>
      <c r="BB4526" s="498" t="str">
        <f t="shared" si="1564"/>
        <v/>
      </c>
      <c r="BC4526" s="743" t="str">
        <f t="shared" si="1565"/>
        <v/>
      </c>
      <c r="BD4526" s="743" t="str">
        <f t="shared" si="1566"/>
        <v/>
      </c>
      <c r="BE4526" s="743" t="str">
        <f>IF(D4526="","",VLOOKUP(D4526,'General Basis'!$J$39:$K$46,2,0))</f>
        <v/>
      </c>
      <c r="BF4526" s="744" t="str">
        <f>IF(D4526="","",VLOOKUP(D4526,'General Basis'!$J$39:$L$46,3,0))</f>
        <v/>
      </c>
      <c r="BG4526" s="744" t="str">
        <f t="shared" si="1573"/>
        <v/>
      </c>
      <c r="BH4526" s="744" t="str">
        <f>IF(G4526="","",IF(BF4526="Abu Dhabi",IF(G4526&lt;18,'General Basis'!$C$39,IF(G4526&lt;41,'General Basis'!$C$40,IF(G4526&lt;60,'General Basis'!$C$41,IF(G4526&lt;65,'General Basis'!$C$42,'General Basis'!$C$43)))),IF(G4526&lt;11,'General Basis'!$B$39,IF(G4526&lt;18,'General Basis'!$B$40,IF(G4526&lt;26,'General Basis'!$B$41,IF(G4526&lt;31,'General Basis'!$B$42,IF(G4526&lt;36,'General Basis'!$B$43,IF(G4526&lt;41,'General Basis'!$B$44,IF(G4526&lt;46,'General Basis'!$B$45,IF(G4526&lt;51,'General Basis'!$B$46,IF(G4526&lt;56,'General Basis'!$B$47,IF(G4526&lt;60,'General Basis'!$B$48,IF(G4526&lt;65,'General Basis'!$B$49,'General Basis'!$B$50)))))))))))))</f>
        <v/>
      </c>
      <c r="BI4526" s="744" t="str">
        <f t="shared" si="1567"/>
        <v/>
      </c>
      <c r="BJ4526" s="747" t="str">
        <f t="shared" si="1574"/>
        <v/>
      </c>
      <c r="BK4526" s="498" t="str">
        <f t="shared" si="1568"/>
        <v/>
      </c>
      <c r="BL4526" s="498" t="str">
        <f t="shared" si="1569"/>
        <v/>
      </c>
    </row>
    <row r="4527" spans="1:64" x14ac:dyDescent="0.25">
      <c r="A4527" s="762">
        <f t="shared" si="1570"/>
        <v>4522</v>
      </c>
      <c r="B4527" s="229"/>
      <c r="C4527" s="223"/>
      <c r="D4527" s="224"/>
      <c r="E4527" s="225"/>
      <c r="F4527" s="1036" t="str">
        <f t="shared" si="1576"/>
        <v/>
      </c>
      <c r="G4527" s="1037" t="str">
        <f t="shared" si="1571"/>
        <v/>
      </c>
      <c r="H4527" s="225"/>
      <c r="I4527" s="1013"/>
      <c r="J4527" s="1013"/>
      <c r="K4527" s="1028"/>
      <c r="L4527" s="1035" t="str">
        <f t="shared" si="1575"/>
        <v/>
      </c>
      <c r="S4527" s="498"/>
      <c r="AJ4527" s="498"/>
      <c r="AM4527" s="498">
        <f t="shared" si="1556"/>
        <v>0</v>
      </c>
      <c r="AN4527" s="498">
        <f t="shared" si="1557"/>
        <v>0</v>
      </c>
      <c r="AO4527" s="498">
        <f t="shared" si="1558"/>
        <v>0</v>
      </c>
      <c r="AP4527" s="498">
        <f t="shared" si="1577"/>
        <v>0</v>
      </c>
      <c r="AQ4527" s="498">
        <f t="shared" si="1572"/>
        <v>0</v>
      </c>
      <c r="AU4527" s="498">
        <f t="shared" si="1559"/>
        <v>0</v>
      </c>
      <c r="AV4527" s="498">
        <f t="shared" si="1560"/>
        <v>0</v>
      </c>
      <c r="AW4527" s="498">
        <f t="shared" si="1561"/>
        <v>0</v>
      </c>
      <c r="AX4527" s="498">
        <f t="shared" si="1562"/>
        <v>0</v>
      </c>
      <c r="AY4527" s="498">
        <f t="shared" si="1563"/>
        <v>0</v>
      </c>
      <c r="BB4527" s="498" t="str">
        <f t="shared" si="1564"/>
        <v/>
      </c>
      <c r="BC4527" s="743" t="str">
        <f t="shared" si="1565"/>
        <v/>
      </c>
      <c r="BD4527" s="743" t="str">
        <f t="shared" si="1566"/>
        <v/>
      </c>
      <c r="BE4527" s="743" t="str">
        <f>IF(D4527="","",VLOOKUP(D4527,'General Basis'!$J$39:$K$46,2,0))</f>
        <v/>
      </c>
      <c r="BF4527" s="744" t="str">
        <f>IF(D4527="","",VLOOKUP(D4527,'General Basis'!$J$39:$L$46,3,0))</f>
        <v/>
      </c>
      <c r="BG4527" s="744" t="str">
        <f t="shared" si="1573"/>
        <v/>
      </c>
      <c r="BH4527" s="744" t="str">
        <f>IF(G4527="","",IF(BF4527="Abu Dhabi",IF(G4527&lt;18,'General Basis'!$C$39,IF(G4527&lt;41,'General Basis'!$C$40,IF(G4527&lt;60,'General Basis'!$C$41,IF(G4527&lt;65,'General Basis'!$C$42,'General Basis'!$C$43)))),IF(G4527&lt;11,'General Basis'!$B$39,IF(G4527&lt;18,'General Basis'!$B$40,IF(G4527&lt;26,'General Basis'!$B$41,IF(G4527&lt;31,'General Basis'!$B$42,IF(G4527&lt;36,'General Basis'!$B$43,IF(G4527&lt;41,'General Basis'!$B$44,IF(G4527&lt;46,'General Basis'!$B$45,IF(G4527&lt;51,'General Basis'!$B$46,IF(G4527&lt;56,'General Basis'!$B$47,IF(G4527&lt;60,'General Basis'!$B$48,IF(G4527&lt;65,'General Basis'!$B$49,'General Basis'!$B$50)))))))))))))</f>
        <v/>
      </c>
      <c r="BI4527" s="744" t="str">
        <f t="shared" si="1567"/>
        <v/>
      </c>
      <c r="BJ4527" s="747" t="str">
        <f t="shared" si="1574"/>
        <v/>
      </c>
      <c r="BK4527" s="498" t="str">
        <f t="shared" si="1568"/>
        <v/>
      </c>
      <c r="BL4527" s="498" t="str">
        <f t="shared" si="1569"/>
        <v/>
      </c>
    </row>
    <row r="4528" spans="1:64" x14ac:dyDescent="0.25">
      <c r="A4528" s="762">
        <f t="shared" si="1570"/>
        <v>4523</v>
      </c>
      <c r="B4528" s="229"/>
      <c r="C4528" s="223"/>
      <c r="D4528" s="224"/>
      <c r="E4528" s="225"/>
      <c r="F4528" s="1036" t="str">
        <f t="shared" si="1576"/>
        <v/>
      </c>
      <c r="G4528" s="1037" t="str">
        <f t="shared" si="1571"/>
        <v/>
      </c>
      <c r="H4528" s="225"/>
      <c r="I4528" s="1013"/>
      <c r="J4528" s="1013"/>
      <c r="K4528" s="1028"/>
      <c r="L4528" s="1035" t="str">
        <f t="shared" si="1575"/>
        <v/>
      </c>
      <c r="S4528" s="498"/>
      <c r="AJ4528" s="498"/>
      <c r="AM4528" s="498">
        <f t="shared" si="1556"/>
        <v>0</v>
      </c>
      <c r="AN4528" s="498">
        <f t="shared" si="1557"/>
        <v>0</v>
      </c>
      <c r="AO4528" s="498">
        <f t="shared" si="1558"/>
        <v>0</v>
      </c>
      <c r="AP4528" s="498">
        <f t="shared" si="1577"/>
        <v>0</v>
      </c>
      <c r="AQ4528" s="498">
        <f t="shared" si="1572"/>
        <v>0</v>
      </c>
      <c r="AU4528" s="498">
        <f t="shared" si="1559"/>
        <v>0</v>
      </c>
      <c r="AV4528" s="498">
        <f t="shared" si="1560"/>
        <v>0</v>
      </c>
      <c r="AW4528" s="498">
        <f t="shared" si="1561"/>
        <v>0</v>
      </c>
      <c r="AX4528" s="498">
        <f t="shared" si="1562"/>
        <v>0</v>
      </c>
      <c r="AY4528" s="498">
        <f t="shared" si="1563"/>
        <v>0</v>
      </c>
      <c r="BB4528" s="498" t="str">
        <f t="shared" si="1564"/>
        <v/>
      </c>
      <c r="BC4528" s="743" t="str">
        <f t="shared" si="1565"/>
        <v/>
      </c>
      <c r="BD4528" s="743" t="str">
        <f t="shared" si="1566"/>
        <v/>
      </c>
      <c r="BE4528" s="743" t="str">
        <f>IF(D4528="","",VLOOKUP(D4528,'General Basis'!$J$39:$K$46,2,0))</f>
        <v/>
      </c>
      <c r="BF4528" s="744" t="str">
        <f>IF(D4528="","",VLOOKUP(D4528,'General Basis'!$J$39:$L$46,3,0))</f>
        <v/>
      </c>
      <c r="BG4528" s="744" t="str">
        <f t="shared" si="1573"/>
        <v/>
      </c>
      <c r="BH4528" s="744" t="str">
        <f>IF(G4528="","",IF(BF4528="Abu Dhabi",IF(G4528&lt;18,'General Basis'!$C$39,IF(G4528&lt;41,'General Basis'!$C$40,IF(G4528&lt;60,'General Basis'!$C$41,IF(G4528&lt;65,'General Basis'!$C$42,'General Basis'!$C$43)))),IF(G4528&lt;11,'General Basis'!$B$39,IF(G4528&lt;18,'General Basis'!$B$40,IF(G4528&lt;26,'General Basis'!$B$41,IF(G4528&lt;31,'General Basis'!$B$42,IF(G4528&lt;36,'General Basis'!$B$43,IF(G4528&lt;41,'General Basis'!$B$44,IF(G4528&lt;46,'General Basis'!$B$45,IF(G4528&lt;51,'General Basis'!$B$46,IF(G4528&lt;56,'General Basis'!$B$47,IF(G4528&lt;60,'General Basis'!$B$48,IF(G4528&lt;65,'General Basis'!$B$49,'General Basis'!$B$50)))))))))))))</f>
        <v/>
      </c>
      <c r="BI4528" s="744" t="str">
        <f t="shared" si="1567"/>
        <v/>
      </c>
      <c r="BJ4528" s="747" t="str">
        <f t="shared" si="1574"/>
        <v/>
      </c>
      <c r="BK4528" s="498" t="str">
        <f t="shared" si="1568"/>
        <v/>
      </c>
      <c r="BL4528" s="498" t="str">
        <f t="shared" si="1569"/>
        <v/>
      </c>
    </row>
    <row r="4529" spans="1:64" x14ac:dyDescent="0.25">
      <c r="A4529" s="762">
        <f t="shared" si="1570"/>
        <v>4524</v>
      </c>
      <c r="B4529" s="229"/>
      <c r="C4529" s="223"/>
      <c r="D4529" s="224"/>
      <c r="E4529" s="225"/>
      <c r="F4529" s="1036" t="str">
        <f t="shared" si="1576"/>
        <v/>
      </c>
      <c r="G4529" s="1037" t="str">
        <f t="shared" si="1571"/>
        <v/>
      </c>
      <c r="H4529" s="225"/>
      <c r="I4529" s="1013"/>
      <c r="J4529" s="1013"/>
      <c r="K4529" s="1028"/>
      <c r="L4529" s="1035" t="str">
        <f t="shared" si="1575"/>
        <v/>
      </c>
      <c r="S4529" s="498"/>
      <c r="AJ4529" s="498"/>
      <c r="AM4529" s="498">
        <f t="shared" si="1556"/>
        <v>0</v>
      </c>
      <c r="AN4529" s="498">
        <f t="shared" si="1557"/>
        <v>0</v>
      </c>
      <c r="AO4529" s="498">
        <f t="shared" si="1558"/>
        <v>0</v>
      </c>
      <c r="AP4529" s="498">
        <f t="shared" si="1577"/>
        <v>0</v>
      </c>
      <c r="AQ4529" s="498">
        <f t="shared" si="1572"/>
        <v>0</v>
      </c>
      <c r="AU4529" s="498">
        <f t="shared" si="1559"/>
        <v>0</v>
      </c>
      <c r="AV4529" s="498">
        <f t="shared" si="1560"/>
        <v>0</v>
      </c>
      <c r="AW4529" s="498">
        <f t="shared" si="1561"/>
        <v>0</v>
      </c>
      <c r="AX4529" s="498">
        <f t="shared" si="1562"/>
        <v>0</v>
      </c>
      <c r="AY4529" s="498">
        <f t="shared" si="1563"/>
        <v>0</v>
      </c>
      <c r="BB4529" s="498" t="str">
        <f t="shared" si="1564"/>
        <v/>
      </c>
      <c r="BC4529" s="743" t="str">
        <f t="shared" si="1565"/>
        <v/>
      </c>
      <c r="BD4529" s="743" t="str">
        <f t="shared" si="1566"/>
        <v/>
      </c>
      <c r="BE4529" s="743" t="str">
        <f>IF(D4529="","",VLOOKUP(D4529,'General Basis'!$J$39:$K$46,2,0))</f>
        <v/>
      </c>
      <c r="BF4529" s="744" t="str">
        <f>IF(D4529="","",VLOOKUP(D4529,'General Basis'!$J$39:$L$46,3,0))</f>
        <v/>
      </c>
      <c r="BG4529" s="744" t="str">
        <f t="shared" si="1573"/>
        <v/>
      </c>
      <c r="BH4529" s="744" t="str">
        <f>IF(G4529="","",IF(BF4529="Abu Dhabi",IF(G4529&lt;18,'General Basis'!$C$39,IF(G4529&lt;41,'General Basis'!$C$40,IF(G4529&lt;60,'General Basis'!$C$41,IF(G4529&lt;65,'General Basis'!$C$42,'General Basis'!$C$43)))),IF(G4529&lt;11,'General Basis'!$B$39,IF(G4529&lt;18,'General Basis'!$B$40,IF(G4529&lt;26,'General Basis'!$B$41,IF(G4529&lt;31,'General Basis'!$B$42,IF(G4529&lt;36,'General Basis'!$B$43,IF(G4529&lt;41,'General Basis'!$B$44,IF(G4529&lt;46,'General Basis'!$B$45,IF(G4529&lt;51,'General Basis'!$B$46,IF(G4529&lt;56,'General Basis'!$B$47,IF(G4529&lt;60,'General Basis'!$B$48,IF(G4529&lt;65,'General Basis'!$B$49,'General Basis'!$B$50)))))))))))))</f>
        <v/>
      </c>
      <c r="BI4529" s="744" t="str">
        <f t="shared" si="1567"/>
        <v/>
      </c>
      <c r="BJ4529" s="747" t="str">
        <f t="shared" si="1574"/>
        <v/>
      </c>
      <c r="BK4529" s="498" t="str">
        <f t="shared" si="1568"/>
        <v/>
      </c>
      <c r="BL4529" s="498" t="str">
        <f t="shared" si="1569"/>
        <v/>
      </c>
    </row>
    <row r="4530" spans="1:64" x14ac:dyDescent="0.25">
      <c r="A4530" s="762">
        <f t="shared" si="1570"/>
        <v>4525</v>
      </c>
      <c r="B4530" s="229"/>
      <c r="C4530" s="223"/>
      <c r="D4530" s="224"/>
      <c r="E4530" s="225"/>
      <c r="F4530" s="1036" t="str">
        <f t="shared" si="1576"/>
        <v/>
      </c>
      <c r="G4530" s="1037" t="str">
        <f t="shared" si="1571"/>
        <v/>
      </c>
      <c r="H4530" s="225"/>
      <c r="I4530" s="1013"/>
      <c r="J4530" s="1013"/>
      <c r="K4530" s="1028"/>
      <c r="L4530" s="1035" t="str">
        <f t="shared" si="1575"/>
        <v/>
      </c>
      <c r="S4530" s="498"/>
      <c r="AJ4530" s="498"/>
      <c r="AM4530" s="498">
        <f t="shared" si="1556"/>
        <v>0</v>
      </c>
      <c r="AN4530" s="498">
        <f t="shared" si="1557"/>
        <v>0</v>
      </c>
      <c r="AO4530" s="498">
        <f t="shared" si="1558"/>
        <v>0</v>
      </c>
      <c r="AP4530" s="498">
        <f t="shared" si="1577"/>
        <v>0</v>
      </c>
      <c r="AQ4530" s="498">
        <f t="shared" si="1572"/>
        <v>0</v>
      </c>
      <c r="AU4530" s="498">
        <f t="shared" si="1559"/>
        <v>0</v>
      </c>
      <c r="AV4530" s="498">
        <f t="shared" si="1560"/>
        <v>0</v>
      </c>
      <c r="AW4530" s="498">
        <f t="shared" si="1561"/>
        <v>0</v>
      </c>
      <c r="AX4530" s="498">
        <f t="shared" si="1562"/>
        <v>0</v>
      </c>
      <c r="AY4530" s="498">
        <f t="shared" si="1563"/>
        <v>0</v>
      </c>
      <c r="BB4530" s="498" t="str">
        <f t="shared" si="1564"/>
        <v/>
      </c>
      <c r="BC4530" s="743" t="str">
        <f t="shared" si="1565"/>
        <v/>
      </c>
      <c r="BD4530" s="743" t="str">
        <f t="shared" si="1566"/>
        <v/>
      </c>
      <c r="BE4530" s="743" t="str">
        <f>IF(D4530="","",VLOOKUP(D4530,'General Basis'!$J$39:$K$46,2,0))</f>
        <v/>
      </c>
      <c r="BF4530" s="744" t="str">
        <f>IF(D4530="","",VLOOKUP(D4530,'General Basis'!$J$39:$L$46,3,0))</f>
        <v/>
      </c>
      <c r="BG4530" s="744" t="str">
        <f t="shared" si="1573"/>
        <v/>
      </c>
      <c r="BH4530" s="744" t="str">
        <f>IF(G4530="","",IF(BF4530="Abu Dhabi",IF(G4530&lt;18,'General Basis'!$C$39,IF(G4530&lt;41,'General Basis'!$C$40,IF(G4530&lt;60,'General Basis'!$C$41,IF(G4530&lt;65,'General Basis'!$C$42,'General Basis'!$C$43)))),IF(G4530&lt;11,'General Basis'!$B$39,IF(G4530&lt;18,'General Basis'!$B$40,IF(G4530&lt;26,'General Basis'!$B$41,IF(G4530&lt;31,'General Basis'!$B$42,IF(G4530&lt;36,'General Basis'!$B$43,IF(G4530&lt;41,'General Basis'!$B$44,IF(G4530&lt;46,'General Basis'!$B$45,IF(G4530&lt;51,'General Basis'!$B$46,IF(G4530&lt;56,'General Basis'!$B$47,IF(G4530&lt;60,'General Basis'!$B$48,IF(G4530&lt;65,'General Basis'!$B$49,'General Basis'!$B$50)))))))))))))</f>
        <v/>
      </c>
      <c r="BI4530" s="744" t="str">
        <f t="shared" si="1567"/>
        <v/>
      </c>
      <c r="BJ4530" s="747" t="str">
        <f t="shared" si="1574"/>
        <v/>
      </c>
      <c r="BK4530" s="498" t="str">
        <f t="shared" si="1568"/>
        <v/>
      </c>
      <c r="BL4530" s="498" t="str">
        <f t="shared" si="1569"/>
        <v/>
      </c>
    </row>
    <row r="4531" spans="1:64" x14ac:dyDescent="0.25">
      <c r="A4531" s="762">
        <f t="shared" si="1570"/>
        <v>4526</v>
      </c>
      <c r="B4531" s="229"/>
      <c r="C4531" s="223"/>
      <c r="D4531" s="224"/>
      <c r="E4531" s="225"/>
      <c r="F4531" s="1036" t="str">
        <f t="shared" si="1576"/>
        <v/>
      </c>
      <c r="G4531" s="1037" t="str">
        <f t="shared" si="1571"/>
        <v/>
      </c>
      <c r="H4531" s="225"/>
      <c r="I4531" s="1013"/>
      <c r="J4531" s="1013"/>
      <c r="K4531" s="1028"/>
      <c r="L4531" s="1035" t="str">
        <f t="shared" si="1575"/>
        <v/>
      </c>
      <c r="S4531" s="498"/>
      <c r="AJ4531" s="498"/>
      <c r="AM4531" s="498">
        <f t="shared" si="1556"/>
        <v>0</v>
      </c>
      <c r="AN4531" s="498">
        <f t="shared" si="1557"/>
        <v>0</v>
      </c>
      <c r="AO4531" s="498">
        <f t="shared" si="1558"/>
        <v>0</v>
      </c>
      <c r="AP4531" s="498">
        <f t="shared" si="1577"/>
        <v>0</v>
      </c>
      <c r="AQ4531" s="498">
        <f t="shared" si="1572"/>
        <v>0</v>
      </c>
      <c r="AU4531" s="498">
        <f t="shared" si="1559"/>
        <v>0</v>
      </c>
      <c r="AV4531" s="498">
        <f t="shared" si="1560"/>
        <v>0</v>
      </c>
      <c r="AW4531" s="498">
        <f t="shared" si="1561"/>
        <v>0</v>
      </c>
      <c r="AX4531" s="498">
        <f t="shared" si="1562"/>
        <v>0</v>
      </c>
      <c r="AY4531" s="498">
        <f t="shared" si="1563"/>
        <v>0</v>
      </c>
      <c r="BB4531" s="498" t="str">
        <f t="shared" si="1564"/>
        <v/>
      </c>
      <c r="BC4531" s="743" t="str">
        <f t="shared" si="1565"/>
        <v/>
      </c>
      <c r="BD4531" s="743" t="str">
        <f t="shared" si="1566"/>
        <v/>
      </c>
      <c r="BE4531" s="743" t="str">
        <f>IF(D4531="","",VLOOKUP(D4531,'General Basis'!$J$39:$K$46,2,0))</f>
        <v/>
      </c>
      <c r="BF4531" s="744" t="str">
        <f>IF(D4531="","",VLOOKUP(D4531,'General Basis'!$J$39:$L$46,3,0))</f>
        <v/>
      </c>
      <c r="BG4531" s="744" t="str">
        <f t="shared" si="1573"/>
        <v/>
      </c>
      <c r="BH4531" s="744" t="str">
        <f>IF(G4531="","",IF(BF4531="Abu Dhabi",IF(G4531&lt;18,'General Basis'!$C$39,IF(G4531&lt;41,'General Basis'!$C$40,IF(G4531&lt;60,'General Basis'!$C$41,IF(G4531&lt;65,'General Basis'!$C$42,'General Basis'!$C$43)))),IF(G4531&lt;11,'General Basis'!$B$39,IF(G4531&lt;18,'General Basis'!$B$40,IF(G4531&lt;26,'General Basis'!$B$41,IF(G4531&lt;31,'General Basis'!$B$42,IF(G4531&lt;36,'General Basis'!$B$43,IF(G4531&lt;41,'General Basis'!$B$44,IF(G4531&lt;46,'General Basis'!$B$45,IF(G4531&lt;51,'General Basis'!$B$46,IF(G4531&lt;56,'General Basis'!$B$47,IF(G4531&lt;60,'General Basis'!$B$48,IF(G4531&lt;65,'General Basis'!$B$49,'General Basis'!$B$50)))))))))))))</f>
        <v/>
      </c>
      <c r="BI4531" s="744" t="str">
        <f t="shared" si="1567"/>
        <v/>
      </c>
      <c r="BJ4531" s="747" t="str">
        <f t="shared" si="1574"/>
        <v/>
      </c>
      <c r="BK4531" s="498" t="str">
        <f t="shared" si="1568"/>
        <v/>
      </c>
      <c r="BL4531" s="498" t="str">
        <f t="shared" si="1569"/>
        <v/>
      </c>
    </row>
    <row r="4532" spans="1:64" x14ac:dyDescent="0.25">
      <c r="A4532" s="762">
        <f t="shared" si="1570"/>
        <v>4527</v>
      </c>
      <c r="B4532" s="229"/>
      <c r="C4532" s="223"/>
      <c r="D4532" s="224"/>
      <c r="E4532" s="225"/>
      <c r="F4532" s="1036" t="str">
        <f t="shared" si="1576"/>
        <v/>
      </c>
      <c r="G4532" s="1037" t="str">
        <f t="shared" si="1571"/>
        <v/>
      </c>
      <c r="H4532" s="225"/>
      <c r="I4532" s="1013"/>
      <c r="J4532" s="1013"/>
      <c r="K4532" s="1028"/>
      <c r="L4532" s="1035" t="str">
        <f t="shared" si="1575"/>
        <v/>
      </c>
      <c r="S4532" s="498"/>
      <c r="AJ4532" s="498"/>
      <c r="AM4532" s="498">
        <f t="shared" si="1556"/>
        <v>0</v>
      </c>
      <c r="AN4532" s="498">
        <f t="shared" si="1557"/>
        <v>0</v>
      </c>
      <c r="AO4532" s="498">
        <f t="shared" si="1558"/>
        <v>0</v>
      </c>
      <c r="AP4532" s="498">
        <f t="shared" si="1577"/>
        <v>0</v>
      </c>
      <c r="AQ4532" s="498">
        <f t="shared" si="1572"/>
        <v>0</v>
      </c>
      <c r="AU4532" s="498">
        <f t="shared" si="1559"/>
        <v>0</v>
      </c>
      <c r="AV4532" s="498">
        <f t="shared" si="1560"/>
        <v>0</v>
      </c>
      <c r="AW4532" s="498">
        <f t="shared" si="1561"/>
        <v>0</v>
      </c>
      <c r="AX4532" s="498">
        <f t="shared" si="1562"/>
        <v>0</v>
      </c>
      <c r="AY4532" s="498">
        <f t="shared" si="1563"/>
        <v>0</v>
      </c>
      <c r="BB4532" s="498" t="str">
        <f t="shared" si="1564"/>
        <v/>
      </c>
      <c r="BC4532" s="743" t="str">
        <f t="shared" si="1565"/>
        <v/>
      </c>
      <c r="BD4532" s="743" t="str">
        <f t="shared" si="1566"/>
        <v/>
      </c>
      <c r="BE4532" s="743" t="str">
        <f>IF(D4532="","",VLOOKUP(D4532,'General Basis'!$J$39:$K$46,2,0))</f>
        <v/>
      </c>
      <c r="BF4532" s="744" t="str">
        <f>IF(D4532="","",VLOOKUP(D4532,'General Basis'!$J$39:$L$46,3,0))</f>
        <v/>
      </c>
      <c r="BG4532" s="744" t="str">
        <f t="shared" si="1573"/>
        <v/>
      </c>
      <c r="BH4532" s="744" t="str">
        <f>IF(G4532="","",IF(BF4532="Abu Dhabi",IF(G4532&lt;18,'General Basis'!$C$39,IF(G4532&lt;41,'General Basis'!$C$40,IF(G4532&lt;60,'General Basis'!$C$41,IF(G4532&lt;65,'General Basis'!$C$42,'General Basis'!$C$43)))),IF(G4532&lt;11,'General Basis'!$B$39,IF(G4532&lt;18,'General Basis'!$B$40,IF(G4532&lt;26,'General Basis'!$B$41,IF(G4532&lt;31,'General Basis'!$B$42,IF(G4532&lt;36,'General Basis'!$B$43,IF(G4532&lt;41,'General Basis'!$B$44,IF(G4532&lt;46,'General Basis'!$B$45,IF(G4532&lt;51,'General Basis'!$B$46,IF(G4532&lt;56,'General Basis'!$B$47,IF(G4532&lt;60,'General Basis'!$B$48,IF(G4532&lt;65,'General Basis'!$B$49,'General Basis'!$B$50)))))))))))))</f>
        <v/>
      </c>
      <c r="BI4532" s="744" t="str">
        <f t="shared" si="1567"/>
        <v/>
      </c>
      <c r="BJ4532" s="747" t="str">
        <f t="shared" si="1574"/>
        <v/>
      </c>
      <c r="BK4532" s="498" t="str">
        <f t="shared" si="1568"/>
        <v/>
      </c>
      <c r="BL4532" s="498" t="str">
        <f t="shared" si="1569"/>
        <v/>
      </c>
    </row>
    <row r="4533" spans="1:64" x14ac:dyDescent="0.25">
      <c r="A4533" s="762">
        <f t="shared" si="1570"/>
        <v>4528</v>
      </c>
      <c r="B4533" s="229"/>
      <c r="C4533" s="223"/>
      <c r="D4533" s="224"/>
      <c r="E4533" s="225"/>
      <c r="F4533" s="1036" t="str">
        <f t="shared" si="1576"/>
        <v/>
      </c>
      <c r="G4533" s="1037" t="str">
        <f t="shared" si="1571"/>
        <v/>
      </c>
      <c r="H4533" s="225"/>
      <c r="I4533" s="1013"/>
      <c r="J4533" s="1013"/>
      <c r="K4533" s="1028"/>
      <c r="L4533" s="1035" t="str">
        <f t="shared" si="1575"/>
        <v/>
      </c>
      <c r="S4533" s="498"/>
      <c r="AJ4533" s="498"/>
      <c r="AM4533" s="498">
        <f t="shared" si="1556"/>
        <v>0</v>
      </c>
      <c r="AN4533" s="498">
        <f t="shared" si="1557"/>
        <v>0</v>
      </c>
      <c r="AO4533" s="498">
        <f t="shared" si="1558"/>
        <v>0</v>
      </c>
      <c r="AP4533" s="498">
        <f t="shared" si="1577"/>
        <v>0</v>
      </c>
      <c r="AQ4533" s="498">
        <f t="shared" si="1572"/>
        <v>0</v>
      </c>
      <c r="AU4533" s="498">
        <f t="shared" si="1559"/>
        <v>0</v>
      </c>
      <c r="AV4533" s="498">
        <f t="shared" si="1560"/>
        <v>0</v>
      </c>
      <c r="AW4533" s="498">
        <f t="shared" si="1561"/>
        <v>0</v>
      </c>
      <c r="AX4533" s="498">
        <f t="shared" si="1562"/>
        <v>0</v>
      </c>
      <c r="AY4533" s="498">
        <f t="shared" si="1563"/>
        <v>0</v>
      </c>
      <c r="BB4533" s="498" t="str">
        <f t="shared" si="1564"/>
        <v/>
      </c>
      <c r="BC4533" s="743" t="str">
        <f t="shared" si="1565"/>
        <v/>
      </c>
      <c r="BD4533" s="743" t="str">
        <f t="shared" si="1566"/>
        <v/>
      </c>
      <c r="BE4533" s="743" t="str">
        <f>IF(D4533="","",VLOOKUP(D4533,'General Basis'!$J$39:$K$46,2,0))</f>
        <v/>
      </c>
      <c r="BF4533" s="744" t="str">
        <f>IF(D4533="","",VLOOKUP(D4533,'General Basis'!$J$39:$L$46,3,0))</f>
        <v/>
      </c>
      <c r="BG4533" s="744" t="str">
        <f t="shared" si="1573"/>
        <v/>
      </c>
      <c r="BH4533" s="744" t="str">
        <f>IF(G4533="","",IF(BF4533="Abu Dhabi",IF(G4533&lt;18,'General Basis'!$C$39,IF(G4533&lt;41,'General Basis'!$C$40,IF(G4533&lt;60,'General Basis'!$C$41,IF(G4533&lt;65,'General Basis'!$C$42,'General Basis'!$C$43)))),IF(G4533&lt;11,'General Basis'!$B$39,IF(G4533&lt;18,'General Basis'!$B$40,IF(G4533&lt;26,'General Basis'!$B$41,IF(G4533&lt;31,'General Basis'!$B$42,IF(G4533&lt;36,'General Basis'!$B$43,IF(G4533&lt;41,'General Basis'!$B$44,IF(G4533&lt;46,'General Basis'!$B$45,IF(G4533&lt;51,'General Basis'!$B$46,IF(G4533&lt;56,'General Basis'!$B$47,IF(G4533&lt;60,'General Basis'!$B$48,IF(G4533&lt;65,'General Basis'!$B$49,'General Basis'!$B$50)))))))))))))</f>
        <v/>
      </c>
      <c r="BI4533" s="744" t="str">
        <f t="shared" si="1567"/>
        <v/>
      </c>
      <c r="BJ4533" s="747" t="str">
        <f t="shared" si="1574"/>
        <v/>
      </c>
      <c r="BK4533" s="498" t="str">
        <f t="shared" si="1568"/>
        <v/>
      </c>
      <c r="BL4533" s="498" t="str">
        <f t="shared" si="1569"/>
        <v/>
      </c>
    </row>
    <row r="4534" spans="1:64" x14ac:dyDescent="0.25">
      <c r="A4534" s="762">
        <f t="shared" si="1570"/>
        <v>4529</v>
      </c>
      <c r="B4534" s="229"/>
      <c r="C4534" s="223"/>
      <c r="D4534" s="224"/>
      <c r="E4534" s="225"/>
      <c r="F4534" s="1036" t="str">
        <f t="shared" si="1576"/>
        <v/>
      </c>
      <c r="G4534" s="1037" t="str">
        <f t="shared" si="1571"/>
        <v/>
      </c>
      <c r="H4534" s="225"/>
      <c r="I4534" s="1013"/>
      <c r="J4534" s="1013"/>
      <c r="K4534" s="1028"/>
      <c r="L4534" s="1035" t="str">
        <f t="shared" si="1575"/>
        <v/>
      </c>
      <c r="S4534" s="498"/>
      <c r="AJ4534" s="498"/>
      <c r="AM4534" s="498">
        <f t="shared" si="1556"/>
        <v>0</v>
      </c>
      <c r="AN4534" s="498">
        <f t="shared" si="1557"/>
        <v>0</v>
      </c>
      <c r="AO4534" s="498">
        <f t="shared" si="1558"/>
        <v>0</v>
      </c>
      <c r="AP4534" s="498">
        <f t="shared" si="1577"/>
        <v>0</v>
      </c>
      <c r="AQ4534" s="498">
        <f t="shared" si="1572"/>
        <v>0</v>
      </c>
      <c r="AU4534" s="498">
        <f t="shared" si="1559"/>
        <v>0</v>
      </c>
      <c r="AV4534" s="498">
        <f t="shared" si="1560"/>
        <v>0</v>
      </c>
      <c r="AW4534" s="498">
        <f t="shared" si="1561"/>
        <v>0</v>
      </c>
      <c r="AX4534" s="498">
        <f t="shared" si="1562"/>
        <v>0</v>
      </c>
      <c r="AY4534" s="498">
        <f t="shared" si="1563"/>
        <v>0</v>
      </c>
      <c r="BB4534" s="498" t="str">
        <f t="shared" si="1564"/>
        <v/>
      </c>
      <c r="BC4534" s="743" t="str">
        <f t="shared" si="1565"/>
        <v/>
      </c>
      <c r="BD4534" s="743" t="str">
        <f t="shared" si="1566"/>
        <v/>
      </c>
      <c r="BE4534" s="743" t="str">
        <f>IF(D4534="","",VLOOKUP(D4534,'General Basis'!$J$39:$K$46,2,0))</f>
        <v/>
      </c>
      <c r="BF4534" s="744" t="str">
        <f>IF(D4534="","",VLOOKUP(D4534,'General Basis'!$J$39:$L$46,3,0))</f>
        <v/>
      </c>
      <c r="BG4534" s="744" t="str">
        <f t="shared" si="1573"/>
        <v/>
      </c>
      <c r="BH4534" s="744" t="str">
        <f>IF(G4534="","",IF(BF4534="Abu Dhabi",IF(G4534&lt;18,'General Basis'!$C$39,IF(G4534&lt;41,'General Basis'!$C$40,IF(G4534&lt;60,'General Basis'!$C$41,IF(G4534&lt;65,'General Basis'!$C$42,'General Basis'!$C$43)))),IF(G4534&lt;11,'General Basis'!$B$39,IF(G4534&lt;18,'General Basis'!$B$40,IF(G4534&lt;26,'General Basis'!$B$41,IF(G4534&lt;31,'General Basis'!$B$42,IF(G4534&lt;36,'General Basis'!$B$43,IF(G4534&lt;41,'General Basis'!$B$44,IF(G4534&lt;46,'General Basis'!$B$45,IF(G4534&lt;51,'General Basis'!$B$46,IF(G4534&lt;56,'General Basis'!$B$47,IF(G4534&lt;60,'General Basis'!$B$48,IF(G4534&lt;65,'General Basis'!$B$49,'General Basis'!$B$50)))))))))))))</f>
        <v/>
      </c>
      <c r="BI4534" s="744" t="str">
        <f t="shared" si="1567"/>
        <v/>
      </c>
      <c r="BJ4534" s="747" t="str">
        <f t="shared" si="1574"/>
        <v/>
      </c>
      <c r="BK4534" s="498" t="str">
        <f t="shared" si="1568"/>
        <v/>
      </c>
      <c r="BL4534" s="498" t="str">
        <f t="shared" si="1569"/>
        <v/>
      </c>
    </row>
    <row r="4535" spans="1:64" x14ac:dyDescent="0.25">
      <c r="A4535" s="762">
        <f t="shared" si="1570"/>
        <v>4530</v>
      </c>
      <c r="B4535" s="229"/>
      <c r="C4535" s="223"/>
      <c r="D4535" s="224"/>
      <c r="E4535" s="225"/>
      <c r="F4535" s="1036" t="str">
        <f t="shared" si="1576"/>
        <v/>
      </c>
      <c r="G4535" s="1037" t="str">
        <f t="shared" si="1571"/>
        <v/>
      </c>
      <c r="H4535" s="225"/>
      <c r="I4535" s="1013"/>
      <c r="J4535" s="1013"/>
      <c r="K4535" s="1028"/>
      <c r="L4535" s="1035" t="str">
        <f t="shared" si="1575"/>
        <v/>
      </c>
      <c r="S4535" s="498"/>
      <c r="AJ4535" s="498"/>
      <c r="AM4535" s="498">
        <f t="shared" si="1556"/>
        <v>0</v>
      </c>
      <c r="AN4535" s="498">
        <f t="shared" si="1557"/>
        <v>0</v>
      </c>
      <c r="AO4535" s="498">
        <f t="shared" si="1558"/>
        <v>0</v>
      </c>
      <c r="AP4535" s="498">
        <f t="shared" si="1577"/>
        <v>0</v>
      </c>
      <c r="AQ4535" s="498">
        <f t="shared" si="1572"/>
        <v>0</v>
      </c>
      <c r="AU4535" s="498">
        <f t="shared" si="1559"/>
        <v>0</v>
      </c>
      <c r="AV4535" s="498">
        <f t="shared" si="1560"/>
        <v>0</v>
      </c>
      <c r="AW4535" s="498">
        <f t="shared" si="1561"/>
        <v>0</v>
      </c>
      <c r="AX4535" s="498">
        <f t="shared" si="1562"/>
        <v>0</v>
      </c>
      <c r="AY4535" s="498">
        <f t="shared" si="1563"/>
        <v>0</v>
      </c>
      <c r="BB4535" s="498" t="str">
        <f t="shared" si="1564"/>
        <v/>
      </c>
      <c r="BC4535" s="743" t="str">
        <f t="shared" si="1565"/>
        <v/>
      </c>
      <c r="BD4535" s="743" t="str">
        <f t="shared" si="1566"/>
        <v/>
      </c>
      <c r="BE4535" s="743" t="str">
        <f>IF(D4535="","",VLOOKUP(D4535,'General Basis'!$J$39:$K$46,2,0))</f>
        <v/>
      </c>
      <c r="BF4535" s="744" t="str">
        <f>IF(D4535="","",VLOOKUP(D4535,'General Basis'!$J$39:$L$46,3,0))</f>
        <v/>
      </c>
      <c r="BG4535" s="744" t="str">
        <f t="shared" si="1573"/>
        <v/>
      </c>
      <c r="BH4535" s="744" t="str">
        <f>IF(G4535="","",IF(BF4535="Abu Dhabi",IF(G4535&lt;18,'General Basis'!$C$39,IF(G4535&lt;41,'General Basis'!$C$40,IF(G4535&lt;60,'General Basis'!$C$41,IF(G4535&lt;65,'General Basis'!$C$42,'General Basis'!$C$43)))),IF(G4535&lt;11,'General Basis'!$B$39,IF(G4535&lt;18,'General Basis'!$B$40,IF(G4535&lt;26,'General Basis'!$B$41,IF(G4535&lt;31,'General Basis'!$B$42,IF(G4535&lt;36,'General Basis'!$B$43,IF(G4535&lt;41,'General Basis'!$B$44,IF(G4535&lt;46,'General Basis'!$B$45,IF(G4535&lt;51,'General Basis'!$B$46,IF(G4535&lt;56,'General Basis'!$B$47,IF(G4535&lt;60,'General Basis'!$B$48,IF(G4535&lt;65,'General Basis'!$B$49,'General Basis'!$B$50)))))))))))))</f>
        <v/>
      </c>
      <c r="BI4535" s="744" t="str">
        <f t="shared" si="1567"/>
        <v/>
      </c>
      <c r="BJ4535" s="747" t="str">
        <f t="shared" si="1574"/>
        <v/>
      </c>
      <c r="BK4535" s="498" t="str">
        <f t="shared" si="1568"/>
        <v/>
      </c>
      <c r="BL4535" s="498" t="str">
        <f t="shared" si="1569"/>
        <v/>
      </c>
    </row>
    <row r="4536" spans="1:64" x14ac:dyDescent="0.25">
      <c r="A4536" s="762">
        <f t="shared" si="1570"/>
        <v>4531</v>
      </c>
      <c r="B4536" s="229"/>
      <c r="C4536" s="223"/>
      <c r="D4536" s="224"/>
      <c r="E4536" s="225"/>
      <c r="F4536" s="1036" t="str">
        <f t="shared" si="1576"/>
        <v/>
      </c>
      <c r="G4536" s="1037" t="str">
        <f t="shared" si="1571"/>
        <v/>
      </c>
      <c r="H4536" s="225"/>
      <c r="I4536" s="1013"/>
      <c r="J4536" s="1013"/>
      <c r="K4536" s="1028"/>
      <c r="L4536" s="1035" t="str">
        <f t="shared" si="1575"/>
        <v/>
      </c>
      <c r="S4536" s="498"/>
      <c r="AJ4536" s="498"/>
      <c r="AM4536" s="498">
        <f t="shared" si="1556"/>
        <v>0</v>
      </c>
      <c r="AN4536" s="498">
        <f t="shared" si="1557"/>
        <v>0</v>
      </c>
      <c r="AO4536" s="498">
        <f t="shared" si="1558"/>
        <v>0</v>
      </c>
      <c r="AP4536" s="498">
        <f t="shared" si="1577"/>
        <v>0</v>
      </c>
      <c r="AQ4536" s="498">
        <f t="shared" si="1572"/>
        <v>0</v>
      </c>
      <c r="AU4536" s="498">
        <f t="shared" si="1559"/>
        <v>0</v>
      </c>
      <c r="AV4536" s="498">
        <f t="shared" si="1560"/>
        <v>0</v>
      </c>
      <c r="AW4536" s="498">
        <f t="shared" si="1561"/>
        <v>0</v>
      </c>
      <c r="AX4536" s="498">
        <f t="shared" si="1562"/>
        <v>0</v>
      </c>
      <c r="AY4536" s="498">
        <f t="shared" si="1563"/>
        <v>0</v>
      </c>
      <c r="BB4536" s="498" t="str">
        <f t="shared" si="1564"/>
        <v/>
      </c>
      <c r="BC4536" s="743" t="str">
        <f t="shared" si="1565"/>
        <v/>
      </c>
      <c r="BD4536" s="743" t="str">
        <f t="shared" si="1566"/>
        <v/>
      </c>
      <c r="BE4536" s="743" t="str">
        <f>IF(D4536="","",VLOOKUP(D4536,'General Basis'!$J$39:$K$46,2,0))</f>
        <v/>
      </c>
      <c r="BF4536" s="744" t="str">
        <f>IF(D4536="","",VLOOKUP(D4536,'General Basis'!$J$39:$L$46,3,0))</f>
        <v/>
      </c>
      <c r="BG4536" s="744" t="str">
        <f t="shared" si="1573"/>
        <v/>
      </c>
      <c r="BH4536" s="744" t="str">
        <f>IF(G4536="","",IF(BF4536="Abu Dhabi",IF(G4536&lt;18,'General Basis'!$C$39,IF(G4536&lt;41,'General Basis'!$C$40,IF(G4536&lt;60,'General Basis'!$C$41,IF(G4536&lt;65,'General Basis'!$C$42,'General Basis'!$C$43)))),IF(G4536&lt;11,'General Basis'!$B$39,IF(G4536&lt;18,'General Basis'!$B$40,IF(G4536&lt;26,'General Basis'!$B$41,IF(G4536&lt;31,'General Basis'!$B$42,IF(G4536&lt;36,'General Basis'!$B$43,IF(G4536&lt;41,'General Basis'!$B$44,IF(G4536&lt;46,'General Basis'!$B$45,IF(G4536&lt;51,'General Basis'!$B$46,IF(G4536&lt;56,'General Basis'!$B$47,IF(G4536&lt;60,'General Basis'!$B$48,IF(G4536&lt;65,'General Basis'!$B$49,'General Basis'!$B$50)))))))))))))</f>
        <v/>
      </c>
      <c r="BI4536" s="744" t="str">
        <f t="shared" si="1567"/>
        <v/>
      </c>
      <c r="BJ4536" s="747" t="str">
        <f t="shared" si="1574"/>
        <v/>
      </c>
      <c r="BK4536" s="498" t="str">
        <f t="shared" si="1568"/>
        <v/>
      </c>
      <c r="BL4536" s="498" t="str">
        <f t="shared" si="1569"/>
        <v/>
      </c>
    </row>
    <row r="4537" spans="1:64" x14ac:dyDescent="0.25">
      <c r="A4537" s="762">
        <f t="shared" si="1570"/>
        <v>4532</v>
      </c>
      <c r="B4537" s="229"/>
      <c r="C4537" s="223"/>
      <c r="D4537" s="224"/>
      <c r="E4537" s="225"/>
      <c r="F4537" s="1036" t="str">
        <f t="shared" si="1576"/>
        <v/>
      </c>
      <c r="G4537" s="1037" t="str">
        <f t="shared" si="1571"/>
        <v/>
      </c>
      <c r="H4537" s="225"/>
      <c r="I4537" s="1013"/>
      <c r="J4537" s="1013"/>
      <c r="K4537" s="1028"/>
      <c r="L4537" s="1035" t="str">
        <f t="shared" si="1575"/>
        <v/>
      </c>
      <c r="S4537" s="498"/>
      <c r="AJ4537" s="498"/>
      <c r="AM4537" s="498">
        <f t="shared" si="1556"/>
        <v>0</v>
      </c>
      <c r="AN4537" s="498">
        <f t="shared" si="1557"/>
        <v>0</v>
      </c>
      <c r="AO4537" s="498">
        <f t="shared" si="1558"/>
        <v>0</v>
      </c>
      <c r="AP4537" s="498">
        <f t="shared" si="1577"/>
        <v>0</v>
      </c>
      <c r="AQ4537" s="498">
        <f t="shared" si="1572"/>
        <v>0</v>
      </c>
      <c r="AU4537" s="498">
        <f t="shared" si="1559"/>
        <v>0</v>
      </c>
      <c r="AV4537" s="498">
        <f t="shared" si="1560"/>
        <v>0</v>
      </c>
      <c r="AW4537" s="498">
        <f t="shared" si="1561"/>
        <v>0</v>
      </c>
      <c r="AX4537" s="498">
        <f t="shared" si="1562"/>
        <v>0</v>
      </c>
      <c r="AY4537" s="498">
        <f t="shared" si="1563"/>
        <v>0</v>
      </c>
      <c r="BB4537" s="498" t="str">
        <f t="shared" si="1564"/>
        <v/>
      </c>
      <c r="BC4537" s="743" t="str">
        <f t="shared" si="1565"/>
        <v/>
      </c>
      <c r="BD4537" s="743" t="str">
        <f t="shared" si="1566"/>
        <v/>
      </c>
      <c r="BE4537" s="743" t="str">
        <f>IF(D4537="","",VLOOKUP(D4537,'General Basis'!$J$39:$K$46,2,0))</f>
        <v/>
      </c>
      <c r="BF4537" s="744" t="str">
        <f>IF(D4537="","",VLOOKUP(D4537,'General Basis'!$J$39:$L$46,3,0))</f>
        <v/>
      </c>
      <c r="BG4537" s="744" t="str">
        <f t="shared" si="1573"/>
        <v/>
      </c>
      <c r="BH4537" s="744" t="str">
        <f>IF(G4537="","",IF(BF4537="Abu Dhabi",IF(G4537&lt;18,'General Basis'!$C$39,IF(G4537&lt;41,'General Basis'!$C$40,IF(G4537&lt;60,'General Basis'!$C$41,IF(G4537&lt;65,'General Basis'!$C$42,'General Basis'!$C$43)))),IF(G4537&lt;11,'General Basis'!$B$39,IF(G4537&lt;18,'General Basis'!$B$40,IF(G4537&lt;26,'General Basis'!$B$41,IF(G4537&lt;31,'General Basis'!$B$42,IF(G4537&lt;36,'General Basis'!$B$43,IF(G4537&lt;41,'General Basis'!$B$44,IF(G4537&lt;46,'General Basis'!$B$45,IF(G4537&lt;51,'General Basis'!$B$46,IF(G4537&lt;56,'General Basis'!$B$47,IF(G4537&lt;60,'General Basis'!$B$48,IF(G4537&lt;65,'General Basis'!$B$49,'General Basis'!$B$50)))))))))))))</f>
        <v/>
      </c>
      <c r="BI4537" s="744" t="str">
        <f t="shared" si="1567"/>
        <v/>
      </c>
      <c r="BJ4537" s="747" t="str">
        <f t="shared" si="1574"/>
        <v/>
      </c>
      <c r="BK4537" s="498" t="str">
        <f t="shared" si="1568"/>
        <v/>
      </c>
      <c r="BL4537" s="498" t="str">
        <f t="shared" si="1569"/>
        <v/>
      </c>
    </row>
    <row r="4538" spans="1:64" x14ac:dyDescent="0.25">
      <c r="A4538" s="762">
        <f t="shared" si="1570"/>
        <v>4533</v>
      </c>
      <c r="B4538" s="229"/>
      <c r="C4538" s="223"/>
      <c r="D4538" s="224"/>
      <c r="E4538" s="225"/>
      <c r="F4538" s="1036" t="str">
        <f t="shared" si="1576"/>
        <v/>
      </c>
      <c r="G4538" s="1037" t="str">
        <f t="shared" si="1571"/>
        <v/>
      </c>
      <c r="H4538" s="225"/>
      <c r="I4538" s="1013"/>
      <c r="J4538" s="1013"/>
      <c r="K4538" s="1028"/>
      <c r="L4538" s="1035" t="str">
        <f t="shared" si="1575"/>
        <v/>
      </c>
      <c r="S4538" s="498"/>
      <c r="AJ4538" s="498"/>
      <c r="AM4538" s="498">
        <f t="shared" si="1556"/>
        <v>0</v>
      </c>
      <c r="AN4538" s="498">
        <f t="shared" si="1557"/>
        <v>0</v>
      </c>
      <c r="AO4538" s="498">
        <f t="shared" si="1558"/>
        <v>0</v>
      </c>
      <c r="AP4538" s="498">
        <f t="shared" si="1577"/>
        <v>0</v>
      </c>
      <c r="AQ4538" s="498">
        <f t="shared" si="1572"/>
        <v>0</v>
      </c>
      <c r="AU4538" s="498">
        <f t="shared" si="1559"/>
        <v>0</v>
      </c>
      <c r="AV4538" s="498">
        <f t="shared" si="1560"/>
        <v>0</v>
      </c>
      <c r="AW4538" s="498">
        <f t="shared" si="1561"/>
        <v>0</v>
      </c>
      <c r="AX4538" s="498">
        <f t="shared" si="1562"/>
        <v>0</v>
      </c>
      <c r="AY4538" s="498">
        <f t="shared" si="1563"/>
        <v>0</v>
      </c>
      <c r="BB4538" s="498" t="str">
        <f t="shared" si="1564"/>
        <v/>
      </c>
      <c r="BC4538" s="743" t="str">
        <f t="shared" si="1565"/>
        <v/>
      </c>
      <c r="BD4538" s="743" t="str">
        <f t="shared" si="1566"/>
        <v/>
      </c>
      <c r="BE4538" s="743" t="str">
        <f>IF(D4538="","",VLOOKUP(D4538,'General Basis'!$J$39:$K$46,2,0))</f>
        <v/>
      </c>
      <c r="BF4538" s="744" t="str">
        <f>IF(D4538="","",VLOOKUP(D4538,'General Basis'!$J$39:$L$46,3,0))</f>
        <v/>
      </c>
      <c r="BG4538" s="744" t="str">
        <f t="shared" si="1573"/>
        <v/>
      </c>
      <c r="BH4538" s="744" t="str">
        <f>IF(G4538="","",IF(BF4538="Abu Dhabi",IF(G4538&lt;18,'General Basis'!$C$39,IF(G4538&lt;41,'General Basis'!$C$40,IF(G4538&lt;60,'General Basis'!$C$41,IF(G4538&lt;65,'General Basis'!$C$42,'General Basis'!$C$43)))),IF(G4538&lt;11,'General Basis'!$B$39,IF(G4538&lt;18,'General Basis'!$B$40,IF(G4538&lt;26,'General Basis'!$B$41,IF(G4538&lt;31,'General Basis'!$B$42,IF(G4538&lt;36,'General Basis'!$B$43,IF(G4538&lt;41,'General Basis'!$B$44,IF(G4538&lt;46,'General Basis'!$B$45,IF(G4538&lt;51,'General Basis'!$B$46,IF(G4538&lt;56,'General Basis'!$B$47,IF(G4538&lt;60,'General Basis'!$B$48,IF(G4538&lt;65,'General Basis'!$B$49,'General Basis'!$B$50)))))))))))))</f>
        <v/>
      </c>
      <c r="BI4538" s="744" t="str">
        <f t="shared" si="1567"/>
        <v/>
      </c>
      <c r="BJ4538" s="747" t="str">
        <f t="shared" si="1574"/>
        <v/>
      </c>
      <c r="BK4538" s="498" t="str">
        <f t="shared" si="1568"/>
        <v/>
      </c>
      <c r="BL4538" s="498" t="str">
        <f t="shared" si="1569"/>
        <v/>
      </c>
    </row>
    <row r="4539" spans="1:64" x14ac:dyDescent="0.25">
      <c r="A4539" s="762">
        <f t="shared" si="1570"/>
        <v>4534</v>
      </c>
      <c r="B4539" s="229"/>
      <c r="C4539" s="223"/>
      <c r="D4539" s="224"/>
      <c r="E4539" s="225"/>
      <c r="F4539" s="1036" t="str">
        <f t="shared" si="1576"/>
        <v/>
      </c>
      <c r="G4539" s="1037" t="str">
        <f t="shared" si="1571"/>
        <v/>
      </c>
      <c r="H4539" s="225"/>
      <c r="I4539" s="1013"/>
      <c r="J4539" s="1013"/>
      <c r="K4539" s="1028"/>
      <c r="L4539" s="1035" t="str">
        <f t="shared" si="1575"/>
        <v/>
      </c>
      <c r="S4539" s="498"/>
      <c r="AJ4539" s="498"/>
      <c r="AM4539" s="498">
        <f t="shared" si="1556"/>
        <v>0</v>
      </c>
      <c r="AN4539" s="498">
        <f t="shared" si="1557"/>
        <v>0</v>
      </c>
      <c r="AO4539" s="498">
        <f t="shared" si="1558"/>
        <v>0</v>
      </c>
      <c r="AP4539" s="498">
        <f t="shared" si="1577"/>
        <v>0</v>
      </c>
      <c r="AQ4539" s="498">
        <f t="shared" si="1572"/>
        <v>0</v>
      </c>
      <c r="AU4539" s="498">
        <f t="shared" si="1559"/>
        <v>0</v>
      </c>
      <c r="AV4539" s="498">
        <f t="shared" si="1560"/>
        <v>0</v>
      </c>
      <c r="AW4539" s="498">
        <f t="shared" si="1561"/>
        <v>0</v>
      </c>
      <c r="AX4539" s="498">
        <f t="shared" si="1562"/>
        <v>0</v>
      </c>
      <c r="AY4539" s="498">
        <f t="shared" si="1563"/>
        <v>0</v>
      </c>
      <c r="BB4539" s="498" t="str">
        <f t="shared" si="1564"/>
        <v/>
      </c>
      <c r="BC4539" s="743" t="str">
        <f t="shared" si="1565"/>
        <v/>
      </c>
      <c r="BD4539" s="743" t="str">
        <f t="shared" si="1566"/>
        <v/>
      </c>
      <c r="BE4539" s="743" t="str">
        <f>IF(D4539="","",VLOOKUP(D4539,'General Basis'!$J$39:$K$46,2,0))</f>
        <v/>
      </c>
      <c r="BF4539" s="744" t="str">
        <f>IF(D4539="","",VLOOKUP(D4539,'General Basis'!$J$39:$L$46,3,0))</f>
        <v/>
      </c>
      <c r="BG4539" s="744" t="str">
        <f t="shared" si="1573"/>
        <v/>
      </c>
      <c r="BH4539" s="744" t="str">
        <f>IF(G4539="","",IF(BF4539="Abu Dhabi",IF(G4539&lt;18,'General Basis'!$C$39,IF(G4539&lt;41,'General Basis'!$C$40,IF(G4539&lt;60,'General Basis'!$C$41,IF(G4539&lt;65,'General Basis'!$C$42,'General Basis'!$C$43)))),IF(G4539&lt;11,'General Basis'!$B$39,IF(G4539&lt;18,'General Basis'!$B$40,IF(G4539&lt;26,'General Basis'!$B$41,IF(G4539&lt;31,'General Basis'!$B$42,IF(G4539&lt;36,'General Basis'!$B$43,IF(G4539&lt;41,'General Basis'!$B$44,IF(G4539&lt;46,'General Basis'!$B$45,IF(G4539&lt;51,'General Basis'!$B$46,IF(G4539&lt;56,'General Basis'!$B$47,IF(G4539&lt;60,'General Basis'!$B$48,IF(G4539&lt;65,'General Basis'!$B$49,'General Basis'!$B$50)))))))))))))</f>
        <v/>
      </c>
      <c r="BI4539" s="744" t="str">
        <f t="shared" si="1567"/>
        <v/>
      </c>
      <c r="BJ4539" s="747" t="str">
        <f t="shared" si="1574"/>
        <v/>
      </c>
      <c r="BK4539" s="498" t="str">
        <f t="shared" si="1568"/>
        <v/>
      </c>
      <c r="BL4539" s="498" t="str">
        <f t="shared" si="1569"/>
        <v/>
      </c>
    </row>
    <row r="4540" spans="1:64" x14ac:dyDescent="0.25">
      <c r="A4540" s="762">
        <f t="shared" si="1570"/>
        <v>4535</v>
      </c>
      <c r="B4540" s="229"/>
      <c r="C4540" s="223"/>
      <c r="D4540" s="224"/>
      <c r="E4540" s="225"/>
      <c r="F4540" s="1036" t="str">
        <f t="shared" si="1576"/>
        <v/>
      </c>
      <c r="G4540" s="1037" t="str">
        <f t="shared" si="1571"/>
        <v/>
      </c>
      <c r="H4540" s="225"/>
      <c r="I4540" s="1013"/>
      <c r="J4540" s="1013"/>
      <c r="K4540" s="1028"/>
      <c r="L4540" s="1035" t="str">
        <f t="shared" si="1575"/>
        <v/>
      </c>
      <c r="S4540" s="498"/>
      <c r="AJ4540" s="498"/>
      <c r="AM4540" s="498">
        <f t="shared" si="1556"/>
        <v>0</v>
      </c>
      <c r="AN4540" s="498">
        <f t="shared" si="1557"/>
        <v>0</v>
      </c>
      <c r="AO4540" s="498">
        <f t="shared" si="1558"/>
        <v>0</v>
      </c>
      <c r="AP4540" s="498">
        <f t="shared" si="1577"/>
        <v>0</v>
      </c>
      <c r="AQ4540" s="498">
        <f t="shared" si="1572"/>
        <v>0</v>
      </c>
      <c r="AU4540" s="498">
        <f t="shared" si="1559"/>
        <v>0</v>
      </c>
      <c r="AV4540" s="498">
        <f t="shared" si="1560"/>
        <v>0</v>
      </c>
      <c r="AW4540" s="498">
        <f t="shared" si="1561"/>
        <v>0</v>
      </c>
      <c r="AX4540" s="498">
        <f t="shared" si="1562"/>
        <v>0</v>
      </c>
      <c r="AY4540" s="498">
        <f t="shared" si="1563"/>
        <v>0</v>
      </c>
      <c r="BB4540" s="498" t="str">
        <f t="shared" si="1564"/>
        <v/>
      </c>
      <c r="BC4540" s="743" t="str">
        <f t="shared" si="1565"/>
        <v/>
      </c>
      <c r="BD4540" s="743" t="str">
        <f t="shared" si="1566"/>
        <v/>
      </c>
      <c r="BE4540" s="743" t="str">
        <f>IF(D4540="","",VLOOKUP(D4540,'General Basis'!$J$39:$K$46,2,0))</f>
        <v/>
      </c>
      <c r="BF4540" s="744" t="str">
        <f>IF(D4540="","",VLOOKUP(D4540,'General Basis'!$J$39:$L$46,3,0))</f>
        <v/>
      </c>
      <c r="BG4540" s="744" t="str">
        <f t="shared" si="1573"/>
        <v/>
      </c>
      <c r="BH4540" s="744" t="str">
        <f>IF(G4540="","",IF(BF4540="Abu Dhabi",IF(G4540&lt;18,'General Basis'!$C$39,IF(G4540&lt;41,'General Basis'!$C$40,IF(G4540&lt;60,'General Basis'!$C$41,IF(G4540&lt;65,'General Basis'!$C$42,'General Basis'!$C$43)))),IF(G4540&lt;11,'General Basis'!$B$39,IF(G4540&lt;18,'General Basis'!$B$40,IF(G4540&lt;26,'General Basis'!$B$41,IF(G4540&lt;31,'General Basis'!$B$42,IF(G4540&lt;36,'General Basis'!$B$43,IF(G4540&lt;41,'General Basis'!$B$44,IF(G4540&lt;46,'General Basis'!$B$45,IF(G4540&lt;51,'General Basis'!$B$46,IF(G4540&lt;56,'General Basis'!$B$47,IF(G4540&lt;60,'General Basis'!$B$48,IF(G4540&lt;65,'General Basis'!$B$49,'General Basis'!$B$50)))))))))))))</f>
        <v/>
      </c>
      <c r="BI4540" s="744" t="str">
        <f t="shared" si="1567"/>
        <v/>
      </c>
      <c r="BJ4540" s="747" t="str">
        <f t="shared" si="1574"/>
        <v/>
      </c>
      <c r="BK4540" s="498" t="str">
        <f t="shared" si="1568"/>
        <v/>
      </c>
      <c r="BL4540" s="498" t="str">
        <f t="shared" si="1569"/>
        <v/>
      </c>
    </row>
    <row r="4541" spans="1:64" x14ac:dyDescent="0.25">
      <c r="A4541" s="762">
        <f t="shared" si="1570"/>
        <v>4536</v>
      </c>
      <c r="B4541" s="229"/>
      <c r="C4541" s="223"/>
      <c r="D4541" s="224"/>
      <c r="E4541" s="225"/>
      <c r="F4541" s="1036" t="str">
        <f t="shared" si="1576"/>
        <v/>
      </c>
      <c r="G4541" s="1037" t="str">
        <f t="shared" si="1571"/>
        <v/>
      </c>
      <c r="H4541" s="225"/>
      <c r="I4541" s="1013"/>
      <c r="J4541" s="1013"/>
      <c r="K4541" s="1028"/>
      <c r="L4541" s="1035" t="str">
        <f t="shared" si="1575"/>
        <v/>
      </c>
      <c r="S4541" s="498"/>
      <c r="AJ4541" s="498"/>
      <c r="AM4541" s="498">
        <f t="shared" si="1556"/>
        <v>0</v>
      </c>
      <c r="AN4541" s="498">
        <f t="shared" si="1557"/>
        <v>0</v>
      </c>
      <c r="AO4541" s="498">
        <f t="shared" si="1558"/>
        <v>0</v>
      </c>
      <c r="AP4541" s="498">
        <f t="shared" si="1577"/>
        <v>0</v>
      </c>
      <c r="AQ4541" s="498">
        <f t="shared" si="1572"/>
        <v>0</v>
      </c>
      <c r="AU4541" s="498">
        <f t="shared" si="1559"/>
        <v>0</v>
      </c>
      <c r="AV4541" s="498">
        <f t="shared" si="1560"/>
        <v>0</v>
      </c>
      <c r="AW4541" s="498">
        <f t="shared" si="1561"/>
        <v>0</v>
      </c>
      <c r="AX4541" s="498">
        <f t="shared" si="1562"/>
        <v>0</v>
      </c>
      <c r="AY4541" s="498">
        <f t="shared" si="1563"/>
        <v>0</v>
      </c>
      <c r="BB4541" s="498" t="str">
        <f t="shared" si="1564"/>
        <v/>
      </c>
      <c r="BC4541" s="743" t="str">
        <f t="shared" si="1565"/>
        <v/>
      </c>
      <c r="BD4541" s="743" t="str">
        <f t="shared" si="1566"/>
        <v/>
      </c>
      <c r="BE4541" s="743" t="str">
        <f>IF(D4541="","",VLOOKUP(D4541,'General Basis'!$J$39:$K$46,2,0))</f>
        <v/>
      </c>
      <c r="BF4541" s="744" t="str">
        <f>IF(D4541="","",VLOOKUP(D4541,'General Basis'!$J$39:$L$46,3,0))</f>
        <v/>
      </c>
      <c r="BG4541" s="744" t="str">
        <f t="shared" si="1573"/>
        <v/>
      </c>
      <c r="BH4541" s="744" t="str">
        <f>IF(G4541="","",IF(BF4541="Abu Dhabi",IF(G4541&lt;18,'General Basis'!$C$39,IF(G4541&lt;41,'General Basis'!$C$40,IF(G4541&lt;60,'General Basis'!$C$41,IF(G4541&lt;65,'General Basis'!$C$42,'General Basis'!$C$43)))),IF(G4541&lt;11,'General Basis'!$B$39,IF(G4541&lt;18,'General Basis'!$B$40,IF(G4541&lt;26,'General Basis'!$B$41,IF(G4541&lt;31,'General Basis'!$B$42,IF(G4541&lt;36,'General Basis'!$B$43,IF(G4541&lt;41,'General Basis'!$B$44,IF(G4541&lt;46,'General Basis'!$B$45,IF(G4541&lt;51,'General Basis'!$B$46,IF(G4541&lt;56,'General Basis'!$B$47,IF(G4541&lt;60,'General Basis'!$B$48,IF(G4541&lt;65,'General Basis'!$B$49,'General Basis'!$B$50)))))))))))))</f>
        <v/>
      </c>
      <c r="BI4541" s="744" t="str">
        <f t="shared" si="1567"/>
        <v/>
      </c>
      <c r="BJ4541" s="747" t="str">
        <f t="shared" si="1574"/>
        <v/>
      </c>
      <c r="BK4541" s="498" t="str">
        <f t="shared" si="1568"/>
        <v/>
      </c>
      <c r="BL4541" s="498" t="str">
        <f t="shared" si="1569"/>
        <v/>
      </c>
    </row>
    <row r="4542" spans="1:64" x14ac:dyDescent="0.25">
      <c r="A4542" s="762">
        <f t="shared" si="1570"/>
        <v>4537</v>
      </c>
      <c r="B4542" s="229"/>
      <c r="C4542" s="223"/>
      <c r="D4542" s="224"/>
      <c r="E4542" s="225"/>
      <c r="F4542" s="1036" t="str">
        <f t="shared" si="1576"/>
        <v/>
      </c>
      <c r="G4542" s="1037" t="str">
        <f t="shared" si="1571"/>
        <v/>
      </c>
      <c r="H4542" s="225"/>
      <c r="I4542" s="1013"/>
      <c r="J4542" s="1013"/>
      <c r="K4542" s="1028"/>
      <c r="L4542" s="1035" t="str">
        <f t="shared" si="1575"/>
        <v/>
      </c>
      <c r="S4542" s="498"/>
      <c r="AJ4542" s="498"/>
      <c r="AM4542" s="498">
        <f t="shared" si="1556"/>
        <v>0</v>
      </c>
      <c r="AN4542" s="498">
        <f t="shared" si="1557"/>
        <v>0</v>
      </c>
      <c r="AO4542" s="498">
        <f t="shared" si="1558"/>
        <v>0</v>
      </c>
      <c r="AP4542" s="498">
        <f t="shared" si="1577"/>
        <v>0</v>
      </c>
      <c r="AQ4542" s="498">
        <f t="shared" si="1572"/>
        <v>0</v>
      </c>
      <c r="AU4542" s="498">
        <f t="shared" si="1559"/>
        <v>0</v>
      </c>
      <c r="AV4542" s="498">
        <f t="shared" si="1560"/>
        <v>0</v>
      </c>
      <c r="AW4542" s="498">
        <f t="shared" si="1561"/>
        <v>0</v>
      </c>
      <c r="AX4542" s="498">
        <f t="shared" si="1562"/>
        <v>0</v>
      </c>
      <c r="AY4542" s="498">
        <f t="shared" si="1563"/>
        <v>0</v>
      </c>
      <c r="BB4542" s="498" t="str">
        <f t="shared" si="1564"/>
        <v/>
      </c>
      <c r="BC4542" s="743" t="str">
        <f t="shared" si="1565"/>
        <v/>
      </c>
      <c r="BD4542" s="743" t="str">
        <f t="shared" si="1566"/>
        <v/>
      </c>
      <c r="BE4542" s="743" t="str">
        <f>IF(D4542="","",VLOOKUP(D4542,'General Basis'!$J$39:$K$46,2,0))</f>
        <v/>
      </c>
      <c r="BF4542" s="744" t="str">
        <f>IF(D4542="","",VLOOKUP(D4542,'General Basis'!$J$39:$L$46,3,0))</f>
        <v/>
      </c>
      <c r="BG4542" s="744" t="str">
        <f t="shared" si="1573"/>
        <v/>
      </c>
      <c r="BH4542" s="744" t="str">
        <f>IF(G4542="","",IF(BF4542="Abu Dhabi",IF(G4542&lt;18,'General Basis'!$C$39,IF(G4542&lt;41,'General Basis'!$C$40,IF(G4542&lt;60,'General Basis'!$C$41,IF(G4542&lt;65,'General Basis'!$C$42,'General Basis'!$C$43)))),IF(G4542&lt;11,'General Basis'!$B$39,IF(G4542&lt;18,'General Basis'!$B$40,IF(G4542&lt;26,'General Basis'!$B$41,IF(G4542&lt;31,'General Basis'!$B$42,IF(G4542&lt;36,'General Basis'!$B$43,IF(G4542&lt;41,'General Basis'!$B$44,IF(G4542&lt;46,'General Basis'!$B$45,IF(G4542&lt;51,'General Basis'!$B$46,IF(G4542&lt;56,'General Basis'!$B$47,IF(G4542&lt;60,'General Basis'!$B$48,IF(G4542&lt;65,'General Basis'!$B$49,'General Basis'!$B$50)))))))))))))</f>
        <v/>
      </c>
      <c r="BI4542" s="744" t="str">
        <f t="shared" si="1567"/>
        <v/>
      </c>
      <c r="BJ4542" s="747" t="str">
        <f t="shared" si="1574"/>
        <v/>
      </c>
      <c r="BK4542" s="498" t="str">
        <f t="shared" si="1568"/>
        <v/>
      </c>
      <c r="BL4542" s="498" t="str">
        <f t="shared" si="1569"/>
        <v/>
      </c>
    </row>
    <row r="4543" spans="1:64" x14ac:dyDescent="0.25">
      <c r="A4543" s="762">
        <f t="shared" si="1570"/>
        <v>4538</v>
      </c>
      <c r="B4543" s="229"/>
      <c r="C4543" s="223"/>
      <c r="D4543" s="224"/>
      <c r="E4543" s="225"/>
      <c r="F4543" s="1036" t="str">
        <f t="shared" si="1576"/>
        <v/>
      </c>
      <c r="G4543" s="1037" t="str">
        <f t="shared" si="1571"/>
        <v/>
      </c>
      <c r="H4543" s="225"/>
      <c r="I4543" s="1013"/>
      <c r="J4543" s="1013"/>
      <c r="K4543" s="1028"/>
      <c r="L4543" s="1035" t="str">
        <f t="shared" si="1575"/>
        <v/>
      </c>
      <c r="S4543" s="498"/>
      <c r="AJ4543" s="498"/>
      <c r="AM4543" s="498">
        <f t="shared" si="1556"/>
        <v>0</v>
      </c>
      <c r="AN4543" s="498">
        <f t="shared" si="1557"/>
        <v>0</v>
      </c>
      <c r="AO4543" s="498">
        <f t="shared" si="1558"/>
        <v>0</v>
      </c>
      <c r="AP4543" s="498">
        <f t="shared" si="1577"/>
        <v>0</v>
      </c>
      <c r="AQ4543" s="498">
        <f t="shared" si="1572"/>
        <v>0</v>
      </c>
      <c r="AU4543" s="498">
        <f t="shared" si="1559"/>
        <v>0</v>
      </c>
      <c r="AV4543" s="498">
        <f t="shared" si="1560"/>
        <v>0</v>
      </c>
      <c r="AW4543" s="498">
        <f t="shared" si="1561"/>
        <v>0</v>
      </c>
      <c r="AX4543" s="498">
        <f t="shared" si="1562"/>
        <v>0</v>
      </c>
      <c r="AY4543" s="498">
        <f t="shared" si="1563"/>
        <v>0</v>
      </c>
      <c r="BB4543" s="498" t="str">
        <f t="shared" si="1564"/>
        <v/>
      </c>
      <c r="BC4543" s="743" t="str">
        <f t="shared" si="1565"/>
        <v/>
      </c>
      <c r="BD4543" s="743" t="str">
        <f t="shared" si="1566"/>
        <v/>
      </c>
      <c r="BE4543" s="743" t="str">
        <f>IF(D4543="","",VLOOKUP(D4543,'General Basis'!$J$39:$K$46,2,0))</f>
        <v/>
      </c>
      <c r="BF4543" s="744" t="str">
        <f>IF(D4543="","",VLOOKUP(D4543,'General Basis'!$J$39:$L$46,3,0))</f>
        <v/>
      </c>
      <c r="BG4543" s="744" t="str">
        <f t="shared" si="1573"/>
        <v/>
      </c>
      <c r="BH4543" s="744" t="str">
        <f>IF(G4543="","",IF(BF4543="Abu Dhabi",IF(G4543&lt;18,'General Basis'!$C$39,IF(G4543&lt;41,'General Basis'!$C$40,IF(G4543&lt;60,'General Basis'!$C$41,IF(G4543&lt;65,'General Basis'!$C$42,'General Basis'!$C$43)))),IF(G4543&lt;11,'General Basis'!$B$39,IF(G4543&lt;18,'General Basis'!$B$40,IF(G4543&lt;26,'General Basis'!$B$41,IF(G4543&lt;31,'General Basis'!$B$42,IF(G4543&lt;36,'General Basis'!$B$43,IF(G4543&lt;41,'General Basis'!$B$44,IF(G4543&lt;46,'General Basis'!$B$45,IF(G4543&lt;51,'General Basis'!$B$46,IF(G4543&lt;56,'General Basis'!$B$47,IF(G4543&lt;60,'General Basis'!$B$48,IF(G4543&lt;65,'General Basis'!$B$49,'General Basis'!$B$50)))))))))))))</f>
        <v/>
      </c>
      <c r="BI4543" s="744" t="str">
        <f t="shared" si="1567"/>
        <v/>
      </c>
      <c r="BJ4543" s="747" t="str">
        <f t="shared" si="1574"/>
        <v/>
      </c>
      <c r="BK4543" s="498" t="str">
        <f t="shared" si="1568"/>
        <v/>
      </c>
      <c r="BL4543" s="498" t="str">
        <f t="shared" si="1569"/>
        <v/>
      </c>
    </row>
    <row r="4544" spans="1:64" x14ac:dyDescent="0.25">
      <c r="A4544" s="762">
        <f t="shared" si="1570"/>
        <v>4539</v>
      </c>
      <c r="B4544" s="229"/>
      <c r="C4544" s="223"/>
      <c r="D4544" s="224"/>
      <c r="E4544" s="225"/>
      <c r="F4544" s="1036" t="str">
        <f t="shared" si="1576"/>
        <v/>
      </c>
      <c r="G4544" s="1037" t="str">
        <f t="shared" si="1571"/>
        <v/>
      </c>
      <c r="H4544" s="225"/>
      <c r="I4544" s="1013"/>
      <c r="J4544" s="1013"/>
      <c r="K4544" s="1028"/>
      <c r="L4544" s="1035" t="str">
        <f t="shared" si="1575"/>
        <v/>
      </c>
      <c r="S4544" s="498"/>
      <c r="AJ4544" s="498"/>
      <c r="AM4544" s="498">
        <f t="shared" si="1556"/>
        <v>0</v>
      </c>
      <c r="AN4544" s="498">
        <f t="shared" si="1557"/>
        <v>0</v>
      </c>
      <c r="AO4544" s="498">
        <f t="shared" si="1558"/>
        <v>0</v>
      </c>
      <c r="AP4544" s="498">
        <f t="shared" si="1577"/>
        <v>0</v>
      </c>
      <c r="AQ4544" s="498">
        <f t="shared" si="1572"/>
        <v>0</v>
      </c>
      <c r="AU4544" s="498">
        <f t="shared" si="1559"/>
        <v>0</v>
      </c>
      <c r="AV4544" s="498">
        <f t="shared" si="1560"/>
        <v>0</v>
      </c>
      <c r="AW4544" s="498">
        <f t="shared" si="1561"/>
        <v>0</v>
      </c>
      <c r="AX4544" s="498">
        <f t="shared" si="1562"/>
        <v>0</v>
      </c>
      <c r="AY4544" s="498">
        <f t="shared" si="1563"/>
        <v>0</v>
      </c>
      <c r="BB4544" s="498" t="str">
        <f t="shared" si="1564"/>
        <v/>
      </c>
      <c r="BC4544" s="743" t="str">
        <f t="shared" si="1565"/>
        <v/>
      </c>
      <c r="BD4544" s="743" t="str">
        <f t="shared" si="1566"/>
        <v/>
      </c>
      <c r="BE4544" s="743" t="str">
        <f>IF(D4544="","",VLOOKUP(D4544,'General Basis'!$J$39:$K$46,2,0))</f>
        <v/>
      </c>
      <c r="BF4544" s="744" t="str">
        <f>IF(D4544="","",VLOOKUP(D4544,'General Basis'!$J$39:$L$46,3,0))</f>
        <v/>
      </c>
      <c r="BG4544" s="744" t="str">
        <f t="shared" si="1573"/>
        <v/>
      </c>
      <c r="BH4544" s="744" t="str">
        <f>IF(G4544="","",IF(BF4544="Abu Dhabi",IF(G4544&lt;18,'General Basis'!$C$39,IF(G4544&lt;41,'General Basis'!$C$40,IF(G4544&lt;60,'General Basis'!$C$41,IF(G4544&lt;65,'General Basis'!$C$42,'General Basis'!$C$43)))),IF(G4544&lt;11,'General Basis'!$B$39,IF(G4544&lt;18,'General Basis'!$B$40,IF(G4544&lt;26,'General Basis'!$B$41,IF(G4544&lt;31,'General Basis'!$B$42,IF(G4544&lt;36,'General Basis'!$B$43,IF(G4544&lt;41,'General Basis'!$B$44,IF(G4544&lt;46,'General Basis'!$B$45,IF(G4544&lt;51,'General Basis'!$B$46,IF(G4544&lt;56,'General Basis'!$B$47,IF(G4544&lt;60,'General Basis'!$B$48,IF(G4544&lt;65,'General Basis'!$B$49,'General Basis'!$B$50)))))))))))))</f>
        <v/>
      </c>
      <c r="BI4544" s="744" t="str">
        <f t="shared" si="1567"/>
        <v/>
      </c>
      <c r="BJ4544" s="747" t="str">
        <f t="shared" si="1574"/>
        <v/>
      </c>
      <c r="BK4544" s="498" t="str">
        <f t="shared" si="1568"/>
        <v/>
      </c>
      <c r="BL4544" s="498" t="str">
        <f t="shared" si="1569"/>
        <v/>
      </c>
    </row>
    <row r="4545" spans="1:64" x14ac:dyDescent="0.25">
      <c r="A4545" s="762">
        <f t="shared" si="1570"/>
        <v>4540</v>
      </c>
      <c r="B4545" s="229"/>
      <c r="C4545" s="223"/>
      <c r="D4545" s="224"/>
      <c r="E4545" s="225"/>
      <c r="F4545" s="1036" t="str">
        <f t="shared" si="1576"/>
        <v/>
      </c>
      <c r="G4545" s="1037" t="str">
        <f t="shared" si="1571"/>
        <v/>
      </c>
      <c r="H4545" s="225"/>
      <c r="I4545" s="1013"/>
      <c r="J4545" s="1013"/>
      <c r="K4545" s="1028"/>
      <c r="L4545" s="1035" t="str">
        <f t="shared" si="1575"/>
        <v/>
      </c>
      <c r="S4545" s="498"/>
      <c r="AJ4545" s="498"/>
      <c r="AM4545" s="498">
        <f t="shared" si="1556"/>
        <v>0</v>
      </c>
      <c r="AN4545" s="498">
        <f t="shared" si="1557"/>
        <v>0</v>
      </c>
      <c r="AO4545" s="498">
        <f t="shared" si="1558"/>
        <v>0</v>
      </c>
      <c r="AP4545" s="498">
        <f t="shared" si="1577"/>
        <v>0</v>
      </c>
      <c r="AQ4545" s="498">
        <f t="shared" si="1572"/>
        <v>0</v>
      </c>
      <c r="AU4545" s="498">
        <f t="shared" si="1559"/>
        <v>0</v>
      </c>
      <c r="AV4545" s="498">
        <f t="shared" si="1560"/>
        <v>0</v>
      </c>
      <c r="AW4545" s="498">
        <f t="shared" si="1561"/>
        <v>0</v>
      </c>
      <c r="AX4545" s="498">
        <f t="shared" si="1562"/>
        <v>0</v>
      </c>
      <c r="AY4545" s="498">
        <f t="shared" si="1563"/>
        <v>0</v>
      </c>
      <c r="BB4545" s="498" t="str">
        <f t="shared" si="1564"/>
        <v/>
      </c>
      <c r="BC4545" s="743" t="str">
        <f t="shared" si="1565"/>
        <v/>
      </c>
      <c r="BD4545" s="743" t="str">
        <f t="shared" si="1566"/>
        <v/>
      </c>
      <c r="BE4545" s="743" t="str">
        <f>IF(D4545="","",VLOOKUP(D4545,'General Basis'!$J$39:$K$46,2,0))</f>
        <v/>
      </c>
      <c r="BF4545" s="744" t="str">
        <f>IF(D4545="","",VLOOKUP(D4545,'General Basis'!$J$39:$L$46,3,0))</f>
        <v/>
      </c>
      <c r="BG4545" s="744" t="str">
        <f t="shared" si="1573"/>
        <v/>
      </c>
      <c r="BH4545" s="744" t="str">
        <f>IF(G4545="","",IF(BF4545="Abu Dhabi",IF(G4545&lt;18,'General Basis'!$C$39,IF(G4545&lt;41,'General Basis'!$C$40,IF(G4545&lt;60,'General Basis'!$C$41,IF(G4545&lt;65,'General Basis'!$C$42,'General Basis'!$C$43)))),IF(G4545&lt;11,'General Basis'!$B$39,IF(G4545&lt;18,'General Basis'!$B$40,IF(G4545&lt;26,'General Basis'!$B$41,IF(G4545&lt;31,'General Basis'!$B$42,IF(G4545&lt;36,'General Basis'!$B$43,IF(G4545&lt;41,'General Basis'!$B$44,IF(G4545&lt;46,'General Basis'!$B$45,IF(G4545&lt;51,'General Basis'!$B$46,IF(G4545&lt;56,'General Basis'!$B$47,IF(G4545&lt;60,'General Basis'!$B$48,IF(G4545&lt;65,'General Basis'!$B$49,'General Basis'!$B$50)))))))))))))</f>
        <v/>
      </c>
      <c r="BI4545" s="744" t="str">
        <f t="shared" si="1567"/>
        <v/>
      </c>
      <c r="BJ4545" s="747" t="str">
        <f t="shared" si="1574"/>
        <v/>
      </c>
      <c r="BK4545" s="498" t="str">
        <f t="shared" si="1568"/>
        <v/>
      </c>
      <c r="BL4545" s="498" t="str">
        <f t="shared" si="1569"/>
        <v/>
      </c>
    </row>
    <row r="4546" spans="1:64" x14ac:dyDescent="0.25">
      <c r="A4546" s="762">
        <f t="shared" si="1570"/>
        <v>4541</v>
      </c>
      <c r="B4546" s="229"/>
      <c r="C4546" s="223"/>
      <c r="D4546" s="224"/>
      <c r="E4546" s="225"/>
      <c r="F4546" s="1036" t="str">
        <f t="shared" si="1576"/>
        <v/>
      </c>
      <c r="G4546" s="1037" t="str">
        <f t="shared" si="1571"/>
        <v/>
      </c>
      <c r="H4546" s="225"/>
      <c r="I4546" s="1013"/>
      <c r="J4546" s="1013"/>
      <c r="K4546" s="1028"/>
      <c r="L4546" s="1035" t="str">
        <f t="shared" si="1575"/>
        <v/>
      </c>
      <c r="S4546" s="498"/>
      <c r="AJ4546" s="498"/>
      <c r="AM4546" s="498">
        <f t="shared" si="1556"/>
        <v>0</v>
      </c>
      <c r="AN4546" s="498">
        <f t="shared" si="1557"/>
        <v>0</v>
      </c>
      <c r="AO4546" s="498">
        <f t="shared" si="1558"/>
        <v>0</v>
      </c>
      <c r="AP4546" s="498">
        <f t="shared" si="1577"/>
        <v>0</v>
      </c>
      <c r="AQ4546" s="498">
        <f t="shared" si="1572"/>
        <v>0</v>
      </c>
      <c r="AU4546" s="498">
        <f t="shared" si="1559"/>
        <v>0</v>
      </c>
      <c r="AV4546" s="498">
        <f t="shared" si="1560"/>
        <v>0</v>
      </c>
      <c r="AW4546" s="498">
        <f t="shared" si="1561"/>
        <v>0</v>
      </c>
      <c r="AX4546" s="498">
        <f t="shared" si="1562"/>
        <v>0</v>
      </c>
      <c r="AY4546" s="498">
        <f t="shared" si="1563"/>
        <v>0</v>
      </c>
      <c r="BB4546" s="498" t="str">
        <f t="shared" si="1564"/>
        <v/>
      </c>
      <c r="BC4546" s="743" t="str">
        <f t="shared" si="1565"/>
        <v/>
      </c>
      <c r="BD4546" s="743" t="str">
        <f t="shared" si="1566"/>
        <v/>
      </c>
      <c r="BE4546" s="743" t="str">
        <f>IF(D4546="","",VLOOKUP(D4546,'General Basis'!$J$39:$K$46,2,0))</f>
        <v/>
      </c>
      <c r="BF4546" s="744" t="str">
        <f>IF(D4546="","",VLOOKUP(D4546,'General Basis'!$J$39:$L$46,3,0))</f>
        <v/>
      </c>
      <c r="BG4546" s="744" t="str">
        <f t="shared" si="1573"/>
        <v/>
      </c>
      <c r="BH4546" s="744" t="str">
        <f>IF(G4546="","",IF(BF4546="Abu Dhabi",IF(G4546&lt;18,'General Basis'!$C$39,IF(G4546&lt;41,'General Basis'!$C$40,IF(G4546&lt;60,'General Basis'!$C$41,IF(G4546&lt;65,'General Basis'!$C$42,'General Basis'!$C$43)))),IF(G4546&lt;11,'General Basis'!$B$39,IF(G4546&lt;18,'General Basis'!$B$40,IF(G4546&lt;26,'General Basis'!$B$41,IF(G4546&lt;31,'General Basis'!$B$42,IF(G4546&lt;36,'General Basis'!$B$43,IF(G4546&lt;41,'General Basis'!$B$44,IF(G4546&lt;46,'General Basis'!$B$45,IF(G4546&lt;51,'General Basis'!$B$46,IF(G4546&lt;56,'General Basis'!$B$47,IF(G4546&lt;60,'General Basis'!$B$48,IF(G4546&lt;65,'General Basis'!$B$49,'General Basis'!$B$50)))))))))))))</f>
        <v/>
      </c>
      <c r="BI4546" s="744" t="str">
        <f t="shared" si="1567"/>
        <v/>
      </c>
      <c r="BJ4546" s="747" t="str">
        <f t="shared" si="1574"/>
        <v/>
      </c>
      <c r="BK4546" s="498" t="str">
        <f t="shared" si="1568"/>
        <v/>
      </c>
      <c r="BL4546" s="498" t="str">
        <f t="shared" si="1569"/>
        <v/>
      </c>
    </row>
    <row r="4547" spans="1:64" x14ac:dyDescent="0.25">
      <c r="A4547" s="762">
        <f t="shared" si="1570"/>
        <v>4542</v>
      </c>
      <c r="B4547" s="229"/>
      <c r="C4547" s="223"/>
      <c r="D4547" s="224"/>
      <c r="E4547" s="225"/>
      <c r="F4547" s="1036" t="str">
        <f t="shared" si="1576"/>
        <v/>
      </c>
      <c r="G4547" s="1037" t="str">
        <f t="shared" si="1571"/>
        <v/>
      </c>
      <c r="H4547" s="225"/>
      <c r="I4547" s="1013"/>
      <c r="J4547" s="1013"/>
      <c r="K4547" s="1028"/>
      <c r="L4547" s="1035" t="str">
        <f t="shared" si="1575"/>
        <v/>
      </c>
      <c r="S4547" s="498"/>
      <c r="AJ4547" s="498"/>
      <c r="AM4547" s="498">
        <f t="shared" si="1556"/>
        <v>0</v>
      </c>
      <c r="AN4547" s="498">
        <f t="shared" si="1557"/>
        <v>0</v>
      </c>
      <c r="AO4547" s="498">
        <f t="shared" si="1558"/>
        <v>0</v>
      </c>
      <c r="AP4547" s="498">
        <f t="shared" si="1577"/>
        <v>0</v>
      </c>
      <c r="AQ4547" s="498">
        <f t="shared" si="1572"/>
        <v>0</v>
      </c>
      <c r="AU4547" s="498">
        <f t="shared" si="1559"/>
        <v>0</v>
      </c>
      <c r="AV4547" s="498">
        <f t="shared" si="1560"/>
        <v>0</v>
      </c>
      <c r="AW4547" s="498">
        <f t="shared" si="1561"/>
        <v>0</v>
      </c>
      <c r="AX4547" s="498">
        <f t="shared" si="1562"/>
        <v>0</v>
      </c>
      <c r="AY4547" s="498">
        <f t="shared" si="1563"/>
        <v>0</v>
      </c>
      <c r="BB4547" s="498" t="str">
        <f t="shared" si="1564"/>
        <v/>
      </c>
      <c r="BC4547" s="743" t="str">
        <f t="shared" si="1565"/>
        <v/>
      </c>
      <c r="BD4547" s="743" t="str">
        <f t="shared" si="1566"/>
        <v/>
      </c>
      <c r="BE4547" s="743" t="str">
        <f>IF(D4547="","",VLOOKUP(D4547,'General Basis'!$J$39:$K$46,2,0))</f>
        <v/>
      </c>
      <c r="BF4547" s="744" t="str">
        <f>IF(D4547="","",VLOOKUP(D4547,'General Basis'!$J$39:$L$46,3,0))</f>
        <v/>
      </c>
      <c r="BG4547" s="744" t="str">
        <f t="shared" si="1573"/>
        <v/>
      </c>
      <c r="BH4547" s="744" t="str">
        <f>IF(G4547="","",IF(BF4547="Abu Dhabi",IF(G4547&lt;18,'General Basis'!$C$39,IF(G4547&lt;41,'General Basis'!$C$40,IF(G4547&lt;60,'General Basis'!$C$41,IF(G4547&lt;65,'General Basis'!$C$42,'General Basis'!$C$43)))),IF(G4547&lt;11,'General Basis'!$B$39,IF(G4547&lt;18,'General Basis'!$B$40,IF(G4547&lt;26,'General Basis'!$B$41,IF(G4547&lt;31,'General Basis'!$B$42,IF(G4547&lt;36,'General Basis'!$B$43,IF(G4547&lt;41,'General Basis'!$B$44,IF(G4547&lt;46,'General Basis'!$B$45,IF(G4547&lt;51,'General Basis'!$B$46,IF(G4547&lt;56,'General Basis'!$B$47,IF(G4547&lt;60,'General Basis'!$B$48,IF(G4547&lt;65,'General Basis'!$B$49,'General Basis'!$B$50)))))))))))))</f>
        <v/>
      </c>
      <c r="BI4547" s="744" t="str">
        <f t="shared" si="1567"/>
        <v/>
      </c>
      <c r="BJ4547" s="747" t="str">
        <f t="shared" si="1574"/>
        <v/>
      </c>
      <c r="BK4547" s="498" t="str">
        <f t="shared" si="1568"/>
        <v/>
      </c>
      <c r="BL4547" s="498" t="str">
        <f t="shared" si="1569"/>
        <v/>
      </c>
    </row>
    <row r="4548" spans="1:64" x14ac:dyDescent="0.25">
      <c r="A4548" s="762">
        <f t="shared" si="1570"/>
        <v>4543</v>
      </c>
      <c r="B4548" s="229"/>
      <c r="C4548" s="223"/>
      <c r="D4548" s="224"/>
      <c r="E4548" s="225"/>
      <c r="F4548" s="1036" t="str">
        <f t="shared" si="1576"/>
        <v/>
      </c>
      <c r="G4548" s="1037" t="str">
        <f t="shared" si="1571"/>
        <v/>
      </c>
      <c r="H4548" s="225"/>
      <c r="I4548" s="1013"/>
      <c r="J4548" s="1013"/>
      <c r="K4548" s="1028"/>
      <c r="L4548" s="1035" t="str">
        <f t="shared" si="1575"/>
        <v/>
      </c>
      <c r="S4548" s="498"/>
      <c r="AJ4548" s="498"/>
      <c r="AM4548" s="498">
        <f t="shared" si="1556"/>
        <v>0</v>
      </c>
      <c r="AN4548" s="498">
        <f t="shared" si="1557"/>
        <v>0</v>
      </c>
      <c r="AO4548" s="498">
        <f t="shared" si="1558"/>
        <v>0</v>
      </c>
      <c r="AP4548" s="498">
        <f t="shared" si="1577"/>
        <v>0</v>
      </c>
      <c r="AQ4548" s="498">
        <f t="shared" si="1572"/>
        <v>0</v>
      </c>
      <c r="AU4548" s="498">
        <f t="shared" si="1559"/>
        <v>0</v>
      </c>
      <c r="AV4548" s="498">
        <f t="shared" si="1560"/>
        <v>0</v>
      </c>
      <c r="AW4548" s="498">
        <f t="shared" si="1561"/>
        <v>0</v>
      </c>
      <c r="AX4548" s="498">
        <f t="shared" si="1562"/>
        <v>0</v>
      </c>
      <c r="AY4548" s="498">
        <f t="shared" si="1563"/>
        <v>0</v>
      </c>
      <c r="BB4548" s="498" t="str">
        <f t="shared" si="1564"/>
        <v/>
      </c>
      <c r="BC4548" s="743" t="str">
        <f t="shared" si="1565"/>
        <v/>
      </c>
      <c r="BD4548" s="743" t="str">
        <f t="shared" si="1566"/>
        <v/>
      </c>
      <c r="BE4548" s="743" t="str">
        <f>IF(D4548="","",VLOOKUP(D4548,'General Basis'!$J$39:$K$46,2,0))</f>
        <v/>
      </c>
      <c r="BF4548" s="744" t="str">
        <f>IF(D4548="","",VLOOKUP(D4548,'General Basis'!$J$39:$L$46,3,0))</f>
        <v/>
      </c>
      <c r="BG4548" s="744" t="str">
        <f t="shared" si="1573"/>
        <v/>
      </c>
      <c r="BH4548" s="744" t="str">
        <f>IF(G4548="","",IF(BF4548="Abu Dhabi",IF(G4548&lt;18,'General Basis'!$C$39,IF(G4548&lt;41,'General Basis'!$C$40,IF(G4548&lt;60,'General Basis'!$C$41,IF(G4548&lt;65,'General Basis'!$C$42,'General Basis'!$C$43)))),IF(G4548&lt;11,'General Basis'!$B$39,IF(G4548&lt;18,'General Basis'!$B$40,IF(G4548&lt;26,'General Basis'!$B$41,IF(G4548&lt;31,'General Basis'!$B$42,IF(G4548&lt;36,'General Basis'!$B$43,IF(G4548&lt;41,'General Basis'!$B$44,IF(G4548&lt;46,'General Basis'!$B$45,IF(G4548&lt;51,'General Basis'!$B$46,IF(G4548&lt;56,'General Basis'!$B$47,IF(G4548&lt;60,'General Basis'!$B$48,IF(G4548&lt;65,'General Basis'!$B$49,'General Basis'!$B$50)))))))))))))</f>
        <v/>
      </c>
      <c r="BI4548" s="744" t="str">
        <f t="shared" si="1567"/>
        <v/>
      </c>
      <c r="BJ4548" s="747" t="str">
        <f t="shared" si="1574"/>
        <v/>
      </c>
      <c r="BK4548" s="498" t="str">
        <f t="shared" si="1568"/>
        <v/>
      </c>
      <c r="BL4548" s="498" t="str">
        <f t="shared" si="1569"/>
        <v/>
      </c>
    </row>
    <row r="4549" spans="1:64" x14ac:dyDescent="0.25">
      <c r="A4549" s="762">
        <f t="shared" si="1570"/>
        <v>4544</v>
      </c>
      <c r="B4549" s="229"/>
      <c r="C4549" s="223"/>
      <c r="D4549" s="224"/>
      <c r="E4549" s="225"/>
      <c r="F4549" s="1036" t="str">
        <f t="shared" si="1576"/>
        <v/>
      </c>
      <c r="G4549" s="1037" t="str">
        <f t="shared" si="1571"/>
        <v/>
      </c>
      <c r="H4549" s="225"/>
      <c r="I4549" s="1013"/>
      <c r="J4549" s="1013"/>
      <c r="K4549" s="1028"/>
      <c r="L4549" s="1035" t="str">
        <f t="shared" si="1575"/>
        <v/>
      </c>
      <c r="S4549" s="498"/>
      <c r="AJ4549" s="498"/>
      <c r="AM4549" s="498">
        <f t="shared" si="1556"/>
        <v>0</v>
      </c>
      <c r="AN4549" s="498">
        <f t="shared" si="1557"/>
        <v>0</v>
      </c>
      <c r="AO4549" s="498">
        <f t="shared" si="1558"/>
        <v>0</v>
      </c>
      <c r="AP4549" s="498">
        <f t="shared" si="1577"/>
        <v>0</v>
      </c>
      <c r="AQ4549" s="498">
        <f t="shared" si="1572"/>
        <v>0</v>
      </c>
      <c r="AU4549" s="498">
        <f t="shared" si="1559"/>
        <v>0</v>
      </c>
      <c r="AV4549" s="498">
        <f t="shared" si="1560"/>
        <v>0</v>
      </c>
      <c r="AW4549" s="498">
        <f t="shared" si="1561"/>
        <v>0</v>
      </c>
      <c r="AX4549" s="498">
        <f t="shared" si="1562"/>
        <v>0</v>
      </c>
      <c r="AY4549" s="498">
        <f t="shared" si="1563"/>
        <v>0</v>
      </c>
      <c r="BB4549" s="498" t="str">
        <f t="shared" si="1564"/>
        <v/>
      </c>
      <c r="BC4549" s="743" t="str">
        <f t="shared" si="1565"/>
        <v/>
      </c>
      <c r="BD4549" s="743" t="str">
        <f t="shared" si="1566"/>
        <v/>
      </c>
      <c r="BE4549" s="743" t="str">
        <f>IF(D4549="","",VLOOKUP(D4549,'General Basis'!$J$39:$K$46,2,0))</f>
        <v/>
      </c>
      <c r="BF4549" s="744" t="str">
        <f>IF(D4549="","",VLOOKUP(D4549,'General Basis'!$J$39:$L$46,3,0))</f>
        <v/>
      </c>
      <c r="BG4549" s="744" t="str">
        <f t="shared" si="1573"/>
        <v/>
      </c>
      <c r="BH4549" s="744" t="str">
        <f>IF(G4549="","",IF(BF4549="Abu Dhabi",IF(G4549&lt;18,'General Basis'!$C$39,IF(G4549&lt;41,'General Basis'!$C$40,IF(G4549&lt;60,'General Basis'!$C$41,IF(G4549&lt;65,'General Basis'!$C$42,'General Basis'!$C$43)))),IF(G4549&lt;11,'General Basis'!$B$39,IF(G4549&lt;18,'General Basis'!$B$40,IF(G4549&lt;26,'General Basis'!$B$41,IF(G4549&lt;31,'General Basis'!$B$42,IF(G4549&lt;36,'General Basis'!$B$43,IF(G4549&lt;41,'General Basis'!$B$44,IF(G4549&lt;46,'General Basis'!$B$45,IF(G4549&lt;51,'General Basis'!$B$46,IF(G4549&lt;56,'General Basis'!$B$47,IF(G4549&lt;60,'General Basis'!$B$48,IF(G4549&lt;65,'General Basis'!$B$49,'General Basis'!$B$50)))))))))))))</f>
        <v/>
      </c>
      <c r="BI4549" s="744" t="str">
        <f t="shared" si="1567"/>
        <v/>
      </c>
      <c r="BJ4549" s="747" t="str">
        <f t="shared" si="1574"/>
        <v/>
      </c>
      <c r="BK4549" s="498" t="str">
        <f t="shared" si="1568"/>
        <v/>
      </c>
      <c r="BL4549" s="498" t="str">
        <f t="shared" si="1569"/>
        <v/>
      </c>
    </row>
    <row r="4550" spans="1:64" x14ac:dyDescent="0.25">
      <c r="A4550" s="762">
        <f t="shared" si="1570"/>
        <v>4545</v>
      </c>
      <c r="B4550" s="229"/>
      <c r="C4550" s="223"/>
      <c r="D4550" s="224"/>
      <c r="E4550" s="225"/>
      <c r="F4550" s="1036" t="str">
        <f t="shared" si="1576"/>
        <v/>
      </c>
      <c r="G4550" s="1037" t="str">
        <f t="shared" si="1571"/>
        <v/>
      </c>
      <c r="H4550" s="225"/>
      <c r="I4550" s="1013"/>
      <c r="J4550" s="1013"/>
      <c r="K4550" s="1028"/>
      <c r="L4550" s="1035" t="str">
        <f t="shared" si="1575"/>
        <v/>
      </c>
      <c r="S4550" s="498"/>
      <c r="AJ4550" s="498"/>
      <c r="AM4550" s="498">
        <f t="shared" ref="AM4550:AM4613" si="1578">IF(ISTEXT(B4550),1,0)</f>
        <v>0</v>
      </c>
      <c r="AN4550" s="498">
        <f t="shared" ref="AN4550:AN4613" si="1579">IF(ISBLANK(B4550),0,IF(B4550&lt;$AK$6,1,0))</f>
        <v>0</v>
      </c>
      <c r="AO4550" s="498">
        <f t="shared" ref="AO4550:AO4613" si="1580">IF(ISBLANK(B4550),0,IF(B4550&gt;$AK$7,1,0))</f>
        <v>0</v>
      </c>
      <c r="AP4550" s="498">
        <f t="shared" si="1577"/>
        <v>0</v>
      </c>
      <c r="AQ4550" s="498">
        <f t="shared" si="1572"/>
        <v>0</v>
      </c>
      <c r="AU4550" s="498">
        <f t="shared" ref="AU4550:AU4613" si="1581">IF(ISBLANK(B4550),0,1)</f>
        <v>0</v>
      </c>
      <c r="AV4550" s="498">
        <f t="shared" ref="AV4550:AV4613" si="1582">IF(ISBLANK(C4550),0,1)</f>
        <v>0</v>
      </c>
      <c r="AW4550" s="498">
        <f t="shared" ref="AW4550:AW4613" si="1583">IF(ISBLANK(D4550),0,1)</f>
        <v>0</v>
      </c>
      <c r="AX4550" s="498">
        <f t="shared" ref="AX4550:AX4613" si="1584">IF(ISBLANK(E4550),0,1)</f>
        <v>0</v>
      </c>
      <c r="AY4550" s="498">
        <f t="shared" ref="AY4550:AY4613" si="1585">IF(ISBLANK(H4550),0,1)</f>
        <v>0</v>
      </c>
      <c r="BB4550" s="498" t="str">
        <f t="shared" ref="BB4550:BB4613" si="1586">IF(E4550="Principal","Principal",IF(E4550="","","Other"))</f>
        <v/>
      </c>
      <c r="BC4550" s="743" t="str">
        <f t="shared" ref="BC4550:BC4613" si="1587">IF(D4550="","",D4550)</f>
        <v/>
      </c>
      <c r="BD4550" s="743" t="str">
        <f t="shared" ref="BD4550:BD4613" si="1588">IF(E4550="Principal","Employee",IF(E4550="","","Dependent"))</f>
        <v/>
      </c>
      <c r="BE4550" s="743" t="str">
        <f>IF(D4550="","",VLOOKUP(D4550,'General Basis'!$J$39:$K$46,2,0))</f>
        <v/>
      </c>
      <c r="BF4550" s="744" t="str">
        <f>IF(D4550="","",VLOOKUP(D4550,'General Basis'!$J$39:$L$46,3,0))</f>
        <v/>
      </c>
      <c r="BG4550" s="744" t="str">
        <f t="shared" si="1573"/>
        <v/>
      </c>
      <c r="BH4550" s="744" t="str">
        <f>IF(G4550="","",IF(BF4550="Abu Dhabi",IF(G4550&lt;18,'General Basis'!$C$39,IF(G4550&lt;41,'General Basis'!$C$40,IF(G4550&lt;60,'General Basis'!$C$41,IF(G4550&lt;65,'General Basis'!$C$42,'General Basis'!$C$43)))),IF(G4550&lt;11,'General Basis'!$B$39,IF(G4550&lt;18,'General Basis'!$B$40,IF(G4550&lt;26,'General Basis'!$B$41,IF(G4550&lt;31,'General Basis'!$B$42,IF(G4550&lt;36,'General Basis'!$B$43,IF(G4550&lt;41,'General Basis'!$B$44,IF(G4550&lt;46,'General Basis'!$B$45,IF(G4550&lt;51,'General Basis'!$B$46,IF(G4550&lt;56,'General Basis'!$B$47,IF(G4550&lt;60,'General Basis'!$B$48,IF(G4550&lt;65,'General Basis'!$B$49,'General Basis'!$B$50)))))))))))))</f>
        <v/>
      </c>
      <c r="BI4550" s="744" t="str">
        <f t="shared" ref="BI4550:BI4613" si="1589">IF(C4550="","",IF(C4550="M","Male","Female"))</f>
        <v/>
      </c>
      <c r="BJ4550" s="747" t="str">
        <f t="shared" si="1574"/>
        <v/>
      </c>
      <c r="BK4550" s="498" t="str">
        <f t="shared" ref="BK4550:BK4613" si="1590">IF(BD4550="","",IF(AND(BD4550="Employee",BI4550="Male",BF4550="Abu Dhabi",BE4550=GN_Plus),VLOOKUP(BH4550,AUH_MALE_EMP,2,0),IF(AND(BD4550="Employee",BI4550="Male",BF4550="Abu Dhabi",BE4550=GN),VLOOKUP(BH4550,AUH_MALE_EMP,3,0),IF(AND(BD4550="Employee",BI4550="Male",BF4550="Abu Dhabi",BE4550=RN_Plus),VLOOKUP(BH4550,AUH_MALE_EMP,4,0),IF(AND(BD4550="Employee",BI4550="Male",BF4550="Abu Dhabi",BE4550=RN),VLOOKUP(BH4550,AUH_MALE_EMP,5,0),IF(AND(BD4550="Employee",BI4550="Male",BF4550="Abu Dhabi",BE4550=RN_2),VLOOKUP(BH4550,AUH_MALE_EMP,6,0),IF(AND(BD4550="Employee",BI4550="Male",BF4550="Abu Dhabi",BE4550=RN2_minus),VLOOKUP(BH4550,AUH_MALE_EMP,7,0),IF(AND(BD4550="Employee",BI4550="Male",BF4550="Abu Dhabi",BE4550=RN_3),VLOOKUP(BH4550,AUH_MALE_EMP,8,0),IF(AND(BD4550="Employee",BI4550="Male",BF4550="Abu Dhabi",BE4550=VN),VLOOKUP(BH4550,AUH_MALE_EMP,9,0),IF(BD4550="","",IF(AND(BD4550="Employee",BI4550="Female",BF4550="Abu Dhabi",BE4550=GN_Plus),VLOOKUP(BH4550,AUH_FEMALE_EMP,2,0),IF(AND(BD4550="Employee",BI4550="Female",BF4550="Abu Dhabi",BE4550=GN),VLOOKUP(BH4550,AUH_FEMALE_EMP,3,0),IF(AND(BD4550="Employee",BI4550="Female",BF4550="Abu Dhabi",BE4550=RN_Plus),VLOOKUP(BH4550,AUH_FEMALE_EMP,4,0),IF(AND(BD4550="Employee",BI4550="Female",BF4550="Abu Dhabi",BE4550=RN),VLOOKUP(BH4550,AUH_FEMALE_EMP,5,0),IF(AND(BD4550="Employee",BI4550="Female",BF4550="Abu Dhabi",BE4550=RN_2),VLOOKUP(BH4550,AUH_FEMALE_EMP,6,0),IF(AND(BD4550="Employee",BI4550="Female",BF4550="Abu Dhabi",BE4550=RN2_minus),VLOOKUP(BH4550,AUH_FEMALE_EMP,7,0),IF(AND(BD4550="Employee",BI4550="Female",BF4550="Abu Dhabi",BE4550=RN_3),VLOOKUP(BH4550,AUH_FEMALE_EMP,8,0),IF(AND(BD4550="Employee",BI4550="Female",BF4550="Abu Dhabi",BE4550=VN),VLOOKUP(BH4550,AUH_FEMALE_EMP,9,0),IF(BD4550="","",IF(AND(BD4550="Dependent",BI4550="Male",BF4550="Abu Dhabi",BE4550=GN_Plus),VLOOKUP(BH4550,AUH_MALE_DEP,2,0),IF(AND(BD4550="Dependent",BI4550="Male",BF4550="Abu Dhabi",BE4550=GN),VLOOKUP(BH4550,AUH_MALE_DEP,3,0),IF(AND(BD4550="Dependent",BI4550="Male",BF4550="Abu Dhabi",BE4550=RN_Plus),VLOOKUP(BH4550,AUH_MALE_DEP,4,0),IF(AND(BD4550="Dependent",BI4550="Male",BF4550="Abu Dhabi",BE4550=RN),VLOOKUP(BH4550,AUH_MALE_DEP,5,0),IF(AND(BD4550="Dependent",BI4550="Male",BF4550="Abu Dhabi",BE4550=RN_2),VLOOKUP(BH4550,AUH_MALE_DEP,6,0),IF(AND(BD4550="Dependent",BI4550="Male",BF4550="Abu Dhabi",BE4550=RN2_minus),VLOOKUP(BH4550,AUH_MALE_DEP,7,0),IF(AND(BD4550="Dependent",BI4550="Male",BF4550="Abu Dhabi",BE4550=RN_3),VLOOKUP(BH4550,AUH_MALE_DEP,8,0),IF(AND(BD4550="Dependent",BI4550="Male",BF4550="Abu Dhabi",BE4550=VN),VLOOKUP(BH4550,AUH_MALE_DEP,9,0),IF(BD4550="","",IF(AND(BD4550="Dependent",BI4550="Female",BF4550="Abu Dhabi",BE4550=GN_Plus),VLOOKUP(BH4550,AUH_FEMALE_DEP,2,0),IF(AND(BD4550="Dependent",BI4550="Female",BF4550="Abu Dhabi",BE4550=GN),VLOOKUP(BH4550,AUH_FEMALE_DEP,3,0),IF(AND(BD4550="Dependent",BI4550="Female",BF4550="Abu Dhabi",BE4550=RN_Plus),VLOOKUP(BH4550,AUH_FEMALE_DEP,4,0),IF(AND(BD4550="Dependent",BI4550="Female",BF4550="Abu Dhabi",BE4550=RN),VLOOKUP(BH4550,AUH_FEMALE_DEP,5,0),IF(AND(BD4550="Dependent",BI4550="Female",BF4550="Abu Dhabi",BE4550=RN_2),VLOOKUP(BH4550,AUH_FEMALE_DEP,6,0),IF(AND(BD4550="Dependent",BI4550="Female",BF4550="Abu Dhabi",BE4550=RN2_minus),VLOOKUP(BH4550,AUH_FEMALE_DEP,7,0),IF(AND(BD4550="Dependent",BI4550="Female",BF4550="Abu Dhabi",BE4550=RN_3),VLOOKUP(BH4550,AUH_FEMALE_DEP,8,0),IF(AND(BD4550="Dependent",BI4550="Female",BF4550="Abu Dhabi",BE4550=VN),VLOOKUP(BH4550,AUH_FEMALE_DEP,9,0),"ABC"))))))))))))))))))))))))))))))))))))</f>
        <v/>
      </c>
      <c r="BL4550" s="498" t="str">
        <f t="shared" ref="BL4550:BL4613" si="1591">IF(BD4550="","",IF(AND(BD4550="Employee",BI4550="Male",BF4550="Dubai",BE4550=GN_Plus),VLOOKUP(BH4550,DXB_MALE_EMP,2,0),IF(AND(BD4550="Employee",BI4550="Male",BF4550="Dubai",BE4550=GN),VLOOKUP(BH4550,DXB_MALE_EMP,3,0),IF(AND(BD4550="Employee",BI4550="Male",BF4550="Dubai",BE4550=RN_Plus),VLOOKUP(BH4550,DXB_MALE_EMP,4,0),IF(AND(BD4550="Employee",BI4550="Male",BF4550="Dubai",BE4550=RN),VLOOKUP(BH4550,DXB_MALE_EMP,5,0),IF(AND(BD4550="Employee",BI4550="Male",BF4550="Dubai",BE4550=RN_2),VLOOKUP(BH4550,DXB_MALE_EMP,6,0),IF(AND(BD4550="Employee",BI4550="Male",BF4550="Dubai",BE4550=RN2_minus),VLOOKUP(BH4550,DXB_MALE_EMP,7,0),IF(AND(BD4550="Employee",BI4550="Male",BF4550="Dubai",BE4550=RN_3),VLOOKUP(BH4550,DXB_MALE_EMP,8,0),IF(AND(BD4550="Employee",BI4550="Male",BF4550="Dubai",BE4550=VN),VLOOKUP(BH4550,DXB_MALE_EMP,9,0),IF(BD4550="","",IF(AND(BD4550="Employee",BI4550="Female",BF4550="Dubai",BE4550=GN_Plus),VLOOKUP(BH4550,DXB_FEMALE_EMP,2,0),IF(AND(BD4550="Employee",BI4550="Female",BF4550="Dubai",BE4550=GN),VLOOKUP(BH4550,DXB_FEMALE_EMP,3,0),IF(AND(BD4550="Employee",BI4550="Female",BF4550="Dubai",BE4550=RN_Plus),VLOOKUP(BH4550,DXB_FEMALE_EMP,4,0),IF(AND(BD4550="Employee",BI4550="Female",BF4550="Dubai",BE4550=RN),VLOOKUP(BH4550,DXB_FEMALE_EMP,5,0),IF(AND(BD4550="Employee",BI4550="Female",BF4550="Dubai",BE4550=RN_2),VLOOKUP(BH4550,DXB_FEMALE_EMP,6,0),IF(AND(BD4550="Employee",BI4550="Female",BF4550="Dubai",BE4550=RN2_minus),VLOOKUP(BH4550,DXB_FEMALE_EMP,7,0),IF(AND(BD4550="Employee",BI4550="Female",BF4550="Dubai",BE4550=RN_3),VLOOKUP(BH4550,DXB_FEMALE_EMP,8,0),IF(AND(BD4550="Employee",BI4550="Female",BF4550="Dubai",BE4550=VN),VLOOKUP(BH4550,DXB_FEMALE_EMP,9,0),IF(BD4550="","",IF(AND(BD4550="Dependent",BI4550="Male",BF4550="Dubai",BE4550=GN_Plus),VLOOKUP(BH4550,DXB_MALE_DEP,2,0),IF(AND(BD4550="Dependent",BI4550="Male",BF4550="Dubai",BE4550=GN),VLOOKUP(BH4550,DXB_MALE_DEP,3,0),IF(AND(BD4550="Dependent",BI4550="Male",BF4550="Dubai",BE4550=RN_Plus),VLOOKUP(BH4550,DXB_MALE_DEP,4,0),IF(AND(BD4550="Dependent",BI4550="Male",BF4550="Dubai",BE4550=RN),VLOOKUP(BH4550,DXB_MALE_DEP,5,0),IF(AND(BD4550="Dependent",BI4550="Male",BF4550="Dubai",BE4550=RN_2),VLOOKUP(BH4550,DXB_MALE_DEP,6,0),IF(AND(BD4550="Dependent",BI4550="Male",BF4550="Dubai",BE4550=RN2_minus),VLOOKUP(BH4550,DXB_MALE_DEP,7,0),IF(AND(BD4550="Dependent",BI4550="Male",BF4550="Dubai",BE4550=RN_3),VLOOKUP(BH4550,DXB_MALE_DEP,8,0),IF(AND(BD4550="Dependent",BI4550="Male",BF4550="Dubai",BE4550=VN),VLOOKUP(BH4550,DXB_MALE_DEP,9,0),IF(BD4550="","",IF(AND(BD4550="Dependent",BI4550="Female",BF4550="Dubai",BE4550=GN_Plus),VLOOKUP(BH4550,DXB_FEMALE_DEP,2,0),IF(AND(BD4550="Dependent",BI4550="Female",BF4550="Dubai",BE4550=GN),VLOOKUP(BH4550,DXB_FEMALE_DEP,3,0),IF(AND(BD4550="Dependent",BI4550="Female",BF4550="Dubai",BE4550=RN_Plus),VLOOKUP(BH4550,DXB_FEMALE_DEP,4,0),IF(AND(BD4550="Dependent",BI4550="Female",BF4550="Dubai",BE4550=RN),VLOOKUP(BH4550,DXB_FEMALE_DEP,5,0),IF(AND(BD4550="Dependent",BI4550="Female",BF4550="Dubai",BE4550=RN_2),VLOOKUP(BH4550,DXB_FEMALE_DEP,6,0),IF(AND(BD4550="Dependent",BI4550="Female",BF4550="Dubai",BE4550=RN2_minus),VLOOKUP(BH4550,DXB_FEMALE_DEP,7,0),IF(AND(BD4550="Dependent",BI4550="Female",BF4550="Dubai",BE4550=RN_3),VLOOKUP(BH4550,DXB_FEMALE_DEP,8,0),IF(AND(BD4550="Dependent",BI4550="Female",BF4550="Dubai",BE4550=VN),VLOOKUP(BH4550,DXB_FEMALE_DEP,9,0),"ABC"))))))))))))))))))))))))))))))))))))</f>
        <v/>
      </c>
    </row>
    <row r="4551" spans="1:64" x14ac:dyDescent="0.25">
      <c r="A4551" s="762">
        <f t="shared" ref="A4551:A4614" si="1592">+A4550+1</f>
        <v>4546</v>
      </c>
      <c r="B4551" s="229"/>
      <c r="C4551" s="223"/>
      <c r="D4551" s="224"/>
      <c r="E4551" s="225"/>
      <c r="F4551" s="1036" t="str">
        <f t="shared" si="1576"/>
        <v/>
      </c>
      <c r="G4551" s="1037" t="str">
        <f t="shared" ref="G4551:G4614" si="1593">IF(D4551="","",MAX(0,ROUNDUP(F4551,0)))</f>
        <v/>
      </c>
      <c r="H4551" s="225"/>
      <c r="I4551" s="1013"/>
      <c r="J4551" s="1013"/>
      <c r="K4551" s="1028"/>
      <c r="L4551" s="1035" t="str">
        <f t="shared" si="1575"/>
        <v/>
      </c>
      <c r="S4551" s="498"/>
      <c r="AJ4551" s="498"/>
      <c r="AM4551" s="498">
        <f t="shared" si="1578"/>
        <v>0</v>
      </c>
      <c r="AN4551" s="498">
        <f t="shared" si="1579"/>
        <v>0</v>
      </c>
      <c r="AO4551" s="498">
        <f t="shared" si="1580"/>
        <v>0</v>
      </c>
      <c r="AP4551" s="498">
        <f t="shared" si="1577"/>
        <v>0</v>
      </c>
      <c r="AQ4551" s="498">
        <f t="shared" ref="AQ4551:AQ4614" si="1594">IF(ISBLANK($B4551),0,IF(OR($H4551="Single",$H4551="Married"),0,1))</f>
        <v>0</v>
      </c>
      <c r="AU4551" s="498">
        <f t="shared" si="1581"/>
        <v>0</v>
      </c>
      <c r="AV4551" s="498">
        <f t="shared" si="1582"/>
        <v>0</v>
      </c>
      <c r="AW4551" s="498">
        <f t="shared" si="1583"/>
        <v>0</v>
      </c>
      <c r="AX4551" s="498">
        <f t="shared" si="1584"/>
        <v>0</v>
      </c>
      <c r="AY4551" s="498">
        <f t="shared" si="1585"/>
        <v>0</v>
      </c>
      <c r="BB4551" s="498" t="str">
        <f t="shared" si="1586"/>
        <v/>
      </c>
      <c r="BC4551" s="743" t="str">
        <f t="shared" si="1587"/>
        <v/>
      </c>
      <c r="BD4551" s="743" t="str">
        <f t="shared" si="1588"/>
        <v/>
      </c>
      <c r="BE4551" s="743" t="str">
        <f>IF(D4551="","",VLOOKUP(D4551,'General Basis'!$J$39:$K$46,2,0))</f>
        <v/>
      </c>
      <c r="BF4551" s="744" t="str">
        <f>IF(D4551="","",VLOOKUP(D4551,'General Basis'!$J$39:$L$46,3,0))</f>
        <v/>
      </c>
      <c r="BG4551" s="744" t="str">
        <f t="shared" ref="BG4551:BG4614" si="1595">BC4551&amp;BI4551</f>
        <v/>
      </c>
      <c r="BH4551" s="744" t="str">
        <f>IF(G4551="","",IF(BF4551="Abu Dhabi",IF(G4551&lt;18,'General Basis'!$C$39,IF(G4551&lt;41,'General Basis'!$C$40,IF(G4551&lt;60,'General Basis'!$C$41,IF(G4551&lt;65,'General Basis'!$C$42,'General Basis'!$C$43)))),IF(G4551&lt;11,'General Basis'!$B$39,IF(G4551&lt;18,'General Basis'!$B$40,IF(G4551&lt;26,'General Basis'!$B$41,IF(G4551&lt;31,'General Basis'!$B$42,IF(G4551&lt;36,'General Basis'!$B$43,IF(G4551&lt;41,'General Basis'!$B$44,IF(G4551&lt;46,'General Basis'!$B$45,IF(G4551&lt;51,'General Basis'!$B$46,IF(G4551&lt;56,'General Basis'!$B$47,IF(G4551&lt;60,'General Basis'!$B$48,IF(G4551&lt;65,'General Basis'!$B$49,'General Basis'!$B$50)))))))))))))</f>
        <v/>
      </c>
      <c r="BI4551" s="744" t="str">
        <f t="shared" si="1589"/>
        <v/>
      </c>
      <c r="BJ4551" s="747" t="str">
        <f t="shared" ref="BJ4551:BJ4614" si="1596">IF(BD4551="","",IF(BF4551="Abu Dhabi",BK4551,BL4551))</f>
        <v/>
      </c>
      <c r="BK4551" s="498" t="str">
        <f t="shared" si="1590"/>
        <v/>
      </c>
      <c r="BL4551" s="498" t="str">
        <f t="shared" si="1591"/>
        <v/>
      </c>
    </row>
    <row r="4552" spans="1:64" x14ac:dyDescent="0.25">
      <c r="A4552" s="762">
        <f t="shared" si="1592"/>
        <v>4547</v>
      </c>
      <c r="B4552" s="229"/>
      <c r="C4552" s="223"/>
      <c r="D4552" s="224"/>
      <c r="E4552" s="225"/>
      <c r="F4552" s="1036" t="str">
        <f t="shared" si="1576"/>
        <v/>
      </c>
      <c r="G4552" s="1037" t="str">
        <f t="shared" si="1593"/>
        <v/>
      </c>
      <c r="H4552" s="225"/>
      <c r="I4552" s="1013"/>
      <c r="J4552" s="1013"/>
      <c r="K4552" s="1028"/>
      <c r="L4552" s="1035" t="str">
        <f t="shared" ref="L4552:L4615" si="1597">IF(AND(E4552="Child",H4552="Married"),"Check the Marital Status of the Child. ",IF(AND(E4552="Child",F4552&gt;18),"Child Age exceed 18 years. ",IF(AND(E4552="Spouse",H4552="Single"),"Spouse is selected as Single. ","")))&amp;IF(K4552&gt;0,"UW Loading has been Applied","")</f>
        <v/>
      </c>
      <c r="S4552" s="498"/>
      <c r="AJ4552" s="498"/>
      <c r="AM4552" s="498">
        <f t="shared" si="1578"/>
        <v>0</v>
      </c>
      <c r="AN4552" s="498">
        <f t="shared" si="1579"/>
        <v>0</v>
      </c>
      <c r="AO4552" s="498">
        <f t="shared" si="1580"/>
        <v>0</v>
      </c>
      <c r="AP4552" s="498">
        <f t="shared" si="1577"/>
        <v>0</v>
      </c>
      <c r="AQ4552" s="498">
        <f t="shared" si="1594"/>
        <v>0</v>
      </c>
      <c r="AU4552" s="498">
        <f t="shared" si="1581"/>
        <v>0</v>
      </c>
      <c r="AV4552" s="498">
        <f t="shared" si="1582"/>
        <v>0</v>
      </c>
      <c r="AW4552" s="498">
        <f t="shared" si="1583"/>
        <v>0</v>
      </c>
      <c r="AX4552" s="498">
        <f t="shared" si="1584"/>
        <v>0</v>
      </c>
      <c r="AY4552" s="498">
        <f t="shared" si="1585"/>
        <v>0</v>
      </c>
      <c r="BB4552" s="498" t="str">
        <f t="shared" si="1586"/>
        <v/>
      </c>
      <c r="BC4552" s="743" t="str">
        <f t="shared" si="1587"/>
        <v/>
      </c>
      <c r="BD4552" s="743" t="str">
        <f t="shared" si="1588"/>
        <v/>
      </c>
      <c r="BE4552" s="743" t="str">
        <f>IF(D4552="","",VLOOKUP(D4552,'General Basis'!$J$39:$K$46,2,0))</f>
        <v/>
      </c>
      <c r="BF4552" s="744" t="str">
        <f>IF(D4552="","",VLOOKUP(D4552,'General Basis'!$J$39:$L$46,3,0))</f>
        <v/>
      </c>
      <c r="BG4552" s="744" t="str">
        <f t="shared" si="1595"/>
        <v/>
      </c>
      <c r="BH4552" s="744" t="str">
        <f>IF(G4552="","",IF(BF4552="Abu Dhabi",IF(G4552&lt;18,'General Basis'!$C$39,IF(G4552&lt;41,'General Basis'!$C$40,IF(G4552&lt;60,'General Basis'!$C$41,IF(G4552&lt;65,'General Basis'!$C$42,'General Basis'!$C$43)))),IF(G4552&lt;11,'General Basis'!$B$39,IF(G4552&lt;18,'General Basis'!$B$40,IF(G4552&lt;26,'General Basis'!$B$41,IF(G4552&lt;31,'General Basis'!$B$42,IF(G4552&lt;36,'General Basis'!$B$43,IF(G4552&lt;41,'General Basis'!$B$44,IF(G4552&lt;46,'General Basis'!$B$45,IF(G4552&lt;51,'General Basis'!$B$46,IF(G4552&lt;56,'General Basis'!$B$47,IF(G4552&lt;60,'General Basis'!$B$48,IF(G4552&lt;65,'General Basis'!$B$49,'General Basis'!$B$50)))))))))))))</f>
        <v/>
      </c>
      <c r="BI4552" s="744" t="str">
        <f t="shared" si="1589"/>
        <v/>
      </c>
      <c r="BJ4552" s="747" t="str">
        <f t="shared" si="1596"/>
        <v/>
      </c>
      <c r="BK4552" s="498" t="str">
        <f t="shared" si="1590"/>
        <v/>
      </c>
      <c r="BL4552" s="498" t="str">
        <f t="shared" si="1591"/>
        <v/>
      </c>
    </row>
    <row r="4553" spans="1:64" x14ac:dyDescent="0.25">
      <c r="A4553" s="762">
        <f t="shared" si="1592"/>
        <v>4548</v>
      </c>
      <c r="B4553" s="229"/>
      <c r="C4553" s="223"/>
      <c r="D4553" s="224"/>
      <c r="E4553" s="225"/>
      <c r="F4553" s="1036" t="str">
        <f t="shared" si="1576"/>
        <v/>
      </c>
      <c r="G4553" s="1037" t="str">
        <f t="shared" si="1593"/>
        <v/>
      </c>
      <c r="H4553" s="225"/>
      <c r="I4553" s="1013"/>
      <c r="J4553" s="1013"/>
      <c r="K4553" s="1028"/>
      <c r="L4553" s="1035" t="str">
        <f t="shared" si="1597"/>
        <v/>
      </c>
      <c r="S4553" s="498"/>
      <c r="AJ4553" s="498"/>
      <c r="AM4553" s="498">
        <f t="shared" si="1578"/>
        <v>0</v>
      </c>
      <c r="AN4553" s="498">
        <f t="shared" si="1579"/>
        <v>0</v>
      </c>
      <c r="AO4553" s="498">
        <f t="shared" si="1580"/>
        <v>0</v>
      </c>
      <c r="AP4553" s="498">
        <f t="shared" si="1577"/>
        <v>0</v>
      </c>
      <c r="AQ4553" s="498">
        <f t="shared" si="1594"/>
        <v>0</v>
      </c>
      <c r="AU4553" s="498">
        <f t="shared" si="1581"/>
        <v>0</v>
      </c>
      <c r="AV4553" s="498">
        <f t="shared" si="1582"/>
        <v>0</v>
      </c>
      <c r="AW4553" s="498">
        <f t="shared" si="1583"/>
        <v>0</v>
      </c>
      <c r="AX4553" s="498">
        <f t="shared" si="1584"/>
        <v>0</v>
      </c>
      <c r="AY4553" s="498">
        <f t="shared" si="1585"/>
        <v>0</v>
      </c>
      <c r="BB4553" s="498" t="str">
        <f t="shared" si="1586"/>
        <v/>
      </c>
      <c r="BC4553" s="743" t="str">
        <f t="shared" si="1587"/>
        <v/>
      </c>
      <c r="BD4553" s="743" t="str">
        <f t="shared" si="1588"/>
        <v/>
      </c>
      <c r="BE4553" s="743" t="str">
        <f>IF(D4553="","",VLOOKUP(D4553,'General Basis'!$J$39:$K$46,2,0))</f>
        <v/>
      </c>
      <c r="BF4553" s="744" t="str">
        <f>IF(D4553="","",VLOOKUP(D4553,'General Basis'!$J$39:$L$46,3,0))</f>
        <v/>
      </c>
      <c r="BG4553" s="744" t="str">
        <f t="shared" si="1595"/>
        <v/>
      </c>
      <c r="BH4553" s="744" t="str">
        <f>IF(G4553="","",IF(BF4553="Abu Dhabi",IF(G4553&lt;18,'General Basis'!$C$39,IF(G4553&lt;41,'General Basis'!$C$40,IF(G4553&lt;60,'General Basis'!$C$41,IF(G4553&lt;65,'General Basis'!$C$42,'General Basis'!$C$43)))),IF(G4553&lt;11,'General Basis'!$B$39,IF(G4553&lt;18,'General Basis'!$B$40,IF(G4553&lt;26,'General Basis'!$B$41,IF(G4553&lt;31,'General Basis'!$B$42,IF(G4553&lt;36,'General Basis'!$B$43,IF(G4553&lt;41,'General Basis'!$B$44,IF(G4553&lt;46,'General Basis'!$B$45,IF(G4553&lt;51,'General Basis'!$B$46,IF(G4553&lt;56,'General Basis'!$B$47,IF(G4553&lt;60,'General Basis'!$B$48,IF(G4553&lt;65,'General Basis'!$B$49,'General Basis'!$B$50)))))))))))))</f>
        <v/>
      </c>
      <c r="BI4553" s="744" t="str">
        <f t="shared" si="1589"/>
        <v/>
      </c>
      <c r="BJ4553" s="747" t="str">
        <f t="shared" si="1596"/>
        <v/>
      </c>
      <c r="BK4553" s="498" t="str">
        <f t="shared" si="1590"/>
        <v/>
      </c>
      <c r="BL4553" s="498" t="str">
        <f t="shared" si="1591"/>
        <v/>
      </c>
    </row>
    <row r="4554" spans="1:64" x14ac:dyDescent="0.25">
      <c r="A4554" s="762">
        <f t="shared" si="1592"/>
        <v>4549</v>
      </c>
      <c r="B4554" s="229"/>
      <c r="C4554" s="223"/>
      <c r="D4554" s="224"/>
      <c r="E4554" s="225"/>
      <c r="F4554" s="1036" t="str">
        <f t="shared" si="1576"/>
        <v/>
      </c>
      <c r="G4554" s="1037" t="str">
        <f t="shared" si="1593"/>
        <v/>
      </c>
      <c r="H4554" s="225"/>
      <c r="I4554" s="1013"/>
      <c r="J4554" s="1013"/>
      <c r="K4554" s="1028"/>
      <c r="L4554" s="1035" t="str">
        <f t="shared" si="1597"/>
        <v/>
      </c>
      <c r="S4554" s="498"/>
      <c r="AJ4554" s="498"/>
      <c r="AM4554" s="498">
        <f t="shared" si="1578"/>
        <v>0</v>
      </c>
      <c r="AN4554" s="498">
        <f t="shared" si="1579"/>
        <v>0</v>
      </c>
      <c r="AO4554" s="498">
        <f t="shared" si="1580"/>
        <v>0</v>
      </c>
      <c r="AP4554" s="498">
        <f t="shared" si="1577"/>
        <v>0</v>
      </c>
      <c r="AQ4554" s="498">
        <f t="shared" si="1594"/>
        <v>0</v>
      </c>
      <c r="AU4554" s="498">
        <f t="shared" si="1581"/>
        <v>0</v>
      </c>
      <c r="AV4554" s="498">
        <f t="shared" si="1582"/>
        <v>0</v>
      </c>
      <c r="AW4554" s="498">
        <f t="shared" si="1583"/>
        <v>0</v>
      </c>
      <c r="AX4554" s="498">
        <f t="shared" si="1584"/>
        <v>0</v>
      </c>
      <c r="AY4554" s="498">
        <f t="shared" si="1585"/>
        <v>0</v>
      </c>
      <c r="BB4554" s="498" t="str">
        <f t="shared" si="1586"/>
        <v/>
      </c>
      <c r="BC4554" s="743" t="str">
        <f t="shared" si="1587"/>
        <v/>
      </c>
      <c r="BD4554" s="743" t="str">
        <f t="shared" si="1588"/>
        <v/>
      </c>
      <c r="BE4554" s="743" t="str">
        <f>IF(D4554="","",VLOOKUP(D4554,'General Basis'!$J$39:$K$46,2,0))</f>
        <v/>
      </c>
      <c r="BF4554" s="744" t="str">
        <f>IF(D4554="","",VLOOKUP(D4554,'General Basis'!$J$39:$L$46,3,0))</f>
        <v/>
      </c>
      <c r="BG4554" s="744" t="str">
        <f t="shared" si="1595"/>
        <v/>
      </c>
      <c r="BH4554" s="744" t="str">
        <f>IF(G4554="","",IF(BF4554="Abu Dhabi",IF(G4554&lt;18,'General Basis'!$C$39,IF(G4554&lt;41,'General Basis'!$C$40,IF(G4554&lt;60,'General Basis'!$C$41,IF(G4554&lt;65,'General Basis'!$C$42,'General Basis'!$C$43)))),IF(G4554&lt;11,'General Basis'!$B$39,IF(G4554&lt;18,'General Basis'!$B$40,IF(G4554&lt;26,'General Basis'!$B$41,IF(G4554&lt;31,'General Basis'!$B$42,IF(G4554&lt;36,'General Basis'!$B$43,IF(G4554&lt;41,'General Basis'!$B$44,IF(G4554&lt;46,'General Basis'!$B$45,IF(G4554&lt;51,'General Basis'!$B$46,IF(G4554&lt;56,'General Basis'!$B$47,IF(G4554&lt;60,'General Basis'!$B$48,IF(G4554&lt;65,'General Basis'!$B$49,'General Basis'!$B$50)))))))))))))</f>
        <v/>
      </c>
      <c r="BI4554" s="744" t="str">
        <f t="shared" si="1589"/>
        <v/>
      </c>
      <c r="BJ4554" s="747" t="str">
        <f t="shared" si="1596"/>
        <v/>
      </c>
      <c r="BK4554" s="498" t="str">
        <f t="shared" si="1590"/>
        <v/>
      </c>
      <c r="BL4554" s="498" t="str">
        <f t="shared" si="1591"/>
        <v/>
      </c>
    </row>
    <row r="4555" spans="1:64" x14ac:dyDescent="0.25">
      <c r="A4555" s="762">
        <f t="shared" si="1592"/>
        <v>4550</v>
      </c>
      <c r="B4555" s="229"/>
      <c r="C4555" s="223"/>
      <c r="D4555" s="224"/>
      <c r="E4555" s="225"/>
      <c r="F4555" s="1036" t="str">
        <f t="shared" si="1576"/>
        <v/>
      </c>
      <c r="G4555" s="1037" t="str">
        <f t="shared" si="1593"/>
        <v/>
      </c>
      <c r="H4555" s="225"/>
      <c r="I4555" s="1013"/>
      <c r="J4555" s="1013"/>
      <c r="K4555" s="1028"/>
      <c r="L4555" s="1035" t="str">
        <f t="shared" si="1597"/>
        <v/>
      </c>
      <c r="S4555" s="498"/>
      <c r="AJ4555" s="498"/>
      <c r="AM4555" s="498">
        <f t="shared" si="1578"/>
        <v>0</v>
      </c>
      <c r="AN4555" s="498">
        <f t="shared" si="1579"/>
        <v>0</v>
      </c>
      <c r="AO4555" s="498">
        <f t="shared" si="1580"/>
        <v>0</v>
      </c>
      <c r="AP4555" s="498">
        <f t="shared" si="1577"/>
        <v>0</v>
      </c>
      <c r="AQ4555" s="498">
        <f t="shared" si="1594"/>
        <v>0</v>
      </c>
      <c r="AU4555" s="498">
        <f t="shared" si="1581"/>
        <v>0</v>
      </c>
      <c r="AV4555" s="498">
        <f t="shared" si="1582"/>
        <v>0</v>
      </c>
      <c r="AW4555" s="498">
        <f t="shared" si="1583"/>
        <v>0</v>
      </c>
      <c r="AX4555" s="498">
        <f t="shared" si="1584"/>
        <v>0</v>
      </c>
      <c r="AY4555" s="498">
        <f t="shared" si="1585"/>
        <v>0</v>
      </c>
      <c r="BB4555" s="498" t="str">
        <f t="shared" si="1586"/>
        <v/>
      </c>
      <c r="BC4555" s="743" t="str">
        <f t="shared" si="1587"/>
        <v/>
      </c>
      <c r="BD4555" s="743" t="str">
        <f t="shared" si="1588"/>
        <v/>
      </c>
      <c r="BE4555" s="743" t="str">
        <f>IF(D4555="","",VLOOKUP(D4555,'General Basis'!$J$39:$K$46,2,0))</f>
        <v/>
      </c>
      <c r="BF4555" s="744" t="str">
        <f>IF(D4555="","",VLOOKUP(D4555,'General Basis'!$J$39:$L$46,3,0))</f>
        <v/>
      </c>
      <c r="BG4555" s="744" t="str">
        <f t="shared" si="1595"/>
        <v/>
      </c>
      <c r="BH4555" s="744" t="str">
        <f>IF(G4555="","",IF(BF4555="Abu Dhabi",IF(G4555&lt;18,'General Basis'!$C$39,IF(G4555&lt;41,'General Basis'!$C$40,IF(G4555&lt;60,'General Basis'!$C$41,IF(G4555&lt;65,'General Basis'!$C$42,'General Basis'!$C$43)))),IF(G4555&lt;11,'General Basis'!$B$39,IF(G4555&lt;18,'General Basis'!$B$40,IF(G4555&lt;26,'General Basis'!$B$41,IF(G4555&lt;31,'General Basis'!$B$42,IF(G4555&lt;36,'General Basis'!$B$43,IF(G4555&lt;41,'General Basis'!$B$44,IF(G4555&lt;46,'General Basis'!$B$45,IF(G4555&lt;51,'General Basis'!$B$46,IF(G4555&lt;56,'General Basis'!$B$47,IF(G4555&lt;60,'General Basis'!$B$48,IF(G4555&lt;65,'General Basis'!$B$49,'General Basis'!$B$50)))))))))))))</f>
        <v/>
      </c>
      <c r="BI4555" s="744" t="str">
        <f t="shared" si="1589"/>
        <v/>
      </c>
      <c r="BJ4555" s="747" t="str">
        <f t="shared" si="1596"/>
        <v/>
      </c>
      <c r="BK4555" s="498" t="str">
        <f t="shared" si="1590"/>
        <v/>
      </c>
      <c r="BL4555" s="498" t="str">
        <f t="shared" si="1591"/>
        <v/>
      </c>
    </row>
    <row r="4556" spans="1:64" x14ac:dyDescent="0.25">
      <c r="A4556" s="762">
        <f t="shared" si="1592"/>
        <v>4551</v>
      </c>
      <c r="B4556" s="229"/>
      <c r="C4556" s="223"/>
      <c r="D4556" s="224"/>
      <c r="E4556" s="225"/>
      <c r="F4556" s="1036" t="str">
        <f t="shared" si="1576"/>
        <v/>
      </c>
      <c r="G4556" s="1037" t="str">
        <f t="shared" si="1593"/>
        <v/>
      </c>
      <c r="H4556" s="225"/>
      <c r="I4556" s="1013"/>
      <c r="J4556" s="1013"/>
      <c r="K4556" s="1028"/>
      <c r="L4556" s="1035" t="str">
        <f t="shared" si="1597"/>
        <v/>
      </c>
      <c r="S4556" s="498"/>
      <c r="AJ4556" s="498"/>
      <c r="AM4556" s="498">
        <f t="shared" si="1578"/>
        <v>0</v>
      </c>
      <c r="AN4556" s="498">
        <f t="shared" si="1579"/>
        <v>0</v>
      </c>
      <c r="AO4556" s="498">
        <f t="shared" si="1580"/>
        <v>0</v>
      </c>
      <c r="AP4556" s="498">
        <f t="shared" si="1577"/>
        <v>0</v>
      </c>
      <c r="AQ4556" s="498">
        <f t="shared" si="1594"/>
        <v>0</v>
      </c>
      <c r="AU4556" s="498">
        <f t="shared" si="1581"/>
        <v>0</v>
      </c>
      <c r="AV4556" s="498">
        <f t="shared" si="1582"/>
        <v>0</v>
      </c>
      <c r="AW4556" s="498">
        <f t="shared" si="1583"/>
        <v>0</v>
      </c>
      <c r="AX4556" s="498">
        <f t="shared" si="1584"/>
        <v>0</v>
      </c>
      <c r="AY4556" s="498">
        <f t="shared" si="1585"/>
        <v>0</v>
      </c>
      <c r="BB4556" s="498" t="str">
        <f t="shared" si="1586"/>
        <v/>
      </c>
      <c r="BC4556" s="743" t="str">
        <f t="shared" si="1587"/>
        <v/>
      </c>
      <c r="BD4556" s="743" t="str">
        <f t="shared" si="1588"/>
        <v/>
      </c>
      <c r="BE4556" s="743" t="str">
        <f>IF(D4556="","",VLOOKUP(D4556,'General Basis'!$J$39:$K$46,2,0))</f>
        <v/>
      </c>
      <c r="BF4556" s="744" t="str">
        <f>IF(D4556="","",VLOOKUP(D4556,'General Basis'!$J$39:$L$46,3,0))</f>
        <v/>
      </c>
      <c r="BG4556" s="744" t="str">
        <f t="shared" si="1595"/>
        <v/>
      </c>
      <c r="BH4556" s="744" t="str">
        <f>IF(G4556="","",IF(BF4556="Abu Dhabi",IF(G4556&lt;18,'General Basis'!$C$39,IF(G4556&lt;41,'General Basis'!$C$40,IF(G4556&lt;60,'General Basis'!$C$41,IF(G4556&lt;65,'General Basis'!$C$42,'General Basis'!$C$43)))),IF(G4556&lt;11,'General Basis'!$B$39,IF(G4556&lt;18,'General Basis'!$B$40,IF(G4556&lt;26,'General Basis'!$B$41,IF(G4556&lt;31,'General Basis'!$B$42,IF(G4556&lt;36,'General Basis'!$B$43,IF(G4556&lt;41,'General Basis'!$B$44,IF(G4556&lt;46,'General Basis'!$B$45,IF(G4556&lt;51,'General Basis'!$B$46,IF(G4556&lt;56,'General Basis'!$B$47,IF(G4556&lt;60,'General Basis'!$B$48,IF(G4556&lt;65,'General Basis'!$B$49,'General Basis'!$B$50)))))))))))))</f>
        <v/>
      </c>
      <c r="BI4556" s="744" t="str">
        <f t="shared" si="1589"/>
        <v/>
      </c>
      <c r="BJ4556" s="747" t="str">
        <f t="shared" si="1596"/>
        <v/>
      </c>
      <c r="BK4556" s="498" t="str">
        <f t="shared" si="1590"/>
        <v/>
      </c>
      <c r="BL4556" s="498" t="str">
        <f t="shared" si="1591"/>
        <v/>
      </c>
    </row>
    <row r="4557" spans="1:64" x14ac:dyDescent="0.25">
      <c r="A4557" s="762">
        <f t="shared" si="1592"/>
        <v>4552</v>
      </c>
      <c r="B4557" s="229"/>
      <c r="C4557" s="223"/>
      <c r="D4557" s="224"/>
      <c r="E4557" s="225"/>
      <c r="F4557" s="1036" t="str">
        <f t="shared" si="1576"/>
        <v/>
      </c>
      <c r="G4557" s="1037" t="str">
        <f t="shared" si="1593"/>
        <v/>
      </c>
      <c r="H4557" s="225"/>
      <c r="I4557" s="1013"/>
      <c r="J4557" s="1013"/>
      <c r="K4557" s="1028"/>
      <c r="L4557" s="1035" t="str">
        <f t="shared" si="1597"/>
        <v/>
      </c>
      <c r="S4557" s="498"/>
      <c r="AJ4557" s="498"/>
      <c r="AM4557" s="498">
        <f t="shared" si="1578"/>
        <v>0</v>
      </c>
      <c r="AN4557" s="498">
        <f t="shared" si="1579"/>
        <v>0</v>
      </c>
      <c r="AO4557" s="498">
        <f t="shared" si="1580"/>
        <v>0</v>
      </c>
      <c r="AP4557" s="498">
        <f t="shared" si="1577"/>
        <v>0</v>
      </c>
      <c r="AQ4557" s="498">
        <f t="shared" si="1594"/>
        <v>0</v>
      </c>
      <c r="AU4557" s="498">
        <f t="shared" si="1581"/>
        <v>0</v>
      </c>
      <c r="AV4557" s="498">
        <f t="shared" si="1582"/>
        <v>0</v>
      </c>
      <c r="AW4557" s="498">
        <f t="shared" si="1583"/>
        <v>0</v>
      </c>
      <c r="AX4557" s="498">
        <f t="shared" si="1584"/>
        <v>0</v>
      </c>
      <c r="AY4557" s="498">
        <f t="shared" si="1585"/>
        <v>0</v>
      </c>
      <c r="BB4557" s="498" t="str">
        <f t="shared" si="1586"/>
        <v/>
      </c>
      <c r="BC4557" s="743" t="str">
        <f t="shared" si="1587"/>
        <v/>
      </c>
      <c r="BD4557" s="743" t="str">
        <f t="shared" si="1588"/>
        <v/>
      </c>
      <c r="BE4557" s="743" t="str">
        <f>IF(D4557="","",VLOOKUP(D4557,'General Basis'!$J$39:$K$46,2,0))</f>
        <v/>
      </c>
      <c r="BF4557" s="744" t="str">
        <f>IF(D4557="","",VLOOKUP(D4557,'General Basis'!$J$39:$L$46,3,0))</f>
        <v/>
      </c>
      <c r="BG4557" s="744" t="str">
        <f t="shared" si="1595"/>
        <v/>
      </c>
      <c r="BH4557" s="744" t="str">
        <f>IF(G4557="","",IF(BF4557="Abu Dhabi",IF(G4557&lt;18,'General Basis'!$C$39,IF(G4557&lt;41,'General Basis'!$C$40,IF(G4557&lt;60,'General Basis'!$C$41,IF(G4557&lt;65,'General Basis'!$C$42,'General Basis'!$C$43)))),IF(G4557&lt;11,'General Basis'!$B$39,IF(G4557&lt;18,'General Basis'!$B$40,IF(G4557&lt;26,'General Basis'!$B$41,IF(G4557&lt;31,'General Basis'!$B$42,IF(G4557&lt;36,'General Basis'!$B$43,IF(G4557&lt;41,'General Basis'!$B$44,IF(G4557&lt;46,'General Basis'!$B$45,IF(G4557&lt;51,'General Basis'!$B$46,IF(G4557&lt;56,'General Basis'!$B$47,IF(G4557&lt;60,'General Basis'!$B$48,IF(G4557&lt;65,'General Basis'!$B$49,'General Basis'!$B$50)))))))))))))</f>
        <v/>
      </c>
      <c r="BI4557" s="744" t="str">
        <f t="shared" si="1589"/>
        <v/>
      </c>
      <c r="BJ4557" s="747" t="str">
        <f t="shared" si="1596"/>
        <v/>
      </c>
      <c r="BK4557" s="498" t="str">
        <f t="shared" si="1590"/>
        <v/>
      </c>
      <c r="BL4557" s="498" t="str">
        <f t="shared" si="1591"/>
        <v/>
      </c>
    </row>
    <row r="4558" spans="1:64" x14ac:dyDescent="0.25">
      <c r="A4558" s="762">
        <f t="shared" si="1592"/>
        <v>4553</v>
      </c>
      <c r="B4558" s="229"/>
      <c r="C4558" s="223"/>
      <c r="D4558" s="224"/>
      <c r="E4558" s="225"/>
      <c r="F4558" s="1036" t="str">
        <f t="shared" si="1576"/>
        <v/>
      </c>
      <c r="G4558" s="1037" t="str">
        <f t="shared" si="1593"/>
        <v/>
      </c>
      <c r="H4558" s="225"/>
      <c r="I4558" s="1013"/>
      <c r="J4558" s="1013"/>
      <c r="K4558" s="1028"/>
      <c r="L4558" s="1035" t="str">
        <f t="shared" si="1597"/>
        <v/>
      </c>
      <c r="S4558" s="498"/>
      <c r="AJ4558" s="498"/>
      <c r="AM4558" s="498">
        <f t="shared" si="1578"/>
        <v>0</v>
      </c>
      <c r="AN4558" s="498">
        <f t="shared" si="1579"/>
        <v>0</v>
      </c>
      <c r="AO4558" s="498">
        <f t="shared" si="1580"/>
        <v>0</v>
      </c>
      <c r="AP4558" s="498">
        <f t="shared" si="1577"/>
        <v>0</v>
      </c>
      <c r="AQ4558" s="498">
        <f t="shared" si="1594"/>
        <v>0</v>
      </c>
      <c r="AU4558" s="498">
        <f t="shared" si="1581"/>
        <v>0</v>
      </c>
      <c r="AV4558" s="498">
        <f t="shared" si="1582"/>
        <v>0</v>
      </c>
      <c r="AW4558" s="498">
        <f t="shared" si="1583"/>
        <v>0</v>
      </c>
      <c r="AX4558" s="498">
        <f t="shared" si="1584"/>
        <v>0</v>
      </c>
      <c r="AY4558" s="498">
        <f t="shared" si="1585"/>
        <v>0</v>
      </c>
      <c r="BB4558" s="498" t="str">
        <f t="shared" si="1586"/>
        <v/>
      </c>
      <c r="BC4558" s="743" t="str">
        <f t="shared" si="1587"/>
        <v/>
      </c>
      <c r="BD4558" s="743" t="str">
        <f t="shared" si="1588"/>
        <v/>
      </c>
      <c r="BE4558" s="743" t="str">
        <f>IF(D4558="","",VLOOKUP(D4558,'General Basis'!$J$39:$K$46,2,0))</f>
        <v/>
      </c>
      <c r="BF4558" s="744" t="str">
        <f>IF(D4558="","",VLOOKUP(D4558,'General Basis'!$J$39:$L$46,3,0))</f>
        <v/>
      </c>
      <c r="BG4558" s="744" t="str">
        <f t="shared" si="1595"/>
        <v/>
      </c>
      <c r="BH4558" s="744" t="str">
        <f>IF(G4558="","",IF(BF4558="Abu Dhabi",IF(G4558&lt;18,'General Basis'!$C$39,IF(G4558&lt;41,'General Basis'!$C$40,IF(G4558&lt;60,'General Basis'!$C$41,IF(G4558&lt;65,'General Basis'!$C$42,'General Basis'!$C$43)))),IF(G4558&lt;11,'General Basis'!$B$39,IF(G4558&lt;18,'General Basis'!$B$40,IF(G4558&lt;26,'General Basis'!$B$41,IF(G4558&lt;31,'General Basis'!$B$42,IF(G4558&lt;36,'General Basis'!$B$43,IF(G4558&lt;41,'General Basis'!$B$44,IF(G4558&lt;46,'General Basis'!$B$45,IF(G4558&lt;51,'General Basis'!$B$46,IF(G4558&lt;56,'General Basis'!$B$47,IF(G4558&lt;60,'General Basis'!$B$48,IF(G4558&lt;65,'General Basis'!$B$49,'General Basis'!$B$50)))))))))))))</f>
        <v/>
      </c>
      <c r="BI4558" s="744" t="str">
        <f t="shared" si="1589"/>
        <v/>
      </c>
      <c r="BJ4558" s="747" t="str">
        <f t="shared" si="1596"/>
        <v/>
      </c>
      <c r="BK4558" s="498" t="str">
        <f t="shared" si="1590"/>
        <v/>
      </c>
      <c r="BL4558" s="498" t="str">
        <f t="shared" si="1591"/>
        <v/>
      </c>
    </row>
    <row r="4559" spans="1:64" x14ac:dyDescent="0.25">
      <c r="A4559" s="762">
        <f t="shared" si="1592"/>
        <v>4554</v>
      </c>
      <c r="B4559" s="229"/>
      <c r="C4559" s="223"/>
      <c r="D4559" s="224"/>
      <c r="E4559" s="225"/>
      <c r="F4559" s="1036" t="str">
        <f t="shared" si="1576"/>
        <v/>
      </c>
      <c r="G4559" s="1037" t="str">
        <f t="shared" si="1593"/>
        <v/>
      </c>
      <c r="H4559" s="225"/>
      <c r="I4559" s="1013"/>
      <c r="J4559" s="1013"/>
      <c r="K4559" s="1028"/>
      <c r="L4559" s="1035" t="str">
        <f t="shared" si="1597"/>
        <v/>
      </c>
      <c r="S4559" s="498"/>
      <c r="AJ4559" s="498"/>
      <c r="AM4559" s="498">
        <f t="shared" si="1578"/>
        <v>0</v>
      </c>
      <c r="AN4559" s="498">
        <f t="shared" si="1579"/>
        <v>0</v>
      </c>
      <c r="AO4559" s="498">
        <f t="shared" si="1580"/>
        <v>0</v>
      </c>
      <c r="AP4559" s="498">
        <f t="shared" si="1577"/>
        <v>0</v>
      </c>
      <c r="AQ4559" s="498">
        <f t="shared" si="1594"/>
        <v>0</v>
      </c>
      <c r="AU4559" s="498">
        <f t="shared" si="1581"/>
        <v>0</v>
      </c>
      <c r="AV4559" s="498">
        <f t="shared" si="1582"/>
        <v>0</v>
      </c>
      <c r="AW4559" s="498">
        <f t="shared" si="1583"/>
        <v>0</v>
      </c>
      <c r="AX4559" s="498">
        <f t="shared" si="1584"/>
        <v>0</v>
      </c>
      <c r="AY4559" s="498">
        <f t="shared" si="1585"/>
        <v>0</v>
      </c>
      <c r="BB4559" s="498" t="str">
        <f t="shared" si="1586"/>
        <v/>
      </c>
      <c r="BC4559" s="743" t="str">
        <f t="shared" si="1587"/>
        <v/>
      </c>
      <c r="BD4559" s="743" t="str">
        <f t="shared" si="1588"/>
        <v/>
      </c>
      <c r="BE4559" s="743" t="str">
        <f>IF(D4559="","",VLOOKUP(D4559,'General Basis'!$J$39:$K$46,2,0))</f>
        <v/>
      </c>
      <c r="BF4559" s="744" t="str">
        <f>IF(D4559="","",VLOOKUP(D4559,'General Basis'!$J$39:$L$46,3,0))</f>
        <v/>
      </c>
      <c r="BG4559" s="744" t="str">
        <f t="shared" si="1595"/>
        <v/>
      </c>
      <c r="BH4559" s="744" t="str">
        <f>IF(G4559="","",IF(BF4559="Abu Dhabi",IF(G4559&lt;18,'General Basis'!$C$39,IF(G4559&lt;41,'General Basis'!$C$40,IF(G4559&lt;60,'General Basis'!$C$41,IF(G4559&lt;65,'General Basis'!$C$42,'General Basis'!$C$43)))),IF(G4559&lt;11,'General Basis'!$B$39,IF(G4559&lt;18,'General Basis'!$B$40,IF(G4559&lt;26,'General Basis'!$B$41,IF(G4559&lt;31,'General Basis'!$B$42,IF(G4559&lt;36,'General Basis'!$B$43,IF(G4559&lt;41,'General Basis'!$B$44,IF(G4559&lt;46,'General Basis'!$B$45,IF(G4559&lt;51,'General Basis'!$B$46,IF(G4559&lt;56,'General Basis'!$B$47,IF(G4559&lt;60,'General Basis'!$B$48,IF(G4559&lt;65,'General Basis'!$B$49,'General Basis'!$B$50)))))))))))))</f>
        <v/>
      </c>
      <c r="BI4559" s="744" t="str">
        <f t="shared" si="1589"/>
        <v/>
      </c>
      <c r="BJ4559" s="747" t="str">
        <f t="shared" si="1596"/>
        <v/>
      </c>
      <c r="BK4559" s="498" t="str">
        <f t="shared" si="1590"/>
        <v/>
      </c>
      <c r="BL4559" s="498" t="str">
        <f t="shared" si="1591"/>
        <v/>
      </c>
    </row>
    <row r="4560" spans="1:64" x14ac:dyDescent="0.25">
      <c r="A4560" s="762">
        <f t="shared" si="1592"/>
        <v>4555</v>
      </c>
      <c r="B4560" s="229"/>
      <c r="C4560" s="223"/>
      <c r="D4560" s="224"/>
      <c r="E4560" s="225"/>
      <c r="F4560" s="1036" t="str">
        <f t="shared" ref="F4560:F4623" si="1598">IF(C4560="","",IF($B4560="","",((YEAR($F$3)-YEAR($B4560))+(MONTH($F$3)-MONTH($B4560))/12+(DAY($F$3)-DAY($B4560))/(DATE(YEAR($F$3),12,31)-DATE(YEAR($F$3),1,1)+1))))</f>
        <v/>
      </c>
      <c r="G4560" s="1037" t="str">
        <f t="shared" si="1593"/>
        <v/>
      </c>
      <c r="H4560" s="225"/>
      <c r="I4560" s="1013"/>
      <c r="J4560" s="1013"/>
      <c r="K4560" s="1028"/>
      <c r="L4560" s="1035" t="str">
        <f t="shared" si="1597"/>
        <v/>
      </c>
      <c r="S4560" s="498"/>
      <c r="AJ4560" s="498"/>
      <c r="AM4560" s="498">
        <f t="shared" si="1578"/>
        <v>0</v>
      </c>
      <c r="AN4560" s="498">
        <f t="shared" si="1579"/>
        <v>0</v>
      </c>
      <c r="AO4560" s="498">
        <f t="shared" si="1580"/>
        <v>0</v>
      </c>
      <c r="AP4560" s="498">
        <f t="shared" si="1577"/>
        <v>0</v>
      </c>
      <c r="AQ4560" s="498">
        <f t="shared" si="1594"/>
        <v>0</v>
      </c>
      <c r="AU4560" s="498">
        <f t="shared" si="1581"/>
        <v>0</v>
      </c>
      <c r="AV4560" s="498">
        <f t="shared" si="1582"/>
        <v>0</v>
      </c>
      <c r="AW4560" s="498">
        <f t="shared" si="1583"/>
        <v>0</v>
      </c>
      <c r="AX4560" s="498">
        <f t="shared" si="1584"/>
        <v>0</v>
      </c>
      <c r="AY4560" s="498">
        <f t="shared" si="1585"/>
        <v>0</v>
      </c>
      <c r="BB4560" s="498" t="str">
        <f t="shared" si="1586"/>
        <v/>
      </c>
      <c r="BC4560" s="743" t="str">
        <f t="shared" si="1587"/>
        <v/>
      </c>
      <c r="BD4560" s="743" t="str">
        <f t="shared" si="1588"/>
        <v/>
      </c>
      <c r="BE4560" s="743" t="str">
        <f>IF(D4560="","",VLOOKUP(D4560,'General Basis'!$J$39:$K$46,2,0))</f>
        <v/>
      </c>
      <c r="BF4560" s="744" t="str">
        <f>IF(D4560="","",VLOOKUP(D4560,'General Basis'!$J$39:$L$46,3,0))</f>
        <v/>
      </c>
      <c r="BG4560" s="744" t="str">
        <f t="shared" si="1595"/>
        <v/>
      </c>
      <c r="BH4560" s="744" t="str">
        <f>IF(G4560="","",IF(BF4560="Abu Dhabi",IF(G4560&lt;18,'General Basis'!$C$39,IF(G4560&lt;41,'General Basis'!$C$40,IF(G4560&lt;60,'General Basis'!$C$41,IF(G4560&lt;65,'General Basis'!$C$42,'General Basis'!$C$43)))),IF(G4560&lt;11,'General Basis'!$B$39,IF(G4560&lt;18,'General Basis'!$B$40,IF(G4560&lt;26,'General Basis'!$B$41,IF(G4560&lt;31,'General Basis'!$B$42,IF(G4560&lt;36,'General Basis'!$B$43,IF(G4560&lt;41,'General Basis'!$B$44,IF(G4560&lt;46,'General Basis'!$B$45,IF(G4560&lt;51,'General Basis'!$B$46,IF(G4560&lt;56,'General Basis'!$B$47,IF(G4560&lt;60,'General Basis'!$B$48,IF(G4560&lt;65,'General Basis'!$B$49,'General Basis'!$B$50)))))))))))))</f>
        <v/>
      </c>
      <c r="BI4560" s="744" t="str">
        <f t="shared" si="1589"/>
        <v/>
      </c>
      <c r="BJ4560" s="747" t="str">
        <f t="shared" si="1596"/>
        <v/>
      </c>
      <c r="BK4560" s="498" t="str">
        <f t="shared" si="1590"/>
        <v/>
      </c>
      <c r="BL4560" s="498" t="str">
        <f t="shared" si="1591"/>
        <v/>
      </c>
    </row>
    <row r="4561" spans="1:64" x14ac:dyDescent="0.25">
      <c r="A4561" s="762">
        <f t="shared" si="1592"/>
        <v>4556</v>
      </c>
      <c r="B4561" s="229"/>
      <c r="C4561" s="223"/>
      <c r="D4561" s="224"/>
      <c r="E4561" s="225"/>
      <c r="F4561" s="1036" t="str">
        <f t="shared" si="1598"/>
        <v/>
      </c>
      <c r="G4561" s="1037" t="str">
        <f t="shared" si="1593"/>
        <v/>
      </c>
      <c r="H4561" s="225"/>
      <c r="I4561" s="1013"/>
      <c r="J4561" s="1013"/>
      <c r="K4561" s="1028"/>
      <c r="L4561" s="1035" t="str">
        <f t="shared" si="1597"/>
        <v/>
      </c>
      <c r="S4561" s="498"/>
      <c r="AJ4561" s="498"/>
      <c r="AM4561" s="498">
        <f t="shared" si="1578"/>
        <v>0</v>
      </c>
      <c r="AN4561" s="498">
        <f t="shared" si="1579"/>
        <v>0</v>
      </c>
      <c r="AO4561" s="498">
        <f t="shared" si="1580"/>
        <v>0</v>
      </c>
      <c r="AP4561" s="498">
        <f t="shared" si="1577"/>
        <v>0</v>
      </c>
      <c r="AQ4561" s="498">
        <f t="shared" si="1594"/>
        <v>0</v>
      </c>
      <c r="AU4561" s="498">
        <f t="shared" si="1581"/>
        <v>0</v>
      </c>
      <c r="AV4561" s="498">
        <f t="shared" si="1582"/>
        <v>0</v>
      </c>
      <c r="AW4561" s="498">
        <f t="shared" si="1583"/>
        <v>0</v>
      </c>
      <c r="AX4561" s="498">
        <f t="shared" si="1584"/>
        <v>0</v>
      </c>
      <c r="AY4561" s="498">
        <f t="shared" si="1585"/>
        <v>0</v>
      </c>
      <c r="BB4561" s="498" t="str">
        <f t="shared" si="1586"/>
        <v/>
      </c>
      <c r="BC4561" s="743" t="str">
        <f t="shared" si="1587"/>
        <v/>
      </c>
      <c r="BD4561" s="743" t="str">
        <f t="shared" si="1588"/>
        <v/>
      </c>
      <c r="BE4561" s="743" t="str">
        <f>IF(D4561="","",VLOOKUP(D4561,'General Basis'!$J$39:$K$46,2,0))</f>
        <v/>
      </c>
      <c r="BF4561" s="744" t="str">
        <f>IF(D4561="","",VLOOKUP(D4561,'General Basis'!$J$39:$L$46,3,0))</f>
        <v/>
      </c>
      <c r="BG4561" s="744" t="str">
        <f t="shared" si="1595"/>
        <v/>
      </c>
      <c r="BH4561" s="744" t="str">
        <f>IF(G4561="","",IF(BF4561="Abu Dhabi",IF(G4561&lt;18,'General Basis'!$C$39,IF(G4561&lt;41,'General Basis'!$C$40,IF(G4561&lt;60,'General Basis'!$C$41,IF(G4561&lt;65,'General Basis'!$C$42,'General Basis'!$C$43)))),IF(G4561&lt;11,'General Basis'!$B$39,IF(G4561&lt;18,'General Basis'!$B$40,IF(G4561&lt;26,'General Basis'!$B$41,IF(G4561&lt;31,'General Basis'!$B$42,IF(G4561&lt;36,'General Basis'!$B$43,IF(G4561&lt;41,'General Basis'!$B$44,IF(G4561&lt;46,'General Basis'!$B$45,IF(G4561&lt;51,'General Basis'!$B$46,IF(G4561&lt;56,'General Basis'!$B$47,IF(G4561&lt;60,'General Basis'!$B$48,IF(G4561&lt;65,'General Basis'!$B$49,'General Basis'!$B$50)))))))))))))</f>
        <v/>
      </c>
      <c r="BI4561" s="744" t="str">
        <f t="shared" si="1589"/>
        <v/>
      </c>
      <c r="BJ4561" s="747" t="str">
        <f t="shared" si="1596"/>
        <v/>
      </c>
      <c r="BK4561" s="498" t="str">
        <f t="shared" si="1590"/>
        <v/>
      </c>
      <c r="BL4561" s="498" t="str">
        <f t="shared" si="1591"/>
        <v/>
      </c>
    </row>
    <row r="4562" spans="1:64" x14ac:dyDescent="0.25">
      <c r="A4562" s="762">
        <f t="shared" si="1592"/>
        <v>4557</v>
      </c>
      <c r="B4562" s="229"/>
      <c r="C4562" s="223"/>
      <c r="D4562" s="224"/>
      <c r="E4562" s="225"/>
      <c r="F4562" s="1036" t="str">
        <f t="shared" si="1598"/>
        <v/>
      </c>
      <c r="G4562" s="1037" t="str">
        <f t="shared" si="1593"/>
        <v/>
      </c>
      <c r="H4562" s="225"/>
      <c r="I4562" s="1013"/>
      <c r="J4562" s="1013"/>
      <c r="K4562" s="1028"/>
      <c r="L4562" s="1035" t="str">
        <f t="shared" si="1597"/>
        <v/>
      </c>
      <c r="S4562" s="498"/>
      <c r="AJ4562" s="498"/>
      <c r="AM4562" s="498">
        <f t="shared" si="1578"/>
        <v>0</v>
      </c>
      <c r="AN4562" s="498">
        <f t="shared" si="1579"/>
        <v>0</v>
      </c>
      <c r="AO4562" s="498">
        <f t="shared" si="1580"/>
        <v>0</v>
      </c>
      <c r="AP4562" s="498">
        <f t="shared" si="1577"/>
        <v>0</v>
      </c>
      <c r="AQ4562" s="498">
        <f t="shared" si="1594"/>
        <v>0</v>
      </c>
      <c r="AU4562" s="498">
        <f t="shared" si="1581"/>
        <v>0</v>
      </c>
      <c r="AV4562" s="498">
        <f t="shared" si="1582"/>
        <v>0</v>
      </c>
      <c r="AW4562" s="498">
        <f t="shared" si="1583"/>
        <v>0</v>
      </c>
      <c r="AX4562" s="498">
        <f t="shared" si="1584"/>
        <v>0</v>
      </c>
      <c r="AY4562" s="498">
        <f t="shared" si="1585"/>
        <v>0</v>
      </c>
      <c r="BB4562" s="498" t="str">
        <f t="shared" si="1586"/>
        <v/>
      </c>
      <c r="BC4562" s="743" t="str">
        <f t="shared" si="1587"/>
        <v/>
      </c>
      <c r="BD4562" s="743" t="str">
        <f t="shared" si="1588"/>
        <v/>
      </c>
      <c r="BE4562" s="743" t="str">
        <f>IF(D4562="","",VLOOKUP(D4562,'General Basis'!$J$39:$K$46,2,0))</f>
        <v/>
      </c>
      <c r="BF4562" s="744" t="str">
        <f>IF(D4562="","",VLOOKUP(D4562,'General Basis'!$J$39:$L$46,3,0))</f>
        <v/>
      </c>
      <c r="BG4562" s="744" t="str">
        <f t="shared" si="1595"/>
        <v/>
      </c>
      <c r="BH4562" s="744" t="str">
        <f>IF(G4562="","",IF(BF4562="Abu Dhabi",IF(G4562&lt;18,'General Basis'!$C$39,IF(G4562&lt;41,'General Basis'!$C$40,IF(G4562&lt;60,'General Basis'!$C$41,IF(G4562&lt;65,'General Basis'!$C$42,'General Basis'!$C$43)))),IF(G4562&lt;11,'General Basis'!$B$39,IF(G4562&lt;18,'General Basis'!$B$40,IF(G4562&lt;26,'General Basis'!$B$41,IF(G4562&lt;31,'General Basis'!$B$42,IF(G4562&lt;36,'General Basis'!$B$43,IF(G4562&lt;41,'General Basis'!$B$44,IF(G4562&lt;46,'General Basis'!$B$45,IF(G4562&lt;51,'General Basis'!$B$46,IF(G4562&lt;56,'General Basis'!$B$47,IF(G4562&lt;60,'General Basis'!$B$48,IF(G4562&lt;65,'General Basis'!$B$49,'General Basis'!$B$50)))))))))))))</f>
        <v/>
      </c>
      <c r="BI4562" s="744" t="str">
        <f t="shared" si="1589"/>
        <v/>
      </c>
      <c r="BJ4562" s="747" t="str">
        <f t="shared" si="1596"/>
        <v/>
      </c>
      <c r="BK4562" s="498" t="str">
        <f t="shared" si="1590"/>
        <v/>
      </c>
      <c r="BL4562" s="498" t="str">
        <f t="shared" si="1591"/>
        <v/>
      </c>
    </row>
    <row r="4563" spans="1:64" x14ac:dyDescent="0.25">
      <c r="A4563" s="762">
        <f t="shared" si="1592"/>
        <v>4558</v>
      </c>
      <c r="B4563" s="229"/>
      <c r="C4563" s="223"/>
      <c r="D4563" s="224"/>
      <c r="E4563" s="225"/>
      <c r="F4563" s="1036" t="str">
        <f t="shared" si="1598"/>
        <v/>
      </c>
      <c r="G4563" s="1037" t="str">
        <f t="shared" si="1593"/>
        <v/>
      </c>
      <c r="H4563" s="225"/>
      <c r="I4563" s="1013"/>
      <c r="J4563" s="1013"/>
      <c r="K4563" s="1028"/>
      <c r="L4563" s="1035" t="str">
        <f t="shared" si="1597"/>
        <v/>
      </c>
      <c r="S4563" s="498"/>
      <c r="AJ4563" s="498"/>
      <c r="AM4563" s="498">
        <f t="shared" si="1578"/>
        <v>0</v>
      </c>
      <c r="AN4563" s="498">
        <f t="shared" si="1579"/>
        <v>0</v>
      </c>
      <c r="AO4563" s="498">
        <f t="shared" si="1580"/>
        <v>0</v>
      </c>
      <c r="AP4563" s="498">
        <f t="shared" ref="AP4563:AP4626" si="1599">IF(ISBLANK($B4563),0,IF(OR($C4563="M",$C4563="F"),0,1))</f>
        <v>0</v>
      </c>
      <c r="AQ4563" s="498">
        <f t="shared" si="1594"/>
        <v>0</v>
      </c>
      <c r="AU4563" s="498">
        <f t="shared" si="1581"/>
        <v>0</v>
      </c>
      <c r="AV4563" s="498">
        <f t="shared" si="1582"/>
        <v>0</v>
      </c>
      <c r="AW4563" s="498">
        <f t="shared" si="1583"/>
        <v>0</v>
      </c>
      <c r="AX4563" s="498">
        <f t="shared" si="1584"/>
        <v>0</v>
      </c>
      <c r="AY4563" s="498">
        <f t="shared" si="1585"/>
        <v>0</v>
      </c>
      <c r="BB4563" s="498" t="str">
        <f t="shared" si="1586"/>
        <v/>
      </c>
      <c r="BC4563" s="743" t="str">
        <f t="shared" si="1587"/>
        <v/>
      </c>
      <c r="BD4563" s="743" t="str">
        <f t="shared" si="1588"/>
        <v/>
      </c>
      <c r="BE4563" s="743" t="str">
        <f>IF(D4563="","",VLOOKUP(D4563,'General Basis'!$J$39:$K$46,2,0))</f>
        <v/>
      </c>
      <c r="BF4563" s="744" t="str">
        <f>IF(D4563="","",VLOOKUP(D4563,'General Basis'!$J$39:$L$46,3,0))</f>
        <v/>
      </c>
      <c r="BG4563" s="744" t="str">
        <f t="shared" si="1595"/>
        <v/>
      </c>
      <c r="BH4563" s="744" t="str">
        <f>IF(G4563="","",IF(BF4563="Abu Dhabi",IF(G4563&lt;18,'General Basis'!$C$39,IF(G4563&lt;41,'General Basis'!$C$40,IF(G4563&lt;60,'General Basis'!$C$41,IF(G4563&lt;65,'General Basis'!$C$42,'General Basis'!$C$43)))),IF(G4563&lt;11,'General Basis'!$B$39,IF(G4563&lt;18,'General Basis'!$B$40,IF(G4563&lt;26,'General Basis'!$B$41,IF(G4563&lt;31,'General Basis'!$B$42,IF(G4563&lt;36,'General Basis'!$B$43,IF(G4563&lt;41,'General Basis'!$B$44,IF(G4563&lt;46,'General Basis'!$B$45,IF(G4563&lt;51,'General Basis'!$B$46,IF(G4563&lt;56,'General Basis'!$B$47,IF(G4563&lt;60,'General Basis'!$B$48,IF(G4563&lt;65,'General Basis'!$B$49,'General Basis'!$B$50)))))))))))))</f>
        <v/>
      </c>
      <c r="BI4563" s="744" t="str">
        <f t="shared" si="1589"/>
        <v/>
      </c>
      <c r="BJ4563" s="747" t="str">
        <f t="shared" si="1596"/>
        <v/>
      </c>
      <c r="BK4563" s="498" t="str">
        <f t="shared" si="1590"/>
        <v/>
      </c>
      <c r="BL4563" s="498" t="str">
        <f t="shared" si="1591"/>
        <v/>
      </c>
    </row>
    <row r="4564" spans="1:64" x14ac:dyDescent="0.25">
      <c r="A4564" s="762">
        <f t="shared" si="1592"/>
        <v>4559</v>
      </c>
      <c r="B4564" s="229"/>
      <c r="C4564" s="223"/>
      <c r="D4564" s="224"/>
      <c r="E4564" s="225"/>
      <c r="F4564" s="1036" t="str">
        <f t="shared" si="1598"/>
        <v/>
      </c>
      <c r="G4564" s="1037" t="str">
        <f t="shared" si="1593"/>
        <v/>
      </c>
      <c r="H4564" s="225"/>
      <c r="I4564" s="1013"/>
      <c r="J4564" s="1013"/>
      <c r="K4564" s="1028"/>
      <c r="L4564" s="1035" t="str">
        <f t="shared" si="1597"/>
        <v/>
      </c>
      <c r="S4564" s="498"/>
      <c r="AJ4564" s="498"/>
      <c r="AM4564" s="498">
        <f t="shared" si="1578"/>
        <v>0</v>
      </c>
      <c r="AN4564" s="498">
        <f t="shared" si="1579"/>
        <v>0</v>
      </c>
      <c r="AO4564" s="498">
        <f t="shared" si="1580"/>
        <v>0</v>
      </c>
      <c r="AP4564" s="498">
        <f t="shared" si="1599"/>
        <v>0</v>
      </c>
      <c r="AQ4564" s="498">
        <f t="shared" si="1594"/>
        <v>0</v>
      </c>
      <c r="AU4564" s="498">
        <f t="shared" si="1581"/>
        <v>0</v>
      </c>
      <c r="AV4564" s="498">
        <f t="shared" si="1582"/>
        <v>0</v>
      </c>
      <c r="AW4564" s="498">
        <f t="shared" si="1583"/>
        <v>0</v>
      </c>
      <c r="AX4564" s="498">
        <f t="shared" si="1584"/>
        <v>0</v>
      </c>
      <c r="AY4564" s="498">
        <f t="shared" si="1585"/>
        <v>0</v>
      </c>
      <c r="BB4564" s="498" t="str">
        <f t="shared" si="1586"/>
        <v/>
      </c>
      <c r="BC4564" s="743" t="str">
        <f t="shared" si="1587"/>
        <v/>
      </c>
      <c r="BD4564" s="743" t="str">
        <f t="shared" si="1588"/>
        <v/>
      </c>
      <c r="BE4564" s="743" t="str">
        <f>IF(D4564="","",VLOOKUP(D4564,'General Basis'!$J$39:$K$46,2,0))</f>
        <v/>
      </c>
      <c r="BF4564" s="744" t="str">
        <f>IF(D4564="","",VLOOKUP(D4564,'General Basis'!$J$39:$L$46,3,0))</f>
        <v/>
      </c>
      <c r="BG4564" s="744" t="str">
        <f t="shared" si="1595"/>
        <v/>
      </c>
      <c r="BH4564" s="744" t="str">
        <f>IF(G4564="","",IF(BF4564="Abu Dhabi",IF(G4564&lt;18,'General Basis'!$C$39,IF(G4564&lt;41,'General Basis'!$C$40,IF(G4564&lt;60,'General Basis'!$C$41,IF(G4564&lt;65,'General Basis'!$C$42,'General Basis'!$C$43)))),IF(G4564&lt;11,'General Basis'!$B$39,IF(G4564&lt;18,'General Basis'!$B$40,IF(G4564&lt;26,'General Basis'!$B$41,IF(G4564&lt;31,'General Basis'!$B$42,IF(G4564&lt;36,'General Basis'!$B$43,IF(G4564&lt;41,'General Basis'!$B$44,IF(G4564&lt;46,'General Basis'!$B$45,IF(G4564&lt;51,'General Basis'!$B$46,IF(G4564&lt;56,'General Basis'!$B$47,IF(G4564&lt;60,'General Basis'!$B$48,IF(G4564&lt;65,'General Basis'!$B$49,'General Basis'!$B$50)))))))))))))</f>
        <v/>
      </c>
      <c r="BI4564" s="744" t="str">
        <f t="shared" si="1589"/>
        <v/>
      </c>
      <c r="BJ4564" s="747" t="str">
        <f t="shared" si="1596"/>
        <v/>
      </c>
      <c r="BK4564" s="498" t="str">
        <f t="shared" si="1590"/>
        <v/>
      </c>
      <c r="BL4564" s="498" t="str">
        <f t="shared" si="1591"/>
        <v/>
      </c>
    </row>
    <row r="4565" spans="1:64" x14ac:dyDescent="0.25">
      <c r="A4565" s="762">
        <f t="shared" si="1592"/>
        <v>4560</v>
      </c>
      <c r="B4565" s="229"/>
      <c r="C4565" s="223"/>
      <c r="D4565" s="224"/>
      <c r="E4565" s="225"/>
      <c r="F4565" s="1036" t="str">
        <f t="shared" si="1598"/>
        <v/>
      </c>
      <c r="G4565" s="1037" t="str">
        <f t="shared" si="1593"/>
        <v/>
      </c>
      <c r="H4565" s="225"/>
      <c r="I4565" s="1013"/>
      <c r="J4565" s="1013"/>
      <c r="K4565" s="1028"/>
      <c r="L4565" s="1035" t="str">
        <f t="shared" si="1597"/>
        <v/>
      </c>
      <c r="S4565" s="498"/>
      <c r="AJ4565" s="498"/>
      <c r="AM4565" s="498">
        <f t="shared" si="1578"/>
        <v>0</v>
      </c>
      <c r="AN4565" s="498">
        <f t="shared" si="1579"/>
        <v>0</v>
      </c>
      <c r="AO4565" s="498">
        <f t="shared" si="1580"/>
        <v>0</v>
      </c>
      <c r="AP4565" s="498">
        <f t="shared" si="1599"/>
        <v>0</v>
      </c>
      <c r="AQ4565" s="498">
        <f t="shared" si="1594"/>
        <v>0</v>
      </c>
      <c r="AU4565" s="498">
        <f t="shared" si="1581"/>
        <v>0</v>
      </c>
      <c r="AV4565" s="498">
        <f t="shared" si="1582"/>
        <v>0</v>
      </c>
      <c r="AW4565" s="498">
        <f t="shared" si="1583"/>
        <v>0</v>
      </c>
      <c r="AX4565" s="498">
        <f t="shared" si="1584"/>
        <v>0</v>
      </c>
      <c r="AY4565" s="498">
        <f t="shared" si="1585"/>
        <v>0</v>
      </c>
      <c r="BB4565" s="498" t="str">
        <f t="shared" si="1586"/>
        <v/>
      </c>
      <c r="BC4565" s="743" t="str">
        <f t="shared" si="1587"/>
        <v/>
      </c>
      <c r="BD4565" s="743" t="str">
        <f t="shared" si="1588"/>
        <v/>
      </c>
      <c r="BE4565" s="743" t="str">
        <f>IF(D4565="","",VLOOKUP(D4565,'General Basis'!$J$39:$K$46,2,0))</f>
        <v/>
      </c>
      <c r="BF4565" s="744" t="str">
        <f>IF(D4565="","",VLOOKUP(D4565,'General Basis'!$J$39:$L$46,3,0))</f>
        <v/>
      </c>
      <c r="BG4565" s="744" t="str">
        <f t="shared" si="1595"/>
        <v/>
      </c>
      <c r="BH4565" s="744" t="str">
        <f>IF(G4565="","",IF(BF4565="Abu Dhabi",IF(G4565&lt;18,'General Basis'!$C$39,IF(G4565&lt;41,'General Basis'!$C$40,IF(G4565&lt;60,'General Basis'!$C$41,IF(G4565&lt;65,'General Basis'!$C$42,'General Basis'!$C$43)))),IF(G4565&lt;11,'General Basis'!$B$39,IF(G4565&lt;18,'General Basis'!$B$40,IF(G4565&lt;26,'General Basis'!$B$41,IF(G4565&lt;31,'General Basis'!$B$42,IF(G4565&lt;36,'General Basis'!$B$43,IF(G4565&lt;41,'General Basis'!$B$44,IF(G4565&lt;46,'General Basis'!$B$45,IF(G4565&lt;51,'General Basis'!$B$46,IF(G4565&lt;56,'General Basis'!$B$47,IF(G4565&lt;60,'General Basis'!$B$48,IF(G4565&lt;65,'General Basis'!$B$49,'General Basis'!$B$50)))))))))))))</f>
        <v/>
      </c>
      <c r="BI4565" s="744" t="str">
        <f t="shared" si="1589"/>
        <v/>
      </c>
      <c r="BJ4565" s="747" t="str">
        <f t="shared" si="1596"/>
        <v/>
      </c>
      <c r="BK4565" s="498" t="str">
        <f t="shared" si="1590"/>
        <v/>
      </c>
      <c r="BL4565" s="498" t="str">
        <f t="shared" si="1591"/>
        <v/>
      </c>
    </row>
    <row r="4566" spans="1:64" x14ac:dyDescent="0.25">
      <c r="A4566" s="762">
        <f t="shared" si="1592"/>
        <v>4561</v>
      </c>
      <c r="B4566" s="229"/>
      <c r="C4566" s="223"/>
      <c r="D4566" s="224"/>
      <c r="E4566" s="225"/>
      <c r="F4566" s="1036" t="str">
        <f t="shared" si="1598"/>
        <v/>
      </c>
      <c r="G4566" s="1037" t="str">
        <f t="shared" si="1593"/>
        <v/>
      </c>
      <c r="H4566" s="225"/>
      <c r="I4566" s="1013"/>
      <c r="J4566" s="1013"/>
      <c r="K4566" s="1028"/>
      <c r="L4566" s="1035" t="str">
        <f t="shared" si="1597"/>
        <v/>
      </c>
      <c r="S4566" s="498"/>
      <c r="AJ4566" s="498"/>
      <c r="AM4566" s="498">
        <f t="shared" si="1578"/>
        <v>0</v>
      </c>
      <c r="AN4566" s="498">
        <f t="shared" si="1579"/>
        <v>0</v>
      </c>
      <c r="AO4566" s="498">
        <f t="shared" si="1580"/>
        <v>0</v>
      </c>
      <c r="AP4566" s="498">
        <f t="shared" si="1599"/>
        <v>0</v>
      </c>
      <c r="AQ4566" s="498">
        <f t="shared" si="1594"/>
        <v>0</v>
      </c>
      <c r="AU4566" s="498">
        <f t="shared" si="1581"/>
        <v>0</v>
      </c>
      <c r="AV4566" s="498">
        <f t="shared" si="1582"/>
        <v>0</v>
      </c>
      <c r="AW4566" s="498">
        <f t="shared" si="1583"/>
        <v>0</v>
      </c>
      <c r="AX4566" s="498">
        <f t="shared" si="1584"/>
        <v>0</v>
      </c>
      <c r="AY4566" s="498">
        <f t="shared" si="1585"/>
        <v>0</v>
      </c>
      <c r="BB4566" s="498" t="str">
        <f t="shared" si="1586"/>
        <v/>
      </c>
      <c r="BC4566" s="743" t="str">
        <f t="shared" si="1587"/>
        <v/>
      </c>
      <c r="BD4566" s="743" t="str">
        <f t="shared" si="1588"/>
        <v/>
      </c>
      <c r="BE4566" s="743" t="str">
        <f>IF(D4566="","",VLOOKUP(D4566,'General Basis'!$J$39:$K$46,2,0))</f>
        <v/>
      </c>
      <c r="BF4566" s="744" t="str">
        <f>IF(D4566="","",VLOOKUP(D4566,'General Basis'!$J$39:$L$46,3,0))</f>
        <v/>
      </c>
      <c r="BG4566" s="744" t="str">
        <f t="shared" si="1595"/>
        <v/>
      </c>
      <c r="BH4566" s="744" t="str">
        <f>IF(G4566="","",IF(BF4566="Abu Dhabi",IF(G4566&lt;18,'General Basis'!$C$39,IF(G4566&lt;41,'General Basis'!$C$40,IF(G4566&lt;60,'General Basis'!$C$41,IF(G4566&lt;65,'General Basis'!$C$42,'General Basis'!$C$43)))),IF(G4566&lt;11,'General Basis'!$B$39,IF(G4566&lt;18,'General Basis'!$B$40,IF(G4566&lt;26,'General Basis'!$B$41,IF(G4566&lt;31,'General Basis'!$B$42,IF(G4566&lt;36,'General Basis'!$B$43,IF(G4566&lt;41,'General Basis'!$B$44,IF(G4566&lt;46,'General Basis'!$B$45,IF(G4566&lt;51,'General Basis'!$B$46,IF(G4566&lt;56,'General Basis'!$B$47,IF(G4566&lt;60,'General Basis'!$B$48,IF(G4566&lt;65,'General Basis'!$B$49,'General Basis'!$B$50)))))))))))))</f>
        <v/>
      </c>
      <c r="BI4566" s="744" t="str">
        <f t="shared" si="1589"/>
        <v/>
      </c>
      <c r="BJ4566" s="747" t="str">
        <f t="shared" si="1596"/>
        <v/>
      </c>
      <c r="BK4566" s="498" t="str">
        <f t="shared" si="1590"/>
        <v/>
      </c>
      <c r="BL4566" s="498" t="str">
        <f t="shared" si="1591"/>
        <v/>
      </c>
    </row>
    <row r="4567" spans="1:64" x14ac:dyDescent="0.25">
      <c r="A4567" s="762">
        <f t="shared" si="1592"/>
        <v>4562</v>
      </c>
      <c r="B4567" s="229"/>
      <c r="C4567" s="223"/>
      <c r="D4567" s="224"/>
      <c r="E4567" s="225"/>
      <c r="F4567" s="1036" t="str">
        <f t="shared" si="1598"/>
        <v/>
      </c>
      <c r="G4567" s="1037" t="str">
        <f t="shared" si="1593"/>
        <v/>
      </c>
      <c r="H4567" s="225"/>
      <c r="I4567" s="1013"/>
      <c r="J4567" s="1013"/>
      <c r="K4567" s="1028"/>
      <c r="L4567" s="1035" t="str">
        <f t="shared" si="1597"/>
        <v/>
      </c>
      <c r="S4567" s="498"/>
      <c r="AJ4567" s="498"/>
      <c r="AM4567" s="498">
        <f t="shared" si="1578"/>
        <v>0</v>
      </c>
      <c r="AN4567" s="498">
        <f t="shared" si="1579"/>
        <v>0</v>
      </c>
      <c r="AO4567" s="498">
        <f t="shared" si="1580"/>
        <v>0</v>
      </c>
      <c r="AP4567" s="498">
        <f t="shared" si="1599"/>
        <v>0</v>
      </c>
      <c r="AQ4567" s="498">
        <f t="shared" si="1594"/>
        <v>0</v>
      </c>
      <c r="AU4567" s="498">
        <f t="shared" si="1581"/>
        <v>0</v>
      </c>
      <c r="AV4567" s="498">
        <f t="shared" si="1582"/>
        <v>0</v>
      </c>
      <c r="AW4567" s="498">
        <f t="shared" si="1583"/>
        <v>0</v>
      </c>
      <c r="AX4567" s="498">
        <f t="shared" si="1584"/>
        <v>0</v>
      </c>
      <c r="AY4567" s="498">
        <f t="shared" si="1585"/>
        <v>0</v>
      </c>
      <c r="BB4567" s="498" t="str">
        <f t="shared" si="1586"/>
        <v/>
      </c>
      <c r="BC4567" s="743" t="str">
        <f t="shared" si="1587"/>
        <v/>
      </c>
      <c r="BD4567" s="743" t="str">
        <f t="shared" si="1588"/>
        <v/>
      </c>
      <c r="BE4567" s="743" t="str">
        <f>IF(D4567="","",VLOOKUP(D4567,'General Basis'!$J$39:$K$46,2,0))</f>
        <v/>
      </c>
      <c r="BF4567" s="744" t="str">
        <f>IF(D4567="","",VLOOKUP(D4567,'General Basis'!$J$39:$L$46,3,0))</f>
        <v/>
      </c>
      <c r="BG4567" s="744" t="str">
        <f t="shared" si="1595"/>
        <v/>
      </c>
      <c r="BH4567" s="744" t="str">
        <f>IF(G4567="","",IF(BF4567="Abu Dhabi",IF(G4567&lt;18,'General Basis'!$C$39,IF(G4567&lt;41,'General Basis'!$C$40,IF(G4567&lt;60,'General Basis'!$C$41,IF(G4567&lt;65,'General Basis'!$C$42,'General Basis'!$C$43)))),IF(G4567&lt;11,'General Basis'!$B$39,IF(G4567&lt;18,'General Basis'!$B$40,IF(G4567&lt;26,'General Basis'!$B$41,IF(G4567&lt;31,'General Basis'!$B$42,IF(G4567&lt;36,'General Basis'!$B$43,IF(G4567&lt;41,'General Basis'!$B$44,IF(G4567&lt;46,'General Basis'!$B$45,IF(G4567&lt;51,'General Basis'!$B$46,IF(G4567&lt;56,'General Basis'!$B$47,IF(G4567&lt;60,'General Basis'!$B$48,IF(G4567&lt;65,'General Basis'!$B$49,'General Basis'!$B$50)))))))))))))</f>
        <v/>
      </c>
      <c r="BI4567" s="744" t="str">
        <f t="shared" si="1589"/>
        <v/>
      </c>
      <c r="BJ4567" s="747" t="str">
        <f t="shared" si="1596"/>
        <v/>
      </c>
      <c r="BK4567" s="498" t="str">
        <f t="shared" si="1590"/>
        <v/>
      </c>
      <c r="BL4567" s="498" t="str">
        <f t="shared" si="1591"/>
        <v/>
      </c>
    </row>
    <row r="4568" spans="1:64" x14ac:dyDescent="0.25">
      <c r="A4568" s="762">
        <f t="shared" si="1592"/>
        <v>4563</v>
      </c>
      <c r="B4568" s="229"/>
      <c r="C4568" s="223"/>
      <c r="D4568" s="224"/>
      <c r="E4568" s="225"/>
      <c r="F4568" s="1036" t="str">
        <f t="shared" si="1598"/>
        <v/>
      </c>
      <c r="G4568" s="1037" t="str">
        <f t="shared" si="1593"/>
        <v/>
      </c>
      <c r="H4568" s="225"/>
      <c r="I4568" s="1013"/>
      <c r="J4568" s="1013"/>
      <c r="K4568" s="1028"/>
      <c r="L4568" s="1035" t="str">
        <f t="shared" si="1597"/>
        <v/>
      </c>
      <c r="S4568" s="498"/>
      <c r="AJ4568" s="498"/>
      <c r="AM4568" s="498">
        <f t="shared" si="1578"/>
        <v>0</v>
      </c>
      <c r="AN4568" s="498">
        <f t="shared" si="1579"/>
        <v>0</v>
      </c>
      <c r="AO4568" s="498">
        <f t="shared" si="1580"/>
        <v>0</v>
      </c>
      <c r="AP4568" s="498">
        <f t="shared" si="1599"/>
        <v>0</v>
      </c>
      <c r="AQ4568" s="498">
        <f t="shared" si="1594"/>
        <v>0</v>
      </c>
      <c r="AU4568" s="498">
        <f t="shared" si="1581"/>
        <v>0</v>
      </c>
      <c r="AV4568" s="498">
        <f t="shared" si="1582"/>
        <v>0</v>
      </c>
      <c r="AW4568" s="498">
        <f t="shared" si="1583"/>
        <v>0</v>
      </c>
      <c r="AX4568" s="498">
        <f t="shared" si="1584"/>
        <v>0</v>
      </c>
      <c r="AY4568" s="498">
        <f t="shared" si="1585"/>
        <v>0</v>
      </c>
      <c r="BB4568" s="498" t="str">
        <f t="shared" si="1586"/>
        <v/>
      </c>
      <c r="BC4568" s="743" t="str">
        <f t="shared" si="1587"/>
        <v/>
      </c>
      <c r="BD4568" s="743" t="str">
        <f t="shared" si="1588"/>
        <v/>
      </c>
      <c r="BE4568" s="743" t="str">
        <f>IF(D4568="","",VLOOKUP(D4568,'General Basis'!$J$39:$K$46,2,0))</f>
        <v/>
      </c>
      <c r="BF4568" s="744" t="str">
        <f>IF(D4568="","",VLOOKUP(D4568,'General Basis'!$J$39:$L$46,3,0))</f>
        <v/>
      </c>
      <c r="BG4568" s="744" t="str">
        <f t="shared" si="1595"/>
        <v/>
      </c>
      <c r="BH4568" s="744" t="str">
        <f>IF(G4568="","",IF(BF4568="Abu Dhabi",IF(G4568&lt;18,'General Basis'!$C$39,IF(G4568&lt;41,'General Basis'!$C$40,IF(G4568&lt;60,'General Basis'!$C$41,IF(G4568&lt;65,'General Basis'!$C$42,'General Basis'!$C$43)))),IF(G4568&lt;11,'General Basis'!$B$39,IF(G4568&lt;18,'General Basis'!$B$40,IF(G4568&lt;26,'General Basis'!$B$41,IF(G4568&lt;31,'General Basis'!$B$42,IF(G4568&lt;36,'General Basis'!$B$43,IF(G4568&lt;41,'General Basis'!$B$44,IF(G4568&lt;46,'General Basis'!$B$45,IF(G4568&lt;51,'General Basis'!$B$46,IF(G4568&lt;56,'General Basis'!$B$47,IF(G4568&lt;60,'General Basis'!$B$48,IF(G4568&lt;65,'General Basis'!$B$49,'General Basis'!$B$50)))))))))))))</f>
        <v/>
      </c>
      <c r="BI4568" s="744" t="str">
        <f t="shared" si="1589"/>
        <v/>
      </c>
      <c r="BJ4568" s="747" t="str">
        <f t="shared" si="1596"/>
        <v/>
      </c>
      <c r="BK4568" s="498" t="str">
        <f t="shared" si="1590"/>
        <v/>
      </c>
      <c r="BL4568" s="498" t="str">
        <f t="shared" si="1591"/>
        <v/>
      </c>
    </row>
    <row r="4569" spans="1:64" x14ac:dyDescent="0.25">
      <c r="A4569" s="762">
        <f t="shared" si="1592"/>
        <v>4564</v>
      </c>
      <c r="B4569" s="229"/>
      <c r="C4569" s="223"/>
      <c r="D4569" s="224"/>
      <c r="E4569" s="225"/>
      <c r="F4569" s="1036" t="str">
        <f t="shared" si="1598"/>
        <v/>
      </c>
      <c r="G4569" s="1037" t="str">
        <f t="shared" si="1593"/>
        <v/>
      </c>
      <c r="H4569" s="225"/>
      <c r="I4569" s="1013"/>
      <c r="J4569" s="1013"/>
      <c r="K4569" s="1028"/>
      <c r="L4569" s="1035" t="str">
        <f t="shared" si="1597"/>
        <v/>
      </c>
      <c r="S4569" s="498"/>
      <c r="AJ4569" s="498"/>
      <c r="AM4569" s="498">
        <f t="shared" si="1578"/>
        <v>0</v>
      </c>
      <c r="AN4569" s="498">
        <f t="shared" si="1579"/>
        <v>0</v>
      </c>
      <c r="AO4569" s="498">
        <f t="shared" si="1580"/>
        <v>0</v>
      </c>
      <c r="AP4569" s="498">
        <f t="shared" si="1599"/>
        <v>0</v>
      </c>
      <c r="AQ4569" s="498">
        <f t="shared" si="1594"/>
        <v>0</v>
      </c>
      <c r="AU4569" s="498">
        <f t="shared" si="1581"/>
        <v>0</v>
      </c>
      <c r="AV4569" s="498">
        <f t="shared" si="1582"/>
        <v>0</v>
      </c>
      <c r="AW4569" s="498">
        <f t="shared" si="1583"/>
        <v>0</v>
      </c>
      <c r="AX4569" s="498">
        <f t="shared" si="1584"/>
        <v>0</v>
      </c>
      <c r="AY4569" s="498">
        <f t="shared" si="1585"/>
        <v>0</v>
      </c>
      <c r="BB4569" s="498" t="str">
        <f t="shared" si="1586"/>
        <v/>
      </c>
      <c r="BC4569" s="743" t="str">
        <f t="shared" si="1587"/>
        <v/>
      </c>
      <c r="BD4569" s="743" t="str">
        <f t="shared" si="1588"/>
        <v/>
      </c>
      <c r="BE4569" s="743" t="str">
        <f>IF(D4569="","",VLOOKUP(D4569,'General Basis'!$J$39:$K$46,2,0))</f>
        <v/>
      </c>
      <c r="BF4569" s="744" t="str">
        <f>IF(D4569="","",VLOOKUP(D4569,'General Basis'!$J$39:$L$46,3,0))</f>
        <v/>
      </c>
      <c r="BG4569" s="744" t="str">
        <f t="shared" si="1595"/>
        <v/>
      </c>
      <c r="BH4569" s="744" t="str">
        <f>IF(G4569="","",IF(BF4569="Abu Dhabi",IF(G4569&lt;18,'General Basis'!$C$39,IF(G4569&lt;41,'General Basis'!$C$40,IF(G4569&lt;60,'General Basis'!$C$41,IF(G4569&lt;65,'General Basis'!$C$42,'General Basis'!$C$43)))),IF(G4569&lt;11,'General Basis'!$B$39,IF(G4569&lt;18,'General Basis'!$B$40,IF(G4569&lt;26,'General Basis'!$B$41,IF(G4569&lt;31,'General Basis'!$B$42,IF(G4569&lt;36,'General Basis'!$B$43,IF(G4569&lt;41,'General Basis'!$B$44,IF(G4569&lt;46,'General Basis'!$B$45,IF(G4569&lt;51,'General Basis'!$B$46,IF(G4569&lt;56,'General Basis'!$B$47,IF(G4569&lt;60,'General Basis'!$B$48,IF(G4569&lt;65,'General Basis'!$B$49,'General Basis'!$B$50)))))))))))))</f>
        <v/>
      </c>
      <c r="BI4569" s="744" t="str">
        <f t="shared" si="1589"/>
        <v/>
      </c>
      <c r="BJ4569" s="747" t="str">
        <f t="shared" si="1596"/>
        <v/>
      </c>
      <c r="BK4569" s="498" t="str">
        <f t="shared" si="1590"/>
        <v/>
      </c>
      <c r="BL4569" s="498" t="str">
        <f t="shared" si="1591"/>
        <v/>
      </c>
    </row>
    <row r="4570" spans="1:64" x14ac:dyDescent="0.25">
      <c r="A4570" s="762">
        <f t="shared" si="1592"/>
        <v>4565</v>
      </c>
      <c r="B4570" s="229"/>
      <c r="C4570" s="223"/>
      <c r="D4570" s="224"/>
      <c r="E4570" s="225"/>
      <c r="F4570" s="1036" t="str">
        <f t="shared" si="1598"/>
        <v/>
      </c>
      <c r="G4570" s="1037" t="str">
        <f t="shared" si="1593"/>
        <v/>
      </c>
      <c r="H4570" s="225"/>
      <c r="I4570" s="1013"/>
      <c r="J4570" s="1013"/>
      <c r="K4570" s="1028"/>
      <c r="L4570" s="1035" t="str">
        <f t="shared" si="1597"/>
        <v/>
      </c>
      <c r="S4570" s="498"/>
      <c r="AJ4570" s="498"/>
      <c r="AM4570" s="498">
        <f t="shared" si="1578"/>
        <v>0</v>
      </c>
      <c r="AN4570" s="498">
        <f t="shared" si="1579"/>
        <v>0</v>
      </c>
      <c r="AO4570" s="498">
        <f t="shared" si="1580"/>
        <v>0</v>
      </c>
      <c r="AP4570" s="498">
        <f t="shared" si="1599"/>
        <v>0</v>
      </c>
      <c r="AQ4570" s="498">
        <f t="shared" si="1594"/>
        <v>0</v>
      </c>
      <c r="AU4570" s="498">
        <f t="shared" si="1581"/>
        <v>0</v>
      </c>
      <c r="AV4570" s="498">
        <f t="shared" si="1582"/>
        <v>0</v>
      </c>
      <c r="AW4570" s="498">
        <f t="shared" si="1583"/>
        <v>0</v>
      </c>
      <c r="AX4570" s="498">
        <f t="shared" si="1584"/>
        <v>0</v>
      </c>
      <c r="AY4570" s="498">
        <f t="shared" si="1585"/>
        <v>0</v>
      </c>
      <c r="BB4570" s="498" t="str">
        <f t="shared" si="1586"/>
        <v/>
      </c>
      <c r="BC4570" s="743" t="str">
        <f t="shared" si="1587"/>
        <v/>
      </c>
      <c r="BD4570" s="743" t="str">
        <f t="shared" si="1588"/>
        <v/>
      </c>
      <c r="BE4570" s="743" t="str">
        <f>IF(D4570="","",VLOOKUP(D4570,'General Basis'!$J$39:$K$46,2,0))</f>
        <v/>
      </c>
      <c r="BF4570" s="744" t="str">
        <f>IF(D4570="","",VLOOKUP(D4570,'General Basis'!$J$39:$L$46,3,0))</f>
        <v/>
      </c>
      <c r="BG4570" s="744" t="str">
        <f t="shared" si="1595"/>
        <v/>
      </c>
      <c r="BH4570" s="744" t="str">
        <f>IF(G4570="","",IF(BF4570="Abu Dhabi",IF(G4570&lt;18,'General Basis'!$C$39,IF(G4570&lt;41,'General Basis'!$C$40,IF(G4570&lt;60,'General Basis'!$C$41,IF(G4570&lt;65,'General Basis'!$C$42,'General Basis'!$C$43)))),IF(G4570&lt;11,'General Basis'!$B$39,IF(G4570&lt;18,'General Basis'!$B$40,IF(G4570&lt;26,'General Basis'!$B$41,IF(G4570&lt;31,'General Basis'!$B$42,IF(G4570&lt;36,'General Basis'!$B$43,IF(G4570&lt;41,'General Basis'!$B$44,IF(G4570&lt;46,'General Basis'!$B$45,IF(G4570&lt;51,'General Basis'!$B$46,IF(G4570&lt;56,'General Basis'!$B$47,IF(G4570&lt;60,'General Basis'!$B$48,IF(G4570&lt;65,'General Basis'!$B$49,'General Basis'!$B$50)))))))))))))</f>
        <v/>
      </c>
      <c r="BI4570" s="744" t="str">
        <f t="shared" si="1589"/>
        <v/>
      </c>
      <c r="BJ4570" s="747" t="str">
        <f t="shared" si="1596"/>
        <v/>
      </c>
      <c r="BK4570" s="498" t="str">
        <f t="shared" si="1590"/>
        <v/>
      </c>
      <c r="BL4570" s="498" t="str">
        <f t="shared" si="1591"/>
        <v/>
      </c>
    </row>
    <row r="4571" spans="1:64" x14ac:dyDescent="0.25">
      <c r="A4571" s="762">
        <f t="shared" si="1592"/>
        <v>4566</v>
      </c>
      <c r="B4571" s="229"/>
      <c r="C4571" s="223"/>
      <c r="D4571" s="224"/>
      <c r="E4571" s="225"/>
      <c r="F4571" s="1036" t="str">
        <f t="shared" si="1598"/>
        <v/>
      </c>
      <c r="G4571" s="1037" t="str">
        <f t="shared" si="1593"/>
        <v/>
      </c>
      <c r="H4571" s="225"/>
      <c r="I4571" s="1013"/>
      <c r="J4571" s="1013"/>
      <c r="K4571" s="1028"/>
      <c r="L4571" s="1035" t="str">
        <f t="shared" si="1597"/>
        <v/>
      </c>
      <c r="S4571" s="498"/>
      <c r="AJ4571" s="498"/>
      <c r="AM4571" s="498">
        <f t="shared" si="1578"/>
        <v>0</v>
      </c>
      <c r="AN4571" s="498">
        <f t="shared" si="1579"/>
        <v>0</v>
      </c>
      <c r="AO4571" s="498">
        <f t="shared" si="1580"/>
        <v>0</v>
      </c>
      <c r="AP4571" s="498">
        <f t="shared" si="1599"/>
        <v>0</v>
      </c>
      <c r="AQ4571" s="498">
        <f t="shared" si="1594"/>
        <v>0</v>
      </c>
      <c r="AU4571" s="498">
        <f t="shared" si="1581"/>
        <v>0</v>
      </c>
      <c r="AV4571" s="498">
        <f t="shared" si="1582"/>
        <v>0</v>
      </c>
      <c r="AW4571" s="498">
        <f t="shared" si="1583"/>
        <v>0</v>
      </c>
      <c r="AX4571" s="498">
        <f t="shared" si="1584"/>
        <v>0</v>
      </c>
      <c r="AY4571" s="498">
        <f t="shared" si="1585"/>
        <v>0</v>
      </c>
      <c r="BB4571" s="498" t="str">
        <f t="shared" si="1586"/>
        <v/>
      </c>
      <c r="BC4571" s="743" t="str">
        <f t="shared" si="1587"/>
        <v/>
      </c>
      <c r="BD4571" s="743" t="str">
        <f t="shared" si="1588"/>
        <v/>
      </c>
      <c r="BE4571" s="743" t="str">
        <f>IF(D4571="","",VLOOKUP(D4571,'General Basis'!$J$39:$K$46,2,0))</f>
        <v/>
      </c>
      <c r="BF4571" s="744" t="str">
        <f>IF(D4571="","",VLOOKUP(D4571,'General Basis'!$J$39:$L$46,3,0))</f>
        <v/>
      </c>
      <c r="BG4571" s="744" t="str">
        <f t="shared" si="1595"/>
        <v/>
      </c>
      <c r="BH4571" s="744" t="str">
        <f>IF(G4571="","",IF(BF4571="Abu Dhabi",IF(G4571&lt;18,'General Basis'!$C$39,IF(G4571&lt;41,'General Basis'!$C$40,IF(G4571&lt;60,'General Basis'!$C$41,IF(G4571&lt;65,'General Basis'!$C$42,'General Basis'!$C$43)))),IF(G4571&lt;11,'General Basis'!$B$39,IF(G4571&lt;18,'General Basis'!$B$40,IF(G4571&lt;26,'General Basis'!$B$41,IF(G4571&lt;31,'General Basis'!$B$42,IF(G4571&lt;36,'General Basis'!$B$43,IF(G4571&lt;41,'General Basis'!$B$44,IF(G4571&lt;46,'General Basis'!$B$45,IF(G4571&lt;51,'General Basis'!$B$46,IF(G4571&lt;56,'General Basis'!$B$47,IF(G4571&lt;60,'General Basis'!$B$48,IF(G4571&lt;65,'General Basis'!$B$49,'General Basis'!$B$50)))))))))))))</f>
        <v/>
      </c>
      <c r="BI4571" s="744" t="str">
        <f t="shared" si="1589"/>
        <v/>
      </c>
      <c r="BJ4571" s="747" t="str">
        <f t="shared" si="1596"/>
        <v/>
      </c>
      <c r="BK4571" s="498" t="str">
        <f t="shared" si="1590"/>
        <v/>
      </c>
      <c r="BL4571" s="498" t="str">
        <f t="shared" si="1591"/>
        <v/>
      </c>
    </row>
    <row r="4572" spans="1:64" x14ac:dyDescent="0.25">
      <c r="A4572" s="762">
        <f t="shared" si="1592"/>
        <v>4567</v>
      </c>
      <c r="B4572" s="229"/>
      <c r="C4572" s="223"/>
      <c r="D4572" s="224"/>
      <c r="E4572" s="225"/>
      <c r="F4572" s="1036" t="str">
        <f t="shared" si="1598"/>
        <v/>
      </c>
      <c r="G4572" s="1037" t="str">
        <f t="shared" si="1593"/>
        <v/>
      </c>
      <c r="H4572" s="225"/>
      <c r="I4572" s="1013"/>
      <c r="J4572" s="1013"/>
      <c r="K4572" s="1028"/>
      <c r="L4572" s="1035" t="str">
        <f t="shared" si="1597"/>
        <v/>
      </c>
      <c r="S4572" s="498"/>
      <c r="AJ4572" s="498"/>
      <c r="AM4572" s="498">
        <f t="shared" si="1578"/>
        <v>0</v>
      </c>
      <c r="AN4572" s="498">
        <f t="shared" si="1579"/>
        <v>0</v>
      </c>
      <c r="AO4572" s="498">
        <f t="shared" si="1580"/>
        <v>0</v>
      </c>
      <c r="AP4572" s="498">
        <f t="shared" si="1599"/>
        <v>0</v>
      </c>
      <c r="AQ4572" s="498">
        <f t="shared" si="1594"/>
        <v>0</v>
      </c>
      <c r="AU4572" s="498">
        <f t="shared" si="1581"/>
        <v>0</v>
      </c>
      <c r="AV4572" s="498">
        <f t="shared" si="1582"/>
        <v>0</v>
      </c>
      <c r="AW4572" s="498">
        <f t="shared" si="1583"/>
        <v>0</v>
      </c>
      <c r="AX4572" s="498">
        <f t="shared" si="1584"/>
        <v>0</v>
      </c>
      <c r="AY4572" s="498">
        <f t="shared" si="1585"/>
        <v>0</v>
      </c>
      <c r="BB4572" s="498" t="str">
        <f t="shared" si="1586"/>
        <v/>
      </c>
      <c r="BC4572" s="743" t="str">
        <f t="shared" si="1587"/>
        <v/>
      </c>
      <c r="BD4572" s="743" t="str">
        <f t="shared" si="1588"/>
        <v/>
      </c>
      <c r="BE4572" s="743" t="str">
        <f>IF(D4572="","",VLOOKUP(D4572,'General Basis'!$J$39:$K$46,2,0))</f>
        <v/>
      </c>
      <c r="BF4572" s="744" t="str">
        <f>IF(D4572="","",VLOOKUP(D4572,'General Basis'!$J$39:$L$46,3,0))</f>
        <v/>
      </c>
      <c r="BG4572" s="744" t="str">
        <f t="shared" si="1595"/>
        <v/>
      </c>
      <c r="BH4572" s="744" t="str">
        <f>IF(G4572="","",IF(BF4572="Abu Dhabi",IF(G4572&lt;18,'General Basis'!$C$39,IF(G4572&lt;41,'General Basis'!$C$40,IF(G4572&lt;60,'General Basis'!$C$41,IF(G4572&lt;65,'General Basis'!$C$42,'General Basis'!$C$43)))),IF(G4572&lt;11,'General Basis'!$B$39,IF(G4572&lt;18,'General Basis'!$B$40,IF(G4572&lt;26,'General Basis'!$B$41,IF(G4572&lt;31,'General Basis'!$B$42,IF(G4572&lt;36,'General Basis'!$B$43,IF(G4572&lt;41,'General Basis'!$B$44,IF(G4572&lt;46,'General Basis'!$B$45,IF(G4572&lt;51,'General Basis'!$B$46,IF(G4572&lt;56,'General Basis'!$B$47,IF(G4572&lt;60,'General Basis'!$B$48,IF(G4572&lt;65,'General Basis'!$B$49,'General Basis'!$B$50)))))))))))))</f>
        <v/>
      </c>
      <c r="BI4572" s="744" t="str">
        <f t="shared" si="1589"/>
        <v/>
      </c>
      <c r="BJ4572" s="747" t="str">
        <f t="shared" si="1596"/>
        <v/>
      </c>
      <c r="BK4572" s="498" t="str">
        <f t="shared" si="1590"/>
        <v/>
      </c>
      <c r="BL4572" s="498" t="str">
        <f t="shared" si="1591"/>
        <v/>
      </c>
    </row>
    <row r="4573" spans="1:64" x14ac:dyDescent="0.25">
      <c r="A4573" s="762">
        <f t="shared" si="1592"/>
        <v>4568</v>
      </c>
      <c r="B4573" s="229"/>
      <c r="C4573" s="223"/>
      <c r="D4573" s="224"/>
      <c r="E4573" s="225"/>
      <c r="F4573" s="1036" t="str">
        <f t="shared" si="1598"/>
        <v/>
      </c>
      <c r="G4573" s="1037" t="str">
        <f t="shared" si="1593"/>
        <v/>
      </c>
      <c r="H4573" s="225"/>
      <c r="I4573" s="1013"/>
      <c r="J4573" s="1013"/>
      <c r="K4573" s="1028"/>
      <c r="L4573" s="1035" t="str">
        <f t="shared" si="1597"/>
        <v/>
      </c>
      <c r="S4573" s="498"/>
      <c r="AJ4573" s="498"/>
      <c r="AM4573" s="498">
        <f t="shared" si="1578"/>
        <v>0</v>
      </c>
      <c r="AN4573" s="498">
        <f t="shared" si="1579"/>
        <v>0</v>
      </c>
      <c r="AO4573" s="498">
        <f t="shared" si="1580"/>
        <v>0</v>
      </c>
      <c r="AP4573" s="498">
        <f t="shared" si="1599"/>
        <v>0</v>
      </c>
      <c r="AQ4573" s="498">
        <f t="shared" si="1594"/>
        <v>0</v>
      </c>
      <c r="AU4573" s="498">
        <f t="shared" si="1581"/>
        <v>0</v>
      </c>
      <c r="AV4573" s="498">
        <f t="shared" si="1582"/>
        <v>0</v>
      </c>
      <c r="AW4573" s="498">
        <f t="shared" si="1583"/>
        <v>0</v>
      </c>
      <c r="AX4573" s="498">
        <f t="shared" si="1584"/>
        <v>0</v>
      </c>
      <c r="AY4573" s="498">
        <f t="shared" si="1585"/>
        <v>0</v>
      </c>
      <c r="BB4573" s="498" t="str">
        <f t="shared" si="1586"/>
        <v/>
      </c>
      <c r="BC4573" s="743" t="str">
        <f t="shared" si="1587"/>
        <v/>
      </c>
      <c r="BD4573" s="743" t="str">
        <f t="shared" si="1588"/>
        <v/>
      </c>
      <c r="BE4573" s="743" t="str">
        <f>IF(D4573="","",VLOOKUP(D4573,'General Basis'!$J$39:$K$46,2,0))</f>
        <v/>
      </c>
      <c r="BF4573" s="744" t="str">
        <f>IF(D4573="","",VLOOKUP(D4573,'General Basis'!$J$39:$L$46,3,0))</f>
        <v/>
      </c>
      <c r="BG4573" s="744" t="str">
        <f t="shared" si="1595"/>
        <v/>
      </c>
      <c r="BH4573" s="744" t="str">
        <f>IF(G4573="","",IF(BF4573="Abu Dhabi",IF(G4573&lt;18,'General Basis'!$C$39,IF(G4573&lt;41,'General Basis'!$C$40,IF(G4573&lt;60,'General Basis'!$C$41,IF(G4573&lt;65,'General Basis'!$C$42,'General Basis'!$C$43)))),IF(G4573&lt;11,'General Basis'!$B$39,IF(G4573&lt;18,'General Basis'!$B$40,IF(G4573&lt;26,'General Basis'!$B$41,IF(G4573&lt;31,'General Basis'!$B$42,IF(G4573&lt;36,'General Basis'!$B$43,IF(G4573&lt;41,'General Basis'!$B$44,IF(G4573&lt;46,'General Basis'!$B$45,IF(G4573&lt;51,'General Basis'!$B$46,IF(G4573&lt;56,'General Basis'!$B$47,IF(G4573&lt;60,'General Basis'!$B$48,IF(G4573&lt;65,'General Basis'!$B$49,'General Basis'!$B$50)))))))))))))</f>
        <v/>
      </c>
      <c r="BI4573" s="744" t="str">
        <f t="shared" si="1589"/>
        <v/>
      </c>
      <c r="BJ4573" s="747" t="str">
        <f t="shared" si="1596"/>
        <v/>
      </c>
      <c r="BK4573" s="498" t="str">
        <f t="shared" si="1590"/>
        <v/>
      </c>
      <c r="BL4573" s="498" t="str">
        <f t="shared" si="1591"/>
        <v/>
      </c>
    </row>
    <row r="4574" spans="1:64" x14ac:dyDescent="0.25">
      <c r="A4574" s="762">
        <f t="shared" si="1592"/>
        <v>4569</v>
      </c>
      <c r="B4574" s="229"/>
      <c r="C4574" s="223"/>
      <c r="D4574" s="224"/>
      <c r="E4574" s="225"/>
      <c r="F4574" s="1036" t="str">
        <f t="shared" si="1598"/>
        <v/>
      </c>
      <c r="G4574" s="1037" t="str">
        <f t="shared" si="1593"/>
        <v/>
      </c>
      <c r="H4574" s="225"/>
      <c r="I4574" s="1013"/>
      <c r="J4574" s="1013"/>
      <c r="K4574" s="1028"/>
      <c r="L4574" s="1035" t="str">
        <f t="shared" si="1597"/>
        <v/>
      </c>
      <c r="S4574" s="498"/>
      <c r="AJ4574" s="498"/>
      <c r="AM4574" s="498">
        <f t="shared" si="1578"/>
        <v>0</v>
      </c>
      <c r="AN4574" s="498">
        <f t="shared" si="1579"/>
        <v>0</v>
      </c>
      <c r="AO4574" s="498">
        <f t="shared" si="1580"/>
        <v>0</v>
      </c>
      <c r="AP4574" s="498">
        <f t="shared" si="1599"/>
        <v>0</v>
      </c>
      <c r="AQ4574" s="498">
        <f t="shared" si="1594"/>
        <v>0</v>
      </c>
      <c r="AU4574" s="498">
        <f t="shared" si="1581"/>
        <v>0</v>
      </c>
      <c r="AV4574" s="498">
        <f t="shared" si="1582"/>
        <v>0</v>
      </c>
      <c r="AW4574" s="498">
        <f t="shared" si="1583"/>
        <v>0</v>
      </c>
      <c r="AX4574" s="498">
        <f t="shared" si="1584"/>
        <v>0</v>
      </c>
      <c r="AY4574" s="498">
        <f t="shared" si="1585"/>
        <v>0</v>
      </c>
      <c r="BB4574" s="498" t="str">
        <f t="shared" si="1586"/>
        <v/>
      </c>
      <c r="BC4574" s="743" t="str">
        <f t="shared" si="1587"/>
        <v/>
      </c>
      <c r="BD4574" s="743" t="str">
        <f t="shared" si="1588"/>
        <v/>
      </c>
      <c r="BE4574" s="743" t="str">
        <f>IF(D4574="","",VLOOKUP(D4574,'General Basis'!$J$39:$K$46,2,0))</f>
        <v/>
      </c>
      <c r="BF4574" s="744" t="str">
        <f>IF(D4574="","",VLOOKUP(D4574,'General Basis'!$J$39:$L$46,3,0))</f>
        <v/>
      </c>
      <c r="BG4574" s="744" t="str">
        <f t="shared" si="1595"/>
        <v/>
      </c>
      <c r="BH4574" s="744" t="str">
        <f>IF(G4574="","",IF(BF4574="Abu Dhabi",IF(G4574&lt;18,'General Basis'!$C$39,IF(G4574&lt;41,'General Basis'!$C$40,IF(G4574&lt;60,'General Basis'!$C$41,IF(G4574&lt;65,'General Basis'!$C$42,'General Basis'!$C$43)))),IF(G4574&lt;11,'General Basis'!$B$39,IF(G4574&lt;18,'General Basis'!$B$40,IF(G4574&lt;26,'General Basis'!$B$41,IF(G4574&lt;31,'General Basis'!$B$42,IF(G4574&lt;36,'General Basis'!$B$43,IF(G4574&lt;41,'General Basis'!$B$44,IF(G4574&lt;46,'General Basis'!$B$45,IF(G4574&lt;51,'General Basis'!$B$46,IF(G4574&lt;56,'General Basis'!$B$47,IF(G4574&lt;60,'General Basis'!$B$48,IF(G4574&lt;65,'General Basis'!$B$49,'General Basis'!$B$50)))))))))))))</f>
        <v/>
      </c>
      <c r="BI4574" s="744" t="str">
        <f t="shared" si="1589"/>
        <v/>
      </c>
      <c r="BJ4574" s="747" t="str">
        <f t="shared" si="1596"/>
        <v/>
      </c>
      <c r="BK4574" s="498" t="str">
        <f t="shared" si="1590"/>
        <v/>
      </c>
      <c r="BL4574" s="498" t="str">
        <f t="shared" si="1591"/>
        <v/>
      </c>
    </row>
    <row r="4575" spans="1:64" x14ac:dyDescent="0.25">
      <c r="A4575" s="762">
        <f t="shared" si="1592"/>
        <v>4570</v>
      </c>
      <c r="B4575" s="229"/>
      <c r="C4575" s="223"/>
      <c r="D4575" s="224"/>
      <c r="E4575" s="225"/>
      <c r="F4575" s="1036" t="str">
        <f t="shared" si="1598"/>
        <v/>
      </c>
      <c r="G4575" s="1037" t="str">
        <f t="shared" si="1593"/>
        <v/>
      </c>
      <c r="H4575" s="225"/>
      <c r="I4575" s="1013"/>
      <c r="J4575" s="1013"/>
      <c r="K4575" s="1028"/>
      <c r="L4575" s="1035" t="str">
        <f t="shared" si="1597"/>
        <v/>
      </c>
      <c r="S4575" s="498"/>
      <c r="AJ4575" s="498"/>
      <c r="AM4575" s="498">
        <f t="shared" si="1578"/>
        <v>0</v>
      </c>
      <c r="AN4575" s="498">
        <f t="shared" si="1579"/>
        <v>0</v>
      </c>
      <c r="AO4575" s="498">
        <f t="shared" si="1580"/>
        <v>0</v>
      </c>
      <c r="AP4575" s="498">
        <f t="shared" si="1599"/>
        <v>0</v>
      </c>
      <c r="AQ4575" s="498">
        <f t="shared" si="1594"/>
        <v>0</v>
      </c>
      <c r="AU4575" s="498">
        <f t="shared" si="1581"/>
        <v>0</v>
      </c>
      <c r="AV4575" s="498">
        <f t="shared" si="1582"/>
        <v>0</v>
      </c>
      <c r="AW4575" s="498">
        <f t="shared" si="1583"/>
        <v>0</v>
      </c>
      <c r="AX4575" s="498">
        <f t="shared" si="1584"/>
        <v>0</v>
      </c>
      <c r="AY4575" s="498">
        <f t="shared" si="1585"/>
        <v>0</v>
      </c>
      <c r="BB4575" s="498" t="str">
        <f t="shared" si="1586"/>
        <v/>
      </c>
      <c r="BC4575" s="743" t="str">
        <f t="shared" si="1587"/>
        <v/>
      </c>
      <c r="BD4575" s="743" t="str">
        <f t="shared" si="1588"/>
        <v/>
      </c>
      <c r="BE4575" s="743" t="str">
        <f>IF(D4575="","",VLOOKUP(D4575,'General Basis'!$J$39:$K$46,2,0))</f>
        <v/>
      </c>
      <c r="BF4575" s="744" t="str">
        <f>IF(D4575="","",VLOOKUP(D4575,'General Basis'!$J$39:$L$46,3,0))</f>
        <v/>
      </c>
      <c r="BG4575" s="744" t="str">
        <f t="shared" si="1595"/>
        <v/>
      </c>
      <c r="BH4575" s="744" t="str">
        <f>IF(G4575="","",IF(BF4575="Abu Dhabi",IF(G4575&lt;18,'General Basis'!$C$39,IF(G4575&lt;41,'General Basis'!$C$40,IF(G4575&lt;60,'General Basis'!$C$41,IF(G4575&lt;65,'General Basis'!$C$42,'General Basis'!$C$43)))),IF(G4575&lt;11,'General Basis'!$B$39,IF(G4575&lt;18,'General Basis'!$B$40,IF(G4575&lt;26,'General Basis'!$B$41,IF(G4575&lt;31,'General Basis'!$B$42,IF(G4575&lt;36,'General Basis'!$B$43,IF(G4575&lt;41,'General Basis'!$B$44,IF(G4575&lt;46,'General Basis'!$B$45,IF(G4575&lt;51,'General Basis'!$B$46,IF(G4575&lt;56,'General Basis'!$B$47,IF(G4575&lt;60,'General Basis'!$B$48,IF(G4575&lt;65,'General Basis'!$B$49,'General Basis'!$B$50)))))))))))))</f>
        <v/>
      </c>
      <c r="BI4575" s="744" t="str">
        <f t="shared" si="1589"/>
        <v/>
      </c>
      <c r="BJ4575" s="747" t="str">
        <f t="shared" si="1596"/>
        <v/>
      </c>
      <c r="BK4575" s="498" t="str">
        <f t="shared" si="1590"/>
        <v/>
      </c>
      <c r="BL4575" s="498" t="str">
        <f t="shared" si="1591"/>
        <v/>
      </c>
    </row>
    <row r="4576" spans="1:64" x14ac:dyDescent="0.25">
      <c r="A4576" s="762">
        <f t="shared" si="1592"/>
        <v>4571</v>
      </c>
      <c r="B4576" s="229"/>
      <c r="C4576" s="223"/>
      <c r="D4576" s="224"/>
      <c r="E4576" s="225"/>
      <c r="F4576" s="1036" t="str">
        <f t="shared" si="1598"/>
        <v/>
      </c>
      <c r="G4576" s="1037" t="str">
        <f t="shared" si="1593"/>
        <v/>
      </c>
      <c r="H4576" s="225"/>
      <c r="I4576" s="1013"/>
      <c r="J4576" s="1013"/>
      <c r="K4576" s="1028"/>
      <c r="L4576" s="1035" t="str">
        <f t="shared" si="1597"/>
        <v/>
      </c>
      <c r="S4576" s="498"/>
      <c r="AJ4576" s="498"/>
      <c r="AM4576" s="498">
        <f t="shared" si="1578"/>
        <v>0</v>
      </c>
      <c r="AN4576" s="498">
        <f t="shared" si="1579"/>
        <v>0</v>
      </c>
      <c r="AO4576" s="498">
        <f t="shared" si="1580"/>
        <v>0</v>
      </c>
      <c r="AP4576" s="498">
        <f t="shared" si="1599"/>
        <v>0</v>
      </c>
      <c r="AQ4576" s="498">
        <f t="shared" si="1594"/>
        <v>0</v>
      </c>
      <c r="AU4576" s="498">
        <f t="shared" si="1581"/>
        <v>0</v>
      </c>
      <c r="AV4576" s="498">
        <f t="shared" si="1582"/>
        <v>0</v>
      </c>
      <c r="AW4576" s="498">
        <f t="shared" si="1583"/>
        <v>0</v>
      </c>
      <c r="AX4576" s="498">
        <f t="shared" si="1584"/>
        <v>0</v>
      </c>
      <c r="AY4576" s="498">
        <f t="shared" si="1585"/>
        <v>0</v>
      </c>
      <c r="BB4576" s="498" t="str">
        <f t="shared" si="1586"/>
        <v/>
      </c>
      <c r="BC4576" s="743" t="str">
        <f t="shared" si="1587"/>
        <v/>
      </c>
      <c r="BD4576" s="743" t="str">
        <f t="shared" si="1588"/>
        <v/>
      </c>
      <c r="BE4576" s="743" t="str">
        <f>IF(D4576="","",VLOOKUP(D4576,'General Basis'!$J$39:$K$46,2,0))</f>
        <v/>
      </c>
      <c r="BF4576" s="744" t="str">
        <f>IF(D4576="","",VLOOKUP(D4576,'General Basis'!$J$39:$L$46,3,0))</f>
        <v/>
      </c>
      <c r="BG4576" s="744" t="str">
        <f t="shared" si="1595"/>
        <v/>
      </c>
      <c r="BH4576" s="744" t="str">
        <f>IF(G4576="","",IF(BF4576="Abu Dhabi",IF(G4576&lt;18,'General Basis'!$C$39,IF(G4576&lt;41,'General Basis'!$C$40,IF(G4576&lt;60,'General Basis'!$C$41,IF(G4576&lt;65,'General Basis'!$C$42,'General Basis'!$C$43)))),IF(G4576&lt;11,'General Basis'!$B$39,IF(G4576&lt;18,'General Basis'!$B$40,IF(G4576&lt;26,'General Basis'!$B$41,IF(G4576&lt;31,'General Basis'!$B$42,IF(G4576&lt;36,'General Basis'!$B$43,IF(G4576&lt;41,'General Basis'!$B$44,IF(G4576&lt;46,'General Basis'!$B$45,IF(G4576&lt;51,'General Basis'!$B$46,IF(G4576&lt;56,'General Basis'!$B$47,IF(G4576&lt;60,'General Basis'!$B$48,IF(G4576&lt;65,'General Basis'!$B$49,'General Basis'!$B$50)))))))))))))</f>
        <v/>
      </c>
      <c r="BI4576" s="744" t="str">
        <f t="shared" si="1589"/>
        <v/>
      </c>
      <c r="BJ4576" s="747" t="str">
        <f t="shared" si="1596"/>
        <v/>
      </c>
      <c r="BK4576" s="498" t="str">
        <f t="shared" si="1590"/>
        <v/>
      </c>
      <c r="BL4576" s="498" t="str">
        <f t="shared" si="1591"/>
        <v/>
      </c>
    </row>
    <row r="4577" spans="1:64" x14ac:dyDescent="0.25">
      <c r="A4577" s="762">
        <f t="shared" si="1592"/>
        <v>4572</v>
      </c>
      <c r="B4577" s="229"/>
      <c r="C4577" s="223"/>
      <c r="D4577" s="224"/>
      <c r="E4577" s="225"/>
      <c r="F4577" s="1036" t="str">
        <f t="shared" si="1598"/>
        <v/>
      </c>
      <c r="G4577" s="1037" t="str">
        <f t="shared" si="1593"/>
        <v/>
      </c>
      <c r="H4577" s="225"/>
      <c r="I4577" s="1013"/>
      <c r="J4577" s="1013"/>
      <c r="K4577" s="1028"/>
      <c r="L4577" s="1035" t="str">
        <f t="shared" si="1597"/>
        <v/>
      </c>
      <c r="S4577" s="498"/>
      <c r="AJ4577" s="498"/>
      <c r="AM4577" s="498">
        <f t="shared" si="1578"/>
        <v>0</v>
      </c>
      <c r="AN4577" s="498">
        <f t="shared" si="1579"/>
        <v>0</v>
      </c>
      <c r="AO4577" s="498">
        <f t="shared" si="1580"/>
        <v>0</v>
      </c>
      <c r="AP4577" s="498">
        <f t="shared" si="1599"/>
        <v>0</v>
      </c>
      <c r="AQ4577" s="498">
        <f t="shared" si="1594"/>
        <v>0</v>
      </c>
      <c r="AU4577" s="498">
        <f t="shared" si="1581"/>
        <v>0</v>
      </c>
      <c r="AV4577" s="498">
        <f t="shared" si="1582"/>
        <v>0</v>
      </c>
      <c r="AW4577" s="498">
        <f t="shared" si="1583"/>
        <v>0</v>
      </c>
      <c r="AX4577" s="498">
        <f t="shared" si="1584"/>
        <v>0</v>
      </c>
      <c r="AY4577" s="498">
        <f t="shared" si="1585"/>
        <v>0</v>
      </c>
      <c r="BB4577" s="498" t="str">
        <f t="shared" si="1586"/>
        <v/>
      </c>
      <c r="BC4577" s="743" t="str">
        <f t="shared" si="1587"/>
        <v/>
      </c>
      <c r="BD4577" s="743" t="str">
        <f t="shared" si="1588"/>
        <v/>
      </c>
      <c r="BE4577" s="743" t="str">
        <f>IF(D4577="","",VLOOKUP(D4577,'General Basis'!$J$39:$K$46,2,0))</f>
        <v/>
      </c>
      <c r="BF4577" s="744" t="str">
        <f>IF(D4577="","",VLOOKUP(D4577,'General Basis'!$J$39:$L$46,3,0))</f>
        <v/>
      </c>
      <c r="BG4577" s="744" t="str">
        <f t="shared" si="1595"/>
        <v/>
      </c>
      <c r="BH4577" s="744" t="str">
        <f>IF(G4577="","",IF(BF4577="Abu Dhabi",IF(G4577&lt;18,'General Basis'!$C$39,IF(G4577&lt;41,'General Basis'!$C$40,IF(G4577&lt;60,'General Basis'!$C$41,IF(G4577&lt;65,'General Basis'!$C$42,'General Basis'!$C$43)))),IF(G4577&lt;11,'General Basis'!$B$39,IF(G4577&lt;18,'General Basis'!$B$40,IF(G4577&lt;26,'General Basis'!$B$41,IF(G4577&lt;31,'General Basis'!$B$42,IF(G4577&lt;36,'General Basis'!$B$43,IF(G4577&lt;41,'General Basis'!$B$44,IF(G4577&lt;46,'General Basis'!$B$45,IF(G4577&lt;51,'General Basis'!$B$46,IF(G4577&lt;56,'General Basis'!$B$47,IF(G4577&lt;60,'General Basis'!$B$48,IF(G4577&lt;65,'General Basis'!$B$49,'General Basis'!$B$50)))))))))))))</f>
        <v/>
      </c>
      <c r="BI4577" s="744" t="str">
        <f t="shared" si="1589"/>
        <v/>
      </c>
      <c r="BJ4577" s="747" t="str">
        <f t="shared" si="1596"/>
        <v/>
      </c>
      <c r="BK4577" s="498" t="str">
        <f t="shared" si="1590"/>
        <v/>
      </c>
      <c r="BL4577" s="498" t="str">
        <f t="shared" si="1591"/>
        <v/>
      </c>
    </row>
    <row r="4578" spans="1:64" x14ac:dyDescent="0.25">
      <c r="A4578" s="762">
        <f t="shared" si="1592"/>
        <v>4573</v>
      </c>
      <c r="B4578" s="229"/>
      <c r="C4578" s="223"/>
      <c r="D4578" s="224"/>
      <c r="E4578" s="225"/>
      <c r="F4578" s="1036" t="str">
        <f t="shared" si="1598"/>
        <v/>
      </c>
      <c r="G4578" s="1037" t="str">
        <f t="shared" si="1593"/>
        <v/>
      </c>
      <c r="H4578" s="225"/>
      <c r="I4578" s="1013"/>
      <c r="J4578" s="1013"/>
      <c r="K4578" s="1028"/>
      <c r="L4578" s="1035" t="str">
        <f t="shared" si="1597"/>
        <v/>
      </c>
      <c r="S4578" s="498"/>
      <c r="AJ4578" s="498"/>
      <c r="AM4578" s="498">
        <f t="shared" si="1578"/>
        <v>0</v>
      </c>
      <c r="AN4578" s="498">
        <f t="shared" si="1579"/>
        <v>0</v>
      </c>
      <c r="AO4578" s="498">
        <f t="shared" si="1580"/>
        <v>0</v>
      </c>
      <c r="AP4578" s="498">
        <f t="shared" si="1599"/>
        <v>0</v>
      </c>
      <c r="AQ4578" s="498">
        <f t="shared" si="1594"/>
        <v>0</v>
      </c>
      <c r="AU4578" s="498">
        <f t="shared" si="1581"/>
        <v>0</v>
      </c>
      <c r="AV4578" s="498">
        <f t="shared" si="1582"/>
        <v>0</v>
      </c>
      <c r="AW4578" s="498">
        <f t="shared" si="1583"/>
        <v>0</v>
      </c>
      <c r="AX4578" s="498">
        <f t="shared" si="1584"/>
        <v>0</v>
      </c>
      <c r="AY4578" s="498">
        <f t="shared" si="1585"/>
        <v>0</v>
      </c>
      <c r="BB4578" s="498" t="str">
        <f t="shared" si="1586"/>
        <v/>
      </c>
      <c r="BC4578" s="743" t="str">
        <f t="shared" si="1587"/>
        <v/>
      </c>
      <c r="BD4578" s="743" t="str">
        <f t="shared" si="1588"/>
        <v/>
      </c>
      <c r="BE4578" s="743" t="str">
        <f>IF(D4578="","",VLOOKUP(D4578,'General Basis'!$J$39:$K$46,2,0))</f>
        <v/>
      </c>
      <c r="BF4578" s="744" t="str">
        <f>IF(D4578="","",VLOOKUP(D4578,'General Basis'!$J$39:$L$46,3,0))</f>
        <v/>
      </c>
      <c r="BG4578" s="744" t="str">
        <f t="shared" si="1595"/>
        <v/>
      </c>
      <c r="BH4578" s="744" t="str">
        <f>IF(G4578="","",IF(BF4578="Abu Dhabi",IF(G4578&lt;18,'General Basis'!$C$39,IF(G4578&lt;41,'General Basis'!$C$40,IF(G4578&lt;60,'General Basis'!$C$41,IF(G4578&lt;65,'General Basis'!$C$42,'General Basis'!$C$43)))),IF(G4578&lt;11,'General Basis'!$B$39,IF(G4578&lt;18,'General Basis'!$B$40,IF(G4578&lt;26,'General Basis'!$B$41,IF(G4578&lt;31,'General Basis'!$B$42,IF(G4578&lt;36,'General Basis'!$B$43,IF(G4578&lt;41,'General Basis'!$B$44,IF(G4578&lt;46,'General Basis'!$B$45,IF(G4578&lt;51,'General Basis'!$B$46,IF(G4578&lt;56,'General Basis'!$B$47,IF(G4578&lt;60,'General Basis'!$B$48,IF(G4578&lt;65,'General Basis'!$B$49,'General Basis'!$B$50)))))))))))))</f>
        <v/>
      </c>
      <c r="BI4578" s="744" t="str">
        <f t="shared" si="1589"/>
        <v/>
      </c>
      <c r="BJ4578" s="747" t="str">
        <f t="shared" si="1596"/>
        <v/>
      </c>
      <c r="BK4578" s="498" t="str">
        <f t="shared" si="1590"/>
        <v/>
      </c>
      <c r="BL4578" s="498" t="str">
        <f t="shared" si="1591"/>
        <v/>
      </c>
    </row>
    <row r="4579" spans="1:64" x14ac:dyDescent="0.25">
      <c r="A4579" s="762">
        <f t="shared" si="1592"/>
        <v>4574</v>
      </c>
      <c r="B4579" s="229"/>
      <c r="C4579" s="223"/>
      <c r="D4579" s="224"/>
      <c r="E4579" s="225"/>
      <c r="F4579" s="1036" t="str">
        <f t="shared" si="1598"/>
        <v/>
      </c>
      <c r="G4579" s="1037" t="str">
        <f t="shared" si="1593"/>
        <v/>
      </c>
      <c r="H4579" s="225"/>
      <c r="I4579" s="1013"/>
      <c r="J4579" s="1013"/>
      <c r="K4579" s="1028"/>
      <c r="L4579" s="1035" t="str">
        <f t="shared" si="1597"/>
        <v/>
      </c>
      <c r="S4579" s="498"/>
      <c r="AJ4579" s="498"/>
      <c r="AM4579" s="498">
        <f t="shared" si="1578"/>
        <v>0</v>
      </c>
      <c r="AN4579" s="498">
        <f t="shared" si="1579"/>
        <v>0</v>
      </c>
      <c r="AO4579" s="498">
        <f t="shared" si="1580"/>
        <v>0</v>
      </c>
      <c r="AP4579" s="498">
        <f t="shared" si="1599"/>
        <v>0</v>
      </c>
      <c r="AQ4579" s="498">
        <f t="shared" si="1594"/>
        <v>0</v>
      </c>
      <c r="AU4579" s="498">
        <f t="shared" si="1581"/>
        <v>0</v>
      </c>
      <c r="AV4579" s="498">
        <f t="shared" si="1582"/>
        <v>0</v>
      </c>
      <c r="AW4579" s="498">
        <f t="shared" si="1583"/>
        <v>0</v>
      </c>
      <c r="AX4579" s="498">
        <f t="shared" si="1584"/>
        <v>0</v>
      </c>
      <c r="AY4579" s="498">
        <f t="shared" si="1585"/>
        <v>0</v>
      </c>
      <c r="BB4579" s="498" t="str">
        <f t="shared" si="1586"/>
        <v/>
      </c>
      <c r="BC4579" s="743" t="str">
        <f t="shared" si="1587"/>
        <v/>
      </c>
      <c r="BD4579" s="743" t="str">
        <f t="shared" si="1588"/>
        <v/>
      </c>
      <c r="BE4579" s="743" t="str">
        <f>IF(D4579="","",VLOOKUP(D4579,'General Basis'!$J$39:$K$46,2,0))</f>
        <v/>
      </c>
      <c r="BF4579" s="744" t="str">
        <f>IF(D4579="","",VLOOKUP(D4579,'General Basis'!$J$39:$L$46,3,0))</f>
        <v/>
      </c>
      <c r="BG4579" s="744" t="str">
        <f t="shared" si="1595"/>
        <v/>
      </c>
      <c r="BH4579" s="744" t="str">
        <f>IF(G4579="","",IF(BF4579="Abu Dhabi",IF(G4579&lt;18,'General Basis'!$C$39,IF(G4579&lt;41,'General Basis'!$C$40,IF(G4579&lt;60,'General Basis'!$C$41,IF(G4579&lt;65,'General Basis'!$C$42,'General Basis'!$C$43)))),IF(G4579&lt;11,'General Basis'!$B$39,IF(G4579&lt;18,'General Basis'!$B$40,IF(G4579&lt;26,'General Basis'!$B$41,IF(G4579&lt;31,'General Basis'!$B$42,IF(G4579&lt;36,'General Basis'!$B$43,IF(G4579&lt;41,'General Basis'!$B$44,IF(G4579&lt;46,'General Basis'!$B$45,IF(G4579&lt;51,'General Basis'!$B$46,IF(G4579&lt;56,'General Basis'!$B$47,IF(G4579&lt;60,'General Basis'!$B$48,IF(G4579&lt;65,'General Basis'!$B$49,'General Basis'!$B$50)))))))))))))</f>
        <v/>
      </c>
      <c r="BI4579" s="744" t="str">
        <f t="shared" si="1589"/>
        <v/>
      </c>
      <c r="BJ4579" s="747" t="str">
        <f t="shared" si="1596"/>
        <v/>
      </c>
      <c r="BK4579" s="498" t="str">
        <f t="shared" si="1590"/>
        <v/>
      </c>
      <c r="BL4579" s="498" t="str">
        <f t="shared" si="1591"/>
        <v/>
      </c>
    </row>
    <row r="4580" spans="1:64" x14ac:dyDescent="0.25">
      <c r="A4580" s="762">
        <f t="shared" si="1592"/>
        <v>4575</v>
      </c>
      <c r="B4580" s="229"/>
      <c r="C4580" s="223"/>
      <c r="D4580" s="224"/>
      <c r="E4580" s="225"/>
      <c r="F4580" s="1036" t="str">
        <f t="shared" si="1598"/>
        <v/>
      </c>
      <c r="G4580" s="1037" t="str">
        <f t="shared" si="1593"/>
        <v/>
      </c>
      <c r="H4580" s="225"/>
      <c r="I4580" s="1013"/>
      <c r="J4580" s="1013"/>
      <c r="K4580" s="1028"/>
      <c r="L4580" s="1035" t="str">
        <f t="shared" si="1597"/>
        <v/>
      </c>
      <c r="S4580" s="498"/>
      <c r="AJ4580" s="498"/>
      <c r="AM4580" s="498">
        <f t="shared" si="1578"/>
        <v>0</v>
      </c>
      <c r="AN4580" s="498">
        <f t="shared" si="1579"/>
        <v>0</v>
      </c>
      <c r="AO4580" s="498">
        <f t="shared" si="1580"/>
        <v>0</v>
      </c>
      <c r="AP4580" s="498">
        <f t="shared" si="1599"/>
        <v>0</v>
      </c>
      <c r="AQ4580" s="498">
        <f t="shared" si="1594"/>
        <v>0</v>
      </c>
      <c r="AU4580" s="498">
        <f t="shared" si="1581"/>
        <v>0</v>
      </c>
      <c r="AV4580" s="498">
        <f t="shared" si="1582"/>
        <v>0</v>
      </c>
      <c r="AW4580" s="498">
        <f t="shared" si="1583"/>
        <v>0</v>
      </c>
      <c r="AX4580" s="498">
        <f t="shared" si="1584"/>
        <v>0</v>
      </c>
      <c r="AY4580" s="498">
        <f t="shared" si="1585"/>
        <v>0</v>
      </c>
      <c r="BB4580" s="498" t="str">
        <f t="shared" si="1586"/>
        <v/>
      </c>
      <c r="BC4580" s="743" t="str">
        <f t="shared" si="1587"/>
        <v/>
      </c>
      <c r="BD4580" s="743" t="str">
        <f t="shared" si="1588"/>
        <v/>
      </c>
      <c r="BE4580" s="743" t="str">
        <f>IF(D4580="","",VLOOKUP(D4580,'General Basis'!$J$39:$K$46,2,0))</f>
        <v/>
      </c>
      <c r="BF4580" s="744" t="str">
        <f>IF(D4580="","",VLOOKUP(D4580,'General Basis'!$J$39:$L$46,3,0))</f>
        <v/>
      </c>
      <c r="BG4580" s="744" t="str">
        <f t="shared" si="1595"/>
        <v/>
      </c>
      <c r="BH4580" s="744" t="str">
        <f>IF(G4580="","",IF(BF4580="Abu Dhabi",IF(G4580&lt;18,'General Basis'!$C$39,IF(G4580&lt;41,'General Basis'!$C$40,IF(G4580&lt;60,'General Basis'!$C$41,IF(G4580&lt;65,'General Basis'!$C$42,'General Basis'!$C$43)))),IF(G4580&lt;11,'General Basis'!$B$39,IF(G4580&lt;18,'General Basis'!$B$40,IF(G4580&lt;26,'General Basis'!$B$41,IF(G4580&lt;31,'General Basis'!$B$42,IF(G4580&lt;36,'General Basis'!$B$43,IF(G4580&lt;41,'General Basis'!$B$44,IF(G4580&lt;46,'General Basis'!$B$45,IF(G4580&lt;51,'General Basis'!$B$46,IF(G4580&lt;56,'General Basis'!$B$47,IF(G4580&lt;60,'General Basis'!$B$48,IF(G4580&lt;65,'General Basis'!$B$49,'General Basis'!$B$50)))))))))))))</f>
        <v/>
      </c>
      <c r="BI4580" s="744" t="str">
        <f t="shared" si="1589"/>
        <v/>
      </c>
      <c r="BJ4580" s="747" t="str">
        <f t="shared" si="1596"/>
        <v/>
      </c>
      <c r="BK4580" s="498" t="str">
        <f t="shared" si="1590"/>
        <v/>
      </c>
      <c r="BL4580" s="498" t="str">
        <f t="shared" si="1591"/>
        <v/>
      </c>
    </row>
    <row r="4581" spans="1:64" x14ac:dyDescent="0.25">
      <c r="A4581" s="762">
        <f t="shared" si="1592"/>
        <v>4576</v>
      </c>
      <c r="B4581" s="229"/>
      <c r="C4581" s="223"/>
      <c r="D4581" s="224"/>
      <c r="E4581" s="225"/>
      <c r="F4581" s="1036" t="str">
        <f t="shared" si="1598"/>
        <v/>
      </c>
      <c r="G4581" s="1037" t="str">
        <f t="shared" si="1593"/>
        <v/>
      </c>
      <c r="H4581" s="225"/>
      <c r="I4581" s="1013"/>
      <c r="J4581" s="1013"/>
      <c r="K4581" s="1028"/>
      <c r="L4581" s="1035" t="str">
        <f t="shared" si="1597"/>
        <v/>
      </c>
      <c r="S4581" s="498"/>
      <c r="AJ4581" s="498"/>
      <c r="AM4581" s="498">
        <f t="shared" si="1578"/>
        <v>0</v>
      </c>
      <c r="AN4581" s="498">
        <f t="shared" si="1579"/>
        <v>0</v>
      </c>
      <c r="AO4581" s="498">
        <f t="shared" si="1580"/>
        <v>0</v>
      </c>
      <c r="AP4581" s="498">
        <f t="shared" si="1599"/>
        <v>0</v>
      </c>
      <c r="AQ4581" s="498">
        <f t="shared" si="1594"/>
        <v>0</v>
      </c>
      <c r="AU4581" s="498">
        <f t="shared" si="1581"/>
        <v>0</v>
      </c>
      <c r="AV4581" s="498">
        <f t="shared" si="1582"/>
        <v>0</v>
      </c>
      <c r="AW4581" s="498">
        <f t="shared" si="1583"/>
        <v>0</v>
      </c>
      <c r="AX4581" s="498">
        <f t="shared" si="1584"/>
        <v>0</v>
      </c>
      <c r="AY4581" s="498">
        <f t="shared" si="1585"/>
        <v>0</v>
      </c>
      <c r="BB4581" s="498" t="str">
        <f t="shared" si="1586"/>
        <v/>
      </c>
      <c r="BC4581" s="743" t="str">
        <f t="shared" si="1587"/>
        <v/>
      </c>
      <c r="BD4581" s="743" t="str">
        <f t="shared" si="1588"/>
        <v/>
      </c>
      <c r="BE4581" s="743" t="str">
        <f>IF(D4581="","",VLOOKUP(D4581,'General Basis'!$J$39:$K$46,2,0))</f>
        <v/>
      </c>
      <c r="BF4581" s="744" t="str">
        <f>IF(D4581="","",VLOOKUP(D4581,'General Basis'!$J$39:$L$46,3,0))</f>
        <v/>
      </c>
      <c r="BG4581" s="744" t="str">
        <f t="shared" si="1595"/>
        <v/>
      </c>
      <c r="BH4581" s="744" t="str">
        <f>IF(G4581="","",IF(BF4581="Abu Dhabi",IF(G4581&lt;18,'General Basis'!$C$39,IF(G4581&lt;41,'General Basis'!$C$40,IF(G4581&lt;60,'General Basis'!$C$41,IF(G4581&lt;65,'General Basis'!$C$42,'General Basis'!$C$43)))),IF(G4581&lt;11,'General Basis'!$B$39,IF(G4581&lt;18,'General Basis'!$B$40,IF(G4581&lt;26,'General Basis'!$B$41,IF(G4581&lt;31,'General Basis'!$B$42,IF(G4581&lt;36,'General Basis'!$B$43,IF(G4581&lt;41,'General Basis'!$B$44,IF(G4581&lt;46,'General Basis'!$B$45,IF(G4581&lt;51,'General Basis'!$B$46,IF(G4581&lt;56,'General Basis'!$B$47,IF(G4581&lt;60,'General Basis'!$B$48,IF(G4581&lt;65,'General Basis'!$B$49,'General Basis'!$B$50)))))))))))))</f>
        <v/>
      </c>
      <c r="BI4581" s="744" t="str">
        <f t="shared" si="1589"/>
        <v/>
      </c>
      <c r="BJ4581" s="747" t="str">
        <f t="shared" si="1596"/>
        <v/>
      </c>
      <c r="BK4581" s="498" t="str">
        <f t="shared" si="1590"/>
        <v/>
      </c>
      <c r="BL4581" s="498" t="str">
        <f t="shared" si="1591"/>
        <v/>
      </c>
    </row>
    <row r="4582" spans="1:64" x14ac:dyDescent="0.25">
      <c r="A4582" s="762">
        <f t="shared" si="1592"/>
        <v>4577</v>
      </c>
      <c r="B4582" s="229"/>
      <c r="C4582" s="223"/>
      <c r="D4582" s="224"/>
      <c r="E4582" s="225"/>
      <c r="F4582" s="1036" t="str">
        <f t="shared" si="1598"/>
        <v/>
      </c>
      <c r="G4582" s="1037" t="str">
        <f t="shared" si="1593"/>
        <v/>
      </c>
      <c r="H4582" s="225"/>
      <c r="I4582" s="1013"/>
      <c r="J4582" s="1013"/>
      <c r="K4582" s="1028"/>
      <c r="L4582" s="1035" t="str">
        <f t="shared" si="1597"/>
        <v/>
      </c>
      <c r="S4582" s="498"/>
      <c r="AJ4582" s="498"/>
      <c r="AM4582" s="498">
        <f t="shared" si="1578"/>
        <v>0</v>
      </c>
      <c r="AN4582" s="498">
        <f t="shared" si="1579"/>
        <v>0</v>
      </c>
      <c r="AO4582" s="498">
        <f t="shared" si="1580"/>
        <v>0</v>
      </c>
      <c r="AP4582" s="498">
        <f t="shared" si="1599"/>
        <v>0</v>
      </c>
      <c r="AQ4582" s="498">
        <f t="shared" si="1594"/>
        <v>0</v>
      </c>
      <c r="AU4582" s="498">
        <f t="shared" si="1581"/>
        <v>0</v>
      </c>
      <c r="AV4582" s="498">
        <f t="shared" si="1582"/>
        <v>0</v>
      </c>
      <c r="AW4582" s="498">
        <f t="shared" si="1583"/>
        <v>0</v>
      </c>
      <c r="AX4582" s="498">
        <f t="shared" si="1584"/>
        <v>0</v>
      </c>
      <c r="AY4582" s="498">
        <f t="shared" si="1585"/>
        <v>0</v>
      </c>
      <c r="BB4582" s="498" t="str">
        <f t="shared" si="1586"/>
        <v/>
      </c>
      <c r="BC4582" s="743" t="str">
        <f t="shared" si="1587"/>
        <v/>
      </c>
      <c r="BD4582" s="743" t="str">
        <f t="shared" si="1588"/>
        <v/>
      </c>
      <c r="BE4582" s="743" t="str">
        <f>IF(D4582="","",VLOOKUP(D4582,'General Basis'!$J$39:$K$46,2,0))</f>
        <v/>
      </c>
      <c r="BF4582" s="744" t="str">
        <f>IF(D4582="","",VLOOKUP(D4582,'General Basis'!$J$39:$L$46,3,0))</f>
        <v/>
      </c>
      <c r="BG4582" s="744" t="str">
        <f t="shared" si="1595"/>
        <v/>
      </c>
      <c r="BH4582" s="744" t="str">
        <f>IF(G4582="","",IF(BF4582="Abu Dhabi",IF(G4582&lt;18,'General Basis'!$C$39,IF(G4582&lt;41,'General Basis'!$C$40,IF(G4582&lt;60,'General Basis'!$C$41,IF(G4582&lt;65,'General Basis'!$C$42,'General Basis'!$C$43)))),IF(G4582&lt;11,'General Basis'!$B$39,IF(G4582&lt;18,'General Basis'!$B$40,IF(G4582&lt;26,'General Basis'!$B$41,IF(G4582&lt;31,'General Basis'!$B$42,IF(G4582&lt;36,'General Basis'!$B$43,IF(G4582&lt;41,'General Basis'!$B$44,IF(G4582&lt;46,'General Basis'!$B$45,IF(G4582&lt;51,'General Basis'!$B$46,IF(G4582&lt;56,'General Basis'!$B$47,IF(G4582&lt;60,'General Basis'!$B$48,IF(G4582&lt;65,'General Basis'!$B$49,'General Basis'!$B$50)))))))))))))</f>
        <v/>
      </c>
      <c r="BI4582" s="744" t="str">
        <f t="shared" si="1589"/>
        <v/>
      </c>
      <c r="BJ4582" s="747" t="str">
        <f t="shared" si="1596"/>
        <v/>
      </c>
      <c r="BK4582" s="498" t="str">
        <f t="shared" si="1590"/>
        <v/>
      </c>
      <c r="BL4582" s="498" t="str">
        <f t="shared" si="1591"/>
        <v/>
      </c>
    </row>
    <row r="4583" spans="1:64" x14ac:dyDescent="0.25">
      <c r="A4583" s="762">
        <f t="shared" si="1592"/>
        <v>4578</v>
      </c>
      <c r="B4583" s="229"/>
      <c r="C4583" s="223"/>
      <c r="D4583" s="224"/>
      <c r="E4583" s="225"/>
      <c r="F4583" s="1036" t="str">
        <f t="shared" si="1598"/>
        <v/>
      </c>
      <c r="G4583" s="1037" t="str">
        <f t="shared" si="1593"/>
        <v/>
      </c>
      <c r="H4583" s="225"/>
      <c r="I4583" s="1013"/>
      <c r="J4583" s="1013"/>
      <c r="K4583" s="1028"/>
      <c r="L4583" s="1035" t="str">
        <f t="shared" si="1597"/>
        <v/>
      </c>
      <c r="S4583" s="498"/>
      <c r="AJ4583" s="498"/>
      <c r="AM4583" s="498">
        <f t="shared" si="1578"/>
        <v>0</v>
      </c>
      <c r="AN4583" s="498">
        <f t="shared" si="1579"/>
        <v>0</v>
      </c>
      <c r="AO4583" s="498">
        <f t="shared" si="1580"/>
        <v>0</v>
      </c>
      <c r="AP4583" s="498">
        <f t="shared" si="1599"/>
        <v>0</v>
      </c>
      <c r="AQ4583" s="498">
        <f t="shared" si="1594"/>
        <v>0</v>
      </c>
      <c r="AU4583" s="498">
        <f t="shared" si="1581"/>
        <v>0</v>
      </c>
      <c r="AV4583" s="498">
        <f t="shared" si="1582"/>
        <v>0</v>
      </c>
      <c r="AW4583" s="498">
        <f t="shared" si="1583"/>
        <v>0</v>
      </c>
      <c r="AX4583" s="498">
        <f t="shared" si="1584"/>
        <v>0</v>
      </c>
      <c r="AY4583" s="498">
        <f t="shared" si="1585"/>
        <v>0</v>
      </c>
      <c r="BB4583" s="498" t="str">
        <f t="shared" si="1586"/>
        <v/>
      </c>
      <c r="BC4583" s="743" t="str">
        <f t="shared" si="1587"/>
        <v/>
      </c>
      <c r="BD4583" s="743" t="str">
        <f t="shared" si="1588"/>
        <v/>
      </c>
      <c r="BE4583" s="743" t="str">
        <f>IF(D4583="","",VLOOKUP(D4583,'General Basis'!$J$39:$K$46,2,0))</f>
        <v/>
      </c>
      <c r="BF4583" s="744" t="str">
        <f>IF(D4583="","",VLOOKUP(D4583,'General Basis'!$J$39:$L$46,3,0))</f>
        <v/>
      </c>
      <c r="BG4583" s="744" t="str">
        <f t="shared" si="1595"/>
        <v/>
      </c>
      <c r="BH4583" s="744" t="str">
        <f>IF(G4583="","",IF(BF4583="Abu Dhabi",IF(G4583&lt;18,'General Basis'!$C$39,IF(G4583&lt;41,'General Basis'!$C$40,IF(G4583&lt;60,'General Basis'!$C$41,IF(G4583&lt;65,'General Basis'!$C$42,'General Basis'!$C$43)))),IF(G4583&lt;11,'General Basis'!$B$39,IF(G4583&lt;18,'General Basis'!$B$40,IF(G4583&lt;26,'General Basis'!$B$41,IF(G4583&lt;31,'General Basis'!$B$42,IF(G4583&lt;36,'General Basis'!$B$43,IF(G4583&lt;41,'General Basis'!$B$44,IF(G4583&lt;46,'General Basis'!$B$45,IF(G4583&lt;51,'General Basis'!$B$46,IF(G4583&lt;56,'General Basis'!$B$47,IF(G4583&lt;60,'General Basis'!$B$48,IF(G4583&lt;65,'General Basis'!$B$49,'General Basis'!$B$50)))))))))))))</f>
        <v/>
      </c>
      <c r="BI4583" s="744" t="str">
        <f t="shared" si="1589"/>
        <v/>
      </c>
      <c r="BJ4583" s="747" t="str">
        <f t="shared" si="1596"/>
        <v/>
      </c>
      <c r="BK4583" s="498" t="str">
        <f t="shared" si="1590"/>
        <v/>
      </c>
      <c r="BL4583" s="498" t="str">
        <f t="shared" si="1591"/>
        <v/>
      </c>
    </row>
    <row r="4584" spans="1:64" x14ac:dyDescent="0.25">
      <c r="A4584" s="762">
        <f t="shared" si="1592"/>
        <v>4579</v>
      </c>
      <c r="B4584" s="229"/>
      <c r="C4584" s="223"/>
      <c r="D4584" s="224"/>
      <c r="E4584" s="225"/>
      <c r="F4584" s="1036" t="str">
        <f t="shared" si="1598"/>
        <v/>
      </c>
      <c r="G4584" s="1037" t="str">
        <f t="shared" si="1593"/>
        <v/>
      </c>
      <c r="H4584" s="225"/>
      <c r="I4584" s="1013"/>
      <c r="J4584" s="1013"/>
      <c r="K4584" s="1028"/>
      <c r="L4584" s="1035" t="str">
        <f t="shared" si="1597"/>
        <v/>
      </c>
      <c r="S4584" s="498"/>
      <c r="AJ4584" s="498"/>
      <c r="AM4584" s="498">
        <f t="shared" si="1578"/>
        <v>0</v>
      </c>
      <c r="AN4584" s="498">
        <f t="shared" si="1579"/>
        <v>0</v>
      </c>
      <c r="AO4584" s="498">
        <f t="shared" si="1580"/>
        <v>0</v>
      </c>
      <c r="AP4584" s="498">
        <f t="shared" si="1599"/>
        <v>0</v>
      </c>
      <c r="AQ4584" s="498">
        <f t="shared" si="1594"/>
        <v>0</v>
      </c>
      <c r="AU4584" s="498">
        <f t="shared" si="1581"/>
        <v>0</v>
      </c>
      <c r="AV4584" s="498">
        <f t="shared" si="1582"/>
        <v>0</v>
      </c>
      <c r="AW4584" s="498">
        <f t="shared" si="1583"/>
        <v>0</v>
      </c>
      <c r="AX4584" s="498">
        <f t="shared" si="1584"/>
        <v>0</v>
      </c>
      <c r="AY4584" s="498">
        <f t="shared" si="1585"/>
        <v>0</v>
      </c>
      <c r="BB4584" s="498" t="str">
        <f t="shared" si="1586"/>
        <v/>
      </c>
      <c r="BC4584" s="743" t="str">
        <f t="shared" si="1587"/>
        <v/>
      </c>
      <c r="BD4584" s="743" t="str">
        <f t="shared" si="1588"/>
        <v/>
      </c>
      <c r="BE4584" s="743" t="str">
        <f>IF(D4584="","",VLOOKUP(D4584,'General Basis'!$J$39:$K$46,2,0))</f>
        <v/>
      </c>
      <c r="BF4584" s="744" t="str">
        <f>IF(D4584="","",VLOOKUP(D4584,'General Basis'!$J$39:$L$46,3,0))</f>
        <v/>
      </c>
      <c r="BG4584" s="744" t="str">
        <f t="shared" si="1595"/>
        <v/>
      </c>
      <c r="BH4584" s="744" t="str">
        <f>IF(G4584="","",IF(BF4584="Abu Dhabi",IF(G4584&lt;18,'General Basis'!$C$39,IF(G4584&lt;41,'General Basis'!$C$40,IF(G4584&lt;60,'General Basis'!$C$41,IF(G4584&lt;65,'General Basis'!$C$42,'General Basis'!$C$43)))),IF(G4584&lt;11,'General Basis'!$B$39,IF(G4584&lt;18,'General Basis'!$B$40,IF(G4584&lt;26,'General Basis'!$B$41,IF(G4584&lt;31,'General Basis'!$B$42,IF(G4584&lt;36,'General Basis'!$B$43,IF(G4584&lt;41,'General Basis'!$B$44,IF(G4584&lt;46,'General Basis'!$B$45,IF(G4584&lt;51,'General Basis'!$B$46,IF(G4584&lt;56,'General Basis'!$B$47,IF(G4584&lt;60,'General Basis'!$B$48,IF(G4584&lt;65,'General Basis'!$B$49,'General Basis'!$B$50)))))))))))))</f>
        <v/>
      </c>
      <c r="BI4584" s="744" t="str">
        <f t="shared" si="1589"/>
        <v/>
      </c>
      <c r="BJ4584" s="747" t="str">
        <f t="shared" si="1596"/>
        <v/>
      </c>
      <c r="BK4584" s="498" t="str">
        <f t="shared" si="1590"/>
        <v/>
      </c>
      <c r="BL4584" s="498" t="str">
        <f t="shared" si="1591"/>
        <v/>
      </c>
    </row>
    <row r="4585" spans="1:64" x14ac:dyDescent="0.25">
      <c r="A4585" s="762">
        <f t="shared" si="1592"/>
        <v>4580</v>
      </c>
      <c r="B4585" s="229"/>
      <c r="C4585" s="223"/>
      <c r="D4585" s="224"/>
      <c r="E4585" s="225"/>
      <c r="F4585" s="1036" t="str">
        <f t="shared" si="1598"/>
        <v/>
      </c>
      <c r="G4585" s="1037" t="str">
        <f t="shared" si="1593"/>
        <v/>
      </c>
      <c r="H4585" s="225"/>
      <c r="I4585" s="1013"/>
      <c r="J4585" s="1013"/>
      <c r="K4585" s="1028"/>
      <c r="L4585" s="1035" t="str">
        <f t="shared" si="1597"/>
        <v/>
      </c>
      <c r="S4585" s="498"/>
      <c r="AJ4585" s="498"/>
      <c r="AM4585" s="498">
        <f t="shared" si="1578"/>
        <v>0</v>
      </c>
      <c r="AN4585" s="498">
        <f t="shared" si="1579"/>
        <v>0</v>
      </c>
      <c r="AO4585" s="498">
        <f t="shared" si="1580"/>
        <v>0</v>
      </c>
      <c r="AP4585" s="498">
        <f t="shared" si="1599"/>
        <v>0</v>
      </c>
      <c r="AQ4585" s="498">
        <f t="shared" si="1594"/>
        <v>0</v>
      </c>
      <c r="AU4585" s="498">
        <f t="shared" si="1581"/>
        <v>0</v>
      </c>
      <c r="AV4585" s="498">
        <f t="shared" si="1582"/>
        <v>0</v>
      </c>
      <c r="AW4585" s="498">
        <f t="shared" si="1583"/>
        <v>0</v>
      </c>
      <c r="AX4585" s="498">
        <f t="shared" si="1584"/>
        <v>0</v>
      </c>
      <c r="AY4585" s="498">
        <f t="shared" si="1585"/>
        <v>0</v>
      </c>
      <c r="BB4585" s="498" t="str">
        <f t="shared" si="1586"/>
        <v/>
      </c>
      <c r="BC4585" s="743" t="str">
        <f t="shared" si="1587"/>
        <v/>
      </c>
      <c r="BD4585" s="743" t="str">
        <f t="shared" si="1588"/>
        <v/>
      </c>
      <c r="BE4585" s="743" t="str">
        <f>IF(D4585="","",VLOOKUP(D4585,'General Basis'!$J$39:$K$46,2,0))</f>
        <v/>
      </c>
      <c r="BF4585" s="744" t="str">
        <f>IF(D4585="","",VLOOKUP(D4585,'General Basis'!$J$39:$L$46,3,0))</f>
        <v/>
      </c>
      <c r="BG4585" s="744" t="str">
        <f t="shared" si="1595"/>
        <v/>
      </c>
      <c r="BH4585" s="744" t="str">
        <f>IF(G4585="","",IF(BF4585="Abu Dhabi",IF(G4585&lt;18,'General Basis'!$C$39,IF(G4585&lt;41,'General Basis'!$C$40,IF(G4585&lt;60,'General Basis'!$C$41,IF(G4585&lt;65,'General Basis'!$C$42,'General Basis'!$C$43)))),IF(G4585&lt;11,'General Basis'!$B$39,IF(G4585&lt;18,'General Basis'!$B$40,IF(G4585&lt;26,'General Basis'!$B$41,IF(G4585&lt;31,'General Basis'!$B$42,IF(G4585&lt;36,'General Basis'!$B$43,IF(G4585&lt;41,'General Basis'!$B$44,IF(G4585&lt;46,'General Basis'!$B$45,IF(G4585&lt;51,'General Basis'!$B$46,IF(G4585&lt;56,'General Basis'!$B$47,IF(G4585&lt;60,'General Basis'!$B$48,IF(G4585&lt;65,'General Basis'!$B$49,'General Basis'!$B$50)))))))))))))</f>
        <v/>
      </c>
      <c r="BI4585" s="744" t="str">
        <f t="shared" si="1589"/>
        <v/>
      </c>
      <c r="BJ4585" s="747" t="str">
        <f t="shared" si="1596"/>
        <v/>
      </c>
      <c r="BK4585" s="498" t="str">
        <f t="shared" si="1590"/>
        <v/>
      </c>
      <c r="BL4585" s="498" t="str">
        <f t="shared" si="1591"/>
        <v/>
      </c>
    </row>
    <row r="4586" spans="1:64" x14ac:dyDescent="0.25">
      <c r="A4586" s="762">
        <f t="shared" si="1592"/>
        <v>4581</v>
      </c>
      <c r="B4586" s="229"/>
      <c r="C4586" s="223"/>
      <c r="D4586" s="224"/>
      <c r="E4586" s="225"/>
      <c r="F4586" s="1036" t="str">
        <f t="shared" si="1598"/>
        <v/>
      </c>
      <c r="G4586" s="1037" t="str">
        <f t="shared" si="1593"/>
        <v/>
      </c>
      <c r="H4586" s="225"/>
      <c r="I4586" s="1013"/>
      <c r="J4586" s="1013"/>
      <c r="K4586" s="1028"/>
      <c r="L4586" s="1035" t="str">
        <f t="shared" si="1597"/>
        <v/>
      </c>
      <c r="S4586" s="498"/>
      <c r="AJ4586" s="498"/>
      <c r="AM4586" s="498">
        <f t="shared" si="1578"/>
        <v>0</v>
      </c>
      <c r="AN4586" s="498">
        <f t="shared" si="1579"/>
        <v>0</v>
      </c>
      <c r="AO4586" s="498">
        <f t="shared" si="1580"/>
        <v>0</v>
      </c>
      <c r="AP4586" s="498">
        <f t="shared" si="1599"/>
        <v>0</v>
      </c>
      <c r="AQ4586" s="498">
        <f t="shared" si="1594"/>
        <v>0</v>
      </c>
      <c r="AU4586" s="498">
        <f t="shared" si="1581"/>
        <v>0</v>
      </c>
      <c r="AV4586" s="498">
        <f t="shared" si="1582"/>
        <v>0</v>
      </c>
      <c r="AW4586" s="498">
        <f t="shared" si="1583"/>
        <v>0</v>
      </c>
      <c r="AX4586" s="498">
        <f t="shared" si="1584"/>
        <v>0</v>
      </c>
      <c r="AY4586" s="498">
        <f t="shared" si="1585"/>
        <v>0</v>
      </c>
      <c r="BB4586" s="498" t="str">
        <f t="shared" si="1586"/>
        <v/>
      </c>
      <c r="BC4586" s="743" t="str">
        <f t="shared" si="1587"/>
        <v/>
      </c>
      <c r="BD4586" s="743" t="str">
        <f t="shared" si="1588"/>
        <v/>
      </c>
      <c r="BE4586" s="743" t="str">
        <f>IF(D4586="","",VLOOKUP(D4586,'General Basis'!$J$39:$K$46,2,0))</f>
        <v/>
      </c>
      <c r="BF4586" s="744" t="str">
        <f>IF(D4586="","",VLOOKUP(D4586,'General Basis'!$J$39:$L$46,3,0))</f>
        <v/>
      </c>
      <c r="BG4586" s="744" t="str">
        <f t="shared" si="1595"/>
        <v/>
      </c>
      <c r="BH4586" s="744" t="str">
        <f>IF(G4586="","",IF(BF4586="Abu Dhabi",IF(G4586&lt;18,'General Basis'!$C$39,IF(G4586&lt;41,'General Basis'!$C$40,IF(G4586&lt;60,'General Basis'!$C$41,IF(G4586&lt;65,'General Basis'!$C$42,'General Basis'!$C$43)))),IF(G4586&lt;11,'General Basis'!$B$39,IF(G4586&lt;18,'General Basis'!$B$40,IF(G4586&lt;26,'General Basis'!$B$41,IF(G4586&lt;31,'General Basis'!$B$42,IF(G4586&lt;36,'General Basis'!$B$43,IF(G4586&lt;41,'General Basis'!$B$44,IF(G4586&lt;46,'General Basis'!$B$45,IF(G4586&lt;51,'General Basis'!$B$46,IF(G4586&lt;56,'General Basis'!$B$47,IF(G4586&lt;60,'General Basis'!$B$48,IF(G4586&lt;65,'General Basis'!$B$49,'General Basis'!$B$50)))))))))))))</f>
        <v/>
      </c>
      <c r="BI4586" s="744" t="str">
        <f t="shared" si="1589"/>
        <v/>
      </c>
      <c r="BJ4586" s="747" t="str">
        <f t="shared" si="1596"/>
        <v/>
      </c>
      <c r="BK4586" s="498" t="str">
        <f t="shared" si="1590"/>
        <v/>
      </c>
      <c r="BL4586" s="498" t="str">
        <f t="shared" si="1591"/>
        <v/>
      </c>
    </row>
    <row r="4587" spans="1:64" x14ac:dyDescent="0.25">
      <c r="A4587" s="762">
        <f t="shared" si="1592"/>
        <v>4582</v>
      </c>
      <c r="B4587" s="229"/>
      <c r="C4587" s="223"/>
      <c r="D4587" s="224"/>
      <c r="E4587" s="225"/>
      <c r="F4587" s="1036" t="str">
        <f t="shared" si="1598"/>
        <v/>
      </c>
      <c r="G4587" s="1037" t="str">
        <f t="shared" si="1593"/>
        <v/>
      </c>
      <c r="H4587" s="225"/>
      <c r="I4587" s="1013"/>
      <c r="J4587" s="1013"/>
      <c r="K4587" s="1028"/>
      <c r="L4587" s="1035" t="str">
        <f t="shared" si="1597"/>
        <v/>
      </c>
      <c r="S4587" s="498"/>
      <c r="AJ4587" s="498"/>
      <c r="AM4587" s="498">
        <f t="shared" si="1578"/>
        <v>0</v>
      </c>
      <c r="AN4587" s="498">
        <f t="shared" si="1579"/>
        <v>0</v>
      </c>
      <c r="AO4587" s="498">
        <f t="shared" si="1580"/>
        <v>0</v>
      </c>
      <c r="AP4587" s="498">
        <f t="shared" si="1599"/>
        <v>0</v>
      </c>
      <c r="AQ4587" s="498">
        <f t="shared" si="1594"/>
        <v>0</v>
      </c>
      <c r="AU4587" s="498">
        <f t="shared" si="1581"/>
        <v>0</v>
      </c>
      <c r="AV4587" s="498">
        <f t="shared" si="1582"/>
        <v>0</v>
      </c>
      <c r="AW4587" s="498">
        <f t="shared" si="1583"/>
        <v>0</v>
      </c>
      <c r="AX4587" s="498">
        <f t="shared" si="1584"/>
        <v>0</v>
      </c>
      <c r="AY4587" s="498">
        <f t="shared" si="1585"/>
        <v>0</v>
      </c>
      <c r="BB4587" s="498" t="str">
        <f t="shared" si="1586"/>
        <v/>
      </c>
      <c r="BC4587" s="743" t="str">
        <f t="shared" si="1587"/>
        <v/>
      </c>
      <c r="BD4587" s="743" t="str">
        <f t="shared" si="1588"/>
        <v/>
      </c>
      <c r="BE4587" s="743" t="str">
        <f>IF(D4587="","",VLOOKUP(D4587,'General Basis'!$J$39:$K$46,2,0))</f>
        <v/>
      </c>
      <c r="BF4587" s="744" t="str">
        <f>IF(D4587="","",VLOOKUP(D4587,'General Basis'!$J$39:$L$46,3,0))</f>
        <v/>
      </c>
      <c r="BG4587" s="744" t="str">
        <f t="shared" si="1595"/>
        <v/>
      </c>
      <c r="BH4587" s="744" t="str">
        <f>IF(G4587="","",IF(BF4587="Abu Dhabi",IF(G4587&lt;18,'General Basis'!$C$39,IF(G4587&lt;41,'General Basis'!$C$40,IF(G4587&lt;60,'General Basis'!$C$41,IF(G4587&lt;65,'General Basis'!$C$42,'General Basis'!$C$43)))),IF(G4587&lt;11,'General Basis'!$B$39,IF(G4587&lt;18,'General Basis'!$B$40,IF(G4587&lt;26,'General Basis'!$B$41,IF(G4587&lt;31,'General Basis'!$B$42,IF(G4587&lt;36,'General Basis'!$B$43,IF(G4587&lt;41,'General Basis'!$B$44,IF(G4587&lt;46,'General Basis'!$B$45,IF(G4587&lt;51,'General Basis'!$B$46,IF(G4587&lt;56,'General Basis'!$B$47,IF(G4587&lt;60,'General Basis'!$B$48,IF(G4587&lt;65,'General Basis'!$B$49,'General Basis'!$B$50)))))))))))))</f>
        <v/>
      </c>
      <c r="BI4587" s="744" t="str">
        <f t="shared" si="1589"/>
        <v/>
      </c>
      <c r="BJ4587" s="747" t="str">
        <f t="shared" si="1596"/>
        <v/>
      </c>
      <c r="BK4587" s="498" t="str">
        <f t="shared" si="1590"/>
        <v/>
      </c>
      <c r="BL4587" s="498" t="str">
        <f t="shared" si="1591"/>
        <v/>
      </c>
    </row>
    <row r="4588" spans="1:64" x14ac:dyDescent="0.25">
      <c r="A4588" s="762">
        <f t="shared" si="1592"/>
        <v>4583</v>
      </c>
      <c r="B4588" s="229"/>
      <c r="C4588" s="223"/>
      <c r="D4588" s="224"/>
      <c r="E4588" s="225"/>
      <c r="F4588" s="1036" t="str">
        <f t="shared" si="1598"/>
        <v/>
      </c>
      <c r="G4588" s="1037" t="str">
        <f t="shared" si="1593"/>
        <v/>
      </c>
      <c r="H4588" s="225"/>
      <c r="I4588" s="1013"/>
      <c r="J4588" s="1013"/>
      <c r="K4588" s="1028"/>
      <c r="L4588" s="1035" t="str">
        <f t="shared" si="1597"/>
        <v/>
      </c>
      <c r="S4588" s="498"/>
      <c r="AJ4588" s="498"/>
      <c r="AM4588" s="498">
        <f t="shared" si="1578"/>
        <v>0</v>
      </c>
      <c r="AN4588" s="498">
        <f t="shared" si="1579"/>
        <v>0</v>
      </c>
      <c r="AO4588" s="498">
        <f t="shared" si="1580"/>
        <v>0</v>
      </c>
      <c r="AP4588" s="498">
        <f t="shared" si="1599"/>
        <v>0</v>
      </c>
      <c r="AQ4588" s="498">
        <f t="shared" si="1594"/>
        <v>0</v>
      </c>
      <c r="AU4588" s="498">
        <f t="shared" si="1581"/>
        <v>0</v>
      </c>
      <c r="AV4588" s="498">
        <f t="shared" si="1582"/>
        <v>0</v>
      </c>
      <c r="AW4588" s="498">
        <f t="shared" si="1583"/>
        <v>0</v>
      </c>
      <c r="AX4588" s="498">
        <f t="shared" si="1584"/>
        <v>0</v>
      </c>
      <c r="AY4588" s="498">
        <f t="shared" si="1585"/>
        <v>0</v>
      </c>
      <c r="BB4588" s="498" t="str">
        <f t="shared" si="1586"/>
        <v/>
      </c>
      <c r="BC4588" s="743" t="str">
        <f t="shared" si="1587"/>
        <v/>
      </c>
      <c r="BD4588" s="743" t="str">
        <f t="shared" si="1588"/>
        <v/>
      </c>
      <c r="BE4588" s="743" t="str">
        <f>IF(D4588="","",VLOOKUP(D4588,'General Basis'!$J$39:$K$46,2,0))</f>
        <v/>
      </c>
      <c r="BF4588" s="744" t="str">
        <f>IF(D4588="","",VLOOKUP(D4588,'General Basis'!$J$39:$L$46,3,0))</f>
        <v/>
      </c>
      <c r="BG4588" s="744" t="str">
        <f t="shared" si="1595"/>
        <v/>
      </c>
      <c r="BH4588" s="744" t="str">
        <f>IF(G4588="","",IF(BF4588="Abu Dhabi",IF(G4588&lt;18,'General Basis'!$C$39,IF(G4588&lt;41,'General Basis'!$C$40,IF(G4588&lt;60,'General Basis'!$C$41,IF(G4588&lt;65,'General Basis'!$C$42,'General Basis'!$C$43)))),IF(G4588&lt;11,'General Basis'!$B$39,IF(G4588&lt;18,'General Basis'!$B$40,IF(G4588&lt;26,'General Basis'!$B$41,IF(G4588&lt;31,'General Basis'!$B$42,IF(G4588&lt;36,'General Basis'!$B$43,IF(G4588&lt;41,'General Basis'!$B$44,IF(G4588&lt;46,'General Basis'!$B$45,IF(G4588&lt;51,'General Basis'!$B$46,IF(G4588&lt;56,'General Basis'!$B$47,IF(G4588&lt;60,'General Basis'!$B$48,IF(G4588&lt;65,'General Basis'!$B$49,'General Basis'!$B$50)))))))))))))</f>
        <v/>
      </c>
      <c r="BI4588" s="744" t="str">
        <f t="shared" si="1589"/>
        <v/>
      </c>
      <c r="BJ4588" s="747" t="str">
        <f t="shared" si="1596"/>
        <v/>
      </c>
      <c r="BK4588" s="498" t="str">
        <f t="shared" si="1590"/>
        <v/>
      </c>
      <c r="BL4588" s="498" t="str">
        <f t="shared" si="1591"/>
        <v/>
      </c>
    </row>
    <row r="4589" spans="1:64" x14ac:dyDescent="0.25">
      <c r="A4589" s="762">
        <f t="shared" si="1592"/>
        <v>4584</v>
      </c>
      <c r="B4589" s="229"/>
      <c r="C4589" s="223"/>
      <c r="D4589" s="224"/>
      <c r="E4589" s="225"/>
      <c r="F4589" s="1036" t="str">
        <f t="shared" si="1598"/>
        <v/>
      </c>
      <c r="G4589" s="1037" t="str">
        <f t="shared" si="1593"/>
        <v/>
      </c>
      <c r="H4589" s="225"/>
      <c r="I4589" s="1013"/>
      <c r="J4589" s="1013"/>
      <c r="K4589" s="1028"/>
      <c r="L4589" s="1035" t="str">
        <f t="shared" si="1597"/>
        <v/>
      </c>
      <c r="S4589" s="498"/>
      <c r="AJ4589" s="498"/>
      <c r="AM4589" s="498">
        <f t="shared" si="1578"/>
        <v>0</v>
      </c>
      <c r="AN4589" s="498">
        <f t="shared" si="1579"/>
        <v>0</v>
      </c>
      <c r="AO4589" s="498">
        <f t="shared" si="1580"/>
        <v>0</v>
      </c>
      <c r="AP4589" s="498">
        <f t="shared" si="1599"/>
        <v>0</v>
      </c>
      <c r="AQ4589" s="498">
        <f t="shared" si="1594"/>
        <v>0</v>
      </c>
      <c r="AU4589" s="498">
        <f t="shared" si="1581"/>
        <v>0</v>
      </c>
      <c r="AV4589" s="498">
        <f t="shared" si="1582"/>
        <v>0</v>
      </c>
      <c r="AW4589" s="498">
        <f t="shared" si="1583"/>
        <v>0</v>
      </c>
      <c r="AX4589" s="498">
        <f t="shared" si="1584"/>
        <v>0</v>
      </c>
      <c r="AY4589" s="498">
        <f t="shared" si="1585"/>
        <v>0</v>
      </c>
      <c r="BB4589" s="498" t="str">
        <f t="shared" si="1586"/>
        <v/>
      </c>
      <c r="BC4589" s="743" t="str">
        <f t="shared" si="1587"/>
        <v/>
      </c>
      <c r="BD4589" s="743" t="str">
        <f t="shared" si="1588"/>
        <v/>
      </c>
      <c r="BE4589" s="743" t="str">
        <f>IF(D4589="","",VLOOKUP(D4589,'General Basis'!$J$39:$K$46,2,0))</f>
        <v/>
      </c>
      <c r="BF4589" s="744" t="str">
        <f>IF(D4589="","",VLOOKUP(D4589,'General Basis'!$J$39:$L$46,3,0))</f>
        <v/>
      </c>
      <c r="BG4589" s="744" t="str">
        <f t="shared" si="1595"/>
        <v/>
      </c>
      <c r="BH4589" s="744" t="str">
        <f>IF(G4589="","",IF(BF4589="Abu Dhabi",IF(G4589&lt;18,'General Basis'!$C$39,IF(G4589&lt;41,'General Basis'!$C$40,IF(G4589&lt;60,'General Basis'!$C$41,IF(G4589&lt;65,'General Basis'!$C$42,'General Basis'!$C$43)))),IF(G4589&lt;11,'General Basis'!$B$39,IF(G4589&lt;18,'General Basis'!$B$40,IF(G4589&lt;26,'General Basis'!$B$41,IF(G4589&lt;31,'General Basis'!$B$42,IF(G4589&lt;36,'General Basis'!$B$43,IF(G4589&lt;41,'General Basis'!$B$44,IF(G4589&lt;46,'General Basis'!$B$45,IF(G4589&lt;51,'General Basis'!$B$46,IF(G4589&lt;56,'General Basis'!$B$47,IF(G4589&lt;60,'General Basis'!$B$48,IF(G4589&lt;65,'General Basis'!$B$49,'General Basis'!$B$50)))))))))))))</f>
        <v/>
      </c>
      <c r="BI4589" s="744" t="str">
        <f t="shared" si="1589"/>
        <v/>
      </c>
      <c r="BJ4589" s="747" t="str">
        <f t="shared" si="1596"/>
        <v/>
      </c>
      <c r="BK4589" s="498" t="str">
        <f t="shared" si="1590"/>
        <v/>
      </c>
      <c r="BL4589" s="498" t="str">
        <f t="shared" si="1591"/>
        <v/>
      </c>
    </row>
    <row r="4590" spans="1:64" x14ac:dyDescent="0.25">
      <c r="A4590" s="762">
        <f t="shared" si="1592"/>
        <v>4585</v>
      </c>
      <c r="B4590" s="229"/>
      <c r="C4590" s="223"/>
      <c r="D4590" s="224"/>
      <c r="E4590" s="225"/>
      <c r="F4590" s="1036" t="str">
        <f t="shared" si="1598"/>
        <v/>
      </c>
      <c r="G4590" s="1037" t="str">
        <f t="shared" si="1593"/>
        <v/>
      </c>
      <c r="H4590" s="225"/>
      <c r="I4590" s="1013"/>
      <c r="J4590" s="1013"/>
      <c r="K4590" s="1028"/>
      <c r="L4590" s="1035" t="str">
        <f t="shared" si="1597"/>
        <v/>
      </c>
      <c r="S4590" s="498"/>
      <c r="AJ4590" s="498"/>
      <c r="AM4590" s="498">
        <f t="shared" si="1578"/>
        <v>0</v>
      </c>
      <c r="AN4590" s="498">
        <f t="shared" si="1579"/>
        <v>0</v>
      </c>
      <c r="AO4590" s="498">
        <f t="shared" si="1580"/>
        <v>0</v>
      </c>
      <c r="AP4590" s="498">
        <f t="shared" si="1599"/>
        <v>0</v>
      </c>
      <c r="AQ4590" s="498">
        <f t="shared" si="1594"/>
        <v>0</v>
      </c>
      <c r="AU4590" s="498">
        <f t="shared" si="1581"/>
        <v>0</v>
      </c>
      <c r="AV4590" s="498">
        <f t="shared" si="1582"/>
        <v>0</v>
      </c>
      <c r="AW4590" s="498">
        <f t="shared" si="1583"/>
        <v>0</v>
      </c>
      <c r="AX4590" s="498">
        <f t="shared" si="1584"/>
        <v>0</v>
      </c>
      <c r="AY4590" s="498">
        <f t="shared" si="1585"/>
        <v>0</v>
      </c>
      <c r="BB4590" s="498" t="str">
        <f t="shared" si="1586"/>
        <v/>
      </c>
      <c r="BC4590" s="743" t="str">
        <f t="shared" si="1587"/>
        <v/>
      </c>
      <c r="BD4590" s="743" t="str">
        <f t="shared" si="1588"/>
        <v/>
      </c>
      <c r="BE4590" s="743" t="str">
        <f>IF(D4590="","",VLOOKUP(D4590,'General Basis'!$J$39:$K$46,2,0))</f>
        <v/>
      </c>
      <c r="BF4590" s="744" t="str">
        <f>IF(D4590="","",VLOOKUP(D4590,'General Basis'!$J$39:$L$46,3,0))</f>
        <v/>
      </c>
      <c r="BG4590" s="744" t="str">
        <f t="shared" si="1595"/>
        <v/>
      </c>
      <c r="BH4590" s="744" t="str">
        <f>IF(G4590="","",IF(BF4590="Abu Dhabi",IF(G4590&lt;18,'General Basis'!$C$39,IF(G4590&lt;41,'General Basis'!$C$40,IF(G4590&lt;60,'General Basis'!$C$41,IF(G4590&lt;65,'General Basis'!$C$42,'General Basis'!$C$43)))),IF(G4590&lt;11,'General Basis'!$B$39,IF(G4590&lt;18,'General Basis'!$B$40,IF(G4590&lt;26,'General Basis'!$B$41,IF(G4590&lt;31,'General Basis'!$B$42,IF(G4590&lt;36,'General Basis'!$B$43,IF(G4590&lt;41,'General Basis'!$B$44,IF(G4590&lt;46,'General Basis'!$B$45,IF(G4590&lt;51,'General Basis'!$B$46,IF(G4590&lt;56,'General Basis'!$B$47,IF(G4590&lt;60,'General Basis'!$B$48,IF(G4590&lt;65,'General Basis'!$B$49,'General Basis'!$B$50)))))))))))))</f>
        <v/>
      </c>
      <c r="BI4590" s="744" t="str">
        <f t="shared" si="1589"/>
        <v/>
      </c>
      <c r="BJ4590" s="747" t="str">
        <f t="shared" si="1596"/>
        <v/>
      </c>
      <c r="BK4590" s="498" t="str">
        <f t="shared" si="1590"/>
        <v/>
      </c>
      <c r="BL4590" s="498" t="str">
        <f t="shared" si="1591"/>
        <v/>
      </c>
    </row>
    <row r="4591" spans="1:64" x14ac:dyDescent="0.25">
      <c r="A4591" s="762">
        <f t="shared" si="1592"/>
        <v>4586</v>
      </c>
      <c r="B4591" s="229"/>
      <c r="C4591" s="223"/>
      <c r="D4591" s="224"/>
      <c r="E4591" s="225"/>
      <c r="F4591" s="1036" t="str">
        <f t="shared" si="1598"/>
        <v/>
      </c>
      <c r="G4591" s="1037" t="str">
        <f t="shared" si="1593"/>
        <v/>
      </c>
      <c r="H4591" s="225"/>
      <c r="I4591" s="1013"/>
      <c r="J4591" s="1013"/>
      <c r="K4591" s="1028"/>
      <c r="L4591" s="1035" t="str">
        <f t="shared" si="1597"/>
        <v/>
      </c>
      <c r="S4591" s="498"/>
      <c r="AJ4591" s="498"/>
      <c r="AM4591" s="498">
        <f t="shared" si="1578"/>
        <v>0</v>
      </c>
      <c r="AN4591" s="498">
        <f t="shared" si="1579"/>
        <v>0</v>
      </c>
      <c r="AO4591" s="498">
        <f t="shared" si="1580"/>
        <v>0</v>
      </c>
      <c r="AP4591" s="498">
        <f t="shared" si="1599"/>
        <v>0</v>
      </c>
      <c r="AQ4591" s="498">
        <f t="shared" si="1594"/>
        <v>0</v>
      </c>
      <c r="AU4591" s="498">
        <f t="shared" si="1581"/>
        <v>0</v>
      </c>
      <c r="AV4591" s="498">
        <f t="shared" si="1582"/>
        <v>0</v>
      </c>
      <c r="AW4591" s="498">
        <f t="shared" si="1583"/>
        <v>0</v>
      </c>
      <c r="AX4591" s="498">
        <f t="shared" si="1584"/>
        <v>0</v>
      </c>
      <c r="AY4591" s="498">
        <f t="shared" si="1585"/>
        <v>0</v>
      </c>
      <c r="BB4591" s="498" t="str">
        <f t="shared" si="1586"/>
        <v/>
      </c>
      <c r="BC4591" s="743" t="str">
        <f t="shared" si="1587"/>
        <v/>
      </c>
      <c r="BD4591" s="743" t="str">
        <f t="shared" si="1588"/>
        <v/>
      </c>
      <c r="BE4591" s="743" t="str">
        <f>IF(D4591="","",VLOOKUP(D4591,'General Basis'!$J$39:$K$46,2,0))</f>
        <v/>
      </c>
      <c r="BF4591" s="744" t="str">
        <f>IF(D4591="","",VLOOKUP(D4591,'General Basis'!$J$39:$L$46,3,0))</f>
        <v/>
      </c>
      <c r="BG4591" s="744" t="str">
        <f t="shared" si="1595"/>
        <v/>
      </c>
      <c r="BH4591" s="744" t="str">
        <f>IF(G4591="","",IF(BF4591="Abu Dhabi",IF(G4591&lt;18,'General Basis'!$C$39,IF(G4591&lt;41,'General Basis'!$C$40,IF(G4591&lt;60,'General Basis'!$C$41,IF(G4591&lt;65,'General Basis'!$C$42,'General Basis'!$C$43)))),IF(G4591&lt;11,'General Basis'!$B$39,IF(G4591&lt;18,'General Basis'!$B$40,IF(G4591&lt;26,'General Basis'!$B$41,IF(G4591&lt;31,'General Basis'!$B$42,IF(G4591&lt;36,'General Basis'!$B$43,IF(G4591&lt;41,'General Basis'!$B$44,IF(G4591&lt;46,'General Basis'!$B$45,IF(G4591&lt;51,'General Basis'!$B$46,IF(G4591&lt;56,'General Basis'!$B$47,IF(G4591&lt;60,'General Basis'!$B$48,IF(G4591&lt;65,'General Basis'!$B$49,'General Basis'!$B$50)))))))))))))</f>
        <v/>
      </c>
      <c r="BI4591" s="744" t="str">
        <f t="shared" si="1589"/>
        <v/>
      </c>
      <c r="BJ4591" s="747" t="str">
        <f t="shared" si="1596"/>
        <v/>
      </c>
      <c r="BK4591" s="498" t="str">
        <f t="shared" si="1590"/>
        <v/>
      </c>
      <c r="BL4591" s="498" t="str">
        <f t="shared" si="1591"/>
        <v/>
      </c>
    </row>
    <row r="4592" spans="1:64" x14ac:dyDescent="0.25">
      <c r="A4592" s="762">
        <f t="shared" si="1592"/>
        <v>4587</v>
      </c>
      <c r="B4592" s="229"/>
      <c r="C4592" s="223"/>
      <c r="D4592" s="224"/>
      <c r="E4592" s="225"/>
      <c r="F4592" s="1036" t="str">
        <f t="shared" si="1598"/>
        <v/>
      </c>
      <c r="G4592" s="1037" t="str">
        <f t="shared" si="1593"/>
        <v/>
      </c>
      <c r="H4592" s="225"/>
      <c r="I4592" s="1013"/>
      <c r="J4592" s="1013"/>
      <c r="K4592" s="1028"/>
      <c r="L4592" s="1035" t="str">
        <f t="shared" si="1597"/>
        <v/>
      </c>
      <c r="S4592" s="498"/>
      <c r="AJ4592" s="498"/>
      <c r="AM4592" s="498">
        <f t="shared" si="1578"/>
        <v>0</v>
      </c>
      <c r="AN4592" s="498">
        <f t="shared" si="1579"/>
        <v>0</v>
      </c>
      <c r="AO4592" s="498">
        <f t="shared" si="1580"/>
        <v>0</v>
      </c>
      <c r="AP4592" s="498">
        <f t="shared" si="1599"/>
        <v>0</v>
      </c>
      <c r="AQ4592" s="498">
        <f t="shared" si="1594"/>
        <v>0</v>
      </c>
      <c r="AU4592" s="498">
        <f t="shared" si="1581"/>
        <v>0</v>
      </c>
      <c r="AV4592" s="498">
        <f t="shared" si="1582"/>
        <v>0</v>
      </c>
      <c r="AW4592" s="498">
        <f t="shared" si="1583"/>
        <v>0</v>
      </c>
      <c r="AX4592" s="498">
        <f t="shared" si="1584"/>
        <v>0</v>
      </c>
      <c r="AY4592" s="498">
        <f t="shared" si="1585"/>
        <v>0</v>
      </c>
      <c r="BB4592" s="498" t="str">
        <f t="shared" si="1586"/>
        <v/>
      </c>
      <c r="BC4592" s="743" t="str">
        <f t="shared" si="1587"/>
        <v/>
      </c>
      <c r="BD4592" s="743" t="str">
        <f t="shared" si="1588"/>
        <v/>
      </c>
      <c r="BE4592" s="743" t="str">
        <f>IF(D4592="","",VLOOKUP(D4592,'General Basis'!$J$39:$K$46,2,0))</f>
        <v/>
      </c>
      <c r="BF4592" s="744" t="str">
        <f>IF(D4592="","",VLOOKUP(D4592,'General Basis'!$J$39:$L$46,3,0))</f>
        <v/>
      </c>
      <c r="BG4592" s="744" t="str">
        <f t="shared" si="1595"/>
        <v/>
      </c>
      <c r="BH4592" s="744" t="str">
        <f>IF(G4592="","",IF(BF4592="Abu Dhabi",IF(G4592&lt;18,'General Basis'!$C$39,IF(G4592&lt;41,'General Basis'!$C$40,IF(G4592&lt;60,'General Basis'!$C$41,IF(G4592&lt;65,'General Basis'!$C$42,'General Basis'!$C$43)))),IF(G4592&lt;11,'General Basis'!$B$39,IF(G4592&lt;18,'General Basis'!$B$40,IF(G4592&lt;26,'General Basis'!$B$41,IF(G4592&lt;31,'General Basis'!$B$42,IF(G4592&lt;36,'General Basis'!$B$43,IF(G4592&lt;41,'General Basis'!$B$44,IF(G4592&lt;46,'General Basis'!$B$45,IF(G4592&lt;51,'General Basis'!$B$46,IF(G4592&lt;56,'General Basis'!$B$47,IF(G4592&lt;60,'General Basis'!$B$48,IF(G4592&lt;65,'General Basis'!$B$49,'General Basis'!$B$50)))))))))))))</f>
        <v/>
      </c>
      <c r="BI4592" s="744" t="str">
        <f t="shared" si="1589"/>
        <v/>
      </c>
      <c r="BJ4592" s="747" t="str">
        <f t="shared" si="1596"/>
        <v/>
      </c>
      <c r="BK4592" s="498" t="str">
        <f t="shared" si="1590"/>
        <v/>
      </c>
      <c r="BL4592" s="498" t="str">
        <f t="shared" si="1591"/>
        <v/>
      </c>
    </row>
    <row r="4593" spans="1:64" x14ac:dyDescent="0.25">
      <c r="A4593" s="762">
        <f t="shared" si="1592"/>
        <v>4588</v>
      </c>
      <c r="B4593" s="229"/>
      <c r="C4593" s="223"/>
      <c r="D4593" s="224"/>
      <c r="E4593" s="225"/>
      <c r="F4593" s="1036" t="str">
        <f t="shared" si="1598"/>
        <v/>
      </c>
      <c r="G4593" s="1037" t="str">
        <f t="shared" si="1593"/>
        <v/>
      </c>
      <c r="H4593" s="225"/>
      <c r="I4593" s="1013"/>
      <c r="J4593" s="1013"/>
      <c r="K4593" s="1028"/>
      <c r="L4593" s="1035" t="str">
        <f t="shared" si="1597"/>
        <v/>
      </c>
      <c r="S4593" s="498"/>
      <c r="AJ4593" s="498"/>
      <c r="AM4593" s="498">
        <f t="shared" si="1578"/>
        <v>0</v>
      </c>
      <c r="AN4593" s="498">
        <f t="shared" si="1579"/>
        <v>0</v>
      </c>
      <c r="AO4593" s="498">
        <f t="shared" si="1580"/>
        <v>0</v>
      </c>
      <c r="AP4593" s="498">
        <f t="shared" si="1599"/>
        <v>0</v>
      </c>
      <c r="AQ4593" s="498">
        <f t="shared" si="1594"/>
        <v>0</v>
      </c>
      <c r="AU4593" s="498">
        <f t="shared" si="1581"/>
        <v>0</v>
      </c>
      <c r="AV4593" s="498">
        <f t="shared" si="1582"/>
        <v>0</v>
      </c>
      <c r="AW4593" s="498">
        <f t="shared" si="1583"/>
        <v>0</v>
      </c>
      <c r="AX4593" s="498">
        <f t="shared" si="1584"/>
        <v>0</v>
      </c>
      <c r="AY4593" s="498">
        <f t="shared" si="1585"/>
        <v>0</v>
      </c>
      <c r="BB4593" s="498" t="str">
        <f t="shared" si="1586"/>
        <v/>
      </c>
      <c r="BC4593" s="743" t="str">
        <f t="shared" si="1587"/>
        <v/>
      </c>
      <c r="BD4593" s="743" t="str">
        <f t="shared" si="1588"/>
        <v/>
      </c>
      <c r="BE4593" s="743" t="str">
        <f>IF(D4593="","",VLOOKUP(D4593,'General Basis'!$J$39:$K$46,2,0))</f>
        <v/>
      </c>
      <c r="BF4593" s="744" t="str">
        <f>IF(D4593="","",VLOOKUP(D4593,'General Basis'!$J$39:$L$46,3,0))</f>
        <v/>
      </c>
      <c r="BG4593" s="744" t="str">
        <f t="shared" si="1595"/>
        <v/>
      </c>
      <c r="BH4593" s="744" t="str">
        <f>IF(G4593="","",IF(BF4593="Abu Dhabi",IF(G4593&lt;18,'General Basis'!$C$39,IF(G4593&lt;41,'General Basis'!$C$40,IF(G4593&lt;60,'General Basis'!$C$41,IF(G4593&lt;65,'General Basis'!$C$42,'General Basis'!$C$43)))),IF(G4593&lt;11,'General Basis'!$B$39,IF(G4593&lt;18,'General Basis'!$B$40,IF(G4593&lt;26,'General Basis'!$B$41,IF(G4593&lt;31,'General Basis'!$B$42,IF(G4593&lt;36,'General Basis'!$B$43,IF(G4593&lt;41,'General Basis'!$B$44,IF(G4593&lt;46,'General Basis'!$B$45,IF(G4593&lt;51,'General Basis'!$B$46,IF(G4593&lt;56,'General Basis'!$B$47,IF(G4593&lt;60,'General Basis'!$B$48,IF(G4593&lt;65,'General Basis'!$B$49,'General Basis'!$B$50)))))))))))))</f>
        <v/>
      </c>
      <c r="BI4593" s="744" t="str">
        <f t="shared" si="1589"/>
        <v/>
      </c>
      <c r="BJ4593" s="747" t="str">
        <f t="shared" si="1596"/>
        <v/>
      </c>
      <c r="BK4593" s="498" t="str">
        <f t="shared" si="1590"/>
        <v/>
      </c>
      <c r="BL4593" s="498" t="str">
        <f t="shared" si="1591"/>
        <v/>
      </c>
    </row>
    <row r="4594" spans="1:64" x14ac:dyDescent="0.25">
      <c r="A4594" s="762">
        <f t="shared" si="1592"/>
        <v>4589</v>
      </c>
      <c r="B4594" s="229"/>
      <c r="C4594" s="223"/>
      <c r="D4594" s="224"/>
      <c r="E4594" s="225"/>
      <c r="F4594" s="1036" t="str">
        <f t="shared" si="1598"/>
        <v/>
      </c>
      <c r="G4594" s="1037" t="str">
        <f t="shared" si="1593"/>
        <v/>
      </c>
      <c r="H4594" s="225"/>
      <c r="I4594" s="1013"/>
      <c r="J4594" s="1013"/>
      <c r="K4594" s="1028"/>
      <c r="L4594" s="1035" t="str">
        <f t="shared" si="1597"/>
        <v/>
      </c>
      <c r="S4594" s="498"/>
      <c r="AJ4594" s="498"/>
      <c r="AM4594" s="498">
        <f t="shared" si="1578"/>
        <v>0</v>
      </c>
      <c r="AN4594" s="498">
        <f t="shared" si="1579"/>
        <v>0</v>
      </c>
      <c r="AO4594" s="498">
        <f t="shared" si="1580"/>
        <v>0</v>
      </c>
      <c r="AP4594" s="498">
        <f t="shared" si="1599"/>
        <v>0</v>
      </c>
      <c r="AQ4594" s="498">
        <f t="shared" si="1594"/>
        <v>0</v>
      </c>
      <c r="AU4594" s="498">
        <f t="shared" si="1581"/>
        <v>0</v>
      </c>
      <c r="AV4594" s="498">
        <f t="shared" si="1582"/>
        <v>0</v>
      </c>
      <c r="AW4594" s="498">
        <f t="shared" si="1583"/>
        <v>0</v>
      </c>
      <c r="AX4594" s="498">
        <f t="shared" si="1584"/>
        <v>0</v>
      </c>
      <c r="AY4594" s="498">
        <f t="shared" si="1585"/>
        <v>0</v>
      </c>
      <c r="BB4594" s="498" t="str">
        <f t="shared" si="1586"/>
        <v/>
      </c>
      <c r="BC4594" s="743" t="str">
        <f t="shared" si="1587"/>
        <v/>
      </c>
      <c r="BD4594" s="743" t="str">
        <f t="shared" si="1588"/>
        <v/>
      </c>
      <c r="BE4594" s="743" t="str">
        <f>IF(D4594="","",VLOOKUP(D4594,'General Basis'!$J$39:$K$46,2,0))</f>
        <v/>
      </c>
      <c r="BF4594" s="744" t="str">
        <f>IF(D4594="","",VLOOKUP(D4594,'General Basis'!$J$39:$L$46,3,0))</f>
        <v/>
      </c>
      <c r="BG4594" s="744" t="str">
        <f t="shared" si="1595"/>
        <v/>
      </c>
      <c r="BH4594" s="744" t="str">
        <f>IF(G4594="","",IF(BF4594="Abu Dhabi",IF(G4594&lt;18,'General Basis'!$C$39,IF(G4594&lt;41,'General Basis'!$C$40,IF(G4594&lt;60,'General Basis'!$C$41,IF(G4594&lt;65,'General Basis'!$C$42,'General Basis'!$C$43)))),IF(G4594&lt;11,'General Basis'!$B$39,IF(G4594&lt;18,'General Basis'!$B$40,IF(G4594&lt;26,'General Basis'!$B$41,IF(G4594&lt;31,'General Basis'!$B$42,IF(G4594&lt;36,'General Basis'!$B$43,IF(G4594&lt;41,'General Basis'!$B$44,IF(G4594&lt;46,'General Basis'!$B$45,IF(G4594&lt;51,'General Basis'!$B$46,IF(G4594&lt;56,'General Basis'!$B$47,IF(G4594&lt;60,'General Basis'!$B$48,IF(G4594&lt;65,'General Basis'!$B$49,'General Basis'!$B$50)))))))))))))</f>
        <v/>
      </c>
      <c r="BI4594" s="744" t="str">
        <f t="shared" si="1589"/>
        <v/>
      </c>
      <c r="BJ4594" s="747" t="str">
        <f t="shared" si="1596"/>
        <v/>
      </c>
      <c r="BK4594" s="498" t="str">
        <f t="shared" si="1590"/>
        <v/>
      </c>
      <c r="BL4594" s="498" t="str">
        <f t="shared" si="1591"/>
        <v/>
      </c>
    </row>
    <row r="4595" spans="1:64" x14ac:dyDescent="0.25">
      <c r="A4595" s="762">
        <f t="shared" si="1592"/>
        <v>4590</v>
      </c>
      <c r="B4595" s="229"/>
      <c r="C4595" s="223"/>
      <c r="D4595" s="224"/>
      <c r="E4595" s="225"/>
      <c r="F4595" s="1036" t="str">
        <f t="shared" si="1598"/>
        <v/>
      </c>
      <c r="G4595" s="1037" t="str">
        <f t="shared" si="1593"/>
        <v/>
      </c>
      <c r="H4595" s="225"/>
      <c r="I4595" s="1013"/>
      <c r="J4595" s="1013"/>
      <c r="K4595" s="1028"/>
      <c r="L4595" s="1035" t="str">
        <f t="shared" si="1597"/>
        <v/>
      </c>
      <c r="S4595" s="498"/>
      <c r="AJ4595" s="498"/>
      <c r="AM4595" s="498">
        <f t="shared" si="1578"/>
        <v>0</v>
      </c>
      <c r="AN4595" s="498">
        <f t="shared" si="1579"/>
        <v>0</v>
      </c>
      <c r="AO4595" s="498">
        <f t="shared" si="1580"/>
        <v>0</v>
      </c>
      <c r="AP4595" s="498">
        <f t="shared" si="1599"/>
        <v>0</v>
      </c>
      <c r="AQ4595" s="498">
        <f t="shared" si="1594"/>
        <v>0</v>
      </c>
      <c r="AU4595" s="498">
        <f t="shared" si="1581"/>
        <v>0</v>
      </c>
      <c r="AV4595" s="498">
        <f t="shared" si="1582"/>
        <v>0</v>
      </c>
      <c r="AW4595" s="498">
        <f t="shared" si="1583"/>
        <v>0</v>
      </c>
      <c r="AX4595" s="498">
        <f t="shared" si="1584"/>
        <v>0</v>
      </c>
      <c r="AY4595" s="498">
        <f t="shared" si="1585"/>
        <v>0</v>
      </c>
      <c r="BB4595" s="498" t="str">
        <f t="shared" si="1586"/>
        <v/>
      </c>
      <c r="BC4595" s="743" t="str">
        <f t="shared" si="1587"/>
        <v/>
      </c>
      <c r="BD4595" s="743" t="str">
        <f t="shared" si="1588"/>
        <v/>
      </c>
      <c r="BE4595" s="743" t="str">
        <f>IF(D4595="","",VLOOKUP(D4595,'General Basis'!$J$39:$K$46,2,0))</f>
        <v/>
      </c>
      <c r="BF4595" s="744" t="str">
        <f>IF(D4595="","",VLOOKUP(D4595,'General Basis'!$J$39:$L$46,3,0))</f>
        <v/>
      </c>
      <c r="BG4595" s="744" t="str">
        <f t="shared" si="1595"/>
        <v/>
      </c>
      <c r="BH4595" s="744" t="str">
        <f>IF(G4595="","",IF(BF4595="Abu Dhabi",IF(G4595&lt;18,'General Basis'!$C$39,IF(G4595&lt;41,'General Basis'!$C$40,IF(G4595&lt;60,'General Basis'!$C$41,IF(G4595&lt;65,'General Basis'!$C$42,'General Basis'!$C$43)))),IF(G4595&lt;11,'General Basis'!$B$39,IF(G4595&lt;18,'General Basis'!$B$40,IF(G4595&lt;26,'General Basis'!$B$41,IF(G4595&lt;31,'General Basis'!$B$42,IF(G4595&lt;36,'General Basis'!$B$43,IF(G4595&lt;41,'General Basis'!$B$44,IF(G4595&lt;46,'General Basis'!$B$45,IF(G4595&lt;51,'General Basis'!$B$46,IF(G4595&lt;56,'General Basis'!$B$47,IF(G4595&lt;60,'General Basis'!$B$48,IF(G4595&lt;65,'General Basis'!$B$49,'General Basis'!$B$50)))))))))))))</f>
        <v/>
      </c>
      <c r="BI4595" s="744" t="str">
        <f t="shared" si="1589"/>
        <v/>
      </c>
      <c r="BJ4595" s="747" t="str">
        <f t="shared" si="1596"/>
        <v/>
      </c>
      <c r="BK4595" s="498" t="str">
        <f t="shared" si="1590"/>
        <v/>
      </c>
      <c r="BL4595" s="498" t="str">
        <f t="shared" si="1591"/>
        <v/>
      </c>
    </row>
    <row r="4596" spans="1:64" x14ac:dyDescent="0.25">
      <c r="A4596" s="762">
        <f t="shared" si="1592"/>
        <v>4591</v>
      </c>
      <c r="B4596" s="229"/>
      <c r="C4596" s="223"/>
      <c r="D4596" s="224"/>
      <c r="E4596" s="225"/>
      <c r="F4596" s="1036" t="str">
        <f t="shared" si="1598"/>
        <v/>
      </c>
      <c r="G4596" s="1037" t="str">
        <f t="shared" si="1593"/>
        <v/>
      </c>
      <c r="H4596" s="225"/>
      <c r="I4596" s="1013"/>
      <c r="J4596" s="1013"/>
      <c r="K4596" s="1028"/>
      <c r="L4596" s="1035" t="str">
        <f t="shared" si="1597"/>
        <v/>
      </c>
      <c r="S4596" s="498"/>
      <c r="AJ4596" s="498"/>
      <c r="AM4596" s="498">
        <f t="shared" si="1578"/>
        <v>0</v>
      </c>
      <c r="AN4596" s="498">
        <f t="shared" si="1579"/>
        <v>0</v>
      </c>
      <c r="AO4596" s="498">
        <f t="shared" si="1580"/>
        <v>0</v>
      </c>
      <c r="AP4596" s="498">
        <f t="shared" si="1599"/>
        <v>0</v>
      </c>
      <c r="AQ4596" s="498">
        <f t="shared" si="1594"/>
        <v>0</v>
      </c>
      <c r="AU4596" s="498">
        <f t="shared" si="1581"/>
        <v>0</v>
      </c>
      <c r="AV4596" s="498">
        <f t="shared" si="1582"/>
        <v>0</v>
      </c>
      <c r="AW4596" s="498">
        <f t="shared" si="1583"/>
        <v>0</v>
      </c>
      <c r="AX4596" s="498">
        <f t="shared" si="1584"/>
        <v>0</v>
      </c>
      <c r="AY4596" s="498">
        <f t="shared" si="1585"/>
        <v>0</v>
      </c>
      <c r="BB4596" s="498" t="str">
        <f t="shared" si="1586"/>
        <v/>
      </c>
      <c r="BC4596" s="743" t="str">
        <f t="shared" si="1587"/>
        <v/>
      </c>
      <c r="BD4596" s="743" t="str">
        <f t="shared" si="1588"/>
        <v/>
      </c>
      <c r="BE4596" s="743" t="str">
        <f>IF(D4596="","",VLOOKUP(D4596,'General Basis'!$J$39:$K$46,2,0))</f>
        <v/>
      </c>
      <c r="BF4596" s="744" t="str">
        <f>IF(D4596="","",VLOOKUP(D4596,'General Basis'!$J$39:$L$46,3,0))</f>
        <v/>
      </c>
      <c r="BG4596" s="744" t="str">
        <f t="shared" si="1595"/>
        <v/>
      </c>
      <c r="BH4596" s="744" t="str">
        <f>IF(G4596="","",IF(BF4596="Abu Dhabi",IF(G4596&lt;18,'General Basis'!$C$39,IF(G4596&lt;41,'General Basis'!$C$40,IF(G4596&lt;60,'General Basis'!$C$41,IF(G4596&lt;65,'General Basis'!$C$42,'General Basis'!$C$43)))),IF(G4596&lt;11,'General Basis'!$B$39,IF(G4596&lt;18,'General Basis'!$B$40,IF(G4596&lt;26,'General Basis'!$B$41,IF(G4596&lt;31,'General Basis'!$B$42,IF(G4596&lt;36,'General Basis'!$B$43,IF(G4596&lt;41,'General Basis'!$B$44,IF(G4596&lt;46,'General Basis'!$B$45,IF(G4596&lt;51,'General Basis'!$B$46,IF(G4596&lt;56,'General Basis'!$B$47,IF(G4596&lt;60,'General Basis'!$B$48,IF(G4596&lt;65,'General Basis'!$B$49,'General Basis'!$B$50)))))))))))))</f>
        <v/>
      </c>
      <c r="BI4596" s="744" t="str">
        <f t="shared" si="1589"/>
        <v/>
      </c>
      <c r="BJ4596" s="747" t="str">
        <f t="shared" si="1596"/>
        <v/>
      </c>
      <c r="BK4596" s="498" t="str">
        <f t="shared" si="1590"/>
        <v/>
      </c>
      <c r="BL4596" s="498" t="str">
        <f t="shared" si="1591"/>
        <v/>
      </c>
    </row>
    <row r="4597" spans="1:64" x14ac:dyDescent="0.25">
      <c r="A4597" s="762">
        <f t="shared" si="1592"/>
        <v>4592</v>
      </c>
      <c r="B4597" s="229"/>
      <c r="C4597" s="223"/>
      <c r="D4597" s="224"/>
      <c r="E4597" s="225"/>
      <c r="F4597" s="1036" t="str">
        <f t="shared" si="1598"/>
        <v/>
      </c>
      <c r="G4597" s="1037" t="str">
        <f t="shared" si="1593"/>
        <v/>
      </c>
      <c r="H4597" s="225"/>
      <c r="I4597" s="1013"/>
      <c r="J4597" s="1013"/>
      <c r="K4597" s="1028"/>
      <c r="L4597" s="1035" t="str">
        <f t="shared" si="1597"/>
        <v/>
      </c>
      <c r="S4597" s="498"/>
      <c r="AJ4597" s="498"/>
      <c r="AM4597" s="498">
        <f t="shared" si="1578"/>
        <v>0</v>
      </c>
      <c r="AN4597" s="498">
        <f t="shared" si="1579"/>
        <v>0</v>
      </c>
      <c r="AO4597" s="498">
        <f t="shared" si="1580"/>
        <v>0</v>
      </c>
      <c r="AP4597" s="498">
        <f t="shared" si="1599"/>
        <v>0</v>
      </c>
      <c r="AQ4597" s="498">
        <f t="shared" si="1594"/>
        <v>0</v>
      </c>
      <c r="AU4597" s="498">
        <f t="shared" si="1581"/>
        <v>0</v>
      </c>
      <c r="AV4597" s="498">
        <f t="shared" si="1582"/>
        <v>0</v>
      </c>
      <c r="AW4597" s="498">
        <f t="shared" si="1583"/>
        <v>0</v>
      </c>
      <c r="AX4597" s="498">
        <f t="shared" si="1584"/>
        <v>0</v>
      </c>
      <c r="AY4597" s="498">
        <f t="shared" si="1585"/>
        <v>0</v>
      </c>
      <c r="BB4597" s="498" t="str">
        <f t="shared" si="1586"/>
        <v/>
      </c>
      <c r="BC4597" s="743" t="str">
        <f t="shared" si="1587"/>
        <v/>
      </c>
      <c r="BD4597" s="743" t="str">
        <f t="shared" si="1588"/>
        <v/>
      </c>
      <c r="BE4597" s="743" t="str">
        <f>IF(D4597="","",VLOOKUP(D4597,'General Basis'!$J$39:$K$46,2,0))</f>
        <v/>
      </c>
      <c r="BF4597" s="744" t="str">
        <f>IF(D4597="","",VLOOKUP(D4597,'General Basis'!$J$39:$L$46,3,0))</f>
        <v/>
      </c>
      <c r="BG4597" s="744" t="str">
        <f t="shared" si="1595"/>
        <v/>
      </c>
      <c r="BH4597" s="744" t="str">
        <f>IF(G4597="","",IF(BF4597="Abu Dhabi",IF(G4597&lt;18,'General Basis'!$C$39,IF(G4597&lt;41,'General Basis'!$C$40,IF(G4597&lt;60,'General Basis'!$C$41,IF(G4597&lt;65,'General Basis'!$C$42,'General Basis'!$C$43)))),IF(G4597&lt;11,'General Basis'!$B$39,IF(G4597&lt;18,'General Basis'!$B$40,IF(G4597&lt;26,'General Basis'!$B$41,IF(G4597&lt;31,'General Basis'!$B$42,IF(G4597&lt;36,'General Basis'!$B$43,IF(G4597&lt;41,'General Basis'!$B$44,IF(G4597&lt;46,'General Basis'!$B$45,IF(G4597&lt;51,'General Basis'!$B$46,IF(G4597&lt;56,'General Basis'!$B$47,IF(G4597&lt;60,'General Basis'!$B$48,IF(G4597&lt;65,'General Basis'!$B$49,'General Basis'!$B$50)))))))))))))</f>
        <v/>
      </c>
      <c r="BI4597" s="744" t="str">
        <f t="shared" si="1589"/>
        <v/>
      </c>
      <c r="BJ4597" s="747" t="str">
        <f t="shared" si="1596"/>
        <v/>
      </c>
      <c r="BK4597" s="498" t="str">
        <f t="shared" si="1590"/>
        <v/>
      </c>
      <c r="BL4597" s="498" t="str">
        <f t="shared" si="1591"/>
        <v/>
      </c>
    </row>
    <row r="4598" spans="1:64" x14ac:dyDescent="0.25">
      <c r="A4598" s="762">
        <f t="shared" si="1592"/>
        <v>4593</v>
      </c>
      <c r="B4598" s="229"/>
      <c r="C4598" s="223"/>
      <c r="D4598" s="224"/>
      <c r="E4598" s="225"/>
      <c r="F4598" s="1036" t="str">
        <f t="shared" si="1598"/>
        <v/>
      </c>
      <c r="G4598" s="1037" t="str">
        <f t="shared" si="1593"/>
        <v/>
      </c>
      <c r="H4598" s="225"/>
      <c r="I4598" s="1013"/>
      <c r="J4598" s="1013"/>
      <c r="K4598" s="1028"/>
      <c r="L4598" s="1035" t="str">
        <f t="shared" si="1597"/>
        <v/>
      </c>
      <c r="S4598" s="498"/>
      <c r="AJ4598" s="498"/>
      <c r="AM4598" s="498">
        <f t="shared" si="1578"/>
        <v>0</v>
      </c>
      <c r="AN4598" s="498">
        <f t="shared" si="1579"/>
        <v>0</v>
      </c>
      <c r="AO4598" s="498">
        <f t="shared" si="1580"/>
        <v>0</v>
      </c>
      <c r="AP4598" s="498">
        <f t="shared" si="1599"/>
        <v>0</v>
      </c>
      <c r="AQ4598" s="498">
        <f t="shared" si="1594"/>
        <v>0</v>
      </c>
      <c r="AU4598" s="498">
        <f t="shared" si="1581"/>
        <v>0</v>
      </c>
      <c r="AV4598" s="498">
        <f t="shared" si="1582"/>
        <v>0</v>
      </c>
      <c r="AW4598" s="498">
        <f t="shared" si="1583"/>
        <v>0</v>
      </c>
      <c r="AX4598" s="498">
        <f t="shared" si="1584"/>
        <v>0</v>
      </c>
      <c r="AY4598" s="498">
        <f t="shared" si="1585"/>
        <v>0</v>
      </c>
      <c r="BB4598" s="498" t="str">
        <f t="shared" si="1586"/>
        <v/>
      </c>
      <c r="BC4598" s="743" t="str">
        <f t="shared" si="1587"/>
        <v/>
      </c>
      <c r="BD4598" s="743" t="str">
        <f t="shared" si="1588"/>
        <v/>
      </c>
      <c r="BE4598" s="743" t="str">
        <f>IF(D4598="","",VLOOKUP(D4598,'General Basis'!$J$39:$K$46,2,0))</f>
        <v/>
      </c>
      <c r="BF4598" s="744" t="str">
        <f>IF(D4598="","",VLOOKUP(D4598,'General Basis'!$J$39:$L$46,3,0))</f>
        <v/>
      </c>
      <c r="BG4598" s="744" t="str">
        <f t="shared" si="1595"/>
        <v/>
      </c>
      <c r="BH4598" s="744" t="str">
        <f>IF(G4598="","",IF(BF4598="Abu Dhabi",IF(G4598&lt;18,'General Basis'!$C$39,IF(G4598&lt;41,'General Basis'!$C$40,IF(G4598&lt;60,'General Basis'!$C$41,IF(G4598&lt;65,'General Basis'!$C$42,'General Basis'!$C$43)))),IF(G4598&lt;11,'General Basis'!$B$39,IF(G4598&lt;18,'General Basis'!$B$40,IF(G4598&lt;26,'General Basis'!$B$41,IF(G4598&lt;31,'General Basis'!$B$42,IF(G4598&lt;36,'General Basis'!$B$43,IF(G4598&lt;41,'General Basis'!$B$44,IF(G4598&lt;46,'General Basis'!$B$45,IF(G4598&lt;51,'General Basis'!$B$46,IF(G4598&lt;56,'General Basis'!$B$47,IF(G4598&lt;60,'General Basis'!$B$48,IF(G4598&lt;65,'General Basis'!$B$49,'General Basis'!$B$50)))))))))))))</f>
        <v/>
      </c>
      <c r="BI4598" s="744" t="str">
        <f t="shared" si="1589"/>
        <v/>
      </c>
      <c r="BJ4598" s="747" t="str">
        <f t="shared" si="1596"/>
        <v/>
      </c>
      <c r="BK4598" s="498" t="str">
        <f t="shared" si="1590"/>
        <v/>
      </c>
      <c r="BL4598" s="498" t="str">
        <f t="shared" si="1591"/>
        <v/>
      </c>
    </row>
    <row r="4599" spans="1:64" x14ac:dyDescent="0.25">
      <c r="A4599" s="762">
        <f t="shared" si="1592"/>
        <v>4594</v>
      </c>
      <c r="B4599" s="229"/>
      <c r="C4599" s="223"/>
      <c r="D4599" s="224"/>
      <c r="E4599" s="225"/>
      <c r="F4599" s="1036" t="str">
        <f t="shared" si="1598"/>
        <v/>
      </c>
      <c r="G4599" s="1037" t="str">
        <f t="shared" si="1593"/>
        <v/>
      </c>
      <c r="H4599" s="225"/>
      <c r="I4599" s="1013"/>
      <c r="J4599" s="1013"/>
      <c r="K4599" s="1028"/>
      <c r="L4599" s="1035" t="str">
        <f t="shared" si="1597"/>
        <v/>
      </c>
      <c r="S4599" s="498"/>
      <c r="AJ4599" s="498"/>
      <c r="AM4599" s="498">
        <f t="shared" si="1578"/>
        <v>0</v>
      </c>
      <c r="AN4599" s="498">
        <f t="shared" si="1579"/>
        <v>0</v>
      </c>
      <c r="AO4599" s="498">
        <f t="shared" si="1580"/>
        <v>0</v>
      </c>
      <c r="AP4599" s="498">
        <f t="shared" si="1599"/>
        <v>0</v>
      </c>
      <c r="AQ4599" s="498">
        <f t="shared" si="1594"/>
        <v>0</v>
      </c>
      <c r="AU4599" s="498">
        <f t="shared" si="1581"/>
        <v>0</v>
      </c>
      <c r="AV4599" s="498">
        <f t="shared" si="1582"/>
        <v>0</v>
      </c>
      <c r="AW4599" s="498">
        <f t="shared" si="1583"/>
        <v>0</v>
      </c>
      <c r="AX4599" s="498">
        <f t="shared" si="1584"/>
        <v>0</v>
      </c>
      <c r="AY4599" s="498">
        <f t="shared" si="1585"/>
        <v>0</v>
      </c>
      <c r="BB4599" s="498" t="str">
        <f t="shared" si="1586"/>
        <v/>
      </c>
      <c r="BC4599" s="743" t="str">
        <f t="shared" si="1587"/>
        <v/>
      </c>
      <c r="BD4599" s="743" t="str">
        <f t="shared" si="1588"/>
        <v/>
      </c>
      <c r="BE4599" s="743" t="str">
        <f>IF(D4599="","",VLOOKUP(D4599,'General Basis'!$J$39:$K$46,2,0))</f>
        <v/>
      </c>
      <c r="BF4599" s="744" t="str">
        <f>IF(D4599="","",VLOOKUP(D4599,'General Basis'!$J$39:$L$46,3,0))</f>
        <v/>
      </c>
      <c r="BG4599" s="744" t="str">
        <f t="shared" si="1595"/>
        <v/>
      </c>
      <c r="BH4599" s="744" t="str">
        <f>IF(G4599="","",IF(BF4599="Abu Dhabi",IF(G4599&lt;18,'General Basis'!$C$39,IF(G4599&lt;41,'General Basis'!$C$40,IF(G4599&lt;60,'General Basis'!$C$41,IF(G4599&lt;65,'General Basis'!$C$42,'General Basis'!$C$43)))),IF(G4599&lt;11,'General Basis'!$B$39,IF(G4599&lt;18,'General Basis'!$B$40,IF(G4599&lt;26,'General Basis'!$B$41,IF(G4599&lt;31,'General Basis'!$B$42,IF(G4599&lt;36,'General Basis'!$B$43,IF(G4599&lt;41,'General Basis'!$B$44,IF(G4599&lt;46,'General Basis'!$B$45,IF(G4599&lt;51,'General Basis'!$B$46,IF(G4599&lt;56,'General Basis'!$B$47,IF(G4599&lt;60,'General Basis'!$B$48,IF(G4599&lt;65,'General Basis'!$B$49,'General Basis'!$B$50)))))))))))))</f>
        <v/>
      </c>
      <c r="BI4599" s="744" t="str">
        <f t="shared" si="1589"/>
        <v/>
      </c>
      <c r="BJ4599" s="747" t="str">
        <f t="shared" si="1596"/>
        <v/>
      </c>
      <c r="BK4599" s="498" t="str">
        <f t="shared" si="1590"/>
        <v/>
      </c>
      <c r="BL4599" s="498" t="str">
        <f t="shared" si="1591"/>
        <v/>
      </c>
    </row>
    <row r="4600" spans="1:64" x14ac:dyDescent="0.25">
      <c r="A4600" s="762">
        <f t="shared" si="1592"/>
        <v>4595</v>
      </c>
      <c r="B4600" s="229"/>
      <c r="C4600" s="223"/>
      <c r="D4600" s="224"/>
      <c r="E4600" s="225"/>
      <c r="F4600" s="1036" t="str">
        <f t="shared" si="1598"/>
        <v/>
      </c>
      <c r="G4600" s="1037" t="str">
        <f t="shared" si="1593"/>
        <v/>
      </c>
      <c r="H4600" s="225"/>
      <c r="I4600" s="1013"/>
      <c r="J4600" s="1013"/>
      <c r="K4600" s="1028"/>
      <c r="L4600" s="1035" t="str">
        <f t="shared" si="1597"/>
        <v/>
      </c>
      <c r="S4600" s="498"/>
      <c r="AJ4600" s="498"/>
      <c r="AM4600" s="498">
        <f t="shared" si="1578"/>
        <v>0</v>
      </c>
      <c r="AN4600" s="498">
        <f t="shared" si="1579"/>
        <v>0</v>
      </c>
      <c r="AO4600" s="498">
        <f t="shared" si="1580"/>
        <v>0</v>
      </c>
      <c r="AP4600" s="498">
        <f t="shared" si="1599"/>
        <v>0</v>
      </c>
      <c r="AQ4600" s="498">
        <f t="shared" si="1594"/>
        <v>0</v>
      </c>
      <c r="AU4600" s="498">
        <f t="shared" si="1581"/>
        <v>0</v>
      </c>
      <c r="AV4600" s="498">
        <f t="shared" si="1582"/>
        <v>0</v>
      </c>
      <c r="AW4600" s="498">
        <f t="shared" si="1583"/>
        <v>0</v>
      </c>
      <c r="AX4600" s="498">
        <f t="shared" si="1584"/>
        <v>0</v>
      </c>
      <c r="AY4600" s="498">
        <f t="shared" si="1585"/>
        <v>0</v>
      </c>
      <c r="BB4600" s="498" t="str">
        <f t="shared" si="1586"/>
        <v/>
      </c>
      <c r="BC4600" s="743" t="str">
        <f t="shared" si="1587"/>
        <v/>
      </c>
      <c r="BD4600" s="743" t="str">
        <f t="shared" si="1588"/>
        <v/>
      </c>
      <c r="BE4600" s="743" t="str">
        <f>IF(D4600="","",VLOOKUP(D4600,'General Basis'!$J$39:$K$46,2,0))</f>
        <v/>
      </c>
      <c r="BF4600" s="744" t="str">
        <f>IF(D4600="","",VLOOKUP(D4600,'General Basis'!$J$39:$L$46,3,0))</f>
        <v/>
      </c>
      <c r="BG4600" s="744" t="str">
        <f t="shared" si="1595"/>
        <v/>
      </c>
      <c r="BH4600" s="744" t="str">
        <f>IF(G4600="","",IF(BF4600="Abu Dhabi",IF(G4600&lt;18,'General Basis'!$C$39,IF(G4600&lt;41,'General Basis'!$C$40,IF(G4600&lt;60,'General Basis'!$C$41,IF(G4600&lt;65,'General Basis'!$C$42,'General Basis'!$C$43)))),IF(G4600&lt;11,'General Basis'!$B$39,IF(G4600&lt;18,'General Basis'!$B$40,IF(G4600&lt;26,'General Basis'!$B$41,IF(G4600&lt;31,'General Basis'!$B$42,IF(G4600&lt;36,'General Basis'!$B$43,IF(G4600&lt;41,'General Basis'!$B$44,IF(G4600&lt;46,'General Basis'!$B$45,IF(G4600&lt;51,'General Basis'!$B$46,IF(G4600&lt;56,'General Basis'!$B$47,IF(G4600&lt;60,'General Basis'!$B$48,IF(G4600&lt;65,'General Basis'!$B$49,'General Basis'!$B$50)))))))))))))</f>
        <v/>
      </c>
      <c r="BI4600" s="744" t="str">
        <f t="shared" si="1589"/>
        <v/>
      </c>
      <c r="BJ4600" s="747" t="str">
        <f t="shared" si="1596"/>
        <v/>
      </c>
      <c r="BK4600" s="498" t="str">
        <f t="shared" si="1590"/>
        <v/>
      </c>
      <c r="BL4600" s="498" t="str">
        <f t="shared" si="1591"/>
        <v/>
      </c>
    </row>
    <row r="4601" spans="1:64" x14ac:dyDescent="0.25">
      <c r="A4601" s="762">
        <f t="shared" si="1592"/>
        <v>4596</v>
      </c>
      <c r="B4601" s="229"/>
      <c r="C4601" s="223"/>
      <c r="D4601" s="224"/>
      <c r="E4601" s="225"/>
      <c r="F4601" s="1036" t="str">
        <f t="shared" si="1598"/>
        <v/>
      </c>
      <c r="G4601" s="1037" t="str">
        <f t="shared" si="1593"/>
        <v/>
      </c>
      <c r="H4601" s="225"/>
      <c r="I4601" s="1013"/>
      <c r="J4601" s="1013"/>
      <c r="K4601" s="1028"/>
      <c r="L4601" s="1035" t="str">
        <f t="shared" si="1597"/>
        <v/>
      </c>
      <c r="S4601" s="498"/>
      <c r="AJ4601" s="498"/>
      <c r="AM4601" s="498">
        <f t="shared" si="1578"/>
        <v>0</v>
      </c>
      <c r="AN4601" s="498">
        <f t="shared" si="1579"/>
        <v>0</v>
      </c>
      <c r="AO4601" s="498">
        <f t="shared" si="1580"/>
        <v>0</v>
      </c>
      <c r="AP4601" s="498">
        <f t="shared" si="1599"/>
        <v>0</v>
      </c>
      <c r="AQ4601" s="498">
        <f t="shared" si="1594"/>
        <v>0</v>
      </c>
      <c r="AU4601" s="498">
        <f t="shared" si="1581"/>
        <v>0</v>
      </c>
      <c r="AV4601" s="498">
        <f t="shared" si="1582"/>
        <v>0</v>
      </c>
      <c r="AW4601" s="498">
        <f t="shared" si="1583"/>
        <v>0</v>
      </c>
      <c r="AX4601" s="498">
        <f t="shared" si="1584"/>
        <v>0</v>
      </c>
      <c r="AY4601" s="498">
        <f t="shared" si="1585"/>
        <v>0</v>
      </c>
      <c r="BB4601" s="498" t="str">
        <f t="shared" si="1586"/>
        <v/>
      </c>
      <c r="BC4601" s="743" t="str">
        <f t="shared" si="1587"/>
        <v/>
      </c>
      <c r="BD4601" s="743" t="str">
        <f t="shared" si="1588"/>
        <v/>
      </c>
      <c r="BE4601" s="743" t="str">
        <f>IF(D4601="","",VLOOKUP(D4601,'General Basis'!$J$39:$K$46,2,0))</f>
        <v/>
      </c>
      <c r="BF4601" s="744" t="str">
        <f>IF(D4601="","",VLOOKUP(D4601,'General Basis'!$J$39:$L$46,3,0))</f>
        <v/>
      </c>
      <c r="BG4601" s="744" t="str">
        <f t="shared" si="1595"/>
        <v/>
      </c>
      <c r="BH4601" s="744" t="str">
        <f>IF(G4601="","",IF(BF4601="Abu Dhabi",IF(G4601&lt;18,'General Basis'!$C$39,IF(G4601&lt;41,'General Basis'!$C$40,IF(G4601&lt;60,'General Basis'!$C$41,IF(G4601&lt;65,'General Basis'!$C$42,'General Basis'!$C$43)))),IF(G4601&lt;11,'General Basis'!$B$39,IF(G4601&lt;18,'General Basis'!$B$40,IF(G4601&lt;26,'General Basis'!$B$41,IF(G4601&lt;31,'General Basis'!$B$42,IF(G4601&lt;36,'General Basis'!$B$43,IF(G4601&lt;41,'General Basis'!$B$44,IF(G4601&lt;46,'General Basis'!$B$45,IF(G4601&lt;51,'General Basis'!$B$46,IF(G4601&lt;56,'General Basis'!$B$47,IF(G4601&lt;60,'General Basis'!$B$48,IF(G4601&lt;65,'General Basis'!$B$49,'General Basis'!$B$50)))))))))))))</f>
        <v/>
      </c>
      <c r="BI4601" s="744" t="str">
        <f t="shared" si="1589"/>
        <v/>
      </c>
      <c r="BJ4601" s="747" t="str">
        <f t="shared" si="1596"/>
        <v/>
      </c>
      <c r="BK4601" s="498" t="str">
        <f t="shared" si="1590"/>
        <v/>
      </c>
      <c r="BL4601" s="498" t="str">
        <f t="shared" si="1591"/>
        <v/>
      </c>
    </row>
    <row r="4602" spans="1:64" x14ac:dyDescent="0.25">
      <c r="A4602" s="762">
        <f t="shared" si="1592"/>
        <v>4597</v>
      </c>
      <c r="B4602" s="229"/>
      <c r="C4602" s="223"/>
      <c r="D4602" s="224"/>
      <c r="E4602" s="225"/>
      <c r="F4602" s="1036" t="str">
        <f t="shared" si="1598"/>
        <v/>
      </c>
      <c r="G4602" s="1037" t="str">
        <f t="shared" si="1593"/>
        <v/>
      </c>
      <c r="H4602" s="225"/>
      <c r="I4602" s="1013"/>
      <c r="J4602" s="1013"/>
      <c r="K4602" s="1028"/>
      <c r="L4602" s="1035" t="str">
        <f t="shared" si="1597"/>
        <v/>
      </c>
      <c r="S4602" s="498"/>
      <c r="AJ4602" s="498"/>
      <c r="AM4602" s="498">
        <f t="shared" si="1578"/>
        <v>0</v>
      </c>
      <c r="AN4602" s="498">
        <f t="shared" si="1579"/>
        <v>0</v>
      </c>
      <c r="AO4602" s="498">
        <f t="shared" si="1580"/>
        <v>0</v>
      </c>
      <c r="AP4602" s="498">
        <f t="shared" si="1599"/>
        <v>0</v>
      </c>
      <c r="AQ4602" s="498">
        <f t="shared" si="1594"/>
        <v>0</v>
      </c>
      <c r="AU4602" s="498">
        <f t="shared" si="1581"/>
        <v>0</v>
      </c>
      <c r="AV4602" s="498">
        <f t="shared" si="1582"/>
        <v>0</v>
      </c>
      <c r="AW4602" s="498">
        <f t="shared" si="1583"/>
        <v>0</v>
      </c>
      <c r="AX4602" s="498">
        <f t="shared" si="1584"/>
        <v>0</v>
      </c>
      <c r="AY4602" s="498">
        <f t="shared" si="1585"/>
        <v>0</v>
      </c>
      <c r="BB4602" s="498" t="str">
        <f t="shared" si="1586"/>
        <v/>
      </c>
      <c r="BC4602" s="743" t="str">
        <f t="shared" si="1587"/>
        <v/>
      </c>
      <c r="BD4602" s="743" t="str">
        <f t="shared" si="1588"/>
        <v/>
      </c>
      <c r="BE4602" s="743" t="str">
        <f>IF(D4602="","",VLOOKUP(D4602,'General Basis'!$J$39:$K$46,2,0))</f>
        <v/>
      </c>
      <c r="BF4602" s="744" t="str">
        <f>IF(D4602="","",VLOOKUP(D4602,'General Basis'!$J$39:$L$46,3,0))</f>
        <v/>
      </c>
      <c r="BG4602" s="744" t="str">
        <f t="shared" si="1595"/>
        <v/>
      </c>
      <c r="BH4602" s="744" t="str">
        <f>IF(G4602="","",IF(BF4602="Abu Dhabi",IF(G4602&lt;18,'General Basis'!$C$39,IF(G4602&lt;41,'General Basis'!$C$40,IF(G4602&lt;60,'General Basis'!$C$41,IF(G4602&lt;65,'General Basis'!$C$42,'General Basis'!$C$43)))),IF(G4602&lt;11,'General Basis'!$B$39,IF(G4602&lt;18,'General Basis'!$B$40,IF(G4602&lt;26,'General Basis'!$B$41,IF(G4602&lt;31,'General Basis'!$B$42,IF(G4602&lt;36,'General Basis'!$B$43,IF(G4602&lt;41,'General Basis'!$B$44,IF(G4602&lt;46,'General Basis'!$B$45,IF(G4602&lt;51,'General Basis'!$B$46,IF(G4602&lt;56,'General Basis'!$B$47,IF(G4602&lt;60,'General Basis'!$B$48,IF(G4602&lt;65,'General Basis'!$B$49,'General Basis'!$B$50)))))))))))))</f>
        <v/>
      </c>
      <c r="BI4602" s="744" t="str">
        <f t="shared" si="1589"/>
        <v/>
      </c>
      <c r="BJ4602" s="747" t="str">
        <f t="shared" si="1596"/>
        <v/>
      </c>
      <c r="BK4602" s="498" t="str">
        <f t="shared" si="1590"/>
        <v/>
      </c>
      <c r="BL4602" s="498" t="str">
        <f t="shared" si="1591"/>
        <v/>
      </c>
    </row>
    <row r="4603" spans="1:64" x14ac:dyDescent="0.25">
      <c r="A4603" s="762">
        <f t="shared" si="1592"/>
        <v>4598</v>
      </c>
      <c r="B4603" s="229"/>
      <c r="C4603" s="223"/>
      <c r="D4603" s="224"/>
      <c r="E4603" s="225"/>
      <c r="F4603" s="1036" t="str">
        <f t="shared" si="1598"/>
        <v/>
      </c>
      <c r="G4603" s="1037" t="str">
        <f t="shared" si="1593"/>
        <v/>
      </c>
      <c r="H4603" s="225"/>
      <c r="I4603" s="1013"/>
      <c r="J4603" s="1013"/>
      <c r="K4603" s="1028"/>
      <c r="L4603" s="1035" t="str">
        <f t="shared" si="1597"/>
        <v/>
      </c>
      <c r="S4603" s="498"/>
      <c r="AJ4603" s="498"/>
      <c r="AM4603" s="498">
        <f t="shared" si="1578"/>
        <v>0</v>
      </c>
      <c r="AN4603" s="498">
        <f t="shared" si="1579"/>
        <v>0</v>
      </c>
      <c r="AO4603" s="498">
        <f t="shared" si="1580"/>
        <v>0</v>
      </c>
      <c r="AP4603" s="498">
        <f t="shared" si="1599"/>
        <v>0</v>
      </c>
      <c r="AQ4603" s="498">
        <f t="shared" si="1594"/>
        <v>0</v>
      </c>
      <c r="AU4603" s="498">
        <f t="shared" si="1581"/>
        <v>0</v>
      </c>
      <c r="AV4603" s="498">
        <f t="shared" si="1582"/>
        <v>0</v>
      </c>
      <c r="AW4603" s="498">
        <f t="shared" si="1583"/>
        <v>0</v>
      </c>
      <c r="AX4603" s="498">
        <f t="shared" si="1584"/>
        <v>0</v>
      </c>
      <c r="AY4603" s="498">
        <f t="shared" si="1585"/>
        <v>0</v>
      </c>
      <c r="BB4603" s="498" t="str">
        <f t="shared" si="1586"/>
        <v/>
      </c>
      <c r="BC4603" s="743" t="str">
        <f t="shared" si="1587"/>
        <v/>
      </c>
      <c r="BD4603" s="743" t="str">
        <f t="shared" si="1588"/>
        <v/>
      </c>
      <c r="BE4603" s="743" t="str">
        <f>IF(D4603="","",VLOOKUP(D4603,'General Basis'!$J$39:$K$46,2,0))</f>
        <v/>
      </c>
      <c r="BF4603" s="744" t="str">
        <f>IF(D4603="","",VLOOKUP(D4603,'General Basis'!$J$39:$L$46,3,0))</f>
        <v/>
      </c>
      <c r="BG4603" s="744" t="str">
        <f t="shared" si="1595"/>
        <v/>
      </c>
      <c r="BH4603" s="744" t="str">
        <f>IF(G4603="","",IF(BF4603="Abu Dhabi",IF(G4603&lt;18,'General Basis'!$C$39,IF(G4603&lt;41,'General Basis'!$C$40,IF(G4603&lt;60,'General Basis'!$C$41,IF(G4603&lt;65,'General Basis'!$C$42,'General Basis'!$C$43)))),IF(G4603&lt;11,'General Basis'!$B$39,IF(G4603&lt;18,'General Basis'!$B$40,IF(G4603&lt;26,'General Basis'!$B$41,IF(G4603&lt;31,'General Basis'!$B$42,IF(G4603&lt;36,'General Basis'!$B$43,IF(G4603&lt;41,'General Basis'!$B$44,IF(G4603&lt;46,'General Basis'!$B$45,IF(G4603&lt;51,'General Basis'!$B$46,IF(G4603&lt;56,'General Basis'!$B$47,IF(G4603&lt;60,'General Basis'!$B$48,IF(G4603&lt;65,'General Basis'!$B$49,'General Basis'!$B$50)))))))))))))</f>
        <v/>
      </c>
      <c r="BI4603" s="744" t="str">
        <f t="shared" si="1589"/>
        <v/>
      </c>
      <c r="BJ4603" s="747" t="str">
        <f t="shared" si="1596"/>
        <v/>
      </c>
      <c r="BK4603" s="498" t="str">
        <f t="shared" si="1590"/>
        <v/>
      </c>
      <c r="BL4603" s="498" t="str">
        <f t="shared" si="1591"/>
        <v/>
      </c>
    </row>
    <row r="4604" spans="1:64" x14ac:dyDescent="0.25">
      <c r="A4604" s="762">
        <f t="shared" si="1592"/>
        <v>4599</v>
      </c>
      <c r="B4604" s="229"/>
      <c r="C4604" s="223"/>
      <c r="D4604" s="224"/>
      <c r="E4604" s="225"/>
      <c r="F4604" s="1036" t="str">
        <f t="shared" si="1598"/>
        <v/>
      </c>
      <c r="G4604" s="1037" t="str">
        <f t="shared" si="1593"/>
        <v/>
      </c>
      <c r="H4604" s="225"/>
      <c r="I4604" s="1013"/>
      <c r="J4604" s="1013"/>
      <c r="K4604" s="1028"/>
      <c r="L4604" s="1035" t="str">
        <f t="shared" si="1597"/>
        <v/>
      </c>
      <c r="S4604" s="498"/>
      <c r="AJ4604" s="498"/>
      <c r="AM4604" s="498">
        <f t="shared" si="1578"/>
        <v>0</v>
      </c>
      <c r="AN4604" s="498">
        <f t="shared" si="1579"/>
        <v>0</v>
      </c>
      <c r="AO4604" s="498">
        <f t="shared" si="1580"/>
        <v>0</v>
      </c>
      <c r="AP4604" s="498">
        <f t="shared" si="1599"/>
        <v>0</v>
      </c>
      <c r="AQ4604" s="498">
        <f t="shared" si="1594"/>
        <v>0</v>
      </c>
      <c r="AU4604" s="498">
        <f t="shared" si="1581"/>
        <v>0</v>
      </c>
      <c r="AV4604" s="498">
        <f t="shared" si="1582"/>
        <v>0</v>
      </c>
      <c r="AW4604" s="498">
        <f t="shared" si="1583"/>
        <v>0</v>
      </c>
      <c r="AX4604" s="498">
        <f t="shared" si="1584"/>
        <v>0</v>
      </c>
      <c r="AY4604" s="498">
        <f t="shared" si="1585"/>
        <v>0</v>
      </c>
      <c r="BB4604" s="498" t="str">
        <f t="shared" si="1586"/>
        <v/>
      </c>
      <c r="BC4604" s="743" t="str">
        <f t="shared" si="1587"/>
        <v/>
      </c>
      <c r="BD4604" s="743" t="str">
        <f t="shared" si="1588"/>
        <v/>
      </c>
      <c r="BE4604" s="743" t="str">
        <f>IF(D4604="","",VLOOKUP(D4604,'General Basis'!$J$39:$K$46,2,0))</f>
        <v/>
      </c>
      <c r="BF4604" s="744" t="str">
        <f>IF(D4604="","",VLOOKUP(D4604,'General Basis'!$J$39:$L$46,3,0))</f>
        <v/>
      </c>
      <c r="BG4604" s="744" t="str">
        <f t="shared" si="1595"/>
        <v/>
      </c>
      <c r="BH4604" s="744" t="str">
        <f>IF(G4604="","",IF(BF4604="Abu Dhabi",IF(G4604&lt;18,'General Basis'!$C$39,IF(G4604&lt;41,'General Basis'!$C$40,IF(G4604&lt;60,'General Basis'!$C$41,IF(G4604&lt;65,'General Basis'!$C$42,'General Basis'!$C$43)))),IF(G4604&lt;11,'General Basis'!$B$39,IF(G4604&lt;18,'General Basis'!$B$40,IF(G4604&lt;26,'General Basis'!$B$41,IF(G4604&lt;31,'General Basis'!$B$42,IF(G4604&lt;36,'General Basis'!$B$43,IF(G4604&lt;41,'General Basis'!$B$44,IF(G4604&lt;46,'General Basis'!$B$45,IF(G4604&lt;51,'General Basis'!$B$46,IF(G4604&lt;56,'General Basis'!$B$47,IF(G4604&lt;60,'General Basis'!$B$48,IF(G4604&lt;65,'General Basis'!$B$49,'General Basis'!$B$50)))))))))))))</f>
        <v/>
      </c>
      <c r="BI4604" s="744" t="str">
        <f t="shared" si="1589"/>
        <v/>
      </c>
      <c r="BJ4604" s="747" t="str">
        <f t="shared" si="1596"/>
        <v/>
      </c>
      <c r="BK4604" s="498" t="str">
        <f t="shared" si="1590"/>
        <v/>
      </c>
      <c r="BL4604" s="498" t="str">
        <f t="shared" si="1591"/>
        <v/>
      </c>
    </row>
    <row r="4605" spans="1:64" x14ac:dyDescent="0.25">
      <c r="A4605" s="762">
        <f t="shared" si="1592"/>
        <v>4600</v>
      </c>
      <c r="B4605" s="229"/>
      <c r="C4605" s="223"/>
      <c r="D4605" s="224"/>
      <c r="E4605" s="225"/>
      <c r="F4605" s="1036" t="str">
        <f t="shared" si="1598"/>
        <v/>
      </c>
      <c r="G4605" s="1037" t="str">
        <f t="shared" si="1593"/>
        <v/>
      </c>
      <c r="H4605" s="225"/>
      <c r="I4605" s="1013"/>
      <c r="J4605" s="1013"/>
      <c r="K4605" s="1028"/>
      <c r="L4605" s="1035" t="str">
        <f t="shared" si="1597"/>
        <v/>
      </c>
      <c r="S4605" s="498"/>
      <c r="AJ4605" s="498"/>
      <c r="AM4605" s="498">
        <f t="shared" si="1578"/>
        <v>0</v>
      </c>
      <c r="AN4605" s="498">
        <f t="shared" si="1579"/>
        <v>0</v>
      </c>
      <c r="AO4605" s="498">
        <f t="shared" si="1580"/>
        <v>0</v>
      </c>
      <c r="AP4605" s="498">
        <f t="shared" si="1599"/>
        <v>0</v>
      </c>
      <c r="AQ4605" s="498">
        <f t="shared" si="1594"/>
        <v>0</v>
      </c>
      <c r="AU4605" s="498">
        <f t="shared" si="1581"/>
        <v>0</v>
      </c>
      <c r="AV4605" s="498">
        <f t="shared" si="1582"/>
        <v>0</v>
      </c>
      <c r="AW4605" s="498">
        <f t="shared" si="1583"/>
        <v>0</v>
      </c>
      <c r="AX4605" s="498">
        <f t="shared" si="1584"/>
        <v>0</v>
      </c>
      <c r="AY4605" s="498">
        <f t="shared" si="1585"/>
        <v>0</v>
      </c>
      <c r="BB4605" s="498" t="str">
        <f t="shared" si="1586"/>
        <v/>
      </c>
      <c r="BC4605" s="743" t="str">
        <f t="shared" si="1587"/>
        <v/>
      </c>
      <c r="BD4605" s="743" t="str">
        <f t="shared" si="1588"/>
        <v/>
      </c>
      <c r="BE4605" s="743" t="str">
        <f>IF(D4605="","",VLOOKUP(D4605,'General Basis'!$J$39:$K$46,2,0))</f>
        <v/>
      </c>
      <c r="BF4605" s="744" t="str">
        <f>IF(D4605="","",VLOOKUP(D4605,'General Basis'!$J$39:$L$46,3,0))</f>
        <v/>
      </c>
      <c r="BG4605" s="744" t="str">
        <f t="shared" si="1595"/>
        <v/>
      </c>
      <c r="BH4605" s="744" t="str">
        <f>IF(G4605="","",IF(BF4605="Abu Dhabi",IF(G4605&lt;18,'General Basis'!$C$39,IF(G4605&lt;41,'General Basis'!$C$40,IF(G4605&lt;60,'General Basis'!$C$41,IF(G4605&lt;65,'General Basis'!$C$42,'General Basis'!$C$43)))),IF(G4605&lt;11,'General Basis'!$B$39,IF(G4605&lt;18,'General Basis'!$B$40,IF(G4605&lt;26,'General Basis'!$B$41,IF(G4605&lt;31,'General Basis'!$B$42,IF(G4605&lt;36,'General Basis'!$B$43,IF(G4605&lt;41,'General Basis'!$B$44,IF(G4605&lt;46,'General Basis'!$B$45,IF(G4605&lt;51,'General Basis'!$B$46,IF(G4605&lt;56,'General Basis'!$B$47,IF(G4605&lt;60,'General Basis'!$B$48,IF(G4605&lt;65,'General Basis'!$B$49,'General Basis'!$B$50)))))))))))))</f>
        <v/>
      </c>
      <c r="BI4605" s="744" t="str">
        <f t="shared" si="1589"/>
        <v/>
      </c>
      <c r="BJ4605" s="747" t="str">
        <f t="shared" si="1596"/>
        <v/>
      </c>
      <c r="BK4605" s="498" t="str">
        <f t="shared" si="1590"/>
        <v/>
      </c>
      <c r="BL4605" s="498" t="str">
        <f t="shared" si="1591"/>
        <v/>
      </c>
    </row>
    <row r="4606" spans="1:64" x14ac:dyDescent="0.25">
      <c r="A4606" s="762">
        <f t="shared" si="1592"/>
        <v>4601</v>
      </c>
      <c r="B4606" s="229"/>
      <c r="C4606" s="223"/>
      <c r="D4606" s="224"/>
      <c r="E4606" s="225"/>
      <c r="F4606" s="1036" t="str">
        <f t="shared" si="1598"/>
        <v/>
      </c>
      <c r="G4606" s="1037" t="str">
        <f t="shared" si="1593"/>
        <v/>
      </c>
      <c r="H4606" s="225"/>
      <c r="I4606" s="1013"/>
      <c r="J4606" s="1013"/>
      <c r="K4606" s="1028"/>
      <c r="L4606" s="1035" t="str">
        <f t="shared" si="1597"/>
        <v/>
      </c>
      <c r="S4606" s="498"/>
      <c r="AJ4606" s="498"/>
      <c r="AM4606" s="498">
        <f t="shared" si="1578"/>
        <v>0</v>
      </c>
      <c r="AN4606" s="498">
        <f t="shared" si="1579"/>
        <v>0</v>
      </c>
      <c r="AO4606" s="498">
        <f t="shared" si="1580"/>
        <v>0</v>
      </c>
      <c r="AP4606" s="498">
        <f t="shared" si="1599"/>
        <v>0</v>
      </c>
      <c r="AQ4606" s="498">
        <f t="shared" si="1594"/>
        <v>0</v>
      </c>
      <c r="AU4606" s="498">
        <f t="shared" si="1581"/>
        <v>0</v>
      </c>
      <c r="AV4606" s="498">
        <f t="shared" si="1582"/>
        <v>0</v>
      </c>
      <c r="AW4606" s="498">
        <f t="shared" si="1583"/>
        <v>0</v>
      </c>
      <c r="AX4606" s="498">
        <f t="shared" si="1584"/>
        <v>0</v>
      </c>
      <c r="AY4606" s="498">
        <f t="shared" si="1585"/>
        <v>0</v>
      </c>
      <c r="BB4606" s="498" t="str">
        <f t="shared" si="1586"/>
        <v/>
      </c>
      <c r="BC4606" s="743" t="str">
        <f t="shared" si="1587"/>
        <v/>
      </c>
      <c r="BD4606" s="743" t="str">
        <f t="shared" si="1588"/>
        <v/>
      </c>
      <c r="BE4606" s="743" t="str">
        <f>IF(D4606="","",VLOOKUP(D4606,'General Basis'!$J$39:$K$46,2,0))</f>
        <v/>
      </c>
      <c r="BF4606" s="744" t="str">
        <f>IF(D4606="","",VLOOKUP(D4606,'General Basis'!$J$39:$L$46,3,0))</f>
        <v/>
      </c>
      <c r="BG4606" s="744" t="str">
        <f t="shared" si="1595"/>
        <v/>
      </c>
      <c r="BH4606" s="744" t="str">
        <f>IF(G4606="","",IF(BF4606="Abu Dhabi",IF(G4606&lt;18,'General Basis'!$C$39,IF(G4606&lt;41,'General Basis'!$C$40,IF(G4606&lt;60,'General Basis'!$C$41,IF(G4606&lt;65,'General Basis'!$C$42,'General Basis'!$C$43)))),IF(G4606&lt;11,'General Basis'!$B$39,IF(G4606&lt;18,'General Basis'!$B$40,IF(G4606&lt;26,'General Basis'!$B$41,IF(G4606&lt;31,'General Basis'!$B$42,IF(G4606&lt;36,'General Basis'!$B$43,IF(G4606&lt;41,'General Basis'!$B$44,IF(G4606&lt;46,'General Basis'!$B$45,IF(G4606&lt;51,'General Basis'!$B$46,IF(G4606&lt;56,'General Basis'!$B$47,IF(G4606&lt;60,'General Basis'!$B$48,IF(G4606&lt;65,'General Basis'!$B$49,'General Basis'!$B$50)))))))))))))</f>
        <v/>
      </c>
      <c r="BI4606" s="744" t="str">
        <f t="shared" si="1589"/>
        <v/>
      </c>
      <c r="BJ4606" s="747" t="str">
        <f t="shared" si="1596"/>
        <v/>
      </c>
      <c r="BK4606" s="498" t="str">
        <f t="shared" si="1590"/>
        <v/>
      </c>
      <c r="BL4606" s="498" t="str">
        <f t="shared" si="1591"/>
        <v/>
      </c>
    </row>
    <row r="4607" spans="1:64" x14ac:dyDescent="0.25">
      <c r="A4607" s="762">
        <f t="shared" si="1592"/>
        <v>4602</v>
      </c>
      <c r="B4607" s="229"/>
      <c r="C4607" s="223"/>
      <c r="D4607" s="224"/>
      <c r="E4607" s="225"/>
      <c r="F4607" s="1036" t="str">
        <f t="shared" si="1598"/>
        <v/>
      </c>
      <c r="G4607" s="1037" t="str">
        <f t="shared" si="1593"/>
        <v/>
      </c>
      <c r="H4607" s="225"/>
      <c r="I4607" s="1013"/>
      <c r="J4607" s="1013"/>
      <c r="K4607" s="1028"/>
      <c r="L4607" s="1035" t="str">
        <f t="shared" si="1597"/>
        <v/>
      </c>
      <c r="S4607" s="498"/>
      <c r="AJ4607" s="498"/>
      <c r="AM4607" s="498">
        <f t="shared" si="1578"/>
        <v>0</v>
      </c>
      <c r="AN4607" s="498">
        <f t="shared" si="1579"/>
        <v>0</v>
      </c>
      <c r="AO4607" s="498">
        <f t="shared" si="1580"/>
        <v>0</v>
      </c>
      <c r="AP4607" s="498">
        <f t="shared" si="1599"/>
        <v>0</v>
      </c>
      <c r="AQ4607" s="498">
        <f t="shared" si="1594"/>
        <v>0</v>
      </c>
      <c r="AU4607" s="498">
        <f t="shared" si="1581"/>
        <v>0</v>
      </c>
      <c r="AV4607" s="498">
        <f t="shared" si="1582"/>
        <v>0</v>
      </c>
      <c r="AW4607" s="498">
        <f t="shared" si="1583"/>
        <v>0</v>
      </c>
      <c r="AX4607" s="498">
        <f t="shared" si="1584"/>
        <v>0</v>
      </c>
      <c r="AY4607" s="498">
        <f t="shared" si="1585"/>
        <v>0</v>
      </c>
      <c r="BB4607" s="498" t="str">
        <f t="shared" si="1586"/>
        <v/>
      </c>
      <c r="BC4607" s="743" t="str">
        <f t="shared" si="1587"/>
        <v/>
      </c>
      <c r="BD4607" s="743" t="str">
        <f t="shared" si="1588"/>
        <v/>
      </c>
      <c r="BE4607" s="743" t="str">
        <f>IF(D4607="","",VLOOKUP(D4607,'General Basis'!$J$39:$K$46,2,0))</f>
        <v/>
      </c>
      <c r="BF4607" s="744" t="str">
        <f>IF(D4607="","",VLOOKUP(D4607,'General Basis'!$J$39:$L$46,3,0))</f>
        <v/>
      </c>
      <c r="BG4607" s="744" t="str">
        <f t="shared" si="1595"/>
        <v/>
      </c>
      <c r="BH4607" s="744" t="str">
        <f>IF(G4607="","",IF(BF4607="Abu Dhabi",IF(G4607&lt;18,'General Basis'!$C$39,IF(G4607&lt;41,'General Basis'!$C$40,IF(G4607&lt;60,'General Basis'!$C$41,IF(G4607&lt;65,'General Basis'!$C$42,'General Basis'!$C$43)))),IF(G4607&lt;11,'General Basis'!$B$39,IF(G4607&lt;18,'General Basis'!$B$40,IF(G4607&lt;26,'General Basis'!$B$41,IF(G4607&lt;31,'General Basis'!$B$42,IF(G4607&lt;36,'General Basis'!$B$43,IF(G4607&lt;41,'General Basis'!$B$44,IF(G4607&lt;46,'General Basis'!$B$45,IF(G4607&lt;51,'General Basis'!$B$46,IF(G4607&lt;56,'General Basis'!$B$47,IF(G4607&lt;60,'General Basis'!$B$48,IF(G4607&lt;65,'General Basis'!$B$49,'General Basis'!$B$50)))))))))))))</f>
        <v/>
      </c>
      <c r="BI4607" s="744" t="str">
        <f t="shared" si="1589"/>
        <v/>
      </c>
      <c r="BJ4607" s="747" t="str">
        <f t="shared" si="1596"/>
        <v/>
      </c>
      <c r="BK4607" s="498" t="str">
        <f t="shared" si="1590"/>
        <v/>
      </c>
      <c r="BL4607" s="498" t="str">
        <f t="shared" si="1591"/>
        <v/>
      </c>
    </row>
    <row r="4608" spans="1:64" x14ac:dyDescent="0.25">
      <c r="A4608" s="762">
        <f t="shared" si="1592"/>
        <v>4603</v>
      </c>
      <c r="B4608" s="229"/>
      <c r="C4608" s="223"/>
      <c r="D4608" s="224"/>
      <c r="E4608" s="225"/>
      <c r="F4608" s="1036" t="str">
        <f t="shared" si="1598"/>
        <v/>
      </c>
      <c r="G4608" s="1037" t="str">
        <f t="shared" si="1593"/>
        <v/>
      </c>
      <c r="H4608" s="225"/>
      <c r="I4608" s="1013"/>
      <c r="J4608" s="1013"/>
      <c r="K4608" s="1028"/>
      <c r="L4608" s="1035" t="str">
        <f t="shared" si="1597"/>
        <v/>
      </c>
      <c r="S4608" s="498"/>
      <c r="AJ4608" s="498"/>
      <c r="AM4608" s="498">
        <f t="shared" si="1578"/>
        <v>0</v>
      </c>
      <c r="AN4608" s="498">
        <f t="shared" si="1579"/>
        <v>0</v>
      </c>
      <c r="AO4608" s="498">
        <f t="shared" si="1580"/>
        <v>0</v>
      </c>
      <c r="AP4608" s="498">
        <f t="shared" si="1599"/>
        <v>0</v>
      </c>
      <c r="AQ4608" s="498">
        <f t="shared" si="1594"/>
        <v>0</v>
      </c>
      <c r="AU4608" s="498">
        <f t="shared" si="1581"/>
        <v>0</v>
      </c>
      <c r="AV4608" s="498">
        <f t="shared" si="1582"/>
        <v>0</v>
      </c>
      <c r="AW4608" s="498">
        <f t="shared" si="1583"/>
        <v>0</v>
      </c>
      <c r="AX4608" s="498">
        <f t="shared" si="1584"/>
        <v>0</v>
      </c>
      <c r="AY4608" s="498">
        <f t="shared" si="1585"/>
        <v>0</v>
      </c>
      <c r="BB4608" s="498" t="str">
        <f t="shared" si="1586"/>
        <v/>
      </c>
      <c r="BC4608" s="743" t="str">
        <f t="shared" si="1587"/>
        <v/>
      </c>
      <c r="BD4608" s="743" t="str">
        <f t="shared" si="1588"/>
        <v/>
      </c>
      <c r="BE4608" s="743" t="str">
        <f>IF(D4608="","",VLOOKUP(D4608,'General Basis'!$J$39:$K$46,2,0))</f>
        <v/>
      </c>
      <c r="BF4608" s="744" t="str">
        <f>IF(D4608="","",VLOOKUP(D4608,'General Basis'!$J$39:$L$46,3,0))</f>
        <v/>
      </c>
      <c r="BG4608" s="744" t="str">
        <f t="shared" si="1595"/>
        <v/>
      </c>
      <c r="BH4608" s="744" t="str">
        <f>IF(G4608="","",IF(BF4608="Abu Dhabi",IF(G4608&lt;18,'General Basis'!$C$39,IF(G4608&lt;41,'General Basis'!$C$40,IF(G4608&lt;60,'General Basis'!$C$41,IF(G4608&lt;65,'General Basis'!$C$42,'General Basis'!$C$43)))),IF(G4608&lt;11,'General Basis'!$B$39,IF(G4608&lt;18,'General Basis'!$B$40,IF(G4608&lt;26,'General Basis'!$B$41,IF(G4608&lt;31,'General Basis'!$B$42,IF(G4608&lt;36,'General Basis'!$B$43,IF(G4608&lt;41,'General Basis'!$B$44,IF(G4608&lt;46,'General Basis'!$B$45,IF(G4608&lt;51,'General Basis'!$B$46,IF(G4608&lt;56,'General Basis'!$B$47,IF(G4608&lt;60,'General Basis'!$B$48,IF(G4608&lt;65,'General Basis'!$B$49,'General Basis'!$B$50)))))))))))))</f>
        <v/>
      </c>
      <c r="BI4608" s="744" t="str">
        <f t="shared" si="1589"/>
        <v/>
      </c>
      <c r="BJ4608" s="747" t="str">
        <f t="shared" si="1596"/>
        <v/>
      </c>
      <c r="BK4608" s="498" t="str">
        <f t="shared" si="1590"/>
        <v/>
      </c>
      <c r="BL4608" s="498" t="str">
        <f t="shared" si="1591"/>
        <v/>
      </c>
    </row>
    <row r="4609" spans="1:64" x14ac:dyDescent="0.25">
      <c r="A4609" s="762">
        <f t="shared" si="1592"/>
        <v>4604</v>
      </c>
      <c r="B4609" s="229"/>
      <c r="C4609" s="223"/>
      <c r="D4609" s="224"/>
      <c r="E4609" s="225"/>
      <c r="F4609" s="1036" t="str">
        <f t="shared" si="1598"/>
        <v/>
      </c>
      <c r="G4609" s="1037" t="str">
        <f t="shared" si="1593"/>
        <v/>
      </c>
      <c r="H4609" s="225"/>
      <c r="I4609" s="1013"/>
      <c r="J4609" s="1013"/>
      <c r="K4609" s="1028"/>
      <c r="L4609" s="1035" t="str">
        <f t="shared" si="1597"/>
        <v/>
      </c>
      <c r="S4609" s="498"/>
      <c r="AJ4609" s="498"/>
      <c r="AM4609" s="498">
        <f t="shared" si="1578"/>
        <v>0</v>
      </c>
      <c r="AN4609" s="498">
        <f t="shared" si="1579"/>
        <v>0</v>
      </c>
      <c r="AO4609" s="498">
        <f t="shared" si="1580"/>
        <v>0</v>
      </c>
      <c r="AP4609" s="498">
        <f t="shared" si="1599"/>
        <v>0</v>
      </c>
      <c r="AQ4609" s="498">
        <f t="shared" si="1594"/>
        <v>0</v>
      </c>
      <c r="AU4609" s="498">
        <f t="shared" si="1581"/>
        <v>0</v>
      </c>
      <c r="AV4609" s="498">
        <f t="shared" si="1582"/>
        <v>0</v>
      </c>
      <c r="AW4609" s="498">
        <f t="shared" si="1583"/>
        <v>0</v>
      </c>
      <c r="AX4609" s="498">
        <f t="shared" si="1584"/>
        <v>0</v>
      </c>
      <c r="AY4609" s="498">
        <f t="shared" si="1585"/>
        <v>0</v>
      </c>
      <c r="BB4609" s="498" t="str">
        <f t="shared" si="1586"/>
        <v/>
      </c>
      <c r="BC4609" s="743" t="str">
        <f t="shared" si="1587"/>
        <v/>
      </c>
      <c r="BD4609" s="743" t="str">
        <f t="shared" si="1588"/>
        <v/>
      </c>
      <c r="BE4609" s="743" t="str">
        <f>IF(D4609="","",VLOOKUP(D4609,'General Basis'!$J$39:$K$46,2,0))</f>
        <v/>
      </c>
      <c r="BF4609" s="744" t="str">
        <f>IF(D4609="","",VLOOKUP(D4609,'General Basis'!$J$39:$L$46,3,0))</f>
        <v/>
      </c>
      <c r="BG4609" s="744" t="str">
        <f t="shared" si="1595"/>
        <v/>
      </c>
      <c r="BH4609" s="744" t="str">
        <f>IF(G4609="","",IF(BF4609="Abu Dhabi",IF(G4609&lt;18,'General Basis'!$C$39,IF(G4609&lt;41,'General Basis'!$C$40,IF(G4609&lt;60,'General Basis'!$C$41,IF(G4609&lt;65,'General Basis'!$C$42,'General Basis'!$C$43)))),IF(G4609&lt;11,'General Basis'!$B$39,IF(G4609&lt;18,'General Basis'!$B$40,IF(G4609&lt;26,'General Basis'!$B$41,IF(G4609&lt;31,'General Basis'!$B$42,IF(G4609&lt;36,'General Basis'!$B$43,IF(G4609&lt;41,'General Basis'!$B$44,IF(G4609&lt;46,'General Basis'!$B$45,IF(G4609&lt;51,'General Basis'!$B$46,IF(G4609&lt;56,'General Basis'!$B$47,IF(G4609&lt;60,'General Basis'!$B$48,IF(G4609&lt;65,'General Basis'!$B$49,'General Basis'!$B$50)))))))))))))</f>
        <v/>
      </c>
      <c r="BI4609" s="744" t="str">
        <f t="shared" si="1589"/>
        <v/>
      </c>
      <c r="BJ4609" s="747" t="str">
        <f t="shared" si="1596"/>
        <v/>
      </c>
      <c r="BK4609" s="498" t="str">
        <f t="shared" si="1590"/>
        <v/>
      </c>
      <c r="BL4609" s="498" t="str">
        <f t="shared" si="1591"/>
        <v/>
      </c>
    </row>
    <row r="4610" spans="1:64" x14ac:dyDescent="0.25">
      <c r="A4610" s="762">
        <f t="shared" si="1592"/>
        <v>4605</v>
      </c>
      <c r="B4610" s="229"/>
      <c r="C4610" s="223"/>
      <c r="D4610" s="224"/>
      <c r="E4610" s="225"/>
      <c r="F4610" s="1036" t="str">
        <f t="shared" si="1598"/>
        <v/>
      </c>
      <c r="G4610" s="1037" t="str">
        <f t="shared" si="1593"/>
        <v/>
      </c>
      <c r="H4610" s="225"/>
      <c r="I4610" s="1013"/>
      <c r="J4610" s="1013"/>
      <c r="K4610" s="1028"/>
      <c r="L4610" s="1035" t="str">
        <f t="shared" si="1597"/>
        <v/>
      </c>
      <c r="S4610" s="498"/>
      <c r="AJ4610" s="498"/>
      <c r="AM4610" s="498">
        <f t="shared" si="1578"/>
        <v>0</v>
      </c>
      <c r="AN4610" s="498">
        <f t="shared" si="1579"/>
        <v>0</v>
      </c>
      <c r="AO4610" s="498">
        <f t="shared" si="1580"/>
        <v>0</v>
      </c>
      <c r="AP4610" s="498">
        <f t="shared" si="1599"/>
        <v>0</v>
      </c>
      <c r="AQ4610" s="498">
        <f t="shared" si="1594"/>
        <v>0</v>
      </c>
      <c r="AU4610" s="498">
        <f t="shared" si="1581"/>
        <v>0</v>
      </c>
      <c r="AV4610" s="498">
        <f t="shared" si="1582"/>
        <v>0</v>
      </c>
      <c r="AW4610" s="498">
        <f t="shared" si="1583"/>
        <v>0</v>
      </c>
      <c r="AX4610" s="498">
        <f t="shared" si="1584"/>
        <v>0</v>
      </c>
      <c r="AY4610" s="498">
        <f t="shared" si="1585"/>
        <v>0</v>
      </c>
      <c r="BB4610" s="498" t="str">
        <f t="shared" si="1586"/>
        <v/>
      </c>
      <c r="BC4610" s="743" t="str">
        <f t="shared" si="1587"/>
        <v/>
      </c>
      <c r="BD4610" s="743" t="str">
        <f t="shared" si="1588"/>
        <v/>
      </c>
      <c r="BE4610" s="743" t="str">
        <f>IF(D4610="","",VLOOKUP(D4610,'General Basis'!$J$39:$K$46,2,0))</f>
        <v/>
      </c>
      <c r="BF4610" s="744" t="str">
        <f>IF(D4610="","",VLOOKUP(D4610,'General Basis'!$J$39:$L$46,3,0))</f>
        <v/>
      </c>
      <c r="BG4610" s="744" t="str">
        <f t="shared" si="1595"/>
        <v/>
      </c>
      <c r="BH4610" s="744" t="str">
        <f>IF(G4610="","",IF(BF4610="Abu Dhabi",IF(G4610&lt;18,'General Basis'!$C$39,IF(G4610&lt;41,'General Basis'!$C$40,IF(G4610&lt;60,'General Basis'!$C$41,IF(G4610&lt;65,'General Basis'!$C$42,'General Basis'!$C$43)))),IF(G4610&lt;11,'General Basis'!$B$39,IF(G4610&lt;18,'General Basis'!$B$40,IF(G4610&lt;26,'General Basis'!$B$41,IF(G4610&lt;31,'General Basis'!$B$42,IF(G4610&lt;36,'General Basis'!$B$43,IF(G4610&lt;41,'General Basis'!$B$44,IF(G4610&lt;46,'General Basis'!$B$45,IF(G4610&lt;51,'General Basis'!$B$46,IF(G4610&lt;56,'General Basis'!$B$47,IF(G4610&lt;60,'General Basis'!$B$48,IF(G4610&lt;65,'General Basis'!$B$49,'General Basis'!$B$50)))))))))))))</f>
        <v/>
      </c>
      <c r="BI4610" s="744" t="str">
        <f t="shared" si="1589"/>
        <v/>
      </c>
      <c r="BJ4610" s="747" t="str">
        <f t="shared" si="1596"/>
        <v/>
      </c>
      <c r="BK4610" s="498" t="str">
        <f t="shared" si="1590"/>
        <v/>
      </c>
      <c r="BL4610" s="498" t="str">
        <f t="shared" si="1591"/>
        <v/>
      </c>
    </row>
    <row r="4611" spans="1:64" x14ac:dyDescent="0.25">
      <c r="A4611" s="762">
        <f t="shared" si="1592"/>
        <v>4606</v>
      </c>
      <c r="B4611" s="229"/>
      <c r="C4611" s="223"/>
      <c r="D4611" s="224"/>
      <c r="E4611" s="225"/>
      <c r="F4611" s="1036" t="str">
        <f t="shared" si="1598"/>
        <v/>
      </c>
      <c r="G4611" s="1037" t="str">
        <f t="shared" si="1593"/>
        <v/>
      </c>
      <c r="H4611" s="225"/>
      <c r="I4611" s="1013"/>
      <c r="J4611" s="1013"/>
      <c r="K4611" s="1028"/>
      <c r="L4611" s="1035" t="str">
        <f t="shared" si="1597"/>
        <v/>
      </c>
      <c r="S4611" s="498"/>
      <c r="AJ4611" s="498"/>
      <c r="AM4611" s="498">
        <f t="shared" si="1578"/>
        <v>0</v>
      </c>
      <c r="AN4611" s="498">
        <f t="shared" si="1579"/>
        <v>0</v>
      </c>
      <c r="AO4611" s="498">
        <f t="shared" si="1580"/>
        <v>0</v>
      </c>
      <c r="AP4611" s="498">
        <f t="shared" si="1599"/>
        <v>0</v>
      </c>
      <c r="AQ4611" s="498">
        <f t="shared" si="1594"/>
        <v>0</v>
      </c>
      <c r="AU4611" s="498">
        <f t="shared" si="1581"/>
        <v>0</v>
      </c>
      <c r="AV4611" s="498">
        <f t="shared" si="1582"/>
        <v>0</v>
      </c>
      <c r="AW4611" s="498">
        <f t="shared" si="1583"/>
        <v>0</v>
      </c>
      <c r="AX4611" s="498">
        <f t="shared" si="1584"/>
        <v>0</v>
      </c>
      <c r="AY4611" s="498">
        <f t="shared" si="1585"/>
        <v>0</v>
      </c>
      <c r="BB4611" s="498" t="str">
        <f t="shared" si="1586"/>
        <v/>
      </c>
      <c r="BC4611" s="743" t="str">
        <f t="shared" si="1587"/>
        <v/>
      </c>
      <c r="BD4611" s="743" t="str">
        <f t="shared" si="1588"/>
        <v/>
      </c>
      <c r="BE4611" s="743" t="str">
        <f>IF(D4611="","",VLOOKUP(D4611,'General Basis'!$J$39:$K$46,2,0))</f>
        <v/>
      </c>
      <c r="BF4611" s="744" t="str">
        <f>IF(D4611="","",VLOOKUP(D4611,'General Basis'!$J$39:$L$46,3,0))</f>
        <v/>
      </c>
      <c r="BG4611" s="744" t="str">
        <f t="shared" si="1595"/>
        <v/>
      </c>
      <c r="BH4611" s="744" t="str">
        <f>IF(G4611="","",IF(BF4611="Abu Dhabi",IF(G4611&lt;18,'General Basis'!$C$39,IF(G4611&lt;41,'General Basis'!$C$40,IF(G4611&lt;60,'General Basis'!$C$41,IF(G4611&lt;65,'General Basis'!$C$42,'General Basis'!$C$43)))),IF(G4611&lt;11,'General Basis'!$B$39,IF(G4611&lt;18,'General Basis'!$B$40,IF(G4611&lt;26,'General Basis'!$B$41,IF(G4611&lt;31,'General Basis'!$B$42,IF(G4611&lt;36,'General Basis'!$B$43,IF(G4611&lt;41,'General Basis'!$B$44,IF(G4611&lt;46,'General Basis'!$B$45,IF(G4611&lt;51,'General Basis'!$B$46,IF(G4611&lt;56,'General Basis'!$B$47,IF(G4611&lt;60,'General Basis'!$B$48,IF(G4611&lt;65,'General Basis'!$B$49,'General Basis'!$B$50)))))))))))))</f>
        <v/>
      </c>
      <c r="BI4611" s="744" t="str">
        <f t="shared" si="1589"/>
        <v/>
      </c>
      <c r="BJ4611" s="747" t="str">
        <f t="shared" si="1596"/>
        <v/>
      </c>
      <c r="BK4611" s="498" t="str">
        <f t="shared" si="1590"/>
        <v/>
      </c>
      <c r="BL4611" s="498" t="str">
        <f t="shared" si="1591"/>
        <v/>
      </c>
    </row>
    <row r="4612" spans="1:64" x14ac:dyDescent="0.25">
      <c r="A4612" s="762">
        <f t="shared" si="1592"/>
        <v>4607</v>
      </c>
      <c r="B4612" s="229"/>
      <c r="C4612" s="223"/>
      <c r="D4612" s="224"/>
      <c r="E4612" s="225"/>
      <c r="F4612" s="1036" t="str">
        <f t="shared" si="1598"/>
        <v/>
      </c>
      <c r="G4612" s="1037" t="str">
        <f t="shared" si="1593"/>
        <v/>
      </c>
      <c r="H4612" s="225"/>
      <c r="I4612" s="1013"/>
      <c r="J4612" s="1013"/>
      <c r="K4612" s="1028"/>
      <c r="L4612" s="1035" t="str">
        <f t="shared" si="1597"/>
        <v/>
      </c>
      <c r="S4612" s="498"/>
      <c r="AJ4612" s="498"/>
      <c r="AM4612" s="498">
        <f t="shared" si="1578"/>
        <v>0</v>
      </c>
      <c r="AN4612" s="498">
        <f t="shared" si="1579"/>
        <v>0</v>
      </c>
      <c r="AO4612" s="498">
        <f t="shared" si="1580"/>
        <v>0</v>
      </c>
      <c r="AP4612" s="498">
        <f t="shared" si="1599"/>
        <v>0</v>
      </c>
      <c r="AQ4612" s="498">
        <f t="shared" si="1594"/>
        <v>0</v>
      </c>
      <c r="AU4612" s="498">
        <f t="shared" si="1581"/>
        <v>0</v>
      </c>
      <c r="AV4612" s="498">
        <f t="shared" si="1582"/>
        <v>0</v>
      </c>
      <c r="AW4612" s="498">
        <f t="shared" si="1583"/>
        <v>0</v>
      </c>
      <c r="AX4612" s="498">
        <f t="shared" si="1584"/>
        <v>0</v>
      </c>
      <c r="AY4612" s="498">
        <f t="shared" si="1585"/>
        <v>0</v>
      </c>
      <c r="BB4612" s="498" t="str">
        <f t="shared" si="1586"/>
        <v/>
      </c>
      <c r="BC4612" s="743" t="str">
        <f t="shared" si="1587"/>
        <v/>
      </c>
      <c r="BD4612" s="743" t="str">
        <f t="shared" si="1588"/>
        <v/>
      </c>
      <c r="BE4612" s="743" t="str">
        <f>IF(D4612="","",VLOOKUP(D4612,'General Basis'!$J$39:$K$46,2,0))</f>
        <v/>
      </c>
      <c r="BF4612" s="744" t="str">
        <f>IF(D4612="","",VLOOKUP(D4612,'General Basis'!$J$39:$L$46,3,0))</f>
        <v/>
      </c>
      <c r="BG4612" s="744" t="str">
        <f t="shared" si="1595"/>
        <v/>
      </c>
      <c r="BH4612" s="744" t="str">
        <f>IF(G4612="","",IF(BF4612="Abu Dhabi",IF(G4612&lt;18,'General Basis'!$C$39,IF(G4612&lt;41,'General Basis'!$C$40,IF(G4612&lt;60,'General Basis'!$C$41,IF(G4612&lt;65,'General Basis'!$C$42,'General Basis'!$C$43)))),IF(G4612&lt;11,'General Basis'!$B$39,IF(G4612&lt;18,'General Basis'!$B$40,IF(G4612&lt;26,'General Basis'!$B$41,IF(G4612&lt;31,'General Basis'!$B$42,IF(G4612&lt;36,'General Basis'!$B$43,IF(G4612&lt;41,'General Basis'!$B$44,IF(G4612&lt;46,'General Basis'!$B$45,IF(G4612&lt;51,'General Basis'!$B$46,IF(G4612&lt;56,'General Basis'!$B$47,IF(G4612&lt;60,'General Basis'!$B$48,IF(G4612&lt;65,'General Basis'!$B$49,'General Basis'!$B$50)))))))))))))</f>
        <v/>
      </c>
      <c r="BI4612" s="744" t="str">
        <f t="shared" si="1589"/>
        <v/>
      </c>
      <c r="BJ4612" s="747" t="str">
        <f t="shared" si="1596"/>
        <v/>
      </c>
      <c r="BK4612" s="498" t="str">
        <f t="shared" si="1590"/>
        <v/>
      </c>
      <c r="BL4612" s="498" t="str">
        <f t="shared" si="1591"/>
        <v/>
      </c>
    </row>
    <row r="4613" spans="1:64" x14ac:dyDescent="0.25">
      <c r="A4613" s="762">
        <f t="shared" si="1592"/>
        <v>4608</v>
      </c>
      <c r="B4613" s="229"/>
      <c r="C4613" s="223"/>
      <c r="D4613" s="224"/>
      <c r="E4613" s="225"/>
      <c r="F4613" s="1036" t="str">
        <f t="shared" si="1598"/>
        <v/>
      </c>
      <c r="G4613" s="1037" t="str">
        <f t="shared" si="1593"/>
        <v/>
      </c>
      <c r="H4613" s="225"/>
      <c r="I4613" s="1013"/>
      <c r="J4613" s="1013"/>
      <c r="K4613" s="1028"/>
      <c r="L4613" s="1035" t="str">
        <f t="shared" si="1597"/>
        <v/>
      </c>
      <c r="S4613" s="498"/>
      <c r="AJ4613" s="498"/>
      <c r="AM4613" s="498">
        <f t="shared" si="1578"/>
        <v>0</v>
      </c>
      <c r="AN4613" s="498">
        <f t="shared" si="1579"/>
        <v>0</v>
      </c>
      <c r="AO4613" s="498">
        <f t="shared" si="1580"/>
        <v>0</v>
      </c>
      <c r="AP4613" s="498">
        <f t="shared" si="1599"/>
        <v>0</v>
      </c>
      <c r="AQ4613" s="498">
        <f t="shared" si="1594"/>
        <v>0</v>
      </c>
      <c r="AU4613" s="498">
        <f t="shared" si="1581"/>
        <v>0</v>
      </c>
      <c r="AV4613" s="498">
        <f t="shared" si="1582"/>
        <v>0</v>
      </c>
      <c r="AW4613" s="498">
        <f t="shared" si="1583"/>
        <v>0</v>
      </c>
      <c r="AX4613" s="498">
        <f t="shared" si="1584"/>
        <v>0</v>
      </c>
      <c r="AY4613" s="498">
        <f t="shared" si="1585"/>
        <v>0</v>
      </c>
      <c r="BB4613" s="498" t="str">
        <f t="shared" si="1586"/>
        <v/>
      </c>
      <c r="BC4613" s="743" t="str">
        <f t="shared" si="1587"/>
        <v/>
      </c>
      <c r="BD4613" s="743" t="str">
        <f t="shared" si="1588"/>
        <v/>
      </c>
      <c r="BE4613" s="743" t="str">
        <f>IF(D4613="","",VLOOKUP(D4613,'General Basis'!$J$39:$K$46,2,0))</f>
        <v/>
      </c>
      <c r="BF4613" s="744" t="str">
        <f>IF(D4613="","",VLOOKUP(D4613,'General Basis'!$J$39:$L$46,3,0))</f>
        <v/>
      </c>
      <c r="BG4613" s="744" t="str">
        <f t="shared" si="1595"/>
        <v/>
      </c>
      <c r="BH4613" s="744" t="str">
        <f>IF(G4613="","",IF(BF4613="Abu Dhabi",IF(G4613&lt;18,'General Basis'!$C$39,IF(G4613&lt;41,'General Basis'!$C$40,IF(G4613&lt;60,'General Basis'!$C$41,IF(G4613&lt;65,'General Basis'!$C$42,'General Basis'!$C$43)))),IF(G4613&lt;11,'General Basis'!$B$39,IF(G4613&lt;18,'General Basis'!$B$40,IF(G4613&lt;26,'General Basis'!$B$41,IF(G4613&lt;31,'General Basis'!$B$42,IF(G4613&lt;36,'General Basis'!$B$43,IF(G4613&lt;41,'General Basis'!$B$44,IF(G4613&lt;46,'General Basis'!$B$45,IF(G4613&lt;51,'General Basis'!$B$46,IF(G4613&lt;56,'General Basis'!$B$47,IF(G4613&lt;60,'General Basis'!$B$48,IF(G4613&lt;65,'General Basis'!$B$49,'General Basis'!$B$50)))))))))))))</f>
        <v/>
      </c>
      <c r="BI4613" s="744" t="str">
        <f t="shared" si="1589"/>
        <v/>
      </c>
      <c r="BJ4613" s="747" t="str">
        <f t="shared" si="1596"/>
        <v/>
      </c>
      <c r="BK4613" s="498" t="str">
        <f t="shared" si="1590"/>
        <v/>
      </c>
      <c r="BL4613" s="498" t="str">
        <f t="shared" si="1591"/>
        <v/>
      </c>
    </row>
    <row r="4614" spans="1:64" x14ac:dyDescent="0.25">
      <c r="A4614" s="762">
        <f t="shared" si="1592"/>
        <v>4609</v>
      </c>
      <c r="B4614" s="229"/>
      <c r="C4614" s="223"/>
      <c r="D4614" s="224"/>
      <c r="E4614" s="225"/>
      <c r="F4614" s="1036" t="str">
        <f t="shared" si="1598"/>
        <v/>
      </c>
      <c r="G4614" s="1037" t="str">
        <f t="shared" si="1593"/>
        <v/>
      </c>
      <c r="H4614" s="225"/>
      <c r="I4614" s="1013"/>
      <c r="J4614" s="1013"/>
      <c r="K4614" s="1028"/>
      <c r="L4614" s="1035" t="str">
        <f t="shared" si="1597"/>
        <v/>
      </c>
      <c r="S4614" s="498"/>
      <c r="AJ4614" s="498"/>
      <c r="AM4614" s="498">
        <f t="shared" ref="AM4614:AM4677" si="1600">IF(ISTEXT(B4614),1,0)</f>
        <v>0</v>
      </c>
      <c r="AN4614" s="498">
        <f t="shared" ref="AN4614:AN4677" si="1601">IF(ISBLANK(B4614),0,IF(B4614&lt;$AK$6,1,0))</f>
        <v>0</v>
      </c>
      <c r="AO4614" s="498">
        <f t="shared" ref="AO4614:AO4677" si="1602">IF(ISBLANK(B4614),0,IF(B4614&gt;$AK$7,1,0))</f>
        <v>0</v>
      </c>
      <c r="AP4614" s="498">
        <f t="shared" si="1599"/>
        <v>0</v>
      </c>
      <c r="AQ4614" s="498">
        <f t="shared" si="1594"/>
        <v>0</v>
      </c>
      <c r="AU4614" s="498">
        <f t="shared" ref="AU4614:AU4677" si="1603">IF(ISBLANK(B4614),0,1)</f>
        <v>0</v>
      </c>
      <c r="AV4614" s="498">
        <f t="shared" ref="AV4614:AV4677" si="1604">IF(ISBLANK(C4614),0,1)</f>
        <v>0</v>
      </c>
      <c r="AW4614" s="498">
        <f t="shared" ref="AW4614:AW4677" si="1605">IF(ISBLANK(D4614),0,1)</f>
        <v>0</v>
      </c>
      <c r="AX4614" s="498">
        <f t="shared" ref="AX4614:AX4677" si="1606">IF(ISBLANK(E4614),0,1)</f>
        <v>0</v>
      </c>
      <c r="AY4614" s="498">
        <f t="shared" ref="AY4614:AY4677" si="1607">IF(ISBLANK(H4614),0,1)</f>
        <v>0</v>
      </c>
      <c r="BB4614" s="498" t="str">
        <f t="shared" ref="BB4614:BB4677" si="1608">IF(E4614="Principal","Principal",IF(E4614="","","Other"))</f>
        <v/>
      </c>
      <c r="BC4614" s="743" t="str">
        <f t="shared" ref="BC4614:BC4677" si="1609">IF(D4614="","",D4614)</f>
        <v/>
      </c>
      <c r="BD4614" s="743" t="str">
        <f t="shared" ref="BD4614:BD4677" si="1610">IF(E4614="Principal","Employee",IF(E4614="","","Dependent"))</f>
        <v/>
      </c>
      <c r="BE4614" s="743" t="str">
        <f>IF(D4614="","",VLOOKUP(D4614,'General Basis'!$J$39:$K$46,2,0))</f>
        <v/>
      </c>
      <c r="BF4614" s="744" t="str">
        <f>IF(D4614="","",VLOOKUP(D4614,'General Basis'!$J$39:$L$46,3,0))</f>
        <v/>
      </c>
      <c r="BG4614" s="744" t="str">
        <f t="shared" si="1595"/>
        <v/>
      </c>
      <c r="BH4614" s="744" t="str">
        <f>IF(G4614="","",IF(BF4614="Abu Dhabi",IF(G4614&lt;18,'General Basis'!$C$39,IF(G4614&lt;41,'General Basis'!$C$40,IF(G4614&lt;60,'General Basis'!$C$41,IF(G4614&lt;65,'General Basis'!$C$42,'General Basis'!$C$43)))),IF(G4614&lt;11,'General Basis'!$B$39,IF(G4614&lt;18,'General Basis'!$B$40,IF(G4614&lt;26,'General Basis'!$B$41,IF(G4614&lt;31,'General Basis'!$B$42,IF(G4614&lt;36,'General Basis'!$B$43,IF(G4614&lt;41,'General Basis'!$B$44,IF(G4614&lt;46,'General Basis'!$B$45,IF(G4614&lt;51,'General Basis'!$B$46,IF(G4614&lt;56,'General Basis'!$B$47,IF(G4614&lt;60,'General Basis'!$B$48,IF(G4614&lt;65,'General Basis'!$B$49,'General Basis'!$B$50)))))))))))))</f>
        <v/>
      </c>
      <c r="BI4614" s="744" t="str">
        <f t="shared" ref="BI4614:BI4677" si="1611">IF(C4614="","",IF(C4614="M","Male","Female"))</f>
        <v/>
      </c>
      <c r="BJ4614" s="747" t="str">
        <f t="shared" si="1596"/>
        <v/>
      </c>
      <c r="BK4614" s="498" t="str">
        <f t="shared" ref="BK4614:BK4677" si="1612">IF(BD4614="","",IF(AND(BD4614="Employee",BI4614="Male",BF4614="Abu Dhabi",BE4614=GN_Plus),VLOOKUP(BH4614,AUH_MALE_EMP,2,0),IF(AND(BD4614="Employee",BI4614="Male",BF4614="Abu Dhabi",BE4614=GN),VLOOKUP(BH4614,AUH_MALE_EMP,3,0),IF(AND(BD4614="Employee",BI4614="Male",BF4614="Abu Dhabi",BE4614=RN_Plus),VLOOKUP(BH4614,AUH_MALE_EMP,4,0),IF(AND(BD4614="Employee",BI4614="Male",BF4614="Abu Dhabi",BE4614=RN),VLOOKUP(BH4614,AUH_MALE_EMP,5,0),IF(AND(BD4614="Employee",BI4614="Male",BF4614="Abu Dhabi",BE4614=RN_2),VLOOKUP(BH4614,AUH_MALE_EMP,6,0),IF(AND(BD4614="Employee",BI4614="Male",BF4614="Abu Dhabi",BE4614=RN2_minus),VLOOKUP(BH4614,AUH_MALE_EMP,7,0),IF(AND(BD4614="Employee",BI4614="Male",BF4614="Abu Dhabi",BE4614=RN_3),VLOOKUP(BH4614,AUH_MALE_EMP,8,0),IF(AND(BD4614="Employee",BI4614="Male",BF4614="Abu Dhabi",BE4614=VN),VLOOKUP(BH4614,AUH_MALE_EMP,9,0),IF(BD4614="","",IF(AND(BD4614="Employee",BI4614="Female",BF4614="Abu Dhabi",BE4614=GN_Plus),VLOOKUP(BH4614,AUH_FEMALE_EMP,2,0),IF(AND(BD4614="Employee",BI4614="Female",BF4614="Abu Dhabi",BE4614=GN),VLOOKUP(BH4614,AUH_FEMALE_EMP,3,0),IF(AND(BD4614="Employee",BI4614="Female",BF4614="Abu Dhabi",BE4614=RN_Plus),VLOOKUP(BH4614,AUH_FEMALE_EMP,4,0),IF(AND(BD4614="Employee",BI4614="Female",BF4614="Abu Dhabi",BE4614=RN),VLOOKUP(BH4614,AUH_FEMALE_EMP,5,0),IF(AND(BD4614="Employee",BI4614="Female",BF4614="Abu Dhabi",BE4614=RN_2),VLOOKUP(BH4614,AUH_FEMALE_EMP,6,0),IF(AND(BD4614="Employee",BI4614="Female",BF4614="Abu Dhabi",BE4614=RN2_minus),VLOOKUP(BH4614,AUH_FEMALE_EMP,7,0),IF(AND(BD4614="Employee",BI4614="Female",BF4614="Abu Dhabi",BE4614=RN_3),VLOOKUP(BH4614,AUH_FEMALE_EMP,8,0),IF(AND(BD4614="Employee",BI4614="Female",BF4614="Abu Dhabi",BE4614=VN),VLOOKUP(BH4614,AUH_FEMALE_EMP,9,0),IF(BD4614="","",IF(AND(BD4614="Dependent",BI4614="Male",BF4614="Abu Dhabi",BE4614=GN_Plus),VLOOKUP(BH4614,AUH_MALE_DEP,2,0),IF(AND(BD4614="Dependent",BI4614="Male",BF4614="Abu Dhabi",BE4614=GN),VLOOKUP(BH4614,AUH_MALE_DEP,3,0),IF(AND(BD4614="Dependent",BI4614="Male",BF4614="Abu Dhabi",BE4614=RN_Plus),VLOOKUP(BH4614,AUH_MALE_DEP,4,0),IF(AND(BD4614="Dependent",BI4614="Male",BF4614="Abu Dhabi",BE4614=RN),VLOOKUP(BH4614,AUH_MALE_DEP,5,0),IF(AND(BD4614="Dependent",BI4614="Male",BF4614="Abu Dhabi",BE4614=RN_2),VLOOKUP(BH4614,AUH_MALE_DEP,6,0),IF(AND(BD4614="Dependent",BI4614="Male",BF4614="Abu Dhabi",BE4614=RN2_minus),VLOOKUP(BH4614,AUH_MALE_DEP,7,0),IF(AND(BD4614="Dependent",BI4614="Male",BF4614="Abu Dhabi",BE4614=RN_3),VLOOKUP(BH4614,AUH_MALE_DEP,8,0),IF(AND(BD4614="Dependent",BI4614="Male",BF4614="Abu Dhabi",BE4614=VN),VLOOKUP(BH4614,AUH_MALE_DEP,9,0),IF(BD4614="","",IF(AND(BD4614="Dependent",BI4614="Female",BF4614="Abu Dhabi",BE4614=GN_Plus),VLOOKUP(BH4614,AUH_FEMALE_DEP,2,0),IF(AND(BD4614="Dependent",BI4614="Female",BF4614="Abu Dhabi",BE4614=GN),VLOOKUP(BH4614,AUH_FEMALE_DEP,3,0),IF(AND(BD4614="Dependent",BI4614="Female",BF4614="Abu Dhabi",BE4614=RN_Plus),VLOOKUP(BH4614,AUH_FEMALE_DEP,4,0),IF(AND(BD4614="Dependent",BI4614="Female",BF4614="Abu Dhabi",BE4614=RN),VLOOKUP(BH4614,AUH_FEMALE_DEP,5,0),IF(AND(BD4614="Dependent",BI4614="Female",BF4614="Abu Dhabi",BE4614=RN_2),VLOOKUP(BH4614,AUH_FEMALE_DEP,6,0),IF(AND(BD4614="Dependent",BI4614="Female",BF4614="Abu Dhabi",BE4614=RN2_minus),VLOOKUP(BH4614,AUH_FEMALE_DEP,7,0),IF(AND(BD4614="Dependent",BI4614="Female",BF4614="Abu Dhabi",BE4614=RN_3),VLOOKUP(BH4614,AUH_FEMALE_DEP,8,0),IF(AND(BD4614="Dependent",BI4614="Female",BF4614="Abu Dhabi",BE4614=VN),VLOOKUP(BH4614,AUH_FEMALE_DEP,9,0),"ABC"))))))))))))))))))))))))))))))))))))</f>
        <v/>
      </c>
      <c r="BL4614" s="498" t="str">
        <f t="shared" ref="BL4614:BL4677" si="1613">IF(BD4614="","",IF(AND(BD4614="Employee",BI4614="Male",BF4614="Dubai",BE4614=GN_Plus),VLOOKUP(BH4614,DXB_MALE_EMP,2,0),IF(AND(BD4614="Employee",BI4614="Male",BF4614="Dubai",BE4614=GN),VLOOKUP(BH4614,DXB_MALE_EMP,3,0),IF(AND(BD4614="Employee",BI4614="Male",BF4614="Dubai",BE4614=RN_Plus),VLOOKUP(BH4614,DXB_MALE_EMP,4,0),IF(AND(BD4614="Employee",BI4614="Male",BF4614="Dubai",BE4614=RN),VLOOKUP(BH4614,DXB_MALE_EMP,5,0),IF(AND(BD4614="Employee",BI4614="Male",BF4614="Dubai",BE4614=RN_2),VLOOKUP(BH4614,DXB_MALE_EMP,6,0),IF(AND(BD4614="Employee",BI4614="Male",BF4614="Dubai",BE4614=RN2_minus),VLOOKUP(BH4614,DXB_MALE_EMP,7,0),IF(AND(BD4614="Employee",BI4614="Male",BF4614="Dubai",BE4614=RN_3),VLOOKUP(BH4614,DXB_MALE_EMP,8,0),IF(AND(BD4614="Employee",BI4614="Male",BF4614="Dubai",BE4614=VN),VLOOKUP(BH4614,DXB_MALE_EMP,9,0),IF(BD4614="","",IF(AND(BD4614="Employee",BI4614="Female",BF4614="Dubai",BE4614=GN_Plus),VLOOKUP(BH4614,DXB_FEMALE_EMP,2,0),IF(AND(BD4614="Employee",BI4614="Female",BF4614="Dubai",BE4614=GN),VLOOKUP(BH4614,DXB_FEMALE_EMP,3,0),IF(AND(BD4614="Employee",BI4614="Female",BF4614="Dubai",BE4614=RN_Plus),VLOOKUP(BH4614,DXB_FEMALE_EMP,4,0),IF(AND(BD4614="Employee",BI4614="Female",BF4614="Dubai",BE4614=RN),VLOOKUP(BH4614,DXB_FEMALE_EMP,5,0),IF(AND(BD4614="Employee",BI4614="Female",BF4614="Dubai",BE4614=RN_2),VLOOKUP(BH4614,DXB_FEMALE_EMP,6,0),IF(AND(BD4614="Employee",BI4614="Female",BF4614="Dubai",BE4614=RN2_minus),VLOOKUP(BH4614,DXB_FEMALE_EMP,7,0),IF(AND(BD4614="Employee",BI4614="Female",BF4614="Dubai",BE4614=RN_3),VLOOKUP(BH4614,DXB_FEMALE_EMP,8,0),IF(AND(BD4614="Employee",BI4614="Female",BF4614="Dubai",BE4614=VN),VLOOKUP(BH4614,DXB_FEMALE_EMP,9,0),IF(BD4614="","",IF(AND(BD4614="Dependent",BI4614="Male",BF4614="Dubai",BE4614=GN_Plus),VLOOKUP(BH4614,DXB_MALE_DEP,2,0),IF(AND(BD4614="Dependent",BI4614="Male",BF4614="Dubai",BE4614=GN),VLOOKUP(BH4614,DXB_MALE_DEP,3,0),IF(AND(BD4614="Dependent",BI4614="Male",BF4614="Dubai",BE4614=RN_Plus),VLOOKUP(BH4614,DXB_MALE_DEP,4,0),IF(AND(BD4614="Dependent",BI4614="Male",BF4614="Dubai",BE4614=RN),VLOOKUP(BH4614,DXB_MALE_DEP,5,0),IF(AND(BD4614="Dependent",BI4614="Male",BF4614="Dubai",BE4614=RN_2),VLOOKUP(BH4614,DXB_MALE_DEP,6,0),IF(AND(BD4614="Dependent",BI4614="Male",BF4614="Dubai",BE4614=RN2_minus),VLOOKUP(BH4614,DXB_MALE_DEP,7,0),IF(AND(BD4614="Dependent",BI4614="Male",BF4614="Dubai",BE4614=RN_3),VLOOKUP(BH4614,DXB_MALE_DEP,8,0),IF(AND(BD4614="Dependent",BI4614="Male",BF4614="Dubai",BE4614=VN),VLOOKUP(BH4614,DXB_MALE_DEP,9,0),IF(BD4614="","",IF(AND(BD4614="Dependent",BI4614="Female",BF4614="Dubai",BE4614=GN_Plus),VLOOKUP(BH4614,DXB_FEMALE_DEP,2,0),IF(AND(BD4614="Dependent",BI4614="Female",BF4614="Dubai",BE4614=GN),VLOOKUP(BH4614,DXB_FEMALE_DEP,3,0),IF(AND(BD4614="Dependent",BI4614="Female",BF4614="Dubai",BE4614=RN_Plus),VLOOKUP(BH4614,DXB_FEMALE_DEP,4,0),IF(AND(BD4614="Dependent",BI4614="Female",BF4614="Dubai",BE4614=RN),VLOOKUP(BH4614,DXB_FEMALE_DEP,5,0),IF(AND(BD4614="Dependent",BI4614="Female",BF4614="Dubai",BE4614=RN_2),VLOOKUP(BH4614,DXB_FEMALE_DEP,6,0),IF(AND(BD4614="Dependent",BI4614="Female",BF4614="Dubai",BE4614=RN2_minus),VLOOKUP(BH4614,DXB_FEMALE_DEP,7,0),IF(AND(BD4614="Dependent",BI4614="Female",BF4614="Dubai",BE4614=RN_3),VLOOKUP(BH4614,DXB_FEMALE_DEP,8,0),IF(AND(BD4614="Dependent",BI4614="Female",BF4614="Dubai",BE4614=VN),VLOOKUP(BH4614,DXB_FEMALE_DEP,9,0),"ABC"))))))))))))))))))))))))))))))))))))</f>
        <v/>
      </c>
    </row>
    <row r="4615" spans="1:64" x14ac:dyDescent="0.25">
      <c r="A4615" s="762">
        <f t="shared" ref="A4615:A4678" si="1614">+A4614+1</f>
        <v>4610</v>
      </c>
      <c r="B4615" s="229"/>
      <c r="C4615" s="223"/>
      <c r="D4615" s="224"/>
      <c r="E4615" s="225"/>
      <c r="F4615" s="1036" t="str">
        <f t="shared" si="1598"/>
        <v/>
      </c>
      <c r="G4615" s="1037" t="str">
        <f t="shared" ref="G4615:G4678" si="1615">IF(D4615="","",MAX(0,ROUNDUP(F4615,0)))</f>
        <v/>
      </c>
      <c r="H4615" s="225"/>
      <c r="I4615" s="1013"/>
      <c r="J4615" s="1013"/>
      <c r="K4615" s="1028"/>
      <c r="L4615" s="1035" t="str">
        <f t="shared" si="1597"/>
        <v/>
      </c>
      <c r="S4615" s="498"/>
      <c r="AJ4615" s="498"/>
      <c r="AM4615" s="498">
        <f t="shared" si="1600"/>
        <v>0</v>
      </c>
      <c r="AN4615" s="498">
        <f t="shared" si="1601"/>
        <v>0</v>
      </c>
      <c r="AO4615" s="498">
        <f t="shared" si="1602"/>
        <v>0</v>
      </c>
      <c r="AP4615" s="498">
        <f t="shared" si="1599"/>
        <v>0</v>
      </c>
      <c r="AQ4615" s="498">
        <f t="shared" ref="AQ4615:AQ4678" si="1616">IF(ISBLANK($B4615),0,IF(OR($H4615="Single",$H4615="Married"),0,1))</f>
        <v>0</v>
      </c>
      <c r="AU4615" s="498">
        <f t="shared" si="1603"/>
        <v>0</v>
      </c>
      <c r="AV4615" s="498">
        <f t="shared" si="1604"/>
        <v>0</v>
      </c>
      <c r="AW4615" s="498">
        <f t="shared" si="1605"/>
        <v>0</v>
      </c>
      <c r="AX4615" s="498">
        <f t="shared" si="1606"/>
        <v>0</v>
      </c>
      <c r="AY4615" s="498">
        <f t="shared" si="1607"/>
        <v>0</v>
      </c>
      <c r="BB4615" s="498" t="str">
        <f t="shared" si="1608"/>
        <v/>
      </c>
      <c r="BC4615" s="743" t="str">
        <f t="shared" si="1609"/>
        <v/>
      </c>
      <c r="BD4615" s="743" t="str">
        <f t="shared" si="1610"/>
        <v/>
      </c>
      <c r="BE4615" s="743" t="str">
        <f>IF(D4615="","",VLOOKUP(D4615,'General Basis'!$J$39:$K$46,2,0))</f>
        <v/>
      </c>
      <c r="BF4615" s="744" t="str">
        <f>IF(D4615="","",VLOOKUP(D4615,'General Basis'!$J$39:$L$46,3,0))</f>
        <v/>
      </c>
      <c r="BG4615" s="744" t="str">
        <f t="shared" ref="BG4615:BG4678" si="1617">BC4615&amp;BI4615</f>
        <v/>
      </c>
      <c r="BH4615" s="744" t="str">
        <f>IF(G4615="","",IF(BF4615="Abu Dhabi",IF(G4615&lt;18,'General Basis'!$C$39,IF(G4615&lt;41,'General Basis'!$C$40,IF(G4615&lt;60,'General Basis'!$C$41,IF(G4615&lt;65,'General Basis'!$C$42,'General Basis'!$C$43)))),IF(G4615&lt;11,'General Basis'!$B$39,IF(G4615&lt;18,'General Basis'!$B$40,IF(G4615&lt;26,'General Basis'!$B$41,IF(G4615&lt;31,'General Basis'!$B$42,IF(G4615&lt;36,'General Basis'!$B$43,IF(G4615&lt;41,'General Basis'!$B$44,IF(G4615&lt;46,'General Basis'!$B$45,IF(G4615&lt;51,'General Basis'!$B$46,IF(G4615&lt;56,'General Basis'!$B$47,IF(G4615&lt;60,'General Basis'!$B$48,IF(G4615&lt;65,'General Basis'!$B$49,'General Basis'!$B$50)))))))))))))</f>
        <v/>
      </c>
      <c r="BI4615" s="744" t="str">
        <f t="shared" si="1611"/>
        <v/>
      </c>
      <c r="BJ4615" s="747" t="str">
        <f t="shared" ref="BJ4615:BJ4678" si="1618">IF(BD4615="","",IF(BF4615="Abu Dhabi",BK4615,BL4615))</f>
        <v/>
      </c>
      <c r="BK4615" s="498" t="str">
        <f t="shared" si="1612"/>
        <v/>
      </c>
      <c r="BL4615" s="498" t="str">
        <f t="shared" si="1613"/>
        <v/>
      </c>
    </row>
    <row r="4616" spans="1:64" x14ac:dyDescent="0.25">
      <c r="A4616" s="762">
        <f t="shared" si="1614"/>
        <v>4611</v>
      </c>
      <c r="B4616" s="229"/>
      <c r="C4616" s="223"/>
      <c r="D4616" s="224"/>
      <c r="E4616" s="225"/>
      <c r="F4616" s="1036" t="str">
        <f t="shared" si="1598"/>
        <v/>
      </c>
      <c r="G4616" s="1037" t="str">
        <f t="shared" si="1615"/>
        <v/>
      </c>
      <c r="H4616" s="225"/>
      <c r="I4616" s="1013"/>
      <c r="J4616" s="1013"/>
      <c r="K4616" s="1028"/>
      <c r="L4616" s="1035" t="str">
        <f t="shared" ref="L4616:L4679" si="1619">IF(AND(E4616="Child",H4616="Married"),"Check the Marital Status of the Child. ",IF(AND(E4616="Child",F4616&gt;18),"Child Age exceed 18 years. ",IF(AND(E4616="Spouse",H4616="Single"),"Spouse is selected as Single. ","")))&amp;IF(K4616&gt;0,"UW Loading has been Applied","")</f>
        <v/>
      </c>
      <c r="S4616" s="498"/>
      <c r="AJ4616" s="498"/>
      <c r="AM4616" s="498">
        <f t="shared" si="1600"/>
        <v>0</v>
      </c>
      <c r="AN4616" s="498">
        <f t="shared" si="1601"/>
        <v>0</v>
      </c>
      <c r="AO4616" s="498">
        <f t="shared" si="1602"/>
        <v>0</v>
      </c>
      <c r="AP4616" s="498">
        <f t="shared" si="1599"/>
        <v>0</v>
      </c>
      <c r="AQ4616" s="498">
        <f t="shared" si="1616"/>
        <v>0</v>
      </c>
      <c r="AU4616" s="498">
        <f t="shared" si="1603"/>
        <v>0</v>
      </c>
      <c r="AV4616" s="498">
        <f t="shared" si="1604"/>
        <v>0</v>
      </c>
      <c r="AW4616" s="498">
        <f t="shared" si="1605"/>
        <v>0</v>
      </c>
      <c r="AX4616" s="498">
        <f t="shared" si="1606"/>
        <v>0</v>
      </c>
      <c r="AY4616" s="498">
        <f t="shared" si="1607"/>
        <v>0</v>
      </c>
      <c r="BB4616" s="498" t="str">
        <f t="shared" si="1608"/>
        <v/>
      </c>
      <c r="BC4616" s="743" t="str">
        <f t="shared" si="1609"/>
        <v/>
      </c>
      <c r="BD4616" s="743" t="str">
        <f t="shared" si="1610"/>
        <v/>
      </c>
      <c r="BE4616" s="743" t="str">
        <f>IF(D4616="","",VLOOKUP(D4616,'General Basis'!$J$39:$K$46,2,0))</f>
        <v/>
      </c>
      <c r="BF4616" s="744" t="str">
        <f>IF(D4616="","",VLOOKUP(D4616,'General Basis'!$J$39:$L$46,3,0))</f>
        <v/>
      </c>
      <c r="BG4616" s="744" t="str">
        <f t="shared" si="1617"/>
        <v/>
      </c>
      <c r="BH4616" s="744" t="str">
        <f>IF(G4616="","",IF(BF4616="Abu Dhabi",IF(G4616&lt;18,'General Basis'!$C$39,IF(G4616&lt;41,'General Basis'!$C$40,IF(G4616&lt;60,'General Basis'!$C$41,IF(G4616&lt;65,'General Basis'!$C$42,'General Basis'!$C$43)))),IF(G4616&lt;11,'General Basis'!$B$39,IF(G4616&lt;18,'General Basis'!$B$40,IF(G4616&lt;26,'General Basis'!$B$41,IF(G4616&lt;31,'General Basis'!$B$42,IF(G4616&lt;36,'General Basis'!$B$43,IF(G4616&lt;41,'General Basis'!$B$44,IF(G4616&lt;46,'General Basis'!$B$45,IF(G4616&lt;51,'General Basis'!$B$46,IF(G4616&lt;56,'General Basis'!$B$47,IF(G4616&lt;60,'General Basis'!$B$48,IF(G4616&lt;65,'General Basis'!$B$49,'General Basis'!$B$50)))))))))))))</f>
        <v/>
      </c>
      <c r="BI4616" s="744" t="str">
        <f t="shared" si="1611"/>
        <v/>
      </c>
      <c r="BJ4616" s="747" t="str">
        <f t="shared" si="1618"/>
        <v/>
      </c>
      <c r="BK4616" s="498" t="str">
        <f t="shared" si="1612"/>
        <v/>
      </c>
      <c r="BL4616" s="498" t="str">
        <f t="shared" si="1613"/>
        <v/>
      </c>
    </row>
    <row r="4617" spans="1:64" x14ac:dyDescent="0.25">
      <c r="A4617" s="762">
        <f t="shared" si="1614"/>
        <v>4612</v>
      </c>
      <c r="B4617" s="229"/>
      <c r="C4617" s="223"/>
      <c r="D4617" s="224"/>
      <c r="E4617" s="225"/>
      <c r="F4617" s="1036" t="str">
        <f t="shared" si="1598"/>
        <v/>
      </c>
      <c r="G4617" s="1037" t="str">
        <f t="shared" si="1615"/>
        <v/>
      </c>
      <c r="H4617" s="225"/>
      <c r="I4617" s="1013"/>
      <c r="J4617" s="1013"/>
      <c r="K4617" s="1028"/>
      <c r="L4617" s="1035" t="str">
        <f t="shared" si="1619"/>
        <v/>
      </c>
      <c r="S4617" s="498"/>
      <c r="AJ4617" s="498"/>
      <c r="AM4617" s="498">
        <f t="shared" si="1600"/>
        <v>0</v>
      </c>
      <c r="AN4617" s="498">
        <f t="shared" si="1601"/>
        <v>0</v>
      </c>
      <c r="AO4617" s="498">
        <f t="shared" si="1602"/>
        <v>0</v>
      </c>
      <c r="AP4617" s="498">
        <f t="shared" si="1599"/>
        <v>0</v>
      </c>
      <c r="AQ4617" s="498">
        <f t="shared" si="1616"/>
        <v>0</v>
      </c>
      <c r="AU4617" s="498">
        <f t="shared" si="1603"/>
        <v>0</v>
      </c>
      <c r="AV4617" s="498">
        <f t="shared" si="1604"/>
        <v>0</v>
      </c>
      <c r="AW4617" s="498">
        <f t="shared" si="1605"/>
        <v>0</v>
      </c>
      <c r="AX4617" s="498">
        <f t="shared" si="1606"/>
        <v>0</v>
      </c>
      <c r="AY4617" s="498">
        <f t="shared" si="1607"/>
        <v>0</v>
      </c>
      <c r="BB4617" s="498" t="str">
        <f t="shared" si="1608"/>
        <v/>
      </c>
      <c r="BC4617" s="743" t="str">
        <f t="shared" si="1609"/>
        <v/>
      </c>
      <c r="BD4617" s="743" t="str">
        <f t="shared" si="1610"/>
        <v/>
      </c>
      <c r="BE4617" s="743" t="str">
        <f>IF(D4617="","",VLOOKUP(D4617,'General Basis'!$J$39:$K$46,2,0))</f>
        <v/>
      </c>
      <c r="BF4617" s="744" t="str">
        <f>IF(D4617="","",VLOOKUP(D4617,'General Basis'!$J$39:$L$46,3,0))</f>
        <v/>
      </c>
      <c r="BG4617" s="744" t="str">
        <f t="shared" si="1617"/>
        <v/>
      </c>
      <c r="BH4617" s="744" t="str">
        <f>IF(G4617="","",IF(BF4617="Abu Dhabi",IF(G4617&lt;18,'General Basis'!$C$39,IF(G4617&lt;41,'General Basis'!$C$40,IF(G4617&lt;60,'General Basis'!$C$41,IF(G4617&lt;65,'General Basis'!$C$42,'General Basis'!$C$43)))),IF(G4617&lt;11,'General Basis'!$B$39,IF(G4617&lt;18,'General Basis'!$B$40,IF(G4617&lt;26,'General Basis'!$B$41,IF(G4617&lt;31,'General Basis'!$B$42,IF(G4617&lt;36,'General Basis'!$B$43,IF(G4617&lt;41,'General Basis'!$B$44,IF(G4617&lt;46,'General Basis'!$B$45,IF(G4617&lt;51,'General Basis'!$B$46,IF(G4617&lt;56,'General Basis'!$B$47,IF(G4617&lt;60,'General Basis'!$B$48,IF(G4617&lt;65,'General Basis'!$B$49,'General Basis'!$B$50)))))))))))))</f>
        <v/>
      </c>
      <c r="BI4617" s="744" t="str">
        <f t="shared" si="1611"/>
        <v/>
      </c>
      <c r="BJ4617" s="747" t="str">
        <f t="shared" si="1618"/>
        <v/>
      </c>
      <c r="BK4617" s="498" t="str">
        <f t="shared" si="1612"/>
        <v/>
      </c>
      <c r="BL4617" s="498" t="str">
        <f t="shared" si="1613"/>
        <v/>
      </c>
    </row>
    <row r="4618" spans="1:64" x14ac:dyDescent="0.25">
      <c r="A4618" s="762">
        <f t="shared" si="1614"/>
        <v>4613</v>
      </c>
      <c r="B4618" s="229"/>
      <c r="C4618" s="223"/>
      <c r="D4618" s="224"/>
      <c r="E4618" s="225"/>
      <c r="F4618" s="1036" t="str">
        <f t="shared" si="1598"/>
        <v/>
      </c>
      <c r="G4618" s="1037" t="str">
        <f t="shared" si="1615"/>
        <v/>
      </c>
      <c r="H4618" s="225"/>
      <c r="I4618" s="1013"/>
      <c r="J4618" s="1013"/>
      <c r="K4618" s="1028"/>
      <c r="L4618" s="1035" t="str">
        <f t="shared" si="1619"/>
        <v/>
      </c>
      <c r="S4618" s="498"/>
      <c r="AJ4618" s="498"/>
      <c r="AM4618" s="498">
        <f t="shared" si="1600"/>
        <v>0</v>
      </c>
      <c r="AN4618" s="498">
        <f t="shared" si="1601"/>
        <v>0</v>
      </c>
      <c r="AO4618" s="498">
        <f t="shared" si="1602"/>
        <v>0</v>
      </c>
      <c r="AP4618" s="498">
        <f t="shared" si="1599"/>
        <v>0</v>
      </c>
      <c r="AQ4618" s="498">
        <f t="shared" si="1616"/>
        <v>0</v>
      </c>
      <c r="AU4618" s="498">
        <f t="shared" si="1603"/>
        <v>0</v>
      </c>
      <c r="AV4618" s="498">
        <f t="shared" si="1604"/>
        <v>0</v>
      </c>
      <c r="AW4618" s="498">
        <f t="shared" si="1605"/>
        <v>0</v>
      </c>
      <c r="AX4618" s="498">
        <f t="shared" si="1606"/>
        <v>0</v>
      </c>
      <c r="AY4618" s="498">
        <f t="shared" si="1607"/>
        <v>0</v>
      </c>
      <c r="BB4618" s="498" t="str">
        <f t="shared" si="1608"/>
        <v/>
      </c>
      <c r="BC4618" s="743" t="str">
        <f t="shared" si="1609"/>
        <v/>
      </c>
      <c r="BD4618" s="743" t="str">
        <f t="shared" si="1610"/>
        <v/>
      </c>
      <c r="BE4618" s="743" t="str">
        <f>IF(D4618="","",VLOOKUP(D4618,'General Basis'!$J$39:$K$46,2,0))</f>
        <v/>
      </c>
      <c r="BF4618" s="744" t="str">
        <f>IF(D4618="","",VLOOKUP(D4618,'General Basis'!$J$39:$L$46,3,0))</f>
        <v/>
      </c>
      <c r="BG4618" s="744" t="str">
        <f t="shared" si="1617"/>
        <v/>
      </c>
      <c r="BH4618" s="744" t="str">
        <f>IF(G4618="","",IF(BF4618="Abu Dhabi",IF(G4618&lt;18,'General Basis'!$C$39,IF(G4618&lt;41,'General Basis'!$C$40,IF(G4618&lt;60,'General Basis'!$C$41,IF(G4618&lt;65,'General Basis'!$C$42,'General Basis'!$C$43)))),IF(G4618&lt;11,'General Basis'!$B$39,IF(G4618&lt;18,'General Basis'!$B$40,IF(G4618&lt;26,'General Basis'!$B$41,IF(G4618&lt;31,'General Basis'!$B$42,IF(G4618&lt;36,'General Basis'!$B$43,IF(G4618&lt;41,'General Basis'!$B$44,IF(G4618&lt;46,'General Basis'!$B$45,IF(G4618&lt;51,'General Basis'!$B$46,IF(G4618&lt;56,'General Basis'!$B$47,IF(G4618&lt;60,'General Basis'!$B$48,IF(G4618&lt;65,'General Basis'!$B$49,'General Basis'!$B$50)))))))))))))</f>
        <v/>
      </c>
      <c r="BI4618" s="744" t="str">
        <f t="shared" si="1611"/>
        <v/>
      </c>
      <c r="BJ4618" s="747" t="str">
        <f t="shared" si="1618"/>
        <v/>
      </c>
      <c r="BK4618" s="498" t="str">
        <f t="shared" si="1612"/>
        <v/>
      </c>
      <c r="BL4618" s="498" t="str">
        <f t="shared" si="1613"/>
        <v/>
      </c>
    </row>
    <row r="4619" spans="1:64" x14ac:dyDescent="0.25">
      <c r="A4619" s="762">
        <f t="shared" si="1614"/>
        <v>4614</v>
      </c>
      <c r="B4619" s="229"/>
      <c r="C4619" s="223"/>
      <c r="D4619" s="224"/>
      <c r="E4619" s="225"/>
      <c r="F4619" s="1036" t="str">
        <f t="shared" si="1598"/>
        <v/>
      </c>
      <c r="G4619" s="1037" t="str">
        <f t="shared" si="1615"/>
        <v/>
      </c>
      <c r="H4619" s="225"/>
      <c r="I4619" s="1013"/>
      <c r="J4619" s="1013"/>
      <c r="K4619" s="1028"/>
      <c r="L4619" s="1035" t="str">
        <f t="shared" si="1619"/>
        <v/>
      </c>
      <c r="S4619" s="498"/>
      <c r="AJ4619" s="498"/>
      <c r="AM4619" s="498">
        <f t="shared" si="1600"/>
        <v>0</v>
      </c>
      <c r="AN4619" s="498">
        <f t="shared" si="1601"/>
        <v>0</v>
      </c>
      <c r="AO4619" s="498">
        <f t="shared" si="1602"/>
        <v>0</v>
      </c>
      <c r="AP4619" s="498">
        <f t="shared" si="1599"/>
        <v>0</v>
      </c>
      <c r="AQ4619" s="498">
        <f t="shared" si="1616"/>
        <v>0</v>
      </c>
      <c r="AU4619" s="498">
        <f t="shared" si="1603"/>
        <v>0</v>
      </c>
      <c r="AV4619" s="498">
        <f t="shared" si="1604"/>
        <v>0</v>
      </c>
      <c r="AW4619" s="498">
        <f t="shared" si="1605"/>
        <v>0</v>
      </c>
      <c r="AX4619" s="498">
        <f t="shared" si="1606"/>
        <v>0</v>
      </c>
      <c r="AY4619" s="498">
        <f t="shared" si="1607"/>
        <v>0</v>
      </c>
      <c r="BB4619" s="498" t="str">
        <f t="shared" si="1608"/>
        <v/>
      </c>
      <c r="BC4619" s="743" t="str">
        <f t="shared" si="1609"/>
        <v/>
      </c>
      <c r="BD4619" s="743" t="str">
        <f t="shared" si="1610"/>
        <v/>
      </c>
      <c r="BE4619" s="743" t="str">
        <f>IF(D4619="","",VLOOKUP(D4619,'General Basis'!$J$39:$K$46,2,0))</f>
        <v/>
      </c>
      <c r="BF4619" s="744" t="str">
        <f>IF(D4619="","",VLOOKUP(D4619,'General Basis'!$J$39:$L$46,3,0))</f>
        <v/>
      </c>
      <c r="BG4619" s="744" t="str">
        <f t="shared" si="1617"/>
        <v/>
      </c>
      <c r="BH4619" s="744" t="str">
        <f>IF(G4619="","",IF(BF4619="Abu Dhabi",IF(G4619&lt;18,'General Basis'!$C$39,IF(G4619&lt;41,'General Basis'!$C$40,IF(G4619&lt;60,'General Basis'!$C$41,IF(G4619&lt;65,'General Basis'!$C$42,'General Basis'!$C$43)))),IF(G4619&lt;11,'General Basis'!$B$39,IF(G4619&lt;18,'General Basis'!$B$40,IF(G4619&lt;26,'General Basis'!$B$41,IF(G4619&lt;31,'General Basis'!$B$42,IF(G4619&lt;36,'General Basis'!$B$43,IF(G4619&lt;41,'General Basis'!$B$44,IF(G4619&lt;46,'General Basis'!$B$45,IF(G4619&lt;51,'General Basis'!$B$46,IF(G4619&lt;56,'General Basis'!$B$47,IF(G4619&lt;60,'General Basis'!$B$48,IF(G4619&lt;65,'General Basis'!$B$49,'General Basis'!$B$50)))))))))))))</f>
        <v/>
      </c>
      <c r="BI4619" s="744" t="str">
        <f t="shared" si="1611"/>
        <v/>
      </c>
      <c r="BJ4619" s="747" t="str">
        <f t="shared" si="1618"/>
        <v/>
      </c>
      <c r="BK4619" s="498" t="str">
        <f t="shared" si="1612"/>
        <v/>
      </c>
      <c r="BL4619" s="498" t="str">
        <f t="shared" si="1613"/>
        <v/>
      </c>
    </row>
    <row r="4620" spans="1:64" x14ac:dyDescent="0.25">
      <c r="A4620" s="762">
        <f t="shared" si="1614"/>
        <v>4615</v>
      </c>
      <c r="B4620" s="229"/>
      <c r="C4620" s="223"/>
      <c r="D4620" s="224"/>
      <c r="E4620" s="225"/>
      <c r="F4620" s="1036" t="str">
        <f t="shared" si="1598"/>
        <v/>
      </c>
      <c r="G4620" s="1037" t="str">
        <f t="shared" si="1615"/>
        <v/>
      </c>
      <c r="H4620" s="225"/>
      <c r="I4620" s="1013"/>
      <c r="J4620" s="1013"/>
      <c r="K4620" s="1028"/>
      <c r="L4620" s="1035" t="str">
        <f t="shared" si="1619"/>
        <v/>
      </c>
      <c r="S4620" s="498"/>
      <c r="AJ4620" s="498"/>
      <c r="AM4620" s="498">
        <f t="shared" si="1600"/>
        <v>0</v>
      </c>
      <c r="AN4620" s="498">
        <f t="shared" si="1601"/>
        <v>0</v>
      </c>
      <c r="AO4620" s="498">
        <f t="shared" si="1602"/>
        <v>0</v>
      </c>
      <c r="AP4620" s="498">
        <f t="shared" si="1599"/>
        <v>0</v>
      </c>
      <c r="AQ4620" s="498">
        <f t="shared" si="1616"/>
        <v>0</v>
      </c>
      <c r="AU4620" s="498">
        <f t="shared" si="1603"/>
        <v>0</v>
      </c>
      <c r="AV4620" s="498">
        <f t="shared" si="1604"/>
        <v>0</v>
      </c>
      <c r="AW4620" s="498">
        <f t="shared" si="1605"/>
        <v>0</v>
      </c>
      <c r="AX4620" s="498">
        <f t="shared" si="1606"/>
        <v>0</v>
      </c>
      <c r="AY4620" s="498">
        <f t="shared" si="1607"/>
        <v>0</v>
      </c>
      <c r="BB4620" s="498" t="str">
        <f t="shared" si="1608"/>
        <v/>
      </c>
      <c r="BC4620" s="743" t="str">
        <f t="shared" si="1609"/>
        <v/>
      </c>
      <c r="BD4620" s="743" t="str">
        <f t="shared" si="1610"/>
        <v/>
      </c>
      <c r="BE4620" s="743" t="str">
        <f>IF(D4620="","",VLOOKUP(D4620,'General Basis'!$J$39:$K$46,2,0))</f>
        <v/>
      </c>
      <c r="BF4620" s="744" t="str">
        <f>IF(D4620="","",VLOOKUP(D4620,'General Basis'!$J$39:$L$46,3,0))</f>
        <v/>
      </c>
      <c r="BG4620" s="744" t="str">
        <f t="shared" si="1617"/>
        <v/>
      </c>
      <c r="BH4620" s="744" t="str">
        <f>IF(G4620="","",IF(BF4620="Abu Dhabi",IF(G4620&lt;18,'General Basis'!$C$39,IF(G4620&lt;41,'General Basis'!$C$40,IF(G4620&lt;60,'General Basis'!$C$41,IF(G4620&lt;65,'General Basis'!$C$42,'General Basis'!$C$43)))),IF(G4620&lt;11,'General Basis'!$B$39,IF(G4620&lt;18,'General Basis'!$B$40,IF(G4620&lt;26,'General Basis'!$B$41,IF(G4620&lt;31,'General Basis'!$B$42,IF(G4620&lt;36,'General Basis'!$B$43,IF(G4620&lt;41,'General Basis'!$B$44,IF(G4620&lt;46,'General Basis'!$B$45,IF(G4620&lt;51,'General Basis'!$B$46,IF(G4620&lt;56,'General Basis'!$B$47,IF(G4620&lt;60,'General Basis'!$B$48,IF(G4620&lt;65,'General Basis'!$B$49,'General Basis'!$B$50)))))))))))))</f>
        <v/>
      </c>
      <c r="BI4620" s="744" t="str">
        <f t="shared" si="1611"/>
        <v/>
      </c>
      <c r="BJ4620" s="747" t="str">
        <f t="shared" si="1618"/>
        <v/>
      </c>
      <c r="BK4620" s="498" t="str">
        <f t="shared" si="1612"/>
        <v/>
      </c>
      <c r="BL4620" s="498" t="str">
        <f t="shared" si="1613"/>
        <v/>
      </c>
    </row>
    <row r="4621" spans="1:64" x14ac:dyDescent="0.25">
      <c r="A4621" s="762">
        <f t="shared" si="1614"/>
        <v>4616</v>
      </c>
      <c r="B4621" s="229"/>
      <c r="C4621" s="223"/>
      <c r="D4621" s="224"/>
      <c r="E4621" s="225"/>
      <c r="F4621" s="1036" t="str">
        <f t="shared" si="1598"/>
        <v/>
      </c>
      <c r="G4621" s="1037" t="str">
        <f t="shared" si="1615"/>
        <v/>
      </c>
      <c r="H4621" s="225"/>
      <c r="I4621" s="1013"/>
      <c r="J4621" s="1013"/>
      <c r="K4621" s="1028"/>
      <c r="L4621" s="1035" t="str">
        <f t="shared" si="1619"/>
        <v/>
      </c>
      <c r="S4621" s="498"/>
      <c r="AJ4621" s="498"/>
      <c r="AM4621" s="498">
        <f t="shared" si="1600"/>
        <v>0</v>
      </c>
      <c r="AN4621" s="498">
        <f t="shared" si="1601"/>
        <v>0</v>
      </c>
      <c r="AO4621" s="498">
        <f t="shared" si="1602"/>
        <v>0</v>
      </c>
      <c r="AP4621" s="498">
        <f t="shared" si="1599"/>
        <v>0</v>
      </c>
      <c r="AQ4621" s="498">
        <f t="shared" si="1616"/>
        <v>0</v>
      </c>
      <c r="AU4621" s="498">
        <f t="shared" si="1603"/>
        <v>0</v>
      </c>
      <c r="AV4621" s="498">
        <f t="shared" si="1604"/>
        <v>0</v>
      </c>
      <c r="AW4621" s="498">
        <f t="shared" si="1605"/>
        <v>0</v>
      </c>
      <c r="AX4621" s="498">
        <f t="shared" si="1606"/>
        <v>0</v>
      </c>
      <c r="AY4621" s="498">
        <f t="shared" si="1607"/>
        <v>0</v>
      </c>
      <c r="BB4621" s="498" t="str">
        <f t="shared" si="1608"/>
        <v/>
      </c>
      <c r="BC4621" s="743" t="str">
        <f t="shared" si="1609"/>
        <v/>
      </c>
      <c r="BD4621" s="743" t="str">
        <f t="shared" si="1610"/>
        <v/>
      </c>
      <c r="BE4621" s="743" t="str">
        <f>IF(D4621="","",VLOOKUP(D4621,'General Basis'!$J$39:$K$46,2,0))</f>
        <v/>
      </c>
      <c r="BF4621" s="744" t="str">
        <f>IF(D4621="","",VLOOKUP(D4621,'General Basis'!$J$39:$L$46,3,0))</f>
        <v/>
      </c>
      <c r="BG4621" s="744" t="str">
        <f t="shared" si="1617"/>
        <v/>
      </c>
      <c r="BH4621" s="744" t="str">
        <f>IF(G4621="","",IF(BF4621="Abu Dhabi",IF(G4621&lt;18,'General Basis'!$C$39,IF(G4621&lt;41,'General Basis'!$C$40,IF(G4621&lt;60,'General Basis'!$C$41,IF(G4621&lt;65,'General Basis'!$C$42,'General Basis'!$C$43)))),IF(G4621&lt;11,'General Basis'!$B$39,IF(G4621&lt;18,'General Basis'!$B$40,IF(G4621&lt;26,'General Basis'!$B$41,IF(G4621&lt;31,'General Basis'!$B$42,IF(G4621&lt;36,'General Basis'!$B$43,IF(G4621&lt;41,'General Basis'!$B$44,IF(G4621&lt;46,'General Basis'!$B$45,IF(G4621&lt;51,'General Basis'!$B$46,IF(G4621&lt;56,'General Basis'!$B$47,IF(G4621&lt;60,'General Basis'!$B$48,IF(G4621&lt;65,'General Basis'!$B$49,'General Basis'!$B$50)))))))))))))</f>
        <v/>
      </c>
      <c r="BI4621" s="744" t="str">
        <f t="shared" si="1611"/>
        <v/>
      </c>
      <c r="BJ4621" s="747" t="str">
        <f t="shared" si="1618"/>
        <v/>
      </c>
      <c r="BK4621" s="498" t="str">
        <f t="shared" si="1612"/>
        <v/>
      </c>
      <c r="BL4621" s="498" t="str">
        <f t="shared" si="1613"/>
        <v/>
      </c>
    </row>
    <row r="4622" spans="1:64" x14ac:dyDescent="0.25">
      <c r="A4622" s="762">
        <f t="shared" si="1614"/>
        <v>4617</v>
      </c>
      <c r="B4622" s="229"/>
      <c r="C4622" s="223"/>
      <c r="D4622" s="224"/>
      <c r="E4622" s="225"/>
      <c r="F4622" s="1036" t="str">
        <f t="shared" si="1598"/>
        <v/>
      </c>
      <c r="G4622" s="1037" t="str">
        <f t="shared" si="1615"/>
        <v/>
      </c>
      <c r="H4622" s="225"/>
      <c r="I4622" s="1013"/>
      <c r="J4622" s="1013"/>
      <c r="K4622" s="1028"/>
      <c r="L4622" s="1035" t="str">
        <f t="shared" si="1619"/>
        <v/>
      </c>
      <c r="S4622" s="498"/>
      <c r="AJ4622" s="498"/>
      <c r="AM4622" s="498">
        <f t="shared" si="1600"/>
        <v>0</v>
      </c>
      <c r="AN4622" s="498">
        <f t="shared" si="1601"/>
        <v>0</v>
      </c>
      <c r="AO4622" s="498">
        <f t="shared" si="1602"/>
        <v>0</v>
      </c>
      <c r="AP4622" s="498">
        <f t="shared" si="1599"/>
        <v>0</v>
      </c>
      <c r="AQ4622" s="498">
        <f t="shared" si="1616"/>
        <v>0</v>
      </c>
      <c r="AU4622" s="498">
        <f t="shared" si="1603"/>
        <v>0</v>
      </c>
      <c r="AV4622" s="498">
        <f t="shared" si="1604"/>
        <v>0</v>
      </c>
      <c r="AW4622" s="498">
        <f t="shared" si="1605"/>
        <v>0</v>
      </c>
      <c r="AX4622" s="498">
        <f t="shared" si="1606"/>
        <v>0</v>
      </c>
      <c r="AY4622" s="498">
        <f t="shared" si="1607"/>
        <v>0</v>
      </c>
      <c r="BB4622" s="498" t="str">
        <f t="shared" si="1608"/>
        <v/>
      </c>
      <c r="BC4622" s="743" t="str">
        <f t="shared" si="1609"/>
        <v/>
      </c>
      <c r="BD4622" s="743" t="str">
        <f t="shared" si="1610"/>
        <v/>
      </c>
      <c r="BE4622" s="743" t="str">
        <f>IF(D4622="","",VLOOKUP(D4622,'General Basis'!$J$39:$K$46,2,0))</f>
        <v/>
      </c>
      <c r="BF4622" s="744" t="str">
        <f>IF(D4622="","",VLOOKUP(D4622,'General Basis'!$J$39:$L$46,3,0))</f>
        <v/>
      </c>
      <c r="BG4622" s="744" t="str">
        <f t="shared" si="1617"/>
        <v/>
      </c>
      <c r="BH4622" s="744" t="str">
        <f>IF(G4622="","",IF(BF4622="Abu Dhabi",IF(G4622&lt;18,'General Basis'!$C$39,IF(G4622&lt;41,'General Basis'!$C$40,IF(G4622&lt;60,'General Basis'!$C$41,IF(G4622&lt;65,'General Basis'!$C$42,'General Basis'!$C$43)))),IF(G4622&lt;11,'General Basis'!$B$39,IF(G4622&lt;18,'General Basis'!$B$40,IF(G4622&lt;26,'General Basis'!$B$41,IF(G4622&lt;31,'General Basis'!$B$42,IF(G4622&lt;36,'General Basis'!$B$43,IF(G4622&lt;41,'General Basis'!$B$44,IF(G4622&lt;46,'General Basis'!$B$45,IF(G4622&lt;51,'General Basis'!$B$46,IF(G4622&lt;56,'General Basis'!$B$47,IF(G4622&lt;60,'General Basis'!$B$48,IF(G4622&lt;65,'General Basis'!$B$49,'General Basis'!$B$50)))))))))))))</f>
        <v/>
      </c>
      <c r="BI4622" s="744" t="str">
        <f t="shared" si="1611"/>
        <v/>
      </c>
      <c r="BJ4622" s="747" t="str">
        <f t="shared" si="1618"/>
        <v/>
      </c>
      <c r="BK4622" s="498" t="str">
        <f t="shared" si="1612"/>
        <v/>
      </c>
      <c r="BL4622" s="498" t="str">
        <f t="shared" si="1613"/>
        <v/>
      </c>
    </row>
    <row r="4623" spans="1:64" x14ac:dyDescent="0.25">
      <c r="A4623" s="762">
        <f t="shared" si="1614"/>
        <v>4618</v>
      </c>
      <c r="B4623" s="229"/>
      <c r="C4623" s="223"/>
      <c r="D4623" s="224"/>
      <c r="E4623" s="225"/>
      <c r="F4623" s="1036" t="str">
        <f t="shared" si="1598"/>
        <v/>
      </c>
      <c r="G4623" s="1037" t="str">
        <f t="shared" si="1615"/>
        <v/>
      </c>
      <c r="H4623" s="225"/>
      <c r="I4623" s="1013"/>
      <c r="J4623" s="1013"/>
      <c r="K4623" s="1028"/>
      <c r="L4623" s="1035" t="str">
        <f t="shared" si="1619"/>
        <v/>
      </c>
      <c r="S4623" s="498"/>
      <c r="AJ4623" s="498"/>
      <c r="AM4623" s="498">
        <f t="shared" si="1600"/>
        <v>0</v>
      </c>
      <c r="AN4623" s="498">
        <f t="shared" si="1601"/>
        <v>0</v>
      </c>
      <c r="AO4623" s="498">
        <f t="shared" si="1602"/>
        <v>0</v>
      </c>
      <c r="AP4623" s="498">
        <f t="shared" si="1599"/>
        <v>0</v>
      </c>
      <c r="AQ4623" s="498">
        <f t="shared" si="1616"/>
        <v>0</v>
      </c>
      <c r="AU4623" s="498">
        <f t="shared" si="1603"/>
        <v>0</v>
      </c>
      <c r="AV4623" s="498">
        <f t="shared" si="1604"/>
        <v>0</v>
      </c>
      <c r="AW4623" s="498">
        <f t="shared" si="1605"/>
        <v>0</v>
      </c>
      <c r="AX4623" s="498">
        <f t="shared" si="1606"/>
        <v>0</v>
      </c>
      <c r="AY4623" s="498">
        <f t="shared" si="1607"/>
        <v>0</v>
      </c>
      <c r="BB4623" s="498" t="str">
        <f t="shared" si="1608"/>
        <v/>
      </c>
      <c r="BC4623" s="743" t="str">
        <f t="shared" si="1609"/>
        <v/>
      </c>
      <c r="BD4623" s="743" t="str">
        <f t="shared" si="1610"/>
        <v/>
      </c>
      <c r="BE4623" s="743" t="str">
        <f>IF(D4623="","",VLOOKUP(D4623,'General Basis'!$J$39:$K$46,2,0))</f>
        <v/>
      </c>
      <c r="BF4623" s="744" t="str">
        <f>IF(D4623="","",VLOOKUP(D4623,'General Basis'!$J$39:$L$46,3,0))</f>
        <v/>
      </c>
      <c r="BG4623" s="744" t="str">
        <f t="shared" si="1617"/>
        <v/>
      </c>
      <c r="BH4623" s="744" t="str">
        <f>IF(G4623="","",IF(BF4623="Abu Dhabi",IF(G4623&lt;18,'General Basis'!$C$39,IF(G4623&lt;41,'General Basis'!$C$40,IF(G4623&lt;60,'General Basis'!$C$41,IF(G4623&lt;65,'General Basis'!$C$42,'General Basis'!$C$43)))),IF(G4623&lt;11,'General Basis'!$B$39,IF(G4623&lt;18,'General Basis'!$B$40,IF(G4623&lt;26,'General Basis'!$B$41,IF(G4623&lt;31,'General Basis'!$B$42,IF(G4623&lt;36,'General Basis'!$B$43,IF(G4623&lt;41,'General Basis'!$B$44,IF(G4623&lt;46,'General Basis'!$B$45,IF(G4623&lt;51,'General Basis'!$B$46,IF(G4623&lt;56,'General Basis'!$B$47,IF(G4623&lt;60,'General Basis'!$B$48,IF(G4623&lt;65,'General Basis'!$B$49,'General Basis'!$B$50)))))))))))))</f>
        <v/>
      </c>
      <c r="BI4623" s="744" t="str">
        <f t="shared" si="1611"/>
        <v/>
      </c>
      <c r="BJ4623" s="747" t="str">
        <f t="shared" si="1618"/>
        <v/>
      </c>
      <c r="BK4623" s="498" t="str">
        <f t="shared" si="1612"/>
        <v/>
      </c>
      <c r="BL4623" s="498" t="str">
        <f t="shared" si="1613"/>
        <v/>
      </c>
    </row>
    <row r="4624" spans="1:64" x14ac:dyDescent="0.25">
      <c r="A4624" s="762">
        <f t="shared" si="1614"/>
        <v>4619</v>
      </c>
      <c r="B4624" s="229"/>
      <c r="C4624" s="223"/>
      <c r="D4624" s="224"/>
      <c r="E4624" s="225"/>
      <c r="F4624" s="1036" t="str">
        <f t="shared" ref="F4624:F4687" si="1620">IF(C4624="","",IF($B4624="","",((YEAR($F$3)-YEAR($B4624))+(MONTH($F$3)-MONTH($B4624))/12+(DAY($F$3)-DAY($B4624))/(DATE(YEAR($F$3),12,31)-DATE(YEAR($F$3),1,1)+1))))</f>
        <v/>
      </c>
      <c r="G4624" s="1037" t="str">
        <f t="shared" si="1615"/>
        <v/>
      </c>
      <c r="H4624" s="225"/>
      <c r="I4624" s="1013"/>
      <c r="J4624" s="1013"/>
      <c r="K4624" s="1028"/>
      <c r="L4624" s="1035" t="str">
        <f t="shared" si="1619"/>
        <v/>
      </c>
      <c r="S4624" s="498"/>
      <c r="AJ4624" s="498"/>
      <c r="AM4624" s="498">
        <f t="shared" si="1600"/>
        <v>0</v>
      </c>
      <c r="AN4624" s="498">
        <f t="shared" si="1601"/>
        <v>0</v>
      </c>
      <c r="AO4624" s="498">
        <f t="shared" si="1602"/>
        <v>0</v>
      </c>
      <c r="AP4624" s="498">
        <f t="shared" si="1599"/>
        <v>0</v>
      </c>
      <c r="AQ4624" s="498">
        <f t="shared" si="1616"/>
        <v>0</v>
      </c>
      <c r="AU4624" s="498">
        <f t="shared" si="1603"/>
        <v>0</v>
      </c>
      <c r="AV4624" s="498">
        <f t="shared" si="1604"/>
        <v>0</v>
      </c>
      <c r="AW4624" s="498">
        <f t="shared" si="1605"/>
        <v>0</v>
      </c>
      <c r="AX4624" s="498">
        <f t="shared" si="1606"/>
        <v>0</v>
      </c>
      <c r="AY4624" s="498">
        <f t="shared" si="1607"/>
        <v>0</v>
      </c>
      <c r="BB4624" s="498" t="str">
        <f t="shared" si="1608"/>
        <v/>
      </c>
      <c r="BC4624" s="743" t="str">
        <f t="shared" si="1609"/>
        <v/>
      </c>
      <c r="BD4624" s="743" t="str">
        <f t="shared" si="1610"/>
        <v/>
      </c>
      <c r="BE4624" s="743" t="str">
        <f>IF(D4624="","",VLOOKUP(D4624,'General Basis'!$J$39:$K$46,2,0))</f>
        <v/>
      </c>
      <c r="BF4624" s="744" t="str">
        <f>IF(D4624="","",VLOOKUP(D4624,'General Basis'!$J$39:$L$46,3,0))</f>
        <v/>
      </c>
      <c r="BG4624" s="744" t="str">
        <f t="shared" si="1617"/>
        <v/>
      </c>
      <c r="BH4624" s="744" t="str">
        <f>IF(G4624="","",IF(BF4624="Abu Dhabi",IF(G4624&lt;18,'General Basis'!$C$39,IF(G4624&lt;41,'General Basis'!$C$40,IF(G4624&lt;60,'General Basis'!$C$41,IF(G4624&lt;65,'General Basis'!$C$42,'General Basis'!$C$43)))),IF(G4624&lt;11,'General Basis'!$B$39,IF(G4624&lt;18,'General Basis'!$B$40,IF(G4624&lt;26,'General Basis'!$B$41,IF(G4624&lt;31,'General Basis'!$B$42,IF(G4624&lt;36,'General Basis'!$B$43,IF(G4624&lt;41,'General Basis'!$B$44,IF(G4624&lt;46,'General Basis'!$B$45,IF(G4624&lt;51,'General Basis'!$B$46,IF(G4624&lt;56,'General Basis'!$B$47,IF(G4624&lt;60,'General Basis'!$B$48,IF(G4624&lt;65,'General Basis'!$B$49,'General Basis'!$B$50)))))))))))))</f>
        <v/>
      </c>
      <c r="BI4624" s="744" t="str">
        <f t="shared" si="1611"/>
        <v/>
      </c>
      <c r="BJ4624" s="747" t="str">
        <f t="shared" si="1618"/>
        <v/>
      </c>
      <c r="BK4624" s="498" t="str">
        <f t="shared" si="1612"/>
        <v/>
      </c>
      <c r="BL4624" s="498" t="str">
        <f t="shared" si="1613"/>
        <v/>
      </c>
    </row>
    <row r="4625" spans="1:64" x14ac:dyDescent="0.25">
      <c r="A4625" s="762">
        <f t="shared" si="1614"/>
        <v>4620</v>
      </c>
      <c r="B4625" s="229"/>
      <c r="C4625" s="223"/>
      <c r="D4625" s="224"/>
      <c r="E4625" s="225"/>
      <c r="F4625" s="1036" t="str">
        <f t="shared" si="1620"/>
        <v/>
      </c>
      <c r="G4625" s="1037" t="str">
        <f t="shared" si="1615"/>
        <v/>
      </c>
      <c r="H4625" s="225"/>
      <c r="I4625" s="1013"/>
      <c r="J4625" s="1013"/>
      <c r="K4625" s="1028"/>
      <c r="L4625" s="1035" t="str">
        <f t="shared" si="1619"/>
        <v/>
      </c>
      <c r="S4625" s="498"/>
      <c r="AJ4625" s="498"/>
      <c r="AM4625" s="498">
        <f t="shared" si="1600"/>
        <v>0</v>
      </c>
      <c r="AN4625" s="498">
        <f t="shared" si="1601"/>
        <v>0</v>
      </c>
      <c r="AO4625" s="498">
        <f t="shared" si="1602"/>
        <v>0</v>
      </c>
      <c r="AP4625" s="498">
        <f t="shared" si="1599"/>
        <v>0</v>
      </c>
      <c r="AQ4625" s="498">
        <f t="shared" si="1616"/>
        <v>0</v>
      </c>
      <c r="AU4625" s="498">
        <f t="shared" si="1603"/>
        <v>0</v>
      </c>
      <c r="AV4625" s="498">
        <f t="shared" si="1604"/>
        <v>0</v>
      </c>
      <c r="AW4625" s="498">
        <f t="shared" si="1605"/>
        <v>0</v>
      </c>
      <c r="AX4625" s="498">
        <f t="shared" si="1606"/>
        <v>0</v>
      </c>
      <c r="AY4625" s="498">
        <f t="shared" si="1607"/>
        <v>0</v>
      </c>
      <c r="BB4625" s="498" t="str">
        <f t="shared" si="1608"/>
        <v/>
      </c>
      <c r="BC4625" s="743" t="str">
        <f t="shared" si="1609"/>
        <v/>
      </c>
      <c r="BD4625" s="743" t="str">
        <f t="shared" si="1610"/>
        <v/>
      </c>
      <c r="BE4625" s="743" t="str">
        <f>IF(D4625="","",VLOOKUP(D4625,'General Basis'!$J$39:$K$46,2,0))</f>
        <v/>
      </c>
      <c r="BF4625" s="744" t="str">
        <f>IF(D4625="","",VLOOKUP(D4625,'General Basis'!$J$39:$L$46,3,0))</f>
        <v/>
      </c>
      <c r="BG4625" s="744" t="str">
        <f t="shared" si="1617"/>
        <v/>
      </c>
      <c r="BH4625" s="744" t="str">
        <f>IF(G4625="","",IF(BF4625="Abu Dhabi",IF(G4625&lt;18,'General Basis'!$C$39,IF(G4625&lt;41,'General Basis'!$C$40,IF(G4625&lt;60,'General Basis'!$C$41,IF(G4625&lt;65,'General Basis'!$C$42,'General Basis'!$C$43)))),IF(G4625&lt;11,'General Basis'!$B$39,IF(G4625&lt;18,'General Basis'!$B$40,IF(G4625&lt;26,'General Basis'!$B$41,IF(G4625&lt;31,'General Basis'!$B$42,IF(G4625&lt;36,'General Basis'!$B$43,IF(G4625&lt;41,'General Basis'!$B$44,IF(G4625&lt;46,'General Basis'!$B$45,IF(G4625&lt;51,'General Basis'!$B$46,IF(G4625&lt;56,'General Basis'!$B$47,IF(G4625&lt;60,'General Basis'!$B$48,IF(G4625&lt;65,'General Basis'!$B$49,'General Basis'!$B$50)))))))))))))</f>
        <v/>
      </c>
      <c r="BI4625" s="744" t="str">
        <f t="shared" si="1611"/>
        <v/>
      </c>
      <c r="BJ4625" s="747" t="str">
        <f t="shared" si="1618"/>
        <v/>
      </c>
      <c r="BK4625" s="498" t="str">
        <f t="shared" si="1612"/>
        <v/>
      </c>
      <c r="BL4625" s="498" t="str">
        <f t="shared" si="1613"/>
        <v/>
      </c>
    </row>
    <row r="4626" spans="1:64" x14ac:dyDescent="0.25">
      <c r="A4626" s="762">
        <f t="shared" si="1614"/>
        <v>4621</v>
      </c>
      <c r="B4626" s="229"/>
      <c r="C4626" s="223"/>
      <c r="D4626" s="224"/>
      <c r="E4626" s="225"/>
      <c r="F4626" s="1036" t="str">
        <f t="shared" si="1620"/>
        <v/>
      </c>
      <c r="G4626" s="1037" t="str">
        <f t="shared" si="1615"/>
        <v/>
      </c>
      <c r="H4626" s="225"/>
      <c r="I4626" s="1013"/>
      <c r="J4626" s="1013"/>
      <c r="K4626" s="1028"/>
      <c r="L4626" s="1035" t="str">
        <f t="shared" si="1619"/>
        <v/>
      </c>
      <c r="S4626" s="498"/>
      <c r="AJ4626" s="498"/>
      <c r="AM4626" s="498">
        <f t="shared" si="1600"/>
        <v>0</v>
      </c>
      <c r="AN4626" s="498">
        <f t="shared" si="1601"/>
        <v>0</v>
      </c>
      <c r="AO4626" s="498">
        <f t="shared" si="1602"/>
        <v>0</v>
      </c>
      <c r="AP4626" s="498">
        <f t="shared" si="1599"/>
        <v>0</v>
      </c>
      <c r="AQ4626" s="498">
        <f t="shared" si="1616"/>
        <v>0</v>
      </c>
      <c r="AU4626" s="498">
        <f t="shared" si="1603"/>
        <v>0</v>
      </c>
      <c r="AV4626" s="498">
        <f t="shared" si="1604"/>
        <v>0</v>
      </c>
      <c r="AW4626" s="498">
        <f t="shared" si="1605"/>
        <v>0</v>
      </c>
      <c r="AX4626" s="498">
        <f t="shared" si="1606"/>
        <v>0</v>
      </c>
      <c r="AY4626" s="498">
        <f t="shared" si="1607"/>
        <v>0</v>
      </c>
      <c r="BB4626" s="498" t="str">
        <f t="shared" si="1608"/>
        <v/>
      </c>
      <c r="BC4626" s="743" t="str">
        <f t="shared" si="1609"/>
        <v/>
      </c>
      <c r="BD4626" s="743" t="str">
        <f t="shared" si="1610"/>
        <v/>
      </c>
      <c r="BE4626" s="743" t="str">
        <f>IF(D4626="","",VLOOKUP(D4626,'General Basis'!$J$39:$K$46,2,0))</f>
        <v/>
      </c>
      <c r="BF4626" s="744" t="str">
        <f>IF(D4626="","",VLOOKUP(D4626,'General Basis'!$J$39:$L$46,3,0))</f>
        <v/>
      </c>
      <c r="BG4626" s="744" t="str">
        <f t="shared" si="1617"/>
        <v/>
      </c>
      <c r="BH4626" s="744" t="str">
        <f>IF(G4626="","",IF(BF4626="Abu Dhabi",IF(G4626&lt;18,'General Basis'!$C$39,IF(G4626&lt;41,'General Basis'!$C$40,IF(G4626&lt;60,'General Basis'!$C$41,IF(G4626&lt;65,'General Basis'!$C$42,'General Basis'!$C$43)))),IF(G4626&lt;11,'General Basis'!$B$39,IF(G4626&lt;18,'General Basis'!$B$40,IF(G4626&lt;26,'General Basis'!$B$41,IF(G4626&lt;31,'General Basis'!$B$42,IF(G4626&lt;36,'General Basis'!$B$43,IF(G4626&lt;41,'General Basis'!$B$44,IF(G4626&lt;46,'General Basis'!$B$45,IF(G4626&lt;51,'General Basis'!$B$46,IF(G4626&lt;56,'General Basis'!$B$47,IF(G4626&lt;60,'General Basis'!$B$48,IF(G4626&lt;65,'General Basis'!$B$49,'General Basis'!$B$50)))))))))))))</f>
        <v/>
      </c>
      <c r="BI4626" s="744" t="str">
        <f t="shared" si="1611"/>
        <v/>
      </c>
      <c r="BJ4626" s="747" t="str">
        <f t="shared" si="1618"/>
        <v/>
      </c>
      <c r="BK4626" s="498" t="str">
        <f t="shared" si="1612"/>
        <v/>
      </c>
      <c r="BL4626" s="498" t="str">
        <f t="shared" si="1613"/>
        <v/>
      </c>
    </row>
    <row r="4627" spans="1:64" x14ac:dyDescent="0.25">
      <c r="A4627" s="762">
        <f t="shared" si="1614"/>
        <v>4622</v>
      </c>
      <c r="B4627" s="229"/>
      <c r="C4627" s="223"/>
      <c r="D4627" s="224"/>
      <c r="E4627" s="225"/>
      <c r="F4627" s="1036" t="str">
        <f t="shared" si="1620"/>
        <v/>
      </c>
      <c r="G4627" s="1037" t="str">
        <f t="shared" si="1615"/>
        <v/>
      </c>
      <c r="H4627" s="225"/>
      <c r="I4627" s="1013"/>
      <c r="J4627" s="1013"/>
      <c r="K4627" s="1028"/>
      <c r="L4627" s="1035" t="str">
        <f t="shared" si="1619"/>
        <v/>
      </c>
      <c r="S4627" s="498"/>
      <c r="AJ4627" s="498"/>
      <c r="AM4627" s="498">
        <f t="shared" si="1600"/>
        <v>0</v>
      </c>
      <c r="AN4627" s="498">
        <f t="shared" si="1601"/>
        <v>0</v>
      </c>
      <c r="AO4627" s="498">
        <f t="shared" si="1602"/>
        <v>0</v>
      </c>
      <c r="AP4627" s="498">
        <f t="shared" ref="AP4627:AP4690" si="1621">IF(ISBLANK($B4627),0,IF(OR($C4627="M",$C4627="F"),0,1))</f>
        <v>0</v>
      </c>
      <c r="AQ4627" s="498">
        <f t="shared" si="1616"/>
        <v>0</v>
      </c>
      <c r="AU4627" s="498">
        <f t="shared" si="1603"/>
        <v>0</v>
      </c>
      <c r="AV4627" s="498">
        <f t="shared" si="1604"/>
        <v>0</v>
      </c>
      <c r="AW4627" s="498">
        <f t="shared" si="1605"/>
        <v>0</v>
      </c>
      <c r="AX4627" s="498">
        <f t="shared" si="1606"/>
        <v>0</v>
      </c>
      <c r="AY4627" s="498">
        <f t="shared" si="1607"/>
        <v>0</v>
      </c>
      <c r="BB4627" s="498" t="str">
        <f t="shared" si="1608"/>
        <v/>
      </c>
      <c r="BC4627" s="743" t="str">
        <f t="shared" si="1609"/>
        <v/>
      </c>
      <c r="BD4627" s="743" t="str">
        <f t="shared" si="1610"/>
        <v/>
      </c>
      <c r="BE4627" s="743" t="str">
        <f>IF(D4627="","",VLOOKUP(D4627,'General Basis'!$J$39:$K$46,2,0))</f>
        <v/>
      </c>
      <c r="BF4627" s="744" t="str">
        <f>IF(D4627="","",VLOOKUP(D4627,'General Basis'!$J$39:$L$46,3,0))</f>
        <v/>
      </c>
      <c r="BG4627" s="744" t="str">
        <f t="shared" si="1617"/>
        <v/>
      </c>
      <c r="BH4627" s="744" t="str">
        <f>IF(G4627="","",IF(BF4627="Abu Dhabi",IF(G4627&lt;18,'General Basis'!$C$39,IF(G4627&lt;41,'General Basis'!$C$40,IF(G4627&lt;60,'General Basis'!$C$41,IF(G4627&lt;65,'General Basis'!$C$42,'General Basis'!$C$43)))),IF(G4627&lt;11,'General Basis'!$B$39,IF(G4627&lt;18,'General Basis'!$B$40,IF(G4627&lt;26,'General Basis'!$B$41,IF(G4627&lt;31,'General Basis'!$B$42,IF(G4627&lt;36,'General Basis'!$B$43,IF(G4627&lt;41,'General Basis'!$B$44,IF(G4627&lt;46,'General Basis'!$B$45,IF(G4627&lt;51,'General Basis'!$B$46,IF(G4627&lt;56,'General Basis'!$B$47,IF(G4627&lt;60,'General Basis'!$B$48,IF(G4627&lt;65,'General Basis'!$B$49,'General Basis'!$B$50)))))))))))))</f>
        <v/>
      </c>
      <c r="BI4627" s="744" t="str">
        <f t="shared" si="1611"/>
        <v/>
      </c>
      <c r="BJ4627" s="747" t="str">
        <f t="shared" si="1618"/>
        <v/>
      </c>
      <c r="BK4627" s="498" t="str">
        <f t="shared" si="1612"/>
        <v/>
      </c>
      <c r="BL4627" s="498" t="str">
        <f t="shared" si="1613"/>
        <v/>
      </c>
    </row>
    <row r="4628" spans="1:64" x14ac:dyDescent="0.25">
      <c r="A4628" s="762">
        <f t="shared" si="1614"/>
        <v>4623</v>
      </c>
      <c r="B4628" s="229"/>
      <c r="C4628" s="223"/>
      <c r="D4628" s="224"/>
      <c r="E4628" s="225"/>
      <c r="F4628" s="1036" t="str">
        <f t="shared" si="1620"/>
        <v/>
      </c>
      <c r="G4628" s="1037" t="str">
        <f t="shared" si="1615"/>
        <v/>
      </c>
      <c r="H4628" s="225"/>
      <c r="I4628" s="1013"/>
      <c r="J4628" s="1013"/>
      <c r="K4628" s="1028"/>
      <c r="L4628" s="1035" t="str">
        <f t="shared" si="1619"/>
        <v/>
      </c>
      <c r="S4628" s="498"/>
      <c r="AJ4628" s="498"/>
      <c r="AM4628" s="498">
        <f t="shared" si="1600"/>
        <v>0</v>
      </c>
      <c r="AN4628" s="498">
        <f t="shared" si="1601"/>
        <v>0</v>
      </c>
      <c r="AO4628" s="498">
        <f t="shared" si="1602"/>
        <v>0</v>
      </c>
      <c r="AP4628" s="498">
        <f t="shared" si="1621"/>
        <v>0</v>
      </c>
      <c r="AQ4628" s="498">
        <f t="shared" si="1616"/>
        <v>0</v>
      </c>
      <c r="AU4628" s="498">
        <f t="shared" si="1603"/>
        <v>0</v>
      </c>
      <c r="AV4628" s="498">
        <f t="shared" si="1604"/>
        <v>0</v>
      </c>
      <c r="AW4628" s="498">
        <f t="shared" si="1605"/>
        <v>0</v>
      </c>
      <c r="AX4628" s="498">
        <f t="shared" si="1606"/>
        <v>0</v>
      </c>
      <c r="AY4628" s="498">
        <f t="shared" si="1607"/>
        <v>0</v>
      </c>
      <c r="BB4628" s="498" t="str">
        <f t="shared" si="1608"/>
        <v/>
      </c>
      <c r="BC4628" s="743" t="str">
        <f t="shared" si="1609"/>
        <v/>
      </c>
      <c r="BD4628" s="743" t="str">
        <f t="shared" si="1610"/>
        <v/>
      </c>
      <c r="BE4628" s="743" t="str">
        <f>IF(D4628="","",VLOOKUP(D4628,'General Basis'!$J$39:$K$46,2,0))</f>
        <v/>
      </c>
      <c r="BF4628" s="744" t="str">
        <f>IF(D4628="","",VLOOKUP(D4628,'General Basis'!$J$39:$L$46,3,0))</f>
        <v/>
      </c>
      <c r="BG4628" s="744" t="str">
        <f t="shared" si="1617"/>
        <v/>
      </c>
      <c r="BH4628" s="744" t="str">
        <f>IF(G4628="","",IF(BF4628="Abu Dhabi",IF(G4628&lt;18,'General Basis'!$C$39,IF(G4628&lt;41,'General Basis'!$C$40,IF(G4628&lt;60,'General Basis'!$C$41,IF(G4628&lt;65,'General Basis'!$C$42,'General Basis'!$C$43)))),IF(G4628&lt;11,'General Basis'!$B$39,IF(G4628&lt;18,'General Basis'!$B$40,IF(G4628&lt;26,'General Basis'!$B$41,IF(G4628&lt;31,'General Basis'!$B$42,IF(G4628&lt;36,'General Basis'!$B$43,IF(G4628&lt;41,'General Basis'!$B$44,IF(G4628&lt;46,'General Basis'!$B$45,IF(G4628&lt;51,'General Basis'!$B$46,IF(G4628&lt;56,'General Basis'!$B$47,IF(G4628&lt;60,'General Basis'!$B$48,IF(G4628&lt;65,'General Basis'!$B$49,'General Basis'!$B$50)))))))))))))</f>
        <v/>
      </c>
      <c r="BI4628" s="744" t="str">
        <f t="shared" si="1611"/>
        <v/>
      </c>
      <c r="BJ4628" s="747" t="str">
        <f t="shared" si="1618"/>
        <v/>
      </c>
      <c r="BK4628" s="498" t="str">
        <f t="shared" si="1612"/>
        <v/>
      </c>
      <c r="BL4628" s="498" t="str">
        <f t="shared" si="1613"/>
        <v/>
      </c>
    </row>
    <row r="4629" spans="1:64" x14ac:dyDescent="0.25">
      <c r="A4629" s="762">
        <f t="shared" si="1614"/>
        <v>4624</v>
      </c>
      <c r="B4629" s="229"/>
      <c r="C4629" s="223"/>
      <c r="D4629" s="224"/>
      <c r="E4629" s="225"/>
      <c r="F4629" s="1036" t="str">
        <f t="shared" si="1620"/>
        <v/>
      </c>
      <c r="G4629" s="1037" t="str">
        <f t="shared" si="1615"/>
        <v/>
      </c>
      <c r="H4629" s="225"/>
      <c r="I4629" s="1013"/>
      <c r="J4629" s="1013"/>
      <c r="K4629" s="1028"/>
      <c r="L4629" s="1035" t="str">
        <f t="shared" si="1619"/>
        <v/>
      </c>
      <c r="S4629" s="498"/>
      <c r="AJ4629" s="498"/>
      <c r="AM4629" s="498">
        <f t="shared" si="1600"/>
        <v>0</v>
      </c>
      <c r="AN4629" s="498">
        <f t="shared" si="1601"/>
        <v>0</v>
      </c>
      <c r="AO4629" s="498">
        <f t="shared" si="1602"/>
        <v>0</v>
      </c>
      <c r="AP4629" s="498">
        <f t="shared" si="1621"/>
        <v>0</v>
      </c>
      <c r="AQ4629" s="498">
        <f t="shared" si="1616"/>
        <v>0</v>
      </c>
      <c r="AU4629" s="498">
        <f t="shared" si="1603"/>
        <v>0</v>
      </c>
      <c r="AV4629" s="498">
        <f t="shared" si="1604"/>
        <v>0</v>
      </c>
      <c r="AW4629" s="498">
        <f t="shared" si="1605"/>
        <v>0</v>
      </c>
      <c r="AX4629" s="498">
        <f t="shared" si="1606"/>
        <v>0</v>
      </c>
      <c r="AY4629" s="498">
        <f t="shared" si="1607"/>
        <v>0</v>
      </c>
      <c r="BB4629" s="498" t="str">
        <f t="shared" si="1608"/>
        <v/>
      </c>
      <c r="BC4629" s="743" t="str">
        <f t="shared" si="1609"/>
        <v/>
      </c>
      <c r="BD4629" s="743" t="str">
        <f t="shared" si="1610"/>
        <v/>
      </c>
      <c r="BE4629" s="743" t="str">
        <f>IF(D4629="","",VLOOKUP(D4629,'General Basis'!$J$39:$K$46,2,0))</f>
        <v/>
      </c>
      <c r="BF4629" s="744" t="str">
        <f>IF(D4629="","",VLOOKUP(D4629,'General Basis'!$J$39:$L$46,3,0))</f>
        <v/>
      </c>
      <c r="BG4629" s="744" t="str">
        <f t="shared" si="1617"/>
        <v/>
      </c>
      <c r="BH4629" s="744" t="str">
        <f>IF(G4629="","",IF(BF4629="Abu Dhabi",IF(G4629&lt;18,'General Basis'!$C$39,IF(G4629&lt;41,'General Basis'!$C$40,IF(G4629&lt;60,'General Basis'!$C$41,IF(G4629&lt;65,'General Basis'!$C$42,'General Basis'!$C$43)))),IF(G4629&lt;11,'General Basis'!$B$39,IF(G4629&lt;18,'General Basis'!$B$40,IF(G4629&lt;26,'General Basis'!$B$41,IF(G4629&lt;31,'General Basis'!$B$42,IF(G4629&lt;36,'General Basis'!$B$43,IF(G4629&lt;41,'General Basis'!$B$44,IF(G4629&lt;46,'General Basis'!$B$45,IF(G4629&lt;51,'General Basis'!$B$46,IF(G4629&lt;56,'General Basis'!$B$47,IF(G4629&lt;60,'General Basis'!$B$48,IF(G4629&lt;65,'General Basis'!$B$49,'General Basis'!$B$50)))))))))))))</f>
        <v/>
      </c>
      <c r="BI4629" s="744" t="str">
        <f t="shared" si="1611"/>
        <v/>
      </c>
      <c r="BJ4629" s="747" t="str">
        <f t="shared" si="1618"/>
        <v/>
      </c>
      <c r="BK4629" s="498" t="str">
        <f t="shared" si="1612"/>
        <v/>
      </c>
      <c r="BL4629" s="498" t="str">
        <f t="shared" si="1613"/>
        <v/>
      </c>
    </row>
    <row r="4630" spans="1:64" x14ac:dyDescent="0.25">
      <c r="A4630" s="762">
        <f t="shared" si="1614"/>
        <v>4625</v>
      </c>
      <c r="B4630" s="229"/>
      <c r="C4630" s="223"/>
      <c r="D4630" s="224"/>
      <c r="E4630" s="225"/>
      <c r="F4630" s="1036" t="str">
        <f t="shared" si="1620"/>
        <v/>
      </c>
      <c r="G4630" s="1037" t="str">
        <f t="shared" si="1615"/>
        <v/>
      </c>
      <c r="H4630" s="225"/>
      <c r="I4630" s="1013"/>
      <c r="J4630" s="1013"/>
      <c r="K4630" s="1028"/>
      <c r="L4630" s="1035" t="str">
        <f t="shared" si="1619"/>
        <v/>
      </c>
      <c r="S4630" s="498"/>
      <c r="AJ4630" s="498"/>
      <c r="AM4630" s="498">
        <f t="shared" si="1600"/>
        <v>0</v>
      </c>
      <c r="AN4630" s="498">
        <f t="shared" si="1601"/>
        <v>0</v>
      </c>
      <c r="AO4630" s="498">
        <f t="shared" si="1602"/>
        <v>0</v>
      </c>
      <c r="AP4630" s="498">
        <f t="shared" si="1621"/>
        <v>0</v>
      </c>
      <c r="AQ4630" s="498">
        <f t="shared" si="1616"/>
        <v>0</v>
      </c>
      <c r="AU4630" s="498">
        <f t="shared" si="1603"/>
        <v>0</v>
      </c>
      <c r="AV4630" s="498">
        <f t="shared" si="1604"/>
        <v>0</v>
      </c>
      <c r="AW4630" s="498">
        <f t="shared" si="1605"/>
        <v>0</v>
      </c>
      <c r="AX4630" s="498">
        <f t="shared" si="1606"/>
        <v>0</v>
      </c>
      <c r="AY4630" s="498">
        <f t="shared" si="1607"/>
        <v>0</v>
      </c>
      <c r="BB4630" s="498" t="str">
        <f t="shared" si="1608"/>
        <v/>
      </c>
      <c r="BC4630" s="743" t="str">
        <f t="shared" si="1609"/>
        <v/>
      </c>
      <c r="BD4630" s="743" t="str">
        <f t="shared" si="1610"/>
        <v/>
      </c>
      <c r="BE4630" s="743" t="str">
        <f>IF(D4630="","",VLOOKUP(D4630,'General Basis'!$J$39:$K$46,2,0))</f>
        <v/>
      </c>
      <c r="BF4630" s="744" t="str">
        <f>IF(D4630="","",VLOOKUP(D4630,'General Basis'!$J$39:$L$46,3,0))</f>
        <v/>
      </c>
      <c r="BG4630" s="744" t="str">
        <f t="shared" si="1617"/>
        <v/>
      </c>
      <c r="BH4630" s="744" t="str">
        <f>IF(G4630="","",IF(BF4630="Abu Dhabi",IF(G4630&lt;18,'General Basis'!$C$39,IF(G4630&lt;41,'General Basis'!$C$40,IF(G4630&lt;60,'General Basis'!$C$41,IF(G4630&lt;65,'General Basis'!$C$42,'General Basis'!$C$43)))),IF(G4630&lt;11,'General Basis'!$B$39,IF(G4630&lt;18,'General Basis'!$B$40,IF(G4630&lt;26,'General Basis'!$B$41,IF(G4630&lt;31,'General Basis'!$B$42,IF(G4630&lt;36,'General Basis'!$B$43,IF(G4630&lt;41,'General Basis'!$B$44,IF(G4630&lt;46,'General Basis'!$B$45,IF(G4630&lt;51,'General Basis'!$B$46,IF(G4630&lt;56,'General Basis'!$B$47,IF(G4630&lt;60,'General Basis'!$B$48,IF(G4630&lt;65,'General Basis'!$B$49,'General Basis'!$B$50)))))))))))))</f>
        <v/>
      </c>
      <c r="BI4630" s="744" t="str">
        <f t="shared" si="1611"/>
        <v/>
      </c>
      <c r="BJ4630" s="747" t="str">
        <f t="shared" si="1618"/>
        <v/>
      </c>
      <c r="BK4630" s="498" t="str">
        <f t="shared" si="1612"/>
        <v/>
      </c>
      <c r="BL4630" s="498" t="str">
        <f t="shared" si="1613"/>
        <v/>
      </c>
    </row>
    <row r="4631" spans="1:64" x14ac:dyDescent="0.25">
      <c r="A4631" s="762">
        <f t="shared" si="1614"/>
        <v>4626</v>
      </c>
      <c r="B4631" s="229"/>
      <c r="C4631" s="223"/>
      <c r="D4631" s="224"/>
      <c r="E4631" s="225"/>
      <c r="F4631" s="1036" t="str">
        <f t="shared" si="1620"/>
        <v/>
      </c>
      <c r="G4631" s="1037" t="str">
        <f t="shared" si="1615"/>
        <v/>
      </c>
      <c r="H4631" s="225"/>
      <c r="I4631" s="1013"/>
      <c r="J4631" s="1013"/>
      <c r="K4631" s="1028"/>
      <c r="L4631" s="1035" t="str">
        <f t="shared" si="1619"/>
        <v/>
      </c>
      <c r="S4631" s="498"/>
      <c r="AJ4631" s="498"/>
      <c r="AM4631" s="498">
        <f t="shared" si="1600"/>
        <v>0</v>
      </c>
      <c r="AN4631" s="498">
        <f t="shared" si="1601"/>
        <v>0</v>
      </c>
      <c r="AO4631" s="498">
        <f t="shared" si="1602"/>
        <v>0</v>
      </c>
      <c r="AP4631" s="498">
        <f t="shared" si="1621"/>
        <v>0</v>
      </c>
      <c r="AQ4631" s="498">
        <f t="shared" si="1616"/>
        <v>0</v>
      </c>
      <c r="AU4631" s="498">
        <f t="shared" si="1603"/>
        <v>0</v>
      </c>
      <c r="AV4631" s="498">
        <f t="shared" si="1604"/>
        <v>0</v>
      </c>
      <c r="AW4631" s="498">
        <f t="shared" si="1605"/>
        <v>0</v>
      </c>
      <c r="AX4631" s="498">
        <f t="shared" si="1606"/>
        <v>0</v>
      </c>
      <c r="AY4631" s="498">
        <f t="shared" si="1607"/>
        <v>0</v>
      </c>
      <c r="BB4631" s="498" t="str">
        <f t="shared" si="1608"/>
        <v/>
      </c>
      <c r="BC4631" s="743" t="str">
        <f t="shared" si="1609"/>
        <v/>
      </c>
      <c r="BD4631" s="743" t="str">
        <f t="shared" si="1610"/>
        <v/>
      </c>
      <c r="BE4631" s="743" t="str">
        <f>IF(D4631="","",VLOOKUP(D4631,'General Basis'!$J$39:$K$46,2,0))</f>
        <v/>
      </c>
      <c r="BF4631" s="744" t="str">
        <f>IF(D4631="","",VLOOKUP(D4631,'General Basis'!$J$39:$L$46,3,0))</f>
        <v/>
      </c>
      <c r="BG4631" s="744" t="str">
        <f t="shared" si="1617"/>
        <v/>
      </c>
      <c r="BH4631" s="744" t="str">
        <f>IF(G4631="","",IF(BF4631="Abu Dhabi",IF(G4631&lt;18,'General Basis'!$C$39,IF(G4631&lt;41,'General Basis'!$C$40,IF(G4631&lt;60,'General Basis'!$C$41,IF(G4631&lt;65,'General Basis'!$C$42,'General Basis'!$C$43)))),IF(G4631&lt;11,'General Basis'!$B$39,IF(G4631&lt;18,'General Basis'!$B$40,IF(G4631&lt;26,'General Basis'!$B$41,IF(G4631&lt;31,'General Basis'!$B$42,IF(G4631&lt;36,'General Basis'!$B$43,IF(G4631&lt;41,'General Basis'!$B$44,IF(G4631&lt;46,'General Basis'!$B$45,IF(G4631&lt;51,'General Basis'!$B$46,IF(G4631&lt;56,'General Basis'!$B$47,IF(G4631&lt;60,'General Basis'!$B$48,IF(G4631&lt;65,'General Basis'!$B$49,'General Basis'!$B$50)))))))))))))</f>
        <v/>
      </c>
      <c r="BI4631" s="744" t="str">
        <f t="shared" si="1611"/>
        <v/>
      </c>
      <c r="BJ4631" s="747" t="str">
        <f t="shared" si="1618"/>
        <v/>
      </c>
      <c r="BK4631" s="498" t="str">
        <f t="shared" si="1612"/>
        <v/>
      </c>
      <c r="BL4631" s="498" t="str">
        <f t="shared" si="1613"/>
        <v/>
      </c>
    </row>
    <row r="4632" spans="1:64" x14ac:dyDescent="0.25">
      <c r="A4632" s="762">
        <f t="shared" si="1614"/>
        <v>4627</v>
      </c>
      <c r="B4632" s="229"/>
      <c r="C4632" s="223"/>
      <c r="D4632" s="224"/>
      <c r="E4632" s="225"/>
      <c r="F4632" s="1036" t="str">
        <f t="shared" si="1620"/>
        <v/>
      </c>
      <c r="G4632" s="1037" t="str">
        <f t="shared" si="1615"/>
        <v/>
      </c>
      <c r="H4632" s="225"/>
      <c r="I4632" s="1013"/>
      <c r="J4632" s="1013"/>
      <c r="K4632" s="1028"/>
      <c r="L4632" s="1035" t="str">
        <f t="shared" si="1619"/>
        <v/>
      </c>
      <c r="S4632" s="498"/>
      <c r="AJ4632" s="498"/>
      <c r="AM4632" s="498">
        <f t="shared" si="1600"/>
        <v>0</v>
      </c>
      <c r="AN4632" s="498">
        <f t="shared" si="1601"/>
        <v>0</v>
      </c>
      <c r="AO4632" s="498">
        <f t="shared" si="1602"/>
        <v>0</v>
      </c>
      <c r="AP4632" s="498">
        <f t="shared" si="1621"/>
        <v>0</v>
      </c>
      <c r="AQ4632" s="498">
        <f t="shared" si="1616"/>
        <v>0</v>
      </c>
      <c r="AU4632" s="498">
        <f t="shared" si="1603"/>
        <v>0</v>
      </c>
      <c r="AV4632" s="498">
        <f t="shared" si="1604"/>
        <v>0</v>
      </c>
      <c r="AW4632" s="498">
        <f t="shared" si="1605"/>
        <v>0</v>
      </c>
      <c r="AX4632" s="498">
        <f t="shared" si="1606"/>
        <v>0</v>
      </c>
      <c r="AY4632" s="498">
        <f t="shared" si="1607"/>
        <v>0</v>
      </c>
      <c r="BB4632" s="498" t="str">
        <f t="shared" si="1608"/>
        <v/>
      </c>
      <c r="BC4632" s="743" t="str">
        <f t="shared" si="1609"/>
        <v/>
      </c>
      <c r="BD4632" s="743" t="str">
        <f t="shared" si="1610"/>
        <v/>
      </c>
      <c r="BE4632" s="743" t="str">
        <f>IF(D4632="","",VLOOKUP(D4632,'General Basis'!$J$39:$K$46,2,0))</f>
        <v/>
      </c>
      <c r="BF4632" s="744" t="str">
        <f>IF(D4632="","",VLOOKUP(D4632,'General Basis'!$J$39:$L$46,3,0))</f>
        <v/>
      </c>
      <c r="BG4632" s="744" t="str">
        <f t="shared" si="1617"/>
        <v/>
      </c>
      <c r="BH4632" s="744" t="str">
        <f>IF(G4632="","",IF(BF4632="Abu Dhabi",IF(G4632&lt;18,'General Basis'!$C$39,IF(G4632&lt;41,'General Basis'!$C$40,IF(G4632&lt;60,'General Basis'!$C$41,IF(G4632&lt;65,'General Basis'!$C$42,'General Basis'!$C$43)))),IF(G4632&lt;11,'General Basis'!$B$39,IF(G4632&lt;18,'General Basis'!$B$40,IF(G4632&lt;26,'General Basis'!$B$41,IF(G4632&lt;31,'General Basis'!$B$42,IF(G4632&lt;36,'General Basis'!$B$43,IF(G4632&lt;41,'General Basis'!$B$44,IF(G4632&lt;46,'General Basis'!$B$45,IF(G4632&lt;51,'General Basis'!$B$46,IF(G4632&lt;56,'General Basis'!$B$47,IF(G4632&lt;60,'General Basis'!$B$48,IF(G4632&lt;65,'General Basis'!$B$49,'General Basis'!$B$50)))))))))))))</f>
        <v/>
      </c>
      <c r="BI4632" s="744" t="str">
        <f t="shared" si="1611"/>
        <v/>
      </c>
      <c r="BJ4632" s="747" t="str">
        <f t="shared" si="1618"/>
        <v/>
      </c>
      <c r="BK4632" s="498" t="str">
        <f t="shared" si="1612"/>
        <v/>
      </c>
      <c r="BL4632" s="498" t="str">
        <f t="shared" si="1613"/>
        <v/>
      </c>
    </row>
    <row r="4633" spans="1:64" x14ac:dyDescent="0.25">
      <c r="A4633" s="762">
        <f t="shared" si="1614"/>
        <v>4628</v>
      </c>
      <c r="B4633" s="229"/>
      <c r="C4633" s="223"/>
      <c r="D4633" s="224"/>
      <c r="E4633" s="225"/>
      <c r="F4633" s="1036" t="str">
        <f t="shared" si="1620"/>
        <v/>
      </c>
      <c r="G4633" s="1037" t="str">
        <f t="shared" si="1615"/>
        <v/>
      </c>
      <c r="H4633" s="225"/>
      <c r="I4633" s="1013"/>
      <c r="J4633" s="1013"/>
      <c r="K4633" s="1028"/>
      <c r="L4633" s="1035" t="str">
        <f t="shared" si="1619"/>
        <v/>
      </c>
      <c r="S4633" s="498"/>
      <c r="AJ4633" s="498"/>
      <c r="AM4633" s="498">
        <f t="shared" si="1600"/>
        <v>0</v>
      </c>
      <c r="AN4633" s="498">
        <f t="shared" si="1601"/>
        <v>0</v>
      </c>
      <c r="AO4633" s="498">
        <f t="shared" si="1602"/>
        <v>0</v>
      </c>
      <c r="AP4633" s="498">
        <f t="shared" si="1621"/>
        <v>0</v>
      </c>
      <c r="AQ4633" s="498">
        <f t="shared" si="1616"/>
        <v>0</v>
      </c>
      <c r="AU4633" s="498">
        <f t="shared" si="1603"/>
        <v>0</v>
      </c>
      <c r="AV4633" s="498">
        <f t="shared" si="1604"/>
        <v>0</v>
      </c>
      <c r="AW4633" s="498">
        <f t="shared" si="1605"/>
        <v>0</v>
      </c>
      <c r="AX4633" s="498">
        <f t="shared" si="1606"/>
        <v>0</v>
      </c>
      <c r="AY4633" s="498">
        <f t="shared" si="1607"/>
        <v>0</v>
      </c>
      <c r="BB4633" s="498" t="str">
        <f t="shared" si="1608"/>
        <v/>
      </c>
      <c r="BC4633" s="743" t="str">
        <f t="shared" si="1609"/>
        <v/>
      </c>
      <c r="BD4633" s="743" t="str">
        <f t="shared" si="1610"/>
        <v/>
      </c>
      <c r="BE4633" s="743" t="str">
        <f>IF(D4633="","",VLOOKUP(D4633,'General Basis'!$J$39:$K$46,2,0))</f>
        <v/>
      </c>
      <c r="BF4633" s="744" t="str">
        <f>IF(D4633="","",VLOOKUP(D4633,'General Basis'!$J$39:$L$46,3,0))</f>
        <v/>
      </c>
      <c r="BG4633" s="744" t="str">
        <f t="shared" si="1617"/>
        <v/>
      </c>
      <c r="BH4633" s="744" t="str">
        <f>IF(G4633="","",IF(BF4633="Abu Dhabi",IF(G4633&lt;18,'General Basis'!$C$39,IF(G4633&lt;41,'General Basis'!$C$40,IF(G4633&lt;60,'General Basis'!$C$41,IF(G4633&lt;65,'General Basis'!$C$42,'General Basis'!$C$43)))),IF(G4633&lt;11,'General Basis'!$B$39,IF(G4633&lt;18,'General Basis'!$B$40,IF(G4633&lt;26,'General Basis'!$B$41,IF(G4633&lt;31,'General Basis'!$B$42,IF(G4633&lt;36,'General Basis'!$B$43,IF(G4633&lt;41,'General Basis'!$B$44,IF(G4633&lt;46,'General Basis'!$B$45,IF(G4633&lt;51,'General Basis'!$B$46,IF(G4633&lt;56,'General Basis'!$B$47,IF(G4633&lt;60,'General Basis'!$B$48,IF(G4633&lt;65,'General Basis'!$B$49,'General Basis'!$B$50)))))))))))))</f>
        <v/>
      </c>
      <c r="BI4633" s="744" t="str">
        <f t="shared" si="1611"/>
        <v/>
      </c>
      <c r="BJ4633" s="747" t="str">
        <f t="shared" si="1618"/>
        <v/>
      </c>
      <c r="BK4633" s="498" t="str">
        <f t="shared" si="1612"/>
        <v/>
      </c>
      <c r="BL4633" s="498" t="str">
        <f t="shared" si="1613"/>
        <v/>
      </c>
    </row>
    <row r="4634" spans="1:64" x14ac:dyDescent="0.25">
      <c r="A4634" s="762">
        <f t="shared" si="1614"/>
        <v>4629</v>
      </c>
      <c r="B4634" s="229"/>
      <c r="C4634" s="223"/>
      <c r="D4634" s="224"/>
      <c r="E4634" s="225"/>
      <c r="F4634" s="1036" t="str">
        <f t="shared" si="1620"/>
        <v/>
      </c>
      <c r="G4634" s="1037" t="str">
        <f t="shared" si="1615"/>
        <v/>
      </c>
      <c r="H4634" s="225"/>
      <c r="I4634" s="1013"/>
      <c r="J4634" s="1013"/>
      <c r="K4634" s="1028"/>
      <c r="L4634" s="1035" t="str">
        <f t="shared" si="1619"/>
        <v/>
      </c>
      <c r="S4634" s="498"/>
      <c r="AJ4634" s="498"/>
      <c r="AM4634" s="498">
        <f t="shared" si="1600"/>
        <v>0</v>
      </c>
      <c r="AN4634" s="498">
        <f t="shared" si="1601"/>
        <v>0</v>
      </c>
      <c r="AO4634" s="498">
        <f t="shared" si="1602"/>
        <v>0</v>
      </c>
      <c r="AP4634" s="498">
        <f t="shared" si="1621"/>
        <v>0</v>
      </c>
      <c r="AQ4634" s="498">
        <f t="shared" si="1616"/>
        <v>0</v>
      </c>
      <c r="AU4634" s="498">
        <f t="shared" si="1603"/>
        <v>0</v>
      </c>
      <c r="AV4634" s="498">
        <f t="shared" si="1604"/>
        <v>0</v>
      </c>
      <c r="AW4634" s="498">
        <f t="shared" si="1605"/>
        <v>0</v>
      </c>
      <c r="AX4634" s="498">
        <f t="shared" si="1606"/>
        <v>0</v>
      </c>
      <c r="AY4634" s="498">
        <f t="shared" si="1607"/>
        <v>0</v>
      </c>
      <c r="BB4634" s="498" t="str">
        <f t="shared" si="1608"/>
        <v/>
      </c>
      <c r="BC4634" s="743" t="str">
        <f t="shared" si="1609"/>
        <v/>
      </c>
      <c r="BD4634" s="743" t="str">
        <f t="shared" si="1610"/>
        <v/>
      </c>
      <c r="BE4634" s="743" t="str">
        <f>IF(D4634="","",VLOOKUP(D4634,'General Basis'!$J$39:$K$46,2,0))</f>
        <v/>
      </c>
      <c r="BF4634" s="744" t="str">
        <f>IF(D4634="","",VLOOKUP(D4634,'General Basis'!$J$39:$L$46,3,0))</f>
        <v/>
      </c>
      <c r="BG4634" s="744" t="str">
        <f t="shared" si="1617"/>
        <v/>
      </c>
      <c r="BH4634" s="744" t="str">
        <f>IF(G4634="","",IF(BF4634="Abu Dhabi",IF(G4634&lt;18,'General Basis'!$C$39,IF(G4634&lt;41,'General Basis'!$C$40,IF(G4634&lt;60,'General Basis'!$C$41,IF(G4634&lt;65,'General Basis'!$C$42,'General Basis'!$C$43)))),IF(G4634&lt;11,'General Basis'!$B$39,IF(G4634&lt;18,'General Basis'!$B$40,IF(G4634&lt;26,'General Basis'!$B$41,IF(G4634&lt;31,'General Basis'!$B$42,IF(G4634&lt;36,'General Basis'!$B$43,IF(G4634&lt;41,'General Basis'!$B$44,IF(G4634&lt;46,'General Basis'!$B$45,IF(G4634&lt;51,'General Basis'!$B$46,IF(G4634&lt;56,'General Basis'!$B$47,IF(G4634&lt;60,'General Basis'!$B$48,IF(G4634&lt;65,'General Basis'!$B$49,'General Basis'!$B$50)))))))))))))</f>
        <v/>
      </c>
      <c r="BI4634" s="744" t="str">
        <f t="shared" si="1611"/>
        <v/>
      </c>
      <c r="BJ4634" s="747" t="str">
        <f t="shared" si="1618"/>
        <v/>
      </c>
      <c r="BK4634" s="498" t="str">
        <f t="shared" si="1612"/>
        <v/>
      </c>
      <c r="BL4634" s="498" t="str">
        <f t="shared" si="1613"/>
        <v/>
      </c>
    </row>
    <row r="4635" spans="1:64" x14ac:dyDescent="0.25">
      <c r="A4635" s="762">
        <f t="shared" si="1614"/>
        <v>4630</v>
      </c>
      <c r="B4635" s="229"/>
      <c r="C4635" s="223"/>
      <c r="D4635" s="224"/>
      <c r="E4635" s="225"/>
      <c r="F4635" s="1036" t="str">
        <f t="shared" si="1620"/>
        <v/>
      </c>
      <c r="G4635" s="1037" t="str">
        <f t="shared" si="1615"/>
        <v/>
      </c>
      <c r="H4635" s="225"/>
      <c r="I4635" s="1013"/>
      <c r="J4635" s="1013"/>
      <c r="K4635" s="1028"/>
      <c r="L4635" s="1035" t="str">
        <f t="shared" si="1619"/>
        <v/>
      </c>
      <c r="S4635" s="498"/>
      <c r="AJ4635" s="498"/>
      <c r="AM4635" s="498">
        <f t="shared" si="1600"/>
        <v>0</v>
      </c>
      <c r="AN4635" s="498">
        <f t="shared" si="1601"/>
        <v>0</v>
      </c>
      <c r="AO4635" s="498">
        <f t="shared" si="1602"/>
        <v>0</v>
      </c>
      <c r="AP4635" s="498">
        <f t="shared" si="1621"/>
        <v>0</v>
      </c>
      <c r="AQ4635" s="498">
        <f t="shared" si="1616"/>
        <v>0</v>
      </c>
      <c r="AU4635" s="498">
        <f t="shared" si="1603"/>
        <v>0</v>
      </c>
      <c r="AV4635" s="498">
        <f t="shared" si="1604"/>
        <v>0</v>
      </c>
      <c r="AW4635" s="498">
        <f t="shared" si="1605"/>
        <v>0</v>
      </c>
      <c r="AX4635" s="498">
        <f t="shared" si="1606"/>
        <v>0</v>
      </c>
      <c r="AY4635" s="498">
        <f t="shared" si="1607"/>
        <v>0</v>
      </c>
      <c r="BB4635" s="498" t="str">
        <f t="shared" si="1608"/>
        <v/>
      </c>
      <c r="BC4635" s="743" t="str">
        <f t="shared" si="1609"/>
        <v/>
      </c>
      <c r="BD4635" s="743" t="str">
        <f t="shared" si="1610"/>
        <v/>
      </c>
      <c r="BE4635" s="743" t="str">
        <f>IF(D4635="","",VLOOKUP(D4635,'General Basis'!$J$39:$K$46,2,0))</f>
        <v/>
      </c>
      <c r="BF4635" s="744" t="str">
        <f>IF(D4635="","",VLOOKUP(D4635,'General Basis'!$J$39:$L$46,3,0))</f>
        <v/>
      </c>
      <c r="BG4635" s="744" t="str">
        <f t="shared" si="1617"/>
        <v/>
      </c>
      <c r="BH4635" s="744" t="str">
        <f>IF(G4635="","",IF(BF4635="Abu Dhabi",IF(G4635&lt;18,'General Basis'!$C$39,IF(G4635&lt;41,'General Basis'!$C$40,IF(G4635&lt;60,'General Basis'!$C$41,IF(G4635&lt;65,'General Basis'!$C$42,'General Basis'!$C$43)))),IF(G4635&lt;11,'General Basis'!$B$39,IF(G4635&lt;18,'General Basis'!$B$40,IF(G4635&lt;26,'General Basis'!$B$41,IF(G4635&lt;31,'General Basis'!$B$42,IF(G4635&lt;36,'General Basis'!$B$43,IF(G4635&lt;41,'General Basis'!$B$44,IF(G4635&lt;46,'General Basis'!$B$45,IF(G4635&lt;51,'General Basis'!$B$46,IF(G4635&lt;56,'General Basis'!$B$47,IF(G4635&lt;60,'General Basis'!$B$48,IF(G4635&lt;65,'General Basis'!$B$49,'General Basis'!$B$50)))))))))))))</f>
        <v/>
      </c>
      <c r="BI4635" s="744" t="str">
        <f t="shared" si="1611"/>
        <v/>
      </c>
      <c r="BJ4635" s="747" t="str">
        <f t="shared" si="1618"/>
        <v/>
      </c>
      <c r="BK4635" s="498" t="str">
        <f t="shared" si="1612"/>
        <v/>
      </c>
      <c r="BL4635" s="498" t="str">
        <f t="shared" si="1613"/>
        <v/>
      </c>
    </row>
    <row r="4636" spans="1:64" x14ac:dyDescent="0.25">
      <c r="A4636" s="762">
        <f t="shared" si="1614"/>
        <v>4631</v>
      </c>
      <c r="B4636" s="229"/>
      <c r="C4636" s="223"/>
      <c r="D4636" s="224"/>
      <c r="E4636" s="225"/>
      <c r="F4636" s="1036" t="str">
        <f t="shared" si="1620"/>
        <v/>
      </c>
      <c r="G4636" s="1037" t="str">
        <f t="shared" si="1615"/>
        <v/>
      </c>
      <c r="H4636" s="225"/>
      <c r="I4636" s="1013"/>
      <c r="J4636" s="1013"/>
      <c r="K4636" s="1028"/>
      <c r="L4636" s="1035" t="str">
        <f t="shared" si="1619"/>
        <v/>
      </c>
      <c r="S4636" s="498"/>
      <c r="AJ4636" s="498"/>
      <c r="AM4636" s="498">
        <f t="shared" si="1600"/>
        <v>0</v>
      </c>
      <c r="AN4636" s="498">
        <f t="shared" si="1601"/>
        <v>0</v>
      </c>
      <c r="AO4636" s="498">
        <f t="shared" si="1602"/>
        <v>0</v>
      </c>
      <c r="AP4636" s="498">
        <f t="shared" si="1621"/>
        <v>0</v>
      </c>
      <c r="AQ4636" s="498">
        <f t="shared" si="1616"/>
        <v>0</v>
      </c>
      <c r="AU4636" s="498">
        <f t="shared" si="1603"/>
        <v>0</v>
      </c>
      <c r="AV4636" s="498">
        <f t="shared" si="1604"/>
        <v>0</v>
      </c>
      <c r="AW4636" s="498">
        <f t="shared" si="1605"/>
        <v>0</v>
      </c>
      <c r="AX4636" s="498">
        <f t="shared" si="1606"/>
        <v>0</v>
      </c>
      <c r="AY4636" s="498">
        <f t="shared" si="1607"/>
        <v>0</v>
      </c>
      <c r="BB4636" s="498" t="str">
        <f t="shared" si="1608"/>
        <v/>
      </c>
      <c r="BC4636" s="743" t="str">
        <f t="shared" si="1609"/>
        <v/>
      </c>
      <c r="BD4636" s="743" t="str">
        <f t="shared" si="1610"/>
        <v/>
      </c>
      <c r="BE4636" s="743" t="str">
        <f>IF(D4636="","",VLOOKUP(D4636,'General Basis'!$J$39:$K$46,2,0))</f>
        <v/>
      </c>
      <c r="BF4636" s="744" t="str">
        <f>IF(D4636="","",VLOOKUP(D4636,'General Basis'!$J$39:$L$46,3,0))</f>
        <v/>
      </c>
      <c r="BG4636" s="744" t="str">
        <f t="shared" si="1617"/>
        <v/>
      </c>
      <c r="BH4636" s="744" t="str">
        <f>IF(G4636="","",IF(BF4636="Abu Dhabi",IF(G4636&lt;18,'General Basis'!$C$39,IF(G4636&lt;41,'General Basis'!$C$40,IF(G4636&lt;60,'General Basis'!$C$41,IF(G4636&lt;65,'General Basis'!$C$42,'General Basis'!$C$43)))),IF(G4636&lt;11,'General Basis'!$B$39,IF(G4636&lt;18,'General Basis'!$B$40,IF(G4636&lt;26,'General Basis'!$B$41,IF(G4636&lt;31,'General Basis'!$B$42,IF(G4636&lt;36,'General Basis'!$B$43,IF(G4636&lt;41,'General Basis'!$B$44,IF(G4636&lt;46,'General Basis'!$B$45,IF(G4636&lt;51,'General Basis'!$B$46,IF(G4636&lt;56,'General Basis'!$B$47,IF(G4636&lt;60,'General Basis'!$B$48,IF(G4636&lt;65,'General Basis'!$B$49,'General Basis'!$B$50)))))))))))))</f>
        <v/>
      </c>
      <c r="BI4636" s="744" t="str">
        <f t="shared" si="1611"/>
        <v/>
      </c>
      <c r="BJ4636" s="747" t="str">
        <f t="shared" si="1618"/>
        <v/>
      </c>
      <c r="BK4636" s="498" t="str">
        <f t="shared" si="1612"/>
        <v/>
      </c>
      <c r="BL4636" s="498" t="str">
        <f t="shared" si="1613"/>
        <v/>
      </c>
    </row>
    <row r="4637" spans="1:64" x14ac:dyDescent="0.25">
      <c r="A4637" s="762">
        <f t="shared" si="1614"/>
        <v>4632</v>
      </c>
      <c r="B4637" s="229"/>
      <c r="C4637" s="223"/>
      <c r="D4637" s="224"/>
      <c r="E4637" s="225"/>
      <c r="F4637" s="1036" t="str">
        <f t="shared" si="1620"/>
        <v/>
      </c>
      <c r="G4637" s="1037" t="str">
        <f t="shared" si="1615"/>
        <v/>
      </c>
      <c r="H4637" s="225"/>
      <c r="I4637" s="1013"/>
      <c r="J4637" s="1013"/>
      <c r="K4637" s="1028"/>
      <c r="L4637" s="1035" t="str">
        <f t="shared" si="1619"/>
        <v/>
      </c>
      <c r="S4637" s="498"/>
      <c r="AJ4637" s="498"/>
      <c r="AM4637" s="498">
        <f t="shared" si="1600"/>
        <v>0</v>
      </c>
      <c r="AN4637" s="498">
        <f t="shared" si="1601"/>
        <v>0</v>
      </c>
      <c r="AO4637" s="498">
        <f t="shared" si="1602"/>
        <v>0</v>
      </c>
      <c r="AP4637" s="498">
        <f t="shared" si="1621"/>
        <v>0</v>
      </c>
      <c r="AQ4637" s="498">
        <f t="shared" si="1616"/>
        <v>0</v>
      </c>
      <c r="AU4637" s="498">
        <f t="shared" si="1603"/>
        <v>0</v>
      </c>
      <c r="AV4637" s="498">
        <f t="shared" si="1604"/>
        <v>0</v>
      </c>
      <c r="AW4637" s="498">
        <f t="shared" si="1605"/>
        <v>0</v>
      </c>
      <c r="AX4637" s="498">
        <f t="shared" si="1606"/>
        <v>0</v>
      </c>
      <c r="AY4637" s="498">
        <f t="shared" si="1607"/>
        <v>0</v>
      </c>
      <c r="BB4637" s="498" t="str">
        <f t="shared" si="1608"/>
        <v/>
      </c>
      <c r="BC4637" s="743" t="str">
        <f t="shared" si="1609"/>
        <v/>
      </c>
      <c r="BD4637" s="743" t="str">
        <f t="shared" si="1610"/>
        <v/>
      </c>
      <c r="BE4637" s="743" t="str">
        <f>IF(D4637="","",VLOOKUP(D4637,'General Basis'!$J$39:$K$46,2,0))</f>
        <v/>
      </c>
      <c r="BF4637" s="744" t="str">
        <f>IF(D4637="","",VLOOKUP(D4637,'General Basis'!$J$39:$L$46,3,0))</f>
        <v/>
      </c>
      <c r="BG4637" s="744" t="str">
        <f t="shared" si="1617"/>
        <v/>
      </c>
      <c r="BH4637" s="744" t="str">
        <f>IF(G4637="","",IF(BF4637="Abu Dhabi",IF(G4637&lt;18,'General Basis'!$C$39,IF(G4637&lt;41,'General Basis'!$C$40,IF(G4637&lt;60,'General Basis'!$C$41,IF(G4637&lt;65,'General Basis'!$C$42,'General Basis'!$C$43)))),IF(G4637&lt;11,'General Basis'!$B$39,IF(G4637&lt;18,'General Basis'!$B$40,IF(G4637&lt;26,'General Basis'!$B$41,IF(G4637&lt;31,'General Basis'!$B$42,IF(G4637&lt;36,'General Basis'!$B$43,IF(G4637&lt;41,'General Basis'!$B$44,IF(G4637&lt;46,'General Basis'!$B$45,IF(G4637&lt;51,'General Basis'!$B$46,IF(G4637&lt;56,'General Basis'!$B$47,IF(G4637&lt;60,'General Basis'!$B$48,IF(G4637&lt;65,'General Basis'!$B$49,'General Basis'!$B$50)))))))))))))</f>
        <v/>
      </c>
      <c r="BI4637" s="744" t="str">
        <f t="shared" si="1611"/>
        <v/>
      </c>
      <c r="BJ4637" s="747" t="str">
        <f t="shared" si="1618"/>
        <v/>
      </c>
      <c r="BK4637" s="498" t="str">
        <f t="shared" si="1612"/>
        <v/>
      </c>
      <c r="BL4637" s="498" t="str">
        <f t="shared" si="1613"/>
        <v/>
      </c>
    </row>
    <row r="4638" spans="1:64" x14ac:dyDescent="0.25">
      <c r="A4638" s="762">
        <f t="shared" si="1614"/>
        <v>4633</v>
      </c>
      <c r="B4638" s="229"/>
      <c r="C4638" s="223"/>
      <c r="D4638" s="224"/>
      <c r="E4638" s="225"/>
      <c r="F4638" s="1036" t="str">
        <f t="shared" si="1620"/>
        <v/>
      </c>
      <c r="G4638" s="1037" t="str">
        <f t="shared" si="1615"/>
        <v/>
      </c>
      <c r="H4638" s="225"/>
      <c r="I4638" s="1013"/>
      <c r="J4638" s="1013"/>
      <c r="K4638" s="1028"/>
      <c r="L4638" s="1035" t="str">
        <f t="shared" si="1619"/>
        <v/>
      </c>
      <c r="S4638" s="498"/>
      <c r="AJ4638" s="498"/>
      <c r="AM4638" s="498">
        <f t="shared" si="1600"/>
        <v>0</v>
      </c>
      <c r="AN4638" s="498">
        <f t="shared" si="1601"/>
        <v>0</v>
      </c>
      <c r="AO4638" s="498">
        <f t="shared" si="1602"/>
        <v>0</v>
      </c>
      <c r="AP4638" s="498">
        <f t="shared" si="1621"/>
        <v>0</v>
      </c>
      <c r="AQ4638" s="498">
        <f t="shared" si="1616"/>
        <v>0</v>
      </c>
      <c r="AU4638" s="498">
        <f t="shared" si="1603"/>
        <v>0</v>
      </c>
      <c r="AV4638" s="498">
        <f t="shared" si="1604"/>
        <v>0</v>
      </c>
      <c r="AW4638" s="498">
        <f t="shared" si="1605"/>
        <v>0</v>
      </c>
      <c r="AX4638" s="498">
        <f t="shared" si="1606"/>
        <v>0</v>
      </c>
      <c r="AY4638" s="498">
        <f t="shared" si="1607"/>
        <v>0</v>
      </c>
      <c r="BB4638" s="498" t="str">
        <f t="shared" si="1608"/>
        <v/>
      </c>
      <c r="BC4638" s="743" t="str">
        <f t="shared" si="1609"/>
        <v/>
      </c>
      <c r="BD4638" s="743" t="str">
        <f t="shared" si="1610"/>
        <v/>
      </c>
      <c r="BE4638" s="743" t="str">
        <f>IF(D4638="","",VLOOKUP(D4638,'General Basis'!$J$39:$K$46,2,0))</f>
        <v/>
      </c>
      <c r="BF4638" s="744" t="str">
        <f>IF(D4638="","",VLOOKUP(D4638,'General Basis'!$J$39:$L$46,3,0))</f>
        <v/>
      </c>
      <c r="BG4638" s="744" t="str">
        <f t="shared" si="1617"/>
        <v/>
      </c>
      <c r="BH4638" s="744" t="str">
        <f>IF(G4638="","",IF(BF4638="Abu Dhabi",IF(G4638&lt;18,'General Basis'!$C$39,IF(G4638&lt;41,'General Basis'!$C$40,IF(G4638&lt;60,'General Basis'!$C$41,IF(G4638&lt;65,'General Basis'!$C$42,'General Basis'!$C$43)))),IF(G4638&lt;11,'General Basis'!$B$39,IF(G4638&lt;18,'General Basis'!$B$40,IF(G4638&lt;26,'General Basis'!$B$41,IF(G4638&lt;31,'General Basis'!$B$42,IF(G4638&lt;36,'General Basis'!$B$43,IF(G4638&lt;41,'General Basis'!$B$44,IF(G4638&lt;46,'General Basis'!$B$45,IF(G4638&lt;51,'General Basis'!$B$46,IF(G4638&lt;56,'General Basis'!$B$47,IF(G4638&lt;60,'General Basis'!$B$48,IF(G4638&lt;65,'General Basis'!$B$49,'General Basis'!$B$50)))))))))))))</f>
        <v/>
      </c>
      <c r="BI4638" s="744" t="str">
        <f t="shared" si="1611"/>
        <v/>
      </c>
      <c r="BJ4638" s="747" t="str">
        <f t="shared" si="1618"/>
        <v/>
      </c>
      <c r="BK4638" s="498" t="str">
        <f t="shared" si="1612"/>
        <v/>
      </c>
      <c r="BL4638" s="498" t="str">
        <f t="shared" si="1613"/>
        <v/>
      </c>
    </row>
    <row r="4639" spans="1:64" x14ac:dyDescent="0.25">
      <c r="A4639" s="762">
        <f t="shared" si="1614"/>
        <v>4634</v>
      </c>
      <c r="B4639" s="229"/>
      <c r="C4639" s="223"/>
      <c r="D4639" s="224"/>
      <c r="E4639" s="225"/>
      <c r="F4639" s="1036" t="str">
        <f t="shared" si="1620"/>
        <v/>
      </c>
      <c r="G4639" s="1037" t="str">
        <f t="shared" si="1615"/>
        <v/>
      </c>
      <c r="H4639" s="225"/>
      <c r="I4639" s="1013"/>
      <c r="J4639" s="1013"/>
      <c r="K4639" s="1028"/>
      <c r="L4639" s="1035" t="str">
        <f t="shared" si="1619"/>
        <v/>
      </c>
      <c r="S4639" s="498"/>
      <c r="AJ4639" s="498"/>
      <c r="AM4639" s="498">
        <f t="shared" si="1600"/>
        <v>0</v>
      </c>
      <c r="AN4639" s="498">
        <f t="shared" si="1601"/>
        <v>0</v>
      </c>
      <c r="AO4639" s="498">
        <f t="shared" si="1602"/>
        <v>0</v>
      </c>
      <c r="AP4639" s="498">
        <f t="shared" si="1621"/>
        <v>0</v>
      </c>
      <c r="AQ4639" s="498">
        <f t="shared" si="1616"/>
        <v>0</v>
      </c>
      <c r="AU4639" s="498">
        <f t="shared" si="1603"/>
        <v>0</v>
      </c>
      <c r="AV4639" s="498">
        <f t="shared" si="1604"/>
        <v>0</v>
      </c>
      <c r="AW4639" s="498">
        <f t="shared" si="1605"/>
        <v>0</v>
      </c>
      <c r="AX4639" s="498">
        <f t="shared" si="1606"/>
        <v>0</v>
      </c>
      <c r="AY4639" s="498">
        <f t="shared" si="1607"/>
        <v>0</v>
      </c>
      <c r="BB4639" s="498" t="str">
        <f t="shared" si="1608"/>
        <v/>
      </c>
      <c r="BC4639" s="743" t="str">
        <f t="shared" si="1609"/>
        <v/>
      </c>
      <c r="BD4639" s="743" t="str">
        <f t="shared" si="1610"/>
        <v/>
      </c>
      <c r="BE4639" s="743" t="str">
        <f>IF(D4639="","",VLOOKUP(D4639,'General Basis'!$J$39:$K$46,2,0))</f>
        <v/>
      </c>
      <c r="BF4639" s="744" t="str">
        <f>IF(D4639="","",VLOOKUP(D4639,'General Basis'!$J$39:$L$46,3,0))</f>
        <v/>
      </c>
      <c r="BG4639" s="744" t="str">
        <f t="shared" si="1617"/>
        <v/>
      </c>
      <c r="BH4639" s="744" t="str">
        <f>IF(G4639="","",IF(BF4639="Abu Dhabi",IF(G4639&lt;18,'General Basis'!$C$39,IF(G4639&lt;41,'General Basis'!$C$40,IF(G4639&lt;60,'General Basis'!$C$41,IF(G4639&lt;65,'General Basis'!$C$42,'General Basis'!$C$43)))),IF(G4639&lt;11,'General Basis'!$B$39,IF(G4639&lt;18,'General Basis'!$B$40,IF(G4639&lt;26,'General Basis'!$B$41,IF(G4639&lt;31,'General Basis'!$B$42,IF(G4639&lt;36,'General Basis'!$B$43,IF(G4639&lt;41,'General Basis'!$B$44,IF(G4639&lt;46,'General Basis'!$B$45,IF(G4639&lt;51,'General Basis'!$B$46,IF(G4639&lt;56,'General Basis'!$B$47,IF(G4639&lt;60,'General Basis'!$B$48,IF(G4639&lt;65,'General Basis'!$B$49,'General Basis'!$B$50)))))))))))))</f>
        <v/>
      </c>
      <c r="BI4639" s="744" t="str">
        <f t="shared" si="1611"/>
        <v/>
      </c>
      <c r="BJ4639" s="747" t="str">
        <f t="shared" si="1618"/>
        <v/>
      </c>
      <c r="BK4639" s="498" t="str">
        <f t="shared" si="1612"/>
        <v/>
      </c>
      <c r="BL4639" s="498" t="str">
        <f t="shared" si="1613"/>
        <v/>
      </c>
    </row>
    <row r="4640" spans="1:64" x14ac:dyDescent="0.25">
      <c r="A4640" s="762">
        <f t="shared" si="1614"/>
        <v>4635</v>
      </c>
      <c r="B4640" s="229"/>
      <c r="C4640" s="223"/>
      <c r="D4640" s="224"/>
      <c r="E4640" s="225"/>
      <c r="F4640" s="1036" t="str">
        <f t="shared" si="1620"/>
        <v/>
      </c>
      <c r="G4640" s="1037" t="str">
        <f t="shared" si="1615"/>
        <v/>
      </c>
      <c r="H4640" s="225"/>
      <c r="I4640" s="1013"/>
      <c r="J4640" s="1013"/>
      <c r="K4640" s="1028"/>
      <c r="L4640" s="1035" t="str">
        <f t="shared" si="1619"/>
        <v/>
      </c>
      <c r="S4640" s="498"/>
      <c r="AJ4640" s="498"/>
      <c r="AM4640" s="498">
        <f t="shared" si="1600"/>
        <v>0</v>
      </c>
      <c r="AN4640" s="498">
        <f t="shared" si="1601"/>
        <v>0</v>
      </c>
      <c r="AO4640" s="498">
        <f t="shared" si="1602"/>
        <v>0</v>
      </c>
      <c r="AP4640" s="498">
        <f t="shared" si="1621"/>
        <v>0</v>
      </c>
      <c r="AQ4640" s="498">
        <f t="shared" si="1616"/>
        <v>0</v>
      </c>
      <c r="AU4640" s="498">
        <f t="shared" si="1603"/>
        <v>0</v>
      </c>
      <c r="AV4640" s="498">
        <f t="shared" si="1604"/>
        <v>0</v>
      </c>
      <c r="AW4640" s="498">
        <f t="shared" si="1605"/>
        <v>0</v>
      </c>
      <c r="AX4640" s="498">
        <f t="shared" si="1606"/>
        <v>0</v>
      </c>
      <c r="AY4640" s="498">
        <f t="shared" si="1607"/>
        <v>0</v>
      </c>
      <c r="BB4640" s="498" t="str">
        <f t="shared" si="1608"/>
        <v/>
      </c>
      <c r="BC4640" s="743" t="str">
        <f t="shared" si="1609"/>
        <v/>
      </c>
      <c r="BD4640" s="743" t="str">
        <f t="shared" si="1610"/>
        <v/>
      </c>
      <c r="BE4640" s="743" t="str">
        <f>IF(D4640="","",VLOOKUP(D4640,'General Basis'!$J$39:$K$46,2,0))</f>
        <v/>
      </c>
      <c r="BF4640" s="744" t="str">
        <f>IF(D4640="","",VLOOKUP(D4640,'General Basis'!$J$39:$L$46,3,0))</f>
        <v/>
      </c>
      <c r="BG4640" s="744" t="str">
        <f t="shared" si="1617"/>
        <v/>
      </c>
      <c r="BH4640" s="744" t="str">
        <f>IF(G4640="","",IF(BF4640="Abu Dhabi",IF(G4640&lt;18,'General Basis'!$C$39,IF(G4640&lt;41,'General Basis'!$C$40,IF(G4640&lt;60,'General Basis'!$C$41,IF(G4640&lt;65,'General Basis'!$C$42,'General Basis'!$C$43)))),IF(G4640&lt;11,'General Basis'!$B$39,IF(G4640&lt;18,'General Basis'!$B$40,IF(G4640&lt;26,'General Basis'!$B$41,IF(G4640&lt;31,'General Basis'!$B$42,IF(G4640&lt;36,'General Basis'!$B$43,IF(G4640&lt;41,'General Basis'!$B$44,IF(G4640&lt;46,'General Basis'!$B$45,IF(G4640&lt;51,'General Basis'!$B$46,IF(G4640&lt;56,'General Basis'!$B$47,IF(G4640&lt;60,'General Basis'!$B$48,IF(G4640&lt;65,'General Basis'!$B$49,'General Basis'!$B$50)))))))))))))</f>
        <v/>
      </c>
      <c r="BI4640" s="744" t="str">
        <f t="shared" si="1611"/>
        <v/>
      </c>
      <c r="BJ4640" s="747" t="str">
        <f t="shared" si="1618"/>
        <v/>
      </c>
      <c r="BK4640" s="498" t="str">
        <f t="shared" si="1612"/>
        <v/>
      </c>
      <c r="BL4640" s="498" t="str">
        <f t="shared" si="1613"/>
        <v/>
      </c>
    </row>
    <row r="4641" spans="1:64" x14ac:dyDescent="0.25">
      <c r="A4641" s="762">
        <f t="shared" si="1614"/>
        <v>4636</v>
      </c>
      <c r="B4641" s="229"/>
      <c r="C4641" s="223"/>
      <c r="D4641" s="224"/>
      <c r="E4641" s="225"/>
      <c r="F4641" s="1036" t="str">
        <f t="shared" si="1620"/>
        <v/>
      </c>
      <c r="G4641" s="1037" t="str">
        <f t="shared" si="1615"/>
        <v/>
      </c>
      <c r="H4641" s="225"/>
      <c r="I4641" s="1013"/>
      <c r="J4641" s="1013"/>
      <c r="K4641" s="1028"/>
      <c r="L4641" s="1035" t="str">
        <f t="shared" si="1619"/>
        <v/>
      </c>
      <c r="S4641" s="498"/>
      <c r="AJ4641" s="498"/>
      <c r="AM4641" s="498">
        <f t="shared" si="1600"/>
        <v>0</v>
      </c>
      <c r="AN4641" s="498">
        <f t="shared" si="1601"/>
        <v>0</v>
      </c>
      <c r="AO4641" s="498">
        <f t="shared" si="1602"/>
        <v>0</v>
      </c>
      <c r="AP4641" s="498">
        <f t="shared" si="1621"/>
        <v>0</v>
      </c>
      <c r="AQ4641" s="498">
        <f t="shared" si="1616"/>
        <v>0</v>
      </c>
      <c r="AU4641" s="498">
        <f t="shared" si="1603"/>
        <v>0</v>
      </c>
      <c r="AV4641" s="498">
        <f t="shared" si="1604"/>
        <v>0</v>
      </c>
      <c r="AW4641" s="498">
        <f t="shared" si="1605"/>
        <v>0</v>
      </c>
      <c r="AX4641" s="498">
        <f t="shared" si="1606"/>
        <v>0</v>
      </c>
      <c r="AY4641" s="498">
        <f t="shared" si="1607"/>
        <v>0</v>
      </c>
      <c r="BB4641" s="498" t="str">
        <f t="shared" si="1608"/>
        <v/>
      </c>
      <c r="BC4641" s="743" t="str">
        <f t="shared" si="1609"/>
        <v/>
      </c>
      <c r="BD4641" s="743" t="str">
        <f t="shared" si="1610"/>
        <v/>
      </c>
      <c r="BE4641" s="743" t="str">
        <f>IF(D4641="","",VLOOKUP(D4641,'General Basis'!$J$39:$K$46,2,0))</f>
        <v/>
      </c>
      <c r="BF4641" s="744" t="str">
        <f>IF(D4641="","",VLOOKUP(D4641,'General Basis'!$J$39:$L$46,3,0))</f>
        <v/>
      </c>
      <c r="BG4641" s="744" t="str">
        <f t="shared" si="1617"/>
        <v/>
      </c>
      <c r="BH4641" s="744" t="str">
        <f>IF(G4641="","",IF(BF4641="Abu Dhabi",IF(G4641&lt;18,'General Basis'!$C$39,IF(G4641&lt;41,'General Basis'!$C$40,IF(G4641&lt;60,'General Basis'!$C$41,IF(G4641&lt;65,'General Basis'!$C$42,'General Basis'!$C$43)))),IF(G4641&lt;11,'General Basis'!$B$39,IF(G4641&lt;18,'General Basis'!$B$40,IF(G4641&lt;26,'General Basis'!$B$41,IF(G4641&lt;31,'General Basis'!$B$42,IF(G4641&lt;36,'General Basis'!$B$43,IF(G4641&lt;41,'General Basis'!$B$44,IF(G4641&lt;46,'General Basis'!$B$45,IF(G4641&lt;51,'General Basis'!$B$46,IF(G4641&lt;56,'General Basis'!$B$47,IF(G4641&lt;60,'General Basis'!$B$48,IF(G4641&lt;65,'General Basis'!$B$49,'General Basis'!$B$50)))))))))))))</f>
        <v/>
      </c>
      <c r="BI4641" s="744" t="str">
        <f t="shared" si="1611"/>
        <v/>
      </c>
      <c r="BJ4641" s="747" t="str">
        <f t="shared" si="1618"/>
        <v/>
      </c>
      <c r="BK4641" s="498" t="str">
        <f t="shared" si="1612"/>
        <v/>
      </c>
      <c r="BL4641" s="498" t="str">
        <f t="shared" si="1613"/>
        <v/>
      </c>
    </row>
    <row r="4642" spans="1:64" x14ac:dyDescent="0.25">
      <c r="A4642" s="762">
        <f t="shared" si="1614"/>
        <v>4637</v>
      </c>
      <c r="B4642" s="229"/>
      <c r="C4642" s="223"/>
      <c r="D4642" s="224"/>
      <c r="E4642" s="225"/>
      <c r="F4642" s="1036" t="str">
        <f t="shared" si="1620"/>
        <v/>
      </c>
      <c r="G4642" s="1037" t="str">
        <f t="shared" si="1615"/>
        <v/>
      </c>
      <c r="H4642" s="225"/>
      <c r="I4642" s="1013"/>
      <c r="J4642" s="1013"/>
      <c r="K4642" s="1028"/>
      <c r="L4642" s="1035" t="str">
        <f t="shared" si="1619"/>
        <v/>
      </c>
      <c r="S4642" s="498"/>
      <c r="AJ4642" s="498"/>
      <c r="AM4642" s="498">
        <f t="shared" si="1600"/>
        <v>0</v>
      </c>
      <c r="AN4642" s="498">
        <f t="shared" si="1601"/>
        <v>0</v>
      </c>
      <c r="AO4642" s="498">
        <f t="shared" si="1602"/>
        <v>0</v>
      </c>
      <c r="AP4642" s="498">
        <f t="shared" si="1621"/>
        <v>0</v>
      </c>
      <c r="AQ4642" s="498">
        <f t="shared" si="1616"/>
        <v>0</v>
      </c>
      <c r="AU4642" s="498">
        <f t="shared" si="1603"/>
        <v>0</v>
      </c>
      <c r="AV4642" s="498">
        <f t="shared" si="1604"/>
        <v>0</v>
      </c>
      <c r="AW4642" s="498">
        <f t="shared" si="1605"/>
        <v>0</v>
      </c>
      <c r="AX4642" s="498">
        <f t="shared" si="1606"/>
        <v>0</v>
      </c>
      <c r="AY4642" s="498">
        <f t="shared" si="1607"/>
        <v>0</v>
      </c>
      <c r="BB4642" s="498" t="str">
        <f t="shared" si="1608"/>
        <v/>
      </c>
      <c r="BC4642" s="743" t="str">
        <f t="shared" si="1609"/>
        <v/>
      </c>
      <c r="BD4642" s="743" t="str">
        <f t="shared" si="1610"/>
        <v/>
      </c>
      <c r="BE4642" s="743" t="str">
        <f>IF(D4642="","",VLOOKUP(D4642,'General Basis'!$J$39:$K$46,2,0))</f>
        <v/>
      </c>
      <c r="BF4642" s="744" t="str">
        <f>IF(D4642="","",VLOOKUP(D4642,'General Basis'!$J$39:$L$46,3,0))</f>
        <v/>
      </c>
      <c r="BG4642" s="744" t="str">
        <f t="shared" si="1617"/>
        <v/>
      </c>
      <c r="BH4642" s="744" t="str">
        <f>IF(G4642="","",IF(BF4642="Abu Dhabi",IF(G4642&lt;18,'General Basis'!$C$39,IF(G4642&lt;41,'General Basis'!$C$40,IF(G4642&lt;60,'General Basis'!$C$41,IF(G4642&lt;65,'General Basis'!$C$42,'General Basis'!$C$43)))),IF(G4642&lt;11,'General Basis'!$B$39,IF(G4642&lt;18,'General Basis'!$B$40,IF(G4642&lt;26,'General Basis'!$B$41,IF(G4642&lt;31,'General Basis'!$B$42,IF(G4642&lt;36,'General Basis'!$B$43,IF(G4642&lt;41,'General Basis'!$B$44,IF(G4642&lt;46,'General Basis'!$B$45,IF(G4642&lt;51,'General Basis'!$B$46,IF(G4642&lt;56,'General Basis'!$B$47,IF(G4642&lt;60,'General Basis'!$B$48,IF(G4642&lt;65,'General Basis'!$B$49,'General Basis'!$B$50)))))))))))))</f>
        <v/>
      </c>
      <c r="BI4642" s="744" t="str">
        <f t="shared" si="1611"/>
        <v/>
      </c>
      <c r="BJ4642" s="747" t="str">
        <f t="shared" si="1618"/>
        <v/>
      </c>
      <c r="BK4642" s="498" t="str">
        <f t="shared" si="1612"/>
        <v/>
      </c>
      <c r="BL4642" s="498" t="str">
        <f t="shared" si="1613"/>
        <v/>
      </c>
    </row>
    <row r="4643" spans="1:64" x14ac:dyDescent="0.25">
      <c r="A4643" s="762">
        <f t="shared" si="1614"/>
        <v>4638</v>
      </c>
      <c r="B4643" s="229"/>
      <c r="C4643" s="223"/>
      <c r="D4643" s="224"/>
      <c r="E4643" s="225"/>
      <c r="F4643" s="1036" t="str">
        <f t="shared" si="1620"/>
        <v/>
      </c>
      <c r="G4643" s="1037" t="str">
        <f t="shared" si="1615"/>
        <v/>
      </c>
      <c r="H4643" s="225"/>
      <c r="I4643" s="1013"/>
      <c r="J4643" s="1013"/>
      <c r="K4643" s="1028"/>
      <c r="L4643" s="1035" t="str">
        <f t="shared" si="1619"/>
        <v/>
      </c>
      <c r="S4643" s="498"/>
      <c r="AJ4643" s="498"/>
      <c r="AM4643" s="498">
        <f t="shared" si="1600"/>
        <v>0</v>
      </c>
      <c r="AN4643" s="498">
        <f t="shared" si="1601"/>
        <v>0</v>
      </c>
      <c r="AO4643" s="498">
        <f t="shared" si="1602"/>
        <v>0</v>
      </c>
      <c r="AP4643" s="498">
        <f t="shared" si="1621"/>
        <v>0</v>
      </c>
      <c r="AQ4643" s="498">
        <f t="shared" si="1616"/>
        <v>0</v>
      </c>
      <c r="AU4643" s="498">
        <f t="shared" si="1603"/>
        <v>0</v>
      </c>
      <c r="AV4643" s="498">
        <f t="shared" si="1604"/>
        <v>0</v>
      </c>
      <c r="AW4643" s="498">
        <f t="shared" si="1605"/>
        <v>0</v>
      </c>
      <c r="AX4643" s="498">
        <f t="shared" si="1606"/>
        <v>0</v>
      </c>
      <c r="AY4643" s="498">
        <f t="shared" si="1607"/>
        <v>0</v>
      </c>
      <c r="BB4643" s="498" t="str">
        <f t="shared" si="1608"/>
        <v/>
      </c>
      <c r="BC4643" s="743" t="str">
        <f t="shared" si="1609"/>
        <v/>
      </c>
      <c r="BD4643" s="743" t="str">
        <f t="shared" si="1610"/>
        <v/>
      </c>
      <c r="BE4643" s="743" t="str">
        <f>IF(D4643="","",VLOOKUP(D4643,'General Basis'!$J$39:$K$46,2,0))</f>
        <v/>
      </c>
      <c r="BF4643" s="744" t="str">
        <f>IF(D4643="","",VLOOKUP(D4643,'General Basis'!$J$39:$L$46,3,0))</f>
        <v/>
      </c>
      <c r="BG4643" s="744" t="str">
        <f t="shared" si="1617"/>
        <v/>
      </c>
      <c r="BH4643" s="744" t="str">
        <f>IF(G4643="","",IF(BF4643="Abu Dhabi",IF(G4643&lt;18,'General Basis'!$C$39,IF(G4643&lt;41,'General Basis'!$C$40,IF(G4643&lt;60,'General Basis'!$C$41,IF(G4643&lt;65,'General Basis'!$C$42,'General Basis'!$C$43)))),IF(G4643&lt;11,'General Basis'!$B$39,IF(G4643&lt;18,'General Basis'!$B$40,IF(G4643&lt;26,'General Basis'!$B$41,IF(G4643&lt;31,'General Basis'!$B$42,IF(G4643&lt;36,'General Basis'!$B$43,IF(G4643&lt;41,'General Basis'!$B$44,IF(G4643&lt;46,'General Basis'!$B$45,IF(G4643&lt;51,'General Basis'!$B$46,IF(G4643&lt;56,'General Basis'!$B$47,IF(G4643&lt;60,'General Basis'!$B$48,IF(G4643&lt;65,'General Basis'!$B$49,'General Basis'!$B$50)))))))))))))</f>
        <v/>
      </c>
      <c r="BI4643" s="744" t="str">
        <f t="shared" si="1611"/>
        <v/>
      </c>
      <c r="BJ4643" s="747" t="str">
        <f t="shared" si="1618"/>
        <v/>
      </c>
      <c r="BK4643" s="498" t="str">
        <f t="shared" si="1612"/>
        <v/>
      </c>
      <c r="BL4643" s="498" t="str">
        <f t="shared" si="1613"/>
        <v/>
      </c>
    </row>
    <row r="4644" spans="1:64" x14ac:dyDescent="0.25">
      <c r="A4644" s="762">
        <f t="shared" si="1614"/>
        <v>4639</v>
      </c>
      <c r="B4644" s="229"/>
      <c r="C4644" s="223"/>
      <c r="D4644" s="224"/>
      <c r="E4644" s="225"/>
      <c r="F4644" s="1036" t="str">
        <f t="shared" si="1620"/>
        <v/>
      </c>
      <c r="G4644" s="1037" t="str">
        <f t="shared" si="1615"/>
        <v/>
      </c>
      <c r="H4644" s="225"/>
      <c r="I4644" s="1013"/>
      <c r="J4644" s="1013"/>
      <c r="K4644" s="1028"/>
      <c r="L4644" s="1035" t="str">
        <f t="shared" si="1619"/>
        <v/>
      </c>
      <c r="S4644" s="498"/>
      <c r="AJ4644" s="498"/>
      <c r="AM4644" s="498">
        <f t="shared" si="1600"/>
        <v>0</v>
      </c>
      <c r="AN4644" s="498">
        <f t="shared" si="1601"/>
        <v>0</v>
      </c>
      <c r="AO4644" s="498">
        <f t="shared" si="1602"/>
        <v>0</v>
      </c>
      <c r="AP4644" s="498">
        <f t="shared" si="1621"/>
        <v>0</v>
      </c>
      <c r="AQ4644" s="498">
        <f t="shared" si="1616"/>
        <v>0</v>
      </c>
      <c r="AU4644" s="498">
        <f t="shared" si="1603"/>
        <v>0</v>
      </c>
      <c r="AV4644" s="498">
        <f t="shared" si="1604"/>
        <v>0</v>
      </c>
      <c r="AW4644" s="498">
        <f t="shared" si="1605"/>
        <v>0</v>
      </c>
      <c r="AX4644" s="498">
        <f t="shared" si="1606"/>
        <v>0</v>
      </c>
      <c r="AY4644" s="498">
        <f t="shared" si="1607"/>
        <v>0</v>
      </c>
      <c r="BB4644" s="498" t="str">
        <f t="shared" si="1608"/>
        <v/>
      </c>
      <c r="BC4644" s="743" t="str">
        <f t="shared" si="1609"/>
        <v/>
      </c>
      <c r="BD4644" s="743" t="str">
        <f t="shared" si="1610"/>
        <v/>
      </c>
      <c r="BE4644" s="743" t="str">
        <f>IF(D4644="","",VLOOKUP(D4644,'General Basis'!$J$39:$K$46,2,0))</f>
        <v/>
      </c>
      <c r="BF4644" s="744" t="str">
        <f>IF(D4644="","",VLOOKUP(D4644,'General Basis'!$J$39:$L$46,3,0))</f>
        <v/>
      </c>
      <c r="BG4644" s="744" t="str">
        <f t="shared" si="1617"/>
        <v/>
      </c>
      <c r="BH4644" s="744" t="str">
        <f>IF(G4644="","",IF(BF4644="Abu Dhabi",IF(G4644&lt;18,'General Basis'!$C$39,IF(G4644&lt;41,'General Basis'!$C$40,IF(G4644&lt;60,'General Basis'!$C$41,IF(G4644&lt;65,'General Basis'!$C$42,'General Basis'!$C$43)))),IF(G4644&lt;11,'General Basis'!$B$39,IF(G4644&lt;18,'General Basis'!$B$40,IF(G4644&lt;26,'General Basis'!$B$41,IF(G4644&lt;31,'General Basis'!$B$42,IF(G4644&lt;36,'General Basis'!$B$43,IF(G4644&lt;41,'General Basis'!$B$44,IF(G4644&lt;46,'General Basis'!$B$45,IF(G4644&lt;51,'General Basis'!$B$46,IF(G4644&lt;56,'General Basis'!$B$47,IF(G4644&lt;60,'General Basis'!$B$48,IF(G4644&lt;65,'General Basis'!$B$49,'General Basis'!$B$50)))))))))))))</f>
        <v/>
      </c>
      <c r="BI4644" s="744" t="str">
        <f t="shared" si="1611"/>
        <v/>
      </c>
      <c r="BJ4644" s="747" t="str">
        <f t="shared" si="1618"/>
        <v/>
      </c>
      <c r="BK4644" s="498" t="str">
        <f t="shared" si="1612"/>
        <v/>
      </c>
      <c r="BL4644" s="498" t="str">
        <f t="shared" si="1613"/>
        <v/>
      </c>
    </row>
    <row r="4645" spans="1:64" x14ac:dyDescent="0.25">
      <c r="A4645" s="762">
        <f t="shared" si="1614"/>
        <v>4640</v>
      </c>
      <c r="B4645" s="229"/>
      <c r="C4645" s="223"/>
      <c r="D4645" s="224"/>
      <c r="E4645" s="225"/>
      <c r="F4645" s="1036" t="str">
        <f t="shared" si="1620"/>
        <v/>
      </c>
      <c r="G4645" s="1037" t="str">
        <f t="shared" si="1615"/>
        <v/>
      </c>
      <c r="H4645" s="225"/>
      <c r="I4645" s="1013"/>
      <c r="J4645" s="1013"/>
      <c r="K4645" s="1028"/>
      <c r="L4645" s="1035" t="str">
        <f t="shared" si="1619"/>
        <v/>
      </c>
      <c r="S4645" s="498"/>
      <c r="AJ4645" s="498"/>
      <c r="AM4645" s="498">
        <f t="shared" si="1600"/>
        <v>0</v>
      </c>
      <c r="AN4645" s="498">
        <f t="shared" si="1601"/>
        <v>0</v>
      </c>
      <c r="AO4645" s="498">
        <f t="shared" si="1602"/>
        <v>0</v>
      </c>
      <c r="AP4645" s="498">
        <f t="shared" si="1621"/>
        <v>0</v>
      </c>
      <c r="AQ4645" s="498">
        <f t="shared" si="1616"/>
        <v>0</v>
      </c>
      <c r="AU4645" s="498">
        <f t="shared" si="1603"/>
        <v>0</v>
      </c>
      <c r="AV4645" s="498">
        <f t="shared" si="1604"/>
        <v>0</v>
      </c>
      <c r="AW4645" s="498">
        <f t="shared" si="1605"/>
        <v>0</v>
      </c>
      <c r="AX4645" s="498">
        <f t="shared" si="1606"/>
        <v>0</v>
      </c>
      <c r="AY4645" s="498">
        <f t="shared" si="1607"/>
        <v>0</v>
      </c>
      <c r="BB4645" s="498" t="str">
        <f t="shared" si="1608"/>
        <v/>
      </c>
      <c r="BC4645" s="743" t="str">
        <f t="shared" si="1609"/>
        <v/>
      </c>
      <c r="BD4645" s="743" t="str">
        <f t="shared" si="1610"/>
        <v/>
      </c>
      <c r="BE4645" s="743" t="str">
        <f>IF(D4645="","",VLOOKUP(D4645,'General Basis'!$J$39:$K$46,2,0))</f>
        <v/>
      </c>
      <c r="BF4645" s="744" t="str">
        <f>IF(D4645="","",VLOOKUP(D4645,'General Basis'!$J$39:$L$46,3,0))</f>
        <v/>
      </c>
      <c r="BG4645" s="744" t="str">
        <f t="shared" si="1617"/>
        <v/>
      </c>
      <c r="BH4645" s="744" t="str">
        <f>IF(G4645="","",IF(BF4645="Abu Dhabi",IF(G4645&lt;18,'General Basis'!$C$39,IF(G4645&lt;41,'General Basis'!$C$40,IF(G4645&lt;60,'General Basis'!$C$41,IF(G4645&lt;65,'General Basis'!$C$42,'General Basis'!$C$43)))),IF(G4645&lt;11,'General Basis'!$B$39,IF(G4645&lt;18,'General Basis'!$B$40,IF(G4645&lt;26,'General Basis'!$B$41,IF(G4645&lt;31,'General Basis'!$B$42,IF(G4645&lt;36,'General Basis'!$B$43,IF(G4645&lt;41,'General Basis'!$B$44,IF(G4645&lt;46,'General Basis'!$B$45,IF(G4645&lt;51,'General Basis'!$B$46,IF(G4645&lt;56,'General Basis'!$B$47,IF(G4645&lt;60,'General Basis'!$B$48,IF(G4645&lt;65,'General Basis'!$B$49,'General Basis'!$B$50)))))))))))))</f>
        <v/>
      </c>
      <c r="BI4645" s="744" t="str">
        <f t="shared" si="1611"/>
        <v/>
      </c>
      <c r="BJ4645" s="747" t="str">
        <f t="shared" si="1618"/>
        <v/>
      </c>
      <c r="BK4645" s="498" t="str">
        <f t="shared" si="1612"/>
        <v/>
      </c>
      <c r="BL4645" s="498" t="str">
        <f t="shared" si="1613"/>
        <v/>
      </c>
    </row>
    <row r="4646" spans="1:64" x14ac:dyDescent="0.25">
      <c r="A4646" s="762">
        <f t="shared" si="1614"/>
        <v>4641</v>
      </c>
      <c r="B4646" s="229"/>
      <c r="C4646" s="223"/>
      <c r="D4646" s="224"/>
      <c r="E4646" s="225"/>
      <c r="F4646" s="1036" t="str">
        <f t="shared" si="1620"/>
        <v/>
      </c>
      <c r="G4646" s="1037" t="str">
        <f t="shared" si="1615"/>
        <v/>
      </c>
      <c r="H4646" s="225"/>
      <c r="I4646" s="1013"/>
      <c r="J4646" s="1013"/>
      <c r="K4646" s="1028"/>
      <c r="L4646" s="1035" t="str">
        <f t="shared" si="1619"/>
        <v/>
      </c>
      <c r="S4646" s="498"/>
      <c r="AJ4646" s="498"/>
      <c r="AM4646" s="498">
        <f t="shared" si="1600"/>
        <v>0</v>
      </c>
      <c r="AN4646" s="498">
        <f t="shared" si="1601"/>
        <v>0</v>
      </c>
      <c r="AO4646" s="498">
        <f t="shared" si="1602"/>
        <v>0</v>
      </c>
      <c r="AP4646" s="498">
        <f t="shared" si="1621"/>
        <v>0</v>
      </c>
      <c r="AQ4646" s="498">
        <f t="shared" si="1616"/>
        <v>0</v>
      </c>
      <c r="AU4646" s="498">
        <f t="shared" si="1603"/>
        <v>0</v>
      </c>
      <c r="AV4646" s="498">
        <f t="shared" si="1604"/>
        <v>0</v>
      </c>
      <c r="AW4646" s="498">
        <f t="shared" si="1605"/>
        <v>0</v>
      </c>
      <c r="AX4646" s="498">
        <f t="shared" si="1606"/>
        <v>0</v>
      </c>
      <c r="AY4646" s="498">
        <f t="shared" si="1607"/>
        <v>0</v>
      </c>
      <c r="BB4646" s="498" t="str">
        <f t="shared" si="1608"/>
        <v/>
      </c>
      <c r="BC4646" s="743" t="str">
        <f t="shared" si="1609"/>
        <v/>
      </c>
      <c r="BD4646" s="743" t="str">
        <f t="shared" si="1610"/>
        <v/>
      </c>
      <c r="BE4646" s="743" t="str">
        <f>IF(D4646="","",VLOOKUP(D4646,'General Basis'!$J$39:$K$46,2,0))</f>
        <v/>
      </c>
      <c r="BF4646" s="744" t="str">
        <f>IF(D4646="","",VLOOKUP(D4646,'General Basis'!$J$39:$L$46,3,0))</f>
        <v/>
      </c>
      <c r="BG4646" s="744" t="str">
        <f t="shared" si="1617"/>
        <v/>
      </c>
      <c r="BH4646" s="744" t="str">
        <f>IF(G4646="","",IF(BF4646="Abu Dhabi",IF(G4646&lt;18,'General Basis'!$C$39,IF(G4646&lt;41,'General Basis'!$C$40,IF(G4646&lt;60,'General Basis'!$C$41,IF(G4646&lt;65,'General Basis'!$C$42,'General Basis'!$C$43)))),IF(G4646&lt;11,'General Basis'!$B$39,IF(G4646&lt;18,'General Basis'!$B$40,IF(G4646&lt;26,'General Basis'!$B$41,IF(G4646&lt;31,'General Basis'!$B$42,IF(G4646&lt;36,'General Basis'!$B$43,IF(G4646&lt;41,'General Basis'!$B$44,IF(G4646&lt;46,'General Basis'!$B$45,IF(G4646&lt;51,'General Basis'!$B$46,IF(G4646&lt;56,'General Basis'!$B$47,IF(G4646&lt;60,'General Basis'!$B$48,IF(G4646&lt;65,'General Basis'!$B$49,'General Basis'!$B$50)))))))))))))</f>
        <v/>
      </c>
      <c r="BI4646" s="744" t="str">
        <f t="shared" si="1611"/>
        <v/>
      </c>
      <c r="BJ4646" s="747" t="str">
        <f t="shared" si="1618"/>
        <v/>
      </c>
      <c r="BK4646" s="498" t="str">
        <f t="shared" si="1612"/>
        <v/>
      </c>
      <c r="BL4646" s="498" t="str">
        <f t="shared" si="1613"/>
        <v/>
      </c>
    </row>
    <row r="4647" spans="1:64" x14ac:dyDescent="0.25">
      <c r="A4647" s="762">
        <f t="shared" si="1614"/>
        <v>4642</v>
      </c>
      <c r="B4647" s="229"/>
      <c r="C4647" s="223"/>
      <c r="D4647" s="224"/>
      <c r="E4647" s="225"/>
      <c r="F4647" s="1036" t="str">
        <f t="shared" si="1620"/>
        <v/>
      </c>
      <c r="G4647" s="1037" t="str">
        <f t="shared" si="1615"/>
        <v/>
      </c>
      <c r="H4647" s="225"/>
      <c r="I4647" s="1013"/>
      <c r="J4647" s="1013"/>
      <c r="K4647" s="1028"/>
      <c r="L4647" s="1035" t="str">
        <f t="shared" si="1619"/>
        <v/>
      </c>
      <c r="S4647" s="498"/>
      <c r="AJ4647" s="498"/>
      <c r="AM4647" s="498">
        <f t="shared" si="1600"/>
        <v>0</v>
      </c>
      <c r="AN4647" s="498">
        <f t="shared" si="1601"/>
        <v>0</v>
      </c>
      <c r="AO4647" s="498">
        <f t="shared" si="1602"/>
        <v>0</v>
      </c>
      <c r="AP4647" s="498">
        <f t="shared" si="1621"/>
        <v>0</v>
      </c>
      <c r="AQ4647" s="498">
        <f t="shared" si="1616"/>
        <v>0</v>
      </c>
      <c r="AU4647" s="498">
        <f t="shared" si="1603"/>
        <v>0</v>
      </c>
      <c r="AV4647" s="498">
        <f t="shared" si="1604"/>
        <v>0</v>
      </c>
      <c r="AW4647" s="498">
        <f t="shared" si="1605"/>
        <v>0</v>
      </c>
      <c r="AX4647" s="498">
        <f t="shared" si="1606"/>
        <v>0</v>
      </c>
      <c r="AY4647" s="498">
        <f t="shared" si="1607"/>
        <v>0</v>
      </c>
      <c r="BB4647" s="498" t="str">
        <f t="shared" si="1608"/>
        <v/>
      </c>
      <c r="BC4647" s="743" t="str">
        <f t="shared" si="1609"/>
        <v/>
      </c>
      <c r="BD4647" s="743" t="str">
        <f t="shared" si="1610"/>
        <v/>
      </c>
      <c r="BE4647" s="743" t="str">
        <f>IF(D4647="","",VLOOKUP(D4647,'General Basis'!$J$39:$K$46,2,0))</f>
        <v/>
      </c>
      <c r="BF4647" s="744" t="str">
        <f>IF(D4647="","",VLOOKUP(D4647,'General Basis'!$J$39:$L$46,3,0))</f>
        <v/>
      </c>
      <c r="BG4647" s="744" t="str">
        <f t="shared" si="1617"/>
        <v/>
      </c>
      <c r="BH4647" s="744" t="str">
        <f>IF(G4647="","",IF(BF4647="Abu Dhabi",IF(G4647&lt;18,'General Basis'!$C$39,IF(G4647&lt;41,'General Basis'!$C$40,IF(G4647&lt;60,'General Basis'!$C$41,IF(G4647&lt;65,'General Basis'!$C$42,'General Basis'!$C$43)))),IF(G4647&lt;11,'General Basis'!$B$39,IF(G4647&lt;18,'General Basis'!$B$40,IF(G4647&lt;26,'General Basis'!$B$41,IF(G4647&lt;31,'General Basis'!$B$42,IF(G4647&lt;36,'General Basis'!$B$43,IF(G4647&lt;41,'General Basis'!$B$44,IF(G4647&lt;46,'General Basis'!$B$45,IF(G4647&lt;51,'General Basis'!$B$46,IF(G4647&lt;56,'General Basis'!$B$47,IF(G4647&lt;60,'General Basis'!$B$48,IF(G4647&lt;65,'General Basis'!$B$49,'General Basis'!$B$50)))))))))))))</f>
        <v/>
      </c>
      <c r="BI4647" s="744" t="str">
        <f t="shared" si="1611"/>
        <v/>
      </c>
      <c r="BJ4647" s="747" t="str">
        <f t="shared" si="1618"/>
        <v/>
      </c>
      <c r="BK4647" s="498" t="str">
        <f t="shared" si="1612"/>
        <v/>
      </c>
      <c r="BL4647" s="498" t="str">
        <f t="shared" si="1613"/>
        <v/>
      </c>
    </row>
    <row r="4648" spans="1:64" x14ac:dyDescent="0.25">
      <c r="A4648" s="762">
        <f t="shared" si="1614"/>
        <v>4643</v>
      </c>
      <c r="B4648" s="229"/>
      <c r="C4648" s="223"/>
      <c r="D4648" s="224"/>
      <c r="E4648" s="225"/>
      <c r="F4648" s="1036" t="str">
        <f t="shared" si="1620"/>
        <v/>
      </c>
      <c r="G4648" s="1037" t="str">
        <f t="shared" si="1615"/>
        <v/>
      </c>
      <c r="H4648" s="225"/>
      <c r="I4648" s="1013"/>
      <c r="J4648" s="1013"/>
      <c r="K4648" s="1028"/>
      <c r="L4648" s="1035" t="str">
        <f t="shared" si="1619"/>
        <v/>
      </c>
      <c r="S4648" s="498"/>
      <c r="AJ4648" s="498"/>
      <c r="AM4648" s="498">
        <f t="shared" si="1600"/>
        <v>0</v>
      </c>
      <c r="AN4648" s="498">
        <f t="shared" si="1601"/>
        <v>0</v>
      </c>
      <c r="AO4648" s="498">
        <f t="shared" si="1602"/>
        <v>0</v>
      </c>
      <c r="AP4648" s="498">
        <f t="shared" si="1621"/>
        <v>0</v>
      </c>
      <c r="AQ4648" s="498">
        <f t="shared" si="1616"/>
        <v>0</v>
      </c>
      <c r="AU4648" s="498">
        <f t="shared" si="1603"/>
        <v>0</v>
      </c>
      <c r="AV4648" s="498">
        <f t="shared" si="1604"/>
        <v>0</v>
      </c>
      <c r="AW4648" s="498">
        <f t="shared" si="1605"/>
        <v>0</v>
      </c>
      <c r="AX4648" s="498">
        <f t="shared" si="1606"/>
        <v>0</v>
      </c>
      <c r="AY4648" s="498">
        <f t="shared" si="1607"/>
        <v>0</v>
      </c>
      <c r="BB4648" s="498" t="str">
        <f t="shared" si="1608"/>
        <v/>
      </c>
      <c r="BC4648" s="743" t="str">
        <f t="shared" si="1609"/>
        <v/>
      </c>
      <c r="BD4648" s="743" t="str">
        <f t="shared" si="1610"/>
        <v/>
      </c>
      <c r="BE4648" s="743" t="str">
        <f>IF(D4648="","",VLOOKUP(D4648,'General Basis'!$J$39:$K$46,2,0))</f>
        <v/>
      </c>
      <c r="BF4648" s="744" t="str">
        <f>IF(D4648="","",VLOOKUP(D4648,'General Basis'!$J$39:$L$46,3,0))</f>
        <v/>
      </c>
      <c r="BG4648" s="744" t="str">
        <f t="shared" si="1617"/>
        <v/>
      </c>
      <c r="BH4648" s="744" t="str">
        <f>IF(G4648="","",IF(BF4648="Abu Dhabi",IF(G4648&lt;18,'General Basis'!$C$39,IF(G4648&lt;41,'General Basis'!$C$40,IF(G4648&lt;60,'General Basis'!$C$41,IF(G4648&lt;65,'General Basis'!$C$42,'General Basis'!$C$43)))),IF(G4648&lt;11,'General Basis'!$B$39,IF(G4648&lt;18,'General Basis'!$B$40,IF(G4648&lt;26,'General Basis'!$B$41,IF(G4648&lt;31,'General Basis'!$B$42,IF(G4648&lt;36,'General Basis'!$B$43,IF(G4648&lt;41,'General Basis'!$B$44,IF(G4648&lt;46,'General Basis'!$B$45,IF(G4648&lt;51,'General Basis'!$B$46,IF(G4648&lt;56,'General Basis'!$B$47,IF(G4648&lt;60,'General Basis'!$B$48,IF(G4648&lt;65,'General Basis'!$B$49,'General Basis'!$B$50)))))))))))))</f>
        <v/>
      </c>
      <c r="BI4648" s="744" t="str">
        <f t="shared" si="1611"/>
        <v/>
      </c>
      <c r="BJ4648" s="747" t="str">
        <f t="shared" si="1618"/>
        <v/>
      </c>
      <c r="BK4648" s="498" t="str">
        <f t="shared" si="1612"/>
        <v/>
      </c>
      <c r="BL4648" s="498" t="str">
        <f t="shared" si="1613"/>
        <v/>
      </c>
    </row>
    <row r="4649" spans="1:64" x14ac:dyDescent="0.25">
      <c r="A4649" s="762">
        <f t="shared" si="1614"/>
        <v>4644</v>
      </c>
      <c r="B4649" s="229"/>
      <c r="C4649" s="223"/>
      <c r="D4649" s="224"/>
      <c r="E4649" s="225"/>
      <c r="F4649" s="1036" t="str">
        <f t="shared" si="1620"/>
        <v/>
      </c>
      <c r="G4649" s="1037" t="str">
        <f t="shared" si="1615"/>
        <v/>
      </c>
      <c r="H4649" s="225"/>
      <c r="I4649" s="1013"/>
      <c r="J4649" s="1013"/>
      <c r="K4649" s="1028"/>
      <c r="L4649" s="1035" t="str">
        <f t="shared" si="1619"/>
        <v/>
      </c>
      <c r="S4649" s="498"/>
      <c r="AJ4649" s="498"/>
      <c r="AM4649" s="498">
        <f t="shared" si="1600"/>
        <v>0</v>
      </c>
      <c r="AN4649" s="498">
        <f t="shared" si="1601"/>
        <v>0</v>
      </c>
      <c r="AO4649" s="498">
        <f t="shared" si="1602"/>
        <v>0</v>
      </c>
      <c r="AP4649" s="498">
        <f t="shared" si="1621"/>
        <v>0</v>
      </c>
      <c r="AQ4649" s="498">
        <f t="shared" si="1616"/>
        <v>0</v>
      </c>
      <c r="AU4649" s="498">
        <f t="shared" si="1603"/>
        <v>0</v>
      </c>
      <c r="AV4649" s="498">
        <f t="shared" si="1604"/>
        <v>0</v>
      </c>
      <c r="AW4649" s="498">
        <f t="shared" si="1605"/>
        <v>0</v>
      </c>
      <c r="AX4649" s="498">
        <f t="shared" si="1606"/>
        <v>0</v>
      </c>
      <c r="AY4649" s="498">
        <f t="shared" si="1607"/>
        <v>0</v>
      </c>
      <c r="BB4649" s="498" t="str">
        <f t="shared" si="1608"/>
        <v/>
      </c>
      <c r="BC4649" s="743" t="str">
        <f t="shared" si="1609"/>
        <v/>
      </c>
      <c r="BD4649" s="743" t="str">
        <f t="shared" si="1610"/>
        <v/>
      </c>
      <c r="BE4649" s="743" t="str">
        <f>IF(D4649="","",VLOOKUP(D4649,'General Basis'!$J$39:$K$46,2,0))</f>
        <v/>
      </c>
      <c r="BF4649" s="744" t="str">
        <f>IF(D4649="","",VLOOKUP(D4649,'General Basis'!$J$39:$L$46,3,0))</f>
        <v/>
      </c>
      <c r="BG4649" s="744" t="str">
        <f t="shared" si="1617"/>
        <v/>
      </c>
      <c r="BH4649" s="744" t="str">
        <f>IF(G4649="","",IF(BF4649="Abu Dhabi",IF(G4649&lt;18,'General Basis'!$C$39,IF(G4649&lt;41,'General Basis'!$C$40,IF(G4649&lt;60,'General Basis'!$C$41,IF(G4649&lt;65,'General Basis'!$C$42,'General Basis'!$C$43)))),IF(G4649&lt;11,'General Basis'!$B$39,IF(G4649&lt;18,'General Basis'!$B$40,IF(G4649&lt;26,'General Basis'!$B$41,IF(G4649&lt;31,'General Basis'!$B$42,IF(G4649&lt;36,'General Basis'!$B$43,IF(G4649&lt;41,'General Basis'!$B$44,IF(G4649&lt;46,'General Basis'!$B$45,IF(G4649&lt;51,'General Basis'!$B$46,IF(G4649&lt;56,'General Basis'!$B$47,IF(G4649&lt;60,'General Basis'!$B$48,IF(G4649&lt;65,'General Basis'!$B$49,'General Basis'!$B$50)))))))))))))</f>
        <v/>
      </c>
      <c r="BI4649" s="744" t="str">
        <f t="shared" si="1611"/>
        <v/>
      </c>
      <c r="BJ4649" s="747" t="str">
        <f t="shared" si="1618"/>
        <v/>
      </c>
      <c r="BK4649" s="498" t="str">
        <f t="shared" si="1612"/>
        <v/>
      </c>
      <c r="BL4649" s="498" t="str">
        <f t="shared" si="1613"/>
        <v/>
      </c>
    </row>
    <row r="4650" spans="1:64" x14ac:dyDescent="0.25">
      <c r="A4650" s="762">
        <f t="shared" si="1614"/>
        <v>4645</v>
      </c>
      <c r="B4650" s="229"/>
      <c r="C4650" s="223"/>
      <c r="D4650" s="224"/>
      <c r="E4650" s="225"/>
      <c r="F4650" s="1036" t="str">
        <f t="shared" si="1620"/>
        <v/>
      </c>
      <c r="G4650" s="1037" t="str">
        <f t="shared" si="1615"/>
        <v/>
      </c>
      <c r="H4650" s="225"/>
      <c r="I4650" s="1013"/>
      <c r="J4650" s="1013"/>
      <c r="K4650" s="1028"/>
      <c r="L4650" s="1035" t="str">
        <f t="shared" si="1619"/>
        <v/>
      </c>
      <c r="S4650" s="498"/>
      <c r="AJ4650" s="498"/>
      <c r="AM4650" s="498">
        <f t="shared" si="1600"/>
        <v>0</v>
      </c>
      <c r="AN4650" s="498">
        <f t="shared" si="1601"/>
        <v>0</v>
      </c>
      <c r="AO4650" s="498">
        <f t="shared" si="1602"/>
        <v>0</v>
      </c>
      <c r="AP4650" s="498">
        <f t="shared" si="1621"/>
        <v>0</v>
      </c>
      <c r="AQ4650" s="498">
        <f t="shared" si="1616"/>
        <v>0</v>
      </c>
      <c r="AU4650" s="498">
        <f t="shared" si="1603"/>
        <v>0</v>
      </c>
      <c r="AV4650" s="498">
        <f t="shared" si="1604"/>
        <v>0</v>
      </c>
      <c r="AW4650" s="498">
        <f t="shared" si="1605"/>
        <v>0</v>
      </c>
      <c r="AX4650" s="498">
        <f t="shared" si="1606"/>
        <v>0</v>
      </c>
      <c r="AY4650" s="498">
        <f t="shared" si="1607"/>
        <v>0</v>
      </c>
      <c r="BB4650" s="498" t="str">
        <f t="shared" si="1608"/>
        <v/>
      </c>
      <c r="BC4650" s="743" t="str">
        <f t="shared" si="1609"/>
        <v/>
      </c>
      <c r="BD4650" s="743" t="str">
        <f t="shared" si="1610"/>
        <v/>
      </c>
      <c r="BE4650" s="743" t="str">
        <f>IF(D4650="","",VLOOKUP(D4650,'General Basis'!$J$39:$K$46,2,0))</f>
        <v/>
      </c>
      <c r="BF4650" s="744" t="str">
        <f>IF(D4650="","",VLOOKUP(D4650,'General Basis'!$J$39:$L$46,3,0))</f>
        <v/>
      </c>
      <c r="BG4650" s="744" t="str">
        <f t="shared" si="1617"/>
        <v/>
      </c>
      <c r="BH4650" s="744" t="str">
        <f>IF(G4650="","",IF(BF4650="Abu Dhabi",IF(G4650&lt;18,'General Basis'!$C$39,IF(G4650&lt;41,'General Basis'!$C$40,IF(G4650&lt;60,'General Basis'!$C$41,IF(G4650&lt;65,'General Basis'!$C$42,'General Basis'!$C$43)))),IF(G4650&lt;11,'General Basis'!$B$39,IF(G4650&lt;18,'General Basis'!$B$40,IF(G4650&lt;26,'General Basis'!$B$41,IF(G4650&lt;31,'General Basis'!$B$42,IF(G4650&lt;36,'General Basis'!$B$43,IF(G4650&lt;41,'General Basis'!$B$44,IF(G4650&lt;46,'General Basis'!$B$45,IF(G4650&lt;51,'General Basis'!$B$46,IF(G4650&lt;56,'General Basis'!$B$47,IF(G4650&lt;60,'General Basis'!$B$48,IF(G4650&lt;65,'General Basis'!$B$49,'General Basis'!$B$50)))))))))))))</f>
        <v/>
      </c>
      <c r="BI4650" s="744" t="str">
        <f t="shared" si="1611"/>
        <v/>
      </c>
      <c r="BJ4650" s="747" t="str">
        <f t="shared" si="1618"/>
        <v/>
      </c>
      <c r="BK4650" s="498" t="str">
        <f t="shared" si="1612"/>
        <v/>
      </c>
      <c r="BL4650" s="498" t="str">
        <f t="shared" si="1613"/>
        <v/>
      </c>
    </row>
    <row r="4651" spans="1:64" x14ac:dyDescent="0.25">
      <c r="A4651" s="762">
        <f t="shared" si="1614"/>
        <v>4646</v>
      </c>
      <c r="B4651" s="229"/>
      <c r="C4651" s="223"/>
      <c r="D4651" s="224"/>
      <c r="E4651" s="225"/>
      <c r="F4651" s="1036" t="str">
        <f t="shared" si="1620"/>
        <v/>
      </c>
      <c r="G4651" s="1037" t="str">
        <f t="shared" si="1615"/>
        <v/>
      </c>
      <c r="H4651" s="225"/>
      <c r="I4651" s="1013"/>
      <c r="J4651" s="1013"/>
      <c r="K4651" s="1028"/>
      <c r="L4651" s="1035" t="str">
        <f t="shared" si="1619"/>
        <v/>
      </c>
      <c r="S4651" s="498"/>
      <c r="AJ4651" s="498"/>
      <c r="AM4651" s="498">
        <f t="shared" si="1600"/>
        <v>0</v>
      </c>
      <c r="AN4651" s="498">
        <f t="shared" si="1601"/>
        <v>0</v>
      </c>
      <c r="AO4651" s="498">
        <f t="shared" si="1602"/>
        <v>0</v>
      </c>
      <c r="AP4651" s="498">
        <f t="shared" si="1621"/>
        <v>0</v>
      </c>
      <c r="AQ4651" s="498">
        <f t="shared" si="1616"/>
        <v>0</v>
      </c>
      <c r="AU4651" s="498">
        <f t="shared" si="1603"/>
        <v>0</v>
      </c>
      <c r="AV4651" s="498">
        <f t="shared" si="1604"/>
        <v>0</v>
      </c>
      <c r="AW4651" s="498">
        <f t="shared" si="1605"/>
        <v>0</v>
      </c>
      <c r="AX4651" s="498">
        <f t="shared" si="1606"/>
        <v>0</v>
      </c>
      <c r="AY4651" s="498">
        <f t="shared" si="1607"/>
        <v>0</v>
      </c>
      <c r="BB4651" s="498" t="str">
        <f t="shared" si="1608"/>
        <v/>
      </c>
      <c r="BC4651" s="743" t="str">
        <f t="shared" si="1609"/>
        <v/>
      </c>
      <c r="BD4651" s="743" t="str">
        <f t="shared" si="1610"/>
        <v/>
      </c>
      <c r="BE4651" s="743" t="str">
        <f>IF(D4651="","",VLOOKUP(D4651,'General Basis'!$J$39:$K$46,2,0))</f>
        <v/>
      </c>
      <c r="BF4651" s="744" t="str">
        <f>IF(D4651="","",VLOOKUP(D4651,'General Basis'!$J$39:$L$46,3,0))</f>
        <v/>
      </c>
      <c r="BG4651" s="744" t="str">
        <f t="shared" si="1617"/>
        <v/>
      </c>
      <c r="BH4651" s="744" t="str">
        <f>IF(G4651="","",IF(BF4651="Abu Dhabi",IF(G4651&lt;18,'General Basis'!$C$39,IF(G4651&lt;41,'General Basis'!$C$40,IF(G4651&lt;60,'General Basis'!$C$41,IF(G4651&lt;65,'General Basis'!$C$42,'General Basis'!$C$43)))),IF(G4651&lt;11,'General Basis'!$B$39,IF(G4651&lt;18,'General Basis'!$B$40,IF(G4651&lt;26,'General Basis'!$B$41,IF(G4651&lt;31,'General Basis'!$B$42,IF(G4651&lt;36,'General Basis'!$B$43,IF(G4651&lt;41,'General Basis'!$B$44,IF(G4651&lt;46,'General Basis'!$B$45,IF(G4651&lt;51,'General Basis'!$B$46,IF(G4651&lt;56,'General Basis'!$B$47,IF(G4651&lt;60,'General Basis'!$B$48,IF(G4651&lt;65,'General Basis'!$B$49,'General Basis'!$B$50)))))))))))))</f>
        <v/>
      </c>
      <c r="BI4651" s="744" t="str">
        <f t="shared" si="1611"/>
        <v/>
      </c>
      <c r="BJ4651" s="747" t="str">
        <f t="shared" si="1618"/>
        <v/>
      </c>
      <c r="BK4651" s="498" t="str">
        <f t="shared" si="1612"/>
        <v/>
      </c>
      <c r="BL4651" s="498" t="str">
        <f t="shared" si="1613"/>
        <v/>
      </c>
    </row>
    <row r="4652" spans="1:64" x14ac:dyDescent="0.25">
      <c r="A4652" s="762">
        <f t="shared" si="1614"/>
        <v>4647</v>
      </c>
      <c r="B4652" s="229"/>
      <c r="C4652" s="223"/>
      <c r="D4652" s="224"/>
      <c r="E4652" s="225"/>
      <c r="F4652" s="1036" t="str">
        <f t="shared" si="1620"/>
        <v/>
      </c>
      <c r="G4652" s="1037" t="str">
        <f t="shared" si="1615"/>
        <v/>
      </c>
      <c r="H4652" s="225"/>
      <c r="I4652" s="1013"/>
      <c r="J4652" s="1013"/>
      <c r="K4652" s="1028"/>
      <c r="L4652" s="1035" t="str">
        <f t="shared" si="1619"/>
        <v/>
      </c>
      <c r="S4652" s="498"/>
      <c r="AJ4652" s="498"/>
      <c r="AM4652" s="498">
        <f t="shared" si="1600"/>
        <v>0</v>
      </c>
      <c r="AN4652" s="498">
        <f t="shared" si="1601"/>
        <v>0</v>
      </c>
      <c r="AO4652" s="498">
        <f t="shared" si="1602"/>
        <v>0</v>
      </c>
      <c r="AP4652" s="498">
        <f t="shared" si="1621"/>
        <v>0</v>
      </c>
      <c r="AQ4652" s="498">
        <f t="shared" si="1616"/>
        <v>0</v>
      </c>
      <c r="AU4652" s="498">
        <f t="shared" si="1603"/>
        <v>0</v>
      </c>
      <c r="AV4652" s="498">
        <f t="shared" si="1604"/>
        <v>0</v>
      </c>
      <c r="AW4652" s="498">
        <f t="shared" si="1605"/>
        <v>0</v>
      </c>
      <c r="AX4652" s="498">
        <f t="shared" si="1606"/>
        <v>0</v>
      </c>
      <c r="AY4652" s="498">
        <f t="shared" si="1607"/>
        <v>0</v>
      </c>
      <c r="BB4652" s="498" t="str">
        <f t="shared" si="1608"/>
        <v/>
      </c>
      <c r="BC4652" s="743" t="str">
        <f t="shared" si="1609"/>
        <v/>
      </c>
      <c r="BD4652" s="743" t="str">
        <f t="shared" si="1610"/>
        <v/>
      </c>
      <c r="BE4652" s="743" t="str">
        <f>IF(D4652="","",VLOOKUP(D4652,'General Basis'!$J$39:$K$46,2,0))</f>
        <v/>
      </c>
      <c r="BF4652" s="744" t="str">
        <f>IF(D4652="","",VLOOKUP(D4652,'General Basis'!$J$39:$L$46,3,0))</f>
        <v/>
      </c>
      <c r="BG4652" s="744" t="str">
        <f t="shared" si="1617"/>
        <v/>
      </c>
      <c r="BH4652" s="744" t="str">
        <f>IF(G4652="","",IF(BF4652="Abu Dhabi",IF(G4652&lt;18,'General Basis'!$C$39,IF(G4652&lt;41,'General Basis'!$C$40,IF(G4652&lt;60,'General Basis'!$C$41,IF(G4652&lt;65,'General Basis'!$C$42,'General Basis'!$C$43)))),IF(G4652&lt;11,'General Basis'!$B$39,IF(G4652&lt;18,'General Basis'!$B$40,IF(G4652&lt;26,'General Basis'!$B$41,IF(G4652&lt;31,'General Basis'!$B$42,IF(G4652&lt;36,'General Basis'!$B$43,IF(G4652&lt;41,'General Basis'!$B$44,IF(G4652&lt;46,'General Basis'!$B$45,IF(G4652&lt;51,'General Basis'!$B$46,IF(G4652&lt;56,'General Basis'!$B$47,IF(G4652&lt;60,'General Basis'!$B$48,IF(G4652&lt;65,'General Basis'!$B$49,'General Basis'!$B$50)))))))))))))</f>
        <v/>
      </c>
      <c r="BI4652" s="744" t="str">
        <f t="shared" si="1611"/>
        <v/>
      </c>
      <c r="BJ4652" s="747" t="str">
        <f t="shared" si="1618"/>
        <v/>
      </c>
      <c r="BK4652" s="498" t="str">
        <f t="shared" si="1612"/>
        <v/>
      </c>
      <c r="BL4652" s="498" t="str">
        <f t="shared" si="1613"/>
        <v/>
      </c>
    </row>
    <row r="4653" spans="1:64" x14ac:dyDescent="0.25">
      <c r="A4653" s="762">
        <f t="shared" si="1614"/>
        <v>4648</v>
      </c>
      <c r="B4653" s="229"/>
      <c r="C4653" s="223"/>
      <c r="D4653" s="224"/>
      <c r="E4653" s="225"/>
      <c r="F4653" s="1036" t="str">
        <f t="shared" si="1620"/>
        <v/>
      </c>
      <c r="G4653" s="1037" t="str">
        <f t="shared" si="1615"/>
        <v/>
      </c>
      <c r="H4653" s="225"/>
      <c r="I4653" s="1013"/>
      <c r="J4653" s="1013"/>
      <c r="K4653" s="1028"/>
      <c r="L4653" s="1035" t="str">
        <f t="shared" si="1619"/>
        <v/>
      </c>
      <c r="S4653" s="498"/>
      <c r="AJ4653" s="498"/>
      <c r="AM4653" s="498">
        <f t="shared" si="1600"/>
        <v>0</v>
      </c>
      <c r="AN4653" s="498">
        <f t="shared" si="1601"/>
        <v>0</v>
      </c>
      <c r="AO4653" s="498">
        <f t="shared" si="1602"/>
        <v>0</v>
      </c>
      <c r="AP4653" s="498">
        <f t="shared" si="1621"/>
        <v>0</v>
      </c>
      <c r="AQ4653" s="498">
        <f t="shared" si="1616"/>
        <v>0</v>
      </c>
      <c r="AU4653" s="498">
        <f t="shared" si="1603"/>
        <v>0</v>
      </c>
      <c r="AV4653" s="498">
        <f t="shared" si="1604"/>
        <v>0</v>
      </c>
      <c r="AW4653" s="498">
        <f t="shared" si="1605"/>
        <v>0</v>
      </c>
      <c r="AX4653" s="498">
        <f t="shared" si="1606"/>
        <v>0</v>
      </c>
      <c r="AY4653" s="498">
        <f t="shared" si="1607"/>
        <v>0</v>
      </c>
      <c r="BB4653" s="498" t="str">
        <f t="shared" si="1608"/>
        <v/>
      </c>
      <c r="BC4653" s="743" t="str">
        <f t="shared" si="1609"/>
        <v/>
      </c>
      <c r="BD4653" s="743" t="str">
        <f t="shared" si="1610"/>
        <v/>
      </c>
      <c r="BE4653" s="743" t="str">
        <f>IF(D4653="","",VLOOKUP(D4653,'General Basis'!$J$39:$K$46,2,0))</f>
        <v/>
      </c>
      <c r="BF4653" s="744" t="str">
        <f>IF(D4653="","",VLOOKUP(D4653,'General Basis'!$J$39:$L$46,3,0))</f>
        <v/>
      </c>
      <c r="BG4653" s="744" t="str">
        <f t="shared" si="1617"/>
        <v/>
      </c>
      <c r="BH4653" s="744" t="str">
        <f>IF(G4653="","",IF(BF4653="Abu Dhabi",IF(G4653&lt;18,'General Basis'!$C$39,IF(G4653&lt;41,'General Basis'!$C$40,IF(G4653&lt;60,'General Basis'!$C$41,IF(G4653&lt;65,'General Basis'!$C$42,'General Basis'!$C$43)))),IF(G4653&lt;11,'General Basis'!$B$39,IF(G4653&lt;18,'General Basis'!$B$40,IF(G4653&lt;26,'General Basis'!$B$41,IF(G4653&lt;31,'General Basis'!$B$42,IF(G4653&lt;36,'General Basis'!$B$43,IF(G4653&lt;41,'General Basis'!$B$44,IF(G4653&lt;46,'General Basis'!$B$45,IF(G4653&lt;51,'General Basis'!$B$46,IF(G4653&lt;56,'General Basis'!$B$47,IF(G4653&lt;60,'General Basis'!$B$48,IF(G4653&lt;65,'General Basis'!$B$49,'General Basis'!$B$50)))))))))))))</f>
        <v/>
      </c>
      <c r="BI4653" s="744" t="str">
        <f t="shared" si="1611"/>
        <v/>
      </c>
      <c r="BJ4653" s="747" t="str">
        <f t="shared" si="1618"/>
        <v/>
      </c>
      <c r="BK4653" s="498" t="str">
        <f t="shared" si="1612"/>
        <v/>
      </c>
      <c r="BL4653" s="498" t="str">
        <f t="shared" si="1613"/>
        <v/>
      </c>
    </row>
    <row r="4654" spans="1:64" x14ac:dyDescent="0.25">
      <c r="A4654" s="762">
        <f t="shared" si="1614"/>
        <v>4649</v>
      </c>
      <c r="B4654" s="229"/>
      <c r="C4654" s="223"/>
      <c r="D4654" s="224"/>
      <c r="E4654" s="225"/>
      <c r="F4654" s="1036" t="str">
        <f t="shared" si="1620"/>
        <v/>
      </c>
      <c r="G4654" s="1037" t="str">
        <f t="shared" si="1615"/>
        <v/>
      </c>
      <c r="H4654" s="225"/>
      <c r="I4654" s="1013"/>
      <c r="J4654" s="1013"/>
      <c r="K4654" s="1028"/>
      <c r="L4654" s="1035" t="str">
        <f t="shared" si="1619"/>
        <v/>
      </c>
      <c r="S4654" s="498"/>
      <c r="AJ4654" s="498"/>
      <c r="AM4654" s="498">
        <f t="shared" si="1600"/>
        <v>0</v>
      </c>
      <c r="AN4654" s="498">
        <f t="shared" si="1601"/>
        <v>0</v>
      </c>
      <c r="AO4654" s="498">
        <f t="shared" si="1602"/>
        <v>0</v>
      </c>
      <c r="AP4654" s="498">
        <f t="shared" si="1621"/>
        <v>0</v>
      </c>
      <c r="AQ4654" s="498">
        <f t="shared" si="1616"/>
        <v>0</v>
      </c>
      <c r="AU4654" s="498">
        <f t="shared" si="1603"/>
        <v>0</v>
      </c>
      <c r="AV4654" s="498">
        <f t="shared" si="1604"/>
        <v>0</v>
      </c>
      <c r="AW4654" s="498">
        <f t="shared" si="1605"/>
        <v>0</v>
      </c>
      <c r="AX4654" s="498">
        <f t="shared" si="1606"/>
        <v>0</v>
      </c>
      <c r="AY4654" s="498">
        <f t="shared" si="1607"/>
        <v>0</v>
      </c>
      <c r="BB4654" s="498" t="str">
        <f t="shared" si="1608"/>
        <v/>
      </c>
      <c r="BC4654" s="743" t="str">
        <f t="shared" si="1609"/>
        <v/>
      </c>
      <c r="BD4654" s="743" t="str">
        <f t="shared" si="1610"/>
        <v/>
      </c>
      <c r="BE4654" s="743" t="str">
        <f>IF(D4654="","",VLOOKUP(D4654,'General Basis'!$J$39:$K$46,2,0))</f>
        <v/>
      </c>
      <c r="BF4654" s="744" t="str">
        <f>IF(D4654="","",VLOOKUP(D4654,'General Basis'!$J$39:$L$46,3,0))</f>
        <v/>
      </c>
      <c r="BG4654" s="744" t="str">
        <f t="shared" si="1617"/>
        <v/>
      </c>
      <c r="BH4654" s="744" t="str">
        <f>IF(G4654="","",IF(BF4654="Abu Dhabi",IF(G4654&lt;18,'General Basis'!$C$39,IF(G4654&lt;41,'General Basis'!$C$40,IF(G4654&lt;60,'General Basis'!$C$41,IF(G4654&lt;65,'General Basis'!$C$42,'General Basis'!$C$43)))),IF(G4654&lt;11,'General Basis'!$B$39,IF(G4654&lt;18,'General Basis'!$B$40,IF(G4654&lt;26,'General Basis'!$B$41,IF(G4654&lt;31,'General Basis'!$B$42,IF(G4654&lt;36,'General Basis'!$B$43,IF(G4654&lt;41,'General Basis'!$B$44,IF(G4654&lt;46,'General Basis'!$B$45,IF(G4654&lt;51,'General Basis'!$B$46,IF(G4654&lt;56,'General Basis'!$B$47,IF(G4654&lt;60,'General Basis'!$B$48,IF(G4654&lt;65,'General Basis'!$B$49,'General Basis'!$B$50)))))))))))))</f>
        <v/>
      </c>
      <c r="BI4654" s="744" t="str">
        <f t="shared" si="1611"/>
        <v/>
      </c>
      <c r="BJ4654" s="747" t="str">
        <f t="shared" si="1618"/>
        <v/>
      </c>
      <c r="BK4654" s="498" t="str">
        <f t="shared" si="1612"/>
        <v/>
      </c>
      <c r="BL4654" s="498" t="str">
        <f t="shared" si="1613"/>
        <v/>
      </c>
    </row>
    <row r="4655" spans="1:64" x14ac:dyDescent="0.25">
      <c r="A4655" s="762">
        <f t="shared" si="1614"/>
        <v>4650</v>
      </c>
      <c r="B4655" s="229"/>
      <c r="C4655" s="223"/>
      <c r="D4655" s="224"/>
      <c r="E4655" s="225"/>
      <c r="F4655" s="1036" t="str">
        <f t="shared" si="1620"/>
        <v/>
      </c>
      <c r="G4655" s="1037" t="str">
        <f t="shared" si="1615"/>
        <v/>
      </c>
      <c r="H4655" s="225"/>
      <c r="I4655" s="1013"/>
      <c r="J4655" s="1013"/>
      <c r="K4655" s="1028"/>
      <c r="L4655" s="1035" t="str">
        <f t="shared" si="1619"/>
        <v/>
      </c>
      <c r="S4655" s="498"/>
      <c r="AJ4655" s="498"/>
      <c r="AM4655" s="498">
        <f t="shared" si="1600"/>
        <v>0</v>
      </c>
      <c r="AN4655" s="498">
        <f t="shared" si="1601"/>
        <v>0</v>
      </c>
      <c r="AO4655" s="498">
        <f t="shared" si="1602"/>
        <v>0</v>
      </c>
      <c r="AP4655" s="498">
        <f t="shared" si="1621"/>
        <v>0</v>
      </c>
      <c r="AQ4655" s="498">
        <f t="shared" si="1616"/>
        <v>0</v>
      </c>
      <c r="AU4655" s="498">
        <f t="shared" si="1603"/>
        <v>0</v>
      </c>
      <c r="AV4655" s="498">
        <f t="shared" si="1604"/>
        <v>0</v>
      </c>
      <c r="AW4655" s="498">
        <f t="shared" si="1605"/>
        <v>0</v>
      </c>
      <c r="AX4655" s="498">
        <f t="shared" si="1606"/>
        <v>0</v>
      </c>
      <c r="AY4655" s="498">
        <f t="shared" si="1607"/>
        <v>0</v>
      </c>
      <c r="BB4655" s="498" t="str">
        <f t="shared" si="1608"/>
        <v/>
      </c>
      <c r="BC4655" s="743" t="str">
        <f t="shared" si="1609"/>
        <v/>
      </c>
      <c r="BD4655" s="743" t="str">
        <f t="shared" si="1610"/>
        <v/>
      </c>
      <c r="BE4655" s="743" t="str">
        <f>IF(D4655="","",VLOOKUP(D4655,'General Basis'!$J$39:$K$46,2,0))</f>
        <v/>
      </c>
      <c r="BF4655" s="744" t="str">
        <f>IF(D4655="","",VLOOKUP(D4655,'General Basis'!$J$39:$L$46,3,0))</f>
        <v/>
      </c>
      <c r="BG4655" s="744" t="str">
        <f t="shared" si="1617"/>
        <v/>
      </c>
      <c r="BH4655" s="744" t="str">
        <f>IF(G4655="","",IF(BF4655="Abu Dhabi",IF(G4655&lt;18,'General Basis'!$C$39,IF(G4655&lt;41,'General Basis'!$C$40,IF(G4655&lt;60,'General Basis'!$C$41,IF(G4655&lt;65,'General Basis'!$C$42,'General Basis'!$C$43)))),IF(G4655&lt;11,'General Basis'!$B$39,IF(G4655&lt;18,'General Basis'!$B$40,IF(G4655&lt;26,'General Basis'!$B$41,IF(G4655&lt;31,'General Basis'!$B$42,IF(G4655&lt;36,'General Basis'!$B$43,IF(G4655&lt;41,'General Basis'!$B$44,IF(G4655&lt;46,'General Basis'!$B$45,IF(G4655&lt;51,'General Basis'!$B$46,IF(G4655&lt;56,'General Basis'!$B$47,IF(G4655&lt;60,'General Basis'!$B$48,IF(G4655&lt;65,'General Basis'!$B$49,'General Basis'!$B$50)))))))))))))</f>
        <v/>
      </c>
      <c r="BI4655" s="744" t="str">
        <f t="shared" si="1611"/>
        <v/>
      </c>
      <c r="BJ4655" s="747" t="str">
        <f t="shared" si="1618"/>
        <v/>
      </c>
      <c r="BK4655" s="498" t="str">
        <f t="shared" si="1612"/>
        <v/>
      </c>
      <c r="BL4655" s="498" t="str">
        <f t="shared" si="1613"/>
        <v/>
      </c>
    </row>
    <row r="4656" spans="1:64" x14ac:dyDescent="0.25">
      <c r="A4656" s="762">
        <f t="shared" si="1614"/>
        <v>4651</v>
      </c>
      <c r="B4656" s="229"/>
      <c r="C4656" s="223"/>
      <c r="D4656" s="224"/>
      <c r="E4656" s="225"/>
      <c r="F4656" s="1036" t="str">
        <f t="shared" si="1620"/>
        <v/>
      </c>
      <c r="G4656" s="1037" t="str">
        <f t="shared" si="1615"/>
        <v/>
      </c>
      <c r="H4656" s="225"/>
      <c r="I4656" s="1013"/>
      <c r="J4656" s="1013"/>
      <c r="K4656" s="1028"/>
      <c r="L4656" s="1035" t="str">
        <f t="shared" si="1619"/>
        <v/>
      </c>
      <c r="S4656" s="498"/>
      <c r="AJ4656" s="498"/>
      <c r="AM4656" s="498">
        <f t="shared" si="1600"/>
        <v>0</v>
      </c>
      <c r="AN4656" s="498">
        <f t="shared" si="1601"/>
        <v>0</v>
      </c>
      <c r="AO4656" s="498">
        <f t="shared" si="1602"/>
        <v>0</v>
      </c>
      <c r="AP4656" s="498">
        <f t="shared" si="1621"/>
        <v>0</v>
      </c>
      <c r="AQ4656" s="498">
        <f t="shared" si="1616"/>
        <v>0</v>
      </c>
      <c r="AU4656" s="498">
        <f t="shared" si="1603"/>
        <v>0</v>
      </c>
      <c r="AV4656" s="498">
        <f t="shared" si="1604"/>
        <v>0</v>
      </c>
      <c r="AW4656" s="498">
        <f t="shared" si="1605"/>
        <v>0</v>
      </c>
      <c r="AX4656" s="498">
        <f t="shared" si="1606"/>
        <v>0</v>
      </c>
      <c r="AY4656" s="498">
        <f t="shared" si="1607"/>
        <v>0</v>
      </c>
      <c r="BB4656" s="498" t="str">
        <f t="shared" si="1608"/>
        <v/>
      </c>
      <c r="BC4656" s="743" t="str">
        <f t="shared" si="1609"/>
        <v/>
      </c>
      <c r="BD4656" s="743" t="str">
        <f t="shared" si="1610"/>
        <v/>
      </c>
      <c r="BE4656" s="743" t="str">
        <f>IF(D4656="","",VLOOKUP(D4656,'General Basis'!$J$39:$K$46,2,0))</f>
        <v/>
      </c>
      <c r="BF4656" s="744" t="str">
        <f>IF(D4656="","",VLOOKUP(D4656,'General Basis'!$J$39:$L$46,3,0))</f>
        <v/>
      </c>
      <c r="BG4656" s="744" t="str">
        <f t="shared" si="1617"/>
        <v/>
      </c>
      <c r="BH4656" s="744" t="str">
        <f>IF(G4656="","",IF(BF4656="Abu Dhabi",IF(G4656&lt;18,'General Basis'!$C$39,IF(G4656&lt;41,'General Basis'!$C$40,IF(G4656&lt;60,'General Basis'!$C$41,IF(G4656&lt;65,'General Basis'!$C$42,'General Basis'!$C$43)))),IF(G4656&lt;11,'General Basis'!$B$39,IF(G4656&lt;18,'General Basis'!$B$40,IF(G4656&lt;26,'General Basis'!$B$41,IF(G4656&lt;31,'General Basis'!$B$42,IF(G4656&lt;36,'General Basis'!$B$43,IF(G4656&lt;41,'General Basis'!$B$44,IF(G4656&lt;46,'General Basis'!$B$45,IF(G4656&lt;51,'General Basis'!$B$46,IF(G4656&lt;56,'General Basis'!$B$47,IF(G4656&lt;60,'General Basis'!$B$48,IF(G4656&lt;65,'General Basis'!$B$49,'General Basis'!$B$50)))))))))))))</f>
        <v/>
      </c>
      <c r="BI4656" s="744" t="str">
        <f t="shared" si="1611"/>
        <v/>
      </c>
      <c r="BJ4656" s="747" t="str">
        <f t="shared" si="1618"/>
        <v/>
      </c>
      <c r="BK4656" s="498" t="str">
        <f t="shared" si="1612"/>
        <v/>
      </c>
      <c r="BL4656" s="498" t="str">
        <f t="shared" si="1613"/>
        <v/>
      </c>
    </row>
    <row r="4657" spans="1:64" x14ac:dyDescent="0.25">
      <c r="A4657" s="762">
        <f t="shared" si="1614"/>
        <v>4652</v>
      </c>
      <c r="B4657" s="229"/>
      <c r="C4657" s="223"/>
      <c r="D4657" s="224"/>
      <c r="E4657" s="225"/>
      <c r="F4657" s="1036" t="str">
        <f t="shared" si="1620"/>
        <v/>
      </c>
      <c r="G4657" s="1037" t="str">
        <f t="shared" si="1615"/>
        <v/>
      </c>
      <c r="H4657" s="225"/>
      <c r="I4657" s="1013"/>
      <c r="J4657" s="1013"/>
      <c r="K4657" s="1028"/>
      <c r="L4657" s="1035" t="str">
        <f t="shared" si="1619"/>
        <v/>
      </c>
      <c r="S4657" s="498"/>
      <c r="AJ4657" s="498"/>
      <c r="AM4657" s="498">
        <f t="shared" si="1600"/>
        <v>0</v>
      </c>
      <c r="AN4657" s="498">
        <f t="shared" si="1601"/>
        <v>0</v>
      </c>
      <c r="AO4657" s="498">
        <f t="shared" si="1602"/>
        <v>0</v>
      </c>
      <c r="AP4657" s="498">
        <f t="shared" si="1621"/>
        <v>0</v>
      </c>
      <c r="AQ4657" s="498">
        <f t="shared" si="1616"/>
        <v>0</v>
      </c>
      <c r="AU4657" s="498">
        <f t="shared" si="1603"/>
        <v>0</v>
      </c>
      <c r="AV4657" s="498">
        <f t="shared" si="1604"/>
        <v>0</v>
      </c>
      <c r="AW4657" s="498">
        <f t="shared" si="1605"/>
        <v>0</v>
      </c>
      <c r="AX4657" s="498">
        <f t="shared" si="1606"/>
        <v>0</v>
      </c>
      <c r="AY4657" s="498">
        <f t="shared" si="1607"/>
        <v>0</v>
      </c>
      <c r="BB4657" s="498" t="str">
        <f t="shared" si="1608"/>
        <v/>
      </c>
      <c r="BC4657" s="743" t="str">
        <f t="shared" si="1609"/>
        <v/>
      </c>
      <c r="BD4657" s="743" t="str">
        <f t="shared" si="1610"/>
        <v/>
      </c>
      <c r="BE4657" s="743" t="str">
        <f>IF(D4657="","",VLOOKUP(D4657,'General Basis'!$J$39:$K$46,2,0))</f>
        <v/>
      </c>
      <c r="BF4657" s="744" t="str">
        <f>IF(D4657="","",VLOOKUP(D4657,'General Basis'!$J$39:$L$46,3,0))</f>
        <v/>
      </c>
      <c r="BG4657" s="744" t="str">
        <f t="shared" si="1617"/>
        <v/>
      </c>
      <c r="BH4657" s="744" t="str">
        <f>IF(G4657="","",IF(BF4657="Abu Dhabi",IF(G4657&lt;18,'General Basis'!$C$39,IF(G4657&lt;41,'General Basis'!$C$40,IF(G4657&lt;60,'General Basis'!$C$41,IF(G4657&lt;65,'General Basis'!$C$42,'General Basis'!$C$43)))),IF(G4657&lt;11,'General Basis'!$B$39,IF(G4657&lt;18,'General Basis'!$B$40,IF(G4657&lt;26,'General Basis'!$B$41,IF(G4657&lt;31,'General Basis'!$B$42,IF(G4657&lt;36,'General Basis'!$B$43,IF(G4657&lt;41,'General Basis'!$B$44,IF(G4657&lt;46,'General Basis'!$B$45,IF(G4657&lt;51,'General Basis'!$B$46,IF(G4657&lt;56,'General Basis'!$B$47,IF(G4657&lt;60,'General Basis'!$B$48,IF(G4657&lt;65,'General Basis'!$B$49,'General Basis'!$B$50)))))))))))))</f>
        <v/>
      </c>
      <c r="BI4657" s="744" t="str">
        <f t="shared" si="1611"/>
        <v/>
      </c>
      <c r="BJ4657" s="747" t="str">
        <f t="shared" si="1618"/>
        <v/>
      </c>
      <c r="BK4657" s="498" t="str">
        <f t="shared" si="1612"/>
        <v/>
      </c>
      <c r="BL4657" s="498" t="str">
        <f t="shared" si="1613"/>
        <v/>
      </c>
    </row>
    <row r="4658" spans="1:64" x14ac:dyDescent="0.25">
      <c r="A4658" s="762">
        <f t="shared" si="1614"/>
        <v>4653</v>
      </c>
      <c r="B4658" s="229"/>
      <c r="C4658" s="223"/>
      <c r="D4658" s="224"/>
      <c r="E4658" s="225"/>
      <c r="F4658" s="1036" t="str">
        <f t="shared" si="1620"/>
        <v/>
      </c>
      <c r="G4658" s="1037" t="str">
        <f t="shared" si="1615"/>
        <v/>
      </c>
      <c r="H4658" s="225"/>
      <c r="I4658" s="1013"/>
      <c r="J4658" s="1013"/>
      <c r="K4658" s="1028"/>
      <c r="L4658" s="1035" t="str">
        <f t="shared" si="1619"/>
        <v/>
      </c>
      <c r="S4658" s="498"/>
      <c r="AJ4658" s="498"/>
      <c r="AM4658" s="498">
        <f t="shared" si="1600"/>
        <v>0</v>
      </c>
      <c r="AN4658" s="498">
        <f t="shared" si="1601"/>
        <v>0</v>
      </c>
      <c r="AO4658" s="498">
        <f t="shared" si="1602"/>
        <v>0</v>
      </c>
      <c r="AP4658" s="498">
        <f t="shared" si="1621"/>
        <v>0</v>
      </c>
      <c r="AQ4658" s="498">
        <f t="shared" si="1616"/>
        <v>0</v>
      </c>
      <c r="AU4658" s="498">
        <f t="shared" si="1603"/>
        <v>0</v>
      </c>
      <c r="AV4658" s="498">
        <f t="shared" si="1604"/>
        <v>0</v>
      </c>
      <c r="AW4658" s="498">
        <f t="shared" si="1605"/>
        <v>0</v>
      </c>
      <c r="AX4658" s="498">
        <f t="shared" si="1606"/>
        <v>0</v>
      </c>
      <c r="AY4658" s="498">
        <f t="shared" si="1607"/>
        <v>0</v>
      </c>
      <c r="BB4658" s="498" t="str">
        <f t="shared" si="1608"/>
        <v/>
      </c>
      <c r="BC4658" s="743" t="str">
        <f t="shared" si="1609"/>
        <v/>
      </c>
      <c r="BD4658" s="743" t="str">
        <f t="shared" si="1610"/>
        <v/>
      </c>
      <c r="BE4658" s="743" t="str">
        <f>IF(D4658="","",VLOOKUP(D4658,'General Basis'!$J$39:$K$46,2,0))</f>
        <v/>
      </c>
      <c r="BF4658" s="744" t="str">
        <f>IF(D4658="","",VLOOKUP(D4658,'General Basis'!$J$39:$L$46,3,0))</f>
        <v/>
      </c>
      <c r="BG4658" s="744" t="str">
        <f t="shared" si="1617"/>
        <v/>
      </c>
      <c r="BH4658" s="744" t="str">
        <f>IF(G4658="","",IF(BF4658="Abu Dhabi",IF(G4658&lt;18,'General Basis'!$C$39,IF(G4658&lt;41,'General Basis'!$C$40,IF(G4658&lt;60,'General Basis'!$C$41,IF(G4658&lt;65,'General Basis'!$C$42,'General Basis'!$C$43)))),IF(G4658&lt;11,'General Basis'!$B$39,IF(G4658&lt;18,'General Basis'!$B$40,IF(G4658&lt;26,'General Basis'!$B$41,IF(G4658&lt;31,'General Basis'!$B$42,IF(G4658&lt;36,'General Basis'!$B$43,IF(G4658&lt;41,'General Basis'!$B$44,IF(G4658&lt;46,'General Basis'!$B$45,IF(G4658&lt;51,'General Basis'!$B$46,IF(G4658&lt;56,'General Basis'!$B$47,IF(G4658&lt;60,'General Basis'!$B$48,IF(G4658&lt;65,'General Basis'!$B$49,'General Basis'!$B$50)))))))))))))</f>
        <v/>
      </c>
      <c r="BI4658" s="744" t="str">
        <f t="shared" si="1611"/>
        <v/>
      </c>
      <c r="BJ4658" s="747" t="str">
        <f t="shared" si="1618"/>
        <v/>
      </c>
      <c r="BK4658" s="498" t="str">
        <f t="shared" si="1612"/>
        <v/>
      </c>
      <c r="BL4658" s="498" t="str">
        <f t="shared" si="1613"/>
        <v/>
      </c>
    </row>
    <row r="4659" spans="1:64" x14ac:dyDescent="0.25">
      <c r="A4659" s="762">
        <f t="shared" si="1614"/>
        <v>4654</v>
      </c>
      <c r="B4659" s="229"/>
      <c r="C4659" s="223"/>
      <c r="D4659" s="224"/>
      <c r="E4659" s="225"/>
      <c r="F4659" s="1036" t="str">
        <f t="shared" si="1620"/>
        <v/>
      </c>
      <c r="G4659" s="1037" t="str">
        <f t="shared" si="1615"/>
        <v/>
      </c>
      <c r="H4659" s="225"/>
      <c r="I4659" s="1013"/>
      <c r="J4659" s="1013"/>
      <c r="K4659" s="1028"/>
      <c r="L4659" s="1035" t="str">
        <f t="shared" si="1619"/>
        <v/>
      </c>
      <c r="S4659" s="498"/>
      <c r="AJ4659" s="498"/>
      <c r="AM4659" s="498">
        <f t="shared" si="1600"/>
        <v>0</v>
      </c>
      <c r="AN4659" s="498">
        <f t="shared" si="1601"/>
        <v>0</v>
      </c>
      <c r="AO4659" s="498">
        <f t="shared" si="1602"/>
        <v>0</v>
      </c>
      <c r="AP4659" s="498">
        <f t="shared" si="1621"/>
        <v>0</v>
      </c>
      <c r="AQ4659" s="498">
        <f t="shared" si="1616"/>
        <v>0</v>
      </c>
      <c r="AU4659" s="498">
        <f t="shared" si="1603"/>
        <v>0</v>
      </c>
      <c r="AV4659" s="498">
        <f t="shared" si="1604"/>
        <v>0</v>
      </c>
      <c r="AW4659" s="498">
        <f t="shared" si="1605"/>
        <v>0</v>
      </c>
      <c r="AX4659" s="498">
        <f t="shared" si="1606"/>
        <v>0</v>
      </c>
      <c r="AY4659" s="498">
        <f t="shared" si="1607"/>
        <v>0</v>
      </c>
      <c r="BB4659" s="498" t="str">
        <f t="shared" si="1608"/>
        <v/>
      </c>
      <c r="BC4659" s="743" t="str">
        <f t="shared" si="1609"/>
        <v/>
      </c>
      <c r="BD4659" s="743" t="str">
        <f t="shared" si="1610"/>
        <v/>
      </c>
      <c r="BE4659" s="743" t="str">
        <f>IF(D4659="","",VLOOKUP(D4659,'General Basis'!$J$39:$K$46,2,0))</f>
        <v/>
      </c>
      <c r="BF4659" s="744" t="str">
        <f>IF(D4659="","",VLOOKUP(D4659,'General Basis'!$J$39:$L$46,3,0))</f>
        <v/>
      </c>
      <c r="BG4659" s="744" t="str">
        <f t="shared" si="1617"/>
        <v/>
      </c>
      <c r="BH4659" s="744" t="str">
        <f>IF(G4659="","",IF(BF4659="Abu Dhabi",IF(G4659&lt;18,'General Basis'!$C$39,IF(G4659&lt;41,'General Basis'!$C$40,IF(G4659&lt;60,'General Basis'!$C$41,IF(G4659&lt;65,'General Basis'!$C$42,'General Basis'!$C$43)))),IF(G4659&lt;11,'General Basis'!$B$39,IF(G4659&lt;18,'General Basis'!$B$40,IF(G4659&lt;26,'General Basis'!$B$41,IF(G4659&lt;31,'General Basis'!$B$42,IF(G4659&lt;36,'General Basis'!$B$43,IF(G4659&lt;41,'General Basis'!$B$44,IF(G4659&lt;46,'General Basis'!$B$45,IF(G4659&lt;51,'General Basis'!$B$46,IF(G4659&lt;56,'General Basis'!$B$47,IF(G4659&lt;60,'General Basis'!$B$48,IF(G4659&lt;65,'General Basis'!$B$49,'General Basis'!$B$50)))))))))))))</f>
        <v/>
      </c>
      <c r="BI4659" s="744" t="str">
        <f t="shared" si="1611"/>
        <v/>
      </c>
      <c r="BJ4659" s="747" t="str">
        <f t="shared" si="1618"/>
        <v/>
      </c>
      <c r="BK4659" s="498" t="str">
        <f t="shared" si="1612"/>
        <v/>
      </c>
      <c r="BL4659" s="498" t="str">
        <f t="shared" si="1613"/>
        <v/>
      </c>
    </row>
    <row r="4660" spans="1:64" x14ac:dyDescent="0.25">
      <c r="A4660" s="762">
        <f t="shared" si="1614"/>
        <v>4655</v>
      </c>
      <c r="B4660" s="229"/>
      <c r="C4660" s="223"/>
      <c r="D4660" s="224"/>
      <c r="E4660" s="225"/>
      <c r="F4660" s="1036" t="str">
        <f t="shared" si="1620"/>
        <v/>
      </c>
      <c r="G4660" s="1037" t="str">
        <f t="shared" si="1615"/>
        <v/>
      </c>
      <c r="H4660" s="225"/>
      <c r="I4660" s="1013"/>
      <c r="J4660" s="1013"/>
      <c r="K4660" s="1028"/>
      <c r="L4660" s="1035" t="str">
        <f t="shared" si="1619"/>
        <v/>
      </c>
      <c r="S4660" s="498"/>
      <c r="AJ4660" s="498"/>
      <c r="AM4660" s="498">
        <f t="shared" si="1600"/>
        <v>0</v>
      </c>
      <c r="AN4660" s="498">
        <f t="shared" si="1601"/>
        <v>0</v>
      </c>
      <c r="AO4660" s="498">
        <f t="shared" si="1602"/>
        <v>0</v>
      </c>
      <c r="AP4660" s="498">
        <f t="shared" si="1621"/>
        <v>0</v>
      </c>
      <c r="AQ4660" s="498">
        <f t="shared" si="1616"/>
        <v>0</v>
      </c>
      <c r="AU4660" s="498">
        <f t="shared" si="1603"/>
        <v>0</v>
      </c>
      <c r="AV4660" s="498">
        <f t="shared" si="1604"/>
        <v>0</v>
      </c>
      <c r="AW4660" s="498">
        <f t="shared" si="1605"/>
        <v>0</v>
      </c>
      <c r="AX4660" s="498">
        <f t="shared" si="1606"/>
        <v>0</v>
      </c>
      <c r="AY4660" s="498">
        <f t="shared" si="1607"/>
        <v>0</v>
      </c>
      <c r="BB4660" s="498" t="str">
        <f t="shared" si="1608"/>
        <v/>
      </c>
      <c r="BC4660" s="743" t="str">
        <f t="shared" si="1609"/>
        <v/>
      </c>
      <c r="BD4660" s="743" t="str">
        <f t="shared" si="1610"/>
        <v/>
      </c>
      <c r="BE4660" s="743" t="str">
        <f>IF(D4660="","",VLOOKUP(D4660,'General Basis'!$J$39:$K$46,2,0))</f>
        <v/>
      </c>
      <c r="BF4660" s="744" t="str">
        <f>IF(D4660="","",VLOOKUP(D4660,'General Basis'!$J$39:$L$46,3,0))</f>
        <v/>
      </c>
      <c r="BG4660" s="744" t="str">
        <f t="shared" si="1617"/>
        <v/>
      </c>
      <c r="BH4660" s="744" t="str">
        <f>IF(G4660="","",IF(BF4660="Abu Dhabi",IF(G4660&lt;18,'General Basis'!$C$39,IF(G4660&lt;41,'General Basis'!$C$40,IF(G4660&lt;60,'General Basis'!$C$41,IF(G4660&lt;65,'General Basis'!$C$42,'General Basis'!$C$43)))),IF(G4660&lt;11,'General Basis'!$B$39,IF(G4660&lt;18,'General Basis'!$B$40,IF(G4660&lt;26,'General Basis'!$B$41,IF(G4660&lt;31,'General Basis'!$B$42,IF(G4660&lt;36,'General Basis'!$B$43,IF(G4660&lt;41,'General Basis'!$B$44,IF(G4660&lt;46,'General Basis'!$B$45,IF(G4660&lt;51,'General Basis'!$B$46,IF(G4660&lt;56,'General Basis'!$B$47,IF(G4660&lt;60,'General Basis'!$B$48,IF(G4660&lt;65,'General Basis'!$B$49,'General Basis'!$B$50)))))))))))))</f>
        <v/>
      </c>
      <c r="BI4660" s="744" t="str">
        <f t="shared" si="1611"/>
        <v/>
      </c>
      <c r="BJ4660" s="747" t="str">
        <f t="shared" si="1618"/>
        <v/>
      </c>
      <c r="BK4660" s="498" t="str">
        <f t="shared" si="1612"/>
        <v/>
      </c>
      <c r="BL4660" s="498" t="str">
        <f t="shared" si="1613"/>
        <v/>
      </c>
    </row>
    <row r="4661" spans="1:64" x14ac:dyDescent="0.25">
      <c r="A4661" s="762">
        <f t="shared" si="1614"/>
        <v>4656</v>
      </c>
      <c r="B4661" s="229"/>
      <c r="C4661" s="223"/>
      <c r="D4661" s="224"/>
      <c r="E4661" s="225"/>
      <c r="F4661" s="1036" t="str">
        <f t="shared" si="1620"/>
        <v/>
      </c>
      <c r="G4661" s="1037" t="str">
        <f t="shared" si="1615"/>
        <v/>
      </c>
      <c r="H4661" s="225"/>
      <c r="I4661" s="1013"/>
      <c r="J4661" s="1013"/>
      <c r="K4661" s="1028"/>
      <c r="L4661" s="1035" t="str">
        <f t="shared" si="1619"/>
        <v/>
      </c>
      <c r="S4661" s="498"/>
      <c r="AJ4661" s="498"/>
      <c r="AM4661" s="498">
        <f t="shared" si="1600"/>
        <v>0</v>
      </c>
      <c r="AN4661" s="498">
        <f t="shared" si="1601"/>
        <v>0</v>
      </c>
      <c r="AO4661" s="498">
        <f t="shared" si="1602"/>
        <v>0</v>
      </c>
      <c r="AP4661" s="498">
        <f t="shared" si="1621"/>
        <v>0</v>
      </c>
      <c r="AQ4661" s="498">
        <f t="shared" si="1616"/>
        <v>0</v>
      </c>
      <c r="AU4661" s="498">
        <f t="shared" si="1603"/>
        <v>0</v>
      </c>
      <c r="AV4661" s="498">
        <f t="shared" si="1604"/>
        <v>0</v>
      </c>
      <c r="AW4661" s="498">
        <f t="shared" si="1605"/>
        <v>0</v>
      </c>
      <c r="AX4661" s="498">
        <f t="shared" si="1606"/>
        <v>0</v>
      </c>
      <c r="AY4661" s="498">
        <f t="shared" si="1607"/>
        <v>0</v>
      </c>
      <c r="BB4661" s="498" t="str">
        <f t="shared" si="1608"/>
        <v/>
      </c>
      <c r="BC4661" s="743" t="str">
        <f t="shared" si="1609"/>
        <v/>
      </c>
      <c r="BD4661" s="743" t="str">
        <f t="shared" si="1610"/>
        <v/>
      </c>
      <c r="BE4661" s="743" t="str">
        <f>IF(D4661="","",VLOOKUP(D4661,'General Basis'!$J$39:$K$46,2,0))</f>
        <v/>
      </c>
      <c r="BF4661" s="744" t="str">
        <f>IF(D4661="","",VLOOKUP(D4661,'General Basis'!$J$39:$L$46,3,0))</f>
        <v/>
      </c>
      <c r="BG4661" s="744" t="str">
        <f t="shared" si="1617"/>
        <v/>
      </c>
      <c r="BH4661" s="744" t="str">
        <f>IF(G4661="","",IF(BF4661="Abu Dhabi",IF(G4661&lt;18,'General Basis'!$C$39,IF(G4661&lt;41,'General Basis'!$C$40,IF(G4661&lt;60,'General Basis'!$C$41,IF(G4661&lt;65,'General Basis'!$C$42,'General Basis'!$C$43)))),IF(G4661&lt;11,'General Basis'!$B$39,IF(G4661&lt;18,'General Basis'!$B$40,IF(G4661&lt;26,'General Basis'!$B$41,IF(G4661&lt;31,'General Basis'!$B$42,IF(G4661&lt;36,'General Basis'!$B$43,IF(G4661&lt;41,'General Basis'!$B$44,IF(G4661&lt;46,'General Basis'!$B$45,IF(G4661&lt;51,'General Basis'!$B$46,IF(G4661&lt;56,'General Basis'!$B$47,IF(G4661&lt;60,'General Basis'!$B$48,IF(G4661&lt;65,'General Basis'!$B$49,'General Basis'!$B$50)))))))))))))</f>
        <v/>
      </c>
      <c r="BI4661" s="744" t="str">
        <f t="shared" si="1611"/>
        <v/>
      </c>
      <c r="BJ4661" s="747" t="str">
        <f t="shared" si="1618"/>
        <v/>
      </c>
      <c r="BK4661" s="498" t="str">
        <f t="shared" si="1612"/>
        <v/>
      </c>
      <c r="BL4661" s="498" t="str">
        <f t="shared" si="1613"/>
        <v/>
      </c>
    </row>
    <row r="4662" spans="1:64" x14ac:dyDescent="0.25">
      <c r="A4662" s="762">
        <f t="shared" si="1614"/>
        <v>4657</v>
      </c>
      <c r="B4662" s="229"/>
      <c r="C4662" s="223"/>
      <c r="D4662" s="224"/>
      <c r="E4662" s="225"/>
      <c r="F4662" s="1036" t="str">
        <f t="shared" si="1620"/>
        <v/>
      </c>
      <c r="G4662" s="1037" t="str">
        <f t="shared" si="1615"/>
        <v/>
      </c>
      <c r="H4662" s="225"/>
      <c r="I4662" s="1013"/>
      <c r="J4662" s="1013"/>
      <c r="K4662" s="1028"/>
      <c r="L4662" s="1035" t="str">
        <f t="shared" si="1619"/>
        <v/>
      </c>
      <c r="S4662" s="498"/>
      <c r="AJ4662" s="498"/>
      <c r="AM4662" s="498">
        <f t="shared" si="1600"/>
        <v>0</v>
      </c>
      <c r="AN4662" s="498">
        <f t="shared" si="1601"/>
        <v>0</v>
      </c>
      <c r="AO4662" s="498">
        <f t="shared" si="1602"/>
        <v>0</v>
      </c>
      <c r="AP4662" s="498">
        <f t="shared" si="1621"/>
        <v>0</v>
      </c>
      <c r="AQ4662" s="498">
        <f t="shared" si="1616"/>
        <v>0</v>
      </c>
      <c r="AU4662" s="498">
        <f t="shared" si="1603"/>
        <v>0</v>
      </c>
      <c r="AV4662" s="498">
        <f t="shared" si="1604"/>
        <v>0</v>
      </c>
      <c r="AW4662" s="498">
        <f t="shared" si="1605"/>
        <v>0</v>
      </c>
      <c r="AX4662" s="498">
        <f t="shared" si="1606"/>
        <v>0</v>
      </c>
      <c r="AY4662" s="498">
        <f t="shared" si="1607"/>
        <v>0</v>
      </c>
      <c r="BB4662" s="498" t="str">
        <f t="shared" si="1608"/>
        <v/>
      </c>
      <c r="BC4662" s="743" t="str">
        <f t="shared" si="1609"/>
        <v/>
      </c>
      <c r="BD4662" s="743" t="str">
        <f t="shared" si="1610"/>
        <v/>
      </c>
      <c r="BE4662" s="743" t="str">
        <f>IF(D4662="","",VLOOKUP(D4662,'General Basis'!$J$39:$K$46,2,0))</f>
        <v/>
      </c>
      <c r="BF4662" s="744" t="str">
        <f>IF(D4662="","",VLOOKUP(D4662,'General Basis'!$J$39:$L$46,3,0))</f>
        <v/>
      </c>
      <c r="BG4662" s="744" t="str">
        <f t="shared" si="1617"/>
        <v/>
      </c>
      <c r="BH4662" s="744" t="str">
        <f>IF(G4662="","",IF(BF4662="Abu Dhabi",IF(G4662&lt;18,'General Basis'!$C$39,IF(G4662&lt;41,'General Basis'!$C$40,IF(G4662&lt;60,'General Basis'!$C$41,IF(G4662&lt;65,'General Basis'!$C$42,'General Basis'!$C$43)))),IF(G4662&lt;11,'General Basis'!$B$39,IF(G4662&lt;18,'General Basis'!$B$40,IF(G4662&lt;26,'General Basis'!$B$41,IF(G4662&lt;31,'General Basis'!$B$42,IF(G4662&lt;36,'General Basis'!$B$43,IF(G4662&lt;41,'General Basis'!$B$44,IF(G4662&lt;46,'General Basis'!$B$45,IF(G4662&lt;51,'General Basis'!$B$46,IF(G4662&lt;56,'General Basis'!$B$47,IF(G4662&lt;60,'General Basis'!$B$48,IF(G4662&lt;65,'General Basis'!$B$49,'General Basis'!$B$50)))))))))))))</f>
        <v/>
      </c>
      <c r="BI4662" s="744" t="str">
        <f t="shared" si="1611"/>
        <v/>
      </c>
      <c r="BJ4662" s="747" t="str">
        <f t="shared" si="1618"/>
        <v/>
      </c>
      <c r="BK4662" s="498" t="str">
        <f t="shared" si="1612"/>
        <v/>
      </c>
      <c r="BL4662" s="498" t="str">
        <f t="shared" si="1613"/>
        <v/>
      </c>
    </row>
    <row r="4663" spans="1:64" x14ac:dyDescent="0.25">
      <c r="A4663" s="762">
        <f t="shared" si="1614"/>
        <v>4658</v>
      </c>
      <c r="B4663" s="229"/>
      <c r="C4663" s="223"/>
      <c r="D4663" s="224"/>
      <c r="E4663" s="225"/>
      <c r="F4663" s="1036" t="str">
        <f t="shared" si="1620"/>
        <v/>
      </c>
      <c r="G4663" s="1037" t="str">
        <f t="shared" si="1615"/>
        <v/>
      </c>
      <c r="H4663" s="225"/>
      <c r="I4663" s="1013"/>
      <c r="J4663" s="1013"/>
      <c r="K4663" s="1028"/>
      <c r="L4663" s="1035" t="str">
        <f t="shared" si="1619"/>
        <v/>
      </c>
      <c r="S4663" s="498"/>
      <c r="AJ4663" s="498"/>
      <c r="AM4663" s="498">
        <f t="shared" si="1600"/>
        <v>0</v>
      </c>
      <c r="AN4663" s="498">
        <f t="shared" si="1601"/>
        <v>0</v>
      </c>
      <c r="AO4663" s="498">
        <f t="shared" si="1602"/>
        <v>0</v>
      </c>
      <c r="AP4663" s="498">
        <f t="shared" si="1621"/>
        <v>0</v>
      </c>
      <c r="AQ4663" s="498">
        <f t="shared" si="1616"/>
        <v>0</v>
      </c>
      <c r="AU4663" s="498">
        <f t="shared" si="1603"/>
        <v>0</v>
      </c>
      <c r="AV4663" s="498">
        <f t="shared" si="1604"/>
        <v>0</v>
      </c>
      <c r="AW4663" s="498">
        <f t="shared" si="1605"/>
        <v>0</v>
      </c>
      <c r="AX4663" s="498">
        <f t="shared" si="1606"/>
        <v>0</v>
      </c>
      <c r="AY4663" s="498">
        <f t="shared" si="1607"/>
        <v>0</v>
      </c>
      <c r="BB4663" s="498" t="str">
        <f t="shared" si="1608"/>
        <v/>
      </c>
      <c r="BC4663" s="743" t="str">
        <f t="shared" si="1609"/>
        <v/>
      </c>
      <c r="BD4663" s="743" t="str">
        <f t="shared" si="1610"/>
        <v/>
      </c>
      <c r="BE4663" s="743" t="str">
        <f>IF(D4663="","",VLOOKUP(D4663,'General Basis'!$J$39:$K$46,2,0))</f>
        <v/>
      </c>
      <c r="BF4663" s="744" t="str">
        <f>IF(D4663="","",VLOOKUP(D4663,'General Basis'!$J$39:$L$46,3,0))</f>
        <v/>
      </c>
      <c r="BG4663" s="744" t="str">
        <f t="shared" si="1617"/>
        <v/>
      </c>
      <c r="BH4663" s="744" t="str">
        <f>IF(G4663="","",IF(BF4663="Abu Dhabi",IF(G4663&lt;18,'General Basis'!$C$39,IF(G4663&lt;41,'General Basis'!$C$40,IF(G4663&lt;60,'General Basis'!$C$41,IF(G4663&lt;65,'General Basis'!$C$42,'General Basis'!$C$43)))),IF(G4663&lt;11,'General Basis'!$B$39,IF(G4663&lt;18,'General Basis'!$B$40,IF(G4663&lt;26,'General Basis'!$B$41,IF(G4663&lt;31,'General Basis'!$B$42,IF(G4663&lt;36,'General Basis'!$B$43,IF(G4663&lt;41,'General Basis'!$B$44,IF(G4663&lt;46,'General Basis'!$B$45,IF(G4663&lt;51,'General Basis'!$B$46,IF(G4663&lt;56,'General Basis'!$B$47,IF(G4663&lt;60,'General Basis'!$B$48,IF(G4663&lt;65,'General Basis'!$B$49,'General Basis'!$B$50)))))))))))))</f>
        <v/>
      </c>
      <c r="BI4663" s="744" t="str">
        <f t="shared" si="1611"/>
        <v/>
      </c>
      <c r="BJ4663" s="747" t="str">
        <f t="shared" si="1618"/>
        <v/>
      </c>
      <c r="BK4663" s="498" t="str">
        <f t="shared" si="1612"/>
        <v/>
      </c>
      <c r="BL4663" s="498" t="str">
        <f t="shared" si="1613"/>
        <v/>
      </c>
    </row>
    <row r="4664" spans="1:64" x14ac:dyDescent="0.25">
      <c r="A4664" s="762">
        <f t="shared" si="1614"/>
        <v>4659</v>
      </c>
      <c r="B4664" s="229"/>
      <c r="C4664" s="223"/>
      <c r="D4664" s="224"/>
      <c r="E4664" s="225"/>
      <c r="F4664" s="1036" t="str">
        <f t="shared" si="1620"/>
        <v/>
      </c>
      <c r="G4664" s="1037" t="str">
        <f t="shared" si="1615"/>
        <v/>
      </c>
      <c r="H4664" s="225"/>
      <c r="I4664" s="1013"/>
      <c r="J4664" s="1013"/>
      <c r="K4664" s="1028"/>
      <c r="L4664" s="1035" t="str">
        <f t="shared" si="1619"/>
        <v/>
      </c>
      <c r="S4664" s="498"/>
      <c r="AJ4664" s="498"/>
      <c r="AM4664" s="498">
        <f t="shared" si="1600"/>
        <v>0</v>
      </c>
      <c r="AN4664" s="498">
        <f t="shared" si="1601"/>
        <v>0</v>
      </c>
      <c r="AO4664" s="498">
        <f t="shared" si="1602"/>
        <v>0</v>
      </c>
      <c r="AP4664" s="498">
        <f t="shared" si="1621"/>
        <v>0</v>
      </c>
      <c r="AQ4664" s="498">
        <f t="shared" si="1616"/>
        <v>0</v>
      </c>
      <c r="AU4664" s="498">
        <f t="shared" si="1603"/>
        <v>0</v>
      </c>
      <c r="AV4664" s="498">
        <f t="shared" si="1604"/>
        <v>0</v>
      </c>
      <c r="AW4664" s="498">
        <f t="shared" si="1605"/>
        <v>0</v>
      </c>
      <c r="AX4664" s="498">
        <f t="shared" si="1606"/>
        <v>0</v>
      </c>
      <c r="AY4664" s="498">
        <f t="shared" si="1607"/>
        <v>0</v>
      </c>
      <c r="BB4664" s="498" t="str">
        <f t="shared" si="1608"/>
        <v/>
      </c>
      <c r="BC4664" s="743" t="str">
        <f t="shared" si="1609"/>
        <v/>
      </c>
      <c r="BD4664" s="743" t="str">
        <f t="shared" si="1610"/>
        <v/>
      </c>
      <c r="BE4664" s="743" t="str">
        <f>IF(D4664="","",VLOOKUP(D4664,'General Basis'!$J$39:$K$46,2,0))</f>
        <v/>
      </c>
      <c r="BF4664" s="744" t="str">
        <f>IF(D4664="","",VLOOKUP(D4664,'General Basis'!$J$39:$L$46,3,0))</f>
        <v/>
      </c>
      <c r="BG4664" s="744" t="str">
        <f t="shared" si="1617"/>
        <v/>
      </c>
      <c r="BH4664" s="744" t="str">
        <f>IF(G4664="","",IF(BF4664="Abu Dhabi",IF(G4664&lt;18,'General Basis'!$C$39,IF(G4664&lt;41,'General Basis'!$C$40,IF(G4664&lt;60,'General Basis'!$C$41,IF(G4664&lt;65,'General Basis'!$C$42,'General Basis'!$C$43)))),IF(G4664&lt;11,'General Basis'!$B$39,IF(G4664&lt;18,'General Basis'!$B$40,IF(G4664&lt;26,'General Basis'!$B$41,IF(G4664&lt;31,'General Basis'!$B$42,IF(G4664&lt;36,'General Basis'!$B$43,IF(G4664&lt;41,'General Basis'!$B$44,IF(G4664&lt;46,'General Basis'!$B$45,IF(G4664&lt;51,'General Basis'!$B$46,IF(G4664&lt;56,'General Basis'!$B$47,IF(G4664&lt;60,'General Basis'!$B$48,IF(G4664&lt;65,'General Basis'!$B$49,'General Basis'!$B$50)))))))))))))</f>
        <v/>
      </c>
      <c r="BI4664" s="744" t="str">
        <f t="shared" si="1611"/>
        <v/>
      </c>
      <c r="BJ4664" s="747" t="str">
        <f t="shared" si="1618"/>
        <v/>
      </c>
      <c r="BK4664" s="498" t="str">
        <f t="shared" si="1612"/>
        <v/>
      </c>
      <c r="BL4664" s="498" t="str">
        <f t="shared" si="1613"/>
        <v/>
      </c>
    </row>
    <row r="4665" spans="1:64" x14ac:dyDescent="0.25">
      <c r="A4665" s="762">
        <f t="shared" si="1614"/>
        <v>4660</v>
      </c>
      <c r="B4665" s="229"/>
      <c r="C4665" s="223"/>
      <c r="D4665" s="224"/>
      <c r="E4665" s="225"/>
      <c r="F4665" s="1036" t="str">
        <f t="shared" si="1620"/>
        <v/>
      </c>
      <c r="G4665" s="1037" t="str">
        <f t="shared" si="1615"/>
        <v/>
      </c>
      <c r="H4665" s="225"/>
      <c r="I4665" s="1013"/>
      <c r="J4665" s="1013"/>
      <c r="K4665" s="1028"/>
      <c r="L4665" s="1035" t="str">
        <f t="shared" si="1619"/>
        <v/>
      </c>
      <c r="S4665" s="498"/>
      <c r="AJ4665" s="498"/>
      <c r="AM4665" s="498">
        <f t="shared" si="1600"/>
        <v>0</v>
      </c>
      <c r="AN4665" s="498">
        <f t="shared" si="1601"/>
        <v>0</v>
      </c>
      <c r="AO4665" s="498">
        <f t="shared" si="1602"/>
        <v>0</v>
      </c>
      <c r="AP4665" s="498">
        <f t="shared" si="1621"/>
        <v>0</v>
      </c>
      <c r="AQ4665" s="498">
        <f t="shared" si="1616"/>
        <v>0</v>
      </c>
      <c r="AU4665" s="498">
        <f t="shared" si="1603"/>
        <v>0</v>
      </c>
      <c r="AV4665" s="498">
        <f t="shared" si="1604"/>
        <v>0</v>
      </c>
      <c r="AW4665" s="498">
        <f t="shared" si="1605"/>
        <v>0</v>
      </c>
      <c r="AX4665" s="498">
        <f t="shared" si="1606"/>
        <v>0</v>
      </c>
      <c r="AY4665" s="498">
        <f t="shared" si="1607"/>
        <v>0</v>
      </c>
      <c r="BB4665" s="498" t="str">
        <f t="shared" si="1608"/>
        <v/>
      </c>
      <c r="BC4665" s="743" t="str">
        <f t="shared" si="1609"/>
        <v/>
      </c>
      <c r="BD4665" s="743" t="str">
        <f t="shared" si="1610"/>
        <v/>
      </c>
      <c r="BE4665" s="743" t="str">
        <f>IF(D4665="","",VLOOKUP(D4665,'General Basis'!$J$39:$K$46,2,0))</f>
        <v/>
      </c>
      <c r="BF4665" s="744" t="str">
        <f>IF(D4665="","",VLOOKUP(D4665,'General Basis'!$J$39:$L$46,3,0))</f>
        <v/>
      </c>
      <c r="BG4665" s="744" t="str">
        <f t="shared" si="1617"/>
        <v/>
      </c>
      <c r="BH4665" s="744" t="str">
        <f>IF(G4665="","",IF(BF4665="Abu Dhabi",IF(G4665&lt;18,'General Basis'!$C$39,IF(G4665&lt;41,'General Basis'!$C$40,IF(G4665&lt;60,'General Basis'!$C$41,IF(G4665&lt;65,'General Basis'!$C$42,'General Basis'!$C$43)))),IF(G4665&lt;11,'General Basis'!$B$39,IF(G4665&lt;18,'General Basis'!$B$40,IF(G4665&lt;26,'General Basis'!$B$41,IF(G4665&lt;31,'General Basis'!$B$42,IF(G4665&lt;36,'General Basis'!$B$43,IF(G4665&lt;41,'General Basis'!$B$44,IF(G4665&lt;46,'General Basis'!$B$45,IF(G4665&lt;51,'General Basis'!$B$46,IF(G4665&lt;56,'General Basis'!$B$47,IF(G4665&lt;60,'General Basis'!$B$48,IF(G4665&lt;65,'General Basis'!$B$49,'General Basis'!$B$50)))))))))))))</f>
        <v/>
      </c>
      <c r="BI4665" s="744" t="str">
        <f t="shared" si="1611"/>
        <v/>
      </c>
      <c r="BJ4665" s="747" t="str">
        <f t="shared" si="1618"/>
        <v/>
      </c>
      <c r="BK4665" s="498" t="str">
        <f t="shared" si="1612"/>
        <v/>
      </c>
      <c r="BL4665" s="498" t="str">
        <f t="shared" si="1613"/>
        <v/>
      </c>
    </row>
    <row r="4666" spans="1:64" x14ac:dyDescent="0.25">
      <c r="A4666" s="762">
        <f t="shared" si="1614"/>
        <v>4661</v>
      </c>
      <c r="B4666" s="229"/>
      <c r="C4666" s="223"/>
      <c r="D4666" s="224"/>
      <c r="E4666" s="225"/>
      <c r="F4666" s="1036" t="str">
        <f t="shared" si="1620"/>
        <v/>
      </c>
      <c r="G4666" s="1037" t="str">
        <f t="shared" si="1615"/>
        <v/>
      </c>
      <c r="H4666" s="225"/>
      <c r="I4666" s="1013"/>
      <c r="J4666" s="1013"/>
      <c r="K4666" s="1028"/>
      <c r="L4666" s="1035" t="str">
        <f t="shared" si="1619"/>
        <v/>
      </c>
      <c r="S4666" s="498"/>
      <c r="AJ4666" s="498"/>
      <c r="AM4666" s="498">
        <f t="shared" si="1600"/>
        <v>0</v>
      </c>
      <c r="AN4666" s="498">
        <f t="shared" si="1601"/>
        <v>0</v>
      </c>
      <c r="AO4666" s="498">
        <f t="shared" si="1602"/>
        <v>0</v>
      </c>
      <c r="AP4666" s="498">
        <f t="shared" si="1621"/>
        <v>0</v>
      </c>
      <c r="AQ4666" s="498">
        <f t="shared" si="1616"/>
        <v>0</v>
      </c>
      <c r="AU4666" s="498">
        <f t="shared" si="1603"/>
        <v>0</v>
      </c>
      <c r="AV4666" s="498">
        <f t="shared" si="1604"/>
        <v>0</v>
      </c>
      <c r="AW4666" s="498">
        <f t="shared" si="1605"/>
        <v>0</v>
      </c>
      <c r="AX4666" s="498">
        <f t="shared" si="1606"/>
        <v>0</v>
      </c>
      <c r="AY4666" s="498">
        <f t="shared" si="1607"/>
        <v>0</v>
      </c>
      <c r="BB4666" s="498" t="str">
        <f t="shared" si="1608"/>
        <v/>
      </c>
      <c r="BC4666" s="743" t="str">
        <f t="shared" si="1609"/>
        <v/>
      </c>
      <c r="BD4666" s="743" t="str">
        <f t="shared" si="1610"/>
        <v/>
      </c>
      <c r="BE4666" s="743" t="str">
        <f>IF(D4666="","",VLOOKUP(D4666,'General Basis'!$J$39:$K$46,2,0))</f>
        <v/>
      </c>
      <c r="BF4666" s="744" t="str">
        <f>IF(D4666="","",VLOOKUP(D4666,'General Basis'!$J$39:$L$46,3,0))</f>
        <v/>
      </c>
      <c r="BG4666" s="744" t="str">
        <f t="shared" si="1617"/>
        <v/>
      </c>
      <c r="BH4666" s="744" t="str">
        <f>IF(G4666="","",IF(BF4666="Abu Dhabi",IF(G4666&lt;18,'General Basis'!$C$39,IF(G4666&lt;41,'General Basis'!$C$40,IF(G4666&lt;60,'General Basis'!$C$41,IF(G4666&lt;65,'General Basis'!$C$42,'General Basis'!$C$43)))),IF(G4666&lt;11,'General Basis'!$B$39,IF(G4666&lt;18,'General Basis'!$B$40,IF(G4666&lt;26,'General Basis'!$B$41,IF(G4666&lt;31,'General Basis'!$B$42,IF(G4666&lt;36,'General Basis'!$B$43,IF(G4666&lt;41,'General Basis'!$B$44,IF(G4666&lt;46,'General Basis'!$B$45,IF(G4666&lt;51,'General Basis'!$B$46,IF(G4666&lt;56,'General Basis'!$B$47,IF(G4666&lt;60,'General Basis'!$B$48,IF(G4666&lt;65,'General Basis'!$B$49,'General Basis'!$B$50)))))))))))))</f>
        <v/>
      </c>
      <c r="BI4666" s="744" t="str">
        <f t="shared" si="1611"/>
        <v/>
      </c>
      <c r="BJ4666" s="747" t="str">
        <f t="shared" si="1618"/>
        <v/>
      </c>
      <c r="BK4666" s="498" t="str">
        <f t="shared" si="1612"/>
        <v/>
      </c>
      <c r="BL4666" s="498" t="str">
        <f t="shared" si="1613"/>
        <v/>
      </c>
    </row>
    <row r="4667" spans="1:64" x14ac:dyDescent="0.25">
      <c r="A4667" s="762">
        <f t="shared" si="1614"/>
        <v>4662</v>
      </c>
      <c r="B4667" s="229"/>
      <c r="C4667" s="223"/>
      <c r="D4667" s="224"/>
      <c r="E4667" s="225"/>
      <c r="F4667" s="1036" t="str">
        <f t="shared" si="1620"/>
        <v/>
      </c>
      <c r="G4667" s="1037" t="str">
        <f t="shared" si="1615"/>
        <v/>
      </c>
      <c r="H4667" s="225"/>
      <c r="I4667" s="1013"/>
      <c r="J4667" s="1013"/>
      <c r="K4667" s="1028"/>
      <c r="L4667" s="1035" t="str">
        <f t="shared" si="1619"/>
        <v/>
      </c>
      <c r="S4667" s="498"/>
      <c r="AJ4667" s="498"/>
      <c r="AM4667" s="498">
        <f t="shared" si="1600"/>
        <v>0</v>
      </c>
      <c r="AN4667" s="498">
        <f t="shared" si="1601"/>
        <v>0</v>
      </c>
      <c r="AO4667" s="498">
        <f t="shared" si="1602"/>
        <v>0</v>
      </c>
      <c r="AP4667" s="498">
        <f t="shared" si="1621"/>
        <v>0</v>
      </c>
      <c r="AQ4667" s="498">
        <f t="shared" si="1616"/>
        <v>0</v>
      </c>
      <c r="AU4667" s="498">
        <f t="shared" si="1603"/>
        <v>0</v>
      </c>
      <c r="AV4667" s="498">
        <f t="shared" si="1604"/>
        <v>0</v>
      </c>
      <c r="AW4667" s="498">
        <f t="shared" si="1605"/>
        <v>0</v>
      </c>
      <c r="AX4667" s="498">
        <f t="shared" si="1606"/>
        <v>0</v>
      </c>
      <c r="AY4667" s="498">
        <f t="shared" si="1607"/>
        <v>0</v>
      </c>
      <c r="BB4667" s="498" t="str">
        <f t="shared" si="1608"/>
        <v/>
      </c>
      <c r="BC4667" s="743" t="str">
        <f t="shared" si="1609"/>
        <v/>
      </c>
      <c r="BD4667" s="743" t="str">
        <f t="shared" si="1610"/>
        <v/>
      </c>
      <c r="BE4667" s="743" t="str">
        <f>IF(D4667="","",VLOOKUP(D4667,'General Basis'!$J$39:$K$46,2,0))</f>
        <v/>
      </c>
      <c r="BF4667" s="744" t="str">
        <f>IF(D4667="","",VLOOKUP(D4667,'General Basis'!$J$39:$L$46,3,0))</f>
        <v/>
      </c>
      <c r="BG4667" s="744" t="str">
        <f t="shared" si="1617"/>
        <v/>
      </c>
      <c r="BH4667" s="744" t="str">
        <f>IF(G4667="","",IF(BF4667="Abu Dhabi",IF(G4667&lt;18,'General Basis'!$C$39,IF(G4667&lt;41,'General Basis'!$C$40,IF(G4667&lt;60,'General Basis'!$C$41,IF(G4667&lt;65,'General Basis'!$C$42,'General Basis'!$C$43)))),IF(G4667&lt;11,'General Basis'!$B$39,IF(G4667&lt;18,'General Basis'!$B$40,IF(G4667&lt;26,'General Basis'!$B$41,IF(G4667&lt;31,'General Basis'!$B$42,IF(G4667&lt;36,'General Basis'!$B$43,IF(G4667&lt;41,'General Basis'!$B$44,IF(G4667&lt;46,'General Basis'!$B$45,IF(G4667&lt;51,'General Basis'!$B$46,IF(G4667&lt;56,'General Basis'!$B$47,IF(G4667&lt;60,'General Basis'!$B$48,IF(G4667&lt;65,'General Basis'!$B$49,'General Basis'!$B$50)))))))))))))</f>
        <v/>
      </c>
      <c r="BI4667" s="744" t="str">
        <f t="shared" si="1611"/>
        <v/>
      </c>
      <c r="BJ4667" s="747" t="str">
        <f t="shared" si="1618"/>
        <v/>
      </c>
      <c r="BK4667" s="498" t="str">
        <f t="shared" si="1612"/>
        <v/>
      </c>
      <c r="BL4667" s="498" t="str">
        <f t="shared" si="1613"/>
        <v/>
      </c>
    </row>
    <row r="4668" spans="1:64" x14ac:dyDescent="0.25">
      <c r="A4668" s="762">
        <f t="shared" si="1614"/>
        <v>4663</v>
      </c>
      <c r="B4668" s="229"/>
      <c r="C4668" s="223"/>
      <c r="D4668" s="224"/>
      <c r="E4668" s="225"/>
      <c r="F4668" s="1036" t="str">
        <f t="shared" si="1620"/>
        <v/>
      </c>
      <c r="G4668" s="1037" t="str">
        <f t="shared" si="1615"/>
        <v/>
      </c>
      <c r="H4668" s="225"/>
      <c r="I4668" s="1013"/>
      <c r="J4668" s="1013"/>
      <c r="K4668" s="1028"/>
      <c r="L4668" s="1035" t="str">
        <f t="shared" si="1619"/>
        <v/>
      </c>
      <c r="S4668" s="498"/>
      <c r="AJ4668" s="498"/>
      <c r="AM4668" s="498">
        <f t="shared" si="1600"/>
        <v>0</v>
      </c>
      <c r="AN4668" s="498">
        <f t="shared" si="1601"/>
        <v>0</v>
      </c>
      <c r="AO4668" s="498">
        <f t="shared" si="1602"/>
        <v>0</v>
      </c>
      <c r="AP4668" s="498">
        <f t="shared" si="1621"/>
        <v>0</v>
      </c>
      <c r="AQ4668" s="498">
        <f t="shared" si="1616"/>
        <v>0</v>
      </c>
      <c r="AU4668" s="498">
        <f t="shared" si="1603"/>
        <v>0</v>
      </c>
      <c r="AV4668" s="498">
        <f t="shared" si="1604"/>
        <v>0</v>
      </c>
      <c r="AW4668" s="498">
        <f t="shared" si="1605"/>
        <v>0</v>
      </c>
      <c r="AX4668" s="498">
        <f t="shared" si="1606"/>
        <v>0</v>
      </c>
      <c r="AY4668" s="498">
        <f t="shared" si="1607"/>
        <v>0</v>
      </c>
      <c r="BB4668" s="498" t="str">
        <f t="shared" si="1608"/>
        <v/>
      </c>
      <c r="BC4668" s="743" t="str">
        <f t="shared" si="1609"/>
        <v/>
      </c>
      <c r="BD4668" s="743" t="str">
        <f t="shared" si="1610"/>
        <v/>
      </c>
      <c r="BE4668" s="743" t="str">
        <f>IF(D4668="","",VLOOKUP(D4668,'General Basis'!$J$39:$K$46,2,0))</f>
        <v/>
      </c>
      <c r="BF4668" s="744" t="str">
        <f>IF(D4668="","",VLOOKUP(D4668,'General Basis'!$J$39:$L$46,3,0))</f>
        <v/>
      </c>
      <c r="BG4668" s="744" t="str">
        <f t="shared" si="1617"/>
        <v/>
      </c>
      <c r="BH4668" s="744" t="str">
        <f>IF(G4668="","",IF(BF4668="Abu Dhabi",IF(G4668&lt;18,'General Basis'!$C$39,IF(G4668&lt;41,'General Basis'!$C$40,IF(G4668&lt;60,'General Basis'!$C$41,IF(G4668&lt;65,'General Basis'!$C$42,'General Basis'!$C$43)))),IF(G4668&lt;11,'General Basis'!$B$39,IF(G4668&lt;18,'General Basis'!$B$40,IF(G4668&lt;26,'General Basis'!$B$41,IF(G4668&lt;31,'General Basis'!$B$42,IF(G4668&lt;36,'General Basis'!$B$43,IF(G4668&lt;41,'General Basis'!$B$44,IF(G4668&lt;46,'General Basis'!$B$45,IF(G4668&lt;51,'General Basis'!$B$46,IF(G4668&lt;56,'General Basis'!$B$47,IF(G4668&lt;60,'General Basis'!$B$48,IF(G4668&lt;65,'General Basis'!$B$49,'General Basis'!$B$50)))))))))))))</f>
        <v/>
      </c>
      <c r="BI4668" s="744" t="str">
        <f t="shared" si="1611"/>
        <v/>
      </c>
      <c r="BJ4668" s="747" t="str">
        <f t="shared" si="1618"/>
        <v/>
      </c>
      <c r="BK4668" s="498" t="str">
        <f t="shared" si="1612"/>
        <v/>
      </c>
      <c r="BL4668" s="498" t="str">
        <f t="shared" si="1613"/>
        <v/>
      </c>
    </row>
    <row r="4669" spans="1:64" x14ac:dyDescent="0.25">
      <c r="A4669" s="762">
        <f t="shared" si="1614"/>
        <v>4664</v>
      </c>
      <c r="B4669" s="229"/>
      <c r="C4669" s="223"/>
      <c r="D4669" s="224"/>
      <c r="E4669" s="225"/>
      <c r="F4669" s="1036" t="str">
        <f t="shared" si="1620"/>
        <v/>
      </c>
      <c r="G4669" s="1037" t="str">
        <f t="shared" si="1615"/>
        <v/>
      </c>
      <c r="H4669" s="225"/>
      <c r="I4669" s="1013"/>
      <c r="J4669" s="1013"/>
      <c r="K4669" s="1028"/>
      <c r="L4669" s="1035" t="str">
        <f t="shared" si="1619"/>
        <v/>
      </c>
      <c r="S4669" s="498"/>
      <c r="AJ4669" s="498"/>
      <c r="AM4669" s="498">
        <f t="shared" si="1600"/>
        <v>0</v>
      </c>
      <c r="AN4669" s="498">
        <f t="shared" si="1601"/>
        <v>0</v>
      </c>
      <c r="AO4669" s="498">
        <f t="shared" si="1602"/>
        <v>0</v>
      </c>
      <c r="AP4669" s="498">
        <f t="shared" si="1621"/>
        <v>0</v>
      </c>
      <c r="AQ4669" s="498">
        <f t="shared" si="1616"/>
        <v>0</v>
      </c>
      <c r="AU4669" s="498">
        <f t="shared" si="1603"/>
        <v>0</v>
      </c>
      <c r="AV4669" s="498">
        <f t="shared" si="1604"/>
        <v>0</v>
      </c>
      <c r="AW4669" s="498">
        <f t="shared" si="1605"/>
        <v>0</v>
      </c>
      <c r="AX4669" s="498">
        <f t="shared" si="1606"/>
        <v>0</v>
      </c>
      <c r="AY4669" s="498">
        <f t="shared" si="1607"/>
        <v>0</v>
      </c>
      <c r="BB4669" s="498" t="str">
        <f t="shared" si="1608"/>
        <v/>
      </c>
      <c r="BC4669" s="743" t="str">
        <f t="shared" si="1609"/>
        <v/>
      </c>
      <c r="BD4669" s="743" t="str">
        <f t="shared" si="1610"/>
        <v/>
      </c>
      <c r="BE4669" s="743" t="str">
        <f>IF(D4669="","",VLOOKUP(D4669,'General Basis'!$J$39:$K$46,2,0))</f>
        <v/>
      </c>
      <c r="BF4669" s="744" t="str">
        <f>IF(D4669="","",VLOOKUP(D4669,'General Basis'!$J$39:$L$46,3,0))</f>
        <v/>
      </c>
      <c r="BG4669" s="744" t="str">
        <f t="shared" si="1617"/>
        <v/>
      </c>
      <c r="BH4669" s="744" t="str">
        <f>IF(G4669="","",IF(BF4669="Abu Dhabi",IF(G4669&lt;18,'General Basis'!$C$39,IF(G4669&lt;41,'General Basis'!$C$40,IF(G4669&lt;60,'General Basis'!$C$41,IF(G4669&lt;65,'General Basis'!$C$42,'General Basis'!$C$43)))),IF(G4669&lt;11,'General Basis'!$B$39,IF(G4669&lt;18,'General Basis'!$B$40,IF(G4669&lt;26,'General Basis'!$B$41,IF(G4669&lt;31,'General Basis'!$B$42,IF(G4669&lt;36,'General Basis'!$B$43,IF(G4669&lt;41,'General Basis'!$B$44,IF(G4669&lt;46,'General Basis'!$B$45,IF(G4669&lt;51,'General Basis'!$B$46,IF(G4669&lt;56,'General Basis'!$B$47,IF(G4669&lt;60,'General Basis'!$B$48,IF(G4669&lt;65,'General Basis'!$B$49,'General Basis'!$B$50)))))))))))))</f>
        <v/>
      </c>
      <c r="BI4669" s="744" t="str">
        <f t="shared" si="1611"/>
        <v/>
      </c>
      <c r="BJ4669" s="747" t="str">
        <f t="shared" si="1618"/>
        <v/>
      </c>
      <c r="BK4669" s="498" t="str">
        <f t="shared" si="1612"/>
        <v/>
      </c>
      <c r="BL4669" s="498" t="str">
        <f t="shared" si="1613"/>
        <v/>
      </c>
    </row>
    <row r="4670" spans="1:64" x14ac:dyDescent="0.25">
      <c r="A4670" s="762">
        <f t="shared" si="1614"/>
        <v>4665</v>
      </c>
      <c r="B4670" s="229"/>
      <c r="C4670" s="223"/>
      <c r="D4670" s="224"/>
      <c r="E4670" s="225"/>
      <c r="F4670" s="1036" t="str">
        <f t="shared" si="1620"/>
        <v/>
      </c>
      <c r="G4670" s="1037" t="str">
        <f t="shared" si="1615"/>
        <v/>
      </c>
      <c r="H4670" s="225"/>
      <c r="I4670" s="1013"/>
      <c r="J4670" s="1013"/>
      <c r="K4670" s="1028"/>
      <c r="L4670" s="1035" t="str">
        <f t="shared" si="1619"/>
        <v/>
      </c>
      <c r="S4670" s="498"/>
      <c r="AJ4670" s="498"/>
      <c r="AM4670" s="498">
        <f t="shared" si="1600"/>
        <v>0</v>
      </c>
      <c r="AN4670" s="498">
        <f t="shared" si="1601"/>
        <v>0</v>
      </c>
      <c r="AO4670" s="498">
        <f t="shared" si="1602"/>
        <v>0</v>
      </c>
      <c r="AP4670" s="498">
        <f t="shared" si="1621"/>
        <v>0</v>
      </c>
      <c r="AQ4670" s="498">
        <f t="shared" si="1616"/>
        <v>0</v>
      </c>
      <c r="AU4670" s="498">
        <f t="shared" si="1603"/>
        <v>0</v>
      </c>
      <c r="AV4670" s="498">
        <f t="shared" si="1604"/>
        <v>0</v>
      </c>
      <c r="AW4670" s="498">
        <f t="shared" si="1605"/>
        <v>0</v>
      </c>
      <c r="AX4670" s="498">
        <f t="shared" si="1606"/>
        <v>0</v>
      </c>
      <c r="AY4670" s="498">
        <f t="shared" si="1607"/>
        <v>0</v>
      </c>
      <c r="BB4670" s="498" t="str">
        <f t="shared" si="1608"/>
        <v/>
      </c>
      <c r="BC4670" s="743" t="str">
        <f t="shared" si="1609"/>
        <v/>
      </c>
      <c r="BD4670" s="743" t="str">
        <f t="shared" si="1610"/>
        <v/>
      </c>
      <c r="BE4670" s="743" t="str">
        <f>IF(D4670="","",VLOOKUP(D4670,'General Basis'!$J$39:$K$46,2,0))</f>
        <v/>
      </c>
      <c r="BF4670" s="744" t="str">
        <f>IF(D4670="","",VLOOKUP(D4670,'General Basis'!$J$39:$L$46,3,0))</f>
        <v/>
      </c>
      <c r="BG4670" s="744" t="str">
        <f t="shared" si="1617"/>
        <v/>
      </c>
      <c r="BH4670" s="744" t="str">
        <f>IF(G4670="","",IF(BF4670="Abu Dhabi",IF(G4670&lt;18,'General Basis'!$C$39,IF(G4670&lt;41,'General Basis'!$C$40,IF(G4670&lt;60,'General Basis'!$C$41,IF(G4670&lt;65,'General Basis'!$C$42,'General Basis'!$C$43)))),IF(G4670&lt;11,'General Basis'!$B$39,IF(G4670&lt;18,'General Basis'!$B$40,IF(G4670&lt;26,'General Basis'!$B$41,IF(G4670&lt;31,'General Basis'!$B$42,IF(G4670&lt;36,'General Basis'!$B$43,IF(G4670&lt;41,'General Basis'!$B$44,IF(G4670&lt;46,'General Basis'!$B$45,IF(G4670&lt;51,'General Basis'!$B$46,IF(G4670&lt;56,'General Basis'!$B$47,IF(G4670&lt;60,'General Basis'!$B$48,IF(G4670&lt;65,'General Basis'!$B$49,'General Basis'!$B$50)))))))))))))</f>
        <v/>
      </c>
      <c r="BI4670" s="744" t="str">
        <f t="shared" si="1611"/>
        <v/>
      </c>
      <c r="BJ4670" s="747" t="str">
        <f t="shared" si="1618"/>
        <v/>
      </c>
      <c r="BK4670" s="498" t="str">
        <f t="shared" si="1612"/>
        <v/>
      </c>
      <c r="BL4670" s="498" t="str">
        <f t="shared" si="1613"/>
        <v/>
      </c>
    </row>
    <row r="4671" spans="1:64" x14ac:dyDescent="0.25">
      <c r="A4671" s="762">
        <f t="shared" si="1614"/>
        <v>4666</v>
      </c>
      <c r="B4671" s="229"/>
      <c r="C4671" s="223"/>
      <c r="D4671" s="224"/>
      <c r="E4671" s="225"/>
      <c r="F4671" s="1036" t="str">
        <f t="shared" si="1620"/>
        <v/>
      </c>
      <c r="G4671" s="1037" t="str">
        <f t="shared" si="1615"/>
        <v/>
      </c>
      <c r="H4671" s="225"/>
      <c r="I4671" s="1013"/>
      <c r="J4671" s="1013"/>
      <c r="K4671" s="1028"/>
      <c r="L4671" s="1035" t="str">
        <f t="shared" si="1619"/>
        <v/>
      </c>
      <c r="S4671" s="498"/>
      <c r="AJ4671" s="498"/>
      <c r="AM4671" s="498">
        <f t="shared" si="1600"/>
        <v>0</v>
      </c>
      <c r="AN4671" s="498">
        <f t="shared" si="1601"/>
        <v>0</v>
      </c>
      <c r="AO4671" s="498">
        <f t="shared" si="1602"/>
        <v>0</v>
      </c>
      <c r="AP4671" s="498">
        <f t="shared" si="1621"/>
        <v>0</v>
      </c>
      <c r="AQ4671" s="498">
        <f t="shared" si="1616"/>
        <v>0</v>
      </c>
      <c r="AU4671" s="498">
        <f t="shared" si="1603"/>
        <v>0</v>
      </c>
      <c r="AV4671" s="498">
        <f t="shared" si="1604"/>
        <v>0</v>
      </c>
      <c r="AW4671" s="498">
        <f t="shared" si="1605"/>
        <v>0</v>
      </c>
      <c r="AX4671" s="498">
        <f t="shared" si="1606"/>
        <v>0</v>
      </c>
      <c r="AY4671" s="498">
        <f t="shared" si="1607"/>
        <v>0</v>
      </c>
      <c r="BB4671" s="498" t="str">
        <f t="shared" si="1608"/>
        <v/>
      </c>
      <c r="BC4671" s="743" t="str">
        <f t="shared" si="1609"/>
        <v/>
      </c>
      <c r="BD4671" s="743" t="str">
        <f t="shared" si="1610"/>
        <v/>
      </c>
      <c r="BE4671" s="743" t="str">
        <f>IF(D4671="","",VLOOKUP(D4671,'General Basis'!$J$39:$K$46,2,0))</f>
        <v/>
      </c>
      <c r="BF4671" s="744" t="str">
        <f>IF(D4671="","",VLOOKUP(D4671,'General Basis'!$J$39:$L$46,3,0))</f>
        <v/>
      </c>
      <c r="BG4671" s="744" t="str">
        <f t="shared" si="1617"/>
        <v/>
      </c>
      <c r="BH4671" s="744" t="str">
        <f>IF(G4671="","",IF(BF4671="Abu Dhabi",IF(G4671&lt;18,'General Basis'!$C$39,IF(G4671&lt;41,'General Basis'!$C$40,IF(G4671&lt;60,'General Basis'!$C$41,IF(G4671&lt;65,'General Basis'!$C$42,'General Basis'!$C$43)))),IF(G4671&lt;11,'General Basis'!$B$39,IF(G4671&lt;18,'General Basis'!$B$40,IF(G4671&lt;26,'General Basis'!$B$41,IF(G4671&lt;31,'General Basis'!$B$42,IF(G4671&lt;36,'General Basis'!$B$43,IF(G4671&lt;41,'General Basis'!$B$44,IF(G4671&lt;46,'General Basis'!$B$45,IF(G4671&lt;51,'General Basis'!$B$46,IF(G4671&lt;56,'General Basis'!$B$47,IF(G4671&lt;60,'General Basis'!$B$48,IF(G4671&lt;65,'General Basis'!$B$49,'General Basis'!$B$50)))))))))))))</f>
        <v/>
      </c>
      <c r="BI4671" s="744" t="str">
        <f t="shared" si="1611"/>
        <v/>
      </c>
      <c r="BJ4671" s="747" t="str">
        <f t="shared" si="1618"/>
        <v/>
      </c>
      <c r="BK4671" s="498" t="str">
        <f t="shared" si="1612"/>
        <v/>
      </c>
      <c r="BL4671" s="498" t="str">
        <f t="shared" si="1613"/>
        <v/>
      </c>
    </row>
    <row r="4672" spans="1:64" x14ac:dyDescent="0.25">
      <c r="A4672" s="762">
        <f t="shared" si="1614"/>
        <v>4667</v>
      </c>
      <c r="B4672" s="229"/>
      <c r="C4672" s="223"/>
      <c r="D4672" s="224"/>
      <c r="E4672" s="225"/>
      <c r="F4672" s="1036" t="str">
        <f t="shared" si="1620"/>
        <v/>
      </c>
      <c r="G4672" s="1037" t="str">
        <f t="shared" si="1615"/>
        <v/>
      </c>
      <c r="H4672" s="225"/>
      <c r="I4672" s="1013"/>
      <c r="J4672" s="1013"/>
      <c r="K4672" s="1028"/>
      <c r="L4672" s="1035" t="str">
        <f t="shared" si="1619"/>
        <v/>
      </c>
      <c r="S4672" s="498"/>
      <c r="AJ4672" s="498"/>
      <c r="AM4672" s="498">
        <f t="shared" si="1600"/>
        <v>0</v>
      </c>
      <c r="AN4672" s="498">
        <f t="shared" si="1601"/>
        <v>0</v>
      </c>
      <c r="AO4672" s="498">
        <f t="shared" si="1602"/>
        <v>0</v>
      </c>
      <c r="AP4672" s="498">
        <f t="shared" si="1621"/>
        <v>0</v>
      </c>
      <c r="AQ4672" s="498">
        <f t="shared" si="1616"/>
        <v>0</v>
      </c>
      <c r="AU4672" s="498">
        <f t="shared" si="1603"/>
        <v>0</v>
      </c>
      <c r="AV4672" s="498">
        <f t="shared" si="1604"/>
        <v>0</v>
      </c>
      <c r="AW4672" s="498">
        <f t="shared" si="1605"/>
        <v>0</v>
      </c>
      <c r="AX4672" s="498">
        <f t="shared" si="1606"/>
        <v>0</v>
      </c>
      <c r="AY4672" s="498">
        <f t="shared" si="1607"/>
        <v>0</v>
      </c>
      <c r="BB4672" s="498" t="str">
        <f t="shared" si="1608"/>
        <v/>
      </c>
      <c r="BC4672" s="743" t="str">
        <f t="shared" si="1609"/>
        <v/>
      </c>
      <c r="BD4672" s="743" t="str">
        <f t="shared" si="1610"/>
        <v/>
      </c>
      <c r="BE4672" s="743" t="str">
        <f>IF(D4672="","",VLOOKUP(D4672,'General Basis'!$J$39:$K$46,2,0))</f>
        <v/>
      </c>
      <c r="BF4672" s="744" t="str">
        <f>IF(D4672="","",VLOOKUP(D4672,'General Basis'!$J$39:$L$46,3,0))</f>
        <v/>
      </c>
      <c r="BG4672" s="744" t="str">
        <f t="shared" si="1617"/>
        <v/>
      </c>
      <c r="BH4672" s="744" t="str">
        <f>IF(G4672="","",IF(BF4672="Abu Dhabi",IF(G4672&lt;18,'General Basis'!$C$39,IF(G4672&lt;41,'General Basis'!$C$40,IF(G4672&lt;60,'General Basis'!$C$41,IF(G4672&lt;65,'General Basis'!$C$42,'General Basis'!$C$43)))),IF(G4672&lt;11,'General Basis'!$B$39,IF(G4672&lt;18,'General Basis'!$B$40,IF(G4672&lt;26,'General Basis'!$B$41,IF(G4672&lt;31,'General Basis'!$B$42,IF(G4672&lt;36,'General Basis'!$B$43,IF(G4672&lt;41,'General Basis'!$B$44,IF(G4672&lt;46,'General Basis'!$B$45,IF(G4672&lt;51,'General Basis'!$B$46,IF(G4672&lt;56,'General Basis'!$B$47,IF(G4672&lt;60,'General Basis'!$B$48,IF(G4672&lt;65,'General Basis'!$B$49,'General Basis'!$B$50)))))))))))))</f>
        <v/>
      </c>
      <c r="BI4672" s="744" t="str">
        <f t="shared" si="1611"/>
        <v/>
      </c>
      <c r="BJ4672" s="747" t="str">
        <f t="shared" si="1618"/>
        <v/>
      </c>
      <c r="BK4672" s="498" t="str">
        <f t="shared" si="1612"/>
        <v/>
      </c>
      <c r="BL4672" s="498" t="str">
        <f t="shared" si="1613"/>
        <v/>
      </c>
    </row>
    <row r="4673" spans="1:64" x14ac:dyDescent="0.25">
      <c r="A4673" s="762">
        <f t="shared" si="1614"/>
        <v>4668</v>
      </c>
      <c r="B4673" s="229"/>
      <c r="C4673" s="223"/>
      <c r="D4673" s="224"/>
      <c r="E4673" s="225"/>
      <c r="F4673" s="1036" t="str">
        <f t="shared" si="1620"/>
        <v/>
      </c>
      <c r="G4673" s="1037" t="str">
        <f t="shared" si="1615"/>
        <v/>
      </c>
      <c r="H4673" s="225"/>
      <c r="I4673" s="1013"/>
      <c r="J4673" s="1013"/>
      <c r="K4673" s="1028"/>
      <c r="L4673" s="1035" t="str">
        <f t="shared" si="1619"/>
        <v/>
      </c>
      <c r="S4673" s="498"/>
      <c r="AJ4673" s="498"/>
      <c r="AM4673" s="498">
        <f t="shared" si="1600"/>
        <v>0</v>
      </c>
      <c r="AN4673" s="498">
        <f t="shared" si="1601"/>
        <v>0</v>
      </c>
      <c r="AO4673" s="498">
        <f t="shared" si="1602"/>
        <v>0</v>
      </c>
      <c r="AP4673" s="498">
        <f t="shared" si="1621"/>
        <v>0</v>
      </c>
      <c r="AQ4673" s="498">
        <f t="shared" si="1616"/>
        <v>0</v>
      </c>
      <c r="AU4673" s="498">
        <f t="shared" si="1603"/>
        <v>0</v>
      </c>
      <c r="AV4673" s="498">
        <f t="shared" si="1604"/>
        <v>0</v>
      </c>
      <c r="AW4673" s="498">
        <f t="shared" si="1605"/>
        <v>0</v>
      </c>
      <c r="AX4673" s="498">
        <f t="shared" si="1606"/>
        <v>0</v>
      </c>
      <c r="AY4673" s="498">
        <f t="shared" si="1607"/>
        <v>0</v>
      </c>
      <c r="BB4673" s="498" t="str">
        <f t="shared" si="1608"/>
        <v/>
      </c>
      <c r="BC4673" s="743" t="str">
        <f t="shared" si="1609"/>
        <v/>
      </c>
      <c r="BD4673" s="743" t="str">
        <f t="shared" si="1610"/>
        <v/>
      </c>
      <c r="BE4673" s="743" t="str">
        <f>IF(D4673="","",VLOOKUP(D4673,'General Basis'!$J$39:$K$46,2,0))</f>
        <v/>
      </c>
      <c r="BF4673" s="744" t="str">
        <f>IF(D4673="","",VLOOKUP(D4673,'General Basis'!$J$39:$L$46,3,0))</f>
        <v/>
      </c>
      <c r="BG4673" s="744" t="str">
        <f t="shared" si="1617"/>
        <v/>
      </c>
      <c r="BH4673" s="744" t="str">
        <f>IF(G4673="","",IF(BF4673="Abu Dhabi",IF(G4673&lt;18,'General Basis'!$C$39,IF(G4673&lt;41,'General Basis'!$C$40,IF(G4673&lt;60,'General Basis'!$C$41,IF(G4673&lt;65,'General Basis'!$C$42,'General Basis'!$C$43)))),IF(G4673&lt;11,'General Basis'!$B$39,IF(G4673&lt;18,'General Basis'!$B$40,IF(G4673&lt;26,'General Basis'!$B$41,IF(G4673&lt;31,'General Basis'!$B$42,IF(G4673&lt;36,'General Basis'!$B$43,IF(G4673&lt;41,'General Basis'!$B$44,IF(G4673&lt;46,'General Basis'!$B$45,IF(G4673&lt;51,'General Basis'!$B$46,IF(G4673&lt;56,'General Basis'!$B$47,IF(G4673&lt;60,'General Basis'!$B$48,IF(G4673&lt;65,'General Basis'!$B$49,'General Basis'!$B$50)))))))))))))</f>
        <v/>
      </c>
      <c r="BI4673" s="744" t="str">
        <f t="shared" si="1611"/>
        <v/>
      </c>
      <c r="BJ4673" s="747" t="str">
        <f t="shared" si="1618"/>
        <v/>
      </c>
      <c r="BK4673" s="498" t="str">
        <f t="shared" si="1612"/>
        <v/>
      </c>
      <c r="BL4673" s="498" t="str">
        <f t="shared" si="1613"/>
        <v/>
      </c>
    </row>
    <row r="4674" spans="1:64" x14ac:dyDescent="0.25">
      <c r="A4674" s="762">
        <f t="shared" si="1614"/>
        <v>4669</v>
      </c>
      <c r="B4674" s="229"/>
      <c r="C4674" s="223"/>
      <c r="D4674" s="224"/>
      <c r="E4674" s="225"/>
      <c r="F4674" s="1036" t="str">
        <f t="shared" si="1620"/>
        <v/>
      </c>
      <c r="G4674" s="1037" t="str">
        <f t="shared" si="1615"/>
        <v/>
      </c>
      <c r="H4674" s="225"/>
      <c r="I4674" s="1013"/>
      <c r="J4674" s="1013"/>
      <c r="K4674" s="1028"/>
      <c r="L4674" s="1035" t="str">
        <f t="shared" si="1619"/>
        <v/>
      </c>
      <c r="S4674" s="498"/>
      <c r="AJ4674" s="498"/>
      <c r="AM4674" s="498">
        <f t="shared" si="1600"/>
        <v>0</v>
      </c>
      <c r="AN4674" s="498">
        <f t="shared" si="1601"/>
        <v>0</v>
      </c>
      <c r="AO4674" s="498">
        <f t="shared" si="1602"/>
        <v>0</v>
      </c>
      <c r="AP4674" s="498">
        <f t="shared" si="1621"/>
        <v>0</v>
      </c>
      <c r="AQ4674" s="498">
        <f t="shared" si="1616"/>
        <v>0</v>
      </c>
      <c r="AU4674" s="498">
        <f t="shared" si="1603"/>
        <v>0</v>
      </c>
      <c r="AV4674" s="498">
        <f t="shared" si="1604"/>
        <v>0</v>
      </c>
      <c r="AW4674" s="498">
        <f t="shared" si="1605"/>
        <v>0</v>
      </c>
      <c r="AX4674" s="498">
        <f t="shared" si="1606"/>
        <v>0</v>
      </c>
      <c r="AY4674" s="498">
        <f t="shared" si="1607"/>
        <v>0</v>
      </c>
      <c r="BB4674" s="498" t="str">
        <f t="shared" si="1608"/>
        <v/>
      </c>
      <c r="BC4674" s="743" t="str">
        <f t="shared" si="1609"/>
        <v/>
      </c>
      <c r="BD4674" s="743" t="str">
        <f t="shared" si="1610"/>
        <v/>
      </c>
      <c r="BE4674" s="743" t="str">
        <f>IF(D4674="","",VLOOKUP(D4674,'General Basis'!$J$39:$K$46,2,0))</f>
        <v/>
      </c>
      <c r="BF4674" s="744" t="str">
        <f>IF(D4674="","",VLOOKUP(D4674,'General Basis'!$J$39:$L$46,3,0))</f>
        <v/>
      </c>
      <c r="BG4674" s="744" t="str">
        <f t="shared" si="1617"/>
        <v/>
      </c>
      <c r="BH4674" s="744" t="str">
        <f>IF(G4674="","",IF(BF4674="Abu Dhabi",IF(G4674&lt;18,'General Basis'!$C$39,IF(G4674&lt;41,'General Basis'!$C$40,IF(G4674&lt;60,'General Basis'!$C$41,IF(G4674&lt;65,'General Basis'!$C$42,'General Basis'!$C$43)))),IF(G4674&lt;11,'General Basis'!$B$39,IF(G4674&lt;18,'General Basis'!$B$40,IF(G4674&lt;26,'General Basis'!$B$41,IF(G4674&lt;31,'General Basis'!$B$42,IF(G4674&lt;36,'General Basis'!$B$43,IF(G4674&lt;41,'General Basis'!$B$44,IF(G4674&lt;46,'General Basis'!$B$45,IF(G4674&lt;51,'General Basis'!$B$46,IF(G4674&lt;56,'General Basis'!$B$47,IF(G4674&lt;60,'General Basis'!$B$48,IF(G4674&lt;65,'General Basis'!$B$49,'General Basis'!$B$50)))))))))))))</f>
        <v/>
      </c>
      <c r="BI4674" s="744" t="str">
        <f t="shared" si="1611"/>
        <v/>
      </c>
      <c r="BJ4674" s="747" t="str">
        <f t="shared" si="1618"/>
        <v/>
      </c>
      <c r="BK4674" s="498" t="str">
        <f t="shared" si="1612"/>
        <v/>
      </c>
      <c r="BL4674" s="498" t="str">
        <f t="shared" si="1613"/>
        <v/>
      </c>
    </row>
    <row r="4675" spans="1:64" x14ac:dyDescent="0.25">
      <c r="A4675" s="762">
        <f t="shared" si="1614"/>
        <v>4670</v>
      </c>
      <c r="B4675" s="229"/>
      <c r="C4675" s="223"/>
      <c r="D4675" s="224"/>
      <c r="E4675" s="225"/>
      <c r="F4675" s="1036" t="str">
        <f t="shared" si="1620"/>
        <v/>
      </c>
      <c r="G4675" s="1037" t="str">
        <f t="shared" si="1615"/>
        <v/>
      </c>
      <c r="H4675" s="225"/>
      <c r="I4675" s="1013"/>
      <c r="J4675" s="1013"/>
      <c r="K4675" s="1028"/>
      <c r="L4675" s="1035" t="str">
        <f t="shared" si="1619"/>
        <v/>
      </c>
      <c r="S4675" s="498"/>
      <c r="AJ4675" s="498"/>
      <c r="AM4675" s="498">
        <f t="shared" si="1600"/>
        <v>0</v>
      </c>
      <c r="AN4675" s="498">
        <f t="shared" si="1601"/>
        <v>0</v>
      </c>
      <c r="AO4675" s="498">
        <f t="shared" si="1602"/>
        <v>0</v>
      </c>
      <c r="AP4675" s="498">
        <f t="shared" si="1621"/>
        <v>0</v>
      </c>
      <c r="AQ4675" s="498">
        <f t="shared" si="1616"/>
        <v>0</v>
      </c>
      <c r="AU4675" s="498">
        <f t="shared" si="1603"/>
        <v>0</v>
      </c>
      <c r="AV4675" s="498">
        <f t="shared" si="1604"/>
        <v>0</v>
      </c>
      <c r="AW4675" s="498">
        <f t="shared" si="1605"/>
        <v>0</v>
      </c>
      <c r="AX4675" s="498">
        <f t="shared" si="1606"/>
        <v>0</v>
      </c>
      <c r="AY4675" s="498">
        <f t="shared" si="1607"/>
        <v>0</v>
      </c>
      <c r="BB4675" s="498" t="str">
        <f t="shared" si="1608"/>
        <v/>
      </c>
      <c r="BC4675" s="743" t="str">
        <f t="shared" si="1609"/>
        <v/>
      </c>
      <c r="BD4675" s="743" t="str">
        <f t="shared" si="1610"/>
        <v/>
      </c>
      <c r="BE4675" s="743" t="str">
        <f>IF(D4675="","",VLOOKUP(D4675,'General Basis'!$J$39:$K$46,2,0))</f>
        <v/>
      </c>
      <c r="BF4675" s="744" t="str">
        <f>IF(D4675="","",VLOOKUP(D4675,'General Basis'!$J$39:$L$46,3,0))</f>
        <v/>
      </c>
      <c r="BG4675" s="744" t="str">
        <f t="shared" si="1617"/>
        <v/>
      </c>
      <c r="BH4675" s="744" t="str">
        <f>IF(G4675="","",IF(BF4675="Abu Dhabi",IF(G4675&lt;18,'General Basis'!$C$39,IF(G4675&lt;41,'General Basis'!$C$40,IF(G4675&lt;60,'General Basis'!$C$41,IF(G4675&lt;65,'General Basis'!$C$42,'General Basis'!$C$43)))),IF(G4675&lt;11,'General Basis'!$B$39,IF(G4675&lt;18,'General Basis'!$B$40,IF(G4675&lt;26,'General Basis'!$B$41,IF(G4675&lt;31,'General Basis'!$B$42,IF(G4675&lt;36,'General Basis'!$B$43,IF(G4675&lt;41,'General Basis'!$B$44,IF(G4675&lt;46,'General Basis'!$B$45,IF(G4675&lt;51,'General Basis'!$B$46,IF(G4675&lt;56,'General Basis'!$B$47,IF(G4675&lt;60,'General Basis'!$B$48,IF(G4675&lt;65,'General Basis'!$B$49,'General Basis'!$B$50)))))))))))))</f>
        <v/>
      </c>
      <c r="BI4675" s="744" t="str">
        <f t="shared" si="1611"/>
        <v/>
      </c>
      <c r="BJ4675" s="747" t="str">
        <f t="shared" si="1618"/>
        <v/>
      </c>
      <c r="BK4675" s="498" t="str">
        <f t="shared" si="1612"/>
        <v/>
      </c>
      <c r="BL4675" s="498" t="str">
        <f t="shared" si="1613"/>
        <v/>
      </c>
    </row>
    <row r="4676" spans="1:64" x14ac:dyDescent="0.25">
      <c r="A4676" s="762">
        <f t="shared" si="1614"/>
        <v>4671</v>
      </c>
      <c r="B4676" s="229"/>
      <c r="C4676" s="223"/>
      <c r="D4676" s="224"/>
      <c r="E4676" s="225"/>
      <c r="F4676" s="1036" t="str">
        <f t="shared" si="1620"/>
        <v/>
      </c>
      <c r="G4676" s="1037" t="str">
        <f t="shared" si="1615"/>
        <v/>
      </c>
      <c r="H4676" s="225"/>
      <c r="I4676" s="1013"/>
      <c r="J4676" s="1013"/>
      <c r="K4676" s="1028"/>
      <c r="L4676" s="1035" t="str">
        <f t="shared" si="1619"/>
        <v/>
      </c>
      <c r="S4676" s="498"/>
      <c r="AJ4676" s="498"/>
      <c r="AM4676" s="498">
        <f t="shared" si="1600"/>
        <v>0</v>
      </c>
      <c r="AN4676" s="498">
        <f t="shared" si="1601"/>
        <v>0</v>
      </c>
      <c r="AO4676" s="498">
        <f t="shared" si="1602"/>
        <v>0</v>
      </c>
      <c r="AP4676" s="498">
        <f t="shared" si="1621"/>
        <v>0</v>
      </c>
      <c r="AQ4676" s="498">
        <f t="shared" si="1616"/>
        <v>0</v>
      </c>
      <c r="AU4676" s="498">
        <f t="shared" si="1603"/>
        <v>0</v>
      </c>
      <c r="AV4676" s="498">
        <f t="shared" si="1604"/>
        <v>0</v>
      </c>
      <c r="AW4676" s="498">
        <f t="shared" si="1605"/>
        <v>0</v>
      </c>
      <c r="AX4676" s="498">
        <f t="shared" si="1606"/>
        <v>0</v>
      </c>
      <c r="AY4676" s="498">
        <f t="shared" si="1607"/>
        <v>0</v>
      </c>
      <c r="BB4676" s="498" t="str">
        <f t="shared" si="1608"/>
        <v/>
      </c>
      <c r="BC4676" s="743" t="str">
        <f t="shared" si="1609"/>
        <v/>
      </c>
      <c r="BD4676" s="743" t="str">
        <f t="shared" si="1610"/>
        <v/>
      </c>
      <c r="BE4676" s="743" t="str">
        <f>IF(D4676="","",VLOOKUP(D4676,'General Basis'!$J$39:$K$46,2,0))</f>
        <v/>
      </c>
      <c r="BF4676" s="744" t="str">
        <f>IF(D4676="","",VLOOKUP(D4676,'General Basis'!$J$39:$L$46,3,0))</f>
        <v/>
      </c>
      <c r="BG4676" s="744" t="str">
        <f t="shared" si="1617"/>
        <v/>
      </c>
      <c r="BH4676" s="744" t="str">
        <f>IF(G4676="","",IF(BF4676="Abu Dhabi",IF(G4676&lt;18,'General Basis'!$C$39,IF(G4676&lt;41,'General Basis'!$C$40,IF(G4676&lt;60,'General Basis'!$C$41,IF(G4676&lt;65,'General Basis'!$C$42,'General Basis'!$C$43)))),IF(G4676&lt;11,'General Basis'!$B$39,IF(G4676&lt;18,'General Basis'!$B$40,IF(G4676&lt;26,'General Basis'!$B$41,IF(G4676&lt;31,'General Basis'!$B$42,IF(G4676&lt;36,'General Basis'!$B$43,IF(G4676&lt;41,'General Basis'!$B$44,IF(G4676&lt;46,'General Basis'!$B$45,IF(G4676&lt;51,'General Basis'!$B$46,IF(G4676&lt;56,'General Basis'!$B$47,IF(G4676&lt;60,'General Basis'!$B$48,IF(G4676&lt;65,'General Basis'!$B$49,'General Basis'!$B$50)))))))))))))</f>
        <v/>
      </c>
      <c r="BI4676" s="744" t="str">
        <f t="shared" si="1611"/>
        <v/>
      </c>
      <c r="BJ4676" s="747" t="str">
        <f t="shared" si="1618"/>
        <v/>
      </c>
      <c r="BK4676" s="498" t="str">
        <f t="shared" si="1612"/>
        <v/>
      </c>
      <c r="BL4676" s="498" t="str">
        <f t="shared" si="1613"/>
        <v/>
      </c>
    </row>
    <row r="4677" spans="1:64" x14ac:dyDescent="0.25">
      <c r="A4677" s="762">
        <f t="shared" si="1614"/>
        <v>4672</v>
      </c>
      <c r="B4677" s="229"/>
      <c r="C4677" s="223"/>
      <c r="D4677" s="224"/>
      <c r="E4677" s="225"/>
      <c r="F4677" s="1036" t="str">
        <f t="shared" si="1620"/>
        <v/>
      </c>
      <c r="G4677" s="1037" t="str">
        <f t="shared" si="1615"/>
        <v/>
      </c>
      <c r="H4677" s="225"/>
      <c r="I4677" s="1013"/>
      <c r="J4677" s="1013"/>
      <c r="K4677" s="1028"/>
      <c r="L4677" s="1035" t="str">
        <f t="shared" si="1619"/>
        <v/>
      </c>
      <c r="S4677" s="498"/>
      <c r="AJ4677" s="498"/>
      <c r="AM4677" s="498">
        <f t="shared" si="1600"/>
        <v>0</v>
      </c>
      <c r="AN4677" s="498">
        <f t="shared" si="1601"/>
        <v>0</v>
      </c>
      <c r="AO4677" s="498">
        <f t="shared" si="1602"/>
        <v>0</v>
      </c>
      <c r="AP4677" s="498">
        <f t="shared" si="1621"/>
        <v>0</v>
      </c>
      <c r="AQ4677" s="498">
        <f t="shared" si="1616"/>
        <v>0</v>
      </c>
      <c r="AU4677" s="498">
        <f t="shared" si="1603"/>
        <v>0</v>
      </c>
      <c r="AV4677" s="498">
        <f t="shared" si="1604"/>
        <v>0</v>
      </c>
      <c r="AW4677" s="498">
        <f t="shared" si="1605"/>
        <v>0</v>
      </c>
      <c r="AX4677" s="498">
        <f t="shared" si="1606"/>
        <v>0</v>
      </c>
      <c r="AY4677" s="498">
        <f t="shared" si="1607"/>
        <v>0</v>
      </c>
      <c r="BB4677" s="498" t="str">
        <f t="shared" si="1608"/>
        <v/>
      </c>
      <c r="BC4677" s="743" t="str">
        <f t="shared" si="1609"/>
        <v/>
      </c>
      <c r="BD4677" s="743" t="str">
        <f t="shared" si="1610"/>
        <v/>
      </c>
      <c r="BE4677" s="743" t="str">
        <f>IF(D4677="","",VLOOKUP(D4677,'General Basis'!$J$39:$K$46,2,0))</f>
        <v/>
      </c>
      <c r="BF4677" s="744" t="str">
        <f>IF(D4677="","",VLOOKUP(D4677,'General Basis'!$J$39:$L$46,3,0))</f>
        <v/>
      </c>
      <c r="BG4677" s="744" t="str">
        <f t="shared" si="1617"/>
        <v/>
      </c>
      <c r="BH4677" s="744" t="str">
        <f>IF(G4677="","",IF(BF4677="Abu Dhabi",IF(G4677&lt;18,'General Basis'!$C$39,IF(G4677&lt;41,'General Basis'!$C$40,IF(G4677&lt;60,'General Basis'!$C$41,IF(G4677&lt;65,'General Basis'!$C$42,'General Basis'!$C$43)))),IF(G4677&lt;11,'General Basis'!$B$39,IF(G4677&lt;18,'General Basis'!$B$40,IF(G4677&lt;26,'General Basis'!$B$41,IF(G4677&lt;31,'General Basis'!$B$42,IF(G4677&lt;36,'General Basis'!$B$43,IF(G4677&lt;41,'General Basis'!$B$44,IF(G4677&lt;46,'General Basis'!$B$45,IF(G4677&lt;51,'General Basis'!$B$46,IF(G4677&lt;56,'General Basis'!$B$47,IF(G4677&lt;60,'General Basis'!$B$48,IF(G4677&lt;65,'General Basis'!$B$49,'General Basis'!$B$50)))))))))))))</f>
        <v/>
      </c>
      <c r="BI4677" s="744" t="str">
        <f t="shared" si="1611"/>
        <v/>
      </c>
      <c r="BJ4677" s="747" t="str">
        <f t="shared" si="1618"/>
        <v/>
      </c>
      <c r="BK4677" s="498" t="str">
        <f t="shared" si="1612"/>
        <v/>
      </c>
      <c r="BL4677" s="498" t="str">
        <f t="shared" si="1613"/>
        <v/>
      </c>
    </row>
    <row r="4678" spans="1:64" x14ac:dyDescent="0.25">
      <c r="A4678" s="762">
        <f t="shared" si="1614"/>
        <v>4673</v>
      </c>
      <c r="B4678" s="229"/>
      <c r="C4678" s="223"/>
      <c r="D4678" s="224"/>
      <c r="E4678" s="225"/>
      <c r="F4678" s="1036" t="str">
        <f t="shared" si="1620"/>
        <v/>
      </c>
      <c r="G4678" s="1037" t="str">
        <f t="shared" si="1615"/>
        <v/>
      </c>
      <c r="H4678" s="225"/>
      <c r="I4678" s="1013"/>
      <c r="J4678" s="1013"/>
      <c r="K4678" s="1028"/>
      <c r="L4678" s="1035" t="str">
        <f t="shared" si="1619"/>
        <v/>
      </c>
      <c r="S4678" s="498"/>
      <c r="AJ4678" s="498"/>
      <c r="AM4678" s="498">
        <f t="shared" ref="AM4678:AM4741" si="1622">IF(ISTEXT(B4678),1,0)</f>
        <v>0</v>
      </c>
      <c r="AN4678" s="498">
        <f t="shared" ref="AN4678:AN4741" si="1623">IF(ISBLANK(B4678),0,IF(B4678&lt;$AK$6,1,0))</f>
        <v>0</v>
      </c>
      <c r="AO4678" s="498">
        <f t="shared" ref="AO4678:AO4741" si="1624">IF(ISBLANK(B4678),0,IF(B4678&gt;$AK$7,1,0))</f>
        <v>0</v>
      </c>
      <c r="AP4678" s="498">
        <f t="shared" si="1621"/>
        <v>0</v>
      </c>
      <c r="AQ4678" s="498">
        <f t="shared" si="1616"/>
        <v>0</v>
      </c>
      <c r="AU4678" s="498">
        <f t="shared" ref="AU4678:AU4741" si="1625">IF(ISBLANK(B4678),0,1)</f>
        <v>0</v>
      </c>
      <c r="AV4678" s="498">
        <f t="shared" ref="AV4678:AV4741" si="1626">IF(ISBLANK(C4678),0,1)</f>
        <v>0</v>
      </c>
      <c r="AW4678" s="498">
        <f t="shared" ref="AW4678:AW4741" si="1627">IF(ISBLANK(D4678),0,1)</f>
        <v>0</v>
      </c>
      <c r="AX4678" s="498">
        <f t="shared" ref="AX4678:AX4741" si="1628">IF(ISBLANK(E4678),0,1)</f>
        <v>0</v>
      </c>
      <c r="AY4678" s="498">
        <f t="shared" ref="AY4678:AY4741" si="1629">IF(ISBLANK(H4678),0,1)</f>
        <v>0</v>
      </c>
      <c r="BB4678" s="498" t="str">
        <f t="shared" ref="BB4678:BB4741" si="1630">IF(E4678="Principal","Principal",IF(E4678="","","Other"))</f>
        <v/>
      </c>
      <c r="BC4678" s="743" t="str">
        <f t="shared" ref="BC4678:BC4741" si="1631">IF(D4678="","",D4678)</f>
        <v/>
      </c>
      <c r="BD4678" s="743" t="str">
        <f t="shared" ref="BD4678:BD4741" si="1632">IF(E4678="Principal","Employee",IF(E4678="","","Dependent"))</f>
        <v/>
      </c>
      <c r="BE4678" s="743" t="str">
        <f>IF(D4678="","",VLOOKUP(D4678,'General Basis'!$J$39:$K$46,2,0))</f>
        <v/>
      </c>
      <c r="BF4678" s="744" t="str">
        <f>IF(D4678="","",VLOOKUP(D4678,'General Basis'!$J$39:$L$46,3,0))</f>
        <v/>
      </c>
      <c r="BG4678" s="744" t="str">
        <f t="shared" si="1617"/>
        <v/>
      </c>
      <c r="BH4678" s="744" t="str">
        <f>IF(G4678="","",IF(BF4678="Abu Dhabi",IF(G4678&lt;18,'General Basis'!$C$39,IF(G4678&lt;41,'General Basis'!$C$40,IF(G4678&lt;60,'General Basis'!$C$41,IF(G4678&lt;65,'General Basis'!$C$42,'General Basis'!$C$43)))),IF(G4678&lt;11,'General Basis'!$B$39,IF(G4678&lt;18,'General Basis'!$B$40,IF(G4678&lt;26,'General Basis'!$B$41,IF(G4678&lt;31,'General Basis'!$B$42,IF(G4678&lt;36,'General Basis'!$B$43,IF(G4678&lt;41,'General Basis'!$B$44,IF(G4678&lt;46,'General Basis'!$B$45,IF(G4678&lt;51,'General Basis'!$B$46,IF(G4678&lt;56,'General Basis'!$B$47,IF(G4678&lt;60,'General Basis'!$B$48,IF(G4678&lt;65,'General Basis'!$B$49,'General Basis'!$B$50)))))))))))))</f>
        <v/>
      </c>
      <c r="BI4678" s="744" t="str">
        <f t="shared" ref="BI4678:BI4741" si="1633">IF(C4678="","",IF(C4678="M","Male","Female"))</f>
        <v/>
      </c>
      <c r="BJ4678" s="747" t="str">
        <f t="shared" si="1618"/>
        <v/>
      </c>
      <c r="BK4678" s="498" t="str">
        <f t="shared" ref="BK4678:BK4741" si="1634">IF(BD4678="","",IF(AND(BD4678="Employee",BI4678="Male",BF4678="Abu Dhabi",BE4678=GN_Plus),VLOOKUP(BH4678,AUH_MALE_EMP,2,0),IF(AND(BD4678="Employee",BI4678="Male",BF4678="Abu Dhabi",BE4678=GN),VLOOKUP(BH4678,AUH_MALE_EMP,3,0),IF(AND(BD4678="Employee",BI4678="Male",BF4678="Abu Dhabi",BE4678=RN_Plus),VLOOKUP(BH4678,AUH_MALE_EMP,4,0),IF(AND(BD4678="Employee",BI4678="Male",BF4678="Abu Dhabi",BE4678=RN),VLOOKUP(BH4678,AUH_MALE_EMP,5,0),IF(AND(BD4678="Employee",BI4678="Male",BF4678="Abu Dhabi",BE4678=RN_2),VLOOKUP(BH4678,AUH_MALE_EMP,6,0),IF(AND(BD4678="Employee",BI4678="Male",BF4678="Abu Dhabi",BE4678=RN2_minus),VLOOKUP(BH4678,AUH_MALE_EMP,7,0),IF(AND(BD4678="Employee",BI4678="Male",BF4678="Abu Dhabi",BE4678=RN_3),VLOOKUP(BH4678,AUH_MALE_EMP,8,0),IF(AND(BD4678="Employee",BI4678="Male",BF4678="Abu Dhabi",BE4678=VN),VLOOKUP(BH4678,AUH_MALE_EMP,9,0),IF(BD4678="","",IF(AND(BD4678="Employee",BI4678="Female",BF4678="Abu Dhabi",BE4678=GN_Plus),VLOOKUP(BH4678,AUH_FEMALE_EMP,2,0),IF(AND(BD4678="Employee",BI4678="Female",BF4678="Abu Dhabi",BE4678=GN),VLOOKUP(BH4678,AUH_FEMALE_EMP,3,0),IF(AND(BD4678="Employee",BI4678="Female",BF4678="Abu Dhabi",BE4678=RN_Plus),VLOOKUP(BH4678,AUH_FEMALE_EMP,4,0),IF(AND(BD4678="Employee",BI4678="Female",BF4678="Abu Dhabi",BE4678=RN),VLOOKUP(BH4678,AUH_FEMALE_EMP,5,0),IF(AND(BD4678="Employee",BI4678="Female",BF4678="Abu Dhabi",BE4678=RN_2),VLOOKUP(BH4678,AUH_FEMALE_EMP,6,0),IF(AND(BD4678="Employee",BI4678="Female",BF4678="Abu Dhabi",BE4678=RN2_minus),VLOOKUP(BH4678,AUH_FEMALE_EMP,7,0),IF(AND(BD4678="Employee",BI4678="Female",BF4678="Abu Dhabi",BE4678=RN_3),VLOOKUP(BH4678,AUH_FEMALE_EMP,8,0),IF(AND(BD4678="Employee",BI4678="Female",BF4678="Abu Dhabi",BE4678=VN),VLOOKUP(BH4678,AUH_FEMALE_EMP,9,0),IF(BD4678="","",IF(AND(BD4678="Dependent",BI4678="Male",BF4678="Abu Dhabi",BE4678=GN_Plus),VLOOKUP(BH4678,AUH_MALE_DEP,2,0),IF(AND(BD4678="Dependent",BI4678="Male",BF4678="Abu Dhabi",BE4678=GN),VLOOKUP(BH4678,AUH_MALE_DEP,3,0),IF(AND(BD4678="Dependent",BI4678="Male",BF4678="Abu Dhabi",BE4678=RN_Plus),VLOOKUP(BH4678,AUH_MALE_DEP,4,0),IF(AND(BD4678="Dependent",BI4678="Male",BF4678="Abu Dhabi",BE4678=RN),VLOOKUP(BH4678,AUH_MALE_DEP,5,0),IF(AND(BD4678="Dependent",BI4678="Male",BF4678="Abu Dhabi",BE4678=RN_2),VLOOKUP(BH4678,AUH_MALE_DEP,6,0),IF(AND(BD4678="Dependent",BI4678="Male",BF4678="Abu Dhabi",BE4678=RN2_minus),VLOOKUP(BH4678,AUH_MALE_DEP,7,0),IF(AND(BD4678="Dependent",BI4678="Male",BF4678="Abu Dhabi",BE4678=RN_3),VLOOKUP(BH4678,AUH_MALE_DEP,8,0),IF(AND(BD4678="Dependent",BI4678="Male",BF4678="Abu Dhabi",BE4678=VN),VLOOKUP(BH4678,AUH_MALE_DEP,9,0),IF(BD4678="","",IF(AND(BD4678="Dependent",BI4678="Female",BF4678="Abu Dhabi",BE4678=GN_Plus),VLOOKUP(BH4678,AUH_FEMALE_DEP,2,0),IF(AND(BD4678="Dependent",BI4678="Female",BF4678="Abu Dhabi",BE4678=GN),VLOOKUP(BH4678,AUH_FEMALE_DEP,3,0),IF(AND(BD4678="Dependent",BI4678="Female",BF4678="Abu Dhabi",BE4678=RN_Plus),VLOOKUP(BH4678,AUH_FEMALE_DEP,4,0),IF(AND(BD4678="Dependent",BI4678="Female",BF4678="Abu Dhabi",BE4678=RN),VLOOKUP(BH4678,AUH_FEMALE_DEP,5,0),IF(AND(BD4678="Dependent",BI4678="Female",BF4678="Abu Dhabi",BE4678=RN_2),VLOOKUP(BH4678,AUH_FEMALE_DEP,6,0),IF(AND(BD4678="Dependent",BI4678="Female",BF4678="Abu Dhabi",BE4678=RN2_minus),VLOOKUP(BH4678,AUH_FEMALE_DEP,7,0),IF(AND(BD4678="Dependent",BI4678="Female",BF4678="Abu Dhabi",BE4678=RN_3),VLOOKUP(BH4678,AUH_FEMALE_DEP,8,0),IF(AND(BD4678="Dependent",BI4678="Female",BF4678="Abu Dhabi",BE4678=VN),VLOOKUP(BH4678,AUH_FEMALE_DEP,9,0),"ABC"))))))))))))))))))))))))))))))))))))</f>
        <v/>
      </c>
      <c r="BL4678" s="498" t="str">
        <f t="shared" ref="BL4678:BL4741" si="1635">IF(BD4678="","",IF(AND(BD4678="Employee",BI4678="Male",BF4678="Dubai",BE4678=GN_Plus),VLOOKUP(BH4678,DXB_MALE_EMP,2,0),IF(AND(BD4678="Employee",BI4678="Male",BF4678="Dubai",BE4678=GN),VLOOKUP(BH4678,DXB_MALE_EMP,3,0),IF(AND(BD4678="Employee",BI4678="Male",BF4678="Dubai",BE4678=RN_Plus),VLOOKUP(BH4678,DXB_MALE_EMP,4,0),IF(AND(BD4678="Employee",BI4678="Male",BF4678="Dubai",BE4678=RN),VLOOKUP(BH4678,DXB_MALE_EMP,5,0),IF(AND(BD4678="Employee",BI4678="Male",BF4678="Dubai",BE4678=RN_2),VLOOKUP(BH4678,DXB_MALE_EMP,6,0),IF(AND(BD4678="Employee",BI4678="Male",BF4678="Dubai",BE4678=RN2_minus),VLOOKUP(BH4678,DXB_MALE_EMP,7,0),IF(AND(BD4678="Employee",BI4678="Male",BF4678="Dubai",BE4678=RN_3),VLOOKUP(BH4678,DXB_MALE_EMP,8,0),IF(AND(BD4678="Employee",BI4678="Male",BF4678="Dubai",BE4678=VN),VLOOKUP(BH4678,DXB_MALE_EMP,9,0),IF(BD4678="","",IF(AND(BD4678="Employee",BI4678="Female",BF4678="Dubai",BE4678=GN_Plus),VLOOKUP(BH4678,DXB_FEMALE_EMP,2,0),IF(AND(BD4678="Employee",BI4678="Female",BF4678="Dubai",BE4678=GN),VLOOKUP(BH4678,DXB_FEMALE_EMP,3,0),IF(AND(BD4678="Employee",BI4678="Female",BF4678="Dubai",BE4678=RN_Plus),VLOOKUP(BH4678,DXB_FEMALE_EMP,4,0),IF(AND(BD4678="Employee",BI4678="Female",BF4678="Dubai",BE4678=RN),VLOOKUP(BH4678,DXB_FEMALE_EMP,5,0),IF(AND(BD4678="Employee",BI4678="Female",BF4678="Dubai",BE4678=RN_2),VLOOKUP(BH4678,DXB_FEMALE_EMP,6,0),IF(AND(BD4678="Employee",BI4678="Female",BF4678="Dubai",BE4678=RN2_minus),VLOOKUP(BH4678,DXB_FEMALE_EMP,7,0),IF(AND(BD4678="Employee",BI4678="Female",BF4678="Dubai",BE4678=RN_3),VLOOKUP(BH4678,DXB_FEMALE_EMP,8,0),IF(AND(BD4678="Employee",BI4678="Female",BF4678="Dubai",BE4678=VN),VLOOKUP(BH4678,DXB_FEMALE_EMP,9,0),IF(BD4678="","",IF(AND(BD4678="Dependent",BI4678="Male",BF4678="Dubai",BE4678=GN_Plus),VLOOKUP(BH4678,DXB_MALE_DEP,2,0),IF(AND(BD4678="Dependent",BI4678="Male",BF4678="Dubai",BE4678=GN),VLOOKUP(BH4678,DXB_MALE_DEP,3,0),IF(AND(BD4678="Dependent",BI4678="Male",BF4678="Dubai",BE4678=RN_Plus),VLOOKUP(BH4678,DXB_MALE_DEP,4,0),IF(AND(BD4678="Dependent",BI4678="Male",BF4678="Dubai",BE4678=RN),VLOOKUP(BH4678,DXB_MALE_DEP,5,0),IF(AND(BD4678="Dependent",BI4678="Male",BF4678="Dubai",BE4678=RN_2),VLOOKUP(BH4678,DXB_MALE_DEP,6,0),IF(AND(BD4678="Dependent",BI4678="Male",BF4678="Dubai",BE4678=RN2_minus),VLOOKUP(BH4678,DXB_MALE_DEP,7,0),IF(AND(BD4678="Dependent",BI4678="Male",BF4678="Dubai",BE4678=RN_3),VLOOKUP(BH4678,DXB_MALE_DEP,8,0),IF(AND(BD4678="Dependent",BI4678="Male",BF4678="Dubai",BE4678=VN),VLOOKUP(BH4678,DXB_MALE_DEP,9,0),IF(BD4678="","",IF(AND(BD4678="Dependent",BI4678="Female",BF4678="Dubai",BE4678=GN_Plus),VLOOKUP(BH4678,DXB_FEMALE_DEP,2,0),IF(AND(BD4678="Dependent",BI4678="Female",BF4678="Dubai",BE4678=GN),VLOOKUP(BH4678,DXB_FEMALE_DEP,3,0),IF(AND(BD4678="Dependent",BI4678="Female",BF4678="Dubai",BE4678=RN_Plus),VLOOKUP(BH4678,DXB_FEMALE_DEP,4,0),IF(AND(BD4678="Dependent",BI4678="Female",BF4678="Dubai",BE4678=RN),VLOOKUP(BH4678,DXB_FEMALE_DEP,5,0),IF(AND(BD4678="Dependent",BI4678="Female",BF4678="Dubai",BE4678=RN_2),VLOOKUP(BH4678,DXB_FEMALE_DEP,6,0),IF(AND(BD4678="Dependent",BI4678="Female",BF4678="Dubai",BE4678=RN2_minus),VLOOKUP(BH4678,DXB_FEMALE_DEP,7,0),IF(AND(BD4678="Dependent",BI4678="Female",BF4678="Dubai",BE4678=RN_3),VLOOKUP(BH4678,DXB_FEMALE_DEP,8,0),IF(AND(BD4678="Dependent",BI4678="Female",BF4678="Dubai",BE4678=VN),VLOOKUP(BH4678,DXB_FEMALE_DEP,9,0),"ABC"))))))))))))))))))))))))))))))))))))</f>
        <v/>
      </c>
    </row>
    <row r="4679" spans="1:64" x14ac:dyDescent="0.25">
      <c r="A4679" s="762">
        <f t="shared" ref="A4679:A4742" si="1636">+A4678+1</f>
        <v>4674</v>
      </c>
      <c r="B4679" s="229"/>
      <c r="C4679" s="223"/>
      <c r="D4679" s="224"/>
      <c r="E4679" s="225"/>
      <c r="F4679" s="1036" t="str">
        <f t="shared" si="1620"/>
        <v/>
      </c>
      <c r="G4679" s="1037" t="str">
        <f t="shared" ref="G4679:G4742" si="1637">IF(D4679="","",MAX(0,ROUNDUP(F4679,0)))</f>
        <v/>
      </c>
      <c r="H4679" s="225"/>
      <c r="I4679" s="1013"/>
      <c r="J4679" s="1013"/>
      <c r="K4679" s="1028"/>
      <c r="L4679" s="1035" t="str">
        <f t="shared" si="1619"/>
        <v/>
      </c>
      <c r="S4679" s="498"/>
      <c r="AJ4679" s="498"/>
      <c r="AM4679" s="498">
        <f t="shared" si="1622"/>
        <v>0</v>
      </c>
      <c r="AN4679" s="498">
        <f t="shared" si="1623"/>
        <v>0</v>
      </c>
      <c r="AO4679" s="498">
        <f t="shared" si="1624"/>
        <v>0</v>
      </c>
      <c r="AP4679" s="498">
        <f t="shared" si="1621"/>
        <v>0</v>
      </c>
      <c r="AQ4679" s="498">
        <f t="shared" ref="AQ4679:AQ4742" si="1638">IF(ISBLANK($B4679),0,IF(OR($H4679="Single",$H4679="Married"),0,1))</f>
        <v>0</v>
      </c>
      <c r="AU4679" s="498">
        <f t="shared" si="1625"/>
        <v>0</v>
      </c>
      <c r="AV4679" s="498">
        <f t="shared" si="1626"/>
        <v>0</v>
      </c>
      <c r="AW4679" s="498">
        <f t="shared" si="1627"/>
        <v>0</v>
      </c>
      <c r="AX4679" s="498">
        <f t="shared" si="1628"/>
        <v>0</v>
      </c>
      <c r="AY4679" s="498">
        <f t="shared" si="1629"/>
        <v>0</v>
      </c>
      <c r="BB4679" s="498" t="str">
        <f t="shared" si="1630"/>
        <v/>
      </c>
      <c r="BC4679" s="743" t="str">
        <f t="shared" si="1631"/>
        <v/>
      </c>
      <c r="BD4679" s="743" t="str">
        <f t="shared" si="1632"/>
        <v/>
      </c>
      <c r="BE4679" s="743" t="str">
        <f>IF(D4679="","",VLOOKUP(D4679,'General Basis'!$J$39:$K$46,2,0))</f>
        <v/>
      </c>
      <c r="BF4679" s="744" t="str">
        <f>IF(D4679="","",VLOOKUP(D4679,'General Basis'!$J$39:$L$46,3,0))</f>
        <v/>
      </c>
      <c r="BG4679" s="744" t="str">
        <f t="shared" ref="BG4679:BG4742" si="1639">BC4679&amp;BI4679</f>
        <v/>
      </c>
      <c r="BH4679" s="744" t="str">
        <f>IF(G4679="","",IF(BF4679="Abu Dhabi",IF(G4679&lt;18,'General Basis'!$C$39,IF(G4679&lt;41,'General Basis'!$C$40,IF(G4679&lt;60,'General Basis'!$C$41,IF(G4679&lt;65,'General Basis'!$C$42,'General Basis'!$C$43)))),IF(G4679&lt;11,'General Basis'!$B$39,IF(G4679&lt;18,'General Basis'!$B$40,IF(G4679&lt;26,'General Basis'!$B$41,IF(G4679&lt;31,'General Basis'!$B$42,IF(G4679&lt;36,'General Basis'!$B$43,IF(G4679&lt;41,'General Basis'!$B$44,IF(G4679&lt;46,'General Basis'!$B$45,IF(G4679&lt;51,'General Basis'!$B$46,IF(G4679&lt;56,'General Basis'!$B$47,IF(G4679&lt;60,'General Basis'!$B$48,IF(G4679&lt;65,'General Basis'!$B$49,'General Basis'!$B$50)))))))))))))</f>
        <v/>
      </c>
      <c r="BI4679" s="744" t="str">
        <f t="shared" si="1633"/>
        <v/>
      </c>
      <c r="BJ4679" s="747" t="str">
        <f t="shared" ref="BJ4679:BJ4742" si="1640">IF(BD4679="","",IF(BF4679="Abu Dhabi",BK4679,BL4679))</f>
        <v/>
      </c>
      <c r="BK4679" s="498" t="str">
        <f t="shared" si="1634"/>
        <v/>
      </c>
      <c r="BL4679" s="498" t="str">
        <f t="shared" si="1635"/>
        <v/>
      </c>
    </row>
    <row r="4680" spans="1:64" x14ac:dyDescent="0.25">
      <c r="A4680" s="762">
        <f t="shared" si="1636"/>
        <v>4675</v>
      </c>
      <c r="B4680" s="229"/>
      <c r="C4680" s="223"/>
      <c r="D4680" s="224"/>
      <c r="E4680" s="225"/>
      <c r="F4680" s="1036" t="str">
        <f t="shared" si="1620"/>
        <v/>
      </c>
      <c r="G4680" s="1037" t="str">
        <f t="shared" si="1637"/>
        <v/>
      </c>
      <c r="H4680" s="225"/>
      <c r="I4680" s="1013"/>
      <c r="J4680" s="1013"/>
      <c r="K4680" s="1028"/>
      <c r="L4680" s="1035" t="str">
        <f t="shared" ref="L4680:L4743" si="1641">IF(AND(E4680="Child",H4680="Married"),"Check the Marital Status of the Child. ",IF(AND(E4680="Child",F4680&gt;18),"Child Age exceed 18 years. ",IF(AND(E4680="Spouse",H4680="Single"),"Spouse is selected as Single. ","")))&amp;IF(K4680&gt;0,"UW Loading has been Applied","")</f>
        <v/>
      </c>
      <c r="S4680" s="498"/>
      <c r="AJ4680" s="498"/>
      <c r="AM4680" s="498">
        <f t="shared" si="1622"/>
        <v>0</v>
      </c>
      <c r="AN4680" s="498">
        <f t="shared" si="1623"/>
        <v>0</v>
      </c>
      <c r="AO4680" s="498">
        <f t="shared" si="1624"/>
        <v>0</v>
      </c>
      <c r="AP4680" s="498">
        <f t="shared" si="1621"/>
        <v>0</v>
      </c>
      <c r="AQ4680" s="498">
        <f t="shared" si="1638"/>
        <v>0</v>
      </c>
      <c r="AU4680" s="498">
        <f t="shared" si="1625"/>
        <v>0</v>
      </c>
      <c r="AV4680" s="498">
        <f t="shared" si="1626"/>
        <v>0</v>
      </c>
      <c r="AW4680" s="498">
        <f t="shared" si="1627"/>
        <v>0</v>
      </c>
      <c r="AX4680" s="498">
        <f t="shared" si="1628"/>
        <v>0</v>
      </c>
      <c r="AY4680" s="498">
        <f t="shared" si="1629"/>
        <v>0</v>
      </c>
      <c r="BB4680" s="498" t="str">
        <f t="shared" si="1630"/>
        <v/>
      </c>
      <c r="BC4680" s="743" t="str">
        <f t="shared" si="1631"/>
        <v/>
      </c>
      <c r="BD4680" s="743" t="str">
        <f t="shared" si="1632"/>
        <v/>
      </c>
      <c r="BE4680" s="743" t="str">
        <f>IF(D4680="","",VLOOKUP(D4680,'General Basis'!$J$39:$K$46,2,0))</f>
        <v/>
      </c>
      <c r="BF4680" s="744" t="str">
        <f>IF(D4680="","",VLOOKUP(D4680,'General Basis'!$J$39:$L$46,3,0))</f>
        <v/>
      </c>
      <c r="BG4680" s="744" t="str">
        <f t="shared" si="1639"/>
        <v/>
      </c>
      <c r="BH4680" s="744" t="str">
        <f>IF(G4680="","",IF(BF4680="Abu Dhabi",IF(G4680&lt;18,'General Basis'!$C$39,IF(G4680&lt;41,'General Basis'!$C$40,IF(G4680&lt;60,'General Basis'!$C$41,IF(G4680&lt;65,'General Basis'!$C$42,'General Basis'!$C$43)))),IF(G4680&lt;11,'General Basis'!$B$39,IF(G4680&lt;18,'General Basis'!$B$40,IF(G4680&lt;26,'General Basis'!$B$41,IF(G4680&lt;31,'General Basis'!$B$42,IF(G4680&lt;36,'General Basis'!$B$43,IF(G4680&lt;41,'General Basis'!$B$44,IF(G4680&lt;46,'General Basis'!$B$45,IF(G4680&lt;51,'General Basis'!$B$46,IF(G4680&lt;56,'General Basis'!$B$47,IF(G4680&lt;60,'General Basis'!$B$48,IF(G4680&lt;65,'General Basis'!$B$49,'General Basis'!$B$50)))))))))))))</f>
        <v/>
      </c>
      <c r="BI4680" s="744" t="str">
        <f t="shared" si="1633"/>
        <v/>
      </c>
      <c r="BJ4680" s="747" t="str">
        <f t="shared" si="1640"/>
        <v/>
      </c>
      <c r="BK4680" s="498" t="str">
        <f t="shared" si="1634"/>
        <v/>
      </c>
      <c r="BL4680" s="498" t="str">
        <f t="shared" si="1635"/>
        <v/>
      </c>
    </row>
    <row r="4681" spans="1:64" x14ac:dyDescent="0.25">
      <c r="A4681" s="762">
        <f t="shared" si="1636"/>
        <v>4676</v>
      </c>
      <c r="B4681" s="229"/>
      <c r="C4681" s="223"/>
      <c r="D4681" s="224"/>
      <c r="E4681" s="225"/>
      <c r="F4681" s="1036" t="str">
        <f t="shared" si="1620"/>
        <v/>
      </c>
      <c r="G4681" s="1037" t="str">
        <f t="shared" si="1637"/>
        <v/>
      </c>
      <c r="H4681" s="225"/>
      <c r="I4681" s="1013"/>
      <c r="J4681" s="1013"/>
      <c r="K4681" s="1028"/>
      <c r="L4681" s="1035" t="str">
        <f t="shared" si="1641"/>
        <v/>
      </c>
      <c r="S4681" s="498"/>
      <c r="AJ4681" s="498"/>
      <c r="AM4681" s="498">
        <f t="shared" si="1622"/>
        <v>0</v>
      </c>
      <c r="AN4681" s="498">
        <f t="shared" si="1623"/>
        <v>0</v>
      </c>
      <c r="AO4681" s="498">
        <f t="shared" si="1624"/>
        <v>0</v>
      </c>
      <c r="AP4681" s="498">
        <f t="shared" si="1621"/>
        <v>0</v>
      </c>
      <c r="AQ4681" s="498">
        <f t="shared" si="1638"/>
        <v>0</v>
      </c>
      <c r="AU4681" s="498">
        <f t="shared" si="1625"/>
        <v>0</v>
      </c>
      <c r="AV4681" s="498">
        <f t="shared" si="1626"/>
        <v>0</v>
      </c>
      <c r="AW4681" s="498">
        <f t="shared" si="1627"/>
        <v>0</v>
      </c>
      <c r="AX4681" s="498">
        <f t="shared" si="1628"/>
        <v>0</v>
      </c>
      <c r="AY4681" s="498">
        <f t="shared" si="1629"/>
        <v>0</v>
      </c>
      <c r="BB4681" s="498" t="str">
        <f t="shared" si="1630"/>
        <v/>
      </c>
      <c r="BC4681" s="743" t="str">
        <f t="shared" si="1631"/>
        <v/>
      </c>
      <c r="BD4681" s="743" t="str">
        <f t="shared" si="1632"/>
        <v/>
      </c>
      <c r="BE4681" s="743" t="str">
        <f>IF(D4681="","",VLOOKUP(D4681,'General Basis'!$J$39:$K$46,2,0))</f>
        <v/>
      </c>
      <c r="BF4681" s="744" t="str">
        <f>IF(D4681="","",VLOOKUP(D4681,'General Basis'!$J$39:$L$46,3,0))</f>
        <v/>
      </c>
      <c r="BG4681" s="744" t="str">
        <f t="shared" si="1639"/>
        <v/>
      </c>
      <c r="BH4681" s="744" t="str">
        <f>IF(G4681="","",IF(BF4681="Abu Dhabi",IF(G4681&lt;18,'General Basis'!$C$39,IF(G4681&lt;41,'General Basis'!$C$40,IF(G4681&lt;60,'General Basis'!$C$41,IF(G4681&lt;65,'General Basis'!$C$42,'General Basis'!$C$43)))),IF(G4681&lt;11,'General Basis'!$B$39,IF(G4681&lt;18,'General Basis'!$B$40,IF(G4681&lt;26,'General Basis'!$B$41,IF(G4681&lt;31,'General Basis'!$B$42,IF(G4681&lt;36,'General Basis'!$B$43,IF(G4681&lt;41,'General Basis'!$B$44,IF(G4681&lt;46,'General Basis'!$B$45,IF(G4681&lt;51,'General Basis'!$B$46,IF(G4681&lt;56,'General Basis'!$B$47,IF(G4681&lt;60,'General Basis'!$B$48,IF(G4681&lt;65,'General Basis'!$B$49,'General Basis'!$B$50)))))))))))))</f>
        <v/>
      </c>
      <c r="BI4681" s="744" t="str">
        <f t="shared" si="1633"/>
        <v/>
      </c>
      <c r="BJ4681" s="747" t="str">
        <f t="shared" si="1640"/>
        <v/>
      </c>
      <c r="BK4681" s="498" t="str">
        <f t="shared" si="1634"/>
        <v/>
      </c>
      <c r="BL4681" s="498" t="str">
        <f t="shared" si="1635"/>
        <v/>
      </c>
    </row>
    <row r="4682" spans="1:64" x14ac:dyDescent="0.25">
      <c r="A4682" s="762">
        <f t="shared" si="1636"/>
        <v>4677</v>
      </c>
      <c r="B4682" s="229"/>
      <c r="C4682" s="223"/>
      <c r="D4682" s="224"/>
      <c r="E4682" s="225"/>
      <c r="F4682" s="1036" t="str">
        <f t="shared" si="1620"/>
        <v/>
      </c>
      <c r="G4682" s="1037" t="str">
        <f t="shared" si="1637"/>
        <v/>
      </c>
      <c r="H4682" s="225"/>
      <c r="I4682" s="1013"/>
      <c r="J4682" s="1013"/>
      <c r="K4682" s="1028"/>
      <c r="L4682" s="1035" t="str">
        <f t="shared" si="1641"/>
        <v/>
      </c>
      <c r="S4682" s="498"/>
      <c r="AJ4682" s="498"/>
      <c r="AM4682" s="498">
        <f t="shared" si="1622"/>
        <v>0</v>
      </c>
      <c r="AN4682" s="498">
        <f t="shared" si="1623"/>
        <v>0</v>
      </c>
      <c r="AO4682" s="498">
        <f t="shared" si="1624"/>
        <v>0</v>
      </c>
      <c r="AP4682" s="498">
        <f t="shared" si="1621"/>
        <v>0</v>
      </c>
      <c r="AQ4682" s="498">
        <f t="shared" si="1638"/>
        <v>0</v>
      </c>
      <c r="AU4682" s="498">
        <f t="shared" si="1625"/>
        <v>0</v>
      </c>
      <c r="AV4682" s="498">
        <f t="shared" si="1626"/>
        <v>0</v>
      </c>
      <c r="AW4682" s="498">
        <f t="shared" si="1627"/>
        <v>0</v>
      </c>
      <c r="AX4682" s="498">
        <f t="shared" si="1628"/>
        <v>0</v>
      </c>
      <c r="AY4682" s="498">
        <f t="shared" si="1629"/>
        <v>0</v>
      </c>
      <c r="BB4682" s="498" t="str">
        <f t="shared" si="1630"/>
        <v/>
      </c>
      <c r="BC4682" s="743" t="str">
        <f t="shared" si="1631"/>
        <v/>
      </c>
      <c r="BD4682" s="743" t="str">
        <f t="shared" si="1632"/>
        <v/>
      </c>
      <c r="BE4682" s="743" t="str">
        <f>IF(D4682="","",VLOOKUP(D4682,'General Basis'!$J$39:$K$46,2,0))</f>
        <v/>
      </c>
      <c r="BF4682" s="744" t="str">
        <f>IF(D4682="","",VLOOKUP(D4682,'General Basis'!$J$39:$L$46,3,0))</f>
        <v/>
      </c>
      <c r="BG4682" s="744" t="str">
        <f t="shared" si="1639"/>
        <v/>
      </c>
      <c r="BH4682" s="744" t="str">
        <f>IF(G4682="","",IF(BF4682="Abu Dhabi",IF(G4682&lt;18,'General Basis'!$C$39,IF(G4682&lt;41,'General Basis'!$C$40,IF(G4682&lt;60,'General Basis'!$C$41,IF(G4682&lt;65,'General Basis'!$C$42,'General Basis'!$C$43)))),IF(G4682&lt;11,'General Basis'!$B$39,IF(G4682&lt;18,'General Basis'!$B$40,IF(G4682&lt;26,'General Basis'!$B$41,IF(G4682&lt;31,'General Basis'!$B$42,IF(G4682&lt;36,'General Basis'!$B$43,IF(G4682&lt;41,'General Basis'!$B$44,IF(G4682&lt;46,'General Basis'!$B$45,IF(G4682&lt;51,'General Basis'!$B$46,IF(G4682&lt;56,'General Basis'!$B$47,IF(G4682&lt;60,'General Basis'!$B$48,IF(G4682&lt;65,'General Basis'!$B$49,'General Basis'!$B$50)))))))))))))</f>
        <v/>
      </c>
      <c r="BI4682" s="744" t="str">
        <f t="shared" si="1633"/>
        <v/>
      </c>
      <c r="BJ4682" s="747" t="str">
        <f t="shared" si="1640"/>
        <v/>
      </c>
      <c r="BK4682" s="498" t="str">
        <f t="shared" si="1634"/>
        <v/>
      </c>
      <c r="BL4682" s="498" t="str">
        <f t="shared" si="1635"/>
        <v/>
      </c>
    </row>
    <row r="4683" spans="1:64" x14ac:dyDescent="0.25">
      <c r="A4683" s="762">
        <f t="shared" si="1636"/>
        <v>4678</v>
      </c>
      <c r="B4683" s="229"/>
      <c r="C4683" s="223"/>
      <c r="D4683" s="224"/>
      <c r="E4683" s="225"/>
      <c r="F4683" s="1036" t="str">
        <f t="shared" si="1620"/>
        <v/>
      </c>
      <c r="G4683" s="1037" t="str">
        <f t="shared" si="1637"/>
        <v/>
      </c>
      <c r="H4683" s="225"/>
      <c r="I4683" s="1013"/>
      <c r="J4683" s="1013"/>
      <c r="K4683" s="1028"/>
      <c r="L4683" s="1035" t="str">
        <f t="shared" si="1641"/>
        <v/>
      </c>
      <c r="S4683" s="498"/>
      <c r="AJ4683" s="498"/>
      <c r="AM4683" s="498">
        <f t="shared" si="1622"/>
        <v>0</v>
      </c>
      <c r="AN4683" s="498">
        <f t="shared" si="1623"/>
        <v>0</v>
      </c>
      <c r="AO4683" s="498">
        <f t="shared" si="1624"/>
        <v>0</v>
      </c>
      <c r="AP4683" s="498">
        <f t="shared" si="1621"/>
        <v>0</v>
      </c>
      <c r="AQ4683" s="498">
        <f t="shared" si="1638"/>
        <v>0</v>
      </c>
      <c r="AU4683" s="498">
        <f t="shared" si="1625"/>
        <v>0</v>
      </c>
      <c r="AV4683" s="498">
        <f t="shared" si="1626"/>
        <v>0</v>
      </c>
      <c r="AW4683" s="498">
        <f t="shared" si="1627"/>
        <v>0</v>
      </c>
      <c r="AX4683" s="498">
        <f t="shared" si="1628"/>
        <v>0</v>
      </c>
      <c r="AY4683" s="498">
        <f t="shared" si="1629"/>
        <v>0</v>
      </c>
      <c r="BB4683" s="498" t="str">
        <f t="shared" si="1630"/>
        <v/>
      </c>
      <c r="BC4683" s="743" t="str">
        <f t="shared" si="1631"/>
        <v/>
      </c>
      <c r="BD4683" s="743" t="str">
        <f t="shared" si="1632"/>
        <v/>
      </c>
      <c r="BE4683" s="743" t="str">
        <f>IF(D4683="","",VLOOKUP(D4683,'General Basis'!$J$39:$K$46,2,0))</f>
        <v/>
      </c>
      <c r="BF4683" s="744" t="str">
        <f>IF(D4683="","",VLOOKUP(D4683,'General Basis'!$J$39:$L$46,3,0))</f>
        <v/>
      </c>
      <c r="BG4683" s="744" t="str">
        <f t="shared" si="1639"/>
        <v/>
      </c>
      <c r="BH4683" s="744" t="str">
        <f>IF(G4683="","",IF(BF4683="Abu Dhabi",IF(G4683&lt;18,'General Basis'!$C$39,IF(G4683&lt;41,'General Basis'!$C$40,IF(G4683&lt;60,'General Basis'!$C$41,IF(G4683&lt;65,'General Basis'!$C$42,'General Basis'!$C$43)))),IF(G4683&lt;11,'General Basis'!$B$39,IF(G4683&lt;18,'General Basis'!$B$40,IF(G4683&lt;26,'General Basis'!$B$41,IF(G4683&lt;31,'General Basis'!$B$42,IF(G4683&lt;36,'General Basis'!$B$43,IF(G4683&lt;41,'General Basis'!$B$44,IF(G4683&lt;46,'General Basis'!$B$45,IF(G4683&lt;51,'General Basis'!$B$46,IF(G4683&lt;56,'General Basis'!$B$47,IF(G4683&lt;60,'General Basis'!$B$48,IF(G4683&lt;65,'General Basis'!$B$49,'General Basis'!$B$50)))))))))))))</f>
        <v/>
      </c>
      <c r="BI4683" s="744" t="str">
        <f t="shared" si="1633"/>
        <v/>
      </c>
      <c r="BJ4683" s="747" t="str">
        <f t="shared" si="1640"/>
        <v/>
      </c>
      <c r="BK4683" s="498" t="str">
        <f t="shared" si="1634"/>
        <v/>
      </c>
      <c r="BL4683" s="498" t="str">
        <f t="shared" si="1635"/>
        <v/>
      </c>
    </row>
    <row r="4684" spans="1:64" x14ac:dyDescent="0.25">
      <c r="A4684" s="762">
        <f t="shared" si="1636"/>
        <v>4679</v>
      </c>
      <c r="B4684" s="229"/>
      <c r="C4684" s="223"/>
      <c r="D4684" s="224"/>
      <c r="E4684" s="225"/>
      <c r="F4684" s="1036" t="str">
        <f t="shared" si="1620"/>
        <v/>
      </c>
      <c r="G4684" s="1037" t="str">
        <f t="shared" si="1637"/>
        <v/>
      </c>
      <c r="H4684" s="225"/>
      <c r="I4684" s="1013"/>
      <c r="J4684" s="1013"/>
      <c r="K4684" s="1028"/>
      <c r="L4684" s="1035" t="str">
        <f t="shared" si="1641"/>
        <v/>
      </c>
      <c r="S4684" s="498"/>
      <c r="AJ4684" s="498"/>
      <c r="AM4684" s="498">
        <f t="shared" si="1622"/>
        <v>0</v>
      </c>
      <c r="AN4684" s="498">
        <f t="shared" si="1623"/>
        <v>0</v>
      </c>
      <c r="AO4684" s="498">
        <f t="shared" si="1624"/>
        <v>0</v>
      </c>
      <c r="AP4684" s="498">
        <f t="shared" si="1621"/>
        <v>0</v>
      </c>
      <c r="AQ4684" s="498">
        <f t="shared" si="1638"/>
        <v>0</v>
      </c>
      <c r="AU4684" s="498">
        <f t="shared" si="1625"/>
        <v>0</v>
      </c>
      <c r="AV4684" s="498">
        <f t="shared" si="1626"/>
        <v>0</v>
      </c>
      <c r="AW4684" s="498">
        <f t="shared" si="1627"/>
        <v>0</v>
      </c>
      <c r="AX4684" s="498">
        <f t="shared" si="1628"/>
        <v>0</v>
      </c>
      <c r="AY4684" s="498">
        <f t="shared" si="1629"/>
        <v>0</v>
      </c>
      <c r="BB4684" s="498" t="str">
        <f t="shared" si="1630"/>
        <v/>
      </c>
      <c r="BC4684" s="743" t="str">
        <f t="shared" si="1631"/>
        <v/>
      </c>
      <c r="BD4684" s="743" t="str">
        <f t="shared" si="1632"/>
        <v/>
      </c>
      <c r="BE4684" s="743" t="str">
        <f>IF(D4684="","",VLOOKUP(D4684,'General Basis'!$J$39:$K$46,2,0))</f>
        <v/>
      </c>
      <c r="BF4684" s="744" t="str">
        <f>IF(D4684="","",VLOOKUP(D4684,'General Basis'!$J$39:$L$46,3,0))</f>
        <v/>
      </c>
      <c r="BG4684" s="744" t="str">
        <f t="shared" si="1639"/>
        <v/>
      </c>
      <c r="BH4684" s="744" t="str">
        <f>IF(G4684="","",IF(BF4684="Abu Dhabi",IF(G4684&lt;18,'General Basis'!$C$39,IF(G4684&lt;41,'General Basis'!$C$40,IF(G4684&lt;60,'General Basis'!$C$41,IF(G4684&lt;65,'General Basis'!$C$42,'General Basis'!$C$43)))),IF(G4684&lt;11,'General Basis'!$B$39,IF(G4684&lt;18,'General Basis'!$B$40,IF(G4684&lt;26,'General Basis'!$B$41,IF(G4684&lt;31,'General Basis'!$B$42,IF(G4684&lt;36,'General Basis'!$B$43,IF(G4684&lt;41,'General Basis'!$B$44,IF(G4684&lt;46,'General Basis'!$B$45,IF(G4684&lt;51,'General Basis'!$B$46,IF(G4684&lt;56,'General Basis'!$B$47,IF(G4684&lt;60,'General Basis'!$B$48,IF(G4684&lt;65,'General Basis'!$B$49,'General Basis'!$B$50)))))))))))))</f>
        <v/>
      </c>
      <c r="BI4684" s="744" t="str">
        <f t="shared" si="1633"/>
        <v/>
      </c>
      <c r="BJ4684" s="747" t="str">
        <f t="shared" si="1640"/>
        <v/>
      </c>
      <c r="BK4684" s="498" t="str">
        <f t="shared" si="1634"/>
        <v/>
      </c>
      <c r="BL4684" s="498" t="str">
        <f t="shared" si="1635"/>
        <v/>
      </c>
    </row>
    <row r="4685" spans="1:64" x14ac:dyDescent="0.25">
      <c r="A4685" s="762">
        <f t="shared" si="1636"/>
        <v>4680</v>
      </c>
      <c r="B4685" s="229"/>
      <c r="C4685" s="223"/>
      <c r="D4685" s="224"/>
      <c r="E4685" s="225"/>
      <c r="F4685" s="1036" t="str">
        <f t="shared" si="1620"/>
        <v/>
      </c>
      <c r="G4685" s="1037" t="str">
        <f t="shared" si="1637"/>
        <v/>
      </c>
      <c r="H4685" s="225"/>
      <c r="I4685" s="1013"/>
      <c r="J4685" s="1013"/>
      <c r="K4685" s="1028"/>
      <c r="L4685" s="1035" t="str">
        <f t="shared" si="1641"/>
        <v/>
      </c>
      <c r="S4685" s="498"/>
      <c r="AJ4685" s="498"/>
      <c r="AM4685" s="498">
        <f t="shared" si="1622"/>
        <v>0</v>
      </c>
      <c r="AN4685" s="498">
        <f t="shared" si="1623"/>
        <v>0</v>
      </c>
      <c r="AO4685" s="498">
        <f t="shared" si="1624"/>
        <v>0</v>
      </c>
      <c r="AP4685" s="498">
        <f t="shared" si="1621"/>
        <v>0</v>
      </c>
      <c r="AQ4685" s="498">
        <f t="shared" si="1638"/>
        <v>0</v>
      </c>
      <c r="AU4685" s="498">
        <f t="shared" si="1625"/>
        <v>0</v>
      </c>
      <c r="AV4685" s="498">
        <f t="shared" si="1626"/>
        <v>0</v>
      </c>
      <c r="AW4685" s="498">
        <f t="shared" si="1627"/>
        <v>0</v>
      </c>
      <c r="AX4685" s="498">
        <f t="shared" si="1628"/>
        <v>0</v>
      </c>
      <c r="AY4685" s="498">
        <f t="shared" si="1629"/>
        <v>0</v>
      </c>
      <c r="BB4685" s="498" t="str">
        <f t="shared" si="1630"/>
        <v/>
      </c>
      <c r="BC4685" s="743" t="str">
        <f t="shared" si="1631"/>
        <v/>
      </c>
      <c r="BD4685" s="743" t="str">
        <f t="shared" si="1632"/>
        <v/>
      </c>
      <c r="BE4685" s="743" t="str">
        <f>IF(D4685="","",VLOOKUP(D4685,'General Basis'!$J$39:$K$46,2,0))</f>
        <v/>
      </c>
      <c r="BF4685" s="744" t="str">
        <f>IF(D4685="","",VLOOKUP(D4685,'General Basis'!$J$39:$L$46,3,0))</f>
        <v/>
      </c>
      <c r="BG4685" s="744" t="str">
        <f t="shared" si="1639"/>
        <v/>
      </c>
      <c r="BH4685" s="744" t="str">
        <f>IF(G4685="","",IF(BF4685="Abu Dhabi",IF(G4685&lt;18,'General Basis'!$C$39,IF(G4685&lt;41,'General Basis'!$C$40,IF(G4685&lt;60,'General Basis'!$C$41,IF(G4685&lt;65,'General Basis'!$C$42,'General Basis'!$C$43)))),IF(G4685&lt;11,'General Basis'!$B$39,IF(G4685&lt;18,'General Basis'!$B$40,IF(G4685&lt;26,'General Basis'!$B$41,IF(G4685&lt;31,'General Basis'!$B$42,IF(G4685&lt;36,'General Basis'!$B$43,IF(G4685&lt;41,'General Basis'!$B$44,IF(G4685&lt;46,'General Basis'!$B$45,IF(G4685&lt;51,'General Basis'!$B$46,IF(G4685&lt;56,'General Basis'!$B$47,IF(G4685&lt;60,'General Basis'!$B$48,IF(G4685&lt;65,'General Basis'!$B$49,'General Basis'!$B$50)))))))))))))</f>
        <v/>
      </c>
      <c r="BI4685" s="744" t="str">
        <f t="shared" si="1633"/>
        <v/>
      </c>
      <c r="BJ4685" s="747" t="str">
        <f t="shared" si="1640"/>
        <v/>
      </c>
      <c r="BK4685" s="498" t="str">
        <f t="shared" si="1634"/>
        <v/>
      </c>
      <c r="BL4685" s="498" t="str">
        <f t="shared" si="1635"/>
        <v/>
      </c>
    </row>
    <row r="4686" spans="1:64" x14ac:dyDescent="0.25">
      <c r="A4686" s="762">
        <f t="shared" si="1636"/>
        <v>4681</v>
      </c>
      <c r="B4686" s="229"/>
      <c r="C4686" s="223"/>
      <c r="D4686" s="224"/>
      <c r="E4686" s="225"/>
      <c r="F4686" s="1036" t="str">
        <f t="shared" si="1620"/>
        <v/>
      </c>
      <c r="G4686" s="1037" t="str">
        <f t="shared" si="1637"/>
        <v/>
      </c>
      <c r="H4686" s="225"/>
      <c r="I4686" s="1013"/>
      <c r="J4686" s="1013"/>
      <c r="K4686" s="1028"/>
      <c r="L4686" s="1035" t="str">
        <f t="shared" si="1641"/>
        <v/>
      </c>
      <c r="S4686" s="498"/>
      <c r="AJ4686" s="498"/>
      <c r="AM4686" s="498">
        <f t="shared" si="1622"/>
        <v>0</v>
      </c>
      <c r="AN4686" s="498">
        <f t="shared" si="1623"/>
        <v>0</v>
      </c>
      <c r="AO4686" s="498">
        <f t="shared" si="1624"/>
        <v>0</v>
      </c>
      <c r="AP4686" s="498">
        <f t="shared" si="1621"/>
        <v>0</v>
      </c>
      <c r="AQ4686" s="498">
        <f t="shared" si="1638"/>
        <v>0</v>
      </c>
      <c r="AU4686" s="498">
        <f t="shared" si="1625"/>
        <v>0</v>
      </c>
      <c r="AV4686" s="498">
        <f t="shared" si="1626"/>
        <v>0</v>
      </c>
      <c r="AW4686" s="498">
        <f t="shared" si="1627"/>
        <v>0</v>
      </c>
      <c r="AX4686" s="498">
        <f t="shared" si="1628"/>
        <v>0</v>
      </c>
      <c r="AY4686" s="498">
        <f t="shared" si="1629"/>
        <v>0</v>
      </c>
      <c r="BB4686" s="498" t="str">
        <f t="shared" si="1630"/>
        <v/>
      </c>
      <c r="BC4686" s="743" t="str">
        <f t="shared" si="1631"/>
        <v/>
      </c>
      <c r="BD4686" s="743" t="str">
        <f t="shared" si="1632"/>
        <v/>
      </c>
      <c r="BE4686" s="743" t="str">
        <f>IF(D4686="","",VLOOKUP(D4686,'General Basis'!$J$39:$K$46,2,0))</f>
        <v/>
      </c>
      <c r="BF4686" s="744" t="str">
        <f>IF(D4686="","",VLOOKUP(D4686,'General Basis'!$J$39:$L$46,3,0))</f>
        <v/>
      </c>
      <c r="BG4686" s="744" t="str">
        <f t="shared" si="1639"/>
        <v/>
      </c>
      <c r="BH4686" s="744" t="str">
        <f>IF(G4686="","",IF(BF4686="Abu Dhabi",IF(G4686&lt;18,'General Basis'!$C$39,IF(G4686&lt;41,'General Basis'!$C$40,IF(G4686&lt;60,'General Basis'!$C$41,IF(G4686&lt;65,'General Basis'!$C$42,'General Basis'!$C$43)))),IF(G4686&lt;11,'General Basis'!$B$39,IF(G4686&lt;18,'General Basis'!$B$40,IF(G4686&lt;26,'General Basis'!$B$41,IF(G4686&lt;31,'General Basis'!$B$42,IF(G4686&lt;36,'General Basis'!$B$43,IF(G4686&lt;41,'General Basis'!$B$44,IF(G4686&lt;46,'General Basis'!$B$45,IF(G4686&lt;51,'General Basis'!$B$46,IF(G4686&lt;56,'General Basis'!$B$47,IF(G4686&lt;60,'General Basis'!$B$48,IF(G4686&lt;65,'General Basis'!$B$49,'General Basis'!$B$50)))))))))))))</f>
        <v/>
      </c>
      <c r="BI4686" s="744" t="str">
        <f t="shared" si="1633"/>
        <v/>
      </c>
      <c r="BJ4686" s="747" t="str">
        <f t="shared" si="1640"/>
        <v/>
      </c>
      <c r="BK4686" s="498" t="str">
        <f t="shared" si="1634"/>
        <v/>
      </c>
      <c r="BL4686" s="498" t="str">
        <f t="shared" si="1635"/>
        <v/>
      </c>
    </row>
    <row r="4687" spans="1:64" x14ac:dyDescent="0.25">
      <c r="A4687" s="762">
        <f t="shared" si="1636"/>
        <v>4682</v>
      </c>
      <c r="B4687" s="229"/>
      <c r="C4687" s="223"/>
      <c r="D4687" s="224"/>
      <c r="E4687" s="225"/>
      <c r="F4687" s="1036" t="str">
        <f t="shared" si="1620"/>
        <v/>
      </c>
      <c r="G4687" s="1037" t="str">
        <f t="shared" si="1637"/>
        <v/>
      </c>
      <c r="H4687" s="225"/>
      <c r="I4687" s="1013"/>
      <c r="J4687" s="1013"/>
      <c r="K4687" s="1028"/>
      <c r="L4687" s="1035" t="str">
        <f t="shared" si="1641"/>
        <v/>
      </c>
      <c r="S4687" s="498"/>
      <c r="AJ4687" s="498"/>
      <c r="AM4687" s="498">
        <f t="shared" si="1622"/>
        <v>0</v>
      </c>
      <c r="AN4687" s="498">
        <f t="shared" si="1623"/>
        <v>0</v>
      </c>
      <c r="AO4687" s="498">
        <f t="shared" si="1624"/>
        <v>0</v>
      </c>
      <c r="AP4687" s="498">
        <f t="shared" si="1621"/>
        <v>0</v>
      </c>
      <c r="AQ4687" s="498">
        <f t="shared" si="1638"/>
        <v>0</v>
      </c>
      <c r="AU4687" s="498">
        <f t="shared" si="1625"/>
        <v>0</v>
      </c>
      <c r="AV4687" s="498">
        <f t="shared" si="1626"/>
        <v>0</v>
      </c>
      <c r="AW4687" s="498">
        <f t="shared" si="1627"/>
        <v>0</v>
      </c>
      <c r="AX4687" s="498">
        <f t="shared" si="1628"/>
        <v>0</v>
      </c>
      <c r="AY4687" s="498">
        <f t="shared" si="1629"/>
        <v>0</v>
      </c>
      <c r="BB4687" s="498" t="str">
        <f t="shared" si="1630"/>
        <v/>
      </c>
      <c r="BC4687" s="743" t="str">
        <f t="shared" si="1631"/>
        <v/>
      </c>
      <c r="BD4687" s="743" t="str">
        <f t="shared" si="1632"/>
        <v/>
      </c>
      <c r="BE4687" s="743" t="str">
        <f>IF(D4687="","",VLOOKUP(D4687,'General Basis'!$J$39:$K$46,2,0))</f>
        <v/>
      </c>
      <c r="BF4687" s="744" t="str">
        <f>IF(D4687="","",VLOOKUP(D4687,'General Basis'!$J$39:$L$46,3,0))</f>
        <v/>
      </c>
      <c r="BG4687" s="744" t="str">
        <f t="shared" si="1639"/>
        <v/>
      </c>
      <c r="BH4687" s="744" t="str">
        <f>IF(G4687="","",IF(BF4687="Abu Dhabi",IF(G4687&lt;18,'General Basis'!$C$39,IF(G4687&lt;41,'General Basis'!$C$40,IF(G4687&lt;60,'General Basis'!$C$41,IF(G4687&lt;65,'General Basis'!$C$42,'General Basis'!$C$43)))),IF(G4687&lt;11,'General Basis'!$B$39,IF(G4687&lt;18,'General Basis'!$B$40,IF(G4687&lt;26,'General Basis'!$B$41,IF(G4687&lt;31,'General Basis'!$B$42,IF(G4687&lt;36,'General Basis'!$B$43,IF(G4687&lt;41,'General Basis'!$B$44,IF(G4687&lt;46,'General Basis'!$B$45,IF(G4687&lt;51,'General Basis'!$B$46,IF(G4687&lt;56,'General Basis'!$B$47,IF(G4687&lt;60,'General Basis'!$B$48,IF(G4687&lt;65,'General Basis'!$B$49,'General Basis'!$B$50)))))))))))))</f>
        <v/>
      </c>
      <c r="BI4687" s="744" t="str">
        <f t="shared" si="1633"/>
        <v/>
      </c>
      <c r="BJ4687" s="747" t="str">
        <f t="shared" si="1640"/>
        <v/>
      </c>
      <c r="BK4687" s="498" t="str">
        <f t="shared" si="1634"/>
        <v/>
      </c>
      <c r="BL4687" s="498" t="str">
        <f t="shared" si="1635"/>
        <v/>
      </c>
    </row>
    <row r="4688" spans="1:64" x14ac:dyDescent="0.25">
      <c r="A4688" s="762">
        <f t="shared" si="1636"/>
        <v>4683</v>
      </c>
      <c r="B4688" s="229"/>
      <c r="C4688" s="223"/>
      <c r="D4688" s="224"/>
      <c r="E4688" s="225"/>
      <c r="F4688" s="1036" t="str">
        <f t="shared" ref="F4688:F4751" si="1642">IF(C4688="","",IF($B4688="","",((YEAR($F$3)-YEAR($B4688))+(MONTH($F$3)-MONTH($B4688))/12+(DAY($F$3)-DAY($B4688))/(DATE(YEAR($F$3),12,31)-DATE(YEAR($F$3),1,1)+1))))</f>
        <v/>
      </c>
      <c r="G4688" s="1037" t="str">
        <f t="shared" si="1637"/>
        <v/>
      </c>
      <c r="H4688" s="225"/>
      <c r="I4688" s="1013"/>
      <c r="J4688" s="1013"/>
      <c r="K4688" s="1028"/>
      <c r="L4688" s="1035" t="str">
        <f t="shared" si="1641"/>
        <v/>
      </c>
      <c r="S4688" s="498"/>
      <c r="AJ4688" s="498"/>
      <c r="AM4688" s="498">
        <f t="shared" si="1622"/>
        <v>0</v>
      </c>
      <c r="AN4688" s="498">
        <f t="shared" si="1623"/>
        <v>0</v>
      </c>
      <c r="AO4688" s="498">
        <f t="shared" si="1624"/>
        <v>0</v>
      </c>
      <c r="AP4688" s="498">
        <f t="shared" si="1621"/>
        <v>0</v>
      </c>
      <c r="AQ4688" s="498">
        <f t="shared" si="1638"/>
        <v>0</v>
      </c>
      <c r="AU4688" s="498">
        <f t="shared" si="1625"/>
        <v>0</v>
      </c>
      <c r="AV4688" s="498">
        <f t="shared" si="1626"/>
        <v>0</v>
      </c>
      <c r="AW4688" s="498">
        <f t="shared" si="1627"/>
        <v>0</v>
      </c>
      <c r="AX4688" s="498">
        <f t="shared" si="1628"/>
        <v>0</v>
      </c>
      <c r="AY4688" s="498">
        <f t="shared" si="1629"/>
        <v>0</v>
      </c>
      <c r="BB4688" s="498" t="str">
        <f t="shared" si="1630"/>
        <v/>
      </c>
      <c r="BC4688" s="743" t="str">
        <f t="shared" si="1631"/>
        <v/>
      </c>
      <c r="BD4688" s="743" t="str">
        <f t="shared" si="1632"/>
        <v/>
      </c>
      <c r="BE4688" s="743" t="str">
        <f>IF(D4688="","",VLOOKUP(D4688,'General Basis'!$J$39:$K$46,2,0))</f>
        <v/>
      </c>
      <c r="BF4688" s="744" t="str">
        <f>IF(D4688="","",VLOOKUP(D4688,'General Basis'!$J$39:$L$46,3,0))</f>
        <v/>
      </c>
      <c r="BG4688" s="744" t="str">
        <f t="shared" si="1639"/>
        <v/>
      </c>
      <c r="BH4688" s="744" t="str">
        <f>IF(G4688="","",IF(BF4688="Abu Dhabi",IF(G4688&lt;18,'General Basis'!$C$39,IF(G4688&lt;41,'General Basis'!$C$40,IF(G4688&lt;60,'General Basis'!$C$41,IF(G4688&lt;65,'General Basis'!$C$42,'General Basis'!$C$43)))),IF(G4688&lt;11,'General Basis'!$B$39,IF(G4688&lt;18,'General Basis'!$B$40,IF(G4688&lt;26,'General Basis'!$B$41,IF(G4688&lt;31,'General Basis'!$B$42,IF(G4688&lt;36,'General Basis'!$B$43,IF(G4688&lt;41,'General Basis'!$B$44,IF(G4688&lt;46,'General Basis'!$B$45,IF(G4688&lt;51,'General Basis'!$B$46,IF(G4688&lt;56,'General Basis'!$B$47,IF(G4688&lt;60,'General Basis'!$B$48,IF(G4688&lt;65,'General Basis'!$B$49,'General Basis'!$B$50)))))))))))))</f>
        <v/>
      </c>
      <c r="BI4688" s="744" t="str">
        <f t="shared" si="1633"/>
        <v/>
      </c>
      <c r="BJ4688" s="747" t="str">
        <f t="shared" si="1640"/>
        <v/>
      </c>
      <c r="BK4688" s="498" t="str">
        <f t="shared" si="1634"/>
        <v/>
      </c>
      <c r="BL4688" s="498" t="str">
        <f t="shared" si="1635"/>
        <v/>
      </c>
    </row>
    <row r="4689" spans="1:64" x14ac:dyDescent="0.25">
      <c r="A4689" s="762">
        <f t="shared" si="1636"/>
        <v>4684</v>
      </c>
      <c r="B4689" s="229"/>
      <c r="C4689" s="223"/>
      <c r="D4689" s="224"/>
      <c r="E4689" s="225"/>
      <c r="F4689" s="1036" t="str">
        <f t="shared" si="1642"/>
        <v/>
      </c>
      <c r="G4689" s="1037" t="str">
        <f t="shared" si="1637"/>
        <v/>
      </c>
      <c r="H4689" s="225"/>
      <c r="I4689" s="1013"/>
      <c r="J4689" s="1013"/>
      <c r="K4689" s="1028"/>
      <c r="L4689" s="1035" t="str">
        <f t="shared" si="1641"/>
        <v/>
      </c>
      <c r="S4689" s="498"/>
      <c r="AJ4689" s="498"/>
      <c r="AM4689" s="498">
        <f t="shared" si="1622"/>
        <v>0</v>
      </c>
      <c r="AN4689" s="498">
        <f t="shared" si="1623"/>
        <v>0</v>
      </c>
      <c r="AO4689" s="498">
        <f t="shared" si="1624"/>
        <v>0</v>
      </c>
      <c r="AP4689" s="498">
        <f t="shared" si="1621"/>
        <v>0</v>
      </c>
      <c r="AQ4689" s="498">
        <f t="shared" si="1638"/>
        <v>0</v>
      </c>
      <c r="AU4689" s="498">
        <f t="shared" si="1625"/>
        <v>0</v>
      </c>
      <c r="AV4689" s="498">
        <f t="shared" si="1626"/>
        <v>0</v>
      </c>
      <c r="AW4689" s="498">
        <f t="shared" si="1627"/>
        <v>0</v>
      </c>
      <c r="AX4689" s="498">
        <f t="shared" si="1628"/>
        <v>0</v>
      </c>
      <c r="AY4689" s="498">
        <f t="shared" si="1629"/>
        <v>0</v>
      </c>
      <c r="BB4689" s="498" t="str">
        <f t="shared" si="1630"/>
        <v/>
      </c>
      <c r="BC4689" s="743" t="str">
        <f t="shared" si="1631"/>
        <v/>
      </c>
      <c r="BD4689" s="743" t="str">
        <f t="shared" si="1632"/>
        <v/>
      </c>
      <c r="BE4689" s="743" t="str">
        <f>IF(D4689="","",VLOOKUP(D4689,'General Basis'!$J$39:$K$46,2,0))</f>
        <v/>
      </c>
      <c r="BF4689" s="744" t="str">
        <f>IF(D4689="","",VLOOKUP(D4689,'General Basis'!$J$39:$L$46,3,0))</f>
        <v/>
      </c>
      <c r="BG4689" s="744" t="str">
        <f t="shared" si="1639"/>
        <v/>
      </c>
      <c r="BH4689" s="744" t="str">
        <f>IF(G4689="","",IF(BF4689="Abu Dhabi",IF(G4689&lt;18,'General Basis'!$C$39,IF(G4689&lt;41,'General Basis'!$C$40,IF(G4689&lt;60,'General Basis'!$C$41,IF(G4689&lt;65,'General Basis'!$C$42,'General Basis'!$C$43)))),IF(G4689&lt;11,'General Basis'!$B$39,IF(G4689&lt;18,'General Basis'!$B$40,IF(G4689&lt;26,'General Basis'!$B$41,IF(G4689&lt;31,'General Basis'!$B$42,IF(G4689&lt;36,'General Basis'!$B$43,IF(G4689&lt;41,'General Basis'!$B$44,IF(G4689&lt;46,'General Basis'!$B$45,IF(G4689&lt;51,'General Basis'!$B$46,IF(G4689&lt;56,'General Basis'!$B$47,IF(G4689&lt;60,'General Basis'!$B$48,IF(G4689&lt;65,'General Basis'!$B$49,'General Basis'!$B$50)))))))))))))</f>
        <v/>
      </c>
      <c r="BI4689" s="744" t="str">
        <f t="shared" si="1633"/>
        <v/>
      </c>
      <c r="BJ4689" s="747" t="str">
        <f t="shared" si="1640"/>
        <v/>
      </c>
      <c r="BK4689" s="498" t="str">
        <f t="shared" si="1634"/>
        <v/>
      </c>
      <c r="BL4689" s="498" t="str">
        <f t="shared" si="1635"/>
        <v/>
      </c>
    </row>
    <row r="4690" spans="1:64" x14ac:dyDescent="0.25">
      <c r="A4690" s="762">
        <f t="shared" si="1636"/>
        <v>4685</v>
      </c>
      <c r="B4690" s="229"/>
      <c r="C4690" s="223"/>
      <c r="D4690" s="224"/>
      <c r="E4690" s="225"/>
      <c r="F4690" s="1036" t="str">
        <f t="shared" si="1642"/>
        <v/>
      </c>
      <c r="G4690" s="1037" t="str">
        <f t="shared" si="1637"/>
        <v/>
      </c>
      <c r="H4690" s="225"/>
      <c r="I4690" s="1013"/>
      <c r="J4690" s="1013"/>
      <c r="K4690" s="1028"/>
      <c r="L4690" s="1035" t="str">
        <f t="shared" si="1641"/>
        <v/>
      </c>
      <c r="S4690" s="498"/>
      <c r="AJ4690" s="498"/>
      <c r="AM4690" s="498">
        <f t="shared" si="1622"/>
        <v>0</v>
      </c>
      <c r="AN4690" s="498">
        <f t="shared" si="1623"/>
        <v>0</v>
      </c>
      <c r="AO4690" s="498">
        <f t="shared" si="1624"/>
        <v>0</v>
      </c>
      <c r="AP4690" s="498">
        <f t="shared" si="1621"/>
        <v>0</v>
      </c>
      <c r="AQ4690" s="498">
        <f t="shared" si="1638"/>
        <v>0</v>
      </c>
      <c r="AU4690" s="498">
        <f t="shared" si="1625"/>
        <v>0</v>
      </c>
      <c r="AV4690" s="498">
        <f t="shared" si="1626"/>
        <v>0</v>
      </c>
      <c r="AW4690" s="498">
        <f t="shared" si="1627"/>
        <v>0</v>
      </c>
      <c r="AX4690" s="498">
        <f t="shared" si="1628"/>
        <v>0</v>
      </c>
      <c r="AY4690" s="498">
        <f t="shared" si="1629"/>
        <v>0</v>
      </c>
      <c r="BB4690" s="498" t="str">
        <f t="shared" si="1630"/>
        <v/>
      </c>
      <c r="BC4690" s="743" t="str">
        <f t="shared" si="1631"/>
        <v/>
      </c>
      <c r="BD4690" s="743" t="str">
        <f t="shared" si="1632"/>
        <v/>
      </c>
      <c r="BE4690" s="743" t="str">
        <f>IF(D4690="","",VLOOKUP(D4690,'General Basis'!$J$39:$K$46,2,0))</f>
        <v/>
      </c>
      <c r="BF4690" s="744" t="str">
        <f>IF(D4690="","",VLOOKUP(D4690,'General Basis'!$J$39:$L$46,3,0))</f>
        <v/>
      </c>
      <c r="BG4690" s="744" t="str">
        <f t="shared" si="1639"/>
        <v/>
      </c>
      <c r="BH4690" s="744" t="str">
        <f>IF(G4690="","",IF(BF4690="Abu Dhabi",IF(G4690&lt;18,'General Basis'!$C$39,IF(G4690&lt;41,'General Basis'!$C$40,IF(G4690&lt;60,'General Basis'!$C$41,IF(G4690&lt;65,'General Basis'!$C$42,'General Basis'!$C$43)))),IF(G4690&lt;11,'General Basis'!$B$39,IF(G4690&lt;18,'General Basis'!$B$40,IF(G4690&lt;26,'General Basis'!$B$41,IF(G4690&lt;31,'General Basis'!$B$42,IF(G4690&lt;36,'General Basis'!$B$43,IF(G4690&lt;41,'General Basis'!$B$44,IF(G4690&lt;46,'General Basis'!$B$45,IF(G4690&lt;51,'General Basis'!$B$46,IF(G4690&lt;56,'General Basis'!$B$47,IF(G4690&lt;60,'General Basis'!$B$48,IF(G4690&lt;65,'General Basis'!$B$49,'General Basis'!$B$50)))))))))))))</f>
        <v/>
      </c>
      <c r="BI4690" s="744" t="str">
        <f t="shared" si="1633"/>
        <v/>
      </c>
      <c r="BJ4690" s="747" t="str">
        <f t="shared" si="1640"/>
        <v/>
      </c>
      <c r="BK4690" s="498" t="str">
        <f t="shared" si="1634"/>
        <v/>
      </c>
      <c r="BL4690" s="498" t="str">
        <f t="shared" si="1635"/>
        <v/>
      </c>
    </row>
    <row r="4691" spans="1:64" x14ac:dyDescent="0.25">
      <c r="A4691" s="762">
        <f t="shared" si="1636"/>
        <v>4686</v>
      </c>
      <c r="B4691" s="229"/>
      <c r="C4691" s="223"/>
      <c r="D4691" s="224"/>
      <c r="E4691" s="225"/>
      <c r="F4691" s="1036" t="str">
        <f t="shared" si="1642"/>
        <v/>
      </c>
      <c r="G4691" s="1037" t="str">
        <f t="shared" si="1637"/>
        <v/>
      </c>
      <c r="H4691" s="225"/>
      <c r="I4691" s="1013"/>
      <c r="J4691" s="1013"/>
      <c r="K4691" s="1028"/>
      <c r="L4691" s="1035" t="str">
        <f t="shared" si="1641"/>
        <v/>
      </c>
      <c r="S4691" s="498"/>
      <c r="AJ4691" s="498"/>
      <c r="AM4691" s="498">
        <f t="shared" si="1622"/>
        <v>0</v>
      </c>
      <c r="AN4691" s="498">
        <f t="shared" si="1623"/>
        <v>0</v>
      </c>
      <c r="AO4691" s="498">
        <f t="shared" si="1624"/>
        <v>0</v>
      </c>
      <c r="AP4691" s="498">
        <f t="shared" ref="AP4691:AP4754" si="1643">IF(ISBLANK($B4691),0,IF(OR($C4691="M",$C4691="F"),0,1))</f>
        <v>0</v>
      </c>
      <c r="AQ4691" s="498">
        <f t="shared" si="1638"/>
        <v>0</v>
      </c>
      <c r="AU4691" s="498">
        <f t="shared" si="1625"/>
        <v>0</v>
      </c>
      <c r="AV4691" s="498">
        <f t="shared" si="1626"/>
        <v>0</v>
      </c>
      <c r="AW4691" s="498">
        <f t="shared" si="1627"/>
        <v>0</v>
      </c>
      <c r="AX4691" s="498">
        <f t="shared" si="1628"/>
        <v>0</v>
      </c>
      <c r="AY4691" s="498">
        <f t="shared" si="1629"/>
        <v>0</v>
      </c>
      <c r="BB4691" s="498" t="str">
        <f t="shared" si="1630"/>
        <v/>
      </c>
      <c r="BC4691" s="743" t="str">
        <f t="shared" si="1631"/>
        <v/>
      </c>
      <c r="BD4691" s="743" t="str">
        <f t="shared" si="1632"/>
        <v/>
      </c>
      <c r="BE4691" s="743" t="str">
        <f>IF(D4691="","",VLOOKUP(D4691,'General Basis'!$J$39:$K$46,2,0))</f>
        <v/>
      </c>
      <c r="BF4691" s="744" t="str">
        <f>IF(D4691="","",VLOOKUP(D4691,'General Basis'!$J$39:$L$46,3,0))</f>
        <v/>
      </c>
      <c r="BG4691" s="744" t="str">
        <f t="shared" si="1639"/>
        <v/>
      </c>
      <c r="BH4691" s="744" t="str">
        <f>IF(G4691="","",IF(BF4691="Abu Dhabi",IF(G4691&lt;18,'General Basis'!$C$39,IF(G4691&lt;41,'General Basis'!$C$40,IF(G4691&lt;60,'General Basis'!$C$41,IF(G4691&lt;65,'General Basis'!$C$42,'General Basis'!$C$43)))),IF(G4691&lt;11,'General Basis'!$B$39,IF(G4691&lt;18,'General Basis'!$B$40,IF(G4691&lt;26,'General Basis'!$B$41,IF(G4691&lt;31,'General Basis'!$B$42,IF(G4691&lt;36,'General Basis'!$B$43,IF(G4691&lt;41,'General Basis'!$B$44,IF(G4691&lt;46,'General Basis'!$B$45,IF(G4691&lt;51,'General Basis'!$B$46,IF(G4691&lt;56,'General Basis'!$B$47,IF(G4691&lt;60,'General Basis'!$B$48,IF(G4691&lt;65,'General Basis'!$B$49,'General Basis'!$B$50)))))))))))))</f>
        <v/>
      </c>
      <c r="BI4691" s="744" t="str">
        <f t="shared" si="1633"/>
        <v/>
      </c>
      <c r="BJ4691" s="747" t="str">
        <f t="shared" si="1640"/>
        <v/>
      </c>
      <c r="BK4691" s="498" t="str">
        <f t="shared" si="1634"/>
        <v/>
      </c>
      <c r="BL4691" s="498" t="str">
        <f t="shared" si="1635"/>
        <v/>
      </c>
    </row>
    <row r="4692" spans="1:64" x14ac:dyDescent="0.25">
      <c r="A4692" s="762">
        <f t="shared" si="1636"/>
        <v>4687</v>
      </c>
      <c r="B4692" s="229"/>
      <c r="C4692" s="223"/>
      <c r="D4692" s="224"/>
      <c r="E4692" s="225"/>
      <c r="F4692" s="1036" t="str">
        <f t="shared" si="1642"/>
        <v/>
      </c>
      <c r="G4692" s="1037" t="str">
        <f t="shared" si="1637"/>
        <v/>
      </c>
      <c r="H4692" s="225"/>
      <c r="I4692" s="1013"/>
      <c r="J4692" s="1013"/>
      <c r="K4692" s="1028"/>
      <c r="L4692" s="1035" t="str">
        <f t="shared" si="1641"/>
        <v/>
      </c>
      <c r="S4692" s="498"/>
      <c r="AJ4692" s="498"/>
      <c r="AM4692" s="498">
        <f t="shared" si="1622"/>
        <v>0</v>
      </c>
      <c r="AN4692" s="498">
        <f t="shared" si="1623"/>
        <v>0</v>
      </c>
      <c r="AO4692" s="498">
        <f t="shared" si="1624"/>
        <v>0</v>
      </c>
      <c r="AP4692" s="498">
        <f t="shared" si="1643"/>
        <v>0</v>
      </c>
      <c r="AQ4692" s="498">
        <f t="shared" si="1638"/>
        <v>0</v>
      </c>
      <c r="AU4692" s="498">
        <f t="shared" si="1625"/>
        <v>0</v>
      </c>
      <c r="AV4692" s="498">
        <f t="shared" si="1626"/>
        <v>0</v>
      </c>
      <c r="AW4692" s="498">
        <f t="shared" si="1627"/>
        <v>0</v>
      </c>
      <c r="AX4692" s="498">
        <f t="shared" si="1628"/>
        <v>0</v>
      </c>
      <c r="AY4692" s="498">
        <f t="shared" si="1629"/>
        <v>0</v>
      </c>
      <c r="BB4692" s="498" t="str">
        <f t="shared" si="1630"/>
        <v/>
      </c>
      <c r="BC4692" s="743" t="str">
        <f t="shared" si="1631"/>
        <v/>
      </c>
      <c r="BD4692" s="743" t="str">
        <f t="shared" si="1632"/>
        <v/>
      </c>
      <c r="BE4692" s="743" t="str">
        <f>IF(D4692="","",VLOOKUP(D4692,'General Basis'!$J$39:$K$46,2,0))</f>
        <v/>
      </c>
      <c r="BF4692" s="744" t="str">
        <f>IF(D4692="","",VLOOKUP(D4692,'General Basis'!$J$39:$L$46,3,0))</f>
        <v/>
      </c>
      <c r="BG4692" s="744" t="str">
        <f t="shared" si="1639"/>
        <v/>
      </c>
      <c r="BH4692" s="744" t="str">
        <f>IF(G4692="","",IF(BF4692="Abu Dhabi",IF(G4692&lt;18,'General Basis'!$C$39,IF(G4692&lt;41,'General Basis'!$C$40,IF(G4692&lt;60,'General Basis'!$C$41,IF(G4692&lt;65,'General Basis'!$C$42,'General Basis'!$C$43)))),IF(G4692&lt;11,'General Basis'!$B$39,IF(G4692&lt;18,'General Basis'!$B$40,IF(G4692&lt;26,'General Basis'!$B$41,IF(G4692&lt;31,'General Basis'!$B$42,IF(G4692&lt;36,'General Basis'!$B$43,IF(G4692&lt;41,'General Basis'!$B$44,IF(G4692&lt;46,'General Basis'!$B$45,IF(G4692&lt;51,'General Basis'!$B$46,IF(G4692&lt;56,'General Basis'!$B$47,IF(G4692&lt;60,'General Basis'!$B$48,IF(G4692&lt;65,'General Basis'!$B$49,'General Basis'!$B$50)))))))))))))</f>
        <v/>
      </c>
      <c r="BI4692" s="744" t="str">
        <f t="shared" si="1633"/>
        <v/>
      </c>
      <c r="BJ4692" s="747" t="str">
        <f t="shared" si="1640"/>
        <v/>
      </c>
      <c r="BK4692" s="498" t="str">
        <f t="shared" si="1634"/>
        <v/>
      </c>
      <c r="BL4692" s="498" t="str">
        <f t="shared" si="1635"/>
        <v/>
      </c>
    </row>
    <row r="4693" spans="1:64" x14ac:dyDescent="0.25">
      <c r="A4693" s="762">
        <f t="shared" si="1636"/>
        <v>4688</v>
      </c>
      <c r="B4693" s="229"/>
      <c r="C4693" s="223"/>
      <c r="D4693" s="224"/>
      <c r="E4693" s="225"/>
      <c r="F4693" s="1036" t="str">
        <f t="shared" si="1642"/>
        <v/>
      </c>
      <c r="G4693" s="1037" t="str">
        <f t="shared" si="1637"/>
        <v/>
      </c>
      <c r="H4693" s="225"/>
      <c r="I4693" s="1013"/>
      <c r="J4693" s="1013"/>
      <c r="K4693" s="1028"/>
      <c r="L4693" s="1035" t="str">
        <f t="shared" si="1641"/>
        <v/>
      </c>
      <c r="S4693" s="498"/>
      <c r="AJ4693" s="498"/>
      <c r="AM4693" s="498">
        <f t="shared" si="1622"/>
        <v>0</v>
      </c>
      <c r="AN4693" s="498">
        <f t="shared" si="1623"/>
        <v>0</v>
      </c>
      <c r="AO4693" s="498">
        <f t="shared" si="1624"/>
        <v>0</v>
      </c>
      <c r="AP4693" s="498">
        <f t="shared" si="1643"/>
        <v>0</v>
      </c>
      <c r="AQ4693" s="498">
        <f t="shared" si="1638"/>
        <v>0</v>
      </c>
      <c r="AU4693" s="498">
        <f t="shared" si="1625"/>
        <v>0</v>
      </c>
      <c r="AV4693" s="498">
        <f t="shared" si="1626"/>
        <v>0</v>
      </c>
      <c r="AW4693" s="498">
        <f t="shared" si="1627"/>
        <v>0</v>
      </c>
      <c r="AX4693" s="498">
        <f t="shared" si="1628"/>
        <v>0</v>
      </c>
      <c r="AY4693" s="498">
        <f t="shared" si="1629"/>
        <v>0</v>
      </c>
      <c r="BB4693" s="498" t="str">
        <f t="shared" si="1630"/>
        <v/>
      </c>
      <c r="BC4693" s="743" t="str">
        <f t="shared" si="1631"/>
        <v/>
      </c>
      <c r="BD4693" s="743" t="str">
        <f t="shared" si="1632"/>
        <v/>
      </c>
      <c r="BE4693" s="743" t="str">
        <f>IF(D4693="","",VLOOKUP(D4693,'General Basis'!$J$39:$K$46,2,0))</f>
        <v/>
      </c>
      <c r="BF4693" s="744" t="str">
        <f>IF(D4693="","",VLOOKUP(D4693,'General Basis'!$J$39:$L$46,3,0))</f>
        <v/>
      </c>
      <c r="BG4693" s="744" t="str">
        <f t="shared" si="1639"/>
        <v/>
      </c>
      <c r="BH4693" s="744" t="str">
        <f>IF(G4693="","",IF(BF4693="Abu Dhabi",IF(G4693&lt;18,'General Basis'!$C$39,IF(G4693&lt;41,'General Basis'!$C$40,IF(G4693&lt;60,'General Basis'!$C$41,IF(G4693&lt;65,'General Basis'!$C$42,'General Basis'!$C$43)))),IF(G4693&lt;11,'General Basis'!$B$39,IF(G4693&lt;18,'General Basis'!$B$40,IF(G4693&lt;26,'General Basis'!$B$41,IF(G4693&lt;31,'General Basis'!$B$42,IF(G4693&lt;36,'General Basis'!$B$43,IF(G4693&lt;41,'General Basis'!$B$44,IF(G4693&lt;46,'General Basis'!$B$45,IF(G4693&lt;51,'General Basis'!$B$46,IF(G4693&lt;56,'General Basis'!$B$47,IF(G4693&lt;60,'General Basis'!$B$48,IF(G4693&lt;65,'General Basis'!$B$49,'General Basis'!$B$50)))))))))))))</f>
        <v/>
      </c>
      <c r="BI4693" s="744" t="str">
        <f t="shared" si="1633"/>
        <v/>
      </c>
      <c r="BJ4693" s="747" t="str">
        <f t="shared" si="1640"/>
        <v/>
      </c>
      <c r="BK4693" s="498" t="str">
        <f t="shared" si="1634"/>
        <v/>
      </c>
      <c r="BL4693" s="498" t="str">
        <f t="shared" si="1635"/>
        <v/>
      </c>
    </row>
    <row r="4694" spans="1:64" x14ac:dyDescent="0.25">
      <c r="A4694" s="762">
        <f t="shared" si="1636"/>
        <v>4689</v>
      </c>
      <c r="B4694" s="229"/>
      <c r="C4694" s="223"/>
      <c r="D4694" s="224"/>
      <c r="E4694" s="225"/>
      <c r="F4694" s="1036" t="str">
        <f t="shared" si="1642"/>
        <v/>
      </c>
      <c r="G4694" s="1037" t="str">
        <f t="shared" si="1637"/>
        <v/>
      </c>
      <c r="H4694" s="225"/>
      <c r="I4694" s="1013"/>
      <c r="J4694" s="1013"/>
      <c r="K4694" s="1028"/>
      <c r="L4694" s="1035" t="str">
        <f t="shared" si="1641"/>
        <v/>
      </c>
      <c r="S4694" s="498"/>
      <c r="AJ4694" s="498"/>
      <c r="AM4694" s="498">
        <f t="shared" si="1622"/>
        <v>0</v>
      </c>
      <c r="AN4694" s="498">
        <f t="shared" si="1623"/>
        <v>0</v>
      </c>
      <c r="AO4694" s="498">
        <f t="shared" si="1624"/>
        <v>0</v>
      </c>
      <c r="AP4694" s="498">
        <f t="shared" si="1643"/>
        <v>0</v>
      </c>
      <c r="AQ4694" s="498">
        <f t="shared" si="1638"/>
        <v>0</v>
      </c>
      <c r="AU4694" s="498">
        <f t="shared" si="1625"/>
        <v>0</v>
      </c>
      <c r="AV4694" s="498">
        <f t="shared" si="1626"/>
        <v>0</v>
      </c>
      <c r="AW4694" s="498">
        <f t="shared" si="1627"/>
        <v>0</v>
      </c>
      <c r="AX4694" s="498">
        <f t="shared" si="1628"/>
        <v>0</v>
      </c>
      <c r="AY4694" s="498">
        <f t="shared" si="1629"/>
        <v>0</v>
      </c>
      <c r="BB4694" s="498" t="str">
        <f t="shared" si="1630"/>
        <v/>
      </c>
      <c r="BC4694" s="743" t="str">
        <f t="shared" si="1631"/>
        <v/>
      </c>
      <c r="BD4694" s="743" t="str">
        <f t="shared" si="1632"/>
        <v/>
      </c>
      <c r="BE4694" s="743" t="str">
        <f>IF(D4694="","",VLOOKUP(D4694,'General Basis'!$J$39:$K$46,2,0))</f>
        <v/>
      </c>
      <c r="BF4694" s="744" t="str">
        <f>IF(D4694="","",VLOOKUP(D4694,'General Basis'!$J$39:$L$46,3,0))</f>
        <v/>
      </c>
      <c r="BG4694" s="744" t="str">
        <f t="shared" si="1639"/>
        <v/>
      </c>
      <c r="BH4694" s="744" t="str">
        <f>IF(G4694="","",IF(BF4694="Abu Dhabi",IF(G4694&lt;18,'General Basis'!$C$39,IF(G4694&lt;41,'General Basis'!$C$40,IF(G4694&lt;60,'General Basis'!$C$41,IF(G4694&lt;65,'General Basis'!$C$42,'General Basis'!$C$43)))),IF(G4694&lt;11,'General Basis'!$B$39,IF(G4694&lt;18,'General Basis'!$B$40,IF(G4694&lt;26,'General Basis'!$B$41,IF(G4694&lt;31,'General Basis'!$B$42,IF(G4694&lt;36,'General Basis'!$B$43,IF(G4694&lt;41,'General Basis'!$B$44,IF(G4694&lt;46,'General Basis'!$B$45,IF(G4694&lt;51,'General Basis'!$B$46,IF(G4694&lt;56,'General Basis'!$B$47,IF(G4694&lt;60,'General Basis'!$B$48,IF(G4694&lt;65,'General Basis'!$B$49,'General Basis'!$B$50)))))))))))))</f>
        <v/>
      </c>
      <c r="BI4694" s="744" t="str">
        <f t="shared" si="1633"/>
        <v/>
      </c>
      <c r="BJ4694" s="747" t="str">
        <f t="shared" si="1640"/>
        <v/>
      </c>
      <c r="BK4694" s="498" t="str">
        <f t="shared" si="1634"/>
        <v/>
      </c>
      <c r="BL4694" s="498" t="str">
        <f t="shared" si="1635"/>
        <v/>
      </c>
    </row>
    <row r="4695" spans="1:64" x14ac:dyDescent="0.25">
      <c r="A4695" s="762">
        <f t="shared" si="1636"/>
        <v>4690</v>
      </c>
      <c r="B4695" s="229"/>
      <c r="C4695" s="223"/>
      <c r="D4695" s="224"/>
      <c r="E4695" s="225"/>
      <c r="F4695" s="1036" t="str">
        <f t="shared" si="1642"/>
        <v/>
      </c>
      <c r="G4695" s="1037" t="str">
        <f t="shared" si="1637"/>
        <v/>
      </c>
      <c r="H4695" s="225"/>
      <c r="I4695" s="1013"/>
      <c r="J4695" s="1013"/>
      <c r="K4695" s="1028"/>
      <c r="L4695" s="1035" t="str">
        <f t="shared" si="1641"/>
        <v/>
      </c>
      <c r="S4695" s="498"/>
      <c r="AJ4695" s="498"/>
      <c r="AM4695" s="498">
        <f t="shared" si="1622"/>
        <v>0</v>
      </c>
      <c r="AN4695" s="498">
        <f t="shared" si="1623"/>
        <v>0</v>
      </c>
      <c r="AO4695" s="498">
        <f t="shared" si="1624"/>
        <v>0</v>
      </c>
      <c r="AP4695" s="498">
        <f t="shared" si="1643"/>
        <v>0</v>
      </c>
      <c r="AQ4695" s="498">
        <f t="shared" si="1638"/>
        <v>0</v>
      </c>
      <c r="AU4695" s="498">
        <f t="shared" si="1625"/>
        <v>0</v>
      </c>
      <c r="AV4695" s="498">
        <f t="shared" si="1626"/>
        <v>0</v>
      </c>
      <c r="AW4695" s="498">
        <f t="shared" si="1627"/>
        <v>0</v>
      </c>
      <c r="AX4695" s="498">
        <f t="shared" si="1628"/>
        <v>0</v>
      </c>
      <c r="AY4695" s="498">
        <f t="shared" si="1629"/>
        <v>0</v>
      </c>
      <c r="BB4695" s="498" t="str">
        <f t="shared" si="1630"/>
        <v/>
      </c>
      <c r="BC4695" s="743" t="str">
        <f t="shared" si="1631"/>
        <v/>
      </c>
      <c r="BD4695" s="743" t="str">
        <f t="shared" si="1632"/>
        <v/>
      </c>
      <c r="BE4695" s="743" t="str">
        <f>IF(D4695="","",VLOOKUP(D4695,'General Basis'!$J$39:$K$46,2,0))</f>
        <v/>
      </c>
      <c r="BF4695" s="744" t="str">
        <f>IF(D4695="","",VLOOKUP(D4695,'General Basis'!$J$39:$L$46,3,0))</f>
        <v/>
      </c>
      <c r="BG4695" s="744" t="str">
        <f t="shared" si="1639"/>
        <v/>
      </c>
      <c r="BH4695" s="744" t="str">
        <f>IF(G4695="","",IF(BF4695="Abu Dhabi",IF(G4695&lt;18,'General Basis'!$C$39,IF(G4695&lt;41,'General Basis'!$C$40,IF(G4695&lt;60,'General Basis'!$C$41,IF(G4695&lt;65,'General Basis'!$C$42,'General Basis'!$C$43)))),IF(G4695&lt;11,'General Basis'!$B$39,IF(G4695&lt;18,'General Basis'!$B$40,IF(G4695&lt;26,'General Basis'!$B$41,IF(G4695&lt;31,'General Basis'!$B$42,IF(G4695&lt;36,'General Basis'!$B$43,IF(G4695&lt;41,'General Basis'!$B$44,IF(G4695&lt;46,'General Basis'!$B$45,IF(G4695&lt;51,'General Basis'!$B$46,IF(G4695&lt;56,'General Basis'!$B$47,IF(G4695&lt;60,'General Basis'!$B$48,IF(G4695&lt;65,'General Basis'!$B$49,'General Basis'!$B$50)))))))))))))</f>
        <v/>
      </c>
      <c r="BI4695" s="744" t="str">
        <f t="shared" si="1633"/>
        <v/>
      </c>
      <c r="BJ4695" s="747" t="str">
        <f t="shared" si="1640"/>
        <v/>
      </c>
      <c r="BK4695" s="498" t="str">
        <f t="shared" si="1634"/>
        <v/>
      </c>
      <c r="BL4695" s="498" t="str">
        <f t="shared" si="1635"/>
        <v/>
      </c>
    </row>
    <row r="4696" spans="1:64" x14ac:dyDescent="0.25">
      <c r="A4696" s="762">
        <f t="shared" si="1636"/>
        <v>4691</v>
      </c>
      <c r="B4696" s="229"/>
      <c r="C4696" s="223"/>
      <c r="D4696" s="224"/>
      <c r="E4696" s="225"/>
      <c r="F4696" s="1036" t="str">
        <f t="shared" si="1642"/>
        <v/>
      </c>
      <c r="G4696" s="1037" t="str">
        <f t="shared" si="1637"/>
        <v/>
      </c>
      <c r="H4696" s="225"/>
      <c r="I4696" s="1013"/>
      <c r="J4696" s="1013"/>
      <c r="K4696" s="1028"/>
      <c r="L4696" s="1035" t="str">
        <f t="shared" si="1641"/>
        <v/>
      </c>
      <c r="S4696" s="498"/>
      <c r="AJ4696" s="498"/>
      <c r="AM4696" s="498">
        <f t="shared" si="1622"/>
        <v>0</v>
      </c>
      <c r="AN4696" s="498">
        <f t="shared" si="1623"/>
        <v>0</v>
      </c>
      <c r="AO4696" s="498">
        <f t="shared" si="1624"/>
        <v>0</v>
      </c>
      <c r="AP4696" s="498">
        <f t="shared" si="1643"/>
        <v>0</v>
      </c>
      <c r="AQ4696" s="498">
        <f t="shared" si="1638"/>
        <v>0</v>
      </c>
      <c r="AU4696" s="498">
        <f t="shared" si="1625"/>
        <v>0</v>
      </c>
      <c r="AV4696" s="498">
        <f t="shared" si="1626"/>
        <v>0</v>
      </c>
      <c r="AW4696" s="498">
        <f t="shared" si="1627"/>
        <v>0</v>
      </c>
      <c r="AX4696" s="498">
        <f t="shared" si="1628"/>
        <v>0</v>
      </c>
      <c r="AY4696" s="498">
        <f t="shared" si="1629"/>
        <v>0</v>
      </c>
      <c r="BB4696" s="498" t="str">
        <f t="shared" si="1630"/>
        <v/>
      </c>
      <c r="BC4696" s="743" t="str">
        <f t="shared" si="1631"/>
        <v/>
      </c>
      <c r="BD4696" s="743" t="str">
        <f t="shared" si="1632"/>
        <v/>
      </c>
      <c r="BE4696" s="743" t="str">
        <f>IF(D4696="","",VLOOKUP(D4696,'General Basis'!$J$39:$K$46,2,0))</f>
        <v/>
      </c>
      <c r="BF4696" s="744" t="str">
        <f>IF(D4696="","",VLOOKUP(D4696,'General Basis'!$J$39:$L$46,3,0))</f>
        <v/>
      </c>
      <c r="BG4696" s="744" t="str">
        <f t="shared" si="1639"/>
        <v/>
      </c>
      <c r="BH4696" s="744" t="str">
        <f>IF(G4696="","",IF(BF4696="Abu Dhabi",IF(G4696&lt;18,'General Basis'!$C$39,IF(G4696&lt;41,'General Basis'!$C$40,IF(G4696&lt;60,'General Basis'!$C$41,IF(G4696&lt;65,'General Basis'!$C$42,'General Basis'!$C$43)))),IF(G4696&lt;11,'General Basis'!$B$39,IF(G4696&lt;18,'General Basis'!$B$40,IF(G4696&lt;26,'General Basis'!$B$41,IF(G4696&lt;31,'General Basis'!$B$42,IF(G4696&lt;36,'General Basis'!$B$43,IF(G4696&lt;41,'General Basis'!$B$44,IF(G4696&lt;46,'General Basis'!$B$45,IF(G4696&lt;51,'General Basis'!$B$46,IF(G4696&lt;56,'General Basis'!$B$47,IF(G4696&lt;60,'General Basis'!$B$48,IF(G4696&lt;65,'General Basis'!$B$49,'General Basis'!$B$50)))))))))))))</f>
        <v/>
      </c>
      <c r="BI4696" s="744" t="str">
        <f t="shared" si="1633"/>
        <v/>
      </c>
      <c r="BJ4696" s="747" t="str">
        <f t="shared" si="1640"/>
        <v/>
      </c>
      <c r="BK4696" s="498" t="str">
        <f t="shared" si="1634"/>
        <v/>
      </c>
      <c r="BL4696" s="498" t="str">
        <f t="shared" si="1635"/>
        <v/>
      </c>
    </row>
    <row r="4697" spans="1:64" x14ac:dyDescent="0.25">
      <c r="A4697" s="762">
        <f t="shared" si="1636"/>
        <v>4692</v>
      </c>
      <c r="B4697" s="229"/>
      <c r="C4697" s="223"/>
      <c r="D4697" s="224"/>
      <c r="E4697" s="225"/>
      <c r="F4697" s="1036" t="str">
        <f t="shared" si="1642"/>
        <v/>
      </c>
      <c r="G4697" s="1037" t="str">
        <f t="shared" si="1637"/>
        <v/>
      </c>
      <c r="H4697" s="225"/>
      <c r="I4697" s="1013"/>
      <c r="J4697" s="1013"/>
      <c r="K4697" s="1028"/>
      <c r="L4697" s="1035" t="str">
        <f t="shared" si="1641"/>
        <v/>
      </c>
      <c r="S4697" s="498"/>
      <c r="AJ4697" s="498"/>
      <c r="AM4697" s="498">
        <f t="shared" si="1622"/>
        <v>0</v>
      </c>
      <c r="AN4697" s="498">
        <f t="shared" si="1623"/>
        <v>0</v>
      </c>
      <c r="AO4697" s="498">
        <f t="shared" si="1624"/>
        <v>0</v>
      </c>
      <c r="AP4697" s="498">
        <f t="shared" si="1643"/>
        <v>0</v>
      </c>
      <c r="AQ4697" s="498">
        <f t="shared" si="1638"/>
        <v>0</v>
      </c>
      <c r="AU4697" s="498">
        <f t="shared" si="1625"/>
        <v>0</v>
      </c>
      <c r="AV4697" s="498">
        <f t="shared" si="1626"/>
        <v>0</v>
      </c>
      <c r="AW4697" s="498">
        <f t="shared" si="1627"/>
        <v>0</v>
      </c>
      <c r="AX4697" s="498">
        <f t="shared" si="1628"/>
        <v>0</v>
      </c>
      <c r="AY4697" s="498">
        <f t="shared" si="1629"/>
        <v>0</v>
      </c>
      <c r="BB4697" s="498" t="str">
        <f t="shared" si="1630"/>
        <v/>
      </c>
      <c r="BC4697" s="743" t="str">
        <f t="shared" si="1631"/>
        <v/>
      </c>
      <c r="BD4697" s="743" t="str">
        <f t="shared" si="1632"/>
        <v/>
      </c>
      <c r="BE4697" s="743" t="str">
        <f>IF(D4697="","",VLOOKUP(D4697,'General Basis'!$J$39:$K$46,2,0))</f>
        <v/>
      </c>
      <c r="BF4697" s="744" t="str">
        <f>IF(D4697="","",VLOOKUP(D4697,'General Basis'!$J$39:$L$46,3,0))</f>
        <v/>
      </c>
      <c r="BG4697" s="744" t="str">
        <f t="shared" si="1639"/>
        <v/>
      </c>
      <c r="BH4697" s="744" t="str">
        <f>IF(G4697="","",IF(BF4697="Abu Dhabi",IF(G4697&lt;18,'General Basis'!$C$39,IF(G4697&lt;41,'General Basis'!$C$40,IF(G4697&lt;60,'General Basis'!$C$41,IF(G4697&lt;65,'General Basis'!$C$42,'General Basis'!$C$43)))),IF(G4697&lt;11,'General Basis'!$B$39,IF(G4697&lt;18,'General Basis'!$B$40,IF(G4697&lt;26,'General Basis'!$B$41,IF(G4697&lt;31,'General Basis'!$B$42,IF(G4697&lt;36,'General Basis'!$B$43,IF(G4697&lt;41,'General Basis'!$B$44,IF(G4697&lt;46,'General Basis'!$B$45,IF(G4697&lt;51,'General Basis'!$B$46,IF(G4697&lt;56,'General Basis'!$B$47,IF(G4697&lt;60,'General Basis'!$B$48,IF(G4697&lt;65,'General Basis'!$B$49,'General Basis'!$B$50)))))))))))))</f>
        <v/>
      </c>
      <c r="BI4697" s="744" t="str">
        <f t="shared" si="1633"/>
        <v/>
      </c>
      <c r="BJ4697" s="747" t="str">
        <f t="shared" si="1640"/>
        <v/>
      </c>
      <c r="BK4697" s="498" t="str">
        <f t="shared" si="1634"/>
        <v/>
      </c>
      <c r="BL4697" s="498" t="str">
        <f t="shared" si="1635"/>
        <v/>
      </c>
    </row>
    <row r="4698" spans="1:64" x14ac:dyDescent="0.25">
      <c r="A4698" s="762">
        <f t="shared" si="1636"/>
        <v>4693</v>
      </c>
      <c r="B4698" s="229"/>
      <c r="C4698" s="223"/>
      <c r="D4698" s="224"/>
      <c r="E4698" s="225"/>
      <c r="F4698" s="1036" t="str">
        <f t="shared" si="1642"/>
        <v/>
      </c>
      <c r="G4698" s="1037" t="str">
        <f t="shared" si="1637"/>
        <v/>
      </c>
      <c r="H4698" s="225"/>
      <c r="I4698" s="1013"/>
      <c r="J4698" s="1013"/>
      <c r="K4698" s="1028"/>
      <c r="L4698" s="1035" t="str">
        <f t="shared" si="1641"/>
        <v/>
      </c>
      <c r="S4698" s="498"/>
      <c r="AJ4698" s="498"/>
      <c r="AM4698" s="498">
        <f t="shared" si="1622"/>
        <v>0</v>
      </c>
      <c r="AN4698" s="498">
        <f t="shared" si="1623"/>
        <v>0</v>
      </c>
      <c r="AO4698" s="498">
        <f t="shared" si="1624"/>
        <v>0</v>
      </c>
      <c r="AP4698" s="498">
        <f t="shared" si="1643"/>
        <v>0</v>
      </c>
      <c r="AQ4698" s="498">
        <f t="shared" si="1638"/>
        <v>0</v>
      </c>
      <c r="AU4698" s="498">
        <f t="shared" si="1625"/>
        <v>0</v>
      </c>
      <c r="AV4698" s="498">
        <f t="shared" si="1626"/>
        <v>0</v>
      </c>
      <c r="AW4698" s="498">
        <f t="shared" si="1627"/>
        <v>0</v>
      </c>
      <c r="AX4698" s="498">
        <f t="shared" si="1628"/>
        <v>0</v>
      </c>
      <c r="AY4698" s="498">
        <f t="shared" si="1629"/>
        <v>0</v>
      </c>
      <c r="BB4698" s="498" t="str">
        <f t="shared" si="1630"/>
        <v/>
      </c>
      <c r="BC4698" s="743" t="str">
        <f t="shared" si="1631"/>
        <v/>
      </c>
      <c r="BD4698" s="743" t="str">
        <f t="shared" si="1632"/>
        <v/>
      </c>
      <c r="BE4698" s="743" t="str">
        <f>IF(D4698="","",VLOOKUP(D4698,'General Basis'!$J$39:$K$46,2,0))</f>
        <v/>
      </c>
      <c r="BF4698" s="744" t="str">
        <f>IF(D4698="","",VLOOKUP(D4698,'General Basis'!$J$39:$L$46,3,0))</f>
        <v/>
      </c>
      <c r="BG4698" s="744" t="str">
        <f t="shared" si="1639"/>
        <v/>
      </c>
      <c r="BH4698" s="744" t="str">
        <f>IF(G4698="","",IF(BF4698="Abu Dhabi",IF(G4698&lt;18,'General Basis'!$C$39,IF(G4698&lt;41,'General Basis'!$C$40,IF(G4698&lt;60,'General Basis'!$C$41,IF(G4698&lt;65,'General Basis'!$C$42,'General Basis'!$C$43)))),IF(G4698&lt;11,'General Basis'!$B$39,IF(G4698&lt;18,'General Basis'!$B$40,IF(G4698&lt;26,'General Basis'!$B$41,IF(G4698&lt;31,'General Basis'!$B$42,IF(G4698&lt;36,'General Basis'!$B$43,IF(G4698&lt;41,'General Basis'!$B$44,IF(G4698&lt;46,'General Basis'!$B$45,IF(G4698&lt;51,'General Basis'!$B$46,IF(G4698&lt;56,'General Basis'!$B$47,IF(G4698&lt;60,'General Basis'!$B$48,IF(G4698&lt;65,'General Basis'!$B$49,'General Basis'!$B$50)))))))))))))</f>
        <v/>
      </c>
      <c r="BI4698" s="744" t="str">
        <f t="shared" si="1633"/>
        <v/>
      </c>
      <c r="BJ4698" s="747" t="str">
        <f t="shared" si="1640"/>
        <v/>
      </c>
      <c r="BK4698" s="498" t="str">
        <f t="shared" si="1634"/>
        <v/>
      </c>
      <c r="BL4698" s="498" t="str">
        <f t="shared" si="1635"/>
        <v/>
      </c>
    </row>
    <row r="4699" spans="1:64" x14ac:dyDescent="0.25">
      <c r="A4699" s="762">
        <f t="shared" si="1636"/>
        <v>4694</v>
      </c>
      <c r="B4699" s="229"/>
      <c r="C4699" s="223"/>
      <c r="D4699" s="224"/>
      <c r="E4699" s="225"/>
      <c r="F4699" s="1036" t="str">
        <f t="shared" si="1642"/>
        <v/>
      </c>
      <c r="G4699" s="1037" t="str">
        <f t="shared" si="1637"/>
        <v/>
      </c>
      <c r="H4699" s="225"/>
      <c r="I4699" s="1013"/>
      <c r="J4699" s="1013"/>
      <c r="K4699" s="1028"/>
      <c r="L4699" s="1035" t="str">
        <f t="shared" si="1641"/>
        <v/>
      </c>
      <c r="S4699" s="498"/>
      <c r="AJ4699" s="498"/>
      <c r="AM4699" s="498">
        <f t="shared" si="1622"/>
        <v>0</v>
      </c>
      <c r="AN4699" s="498">
        <f t="shared" si="1623"/>
        <v>0</v>
      </c>
      <c r="AO4699" s="498">
        <f t="shared" si="1624"/>
        <v>0</v>
      </c>
      <c r="AP4699" s="498">
        <f t="shared" si="1643"/>
        <v>0</v>
      </c>
      <c r="AQ4699" s="498">
        <f t="shared" si="1638"/>
        <v>0</v>
      </c>
      <c r="AU4699" s="498">
        <f t="shared" si="1625"/>
        <v>0</v>
      </c>
      <c r="AV4699" s="498">
        <f t="shared" si="1626"/>
        <v>0</v>
      </c>
      <c r="AW4699" s="498">
        <f t="shared" si="1627"/>
        <v>0</v>
      </c>
      <c r="AX4699" s="498">
        <f t="shared" si="1628"/>
        <v>0</v>
      </c>
      <c r="AY4699" s="498">
        <f t="shared" si="1629"/>
        <v>0</v>
      </c>
      <c r="BB4699" s="498" t="str">
        <f t="shared" si="1630"/>
        <v/>
      </c>
      <c r="BC4699" s="743" t="str">
        <f t="shared" si="1631"/>
        <v/>
      </c>
      <c r="BD4699" s="743" t="str">
        <f t="shared" si="1632"/>
        <v/>
      </c>
      <c r="BE4699" s="743" t="str">
        <f>IF(D4699="","",VLOOKUP(D4699,'General Basis'!$J$39:$K$46,2,0))</f>
        <v/>
      </c>
      <c r="BF4699" s="744" t="str">
        <f>IF(D4699="","",VLOOKUP(D4699,'General Basis'!$J$39:$L$46,3,0))</f>
        <v/>
      </c>
      <c r="BG4699" s="744" t="str">
        <f t="shared" si="1639"/>
        <v/>
      </c>
      <c r="BH4699" s="744" t="str">
        <f>IF(G4699="","",IF(BF4699="Abu Dhabi",IF(G4699&lt;18,'General Basis'!$C$39,IF(G4699&lt;41,'General Basis'!$C$40,IF(G4699&lt;60,'General Basis'!$C$41,IF(G4699&lt;65,'General Basis'!$C$42,'General Basis'!$C$43)))),IF(G4699&lt;11,'General Basis'!$B$39,IF(G4699&lt;18,'General Basis'!$B$40,IF(G4699&lt;26,'General Basis'!$B$41,IF(G4699&lt;31,'General Basis'!$B$42,IF(G4699&lt;36,'General Basis'!$B$43,IF(G4699&lt;41,'General Basis'!$B$44,IF(G4699&lt;46,'General Basis'!$B$45,IF(G4699&lt;51,'General Basis'!$B$46,IF(G4699&lt;56,'General Basis'!$B$47,IF(G4699&lt;60,'General Basis'!$B$48,IF(G4699&lt;65,'General Basis'!$B$49,'General Basis'!$B$50)))))))))))))</f>
        <v/>
      </c>
      <c r="BI4699" s="744" t="str">
        <f t="shared" si="1633"/>
        <v/>
      </c>
      <c r="BJ4699" s="747" t="str">
        <f t="shared" si="1640"/>
        <v/>
      </c>
      <c r="BK4699" s="498" t="str">
        <f t="shared" si="1634"/>
        <v/>
      </c>
      <c r="BL4699" s="498" t="str">
        <f t="shared" si="1635"/>
        <v/>
      </c>
    </row>
    <row r="4700" spans="1:64" x14ac:dyDescent="0.25">
      <c r="A4700" s="762">
        <f t="shared" si="1636"/>
        <v>4695</v>
      </c>
      <c r="B4700" s="229"/>
      <c r="C4700" s="223"/>
      <c r="D4700" s="224"/>
      <c r="E4700" s="225"/>
      <c r="F4700" s="1036" t="str">
        <f t="shared" si="1642"/>
        <v/>
      </c>
      <c r="G4700" s="1037" t="str">
        <f t="shared" si="1637"/>
        <v/>
      </c>
      <c r="H4700" s="225"/>
      <c r="I4700" s="1013"/>
      <c r="J4700" s="1013"/>
      <c r="K4700" s="1028"/>
      <c r="L4700" s="1035" t="str">
        <f t="shared" si="1641"/>
        <v/>
      </c>
      <c r="S4700" s="498"/>
      <c r="AJ4700" s="498"/>
      <c r="AM4700" s="498">
        <f t="shared" si="1622"/>
        <v>0</v>
      </c>
      <c r="AN4700" s="498">
        <f t="shared" si="1623"/>
        <v>0</v>
      </c>
      <c r="AO4700" s="498">
        <f t="shared" si="1624"/>
        <v>0</v>
      </c>
      <c r="AP4700" s="498">
        <f t="shared" si="1643"/>
        <v>0</v>
      </c>
      <c r="AQ4700" s="498">
        <f t="shared" si="1638"/>
        <v>0</v>
      </c>
      <c r="AU4700" s="498">
        <f t="shared" si="1625"/>
        <v>0</v>
      </c>
      <c r="AV4700" s="498">
        <f t="shared" si="1626"/>
        <v>0</v>
      </c>
      <c r="AW4700" s="498">
        <f t="shared" si="1627"/>
        <v>0</v>
      </c>
      <c r="AX4700" s="498">
        <f t="shared" si="1628"/>
        <v>0</v>
      </c>
      <c r="AY4700" s="498">
        <f t="shared" si="1629"/>
        <v>0</v>
      </c>
      <c r="BB4700" s="498" t="str">
        <f t="shared" si="1630"/>
        <v/>
      </c>
      <c r="BC4700" s="743" t="str">
        <f t="shared" si="1631"/>
        <v/>
      </c>
      <c r="BD4700" s="743" t="str">
        <f t="shared" si="1632"/>
        <v/>
      </c>
      <c r="BE4700" s="743" t="str">
        <f>IF(D4700="","",VLOOKUP(D4700,'General Basis'!$J$39:$K$46,2,0))</f>
        <v/>
      </c>
      <c r="BF4700" s="744" t="str">
        <f>IF(D4700="","",VLOOKUP(D4700,'General Basis'!$J$39:$L$46,3,0))</f>
        <v/>
      </c>
      <c r="BG4700" s="744" t="str">
        <f t="shared" si="1639"/>
        <v/>
      </c>
      <c r="BH4700" s="744" t="str">
        <f>IF(G4700="","",IF(BF4700="Abu Dhabi",IF(G4700&lt;18,'General Basis'!$C$39,IF(G4700&lt;41,'General Basis'!$C$40,IF(G4700&lt;60,'General Basis'!$C$41,IF(G4700&lt;65,'General Basis'!$C$42,'General Basis'!$C$43)))),IF(G4700&lt;11,'General Basis'!$B$39,IF(G4700&lt;18,'General Basis'!$B$40,IF(G4700&lt;26,'General Basis'!$B$41,IF(G4700&lt;31,'General Basis'!$B$42,IF(G4700&lt;36,'General Basis'!$B$43,IF(G4700&lt;41,'General Basis'!$B$44,IF(G4700&lt;46,'General Basis'!$B$45,IF(G4700&lt;51,'General Basis'!$B$46,IF(G4700&lt;56,'General Basis'!$B$47,IF(G4700&lt;60,'General Basis'!$B$48,IF(G4700&lt;65,'General Basis'!$B$49,'General Basis'!$B$50)))))))))))))</f>
        <v/>
      </c>
      <c r="BI4700" s="744" t="str">
        <f t="shared" si="1633"/>
        <v/>
      </c>
      <c r="BJ4700" s="747" t="str">
        <f t="shared" si="1640"/>
        <v/>
      </c>
      <c r="BK4700" s="498" t="str">
        <f t="shared" si="1634"/>
        <v/>
      </c>
      <c r="BL4700" s="498" t="str">
        <f t="shared" si="1635"/>
        <v/>
      </c>
    </row>
    <row r="4701" spans="1:64" x14ac:dyDescent="0.25">
      <c r="A4701" s="762">
        <f t="shared" si="1636"/>
        <v>4696</v>
      </c>
      <c r="B4701" s="229"/>
      <c r="C4701" s="223"/>
      <c r="D4701" s="224"/>
      <c r="E4701" s="225"/>
      <c r="F4701" s="1036" t="str">
        <f t="shared" si="1642"/>
        <v/>
      </c>
      <c r="G4701" s="1037" t="str">
        <f t="shared" si="1637"/>
        <v/>
      </c>
      <c r="H4701" s="225"/>
      <c r="I4701" s="1013"/>
      <c r="J4701" s="1013"/>
      <c r="K4701" s="1028"/>
      <c r="L4701" s="1035" t="str">
        <f t="shared" si="1641"/>
        <v/>
      </c>
      <c r="S4701" s="498"/>
      <c r="AJ4701" s="498"/>
      <c r="AM4701" s="498">
        <f t="shared" si="1622"/>
        <v>0</v>
      </c>
      <c r="AN4701" s="498">
        <f t="shared" si="1623"/>
        <v>0</v>
      </c>
      <c r="AO4701" s="498">
        <f t="shared" si="1624"/>
        <v>0</v>
      </c>
      <c r="AP4701" s="498">
        <f t="shared" si="1643"/>
        <v>0</v>
      </c>
      <c r="AQ4701" s="498">
        <f t="shared" si="1638"/>
        <v>0</v>
      </c>
      <c r="AU4701" s="498">
        <f t="shared" si="1625"/>
        <v>0</v>
      </c>
      <c r="AV4701" s="498">
        <f t="shared" si="1626"/>
        <v>0</v>
      </c>
      <c r="AW4701" s="498">
        <f t="shared" si="1627"/>
        <v>0</v>
      </c>
      <c r="AX4701" s="498">
        <f t="shared" si="1628"/>
        <v>0</v>
      </c>
      <c r="AY4701" s="498">
        <f t="shared" si="1629"/>
        <v>0</v>
      </c>
      <c r="BB4701" s="498" t="str">
        <f t="shared" si="1630"/>
        <v/>
      </c>
      <c r="BC4701" s="743" t="str">
        <f t="shared" si="1631"/>
        <v/>
      </c>
      <c r="BD4701" s="743" t="str">
        <f t="shared" si="1632"/>
        <v/>
      </c>
      <c r="BE4701" s="743" t="str">
        <f>IF(D4701="","",VLOOKUP(D4701,'General Basis'!$J$39:$K$46,2,0))</f>
        <v/>
      </c>
      <c r="BF4701" s="744" t="str">
        <f>IF(D4701="","",VLOOKUP(D4701,'General Basis'!$J$39:$L$46,3,0))</f>
        <v/>
      </c>
      <c r="BG4701" s="744" t="str">
        <f t="shared" si="1639"/>
        <v/>
      </c>
      <c r="BH4701" s="744" t="str">
        <f>IF(G4701="","",IF(BF4701="Abu Dhabi",IF(G4701&lt;18,'General Basis'!$C$39,IF(G4701&lt;41,'General Basis'!$C$40,IF(G4701&lt;60,'General Basis'!$C$41,IF(G4701&lt;65,'General Basis'!$C$42,'General Basis'!$C$43)))),IF(G4701&lt;11,'General Basis'!$B$39,IF(G4701&lt;18,'General Basis'!$B$40,IF(G4701&lt;26,'General Basis'!$B$41,IF(G4701&lt;31,'General Basis'!$B$42,IF(G4701&lt;36,'General Basis'!$B$43,IF(G4701&lt;41,'General Basis'!$B$44,IF(G4701&lt;46,'General Basis'!$B$45,IF(G4701&lt;51,'General Basis'!$B$46,IF(G4701&lt;56,'General Basis'!$B$47,IF(G4701&lt;60,'General Basis'!$B$48,IF(G4701&lt;65,'General Basis'!$B$49,'General Basis'!$B$50)))))))))))))</f>
        <v/>
      </c>
      <c r="BI4701" s="744" t="str">
        <f t="shared" si="1633"/>
        <v/>
      </c>
      <c r="BJ4701" s="747" t="str">
        <f t="shared" si="1640"/>
        <v/>
      </c>
      <c r="BK4701" s="498" t="str">
        <f t="shared" si="1634"/>
        <v/>
      </c>
      <c r="BL4701" s="498" t="str">
        <f t="shared" si="1635"/>
        <v/>
      </c>
    </row>
    <row r="4702" spans="1:64" x14ac:dyDescent="0.25">
      <c r="A4702" s="762">
        <f t="shared" si="1636"/>
        <v>4697</v>
      </c>
      <c r="B4702" s="229"/>
      <c r="C4702" s="223"/>
      <c r="D4702" s="224"/>
      <c r="E4702" s="225"/>
      <c r="F4702" s="1036" t="str">
        <f t="shared" si="1642"/>
        <v/>
      </c>
      <c r="G4702" s="1037" t="str">
        <f t="shared" si="1637"/>
        <v/>
      </c>
      <c r="H4702" s="225"/>
      <c r="I4702" s="1013"/>
      <c r="J4702" s="1013"/>
      <c r="K4702" s="1028"/>
      <c r="L4702" s="1035" t="str">
        <f t="shared" si="1641"/>
        <v/>
      </c>
      <c r="S4702" s="498"/>
      <c r="AJ4702" s="498"/>
      <c r="AM4702" s="498">
        <f t="shared" si="1622"/>
        <v>0</v>
      </c>
      <c r="AN4702" s="498">
        <f t="shared" si="1623"/>
        <v>0</v>
      </c>
      <c r="AO4702" s="498">
        <f t="shared" si="1624"/>
        <v>0</v>
      </c>
      <c r="AP4702" s="498">
        <f t="shared" si="1643"/>
        <v>0</v>
      </c>
      <c r="AQ4702" s="498">
        <f t="shared" si="1638"/>
        <v>0</v>
      </c>
      <c r="AU4702" s="498">
        <f t="shared" si="1625"/>
        <v>0</v>
      </c>
      <c r="AV4702" s="498">
        <f t="shared" si="1626"/>
        <v>0</v>
      </c>
      <c r="AW4702" s="498">
        <f t="shared" si="1627"/>
        <v>0</v>
      </c>
      <c r="AX4702" s="498">
        <f t="shared" si="1628"/>
        <v>0</v>
      </c>
      <c r="AY4702" s="498">
        <f t="shared" si="1629"/>
        <v>0</v>
      </c>
      <c r="BB4702" s="498" t="str">
        <f t="shared" si="1630"/>
        <v/>
      </c>
      <c r="BC4702" s="743" t="str">
        <f t="shared" si="1631"/>
        <v/>
      </c>
      <c r="BD4702" s="743" t="str">
        <f t="shared" si="1632"/>
        <v/>
      </c>
      <c r="BE4702" s="743" t="str">
        <f>IF(D4702="","",VLOOKUP(D4702,'General Basis'!$J$39:$K$46,2,0))</f>
        <v/>
      </c>
      <c r="BF4702" s="744" t="str">
        <f>IF(D4702="","",VLOOKUP(D4702,'General Basis'!$J$39:$L$46,3,0))</f>
        <v/>
      </c>
      <c r="BG4702" s="744" t="str">
        <f t="shared" si="1639"/>
        <v/>
      </c>
      <c r="BH4702" s="744" t="str">
        <f>IF(G4702="","",IF(BF4702="Abu Dhabi",IF(G4702&lt;18,'General Basis'!$C$39,IF(G4702&lt;41,'General Basis'!$C$40,IF(G4702&lt;60,'General Basis'!$C$41,IF(G4702&lt;65,'General Basis'!$C$42,'General Basis'!$C$43)))),IF(G4702&lt;11,'General Basis'!$B$39,IF(G4702&lt;18,'General Basis'!$B$40,IF(G4702&lt;26,'General Basis'!$B$41,IF(G4702&lt;31,'General Basis'!$B$42,IF(G4702&lt;36,'General Basis'!$B$43,IF(G4702&lt;41,'General Basis'!$B$44,IF(G4702&lt;46,'General Basis'!$B$45,IF(G4702&lt;51,'General Basis'!$B$46,IF(G4702&lt;56,'General Basis'!$B$47,IF(G4702&lt;60,'General Basis'!$B$48,IF(G4702&lt;65,'General Basis'!$B$49,'General Basis'!$B$50)))))))))))))</f>
        <v/>
      </c>
      <c r="BI4702" s="744" t="str">
        <f t="shared" si="1633"/>
        <v/>
      </c>
      <c r="BJ4702" s="747" t="str">
        <f t="shared" si="1640"/>
        <v/>
      </c>
      <c r="BK4702" s="498" t="str">
        <f t="shared" si="1634"/>
        <v/>
      </c>
      <c r="BL4702" s="498" t="str">
        <f t="shared" si="1635"/>
        <v/>
      </c>
    </row>
    <row r="4703" spans="1:64" x14ac:dyDescent="0.25">
      <c r="A4703" s="762">
        <f t="shared" si="1636"/>
        <v>4698</v>
      </c>
      <c r="B4703" s="229"/>
      <c r="C4703" s="223"/>
      <c r="D4703" s="224"/>
      <c r="E4703" s="225"/>
      <c r="F4703" s="1036" t="str">
        <f t="shared" si="1642"/>
        <v/>
      </c>
      <c r="G4703" s="1037" t="str">
        <f t="shared" si="1637"/>
        <v/>
      </c>
      <c r="H4703" s="225"/>
      <c r="I4703" s="1013"/>
      <c r="J4703" s="1013"/>
      <c r="K4703" s="1028"/>
      <c r="L4703" s="1035" t="str">
        <f t="shared" si="1641"/>
        <v/>
      </c>
      <c r="S4703" s="498"/>
      <c r="AJ4703" s="498"/>
      <c r="AM4703" s="498">
        <f t="shared" si="1622"/>
        <v>0</v>
      </c>
      <c r="AN4703" s="498">
        <f t="shared" si="1623"/>
        <v>0</v>
      </c>
      <c r="AO4703" s="498">
        <f t="shared" si="1624"/>
        <v>0</v>
      </c>
      <c r="AP4703" s="498">
        <f t="shared" si="1643"/>
        <v>0</v>
      </c>
      <c r="AQ4703" s="498">
        <f t="shared" si="1638"/>
        <v>0</v>
      </c>
      <c r="AU4703" s="498">
        <f t="shared" si="1625"/>
        <v>0</v>
      </c>
      <c r="AV4703" s="498">
        <f t="shared" si="1626"/>
        <v>0</v>
      </c>
      <c r="AW4703" s="498">
        <f t="shared" si="1627"/>
        <v>0</v>
      </c>
      <c r="AX4703" s="498">
        <f t="shared" si="1628"/>
        <v>0</v>
      </c>
      <c r="AY4703" s="498">
        <f t="shared" si="1629"/>
        <v>0</v>
      </c>
      <c r="BB4703" s="498" t="str">
        <f t="shared" si="1630"/>
        <v/>
      </c>
      <c r="BC4703" s="743" t="str">
        <f t="shared" si="1631"/>
        <v/>
      </c>
      <c r="BD4703" s="743" t="str">
        <f t="shared" si="1632"/>
        <v/>
      </c>
      <c r="BE4703" s="743" t="str">
        <f>IF(D4703="","",VLOOKUP(D4703,'General Basis'!$J$39:$K$46,2,0))</f>
        <v/>
      </c>
      <c r="BF4703" s="744" t="str">
        <f>IF(D4703="","",VLOOKUP(D4703,'General Basis'!$J$39:$L$46,3,0))</f>
        <v/>
      </c>
      <c r="BG4703" s="744" t="str">
        <f t="shared" si="1639"/>
        <v/>
      </c>
      <c r="BH4703" s="744" t="str">
        <f>IF(G4703="","",IF(BF4703="Abu Dhabi",IF(G4703&lt;18,'General Basis'!$C$39,IF(G4703&lt;41,'General Basis'!$C$40,IF(G4703&lt;60,'General Basis'!$C$41,IF(G4703&lt;65,'General Basis'!$C$42,'General Basis'!$C$43)))),IF(G4703&lt;11,'General Basis'!$B$39,IF(G4703&lt;18,'General Basis'!$B$40,IF(G4703&lt;26,'General Basis'!$B$41,IF(G4703&lt;31,'General Basis'!$B$42,IF(G4703&lt;36,'General Basis'!$B$43,IF(G4703&lt;41,'General Basis'!$B$44,IF(G4703&lt;46,'General Basis'!$B$45,IF(G4703&lt;51,'General Basis'!$B$46,IF(G4703&lt;56,'General Basis'!$B$47,IF(G4703&lt;60,'General Basis'!$B$48,IF(G4703&lt;65,'General Basis'!$B$49,'General Basis'!$B$50)))))))))))))</f>
        <v/>
      </c>
      <c r="BI4703" s="744" t="str">
        <f t="shared" si="1633"/>
        <v/>
      </c>
      <c r="BJ4703" s="747" t="str">
        <f t="shared" si="1640"/>
        <v/>
      </c>
      <c r="BK4703" s="498" t="str">
        <f t="shared" si="1634"/>
        <v/>
      </c>
      <c r="BL4703" s="498" t="str">
        <f t="shared" si="1635"/>
        <v/>
      </c>
    </row>
    <row r="4704" spans="1:64" x14ac:dyDescent="0.25">
      <c r="A4704" s="762">
        <f t="shared" si="1636"/>
        <v>4699</v>
      </c>
      <c r="B4704" s="229"/>
      <c r="C4704" s="223"/>
      <c r="D4704" s="224"/>
      <c r="E4704" s="225"/>
      <c r="F4704" s="1036" t="str">
        <f t="shared" si="1642"/>
        <v/>
      </c>
      <c r="G4704" s="1037" t="str">
        <f t="shared" si="1637"/>
        <v/>
      </c>
      <c r="H4704" s="225"/>
      <c r="I4704" s="1013"/>
      <c r="J4704" s="1013"/>
      <c r="K4704" s="1028"/>
      <c r="L4704" s="1035" t="str">
        <f t="shared" si="1641"/>
        <v/>
      </c>
      <c r="S4704" s="498"/>
      <c r="AJ4704" s="498"/>
      <c r="AM4704" s="498">
        <f t="shared" si="1622"/>
        <v>0</v>
      </c>
      <c r="AN4704" s="498">
        <f t="shared" si="1623"/>
        <v>0</v>
      </c>
      <c r="AO4704" s="498">
        <f t="shared" si="1624"/>
        <v>0</v>
      </c>
      <c r="AP4704" s="498">
        <f t="shared" si="1643"/>
        <v>0</v>
      </c>
      <c r="AQ4704" s="498">
        <f t="shared" si="1638"/>
        <v>0</v>
      </c>
      <c r="AU4704" s="498">
        <f t="shared" si="1625"/>
        <v>0</v>
      </c>
      <c r="AV4704" s="498">
        <f t="shared" si="1626"/>
        <v>0</v>
      </c>
      <c r="AW4704" s="498">
        <f t="shared" si="1627"/>
        <v>0</v>
      </c>
      <c r="AX4704" s="498">
        <f t="shared" si="1628"/>
        <v>0</v>
      </c>
      <c r="AY4704" s="498">
        <f t="shared" si="1629"/>
        <v>0</v>
      </c>
      <c r="BB4704" s="498" t="str">
        <f t="shared" si="1630"/>
        <v/>
      </c>
      <c r="BC4704" s="743" t="str">
        <f t="shared" si="1631"/>
        <v/>
      </c>
      <c r="BD4704" s="743" t="str">
        <f t="shared" si="1632"/>
        <v/>
      </c>
      <c r="BE4704" s="743" t="str">
        <f>IF(D4704="","",VLOOKUP(D4704,'General Basis'!$J$39:$K$46,2,0))</f>
        <v/>
      </c>
      <c r="BF4704" s="744" t="str">
        <f>IF(D4704="","",VLOOKUP(D4704,'General Basis'!$J$39:$L$46,3,0))</f>
        <v/>
      </c>
      <c r="BG4704" s="744" t="str">
        <f t="shared" si="1639"/>
        <v/>
      </c>
      <c r="BH4704" s="744" t="str">
        <f>IF(G4704="","",IF(BF4704="Abu Dhabi",IF(G4704&lt;18,'General Basis'!$C$39,IF(G4704&lt;41,'General Basis'!$C$40,IF(G4704&lt;60,'General Basis'!$C$41,IF(G4704&lt;65,'General Basis'!$C$42,'General Basis'!$C$43)))),IF(G4704&lt;11,'General Basis'!$B$39,IF(G4704&lt;18,'General Basis'!$B$40,IF(G4704&lt;26,'General Basis'!$B$41,IF(G4704&lt;31,'General Basis'!$B$42,IF(G4704&lt;36,'General Basis'!$B$43,IF(G4704&lt;41,'General Basis'!$B$44,IF(G4704&lt;46,'General Basis'!$B$45,IF(G4704&lt;51,'General Basis'!$B$46,IF(G4704&lt;56,'General Basis'!$B$47,IF(G4704&lt;60,'General Basis'!$B$48,IF(G4704&lt;65,'General Basis'!$B$49,'General Basis'!$B$50)))))))))))))</f>
        <v/>
      </c>
      <c r="BI4704" s="744" t="str">
        <f t="shared" si="1633"/>
        <v/>
      </c>
      <c r="BJ4704" s="747" t="str">
        <f t="shared" si="1640"/>
        <v/>
      </c>
      <c r="BK4704" s="498" t="str">
        <f t="shared" si="1634"/>
        <v/>
      </c>
      <c r="BL4704" s="498" t="str">
        <f t="shared" si="1635"/>
        <v/>
      </c>
    </row>
    <row r="4705" spans="1:64" x14ac:dyDescent="0.25">
      <c r="A4705" s="762">
        <f t="shared" si="1636"/>
        <v>4700</v>
      </c>
      <c r="B4705" s="229"/>
      <c r="C4705" s="223"/>
      <c r="D4705" s="224"/>
      <c r="E4705" s="225"/>
      <c r="F4705" s="1036" t="str">
        <f t="shared" si="1642"/>
        <v/>
      </c>
      <c r="G4705" s="1037" t="str">
        <f t="shared" si="1637"/>
        <v/>
      </c>
      <c r="H4705" s="225"/>
      <c r="I4705" s="1013"/>
      <c r="J4705" s="1013"/>
      <c r="K4705" s="1028"/>
      <c r="L4705" s="1035" t="str">
        <f t="shared" si="1641"/>
        <v/>
      </c>
      <c r="S4705" s="498"/>
      <c r="AJ4705" s="498"/>
      <c r="AM4705" s="498">
        <f t="shared" si="1622"/>
        <v>0</v>
      </c>
      <c r="AN4705" s="498">
        <f t="shared" si="1623"/>
        <v>0</v>
      </c>
      <c r="AO4705" s="498">
        <f t="shared" si="1624"/>
        <v>0</v>
      </c>
      <c r="AP4705" s="498">
        <f t="shared" si="1643"/>
        <v>0</v>
      </c>
      <c r="AQ4705" s="498">
        <f t="shared" si="1638"/>
        <v>0</v>
      </c>
      <c r="AU4705" s="498">
        <f t="shared" si="1625"/>
        <v>0</v>
      </c>
      <c r="AV4705" s="498">
        <f t="shared" si="1626"/>
        <v>0</v>
      </c>
      <c r="AW4705" s="498">
        <f t="shared" si="1627"/>
        <v>0</v>
      </c>
      <c r="AX4705" s="498">
        <f t="shared" si="1628"/>
        <v>0</v>
      </c>
      <c r="AY4705" s="498">
        <f t="shared" si="1629"/>
        <v>0</v>
      </c>
      <c r="BB4705" s="498" t="str">
        <f t="shared" si="1630"/>
        <v/>
      </c>
      <c r="BC4705" s="743" t="str">
        <f t="shared" si="1631"/>
        <v/>
      </c>
      <c r="BD4705" s="743" t="str">
        <f t="shared" si="1632"/>
        <v/>
      </c>
      <c r="BE4705" s="743" t="str">
        <f>IF(D4705="","",VLOOKUP(D4705,'General Basis'!$J$39:$K$46,2,0))</f>
        <v/>
      </c>
      <c r="BF4705" s="744" t="str">
        <f>IF(D4705="","",VLOOKUP(D4705,'General Basis'!$J$39:$L$46,3,0))</f>
        <v/>
      </c>
      <c r="BG4705" s="744" t="str">
        <f t="shared" si="1639"/>
        <v/>
      </c>
      <c r="BH4705" s="744" t="str">
        <f>IF(G4705="","",IF(BF4705="Abu Dhabi",IF(G4705&lt;18,'General Basis'!$C$39,IF(G4705&lt;41,'General Basis'!$C$40,IF(G4705&lt;60,'General Basis'!$C$41,IF(G4705&lt;65,'General Basis'!$C$42,'General Basis'!$C$43)))),IF(G4705&lt;11,'General Basis'!$B$39,IF(G4705&lt;18,'General Basis'!$B$40,IF(G4705&lt;26,'General Basis'!$B$41,IF(G4705&lt;31,'General Basis'!$B$42,IF(G4705&lt;36,'General Basis'!$B$43,IF(G4705&lt;41,'General Basis'!$B$44,IF(G4705&lt;46,'General Basis'!$B$45,IF(G4705&lt;51,'General Basis'!$B$46,IF(G4705&lt;56,'General Basis'!$B$47,IF(G4705&lt;60,'General Basis'!$B$48,IF(G4705&lt;65,'General Basis'!$B$49,'General Basis'!$B$50)))))))))))))</f>
        <v/>
      </c>
      <c r="BI4705" s="744" t="str">
        <f t="shared" si="1633"/>
        <v/>
      </c>
      <c r="BJ4705" s="747" t="str">
        <f t="shared" si="1640"/>
        <v/>
      </c>
      <c r="BK4705" s="498" t="str">
        <f t="shared" si="1634"/>
        <v/>
      </c>
      <c r="BL4705" s="498" t="str">
        <f t="shared" si="1635"/>
        <v/>
      </c>
    </row>
    <row r="4706" spans="1:64" x14ac:dyDescent="0.25">
      <c r="A4706" s="762">
        <f t="shared" si="1636"/>
        <v>4701</v>
      </c>
      <c r="B4706" s="229"/>
      <c r="C4706" s="223"/>
      <c r="D4706" s="224"/>
      <c r="E4706" s="225"/>
      <c r="F4706" s="1036" t="str">
        <f t="shared" si="1642"/>
        <v/>
      </c>
      <c r="G4706" s="1037" t="str">
        <f t="shared" si="1637"/>
        <v/>
      </c>
      <c r="H4706" s="225"/>
      <c r="I4706" s="1013"/>
      <c r="J4706" s="1013"/>
      <c r="K4706" s="1028"/>
      <c r="L4706" s="1035" t="str">
        <f t="shared" si="1641"/>
        <v/>
      </c>
      <c r="S4706" s="498"/>
      <c r="AJ4706" s="498"/>
      <c r="AM4706" s="498">
        <f t="shared" si="1622"/>
        <v>0</v>
      </c>
      <c r="AN4706" s="498">
        <f t="shared" si="1623"/>
        <v>0</v>
      </c>
      <c r="AO4706" s="498">
        <f t="shared" si="1624"/>
        <v>0</v>
      </c>
      <c r="AP4706" s="498">
        <f t="shared" si="1643"/>
        <v>0</v>
      </c>
      <c r="AQ4706" s="498">
        <f t="shared" si="1638"/>
        <v>0</v>
      </c>
      <c r="AU4706" s="498">
        <f t="shared" si="1625"/>
        <v>0</v>
      </c>
      <c r="AV4706" s="498">
        <f t="shared" si="1626"/>
        <v>0</v>
      </c>
      <c r="AW4706" s="498">
        <f t="shared" si="1627"/>
        <v>0</v>
      </c>
      <c r="AX4706" s="498">
        <f t="shared" si="1628"/>
        <v>0</v>
      </c>
      <c r="AY4706" s="498">
        <f t="shared" si="1629"/>
        <v>0</v>
      </c>
      <c r="BB4706" s="498" t="str">
        <f t="shared" si="1630"/>
        <v/>
      </c>
      <c r="BC4706" s="743" t="str">
        <f t="shared" si="1631"/>
        <v/>
      </c>
      <c r="BD4706" s="743" t="str">
        <f t="shared" si="1632"/>
        <v/>
      </c>
      <c r="BE4706" s="743" t="str">
        <f>IF(D4706="","",VLOOKUP(D4706,'General Basis'!$J$39:$K$46,2,0))</f>
        <v/>
      </c>
      <c r="BF4706" s="744" t="str">
        <f>IF(D4706="","",VLOOKUP(D4706,'General Basis'!$J$39:$L$46,3,0))</f>
        <v/>
      </c>
      <c r="BG4706" s="744" t="str">
        <f t="shared" si="1639"/>
        <v/>
      </c>
      <c r="BH4706" s="744" t="str">
        <f>IF(G4706="","",IF(BF4706="Abu Dhabi",IF(G4706&lt;18,'General Basis'!$C$39,IF(G4706&lt;41,'General Basis'!$C$40,IF(G4706&lt;60,'General Basis'!$C$41,IF(G4706&lt;65,'General Basis'!$C$42,'General Basis'!$C$43)))),IF(G4706&lt;11,'General Basis'!$B$39,IF(G4706&lt;18,'General Basis'!$B$40,IF(G4706&lt;26,'General Basis'!$B$41,IF(G4706&lt;31,'General Basis'!$B$42,IF(G4706&lt;36,'General Basis'!$B$43,IF(G4706&lt;41,'General Basis'!$B$44,IF(G4706&lt;46,'General Basis'!$B$45,IF(G4706&lt;51,'General Basis'!$B$46,IF(G4706&lt;56,'General Basis'!$B$47,IF(G4706&lt;60,'General Basis'!$B$48,IF(G4706&lt;65,'General Basis'!$B$49,'General Basis'!$B$50)))))))))))))</f>
        <v/>
      </c>
      <c r="BI4706" s="744" t="str">
        <f t="shared" si="1633"/>
        <v/>
      </c>
      <c r="BJ4706" s="747" t="str">
        <f t="shared" si="1640"/>
        <v/>
      </c>
      <c r="BK4706" s="498" t="str">
        <f t="shared" si="1634"/>
        <v/>
      </c>
      <c r="BL4706" s="498" t="str">
        <f t="shared" si="1635"/>
        <v/>
      </c>
    </row>
    <row r="4707" spans="1:64" x14ac:dyDescent="0.25">
      <c r="A4707" s="762">
        <f t="shared" si="1636"/>
        <v>4702</v>
      </c>
      <c r="B4707" s="229"/>
      <c r="C4707" s="223"/>
      <c r="D4707" s="224"/>
      <c r="E4707" s="225"/>
      <c r="F4707" s="1036" t="str">
        <f t="shared" si="1642"/>
        <v/>
      </c>
      <c r="G4707" s="1037" t="str">
        <f t="shared" si="1637"/>
        <v/>
      </c>
      <c r="H4707" s="225"/>
      <c r="I4707" s="1013"/>
      <c r="J4707" s="1013"/>
      <c r="K4707" s="1028"/>
      <c r="L4707" s="1035" t="str">
        <f t="shared" si="1641"/>
        <v/>
      </c>
      <c r="S4707" s="498"/>
      <c r="AJ4707" s="498"/>
      <c r="AM4707" s="498">
        <f t="shared" si="1622"/>
        <v>0</v>
      </c>
      <c r="AN4707" s="498">
        <f t="shared" si="1623"/>
        <v>0</v>
      </c>
      <c r="AO4707" s="498">
        <f t="shared" si="1624"/>
        <v>0</v>
      </c>
      <c r="AP4707" s="498">
        <f t="shared" si="1643"/>
        <v>0</v>
      </c>
      <c r="AQ4707" s="498">
        <f t="shared" si="1638"/>
        <v>0</v>
      </c>
      <c r="AU4707" s="498">
        <f t="shared" si="1625"/>
        <v>0</v>
      </c>
      <c r="AV4707" s="498">
        <f t="shared" si="1626"/>
        <v>0</v>
      </c>
      <c r="AW4707" s="498">
        <f t="shared" si="1627"/>
        <v>0</v>
      </c>
      <c r="AX4707" s="498">
        <f t="shared" si="1628"/>
        <v>0</v>
      </c>
      <c r="AY4707" s="498">
        <f t="shared" si="1629"/>
        <v>0</v>
      </c>
      <c r="BB4707" s="498" t="str">
        <f t="shared" si="1630"/>
        <v/>
      </c>
      <c r="BC4707" s="743" t="str">
        <f t="shared" si="1631"/>
        <v/>
      </c>
      <c r="BD4707" s="743" t="str">
        <f t="shared" si="1632"/>
        <v/>
      </c>
      <c r="BE4707" s="743" t="str">
        <f>IF(D4707="","",VLOOKUP(D4707,'General Basis'!$J$39:$K$46,2,0))</f>
        <v/>
      </c>
      <c r="BF4707" s="744" t="str">
        <f>IF(D4707="","",VLOOKUP(D4707,'General Basis'!$J$39:$L$46,3,0))</f>
        <v/>
      </c>
      <c r="BG4707" s="744" t="str">
        <f t="shared" si="1639"/>
        <v/>
      </c>
      <c r="BH4707" s="744" t="str">
        <f>IF(G4707="","",IF(BF4707="Abu Dhabi",IF(G4707&lt;18,'General Basis'!$C$39,IF(G4707&lt;41,'General Basis'!$C$40,IF(G4707&lt;60,'General Basis'!$C$41,IF(G4707&lt;65,'General Basis'!$C$42,'General Basis'!$C$43)))),IF(G4707&lt;11,'General Basis'!$B$39,IF(G4707&lt;18,'General Basis'!$B$40,IF(G4707&lt;26,'General Basis'!$B$41,IF(G4707&lt;31,'General Basis'!$B$42,IF(G4707&lt;36,'General Basis'!$B$43,IF(G4707&lt;41,'General Basis'!$B$44,IF(G4707&lt;46,'General Basis'!$B$45,IF(G4707&lt;51,'General Basis'!$B$46,IF(G4707&lt;56,'General Basis'!$B$47,IF(G4707&lt;60,'General Basis'!$B$48,IF(G4707&lt;65,'General Basis'!$B$49,'General Basis'!$B$50)))))))))))))</f>
        <v/>
      </c>
      <c r="BI4707" s="744" t="str">
        <f t="shared" si="1633"/>
        <v/>
      </c>
      <c r="BJ4707" s="747" t="str">
        <f t="shared" si="1640"/>
        <v/>
      </c>
      <c r="BK4707" s="498" t="str">
        <f t="shared" si="1634"/>
        <v/>
      </c>
      <c r="BL4707" s="498" t="str">
        <f t="shared" si="1635"/>
        <v/>
      </c>
    </row>
    <row r="4708" spans="1:64" x14ac:dyDescent="0.25">
      <c r="A4708" s="762">
        <f t="shared" si="1636"/>
        <v>4703</v>
      </c>
      <c r="B4708" s="229"/>
      <c r="C4708" s="223"/>
      <c r="D4708" s="224"/>
      <c r="E4708" s="225"/>
      <c r="F4708" s="1036" t="str">
        <f t="shared" si="1642"/>
        <v/>
      </c>
      <c r="G4708" s="1037" t="str">
        <f t="shared" si="1637"/>
        <v/>
      </c>
      <c r="H4708" s="225"/>
      <c r="I4708" s="1013"/>
      <c r="J4708" s="1013"/>
      <c r="K4708" s="1028"/>
      <c r="L4708" s="1035" t="str">
        <f t="shared" si="1641"/>
        <v/>
      </c>
      <c r="S4708" s="498"/>
      <c r="AJ4708" s="498"/>
      <c r="AM4708" s="498">
        <f t="shared" si="1622"/>
        <v>0</v>
      </c>
      <c r="AN4708" s="498">
        <f t="shared" si="1623"/>
        <v>0</v>
      </c>
      <c r="AO4708" s="498">
        <f t="shared" si="1624"/>
        <v>0</v>
      </c>
      <c r="AP4708" s="498">
        <f t="shared" si="1643"/>
        <v>0</v>
      </c>
      <c r="AQ4708" s="498">
        <f t="shared" si="1638"/>
        <v>0</v>
      </c>
      <c r="AU4708" s="498">
        <f t="shared" si="1625"/>
        <v>0</v>
      </c>
      <c r="AV4708" s="498">
        <f t="shared" si="1626"/>
        <v>0</v>
      </c>
      <c r="AW4708" s="498">
        <f t="shared" si="1627"/>
        <v>0</v>
      </c>
      <c r="AX4708" s="498">
        <f t="shared" si="1628"/>
        <v>0</v>
      </c>
      <c r="AY4708" s="498">
        <f t="shared" si="1629"/>
        <v>0</v>
      </c>
      <c r="BB4708" s="498" t="str">
        <f t="shared" si="1630"/>
        <v/>
      </c>
      <c r="BC4708" s="743" t="str">
        <f t="shared" si="1631"/>
        <v/>
      </c>
      <c r="BD4708" s="743" t="str">
        <f t="shared" si="1632"/>
        <v/>
      </c>
      <c r="BE4708" s="743" t="str">
        <f>IF(D4708="","",VLOOKUP(D4708,'General Basis'!$J$39:$K$46,2,0))</f>
        <v/>
      </c>
      <c r="BF4708" s="744" t="str">
        <f>IF(D4708="","",VLOOKUP(D4708,'General Basis'!$J$39:$L$46,3,0))</f>
        <v/>
      </c>
      <c r="BG4708" s="744" t="str">
        <f t="shared" si="1639"/>
        <v/>
      </c>
      <c r="BH4708" s="744" t="str">
        <f>IF(G4708="","",IF(BF4708="Abu Dhabi",IF(G4708&lt;18,'General Basis'!$C$39,IF(G4708&lt;41,'General Basis'!$C$40,IF(G4708&lt;60,'General Basis'!$C$41,IF(G4708&lt;65,'General Basis'!$C$42,'General Basis'!$C$43)))),IF(G4708&lt;11,'General Basis'!$B$39,IF(G4708&lt;18,'General Basis'!$B$40,IF(G4708&lt;26,'General Basis'!$B$41,IF(G4708&lt;31,'General Basis'!$B$42,IF(G4708&lt;36,'General Basis'!$B$43,IF(G4708&lt;41,'General Basis'!$B$44,IF(G4708&lt;46,'General Basis'!$B$45,IF(G4708&lt;51,'General Basis'!$B$46,IF(G4708&lt;56,'General Basis'!$B$47,IF(G4708&lt;60,'General Basis'!$B$48,IF(G4708&lt;65,'General Basis'!$B$49,'General Basis'!$B$50)))))))))))))</f>
        <v/>
      </c>
      <c r="BI4708" s="744" t="str">
        <f t="shared" si="1633"/>
        <v/>
      </c>
      <c r="BJ4708" s="747" t="str">
        <f t="shared" si="1640"/>
        <v/>
      </c>
      <c r="BK4708" s="498" t="str">
        <f t="shared" si="1634"/>
        <v/>
      </c>
      <c r="BL4708" s="498" t="str">
        <f t="shared" si="1635"/>
        <v/>
      </c>
    </row>
    <row r="4709" spans="1:64" x14ac:dyDescent="0.25">
      <c r="A4709" s="762">
        <f t="shared" si="1636"/>
        <v>4704</v>
      </c>
      <c r="B4709" s="229"/>
      <c r="C4709" s="223"/>
      <c r="D4709" s="224"/>
      <c r="E4709" s="225"/>
      <c r="F4709" s="1036" t="str">
        <f t="shared" si="1642"/>
        <v/>
      </c>
      <c r="G4709" s="1037" t="str">
        <f t="shared" si="1637"/>
        <v/>
      </c>
      <c r="H4709" s="225"/>
      <c r="I4709" s="1013"/>
      <c r="J4709" s="1013"/>
      <c r="K4709" s="1028"/>
      <c r="L4709" s="1035" t="str">
        <f t="shared" si="1641"/>
        <v/>
      </c>
      <c r="S4709" s="498"/>
      <c r="AJ4709" s="498"/>
      <c r="AM4709" s="498">
        <f t="shared" si="1622"/>
        <v>0</v>
      </c>
      <c r="AN4709" s="498">
        <f t="shared" si="1623"/>
        <v>0</v>
      </c>
      <c r="AO4709" s="498">
        <f t="shared" si="1624"/>
        <v>0</v>
      </c>
      <c r="AP4709" s="498">
        <f t="shared" si="1643"/>
        <v>0</v>
      </c>
      <c r="AQ4709" s="498">
        <f t="shared" si="1638"/>
        <v>0</v>
      </c>
      <c r="AU4709" s="498">
        <f t="shared" si="1625"/>
        <v>0</v>
      </c>
      <c r="AV4709" s="498">
        <f t="shared" si="1626"/>
        <v>0</v>
      </c>
      <c r="AW4709" s="498">
        <f t="shared" si="1627"/>
        <v>0</v>
      </c>
      <c r="AX4709" s="498">
        <f t="shared" si="1628"/>
        <v>0</v>
      </c>
      <c r="AY4709" s="498">
        <f t="shared" si="1629"/>
        <v>0</v>
      </c>
      <c r="BB4709" s="498" t="str">
        <f t="shared" si="1630"/>
        <v/>
      </c>
      <c r="BC4709" s="743" t="str">
        <f t="shared" si="1631"/>
        <v/>
      </c>
      <c r="BD4709" s="743" t="str">
        <f t="shared" si="1632"/>
        <v/>
      </c>
      <c r="BE4709" s="743" t="str">
        <f>IF(D4709="","",VLOOKUP(D4709,'General Basis'!$J$39:$K$46,2,0))</f>
        <v/>
      </c>
      <c r="BF4709" s="744" t="str">
        <f>IF(D4709="","",VLOOKUP(D4709,'General Basis'!$J$39:$L$46,3,0))</f>
        <v/>
      </c>
      <c r="BG4709" s="744" t="str">
        <f t="shared" si="1639"/>
        <v/>
      </c>
      <c r="BH4709" s="744" t="str">
        <f>IF(G4709="","",IF(BF4709="Abu Dhabi",IF(G4709&lt;18,'General Basis'!$C$39,IF(G4709&lt;41,'General Basis'!$C$40,IF(G4709&lt;60,'General Basis'!$C$41,IF(G4709&lt;65,'General Basis'!$C$42,'General Basis'!$C$43)))),IF(G4709&lt;11,'General Basis'!$B$39,IF(G4709&lt;18,'General Basis'!$B$40,IF(G4709&lt;26,'General Basis'!$B$41,IF(G4709&lt;31,'General Basis'!$B$42,IF(G4709&lt;36,'General Basis'!$B$43,IF(G4709&lt;41,'General Basis'!$B$44,IF(G4709&lt;46,'General Basis'!$B$45,IF(G4709&lt;51,'General Basis'!$B$46,IF(G4709&lt;56,'General Basis'!$B$47,IF(G4709&lt;60,'General Basis'!$B$48,IF(G4709&lt;65,'General Basis'!$B$49,'General Basis'!$B$50)))))))))))))</f>
        <v/>
      </c>
      <c r="BI4709" s="744" t="str">
        <f t="shared" si="1633"/>
        <v/>
      </c>
      <c r="BJ4709" s="747" t="str">
        <f t="shared" si="1640"/>
        <v/>
      </c>
      <c r="BK4709" s="498" t="str">
        <f t="shared" si="1634"/>
        <v/>
      </c>
      <c r="BL4709" s="498" t="str">
        <f t="shared" si="1635"/>
        <v/>
      </c>
    </row>
    <row r="4710" spans="1:64" x14ac:dyDescent="0.25">
      <c r="A4710" s="762">
        <f t="shared" si="1636"/>
        <v>4705</v>
      </c>
      <c r="B4710" s="229"/>
      <c r="C4710" s="223"/>
      <c r="D4710" s="224"/>
      <c r="E4710" s="225"/>
      <c r="F4710" s="1036" t="str">
        <f t="shared" si="1642"/>
        <v/>
      </c>
      <c r="G4710" s="1037" t="str">
        <f t="shared" si="1637"/>
        <v/>
      </c>
      <c r="H4710" s="225"/>
      <c r="I4710" s="1013"/>
      <c r="J4710" s="1013"/>
      <c r="K4710" s="1028"/>
      <c r="L4710" s="1035" t="str">
        <f t="shared" si="1641"/>
        <v/>
      </c>
      <c r="S4710" s="498"/>
      <c r="AJ4710" s="498"/>
      <c r="AM4710" s="498">
        <f t="shared" si="1622"/>
        <v>0</v>
      </c>
      <c r="AN4710" s="498">
        <f t="shared" si="1623"/>
        <v>0</v>
      </c>
      <c r="AO4710" s="498">
        <f t="shared" si="1624"/>
        <v>0</v>
      </c>
      <c r="AP4710" s="498">
        <f t="shared" si="1643"/>
        <v>0</v>
      </c>
      <c r="AQ4710" s="498">
        <f t="shared" si="1638"/>
        <v>0</v>
      </c>
      <c r="AU4710" s="498">
        <f t="shared" si="1625"/>
        <v>0</v>
      </c>
      <c r="AV4710" s="498">
        <f t="shared" si="1626"/>
        <v>0</v>
      </c>
      <c r="AW4710" s="498">
        <f t="shared" si="1627"/>
        <v>0</v>
      </c>
      <c r="AX4710" s="498">
        <f t="shared" si="1628"/>
        <v>0</v>
      </c>
      <c r="AY4710" s="498">
        <f t="shared" si="1629"/>
        <v>0</v>
      </c>
      <c r="BB4710" s="498" t="str">
        <f t="shared" si="1630"/>
        <v/>
      </c>
      <c r="BC4710" s="743" t="str">
        <f t="shared" si="1631"/>
        <v/>
      </c>
      <c r="BD4710" s="743" t="str">
        <f t="shared" si="1632"/>
        <v/>
      </c>
      <c r="BE4710" s="743" t="str">
        <f>IF(D4710="","",VLOOKUP(D4710,'General Basis'!$J$39:$K$46,2,0))</f>
        <v/>
      </c>
      <c r="BF4710" s="744" t="str">
        <f>IF(D4710="","",VLOOKUP(D4710,'General Basis'!$J$39:$L$46,3,0))</f>
        <v/>
      </c>
      <c r="BG4710" s="744" t="str">
        <f t="shared" si="1639"/>
        <v/>
      </c>
      <c r="BH4710" s="744" t="str">
        <f>IF(G4710="","",IF(BF4710="Abu Dhabi",IF(G4710&lt;18,'General Basis'!$C$39,IF(G4710&lt;41,'General Basis'!$C$40,IF(G4710&lt;60,'General Basis'!$C$41,IF(G4710&lt;65,'General Basis'!$C$42,'General Basis'!$C$43)))),IF(G4710&lt;11,'General Basis'!$B$39,IF(G4710&lt;18,'General Basis'!$B$40,IF(G4710&lt;26,'General Basis'!$B$41,IF(G4710&lt;31,'General Basis'!$B$42,IF(G4710&lt;36,'General Basis'!$B$43,IF(G4710&lt;41,'General Basis'!$B$44,IF(G4710&lt;46,'General Basis'!$B$45,IF(G4710&lt;51,'General Basis'!$B$46,IF(G4710&lt;56,'General Basis'!$B$47,IF(G4710&lt;60,'General Basis'!$B$48,IF(G4710&lt;65,'General Basis'!$B$49,'General Basis'!$B$50)))))))))))))</f>
        <v/>
      </c>
      <c r="BI4710" s="744" t="str">
        <f t="shared" si="1633"/>
        <v/>
      </c>
      <c r="BJ4710" s="747" t="str">
        <f t="shared" si="1640"/>
        <v/>
      </c>
      <c r="BK4710" s="498" t="str">
        <f t="shared" si="1634"/>
        <v/>
      </c>
      <c r="BL4710" s="498" t="str">
        <f t="shared" si="1635"/>
        <v/>
      </c>
    </row>
    <row r="4711" spans="1:64" x14ac:dyDescent="0.25">
      <c r="A4711" s="762">
        <f t="shared" si="1636"/>
        <v>4706</v>
      </c>
      <c r="B4711" s="229"/>
      <c r="C4711" s="223"/>
      <c r="D4711" s="224"/>
      <c r="E4711" s="225"/>
      <c r="F4711" s="1036" t="str">
        <f t="shared" si="1642"/>
        <v/>
      </c>
      <c r="G4711" s="1037" t="str">
        <f t="shared" si="1637"/>
        <v/>
      </c>
      <c r="H4711" s="225"/>
      <c r="I4711" s="1013"/>
      <c r="J4711" s="1013"/>
      <c r="K4711" s="1028"/>
      <c r="L4711" s="1035" t="str">
        <f t="shared" si="1641"/>
        <v/>
      </c>
      <c r="S4711" s="498"/>
      <c r="AJ4711" s="498"/>
      <c r="AM4711" s="498">
        <f t="shared" si="1622"/>
        <v>0</v>
      </c>
      <c r="AN4711" s="498">
        <f t="shared" si="1623"/>
        <v>0</v>
      </c>
      <c r="AO4711" s="498">
        <f t="shared" si="1624"/>
        <v>0</v>
      </c>
      <c r="AP4711" s="498">
        <f t="shared" si="1643"/>
        <v>0</v>
      </c>
      <c r="AQ4711" s="498">
        <f t="shared" si="1638"/>
        <v>0</v>
      </c>
      <c r="AU4711" s="498">
        <f t="shared" si="1625"/>
        <v>0</v>
      </c>
      <c r="AV4711" s="498">
        <f t="shared" si="1626"/>
        <v>0</v>
      </c>
      <c r="AW4711" s="498">
        <f t="shared" si="1627"/>
        <v>0</v>
      </c>
      <c r="AX4711" s="498">
        <f t="shared" si="1628"/>
        <v>0</v>
      </c>
      <c r="AY4711" s="498">
        <f t="shared" si="1629"/>
        <v>0</v>
      </c>
      <c r="BB4711" s="498" t="str">
        <f t="shared" si="1630"/>
        <v/>
      </c>
      <c r="BC4711" s="743" t="str">
        <f t="shared" si="1631"/>
        <v/>
      </c>
      <c r="BD4711" s="743" t="str">
        <f t="shared" si="1632"/>
        <v/>
      </c>
      <c r="BE4711" s="743" t="str">
        <f>IF(D4711="","",VLOOKUP(D4711,'General Basis'!$J$39:$K$46,2,0))</f>
        <v/>
      </c>
      <c r="BF4711" s="744" t="str">
        <f>IF(D4711="","",VLOOKUP(D4711,'General Basis'!$J$39:$L$46,3,0))</f>
        <v/>
      </c>
      <c r="BG4711" s="744" t="str">
        <f t="shared" si="1639"/>
        <v/>
      </c>
      <c r="BH4711" s="744" t="str">
        <f>IF(G4711="","",IF(BF4711="Abu Dhabi",IF(G4711&lt;18,'General Basis'!$C$39,IF(G4711&lt;41,'General Basis'!$C$40,IF(G4711&lt;60,'General Basis'!$C$41,IF(G4711&lt;65,'General Basis'!$C$42,'General Basis'!$C$43)))),IF(G4711&lt;11,'General Basis'!$B$39,IF(G4711&lt;18,'General Basis'!$B$40,IF(G4711&lt;26,'General Basis'!$B$41,IF(G4711&lt;31,'General Basis'!$B$42,IF(G4711&lt;36,'General Basis'!$B$43,IF(G4711&lt;41,'General Basis'!$B$44,IF(G4711&lt;46,'General Basis'!$B$45,IF(G4711&lt;51,'General Basis'!$B$46,IF(G4711&lt;56,'General Basis'!$B$47,IF(G4711&lt;60,'General Basis'!$B$48,IF(G4711&lt;65,'General Basis'!$B$49,'General Basis'!$B$50)))))))))))))</f>
        <v/>
      </c>
      <c r="BI4711" s="744" t="str">
        <f t="shared" si="1633"/>
        <v/>
      </c>
      <c r="BJ4711" s="747" t="str">
        <f t="shared" si="1640"/>
        <v/>
      </c>
      <c r="BK4711" s="498" t="str">
        <f t="shared" si="1634"/>
        <v/>
      </c>
      <c r="BL4711" s="498" t="str">
        <f t="shared" si="1635"/>
        <v/>
      </c>
    </row>
    <row r="4712" spans="1:64" x14ac:dyDescent="0.25">
      <c r="A4712" s="762">
        <f t="shared" si="1636"/>
        <v>4707</v>
      </c>
      <c r="B4712" s="229"/>
      <c r="C4712" s="223"/>
      <c r="D4712" s="224"/>
      <c r="E4712" s="225"/>
      <c r="F4712" s="1036" t="str">
        <f t="shared" si="1642"/>
        <v/>
      </c>
      <c r="G4712" s="1037" t="str">
        <f t="shared" si="1637"/>
        <v/>
      </c>
      <c r="H4712" s="225"/>
      <c r="I4712" s="1013"/>
      <c r="J4712" s="1013"/>
      <c r="K4712" s="1028"/>
      <c r="L4712" s="1035" t="str">
        <f t="shared" si="1641"/>
        <v/>
      </c>
      <c r="S4712" s="498"/>
      <c r="AJ4712" s="498"/>
      <c r="AM4712" s="498">
        <f t="shared" si="1622"/>
        <v>0</v>
      </c>
      <c r="AN4712" s="498">
        <f t="shared" si="1623"/>
        <v>0</v>
      </c>
      <c r="AO4712" s="498">
        <f t="shared" si="1624"/>
        <v>0</v>
      </c>
      <c r="AP4712" s="498">
        <f t="shared" si="1643"/>
        <v>0</v>
      </c>
      <c r="AQ4712" s="498">
        <f t="shared" si="1638"/>
        <v>0</v>
      </c>
      <c r="AU4712" s="498">
        <f t="shared" si="1625"/>
        <v>0</v>
      </c>
      <c r="AV4712" s="498">
        <f t="shared" si="1626"/>
        <v>0</v>
      </c>
      <c r="AW4712" s="498">
        <f t="shared" si="1627"/>
        <v>0</v>
      </c>
      <c r="AX4712" s="498">
        <f t="shared" si="1628"/>
        <v>0</v>
      </c>
      <c r="AY4712" s="498">
        <f t="shared" si="1629"/>
        <v>0</v>
      </c>
      <c r="BB4712" s="498" t="str">
        <f t="shared" si="1630"/>
        <v/>
      </c>
      <c r="BC4712" s="743" t="str">
        <f t="shared" si="1631"/>
        <v/>
      </c>
      <c r="BD4712" s="743" t="str">
        <f t="shared" si="1632"/>
        <v/>
      </c>
      <c r="BE4712" s="743" t="str">
        <f>IF(D4712="","",VLOOKUP(D4712,'General Basis'!$J$39:$K$46,2,0))</f>
        <v/>
      </c>
      <c r="BF4712" s="744" t="str">
        <f>IF(D4712="","",VLOOKUP(D4712,'General Basis'!$J$39:$L$46,3,0))</f>
        <v/>
      </c>
      <c r="BG4712" s="744" t="str">
        <f t="shared" si="1639"/>
        <v/>
      </c>
      <c r="BH4712" s="744" t="str">
        <f>IF(G4712="","",IF(BF4712="Abu Dhabi",IF(G4712&lt;18,'General Basis'!$C$39,IF(G4712&lt;41,'General Basis'!$C$40,IF(G4712&lt;60,'General Basis'!$C$41,IF(G4712&lt;65,'General Basis'!$C$42,'General Basis'!$C$43)))),IF(G4712&lt;11,'General Basis'!$B$39,IF(G4712&lt;18,'General Basis'!$B$40,IF(G4712&lt;26,'General Basis'!$B$41,IF(G4712&lt;31,'General Basis'!$B$42,IF(G4712&lt;36,'General Basis'!$B$43,IF(G4712&lt;41,'General Basis'!$B$44,IF(G4712&lt;46,'General Basis'!$B$45,IF(G4712&lt;51,'General Basis'!$B$46,IF(G4712&lt;56,'General Basis'!$B$47,IF(G4712&lt;60,'General Basis'!$B$48,IF(G4712&lt;65,'General Basis'!$B$49,'General Basis'!$B$50)))))))))))))</f>
        <v/>
      </c>
      <c r="BI4712" s="744" t="str">
        <f t="shared" si="1633"/>
        <v/>
      </c>
      <c r="BJ4712" s="747" t="str">
        <f t="shared" si="1640"/>
        <v/>
      </c>
      <c r="BK4712" s="498" t="str">
        <f t="shared" si="1634"/>
        <v/>
      </c>
      <c r="BL4712" s="498" t="str">
        <f t="shared" si="1635"/>
        <v/>
      </c>
    </row>
    <row r="4713" spans="1:64" x14ac:dyDescent="0.25">
      <c r="A4713" s="762">
        <f t="shared" si="1636"/>
        <v>4708</v>
      </c>
      <c r="B4713" s="229"/>
      <c r="C4713" s="223"/>
      <c r="D4713" s="224"/>
      <c r="E4713" s="225"/>
      <c r="F4713" s="1036" t="str">
        <f t="shared" si="1642"/>
        <v/>
      </c>
      <c r="G4713" s="1037" t="str">
        <f t="shared" si="1637"/>
        <v/>
      </c>
      <c r="H4713" s="225"/>
      <c r="I4713" s="1013"/>
      <c r="J4713" s="1013"/>
      <c r="K4713" s="1028"/>
      <c r="L4713" s="1035" t="str">
        <f t="shared" si="1641"/>
        <v/>
      </c>
      <c r="S4713" s="498"/>
      <c r="AJ4713" s="498"/>
      <c r="AM4713" s="498">
        <f t="shared" si="1622"/>
        <v>0</v>
      </c>
      <c r="AN4713" s="498">
        <f t="shared" si="1623"/>
        <v>0</v>
      </c>
      <c r="AO4713" s="498">
        <f t="shared" si="1624"/>
        <v>0</v>
      </c>
      <c r="AP4713" s="498">
        <f t="shared" si="1643"/>
        <v>0</v>
      </c>
      <c r="AQ4713" s="498">
        <f t="shared" si="1638"/>
        <v>0</v>
      </c>
      <c r="AU4713" s="498">
        <f t="shared" si="1625"/>
        <v>0</v>
      </c>
      <c r="AV4713" s="498">
        <f t="shared" si="1626"/>
        <v>0</v>
      </c>
      <c r="AW4713" s="498">
        <f t="shared" si="1627"/>
        <v>0</v>
      </c>
      <c r="AX4713" s="498">
        <f t="shared" si="1628"/>
        <v>0</v>
      </c>
      <c r="AY4713" s="498">
        <f t="shared" si="1629"/>
        <v>0</v>
      </c>
      <c r="BB4713" s="498" t="str">
        <f t="shared" si="1630"/>
        <v/>
      </c>
      <c r="BC4713" s="743" t="str">
        <f t="shared" si="1631"/>
        <v/>
      </c>
      <c r="BD4713" s="743" t="str">
        <f t="shared" si="1632"/>
        <v/>
      </c>
      <c r="BE4713" s="743" t="str">
        <f>IF(D4713="","",VLOOKUP(D4713,'General Basis'!$J$39:$K$46,2,0))</f>
        <v/>
      </c>
      <c r="BF4713" s="744" t="str">
        <f>IF(D4713="","",VLOOKUP(D4713,'General Basis'!$J$39:$L$46,3,0))</f>
        <v/>
      </c>
      <c r="BG4713" s="744" t="str">
        <f t="shared" si="1639"/>
        <v/>
      </c>
      <c r="BH4713" s="744" t="str">
        <f>IF(G4713="","",IF(BF4713="Abu Dhabi",IF(G4713&lt;18,'General Basis'!$C$39,IF(G4713&lt;41,'General Basis'!$C$40,IF(G4713&lt;60,'General Basis'!$C$41,IF(G4713&lt;65,'General Basis'!$C$42,'General Basis'!$C$43)))),IF(G4713&lt;11,'General Basis'!$B$39,IF(G4713&lt;18,'General Basis'!$B$40,IF(G4713&lt;26,'General Basis'!$B$41,IF(G4713&lt;31,'General Basis'!$B$42,IF(G4713&lt;36,'General Basis'!$B$43,IF(G4713&lt;41,'General Basis'!$B$44,IF(G4713&lt;46,'General Basis'!$B$45,IF(G4713&lt;51,'General Basis'!$B$46,IF(G4713&lt;56,'General Basis'!$B$47,IF(G4713&lt;60,'General Basis'!$B$48,IF(G4713&lt;65,'General Basis'!$B$49,'General Basis'!$B$50)))))))))))))</f>
        <v/>
      </c>
      <c r="BI4713" s="744" t="str">
        <f t="shared" si="1633"/>
        <v/>
      </c>
      <c r="BJ4713" s="747" t="str">
        <f t="shared" si="1640"/>
        <v/>
      </c>
      <c r="BK4713" s="498" t="str">
        <f t="shared" si="1634"/>
        <v/>
      </c>
      <c r="BL4713" s="498" t="str">
        <f t="shared" si="1635"/>
        <v/>
      </c>
    </row>
    <row r="4714" spans="1:64" x14ac:dyDescent="0.25">
      <c r="A4714" s="762">
        <f t="shared" si="1636"/>
        <v>4709</v>
      </c>
      <c r="B4714" s="229"/>
      <c r="C4714" s="223"/>
      <c r="D4714" s="224"/>
      <c r="E4714" s="225"/>
      <c r="F4714" s="1036" t="str">
        <f t="shared" si="1642"/>
        <v/>
      </c>
      <c r="G4714" s="1037" t="str">
        <f t="shared" si="1637"/>
        <v/>
      </c>
      <c r="H4714" s="225"/>
      <c r="I4714" s="1013"/>
      <c r="J4714" s="1013"/>
      <c r="K4714" s="1028"/>
      <c r="L4714" s="1035" t="str">
        <f t="shared" si="1641"/>
        <v/>
      </c>
      <c r="S4714" s="498"/>
      <c r="AJ4714" s="498"/>
      <c r="AM4714" s="498">
        <f t="shared" si="1622"/>
        <v>0</v>
      </c>
      <c r="AN4714" s="498">
        <f t="shared" si="1623"/>
        <v>0</v>
      </c>
      <c r="AO4714" s="498">
        <f t="shared" si="1624"/>
        <v>0</v>
      </c>
      <c r="AP4714" s="498">
        <f t="shared" si="1643"/>
        <v>0</v>
      </c>
      <c r="AQ4714" s="498">
        <f t="shared" si="1638"/>
        <v>0</v>
      </c>
      <c r="AU4714" s="498">
        <f t="shared" si="1625"/>
        <v>0</v>
      </c>
      <c r="AV4714" s="498">
        <f t="shared" si="1626"/>
        <v>0</v>
      </c>
      <c r="AW4714" s="498">
        <f t="shared" si="1627"/>
        <v>0</v>
      </c>
      <c r="AX4714" s="498">
        <f t="shared" si="1628"/>
        <v>0</v>
      </c>
      <c r="AY4714" s="498">
        <f t="shared" si="1629"/>
        <v>0</v>
      </c>
      <c r="BB4714" s="498" t="str">
        <f t="shared" si="1630"/>
        <v/>
      </c>
      <c r="BC4714" s="743" t="str">
        <f t="shared" si="1631"/>
        <v/>
      </c>
      <c r="BD4714" s="743" t="str">
        <f t="shared" si="1632"/>
        <v/>
      </c>
      <c r="BE4714" s="743" t="str">
        <f>IF(D4714="","",VLOOKUP(D4714,'General Basis'!$J$39:$K$46,2,0))</f>
        <v/>
      </c>
      <c r="BF4714" s="744" t="str">
        <f>IF(D4714="","",VLOOKUP(D4714,'General Basis'!$J$39:$L$46,3,0))</f>
        <v/>
      </c>
      <c r="BG4714" s="744" t="str">
        <f t="shared" si="1639"/>
        <v/>
      </c>
      <c r="BH4714" s="744" t="str">
        <f>IF(G4714="","",IF(BF4714="Abu Dhabi",IF(G4714&lt;18,'General Basis'!$C$39,IF(G4714&lt;41,'General Basis'!$C$40,IF(G4714&lt;60,'General Basis'!$C$41,IF(G4714&lt;65,'General Basis'!$C$42,'General Basis'!$C$43)))),IF(G4714&lt;11,'General Basis'!$B$39,IF(G4714&lt;18,'General Basis'!$B$40,IF(G4714&lt;26,'General Basis'!$B$41,IF(G4714&lt;31,'General Basis'!$B$42,IF(G4714&lt;36,'General Basis'!$B$43,IF(G4714&lt;41,'General Basis'!$B$44,IF(G4714&lt;46,'General Basis'!$B$45,IF(G4714&lt;51,'General Basis'!$B$46,IF(G4714&lt;56,'General Basis'!$B$47,IF(G4714&lt;60,'General Basis'!$B$48,IF(G4714&lt;65,'General Basis'!$B$49,'General Basis'!$B$50)))))))))))))</f>
        <v/>
      </c>
      <c r="BI4714" s="744" t="str">
        <f t="shared" si="1633"/>
        <v/>
      </c>
      <c r="BJ4714" s="747" t="str">
        <f t="shared" si="1640"/>
        <v/>
      </c>
      <c r="BK4714" s="498" t="str">
        <f t="shared" si="1634"/>
        <v/>
      </c>
      <c r="BL4714" s="498" t="str">
        <f t="shared" si="1635"/>
        <v/>
      </c>
    </row>
    <row r="4715" spans="1:64" x14ac:dyDescent="0.25">
      <c r="A4715" s="762">
        <f t="shared" si="1636"/>
        <v>4710</v>
      </c>
      <c r="B4715" s="229"/>
      <c r="C4715" s="223"/>
      <c r="D4715" s="224"/>
      <c r="E4715" s="225"/>
      <c r="F4715" s="1036" t="str">
        <f t="shared" si="1642"/>
        <v/>
      </c>
      <c r="G4715" s="1037" t="str">
        <f t="shared" si="1637"/>
        <v/>
      </c>
      <c r="H4715" s="225"/>
      <c r="I4715" s="1013"/>
      <c r="J4715" s="1013"/>
      <c r="K4715" s="1028"/>
      <c r="L4715" s="1035" t="str">
        <f t="shared" si="1641"/>
        <v/>
      </c>
      <c r="S4715" s="498"/>
      <c r="AJ4715" s="498"/>
      <c r="AM4715" s="498">
        <f t="shared" si="1622"/>
        <v>0</v>
      </c>
      <c r="AN4715" s="498">
        <f t="shared" si="1623"/>
        <v>0</v>
      </c>
      <c r="AO4715" s="498">
        <f t="shared" si="1624"/>
        <v>0</v>
      </c>
      <c r="AP4715" s="498">
        <f t="shared" si="1643"/>
        <v>0</v>
      </c>
      <c r="AQ4715" s="498">
        <f t="shared" si="1638"/>
        <v>0</v>
      </c>
      <c r="AU4715" s="498">
        <f t="shared" si="1625"/>
        <v>0</v>
      </c>
      <c r="AV4715" s="498">
        <f t="shared" si="1626"/>
        <v>0</v>
      </c>
      <c r="AW4715" s="498">
        <f t="shared" si="1627"/>
        <v>0</v>
      </c>
      <c r="AX4715" s="498">
        <f t="shared" si="1628"/>
        <v>0</v>
      </c>
      <c r="AY4715" s="498">
        <f t="shared" si="1629"/>
        <v>0</v>
      </c>
      <c r="BB4715" s="498" t="str">
        <f t="shared" si="1630"/>
        <v/>
      </c>
      <c r="BC4715" s="743" t="str">
        <f t="shared" si="1631"/>
        <v/>
      </c>
      <c r="BD4715" s="743" t="str">
        <f t="shared" si="1632"/>
        <v/>
      </c>
      <c r="BE4715" s="743" t="str">
        <f>IF(D4715="","",VLOOKUP(D4715,'General Basis'!$J$39:$K$46,2,0))</f>
        <v/>
      </c>
      <c r="BF4715" s="744" t="str">
        <f>IF(D4715="","",VLOOKUP(D4715,'General Basis'!$J$39:$L$46,3,0))</f>
        <v/>
      </c>
      <c r="BG4715" s="744" t="str">
        <f t="shared" si="1639"/>
        <v/>
      </c>
      <c r="BH4715" s="744" t="str">
        <f>IF(G4715="","",IF(BF4715="Abu Dhabi",IF(G4715&lt;18,'General Basis'!$C$39,IF(G4715&lt;41,'General Basis'!$C$40,IF(G4715&lt;60,'General Basis'!$C$41,IF(G4715&lt;65,'General Basis'!$C$42,'General Basis'!$C$43)))),IF(G4715&lt;11,'General Basis'!$B$39,IF(G4715&lt;18,'General Basis'!$B$40,IF(G4715&lt;26,'General Basis'!$B$41,IF(G4715&lt;31,'General Basis'!$B$42,IF(G4715&lt;36,'General Basis'!$B$43,IF(G4715&lt;41,'General Basis'!$B$44,IF(G4715&lt;46,'General Basis'!$B$45,IF(G4715&lt;51,'General Basis'!$B$46,IF(G4715&lt;56,'General Basis'!$B$47,IF(G4715&lt;60,'General Basis'!$B$48,IF(G4715&lt;65,'General Basis'!$B$49,'General Basis'!$B$50)))))))))))))</f>
        <v/>
      </c>
      <c r="BI4715" s="744" t="str">
        <f t="shared" si="1633"/>
        <v/>
      </c>
      <c r="BJ4715" s="747" t="str">
        <f t="shared" si="1640"/>
        <v/>
      </c>
      <c r="BK4715" s="498" t="str">
        <f t="shared" si="1634"/>
        <v/>
      </c>
      <c r="BL4715" s="498" t="str">
        <f t="shared" si="1635"/>
        <v/>
      </c>
    </row>
    <row r="4716" spans="1:64" x14ac:dyDescent="0.25">
      <c r="A4716" s="762">
        <f t="shared" si="1636"/>
        <v>4711</v>
      </c>
      <c r="B4716" s="229"/>
      <c r="C4716" s="223"/>
      <c r="D4716" s="224"/>
      <c r="E4716" s="225"/>
      <c r="F4716" s="1036" t="str">
        <f t="shared" si="1642"/>
        <v/>
      </c>
      <c r="G4716" s="1037" t="str">
        <f t="shared" si="1637"/>
        <v/>
      </c>
      <c r="H4716" s="225"/>
      <c r="I4716" s="1013"/>
      <c r="J4716" s="1013"/>
      <c r="K4716" s="1028"/>
      <c r="L4716" s="1035" t="str">
        <f t="shared" si="1641"/>
        <v/>
      </c>
      <c r="S4716" s="498"/>
      <c r="AJ4716" s="498"/>
      <c r="AM4716" s="498">
        <f t="shared" si="1622"/>
        <v>0</v>
      </c>
      <c r="AN4716" s="498">
        <f t="shared" si="1623"/>
        <v>0</v>
      </c>
      <c r="AO4716" s="498">
        <f t="shared" si="1624"/>
        <v>0</v>
      </c>
      <c r="AP4716" s="498">
        <f t="shared" si="1643"/>
        <v>0</v>
      </c>
      <c r="AQ4716" s="498">
        <f t="shared" si="1638"/>
        <v>0</v>
      </c>
      <c r="AU4716" s="498">
        <f t="shared" si="1625"/>
        <v>0</v>
      </c>
      <c r="AV4716" s="498">
        <f t="shared" si="1626"/>
        <v>0</v>
      </c>
      <c r="AW4716" s="498">
        <f t="shared" si="1627"/>
        <v>0</v>
      </c>
      <c r="AX4716" s="498">
        <f t="shared" si="1628"/>
        <v>0</v>
      </c>
      <c r="AY4716" s="498">
        <f t="shared" si="1629"/>
        <v>0</v>
      </c>
      <c r="BB4716" s="498" t="str">
        <f t="shared" si="1630"/>
        <v/>
      </c>
      <c r="BC4716" s="743" t="str">
        <f t="shared" si="1631"/>
        <v/>
      </c>
      <c r="BD4716" s="743" t="str">
        <f t="shared" si="1632"/>
        <v/>
      </c>
      <c r="BE4716" s="743" t="str">
        <f>IF(D4716="","",VLOOKUP(D4716,'General Basis'!$J$39:$K$46,2,0))</f>
        <v/>
      </c>
      <c r="BF4716" s="744" t="str">
        <f>IF(D4716="","",VLOOKUP(D4716,'General Basis'!$J$39:$L$46,3,0))</f>
        <v/>
      </c>
      <c r="BG4716" s="744" t="str">
        <f t="shared" si="1639"/>
        <v/>
      </c>
      <c r="BH4716" s="744" t="str">
        <f>IF(G4716="","",IF(BF4716="Abu Dhabi",IF(G4716&lt;18,'General Basis'!$C$39,IF(G4716&lt;41,'General Basis'!$C$40,IF(G4716&lt;60,'General Basis'!$C$41,IF(G4716&lt;65,'General Basis'!$C$42,'General Basis'!$C$43)))),IF(G4716&lt;11,'General Basis'!$B$39,IF(G4716&lt;18,'General Basis'!$B$40,IF(G4716&lt;26,'General Basis'!$B$41,IF(G4716&lt;31,'General Basis'!$B$42,IF(G4716&lt;36,'General Basis'!$B$43,IF(G4716&lt;41,'General Basis'!$B$44,IF(G4716&lt;46,'General Basis'!$B$45,IF(G4716&lt;51,'General Basis'!$B$46,IF(G4716&lt;56,'General Basis'!$B$47,IF(G4716&lt;60,'General Basis'!$B$48,IF(G4716&lt;65,'General Basis'!$B$49,'General Basis'!$B$50)))))))))))))</f>
        <v/>
      </c>
      <c r="BI4716" s="744" t="str">
        <f t="shared" si="1633"/>
        <v/>
      </c>
      <c r="BJ4716" s="747" t="str">
        <f t="shared" si="1640"/>
        <v/>
      </c>
      <c r="BK4716" s="498" t="str">
        <f t="shared" si="1634"/>
        <v/>
      </c>
      <c r="BL4716" s="498" t="str">
        <f t="shared" si="1635"/>
        <v/>
      </c>
    </row>
    <row r="4717" spans="1:64" x14ac:dyDescent="0.25">
      <c r="A4717" s="762">
        <f t="shared" si="1636"/>
        <v>4712</v>
      </c>
      <c r="B4717" s="229"/>
      <c r="C4717" s="223"/>
      <c r="D4717" s="224"/>
      <c r="E4717" s="225"/>
      <c r="F4717" s="1036" t="str">
        <f t="shared" si="1642"/>
        <v/>
      </c>
      <c r="G4717" s="1037" t="str">
        <f t="shared" si="1637"/>
        <v/>
      </c>
      <c r="H4717" s="225"/>
      <c r="I4717" s="1013"/>
      <c r="J4717" s="1013"/>
      <c r="K4717" s="1028"/>
      <c r="L4717" s="1035" t="str">
        <f t="shared" si="1641"/>
        <v/>
      </c>
      <c r="S4717" s="498"/>
      <c r="AJ4717" s="498"/>
      <c r="AM4717" s="498">
        <f t="shared" si="1622"/>
        <v>0</v>
      </c>
      <c r="AN4717" s="498">
        <f t="shared" si="1623"/>
        <v>0</v>
      </c>
      <c r="AO4717" s="498">
        <f t="shared" si="1624"/>
        <v>0</v>
      </c>
      <c r="AP4717" s="498">
        <f t="shared" si="1643"/>
        <v>0</v>
      </c>
      <c r="AQ4717" s="498">
        <f t="shared" si="1638"/>
        <v>0</v>
      </c>
      <c r="AU4717" s="498">
        <f t="shared" si="1625"/>
        <v>0</v>
      </c>
      <c r="AV4717" s="498">
        <f t="shared" si="1626"/>
        <v>0</v>
      </c>
      <c r="AW4717" s="498">
        <f t="shared" si="1627"/>
        <v>0</v>
      </c>
      <c r="AX4717" s="498">
        <f t="shared" si="1628"/>
        <v>0</v>
      </c>
      <c r="AY4717" s="498">
        <f t="shared" si="1629"/>
        <v>0</v>
      </c>
      <c r="BB4717" s="498" t="str">
        <f t="shared" si="1630"/>
        <v/>
      </c>
      <c r="BC4717" s="743" t="str">
        <f t="shared" si="1631"/>
        <v/>
      </c>
      <c r="BD4717" s="743" t="str">
        <f t="shared" si="1632"/>
        <v/>
      </c>
      <c r="BE4717" s="743" t="str">
        <f>IF(D4717="","",VLOOKUP(D4717,'General Basis'!$J$39:$K$46,2,0))</f>
        <v/>
      </c>
      <c r="BF4717" s="744" t="str">
        <f>IF(D4717="","",VLOOKUP(D4717,'General Basis'!$J$39:$L$46,3,0))</f>
        <v/>
      </c>
      <c r="BG4717" s="744" t="str">
        <f t="shared" si="1639"/>
        <v/>
      </c>
      <c r="BH4717" s="744" t="str">
        <f>IF(G4717="","",IF(BF4717="Abu Dhabi",IF(G4717&lt;18,'General Basis'!$C$39,IF(G4717&lt;41,'General Basis'!$C$40,IF(G4717&lt;60,'General Basis'!$C$41,IF(G4717&lt;65,'General Basis'!$C$42,'General Basis'!$C$43)))),IF(G4717&lt;11,'General Basis'!$B$39,IF(G4717&lt;18,'General Basis'!$B$40,IF(G4717&lt;26,'General Basis'!$B$41,IF(G4717&lt;31,'General Basis'!$B$42,IF(G4717&lt;36,'General Basis'!$B$43,IF(G4717&lt;41,'General Basis'!$B$44,IF(G4717&lt;46,'General Basis'!$B$45,IF(G4717&lt;51,'General Basis'!$B$46,IF(G4717&lt;56,'General Basis'!$B$47,IF(G4717&lt;60,'General Basis'!$B$48,IF(G4717&lt;65,'General Basis'!$B$49,'General Basis'!$B$50)))))))))))))</f>
        <v/>
      </c>
      <c r="BI4717" s="744" t="str">
        <f t="shared" si="1633"/>
        <v/>
      </c>
      <c r="BJ4717" s="747" t="str">
        <f t="shared" si="1640"/>
        <v/>
      </c>
      <c r="BK4717" s="498" t="str">
        <f t="shared" si="1634"/>
        <v/>
      </c>
      <c r="BL4717" s="498" t="str">
        <f t="shared" si="1635"/>
        <v/>
      </c>
    </row>
    <row r="4718" spans="1:64" x14ac:dyDescent="0.25">
      <c r="A4718" s="762">
        <f t="shared" si="1636"/>
        <v>4713</v>
      </c>
      <c r="B4718" s="229"/>
      <c r="C4718" s="223"/>
      <c r="D4718" s="224"/>
      <c r="E4718" s="225"/>
      <c r="F4718" s="1036" t="str">
        <f t="shared" si="1642"/>
        <v/>
      </c>
      <c r="G4718" s="1037" t="str">
        <f t="shared" si="1637"/>
        <v/>
      </c>
      <c r="H4718" s="225"/>
      <c r="I4718" s="1013"/>
      <c r="J4718" s="1013"/>
      <c r="K4718" s="1028"/>
      <c r="L4718" s="1035" t="str">
        <f t="shared" si="1641"/>
        <v/>
      </c>
      <c r="S4718" s="498"/>
      <c r="AJ4718" s="498"/>
      <c r="AM4718" s="498">
        <f t="shared" si="1622"/>
        <v>0</v>
      </c>
      <c r="AN4718" s="498">
        <f t="shared" si="1623"/>
        <v>0</v>
      </c>
      <c r="AO4718" s="498">
        <f t="shared" si="1624"/>
        <v>0</v>
      </c>
      <c r="AP4718" s="498">
        <f t="shared" si="1643"/>
        <v>0</v>
      </c>
      <c r="AQ4718" s="498">
        <f t="shared" si="1638"/>
        <v>0</v>
      </c>
      <c r="AU4718" s="498">
        <f t="shared" si="1625"/>
        <v>0</v>
      </c>
      <c r="AV4718" s="498">
        <f t="shared" si="1626"/>
        <v>0</v>
      </c>
      <c r="AW4718" s="498">
        <f t="shared" si="1627"/>
        <v>0</v>
      </c>
      <c r="AX4718" s="498">
        <f t="shared" si="1628"/>
        <v>0</v>
      </c>
      <c r="AY4718" s="498">
        <f t="shared" si="1629"/>
        <v>0</v>
      </c>
      <c r="BB4718" s="498" t="str">
        <f t="shared" si="1630"/>
        <v/>
      </c>
      <c r="BC4718" s="743" t="str">
        <f t="shared" si="1631"/>
        <v/>
      </c>
      <c r="BD4718" s="743" t="str">
        <f t="shared" si="1632"/>
        <v/>
      </c>
      <c r="BE4718" s="743" t="str">
        <f>IF(D4718="","",VLOOKUP(D4718,'General Basis'!$J$39:$K$46,2,0))</f>
        <v/>
      </c>
      <c r="BF4718" s="744" t="str">
        <f>IF(D4718="","",VLOOKUP(D4718,'General Basis'!$J$39:$L$46,3,0))</f>
        <v/>
      </c>
      <c r="BG4718" s="744" t="str">
        <f t="shared" si="1639"/>
        <v/>
      </c>
      <c r="BH4718" s="744" t="str">
        <f>IF(G4718="","",IF(BF4718="Abu Dhabi",IF(G4718&lt;18,'General Basis'!$C$39,IF(G4718&lt;41,'General Basis'!$C$40,IF(G4718&lt;60,'General Basis'!$C$41,IF(G4718&lt;65,'General Basis'!$C$42,'General Basis'!$C$43)))),IF(G4718&lt;11,'General Basis'!$B$39,IF(G4718&lt;18,'General Basis'!$B$40,IF(G4718&lt;26,'General Basis'!$B$41,IF(G4718&lt;31,'General Basis'!$B$42,IF(G4718&lt;36,'General Basis'!$B$43,IF(G4718&lt;41,'General Basis'!$B$44,IF(G4718&lt;46,'General Basis'!$B$45,IF(G4718&lt;51,'General Basis'!$B$46,IF(G4718&lt;56,'General Basis'!$B$47,IF(G4718&lt;60,'General Basis'!$B$48,IF(G4718&lt;65,'General Basis'!$B$49,'General Basis'!$B$50)))))))))))))</f>
        <v/>
      </c>
      <c r="BI4718" s="744" t="str">
        <f t="shared" si="1633"/>
        <v/>
      </c>
      <c r="BJ4718" s="747" t="str">
        <f t="shared" si="1640"/>
        <v/>
      </c>
      <c r="BK4718" s="498" t="str">
        <f t="shared" si="1634"/>
        <v/>
      </c>
      <c r="BL4718" s="498" t="str">
        <f t="shared" si="1635"/>
        <v/>
      </c>
    </row>
    <row r="4719" spans="1:64" x14ac:dyDescent="0.25">
      <c r="A4719" s="762">
        <f t="shared" si="1636"/>
        <v>4714</v>
      </c>
      <c r="B4719" s="229"/>
      <c r="C4719" s="223"/>
      <c r="D4719" s="224"/>
      <c r="E4719" s="225"/>
      <c r="F4719" s="1036" t="str">
        <f t="shared" si="1642"/>
        <v/>
      </c>
      <c r="G4719" s="1037" t="str">
        <f t="shared" si="1637"/>
        <v/>
      </c>
      <c r="H4719" s="225"/>
      <c r="I4719" s="1013"/>
      <c r="J4719" s="1013"/>
      <c r="K4719" s="1028"/>
      <c r="L4719" s="1035" t="str">
        <f t="shared" si="1641"/>
        <v/>
      </c>
      <c r="S4719" s="498"/>
      <c r="AJ4719" s="498"/>
      <c r="AM4719" s="498">
        <f t="shared" si="1622"/>
        <v>0</v>
      </c>
      <c r="AN4719" s="498">
        <f t="shared" si="1623"/>
        <v>0</v>
      </c>
      <c r="AO4719" s="498">
        <f t="shared" si="1624"/>
        <v>0</v>
      </c>
      <c r="AP4719" s="498">
        <f t="shared" si="1643"/>
        <v>0</v>
      </c>
      <c r="AQ4719" s="498">
        <f t="shared" si="1638"/>
        <v>0</v>
      </c>
      <c r="AU4719" s="498">
        <f t="shared" si="1625"/>
        <v>0</v>
      </c>
      <c r="AV4719" s="498">
        <f t="shared" si="1626"/>
        <v>0</v>
      </c>
      <c r="AW4719" s="498">
        <f t="shared" si="1627"/>
        <v>0</v>
      </c>
      <c r="AX4719" s="498">
        <f t="shared" si="1628"/>
        <v>0</v>
      </c>
      <c r="AY4719" s="498">
        <f t="shared" si="1629"/>
        <v>0</v>
      </c>
      <c r="BB4719" s="498" t="str">
        <f t="shared" si="1630"/>
        <v/>
      </c>
      <c r="BC4719" s="743" t="str">
        <f t="shared" si="1631"/>
        <v/>
      </c>
      <c r="BD4719" s="743" t="str">
        <f t="shared" si="1632"/>
        <v/>
      </c>
      <c r="BE4719" s="743" t="str">
        <f>IF(D4719="","",VLOOKUP(D4719,'General Basis'!$J$39:$K$46,2,0))</f>
        <v/>
      </c>
      <c r="BF4719" s="744" t="str">
        <f>IF(D4719="","",VLOOKUP(D4719,'General Basis'!$J$39:$L$46,3,0))</f>
        <v/>
      </c>
      <c r="BG4719" s="744" t="str">
        <f t="shared" si="1639"/>
        <v/>
      </c>
      <c r="BH4719" s="744" t="str">
        <f>IF(G4719="","",IF(BF4719="Abu Dhabi",IF(G4719&lt;18,'General Basis'!$C$39,IF(G4719&lt;41,'General Basis'!$C$40,IF(G4719&lt;60,'General Basis'!$C$41,IF(G4719&lt;65,'General Basis'!$C$42,'General Basis'!$C$43)))),IF(G4719&lt;11,'General Basis'!$B$39,IF(G4719&lt;18,'General Basis'!$B$40,IF(G4719&lt;26,'General Basis'!$B$41,IF(G4719&lt;31,'General Basis'!$B$42,IF(G4719&lt;36,'General Basis'!$B$43,IF(G4719&lt;41,'General Basis'!$B$44,IF(G4719&lt;46,'General Basis'!$B$45,IF(G4719&lt;51,'General Basis'!$B$46,IF(G4719&lt;56,'General Basis'!$B$47,IF(G4719&lt;60,'General Basis'!$B$48,IF(G4719&lt;65,'General Basis'!$B$49,'General Basis'!$B$50)))))))))))))</f>
        <v/>
      </c>
      <c r="BI4719" s="744" t="str">
        <f t="shared" si="1633"/>
        <v/>
      </c>
      <c r="BJ4719" s="747" t="str">
        <f t="shared" si="1640"/>
        <v/>
      </c>
      <c r="BK4719" s="498" t="str">
        <f t="shared" si="1634"/>
        <v/>
      </c>
      <c r="BL4719" s="498" t="str">
        <f t="shared" si="1635"/>
        <v/>
      </c>
    </row>
    <row r="4720" spans="1:64" x14ac:dyDescent="0.25">
      <c r="A4720" s="762">
        <f t="shared" si="1636"/>
        <v>4715</v>
      </c>
      <c r="B4720" s="229"/>
      <c r="C4720" s="223"/>
      <c r="D4720" s="224"/>
      <c r="E4720" s="225"/>
      <c r="F4720" s="1036" t="str">
        <f t="shared" si="1642"/>
        <v/>
      </c>
      <c r="G4720" s="1037" t="str">
        <f t="shared" si="1637"/>
        <v/>
      </c>
      <c r="H4720" s="225"/>
      <c r="I4720" s="1013"/>
      <c r="J4720" s="1013"/>
      <c r="K4720" s="1028"/>
      <c r="L4720" s="1035" t="str">
        <f t="shared" si="1641"/>
        <v/>
      </c>
      <c r="S4720" s="498"/>
      <c r="AJ4720" s="498"/>
      <c r="AM4720" s="498">
        <f t="shared" si="1622"/>
        <v>0</v>
      </c>
      <c r="AN4720" s="498">
        <f t="shared" si="1623"/>
        <v>0</v>
      </c>
      <c r="AO4720" s="498">
        <f t="shared" si="1624"/>
        <v>0</v>
      </c>
      <c r="AP4720" s="498">
        <f t="shared" si="1643"/>
        <v>0</v>
      </c>
      <c r="AQ4720" s="498">
        <f t="shared" si="1638"/>
        <v>0</v>
      </c>
      <c r="AU4720" s="498">
        <f t="shared" si="1625"/>
        <v>0</v>
      </c>
      <c r="AV4720" s="498">
        <f t="shared" si="1626"/>
        <v>0</v>
      </c>
      <c r="AW4720" s="498">
        <f t="shared" si="1627"/>
        <v>0</v>
      </c>
      <c r="AX4720" s="498">
        <f t="shared" si="1628"/>
        <v>0</v>
      </c>
      <c r="AY4720" s="498">
        <f t="shared" si="1629"/>
        <v>0</v>
      </c>
      <c r="BB4720" s="498" t="str">
        <f t="shared" si="1630"/>
        <v/>
      </c>
      <c r="BC4720" s="743" t="str">
        <f t="shared" si="1631"/>
        <v/>
      </c>
      <c r="BD4720" s="743" t="str">
        <f t="shared" si="1632"/>
        <v/>
      </c>
      <c r="BE4720" s="743" t="str">
        <f>IF(D4720="","",VLOOKUP(D4720,'General Basis'!$J$39:$K$46,2,0))</f>
        <v/>
      </c>
      <c r="BF4720" s="744" t="str">
        <f>IF(D4720="","",VLOOKUP(D4720,'General Basis'!$J$39:$L$46,3,0))</f>
        <v/>
      </c>
      <c r="BG4720" s="744" t="str">
        <f t="shared" si="1639"/>
        <v/>
      </c>
      <c r="BH4720" s="744" t="str">
        <f>IF(G4720="","",IF(BF4720="Abu Dhabi",IF(G4720&lt;18,'General Basis'!$C$39,IF(G4720&lt;41,'General Basis'!$C$40,IF(G4720&lt;60,'General Basis'!$C$41,IF(G4720&lt;65,'General Basis'!$C$42,'General Basis'!$C$43)))),IF(G4720&lt;11,'General Basis'!$B$39,IF(G4720&lt;18,'General Basis'!$B$40,IF(G4720&lt;26,'General Basis'!$B$41,IF(G4720&lt;31,'General Basis'!$B$42,IF(G4720&lt;36,'General Basis'!$B$43,IF(G4720&lt;41,'General Basis'!$B$44,IF(G4720&lt;46,'General Basis'!$B$45,IF(G4720&lt;51,'General Basis'!$B$46,IF(G4720&lt;56,'General Basis'!$B$47,IF(G4720&lt;60,'General Basis'!$B$48,IF(G4720&lt;65,'General Basis'!$B$49,'General Basis'!$B$50)))))))))))))</f>
        <v/>
      </c>
      <c r="BI4720" s="744" t="str">
        <f t="shared" si="1633"/>
        <v/>
      </c>
      <c r="BJ4720" s="747" t="str">
        <f t="shared" si="1640"/>
        <v/>
      </c>
      <c r="BK4720" s="498" t="str">
        <f t="shared" si="1634"/>
        <v/>
      </c>
      <c r="BL4720" s="498" t="str">
        <f t="shared" si="1635"/>
        <v/>
      </c>
    </row>
    <row r="4721" spans="1:64" x14ac:dyDescent="0.25">
      <c r="A4721" s="762">
        <f t="shared" si="1636"/>
        <v>4716</v>
      </c>
      <c r="B4721" s="229"/>
      <c r="C4721" s="223"/>
      <c r="D4721" s="224"/>
      <c r="E4721" s="225"/>
      <c r="F4721" s="1036" t="str">
        <f t="shared" si="1642"/>
        <v/>
      </c>
      <c r="G4721" s="1037" t="str">
        <f t="shared" si="1637"/>
        <v/>
      </c>
      <c r="H4721" s="225"/>
      <c r="I4721" s="1013"/>
      <c r="J4721" s="1013"/>
      <c r="K4721" s="1028"/>
      <c r="L4721" s="1035" t="str">
        <f t="shared" si="1641"/>
        <v/>
      </c>
      <c r="S4721" s="498"/>
      <c r="AJ4721" s="498"/>
      <c r="AM4721" s="498">
        <f t="shared" si="1622"/>
        <v>0</v>
      </c>
      <c r="AN4721" s="498">
        <f t="shared" si="1623"/>
        <v>0</v>
      </c>
      <c r="AO4721" s="498">
        <f t="shared" si="1624"/>
        <v>0</v>
      </c>
      <c r="AP4721" s="498">
        <f t="shared" si="1643"/>
        <v>0</v>
      </c>
      <c r="AQ4721" s="498">
        <f t="shared" si="1638"/>
        <v>0</v>
      </c>
      <c r="AU4721" s="498">
        <f t="shared" si="1625"/>
        <v>0</v>
      </c>
      <c r="AV4721" s="498">
        <f t="shared" si="1626"/>
        <v>0</v>
      </c>
      <c r="AW4721" s="498">
        <f t="shared" si="1627"/>
        <v>0</v>
      </c>
      <c r="AX4721" s="498">
        <f t="shared" si="1628"/>
        <v>0</v>
      </c>
      <c r="AY4721" s="498">
        <f t="shared" si="1629"/>
        <v>0</v>
      </c>
      <c r="BB4721" s="498" t="str">
        <f t="shared" si="1630"/>
        <v/>
      </c>
      <c r="BC4721" s="743" t="str">
        <f t="shared" si="1631"/>
        <v/>
      </c>
      <c r="BD4721" s="743" t="str">
        <f t="shared" si="1632"/>
        <v/>
      </c>
      <c r="BE4721" s="743" t="str">
        <f>IF(D4721="","",VLOOKUP(D4721,'General Basis'!$J$39:$K$46,2,0))</f>
        <v/>
      </c>
      <c r="BF4721" s="744" t="str">
        <f>IF(D4721="","",VLOOKUP(D4721,'General Basis'!$J$39:$L$46,3,0))</f>
        <v/>
      </c>
      <c r="BG4721" s="744" t="str">
        <f t="shared" si="1639"/>
        <v/>
      </c>
      <c r="BH4721" s="744" t="str">
        <f>IF(G4721="","",IF(BF4721="Abu Dhabi",IF(G4721&lt;18,'General Basis'!$C$39,IF(G4721&lt;41,'General Basis'!$C$40,IF(G4721&lt;60,'General Basis'!$C$41,IF(G4721&lt;65,'General Basis'!$C$42,'General Basis'!$C$43)))),IF(G4721&lt;11,'General Basis'!$B$39,IF(G4721&lt;18,'General Basis'!$B$40,IF(G4721&lt;26,'General Basis'!$B$41,IF(G4721&lt;31,'General Basis'!$B$42,IF(G4721&lt;36,'General Basis'!$B$43,IF(G4721&lt;41,'General Basis'!$B$44,IF(G4721&lt;46,'General Basis'!$B$45,IF(G4721&lt;51,'General Basis'!$B$46,IF(G4721&lt;56,'General Basis'!$B$47,IF(G4721&lt;60,'General Basis'!$B$48,IF(G4721&lt;65,'General Basis'!$B$49,'General Basis'!$B$50)))))))))))))</f>
        <v/>
      </c>
      <c r="BI4721" s="744" t="str">
        <f t="shared" si="1633"/>
        <v/>
      </c>
      <c r="BJ4721" s="747" t="str">
        <f t="shared" si="1640"/>
        <v/>
      </c>
      <c r="BK4721" s="498" t="str">
        <f t="shared" si="1634"/>
        <v/>
      </c>
      <c r="BL4721" s="498" t="str">
        <f t="shared" si="1635"/>
        <v/>
      </c>
    </row>
    <row r="4722" spans="1:64" x14ac:dyDescent="0.25">
      <c r="A4722" s="762">
        <f t="shared" si="1636"/>
        <v>4717</v>
      </c>
      <c r="B4722" s="229"/>
      <c r="C4722" s="223"/>
      <c r="D4722" s="224"/>
      <c r="E4722" s="225"/>
      <c r="F4722" s="1036" t="str">
        <f t="shared" si="1642"/>
        <v/>
      </c>
      <c r="G4722" s="1037" t="str">
        <f t="shared" si="1637"/>
        <v/>
      </c>
      <c r="H4722" s="225"/>
      <c r="I4722" s="1013"/>
      <c r="J4722" s="1013"/>
      <c r="K4722" s="1028"/>
      <c r="L4722" s="1035" t="str">
        <f t="shared" si="1641"/>
        <v/>
      </c>
      <c r="S4722" s="498"/>
      <c r="AJ4722" s="498"/>
      <c r="AM4722" s="498">
        <f t="shared" si="1622"/>
        <v>0</v>
      </c>
      <c r="AN4722" s="498">
        <f t="shared" si="1623"/>
        <v>0</v>
      </c>
      <c r="AO4722" s="498">
        <f t="shared" si="1624"/>
        <v>0</v>
      </c>
      <c r="AP4722" s="498">
        <f t="shared" si="1643"/>
        <v>0</v>
      </c>
      <c r="AQ4722" s="498">
        <f t="shared" si="1638"/>
        <v>0</v>
      </c>
      <c r="AU4722" s="498">
        <f t="shared" si="1625"/>
        <v>0</v>
      </c>
      <c r="AV4722" s="498">
        <f t="shared" si="1626"/>
        <v>0</v>
      </c>
      <c r="AW4722" s="498">
        <f t="shared" si="1627"/>
        <v>0</v>
      </c>
      <c r="AX4722" s="498">
        <f t="shared" si="1628"/>
        <v>0</v>
      </c>
      <c r="AY4722" s="498">
        <f t="shared" si="1629"/>
        <v>0</v>
      </c>
      <c r="BB4722" s="498" t="str">
        <f t="shared" si="1630"/>
        <v/>
      </c>
      <c r="BC4722" s="743" t="str">
        <f t="shared" si="1631"/>
        <v/>
      </c>
      <c r="BD4722" s="743" t="str">
        <f t="shared" si="1632"/>
        <v/>
      </c>
      <c r="BE4722" s="743" t="str">
        <f>IF(D4722="","",VLOOKUP(D4722,'General Basis'!$J$39:$K$46,2,0))</f>
        <v/>
      </c>
      <c r="BF4722" s="744" t="str">
        <f>IF(D4722="","",VLOOKUP(D4722,'General Basis'!$J$39:$L$46,3,0))</f>
        <v/>
      </c>
      <c r="BG4722" s="744" t="str">
        <f t="shared" si="1639"/>
        <v/>
      </c>
      <c r="BH4722" s="744" t="str">
        <f>IF(G4722="","",IF(BF4722="Abu Dhabi",IF(G4722&lt;18,'General Basis'!$C$39,IF(G4722&lt;41,'General Basis'!$C$40,IF(G4722&lt;60,'General Basis'!$C$41,IF(G4722&lt;65,'General Basis'!$C$42,'General Basis'!$C$43)))),IF(G4722&lt;11,'General Basis'!$B$39,IF(G4722&lt;18,'General Basis'!$B$40,IF(G4722&lt;26,'General Basis'!$B$41,IF(G4722&lt;31,'General Basis'!$B$42,IF(G4722&lt;36,'General Basis'!$B$43,IF(G4722&lt;41,'General Basis'!$B$44,IF(G4722&lt;46,'General Basis'!$B$45,IF(G4722&lt;51,'General Basis'!$B$46,IF(G4722&lt;56,'General Basis'!$B$47,IF(G4722&lt;60,'General Basis'!$B$48,IF(G4722&lt;65,'General Basis'!$B$49,'General Basis'!$B$50)))))))))))))</f>
        <v/>
      </c>
      <c r="BI4722" s="744" t="str">
        <f t="shared" si="1633"/>
        <v/>
      </c>
      <c r="BJ4722" s="747" t="str">
        <f t="shared" si="1640"/>
        <v/>
      </c>
      <c r="BK4722" s="498" t="str">
        <f t="shared" si="1634"/>
        <v/>
      </c>
      <c r="BL4722" s="498" t="str">
        <f t="shared" si="1635"/>
        <v/>
      </c>
    </row>
    <row r="4723" spans="1:64" x14ac:dyDescent="0.25">
      <c r="A4723" s="762">
        <f t="shared" si="1636"/>
        <v>4718</v>
      </c>
      <c r="B4723" s="229"/>
      <c r="C4723" s="223"/>
      <c r="D4723" s="224"/>
      <c r="E4723" s="225"/>
      <c r="F4723" s="1036" t="str">
        <f t="shared" si="1642"/>
        <v/>
      </c>
      <c r="G4723" s="1037" t="str">
        <f t="shared" si="1637"/>
        <v/>
      </c>
      <c r="H4723" s="225"/>
      <c r="I4723" s="1013"/>
      <c r="J4723" s="1013"/>
      <c r="K4723" s="1028"/>
      <c r="L4723" s="1035" t="str">
        <f t="shared" si="1641"/>
        <v/>
      </c>
      <c r="S4723" s="498"/>
      <c r="AJ4723" s="498"/>
      <c r="AM4723" s="498">
        <f t="shared" si="1622"/>
        <v>0</v>
      </c>
      <c r="AN4723" s="498">
        <f t="shared" si="1623"/>
        <v>0</v>
      </c>
      <c r="AO4723" s="498">
        <f t="shared" si="1624"/>
        <v>0</v>
      </c>
      <c r="AP4723" s="498">
        <f t="shared" si="1643"/>
        <v>0</v>
      </c>
      <c r="AQ4723" s="498">
        <f t="shared" si="1638"/>
        <v>0</v>
      </c>
      <c r="AU4723" s="498">
        <f t="shared" si="1625"/>
        <v>0</v>
      </c>
      <c r="AV4723" s="498">
        <f t="shared" si="1626"/>
        <v>0</v>
      </c>
      <c r="AW4723" s="498">
        <f t="shared" si="1627"/>
        <v>0</v>
      </c>
      <c r="AX4723" s="498">
        <f t="shared" si="1628"/>
        <v>0</v>
      </c>
      <c r="AY4723" s="498">
        <f t="shared" si="1629"/>
        <v>0</v>
      </c>
      <c r="BB4723" s="498" t="str">
        <f t="shared" si="1630"/>
        <v/>
      </c>
      <c r="BC4723" s="743" t="str">
        <f t="shared" si="1631"/>
        <v/>
      </c>
      <c r="BD4723" s="743" t="str">
        <f t="shared" si="1632"/>
        <v/>
      </c>
      <c r="BE4723" s="743" t="str">
        <f>IF(D4723="","",VLOOKUP(D4723,'General Basis'!$J$39:$K$46,2,0))</f>
        <v/>
      </c>
      <c r="BF4723" s="744" t="str">
        <f>IF(D4723="","",VLOOKUP(D4723,'General Basis'!$J$39:$L$46,3,0))</f>
        <v/>
      </c>
      <c r="BG4723" s="744" t="str">
        <f t="shared" si="1639"/>
        <v/>
      </c>
      <c r="BH4723" s="744" t="str">
        <f>IF(G4723="","",IF(BF4723="Abu Dhabi",IF(G4723&lt;18,'General Basis'!$C$39,IF(G4723&lt;41,'General Basis'!$C$40,IF(G4723&lt;60,'General Basis'!$C$41,IF(G4723&lt;65,'General Basis'!$C$42,'General Basis'!$C$43)))),IF(G4723&lt;11,'General Basis'!$B$39,IF(G4723&lt;18,'General Basis'!$B$40,IF(G4723&lt;26,'General Basis'!$B$41,IF(G4723&lt;31,'General Basis'!$B$42,IF(G4723&lt;36,'General Basis'!$B$43,IF(G4723&lt;41,'General Basis'!$B$44,IF(G4723&lt;46,'General Basis'!$B$45,IF(G4723&lt;51,'General Basis'!$B$46,IF(G4723&lt;56,'General Basis'!$B$47,IF(G4723&lt;60,'General Basis'!$B$48,IF(G4723&lt;65,'General Basis'!$B$49,'General Basis'!$B$50)))))))))))))</f>
        <v/>
      </c>
      <c r="BI4723" s="744" t="str">
        <f t="shared" si="1633"/>
        <v/>
      </c>
      <c r="BJ4723" s="747" t="str">
        <f t="shared" si="1640"/>
        <v/>
      </c>
      <c r="BK4723" s="498" t="str">
        <f t="shared" si="1634"/>
        <v/>
      </c>
      <c r="BL4723" s="498" t="str">
        <f t="shared" si="1635"/>
        <v/>
      </c>
    </row>
    <row r="4724" spans="1:64" x14ac:dyDescent="0.25">
      <c r="A4724" s="762">
        <f t="shared" si="1636"/>
        <v>4719</v>
      </c>
      <c r="B4724" s="229"/>
      <c r="C4724" s="223"/>
      <c r="D4724" s="224"/>
      <c r="E4724" s="225"/>
      <c r="F4724" s="1036" t="str">
        <f t="shared" si="1642"/>
        <v/>
      </c>
      <c r="G4724" s="1037" t="str">
        <f t="shared" si="1637"/>
        <v/>
      </c>
      <c r="H4724" s="225"/>
      <c r="I4724" s="1013"/>
      <c r="J4724" s="1013"/>
      <c r="K4724" s="1028"/>
      <c r="L4724" s="1035" t="str">
        <f t="shared" si="1641"/>
        <v/>
      </c>
      <c r="S4724" s="498"/>
      <c r="AJ4724" s="498"/>
      <c r="AM4724" s="498">
        <f t="shared" si="1622"/>
        <v>0</v>
      </c>
      <c r="AN4724" s="498">
        <f t="shared" si="1623"/>
        <v>0</v>
      </c>
      <c r="AO4724" s="498">
        <f t="shared" si="1624"/>
        <v>0</v>
      </c>
      <c r="AP4724" s="498">
        <f t="shared" si="1643"/>
        <v>0</v>
      </c>
      <c r="AQ4724" s="498">
        <f t="shared" si="1638"/>
        <v>0</v>
      </c>
      <c r="AU4724" s="498">
        <f t="shared" si="1625"/>
        <v>0</v>
      </c>
      <c r="AV4724" s="498">
        <f t="shared" si="1626"/>
        <v>0</v>
      </c>
      <c r="AW4724" s="498">
        <f t="shared" si="1627"/>
        <v>0</v>
      </c>
      <c r="AX4724" s="498">
        <f t="shared" si="1628"/>
        <v>0</v>
      </c>
      <c r="AY4724" s="498">
        <f t="shared" si="1629"/>
        <v>0</v>
      </c>
      <c r="BB4724" s="498" t="str">
        <f t="shared" si="1630"/>
        <v/>
      </c>
      <c r="BC4724" s="743" t="str">
        <f t="shared" si="1631"/>
        <v/>
      </c>
      <c r="BD4724" s="743" t="str">
        <f t="shared" si="1632"/>
        <v/>
      </c>
      <c r="BE4724" s="743" t="str">
        <f>IF(D4724="","",VLOOKUP(D4724,'General Basis'!$J$39:$K$46,2,0))</f>
        <v/>
      </c>
      <c r="BF4724" s="744" t="str">
        <f>IF(D4724="","",VLOOKUP(D4724,'General Basis'!$J$39:$L$46,3,0))</f>
        <v/>
      </c>
      <c r="BG4724" s="744" t="str">
        <f t="shared" si="1639"/>
        <v/>
      </c>
      <c r="BH4724" s="744" t="str">
        <f>IF(G4724="","",IF(BF4724="Abu Dhabi",IF(G4724&lt;18,'General Basis'!$C$39,IF(G4724&lt;41,'General Basis'!$C$40,IF(G4724&lt;60,'General Basis'!$C$41,IF(G4724&lt;65,'General Basis'!$C$42,'General Basis'!$C$43)))),IF(G4724&lt;11,'General Basis'!$B$39,IF(G4724&lt;18,'General Basis'!$B$40,IF(G4724&lt;26,'General Basis'!$B$41,IF(G4724&lt;31,'General Basis'!$B$42,IF(G4724&lt;36,'General Basis'!$B$43,IF(G4724&lt;41,'General Basis'!$B$44,IF(G4724&lt;46,'General Basis'!$B$45,IF(G4724&lt;51,'General Basis'!$B$46,IF(G4724&lt;56,'General Basis'!$B$47,IF(G4724&lt;60,'General Basis'!$B$48,IF(G4724&lt;65,'General Basis'!$B$49,'General Basis'!$B$50)))))))))))))</f>
        <v/>
      </c>
      <c r="BI4724" s="744" t="str">
        <f t="shared" si="1633"/>
        <v/>
      </c>
      <c r="BJ4724" s="747" t="str">
        <f t="shared" si="1640"/>
        <v/>
      </c>
      <c r="BK4724" s="498" t="str">
        <f t="shared" si="1634"/>
        <v/>
      </c>
      <c r="BL4724" s="498" t="str">
        <f t="shared" si="1635"/>
        <v/>
      </c>
    </row>
    <row r="4725" spans="1:64" x14ac:dyDescent="0.25">
      <c r="A4725" s="762">
        <f t="shared" si="1636"/>
        <v>4720</v>
      </c>
      <c r="B4725" s="229"/>
      <c r="C4725" s="223"/>
      <c r="D4725" s="224"/>
      <c r="E4725" s="225"/>
      <c r="F4725" s="1036" t="str">
        <f t="shared" si="1642"/>
        <v/>
      </c>
      <c r="G4725" s="1037" t="str">
        <f t="shared" si="1637"/>
        <v/>
      </c>
      <c r="H4725" s="225"/>
      <c r="I4725" s="1013"/>
      <c r="J4725" s="1013"/>
      <c r="K4725" s="1028"/>
      <c r="L4725" s="1035" t="str">
        <f t="shared" si="1641"/>
        <v/>
      </c>
      <c r="S4725" s="498"/>
      <c r="AJ4725" s="498"/>
      <c r="AM4725" s="498">
        <f t="shared" si="1622"/>
        <v>0</v>
      </c>
      <c r="AN4725" s="498">
        <f t="shared" si="1623"/>
        <v>0</v>
      </c>
      <c r="AO4725" s="498">
        <f t="shared" si="1624"/>
        <v>0</v>
      </c>
      <c r="AP4725" s="498">
        <f t="shared" si="1643"/>
        <v>0</v>
      </c>
      <c r="AQ4725" s="498">
        <f t="shared" si="1638"/>
        <v>0</v>
      </c>
      <c r="AU4725" s="498">
        <f t="shared" si="1625"/>
        <v>0</v>
      </c>
      <c r="AV4725" s="498">
        <f t="shared" si="1626"/>
        <v>0</v>
      </c>
      <c r="AW4725" s="498">
        <f t="shared" si="1627"/>
        <v>0</v>
      </c>
      <c r="AX4725" s="498">
        <f t="shared" si="1628"/>
        <v>0</v>
      </c>
      <c r="AY4725" s="498">
        <f t="shared" si="1629"/>
        <v>0</v>
      </c>
      <c r="BB4725" s="498" t="str">
        <f t="shared" si="1630"/>
        <v/>
      </c>
      <c r="BC4725" s="743" t="str">
        <f t="shared" si="1631"/>
        <v/>
      </c>
      <c r="BD4725" s="743" t="str">
        <f t="shared" si="1632"/>
        <v/>
      </c>
      <c r="BE4725" s="743" t="str">
        <f>IF(D4725="","",VLOOKUP(D4725,'General Basis'!$J$39:$K$46,2,0))</f>
        <v/>
      </c>
      <c r="BF4725" s="744" t="str">
        <f>IF(D4725="","",VLOOKUP(D4725,'General Basis'!$J$39:$L$46,3,0))</f>
        <v/>
      </c>
      <c r="BG4725" s="744" t="str">
        <f t="shared" si="1639"/>
        <v/>
      </c>
      <c r="BH4725" s="744" t="str">
        <f>IF(G4725="","",IF(BF4725="Abu Dhabi",IF(G4725&lt;18,'General Basis'!$C$39,IF(G4725&lt;41,'General Basis'!$C$40,IF(G4725&lt;60,'General Basis'!$C$41,IF(G4725&lt;65,'General Basis'!$C$42,'General Basis'!$C$43)))),IF(G4725&lt;11,'General Basis'!$B$39,IF(G4725&lt;18,'General Basis'!$B$40,IF(G4725&lt;26,'General Basis'!$B$41,IF(G4725&lt;31,'General Basis'!$B$42,IF(G4725&lt;36,'General Basis'!$B$43,IF(G4725&lt;41,'General Basis'!$B$44,IF(G4725&lt;46,'General Basis'!$B$45,IF(G4725&lt;51,'General Basis'!$B$46,IF(G4725&lt;56,'General Basis'!$B$47,IF(G4725&lt;60,'General Basis'!$B$48,IF(G4725&lt;65,'General Basis'!$B$49,'General Basis'!$B$50)))))))))))))</f>
        <v/>
      </c>
      <c r="BI4725" s="744" t="str">
        <f t="shared" si="1633"/>
        <v/>
      </c>
      <c r="BJ4725" s="747" t="str">
        <f t="shared" si="1640"/>
        <v/>
      </c>
      <c r="BK4725" s="498" t="str">
        <f t="shared" si="1634"/>
        <v/>
      </c>
      <c r="BL4725" s="498" t="str">
        <f t="shared" si="1635"/>
        <v/>
      </c>
    </row>
    <row r="4726" spans="1:64" x14ac:dyDescent="0.25">
      <c r="A4726" s="762">
        <f t="shared" si="1636"/>
        <v>4721</v>
      </c>
      <c r="B4726" s="229"/>
      <c r="C4726" s="223"/>
      <c r="D4726" s="224"/>
      <c r="E4726" s="225"/>
      <c r="F4726" s="1036" t="str">
        <f t="shared" si="1642"/>
        <v/>
      </c>
      <c r="G4726" s="1037" t="str">
        <f t="shared" si="1637"/>
        <v/>
      </c>
      <c r="H4726" s="225"/>
      <c r="I4726" s="1013"/>
      <c r="J4726" s="1013"/>
      <c r="K4726" s="1028"/>
      <c r="L4726" s="1035" t="str">
        <f t="shared" si="1641"/>
        <v/>
      </c>
      <c r="S4726" s="498"/>
      <c r="AJ4726" s="498"/>
      <c r="AM4726" s="498">
        <f t="shared" si="1622"/>
        <v>0</v>
      </c>
      <c r="AN4726" s="498">
        <f t="shared" si="1623"/>
        <v>0</v>
      </c>
      <c r="AO4726" s="498">
        <f t="shared" si="1624"/>
        <v>0</v>
      </c>
      <c r="AP4726" s="498">
        <f t="shared" si="1643"/>
        <v>0</v>
      </c>
      <c r="AQ4726" s="498">
        <f t="shared" si="1638"/>
        <v>0</v>
      </c>
      <c r="AU4726" s="498">
        <f t="shared" si="1625"/>
        <v>0</v>
      </c>
      <c r="AV4726" s="498">
        <f t="shared" si="1626"/>
        <v>0</v>
      </c>
      <c r="AW4726" s="498">
        <f t="shared" si="1627"/>
        <v>0</v>
      </c>
      <c r="AX4726" s="498">
        <f t="shared" si="1628"/>
        <v>0</v>
      </c>
      <c r="AY4726" s="498">
        <f t="shared" si="1629"/>
        <v>0</v>
      </c>
      <c r="BB4726" s="498" t="str">
        <f t="shared" si="1630"/>
        <v/>
      </c>
      <c r="BC4726" s="743" t="str">
        <f t="shared" si="1631"/>
        <v/>
      </c>
      <c r="BD4726" s="743" t="str">
        <f t="shared" si="1632"/>
        <v/>
      </c>
      <c r="BE4726" s="743" t="str">
        <f>IF(D4726="","",VLOOKUP(D4726,'General Basis'!$J$39:$K$46,2,0))</f>
        <v/>
      </c>
      <c r="BF4726" s="744" t="str">
        <f>IF(D4726="","",VLOOKUP(D4726,'General Basis'!$J$39:$L$46,3,0))</f>
        <v/>
      </c>
      <c r="BG4726" s="744" t="str">
        <f t="shared" si="1639"/>
        <v/>
      </c>
      <c r="BH4726" s="744" t="str">
        <f>IF(G4726="","",IF(BF4726="Abu Dhabi",IF(G4726&lt;18,'General Basis'!$C$39,IF(G4726&lt;41,'General Basis'!$C$40,IF(G4726&lt;60,'General Basis'!$C$41,IF(G4726&lt;65,'General Basis'!$C$42,'General Basis'!$C$43)))),IF(G4726&lt;11,'General Basis'!$B$39,IF(G4726&lt;18,'General Basis'!$B$40,IF(G4726&lt;26,'General Basis'!$B$41,IF(G4726&lt;31,'General Basis'!$B$42,IF(G4726&lt;36,'General Basis'!$B$43,IF(G4726&lt;41,'General Basis'!$B$44,IF(G4726&lt;46,'General Basis'!$B$45,IF(G4726&lt;51,'General Basis'!$B$46,IF(G4726&lt;56,'General Basis'!$B$47,IF(G4726&lt;60,'General Basis'!$B$48,IF(G4726&lt;65,'General Basis'!$B$49,'General Basis'!$B$50)))))))))))))</f>
        <v/>
      </c>
      <c r="BI4726" s="744" t="str">
        <f t="shared" si="1633"/>
        <v/>
      </c>
      <c r="BJ4726" s="747" t="str">
        <f t="shared" si="1640"/>
        <v/>
      </c>
      <c r="BK4726" s="498" t="str">
        <f t="shared" si="1634"/>
        <v/>
      </c>
      <c r="BL4726" s="498" t="str">
        <f t="shared" si="1635"/>
        <v/>
      </c>
    </row>
    <row r="4727" spans="1:64" x14ac:dyDescent="0.25">
      <c r="A4727" s="762">
        <f t="shared" si="1636"/>
        <v>4722</v>
      </c>
      <c r="B4727" s="229"/>
      <c r="C4727" s="223"/>
      <c r="D4727" s="224"/>
      <c r="E4727" s="225"/>
      <c r="F4727" s="1036" t="str">
        <f t="shared" si="1642"/>
        <v/>
      </c>
      <c r="G4727" s="1037" t="str">
        <f t="shared" si="1637"/>
        <v/>
      </c>
      <c r="H4727" s="225"/>
      <c r="I4727" s="1013"/>
      <c r="J4727" s="1013"/>
      <c r="K4727" s="1028"/>
      <c r="L4727" s="1035" t="str">
        <f t="shared" si="1641"/>
        <v/>
      </c>
      <c r="S4727" s="498"/>
      <c r="AJ4727" s="498"/>
      <c r="AM4727" s="498">
        <f t="shared" si="1622"/>
        <v>0</v>
      </c>
      <c r="AN4727" s="498">
        <f t="shared" si="1623"/>
        <v>0</v>
      </c>
      <c r="AO4727" s="498">
        <f t="shared" si="1624"/>
        <v>0</v>
      </c>
      <c r="AP4727" s="498">
        <f t="shared" si="1643"/>
        <v>0</v>
      </c>
      <c r="AQ4727" s="498">
        <f t="shared" si="1638"/>
        <v>0</v>
      </c>
      <c r="AU4727" s="498">
        <f t="shared" si="1625"/>
        <v>0</v>
      </c>
      <c r="AV4727" s="498">
        <f t="shared" si="1626"/>
        <v>0</v>
      </c>
      <c r="AW4727" s="498">
        <f t="shared" si="1627"/>
        <v>0</v>
      </c>
      <c r="AX4727" s="498">
        <f t="shared" si="1628"/>
        <v>0</v>
      </c>
      <c r="AY4727" s="498">
        <f t="shared" si="1629"/>
        <v>0</v>
      </c>
      <c r="BB4727" s="498" t="str">
        <f t="shared" si="1630"/>
        <v/>
      </c>
      <c r="BC4727" s="743" t="str">
        <f t="shared" si="1631"/>
        <v/>
      </c>
      <c r="BD4727" s="743" t="str">
        <f t="shared" si="1632"/>
        <v/>
      </c>
      <c r="BE4727" s="743" t="str">
        <f>IF(D4727="","",VLOOKUP(D4727,'General Basis'!$J$39:$K$46,2,0))</f>
        <v/>
      </c>
      <c r="BF4727" s="744" t="str">
        <f>IF(D4727="","",VLOOKUP(D4727,'General Basis'!$J$39:$L$46,3,0))</f>
        <v/>
      </c>
      <c r="BG4727" s="744" t="str">
        <f t="shared" si="1639"/>
        <v/>
      </c>
      <c r="BH4727" s="744" t="str">
        <f>IF(G4727="","",IF(BF4727="Abu Dhabi",IF(G4727&lt;18,'General Basis'!$C$39,IF(G4727&lt;41,'General Basis'!$C$40,IF(G4727&lt;60,'General Basis'!$C$41,IF(G4727&lt;65,'General Basis'!$C$42,'General Basis'!$C$43)))),IF(G4727&lt;11,'General Basis'!$B$39,IF(G4727&lt;18,'General Basis'!$B$40,IF(G4727&lt;26,'General Basis'!$B$41,IF(G4727&lt;31,'General Basis'!$B$42,IF(G4727&lt;36,'General Basis'!$B$43,IF(G4727&lt;41,'General Basis'!$B$44,IF(G4727&lt;46,'General Basis'!$B$45,IF(G4727&lt;51,'General Basis'!$B$46,IF(G4727&lt;56,'General Basis'!$B$47,IF(G4727&lt;60,'General Basis'!$B$48,IF(G4727&lt;65,'General Basis'!$B$49,'General Basis'!$B$50)))))))))))))</f>
        <v/>
      </c>
      <c r="BI4727" s="744" t="str">
        <f t="shared" si="1633"/>
        <v/>
      </c>
      <c r="BJ4727" s="747" t="str">
        <f t="shared" si="1640"/>
        <v/>
      </c>
      <c r="BK4727" s="498" t="str">
        <f t="shared" si="1634"/>
        <v/>
      </c>
      <c r="BL4727" s="498" t="str">
        <f t="shared" si="1635"/>
        <v/>
      </c>
    </row>
    <row r="4728" spans="1:64" x14ac:dyDescent="0.25">
      <c r="A4728" s="762">
        <f t="shared" si="1636"/>
        <v>4723</v>
      </c>
      <c r="B4728" s="229"/>
      <c r="C4728" s="223"/>
      <c r="D4728" s="224"/>
      <c r="E4728" s="225"/>
      <c r="F4728" s="1036" t="str">
        <f t="shared" si="1642"/>
        <v/>
      </c>
      <c r="G4728" s="1037" t="str">
        <f t="shared" si="1637"/>
        <v/>
      </c>
      <c r="H4728" s="225"/>
      <c r="I4728" s="1013"/>
      <c r="J4728" s="1013"/>
      <c r="K4728" s="1028"/>
      <c r="L4728" s="1035" t="str">
        <f t="shared" si="1641"/>
        <v/>
      </c>
      <c r="S4728" s="498"/>
      <c r="AJ4728" s="498"/>
      <c r="AM4728" s="498">
        <f t="shared" si="1622"/>
        <v>0</v>
      </c>
      <c r="AN4728" s="498">
        <f t="shared" si="1623"/>
        <v>0</v>
      </c>
      <c r="AO4728" s="498">
        <f t="shared" si="1624"/>
        <v>0</v>
      </c>
      <c r="AP4728" s="498">
        <f t="shared" si="1643"/>
        <v>0</v>
      </c>
      <c r="AQ4728" s="498">
        <f t="shared" si="1638"/>
        <v>0</v>
      </c>
      <c r="AU4728" s="498">
        <f t="shared" si="1625"/>
        <v>0</v>
      </c>
      <c r="AV4728" s="498">
        <f t="shared" si="1626"/>
        <v>0</v>
      </c>
      <c r="AW4728" s="498">
        <f t="shared" si="1627"/>
        <v>0</v>
      </c>
      <c r="AX4728" s="498">
        <f t="shared" si="1628"/>
        <v>0</v>
      </c>
      <c r="AY4728" s="498">
        <f t="shared" si="1629"/>
        <v>0</v>
      </c>
      <c r="BB4728" s="498" t="str">
        <f t="shared" si="1630"/>
        <v/>
      </c>
      <c r="BC4728" s="743" t="str">
        <f t="shared" si="1631"/>
        <v/>
      </c>
      <c r="BD4728" s="743" t="str">
        <f t="shared" si="1632"/>
        <v/>
      </c>
      <c r="BE4728" s="743" t="str">
        <f>IF(D4728="","",VLOOKUP(D4728,'General Basis'!$J$39:$K$46,2,0))</f>
        <v/>
      </c>
      <c r="BF4728" s="744" t="str">
        <f>IF(D4728="","",VLOOKUP(D4728,'General Basis'!$J$39:$L$46,3,0))</f>
        <v/>
      </c>
      <c r="BG4728" s="744" t="str">
        <f t="shared" si="1639"/>
        <v/>
      </c>
      <c r="BH4728" s="744" t="str">
        <f>IF(G4728="","",IF(BF4728="Abu Dhabi",IF(G4728&lt;18,'General Basis'!$C$39,IF(G4728&lt;41,'General Basis'!$C$40,IF(G4728&lt;60,'General Basis'!$C$41,IF(G4728&lt;65,'General Basis'!$C$42,'General Basis'!$C$43)))),IF(G4728&lt;11,'General Basis'!$B$39,IF(G4728&lt;18,'General Basis'!$B$40,IF(G4728&lt;26,'General Basis'!$B$41,IF(G4728&lt;31,'General Basis'!$B$42,IF(G4728&lt;36,'General Basis'!$B$43,IF(G4728&lt;41,'General Basis'!$B$44,IF(G4728&lt;46,'General Basis'!$B$45,IF(G4728&lt;51,'General Basis'!$B$46,IF(G4728&lt;56,'General Basis'!$B$47,IF(G4728&lt;60,'General Basis'!$B$48,IF(G4728&lt;65,'General Basis'!$B$49,'General Basis'!$B$50)))))))))))))</f>
        <v/>
      </c>
      <c r="BI4728" s="744" t="str">
        <f t="shared" si="1633"/>
        <v/>
      </c>
      <c r="BJ4728" s="747" t="str">
        <f t="shared" si="1640"/>
        <v/>
      </c>
      <c r="BK4728" s="498" t="str">
        <f t="shared" si="1634"/>
        <v/>
      </c>
      <c r="BL4728" s="498" t="str">
        <f t="shared" si="1635"/>
        <v/>
      </c>
    </row>
    <row r="4729" spans="1:64" x14ac:dyDescent="0.25">
      <c r="A4729" s="762">
        <f t="shared" si="1636"/>
        <v>4724</v>
      </c>
      <c r="B4729" s="229"/>
      <c r="C4729" s="223"/>
      <c r="D4729" s="224"/>
      <c r="E4729" s="225"/>
      <c r="F4729" s="1036" t="str">
        <f t="shared" si="1642"/>
        <v/>
      </c>
      <c r="G4729" s="1037" t="str">
        <f t="shared" si="1637"/>
        <v/>
      </c>
      <c r="H4729" s="225"/>
      <c r="I4729" s="1013"/>
      <c r="J4729" s="1013"/>
      <c r="K4729" s="1028"/>
      <c r="L4729" s="1035" t="str">
        <f t="shared" si="1641"/>
        <v/>
      </c>
      <c r="S4729" s="498"/>
      <c r="AJ4729" s="498"/>
      <c r="AM4729" s="498">
        <f t="shared" si="1622"/>
        <v>0</v>
      </c>
      <c r="AN4729" s="498">
        <f t="shared" si="1623"/>
        <v>0</v>
      </c>
      <c r="AO4729" s="498">
        <f t="shared" si="1624"/>
        <v>0</v>
      </c>
      <c r="AP4729" s="498">
        <f t="shared" si="1643"/>
        <v>0</v>
      </c>
      <c r="AQ4729" s="498">
        <f t="shared" si="1638"/>
        <v>0</v>
      </c>
      <c r="AU4729" s="498">
        <f t="shared" si="1625"/>
        <v>0</v>
      </c>
      <c r="AV4729" s="498">
        <f t="shared" si="1626"/>
        <v>0</v>
      </c>
      <c r="AW4729" s="498">
        <f t="shared" si="1627"/>
        <v>0</v>
      </c>
      <c r="AX4729" s="498">
        <f t="shared" si="1628"/>
        <v>0</v>
      </c>
      <c r="AY4729" s="498">
        <f t="shared" si="1629"/>
        <v>0</v>
      </c>
      <c r="BB4729" s="498" t="str">
        <f t="shared" si="1630"/>
        <v/>
      </c>
      <c r="BC4729" s="743" t="str">
        <f t="shared" si="1631"/>
        <v/>
      </c>
      <c r="BD4729" s="743" t="str">
        <f t="shared" si="1632"/>
        <v/>
      </c>
      <c r="BE4729" s="743" t="str">
        <f>IF(D4729="","",VLOOKUP(D4729,'General Basis'!$J$39:$K$46,2,0))</f>
        <v/>
      </c>
      <c r="BF4729" s="744" t="str">
        <f>IF(D4729="","",VLOOKUP(D4729,'General Basis'!$J$39:$L$46,3,0))</f>
        <v/>
      </c>
      <c r="BG4729" s="744" t="str">
        <f t="shared" si="1639"/>
        <v/>
      </c>
      <c r="BH4729" s="744" t="str">
        <f>IF(G4729="","",IF(BF4729="Abu Dhabi",IF(G4729&lt;18,'General Basis'!$C$39,IF(G4729&lt;41,'General Basis'!$C$40,IF(G4729&lt;60,'General Basis'!$C$41,IF(G4729&lt;65,'General Basis'!$C$42,'General Basis'!$C$43)))),IF(G4729&lt;11,'General Basis'!$B$39,IF(G4729&lt;18,'General Basis'!$B$40,IF(G4729&lt;26,'General Basis'!$B$41,IF(G4729&lt;31,'General Basis'!$B$42,IF(G4729&lt;36,'General Basis'!$B$43,IF(G4729&lt;41,'General Basis'!$B$44,IF(G4729&lt;46,'General Basis'!$B$45,IF(G4729&lt;51,'General Basis'!$B$46,IF(G4729&lt;56,'General Basis'!$B$47,IF(G4729&lt;60,'General Basis'!$B$48,IF(G4729&lt;65,'General Basis'!$B$49,'General Basis'!$B$50)))))))))))))</f>
        <v/>
      </c>
      <c r="BI4729" s="744" t="str">
        <f t="shared" si="1633"/>
        <v/>
      </c>
      <c r="BJ4729" s="747" t="str">
        <f t="shared" si="1640"/>
        <v/>
      </c>
      <c r="BK4729" s="498" t="str">
        <f t="shared" si="1634"/>
        <v/>
      </c>
      <c r="BL4729" s="498" t="str">
        <f t="shared" si="1635"/>
        <v/>
      </c>
    </row>
    <row r="4730" spans="1:64" x14ac:dyDescent="0.25">
      <c r="A4730" s="762">
        <f t="shared" si="1636"/>
        <v>4725</v>
      </c>
      <c r="B4730" s="229"/>
      <c r="C4730" s="223"/>
      <c r="D4730" s="224"/>
      <c r="E4730" s="225"/>
      <c r="F4730" s="1036" t="str">
        <f t="shared" si="1642"/>
        <v/>
      </c>
      <c r="G4730" s="1037" t="str">
        <f t="shared" si="1637"/>
        <v/>
      </c>
      <c r="H4730" s="225"/>
      <c r="I4730" s="1013"/>
      <c r="J4730" s="1013"/>
      <c r="K4730" s="1028"/>
      <c r="L4730" s="1035" t="str">
        <f t="shared" si="1641"/>
        <v/>
      </c>
      <c r="S4730" s="498"/>
      <c r="AJ4730" s="498"/>
      <c r="AM4730" s="498">
        <f t="shared" si="1622"/>
        <v>0</v>
      </c>
      <c r="AN4730" s="498">
        <f t="shared" si="1623"/>
        <v>0</v>
      </c>
      <c r="AO4730" s="498">
        <f t="shared" si="1624"/>
        <v>0</v>
      </c>
      <c r="AP4730" s="498">
        <f t="shared" si="1643"/>
        <v>0</v>
      </c>
      <c r="AQ4730" s="498">
        <f t="shared" si="1638"/>
        <v>0</v>
      </c>
      <c r="AU4730" s="498">
        <f t="shared" si="1625"/>
        <v>0</v>
      </c>
      <c r="AV4730" s="498">
        <f t="shared" si="1626"/>
        <v>0</v>
      </c>
      <c r="AW4730" s="498">
        <f t="shared" si="1627"/>
        <v>0</v>
      </c>
      <c r="AX4730" s="498">
        <f t="shared" si="1628"/>
        <v>0</v>
      </c>
      <c r="AY4730" s="498">
        <f t="shared" si="1629"/>
        <v>0</v>
      </c>
      <c r="BB4730" s="498" t="str">
        <f t="shared" si="1630"/>
        <v/>
      </c>
      <c r="BC4730" s="743" t="str">
        <f t="shared" si="1631"/>
        <v/>
      </c>
      <c r="BD4730" s="743" t="str">
        <f t="shared" si="1632"/>
        <v/>
      </c>
      <c r="BE4730" s="743" t="str">
        <f>IF(D4730="","",VLOOKUP(D4730,'General Basis'!$J$39:$K$46,2,0))</f>
        <v/>
      </c>
      <c r="BF4730" s="744" t="str">
        <f>IF(D4730="","",VLOOKUP(D4730,'General Basis'!$J$39:$L$46,3,0))</f>
        <v/>
      </c>
      <c r="BG4730" s="744" t="str">
        <f t="shared" si="1639"/>
        <v/>
      </c>
      <c r="BH4730" s="744" t="str">
        <f>IF(G4730="","",IF(BF4730="Abu Dhabi",IF(G4730&lt;18,'General Basis'!$C$39,IF(G4730&lt;41,'General Basis'!$C$40,IF(G4730&lt;60,'General Basis'!$C$41,IF(G4730&lt;65,'General Basis'!$C$42,'General Basis'!$C$43)))),IF(G4730&lt;11,'General Basis'!$B$39,IF(G4730&lt;18,'General Basis'!$B$40,IF(G4730&lt;26,'General Basis'!$B$41,IF(G4730&lt;31,'General Basis'!$B$42,IF(G4730&lt;36,'General Basis'!$B$43,IF(G4730&lt;41,'General Basis'!$B$44,IF(G4730&lt;46,'General Basis'!$B$45,IF(G4730&lt;51,'General Basis'!$B$46,IF(G4730&lt;56,'General Basis'!$B$47,IF(G4730&lt;60,'General Basis'!$B$48,IF(G4730&lt;65,'General Basis'!$B$49,'General Basis'!$B$50)))))))))))))</f>
        <v/>
      </c>
      <c r="BI4730" s="744" t="str">
        <f t="shared" si="1633"/>
        <v/>
      </c>
      <c r="BJ4730" s="747" t="str">
        <f t="shared" si="1640"/>
        <v/>
      </c>
      <c r="BK4730" s="498" t="str">
        <f t="shared" si="1634"/>
        <v/>
      </c>
      <c r="BL4730" s="498" t="str">
        <f t="shared" si="1635"/>
        <v/>
      </c>
    </row>
    <row r="4731" spans="1:64" x14ac:dyDescent="0.25">
      <c r="A4731" s="762">
        <f t="shared" si="1636"/>
        <v>4726</v>
      </c>
      <c r="B4731" s="229"/>
      <c r="C4731" s="223"/>
      <c r="D4731" s="224"/>
      <c r="E4731" s="225"/>
      <c r="F4731" s="1036" t="str">
        <f t="shared" si="1642"/>
        <v/>
      </c>
      <c r="G4731" s="1037" t="str">
        <f t="shared" si="1637"/>
        <v/>
      </c>
      <c r="H4731" s="225"/>
      <c r="I4731" s="1013"/>
      <c r="J4731" s="1013"/>
      <c r="K4731" s="1028"/>
      <c r="L4731" s="1035" t="str">
        <f t="shared" si="1641"/>
        <v/>
      </c>
      <c r="S4731" s="498"/>
      <c r="AJ4731" s="498"/>
      <c r="AM4731" s="498">
        <f t="shared" si="1622"/>
        <v>0</v>
      </c>
      <c r="AN4731" s="498">
        <f t="shared" si="1623"/>
        <v>0</v>
      </c>
      <c r="AO4731" s="498">
        <f t="shared" si="1624"/>
        <v>0</v>
      </c>
      <c r="AP4731" s="498">
        <f t="shared" si="1643"/>
        <v>0</v>
      </c>
      <c r="AQ4731" s="498">
        <f t="shared" si="1638"/>
        <v>0</v>
      </c>
      <c r="AU4731" s="498">
        <f t="shared" si="1625"/>
        <v>0</v>
      </c>
      <c r="AV4731" s="498">
        <f t="shared" si="1626"/>
        <v>0</v>
      </c>
      <c r="AW4731" s="498">
        <f t="shared" si="1627"/>
        <v>0</v>
      </c>
      <c r="AX4731" s="498">
        <f t="shared" si="1628"/>
        <v>0</v>
      </c>
      <c r="AY4731" s="498">
        <f t="shared" si="1629"/>
        <v>0</v>
      </c>
      <c r="BB4731" s="498" t="str">
        <f t="shared" si="1630"/>
        <v/>
      </c>
      <c r="BC4731" s="743" t="str">
        <f t="shared" si="1631"/>
        <v/>
      </c>
      <c r="BD4731" s="743" t="str">
        <f t="shared" si="1632"/>
        <v/>
      </c>
      <c r="BE4731" s="743" t="str">
        <f>IF(D4731="","",VLOOKUP(D4731,'General Basis'!$J$39:$K$46,2,0))</f>
        <v/>
      </c>
      <c r="BF4731" s="744" t="str">
        <f>IF(D4731="","",VLOOKUP(D4731,'General Basis'!$J$39:$L$46,3,0))</f>
        <v/>
      </c>
      <c r="BG4731" s="744" t="str">
        <f t="shared" si="1639"/>
        <v/>
      </c>
      <c r="BH4731" s="744" t="str">
        <f>IF(G4731="","",IF(BF4731="Abu Dhabi",IF(G4731&lt;18,'General Basis'!$C$39,IF(G4731&lt;41,'General Basis'!$C$40,IF(G4731&lt;60,'General Basis'!$C$41,IF(G4731&lt;65,'General Basis'!$C$42,'General Basis'!$C$43)))),IF(G4731&lt;11,'General Basis'!$B$39,IF(G4731&lt;18,'General Basis'!$B$40,IF(G4731&lt;26,'General Basis'!$B$41,IF(G4731&lt;31,'General Basis'!$B$42,IF(G4731&lt;36,'General Basis'!$B$43,IF(G4731&lt;41,'General Basis'!$B$44,IF(G4731&lt;46,'General Basis'!$B$45,IF(G4731&lt;51,'General Basis'!$B$46,IF(G4731&lt;56,'General Basis'!$B$47,IF(G4731&lt;60,'General Basis'!$B$48,IF(G4731&lt;65,'General Basis'!$B$49,'General Basis'!$B$50)))))))))))))</f>
        <v/>
      </c>
      <c r="BI4731" s="744" t="str">
        <f t="shared" si="1633"/>
        <v/>
      </c>
      <c r="BJ4731" s="747" t="str">
        <f t="shared" si="1640"/>
        <v/>
      </c>
      <c r="BK4731" s="498" t="str">
        <f t="shared" si="1634"/>
        <v/>
      </c>
      <c r="BL4731" s="498" t="str">
        <f t="shared" si="1635"/>
        <v/>
      </c>
    </row>
    <row r="4732" spans="1:64" x14ac:dyDescent="0.25">
      <c r="A4732" s="762">
        <f t="shared" si="1636"/>
        <v>4727</v>
      </c>
      <c r="B4732" s="229"/>
      <c r="C4732" s="223"/>
      <c r="D4732" s="224"/>
      <c r="E4732" s="225"/>
      <c r="F4732" s="1036" t="str">
        <f t="shared" si="1642"/>
        <v/>
      </c>
      <c r="G4732" s="1037" t="str">
        <f t="shared" si="1637"/>
        <v/>
      </c>
      <c r="H4732" s="225"/>
      <c r="I4732" s="1013"/>
      <c r="J4732" s="1013"/>
      <c r="K4732" s="1028"/>
      <c r="L4732" s="1035" t="str">
        <f t="shared" si="1641"/>
        <v/>
      </c>
      <c r="S4732" s="498"/>
      <c r="AJ4732" s="498"/>
      <c r="AM4732" s="498">
        <f t="shared" si="1622"/>
        <v>0</v>
      </c>
      <c r="AN4732" s="498">
        <f t="shared" si="1623"/>
        <v>0</v>
      </c>
      <c r="AO4732" s="498">
        <f t="shared" si="1624"/>
        <v>0</v>
      </c>
      <c r="AP4732" s="498">
        <f t="shared" si="1643"/>
        <v>0</v>
      </c>
      <c r="AQ4732" s="498">
        <f t="shared" si="1638"/>
        <v>0</v>
      </c>
      <c r="AU4732" s="498">
        <f t="shared" si="1625"/>
        <v>0</v>
      </c>
      <c r="AV4732" s="498">
        <f t="shared" si="1626"/>
        <v>0</v>
      </c>
      <c r="AW4732" s="498">
        <f t="shared" si="1627"/>
        <v>0</v>
      </c>
      <c r="AX4732" s="498">
        <f t="shared" si="1628"/>
        <v>0</v>
      </c>
      <c r="AY4732" s="498">
        <f t="shared" si="1629"/>
        <v>0</v>
      </c>
      <c r="BB4732" s="498" t="str">
        <f t="shared" si="1630"/>
        <v/>
      </c>
      <c r="BC4732" s="743" t="str">
        <f t="shared" si="1631"/>
        <v/>
      </c>
      <c r="BD4732" s="743" t="str">
        <f t="shared" si="1632"/>
        <v/>
      </c>
      <c r="BE4732" s="743" t="str">
        <f>IF(D4732="","",VLOOKUP(D4732,'General Basis'!$J$39:$K$46,2,0))</f>
        <v/>
      </c>
      <c r="BF4732" s="744" t="str">
        <f>IF(D4732="","",VLOOKUP(D4732,'General Basis'!$J$39:$L$46,3,0))</f>
        <v/>
      </c>
      <c r="BG4732" s="744" t="str">
        <f t="shared" si="1639"/>
        <v/>
      </c>
      <c r="BH4732" s="744" t="str">
        <f>IF(G4732="","",IF(BF4732="Abu Dhabi",IF(G4732&lt;18,'General Basis'!$C$39,IF(G4732&lt;41,'General Basis'!$C$40,IF(G4732&lt;60,'General Basis'!$C$41,IF(G4732&lt;65,'General Basis'!$C$42,'General Basis'!$C$43)))),IF(G4732&lt;11,'General Basis'!$B$39,IF(G4732&lt;18,'General Basis'!$B$40,IF(G4732&lt;26,'General Basis'!$B$41,IF(G4732&lt;31,'General Basis'!$B$42,IF(G4732&lt;36,'General Basis'!$B$43,IF(G4732&lt;41,'General Basis'!$B$44,IF(G4732&lt;46,'General Basis'!$B$45,IF(G4732&lt;51,'General Basis'!$B$46,IF(G4732&lt;56,'General Basis'!$B$47,IF(G4732&lt;60,'General Basis'!$B$48,IF(G4732&lt;65,'General Basis'!$B$49,'General Basis'!$B$50)))))))))))))</f>
        <v/>
      </c>
      <c r="BI4732" s="744" t="str">
        <f t="shared" si="1633"/>
        <v/>
      </c>
      <c r="BJ4732" s="747" t="str">
        <f t="shared" si="1640"/>
        <v/>
      </c>
      <c r="BK4732" s="498" t="str">
        <f t="shared" si="1634"/>
        <v/>
      </c>
      <c r="BL4732" s="498" t="str">
        <f t="shared" si="1635"/>
        <v/>
      </c>
    </row>
    <row r="4733" spans="1:64" x14ac:dyDescent="0.25">
      <c r="A4733" s="762">
        <f t="shared" si="1636"/>
        <v>4728</v>
      </c>
      <c r="B4733" s="229"/>
      <c r="C4733" s="223"/>
      <c r="D4733" s="224"/>
      <c r="E4733" s="225"/>
      <c r="F4733" s="1036" t="str">
        <f t="shared" si="1642"/>
        <v/>
      </c>
      <c r="G4733" s="1037" t="str">
        <f t="shared" si="1637"/>
        <v/>
      </c>
      <c r="H4733" s="225"/>
      <c r="I4733" s="1013"/>
      <c r="J4733" s="1013"/>
      <c r="K4733" s="1028"/>
      <c r="L4733" s="1035" t="str">
        <f t="shared" si="1641"/>
        <v/>
      </c>
      <c r="S4733" s="498"/>
      <c r="AJ4733" s="498"/>
      <c r="AM4733" s="498">
        <f t="shared" si="1622"/>
        <v>0</v>
      </c>
      <c r="AN4733" s="498">
        <f t="shared" si="1623"/>
        <v>0</v>
      </c>
      <c r="AO4733" s="498">
        <f t="shared" si="1624"/>
        <v>0</v>
      </c>
      <c r="AP4733" s="498">
        <f t="shared" si="1643"/>
        <v>0</v>
      </c>
      <c r="AQ4733" s="498">
        <f t="shared" si="1638"/>
        <v>0</v>
      </c>
      <c r="AU4733" s="498">
        <f t="shared" si="1625"/>
        <v>0</v>
      </c>
      <c r="AV4733" s="498">
        <f t="shared" si="1626"/>
        <v>0</v>
      </c>
      <c r="AW4733" s="498">
        <f t="shared" si="1627"/>
        <v>0</v>
      </c>
      <c r="AX4733" s="498">
        <f t="shared" si="1628"/>
        <v>0</v>
      </c>
      <c r="AY4733" s="498">
        <f t="shared" si="1629"/>
        <v>0</v>
      </c>
      <c r="BB4733" s="498" t="str">
        <f t="shared" si="1630"/>
        <v/>
      </c>
      <c r="BC4733" s="743" t="str">
        <f t="shared" si="1631"/>
        <v/>
      </c>
      <c r="BD4733" s="743" t="str">
        <f t="shared" si="1632"/>
        <v/>
      </c>
      <c r="BE4733" s="743" t="str">
        <f>IF(D4733="","",VLOOKUP(D4733,'General Basis'!$J$39:$K$46,2,0))</f>
        <v/>
      </c>
      <c r="BF4733" s="744" t="str">
        <f>IF(D4733="","",VLOOKUP(D4733,'General Basis'!$J$39:$L$46,3,0))</f>
        <v/>
      </c>
      <c r="BG4733" s="744" t="str">
        <f t="shared" si="1639"/>
        <v/>
      </c>
      <c r="BH4733" s="744" t="str">
        <f>IF(G4733="","",IF(BF4733="Abu Dhabi",IF(G4733&lt;18,'General Basis'!$C$39,IF(G4733&lt;41,'General Basis'!$C$40,IF(G4733&lt;60,'General Basis'!$C$41,IF(G4733&lt;65,'General Basis'!$C$42,'General Basis'!$C$43)))),IF(G4733&lt;11,'General Basis'!$B$39,IF(G4733&lt;18,'General Basis'!$B$40,IF(G4733&lt;26,'General Basis'!$B$41,IF(G4733&lt;31,'General Basis'!$B$42,IF(G4733&lt;36,'General Basis'!$B$43,IF(G4733&lt;41,'General Basis'!$B$44,IF(G4733&lt;46,'General Basis'!$B$45,IF(G4733&lt;51,'General Basis'!$B$46,IF(G4733&lt;56,'General Basis'!$B$47,IF(G4733&lt;60,'General Basis'!$B$48,IF(G4733&lt;65,'General Basis'!$B$49,'General Basis'!$B$50)))))))))))))</f>
        <v/>
      </c>
      <c r="BI4733" s="744" t="str">
        <f t="shared" si="1633"/>
        <v/>
      </c>
      <c r="BJ4733" s="747" t="str">
        <f t="shared" si="1640"/>
        <v/>
      </c>
      <c r="BK4733" s="498" t="str">
        <f t="shared" si="1634"/>
        <v/>
      </c>
      <c r="BL4733" s="498" t="str">
        <f t="shared" si="1635"/>
        <v/>
      </c>
    </row>
    <row r="4734" spans="1:64" x14ac:dyDescent="0.25">
      <c r="A4734" s="762">
        <f t="shared" si="1636"/>
        <v>4729</v>
      </c>
      <c r="B4734" s="229"/>
      <c r="C4734" s="223"/>
      <c r="D4734" s="224"/>
      <c r="E4734" s="225"/>
      <c r="F4734" s="1036" t="str">
        <f t="shared" si="1642"/>
        <v/>
      </c>
      <c r="G4734" s="1037" t="str">
        <f t="shared" si="1637"/>
        <v/>
      </c>
      <c r="H4734" s="225"/>
      <c r="I4734" s="1013"/>
      <c r="J4734" s="1013"/>
      <c r="K4734" s="1028"/>
      <c r="L4734" s="1035" t="str">
        <f t="shared" si="1641"/>
        <v/>
      </c>
      <c r="S4734" s="498"/>
      <c r="AJ4734" s="498"/>
      <c r="AM4734" s="498">
        <f t="shared" si="1622"/>
        <v>0</v>
      </c>
      <c r="AN4734" s="498">
        <f t="shared" si="1623"/>
        <v>0</v>
      </c>
      <c r="AO4734" s="498">
        <f t="shared" si="1624"/>
        <v>0</v>
      </c>
      <c r="AP4734" s="498">
        <f t="shared" si="1643"/>
        <v>0</v>
      </c>
      <c r="AQ4734" s="498">
        <f t="shared" si="1638"/>
        <v>0</v>
      </c>
      <c r="AU4734" s="498">
        <f t="shared" si="1625"/>
        <v>0</v>
      </c>
      <c r="AV4734" s="498">
        <f t="shared" si="1626"/>
        <v>0</v>
      </c>
      <c r="AW4734" s="498">
        <f t="shared" si="1627"/>
        <v>0</v>
      </c>
      <c r="AX4734" s="498">
        <f t="shared" si="1628"/>
        <v>0</v>
      </c>
      <c r="AY4734" s="498">
        <f t="shared" si="1629"/>
        <v>0</v>
      </c>
      <c r="BB4734" s="498" t="str">
        <f t="shared" si="1630"/>
        <v/>
      </c>
      <c r="BC4734" s="743" t="str">
        <f t="shared" si="1631"/>
        <v/>
      </c>
      <c r="BD4734" s="743" t="str">
        <f t="shared" si="1632"/>
        <v/>
      </c>
      <c r="BE4734" s="743" t="str">
        <f>IF(D4734="","",VLOOKUP(D4734,'General Basis'!$J$39:$K$46,2,0))</f>
        <v/>
      </c>
      <c r="BF4734" s="744" t="str">
        <f>IF(D4734="","",VLOOKUP(D4734,'General Basis'!$J$39:$L$46,3,0))</f>
        <v/>
      </c>
      <c r="BG4734" s="744" t="str">
        <f t="shared" si="1639"/>
        <v/>
      </c>
      <c r="BH4734" s="744" t="str">
        <f>IF(G4734="","",IF(BF4734="Abu Dhabi",IF(G4734&lt;18,'General Basis'!$C$39,IF(G4734&lt;41,'General Basis'!$C$40,IF(G4734&lt;60,'General Basis'!$C$41,IF(G4734&lt;65,'General Basis'!$C$42,'General Basis'!$C$43)))),IF(G4734&lt;11,'General Basis'!$B$39,IF(G4734&lt;18,'General Basis'!$B$40,IF(G4734&lt;26,'General Basis'!$B$41,IF(G4734&lt;31,'General Basis'!$B$42,IF(G4734&lt;36,'General Basis'!$B$43,IF(G4734&lt;41,'General Basis'!$B$44,IF(G4734&lt;46,'General Basis'!$B$45,IF(G4734&lt;51,'General Basis'!$B$46,IF(G4734&lt;56,'General Basis'!$B$47,IF(G4734&lt;60,'General Basis'!$B$48,IF(G4734&lt;65,'General Basis'!$B$49,'General Basis'!$B$50)))))))))))))</f>
        <v/>
      </c>
      <c r="BI4734" s="744" t="str">
        <f t="shared" si="1633"/>
        <v/>
      </c>
      <c r="BJ4734" s="747" t="str">
        <f t="shared" si="1640"/>
        <v/>
      </c>
      <c r="BK4734" s="498" t="str">
        <f t="shared" si="1634"/>
        <v/>
      </c>
      <c r="BL4734" s="498" t="str">
        <f t="shared" si="1635"/>
        <v/>
      </c>
    </row>
    <row r="4735" spans="1:64" x14ac:dyDescent="0.25">
      <c r="A4735" s="762">
        <f t="shared" si="1636"/>
        <v>4730</v>
      </c>
      <c r="B4735" s="229"/>
      <c r="C4735" s="223"/>
      <c r="D4735" s="224"/>
      <c r="E4735" s="225"/>
      <c r="F4735" s="1036" t="str">
        <f t="shared" si="1642"/>
        <v/>
      </c>
      <c r="G4735" s="1037" t="str">
        <f t="shared" si="1637"/>
        <v/>
      </c>
      <c r="H4735" s="225"/>
      <c r="I4735" s="1013"/>
      <c r="J4735" s="1013"/>
      <c r="K4735" s="1028"/>
      <c r="L4735" s="1035" t="str">
        <f t="shared" si="1641"/>
        <v/>
      </c>
      <c r="S4735" s="498"/>
      <c r="AJ4735" s="498"/>
      <c r="AM4735" s="498">
        <f t="shared" si="1622"/>
        <v>0</v>
      </c>
      <c r="AN4735" s="498">
        <f t="shared" si="1623"/>
        <v>0</v>
      </c>
      <c r="AO4735" s="498">
        <f t="shared" si="1624"/>
        <v>0</v>
      </c>
      <c r="AP4735" s="498">
        <f t="shared" si="1643"/>
        <v>0</v>
      </c>
      <c r="AQ4735" s="498">
        <f t="shared" si="1638"/>
        <v>0</v>
      </c>
      <c r="AU4735" s="498">
        <f t="shared" si="1625"/>
        <v>0</v>
      </c>
      <c r="AV4735" s="498">
        <f t="shared" si="1626"/>
        <v>0</v>
      </c>
      <c r="AW4735" s="498">
        <f t="shared" si="1627"/>
        <v>0</v>
      </c>
      <c r="AX4735" s="498">
        <f t="shared" si="1628"/>
        <v>0</v>
      </c>
      <c r="AY4735" s="498">
        <f t="shared" si="1629"/>
        <v>0</v>
      </c>
      <c r="BB4735" s="498" t="str">
        <f t="shared" si="1630"/>
        <v/>
      </c>
      <c r="BC4735" s="743" t="str">
        <f t="shared" si="1631"/>
        <v/>
      </c>
      <c r="BD4735" s="743" t="str">
        <f t="shared" si="1632"/>
        <v/>
      </c>
      <c r="BE4735" s="743" t="str">
        <f>IF(D4735="","",VLOOKUP(D4735,'General Basis'!$J$39:$K$46,2,0))</f>
        <v/>
      </c>
      <c r="BF4735" s="744" t="str">
        <f>IF(D4735="","",VLOOKUP(D4735,'General Basis'!$J$39:$L$46,3,0))</f>
        <v/>
      </c>
      <c r="BG4735" s="744" t="str">
        <f t="shared" si="1639"/>
        <v/>
      </c>
      <c r="BH4735" s="744" t="str">
        <f>IF(G4735="","",IF(BF4735="Abu Dhabi",IF(G4735&lt;18,'General Basis'!$C$39,IF(G4735&lt;41,'General Basis'!$C$40,IF(G4735&lt;60,'General Basis'!$C$41,IF(G4735&lt;65,'General Basis'!$C$42,'General Basis'!$C$43)))),IF(G4735&lt;11,'General Basis'!$B$39,IF(G4735&lt;18,'General Basis'!$B$40,IF(G4735&lt;26,'General Basis'!$B$41,IF(G4735&lt;31,'General Basis'!$B$42,IF(G4735&lt;36,'General Basis'!$B$43,IF(G4735&lt;41,'General Basis'!$B$44,IF(G4735&lt;46,'General Basis'!$B$45,IF(G4735&lt;51,'General Basis'!$B$46,IF(G4735&lt;56,'General Basis'!$B$47,IF(G4735&lt;60,'General Basis'!$B$48,IF(G4735&lt;65,'General Basis'!$B$49,'General Basis'!$B$50)))))))))))))</f>
        <v/>
      </c>
      <c r="BI4735" s="744" t="str">
        <f t="shared" si="1633"/>
        <v/>
      </c>
      <c r="BJ4735" s="747" t="str">
        <f t="shared" si="1640"/>
        <v/>
      </c>
      <c r="BK4735" s="498" t="str">
        <f t="shared" si="1634"/>
        <v/>
      </c>
      <c r="BL4735" s="498" t="str">
        <f t="shared" si="1635"/>
        <v/>
      </c>
    </row>
    <row r="4736" spans="1:64" x14ac:dyDescent="0.25">
      <c r="A4736" s="762">
        <f t="shared" si="1636"/>
        <v>4731</v>
      </c>
      <c r="B4736" s="229"/>
      <c r="C4736" s="223"/>
      <c r="D4736" s="224"/>
      <c r="E4736" s="225"/>
      <c r="F4736" s="1036" t="str">
        <f t="shared" si="1642"/>
        <v/>
      </c>
      <c r="G4736" s="1037" t="str">
        <f t="shared" si="1637"/>
        <v/>
      </c>
      <c r="H4736" s="225"/>
      <c r="I4736" s="1013"/>
      <c r="J4736" s="1013"/>
      <c r="K4736" s="1028"/>
      <c r="L4736" s="1035" t="str">
        <f t="shared" si="1641"/>
        <v/>
      </c>
      <c r="S4736" s="498"/>
      <c r="AJ4736" s="498"/>
      <c r="AM4736" s="498">
        <f t="shared" si="1622"/>
        <v>0</v>
      </c>
      <c r="AN4736" s="498">
        <f t="shared" si="1623"/>
        <v>0</v>
      </c>
      <c r="AO4736" s="498">
        <f t="shared" si="1624"/>
        <v>0</v>
      </c>
      <c r="AP4736" s="498">
        <f t="shared" si="1643"/>
        <v>0</v>
      </c>
      <c r="AQ4736" s="498">
        <f t="shared" si="1638"/>
        <v>0</v>
      </c>
      <c r="AU4736" s="498">
        <f t="shared" si="1625"/>
        <v>0</v>
      </c>
      <c r="AV4736" s="498">
        <f t="shared" si="1626"/>
        <v>0</v>
      </c>
      <c r="AW4736" s="498">
        <f t="shared" si="1627"/>
        <v>0</v>
      </c>
      <c r="AX4736" s="498">
        <f t="shared" si="1628"/>
        <v>0</v>
      </c>
      <c r="AY4736" s="498">
        <f t="shared" si="1629"/>
        <v>0</v>
      </c>
      <c r="BB4736" s="498" t="str">
        <f t="shared" si="1630"/>
        <v/>
      </c>
      <c r="BC4736" s="743" t="str">
        <f t="shared" si="1631"/>
        <v/>
      </c>
      <c r="BD4736" s="743" t="str">
        <f t="shared" si="1632"/>
        <v/>
      </c>
      <c r="BE4736" s="743" t="str">
        <f>IF(D4736="","",VLOOKUP(D4736,'General Basis'!$J$39:$K$46,2,0))</f>
        <v/>
      </c>
      <c r="BF4736" s="744" t="str">
        <f>IF(D4736="","",VLOOKUP(D4736,'General Basis'!$J$39:$L$46,3,0))</f>
        <v/>
      </c>
      <c r="BG4736" s="744" t="str">
        <f t="shared" si="1639"/>
        <v/>
      </c>
      <c r="BH4736" s="744" t="str">
        <f>IF(G4736="","",IF(BF4736="Abu Dhabi",IF(G4736&lt;18,'General Basis'!$C$39,IF(G4736&lt;41,'General Basis'!$C$40,IF(G4736&lt;60,'General Basis'!$C$41,IF(G4736&lt;65,'General Basis'!$C$42,'General Basis'!$C$43)))),IF(G4736&lt;11,'General Basis'!$B$39,IF(G4736&lt;18,'General Basis'!$B$40,IF(G4736&lt;26,'General Basis'!$B$41,IF(G4736&lt;31,'General Basis'!$B$42,IF(G4736&lt;36,'General Basis'!$B$43,IF(G4736&lt;41,'General Basis'!$B$44,IF(G4736&lt;46,'General Basis'!$B$45,IF(G4736&lt;51,'General Basis'!$B$46,IF(G4736&lt;56,'General Basis'!$B$47,IF(G4736&lt;60,'General Basis'!$B$48,IF(G4736&lt;65,'General Basis'!$B$49,'General Basis'!$B$50)))))))))))))</f>
        <v/>
      </c>
      <c r="BI4736" s="744" t="str">
        <f t="shared" si="1633"/>
        <v/>
      </c>
      <c r="BJ4736" s="747" t="str">
        <f t="shared" si="1640"/>
        <v/>
      </c>
      <c r="BK4736" s="498" t="str">
        <f t="shared" si="1634"/>
        <v/>
      </c>
      <c r="BL4736" s="498" t="str">
        <f t="shared" si="1635"/>
        <v/>
      </c>
    </row>
    <row r="4737" spans="1:64" x14ac:dyDescent="0.25">
      <c r="A4737" s="762">
        <f t="shared" si="1636"/>
        <v>4732</v>
      </c>
      <c r="B4737" s="229"/>
      <c r="C4737" s="223"/>
      <c r="D4737" s="224"/>
      <c r="E4737" s="225"/>
      <c r="F4737" s="1036" t="str">
        <f t="shared" si="1642"/>
        <v/>
      </c>
      <c r="G4737" s="1037" t="str">
        <f t="shared" si="1637"/>
        <v/>
      </c>
      <c r="H4737" s="225"/>
      <c r="I4737" s="1013"/>
      <c r="J4737" s="1013"/>
      <c r="K4737" s="1028"/>
      <c r="L4737" s="1035" t="str">
        <f t="shared" si="1641"/>
        <v/>
      </c>
      <c r="S4737" s="498"/>
      <c r="AJ4737" s="498"/>
      <c r="AM4737" s="498">
        <f t="shared" si="1622"/>
        <v>0</v>
      </c>
      <c r="AN4737" s="498">
        <f t="shared" si="1623"/>
        <v>0</v>
      </c>
      <c r="AO4737" s="498">
        <f t="shared" si="1624"/>
        <v>0</v>
      </c>
      <c r="AP4737" s="498">
        <f t="shared" si="1643"/>
        <v>0</v>
      </c>
      <c r="AQ4737" s="498">
        <f t="shared" si="1638"/>
        <v>0</v>
      </c>
      <c r="AU4737" s="498">
        <f t="shared" si="1625"/>
        <v>0</v>
      </c>
      <c r="AV4737" s="498">
        <f t="shared" si="1626"/>
        <v>0</v>
      </c>
      <c r="AW4737" s="498">
        <f t="shared" si="1627"/>
        <v>0</v>
      </c>
      <c r="AX4737" s="498">
        <f t="shared" si="1628"/>
        <v>0</v>
      </c>
      <c r="AY4737" s="498">
        <f t="shared" si="1629"/>
        <v>0</v>
      </c>
      <c r="BB4737" s="498" t="str">
        <f t="shared" si="1630"/>
        <v/>
      </c>
      <c r="BC4737" s="743" t="str">
        <f t="shared" si="1631"/>
        <v/>
      </c>
      <c r="BD4737" s="743" t="str">
        <f t="shared" si="1632"/>
        <v/>
      </c>
      <c r="BE4737" s="743" t="str">
        <f>IF(D4737="","",VLOOKUP(D4737,'General Basis'!$J$39:$K$46,2,0))</f>
        <v/>
      </c>
      <c r="BF4737" s="744" t="str">
        <f>IF(D4737="","",VLOOKUP(D4737,'General Basis'!$J$39:$L$46,3,0))</f>
        <v/>
      </c>
      <c r="BG4737" s="744" t="str">
        <f t="shared" si="1639"/>
        <v/>
      </c>
      <c r="BH4737" s="744" t="str">
        <f>IF(G4737="","",IF(BF4737="Abu Dhabi",IF(G4737&lt;18,'General Basis'!$C$39,IF(G4737&lt;41,'General Basis'!$C$40,IF(G4737&lt;60,'General Basis'!$C$41,IF(G4737&lt;65,'General Basis'!$C$42,'General Basis'!$C$43)))),IF(G4737&lt;11,'General Basis'!$B$39,IF(G4737&lt;18,'General Basis'!$B$40,IF(G4737&lt;26,'General Basis'!$B$41,IF(G4737&lt;31,'General Basis'!$B$42,IF(G4737&lt;36,'General Basis'!$B$43,IF(G4737&lt;41,'General Basis'!$B$44,IF(G4737&lt;46,'General Basis'!$B$45,IF(G4737&lt;51,'General Basis'!$B$46,IF(G4737&lt;56,'General Basis'!$B$47,IF(G4737&lt;60,'General Basis'!$B$48,IF(G4737&lt;65,'General Basis'!$B$49,'General Basis'!$B$50)))))))))))))</f>
        <v/>
      </c>
      <c r="BI4737" s="744" t="str">
        <f t="shared" si="1633"/>
        <v/>
      </c>
      <c r="BJ4737" s="747" t="str">
        <f t="shared" si="1640"/>
        <v/>
      </c>
      <c r="BK4737" s="498" t="str">
        <f t="shared" si="1634"/>
        <v/>
      </c>
      <c r="BL4737" s="498" t="str">
        <f t="shared" si="1635"/>
        <v/>
      </c>
    </row>
    <row r="4738" spans="1:64" x14ac:dyDescent="0.25">
      <c r="A4738" s="762">
        <f t="shared" si="1636"/>
        <v>4733</v>
      </c>
      <c r="B4738" s="229"/>
      <c r="C4738" s="223"/>
      <c r="D4738" s="224"/>
      <c r="E4738" s="225"/>
      <c r="F4738" s="1036" t="str">
        <f t="shared" si="1642"/>
        <v/>
      </c>
      <c r="G4738" s="1037" t="str">
        <f t="shared" si="1637"/>
        <v/>
      </c>
      <c r="H4738" s="225"/>
      <c r="I4738" s="1013"/>
      <c r="J4738" s="1013"/>
      <c r="K4738" s="1028"/>
      <c r="L4738" s="1035" t="str">
        <f t="shared" si="1641"/>
        <v/>
      </c>
      <c r="S4738" s="498"/>
      <c r="AJ4738" s="498"/>
      <c r="AM4738" s="498">
        <f t="shared" si="1622"/>
        <v>0</v>
      </c>
      <c r="AN4738" s="498">
        <f t="shared" si="1623"/>
        <v>0</v>
      </c>
      <c r="AO4738" s="498">
        <f t="shared" si="1624"/>
        <v>0</v>
      </c>
      <c r="AP4738" s="498">
        <f t="shared" si="1643"/>
        <v>0</v>
      </c>
      <c r="AQ4738" s="498">
        <f t="shared" si="1638"/>
        <v>0</v>
      </c>
      <c r="AU4738" s="498">
        <f t="shared" si="1625"/>
        <v>0</v>
      </c>
      <c r="AV4738" s="498">
        <f t="shared" si="1626"/>
        <v>0</v>
      </c>
      <c r="AW4738" s="498">
        <f t="shared" si="1627"/>
        <v>0</v>
      </c>
      <c r="AX4738" s="498">
        <f t="shared" si="1628"/>
        <v>0</v>
      </c>
      <c r="AY4738" s="498">
        <f t="shared" si="1629"/>
        <v>0</v>
      </c>
      <c r="BB4738" s="498" t="str">
        <f t="shared" si="1630"/>
        <v/>
      </c>
      <c r="BC4738" s="743" t="str">
        <f t="shared" si="1631"/>
        <v/>
      </c>
      <c r="BD4738" s="743" t="str">
        <f t="shared" si="1632"/>
        <v/>
      </c>
      <c r="BE4738" s="743" t="str">
        <f>IF(D4738="","",VLOOKUP(D4738,'General Basis'!$J$39:$K$46,2,0))</f>
        <v/>
      </c>
      <c r="BF4738" s="744" t="str">
        <f>IF(D4738="","",VLOOKUP(D4738,'General Basis'!$J$39:$L$46,3,0))</f>
        <v/>
      </c>
      <c r="BG4738" s="744" t="str">
        <f t="shared" si="1639"/>
        <v/>
      </c>
      <c r="BH4738" s="744" t="str">
        <f>IF(G4738="","",IF(BF4738="Abu Dhabi",IF(G4738&lt;18,'General Basis'!$C$39,IF(G4738&lt;41,'General Basis'!$C$40,IF(G4738&lt;60,'General Basis'!$C$41,IF(G4738&lt;65,'General Basis'!$C$42,'General Basis'!$C$43)))),IF(G4738&lt;11,'General Basis'!$B$39,IF(G4738&lt;18,'General Basis'!$B$40,IF(G4738&lt;26,'General Basis'!$B$41,IF(G4738&lt;31,'General Basis'!$B$42,IF(G4738&lt;36,'General Basis'!$B$43,IF(G4738&lt;41,'General Basis'!$B$44,IF(G4738&lt;46,'General Basis'!$B$45,IF(G4738&lt;51,'General Basis'!$B$46,IF(G4738&lt;56,'General Basis'!$B$47,IF(G4738&lt;60,'General Basis'!$B$48,IF(G4738&lt;65,'General Basis'!$B$49,'General Basis'!$B$50)))))))))))))</f>
        <v/>
      </c>
      <c r="BI4738" s="744" t="str">
        <f t="shared" si="1633"/>
        <v/>
      </c>
      <c r="BJ4738" s="747" t="str">
        <f t="shared" si="1640"/>
        <v/>
      </c>
      <c r="BK4738" s="498" t="str">
        <f t="shared" si="1634"/>
        <v/>
      </c>
      <c r="BL4738" s="498" t="str">
        <f t="shared" si="1635"/>
        <v/>
      </c>
    </row>
    <row r="4739" spans="1:64" x14ac:dyDescent="0.25">
      <c r="A4739" s="762">
        <f t="shared" si="1636"/>
        <v>4734</v>
      </c>
      <c r="B4739" s="229"/>
      <c r="C4739" s="223"/>
      <c r="D4739" s="224"/>
      <c r="E4739" s="225"/>
      <c r="F4739" s="1036" t="str">
        <f t="shared" si="1642"/>
        <v/>
      </c>
      <c r="G4739" s="1037" t="str">
        <f t="shared" si="1637"/>
        <v/>
      </c>
      <c r="H4739" s="225"/>
      <c r="I4739" s="1013"/>
      <c r="J4739" s="1013"/>
      <c r="K4739" s="1028"/>
      <c r="L4739" s="1035" t="str">
        <f t="shared" si="1641"/>
        <v/>
      </c>
      <c r="S4739" s="498"/>
      <c r="AJ4739" s="498"/>
      <c r="AM4739" s="498">
        <f t="shared" si="1622"/>
        <v>0</v>
      </c>
      <c r="AN4739" s="498">
        <f t="shared" si="1623"/>
        <v>0</v>
      </c>
      <c r="AO4739" s="498">
        <f t="shared" si="1624"/>
        <v>0</v>
      </c>
      <c r="AP4739" s="498">
        <f t="shared" si="1643"/>
        <v>0</v>
      </c>
      <c r="AQ4739" s="498">
        <f t="shared" si="1638"/>
        <v>0</v>
      </c>
      <c r="AU4739" s="498">
        <f t="shared" si="1625"/>
        <v>0</v>
      </c>
      <c r="AV4739" s="498">
        <f t="shared" si="1626"/>
        <v>0</v>
      </c>
      <c r="AW4739" s="498">
        <f t="shared" si="1627"/>
        <v>0</v>
      </c>
      <c r="AX4739" s="498">
        <f t="shared" si="1628"/>
        <v>0</v>
      </c>
      <c r="AY4739" s="498">
        <f t="shared" si="1629"/>
        <v>0</v>
      </c>
      <c r="BB4739" s="498" t="str">
        <f t="shared" si="1630"/>
        <v/>
      </c>
      <c r="BC4739" s="743" t="str">
        <f t="shared" si="1631"/>
        <v/>
      </c>
      <c r="BD4739" s="743" t="str">
        <f t="shared" si="1632"/>
        <v/>
      </c>
      <c r="BE4739" s="743" t="str">
        <f>IF(D4739="","",VLOOKUP(D4739,'General Basis'!$J$39:$K$46,2,0))</f>
        <v/>
      </c>
      <c r="BF4739" s="744" t="str">
        <f>IF(D4739="","",VLOOKUP(D4739,'General Basis'!$J$39:$L$46,3,0))</f>
        <v/>
      </c>
      <c r="BG4739" s="744" t="str">
        <f t="shared" si="1639"/>
        <v/>
      </c>
      <c r="BH4739" s="744" t="str">
        <f>IF(G4739="","",IF(BF4739="Abu Dhabi",IF(G4739&lt;18,'General Basis'!$C$39,IF(G4739&lt;41,'General Basis'!$C$40,IF(G4739&lt;60,'General Basis'!$C$41,IF(G4739&lt;65,'General Basis'!$C$42,'General Basis'!$C$43)))),IF(G4739&lt;11,'General Basis'!$B$39,IF(G4739&lt;18,'General Basis'!$B$40,IF(G4739&lt;26,'General Basis'!$B$41,IF(G4739&lt;31,'General Basis'!$B$42,IF(G4739&lt;36,'General Basis'!$B$43,IF(G4739&lt;41,'General Basis'!$B$44,IF(G4739&lt;46,'General Basis'!$B$45,IF(G4739&lt;51,'General Basis'!$B$46,IF(G4739&lt;56,'General Basis'!$B$47,IF(G4739&lt;60,'General Basis'!$B$48,IF(G4739&lt;65,'General Basis'!$B$49,'General Basis'!$B$50)))))))))))))</f>
        <v/>
      </c>
      <c r="BI4739" s="744" t="str">
        <f t="shared" si="1633"/>
        <v/>
      </c>
      <c r="BJ4739" s="747" t="str">
        <f t="shared" si="1640"/>
        <v/>
      </c>
      <c r="BK4739" s="498" t="str">
        <f t="shared" si="1634"/>
        <v/>
      </c>
      <c r="BL4739" s="498" t="str">
        <f t="shared" si="1635"/>
        <v/>
      </c>
    </row>
    <row r="4740" spans="1:64" x14ac:dyDescent="0.25">
      <c r="A4740" s="762">
        <f t="shared" si="1636"/>
        <v>4735</v>
      </c>
      <c r="B4740" s="229"/>
      <c r="C4740" s="223"/>
      <c r="D4740" s="224"/>
      <c r="E4740" s="225"/>
      <c r="F4740" s="1036" t="str">
        <f t="shared" si="1642"/>
        <v/>
      </c>
      <c r="G4740" s="1037" t="str">
        <f t="shared" si="1637"/>
        <v/>
      </c>
      <c r="H4740" s="225"/>
      <c r="I4740" s="1013"/>
      <c r="J4740" s="1013"/>
      <c r="K4740" s="1028"/>
      <c r="L4740" s="1035" t="str">
        <f t="shared" si="1641"/>
        <v/>
      </c>
      <c r="S4740" s="498"/>
      <c r="AJ4740" s="498"/>
      <c r="AM4740" s="498">
        <f t="shared" si="1622"/>
        <v>0</v>
      </c>
      <c r="AN4740" s="498">
        <f t="shared" si="1623"/>
        <v>0</v>
      </c>
      <c r="AO4740" s="498">
        <f t="shared" si="1624"/>
        <v>0</v>
      </c>
      <c r="AP4740" s="498">
        <f t="shared" si="1643"/>
        <v>0</v>
      </c>
      <c r="AQ4740" s="498">
        <f t="shared" si="1638"/>
        <v>0</v>
      </c>
      <c r="AU4740" s="498">
        <f t="shared" si="1625"/>
        <v>0</v>
      </c>
      <c r="AV4740" s="498">
        <f t="shared" si="1626"/>
        <v>0</v>
      </c>
      <c r="AW4740" s="498">
        <f t="shared" si="1627"/>
        <v>0</v>
      </c>
      <c r="AX4740" s="498">
        <f t="shared" si="1628"/>
        <v>0</v>
      </c>
      <c r="AY4740" s="498">
        <f t="shared" si="1629"/>
        <v>0</v>
      </c>
      <c r="BB4740" s="498" t="str">
        <f t="shared" si="1630"/>
        <v/>
      </c>
      <c r="BC4740" s="743" t="str">
        <f t="shared" si="1631"/>
        <v/>
      </c>
      <c r="BD4740" s="743" t="str">
        <f t="shared" si="1632"/>
        <v/>
      </c>
      <c r="BE4740" s="743" t="str">
        <f>IF(D4740="","",VLOOKUP(D4740,'General Basis'!$J$39:$K$46,2,0))</f>
        <v/>
      </c>
      <c r="BF4740" s="744" t="str">
        <f>IF(D4740="","",VLOOKUP(D4740,'General Basis'!$J$39:$L$46,3,0))</f>
        <v/>
      </c>
      <c r="BG4740" s="744" t="str">
        <f t="shared" si="1639"/>
        <v/>
      </c>
      <c r="BH4740" s="744" t="str">
        <f>IF(G4740="","",IF(BF4740="Abu Dhabi",IF(G4740&lt;18,'General Basis'!$C$39,IF(G4740&lt;41,'General Basis'!$C$40,IF(G4740&lt;60,'General Basis'!$C$41,IF(G4740&lt;65,'General Basis'!$C$42,'General Basis'!$C$43)))),IF(G4740&lt;11,'General Basis'!$B$39,IF(G4740&lt;18,'General Basis'!$B$40,IF(G4740&lt;26,'General Basis'!$B$41,IF(G4740&lt;31,'General Basis'!$B$42,IF(G4740&lt;36,'General Basis'!$B$43,IF(G4740&lt;41,'General Basis'!$B$44,IF(G4740&lt;46,'General Basis'!$B$45,IF(G4740&lt;51,'General Basis'!$B$46,IF(G4740&lt;56,'General Basis'!$B$47,IF(G4740&lt;60,'General Basis'!$B$48,IF(G4740&lt;65,'General Basis'!$B$49,'General Basis'!$B$50)))))))))))))</f>
        <v/>
      </c>
      <c r="BI4740" s="744" t="str">
        <f t="shared" si="1633"/>
        <v/>
      </c>
      <c r="BJ4740" s="747" t="str">
        <f t="shared" si="1640"/>
        <v/>
      </c>
      <c r="BK4740" s="498" t="str">
        <f t="shared" si="1634"/>
        <v/>
      </c>
      <c r="BL4740" s="498" t="str">
        <f t="shared" si="1635"/>
        <v/>
      </c>
    </row>
    <row r="4741" spans="1:64" x14ac:dyDescent="0.25">
      <c r="A4741" s="762">
        <f t="shared" si="1636"/>
        <v>4736</v>
      </c>
      <c r="B4741" s="229"/>
      <c r="C4741" s="223"/>
      <c r="D4741" s="224"/>
      <c r="E4741" s="225"/>
      <c r="F4741" s="1036" t="str">
        <f t="shared" si="1642"/>
        <v/>
      </c>
      <c r="G4741" s="1037" t="str">
        <f t="shared" si="1637"/>
        <v/>
      </c>
      <c r="H4741" s="225"/>
      <c r="I4741" s="1013"/>
      <c r="J4741" s="1013"/>
      <c r="K4741" s="1028"/>
      <c r="L4741" s="1035" t="str">
        <f t="shared" si="1641"/>
        <v/>
      </c>
      <c r="S4741" s="498"/>
      <c r="AJ4741" s="498"/>
      <c r="AM4741" s="498">
        <f t="shared" si="1622"/>
        <v>0</v>
      </c>
      <c r="AN4741" s="498">
        <f t="shared" si="1623"/>
        <v>0</v>
      </c>
      <c r="AO4741" s="498">
        <f t="shared" si="1624"/>
        <v>0</v>
      </c>
      <c r="AP4741" s="498">
        <f t="shared" si="1643"/>
        <v>0</v>
      </c>
      <c r="AQ4741" s="498">
        <f t="shared" si="1638"/>
        <v>0</v>
      </c>
      <c r="AU4741" s="498">
        <f t="shared" si="1625"/>
        <v>0</v>
      </c>
      <c r="AV4741" s="498">
        <f t="shared" si="1626"/>
        <v>0</v>
      </c>
      <c r="AW4741" s="498">
        <f t="shared" si="1627"/>
        <v>0</v>
      </c>
      <c r="AX4741" s="498">
        <f t="shared" si="1628"/>
        <v>0</v>
      </c>
      <c r="AY4741" s="498">
        <f t="shared" si="1629"/>
        <v>0</v>
      </c>
      <c r="BB4741" s="498" t="str">
        <f t="shared" si="1630"/>
        <v/>
      </c>
      <c r="BC4741" s="743" t="str">
        <f t="shared" si="1631"/>
        <v/>
      </c>
      <c r="BD4741" s="743" t="str">
        <f t="shared" si="1632"/>
        <v/>
      </c>
      <c r="BE4741" s="743" t="str">
        <f>IF(D4741="","",VLOOKUP(D4741,'General Basis'!$J$39:$K$46,2,0))</f>
        <v/>
      </c>
      <c r="BF4741" s="744" t="str">
        <f>IF(D4741="","",VLOOKUP(D4741,'General Basis'!$J$39:$L$46,3,0))</f>
        <v/>
      </c>
      <c r="BG4741" s="744" t="str">
        <f t="shared" si="1639"/>
        <v/>
      </c>
      <c r="BH4741" s="744" t="str">
        <f>IF(G4741="","",IF(BF4741="Abu Dhabi",IF(G4741&lt;18,'General Basis'!$C$39,IF(G4741&lt;41,'General Basis'!$C$40,IF(G4741&lt;60,'General Basis'!$C$41,IF(G4741&lt;65,'General Basis'!$C$42,'General Basis'!$C$43)))),IF(G4741&lt;11,'General Basis'!$B$39,IF(G4741&lt;18,'General Basis'!$B$40,IF(G4741&lt;26,'General Basis'!$B$41,IF(G4741&lt;31,'General Basis'!$B$42,IF(G4741&lt;36,'General Basis'!$B$43,IF(G4741&lt;41,'General Basis'!$B$44,IF(G4741&lt;46,'General Basis'!$B$45,IF(G4741&lt;51,'General Basis'!$B$46,IF(G4741&lt;56,'General Basis'!$B$47,IF(G4741&lt;60,'General Basis'!$B$48,IF(G4741&lt;65,'General Basis'!$B$49,'General Basis'!$B$50)))))))))))))</f>
        <v/>
      </c>
      <c r="BI4741" s="744" t="str">
        <f t="shared" si="1633"/>
        <v/>
      </c>
      <c r="BJ4741" s="747" t="str">
        <f t="shared" si="1640"/>
        <v/>
      </c>
      <c r="BK4741" s="498" t="str">
        <f t="shared" si="1634"/>
        <v/>
      </c>
      <c r="BL4741" s="498" t="str">
        <f t="shared" si="1635"/>
        <v/>
      </c>
    </row>
    <row r="4742" spans="1:64" x14ac:dyDescent="0.25">
      <c r="A4742" s="762">
        <f t="shared" si="1636"/>
        <v>4737</v>
      </c>
      <c r="B4742" s="229"/>
      <c r="C4742" s="223"/>
      <c r="D4742" s="224"/>
      <c r="E4742" s="225"/>
      <c r="F4742" s="1036" t="str">
        <f t="shared" si="1642"/>
        <v/>
      </c>
      <c r="G4742" s="1037" t="str">
        <f t="shared" si="1637"/>
        <v/>
      </c>
      <c r="H4742" s="225"/>
      <c r="I4742" s="1013"/>
      <c r="J4742" s="1013"/>
      <c r="K4742" s="1028"/>
      <c r="L4742" s="1035" t="str">
        <f t="shared" si="1641"/>
        <v/>
      </c>
      <c r="S4742" s="498"/>
      <c r="AJ4742" s="498"/>
      <c r="AM4742" s="498">
        <f t="shared" ref="AM4742:AM4805" si="1644">IF(ISTEXT(B4742),1,0)</f>
        <v>0</v>
      </c>
      <c r="AN4742" s="498">
        <f t="shared" ref="AN4742:AN4805" si="1645">IF(ISBLANK(B4742),0,IF(B4742&lt;$AK$6,1,0))</f>
        <v>0</v>
      </c>
      <c r="AO4742" s="498">
        <f t="shared" ref="AO4742:AO4805" si="1646">IF(ISBLANK(B4742),0,IF(B4742&gt;$AK$7,1,0))</f>
        <v>0</v>
      </c>
      <c r="AP4742" s="498">
        <f t="shared" si="1643"/>
        <v>0</v>
      </c>
      <c r="AQ4742" s="498">
        <f t="shared" si="1638"/>
        <v>0</v>
      </c>
      <c r="AU4742" s="498">
        <f t="shared" ref="AU4742:AU4805" si="1647">IF(ISBLANK(B4742),0,1)</f>
        <v>0</v>
      </c>
      <c r="AV4742" s="498">
        <f t="shared" ref="AV4742:AV4805" si="1648">IF(ISBLANK(C4742),0,1)</f>
        <v>0</v>
      </c>
      <c r="AW4742" s="498">
        <f t="shared" ref="AW4742:AW4805" si="1649">IF(ISBLANK(D4742),0,1)</f>
        <v>0</v>
      </c>
      <c r="AX4742" s="498">
        <f t="shared" ref="AX4742:AX4805" si="1650">IF(ISBLANK(E4742),0,1)</f>
        <v>0</v>
      </c>
      <c r="AY4742" s="498">
        <f t="shared" ref="AY4742:AY4805" si="1651">IF(ISBLANK(H4742),0,1)</f>
        <v>0</v>
      </c>
      <c r="BB4742" s="498" t="str">
        <f t="shared" ref="BB4742:BB4805" si="1652">IF(E4742="Principal","Principal",IF(E4742="","","Other"))</f>
        <v/>
      </c>
      <c r="BC4742" s="743" t="str">
        <f t="shared" ref="BC4742:BC4805" si="1653">IF(D4742="","",D4742)</f>
        <v/>
      </c>
      <c r="BD4742" s="743" t="str">
        <f t="shared" ref="BD4742:BD4805" si="1654">IF(E4742="Principal","Employee",IF(E4742="","","Dependent"))</f>
        <v/>
      </c>
      <c r="BE4742" s="743" t="str">
        <f>IF(D4742="","",VLOOKUP(D4742,'General Basis'!$J$39:$K$46,2,0))</f>
        <v/>
      </c>
      <c r="BF4742" s="744" t="str">
        <f>IF(D4742="","",VLOOKUP(D4742,'General Basis'!$J$39:$L$46,3,0))</f>
        <v/>
      </c>
      <c r="BG4742" s="744" t="str">
        <f t="shared" si="1639"/>
        <v/>
      </c>
      <c r="BH4742" s="744" t="str">
        <f>IF(G4742="","",IF(BF4742="Abu Dhabi",IF(G4742&lt;18,'General Basis'!$C$39,IF(G4742&lt;41,'General Basis'!$C$40,IF(G4742&lt;60,'General Basis'!$C$41,IF(G4742&lt;65,'General Basis'!$C$42,'General Basis'!$C$43)))),IF(G4742&lt;11,'General Basis'!$B$39,IF(G4742&lt;18,'General Basis'!$B$40,IF(G4742&lt;26,'General Basis'!$B$41,IF(G4742&lt;31,'General Basis'!$B$42,IF(G4742&lt;36,'General Basis'!$B$43,IF(G4742&lt;41,'General Basis'!$B$44,IF(G4742&lt;46,'General Basis'!$B$45,IF(G4742&lt;51,'General Basis'!$B$46,IF(G4742&lt;56,'General Basis'!$B$47,IF(G4742&lt;60,'General Basis'!$B$48,IF(G4742&lt;65,'General Basis'!$B$49,'General Basis'!$B$50)))))))))))))</f>
        <v/>
      </c>
      <c r="BI4742" s="744" t="str">
        <f t="shared" ref="BI4742:BI4805" si="1655">IF(C4742="","",IF(C4742="M","Male","Female"))</f>
        <v/>
      </c>
      <c r="BJ4742" s="747" t="str">
        <f t="shared" si="1640"/>
        <v/>
      </c>
      <c r="BK4742" s="498" t="str">
        <f t="shared" ref="BK4742:BK4805" si="1656">IF(BD4742="","",IF(AND(BD4742="Employee",BI4742="Male",BF4742="Abu Dhabi",BE4742=GN_Plus),VLOOKUP(BH4742,AUH_MALE_EMP,2,0),IF(AND(BD4742="Employee",BI4742="Male",BF4742="Abu Dhabi",BE4742=GN),VLOOKUP(BH4742,AUH_MALE_EMP,3,0),IF(AND(BD4742="Employee",BI4742="Male",BF4742="Abu Dhabi",BE4742=RN_Plus),VLOOKUP(BH4742,AUH_MALE_EMP,4,0),IF(AND(BD4742="Employee",BI4742="Male",BF4742="Abu Dhabi",BE4742=RN),VLOOKUP(BH4742,AUH_MALE_EMP,5,0),IF(AND(BD4742="Employee",BI4742="Male",BF4742="Abu Dhabi",BE4742=RN_2),VLOOKUP(BH4742,AUH_MALE_EMP,6,0),IF(AND(BD4742="Employee",BI4742="Male",BF4742="Abu Dhabi",BE4742=RN2_minus),VLOOKUP(BH4742,AUH_MALE_EMP,7,0),IF(AND(BD4742="Employee",BI4742="Male",BF4742="Abu Dhabi",BE4742=RN_3),VLOOKUP(BH4742,AUH_MALE_EMP,8,0),IF(AND(BD4742="Employee",BI4742="Male",BF4742="Abu Dhabi",BE4742=VN),VLOOKUP(BH4742,AUH_MALE_EMP,9,0),IF(BD4742="","",IF(AND(BD4742="Employee",BI4742="Female",BF4742="Abu Dhabi",BE4742=GN_Plus),VLOOKUP(BH4742,AUH_FEMALE_EMP,2,0),IF(AND(BD4742="Employee",BI4742="Female",BF4742="Abu Dhabi",BE4742=GN),VLOOKUP(BH4742,AUH_FEMALE_EMP,3,0),IF(AND(BD4742="Employee",BI4742="Female",BF4742="Abu Dhabi",BE4742=RN_Plus),VLOOKUP(BH4742,AUH_FEMALE_EMP,4,0),IF(AND(BD4742="Employee",BI4742="Female",BF4742="Abu Dhabi",BE4742=RN),VLOOKUP(BH4742,AUH_FEMALE_EMP,5,0),IF(AND(BD4742="Employee",BI4742="Female",BF4742="Abu Dhabi",BE4742=RN_2),VLOOKUP(BH4742,AUH_FEMALE_EMP,6,0),IF(AND(BD4742="Employee",BI4742="Female",BF4742="Abu Dhabi",BE4742=RN2_minus),VLOOKUP(BH4742,AUH_FEMALE_EMP,7,0),IF(AND(BD4742="Employee",BI4742="Female",BF4742="Abu Dhabi",BE4742=RN_3),VLOOKUP(BH4742,AUH_FEMALE_EMP,8,0),IF(AND(BD4742="Employee",BI4742="Female",BF4742="Abu Dhabi",BE4742=VN),VLOOKUP(BH4742,AUH_FEMALE_EMP,9,0),IF(BD4742="","",IF(AND(BD4742="Dependent",BI4742="Male",BF4742="Abu Dhabi",BE4742=GN_Plus),VLOOKUP(BH4742,AUH_MALE_DEP,2,0),IF(AND(BD4742="Dependent",BI4742="Male",BF4742="Abu Dhabi",BE4742=GN),VLOOKUP(BH4742,AUH_MALE_DEP,3,0),IF(AND(BD4742="Dependent",BI4742="Male",BF4742="Abu Dhabi",BE4742=RN_Plus),VLOOKUP(BH4742,AUH_MALE_DEP,4,0),IF(AND(BD4742="Dependent",BI4742="Male",BF4742="Abu Dhabi",BE4742=RN),VLOOKUP(BH4742,AUH_MALE_DEP,5,0),IF(AND(BD4742="Dependent",BI4742="Male",BF4742="Abu Dhabi",BE4742=RN_2),VLOOKUP(BH4742,AUH_MALE_DEP,6,0),IF(AND(BD4742="Dependent",BI4742="Male",BF4742="Abu Dhabi",BE4742=RN2_minus),VLOOKUP(BH4742,AUH_MALE_DEP,7,0),IF(AND(BD4742="Dependent",BI4742="Male",BF4742="Abu Dhabi",BE4742=RN_3),VLOOKUP(BH4742,AUH_MALE_DEP,8,0),IF(AND(BD4742="Dependent",BI4742="Male",BF4742="Abu Dhabi",BE4742=VN),VLOOKUP(BH4742,AUH_MALE_DEP,9,0),IF(BD4742="","",IF(AND(BD4742="Dependent",BI4742="Female",BF4742="Abu Dhabi",BE4742=GN_Plus),VLOOKUP(BH4742,AUH_FEMALE_DEP,2,0),IF(AND(BD4742="Dependent",BI4742="Female",BF4742="Abu Dhabi",BE4742=GN),VLOOKUP(BH4742,AUH_FEMALE_DEP,3,0),IF(AND(BD4742="Dependent",BI4742="Female",BF4742="Abu Dhabi",BE4742=RN_Plus),VLOOKUP(BH4742,AUH_FEMALE_DEP,4,0),IF(AND(BD4742="Dependent",BI4742="Female",BF4742="Abu Dhabi",BE4742=RN),VLOOKUP(BH4742,AUH_FEMALE_DEP,5,0),IF(AND(BD4742="Dependent",BI4742="Female",BF4742="Abu Dhabi",BE4742=RN_2),VLOOKUP(BH4742,AUH_FEMALE_DEP,6,0),IF(AND(BD4742="Dependent",BI4742="Female",BF4742="Abu Dhabi",BE4742=RN2_minus),VLOOKUP(BH4742,AUH_FEMALE_DEP,7,0),IF(AND(BD4742="Dependent",BI4742="Female",BF4742="Abu Dhabi",BE4742=RN_3),VLOOKUP(BH4742,AUH_FEMALE_DEP,8,0),IF(AND(BD4742="Dependent",BI4742="Female",BF4742="Abu Dhabi",BE4742=VN),VLOOKUP(BH4742,AUH_FEMALE_DEP,9,0),"ABC"))))))))))))))))))))))))))))))))))))</f>
        <v/>
      </c>
      <c r="BL4742" s="498" t="str">
        <f t="shared" ref="BL4742:BL4805" si="1657">IF(BD4742="","",IF(AND(BD4742="Employee",BI4742="Male",BF4742="Dubai",BE4742=GN_Plus),VLOOKUP(BH4742,DXB_MALE_EMP,2,0),IF(AND(BD4742="Employee",BI4742="Male",BF4742="Dubai",BE4742=GN),VLOOKUP(BH4742,DXB_MALE_EMP,3,0),IF(AND(BD4742="Employee",BI4742="Male",BF4742="Dubai",BE4742=RN_Plus),VLOOKUP(BH4742,DXB_MALE_EMP,4,0),IF(AND(BD4742="Employee",BI4742="Male",BF4742="Dubai",BE4742=RN),VLOOKUP(BH4742,DXB_MALE_EMP,5,0),IF(AND(BD4742="Employee",BI4742="Male",BF4742="Dubai",BE4742=RN_2),VLOOKUP(BH4742,DXB_MALE_EMP,6,0),IF(AND(BD4742="Employee",BI4742="Male",BF4742="Dubai",BE4742=RN2_minus),VLOOKUP(BH4742,DXB_MALE_EMP,7,0),IF(AND(BD4742="Employee",BI4742="Male",BF4742="Dubai",BE4742=RN_3),VLOOKUP(BH4742,DXB_MALE_EMP,8,0),IF(AND(BD4742="Employee",BI4742="Male",BF4742="Dubai",BE4742=VN),VLOOKUP(BH4742,DXB_MALE_EMP,9,0),IF(BD4742="","",IF(AND(BD4742="Employee",BI4742="Female",BF4742="Dubai",BE4742=GN_Plus),VLOOKUP(BH4742,DXB_FEMALE_EMP,2,0),IF(AND(BD4742="Employee",BI4742="Female",BF4742="Dubai",BE4742=GN),VLOOKUP(BH4742,DXB_FEMALE_EMP,3,0),IF(AND(BD4742="Employee",BI4742="Female",BF4742="Dubai",BE4742=RN_Plus),VLOOKUP(BH4742,DXB_FEMALE_EMP,4,0),IF(AND(BD4742="Employee",BI4742="Female",BF4742="Dubai",BE4742=RN),VLOOKUP(BH4742,DXB_FEMALE_EMP,5,0),IF(AND(BD4742="Employee",BI4742="Female",BF4742="Dubai",BE4742=RN_2),VLOOKUP(BH4742,DXB_FEMALE_EMP,6,0),IF(AND(BD4742="Employee",BI4742="Female",BF4742="Dubai",BE4742=RN2_minus),VLOOKUP(BH4742,DXB_FEMALE_EMP,7,0),IF(AND(BD4742="Employee",BI4742="Female",BF4742="Dubai",BE4742=RN_3),VLOOKUP(BH4742,DXB_FEMALE_EMP,8,0),IF(AND(BD4742="Employee",BI4742="Female",BF4742="Dubai",BE4742=VN),VLOOKUP(BH4742,DXB_FEMALE_EMP,9,0),IF(BD4742="","",IF(AND(BD4742="Dependent",BI4742="Male",BF4742="Dubai",BE4742=GN_Plus),VLOOKUP(BH4742,DXB_MALE_DEP,2,0),IF(AND(BD4742="Dependent",BI4742="Male",BF4742="Dubai",BE4742=GN),VLOOKUP(BH4742,DXB_MALE_DEP,3,0),IF(AND(BD4742="Dependent",BI4742="Male",BF4742="Dubai",BE4742=RN_Plus),VLOOKUP(BH4742,DXB_MALE_DEP,4,0),IF(AND(BD4742="Dependent",BI4742="Male",BF4742="Dubai",BE4742=RN),VLOOKUP(BH4742,DXB_MALE_DEP,5,0),IF(AND(BD4742="Dependent",BI4742="Male",BF4742="Dubai",BE4742=RN_2),VLOOKUP(BH4742,DXB_MALE_DEP,6,0),IF(AND(BD4742="Dependent",BI4742="Male",BF4742="Dubai",BE4742=RN2_minus),VLOOKUP(BH4742,DXB_MALE_DEP,7,0),IF(AND(BD4742="Dependent",BI4742="Male",BF4742="Dubai",BE4742=RN_3),VLOOKUP(BH4742,DXB_MALE_DEP,8,0),IF(AND(BD4742="Dependent",BI4742="Male",BF4742="Dubai",BE4742=VN),VLOOKUP(BH4742,DXB_MALE_DEP,9,0),IF(BD4742="","",IF(AND(BD4742="Dependent",BI4742="Female",BF4742="Dubai",BE4742=GN_Plus),VLOOKUP(BH4742,DXB_FEMALE_DEP,2,0),IF(AND(BD4742="Dependent",BI4742="Female",BF4742="Dubai",BE4742=GN),VLOOKUP(BH4742,DXB_FEMALE_DEP,3,0),IF(AND(BD4742="Dependent",BI4742="Female",BF4742="Dubai",BE4742=RN_Plus),VLOOKUP(BH4742,DXB_FEMALE_DEP,4,0),IF(AND(BD4742="Dependent",BI4742="Female",BF4742="Dubai",BE4742=RN),VLOOKUP(BH4742,DXB_FEMALE_DEP,5,0),IF(AND(BD4742="Dependent",BI4742="Female",BF4742="Dubai",BE4742=RN_2),VLOOKUP(BH4742,DXB_FEMALE_DEP,6,0),IF(AND(BD4742="Dependent",BI4742="Female",BF4742="Dubai",BE4742=RN2_minus),VLOOKUP(BH4742,DXB_FEMALE_DEP,7,0),IF(AND(BD4742="Dependent",BI4742="Female",BF4742="Dubai",BE4742=RN_3),VLOOKUP(BH4742,DXB_FEMALE_DEP,8,0),IF(AND(BD4742="Dependent",BI4742="Female",BF4742="Dubai",BE4742=VN),VLOOKUP(BH4742,DXB_FEMALE_DEP,9,0),"ABC"))))))))))))))))))))))))))))))))))))</f>
        <v/>
      </c>
    </row>
    <row r="4743" spans="1:64" x14ac:dyDescent="0.25">
      <c r="A4743" s="762">
        <f t="shared" ref="A4743:A4806" si="1658">+A4742+1</f>
        <v>4738</v>
      </c>
      <c r="B4743" s="229"/>
      <c r="C4743" s="223"/>
      <c r="D4743" s="224"/>
      <c r="E4743" s="225"/>
      <c r="F4743" s="1036" t="str">
        <f t="shared" si="1642"/>
        <v/>
      </c>
      <c r="G4743" s="1037" t="str">
        <f t="shared" ref="G4743:G4806" si="1659">IF(D4743="","",MAX(0,ROUNDUP(F4743,0)))</f>
        <v/>
      </c>
      <c r="H4743" s="225"/>
      <c r="I4743" s="1013"/>
      <c r="J4743" s="1013"/>
      <c r="K4743" s="1028"/>
      <c r="L4743" s="1035" t="str">
        <f t="shared" si="1641"/>
        <v/>
      </c>
      <c r="S4743" s="498"/>
      <c r="AJ4743" s="498"/>
      <c r="AM4743" s="498">
        <f t="shared" si="1644"/>
        <v>0</v>
      </c>
      <c r="AN4743" s="498">
        <f t="shared" si="1645"/>
        <v>0</v>
      </c>
      <c r="AO4743" s="498">
        <f t="shared" si="1646"/>
        <v>0</v>
      </c>
      <c r="AP4743" s="498">
        <f t="shared" si="1643"/>
        <v>0</v>
      </c>
      <c r="AQ4743" s="498">
        <f t="shared" ref="AQ4743:AQ4806" si="1660">IF(ISBLANK($B4743),0,IF(OR($H4743="Single",$H4743="Married"),0,1))</f>
        <v>0</v>
      </c>
      <c r="AU4743" s="498">
        <f t="shared" si="1647"/>
        <v>0</v>
      </c>
      <c r="AV4743" s="498">
        <f t="shared" si="1648"/>
        <v>0</v>
      </c>
      <c r="AW4743" s="498">
        <f t="shared" si="1649"/>
        <v>0</v>
      </c>
      <c r="AX4743" s="498">
        <f t="shared" si="1650"/>
        <v>0</v>
      </c>
      <c r="AY4743" s="498">
        <f t="shared" si="1651"/>
        <v>0</v>
      </c>
      <c r="BB4743" s="498" t="str">
        <f t="shared" si="1652"/>
        <v/>
      </c>
      <c r="BC4743" s="743" t="str">
        <f t="shared" si="1653"/>
        <v/>
      </c>
      <c r="BD4743" s="743" t="str">
        <f t="shared" si="1654"/>
        <v/>
      </c>
      <c r="BE4743" s="743" t="str">
        <f>IF(D4743="","",VLOOKUP(D4743,'General Basis'!$J$39:$K$46,2,0))</f>
        <v/>
      </c>
      <c r="BF4743" s="744" t="str">
        <f>IF(D4743="","",VLOOKUP(D4743,'General Basis'!$J$39:$L$46,3,0))</f>
        <v/>
      </c>
      <c r="BG4743" s="744" t="str">
        <f t="shared" ref="BG4743:BG4806" si="1661">BC4743&amp;BI4743</f>
        <v/>
      </c>
      <c r="BH4743" s="744" t="str">
        <f>IF(G4743="","",IF(BF4743="Abu Dhabi",IF(G4743&lt;18,'General Basis'!$C$39,IF(G4743&lt;41,'General Basis'!$C$40,IF(G4743&lt;60,'General Basis'!$C$41,IF(G4743&lt;65,'General Basis'!$C$42,'General Basis'!$C$43)))),IF(G4743&lt;11,'General Basis'!$B$39,IF(G4743&lt;18,'General Basis'!$B$40,IF(G4743&lt;26,'General Basis'!$B$41,IF(G4743&lt;31,'General Basis'!$B$42,IF(G4743&lt;36,'General Basis'!$B$43,IF(G4743&lt;41,'General Basis'!$B$44,IF(G4743&lt;46,'General Basis'!$B$45,IF(G4743&lt;51,'General Basis'!$B$46,IF(G4743&lt;56,'General Basis'!$B$47,IF(G4743&lt;60,'General Basis'!$B$48,IF(G4743&lt;65,'General Basis'!$B$49,'General Basis'!$B$50)))))))))))))</f>
        <v/>
      </c>
      <c r="BI4743" s="744" t="str">
        <f t="shared" si="1655"/>
        <v/>
      </c>
      <c r="BJ4743" s="747" t="str">
        <f t="shared" ref="BJ4743:BJ4806" si="1662">IF(BD4743="","",IF(BF4743="Abu Dhabi",BK4743,BL4743))</f>
        <v/>
      </c>
      <c r="BK4743" s="498" t="str">
        <f t="shared" si="1656"/>
        <v/>
      </c>
      <c r="BL4743" s="498" t="str">
        <f t="shared" si="1657"/>
        <v/>
      </c>
    </row>
    <row r="4744" spans="1:64" x14ac:dyDescent="0.25">
      <c r="A4744" s="762">
        <f t="shared" si="1658"/>
        <v>4739</v>
      </c>
      <c r="B4744" s="229"/>
      <c r="C4744" s="223"/>
      <c r="D4744" s="224"/>
      <c r="E4744" s="225"/>
      <c r="F4744" s="1036" t="str">
        <f t="shared" si="1642"/>
        <v/>
      </c>
      <c r="G4744" s="1037" t="str">
        <f t="shared" si="1659"/>
        <v/>
      </c>
      <c r="H4744" s="225"/>
      <c r="I4744" s="1013"/>
      <c r="J4744" s="1013"/>
      <c r="K4744" s="1028"/>
      <c r="L4744" s="1035" t="str">
        <f t="shared" ref="L4744:L4807" si="1663">IF(AND(E4744="Child",H4744="Married"),"Check the Marital Status of the Child. ",IF(AND(E4744="Child",F4744&gt;18),"Child Age exceed 18 years. ",IF(AND(E4744="Spouse",H4744="Single"),"Spouse is selected as Single. ","")))&amp;IF(K4744&gt;0,"UW Loading has been Applied","")</f>
        <v/>
      </c>
      <c r="S4744" s="498"/>
      <c r="AJ4744" s="498"/>
      <c r="AM4744" s="498">
        <f t="shared" si="1644"/>
        <v>0</v>
      </c>
      <c r="AN4744" s="498">
        <f t="shared" si="1645"/>
        <v>0</v>
      </c>
      <c r="AO4744" s="498">
        <f t="shared" si="1646"/>
        <v>0</v>
      </c>
      <c r="AP4744" s="498">
        <f t="shared" si="1643"/>
        <v>0</v>
      </c>
      <c r="AQ4744" s="498">
        <f t="shared" si="1660"/>
        <v>0</v>
      </c>
      <c r="AU4744" s="498">
        <f t="shared" si="1647"/>
        <v>0</v>
      </c>
      <c r="AV4744" s="498">
        <f t="shared" si="1648"/>
        <v>0</v>
      </c>
      <c r="AW4744" s="498">
        <f t="shared" si="1649"/>
        <v>0</v>
      </c>
      <c r="AX4744" s="498">
        <f t="shared" si="1650"/>
        <v>0</v>
      </c>
      <c r="AY4744" s="498">
        <f t="shared" si="1651"/>
        <v>0</v>
      </c>
      <c r="BB4744" s="498" t="str">
        <f t="shared" si="1652"/>
        <v/>
      </c>
      <c r="BC4744" s="743" t="str">
        <f t="shared" si="1653"/>
        <v/>
      </c>
      <c r="BD4744" s="743" t="str">
        <f t="shared" si="1654"/>
        <v/>
      </c>
      <c r="BE4744" s="743" t="str">
        <f>IF(D4744="","",VLOOKUP(D4744,'General Basis'!$J$39:$K$46,2,0))</f>
        <v/>
      </c>
      <c r="BF4744" s="744" t="str">
        <f>IF(D4744="","",VLOOKUP(D4744,'General Basis'!$J$39:$L$46,3,0))</f>
        <v/>
      </c>
      <c r="BG4744" s="744" t="str">
        <f t="shared" si="1661"/>
        <v/>
      </c>
      <c r="BH4744" s="744" t="str">
        <f>IF(G4744="","",IF(BF4744="Abu Dhabi",IF(G4744&lt;18,'General Basis'!$C$39,IF(G4744&lt;41,'General Basis'!$C$40,IF(G4744&lt;60,'General Basis'!$C$41,IF(G4744&lt;65,'General Basis'!$C$42,'General Basis'!$C$43)))),IF(G4744&lt;11,'General Basis'!$B$39,IF(G4744&lt;18,'General Basis'!$B$40,IF(G4744&lt;26,'General Basis'!$B$41,IF(G4744&lt;31,'General Basis'!$B$42,IF(G4744&lt;36,'General Basis'!$B$43,IF(G4744&lt;41,'General Basis'!$B$44,IF(G4744&lt;46,'General Basis'!$B$45,IF(G4744&lt;51,'General Basis'!$B$46,IF(G4744&lt;56,'General Basis'!$B$47,IF(G4744&lt;60,'General Basis'!$B$48,IF(G4744&lt;65,'General Basis'!$B$49,'General Basis'!$B$50)))))))))))))</f>
        <v/>
      </c>
      <c r="BI4744" s="744" t="str">
        <f t="shared" si="1655"/>
        <v/>
      </c>
      <c r="BJ4744" s="747" t="str">
        <f t="shared" si="1662"/>
        <v/>
      </c>
      <c r="BK4744" s="498" t="str">
        <f t="shared" si="1656"/>
        <v/>
      </c>
      <c r="BL4744" s="498" t="str">
        <f t="shared" si="1657"/>
        <v/>
      </c>
    </row>
    <row r="4745" spans="1:64" x14ac:dyDescent="0.25">
      <c r="A4745" s="762">
        <f t="shared" si="1658"/>
        <v>4740</v>
      </c>
      <c r="B4745" s="229"/>
      <c r="C4745" s="223"/>
      <c r="D4745" s="224"/>
      <c r="E4745" s="225"/>
      <c r="F4745" s="1036" t="str">
        <f t="shared" si="1642"/>
        <v/>
      </c>
      <c r="G4745" s="1037" t="str">
        <f t="shared" si="1659"/>
        <v/>
      </c>
      <c r="H4745" s="225"/>
      <c r="I4745" s="1013"/>
      <c r="J4745" s="1013"/>
      <c r="K4745" s="1028"/>
      <c r="L4745" s="1035" t="str">
        <f t="shared" si="1663"/>
        <v/>
      </c>
      <c r="S4745" s="498"/>
      <c r="AJ4745" s="498"/>
      <c r="AM4745" s="498">
        <f t="shared" si="1644"/>
        <v>0</v>
      </c>
      <c r="AN4745" s="498">
        <f t="shared" si="1645"/>
        <v>0</v>
      </c>
      <c r="AO4745" s="498">
        <f t="shared" si="1646"/>
        <v>0</v>
      </c>
      <c r="AP4745" s="498">
        <f t="shared" si="1643"/>
        <v>0</v>
      </c>
      <c r="AQ4745" s="498">
        <f t="shared" si="1660"/>
        <v>0</v>
      </c>
      <c r="AU4745" s="498">
        <f t="shared" si="1647"/>
        <v>0</v>
      </c>
      <c r="AV4745" s="498">
        <f t="shared" si="1648"/>
        <v>0</v>
      </c>
      <c r="AW4745" s="498">
        <f t="shared" si="1649"/>
        <v>0</v>
      </c>
      <c r="AX4745" s="498">
        <f t="shared" si="1650"/>
        <v>0</v>
      </c>
      <c r="AY4745" s="498">
        <f t="shared" si="1651"/>
        <v>0</v>
      </c>
      <c r="BB4745" s="498" t="str">
        <f t="shared" si="1652"/>
        <v/>
      </c>
      <c r="BC4745" s="743" t="str">
        <f t="shared" si="1653"/>
        <v/>
      </c>
      <c r="BD4745" s="743" t="str">
        <f t="shared" si="1654"/>
        <v/>
      </c>
      <c r="BE4745" s="743" t="str">
        <f>IF(D4745="","",VLOOKUP(D4745,'General Basis'!$J$39:$K$46,2,0))</f>
        <v/>
      </c>
      <c r="BF4745" s="744" t="str">
        <f>IF(D4745="","",VLOOKUP(D4745,'General Basis'!$J$39:$L$46,3,0))</f>
        <v/>
      </c>
      <c r="BG4745" s="744" t="str">
        <f t="shared" si="1661"/>
        <v/>
      </c>
      <c r="BH4745" s="744" t="str">
        <f>IF(G4745="","",IF(BF4745="Abu Dhabi",IF(G4745&lt;18,'General Basis'!$C$39,IF(G4745&lt;41,'General Basis'!$C$40,IF(G4745&lt;60,'General Basis'!$C$41,IF(G4745&lt;65,'General Basis'!$C$42,'General Basis'!$C$43)))),IF(G4745&lt;11,'General Basis'!$B$39,IF(G4745&lt;18,'General Basis'!$B$40,IF(G4745&lt;26,'General Basis'!$B$41,IF(G4745&lt;31,'General Basis'!$B$42,IF(G4745&lt;36,'General Basis'!$B$43,IF(G4745&lt;41,'General Basis'!$B$44,IF(G4745&lt;46,'General Basis'!$B$45,IF(G4745&lt;51,'General Basis'!$B$46,IF(G4745&lt;56,'General Basis'!$B$47,IF(G4745&lt;60,'General Basis'!$B$48,IF(G4745&lt;65,'General Basis'!$B$49,'General Basis'!$B$50)))))))))))))</f>
        <v/>
      </c>
      <c r="BI4745" s="744" t="str">
        <f t="shared" si="1655"/>
        <v/>
      </c>
      <c r="BJ4745" s="747" t="str">
        <f t="shared" si="1662"/>
        <v/>
      </c>
      <c r="BK4745" s="498" t="str">
        <f t="shared" si="1656"/>
        <v/>
      </c>
      <c r="BL4745" s="498" t="str">
        <f t="shared" si="1657"/>
        <v/>
      </c>
    </row>
    <row r="4746" spans="1:64" x14ac:dyDescent="0.25">
      <c r="A4746" s="762">
        <f t="shared" si="1658"/>
        <v>4741</v>
      </c>
      <c r="B4746" s="229"/>
      <c r="C4746" s="223"/>
      <c r="D4746" s="224"/>
      <c r="E4746" s="225"/>
      <c r="F4746" s="1036" t="str">
        <f t="shared" si="1642"/>
        <v/>
      </c>
      <c r="G4746" s="1037" t="str">
        <f t="shared" si="1659"/>
        <v/>
      </c>
      <c r="H4746" s="225"/>
      <c r="I4746" s="1013"/>
      <c r="J4746" s="1013"/>
      <c r="K4746" s="1028"/>
      <c r="L4746" s="1035" t="str">
        <f t="shared" si="1663"/>
        <v/>
      </c>
      <c r="S4746" s="498"/>
      <c r="AJ4746" s="498"/>
      <c r="AM4746" s="498">
        <f t="shared" si="1644"/>
        <v>0</v>
      </c>
      <c r="AN4746" s="498">
        <f t="shared" si="1645"/>
        <v>0</v>
      </c>
      <c r="AO4746" s="498">
        <f t="shared" si="1646"/>
        <v>0</v>
      </c>
      <c r="AP4746" s="498">
        <f t="shared" si="1643"/>
        <v>0</v>
      </c>
      <c r="AQ4746" s="498">
        <f t="shared" si="1660"/>
        <v>0</v>
      </c>
      <c r="AU4746" s="498">
        <f t="shared" si="1647"/>
        <v>0</v>
      </c>
      <c r="AV4746" s="498">
        <f t="shared" si="1648"/>
        <v>0</v>
      </c>
      <c r="AW4746" s="498">
        <f t="shared" si="1649"/>
        <v>0</v>
      </c>
      <c r="AX4746" s="498">
        <f t="shared" si="1650"/>
        <v>0</v>
      </c>
      <c r="AY4746" s="498">
        <f t="shared" si="1651"/>
        <v>0</v>
      </c>
      <c r="BB4746" s="498" t="str">
        <f t="shared" si="1652"/>
        <v/>
      </c>
      <c r="BC4746" s="743" t="str">
        <f t="shared" si="1653"/>
        <v/>
      </c>
      <c r="BD4746" s="743" t="str">
        <f t="shared" si="1654"/>
        <v/>
      </c>
      <c r="BE4746" s="743" t="str">
        <f>IF(D4746="","",VLOOKUP(D4746,'General Basis'!$J$39:$K$46,2,0))</f>
        <v/>
      </c>
      <c r="BF4746" s="744" t="str">
        <f>IF(D4746="","",VLOOKUP(D4746,'General Basis'!$J$39:$L$46,3,0))</f>
        <v/>
      </c>
      <c r="BG4746" s="744" t="str">
        <f t="shared" si="1661"/>
        <v/>
      </c>
      <c r="BH4746" s="744" t="str">
        <f>IF(G4746="","",IF(BF4746="Abu Dhabi",IF(G4746&lt;18,'General Basis'!$C$39,IF(G4746&lt;41,'General Basis'!$C$40,IF(G4746&lt;60,'General Basis'!$C$41,IF(G4746&lt;65,'General Basis'!$C$42,'General Basis'!$C$43)))),IF(G4746&lt;11,'General Basis'!$B$39,IF(G4746&lt;18,'General Basis'!$B$40,IF(G4746&lt;26,'General Basis'!$B$41,IF(G4746&lt;31,'General Basis'!$B$42,IF(G4746&lt;36,'General Basis'!$B$43,IF(G4746&lt;41,'General Basis'!$B$44,IF(G4746&lt;46,'General Basis'!$B$45,IF(G4746&lt;51,'General Basis'!$B$46,IF(G4746&lt;56,'General Basis'!$B$47,IF(G4746&lt;60,'General Basis'!$B$48,IF(G4746&lt;65,'General Basis'!$B$49,'General Basis'!$B$50)))))))))))))</f>
        <v/>
      </c>
      <c r="BI4746" s="744" t="str">
        <f t="shared" si="1655"/>
        <v/>
      </c>
      <c r="BJ4746" s="747" t="str">
        <f t="shared" si="1662"/>
        <v/>
      </c>
      <c r="BK4746" s="498" t="str">
        <f t="shared" si="1656"/>
        <v/>
      </c>
      <c r="BL4746" s="498" t="str">
        <f t="shared" si="1657"/>
        <v/>
      </c>
    </row>
    <row r="4747" spans="1:64" x14ac:dyDescent="0.25">
      <c r="A4747" s="762">
        <f t="shared" si="1658"/>
        <v>4742</v>
      </c>
      <c r="B4747" s="229"/>
      <c r="C4747" s="223"/>
      <c r="D4747" s="224"/>
      <c r="E4747" s="225"/>
      <c r="F4747" s="1036" t="str">
        <f t="shared" si="1642"/>
        <v/>
      </c>
      <c r="G4747" s="1037" t="str">
        <f t="shared" si="1659"/>
        <v/>
      </c>
      <c r="H4747" s="225"/>
      <c r="I4747" s="1013"/>
      <c r="J4747" s="1013"/>
      <c r="K4747" s="1028"/>
      <c r="L4747" s="1035" t="str">
        <f t="shared" si="1663"/>
        <v/>
      </c>
      <c r="S4747" s="498"/>
      <c r="AJ4747" s="498"/>
      <c r="AM4747" s="498">
        <f t="shared" si="1644"/>
        <v>0</v>
      </c>
      <c r="AN4747" s="498">
        <f t="shared" si="1645"/>
        <v>0</v>
      </c>
      <c r="AO4747" s="498">
        <f t="shared" si="1646"/>
        <v>0</v>
      </c>
      <c r="AP4747" s="498">
        <f t="shared" si="1643"/>
        <v>0</v>
      </c>
      <c r="AQ4747" s="498">
        <f t="shared" si="1660"/>
        <v>0</v>
      </c>
      <c r="AU4747" s="498">
        <f t="shared" si="1647"/>
        <v>0</v>
      </c>
      <c r="AV4747" s="498">
        <f t="shared" si="1648"/>
        <v>0</v>
      </c>
      <c r="AW4747" s="498">
        <f t="shared" si="1649"/>
        <v>0</v>
      </c>
      <c r="AX4747" s="498">
        <f t="shared" si="1650"/>
        <v>0</v>
      </c>
      <c r="AY4747" s="498">
        <f t="shared" si="1651"/>
        <v>0</v>
      </c>
      <c r="BB4747" s="498" t="str">
        <f t="shared" si="1652"/>
        <v/>
      </c>
      <c r="BC4747" s="743" t="str">
        <f t="shared" si="1653"/>
        <v/>
      </c>
      <c r="BD4747" s="743" t="str">
        <f t="shared" si="1654"/>
        <v/>
      </c>
      <c r="BE4747" s="743" t="str">
        <f>IF(D4747="","",VLOOKUP(D4747,'General Basis'!$J$39:$K$46,2,0))</f>
        <v/>
      </c>
      <c r="BF4747" s="744" t="str">
        <f>IF(D4747="","",VLOOKUP(D4747,'General Basis'!$J$39:$L$46,3,0))</f>
        <v/>
      </c>
      <c r="BG4747" s="744" t="str">
        <f t="shared" si="1661"/>
        <v/>
      </c>
      <c r="BH4747" s="744" t="str">
        <f>IF(G4747="","",IF(BF4747="Abu Dhabi",IF(G4747&lt;18,'General Basis'!$C$39,IF(G4747&lt;41,'General Basis'!$C$40,IF(G4747&lt;60,'General Basis'!$C$41,IF(G4747&lt;65,'General Basis'!$C$42,'General Basis'!$C$43)))),IF(G4747&lt;11,'General Basis'!$B$39,IF(G4747&lt;18,'General Basis'!$B$40,IF(G4747&lt;26,'General Basis'!$B$41,IF(G4747&lt;31,'General Basis'!$B$42,IF(G4747&lt;36,'General Basis'!$B$43,IF(G4747&lt;41,'General Basis'!$B$44,IF(G4747&lt;46,'General Basis'!$B$45,IF(G4747&lt;51,'General Basis'!$B$46,IF(G4747&lt;56,'General Basis'!$B$47,IF(G4747&lt;60,'General Basis'!$B$48,IF(G4747&lt;65,'General Basis'!$B$49,'General Basis'!$B$50)))))))))))))</f>
        <v/>
      </c>
      <c r="BI4747" s="744" t="str">
        <f t="shared" si="1655"/>
        <v/>
      </c>
      <c r="BJ4747" s="747" t="str">
        <f t="shared" si="1662"/>
        <v/>
      </c>
      <c r="BK4747" s="498" t="str">
        <f t="shared" si="1656"/>
        <v/>
      </c>
      <c r="BL4747" s="498" t="str">
        <f t="shared" si="1657"/>
        <v/>
      </c>
    </row>
    <row r="4748" spans="1:64" x14ac:dyDescent="0.25">
      <c r="A4748" s="762">
        <f t="shared" si="1658"/>
        <v>4743</v>
      </c>
      <c r="B4748" s="229"/>
      <c r="C4748" s="223"/>
      <c r="D4748" s="224"/>
      <c r="E4748" s="225"/>
      <c r="F4748" s="1036" t="str">
        <f t="shared" si="1642"/>
        <v/>
      </c>
      <c r="G4748" s="1037" t="str">
        <f t="shared" si="1659"/>
        <v/>
      </c>
      <c r="H4748" s="225"/>
      <c r="I4748" s="1013"/>
      <c r="J4748" s="1013"/>
      <c r="K4748" s="1028"/>
      <c r="L4748" s="1035" t="str">
        <f t="shared" si="1663"/>
        <v/>
      </c>
      <c r="S4748" s="498"/>
      <c r="AJ4748" s="498"/>
      <c r="AM4748" s="498">
        <f t="shared" si="1644"/>
        <v>0</v>
      </c>
      <c r="AN4748" s="498">
        <f t="shared" si="1645"/>
        <v>0</v>
      </c>
      <c r="AO4748" s="498">
        <f t="shared" si="1646"/>
        <v>0</v>
      </c>
      <c r="AP4748" s="498">
        <f t="shared" si="1643"/>
        <v>0</v>
      </c>
      <c r="AQ4748" s="498">
        <f t="shared" si="1660"/>
        <v>0</v>
      </c>
      <c r="AU4748" s="498">
        <f t="shared" si="1647"/>
        <v>0</v>
      </c>
      <c r="AV4748" s="498">
        <f t="shared" si="1648"/>
        <v>0</v>
      </c>
      <c r="AW4748" s="498">
        <f t="shared" si="1649"/>
        <v>0</v>
      </c>
      <c r="AX4748" s="498">
        <f t="shared" si="1650"/>
        <v>0</v>
      </c>
      <c r="AY4748" s="498">
        <f t="shared" si="1651"/>
        <v>0</v>
      </c>
      <c r="BB4748" s="498" t="str">
        <f t="shared" si="1652"/>
        <v/>
      </c>
      <c r="BC4748" s="743" t="str">
        <f t="shared" si="1653"/>
        <v/>
      </c>
      <c r="BD4748" s="743" t="str">
        <f t="shared" si="1654"/>
        <v/>
      </c>
      <c r="BE4748" s="743" t="str">
        <f>IF(D4748="","",VLOOKUP(D4748,'General Basis'!$J$39:$K$46,2,0))</f>
        <v/>
      </c>
      <c r="BF4748" s="744" t="str">
        <f>IF(D4748="","",VLOOKUP(D4748,'General Basis'!$J$39:$L$46,3,0))</f>
        <v/>
      </c>
      <c r="BG4748" s="744" t="str">
        <f t="shared" si="1661"/>
        <v/>
      </c>
      <c r="BH4748" s="744" t="str">
        <f>IF(G4748="","",IF(BF4748="Abu Dhabi",IF(G4748&lt;18,'General Basis'!$C$39,IF(G4748&lt;41,'General Basis'!$C$40,IF(G4748&lt;60,'General Basis'!$C$41,IF(G4748&lt;65,'General Basis'!$C$42,'General Basis'!$C$43)))),IF(G4748&lt;11,'General Basis'!$B$39,IF(G4748&lt;18,'General Basis'!$B$40,IF(G4748&lt;26,'General Basis'!$B$41,IF(G4748&lt;31,'General Basis'!$B$42,IF(G4748&lt;36,'General Basis'!$B$43,IF(G4748&lt;41,'General Basis'!$B$44,IF(G4748&lt;46,'General Basis'!$B$45,IF(G4748&lt;51,'General Basis'!$B$46,IF(G4748&lt;56,'General Basis'!$B$47,IF(G4748&lt;60,'General Basis'!$B$48,IF(G4748&lt;65,'General Basis'!$B$49,'General Basis'!$B$50)))))))))))))</f>
        <v/>
      </c>
      <c r="BI4748" s="744" t="str">
        <f t="shared" si="1655"/>
        <v/>
      </c>
      <c r="BJ4748" s="747" t="str">
        <f t="shared" si="1662"/>
        <v/>
      </c>
      <c r="BK4748" s="498" t="str">
        <f t="shared" si="1656"/>
        <v/>
      </c>
      <c r="BL4748" s="498" t="str">
        <f t="shared" si="1657"/>
        <v/>
      </c>
    </row>
    <row r="4749" spans="1:64" x14ac:dyDescent="0.25">
      <c r="A4749" s="762">
        <f t="shared" si="1658"/>
        <v>4744</v>
      </c>
      <c r="B4749" s="229"/>
      <c r="C4749" s="223"/>
      <c r="D4749" s="224"/>
      <c r="E4749" s="225"/>
      <c r="F4749" s="1036" t="str">
        <f t="shared" si="1642"/>
        <v/>
      </c>
      <c r="G4749" s="1037" t="str">
        <f t="shared" si="1659"/>
        <v/>
      </c>
      <c r="H4749" s="225"/>
      <c r="I4749" s="1013"/>
      <c r="J4749" s="1013"/>
      <c r="K4749" s="1028"/>
      <c r="L4749" s="1035" t="str">
        <f t="shared" si="1663"/>
        <v/>
      </c>
      <c r="S4749" s="498"/>
      <c r="AJ4749" s="498"/>
      <c r="AM4749" s="498">
        <f t="shared" si="1644"/>
        <v>0</v>
      </c>
      <c r="AN4749" s="498">
        <f t="shared" si="1645"/>
        <v>0</v>
      </c>
      <c r="AO4749" s="498">
        <f t="shared" si="1646"/>
        <v>0</v>
      </c>
      <c r="AP4749" s="498">
        <f t="shared" si="1643"/>
        <v>0</v>
      </c>
      <c r="AQ4749" s="498">
        <f t="shared" si="1660"/>
        <v>0</v>
      </c>
      <c r="AU4749" s="498">
        <f t="shared" si="1647"/>
        <v>0</v>
      </c>
      <c r="AV4749" s="498">
        <f t="shared" si="1648"/>
        <v>0</v>
      </c>
      <c r="AW4749" s="498">
        <f t="shared" si="1649"/>
        <v>0</v>
      </c>
      <c r="AX4749" s="498">
        <f t="shared" si="1650"/>
        <v>0</v>
      </c>
      <c r="AY4749" s="498">
        <f t="shared" si="1651"/>
        <v>0</v>
      </c>
      <c r="BB4749" s="498" t="str">
        <f t="shared" si="1652"/>
        <v/>
      </c>
      <c r="BC4749" s="743" t="str">
        <f t="shared" si="1653"/>
        <v/>
      </c>
      <c r="BD4749" s="743" t="str">
        <f t="shared" si="1654"/>
        <v/>
      </c>
      <c r="BE4749" s="743" t="str">
        <f>IF(D4749="","",VLOOKUP(D4749,'General Basis'!$J$39:$K$46,2,0))</f>
        <v/>
      </c>
      <c r="BF4749" s="744" t="str">
        <f>IF(D4749="","",VLOOKUP(D4749,'General Basis'!$J$39:$L$46,3,0))</f>
        <v/>
      </c>
      <c r="BG4749" s="744" t="str">
        <f t="shared" si="1661"/>
        <v/>
      </c>
      <c r="BH4749" s="744" t="str">
        <f>IF(G4749="","",IF(BF4749="Abu Dhabi",IF(G4749&lt;18,'General Basis'!$C$39,IF(G4749&lt;41,'General Basis'!$C$40,IF(G4749&lt;60,'General Basis'!$C$41,IF(G4749&lt;65,'General Basis'!$C$42,'General Basis'!$C$43)))),IF(G4749&lt;11,'General Basis'!$B$39,IF(G4749&lt;18,'General Basis'!$B$40,IF(G4749&lt;26,'General Basis'!$B$41,IF(G4749&lt;31,'General Basis'!$B$42,IF(G4749&lt;36,'General Basis'!$B$43,IF(G4749&lt;41,'General Basis'!$B$44,IF(G4749&lt;46,'General Basis'!$B$45,IF(G4749&lt;51,'General Basis'!$B$46,IF(G4749&lt;56,'General Basis'!$B$47,IF(G4749&lt;60,'General Basis'!$B$48,IF(G4749&lt;65,'General Basis'!$B$49,'General Basis'!$B$50)))))))))))))</f>
        <v/>
      </c>
      <c r="BI4749" s="744" t="str">
        <f t="shared" si="1655"/>
        <v/>
      </c>
      <c r="BJ4749" s="747" t="str">
        <f t="shared" si="1662"/>
        <v/>
      </c>
      <c r="BK4749" s="498" t="str">
        <f t="shared" si="1656"/>
        <v/>
      </c>
      <c r="BL4749" s="498" t="str">
        <f t="shared" si="1657"/>
        <v/>
      </c>
    </row>
    <row r="4750" spans="1:64" x14ac:dyDescent="0.25">
      <c r="A4750" s="762">
        <f t="shared" si="1658"/>
        <v>4745</v>
      </c>
      <c r="B4750" s="229"/>
      <c r="C4750" s="223"/>
      <c r="D4750" s="224"/>
      <c r="E4750" s="225"/>
      <c r="F4750" s="1036" t="str">
        <f t="shared" si="1642"/>
        <v/>
      </c>
      <c r="G4750" s="1037" t="str">
        <f t="shared" si="1659"/>
        <v/>
      </c>
      <c r="H4750" s="225"/>
      <c r="I4750" s="1013"/>
      <c r="J4750" s="1013"/>
      <c r="K4750" s="1028"/>
      <c r="L4750" s="1035" t="str">
        <f t="shared" si="1663"/>
        <v/>
      </c>
      <c r="S4750" s="498"/>
      <c r="AJ4750" s="498"/>
      <c r="AM4750" s="498">
        <f t="shared" si="1644"/>
        <v>0</v>
      </c>
      <c r="AN4750" s="498">
        <f t="shared" si="1645"/>
        <v>0</v>
      </c>
      <c r="AO4750" s="498">
        <f t="shared" si="1646"/>
        <v>0</v>
      </c>
      <c r="AP4750" s="498">
        <f t="shared" si="1643"/>
        <v>0</v>
      </c>
      <c r="AQ4750" s="498">
        <f t="shared" si="1660"/>
        <v>0</v>
      </c>
      <c r="AU4750" s="498">
        <f t="shared" si="1647"/>
        <v>0</v>
      </c>
      <c r="AV4750" s="498">
        <f t="shared" si="1648"/>
        <v>0</v>
      </c>
      <c r="AW4750" s="498">
        <f t="shared" si="1649"/>
        <v>0</v>
      </c>
      <c r="AX4750" s="498">
        <f t="shared" si="1650"/>
        <v>0</v>
      </c>
      <c r="AY4750" s="498">
        <f t="shared" si="1651"/>
        <v>0</v>
      </c>
      <c r="BB4750" s="498" t="str">
        <f t="shared" si="1652"/>
        <v/>
      </c>
      <c r="BC4750" s="743" t="str">
        <f t="shared" si="1653"/>
        <v/>
      </c>
      <c r="BD4750" s="743" t="str">
        <f t="shared" si="1654"/>
        <v/>
      </c>
      <c r="BE4750" s="743" t="str">
        <f>IF(D4750="","",VLOOKUP(D4750,'General Basis'!$J$39:$K$46,2,0))</f>
        <v/>
      </c>
      <c r="BF4750" s="744" t="str">
        <f>IF(D4750="","",VLOOKUP(D4750,'General Basis'!$J$39:$L$46,3,0))</f>
        <v/>
      </c>
      <c r="BG4750" s="744" t="str">
        <f t="shared" si="1661"/>
        <v/>
      </c>
      <c r="BH4750" s="744" t="str">
        <f>IF(G4750="","",IF(BF4750="Abu Dhabi",IF(G4750&lt;18,'General Basis'!$C$39,IF(G4750&lt;41,'General Basis'!$C$40,IF(G4750&lt;60,'General Basis'!$C$41,IF(G4750&lt;65,'General Basis'!$C$42,'General Basis'!$C$43)))),IF(G4750&lt;11,'General Basis'!$B$39,IF(G4750&lt;18,'General Basis'!$B$40,IF(G4750&lt;26,'General Basis'!$B$41,IF(G4750&lt;31,'General Basis'!$B$42,IF(G4750&lt;36,'General Basis'!$B$43,IF(G4750&lt;41,'General Basis'!$B$44,IF(G4750&lt;46,'General Basis'!$B$45,IF(G4750&lt;51,'General Basis'!$B$46,IF(G4750&lt;56,'General Basis'!$B$47,IF(G4750&lt;60,'General Basis'!$B$48,IF(G4750&lt;65,'General Basis'!$B$49,'General Basis'!$B$50)))))))))))))</f>
        <v/>
      </c>
      <c r="BI4750" s="744" t="str">
        <f t="shared" si="1655"/>
        <v/>
      </c>
      <c r="BJ4750" s="747" t="str">
        <f t="shared" si="1662"/>
        <v/>
      </c>
      <c r="BK4750" s="498" t="str">
        <f t="shared" si="1656"/>
        <v/>
      </c>
      <c r="BL4750" s="498" t="str">
        <f t="shared" si="1657"/>
        <v/>
      </c>
    </row>
    <row r="4751" spans="1:64" x14ac:dyDescent="0.25">
      <c r="A4751" s="762">
        <f t="shared" si="1658"/>
        <v>4746</v>
      </c>
      <c r="B4751" s="229"/>
      <c r="C4751" s="223"/>
      <c r="D4751" s="224"/>
      <c r="E4751" s="225"/>
      <c r="F4751" s="1036" t="str">
        <f t="shared" si="1642"/>
        <v/>
      </c>
      <c r="G4751" s="1037" t="str">
        <f t="shared" si="1659"/>
        <v/>
      </c>
      <c r="H4751" s="225"/>
      <c r="I4751" s="1013"/>
      <c r="J4751" s="1013"/>
      <c r="K4751" s="1028"/>
      <c r="L4751" s="1035" t="str">
        <f t="shared" si="1663"/>
        <v/>
      </c>
      <c r="S4751" s="498"/>
      <c r="AJ4751" s="498"/>
      <c r="AM4751" s="498">
        <f t="shared" si="1644"/>
        <v>0</v>
      </c>
      <c r="AN4751" s="498">
        <f t="shared" si="1645"/>
        <v>0</v>
      </c>
      <c r="AO4751" s="498">
        <f t="shared" si="1646"/>
        <v>0</v>
      </c>
      <c r="AP4751" s="498">
        <f t="shared" si="1643"/>
        <v>0</v>
      </c>
      <c r="AQ4751" s="498">
        <f t="shared" si="1660"/>
        <v>0</v>
      </c>
      <c r="AU4751" s="498">
        <f t="shared" si="1647"/>
        <v>0</v>
      </c>
      <c r="AV4751" s="498">
        <f t="shared" si="1648"/>
        <v>0</v>
      </c>
      <c r="AW4751" s="498">
        <f t="shared" si="1649"/>
        <v>0</v>
      </c>
      <c r="AX4751" s="498">
        <f t="shared" si="1650"/>
        <v>0</v>
      </c>
      <c r="AY4751" s="498">
        <f t="shared" si="1651"/>
        <v>0</v>
      </c>
      <c r="BB4751" s="498" t="str">
        <f t="shared" si="1652"/>
        <v/>
      </c>
      <c r="BC4751" s="743" t="str">
        <f t="shared" si="1653"/>
        <v/>
      </c>
      <c r="BD4751" s="743" t="str">
        <f t="shared" si="1654"/>
        <v/>
      </c>
      <c r="BE4751" s="743" t="str">
        <f>IF(D4751="","",VLOOKUP(D4751,'General Basis'!$J$39:$K$46,2,0))</f>
        <v/>
      </c>
      <c r="BF4751" s="744" t="str">
        <f>IF(D4751="","",VLOOKUP(D4751,'General Basis'!$J$39:$L$46,3,0))</f>
        <v/>
      </c>
      <c r="BG4751" s="744" t="str">
        <f t="shared" si="1661"/>
        <v/>
      </c>
      <c r="BH4751" s="744" t="str">
        <f>IF(G4751="","",IF(BF4751="Abu Dhabi",IF(G4751&lt;18,'General Basis'!$C$39,IF(G4751&lt;41,'General Basis'!$C$40,IF(G4751&lt;60,'General Basis'!$C$41,IF(G4751&lt;65,'General Basis'!$C$42,'General Basis'!$C$43)))),IF(G4751&lt;11,'General Basis'!$B$39,IF(G4751&lt;18,'General Basis'!$B$40,IF(G4751&lt;26,'General Basis'!$B$41,IF(G4751&lt;31,'General Basis'!$B$42,IF(G4751&lt;36,'General Basis'!$B$43,IF(G4751&lt;41,'General Basis'!$B$44,IF(G4751&lt;46,'General Basis'!$B$45,IF(G4751&lt;51,'General Basis'!$B$46,IF(G4751&lt;56,'General Basis'!$B$47,IF(G4751&lt;60,'General Basis'!$B$48,IF(G4751&lt;65,'General Basis'!$B$49,'General Basis'!$B$50)))))))))))))</f>
        <v/>
      </c>
      <c r="BI4751" s="744" t="str">
        <f t="shared" si="1655"/>
        <v/>
      </c>
      <c r="BJ4751" s="747" t="str">
        <f t="shared" si="1662"/>
        <v/>
      </c>
      <c r="BK4751" s="498" t="str">
        <f t="shared" si="1656"/>
        <v/>
      </c>
      <c r="BL4751" s="498" t="str">
        <f t="shared" si="1657"/>
        <v/>
      </c>
    </row>
    <row r="4752" spans="1:64" x14ac:dyDescent="0.25">
      <c r="A4752" s="762">
        <f t="shared" si="1658"/>
        <v>4747</v>
      </c>
      <c r="B4752" s="229"/>
      <c r="C4752" s="223"/>
      <c r="D4752" s="224"/>
      <c r="E4752" s="225"/>
      <c r="F4752" s="1036" t="str">
        <f t="shared" ref="F4752:F4815" si="1664">IF(C4752="","",IF($B4752="","",((YEAR($F$3)-YEAR($B4752))+(MONTH($F$3)-MONTH($B4752))/12+(DAY($F$3)-DAY($B4752))/(DATE(YEAR($F$3),12,31)-DATE(YEAR($F$3),1,1)+1))))</f>
        <v/>
      </c>
      <c r="G4752" s="1037" t="str">
        <f t="shared" si="1659"/>
        <v/>
      </c>
      <c r="H4752" s="225"/>
      <c r="I4752" s="1013"/>
      <c r="J4752" s="1013"/>
      <c r="K4752" s="1028"/>
      <c r="L4752" s="1035" t="str">
        <f t="shared" si="1663"/>
        <v/>
      </c>
      <c r="S4752" s="498"/>
      <c r="AJ4752" s="498"/>
      <c r="AM4752" s="498">
        <f t="shared" si="1644"/>
        <v>0</v>
      </c>
      <c r="AN4752" s="498">
        <f t="shared" si="1645"/>
        <v>0</v>
      </c>
      <c r="AO4752" s="498">
        <f t="shared" si="1646"/>
        <v>0</v>
      </c>
      <c r="AP4752" s="498">
        <f t="shared" si="1643"/>
        <v>0</v>
      </c>
      <c r="AQ4752" s="498">
        <f t="shared" si="1660"/>
        <v>0</v>
      </c>
      <c r="AU4752" s="498">
        <f t="shared" si="1647"/>
        <v>0</v>
      </c>
      <c r="AV4752" s="498">
        <f t="shared" si="1648"/>
        <v>0</v>
      </c>
      <c r="AW4752" s="498">
        <f t="shared" si="1649"/>
        <v>0</v>
      </c>
      <c r="AX4752" s="498">
        <f t="shared" si="1650"/>
        <v>0</v>
      </c>
      <c r="AY4752" s="498">
        <f t="shared" si="1651"/>
        <v>0</v>
      </c>
      <c r="BB4752" s="498" t="str">
        <f t="shared" si="1652"/>
        <v/>
      </c>
      <c r="BC4752" s="743" t="str">
        <f t="shared" si="1653"/>
        <v/>
      </c>
      <c r="BD4752" s="743" t="str">
        <f t="shared" si="1654"/>
        <v/>
      </c>
      <c r="BE4752" s="743" t="str">
        <f>IF(D4752="","",VLOOKUP(D4752,'General Basis'!$J$39:$K$46,2,0))</f>
        <v/>
      </c>
      <c r="BF4752" s="744" t="str">
        <f>IF(D4752="","",VLOOKUP(D4752,'General Basis'!$J$39:$L$46,3,0))</f>
        <v/>
      </c>
      <c r="BG4752" s="744" t="str">
        <f t="shared" si="1661"/>
        <v/>
      </c>
      <c r="BH4752" s="744" t="str">
        <f>IF(G4752="","",IF(BF4752="Abu Dhabi",IF(G4752&lt;18,'General Basis'!$C$39,IF(G4752&lt;41,'General Basis'!$C$40,IF(G4752&lt;60,'General Basis'!$C$41,IF(G4752&lt;65,'General Basis'!$C$42,'General Basis'!$C$43)))),IF(G4752&lt;11,'General Basis'!$B$39,IF(G4752&lt;18,'General Basis'!$B$40,IF(G4752&lt;26,'General Basis'!$B$41,IF(G4752&lt;31,'General Basis'!$B$42,IF(G4752&lt;36,'General Basis'!$B$43,IF(G4752&lt;41,'General Basis'!$B$44,IF(G4752&lt;46,'General Basis'!$B$45,IF(G4752&lt;51,'General Basis'!$B$46,IF(G4752&lt;56,'General Basis'!$B$47,IF(G4752&lt;60,'General Basis'!$B$48,IF(G4752&lt;65,'General Basis'!$B$49,'General Basis'!$B$50)))))))))))))</f>
        <v/>
      </c>
      <c r="BI4752" s="744" t="str">
        <f t="shared" si="1655"/>
        <v/>
      </c>
      <c r="BJ4752" s="747" t="str">
        <f t="shared" si="1662"/>
        <v/>
      </c>
      <c r="BK4752" s="498" t="str">
        <f t="shared" si="1656"/>
        <v/>
      </c>
      <c r="BL4752" s="498" t="str">
        <f t="shared" si="1657"/>
        <v/>
      </c>
    </row>
    <row r="4753" spans="1:64" x14ac:dyDescent="0.25">
      <c r="A4753" s="762">
        <f t="shared" si="1658"/>
        <v>4748</v>
      </c>
      <c r="B4753" s="229"/>
      <c r="C4753" s="223"/>
      <c r="D4753" s="224"/>
      <c r="E4753" s="225"/>
      <c r="F4753" s="1036" t="str">
        <f t="shared" si="1664"/>
        <v/>
      </c>
      <c r="G4753" s="1037" t="str">
        <f t="shared" si="1659"/>
        <v/>
      </c>
      <c r="H4753" s="225"/>
      <c r="I4753" s="1013"/>
      <c r="J4753" s="1013"/>
      <c r="K4753" s="1028"/>
      <c r="L4753" s="1035" t="str">
        <f t="shared" si="1663"/>
        <v/>
      </c>
      <c r="S4753" s="498"/>
      <c r="AJ4753" s="498"/>
      <c r="AM4753" s="498">
        <f t="shared" si="1644"/>
        <v>0</v>
      </c>
      <c r="AN4753" s="498">
        <f t="shared" si="1645"/>
        <v>0</v>
      </c>
      <c r="AO4753" s="498">
        <f t="shared" si="1646"/>
        <v>0</v>
      </c>
      <c r="AP4753" s="498">
        <f t="shared" si="1643"/>
        <v>0</v>
      </c>
      <c r="AQ4753" s="498">
        <f t="shared" si="1660"/>
        <v>0</v>
      </c>
      <c r="AU4753" s="498">
        <f t="shared" si="1647"/>
        <v>0</v>
      </c>
      <c r="AV4753" s="498">
        <f t="shared" si="1648"/>
        <v>0</v>
      </c>
      <c r="AW4753" s="498">
        <f t="shared" si="1649"/>
        <v>0</v>
      </c>
      <c r="AX4753" s="498">
        <f t="shared" si="1650"/>
        <v>0</v>
      </c>
      <c r="AY4753" s="498">
        <f t="shared" si="1651"/>
        <v>0</v>
      </c>
      <c r="BB4753" s="498" t="str">
        <f t="shared" si="1652"/>
        <v/>
      </c>
      <c r="BC4753" s="743" t="str">
        <f t="shared" si="1653"/>
        <v/>
      </c>
      <c r="BD4753" s="743" t="str">
        <f t="shared" si="1654"/>
        <v/>
      </c>
      <c r="BE4753" s="743" t="str">
        <f>IF(D4753="","",VLOOKUP(D4753,'General Basis'!$J$39:$K$46,2,0))</f>
        <v/>
      </c>
      <c r="BF4753" s="744" t="str">
        <f>IF(D4753="","",VLOOKUP(D4753,'General Basis'!$J$39:$L$46,3,0))</f>
        <v/>
      </c>
      <c r="BG4753" s="744" t="str">
        <f t="shared" si="1661"/>
        <v/>
      </c>
      <c r="BH4753" s="744" t="str">
        <f>IF(G4753="","",IF(BF4753="Abu Dhabi",IF(G4753&lt;18,'General Basis'!$C$39,IF(G4753&lt;41,'General Basis'!$C$40,IF(G4753&lt;60,'General Basis'!$C$41,IF(G4753&lt;65,'General Basis'!$C$42,'General Basis'!$C$43)))),IF(G4753&lt;11,'General Basis'!$B$39,IF(G4753&lt;18,'General Basis'!$B$40,IF(G4753&lt;26,'General Basis'!$B$41,IF(G4753&lt;31,'General Basis'!$B$42,IF(G4753&lt;36,'General Basis'!$B$43,IF(G4753&lt;41,'General Basis'!$B$44,IF(G4753&lt;46,'General Basis'!$B$45,IF(G4753&lt;51,'General Basis'!$B$46,IF(G4753&lt;56,'General Basis'!$B$47,IF(G4753&lt;60,'General Basis'!$B$48,IF(G4753&lt;65,'General Basis'!$B$49,'General Basis'!$B$50)))))))))))))</f>
        <v/>
      </c>
      <c r="BI4753" s="744" t="str">
        <f t="shared" si="1655"/>
        <v/>
      </c>
      <c r="BJ4753" s="747" t="str">
        <f t="shared" si="1662"/>
        <v/>
      </c>
      <c r="BK4753" s="498" t="str">
        <f t="shared" si="1656"/>
        <v/>
      </c>
      <c r="BL4753" s="498" t="str">
        <f t="shared" si="1657"/>
        <v/>
      </c>
    </row>
    <row r="4754" spans="1:64" x14ac:dyDescent="0.25">
      <c r="A4754" s="762">
        <f t="shared" si="1658"/>
        <v>4749</v>
      </c>
      <c r="B4754" s="229"/>
      <c r="C4754" s="223"/>
      <c r="D4754" s="224"/>
      <c r="E4754" s="225"/>
      <c r="F4754" s="1036" t="str">
        <f t="shared" si="1664"/>
        <v/>
      </c>
      <c r="G4754" s="1037" t="str">
        <f t="shared" si="1659"/>
        <v/>
      </c>
      <c r="H4754" s="225"/>
      <c r="I4754" s="1013"/>
      <c r="J4754" s="1013"/>
      <c r="K4754" s="1028"/>
      <c r="L4754" s="1035" t="str">
        <f t="shared" si="1663"/>
        <v/>
      </c>
      <c r="S4754" s="498"/>
      <c r="AJ4754" s="498"/>
      <c r="AM4754" s="498">
        <f t="shared" si="1644"/>
        <v>0</v>
      </c>
      <c r="AN4754" s="498">
        <f t="shared" si="1645"/>
        <v>0</v>
      </c>
      <c r="AO4754" s="498">
        <f t="shared" si="1646"/>
        <v>0</v>
      </c>
      <c r="AP4754" s="498">
        <f t="shared" si="1643"/>
        <v>0</v>
      </c>
      <c r="AQ4754" s="498">
        <f t="shared" si="1660"/>
        <v>0</v>
      </c>
      <c r="AU4754" s="498">
        <f t="shared" si="1647"/>
        <v>0</v>
      </c>
      <c r="AV4754" s="498">
        <f t="shared" si="1648"/>
        <v>0</v>
      </c>
      <c r="AW4754" s="498">
        <f t="shared" si="1649"/>
        <v>0</v>
      </c>
      <c r="AX4754" s="498">
        <f t="shared" si="1650"/>
        <v>0</v>
      </c>
      <c r="AY4754" s="498">
        <f t="shared" si="1651"/>
        <v>0</v>
      </c>
      <c r="BB4754" s="498" t="str">
        <f t="shared" si="1652"/>
        <v/>
      </c>
      <c r="BC4754" s="743" t="str">
        <f t="shared" si="1653"/>
        <v/>
      </c>
      <c r="BD4754" s="743" t="str">
        <f t="shared" si="1654"/>
        <v/>
      </c>
      <c r="BE4754" s="743" t="str">
        <f>IF(D4754="","",VLOOKUP(D4754,'General Basis'!$J$39:$K$46,2,0))</f>
        <v/>
      </c>
      <c r="BF4754" s="744" t="str">
        <f>IF(D4754="","",VLOOKUP(D4754,'General Basis'!$J$39:$L$46,3,0))</f>
        <v/>
      </c>
      <c r="BG4754" s="744" t="str">
        <f t="shared" si="1661"/>
        <v/>
      </c>
      <c r="BH4754" s="744" t="str">
        <f>IF(G4754="","",IF(BF4754="Abu Dhabi",IF(G4754&lt;18,'General Basis'!$C$39,IF(G4754&lt;41,'General Basis'!$C$40,IF(G4754&lt;60,'General Basis'!$C$41,IF(G4754&lt;65,'General Basis'!$C$42,'General Basis'!$C$43)))),IF(G4754&lt;11,'General Basis'!$B$39,IF(G4754&lt;18,'General Basis'!$B$40,IF(G4754&lt;26,'General Basis'!$B$41,IF(G4754&lt;31,'General Basis'!$B$42,IF(G4754&lt;36,'General Basis'!$B$43,IF(G4754&lt;41,'General Basis'!$B$44,IF(G4754&lt;46,'General Basis'!$B$45,IF(G4754&lt;51,'General Basis'!$B$46,IF(G4754&lt;56,'General Basis'!$B$47,IF(G4754&lt;60,'General Basis'!$B$48,IF(G4754&lt;65,'General Basis'!$B$49,'General Basis'!$B$50)))))))))))))</f>
        <v/>
      </c>
      <c r="BI4754" s="744" t="str">
        <f t="shared" si="1655"/>
        <v/>
      </c>
      <c r="BJ4754" s="747" t="str">
        <f t="shared" si="1662"/>
        <v/>
      </c>
      <c r="BK4754" s="498" t="str">
        <f t="shared" si="1656"/>
        <v/>
      </c>
      <c r="BL4754" s="498" t="str">
        <f t="shared" si="1657"/>
        <v/>
      </c>
    </row>
    <row r="4755" spans="1:64" x14ac:dyDescent="0.25">
      <c r="A4755" s="762">
        <f t="shared" si="1658"/>
        <v>4750</v>
      </c>
      <c r="B4755" s="229"/>
      <c r="C4755" s="223"/>
      <c r="D4755" s="224"/>
      <c r="E4755" s="225"/>
      <c r="F4755" s="1036" t="str">
        <f t="shared" si="1664"/>
        <v/>
      </c>
      <c r="G4755" s="1037" t="str">
        <f t="shared" si="1659"/>
        <v/>
      </c>
      <c r="H4755" s="225"/>
      <c r="I4755" s="1013"/>
      <c r="J4755" s="1013"/>
      <c r="K4755" s="1028"/>
      <c r="L4755" s="1035" t="str">
        <f t="shared" si="1663"/>
        <v/>
      </c>
      <c r="S4755" s="498"/>
      <c r="AJ4755" s="498"/>
      <c r="AM4755" s="498">
        <f t="shared" si="1644"/>
        <v>0</v>
      </c>
      <c r="AN4755" s="498">
        <f t="shared" si="1645"/>
        <v>0</v>
      </c>
      <c r="AO4755" s="498">
        <f t="shared" si="1646"/>
        <v>0</v>
      </c>
      <c r="AP4755" s="498">
        <f t="shared" ref="AP4755:AP4818" si="1665">IF(ISBLANK($B4755),0,IF(OR($C4755="M",$C4755="F"),0,1))</f>
        <v>0</v>
      </c>
      <c r="AQ4755" s="498">
        <f t="shared" si="1660"/>
        <v>0</v>
      </c>
      <c r="AU4755" s="498">
        <f t="shared" si="1647"/>
        <v>0</v>
      </c>
      <c r="AV4755" s="498">
        <f t="shared" si="1648"/>
        <v>0</v>
      </c>
      <c r="AW4755" s="498">
        <f t="shared" si="1649"/>
        <v>0</v>
      </c>
      <c r="AX4755" s="498">
        <f t="shared" si="1650"/>
        <v>0</v>
      </c>
      <c r="AY4755" s="498">
        <f t="shared" si="1651"/>
        <v>0</v>
      </c>
      <c r="BB4755" s="498" t="str">
        <f t="shared" si="1652"/>
        <v/>
      </c>
      <c r="BC4755" s="743" t="str">
        <f t="shared" si="1653"/>
        <v/>
      </c>
      <c r="BD4755" s="743" t="str">
        <f t="shared" si="1654"/>
        <v/>
      </c>
      <c r="BE4755" s="743" t="str">
        <f>IF(D4755="","",VLOOKUP(D4755,'General Basis'!$J$39:$K$46,2,0))</f>
        <v/>
      </c>
      <c r="BF4755" s="744" t="str">
        <f>IF(D4755="","",VLOOKUP(D4755,'General Basis'!$J$39:$L$46,3,0))</f>
        <v/>
      </c>
      <c r="BG4755" s="744" t="str">
        <f t="shared" si="1661"/>
        <v/>
      </c>
      <c r="BH4755" s="744" t="str">
        <f>IF(G4755="","",IF(BF4755="Abu Dhabi",IF(G4755&lt;18,'General Basis'!$C$39,IF(G4755&lt;41,'General Basis'!$C$40,IF(G4755&lt;60,'General Basis'!$C$41,IF(G4755&lt;65,'General Basis'!$C$42,'General Basis'!$C$43)))),IF(G4755&lt;11,'General Basis'!$B$39,IF(G4755&lt;18,'General Basis'!$B$40,IF(G4755&lt;26,'General Basis'!$B$41,IF(G4755&lt;31,'General Basis'!$B$42,IF(G4755&lt;36,'General Basis'!$B$43,IF(G4755&lt;41,'General Basis'!$B$44,IF(G4755&lt;46,'General Basis'!$B$45,IF(G4755&lt;51,'General Basis'!$B$46,IF(G4755&lt;56,'General Basis'!$B$47,IF(G4755&lt;60,'General Basis'!$B$48,IF(G4755&lt;65,'General Basis'!$B$49,'General Basis'!$B$50)))))))))))))</f>
        <v/>
      </c>
      <c r="BI4755" s="744" t="str">
        <f t="shared" si="1655"/>
        <v/>
      </c>
      <c r="BJ4755" s="747" t="str">
        <f t="shared" si="1662"/>
        <v/>
      </c>
      <c r="BK4755" s="498" t="str">
        <f t="shared" si="1656"/>
        <v/>
      </c>
      <c r="BL4755" s="498" t="str">
        <f t="shared" si="1657"/>
        <v/>
      </c>
    </row>
    <row r="4756" spans="1:64" x14ac:dyDescent="0.25">
      <c r="A4756" s="762">
        <f t="shared" si="1658"/>
        <v>4751</v>
      </c>
      <c r="B4756" s="229"/>
      <c r="C4756" s="223"/>
      <c r="D4756" s="224"/>
      <c r="E4756" s="225"/>
      <c r="F4756" s="1036" t="str">
        <f t="shared" si="1664"/>
        <v/>
      </c>
      <c r="G4756" s="1037" t="str">
        <f t="shared" si="1659"/>
        <v/>
      </c>
      <c r="H4756" s="225"/>
      <c r="I4756" s="1013"/>
      <c r="J4756" s="1013"/>
      <c r="K4756" s="1028"/>
      <c r="L4756" s="1035" t="str">
        <f t="shared" si="1663"/>
        <v/>
      </c>
      <c r="S4756" s="498"/>
      <c r="AJ4756" s="498"/>
      <c r="AM4756" s="498">
        <f t="shared" si="1644"/>
        <v>0</v>
      </c>
      <c r="AN4756" s="498">
        <f t="shared" si="1645"/>
        <v>0</v>
      </c>
      <c r="AO4756" s="498">
        <f t="shared" si="1646"/>
        <v>0</v>
      </c>
      <c r="AP4756" s="498">
        <f t="shared" si="1665"/>
        <v>0</v>
      </c>
      <c r="AQ4756" s="498">
        <f t="shared" si="1660"/>
        <v>0</v>
      </c>
      <c r="AU4756" s="498">
        <f t="shared" si="1647"/>
        <v>0</v>
      </c>
      <c r="AV4756" s="498">
        <f t="shared" si="1648"/>
        <v>0</v>
      </c>
      <c r="AW4756" s="498">
        <f t="shared" si="1649"/>
        <v>0</v>
      </c>
      <c r="AX4756" s="498">
        <f t="shared" si="1650"/>
        <v>0</v>
      </c>
      <c r="AY4756" s="498">
        <f t="shared" si="1651"/>
        <v>0</v>
      </c>
      <c r="BB4756" s="498" t="str">
        <f t="shared" si="1652"/>
        <v/>
      </c>
      <c r="BC4756" s="743" t="str">
        <f t="shared" si="1653"/>
        <v/>
      </c>
      <c r="BD4756" s="743" t="str">
        <f t="shared" si="1654"/>
        <v/>
      </c>
      <c r="BE4756" s="743" t="str">
        <f>IF(D4756="","",VLOOKUP(D4756,'General Basis'!$J$39:$K$46,2,0))</f>
        <v/>
      </c>
      <c r="BF4756" s="744" t="str">
        <f>IF(D4756="","",VLOOKUP(D4756,'General Basis'!$J$39:$L$46,3,0))</f>
        <v/>
      </c>
      <c r="BG4756" s="744" t="str">
        <f t="shared" si="1661"/>
        <v/>
      </c>
      <c r="BH4756" s="744" t="str">
        <f>IF(G4756="","",IF(BF4756="Abu Dhabi",IF(G4756&lt;18,'General Basis'!$C$39,IF(G4756&lt;41,'General Basis'!$C$40,IF(G4756&lt;60,'General Basis'!$C$41,IF(G4756&lt;65,'General Basis'!$C$42,'General Basis'!$C$43)))),IF(G4756&lt;11,'General Basis'!$B$39,IF(G4756&lt;18,'General Basis'!$B$40,IF(G4756&lt;26,'General Basis'!$B$41,IF(G4756&lt;31,'General Basis'!$B$42,IF(G4756&lt;36,'General Basis'!$B$43,IF(G4756&lt;41,'General Basis'!$B$44,IF(G4756&lt;46,'General Basis'!$B$45,IF(G4756&lt;51,'General Basis'!$B$46,IF(G4756&lt;56,'General Basis'!$B$47,IF(G4756&lt;60,'General Basis'!$B$48,IF(G4756&lt;65,'General Basis'!$B$49,'General Basis'!$B$50)))))))))))))</f>
        <v/>
      </c>
      <c r="BI4756" s="744" t="str">
        <f t="shared" si="1655"/>
        <v/>
      </c>
      <c r="BJ4756" s="747" t="str">
        <f t="shared" si="1662"/>
        <v/>
      </c>
      <c r="BK4756" s="498" t="str">
        <f t="shared" si="1656"/>
        <v/>
      </c>
      <c r="BL4756" s="498" t="str">
        <f t="shared" si="1657"/>
        <v/>
      </c>
    </row>
    <row r="4757" spans="1:64" x14ac:dyDescent="0.25">
      <c r="A4757" s="762">
        <f t="shared" si="1658"/>
        <v>4752</v>
      </c>
      <c r="B4757" s="229"/>
      <c r="C4757" s="223"/>
      <c r="D4757" s="224"/>
      <c r="E4757" s="225"/>
      <c r="F4757" s="1036" t="str">
        <f t="shared" si="1664"/>
        <v/>
      </c>
      <c r="G4757" s="1037" t="str">
        <f t="shared" si="1659"/>
        <v/>
      </c>
      <c r="H4757" s="225"/>
      <c r="I4757" s="1013"/>
      <c r="J4757" s="1013"/>
      <c r="K4757" s="1028"/>
      <c r="L4757" s="1035" t="str">
        <f t="shared" si="1663"/>
        <v/>
      </c>
      <c r="S4757" s="498"/>
      <c r="AJ4757" s="498"/>
      <c r="AM4757" s="498">
        <f t="shared" si="1644"/>
        <v>0</v>
      </c>
      <c r="AN4757" s="498">
        <f t="shared" si="1645"/>
        <v>0</v>
      </c>
      <c r="AO4757" s="498">
        <f t="shared" si="1646"/>
        <v>0</v>
      </c>
      <c r="AP4757" s="498">
        <f t="shared" si="1665"/>
        <v>0</v>
      </c>
      <c r="AQ4757" s="498">
        <f t="shared" si="1660"/>
        <v>0</v>
      </c>
      <c r="AU4757" s="498">
        <f t="shared" si="1647"/>
        <v>0</v>
      </c>
      <c r="AV4757" s="498">
        <f t="shared" si="1648"/>
        <v>0</v>
      </c>
      <c r="AW4757" s="498">
        <f t="shared" si="1649"/>
        <v>0</v>
      </c>
      <c r="AX4757" s="498">
        <f t="shared" si="1650"/>
        <v>0</v>
      </c>
      <c r="AY4757" s="498">
        <f t="shared" si="1651"/>
        <v>0</v>
      </c>
      <c r="BB4757" s="498" t="str">
        <f t="shared" si="1652"/>
        <v/>
      </c>
      <c r="BC4757" s="743" t="str">
        <f t="shared" si="1653"/>
        <v/>
      </c>
      <c r="BD4757" s="743" t="str">
        <f t="shared" si="1654"/>
        <v/>
      </c>
      <c r="BE4757" s="743" t="str">
        <f>IF(D4757="","",VLOOKUP(D4757,'General Basis'!$J$39:$K$46,2,0))</f>
        <v/>
      </c>
      <c r="BF4757" s="744" t="str">
        <f>IF(D4757="","",VLOOKUP(D4757,'General Basis'!$J$39:$L$46,3,0))</f>
        <v/>
      </c>
      <c r="BG4757" s="744" t="str">
        <f t="shared" si="1661"/>
        <v/>
      </c>
      <c r="BH4757" s="744" t="str">
        <f>IF(G4757="","",IF(BF4757="Abu Dhabi",IF(G4757&lt;18,'General Basis'!$C$39,IF(G4757&lt;41,'General Basis'!$C$40,IF(G4757&lt;60,'General Basis'!$C$41,IF(G4757&lt;65,'General Basis'!$C$42,'General Basis'!$C$43)))),IF(G4757&lt;11,'General Basis'!$B$39,IF(G4757&lt;18,'General Basis'!$B$40,IF(G4757&lt;26,'General Basis'!$B$41,IF(G4757&lt;31,'General Basis'!$B$42,IF(G4757&lt;36,'General Basis'!$B$43,IF(G4757&lt;41,'General Basis'!$B$44,IF(G4757&lt;46,'General Basis'!$B$45,IF(G4757&lt;51,'General Basis'!$B$46,IF(G4757&lt;56,'General Basis'!$B$47,IF(G4757&lt;60,'General Basis'!$B$48,IF(G4757&lt;65,'General Basis'!$B$49,'General Basis'!$B$50)))))))))))))</f>
        <v/>
      </c>
      <c r="BI4757" s="744" t="str">
        <f t="shared" si="1655"/>
        <v/>
      </c>
      <c r="BJ4757" s="747" t="str">
        <f t="shared" si="1662"/>
        <v/>
      </c>
      <c r="BK4757" s="498" t="str">
        <f t="shared" si="1656"/>
        <v/>
      </c>
      <c r="BL4757" s="498" t="str">
        <f t="shared" si="1657"/>
        <v/>
      </c>
    </row>
    <row r="4758" spans="1:64" x14ac:dyDescent="0.25">
      <c r="A4758" s="762">
        <f t="shared" si="1658"/>
        <v>4753</v>
      </c>
      <c r="B4758" s="229"/>
      <c r="C4758" s="223"/>
      <c r="D4758" s="224"/>
      <c r="E4758" s="225"/>
      <c r="F4758" s="1036" t="str">
        <f t="shared" si="1664"/>
        <v/>
      </c>
      <c r="G4758" s="1037" t="str">
        <f t="shared" si="1659"/>
        <v/>
      </c>
      <c r="H4758" s="225"/>
      <c r="I4758" s="1013"/>
      <c r="J4758" s="1013"/>
      <c r="K4758" s="1028"/>
      <c r="L4758" s="1035" t="str">
        <f t="shared" si="1663"/>
        <v/>
      </c>
      <c r="S4758" s="498"/>
      <c r="AJ4758" s="498"/>
      <c r="AM4758" s="498">
        <f t="shared" si="1644"/>
        <v>0</v>
      </c>
      <c r="AN4758" s="498">
        <f t="shared" si="1645"/>
        <v>0</v>
      </c>
      <c r="AO4758" s="498">
        <f t="shared" si="1646"/>
        <v>0</v>
      </c>
      <c r="AP4758" s="498">
        <f t="shared" si="1665"/>
        <v>0</v>
      </c>
      <c r="AQ4758" s="498">
        <f t="shared" si="1660"/>
        <v>0</v>
      </c>
      <c r="AU4758" s="498">
        <f t="shared" si="1647"/>
        <v>0</v>
      </c>
      <c r="AV4758" s="498">
        <f t="shared" si="1648"/>
        <v>0</v>
      </c>
      <c r="AW4758" s="498">
        <f t="shared" si="1649"/>
        <v>0</v>
      </c>
      <c r="AX4758" s="498">
        <f t="shared" si="1650"/>
        <v>0</v>
      </c>
      <c r="AY4758" s="498">
        <f t="shared" si="1651"/>
        <v>0</v>
      </c>
      <c r="BB4758" s="498" t="str">
        <f t="shared" si="1652"/>
        <v/>
      </c>
      <c r="BC4758" s="743" t="str">
        <f t="shared" si="1653"/>
        <v/>
      </c>
      <c r="BD4758" s="743" t="str">
        <f t="shared" si="1654"/>
        <v/>
      </c>
      <c r="BE4758" s="743" t="str">
        <f>IF(D4758="","",VLOOKUP(D4758,'General Basis'!$J$39:$K$46,2,0))</f>
        <v/>
      </c>
      <c r="BF4758" s="744" t="str">
        <f>IF(D4758="","",VLOOKUP(D4758,'General Basis'!$J$39:$L$46,3,0))</f>
        <v/>
      </c>
      <c r="BG4758" s="744" t="str">
        <f t="shared" si="1661"/>
        <v/>
      </c>
      <c r="BH4758" s="744" t="str">
        <f>IF(G4758="","",IF(BF4758="Abu Dhabi",IF(G4758&lt;18,'General Basis'!$C$39,IF(G4758&lt;41,'General Basis'!$C$40,IF(G4758&lt;60,'General Basis'!$C$41,IF(G4758&lt;65,'General Basis'!$C$42,'General Basis'!$C$43)))),IF(G4758&lt;11,'General Basis'!$B$39,IF(G4758&lt;18,'General Basis'!$B$40,IF(G4758&lt;26,'General Basis'!$B$41,IF(G4758&lt;31,'General Basis'!$B$42,IF(G4758&lt;36,'General Basis'!$B$43,IF(G4758&lt;41,'General Basis'!$B$44,IF(G4758&lt;46,'General Basis'!$B$45,IF(G4758&lt;51,'General Basis'!$B$46,IF(G4758&lt;56,'General Basis'!$B$47,IF(G4758&lt;60,'General Basis'!$B$48,IF(G4758&lt;65,'General Basis'!$B$49,'General Basis'!$B$50)))))))))))))</f>
        <v/>
      </c>
      <c r="BI4758" s="744" t="str">
        <f t="shared" si="1655"/>
        <v/>
      </c>
      <c r="BJ4758" s="747" t="str">
        <f t="shared" si="1662"/>
        <v/>
      </c>
      <c r="BK4758" s="498" t="str">
        <f t="shared" si="1656"/>
        <v/>
      </c>
      <c r="BL4758" s="498" t="str">
        <f t="shared" si="1657"/>
        <v/>
      </c>
    </row>
    <row r="4759" spans="1:64" x14ac:dyDescent="0.25">
      <c r="A4759" s="762">
        <f t="shared" si="1658"/>
        <v>4754</v>
      </c>
      <c r="B4759" s="229"/>
      <c r="C4759" s="223"/>
      <c r="D4759" s="224"/>
      <c r="E4759" s="225"/>
      <c r="F4759" s="1036" t="str">
        <f t="shared" si="1664"/>
        <v/>
      </c>
      <c r="G4759" s="1037" t="str">
        <f t="shared" si="1659"/>
        <v/>
      </c>
      <c r="H4759" s="225"/>
      <c r="I4759" s="1013"/>
      <c r="J4759" s="1013"/>
      <c r="K4759" s="1028"/>
      <c r="L4759" s="1035" t="str">
        <f t="shared" si="1663"/>
        <v/>
      </c>
      <c r="S4759" s="498"/>
      <c r="AJ4759" s="498"/>
      <c r="AM4759" s="498">
        <f t="shared" si="1644"/>
        <v>0</v>
      </c>
      <c r="AN4759" s="498">
        <f t="shared" si="1645"/>
        <v>0</v>
      </c>
      <c r="AO4759" s="498">
        <f t="shared" si="1646"/>
        <v>0</v>
      </c>
      <c r="AP4759" s="498">
        <f t="shared" si="1665"/>
        <v>0</v>
      </c>
      <c r="AQ4759" s="498">
        <f t="shared" si="1660"/>
        <v>0</v>
      </c>
      <c r="AU4759" s="498">
        <f t="shared" si="1647"/>
        <v>0</v>
      </c>
      <c r="AV4759" s="498">
        <f t="shared" si="1648"/>
        <v>0</v>
      </c>
      <c r="AW4759" s="498">
        <f t="shared" si="1649"/>
        <v>0</v>
      </c>
      <c r="AX4759" s="498">
        <f t="shared" si="1650"/>
        <v>0</v>
      </c>
      <c r="AY4759" s="498">
        <f t="shared" si="1651"/>
        <v>0</v>
      </c>
      <c r="BB4759" s="498" t="str">
        <f t="shared" si="1652"/>
        <v/>
      </c>
      <c r="BC4759" s="743" t="str">
        <f t="shared" si="1653"/>
        <v/>
      </c>
      <c r="BD4759" s="743" t="str">
        <f t="shared" si="1654"/>
        <v/>
      </c>
      <c r="BE4759" s="743" t="str">
        <f>IF(D4759="","",VLOOKUP(D4759,'General Basis'!$J$39:$K$46,2,0))</f>
        <v/>
      </c>
      <c r="BF4759" s="744" t="str">
        <f>IF(D4759="","",VLOOKUP(D4759,'General Basis'!$J$39:$L$46,3,0))</f>
        <v/>
      </c>
      <c r="BG4759" s="744" t="str">
        <f t="shared" si="1661"/>
        <v/>
      </c>
      <c r="BH4759" s="744" t="str">
        <f>IF(G4759="","",IF(BF4759="Abu Dhabi",IF(G4759&lt;18,'General Basis'!$C$39,IF(G4759&lt;41,'General Basis'!$C$40,IF(G4759&lt;60,'General Basis'!$C$41,IF(G4759&lt;65,'General Basis'!$C$42,'General Basis'!$C$43)))),IF(G4759&lt;11,'General Basis'!$B$39,IF(G4759&lt;18,'General Basis'!$B$40,IF(G4759&lt;26,'General Basis'!$B$41,IF(G4759&lt;31,'General Basis'!$B$42,IF(G4759&lt;36,'General Basis'!$B$43,IF(G4759&lt;41,'General Basis'!$B$44,IF(G4759&lt;46,'General Basis'!$B$45,IF(G4759&lt;51,'General Basis'!$B$46,IF(G4759&lt;56,'General Basis'!$B$47,IF(G4759&lt;60,'General Basis'!$B$48,IF(G4759&lt;65,'General Basis'!$B$49,'General Basis'!$B$50)))))))))))))</f>
        <v/>
      </c>
      <c r="BI4759" s="744" t="str">
        <f t="shared" si="1655"/>
        <v/>
      </c>
      <c r="BJ4759" s="747" t="str">
        <f t="shared" si="1662"/>
        <v/>
      </c>
      <c r="BK4759" s="498" t="str">
        <f t="shared" si="1656"/>
        <v/>
      </c>
      <c r="BL4759" s="498" t="str">
        <f t="shared" si="1657"/>
        <v/>
      </c>
    </row>
    <row r="4760" spans="1:64" x14ac:dyDescent="0.25">
      <c r="A4760" s="762">
        <f t="shared" si="1658"/>
        <v>4755</v>
      </c>
      <c r="B4760" s="229"/>
      <c r="C4760" s="223"/>
      <c r="D4760" s="224"/>
      <c r="E4760" s="225"/>
      <c r="F4760" s="1036" t="str">
        <f t="shared" si="1664"/>
        <v/>
      </c>
      <c r="G4760" s="1037" t="str">
        <f t="shared" si="1659"/>
        <v/>
      </c>
      <c r="H4760" s="225"/>
      <c r="I4760" s="1013"/>
      <c r="J4760" s="1013"/>
      <c r="K4760" s="1028"/>
      <c r="L4760" s="1035" t="str">
        <f t="shared" si="1663"/>
        <v/>
      </c>
      <c r="S4760" s="498"/>
      <c r="AJ4760" s="498"/>
      <c r="AM4760" s="498">
        <f t="shared" si="1644"/>
        <v>0</v>
      </c>
      <c r="AN4760" s="498">
        <f t="shared" si="1645"/>
        <v>0</v>
      </c>
      <c r="AO4760" s="498">
        <f t="shared" si="1646"/>
        <v>0</v>
      </c>
      <c r="AP4760" s="498">
        <f t="shared" si="1665"/>
        <v>0</v>
      </c>
      <c r="AQ4760" s="498">
        <f t="shared" si="1660"/>
        <v>0</v>
      </c>
      <c r="AU4760" s="498">
        <f t="shared" si="1647"/>
        <v>0</v>
      </c>
      <c r="AV4760" s="498">
        <f t="shared" si="1648"/>
        <v>0</v>
      </c>
      <c r="AW4760" s="498">
        <f t="shared" si="1649"/>
        <v>0</v>
      </c>
      <c r="AX4760" s="498">
        <f t="shared" si="1650"/>
        <v>0</v>
      </c>
      <c r="AY4760" s="498">
        <f t="shared" si="1651"/>
        <v>0</v>
      </c>
      <c r="BB4760" s="498" t="str">
        <f t="shared" si="1652"/>
        <v/>
      </c>
      <c r="BC4760" s="743" t="str">
        <f t="shared" si="1653"/>
        <v/>
      </c>
      <c r="BD4760" s="743" t="str">
        <f t="shared" si="1654"/>
        <v/>
      </c>
      <c r="BE4760" s="743" t="str">
        <f>IF(D4760="","",VLOOKUP(D4760,'General Basis'!$J$39:$K$46,2,0))</f>
        <v/>
      </c>
      <c r="BF4760" s="744" t="str">
        <f>IF(D4760="","",VLOOKUP(D4760,'General Basis'!$J$39:$L$46,3,0))</f>
        <v/>
      </c>
      <c r="BG4760" s="744" t="str">
        <f t="shared" si="1661"/>
        <v/>
      </c>
      <c r="BH4760" s="744" t="str">
        <f>IF(G4760="","",IF(BF4760="Abu Dhabi",IF(G4760&lt;18,'General Basis'!$C$39,IF(G4760&lt;41,'General Basis'!$C$40,IF(G4760&lt;60,'General Basis'!$C$41,IF(G4760&lt;65,'General Basis'!$C$42,'General Basis'!$C$43)))),IF(G4760&lt;11,'General Basis'!$B$39,IF(G4760&lt;18,'General Basis'!$B$40,IF(G4760&lt;26,'General Basis'!$B$41,IF(G4760&lt;31,'General Basis'!$B$42,IF(G4760&lt;36,'General Basis'!$B$43,IF(G4760&lt;41,'General Basis'!$B$44,IF(G4760&lt;46,'General Basis'!$B$45,IF(G4760&lt;51,'General Basis'!$B$46,IF(G4760&lt;56,'General Basis'!$B$47,IF(G4760&lt;60,'General Basis'!$B$48,IF(G4760&lt;65,'General Basis'!$B$49,'General Basis'!$B$50)))))))))))))</f>
        <v/>
      </c>
      <c r="BI4760" s="744" t="str">
        <f t="shared" si="1655"/>
        <v/>
      </c>
      <c r="BJ4760" s="747" t="str">
        <f t="shared" si="1662"/>
        <v/>
      </c>
      <c r="BK4760" s="498" t="str">
        <f t="shared" si="1656"/>
        <v/>
      </c>
      <c r="BL4760" s="498" t="str">
        <f t="shared" si="1657"/>
        <v/>
      </c>
    </row>
    <row r="4761" spans="1:64" x14ac:dyDescent="0.25">
      <c r="A4761" s="762">
        <f t="shared" si="1658"/>
        <v>4756</v>
      </c>
      <c r="B4761" s="229"/>
      <c r="C4761" s="223"/>
      <c r="D4761" s="224"/>
      <c r="E4761" s="225"/>
      <c r="F4761" s="1036" t="str">
        <f t="shared" si="1664"/>
        <v/>
      </c>
      <c r="G4761" s="1037" t="str">
        <f t="shared" si="1659"/>
        <v/>
      </c>
      <c r="H4761" s="225"/>
      <c r="I4761" s="1013"/>
      <c r="J4761" s="1013"/>
      <c r="K4761" s="1028"/>
      <c r="L4761" s="1035" t="str">
        <f t="shared" si="1663"/>
        <v/>
      </c>
      <c r="S4761" s="498"/>
      <c r="AJ4761" s="498"/>
      <c r="AM4761" s="498">
        <f t="shared" si="1644"/>
        <v>0</v>
      </c>
      <c r="AN4761" s="498">
        <f t="shared" si="1645"/>
        <v>0</v>
      </c>
      <c r="AO4761" s="498">
        <f t="shared" si="1646"/>
        <v>0</v>
      </c>
      <c r="AP4761" s="498">
        <f t="shared" si="1665"/>
        <v>0</v>
      </c>
      <c r="AQ4761" s="498">
        <f t="shared" si="1660"/>
        <v>0</v>
      </c>
      <c r="AU4761" s="498">
        <f t="shared" si="1647"/>
        <v>0</v>
      </c>
      <c r="AV4761" s="498">
        <f t="shared" si="1648"/>
        <v>0</v>
      </c>
      <c r="AW4761" s="498">
        <f t="shared" si="1649"/>
        <v>0</v>
      </c>
      <c r="AX4761" s="498">
        <f t="shared" si="1650"/>
        <v>0</v>
      </c>
      <c r="AY4761" s="498">
        <f t="shared" si="1651"/>
        <v>0</v>
      </c>
      <c r="BB4761" s="498" t="str">
        <f t="shared" si="1652"/>
        <v/>
      </c>
      <c r="BC4761" s="743" t="str">
        <f t="shared" si="1653"/>
        <v/>
      </c>
      <c r="BD4761" s="743" t="str">
        <f t="shared" si="1654"/>
        <v/>
      </c>
      <c r="BE4761" s="743" t="str">
        <f>IF(D4761="","",VLOOKUP(D4761,'General Basis'!$J$39:$K$46,2,0))</f>
        <v/>
      </c>
      <c r="BF4761" s="744" t="str">
        <f>IF(D4761="","",VLOOKUP(D4761,'General Basis'!$J$39:$L$46,3,0))</f>
        <v/>
      </c>
      <c r="BG4761" s="744" t="str">
        <f t="shared" si="1661"/>
        <v/>
      </c>
      <c r="BH4761" s="744" t="str">
        <f>IF(G4761="","",IF(BF4761="Abu Dhabi",IF(G4761&lt;18,'General Basis'!$C$39,IF(G4761&lt;41,'General Basis'!$C$40,IF(G4761&lt;60,'General Basis'!$C$41,IF(G4761&lt;65,'General Basis'!$C$42,'General Basis'!$C$43)))),IF(G4761&lt;11,'General Basis'!$B$39,IF(G4761&lt;18,'General Basis'!$B$40,IF(G4761&lt;26,'General Basis'!$B$41,IF(G4761&lt;31,'General Basis'!$B$42,IF(G4761&lt;36,'General Basis'!$B$43,IF(G4761&lt;41,'General Basis'!$B$44,IF(G4761&lt;46,'General Basis'!$B$45,IF(G4761&lt;51,'General Basis'!$B$46,IF(G4761&lt;56,'General Basis'!$B$47,IF(G4761&lt;60,'General Basis'!$B$48,IF(G4761&lt;65,'General Basis'!$B$49,'General Basis'!$B$50)))))))))))))</f>
        <v/>
      </c>
      <c r="BI4761" s="744" t="str">
        <f t="shared" si="1655"/>
        <v/>
      </c>
      <c r="BJ4761" s="747" t="str">
        <f t="shared" si="1662"/>
        <v/>
      </c>
      <c r="BK4761" s="498" t="str">
        <f t="shared" si="1656"/>
        <v/>
      </c>
      <c r="BL4761" s="498" t="str">
        <f t="shared" si="1657"/>
        <v/>
      </c>
    </row>
    <row r="4762" spans="1:64" x14ac:dyDescent="0.25">
      <c r="A4762" s="762">
        <f t="shared" si="1658"/>
        <v>4757</v>
      </c>
      <c r="B4762" s="229"/>
      <c r="C4762" s="223"/>
      <c r="D4762" s="224"/>
      <c r="E4762" s="225"/>
      <c r="F4762" s="1036" t="str">
        <f t="shared" si="1664"/>
        <v/>
      </c>
      <c r="G4762" s="1037" t="str">
        <f t="shared" si="1659"/>
        <v/>
      </c>
      <c r="H4762" s="225"/>
      <c r="I4762" s="1013"/>
      <c r="J4762" s="1013"/>
      <c r="K4762" s="1028"/>
      <c r="L4762" s="1035" t="str">
        <f t="shared" si="1663"/>
        <v/>
      </c>
      <c r="S4762" s="498"/>
      <c r="AJ4762" s="498"/>
      <c r="AM4762" s="498">
        <f t="shared" si="1644"/>
        <v>0</v>
      </c>
      <c r="AN4762" s="498">
        <f t="shared" si="1645"/>
        <v>0</v>
      </c>
      <c r="AO4762" s="498">
        <f t="shared" si="1646"/>
        <v>0</v>
      </c>
      <c r="AP4762" s="498">
        <f t="shared" si="1665"/>
        <v>0</v>
      </c>
      <c r="AQ4762" s="498">
        <f t="shared" si="1660"/>
        <v>0</v>
      </c>
      <c r="AU4762" s="498">
        <f t="shared" si="1647"/>
        <v>0</v>
      </c>
      <c r="AV4762" s="498">
        <f t="shared" si="1648"/>
        <v>0</v>
      </c>
      <c r="AW4762" s="498">
        <f t="shared" si="1649"/>
        <v>0</v>
      </c>
      <c r="AX4762" s="498">
        <f t="shared" si="1650"/>
        <v>0</v>
      </c>
      <c r="AY4762" s="498">
        <f t="shared" si="1651"/>
        <v>0</v>
      </c>
      <c r="BB4762" s="498" t="str">
        <f t="shared" si="1652"/>
        <v/>
      </c>
      <c r="BC4762" s="743" t="str">
        <f t="shared" si="1653"/>
        <v/>
      </c>
      <c r="BD4762" s="743" t="str">
        <f t="shared" si="1654"/>
        <v/>
      </c>
      <c r="BE4762" s="743" t="str">
        <f>IF(D4762="","",VLOOKUP(D4762,'General Basis'!$J$39:$K$46,2,0))</f>
        <v/>
      </c>
      <c r="BF4762" s="744" t="str">
        <f>IF(D4762="","",VLOOKUP(D4762,'General Basis'!$J$39:$L$46,3,0))</f>
        <v/>
      </c>
      <c r="BG4762" s="744" t="str">
        <f t="shared" si="1661"/>
        <v/>
      </c>
      <c r="BH4762" s="744" t="str">
        <f>IF(G4762="","",IF(BF4762="Abu Dhabi",IF(G4762&lt;18,'General Basis'!$C$39,IF(G4762&lt;41,'General Basis'!$C$40,IF(G4762&lt;60,'General Basis'!$C$41,IF(G4762&lt;65,'General Basis'!$C$42,'General Basis'!$C$43)))),IF(G4762&lt;11,'General Basis'!$B$39,IF(G4762&lt;18,'General Basis'!$B$40,IF(G4762&lt;26,'General Basis'!$B$41,IF(G4762&lt;31,'General Basis'!$B$42,IF(G4762&lt;36,'General Basis'!$B$43,IF(G4762&lt;41,'General Basis'!$B$44,IF(G4762&lt;46,'General Basis'!$B$45,IF(G4762&lt;51,'General Basis'!$B$46,IF(G4762&lt;56,'General Basis'!$B$47,IF(G4762&lt;60,'General Basis'!$B$48,IF(G4762&lt;65,'General Basis'!$B$49,'General Basis'!$B$50)))))))))))))</f>
        <v/>
      </c>
      <c r="BI4762" s="744" t="str">
        <f t="shared" si="1655"/>
        <v/>
      </c>
      <c r="BJ4762" s="747" t="str">
        <f t="shared" si="1662"/>
        <v/>
      </c>
      <c r="BK4762" s="498" t="str">
        <f t="shared" si="1656"/>
        <v/>
      </c>
      <c r="BL4762" s="498" t="str">
        <f t="shared" si="1657"/>
        <v/>
      </c>
    </row>
    <row r="4763" spans="1:64" x14ac:dyDescent="0.25">
      <c r="A4763" s="762">
        <f t="shared" si="1658"/>
        <v>4758</v>
      </c>
      <c r="B4763" s="229"/>
      <c r="C4763" s="223"/>
      <c r="D4763" s="224"/>
      <c r="E4763" s="225"/>
      <c r="F4763" s="1036" t="str">
        <f t="shared" si="1664"/>
        <v/>
      </c>
      <c r="G4763" s="1037" t="str">
        <f t="shared" si="1659"/>
        <v/>
      </c>
      <c r="H4763" s="225"/>
      <c r="I4763" s="1013"/>
      <c r="J4763" s="1013"/>
      <c r="K4763" s="1028"/>
      <c r="L4763" s="1035" t="str">
        <f t="shared" si="1663"/>
        <v/>
      </c>
      <c r="S4763" s="498"/>
      <c r="AJ4763" s="498"/>
      <c r="AM4763" s="498">
        <f t="shared" si="1644"/>
        <v>0</v>
      </c>
      <c r="AN4763" s="498">
        <f t="shared" si="1645"/>
        <v>0</v>
      </c>
      <c r="AO4763" s="498">
        <f t="shared" si="1646"/>
        <v>0</v>
      </c>
      <c r="AP4763" s="498">
        <f t="shared" si="1665"/>
        <v>0</v>
      </c>
      <c r="AQ4763" s="498">
        <f t="shared" si="1660"/>
        <v>0</v>
      </c>
      <c r="AU4763" s="498">
        <f t="shared" si="1647"/>
        <v>0</v>
      </c>
      <c r="AV4763" s="498">
        <f t="shared" si="1648"/>
        <v>0</v>
      </c>
      <c r="AW4763" s="498">
        <f t="shared" si="1649"/>
        <v>0</v>
      </c>
      <c r="AX4763" s="498">
        <f t="shared" si="1650"/>
        <v>0</v>
      </c>
      <c r="AY4763" s="498">
        <f t="shared" si="1651"/>
        <v>0</v>
      </c>
      <c r="BB4763" s="498" t="str">
        <f t="shared" si="1652"/>
        <v/>
      </c>
      <c r="BC4763" s="743" t="str">
        <f t="shared" si="1653"/>
        <v/>
      </c>
      <c r="BD4763" s="743" t="str">
        <f t="shared" si="1654"/>
        <v/>
      </c>
      <c r="BE4763" s="743" t="str">
        <f>IF(D4763="","",VLOOKUP(D4763,'General Basis'!$J$39:$K$46,2,0))</f>
        <v/>
      </c>
      <c r="BF4763" s="744" t="str">
        <f>IF(D4763="","",VLOOKUP(D4763,'General Basis'!$J$39:$L$46,3,0))</f>
        <v/>
      </c>
      <c r="BG4763" s="744" t="str">
        <f t="shared" si="1661"/>
        <v/>
      </c>
      <c r="BH4763" s="744" t="str">
        <f>IF(G4763="","",IF(BF4763="Abu Dhabi",IF(G4763&lt;18,'General Basis'!$C$39,IF(G4763&lt;41,'General Basis'!$C$40,IF(G4763&lt;60,'General Basis'!$C$41,IF(G4763&lt;65,'General Basis'!$C$42,'General Basis'!$C$43)))),IF(G4763&lt;11,'General Basis'!$B$39,IF(G4763&lt;18,'General Basis'!$B$40,IF(G4763&lt;26,'General Basis'!$B$41,IF(G4763&lt;31,'General Basis'!$B$42,IF(G4763&lt;36,'General Basis'!$B$43,IF(G4763&lt;41,'General Basis'!$B$44,IF(G4763&lt;46,'General Basis'!$B$45,IF(G4763&lt;51,'General Basis'!$B$46,IF(G4763&lt;56,'General Basis'!$B$47,IF(G4763&lt;60,'General Basis'!$B$48,IF(G4763&lt;65,'General Basis'!$B$49,'General Basis'!$B$50)))))))))))))</f>
        <v/>
      </c>
      <c r="BI4763" s="744" t="str">
        <f t="shared" si="1655"/>
        <v/>
      </c>
      <c r="BJ4763" s="747" t="str">
        <f t="shared" si="1662"/>
        <v/>
      </c>
      <c r="BK4763" s="498" t="str">
        <f t="shared" si="1656"/>
        <v/>
      </c>
      <c r="BL4763" s="498" t="str">
        <f t="shared" si="1657"/>
        <v/>
      </c>
    </row>
    <row r="4764" spans="1:64" x14ac:dyDescent="0.25">
      <c r="A4764" s="762">
        <f t="shared" si="1658"/>
        <v>4759</v>
      </c>
      <c r="B4764" s="229"/>
      <c r="C4764" s="223"/>
      <c r="D4764" s="224"/>
      <c r="E4764" s="225"/>
      <c r="F4764" s="1036" t="str">
        <f t="shared" si="1664"/>
        <v/>
      </c>
      <c r="G4764" s="1037" t="str">
        <f t="shared" si="1659"/>
        <v/>
      </c>
      <c r="H4764" s="225"/>
      <c r="I4764" s="1013"/>
      <c r="J4764" s="1013"/>
      <c r="K4764" s="1028"/>
      <c r="L4764" s="1035" t="str">
        <f t="shared" si="1663"/>
        <v/>
      </c>
      <c r="S4764" s="498"/>
      <c r="AJ4764" s="498"/>
      <c r="AM4764" s="498">
        <f t="shared" si="1644"/>
        <v>0</v>
      </c>
      <c r="AN4764" s="498">
        <f t="shared" si="1645"/>
        <v>0</v>
      </c>
      <c r="AO4764" s="498">
        <f t="shared" si="1646"/>
        <v>0</v>
      </c>
      <c r="AP4764" s="498">
        <f t="shared" si="1665"/>
        <v>0</v>
      </c>
      <c r="AQ4764" s="498">
        <f t="shared" si="1660"/>
        <v>0</v>
      </c>
      <c r="AU4764" s="498">
        <f t="shared" si="1647"/>
        <v>0</v>
      </c>
      <c r="AV4764" s="498">
        <f t="shared" si="1648"/>
        <v>0</v>
      </c>
      <c r="AW4764" s="498">
        <f t="shared" si="1649"/>
        <v>0</v>
      </c>
      <c r="AX4764" s="498">
        <f t="shared" si="1650"/>
        <v>0</v>
      </c>
      <c r="AY4764" s="498">
        <f t="shared" si="1651"/>
        <v>0</v>
      </c>
      <c r="BB4764" s="498" t="str">
        <f t="shared" si="1652"/>
        <v/>
      </c>
      <c r="BC4764" s="743" t="str">
        <f t="shared" si="1653"/>
        <v/>
      </c>
      <c r="BD4764" s="743" t="str">
        <f t="shared" si="1654"/>
        <v/>
      </c>
      <c r="BE4764" s="743" t="str">
        <f>IF(D4764="","",VLOOKUP(D4764,'General Basis'!$J$39:$K$46,2,0))</f>
        <v/>
      </c>
      <c r="BF4764" s="744" t="str">
        <f>IF(D4764="","",VLOOKUP(D4764,'General Basis'!$J$39:$L$46,3,0))</f>
        <v/>
      </c>
      <c r="BG4764" s="744" t="str">
        <f t="shared" si="1661"/>
        <v/>
      </c>
      <c r="BH4764" s="744" t="str">
        <f>IF(G4764="","",IF(BF4764="Abu Dhabi",IF(G4764&lt;18,'General Basis'!$C$39,IF(G4764&lt;41,'General Basis'!$C$40,IF(G4764&lt;60,'General Basis'!$C$41,IF(G4764&lt;65,'General Basis'!$C$42,'General Basis'!$C$43)))),IF(G4764&lt;11,'General Basis'!$B$39,IF(G4764&lt;18,'General Basis'!$B$40,IF(G4764&lt;26,'General Basis'!$B$41,IF(G4764&lt;31,'General Basis'!$B$42,IF(G4764&lt;36,'General Basis'!$B$43,IF(G4764&lt;41,'General Basis'!$B$44,IF(G4764&lt;46,'General Basis'!$B$45,IF(G4764&lt;51,'General Basis'!$B$46,IF(G4764&lt;56,'General Basis'!$B$47,IF(G4764&lt;60,'General Basis'!$B$48,IF(G4764&lt;65,'General Basis'!$B$49,'General Basis'!$B$50)))))))))))))</f>
        <v/>
      </c>
      <c r="BI4764" s="744" t="str">
        <f t="shared" si="1655"/>
        <v/>
      </c>
      <c r="BJ4764" s="747" t="str">
        <f t="shared" si="1662"/>
        <v/>
      </c>
      <c r="BK4764" s="498" t="str">
        <f t="shared" si="1656"/>
        <v/>
      </c>
      <c r="BL4764" s="498" t="str">
        <f t="shared" si="1657"/>
        <v/>
      </c>
    </row>
    <row r="4765" spans="1:64" x14ac:dyDescent="0.25">
      <c r="A4765" s="762">
        <f t="shared" si="1658"/>
        <v>4760</v>
      </c>
      <c r="B4765" s="229"/>
      <c r="C4765" s="223"/>
      <c r="D4765" s="224"/>
      <c r="E4765" s="225"/>
      <c r="F4765" s="1036" t="str">
        <f t="shared" si="1664"/>
        <v/>
      </c>
      <c r="G4765" s="1037" t="str">
        <f t="shared" si="1659"/>
        <v/>
      </c>
      <c r="H4765" s="225"/>
      <c r="I4765" s="1013"/>
      <c r="J4765" s="1013"/>
      <c r="K4765" s="1028"/>
      <c r="L4765" s="1035" t="str">
        <f t="shared" si="1663"/>
        <v/>
      </c>
      <c r="S4765" s="498"/>
      <c r="AJ4765" s="498"/>
      <c r="AM4765" s="498">
        <f t="shared" si="1644"/>
        <v>0</v>
      </c>
      <c r="AN4765" s="498">
        <f t="shared" si="1645"/>
        <v>0</v>
      </c>
      <c r="AO4765" s="498">
        <f t="shared" si="1646"/>
        <v>0</v>
      </c>
      <c r="AP4765" s="498">
        <f t="shared" si="1665"/>
        <v>0</v>
      </c>
      <c r="AQ4765" s="498">
        <f t="shared" si="1660"/>
        <v>0</v>
      </c>
      <c r="AU4765" s="498">
        <f t="shared" si="1647"/>
        <v>0</v>
      </c>
      <c r="AV4765" s="498">
        <f t="shared" si="1648"/>
        <v>0</v>
      </c>
      <c r="AW4765" s="498">
        <f t="shared" si="1649"/>
        <v>0</v>
      </c>
      <c r="AX4765" s="498">
        <f t="shared" si="1650"/>
        <v>0</v>
      </c>
      <c r="AY4765" s="498">
        <f t="shared" si="1651"/>
        <v>0</v>
      </c>
      <c r="BB4765" s="498" t="str">
        <f t="shared" si="1652"/>
        <v/>
      </c>
      <c r="BC4765" s="743" t="str">
        <f t="shared" si="1653"/>
        <v/>
      </c>
      <c r="BD4765" s="743" t="str">
        <f t="shared" si="1654"/>
        <v/>
      </c>
      <c r="BE4765" s="743" t="str">
        <f>IF(D4765="","",VLOOKUP(D4765,'General Basis'!$J$39:$K$46,2,0))</f>
        <v/>
      </c>
      <c r="BF4765" s="744" t="str">
        <f>IF(D4765="","",VLOOKUP(D4765,'General Basis'!$J$39:$L$46,3,0))</f>
        <v/>
      </c>
      <c r="BG4765" s="744" t="str">
        <f t="shared" si="1661"/>
        <v/>
      </c>
      <c r="BH4765" s="744" t="str">
        <f>IF(G4765="","",IF(BF4765="Abu Dhabi",IF(G4765&lt;18,'General Basis'!$C$39,IF(G4765&lt;41,'General Basis'!$C$40,IF(G4765&lt;60,'General Basis'!$C$41,IF(G4765&lt;65,'General Basis'!$C$42,'General Basis'!$C$43)))),IF(G4765&lt;11,'General Basis'!$B$39,IF(G4765&lt;18,'General Basis'!$B$40,IF(G4765&lt;26,'General Basis'!$B$41,IF(G4765&lt;31,'General Basis'!$B$42,IF(G4765&lt;36,'General Basis'!$B$43,IF(G4765&lt;41,'General Basis'!$B$44,IF(G4765&lt;46,'General Basis'!$B$45,IF(G4765&lt;51,'General Basis'!$B$46,IF(G4765&lt;56,'General Basis'!$B$47,IF(G4765&lt;60,'General Basis'!$B$48,IF(G4765&lt;65,'General Basis'!$B$49,'General Basis'!$B$50)))))))))))))</f>
        <v/>
      </c>
      <c r="BI4765" s="744" t="str">
        <f t="shared" si="1655"/>
        <v/>
      </c>
      <c r="BJ4765" s="747" t="str">
        <f t="shared" si="1662"/>
        <v/>
      </c>
      <c r="BK4765" s="498" t="str">
        <f t="shared" si="1656"/>
        <v/>
      </c>
      <c r="BL4765" s="498" t="str">
        <f t="shared" si="1657"/>
        <v/>
      </c>
    </row>
    <row r="4766" spans="1:64" x14ac:dyDescent="0.25">
      <c r="A4766" s="762">
        <f t="shared" si="1658"/>
        <v>4761</v>
      </c>
      <c r="B4766" s="229"/>
      <c r="C4766" s="223"/>
      <c r="D4766" s="224"/>
      <c r="E4766" s="225"/>
      <c r="F4766" s="1036" t="str">
        <f t="shared" si="1664"/>
        <v/>
      </c>
      <c r="G4766" s="1037" t="str">
        <f t="shared" si="1659"/>
        <v/>
      </c>
      <c r="H4766" s="225"/>
      <c r="I4766" s="1013"/>
      <c r="J4766" s="1013"/>
      <c r="K4766" s="1028"/>
      <c r="L4766" s="1035" t="str">
        <f t="shared" si="1663"/>
        <v/>
      </c>
      <c r="S4766" s="498"/>
      <c r="AJ4766" s="498"/>
      <c r="AM4766" s="498">
        <f t="shared" si="1644"/>
        <v>0</v>
      </c>
      <c r="AN4766" s="498">
        <f t="shared" si="1645"/>
        <v>0</v>
      </c>
      <c r="AO4766" s="498">
        <f t="shared" si="1646"/>
        <v>0</v>
      </c>
      <c r="AP4766" s="498">
        <f t="shared" si="1665"/>
        <v>0</v>
      </c>
      <c r="AQ4766" s="498">
        <f t="shared" si="1660"/>
        <v>0</v>
      </c>
      <c r="AU4766" s="498">
        <f t="shared" si="1647"/>
        <v>0</v>
      </c>
      <c r="AV4766" s="498">
        <f t="shared" si="1648"/>
        <v>0</v>
      </c>
      <c r="AW4766" s="498">
        <f t="shared" si="1649"/>
        <v>0</v>
      </c>
      <c r="AX4766" s="498">
        <f t="shared" si="1650"/>
        <v>0</v>
      </c>
      <c r="AY4766" s="498">
        <f t="shared" si="1651"/>
        <v>0</v>
      </c>
      <c r="BB4766" s="498" t="str">
        <f t="shared" si="1652"/>
        <v/>
      </c>
      <c r="BC4766" s="743" t="str">
        <f t="shared" si="1653"/>
        <v/>
      </c>
      <c r="BD4766" s="743" t="str">
        <f t="shared" si="1654"/>
        <v/>
      </c>
      <c r="BE4766" s="743" t="str">
        <f>IF(D4766="","",VLOOKUP(D4766,'General Basis'!$J$39:$K$46,2,0))</f>
        <v/>
      </c>
      <c r="BF4766" s="744" t="str">
        <f>IF(D4766="","",VLOOKUP(D4766,'General Basis'!$J$39:$L$46,3,0))</f>
        <v/>
      </c>
      <c r="BG4766" s="744" t="str">
        <f t="shared" si="1661"/>
        <v/>
      </c>
      <c r="BH4766" s="744" t="str">
        <f>IF(G4766="","",IF(BF4766="Abu Dhabi",IF(G4766&lt;18,'General Basis'!$C$39,IF(G4766&lt;41,'General Basis'!$C$40,IF(G4766&lt;60,'General Basis'!$C$41,IF(G4766&lt;65,'General Basis'!$C$42,'General Basis'!$C$43)))),IF(G4766&lt;11,'General Basis'!$B$39,IF(G4766&lt;18,'General Basis'!$B$40,IF(G4766&lt;26,'General Basis'!$B$41,IF(G4766&lt;31,'General Basis'!$B$42,IF(G4766&lt;36,'General Basis'!$B$43,IF(G4766&lt;41,'General Basis'!$B$44,IF(G4766&lt;46,'General Basis'!$B$45,IF(G4766&lt;51,'General Basis'!$B$46,IF(G4766&lt;56,'General Basis'!$B$47,IF(G4766&lt;60,'General Basis'!$B$48,IF(G4766&lt;65,'General Basis'!$B$49,'General Basis'!$B$50)))))))))))))</f>
        <v/>
      </c>
      <c r="BI4766" s="744" t="str">
        <f t="shared" si="1655"/>
        <v/>
      </c>
      <c r="BJ4766" s="747" t="str">
        <f t="shared" si="1662"/>
        <v/>
      </c>
      <c r="BK4766" s="498" t="str">
        <f t="shared" si="1656"/>
        <v/>
      </c>
      <c r="BL4766" s="498" t="str">
        <f t="shared" si="1657"/>
        <v/>
      </c>
    </row>
    <row r="4767" spans="1:64" x14ac:dyDescent="0.25">
      <c r="A4767" s="762">
        <f t="shared" si="1658"/>
        <v>4762</v>
      </c>
      <c r="B4767" s="229"/>
      <c r="C4767" s="223"/>
      <c r="D4767" s="224"/>
      <c r="E4767" s="225"/>
      <c r="F4767" s="1036" t="str">
        <f t="shared" si="1664"/>
        <v/>
      </c>
      <c r="G4767" s="1037" t="str">
        <f t="shared" si="1659"/>
        <v/>
      </c>
      <c r="H4767" s="225"/>
      <c r="I4767" s="1013"/>
      <c r="J4767" s="1013"/>
      <c r="K4767" s="1028"/>
      <c r="L4767" s="1035" t="str">
        <f t="shared" si="1663"/>
        <v/>
      </c>
      <c r="S4767" s="498"/>
      <c r="AJ4767" s="498"/>
      <c r="AM4767" s="498">
        <f t="shared" si="1644"/>
        <v>0</v>
      </c>
      <c r="AN4767" s="498">
        <f t="shared" si="1645"/>
        <v>0</v>
      </c>
      <c r="AO4767" s="498">
        <f t="shared" si="1646"/>
        <v>0</v>
      </c>
      <c r="AP4767" s="498">
        <f t="shared" si="1665"/>
        <v>0</v>
      </c>
      <c r="AQ4767" s="498">
        <f t="shared" si="1660"/>
        <v>0</v>
      </c>
      <c r="AU4767" s="498">
        <f t="shared" si="1647"/>
        <v>0</v>
      </c>
      <c r="AV4767" s="498">
        <f t="shared" si="1648"/>
        <v>0</v>
      </c>
      <c r="AW4767" s="498">
        <f t="shared" si="1649"/>
        <v>0</v>
      </c>
      <c r="AX4767" s="498">
        <f t="shared" si="1650"/>
        <v>0</v>
      </c>
      <c r="AY4767" s="498">
        <f t="shared" si="1651"/>
        <v>0</v>
      </c>
      <c r="BB4767" s="498" t="str">
        <f t="shared" si="1652"/>
        <v/>
      </c>
      <c r="BC4767" s="743" t="str">
        <f t="shared" si="1653"/>
        <v/>
      </c>
      <c r="BD4767" s="743" t="str">
        <f t="shared" si="1654"/>
        <v/>
      </c>
      <c r="BE4767" s="743" t="str">
        <f>IF(D4767="","",VLOOKUP(D4767,'General Basis'!$J$39:$K$46,2,0))</f>
        <v/>
      </c>
      <c r="BF4767" s="744" t="str">
        <f>IF(D4767="","",VLOOKUP(D4767,'General Basis'!$J$39:$L$46,3,0))</f>
        <v/>
      </c>
      <c r="BG4767" s="744" t="str">
        <f t="shared" si="1661"/>
        <v/>
      </c>
      <c r="BH4767" s="744" t="str">
        <f>IF(G4767="","",IF(BF4767="Abu Dhabi",IF(G4767&lt;18,'General Basis'!$C$39,IF(G4767&lt;41,'General Basis'!$C$40,IF(G4767&lt;60,'General Basis'!$C$41,IF(G4767&lt;65,'General Basis'!$C$42,'General Basis'!$C$43)))),IF(G4767&lt;11,'General Basis'!$B$39,IF(G4767&lt;18,'General Basis'!$B$40,IF(G4767&lt;26,'General Basis'!$B$41,IF(G4767&lt;31,'General Basis'!$B$42,IF(G4767&lt;36,'General Basis'!$B$43,IF(G4767&lt;41,'General Basis'!$B$44,IF(G4767&lt;46,'General Basis'!$B$45,IF(G4767&lt;51,'General Basis'!$B$46,IF(G4767&lt;56,'General Basis'!$B$47,IF(G4767&lt;60,'General Basis'!$B$48,IF(G4767&lt;65,'General Basis'!$B$49,'General Basis'!$B$50)))))))))))))</f>
        <v/>
      </c>
      <c r="BI4767" s="744" t="str">
        <f t="shared" si="1655"/>
        <v/>
      </c>
      <c r="BJ4767" s="747" t="str">
        <f t="shared" si="1662"/>
        <v/>
      </c>
      <c r="BK4767" s="498" t="str">
        <f t="shared" si="1656"/>
        <v/>
      </c>
      <c r="BL4767" s="498" t="str">
        <f t="shared" si="1657"/>
        <v/>
      </c>
    </row>
    <row r="4768" spans="1:64" x14ac:dyDescent="0.25">
      <c r="A4768" s="762">
        <f t="shared" si="1658"/>
        <v>4763</v>
      </c>
      <c r="B4768" s="229"/>
      <c r="C4768" s="223"/>
      <c r="D4768" s="224"/>
      <c r="E4768" s="225"/>
      <c r="F4768" s="1036" t="str">
        <f t="shared" si="1664"/>
        <v/>
      </c>
      <c r="G4768" s="1037" t="str">
        <f t="shared" si="1659"/>
        <v/>
      </c>
      <c r="H4768" s="225"/>
      <c r="I4768" s="1013"/>
      <c r="J4768" s="1013"/>
      <c r="K4768" s="1028"/>
      <c r="L4768" s="1035" t="str">
        <f t="shared" si="1663"/>
        <v/>
      </c>
      <c r="S4768" s="498"/>
      <c r="AJ4768" s="498"/>
      <c r="AM4768" s="498">
        <f t="shared" si="1644"/>
        <v>0</v>
      </c>
      <c r="AN4768" s="498">
        <f t="shared" si="1645"/>
        <v>0</v>
      </c>
      <c r="AO4768" s="498">
        <f t="shared" si="1646"/>
        <v>0</v>
      </c>
      <c r="AP4768" s="498">
        <f t="shared" si="1665"/>
        <v>0</v>
      </c>
      <c r="AQ4768" s="498">
        <f t="shared" si="1660"/>
        <v>0</v>
      </c>
      <c r="AU4768" s="498">
        <f t="shared" si="1647"/>
        <v>0</v>
      </c>
      <c r="AV4768" s="498">
        <f t="shared" si="1648"/>
        <v>0</v>
      </c>
      <c r="AW4768" s="498">
        <f t="shared" si="1649"/>
        <v>0</v>
      </c>
      <c r="AX4768" s="498">
        <f t="shared" si="1650"/>
        <v>0</v>
      </c>
      <c r="AY4768" s="498">
        <f t="shared" si="1651"/>
        <v>0</v>
      </c>
      <c r="BB4768" s="498" t="str">
        <f t="shared" si="1652"/>
        <v/>
      </c>
      <c r="BC4768" s="743" t="str">
        <f t="shared" si="1653"/>
        <v/>
      </c>
      <c r="BD4768" s="743" t="str">
        <f t="shared" si="1654"/>
        <v/>
      </c>
      <c r="BE4768" s="743" t="str">
        <f>IF(D4768="","",VLOOKUP(D4768,'General Basis'!$J$39:$K$46,2,0))</f>
        <v/>
      </c>
      <c r="BF4768" s="744" t="str">
        <f>IF(D4768="","",VLOOKUP(D4768,'General Basis'!$J$39:$L$46,3,0))</f>
        <v/>
      </c>
      <c r="BG4768" s="744" t="str">
        <f t="shared" si="1661"/>
        <v/>
      </c>
      <c r="BH4768" s="744" t="str">
        <f>IF(G4768="","",IF(BF4768="Abu Dhabi",IF(G4768&lt;18,'General Basis'!$C$39,IF(G4768&lt;41,'General Basis'!$C$40,IF(G4768&lt;60,'General Basis'!$C$41,IF(G4768&lt;65,'General Basis'!$C$42,'General Basis'!$C$43)))),IF(G4768&lt;11,'General Basis'!$B$39,IF(G4768&lt;18,'General Basis'!$B$40,IF(G4768&lt;26,'General Basis'!$B$41,IF(G4768&lt;31,'General Basis'!$B$42,IF(G4768&lt;36,'General Basis'!$B$43,IF(G4768&lt;41,'General Basis'!$B$44,IF(G4768&lt;46,'General Basis'!$B$45,IF(G4768&lt;51,'General Basis'!$B$46,IF(G4768&lt;56,'General Basis'!$B$47,IF(G4768&lt;60,'General Basis'!$B$48,IF(G4768&lt;65,'General Basis'!$B$49,'General Basis'!$B$50)))))))))))))</f>
        <v/>
      </c>
      <c r="BI4768" s="744" t="str">
        <f t="shared" si="1655"/>
        <v/>
      </c>
      <c r="BJ4768" s="747" t="str">
        <f t="shared" si="1662"/>
        <v/>
      </c>
      <c r="BK4768" s="498" t="str">
        <f t="shared" si="1656"/>
        <v/>
      </c>
      <c r="BL4768" s="498" t="str">
        <f t="shared" si="1657"/>
        <v/>
      </c>
    </row>
    <row r="4769" spans="1:64" x14ac:dyDescent="0.25">
      <c r="A4769" s="762">
        <f t="shared" si="1658"/>
        <v>4764</v>
      </c>
      <c r="B4769" s="229"/>
      <c r="C4769" s="223"/>
      <c r="D4769" s="224"/>
      <c r="E4769" s="225"/>
      <c r="F4769" s="1036" t="str">
        <f t="shared" si="1664"/>
        <v/>
      </c>
      <c r="G4769" s="1037" t="str">
        <f t="shared" si="1659"/>
        <v/>
      </c>
      <c r="H4769" s="225"/>
      <c r="I4769" s="1013"/>
      <c r="J4769" s="1013"/>
      <c r="K4769" s="1028"/>
      <c r="L4769" s="1035" t="str">
        <f t="shared" si="1663"/>
        <v/>
      </c>
      <c r="S4769" s="498"/>
      <c r="AJ4769" s="498"/>
      <c r="AM4769" s="498">
        <f t="shared" si="1644"/>
        <v>0</v>
      </c>
      <c r="AN4769" s="498">
        <f t="shared" si="1645"/>
        <v>0</v>
      </c>
      <c r="AO4769" s="498">
        <f t="shared" si="1646"/>
        <v>0</v>
      </c>
      <c r="AP4769" s="498">
        <f t="shared" si="1665"/>
        <v>0</v>
      </c>
      <c r="AQ4769" s="498">
        <f t="shared" si="1660"/>
        <v>0</v>
      </c>
      <c r="AU4769" s="498">
        <f t="shared" si="1647"/>
        <v>0</v>
      </c>
      <c r="AV4769" s="498">
        <f t="shared" si="1648"/>
        <v>0</v>
      </c>
      <c r="AW4769" s="498">
        <f t="shared" si="1649"/>
        <v>0</v>
      </c>
      <c r="AX4769" s="498">
        <f t="shared" si="1650"/>
        <v>0</v>
      </c>
      <c r="AY4769" s="498">
        <f t="shared" si="1651"/>
        <v>0</v>
      </c>
      <c r="BB4769" s="498" t="str">
        <f t="shared" si="1652"/>
        <v/>
      </c>
      <c r="BC4769" s="743" t="str">
        <f t="shared" si="1653"/>
        <v/>
      </c>
      <c r="BD4769" s="743" t="str">
        <f t="shared" si="1654"/>
        <v/>
      </c>
      <c r="BE4769" s="743" t="str">
        <f>IF(D4769="","",VLOOKUP(D4769,'General Basis'!$J$39:$K$46,2,0))</f>
        <v/>
      </c>
      <c r="BF4769" s="744" t="str">
        <f>IF(D4769="","",VLOOKUP(D4769,'General Basis'!$J$39:$L$46,3,0))</f>
        <v/>
      </c>
      <c r="BG4769" s="744" t="str">
        <f t="shared" si="1661"/>
        <v/>
      </c>
      <c r="BH4769" s="744" t="str">
        <f>IF(G4769="","",IF(BF4769="Abu Dhabi",IF(G4769&lt;18,'General Basis'!$C$39,IF(G4769&lt;41,'General Basis'!$C$40,IF(G4769&lt;60,'General Basis'!$C$41,IF(G4769&lt;65,'General Basis'!$C$42,'General Basis'!$C$43)))),IF(G4769&lt;11,'General Basis'!$B$39,IF(G4769&lt;18,'General Basis'!$B$40,IF(G4769&lt;26,'General Basis'!$B$41,IF(G4769&lt;31,'General Basis'!$B$42,IF(G4769&lt;36,'General Basis'!$B$43,IF(G4769&lt;41,'General Basis'!$B$44,IF(G4769&lt;46,'General Basis'!$B$45,IF(G4769&lt;51,'General Basis'!$B$46,IF(G4769&lt;56,'General Basis'!$B$47,IF(G4769&lt;60,'General Basis'!$B$48,IF(G4769&lt;65,'General Basis'!$B$49,'General Basis'!$B$50)))))))))))))</f>
        <v/>
      </c>
      <c r="BI4769" s="744" t="str">
        <f t="shared" si="1655"/>
        <v/>
      </c>
      <c r="BJ4769" s="747" t="str">
        <f t="shared" si="1662"/>
        <v/>
      </c>
      <c r="BK4769" s="498" t="str">
        <f t="shared" si="1656"/>
        <v/>
      </c>
      <c r="BL4769" s="498" t="str">
        <f t="shared" si="1657"/>
        <v/>
      </c>
    </row>
    <row r="4770" spans="1:64" x14ac:dyDescent="0.25">
      <c r="A4770" s="762">
        <f t="shared" si="1658"/>
        <v>4765</v>
      </c>
      <c r="B4770" s="229"/>
      <c r="C4770" s="223"/>
      <c r="D4770" s="224"/>
      <c r="E4770" s="225"/>
      <c r="F4770" s="1036" t="str">
        <f t="shared" si="1664"/>
        <v/>
      </c>
      <c r="G4770" s="1037" t="str">
        <f t="shared" si="1659"/>
        <v/>
      </c>
      <c r="H4770" s="225"/>
      <c r="I4770" s="1013"/>
      <c r="J4770" s="1013"/>
      <c r="K4770" s="1028"/>
      <c r="L4770" s="1035" t="str">
        <f t="shared" si="1663"/>
        <v/>
      </c>
      <c r="S4770" s="498"/>
      <c r="AJ4770" s="498"/>
      <c r="AM4770" s="498">
        <f t="shared" si="1644"/>
        <v>0</v>
      </c>
      <c r="AN4770" s="498">
        <f t="shared" si="1645"/>
        <v>0</v>
      </c>
      <c r="AO4770" s="498">
        <f t="shared" si="1646"/>
        <v>0</v>
      </c>
      <c r="AP4770" s="498">
        <f t="shared" si="1665"/>
        <v>0</v>
      </c>
      <c r="AQ4770" s="498">
        <f t="shared" si="1660"/>
        <v>0</v>
      </c>
      <c r="AU4770" s="498">
        <f t="shared" si="1647"/>
        <v>0</v>
      </c>
      <c r="AV4770" s="498">
        <f t="shared" si="1648"/>
        <v>0</v>
      </c>
      <c r="AW4770" s="498">
        <f t="shared" si="1649"/>
        <v>0</v>
      </c>
      <c r="AX4770" s="498">
        <f t="shared" si="1650"/>
        <v>0</v>
      </c>
      <c r="AY4770" s="498">
        <f t="shared" si="1651"/>
        <v>0</v>
      </c>
      <c r="BB4770" s="498" t="str">
        <f t="shared" si="1652"/>
        <v/>
      </c>
      <c r="BC4770" s="743" t="str">
        <f t="shared" si="1653"/>
        <v/>
      </c>
      <c r="BD4770" s="743" t="str">
        <f t="shared" si="1654"/>
        <v/>
      </c>
      <c r="BE4770" s="743" t="str">
        <f>IF(D4770="","",VLOOKUP(D4770,'General Basis'!$J$39:$K$46,2,0))</f>
        <v/>
      </c>
      <c r="BF4770" s="744" t="str">
        <f>IF(D4770="","",VLOOKUP(D4770,'General Basis'!$J$39:$L$46,3,0))</f>
        <v/>
      </c>
      <c r="BG4770" s="744" t="str">
        <f t="shared" si="1661"/>
        <v/>
      </c>
      <c r="BH4770" s="744" t="str">
        <f>IF(G4770="","",IF(BF4770="Abu Dhabi",IF(G4770&lt;18,'General Basis'!$C$39,IF(G4770&lt;41,'General Basis'!$C$40,IF(G4770&lt;60,'General Basis'!$C$41,IF(G4770&lt;65,'General Basis'!$C$42,'General Basis'!$C$43)))),IF(G4770&lt;11,'General Basis'!$B$39,IF(G4770&lt;18,'General Basis'!$B$40,IF(G4770&lt;26,'General Basis'!$B$41,IF(G4770&lt;31,'General Basis'!$B$42,IF(G4770&lt;36,'General Basis'!$B$43,IF(G4770&lt;41,'General Basis'!$B$44,IF(G4770&lt;46,'General Basis'!$B$45,IF(G4770&lt;51,'General Basis'!$B$46,IF(G4770&lt;56,'General Basis'!$B$47,IF(G4770&lt;60,'General Basis'!$B$48,IF(G4770&lt;65,'General Basis'!$B$49,'General Basis'!$B$50)))))))))))))</f>
        <v/>
      </c>
      <c r="BI4770" s="744" t="str">
        <f t="shared" si="1655"/>
        <v/>
      </c>
      <c r="BJ4770" s="747" t="str">
        <f t="shared" si="1662"/>
        <v/>
      </c>
      <c r="BK4770" s="498" t="str">
        <f t="shared" si="1656"/>
        <v/>
      </c>
      <c r="BL4770" s="498" t="str">
        <f t="shared" si="1657"/>
        <v/>
      </c>
    </row>
    <row r="4771" spans="1:64" x14ac:dyDescent="0.25">
      <c r="A4771" s="762">
        <f t="shared" si="1658"/>
        <v>4766</v>
      </c>
      <c r="B4771" s="229"/>
      <c r="C4771" s="223"/>
      <c r="D4771" s="224"/>
      <c r="E4771" s="225"/>
      <c r="F4771" s="1036" t="str">
        <f t="shared" si="1664"/>
        <v/>
      </c>
      <c r="G4771" s="1037" t="str">
        <f t="shared" si="1659"/>
        <v/>
      </c>
      <c r="H4771" s="225"/>
      <c r="I4771" s="1013"/>
      <c r="J4771" s="1013"/>
      <c r="K4771" s="1028"/>
      <c r="L4771" s="1035" t="str">
        <f t="shared" si="1663"/>
        <v/>
      </c>
      <c r="S4771" s="498"/>
      <c r="AJ4771" s="498"/>
      <c r="AM4771" s="498">
        <f t="shared" si="1644"/>
        <v>0</v>
      </c>
      <c r="AN4771" s="498">
        <f t="shared" si="1645"/>
        <v>0</v>
      </c>
      <c r="AO4771" s="498">
        <f t="shared" si="1646"/>
        <v>0</v>
      </c>
      <c r="AP4771" s="498">
        <f t="shared" si="1665"/>
        <v>0</v>
      </c>
      <c r="AQ4771" s="498">
        <f t="shared" si="1660"/>
        <v>0</v>
      </c>
      <c r="AU4771" s="498">
        <f t="shared" si="1647"/>
        <v>0</v>
      </c>
      <c r="AV4771" s="498">
        <f t="shared" si="1648"/>
        <v>0</v>
      </c>
      <c r="AW4771" s="498">
        <f t="shared" si="1649"/>
        <v>0</v>
      </c>
      <c r="AX4771" s="498">
        <f t="shared" si="1650"/>
        <v>0</v>
      </c>
      <c r="AY4771" s="498">
        <f t="shared" si="1651"/>
        <v>0</v>
      </c>
      <c r="BB4771" s="498" t="str">
        <f t="shared" si="1652"/>
        <v/>
      </c>
      <c r="BC4771" s="743" t="str">
        <f t="shared" si="1653"/>
        <v/>
      </c>
      <c r="BD4771" s="743" t="str">
        <f t="shared" si="1654"/>
        <v/>
      </c>
      <c r="BE4771" s="743" t="str">
        <f>IF(D4771="","",VLOOKUP(D4771,'General Basis'!$J$39:$K$46,2,0))</f>
        <v/>
      </c>
      <c r="BF4771" s="744" t="str">
        <f>IF(D4771="","",VLOOKUP(D4771,'General Basis'!$J$39:$L$46,3,0))</f>
        <v/>
      </c>
      <c r="BG4771" s="744" t="str">
        <f t="shared" si="1661"/>
        <v/>
      </c>
      <c r="BH4771" s="744" t="str">
        <f>IF(G4771="","",IF(BF4771="Abu Dhabi",IF(G4771&lt;18,'General Basis'!$C$39,IF(G4771&lt;41,'General Basis'!$C$40,IF(G4771&lt;60,'General Basis'!$C$41,IF(G4771&lt;65,'General Basis'!$C$42,'General Basis'!$C$43)))),IF(G4771&lt;11,'General Basis'!$B$39,IF(G4771&lt;18,'General Basis'!$B$40,IF(G4771&lt;26,'General Basis'!$B$41,IF(G4771&lt;31,'General Basis'!$B$42,IF(G4771&lt;36,'General Basis'!$B$43,IF(G4771&lt;41,'General Basis'!$B$44,IF(G4771&lt;46,'General Basis'!$B$45,IF(G4771&lt;51,'General Basis'!$B$46,IF(G4771&lt;56,'General Basis'!$B$47,IF(G4771&lt;60,'General Basis'!$B$48,IF(G4771&lt;65,'General Basis'!$B$49,'General Basis'!$B$50)))))))))))))</f>
        <v/>
      </c>
      <c r="BI4771" s="744" t="str">
        <f t="shared" si="1655"/>
        <v/>
      </c>
      <c r="BJ4771" s="747" t="str">
        <f t="shared" si="1662"/>
        <v/>
      </c>
      <c r="BK4771" s="498" t="str">
        <f t="shared" si="1656"/>
        <v/>
      </c>
      <c r="BL4771" s="498" t="str">
        <f t="shared" si="1657"/>
        <v/>
      </c>
    </row>
    <row r="4772" spans="1:64" x14ac:dyDescent="0.25">
      <c r="A4772" s="762">
        <f t="shared" si="1658"/>
        <v>4767</v>
      </c>
      <c r="B4772" s="229"/>
      <c r="C4772" s="223"/>
      <c r="D4772" s="224"/>
      <c r="E4772" s="225"/>
      <c r="F4772" s="1036" t="str">
        <f t="shared" si="1664"/>
        <v/>
      </c>
      <c r="G4772" s="1037" t="str">
        <f t="shared" si="1659"/>
        <v/>
      </c>
      <c r="H4772" s="225"/>
      <c r="I4772" s="1013"/>
      <c r="J4772" s="1013"/>
      <c r="K4772" s="1028"/>
      <c r="L4772" s="1035" t="str">
        <f t="shared" si="1663"/>
        <v/>
      </c>
      <c r="S4772" s="498"/>
      <c r="AJ4772" s="498"/>
      <c r="AM4772" s="498">
        <f t="shared" si="1644"/>
        <v>0</v>
      </c>
      <c r="AN4772" s="498">
        <f t="shared" si="1645"/>
        <v>0</v>
      </c>
      <c r="AO4772" s="498">
        <f t="shared" si="1646"/>
        <v>0</v>
      </c>
      <c r="AP4772" s="498">
        <f t="shared" si="1665"/>
        <v>0</v>
      </c>
      <c r="AQ4772" s="498">
        <f t="shared" si="1660"/>
        <v>0</v>
      </c>
      <c r="AU4772" s="498">
        <f t="shared" si="1647"/>
        <v>0</v>
      </c>
      <c r="AV4772" s="498">
        <f t="shared" si="1648"/>
        <v>0</v>
      </c>
      <c r="AW4772" s="498">
        <f t="shared" si="1649"/>
        <v>0</v>
      </c>
      <c r="AX4772" s="498">
        <f t="shared" si="1650"/>
        <v>0</v>
      </c>
      <c r="AY4772" s="498">
        <f t="shared" si="1651"/>
        <v>0</v>
      </c>
      <c r="BB4772" s="498" t="str">
        <f t="shared" si="1652"/>
        <v/>
      </c>
      <c r="BC4772" s="743" t="str">
        <f t="shared" si="1653"/>
        <v/>
      </c>
      <c r="BD4772" s="743" t="str">
        <f t="shared" si="1654"/>
        <v/>
      </c>
      <c r="BE4772" s="743" t="str">
        <f>IF(D4772="","",VLOOKUP(D4772,'General Basis'!$J$39:$K$46,2,0))</f>
        <v/>
      </c>
      <c r="BF4772" s="744" t="str">
        <f>IF(D4772="","",VLOOKUP(D4772,'General Basis'!$J$39:$L$46,3,0))</f>
        <v/>
      </c>
      <c r="BG4772" s="744" t="str">
        <f t="shared" si="1661"/>
        <v/>
      </c>
      <c r="BH4772" s="744" t="str">
        <f>IF(G4772="","",IF(BF4772="Abu Dhabi",IF(G4772&lt;18,'General Basis'!$C$39,IF(G4772&lt;41,'General Basis'!$C$40,IF(G4772&lt;60,'General Basis'!$C$41,IF(G4772&lt;65,'General Basis'!$C$42,'General Basis'!$C$43)))),IF(G4772&lt;11,'General Basis'!$B$39,IF(G4772&lt;18,'General Basis'!$B$40,IF(G4772&lt;26,'General Basis'!$B$41,IF(G4772&lt;31,'General Basis'!$B$42,IF(G4772&lt;36,'General Basis'!$B$43,IF(G4772&lt;41,'General Basis'!$B$44,IF(G4772&lt;46,'General Basis'!$B$45,IF(G4772&lt;51,'General Basis'!$B$46,IF(G4772&lt;56,'General Basis'!$B$47,IF(G4772&lt;60,'General Basis'!$B$48,IF(G4772&lt;65,'General Basis'!$B$49,'General Basis'!$B$50)))))))))))))</f>
        <v/>
      </c>
      <c r="BI4772" s="744" t="str">
        <f t="shared" si="1655"/>
        <v/>
      </c>
      <c r="BJ4772" s="747" t="str">
        <f t="shared" si="1662"/>
        <v/>
      </c>
      <c r="BK4772" s="498" t="str">
        <f t="shared" si="1656"/>
        <v/>
      </c>
      <c r="BL4772" s="498" t="str">
        <f t="shared" si="1657"/>
        <v/>
      </c>
    </row>
    <row r="4773" spans="1:64" x14ac:dyDescent="0.25">
      <c r="A4773" s="762">
        <f t="shared" si="1658"/>
        <v>4768</v>
      </c>
      <c r="B4773" s="229"/>
      <c r="C4773" s="223"/>
      <c r="D4773" s="224"/>
      <c r="E4773" s="225"/>
      <c r="F4773" s="1036" t="str">
        <f t="shared" si="1664"/>
        <v/>
      </c>
      <c r="G4773" s="1037" t="str">
        <f t="shared" si="1659"/>
        <v/>
      </c>
      <c r="H4773" s="225"/>
      <c r="I4773" s="1013"/>
      <c r="J4773" s="1013"/>
      <c r="K4773" s="1028"/>
      <c r="L4773" s="1035" t="str">
        <f t="shared" si="1663"/>
        <v/>
      </c>
      <c r="S4773" s="498"/>
      <c r="AJ4773" s="498"/>
      <c r="AM4773" s="498">
        <f t="shared" si="1644"/>
        <v>0</v>
      </c>
      <c r="AN4773" s="498">
        <f t="shared" si="1645"/>
        <v>0</v>
      </c>
      <c r="AO4773" s="498">
        <f t="shared" si="1646"/>
        <v>0</v>
      </c>
      <c r="AP4773" s="498">
        <f t="shared" si="1665"/>
        <v>0</v>
      </c>
      <c r="AQ4773" s="498">
        <f t="shared" si="1660"/>
        <v>0</v>
      </c>
      <c r="AU4773" s="498">
        <f t="shared" si="1647"/>
        <v>0</v>
      </c>
      <c r="AV4773" s="498">
        <f t="shared" si="1648"/>
        <v>0</v>
      </c>
      <c r="AW4773" s="498">
        <f t="shared" si="1649"/>
        <v>0</v>
      </c>
      <c r="AX4773" s="498">
        <f t="shared" si="1650"/>
        <v>0</v>
      </c>
      <c r="AY4773" s="498">
        <f t="shared" si="1651"/>
        <v>0</v>
      </c>
      <c r="BB4773" s="498" t="str">
        <f t="shared" si="1652"/>
        <v/>
      </c>
      <c r="BC4773" s="743" t="str">
        <f t="shared" si="1653"/>
        <v/>
      </c>
      <c r="BD4773" s="743" t="str">
        <f t="shared" si="1654"/>
        <v/>
      </c>
      <c r="BE4773" s="743" t="str">
        <f>IF(D4773="","",VLOOKUP(D4773,'General Basis'!$J$39:$K$46,2,0))</f>
        <v/>
      </c>
      <c r="BF4773" s="744" t="str">
        <f>IF(D4773="","",VLOOKUP(D4773,'General Basis'!$J$39:$L$46,3,0))</f>
        <v/>
      </c>
      <c r="BG4773" s="744" t="str">
        <f t="shared" si="1661"/>
        <v/>
      </c>
      <c r="BH4773" s="744" t="str">
        <f>IF(G4773="","",IF(BF4773="Abu Dhabi",IF(G4773&lt;18,'General Basis'!$C$39,IF(G4773&lt;41,'General Basis'!$C$40,IF(G4773&lt;60,'General Basis'!$C$41,IF(G4773&lt;65,'General Basis'!$C$42,'General Basis'!$C$43)))),IF(G4773&lt;11,'General Basis'!$B$39,IF(G4773&lt;18,'General Basis'!$B$40,IF(G4773&lt;26,'General Basis'!$B$41,IF(G4773&lt;31,'General Basis'!$B$42,IF(G4773&lt;36,'General Basis'!$B$43,IF(G4773&lt;41,'General Basis'!$B$44,IF(G4773&lt;46,'General Basis'!$B$45,IF(G4773&lt;51,'General Basis'!$B$46,IF(G4773&lt;56,'General Basis'!$B$47,IF(G4773&lt;60,'General Basis'!$B$48,IF(G4773&lt;65,'General Basis'!$B$49,'General Basis'!$B$50)))))))))))))</f>
        <v/>
      </c>
      <c r="BI4773" s="744" t="str">
        <f t="shared" si="1655"/>
        <v/>
      </c>
      <c r="BJ4773" s="747" t="str">
        <f t="shared" si="1662"/>
        <v/>
      </c>
      <c r="BK4773" s="498" t="str">
        <f t="shared" si="1656"/>
        <v/>
      </c>
      <c r="BL4773" s="498" t="str">
        <f t="shared" si="1657"/>
        <v/>
      </c>
    </row>
    <row r="4774" spans="1:64" x14ac:dyDescent="0.25">
      <c r="A4774" s="762">
        <f t="shared" si="1658"/>
        <v>4769</v>
      </c>
      <c r="B4774" s="229"/>
      <c r="C4774" s="223"/>
      <c r="D4774" s="224"/>
      <c r="E4774" s="225"/>
      <c r="F4774" s="1036" t="str">
        <f t="shared" si="1664"/>
        <v/>
      </c>
      <c r="G4774" s="1037" t="str">
        <f t="shared" si="1659"/>
        <v/>
      </c>
      <c r="H4774" s="225"/>
      <c r="I4774" s="1013"/>
      <c r="J4774" s="1013"/>
      <c r="K4774" s="1028"/>
      <c r="L4774" s="1035" t="str">
        <f t="shared" si="1663"/>
        <v/>
      </c>
      <c r="S4774" s="498"/>
      <c r="AJ4774" s="498"/>
      <c r="AM4774" s="498">
        <f t="shared" si="1644"/>
        <v>0</v>
      </c>
      <c r="AN4774" s="498">
        <f t="shared" si="1645"/>
        <v>0</v>
      </c>
      <c r="AO4774" s="498">
        <f t="shared" si="1646"/>
        <v>0</v>
      </c>
      <c r="AP4774" s="498">
        <f t="shared" si="1665"/>
        <v>0</v>
      </c>
      <c r="AQ4774" s="498">
        <f t="shared" si="1660"/>
        <v>0</v>
      </c>
      <c r="AU4774" s="498">
        <f t="shared" si="1647"/>
        <v>0</v>
      </c>
      <c r="AV4774" s="498">
        <f t="shared" si="1648"/>
        <v>0</v>
      </c>
      <c r="AW4774" s="498">
        <f t="shared" si="1649"/>
        <v>0</v>
      </c>
      <c r="AX4774" s="498">
        <f t="shared" si="1650"/>
        <v>0</v>
      </c>
      <c r="AY4774" s="498">
        <f t="shared" si="1651"/>
        <v>0</v>
      </c>
      <c r="BB4774" s="498" t="str">
        <f t="shared" si="1652"/>
        <v/>
      </c>
      <c r="BC4774" s="743" t="str">
        <f t="shared" si="1653"/>
        <v/>
      </c>
      <c r="BD4774" s="743" t="str">
        <f t="shared" si="1654"/>
        <v/>
      </c>
      <c r="BE4774" s="743" t="str">
        <f>IF(D4774="","",VLOOKUP(D4774,'General Basis'!$J$39:$K$46,2,0))</f>
        <v/>
      </c>
      <c r="BF4774" s="744" t="str">
        <f>IF(D4774="","",VLOOKUP(D4774,'General Basis'!$J$39:$L$46,3,0))</f>
        <v/>
      </c>
      <c r="BG4774" s="744" t="str">
        <f t="shared" si="1661"/>
        <v/>
      </c>
      <c r="BH4774" s="744" t="str">
        <f>IF(G4774="","",IF(BF4774="Abu Dhabi",IF(G4774&lt;18,'General Basis'!$C$39,IF(G4774&lt;41,'General Basis'!$C$40,IF(G4774&lt;60,'General Basis'!$C$41,IF(G4774&lt;65,'General Basis'!$C$42,'General Basis'!$C$43)))),IF(G4774&lt;11,'General Basis'!$B$39,IF(G4774&lt;18,'General Basis'!$B$40,IF(G4774&lt;26,'General Basis'!$B$41,IF(G4774&lt;31,'General Basis'!$B$42,IF(G4774&lt;36,'General Basis'!$B$43,IF(G4774&lt;41,'General Basis'!$B$44,IF(G4774&lt;46,'General Basis'!$B$45,IF(G4774&lt;51,'General Basis'!$B$46,IF(G4774&lt;56,'General Basis'!$B$47,IF(G4774&lt;60,'General Basis'!$B$48,IF(G4774&lt;65,'General Basis'!$B$49,'General Basis'!$B$50)))))))))))))</f>
        <v/>
      </c>
      <c r="BI4774" s="744" t="str">
        <f t="shared" si="1655"/>
        <v/>
      </c>
      <c r="BJ4774" s="747" t="str">
        <f t="shared" si="1662"/>
        <v/>
      </c>
      <c r="BK4774" s="498" t="str">
        <f t="shared" si="1656"/>
        <v/>
      </c>
      <c r="BL4774" s="498" t="str">
        <f t="shared" si="1657"/>
        <v/>
      </c>
    </row>
    <row r="4775" spans="1:64" x14ac:dyDescent="0.25">
      <c r="A4775" s="762">
        <f t="shared" si="1658"/>
        <v>4770</v>
      </c>
      <c r="B4775" s="229"/>
      <c r="C4775" s="223"/>
      <c r="D4775" s="224"/>
      <c r="E4775" s="225"/>
      <c r="F4775" s="1036" t="str">
        <f t="shared" si="1664"/>
        <v/>
      </c>
      <c r="G4775" s="1037" t="str">
        <f t="shared" si="1659"/>
        <v/>
      </c>
      <c r="H4775" s="225"/>
      <c r="I4775" s="1013"/>
      <c r="J4775" s="1013"/>
      <c r="K4775" s="1028"/>
      <c r="L4775" s="1035" t="str">
        <f t="shared" si="1663"/>
        <v/>
      </c>
      <c r="S4775" s="498"/>
      <c r="AJ4775" s="498"/>
      <c r="AM4775" s="498">
        <f t="shared" si="1644"/>
        <v>0</v>
      </c>
      <c r="AN4775" s="498">
        <f t="shared" si="1645"/>
        <v>0</v>
      </c>
      <c r="AO4775" s="498">
        <f t="shared" si="1646"/>
        <v>0</v>
      </c>
      <c r="AP4775" s="498">
        <f t="shared" si="1665"/>
        <v>0</v>
      </c>
      <c r="AQ4775" s="498">
        <f t="shared" si="1660"/>
        <v>0</v>
      </c>
      <c r="AU4775" s="498">
        <f t="shared" si="1647"/>
        <v>0</v>
      </c>
      <c r="AV4775" s="498">
        <f t="shared" si="1648"/>
        <v>0</v>
      </c>
      <c r="AW4775" s="498">
        <f t="shared" si="1649"/>
        <v>0</v>
      </c>
      <c r="AX4775" s="498">
        <f t="shared" si="1650"/>
        <v>0</v>
      </c>
      <c r="AY4775" s="498">
        <f t="shared" si="1651"/>
        <v>0</v>
      </c>
      <c r="BB4775" s="498" t="str">
        <f t="shared" si="1652"/>
        <v/>
      </c>
      <c r="BC4775" s="743" t="str">
        <f t="shared" si="1653"/>
        <v/>
      </c>
      <c r="BD4775" s="743" t="str">
        <f t="shared" si="1654"/>
        <v/>
      </c>
      <c r="BE4775" s="743" t="str">
        <f>IF(D4775="","",VLOOKUP(D4775,'General Basis'!$J$39:$K$46,2,0))</f>
        <v/>
      </c>
      <c r="BF4775" s="744" t="str">
        <f>IF(D4775="","",VLOOKUP(D4775,'General Basis'!$J$39:$L$46,3,0))</f>
        <v/>
      </c>
      <c r="BG4775" s="744" t="str">
        <f t="shared" si="1661"/>
        <v/>
      </c>
      <c r="BH4775" s="744" t="str">
        <f>IF(G4775="","",IF(BF4775="Abu Dhabi",IF(G4775&lt;18,'General Basis'!$C$39,IF(G4775&lt;41,'General Basis'!$C$40,IF(G4775&lt;60,'General Basis'!$C$41,IF(G4775&lt;65,'General Basis'!$C$42,'General Basis'!$C$43)))),IF(G4775&lt;11,'General Basis'!$B$39,IF(G4775&lt;18,'General Basis'!$B$40,IF(G4775&lt;26,'General Basis'!$B$41,IF(G4775&lt;31,'General Basis'!$B$42,IF(G4775&lt;36,'General Basis'!$B$43,IF(G4775&lt;41,'General Basis'!$B$44,IF(G4775&lt;46,'General Basis'!$B$45,IF(G4775&lt;51,'General Basis'!$B$46,IF(G4775&lt;56,'General Basis'!$B$47,IF(G4775&lt;60,'General Basis'!$B$48,IF(G4775&lt;65,'General Basis'!$B$49,'General Basis'!$B$50)))))))))))))</f>
        <v/>
      </c>
      <c r="BI4775" s="744" t="str">
        <f t="shared" si="1655"/>
        <v/>
      </c>
      <c r="BJ4775" s="747" t="str">
        <f t="shared" si="1662"/>
        <v/>
      </c>
      <c r="BK4775" s="498" t="str">
        <f t="shared" si="1656"/>
        <v/>
      </c>
      <c r="BL4775" s="498" t="str">
        <f t="shared" si="1657"/>
        <v/>
      </c>
    </row>
    <row r="4776" spans="1:64" x14ac:dyDescent="0.25">
      <c r="A4776" s="762">
        <f t="shared" si="1658"/>
        <v>4771</v>
      </c>
      <c r="B4776" s="229"/>
      <c r="C4776" s="223"/>
      <c r="D4776" s="224"/>
      <c r="E4776" s="225"/>
      <c r="F4776" s="1036" t="str">
        <f t="shared" si="1664"/>
        <v/>
      </c>
      <c r="G4776" s="1037" t="str">
        <f t="shared" si="1659"/>
        <v/>
      </c>
      <c r="H4776" s="225"/>
      <c r="I4776" s="1013"/>
      <c r="J4776" s="1013"/>
      <c r="K4776" s="1028"/>
      <c r="L4776" s="1035" t="str">
        <f t="shared" si="1663"/>
        <v/>
      </c>
      <c r="S4776" s="498"/>
      <c r="AJ4776" s="498"/>
      <c r="AM4776" s="498">
        <f t="shared" si="1644"/>
        <v>0</v>
      </c>
      <c r="AN4776" s="498">
        <f t="shared" si="1645"/>
        <v>0</v>
      </c>
      <c r="AO4776" s="498">
        <f t="shared" si="1646"/>
        <v>0</v>
      </c>
      <c r="AP4776" s="498">
        <f t="shared" si="1665"/>
        <v>0</v>
      </c>
      <c r="AQ4776" s="498">
        <f t="shared" si="1660"/>
        <v>0</v>
      </c>
      <c r="AU4776" s="498">
        <f t="shared" si="1647"/>
        <v>0</v>
      </c>
      <c r="AV4776" s="498">
        <f t="shared" si="1648"/>
        <v>0</v>
      </c>
      <c r="AW4776" s="498">
        <f t="shared" si="1649"/>
        <v>0</v>
      </c>
      <c r="AX4776" s="498">
        <f t="shared" si="1650"/>
        <v>0</v>
      </c>
      <c r="AY4776" s="498">
        <f t="shared" si="1651"/>
        <v>0</v>
      </c>
      <c r="BB4776" s="498" t="str">
        <f t="shared" si="1652"/>
        <v/>
      </c>
      <c r="BC4776" s="743" t="str">
        <f t="shared" si="1653"/>
        <v/>
      </c>
      <c r="BD4776" s="743" t="str">
        <f t="shared" si="1654"/>
        <v/>
      </c>
      <c r="BE4776" s="743" t="str">
        <f>IF(D4776="","",VLOOKUP(D4776,'General Basis'!$J$39:$K$46,2,0))</f>
        <v/>
      </c>
      <c r="BF4776" s="744" t="str">
        <f>IF(D4776="","",VLOOKUP(D4776,'General Basis'!$J$39:$L$46,3,0))</f>
        <v/>
      </c>
      <c r="BG4776" s="744" t="str">
        <f t="shared" si="1661"/>
        <v/>
      </c>
      <c r="BH4776" s="744" t="str">
        <f>IF(G4776="","",IF(BF4776="Abu Dhabi",IF(G4776&lt;18,'General Basis'!$C$39,IF(G4776&lt;41,'General Basis'!$C$40,IF(G4776&lt;60,'General Basis'!$C$41,IF(G4776&lt;65,'General Basis'!$C$42,'General Basis'!$C$43)))),IF(G4776&lt;11,'General Basis'!$B$39,IF(G4776&lt;18,'General Basis'!$B$40,IF(G4776&lt;26,'General Basis'!$B$41,IF(G4776&lt;31,'General Basis'!$B$42,IF(G4776&lt;36,'General Basis'!$B$43,IF(G4776&lt;41,'General Basis'!$B$44,IF(G4776&lt;46,'General Basis'!$B$45,IF(G4776&lt;51,'General Basis'!$B$46,IF(G4776&lt;56,'General Basis'!$B$47,IF(G4776&lt;60,'General Basis'!$B$48,IF(G4776&lt;65,'General Basis'!$B$49,'General Basis'!$B$50)))))))))))))</f>
        <v/>
      </c>
      <c r="BI4776" s="744" t="str">
        <f t="shared" si="1655"/>
        <v/>
      </c>
      <c r="BJ4776" s="747" t="str">
        <f t="shared" si="1662"/>
        <v/>
      </c>
      <c r="BK4776" s="498" t="str">
        <f t="shared" si="1656"/>
        <v/>
      </c>
      <c r="BL4776" s="498" t="str">
        <f t="shared" si="1657"/>
        <v/>
      </c>
    </row>
    <row r="4777" spans="1:64" x14ac:dyDescent="0.25">
      <c r="A4777" s="762">
        <f t="shared" si="1658"/>
        <v>4772</v>
      </c>
      <c r="B4777" s="229"/>
      <c r="C4777" s="223"/>
      <c r="D4777" s="224"/>
      <c r="E4777" s="225"/>
      <c r="F4777" s="1036" t="str">
        <f t="shared" si="1664"/>
        <v/>
      </c>
      <c r="G4777" s="1037" t="str">
        <f t="shared" si="1659"/>
        <v/>
      </c>
      <c r="H4777" s="225"/>
      <c r="I4777" s="1013"/>
      <c r="J4777" s="1013"/>
      <c r="K4777" s="1028"/>
      <c r="L4777" s="1035" t="str">
        <f t="shared" si="1663"/>
        <v/>
      </c>
      <c r="S4777" s="498"/>
      <c r="AJ4777" s="498"/>
      <c r="AM4777" s="498">
        <f t="shared" si="1644"/>
        <v>0</v>
      </c>
      <c r="AN4777" s="498">
        <f t="shared" si="1645"/>
        <v>0</v>
      </c>
      <c r="AO4777" s="498">
        <f t="shared" si="1646"/>
        <v>0</v>
      </c>
      <c r="AP4777" s="498">
        <f t="shared" si="1665"/>
        <v>0</v>
      </c>
      <c r="AQ4777" s="498">
        <f t="shared" si="1660"/>
        <v>0</v>
      </c>
      <c r="AU4777" s="498">
        <f t="shared" si="1647"/>
        <v>0</v>
      </c>
      <c r="AV4777" s="498">
        <f t="shared" si="1648"/>
        <v>0</v>
      </c>
      <c r="AW4777" s="498">
        <f t="shared" si="1649"/>
        <v>0</v>
      </c>
      <c r="AX4777" s="498">
        <f t="shared" si="1650"/>
        <v>0</v>
      </c>
      <c r="AY4777" s="498">
        <f t="shared" si="1651"/>
        <v>0</v>
      </c>
      <c r="BB4777" s="498" t="str">
        <f t="shared" si="1652"/>
        <v/>
      </c>
      <c r="BC4777" s="743" t="str">
        <f t="shared" si="1653"/>
        <v/>
      </c>
      <c r="BD4777" s="743" t="str">
        <f t="shared" si="1654"/>
        <v/>
      </c>
      <c r="BE4777" s="743" t="str">
        <f>IF(D4777="","",VLOOKUP(D4777,'General Basis'!$J$39:$K$46,2,0))</f>
        <v/>
      </c>
      <c r="BF4777" s="744" t="str">
        <f>IF(D4777="","",VLOOKUP(D4777,'General Basis'!$J$39:$L$46,3,0))</f>
        <v/>
      </c>
      <c r="BG4777" s="744" t="str">
        <f t="shared" si="1661"/>
        <v/>
      </c>
      <c r="BH4777" s="744" t="str">
        <f>IF(G4777="","",IF(BF4777="Abu Dhabi",IF(G4777&lt;18,'General Basis'!$C$39,IF(G4777&lt;41,'General Basis'!$C$40,IF(G4777&lt;60,'General Basis'!$C$41,IF(G4777&lt;65,'General Basis'!$C$42,'General Basis'!$C$43)))),IF(G4777&lt;11,'General Basis'!$B$39,IF(G4777&lt;18,'General Basis'!$B$40,IF(G4777&lt;26,'General Basis'!$B$41,IF(G4777&lt;31,'General Basis'!$B$42,IF(G4777&lt;36,'General Basis'!$B$43,IF(G4777&lt;41,'General Basis'!$B$44,IF(G4777&lt;46,'General Basis'!$B$45,IF(G4777&lt;51,'General Basis'!$B$46,IF(G4777&lt;56,'General Basis'!$B$47,IF(G4777&lt;60,'General Basis'!$B$48,IF(G4777&lt;65,'General Basis'!$B$49,'General Basis'!$B$50)))))))))))))</f>
        <v/>
      </c>
      <c r="BI4777" s="744" t="str">
        <f t="shared" si="1655"/>
        <v/>
      </c>
      <c r="BJ4777" s="747" t="str">
        <f t="shared" si="1662"/>
        <v/>
      </c>
      <c r="BK4777" s="498" t="str">
        <f t="shared" si="1656"/>
        <v/>
      </c>
      <c r="BL4777" s="498" t="str">
        <f t="shared" si="1657"/>
        <v/>
      </c>
    </row>
    <row r="4778" spans="1:64" x14ac:dyDescent="0.25">
      <c r="A4778" s="762">
        <f t="shared" si="1658"/>
        <v>4773</v>
      </c>
      <c r="B4778" s="229"/>
      <c r="C4778" s="223"/>
      <c r="D4778" s="224"/>
      <c r="E4778" s="225"/>
      <c r="F4778" s="1036" t="str">
        <f t="shared" si="1664"/>
        <v/>
      </c>
      <c r="G4778" s="1037" t="str">
        <f t="shared" si="1659"/>
        <v/>
      </c>
      <c r="H4778" s="225"/>
      <c r="I4778" s="1013"/>
      <c r="J4778" s="1013"/>
      <c r="K4778" s="1028"/>
      <c r="L4778" s="1035" t="str">
        <f t="shared" si="1663"/>
        <v/>
      </c>
      <c r="S4778" s="498"/>
      <c r="AJ4778" s="498"/>
      <c r="AM4778" s="498">
        <f t="shared" si="1644"/>
        <v>0</v>
      </c>
      <c r="AN4778" s="498">
        <f t="shared" si="1645"/>
        <v>0</v>
      </c>
      <c r="AO4778" s="498">
        <f t="shared" si="1646"/>
        <v>0</v>
      </c>
      <c r="AP4778" s="498">
        <f t="shared" si="1665"/>
        <v>0</v>
      </c>
      <c r="AQ4778" s="498">
        <f t="shared" si="1660"/>
        <v>0</v>
      </c>
      <c r="AU4778" s="498">
        <f t="shared" si="1647"/>
        <v>0</v>
      </c>
      <c r="AV4778" s="498">
        <f t="shared" si="1648"/>
        <v>0</v>
      </c>
      <c r="AW4778" s="498">
        <f t="shared" si="1649"/>
        <v>0</v>
      </c>
      <c r="AX4778" s="498">
        <f t="shared" si="1650"/>
        <v>0</v>
      </c>
      <c r="AY4778" s="498">
        <f t="shared" si="1651"/>
        <v>0</v>
      </c>
      <c r="BB4778" s="498" t="str">
        <f t="shared" si="1652"/>
        <v/>
      </c>
      <c r="BC4778" s="743" t="str">
        <f t="shared" si="1653"/>
        <v/>
      </c>
      <c r="BD4778" s="743" t="str">
        <f t="shared" si="1654"/>
        <v/>
      </c>
      <c r="BE4778" s="743" t="str">
        <f>IF(D4778="","",VLOOKUP(D4778,'General Basis'!$J$39:$K$46,2,0))</f>
        <v/>
      </c>
      <c r="BF4778" s="744" t="str">
        <f>IF(D4778="","",VLOOKUP(D4778,'General Basis'!$J$39:$L$46,3,0))</f>
        <v/>
      </c>
      <c r="BG4778" s="744" t="str">
        <f t="shared" si="1661"/>
        <v/>
      </c>
      <c r="BH4778" s="744" t="str">
        <f>IF(G4778="","",IF(BF4778="Abu Dhabi",IF(G4778&lt;18,'General Basis'!$C$39,IF(G4778&lt;41,'General Basis'!$C$40,IF(G4778&lt;60,'General Basis'!$C$41,IF(G4778&lt;65,'General Basis'!$C$42,'General Basis'!$C$43)))),IF(G4778&lt;11,'General Basis'!$B$39,IF(G4778&lt;18,'General Basis'!$B$40,IF(G4778&lt;26,'General Basis'!$B$41,IF(G4778&lt;31,'General Basis'!$B$42,IF(G4778&lt;36,'General Basis'!$B$43,IF(G4778&lt;41,'General Basis'!$B$44,IF(G4778&lt;46,'General Basis'!$B$45,IF(G4778&lt;51,'General Basis'!$B$46,IF(G4778&lt;56,'General Basis'!$B$47,IF(G4778&lt;60,'General Basis'!$B$48,IF(G4778&lt;65,'General Basis'!$B$49,'General Basis'!$B$50)))))))))))))</f>
        <v/>
      </c>
      <c r="BI4778" s="744" t="str">
        <f t="shared" si="1655"/>
        <v/>
      </c>
      <c r="BJ4778" s="747" t="str">
        <f t="shared" si="1662"/>
        <v/>
      </c>
      <c r="BK4778" s="498" t="str">
        <f t="shared" si="1656"/>
        <v/>
      </c>
      <c r="BL4778" s="498" t="str">
        <f t="shared" si="1657"/>
        <v/>
      </c>
    </row>
    <row r="4779" spans="1:64" x14ac:dyDescent="0.25">
      <c r="A4779" s="762">
        <f t="shared" si="1658"/>
        <v>4774</v>
      </c>
      <c r="B4779" s="229"/>
      <c r="C4779" s="223"/>
      <c r="D4779" s="224"/>
      <c r="E4779" s="225"/>
      <c r="F4779" s="1036" t="str">
        <f t="shared" si="1664"/>
        <v/>
      </c>
      <c r="G4779" s="1037" t="str">
        <f t="shared" si="1659"/>
        <v/>
      </c>
      <c r="H4779" s="225"/>
      <c r="I4779" s="1013"/>
      <c r="J4779" s="1013"/>
      <c r="K4779" s="1028"/>
      <c r="L4779" s="1035" t="str">
        <f t="shared" si="1663"/>
        <v/>
      </c>
      <c r="S4779" s="498"/>
      <c r="AJ4779" s="498"/>
      <c r="AM4779" s="498">
        <f t="shared" si="1644"/>
        <v>0</v>
      </c>
      <c r="AN4779" s="498">
        <f t="shared" si="1645"/>
        <v>0</v>
      </c>
      <c r="AO4779" s="498">
        <f t="shared" si="1646"/>
        <v>0</v>
      </c>
      <c r="AP4779" s="498">
        <f t="shared" si="1665"/>
        <v>0</v>
      </c>
      <c r="AQ4779" s="498">
        <f t="shared" si="1660"/>
        <v>0</v>
      </c>
      <c r="AU4779" s="498">
        <f t="shared" si="1647"/>
        <v>0</v>
      </c>
      <c r="AV4779" s="498">
        <f t="shared" si="1648"/>
        <v>0</v>
      </c>
      <c r="AW4779" s="498">
        <f t="shared" si="1649"/>
        <v>0</v>
      </c>
      <c r="AX4779" s="498">
        <f t="shared" si="1650"/>
        <v>0</v>
      </c>
      <c r="AY4779" s="498">
        <f t="shared" si="1651"/>
        <v>0</v>
      </c>
      <c r="BB4779" s="498" t="str">
        <f t="shared" si="1652"/>
        <v/>
      </c>
      <c r="BC4779" s="743" t="str">
        <f t="shared" si="1653"/>
        <v/>
      </c>
      <c r="BD4779" s="743" t="str">
        <f t="shared" si="1654"/>
        <v/>
      </c>
      <c r="BE4779" s="743" t="str">
        <f>IF(D4779="","",VLOOKUP(D4779,'General Basis'!$J$39:$K$46,2,0))</f>
        <v/>
      </c>
      <c r="BF4779" s="744" t="str">
        <f>IF(D4779="","",VLOOKUP(D4779,'General Basis'!$J$39:$L$46,3,0))</f>
        <v/>
      </c>
      <c r="BG4779" s="744" t="str">
        <f t="shared" si="1661"/>
        <v/>
      </c>
      <c r="BH4779" s="744" t="str">
        <f>IF(G4779="","",IF(BF4779="Abu Dhabi",IF(G4779&lt;18,'General Basis'!$C$39,IF(G4779&lt;41,'General Basis'!$C$40,IF(G4779&lt;60,'General Basis'!$C$41,IF(G4779&lt;65,'General Basis'!$C$42,'General Basis'!$C$43)))),IF(G4779&lt;11,'General Basis'!$B$39,IF(G4779&lt;18,'General Basis'!$B$40,IF(G4779&lt;26,'General Basis'!$B$41,IF(G4779&lt;31,'General Basis'!$B$42,IF(G4779&lt;36,'General Basis'!$B$43,IF(G4779&lt;41,'General Basis'!$B$44,IF(G4779&lt;46,'General Basis'!$B$45,IF(G4779&lt;51,'General Basis'!$B$46,IF(G4779&lt;56,'General Basis'!$B$47,IF(G4779&lt;60,'General Basis'!$B$48,IF(G4779&lt;65,'General Basis'!$B$49,'General Basis'!$B$50)))))))))))))</f>
        <v/>
      </c>
      <c r="BI4779" s="744" t="str">
        <f t="shared" si="1655"/>
        <v/>
      </c>
      <c r="BJ4779" s="747" t="str">
        <f t="shared" si="1662"/>
        <v/>
      </c>
      <c r="BK4779" s="498" t="str">
        <f t="shared" si="1656"/>
        <v/>
      </c>
      <c r="BL4779" s="498" t="str">
        <f t="shared" si="1657"/>
        <v/>
      </c>
    </row>
    <row r="4780" spans="1:64" x14ac:dyDescent="0.25">
      <c r="A4780" s="762">
        <f t="shared" si="1658"/>
        <v>4775</v>
      </c>
      <c r="B4780" s="229"/>
      <c r="C4780" s="223"/>
      <c r="D4780" s="224"/>
      <c r="E4780" s="225"/>
      <c r="F4780" s="1036" t="str">
        <f t="shared" si="1664"/>
        <v/>
      </c>
      <c r="G4780" s="1037" t="str">
        <f t="shared" si="1659"/>
        <v/>
      </c>
      <c r="H4780" s="225"/>
      <c r="I4780" s="1013"/>
      <c r="J4780" s="1013"/>
      <c r="K4780" s="1028"/>
      <c r="L4780" s="1035" t="str">
        <f t="shared" si="1663"/>
        <v/>
      </c>
      <c r="S4780" s="498"/>
      <c r="AJ4780" s="498"/>
      <c r="AM4780" s="498">
        <f t="shared" si="1644"/>
        <v>0</v>
      </c>
      <c r="AN4780" s="498">
        <f t="shared" si="1645"/>
        <v>0</v>
      </c>
      <c r="AO4780" s="498">
        <f t="shared" si="1646"/>
        <v>0</v>
      </c>
      <c r="AP4780" s="498">
        <f t="shared" si="1665"/>
        <v>0</v>
      </c>
      <c r="AQ4780" s="498">
        <f t="shared" si="1660"/>
        <v>0</v>
      </c>
      <c r="AU4780" s="498">
        <f t="shared" si="1647"/>
        <v>0</v>
      </c>
      <c r="AV4780" s="498">
        <f t="shared" si="1648"/>
        <v>0</v>
      </c>
      <c r="AW4780" s="498">
        <f t="shared" si="1649"/>
        <v>0</v>
      </c>
      <c r="AX4780" s="498">
        <f t="shared" si="1650"/>
        <v>0</v>
      </c>
      <c r="AY4780" s="498">
        <f t="shared" si="1651"/>
        <v>0</v>
      </c>
      <c r="BB4780" s="498" t="str">
        <f t="shared" si="1652"/>
        <v/>
      </c>
      <c r="BC4780" s="743" t="str">
        <f t="shared" si="1653"/>
        <v/>
      </c>
      <c r="BD4780" s="743" t="str">
        <f t="shared" si="1654"/>
        <v/>
      </c>
      <c r="BE4780" s="743" t="str">
        <f>IF(D4780="","",VLOOKUP(D4780,'General Basis'!$J$39:$K$46,2,0))</f>
        <v/>
      </c>
      <c r="BF4780" s="744" t="str">
        <f>IF(D4780="","",VLOOKUP(D4780,'General Basis'!$J$39:$L$46,3,0))</f>
        <v/>
      </c>
      <c r="BG4780" s="744" t="str">
        <f t="shared" si="1661"/>
        <v/>
      </c>
      <c r="BH4780" s="744" t="str">
        <f>IF(G4780="","",IF(BF4780="Abu Dhabi",IF(G4780&lt;18,'General Basis'!$C$39,IF(G4780&lt;41,'General Basis'!$C$40,IF(G4780&lt;60,'General Basis'!$C$41,IF(G4780&lt;65,'General Basis'!$C$42,'General Basis'!$C$43)))),IF(G4780&lt;11,'General Basis'!$B$39,IF(G4780&lt;18,'General Basis'!$B$40,IF(G4780&lt;26,'General Basis'!$B$41,IF(G4780&lt;31,'General Basis'!$B$42,IF(G4780&lt;36,'General Basis'!$B$43,IF(G4780&lt;41,'General Basis'!$B$44,IF(G4780&lt;46,'General Basis'!$B$45,IF(G4780&lt;51,'General Basis'!$B$46,IF(G4780&lt;56,'General Basis'!$B$47,IF(G4780&lt;60,'General Basis'!$B$48,IF(G4780&lt;65,'General Basis'!$B$49,'General Basis'!$B$50)))))))))))))</f>
        <v/>
      </c>
      <c r="BI4780" s="744" t="str">
        <f t="shared" si="1655"/>
        <v/>
      </c>
      <c r="BJ4780" s="747" t="str">
        <f t="shared" si="1662"/>
        <v/>
      </c>
      <c r="BK4780" s="498" t="str">
        <f t="shared" si="1656"/>
        <v/>
      </c>
      <c r="BL4780" s="498" t="str">
        <f t="shared" si="1657"/>
        <v/>
      </c>
    </row>
    <row r="4781" spans="1:64" x14ac:dyDescent="0.25">
      <c r="A4781" s="762">
        <f t="shared" si="1658"/>
        <v>4776</v>
      </c>
      <c r="B4781" s="229"/>
      <c r="C4781" s="223"/>
      <c r="D4781" s="224"/>
      <c r="E4781" s="225"/>
      <c r="F4781" s="1036" t="str">
        <f t="shared" si="1664"/>
        <v/>
      </c>
      <c r="G4781" s="1037" t="str">
        <f t="shared" si="1659"/>
        <v/>
      </c>
      <c r="H4781" s="225"/>
      <c r="I4781" s="1013"/>
      <c r="J4781" s="1013"/>
      <c r="K4781" s="1028"/>
      <c r="L4781" s="1035" t="str">
        <f t="shared" si="1663"/>
        <v/>
      </c>
      <c r="S4781" s="498"/>
      <c r="AJ4781" s="498"/>
      <c r="AM4781" s="498">
        <f t="shared" si="1644"/>
        <v>0</v>
      </c>
      <c r="AN4781" s="498">
        <f t="shared" si="1645"/>
        <v>0</v>
      </c>
      <c r="AO4781" s="498">
        <f t="shared" si="1646"/>
        <v>0</v>
      </c>
      <c r="AP4781" s="498">
        <f t="shared" si="1665"/>
        <v>0</v>
      </c>
      <c r="AQ4781" s="498">
        <f t="shared" si="1660"/>
        <v>0</v>
      </c>
      <c r="AU4781" s="498">
        <f t="shared" si="1647"/>
        <v>0</v>
      </c>
      <c r="AV4781" s="498">
        <f t="shared" si="1648"/>
        <v>0</v>
      </c>
      <c r="AW4781" s="498">
        <f t="shared" si="1649"/>
        <v>0</v>
      </c>
      <c r="AX4781" s="498">
        <f t="shared" si="1650"/>
        <v>0</v>
      </c>
      <c r="AY4781" s="498">
        <f t="shared" si="1651"/>
        <v>0</v>
      </c>
      <c r="BB4781" s="498" t="str">
        <f t="shared" si="1652"/>
        <v/>
      </c>
      <c r="BC4781" s="743" t="str">
        <f t="shared" si="1653"/>
        <v/>
      </c>
      <c r="BD4781" s="743" t="str">
        <f t="shared" si="1654"/>
        <v/>
      </c>
      <c r="BE4781" s="743" t="str">
        <f>IF(D4781="","",VLOOKUP(D4781,'General Basis'!$J$39:$K$46,2,0))</f>
        <v/>
      </c>
      <c r="BF4781" s="744" t="str">
        <f>IF(D4781="","",VLOOKUP(D4781,'General Basis'!$J$39:$L$46,3,0))</f>
        <v/>
      </c>
      <c r="BG4781" s="744" t="str">
        <f t="shared" si="1661"/>
        <v/>
      </c>
      <c r="BH4781" s="744" t="str">
        <f>IF(G4781="","",IF(BF4781="Abu Dhabi",IF(G4781&lt;18,'General Basis'!$C$39,IF(G4781&lt;41,'General Basis'!$C$40,IF(G4781&lt;60,'General Basis'!$C$41,IF(G4781&lt;65,'General Basis'!$C$42,'General Basis'!$C$43)))),IF(G4781&lt;11,'General Basis'!$B$39,IF(G4781&lt;18,'General Basis'!$B$40,IF(G4781&lt;26,'General Basis'!$B$41,IF(G4781&lt;31,'General Basis'!$B$42,IF(G4781&lt;36,'General Basis'!$B$43,IF(G4781&lt;41,'General Basis'!$B$44,IF(G4781&lt;46,'General Basis'!$B$45,IF(G4781&lt;51,'General Basis'!$B$46,IF(G4781&lt;56,'General Basis'!$B$47,IF(G4781&lt;60,'General Basis'!$B$48,IF(G4781&lt;65,'General Basis'!$B$49,'General Basis'!$B$50)))))))))))))</f>
        <v/>
      </c>
      <c r="BI4781" s="744" t="str">
        <f t="shared" si="1655"/>
        <v/>
      </c>
      <c r="BJ4781" s="747" t="str">
        <f t="shared" si="1662"/>
        <v/>
      </c>
      <c r="BK4781" s="498" t="str">
        <f t="shared" si="1656"/>
        <v/>
      </c>
      <c r="BL4781" s="498" t="str">
        <f t="shared" si="1657"/>
        <v/>
      </c>
    </row>
    <row r="4782" spans="1:64" x14ac:dyDescent="0.25">
      <c r="A4782" s="762">
        <f t="shared" si="1658"/>
        <v>4777</v>
      </c>
      <c r="B4782" s="229"/>
      <c r="C4782" s="223"/>
      <c r="D4782" s="224"/>
      <c r="E4782" s="225"/>
      <c r="F4782" s="1036" t="str">
        <f t="shared" si="1664"/>
        <v/>
      </c>
      <c r="G4782" s="1037" t="str">
        <f t="shared" si="1659"/>
        <v/>
      </c>
      <c r="H4782" s="225"/>
      <c r="I4782" s="1013"/>
      <c r="J4782" s="1013"/>
      <c r="K4782" s="1028"/>
      <c r="L4782" s="1035" t="str">
        <f t="shared" si="1663"/>
        <v/>
      </c>
      <c r="S4782" s="498"/>
      <c r="AJ4782" s="498"/>
      <c r="AM4782" s="498">
        <f t="shared" si="1644"/>
        <v>0</v>
      </c>
      <c r="AN4782" s="498">
        <f t="shared" si="1645"/>
        <v>0</v>
      </c>
      <c r="AO4782" s="498">
        <f t="shared" si="1646"/>
        <v>0</v>
      </c>
      <c r="AP4782" s="498">
        <f t="shared" si="1665"/>
        <v>0</v>
      </c>
      <c r="AQ4782" s="498">
        <f t="shared" si="1660"/>
        <v>0</v>
      </c>
      <c r="AU4782" s="498">
        <f t="shared" si="1647"/>
        <v>0</v>
      </c>
      <c r="AV4782" s="498">
        <f t="shared" si="1648"/>
        <v>0</v>
      </c>
      <c r="AW4782" s="498">
        <f t="shared" si="1649"/>
        <v>0</v>
      </c>
      <c r="AX4782" s="498">
        <f t="shared" si="1650"/>
        <v>0</v>
      </c>
      <c r="AY4782" s="498">
        <f t="shared" si="1651"/>
        <v>0</v>
      </c>
      <c r="BB4782" s="498" t="str">
        <f t="shared" si="1652"/>
        <v/>
      </c>
      <c r="BC4782" s="743" t="str">
        <f t="shared" si="1653"/>
        <v/>
      </c>
      <c r="BD4782" s="743" t="str">
        <f t="shared" si="1654"/>
        <v/>
      </c>
      <c r="BE4782" s="743" t="str">
        <f>IF(D4782="","",VLOOKUP(D4782,'General Basis'!$J$39:$K$46,2,0))</f>
        <v/>
      </c>
      <c r="BF4782" s="744" t="str">
        <f>IF(D4782="","",VLOOKUP(D4782,'General Basis'!$J$39:$L$46,3,0))</f>
        <v/>
      </c>
      <c r="BG4782" s="744" t="str">
        <f t="shared" si="1661"/>
        <v/>
      </c>
      <c r="BH4782" s="744" t="str">
        <f>IF(G4782="","",IF(BF4782="Abu Dhabi",IF(G4782&lt;18,'General Basis'!$C$39,IF(G4782&lt;41,'General Basis'!$C$40,IF(G4782&lt;60,'General Basis'!$C$41,IF(G4782&lt;65,'General Basis'!$C$42,'General Basis'!$C$43)))),IF(G4782&lt;11,'General Basis'!$B$39,IF(G4782&lt;18,'General Basis'!$B$40,IF(G4782&lt;26,'General Basis'!$B$41,IF(G4782&lt;31,'General Basis'!$B$42,IF(G4782&lt;36,'General Basis'!$B$43,IF(G4782&lt;41,'General Basis'!$B$44,IF(G4782&lt;46,'General Basis'!$B$45,IF(G4782&lt;51,'General Basis'!$B$46,IF(G4782&lt;56,'General Basis'!$B$47,IF(G4782&lt;60,'General Basis'!$B$48,IF(G4782&lt;65,'General Basis'!$B$49,'General Basis'!$B$50)))))))))))))</f>
        <v/>
      </c>
      <c r="BI4782" s="744" t="str">
        <f t="shared" si="1655"/>
        <v/>
      </c>
      <c r="BJ4782" s="747" t="str">
        <f t="shared" si="1662"/>
        <v/>
      </c>
      <c r="BK4782" s="498" t="str">
        <f t="shared" si="1656"/>
        <v/>
      </c>
      <c r="BL4782" s="498" t="str">
        <f t="shared" si="1657"/>
        <v/>
      </c>
    </row>
    <row r="4783" spans="1:64" x14ac:dyDescent="0.25">
      <c r="A4783" s="762">
        <f t="shared" si="1658"/>
        <v>4778</v>
      </c>
      <c r="B4783" s="229"/>
      <c r="C4783" s="223"/>
      <c r="D4783" s="224"/>
      <c r="E4783" s="225"/>
      <c r="F4783" s="1036" t="str">
        <f t="shared" si="1664"/>
        <v/>
      </c>
      <c r="G4783" s="1037" t="str">
        <f t="shared" si="1659"/>
        <v/>
      </c>
      <c r="H4783" s="225"/>
      <c r="I4783" s="1013"/>
      <c r="J4783" s="1013"/>
      <c r="K4783" s="1028"/>
      <c r="L4783" s="1035" t="str">
        <f t="shared" si="1663"/>
        <v/>
      </c>
      <c r="S4783" s="498"/>
      <c r="AJ4783" s="498"/>
      <c r="AM4783" s="498">
        <f t="shared" si="1644"/>
        <v>0</v>
      </c>
      <c r="AN4783" s="498">
        <f t="shared" si="1645"/>
        <v>0</v>
      </c>
      <c r="AO4783" s="498">
        <f t="shared" si="1646"/>
        <v>0</v>
      </c>
      <c r="AP4783" s="498">
        <f t="shared" si="1665"/>
        <v>0</v>
      </c>
      <c r="AQ4783" s="498">
        <f t="shared" si="1660"/>
        <v>0</v>
      </c>
      <c r="AU4783" s="498">
        <f t="shared" si="1647"/>
        <v>0</v>
      </c>
      <c r="AV4783" s="498">
        <f t="shared" si="1648"/>
        <v>0</v>
      </c>
      <c r="AW4783" s="498">
        <f t="shared" si="1649"/>
        <v>0</v>
      </c>
      <c r="AX4783" s="498">
        <f t="shared" si="1650"/>
        <v>0</v>
      </c>
      <c r="AY4783" s="498">
        <f t="shared" si="1651"/>
        <v>0</v>
      </c>
      <c r="BB4783" s="498" t="str">
        <f t="shared" si="1652"/>
        <v/>
      </c>
      <c r="BC4783" s="743" t="str">
        <f t="shared" si="1653"/>
        <v/>
      </c>
      <c r="BD4783" s="743" t="str">
        <f t="shared" si="1654"/>
        <v/>
      </c>
      <c r="BE4783" s="743" t="str">
        <f>IF(D4783="","",VLOOKUP(D4783,'General Basis'!$J$39:$K$46,2,0))</f>
        <v/>
      </c>
      <c r="BF4783" s="744" t="str">
        <f>IF(D4783="","",VLOOKUP(D4783,'General Basis'!$J$39:$L$46,3,0))</f>
        <v/>
      </c>
      <c r="BG4783" s="744" t="str">
        <f t="shared" si="1661"/>
        <v/>
      </c>
      <c r="BH4783" s="744" t="str">
        <f>IF(G4783="","",IF(BF4783="Abu Dhabi",IF(G4783&lt;18,'General Basis'!$C$39,IF(G4783&lt;41,'General Basis'!$C$40,IF(G4783&lt;60,'General Basis'!$C$41,IF(G4783&lt;65,'General Basis'!$C$42,'General Basis'!$C$43)))),IF(G4783&lt;11,'General Basis'!$B$39,IF(G4783&lt;18,'General Basis'!$B$40,IF(G4783&lt;26,'General Basis'!$B$41,IF(G4783&lt;31,'General Basis'!$B$42,IF(G4783&lt;36,'General Basis'!$B$43,IF(G4783&lt;41,'General Basis'!$B$44,IF(G4783&lt;46,'General Basis'!$B$45,IF(G4783&lt;51,'General Basis'!$B$46,IF(G4783&lt;56,'General Basis'!$B$47,IF(G4783&lt;60,'General Basis'!$B$48,IF(G4783&lt;65,'General Basis'!$B$49,'General Basis'!$B$50)))))))))))))</f>
        <v/>
      </c>
      <c r="BI4783" s="744" t="str">
        <f t="shared" si="1655"/>
        <v/>
      </c>
      <c r="BJ4783" s="747" t="str">
        <f t="shared" si="1662"/>
        <v/>
      </c>
      <c r="BK4783" s="498" t="str">
        <f t="shared" si="1656"/>
        <v/>
      </c>
      <c r="BL4783" s="498" t="str">
        <f t="shared" si="1657"/>
        <v/>
      </c>
    </row>
    <row r="4784" spans="1:64" x14ac:dyDescent="0.25">
      <c r="A4784" s="762">
        <f t="shared" si="1658"/>
        <v>4779</v>
      </c>
      <c r="B4784" s="229"/>
      <c r="C4784" s="223"/>
      <c r="D4784" s="224"/>
      <c r="E4784" s="225"/>
      <c r="F4784" s="1036" t="str">
        <f t="shared" si="1664"/>
        <v/>
      </c>
      <c r="G4784" s="1037" t="str">
        <f t="shared" si="1659"/>
        <v/>
      </c>
      <c r="H4784" s="225"/>
      <c r="I4784" s="1013"/>
      <c r="J4784" s="1013"/>
      <c r="K4784" s="1028"/>
      <c r="L4784" s="1035" t="str">
        <f t="shared" si="1663"/>
        <v/>
      </c>
      <c r="S4784" s="498"/>
      <c r="AJ4784" s="498"/>
      <c r="AM4784" s="498">
        <f t="shared" si="1644"/>
        <v>0</v>
      </c>
      <c r="AN4784" s="498">
        <f t="shared" si="1645"/>
        <v>0</v>
      </c>
      <c r="AO4784" s="498">
        <f t="shared" si="1646"/>
        <v>0</v>
      </c>
      <c r="AP4784" s="498">
        <f t="shared" si="1665"/>
        <v>0</v>
      </c>
      <c r="AQ4784" s="498">
        <f t="shared" si="1660"/>
        <v>0</v>
      </c>
      <c r="AU4784" s="498">
        <f t="shared" si="1647"/>
        <v>0</v>
      </c>
      <c r="AV4784" s="498">
        <f t="shared" si="1648"/>
        <v>0</v>
      </c>
      <c r="AW4784" s="498">
        <f t="shared" si="1649"/>
        <v>0</v>
      </c>
      <c r="AX4784" s="498">
        <f t="shared" si="1650"/>
        <v>0</v>
      </c>
      <c r="AY4784" s="498">
        <f t="shared" si="1651"/>
        <v>0</v>
      </c>
      <c r="BB4784" s="498" t="str">
        <f t="shared" si="1652"/>
        <v/>
      </c>
      <c r="BC4784" s="743" t="str">
        <f t="shared" si="1653"/>
        <v/>
      </c>
      <c r="BD4784" s="743" t="str">
        <f t="shared" si="1654"/>
        <v/>
      </c>
      <c r="BE4784" s="743" t="str">
        <f>IF(D4784="","",VLOOKUP(D4784,'General Basis'!$J$39:$K$46,2,0))</f>
        <v/>
      </c>
      <c r="BF4784" s="744" t="str">
        <f>IF(D4784="","",VLOOKUP(D4784,'General Basis'!$J$39:$L$46,3,0))</f>
        <v/>
      </c>
      <c r="BG4784" s="744" t="str">
        <f t="shared" si="1661"/>
        <v/>
      </c>
      <c r="BH4784" s="744" t="str">
        <f>IF(G4784="","",IF(BF4784="Abu Dhabi",IF(G4784&lt;18,'General Basis'!$C$39,IF(G4784&lt;41,'General Basis'!$C$40,IF(G4784&lt;60,'General Basis'!$C$41,IF(G4784&lt;65,'General Basis'!$C$42,'General Basis'!$C$43)))),IF(G4784&lt;11,'General Basis'!$B$39,IF(G4784&lt;18,'General Basis'!$B$40,IF(G4784&lt;26,'General Basis'!$B$41,IF(G4784&lt;31,'General Basis'!$B$42,IF(G4784&lt;36,'General Basis'!$B$43,IF(G4784&lt;41,'General Basis'!$B$44,IF(G4784&lt;46,'General Basis'!$B$45,IF(G4784&lt;51,'General Basis'!$B$46,IF(G4784&lt;56,'General Basis'!$B$47,IF(G4784&lt;60,'General Basis'!$B$48,IF(G4784&lt;65,'General Basis'!$B$49,'General Basis'!$B$50)))))))))))))</f>
        <v/>
      </c>
      <c r="BI4784" s="744" t="str">
        <f t="shared" si="1655"/>
        <v/>
      </c>
      <c r="BJ4784" s="747" t="str">
        <f t="shared" si="1662"/>
        <v/>
      </c>
      <c r="BK4784" s="498" t="str">
        <f t="shared" si="1656"/>
        <v/>
      </c>
      <c r="BL4784" s="498" t="str">
        <f t="shared" si="1657"/>
        <v/>
      </c>
    </row>
    <row r="4785" spans="1:64" x14ac:dyDescent="0.25">
      <c r="A4785" s="762">
        <f t="shared" si="1658"/>
        <v>4780</v>
      </c>
      <c r="B4785" s="229"/>
      <c r="C4785" s="223"/>
      <c r="D4785" s="224"/>
      <c r="E4785" s="225"/>
      <c r="F4785" s="1036" t="str">
        <f t="shared" si="1664"/>
        <v/>
      </c>
      <c r="G4785" s="1037" t="str">
        <f t="shared" si="1659"/>
        <v/>
      </c>
      <c r="H4785" s="225"/>
      <c r="I4785" s="1013"/>
      <c r="J4785" s="1013"/>
      <c r="K4785" s="1028"/>
      <c r="L4785" s="1035" t="str">
        <f t="shared" si="1663"/>
        <v/>
      </c>
      <c r="S4785" s="498"/>
      <c r="AJ4785" s="498"/>
      <c r="AM4785" s="498">
        <f t="shared" si="1644"/>
        <v>0</v>
      </c>
      <c r="AN4785" s="498">
        <f t="shared" si="1645"/>
        <v>0</v>
      </c>
      <c r="AO4785" s="498">
        <f t="shared" si="1646"/>
        <v>0</v>
      </c>
      <c r="AP4785" s="498">
        <f t="shared" si="1665"/>
        <v>0</v>
      </c>
      <c r="AQ4785" s="498">
        <f t="shared" si="1660"/>
        <v>0</v>
      </c>
      <c r="AU4785" s="498">
        <f t="shared" si="1647"/>
        <v>0</v>
      </c>
      <c r="AV4785" s="498">
        <f t="shared" si="1648"/>
        <v>0</v>
      </c>
      <c r="AW4785" s="498">
        <f t="shared" si="1649"/>
        <v>0</v>
      </c>
      <c r="AX4785" s="498">
        <f t="shared" si="1650"/>
        <v>0</v>
      </c>
      <c r="AY4785" s="498">
        <f t="shared" si="1651"/>
        <v>0</v>
      </c>
      <c r="BB4785" s="498" t="str">
        <f t="shared" si="1652"/>
        <v/>
      </c>
      <c r="BC4785" s="743" t="str">
        <f t="shared" si="1653"/>
        <v/>
      </c>
      <c r="BD4785" s="743" t="str">
        <f t="shared" si="1654"/>
        <v/>
      </c>
      <c r="BE4785" s="743" t="str">
        <f>IF(D4785="","",VLOOKUP(D4785,'General Basis'!$J$39:$K$46,2,0))</f>
        <v/>
      </c>
      <c r="BF4785" s="744" t="str">
        <f>IF(D4785="","",VLOOKUP(D4785,'General Basis'!$J$39:$L$46,3,0))</f>
        <v/>
      </c>
      <c r="BG4785" s="744" t="str">
        <f t="shared" si="1661"/>
        <v/>
      </c>
      <c r="BH4785" s="744" t="str">
        <f>IF(G4785="","",IF(BF4785="Abu Dhabi",IF(G4785&lt;18,'General Basis'!$C$39,IF(G4785&lt;41,'General Basis'!$C$40,IF(G4785&lt;60,'General Basis'!$C$41,IF(G4785&lt;65,'General Basis'!$C$42,'General Basis'!$C$43)))),IF(G4785&lt;11,'General Basis'!$B$39,IF(G4785&lt;18,'General Basis'!$B$40,IF(G4785&lt;26,'General Basis'!$B$41,IF(G4785&lt;31,'General Basis'!$B$42,IF(G4785&lt;36,'General Basis'!$B$43,IF(G4785&lt;41,'General Basis'!$B$44,IF(G4785&lt;46,'General Basis'!$B$45,IF(G4785&lt;51,'General Basis'!$B$46,IF(G4785&lt;56,'General Basis'!$B$47,IF(G4785&lt;60,'General Basis'!$B$48,IF(G4785&lt;65,'General Basis'!$B$49,'General Basis'!$B$50)))))))))))))</f>
        <v/>
      </c>
      <c r="BI4785" s="744" t="str">
        <f t="shared" si="1655"/>
        <v/>
      </c>
      <c r="BJ4785" s="747" t="str">
        <f t="shared" si="1662"/>
        <v/>
      </c>
      <c r="BK4785" s="498" t="str">
        <f t="shared" si="1656"/>
        <v/>
      </c>
      <c r="BL4785" s="498" t="str">
        <f t="shared" si="1657"/>
        <v/>
      </c>
    </row>
    <row r="4786" spans="1:64" x14ac:dyDescent="0.25">
      <c r="A4786" s="762">
        <f t="shared" si="1658"/>
        <v>4781</v>
      </c>
      <c r="B4786" s="229"/>
      <c r="C4786" s="223"/>
      <c r="D4786" s="224"/>
      <c r="E4786" s="225"/>
      <c r="F4786" s="1036" t="str">
        <f t="shared" si="1664"/>
        <v/>
      </c>
      <c r="G4786" s="1037" t="str">
        <f t="shared" si="1659"/>
        <v/>
      </c>
      <c r="H4786" s="225"/>
      <c r="I4786" s="1013"/>
      <c r="J4786" s="1013"/>
      <c r="K4786" s="1028"/>
      <c r="L4786" s="1035" t="str">
        <f t="shared" si="1663"/>
        <v/>
      </c>
      <c r="S4786" s="498"/>
      <c r="AJ4786" s="498"/>
      <c r="AM4786" s="498">
        <f t="shared" si="1644"/>
        <v>0</v>
      </c>
      <c r="AN4786" s="498">
        <f t="shared" si="1645"/>
        <v>0</v>
      </c>
      <c r="AO4786" s="498">
        <f t="shared" si="1646"/>
        <v>0</v>
      </c>
      <c r="AP4786" s="498">
        <f t="shared" si="1665"/>
        <v>0</v>
      </c>
      <c r="AQ4786" s="498">
        <f t="shared" si="1660"/>
        <v>0</v>
      </c>
      <c r="AU4786" s="498">
        <f t="shared" si="1647"/>
        <v>0</v>
      </c>
      <c r="AV4786" s="498">
        <f t="shared" si="1648"/>
        <v>0</v>
      </c>
      <c r="AW4786" s="498">
        <f t="shared" si="1649"/>
        <v>0</v>
      </c>
      <c r="AX4786" s="498">
        <f t="shared" si="1650"/>
        <v>0</v>
      </c>
      <c r="AY4786" s="498">
        <f t="shared" si="1651"/>
        <v>0</v>
      </c>
      <c r="BB4786" s="498" t="str">
        <f t="shared" si="1652"/>
        <v/>
      </c>
      <c r="BC4786" s="743" t="str">
        <f t="shared" si="1653"/>
        <v/>
      </c>
      <c r="BD4786" s="743" t="str">
        <f t="shared" si="1654"/>
        <v/>
      </c>
      <c r="BE4786" s="743" t="str">
        <f>IF(D4786="","",VLOOKUP(D4786,'General Basis'!$J$39:$K$46,2,0))</f>
        <v/>
      </c>
      <c r="BF4786" s="744" t="str">
        <f>IF(D4786="","",VLOOKUP(D4786,'General Basis'!$J$39:$L$46,3,0))</f>
        <v/>
      </c>
      <c r="BG4786" s="744" t="str">
        <f t="shared" si="1661"/>
        <v/>
      </c>
      <c r="BH4786" s="744" t="str">
        <f>IF(G4786="","",IF(BF4786="Abu Dhabi",IF(G4786&lt;18,'General Basis'!$C$39,IF(G4786&lt;41,'General Basis'!$C$40,IF(G4786&lt;60,'General Basis'!$C$41,IF(G4786&lt;65,'General Basis'!$C$42,'General Basis'!$C$43)))),IF(G4786&lt;11,'General Basis'!$B$39,IF(G4786&lt;18,'General Basis'!$B$40,IF(G4786&lt;26,'General Basis'!$B$41,IF(G4786&lt;31,'General Basis'!$B$42,IF(G4786&lt;36,'General Basis'!$B$43,IF(G4786&lt;41,'General Basis'!$B$44,IF(G4786&lt;46,'General Basis'!$B$45,IF(G4786&lt;51,'General Basis'!$B$46,IF(G4786&lt;56,'General Basis'!$B$47,IF(G4786&lt;60,'General Basis'!$B$48,IF(G4786&lt;65,'General Basis'!$B$49,'General Basis'!$B$50)))))))))))))</f>
        <v/>
      </c>
      <c r="BI4786" s="744" t="str">
        <f t="shared" si="1655"/>
        <v/>
      </c>
      <c r="BJ4786" s="747" t="str">
        <f t="shared" si="1662"/>
        <v/>
      </c>
      <c r="BK4786" s="498" t="str">
        <f t="shared" si="1656"/>
        <v/>
      </c>
      <c r="BL4786" s="498" t="str">
        <f t="shared" si="1657"/>
        <v/>
      </c>
    </row>
    <row r="4787" spans="1:64" x14ac:dyDescent="0.25">
      <c r="A4787" s="762">
        <f t="shared" si="1658"/>
        <v>4782</v>
      </c>
      <c r="B4787" s="229"/>
      <c r="C4787" s="223"/>
      <c r="D4787" s="224"/>
      <c r="E4787" s="225"/>
      <c r="F4787" s="1036" t="str">
        <f t="shared" si="1664"/>
        <v/>
      </c>
      <c r="G4787" s="1037" t="str">
        <f t="shared" si="1659"/>
        <v/>
      </c>
      <c r="H4787" s="225"/>
      <c r="I4787" s="1013"/>
      <c r="J4787" s="1013"/>
      <c r="K4787" s="1028"/>
      <c r="L4787" s="1035" t="str">
        <f t="shared" si="1663"/>
        <v/>
      </c>
      <c r="S4787" s="498"/>
      <c r="AJ4787" s="498"/>
      <c r="AM4787" s="498">
        <f t="shared" si="1644"/>
        <v>0</v>
      </c>
      <c r="AN4787" s="498">
        <f t="shared" si="1645"/>
        <v>0</v>
      </c>
      <c r="AO4787" s="498">
        <f t="shared" si="1646"/>
        <v>0</v>
      </c>
      <c r="AP4787" s="498">
        <f t="shared" si="1665"/>
        <v>0</v>
      </c>
      <c r="AQ4787" s="498">
        <f t="shared" si="1660"/>
        <v>0</v>
      </c>
      <c r="AU4787" s="498">
        <f t="shared" si="1647"/>
        <v>0</v>
      </c>
      <c r="AV4787" s="498">
        <f t="shared" si="1648"/>
        <v>0</v>
      </c>
      <c r="AW4787" s="498">
        <f t="shared" si="1649"/>
        <v>0</v>
      </c>
      <c r="AX4787" s="498">
        <f t="shared" si="1650"/>
        <v>0</v>
      </c>
      <c r="AY4787" s="498">
        <f t="shared" si="1651"/>
        <v>0</v>
      </c>
      <c r="BB4787" s="498" t="str">
        <f t="shared" si="1652"/>
        <v/>
      </c>
      <c r="BC4787" s="743" t="str">
        <f t="shared" si="1653"/>
        <v/>
      </c>
      <c r="BD4787" s="743" t="str">
        <f t="shared" si="1654"/>
        <v/>
      </c>
      <c r="BE4787" s="743" t="str">
        <f>IF(D4787="","",VLOOKUP(D4787,'General Basis'!$J$39:$K$46,2,0))</f>
        <v/>
      </c>
      <c r="BF4787" s="744" t="str">
        <f>IF(D4787="","",VLOOKUP(D4787,'General Basis'!$J$39:$L$46,3,0))</f>
        <v/>
      </c>
      <c r="BG4787" s="744" t="str">
        <f t="shared" si="1661"/>
        <v/>
      </c>
      <c r="BH4787" s="744" t="str">
        <f>IF(G4787="","",IF(BF4787="Abu Dhabi",IF(G4787&lt;18,'General Basis'!$C$39,IF(G4787&lt;41,'General Basis'!$C$40,IF(G4787&lt;60,'General Basis'!$C$41,IF(G4787&lt;65,'General Basis'!$C$42,'General Basis'!$C$43)))),IF(G4787&lt;11,'General Basis'!$B$39,IF(G4787&lt;18,'General Basis'!$B$40,IF(G4787&lt;26,'General Basis'!$B$41,IF(G4787&lt;31,'General Basis'!$B$42,IF(G4787&lt;36,'General Basis'!$B$43,IF(G4787&lt;41,'General Basis'!$B$44,IF(G4787&lt;46,'General Basis'!$B$45,IF(G4787&lt;51,'General Basis'!$B$46,IF(G4787&lt;56,'General Basis'!$B$47,IF(G4787&lt;60,'General Basis'!$B$48,IF(G4787&lt;65,'General Basis'!$B$49,'General Basis'!$B$50)))))))))))))</f>
        <v/>
      </c>
      <c r="BI4787" s="744" t="str">
        <f t="shared" si="1655"/>
        <v/>
      </c>
      <c r="BJ4787" s="747" t="str">
        <f t="shared" si="1662"/>
        <v/>
      </c>
      <c r="BK4787" s="498" t="str">
        <f t="shared" si="1656"/>
        <v/>
      </c>
      <c r="BL4787" s="498" t="str">
        <f t="shared" si="1657"/>
        <v/>
      </c>
    </row>
    <row r="4788" spans="1:64" x14ac:dyDescent="0.25">
      <c r="A4788" s="762">
        <f t="shared" si="1658"/>
        <v>4783</v>
      </c>
      <c r="B4788" s="229"/>
      <c r="C4788" s="223"/>
      <c r="D4788" s="224"/>
      <c r="E4788" s="225"/>
      <c r="F4788" s="1036" t="str">
        <f t="shared" si="1664"/>
        <v/>
      </c>
      <c r="G4788" s="1037" t="str">
        <f t="shared" si="1659"/>
        <v/>
      </c>
      <c r="H4788" s="225"/>
      <c r="I4788" s="1013"/>
      <c r="J4788" s="1013"/>
      <c r="K4788" s="1028"/>
      <c r="L4788" s="1035" t="str">
        <f t="shared" si="1663"/>
        <v/>
      </c>
      <c r="S4788" s="498"/>
      <c r="AJ4788" s="498"/>
      <c r="AM4788" s="498">
        <f t="shared" si="1644"/>
        <v>0</v>
      </c>
      <c r="AN4788" s="498">
        <f t="shared" si="1645"/>
        <v>0</v>
      </c>
      <c r="AO4788" s="498">
        <f t="shared" si="1646"/>
        <v>0</v>
      </c>
      <c r="AP4788" s="498">
        <f t="shared" si="1665"/>
        <v>0</v>
      </c>
      <c r="AQ4788" s="498">
        <f t="shared" si="1660"/>
        <v>0</v>
      </c>
      <c r="AU4788" s="498">
        <f t="shared" si="1647"/>
        <v>0</v>
      </c>
      <c r="AV4788" s="498">
        <f t="shared" si="1648"/>
        <v>0</v>
      </c>
      <c r="AW4788" s="498">
        <f t="shared" si="1649"/>
        <v>0</v>
      </c>
      <c r="AX4788" s="498">
        <f t="shared" si="1650"/>
        <v>0</v>
      </c>
      <c r="AY4788" s="498">
        <f t="shared" si="1651"/>
        <v>0</v>
      </c>
      <c r="BB4788" s="498" t="str">
        <f t="shared" si="1652"/>
        <v/>
      </c>
      <c r="BC4788" s="743" t="str">
        <f t="shared" si="1653"/>
        <v/>
      </c>
      <c r="BD4788" s="743" t="str">
        <f t="shared" si="1654"/>
        <v/>
      </c>
      <c r="BE4788" s="743" t="str">
        <f>IF(D4788="","",VLOOKUP(D4788,'General Basis'!$J$39:$K$46,2,0))</f>
        <v/>
      </c>
      <c r="BF4788" s="744" t="str">
        <f>IF(D4788="","",VLOOKUP(D4788,'General Basis'!$J$39:$L$46,3,0))</f>
        <v/>
      </c>
      <c r="BG4788" s="744" t="str">
        <f t="shared" si="1661"/>
        <v/>
      </c>
      <c r="BH4788" s="744" t="str">
        <f>IF(G4788="","",IF(BF4788="Abu Dhabi",IF(G4788&lt;18,'General Basis'!$C$39,IF(G4788&lt;41,'General Basis'!$C$40,IF(G4788&lt;60,'General Basis'!$C$41,IF(G4788&lt;65,'General Basis'!$C$42,'General Basis'!$C$43)))),IF(G4788&lt;11,'General Basis'!$B$39,IF(G4788&lt;18,'General Basis'!$B$40,IF(G4788&lt;26,'General Basis'!$B$41,IF(G4788&lt;31,'General Basis'!$B$42,IF(G4788&lt;36,'General Basis'!$B$43,IF(G4788&lt;41,'General Basis'!$B$44,IF(G4788&lt;46,'General Basis'!$B$45,IF(G4788&lt;51,'General Basis'!$B$46,IF(G4788&lt;56,'General Basis'!$B$47,IF(G4788&lt;60,'General Basis'!$B$48,IF(G4788&lt;65,'General Basis'!$B$49,'General Basis'!$B$50)))))))))))))</f>
        <v/>
      </c>
      <c r="BI4788" s="744" t="str">
        <f t="shared" si="1655"/>
        <v/>
      </c>
      <c r="BJ4788" s="747" t="str">
        <f t="shared" si="1662"/>
        <v/>
      </c>
      <c r="BK4788" s="498" t="str">
        <f t="shared" si="1656"/>
        <v/>
      </c>
      <c r="BL4788" s="498" t="str">
        <f t="shared" si="1657"/>
        <v/>
      </c>
    </row>
    <row r="4789" spans="1:64" x14ac:dyDescent="0.25">
      <c r="A4789" s="762">
        <f t="shared" si="1658"/>
        <v>4784</v>
      </c>
      <c r="B4789" s="229"/>
      <c r="C4789" s="223"/>
      <c r="D4789" s="224"/>
      <c r="E4789" s="225"/>
      <c r="F4789" s="1036" t="str">
        <f t="shared" si="1664"/>
        <v/>
      </c>
      <c r="G4789" s="1037" t="str">
        <f t="shared" si="1659"/>
        <v/>
      </c>
      <c r="H4789" s="225"/>
      <c r="I4789" s="1013"/>
      <c r="J4789" s="1013"/>
      <c r="K4789" s="1028"/>
      <c r="L4789" s="1035" t="str">
        <f t="shared" si="1663"/>
        <v/>
      </c>
      <c r="S4789" s="498"/>
      <c r="AJ4789" s="498"/>
      <c r="AM4789" s="498">
        <f t="shared" si="1644"/>
        <v>0</v>
      </c>
      <c r="AN4789" s="498">
        <f t="shared" si="1645"/>
        <v>0</v>
      </c>
      <c r="AO4789" s="498">
        <f t="shared" si="1646"/>
        <v>0</v>
      </c>
      <c r="AP4789" s="498">
        <f t="shared" si="1665"/>
        <v>0</v>
      </c>
      <c r="AQ4789" s="498">
        <f t="shared" si="1660"/>
        <v>0</v>
      </c>
      <c r="AU4789" s="498">
        <f t="shared" si="1647"/>
        <v>0</v>
      </c>
      <c r="AV4789" s="498">
        <f t="shared" si="1648"/>
        <v>0</v>
      </c>
      <c r="AW4789" s="498">
        <f t="shared" si="1649"/>
        <v>0</v>
      </c>
      <c r="AX4789" s="498">
        <f t="shared" si="1650"/>
        <v>0</v>
      </c>
      <c r="AY4789" s="498">
        <f t="shared" si="1651"/>
        <v>0</v>
      </c>
      <c r="BB4789" s="498" t="str">
        <f t="shared" si="1652"/>
        <v/>
      </c>
      <c r="BC4789" s="743" t="str">
        <f t="shared" si="1653"/>
        <v/>
      </c>
      <c r="BD4789" s="743" t="str">
        <f t="shared" si="1654"/>
        <v/>
      </c>
      <c r="BE4789" s="743" t="str">
        <f>IF(D4789="","",VLOOKUP(D4789,'General Basis'!$J$39:$K$46,2,0))</f>
        <v/>
      </c>
      <c r="BF4789" s="744" t="str">
        <f>IF(D4789="","",VLOOKUP(D4789,'General Basis'!$J$39:$L$46,3,0))</f>
        <v/>
      </c>
      <c r="BG4789" s="744" t="str">
        <f t="shared" si="1661"/>
        <v/>
      </c>
      <c r="BH4789" s="744" t="str">
        <f>IF(G4789="","",IF(BF4789="Abu Dhabi",IF(G4789&lt;18,'General Basis'!$C$39,IF(G4789&lt;41,'General Basis'!$C$40,IF(G4789&lt;60,'General Basis'!$C$41,IF(G4789&lt;65,'General Basis'!$C$42,'General Basis'!$C$43)))),IF(G4789&lt;11,'General Basis'!$B$39,IF(G4789&lt;18,'General Basis'!$B$40,IF(G4789&lt;26,'General Basis'!$B$41,IF(G4789&lt;31,'General Basis'!$B$42,IF(G4789&lt;36,'General Basis'!$B$43,IF(G4789&lt;41,'General Basis'!$B$44,IF(G4789&lt;46,'General Basis'!$B$45,IF(G4789&lt;51,'General Basis'!$B$46,IF(G4789&lt;56,'General Basis'!$B$47,IF(G4789&lt;60,'General Basis'!$B$48,IF(G4789&lt;65,'General Basis'!$B$49,'General Basis'!$B$50)))))))))))))</f>
        <v/>
      </c>
      <c r="BI4789" s="744" t="str">
        <f t="shared" si="1655"/>
        <v/>
      </c>
      <c r="BJ4789" s="747" t="str">
        <f t="shared" si="1662"/>
        <v/>
      </c>
      <c r="BK4789" s="498" t="str">
        <f t="shared" si="1656"/>
        <v/>
      </c>
      <c r="BL4789" s="498" t="str">
        <f t="shared" si="1657"/>
        <v/>
      </c>
    </row>
    <row r="4790" spans="1:64" x14ac:dyDescent="0.25">
      <c r="A4790" s="762">
        <f t="shared" si="1658"/>
        <v>4785</v>
      </c>
      <c r="B4790" s="229"/>
      <c r="C4790" s="223"/>
      <c r="D4790" s="224"/>
      <c r="E4790" s="225"/>
      <c r="F4790" s="1036" t="str">
        <f t="shared" si="1664"/>
        <v/>
      </c>
      <c r="G4790" s="1037" t="str">
        <f t="shared" si="1659"/>
        <v/>
      </c>
      <c r="H4790" s="225"/>
      <c r="I4790" s="1013"/>
      <c r="J4790" s="1013"/>
      <c r="K4790" s="1028"/>
      <c r="L4790" s="1035" t="str">
        <f t="shared" si="1663"/>
        <v/>
      </c>
      <c r="S4790" s="498"/>
      <c r="AJ4790" s="498"/>
      <c r="AM4790" s="498">
        <f t="shared" si="1644"/>
        <v>0</v>
      </c>
      <c r="AN4790" s="498">
        <f t="shared" si="1645"/>
        <v>0</v>
      </c>
      <c r="AO4790" s="498">
        <f t="shared" si="1646"/>
        <v>0</v>
      </c>
      <c r="AP4790" s="498">
        <f t="shared" si="1665"/>
        <v>0</v>
      </c>
      <c r="AQ4790" s="498">
        <f t="shared" si="1660"/>
        <v>0</v>
      </c>
      <c r="AU4790" s="498">
        <f t="shared" si="1647"/>
        <v>0</v>
      </c>
      <c r="AV4790" s="498">
        <f t="shared" si="1648"/>
        <v>0</v>
      </c>
      <c r="AW4790" s="498">
        <f t="shared" si="1649"/>
        <v>0</v>
      </c>
      <c r="AX4790" s="498">
        <f t="shared" si="1650"/>
        <v>0</v>
      </c>
      <c r="AY4790" s="498">
        <f t="shared" si="1651"/>
        <v>0</v>
      </c>
      <c r="BB4790" s="498" t="str">
        <f t="shared" si="1652"/>
        <v/>
      </c>
      <c r="BC4790" s="743" t="str">
        <f t="shared" si="1653"/>
        <v/>
      </c>
      <c r="BD4790" s="743" t="str">
        <f t="shared" si="1654"/>
        <v/>
      </c>
      <c r="BE4790" s="743" t="str">
        <f>IF(D4790="","",VLOOKUP(D4790,'General Basis'!$J$39:$K$46,2,0))</f>
        <v/>
      </c>
      <c r="BF4790" s="744" t="str">
        <f>IF(D4790="","",VLOOKUP(D4790,'General Basis'!$J$39:$L$46,3,0))</f>
        <v/>
      </c>
      <c r="BG4790" s="744" t="str">
        <f t="shared" si="1661"/>
        <v/>
      </c>
      <c r="BH4790" s="744" t="str">
        <f>IF(G4790="","",IF(BF4790="Abu Dhabi",IF(G4790&lt;18,'General Basis'!$C$39,IF(G4790&lt;41,'General Basis'!$C$40,IF(G4790&lt;60,'General Basis'!$C$41,IF(G4790&lt;65,'General Basis'!$C$42,'General Basis'!$C$43)))),IF(G4790&lt;11,'General Basis'!$B$39,IF(G4790&lt;18,'General Basis'!$B$40,IF(G4790&lt;26,'General Basis'!$B$41,IF(G4790&lt;31,'General Basis'!$B$42,IF(G4790&lt;36,'General Basis'!$B$43,IF(G4790&lt;41,'General Basis'!$B$44,IF(G4790&lt;46,'General Basis'!$B$45,IF(G4790&lt;51,'General Basis'!$B$46,IF(G4790&lt;56,'General Basis'!$B$47,IF(G4790&lt;60,'General Basis'!$B$48,IF(G4790&lt;65,'General Basis'!$B$49,'General Basis'!$B$50)))))))))))))</f>
        <v/>
      </c>
      <c r="BI4790" s="744" t="str">
        <f t="shared" si="1655"/>
        <v/>
      </c>
      <c r="BJ4790" s="747" t="str">
        <f t="shared" si="1662"/>
        <v/>
      </c>
      <c r="BK4790" s="498" t="str">
        <f t="shared" si="1656"/>
        <v/>
      </c>
      <c r="BL4790" s="498" t="str">
        <f t="shared" si="1657"/>
        <v/>
      </c>
    </row>
    <row r="4791" spans="1:64" x14ac:dyDescent="0.25">
      <c r="A4791" s="762">
        <f t="shared" si="1658"/>
        <v>4786</v>
      </c>
      <c r="B4791" s="229"/>
      <c r="C4791" s="223"/>
      <c r="D4791" s="224"/>
      <c r="E4791" s="225"/>
      <c r="F4791" s="1036" t="str">
        <f t="shared" si="1664"/>
        <v/>
      </c>
      <c r="G4791" s="1037" t="str">
        <f t="shared" si="1659"/>
        <v/>
      </c>
      <c r="H4791" s="225"/>
      <c r="I4791" s="1013"/>
      <c r="J4791" s="1013"/>
      <c r="K4791" s="1028"/>
      <c r="L4791" s="1035" t="str">
        <f t="shared" si="1663"/>
        <v/>
      </c>
      <c r="S4791" s="498"/>
      <c r="AJ4791" s="498"/>
      <c r="AM4791" s="498">
        <f t="shared" si="1644"/>
        <v>0</v>
      </c>
      <c r="AN4791" s="498">
        <f t="shared" si="1645"/>
        <v>0</v>
      </c>
      <c r="AO4791" s="498">
        <f t="shared" si="1646"/>
        <v>0</v>
      </c>
      <c r="AP4791" s="498">
        <f t="shared" si="1665"/>
        <v>0</v>
      </c>
      <c r="AQ4791" s="498">
        <f t="shared" si="1660"/>
        <v>0</v>
      </c>
      <c r="AU4791" s="498">
        <f t="shared" si="1647"/>
        <v>0</v>
      </c>
      <c r="AV4791" s="498">
        <f t="shared" si="1648"/>
        <v>0</v>
      </c>
      <c r="AW4791" s="498">
        <f t="shared" si="1649"/>
        <v>0</v>
      </c>
      <c r="AX4791" s="498">
        <f t="shared" si="1650"/>
        <v>0</v>
      </c>
      <c r="AY4791" s="498">
        <f t="shared" si="1651"/>
        <v>0</v>
      </c>
      <c r="BB4791" s="498" t="str">
        <f t="shared" si="1652"/>
        <v/>
      </c>
      <c r="BC4791" s="743" t="str">
        <f t="shared" si="1653"/>
        <v/>
      </c>
      <c r="BD4791" s="743" t="str">
        <f t="shared" si="1654"/>
        <v/>
      </c>
      <c r="BE4791" s="743" t="str">
        <f>IF(D4791="","",VLOOKUP(D4791,'General Basis'!$J$39:$K$46,2,0))</f>
        <v/>
      </c>
      <c r="BF4791" s="744" t="str">
        <f>IF(D4791="","",VLOOKUP(D4791,'General Basis'!$J$39:$L$46,3,0))</f>
        <v/>
      </c>
      <c r="BG4791" s="744" t="str">
        <f t="shared" si="1661"/>
        <v/>
      </c>
      <c r="BH4791" s="744" t="str">
        <f>IF(G4791="","",IF(BF4791="Abu Dhabi",IF(G4791&lt;18,'General Basis'!$C$39,IF(G4791&lt;41,'General Basis'!$C$40,IF(G4791&lt;60,'General Basis'!$C$41,IF(G4791&lt;65,'General Basis'!$C$42,'General Basis'!$C$43)))),IF(G4791&lt;11,'General Basis'!$B$39,IF(G4791&lt;18,'General Basis'!$B$40,IF(G4791&lt;26,'General Basis'!$B$41,IF(G4791&lt;31,'General Basis'!$B$42,IF(G4791&lt;36,'General Basis'!$B$43,IF(G4791&lt;41,'General Basis'!$B$44,IF(G4791&lt;46,'General Basis'!$B$45,IF(G4791&lt;51,'General Basis'!$B$46,IF(G4791&lt;56,'General Basis'!$B$47,IF(G4791&lt;60,'General Basis'!$B$48,IF(G4791&lt;65,'General Basis'!$B$49,'General Basis'!$B$50)))))))))))))</f>
        <v/>
      </c>
      <c r="BI4791" s="744" t="str">
        <f t="shared" si="1655"/>
        <v/>
      </c>
      <c r="BJ4791" s="747" t="str">
        <f t="shared" si="1662"/>
        <v/>
      </c>
      <c r="BK4791" s="498" t="str">
        <f t="shared" si="1656"/>
        <v/>
      </c>
      <c r="BL4791" s="498" t="str">
        <f t="shared" si="1657"/>
        <v/>
      </c>
    </row>
    <row r="4792" spans="1:64" x14ac:dyDescent="0.25">
      <c r="A4792" s="762">
        <f t="shared" si="1658"/>
        <v>4787</v>
      </c>
      <c r="B4792" s="229"/>
      <c r="C4792" s="223"/>
      <c r="D4792" s="224"/>
      <c r="E4792" s="225"/>
      <c r="F4792" s="1036" t="str">
        <f t="shared" si="1664"/>
        <v/>
      </c>
      <c r="G4792" s="1037" t="str">
        <f t="shared" si="1659"/>
        <v/>
      </c>
      <c r="H4792" s="225"/>
      <c r="I4792" s="1013"/>
      <c r="J4792" s="1013"/>
      <c r="K4792" s="1028"/>
      <c r="L4792" s="1035" t="str">
        <f t="shared" si="1663"/>
        <v/>
      </c>
      <c r="S4792" s="498"/>
      <c r="AJ4792" s="498"/>
      <c r="AM4792" s="498">
        <f t="shared" si="1644"/>
        <v>0</v>
      </c>
      <c r="AN4792" s="498">
        <f t="shared" si="1645"/>
        <v>0</v>
      </c>
      <c r="AO4792" s="498">
        <f t="shared" si="1646"/>
        <v>0</v>
      </c>
      <c r="AP4792" s="498">
        <f t="shared" si="1665"/>
        <v>0</v>
      </c>
      <c r="AQ4792" s="498">
        <f t="shared" si="1660"/>
        <v>0</v>
      </c>
      <c r="AU4792" s="498">
        <f t="shared" si="1647"/>
        <v>0</v>
      </c>
      <c r="AV4792" s="498">
        <f t="shared" si="1648"/>
        <v>0</v>
      </c>
      <c r="AW4792" s="498">
        <f t="shared" si="1649"/>
        <v>0</v>
      </c>
      <c r="AX4792" s="498">
        <f t="shared" si="1650"/>
        <v>0</v>
      </c>
      <c r="AY4792" s="498">
        <f t="shared" si="1651"/>
        <v>0</v>
      </c>
      <c r="BB4792" s="498" t="str">
        <f t="shared" si="1652"/>
        <v/>
      </c>
      <c r="BC4792" s="743" t="str">
        <f t="shared" si="1653"/>
        <v/>
      </c>
      <c r="BD4792" s="743" t="str">
        <f t="shared" si="1654"/>
        <v/>
      </c>
      <c r="BE4792" s="743" t="str">
        <f>IF(D4792="","",VLOOKUP(D4792,'General Basis'!$J$39:$K$46,2,0))</f>
        <v/>
      </c>
      <c r="BF4792" s="744" t="str">
        <f>IF(D4792="","",VLOOKUP(D4792,'General Basis'!$J$39:$L$46,3,0))</f>
        <v/>
      </c>
      <c r="BG4792" s="744" t="str">
        <f t="shared" si="1661"/>
        <v/>
      </c>
      <c r="BH4792" s="744" t="str">
        <f>IF(G4792="","",IF(BF4792="Abu Dhabi",IF(G4792&lt;18,'General Basis'!$C$39,IF(G4792&lt;41,'General Basis'!$C$40,IF(G4792&lt;60,'General Basis'!$C$41,IF(G4792&lt;65,'General Basis'!$C$42,'General Basis'!$C$43)))),IF(G4792&lt;11,'General Basis'!$B$39,IF(G4792&lt;18,'General Basis'!$B$40,IF(G4792&lt;26,'General Basis'!$B$41,IF(G4792&lt;31,'General Basis'!$B$42,IF(G4792&lt;36,'General Basis'!$B$43,IF(G4792&lt;41,'General Basis'!$B$44,IF(G4792&lt;46,'General Basis'!$B$45,IF(G4792&lt;51,'General Basis'!$B$46,IF(G4792&lt;56,'General Basis'!$B$47,IF(G4792&lt;60,'General Basis'!$B$48,IF(G4792&lt;65,'General Basis'!$B$49,'General Basis'!$B$50)))))))))))))</f>
        <v/>
      </c>
      <c r="BI4792" s="744" t="str">
        <f t="shared" si="1655"/>
        <v/>
      </c>
      <c r="BJ4792" s="747" t="str">
        <f t="shared" si="1662"/>
        <v/>
      </c>
      <c r="BK4792" s="498" t="str">
        <f t="shared" si="1656"/>
        <v/>
      </c>
      <c r="BL4792" s="498" t="str">
        <f t="shared" si="1657"/>
        <v/>
      </c>
    </row>
    <row r="4793" spans="1:64" x14ac:dyDescent="0.25">
      <c r="A4793" s="762">
        <f t="shared" si="1658"/>
        <v>4788</v>
      </c>
      <c r="B4793" s="229"/>
      <c r="C4793" s="223"/>
      <c r="D4793" s="224"/>
      <c r="E4793" s="225"/>
      <c r="F4793" s="1036" t="str">
        <f t="shared" si="1664"/>
        <v/>
      </c>
      <c r="G4793" s="1037" t="str">
        <f t="shared" si="1659"/>
        <v/>
      </c>
      <c r="H4793" s="225"/>
      <c r="I4793" s="1013"/>
      <c r="J4793" s="1013"/>
      <c r="K4793" s="1028"/>
      <c r="L4793" s="1035" t="str">
        <f t="shared" si="1663"/>
        <v/>
      </c>
      <c r="S4793" s="498"/>
      <c r="AJ4793" s="498"/>
      <c r="AM4793" s="498">
        <f t="shared" si="1644"/>
        <v>0</v>
      </c>
      <c r="AN4793" s="498">
        <f t="shared" si="1645"/>
        <v>0</v>
      </c>
      <c r="AO4793" s="498">
        <f t="shared" si="1646"/>
        <v>0</v>
      </c>
      <c r="AP4793" s="498">
        <f t="shared" si="1665"/>
        <v>0</v>
      </c>
      <c r="AQ4793" s="498">
        <f t="shared" si="1660"/>
        <v>0</v>
      </c>
      <c r="AU4793" s="498">
        <f t="shared" si="1647"/>
        <v>0</v>
      </c>
      <c r="AV4793" s="498">
        <f t="shared" si="1648"/>
        <v>0</v>
      </c>
      <c r="AW4793" s="498">
        <f t="shared" si="1649"/>
        <v>0</v>
      </c>
      <c r="AX4793" s="498">
        <f t="shared" si="1650"/>
        <v>0</v>
      </c>
      <c r="AY4793" s="498">
        <f t="shared" si="1651"/>
        <v>0</v>
      </c>
      <c r="BB4793" s="498" t="str">
        <f t="shared" si="1652"/>
        <v/>
      </c>
      <c r="BC4793" s="743" t="str">
        <f t="shared" si="1653"/>
        <v/>
      </c>
      <c r="BD4793" s="743" t="str">
        <f t="shared" si="1654"/>
        <v/>
      </c>
      <c r="BE4793" s="743" t="str">
        <f>IF(D4793="","",VLOOKUP(D4793,'General Basis'!$J$39:$K$46,2,0))</f>
        <v/>
      </c>
      <c r="BF4793" s="744" t="str">
        <f>IF(D4793="","",VLOOKUP(D4793,'General Basis'!$J$39:$L$46,3,0))</f>
        <v/>
      </c>
      <c r="BG4793" s="744" t="str">
        <f t="shared" si="1661"/>
        <v/>
      </c>
      <c r="BH4793" s="744" t="str">
        <f>IF(G4793="","",IF(BF4793="Abu Dhabi",IF(G4793&lt;18,'General Basis'!$C$39,IF(G4793&lt;41,'General Basis'!$C$40,IF(G4793&lt;60,'General Basis'!$C$41,IF(G4793&lt;65,'General Basis'!$C$42,'General Basis'!$C$43)))),IF(G4793&lt;11,'General Basis'!$B$39,IF(G4793&lt;18,'General Basis'!$B$40,IF(G4793&lt;26,'General Basis'!$B$41,IF(G4793&lt;31,'General Basis'!$B$42,IF(G4793&lt;36,'General Basis'!$B$43,IF(G4793&lt;41,'General Basis'!$B$44,IF(G4793&lt;46,'General Basis'!$B$45,IF(G4793&lt;51,'General Basis'!$B$46,IF(G4793&lt;56,'General Basis'!$B$47,IF(G4793&lt;60,'General Basis'!$B$48,IF(G4793&lt;65,'General Basis'!$B$49,'General Basis'!$B$50)))))))))))))</f>
        <v/>
      </c>
      <c r="BI4793" s="744" t="str">
        <f t="shared" si="1655"/>
        <v/>
      </c>
      <c r="BJ4793" s="747" t="str">
        <f t="shared" si="1662"/>
        <v/>
      </c>
      <c r="BK4793" s="498" t="str">
        <f t="shared" si="1656"/>
        <v/>
      </c>
      <c r="BL4793" s="498" t="str">
        <f t="shared" si="1657"/>
        <v/>
      </c>
    </row>
    <row r="4794" spans="1:64" x14ac:dyDescent="0.25">
      <c r="A4794" s="762">
        <f t="shared" si="1658"/>
        <v>4789</v>
      </c>
      <c r="B4794" s="229"/>
      <c r="C4794" s="223"/>
      <c r="D4794" s="224"/>
      <c r="E4794" s="225"/>
      <c r="F4794" s="1036" t="str">
        <f t="shared" si="1664"/>
        <v/>
      </c>
      <c r="G4794" s="1037" t="str">
        <f t="shared" si="1659"/>
        <v/>
      </c>
      <c r="H4794" s="225"/>
      <c r="I4794" s="1013"/>
      <c r="J4794" s="1013"/>
      <c r="K4794" s="1028"/>
      <c r="L4794" s="1035" t="str">
        <f t="shared" si="1663"/>
        <v/>
      </c>
      <c r="S4794" s="498"/>
      <c r="AJ4794" s="498"/>
      <c r="AM4794" s="498">
        <f t="shared" si="1644"/>
        <v>0</v>
      </c>
      <c r="AN4794" s="498">
        <f t="shared" si="1645"/>
        <v>0</v>
      </c>
      <c r="AO4794" s="498">
        <f t="shared" si="1646"/>
        <v>0</v>
      </c>
      <c r="AP4794" s="498">
        <f t="shared" si="1665"/>
        <v>0</v>
      </c>
      <c r="AQ4794" s="498">
        <f t="shared" si="1660"/>
        <v>0</v>
      </c>
      <c r="AU4794" s="498">
        <f t="shared" si="1647"/>
        <v>0</v>
      </c>
      <c r="AV4794" s="498">
        <f t="shared" si="1648"/>
        <v>0</v>
      </c>
      <c r="AW4794" s="498">
        <f t="shared" si="1649"/>
        <v>0</v>
      </c>
      <c r="AX4794" s="498">
        <f t="shared" si="1650"/>
        <v>0</v>
      </c>
      <c r="AY4794" s="498">
        <f t="shared" si="1651"/>
        <v>0</v>
      </c>
      <c r="BB4794" s="498" t="str">
        <f t="shared" si="1652"/>
        <v/>
      </c>
      <c r="BC4794" s="743" t="str">
        <f t="shared" si="1653"/>
        <v/>
      </c>
      <c r="BD4794" s="743" t="str">
        <f t="shared" si="1654"/>
        <v/>
      </c>
      <c r="BE4794" s="743" t="str">
        <f>IF(D4794="","",VLOOKUP(D4794,'General Basis'!$J$39:$K$46,2,0))</f>
        <v/>
      </c>
      <c r="BF4794" s="744" t="str">
        <f>IF(D4794="","",VLOOKUP(D4794,'General Basis'!$J$39:$L$46,3,0))</f>
        <v/>
      </c>
      <c r="BG4794" s="744" t="str">
        <f t="shared" si="1661"/>
        <v/>
      </c>
      <c r="BH4794" s="744" t="str">
        <f>IF(G4794="","",IF(BF4794="Abu Dhabi",IF(G4794&lt;18,'General Basis'!$C$39,IF(G4794&lt;41,'General Basis'!$C$40,IF(G4794&lt;60,'General Basis'!$C$41,IF(G4794&lt;65,'General Basis'!$C$42,'General Basis'!$C$43)))),IF(G4794&lt;11,'General Basis'!$B$39,IF(G4794&lt;18,'General Basis'!$B$40,IF(G4794&lt;26,'General Basis'!$B$41,IF(G4794&lt;31,'General Basis'!$B$42,IF(G4794&lt;36,'General Basis'!$B$43,IF(G4794&lt;41,'General Basis'!$B$44,IF(G4794&lt;46,'General Basis'!$B$45,IF(G4794&lt;51,'General Basis'!$B$46,IF(G4794&lt;56,'General Basis'!$B$47,IF(G4794&lt;60,'General Basis'!$B$48,IF(G4794&lt;65,'General Basis'!$B$49,'General Basis'!$B$50)))))))))))))</f>
        <v/>
      </c>
      <c r="BI4794" s="744" t="str">
        <f t="shared" si="1655"/>
        <v/>
      </c>
      <c r="BJ4794" s="747" t="str">
        <f t="shared" si="1662"/>
        <v/>
      </c>
      <c r="BK4794" s="498" t="str">
        <f t="shared" si="1656"/>
        <v/>
      </c>
      <c r="BL4794" s="498" t="str">
        <f t="shared" si="1657"/>
        <v/>
      </c>
    </row>
    <row r="4795" spans="1:64" x14ac:dyDescent="0.25">
      <c r="A4795" s="762">
        <f t="shared" si="1658"/>
        <v>4790</v>
      </c>
      <c r="B4795" s="229"/>
      <c r="C4795" s="223"/>
      <c r="D4795" s="224"/>
      <c r="E4795" s="225"/>
      <c r="F4795" s="1036" t="str">
        <f t="shared" si="1664"/>
        <v/>
      </c>
      <c r="G4795" s="1037" t="str">
        <f t="shared" si="1659"/>
        <v/>
      </c>
      <c r="H4795" s="225"/>
      <c r="I4795" s="1013"/>
      <c r="J4795" s="1013"/>
      <c r="K4795" s="1028"/>
      <c r="L4795" s="1035" t="str">
        <f t="shared" si="1663"/>
        <v/>
      </c>
      <c r="S4795" s="498"/>
      <c r="AJ4795" s="498"/>
      <c r="AM4795" s="498">
        <f t="shared" si="1644"/>
        <v>0</v>
      </c>
      <c r="AN4795" s="498">
        <f t="shared" si="1645"/>
        <v>0</v>
      </c>
      <c r="AO4795" s="498">
        <f t="shared" si="1646"/>
        <v>0</v>
      </c>
      <c r="AP4795" s="498">
        <f t="shared" si="1665"/>
        <v>0</v>
      </c>
      <c r="AQ4795" s="498">
        <f t="shared" si="1660"/>
        <v>0</v>
      </c>
      <c r="AU4795" s="498">
        <f t="shared" si="1647"/>
        <v>0</v>
      </c>
      <c r="AV4795" s="498">
        <f t="shared" si="1648"/>
        <v>0</v>
      </c>
      <c r="AW4795" s="498">
        <f t="shared" si="1649"/>
        <v>0</v>
      </c>
      <c r="AX4795" s="498">
        <f t="shared" si="1650"/>
        <v>0</v>
      </c>
      <c r="AY4795" s="498">
        <f t="shared" si="1651"/>
        <v>0</v>
      </c>
      <c r="BB4795" s="498" t="str">
        <f t="shared" si="1652"/>
        <v/>
      </c>
      <c r="BC4795" s="743" t="str">
        <f t="shared" si="1653"/>
        <v/>
      </c>
      <c r="BD4795" s="743" t="str">
        <f t="shared" si="1654"/>
        <v/>
      </c>
      <c r="BE4795" s="743" t="str">
        <f>IF(D4795="","",VLOOKUP(D4795,'General Basis'!$J$39:$K$46,2,0))</f>
        <v/>
      </c>
      <c r="BF4795" s="744" t="str">
        <f>IF(D4795="","",VLOOKUP(D4795,'General Basis'!$J$39:$L$46,3,0))</f>
        <v/>
      </c>
      <c r="BG4795" s="744" t="str">
        <f t="shared" si="1661"/>
        <v/>
      </c>
      <c r="BH4795" s="744" t="str">
        <f>IF(G4795="","",IF(BF4795="Abu Dhabi",IF(G4795&lt;18,'General Basis'!$C$39,IF(G4795&lt;41,'General Basis'!$C$40,IF(G4795&lt;60,'General Basis'!$C$41,IF(G4795&lt;65,'General Basis'!$C$42,'General Basis'!$C$43)))),IF(G4795&lt;11,'General Basis'!$B$39,IF(G4795&lt;18,'General Basis'!$B$40,IF(G4795&lt;26,'General Basis'!$B$41,IF(G4795&lt;31,'General Basis'!$B$42,IF(G4795&lt;36,'General Basis'!$B$43,IF(G4795&lt;41,'General Basis'!$B$44,IF(G4795&lt;46,'General Basis'!$B$45,IF(G4795&lt;51,'General Basis'!$B$46,IF(G4795&lt;56,'General Basis'!$B$47,IF(G4795&lt;60,'General Basis'!$B$48,IF(G4795&lt;65,'General Basis'!$B$49,'General Basis'!$B$50)))))))))))))</f>
        <v/>
      </c>
      <c r="BI4795" s="744" t="str">
        <f t="shared" si="1655"/>
        <v/>
      </c>
      <c r="BJ4795" s="747" t="str">
        <f t="shared" si="1662"/>
        <v/>
      </c>
      <c r="BK4795" s="498" t="str">
        <f t="shared" si="1656"/>
        <v/>
      </c>
      <c r="BL4795" s="498" t="str">
        <f t="shared" si="1657"/>
        <v/>
      </c>
    </row>
    <row r="4796" spans="1:64" x14ac:dyDescent="0.25">
      <c r="A4796" s="762">
        <f t="shared" si="1658"/>
        <v>4791</v>
      </c>
      <c r="B4796" s="229"/>
      <c r="C4796" s="223"/>
      <c r="D4796" s="224"/>
      <c r="E4796" s="225"/>
      <c r="F4796" s="1036" t="str">
        <f t="shared" si="1664"/>
        <v/>
      </c>
      <c r="G4796" s="1037" t="str">
        <f t="shared" si="1659"/>
        <v/>
      </c>
      <c r="H4796" s="225"/>
      <c r="I4796" s="1013"/>
      <c r="J4796" s="1013"/>
      <c r="K4796" s="1028"/>
      <c r="L4796" s="1035" t="str">
        <f t="shared" si="1663"/>
        <v/>
      </c>
      <c r="S4796" s="498"/>
      <c r="AJ4796" s="498"/>
      <c r="AM4796" s="498">
        <f t="shared" si="1644"/>
        <v>0</v>
      </c>
      <c r="AN4796" s="498">
        <f t="shared" si="1645"/>
        <v>0</v>
      </c>
      <c r="AO4796" s="498">
        <f t="shared" si="1646"/>
        <v>0</v>
      </c>
      <c r="AP4796" s="498">
        <f t="shared" si="1665"/>
        <v>0</v>
      </c>
      <c r="AQ4796" s="498">
        <f t="shared" si="1660"/>
        <v>0</v>
      </c>
      <c r="AU4796" s="498">
        <f t="shared" si="1647"/>
        <v>0</v>
      </c>
      <c r="AV4796" s="498">
        <f t="shared" si="1648"/>
        <v>0</v>
      </c>
      <c r="AW4796" s="498">
        <f t="shared" si="1649"/>
        <v>0</v>
      </c>
      <c r="AX4796" s="498">
        <f t="shared" si="1650"/>
        <v>0</v>
      </c>
      <c r="AY4796" s="498">
        <f t="shared" si="1651"/>
        <v>0</v>
      </c>
      <c r="BB4796" s="498" t="str">
        <f t="shared" si="1652"/>
        <v/>
      </c>
      <c r="BC4796" s="743" t="str">
        <f t="shared" si="1653"/>
        <v/>
      </c>
      <c r="BD4796" s="743" t="str">
        <f t="shared" si="1654"/>
        <v/>
      </c>
      <c r="BE4796" s="743" t="str">
        <f>IF(D4796="","",VLOOKUP(D4796,'General Basis'!$J$39:$K$46,2,0))</f>
        <v/>
      </c>
      <c r="BF4796" s="744" t="str">
        <f>IF(D4796="","",VLOOKUP(D4796,'General Basis'!$J$39:$L$46,3,0))</f>
        <v/>
      </c>
      <c r="BG4796" s="744" t="str">
        <f t="shared" si="1661"/>
        <v/>
      </c>
      <c r="BH4796" s="744" t="str">
        <f>IF(G4796="","",IF(BF4796="Abu Dhabi",IF(G4796&lt;18,'General Basis'!$C$39,IF(G4796&lt;41,'General Basis'!$C$40,IF(G4796&lt;60,'General Basis'!$C$41,IF(G4796&lt;65,'General Basis'!$C$42,'General Basis'!$C$43)))),IF(G4796&lt;11,'General Basis'!$B$39,IF(G4796&lt;18,'General Basis'!$B$40,IF(G4796&lt;26,'General Basis'!$B$41,IF(G4796&lt;31,'General Basis'!$B$42,IF(G4796&lt;36,'General Basis'!$B$43,IF(G4796&lt;41,'General Basis'!$B$44,IF(G4796&lt;46,'General Basis'!$B$45,IF(G4796&lt;51,'General Basis'!$B$46,IF(G4796&lt;56,'General Basis'!$B$47,IF(G4796&lt;60,'General Basis'!$B$48,IF(G4796&lt;65,'General Basis'!$B$49,'General Basis'!$B$50)))))))))))))</f>
        <v/>
      </c>
      <c r="BI4796" s="744" t="str">
        <f t="shared" si="1655"/>
        <v/>
      </c>
      <c r="BJ4796" s="747" t="str">
        <f t="shared" si="1662"/>
        <v/>
      </c>
      <c r="BK4796" s="498" t="str">
        <f t="shared" si="1656"/>
        <v/>
      </c>
      <c r="BL4796" s="498" t="str">
        <f t="shared" si="1657"/>
        <v/>
      </c>
    </row>
    <row r="4797" spans="1:64" x14ac:dyDescent="0.25">
      <c r="A4797" s="762">
        <f t="shared" si="1658"/>
        <v>4792</v>
      </c>
      <c r="B4797" s="229"/>
      <c r="C4797" s="223"/>
      <c r="D4797" s="224"/>
      <c r="E4797" s="225"/>
      <c r="F4797" s="1036" t="str">
        <f t="shared" si="1664"/>
        <v/>
      </c>
      <c r="G4797" s="1037" t="str">
        <f t="shared" si="1659"/>
        <v/>
      </c>
      <c r="H4797" s="225"/>
      <c r="I4797" s="1013"/>
      <c r="J4797" s="1013"/>
      <c r="K4797" s="1028"/>
      <c r="L4797" s="1035" t="str">
        <f t="shared" si="1663"/>
        <v/>
      </c>
      <c r="S4797" s="498"/>
      <c r="AJ4797" s="498"/>
      <c r="AM4797" s="498">
        <f t="shared" si="1644"/>
        <v>0</v>
      </c>
      <c r="AN4797" s="498">
        <f t="shared" si="1645"/>
        <v>0</v>
      </c>
      <c r="AO4797" s="498">
        <f t="shared" si="1646"/>
        <v>0</v>
      </c>
      <c r="AP4797" s="498">
        <f t="shared" si="1665"/>
        <v>0</v>
      </c>
      <c r="AQ4797" s="498">
        <f t="shared" si="1660"/>
        <v>0</v>
      </c>
      <c r="AU4797" s="498">
        <f t="shared" si="1647"/>
        <v>0</v>
      </c>
      <c r="AV4797" s="498">
        <f t="shared" si="1648"/>
        <v>0</v>
      </c>
      <c r="AW4797" s="498">
        <f t="shared" si="1649"/>
        <v>0</v>
      </c>
      <c r="AX4797" s="498">
        <f t="shared" si="1650"/>
        <v>0</v>
      </c>
      <c r="AY4797" s="498">
        <f t="shared" si="1651"/>
        <v>0</v>
      </c>
      <c r="BB4797" s="498" t="str">
        <f t="shared" si="1652"/>
        <v/>
      </c>
      <c r="BC4797" s="743" t="str">
        <f t="shared" si="1653"/>
        <v/>
      </c>
      <c r="BD4797" s="743" t="str">
        <f t="shared" si="1654"/>
        <v/>
      </c>
      <c r="BE4797" s="743" t="str">
        <f>IF(D4797="","",VLOOKUP(D4797,'General Basis'!$J$39:$K$46,2,0))</f>
        <v/>
      </c>
      <c r="BF4797" s="744" t="str">
        <f>IF(D4797="","",VLOOKUP(D4797,'General Basis'!$J$39:$L$46,3,0))</f>
        <v/>
      </c>
      <c r="BG4797" s="744" t="str">
        <f t="shared" si="1661"/>
        <v/>
      </c>
      <c r="BH4797" s="744" t="str">
        <f>IF(G4797="","",IF(BF4797="Abu Dhabi",IF(G4797&lt;18,'General Basis'!$C$39,IF(G4797&lt;41,'General Basis'!$C$40,IF(G4797&lt;60,'General Basis'!$C$41,IF(G4797&lt;65,'General Basis'!$C$42,'General Basis'!$C$43)))),IF(G4797&lt;11,'General Basis'!$B$39,IF(G4797&lt;18,'General Basis'!$B$40,IF(G4797&lt;26,'General Basis'!$B$41,IF(G4797&lt;31,'General Basis'!$B$42,IF(G4797&lt;36,'General Basis'!$B$43,IF(G4797&lt;41,'General Basis'!$B$44,IF(G4797&lt;46,'General Basis'!$B$45,IF(G4797&lt;51,'General Basis'!$B$46,IF(G4797&lt;56,'General Basis'!$B$47,IF(G4797&lt;60,'General Basis'!$B$48,IF(G4797&lt;65,'General Basis'!$B$49,'General Basis'!$B$50)))))))))))))</f>
        <v/>
      </c>
      <c r="BI4797" s="744" t="str">
        <f t="shared" si="1655"/>
        <v/>
      </c>
      <c r="BJ4797" s="747" t="str">
        <f t="shared" si="1662"/>
        <v/>
      </c>
      <c r="BK4797" s="498" t="str">
        <f t="shared" si="1656"/>
        <v/>
      </c>
      <c r="BL4797" s="498" t="str">
        <f t="shared" si="1657"/>
        <v/>
      </c>
    </row>
    <row r="4798" spans="1:64" x14ac:dyDescent="0.25">
      <c r="A4798" s="762">
        <f t="shared" si="1658"/>
        <v>4793</v>
      </c>
      <c r="B4798" s="229"/>
      <c r="C4798" s="223"/>
      <c r="D4798" s="224"/>
      <c r="E4798" s="225"/>
      <c r="F4798" s="1036" t="str">
        <f t="shared" si="1664"/>
        <v/>
      </c>
      <c r="G4798" s="1037" t="str">
        <f t="shared" si="1659"/>
        <v/>
      </c>
      <c r="H4798" s="225"/>
      <c r="I4798" s="1013"/>
      <c r="J4798" s="1013"/>
      <c r="K4798" s="1028"/>
      <c r="L4798" s="1035" t="str">
        <f t="shared" si="1663"/>
        <v/>
      </c>
      <c r="S4798" s="498"/>
      <c r="AJ4798" s="498"/>
      <c r="AM4798" s="498">
        <f t="shared" si="1644"/>
        <v>0</v>
      </c>
      <c r="AN4798" s="498">
        <f t="shared" si="1645"/>
        <v>0</v>
      </c>
      <c r="AO4798" s="498">
        <f t="shared" si="1646"/>
        <v>0</v>
      </c>
      <c r="AP4798" s="498">
        <f t="shared" si="1665"/>
        <v>0</v>
      </c>
      <c r="AQ4798" s="498">
        <f t="shared" si="1660"/>
        <v>0</v>
      </c>
      <c r="AU4798" s="498">
        <f t="shared" si="1647"/>
        <v>0</v>
      </c>
      <c r="AV4798" s="498">
        <f t="shared" si="1648"/>
        <v>0</v>
      </c>
      <c r="AW4798" s="498">
        <f t="shared" si="1649"/>
        <v>0</v>
      </c>
      <c r="AX4798" s="498">
        <f t="shared" si="1650"/>
        <v>0</v>
      </c>
      <c r="AY4798" s="498">
        <f t="shared" si="1651"/>
        <v>0</v>
      </c>
      <c r="BB4798" s="498" t="str">
        <f t="shared" si="1652"/>
        <v/>
      </c>
      <c r="BC4798" s="743" t="str">
        <f t="shared" si="1653"/>
        <v/>
      </c>
      <c r="BD4798" s="743" t="str">
        <f t="shared" si="1654"/>
        <v/>
      </c>
      <c r="BE4798" s="743" t="str">
        <f>IF(D4798="","",VLOOKUP(D4798,'General Basis'!$J$39:$K$46,2,0))</f>
        <v/>
      </c>
      <c r="BF4798" s="744" t="str">
        <f>IF(D4798="","",VLOOKUP(D4798,'General Basis'!$J$39:$L$46,3,0))</f>
        <v/>
      </c>
      <c r="BG4798" s="744" t="str">
        <f t="shared" si="1661"/>
        <v/>
      </c>
      <c r="BH4798" s="744" t="str">
        <f>IF(G4798="","",IF(BF4798="Abu Dhabi",IF(G4798&lt;18,'General Basis'!$C$39,IF(G4798&lt;41,'General Basis'!$C$40,IF(G4798&lt;60,'General Basis'!$C$41,IF(G4798&lt;65,'General Basis'!$C$42,'General Basis'!$C$43)))),IF(G4798&lt;11,'General Basis'!$B$39,IF(G4798&lt;18,'General Basis'!$B$40,IF(G4798&lt;26,'General Basis'!$B$41,IF(G4798&lt;31,'General Basis'!$B$42,IF(G4798&lt;36,'General Basis'!$B$43,IF(G4798&lt;41,'General Basis'!$B$44,IF(G4798&lt;46,'General Basis'!$B$45,IF(G4798&lt;51,'General Basis'!$B$46,IF(G4798&lt;56,'General Basis'!$B$47,IF(G4798&lt;60,'General Basis'!$B$48,IF(G4798&lt;65,'General Basis'!$B$49,'General Basis'!$B$50)))))))))))))</f>
        <v/>
      </c>
      <c r="BI4798" s="744" t="str">
        <f t="shared" si="1655"/>
        <v/>
      </c>
      <c r="BJ4798" s="747" t="str">
        <f t="shared" si="1662"/>
        <v/>
      </c>
      <c r="BK4798" s="498" t="str">
        <f t="shared" si="1656"/>
        <v/>
      </c>
      <c r="BL4798" s="498" t="str">
        <f t="shared" si="1657"/>
        <v/>
      </c>
    </row>
    <row r="4799" spans="1:64" x14ac:dyDescent="0.25">
      <c r="A4799" s="762">
        <f t="shared" si="1658"/>
        <v>4794</v>
      </c>
      <c r="B4799" s="229"/>
      <c r="C4799" s="223"/>
      <c r="D4799" s="224"/>
      <c r="E4799" s="225"/>
      <c r="F4799" s="1036" t="str">
        <f t="shared" si="1664"/>
        <v/>
      </c>
      <c r="G4799" s="1037" t="str">
        <f t="shared" si="1659"/>
        <v/>
      </c>
      <c r="H4799" s="225"/>
      <c r="I4799" s="1013"/>
      <c r="J4799" s="1013"/>
      <c r="K4799" s="1028"/>
      <c r="L4799" s="1035" t="str">
        <f t="shared" si="1663"/>
        <v/>
      </c>
      <c r="S4799" s="498"/>
      <c r="AJ4799" s="498"/>
      <c r="AM4799" s="498">
        <f t="shared" si="1644"/>
        <v>0</v>
      </c>
      <c r="AN4799" s="498">
        <f t="shared" si="1645"/>
        <v>0</v>
      </c>
      <c r="AO4799" s="498">
        <f t="shared" si="1646"/>
        <v>0</v>
      </c>
      <c r="AP4799" s="498">
        <f t="shared" si="1665"/>
        <v>0</v>
      </c>
      <c r="AQ4799" s="498">
        <f t="shared" si="1660"/>
        <v>0</v>
      </c>
      <c r="AU4799" s="498">
        <f t="shared" si="1647"/>
        <v>0</v>
      </c>
      <c r="AV4799" s="498">
        <f t="shared" si="1648"/>
        <v>0</v>
      </c>
      <c r="AW4799" s="498">
        <f t="shared" si="1649"/>
        <v>0</v>
      </c>
      <c r="AX4799" s="498">
        <f t="shared" si="1650"/>
        <v>0</v>
      </c>
      <c r="AY4799" s="498">
        <f t="shared" si="1651"/>
        <v>0</v>
      </c>
      <c r="BB4799" s="498" t="str">
        <f t="shared" si="1652"/>
        <v/>
      </c>
      <c r="BC4799" s="743" t="str">
        <f t="shared" si="1653"/>
        <v/>
      </c>
      <c r="BD4799" s="743" t="str">
        <f t="shared" si="1654"/>
        <v/>
      </c>
      <c r="BE4799" s="743" t="str">
        <f>IF(D4799="","",VLOOKUP(D4799,'General Basis'!$J$39:$K$46,2,0))</f>
        <v/>
      </c>
      <c r="BF4799" s="744" t="str">
        <f>IF(D4799="","",VLOOKUP(D4799,'General Basis'!$J$39:$L$46,3,0))</f>
        <v/>
      </c>
      <c r="BG4799" s="744" t="str">
        <f t="shared" si="1661"/>
        <v/>
      </c>
      <c r="BH4799" s="744" t="str">
        <f>IF(G4799="","",IF(BF4799="Abu Dhabi",IF(G4799&lt;18,'General Basis'!$C$39,IF(G4799&lt;41,'General Basis'!$C$40,IF(G4799&lt;60,'General Basis'!$C$41,IF(G4799&lt;65,'General Basis'!$C$42,'General Basis'!$C$43)))),IF(G4799&lt;11,'General Basis'!$B$39,IF(G4799&lt;18,'General Basis'!$B$40,IF(G4799&lt;26,'General Basis'!$B$41,IF(G4799&lt;31,'General Basis'!$B$42,IF(G4799&lt;36,'General Basis'!$B$43,IF(G4799&lt;41,'General Basis'!$B$44,IF(G4799&lt;46,'General Basis'!$B$45,IF(G4799&lt;51,'General Basis'!$B$46,IF(G4799&lt;56,'General Basis'!$B$47,IF(G4799&lt;60,'General Basis'!$B$48,IF(G4799&lt;65,'General Basis'!$B$49,'General Basis'!$B$50)))))))))))))</f>
        <v/>
      </c>
      <c r="BI4799" s="744" t="str">
        <f t="shared" si="1655"/>
        <v/>
      </c>
      <c r="BJ4799" s="747" t="str">
        <f t="shared" si="1662"/>
        <v/>
      </c>
      <c r="BK4799" s="498" t="str">
        <f t="shared" si="1656"/>
        <v/>
      </c>
      <c r="BL4799" s="498" t="str">
        <f t="shared" si="1657"/>
        <v/>
      </c>
    </row>
    <row r="4800" spans="1:64" x14ac:dyDescent="0.25">
      <c r="A4800" s="762">
        <f t="shared" si="1658"/>
        <v>4795</v>
      </c>
      <c r="B4800" s="229"/>
      <c r="C4800" s="223"/>
      <c r="D4800" s="224"/>
      <c r="E4800" s="225"/>
      <c r="F4800" s="1036" t="str">
        <f t="shared" si="1664"/>
        <v/>
      </c>
      <c r="G4800" s="1037" t="str">
        <f t="shared" si="1659"/>
        <v/>
      </c>
      <c r="H4800" s="225"/>
      <c r="I4800" s="1013"/>
      <c r="J4800" s="1013"/>
      <c r="K4800" s="1028"/>
      <c r="L4800" s="1035" t="str">
        <f t="shared" si="1663"/>
        <v/>
      </c>
      <c r="S4800" s="498"/>
      <c r="AJ4800" s="498"/>
      <c r="AM4800" s="498">
        <f t="shared" si="1644"/>
        <v>0</v>
      </c>
      <c r="AN4800" s="498">
        <f t="shared" si="1645"/>
        <v>0</v>
      </c>
      <c r="AO4800" s="498">
        <f t="shared" si="1646"/>
        <v>0</v>
      </c>
      <c r="AP4800" s="498">
        <f t="shared" si="1665"/>
        <v>0</v>
      </c>
      <c r="AQ4800" s="498">
        <f t="shared" si="1660"/>
        <v>0</v>
      </c>
      <c r="AU4800" s="498">
        <f t="shared" si="1647"/>
        <v>0</v>
      </c>
      <c r="AV4800" s="498">
        <f t="shared" si="1648"/>
        <v>0</v>
      </c>
      <c r="AW4800" s="498">
        <f t="shared" si="1649"/>
        <v>0</v>
      </c>
      <c r="AX4800" s="498">
        <f t="shared" si="1650"/>
        <v>0</v>
      </c>
      <c r="AY4800" s="498">
        <f t="shared" si="1651"/>
        <v>0</v>
      </c>
      <c r="BB4800" s="498" t="str">
        <f t="shared" si="1652"/>
        <v/>
      </c>
      <c r="BC4800" s="743" t="str">
        <f t="shared" si="1653"/>
        <v/>
      </c>
      <c r="BD4800" s="743" t="str">
        <f t="shared" si="1654"/>
        <v/>
      </c>
      <c r="BE4800" s="743" t="str">
        <f>IF(D4800="","",VLOOKUP(D4800,'General Basis'!$J$39:$K$46,2,0))</f>
        <v/>
      </c>
      <c r="BF4800" s="744" t="str">
        <f>IF(D4800="","",VLOOKUP(D4800,'General Basis'!$J$39:$L$46,3,0))</f>
        <v/>
      </c>
      <c r="BG4800" s="744" t="str">
        <f t="shared" si="1661"/>
        <v/>
      </c>
      <c r="BH4800" s="744" t="str">
        <f>IF(G4800="","",IF(BF4800="Abu Dhabi",IF(G4800&lt;18,'General Basis'!$C$39,IF(G4800&lt;41,'General Basis'!$C$40,IF(G4800&lt;60,'General Basis'!$C$41,IF(G4800&lt;65,'General Basis'!$C$42,'General Basis'!$C$43)))),IF(G4800&lt;11,'General Basis'!$B$39,IF(G4800&lt;18,'General Basis'!$B$40,IF(G4800&lt;26,'General Basis'!$B$41,IF(G4800&lt;31,'General Basis'!$B$42,IF(G4800&lt;36,'General Basis'!$B$43,IF(G4800&lt;41,'General Basis'!$B$44,IF(G4800&lt;46,'General Basis'!$B$45,IF(G4800&lt;51,'General Basis'!$B$46,IF(G4800&lt;56,'General Basis'!$B$47,IF(G4800&lt;60,'General Basis'!$B$48,IF(G4800&lt;65,'General Basis'!$B$49,'General Basis'!$B$50)))))))))))))</f>
        <v/>
      </c>
      <c r="BI4800" s="744" t="str">
        <f t="shared" si="1655"/>
        <v/>
      </c>
      <c r="BJ4800" s="747" t="str">
        <f t="shared" si="1662"/>
        <v/>
      </c>
      <c r="BK4800" s="498" t="str">
        <f t="shared" si="1656"/>
        <v/>
      </c>
      <c r="BL4800" s="498" t="str">
        <f t="shared" si="1657"/>
        <v/>
      </c>
    </row>
    <row r="4801" spans="1:64" x14ac:dyDescent="0.25">
      <c r="A4801" s="762">
        <f t="shared" si="1658"/>
        <v>4796</v>
      </c>
      <c r="B4801" s="229"/>
      <c r="C4801" s="223"/>
      <c r="D4801" s="224"/>
      <c r="E4801" s="225"/>
      <c r="F4801" s="1036" t="str">
        <f t="shared" si="1664"/>
        <v/>
      </c>
      <c r="G4801" s="1037" t="str">
        <f t="shared" si="1659"/>
        <v/>
      </c>
      <c r="H4801" s="225"/>
      <c r="I4801" s="1013"/>
      <c r="J4801" s="1013"/>
      <c r="K4801" s="1028"/>
      <c r="L4801" s="1035" t="str">
        <f t="shared" si="1663"/>
        <v/>
      </c>
      <c r="S4801" s="498"/>
      <c r="AJ4801" s="498"/>
      <c r="AM4801" s="498">
        <f t="shared" si="1644"/>
        <v>0</v>
      </c>
      <c r="AN4801" s="498">
        <f t="shared" si="1645"/>
        <v>0</v>
      </c>
      <c r="AO4801" s="498">
        <f t="shared" si="1646"/>
        <v>0</v>
      </c>
      <c r="AP4801" s="498">
        <f t="shared" si="1665"/>
        <v>0</v>
      </c>
      <c r="AQ4801" s="498">
        <f t="shared" si="1660"/>
        <v>0</v>
      </c>
      <c r="AU4801" s="498">
        <f t="shared" si="1647"/>
        <v>0</v>
      </c>
      <c r="AV4801" s="498">
        <f t="shared" si="1648"/>
        <v>0</v>
      </c>
      <c r="AW4801" s="498">
        <f t="shared" si="1649"/>
        <v>0</v>
      </c>
      <c r="AX4801" s="498">
        <f t="shared" si="1650"/>
        <v>0</v>
      </c>
      <c r="AY4801" s="498">
        <f t="shared" si="1651"/>
        <v>0</v>
      </c>
      <c r="BB4801" s="498" t="str">
        <f t="shared" si="1652"/>
        <v/>
      </c>
      <c r="BC4801" s="743" t="str">
        <f t="shared" si="1653"/>
        <v/>
      </c>
      <c r="BD4801" s="743" t="str">
        <f t="shared" si="1654"/>
        <v/>
      </c>
      <c r="BE4801" s="743" t="str">
        <f>IF(D4801="","",VLOOKUP(D4801,'General Basis'!$J$39:$K$46,2,0))</f>
        <v/>
      </c>
      <c r="BF4801" s="744" t="str">
        <f>IF(D4801="","",VLOOKUP(D4801,'General Basis'!$J$39:$L$46,3,0))</f>
        <v/>
      </c>
      <c r="BG4801" s="744" t="str">
        <f t="shared" si="1661"/>
        <v/>
      </c>
      <c r="BH4801" s="744" t="str">
        <f>IF(G4801="","",IF(BF4801="Abu Dhabi",IF(G4801&lt;18,'General Basis'!$C$39,IF(G4801&lt;41,'General Basis'!$C$40,IF(G4801&lt;60,'General Basis'!$C$41,IF(G4801&lt;65,'General Basis'!$C$42,'General Basis'!$C$43)))),IF(G4801&lt;11,'General Basis'!$B$39,IF(G4801&lt;18,'General Basis'!$B$40,IF(G4801&lt;26,'General Basis'!$B$41,IF(G4801&lt;31,'General Basis'!$B$42,IF(G4801&lt;36,'General Basis'!$B$43,IF(G4801&lt;41,'General Basis'!$B$44,IF(G4801&lt;46,'General Basis'!$B$45,IF(G4801&lt;51,'General Basis'!$B$46,IF(G4801&lt;56,'General Basis'!$B$47,IF(G4801&lt;60,'General Basis'!$B$48,IF(G4801&lt;65,'General Basis'!$B$49,'General Basis'!$B$50)))))))))))))</f>
        <v/>
      </c>
      <c r="BI4801" s="744" t="str">
        <f t="shared" si="1655"/>
        <v/>
      </c>
      <c r="BJ4801" s="747" t="str">
        <f t="shared" si="1662"/>
        <v/>
      </c>
      <c r="BK4801" s="498" t="str">
        <f t="shared" si="1656"/>
        <v/>
      </c>
      <c r="BL4801" s="498" t="str">
        <f t="shared" si="1657"/>
        <v/>
      </c>
    </row>
    <row r="4802" spans="1:64" x14ac:dyDescent="0.25">
      <c r="A4802" s="762">
        <f t="shared" si="1658"/>
        <v>4797</v>
      </c>
      <c r="B4802" s="229"/>
      <c r="C4802" s="223"/>
      <c r="D4802" s="224"/>
      <c r="E4802" s="225"/>
      <c r="F4802" s="1036" t="str">
        <f t="shared" si="1664"/>
        <v/>
      </c>
      <c r="G4802" s="1037" t="str">
        <f t="shared" si="1659"/>
        <v/>
      </c>
      <c r="H4802" s="225"/>
      <c r="I4802" s="1013"/>
      <c r="J4802" s="1013"/>
      <c r="K4802" s="1028"/>
      <c r="L4802" s="1035" t="str">
        <f t="shared" si="1663"/>
        <v/>
      </c>
      <c r="S4802" s="498"/>
      <c r="AJ4802" s="498"/>
      <c r="AM4802" s="498">
        <f t="shared" si="1644"/>
        <v>0</v>
      </c>
      <c r="AN4802" s="498">
        <f t="shared" si="1645"/>
        <v>0</v>
      </c>
      <c r="AO4802" s="498">
        <f t="shared" si="1646"/>
        <v>0</v>
      </c>
      <c r="AP4802" s="498">
        <f t="shared" si="1665"/>
        <v>0</v>
      </c>
      <c r="AQ4802" s="498">
        <f t="shared" si="1660"/>
        <v>0</v>
      </c>
      <c r="AU4802" s="498">
        <f t="shared" si="1647"/>
        <v>0</v>
      </c>
      <c r="AV4802" s="498">
        <f t="shared" si="1648"/>
        <v>0</v>
      </c>
      <c r="AW4802" s="498">
        <f t="shared" si="1649"/>
        <v>0</v>
      </c>
      <c r="AX4802" s="498">
        <f t="shared" si="1650"/>
        <v>0</v>
      </c>
      <c r="AY4802" s="498">
        <f t="shared" si="1651"/>
        <v>0</v>
      </c>
      <c r="BB4802" s="498" t="str">
        <f t="shared" si="1652"/>
        <v/>
      </c>
      <c r="BC4802" s="743" t="str">
        <f t="shared" si="1653"/>
        <v/>
      </c>
      <c r="BD4802" s="743" t="str">
        <f t="shared" si="1654"/>
        <v/>
      </c>
      <c r="BE4802" s="743" t="str">
        <f>IF(D4802="","",VLOOKUP(D4802,'General Basis'!$J$39:$K$46,2,0))</f>
        <v/>
      </c>
      <c r="BF4802" s="744" t="str">
        <f>IF(D4802="","",VLOOKUP(D4802,'General Basis'!$J$39:$L$46,3,0))</f>
        <v/>
      </c>
      <c r="BG4802" s="744" t="str">
        <f t="shared" si="1661"/>
        <v/>
      </c>
      <c r="BH4802" s="744" t="str">
        <f>IF(G4802="","",IF(BF4802="Abu Dhabi",IF(G4802&lt;18,'General Basis'!$C$39,IF(G4802&lt;41,'General Basis'!$C$40,IF(G4802&lt;60,'General Basis'!$C$41,IF(G4802&lt;65,'General Basis'!$C$42,'General Basis'!$C$43)))),IF(G4802&lt;11,'General Basis'!$B$39,IF(G4802&lt;18,'General Basis'!$B$40,IF(G4802&lt;26,'General Basis'!$B$41,IF(G4802&lt;31,'General Basis'!$B$42,IF(G4802&lt;36,'General Basis'!$B$43,IF(G4802&lt;41,'General Basis'!$B$44,IF(G4802&lt;46,'General Basis'!$B$45,IF(G4802&lt;51,'General Basis'!$B$46,IF(G4802&lt;56,'General Basis'!$B$47,IF(G4802&lt;60,'General Basis'!$B$48,IF(G4802&lt;65,'General Basis'!$B$49,'General Basis'!$B$50)))))))))))))</f>
        <v/>
      </c>
      <c r="BI4802" s="744" t="str">
        <f t="shared" si="1655"/>
        <v/>
      </c>
      <c r="BJ4802" s="747" t="str">
        <f t="shared" si="1662"/>
        <v/>
      </c>
      <c r="BK4802" s="498" t="str">
        <f t="shared" si="1656"/>
        <v/>
      </c>
      <c r="BL4802" s="498" t="str">
        <f t="shared" si="1657"/>
        <v/>
      </c>
    </row>
    <row r="4803" spans="1:64" x14ac:dyDescent="0.25">
      <c r="A4803" s="762">
        <f t="shared" si="1658"/>
        <v>4798</v>
      </c>
      <c r="B4803" s="229"/>
      <c r="C4803" s="223"/>
      <c r="D4803" s="224"/>
      <c r="E4803" s="225"/>
      <c r="F4803" s="1036" t="str">
        <f t="shared" si="1664"/>
        <v/>
      </c>
      <c r="G4803" s="1037" t="str">
        <f t="shared" si="1659"/>
        <v/>
      </c>
      <c r="H4803" s="225"/>
      <c r="I4803" s="1013"/>
      <c r="J4803" s="1013"/>
      <c r="K4803" s="1028"/>
      <c r="L4803" s="1035" t="str">
        <f t="shared" si="1663"/>
        <v/>
      </c>
      <c r="S4803" s="498"/>
      <c r="AJ4803" s="498"/>
      <c r="AM4803" s="498">
        <f t="shared" si="1644"/>
        <v>0</v>
      </c>
      <c r="AN4803" s="498">
        <f t="shared" si="1645"/>
        <v>0</v>
      </c>
      <c r="AO4803" s="498">
        <f t="shared" si="1646"/>
        <v>0</v>
      </c>
      <c r="AP4803" s="498">
        <f t="shared" si="1665"/>
        <v>0</v>
      </c>
      <c r="AQ4803" s="498">
        <f t="shared" si="1660"/>
        <v>0</v>
      </c>
      <c r="AU4803" s="498">
        <f t="shared" si="1647"/>
        <v>0</v>
      </c>
      <c r="AV4803" s="498">
        <f t="shared" si="1648"/>
        <v>0</v>
      </c>
      <c r="AW4803" s="498">
        <f t="shared" si="1649"/>
        <v>0</v>
      </c>
      <c r="AX4803" s="498">
        <f t="shared" si="1650"/>
        <v>0</v>
      </c>
      <c r="AY4803" s="498">
        <f t="shared" si="1651"/>
        <v>0</v>
      </c>
      <c r="BB4803" s="498" t="str">
        <f t="shared" si="1652"/>
        <v/>
      </c>
      <c r="BC4803" s="743" t="str">
        <f t="shared" si="1653"/>
        <v/>
      </c>
      <c r="BD4803" s="743" t="str">
        <f t="shared" si="1654"/>
        <v/>
      </c>
      <c r="BE4803" s="743" t="str">
        <f>IF(D4803="","",VLOOKUP(D4803,'General Basis'!$J$39:$K$46,2,0))</f>
        <v/>
      </c>
      <c r="BF4803" s="744" t="str">
        <f>IF(D4803="","",VLOOKUP(D4803,'General Basis'!$J$39:$L$46,3,0))</f>
        <v/>
      </c>
      <c r="BG4803" s="744" t="str">
        <f t="shared" si="1661"/>
        <v/>
      </c>
      <c r="BH4803" s="744" t="str">
        <f>IF(G4803="","",IF(BF4803="Abu Dhabi",IF(G4803&lt;18,'General Basis'!$C$39,IF(G4803&lt;41,'General Basis'!$C$40,IF(G4803&lt;60,'General Basis'!$C$41,IF(G4803&lt;65,'General Basis'!$C$42,'General Basis'!$C$43)))),IF(G4803&lt;11,'General Basis'!$B$39,IF(G4803&lt;18,'General Basis'!$B$40,IF(G4803&lt;26,'General Basis'!$B$41,IF(G4803&lt;31,'General Basis'!$B$42,IF(G4803&lt;36,'General Basis'!$B$43,IF(G4803&lt;41,'General Basis'!$B$44,IF(G4803&lt;46,'General Basis'!$B$45,IF(G4803&lt;51,'General Basis'!$B$46,IF(G4803&lt;56,'General Basis'!$B$47,IF(G4803&lt;60,'General Basis'!$B$48,IF(G4803&lt;65,'General Basis'!$B$49,'General Basis'!$B$50)))))))))))))</f>
        <v/>
      </c>
      <c r="BI4803" s="744" t="str">
        <f t="shared" si="1655"/>
        <v/>
      </c>
      <c r="BJ4803" s="747" t="str">
        <f t="shared" si="1662"/>
        <v/>
      </c>
      <c r="BK4803" s="498" t="str">
        <f t="shared" si="1656"/>
        <v/>
      </c>
      <c r="BL4803" s="498" t="str">
        <f t="shared" si="1657"/>
        <v/>
      </c>
    </row>
    <row r="4804" spans="1:64" x14ac:dyDescent="0.25">
      <c r="A4804" s="762">
        <f t="shared" si="1658"/>
        <v>4799</v>
      </c>
      <c r="B4804" s="229"/>
      <c r="C4804" s="223"/>
      <c r="D4804" s="224"/>
      <c r="E4804" s="225"/>
      <c r="F4804" s="1036" t="str">
        <f t="shared" si="1664"/>
        <v/>
      </c>
      <c r="G4804" s="1037" t="str">
        <f t="shared" si="1659"/>
        <v/>
      </c>
      <c r="H4804" s="225"/>
      <c r="I4804" s="1013"/>
      <c r="J4804" s="1013"/>
      <c r="K4804" s="1028"/>
      <c r="L4804" s="1035" t="str">
        <f t="shared" si="1663"/>
        <v/>
      </c>
      <c r="S4804" s="498"/>
      <c r="AJ4804" s="498"/>
      <c r="AM4804" s="498">
        <f t="shared" si="1644"/>
        <v>0</v>
      </c>
      <c r="AN4804" s="498">
        <f t="shared" si="1645"/>
        <v>0</v>
      </c>
      <c r="AO4804" s="498">
        <f t="shared" si="1646"/>
        <v>0</v>
      </c>
      <c r="AP4804" s="498">
        <f t="shared" si="1665"/>
        <v>0</v>
      </c>
      <c r="AQ4804" s="498">
        <f t="shared" si="1660"/>
        <v>0</v>
      </c>
      <c r="AU4804" s="498">
        <f t="shared" si="1647"/>
        <v>0</v>
      </c>
      <c r="AV4804" s="498">
        <f t="shared" si="1648"/>
        <v>0</v>
      </c>
      <c r="AW4804" s="498">
        <f t="shared" si="1649"/>
        <v>0</v>
      </c>
      <c r="AX4804" s="498">
        <f t="shared" si="1650"/>
        <v>0</v>
      </c>
      <c r="AY4804" s="498">
        <f t="shared" si="1651"/>
        <v>0</v>
      </c>
      <c r="BB4804" s="498" t="str">
        <f t="shared" si="1652"/>
        <v/>
      </c>
      <c r="BC4804" s="743" t="str">
        <f t="shared" si="1653"/>
        <v/>
      </c>
      <c r="BD4804" s="743" t="str">
        <f t="shared" si="1654"/>
        <v/>
      </c>
      <c r="BE4804" s="743" t="str">
        <f>IF(D4804="","",VLOOKUP(D4804,'General Basis'!$J$39:$K$46,2,0))</f>
        <v/>
      </c>
      <c r="BF4804" s="744" t="str">
        <f>IF(D4804="","",VLOOKUP(D4804,'General Basis'!$J$39:$L$46,3,0))</f>
        <v/>
      </c>
      <c r="BG4804" s="744" t="str">
        <f t="shared" si="1661"/>
        <v/>
      </c>
      <c r="BH4804" s="744" t="str">
        <f>IF(G4804="","",IF(BF4804="Abu Dhabi",IF(G4804&lt;18,'General Basis'!$C$39,IF(G4804&lt;41,'General Basis'!$C$40,IF(G4804&lt;60,'General Basis'!$C$41,IF(G4804&lt;65,'General Basis'!$C$42,'General Basis'!$C$43)))),IF(G4804&lt;11,'General Basis'!$B$39,IF(G4804&lt;18,'General Basis'!$B$40,IF(G4804&lt;26,'General Basis'!$B$41,IF(G4804&lt;31,'General Basis'!$B$42,IF(G4804&lt;36,'General Basis'!$B$43,IF(G4804&lt;41,'General Basis'!$B$44,IF(G4804&lt;46,'General Basis'!$B$45,IF(G4804&lt;51,'General Basis'!$B$46,IF(G4804&lt;56,'General Basis'!$B$47,IF(G4804&lt;60,'General Basis'!$B$48,IF(G4804&lt;65,'General Basis'!$B$49,'General Basis'!$B$50)))))))))))))</f>
        <v/>
      </c>
      <c r="BI4804" s="744" t="str">
        <f t="shared" si="1655"/>
        <v/>
      </c>
      <c r="BJ4804" s="747" t="str">
        <f t="shared" si="1662"/>
        <v/>
      </c>
      <c r="BK4804" s="498" t="str">
        <f t="shared" si="1656"/>
        <v/>
      </c>
      <c r="BL4804" s="498" t="str">
        <f t="shared" si="1657"/>
        <v/>
      </c>
    </row>
    <row r="4805" spans="1:64" x14ac:dyDescent="0.25">
      <c r="A4805" s="762">
        <f t="shared" si="1658"/>
        <v>4800</v>
      </c>
      <c r="B4805" s="229"/>
      <c r="C4805" s="223"/>
      <c r="D4805" s="224"/>
      <c r="E4805" s="225"/>
      <c r="F4805" s="1036" t="str">
        <f t="shared" si="1664"/>
        <v/>
      </c>
      <c r="G4805" s="1037" t="str">
        <f t="shared" si="1659"/>
        <v/>
      </c>
      <c r="H4805" s="225"/>
      <c r="I4805" s="1013"/>
      <c r="J4805" s="1013"/>
      <c r="K4805" s="1028"/>
      <c r="L4805" s="1035" t="str">
        <f t="shared" si="1663"/>
        <v/>
      </c>
      <c r="S4805" s="498"/>
      <c r="AJ4805" s="498"/>
      <c r="AM4805" s="498">
        <f t="shared" si="1644"/>
        <v>0</v>
      </c>
      <c r="AN4805" s="498">
        <f t="shared" si="1645"/>
        <v>0</v>
      </c>
      <c r="AO4805" s="498">
        <f t="shared" si="1646"/>
        <v>0</v>
      </c>
      <c r="AP4805" s="498">
        <f t="shared" si="1665"/>
        <v>0</v>
      </c>
      <c r="AQ4805" s="498">
        <f t="shared" si="1660"/>
        <v>0</v>
      </c>
      <c r="AU4805" s="498">
        <f t="shared" si="1647"/>
        <v>0</v>
      </c>
      <c r="AV4805" s="498">
        <f t="shared" si="1648"/>
        <v>0</v>
      </c>
      <c r="AW4805" s="498">
        <f t="shared" si="1649"/>
        <v>0</v>
      </c>
      <c r="AX4805" s="498">
        <f t="shared" si="1650"/>
        <v>0</v>
      </c>
      <c r="AY4805" s="498">
        <f t="shared" si="1651"/>
        <v>0</v>
      </c>
      <c r="BB4805" s="498" t="str">
        <f t="shared" si="1652"/>
        <v/>
      </c>
      <c r="BC4805" s="743" t="str">
        <f t="shared" si="1653"/>
        <v/>
      </c>
      <c r="BD4805" s="743" t="str">
        <f t="shared" si="1654"/>
        <v/>
      </c>
      <c r="BE4805" s="743" t="str">
        <f>IF(D4805="","",VLOOKUP(D4805,'General Basis'!$J$39:$K$46,2,0))</f>
        <v/>
      </c>
      <c r="BF4805" s="744" t="str">
        <f>IF(D4805="","",VLOOKUP(D4805,'General Basis'!$J$39:$L$46,3,0))</f>
        <v/>
      </c>
      <c r="BG4805" s="744" t="str">
        <f t="shared" si="1661"/>
        <v/>
      </c>
      <c r="BH4805" s="744" t="str">
        <f>IF(G4805="","",IF(BF4805="Abu Dhabi",IF(G4805&lt;18,'General Basis'!$C$39,IF(G4805&lt;41,'General Basis'!$C$40,IF(G4805&lt;60,'General Basis'!$C$41,IF(G4805&lt;65,'General Basis'!$C$42,'General Basis'!$C$43)))),IF(G4805&lt;11,'General Basis'!$B$39,IF(G4805&lt;18,'General Basis'!$B$40,IF(G4805&lt;26,'General Basis'!$B$41,IF(G4805&lt;31,'General Basis'!$B$42,IF(G4805&lt;36,'General Basis'!$B$43,IF(G4805&lt;41,'General Basis'!$B$44,IF(G4805&lt;46,'General Basis'!$B$45,IF(G4805&lt;51,'General Basis'!$B$46,IF(G4805&lt;56,'General Basis'!$B$47,IF(G4805&lt;60,'General Basis'!$B$48,IF(G4805&lt;65,'General Basis'!$B$49,'General Basis'!$B$50)))))))))))))</f>
        <v/>
      </c>
      <c r="BI4805" s="744" t="str">
        <f t="shared" si="1655"/>
        <v/>
      </c>
      <c r="BJ4805" s="747" t="str">
        <f t="shared" si="1662"/>
        <v/>
      </c>
      <c r="BK4805" s="498" t="str">
        <f t="shared" si="1656"/>
        <v/>
      </c>
      <c r="BL4805" s="498" t="str">
        <f t="shared" si="1657"/>
        <v/>
      </c>
    </row>
    <row r="4806" spans="1:64" x14ac:dyDescent="0.25">
      <c r="A4806" s="762">
        <f t="shared" si="1658"/>
        <v>4801</v>
      </c>
      <c r="B4806" s="229"/>
      <c r="C4806" s="223"/>
      <c r="D4806" s="224"/>
      <c r="E4806" s="225"/>
      <c r="F4806" s="1036" t="str">
        <f t="shared" si="1664"/>
        <v/>
      </c>
      <c r="G4806" s="1037" t="str">
        <f t="shared" si="1659"/>
        <v/>
      </c>
      <c r="H4806" s="225"/>
      <c r="I4806" s="1013"/>
      <c r="J4806" s="1013"/>
      <c r="K4806" s="1028"/>
      <c r="L4806" s="1035" t="str">
        <f t="shared" si="1663"/>
        <v/>
      </c>
      <c r="S4806" s="498"/>
      <c r="AJ4806" s="498"/>
      <c r="AM4806" s="498">
        <f t="shared" ref="AM4806:AM4869" si="1666">IF(ISTEXT(B4806),1,0)</f>
        <v>0</v>
      </c>
      <c r="AN4806" s="498">
        <f t="shared" ref="AN4806:AN4869" si="1667">IF(ISBLANK(B4806),0,IF(B4806&lt;$AK$6,1,0))</f>
        <v>0</v>
      </c>
      <c r="AO4806" s="498">
        <f t="shared" ref="AO4806:AO4869" si="1668">IF(ISBLANK(B4806),0,IF(B4806&gt;$AK$7,1,0))</f>
        <v>0</v>
      </c>
      <c r="AP4806" s="498">
        <f t="shared" si="1665"/>
        <v>0</v>
      </c>
      <c r="AQ4806" s="498">
        <f t="shared" si="1660"/>
        <v>0</v>
      </c>
      <c r="AU4806" s="498">
        <f t="shared" ref="AU4806:AU4869" si="1669">IF(ISBLANK(B4806),0,1)</f>
        <v>0</v>
      </c>
      <c r="AV4806" s="498">
        <f t="shared" ref="AV4806:AV4869" si="1670">IF(ISBLANK(C4806),0,1)</f>
        <v>0</v>
      </c>
      <c r="AW4806" s="498">
        <f t="shared" ref="AW4806:AW4869" si="1671">IF(ISBLANK(D4806),0,1)</f>
        <v>0</v>
      </c>
      <c r="AX4806" s="498">
        <f t="shared" ref="AX4806:AX4869" si="1672">IF(ISBLANK(E4806),0,1)</f>
        <v>0</v>
      </c>
      <c r="AY4806" s="498">
        <f t="shared" ref="AY4806:AY4869" si="1673">IF(ISBLANK(H4806),0,1)</f>
        <v>0</v>
      </c>
      <c r="BB4806" s="498" t="str">
        <f t="shared" ref="BB4806:BB4869" si="1674">IF(E4806="Principal","Principal",IF(E4806="","","Other"))</f>
        <v/>
      </c>
      <c r="BC4806" s="743" t="str">
        <f t="shared" ref="BC4806:BC4869" si="1675">IF(D4806="","",D4806)</f>
        <v/>
      </c>
      <c r="BD4806" s="743" t="str">
        <f t="shared" ref="BD4806:BD4869" si="1676">IF(E4806="Principal","Employee",IF(E4806="","","Dependent"))</f>
        <v/>
      </c>
      <c r="BE4806" s="743" t="str">
        <f>IF(D4806="","",VLOOKUP(D4806,'General Basis'!$J$39:$K$46,2,0))</f>
        <v/>
      </c>
      <c r="BF4806" s="744" t="str">
        <f>IF(D4806="","",VLOOKUP(D4806,'General Basis'!$J$39:$L$46,3,0))</f>
        <v/>
      </c>
      <c r="BG4806" s="744" t="str">
        <f t="shared" si="1661"/>
        <v/>
      </c>
      <c r="BH4806" s="744" t="str">
        <f>IF(G4806="","",IF(BF4806="Abu Dhabi",IF(G4806&lt;18,'General Basis'!$C$39,IF(G4806&lt;41,'General Basis'!$C$40,IF(G4806&lt;60,'General Basis'!$C$41,IF(G4806&lt;65,'General Basis'!$C$42,'General Basis'!$C$43)))),IF(G4806&lt;11,'General Basis'!$B$39,IF(G4806&lt;18,'General Basis'!$B$40,IF(G4806&lt;26,'General Basis'!$B$41,IF(G4806&lt;31,'General Basis'!$B$42,IF(G4806&lt;36,'General Basis'!$B$43,IF(G4806&lt;41,'General Basis'!$B$44,IF(G4806&lt;46,'General Basis'!$B$45,IF(G4806&lt;51,'General Basis'!$B$46,IF(G4806&lt;56,'General Basis'!$B$47,IF(G4806&lt;60,'General Basis'!$B$48,IF(G4806&lt;65,'General Basis'!$B$49,'General Basis'!$B$50)))))))))))))</f>
        <v/>
      </c>
      <c r="BI4806" s="744" t="str">
        <f t="shared" ref="BI4806:BI4869" si="1677">IF(C4806="","",IF(C4806="M","Male","Female"))</f>
        <v/>
      </c>
      <c r="BJ4806" s="747" t="str">
        <f t="shared" si="1662"/>
        <v/>
      </c>
      <c r="BK4806" s="498" t="str">
        <f t="shared" ref="BK4806:BK4869" si="1678">IF(BD4806="","",IF(AND(BD4806="Employee",BI4806="Male",BF4806="Abu Dhabi",BE4806=GN_Plus),VLOOKUP(BH4806,AUH_MALE_EMP,2,0),IF(AND(BD4806="Employee",BI4806="Male",BF4806="Abu Dhabi",BE4806=GN),VLOOKUP(BH4806,AUH_MALE_EMP,3,0),IF(AND(BD4806="Employee",BI4806="Male",BF4806="Abu Dhabi",BE4806=RN_Plus),VLOOKUP(BH4806,AUH_MALE_EMP,4,0),IF(AND(BD4806="Employee",BI4806="Male",BF4806="Abu Dhabi",BE4806=RN),VLOOKUP(BH4806,AUH_MALE_EMP,5,0),IF(AND(BD4806="Employee",BI4806="Male",BF4806="Abu Dhabi",BE4806=RN_2),VLOOKUP(BH4806,AUH_MALE_EMP,6,0),IF(AND(BD4806="Employee",BI4806="Male",BF4806="Abu Dhabi",BE4806=RN2_minus),VLOOKUP(BH4806,AUH_MALE_EMP,7,0),IF(AND(BD4806="Employee",BI4806="Male",BF4806="Abu Dhabi",BE4806=RN_3),VLOOKUP(BH4806,AUH_MALE_EMP,8,0),IF(AND(BD4806="Employee",BI4806="Male",BF4806="Abu Dhabi",BE4806=VN),VLOOKUP(BH4806,AUH_MALE_EMP,9,0),IF(BD4806="","",IF(AND(BD4806="Employee",BI4806="Female",BF4806="Abu Dhabi",BE4806=GN_Plus),VLOOKUP(BH4806,AUH_FEMALE_EMP,2,0),IF(AND(BD4806="Employee",BI4806="Female",BF4806="Abu Dhabi",BE4806=GN),VLOOKUP(BH4806,AUH_FEMALE_EMP,3,0),IF(AND(BD4806="Employee",BI4806="Female",BF4806="Abu Dhabi",BE4806=RN_Plus),VLOOKUP(BH4806,AUH_FEMALE_EMP,4,0),IF(AND(BD4806="Employee",BI4806="Female",BF4806="Abu Dhabi",BE4806=RN),VLOOKUP(BH4806,AUH_FEMALE_EMP,5,0),IF(AND(BD4806="Employee",BI4806="Female",BF4806="Abu Dhabi",BE4806=RN_2),VLOOKUP(BH4806,AUH_FEMALE_EMP,6,0),IF(AND(BD4806="Employee",BI4806="Female",BF4806="Abu Dhabi",BE4806=RN2_minus),VLOOKUP(BH4806,AUH_FEMALE_EMP,7,0),IF(AND(BD4806="Employee",BI4806="Female",BF4806="Abu Dhabi",BE4806=RN_3),VLOOKUP(BH4806,AUH_FEMALE_EMP,8,0),IF(AND(BD4806="Employee",BI4806="Female",BF4806="Abu Dhabi",BE4806=VN),VLOOKUP(BH4806,AUH_FEMALE_EMP,9,0),IF(BD4806="","",IF(AND(BD4806="Dependent",BI4806="Male",BF4806="Abu Dhabi",BE4806=GN_Plus),VLOOKUP(BH4806,AUH_MALE_DEP,2,0),IF(AND(BD4806="Dependent",BI4806="Male",BF4806="Abu Dhabi",BE4806=GN),VLOOKUP(BH4806,AUH_MALE_DEP,3,0),IF(AND(BD4806="Dependent",BI4806="Male",BF4806="Abu Dhabi",BE4806=RN_Plus),VLOOKUP(BH4806,AUH_MALE_DEP,4,0),IF(AND(BD4806="Dependent",BI4806="Male",BF4806="Abu Dhabi",BE4806=RN),VLOOKUP(BH4806,AUH_MALE_DEP,5,0),IF(AND(BD4806="Dependent",BI4806="Male",BF4806="Abu Dhabi",BE4806=RN_2),VLOOKUP(BH4806,AUH_MALE_DEP,6,0),IF(AND(BD4806="Dependent",BI4806="Male",BF4806="Abu Dhabi",BE4806=RN2_minus),VLOOKUP(BH4806,AUH_MALE_DEP,7,0),IF(AND(BD4806="Dependent",BI4806="Male",BF4806="Abu Dhabi",BE4806=RN_3),VLOOKUP(BH4806,AUH_MALE_DEP,8,0),IF(AND(BD4806="Dependent",BI4806="Male",BF4806="Abu Dhabi",BE4806=VN),VLOOKUP(BH4806,AUH_MALE_DEP,9,0),IF(BD4806="","",IF(AND(BD4806="Dependent",BI4806="Female",BF4806="Abu Dhabi",BE4806=GN_Plus),VLOOKUP(BH4806,AUH_FEMALE_DEP,2,0),IF(AND(BD4806="Dependent",BI4806="Female",BF4806="Abu Dhabi",BE4806=GN),VLOOKUP(BH4806,AUH_FEMALE_DEP,3,0),IF(AND(BD4806="Dependent",BI4806="Female",BF4806="Abu Dhabi",BE4806=RN_Plus),VLOOKUP(BH4806,AUH_FEMALE_DEP,4,0),IF(AND(BD4806="Dependent",BI4806="Female",BF4806="Abu Dhabi",BE4806=RN),VLOOKUP(BH4806,AUH_FEMALE_DEP,5,0),IF(AND(BD4806="Dependent",BI4806="Female",BF4806="Abu Dhabi",BE4806=RN_2),VLOOKUP(BH4806,AUH_FEMALE_DEP,6,0),IF(AND(BD4806="Dependent",BI4806="Female",BF4806="Abu Dhabi",BE4806=RN2_minus),VLOOKUP(BH4806,AUH_FEMALE_DEP,7,0),IF(AND(BD4806="Dependent",BI4806="Female",BF4806="Abu Dhabi",BE4806=RN_3),VLOOKUP(BH4806,AUH_FEMALE_DEP,8,0),IF(AND(BD4806="Dependent",BI4806="Female",BF4806="Abu Dhabi",BE4806=VN),VLOOKUP(BH4806,AUH_FEMALE_DEP,9,0),"ABC"))))))))))))))))))))))))))))))))))))</f>
        <v/>
      </c>
      <c r="BL4806" s="498" t="str">
        <f t="shared" ref="BL4806:BL4869" si="1679">IF(BD4806="","",IF(AND(BD4806="Employee",BI4806="Male",BF4806="Dubai",BE4806=GN_Plus),VLOOKUP(BH4806,DXB_MALE_EMP,2,0),IF(AND(BD4806="Employee",BI4806="Male",BF4806="Dubai",BE4806=GN),VLOOKUP(BH4806,DXB_MALE_EMP,3,0),IF(AND(BD4806="Employee",BI4806="Male",BF4806="Dubai",BE4806=RN_Plus),VLOOKUP(BH4806,DXB_MALE_EMP,4,0),IF(AND(BD4806="Employee",BI4806="Male",BF4806="Dubai",BE4806=RN),VLOOKUP(BH4806,DXB_MALE_EMP,5,0),IF(AND(BD4806="Employee",BI4806="Male",BF4806="Dubai",BE4806=RN_2),VLOOKUP(BH4806,DXB_MALE_EMP,6,0),IF(AND(BD4806="Employee",BI4806="Male",BF4806="Dubai",BE4806=RN2_minus),VLOOKUP(BH4806,DXB_MALE_EMP,7,0),IF(AND(BD4806="Employee",BI4806="Male",BF4806="Dubai",BE4806=RN_3),VLOOKUP(BH4806,DXB_MALE_EMP,8,0),IF(AND(BD4806="Employee",BI4806="Male",BF4806="Dubai",BE4806=VN),VLOOKUP(BH4806,DXB_MALE_EMP,9,0),IF(BD4806="","",IF(AND(BD4806="Employee",BI4806="Female",BF4806="Dubai",BE4806=GN_Plus),VLOOKUP(BH4806,DXB_FEMALE_EMP,2,0),IF(AND(BD4806="Employee",BI4806="Female",BF4806="Dubai",BE4806=GN),VLOOKUP(BH4806,DXB_FEMALE_EMP,3,0),IF(AND(BD4806="Employee",BI4806="Female",BF4806="Dubai",BE4806=RN_Plus),VLOOKUP(BH4806,DXB_FEMALE_EMP,4,0),IF(AND(BD4806="Employee",BI4806="Female",BF4806="Dubai",BE4806=RN),VLOOKUP(BH4806,DXB_FEMALE_EMP,5,0),IF(AND(BD4806="Employee",BI4806="Female",BF4806="Dubai",BE4806=RN_2),VLOOKUP(BH4806,DXB_FEMALE_EMP,6,0),IF(AND(BD4806="Employee",BI4806="Female",BF4806="Dubai",BE4806=RN2_minus),VLOOKUP(BH4806,DXB_FEMALE_EMP,7,0),IF(AND(BD4806="Employee",BI4806="Female",BF4806="Dubai",BE4806=RN_3),VLOOKUP(BH4806,DXB_FEMALE_EMP,8,0),IF(AND(BD4806="Employee",BI4806="Female",BF4806="Dubai",BE4806=VN),VLOOKUP(BH4806,DXB_FEMALE_EMP,9,0),IF(BD4806="","",IF(AND(BD4806="Dependent",BI4806="Male",BF4806="Dubai",BE4806=GN_Plus),VLOOKUP(BH4806,DXB_MALE_DEP,2,0),IF(AND(BD4806="Dependent",BI4806="Male",BF4806="Dubai",BE4806=GN),VLOOKUP(BH4806,DXB_MALE_DEP,3,0),IF(AND(BD4806="Dependent",BI4806="Male",BF4806="Dubai",BE4806=RN_Plus),VLOOKUP(BH4806,DXB_MALE_DEP,4,0),IF(AND(BD4806="Dependent",BI4806="Male",BF4806="Dubai",BE4806=RN),VLOOKUP(BH4806,DXB_MALE_DEP,5,0),IF(AND(BD4806="Dependent",BI4806="Male",BF4806="Dubai",BE4806=RN_2),VLOOKUP(BH4806,DXB_MALE_DEP,6,0),IF(AND(BD4806="Dependent",BI4806="Male",BF4806="Dubai",BE4806=RN2_minus),VLOOKUP(BH4806,DXB_MALE_DEP,7,0),IF(AND(BD4806="Dependent",BI4806="Male",BF4806="Dubai",BE4806=RN_3),VLOOKUP(BH4806,DXB_MALE_DEP,8,0),IF(AND(BD4806="Dependent",BI4806="Male",BF4806="Dubai",BE4806=VN),VLOOKUP(BH4806,DXB_MALE_DEP,9,0),IF(BD4806="","",IF(AND(BD4806="Dependent",BI4806="Female",BF4806="Dubai",BE4806=GN_Plus),VLOOKUP(BH4806,DXB_FEMALE_DEP,2,0),IF(AND(BD4806="Dependent",BI4806="Female",BF4806="Dubai",BE4806=GN),VLOOKUP(BH4806,DXB_FEMALE_DEP,3,0),IF(AND(BD4806="Dependent",BI4806="Female",BF4806="Dubai",BE4806=RN_Plus),VLOOKUP(BH4806,DXB_FEMALE_DEP,4,0),IF(AND(BD4806="Dependent",BI4806="Female",BF4806="Dubai",BE4806=RN),VLOOKUP(BH4806,DXB_FEMALE_DEP,5,0),IF(AND(BD4806="Dependent",BI4806="Female",BF4806="Dubai",BE4806=RN_2),VLOOKUP(BH4806,DXB_FEMALE_DEP,6,0),IF(AND(BD4806="Dependent",BI4806="Female",BF4806="Dubai",BE4806=RN2_minus),VLOOKUP(BH4806,DXB_FEMALE_DEP,7,0),IF(AND(BD4806="Dependent",BI4806="Female",BF4806="Dubai",BE4806=RN_3),VLOOKUP(BH4806,DXB_FEMALE_DEP,8,0),IF(AND(BD4806="Dependent",BI4806="Female",BF4806="Dubai",BE4806=VN),VLOOKUP(BH4806,DXB_FEMALE_DEP,9,0),"ABC"))))))))))))))))))))))))))))))))))))</f>
        <v/>
      </c>
    </row>
    <row r="4807" spans="1:64" x14ac:dyDescent="0.25">
      <c r="A4807" s="762">
        <f t="shared" ref="A4807:A4870" si="1680">+A4806+1</f>
        <v>4802</v>
      </c>
      <c r="B4807" s="229"/>
      <c r="C4807" s="223"/>
      <c r="D4807" s="224"/>
      <c r="E4807" s="225"/>
      <c r="F4807" s="1036" t="str">
        <f t="shared" si="1664"/>
        <v/>
      </c>
      <c r="G4807" s="1037" t="str">
        <f t="shared" ref="G4807:G4870" si="1681">IF(D4807="","",MAX(0,ROUNDUP(F4807,0)))</f>
        <v/>
      </c>
      <c r="H4807" s="225"/>
      <c r="I4807" s="1013"/>
      <c r="J4807" s="1013"/>
      <c r="K4807" s="1028"/>
      <c r="L4807" s="1035" t="str">
        <f t="shared" si="1663"/>
        <v/>
      </c>
      <c r="S4807" s="498"/>
      <c r="AJ4807" s="498"/>
      <c r="AM4807" s="498">
        <f t="shared" si="1666"/>
        <v>0</v>
      </c>
      <c r="AN4807" s="498">
        <f t="shared" si="1667"/>
        <v>0</v>
      </c>
      <c r="AO4807" s="498">
        <f t="shared" si="1668"/>
        <v>0</v>
      </c>
      <c r="AP4807" s="498">
        <f t="shared" si="1665"/>
        <v>0</v>
      </c>
      <c r="AQ4807" s="498">
        <f t="shared" ref="AQ4807:AQ4870" si="1682">IF(ISBLANK($B4807),0,IF(OR($H4807="Single",$H4807="Married"),0,1))</f>
        <v>0</v>
      </c>
      <c r="AU4807" s="498">
        <f t="shared" si="1669"/>
        <v>0</v>
      </c>
      <c r="AV4807" s="498">
        <f t="shared" si="1670"/>
        <v>0</v>
      </c>
      <c r="AW4807" s="498">
        <f t="shared" si="1671"/>
        <v>0</v>
      </c>
      <c r="AX4807" s="498">
        <f t="shared" si="1672"/>
        <v>0</v>
      </c>
      <c r="AY4807" s="498">
        <f t="shared" si="1673"/>
        <v>0</v>
      </c>
      <c r="BB4807" s="498" t="str">
        <f t="shared" si="1674"/>
        <v/>
      </c>
      <c r="BC4807" s="743" t="str">
        <f t="shared" si="1675"/>
        <v/>
      </c>
      <c r="BD4807" s="743" t="str">
        <f t="shared" si="1676"/>
        <v/>
      </c>
      <c r="BE4807" s="743" t="str">
        <f>IF(D4807="","",VLOOKUP(D4807,'General Basis'!$J$39:$K$46,2,0))</f>
        <v/>
      </c>
      <c r="BF4807" s="744" t="str">
        <f>IF(D4807="","",VLOOKUP(D4807,'General Basis'!$J$39:$L$46,3,0))</f>
        <v/>
      </c>
      <c r="BG4807" s="744" t="str">
        <f t="shared" ref="BG4807:BG4870" si="1683">BC4807&amp;BI4807</f>
        <v/>
      </c>
      <c r="BH4807" s="744" t="str">
        <f>IF(G4807="","",IF(BF4807="Abu Dhabi",IF(G4807&lt;18,'General Basis'!$C$39,IF(G4807&lt;41,'General Basis'!$C$40,IF(G4807&lt;60,'General Basis'!$C$41,IF(G4807&lt;65,'General Basis'!$C$42,'General Basis'!$C$43)))),IF(G4807&lt;11,'General Basis'!$B$39,IF(G4807&lt;18,'General Basis'!$B$40,IF(G4807&lt;26,'General Basis'!$B$41,IF(G4807&lt;31,'General Basis'!$B$42,IF(G4807&lt;36,'General Basis'!$B$43,IF(G4807&lt;41,'General Basis'!$B$44,IF(G4807&lt;46,'General Basis'!$B$45,IF(G4807&lt;51,'General Basis'!$B$46,IF(G4807&lt;56,'General Basis'!$B$47,IF(G4807&lt;60,'General Basis'!$B$48,IF(G4807&lt;65,'General Basis'!$B$49,'General Basis'!$B$50)))))))))))))</f>
        <v/>
      </c>
      <c r="BI4807" s="744" t="str">
        <f t="shared" si="1677"/>
        <v/>
      </c>
      <c r="BJ4807" s="747" t="str">
        <f t="shared" ref="BJ4807:BJ4870" si="1684">IF(BD4807="","",IF(BF4807="Abu Dhabi",BK4807,BL4807))</f>
        <v/>
      </c>
      <c r="BK4807" s="498" t="str">
        <f t="shared" si="1678"/>
        <v/>
      </c>
      <c r="BL4807" s="498" t="str">
        <f t="shared" si="1679"/>
        <v/>
      </c>
    </row>
    <row r="4808" spans="1:64" x14ac:dyDescent="0.25">
      <c r="A4808" s="762">
        <f t="shared" si="1680"/>
        <v>4803</v>
      </c>
      <c r="B4808" s="229"/>
      <c r="C4808" s="223"/>
      <c r="D4808" s="224"/>
      <c r="E4808" s="225"/>
      <c r="F4808" s="1036" t="str">
        <f t="shared" si="1664"/>
        <v/>
      </c>
      <c r="G4808" s="1037" t="str">
        <f t="shared" si="1681"/>
        <v/>
      </c>
      <c r="H4808" s="225"/>
      <c r="I4808" s="1013"/>
      <c r="J4808" s="1013"/>
      <c r="K4808" s="1028"/>
      <c r="L4808" s="1035" t="str">
        <f t="shared" ref="L4808:L4871" si="1685">IF(AND(E4808="Child",H4808="Married"),"Check the Marital Status of the Child. ",IF(AND(E4808="Child",F4808&gt;18),"Child Age exceed 18 years. ",IF(AND(E4808="Spouse",H4808="Single"),"Spouse is selected as Single. ","")))&amp;IF(K4808&gt;0,"UW Loading has been Applied","")</f>
        <v/>
      </c>
      <c r="S4808" s="498"/>
      <c r="AJ4808" s="498"/>
      <c r="AM4808" s="498">
        <f t="shared" si="1666"/>
        <v>0</v>
      </c>
      <c r="AN4808" s="498">
        <f t="shared" si="1667"/>
        <v>0</v>
      </c>
      <c r="AO4808" s="498">
        <f t="shared" si="1668"/>
        <v>0</v>
      </c>
      <c r="AP4808" s="498">
        <f t="shared" si="1665"/>
        <v>0</v>
      </c>
      <c r="AQ4808" s="498">
        <f t="shared" si="1682"/>
        <v>0</v>
      </c>
      <c r="AU4808" s="498">
        <f t="shared" si="1669"/>
        <v>0</v>
      </c>
      <c r="AV4808" s="498">
        <f t="shared" si="1670"/>
        <v>0</v>
      </c>
      <c r="AW4808" s="498">
        <f t="shared" si="1671"/>
        <v>0</v>
      </c>
      <c r="AX4808" s="498">
        <f t="shared" si="1672"/>
        <v>0</v>
      </c>
      <c r="AY4808" s="498">
        <f t="shared" si="1673"/>
        <v>0</v>
      </c>
      <c r="BB4808" s="498" t="str">
        <f t="shared" si="1674"/>
        <v/>
      </c>
      <c r="BC4808" s="743" t="str">
        <f t="shared" si="1675"/>
        <v/>
      </c>
      <c r="BD4808" s="743" t="str">
        <f t="shared" si="1676"/>
        <v/>
      </c>
      <c r="BE4808" s="743" t="str">
        <f>IF(D4808="","",VLOOKUP(D4808,'General Basis'!$J$39:$K$46,2,0))</f>
        <v/>
      </c>
      <c r="BF4808" s="744" t="str">
        <f>IF(D4808="","",VLOOKUP(D4808,'General Basis'!$J$39:$L$46,3,0))</f>
        <v/>
      </c>
      <c r="BG4808" s="744" t="str">
        <f t="shared" si="1683"/>
        <v/>
      </c>
      <c r="BH4808" s="744" t="str">
        <f>IF(G4808="","",IF(BF4808="Abu Dhabi",IF(G4808&lt;18,'General Basis'!$C$39,IF(G4808&lt;41,'General Basis'!$C$40,IF(G4808&lt;60,'General Basis'!$C$41,IF(G4808&lt;65,'General Basis'!$C$42,'General Basis'!$C$43)))),IF(G4808&lt;11,'General Basis'!$B$39,IF(G4808&lt;18,'General Basis'!$B$40,IF(G4808&lt;26,'General Basis'!$B$41,IF(G4808&lt;31,'General Basis'!$B$42,IF(G4808&lt;36,'General Basis'!$B$43,IF(G4808&lt;41,'General Basis'!$B$44,IF(G4808&lt;46,'General Basis'!$B$45,IF(G4808&lt;51,'General Basis'!$B$46,IF(G4808&lt;56,'General Basis'!$B$47,IF(G4808&lt;60,'General Basis'!$B$48,IF(G4808&lt;65,'General Basis'!$B$49,'General Basis'!$B$50)))))))))))))</f>
        <v/>
      </c>
      <c r="BI4808" s="744" t="str">
        <f t="shared" si="1677"/>
        <v/>
      </c>
      <c r="BJ4808" s="747" t="str">
        <f t="shared" si="1684"/>
        <v/>
      </c>
      <c r="BK4808" s="498" t="str">
        <f t="shared" si="1678"/>
        <v/>
      </c>
      <c r="BL4808" s="498" t="str">
        <f t="shared" si="1679"/>
        <v/>
      </c>
    </row>
    <row r="4809" spans="1:64" x14ac:dyDescent="0.25">
      <c r="A4809" s="762">
        <f t="shared" si="1680"/>
        <v>4804</v>
      </c>
      <c r="B4809" s="229"/>
      <c r="C4809" s="223"/>
      <c r="D4809" s="224"/>
      <c r="E4809" s="225"/>
      <c r="F4809" s="1036" t="str">
        <f t="shared" si="1664"/>
        <v/>
      </c>
      <c r="G4809" s="1037" t="str">
        <f t="shared" si="1681"/>
        <v/>
      </c>
      <c r="H4809" s="225"/>
      <c r="I4809" s="1013"/>
      <c r="J4809" s="1013"/>
      <c r="K4809" s="1028"/>
      <c r="L4809" s="1035" t="str">
        <f t="shared" si="1685"/>
        <v/>
      </c>
      <c r="S4809" s="498"/>
      <c r="AJ4809" s="498"/>
      <c r="AM4809" s="498">
        <f t="shared" si="1666"/>
        <v>0</v>
      </c>
      <c r="AN4809" s="498">
        <f t="shared" si="1667"/>
        <v>0</v>
      </c>
      <c r="AO4809" s="498">
        <f t="shared" si="1668"/>
        <v>0</v>
      </c>
      <c r="AP4809" s="498">
        <f t="shared" si="1665"/>
        <v>0</v>
      </c>
      <c r="AQ4809" s="498">
        <f t="shared" si="1682"/>
        <v>0</v>
      </c>
      <c r="AU4809" s="498">
        <f t="shared" si="1669"/>
        <v>0</v>
      </c>
      <c r="AV4809" s="498">
        <f t="shared" si="1670"/>
        <v>0</v>
      </c>
      <c r="AW4809" s="498">
        <f t="shared" si="1671"/>
        <v>0</v>
      </c>
      <c r="AX4809" s="498">
        <f t="shared" si="1672"/>
        <v>0</v>
      </c>
      <c r="AY4809" s="498">
        <f t="shared" si="1673"/>
        <v>0</v>
      </c>
      <c r="BB4809" s="498" t="str">
        <f t="shared" si="1674"/>
        <v/>
      </c>
      <c r="BC4809" s="743" t="str">
        <f t="shared" si="1675"/>
        <v/>
      </c>
      <c r="BD4809" s="743" t="str">
        <f t="shared" si="1676"/>
        <v/>
      </c>
      <c r="BE4809" s="743" t="str">
        <f>IF(D4809="","",VLOOKUP(D4809,'General Basis'!$J$39:$K$46,2,0))</f>
        <v/>
      </c>
      <c r="BF4809" s="744" t="str">
        <f>IF(D4809="","",VLOOKUP(D4809,'General Basis'!$J$39:$L$46,3,0))</f>
        <v/>
      </c>
      <c r="BG4809" s="744" t="str">
        <f t="shared" si="1683"/>
        <v/>
      </c>
      <c r="BH4809" s="744" t="str">
        <f>IF(G4809="","",IF(BF4809="Abu Dhabi",IF(G4809&lt;18,'General Basis'!$C$39,IF(G4809&lt;41,'General Basis'!$C$40,IF(G4809&lt;60,'General Basis'!$C$41,IF(G4809&lt;65,'General Basis'!$C$42,'General Basis'!$C$43)))),IF(G4809&lt;11,'General Basis'!$B$39,IF(G4809&lt;18,'General Basis'!$B$40,IF(G4809&lt;26,'General Basis'!$B$41,IF(G4809&lt;31,'General Basis'!$B$42,IF(G4809&lt;36,'General Basis'!$B$43,IF(G4809&lt;41,'General Basis'!$B$44,IF(G4809&lt;46,'General Basis'!$B$45,IF(G4809&lt;51,'General Basis'!$B$46,IF(G4809&lt;56,'General Basis'!$B$47,IF(G4809&lt;60,'General Basis'!$B$48,IF(G4809&lt;65,'General Basis'!$B$49,'General Basis'!$B$50)))))))))))))</f>
        <v/>
      </c>
      <c r="BI4809" s="744" t="str">
        <f t="shared" si="1677"/>
        <v/>
      </c>
      <c r="BJ4809" s="747" t="str">
        <f t="shared" si="1684"/>
        <v/>
      </c>
      <c r="BK4809" s="498" t="str">
        <f t="shared" si="1678"/>
        <v/>
      </c>
      <c r="BL4809" s="498" t="str">
        <f t="shared" si="1679"/>
        <v/>
      </c>
    </row>
    <row r="4810" spans="1:64" x14ac:dyDescent="0.25">
      <c r="A4810" s="762">
        <f t="shared" si="1680"/>
        <v>4805</v>
      </c>
      <c r="B4810" s="229"/>
      <c r="C4810" s="223"/>
      <c r="D4810" s="224"/>
      <c r="E4810" s="225"/>
      <c r="F4810" s="1036" t="str">
        <f t="shared" si="1664"/>
        <v/>
      </c>
      <c r="G4810" s="1037" t="str">
        <f t="shared" si="1681"/>
        <v/>
      </c>
      <c r="H4810" s="225"/>
      <c r="I4810" s="1013"/>
      <c r="J4810" s="1013"/>
      <c r="K4810" s="1028"/>
      <c r="L4810" s="1035" t="str">
        <f t="shared" si="1685"/>
        <v/>
      </c>
      <c r="S4810" s="498"/>
      <c r="AJ4810" s="498"/>
      <c r="AM4810" s="498">
        <f t="shared" si="1666"/>
        <v>0</v>
      </c>
      <c r="AN4810" s="498">
        <f t="shared" si="1667"/>
        <v>0</v>
      </c>
      <c r="AO4810" s="498">
        <f t="shared" si="1668"/>
        <v>0</v>
      </c>
      <c r="AP4810" s="498">
        <f t="shared" si="1665"/>
        <v>0</v>
      </c>
      <c r="AQ4810" s="498">
        <f t="shared" si="1682"/>
        <v>0</v>
      </c>
      <c r="AU4810" s="498">
        <f t="shared" si="1669"/>
        <v>0</v>
      </c>
      <c r="AV4810" s="498">
        <f t="shared" si="1670"/>
        <v>0</v>
      </c>
      <c r="AW4810" s="498">
        <f t="shared" si="1671"/>
        <v>0</v>
      </c>
      <c r="AX4810" s="498">
        <f t="shared" si="1672"/>
        <v>0</v>
      </c>
      <c r="AY4810" s="498">
        <f t="shared" si="1673"/>
        <v>0</v>
      </c>
      <c r="BB4810" s="498" t="str">
        <f t="shared" si="1674"/>
        <v/>
      </c>
      <c r="BC4810" s="743" t="str">
        <f t="shared" si="1675"/>
        <v/>
      </c>
      <c r="BD4810" s="743" t="str">
        <f t="shared" si="1676"/>
        <v/>
      </c>
      <c r="BE4810" s="743" t="str">
        <f>IF(D4810="","",VLOOKUP(D4810,'General Basis'!$J$39:$K$46,2,0))</f>
        <v/>
      </c>
      <c r="BF4810" s="744" t="str">
        <f>IF(D4810="","",VLOOKUP(D4810,'General Basis'!$J$39:$L$46,3,0))</f>
        <v/>
      </c>
      <c r="BG4810" s="744" t="str">
        <f t="shared" si="1683"/>
        <v/>
      </c>
      <c r="BH4810" s="744" t="str">
        <f>IF(G4810="","",IF(BF4810="Abu Dhabi",IF(G4810&lt;18,'General Basis'!$C$39,IF(G4810&lt;41,'General Basis'!$C$40,IF(G4810&lt;60,'General Basis'!$C$41,IF(G4810&lt;65,'General Basis'!$C$42,'General Basis'!$C$43)))),IF(G4810&lt;11,'General Basis'!$B$39,IF(G4810&lt;18,'General Basis'!$B$40,IF(G4810&lt;26,'General Basis'!$B$41,IF(G4810&lt;31,'General Basis'!$B$42,IF(G4810&lt;36,'General Basis'!$B$43,IF(G4810&lt;41,'General Basis'!$B$44,IF(G4810&lt;46,'General Basis'!$B$45,IF(G4810&lt;51,'General Basis'!$B$46,IF(G4810&lt;56,'General Basis'!$B$47,IF(G4810&lt;60,'General Basis'!$B$48,IF(G4810&lt;65,'General Basis'!$B$49,'General Basis'!$B$50)))))))))))))</f>
        <v/>
      </c>
      <c r="BI4810" s="744" t="str">
        <f t="shared" si="1677"/>
        <v/>
      </c>
      <c r="BJ4810" s="747" t="str">
        <f t="shared" si="1684"/>
        <v/>
      </c>
      <c r="BK4810" s="498" t="str">
        <f t="shared" si="1678"/>
        <v/>
      </c>
      <c r="BL4810" s="498" t="str">
        <f t="shared" si="1679"/>
        <v/>
      </c>
    </row>
    <row r="4811" spans="1:64" x14ac:dyDescent="0.25">
      <c r="A4811" s="762">
        <f t="shared" si="1680"/>
        <v>4806</v>
      </c>
      <c r="B4811" s="229"/>
      <c r="C4811" s="223"/>
      <c r="D4811" s="224"/>
      <c r="E4811" s="225"/>
      <c r="F4811" s="1036" t="str">
        <f t="shared" si="1664"/>
        <v/>
      </c>
      <c r="G4811" s="1037" t="str">
        <f t="shared" si="1681"/>
        <v/>
      </c>
      <c r="H4811" s="225"/>
      <c r="I4811" s="1013"/>
      <c r="J4811" s="1013"/>
      <c r="K4811" s="1028"/>
      <c r="L4811" s="1035" t="str">
        <f t="shared" si="1685"/>
        <v/>
      </c>
      <c r="S4811" s="498"/>
      <c r="AJ4811" s="498"/>
      <c r="AM4811" s="498">
        <f t="shared" si="1666"/>
        <v>0</v>
      </c>
      <c r="AN4811" s="498">
        <f t="shared" si="1667"/>
        <v>0</v>
      </c>
      <c r="AO4811" s="498">
        <f t="shared" si="1668"/>
        <v>0</v>
      </c>
      <c r="AP4811" s="498">
        <f t="shared" si="1665"/>
        <v>0</v>
      </c>
      <c r="AQ4811" s="498">
        <f t="shared" si="1682"/>
        <v>0</v>
      </c>
      <c r="AU4811" s="498">
        <f t="shared" si="1669"/>
        <v>0</v>
      </c>
      <c r="AV4811" s="498">
        <f t="shared" si="1670"/>
        <v>0</v>
      </c>
      <c r="AW4811" s="498">
        <f t="shared" si="1671"/>
        <v>0</v>
      </c>
      <c r="AX4811" s="498">
        <f t="shared" si="1672"/>
        <v>0</v>
      </c>
      <c r="AY4811" s="498">
        <f t="shared" si="1673"/>
        <v>0</v>
      </c>
      <c r="BB4811" s="498" t="str">
        <f t="shared" si="1674"/>
        <v/>
      </c>
      <c r="BC4811" s="743" t="str">
        <f t="shared" si="1675"/>
        <v/>
      </c>
      <c r="BD4811" s="743" t="str">
        <f t="shared" si="1676"/>
        <v/>
      </c>
      <c r="BE4811" s="743" t="str">
        <f>IF(D4811="","",VLOOKUP(D4811,'General Basis'!$J$39:$K$46,2,0))</f>
        <v/>
      </c>
      <c r="BF4811" s="744" t="str">
        <f>IF(D4811="","",VLOOKUP(D4811,'General Basis'!$J$39:$L$46,3,0))</f>
        <v/>
      </c>
      <c r="BG4811" s="744" t="str">
        <f t="shared" si="1683"/>
        <v/>
      </c>
      <c r="BH4811" s="744" t="str">
        <f>IF(G4811="","",IF(BF4811="Abu Dhabi",IF(G4811&lt;18,'General Basis'!$C$39,IF(G4811&lt;41,'General Basis'!$C$40,IF(G4811&lt;60,'General Basis'!$C$41,IF(G4811&lt;65,'General Basis'!$C$42,'General Basis'!$C$43)))),IF(G4811&lt;11,'General Basis'!$B$39,IF(G4811&lt;18,'General Basis'!$B$40,IF(G4811&lt;26,'General Basis'!$B$41,IF(G4811&lt;31,'General Basis'!$B$42,IF(G4811&lt;36,'General Basis'!$B$43,IF(G4811&lt;41,'General Basis'!$B$44,IF(G4811&lt;46,'General Basis'!$B$45,IF(G4811&lt;51,'General Basis'!$B$46,IF(G4811&lt;56,'General Basis'!$B$47,IF(G4811&lt;60,'General Basis'!$B$48,IF(G4811&lt;65,'General Basis'!$B$49,'General Basis'!$B$50)))))))))))))</f>
        <v/>
      </c>
      <c r="BI4811" s="744" t="str">
        <f t="shared" si="1677"/>
        <v/>
      </c>
      <c r="BJ4811" s="747" t="str">
        <f t="shared" si="1684"/>
        <v/>
      </c>
      <c r="BK4811" s="498" t="str">
        <f t="shared" si="1678"/>
        <v/>
      </c>
      <c r="BL4811" s="498" t="str">
        <f t="shared" si="1679"/>
        <v/>
      </c>
    </row>
    <row r="4812" spans="1:64" x14ac:dyDescent="0.25">
      <c r="A4812" s="762">
        <f t="shared" si="1680"/>
        <v>4807</v>
      </c>
      <c r="B4812" s="229"/>
      <c r="C4812" s="223"/>
      <c r="D4812" s="224"/>
      <c r="E4812" s="225"/>
      <c r="F4812" s="1036" t="str">
        <f t="shared" si="1664"/>
        <v/>
      </c>
      <c r="G4812" s="1037" t="str">
        <f t="shared" si="1681"/>
        <v/>
      </c>
      <c r="H4812" s="225"/>
      <c r="I4812" s="1013"/>
      <c r="J4812" s="1013"/>
      <c r="K4812" s="1028"/>
      <c r="L4812" s="1035" t="str">
        <f t="shared" si="1685"/>
        <v/>
      </c>
      <c r="S4812" s="498"/>
      <c r="AJ4812" s="498"/>
      <c r="AM4812" s="498">
        <f t="shared" si="1666"/>
        <v>0</v>
      </c>
      <c r="AN4812" s="498">
        <f t="shared" si="1667"/>
        <v>0</v>
      </c>
      <c r="AO4812" s="498">
        <f t="shared" si="1668"/>
        <v>0</v>
      </c>
      <c r="AP4812" s="498">
        <f t="shared" si="1665"/>
        <v>0</v>
      </c>
      <c r="AQ4812" s="498">
        <f t="shared" si="1682"/>
        <v>0</v>
      </c>
      <c r="AU4812" s="498">
        <f t="shared" si="1669"/>
        <v>0</v>
      </c>
      <c r="AV4812" s="498">
        <f t="shared" si="1670"/>
        <v>0</v>
      </c>
      <c r="AW4812" s="498">
        <f t="shared" si="1671"/>
        <v>0</v>
      </c>
      <c r="AX4812" s="498">
        <f t="shared" si="1672"/>
        <v>0</v>
      </c>
      <c r="AY4812" s="498">
        <f t="shared" si="1673"/>
        <v>0</v>
      </c>
      <c r="BB4812" s="498" t="str">
        <f t="shared" si="1674"/>
        <v/>
      </c>
      <c r="BC4812" s="743" t="str">
        <f t="shared" si="1675"/>
        <v/>
      </c>
      <c r="BD4812" s="743" t="str">
        <f t="shared" si="1676"/>
        <v/>
      </c>
      <c r="BE4812" s="743" t="str">
        <f>IF(D4812="","",VLOOKUP(D4812,'General Basis'!$J$39:$K$46,2,0))</f>
        <v/>
      </c>
      <c r="BF4812" s="744" t="str">
        <f>IF(D4812="","",VLOOKUP(D4812,'General Basis'!$J$39:$L$46,3,0))</f>
        <v/>
      </c>
      <c r="BG4812" s="744" t="str">
        <f t="shared" si="1683"/>
        <v/>
      </c>
      <c r="BH4812" s="744" t="str">
        <f>IF(G4812="","",IF(BF4812="Abu Dhabi",IF(G4812&lt;18,'General Basis'!$C$39,IF(G4812&lt;41,'General Basis'!$C$40,IF(G4812&lt;60,'General Basis'!$C$41,IF(G4812&lt;65,'General Basis'!$C$42,'General Basis'!$C$43)))),IF(G4812&lt;11,'General Basis'!$B$39,IF(G4812&lt;18,'General Basis'!$B$40,IF(G4812&lt;26,'General Basis'!$B$41,IF(G4812&lt;31,'General Basis'!$B$42,IF(G4812&lt;36,'General Basis'!$B$43,IF(G4812&lt;41,'General Basis'!$B$44,IF(G4812&lt;46,'General Basis'!$B$45,IF(G4812&lt;51,'General Basis'!$B$46,IF(G4812&lt;56,'General Basis'!$B$47,IF(G4812&lt;60,'General Basis'!$B$48,IF(G4812&lt;65,'General Basis'!$B$49,'General Basis'!$B$50)))))))))))))</f>
        <v/>
      </c>
      <c r="BI4812" s="744" t="str">
        <f t="shared" si="1677"/>
        <v/>
      </c>
      <c r="BJ4812" s="747" t="str">
        <f t="shared" si="1684"/>
        <v/>
      </c>
      <c r="BK4812" s="498" t="str">
        <f t="shared" si="1678"/>
        <v/>
      </c>
      <c r="BL4812" s="498" t="str">
        <f t="shared" si="1679"/>
        <v/>
      </c>
    </row>
    <row r="4813" spans="1:64" x14ac:dyDescent="0.25">
      <c r="A4813" s="762">
        <f t="shared" si="1680"/>
        <v>4808</v>
      </c>
      <c r="B4813" s="229"/>
      <c r="C4813" s="223"/>
      <c r="D4813" s="224"/>
      <c r="E4813" s="225"/>
      <c r="F4813" s="1036" t="str">
        <f t="shared" si="1664"/>
        <v/>
      </c>
      <c r="G4813" s="1037" t="str">
        <f t="shared" si="1681"/>
        <v/>
      </c>
      <c r="H4813" s="225"/>
      <c r="I4813" s="1013"/>
      <c r="J4813" s="1013"/>
      <c r="K4813" s="1028"/>
      <c r="L4813" s="1035" t="str">
        <f t="shared" si="1685"/>
        <v/>
      </c>
      <c r="S4813" s="498"/>
      <c r="AJ4813" s="498"/>
      <c r="AM4813" s="498">
        <f t="shared" si="1666"/>
        <v>0</v>
      </c>
      <c r="AN4813" s="498">
        <f t="shared" si="1667"/>
        <v>0</v>
      </c>
      <c r="AO4813" s="498">
        <f t="shared" si="1668"/>
        <v>0</v>
      </c>
      <c r="AP4813" s="498">
        <f t="shared" si="1665"/>
        <v>0</v>
      </c>
      <c r="AQ4813" s="498">
        <f t="shared" si="1682"/>
        <v>0</v>
      </c>
      <c r="AU4813" s="498">
        <f t="shared" si="1669"/>
        <v>0</v>
      </c>
      <c r="AV4813" s="498">
        <f t="shared" si="1670"/>
        <v>0</v>
      </c>
      <c r="AW4813" s="498">
        <f t="shared" si="1671"/>
        <v>0</v>
      </c>
      <c r="AX4813" s="498">
        <f t="shared" si="1672"/>
        <v>0</v>
      </c>
      <c r="AY4813" s="498">
        <f t="shared" si="1673"/>
        <v>0</v>
      </c>
      <c r="BB4813" s="498" t="str">
        <f t="shared" si="1674"/>
        <v/>
      </c>
      <c r="BC4813" s="743" t="str">
        <f t="shared" si="1675"/>
        <v/>
      </c>
      <c r="BD4813" s="743" t="str">
        <f t="shared" si="1676"/>
        <v/>
      </c>
      <c r="BE4813" s="743" t="str">
        <f>IF(D4813="","",VLOOKUP(D4813,'General Basis'!$J$39:$K$46,2,0))</f>
        <v/>
      </c>
      <c r="BF4813" s="744" t="str">
        <f>IF(D4813="","",VLOOKUP(D4813,'General Basis'!$J$39:$L$46,3,0))</f>
        <v/>
      </c>
      <c r="BG4813" s="744" t="str">
        <f t="shared" si="1683"/>
        <v/>
      </c>
      <c r="BH4813" s="744" t="str">
        <f>IF(G4813="","",IF(BF4813="Abu Dhabi",IF(G4813&lt;18,'General Basis'!$C$39,IF(G4813&lt;41,'General Basis'!$C$40,IF(G4813&lt;60,'General Basis'!$C$41,IF(G4813&lt;65,'General Basis'!$C$42,'General Basis'!$C$43)))),IF(G4813&lt;11,'General Basis'!$B$39,IF(G4813&lt;18,'General Basis'!$B$40,IF(G4813&lt;26,'General Basis'!$B$41,IF(G4813&lt;31,'General Basis'!$B$42,IF(G4813&lt;36,'General Basis'!$B$43,IF(G4813&lt;41,'General Basis'!$B$44,IF(G4813&lt;46,'General Basis'!$B$45,IF(G4813&lt;51,'General Basis'!$B$46,IF(G4813&lt;56,'General Basis'!$B$47,IF(G4813&lt;60,'General Basis'!$B$48,IF(G4813&lt;65,'General Basis'!$B$49,'General Basis'!$B$50)))))))))))))</f>
        <v/>
      </c>
      <c r="BI4813" s="744" t="str">
        <f t="shared" si="1677"/>
        <v/>
      </c>
      <c r="BJ4813" s="747" t="str">
        <f t="shared" si="1684"/>
        <v/>
      </c>
      <c r="BK4813" s="498" t="str">
        <f t="shared" si="1678"/>
        <v/>
      </c>
      <c r="BL4813" s="498" t="str">
        <f t="shared" si="1679"/>
        <v/>
      </c>
    </row>
    <row r="4814" spans="1:64" x14ac:dyDescent="0.25">
      <c r="A4814" s="762">
        <f t="shared" si="1680"/>
        <v>4809</v>
      </c>
      <c r="B4814" s="229"/>
      <c r="C4814" s="223"/>
      <c r="D4814" s="224"/>
      <c r="E4814" s="225"/>
      <c r="F4814" s="1036" t="str">
        <f t="shared" si="1664"/>
        <v/>
      </c>
      <c r="G4814" s="1037" t="str">
        <f t="shared" si="1681"/>
        <v/>
      </c>
      <c r="H4814" s="225"/>
      <c r="I4814" s="1013"/>
      <c r="J4814" s="1013"/>
      <c r="K4814" s="1028"/>
      <c r="L4814" s="1035" t="str">
        <f t="shared" si="1685"/>
        <v/>
      </c>
      <c r="S4814" s="498"/>
      <c r="AJ4814" s="498"/>
      <c r="AM4814" s="498">
        <f t="shared" si="1666"/>
        <v>0</v>
      </c>
      <c r="AN4814" s="498">
        <f t="shared" si="1667"/>
        <v>0</v>
      </c>
      <c r="AO4814" s="498">
        <f t="shared" si="1668"/>
        <v>0</v>
      </c>
      <c r="AP4814" s="498">
        <f t="shared" si="1665"/>
        <v>0</v>
      </c>
      <c r="AQ4814" s="498">
        <f t="shared" si="1682"/>
        <v>0</v>
      </c>
      <c r="AU4814" s="498">
        <f t="shared" si="1669"/>
        <v>0</v>
      </c>
      <c r="AV4814" s="498">
        <f t="shared" si="1670"/>
        <v>0</v>
      </c>
      <c r="AW4814" s="498">
        <f t="shared" si="1671"/>
        <v>0</v>
      </c>
      <c r="AX4814" s="498">
        <f t="shared" si="1672"/>
        <v>0</v>
      </c>
      <c r="AY4814" s="498">
        <f t="shared" si="1673"/>
        <v>0</v>
      </c>
      <c r="BB4814" s="498" t="str">
        <f t="shared" si="1674"/>
        <v/>
      </c>
      <c r="BC4814" s="743" t="str">
        <f t="shared" si="1675"/>
        <v/>
      </c>
      <c r="BD4814" s="743" t="str">
        <f t="shared" si="1676"/>
        <v/>
      </c>
      <c r="BE4814" s="743" t="str">
        <f>IF(D4814="","",VLOOKUP(D4814,'General Basis'!$J$39:$K$46,2,0))</f>
        <v/>
      </c>
      <c r="BF4814" s="744" t="str">
        <f>IF(D4814="","",VLOOKUP(D4814,'General Basis'!$J$39:$L$46,3,0))</f>
        <v/>
      </c>
      <c r="BG4814" s="744" t="str">
        <f t="shared" si="1683"/>
        <v/>
      </c>
      <c r="BH4814" s="744" t="str">
        <f>IF(G4814="","",IF(BF4814="Abu Dhabi",IF(G4814&lt;18,'General Basis'!$C$39,IF(G4814&lt;41,'General Basis'!$C$40,IF(G4814&lt;60,'General Basis'!$C$41,IF(G4814&lt;65,'General Basis'!$C$42,'General Basis'!$C$43)))),IF(G4814&lt;11,'General Basis'!$B$39,IF(G4814&lt;18,'General Basis'!$B$40,IF(G4814&lt;26,'General Basis'!$B$41,IF(G4814&lt;31,'General Basis'!$B$42,IF(G4814&lt;36,'General Basis'!$B$43,IF(G4814&lt;41,'General Basis'!$B$44,IF(G4814&lt;46,'General Basis'!$B$45,IF(G4814&lt;51,'General Basis'!$B$46,IF(G4814&lt;56,'General Basis'!$B$47,IF(G4814&lt;60,'General Basis'!$B$48,IF(G4814&lt;65,'General Basis'!$B$49,'General Basis'!$B$50)))))))))))))</f>
        <v/>
      </c>
      <c r="BI4814" s="744" t="str">
        <f t="shared" si="1677"/>
        <v/>
      </c>
      <c r="BJ4814" s="747" t="str">
        <f t="shared" si="1684"/>
        <v/>
      </c>
      <c r="BK4814" s="498" t="str">
        <f t="shared" si="1678"/>
        <v/>
      </c>
      <c r="BL4814" s="498" t="str">
        <f t="shared" si="1679"/>
        <v/>
      </c>
    </row>
    <row r="4815" spans="1:64" x14ac:dyDescent="0.25">
      <c r="A4815" s="762">
        <f t="shared" si="1680"/>
        <v>4810</v>
      </c>
      <c r="B4815" s="229"/>
      <c r="C4815" s="223"/>
      <c r="D4815" s="224"/>
      <c r="E4815" s="225"/>
      <c r="F4815" s="1036" t="str">
        <f t="shared" si="1664"/>
        <v/>
      </c>
      <c r="G4815" s="1037" t="str">
        <f t="shared" si="1681"/>
        <v/>
      </c>
      <c r="H4815" s="225"/>
      <c r="I4815" s="1013"/>
      <c r="J4815" s="1013"/>
      <c r="K4815" s="1028"/>
      <c r="L4815" s="1035" t="str">
        <f t="shared" si="1685"/>
        <v/>
      </c>
      <c r="S4815" s="498"/>
      <c r="AJ4815" s="498"/>
      <c r="AM4815" s="498">
        <f t="shared" si="1666"/>
        <v>0</v>
      </c>
      <c r="AN4815" s="498">
        <f t="shared" si="1667"/>
        <v>0</v>
      </c>
      <c r="AO4815" s="498">
        <f t="shared" si="1668"/>
        <v>0</v>
      </c>
      <c r="AP4815" s="498">
        <f t="shared" si="1665"/>
        <v>0</v>
      </c>
      <c r="AQ4815" s="498">
        <f t="shared" si="1682"/>
        <v>0</v>
      </c>
      <c r="AU4815" s="498">
        <f t="shared" si="1669"/>
        <v>0</v>
      </c>
      <c r="AV4815" s="498">
        <f t="shared" si="1670"/>
        <v>0</v>
      </c>
      <c r="AW4815" s="498">
        <f t="shared" si="1671"/>
        <v>0</v>
      </c>
      <c r="AX4815" s="498">
        <f t="shared" si="1672"/>
        <v>0</v>
      </c>
      <c r="AY4815" s="498">
        <f t="shared" si="1673"/>
        <v>0</v>
      </c>
      <c r="BB4815" s="498" t="str">
        <f t="shared" si="1674"/>
        <v/>
      </c>
      <c r="BC4815" s="743" t="str">
        <f t="shared" si="1675"/>
        <v/>
      </c>
      <c r="BD4815" s="743" t="str">
        <f t="shared" si="1676"/>
        <v/>
      </c>
      <c r="BE4815" s="743" t="str">
        <f>IF(D4815="","",VLOOKUP(D4815,'General Basis'!$J$39:$K$46,2,0))</f>
        <v/>
      </c>
      <c r="BF4815" s="744" t="str">
        <f>IF(D4815="","",VLOOKUP(D4815,'General Basis'!$J$39:$L$46,3,0))</f>
        <v/>
      </c>
      <c r="BG4815" s="744" t="str">
        <f t="shared" si="1683"/>
        <v/>
      </c>
      <c r="BH4815" s="744" t="str">
        <f>IF(G4815="","",IF(BF4815="Abu Dhabi",IF(G4815&lt;18,'General Basis'!$C$39,IF(G4815&lt;41,'General Basis'!$C$40,IF(G4815&lt;60,'General Basis'!$C$41,IF(G4815&lt;65,'General Basis'!$C$42,'General Basis'!$C$43)))),IF(G4815&lt;11,'General Basis'!$B$39,IF(G4815&lt;18,'General Basis'!$B$40,IF(G4815&lt;26,'General Basis'!$B$41,IF(G4815&lt;31,'General Basis'!$B$42,IF(G4815&lt;36,'General Basis'!$B$43,IF(G4815&lt;41,'General Basis'!$B$44,IF(G4815&lt;46,'General Basis'!$B$45,IF(G4815&lt;51,'General Basis'!$B$46,IF(G4815&lt;56,'General Basis'!$B$47,IF(G4815&lt;60,'General Basis'!$B$48,IF(G4815&lt;65,'General Basis'!$B$49,'General Basis'!$B$50)))))))))))))</f>
        <v/>
      </c>
      <c r="BI4815" s="744" t="str">
        <f t="shared" si="1677"/>
        <v/>
      </c>
      <c r="BJ4815" s="747" t="str">
        <f t="shared" si="1684"/>
        <v/>
      </c>
      <c r="BK4815" s="498" t="str">
        <f t="shared" si="1678"/>
        <v/>
      </c>
      <c r="BL4815" s="498" t="str">
        <f t="shared" si="1679"/>
        <v/>
      </c>
    </row>
    <row r="4816" spans="1:64" x14ac:dyDescent="0.25">
      <c r="A4816" s="762">
        <f t="shared" si="1680"/>
        <v>4811</v>
      </c>
      <c r="B4816" s="229"/>
      <c r="C4816" s="223"/>
      <c r="D4816" s="224"/>
      <c r="E4816" s="225"/>
      <c r="F4816" s="1036" t="str">
        <f t="shared" ref="F4816:F4879" si="1686">IF(C4816="","",IF($B4816="","",((YEAR($F$3)-YEAR($B4816))+(MONTH($F$3)-MONTH($B4816))/12+(DAY($F$3)-DAY($B4816))/(DATE(YEAR($F$3),12,31)-DATE(YEAR($F$3),1,1)+1))))</f>
        <v/>
      </c>
      <c r="G4816" s="1037" t="str">
        <f t="shared" si="1681"/>
        <v/>
      </c>
      <c r="H4816" s="225"/>
      <c r="I4816" s="1013"/>
      <c r="J4816" s="1013"/>
      <c r="K4816" s="1028"/>
      <c r="L4816" s="1035" t="str">
        <f t="shared" si="1685"/>
        <v/>
      </c>
      <c r="S4816" s="498"/>
      <c r="AJ4816" s="498"/>
      <c r="AM4816" s="498">
        <f t="shared" si="1666"/>
        <v>0</v>
      </c>
      <c r="AN4816" s="498">
        <f t="shared" si="1667"/>
        <v>0</v>
      </c>
      <c r="AO4816" s="498">
        <f t="shared" si="1668"/>
        <v>0</v>
      </c>
      <c r="AP4816" s="498">
        <f t="shared" si="1665"/>
        <v>0</v>
      </c>
      <c r="AQ4816" s="498">
        <f t="shared" si="1682"/>
        <v>0</v>
      </c>
      <c r="AU4816" s="498">
        <f t="shared" si="1669"/>
        <v>0</v>
      </c>
      <c r="AV4816" s="498">
        <f t="shared" si="1670"/>
        <v>0</v>
      </c>
      <c r="AW4816" s="498">
        <f t="shared" si="1671"/>
        <v>0</v>
      </c>
      <c r="AX4816" s="498">
        <f t="shared" si="1672"/>
        <v>0</v>
      </c>
      <c r="AY4816" s="498">
        <f t="shared" si="1673"/>
        <v>0</v>
      </c>
      <c r="BB4816" s="498" t="str">
        <f t="shared" si="1674"/>
        <v/>
      </c>
      <c r="BC4816" s="743" t="str">
        <f t="shared" si="1675"/>
        <v/>
      </c>
      <c r="BD4816" s="743" t="str">
        <f t="shared" si="1676"/>
        <v/>
      </c>
      <c r="BE4816" s="743" t="str">
        <f>IF(D4816="","",VLOOKUP(D4816,'General Basis'!$J$39:$K$46,2,0))</f>
        <v/>
      </c>
      <c r="BF4816" s="744" t="str">
        <f>IF(D4816="","",VLOOKUP(D4816,'General Basis'!$J$39:$L$46,3,0))</f>
        <v/>
      </c>
      <c r="BG4816" s="744" t="str">
        <f t="shared" si="1683"/>
        <v/>
      </c>
      <c r="BH4816" s="744" t="str">
        <f>IF(G4816="","",IF(BF4816="Abu Dhabi",IF(G4816&lt;18,'General Basis'!$C$39,IF(G4816&lt;41,'General Basis'!$C$40,IF(G4816&lt;60,'General Basis'!$C$41,IF(G4816&lt;65,'General Basis'!$C$42,'General Basis'!$C$43)))),IF(G4816&lt;11,'General Basis'!$B$39,IF(G4816&lt;18,'General Basis'!$B$40,IF(G4816&lt;26,'General Basis'!$B$41,IF(G4816&lt;31,'General Basis'!$B$42,IF(G4816&lt;36,'General Basis'!$B$43,IF(G4816&lt;41,'General Basis'!$B$44,IF(G4816&lt;46,'General Basis'!$B$45,IF(G4816&lt;51,'General Basis'!$B$46,IF(G4816&lt;56,'General Basis'!$B$47,IF(G4816&lt;60,'General Basis'!$B$48,IF(G4816&lt;65,'General Basis'!$B$49,'General Basis'!$B$50)))))))))))))</f>
        <v/>
      </c>
      <c r="BI4816" s="744" t="str">
        <f t="shared" si="1677"/>
        <v/>
      </c>
      <c r="BJ4816" s="747" t="str">
        <f t="shared" si="1684"/>
        <v/>
      </c>
      <c r="BK4816" s="498" t="str">
        <f t="shared" si="1678"/>
        <v/>
      </c>
      <c r="BL4816" s="498" t="str">
        <f t="shared" si="1679"/>
        <v/>
      </c>
    </row>
    <row r="4817" spans="1:64" x14ac:dyDescent="0.25">
      <c r="A4817" s="762">
        <f t="shared" si="1680"/>
        <v>4812</v>
      </c>
      <c r="B4817" s="229"/>
      <c r="C4817" s="223"/>
      <c r="D4817" s="224"/>
      <c r="E4817" s="225"/>
      <c r="F4817" s="1036" t="str">
        <f t="shared" si="1686"/>
        <v/>
      </c>
      <c r="G4817" s="1037" t="str">
        <f t="shared" si="1681"/>
        <v/>
      </c>
      <c r="H4817" s="225"/>
      <c r="I4817" s="1013"/>
      <c r="J4817" s="1013"/>
      <c r="K4817" s="1028"/>
      <c r="L4817" s="1035" t="str">
        <f t="shared" si="1685"/>
        <v/>
      </c>
      <c r="S4817" s="498"/>
      <c r="AJ4817" s="498"/>
      <c r="AM4817" s="498">
        <f t="shared" si="1666"/>
        <v>0</v>
      </c>
      <c r="AN4817" s="498">
        <f t="shared" si="1667"/>
        <v>0</v>
      </c>
      <c r="AO4817" s="498">
        <f t="shared" si="1668"/>
        <v>0</v>
      </c>
      <c r="AP4817" s="498">
        <f t="shared" si="1665"/>
        <v>0</v>
      </c>
      <c r="AQ4817" s="498">
        <f t="shared" si="1682"/>
        <v>0</v>
      </c>
      <c r="AU4817" s="498">
        <f t="shared" si="1669"/>
        <v>0</v>
      </c>
      <c r="AV4817" s="498">
        <f t="shared" si="1670"/>
        <v>0</v>
      </c>
      <c r="AW4817" s="498">
        <f t="shared" si="1671"/>
        <v>0</v>
      </c>
      <c r="AX4817" s="498">
        <f t="shared" si="1672"/>
        <v>0</v>
      </c>
      <c r="AY4817" s="498">
        <f t="shared" si="1673"/>
        <v>0</v>
      </c>
      <c r="BB4817" s="498" t="str">
        <f t="shared" si="1674"/>
        <v/>
      </c>
      <c r="BC4817" s="743" t="str">
        <f t="shared" si="1675"/>
        <v/>
      </c>
      <c r="BD4817" s="743" t="str">
        <f t="shared" si="1676"/>
        <v/>
      </c>
      <c r="BE4817" s="743" t="str">
        <f>IF(D4817="","",VLOOKUP(D4817,'General Basis'!$J$39:$K$46,2,0))</f>
        <v/>
      </c>
      <c r="BF4817" s="744" t="str">
        <f>IF(D4817="","",VLOOKUP(D4817,'General Basis'!$J$39:$L$46,3,0))</f>
        <v/>
      </c>
      <c r="BG4817" s="744" t="str">
        <f t="shared" si="1683"/>
        <v/>
      </c>
      <c r="BH4817" s="744" t="str">
        <f>IF(G4817="","",IF(BF4817="Abu Dhabi",IF(G4817&lt;18,'General Basis'!$C$39,IF(G4817&lt;41,'General Basis'!$C$40,IF(G4817&lt;60,'General Basis'!$C$41,IF(G4817&lt;65,'General Basis'!$C$42,'General Basis'!$C$43)))),IF(G4817&lt;11,'General Basis'!$B$39,IF(G4817&lt;18,'General Basis'!$B$40,IF(G4817&lt;26,'General Basis'!$B$41,IF(G4817&lt;31,'General Basis'!$B$42,IF(G4817&lt;36,'General Basis'!$B$43,IF(G4817&lt;41,'General Basis'!$B$44,IF(G4817&lt;46,'General Basis'!$B$45,IF(G4817&lt;51,'General Basis'!$B$46,IF(G4817&lt;56,'General Basis'!$B$47,IF(G4817&lt;60,'General Basis'!$B$48,IF(G4817&lt;65,'General Basis'!$B$49,'General Basis'!$B$50)))))))))))))</f>
        <v/>
      </c>
      <c r="BI4817" s="744" t="str">
        <f t="shared" si="1677"/>
        <v/>
      </c>
      <c r="BJ4817" s="747" t="str">
        <f t="shared" si="1684"/>
        <v/>
      </c>
      <c r="BK4817" s="498" t="str">
        <f t="shared" si="1678"/>
        <v/>
      </c>
      <c r="BL4817" s="498" t="str">
        <f t="shared" si="1679"/>
        <v/>
      </c>
    </row>
    <row r="4818" spans="1:64" x14ac:dyDescent="0.25">
      <c r="A4818" s="762">
        <f t="shared" si="1680"/>
        <v>4813</v>
      </c>
      <c r="B4818" s="229"/>
      <c r="C4818" s="223"/>
      <c r="D4818" s="224"/>
      <c r="E4818" s="225"/>
      <c r="F4818" s="1036" t="str">
        <f t="shared" si="1686"/>
        <v/>
      </c>
      <c r="G4818" s="1037" t="str">
        <f t="shared" si="1681"/>
        <v/>
      </c>
      <c r="H4818" s="225"/>
      <c r="I4818" s="1013"/>
      <c r="J4818" s="1013"/>
      <c r="K4818" s="1028"/>
      <c r="L4818" s="1035" t="str">
        <f t="shared" si="1685"/>
        <v/>
      </c>
      <c r="S4818" s="498"/>
      <c r="AJ4818" s="498"/>
      <c r="AM4818" s="498">
        <f t="shared" si="1666"/>
        <v>0</v>
      </c>
      <c r="AN4818" s="498">
        <f t="shared" si="1667"/>
        <v>0</v>
      </c>
      <c r="AO4818" s="498">
        <f t="shared" si="1668"/>
        <v>0</v>
      </c>
      <c r="AP4818" s="498">
        <f t="shared" si="1665"/>
        <v>0</v>
      </c>
      <c r="AQ4818" s="498">
        <f t="shared" si="1682"/>
        <v>0</v>
      </c>
      <c r="AU4818" s="498">
        <f t="shared" si="1669"/>
        <v>0</v>
      </c>
      <c r="AV4818" s="498">
        <f t="shared" si="1670"/>
        <v>0</v>
      </c>
      <c r="AW4818" s="498">
        <f t="shared" si="1671"/>
        <v>0</v>
      </c>
      <c r="AX4818" s="498">
        <f t="shared" si="1672"/>
        <v>0</v>
      </c>
      <c r="AY4818" s="498">
        <f t="shared" si="1673"/>
        <v>0</v>
      </c>
      <c r="BB4818" s="498" t="str">
        <f t="shared" si="1674"/>
        <v/>
      </c>
      <c r="BC4818" s="743" t="str">
        <f t="shared" si="1675"/>
        <v/>
      </c>
      <c r="BD4818" s="743" t="str">
        <f t="shared" si="1676"/>
        <v/>
      </c>
      <c r="BE4818" s="743" t="str">
        <f>IF(D4818="","",VLOOKUP(D4818,'General Basis'!$J$39:$K$46,2,0))</f>
        <v/>
      </c>
      <c r="BF4818" s="744" t="str">
        <f>IF(D4818="","",VLOOKUP(D4818,'General Basis'!$J$39:$L$46,3,0))</f>
        <v/>
      </c>
      <c r="BG4818" s="744" t="str">
        <f t="shared" si="1683"/>
        <v/>
      </c>
      <c r="BH4818" s="744" t="str">
        <f>IF(G4818="","",IF(BF4818="Abu Dhabi",IF(G4818&lt;18,'General Basis'!$C$39,IF(G4818&lt;41,'General Basis'!$C$40,IF(G4818&lt;60,'General Basis'!$C$41,IF(G4818&lt;65,'General Basis'!$C$42,'General Basis'!$C$43)))),IF(G4818&lt;11,'General Basis'!$B$39,IF(G4818&lt;18,'General Basis'!$B$40,IF(G4818&lt;26,'General Basis'!$B$41,IF(G4818&lt;31,'General Basis'!$B$42,IF(G4818&lt;36,'General Basis'!$B$43,IF(G4818&lt;41,'General Basis'!$B$44,IF(G4818&lt;46,'General Basis'!$B$45,IF(G4818&lt;51,'General Basis'!$B$46,IF(G4818&lt;56,'General Basis'!$B$47,IF(G4818&lt;60,'General Basis'!$B$48,IF(G4818&lt;65,'General Basis'!$B$49,'General Basis'!$B$50)))))))))))))</f>
        <v/>
      </c>
      <c r="BI4818" s="744" t="str">
        <f t="shared" si="1677"/>
        <v/>
      </c>
      <c r="BJ4818" s="747" t="str">
        <f t="shared" si="1684"/>
        <v/>
      </c>
      <c r="BK4818" s="498" t="str">
        <f t="shared" si="1678"/>
        <v/>
      </c>
      <c r="BL4818" s="498" t="str">
        <f t="shared" si="1679"/>
        <v/>
      </c>
    </row>
    <row r="4819" spans="1:64" x14ac:dyDescent="0.25">
      <c r="A4819" s="762">
        <f t="shared" si="1680"/>
        <v>4814</v>
      </c>
      <c r="B4819" s="229"/>
      <c r="C4819" s="223"/>
      <c r="D4819" s="224"/>
      <c r="E4819" s="225"/>
      <c r="F4819" s="1036" t="str">
        <f t="shared" si="1686"/>
        <v/>
      </c>
      <c r="G4819" s="1037" t="str">
        <f t="shared" si="1681"/>
        <v/>
      </c>
      <c r="H4819" s="225"/>
      <c r="I4819" s="1013"/>
      <c r="J4819" s="1013"/>
      <c r="K4819" s="1028"/>
      <c r="L4819" s="1035" t="str">
        <f t="shared" si="1685"/>
        <v/>
      </c>
      <c r="S4819" s="498"/>
      <c r="AJ4819" s="498"/>
      <c r="AM4819" s="498">
        <f t="shared" si="1666"/>
        <v>0</v>
      </c>
      <c r="AN4819" s="498">
        <f t="shared" si="1667"/>
        <v>0</v>
      </c>
      <c r="AO4819" s="498">
        <f t="shared" si="1668"/>
        <v>0</v>
      </c>
      <c r="AP4819" s="498">
        <f t="shared" ref="AP4819:AP4882" si="1687">IF(ISBLANK($B4819),0,IF(OR($C4819="M",$C4819="F"),0,1))</f>
        <v>0</v>
      </c>
      <c r="AQ4819" s="498">
        <f t="shared" si="1682"/>
        <v>0</v>
      </c>
      <c r="AU4819" s="498">
        <f t="shared" si="1669"/>
        <v>0</v>
      </c>
      <c r="AV4819" s="498">
        <f t="shared" si="1670"/>
        <v>0</v>
      </c>
      <c r="AW4819" s="498">
        <f t="shared" si="1671"/>
        <v>0</v>
      </c>
      <c r="AX4819" s="498">
        <f t="shared" si="1672"/>
        <v>0</v>
      </c>
      <c r="AY4819" s="498">
        <f t="shared" si="1673"/>
        <v>0</v>
      </c>
      <c r="BB4819" s="498" t="str">
        <f t="shared" si="1674"/>
        <v/>
      </c>
      <c r="BC4819" s="743" t="str">
        <f t="shared" si="1675"/>
        <v/>
      </c>
      <c r="BD4819" s="743" t="str">
        <f t="shared" si="1676"/>
        <v/>
      </c>
      <c r="BE4819" s="743" t="str">
        <f>IF(D4819="","",VLOOKUP(D4819,'General Basis'!$J$39:$K$46,2,0))</f>
        <v/>
      </c>
      <c r="BF4819" s="744" t="str">
        <f>IF(D4819="","",VLOOKUP(D4819,'General Basis'!$J$39:$L$46,3,0))</f>
        <v/>
      </c>
      <c r="BG4819" s="744" t="str">
        <f t="shared" si="1683"/>
        <v/>
      </c>
      <c r="BH4819" s="744" t="str">
        <f>IF(G4819="","",IF(BF4819="Abu Dhabi",IF(G4819&lt;18,'General Basis'!$C$39,IF(G4819&lt;41,'General Basis'!$C$40,IF(G4819&lt;60,'General Basis'!$C$41,IF(G4819&lt;65,'General Basis'!$C$42,'General Basis'!$C$43)))),IF(G4819&lt;11,'General Basis'!$B$39,IF(G4819&lt;18,'General Basis'!$B$40,IF(G4819&lt;26,'General Basis'!$B$41,IF(G4819&lt;31,'General Basis'!$B$42,IF(G4819&lt;36,'General Basis'!$B$43,IF(G4819&lt;41,'General Basis'!$B$44,IF(G4819&lt;46,'General Basis'!$B$45,IF(G4819&lt;51,'General Basis'!$B$46,IF(G4819&lt;56,'General Basis'!$B$47,IF(G4819&lt;60,'General Basis'!$B$48,IF(G4819&lt;65,'General Basis'!$B$49,'General Basis'!$B$50)))))))))))))</f>
        <v/>
      </c>
      <c r="BI4819" s="744" t="str">
        <f t="shared" si="1677"/>
        <v/>
      </c>
      <c r="BJ4819" s="747" t="str">
        <f t="shared" si="1684"/>
        <v/>
      </c>
      <c r="BK4819" s="498" t="str">
        <f t="shared" si="1678"/>
        <v/>
      </c>
      <c r="BL4819" s="498" t="str">
        <f t="shared" si="1679"/>
        <v/>
      </c>
    </row>
    <row r="4820" spans="1:64" x14ac:dyDescent="0.25">
      <c r="A4820" s="762">
        <f t="shared" si="1680"/>
        <v>4815</v>
      </c>
      <c r="B4820" s="229"/>
      <c r="C4820" s="223"/>
      <c r="D4820" s="224"/>
      <c r="E4820" s="225"/>
      <c r="F4820" s="1036" t="str">
        <f t="shared" si="1686"/>
        <v/>
      </c>
      <c r="G4820" s="1037" t="str">
        <f t="shared" si="1681"/>
        <v/>
      </c>
      <c r="H4820" s="225"/>
      <c r="I4820" s="1013"/>
      <c r="J4820" s="1013"/>
      <c r="K4820" s="1028"/>
      <c r="L4820" s="1035" t="str">
        <f t="shared" si="1685"/>
        <v/>
      </c>
      <c r="S4820" s="498"/>
      <c r="AJ4820" s="498"/>
      <c r="AM4820" s="498">
        <f t="shared" si="1666"/>
        <v>0</v>
      </c>
      <c r="AN4820" s="498">
        <f t="shared" si="1667"/>
        <v>0</v>
      </c>
      <c r="AO4820" s="498">
        <f t="shared" si="1668"/>
        <v>0</v>
      </c>
      <c r="AP4820" s="498">
        <f t="shared" si="1687"/>
        <v>0</v>
      </c>
      <c r="AQ4820" s="498">
        <f t="shared" si="1682"/>
        <v>0</v>
      </c>
      <c r="AU4820" s="498">
        <f t="shared" si="1669"/>
        <v>0</v>
      </c>
      <c r="AV4820" s="498">
        <f t="shared" si="1670"/>
        <v>0</v>
      </c>
      <c r="AW4820" s="498">
        <f t="shared" si="1671"/>
        <v>0</v>
      </c>
      <c r="AX4820" s="498">
        <f t="shared" si="1672"/>
        <v>0</v>
      </c>
      <c r="AY4820" s="498">
        <f t="shared" si="1673"/>
        <v>0</v>
      </c>
      <c r="BB4820" s="498" t="str">
        <f t="shared" si="1674"/>
        <v/>
      </c>
      <c r="BC4820" s="743" t="str">
        <f t="shared" si="1675"/>
        <v/>
      </c>
      <c r="BD4820" s="743" t="str">
        <f t="shared" si="1676"/>
        <v/>
      </c>
      <c r="BE4820" s="743" t="str">
        <f>IF(D4820="","",VLOOKUP(D4820,'General Basis'!$J$39:$K$46,2,0))</f>
        <v/>
      </c>
      <c r="BF4820" s="744" t="str">
        <f>IF(D4820="","",VLOOKUP(D4820,'General Basis'!$J$39:$L$46,3,0))</f>
        <v/>
      </c>
      <c r="BG4820" s="744" t="str">
        <f t="shared" si="1683"/>
        <v/>
      </c>
      <c r="BH4820" s="744" t="str">
        <f>IF(G4820="","",IF(BF4820="Abu Dhabi",IF(G4820&lt;18,'General Basis'!$C$39,IF(G4820&lt;41,'General Basis'!$C$40,IF(G4820&lt;60,'General Basis'!$C$41,IF(G4820&lt;65,'General Basis'!$C$42,'General Basis'!$C$43)))),IF(G4820&lt;11,'General Basis'!$B$39,IF(G4820&lt;18,'General Basis'!$B$40,IF(G4820&lt;26,'General Basis'!$B$41,IF(G4820&lt;31,'General Basis'!$B$42,IF(G4820&lt;36,'General Basis'!$B$43,IF(G4820&lt;41,'General Basis'!$B$44,IF(G4820&lt;46,'General Basis'!$B$45,IF(G4820&lt;51,'General Basis'!$B$46,IF(G4820&lt;56,'General Basis'!$B$47,IF(G4820&lt;60,'General Basis'!$B$48,IF(G4820&lt;65,'General Basis'!$B$49,'General Basis'!$B$50)))))))))))))</f>
        <v/>
      </c>
      <c r="BI4820" s="744" t="str">
        <f t="shared" si="1677"/>
        <v/>
      </c>
      <c r="BJ4820" s="747" t="str">
        <f t="shared" si="1684"/>
        <v/>
      </c>
      <c r="BK4820" s="498" t="str">
        <f t="shared" si="1678"/>
        <v/>
      </c>
      <c r="BL4820" s="498" t="str">
        <f t="shared" si="1679"/>
        <v/>
      </c>
    </row>
    <row r="4821" spans="1:64" x14ac:dyDescent="0.25">
      <c r="A4821" s="762">
        <f t="shared" si="1680"/>
        <v>4816</v>
      </c>
      <c r="B4821" s="229"/>
      <c r="C4821" s="223"/>
      <c r="D4821" s="224"/>
      <c r="E4821" s="225"/>
      <c r="F4821" s="1036" t="str">
        <f t="shared" si="1686"/>
        <v/>
      </c>
      <c r="G4821" s="1037" t="str">
        <f t="shared" si="1681"/>
        <v/>
      </c>
      <c r="H4821" s="225"/>
      <c r="I4821" s="1013"/>
      <c r="J4821" s="1013"/>
      <c r="K4821" s="1028"/>
      <c r="L4821" s="1035" t="str">
        <f t="shared" si="1685"/>
        <v/>
      </c>
      <c r="S4821" s="498"/>
      <c r="AJ4821" s="498"/>
      <c r="AM4821" s="498">
        <f t="shared" si="1666"/>
        <v>0</v>
      </c>
      <c r="AN4821" s="498">
        <f t="shared" si="1667"/>
        <v>0</v>
      </c>
      <c r="AO4821" s="498">
        <f t="shared" si="1668"/>
        <v>0</v>
      </c>
      <c r="AP4821" s="498">
        <f t="shared" si="1687"/>
        <v>0</v>
      </c>
      <c r="AQ4821" s="498">
        <f t="shared" si="1682"/>
        <v>0</v>
      </c>
      <c r="AU4821" s="498">
        <f t="shared" si="1669"/>
        <v>0</v>
      </c>
      <c r="AV4821" s="498">
        <f t="shared" si="1670"/>
        <v>0</v>
      </c>
      <c r="AW4821" s="498">
        <f t="shared" si="1671"/>
        <v>0</v>
      </c>
      <c r="AX4821" s="498">
        <f t="shared" si="1672"/>
        <v>0</v>
      </c>
      <c r="AY4821" s="498">
        <f t="shared" si="1673"/>
        <v>0</v>
      </c>
      <c r="BB4821" s="498" t="str">
        <f t="shared" si="1674"/>
        <v/>
      </c>
      <c r="BC4821" s="743" t="str">
        <f t="shared" si="1675"/>
        <v/>
      </c>
      <c r="BD4821" s="743" t="str">
        <f t="shared" si="1676"/>
        <v/>
      </c>
      <c r="BE4821" s="743" t="str">
        <f>IF(D4821="","",VLOOKUP(D4821,'General Basis'!$J$39:$K$46,2,0))</f>
        <v/>
      </c>
      <c r="BF4821" s="744" t="str">
        <f>IF(D4821="","",VLOOKUP(D4821,'General Basis'!$J$39:$L$46,3,0))</f>
        <v/>
      </c>
      <c r="BG4821" s="744" t="str">
        <f t="shared" si="1683"/>
        <v/>
      </c>
      <c r="BH4821" s="744" t="str">
        <f>IF(G4821="","",IF(BF4821="Abu Dhabi",IF(G4821&lt;18,'General Basis'!$C$39,IF(G4821&lt;41,'General Basis'!$C$40,IF(G4821&lt;60,'General Basis'!$C$41,IF(G4821&lt;65,'General Basis'!$C$42,'General Basis'!$C$43)))),IF(G4821&lt;11,'General Basis'!$B$39,IF(G4821&lt;18,'General Basis'!$B$40,IF(G4821&lt;26,'General Basis'!$B$41,IF(G4821&lt;31,'General Basis'!$B$42,IF(G4821&lt;36,'General Basis'!$B$43,IF(G4821&lt;41,'General Basis'!$B$44,IF(G4821&lt;46,'General Basis'!$B$45,IF(G4821&lt;51,'General Basis'!$B$46,IF(G4821&lt;56,'General Basis'!$B$47,IF(G4821&lt;60,'General Basis'!$B$48,IF(G4821&lt;65,'General Basis'!$B$49,'General Basis'!$B$50)))))))))))))</f>
        <v/>
      </c>
      <c r="BI4821" s="744" t="str">
        <f t="shared" si="1677"/>
        <v/>
      </c>
      <c r="BJ4821" s="747" t="str">
        <f t="shared" si="1684"/>
        <v/>
      </c>
      <c r="BK4821" s="498" t="str">
        <f t="shared" si="1678"/>
        <v/>
      </c>
      <c r="BL4821" s="498" t="str">
        <f t="shared" si="1679"/>
        <v/>
      </c>
    </row>
    <row r="4822" spans="1:64" x14ac:dyDescent="0.25">
      <c r="A4822" s="762">
        <f t="shared" si="1680"/>
        <v>4817</v>
      </c>
      <c r="B4822" s="229"/>
      <c r="C4822" s="223"/>
      <c r="D4822" s="224"/>
      <c r="E4822" s="225"/>
      <c r="F4822" s="1036" t="str">
        <f t="shared" si="1686"/>
        <v/>
      </c>
      <c r="G4822" s="1037" t="str">
        <f t="shared" si="1681"/>
        <v/>
      </c>
      <c r="H4822" s="225"/>
      <c r="I4822" s="1013"/>
      <c r="J4822" s="1013"/>
      <c r="K4822" s="1028"/>
      <c r="L4822" s="1035" t="str">
        <f t="shared" si="1685"/>
        <v/>
      </c>
      <c r="S4822" s="498"/>
      <c r="AJ4822" s="498"/>
      <c r="AM4822" s="498">
        <f t="shared" si="1666"/>
        <v>0</v>
      </c>
      <c r="AN4822" s="498">
        <f t="shared" si="1667"/>
        <v>0</v>
      </c>
      <c r="AO4822" s="498">
        <f t="shared" si="1668"/>
        <v>0</v>
      </c>
      <c r="AP4822" s="498">
        <f t="shared" si="1687"/>
        <v>0</v>
      </c>
      <c r="AQ4822" s="498">
        <f t="shared" si="1682"/>
        <v>0</v>
      </c>
      <c r="AU4822" s="498">
        <f t="shared" si="1669"/>
        <v>0</v>
      </c>
      <c r="AV4822" s="498">
        <f t="shared" si="1670"/>
        <v>0</v>
      </c>
      <c r="AW4822" s="498">
        <f t="shared" si="1671"/>
        <v>0</v>
      </c>
      <c r="AX4822" s="498">
        <f t="shared" si="1672"/>
        <v>0</v>
      </c>
      <c r="AY4822" s="498">
        <f t="shared" si="1673"/>
        <v>0</v>
      </c>
      <c r="BB4822" s="498" t="str">
        <f t="shared" si="1674"/>
        <v/>
      </c>
      <c r="BC4822" s="743" t="str">
        <f t="shared" si="1675"/>
        <v/>
      </c>
      <c r="BD4822" s="743" t="str">
        <f t="shared" si="1676"/>
        <v/>
      </c>
      <c r="BE4822" s="743" t="str">
        <f>IF(D4822="","",VLOOKUP(D4822,'General Basis'!$J$39:$K$46,2,0))</f>
        <v/>
      </c>
      <c r="BF4822" s="744" t="str">
        <f>IF(D4822="","",VLOOKUP(D4822,'General Basis'!$J$39:$L$46,3,0))</f>
        <v/>
      </c>
      <c r="BG4822" s="744" t="str">
        <f t="shared" si="1683"/>
        <v/>
      </c>
      <c r="BH4822" s="744" t="str">
        <f>IF(G4822="","",IF(BF4822="Abu Dhabi",IF(G4822&lt;18,'General Basis'!$C$39,IF(G4822&lt;41,'General Basis'!$C$40,IF(G4822&lt;60,'General Basis'!$C$41,IF(G4822&lt;65,'General Basis'!$C$42,'General Basis'!$C$43)))),IF(G4822&lt;11,'General Basis'!$B$39,IF(G4822&lt;18,'General Basis'!$B$40,IF(G4822&lt;26,'General Basis'!$B$41,IF(G4822&lt;31,'General Basis'!$B$42,IF(G4822&lt;36,'General Basis'!$B$43,IF(G4822&lt;41,'General Basis'!$B$44,IF(G4822&lt;46,'General Basis'!$B$45,IF(G4822&lt;51,'General Basis'!$B$46,IF(G4822&lt;56,'General Basis'!$B$47,IF(G4822&lt;60,'General Basis'!$B$48,IF(G4822&lt;65,'General Basis'!$B$49,'General Basis'!$B$50)))))))))))))</f>
        <v/>
      </c>
      <c r="BI4822" s="744" t="str">
        <f t="shared" si="1677"/>
        <v/>
      </c>
      <c r="BJ4822" s="747" t="str">
        <f t="shared" si="1684"/>
        <v/>
      </c>
      <c r="BK4822" s="498" t="str">
        <f t="shared" si="1678"/>
        <v/>
      </c>
      <c r="BL4822" s="498" t="str">
        <f t="shared" si="1679"/>
        <v/>
      </c>
    </row>
    <row r="4823" spans="1:64" x14ac:dyDescent="0.25">
      <c r="A4823" s="762">
        <f t="shared" si="1680"/>
        <v>4818</v>
      </c>
      <c r="B4823" s="229"/>
      <c r="C4823" s="223"/>
      <c r="D4823" s="224"/>
      <c r="E4823" s="225"/>
      <c r="F4823" s="1036" t="str">
        <f t="shared" si="1686"/>
        <v/>
      </c>
      <c r="G4823" s="1037" t="str">
        <f t="shared" si="1681"/>
        <v/>
      </c>
      <c r="H4823" s="225"/>
      <c r="I4823" s="1013"/>
      <c r="J4823" s="1013"/>
      <c r="K4823" s="1028"/>
      <c r="L4823" s="1035" t="str">
        <f t="shared" si="1685"/>
        <v/>
      </c>
      <c r="S4823" s="498"/>
      <c r="AJ4823" s="498"/>
      <c r="AM4823" s="498">
        <f t="shared" si="1666"/>
        <v>0</v>
      </c>
      <c r="AN4823" s="498">
        <f t="shared" si="1667"/>
        <v>0</v>
      </c>
      <c r="AO4823" s="498">
        <f t="shared" si="1668"/>
        <v>0</v>
      </c>
      <c r="AP4823" s="498">
        <f t="shared" si="1687"/>
        <v>0</v>
      </c>
      <c r="AQ4823" s="498">
        <f t="shared" si="1682"/>
        <v>0</v>
      </c>
      <c r="AU4823" s="498">
        <f t="shared" si="1669"/>
        <v>0</v>
      </c>
      <c r="AV4823" s="498">
        <f t="shared" si="1670"/>
        <v>0</v>
      </c>
      <c r="AW4823" s="498">
        <f t="shared" si="1671"/>
        <v>0</v>
      </c>
      <c r="AX4823" s="498">
        <f t="shared" si="1672"/>
        <v>0</v>
      </c>
      <c r="AY4823" s="498">
        <f t="shared" si="1673"/>
        <v>0</v>
      </c>
      <c r="BB4823" s="498" t="str">
        <f t="shared" si="1674"/>
        <v/>
      </c>
      <c r="BC4823" s="743" t="str">
        <f t="shared" si="1675"/>
        <v/>
      </c>
      <c r="BD4823" s="743" t="str">
        <f t="shared" si="1676"/>
        <v/>
      </c>
      <c r="BE4823" s="743" t="str">
        <f>IF(D4823="","",VLOOKUP(D4823,'General Basis'!$J$39:$K$46,2,0))</f>
        <v/>
      </c>
      <c r="BF4823" s="744" t="str">
        <f>IF(D4823="","",VLOOKUP(D4823,'General Basis'!$J$39:$L$46,3,0))</f>
        <v/>
      </c>
      <c r="BG4823" s="744" t="str">
        <f t="shared" si="1683"/>
        <v/>
      </c>
      <c r="BH4823" s="744" t="str">
        <f>IF(G4823="","",IF(BF4823="Abu Dhabi",IF(G4823&lt;18,'General Basis'!$C$39,IF(G4823&lt;41,'General Basis'!$C$40,IF(G4823&lt;60,'General Basis'!$C$41,IF(G4823&lt;65,'General Basis'!$C$42,'General Basis'!$C$43)))),IF(G4823&lt;11,'General Basis'!$B$39,IF(G4823&lt;18,'General Basis'!$B$40,IF(G4823&lt;26,'General Basis'!$B$41,IF(G4823&lt;31,'General Basis'!$B$42,IF(G4823&lt;36,'General Basis'!$B$43,IF(G4823&lt;41,'General Basis'!$B$44,IF(G4823&lt;46,'General Basis'!$B$45,IF(G4823&lt;51,'General Basis'!$B$46,IF(G4823&lt;56,'General Basis'!$B$47,IF(G4823&lt;60,'General Basis'!$B$48,IF(G4823&lt;65,'General Basis'!$B$49,'General Basis'!$B$50)))))))))))))</f>
        <v/>
      </c>
      <c r="BI4823" s="744" t="str">
        <f t="shared" si="1677"/>
        <v/>
      </c>
      <c r="BJ4823" s="747" t="str">
        <f t="shared" si="1684"/>
        <v/>
      </c>
      <c r="BK4823" s="498" t="str">
        <f t="shared" si="1678"/>
        <v/>
      </c>
      <c r="BL4823" s="498" t="str">
        <f t="shared" si="1679"/>
        <v/>
      </c>
    </row>
    <row r="4824" spans="1:64" x14ac:dyDescent="0.25">
      <c r="A4824" s="762">
        <f t="shared" si="1680"/>
        <v>4819</v>
      </c>
      <c r="B4824" s="229"/>
      <c r="C4824" s="223"/>
      <c r="D4824" s="224"/>
      <c r="E4824" s="225"/>
      <c r="F4824" s="1036" t="str">
        <f t="shared" si="1686"/>
        <v/>
      </c>
      <c r="G4824" s="1037" t="str">
        <f t="shared" si="1681"/>
        <v/>
      </c>
      <c r="H4824" s="225"/>
      <c r="I4824" s="1013"/>
      <c r="J4824" s="1013"/>
      <c r="K4824" s="1028"/>
      <c r="L4824" s="1035" t="str">
        <f t="shared" si="1685"/>
        <v/>
      </c>
      <c r="S4824" s="498"/>
      <c r="AJ4824" s="498"/>
      <c r="AM4824" s="498">
        <f t="shared" si="1666"/>
        <v>0</v>
      </c>
      <c r="AN4824" s="498">
        <f t="shared" si="1667"/>
        <v>0</v>
      </c>
      <c r="AO4824" s="498">
        <f t="shared" si="1668"/>
        <v>0</v>
      </c>
      <c r="AP4824" s="498">
        <f t="shared" si="1687"/>
        <v>0</v>
      </c>
      <c r="AQ4824" s="498">
        <f t="shared" si="1682"/>
        <v>0</v>
      </c>
      <c r="AU4824" s="498">
        <f t="shared" si="1669"/>
        <v>0</v>
      </c>
      <c r="AV4824" s="498">
        <f t="shared" si="1670"/>
        <v>0</v>
      </c>
      <c r="AW4824" s="498">
        <f t="shared" si="1671"/>
        <v>0</v>
      </c>
      <c r="AX4824" s="498">
        <f t="shared" si="1672"/>
        <v>0</v>
      </c>
      <c r="AY4824" s="498">
        <f t="shared" si="1673"/>
        <v>0</v>
      </c>
      <c r="BB4824" s="498" t="str">
        <f t="shared" si="1674"/>
        <v/>
      </c>
      <c r="BC4824" s="743" t="str">
        <f t="shared" si="1675"/>
        <v/>
      </c>
      <c r="BD4824" s="743" t="str">
        <f t="shared" si="1676"/>
        <v/>
      </c>
      <c r="BE4824" s="743" t="str">
        <f>IF(D4824="","",VLOOKUP(D4824,'General Basis'!$J$39:$K$46,2,0))</f>
        <v/>
      </c>
      <c r="BF4824" s="744" t="str">
        <f>IF(D4824="","",VLOOKUP(D4824,'General Basis'!$J$39:$L$46,3,0))</f>
        <v/>
      </c>
      <c r="BG4824" s="744" t="str">
        <f t="shared" si="1683"/>
        <v/>
      </c>
      <c r="BH4824" s="744" t="str">
        <f>IF(G4824="","",IF(BF4824="Abu Dhabi",IF(G4824&lt;18,'General Basis'!$C$39,IF(G4824&lt;41,'General Basis'!$C$40,IF(G4824&lt;60,'General Basis'!$C$41,IF(G4824&lt;65,'General Basis'!$C$42,'General Basis'!$C$43)))),IF(G4824&lt;11,'General Basis'!$B$39,IF(G4824&lt;18,'General Basis'!$B$40,IF(G4824&lt;26,'General Basis'!$B$41,IF(G4824&lt;31,'General Basis'!$B$42,IF(G4824&lt;36,'General Basis'!$B$43,IF(G4824&lt;41,'General Basis'!$B$44,IF(G4824&lt;46,'General Basis'!$B$45,IF(G4824&lt;51,'General Basis'!$B$46,IF(G4824&lt;56,'General Basis'!$B$47,IF(G4824&lt;60,'General Basis'!$B$48,IF(G4824&lt;65,'General Basis'!$B$49,'General Basis'!$B$50)))))))))))))</f>
        <v/>
      </c>
      <c r="BI4824" s="744" t="str">
        <f t="shared" si="1677"/>
        <v/>
      </c>
      <c r="BJ4824" s="747" t="str">
        <f t="shared" si="1684"/>
        <v/>
      </c>
      <c r="BK4824" s="498" t="str">
        <f t="shared" si="1678"/>
        <v/>
      </c>
      <c r="BL4824" s="498" t="str">
        <f t="shared" si="1679"/>
        <v/>
      </c>
    </row>
    <row r="4825" spans="1:64" x14ac:dyDescent="0.25">
      <c r="A4825" s="762">
        <f t="shared" si="1680"/>
        <v>4820</v>
      </c>
      <c r="B4825" s="229"/>
      <c r="C4825" s="223"/>
      <c r="D4825" s="224"/>
      <c r="E4825" s="225"/>
      <c r="F4825" s="1036" t="str">
        <f t="shared" si="1686"/>
        <v/>
      </c>
      <c r="G4825" s="1037" t="str">
        <f t="shared" si="1681"/>
        <v/>
      </c>
      <c r="H4825" s="225"/>
      <c r="I4825" s="1013"/>
      <c r="J4825" s="1013"/>
      <c r="K4825" s="1028"/>
      <c r="L4825" s="1035" t="str">
        <f t="shared" si="1685"/>
        <v/>
      </c>
      <c r="S4825" s="498"/>
      <c r="AJ4825" s="498"/>
      <c r="AM4825" s="498">
        <f t="shared" si="1666"/>
        <v>0</v>
      </c>
      <c r="AN4825" s="498">
        <f t="shared" si="1667"/>
        <v>0</v>
      </c>
      <c r="AO4825" s="498">
        <f t="shared" si="1668"/>
        <v>0</v>
      </c>
      <c r="AP4825" s="498">
        <f t="shared" si="1687"/>
        <v>0</v>
      </c>
      <c r="AQ4825" s="498">
        <f t="shared" si="1682"/>
        <v>0</v>
      </c>
      <c r="AU4825" s="498">
        <f t="shared" si="1669"/>
        <v>0</v>
      </c>
      <c r="AV4825" s="498">
        <f t="shared" si="1670"/>
        <v>0</v>
      </c>
      <c r="AW4825" s="498">
        <f t="shared" si="1671"/>
        <v>0</v>
      </c>
      <c r="AX4825" s="498">
        <f t="shared" si="1672"/>
        <v>0</v>
      </c>
      <c r="AY4825" s="498">
        <f t="shared" si="1673"/>
        <v>0</v>
      </c>
      <c r="BB4825" s="498" t="str">
        <f t="shared" si="1674"/>
        <v/>
      </c>
      <c r="BC4825" s="743" t="str">
        <f t="shared" si="1675"/>
        <v/>
      </c>
      <c r="BD4825" s="743" t="str">
        <f t="shared" si="1676"/>
        <v/>
      </c>
      <c r="BE4825" s="743" t="str">
        <f>IF(D4825="","",VLOOKUP(D4825,'General Basis'!$J$39:$K$46,2,0))</f>
        <v/>
      </c>
      <c r="BF4825" s="744" t="str">
        <f>IF(D4825="","",VLOOKUP(D4825,'General Basis'!$J$39:$L$46,3,0))</f>
        <v/>
      </c>
      <c r="BG4825" s="744" t="str">
        <f t="shared" si="1683"/>
        <v/>
      </c>
      <c r="BH4825" s="744" t="str">
        <f>IF(G4825="","",IF(BF4825="Abu Dhabi",IF(G4825&lt;18,'General Basis'!$C$39,IF(G4825&lt;41,'General Basis'!$C$40,IF(G4825&lt;60,'General Basis'!$C$41,IF(G4825&lt;65,'General Basis'!$C$42,'General Basis'!$C$43)))),IF(G4825&lt;11,'General Basis'!$B$39,IF(G4825&lt;18,'General Basis'!$B$40,IF(G4825&lt;26,'General Basis'!$B$41,IF(G4825&lt;31,'General Basis'!$B$42,IF(G4825&lt;36,'General Basis'!$B$43,IF(G4825&lt;41,'General Basis'!$B$44,IF(G4825&lt;46,'General Basis'!$B$45,IF(G4825&lt;51,'General Basis'!$B$46,IF(G4825&lt;56,'General Basis'!$B$47,IF(G4825&lt;60,'General Basis'!$B$48,IF(G4825&lt;65,'General Basis'!$B$49,'General Basis'!$B$50)))))))))))))</f>
        <v/>
      </c>
      <c r="BI4825" s="744" t="str">
        <f t="shared" si="1677"/>
        <v/>
      </c>
      <c r="BJ4825" s="747" t="str">
        <f t="shared" si="1684"/>
        <v/>
      </c>
      <c r="BK4825" s="498" t="str">
        <f t="shared" si="1678"/>
        <v/>
      </c>
      <c r="BL4825" s="498" t="str">
        <f t="shared" si="1679"/>
        <v/>
      </c>
    </row>
    <row r="4826" spans="1:64" x14ac:dyDescent="0.25">
      <c r="A4826" s="762">
        <f t="shared" si="1680"/>
        <v>4821</v>
      </c>
      <c r="B4826" s="229"/>
      <c r="C4826" s="223"/>
      <c r="D4826" s="224"/>
      <c r="E4826" s="225"/>
      <c r="F4826" s="1036" t="str">
        <f t="shared" si="1686"/>
        <v/>
      </c>
      <c r="G4826" s="1037" t="str">
        <f t="shared" si="1681"/>
        <v/>
      </c>
      <c r="H4826" s="225"/>
      <c r="I4826" s="1013"/>
      <c r="J4826" s="1013"/>
      <c r="K4826" s="1028"/>
      <c r="L4826" s="1035" t="str">
        <f t="shared" si="1685"/>
        <v/>
      </c>
      <c r="S4826" s="498"/>
      <c r="AJ4826" s="498"/>
      <c r="AM4826" s="498">
        <f t="shared" si="1666"/>
        <v>0</v>
      </c>
      <c r="AN4826" s="498">
        <f t="shared" si="1667"/>
        <v>0</v>
      </c>
      <c r="AO4826" s="498">
        <f t="shared" si="1668"/>
        <v>0</v>
      </c>
      <c r="AP4826" s="498">
        <f t="shared" si="1687"/>
        <v>0</v>
      </c>
      <c r="AQ4826" s="498">
        <f t="shared" si="1682"/>
        <v>0</v>
      </c>
      <c r="AU4826" s="498">
        <f t="shared" si="1669"/>
        <v>0</v>
      </c>
      <c r="AV4826" s="498">
        <f t="shared" si="1670"/>
        <v>0</v>
      </c>
      <c r="AW4826" s="498">
        <f t="shared" si="1671"/>
        <v>0</v>
      </c>
      <c r="AX4826" s="498">
        <f t="shared" si="1672"/>
        <v>0</v>
      </c>
      <c r="AY4826" s="498">
        <f t="shared" si="1673"/>
        <v>0</v>
      </c>
      <c r="BB4826" s="498" t="str">
        <f t="shared" si="1674"/>
        <v/>
      </c>
      <c r="BC4826" s="743" t="str">
        <f t="shared" si="1675"/>
        <v/>
      </c>
      <c r="BD4826" s="743" t="str">
        <f t="shared" si="1676"/>
        <v/>
      </c>
      <c r="BE4826" s="743" t="str">
        <f>IF(D4826="","",VLOOKUP(D4826,'General Basis'!$J$39:$K$46,2,0))</f>
        <v/>
      </c>
      <c r="BF4826" s="744" t="str">
        <f>IF(D4826="","",VLOOKUP(D4826,'General Basis'!$J$39:$L$46,3,0))</f>
        <v/>
      </c>
      <c r="BG4826" s="744" t="str">
        <f t="shared" si="1683"/>
        <v/>
      </c>
      <c r="BH4826" s="744" t="str">
        <f>IF(G4826="","",IF(BF4826="Abu Dhabi",IF(G4826&lt;18,'General Basis'!$C$39,IF(G4826&lt;41,'General Basis'!$C$40,IF(G4826&lt;60,'General Basis'!$C$41,IF(G4826&lt;65,'General Basis'!$C$42,'General Basis'!$C$43)))),IF(G4826&lt;11,'General Basis'!$B$39,IF(G4826&lt;18,'General Basis'!$B$40,IF(G4826&lt;26,'General Basis'!$B$41,IF(G4826&lt;31,'General Basis'!$B$42,IF(G4826&lt;36,'General Basis'!$B$43,IF(G4826&lt;41,'General Basis'!$B$44,IF(G4826&lt;46,'General Basis'!$B$45,IF(G4826&lt;51,'General Basis'!$B$46,IF(G4826&lt;56,'General Basis'!$B$47,IF(G4826&lt;60,'General Basis'!$B$48,IF(G4826&lt;65,'General Basis'!$B$49,'General Basis'!$B$50)))))))))))))</f>
        <v/>
      </c>
      <c r="BI4826" s="744" t="str">
        <f t="shared" si="1677"/>
        <v/>
      </c>
      <c r="BJ4826" s="747" t="str">
        <f t="shared" si="1684"/>
        <v/>
      </c>
      <c r="BK4826" s="498" t="str">
        <f t="shared" si="1678"/>
        <v/>
      </c>
      <c r="BL4826" s="498" t="str">
        <f t="shared" si="1679"/>
        <v/>
      </c>
    </row>
    <row r="4827" spans="1:64" x14ac:dyDescent="0.25">
      <c r="A4827" s="762">
        <f t="shared" si="1680"/>
        <v>4822</v>
      </c>
      <c r="B4827" s="229"/>
      <c r="C4827" s="223"/>
      <c r="D4827" s="224"/>
      <c r="E4827" s="225"/>
      <c r="F4827" s="1036" t="str">
        <f t="shared" si="1686"/>
        <v/>
      </c>
      <c r="G4827" s="1037" t="str">
        <f t="shared" si="1681"/>
        <v/>
      </c>
      <c r="H4827" s="225"/>
      <c r="I4827" s="1013"/>
      <c r="J4827" s="1013"/>
      <c r="K4827" s="1028"/>
      <c r="L4827" s="1035" t="str">
        <f t="shared" si="1685"/>
        <v/>
      </c>
      <c r="S4827" s="498"/>
      <c r="AJ4827" s="498"/>
      <c r="AM4827" s="498">
        <f t="shared" si="1666"/>
        <v>0</v>
      </c>
      <c r="AN4827" s="498">
        <f t="shared" si="1667"/>
        <v>0</v>
      </c>
      <c r="AO4827" s="498">
        <f t="shared" si="1668"/>
        <v>0</v>
      </c>
      <c r="AP4827" s="498">
        <f t="shared" si="1687"/>
        <v>0</v>
      </c>
      <c r="AQ4827" s="498">
        <f t="shared" si="1682"/>
        <v>0</v>
      </c>
      <c r="AU4827" s="498">
        <f t="shared" si="1669"/>
        <v>0</v>
      </c>
      <c r="AV4827" s="498">
        <f t="shared" si="1670"/>
        <v>0</v>
      </c>
      <c r="AW4827" s="498">
        <f t="shared" si="1671"/>
        <v>0</v>
      </c>
      <c r="AX4827" s="498">
        <f t="shared" si="1672"/>
        <v>0</v>
      </c>
      <c r="AY4827" s="498">
        <f t="shared" si="1673"/>
        <v>0</v>
      </c>
      <c r="BB4827" s="498" t="str">
        <f t="shared" si="1674"/>
        <v/>
      </c>
      <c r="BC4827" s="743" t="str">
        <f t="shared" si="1675"/>
        <v/>
      </c>
      <c r="BD4827" s="743" t="str">
        <f t="shared" si="1676"/>
        <v/>
      </c>
      <c r="BE4827" s="743" t="str">
        <f>IF(D4827="","",VLOOKUP(D4827,'General Basis'!$J$39:$K$46,2,0))</f>
        <v/>
      </c>
      <c r="BF4827" s="744" t="str">
        <f>IF(D4827="","",VLOOKUP(D4827,'General Basis'!$J$39:$L$46,3,0))</f>
        <v/>
      </c>
      <c r="BG4827" s="744" t="str">
        <f t="shared" si="1683"/>
        <v/>
      </c>
      <c r="BH4827" s="744" t="str">
        <f>IF(G4827="","",IF(BF4827="Abu Dhabi",IF(G4827&lt;18,'General Basis'!$C$39,IF(G4827&lt;41,'General Basis'!$C$40,IF(G4827&lt;60,'General Basis'!$C$41,IF(G4827&lt;65,'General Basis'!$C$42,'General Basis'!$C$43)))),IF(G4827&lt;11,'General Basis'!$B$39,IF(G4827&lt;18,'General Basis'!$B$40,IF(G4827&lt;26,'General Basis'!$B$41,IF(G4827&lt;31,'General Basis'!$B$42,IF(G4827&lt;36,'General Basis'!$B$43,IF(G4827&lt;41,'General Basis'!$B$44,IF(G4827&lt;46,'General Basis'!$B$45,IF(G4827&lt;51,'General Basis'!$B$46,IF(G4827&lt;56,'General Basis'!$B$47,IF(G4827&lt;60,'General Basis'!$B$48,IF(G4827&lt;65,'General Basis'!$B$49,'General Basis'!$B$50)))))))))))))</f>
        <v/>
      </c>
      <c r="BI4827" s="744" t="str">
        <f t="shared" si="1677"/>
        <v/>
      </c>
      <c r="BJ4827" s="747" t="str">
        <f t="shared" si="1684"/>
        <v/>
      </c>
      <c r="BK4827" s="498" t="str">
        <f t="shared" si="1678"/>
        <v/>
      </c>
      <c r="BL4827" s="498" t="str">
        <f t="shared" si="1679"/>
        <v/>
      </c>
    </row>
    <row r="4828" spans="1:64" x14ac:dyDescent="0.25">
      <c r="A4828" s="762">
        <f t="shared" si="1680"/>
        <v>4823</v>
      </c>
      <c r="B4828" s="229"/>
      <c r="C4828" s="223"/>
      <c r="D4828" s="224"/>
      <c r="E4828" s="225"/>
      <c r="F4828" s="1036" t="str">
        <f t="shared" si="1686"/>
        <v/>
      </c>
      <c r="G4828" s="1037" t="str">
        <f t="shared" si="1681"/>
        <v/>
      </c>
      <c r="H4828" s="225"/>
      <c r="I4828" s="1013"/>
      <c r="J4828" s="1013"/>
      <c r="K4828" s="1028"/>
      <c r="L4828" s="1035" t="str">
        <f t="shared" si="1685"/>
        <v/>
      </c>
      <c r="S4828" s="498"/>
      <c r="AJ4828" s="498"/>
      <c r="AM4828" s="498">
        <f t="shared" si="1666"/>
        <v>0</v>
      </c>
      <c r="AN4828" s="498">
        <f t="shared" si="1667"/>
        <v>0</v>
      </c>
      <c r="AO4828" s="498">
        <f t="shared" si="1668"/>
        <v>0</v>
      </c>
      <c r="AP4828" s="498">
        <f t="shared" si="1687"/>
        <v>0</v>
      </c>
      <c r="AQ4828" s="498">
        <f t="shared" si="1682"/>
        <v>0</v>
      </c>
      <c r="AU4828" s="498">
        <f t="shared" si="1669"/>
        <v>0</v>
      </c>
      <c r="AV4828" s="498">
        <f t="shared" si="1670"/>
        <v>0</v>
      </c>
      <c r="AW4828" s="498">
        <f t="shared" si="1671"/>
        <v>0</v>
      </c>
      <c r="AX4828" s="498">
        <f t="shared" si="1672"/>
        <v>0</v>
      </c>
      <c r="AY4828" s="498">
        <f t="shared" si="1673"/>
        <v>0</v>
      </c>
      <c r="BB4828" s="498" t="str">
        <f t="shared" si="1674"/>
        <v/>
      </c>
      <c r="BC4828" s="743" t="str">
        <f t="shared" si="1675"/>
        <v/>
      </c>
      <c r="BD4828" s="743" t="str">
        <f t="shared" si="1676"/>
        <v/>
      </c>
      <c r="BE4828" s="743" t="str">
        <f>IF(D4828="","",VLOOKUP(D4828,'General Basis'!$J$39:$K$46,2,0))</f>
        <v/>
      </c>
      <c r="BF4828" s="744" t="str">
        <f>IF(D4828="","",VLOOKUP(D4828,'General Basis'!$J$39:$L$46,3,0))</f>
        <v/>
      </c>
      <c r="BG4828" s="744" t="str">
        <f t="shared" si="1683"/>
        <v/>
      </c>
      <c r="BH4828" s="744" t="str">
        <f>IF(G4828="","",IF(BF4828="Abu Dhabi",IF(G4828&lt;18,'General Basis'!$C$39,IF(G4828&lt;41,'General Basis'!$C$40,IF(G4828&lt;60,'General Basis'!$C$41,IF(G4828&lt;65,'General Basis'!$C$42,'General Basis'!$C$43)))),IF(G4828&lt;11,'General Basis'!$B$39,IF(G4828&lt;18,'General Basis'!$B$40,IF(G4828&lt;26,'General Basis'!$B$41,IF(G4828&lt;31,'General Basis'!$B$42,IF(G4828&lt;36,'General Basis'!$B$43,IF(G4828&lt;41,'General Basis'!$B$44,IF(G4828&lt;46,'General Basis'!$B$45,IF(G4828&lt;51,'General Basis'!$B$46,IF(G4828&lt;56,'General Basis'!$B$47,IF(G4828&lt;60,'General Basis'!$B$48,IF(G4828&lt;65,'General Basis'!$B$49,'General Basis'!$B$50)))))))))))))</f>
        <v/>
      </c>
      <c r="BI4828" s="744" t="str">
        <f t="shared" si="1677"/>
        <v/>
      </c>
      <c r="BJ4828" s="747" t="str">
        <f t="shared" si="1684"/>
        <v/>
      </c>
      <c r="BK4828" s="498" t="str">
        <f t="shared" si="1678"/>
        <v/>
      </c>
      <c r="BL4828" s="498" t="str">
        <f t="shared" si="1679"/>
        <v/>
      </c>
    </row>
    <row r="4829" spans="1:64" x14ac:dyDescent="0.25">
      <c r="A4829" s="762">
        <f t="shared" si="1680"/>
        <v>4824</v>
      </c>
      <c r="B4829" s="229"/>
      <c r="C4829" s="223"/>
      <c r="D4829" s="224"/>
      <c r="E4829" s="225"/>
      <c r="F4829" s="1036" t="str">
        <f t="shared" si="1686"/>
        <v/>
      </c>
      <c r="G4829" s="1037" t="str">
        <f t="shared" si="1681"/>
        <v/>
      </c>
      <c r="H4829" s="225"/>
      <c r="I4829" s="1013"/>
      <c r="J4829" s="1013"/>
      <c r="K4829" s="1028"/>
      <c r="L4829" s="1035" t="str">
        <f t="shared" si="1685"/>
        <v/>
      </c>
      <c r="S4829" s="498"/>
      <c r="AJ4829" s="498"/>
      <c r="AM4829" s="498">
        <f t="shared" si="1666"/>
        <v>0</v>
      </c>
      <c r="AN4829" s="498">
        <f t="shared" si="1667"/>
        <v>0</v>
      </c>
      <c r="AO4829" s="498">
        <f t="shared" si="1668"/>
        <v>0</v>
      </c>
      <c r="AP4829" s="498">
        <f t="shared" si="1687"/>
        <v>0</v>
      </c>
      <c r="AQ4829" s="498">
        <f t="shared" si="1682"/>
        <v>0</v>
      </c>
      <c r="AU4829" s="498">
        <f t="shared" si="1669"/>
        <v>0</v>
      </c>
      <c r="AV4829" s="498">
        <f t="shared" si="1670"/>
        <v>0</v>
      </c>
      <c r="AW4829" s="498">
        <f t="shared" si="1671"/>
        <v>0</v>
      </c>
      <c r="AX4829" s="498">
        <f t="shared" si="1672"/>
        <v>0</v>
      </c>
      <c r="AY4829" s="498">
        <f t="shared" si="1673"/>
        <v>0</v>
      </c>
      <c r="BB4829" s="498" t="str">
        <f t="shared" si="1674"/>
        <v/>
      </c>
      <c r="BC4829" s="743" t="str">
        <f t="shared" si="1675"/>
        <v/>
      </c>
      <c r="BD4829" s="743" t="str">
        <f t="shared" si="1676"/>
        <v/>
      </c>
      <c r="BE4829" s="743" t="str">
        <f>IF(D4829="","",VLOOKUP(D4829,'General Basis'!$J$39:$K$46,2,0))</f>
        <v/>
      </c>
      <c r="BF4829" s="744" t="str">
        <f>IF(D4829="","",VLOOKUP(D4829,'General Basis'!$J$39:$L$46,3,0))</f>
        <v/>
      </c>
      <c r="BG4829" s="744" t="str">
        <f t="shared" si="1683"/>
        <v/>
      </c>
      <c r="BH4829" s="744" t="str">
        <f>IF(G4829="","",IF(BF4829="Abu Dhabi",IF(G4829&lt;18,'General Basis'!$C$39,IF(G4829&lt;41,'General Basis'!$C$40,IF(G4829&lt;60,'General Basis'!$C$41,IF(G4829&lt;65,'General Basis'!$C$42,'General Basis'!$C$43)))),IF(G4829&lt;11,'General Basis'!$B$39,IF(G4829&lt;18,'General Basis'!$B$40,IF(G4829&lt;26,'General Basis'!$B$41,IF(G4829&lt;31,'General Basis'!$B$42,IF(G4829&lt;36,'General Basis'!$B$43,IF(G4829&lt;41,'General Basis'!$B$44,IF(G4829&lt;46,'General Basis'!$B$45,IF(G4829&lt;51,'General Basis'!$B$46,IF(G4829&lt;56,'General Basis'!$B$47,IF(G4829&lt;60,'General Basis'!$B$48,IF(G4829&lt;65,'General Basis'!$B$49,'General Basis'!$B$50)))))))))))))</f>
        <v/>
      </c>
      <c r="BI4829" s="744" t="str">
        <f t="shared" si="1677"/>
        <v/>
      </c>
      <c r="BJ4829" s="747" t="str">
        <f t="shared" si="1684"/>
        <v/>
      </c>
      <c r="BK4829" s="498" t="str">
        <f t="shared" si="1678"/>
        <v/>
      </c>
      <c r="BL4829" s="498" t="str">
        <f t="shared" si="1679"/>
        <v/>
      </c>
    </row>
    <row r="4830" spans="1:64" x14ac:dyDescent="0.25">
      <c r="A4830" s="762">
        <f t="shared" si="1680"/>
        <v>4825</v>
      </c>
      <c r="B4830" s="229"/>
      <c r="C4830" s="223"/>
      <c r="D4830" s="224"/>
      <c r="E4830" s="225"/>
      <c r="F4830" s="1036" t="str">
        <f t="shared" si="1686"/>
        <v/>
      </c>
      <c r="G4830" s="1037" t="str">
        <f t="shared" si="1681"/>
        <v/>
      </c>
      <c r="H4830" s="225"/>
      <c r="I4830" s="1013"/>
      <c r="J4830" s="1013"/>
      <c r="K4830" s="1028"/>
      <c r="L4830" s="1035" t="str">
        <f t="shared" si="1685"/>
        <v/>
      </c>
      <c r="S4830" s="498"/>
      <c r="AJ4830" s="498"/>
      <c r="AM4830" s="498">
        <f t="shared" si="1666"/>
        <v>0</v>
      </c>
      <c r="AN4830" s="498">
        <f t="shared" si="1667"/>
        <v>0</v>
      </c>
      <c r="AO4830" s="498">
        <f t="shared" si="1668"/>
        <v>0</v>
      </c>
      <c r="AP4830" s="498">
        <f t="shared" si="1687"/>
        <v>0</v>
      </c>
      <c r="AQ4830" s="498">
        <f t="shared" si="1682"/>
        <v>0</v>
      </c>
      <c r="AU4830" s="498">
        <f t="shared" si="1669"/>
        <v>0</v>
      </c>
      <c r="AV4830" s="498">
        <f t="shared" si="1670"/>
        <v>0</v>
      </c>
      <c r="AW4830" s="498">
        <f t="shared" si="1671"/>
        <v>0</v>
      </c>
      <c r="AX4830" s="498">
        <f t="shared" si="1672"/>
        <v>0</v>
      </c>
      <c r="AY4830" s="498">
        <f t="shared" si="1673"/>
        <v>0</v>
      </c>
      <c r="BB4830" s="498" t="str">
        <f t="shared" si="1674"/>
        <v/>
      </c>
      <c r="BC4830" s="743" t="str">
        <f t="shared" si="1675"/>
        <v/>
      </c>
      <c r="BD4830" s="743" t="str">
        <f t="shared" si="1676"/>
        <v/>
      </c>
      <c r="BE4830" s="743" t="str">
        <f>IF(D4830="","",VLOOKUP(D4830,'General Basis'!$J$39:$K$46,2,0))</f>
        <v/>
      </c>
      <c r="BF4830" s="744" t="str">
        <f>IF(D4830="","",VLOOKUP(D4830,'General Basis'!$J$39:$L$46,3,0))</f>
        <v/>
      </c>
      <c r="BG4830" s="744" t="str">
        <f t="shared" si="1683"/>
        <v/>
      </c>
      <c r="BH4830" s="744" t="str">
        <f>IF(G4830="","",IF(BF4830="Abu Dhabi",IF(G4830&lt;18,'General Basis'!$C$39,IF(G4830&lt;41,'General Basis'!$C$40,IF(G4830&lt;60,'General Basis'!$C$41,IF(G4830&lt;65,'General Basis'!$C$42,'General Basis'!$C$43)))),IF(G4830&lt;11,'General Basis'!$B$39,IF(G4830&lt;18,'General Basis'!$B$40,IF(G4830&lt;26,'General Basis'!$B$41,IF(G4830&lt;31,'General Basis'!$B$42,IF(G4830&lt;36,'General Basis'!$B$43,IF(G4830&lt;41,'General Basis'!$B$44,IF(G4830&lt;46,'General Basis'!$B$45,IF(G4830&lt;51,'General Basis'!$B$46,IF(G4830&lt;56,'General Basis'!$B$47,IF(G4830&lt;60,'General Basis'!$B$48,IF(G4830&lt;65,'General Basis'!$B$49,'General Basis'!$B$50)))))))))))))</f>
        <v/>
      </c>
      <c r="BI4830" s="744" t="str">
        <f t="shared" si="1677"/>
        <v/>
      </c>
      <c r="BJ4830" s="747" t="str">
        <f t="shared" si="1684"/>
        <v/>
      </c>
      <c r="BK4830" s="498" t="str">
        <f t="shared" si="1678"/>
        <v/>
      </c>
      <c r="BL4830" s="498" t="str">
        <f t="shared" si="1679"/>
        <v/>
      </c>
    </row>
    <row r="4831" spans="1:64" x14ac:dyDescent="0.25">
      <c r="A4831" s="762">
        <f t="shared" si="1680"/>
        <v>4826</v>
      </c>
      <c r="B4831" s="229"/>
      <c r="C4831" s="223"/>
      <c r="D4831" s="224"/>
      <c r="E4831" s="225"/>
      <c r="F4831" s="1036" t="str">
        <f t="shared" si="1686"/>
        <v/>
      </c>
      <c r="G4831" s="1037" t="str">
        <f t="shared" si="1681"/>
        <v/>
      </c>
      <c r="H4831" s="225"/>
      <c r="I4831" s="1013"/>
      <c r="J4831" s="1013"/>
      <c r="K4831" s="1028"/>
      <c r="L4831" s="1035" t="str">
        <f t="shared" si="1685"/>
        <v/>
      </c>
      <c r="S4831" s="498"/>
      <c r="AJ4831" s="498"/>
      <c r="AM4831" s="498">
        <f t="shared" si="1666"/>
        <v>0</v>
      </c>
      <c r="AN4831" s="498">
        <f t="shared" si="1667"/>
        <v>0</v>
      </c>
      <c r="AO4831" s="498">
        <f t="shared" si="1668"/>
        <v>0</v>
      </c>
      <c r="AP4831" s="498">
        <f t="shared" si="1687"/>
        <v>0</v>
      </c>
      <c r="AQ4831" s="498">
        <f t="shared" si="1682"/>
        <v>0</v>
      </c>
      <c r="AU4831" s="498">
        <f t="shared" si="1669"/>
        <v>0</v>
      </c>
      <c r="AV4831" s="498">
        <f t="shared" si="1670"/>
        <v>0</v>
      </c>
      <c r="AW4831" s="498">
        <f t="shared" si="1671"/>
        <v>0</v>
      </c>
      <c r="AX4831" s="498">
        <f t="shared" si="1672"/>
        <v>0</v>
      </c>
      <c r="AY4831" s="498">
        <f t="shared" si="1673"/>
        <v>0</v>
      </c>
      <c r="BB4831" s="498" t="str">
        <f t="shared" si="1674"/>
        <v/>
      </c>
      <c r="BC4831" s="743" t="str">
        <f t="shared" si="1675"/>
        <v/>
      </c>
      <c r="BD4831" s="743" t="str">
        <f t="shared" si="1676"/>
        <v/>
      </c>
      <c r="BE4831" s="743" t="str">
        <f>IF(D4831="","",VLOOKUP(D4831,'General Basis'!$J$39:$K$46,2,0))</f>
        <v/>
      </c>
      <c r="BF4831" s="744" t="str">
        <f>IF(D4831="","",VLOOKUP(D4831,'General Basis'!$J$39:$L$46,3,0))</f>
        <v/>
      </c>
      <c r="BG4831" s="744" t="str">
        <f t="shared" si="1683"/>
        <v/>
      </c>
      <c r="BH4831" s="744" t="str">
        <f>IF(G4831="","",IF(BF4831="Abu Dhabi",IF(G4831&lt;18,'General Basis'!$C$39,IF(G4831&lt;41,'General Basis'!$C$40,IF(G4831&lt;60,'General Basis'!$C$41,IF(G4831&lt;65,'General Basis'!$C$42,'General Basis'!$C$43)))),IF(G4831&lt;11,'General Basis'!$B$39,IF(G4831&lt;18,'General Basis'!$B$40,IF(G4831&lt;26,'General Basis'!$B$41,IF(G4831&lt;31,'General Basis'!$B$42,IF(G4831&lt;36,'General Basis'!$B$43,IF(G4831&lt;41,'General Basis'!$B$44,IF(G4831&lt;46,'General Basis'!$B$45,IF(G4831&lt;51,'General Basis'!$B$46,IF(G4831&lt;56,'General Basis'!$B$47,IF(G4831&lt;60,'General Basis'!$B$48,IF(G4831&lt;65,'General Basis'!$B$49,'General Basis'!$B$50)))))))))))))</f>
        <v/>
      </c>
      <c r="BI4831" s="744" t="str">
        <f t="shared" si="1677"/>
        <v/>
      </c>
      <c r="BJ4831" s="747" t="str">
        <f t="shared" si="1684"/>
        <v/>
      </c>
      <c r="BK4831" s="498" t="str">
        <f t="shared" si="1678"/>
        <v/>
      </c>
      <c r="BL4831" s="498" t="str">
        <f t="shared" si="1679"/>
        <v/>
      </c>
    </row>
    <row r="4832" spans="1:64" x14ac:dyDescent="0.25">
      <c r="A4832" s="762">
        <f t="shared" si="1680"/>
        <v>4827</v>
      </c>
      <c r="B4832" s="229"/>
      <c r="C4832" s="223"/>
      <c r="D4832" s="224"/>
      <c r="E4832" s="225"/>
      <c r="F4832" s="1036" t="str">
        <f t="shared" si="1686"/>
        <v/>
      </c>
      <c r="G4832" s="1037" t="str">
        <f t="shared" si="1681"/>
        <v/>
      </c>
      <c r="H4832" s="225"/>
      <c r="I4832" s="1013"/>
      <c r="J4832" s="1013"/>
      <c r="K4832" s="1028"/>
      <c r="L4832" s="1035" t="str">
        <f t="shared" si="1685"/>
        <v/>
      </c>
      <c r="S4832" s="498"/>
      <c r="AJ4832" s="498"/>
      <c r="AM4832" s="498">
        <f t="shared" si="1666"/>
        <v>0</v>
      </c>
      <c r="AN4832" s="498">
        <f t="shared" si="1667"/>
        <v>0</v>
      </c>
      <c r="AO4832" s="498">
        <f t="shared" si="1668"/>
        <v>0</v>
      </c>
      <c r="AP4832" s="498">
        <f t="shared" si="1687"/>
        <v>0</v>
      </c>
      <c r="AQ4832" s="498">
        <f t="shared" si="1682"/>
        <v>0</v>
      </c>
      <c r="AU4832" s="498">
        <f t="shared" si="1669"/>
        <v>0</v>
      </c>
      <c r="AV4832" s="498">
        <f t="shared" si="1670"/>
        <v>0</v>
      </c>
      <c r="AW4832" s="498">
        <f t="shared" si="1671"/>
        <v>0</v>
      </c>
      <c r="AX4832" s="498">
        <f t="shared" si="1672"/>
        <v>0</v>
      </c>
      <c r="AY4832" s="498">
        <f t="shared" si="1673"/>
        <v>0</v>
      </c>
      <c r="BB4832" s="498" t="str">
        <f t="shared" si="1674"/>
        <v/>
      </c>
      <c r="BC4832" s="743" t="str">
        <f t="shared" si="1675"/>
        <v/>
      </c>
      <c r="BD4832" s="743" t="str">
        <f t="shared" si="1676"/>
        <v/>
      </c>
      <c r="BE4832" s="743" t="str">
        <f>IF(D4832="","",VLOOKUP(D4832,'General Basis'!$J$39:$K$46,2,0))</f>
        <v/>
      </c>
      <c r="BF4832" s="744" t="str">
        <f>IF(D4832="","",VLOOKUP(D4832,'General Basis'!$J$39:$L$46,3,0))</f>
        <v/>
      </c>
      <c r="BG4832" s="744" t="str">
        <f t="shared" si="1683"/>
        <v/>
      </c>
      <c r="BH4832" s="744" t="str">
        <f>IF(G4832="","",IF(BF4832="Abu Dhabi",IF(G4832&lt;18,'General Basis'!$C$39,IF(G4832&lt;41,'General Basis'!$C$40,IF(G4832&lt;60,'General Basis'!$C$41,IF(G4832&lt;65,'General Basis'!$C$42,'General Basis'!$C$43)))),IF(G4832&lt;11,'General Basis'!$B$39,IF(G4832&lt;18,'General Basis'!$B$40,IF(G4832&lt;26,'General Basis'!$B$41,IF(G4832&lt;31,'General Basis'!$B$42,IF(G4832&lt;36,'General Basis'!$B$43,IF(G4832&lt;41,'General Basis'!$B$44,IF(G4832&lt;46,'General Basis'!$B$45,IF(G4832&lt;51,'General Basis'!$B$46,IF(G4832&lt;56,'General Basis'!$B$47,IF(G4832&lt;60,'General Basis'!$B$48,IF(G4832&lt;65,'General Basis'!$B$49,'General Basis'!$B$50)))))))))))))</f>
        <v/>
      </c>
      <c r="BI4832" s="744" t="str">
        <f t="shared" si="1677"/>
        <v/>
      </c>
      <c r="BJ4832" s="747" t="str">
        <f t="shared" si="1684"/>
        <v/>
      </c>
      <c r="BK4832" s="498" t="str">
        <f t="shared" si="1678"/>
        <v/>
      </c>
      <c r="BL4832" s="498" t="str">
        <f t="shared" si="1679"/>
        <v/>
      </c>
    </row>
    <row r="4833" spans="1:64" x14ac:dyDescent="0.25">
      <c r="A4833" s="762">
        <f t="shared" si="1680"/>
        <v>4828</v>
      </c>
      <c r="B4833" s="229"/>
      <c r="C4833" s="223"/>
      <c r="D4833" s="224"/>
      <c r="E4833" s="225"/>
      <c r="F4833" s="1036" t="str">
        <f t="shared" si="1686"/>
        <v/>
      </c>
      <c r="G4833" s="1037" t="str">
        <f t="shared" si="1681"/>
        <v/>
      </c>
      <c r="H4833" s="225"/>
      <c r="I4833" s="1013"/>
      <c r="J4833" s="1013"/>
      <c r="K4833" s="1028"/>
      <c r="L4833" s="1035" t="str">
        <f t="shared" si="1685"/>
        <v/>
      </c>
      <c r="S4833" s="498"/>
      <c r="AJ4833" s="498"/>
      <c r="AM4833" s="498">
        <f t="shared" si="1666"/>
        <v>0</v>
      </c>
      <c r="AN4833" s="498">
        <f t="shared" si="1667"/>
        <v>0</v>
      </c>
      <c r="AO4833" s="498">
        <f t="shared" si="1668"/>
        <v>0</v>
      </c>
      <c r="AP4833" s="498">
        <f t="shared" si="1687"/>
        <v>0</v>
      </c>
      <c r="AQ4833" s="498">
        <f t="shared" si="1682"/>
        <v>0</v>
      </c>
      <c r="AU4833" s="498">
        <f t="shared" si="1669"/>
        <v>0</v>
      </c>
      <c r="AV4833" s="498">
        <f t="shared" si="1670"/>
        <v>0</v>
      </c>
      <c r="AW4833" s="498">
        <f t="shared" si="1671"/>
        <v>0</v>
      </c>
      <c r="AX4833" s="498">
        <f t="shared" si="1672"/>
        <v>0</v>
      </c>
      <c r="AY4833" s="498">
        <f t="shared" si="1673"/>
        <v>0</v>
      </c>
      <c r="BB4833" s="498" t="str">
        <f t="shared" si="1674"/>
        <v/>
      </c>
      <c r="BC4833" s="743" t="str">
        <f t="shared" si="1675"/>
        <v/>
      </c>
      <c r="BD4833" s="743" t="str">
        <f t="shared" si="1676"/>
        <v/>
      </c>
      <c r="BE4833" s="743" t="str">
        <f>IF(D4833="","",VLOOKUP(D4833,'General Basis'!$J$39:$K$46,2,0))</f>
        <v/>
      </c>
      <c r="BF4833" s="744" t="str">
        <f>IF(D4833="","",VLOOKUP(D4833,'General Basis'!$J$39:$L$46,3,0))</f>
        <v/>
      </c>
      <c r="BG4833" s="744" t="str">
        <f t="shared" si="1683"/>
        <v/>
      </c>
      <c r="BH4833" s="744" t="str">
        <f>IF(G4833="","",IF(BF4833="Abu Dhabi",IF(G4833&lt;18,'General Basis'!$C$39,IF(G4833&lt;41,'General Basis'!$C$40,IF(G4833&lt;60,'General Basis'!$C$41,IF(G4833&lt;65,'General Basis'!$C$42,'General Basis'!$C$43)))),IF(G4833&lt;11,'General Basis'!$B$39,IF(G4833&lt;18,'General Basis'!$B$40,IF(G4833&lt;26,'General Basis'!$B$41,IF(G4833&lt;31,'General Basis'!$B$42,IF(G4833&lt;36,'General Basis'!$B$43,IF(G4833&lt;41,'General Basis'!$B$44,IF(G4833&lt;46,'General Basis'!$B$45,IF(G4833&lt;51,'General Basis'!$B$46,IF(G4833&lt;56,'General Basis'!$B$47,IF(G4833&lt;60,'General Basis'!$B$48,IF(G4833&lt;65,'General Basis'!$B$49,'General Basis'!$B$50)))))))))))))</f>
        <v/>
      </c>
      <c r="BI4833" s="744" t="str">
        <f t="shared" si="1677"/>
        <v/>
      </c>
      <c r="BJ4833" s="747" t="str">
        <f t="shared" si="1684"/>
        <v/>
      </c>
      <c r="BK4833" s="498" t="str">
        <f t="shared" si="1678"/>
        <v/>
      </c>
      <c r="BL4833" s="498" t="str">
        <f t="shared" si="1679"/>
        <v/>
      </c>
    </row>
    <row r="4834" spans="1:64" x14ac:dyDescent="0.25">
      <c r="A4834" s="762">
        <f t="shared" si="1680"/>
        <v>4829</v>
      </c>
      <c r="B4834" s="229"/>
      <c r="C4834" s="223"/>
      <c r="D4834" s="224"/>
      <c r="E4834" s="225"/>
      <c r="F4834" s="1036" t="str">
        <f t="shared" si="1686"/>
        <v/>
      </c>
      <c r="G4834" s="1037" t="str">
        <f t="shared" si="1681"/>
        <v/>
      </c>
      <c r="H4834" s="225"/>
      <c r="I4834" s="1013"/>
      <c r="J4834" s="1013"/>
      <c r="K4834" s="1028"/>
      <c r="L4834" s="1035" t="str">
        <f t="shared" si="1685"/>
        <v/>
      </c>
      <c r="S4834" s="498"/>
      <c r="AJ4834" s="498"/>
      <c r="AM4834" s="498">
        <f t="shared" si="1666"/>
        <v>0</v>
      </c>
      <c r="AN4834" s="498">
        <f t="shared" si="1667"/>
        <v>0</v>
      </c>
      <c r="AO4834" s="498">
        <f t="shared" si="1668"/>
        <v>0</v>
      </c>
      <c r="AP4834" s="498">
        <f t="shared" si="1687"/>
        <v>0</v>
      </c>
      <c r="AQ4834" s="498">
        <f t="shared" si="1682"/>
        <v>0</v>
      </c>
      <c r="AU4834" s="498">
        <f t="shared" si="1669"/>
        <v>0</v>
      </c>
      <c r="AV4834" s="498">
        <f t="shared" si="1670"/>
        <v>0</v>
      </c>
      <c r="AW4834" s="498">
        <f t="shared" si="1671"/>
        <v>0</v>
      </c>
      <c r="AX4834" s="498">
        <f t="shared" si="1672"/>
        <v>0</v>
      </c>
      <c r="AY4834" s="498">
        <f t="shared" si="1673"/>
        <v>0</v>
      </c>
      <c r="BB4834" s="498" t="str">
        <f t="shared" si="1674"/>
        <v/>
      </c>
      <c r="BC4834" s="743" t="str">
        <f t="shared" si="1675"/>
        <v/>
      </c>
      <c r="BD4834" s="743" t="str">
        <f t="shared" si="1676"/>
        <v/>
      </c>
      <c r="BE4834" s="743" t="str">
        <f>IF(D4834="","",VLOOKUP(D4834,'General Basis'!$J$39:$K$46,2,0))</f>
        <v/>
      </c>
      <c r="BF4834" s="744" t="str">
        <f>IF(D4834="","",VLOOKUP(D4834,'General Basis'!$J$39:$L$46,3,0))</f>
        <v/>
      </c>
      <c r="BG4834" s="744" t="str">
        <f t="shared" si="1683"/>
        <v/>
      </c>
      <c r="BH4834" s="744" t="str">
        <f>IF(G4834="","",IF(BF4834="Abu Dhabi",IF(G4834&lt;18,'General Basis'!$C$39,IF(G4834&lt;41,'General Basis'!$C$40,IF(G4834&lt;60,'General Basis'!$C$41,IF(G4834&lt;65,'General Basis'!$C$42,'General Basis'!$C$43)))),IF(G4834&lt;11,'General Basis'!$B$39,IF(G4834&lt;18,'General Basis'!$B$40,IF(G4834&lt;26,'General Basis'!$B$41,IF(G4834&lt;31,'General Basis'!$B$42,IF(G4834&lt;36,'General Basis'!$B$43,IF(G4834&lt;41,'General Basis'!$B$44,IF(G4834&lt;46,'General Basis'!$B$45,IF(G4834&lt;51,'General Basis'!$B$46,IF(G4834&lt;56,'General Basis'!$B$47,IF(G4834&lt;60,'General Basis'!$B$48,IF(G4834&lt;65,'General Basis'!$B$49,'General Basis'!$B$50)))))))))))))</f>
        <v/>
      </c>
      <c r="BI4834" s="744" t="str">
        <f t="shared" si="1677"/>
        <v/>
      </c>
      <c r="BJ4834" s="747" t="str">
        <f t="shared" si="1684"/>
        <v/>
      </c>
      <c r="BK4834" s="498" t="str">
        <f t="shared" si="1678"/>
        <v/>
      </c>
      <c r="BL4834" s="498" t="str">
        <f t="shared" si="1679"/>
        <v/>
      </c>
    </row>
    <row r="4835" spans="1:64" x14ac:dyDescent="0.25">
      <c r="A4835" s="762">
        <f t="shared" si="1680"/>
        <v>4830</v>
      </c>
      <c r="B4835" s="229"/>
      <c r="C4835" s="223"/>
      <c r="D4835" s="224"/>
      <c r="E4835" s="225"/>
      <c r="F4835" s="1036" t="str">
        <f t="shared" si="1686"/>
        <v/>
      </c>
      <c r="G4835" s="1037" t="str">
        <f t="shared" si="1681"/>
        <v/>
      </c>
      <c r="H4835" s="225"/>
      <c r="I4835" s="1013"/>
      <c r="J4835" s="1013"/>
      <c r="K4835" s="1028"/>
      <c r="L4835" s="1035" t="str">
        <f t="shared" si="1685"/>
        <v/>
      </c>
      <c r="S4835" s="498"/>
      <c r="AJ4835" s="498"/>
      <c r="AM4835" s="498">
        <f t="shared" si="1666"/>
        <v>0</v>
      </c>
      <c r="AN4835" s="498">
        <f t="shared" si="1667"/>
        <v>0</v>
      </c>
      <c r="AO4835" s="498">
        <f t="shared" si="1668"/>
        <v>0</v>
      </c>
      <c r="AP4835" s="498">
        <f t="shared" si="1687"/>
        <v>0</v>
      </c>
      <c r="AQ4835" s="498">
        <f t="shared" si="1682"/>
        <v>0</v>
      </c>
      <c r="AU4835" s="498">
        <f t="shared" si="1669"/>
        <v>0</v>
      </c>
      <c r="AV4835" s="498">
        <f t="shared" si="1670"/>
        <v>0</v>
      </c>
      <c r="AW4835" s="498">
        <f t="shared" si="1671"/>
        <v>0</v>
      </c>
      <c r="AX4835" s="498">
        <f t="shared" si="1672"/>
        <v>0</v>
      </c>
      <c r="AY4835" s="498">
        <f t="shared" si="1673"/>
        <v>0</v>
      </c>
      <c r="BB4835" s="498" t="str">
        <f t="shared" si="1674"/>
        <v/>
      </c>
      <c r="BC4835" s="743" t="str">
        <f t="shared" si="1675"/>
        <v/>
      </c>
      <c r="BD4835" s="743" t="str">
        <f t="shared" si="1676"/>
        <v/>
      </c>
      <c r="BE4835" s="743" t="str">
        <f>IF(D4835="","",VLOOKUP(D4835,'General Basis'!$J$39:$K$46,2,0))</f>
        <v/>
      </c>
      <c r="BF4835" s="744" t="str">
        <f>IF(D4835="","",VLOOKUP(D4835,'General Basis'!$J$39:$L$46,3,0))</f>
        <v/>
      </c>
      <c r="BG4835" s="744" t="str">
        <f t="shared" si="1683"/>
        <v/>
      </c>
      <c r="BH4835" s="744" t="str">
        <f>IF(G4835="","",IF(BF4835="Abu Dhabi",IF(G4835&lt;18,'General Basis'!$C$39,IF(G4835&lt;41,'General Basis'!$C$40,IF(G4835&lt;60,'General Basis'!$C$41,IF(G4835&lt;65,'General Basis'!$C$42,'General Basis'!$C$43)))),IF(G4835&lt;11,'General Basis'!$B$39,IF(G4835&lt;18,'General Basis'!$B$40,IF(G4835&lt;26,'General Basis'!$B$41,IF(G4835&lt;31,'General Basis'!$B$42,IF(G4835&lt;36,'General Basis'!$B$43,IF(G4835&lt;41,'General Basis'!$B$44,IF(G4835&lt;46,'General Basis'!$B$45,IF(G4835&lt;51,'General Basis'!$B$46,IF(G4835&lt;56,'General Basis'!$B$47,IF(G4835&lt;60,'General Basis'!$B$48,IF(G4835&lt;65,'General Basis'!$B$49,'General Basis'!$B$50)))))))))))))</f>
        <v/>
      </c>
      <c r="BI4835" s="744" t="str">
        <f t="shared" si="1677"/>
        <v/>
      </c>
      <c r="BJ4835" s="747" t="str">
        <f t="shared" si="1684"/>
        <v/>
      </c>
      <c r="BK4835" s="498" t="str">
        <f t="shared" si="1678"/>
        <v/>
      </c>
      <c r="BL4835" s="498" t="str">
        <f t="shared" si="1679"/>
        <v/>
      </c>
    </row>
    <row r="4836" spans="1:64" x14ac:dyDescent="0.25">
      <c r="A4836" s="762">
        <f t="shared" si="1680"/>
        <v>4831</v>
      </c>
      <c r="B4836" s="229"/>
      <c r="C4836" s="223"/>
      <c r="D4836" s="224"/>
      <c r="E4836" s="225"/>
      <c r="F4836" s="1036" t="str">
        <f t="shared" si="1686"/>
        <v/>
      </c>
      <c r="G4836" s="1037" t="str">
        <f t="shared" si="1681"/>
        <v/>
      </c>
      <c r="H4836" s="225"/>
      <c r="I4836" s="1013"/>
      <c r="J4836" s="1013"/>
      <c r="K4836" s="1028"/>
      <c r="L4836" s="1035" t="str">
        <f t="shared" si="1685"/>
        <v/>
      </c>
      <c r="S4836" s="498"/>
      <c r="AJ4836" s="498"/>
      <c r="AM4836" s="498">
        <f t="shared" si="1666"/>
        <v>0</v>
      </c>
      <c r="AN4836" s="498">
        <f t="shared" si="1667"/>
        <v>0</v>
      </c>
      <c r="AO4836" s="498">
        <f t="shared" si="1668"/>
        <v>0</v>
      </c>
      <c r="AP4836" s="498">
        <f t="shared" si="1687"/>
        <v>0</v>
      </c>
      <c r="AQ4836" s="498">
        <f t="shared" si="1682"/>
        <v>0</v>
      </c>
      <c r="AU4836" s="498">
        <f t="shared" si="1669"/>
        <v>0</v>
      </c>
      <c r="AV4836" s="498">
        <f t="shared" si="1670"/>
        <v>0</v>
      </c>
      <c r="AW4836" s="498">
        <f t="shared" si="1671"/>
        <v>0</v>
      </c>
      <c r="AX4836" s="498">
        <f t="shared" si="1672"/>
        <v>0</v>
      </c>
      <c r="AY4836" s="498">
        <f t="shared" si="1673"/>
        <v>0</v>
      </c>
      <c r="BB4836" s="498" t="str">
        <f t="shared" si="1674"/>
        <v/>
      </c>
      <c r="BC4836" s="743" t="str">
        <f t="shared" si="1675"/>
        <v/>
      </c>
      <c r="BD4836" s="743" t="str">
        <f t="shared" si="1676"/>
        <v/>
      </c>
      <c r="BE4836" s="743" t="str">
        <f>IF(D4836="","",VLOOKUP(D4836,'General Basis'!$J$39:$K$46,2,0))</f>
        <v/>
      </c>
      <c r="BF4836" s="744" t="str">
        <f>IF(D4836="","",VLOOKUP(D4836,'General Basis'!$J$39:$L$46,3,0))</f>
        <v/>
      </c>
      <c r="BG4836" s="744" t="str">
        <f t="shared" si="1683"/>
        <v/>
      </c>
      <c r="BH4836" s="744" t="str">
        <f>IF(G4836="","",IF(BF4836="Abu Dhabi",IF(G4836&lt;18,'General Basis'!$C$39,IF(G4836&lt;41,'General Basis'!$C$40,IF(G4836&lt;60,'General Basis'!$C$41,IF(G4836&lt;65,'General Basis'!$C$42,'General Basis'!$C$43)))),IF(G4836&lt;11,'General Basis'!$B$39,IF(G4836&lt;18,'General Basis'!$B$40,IF(G4836&lt;26,'General Basis'!$B$41,IF(G4836&lt;31,'General Basis'!$B$42,IF(G4836&lt;36,'General Basis'!$B$43,IF(G4836&lt;41,'General Basis'!$B$44,IF(G4836&lt;46,'General Basis'!$B$45,IF(G4836&lt;51,'General Basis'!$B$46,IF(G4836&lt;56,'General Basis'!$B$47,IF(G4836&lt;60,'General Basis'!$B$48,IF(G4836&lt;65,'General Basis'!$B$49,'General Basis'!$B$50)))))))))))))</f>
        <v/>
      </c>
      <c r="BI4836" s="744" t="str">
        <f t="shared" si="1677"/>
        <v/>
      </c>
      <c r="BJ4836" s="747" t="str">
        <f t="shared" si="1684"/>
        <v/>
      </c>
      <c r="BK4836" s="498" t="str">
        <f t="shared" si="1678"/>
        <v/>
      </c>
      <c r="BL4836" s="498" t="str">
        <f t="shared" si="1679"/>
        <v/>
      </c>
    </row>
    <row r="4837" spans="1:64" x14ac:dyDescent="0.25">
      <c r="A4837" s="762">
        <f t="shared" si="1680"/>
        <v>4832</v>
      </c>
      <c r="B4837" s="229"/>
      <c r="C4837" s="223"/>
      <c r="D4837" s="224"/>
      <c r="E4837" s="225"/>
      <c r="F4837" s="1036" t="str">
        <f t="shared" si="1686"/>
        <v/>
      </c>
      <c r="G4837" s="1037" t="str">
        <f t="shared" si="1681"/>
        <v/>
      </c>
      <c r="H4837" s="225"/>
      <c r="I4837" s="1013"/>
      <c r="J4837" s="1013"/>
      <c r="K4837" s="1028"/>
      <c r="L4837" s="1035" t="str">
        <f t="shared" si="1685"/>
        <v/>
      </c>
      <c r="S4837" s="498"/>
      <c r="AJ4837" s="498"/>
      <c r="AM4837" s="498">
        <f t="shared" si="1666"/>
        <v>0</v>
      </c>
      <c r="AN4837" s="498">
        <f t="shared" si="1667"/>
        <v>0</v>
      </c>
      <c r="AO4837" s="498">
        <f t="shared" si="1668"/>
        <v>0</v>
      </c>
      <c r="AP4837" s="498">
        <f t="shared" si="1687"/>
        <v>0</v>
      </c>
      <c r="AQ4837" s="498">
        <f t="shared" si="1682"/>
        <v>0</v>
      </c>
      <c r="AU4837" s="498">
        <f t="shared" si="1669"/>
        <v>0</v>
      </c>
      <c r="AV4837" s="498">
        <f t="shared" si="1670"/>
        <v>0</v>
      </c>
      <c r="AW4837" s="498">
        <f t="shared" si="1671"/>
        <v>0</v>
      </c>
      <c r="AX4837" s="498">
        <f t="shared" si="1672"/>
        <v>0</v>
      </c>
      <c r="AY4837" s="498">
        <f t="shared" si="1673"/>
        <v>0</v>
      </c>
      <c r="BB4837" s="498" t="str">
        <f t="shared" si="1674"/>
        <v/>
      </c>
      <c r="BC4837" s="743" t="str">
        <f t="shared" si="1675"/>
        <v/>
      </c>
      <c r="BD4837" s="743" t="str">
        <f t="shared" si="1676"/>
        <v/>
      </c>
      <c r="BE4837" s="743" t="str">
        <f>IF(D4837="","",VLOOKUP(D4837,'General Basis'!$J$39:$K$46,2,0))</f>
        <v/>
      </c>
      <c r="BF4837" s="744" t="str">
        <f>IF(D4837="","",VLOOKUP(D4837,'General Basis'!$J$39:$L$46,3,0))</f>
        <v/>
      </c>
      <c r="BG4837" s="744" t="str">
        <f t="shared" si="1683"/>
        <v/>
      </c>
      <c r="BH4837" s="744" t="str">
        <f>IF(G4837="","",IF(BF4837="Abu Dhabi",IF(G4837&lt;18,'General Basis'!$C$39,IF(G4837&lt;41,'General Basis'!$C$40,IF(G4837&lt;60,'General Basis'!$C$41,IF(G4837&lt;65,'General Basis'!$C$42,'General Basis'!$C$43)))),IF(G4837&lt;11,'General Basis'!$B$39,IF(G4837&lt;18,'General Basis'!$B$40,IF(G4837&lt;26,'General Basis'!$B$41,IF(G4837&lt;31,'General Basis'!$B$42,IF(G4837&lt;36,'General Basis'!$B$43,IF(G4837&lt;41,'General Basis'!$B$44,IF(G4837&lt;46,'General Basis'!$B$45,IF(G4837&lt;51,'General Basis'!$B$46,IF(G4837&lt;56,'General Basis'!$B$47,IF(G4837&lt;60,'General Basis'!$B$48,IF(G4837&lt;65,'General Basis'!$B$49,'General Basis'!$B$50)))))))))))))</f>
        <v/>
      </c>
      <c r="BI4837" s="744" t="str">
        <f t="shared" si="1677"/>
        <v/>
      </c>
      <c r="BJ4837" s="747" t="str">
        <f t="shared" si="1684"/>
        <v/>
      </c>
      <c r="BK4837" s="498" t="str">
        <f t="shared" si="1678"/>
        <v/>
      </c>
      <c r="BL4837" s="498" t="str">
        <f t="shared" si="1679"/>
        <v/>
      </c>
    </row>
    <row r="4838" spans="1:64" x14ac:dyDescent="0.25">
      <c r="A4838" s="762">
        <f t="shared" si="1680"/>
        <v>4833</v>
      </c>
      <c r="B4838" s="229"/>
      <c r="C4838" s="223"/>
      <c r="D4838" s="224"/>
      <c r="E4838" s="225"/>
      <c r="F4838" s="1036" t="str">
        <f t="shared" si="1686"/>
        <v/>
      </c>
      <c r="G4838" s="1037" t="str">
        <f t="shared" si="1681"/>
        <v/>
      </c>
      <c r="H4838" s="225"/>
      <c r="I4838" s="1013"/>
      <c r="J4838" s="1013"/>
      <c r="K4838" s="1028"/>
      <c r="L4838" s="1035" t="str">
        <f t="shared" si="1685"/>
        <v/>
      </c>
      <c r="S4838" s="498"/>
      <c r="AJ4838" s="498"/>
      <c r="AM4838" s="498">
        <f t="shared" si="1666"/>
        <v>0</v>
      </c>
      <c r="AN4838" s="498">
        <f t="shared" si="1667"/>
        <v>0</v>
      </c>
      <c r="AO4838" s="498">
        <f t="shared" si="1668"/>
        <v>0</v>
      </c>
      <c r="AP4838" s="498">
        <f t="shared" si="1687"/>
        <v>0</v>
      </c>
      <c r="AQ4838" s="498">
        <f t="shared" si="1682"/>
        <v>0</v>
      </c>
      <c r="AU4838" s="498">
        <f t="shared" si="1669"/>
        <v>0</v>
      </c>
      <c r="AV4838" s="498">
        <f t="shared" si="1670"/>
        <v>0</v>
      </c>
      <c r="AW4838" s="498">
        <f t="shared" si="1671"/>
        <v>0</v>
      </c>
      <c r="AX4838" s="498">
        <f t="shared" si="1672"/>
        <v>0</v>
      </c>
      <c r="AY4838" s="498">
        <f t="shared" si="1673"/>
        <v>0</v>
      </c>
      <c r="BB4838" s="498" t="str">
        <f t="shared" si="1674"/>
        <v/>
      </c>
      <c r="BC4838" s="743" t="str">
        <f t="shared" si="1675"/>
        <v/>
      </c>
      <c r="BD4838" s="743" t="str">
        <f t="shared" si="1676"/>
        <v/>
      </c>
      <c r="BE4838" s="743" t="str">
        <f>IF(D4838="","",VLOOKUP(D4838,'General Basis'!$J$39:$K$46,2,0))</f>
        <v/>
      </c>
      <c r="BF4838" s="744" t="str">
        <f>IF(D4838="","",VLOOKUP(D4838,'General Basis'!$J$39:$L$46,3,0))</f>
        <v/>
      </c>
      <c r="BG4838" s="744" t="str">
        <f t="shared" si="1683"/>
        <v/>
      </c>
      <c r="BH4838" s="744" t="str">
        <f>IF(G4838="","",IF(BF4838="Abu Dhabi",IF(G4838&lt;18,'General Basis'!$C$39,IF(G4838&lt;41,'General Basis'!$C$40,IF(G4838&lt;60,'General Basis'!$C$41,IF(G4838&lt;65,'General Basis'!$C$42,'General Basis'!$C$43)))),IF(G4838&lt;11,'General Basis'!$B$39,IF(G4838&lt;18,'General Basis'!$B$40,IF(G4838&lt;26,'General Basis'!$B$41,IF(G4838&lt;31,'General Basis'!$B$42,IF(G4838&lt;36,'General Basis'!$B$43,IF(G4838&lt;41,'General Basis'!$B$44,IF(G4838&lt;46,'General Basis'!$B$45,IF(G4838&lt;51,'General Basis'!$B$46,IF(G4838&lt;56,'General Basis'!$B$47,IF(G4838&lt;60,'General Basis'!$B$48,IF(G4838&lt;65,'General Basis'!$B$49,'General Basis'!$B$50)))))))))))))</f>
        <v/>
      </c>
      <c r="BI4838" s="744" t="str">
        <f t="shared" si="1677"/>
        <v/>
      </c>
      <c r="BJ4838" s="747" t="str">
        <f t="shared" si="1684"/>
        <v/>
      </c>
      <c r="BK4838" s="498" t="str">
        <f t="shared" si="1678"/>
        <v/>
      </c>
      <c r="BL4838" s="498" t="str">
        <f t="shared" si="1679"/>
        <v/>
      </c>
    </row>
    <row r="4839" spans="1:64" x14ac:dyDescent="0.25">
      <c r="A4839" s="762">
        <f t="shared" si="1680"/>
        <v>4834</v>
      </c>
      <c r="B4839" s="229"/>
      <c r="C4839" s="223"/>
      <c r="D4839" s="224"/>
      <c r="E4839" s="225"/>
      <c r="F4839" s="1036" t="str">
        <f t="shared" si="1686"/>
        <v/>
      </c>
      <c r="G4839" s="1037" t="str">
        <f t="shared" si="1681"/>
        <v/>
      </c>
      <c r="H4839" s="225"/>
      <c r="I4839" s="1013"/>
      <c r="J4839" s="1013"/>
      <c r="K4839" s="1028"/>
      <c r="L4839" s="1035" t="str">
        <f t="shared" si="1685"/>
        <v/>
      </c>
      <c r="S4839" s="498"/>
      <c r="AJ4839" s="498"/>
      <c r="AM4839" s="498">
        <f t="shared" si="1666"/>
        <v>0</v>
      </c>
      <c r="AN4839" s="498">
        <f t="shared" si="1667"/>
        <v>0</v>
      </c>
      <c r="AO4839" s="498">
        <f t="shared" si="1668"/>
        <v>0</v>
      </c>
      <c r="AP4839" s="498">
        <f t="shared" si="1687"/>
        <v>0</v>
      </c>
      <c r="AQ4839" s="498">
        <f t="shared" si="1682"/>
        <v>0</v>
      </c>
      <c r="AU4839" s="498">
        <f t="shared" si="1669"/>
        <v>0</v>
      </c>
      <c r="AV4839" s="498">
        <f t="shared" si="1670"/>
        <v>0</v>
      </c>
      <c r="AW4839" s="498">
        <f t="shared" si="1671"/>
        <v>0</v>
      </c>
      <c r="AX4839" s="498">
        <f t="shared" si="1672"/>
        <v>0</v>
      </c>
      <c r="AY4839" s="498">
        <f t="shared" si="1673"/>
        <v>0</v>
      </c>
      <c r="BB4839" s="498" t="str">
        <f t="shared" si="1674"/>
        <v/>
      </c>
      <c r="BC4839" s="743" t="str">
        <f t="shared" si="1675"/>
        <v/>
      </c>
      <c r="BD4839" s="743" t="str">
        <f t="shared" si="1676"/>
        <v/>
      </c>
      <c r="BE4839" s="743" t="str">
        <f>IF(D4839="","",VLOOKUP(D4839,'General Basis'!$J$39:$K$46,2,0))</f>
        <v/>
      </c>
      <c r="BF4839" s="744" t="str">
        <f>IF(D4839="","",VLOOKUP(D4839,'General Basis'!$J$39:$L$46,3,0))</f>
        <v/>
      </c>
      <c r="BG4839" s="744" t="str">
        <f t="shared" si="1683"/>
        <v/>
      </c>
      <c r="BH4839" s="744" t="str">
        <f>IF(G4839="","",IF(BF4839="Abu Dhabi",IF(G4839&lt;18,'General Basis'!$C$39,IF(G4839&lt;41,'General Basis'!$C$40,IF(G4839&lt;60,'General Basis'!$C$41,IF(G4839&lt;65,'General Basis'!$C$42,'General Basis'!$C$43)))),IF(G4839&lt;11,'General Basis'!$B$39,IF(G4839&lt;18,'General Basis'!$B$40,IF(G4839&lt;26,'General Basis'!$B$41,IF(G4839&lt;31,'General Basis'!$B$42,IF(G4839&lt;36,'General Basis'!$B$43,IF(G4839&lt;41,'General Basis'!$B$44,IF(G4839&lt;46,'General Basis'!$B$45,IF(G4839&lt;51,'General Basis'!$B$46,IF(G4839&lt;56,'General Basis'!$B$47,IF(G4839&lt;60,'General Basis'!$B$48,IF(G4839&lt;65,'General Basis'!$B$49,'General Basis'!$B$50)))))))))))))</f>
        <v/>
      </c>
      <c r="BI4839" s="744" t="str">
        <f t="shared" si="1677"/>
        <v/>
      </c>
      <c r="BJ4839" s="747" t="str">
        <f t="shared" si="1684"/>
        <v/>
      </c>
      <c r="BK4839" s="498" t="str">
        <f t="shared" si="1678"/>
        <v/>
      </c>
      <c r="BL4839" s="498" t="str">
        <f t="shared" si="1679"/>
        <v/>
      </c>
    </row>
    <row r="4840" spans="1:64" x14ac:dyDescent="0.25">
      <c r="A4840" s="762">
        <f t="shared" si="1680"/>
        <v>4835</v>
      </c>
      <c r="B4840" s="229"/>
      <c r="C4840" s="223"/>
      <c r="D4840" s="224"/>
      <c r="E4840" s="225"/>
      <c r="F4840" s="1036" t="str">
        <f t="shared" si="1686"/>
        <v/>
      </c>
      <c r="G4840" s="1037" t="str">
        <f t="shared" si="1681"/>
        <v/>
      </c>
      <c r="H4840" s="225"/>
      <c r="I4840" s="1013"/>
      <c r="J4840" s="1013"/>
      <c r="K4840" s="1028"/>
      <c r="L4840" s="1035" t="str">
        <f t="shared" si="1685"/>
        <v/>
      </c>
      <c r="S4840" s="498"/>
      <c r="AJ4840" s="498"/>
      <c r="AM4840" s="498">
        <f t="shared" si="1666"/>
        <v>0</v>
      </c>
      <c r="AN4840" s="498">
        <f t="shared" si="1667"/>
        <v>0</v>
      </c>
      <c r="AO4840" s="498">
        <f t="shared" si="1668"/>
        <v>0</v>
      </c>
      <c r="AP4840" s="498">
        <f t="shared" si="1687"/>
        <v>0</v>
      </c>
      <c r="AQ4840" s="498">
        <f t="shared" si="1682"/>
        <v>0</v>
      </c>
      <c r="AU4840" s="498">
        <f t="shared" si="1669"/>
        <v>0</v>
      </c>
      <c r="AV4840" s="498">
        <f t="shared" si="1670"/>
        <v>0</v>
      </c>
      <c r="AW4840" s="498">
        <f t="shared" si="1671"/>
        <v>0</v>
      </c>
      <c r="AX4840" s="498">
        <f t="shared" si="1672"/>
        <v>0</v>
      </c>
      <c r="AY4840" s="498">
        <f t="shared" si="1673"/>
        <v>0</v>
      </c>
      <c r="BB4840" s="498" t="str">
        <f t="shared" si="1674"/>
        <v/>
      </c>
      <c r="BC4840" s="743" t="str">
        <f t="shared" si="1675"/>
        <v/>
      </c>
      <c r="BD4840" s="743" t="str">
        <f t="shared" si="1676"/>
        <v/>
      </c>
      <c r="BE4840" s="743" t="str">
        <f>IF(D4840="","",VLOOKUP(D4840,'General Basis'!$J$39:$K$46,2,0))</f>
        <v/>
      </c>
      <c r="BF4840" s="744" t="str">
        <f>IF(D4840="","",VLOOKUP(D4840,'General Basis'!$J$39:$L$46,3,0))</f>
        <v/>
      </c>
      <c r="BG4840" s="744" t="str">
        <f t="shared" si="1683"/>
        <v/>
      </c>
      <c r="BH4840" s="744" t="str">
        <f>IF(G4840="","",IF(BF4840="Abu Dhabi",IF(G4840&lt;18,'General Basis'!$C$39,IF(G4840&lt;41,'General Basis'!$C$40,IF(G4840&lt;60,'General Basis'!$C$41,IF(G4840&lt;65,'General Basis'!$C$42,'General Basis'!$C$43)))),IF(G4840&lt;11,'General Basis'!$B$39,IF(G4840&lt;18,'General Basis'!$B$40,IF(G4840&lt;26,'General Basis'!$B$41,IF(G4840&lt;31,'General Basis'!$B$42,IF(G4840&lt;36,'General Basis'!$B$43,IF(G4840&lt;41,'General Basis'!$B$44,IF(G4840&lt;46,'General Basis'!$B$45,IF(G4840&lt;51,'General Basis'!$B$46,IF(G4840&lt;56,'General Basis'!$B$47,IF(G4840&lt;60,'General Basis'!$B$48,IF(G4840&lt;65,'General Basis'!$B$49,'General Basis'!$B$50)))))))))))))</f>
        <v/>
      </c>
      <c r="BI4840" s="744" t="str">
        <f t="shared" si="1677"/>
        <v/>
      </c>
      <c r="BJ4840" s="747" t="str">
        <f t="shared" si="1684"/>
        <v/>
      </c>
      <c r="BK4840" s="498" t="str">
        <f t="shared" si="1678"/>
        <v/>
      </c>
      <c r="BL4840" s="498" t="str">
        <f t="shared" si="1679"/>
        <v/>
      </c>
    </row>
    <row r="4841" spans="1:64" x14ac:dyDescent="0.25">
      <c r="A4841" s="762">
        <f t="shared" si="1680"/>
        <v>4836</v>
      </c>
      <c r="B4841" s="229"/>
      <c r="C4841" s="223"/>
      <c r="D4841" s="224"/>
      <c r="E4841" s="225"/>
      <c r="F4841" s="1036" t="str">
        <f t="shared" si="1686"/>
        <v/>
      </c>
      <c r="G4841" s="1037" t="str">
        <f t="shared" si="1681"/>
        <v/>
      </c>
      <c r="H4841" s="225"/>
      <c r="I4841" s="1013"/>
      <c r="J4841" s="1013"/>
      <c r="K4841" s="1028"/>
      <c r="L4841" s="1035" t="str">
        <f t="shared" si="1685"/>
        <v/>
      </c>
      <c r="S4841" s="498"/>
      <c r="AJ4841" s="498"/>
      <c r="AM4841" s="498">
        <f t="shared" si="1666"/>
        <v>0</v>
      </c>
      <c r="AN4841" s="498">
        <f t="shared" si="1667"/>
        <v>0</v>
      </c>
      <c r="AO4841" s="498">
        <f t="shared" si="1668"/>
        <v>0</v>
      </c>
      <c r="AP4841" s="498">
        <f t="shared" si="1687"/>
        <v>0</v>
      </c>
      <c r="AQ4841" s="498">
        <f t="shared" si="1682"/>
        <v>0</v>
      </c>
      <c r="AU4841" s="498">
        <f t="shared" si="1669"/>
        <v>0</v>
      </c>
      <c r="AV4841" s="498">
        <f t="shared" si="1670"/>
        <v>0</v>
      </c>
      <c r="AW4841" s="498">
        <f t="shared" si="1671"/>
        <v>0</v>
      </c>
      <c r="AX4841" s="498">
        <f t="shared" si="1672"/>
        <v>0</v>
      </c>
      <c r="AY4841" s="498">
        <f t="shared" si="1673"/>
        <v>0</v>
      </c>
      <c r="BB4841" s="498" t="str">
        <f t="shared" si="1674"/>
        <v/>
      </c>
      <c r="BC4841" s="743" t="str">
        <f t="shared" si="1675"/>
        <v/>
      </c>
      <c r="BD4841" s="743" t="str">
        <f t="shared" si="1676"/>
        <v/>
      </c>
      <c r="BE4841" s="743" t="str">
        <f>IF(D4841="","",VLOOKUP(D4841,'General Basis'!$J$39:$K$46,2,0))</f>
        <v/>
      </c>
      <c r="BF4841" s="744" t="str">
        <f>IF(D4841="","",VLOOKUP(D4841,'General Basis'!$J$39:$L$46,3,0))</f>
        <v/>
      </c>
      <c r="BG4841" s="744" t="str">
        <f t="shared" si="1683"/>
        <v/>
      </c>
      <c r="BH4841" s="744" t="str">
        <f>IF(G4841="","",IF(BF4841="Abu Dhabi",IF(G4841&lt;18,'General Basis'!$C$39,IF(G4841&lt;41,'General Basis'!$C$40,IF(G4841&lt;60,'General Basis'!$C$41,IF(G4841&lt;65,'General Basis'!$C$42,'General Basis'!$C$43)))),IF(G4841&lt;11,'General Basis'!$B$39,IF(G4841&lt;18,'General Basis'!$B$40,IF(G4841&lt;26,'General Basis'!$B$41,IF(G4841&lt;31,'General Basis'!$B$42,IF(G4841&lt;36,'General Basis'!$B$43,IF(G4841&lt;41,'General Basis'!$B$44,IF(G4841&lt;46,'General Basis'!$B$45,IF(G4841&lt;51,'General Basis'!$B$46,IF(G4841&lt;56,'General Basis'!$B$47,IF(G4841&lt;60,'General Basis'!$B$48,IF(G4841&lt;65,'General Basis'!$B$49,'General Basis'!$B$50)))))))))))))</f>
        <v/>
      </c>
      <c r="BI4841" s="744" t="str">
        <f t="shared" si="1677"/>
        <v/>
      </c>
      <c r="BJ4841" s="747" t="str">
        <f t="shared" si="1684"/>
        <v/>
      </c>
      <c r="BK4841" s="498" t="str">
        <f t="shared" si="1678"/>
        <v/>
      </c>
      <c r="BL4841" s="498" t="str">
        <f t="shared" si="1679"/>
        <v/>
      </c>
    </row>
    <row r="4842" spans="1:64" x14ac:dyDescent="0.25">
      <c r="A4842" s="762">
        <f t="shared" si="1680"/>
        <v>4837</v>
      </c>
      <c r="B4842" s="229"/>
      <c r="C4842" s="223"/>
      <c r="D4842" s="224"/>
      <c r="E4842" s="225"/>
      <c r="F4842" s="1036" t="str">
        <f t="shared" si="1686"/>
        <v/>
      </c>
      <c r="G4842" s="1037" t="str">
        <f t="shared" si="1681"/>
        <v/>
      </c>
      <c r="H4842" s="225"/>
      <c r="I4842" s="1013"/>
      <c r="J4842" s="1013"/>
      <c r="K4842" s="1028"/>
      <c r="L4842" s="1035" t="str">
        <f t="shared" si="1685"/>
        <v/>
      </c>
      <c r="S4842" s="498"/>
      <c r="AJ4842" s="498"/>
      <c r="AM4842" s="498">
        <f t="shared" si="1666"/>
        <v>0</v>
      </c>
      <c r="AN4842" s="498">
        <f t="shared" si="1667"/>
        <v>0</v>
      </c>
      <c r="AO4842" s="498">
        <f t="shared" si="1668"/>
        <v>0</v>
      </c>
      <c r="AP4842" s="498">
        <f t="shared" si="1687"/>
        <v>0</v>
      </c>
      <c r="AQ4842" s="498">
        <f t="shared" si="1682"/>
        <v>0</v>
      </c>
      <c r="AU4842" s="498">
        <f t="shared" si="1669"/>
        <v>0</v>
      </c>
      <c r="AV4842" s="498">
        <f t="shared" si="1670"/>
        <v>0</v>
      </c>
      <c r="AW4842" s="498">
        <f t="shared" si="1671"/>
        <v>0</v>
      </c>
      <c r="AX4842" s="498">
        <f t="shared" si="1672"/>
        <v>0</v>
      </c>
      <c r="AY4842" s="498">
        <f t="shared" si="1673"/>
        <v>0</v>
      </c>
      <c r="BB4842" s="498" t="str">
        <f t="shared" si="1674"/>
        <v/>
      </c>
      <c r="BC4842" s="743" t="str">
        <f t="shared" si="1675"/>
        <v/>
      </c>
      <c r="BD4842" s="743" t="str">
        <f t="shared" si="1676"/>
        <v/>
      </c>
      <c r="BE4842" s="743" t="str">
        <f>IF(D4842="","",VLOOKUP(D4842,'General Basis'!$J$39:$K$46,2,0))</f>
        <v/>
      </c>
      <c r="BF4842" s="744" t="str">
        <f>IF(D4842="","",VLOOKUP(D4842,'General Basis'!$J$39:$L$46,3,0))</f>
        <v/>
      </c>
      <c r="BG4842" s="744" t="str">
        <f t="shared" si="1683"/>
        <v/>
      </c>
      <c r="BH4842" s="744" t="str">
        <f>IF(G4842="","",IF(BF4842="Abu Dhabi",IF(G4842&lt;18,'General Basis'!$C$39,IF(G4842&lt;41,'General Basis'!$C$40,IF(G4842&lt;60,'General Basis'!$C$41,IF(G4842&lt;65,'General Basis'!$C$42,'General Basis'!$C$43)))),IF(G4842&lt;11,'General Basis'!$B$39,IF(G4842&lt;18,'General Basis'!$B$40,IF(G4842&lt;26,'General Basis'!$B$41,IF(G4842&lt;31,'General Basis'!$B$42,IF(G4842&lt;36,'General Basis'!$B$43,IF(G4842&lt;41,'General Basis'!$B$44,IF(G4842&lt;46,'General Basis'!$B$45,IF(G4842&lt;51,'General Basis'!$B$46,IF(G4842&lt;56,'General Basis'!$B$47,IF(G4842&lt;60,'General Basis'!$B$48,IF(G4842&lt;65,'General Basis'!$B$49,'General Basis'!$B$50)))))))))))))</f>
        <v/>
      </c>
      <c r="BI4842" s="744" t="str">
        <f t="shared" si="1677"/>
        <v/>
      </c>
      <c r="BJ4842" s="747" t="str">
        <f t="shared" si="1684"/>
        <v/>
      </c>
      <c r="BK4842" s="498" t="str">
        <f t="shared" si="1678"/>
        <v/>
      </c>
      <c r="BL4842" s="498" t="str">
        <f t="shared" si="1679"/>
        <v/>
      </c>
    </row>
    <row r="4843" spans="1:64" x14ac:dyDescent="0.25">
      <c r="A4843" s="762">
        <f t="shared" si="1680"/>
        <v>4838</v>
      </c>
      <c r="B4843" s="229"/>
      <c r="C4843" s="223"/>
      <c r="D4843" s="224"/>
      <c r="E4843" s="225"/>
      <c r="F4843" s="1036" t="str">
        <f t="shared" si="1686"/>
        <v/>
      </c>
      <c r="G4843" s="1037" t="str">
        <f t="shared" si="1681"/>
        <v/>
      </c>
      <c r="H4843" s="225"/>
      <c r="I4843" s="1013"/>
      <c r="J4843" s="1013"/>
      <c r="K4843" s="1028"/>
      <c r="L4843" s="1035" t="str">
        <f t="shared" si="1685"/>
        <v/>
      </c>
      <c r="S4843" s="498"/>
      <c r="AJ4843" s="498"/>
      <c r="AM4843" s="498">
        <f t="shared" si="1666"/>
        <v>0</v>
      </c>
      <c r="AN4843" s="498">
        <f t="shared" si="1667"/>
        <v>0</v>
      </c>
      <c r="AO4843" s="498">
        <f t="shared" si="1668"/>
        <v>0</v>
      </c>
      <c r="AP4843" s="498">
        <f t="shared" si="1687"/>
        <v>0</v>
      </c>
      <c r="AQ4843" s="498">
        <f t="shared" si="1682"/>
        <v>0</v>
      </c>
      <c r="AU4843" s="498">
        <f t="shared" si="1669"/>
        <v>0</v>
      </c>
      <c r="AV4843" s="498">
        <f t="shared" si="1670"/>
        <v>0</v>
      </c>
      <c r="AW4843" s="498">
        <f t="shared" si="1671"/>
        <v>0</v>
      </c>
      <c r="AX4843" s="498">
        <f t="shared" si="1672"/>
        <v>0</v>
      </c>
      <c r="AY4843" s="498">
        <f t="shared" si="1673"/>
        <v>0</v>
      </c>
      <c r="BB4843" s="498" t="str">
        <f t="shared" si="1674"/>
        <v/>
      </c>
      <c r="BC4843" s="743" t="str">
        <f t="shared" si="1675"/>
        <v/>
      </c>
      <c r="BD4843" s="743" t="str">
        <f t="shared" si="1676"/>
        <v/>
      </c>
      <c r="BE4843" s="743" t="str">
        <f>IF(D4843="","",VLOOKUP(D4843,'General Basis'!$J$39:$K$46,2,0))</f>
        <v/>
      </c>
      <c r="BF4843" s="744" t="str">
        <f>IF(D4843="","",VLOOKUP(D4843,'General Basis'!$J$39:$L$46,3,0))</f>
        <v/>
      </c>
      <c r="BG4843" s="744" t="str">
        <f t="shared" si="1683"/>
        <v/>
      </c>
      <c r="BH4843" s="744" t="str">
        <f>IF(G4843="","",IF(BF4843="Abu Dhabi",IF(G4843&lt;18,'General Basis'!$C$39,IF(G4843&lt;41,'General Basis'!$C$40,IF(G4843&lt;60,'General Basis'!$C$41,IF(G4843&lt;65,'General Basis'!$C$42,'General Basis'!$C$43)))),IF(G4843&lt;11,'General Basis'!$B$39,IF(G4843&lt;18,'General Basis'!$B$40,IF(G4843&lt;26,'General Basis'!$B$41,IF(G4843&lt;31,'General Basis'!$B$42,IF(G4843&lt;36,'General Basis'!$B$43,IF(G4843&lt;41,'General Basis'!$B$44,IF(G4843&lt;46,'General Basis'!$B$45,IF(G4843&lt;51,'General Basis'!$B$46,IF(G4843&lt;56,'General Basis'!$B$47,IF(G4843&lt;60,'General Basis'!$B$48,IF(G4843&lt;65,'General Basis'!$B$49,'General Basis'!$B$50)))))))))))))</f>
        <v/>
      </c>
      <c r="BI4843" s="744" t="str">
        <f t="shared" si="1677"/>
        <v/>
      </c>
      <c r="BJ4843" s="747" t="str">
        <f t="shared" si="1684"/>
        <v/>
      </c>
      <c r="BK4843" s="498" t="str">
        <f t="shared" si="1678"/>
        <v/>
      </c>
      <c r="BL4843" s="498" t="str">
        <f t="shared" si="1679"/>
        <v/>
      </c>
    </row>
    <row r="4844" spans="1:64" x14ac:dyDescent="0.25">
      <c r="A4844" s="762">
        <f t="shared" si="1680"/>
        <v>4839</v>
      </c>
      <c r="B4844" s="229"/>
      <c r="C4844" s="223"/>
      <c r="D4844" s="224"/>
      <c r="E4844" s="225"/>
      <c r="F4844" s="1036" t="str">
        <f t="shared" si="1686"/>
        <v/>
      </c>
      <c r="G4844" s="1037" t="str">
        <f t="shared" si="1681"/>
        <v/>
      </c>
      <c r="H4844" s="225"/>
      <c r="I4844" s="1013"/>
      <c r="J4844" s="1013"/>
      <c r="K4844" s="1028"/>
      <c r="L4844" s="1035" t="str">
        <f t="shared" si="1685"/>
        <v/>
      </c>
      <c r="S4844" s="498"/>
      <c r="AJ4844" s="498"/>
      <c r="AM4844" s="498">
        <f t="shared" si="1666"/>
        <v>0</v>
      </c>
      <c r="AN4844" s="498">
        <f t="shared" si="1667"/>
        <v>0</v>
      </c>
      <c r="AO4844" s="498">
        <f t="shared" si="1668"/>
        <v>0</v>
      </c>
      <c r="AP4844" s="498">
        <f t="shared" si="1687"/>
        <v>0</v>
      </c>
      <c r="AQ4844" s="498">
        <f t="shared" si="1682"/>
        <v>0</v>
      </c>
      <c r="AU4844" s="498">
        <f t="shared" si="1669"/>
        <v>0</v>
      </c>
      <c r="AV4844" s="498">
        <f t="shared" si="1670"/>
        <v>0</v>
      </c>
      <c r="AW4844" s="498">
        <f t="shared" si="1671"/>
        <v>0</v>
      </c>
      <c r="AX4844" s="498">
        <f t="shared" si="1672"/>
        <v>0</v>
      </c>
      <c r="AY4844" s="498">
        <f t="shared" si="1673"/>
        <v>0</v>
      </c>
      <c r="BB4844" s="498" t="str">
        <f t="shared" si="1674"/>
        <v/>
      </c>
      <c r="BC4844" s="743" t="str">
        <f t="shared" si="1675"/>
        <v/>
      </c>
      <c r="BD4844" s="743" t="str">
        <f t="shared" si="1676"/>
        <v/>
      </c>
      <c r="BE4844" s="743" t="str">
        <f>IF(D4844="","",VLOOKUP(D4844,'General Basis'!$J$39:$K$46,2,0))</f>
        <v/>
      </c>
      <c r="BF4844" s="744" t="str">
        <f>IF(D4844="","",VLOOKUP(D4844,'General Basis'!$J$39:$L$46,3,0))</f>
        <v/>
      </c>
      <c r="BG4844" s="744" t="str">
        <f t="shared" si="1683"/>
        <v/>
      </c>
      <c r="BH4844" s="744" t="str">
        <f>IF(G4844="","",IF(BF4844="Abu Dhabi",IF(G4844&lt;18,'General Basis'!$C$39,IF(G4844&lt;41,'General Basis'!$C$40,IF(G4844&lt;60,'General Basis'!$C$41,IF(G4844&lt;65,'General Basis'!$C$42,'General Basis'!$C$43)))),IF(G4844&lt;11,'General Basis'!$B$39,IF(G4844&lt;18,'General Basis'!$B$40,IF(G4844&lt;26,'General Basis'!$B$41,IF(G4844&lt;31,'General Basis'!$B$42,IF(G4844&lt;36,'General Basis'!$B$43,IF(G4844&lt;41,'General Basis'!$B$44,IF(G4844&lt;46,'General Basis'!$B$45,IF(G4844&lt;51,'General Basis'!$B$46,IF(G4844&lt;56,'General Basis'!$B$47,IF(G4844&lt;60,'General Basis'!$B$48,IF(G4844&lt;65,'General Basis'!$B$49,'General Basis'!$B$50)))))))))))))</f>
        <v/>
      </c>
      <c r="BI4844" s="744" t="str">
        <f t="shared" si="1677"/>
        <v/>
      </c>
      <c r="BJ4844" s="747" t="str">
        <f t="shared" si="1684"/>
        <v/>
      </c>
      <c r="BK4844" s="498" t="str">
        <f t="shared" si="1678"/>
        <v/>
      </c>
      <c r="BL4844" s="498" t="str">
        <f t="shared" si="1679"/>
        <v/>
      </c>
    </row>
    <row r="4845" spans="1:64" x14ac:dyDescent="0.25">
      <c r="A4845" s="762">
        <f t="shared" si="1680"/>
        <v>4840</v>
      </c>
      <c r="B4845" s="229"/>
      <c r="C4845" s="223"/>
      <c r="D4845" s="224"/>
      <c r="E4845" s="225"/>
      <c r="F4845" s="1036" t="str">
        <f t="shared" si="1686"/>
        <v/>
      </c>
      <c r="G4845" s="1037" t="str">
        <f t="shared" si="1681"/>
        <v/>
      </c>
      <c r="H4845" s="225"/>
      <c r="I4845" s="1013"/>
      <c r="J4845" s="1013"/>
      <c r="K4845" s="1028"/>
      <c r="L4845" s="1035" t="str">
        <f t="shared" si="1685"/>
        <v/>
      </c>
      <c r="S4845" s="498"/>
      <c r="AJ4845" s="498"/>
      <c r="AM4845" s="498">
        <f t="shared" si="1666"/>
        <v>0</v>
      </c>
      <c r="AN4845" s="498">
        <f t="shared" si="1667"/>
        <v>0</v>
      </c>
      <c r="AO4845" s="498">
        <f t="shared" si="1668"/>
        <v>0</v>
      </c>
      <c r="AP4845" s="498">
        <f t="shared" si="1687"/>
        <v>0</v>
      </c>
      <c r="AQ4845" s="498">
        <f t="shared" si="1682"/>
        <v>0</v>
      </c>
      <c r="AU4845" s="498">
        <f t="shared" si="1669"/>
        <v>0</v>
      </c>
      <c r="AV4845" s="498">
        <f t="shared" si="1670"/>
        <v>0</v>
      </c>
      <c r="AW4845" s="498">
        <f t="shared" si="1671"/>
        <v>0</v>
      </c>
      <c r="AX4845" s="498">
        <f t="shared" si="1672"/>
        <v>0</v>
      </c>
      <c r="AY4845" s="498">
        <f t="shared" si="1673"/>
        <v>0</v>
      </c>
      <c r="BB4845" s="498" t="str">
        <f t="shared" si="1674"/>
        <v/>
      </c>
      <c r="BC4845" s="743" t="str">
        <f t="shared" si="1675"/>
        <v/>
      </c>
      <c r="BD4845" s="743" t="str">
        <f t="shared" si="1676"/>
        <v/>
      </c>
      <c r="BE4845" s="743" t="str">
        <f>IF(D4845="","",VLOOKUP(D4845,'General Basis'!$J$39:$K$46,2,0))</f>
        <v/>
      </c>
      <c r="BF4845" s="744" t="str">
        <f>IF(D4845="","",VLOOKUP(D4845,'General Basis'!$J$39:$L$46,3,0))</f>
        <v/>
      </c>
      <c r="BG4845" s="744" t="str">
        <f t="shared" si="1683"/>
        <v/>
      </c>
      <c r="BH4845" s="744" t="str">
        <f>IF(G4845="","",IF(BF4845="Abu Dhabi",IF(G4845&lt;18,'General Basis'!$C$39,IF(G4845&lt;41,'General Basis'!$C$40,IF(G4845&lt;60,'General Basis'!$C$41,IF(G4845&lt;65,'General Basis'!$C$42,'General Basis'!$C$43)))),IF(G4845&lt;11,'General Basis'!$B$39,IF(G4845&lt;18,'General Basis'!$B$40,IF(G4845&lt;26,'General Basis'!$B$41,IF(G4845&lt;31,'General Basis'!$B$42,IF(G4845&lt;36,'General Basis'!$B$43,IF(G4845&lt;41,'General Basis'!$B$44,IF(G4845&lt;46,'General Basis'!$B$45,IF(G4845&lt;51,'General Basis'!$B$46,IF(G4845&lt;56,'General Basis'!$B$47,IF(G4845&lt;60,'General Basis'!$B$48,IF(G4845&lt;65,'General Basis'!$B$49,'General Basis'!$B$50)))))))))))))</f>
        <v/>
      </c>
      <c r="BI4845" s="744" t="str">
        <f t="shared" si="1677"/>
        <v/>
      </c>
      <c r="BJ4845" s="747" t="str">
        <f t="shared" si="1684"/>
        <v/>
      </c>
      <c r="BK4845" s="498" t="str">
        <f t="shared" si="1678"/>
        <v/>
      </c>
      <c r="BL4845" s="498" t="str">
        <f t="shared" si="1679"/>
        <v/>
      </c>
    </row>
    <row r="4846" spans="1:64" x14ac:dyDescent="0.25">
      <c r="A4846" s="762">
        <f t="shared" si="1680"/>
        <v>4841</v>
      </c>
      <c r="B4846" s="229"/>
      <c r="C4846" s="223"/>
      <c r="D4846" s="224"/>
      <c r="E4846" s="225"/>
      <c r="F4846" s="1036" t="str">
        <f t="shared" si="1686"/>
        <v/>
      </c>
      <c r="G4846" s="1037" t="str">
        <f t="shared" si="1681"/>
        <v/>
      </c>
      <c r="H4846" s="225"/>
      <c r="I4846" s="1013"/>
      <c r="J4846" s="1013"/>
      <c r="K4846" s="1028"/>
      <c r="L4846" s="1035" t="str">
        <f t="shared" si="1685"/>
        <v/>
      </c>
      <c r="S4846" s="498"/>
      <c r="AJ4846" s="498"/>
      <c r="AM4846" s="498">
        <f t="shared" si="1666"/>
        <v>0</v>
      </c>
      <c r="AN4846" s="498">
        <f t="shared" si="1667"/>
        <v>0</v>
      </c>
      <c r="AO4846" s="498">
        <f t="shared" si="1668"/>
        <v>0</v>
      </c>
      <c r="AP4846" s="498">
        <f t="shared" si="1687"/>
        <v>0</v>
      </c>
      <c r="AQ4846" s="498">
        <f t="shared" si="1682"/>
        <v>0</v>
      </c>
      <c r="AU4846" s="498">
        <f t="shared" si="1669"/>
        <v>0</v>
      </c>
      <c r="AV4846" s="498">
        <f t="shared" si="1670"/>
        <v>0</v>
      </c>
      <c r="AW4846" s="498">
        <f t="shared" si="1671"/>
        <v>0</v>
      </c>
      <c r="AX4846" s="498">
        <f t="shared" si="1672"/>
        <v>0</v>
      </c>
      <c r="AY4846" s="498">
        <f t="shared" si="1673"/>
        <v>0</v>
      </c>
      <c r="BB4846" s="498" t="str">
        <f t="shared" si="1674"/>
        <v/>
      </c>
      <c r="BC4846" s="743" t="str">
        <f t="shared" si="1675"/>
        <v/>
      </c>
      <c r="BD4846" s="743" t="str">
        <f t="shared" si="1676"/>
        <v/>
      </c>
      <c r="BE4846" s="743" t="str">
        <f>IF(D4846="","",VLOOKUP(D4846,'General Basis'!$J$39:$K$46,2,0))</f>
        <v/>
      </c>
      <c r="BF4846" s="744" t="str">
        <f>IF(D4846="","",VLOOKUP(D4846,'General Basis'!$J$39:$L$46,3,0))</f>
        <v/>
      </c>
      <c r="BG4846" s="744" t="str">
        <f t="shared" si="1683"/>
        <v/>
      </c>
      <c r="BH4846" s="744" t="str">
        <f>IF(G4846="","",IF(BF4846="Abu Dhabi",IF(G4846&lt;18,'General Basis'!$C$39,IF(G4846&lt;41,'General Basis'!$C$40,IF(G4846&lt;60,'General Basis'!$C$41,IF(G4846&lt;65,'General Basis'!$C$42,'General Basis'!$C$43)))),IF(G4846&lt;11,'General Basis'!$B$39,IF(G4846&lt;18,'General Basis'!$B$40,IF(G4846&lt;26,'General Basis'!$B$41,IF(G4846&lt;31,'General Basis'!$B$42,IF(G4846&lt;36,'General Basis'!$B$43,IF(G4846&lt;41,'General Basis'!$B$44,IF(G4846&lt;46,'General Basis'!$B$45,IF(G4846&lt;51,'General Basis'!$B$46,IF(G4846&lt;56,'General Basis'!$B$47,IF(G4846&lt;60,'General Basis'!$B$48,IF(G4846&lt;65,'General Basis'!$B$49,'General Basis'!$B$50)))))))))))))</f>
        <v/>
      </c>
      <c r="BI4846" s="744" t="str">
        <f t="shared" si="1677"/>
        <v/>
      </c>
      <c r="BJ4846" s="747" t="str">
        <f t="shared" si="1684"/>
        <v/>
      </c>
      <c r="BK4846" s="498" t="str">
        <f t="shared" si="1678"/>
        <v/>
      </c>
      <c r="BL4846" s="498" t="str">
        <f t="shared" si="1679"/>
        <v/>
      </c>
    </row>
    <row r="4847" spans="1:64" x14ac:dyDescent="0.25">
      <c r="A4847" s="762">
        <f t="shared" si="1680"/>
        <v>4842</v>
      </c>
      <c r="B4847" s="229"/>
      <c r="C4847" s="223"/>
      <c r="D4847" s="224"/>
      <c r="E4847" s="225"/>
      <c r="F4847" s="1036" t="str">
        <f t="shared" si="1686"/>
        <v/>
      </c>
      <c r="G4847" s="1037" t="str">
        <f t="shared" si="1681"/>
        <v/>
      </c>
      <c r="H4847" s="225"/>
      <c r="I4847" s="1013"/>
      <c r="J4847" s="1013"/>
      <c r="K4847" s="1028"/>
      <c r="L4847" s="1035" t="str">
        <f t="shared" si="1685"/>
        <v/>
      </c>
      <c r="S4847" s="498"/>
      <c r="AJ4847" s="498"/>
      <c r="AM4847" s="498">
        <f t="shared" si="1666"/>
        <v>0</v>
      </c>
      <c r="AN4847" s="498">
        <f t="shared" si="1667"/>
        <v>0</v>
      </c>
      <c r="AO4847" s="498">
        <f t="shared" si="1668"/>
        <v>0</v>
      </c>
      <c r="AP4847" s="498">
        <f t="shared" si="1687"/>
        <v>0</v>
      </c>
      <c r="AQ4847" s="498">
        <f t="shared" si="1682"/>
        <v>0</v>
      </c>
      <c r="AU4847" s="498">
        <f t="shared" si="1669"/>
        <v>0</v>
      </c>
      <c r="AV4847" s="498">
        <f t="shared" si="1670"/>
        <v>0</v>
      </c>
      <c r="AW4847" s="498">
        <f t="shared" si="1671"/>
        <v>0</v>
      </c>
      <c r="AX4847" s="498">
        <f t="shared" si="1672"/>
        <v>0</v>
      </c>
      <c r="AY4847" s="498">
        <f t="shared" si="1673"/>
        <v>0</v>
      </c>
      <c r="BB4847" s="498" t="str">
        <f t="shared" si="1674"/>
        <v/>
      </c>
      <c r="BC4847" s="743" t="str">
        <f t="shared" si="1675"/>
        <v/>
      </c>
      <c r="BD4847" s="743" t="str">
        <f t="shared" si="1676"/>
        <v/>
      </c>
      <c r="BE4847" s="743" t="str">
        <f>IF(D4847="","",VLOOKUP(D4847,'General Basis'!$J$39:$K$46,2,0))</f>
        <v/>
      </c>
      <c r="BF4847" s="744" t="str">
        <f>IF(D4847="","",VLOOKUP(D4847,'General Basis'!$J$39:$L$46,3,0))</f>
        <v/>
      </c>
      <c r="BG4847" s="744" t="str">
        <f t="shared" si="1683"/>
        <v/>
      </c>
      <c r="BH4847" s="744" t="str">
        <f>IF(G4847="","",IF(BF4847="Abu Dhabi",IF(G4847&lt;18,'General Basis'!$C$39,IF(G4847&lt;41,'General Basis'!$C$40,IF(G4847&lt;60,'General Basis'!$C$41,IF(G4847&lt;65,'General Basis'!$C$42,'General Basis'!$C$43)))),IF(G4847&lt;11,'General Basis'!$B$39,IF(G4847&lt;18,'General Basis'!$B$40,IF(G4847&lt;26,'General Basis'!$B$41,IF(G4847&lt;31,'General Basis'!$B$42,IF(G4847&lt;36,'General Basis'!$B$43,IF(G4847&lt;41,'General Basis'!$B$44,IF(G4847&lt;46,'General Basis'!$B$45,IF(G4847&lt;51,'General Basis'!$B$46,IF(G4847&lt;56,'General Basis'!$B$47,IF(G4847&lt;60,'General Basis'!$B$48,IF(G4847&lt;65,'General Basis'!$B$49,'General Basis'!$B$50)))))))))))))</f>
        <v/>
      </c>
      <c r="BI4847" s="744" t="str">
        <f t="shared" si="1677"/>
        <v/>
      </c>
      <c r="BJ4847" s="747" t="str">
        <f t="shared" si="1684"/>
        <v/>
      </c>
      <c r="BK4847" s="498" t="str">
        <f t="shared" si="1678"/>
        <v/>
      </c>
      <c r="BL4847" s="498" t="str">
        <f t="shared" si="1679"/>
        <v/>
      </c>
    </row>
    <row r="4848" spans="1:64" x14ac:dyDescent="0.25">
      <c r="A4848" s="762">
        <f t="shared" si="1680"/>
        <v>4843</v>
      </c>
      <c r="B4848" s="229"/>
      <c r="C4848" s="223"/>
      <c r="D4848" s="224"/>
      <c r="E4848" s="225"/>
      <c r="F4848" s="1036" t="str">
        <f t="shared" si="1686"/>
        <v/>
      </c>
      <c r="G4848" s="1037" t="str">
        <f t="shared" si="1681"/>
        <v/>
      </c>
      <c r="H4848" s="225"/>
      <c r="I4848" s="1013"/>
      <c r="J4848" s="1013"/>
      <c r="K4848" s="1028"/>
      <c r="L4848" s="1035" t="str">
        <f t="shared" si="1685"/>
        <v/>
      </c>
      <c r="S4848" s="498"/>
      <c r="AJ4848" s="498"/>
      <c r="AM4848" s="498">
        <f t="shared" si="1666"/>
        <v>0</v>
      </c>
      <c r="AN4848" s="498">
        <f t="shared" si="1667"/>
        <v>0</v>
      </c>
      <c r="AO4848" s="498">
        <f t="shared" si="1668"/>
        <v>0</v>
      </c>
      <c r="AP4848" s="498">
        <f t="shared" si="1687"/>
        <v>0</v>
      </c>
      <c r="AQ4848" s="498">
        <f t="shared" si="1682"/>
        <v>0</v>
      </c>
      <c r="AU4848" s="498">
        <f t="shared" si="1669"/>
        <v>0</v>
      </c>
      <c r="AV4848" s="498">
        <f t="shared" si="1670"/>
        <v>0</v>
      </c>
      <c r="AW4848" s="498">
        <f t="shared" si="1671"/>
        <v>0</v>
      </c>
      <c r="AX4848" s="498">
        <f t="shared" si="1672"/>
        <v>0</v>
      </c>
      <c r="AY4848" s="498">
        <f t="shared" si="1673"/>
        <v>0</v>
      </c>
      <c r="BB4848" s="498" t="str">
        <f t="shared" si="1674"/>
        <v/>
      </c>
      <c r="BC4848" s="743" t="str">
        <f t="shared" si="1675"/>
        <v/>
      </c>
      <c r="BD4848" s="743" t="str">
        <f t="shared" si="1676"/>
        <v/>
      </c>
      <c r="BE4848" s="743" t="str">
        <f>IF(D4848="","",VLOOKUP(D4848,'General Basis'!$J$39:$K$46,2,0))</f>
        <v/>
      </c>
      <c r="BF4848" s="744" t="str">
        <f>IF(D4848="","",VLOOKUP(D4848,'General Basis'!$J$39:$L$46,3,0))</f>
        <v/>
      </c>
      <c r="BG4848" s="744" t="str">
        <f t="shared" si="1683"/>
        <v/>
      </c>
      <c r="BH4848" s="744" t="str">
        <f>IF(G4848="","",IF(BF4848="Abu Dhabi",IF(G4848&lt;18,'General Basis'!$C$39,IF(G4848&lt;41,'General Basis'!$C$40,IF(G4848&lt;60,'General Basis'!$C$41,IF(G4848&lt;65,'General Basis'!$C$42,'General Basis'!$C$43)))),IF(G4848&lt;11,'General Basis'!$B$39,IF(G4848&lt;18,'General Basis'!$B$40,IF(G4848&lt;26,'General Basis'!$B$41,IF(G4848&lt;31,'General Basis'!$B$42,IF(G4848&lt;36,'General Basis'!$B$43,IF(G4848&lt;41,'General Basis'!$B$44,IF(G4848&lt;46,'General Basis'!$B$45,IF(G4848&lt;51,'General Basis'!$B$46,IF(G4848&lt;56,'General Basis'!$B$47,IF(G4848&lt;60,'General Basis'!$B$48,IF(G4848&lt;65,'General Basis'!$B$49,'General Basis'!$B$50)))))))))))))</f>
        <v/>
      </c>
      <c r="BI4848" s="744" t="str">
        <f t="shared" si="1677"/>
        <v/>
      </c>
      <c r="BJ4848" s="747" t="str">
        <f t="shared" si="1684"/>
        <v/>
      </c>
      <c r="BK4848" s="498" t="str">
        <f t="shared" si="1678"/>
        <v/>
      </c>
      <c r="BL4848" s="498" t="str">
        <f t="shared" si="1679"/>
        <v/>
      </c>
    </row>
    <row r="4849" spans="1:64" x14ac:dyDescent="0.25">
      <c r="A4849" s="762">
        <f t="shared" si="1680"/>
        <v>4844</v>
      </c>
      <c r="B4849" s="229"/>
      <c r="C4849" s="223"/>
      <c r="D4849" s="224"/>
      <c r="E4849" s="225"/>
      <c r="F4849" s="1036" t="str">
        <f t="shared" si="1686"/>
        <v/>
      </c>
      <c r="G4849" s="1037" t="str">
        <f t="shared" si="1681"/>
        <v/>
      </c>
      <c r="H4849" s="225"/>
      <c r="I4849" s="1013"/>
      <c r="J4849" s="1013"/>
      <c r="K4849" s="1028"/>
      <c r="L4849" s="1035" t="str">
        <f t="shared" si="1685"/>
        <v/>
      </c>
      <c r="S4849" s="498"/>
      <c r="AJ4849" s="498"/>
      <c r="AM4849" s="498">
        <f t="shared" si="1666"/>
        <v>0</v>
      </c>
      <c r="AN4849" s="498">
        <f t="shared" si="1667"/>
        <v>0</v>
      </c>
      <c r="AO4849" s="498">
        <f t="shared" si="1668"/>
        <v>0</v>
      </c>
      <c r="AP4849" s="498">
        <f t="shared" si="1687"/>
        <v>0</v>
      </c>
      <c r="AQ4849" s="498">
        <f t="shared" si="1682"/>
        <v>0</v>
      </c>
      <c r="AU4849" s="498">
        <f t="shared" si="1669"/>
        <v>0</v>
      </c>
      <c r="AV4849" s="498">
        <f t="shared" si="1670"/>
        <v>0</v>
      </c>
      <c r="AW4849" s="498">
        <f t="shared" si="1671"/>
        <v>0</v>
      </c>
      <c r="AX4849" s="498">
        <f t="shared" si="1672"/>
        <v>0</v>
      </c>
      <c r="AY4849" s="498">
        <f t="shared" si="1673"/>
        <v>0</v>
      </c>
      <c r="BB4849" s="498" t="str">
        <f t="shared" si="1674"/>
        <v/>
      </c>
      <c r="BC4849" s="743" t="str">
        <f t="shared" si="1675"/>
        <v/>
      </c>
      <c r="BD4849" s="743" t="str">
        <f t="shared" si="1676"/>
        <v/>
      </c>
      <c r="BE4849" s="743" t="str">
        <f>IF(D4849="","",VLOOKUP(D4849,'General Basis'!$J$39:$K$46,2,0))</f>
        <v/>
      </c>
      <c r="BF4849" s="744" t="str">
        <f>IF(D4849="","",VLOOKUP(D4849,'General Basis'!$J$39:$L$46,3,0))</f>
        <v/>
      </c>
      <c r="BG4849" s="744" t="str">
        <f t="shared" si="1683"/>
        <v/>
      </c>
      <c r="BH4849" s="744" t="str">
        <f>IF(G4849="","",IF(BF4849="Abu Dhabi",IF(G4849&lt;18,'General Basis'!$C$39,IF(G4849&lt;41,'General Basis'!$C$40,IF(G4849&lt;60,'General Basis'!$C$41,IF(G4849&lt;65,'General Basis'!$C$42,'General Basis'!$C$43)))),IF(G4849&lt;11,'General Basis'!$B$39,IF(G4849&lt;18,'General Basis'!$B$40,IF(G4849&lt;26,'General Basis'!$B$41,IF(G4849&lt;31,'General Basis'!$B$42,IF(G4849&lt;36,'General Basis'!$B$43,IF(G4849&lt;41,'General Basis'!$B$44,IF(G4849&lt;46,'General Basis'!$B$45,IF(G4849&lt;51,'General Basis'!$B$46,IF(G4849&lt;56,'General Basis'!$B$47,IF(G4849&lt;60,'General Basis'!$B$48,IF(G4849&lt;65,'General Basis'!$B$49,'General Basis'!$B$50)))))))))))))</f>
        <v/>
      </c>
      <c r="BI4849" s="744" t="str">
        <f t="shared" si="1677"/>
        <v/>
      </c>
      <c r="BJ4849" s="747" t="str">
        <f t="shared" si="1684"/>
        <v/>
      </c>
      <c r="BK4849" s="498" t="str">
        <f t="shared" si="1678"/>
        <v/>
      </c>
      <c r="BL4849" s="498" t="str">
        <f t="shared" si="1679"/>
        <v/>
      </c>
    </row>
    <row r="4850" spans="1:64" x14ac:dyDescent="0.25">
      <c r="A4850" s="762">
        <f t="shared" si="1680"/>
        <v>4845</v>
      </c>
      <c r="B4850" s="229"/>
      <c r="C4850" s="223"/>
      <c r="D4850" s="224"/>
      <c r="E4850" s="225"/>
      <c r="F4850" s="1036" t="str">
        <f t="shared" si="1686"/>
        <v/>
      </c>
      <c r="G4850" s="1037" t="str">
        <f t="shared" si="1681"/>
        <v/>
      </c>
      <c r="H4850" s="225"/>
      <c r="I4850" s="1013"/>
      <c r="J4850" s="1013"/>
      <c r="K4850" s="1028"/>
      <c r="L4850" s="1035" t="str">
        <f t="shared" si="1685"/>
        <v/>
      </c>
      <c r="S4850" s="498"/>
      <c r="AJ4850" s="498"/>
      <c r="AM4850" s="498">
        <f t="shared" si="1666"/>
        <v>0</v>
      </c>
      <c r="AN4850" s="498">
        <f t="shared" si="1667"/>
        <v>0</v>
      </c>
      <c r="AO4850" s="498">
        <f t="shared" si="1668"/>
        <v>0</v>
      </c>
      <c r="AP4850" s="498">
        <f t="shared" si="1687"/>
        <v>0</v>
      </c>
      <c r="AQ4850" s="498">
        <f t="shared" si="1682"/>
        <v>0</v>
      </c>
      <c r="AU4850" s="498">
        <f t="shared" si="1669"/>
        <v>0</v>
      </c>
      <c r="AV4850" s="498">
        <f t="shared" si="1670"/>
        <v>0</v>
      </c>
      <c r="AW4850" s="498">
        <f t="shared" si="1671"/>
        <v>0</v>
      </c>
      <c r="AX4850" s="498">
        <f t="shared" si="1672"/>
        <v>0</v>
      </c>
      <c r="AY4850" s="498">
        <f t="shared" si="1673"/>
        <v>0</v>
      </c>
      <c r="BB4850" s="498" t="str">
        <f t="shared" si="1674"/>
        <v/>
      </c>
      <c r="BC4850" s="743" t="str">
        <f t="shared" si="1675"/>
        <v/>
      </c>
      <c r="BD4850" s="743" t="str">
        <f t="shared" si="1676"/>
        <v/>
      </c>
      <c r="BE4850" s="743" t="str">
        <f>IF(D4850="","",VLOOKUP(D4850,'General Basis'!$J$39:$K$46,2,0))</f>
        <v/>
      </c>
      <c r="BF4850" s="744" t="str">
        <f>IF(D4850="","",VLOOKUP(D4850,'General Basis'!$J$39:$L$46,3,0))</f>
        <v/>
      </c>
      <c r="BG4850" s="744" t="str">
        <f t="shared" si="1683"/>
        <v/>
      </c>
      <c r="BH4850" s="744" t="str">
        <f>IF(G4850="","",IF(BF4850="Abu Dhabi",IF(G4850&lt;18,'General Basis'!$C$39,IF(G4850&lt;41,'General Basis'!$C$40,IF(G4850&lt;60,'General Basis'!$C$41,IF(G4850&lt;65,'General Basis'!$C$42,'General Basis'!$C$43)))),IF(G4850&lt;11,'General Basis'!$B$39,IF(G4850&lt;18,'General Basis'!$B$40,IF(G4850&lt;26,'General Basis'!$B$41,IF(G4850&lt;31,'General Basis'!$B$42,IF(G4850&lt;36,'General Basis'!$B$43,IF(G4850&lt;41,'General Basis'!$B$44,IF(G4850&lt;46,'General Basis'!$B$45,IF(G4850&lt;51,'General Basis'!$B$46,IF(G4850&lt;56,'General Basis'!$B$47,IF(G4850&lt;60,'General Basis'!$B$48,IF(G4850&lt;65,'General Basis'!$B$49,'General Basis'!$B$50)))))))))))))</f>
        <v/>
      </c>
      <c r="BI4850" s="744" t="str">
        <f t="shared" si="1677"/>
        <v/>
      </c>
      <c r="BJ4850" s="747" t="str">
        <f t="shared" si="1684"/>
        <v/>
      </c>
      <c r="BK4850" s="498" t="str">
        <f t="shared" si="1678"/>
        <v/>
      </c>
      <c r="BL4850" s="498" t="str">
        <f t="shared" si="1679"/>
        <v/>
      </c>
    </row>
    <row r="4851" spans="1:64" x14ac:dyDescent="0.25">
      <c r="A4851" s="762">
        <f t="shared" si="1680"/>
        <v>4846</v>
      </c>
      <c r="B4851" s="229"/>
      <c r="C4851" s="223"/>
      <c r="D4851" s="224"/>
      <c r="E4851" s="225"/>
      <c r="F4851" s="1036" t="str">
        <f t="shared" si="1686"/>
        <v/>
      </c>
      <c r="G4851" s="1037" t="str">
        <f t="shared" si="1681"/>
        <v/>
      </c>
      <c r="H4851" s="225"/>
      <c r="I4851" s="1013"/>
      <c r="J4851" s="1013"/>
      <c r="K4851" s="1028"/>
      <c r="L4851" s="1035" t="str">
        <f t="shared" si="1685"/>
        <v/>
      </c>
      <c r="S4851" s="498"/>
      <c r="AJ4851" s="498"/>
      <c r="AM4851" s="498">
        <f t="shared" si="1666"/>
        <v>0</v>
      </c>
      <c r="AN4851" s="498">
        <f t="shared" si="1667"/>
        <v>0</v>
      </c>
      <c r="AO4851" s="498">
        <f t="shared" si="1668"/>
        <v>0</v>
      </c>
      <c r="AP4851" s="498">
        <f t="shared" si="1687"/>
        <v>0</v>
      </c>
      <c r="AQ4851" s="498">
        <f t="shared" si="1682"/>
        <v>0</v>
      </c>
      <c r="AU4851" s="498">
        <f t="shared" si="1669"/>
        <v>0</v>
      </c>
      <c r="AV4851" s="498">
        <f t="shared" si="1670"/>
        <v>0</v>
      </c>
      <c r="AW4851" s="498">
        <f t="shared" si="1671"/>
        <v>0</v>
      </c>
      <c r="AX4851" s="498">
        <f t="shared" si="1672"/>
        <v>0</v>
      </c>
      <c r="AY4851" s="498">
        <f t="shared" si="1673"/>
        <v>0</v>
      </c>
      <c r="BB4851" s="498" t="str">
        <f t="shared" si="1674"/>
        <v/>
      </c>
      <c r="BC4851" s="743" t="str">
        <f t="shared" si="1675"/>
        <v/>
      </c>
      <c r="BD4851" s="743" t="str">
        <f t="shared" si="1676"/>
        <v/>
      </c>
      <c r="BE4851" s="743" t="str">
        <f>IF(D4851="","",VLOOKUP(D4851,'General Basis'!$J$39:$K$46,2,0))</f>
        <v/>
      </c>
      <c r="BF4851" s="744" t="str">
        <f>IF(D4851="","",VLOOKUP(D4851,'General Basis'!$J$39:$L$46,3,0))</f>
        <v/>
      </c>
      <c r="BG4851" s="744" t="str">
        <f t="shared" si="1683"/>
        <v/>
      </c>
      <c r="BH4851" s="744" t="str">
        <f>IF(G4851="","",IF(BF4851="Abu Dhabi",IF(G4851&lt;18,'General Basis'!$C$39,IF(G4851&lt;41,'General Basis'!$C$40,IF(G4851&lt;60,'General Basis'!$C$41,IF(G4851&lt;65,'General Basis'!$C$42,'General Basis'!$C$43)))),IF(G4851&lt;11,'General Basis'!$B$39,IF(G4851&lt;18,'General Basis'!$B$40,IF(G4851&lt;26,'General Basis'!$B$41,IF(G4851&lt;31,'General Basis'!$B$42,IF(G4851&lt;36,'General Basis'!$B$43,IF(G4851&lt;41,'General Basis'!$B$44,IF(G4851&lt;46,'General Basis'!$B$45,IF(G4851&lt;51,'General Basis'!$B$46,IF(G4851&lt;56,'General Basis'!$B$47,IF(G4851&lt;60,'General Basis'!$B$48,IF(G4851&lt;65,'General Basis'!$B$49,'General Basis'!$B$50)))))))))))))</f>
        <v/>
      </c>
      <c r="BI4851" s="744" t="str">
        <f t="shared" si="1677"/>
        <v/>
      </c>
      <c r="BJ4851" s="747" t="str">
        <f t="shared" si="1684"/>
        <v/>
      </c>
      <c r="BK4851" s="498" t="str">
        <f t="shared" si="1678"/>
        <v/>
      </c>
      <c r="BL4851" s="498" t="str">
        <f t="shared" si="1679"/>
        <v/>
      </c>
    </row>
    <row r="4852" spans="1:64" x14ac:dyDescent="0.25">
      <c r="A4852" s="762">
        <f t="shared" si="1680"/>
        <v>4847</v>
      </c>
      <c r="B4852" s="229"/>
      <c r="C4852" s="223"/>
      <c r="D4852" s="224"/>
      <c r="E4852" s="225"/>
      <c r="F4852" s="1036" t="str">
        <f t="shared" si="1686"/>
        <v/>
      </c>
      <c r="G4852" s="1037" t="str">
        <f t="shared" si="1681"/>
        <v/>
      </c>
      <c r="H4852" s="225"/>
      <c r="I4852" s="1013"/>
      <c r="J4852" s="1013"/>
      <c r="K4852" s="1028"/>
      <c r="L4852" s="1035" t="str">
        <f t="shared" si="1685"/>
        <v/>
      </c>
      <c r="S4852" s="498"/>
      <c r="AJ4852" s="498"/>
      <c r="AM4852" s="498">
        <f t="shared" si="1666"/>
        <v>0</v>
      </c>
      <c r="AN4852" s="498">
        <f t="shared" si="1667"/>
        <v>0</v>
      </c>
      <c r="AO4852" s="498">
        <f t="shared" si="1668"/>
        <v>0</v>
      </c>
      <c r="AP4852" s="498">
        <f t="shared" si="1687"/>
        <v>0</v>
      </c>
      <c r="AQ4852" s="498">
        <f t="shared" si="1682"/>
        <v>0</v>
      </c>
      <c r="AU4852" s="498">
        <f t="shared" si="1669"/>
        <v>0</v>
      </c>
      <c r="AV4852" s="498">
        <f t="shared" si="1670"/>
        <v>0</v>
      </c>
      <c r="AW4852" s="498">
        <f t="shared" si="1671"/>
        <v>0</v>
      </c>
      <c r="AX4852" s="498">
        <f t="shared" si="1672"/>
        <v>0</v>
      </c>
      <c r="AY4852" s="498">
        <f t="shared" si="1673"/>
        <v>0</v>
      </c>
      <c r="BB4852" s="498" t="str">
        <f t="shared" si="1674"/>
        <v/>
      </c>
      <c r="BC4852" s="743" t="str">
        <f t="shared" si="1675"/>
        <v/>
      </c>
      <c r="BD4852" s="743" t="str">
        <f t="shared" si="1676"/>
        <v/>
      </c>
      <c r="BE4852" s="743" t="str">
        <f>IF(D4852="","",VLOOKUP(D4852,'General Basis'!$J$39:$K$46,2,0))</f>
        <v/>
      </c>
      <c r="BF4852" s="744" t="str">
        <f>IF(D4852="","",VLOOKUP(D4852,'General Basis'!$J$39:$L$46,3,0))</f>
        <v/>
      </c>
      <c r="BG4852" s="744" t="str">
        <f t="shared" si="1683"/>
        <v/>
      </c>
      <c r="BH4852" s="744" t="str">
        <f>IF(G4852="","",IF(BF4852="Abu Dhabi",IF(G4852&lt;18,'General Basis'!$C$39,IF(G4852&lt;41,'General Basis'!$C$40,IF(G4852&lt;60,'General Basis'!$C$41,IF(G4852&lt;65,'General Basis'!$C$42,'General Basis'!$C$43)))),IF(G4852&lt;11,'General Basis'!$B$39,IF(G4852&lt;18,'General Basis'!$B$40,IF(G4852&lt;26,'General Basis'!$B$41,IF(G4852&lt;31,'General Basis'!$B$42,IF(G4852&lt;36,'General Basis'!$B$43,IF(G4852&lt;41,'General Basis'!$B$44,IF(G4852&lt;46,'General Basis'!$B$45,IF(G4852&lt;51,'General Basis'!$B$46,IF(G4852&lt;56,'General Basis'!$B$47,IF(G4852&lt;60,'General Basis'!$B$48,IF(G4852&lt;65,'General Basis'!$B$49,'General Basis'!$B$50)))))))))))))</f>
        <v/>
      </c>
      <c r="BI4852" s="744" t="str">
        <f t="shared" si="1677"/>
        <v/>
      </c>
      <c r="BJ4852" s="747" t="str">
        <f t="shared" si="1684"/>
        <v/>
      </c>
      <c r="BK4852" s="498" t="str">
        <f t="shared" si="1678"/>
        <v/>
      </c>
      <c r="BL4852" s="498" t="str">
        <f t="shared" si="1679"/>
        <v/>
      </c>
    </row>
    <row r="4853" spans="1:64" x14ac:dyDescent="0.25">
      <c r="A4853" s="762">
        <f t="shared" si="1680"/>
        <v>4848</v>
      </c>
      <c r="B4853" s="229"/>
      <c r="C4853" s="223"/>
      <c r="D4853" s="224"/>
      <c r="E4853" s="225"/>
      <c r="F4853" s="1036" t="str">
        <f t="shared" si="1686"/>
        <v/>
      </c>
      <c r="G4853" s="1037" t="str">
        <f t="shared" si="1681"/>
        <v/>
      </c>
      <c r="H4853" s="225"/>
      <c r="I4853" s="1013"/>
      <c r="J4853" s="1013"/>
      <c r="K4853" s="1028"/>
      <c r="L4853" s="1035" t="str">
        <f t="shared" si="1685"/>
        <v/>
      </c>
      <c r="S4853" s="498"/>
      <c r="AJ4853" s="498"/>
      <c r="AM4853" s="498">
        <f t="shared" si="1666"/>
        <v>0</v>
      </c>
      <c r="AN4853" s="498">
        <f t="shared" si="1667"/>
        <v>0</v>
      </c>
      <c r="AO4853" s="498">
        <f t="shared" si="1668"/>
        <v>0</v>
      </c>
      <c r="AP4853" s="498">
        <f t="shared" si="1687"/>
        <v>0</v>
      </c>
      <c r="AQ4853" s="498">
        <f t="shared" si="1682"/>
        <v>0</v>
      </c>
      <c r="AU4853" s="498">
        <f t="shared" si="1669"/>
        <v>0</v>
      </c>
      <c r="AV4853" s="498">
        <f t="shared" si="1670"/>
        <v>0</v>
      </c>
      <c r="AW4853" s="498">
        <f t="shared" si="1671"/>
        <v>0</v>
      </c>
      <c r="AX4853" s="498">
        <f t="shared" si="1672"/>
        <v>0</v>
      </c>
      <c r="AY4853" s="498">
        <f t="shared" si="1673"/>
        <v>0</v>
      </c>
      <c r="BB4853" s="498" t="str">
        <f t="shared" si="1674"/>
        <v/>
      </c>
      <c r="BC4853" s="743" t="str">
        <f t="shared" si="1675"/>
        <v/>
      </c>
      <c r="BD4853" s="743" t="str">
        <f t="shared" si="1676"/>
        <v/>
      </c>
      <c r="BE4853" s="743" t="str">
        <f>IF(D4853="","",VLOOKUP(D4853,'General Basis'!$J$39:$K$46,2,0))</f>
        <v/>
      </c>
      <c r="BF4853" s="744" t="str">
        <f>IF(D4853="","",VLOOKUP(D4853,'General Basis'!$J$39:$L$46,3,0))</f>
        <v/>
      </c>
      <c r="BG4853" s="744" t="str">
        <f t="shared" si="1683"/>
        <v/>
      </c>
      <c r="BH4853" s="744" t="str">
        <f>IF(G4853="","",IF(BF4853="Abu Dhabi",IF(G4853&lt;18,'General Basis'!$C$39,IF(G4853&lt;41,'General Basis'!$C$40,IF(G4853&lt;60,'General Basis'!$C$41,IF(G4853&lt;65,'General Basis'!$C$42,'General Basis'!$C$43)))),IF(G4853&lt;11,'General Basis'!$B$39,IF(G4853&lt;18,'General Basis'!$B$40,IF(G4853&lt;26,'General Basis'!$B$41,IF(G4853&lt;31,'General Basis'!$B$42,IF(G4853&lt;36,'General Basis'!$B$43,IF(G4853&lt;41,'General Basis'!$B$44,IF(G4853&lt;46,'General Basis'!$B$45,IF(G4853&lt;51,'General Basis'!$B$46,IF(G4853&lt;56,'General Basis'!$B$47,IF(G4853&lt;60,'General Basis'!$B$48,IF(G4853&lt;65,'General Basis'!$B$49,'General Basis'!$B$50)))))))))))))</f>
        <v/>
      </c>
      <c r="BI4853" s="744" t="str">
        <f t="shared" si="1677"/>
        <v/>
      </c>
      <c r="BJ4853" s="747" t="str">
        <f t="shared" si="1684"/>
        <v/>
      </c>
      <c r="BK4853" s="498" t="str">
        <f t="shared" si="1678"/>
        <v/>
      </c>
      <c r="BL4853" s="498" t="str">
        <f t="shared" si="1679"/>
        <v/>
      </c>
    </row>
    <row r="4854" spans="1:64" x14ac:dyDescent="0.25">
      <c r="A4854" s="762">
        <f t="shared" si="1680"/>
        <v>4849</v>
      </c>
      <c r="B4854" s="229"/>
      <c r="C4854" s="223"/>
      <c r="D4854" s="224"/>
      <c r="E4854" s="225"/>
      <c r="F4854" s="1036" t="str">
        <f t="shared" si="1686"/>
        <v/>
      </c>
      <c r="G4854" s="1037" t="str">
        <f t="shared" si="1681"/>
        <v/>
      </c>
      <c r="H4854" s="225"/>
      <c r="I4854" s="1013"/>
      <c r="J4854" s="1013"/>
      <c r="K4854" s="1028"/>
      <c r="L4854" s="1035" t="str">
        <f t="shared" si="1685"/>
        <v/>
      </c>
      <c r="S4854" s="498"/>
      <c r="AJ4854" s="498"/>
      <c r="AM4854" s="498">
        <f t="shared" si="1666"/>
        <v>0</v>
      </c>
      <c r="AN4854" s="498">
        <f t="shared" si="1667"/>
        <v>0</v>
      </c>
      <c r="AO4854" s="498">
        <f t="shared" si="1668"/>
        <v>0</v>
      </c>
      <c r="AP4854" s="498">
        <f t="shared" si="1687"/>
        <v>0</v>
      </c>
      <c r="AQ4854" s="498">
        <f t="shared" si="1682"/>
        <v>0</v>
      </c>
      <c r="AU4854" s="498">
        <f t="shared" si="1669"/>
        <v>0</v>
      </c>
      <c r="AV4854" s="498">
        <f t="shared" si="1670"/>
        <v>0</v>
      </c>
      <c r="AW4854" s="498">
        <f t="shared" si="1671"/>
        <v>0</v>
      </c>
      <c r="AX4854" s="498">
        <f t="shared" si="1672"/>
        <v>0</v>
      </c>
      <c r="AY4854" s="498">
        <f t="shared" si="1673"/>
        <v>0</v>
      </c>
      <c r="BB4854" s="498" t="str">
        <f t="shared" si="1674"/>
        <v/>
      </c>
      <c r="BC4854" s="743" t="str">
        <f t="shared" si="1675"/>
        <v/>
      </c>
      <c r="BD4854" s="743" t="str">
        <f t="shared" si="1676"/>
        <v/>
      </c>
      <c r="BE4854" s="743" t="str">
        <f>IF(D4854="","",VLOOKUP(D4854,'General Basis'!$J$39:$K$46,2,0))</f>
        <v/>
      </c>
      <c r="BF4854" s="744" t="str">
        <f>IF(D4854="","",VLOOKUP(D4854,'General Basis'!$J$39:$L$46,3,0))</f>
        <v/>
      </c>
      <c r="BG4854" s="744" t="str">
        <f t="shared" si="1683"/>
        <v/>
      </c>
      <c r="BH4854" s="744" t="str">
        <f>IF(G4854="","",IF(BF4854="Abu Dhabi",IF(G4854&lt;18,'General Basis'!$C$39,IF(G4854&lt;41,'General Basis'!$C$40,IF(G4854&lt;60,'General Basis'!$C$41,IF(G4854&lt;65,'General Basis'!$C$42,'General Basis'!$C$43)))),IF(G4854&lt;11,'General Basis'!$B$39,IF(G4854&lt;18,'General Basis'!$B$40,IF(G4854&lt;26,'General Basis'!$B$41,IF(G4854&lt;31,'General Basis'!$B$42,IF(G4854&lt;36,'General Basis'!$B$43,IF(G4854&lt;41,'General Basis'!$B$44,IF(G4854&lt;46,'General Basis'!$B$45,IF(G4854&lt;51,'General Basis'!$B$46,IF(G4854&lt;56,'General Basis'!$B$47,IF(G4854&lt;60,'General Basis'!$B$48,IF(G4854&lt;65,'General Basis'!$B$49,'General Basis'!$B$50)))))))))))))</f>
        <v/>
      </c>
      <c r="BI4854" s="744" t="str">
        <f t="shared" si="1677"/>
        <v/>
      </c>
      <c r="BJ4854" s="747" t="str">
        <f t="shared" si="1684"/>
        <v/>
      </c>
      <c r="BK4854" s="498" t="str">
        <f t="shared" si="1678"/>
        <v/>
      </c>
      <c r="BL4854" s="498" t="str">
        <f t="shared" si="1679"/>
        <v/>
      </c>
    </row>
    <row r="4855" spans="1:64" x14ac:dyDescent="0.25">
      <c r="A4855" s="762">
        <f t="shared" si="1680"/>
        <v>4850</v>
      </c>
      <c r="B4855" s="229"/>
      <c r="C4855" s="223"/>
      <c r="D4855" s="224"/>
      <c r="E4855" s="225"/>
      <c r="F4855" s="1036" t="str">
        <f t="shared" si="1686"/>
        <v/>
      </c>
      <c r="G4855" s="1037" t="str">
        <f t="shared" si="1681"/>
        <v/>
      </c>
      <c r="H4855" s="225"/>
      <c r="I4855" s="1013"/>
      <c r="J4855" s="1013"/>
      <c r="K4855" s="1028"/>
      <c r="L4855" s="1035" t="str">
        <f t="shared" si="1685"/>
        <v/>
      </c>
      <c r="S4855" s="498"/>
      <c r="AJ4855" s="498"/>
      <c r="AM4855" s="498">
        <f t="shared" si="1666"/>
        <v>0</v>
      </c>
      <c r="AN4855" s="498">
        <f t="shared" si="1667"/>
        <v>0</v>
      </c>
      <c r="AO4855" s="498">
        <f t="shared" si="1668"/>
        <v>0</v>
      </c>
      <c r="AP4855" s="498">
        <f t="shared" si="1687"/>
        <v>0</v>
      </c>
      <c r="AQ4855" s="498">
        <f t="shared" si="1682"/>
        <v>0</v>
      </c>
      <c r="AU4855" s="498">
        <f t="shared" si="1669"/>
        <v>0</v>
      </c>
      <c r="AV4855" s="498">
        <f t="shared" si="1670"/>
        <v>0</v>
      </c>
      <c r="AW4855" s="498">
        <f t="shared" si="1671"/>
        <v>0</v>
      </c>
      <c r="AX4855" s="498">
        <f t="shared" si="1672"/>
        <v>0</v>
      </c>
      <c r="AY4855" s="498">
        <f t="shared" si="1673"/>
        <v>0</v>
      </c>
      <c r="BB4855" s="498" t="str">
        <f t="shared" si="1674"/>
        <v/>
      </c>
      <c r="BC4855" s="743" t="str">
        <f t="shared" si="1675"/>
        <v/>
      </c>
      <c r="BD4855" s="743" t="str">
        <f t="shared" si="1676"/>
        <v/>
      </c>
      <c r="BE4855" s="743" t="str">
        <f>IF(D4855="","",VLOOKUP(D4855,'General Basis'!$J$39:$K$46,2,0))</f>
        <v/>
      </c>
      <c r="BF4855" s="744" t="str">
        <f>IF(D4855="","",VLOOKUP(D4855,'General Basis'!$J$39:$L$46,3,0))</f>
        <v/>
      </c>
      <c r="BG4855" s="744" t="str">
        <f t="shared" si="1683"/>
        <v/>
      </c>
      <c r="BH4855" s="744" t="str">
        <f>IF(G4855="","",IF(BF4855="Abu Dhabi",IF(G4855&lt;18,'General Basis'!$C$39,IF(G4855&lt;41,'General Basis'!$C$40,IF(G4855&lt;60,'General Basis'!$C$41,IF(G4855&lt;65,'General Basis'!$C$42,'General Basis'!$C$43)))),IF(G4855&lt;11,'General Basis'!$B$39,IF(G4855&lt;18,'General Basis'!$B$40,IF(G4855&lt;26,'General Basis'!$B$41,IF(G4855&lt;31,'General Basis'!$B$42,IF(G4855&lt;36,'General Basis'!$B$43,IF(G4855&lt;41,'General Basis'!$B$44,IF(G4855&lt;46,'General Basis'!$B$45,IF(G4855&lt;51,'General Basis'!$B$46,IF(G4855&lt;56,'General Basis'!$B$47,IF(G4855&lt;60,'General Basis'!$B$48,IF(G4855&lt;65,'General Basis'!$B$49,'General Basis'!$B$50)))))))))))))</f>
        <v/>
      </c>
      <c r="BI4855" s="744" t="str">
        <f t="shared" si="1677"/>
        <v/>
      </c>
      <c r="BJ4855" s="747" t="str">
        <f t="shared" si="1684"/>
        <v/>
      </c>
      <c r="BK4855" s="498" t="str">
        <f t="shared" si="1678"/>
        <v/>
      </c>
      <c r="BL4855" s="498" t="str">
        <f t="shared" si="1679"/>
        <v/>
      </c>
    </row>
    <row r="4856" spans="1:64" x14ac:dyDescent="0.25">
      <c r="A4856" s="762">
        <f t="shared" si="1680"/>
        <v>4851</v>
      </c>
      <c r="B4856" s="229"/>
      <c r="C4856" s="223"/>
      <c r="D4856" s="224"/>
      <c r="E4856" s="225"/>
      <c r="F4856" s="1036" t="str">
        <f t="shared" si="1686"/>
        <v/>
      </c>
      <c r="G4856" s="1037" t="str">
        <f t="shared" si="1681"/>
        <v/>
      </c>
      <c r="H4856" s="225"/>
      <c r="I4856" s="1013"/>
      <c r="J4856" s="1013"/>
      <c r="K4856" s="1028"/>
      <c r="L4856" s="1035" t="str">
        <f t="shared" si="1685"/>
        <v/>
      </c>
      <c r="S4856" s="498"/>
      <c r="AJ4856" s="498"/>
      <c r="AM4856" s="498">
        <f t="shared" si="1666"/>
        <v>0</v>
      </c>
      <c r="AN4856" s="498">
        <f t="shared" si="1667"/>
        <v>0</v>
      </c>
      <c r="AO4856" s="498">
        <f t="shared" si="1668"/>
        <v>0</v>
      </c>
      <c r="AP4856" s="498">
        <f t="shared" si="1687"/>
        <v>0</v>
      </c>
      <c r="AQ4856" s="498">
        <f t="shared" si="1682"/>
        <v>0</v>
      </c>
      <c r="AU4856" s="498">
        <f t="shared" si="1669"/>
        <v>0</v>
      </c>
      <c r="AV4856" s="498">
        <f t="shared" si="1670"/>
        <v>0</v>
      </c>
      <c r="AW4856" s="498">
        <f t="shared" si="1671"/>
        <v>0</v>
      </c>
      <c r="AX4856" s="498">
        <f t="shared" si="1672"/>
        <v>0</v>
      </c>
      <c r="AY4856" s="498">
        <f t="shared" si="1673"/>
        <v>0</v>
      </c>
      <c r="BB4856" s="498" t="str">
        <f t="shared" si="1674"/>
        <v/>
      </c>
      <c r="BC4856" s="743" t="str">
        <f t="shared" si="1675"/>
        <v/>
      </c>
      <c r="BD4856" s="743" t="str">
        <f t="shared" si="1676"/>
        <v/>
      </c>
      <c r="BE4856" s="743" t="str">
        <f>IF(D4856="","",VLOOKUP(D4856,'General Basis'!$J$39:$K$46,2,0))</f>
        <v/>
      </c>
      <c r="BF4856" s="744" t="str">
        <f>IF(D4856="","",VLOOKUP(D4856,'General Basis'!$J$39:$L$46,3,0))</f>
        <v/>
      </c>
      <c r="BG4856" s="744" t="str">
        <f t="shared" si="1683"/>
        <v/>
      </c>
      <c r="BH4856" s="744" t="str">
        <f>IF(G4856="","",IF(BF4856="Abu Dhabi",IF(G4856&lt;18,'General Basis'!$C$39,IF(G4856&lt;41,'General Basis'!$C$40,IF(G4856&lt;60,'General Basis'!$C$41,IF(G4856&lt;65,'General Basis'!$C$42,'General Basis'!$C$43)))),IF(G4856&lt;11,'General Basis'!$B$39,IF(G4856&lt;18,'General Basis'!$B$40,IF(G4856&lt;26,'General Basis'!$B$41,IF(G4856&lt;31,'General Basis'!$B$42,IF(G4856&lt;36,'General Basis'!$B$43,IF(G4856&lt;41,'General Basis'!$B$44,IF(G4856&lt;46,'General Basis'!$B$45,IF(G4856&lt;51,'General Basis'!$B$46,IF(G4856&lt;56,'General Basis'!$B$47,IF(G4856&lt;60,'General Basis'!$B$48,IF(G4856&lt;65,'General Basis'!$B$49,'General Basis'!$B$50)))))))))))))</f>
        <v/>
      </c>
      <c r="BI4856" s="744" t="str">
        <f t="shared" si="1677"/>
        <v/>
      </c>
      <c r="BJ4856" s="747" t="str">
        <f t="shared" si="1684"/>
        <v/>
      </c>
      <c r="BK4856" s="498" t="str">
        <f t="shared" si="1678"/>
        <v/>
      </c>
      <c r="BL4856" s="498" t="str">
        <f t="shared" si="1679"/>
        <v/>
      </c>
    </row>
    <row r="4857" spans="1:64" x14ac:dyDescent="0.25">
      <c r="A4857" s="762">
        <f t="shared" si="1680"/>
        <v>4852</v>
      </c>
      <c r="B4857" s="229"/>
      <c r="C4857" s="223"/>
      <c r="D4857" s="224"/>
      <c r="E4857" s="225"/>
      <c r="F4857" s="1036" t="str">
        <f t="shared" si="1686"/>
        <v/>
      </c>
      <c r="G4857" s="1037" t="str">
        <f t="shared" si="1681"/>
        <v/>
      </c>
      <c r="H4857" s="225"/>
      <c r="I4857" s="1013"/>
      <c r="J4857" s="1013"/>
      <c r="K4857" s="1028"/>
      <c r="L4857" s="1035" t="str">
        <f t="shared" si="1685"/>
        <v/>
      </c>
      <c r="S4857" s="498"/>
      <c r="AJ4857" s="498"/>
      <c r="AM4857" s="498">
        <f t="shared" si="1666"/>
        <v>0</v>
      </c>
      <c r="AN4857" s="498">
        <f t="shared" si="1667"/>
        <v>0</v>
      </c>
      <c r="AO4857" s="498">
        <f t="shared" si="1668"/>
        <v>0</v>
      </c>
      <c r="AP4857" s="498">
        <f t="shared" si="1687"/>
        <v>0</v>
      </c>
      <c r="AQ4857" s="498">
        <f t="shared" si="1682"/>
        <v>0</v>
      </c>
      <c r="AU4857" s="498">
        <f t="shared" si="1669"/>
        <v>0</v>
      </c>
      <c r="AV4857" s="498">
        <f t="shared" si="1670"/>
        <v>0</v>
      </c>
      <c r="AW4857" s="498">
        <f t="shared" si="1671"/>
        <v>0</v>
      </c>
      <c r="AX4857" s="498">
        <f t="shared" si="1672"/>
        <v>0</v>
      </c>
      <c r="AY4857" s="498">
        <f t="shared" si="1673"/>
        <v>0</v>
      </c>
      <c r="BB4857" s="498" t="str">
        <f t="shared" si="1674"/>
        <v/>
      </c>
      <c r="BC4857" s="743" t="str">
        <f t="shared" si="1675"/>
        <v/>
      </c>
      <c r="BD4857" s="743" t="str">
        <f t="shared" si="1676"/>
        <v/>
      </c>
      <c r="BE4857" s="743" t="str">
        <f>IF(D4857="","",VLOOKUP(D4857,'General Basis'!$J$39:$K$46,2,0))</f>
        <v/>
      </c>
      <c r="BF4857" s="744" t="str">
        <f>IF(D4857="","",VLOOKUP(D4857,'General Basis'!$J$39:$L$46,3,0))</f>
        <v/>
      </c>
      <c r="BG4857" s="744" t="str">
        <f t="shared" si="1683"/>
        <v/>
      </c>
      <c r="BH4857" s="744" t="str">
        <f>IF(G4857="","",IF(BF4857="Abu Dhabi",IF(G4857&lt;18,'General Basis'!$C$39,IF(G4857&lt;41,'General Basis'!$C$40,IF(G4857&lt;60,'General Basis'!$C$41,IF(G4857&lt;65,'General Basis'!$C$42,'General Basis'!$C$43)))),IF(G4857&lt;11,'General Basis'!$B$39,IF(G4857&lt;18,'General Basis'!$B$40,IF(G4857&lt;26,'General Basis'!$B$41,IF(G4857&lt;31,'General Basis'!$B$42,IF(G4857&lt;36,'General Basis'!$B$43,IF(G4857&lt;41,'General Basis'!$B$44,IF(G4857&lt;46,'General Basis'!$B$45,IF(G4857&lt;51,'General Basis'!$B$46,IF(G4857&lt;56,'General Basis'!$B$47,IF(G4857&lt;60,'General Basis'!$B$48,IF(G4857&lt;65,'General Basis'!$B$49,'General Basis'!$B$50)))))))))))))</f>
        <v/>
      </c>
      <c r="BI4857" s="744" t="str">
        <f t="shared" si="1677"/>
        <v/>
      </c>
      <c r="BJ4857" s="747" t="str">
        <f t="shared" si="1684"/>
        <v/>
      </c>
      <c r="BK4857" s="498" t="str">
        <f t="shared" si="1678"/>
        <v/>
      </c>
      <c r="BL4857" s="498" t="str">
        <f t="shared" si="1679"/>
        <v/>
      </c>
    </row>
    <row r="4858" spans="1:64" x14ac:dyDescent="0.25">
      <c r="A4858" s="762">
        <f t="shared" si="1680"/>
        <v>4853</v>
      </c>
      <c r="B4858" s="229"/>
      <c r="C4858" s="223"/>
      <c r="D4858" s="224"/>
      <c r="E4858" s="225"/>
      <c r="F4858" s="1036" t="str">
        <f t="shared" si="1686"/>
        <v/>
      </c>
      <c r="G4858" s="1037" t="str">
        <f t="shared" si="1681"/>
        <v/>
      </c>
      <c r="H4858" s="225"/>
      <c r="I4858" s="1013"/>
      <c r="J4858" s="1013"/>
      <c r="K4858" s="1028"/>
      <c r="L4858" s="1035" t="str">
        <f t="shared" si="1685"/>
        <v/>
      </c>
      <c r="S4858" s="498"/>
      <c r="AJ4858" s="498"/>
      <c r="AM4858" s="498">
        <f t="shared" si="1666"/>
        <v>0</v>
      </c>
      <c r="AN4858" s="498">
        <f t="shared" si="1667"/>
        <v>0</v>
      </c>
      <c r="AO4858" s="498">
        <f t="shared" si="1668"/>
        <v>0</v>
      </c>
      <c r="AP4858" s="498">
        <f t="shared" si="1687"/>
        <v>0</v>
      </c>
      <c r="AQ4858" s="498">
        <f t="shared" si="1682"/>
        <v>0</v>
      </c>
      <c r="AU4858" s="498">
        <f t="shared" si="1669"/>
        <v>0</v>
      </c>
      <c r="AV4858" s="498">
        <f t="shared" si="1670"/>
        <v>0</v>
      </c>
      <c r="AW4858" s="498">
        <f t="shared" si="1671"/>
        <v>0</v>
      </c>
      <c r="AX4858" s="498">
        <f t="shared" si="1672"/>
        <v>0</v>
      </c>
      <c r="AY4858" s="498">
        <f t="shared" si="1673"/>
        <v>0</v>
      </c>
      <c r="BB4858" s="498" t="str">
        <f t="shared" si="1674"/>
        <v/>
      </c>
      <c r="BC4858" s="743" t="str">
        <f t="shared" si="1675"/>
        <v/>
      </c>
      <c r="BD4858" s="743" t="str">
        <f t="shared" si="1676"/>
        <v/>
      </c>
      <c r="BE4858" s="743" t="str">
        <f>IF(D4858="","",VLOOKUP(D4858,'General Basis'!$J$39:$K$46,2,0))</f>
        <v/>
      </c>
      <c r="BF4858" s="744" t="str">
        <f>IF(D4858="","",VLOOKUP(D4858,'General Basis'!$J$39:$L$46,3,0))</f>
        <v/>
      </c>
      <c r="BG4858" s="744" t="str">
        <f t="shared" si="1683"/>
        <v/>
      </c>
      <c r="BH4858" s="744" t="str">
        <f>IF(G4858="","",IF(BF4858="Abu Dhabi",IF(G4858&lt;18,'General Basis'!$C$39,IF(G4858&lt;41,'General Basis'!$C$40,IF(G4858&lt;60,'General Basis'!$C$41,IF(G4858&lt;65,'General Basis'!$C$42,'General Basis'!$C$43)))),IF(G4858&lt;11,'General Basis'!$B$39,IF(G4858&lt;18,'General Basis'!$B$40,IF(G4858&lt;26,'General Basis'!$B$41,IF(G4858&lt;31,'General Basis'!$B$42,IF(G4858&lt;36,'General Basis'!$B$43,IF(G4858&lt;41,'General Basis'!$B$44,IF(G4858&lt;46,'General Basis'!$B$45,IF(G4858&lt;51,'General Basis'!$B$46,IF(G4858&lt;56,'General Basis'!$B$47,IF(G4858&lt;60,'General Basis'!$B$48,IF(G4858&lt;65,'General Basis'!$B$49,'General Basis'!$B$50)))))))))))))</f>
        <v/>
      </c>
      <c r="BI4858" s="744" t="str">
        <f t="shared" si="1677"/>
        <v/>
      </c>
      <c r="BJ4858" s="747" t="str">
        <f t="shared" si="1684"/>
        <v/>
      </c>
      <c r="BK4858" s="498" t="str">
        <f t="shared" si="1678"/>
        <v/>
      </c>
      <c r="BL4858" s="498" t="str">
        <f t="shared" si="1679"/>
        <v/>
      </c>
    </row>
    <row r="4859" spans="1:64" x14ac:dyDescent="0.25">
      <c r="A4859" s="762">
        <f t="shared" si="1680"/>
        <v>4854</v>
      </c>
      <c r="B4859" s="229"/>
      <c r="C4859" s="223"/>
      <c r="D4859" s="224"/>
      <c r="E4859" s="225"/>
      <c r="F4859" s="1036" t="str">
        <f t="shared" si="1686"/>
        <v/>
      </c>
      <c r="G4859" s="1037" t="str">
        <f t="shared" si="1681"/>
        <v/>
      </c>
      <c r="H4859" s="225"/>
      <c r="I4859" s="1013"/>
      <c r="J4859" s="1013"/>
      <c r="K4859" s="1028"/>
      <c r="L4859" s="1035" t="str">
        <f t="shared" si="1685"/>
        <v/>
      </c>
      <c r="S4859" s="498"/>
      <c r="AJ4859" s="498"/>
      <c r="AM4859" s="498">
        <f t="shared" si="1666"/>
        <v>0</v>
      </c>
      <c r="AN4859" s="498">
        <f t="shared" si="1667"/>
        <v>0</v>
      </c>
      <c r="AO4859" s="498">
        <f t="shared" si="1668"/>
        <v>0</v>
      </c>
      <c r="AP4859" s="498">
        <f t="shared" si="1687"/>
        <v>0</v>
      </c>
      <c r="AQ4859" s="498">
        <f t="shared" si="1682"/>
        <v>0</v>
      </c>
      <c r="AU4859" s="498">
        <f t="shared" si="1669"/>
        <v>0</v>
      </c>
      <c r="AV4859" s="498">
        <f t="shared" si="1670"/>
        <v>0</v>
      </c>
      <c r="AW4859" s="498">
        <f t="shared" si="1671"/>
        <v>0</v>
      </c>
      <c r="AX4859" s="498">
        <f t="shared" si="1672"/>
        <v>0</v>
      </c>
      <c r="AY4859" s="498">
        <f t="shared" si="1673"/>
        <v>0</v>
      </c>
      <c r="BB4859" s="498" t="str">
        <f t="shared" si="1674"/>
        <v/>
      </c>
      <c r="BC4859" s="743" t="str">
        <f t="shared" si="1675"/>
        <v/>
      </c>
      <c r="BD4859" s="743" t="str">
        <f t="shared" si="1676"/>
        <v/>
      </c>
      <c r="BE4859" s="743" t="str">
        <f>IF(D4859="","",VLOOKUP(D4859,'General Basis'!$J$39:$K$46,2,0))</f>
        <v/>
      </c>
      <c r="BF4859" s="744" t="str">
        <f>IF(D4859="","",VLOOKUP(D4859,'General Basis'!$J$39:$L$46,3,0))</f>
        <v/>
      </c>
      <c r="BG4859" s="744" t="str">
        <f t="shared" si="1683"/>
        <v/>
      </c>
      <c r="BH4859" s="744" t="str">
        <f>IF(G4859="","",IF(BF4859="Abu Dhabi",IF(G4859&lt;18,'General Basis'!$C$39,IF(G4859&lt;41,'General Basis'!$C$40,IF(G4859&lt;60,'General Basis'!$C$41,IF(G4859&lt;65,'General Basis'!$C$42,'General Basis'!$C$43)))),IF(G4859&lt;11,'General Basis'!$B$39,IF(G4859&lt;18,'General Basis'!$B$40,IF(G4859&lt;26,'General Basis'!$B$41,IF(G4859&lt;31,'General Basis'!$B$42,IF(G4859&lt;36,'General Basis'!$B$43,IF(G4859&lt;41,'General Basis'!$B$44,IF(G4859&lt;46,'General Basis'!$B$45,IF(G4859&lt;51,'General Basis'!$B$46,IF(G4859&lt;56,'General Basis'!$B$47,IF(G4859&lt;60,'General Basis'!$B$48,IF(G4859&lt;65,'General Basis'!$B$49,'General Basis'!$B$50)))))))))))))</f>
        <v/>
      </c>
      <c r="BI4859" s="744" t="str">
        <f t="shared" si="1677"/>
        <v/>
      </c>
      <c r="BJ4859" s="747" t="str">
        <f t="shared" si="1684"/>
        <v/>
      </c>
      <c r="BK4859" s="498" t="str">
        <f t="shared" si="1678"/>
        <v/>
      </c>
      <c r="BL4859" s="498" t="str">
        <f t="shared" si="1679"/>
        <v/>
      </c>
    </row>
    <row r="4860" spans="1:64" x14ac:dyDescent="0.25">
      <c r="A4860" s="762">
        <f t="shared" si="1680"/>
        <v>4855</v>
      </c>
      <c r="B4860" s="229"/>
      <c r="C4860" s="223"/>
      <c r="D4860" s="224"/>
      <c r="E4860" s="225"/>
      <c r="F4860" s="1036" t="str">
        <f t="shared" si="1686"/>
        <v/>
      </c>
      <c r="G4860" s="1037" t="str">
        <f t="shared" si="1681"/>
        <v/>
      </c>
      <c r="H4860" s="225"/>
      <c r="I4860" s="1013"/>
      <c r="J4860" s="1013"/>
      <c r="K4860" s="1028"/>
      <c r="L4860" s="1035" t="str">
        <f t="shared" si="1685"/>
        <v/>
      </c>
      <c r="S4860" s="498"/>
      <c r="AJ4860" s="498"/>
      <c r="AM4860" s="498">
        <f t="shared" si="1666"/>
        <v>0</v>
      </c>
      <c r="AN4860" s="498">
        <f t="shared" si="1667"/>
        <v>0</v>
      </c>
      <c r="AO4860" s="498">
        <f t="shared" si="1668"/>
        <v>0</v>
      </c>
      <c r="AP4860" s="498">
        <f t="shared" si="1687"/>
        <v>0</v>
      </c>
      <c r="AQ4860" s="498">
        <f t="shared" si="1682"/>
        <v>0</v>
      </c>
      <c r="AU4860" s="498">
        <f t="shared" si="1669"/>
        <v>0</v>
      </c>
      <c r="AV4860" s="498">
        <f t="shared" si="1670"/>
        <v>0</v>
      </c>
      <c r="AW4860" s="498">
        <f t="shared" si="1671"/>
        <v>0</v>
      </c>
      <c r="AX4860" s="498">
        <f t="shared" si="1672"/>
        <v>0</v>
      </c>
      <c r="AY4860" s="498">
        <f t="shared" si="1673"/>
        <v>0</v>
      </c>
      <c r="BB4860" s="498" t="str">
        <f t="shared" si="1674"/>
        <v/>
      </c>
      <c r="BC4860" s="743" t="str">
        <f t="shared" si="1675"/>
        <v/>
      </c>
      <c r="BD4860" s="743" t="str">
        <f t="shared" si="1676"/>
        <v/>
      </c>
      <c r="BE4860" s="743" t="str">
        <f>IF(D4860="","",VLOOKUP(D4860,'General Basis'!$J$39:$K$46,2,0))</f>
        <v/>
      </c>
      <c r="BF4860" s="744" t="str">
        <f>IF(D4860="","",VLOOKUP(D4860,'General Basis'!$J$39:$L$46,3,0))</f>
        <v/>
      </c>
      <c r="BG4860" s="744" t="str">
        <f t="shared" si="1683"/>
        <v/>
      </c>
      <c r="BH4860" s="744" t="str">
        <f>IF(G4860="","",IF(BF4860="Abu Dhabi",IF(G4860&lt;18,'General Basis'!$C$39,IF(G4860&lt;41,'General Basis'!$C$40,IF(G4860&lt;60,'General Basis'!$C$41,IF(G4860&lt;65,'General Basis'!$C$42,'General Basis'!$C$43)))),IF(G4860&lt;11,'General Basis'!$B$39,IF(G4860&lt;18,'General Basis'!$B$40,IF(G4860&lt;26,'General Basis'!$B$41,IF(G4860&lt;31,'General Basis'!$B$42,IF(G4860&lt;36,'General Basis'!$B$43,IF(G4860&lt;41,'General Basis'!$B$44,IF(G4860&lt;46,'General Basis'!$B$45,IF(G4860&lt;51,'General Basis'!$B$46,IF(G4860&lt;56,'General Basis'!$B$47,IF(G4860&lt;60,'General Basis'!$B$48,IF(G4860&lt;65,'General Basis'!$B$49,'General Basis'!$B$50)))))))))))))</f>
        <v/>
      </c>
      <c r="BI4860" s="744" t="str">
        <f t="shared" si="1677"/>
        <v/>
      </c>
      <c r="BJ4860" s="747" t="str">
        <f t="shared" si="1684"/>
        <v/>
      </c>
      <c r="BK4860" s="498" t="str">
        <f t="shared" si="1678"/>
        <v/>
      </c>
      <c r="BL4860" s="498" t="str">
        <f t="shared" si="1679"/>
        <v/>
      </c>
    </row>
    <row r="4861" spans="1:64" x14ac:dyDescent="0.25">
      <c r="A4861" s="762">
        <f t="shared" si="1680"/>
        <v>4856</v>
      </c>
      <c r="B4861" s="229"/>
      <c r="C4861" s="223"/>
      <c r="D4861" s="224"/>
      <c r="E4861" s="225"/>
      <c r="F4861" s="1036" t="str">
        <f t="shared" si="1686"/>
        <v/>
      </c>
      <c r="G4861" s="1037" t="str">
        <f t="shared" si="1681"/>
        <v/>
      </c>
      <c r="H4861" s="225"/>
      <c r="I4861" s="1013"/>
      <c r="J4861" s="1013"/>
      <c r="K4861" s="1028"/>
      <c r="L4861" s="1035" t="str">
        <f t="shared" si="1685"/>
        <v/>
      </c>
      <c r="S4861" s="498"/>
      <c r="AJ4861" s="498"/>
      <c r="AM4861" s="498">
        <f t="shared" si="1666"/>
        <v>0</v>
      </c>
      <c r="AN4861" s="498">
        <f t="shared" si="1667"/>
        <v>0</v>
      </c>
      <c r="AO4861" s="498">
        <f t="shared" si="1668"/>
        <v>0</v>
      </c>
      <c r="AP4861" s="498">
        <f t="shared" si="1687"/>
        <v>0</v>
      </c>
      <c r="AQ4861" s="498">
        <f t="shared" si="1682"/>
        <v>0</v>
      </c>
      <c r="AU4861" s="498">
        <f t="shared" si="1669"/>
        <v>0</v>
      </c>
      <c r="AV4861" s="498">
        <f t="shared" si="1670"/>
        <v>0</v>
      </c>
      <c r="AW4861" s="498">
        <f t="shared" si="1671"/>
        <v>0</v>
      </c>
      <c r="AX4861" s="498">
        <f t="shared" si="1672"/>
        <v>0</v>
      </c>
      <c r="AY4861" s="498">
        <f t="shared" si="1673"/>
        <v>0</v>
      </c>
      <c r="BB4861" s="498" t="str">
        <f t="shared" si="1674"/>
        <v/>
      </c>
      <c r="BC4861" s="743" t="str">
        <f t="shared" si="1675"/>
        <v/>
      </c>
      <c r="BD4861" s="743" t="str">
        <f t="shared" si="1676"/>
        <v/>
      </c>
      <c r="BE4861" s="743" t="str">
        <f>IF(D4861="","",VLOOKUP(D4861,'General Basis'!$J$39:$K$46,2,0))</f>
        <v/>
      </c>
      <c r="BF4861" s="744" t="str">
        <f>IF(D4861="","",VLOOKUP(D4861,'General Basis'!$J$39:$L$46,3,0))</f>
        <v/>
      </c>
      <c r="BG4861" s="744" t="str">
        <f t="shared" si="1683"/>
        <v/>
      </c>
      <c r="BH4861" s="744" t="str">
        <f>IF(G4861="","",IF(BF4861="Abu Dhabi",IF(G4861&lt;18,'General Basis'!$C$39,IF(G4861&lt;41,'General Basis'!$C$40,IF(G4861&lt;60,'General Basis'!$C$41,IF(G4861&lt;65,'General Basis'!$C$42,'General Basis'!$C$43)))),IF(G4861&lt;11,'General Basis'!$B$39,IF(G4861&lt;18,'General Basis'!$B$40,IF(G4861&lt;26,'General Basis'!$B$41,IF(G4861&lt;31,'General Basis'!$B$42,IF(G4861&lt;36,'General Basis'!$B$43,IF(G4861&lt;41,'General Basis'!$B$44,IF(G4861&lt;46,'General Basis'!$B$45,IF(G4861&lt;51,'General Basis'!$B$46,IF(G4861&lt;56,'General Basis'!$B$47,IF(G4861&lt;60,'General Basis'!$B$48,IF(G4861&lt;65,'General Basis'!$B$49,'General Basis'!$B$50)))))))))))))</f>
        <v/>
      </c>
      <c r="BI4861" s="744" t="str">
        <f t="shared" si="1677"/>
        <v/>
      </c>
      <c r="BJ4861" s="747" t="str">
        <f t="shared" si="1684"/>
        <v/>
      </c>
      <c r="BK4861" s="498" t="str">
        <f t="shared" si="1678"/>
        <v/>
      </c>
      <c r="BL4861" s="498" t="str">
        <f t="shared" si="1679"/>
        <v/>
      </c>
    </row>
    <row r="4862" spans="1:64" x14ac:dyDescent="0.25">
      <c r="A4862" s="762">
        <f t="shared" si="1680"/>
        <v>4857</v>
      </c>
      <c r="B4862" s="229"/>
      <c r="C4862" s="223"/>
      <c r="D4862" s="224"/>
      <c r="E4862" s="225"/>
      <c r="F4862" s="1036" t="str">
        <f t="shared" si="1686"/>
        <v/>
      </c>
      <c r="G4862" s="1037" t="str">
        <f t="shared" si="1681"/>
        <v/>
      </c>
      <c r="H4862" s="225"/>
      <c r="I4862" s="1013"/>
      <c r="J4862" s="1013"/>
      <c r="K4862" s="1028"/>
      <c r="L4862" s="1035" t="str">
        <f t="shared" si="1685"/>
        <v/>
      </c>
      <c r="S4862" s="498"/>
      <c r="AJ4862" s="498"/>
      <c r="AM4862" s="498">
        <f t="shared" si="1666"/>
        <v>0</v>
      </c>
      <c r="AN4862" s="498">
        <f t="shared" si="1667"/>
        <v>0</v>
      </c>
      <c r="AO4862" s="498">
        <f t="shared" si="1668"/>
        <v>0</v>
      </c>
      <c r="AP4862" s="498">
        <f t="shared" si="1687"/>
        <v>0</v>
      </c>
      <c r="AQ4862" s="498">
        <f t="shared" si="1682"/>
        <v>0</v>
      </c>
      <c r="AU4862" s="498">
        <f t="shared" si="1669"/>
        <v>0</v>
      </c>
      <c r="AV4862" s="498">
        <f t="shared" si="1670"/>
        <v>0</v>
      </c>
      <c r="AW4862" s="498">
        <f t="shared" si="1671"/>
        <v>0</v>
      </c>
      <c r="AX4862" s="498">
        <f t="shared" si="1672"/>
        <v>0</v>
      </c>
      <c r="AY4862" s="498">
        <f t="shared" si="1673"/>
        <v>0</v>
      </c>
      <c r="BB4862" s="498" t="str">
        <f t="shared" si="1674"/>
        <v/>
      </c>
      <c r="BC4862" s="743" t="str">
        <f t="shared" si="1675"/>
        <v/>
      </c>
      <c r="BD4862" s="743" t="str">
        <f t="shared" si="1676"/>
        <v/>
      </c>
      <c r="BE4862" s="743" t="str">
        <f>IF(D4862="","",VLOOKUP(D4862,'General Basis'!$J$39:$K$46,2,0))</f>
        <v/>
      </c>
      <c r="BF4862" s="744" t="str">
        <f>IF(D4862="","",VLOOKUP(D4862,'General Basis'!$J$39:$L$46,3,0))</f>
        <v/>
      </c>
      <c r="BG4862" s="744" t="str">
        <f t="shared" si="1683"/>
        <v/>
      </c>
      <c r="BH4862" s="744" t="str">
        <f>IF(G4862="","",IF(BF4862="Abu Dhabi",IF(G4862&lt;18,'General Basis'!$C$39,IF(G4862&lt;41,'General Basis'!$C$40,IF(G4862&lt;60,'General Basis'!$C$41,IF(G4862&lt;65,'General Basis'!$C$42,'General Basis'!$C$43)))),IF(G4862&lt;11,'General Basis'!$B$39,IF(G4862&lt;18,'General Basis'!$B$40,IF(G4862&lt;26,'General Basis'!$B$41,IF(G4862&lt;31,'General Basis'!$B$42,IF(G4862&lt;36,'General Basis'!$B$43,IF(G4862&lt;41,'General Basis'!$B$44,IF(G4862&lt;46,'General Basis'!$B$45,IF(G4862&lt;51,'General Basis'!$B$46,IF(G4862&lt;56,'General Basis'!$B$47,IF(G4862&lt;60,'General Basis'!$B$48,IF(G4862&lt;65,'General Basis'!$B$49,'General Basis'!$B$50)))))))))))))</f>
        <v/>
      </c>
      <c r="BI4862" s="744" t="str">
        <f t="shared" si="1677"/>
        <v/>
      </c>
      <c r="BJ4862" s="747" t="str">
        <f t="shared" si="1684"/>
        <v/>
      </c>
      <c r="BK4862" s="498" t="str">
        <f t="shared" si="1678"/>
        <v/>
      </c>
      <c r="BL4862" s="498" t="str">
        <f t="shared" si="1679"/>
        <v/>
      </c>
    </row>
    <row r="4863" spans="1:64" x14ac:dyDescent="0.25">
      <c r="A4863" s="762">
        <f t="shared" si="1680"/>
        <v>4858</v>
      </c>
      <c r="B4863" s="229"/>
      <c r="C4863" s="223"/>
      <c r="D4863" s="224"/>
      <c r="E4863" s="225"/>
      <c r="F4863" s="1036" t="str">
        <f t="shared" si="1686"/>
        <v/>
      </c>
      <c r="G4863" s="1037" t="str">
        <f t="shared" si="1681"/>
        <v/>
      </c>
      <c r="H4863" s="225"/>
      <c r="I4863" s="1013"/>
      <c r="J4863" s="1013"/>
      <c r="K4863" s="1028"/>
      <c r="L4863" s="1035" t="str">
        <f t="shared" si="1685"/>
        <v/>
      </c>
      <c r="S4863" s="498"/>
      <c r="AJ4863" s="498"/>
      <c r="AM4863" s="498">
        <f t="shared" si="1666"/>
        <v>0</v>
      </c>
      <c r="AN4863" s="498">
        <f t="shared" si="1667"/>
        <v>0</v>
      </c>
      <c r="AO4863" s="498">
        <f t="shared" si="1668"/>
        <v>0</v>
      </c>
      <c r="AP4863" s="498">
        <f t="shared" si="1687"/>
        <v>0</v>
      </c>
      <c r="AQ4863" s="498">
        <f t="shared" si="1682"/>
        <v>0</v>
      </c>
      <c r="AU4863" s="498">
        <f t="shared" si="1669"/>
        <v>0</v>
      </c>
      <c r="AV4863" s="498">
        <f t="shared" si="1670"/>
        <v>0</v>
      </c>
      <c r="AW4863" s="498">
        <f t="shared" si="1671"/>
        <v>0</v>
      </c>
      <c r="AX4863" s="498">
        <f t="shared" si="1672"/>
        <v>0</v>
      </c>
      <c r="AY4863" s="498">
        <f t="shared" si="1673"/>
        <v>0</v>
      </c>
      <c r="BB4863" s="498" t="str">
        <f t="shared" si="1674"/>
        <v/>
      </c>
      <c r="BC4863" s="743" t="str">
        <f t="shared" si="1675"/>
        <v/>
      </c>
      <c r="BD4863" s="743" t="str">
        <f t="shared" si="1676"/>
        <v/>
      </c>
      <c r="BE4863" s="743" t="str">
        <f>IF(D4863="","",VLOOKUP(D4863,'General Basis'!$J$39:$K$46,2,0))</f>
        <v/>
      </c>
      <c r="BF4863" s="744" t="str">
        <f>IF(D4863="","",VLOOKUP(D4863,'General Basis'!$J$39:$L$46,3,0))</f>
        <v/>
      </c>
      <c r="BG4863" s="744" t="str">
        <f t="shared" si="1683"/>
        <v/>
      </c>
      <c r="BH4863" s="744" t="str">
        <f>IF(G4863="","",IF(BF4863="Abu Dhabi",IF(G4863&lt;18,'General Basis'!$C$39,IF(G4863&lt;41,'General Basis'!$C$40,IF(G4863&lt;60,'General Basis'!$C$41,IF(G4863&lt;65,'General Basis'!$C$42,'General Basis'!$C$43)))),IF(G4863&lt;11,'General Basis'!$B$39,IF(G4863&lt;18,'General Basis'!$B$40,IF(G4863&lt;26,'General Basis'!$B$41,IF(G4863&lt;31,'General Basis'!$B$42,IF(G4863&lt;36,'General Basis'!$B$43,IF(G4863&lt;41,'General Basis'!$B$44,IF(G4863&lt;46,'General Basis'!$B$45,IF(G4863&lt;51,'General Basis'!$B$46,IF(G4863&lt;56,'General Basis'!$B$47,IF(G4863&lt;60,'General Basis'!$B$48,IF(G4863&lt;65,'General Basis'!$B$49,'General Basis'!$B$50)))))))))))))</f>
        <v/>
      </c>
      <c r="BI4863" s="744" t="str">
        <f t="shared" si="1677"/>
        <v/>
      </c>
      <c r="BJ4863" s="747" t="str">
        <f t="shared" si="1684"/>
        <v/>
      </c>
      <c r="BK4863" s="498" t="str">
        <f t="shared" si="1678"/>
        <v/>
      </c>
      <c r="BL4863" s="498" t="str">
        <f t="shared" si="1679"/>
        <v/>
      </c>
    </row>
    <row r="4864" spans="1:64" x14ac:dyDescent="0.25">
      <c r="A4864" s="762">
        <f t="shared" si="1680"/>
        <v>4859</v>
      </c>
      <c r="B4864" s="229"/>
      <c r="C4864" s="223"/>
      <c r="D4864" s="224"/>
      <c r="E4864" s="225"/>
      <c r="F4864" s="1036" t="str">
        <f t="shared" si="1686"/>
        <v/>
      </c>
      <c r="G4864" s="1037" t="str">
        <f t="shared" si="1681"/>
        <v/>
      </c>
      <c r="H4864" s="225"/>
      <c r="I4864" s="1013"/>
      <c r="J4864" s="1013"/>
      <c r="K4864" s="1028"/>
      <c r="L4864" s="1035" t="str">
        <f t="shared" si="1685"/>
        <v/>
      </c>
      <c r="S4864" s="498"/>
      <c r="AJ4864" s="498"/>
      <c r="AM4864" s="498">
        <f t="shared" si="1666"/>
        <v>0</v>
      </c>
      <c r="AN4864" s="498">
        <f t="shared" si="1667"/>
        <v>0</v>
      </c>
      <c r="AO4864" s="498">
        <f t="shared" si="1668"/>
        <v>0</v>
      </c>
      <c r="AP4864" s="498">
        <f t="shared" si="1687"/>
        <v>0</v>
      </c>
      <c r="AQ4864" s="498">
        <f t="shared" si="1682"/>
        <v>0</v>
      </c>
      <c r="AU4864" s="498">
        <f t="shared" si="1669"/>
        <v>0</v>
      </c>
      <c r="AV4864" s="498">
        <f t="shared" si="1670"/>
        <v>0</v>
      </c>
      <c r="AW4864" s="498">
        <f t="shared" si="1671"/>
        <v>0</v>
      </c>
      <c r="AX4864" s="498">
        <f t="shared" si="1672"/>
        <v>0</v>
      </c>
      <c r="AY4864" s="498">
        <f t="shared" si="1673"/>
        <v>0</v>
      </c>
      <c r="BB4864" s="498" t="str">
        <f t="shared" si="1674"/>
        <v/>
      </c>
      <c r="BC4864" s="743" t="str">
        <f t="shared" si="1675"/>
        <v/>
      </c>
      <c r="BD4864" s="743" t="str">
        <f t="shared" si="1676"/>
        <v/>
      </c>
      <c r="BE4864" s="743" t="str">
        <f>IF(D4864="","",VLOOKUP(D4864,'General Basis'!$J$39:$K$46,2,0))</f>
        <v/>
      </c>
      <c r="BF4864" s="744" t="str">
        <f>IF(D4864="","",VLOOKUP(D4864,'General Basis'!$J$39:$L$46,3,0))</f>
        <v/>
      </c>
      <c r="BG4864" s="744" t="str">
        <f t="shared" si="1683"/>
        <v/>
      </c>
      <c r="BH4864" s="744" t="str">
        <f>IF(G4864="","",IF(BF4864="Abu Dhabi",IF(G4864&lt;18,'General Basis'!$C$39,IF(G4864&lt;41,'General Basis'!$C$40,IF(G4864&lt;60,'General Basis'!$C$41,IF(G4864&lt;65,'General Basis'!$C$42,'General Basis'!$C$43)))),IF(G4864&lt;11,'General Basis'!$B$39,IF(G4864&lt;18,'General Basis'!$B$40,IF(G4864&lt;26,'General Basis'!$B$41,IF(G4864&lt;31,'General Basis'!$B$42,IF(G4864&lt;36,'General Basis'!$B$43,IF(G4864&lt;41,'General Basis'!$B$44,IF(G4864&lt;46,'General Basis'!$B$45,IF(G4864&lt;51,'General Basis'!$B$46,IF(G4864&lt;56,'General Basis'!$B$47,IF(G4864&lt;60,'General Basis'!$B$48,IF(G4864&lt;65,'General Basis'!$B$49,'General Basis'!$B$50)))))))))))))</f>
        <v/>
      </c>
      <c r="BI4864" s="744" t="str">
        <f t="shared" si="1677"/>
        <v/>
      </c>
      <c r="BJ4864" s="747" t="str">
        <f t="shared" si="1684"/>
        <v/>
      </c>
      <c r="BK4864" s="498" t="str">
        <f t="shared" si="1678"/>
        <v/>
      </c>
      <c r="BL4864" s="498" t="str">
        <f t="shared" si="1679"/>
        <v/>
      </c>
    </row>
    <row r="4865" spans="1:64" x14ac:dyDescent="0.25">
      <c r="A4865" s="762">
        <f t="shared" si="1680"/>
        <v>4860</v>
      </c>
      <c r="B4865" s="229"/>
      <c r="C4865" s="223"/>
      <c r="D4865" s="224"/>
      <c r="E4865" s="225"/>
      <c r="F4865" s="1036" t="str">
        <f t="shared" si="1686"/>
        <v/>
      </c>
      <c r="G4865" s="1037" t="str">
        <f t="shared" si="1681"/>
        <v/>
      </c>
      <c r="H4865" s="225"/>
      <c r="I4865" s="1013"/>
      <c r="J4865" s="1013"/>
      <c r="K4865" s="1028"/>
      <c r="L4865" s="1035" t="str">
        <f t="shared" si="1685"/>
        <v/>
      </c>
      <c r="S4865" s="498"/>
      <c r="AJ4865" s="498"/>
      <c r="AM4865" s="498">
        <f t="shared" si="1666"/>
        <v>0</v>
      </c>
      <c r="AN4865" s="498">
        <f t="shared" si="1667"/>
        <v>0</v>
      </c>
      <c r="AO4865" s="498">
        <f t="shared" si="1668"/>
        <v>0</v>
      </c>
      <c r="AP4865" s="498">
        <f t="shared" si="1687"/>
        <v>0</v>
      </c>
      <c r="AQ4865" s="498">
        <f t="shared" si="1682"/>
        <v>0</v>
      </c>
      <c r="AU4865" s="498">
        <f t="shared" si="1669"/>
        <v>0</v>
      </c>
      <c r="AV4865" s="498">
        <f t="shared" si="1670"/>
        <v>0</v>
      </c>
      <c r="AW4865" s="498">
        <f t="shared" si="1671"/>
        <v>0</v>
      </c>
      <c r="AX4865" s="498">
        <f t="shared" si="1672"/>
        <v>0</v>
      </c>
      <c r="AY4865" s="498">
        <f t="shared" si="1673"/>
        <v>0</v>
      </c>
      <c r="BB4865" s="498" t="str">
        <f t="shared" si="1674"/>
        <v/>
      </c>
      <c r="BC4865" s="743" t="str">
        <f t="shared" si="1675"/>
        <v/>
      </c>
      <c r="BD4865" s="743" t="str">
        <f t="shared" si="1676"/>
        <v/>
      </c>
      <c r="BE4865" s="743" t="str">
        <f>IF(D4865="","",VLOOKUP(D4865,'General Basis'!$J$39:$K$46,2,0))</f>
        <v/>
      </c>
      <c r="BF4865" s="744" t="str">
        <f>IF(D4865="","",VLOOKUP(D4865,'General Basis'!$J$39:$L$46,3,0))</f>
        <v/>
      </c>
      <c r="BG4865" s="744" t="str">
        <f t="shared" si="1683"/>
        <v/>
      </c>
      <c r="BH4865" s="744" t="str">
        <f>IF(G4865="","",IF(BF4865="Abu Dhabi",IF(G4865&lt;18,'General Basis'!$C$39,IF(G4865&lt;41,'General Basis'!$C$40,IF(G4865&lt;60,'General Basis'!$C$41,IF(G4865&lt;65,'General Basis'!$C$42,'General Basis'!$C$43)))),IF(G4865&lt;11,'General Basis'!$B$39,IF(G4865&lt;18,'General Basis'!$B$40,IF(G4865&lt;26,'General Basis'!$B$41,IF(G4865&lt;31,'General Basis'!$B$42,IF(G4865&lt;36,'General Basis'!$B$43,IF(G4865&lt;41,'General Basis'!$B$44,IF(G4865&lt;46,'General Basis'!$B$45,IF(G4865&lt;51,'General Basis'!$B$46,IF(G4865&lt;56,'General Basis'!$B$47,IF(G4865&lt;60,'General Basis'!$B$48,IF(G4865&lt;65,'General Basis'!$B$49,'General Basis'!$B$50)))))))))))))</f>
        <v/>
      </c>
      <c r="BI4865" s="744" t="str">
        <f t="shared" si="1677"/>
        <v/>
      </c>
      <c r="BJ4865" s="747" t="str">
        <f t="shared" si="1684"/>
        <v/>
      </c>
      <c r="BK4865" s="498" t="str">
        <f t="shared" si="1678"/>
        <v/>
      </c>
      <c r="BL4865" s="498" t="str">
        <f t="shared" si="1679"/>
        <v/>
      </c>
    </row>
    <row r="4866" spans="1:64" x14ac:dyDescent="0.25">
      <c r="A4866" s="762">
        <f t="shared" si="1680"/>
        <v>4861</v>
      </c>
      <c r="B4866" s="229"/>
      <c r="C4866" s="223"/>
      <c r="D4866" s="224"/>
      <c r="E4866" s="225"/>
      <c r="F4866" s="1036" t="str">
        <f t="shared" si="1686"/>
        <v/>
      </c>
      <c r="G4866" s="1037" t="str">
        <f t="shared" si="1681"/>
        <v/>
      </c>
      <c r="H4866" s="225"/>
      <c r="I4866" s="1013"/>
      <c r="J4866" s="1013"/>
      <c r="K4866" s="1028"/>
      <c r="L4866" s="1035" t="str">
        <f t="shared" si="1685"/>
        <v/>
      </c>
      <c r="S4866" s="498"/>
      <c r="AJ4866" s="498"/>
      <c r="AM4866" s="498">
        <f t="shared" si="1666"/>
        <v>0</v>
      </c>
      <c r="AN4866" s="498">
        <f t="shared" si="1667"/>
        <v>0</v>
      </c>
      <c r="AO4866" s="498">
        <f t="shared" si="1668"/>
        <v>0</v>
      </c>
      <c r="AP4866" s="498">
        <f t="shared" si="1687"/>
        <v>0</v>
      </c>
      <c r="AQ4866" s="498">
        <f t="shared" si="1682"/>
        <v>0</v>
      </c>
      <c r="AU4866" s="498">
        <f t="shared" si="1669"/>
        <v>0</v>
      </c>
      <c r="AV4866" s="498">
        <f t="shared" si="1670"/>
        <v>0</v>
      </c>
      <c r="AW4866" s="498">
        <f t="shared" si="1671"/>
        <v>0</v>
      </c>
      <c r="AX4866" s="498">
        <f t="shared" si="1672"/>
        <v>0</v>
      </c>
      <c r="AY4866" s="498">
        <f t="shared" si="1673"/>
        <v>0</v>
      </c>
      <c r="BB4866" s="498" t="str">
        <f t="shared" si="1674"/>
        <v/>
      </c>
      <c r="BC4866" s="743" t="str">
        <f t="shared" si="1675"/>
        <v/>
      </c>
      <c r="BD4866" s="743" t="str">
        <f t="shared" si="1676"/>
        <v/>
      </c>
      <c r="BE4866" s="743" t="str">
        <f>IF(D4866="","",VLOOKUP(D4866,'General Basis'!$J$39:$K$46,2,0))</f>
        <v/>
      </c>
      <c r="BF4866" s="744" t="str">
        <f>IF(D4866="","",VLOOKUP(D4866,'General Basis'!$J$39:$L$46,3,0))</f>
        <v/>
      </c>
      <c r="BG4866" s="744" t="str">
        <f t="shared" si="1683"/>
        <v/>
      </c>
      <c r="BH4866" s="744" t="str">
        <f>IF(G4866="","",IF(BF4866="Abu Dhabi",IF(G4866&lt;18,'General Basis'!$C$39,IF(G4866&lt;41,'General Basis'!$C$40,IF(G4866&lt;60,'General Basis'!$C$41,IF(G4866&lt;65,'General Basis'!$C$42,'General Basis'!$C$43)))),IF(G4866&lt;11,'General Basis'!$B$39,IF(G4866&lt;18,'General Basis'!$B$40,IF(G4866&lt;26,'General Basis'!$B$41,IF(G4866&lt;31,'General Basis'!$B$42,IF(G4866&lt;36,'General Basis'!$B$43,IF(G4866&lt;41,'General Basis'!$B$44,IF(G4866&lt;46,'General Basis'!$B$45,IF(G4866&lt;51,'General Basis'!$B$46,IF(G4866&lt;56,'General Basis'!$B$47,IF(G4866&lt;60,'General Basis'!$B$48,IF(G4866&lt;65,'General Basis'!$B$49,'General Basis'!$B$50)))))))))))))</f>
        <v/>
      </c>
      <c r="BI4866" s="744" t="str">
        <f t="shared" si="1677"/>
        <v/>
      </c>
      <c r="BJ4866" s="747" t="str">
        <f t="shared" si="1684"/>
        <v/>
      </c>
      <c r="BK4866" s="498" t="str">
        <f t="shared" si="1678"/>
        <v/>
      </c>
      <c r="BL4866" s="498" t="str">
        <f t="shared" si="1679"/>
        <v/>
      </c>
    </row>
    <row r="4867" spans="1:64" x14ac:dyDescent="0.25">
      <c r="A4867" s="762">
        <f t="shared" si="1680"/>
        <v>4862</v>
      </c>
      <c r="B4867" s="229"/>
      <c r="C4867" s="223"/>
      <c r="D4867" s="224"/>
      <c r="E4867" s="225"/>
      <c r="F4867" s="1036" t="str">
        <f t="shared" si="1686"/>
        <v/>
      </c>
      <c r="G4867" s="1037" t="str">
        <f t="shared" si="1681"/>
        <v/>
      </c>
      <c r="H4867" s="225"/>
      <c r="I4867" s="1013"/>
      <c r="J4867" s="1013"/>
      <c r="K4867" s="1028"/>
      <c r="L4867" s="1035" t="str">
        <f t="shared" si="1685"/>
        <v/>
      </c>
      <c r="S4867" s="498"/>
      <c r="AJ4867" s="498"/>
      <c r="AM4867" s="498">
        <f t="shared" si="1666"/>
        <v>0</v>
      </c>
      <c r="AN4867" s="498">
        <f t="shared" si="1667"/>
        <v>0</v>
      </c>
      <c r="AO4867" s="498">
        <f t="shared" si="1668"/>
        <v>0</v>
      </c>
      <c r="AP4867" s="498">
        <f t="shared" si="1687"/>
        <v>0</v>
      </c>
      <c r="AQ4867" s="498">
        <f t="shared" si="1682"/>
        <v>0</v>
      </c>
      <c r="AU4867" s="498">
        <f t="shared" si="1669"/>
        <v>0</v>
      </c>
      <c r="AV4867" s="498">
        <f t="shared" si="1670"/>
        <v>0</v>
      </c>
      <c r="AW4867" s="498">
        <f t="shared" si="1671"/>
        <v>0</v>
      </c>
      <c r="AX4867" s="498">
        <f t="shared" si="1672"/>
        <v>0</v>
      </c>
      <c r="AY4867" s="498">
        <f t="shared" si="1673"/>
        <v>0</v>
      </c>
      <c r="BB4867" s="498" t="str">
        <f t="shared" si="1674"/>
        <v/>
      </c>
      <c r="BC4867" s="743" t="str">
        <f t="shared" si="1675"/>
        <v/>
      </c>
      <c r="BD4867" s="743" t="str">
        <f t="shared" si="1676"/>
        <v/>
      </c>
      <c r="BE4867" s="743" t="str">
        <f>IF(D4867="","",VLOOKUP(D4867,'General Basis'!$J$39:$K$46,2,0))</f>
        <v/>
      </c>
      <c r="BF4867" s="744" t="str">
        <f>IF(D4867="","",VLOOKUP(D4867,'General Basis'!$J$39:$L$46,3,0))</f>
        <v/>
      </c>
      <c r="BG4867" s="744" t="str">
        <f t="shared" si="1683"/>
        <v/>
      </c>
      <c r="BH4867" s="744" t="str">
        <f>IF(G4867="","",IF(BF4867="Abu Dhabi",IF(G4867&lt;18,'General Basis'!$C$39,IF(G4867&lt;41,'General Basis'!$C$40,IF(G4867&lt;60,'General Basis'!$C$41,IF(G4867&lt;65,'General Basis'!$C$42,'General Basis'!$C$43)))),IF(G4867&lt;11,'General Basis'!$B$39,IF(G4867&lt;18,'General Basis'!$B$40,IF(G4867&lt;26,'General Basis'!$B$41,IF(G4867&lt;31,'General Basis'!$B$42,IF(G4867&lt;36,'General Basis'!$B$43,IF(G4867&lt;41,'General Basis'!$B$44,IF(G4867&lt;46,'General Basis'!$B$45,IF(G4867&lt;51,'General Basis'!$B$46,IF(G4867&lt;56,'General Basis'!$B$47,IF(G4867&lt;60,'General Basis'!$B$48,IF(G4867&lt;65,'General Basis'!$B$49,'General Basis'!$B$50)))))))))))))</f>
        <v/>
      </c>
      <c r="BI4867" s="744" t="str">
        <f t="shared" si="1677"/>
        <v/>
      </c>
      <c r="BJ4867" s="747" t="str">
        <f t="shared" si="1684"/>
        <v/>
      </c>
      <c r="BK4867" s="498" t="str">
        <f t="shared" si="1678"/>
        <v/>
      </c>
      <c r="BL4867" s="498" t="str">
        <f t="shared" si="1679"/>
        <v/>
      </c>
    </row>
    <row r="4868" spans="1:64" x14ac:dyDescent="0.25">
      <c r="A4868" s="762">
        <f t="shared" si="1680"/>
        <v>4863</v>
      </c>
      <c r="B4868" s="229"/>
      <c r="C4868" s="223"/>
      <c r="D4868" s="224"/>
      <c r="E4868" s="225"/>
      <c r="F4868" s="1036" t="str">
        <f t="shared" si="1686"/>
        <v/>
      </c>
      <c r="G4868" s="1037" t="str">
        <f t="shared" si="1681"/>
        <v/>
      </c>
      <c r="H4868" s="225"/>
      <c r="I4868" s="1013"/>
      <c r="J4868" s="1013"/>
      <c r="K4868" s="1028"/>
      <c r="L4868" s="1035" t="str">
        <f t="shared" si="1685"/>
        <v/>
      </c>
      <c r="S4868" s="498"/>
      <c r="AJ4868" s="498"/>
      <c r="AM4868" s="498">
        <f t="shared" si="1666"/>
        <v>0</v>
      </c>
      <c r="AN4868" s="498">
        <f t="shared" si="1667"/>
        <v>0</v>
      </c>
      <c r="AO4868" s="498">
        <f t="shared" si="1668"/>
        <v>0</v>
      </c>
      <c r="AP4868" s="498">
        <f t="shared" si="1687"/>
        <v>0</v>
      </c>
      <c r="AQ4868" s="498">
        <f t="shared" si="1682"/>
        <v>0</v>
      </c>
      <c r="AU4868" s="498">
        <f t="shared" si="1669"/>
        <v>0</v>
      </c>
      <c r="AV4868" s="498">
        <f t="shared" si="1670"/>
        <v>0</v>
      </c>
      <c r="AW4868" s="498">
        <f t="shared" si="1671"/>
        <v>0</v>
      </c>
      <c r="AX4868" s="498">
        <f t="shared" si="1672"/>
        <v>0</v>
      </c>
      <c r="AY4868" s="498">
        <f t="shared" si="1673"/>
        <v>0</v>
      </c>
      <c r="BB4868" s="498" t="str">
        <f t="shared" si="1674"/>
        <v/>
      </c>
      <c r="BC4868" s="743" t="str">
        <f t="shared" si="1675"/>
        <v/>
      </c>
      <c r="BD4868" s="743" t="str">
        <f t="shared" si="1676"/>
        <v/>
      </c>
      <c r="BE4868" s="743" t="str">
        <f>IF(D4868="","",VLOOKUP(D4868,'General Basis'!$J$39:$K$46,2,0))</f>
        <v/>
      </c>
      <c r="BF4868" s="744" t="str">
        <f>IF(D4868="","",VLOOKUP(D4868,'General Basis'!$J$39:$L$46,3,0))</f>
        <v/>
      </c>
      <c r="BG4868" s="744" t="str">
        <f t="shared" si="1683"/>
        <v/>
      </c>
      <c r="BH4868" s="744" t="str">
        <f>IF(G4868="","",IF(BF4868="Abu Dhabi",IF(G4868&lt;18,'General Basis'!$C$39,IF(G4868&lt;41,'General Basis'!$C$40,IF(G4868&lt;60,'General Basis'!$C$41,IF(G4868&lt;65,'General Basis'!$C$42,'General Basis'!$C$43)))),IF(G4868&lt;11,'General Basis'!$B$39,IF(G4868&lt;18,'General Basis'!$B$40,IF(G4868&lt;26,'General Basis'!$B$41,IF(G4868&lt;31,'General Basis'!$B$42,IF(G4868&lt;36,'General Basis'!$B$43,IF(G4868&lt;41,'General Basis'!$B$44,IF(G4868&lt;46,'General Basis'!$B$45,IF(G4868&lt;51,'General Basis'!$B$46,IF(G4868&lt;56,'General Basis'!$B$47,IF(G4868&lt;60,'General Basis'!$B$48,IF(G4868&lt;65,'General Basis'!$B$49,'General Basis'!$B$50)))))))))))))</f>
        <v/>
      </c>
      <c r="BI4868" s="744" t="str">
        <f t="shared" si="1677"/>
        <v/>
      </c>
      <c r="BJ4868" s="747" t="str">
        <f t="shared" si="1684"/>
        <v/>
      </c>
      <c r="BK4868" s="498" t="str">
        <f t="shared" si="1678"/>
        <v/>
      </c>
      <c r="BL4868" s="498" t="str">
        <f t="shared" si="1679"/>
        <v/>
      </c>
    </row>
    <row r="4869" spans="1:64" x14ac:dyDescent="0.25">
      <c r="A4869" s="762">
        <f t="shared" si="1680"/>
        <v>4864</v>
      </c>
      <c r="B4869" s="229"/>
      <c r="C4869" s="223"/>
      <c r="D4869" s="224"/>
      <c r="E4869" s="225"/>
      <c r="F4869" s="1036" t="str">
        <f t="shared" si="1686"/>
        <v/>
      </c>
      <c r="G4869" s="1037" t="str">
        <f t="shared" si="1681"/>
        <v/>
      </c>
      <c r="H4869" s="225"/>
      <c r="I4869" s="1013"/>
      <c r="J4869" s="1013"/>
      <c r="K4869" s="1028"/>
      <c r="L4869" s="1035" t="str">
        <f t="shared" si="1685"/>
        <v/>
      </c>
      <c r="S4869" s="498"/>
      <c r="AJ4869" s="498"/>
      <c r="AM4869" s="498">
        <f t="shared" si="1666"/>
        <v>0</v>
      </c>
      <c r="AN4869" s="498">
        <f t="shared" si="1667"/>
        <v>0</v>
      </c>
      <c r="AO4869" s="498">
        <f t="shared" si="1668"/>
        <v>0</v>
      </c>
      <c r="AP4869" s="498">
        <f t="shared" si="1687"/>
        <v>0</v>
      </c>
      <c r="AQ4869" s="498">
        <f t="shared" si="1682"/>
        <v>0</v>
      </c>
      <c r="AU4869" s="498">
        <f t="shared" si="1669"/>
        <v>0</v>
      </c>
      <c r="AV4869" s="498">
        <f t="shared" si="1670"/>
        <v>0</v>
      </c>
      <c r="AW4869" s="498">
        <f t="shared" si="1671"/>
        <v>0</v>
      </c>
      <c r="AX4869" s="498">
        <f t="shared" si="1672"/>
        <v>0</v>
      </c>
      <c r="AY4869" s="498">
        <f t="shared" si="1673"/>
        <v>0</v>
      </c>
      <c r="BB4869" s="498" t="str">
        <f t="shared" si="1674"/>
        <v/>
      </c>
      <c r="BC4869" s="743" t="str">
        <f t="shared" si="1675"/>
        <v/>
      </c>
      <c r="BD4869" s="743" t="str">
        <f t="shared" si="1676"/>
        <v/>
      </c>
      <c r="BE4869" s="743" t="str">
        <f>IF(D4869="","",VLOOKUP(D4869,'General Basis'!$J$39:$K$46,2,0))</f>
        <v/>
      </c>
      <c r="BF4869" s="744" t="str">
        <f>IF(D4869="","",VLOOKUP(D4869,'General Basis'!$J$39:$L$46,3,0))</f>
        <v/>
      </c>
      <c r="BG4869" s="744" t="str">
        <f t="shared" si="1683"/>
        <v/>
      </c>
      <c r="BH4869" s="744" t="str">
        <f>IF(G4869="","",IF(BF4869="Abu Dhabi",IF(G4869&lt;18,'General Basis'!$C$39,IF(G4869&lt;41,'General Basis'!$C$40,IF(G4869&lt;60,'General Basis'!$C$41,IF(G4869&lt;65,'General Basis'!$C$42,'General Basis'!$C$43)))),IF(G4869&lt;11,'General Basis'!$B$39,IF(G4869&lt;18,'General Basis'!$B$40,IF(G4869&lt;26,'General Basis'!$B$41,IF(G4869&lt;31,'General Basis'!$B$42,IF(G4869&lt;36,'General Basis'!$B$43,IF(G4869&lt;41,'General Basis'!$B$44,IF(G4869&lt;46,'General Basis'!$B$45,IF(G4869&lt;51,'General Basis'!$B$46,IF(G4869&lt;56,'General Basis'!$B$47,IF(G4869&lt;60,'General Basis'!$B$48,IF(G4869&lt;65,'General Basis'!$B$49,'General Basis'!$B$50)))))))))))))</f>
        <v/>
      </c>
      <c r="BI4869" s="744" t="str">
        <f t="shared" si="1677"/>
        <v/>
      </c>
      <c r="BJ4869" s="747" t="str">
        <f t="shared" si="1684"/>
        <v/>
      </c>
      <c r="BK4869" s="498" t="str">
        <f t="shared" si="1678"/>
        <v/>
      </c>
      <c r="BL4869" s="498" t="str">
        <f t="shared" si="1679"/>
        <v/>
      </c>
    </row>
    <row r="4870" spans="1:64" x14ac:dyDescent="0.25">
      <c r="A4870" s="762">
        <f t="shared" si="1680"/>
        <v>4865</v>
      </c>
      <c r="B4870" s="229"/>
      <c r="C4870" s="223"/>
      <c r="D4870" s="224"/>
      <c r="E4870" s="225"/>
      <c r="F4870" s="1036" t="str">
        <f t="shared" si="1686"/>
        <v/>
      </c>
      <c r="G4870" s="1037" t="str">
        <f t="shared" si="1681"/>
        <v/>
      </c>
      <c r="H4870" s="225"/>
      <c r="I4870" s="1013"/>
      <c r="J4870" s="1013"/>
      <c r="K4870" s="1028"/>
      <c r="L4870" s="1035" t="str">
        <f t="shared" si="1685"/>
        <v/>
      </c>
      <c r="S4870" s="498"/>
      <c r="AJ4870" s="498"/>
      <c r="AM4870" s="498">
        <f t="shared" ref="AM4870:AM4933" si="1688">IF(ISTEXT(B4870),1,0)</f>
        <v>0</v>
      </c>
      <c r="AN4870" s="498">
        <f t="shared" ref="AN4870:AN4933" si="1689">IF(ISBLANK(B4870),0,IF(B4870&lt;$AK$6,1,0))</f>
        <v>0</v>
      </c>
      <c r="AO4870" s="498">
        <f t="shared" ref="AO4870:AO4933" si="1690">IF(ISBLANK(B4870),0,IF(B4870&gt;$AK$7,1,0))</f>
        <v>0</v>
      </c>
      <c r="AP4870" s="498">
        <f t="shared" si="1687"/>
        <v>0</v>
      </c>
      <c r="AQ4870" s="498">
        <f t="shared" si="1682"/>
        <v>0</v>
      </c>
      <c r="AU4870" s="498">
        <f t="shared" ref="AU4870:AU4933" si="1691">IF(ISBLANK(B4870),0,1)</f>
        <v>0</v>
      </c>
      <c r="AV4870" s="498">
        <f t="shared" ref="AV4870:AV4933" si="1692">IF(ISBLANK(C4870),0,1)</f>
        <v>0</v>
      </c>
      <c r="AW4870" s="498">
        <f t="shared" ref="AW4870:AW4933" si="1693">IF(ISBLANK(D4870),0,1)</f>
        <v>0</v>
      </c>
      <c r="AX4870" s="498">
        <f t="shared" ref="AX4870:AX4933" si="1694">IF(ISBLANK(E4870),0,1)</f>
        <v>0</v>
      </c>
      <c r="AY4870" s="498">
        <f t="shared" ref="AY4870:AY4933" si="1695">IF(ISBLANK(H4870),0,1)</f>
        <v>0</v>
      </c>
      <c r="BB4870" s="498" t="str">
        <f t="shared" ref="BB4870:BB4933" si="1696">IF(E4870="Principal","Principal",IF(E4870="","","Other"))</f>
        <v/>
      </c>
      <c r="BC4870" s="743" t="str">
        <f t="shared" ref="BC4870:BC4933" si="1697">IF(D4870="","",D4870)</f>
        <v/>
      </c>
      <c r="BD4870" s="743" t="str">
        <f t="shared" ref="BD4870:BD4933" si="1698">IF(E4870="Principal","Employee",IF(E4870="","","Dependent"))</f>
        <v/>
      </c>
      <c r="BE4870" s="743" t="str">
        <f>IF(D4870="","",VLOOKUP(D4870,'General Basis'!$J$39:$K$46,2,0))</f>
        <v/>
      </c>
      <c r="BF4870" s="744" t="str">
        <f>IF(D4870="","",VLOOKUP(D4870,'General Basis'!$J$39:$L$46,3,0))</f>
        <v/>
      </c>
      <c r="BG4870" s="744" t="str">
        <f t="shared" si="1683"/>
        <v/>
      </c>
      <c r="BH4870" s="744" t="str">
        <f>IF(G4870="","",IF(BF4870="Abu Dhabi",IF(G4870&lt;18,'General Basis'!$C$39,IF(G4870&lt;41,'General Basis'!$C$40,IF(G4870&lt;60,'General Basis'!$C$41,IF(G4870&lt;65,'General Basis'!$C$42,'General Basis'!$C$43)))),IF(G4870&lt;11,'General Basis'!$B$39,IF(G4870&lt;18,'General Basis'!$B$40,IF(G4870&lt;26,'General Basis'!$B$41,IF(G4870&lt;31,'General Basis'!$B$42,IF(G4870&lt;36,'General Basis'!$B$43,IF(G4870&lt;41,'General Basis'!$B$44,IF(G4870&lt;46,'General Basis'!$B$45,IF(G4870&lt;51,'General Basis'!$B$46,IF(G4870&lt;56,'General Basis'!$B$47,IF(G4870&lt;60,'General Basis'!$B$48,IF(G4870&lt;65,'General Basis'!$B$49,'General Basis'!$B$50)))))))))))))</f>
        <v/>
      </c>
      <c r="BI4870" s="744" t="str">
        <f t="shared" ref="BI4870:BI4933" si="1699">IF(C4870="","",IF(C4870="M","Male","Female"))</f>
        <v/>
      </c>
      <c r="BJ4870" s="747" t="str">
        <f t="shared" si="1684"/>
        <v/>
      </c>
      <c r="BK4870" s="498" t="str">
        <f t="shared" ref="BK4870:BK4933" si="1700">IF(BD4870="","",IF(AND(BD4870="Employee",BI4870="Male",BF4870="Abu Dhabi",BE4870=GN_Plus),VLOOKUP(BH4870,AUH_MALE_EMP,2,0),IF(AND(BD4870="Employee",BI4870="Male",BF4870="Abu Dhabi",BE4870=GN),VLOOKUP(BH4870,AUH_MALE_EMP,3,0),IF(AND(BD4870="Employee",BI4870="Male",BF4870="Abu Dhabi",BE4870=RN_Plus),VLOOKUP(BH4870,AUH_MALE_EMP,4,0),IF(AND(BD4870="Employee",BI4870="Male",BF4870="Abu Dhabi",BE4870=RN),VLOOKUP(BH4870,AUH_MALE_EMP,5,0),IF(AND(BD4870="Employee",BI4870="Male",BF4870="Abu Dhabi",BE4870=RN_2),VLOOKUP(BH4870,AUH_MALE_EMP,6,0),IF(AND(BD4870="Employee",BI4870="Male",BF4870="Abu Dhabi",BE4870=RN2_minus),VLOOKUP(BH4870,AUH_MALE_EMP,7,0),IF(AND(BD4870="Employee",BI4870="Male",BF4870="Abu Dhabi",BE4870=RN_3),VLOOKUP(BH4870,AUH_MALE_EMP,8,0),IF(AND(BD4870="Employee",BI4870="Male",BF4870="Abu Dhabi",BE4870=VN),VLOOKUP(BH4870,AUH_MALE_EMP,9,0),IF(BD4870="","",IF(AND(BD4870="Employee",BI4870="Female",BF4870="Abu Dhabi",BE4870=GN_Plus),VLOOKUP(BH4870,AUH_FEMALE_EMP,2,0),IF(AND(BD4870="Employee",BI4870="Female",BF4870="Abu Dhabi",BE4870=GN),VLOOKUP(BH4870,AUH_FEMALE_EMP,3,0),IF(AND(BD4870="Employee",BI4870="Female",BF4870="Abu Dhabi",BE4870=RN_Plus),VLOOKUP(BH4870,AUH_FEMALE_EMP,4,0),IF(AND(BD4870="Employee",BI4870="Female",BF4870="Abu Dhabi",BE4870=RN),VLOOKUP(BH4870,AUH_FEMALE_EMP,5,0),IF(AND(BD4870="Employee",BI4870="Female",BF4870="Abu Dhabi",BE4870=RN_2),VLOOKUP(BH4870,AUH_FEMALE_EMP,6,0),IF(AND(BD4870="Employee",BI4870="Female",BF4870="Abu Dhabi",BE4870=RN2_minus),VLOOKUP(BH4870,AUH_FEMALE_EMP,7,0),IF(AND(BD4870="Employee",BI4870="Female",BF4870="Abu Dhabi",BE4870=RN_3),VLOOKUP(BH4870,AUH_FEMALE_EMP,8,0),IF(AND(BD4870="Employee",BI4870="Female",BF4870="Abu Dhabi",BE4870=VN),VLOOKUP(BH4870,AUH_FEMALE_EMP,9,0),IF(BD4870="","",IF(AND(BD4870="Dependent",BI4870="Male",BF4870="Abu Dhabi",BE4870=GN_Plus),VLOOKUP(BH4870,AUH_MALE_DEP,2,0),IF(AND(BD4870="Dependent",BI4870="Male",BF4870="Abu Dhabi",BE4870=GN),VLOOKUP(BH4870,AUH_MALE_DEP,3,0),IF(AND(BD4870="Dependent",BI4870="Male",BF4870="Abu Dhabi",BE4870=RN_Plus),VLOOKUP(BH4870,AUH_MALE_DEP,4,0),IF(AND(BD4870="Dependent",BI4870="Male",BF4870="Abu Dhabi",BE4870=RN),VLOOKUP(BH4870,AUH_MALE_DEP,5,0),IF(AND(BD4870="Dependent",BI4870="Male",BF4870="Abu Dhabi",BE4870=RN_2),VLOOKUP(BH4870,AUH_MALE_DEP,6,0),IF(AND(BD4870="Dependent",BI4870="Male",BF4870="Abu Dhabi",BE4870=RN2_minus),VLOOKUP(BH4870,AUH_MALE_DEP,7,0),IF(AND(BD4870="Dependent",BI4870="Male",BF4870="Abu Dhabi",BE4870=RN_3),VLOOKUP(BH4870,AUH_MALE_DEP,8,0),IF(AND(BD4870="Dependent",BI4870="Male",BF4870="Abu Dhabi",BE4870=VN),VLOOKUP(BH4870,AUH_MALE_DEP,9,0),IF(BD4870="","",IF(AND(BD4870="Dependent",BI4870="Female",BF4870="Abu Dhabi",BE4870=GN_Plus),VLOOKUP(BH4870,AUH_FEMALE_DEP,2,0),IF(AND(BD4870="Dependent",BI4870="Female",BF4870="Abu Dhabi",BE4870=GN),VLOOKUP(BH4870,AUH_FEMALE_DEP,3,0),IF(AND(BD4870="Dependent",BI4870="Female",BF4870="Abu Dhabi",BE4870=RN_Plus),VLOOKUP(BH4870,AUH_FEMALE_DEP,4,0),IF(AND(BD4870="Dependent",BI4870="Female",BF4870="Abu Dhabi",BE4870=RN),VLOOKUP(BH4870,AUH_FEMALE_DEP,5,0),IF(AND(BD4870="Dependent",BI4870="Female",BF4870="Abu Dhabi",BE4870=RN_2),VLOOKUP(BH4870,AUH_FEMALE_DEP,6,0),IF(AND(BD4870="Dependent",BI4870="Female",BF4870="Abu Dhabi",BE4870=RN2_minus),VLOOKUP(BH4870,AUH_FEMALE_DEP,7,0),IF(AND(BD4870="Dependent",BI4870="Female",BF4870="Abu Dhabi",BE4870=RN_3),VLOOKUP(BH4870,AUH_FEMALE_DEP,8,0),IF(AND(BD4870="Dependent",BI4870="Female",BF4870="Abu Dhabi",BE4870=VN),VLOOKUP(BH4870,AUH_FEMALE_DEP,9,0),"ABC"))))))))))))))))))))))))))))))))))))</f>
        <v/>
      </c>
      <c r="BL4870" s="498" t="str">
        <f t="shared" ref="BL4870:BL4933" si="1701">IF(BD4870="","",IF(AND(BD4870="Employee",BI4870="Male",BF4870="Dubai",BE4870=GN_Plus),VLOOKUP(BH4870,DXB_MALE_EMP,2,0),IF(AND(BD4870="Employee",BI4870="Male",BF4870="Dubai",BE4870=GN),VLOOKUP(BH4870,DXB_MALE_EMP,3,0),IF(AND(BD4870="Employee",BI4870="Male",BF4870="Dubai",BE4870=RN_Plus),VLOOKUP(BH4870,DXB_MALE_EMP,4,0),IF(AND(BD4870="Employee",BI4870="Male",BF4870="Dubai",BE4870=RN),VLOOKUP(BH4870,DXB_MALE_EMP,5,0),IF(AND(BD4870="Employee",BI4870="Male",BF4870="Dubai",BE4870=RN_2),VLOOKUP(BH4870,DXB_MALE_EMP,6,0),IF(AND(BD4870="Employee",BI4870="Male",BF4870="Dubai",BE4870=RN2_minus),VLOOKUP(BH4870,DXB_MALE_EMP,7,0),IF(AND(BD4870="Employee",BI4870="Male",BF4870="Dubai",BE4870=RN_3),VLOOKUP(BH4870,DXB_MALE_EMP,8,0),IF(AND(BD4870="Employee",BI4870="Male",BF4870="Dubai",BE4870=VN),VLOOKUP(BH4870,DXB_MALE_EMP,9,0),IF(BD4870="","",IF(AND(BD4870="Employee",BI4870="Female",BF4870="Dubai",BE4870=GN_Plus),VLOOKUP(BH4870,DXB_FEMALE_EMP,2,0),IF(AND(BD4870="Employee",BI4870="Female",BF4870="Dubai",BE4870=GN),VLOOKUP(BH4870,DXB_FEMALE_EMP,3,0),IF(AND(BD4870="Employee",BI4870="Female",BF4870="Dubai",BE4870=RN_Plus),VLOOKUP(BH4870,DXB_FEMALE_EMP,4,0),IF(AND(BD4870="Employee",BI4870="Female",BF4870="Dubai",BE4870=RN),VLOOKUP(BH4870,DXB_FEMALE_EMP,5,0),IF(AND(BD4870="Employee",BI4870="Female",BF4870="Dubai",BE4870=RN_2),VLOOKUP(BH4870,DXB_FEMALE_EMP,6,0),IF(AND(BD4870="Employee",BI4870="Female",BF4870="Dubai",BE4870=RN2_minus),VLOOKUP(BH4870,DXB_FEMALE_EMP,7,0),IF(AND(BD4870="Employee",BI4870="Female",BF4870="Dubai",BE4870=RN_3),VLOOKUP(BH4870,DXB_FEMALE_EMP,8,0),IF(AND(BD4870="Employee",BI4870="Female",BF4870="Dubai",BE4870=VN),VLOOKUP(BH4870,DXB_FEMALE_EMP,9,0),IF(BD4870="","",IF(AND(BD4870="Dependent",BI4870="Male",BF4870="Dubai",BE4870=GN_Plus),VLOOKUP(BH4870,DXB_MALE_DEP,2,0),IF(AND(BD4870="Dependent",BI4870="Male",BF4870="Dubai",BE4870=GN),VLOOKUP(BH4870,DXB_MALE_DEP,3,0),IF(AND(BD4870="Dependent",BI4870="Male",BF4870="Dubai",BE4870=RN_Plus),VLOOKUP(BH4870,DXB_MALE_DEP,4,0),IF(AND(BD4870="Dependent",BI4870="Male",BF4870="Dubai",BE4870=RN),VLOOKUP(BH4870,DXB_MALE_DEP,5,0),IF(AND(BD4870="Dependent",BI4870="Male",BF4870="Dubai",BE4870=RN_2),VLOOKUP(BH4870,DXB_MALE_DEP,6,0),IF(AND(BD4870="Dependent",BI4870="Male",BF4870="Dubai",BE4870=RN2_minus),VLOOKUP(BH4870,DXB_MALE_DEP,7,0),IF(AND(BD4870="Dependent",BI4870="Male",BF4870="Dubai",BE4870=RN_3),VLOOKUP(BH4870,DXB_MALE_DEP,8,0),IF(AND(BD4870="Dependent",BI4870="Male",BF4870="Dubai",BE4870=VN),VLOOKUP(BH4870,DXB_MALE_DEP,9,0),IF(BD4870="","",IF(AND(BD4870="Dependent",BI4870="Female",BF4870="Dubai",BE4870=GN_Plus),VLOOKUP(BH4870,DXB_FEMALE_DEP,2,0),IF(AND(BD4870="Dependent",BI4870="Female",BF4870="Dubai",BE4870=GN),VLOOKUP(BH4870,DXB_FEMALE_DEP,3,0),IF(AND(BD4870="Dependent",BI4870="Female",BF4870="Dubai",BE4870=RN_Plus),VLOOKUP(BH4870,DXB_FEMALE_DEP,4,0),IF(AND(BD4870="Dependent",BI4870="Female",BF4870="Dubai",BE4870=RN),VLOOKUP(BH4870,DXB_FEMALE_DEP,5,0),IF(AND(BD4870="Dependent",BI4870="Female",BF4870="Dubai",BE4870=RN_2),VLOOKUP(BH4870,DXB_FEMALE_DEP,6,0),IF(AND(BD4870="Dependent",BI4870="Female",BF4870="Dubai",BE4870=RN2_minus),VLOOKUP(BH4870,DXB_FEMALE_DEP,7,0),IF(AND(BD4870="Dependent",BI4870="Female",BF4870="Dubai",BE4870=RN_3),VLOOKUP(BH4870,DXB_FEMALE_DEP,8,0),IF(AND(BD4870="Dependent",BI4870="Female",BF4870="Dubai",BE4870=VN),VLOOKUP(BH4870,DXB_FEMALE_DEP,9,0),"ABC"))))))))))))))))))))))))))))))))))))</f>
        <v/>
      </c>
    </row>
    <row r="4871" spans="1:64" x14ac:dyDescent="0.25">
      <c r="A4871" s="762">
        <f t="shared" ref="A4871:A4934" si="1702">+A4870+1</f>
        <v>4866</v>
      </c>
      <c r="B4871" s="229"/>
      <c r="C4871" s="223"/>
      <c r="D4871" s="224"/>
      <c r="E4871" s="225"/>
      <c r="F4871" s="1036" t="str">
        <f t="shared" si="1686"/>
        <v/>
      </c>
      <c r="G4871" s="1037" t="str">
        <f t="shared" ref="G4871:G4934" si="1703">IF(D4871="","",MAX(0,ROUNDUP(F4871,0)))</f>
        <v/>
      </c>
      <c r="H4871" s="225"/>
      <c r="I4871" s="1013"/>
      <c r="J4871" s="1013"/>
      <c r="K4871" s="1028"/>
      <c r="L4871" s="1035" t="str">
        <f t="shared" si="1685"/>
        <v/>
      </c>
      <c r="S4871" s="498"/>
      <c r="AJ4871" s="498"/>
      <c r="AM4871" s="498">
        <f t="shared" si="1688"/>
        <v>0</v>
      </c>
      <c r="AN4871" s="498">
        <f t="shared" si="1689"/>
        <v>0</v>
      </c>
      <c r="AO4871" s="498">
        <f t="shared" si="1690"/>
        <v>0</v>
      </c>
      <c r="AP4871" s="498">
        <f t="shared" si="1687"/>
        <v>0</v>
      </c>
      <c r="AQ4871" s="498">
        <f t="shared" ref="AQ4871:AQ4934" si="1704">IF(ISBLANK($B4871),0,IF(OR($H4871="Single",$H4871="Married"),0,1))</f>
        <v>0</v>
      </c>
      <c r="AU4871" s="498">
        <f t="shared" si="1691"/>
        <v>0</v>
      </c>
      <c r="AV4871" s="498">
        <f t="shared" si="1692"/>
        <v>0</v>
      </c>
      <c r="AW4871" s="498">
        <f t="shared" si="1693"/>
        <v>0</v>
      </c>
      <c r="AX4871" s="498">
        <f t="shared" si="1694"/>
        <v>0</v>
      </c>
      <c r="AY4871" s="498">
        <f t="shared" si="1695"/>
        <v>0</v>
      </c>
      <c r="BB4871" s="498" t="str">
        <f t="shared" si="1696"/>
        <v/>
      </c>
      <c r="BC4871" s="743" t="str">
        <f t="shared" si="1697"/>
        <v/>
      </c>
      <c r="BD4871" s="743" t="str">
        <f t="shared" si="1698"/>
        <v/>
      </c>
      <c r="BE4871" s="743" t="str">
        <f>IF(D4871="","",VLOOKUP(D4871,'General Basis'!$J$39:$K$46,2,0))</f>
        <v/>
      </c>
      <c r="BF4871" s="744" t="str">
        <f>IF(D4871="","",VLOOKUP(D4871,'General Basis'!$J$39:$L$46,3,0))</f>
        <v/>
      </c>
      <c r="BG4871" s="744" t="str">
        <f t="shared" ref="BG4871:BG4934" si="1705">BC4871&amp;BI4871</f>
        <v/>
      </c>
      <c r="BH4871" s="744" t="str">
        <f>IF(G4871="","",IF(BF4871="Abu Dhabi",IF(G4871&lt;18,'General Basis'!$C$39,IF(G4871&lt;41,'General Basis'!$C$40,IF(G4871&lt;60,'General Basis'!$C$41,IF(G4871&lt;65,'General Basis'!$C$42,'General Basis'!$C$43)))),IF(G4871&lt;11,'General Basis'!$B$39,IF(G4871&lt;18,'General Basis'!$B$40,IF(G4871&lt;26,'General Basis'!$B$41,IF(G4871&lt;31,'General Basis'!$B$42,IF(G4871&lt;36,'General Basis'!$B$43,IF(G4871&lt;41,'General Basis'!$B$44,IF(G4871&lt;46,'General Basis'!$B$45,IF(G4871&lt;51,'General Basis'!$B$46,IF(G4871&lt;56,'General Basis'!$B$47,IF(G4871&lt;60,'General Basis'!$B$48,IF(G4871&lt;65,'General Basis'!$B$49,'General Basis'!$B$50)))))))))))))</f>
        <v/>
      </c>
      <c r="BI4871" s="744" t="str">
        <f t="shared" si="1699"/>
        <v/>
      </c>
      <c r="BJ4871" s="747" t="str">
        <f t="shared" ref="BJ4871:BJ4934" si="1706">IF(BD4871="","",IF(BF4871="Abu Dhabi",BK4871,BL4871))</f>
        <v/>
      </c>
      <c r="BK4871" s="498" t="str">
        <f t="shared" si="1700"/>
        <v/>
      </c>
      <c r="BL4871" s="498" t="str">
        <f t="shared" si="1701"/>
        <v/>
      </c>
    </row>
    <row r="4872" spans="1:64" x14ac:dyDescent="0.25">
      <c r="A4872" s="762">
        <f t="shared" si="1702"/>
        <v>4867</v>
      </c>
      <c r="B4872" s="229"/>
      <c r="C4872" s="223"/>
      <c r="D4872" s="224"/>
      <c r="E4872" s="225"/>
      <c r="F4872" s="1036" t="str">
        <f t="shared" si="1686"/>
        <v/>
      </c>
      <c r="G4872" s="1037" t="str">
        <f t="shared" si="1703"/>
        <v/>
      </c>
      <c r="H4872" s="225"/>
      <c r="I4872" s="1013"/>
      <c r="J4872" s="1013"/>
      <c r="K4872" s="1028"/>
      <c r="L4872" s="1035" t="str">
        <f t="shared" ref="L4872:L4935" si="1707">IF(AND(E4872="Child",H4872="Married"),"Check the Marital Status of the Child. ",IF(AND(E4872="Child",F4872&gt;18),"Child Age exceed 18 years. ",IF(AND(E4872="Spouse",H4872="Single"),"Spouse is selected as Single. ","")))&amp;IF(K4872&gt;0,"UW Loading has been Applied","")</f>
        <v/>
      </c>
      <c r="S4872" s="498"/>
      <c r="AJ4872" s="498"/>
      <c r="AM4872" s="498">
        <f t="shared" si="1688"/>
        <v>0</v>
      </c>
      <c r="AN4872" s="498">
        <f t="shared" si="1689"/>
        <v>0</v>
      </c>
      <c r="AO4872" s="498">
        <f t="shared" si="1690"/>
        <v>0</v>
      </c>
      <c r="AP4872" s="498">
        <f t="shared" si="1687"/>
        <v>0</v>
      </c>
      <c r="AQ4872" s="498">
        <f t="shared" si="1704"/>
        <v>0</v>
      </c>
      <c r="AU4872" s="498">
        <f t="shared" si="1691"/>
        <v>0</v>
      </c>
      <c r="AV4872" s="498">
        <f t="shared" si="1692"/>
        <v>0</v>
      </c>
      <c r="AW4872" s="498">
        <f t="shared" si="1693"/>
        <v>0</v>
      </c>
      <c r="AX4872" s="498">
        <f t="shared" si="1694"/>
        <v>0</v>
      </c>
      <c r="AY4872" s="498">
        <f t="shared" si="1695"/>
        <v>0</v>
      </c>
      <c r="BB4872" s="498" t="str">
        <f t="shared" si="1696"/>
        <v/>
      </c>
      <c r="BC4872" s="743" t="str">
        <f t="shared" si="1697"/>
        <v/>
      </c>
      <c r="BD4872" s="743" t="str">
        <f t="shared" si="1698"/>
        <v/>
      </c>
      <c r="BE4872" s="743" t="str">
        <f>IF(D4872="","",VLOOKUP(D4872,'General Basis'!$J$39:$K$46,2,0))</f>
        <v/>
      </c>
      <c r="BF4872" s="744" t="str">
        <f>IF(D4872="","",VLOOKUP(D4872,'General Basis'!$J$39:$L$46,3,0))</f>
        <v/>
      </c>
      <c r="BG4872" s="744" t="str">
        <f t="shared" si="1705"/>
        <v/>
      </c>
      <c r="BH4872" s="744" t="str">
        <f>IF(G4872="","",IF(BF4872="Abu Dhabi",IF(G4872&lt;18,'General Basis'!$C$39,IF(G4872&lt;41,'General Basis'!$C$40,IF(G4872&lt;60,'General Basis'!$C$41,IF(G4872&lt;65,'General Basis'!$C$42,'General Basis'!$C$43)))),IF(G4872&lt;11,'General Basis'!$B$39,IF(G4872&lt;18,'General Basis'!$B$40,IF(G4872&lt;26,'General Basis'!$B$41,IF(G4872&lt;31,'General Basis'!$B$42,IF(G4872&lt;36,'General Basis'!$B$43,IF(G4872&lt;41,'General Basis'!$B$44,IF(G4872&lt;46,'General Basis'!$B$45,IF(G4872&lt;51,'General Basis'!$B$46,IF(G4872&lt;56,'General Basis'!$B$47,IF(G4872&lt;60,'General Basis'!$B$48,IF(G4872&lt;65,'General Basis'!$B$49,'General Basis'!$B$50)))))))))))))</f>
        <v/>
      </c>
      <c r="BI4872" s="744" t="str">
        <f t="shared" si="1699"/>
        <v/>
      </c>
      <c r="BJ4872" s="747" t="str">
        <f t="shared" si="1706"/>
        <v/>
      </c>
      <c r="BK4872" s="498" t="str">
        <f t="shared" si="1700"/>
        <v/>
      </c>
      <c r="BL4872" s="498" t="str">
        <f t="shared" si="1701"/>
        <v/>
      </c>
    </row>
    <row r="4873" spans="1:64" x14ac:dyDescent="0.25">
      <c r="A4873" s="762">
        <f t="shared" si="1702"/>
        <v>4868</v>
      </c>
      <c r="B4873" s="229"/>
      <c r="C4873" s="223"/>
      <c r="D4873" s="224"/>
      <c r="E4873" s="225"/>
      <c r="F4873" s="1036" t="str">
        <f t="shared" si="1686"/>
        <v/>
      </c>
      <c r="G4873" s="1037" t="str">
        <f t="shared" si="1703"/>
        <v/>
      </c>
      <c r="H4873" s="225"/>
      <c r="I4873" s="1013"/>
      <c r="J4873" s="1013"/>
      <c r="K4873" s="1028"/>
      <c r="L4873" s="1035" t="str">
        <f t="shared" si="1707"/>
        <v/>
      </c>
      <c r="S4873" s="498"/>
      <c r="AJ4873" s="498"/>
      <c r="AM4873" s="498">
        <f t="shared" si="1688"/>
        <v>0</v>
      </c>
      <c r="AN4873" s="498">
        <f t="shared" si="1689"/>
        <v>0</v>
      </c>
      <c r="AO4873" s="498">
        <f t="shared" si="1690"/>
        <v>0</v>
      </c>
      <c r="AP4873" s="498">
        <f t="shared" si="1687"/>
        <v>0</v>
      </c>
      <c r="AQ4873" s="498">
        <f t="shared" si="1704"/>
        <v>0</v>
      </c>
      <c r="AU4873" s="498">
        <f t="shared" si="1691"/>
        <v>0</v>
      </c>
      <c r="AV4873" s="498">
        <f t="shared" si="1692"/>
        <v>0</v>
      </c>
      <c r="AW4873" s="498">
        <f t="shared" si="1693"/>
        <v>0</v>
      </c>
      <c r="AX4873" s="498">
        <f t="shared" si="1694"/>
        <v>0</v>
      </c>
      <c r="AY4873" s="498">
        <f t="shared" si="1695"/>
        <v>0</v>
      </c>
      <c r="BB4873" s="498" t="str">
        <f t="shared" si="1696"/>
        <v/>
      </c>
      <c r="BC4873" s="743" t="str">
        <f t="shared" si="1697"/>
        <v/>
      </c>
      <c r="BD4873" s="743" t="str">
        <f t="shared" si="1698"/>
        <v/>
      </c>
      <c r="BE4873" s="743" t="str">
        <f>IF(D4873="","",VLOOKUP(D4873,'General Basis'!$J$39:$K$46,2,0))</f>
        <v/>
      </c>
      <c r="BF4873" s="744" t="str">
        <f>IF(D4873="","",VLOOKUP(D4873,'General Basis'!$J$39:$L$46,3,0))</f>
        <v/>
      </c>
      <c r="BG4873" s="744" t="str">
        <f t="shared" si="1705"/>
        <v/>
      </c>
      <c r="BH4873" s="744" t="str">
        <f>IF(G4873="","",IF(BF4873="Abu Dhabi",IF(G4873&lt;18,'General Basis'!$C$39,IF(G4873&lt;41,'General Basis'!$C$40,IF(G4873&lt;60,'General Basis'!$C$41,IF(G4873&lt;65,'General Basis'!$C$42,'General Basis'!$C$43)))),IF(G4873&lt;11,'General Basis'!$B$39,IF(G4873&lt;18,'General Basis'!$B$40,IF(G4873&lt;26,'General Basis'!$B$41,IF(G4873&lt;31,'General Basis'!$B$42,IF(G4873&lt;36,'General Basis'!$B$43,IF(G4873&lt;41,'General Basis'!$B$44,IF(G4873&lt;46,'General Basis'!$B$45,IF(G4873&lt;51,'General Basis'!$B$46,IF(G4873&lt;56,'General Basis'!$B$47,IF(G4873&lt;60,'General Basis'!$B$48,IF(G4873&lt;65,'General Basis'!$B$49,'General Basis'!$B$50)))))))))))))</f>
        <v/>
      </c>
      <c r="BI4873" s="744" t="str">
        <f t="shared" si="1699"/>
        <v/>
      </c>
      <c r="BJ4873" s="747" t="str">
        <f t="shared" si="1706"/>
        <v/>
      </c>
      <c r="BK4873" s="498" t="str">
        <f t="shared" si="1700"/>
        <v/>
      </c>
      <c r="BL4873" s="498" t="str">
        <f t="shared" si="1701"/>
        <v/>
      </c>
    </row>
    <row r="4874" spans="1:64" x14ac:dyDescent="0.25">
      <c r="A4874" s="762">
        <f t="shared" si="1702"/>
        <v>4869</v>
      </c>
      <c r="B4874" s="229"/>
      <c r="C4874" s="223"/>
      <c r="D4874" s="224"/>
      <c r="E4874" s="225"/>
      <c r="F4874" s="1036" t="str">
        <f t="shared" si="1686"/>
        <v/>
      </c>
      <c r="G4874" s="1037" t="str">
        <f t="shared" si="1703"/>
        <v/>
      </c>
      <c r="H4874" s="225"/>
      <c r="I4874" s="1013"/>
      <c r="J4874" s="1013"/>
      <c r="K4874" s="1028"/>
      <c r="L4874" s="1035" t="str">
        <f t="shared" si="1707"/>
        <v/>
      </c>
      <c r="S4874" s="498"/>
      <c r="AJ4874" s="498"/>
      <c r="AM4874" s="498">
        <f t="shared" si="1688"/>
        <v>0</v>
      </c>
      <c r="AN4874" s="498">
        <f t="shared" si="1689"/>
        <v>0</v>
      </c>
      <c r="AO4874" s="498">
        <f t="shared" si="1690"/>
        <v>0</v>
      </c>
      <c r="AP4874" s="498">
        <f t="shared" si="1687"/>
        <v>0</v>
      </c>
      <c r="AQ4874" s="498">
        <f t="shared" si="1704"/>
        <v>0</v>
      </c>
      <c r="AU4874" s="498">
        <f t="shared" si="1691"/>
        <v>0</v>
      </c>
      <c r="AV4874" s="498">
        <f t="shared" si="1692"/>
        <v>0</v>
      </c>
      <c r="AW4874" s="498">
        <f t="shared" si="1693"/>
        <v>0</v>
      </c>
      <c r="AX4874" s="498">
        <f t="shared" si="1694"/>
        <v>0</v>
      </c>
      <c r="AY4874" s="498">
        <f t="shared" si="1695"/>
        <v>0</v>
      </c>
      <c r="BB4874" s="498" t="str">
        <f t="shared" si="1696"/>
        <v/>
      </c>
      <c r="BC4874" s="743" t="str">
        <f t="shared" si="1697"/>
        <v/>
      </c>
      <c r="BD4874" s="743" t="str">
        <f t="shared" si="1698"/>
        <v/>
      </c>
      <c r="BE4874" s="743" t="str">
        <f>IF(D4874="","",VLOOKUP(D4874,'General Basis'!$J$39:$K$46,2,0))</f>
        <v/>
      </c>
      <c r="BF4874" s="744" t="str">
        <f>IF(D4874="","",VLOOKUP(D4874,'General Basis'!$J$39:$L$46,3,0))</f>
        <v/>
      </c>
      <c r="BG4874" s="744" t="str">
        <f t="shared" si="1705"/>
        <v/>
      </c>
      <c r="BH4874" s="744" t="str">
        <f>IF(G4874="","",IF(BF4874="Abu Dhabi",IF(G4874&lt;18,'General Basis'!$C$39,IF(G4874&lt;41,'General Basis'!$C$40,IF(G4874&lt;60,'General Basis'!$C$41,IF(G4874&lt;65,'General Basis'!$C$42,'General Basis'!$C$43)))),IF(G4874&lt;11,'General Basis'!$B$39,IF(G4874&lt;18,'General Basis'!$B$40,IF(G4874&lt;26,'General Basis'!$B$41,IF(G4874&lt;31,'General Basis'!$B$42,IF(G4874&lt;36,'General Basis'!$B$43,IF(G4874&lt;41,'General Basis'!$B$44,IF(G4874&lt;46,'General Basis'!$B$45,IF(G4874&lt;51,'General Basis'!$B$46,IF(G4874&lt;56,'General Basis'!$B$47,IF(G4874&lt;60,'General Basis'!$B$48,IF(G4874&lt;65,'General Basis'!$B$49,'General Basis'!$B$50)))))))))))))</f>
        <v/>
      </c>
      <c r="BI4874" s="744" t="str">
        <f t="shared" si="1699"/>
        <v/>
      </c>
      <c r="BJ4874" s="747" t="str">
        <f t="shared" si="1706"/>
        <v/>
      </c>
      <c r="BK4874" s="498" t="str">
        <f t="shared" si="1700"/>
        <v/>
      </c>
      <c r="BL4874" s="498" t="str">
        <f t="shared" si="1701"/>
        <v/>
      </c>
    </row>
    <row r="4875" spans="1:64" x14ac:dyDescent="0.25">
      <c r="A4875" s="762">
        <f t="shared" si="1702"/>
        <v>4870</v>
      </c>
      <c r="B4875" s="229"/>
      <c r="C4875" s="223"/>
      <c r="D4875" s="224"/>
      <c r="E4875" s="225"/>
      <c r="F4875" s="1036" t="str">
        <f t="shared" si="1686"/>
        <v/>
      </c>
      <c r="G4875" s="1037" t="str">
        <f t="shared" si="1703"/>
        <v/>
      </c>
      <c r="H4875" s="225"/>
      <c r="I4875" s="1013"/>
      <c r="J4875" s="1013"/>
      <c r="K4875" s="1028"/>
      <c r="L4875" s="1035" t="str">
        <f t="shared" si="1707"/>
        <v/>
      </c>
      <c r="S4875" s="498"/>
      <c r="AJ4875" s="498"/>
      <c r="AM4875" s="498">
        <f t="shared" si="1688"/>
        <v>0</v>
      </c>
      <c r="AN4875" s="498">
        <f t="shared" si="1689"/>
        <v>0</v>
      </c>
      <c r="AO4875" s="498">
        <f t="shared" si="1690"/>
        <v>0</v>
      </c>
      <c r="AP4875" s="498">
        <f t="shared" si="1687"/>
        <v>0</v>
      </c>
      <c r="AQ4875" s="498">
        <f t="shared" si="1704"/>
        <v>0</v>
      </c>
      <c r="AU4875" s="498">
        <f t="shared" si="1691"/>
        <v>0</v>
      </c>
      <c r="AV4875" s="498">
        <f t="shared" si="1692"/>
        <v>0</v>
      </c>
      <c r="AW4875" s="498">
        <f t="shared" si="1693"/>
        <v>0</v>
      </c>
      <c r="AX4875" s="498">
        <f t="shared" si="1694"/>
        <v>0</v>
      </c>
      <c r="AY4875" s="498">
        <f t="shared" si="1695"/>
        <v>0</v>
      </c>
      <c r="BB4875" s="498" t="str">
        <f t="shared" si="1696"/>
        <v/>
      </c>
      <c r="BC4875" s="743" t="str">
        <f t="shared" si="1697"/>
        <v/>
      </c>
      <c r="BD4875" s="743" t="str">
        <f t="shared" si="1698"/>
        <v/>
      </c>
      <c r="BE4875" s="743" t="str">
        <f>IF(D4875="","",VLOOKUP(D4875,'General Basis'!$J$39:$K$46,2,0))</f>
        <v/>
      </c>
      <c r="BF4875" s="744" t="str">
        <f>IF(D4875="","",VLOOKUP(D4875,'General Basis'!$J$39:$L$46,3,0))</f>
        <v/>
      </c>
      <c r="BG4875" s="744" t="str">
        <f t="shared" si="1705"/>
        <v/>
      </c>
      <c r="BH4875" s="744" t="str">
        <f>IF(G4875="","",IF(BF4875="Abu Dhabi",IF(G4875&lt;18,'General Basis'!$C$39,IF(G4875&lt;41,'General Basis'!$C$40,IF(G4875&lt;60,'General Basis'!$C$41,IF(G4875&lt;65,'General Basis'!$C$42,'General Basis'!$C$43)))),IF(G4875&lt;11,'General Basis'!$B$39,IF(G4875&lt;18,'General Basis'!$B$40,IF(G4875&lt;26,'General Basis'!$B$41,IF(G4875&lt;31,'General Basis'!$B$42,IF(G4875&lt;36,'General Basis'!$B$43,IF(G4875&lt;41,'General Basis'!$B$44,IF(G4875&lt;46,'General Basis'!$B$45,IF(G4875&lt;51,'General Basis'!$B$46,IF(G4875&lt;56,'General Basis'!$B$47,IF(G4875&lt;60,'General Basis'!$B$48,IF(G4875&lt;65,'General Basis'!$B$49,'General Basis'!$B$50)))))))))))))</f>
        <v/>
      </c>
      <c r="BI4875" s="744" t="str">
        <f t="shared" si="1699"/>
        <v/>
      </c>
      <c r="BJ4875" s="747" t="str">
        <f t="shared" si="1706"/>
        <v/>
      </c>
      <c r="BK4875" s="498" t="str">
        <f t="shared" si="1700"/>
        <v/>
      </c>
      <c r="BL4875" s="498" t="str">
        <f t="shared" si="1701"/>
        <v/>
      </c>
    </row>
    <row r="4876" spans="1:64" x14ac:dyDescent="0.25">
      <c r="A4876" s="762">
        <f t="shared" si="1702"/>
        <v>4871</v>
      </c>
      <c r="B4876" s="229"/>
      <c r="C4876" s="223"/>
      <c r="D4876" s="224"/>
      <c r="E4876" s="225"/>
      <c r="F4876" s="1036" t="str">
        <f t="shared" si="1686"/>
        <v/>
      </c>
      <c r="G4876" s="1037" t="str">
        <f t="shared" si="1703"/>
        <v/>
      </c>
      <c r="H4876" s="225"/>
      <c r="I4876" s="1013"/>
      <c r="J4876" s="1013"/>
      <c r="K4876" s="1028"/>
      <c r="L4876" s="1035" t="str">
        <f t="shared" si="1707"/>
        <v/>
      </c>
      <c r="S4876" s="498"/>
      <c r="AJ4876" s="498"/>
      <c r="AM4876" s="498">
        <f t="shared" si="1688"/>
        <v>0</v>
      </c>
      <c r="AN4876" s="498">
        <f t="shared" si="1689"/>
        <v>0</v>
      </c>
      <c r="AO4876" s="498">
        <f t="shared" si="1690"/>
        <v>0</v>
      </c>
      <c r="AP4876" s="498">
        <f t="shared" si="1687"/>
        <v>0</v>
      </c>
      <c r="AQ4876" s="498">
        <f t="shared" si="1704"/>
        <v>0</v>
      </c>
      <c r="AU4876" s="498">
        <f t="shared" si="1691"/>
        <v>0</v>
      </c>
      <c r="AV4876" s="498">
        <f t="shared" si="1692"/>
        <v>0</v>
      </c>
      <c r="AW4876" s="498">
        <f t="shared" si="1693"/>
        <v>0</v>
      </c>
      <c r="AX4876" s="498">
        <f t="shared" si="1694"/>
        <v>0</v>
      </c>
      <c r="AY4876" s="498">
        <f t="shared" si="1695"/>
        <v>0</v>
      </c>
      <c r="BB4876" s="498" t="str">
        <f t="shared" si="1696"/>
        <v/>
      </c>
      <c r="BC4876" s="743" t="str">
        <f t="shared" si="1697"/>
        <v/>
      </c>
      <c r="BD4876" s="743" t="str">
        <f t="shared" si="1698"/>
        <v/>
      </c>
      <c r="BE4876" s="743" t="str">
        <f>IF(D4876="","",VLOOKUP(D4876,'General Basis'!$J$39:$K$46,2,0))</f>
        <v/>
      </c>
      <c r="BF4876" s="744" t="str">
        <f>IF(D4876="","",VLOOKUP(D4876,'General Basis'!$J$39:$L$46,3,0))</f>
        <v/>
      </c>
      <c r="BG4876" s="744" t="str">
        <f t="shared" si="1705"/>
        <v/>
      </c>
      <c r="BH4876" s="744" t="str">
        <f>IF(G4876="","",IF(BF4876="Abu Dhabi",IF(G4876&lt;18,'General Basis'!$C$39,IF(G4876&lt;41,'General Basis'!$C$40,IF(G4876&lt;60,'General Basis'!$C$41,IF(G4876&lt;65,'General Basis'!$C$42,'General Basis'!$C$43)))),IF(G4876&lt;11,'General Basis'!$B$39,IF(G4876&lt;18,'General Basis'!$B$40,IF(G4876&lt;26,'General Basis'!$B$41,IF(G4876&lt;31,'General Basis'!$B$42,IF(G4876&lt;36,'General Basis'!$B$43,IF(G4876&lt;41,'General Basis'!$B$44,IF(G4876&lt;46,'General Basis'!$B$45,IF(G4876&lt;51,'General Basis'!$B$46,IF(G4876&lt;56,'General Basis'!$B$47,IF(G4876&lt;60,'General Basis'!$B$48,IF(G4876&lt;65,'General Basis'!$B$49,'General Basis'!$B$50)))))))))))))</f>
        <v/>
      </c>
      <c r="BI4876" s="744" t="str">
        <f t="shared" si="1699"/>
        <v/>
      </c>
      <c r="BJ4876" s="747" t="str">
        <f t="shared" si="1706"/>
        <v/>
      </c>
      <c r="BK4876" s="498" t="str">
        <f t="shared" si="1700"/>
        <v/>
      </c>
      <c r="BL4876" s="498" t="str">
        <f t="shared" si="1701"/>
        <v/>
      </c>
    </row>
    <row r="4877" spans="1:64" x14ac:dyDescent="0.25">
      <c r="A4877" s="762">
        <f t="shared" si="1702"/>
        <v>4872</v>
      </c>
      <c r="B4877" s="229"/>
      <c r="C4877" s="223"/>
      <c r="D4877" s="224"/>
      <c r="E4877" s="225"/>
      <c r="F4877" s="1036" t="str">
        <f t="shared" si="1686"/>
        <v/>
      </c>
      <c r="G4877" s="1037" t="str">
        <f t="shared" si="1703"/>
        <v/>
      </c>
      <c r="H4877" s="225"/>
      <c r="I4877" s="1013"/>
      <c r="J4877" s="1013"/>
      <c r="K4877" s="1028"/>
      <c r="L4877" s="1035" t="str">
        <f t="shared" si="1707"/>
        <v/>
      </c>
      <c r="S4877" s="498"/>
      <c r="AJ4877" s="498"/>
      <c r="AM4877" s="498">
        <f t="shared" si="1688"/>
        <v>0</v>
      </c>
      <c r="AN4877" s="498">
        <f t="shared" si="1689"/>
        <v>0</v>
      </c>
      <c r="AO4877" s="498">
        <f t="shared" si="1690"/>
        <v>0</v>
      </c>
      <c r="AP4877" s="498">
        <f t="shared" si="1687"/>
        <v>0</v>
      </c>
      <c r="AQ4877" s="498">
        <f t="shared" si="1704"/>
        <v>0</v>
      </c>
      <c r="AU4877" s="498">
        <f t="shared" si="1691"/>
        <v>0</v>
      </c>
      <c r="AV4877" s="498">
        <f t="shared" si="1692"/>
        <v>0</v>
      </c>
      <c r="AW4877" s="498">
        <f t="shared" si="1693"/>
        <v>0</v>
      </c>
      <c r="AX4877" s="498">
        <f t="shared" si="1694"/>
        <v>0</v>
      </c>
      <c r="AY4877" s="498">
        <f t="shared" si="1695"/>
        <v>0</v>
      </c>
      <c r="BB4877" s="498" t="str">
        <f t="shared" si="1696"/>
        <v/>
      </c>
      <c r="BC4877" s="743" t="str">
        <f t="shared" si="1697"/>
        <v/>
      </c>
      <c r="BD4877" s="743" t="str">
        <f t="shared" si="1698"/>
        <v/>
      </c>
      <c r="BE4877" s="743" t="str">
        <f>IF(D4877="","",VLOOKUP(D4877,'General Basis'!$J$39:$K$46,2,0))</f>
        <v/>
      </c>
      <c r="BF4877" s="744" t="str">
        <f>IF(D4877="","",VLOOKUP(D4877,'General Basis'!$J$39:$L$46,3,0))</f>
        <v/>
      </c>
      <c r="BG4877" s="744" t="str">
        <f t="shared" si="1705"/>
        <v/>
      </c>
      <c r="BH4877" s="744" t="str">
        <f>IF(G4877="","",IF(BF4877="Abu Dhabi",IF(G4877&lt;18,'General Basis'!$C$39,IF(G4877&lt;41,'General Basis'!$C$40,IF(G4877&lt;60,'General Basis'!$C$41,IF(G4877&lt;65,'General Basis'!$C$42,'General Basis'!$C$43)))),IF(G4877&lt;11,'General Basis'!$B$39,IF(G4877&lt;18,'General Basis'!$B$40,IF(G4877&lt;26,'General Basis'!$B$41,IF(G4877&lt;31,'General Basis'!$B$42,IF(G4877&lt;36,'General Basis'!$B$43,IF(G4877&lt;41,'General Basis'!$B$44,IF(G4877&lt;46,'General Basis'!$B$45,IF(G4877&lt;51,'General Basis'!$B$46,IF(G4877&lt;56,'General Basis'!$B$47,IF(G4877&lt;60,'General Basis'!$B$48,IF(G4877&lt;65,'General Basis'!$B$49,'General Basis'!$B$50)))))))))))))</f>
        <v/>
      </c>
      <c r="BI4877" s="744" t="str">
        <f t="shared" si="1699"/>
        <v/>
      </c>
      <c r="BJ4877" s="747" t="str">
        <f t="shared" si="1706"/>
        <v/>
      </c>
      <c r="BK4877" s="498" t="str">
        <f t="shared" si="1700"/>
        <v/>
      </c>
      <c r="BL4877" s="498" t="str">
        <f t="shared" si="1701"/>
        <v/>
      </c>
    </row>
    <row r="4878" spans="1:64" x14ac:dyDescent="0.25">
      <c r="A4878" s="762">
        <f t="shared" si="1702"/>
        <v>4873</v>
      </c>
      <c r="B4878" s="229"/>
      <c r="C4878" s="223"/>
      <c r="D4878" s="224"/>
      <c r="E4878" s="225"/>
      <c r="F4878" s="1036" t="str">
        <f t="shared" si="1686"/>
        <v/>
      </c>
      <c r="G4878" s="1037" t="str">
        <f t="shared" si="1703"/>
        <v/>
      </c>
      <c r="H4878" s="225"/>
      <c r="I4878" s="1013"/>
      <c r="J4878" s="1013"/>
      <c r="K4878" s="1028"/>
      <c r="L4878" s="1035" t="str">
        <f t="shared" si="1707"/>
        <v/>
      </c>
      <c r="S4878" s="498"/>
      <c r="AJ4878" s="498"/>
      <c r="AM4878" s="498">
        <f t="shared" si="1688"/>
        <v>0</v>
      </c>
      <c r="AN4878" s="498">
        <f t="shared" si="1689"/>
        <v>0</v>
      </c>
      <c r="AO4878" s="498">
        <f t="shared" si="1690"/>
        <v>0</v>
      </c>
      <c r="AP4878" s="498">
        <f t="shared" si="1687"/>
        <v>0</v>
      </c>
      <c r="AQ4878" s="498">
        <f t="shared" si="1704"/>
        <v>0</v>
      </c>
      <c r="AU4878" s="498">
        <f t="shared" si="1691"/>
        <v>0</v>
      </c>
      <c r="AV4878" s="498">
        <f t="shared" si="1692"/>
        <v>0</v>
      </c>
      <c r="AW4878" s="498">
        <f t="shared" si="1693"/>
        <v>0</v>
      </c>
      <c r="AX4878" s="498">
        <f t="shared" si="1694"/>
        <v>0</v>
      </c>
      <c r="AY4878" s="498">
        <f t="shared" si="1695"/>
        <v>0</v>
      </c>
      <c r="BB4878" s="498" t="str">
        <f t="shared" si="1696"/>
        <v/>
      </c>
      <c r="BC4878" s="743" t="str">
        <f t="shared" si="1697"/>
        <v/>
      </c>
      <c r="BD4878" s="743" t="str">
        <f t="shared" si="1698"/>
        <v/>
      </c>
      <c r="BE4878" s="743" t="str">
        <f>IF(D4878="","",VLOOKUP(D4878,'General Basis'!$J$39:$K$46,2,0))</f>
        <v/>
      </c>
      <c r="BF4878" s="744" t="str">
        <f>IF(D4878="","",VLOOKUP(D4878,'General Basis'!$J$39:$L$46,3,0))</f>
        <v/>
      </c>
      <c r="BG4878" s="744" t="str">
        <f t="shared" si="1705"/>
        <v/>
      </c>
      <c r="BH4878" s="744" t="str">
        <f>IF(G4878="","",IF(BF4878="Abu Dhabi",IF(G4878&lt;18,'General Basis'!$C$39,IF(G4878&lt;41,'General Basis'!$C$40,IF(G4878&lt;60,'General Basis'!$C$41,IF(G4878&lt;65,'General Basis'!$C$42,'General Basis'!$C$43)))),IF(G4878&lt;11,'General Basis'!$B$39,IF(G4878&lt;18,'General Basis'!$B$40,IF(G4878&lt;26,'General Basis'!$B$41,IF(G4878&lt;31,'General Basis'!$B$42,IF(G4878&lt;36,'General Basis'!$B$43,IF(G4878&lt;41,'General Basis'!$B$44,IF(G4878&lt;46,'General Basis'!$B$45,IF(G4878&lt;51,'General Basis'!$B$46,IF(G4878&lt;56,'General Basis'!$B$47,IF(G4878&lt;60,'General Basis'!$B$48,IF(G4878&lt;65,'General Basis'!$B$49,'General Basis'!$B$50)))))))))))))</f>
        <v/>
      </c>
      <c r="BI4878" s="744" t="str">
        <f t="shared" si="1699"/>
        <v/>
      </c>
      <c r="BJ4878" s="747" t="str">
        <f t="shared" si="1706"/>
        <v/>
      </c>
      <c r="BK4878" s="498" t="str">
        <f t="shared" si="1700"/>
        <v/>
      </c>
      <c r="BL4878" s="498" t="str">
        <f t="shared" si="1701"/>
        <v/>
      </c>
    </row>
    <row r="4879" spans="1:64" x14ac:dyDescent="0.25">
      <c r="A4879" s="762">
        <f t="shared" si="1702"/>
        <v>4874</v>
      </c>
      <c r="B4879" s="229"/>
      <c r="C4879" s="223"/>
      <c r="D4879" s="224"/>
      <c r="E4879" s="225"/>
      <c r="F4879" s="1036" t="str">
        <f t="shared" si="1686"/>
        <v/>
      </c>
      <c r="G4879" s="1037" t="str">
        <f t="shared" si="1703"/>
        <v/>
      </c>
      <c r="H4879" s="225"/>
      <c r="I4879" s="1013"/>
      <c r="J4879" s="1013"/>
      <c r="K4879" s="1028"/>
      <c r="L4879" s="1035" t="str">
        <f t="shared" si="1707"/>
        <v/>
      </c>
      <c r="S4879" s="498"/>
      <c r="AJ4879" s="498"/>
      <c r="AM4879" s="498">
        <f t="shared" si="1688"/>
        <v>0</v>
      </c>
      <c r="AN4879" s="498">
        <f t="shared" si="1689"/>
        <v>0</v>
      </c>
      <c r="AO4879" s="498">
        <f t="shared" si="1690"/>
        <v>0</v>
      </c>
      <c r="AP4879" s="498">
        <f t="shared" si="1687"/>
        <v>0</v>
      </c>
      <c r="AQ4879" s="498">
        <f t="shared" si="1704"/>
        <v>0</v>
      </c>
      <c r="AU4879" s="498">
        <f t="shared" si="1691"/>
        <v>0</v>
      </c>
      <c r="AV4879" s="498">
        <f t="shared" si="1692"/>
        <v>0</v>
      </c>
      <c r="AW4879" s="498">
        <f t="shared" si="1693"/>
        <v>0</v>
      </c>
      <c r="AX4879" s="498">
        <f t="shared" si="1694"/>
        <v>0</v>
      </c>
      <c r="AY4879" s="498">
        <f t="shared" si="1695"/>
        <v>0</v>
      </c>
      <c r="BB4879" s="498" t="str">
        <f t="shared" si="1696"/>
        <v/>
      </c>
      <c r="BC4879" s="743" t="str">
        <f t="shared" si="1697"/>
        <v/>
      </c>
      <c r="BD4879" s="743" t="str">
        <f t="shared" si="1698"/>
        <v/>
      </c>
      <c r="BE4879" s="743" t="str">
        <f>IF(D4879="","",VLOOKUP(D4879,'General Basis'!$J$39:$K$46,2,0))</f>
        <v/>
      </c>
      <c r="BF4879" s="744" t="str">
        <f>IF(D4879="","",VLOOKUP(D4879,'General Basis'!$J$39:$L$46,3,0))</f>
        <v/>
      </c>
      <c r="BG4879" s="744" t="str">
        <f t="shared" si="1705"/>
        <v/>
      </c>
      <c r="BH4879" s="744" t="str">
        <f>IF(G4879="","",IF(BF4879="Abu Dhabi",IF(G4879&lt;18,'General Basis'!$C$39,IF(G4879&lt;41,'General Basis'!$C$40,IF(G4879&lt;60,'General Basis'!$C$41,IF(G4879&lt;65,'General Basis'!$C$42,'General Basis'!$C$43)))),IF(G4879&lt;11,'General Basis'!$B$39,IF(G4879&lt;18,'General Basis'!$B$40,IF(G4879&lt;26,'General Basis'!$B$41,IF(G4879&lt;31,'General Basis'!$B$42,IF(G4879&lt;36,'General Basis'!$B$43,IF(G4879&lt;41,'General Basis'!$B$44,IF(G4879&lt;46,'General Basis'!$B$45,IF(G4879&lt;51,'General Basis'!$B$46,IF(G4879&lt;56,'General Basis'!$B$47,IF(G4879&lt;60,'General Basis'!$B$48,IF(G4879&lt;65,'General Basis'!$B$49,'General Basis'!$B$50)))))))))))))</f>
        <v/>
      </c>
      <c r="BI4879" s="744" t="str">
        <f t="shared" si="1699"/>
        <v/>
      </c>
      <c r="BJ4879" s="747" t="str">
        <f t="shared" si="1706"/>
        <v/>
      </c>
      <c r="BK4879" s="498" t="str">
        <f t="shared" si="1700"/>
        <v/>
      </c>
      <c r="BL4879" s="498" t="str">
        <f t="shared" si="1701"/>
        <v/>
      </c>
    </row>
    <row r="4880" spans="1:64" x14ac:dyDescent="0.25">
      <c r="A4880" s="762">
        <f t="shared" si="1702"/>
        <v>4875</v>
      </c>
      <c r="B4880" s="229"/>
      <c r="C4880" s="223"/>
      <c r="D4880" s="224"/>
      <c r="E4880" s="225"/>
      <c r="F4880" s="1036" t="str">
        <f t="shared" ref="F4880:F4943" si="1708">IF(C4880="","",IF($B4880="","",((YEAR($F$3)-YEAR($B4880))+(MONTH($F$3)-MONTH($B4880))/12+(DAY($F$3)-DAY($B4880))/(DATE(YEAR($F$3),12,31)-DATE(YEAR($F$3),1,1)+1))))</f>
        <v/>
      </c>
      <c r="G4880" s="1037" t="str">
        <f t="shared" si="1703"/>
        <v/>
      </c>
      <c r="H4880" s="225"/>
      <c r="I4880" s="1013"/>
      <c r="J4880" s="1013"/>
      <c r="K4880" s="1028"/>
      <c r="L4880" s="1035" t="str">
        <f t="shared" si="1707"/>
        <v/>
      </c>
      <c r="S4880" s="498"/>
      <c r="AJ4880" s="498"/>
      <c r="AM4880" s="498">
        <f t="shared" si="1688"/>
        <v>0</v>
      </c>
      <c r="AN4880" s="498">
        <f t="shared" si="1689"/>
        <v>0</v>
      </c>
      <c r="AO4880" s="498">
        <f t="shared" si="1690"/>
        <v>0</v>
      </c>
      <c r="AP4880" s="498">
        <f t="shared" si="1687"/>
        <v>0</v>
      </c>
      <c r="AQ4880" s="498">
        <f t="shared" si="1704"/>
        <v>0</v>
      </c>
      <c r="AU4880" s="498">
        <f t="shared" si="1691"/>
        <v>0</v>
      </c>
      <c r="AV4880" s="498">
        <f t="shared" si="1692"/>
        <v>0</v>
      </c>
      <c r="AW4880" s="498">
        <f t="shared" si="1693"/>
        <v>0</v>
      </c>
      <c r="AX4880" s="498">
        <f t="shared" si="1694"/>
        <v>0</v>
      </c>
      <c r="AY4880" s="498">
        <f t="shared" si="1695"/>
        <v>0</v>
      </c>
      <c r="BB4880" s="498" t="str">
        <f t="shared" si="1696"/>
        <v/>
      </c>
      <c r="BC4880" s="743" t="str">
        <f t="shared" si="1697"/>
        <v/>
      </c>
      <c r="BD4880" s="743" t="str">
        <f t="shared" si="1698"/>
        <v/>
      </c>
      <c r="BE4880" s="743" t="str">
        <f>IF(D4880="","",VLOOKUP(D4880,'General Basis'!$J$39:$K$46,2,0))</f>
        <v/>
      </c>
      <c r="BF4880" s="744" t="str">
        <f>IF(D4880="","",VLOOKUP(D4880,'General Basis'!$J$39:$L$46,3,0))</f>
        <v/>
      </c>
      <c r="BG4880" s="744" t="str">
        <f t="shared" si="1705"/>
        <v/>
      </c>
      <c r="BH4880" s="744" t="str">
        <f>IF(G4880="","",IF(BF4880="Abu Dhabi",IF(G4880&lt;18,'General Basis'!$C$39,IF(G4880&lt;41,'General Basis'!$C$40,IF(G4880&lt;60,'General Basis'!$C$41,IF(G4880&lt;65,'General Basis'!$C$42,'General Basis'!$C$43)))),IF(G4880&lt;11,'General Basis'!$B$39,IF(G4880&lt;18,'General Basis'!$B$40,IF(G4880&lt;26,'General Basis'!$B$41,IF(G4880&lt;31,'General Basis'!$B$42,IF(G4880&lt;36,'General Basis'!$B$43,IF(G4880&lt;41,'General Basis'!$B$44,IF(G4880&lt;46,'General Basis'!$B$45,IF(G4880&lt;51,'General Basis'!$B$46,IF(G4880&lt;56,'General Basis'!$B$47,IF(G4880&lt;60,'General Basis'!$B$48,IF(G4880&lt;65,'General Basis'!$B$49,'General Basis'!$B$50)))))))))))))</f>
        <v/>
      </c>
      <c r="BI4880" s="744" t="str">
        <f t="shared" si="1699"/>
        <v/>
      </c>
      <c r="BJ4880" s="747" t="str">
        <f t="shared" si="1706"/>
        <v/>
      </c>
      <c r="BK4880" s="498" t="str">
        <f t="shared" si="1700"/>
        <v/>
      </c>
      <c r="BL4880" s="498" t="str">
        <f t="shared" si="1701"/>
        <v/>
      </c>
    </row>
    <row r="4881" spans="1:64" x14ac:dyDescent="0.25">
      <c r="A4881" s="762">
        <f t="shared" si="1702"/>
        <v>4876</v>
      </c>
      <c r="B4881" s="229"/>
      <c r="C4881" s="223"/>
      <c r="D4881" s="224"/>
      <c r="E4881" s="225"/>
      <c r="F4881" s="1036" t="str">
        <f t="shared" si="1708"/>
        <v/>
      </c>
      <c r="G4881" s="1037" t="str">
        <f t="shared" si="1703"/>
        <v/>
      </c>
      <c r="H4881" s="225"/>
      <c r="I4881" s="1013"/>
      <c r="J4881" s="1013"/>
      <c r="K4881" s="1028"/>
      <c r="L4881" s="1035" t="str">
        <f t="shared" si="1707"/>
        <v/>
      </c>
      <c r="S4881" s="498"/>
      <c r="AJ4881" s="498"/>
      <c r="AM4881" s="498">
        <f t="shared" si="1688"/>
        <v>0</v>
      </c>
      <c r="AN4881" s="498">
        <f t="shared" si="1689"/>
        <v>0</v>
      </c>
      <c r="AO4881" s="498">
        <f t="shared" si="1690"/>
        <v>0</v>
      </c>
      <c r="AP4881" s="498">
        <f t="shared" si="1687"/>
        <v>0</v>
      </c>
      <c r="AQ4881" s="498">
        <f t="shared" si="1704"/>
        <v>0</v>
      </c>
      <c r="AU4881" s="498">
        <f t="shared" si="1691"/>
        <v>0</v>
      </c>
      <c r="AV4881" s="498">
        <f t="shared" si="1692"/>
        <v>0</v>
      </c>
      <c r="AW4881" s="498">
        <f t="shared" si="1693"/>
        <v>0</v>
      </c>
      <c r="AX4881" s="498">
        <f t="shared" si="1694"/>
        <v>0</v>
      </c>
      <c r="AY4881" s="498">
        <f t="shared" si="1695"/>
        <v>0</v>
      </c>
      <c r="BB4881" s="498" t="str">
        <f t="shared" si="1696"/>
        <v/>
      </c>
      <c r="BC4881" s="743" t="str">
        <f t="shared" si="1697"/>
        <v/>
      </c>
      <c r="BD4881" s="743" t="str">
        <f t="shared" si="1698"/>
        <v/>
      </c>
      <c r="BE4881" s="743" t="str">
        <f>IF(D4881="","",VLOOKUP(D4881,'General Basis'!$J$39:$K$46,2,0))</f>
        <v/>
      </c>
      <c r="BF4881" s="744" t="str">
        <f>IF(D4881="","",VLOOKUP(D4881,'General Basis'!$J$39:$L$46,3,0))</f>
        <v/>
      </c>
      <c r="BG4881" s="744" t="str">
        <f t="shared" si="1705"/>
        <v/>
      </c>
      <c r="BH4881" s="744" t="str">
        <f>IF(G4881="","",IF(BF4881="Abu Dhabi",IF(G4881&lt;18,'General Basis'!$C$39,IF(G4881&lt;41,'General Basis'!$C$40,IF(G4881&lt;60,'General Basis'!$C$41,IF(G4881&lt;65,'General Basis'!$C$42,'General Basis'!$C$43)))),IF(G4881&lt;11,'General Basis'!$B$39,IF(G4881&lt;18,'General Basis'!$B$40,IF(G4881&lt;26,'General Basis'!$B$41,IF(G4881&lt;31,'General Basis'!$B$42,IF(G4881&lt;36,'General Basis'!$B$43,IF(G4881&lt;41,'General Basis'!$B$44,IF(G4881&lt;46,'General Basis'!$B$45,IF(G4881&lt;51,'General Basis'!$B$46,IF(G4881&lt;56,'General Basis'!$B$47,IF(G4881&lt;60,'General Basis'!$B$48,IF(G4881&lt;65,'General Basis'!$B$49,'General Basis'!$B$50)))))))))))))</f>
        <v/>
      </c>
      <c r="BI4881" s="744" t="str">
        <f t="shared" si="1699"/>
        <v/>
      </c>
      <c r="BJ4881" s="747" t="str">
        <f t="shared" si="1706"/>
        <v/>
      </c>
      <c r="BK4881" s="498" t="str">
        <f t="shared" si="1700"/>
        <v/>
      </c>
      <c r="BL4881" s="498" t="str">
        <f t="shared" si="1701"/>
        <v/>
      </c>
    </row>
    <row r="4882" spans="1:64" x14ac:dyDescent="0.25">
      <c r="A4882" s="762">
        <f t="shared" si="1702"/>
        <v>4877</v>
      </c>
      <c r="B4882" s="229"/>
      <c r="C4882" s="223"/>
      <c r="D4882" s="224"/>
      <c r="E4882" s="225"/>
      <c r="F4882" s="1036" t="str">
        <f t="shared" si="1708"/>
        <v/>
      </c>
      <c r="G4882" s="1037" t="str">
        <f t="shared" si="1703"/>
        <v/>
      </c>
      <c r="H4882" s="225"/>
      <c r="I4882" s="1013"/>
      <c r="J4882" s="1013"/>
      <c r="K4882" s="1028"/>
      <c r="L4882" s="1035" t="str">
        <f t="shared" si="1707"/>
        <v/>
      </c>
      <c r="S4882" s="498"/>
      <c r="AJ4882" s="498"/>
      <c r="AM4882" s="498">
        <f t="shared" si="1688"/>
        <v>0</v>
      </c>
      <c r="AN4882" s="498">
        <f t="shared" si="1689"/>
        <v>0</v>
      </c>
      <c r="AO4882" s="498">
        <f t="shared" si="1690"/>
        <v>0</v>
      </c>
      <c r="AP4882" s="498">
        <f t="shared" si="1687"/>
        <v>0</v>
      </c>
      <c r="AQ4882" s="498">
        <f t="shared" si="1704"/>
        <v>0</v>
      </c>
      <c r="AU4882" s="498">
        <f t="shared" si="1691"/>
        <v>0</v>
      </c>
      <c r="AV4882" s="498">
        <f t="shared" si="1692"/>
        <v>0</v>
      </c>
      <c r="AW4882" s="498">
        <f t="shared" si="1693"/>
        <v>0</v>
      </c>
      <c r="AX4882" s="498">
        <f t="shared" si="1694"/>
        <v>0</v>
      </c>
      <c r="AY4882" s="498">
        <f t="shared" si="1695"/>
        <v>0</v>
      </c>
      <c r="BB4882" s="498" t="str">
        <f t="shared" si="1696"/>
        <v/>
      </c>
      <c r="BC4882" s="743" t="str">
        <f t="shared" si="1697"/>
        <v/>
      </c>
      <c r="BD4882" s="743" t="str">
        <f t="shared" si="1698"/>
        <v/>
      </c>
      <c r="BE4882" s="743" t="str">
        <f>IF(D4882="","",VLOOKUP(D4882,'General Basis'!$J$39:$K$46,2,0))</f>
        <v/>
      </c>
      <c r="BF4882" s="744" t="str">
        <f>IF(D4882="","",VLOOKUP(D4882,'General Basis'!$J$39:$L$46,3,0))</f>
        <v/>
      </c>
      <c r="BG4882" s="744" t="str">
        <f t="shared" si="1705"/>
        <v/>
      </c>
      <c r="BH4882" s="744" t="str">
        <f>IF(G4882="","",IF(BF4882="Abu Dhabi",IF(G4882&lt;18,'General Basis'!$C$39,IF(G4882&lt;41,'General Basis'!$C$40,IF(G4882&lt;60,'General Basis'!$C$41,IF(G4882&lt;65,'General Basis'!$C$42,'General Basis'!$C$43)))),IF(G4882&lt;11,'General Basis'!$B$39,IF(G4882&lt;18,'General Basis'!$B$40,IF(G4882&lt;26,'General Basis'!$B$41,IF(G4882&lt;31,'General Basis'!$B$42,IF(G4882&lt;36,'General Basis'!$B$43,IF(G4882&lt;41,'General Basis'!$B$44,IF(G4882&lt;46,'General Basis'!$B$45,IF(G4882&lt;51,'General Basis'!$B$46,IF(G4882&lt;56,'General Basis'!$B$47,IF(G4882&lt;60,'General Basis'!$B$48,IF(G4882&lt;65,'General Basis'!$B$49,'General Basis'!$B$50)))))))))))))</f>
        <v/>
      </c>
      <c r="BI4882" s="744" t="str">
        <f t="shared" si="1699"/>
        <v/>
      </c>
      <c r="BJ4882" s="747" t="str">
        <f t="shared" si="1706"/>
        <v/>
      </c>
      <c r="BK4882" s="498" t="str">
        <f t="shared" si="1700"/>
        <v/>
      </c>
      <c r="BL4882" s="498" t="str">
        <f t="shared" si="1701"/>
        <v/>
      </c>
    </row>
    <row r="4883" spans="1:64" x14ac:dyDescent="0.25">
      <c r="A4883" s="762">
        <f t="shared" si="1702"/>
        <v>4878</v>
      </c>
      <c r="B4883" s="229"/>
      <c r="C4883" s="223"/>
      <c r="D4883" s="224"/>
      <c r="E4883" s="225"/>
      <c r="F4883" s="1036" t="str">
        <f t="shared" si="1708"/>
        <v/>
      </c>
      <c r="G4883" s="1037" t="str">
        <f t="shared" si="1703"/>
        <v/>
      </c>
      <c r="H4883" s="225"/>
      <c r="I4883" s="1013"/>
      <c r="J4883" s="1013"/>
      <c r="K4883" s="1028"/>
      <c r="L4883" s="1035" t="str">
        <f t="shared" si="1707"/>
        <v/>
      </c>
      <c r="S4883" s="498"/>
      <c r="AJ4883" s="498"/>
      <c r="AM4883" s="498">
        <f t="shared" si="1688"/>
        <v>0</v>
      </c>
      <c r="AN4883" s="498">
        <f t="shared" si="1689"/>
        <v>0</v>
      </c>
      <c r="AO4883" s="498">
        <f t="shared" si="1690"/>
        <v>0</v>
      </c>
      <c r="AP4883" s="498">
        <f t="shared" ref="AP4883:AP4946" si="1709">IF(ISBLANK($B4883),0,IF(OR($C4883="M",$C4883="F"),0,1))</f>
        <v>0</v>
      </c>
      <c r="AQ4883" s="498">
        <f t="shared" si="1704"/>
        <v>0</v>
      </c>
      <c r="AU4883" s="498">
        <f t="shared" si="1691"/>
        <v>0</v>
      </c>
      <c r="AV4883" s="498">
        <f t="shared" si="1692"/>
        <v>0</v>
      </c>
      <c r="AW4883" s="498">
        <f t="shared" si="1693"/>
        <v>0</v>
      </c>
      <c r="AX4883" s="498">
        <f t="shared" si="1694"/>
        <v>0</v>
      </c>
      <c r="AY4883" s="498">
        <f t="shared" si="1695"/>
        <v>0</v>
      </c>
      <c r="BB4883" s="498" t="str">
        <f t="shared" si="1696"/>
        <v/>
      </c>
      <c r="BC4883" s="743" t="str">
        <f t="shared" si="1697"/>
        <v/>
      </c>
      <c r="BD4883" s="743" t="str">
        <f t="shared" si="1698"/>
        <v/>
      </c>
      <c r="BE4883" s="743" t="str">
        <f>IF(D4883="","",VLOOKUP(D4883,'General Basis'!$J$39:$K$46,2,0))</f>
        <v/>
      </c>
      <c r="BF4883" s="744" t="str">
        <f>IF(D4883="","",VLOOKUP(D4883,'General Basis'!$J$39:$L$46,3,0))</f>
        <v/>
      </c>
      <c r="BG4883" s="744" t="str">
        <f t="shared" si="1705"/>
        <v/>
      </c>
      <c r="BH4883" s="744" t="str">
        <f>IF(G4883="","",IF(BF4883="Abu Dhabi",IF(G4883&lt;18,'General Basis'!$C$39,IF(G4883&lt;41,'General Basis'!$C$40,IF(G4883&lt;60,'General Basis'!$C$41,IF(G4883&lt;65,'General Basis'!$C$42,'General Basis'!$C$43)))),IF(G4883&lt;11,'General Basis'!$B$39,IF(G4883&lt;18,'General Basis'!$B$40,IF(G4883&lt;26,'General Basis'!$B$41,IF(G4883&lt;31,'General Basis'!$B$42,IF(G4883&lt;36,'General Basis'!$B$43,IF(G4883&lt;41,'General Basis'!$B$44,IF(G4883&lt;46,'General Basis'!$B$45,IF(G4883&lt;51,'General Basis'!$B$46,IF(G4883&lt;56,'General Basis'!$B$47,IF(G4883&lt;60,'General Basis'!$B$48,IF(G4883&lt;65,'General Basis'!$B$49,'General Basis'!$B$50)))))))))))))</f>
        <v/>
      </c>
      <c r="BI4883" s="744" t="str">
        <f t="shared" si="1699"/>
        <v/>
      </c>
      <c r="BJ4883" s="747" t="str">
        <f t="shared" si="1706"/>
        <v/>
      </c>
      <c r="BK4883" s="498" t="str">
        <f t="shared" si="1700"/>
        <v/>
      </c>
      <c r="BL4883" s="498" t="str">
        <f t="shared" si="1701"/>
        <v/>
      </c>
    </row>
    <row r="4884" spans="1:64" x14ac:dyDescent="0.25">
      <c r="A4884" s="762">
        <f t="shared" si="1702"/>
        <v>4879</v>
      </c>
      <c r="B4884" s="229"/>
      <c r="C4884" s="223"/>
      <c r="D4884" s="224"/>
      <c r="E4884" s="225"/>
      <c r="F4884" s="1036" t="str">
        <f t="shared" si="1708"/>
        <v/>
      </c>
      <c r="G4884" s="1037" t="str">
        <f t="shared" si="1703"/>
        <v/>
      </c>
      <c r="H4884" s="225"/>
      <c r="I4884" s="1013"/>
      <c r="J4884" s="1013"/>
      <c r="K4884" s="1028"/>
      <c r="L4884" s="1035" t="str">
        <f t="shared" si="1707"/>
        <v/>
      </c>
      <c r="S4884" s="498"/>
      <c r="AJ4884" s="498"/>
      <c r="AM4884" s="498">
        <f t="shared" si="1688"/>
        <v>0</v>
      </c>
      <c r="AN4884" s="498">
        <f t="shared" si="1689"/>
        <v>0</v>
      </c>
      <c r="AO4884" s="498">
        <f t="shared" si="1690"/>
        <v>0</v>
      </c>
      <c r="AP4884" s="498">
        <f t="shared" si="1709"/>
        <v>0</v>
      </c>
      <c r="AQ4884" s="498">
        <f t="shared" si="1704"/>
        <v>0</v>
      </c>
      <c r="AU4884" s="498">
        <f t="shared" si="1691"/>
        <v>0</v>
      </c>
      <c r="AV4884" s="498">
        <f t="shared" si="1692"/>
        <v>0</v>
      </c>
      <c r="AW4884" s="498">
        <f t="shared" si="1693"/>
        <v>0</v>
      </c>
      <c r="AX4884" s="498">
        <f t="shared" si="1694"/>
        <v>0</v>
      </c>
      <c r="AY4884" s="498">
        <f t="shared" si="1695"/>
        <v>0</v>
      </c>
      <c r="BB4884" s="498" t="str">
        <f t="shared" si="1696"/>
        <v/>
      </c>
      <c r="BC4884" s="743" t="str">
        <f t="shared" si="1697"/>
        <v/>
      </c>
      <c r="BD4884" s="743" t="str">
        <f t="shared" si="1698"/>
        <v/>
      </c>
      <c r="BE4884" s="743" t="str">
        <f>IF(D4884="","",VLOOKUP(D4884,'General Basis'!$J$39:$K$46,2,0))</f>
        <v/>
      </c>
      <c r="BF4884" s="744" t="str">
        <f>IF(D4884="","",VLOOKUP(D4884,'General Basis'!$J$39:$L$46,3,0))</f>
        <v/>
      </c>
      <c r="BG4884" s="744" t="str">
        <f t="shared" si="1705"/>
        <v/>
      </c>
      <c r="BH4884" s="744" t="str">
        <f>IF(G4884="","",IF(BF4884="Abu Dhabi",IF(G4884&lt;18,'General Basis'!$C$39,IF(G4884&lt;41,'General Basis'!$C$40,IF(G4884&lt;60,'General Basis'!$C$41,IF(G4884&lt;65,'General Basis'!$C$42,'General Basis'!$C$43)))),IF(G4884&lt;11,'General Basis'!$B$39,IF(G4884&lt;18,'General Basis'!$B$40,IF(G4884&lt;26,'General Basis'!$B$41,IF(G4884&lt;31,'General Basis'!$B$42,IF(G4884&lt;36,'General Basis'!$B$43,IF(G4884&lt;41,'General Basis'!$B$44,IF(G4884&lt;46,'General Basis'!$B$45,IF(G4884&lt;51,'General Basis'!$B$46,IF(G4884&lt;56,'General Basis'!$B$47,IF(G4884&lt;60,'General Basis'!$B$48,IF(G4884&lt;65,'General Basis'!$B$49,'General Basis'!$B$50)))))))))))))</f>
        <v/>
      </c>
      <c r="BI4884" s="744" t="str">
        <f t="shared" si="1699"/>
        <v/>
      </c>
      <c r="BJ4884" s="747" t="str">
        <f t="shared" si="1706"/>
        <v/>
      </c>
      <c r="BK4884" s="498" t="str">
        <f t="shared" si="1700"/>
        <v/>
      </c>
      <c r="BL4884" s="498" t="str">
        <f t="shared" si="1701"/>
        <v/>
      </c>
    </row>
    <row r="4885" spans="1:64" x14ac:dyDescent="0.25">
      <c r="A4885" s="762">
        <f t="shared" si="1702"/>
        <v>4880</v>
      </c>
      <c r="B4885" s="229"/>
      <c r="C4885" s="223"/>
      <c r="D4885" s="224"/>
      <c r="E4885" s="225"/>
      <c r="F4885" s="1036" t="str">
        <f t="shared" si="1708"/>
        <v/>
      </c>
      <c r="G4885" s="1037" t="str">
        <f t="shared" si="1703"/>
        <v/>
      </c>
      <c r="H4885" s="225"/>
      <c r="I4885" s="1013"/>
      <c r="J4885" s="1013"/>
      <c r="K4885" s="1028"/>
      <c r="L4885" s="1035" t="str">
        <f t="shared" si="1707"/>
        <v/>
      </c>
      <c r="S4885" s="498"/>
      <c r="AJ4885" s="498"/>
      <c r="AM4885" s="498">
        <f t="shared" si="1688"/>
        <v>0</v>
      </c>
      <c r="AN4885" s="498">
        <f t="shared" si="1689"/>
        <v>0</v>
      </c>
      <c r="AO4885" s="498">
        <f t="shared" si="1690"/>
        <v>0</v>
      </c>
      <c r="AP4885" s="498">
        <f t="shared" si="1709"/>
        <v>0</v>
      </c>
      <c r="AQ4885" s="498">
        <f t="shared" si="1704"/>
        <v>0</v>
      </c>
      <c r="AU4885" s="498">
        <f t="shared" si="1691"/>
        <v>0</v>
      </c>
      <c r="AV4885" s="498">
        <f t="shared" si="1692"/>
        <v>0</v>
      </c>
      <c r="AW4885" s="498">
        <f t="shared" si="1693"/>
        <v>0</v>
      </c>
      <c r="AX4885" s="498">
        <f t="shared" si="1694"/>
        <v>0</v>
      </c>
      <c r="AY4885" s="498">
        <f t="shared" si="1695"/>
        <v>0</v>
      </c>
      <c r="BB4885" s="498" t="str">
        <f t="shared" si="1696"/>
        <v/>
      </c>
      <c r="BC4885" s="743" t="str">
        <f t="shared" si="1697"/>
        <v/>
      </c>
      <c r="BD4885" s="743" t="str">
        <f t="shared" si="1698"/>
        <v/>
      </c>
      <c r="BE4885" s="743" t="str">
        <f>IF(D4885="","",VLOOKUP(D4885,'General Basis'!$J$39:$K$46,2,0))</f>
        <v/>
      </c>
      <c r="BF4885" s="744" t="str">
        <f>IF(D4885="","",VLOOKUP(D4885,'General Basis'!$J$39:$L$46,3,0))</f>
        <v/>
      </c>
      <c r="BG4885" s="744" t="str">
        <f t="shared" si="1705"/>
        <v/>
      </c>
      <c r="BH4885" s="744" t="str">
        <f>IF(G4885="","",IF(BF4885="Abu Dhabi",IF(G4885&lt;18,'General Basis'!$C$39,IF(G4885&lt;41,'General Basis'!$C$40,IF(G4885&lt;60,'General Basis'!$C$41,IF(G4885&lt;65,'General Basis'!$C$42,'General Basis'!$C$43)))),IF(G4885&lt;11,'General Basis'!$B$39,IF(G4885&lt;18,'General Basis'!$B$40,IF(G4885&lt;26,'General Basis'!$B$41,IF(G4885&lt;31,'General Basis'!$B$42,IF(G4885&lt;36,'General Basis'!$B$43,IF(G4885&lt;41,'General Basis'!$B$44,IF(G4885&lt;46,'General Basis'!$B$45,IF(G4885&lt;51,'General Basis'!$B$46,IF(G4885&lt;56,'General Basis'!$B$47,IF(G4885&lt;60,'General Basis'!$B$48,IF(G4885&lt;65,'General Basis'!$B$49,'General Basis'!$B$50)))))))))))))</f>
        <v/>
      </c>
      <c r="BI4885" s="744" t="str">
        <f t="shared" si="1699"/>
        <v/>
      </c>
      <c r="BJ4885" s="747" t="str">
        <f t="shared" si="1706"/>
        <v/>
      </c>
      <c r="BK4885" s="498" t="str">
        <f t="shared" si="1700"/>
        <v/>
      </c>
      <c r="BL4885" s="498" t="str">
        <f t="shared" si="1701"/>
        <v/>
      </c>
    </row>
    <row r="4886" spans="1:64" x14ac:dyDescent="0.25">
      <c r="A4886" s="762">
        <f t="shared" si="1702"/>
        <v>4881</v>
      </c>
      <c r="B4886" s="229"/>
      <c r="C4886" s="223"/>
      <c r="D4886" s="224"/>
      <c r="E4886" s="225"/>
      <c r="F4886" s="1036" t="str">
        <f t="shared" si="1708"/>
        <v/>
      </c>
      <c r="G4886" s="1037" t="str">
        <f t="shared" si="1703"/>
        <v/>
      </c>
      <c r="H4886" s="225"/>
      <c r="I4886" s="1013"/>
      <c r="J4886" s="1013"/>
      <c r="K4886" s="1028"/>
      <c r="L4886" s="1035" t="str">
        <f t="shared" si="1707"/>
        <v/>
      </c>
      <c r="S4886" s="498"/>
      <c r="AJ4886" s="498"/>
      <c r="AM4886" s="498">
        <f t="shared" si="1688"/>
        <v>0</v>
      </c>
      <c r="AN4886" s="498">
        <f t="shared" si="1689"/>
        <v>0</v>
      </c>
      <c r="AO4886" s="498">
        <f t="shared" si="1690"/>
        <v>0</v>
      </c>
      <c r="AP4886" s="498">
        <f t="shared" si="1709"/>
        <v>0</v>
      </c>
      <c r="AQ4886" s="498">
        <f t="shared" si="1704"/>
        <v>0</v>
      </c>
      <c r="AU4886" s="498">
        <f t="shared" si="1691"/>
        <v>0</v>
      </c>
      <c r="AV4886" s="498">
        <f t="shared" si="1692"/>
        <v>0</v>
      </c>
      <c r="AW4886" s="498">
        <f t="shared" si="1693"/>
        <v>0</v>
      </c>
      <c r="AX4886" s="498">
        <f t="shared" si="1694"/>
        <v>0</v>
      </c>
      <c r="AY4886" s="498">
        <f t="shared" si="1695"/>
        <v>0</v>
      </c>
      <c r="BB4886" s="498" t="str">
        <f t="shared" si="1696"/>
        <v/>
      </c>
      <c r="BC4886" s="743" t="str">
        <f t="shared" si="1697"/>
        <v/>
      </c>
      <c r="BD4886" s="743" t="str">
        <f t="shared" si="1698"/>
        <v/>
      </c>
      <c r="BE4886" s="743" t="str">
        <f>IF(D4886="","",VLOOKUP(D4886,'General Basis'!$J$39:$K$46,2,0))</f>
        <v/>
      </c>
      <c r="BF4886" s="744" t="str">
        <f>IF(D4886="","",VLOOKUP(D4886,'General Basis'!$J$39:$L$46,3,0))</f>
        <v/>
      </c>
      <c r="BG4886" s="744" t="str">
        <f t="shared" si="1705"/>
        <v/>
      </c>
      <c r="BH4886" s="744" t="str">
        <f>IF(G4886="","",IF(BF4886="Abu Dhabi",IF(G4886&lt;18,'General Basis'!$C$39,IF(G4886&lt;41,'General Basis'!$C$40,IF(G4886&lt;60,'General Basis'!$C$41,IF(G4886&lt;65,'General Basis'!$C$42,'General Basis'!$C$43)))),IF(G4886&lt;11,'General Basis'!$B$39,IF(G4886&lt;18,'General Basis'!$B$40,IF(G4886&lt;26,'General Basis'!$B$41,IF(G4886&lt;31,'General Basis'!$B$42,IF(G4886&lt;36,'General Basis'!$B$43,IF(G4886&lt;41,'General Basis'!$B$44,IF(G4886&lt;46,'General Basis'!$B$45,IF(G4886&lt;51,'General Basis'!$B$46,IF(G4886&lt;56,'General Basis'!$B$47,IF(G4886&lt;60,'General Basis'!$B$48,IF(G4886&lt;65,'General Basis'!$B$49,'General Basis'!$B$50)))))))))))))</f>
        <v/>
      </c>
      <c r="BI4886" s="744" t="str">
        <f t="shared" si="1699"/>
        <v/>
      </c>
      <c r="BJ4886" s="747" t="str">
        <f t="shared" si="1706"/>
        <v/>
      </c>
      <c r="BK4886" s="498" t="str">
        <f t="shared" si="1700"/>
        <v/>
      </c>
      <c r="BL4886" s="498" t="str">
        <f t="shared" si="1701"/>
        <v/>
      </c>
    </row>
    <row r="4887" spans="1:64" x14ac:dyDescent="0.25">
      <c r="A4887" s="762">
        <f t="shared" si="1702"/>
        <v>4882</v>
      </c>
      <c r="B4887" s="229"/>
      <c r="C4887" s="223"/>
      <c r="D4887" s="224"/>
      <c r="E4887" s="225"/>
      <c r="F4887" s="1036" t="str">
        <f t="shared" si="1708"/>
        <v/>
      </c>
      <c r="G4887" s="1037" t="str">
        <f t="shared" si="1703"/>
        <v/>
      </c>
      <c r="H4887" s="225"/>
      <c r="I4887" s="1013"/>
      <c r="J4887" s="1013"/>
      <c r="K4887" s="1028"/>
      <c r="L4887" s="1035" t="str">
        <f t="shared" si="1707"/>
        <v/>
      </c>
      <c r="S4887" s="498"/>
      <c r="AJ4887" s="498"/>
      <c r="AM4887" s="498">
        <f t="shared" si="1688"/>
        <v>0</v>
      </c>
      <c r="AN4887" s="498">
        <f t="shared" si="1689"/>
        <v>0</v>
      </c>
      <c r="AO4887" s="498">
        <f t="shared" si="1690"/>
        <v>0</v>
      </c>
      <c r="AP4887" s="498">
        <f t="shared" si="1709"/>
        <v>0</v>
      </c>
      <c r="AQ4887" s="498">
        <f t="shared" si="1704"/>
        <v>0</v>
      </c>
      <c r="AU4887" s="498">
        <f t="shared" si="1691"/>
        <v>0</v>
      </c>
      <c r="AV4887" s="498">
        <f t="shared" si="1692"/>
        <v>0</v>
      </c>
      <c r="AW4887" s="498">
        <f t="shared" si="1693"/>
        <v>0</v>
      </c>
      <c r="AX4887" s="498">
        <f t="shared" si="1694"/>
        <v>0</v>
      </c>
      <c r="AY4887" s="498">
        <f t="shared" si="1695"/>
        <v>0</v>
      </c>
      <c r="BB4887" s="498" t="str">
        <f t="shared" si="1696"/>
        <v/>
      </c>
      <c r="BC4887" s="743" t="str">
        <f t="shared" si="1697"/>
        <v/>
      </c>
      <c r="BD4887" s="743" t="str">
        <f t="shared" si="1698"/>
        <v/>
      </c>
      <c r="BE4887" s="743" t="str">
        <f>IF(D4887="","",VLOOKUP(D4887,'General Basis'!$J$39:$K$46,2,0))</f>
        <v/>
      </c>
      <c r="BF4887" s="744" t="str">
        <f>IF(D4887="","",VLOOKUP(D4887,'General Basis'!$J$39:$L$46,3,0))</f>
        <v/>
      </c>
      <c r="BG4887" s="744" t="str">
        <f t="shared" si="1705"/>
        <v/>
      </c>
      <c r="BH4887" s="744" t="str">
        <f>IF(G4887="","",IF(BF4887="Abu Dhabi",IF(G4887&lt;18,'General Basis'!$C$39,IF(G4887&lt;41,'General Basis'!$C$40,IF(G4887&lt;60,'General Basis'!$C$41,IF(G4887&lt;65,'General Basis'!$C$42,'General Basis'!$C$43)))),IF(G4887&lt;11,'General Basis'!$B$39,IF(G4887&lt;18,'General Basis'!$B$40,IF(G4887&lt;26,'General Basis'!$B$41,IF(G4887&lt;31,'General Basis'!$B$42,IF(G4887&lt;36,'General Basis'!$B$43,IF(G4887&lt;41,'General Basis'!$B$44,IF(G4887&lt;46,'General Basis'!$B$45,IF(G4887&lt;51,'General Basis'!$B$46,IF(G4887&lt;56,'General Basis'!$B$47,IF(G4887&lt;60,'General Basis'!$B$48,IF(G4887&lt;65,'General Basis'!$B$49,'General Basis'!$B$50)))))))))))))</f>
        <v/>
      </c>
      <c r="BI4887" s="744" t="str">
        <f t="shared" si="1699"/>
        <v/>
      </c>
      <c r="BJ4887" s="747" t="str">
        <f t="shared" si="1706"/>
        <v/>
      </c>
      <c r="BK4887" s="498" t="str">
        <f t="shared" si="1700"/>
        <v/>
      </c>
      <c r="BL4887" s="498" t="str">
        <f t="shared" si="1701"/>
        <v/>
      </c>
    </row>
    <row r="4888" spans="1:64" x14ac:dyDescent="0.25">
      <c r="A4888" s="762">
        <f t="shared" si="1702"/>
        <v>4883</v>
      </c>
      <c r="B4888" s="229"/>
      <c r="C4888" s="223"/>
      <c r="D4888" s="224"/>
      <c r="E4888" s="225"/>
      <c r="F4888" s="1036" t="str">
        <f t="shared" si="1708"/>
        <v/>
      </c>
      <c r="G4888" s="1037" t="str">
        <f t="shared" si="1703"/>
        <v/>
      </c>
      <c r="H4888" s="225"/>
      <c r="I4888" s="1013"/>
      <c r="J4888" s="1013"/>
      <c r="K4888" s="1028"/>
      <c r="L4888" s="1035" t="str">
        <f t="shared" si="1707"/>
        <v/>
      </c>
      <c r="S4888" s="498"/>
      <c r="AJ4888" s="498"/>
      <c r="AM4888" s="498">
        <f t="shared" si="1688"/>
        <v>0</v>
      </c>
      <c r="AN4888" s="498">
        <f t="shared" si="1689"/>
        <v>0</v>
      </c>
      <c r="AO4888" s="498">
        <f t="shared" si="1690"/>
        <v>0</v>
      </c>
      <c r="AP4888" s="498">
        <f t="shared" si="1709"/>
        <v>0</v>
      </c>
      <c r="AQ4888" s="498">
        <f t="shared" si="1704"/>
        <v>0</v>
      </c>
      <c r="AU4888" s="498">
        <f t="shared" si="1691"/>
        <v>0</v>
      </c>
      <c r="AV4888" s="498">
        <f t="shared" si="1692"/>
        <v>0</v>
      </c>
      <c r="AW4888" s="498">
        <f t="shared" si="1693"/>
        <v>0</v>
      </c>
      <c r="AX4888" s="498">
        <f t="shared" si="1694"/>
        <v>0</v>
      </c>
      <c r="AY4888" s="498">
        <f t="shared" si="1695"/>
        <v>0</v>
      </c>
      <c r="BB4888" s="498" t="str">
        <f t="shared" si="1696"/>
        <v/>
      </c>
      <c r="BC4888" s="743" t="str">
        <f t="shared" si="1697"/>
        <v/>
      </c>
      <c r="BD4888" s="743" t="str">
        <f t="shared" si="1698"/>
        <v/>
      </c>
      <c r="BE4888" s="743" t="str">
        <f>IF(D4888="","",VLOOKUP(D4888,'General Basis'!$J$39:$K$46,2,0))</f>
        <v/>
      </c>
      <c r="BF4888" s="744" t="str">
        <f>IF(D4888="","",VLOOKUP(D4888,'General Basis'!$J$39:$L$46,3,0))</f>
        <v/>
      </c>
      <c r="BG4888" s="744" t="str">
        <f t="shared" si="1705"/>
        <v/>
      </c>
      <c r="BH4888" s="744" t="str">
        <f>IF(G4888="","",IF(BF4888="Abu Dhabi",IF(G4888&lt;18,'General Basis'!$C$39,IF(G4888&lt;41,'General Basis'!$C$40,IF(G4888&lt;60,'General Basis'!$C$41,IF(G4888&lt;65,'General Basis'!$C$42,'General Basis'!$C$43)))),IF(G4888&lt;11,'General Basis'!$B$39,IF(G4888&lt;18,'General Basis'!$B$40,IF(G4888&lt;26,'General Basis'!$B$41,IF(G4888&lt;31,'General Basis'!$B$42,IF(G4888&lt;36,'General Basis'!$B$43,IF(G4888&lt;41,'General Basis'!$B$44,IF(G4888&lt;46,'General Basis'!$B$45,IF(G4888&lt;51,'General Basis'!$B$46,IF(G4888&lt;56,'General Basis'!$B$47,IF(G4888&lt;60,'General Basis'!$B$48,IF(G4888&lt;65,'General Basis'!$B$49,'General Basis'!$B$50)))))))))))))</f>
        <v/>
      </c>
      <c r="BI4888" s="744" t="str">
        <f t="shared" si="1699"/>
        <v/>
      </c>
      <c r="BJ4888" s="747" t="str">
        <f t="shared" si="1706"/>
        <v/>
      </c>
      <c r="BK4888" s="498" t="str">
        <f t="shared" si="1700"/>
        <v/>
      </c>
      <c r="BL4888" s="498" t="str">
        <f t="shared" si="1701"/>
        <v/>
      </c>
    </row>
    <row r="4889" spans="1:64" x14ac:dyDescent="0.25">
      <c r="A4889" s="762">
        <f t="shared" si="1702"/>
        <v>4884</v>
      </c>
      <c r="B4889" s="229"/>
      <c r="C4889" s="223"/>
      <c r="D4889" s="224"/>
      <c r="E4889" s="225"/>
      <c r="F4889" s="1036" t="str">
        <f t="shared" si="1708"/>
        <v/>
      </c>
      <c r="G4889" s="1037" t="str">
        <f t="shared" si="1703"/>
        <v/>
      </c>
      <c r="H4889" s="225"/>
      <c r="I4889" s="1013"/>
      <c r="J4889" s="1013"/>
      <c r="K4889" s="1028"/>
      <c r="L4889" s="1035" t="str">
        <f t="shared" si="1707"/>
        <v/>
      </c>
      <c r="S4889" s="498"/>
      <c r="AJ4889" s="498"/>
      <c r="AM4889" s="498">
        <f t="shared" si="1688"/>
        <v>0</v>
      </c>
      <c r="AN4889" s="498">
        <f t="shared" si="1689"/>
        <v>0</v>
      </c>
      <c r="AO4889" s="498">
        <f t="shared" si="1690"/>
        <v>0</v>
      </c>
      <c r="AP4889" s="498">
        <f t="shared" si="1709"/>
        <v>0</v>
      </c>
      <c r="AQ4889" s="498">
        <f t="shared" si="1704"/>
        <v>0</v>
      </c>
      <c r="AU4889" s="498">
        <f t="shared" si="1691"/>
        <v>0</v>
      </c>
      <c r="AV4889" s="498">
        <f t="shared" si="1692"/>
        <v>0</v>
      </c>
      <c r="AW4889" s="498">
        <f t="shared" si="1693"/>
        <v>0</v>
      </c>
      <c r="AX4889" s="498">
        <f t="shared" si="1694"/>
        <v>0</v>
      </c>
      <c r="AY4889" s="498">
        <f t="shared" si="1695"/>
        <v>0</v>
      </c>
      <c r="BB4889" s="498" t="str">
        <f t="shared" si="1696"/>
        <v/>
      </c>
      <c r="BC4889" s="743" t="str">
        <f t="shared" si="1697"/>
        <v/>
      </c>
      <c r="BD4889" s="743" t="str">
        <f t="shared" si="1698"/>
        <v/>
      </c>
      <c r="BE4889" s="743" t="str">
        <f>IF(D4889="","",VLOOKUP(D4889,'General Basis'!$J$39:$K$46,2,0))</f>
        <v/>
      </c>
      <c r="BF4889" s="744" t="str">
        <f>IF(D4889="","",VLOOKUP(D4889,'General Basis'!$J$39:$L$46,3,0))</f>
        <v/>
      </c>
      <c r="BG4889" s="744" t="str">
        <f t="shared" si="1705"/>
        <v/>
      </c>
      <c r="BH4889" s="744" t="str">
        <f>IF(G4889="","",IF(BF4889="Abu Dhabi",IF(G4889&lt;18,'General Basis'!$C$39,IF(G4889&lt;41,'General Basis'!$C$40,IF(G4889&lt;60,'General Basis'!$C$41,IF(G4889&lt;65,'General Basis'!$C$42,'General Basis'!$C$43)))),IF(G4889&lt;11,'General Basis'!$B$39,IF(G4889&lt;18,'General Basis'!$B$40,IF(G4889&lt;26,'General Basis'!$B$41,IF(G4889&lt;31,'General Basis'!$B$42,IF(G4889&lt;36,'General Basis'!$B$43,IF(G4889&lt;41,'General Basis'!$B$44,IF(G4889&lt;46,'General Basis'!$B$45,IF(G4889&lt;51,'General Basis'!$B$46,IF(G4889&lt;56,'General Basis'!$B$47,IF(G4889&lt;60,'General Basis'!$B$48,IF(G4889&lt;65,'General Basis'!$B$49,'General Basis'!$B$50)))))))))))))</f>
        <v/>
      </c>
      <c r="BI4889" s="744" t="str">
        <f t="shared" si="1699"/>
        <v/>
      </c>
      <c r="BJ4889" s="747" t="str">
        <f t="shared" si="1706"/>
        <v/>
      </c>
      <c r="BK4889" s="498" t="str">
        <f t="shared" si="1700"/>
        <v/>
      </c>
      <c r="BL4889" s="498" t="str">
        <f t="shared" si="1701"/>
        <v/>
      </c>
    </row>
    <row r="4890" spans="1:64" x14ac:dyDescent="0.25">
      <c r="A4890" s="762">
        <f t="shared" si="1702"/>
        <v>4885</v>
      </c>
      <c r="B4890" s="229"/>
      <c r="C4890" s="223"/>
      <c r="D4890" s="224"/>
      <c r="E4890" s="225"/>
      <c r="F4890" s="1036" t="str">
        <f t="shared" si="1708"/>
        <v/>
      </c>
      <c r="G4890" s="1037" t="str">
        <f t="shared" si="1703"/>
        <v/>
      </c>
      <c r="H4890" s="225"/>
      <c r="I4890" s="1013"/>
      <c r="J4890" s="1013"/>
      <c r="K4890" s="1028"/>
      <c r="L4890" s="1035" t="str">
        <f t="shared" si="1707"/>
        <v/>
      </c>
      <c r="S4890" s="498"/>
      <c r="AJ4890" s="498"/>
      <c r="AM4890" s="498">
        <f t="shared" si="1688"/>
        <v>0</v>
      </c>
      <c r="AN4890" s="498">
        <f t="shared" si="1689"/>
        <v>0</v>
      </c>
      <c r="AO4890" s="498">
        <f t="shared" si="1690"/>
        <v>0</v>
      </c>
      <c r="AP4890" s="498">
        <f t="shared" si="1709"/>
        <v>0</v>
      </c>
      <c r="AQ4890" s="498">
        <f t="shared" si="1704"/>
        <v>0</v>
      </c>
      <c r="AU4890" s="498">
        <f t="shared" si="1691"/>
        <v>0</v>
      </c>
      <c r="AV4890" s="498">
        <f t="shared" si="1692"/>
        <v>0</v>
      </c>
      <c r="AW4890" s="498">
        <f t="shared" si="1693"/>
        <v>0</v>
      </c>
      <c r="AX4890" s="498">
        <f t="shared" si="1694"/>
        <v>0</v>
      </c>
      <c r="AY4890" s="498">
        <f t="shared" si="1695"/>
        <v>0</v>
      </c>
      <c r="BB4890" s="498" t="str">
        <f t="shared" si="1696"/>
        <v/>
      </c>
      <c r="BC4890" s="743" t="str">
        <f t="shared" si="1697"/>
        <v/>
      </c>
      <c r="BD4890" s="743" t="str">
        <f t="shared" si="1698"/>
        <v/>
      </c>
      <c r="BE4890" s="743" t="str">
        <f>IF(D4890="","",VLOOKUP(D4890,'General Basis'!$J$39:$K$46,2,0))</f>
        <v/>
      </c>
      <c r="BF4890" s="744" t="str">
        <f>IF(D4890="","",VLOOKUP(D4890,'General Basis'!$J$39:$L$46,3,0))</f>
        <v/>
      </c>
      <c r="BG4890" s="744" t="str">
        <f t="shared" si="1705"/>
        <v/>
      </c>
      <c r="BH4890" s="744" t="str">
        <f>IF(G4890="","",IF(BF4890="Abu Dhabi",IF(G4890&lt;18,'General Basis'!$C$39,IF(G4890&lt;41,'General Basis'!$C$40,IF(G4890&lt;60,'General Basis'!$C$41,IF(G4890&lt;65,'General Basis'!$C$42,'General Basis'!$C$43)))),IF(G4890&lt;11,'General Basis'!$B$39,IF(G4890&lt;18,'General Basis'!$B$40,IF(G4890&lt;26,'General Basis'!$B$41,IF(G4890&lt;31,'General Basis'!$B$42,IF(G4890&lt;36,'General Basis'!$B$43,IF(G4890&lt;41,'General Basis'!$B$44,IF(G4890&lt;46,'General Basis'!$B$45,IF(G4890&lt;51,'General Basis'!$B$46,IF(G4890&lt;56,'General Basis'!$B$47,IF(G4890&lt;60,'General Basis'!$B$48,IF(G4890&lt;65,'General Basis'!$B$49,'General Basis'!$B$50)))))))))))))</f>
        <v/>
      </c>
      <c r="BI4890" s="744" t="str">
        <f t="shared" si="1699"/>
        <v/>
      </c>
      <c r="BJ4890" s="747" t="str">
        <f t="shared" si="1706"/>
        <v/>
      </c>
      <c r="BK4890" s="498" t="str">
        <f t="shared" si="1700"/>
        <v/>
      </c>
      <c r="BL4890" s="498" t="str">
        <f t="shared" si="1701"/>
        <v/>
      </c>
    </row>
    <row r="4891" spans="1:64" x14ac:dyDescent="0.25">
      <c r="A4891" s="762">
        <f t="shared" si="1702"/>
        <v>4886</v>
      </c>
      <c r="B4891" s="229"/>
      <c r="C4891" s="223"/>
      <c r="D4891" s="224"/>
      <c r="E4891" s="225"/>
      <c r="F4891" s="1036" t="str">
        <f t="shared" si="1708"/>
        <v/>
      </c>
      <c r="G4891" s="1037" t="str">
        <f t="shared" si="1703"/>
        <v/>
      </c>
      <c r="H4891" s="225"/>
      <c r="I4891" s="1013"/>
      <c r="J4891" s="1013"/>
      <c r="K4891" s="1028"/>
      <c r="L4891" s="1035" t="str">
        <f t="shared" si="1707"/>
        <v/>
      </c>
      <c r="S4891" s="498"/>
      <c r="AJ4891" s="498"/>
      <c r="AM4891" s="498">
        <f t="shared" si="1688"/>
        <v>0</v>
      </c>
      <c r="AN4891" s="498">
        <f t="shared" si="1689"/>
        <v>0</v>
      </c>
      <c r="AO4891" s="498">
        <f t="shared" si="1690"/>
        <v>0</v>
      </c>
      <c r="AP4891" s="498">
        <f t="shared" si="1709"/>
        <v>0</v>
      </c>
      <c r="AQ4891" s="498">
        <f t="shared" si="1704"/>
        <v>0</v>
      </c>
      <c r="AU4891" s="498">
        <f t="shared" si="1691"/>
        <v>0</v>
      </c>
      <c r="AV4891" s="498">
        <f t="shared" si="1692"/>
        <v>0</v>
      </c>
      <c r="AW4891" s="498">
        <f t="shared" si="1693"/>
        <v>0</v>
      </c>
      <c r="AX4891" s="498">
        <f t="shared" si="1694"/>
        <v>0</v>
      </c>
      <c r="AY4891" s="498">
        <f t="shared" si="1695"/>
        <v>0</v>
      </c>
      <c r="BB4891" s="498" t="str">
        <f t="shared" si="1696"/>
        <v/>
      </c>
      <c r="BC4891" s="743" t="str">
        <f t="shared" si="1697"/>
        <v/>
      </c>
      <c r="BD4891" s="743" t="str">
        <f t="shared" si="1698"/>
        <v/>
      </c>
      <c r="BE4891" s="743" t="str">
        <f>IF(D4891="","",VLOOKUP(D4891,'General Basis'!$J$39:$K$46,2,0))</f>
        <v/>
      </c>
      <c r="BF4891" s="744" t="str">
        <f>IF(D4891="","",VLOOKUP(D4891,'General Basis'!$J$39:$L$46,3,0))</f>
        <v/>
      </c>
      <c r="BG4891" s="744" t="str">
        <f t="shared" si="1705"/>
        <v/>
      </c>
      <c r="BH4891" s="744" t="str">
        <f>IF(G4891="","",IF(BF4891="Abu Dhabi",IF(G4891&lt;18,'General Basis'!$C$39,IF(G4891&lt;41,'General Basis'!$C$40,IF(G4891&lt;60,'General Basis'!$C$41,IF(G4891&lt;65,'General Basis'!$C$42,'General Basis'!$C$43)))),IF(G4891&lt;11,'General Basis'!$B$39,IF(G4891&lt;18,'General Basis'!$B$40,IF(G4891&lt;26,'General Basis'!$B$41,IF(G4891&lt;31,'General Basis'!$B$42,IF(G4891&lt;36,'General Basis'!$B$43,IF(G4891&lt;41,'General Basis'!$B$44,IF(G4891&lt;46,'General Basis'!$B$45,IF(G4891&lt;51,'General Basis'!$B$46,IF(G4891&lt;56,'General Basis'!$B$47,IF(G4891&lt;60,'General Basis'!$B$48,IF(G4891&lt;65,'General Basis'!$B$49,'General Basis'!$B$50)))))))))))))</f>
        <v/>
      </c>
      <c r="BI4891" s="744" t="str">
        <f t="shared" si="1699"/>
        <v/>
      </c>
      <c r="BJ4891" s="747" t="str">
        <f t="shared" si="1706"/>
        <v/>
      </c>
      <c r="BK4891" s="498" t="str">
        <f t="shared" si="1700"/>
        <v/>
      </c>
      <c r="BL4891" s="498" t="str">
        <f t="shared" si="1701"/>
        <v/>
      </c>
    </row>
    <row r="4892" spans="1:64" x14ac:dyDescent="0.25">
      <c r="A4892" s="762">
        <f t="shared" si="1702"/>
        <v>4887</v>
      </c>
      <c r="B4892" s="229"/>
      <c r="C4892" s="223"/>
      <c r="D4892" s="224"/>
      <c r="E4892" s="225"/>
      <c r="F4892" s="1036" t="str">
        <f t="shared" si="1708"/>
        <v/>
      </c>
      <c r="G4892" s="1037" t="str">
        <f t="shared" si="1703"/>
        <v/>
      </c>
      <c r="H4892" s="225"/>
      <c r="I4892" s="1013"/>
      <c r="J4892" s="1013"/>
      <c r="K4892" s="1028"/>
      <c r="L4892" s="1035" t="str">
        <f t="shared" si="1707"/>
        <v/>
      </c>
      <c r="S4892" s="498"/>
      <c r="AJ4892" s="498"/>
      <c r="AM4892" s="498">
        <f t="shared" si="1688"/>
        <v>0</v>
      </c>
      <c r="AN4892" s="498">
        <f t="shared" si="1689"/>
        <v>0</v>
      </c>
      <c r="AO4892" s="498">
        <f t="shared" si="1690"/>
        <v>0</v>
      </c>
      <c r="AP4892" s="498">
        <f t="shared" si="1709"/>
        <v>0</v>
      </c>
      <c r="AQ4892" s="498">
        <f t="shared" si="1704"/>
        <v>0</v>
      </c>
      <c r="AU4892" s="498">
        <f t="shared" si="1691"/>
        <v>0</v>
      </c>
      <c r="AV4892" s="498">
        <f t="shared" si="1692"/>
        <v>0</v>
      </c>
      <c r="AW4892" s="498">
        <f t="shared" si="1693"/>
        <v>0</v>
      </c>
      <c r="AX4892" s="498">
        <f t="shared" si="1694"/>
        <v>0</v>
      </c>
      <c r="AY4892" s="498">
        <f t="shared" si="1695"/>
        <v>0</v>
      </c>
      <c r="BB4892" s="498" t="str">
        <f t="shared" si="1696"/>
        <v/>
      </c>
      <c r="BC4892" s="743" t="str">
        <f t="shared" si="1697"/>
        <v/>
      </c>
      <c r="BD4892" s="743" t="str">
        <f t="shared" si="1698"/>
        <v/>
      </c>
      <c r="BE4892" s="743" t="str">
        <f>IF(D4892="","",VLOOKUP(D4892,'General Basis'!$J$39:$K$46,2,0))</f>
        <v/>
      </c>
      <c r="BF4892" s="744" t="str">
        <f>IF(D4892="","",VLOOKUP(D4892,'General Basis'!$J$39:$L$46,3,0))</f>
        <v/>
      </c>
      <c r="BG4892" s="744" t="str">
        <f t="shared" si="1705"/>
        <v/>
      </c>
      <c r="BH4892" s="744" t="str">
        <f>IF(G4892="","",IF(BF4892="Abu Dhabi",IF(G4892&lt;18,'General Basis'!$C$39,IF(G4892&lt;41,'General Basis'!$C$40,IF(G4892&lt;60,'General Basis'!$C$41,IF(G4892&lt;65,'General Basis'!$C$42,'General Basis'!$C$43)))),IF(G4892&lt;11,'General Basis'!$B$39,IF(G4892&lt;18,'General Basis'!$B$40,IF(G4892&lt;26,'General Basis'!$B$41,IF(G4892&lt;31,'General Basis'!$B$42,IF(G4892&lt;36,'General Basis'!$B$43,IF(G4892&lt;41,'General Basis'!$B$44,IF(G4892&lt;46,'General Basis'!$B$45,IF(G4892&lt;51,'General Basis'!$B$46,IF(G4892&lt;56,'General Basis'!$B$47,IF(G4892&lt;60,'General Basis'!$B$48,IF(G4892&lt;65,'General Basis'!$B$49,'General Basis'!$B$50)))))))))))))</f>
        <v/>
      </c>
      <c r="BI4892" s="744" t="str">
        <f t="shared" si="1699"/>
        <v/>
      </c>
      <c r="BJ4892" s="747" t="str">
        <f t="shared" si="1706"/>
        <v/>
      </c>
      <c r="BK4892" s="498" t="str">
        <f t="shared" si="1700"/>
        <v/>
      </c>
      <c r="BL4892" s="498" t="str">
        <f t="shared" si="1701"/>
        <v/>
      </c>
    </row>
    <row r="4893" spans="1:64" x14ac:dyDescent="0.25">
      <c r="A4893" s="762">
        <f t="shared" si="1702"/>
        <v>4888</v>
      </c>
      <c r="B4893" s="229"/>
      <c r="C4893" s="223"/>
      <c r="D4893" s="224"/>
      <c r="E4893" s="225"/>
      <c r="F4893" s="1036" t="str">
        <f t="shared" si="1708"/>
        <v/>
      </c>
      <c r="G4893" s="1037" t="str">
        <f t="shared" si="1703"/>
        <v/>
      </c>
      <c r="H4893" s="225"/>
      <c r="I4893" s="1013"/>
      <c r="J4893" s="1013"/>
      <c r="K4893" s="1028"/>
      <c r="L4893" s="1035" t="str">
        <f t="shared" si="1707"/>
        <v/>
      </c>
      <c r="S4893" s="498"/>
      <c r="AJ4893" s="498"/>
      <c r="AM4893" s="498">
        <f t="shared" si="1688"/>
        <v>0</v>
      </c>
      <c r="AN4893" s="498">
        <f t="shared" si="1689"/>
        <v>0</v>
      </c>
      <c r="AO4893" s="498">
        <f t="shared" si="1690"/>
        <v>0</v>
      </c>
      <c r="AP4893" s="498">
        <f t="shared" si="1709"/>
        <v>0</v>
      </c>
      <c r="AQ4893" s="498">
        <f t="shared" si="1704"/>
        <v>0</v>
      </c>
      <c r="AU4893" s="498">
        <f t="shared" si="1691"/>
        <v>0</v>
      </c>
      <c r="AV4893" s="498">
        <f t="shared" si="1692"/>
        <v>0</v>
      </c>
      <c r="AW4893" s="498">
        <f t="shared" si="1693"/>
        <v>0</v>
      </c>
      <c r="AX4893" s="498">
        <f t="shared" si="1694"/>
        <v>0</v>
      </c>
      <c r="AY4893" s="498">
        <f t="shared" si="1695"/>
        <v>0</v>
      </c>
      <c r="BB4893" s="498" t="str">
        <f t="shared" si="1696"/>
        <v/>
      </c>
      <c r="BC4893" s="743" t="str">
        <f t="shared" si="1697"/>
        <v/>
      </c>
      <c r="BD4893" s="743" t="str">
        <f t="shared" si="1698"/>
        <v/>
      </c>
      <c r="BE4893" s="743" t="str">
        <f>IF(D4893="","",VLOOKUP(D4893,'General Basis'!$J$39:$K$46,2,0))</f>
        <v/>
      </c>
      <c r="BF4893" s="744" t="str">
        <f>IF(D4893="","",VLOOKUP(D4893,'General Basis'!$J$39:$L$46,3,0))</f>
        <v/>
      </c>
      <c r="BG4893" s="744" t="str">
        <f t="shared" si="1705"/>
        <v/>
      </c>
      <c r="BH4893" s="744" t="str">
        <f>IF(G4893="","",IF(BF4893="Abu Dhabi",IF(G4893&lt;18,'General Basis'!$C$39,IF(G4893&lt;41,'General Basis'!$C$40,IF(G4893&lt;60,'General Basis'!$C$41,IF(G4893&lt;65,'General Basis'!$C$42,'General Basis'!$C$43)))),IF(G4893&lt;11,'General Basis'!$B$39,IF(G4893&lt;18,'General Basis'!$B$40,IF(G4893&lt;26,'General Basis'!$B$41,IF(G4893&lt;31,'General Basis'!$B$42,IF(G4893&lt;36,'General Basis'!$B$43,IF(G4893&lt;41,'General Basis'!$B$44,IF(G4893&lt;46,'General Basis'!$B$45,IF(G4893&lt;51,'General Basis'!$B$46,IF(G4893&lt;56,'General Basis'!$B$47,IF(G4893&lt;60,'General Basis'!$B$48,IF(G4893&lt;65,'General Basis'!$B$49,'General Basis'!$B$50)))))))))))))</f>
        <v/>
      </c>
      <c r="BI4893" s="744" t="str">
        <f t="shared" si="1699"/>
        <v/>
      </c>
      <c r="BJ4893" s="747" t="str">
        <f t="shared" si="1706"/>
        <v/>
      </c>
      <c r="BK4893" s="498" t="str">
        <f t="shared" si="1700"/>
        <v/>
      </c>
      <c r="BL4893" s="498" t="str">
        <f t="shared" si="1701"/>
        <v/>
      </c>
    </row>
    <row r="4894" spans="1:64" x14ac:dyDescent="0.25">
      <c r="A4894" s="762">
        <f t="shared" si="1702"/>
        <v>4889</v>
      </c>
      <c r="B4894" s="229"/>
      <c r="C4894" s="223"/>
      <c r="D4894" s="224"/>
      <c r="E4894" s="225"/>
      <c r="F4894" s="1036" t="str">
        <f t="shared" si="1708"/>
        <v/>
      </c>
      <c r="G4894" s="1037" t="str">
        <f t="shared" si="1703"/>
        <v/>
      </c>
      <c r="H4894" s="225"/>
      <c r="I4894" s="1013"/>
      <c r="J4894" s="1013"/>
      <c r="K4894" s="1028"/>
      <c r="L4894" s="1035" t="str">
        <f t="shared" si="1707"/>
        <v/>
      </c>
      <c r="S4894" s="498"/>
      <c r="AJ4894" s="498"/>
      <c r="AM4894" s="498">
        <f t="shared" si="1688"/>
        <v>0</v>
      </c>
      <c r="AN4894" s="498">
        <f t="shared" si="1689"/>
        <v>0</v>
      </c>
      <c r="AO4894" s="498">
        <f t="shared" si="1690"/>
        <v>0</v>
      </c>
      <c r="AP4894" s="498">
        <f t="shared" si="1709"/>
        <v>0</v>
      </c>
      <c r="AQ4894" s="498">
        <f t="shared" si="1704"/>
        <v>0</v>
      </c>
      <c r="AU4894" s="498">
        <f t="shared" si="1691"/>
        <v>0</v>
      </c>
      <c r="AV4894" s="498">
        <f t="shared" si="1692"/>
        <v>0</v>
      </c>
      <c r="AW4894" s="498">
        <f t="shared" si="1693"/>
        <v>0</v>
      </c>
      <c r="AX4894" s="498">
        <f t="shared" si="1694"/>
        <v>0</v>
      </c>
      <c r="AY4894" s="498">
        <f t="shared" si="1695"/>
        <v>0</v>
      </c>
      <c r="BB4894" s="498" t="str">
        <f t="shared" si="1696"/>
        <v/>
      </c>
      <c r="BC4894" s="743" t="str">
        <f t="shared" si="1697"/>
        <v/>
      </c>
      <c r="BD4894" s="743" t="str">
        <f t="shared" si="1698"/>
        <v/>
      </c>
      <c r="BE4894" s="743" t="str">
        <f>IF(D4894="","",VLOOKUP(D4894,'General Basis'!$J$39:$K$46,2,0))</f>
        <v/>
      </c>
      <c r="BF4894" s="744" t="str">
        <f>IF(D4894="","",VLOOKUP(D4894,'General Basis'!$J$39:$L$46,3,0))</f>
        <v/>
      </c>
      <c r="BG4894" s="744" t="str">
        <f t="shared" si="1705"/>
        <v/>
      </c>
      <c r="BH4894" s="744" t="str">
        <f>IF(G4894="","",IF(BF4894="Abu Dhabi",IF(G4894&lt;18,'General Basis'!$C$39,IF(G4894&lt;41,'General Basis'!$C$40,IF(G4894&lt;60,'General Basis'!$C$41,IF(G4894&lt;65,'General Basis'!$C$42,'General Basis'!$C$43)))),IF(G4894&lt;11,'General Basis'!$B$39,IF(G4894&lt;18,'General Basis'!$B$40,IF(G4894&lt;26,'General Basis'!$B$41,IF(G4894&lt;31,'General Basis'!$B$42,IF(G4894&lt;36,'General Basis'!$B$43,IF(G4894&lt;41,'General Basis'!$B$44,IF(G4894&lt;46,'General Basis'!$B$45,IF(G4894&lt;51,'General Basis'!$B$46,IF(G4894&lt;56,'General Basis'!$B$47,IF(G4894&lt;60,'General Basis'!$B$48,IF(G4894&lt;65,'General Basis'!$B$49,'General Basis'!$B$50)))))))))))))</f>
        <v/>
      </c>
      <c r="BI4894" s="744" t="str">
        <f t="shared" si="1699"/>
        <v/>
      </c>
      <c r="BJ4894" s="747" t="str">
        <f t="shared" si="1706"/>
        <v/>
      </c>
      <c r="BK4894" s="498" t="str">
        <f t="shared" si="1700"/>
        <v/>
      </c>
      <c r="BL4894" s="498" t="str">
        <f t="shared" si="1701"/>
        <v/>
      </c>
    </row>
    <row r="4895" spans="1:64" x14ac:dyDescent="0.25">
      <c r="A4895" s="762">
        <f t="shared" si="1702"/>
        <v>4890</v>
      </c>
      <c r="B4895" s="229"/>
      <c r="C4895" s="223"/>
      <c r="D4895" s="224"/>
      <c r="E4895" s="225"/>
      <c r="F4895" s="1036" t="str">
        <f t="shared" si="1708"/>
        <v/>
      </c>
      <c r="G4895" s="1037" t="str">
        <f t="shared" si="1703"/>
        <v/>
      </c>
      <c r="H4895" s="225"/>
      <c r="I4895" s="1013"/>
      <c r="J4895" s="1013"/>
      <c r="K4895" s="1028"/>
      <c r="L4895" s="1035" t="str">
        <f t="shared" si="1707"/>
        <v/>
      </c>
      <c r="S4895" s="498"/>
      <c r="AJ4895" s="498"/>
      <c r="AM4895" s="498">
        <f t="shared" si="1688"/>
        <v>0</v>
      </c>
      <c r="AN4895" s="498">
        <f t="shared" si="1689"/>
        <v>0</v>
      </c>
      <c r="AO4895" s="498">
        <f t="shared" si="1690"/>
        <v>0</v>
      </c>
      <c r="AP4895" s="498">
        <f t="shared" si="1709"/>
        <v>0</v>
      </c>
      <c r="AQ4895" s="498">
        <f t="shared" si="1704"/>
        <v>0</v>
      </c>
      <c r="AU4895" s="498">
        <f t="shared" si="1691"/>
        <v>0</v>
      </c>
      <c r="AV4895" s="498">
        <f t="shared" si="1692"/>
        <v>0</v>
      </c>
      <c r="AW4895" s="498">
        <f t="shared" si="1693"/>
        <v>0</v>
      </c>
      <c r="AX4895" s="498">
        <f t="shared" si="1694"/>
        <v>0</v>
      </c>
      <c r="AY4895" s="498">
        <f t="shared" si="1695"/>
        <v>0</v>
      </c>
      <c r="BB4895" s="498" t="str">
        <f t="shared" si="1696"/>
        <v/>
      </c>
      <c r="BC4895" s="743" t="str">
        <f t="shared" si="1697"/>
        <v/>
      </c>
      <c r="BD4895" s="743" t="str">
        <f t="shared" si="1698"/>
        <v/>
      </c>
      <c r="BE4895" s="743" t="str">
        <f>IF(D4895="","",VLOOKUP(D4895,'General Basis'!$J$39:$K$46,2,0))</f>
        <v/>
      </c>
      <c r="BF4895" s="744" t="str">
        <f>IF(D4895="","",VLOOKUP(D4895,'General Basis'!$J$39:$L$46,3,0))</f>
        <v/>
      </c>
      <c r="BG4895" s="744" t="str">
        <f t="shared" si="1705"/>
        <v/>
      </c>
      <c r="BH4895" s="744" t="str">
        <f>IF(G4895="","",IF(BF4895="Abu Dhabi",IF(G4895&lt;18,'General Basis'!$C$39,IF(G4895&lt;41,'General Basis'!$C$40,IF(G4895&lt;60,'General Basis'!$C$41,IF(G4895&lt;65,'General Basis'!$C$42,'General Basis'!$C$43)))),IF(G4895&lt;11,'General Basis'!$B$39,IF(G4895&lt;18,'General Basis'!$B$40,IF(G4895&lt;26,'General Basis'!$B$41,IF(G4895&lt;31,'General Basis'!$B$42,IF(G4895&lt;36,'General Basis'!$B$43,IF(G4895&lt;41,'General Basis'!$B$44,IF(G4895&lt;46,'General Basis'!$B$45,IF(G4895&lt;51,'General Basis'!$B$46,IF(G4895&lt;56,'General Basis'!$B$47,IF(G4895&lt;60,'General Basis'!$B$48,IF(G4895&lt;65,'General Basis'!$B$49,'General Basis'!$B$50)))))))))))))</f>
        <v/>
      </c>
      <c r="BI4895" s="744" t="str">
        <f t="shared" si="1699"/>
        <v/>
      </c>
      <c r="BJ4895" s="747" t="str">
        <f t="shared" si="1706"/>
        <v/>
      </c>
      <c r="BK4895" s="498" t="str">
        <f t="shared" si="1700"/>
        <v/>
      </c>
      <c r="BL4895" s="498" t="str">
        <f t="shared" si="1701"/>
        <v/>
      </c>
    </row>
    <row r="4896" spans="1:64" x14ac:dyDescent="0.25">
      <c r="A4896" s="762">
        <f t="shared" si="1702"/>
        <v>4891</v>
      </c>
      <c r="B4896" s="229"/>
      <c r="C4896" s="223"/>
      <c r="D4896" s="224"/>
      <c r="E4896" s="225"/>
      <c r="F4896" s="1036" t="str">
        <f t="shared" si="1708"/>
        <v/>
      </c>
      <c r="G4896" s="1037" t="str">
        <f t="shared" si="1703"/>
        <v/>
      </c>
      <c r="H4896" s="225"/>
      <c r="I4896" s="1013"/>
      <c r="J4896" s="1013"/>
      <c r="K4896" s="1028"/>
      <c r="L4896" s="1035" t="str">
        <f t="shared" si="1707"/>
        <v/>
      </c>
      <c r="S4896" s="498"/>
      <c r="AJ4896" s="498"/>
      <c r="AM4896" s="498">
        <f t="shared" si="1688"/>
        <v>0</v>
      </c>
      <c r="AN4896" s="498">
        <f t="shared" si="1689"/>
        <v>0</v>
      </c>
      <c r="AO4896" s="498">
        <f t="shared" si="1690"/>
        <v>0</v>
      </c>
      <c r="AP4896" s="498">
        <f t="shared" si="1709"/>
        <v>0</v>
      </c>
      <c r="AQ4896" s="498">
        <f t="shared" si="1704"/>
        <v>0</v>
      </c>
      <c r="AU4896" s="498">
        <f t="shared" si="1691"/>
        <v>0</v>
      </c>
      <c r="AV4896" s="498">
        <f t="shared" si="1692"/>
        <v>0</v>
      </c>
      <c r="AW4896" s="498">
        <f t="shared" si="1693"/>
        <v>0</v>
      </c>
      <c r="AX4896" s="498">
        <f t="shared" si="1694"/>
        <v>0</v>
      </c>
      <c r="AY4896" s="498">
        <f t="shared" si="1695"/>
        <v>0</v>
      </c>
      <c r="BB4896" s="498" t="str">
        <f t="shared" si="1696"/>
        <v/>
      </c>
      <c r="BC4896" s="743" t="str">
        <f t="shared" si="1697"/>
        <v/>
      </c>
      <c r="BD4896" s="743" t="str">
        <f t="shared" si="1698"/>
        <v/>
      </c>
      <c r="BE4896" s="743" t="str">
        <f>IF(D4896="","",VLOOKUP(D4896,'General Basis'!$J$39:$K$46,2,0))</f>
        <v/>
      </c>
      <c r="BF4896" s="744" t="str">
        <f>IF(D4896="","",VLOOKUP(D4896,'General Basis'!$J$39:$L$46,3,0))</f>
        <v/>
      </c>
      <c r="BG4896" s="744" t="str">
        <f t="shared" si="1705"/>
        <v/>
      </c>
      <c r="BH4896" s="744" t="str">
        <f>IF(G4896="","",IF(BF4896="Abu Dhabi",IF(G4896&lt;18,'General Basis'!$C$39,IF(G4896&lt;41,'General Basis'!$C$40,IF(G4896&lt;60,'General Basis'!$C$41,IF(G4896&lt;65,'General Basis'!$C$42,'General Basis'!$C$43)))),IF(G4896&lt;11,'General Basis'!$B$39,IF(G4896&lt;18,'General Basis'!$B$40,IF(G4896&lt;26,'General Basis'!$B$41,IF(G4896&lt;31,'General Basis'!$B$42,IF(G4896&lt;36,'General Basis'!$B$43,IF(G4896&lt;41,'General Basis'!$B$44,IF(G4896&lt;46,'General Basis'!$B$45,IF(G4896&lt;51,'General Basis'!$B$46,IF(G4896&lt;56,'General Basis'!$B$47,IF(G4896&lt;60,'General Basis'!$B$48,IF(G4896&lt;65,'General Basis'!$B$49,'General Basis'!$B$50)))))))))))))</f>
        <v/>
      </c>
      <c r="BI4896" s="744" t="str">
        <f t="shared" si="1699"/>
        <v/>
      </c>
      <c r="BJ4896" s="747" t="str">
        <f t="shared" si="1706"/>
        <v/>
      </c>
      <c r="BK4896" s="498" t="str">
        <f t="shared" si="1700"/>
        <v/>
      </c>
      <c r="BL4896" s="498" t="str">
        <f t="shared" si="1701"/>
        <v/>
      </c>
    </row>
    <row r="4897" spans="1:64" x14ac:dyDescent="0.25">
      <c r="A4897" s="762">
        <f t="shared" si="1702"/>
        <v>4892</v>
      </c>
      <c r="B4897" s="229"/>
      <c r="C4897" s="223"/>
      <c r="D4897" s="224"/>
      <c r="E4897" s="225"/>
      <c r="F4897" s="1036" t="str">
        <f t="shared" si="1708"/>
        <v/>
      </c>
      <c r="G4897" s="1037" t="str">
        <f t="shared" si="1703"/>
        <v/>
      </c>
      <c r="H4897" s="225"/>
      <c r="I4897" s="1013"/>
      <c r="J4897" s="1013"/>
      <c r="K4897" s="1028"/>
      <c r="L4897" s="1035" t="str">
        <f t="shared" si="1707"/>
        <v/>
      </c>
      <c r="S4897" s="498"/>
      <c r="AJ4897" s="498"/>
      <c r="AM4897" s="498">
        <f t="shared" si="1688"/>
        <v>0</v>
      </c>
      <c r="AN4897" s="498">
        <f t="shared" si="1689"/>
        <v>0</v>
      </c>
      <c r="AO4897" s="498">
        <f t="shared" si="1690"/>
        <v>0</v>
      </c>
      <c r="AP4897" s="498">
        <f t="shared" si="1709"/>
        <v>0</v>
      </c>
      <c r="AQ4897" s="498">
        <f t="shared" si="1704"/>
        <v>0</v>
      </c>
      <c r="AU4897" s="498">
        <f t="shared" si="1691"/>
        <v>0</v>
      </c>
      <c r="AV4897" s="498">
        <f t="shared" si="1692"/>
        <v>0</v>
      </c>
      <c r="AW4897" s="498">
        <f t="shared" si="1693"/>
        <v>0</v>
      </c>
      <c r="AX4897" s="498">
        <f t="shared" si="1694"/>
        <v>0</v>
      </c>
      <c r="AY4897" s="498">
        <f t="shared" si="1695"/>
        <v>0</v>
      </c>
      <c r="BB4897" s="498" t="str">
        <f t="shared" si="1696"/>
        <v/>
      </c>
      <c r="BC4897" s="743" t="str">
        <f t="shared" si="1697"/>
        <v/>
      </c>
      <c r="BD4897" s="743" t="str">
        <f t="shared" si="1698"/>
        <v/>
      </c>
      <c r="BE4897" s="743" t="str">
        <f>IF(D4897="","",VLOOKUP(D4897,'General Basis'!$J$39:$K$46,2,0))</f>
        <v/>
      </c>
      <c r="BF4897" s="744" t="str">
        <f>IF(D4897="","",VLOOKUP(D4897,'General Basis'!$J$39:$L$46,3,0))</f>
        <v/>
      </c>
      <c r="BG4897" s="744" t="str">
        <f t="shared" si="1705"/>
        <v/>
      </c>
      <c r="BH4897" s="744" t="str">
        <f>IF(G4897="","",IF(BF4897="Abu Dhabi",IF(G4897&lt;18,'General Basis'!$C$39,IF(G4897&lt;41,'General Basis'!$C$40,IF(G4897&lt;60,'General Basis'!$C$41,IF(G4897&lt;65,'General Basis'!$C$42,'General Basis'!$C$43)))),IF(G4897&lt;11,'General Basis'!$B$39,IF(G4897&lt;18,'General Basis'!$B$40,IF(G4897&lt;26,'General Basis'!$B$41,IF(G4897&lt;31,'General Basis'!$B$42,IF(G4897&lt;36,'General Basis'!$B$43,IF(G4897&lt;41,'General Basis'!$B$44,IF(G4897&lt;46,'General Basis'!$B$45,IF(G4897&lt;51,'General Basis'!$B$46,IF(G4897&lt;56,'General Basis'!$B$47,IF(G4897&lt;60,'General Basis'!$B$48,IF(G4897&lt;65,'General Basis'!$B$49,'General Basis'!$B$50)))))))))))))</f>
        <v/>
      </c>
      <c r="BI4897" s="744" t="str">
        <f t="shared" si="1699"/>
        <v/>
      </c>
      <c r="BJ4897" s="747" t="str">
        <f t="shared" si="1706"/>
        <v/>
      </c>
      <c r="BK4897" s="498" t="str">
        <f t="shared" si="1700"/>
        <v/>
      </c>
      <c r="BL4897" s="498" t="str">
        <f t="shared" si="1701"/>
        <v/>
      </c>
    </row>
    <row r="4898" spans="1:64" x14ac:dyDescent="0.25">
      <c r="A4898" s="762">
        <f t="shared" si="1702"/>
        <v>4893</v>
      </c>
      <c r="B4898" s="229"/>
      <c r="C4898" s="223"/>
      <c r="D4898" s="224"/>
      <c r="E4898" s="225"/>
      <c r="F4898" s="1036" t="str">
        <f t="shared" si="1708"/>
        <v/>
      </c>
      <c r="G4898" s="1037" t="str">
        <f t="shared" si="1703"/>
        <v/>
      </c>
      <c r="H4898" s="225"/>
      <c r="I4898" s="1013"/>
      <c r="J4898" s="1013"/>
      <c r="K4898" s="1028"/>
      <c r="L4898" s="1035" t="str">
        <f t="shared" si="1707"/>
        <v/>
      </c>
      <c r="S4898" s="498"/>
      <c r="AJ4898" s="498"/>
      <c r="AM4898" s="498">
        <f t="shared" si="1688"/>
        <v>0</v>
      </c>
      <c r="AN4898" s="498">
        <f t="shared" si="1689"/>
        <v>0</v>
      </c>
      <c r="AO4898" s="498">
        <f t="shared" si="1690"/>
        <v>0</v>
      </c>
      <c r="AP4898" s="498">
        <f t="shared" si="1709"/>
        <v>0</v>
      </c>
      <c r="AQ4898" s="498">
        <f t="shared" si="1704"/>
        <v>0</v>
      </c>
      <c r="AU4898" s="498">
        <f t="shared" si="1691"/>
        <v>0</v>
      </c>
      <c r="AV4898" s="498">
        <f t="shared" si="1692"/>
        <v>0</v>
      </c>
      <c r="AW4898" s="498">
        <f t="shared" si="1693"/>
        <v>0</v>
      </c>
      <c r="AX4898" s="498">
        <f t="shared" si="1694"/>
        <v>0</v>
      </c>
      <c r="AY4898" s="498">
        <f t="shared" si="1695"/>
        <v>0</v>
      </c>
      <c r="BB4898" s="498" t="str">
        <f t="shared" si="1696"/>
        <v/>
      </c>
      <c r="BC4898" s="743" t="str">
        <f t="shared" si="1697"/>
        <v/>
      </c>
      <c r="BD4898" s="743" t="str">
        <f t="shared" si="1698"/>
        <v/>
      </c>
      <c r="BE4898" s="743" t="str">
        <f>IF(D4898="","",VLOOKUP(D4898,'General Basis'!$J$39:$K$46,2,0))</f>
        <v/>
      </c>
      <c r="BF4898" s="744" t="str">
        <f>IF(D4898="","",VLOOKUP(D4898,'General Basis'!$J$39:$L$46,3,0))</f>
        <v/>
      </c>
      <c r="BG4898" s="744" t="str">
        <f t="shared" si="1705"/>
        <v/>
      </c>
      <c r="BH4898" s="744" t="str">
        <f>IF(G4898="","",IF(BF4898="Abu Dhabi",IF(G4898&lt;18,'General Basis'!$C$39,IF(G4898&lt;41,'General Basis'!$C$40,IF(G4898&lt;60,'General Basis'!$C$41,IF(G4898&lt;65,'General Basis'!$C$42,'General Basis'!$C$43)))),IF(G4898&lt;11,'General Basis'!$B$39,IF(G4898&lt;18,'General Basis'!$B$40,IF(G4898&lt;26,'General Basis'!$B$41,IF(G4898&lt;31,'General Basis'!$B$42,IF(G4898&lt;36,'General Basis'!$B$43,IF(G4898&lt;41,'General Basis'!$B$44,IF(G4898&lt;46,'General Basis'!$B$45,IF(G4898&lt;51,'General Basis'!$B$46,IF(G4898&lt;56,'General Basis'!$B$47,IF(G4898&lt;60,'General Basis'!$B$48,IF(G4898&lt;65,'General Basis'!$B$49,'General Basis'!$B$50)))))))))))))</f>
        <v/>
      </c>
      <c r="BI4898" s="744" t="str">
        <f t="shared" si="1699"/>
        <v/>
      </c>
      <c r="BJ4898" s="747" t="str">
        <f t="shared" si="1706"/>
        <v/>
      </c>
      <c r="BK4898" s="498" t="str">
        <f t="shared" si="1700"/>
        <v/>
      </c>
      <c r="BL4898" s="498" t="str">
        <f t="shared" si="1701"/>
        <v/>
      </c>
    </row>
    <row r="4899" spans="1:64" x14ac:dyDescent="0.25">
      <c r="A4899" s="762">
        <f t="shared" si="1702"/>
        <v>4894</v>
      </c>
      <c r="B4899" s="229"/>
      <c r="C4899" s="223"/>
      <c r="D4899" s="224"/>
      <c r="E4899" s="225"/>
      <c r="F4899" s="1036" t="str">
        <f t="shared" si="1708"/>
        <v/>
      </c>
      <c r="G4899" s="1037" t="str">
        <f t="shared" si="1703"/>
        <v/>
      </c>
      <c r="H4899" s="225"/>
      <c r="I4899" s="1013"/>
      <c r="J4899" s="1013"/>
      <c r="K4899" s="1028"/>
      <c r="L4899" s="1035" t="str">
        <f t="shared" si="1707"/>
        <v/>
      </c>
      <c r="S4899" s="498"/>
      <c r="AJ4899" s="498"/>
      <c r="AM4899" s="498">
        <f t="shared" si="1688"/>
        <v>0</v>
      </c>
      <c r="AN4899" s="498">
        <f t="shared" si="1689"/>
        <v>0</v>
      </c>
      <c r="AO4899" s="498">
        <f t="shared" si="1690"/>
        <v>0</v>
      </c>
      <c r="AP4899" s="498">
        <f t="shared" si="1709"/>
        <v>0</v>
      </c>
      <c r="AQ4899" s="498">
        <f t="shared" si="1704"/>
        <v>0</v>
      </c>
      <c r="AU4899" s="498">
        <f t="shared" si="1691"/>
        <v>0</v>
      </c>
      <c r="AV4899" s="498">
        <f t="shared" si="1692"/>
        <v>0</v>
      </c>
      <c r="AW4899" s="498">
        <f t="shared" si="1693"/>
        <v>0</v>
      </c>
      <c r="AX4899" s="498">
        <f t="shared" si="1694"/>
        <v>0</v>
      </c>
      <c r="AY4899" s="498">
        <f t="shared" si="1695"/>
        <v>0</v>
      </c>
      <c r="BB4899" s="498" t="str">
        <f t="shared" si="1696"/>
        <v/>
      </c>
      <c r="BC4899" s="743" t="str">
        <f t="shared" si="1697"/>
        <v/>
      </c>
      <c r="BD4899" s="743" t="str">
        <f t="shared" si="1698"/>
        <v/>
      </c>
      <c r="BE4899" s="743" t="str">
        <f>IF(D4899="","",VLOOKUP(D4899,'General Basis'!$J$39:$K$46,2,0))</f>
        <v/>
      </c>
      <c r="BF4899" s="744" t="str">
        <f>IF(D4899="","",VLOOKUP(D4899,'General Basis'!$J$39:$L$46,3,0))</f>
        <v/>
      </c>
      <c r="BG4899" s="744" t="str">
        <f t="shared" si="1705"/>
        <v/>
      </c>
      <c r="BH4899" s="744" t="str">
        <f>IF(G4899="","",IF(BF4899="Abu Dhabi",IF(G4899&lt;18,'General Basis'!$C$39,IF(G4899&lt;41,'General Basis'!$C$40,IF(G4899&lt;60,'General Basis'!$C$41,IF(G4899&lt;65,'General Basis'!$C$42,'General Basis'!$C$43)))),IF(G4899&lt;11,'General Basis'!$B$39,IF(G4899&lt;18,'General Basis'!$B$40,IF(G4899&lt;26,'General Basis'!$B$41,IF(G4899&lt;31,'General Basis'!$B$42,IF(G4899&lt;36,'General Basis'!$B$43,IF(G4899&lt;41,'General Basis'!$B$44,IF(G4899&lt;46,'General Basis'!$B$45,IF(G4899&lt;51,'General Basis'!$B$46,IF(G4899&lt;56,'General Basis'!$B$47,IF(G4899&lt;60,'General Basis'!$B$48,IF(G4899&lt;65,'General Basis'!$B$49,'General Basis'!$B$50)))))))))))))</f>
        <v/>
      </c>
      <c r="BI4899" s="744" t="str">
        <f t="shared" si="1699"/>
        <v/>
      </c>
      <c r="BJ4899" s="747" t="str">
        <f t="shared" si="1706"/>
        <v/>
      </c>
      <c r="BK4899" s="498" t="str">
        <f t="shared" si="1700"/>
        <v/>
      </c>
      <c r="BL4899" s="498" t="str">
        <f t="shared" si="1701"/>
        <v/>
      </c>
    </row>
    <row r="4900" spans="1:64" x14ac:dyDescent="0.25">
      <c r="A4900" s="762">
        <f t="shared" si="1702"/>
        <v>4895</v>
      </c>
      <c r="B4900" s="229"/>
      <c r="C4900" s="223"/>
      <c r="D4900" s="224"/>
      <c r="E4900" s="225"/>
      <c r="F4900" s="1036" t="str">
        <f t="shared" si="1708"/>
        <v/>
      </c>
      <c r="G4900" s="1037" t="str">
        <f t="shared" si="1703"/>
        <v/>
      </c>
      <c r="H4900" s="225"/>
      <c r="I4900" s="1013"/>
      <c r="J4900" s="1013"/>
      <c r="K4900" s="1028"/>
      <c r="L4900" s="1035" t="str">
        <f t="shared" si="1707"/>
        <v/>
      </c>
      <c r="S4900" s="498"/>
      <c r="AJ4900" s="498"/>
      <c r="AM4900" s="498">
        <f t="shared" si="1688"/>
        <v>0</v>
      </c>
      <c r="AN4900" s="498">
        <f t="shared" si="1689"/>
        <v>0</v>
      </c>
      <c r="AO4900" s="498">
        <f t="shared" si="1690"/>
        <v>0</v>
      </c>
      <c r="AP4900" s="498">
        <f t="shared" si="1709"/>
        <v>0</v>
      </c>
      <c r="AQ4900" s="498">
        <f t="shared" si="1704"/>
        <v>0</v>
      </c>
      <c r="AU4900" s="498">
        <f t="shared" si="1691"/>
        <v>0</v>
      </c>
      <c r="AV4900" s="498">
        <f t="shared" si="1692"/>
        <v>0</v>
      </c>
      <c r="AW4900" s="498">
        <f t="shared" si="1693"/>
        <v>0</v>
      </c>
      <c r="AX4900" s="498">
        <f t="shared" si="1694"/>
        <v>0</v>
      </c>
      <c r="AY4900" s="498">
        <f t="shared" si="1695"/>
        <v>0</v>
      </c>
      <c r="BB4900" s="498" t="str">
        <f t="shared" si="1696"/>
        <v/>
      </c>
      <c r="BC4900" s="743" t="str">
        <f t="shared" si="1697"/>
        <v/>
      </c>
      <c r="BD4900" s="743" t="str">
        <f t="shared" si="1698"/>
        <v/>
      </c>
      <c r="BE4900" s="743" t="str">
        <f>IF(D4900="","",VLOOKUP(D4900,'General Basis'!$J$39:$K$46,2,0))</f>
        <v/>
      </c>
      <c r="BF4900" s="744" t="str">
        <f>IF(D4900="","",VLOOKUP(D4900,'General Basis'!$J$39:$L$46,3,0))</f>
        <v/>
      </c>
      <c r="BG4900" s="744" t="str">
        <f t="shared" si="1705"/>
        <v/>
      </c>
      <c r="BH4900" s="744" t="str">
        <f>IF(G4900="","",IF(BF4900="Abu Dhabi",IF(G4900&lt;18,'General Basis'!$C$39,IF(G4900&lt;41,'General Basis'!$C$40,IF(G4900&lt;60,'General Basis'!$C$41,IF(G4900&lt;65,'General Basis'!$C$42,'General Basis'!$C$43)))),IF(G4900&lt;11,'General Basis'!$B$39,IF(G4900&lt;18,'General Basis'!$B$40,IF(G4900&lt;26,'General Basis'!$B$41,IF(G4900&lt;31,'General Basis'!$B$42,IF(G4900&lt;36,'General Basis'!$B$43,IF(G4900&lt;41,'General Basis'!$B$44,IF(G4900&lt;46,'General Basis'!$B$45,IF(G4900&lt;51,'General Basis'!$B$46,IF(G4900&lt;56,'General Basis'!$B$47,IF(G4900&lt;60,'General Basis'!$B$48,IF(G4900&lt;65,'General Basis'!$B$49,'General Basis'!$B$50)))))))))))))</f>
        <v/>
      </c>
      <c r="BI4900" s="744" t="str">
        <f t="shared" si="1699"/>
        <v/>
      </c>
      <c r="BJ4900" s="747" t="str">
        <f t="shared" si="1706"/>
        <v/>
      </c>
      <c r="BK4900" s="498" t="str">
        <f t="shared" si="1700"/>
        <v/>
      </c>
      <c r="BL4900" s="498" t="str">
        <f t="shared" si="1701"/>
        <v/>
      </c>
    </row>
    <row r="4901" spans="1:64" x14ac:dyDescent="0.25">
      <c r="A4901" s="762">
        <f t="shared" si="1702"/>
        <v>4896</v>
      </c>
      <c r="B4901" s="229"/>
      <c r="C4901" s="223"/>
      <c r="D4901" s="224"/>
      <c r="E4901" s="225"/>
      <c r="F4901" s="1036" t="str">
        <f t="shared" si="1708"/>
        <v/>
      </c>
      <c r="G4901" s="1037" t="str">
        <f t="shared" si="1703"/>
        <v/>
      </c>
      <c r="H4901" s="225"/>
      <c r="I4901" s="1013"/>
      <c r="J4901" s="1013"/>
      <c r="K4901" s="1028"/>
      <c r="L4901" s="1035" t="str">
        <f t="shared" si="1707"/>
        <v/>
      </c>
      <c r="S4901" s="498"/>
      <c r="AJ4901" s="498"/>
      <c r="AM4901" s="498">
        <f t="shared" si="1688"/>
        <v>0</v>
      </c>
      <c r="AN4901" s="498">
        <f t="shared" si="1689"/>
        <v>0</v>
      </c>
      <c r="AO4901" s="498">
        <f t="shared" si="1690"/>
        <v>0</v>
      </c>
      <c r="AP4901" s="498">
        <f t="shared" si="1709"/>
        <v>0</v>
      </c>
      <c r="AQ4901" s="498">
        <f t="shared" si="1704"/>
        <v>0</v>
      </c>
      <c r="AU4901" s="498">
        <f t="shared" si="1691"/>
        <v>0</v>
      </c>
      <c r="AV4901" s="498">
        <f t="shared" si="1692"/>
        <v>0</v>
      </c>
      <c r="AW4901" s="498">
        <f t="shared" si="1693"/>
        <v>0</v>
      </c>
      <c r="AX4901" s="498">
        <f t="shared" si="1694"/>
        <v>0</v>
      </c>
      <c r="AY4901" s="498">
        <f t="shared" si="1695"/>
        <v>0</v>
      </c>
      <c r="BB4901" s="498" t="str">
        <f t="shared" si="1696"/>
        <v/>
      </c>
      <c r="BC4901" s="743" t="str">
        <f t="shared" si="1697"/>
        <v/>
      </c>
      <c r="BD4901" s="743" t="str">
        <f t="shared" si="1698"/>
        <v/>
      </c>
      <c r="BE4901" s="743" t="str">
        <f>IF(D4901="","",VLOOKUP(D4901,'General Basis'!$J$39:$K$46,2,0))</f>
        <v/>
      </c>
      <c r="BF4901" s="744" t="str">
        <f>IF(D4901="","",VLOOKUP(D4901,'General Basis'!$J$39:$L$46,3,0))</f>
        <v/>
      </c>
      <c r="BG4901" s="744" t="str">
        <f t="shared" si="1705"/>
        <v/>
      </c>
      <c r="BH4901" s="744" t="str">
        <f>IF(G4901="","",IF(BF4901="Abu Dhabi",IF(G4901&lt;18,'General Basis'!$C$39,IF(G4901&lt;41,'General Basis'!$C$40,IF(G4901&lt;60,'General Basis'!$C$41,IF(G4901&lt;65,'General Basis'!$C$42,'General Basis'!$C$43)))),IF(G4901&lt;11,'General Basis'!$B$39,IF(G4901&lt;18,'General Basis'!$B$40,IF(G4901&lt;26,'General Basis'!$B$41,IF(G4901&lt;31,'General Basis'!$B$42,IF(G4901&lt;36,'General Basis'!$B$43,IF(G4901&lt;41,'General Basis'!$B$44,IF(G4901&lt;46,'General Basis'!$B$45,IF(G4901&lt;51,'General Basis'!$B$46,IF(G4901&lt;56,'General Basis'!$B$47,IF(G4901&lt;60,'General Basis'!$B$48,IF(G4901&lt;65,'General Basis'!$B$49,'General Basis'!$B$50)))))))))))))</f>
        <v/>
      </c>
      <c r="BI4901" s="744" t="str">
        <f t="shared" si="1699"/>
        <v/>
      </c>
      <c r="BJ4901" s="747" t="str">
        <f t="shared" si="1706"/>
        <v/>
      </c>
      <c r="BK4901" s="498" t="str">
        <f t="shared" si="1700"/>
        <v/>
      </c>
      <c r="BL4901" s="498" t="str">
        <f t="shared" si="1701"/>
        <v/>
      </c>
    </row>
    <row r="4902" spans="1:64" x14ac:dyDescent="0.25">
      <c r="A4902" s="762">
        <f t="shared" si="1702"/>
        <v>4897</v>
      </c>
      <c r="B4902" s="229"/>
      <c r="C4902" s="223"/>
      <c r="D4902" s="224"/>
      <c r="E4902" s="225"/>
      <c r="F4902" s="1036" t="str">
        <f t="shared" si="1708"/>
        <v/>
      </c>
      <c r="G4902" s="1037" t="str">
        <f t="shared" si="1703"/>
        <v/>
      </c>
      <c r="H4902" s="225"/>
      <c r="I4902" s="1013"/>
      <c r="J4902" s="1013"/>
      <c r="K4902" s="1028"/>
      <c r="L4902" s="1035" t="str">
        <f t="shared" si="1707"/>
        <v/>
      </c>
      <c r="S4902" s="498"/>
      <c r="AJ4902" s="498"/>
      <c r="AM4902" s="498">
        <f t="shared" si="1688"/>
        <v>0</v>
      </c>
      <c r="AN4902" s="498">
        <f t="shared" si="1689"/>
        <v>0</v>
      </c>
      <c r="AO4902" s="498">
        <f t="shared" si="1690"/>
        <v>0</v>
      </c>
      <c r="AP4902" s="498">
        <f t="shared" si="1709"/>
        <v>0</v>
      </c>
      <c r="AQ4902" s="498">
        <f t="shared" si="1704"/>
        <v>0</v>
      </c>
      <c r="AU4902" s="498">
        <f t="shared" si="1691"/>
        <v>0</v>
      </c>
      <c r="AV4902" s="498">
        <f t="shared" si="1692"/>
        <v>0</v>
      </c>
      <c r="AW4902" s="498">
        <f t="shared" si="1693"/>
        <v>0</v>
      </c>
      <c r="AX4902" s="498">
        <f t="shared" si="1694"/>
        <v>0</v>
      </c>
      <c r="AY4902" s="498">
        <f t="shared" si="1695"/>
        <v>0</v>
      </c>
      <c r="BB4902" s="498" t="str">
        <f t="shared" si="1696"/>
        <v/>
      </c>
      <c r="BC4902" s="743" t="str">
        <f t="shared" si="1697"/>
        <v/>
      </c>
      <c r="BD4902" s="743" t="str">
        <f t="shared" si="1698"/>
        <v/>
      </c>
      <c r="BE4902" s="743" t="str">
        <f>IF(D4902="","",VLOOKUP(D4902,'General Basis'!$J$39:$K$46,2,0))</f>
        <v/>
      </c>
      <c r="BF4902" s="744" t="str">
        <f>IF(D4902="","",VLOOKUP(D4902,'General Basis'!$J$39:$L$46,3,0))</f>
        <v/>
      </c>
      <c r="BG4902" s="744" t="str">
        <f t="shared" si="1705"/>
        <v/>
      </c>
      <c r="BH4902" s="744" t="str">
        <f>IF(G4902="","",IF(BF4902="Abu Dhabi",IF(G4902&lt;18,'General Basis'!$C$39,IF(G4902&lt;41,'General Basis'!$C$40,IF(G4902&lt;60,'General Basis'!$C$41,IF(G4902&lt;65,'General Basis'!$C$42,'General Basis'!$C$43)))),IF(G4902&lt;11,'General Basis'!$B$39,IF(G4902&lt;18,'General Basis'!$B$40,IF(G4902&lt;26,'General Basis'!$B$41,IF(G4902&lt;31,'General Basis'!$B$42,IF(G4902&lt;36,'General Basis'!$B$43,IF(G4902&lt;41,'General Basis'!$B$44,IF(G4902&lt;46,'General Basis'!$B$45,IF(G4902&lt;51,'General Basis'!$B$46,IF(G4902&lt;56,'General Basis'!$B$47,IF(G4902&lt;60,'General Basis'!$B$48,IF(G4902&lt;65,'General Basis'!$B$49,'General Basis'!$B$50)))))))))))))</f>
        <v/>
      </c>
      <c r="BI4902" s="744" t="str">
        <f t="shared" si="1699"/>
        <v/>
      </c>
      <c r="BJ4902" s="747" t="str">
        <f t="shared" si="1706"/>
        <v/>
      </c>
      <c r="BK4902" s="498" t="str">
        <f t="shared" si="1700"/>
        <v/>
      </c>
      <c r="BL4902" s="498" t="str">
        <f t="shared" si="1701"/>
        <v/>
      </c>
    </row>
    <row r="4903" spans="1:64" x14ac:dyDescent="0.25">
      <c r="A4903" s="762">
        <f t="shared" si="1702"/>
        <v>4898</v>
      </c>
      <c r="B4903" s="229"/>
      <c r="C4903" s="223"/>
      <c r="D4903" s="224"/>
      <c r="E4903" s="225"/>
      <c r="F4903" s="1036" t="str">
        <f t="shared" si="1708"/>
        <v/>
      </c>
      <c r="G4903" s="1037" t="str">
        <f t="shared" si="1703"/>
        <v/>
      </c>
      <c r="H4903" s="225"/>
      <c r="I4903" s="1013"/>
      <c r="J4903" s="1013"/>
      <c r="K4903" s="1028"/>
      <c r="L4903" s="1035" t="str">
        <f t="shared" si="1707"/>
        <v/>
      </c>
      <c r="S4903" s="498"/>
      <c r="AJ4903" s="498"/>
      <c r="AM4903" s="498">
        <f t="shared" si="1688"/>
        <v>0</v>
      </c>
      <c r="AN4903" s="498">
        <f t="shared" si="1689"/>
        <v>0</v>
      </c>
      <c r="AO4903" s="498">
        <f t="shared" si="1690"/>
        <v>0</v>
      </c>
      <c r="AP4903" s="498">
        <f t="shared" si="1709"/>
        <v>0</v>
      </c>
      <c r="AQ4903" s="498">
        <f t="shared" si="1704"/>
        <v>0</v>
      </c>
      <c r="AU4903" s="498">
        <f t="shared" si="1691"/>
        <v>0</v>
      </c>
      <c r="AV4903" s="498">
        <f t="shared" si="1692"/>
        <v>0</v>
      </c>
      <c r="AW4903" s="498">
        <f t="shared" si="1693"/>
        <v>0</v>
      </c>
      <c r="AX4903" s="498">
        <f t="shared" si="1694"/>
        <v>0</v>
      </c>
      <c r="AY4903" s="498">
        <f t="shared" si="1695"/>
        <v>0</v>
      </c>
      <c r="BB4903" s="498" t="str">
        <f t="shared" si="1696"/>
        <v/>
      </c>
      <c r="BC4903" s="743" t="str">
        <f t="shared" si="1697"/>
        <v/>
      </c>
      <c r="BD4903" s="743" t="str">
        <f t="shared" si="1698"/>
        <v/>
      </c>
      <c r="BE4903" s="743" t="str">
        <f>IF(D4903="","",VLOOKUP(D4903,'General Basis'!$J$39:$K$46,2,0))</f>
        <v/>
      </c>
      <c r="BF4903" s="744" t="str">
        <f>IF(D4903="","",VLOOKUP(D4903,'General Basis'!$J$39:$L$46,3,0))</f>
        <v/>
      </c>
      <c r="BG4903" s="744" t="str">
        <f t="shared" si="1705"/>
        <v/>
      </c>
      <c r="BH4903" s="744" t="str">
        <f>IF(G4903="","",IF(BF4903="Abu Dhabi",IF(G4903&lt;18,'General Basis'!$C$39,IF(G4903&lt;41,'General Basis'!$C$40,IF(G4903&lt;60,'General Basis'!$C$41,IF(G4903&lt;65,'General Basis'!$C$42,'General Basis'!$C$43)))),IF(G4903&lt;11,'General Basis'!$B$39,IF(G4903&lt;18,'General Basis'!$B$40,IF(G4903&lt;26,'General Basis'!$B$41,IF(G4903&lt;31,'General Basis'!$B$42,IF(G4903&lt;36,'General Basis'!$B$43,IF(G4903&lt;41,'General Basis'!$B$44,IF(G4903&lt;46,'General Basis'!$B$45,IF(G4903&lt;51,'General Basis'!$B$46,IF(G4903&lt;56,'General Basis'!$B$47,IF(G4903&lt;60,'General Basis'!$B$48,IF(G4903&lt;65,'General Basis'!$B$49,'General Basis'!$B$50)))))))))))))</f>
        <v/>
      </c>
      <c r="BI4903" s="744" t="str">
        <f t="shared" si="1699"/>
        <v/>
      </c>
      <c r="BJ4903" s="747" t="str">
        <f t="shared" si="1706"/>
        <v/>
      </c>
      <c r="BK4903" s="498" t="str">
        <f t="shared" si="1700"/>
        <v/>
      </c>
      <c r="BL4903" s="498" t="str">
        <f t="shared" si="1701"/>
        <v/>
      </c>
    </row>
    <row r="4904" spans="1:64" x14ac:dyDescent="0.25">
      <c r="A4904" s="762">
        <f t="shared" si="1702"/>
        <v>4899</v>
      </c>
      <c r="B4904" s="229"/>
      <c r="C4904" s="223"/>
      <c r="D4904" s="224"/>
      <c r="E4904" s="225"/>
      <c r="F4904" s="1036" t="str">
        <f t="shared" si="1708"/>
        <v/>
      </c>
      <c r="G4904" s="1037" t="str">
        <f t="shared" si="1703"/>
        <v/>
      </c>
      <c r="H4904" s="225"/>
      <c r="I4904" s="1013"/>
      <c r="J4904" s="1013"/>
      <c r="K4904" s="1028"/>
      <c r="L4904" s="1035" t="str">
        <f t="shared" si="1707"/>
        <v/>
      </c>
      <c r="S4904" s="498"/>
      <c r="AJ4904" s="498"/>
      <c r="AM4904" s="498">
        <f t="shared" si="1688"/>
        <v>0</v>
      </c>
      <c r="AN4904" s="498">
        <f t="shared" si="1689"/>
        <v>0</v>
      </c>
      <c r="AO4904" s="498">
        <f t="shared" si="1690"/>
        <v>0</v>
      </c>
      <c r="AP4904" s="498">
        <f t="shared" si="1709"/>
        <v>0</v>
      </c>
      <c r="AQ4904" s="498">
        <f t="shared" si="1704"/>
        <v>0</v>
      </c>
      <c r="AU4904" s="498">
        <f t="shared" si="1691"/>
        <v>0</v>
      </c>
      <c r="AV4904" s="498">
        <f t="shared" si="1692"/>
        <v>0</v>
      </c>
      <c r="AW4904" s="498">
        <f t="shared" si="1693"/>
        <v>0</v>
      </c>
      <c r="AX4904" s="498">
        <f t="shared" si="1694"/>
        <v>0</v>
      </c>
      <c r="AY4904" s="498">
        <f t="shared" si="1695"/>
        <v>0</v>
      </c>
      <c r="BB4904" s="498" t="str">
        <f t="shared" si="1696"/>
        <v/>
      </c>
      <c r="BC4904" s="743" t="str">
        <f t="shared" si="1697"/>
        <v/>
      </c>
      <c r="BD4904" s="743" t="str">
        <f t="shared" si="1698"/>
        <v/>
      </c>
      <c r="BE4904" s="743" t="str">
        <f>IF(D4904="","",VLOOKUP(D4904,'General Basis'!$J$39:$K$46,2,0))</f>
        <v/>
      </c>
      <c r="BF4904" s="744" t="str">
        <f>IF(D4904="","",VLOOKUP(D4904,'General Basis'!$J$39:$L$46,3,0))</f>
        <v/>
      </c>
      <c r="BG4904" s="744" t="str">
        <f t="shared" si="1705"/>
        <v/>
      </c>
      <c r="BH4904" s="744" t="str">
        <f>IF(G4904="","",IF(BF4904="Abu Dhabi",IF(G4904&lt;18,'General Basis'!$C$39,IF(G4904&lt;41,'General Basis'!$C$40,IF(G4904&lt;60,'General Basis'!$C$41,IF(G4904&lt;65,'General Basis'!$C$42,'General Basis'!$C$43)))),IF(G4904&lt;11,'General Basis'!$B$39,IF(G4904&lt;18,'General Basis'!$B$40,IF(G4904&lt;26,'General Basis'!$B$41,IF(G4904&lt;31,'General Basis'!$B$42,IF(G4904&lt;36,'General Basis'!$B$43,IF(G4904&lt;41,'General Basis'!$B$44,IF(G4904&lt;46,'General Basis'!$B$45,IF(G4904&lt;51,'General Basis'!$B$46,IF(G4904&lt;56,'General Basis'!$B$47,IF(G4904&lt;60,'General Basis'!$B$48,IF(G4904&lt;65,'General Basis'!$B$49,'General Basis'!$B$50)))))))))))))</f>
        <v/>
      </c>
      <c r="BI4904" s="744" t="str">
        <f t="shared" si="1699"/>
        <v/>
      </c>
      <c r="BJ4904" s="747" t="str">
        <f t="shared" si="1706"/>
        <v/>
      </c>
      <c r="BK4904" s="498" t="str">
        <f t="shared" si="1700"/>
        <v/>
      </c>
      <c r="BL4904" s="498" t="str">
        <f t="shared" si="1701"/>
        <v/>
      </c>
    </row>
    <row r="4905" spans="1:64" x14ac:dyDescent="0.25">
      <c r="A4905" s="762">
        <f t="shared" si="1702"/>
        <v>4900</v>
      </c>
      <c r="B4905" s="229"/>
      <c r="C4905" s="223"/>
      <c r="D4905" s="224"/>
      <c r="E4905" s="225"/>
      <c r="F4905" s="1036" t="str">
        <f t="shared" si="1708"/>
        <v/>
      </c>
      <c r="G4905" s="1037" t="str">
        <f t="shared" si="1703"/>
        <v/>
      </c>
      <c r="H4905" s="225"/>
      <c r="I4905" s="1013"/>
      <c r="J4905" s="1013"/>
      <c r="K4905" s="1028"/>
      <c r="L4905" s="1035" t="str">
        <f t="shared" si="1707"/>
        <v/>
      </c>
      <c r="S4905" s="498"/>
      <c r="AJ4905" s="498"/>
      <c r="AM4905" s="498">
        <f t="shared" si="1688"/>
        <v>0</v>
      </c>
      <c r="AN4905" s="498">
        <f t="shared" si="1689"/>
        <v>0</v>
      </c>
      <c r="AO4905" s="498">
        <f t="shared" si="1690"/>
        <v>0</v>
      </c>
      <c r="AP4905" s="498">
        <f t="shared" si="1709"/>
        <v>0</v>
      </c>
      <c r="AQ4905" s="498">
        <f t="shared" si="1704"/>
        <v>0</v>
      </c>
      <c r="AU4905" s="498">
        <f t="shared" si="1691"/>
        <v>0</v>
      </c>
      <c r="AV4905" s="498">
        <f t="shared" si="1692"/>
        <v>0</v>
      </c>
      <c r="AW4905" s="498">
        <f t="shared" si="1693"/>
        <v>0</v>
      </c>
      <c r="AX4905" s="498">
        <f t="shared" si="1694"/>
        <v>0</v>
      </c>
      <c r="AY4905" s="498">
        <f t="shared" si="1695"/>
        <v>0</v>
      </c>
      <c r="BB4905" s="498" t="str">
        <f t="shared" si="1696"/>
        <v/>
      </c>
      <c r="BC4905" s="743" t="str">
        <f t="shared" si="1697"/>
        <v/>
      </c>
      <c r="BD4905" s="743" t="str">
        <f t="shared" si="1698"/>
        <v/>
      </c>
      <c r="BE4905" s="743" t="str">
        <f>IF(D4905="","",VLOOKUP(D4905,'General Basis'!$J$39:$K$46,2,0))</f>
        <v/>
      </c>
      <c r="BF4905" s="744" t="str">
        <f>IF(D4905="","",VLOOKUP(D4905,'General Basis'!$J$39:$L$46,3,0))</f>
        <v/>
      </c>
      <c r="BG4905" s="744" t="str">
        <f t="shared" si="1705"/>
        <v/>
      </c>
      <c r="BH4905" s="744" t="str">
        <f>IF(G4905="","",IF(BF4905="Abu Dhabi",IF(G4905&lt;18,'General Basis'!$C$39,IF(G4905&lt;41,'General Basis'!$C$40,IF(G4905&lt;60,'General Basis'!$C$41,IF(G4905&lt;65,'General Basis'!$C$42,'General Basis'!$C$43)))),IF(G4905&lt;11,'General Basis'!$B$39,IF(G4905&lt;18,'General Basis'!$B$40,IF(G4905&lt;26,'General Basis'!$B$41,IF(G4905&lt;31,'General Basis'!$B$42,IF(G4905&lt;36,'General Basis'!$B$43,IF(G4905&lt;41,'General Basis'!$B$44,IF(G4905&lt;46,'General Basis'!$B$45,IF(G4905&lt;51,'General Basis'!$B$46,IF(G4905&lt;56,'General Basis'!$B$47,IF(G4905&lt;60,'General Basis'!$B$48,IF(G4905&lt;65,'General Basis'!$B$49,'General Basis'!$B$50)))))))))))))</f>
        <v/>
      </c>
      <c r="BI4905" s="744" t="str">
        <f t="shared" si="1699"/>
        <v/>
      </c>
      <c r="BJ4905" s="747" t="str">
        <f t="shared" si="1706"/>
        <v/>
      </c>
      <c r="BK4905" s="498" t="str">
        <f t="shared" si="1700"/>
        <v/>
      </c>
      <c r="BL4905" s="498" t="str">
        <f t="shared" si="1701"/>
        <v/>
      </c>
    </row>
    <row r="4906" spans="1:64" x14ac:dyDescent="0.25">
      <c r="A4906" s="762">
        <f t="shared" si="1702"/>
        <v>4901</v>
      </c>
      <c r="B4906" s="229"/>
      <c r="C4906" s="223"/>
      <c r="D4906" s="224"/>
      <c r="E4906" s="225"/>
      <c r="F4906" s="1036" t="str">
        <f t="shared" si="1708"/>
        <v/>
      </c>
      <c r="G4906" s="1037" t="str">
        <f t="shared" si="1703"/>
        <v/>
      </c>
      <c r="H4906" s="225"/>
      <c r="I4906" s="1013"/>
      <c r="J4906" s="1013"/>
      <c r="K4906" s="1028"/>
      <c r="L4906" s="1035" t="str">
        <f t="shared" si="1707"/>
        <v/>
      </c>
      <c r="S4906" s="498"/>
      <c r="AJ4906" s="498"/>
      <c r="AM4906" s="498">
        <f t="shared" si="1688"/>
        <v>0</v>
      </c>
      <c r="AN4906" s="498">
        <f t="shared" si="1689"/>
        <v>0</v>
      </c>
      <c r="AO4906" s="498">
        <f t="shared" si="1690"/>
        <v>0</v>
      </c>
      <c r="AP4906" s="498">
        <f t="shared" si="1709"/>
        <v>0</v>
      </c>
      <c r="AQ4906" s="498">
        <f t="shared" si="1704"/>
        <v>0</v>
      </c>
      <c r="AU4906" s="498">
        <f t="shared" si="1691"/>
        <v>0</v>
      </c>
      <c r="AV4906" s="498">
        <f t="shared" si="1692"/>
        <v>0</v>
      </c>
      <c r="AW4906" s="498">
        <f t="shared" si="1693"/>
        <v>0</v>
      </c>
      <c r="AX4906" s="498">
        <f t="shared" si="1694"/>
        <v>0</v>
      </c>
      <c r="AY4906" s="498">
        <f t="shared" si="1695"/>
        <v>0</v>
      </c>
      <c r="BB4906" s="498" t="str">
        <f t="shared" si="1696"/>
        <v/>
      </c>
      <c r="BC4906" s="743" t="str">
        <f t="shared" si="1697"/>
        <v/>
      </c>
      <c r="BD4906" s="743" t="str">
        <f t="shared" si="1698"/>
        <v/>
      </c>
      <c r="BE4906" s="743" t="str">
        <f>IF(D4906="","",VLOOKUP(D4906,'General Basis'!$J$39:$K$46,2,0))</f>
        <v/>
      </c>
      <c r="BF4906" s="744" t="str">
        <f>IF(D4906="","",VLOOKUP(D4906,'General Basis'!$J$39:$L$46,3,0))</f>
        <v/>
      </c>
      <c r="BG4906" s="744" t="str">
        <f t="shared" si="1705"/>
        <v/>
      </c>
      <c r="BH4906" s="744" t="str">
        <f>IF(G4906="","",IF(BF4906="Abu Dhabi",IF(G4906&lt;18,'General Basis'!$C$39,IF(G4906&lt;41,'General Basis'!$C$40,IF(G4906&lt;60,'General Basis'!$C$41,IF(G4906&lt;65,'General Basis'!$C$42,'General Basis'!$C$43)))),IF(G4906&lt;11,'General Basis'!$B$39,IF(G4906&lt;18,'General Basis'!$B$40,IF(G4906&lt;26,'General Basis'!$B$41,IF(G4906&lt;31,'General Basis'!$B$42,IF(G4906&lt;36,'General Basis'!$B$43,IF(G4906&lt;41,'General Basis'!$B$44,IF(G4906&lt;46,'General Basis'!$B$45,IF(G4906&lt;51,'General Basis'!$B$46,IF(G4906&lt;56,'General Basis'!$B$47,IF(G4906&lt;60,'General Basis'!$B$48,IF(G4906&lt;65,'General Basis'!$B$49,'General Basis'!$B$50)))))))))))))</f>
        <v/>
      </c>
      <c r="BI4906" s="744" t="str">
        <f t="shared" si="1699"/>
        <v/>
      </c>
      <c r="BJ4906" s="747" t="str">
        <f t="shared" si="1706"/>
        <v/>
      </c>
      <c r="BK4906" s="498" t="str">
        <f t="shared" si="1700"/>
        <v/>
      </c>
      <c r="BL4906" s="498" t="str">
        <f t="shared" si="1701"/>
        <v/>
      </c>
    </row>
    <row r="4907" spans="1:64" x14ac:dyDescent="0.25">
      <c r="A4907" s="762">
        <f t="shared" si="1702"/>
        <v>4902</v>
      </c>
      <c r="B4907" s="229"/>
      <c r="C4907" s="223"/>
      <c r="D4907" s="224"/>
      <c r="E4907" s="225"/>
      <c r="F4907" s="1036" t="str">
        <f t="shared" si="1708"/>
        <v/>
      </c>
      <c r="G4907" s="1037" t="str">
        <f t="shared" si="1703"/>
        <v/>
      </c>
      <c r="H4907" s="225"/>
      <c r="I4907" s="1013"/>
      <c r="J4907" s="1013"/>
      <c r="K4907" s="1028"/>
      <c r="L4907" s="1035" t="str">
        <f t="shared" si="1707"/>
        <v/>
      </c>
      <c r="S4907" s="498"/>
      <c r="AJ4907" s="498"/>
      <c r="AM4907" s="498">
        <f t="shared" si="1688"/>
        <v>0</v>
      </c>
      <c r="AN4907" s="498">
        <f t="shared" si="1689"/>
        <v>0</v>
      </c>
      <c r="AO4907" s="498">
        <f t="shared" si="1690"/>
        <v>0</v>
      </c>
      <c r="AP4907" s="498">
        <f t="shared" si="1709"/>
        <v>0</v>
      </c>
      <c r="AQ4907" s="498">
        <f t="shared" si="1704"/>
        <v>0</v>
      </c>
      <c r="AU4907" s="498">
        <f t="shared" si="1691"/>
        <v>0</v>
      </c>
      <c r="AV4907" s="498">
        <f t="shared" si="1692"/>
        <v>0</v>
      </c>
      <c r="AW4907" s="498">
        <f t="shared" si="1693"/>
        <v>0</v>
      </c>
      <c r="AX4907" s="498">
        <f t="shared" si="1694"/>
        <v>0</v>
      </c>
      <c r="AY4907" s="498">
        <f t="shared" si="1695"/>
        <v>0</v>
      </c>
      <c r="BB4907" s="498" t="str">
        <f t="shared" si="1696"/>
        <v/>
      </c>
      <c r="BC4907" s="743" t="str">
        <f t="shared" si="1697"/>
        <v/>
      </c>
      <c r="BD4907" s="743" t="str">
        <f t="shared" si="1698"/>
        <v/>
      </c>
      <c r="BE4907" s="743" t="str">
        <f>IF(D4907="","",VLOOKUP(D4907,'General Basis'!$J$39:$K$46,2,0))</f>
        <v/>
      </c>
      <c r="BF4907" s="744" t="str">
        <f>IF(D4907="","",VLOOKUP(D4907,'General Basis'!$J$39:$L$46,3,0))</f>
        <v/>
      </c>
      <c r="BG4907" s="744" t="str">
        <f t="shared" si="1705"/>
        <v/>
      </c>
      <c r="BH4907" s="744" t="str">
        <f>IF(G4907="","",IF(BF4907="Abu Dhabi",IF(G4907&lt;18,'General Basis'!$C$39,IF(G4907&lt;41,'General Basis'!$C$40,IF(G4907&lt;60,'General Basis'!$C$41,IF(G4907&lt;65,'General Basis'!$C$42,'General Basis'!$C$43)))),IF(G4907&lt;11,'General Basis'!$B$39,IF(G4907&lt;18,'General Basis'!$B$40,IF(G4907&lt;26,'General Basis'!$B$41,IF(G4907&lt;31,'General Basis'!$B$42,IF(G4907&lt;36,'General Basis'!$B$43,IF(G4907&lt;41,'General Basis'!$B$44,IF(G4907&lt;46,'General Basis'!$B$45,IF(G4907&lt;51,'General Basis'!$B$46,IF(G4907&lt;56,'General Basis'!$B$47,IF(G4907&lt;60,'General Basis'!$B$48,IF(G4907&lt;65,'General Basis'!$B$49,'General Basis'!$B$50)))))))))))))</f>
        <v/>
      </c>
      <c r="BI4907" s="744" t="str">
        <f t="shared" si="1699"/>
        <v/>
      </c>
      <c r="BJ4907" s="747" t="str">
        <f t="shared" si="1706"/>
        <v/>
      </c>
      <c r="BK4907" s="498" t="str">
        <f t="shared" si="1700"/>
        <v/>
      </c>
      <c r="BL4907" s="498" t="str">
        <f t="shared" si="1701"/>
        <v/>
      </c>
    </row>
    <row r="4908" spans="1:64" x14ac:dyDescent="0.25">
      <c r="A4908" s="762">
        <f t="shared" si="1702"/>
        <v>4903</v>
      </c>
      <c r="B4908" s="229"/>
      <c r="C4908" s="223"/>
      <c r="D4908" s="224"/>
      <c r="E4908" s="225"/>
      <c r="F4908" s="1036" t="str">
        <f t="shared" si="1708"/>
        <v/>
      </c>
      <c r="G4908" s="1037" t="str">
        <f t="shared" si="1703"/>
        <v/>
      </c>
      <c r="H4908" s="225"/>
      <c r="I4908" s="1013"/>
      <c r="J4908" s="1013"/>
      <c r="K4908" s="1028"/>
      <c r="L4908" s="1035" t="str">
        <f t="shared" si="1707"/>
        <v/>
      </c>
      <c r="S4908" s="498"/>
      <c r="AJ4908" s="498"/>
      <c r="AM4908" s="498">
        <f t="shared" si="1688"/>
        <v>0</v>
      </c>
      <c r="AN4908" s="498">
        <f t="shared" si="1689"/>
        <v>0</v>
      </c>
      <c r="AO4908" s="498">
        <f t="shared" si="1690"/>
        <v>0</v>
      </c>
      <c r="AP4908" s="498">
        <f t="shared" si="1709"/>
        <v>0</v>
      </c>
      <c r="AQ4908" s="498">
        <f t="shared" si="1704"/>
        <v>0</v>
      </c>
      <c r="AU4908" s="498">
        <f t="shared" si="1691"/>
        <v>0</v>
      </c>
      <c r="AV4908" s="498">
        <f t="shared" si="1692"/>
        <v>0</v>
      </c>
      <c r="AW4908" s="498">
        <f t="shared" si="1693"/>
        <v>0</v>
      </c>
      <c r="AX4908" s="498">
        <f t="shared" si="1694"/>
        <v>0</v>
      </c>
      <c r="AY4908" s="498">
        <f t="shared" si="1695"/>
        <v>0</v>
      </c>
      <c r="BB4908" s="498" t="str">
        <f t="shared" si="1696"/>
        <v/>
      </c>
      <c r="BC4908" s="743" t="str">
        <f t="shared" si="1697"/>
        <v/>
      </c>
      <c r="BD4908" s="743" t="str">
        <f t="shared" si="1698"/>
        <v/>
      </c>
      <c r="BE4908" s="743" t="str">
        <f>IF(D4908="","",VLOOKUP(D4908,'General Basis'!$J$39:$K$46,2,0))</f>
        <v/>
      </c>
      <c r="BF4908" s="744" t="str">
        <f>IF(D4908="","",VLOOKUP(D4908,'General Basis'!$J$39:$L$46,3,0))</f>
        <v/>
      </c>
      <c r="BG4908" s="744" t="str">
        <f t="shared" si="1705"/>
        <v/>
      </c>
      <c r="BH4908" s="744" t="str">
        <f>IF(G4908="","",IF(BF4908="Abu Dhabi",IF(G4908&lt;18,'General Basis'!$C$39,IF(G4908&lt;41,'General Basis'!$C$40,IF(G4908&lt;60,'General Basis'!$C$41,IF(G4908&lt;65,'General Basis'!$C$42,'General Basis'!$C$43)))),IF(G4908&lt;11,'General Basis'!$B$39,IF(G4908&lt;18,'General Basis'!$B$40,IF(G4908&lt;26,'General Basis'!$B$41,IF(G4908&lt;31,'General Basis'!$B$42,IF(G4908&lt;36,'General Basis'!$B$43,IF(G4908&lt;41,'General Basis'!$B$44,IF(G4908&lt;46,'General Basis'!$B$45,IF(G4908&lt;51,'General Basis'!$B$46,IF(G4908&lt;56,'General Basis'!$B$47,IF(G4908&lt;60,'General Basis'!$B$48,IF(G4908&lt;65,'General Basis'!$B$49,'General Basis'!$B$50)))))))))))))</f>
        <v/>
      </c>
      <c r="BI4908" s="744" t="str">
        <f t="shared" si="1699"/>
        <v/>
      </c>
      <c r="BJ4908" s="747" t="str">
        <f t="shared" si="1706"/>
        <v/>
      </c>
      <c r="BK4908" s="498" t="str">
        <f t="shared" si="1700"/>
        <v/>
      </c>
      <c r="BL4908" s="498" t="str">
        <f t="shared" si="1701"/>
        <v/>
      </c>
    </row>
    <row r="4909" spans="1:64" x14ac:dyDescent="0.25">
      <c r="A4909" s="762">
        <f t="shared" si="1702"/>
        <v>4904</v>
      </c>
      <c r="B4909" s="229"/>
      <c r="C4909" s="223"/>
      <c r="D4909" s="224"/>
      <c r="E4909" s="225"/>
      <c r="F4909" s="1036" t="str">
        <f t="shared" si="1708"/>
        <v/>
      </c>
      <c r="G4909" s="1037" t="str">
        <f t="shared" si="1703"/>
        <v/>
      </c>
      <c r="H4909" s="225"/>
      <c r="I4909" s="1013"/>
      <c r="J4909" s="1013"/>
      <c r="K4909" s="1028"/>
      <c r="L4909" s="1035" t="str">
        <f t="shared" si="1707"/>
        <v/>
      </c>
      <c r="S4909" s="498"/>
      <c r="AJ4909" s="498"/>
      <c r="AM4909" s="498">
        <f t="shared" si="1688"/>
        <v>0</v>
      </c>
      <c r="AN4909" s="498">
        <f t="shared" si="1689"/>
        <v>0</v>
      </c>
      <c r="AO4909" s="498">
        <f t="shared" si="1690"/>
        <v>0</v>
      </c>
      <c r="AP4909" s="498">
        <f t="shared" si="1709"/>
        <v>0</v>
      </c>
      <c r="AQ4909" s="498">
        <f t="shared" si="1704"/>
        <v>0</v>
      </c>
      <c r="AU4909" s="498">
        <f t="shared" si="1691"/>
        <v>0</v>
      </c>
      <c r="AV4909" s="498">
        <f t="shared" si="1692"/>
        <v>0</v>
      </c>
      <c r="AW4909" s="498">
        <f t="shared" si="1693"/>
        <v>0</v>
      </c>
      <c r="AX4909" s="498">
        <f t="shared" si="1694"/>
        <v>0</v>
      </c>
      <c r="AY4909" s="498">
        <f t="shared" si="1695"/>
        <v>0</v>
      </c>
      <c r="BB4909" s="498" t="str">
        <f t="shared" si="1696"/>
        <v/>
      </c>
      <c r="BC4909" s="743" t="str">
        <f t="shared" si="1697"/>
        <v/>
      </c>
      <c r="BD4909" s="743" t="str">
        <f t="shared" si="1698"/>
        <v/>
      </c>
      <c r="BE4909" s="743" t="str">
        <f>IF(D4909="","",VLOOKUP(D4909,'General Basis'!$J$39:$K$46,2,0))</f>
        <v/>
      </c>
      <c r="BF4909" s="744" t="str">
        <f>IF(D4909="","",VLOOKUP(D4909,'General Basis'!$J$39:$L$46,3,0))</f>
        <v/>
      </c>
      <c r="BG4909" s="744" t="str">
        <f t="shared" si="1705"/>
        <v/>
      </c>
      <c r="BH4909" s="744" t="str">
        <f>IF(G4909="","",IF(BF4909="Abu Dhabi",IF(G4909&lt;18,'General Basis'!$C$39,IF(G4909&lt;41,'General Basis'!$C$40,IF(G4909&lt;60,'General Basis'!$C$41,IF(G4909&lt;65,'General Basis'!$C$42,'General Basis'!$C$43)))),IF(G4909&lt;11,'General Basis'!$B$39,IF(G4909&lt;18,'General Basis'!$B$40,IF(G4909&lt;26,'General Basis'!$B$41,IF(G4909&lt;31,'General Basis'!$B$42,IF(G4909&lt;36,'General Basis'!$B$43,IF(G4909&lt;41,'General Basis'!$B$44,IF(G4909&lt;46,'General Basis'!$B$45,IF(G4909&lt;51,'General Basis'!$B$46,IF(G4909&lt;56,'General Basis'!$B$47,IF(G4909&lt;60,'General Basis'!$B$48,IF(G4909&lt;65,'General Basis'!$B$49,'General Basis'!$B$50)))))))))))))</f>
        <v/>
      </c>
      <c r="BI4909" s="744" t="str">
        <f t="shared" si="1699"/>
        <v/>
      </c>
      <c r="BJ4909" s="747" t="str">
        <f t="shared" si="1706"/>
        <v/>
      </c>
      <c r="BK4909" s="498" t="str">
        <f t="shared" si="1700"/>
        <v/>
      </c>
      <c r="BL4909" s="498" t="str">
        <f t="shared" si="1701"/>
        <v/>
      </c>
    </row>
    <row r="4910" spans="1:64" x14ac:dyDescent="0.25">
      <c r="A4910" s="762">
        <f t="shared" si="1702"/>
        <v>4905</v>
      </c>
      <c r="B4910" s="229"/>
      <c r="C4910" s="223"/>
      <c r="D4910" s="224"/>
      <c r="E4910" s="225"/>
      <c r="F4910" s="1036" t="str">
        <f t="shared" si="1708"/>
        <v/>
      </c>
      <c r="G4910" s="1037" t="str">
        <f t="shared" si="1703"/>
        <v/>
      </c>
      <c r="H4910" s="225"/>
      <c r="I4910" s="1013"/>
      <c r="J4910" s="1013"/>
      <c r="K4910" s="1028"/>
      <c r="L4910" s="1035" t="str">
        <f t="shared" si="1707"/>
        <v/>
      </c>
      <c r="S4910" s="498"/>
      <c r="AJ4910" s="498"/>
      <c r="AM4910" s="498">
        <f t="shared" si="1688"/>
        <v>0</v>
      </c>
      <c r="AN4910" s="498">
        <f t="shared" si="1689"/>
        <v>0</v>
      </c>
      <c r="AO4910" s="498">
        <f t="shared" si="1690"/>
        <v>0</v>
      </c>
      <c r="AP4910" s="498">
        <f t="shared" si="1709"/>
        <v>0</v>
      </c>
      <c r="AQ4910" s="498">
        <f t="shared" si="1704"/>
        <v>0</v>
      </c>
      <c r="AU4910" s="498">
        <f t="shared" si="1691"/>
        <v>0</v>
      </c>
      <c r="AV4910" s="498">
        <f t="shared" si="1692"/>
        <v>0</v>
      </c>
      <c r="AW4910" s="498">
        <f t="shared" si="1693"/>
        <v>0</v>
      </c>
      <c r="AX4910" s="498">
        <f t="shared" si="1694"/>
        <v>0</v>
      </c>
      <c r="AY4910" s="498">
        <f t="shared" si="1695"/>
        <v>0</v>
      </c>
      <c r="BB4910" s="498" t="str">
        <f t="shared" si="1696"/>
        <v/>
      </c>
      <c r="BC4910" s="743" t="str">
        <f t="shared" si="1697"/>
        <v/>
      </c>
      <c r="BD4910" s="743" t="str">
        <f t="shared" si="1698"/>
        <v/>
      </c>
      <c r="BE4910" s="743" t="str">
        <f>IF(D4910="","",VLOOKUP(D4910,'General Basis'!$J$39:$K$46,2,0))</f>
        <v/>
      </c>
      <c r="BF4910" s="744" t="str">
        <f>IF(D4910="","",VLOOKUP(D4910,'General Basis'!$J$39:$L$46,3,0))</f>
        <v/>
      </c>
      <c r="BG4910" s="744" t="str">
        <f t="shared" si="1705"/>
        <v/>
      </c>
      <c r="BH4910" s="744" t="str">
        <f>IF(G4910="","",IF(BF4910="Abu Dhabi",IF(G4910&lt;18,'General Basis'!$C$39,IF(G4910&lt;41,'General Basis'!$C$40,IF(G4910&lt;60,'General Basis'!$C$41,IF(G4910&lt;65,'General Basis'!$C$42,'General Basis'!$C$43)))),IF(G4910&lt;11,'General Basis'!$B$39,IF(G4910&lt;18,'General Basis'!$B$40,IF(G4910&lt;26,'General Basis'!$B$41,IF(G4910&lt;31,'General Basis'!$B$42,IF(G4910&lt;36,'General Basis'!$B$43,IF(G4910&lt;41,'General Basis'!$B$44,IF(G4910&lt;46,'General Basis'!$B$45,IF(G4910&lt;51,'General Basis'!$B$46,IF(G4910&lt;56,'General Basis'!$B$47,IF(G4910&lt;60,'General Basis'!$B$48,IF(G4910&lt;65,'General Basis'!$B$49,'General Basis'!$B$50)))))))))))))</f>
        <v/>
      </c>
      <c r="BI4910" s="744" t="str">
        <f t="shared" si="1699"/>
        <v/>
      </c>
      <c r="BJ4910" s="747" t="str">
        <f t="shared" si="1706"/>
        <v/>
      </c>
      <c r="BK4910" s="498" t="str">
        <f t="shared" si="1700"/>
        <v/>
      </c>
      <c r="BL4910" s="498" t="str">
        <f t="shared" si="1701"/>
        <v/>
      </c>
    </row>
    <row r="4911" spans="1:64" x14ac:dyDescent="0.25">
      <c r="A4911" s="762">
        <f t="shared" si="1702"/>
        <v>4906</v>
      </c>
      <c r="B4911" s="229"/>
      <c r="C4911" s="223"/>
      <c r="D4911" s="224"/>
      <c r="E4911" s="225"/>
      <c r="F4911" s="1036" t="str">
        <f t="shared" si="1708"/>
        <v/>
      </c>
      <c r="G4911" s="1037" t="str">
        <f t="shared" si="1703"/>
        <v/>
      </c>
      <c r="H4911" s="225"/>
      <c r="I4911" s="1013"/>
      <c r="J4911" s="1013"/>
      <c r="K4911" s="1028"/>
      <c r="L4911" s="1035" t="str">
        <f t="shared" si="1707"/>
        <v/>
      </c>
      <c r="S4911" s="498"/>
      <c r="AJ4911" s="498"/>
      <c r="AM4911" s="498">
        <f t="shared" si="1688"/>
        <v>0</v>
      </c>
      <c r="AN4911" s="498">
        <f t="shared" si="1689"/>
        <v>0</v>
      </c>
      <c r="AO4911" s="498">
        <f t="shared" si="1690"/>
        <v>0</v>
      </c>
      <c r="AP4911" s="498">
        <f t="shared" si="1709"/>
        <v>0</v>
      </c>
      <c r="AQ4911" s="498">
        <f t="shared" si="1704"/>
        <v>0</v>
      </c>
      <c r="AU4911" s="498">
        <f t="shared" si="1691"/>
        <v>0</v>
      </c>
      <c r="AV4911" s="498">
        <f t="shared" si="1692"/>
        <v>0</v>
      </c>
      <c r="AW4911" s="498">
        <f t="shared" si="1693"/>
        <v>0</v>
      </c>
      <c r="AX4911" s="498">
        <f t="shared" si="1694"/>
        <v>0</v>
      </c>
      <c r="AY4911" s="498">
        <f t="shared" si="1695"/>
        <v>0</v>
      </c>
      <c r="BB4911" s="498" t="str">
        <f t="shared" si="1696"/>
        <v/>
      </c>
      <c r="BC4911" s="743" t="str">
        <f t="shared" si="1697"/>
        <v/>
      </c>
      <c r="BD4911" s="743" t="str">
        <f t="shared" si="1698"/>
        <v/>
      </c>
      <c r="BE4911" s="743" t="str">
        <f>IF(D4911="","",VLOOKUP(D4911,'General Basis'!$J$39:$K$46,2,0))</f>
        <v/>
      </c>
      <c r="BF4911" s="744" t="str">
        <f>IF(D4911="","",VLOOKUP(D4911,'General Basis'!$J$39:$L$46,3,0))</f>
        <v/>
      </c>
      <c r="BG4911" s="744" t="str">
        <f t="shared" si="1705"/>
        <v/>
      </c>
      <c r="BH4911" s="744" t="str">
        <f>IF(G4911="","",IF(BF4911="Abu Dhabi",IF(G4911&lt;18,'General Basis'!$C$39,IF(G4911&lt;41,'General Basis'!$C$40,IF(G4911&lt;60,'General Basis'!$C$41,IF(G4911&lt;65,'General Basis'!$C$42,'General Basis'!$C$43)))),IF(G4911&lt;11,'General Basis'!$B$39,IF(G4911&lt;18,'General Basis'!$B$40,IF(G4911&lt;26,'General Basis'!$B$41,IF(G4911&lt;31,'General Basis'!$B$42,IF(G4911&lt;36,'General Basis'!$B$43,IF(G4911&lt;41,'General Basis'!$B$44,IF(G4911&lt;46,'General Basis'!$B$45,IF(G4911&lt;51,'General Basis'!$B$46,IF(G4911&lt;56,'General Basis'!$B$47,IF(G4911&lt;60,'General Basis'!$B$48,IF(G4911&lt;65,'General Basis'!$B$49,'General Basis'!$B$50)))))))))))))</f>
        <v/>
      </c>
      <c r="BI4911" s="744" t="str">
        <f t="shared" si="1699"/>
        <v/>
      </c>
      <c r="BJ4911" s="747" t="str">
        <f t="shared" si="1706"/>
        <v/>
      </c>
      <c r="BK4911" s="498" t="str">
        <f t="shared" si="1700"/>
        <v/>
      </c>
      <c r="BL4911" s="498" t="str">
        <f t="shared" si="1701"/>
        <v/>
      </c>
    </row>
    <row r="4912" spans="1:64" x14ac:dyDescent="0.25">
      <c r="A4912" s="762">
        <f t="shared" si="1702"/>
        <v>4907</v>
      </c>
      <c r="B4912" s="229"/>
      <c r="C4912" s="223"/>
      <c r="D4912" s="224"/>
      <c r="E4912" s="225"/>
      <c r="F4912" s="1036" t="str">
        <f t="shared" si="1708"/>
        <v/>
      </c>
      <c r="G4912" s="1037" t="str">
        <f t="shared" si="1703"/>
        <v/>
      </c>
      <c r="H4912" s="225"/>
      <c r="I4912" s="1013"/>
      <c r="J4912" s="1013"/>
      <c r="K4912" s="1028"/>
      <c r="L4912" s="1035" t="str">
        <f t="shared" si="1707"/>
        <v/>
      </c>
      <c r="S4912" s="498"/>
      <c r="AJ4912" s="498"/>
      <c r="AM4912" s="498">
        <f t="shared" si="1688"/>
        <v>0</v>
      </c>
      <c r="AN4912" s="498">
        <f t="shared" si="1689"/>
        <v>0</v>
      </c>
      <c r="AO4912" s="498">
        <f t="shared" si="1690"/>
        <v>0</v>
      </c>
      <c r="AP4912" s="498">
        <f t="shared" si="1709"/>
        <v>0</v>
      </c>
      <c r="AQ4912" s="498">
        <f t="shared" si="1704"/>
        <v>0</v>
      </c>
      <c r="AU4912" s="498">
        <f t="shared" si="1691"/>
        <v>0</v>
      </c>
      <c r="AV4912" s="498">
        <f t="shared" si="1692"/>
        <v>0</v>
      </c>
      <c r="AW4912" s="498">
        <f t="shared" si="1693"/>
        <v>0</v>
      </c>
      <c r="AX4912" s="498">
        <f t="shared" si="1694"/>
        <v>0</v>
      </c>
      <c r="AY4912" s="498">
        <f t="shared" si="1695"/>
        <v>0</v>
      </c>
      <c r="BB4912" s="498" t="str">
        <f t="shared" si="1696"/>
        <v/>
      </c>
      <c r="BC4912" s="743" t="str">
        <f t="shared" si="1697"/>
        <v/>
      </c>
      <c r="BD4912" s="743" t="str">
        <f t="shared" si="1698"/>
        <v/>
      </c>
      <c r="BE4912" s="743" t="str">
        <f>IF(D4912="","",VLOOKUP(D4912,'General Basis'!$J$39:$K$46,2,0))</f>
        <v/>
      </c>
      <c r="BF4912" s="744" t="str">
        <f>IF(D4912="","",VLOOKUP(D4912,'General Basis'!$J$39:$L$46,3,0))</f>
        <v/>
      </c>
      <c r="BG4912" s="744" t="str">
        <f t="shared" si="1705"/>
        <v/>
      </c>
      <c r="BH4912" s="744" t="str">
        <f>IF(G4912="","",IF(BF4912="Abu Dhabi",IF(G4912&lt;18,'General Basis'!$C$39,IF(G4912&lt;41,'General Basis'!$C$40,IF(G4912&lt;60,'General Basis'!$C$41,IF(G4912&lt;65,'General Basis'!$C$42,'General Basis'!$C$43)))),IF(G4912&lt;11,'General Basis'!$B$39,IF(G4912&lt;18,'General Basis'!$B$40,IF(G4912&lt;26,'General Basis'!$B$41,IF(G4912&lt;31,'General Basis'!$B$42,IF(G4912&lt;36,'General Basis'!$B$43,IF(G4912&lt;41,'General Basis'!$B$44,IF(G4912&lt;46,'General Basis'!$B$45,IF(G4912&lt;51,'General Basis'!$B$46,IF(G4912&lt;56,'General Basis'!$B$47,IF(G4912&lt;60,'General Basis'!$B$48,IF(G4912&lt;65,'General Basis'!$B$49,'General Basis'!$B$50)))))))))))))</f>
        <v/>
      </c>
      <c r="BI4912" s="744" t="str">
        <f t="shared" si="1699"/>
        <v/>
      </c>
      <c r="BJ4912" s="747" t="str">
        <f t="shared" si="1706"/>
        <v/>
      </c>
      <c r="BK4912" s="498" t="str">
        <f t="shared" si="1700"/>
        <v/>
      </c>
      <c r="BL4912" s="498" t="str">
        <f t="shared" si="1701"/>
        <v/>
      </c>
    </row>
    <row r="4913" spans="1:64" x14ac:dyDescent="0.25">
      <c r="A4913" s="762">
        <f t="shared" si="1702"/>
        <v>4908</v>
      </c>
      <c r="B4913" s="229"/>
      <c r="C4913" s="223"/>
      <c r="D4913" s="224"/>
      <c r="E4913" s="225"/>
      <c r="F4913" s="1036" t="str">
        <f t="shared" si="1708"/>
        <v/>
      </c>
      <c r="G4913" s="1037" t="str">
        <f t="shared" si="1703"/>
        <v/>
      </c>
      <c r="H4913" s="225"/>
      <c r="I4913" s="1013"/>
      <c r="J4913" s="1013"/>
      <c r="K4913" s="1028"/>
      <c r="L4913" s="1035" t="str">
        <f t="shared" si="1707"/>
        <v/>
      </c>
      <c r="S4913" s="498"/>
      <c r="AJ4913" s="498"/>
      <c r="AM4913" s="498">
        <f t="shared" si="1688"/>
        <v>0</v>
      </c>
      <c r="AN4913" s="498">
        <f t="shared" si="1689"/>
        <v>0</v>
      </c>
      <c r="AO4913" s="498">
        <f t="shared" si="1690"/>
        <v>0</v>
      </c>
      <c r="AP4913" s="498">
        <f t="shared" si="1709"/>
        <v>0</v>
      </c>
      <c r="AQ4913" s="498">
        <f t="shared" si="1704"/>
        <v>0</v>
      </c>
      <c r="AU4913" s="498">
        <f t="shared" si="1691"/>
        <v>0</v>
      </c>
      <c r="AV4913" s="498">
        <f t="shared" si="1692"/>
        <v>0</v>
      </c>
      <c r="AW4913" s="498">
        <f t="shared" si="1693"/>
        <v>0</v>
      </c>
      <c r="AX4913" s="498">
        <f t="shared" si="1694"/>
        <v>0</v>
      </c>
      <c r="AY4913" s="498">
        <f t="shared" si="1695"/>
        <v>0</v>
      </c>
      <c r="BB4913" s="498" t="str">
        <f t="shared" si="1696"/>
        <v/>
      </c>
      <c r="BC4913" s="743" t="str">
        <f t="shared" si="1697"/>
        <v/>
      </c>
      <c r="BD4913" s="743" t="str">
        <f t="shared" si="1698"/>
        <v/>
      </c>
      <c r="BE4913" s="743" t="str">
        <f>IF(D4913="","",VLOOKUP(D4913,'General Basis'!$J$39:$K$46,2,0))</f>
        <v/>
      </c>
      <c r="BF4913" s="744" t="str">
        <f>IF(D4913="","",VLOOKUP(D4913,'General Basis'!$J$39:$L$46,3,0))</f>
        <v/>
      </c>
      <c r="BG4913" s="744" t="str">
        <f t="shared" si="1705"/>
        <v/>
      </c>
      <c r="BH4913" s="744" t="str">
        <f>IF(G4913="","",IF(BF4913="Abu Dhabi",IF(G4913&lt;18,'General Basis'!$C$39,IF(G4913&lt;41,'General Basis'!$C$40,IF(G4913&lt;60,'General Basis'!$C$41,IF(G4913&lt;65,'General Basis'!$C$42,'General Basis'!$C$43)))),IF(G4913&lt;11,'General Basis'!$B$39,IF(G4913&lt;18,'General Basis'!$B$40,IF(G4913&lt;26,'General Basis'!$B$41,IF(G4913&lt;31,'General Basis'!$B$42,IF(G4913&lt;36,'General Basis'!$B$43,IF(G4913&lt;41,'General Basis'!$B$44,IF(G4913&lt;46,'General Basis'!$B$45,IF(G4913&lt;51,'General Basis'!$B$46,IF(G4913&lt;56,'General Basis'!$B$47,IF(G4913&lt;60,'General Basis'!$B$48,IF(G4913&lt;65,'General Basis'!$B$49,'General Basis'!$B$50)))))))))))))</f>
        <v/>
      </c>
      <c r="BI4913" s="744" t="str">
        <f t="shared" si="1699"/>
        <v/>
      </c>
      <c r="BJ4913" s="747" t="str">
        <f t="shared" si="1706"/>
        <v/>
      </c>
      <c r="BK4913" s="498" t="str">
        <f t="shared" si="1700"/>
        <v/>
      </c>
      <c r="BL4913" s="498" t="str">
        <f t="shared" si="1701"/>
        <v/>
      </c>
    </row>
    <row r="4914" spans="1:64" x14ac:dyDescent="0.25">
      <c r="A4914" s="762">
        <f t="shared" si="1702"/>
        <v>4909</v>
      </c>
      <c r="B4914" s="229"/>
      <c r="C4914" s="223"/>
      <c r="D4914" s="224"/>
      <c r="E4914" s="225"/>
      <c r="F4914" s="1036" t="str">
        <f t="shared" si="1708"/>
        <v/>
      </c>
      <c r="G4914" s="1037" t="str">
        <f t="shared" si="1703"/>
        <v/>
      </c>
      <c r="H4914" s="225"/>
      <c r="I4914" s="1013"/>
      <c r="J4914" s="1013"/>
      <c r="K4914" s="1028"/>
      <c r="L4914" s="1035" t="str">
        <f t="shared" si="1707"/>
        <v/>
      </c>
      <c r="S4914" s="498"/>
      <c r="AJ4914" s="498"/>
      <c r="AM4914" s="498">
        <f t="shared" si="1688"/>
        <v>0</v>
      </c>
      <c r="AN4914" s="498">
        <f t="shared" si="1689"/>
        <v>0</v>
      </c>
      <c r="AO4914" s="498">
        <f t="shared" si="1690"/>
        <v>0</v>
      </c>
      <c r="AP4914" s="498">
        <f t="shared" si="1709"/>
        <v>0</v>
      </c>
      <c r="AQ4914" s="498">
        <f t="shared" si="1704"/>
        <v>0</v>
      </c>
      <c r="AU4914" s="498">
        <f t="shared" si="1691"/>
        <v>0</v>
      </c>
      <c r="AV4914" s="498">
        <f t="shared" si="1692"/>
        <v>0</v>
      </c>
      <c r="AW4914" s="498">
        <f t="shared" si="1693"/>
        <v>0</v>
      </c>
      <c r="AX4914" s="498">
        <f t="shared" si="1694"/>
        <v>0</v>
      </c>
      <c r="AY4914" s="498">
        <f t="shared" si="1695"/>
        <v>0</v>
      </c>
      <c r="BB4914" s="498" t="str">
        <f t="shared" si="1696"/>
        <v/>
      </c>
      <c r="BC4914" s="743" t="str">
        <f t="shared" si="1697"/>
        <v/>
      </c>
      <c r="BD4914" s="743" t="str">
        <f t="shared" si="1698"/>
        <v/>
      </c>
      <c r="BE4914" s="743" t="str">
        <f>IF(D4914="","",VLOOKUP(D4914,'General Basis'!$J$39:$K$46,2,0))</f>
        <v/>
      </c>
      <c r="BF4914" s="744" t="str">
        <f>IF(D4914="","",VLOOKUP(D4914,'General Basis'!$J$39:$L$46,3,0))</f>
        <v/>
      </c>
      <c r="BG4914" s="744" t="str">
        <f t="shared" si="1705"/>
        <v/>
      </c>
      <c r="BH4914" s="744" t="str">
        <f>IF(G4914="","",IF(BF4914="Abu Dhabi",IF(G4914&lt;18,'General Basis'!$C$39,IF(G4914&lt;41,'General Basis'!$C$40,IF(G4914&lt;60,'General Basis'!$C$41,IF(G4914&lt;65,'General Basis'!$C$42,'General Basis'!$C$43)))),IF(G4914&lt;11,'General Basis'!$B$39,IF(G4914&lt;18,'General Basis'!$B$40,IF(G4914&lt;26,'General Basis'!$B$41,IF(G4914&lt;31,'General Basis'!$B$42,IF(G4914&lt;36,'General Basis'!$B$43,IF(G4914&lt;41,'General Basis'!$B$44,IF(G4914&lt;46,'General Basis'!$B$45,IF(G4914&lt;51,'General Basis'!$B$46,IF(G4914&lt;56,'General Basis'!$B$47,IF(G4914&lt;60,'General Basis'!$B$48,IF(G4914&lt;65,'General Basis'!$B$49,'General Basis'!$B$50)))))))))))))</f>
        <v/>
      </c>
      <c r="BI4914" s="744" t="str">
        <f t="shared" si="1699"/>
        <v/>
      </c>
      <c r="BJ4914" s="747" t="str">
        <f t="shared" si="1706"/>
        <v/>
      </c>
      <c r="BK4914" s="498" t="str">
        <f t="shared" si="1700"/>
        <v/>
      </c>
      <c r="BL4914" s="498" t="str">
        <f t="shared" si="1701"/>
        <v/>
      </c>
    </row>
    <row r="4915" spans="1:64" x14ac:dyDescent="0.25">
      <c r="A4915" s="762">
        <f t="shared" si="1702"/>
        <v>4910</v>
      </c>
      <c r="B4915" s="229"/>
      <c r="C4915" s="223"/>
      <c r="D4915" s="224"/>
      <c r="E4915" s="225"/>
      <c r="F4915" s="1036" t="str">
        <f t="shared" si="1708"/>
        <v/>
      </c>
      <c r="G4915" s="1037" t="str">
        <f t="shared" si="1703"/>
        <v/>
      </c>
      <c r="H4915" s="225"/>
      <c r="I4915" s="1013"/>
      <c r="J4915" s="1013"/>
      <c r="K4915" s="1028"/>
      <c r="L4915" s="1035" t="str">
        <f t="shared" si="1707"/>
        <v/>
      </c>
      <c r="S4915" s="498"/>
      <c r="AJ4915" s="498"/>
      <c r="AM4915" s="498">
        <f t="shared" si="1688"/>
        <v>0</v>
      </c>
      <c r="AN4915" s="498">
        <f t="shared" si="1689"/>
        <v>0</v>
      </c>
      <c r="AO4915" s="498">
        <f t="shared" si="1690"/>
        <v>0</v>
      </c>
      <c r="AP4915" s="498">
        <f t="shared" si="1709"/>
        <v>0</v>
      </c>
      <c r="AQ4915" s="498">
        <f t="shared" si="1704"/>
        <v>0</v>
      </c>
      <c r="AU4915" s="498">
        <f t="shared" si="1691"/>
        <v>0</v>
      </c>
      <c r="AV4915" s="498">
        <f t="shared" si="1692"/>
        <v>0</v>
      </c>
      <c r="AW4915" s="498">
        <f t="shared" si="1693"/>
        <v>0</v>
      </c>
      <c r="AX4915" s="498">
        <f t="shared" si="1694"/>
        <v>0</v>
      </c>
      <c r="AY4915" s="498">
        <f t="shared" si="1695"/>
        <v>0</v>
      </c>
      <c r="BB4915" s="498" t="str">
        <f t="shared" si="1696"/>
        <v/>
      </c>
      <c r="BC4915" s="743" t="str">
        <f t="shared" si="1697"/>
        <v/>
      </c>
      <c r="BD4915" s="743" t="str">
        <f t="shared" si="1698"/>
        <v/>
      </c>
      <c r="BE4915" s="743" t="str">
        <f>IF(D4915="","",VLOOKUP(D4915,'General Basis'!$J$39:$K$46,2,0))</f>
        <v/>
      </c>
      <c r="BF4915" s="744" t="str">
        <f>IF(D4915="","",VLOOKUP(D4915,'General Basis'!$J$39:$L$46,3,0))</f>
        <v/>
      </c>
      <c r="BG4915" s="744" t="str">
        <f t="shared" si="1705"/>
        <v/>
      </c>
      <c r="BH4915" s="744" t="str">
        <f>IF(G4915="","",IF(BF4915="Abu Dhabi",IF(G4915&lt;18,'General Basis'!$C$39,IF(G4915&lt;41,'General Basis'!$C$40,IF(G4915&lt;60,'General Basis'!$C$41,IF(G4915&lt;65,'General Basis'!$C$42,'General Basis'!$C$43)))),IF(G4915&lt;11,'General Basis'!$B$39,IF(G4915&lt;18,'General Basis'!$B$40,IF(G4915&lt;26,'General Basis'!$B$41,IF(G4915&lt;31,'General Basis'!$B$42,IF(G4915&lt;36,'General Basis'!$B$43,IF(G4915&lt;41,'General Basis'!$B$44,IF(G4915&lt;46,'General Basis'!$B$45,IF(G4915&lt;51,'General Basis'!$B$46,IF(G4915&lt;56,'General Basis'!$B$47,IF(G4915&lt;60,'General Basis'!$B$48,IF(G4915&lt;65,'General Basis'!$B$49,'General Basis'!$B$50)))))))))))))</f>
        <v/>
      </c>
      <c r="BI4915" s="744" t="str">
        <f t="shared" si="1699"/>
        <v/>
      </c>
      <c r="BJ4915" s="747" t="str">
        <f t="shared" si="1706"/>
        <v/>
      </c>
      <c r="BK4915" s="498" t="str">
        <f t="shared" si="1700"/>
        <v/>
      </c>
      <c r="BL4915" s="498" t="str">
        <f t="shared" si="1701"/>
        <v/>
      </c>
    </row>
    <row r="4916" spans="1:64" x14ac:dyDescent="0.25">
      <c r="A4916" s="762">
        <f t="shared" si="1702"/>
        <v>4911</v>
      </c>
      <c r="B4916" s="229"/>
      <c r="C4916" s="223"/>
      <c r="D4916" s="224"/>
      <c r="E4916" s="225"/>
      <c r="F4916" s="1036" t="str">
        <f t="shared" si="1708"/>
        <v/>
      </c>
      <c r="G4916" s="1037" t="str">
        <f t="shared" si="1703"/>
        <v/>
      </c>
      <c r="H4916" s="225"/>
      <c r="I4916" s="1013"/>
      <c r="J4916" s="1013"/>
      <c r="K4916" s="1028"/>
      <c r="L4916" s="1035" t="str">
        <f t="shared" si="1707"/>
        <v/>
      </c>
      <c r="S4916" s="498"/>
      <c r="AJ4916" s="498"/>
      <c r="AM4916" s="498">
        <f t="shared" si="1688"/>
        <v>0</v>
      </c>
      <c r="AN4916" s="498">
        <f t="shared" si="1689"/>
        <v>0</v>
      </c>
      <c r="AO4916" s="498">
        <f t="shared" si="1690"/>
        <v>0</v>
      </c>
      <c r="AP4916" s="498">
        <f t="shared" si="1709"/>
        <v>0</v>
      </c>
      <c r="AQ4916" s="498">
        <f t="shared" si="1704"/>
        <v>0</v>
      </c>
      <c r="AU4916" s="498">
        <f t="shared" si="1691"/>
        <v>0</v>
      </c>
      <c r="AV4916" s="498">
        <f t="shared" si="1692"/>
        <v>0</v>
      </c>
      <c r="AW4916" s="498">
        <f t="shared" si="1693"/>
        <v>0</v>
      </c>
      <c r="AX4916" s="498">
        <f t="shared" si="1694"/>
        <v>0</v>
      </c>
      <c r="AY4916" s="498">
        <f t="shared" si="1695"/>
        <v>0</v>
      </c>
      <c r="BB4916" s="498" t="str">
        <f t="shared" si="1696"/>
        <v/>
      </c>
      <c r="BC4916" s="743" t="str">
        <f t="shared" si="1697"/>
        <v/>
      </c>
      <c r="BD4916" s="743" t="str">
        <f t="shared" si="1698"/>
        <v/>
      </c>
      <c r="BE4916" s="743" t="str">
        <f>IF(D4916="","",VLOOKUP(D4916,'General Basis'!$J$39:$K$46,2,0))</f>
        <v/>
      </c>
      <c r="BF4916" s="744" t="str">
        <f>IF(D4916="","",VLOOKUP(D4916,'General Basis'!$J$39:$L$46,3,0))</f>
        <v/>
      </c>
      <c r="BG4916" s="744" t="str">
        <f t="shared" si="1705"/>
        <v/>
      </c>
      <c r="BH4916" s="744" t="str">
        <f>IF(G4916="","",IF(BF4916="Abu Dhabi",IF(G4916&lt;18,'General Basis'!$C$39,IF(G4916&lt;41,'General Basis'!$C$40,IF(G4916&lt;60,'General Basis'!$C$41,IF(G4916&lt;65,'General Basis'!$C$42,'General Basis'!$C$43)))),IF(G4916&lt;11,'General Basis'!$B$39,IF(G4916&lt;18,'General Basis'!$B$40,IF(G4916&lt;26,'General Basis'!$B$41,IF(G4916&lt;31,'General Basis'!$B$42,IF(G4916&lt;36,'General Basis'!$B$43,IF(G4916&lt;41,'General Basis'!$B$44,IF(G4916&lt;46,'General Basis'!$B$45,IF(G4916&lt;51,'General Basis'!$B$46,IF(G4916&lt;56,'General Basis'!$B$47,IF(G4916&lt;60,'General Basis'!$B$48,IF(G4916&lt;65,'General Basis'!$B$49,'General Basis'!$B$50)))))))))))))</f>
        <v/>
      </c>
      <c r="BI4916" s="744" t="str">
        <f t="shared" si="1699"/>
        <v/>
      </c>
      <c r="BJ4916" s="747" t="str">
        <f t="shared" si="1706"/>
        <v/>
      </c>
      <c r="BK4916" s="498" t="str">
        <f t="shared" si="1700"/>
        <v/>
      </c>
      <c r="BL4916" s="498" t="str">
        <f t="shared" si="1701"/>
        <v/>
      </c>
    </row>
    <row r="4917" spans="1:64" x14ac:dyDescent="0.25">
      <c r="A4917" s="762">
        <f t="shared" si="1702"/>
        <v>4912</v>
      </c>
      <c r="B4917" s="229"/>
      <c r="C4917" s="223"/>
      <c r="D4917" s="224"/>
      <c r="E4917" s="225"/>
      <c r="F4917" s="1036" t="str">
        <f t="shared" si="1708"/>
        <v/>
      </c>
      <c r="G4917" s="1037" t="str">
        <f t="shared" si="1703"/>
        <v/>
      </c>
      <c r="H4917" s="225"/>
      <c r="I4917" s="1013"/>
      <c r="J4917" s="1013"/>
      <c r="K4917" s="1028"/>
      <c r="L4917" s="1035" t="str">
        <f t="shared" si="1707"/>
        <v/>
      </c>
      <c r="S4917" s="498"/>
      <c r="AJ4917" s="498"/>
      <c r="AM4917" s="498">
        <f t="shared" si="1688"/>
        <v>0</v>
      </c>
      <c r="AN4917" s="498">
        <f t="shared" si="1689"/>
        <v>0</v>
      </c>
      <c r="AO4917" s="498">
        <f t="shared" si="1690"/>
        <v>0</v>
      </c>
      <c r="AP4917" s="498">
        <f t="shared" si="1709"/>
        <v>0</v>
      </c>
      <c r="AQ4917" s="498">
        <f t="shared" si="1704"/>
        <v>0</v>
      </c>
      <c r="AU4917" s="498">
        <f t="shared" si="1691"/>
        <v>0</v>
      </c>
      <c r="AV4917" s="498">
        <f t="shared" si="1692"/>
        <v>0</v>
      </c>
      <c r="AW4917" s="498">
        <f t="shared" si="1693"/>
        <v>0</v>
      </c>
      <c r="AX4917" s="498">
        <f t="shared" si="1694"/>
        <v>0</v>
      </c>
      <c r="AY4917" s="498">
        <f t="shared" si="1695"/>
        <v>0</v>
      </c>
      <c r="BB4917" s="498" t="str">
        <f t="shared" si="1696"/>
        <v/>
      </c>
      <c r="BC4917" s="743" t="str">
        <f t="shared" si="1697"/>
        <v/>
      </c>
      <c r="BD4917" s="743" t="str">
        <f t="shared" si="1698"/>
        <v/>
      </c>
      <c r="BE4917" s="743" t="str">
        <f>IF(D4917="","",VLOOKUP(D4917,'General Basis'!$J$39:$K$46,2,0))</f>
        <v/>
      </c>
      <c r="BF4917" s="744" t="str">
        <f>IF(D4917="","",VLOOKUP(D4917,'General Basis'!$J$39:$L$46,3,0))</f>
        <v/>
      </c>
      <c r="BG4917" s="744" t="str">
        <f t="shared" si="1705"/>
        <v/>
      </c>
      <c r="BH4917" s="744" t="str">
        <f>IF(G4917="","",IF(BF4917="Abu Dhabi",IF(G4917&lt;18,'General Basis'!$C$39,IF(G4917&lt;41,'General Basis'!$C$40,IF(G4917&lt;60,'General Basis'!$C$41,IF(G4917&lt;65,'General Basis'!$C$42,'General Basis'!$C$43)))),IF(G4917&lt;11,'General Basis'!$B$39,IF(G4917&lt;18,'General Basis'!$B$40,IF(G4917&lt;26,'General Basis'!$B$41,IF(G4917&lt;31,'General Basis'!$B$42,IF(G4917&lt;36,'General Basis'!$B$43,IF(G4917&lt;41,'General Basis'!$B$44,IF(G4917&lt;46,'General Basis'!$B$45,IF(G4917&lt;51,'General Basis'!$B$46,IF(G4917&lt;56,'General Basis'!$B$47,IF(G4917&lt;60,'General Basis'!$B$48,IF(G4917&lt;65,'General Basis'!$B$49,'General Basis'!$B$50)))))))))))))</f>
        <v/>
      </c>
      <c r="BI4917" s="744" t="str">
        <f t="shared" si="1699"/>
        <v/>
      </c>
      <c r="BJ4917" s="747" t="str">
        <f t="shared" si="1706"/>
        <v/>
      </c>
      <c r="BK4917" s="498" t="str">
        <f t="shared" si="1700"/>
        <v/>
      </c>
      <c r="BL4917" s="498" t="str">
        <f t="shared" si="1701"/>
        <v/>
      </c>
    </row>
    <row r="4918" spans="1:64" x14ac:dyDescent="0.25">
      <c r="A4918" s="762">
        <f t="shared" si="1702"/>
        <v>4913</v>
      </c>
      <c r="B4918" s="229"/>
      <c r="C4918" s="223"/>
      <c r="D4918" s="224"/>
      <c r="E4918" s="225"/>
      <c r="F4918" s="1036" t="str">
        <f t="shared" si="1708"/>
        <v/>
      </c>
      <c r="G4918" s="1037" t="str">
        <f t="shared" si="1703"/>
        <v/>
      </c>
      <c r="H4918" s="225"/>
      <c r="I4918" s="1013"/>
      <c r="J4918" s="1013"/>
      <c r="K4918" s="1028"/>
      <c r="L4918" s="1035" t="str">
        <f t="shared" si="1707"/>
        <v/>
      </c>
      <c r="S4918" s="498"/>
      <c r="AJ4918" s="498"/>
      <c r="AM4918" s="498">
        <f t="shared" si="1688"/>
        <v>0</v>
      </c>
      <c r="AN4918" s="498">
        <f t="shared" si="1689"/>
        <v>0</v>
      </c>
      <c r="AO4918" s="498">
        <f t="shared" si="1690"/>
        <v>0</v>
      </c>
      <c r="AP4918" s="498">
        <f t="shared" si="1709"/>
        <v>0</v>
      </c>
      <c r="AQ4918" s="498">
        <f t="shared" si="1704"/>
        <v>0</v>
      </c>
      <c r="AU4918" s="498">
        <f t="shared" si="1691"/>
        <v>0</v>
      </c>
      <c r="AV4918" s="498">
        <f t="shared" si="1692"/>
        <v>0</v>
      </c>
      <c r="AW4918" s="498">
        <f t="shared" si="1693"/>
        <v>0</v>
      </c>
      <c r="AX4918" s="498">
        <f t="shared" si="1694"/>
        <v>0</v>
      </c>
      <c r="AY4918" s="498">
        <f t="shared" si="1695"/>
        <v>0</v>
      </c>
      <c r="BB4918" s="498" t="str">
        <f t="shared" si="1696"/>
        <v/>
      </c>
      <c r="BC4918" s="743" t="str">
        <f t="shared" si="1697"/>
        <v/>
      </c>
      <c r="BD4918" s="743" t="str">
        <f t="shared" si="1698"/>
        <v/>
      </c>
      <c r="BE4918" s="743" t="str">
        <f>IF(D4918="","",VLOOKUP(D4918,'General Basis'!$J$39:$K$46,2,0))</f>
        <v/>
      </c>
      <c r="BF4918" s="744" t="str">
        <f>IF(D4918="","",VLOOKUP(D4918,'General Basis'!$J$39:$L$46,3,0))</f>
        <v/>
      </c>
      <c r="BG4918" s="744" t="str">
        <f t="shared" si="1705"/>
        <v/>
      </c>
      <c r="BH4918" s="744" t="str">
        <f>IF(G4918="","",IF(BF4918="Abu Dhabi",IF(G4918&lt;18,'General Basis'!$C$39,IF(G4918&lt;41,'General Basis'!$C$40,IF(G4918&lt;60,'General Basis'!$C$41,IF(G4918&lt;65,'General Basis'!$C$42,'General Basis'!$C$43)))),IF(G4918&lt;11,'General Basis'!$B$39,IF(G4918&lt;18,'General Basis'!$B$40,IF(G4918&lt;26,'General Basis'!$B$41,IF(G4918&lt;31,'General Basis'!$B$42,IF(G4918&lt;36,'General Basis'!$B$43,IF(G4918&lt;41,'General Basis'!$B$44,IF(G4918&lt;46,'General Basis'!$B$45,IF(G4918&lt;51,'General Basis'!$B$46,IF(G4918&lt;56,'General Basis'!$B$47,IF(G4918&lt;60,'General Basis'!$B$48,IF(G4918&lt;65,'General Basis'!$B$49,'General Basis'!$B$50)))))))))))))</f>
        <v/>
      </c>
      <c r="BI4918" s="744" t="str">
        <f t="shared" si="1699"/>
        <v/>
      </c>
      <c r="BJ4918" s="747" t="str">
        <f t="shared" si="1706"/>
        <v/>
      </c>
      <c r="BK4918" s="498" t="str">
        <f t="shared" si="1700"/>
        <v/>
      </c>
      <c r="BL4918" s="498" t="str">
        <f t="shared" si="1701"/>
        <v/>
      </c>
    </row>
    <row r="4919" spans="1:64" x14ac:dyDescent="0.25">
      <c r="A4919" s="762">
        <f t="shared" si="1702"/>
        <v>4914</v>
      </c>
      <c r="B4919" s="229"/>
      <c r="C4919" s="223"/>
      <c r="D4919" s="224"/>
      <c r="E4919" s="225"/>
      <c r="F4919" s="1036" t="str">
        <f t="shared" si="1708"/>
        <v/>
      </c>
      <c r="G4919" s="1037" t="str">
        <f t="shared" si="1703"/>
        <v/>
      </c>
      <c r="H4919" s="225"/>
      <c r="I4919" s="1013"/>
      <c r="J4919" s="1013"/>
      <c r="K4919" s="1028"/>
      <c r="L4919" s="1035" t="str">
        <f t="shared" si="1707"/>
        <v/>
      </c>
      <c r="S4919" s="498"/>
      <c r="AJ4919" s="498"/>
      <c r="AM4919" s="498">
        <f t="shared" si="1688"/>
        <v>0</v>
      </c>
      <c r="AN4919" s="498">
        <f t="shared" si="1689"/>
        <v>0</v>
      </c>
      <c r="AO4919" s="498">
        <f t="shared" si="1690"/>
        <v>0</v>
      </c>
      <c r="AP4919" s="498">
        <f t="shared" si="1709"/>
        <v>0</v>
      </c>
      <c r="AQ4919" s="498">
        <f t="shared" si="1704"/>
        <v>0</v>
      </c>
      <c r="AU4919" s="498">
        <f t="shared" si="1691"/>
        <v>0</v>
      </c>
      <c r="AV4919" s="498">
        <f t="shared" si="1692"/>
        <v>0</v>
      </c>
      <c r="AW4919" s="498">
        <f t="shared" si="1693"/>
        <v>0</v>
      </c>
      <c r="AX4919" s="498">
        <f t="shared" si="1694"/>
        <v>0</v>
      </c>
      <c r="AY4919" s="498">
        <f t="shared" si="1695"/>
        <v>0</v>
      </c>
      <c r="BB4919" s="498" t="str">
        <f t="shared" si="1696"/>
        <v/>
      </c>
      <c r="BC4919" s="743" t="str">
        <f t="shared" si="1697"/>
        <v/>
      </c>
      <c r="BD4919" s="743" t="str">
        <f t="shared" si="1698"/>
        <v/>
      </c>
      <c r="BE4919" s="743" t="str">
        <f>IF(D4919="","",VLOOKUP(D4919,'General Basis'!$J$39:$K$46,2,0))</f>
        <v/>
      </c>
      <c r="BF4919" s="744" t="str">
        <f>IF(D4919="","",VLOOKUP(D4919,'General Basis'!$J$39:$L$46,3,0))</f>
        <v/>
      </c>
      <c r="BG4919" s="744" t="str">
        <f t="shared" si="1705"/>
        <v/>
      </c>
      <c r="BH4919" s="744" t="str">
        <f>IF(G4919="","",IF(BF4919="Abu Dhabi",IF(G4919&lt;18,'General Basis'!$C$39,IF(G4919&lt;41,'General Basis'!$C$40,IF(G4919&lt;60,'General Basis'!$C$41,IF(G4919&lt;65,'General Basis'!$C$42,'General Basis'!$C$43)))),IF(G4919&lt;11,'General Basis'!$B$39,IF(G4919&lt;18,'General Basis'!$B$40,IF(G4919&lt;26,'General Basis'!$B$41,IF(G4919&lt;31,'General Basis'!$B$42,IF(G4919&lt;36,'General Basis'!$B$43,IF(G4919&lt;41,'General Basis'!$B$44,IF(G4919&lt;46,'General Basis'!$B$45,IF(G4919&lt;51,'General Basis'!$B$46,IF(G4919&lt;56,'General Basis'!$B$47,IF(G4919&lt;60,'General Basis'!$B$48,IF(G4919&lt;65,'General Basis'!$B$49,'General Basis'!$B$50)))))))))))))</f>
        <v/>
      </c>
      <c r="BI4919" s="744" t="str">
        <f t="shared" si="1699"/>
        <v/>
      </c>
      <c r="BJ4919" s="747" t="str">
        <f t="shared" si="1706"/>
        <v/>
      </c>
      <c r="BK4919" s="498" t="str">
        <f t="shared" si="1700"/>
        <v/>
      </c>
      <c r="BL4919" s="498" t="str">
        <f t="shared" si="1701"/>
        <v/>
      </c>
    </row>
    <row r="4920" spans="1:64" x14ac:dyDescent="0.25">
      <c r="A4920" s="762">
        <f t="shared" si="1702"/>
        <v>4915</v>
      </c>
      <c r="B4920" s="229"/>
      <c r="C4920" s="223"/>
      <c r="D4920" s="224"/>
      <c r="E4920" s="225"/>
      <c r="F4920" s="1036" t="str">
        <f t="shared" si="1708"/>
        <v/>
      </c>
      <c r="G4920" s="1037" t="str">
        <f t="shared" si="1703"/>
        <v/>
      </c>
      <c r="H4920" s="225"/>
      <c r="I4920" s="1013"/>
      <c r="J4920" s="1013"/>
      <c r="K4920" s="1028"/>
      <c r="L4920" s="1035" t="str">
        <f t="shared" si="1707"/>
        <v/>
      </c>
      <c r="S4920" s="498"/>
      <c r="AJ4920" s="498"/>
      <c r="AM4920" s="498">
        <f t="shared" si="1688"/>
        <v>0</v>
      </c>
      <c r="AN4920" s="498">
        <f t="shared" si="1689"/>
        <v>0</v>
      </c>
      <c r="AO4920" s="498">
        <f t="shared" si="1690"/>
        <v>0</v>
      </c>
      <c r="AP4920" s="498">
        <f t="shared" si="1709"/>
        <v>0</v>
      </c>
      <c r="AQ4920" s="498">
        <f t="shared" si="1704"/>
        <v>0</v>
      </c>
      <c r="AU4920" s="498">
        <f t="shared" si="1691"/>
        <v>0</v>
      </c>
      <c r="AV4920" s="498">
        <f t="shared" si="1692"/>
        <v>0</v>
      </c>
      <c r="AW4920" s="498">
        <f t="shared" si="1693"/>
        <v>0</v>
      </c>
      <c r="AX4920" s="498">
        <f t="shared" si="1694"/>
        <v>0</v>
      </c>
      <c r="AY4920" s="498">
        <f t="shared" si="1695"/>
        <v>0</v>
      </c>
      <c r="BB4920" s="498" t="str">
        <f t="shared" si="1696"/>
        <v/>
      </c>
      <c r="BC4920" s="743" t="str">
        <f t="shared" si="1697"/>
        <v/>
      </c>
      <c r="BD4920" s="743" t="str">
        <f t="shared" si="1698"/>
        <v/>
      </c>
      <c r="BE4920" s="743" t="str">
        <f>IF(D4920="","",VLOOKUP(D4920,'General Basis'!$J$39:$K$46,2,0))</f>
        <v/>
      </c>
      <c r="BF4920" s="744" t="str">
        <f>IF(D4920="","",VLOOKUP(D4920,'General Basis'!$J$39:$L$46,3,0))</f>
        <v/>
      </c>
      <c r="BG4920" s="744" t="str">
        <f t="shared" si="1705"/>
        <v/>
      </c>
      <c r="BH4920" s="744" t="str">
        <f>IF(G4920="","",IF(BF4920="Abu Dhabi",IF(G4920&lt;18,'General Basis'!$C$39,IF(G4920&lt;41,'General Basis'!$C$40,IF(G4920&lt;60,'General Basis'!$C$41,IF(G4920&lt;65,'General Basis'!$C$42,'General Basis'!$C$43)))),IF(G4920&lt;11,'General Basis'!$B$39,IF(G4920&lt;18,'General Basis'!$B$40,IF(G4920&lt;26,'General Basis'!$B$41,IF(G4920&lt;31,'General Basis'!$B$42,IF(G4920&lt;36,'General Basis'!$B$43,IF(G4920&lt;41,'General Basis'!$B$44,IF(G4920&lt;46,'General Basis'!$B$45,IF(G4920&lt;51,'General Basis'!$B$46,IF(G4920&lt;56,'General Basis'!$B$47,IF(G4920&lt;60,'General Basis'!$B$48,IF(G4920&lt;65,'General Basis'!$B$49,'General Basis'!$B$50)))))))))))))</f>
        <v/>
      </c>
      <c r="BI4920" s="744" t="str">
        <f t="shared" si="1699"/>
        <v/>
      </c>
      <c r="BJ4920" s="747" t="str">
        <f t="shared" si="1706"/>
        <v/>
      </c>
      <c r="BK4920" s="498" t="str">
        <f t="shared" si="1700"/>
        <v/>
      </c>
      <c r="BL4920" s="498" t="str">
        <f t="shared" si="1701"/>
        <v/>
      </c>
    </row>
    <row r="4921" spans="1:64" x14ac:dyDescent="0.25">
      <c r="A4921" s="762">
        <f t="shared" si="1702"/>
        <v>4916</v>
      </c>
      <c r="B4921" s="229"/>
      <c r="C4921" s="223"/>
      <c r="D4921" s="224"/>
      <c r="E4921" s="225"/>
      <c r="F4921" s="1036" t="str">
        <f t="shared" si="1708"/>
        <v/>
      </c>
      <c r="G4921" s="1037" t="str">
        <f t="shared" si="1703"/>
        <v/>
      </c>
      <c r="H4921" s="225"/>
      <c r="I4921" s="1013"/>
      <c r="J4921" s="1013"/>
      <c r="K4921" s="1028"/>
      <c r="L4921" s="1035" t="str">
        <f t="shared" si="1707"/>
        <v/>
      </c>
      <c r="S4921" s="498"/>
      <c r="AJ4921" s="498"/>
      <c r="AM4921" s="498">
        <f t="shared" si="1688"/>
        <v>0</v>
      </c>
      <c r="AN4921" s="498">
        <f t="shared" si="1689"/>
        <v>0</v>
      </c>
      <c r="AO4921" s="498">
        <f t="shared" si="1690"/>
        <v>0</v>
      </c>
      <c r="AP4921" s="498">
        <f t="shared" si="1709"/>
        <v>0</v>
      </c>
      <c r="AQ4921" s="498">
        <f t="shared" si="1704"/>
        <v>0</v>
      </c>
      <c r="AU4921" s="498">
        <f t="shared" si="1691"/>
        <v>0</v>
      </c>
      <c r="AV4921" s="498">
        <f t="shared" si="1692"/>
        <v>0</v>
      </c>
      <c r="AW4921" s="498">
        <f t="shared" si="1693"/>
        <v>0</v>
      </c>
      <c r="AX4921" s="498">
        <f t="shared" si="1694"/>
        <v>0</v>
      </c>
      <c r="AY4921" s="498">
        <f t="shared" si="1695"/>
        <v>0</v>
      </c>
      <c r="BB4921" s="498" t="str">
        <f t="shared" si="1696"/>
        <v/>
      </c>
      <c r="BC4921" s="743" t="str">
        <f t="shared" si="1697"/>
        <v/>
      </c>
      <c r="BD4921" s="743" t="str">
        <f t="shared" si="1698"/>
        <v/>
      </c>
      <c r="BE4921" s="743" t="str">
        <f>IF(D4921="","",VLOOKUP(D4921,'General Basis'!$J$39:$K$46,2,0))</f>
        <v/>
      </c>
      <c r="BF4921" s="744" t="str">
        <f>IF(D4921="","",VLOOKUP(D4921,'General Basis'!$J$39:$L$46,3,0))</f>
        <v/>
      </c>
      <c r="BG4921" s="744" t="str">
        <f t="shared" si="1705"/>
        <v/>
      </c>
      <c r="BH4921" s="744" t="str">
        <f>IF(G4921="","",IF(BF4921="Abu Dhabi",IF(G4921&lt;18,'General Basis'!$C$39,IF(G4921&lt;41,'General Basis'!$C$40,IF(G4921&lt;60,'General Basis'!$C$41,IF(G4921&lt;65,'General Basis'!$C$42,'General Basis'!$C$43)))),IF(G4921&lt;11,'General Basis'!$B$39,IF(G4921&lt;18,'General Basis'!$B$40,IF(G4921&lt;26,'General Basis'!$B$41,IF(G4921&lt;31,'General Basis'!$B$42,IF(G4921&lt;36,'General Basis'!$B$43,IF(G4921&lt;41,'General Basis'!$B$44,IF(G4921&lt;46,'General Basis'!$B$45,IF(G4921&lt;51,'General Basis'!$B$46,IF(G4921&lt;56,'General Basis'!$B$47,IF(G4921&lt;60,'General Basis'!$B$48,IF(G4921&lt;65,'General Basis'!$B$49,'General Basis'!$B$50)))))))))))))</f>
        <v/>
      </c>
      <c r="BI4921" s="744" t="str">
        <f t="shared" si="1699"/>
        <v/>
      </c>
      <c r="BJ4921" s="747" t="str">
        <f t="shared" si="1706"/>
        <v/>
      </c>
      <c r="BK4921" s="498" t="str">
        <f t="shared" si="1700"/>
        <v/>
      </c>
      <c r="BL4921" s="498" t="str">
        <f t="shared" si="1701"/>
        <v/>
      </c>
    </row>
    <row r="4922" spans="1:64" x14ac:dyDescent="0.25">
      <c r="A4922" s="762">
        <f t="shared" si="1702"/>
        <v>4917</v>
      </c>
      <c r="B4922" s="229"/>
      <c r="C4922" s="223"/>
      <c r="D4922" s="224"/>
      <c r="E4922" s="225"/>
      <c r="F4922" s="1036" t="str">
        <f t="shared" si="1708"/>
        <v/>
      </c>
      <c r="G4922" s="1037" t="str">
        <f t="shared" si="1703"/>
        <v/>
      </c>
      <c r="H4922" s="225"/>
      <c r="I4922" s="1013"/>
      <c r="J4922" s="1013"/>
      <c r="K4922" s="1028"/>
      <c r="L4922" s="1035" t="str">
        <f t="shared" si="1707"/>
        <v/>
      </c>
      <c r="S4922" s="498"/>
      <c r="AJ4922" s="498"/>
      <c r="AM4922" s="498">
        <f t="shared" si="1688"/>
        <v>0</v>
      </c>
      <c r="AN4922" s="498">
        <f t="shared" si="1689"/>
        <v>0</v>
      </c>
      <c r="AO4922" s="498">
        <f t="shared" si="1690"/>
        <v>0</v>
      </c>
      <c r="AP4922" s="498">
        <f t="shared" si="1709"/>
        <v>0</v>
      </c>
      <c r="AQ4922" s="498">
        <f t="shared" si="1704"/>
        <v>0</v>
      </c>
      <c r="AU4922" s="498">
        <f t="shared" si="1691"/>
        <v>0</v>
      </c>
      <c r="AV4922" s="498">
        <f t="shared" si="1692"/>
        <v>0</v>
      </c>
      <c r="AW4922" s="498">
        <f t="shared" si="1693"/>
        <v>0</v>
      </c>
      <c r="AX4922" s="498">
        <f t="shared" si="1694"/>
        <v>0</v>
      </c>
      <c r="AY4922" s="498">
        <f t="shared" si="1695"/>
        <v>0</v>
      </c>
      <c r="BB4922" s="498" t="str">
        <f t="shared" si="1696"/>
        <v/>
      </c>
      <c r="BC4922" s="743" t="str">
        <f t="shared" si="1697"/>
        <v/>
      </c>
      <c r="BD4922" s="743" t="str">
        <f t="shared" si="1698"/>
        <v/>
      </c>
      <c r="BE4922" s="743" t="str">
        <f>IF(D4922="","",VLOOKUP(D4922,'General Basis'!$J$39:$K$46,2,0))</f>
        <v/>
      </c>
      <c r="BF4922" s="744" t="str">
        <f>IF(D4922="","",VLOOKUP(D4922,'General Basis'!$J$39:$L$46,3,0))</f>
        <v/>
      </c>
      <c r="BG4922" s="744" t="str">
        <f t="shared" si="1705"/>
        <v/>
      </c>
      <c r="BH4922" s="744" t="str">
        <f>IF(G4922="","",IF(BF4922="Abu Dhabi",IF(G4922&lt;18,'General Basis'!$C$39,IF(G4922&lt;41,'General Basis'!$C$40,IF(G4922&lt;60,'General Basis'!$C$41,IF(G4922&lt;65,'General Basis'!$C$42,'General Basis'!$C$43)))),IF(G4922&lt;11,'General Basis'!$B$39,IF(G4922&lt;18,'General Basis'!$B$40,IF(G4922&lt;26,'General Basis'!$B$41,IF(G4922&lt;31,'General Basis'!$B$42,IF(G4922&lt;36,'General Basis'!$B$43,IF(G4922&lt;41,'General Basis'!$B$44,IF(G4922&lt;46,'General Basis'!$B$45,IF(G4922&lt;51,'General Basis'!$B$46,IF(G4922&lt;56,'General Basis'!$B$47,IF(G4922&lt;60,'General Basis'!$B$48,IF(G4922&lt;65,'General Basis'!$B$49,'General Basis'!$B$50)))))))))))))</f>
        <v/>
      </c>
      <c r="BI4922" s="744" t="str">
        <f t="shared" si="1699"/>
        <v/>
      </c>
      <c r="BJ4922" s="747" t="str">
        <f t="shared" si="1706"/>
        <v/>
      </c>
      <c r="BK4922" s="498" t="str">
        <f t="shared" si="1700"/>
        <v/>
      </c>
      <c r="BL4922" s="498" t="str">
        <f t="shared" si="1701"/>
        <v/>
      </c>
    </row>
    <row r="4923" spans="1:64" x14ac:dyDescent="0.25">
      <c r="A4923" s="762">
        <f t="shared" si="1702"/>
        <v>4918</v>
      </c>
      <c r="B4923" s="229"/>
      <c r="C4923" s="223"/>
      <c r="D4923" s="224"/>
      <c r="E4923" s="225"/>
      <c r="F4923" s="1036" t="str">
        <f t="shared" si="1708"/>
        <v/>
      </c>
      <c r="G4923" s="1037" t="str">
        <f t="shared" si="1703"/>
        <v/>
      </c>
      <c r="H4923" s="225"/>
      <c r="I4923" s="1013"/>
      <c r="J4923" s="1013"/>
      <c r="K4923" s="1028"/>
      <c r="L4923" s="1035" t="str">
        <f t="shared" si="1707"/>
        <v/>
      </c>
      <c r="S4923" s="498"/>
      <c r="AJ4923" s="498"/>
      <c r="AM4923" s="498">
        <f t="shared" si="1688"/>
        <v>0</v>
      </c>
      <c r="AN4923" s="498">
        <f t="shared" si="1689"/>
        <v>0</v>
      </c>
      <c r="AO4923" s="498">
        <f t="shared" si="1690"/>
        <v>0</v>
      </c>
      <c r="AP4923" s="498">
        <f t="shared" si="1709"/>
        <v>0</v>
      </c>
      <c r="AQ4923" s="498">
        <f t="shared" si="1704"/>
        <v>0</v>
      </c>
      <c r="AU4923" s="498">
        <f t="shared" si="1691"/>
        <v>0</v>
      </c>
      <c r="AV4923" s="498">
        <f t="shared" si="1692"/>
        <v>0</v>
      </c>
      <c r="AW4923" s="498">
        <f t="shared" si="1693"/>
        <v>0</v>
      </c>
      <c r="AX4923" s="498">
        <f t="shared" si="1694"/>
        <v>0</v>
      </c>
      <c r="AY4923" s="498">
        <f t="shared" si="1695"/>
        <v>0</v>
      </c>
      <c r="BB4923" s="498" t="str">
        <f t="shared" si="1696"/>
        <v/>
      </c>
      <c r="BC4923" s="743" t="str">
        <f t="shared" si="1697"/>
        <v/>
      </c>
      <c r="BD4923" s="743" t="str">
        <f t="shared" si="1698"/>
        <v/>
      </c>
      <c r="BE4923" s="743" t="str">
        <f>IF(D4923="","",VLOOKUP(D4923,'General Basis'!$J$39:$K$46,2,0))</f>
        <v/>
      </c>
      <c r="BF4923" s="744" t="str">
        <f>IF(D4923="","",VLOOKUP(D4923,'General Basis'!$J$39:$L$46,3,0))</f>
        <v/>
      </c>
      <c r="BG4923" s="744" t="str">
        <f t="shared" si="1705"/>
        <v/>
      </c>
      <c r="BH4923" s="744" t="str">
        <f>IF(G4923="","",IF(BF4923="Abu Dhabi",IF(G4923&lt;18,'General Basis'!$C$39,IF(G4923&lt;41,'General Basis'!$C$40,IF(G4923&lt;60,'General Basis'!$C$41,IF(G4923&lt;65,'General Basis'!$C$42,'General Basis'!$C$43)))),IF(G4923&lt;11,'General Basis'!$B$39,IF(G4923&lt;18,'General Basis'!$B$40,IF(G4923&lt;26,'General Basis'!$B$41,IF(G4923&lt;31,'General Basis'!$B$42,IF(G4923&lt;36,'General Basis'!$B$43,IF(G4923&lt;41,'General Basis'!$B$44,IF(G4923&lt;46,'General Basis'!$B$45,IF(G4923&lt;51,'General Basis'!$B$46,IF(G4923&lt;56,'General Basis'!$B$47,IF(G4923&lt;60,'General Basis'!$B$48,IF(G4923&lt;65,'General Basis'!$B$49,'General Basis'!$B$50)))))))))))))</f>
        <v/>
      </c>
      <c r="BI4923" s="744" t="str">
        <f t="shared" si="1699"/>
        <v/>
      </c>
      <c r="BJ4923" s="747" t="str">
        <f t="shared" si="1706"/>
        <v/>
      </c>
      <c r="BK4923" s="498" t="str">
        <f t="shared" si="1700"/>
        <v/>
      </c>
      <c r="BL4923" s="498" t="str">
        <f t="shared" si="1701"/>
        <v/>
      </c>
    </row>
    <row r="4924" spans="1:64" x14ac:dyDescent="0.25">
      <c r="A4924" s="762">
        <f t="shared" si="1702"/>
        <v>4919</v>
      </c>
      <c r="B4924" s="229"/>
      <c r="C4924" s="223"/>
      <c r="D4924" s="224"/>
      <c r="E4924" s="225"/>
      <c r="F4924" s="1036" t="str">
        <f t="shared" si="1708"/>
        <v/>
      </c>
      <c r="G4924" s="1037" t="str">
        <f t="shared" si="1703"/>
        <v/>
      </c>
      <c r="H4924" s="225"/>
      <c r="I4924" s="1013"/>
      <c r="J4924" s="1013"/>
      <c r="K4924" s="1028"/>
      <c r="L4924" s="1035" t="str">
        <f t="shared" si="1707"/>
        <v/>
      </c>
      <c r="S4924" s="498"/>
      <c r="AJ4924" s="498"/>
      <c r="AM4924" s="498">
        <f t="shared" si="1688"/>
        <v>0</v>
      </c>
      <c r="AN4924" s="498">
        <f t="shared" si="1689"/>
        <v>0</v>
      </c>
      <c r="AO4924" s="498">
        <f t="shared" si="1690"/>
        <v>0</v>
      </c>
      <c r="AP4924" s="498">
        <f t="shared" si="1709"/>
        <v>0</v>
      </c>
      <c r="AQ4924" s="498">
        <f t="shared" si="1704"/>
        <v>0</v>
      </c>
      <c r="AU4924" s="498">
        <f t="shared" si="1691"/>
        <v>0</v>
      </c>
      <c r="AV4924" s="498">
        <f t="shared" si="1692"/>
        <v>0</v>
      </c>
      <c r="AW4924" s="498">
        <f t="shared" si="1693"/>
        <v>0</v>
      </c>
      <c r="AX4924" s="498">
        <f t="shared" si="1694"/>
        <v>0</v>
      </c>
      <c r="AY4924" s="498">
        <f t="shared" si="1695"/>
        <v>0</v>
      </c>
      <c r="BB4924" s="498" t="str">
        <f t="shared" si="1696"/>
        <v/>
      </c>
      <c r="BC4924" s="743" t="str">
        <f t="shared" si="1697"/>
        <v/>
      </c>
      <c r="BD4924" s="743" t="str">
        <f t="shared" si="1698"/>
        <v/>
      </c>
      <c r="BE4924" s="743" t="str">
        <f>IF(D4924="","",VLOOKUP(D4924,'General Basis'!$J$39:$K$46,2,0))</f>
        <v/>
      </c>
      <c r="BF4924" s="744" t="str">
        <f>IF(D4924="","",VLOOKUP(D4924,'General Basis'!$J$39:$L$46,3,0))</f>
        <v/>
      </c>
      <c r="BG4924" s="744" t="str">
        <f t="shared" si="1705"/>
        <v/>
      </c>
      <c r="BH4924" s="744" t="str">
        <f>IF(G4924="","",IF(BF4924="Abu Dhabi",IF(G4924&lt;18,'General Basis'!$C$39,IF(G4924&lt;41,'General Basis'!$C$40,IF(G4924&lt;60,'General Basis'!$C$41,IF(G4924&lt;65,'General Basis'!$C$42,'General Basis'!$C$43)))),IF(G4924&lt;11,'General Basis'!$B$39,IF(G4924&lt;18,'General Basis'!$B$40,IF(G4924&lt;26,'General Basis'!$B$41,IF(G4924&lt;31,'General Basis'!$B$42,IF(G4924&lt;36,'General Basis'!$B$43,IF(G4924&lt;41,'General Basis'!$B$44,IF(G4924&lt;46,'General Basis'!$B$45,IF(G4924&lt;51,'General Basis'!$B$46,IF(G4924&lt;56,'General Basis'!$B$47,IF(G4924&lt;60,'General Basis'!$B$48,IF(G4924&lt;65,'General Basis'!$B$49,'General Basis'!$B$50)))))))))))))</f>
        <v/>
      </c>
      <c r="BI4924" s="744" t="str">
        <f t="shared" si="1699"/>
        <v/>
      </c>
      <c r="BJ4924" s="747" t="str">
        <f t="shared" si="1706"/>
        <v/>
      </c>
      <c r="BK4924" s="498" t="str">
        <f t="shared" si="1700"/>
        <v/>
      </c>
      <c r="BL4924" s="498" t="str">
        <f t="shared" si="1701"/>
        <v/>
      </c>
    </row>
    <row r="4925" spans="1:64" x14ac:dyDescent="0.25">
      <c r="A4925" s="762">
        <f t="shared" si="1702"/>
        <v>4920</v>
      </c>
      <c r="B4925" s="229"/>
      <c r="C4925" s="223"/>
      <c r="D4925" s="224"/>
      <c r="E4925" s="225"/>
      <c r="F4925" s="1036" t="str">
        <f t="shared" si="1708"/>
        <v/>
      </c>
      <c r="G4925" s="1037" t="str">
        <f t="shared" si="1703"/>
        <v/>
      </c>
      <c r="H4925" s="225"/>
      <c r="I4925" s="1013"/>
      <c r="J4925" s="1013"/>
      <c r="K4925" s="1028"/>
      <c r="L4925" s="1035" t="str">
        <f t="shared" si="1707"/>
        <v/>
      </c>
      <c r="S4925" s="498"/>
      <c r="AJ4925" s="498"/>
      <c r="AM4925" s="498">
        <f t="shared" si="1688"/>
        <v>0</v>
      </c>
      <c r="AN4925" s="498">
        <f t="shared" si="1689"/>
        <v>0</v>
      </c>
      <c r="AO4925" s="498">
        <f t="shared" si="1690"/>
        <v>0</v>
      </c>
      <c r="AP4925" s="498">
        <f t="shared" si="1709"/>
        <v>0</v>
      </c>
      <c r="AQ4925" s="498">
        <f t="shared" si="1704"/>
        <v>0</v>
      </c>
      <c r="AU4925" s="498">
        <f t="shared" si="1691"/>
        <v>0</v>
      </c>
      <c r="AV4925" s="498">
        <f t="shared" si="1692"/>
        <v>0</v>
      </c>
      <c r="AW4925" s="498">
        <f t="shared" si="1693"/>
        <v>0</v>
      </c>
      <c r="AX4925" s="498">
        <f t="shared" si="1694"/>
        <v>0</v>
      </c>
      <c r="AY4925" s="498">
        <f t="shared" si="1695"/>
        <v>0</v>
      </c>
      <c r="BB4925" s="498" t="str">
        <f t="shared" si="1696"/>
        <v/>
      </c>
      <c r="BC4925" s="743" t="str">
        <f t="shared" si="1697"/>
        <v/>
      </c>
      <c r="BD4925" s="743" t="str">
        <f t="shared" si="1698"/>
        <v/>
      </c>
      <c r="BE4925" s="743" t="str">
        <f>IF(D4925="","",VLOOKUP(D4925,'General Basis'!$J$39:$K$46,2,0))</f>
        <v/>
      </c>
      <c r="BF4925" s="744" t="str">
        <f>IF(D4925="","",VLOOKUP(D4925,'General Basis'!$J$39:$L$46,3,0))</f>
        <v/>
      </c>
      <c r="BG4925" s="744" t="str">
        <f t="shared" si="1705"/>
        <v/>
      </c>
      <c r="BH4925" s="744" t="str">
        <f>IF(G4925="","",IF(BF4925="Abu Dhabi",IF(G4925&lt;18,'General Basis'!$C$39,IF(G4925&lt;41,'General Basis'!$C$40,IF(G4925&lt;60,'General Basis'!$C$41,IF(G4925&lt;65,'General Basis'!$C$42,'General Basis'!$C$43)))),IF(G4925&lt;11,'General Basis'!$B$39,IF(G4925&lt;18,'General Basis'!$B$40,IF(G4925&lt;26,'General Basis'!$B$41,IF(G4925&lt;31,'General Basis'!$B$42,IF(G4925&lt;36,'General Basis'!$B$43,IF(G4925&lt;41,'General Basis'!$B$44,IF(G4925&lt;46,'General Basis'!$B$45,IF(G4925&lt;51,'General Basis'!$B$46,IF(G4925&lt;56,'General Basis'!$B$47,IF(G4925&lt;60,'General Basis'!$B$48,IF(G4925&lt;65,'General Basis'!$B$49,'General Basis'!$B$50)))))))))))))</f>
        <v/>
      </c>
      <c r="BI4925" s="744" t="str">
        <f t="shared" si="1699"/>
        <v/>
      </c>
      <c r="BJ4925" s="747" t="str">
        <f t="shared" si="1706"/>
        <v/>
      </c>
      <c r="BK4925" s="498" t="str">
        <f t="shared" si="1700"/>
        <v/>
      </c>
      <c r="BL4925" s="498" t="str">
        <f t="shared" si="1701"/>
        <v/>
      </c>
    </row>
    <row r="4926" spans="1:64" x14ac:dyDescent="0.25">
      <c r="A4926" s="762">
        <f t="shared" si="1702"/>
        <v>4921</v>
      </c>
      <c r="B4926" s="229"/>
      <c r="C4926" s="223"/>
      <c r="D4926" s="224"/>
      <c r="E4926" s="225"/>
      <c r="F4926" s="1036" t="str">
        <f t="shared" si="1708"/>
        <v/>
      </c>
      <c r="G4926" s="1037" t="str">
        <f t="shared" si="1703"/>
        <v/>
      </c>
      <c r="H4926" s="225"/>
      <c r="I4926" s="1013"/>
      <c r="J4926" s="1013"/>
      <c r="K4926" s="1028"/>
      <c r="L4926" s="1035" t="str">
        <f t="shared" si="1707"/>
        <v/>
      </c>
      <c r="S4926" s="498"/>
      <c r="AJ4926" s="498"/>
      <c r="AM4926" s="498">
        <f t="shared" si="1688"/>
        <v>0</v>
      </c>
      <c r="AN4926" s="498">
        <f t="shared" si="1689"/>
        <v>0</v>
      </c>
      <c r="AO4926" s="498">
        <f t="shared" si="1690"/>
        <v>0</v>
      </c>
      <c r="AP4926" s="498">
        <f t="shared" si="1709"/>
        <v>0</v>
      </c>
      <c r="AQ4926" s="498">
        <f t="shared" si="1704"/>
        <v>0</v>
      </c>
      <c r="AU4926" s="498">
        <f t="shared" si="1691"/>
        <v>0</v>
      </c>
      <c r="AV4926" s="498">
        <f t="shared" si="1692"/>
        <v>0</v>
      </c>
      <c r="AW4926" s="498">
        <f t="shared" si="1693"/>
        <v>0</v>
      </c>
      <c r="AX4926" s="498">
        <f t="shared" si="1694"/>
        <v>0</v>
      </c>
      <c r="AY4926" s="498">
        <f t="shared" si="1695"/>
        <v>0</v>
      </c>
      <c r="BB4926" s="498" t="str">
        <f t="shared" si="1696"/>
        <v/>
      </c>
      <c r="BC4926" s="743" t="str">
        <f t="shared" si="1697"/>
        <v/>
      </c>
      <c r="BD4926" s="743" t="str">
        <f t="shared" si="1698"/>
        <v/>
      </c>
      <c r="BE4926" s="743" t="str">
        <f>IF(D4926="","",VLOOKUP(D4926,'General Basis'!$J$39:$K$46,2,0))</f>
        <v/>
      </c>
      <c r="BF4926" s="744" t="str">
        <f>IF(D4926="","",VLOOKUP(D4926,'General Basis'!$J$39:$L$46,3,0))</f>
        <v/>
      </c>
      <c r="BG4926" s="744" t="str">
        <f t="shared" si="1705"/>
        <v/>
      </c>
      <c r="BH4926" s="744" t="str">
        <f>IF(G4926="","",IF(BF4926="Abu Dhabi",IF(G4926&lt;18,'General Basis'!$C$39,IF(G4926&lt;41,'General Basis'!$C$40,IF(G4926&lt;60,'General Basis'!$C$41,IF(G4926&lt;65,'General Basis'!$C$42,'General Basis'!$C$43)))),IF(G4926&lt;11,'General Basis'!$B$39,IF(G4926&lt;18,'General Basis'!$B$40,IF(G4926&lt;26,'General Basis'!$B$41,IF(G4926&lt;31,'General Basis'!$B$42,IF(G4926&lt;36,'General Basis'!$B$43,IF(G4926&lt;41,'General Basis'!$B$44,IF(G4926&lt;46,'General Basis'!$B$45,IF(G4926&lt;51,'General Basis'!$B$46,IF(G4926&lt;56,'General Basis'!$B$47,IF(G4926&lt;60,'General Basis'!$B$48,IF(G4926&lt;65,'General Basis'!$B$49,'General Basis'!$B$50)))))))))))))</f>
        <v/>
      </c>
      <c r="BI4926" s="744" t="str">
        <f t="shared" si="1699"/>
        <v/>
      </c>
      <c r="BJ4926" s="747" t="str">
        <f t="shared" si="1706"/>
        <v/>
      </c>
      <c r="BK4926" s="498" t="str">
        <f t="shared" si="1700"/>
        <v/>
      </c>
      <c r="BL4926" s="498" t="str">
        <f t="shared" si="1701"/>
        <v/>
      </c>
    </row>
    <row r="4927" spans="1:64" x14ac:dyDescent="0.25">
      <c r="A4927" s="762">
        <f t="shared" si="1702"/>
        <v>4922</v>
      </c>
      <c r="B4927" s="229"/>
      <c r="C4927" s="223"/>
      <c r="D4927" s="224"/>
      <c r="E4927" s="225"/>
      <c r="F4927" s="1036" t="str">
        <f t="shared" si="1708"/>
        <v/>
      </c>
      <c r="G4927" s="1037" t="str">
        <f t="shared" si="1703"/>
        <v/>
      </c>
      <c r="H4927" s="225"/>
      <c r="I4927" s="1013"/>
      <c r="J4927" s="1013"/>
      <c r="K4927" s="1028"/>
      <c r="L4927" s="1035" t="str">
        <f t="shared" si="1707"/>
        <v/>
      </c>
      <c r="S4927" s="498"/>
      <c r="AJ4927" s="498"/>
      <c r="AM4927" s="498">
        <f t="shared" si="1688"/>
        <v>0</v>
      </c>
      <c r="AN4927" s="498">
        <f t="shared" si="1689"/>
        <v>0</v>
      </c>
      <c r="AO4927" s="498">
        <f t="shared" si="1690"/>
        <v>0</v>
      </c>
      <c r="AP4927" s="498">
        <f t="shared" si="1709"/>
        <v>0</v>
      </c>
      <c r="AQ4927" s="498">
        <f t="shared" si="1704"/>
        <v>0</v>
      </c>
      <c r="AU4927" s="498">
        <f t="shared" si="1691"/>
        <v>0</v>
      </c>
      <c r="AV4927" s="498">
        <f t="shared" si="1692"/>
        <v>0</v>
      </c>
      <c r="AW4927" s="498">
        <f t="shared" si="1693"/>
        <v>0</v>
      </c>
      <c r="AX4927" s="498">
        <f t="shared" si="1694"/>
        <v>0</v>
      </c>
      <c r="AY4927" s="498">
        <f t="shared" si="1695"/>
        <v>0</v>
      </c>
      <c r="BB4927" s="498" t="str">
        <f t="shared" si="1696"/>
        <v/>
      </c>
      <c r="BC4927" s="743" t="str">
        <f t="shared" si="1697"/>
        <v/>
      </c>
      <c r="BD4927" s="743" t="str">
        <f t="shared" si="1698"/>
        <v/>
      </c>
      <c r="BE4927" s="743" t="str">
        <f>IF(D4927="","",VLOOKUP(D4927,'General Basis'!$J$39:$K$46,2,0))</f>
        <v/>
      </c>
      <c r="BF4927" s="744" t="str">
        <f>IF(D4927="","",VLOOKUP(D4927,'General Basis'!$J$39:$L$46,3,0))</f>
        <v/>
      </c>
      <c r="BG4927" s="744" t="str">
        <f t="shared" si="1705"/>
        <v/>
      </c>
      <c r="BH4927" s="744" t="str">
        <f>IF(G4927="","",IF(BF4927="Abu Dhabi",IF(G4927&lt;18,'General Basis'!$C$39,IF(G4927&lt;41,'General Basis'!$C$40,IF(G4927&lt;60,'General Basis'!$C$41,IF(G4927&lt;65,'General Basis'!$C$42,'General Basis'!$C$43)))),IF(G4927&lt;11,'General Basis'!$B$39,IF(G4927&lt;18,'General Basis'!$B$40,IF(G4927&lt;26,'General Basis'!$B$41,IF(G4927&lt;31,'General Basis'!$B$42,IF(G4927&lt;36,'General Basis'!$B$43,IF(G4927&lt;41,'General Basis'!$B$44,IF(G4927&lt;46,'General Basis'!$B$45,IF(G4927&lt;51,'General Basis'!$B$46,IF(G4927&lt;56,'General Basis'!$B$47,IF(G4927&lt;60,'General Basis'!$B$48,IF(G4927&lt;65,'General Basis'!$B$49,'General Basis'!$B$50)))))))))))))</f>
        <v/>
      </c>
      <c r="BI4927" s="744" t="str">
        <f t="shared" si="1699"/>
        <v/>
      </c>
      <c r="BJ4927" s="747" t="str">
        <f t="shared" si="1706"/>
        <v/>
      </c>
      <c r="BK4927" s="498" t="str">
        <f t="shared" si="1700"/>
        <v/>
      </c>
      <c r="BL4927" s="498" t="str">
        <f t="shared" si="1701"/>
        <v/>
      </c>
    </row>
    <row r="4928" spans="1:64" x14ac:dyDescent="0.25">
      <c r="A4928" s="762">
        <f t="shared" si="1702"/>
        <v>4923</v>
      </c>
      <c r="B4928" s="229"/>
      <c r="C4928" s="223"/>
      <c r="D4928" s="224"/>
      <c r="E4928" s="225"/>
      <c r="F4928" s="1036" t="str">
        <f t="shared" si="1708"/>
        <v/>
      </c>
      <c r="G4928" s="1037" t="str">
        <f t="shared" si="1703"/>
        <v/>
      </c>
      <c r="H4928" s="225"/>
      <c r="I4928" s="1013"/>
      <c r="J4928" s="1013"/>
      <c r="K4928" s="1028"/>
      <c r="L4928" s="1035" t="str">
        <f t="shared" si="1707"/>
        <v/>
      </c>
      <c r="S4928" s="498"/>
      <c r="AJ4928" s="498"/>
      <c r="AM4928" s="498">
        <f t="shared" si="1688"/>
        <v>0</v>
      </c>
      <c r="AN4928" s="498">
        <f t="shared" si="1689"/>
        <v>0</v>
      </c>
      <c r="AO4928" s="498">
        <f t="shared" si="1690"/>
        <v>0</v>
      </c>
      <c r="AP4928" s="498">
        <f t="shared" si="1709"/>
        <v>0</v>
      </c>
      <c r="AQ4928" s="498">
        <f t="shared" si="1704"/>
        <v>0</v>
      </c>
      <c r="AU4928" s="498">
        <f t="shared" si="1691"/>
        <v>0</v>
      </c>
      <c r="AV4928" s="498">
        <f t="shared" si="1692"/>
        <v>0</v>
      </c>
      <c r="AW4928" s="498">
        <f t="shared" si="1693"/>
        <v>0</v>
      </c>
      <c r="AX4928" s="498">
        <f t="shared" si="1694"/>
        <v>0</v>
      </c>
      <c r="AY4928" s="498">
        <f t="shared" si="1695"/>
        <v>0</v>
      </c>
      <c r="BB4928" s="498" t="str">
        <f t="shared" si="1696"/>
        <v/>
      </c>
      <c r="BC4928" s="743" t="str">
        <f t="shared" si="1697"/>
        <v/>
      </c>
      <c r="BD4928" s="743" t="str">
        <f t="shared" si="1698"/>
        <v/>
      </c>
      <c r="BE4928" s="743" t="str">
        <f>IF(D4928="","",VLOOKUP(D4928,'General Basis'!$J$39:$K$46,2,0))</f>
        <v/>
      </c>
      <c r="BF4928" s="744" t="str">
        <f>IF(D4928="","",VLOOKUP(D4928,'General Basis'!$J$39:$L$46,3,0))</f>
        <v/>
      </c>
      <c r="BG4928" s="744" t="str">
        <f t="shared" si="1705"/>
        <v/>
      </c>
      <c r="BH4928" s="744" t="str">
        <f>IF(G4928="","",IF(BF4928="Abu Dhabi",IF(G4928&lt;18,'General Basis'!$C$39,IF(G4928&lt;41,'General Basis'!$C$40,IF(G4928&lt;60,'General Basis'!$C$41,IF(G4928&lt;65,'General Basis'!$C$42,'General Basis'!$C$43)))),IF(G4928&lt;11,'General Basis'!$B$39,IF(G4928&lt;18,'General Basis'!$B$40,IF(G4928&lt;26,'General Basis'!$B$41,IF(G4928&lt;31,'General Basis'!$B$42,IF(G4928&lt;36,'General Basis'!$B$43,IF(G4928&lt;41,'General Basis'!$B$44,IF(G4928&lt;46,'General Basis'!$B$45,IF(G4928&lt;51,'General Basis'!$B$46,IF(G4928&lt;56,'General Basis'!$B$47,IF(G4928&lt;60,'General Basis'!$B$48,IF(G4928&lt;65,'General Basis'!$B$49,'General Basis'!$B$50)))))))))))))</f>
        <v/>
      </c>
      <c r="BI4928" s="744" t="str">
        <f t="shared" si="1699"/>
        <v/>
      </c>
      <c r="BJ4928" s="747" t="str">
        <f t="shared" si="1706"/>
        <v/>
      </c>
      <c r="BK4928" s="498" t="str">
        <f t="shared" si="1700"/>
        <v/>
      </c>
      <c r="BL4928" s="498" t="str">
        <f t="shared" si="1701"/>
        <v/>
      </c>
    </row>
    <row r="4929" spans="1:64" x14ac:dyDescent="0.25">
      <c r="A4929" s="762">
        <f t="shared" si="1702"/>
        <v>4924</v>
      </c>
      <c r="B4929" s="229"/>
      <c r="C4929" s="223"/>
      <c r="D4929" s="224"/>
      <c r="E4929" s="225"/>
      <c r="F4929" s="1036" t="str">
        <f t="shared" si="1708"/>
        <v/>
      </c>
      <c r="G4929" s="1037" t="str">
        <f t="shared" si="1703"/>
        <v/>
      </c>
      <c r="H4929" s="225"/>
      <c r="I4929" s="1013"/>
      <c r="J4929" s="1013"/>
      <c r="K4929" s="1028"/>
      <c r="L4929" s="1035" t="str">
        <f t="shared" si="1707"/>
        <v/>
      </c>
      <c r="S4929" s="498"/>
      <c r="AJ4929" s="498"/>
      <c r="AM4929" s="498">
        <f t="shared" si="1688"/>
        <v>0</v>
      </c>
      <c r="AN4929" s="498">
        <f t="shared" si="1689"/>
        <v>0</v>
      </c>
      <c r="AO4929" s="498">
        <f t="shared" si="1690"/>
        <v>0</v>
      </c>
      <c r="AP4929" s="498">
        <f t="shared" si="1709"/>
        <v>0</v>
      </c>
      <c r="AQ4929" s="498">
        <f t="shared" si="1704"/>
        <v>0</v>
      </c>
      <c r="AU4929" s="498">
        <f t="shared" si="1691"/>
        <v>0</v>
      </c>
      <c r="AV4929" s="498">
        <f t="shared" si="1692"/>
        <v>0</v>
      </c>
      <c r="AW4929" s="498">
        <f t="shared" si="1693"/>
        <v>0</v>
      </c>
      <c r="AX4929" s="498">
        <f t="shared" si="1694"/>
        <v>0</v>
      </c>
      <c r="AY4929" s="498">
        <f t="shared" si="1695"/>
        <v>0</v>
      </c>
      <c r="BB4929" s="498" t="str">
        <f t="shared" si="1696"/>
        <v/>
      </c>
      <c r="BC4929" s="743" t="str">
        <f t="shared" si="1697"/>
        <v/>
      </c>
      <c r="BD4929" s="743" t="str">
        <f t="shared" si="1698"/>
        <v/>
      </c>
      <c r="BE4929" s="743" t="str">
        <f>IF(D4929="","",VLOOKUP(D4929,'General Basis'!$J$39:$K$46,2,0))</f>
        <v/>
      </c>
      <c r="BF4929" s="744" t="str">
        <f>IF(D4929="","",VLOOKUP(D4929,'General Basis'!$J$39:$L$46,3,0))</f>
        <v/>
      </c>
      <c r="BG4929" s="744" t="str">
        <f t="shared" si="1705"/>
        <v/>
      </c>
      <c r="BH4929" s="744" t="str">
        <f>IF(G4929="","",IF(BF4929="Abu Dhabi",IF(G4929&lt;18,'General Basis'!$C$39,IF(G4929&lt;41,'General Basis'!$C$40,IF(G4929&lt;60,'General Basis'!$C$41,IF(G4929&lt;65,'General Basis'!$C$42,'General Basis'!$C$43)))),IF(G4929&lt;11,'General Basis'!$B$39,IF(G4929&lt;18,'General Basis'!$B$40,IF(G4929&lt;26,'General Basis'!$B$41,IF(G4929&lt;31,'General Basis'!$B$42,IF(G4929&lt;36,'General Basis'!$B$43,IF(G4929&lt;41,'General Basis'!$B$44,IF(G4929&lt;46,'General Basis'!$B$45,IF(G4929&lt;51,'General Basis'!$B$46,IF(G4929&lt;56,'General Basis'!$B$47,IF(G4929&lt;60,'General Basis'!$B$48,IF(G4929&lt;65,'General Basis'!$B$49,'General Basis'!$B$50)))))))))))))</f>
        <v/>
      </c>
      <c r="BI4929" s="744" t="str">
        <f t="shared" si="1699"/>
        <v/>
      </c>
      <c r="BJ4929" s="747" t="str">
        <f t="shared" si="1706"/>
        <v/>
      </c>
      <c r="BK4929" s="498" t="str">
        <f t="shared" si="1700"/>
        <v/>
      </c>
      <c r="BL4929" s="498" t="str">
        <f t="shared" si="1701"/>
        <v/>
      </c>
    </row>
    <row r="4930" spans="1:64" x14ac:dyDescent="0.25">
      <c r="A4930" s="762">
        <f t="shared" si="1702"/>
        <v>4925</v>
      </c>
      <c r="B4930" s="229"/>
      <c r="C4930" s="223"/>
      <c r="D4930" s="224"/>
      <c r="E4930" s="225"/>
      <c r="F4930" s="1036" t="str">
        <f t="shared" si="1708"/>
        <v/>
      </c>
      <c r="G4930" s="1037" t="str">
        <f t="shared" si="1703"/>
        <v/>
      </c>
      <c r="H4930" s="225"/>
      <c r="I4930" s="1013"/>
      <c r="J4930" s="1013"/>
      <c r="K4930" s="1028"/>
      <c r="L4930" s="1035" t="str">
        <f t="shared" si="1707"/>
        <v/>
      </c>
      <c r="S4930" s="498"/>
      <c r="AJ4930" s="498"/>
      <c r="AM4930" s="498">
        <f t="shared" si="1688"/>
        <v>0</v>
      </c>
      <c r="AN4930" s="498">
        <f t="shared" si="1689"/>
        <v>0</v>
      </c>
      <c r="AO4930" s="498">
        <f t="shared" si="1690"/>
        <v>0</v>
      </c>
      <c r="AP4930" s="498">
        <f t="shared" si="1709"/>
        <v>0</v>
      </c>
      <c r="AQ4930" s="498">
        <f t="shared" si="1704"/>
        <v>0</v>
      </c>
      <c r="AU4930" s="498">
        <f t="shared" si="1691"/>
        <v>0</v>
      </c>
      <c r="AV4930" s="498">
        <f t="shared" si="1692"/>
        <v>0</v>
      </c>
      <c r="AW4930" s="498">
        <f t="shared" si="1693"/>
        <v>0</v>
      </c>
      <c r="AX4930" s="498">
        <f t="shared" si="1694"/>
        <v>0</v>
      </c>
      <c r="AY4930" s="498">
        <f t="shared" si="1695"/>
        <v>0</v>
      </c>
      <c r="BB4930" s="498" t="str">
        <f t="shared" si="1696"/>
        <v/>
      </c>
      <c r="BC4930" s="743" t="str">
        <f t="shared" si="1697"/>
        <v/>
      </c>
      <c r="BD4930" s="743" t="str">
        <f t="shared" si="1698"/>
        <v/>
      </c>
      <c r="BE4930" s="743" t="str">
        <f>IF(D4930="","",VLOOKUP(D4930,'General Basis'!$J$39:$K$46,2,0))</f>
        <v/>
      </c>
      <c r="BF4930" s="744" t="str">
        <f>IF(D4930="","",VLOOKUP(D4930,'General Basis'!$J$39:$L$46,3,0))</f>
        <v/>
      </c>
      <c r="BG4930" s="744" t="str">
        <f t="shared" si="1705"/>
        <v/>
      </c>
      <c r="BH4930" s="744" t="str">
        <f>IF(G4930="","",IF(BF4930="Abu Dhabi",IF(G4930&lt;18,'General Basis'!$C$39,IF(G4930&lt;41,'General Basis'!$C$40,IF(G4930&lt;60,'General Basis'!$C$41,IF(G4930&lt;65,'General Basis'!$C$42,'General Basis'!$C$43)))),IF(G4930&lt;11,'General Basis'!$B$39,IF(G4930&lt;18,'General Basis'!$B$40,IF(G4930&lt;26,'General Basis'!$B$41,IF(G4930&lt;31,'General Basis'!$B$42,IF(G4930&lt;36,'General Basis'!$B$43,IF(G4930&lt;41,'General Basis'!$B$44,IF(G4930&lt;46,'General Basis'!$B$45,IF(G4930&lt;51,'General Basis'!$B$46,IF(G4930&lt;56,'General Basis'!$B$47,IF(G4930&lt;60,'General Basis'!$B$48,IF(G4930&lt;65,'General Basis'!$B$49,'General Basis'!$B$50)))))))))))))</f>
        <v/>
      </c>
      <c r="BI4930" s="744" t="str">
        <f t="shared" si="1699"/>
        <v/>
      </c>
      <c r="BJ4930" s="747" t="str">
        <f t="shared" si="1706"/>
        <v/>
      </c>
      <c r="BK4930" s="498" t="str">
        <f t="shared" si="1700"/>
        <v/>
      </c>
      <c r="BL4930" s="498" t="str">
        <f t="shared" si="1701"/>
        <v/>
      </c>
    </row>
    <row r="4931" spans="1:64" x14ac:dyDescent="0.25">
      <c r="A4931" s="762">
        <f t="shared" si="1702"/>
        <v>4926</v>
      </c>
      <c r="B4931" s="229"/>
      <c r="C4931" s="223"/>
      <c r="D4931" s="224"/>
      <c r="E4931" s="225"/>
      <c r="F4931" s="1036" t="str">
        <f t="shared" si="1708"/>
        <v/>
      </c>
      <c r="G4931" s="1037" t="str">
        <f t="shared" si="1703"/>
        <v/>
      </c>
      <c r="H4931" s="225"/>
      <c r="I4931" s="1013"/>
      <c r="J4931" s="1013"/>
      <c r="K4931" s="1028"/>
      <c r="L4931" s="1035" t="str">
        <f t="shared" si="1707"/>
        <v/>
      </c>
      <c r="S4931" s="498"/>
      <c r="AJ4931" s="498"/>
      <c r="AM4931" s="498">
        <f t="shared" si="1688"/>
        <v>0</v>
      </c>
      <c r="AN4931" s="498">
        <f t="shared" si="1689"/>
        <v>0</v>
      </c>
      <c r="AO4931" s="498">
        <f t="shared" si="1690"/>
        <v>0</v>
      </c>
      <c r="AP4931" s="498">
        <f t="shared" si="1709"/>
        <v>0</v>
      </c>
      <c r="AQ4931" s="498">
        <f t="shared" si="1704"/>
        <v>0</v>
      </c>
      <c r="AU4931" s="498">
        <f t="shared" si="1691"/>
        <v>0</v>
      </c>
      <c r="AV4931" s="498">
        <f t="shared" si="1692"/>
        <v>0</v>
      </c>
      <c r="AW4931" s="498">
        <f t="shared" si="1693"/>
        <v>0</v>
      </c>
      <c r="AX4931" s="498">
        <f t="shared" si="1694"/>
        <v>0</v>
      </c>
      <c r="AY4931" s="498">
        <f t="shared" si="1695"/>
        <v>0</v>
      </c>
      <c r="BB4931" s="498" t="str">
        <f t="shared" si="1696"/>
        <v/>
      </c>
      <c r="BC4931" s="743" t="str">
        <f t="shared" si="1697"/>
        <v/>
      </c>
      <c r="BD4931" s="743" t="str">
        <f t="shared" si="1698"/>
        <v/>
      </c>
      <c r="BE4931" s="743" t="str">
        <f>IF(D4931="","",VLOOKUP(D4931,'General Basis'!$J$39:$K$46,2,0))</f>
        <v/>
      </c>
      <c r="BF4931" s="744" t="str">
        <f>IF(D4931="","",VLOOKUP(D4931,'General Basis'!$J$39:$L$46,3,0))</f>
        <v/>
      </c>
      <c r="BG4931" s="744" t="str">
        <f t="shared" si="1705"/>
        <v/>
      </c>
      <c r="BH4931" s="744" t="str">
        <f>IF(G4931="","",IF(BF4931="Abu Dhabi",IF(G4931&lt;18,'General Basis'!$C$39,IF(G4931&lt;41,'General Basis'!$C$40,IF(G4931&lt;60,'General Basis'!$C$41,IF(G4931&lt;65,'General Basis'!$C$42,'General Basis'!$C$43)))),IF(G4931&lt;11,'General Basis'!$B$39,IF(G4931&lt;18,'General Basis'!$B$40,IF(G4931&lt;26,'General Basis'!$B$41,IF(G4931&lt;31,'General Basis'!$B$42,IF(G4931&lt;36,'General Basis'!$B$43,IF(G4931&lt;41,'General Basis'!$B$44,IF(G4931&lt;46,'General Basis'!$B$45,IF(G4931&lt;51,'General Basis'!$B$46,IF(G4931&lt;56,'General Basis'!$B$47,IF(G4931&lt;60,'General Basis'!$B$48,IF(G4931&lt;65,'General Basis'!$B$49,'General Basis'!$B$50)))))))))))))</f>
        <v/>
      </c>
      <c r="BI4931" s="744" t="str">
        <f t="shared" si="1699"/>
        <v/>
      </c>
      <c r="BJ4931" s="747" t="str">
        <f t="shared" si="1706"/>
        <v/>
      </c>
      <c r="BK4931" s="498" t="str">
        <f t="shared" si="1700"/>
        <v/>
      </c>
      <c r="BL4931" s="498" t="str">
        <f t="shared" si="1701"/>
        <v/>
      </c>
    </row>
    <row r="4932" spans="1:64" x14ac:dyDescent="0.25">
      <c r="A4932" s="762">
        <f t="shared" si="1702"/>
        <v>4927</v>
      </c>
      <c r="B4932" s="229"/>
      <c r="C4932" s="223"/>
      <c r="D4932" s="224"/>
      <c r="E4932" s="225"/>
      <c r="F4932" s="1036" t="str">
        <f t="shared" si="1708"/>
        <v/>
      </c>
      <c r="G4932" s="1037" t="str">
        <f t="shared" si="1703"/>
        <v/>
      </c>
      <c r="H4932" s="225"/>
      <c r="I4932" s="1013"/>
      <c r="J4932" s="1013"/>
      <c r="K4932" s="1028"/>
      <c r="L4932" s="1035" t="str">
        <f t="shared" si="1707"/>
        <v/>
      </c>
      <c r="S4932" s="498"/>
      <c r="AJ4932" s="498"/>
      <c r="AM4932" s="498">
        <f t="shared" si="1688"/>
        <v>0</v>
      </c>
      <c r="AN4932" s="498">
        <f t="shared" si="1689"/>
        <v>0</v>
      </c>
      <c r="AO4932" s="498">
        <f t="shared" si="1690"/>
        <v>0</v>
      </c>
      <c r="AP4932" s="498">
        <f t="shared" si="1709"/>
        <v>0</v>
      </c>
      <c r="AQ4932" s="498">
        <f t="shared" si="1704"/>
        <v>0</v>
      </c>
      <c r="AU4932" s="498">
        <f t="shared" si="1691"/>
        <v>0</v>
      </c>
      <c r="AV4932" s="498">
        <f t="shared" si="1692"/>
        <v>0</v>
      </c>
      <c r="AW4932" s="498">
        <f t="shared" si="1693"/>
        <v>0</v>
      </c>
      <c r="AX4932" s="498">
        <f t="shared" si="1694"/>
        <v>0</v>
      </c>
      <c r="AY4932" s="498">
        <f t="shared" si="1695"/>
        <v>0</v>
      </c>
      <c r="BB4932" s="498" t="str">
        <f t="shared" si="1696"/>
        <v/>
      </c>
      <c r="BC4932" s="743" t="str">
        <f t="shared" si="1697"/>
        <v/>
      </c>
      <c r="BD4932" s="743" t="str">
        <f t="shared" si="1698"/>
        <v/>
      </c>
      <c r="BE4932" s="743" t="str">
        <f>IF(D4932="","",VLOOKUP(D4932,'General Basis'!$J$39:$K$46,2,0))</f>
        <v/>
      </c>
      <c r="BF4932" s="744" t="str">
        <f>IF(D4932="","",VLOOKUP(D4932,'General Basis'!$J$39:$L$46,3,0))</f>
        <v/>
      </c>
      <c r="BG4932" s="744" t="str">
        <f t="shared" si="1705"/>
        <v/>
      </c>
      <c r="BH4932" s="744" t="str">
        <f>IF(G4932="","",IF(BF4932="Abu Dhabi",IF(G4932&lt;18,'General Basis'!$C$39,IF(G4932&lt;41,'General Basis'!$C$40,IF(G4932&lt;60,'General Basis'!$C$41,IF(G4932&lt;65,'General Basis'!$C$42,'General Basis'!$C$43)))),IF(G4932&lt;11,'General Basis'!$B$39,IF(G4932&lt;18,'General Basis'!$B$40,IF(G4932&lt;26,'General Basis'!$B$41,IF(G4932&lt;31,'General Basis'!$B$42,IF(G4932&lt;36,'General Basis'!$B$43,IF(G4932&lt;41,'General Basis'!$B$44,IF(G4932&lt;46,'General Basis'!$B$45,IF(G4932&lt;51,'General Basis'!$B$46,IF(G4932&lt;56,'General Basis'!$B$47,IF(G4932&lt;60,'General Basis'!$B$48,IF(G4932&lt;65,'General Basis'!$B$49,'General Basis'!$B$50)))))))))))))</f>
        <v/>
      </c>
      <c r="BI4932" s="744" t="str">
        <f t="shared" si="1699"/>
        <v/>
      </c>
      <c r="BJ4932" s="747" t="str">
        <f t="shared" si="1706"/>
        <v/>
      </c>
      <c r="BK4932" s="498" t="str">
        <f t="shared" si="1700"/>
        <v/>
      </c>
      <c r="BL4932" s="498" t="str">
        <f t="shared" si="1701"/>
        <v/>
      </c>
    </row>
    <row r="4933" spans="1:64" x14ac:dyDescent="0.25">
      <c r="A4933" s="762">
        <f t="shared" si="1702"/>
        <v>4928</v>
      </c>
      <c r="B4933" s="229"/>
      <c r="C4933" s="223"/>
      <c r="D4933" s="224"/>
      <c r="E4933" s="225"/>
      <c r="F4933" s="1036" t="str">
        <f t="shared" si="1708"/>
        <v/>
      </c>
      <c r="G4933" s="1037" t="str">
        <f t="shared" si="1703"/>
        <v/>
      </c>
      <c r="H4933" s="225"/>
      <c r="I4933" s="1013"/>
      <c r="J4933" s="1013"/>
      <c r="K4933" s="1028"/>
      <c r="L4933" s="1035" t="str">
        <f t="shared" si="1707"/>
        <v/>
      </c>
      <c r="S4933" s="498"/>
      <c r="AJ4933" s="498"/>
      <c r="AM4933" s="498">
        <f t="shared" si="1688"/>
        <v>0</v>
      </c>
      <c r="AN4933" s="498">
        <f t="shared" si="1689"/>
        <v>0</v>
      </c>
      <c r="AO4933" s="498">
        <f t="shared" si="1690"/>
        <v>0</v>
      </c>
      <c r="AP4933" s="498">
        <f t="shared" si="1709"/>
        <v>0</v>
      </c>
      <c r="AQ4933" s="498">
        <f t="shared" si="1704"/>
        <v>0</v>
      </c>
      <c r="AU4933" s="498">
        <f t="shared" si="1691"/>
        <v>0</v>
      </c>
      <c r="AV4933" s="498">
        <f t="shared" si="1692"/>
        <v>0</v>
      </c>
      <c r="AW4933" s="498">
        <f t="shared" si="1693"/>
        <v>0</v>
      </c>
      <c r="AX4933" s="498">
        <f t="shared" si="1694"/>
        <v>0</v>
      </c>
      <c r="AY4933" s="498">
        <f t="shared" si="1695"/>
        <v>0</v>
      </c>
      <c r="BB4933" s="498" t="str">
        <f t="shared" si="1696"/>
        <v/>
      </c>
      <c r="BC4933" s="743" t="str">
        <f t="shared" si="1697"/>
        <v/>
      </c>
      <c r="BD4933" s="743" t="str">
        <f t="shared" si="1698"/>
        <v/>
      </c>
      <c r="BE4933" s="743" t="str">
        <f>IF(D4933="","",VLOOKUP(D4933,'General Basis'!$J$39:$K$46,2,0))</f>
        <v/>
      </c>
      <c r="BF4933" s="744" t="str">
        <f>IF(D4933="","",VLOOKUP(D4933,'General Basis'!$J$39:$L$46,3,0))</f>
        <v/>
      </c>
      <c r="BG4933" s="744" t="str">
        <f t="shared" si="1705"/>
        <v/>
      </c>
      <c r="BH4933" s="744" t="str">
        <f>IF(G4933="","",IF(BF4933="Abu Dhabi",IF(G4933&lt;18,'General Basis'!$C$39,IF(G4933&lt;41,'General Basis'!$C$40,IF(G4933&lt;60,'General Basis'!$C$41,IF(G4933&lt;65,'General Basis'!$C$42,'General Basis'!$C$43)))),IF(G4933&lt;11,'General Basis'!$B$39,IF(G4933&lt;18,'General Basis'!$B$40,IF(G4933&lt;26,'General Basis'!$B$41,IF(G4933&lt;31,'General Basis'!$B$42,IF(G4933&lt;36,'General Basis'!$B$43,IF(G4933&lt;41,'General Basis'!$B$44,IF(G4933&lt;46,'General Basis'!$B$45,IF(G4933&lt;51,'General Basis'!$B$46,IF(G4933&lt;56,'General Basis'!$B$47,IF(G4933&lt;60,'General Basis'!$B$48,IF(G4933&lt;65,'General Basis'!$B$49,'General Basis'!$B$50)))))))))))))</f>
        <v/>
      </c>
      <c r="BI4933" s="744" t="str">
        <f t="shared" si="1699"/>
        <v/>
      </c>
      <c r="BJ4933" s="747" t="str">
        <f t="shared" si="1706"/>
        <v/>
      </c>
      <c r="BK4933" s="498" t="str">
        <f t="shared" si="1700"/>
        <v/>
      </c>
      <c r="BL4933" s="498" t="str">
        <f t="shared" si="1701"/>
        <v/>
      </c>
    </row>
    <row r="4934" spans="1:64" x14ac:dyDescent="0.25">
      <c r="A4934" s="762">
        <f t="shared" si="1702"/>
        <v>4929</v>
      </c>
      <c r="B4934" s="229"/>
      <c r="C4934" s="223"/>
      <c r="D4934" s="224"/>
      <c r="E4934" s="225"/>
      <c r="F4934" s="1036" t="str">
        <f t="shared" si="1708"/>
        <v/>
      </c>
      <c r="G4934" s="1037" t="str">
        <f t="shared" si="1703"/>
        <v/>
      </c>
      <c r="H4934" s="225"/>
      <c r="I4934" s="1013"/>
      <c r="J4934" s="1013"/>
      <c r="K4934" s="1028"/>
      <c r="L4934" s="1035" t="str">
        <f t="shared" si="1707"/>
        <v/>
      </c>
      <c r="S4934" s="498"/>
      <c r="AJ4934" s="498"/>
      <c r="AM4934" s="498">
        <f t="shared" ref="AM4934:AM4997" si="1710">IF(ISTEXT(B4934),1,0)</f>
        <v>0</v>
      </c>
      <c r="AN4934" s="498">
        <f t="shared" ref="AN4934:AN4997" si="1711">IF(ISBLANK(B4934),0,IF(B4934&lt;$AK$6,1,0))</f>
        <v>0</v>
      </c>
      <c r="AO4934" s="498">
        <f t="shared" ref="AO4934:AO4997" si="1712">IF(ISBLANK(B4934),0,IF(B4934&gt;$AK$7,1,0))</f>
        <v>0</v>
      </c>
      <c r="AP4934" s="498">
        <f t="shared" si="1709"/>
        <v>0</v>
      </c>
      <c r="AQ4934" s="498">
        <f t="shared" si="1704"/>
        <v>0</v>
      </c>
      <c r="AU4934" s="498">
        <f t="shared" ref="AU4934:AU4997" si="1713">IF(ISBLANK(B4934),0,1)</f>
        <v>0</v>
      </c>
      <c r="AV4934" s="498">
        <f t="shared" ref="AV4934:AV4997" si="1714">IF(ISBLANK(C4934),0,1)</f>
        <v>0</v>
      </c>
      <c r="AW4934" s="498">
        <f t="shared" ref="AW4934:AW4997" si="1715">IF(ISBLANK(D4934),0,1)</f>
        <v>0</v>
      </c>
      <c r="AX4934" s="498">
        <f t="shared" ref="AX4934:AX4997" si="1716">IF(ISBLANK(E4934),0,1)</f>
        <v>0</v>
      </c>
      <c r="AY4934" s="498">
        <f t="shared" ref="AY4934:AY4997" si="1717">IF(ISBLANK(H4934),0,1)</f>
        <v>0</v>
      </c>
      <c r="BB4934" s="498" t="str">
        <f t="shared" ref="BB4934:BB4997" si="1718">IF(E4934="Principal","Principal",IF(E4934="","","Other"))</f>
        <v/>
      </c>
      <c r="BC4934" s="743" t="str">
        <f t="shared" ref="BC4934:BC4997" si="1719">IF(D4934="","",D4934)</f>
        <v/>
      </c>
      <c r="BD4934" s="743" t="str">
        <f t="shared" ref="BD4934:BD4997" si="1720">IF(E4934="Principal","Employee",IF(E4934="","","Dependent"))</f>
        <v/>
      </c>
      <c r="BE4934" s="743" t="str">
        <f>IF(D4934="","",VLOOKUP(D4934,'General Basis'!$J$39:$K$46,2,0))</f>
        <v/>
      </c>
      <c r="BF4934" s="744" t="str">
        <f>IF(D4934="","",VLOOKUP(D4934,'General Basis'!$J$39:$L$46,3,0))</f>
        <v/>
      </c>
      <c r="BG4934" s="744" t="str">
        <f t="shared" si="1705"/>
        <v/>
      </c>
      <c r="BH4934" s="744" t="str">
        <f>IF(G4934="","",IF(BF4934="Abu Dhabi",IF(G4934&lt;18,'General Basis'!$C$39,IF(G4934&lt;41,'General Basis'!$C$40,IF(G4934&lt;60,'General Basis'!$C$41,IF(G4934&lt;65,'General Basis'!$C$42,'General Basis'!$C$43)))),IF(G4934&lt;11,'General Basis'!$B$39,IF(G4934&lt;18,'General Basis'!$B$40,IF(G4934&lt;26,'General Basis'!$B$41,IF(G4934&lt;31,'General Basis'!$B$42,IF(G4934&lt;36,'General Basis'!$B$43,IF(G4934&lt;41,'General Basis'!$B$44,IF(G4934&lt;46,'General Basis'!$B$45,IF(G4934&lt;51,'General Basis'!$B$46,IF(G4934&lt;56,'General Basis'!$B$47,IF(G4934&lt;60,'General Basis'!$B$48,IF(G4934&lt;65,'General Basis'!$B$49,'General Basis'!$B$50)))))))))))))</f>
        <v/>
      </c>
      <c r="BI4934" s="744" t="str">
        <f t="shared" ref="BI4934:BI4997" si="1721">IF(C4934="","",IF(C4934="M","Male","Female"))</f>
        <v/>
      </c>
      <c r="BJ4934" s="747" t="str">
        <f t="shared" si="1706"/>
        <v/>
      </c>
      <c r="BK4934" s="498" t="str">
        <f t="shared" ref="BK4934:BK4997" si="1722">IF(BD4934="","",IF(AND(BD4934="Employee",BI4934="Male",BF4934="Abu Dhabi",BE4934=GN_Plus),VLOOKUP(BH4934,AUH_MALE_EMP,2,0),IF(AND(BD4934="Employee",BI4934="Male",BF4934="Abu Dhabi",BE4934=GN),VLOOKUP(BH4934,AUH_MALE_EMP,3,0),IF(AND(BD4934="Employee",BI4934="Male",BF4934="Abu Dhabi",BE4934=RN_Plus),VLOOKUP(BH4934,AUH_MALE_EMP,4,0),IF(AND(BD4934="Employee",BI4934="Male",BF4934="Abu Dhabi",BE4934=RN),VLOOKUP(BH4934,AUH_MALE_EMP,5,0),IF(AND(BD4934="Employee",BI4934="Male",BF4934="Abu Dhabi",BE4934=RN_2),VLOOKUP(BH4934,AUH_MALE_EMP,6,0),IF(AND(BD4934="Employee",BI4934="Male",BF4934="Abu Dhabi",BE4934=RN2_minus),VLOOKUP(BH4934,AUH_MALE_EMP,7,0),IF(AND(BD4934="Employee",BI4934="Male",BF4934="Abu Dhabi",BE4934=RN_3),VLOOKUP(BH4934,AUH_MALE_EMP,8,0),IF(AND(BD4934="Employee",BI4934="Male",BF4934="Abu Dhabi",BE4934=VN),VLOOKUP(BH4934,AUH_MALE_EMP,9,0),IF(BD4934="","",IF(AND(BD4934="Employee",BI4934="Female",BF4934="Abu Dhabi",BE4934=GN_Plus),VLOOKUP(BH4934,AUH_FEMALE_EMP,2,0),IF(AND(BD4934="Employee",BI4934="Female",BF4934="Abu Dhabi",BE4934=GN),VLOOKUP(BH4934,AUH_FEMALE_EMP,3,0),IF(AND(BD4934="Employee",BI4934="Female",BF4934="Abu Dhabi",BE4934=RN_Plus),VLOOKUP(BH4934,AUH_FEMALE_EMP,4,0),IF(AND(BD4934="Employee",BI4934="Female",BF4934="Abu Dhabi",BE4934=RN),VLOOKUP(BH4934,AUH_FEMALE_EMP,5,0),IF(AND(BD4934="Employee",BI4934="Female",BF4934="Abu Dhabi",BE4934=RN_2),VLOOKUP(BH4934,AUH_FEMALE_EMP,6,0),IF(AND(BD4934="Employee",BI4934="Female",BF4934="Abu Dhabi",BE4934=RN2_minus),VLOOKUP(BH4934,AUH_FEMALE_EMP,7,0),IF(AND(BD4934="Employee",BI4934="Female",BF4934="Abu Dhabi",BE4934=RN_3),VLOOKUP(BH4934,AUH_FEMALE_EMP,8,0),IF(AND(BD4934="Employee",BI4934="Female",BF4934="Abu Dhabi",BE4934=VN),VLOOKUP(BH4934,AUH_FEMALE_EMP,9,0),IF(BD4934="","",IF(AND(BD4934="Dependent",BI4934="Male",BF4934="Abu Dhabi",BE4934=GN_Plus),VLOOKUP(BH4934,AUH_MALE_DEP,2,0),IF(AND(BD4934="Dependent",BI4934="Male",BF4934="Abu Dhabi",BE4934=GN),VLOOKUP(BH4934,AUH_MALE_DEP,3,0),IF(AND(BD4934="Dependent",BI4934="Male",BF4934="Abu Dhabi",BE4934=RN_Plus),VLOOKUP(BH4934,AUH_MALE_DEP,4,0),IF(AND(BD4934="Dependent",BI4934="Male",BF4934="Abu Dhabi",BE4934=RN),VLOOKUP(BH4934,AUH_MALE_DEP,5,0),IF(AND(BD4934="Dependent",BI4934="Male",BF4934="Abu Dhabi",BE4934=RN_2),VLOOKUP(BH4934,AUH_MALE_DEP,6,0),IF(AND(BD4934="Dependent",BI4934="Male",BF4934="Abu Dhabi",BE4934=RN2_minus),VLOOKUP(BH4934,AUH_MALE_DEP,7,0),IF(AND(BD4934="Dependent",BI4934="Male",BF4934="Abu Dhabi",BE4934=RN_3),VLOOKUP(BH4934,AUH_MALE_DEP,8,0),IF(AND(BD4934="Dependent",BI4934="Male",BF4934="Abu Dhabi",BE4934=VN),VLOOKUP(BH4934,AUH_MALE_DEP,9,0),IF(BD4934="","",IF(AND(BD4934="Dependent",BI4934="Female",BF4934="Abu Dhabi",BE4934=GN_Plus),VLOOKUP(BH4934,AUH_FEMALE_DEP,2,0),IF(AND(BD4934="Dependent",BI4934="Female",BF4934="Abu Dhabi",BE4934=GN),VLOOKUP(BH4934,AUH_FEMALE_DEP,3,0),IF(AND(BD4934="Dependent",BI4934="Female",BF4934="Abu Dhabi",BE4934=RN_Plus),VLOOKUP(BH4934,AUH_FEMALE_DEP,4,0),IF(AND(BD4934="Dependent",BI4934="Female",BF4934="Abu Dhabi",BE4934=RN),VLOOKUP(BH4934,AUH_FEMALE_DEP,5,0),IF(AND(BD4934="Dependent",BI4934="Female",BF4934="Abu Dhabi",BE4934=RN_2),VLOOKUP(BH4934,AUH_FEMALE_DEP,6,0),IF(AND(BD4934="Dependent",BI4934="Female",BF4934="Abu Dhabi",BE4934=RN2_minus),VLOOKUP(BH4934,AUH_FEMALE_DEP,7,0),IF(AND(BD4934="Dependent",BI4934="Female",BF4934="Abu Dhabi",BE4934=RN_3),VLOOKUP(BH4934,AUH_FEMALE_DEP,8,0),IF(AND(BD4934="Dependent",BI4934="Female",BF4934="Abu Dhabi",BE4934=VN),VLOOKUP(BH4934,AUH_FEMALE_DEP,9,0),"ABC"))))))))))))))))))))))))))))))))))))</f>
        <v/>
      </c>
      <c r="BL4934" s="498" t="str">
        <f t="shared" ref="BL4934:BL4997" si="1723">IF(BD4934="","",IF(AND(BD4934="Employee",BI4934="Male",BF4934="Dubai",BE4934=GN_Plus),VLOOKUP(BH4934,DXB_MALE_EMP,2,0),IF(AND(BD4934="Employee",BI4934="Male",BF4934="Dubai",BE4934=GN),VLOOKUP(BH4934,DXB_MALE_EMP,3,0),IF(AND(BD4934="Employee",BI4934="Male",BF4934="Dubai",BE4934=RN_Plus),VLOOKUP(BH4934,DXB_MALE_EMP,4,0),IF(AND(BD4934="Employee",BI4934="Male",BF4934="Dubai",BE4934=RN),VLOOKUP(BH4934,DXB_MALE_EMP,5,0),IF(AND(BD4934="Employee",BI4934="Male",BF4934="Dubai",BE4934=RN_2),VLOOKUP(BH4934,DXB_MALE_EMP,6,0),IF(AND(BD4934="Employee",BI4934="Male",BF4934="Dubai",BE4934=RN2_minus),VLOOKUP(BH4934,DXB_MALE_EMP,7,0),IF(AND(BD4934="Employee",BI4934="Male",BF4934="Dubai",BE4934=RN_3),VLOOKUP(BH4934,DXB_MALE_EMP,8,0),IF(AND(BD4934="Employee",BI4934="Male",BF4934="Dubai",BE4934=VN),VLOOKUP(BH4934,DXB_MALE_EMP,9,0),IF(BD4934="","",IF(AND(BD4934="Employee",BI4934="Female",BF4934="Dubai",BE4934=GN_Plus),VLOOKUP(BH4934,DXB_FEMALE_EMP,2,0),IF(AND(BD4934="Employee",BI4934="Female",BF4934="Dubai",BE4934=GN),VLOOKUP(BH4934,DXB_FEMALE_EMP,3,0),IF(AND(BD4934="Employee",BI4934="Female",BF4934="Dubai",BE4934=RN_Plus),VLOOKUP(BH4934,DXB_FEMALE_EMP,4,0),IF(AND(BD4934="Employee",BI4934="Female",BF4934="Dubai",BE4934=RN),VLOOKUP(BH4934,DXB_FEMALE_EMP,5,0),IF(AND(BD4934="Employee",BI4934="Female",BF4934="Dubai",BE4934=RN_2),VLOOKUP(BH4934,DXB_FEMALE_EMP,6,0),IF(AND(BD4934="Employee",BI4934="Female",BF4934="Dubai",BE4934=RN2_minus),VLOOKUP(BH4934,DXB_FEMALE_EMP,7,0),IF(AND(BD4934="Employee",BI4934="Female",BF4934="Dubai",BE4934=RN_3),VLOOKUP(BH4934,DXB_FEMALE_EMP,8,0),IF(AND(BD4934="Employee",BI4934="Female",BF4934="Dubai",BE4934=VN),VLOOKUP(BH4934,DXB_FEMALE_EMP,9,0),IF(BD4934="","",IF(AND(BD4934="Dependent",BI4934="Male",BF4934="Dubai",BE4934=GN_Plus),VLOOKUP(BH4934,DXB_MALE_DEP,2,0),IF(AND(BD4934="Dependent",BI4934="Male",BF4934="Dubai",BE4934=GN),VLOOKUP(BH4934,DXB_MALE_DEP,3,0),IF(AND(BD4934="Dependent",BI4934="Male",BF4934="Dubai",BE4934=RN_Plus),VLOOKUP(BH4934,DXB_MALE_DEP,4,0),IF(AND(BD4934="Dependent",BI4934="Male",BF4934="Dubai",BE4934=RN),VLOOKUP(BH4934,DXB_MALE_DEP,5,0),IF(AND(BD4934="Dependent",BI4934="Male",BF4934="Dubai",BE4934=RN_2),VLOOKUP(BH4934,DXB_MALE_DEP,6,0),IF(AND(BD4934="Dependent",BI4934="Male",BF4934="Dubai",BE4934=RN2_minus),VLOOKUP(BH4934,DXB_MALE_DEP,7,0),IF(AND(BD4934="Dependent",BI4934="Male",BF4934="Dubai",BE4934=RN_3),VLOOKUP(BH4934,DXB_MALE_DEP,8,0),IF(AND(BD4934="Dependent",BI4934="Male",BF4934="Dubai",BE4934=VN),VLOOKUP(BH4934,DXB_MALE_DEP,9,0),IF(BD4934="","",IF(AND(BD4934="Dependent",BI4934="Female",BF4934="Dubai",BE4934=GN_Plus),VLOOKUP(BH4934,DXB_FEMALE_DEP,2,0),IF(AND(BD4934="Dependent",BI4934="Female",BF4934="Dubai",BE4934=GN),VLOOKUP(BH4934,DXB_FEMALE_DEP,3,0),IF(AND(BD4934="Dependent",BI4934="Female",BF4934="Dubai",BE4934=RN_Plus),VLOOKUP(BH4934,DXB_FEMALE_DEP,4,0),IF(AND(BD4934="Dependent",BI4934="Female",BF4934="Dubai",BE4934=RN),VLOOKUP(BH4934,DXB_FEMALE_DEP,5,0),IF(AND(BD4934="Dependent",BI4934="Female",BF4934="Dubai",BE4934=RN_2),VLOOKUP(BH4934,DXB_FEMALE_DEP,6,0),IF(AND(BD4934="Dependent",BI4934="Female",BF4934="Dubai",BE4934=RN2_minus),VLOOKUP(BH4934,DXB_FEMALE_DEP,7,0),IF(AND(BD4934="Dependent",BI4934="Female",BF4934="Dubai",BE4934=RN_3),VLOOKUP(BH4934,DXB_FEMALE_DEP,8,0),IF(AND(BD4934="Dependent",BI4934="Female",BF4934="Dubai",BE4934=VN),VLOOKUP(BH4934,DXB_FEMALE_DEP,9,0),"ABC"))))))))))))))))))))))))))))))))))))</f>
        <v/>
      </c>
    </row>
    <row r="4935" spans="1:64" x14ac:dyDescent="0.25">
      <c r="A4935" s="762">
        <f t="shared" ref="A4935:A4998" si="1724">+A4934+1</f>
        <v>4930</v>
      </c>
      <c r="B4935" s="229"/>
      <c r="C4935" s="223"/>
      <c r="D4935" s="224"/>
      <c r="E4935" s="225"/>
      <c r="F4935" s="1036" t="str">
        <f t="shared" si="1708"/>
        <v/>
      </c>
      <c r="G4935" s="1037" t="str">
        <f t="shared" ref="G4935:G4998" si="1725">IF(D4935="","",MAX(0,ROUNDUP(F4935,0)))</f>
        <v/>
      </c>
      <c r="H4935" s="225"/>
      <c r="I4935" s="1013"/>
      <c r="J4935" s="1013"/>
      <c r="K4935" s="1028"/>
      <c r="L4935" s="1035" t="str">
        <f t="shared" si="1707"/>
        <v/>
      </c>
      <c r="S4935" s="498"/>
      <c r="AJ4935" s="498"/>
      <c r="AM4935" s="498">
        <f t="shared" si="1710"/>
        <v>0</v>
      </c>
      <c r="AN4935" s="498">
        <f t="shared" si="1711"/>
        <v>0</v>
      </c>
      <c r="AO4935" s="498">
        <f t="shared" si="1712"/>
        <v>0</v>
      </c>
      <c r="AP4935" s="498">
        <f t="shared" si="1709"/>
        <v>0</v>
      </c>
      <c r="AQ4935" s="498">
        <f t="shared" ref="AQ4935:AQ4998" si="1726">IF(ISBLANK($B4935),0,IF(OR($H4935="Single",$H4935="Married"),0,1))</f>
        <v>0</v>
      </c>
      <c r="AU4935" s="498">
        <f t="shared" si="1713"/>
        <v>0</v>
      </c>
      <c r="AV4935" s="498">
        <f t="shared" si="1714"/>
        <v>0</v>
      </c>
      <c r="AW4935" s="498">
        <f t="shared" si="1715"/>
        <v>0</v>
      </c>
      <c r="AX4935" s="498">
        <f t="shared" si="1716"/>
        <v>0</v>
      </c>
      <c r="AY4935" s="498">
        <f t="shared" si="1717"/>
        <v>0</v>
      </c>
      <c r="BB4935" s="498" t="str">
        <f t="shared" si="1718"/>
        <v/>
      </c>
      <c r="BC4935" s="743" t="str">
        <f t="shared" si="1719"/>
        <v/>
      </c>
      <c r="BD4935" s="743" t="str">
        <f t="shared" si="1720"/>
        <v/>
      </c>
      <c r="BE4935" s="743" t="str">
        <f>IF(D4935="","",VLOOKUP(D4935,'General Basis'!$J$39:$K$46,2,0))</f>
        <v/>
      </c>
      <c r="BF4935" s="744" t="str">
        <f>IF(D4935="","",VLOOKUP(D4935,'General Basis'!$J$39:$L$46,3,0))</f>
        <v/>
      </c>
      <c r="BG4935" s="744" t="str">
        <f t="shared" ref="BG4935:BG4998" si="1727">BC4935&amp;BI4935</f>
        <v/>
      </c>
      <c r="BH4935" s="744" t="str">
        <f>IF(G4935="","",IF(BF4935="Abu Dhabi",IF(G4935&lt;18,'General Basis'!$C$39,IF(G4935&lt;41,'General Basis'!$C$40,IF(G4935&lt;60,'General Basis'!$C$41,IF(G4935&lt;65,'General Basis'!$C$42,'General Basis'!$C$43)))),IF(G4935&lt;11,'General Basis'!$B$39,IF(G4935&lt;18,'General Basis'!$B$40,IF(G4935&lt;26,'General Basis'!$B$41,IF(G4935&lt;31,'General Basis'!$B$42,IF(G4935&lt;36,'General Basis'!$B$43,IF(G4935&lt;41,'General Basis'!$B$44,IF(G4935&lt;46,'General Basis'!$B$45,IF(G4935&lt;51,'General Basis'!$B$46,IF(G4935&lt;56,'General Basis'!$B$47,IF(G4935&lt;60,'General Basis'!$B$48,IF(G4935&lt;65,'General Basis'!$B$49,'General Basis'!$B$50)))))))))))))</f>
        <v/>
      </c>
      <c r="BI4935" s="744" t="str">
        <f t="shared" si="1721"/>
        <v/>
      </c>
      <c r="BJ4935" s="747" t="str">
        <f t="shared" ref="BJ4935:BJ4998" si="1728">IF(BD4935="","",IF(BF4935="Abu Dhabi",BK4935,BL4935))</f>
        <v/>
      </c>
      <c r="BK4935" s="498" t="str">
        <f t="shared" si="1722"/>
        <v/>
      </c>
      <c r="BL4935" s="498" t="str">
        <f t="shared" si="1723"/>
        <v/>
      </c>
    </row>
    <row r="4936" spans="1:64" x14ac:dyDescent="0.25">
      <c r="A4936" s="762">
        <f t="shared" si="1724"/>
        <v>4931</v>
      </c>
      <c r="B4936" s="229"/>
      <c r="C4936" s="223"/>
      <c r="D4936" s="224"/>
      <c r="E4936" s="225"/>
      <c r="F4936" s="1036" t="str">
        <f t="shared" si="1708"/>
        <v/>
      </c>
      <c r="G4936" s="1037" t="str">
        <f t="shared" si="1725"/>
        <v/>
      </c>
      <c r="H4936" s="225"/>
      <c r="I4936" s="1013"/>
      <c r="J4936" s="1013"/>
      <c r="K4936" s="1028"/>
      <c r="L4936" s="1035" t="str">
        <f t="shared" ref="L4936:L4999" si="1729">IF(AND(E4936="Child",H4936="Married"),"Check the Marital Status of the Child. ",IF(AND(E4936="Child",F4936&gt;18),"Child Age exceed 18 years. ",IF(AND(E4936="Spouse",H4936="Single"),"Spouse is selected as Single. ","")))&amp;IF(K4936&gt;0,"UW Loading has been Applied","")</f>
        <v/>
      </c>
      <c r="S4936" s="498"/>
      <c r="AJ4936" s="498"/>
      <c r="AM4936" s="498">
        <f t="shared" si="1710"/>
        <v>0</v>
      </c>
      <c r="AN4936" s="498">
        <f t="shared" si="1711"/>
        <v>0</v>
      </c>
      <c r="AO4936" s="498">
        <f t="shared" si="1712"/>
        <v>0</v>
      </c>
      <c r="AP4936" s="498">
        <f t="shared" si="1709"/>
        <v>0</v>
      </c>
      <c r="AQ4936" s="498">
        <f t="shared" si="1726"/>
        <v>0</v>
      </c>
      <c r="AU4936" s="498">
        <f t="shared" si="1713"/>
        <v>0</v>
      </c>
      <c r="AV4936" s="498">
        <f t="shared" si="1714"/>
        <v>0</v>
      </c>
      <c r="AW4936" s="498">
        <f t="shared" si="1715"/>
        <v>0</v>
      </c>
      <c r="AX4936" s="498">
        <f t="shared" si="1716"/>
        <v>0</v>
      </c>
      <c r="AY4936" s="498">
        <f t="shared" si="1717"/>
        <v>0</v>
      </c>
      <c r="BB4936" s="498" t="str">
        <f t="shared" si="1718"/>
        <v/>
      </c>
      <c r="BC4936" s="743" t="str">
        <f t="shared" si="1719"/>
        <v/>
      </c>
      <c r="BD4936" s="743" t="str">
        <f t="shared" si="1720"/>
        <v/>
      </c>
      <c r="BE4936" s="743" t="str">
        <f>IF(D4936="","",VLOOKUP(D4936,'General Basis'!$J$39:$K$46,2,0))</f>
        <v/>
      </c>
      <c r="BF4936" s="744" t="str">
        <f>IF(D4936="","",VLOOKUP(D4936,'General Basis'!$J$39:$L$46,3,0))</f>
        <v/>
      </c>
      <c r="BG4936" s="744" t="str">
        <f t="shared" si="1727"/>
        <v/>
      </c>
      <c r="BH4936" s="744" t="str">
        <f>IF(G4936="","",IF(BF4936="Abu Dhabi",IF(G4936&lt;18,'General Basis'!$C$39,IF(G4936&lt;41,'General Basis'!$C$40,IF(G4936&lt;60,'General Basis'!$C$41,IF(G4936&lt;65,'General Basis'!$C$42,'General Basis'!$C$43)))),IF(G4936&lt;11,'General Basis'!$B$39,IF(G4936&lt;18,'General Basis'!$B$40,IF(G4936&lt;26,'General Basis'!$B$41,IF(G4936&lt;31,'General Basis'!$B$42,IF(G4936&lt;36,'General Basis'!$B$43,IF(G4936&lt;41,'General Basis'!$B$44,IF(G4936&lt;46,'General Basis'!$B$45,IF(G4936&lt;51,'General Basis'!$B$46,IF(G4936&lt;56,'General Basis'!$B$47,IF(G4936&lt;60,'General Basis'!$B$48,IF(G4936&lt;65,'General Basis'!$B$49,'General Basis'!$B$50)))))))))))))</f>
        <v/>
      </c>
      <c r="BI4936" s="744" t="str">
        <f t="shared" si="1721"/>
        <v/>
      </c>
      <c r="BJ4936" s="747" t="str">
        <f t="shared" si="1728"/>
        <v/>
      </c>
      <c r="BK4936" s="498" t="str">
        <f t="shared" si="1722"/>
        <v/>
      </c>
      <c r="BL4936" s="498" t="str">
        <f t="shared" si="1723"/>
        <v/>
      </c>
    </row>
    <row r="4937" spans="1:64" x14ac:dyDescent="0.25">
      <c r="A4937" s="762">
        <f t="shared" si="1724"/>
        <v>4932</v>
      </c>
      <c r="B4937" s="229"/>
      <c r="C4937" s="223"/>
      <c r="D4937" s="224"/>
      <c r="E4937" s="225"/>
      <c r="F4937" s="1036" t="str">
        <f t="shared" si="1708"/>
        <v/>
      </c>
      <c r="G4937" s="1037" t="str">
        <f t="shared" si="1725"/>
        <v/>
      </c>
      <c r="H4937" s="225"/>
      <c r="I4937" s="1013"/>
      <c r="J4937" s="1013"/>
      <c r="K4937" s="1028"/>
      <c r="L4937" s="1035" t="str">
        <f t="shared" si="1729"/>
        <v/>
      </c>
      <c r="S4937" s="498"/>
      <c r="AJ4937" s="498"/>
      <c r="AM4937" s="498">
        <f t="shared" si="1710"/>
        <v>0</v>
      </c>
      <c r="AN4937" s="498">
        <f t="shared" si="1711"/>
        <v>0</v>
      </c>
      <c r="AO4937" s="498">
        <f t="shared" si="1712"/>
        <v>0</v>
      </c>
      <c r="AP4937" s="498">
        <f t="shared" si="1709"/>
        <v>0</v>
      </c>
      <c r="AQ4937" s="498">
        <f t="shared" si="1726"/>
        <v>0</v>
      </c>
      <c r="AU4937" s="498">
        <f t="shared" si="1713"/>
        <v>0</v>
      </c>
      <c r="AV4937" s="498">
        <f t="shared" si="1714"/>
        <v>0</v>
      </c>
      <c r="AW4937" s="498">
        <f t="shared" si="1715"/>
        <v>0</v>
      </c>
      <c r="AX4937" s="498">
        <f t="shared" si="1716"/>
        <v>0</v>
      </c>
      <c r="AY4937" s="498">
        <f t="shared" si="1717"/>
        <v>0</v>
      </c>
      <c r="BB4937" s="498" t="str">
        <f t="shared" si="1718"/>
        <v/>
      </c>
      <c r="BC4937" s="743" t="str">
        <f t="shared" si="1719"/>
        <v/>
      </c>
      <c r="BD4937" s="743" t="str">
        <f t="shared" si="1720"/>
        <v/>
      </c>
      <c r="BE4937" s="743" t="str">
        <f>IF(D4937="","",VLOOKUP(D4937,'General Basis'!$J$39:$K$46,2,0))</f>
        <v/>
      </c>
      <c r="BF4937" s="744" t="str">
        <f>IF(D4937="","",VLOOKUP(D4937,'General Basis'!$J$39:$L$46,3,0))</f>
        <v/>
      </c>
      <c r="BG4937" s="744" t="str">
        <f t="shared" si="1727"/>
        <v/>
      </c>
      <c r="BH4937" s="744" t="str">
        <f>IF(G4937="","",IF(BF4937="Abu Dhabi",IF(G4937&lt;18,'General Basis'!$C$39,IF(G4937&lt;41,'General Basis'!$C$40,IF(G4937&lt;60,'General Basis'!$C$41,IF(G4937&lt;65,'General Basis'!$C$42,'General Basis'!$C$43)))),IF(G4937&lt;11,'General Basis'!$B$39,IF(G4937&lt;18,'General Basis'!$B$40,IF(G4937&lt;26,'General Basis'!$B$41,IF(G4937&lt;31,'General Basis'!$B$42,IF(G4937&lt;36,'General Basis'!$B$43,IF(G4937&lt;41,'General Basis'!$B$44,IF(G4937&lt;46,'General Basis'!$B$45,IF(G4937&lt;51,'General Basis'!$B$46,IF(G4937&lt;56,'General Basis'!$B$47,IF(G4937&lt;60,'General Basis'!$B$48,IF(G4937&lt;65,'General Basis'!$B$49,'General Basis'!$B$50)))))))))))))</f>
        <v/>
      </c>
      <c r="BI4937" s="744" t="str">
        <f t="shared" si="1721"/>
        <v/>
      </c>
      <c r="BJ4937" s="747" t="str">
        <f t="shared" si="1728"/>
        <v/>
      </c>
      <c r="BK4937" s="498" t="str">
        <f t="shared" si="1722"/>
        <v/>
      </c>
      <c r="BL4937" s="498" t="str">
        <f t="shared" si="1723"/>
        <v/>
      </c>
    </row>
    <row r="4938" spans="1:64" x14ac:dyDescent="0.25">
      <c r="A4938" s="762">
        <f t="shared" si="1724"/>
        <v>4933</v>
      </c>
      <c r="B4938" s="229"/>
      <c r="C4938" s="223"/>
      <c r="D4938" s="224"/>
      <c r="E4938" s="225"/>
      <c r="F4938" s="1036" t="str">
        <f t="shared" si="1708"/>
        <v/>
      </c>
      <c r="G4938" s="1037" t="str">
        <f t="shared" si="1725"/>
        <v/>
      </c>
      <c r="H4938" s="225"/>
      <c r="I4938" s="1013"/>
      <c r="J4938" s="1013"/>
      <c r="K4938" s="1028"/>
      <c r="L4938" s="1035" t="str">
        <f t="shared" si="1729"/>
        <v/>
      </c>
      <c r="S4938" s="498"/>
      <c r="AJ4938" s="498"/>
      <c r="AM4938" s="498">
        <f t="shared" si="1710"/>
        <v>0</v>
      </c>
      <c r="AN4938" s="498">
        <f t="shared" si="1711"/>
        <v>0</v>
      </c>
      <c r="AO4938" s="498">
        <f t="shared" si="1712"/>
        <v>0</v>
      </c>
      <c r="AP4938" s="498">
        <f t="shared" si="1709"/>
        <v>0</v>
      </c>
      <c r="AQ4938" s="498">
        <f t="shared" si="1726"/>
        <v>0</v>
      </c>
      <c r="AU4938" s="498">
        <f t="shared" si="1713"/>
        <v>0</v>
      </c>
      <c r="AV4938" s="498">
        <f t="shared" si="1714"/>
        <v>0</v>
      </c>
      <c r="AW4938" s="498">
        <f t="shared" si="1715"/>
        <v>0</v>
      </c>
      <c r="AX4938" s="498">
        <f t="shared" si="1716"/>
        <v>0</v>
      </c>
      <c r="AY4938" s="498">
        <f t="shared" si="1717"/>
        <v>0</v>
      </c>
      <c r="BB4938" s="498" t="str">
        <f t="shared" si="1718"/>
        <v/>
      </c>
      <c r="BC4938" s="743" t="str">
        <f t="shared" si="1719"/>
        <v/>
      </c>
      <c r="BD4938" s="743" t="str">
        <f t="shared" si="1720"/>
        <v/>
      </c>
      <c r="BE4938" s="743" t="str">
        <f>IF(D4938="","",VLOOKUP(D4938,'General Basis'!$J$39:$K$46,2,0))</f>
        <v/>
      </c>
      <c r="BF4938" s="744" t="str">
        <f>IF(D4938="","",VLOOKUP(D4938,'General Basis'!$J$39:$L$46,3,0))</f>
        <v/>
      </c>
      <c r="BG4938" s="744" t="str">
        <f t="shared" si="1727"/>
        <v/>
      </c>
      <c r="BH4938" s="744" t="str">
        <f>IF(G4938="","",IF(BF4938="Abu Dhabi",IF(G4938&lt;18,'General Basis'!$C$39,IF(G4938&lt;41,'General Basis'!$C$40,IF(G4938&lt;60,'General Basis'!$C$41,IF(G4938&lt;65,'General Basis'!$C$42,'General Basis'!$C$43)))),IF(G4938&lt;11,'General Basis'!$B$39,IF(G4938&lt;18,'General Basis'!$B$40,IF(G4938&lt;26,'General Basis'!$B$41,IF(G4938&lt;31,'General Basis'!$B$42,IF(G4938&lt;36,'General Basis'!$B$43,IF(G4938&lt;41,'General Basis'!$B$44,IF(G4938&lt;46,'General Basis'!$B$45,IF(G4938&lt;51,'General Basis'!$B$46,IF(G4938&lt;56,'General Basis'!$B$47,IF(G4938&lt;60,'General Basis'!$B$48,IF(G4938&lt;65,'General Basis'!$B$49,'General Basis'!$B$50)))))))))))))</f>
        <v/>
      </c>
      <c r="BI4938" s="744" t="str">
        <f t="shared" si="1721"/>
        <v/>
      </c>
      <c r="BJ4938" s="747" t="str">
        <f t="shared" si="1728"/>
        <v/>
      </c>
      <c r="BK4938" s="498" t="str">
        <f t="shared" si="1722"/>
        <v/>
      </c>
      <c r="BL4938" s="498" t="str">
        <f t="shared" si="1723"/>
        <v/>
      </c>
    </row>
    <row r="4939" spans="1:64" x14ac:dyDescent="0.25">
      <c r="A4939" s="762">
        <f t="shared" si="1724"/>
        <v>4934</v>
      </c>
      <c r="B4939" s="229"/>
      <c r="C4939" s="223"/>
      <c r="D4939" s="224"/>
      <c r="E4939" s="225"/>
      <c r="F4939" s="1036" t="str">
        <f t="shared" si="1708"/>
        <v/>
      </c>
      <c r="G4939" s="1037" t="str">
        <f t="shared" si="1725"/>
        <v/>
      </c>
      <c r="H4939" s="225"/>
      <c r="I4939" s="1013"/>
      <c r="J4939" s="1013"/>
      <c r="K4939" s="1028"/>
      <c r="L4939" s="1035" t="str">
        <f t="shared" si="1729"/>
        <v/>
      </c>
      <c r="S4939" s="498"/>
      <c r="AJ4939" s="498"/>
      <c r="AM4939" s="498">
        <f t="shared" si="1710"/>
        <v>0</v>
      </c>
      <c r="AN4939" s="498">
        <f t="shared" si="1711"/>
        <v>0</v>
      </c>
      <c r="AO4939" s="498">
        <f t="shared" si="1712"/>
        <v>0</v>
      </c>
      <c r="AP4939" s="498">
        <f t="shared" si="1709"/>
        <v>0</v>
      </c>
      <c r="AQ4939" s="498">
        <f t="shared" si="1726"/>
        <v>0</v>
      </c>
      <c r="AU4939" s="498">
        <f t="shared" si="1713"/>
        <v>0</v>
      </c>
      <c r="AV4939" s="498">
        <f t="shared" si="1714"/>
        <v>0</v>
      </c>
      <c r="AW4939" s="498">
        <f t="shared" si="1715"/>
        <v>0</v>
      </c>
      <c r="AX4939" s="498">
        <f t="shared" si="1716"/>
        <v>0</v>
      </c>
      <c r="AY4939" s="498">
        <f t="shared" si="1717"/>
        <v>0</v>
      </c>
      <c r="BB4939" s="498" t="str">
        <f t="shared" si="1718"/>
        <v/>
      </c>
      <c r="BC4939" s="743" t="str">
        <f t="shared" si="1719"/>
        <v/>
      </c>
      <c r="BD4939" s="743" t="str">
        <f t="shared" si="1720"/>
        <v/>
      </c>
      <c r="BE4939" s="743" t="str">
        <f>IF(D4939="","",VLOOKUP(D4939,'General Basis'!$J$39:$K$46,2,0))</f>
        <v/>
      </c>
      <c r="BF4939" s="744" t="str">
        <f>IF(D4939="","",VLOOKUP(D4939,'General Basis'!$J$39:$L$46,3,0))</f>
        <v/>
      </c>
      <c r="BG4939" s="744" t="str">
        <f t="shared" si="1727"/>
        <v/>
      </c>
      <c r="BH4939" s="744" t="str">
        <f>IF(G4939="","",IF(BF4939="Abu Dhabi",IF(G4939&lt;18,'General Basis'!$C$39,IF(G4939&lt;41,'General Basis'!$C$40,IF(G4939&lt;60,'General Basis'!$C$41,IF(G4939&lt;65,'General Basis'!$C$42,'General Basis'!$C$43)))),IF(G4939&lt;11,'General Basis'!$B$39,IF(G4939&lt;18,'General Basis'!$B$40,IF(G4939&lt;26,'General Basis'!$B$41,IF(G4939&lt;31,'General Basis'!$B$42,IF(G4939&lt;36,'General Basis'!$B$43,IF(G4939&lt;41,'General Basis'!$B$44,IF(G4939&lt;46,'General Basis'!$B$45,IF(G4939&lt;51,'General Basis'!$B$46,IF(G4939&lt;56,'General Basis'!$B$47,IF(G4939&lt;60,'General Basis'!$B$48,IF(G4939&lt;65,'General Basis'!$B$49,'General Basis'!$B$50)))))))))))))</f>
        <v/>
      </c>
      <c r="BI4939" s="744" t="str">
        <f t="shared" si="1721"/>
        <v/>
      </c>
      <c r="BJ4939" s="747" t="str">
        <f t="shared" si="1728"/>
        <v/>
      </c>
      <c r="BK4939" s="498" t="str">
        <f t="shared" si="1722"/>
        <v/>
      </c>
      <c r="BL4939" s="498" t="str">
        <f t="shared" si="1723"/>
        <v/>
      </c>
    </row>
    <row r="4940" spans="1:64" x14ac:dyDescent="0.25">
      <c r="A4940" s="762">
        <f t="shared" si="1724"/>
        <v>4935</v>
      </c>
      <c r="B4940" s="229"/>
      <c r="C4940" s="223"/>
      <c r="D4940" s="224"/>
      <c r="E4940" s="225"/>
      <c r="F4940" s="1036" t="str">
        <f t="shared" si="1708"/>
        <v/>
      </c>
      <c r="G4940" s="1037" t="str">
        <f t="shared" si="1725"/>
        <v/>
      </c>
      <c r="H4940" s="225"/>
      <c r="I4940" s="1013"/>
      <c r="J4940" s="1013"/>
      <c r="K4940" s="1028"/>
      <c r="L4940" s="1035" t="str">
        <f t="shared" si="1729"/>
        <v/>
      </c>
      <c r="S4940" s="498"/>
      <c r="AJ4940" s="498"/>
      <c r="AM4940" s="498">
        <f t="shared" si="1710"/>
        <v>0</v>
      </c>
      <c r="AN4940" s="498">
        <f t="shared" si="1711"/>
        <v>0</v>
      </c>
      <c r="AO4940" s="498">
        <f t="shared" si="1712"/>
        <v>0</v>
      </c>
      <c r="AP4940" s="498">
        <f t="shared" si="1709"/>
        <v>0</v>
      </c>
      <c r="AQ4940" s="498">
        <f t="shared" si="1726"/>
        <v>0</v>
      </c>
      <c r="AU4940" s="498">
        <f t="shared" si="1713"/>
        <v>0</v>
      </c>
      <c r="AV4940" s="498">
        <f t="shared" si="1714"/>
        <v>0</v>
      </c>
      <c r="AW4940" s="498">
        <f t="shared" si="1715"/>
        <v>0</v>
      </c>
      <c r="AX4940" s="498">
        <f t="shared" si="1716"/>
        <v>0</v>
      </c>
      <c r="AY4940" s="498">
        <f t="shared" si="1717"/>
        <v>0</v>
      </c>
      <c r="BB4940" s="498" t="str">
        <f t="shared" si="1718"/>
        <v/>
      </c>
      <c r="BC4940" s="743" t="str">
        <f t="shared" si="1719"/>
        <v/>
      </c>
      <c r="BD4940" s="743" t="str">
        <f t="shared" si="1720"/>
        <v/>
      </c>
      <c r="BE4940" s="743" t="str">
        <f>IF(D4940="","",VLOOKUP(D4940,'General Basis'!$J$39:$K$46,2,0))</f>
        <v/>
      </c>
      <c r="BF4940" s="744" t="str">
        <f>IF(D4940="","",VLOOKUP(D4940,'General Basis'!$J$39:$L$46,3,0))</f>
        <v/>
      </c>
      <c r="BG4940" s="744" t="str">
        <f t="shared" si="1727"/>
        <v/>
      </c>
      <c r="BH4940" s="744" t="str">
        <f>IF(G4940="","",IF(BF4940="Abu Dhabi",IF(G4940&lt;18,'General Basis'!$C$39,IF(G4940&lt;41,'General Basis'!$C$40,IF(G4940&lt;60,'General Basis'!$C$41,IF(G4940&lt;65,'General Basis'!$C$42,'General Basis'!$C$43)))),IF(G4940&lt;11,'General Basis'!$B$39,IF(G4940&lt;18,'General Basis'!$B$40,IF(G4940&lt;26,'General Basis'!$B$41,IF(G4940&lt;31,'General Basis'!$B$42,IF(G4940&lt;36,'General Basis'!$B$43,IF(G4940&lt;41,'General Basis'!$B$44,IF(G4940&lt;46,'General Basis'!$B$45,IF(G4940&lt;51,'General Basis'!$B$46,IF(G4940&lt;56,'General Basis'!$B$47,IF(G4940&lt;60,'General Basis'!$B$48,IF(G4940&lt;65,'General Basis'!$B$49,'General Basis'!$B$50)))))))))))))</f>
        <v/>
      </c>
      <c r="BI4940" s="744" t="str">
        <f t="shared" si="1721"/>
        <v/>
      </c>
      <c r="BJ4940" s="747" t="str">
        <f t="shared" si="1728"/>
        <v/>
      </c>
      <c r="BK4940" s="498" t="str">
        <f t="shared" si="1722"/>
        <v/>
      </c>
      <c r="BL4940" s="498" t="str">
        <f t="shared" si="1723"/>
        <v/>
      </c>
    </row>
    <row r="4941" spans="1:64" x14ac:dyDescent="0.25">
      <c r="A4941" s="762">
        <f t="shared" si="1724"/>
        <v>4936</v>
      </c>
      <c r="B4941" s="229"/>
      <c r="C4941" s="223"/>
      <c r="D4941" s="224"/>
      <c r="E4941" s="225"/>
      <c r="F4941" s="1036" t="str">
        <f t="shared" si="1708"/>
        <v/>
      </c>
      <c r="G4941" s="1037" t="str">
        <f t="shared" si="1725"/>
        <v/>
      </c>
      <c r="H4941" s="225"/>
      <c r="I4941" s="1013"/>
      <c r="J4941" s="1013"/>
      <c r="K4941" s="1028"/>
      <c r="L4941" s="1035" t="str">
        <f t="shared" si="1729"/>
        <v/>
      </c>
      <c r="S4941" s="498"/>
      <c r="AJ4941" s="498"/>
      <c r="AM4941" s="498">
        <f t="shared" si="1710"/>
        <v>0</v>
      </c>
      <c r="AN4941" s="498">
        <f t="shared" si="1711"/>
        <v>0</v>
      </c>
      <c r="AO4941" s="498">
        <f t="shared" si="1712"/>
        <v>0</v>
      </c>
      <c r="AP4941" s="498">
        <f t="shared" si="1709"/>
        <v>0</v>
      </c>
      <c r="AQ4941" s="498">
        <f t="shared" si="1726"/>
        <v>0</v>
      </c>
      <c r="AU4941" s="498">
        <f t="shared" si="1713"/>
        <v>0</v>
      </c>
      <c r="AV4941" s="498">
        <f t="shared" si="1714"/>
        <v>0</v>
      </c>
      <c r="AW4941" s="498">
        <f t="shared" si="1715"/>
        <v>0</v>
      </c>
      <c r="AX4941" s="498">
        <f t="shared" si="1716"/>
        <v>0</v>
      </c>
      <c r="AY4941" s="498">
        <f t="shared" si="1717"/>
        <v>0</v>
      </c>
      <c r="BB4941" s="498" t="str">
        <f t="shared" si="1718"/>
        <v/>
      </c>
      <c r="BC4941" s="743" t="str">
        <f t="shared" si="1719"/>
        <v/>
      </c>
      <c r="BD4941" s="743" t="str">
        <f t="shared" si="1720"/>
        <v/>
      </c>
      <c r="BE4941" s="743" t="str">
        <f>IF(D4941="","",VLOOKUP(D4941,'General Basis'!$J$39:$K$46,2,0))</f>
        <v/>
      </c>
      <c r="BF4941" s="744" t="str">
        <f>IF(D4941="","",VLOOKUP(D4941,'General Basis'!$J$39:$L$46,3,0))</f>
        <v/>
      </c>
      <c r="BG4941" s="744" t="str">
        <f t="shared" si="1727"/>
        <v/>
      </c>
      <c r="BH4941" s="744" t="str">
        <f>IF(G4941="","",IF(BF4941="Abu Dhabi",IF(G4941&lt;18,'General Basis'!$C$39,IF(G4941&lt;41,'General Basis'!$C$40,IF(G4941&lt;60,'General Basis'!$C$41,IF(G4941&lt;65,'General Basis'!$C$42,'General Basis'!$C$43)))),IF(G4941&lt;11,'General Basis'!$B$39,IF(G4941&lt;18,'General Basis'!$B$40,IF(G4941&lt;26,'General Basis'!$B$41,IF(G4941&lt;31,'General Basis'!$B$42,IF(G4941&lt;36,'General Basis'!$B$43,IF(G4941&lt;41,'General Basis'!$B$44,IF(G4941&lt;46,'General Basis'!$B$45,IF(G4941&lt;51,'General Basis'!$B$46,IF(G4941&lt;56,'General Basis'!$B$47,IF(G4941&lt;60,'General Basis'!$B$48,IF(G4941&lt;65,'General Basis'!$B$49,'General Basis'!$B$50)))))))))))))</f>
        <v/>
      </c>
      <c r="BI4941" s="744" t="str">
        <f t="shared" si="1721"/>
        <v/>
      </c>
      <c r="BJ4941" s="747" t="str">
        <f t="shared" si="1728"/>
        <v/>
      </c>
      <c r="BK4941" s="498" t="str">
        <f t="shared" si="1722"/>
        <v/>
      </c>
      <c r="BL4941" s="498" t="str">
        <f t="shared" si="1723"/>
        <v/>
      </c>
    </row>
    <row r="4942" spans="1:64" x14ac:dyDescent="0.25">
      <c r="A4942" s="762">
        <f t="shared" si="1724"/>
        <v>4937</v>
      </c>
      <c r="B4942" s="229"/>
      <c r="C4942" s="223"/>
      <c r="D4942" s="224"/>
      <c r="E4942" s="225"/>
      <c r="F4942" s="1036" t="str">
        <f t="shared" si="1708"/>
        <v/>
      </c>
      <c r="G4942" s="1037" t="str">
        <f t="shared" si="1725"/>
        <v/>
      </c>
      <c r="H4942" s="225"/>
      <c r="I4942" s="1013"/>
      <c r="J4942" s="1013"/>
      <c r="K4942" s="1028"/>
      <c r="L4942" s="1035" t="str">
        <f t="shared" si="1729"/>
        <v/>
      </c>
      <c r="S4942" s="498"/>
      <c r="AJ4942" s="498"/>
      <c r="AM4942" s="498">
        <f t="shared" si="1710"/>
        <v>0</v>
      </c>
      <c r="AN4942" s="498">
        <f t="shared" si="1711"/>
        <v>0</v>
      </c>
      <c r="AO4942" s="498">
        <f t="shared" si="1712"/>
        <v>0</v>
      </c>
      <c r="AP4942" s="498">
        <f t="shared" si="1709"/>
        <v>0</v>
      </c>
      <c r="AQ4942" s="498">
        <f t="shared" si="1726"/>
        <v>0</v>
      </c>
      <c r="AU4942" s="498">
        <f t="shared" si="1713"/>
        <v>0</v>
      </c>
      <c r="AV4942" s="498">
        <f t="shared" si="1714"/>
        <v>0</v>
      </c>
      <c r="AW4942" s="498">
        <f t="shared" si="1715"/>
        <v>0</v>
      </c>
      <c r="AX4942" s="498">
        <f t="shared" si="1716"/>
        <v>0</v>
      </c>
      <c r="AY4942" s="498">
        <f t="shared" si="1717"/>
        <v>0</v>
      </c>
      <c r="BB4942" s="498" t="str">
        <f t="shared" si="1718"/>
        <v/>
      </c>
      <c r="BC4942" s="743" t="str">
        <f t="shared" si="1719"/>
        <v/>
      </c>
      <c r="BD4942" s="743" t="str">
        <f t="shared" si="1720"/>
        <v/>
      </c>
      <c r="BE4942" s="743" t="str">
        <f>IF(D4942="","",VLOOKUP(D4942,'General Basis'!$J$39:$K$46,2,0))</f>
        <v/>
      </c>
      <c r="BF4942" s="744" t="str">
        <f>IF(D4942="","",VLOOKUP(D4942,'General Basis'!$J$39:$L$46,3,0))</f>
        <v/>
      </c>
      <c r="BG4942" s="744" t="str">
        <f t="shared" si="1727"/>
        <v/>
      </c>
      <c r="BH4942" s="744" t="str">
        <f>IF(G4942="","",IF(BF4942="Abu Dhabi",IF(G4942&lt;18,'General Basis'!$C$39,IF(G4942&lt;41,'General Basis'!$C$40,IF(G4942&lt;60,'General Basis'!$C$41,IF(G4942&lt;65,'General Basis'!$C$42,'General Basis'!$C$43)))),IF(G4942&lt;11,'General Basis'!$B$39,IF(G4942&lt;18,'General Basis'!$B$40,IF(G4942&lt;26,'General Basis'!$B$41,IF(G4942&lt;31,'General Basis'!$B$42,IF(G4942&lt;36,'General Basis'!$B$43,IF(G4942&lt;41,'General Basis'!$B$44,IF(G4942&lt;46,'General Basis'!$B$45,IF(G4942&lt;51,'General Basis'!$B$46,IF(G4942&lt;56,'General Basis'!$B$47,IF(G4942&lt;60,'General Basis'!$B$48,IF(G4942&lt;65,'General Basis'!$B$49,'General Basis'!$B$50)))))))))))))</f>
        <v/>
      </c>
      <c r="BI4942" s="744" t="str">
        <f t="shared" si="1721"/>
        <v/>
      </c>
      <c r="BJ4942" s="747" t="str">
        <f t="shared" si="1728"/>
        <v/>
      </c>
      <c r="BK4942" s="498" t="str">
        <f t="shared" si="1722"/>
        <v/>
      </c>
      <c r="BL4942" s="498" t="str">
        <f t="shared" si="1723"/>
        <v/>
      </c>
    </row>
    <row r="4943" spans="1:64" x14ac:dyDescent="0.25">
      <c r="A4943" s="762">
        <f t="shared" si="1724"/>
        <v>4938</v>
      </c>
      <c r="B4943" s="229"/>
      <c r="C4943" s="223"/>
      <c r="D4943" s="224"/>
      <c r="E4943" s="225"/>
      <c r="F4943" s="1036" t="str">
        <f t="shared" si="1708"/>
        <v/>
      </c>
      <c r="G4943" s="1037" t="str">
        <f t="shared" si="1725"/>
        <v/>
      </c>
      <c r="H4943" s="225"/>
      <c r="I4943" s="1013"/>
      <c r="J4943" s="1013"/>
      <c r="K4943" s="1028"/>
      <c r="L4943" s="1035" t="str">
        <f t="shared" si="1729"/>
        <v/>
      </c>
      <c r="S4943" s="498"/>
      <c r="AJ4943" s="498"/>
      <c r="AM4943" s="498">
        <f t="shared" si="1710"/>
        <v>0</v>
      </c>
      <c r="AN4943" s="498">
        <f t="shared" si="1711"/>
        <v>0</v>
      </c>
      <c r="AO4943" s="498">
        <f t="shared" si="1712"/>
        <v>0</v>
      </c>
      <c r="AP4943" s="498">
        <f t="shared" si="1709"/>
        <v>0</v>
      </c>
      <c r="AQ4943" s="498">
        <f t="shared" si="1726"/>
        <v>0</v>
      </c>
      <c r="AU4943" s="498">
        <f t="shared" si="1713"/>
        <v>0</v>
      </c>
      <c r="AV4943" s="498">
        <f t="shared" si="1714"/>
        <v>0</v>
      </c>
      <c r="AW4943" s="498">
        <f t="shared" si="1715"/>
        <v>0</v>
      </c>
      <c r="AX4943" s="498">
        <f t="shared" si="1716"/>
        <v>0</v>
      </c>
      <c r="AY4943" s="498">
        <f t="shared" si="1717"/>
        <v>0</v>
      </c>
      <c r="BB4943" s="498" t="str">
        <f t="shared" si="1718"/>
        <v/>
      </c>
      <c r="BC4943" s="743" t="str">
        <f t="shared" si="1719"/>
        <v/>
      </c>
      <c r="BD4943" s="743" t="str">
        <f t="shared" si="1720"/>
        <v/>
      </c>
      <c r="BE4943" s="743" t="str">
        <f>IF(D4943="","",VLOOKUP(D4943,'General Basis'!$J$39:$K$46,2,0))</f>
        <v/>
      </c>
      <c r="BF4943" s="744" t="str">
        <f>IF(D4943="","",VLOOKUP(D4943,'General Basis'!$J$39:$L$46,3,0))</f>
        <v/>
      </c>
      <c r="BG4943" s="744" t="str">
        <f t="shared" si="1727"/>
        <v/>
      </c>
      <c r="BH4943" s="744" t="str">
        <f>IF(G4943="","",IF(BF4943="Abu Dhabi",IF(G4943&lt;18,'General Basis'!$C$39,IF(G4943&lt;41,'General Basis'!$C$40,IF(G4943&lt;60,'General Basis'!$C$41,IF(G4943&lt;65,'General Basis'!$C$42,'General Basis'!$C$43)))),IF(G4943&lt;11,'General Basis'!$B$39,IF(G4943&lt;18,'General Basis'!$B$40,IF(G4943&lt;26,'General Basis'!$B$41,IF(G4943&lt;31,'General Basis'!$B$42,IF(G4943&lt;36,'General Basis'!$B$43,IF(G4943&lt;41,'General Basis'!$B$44,IF(G4943&lt;46,'General Basis'!$B$45,IF(G4943&lt;51,'General Basis'!$B$46,IF(G4943&lt;56,'General Basis'!$B$47,IF(G4943&lt;60,'General Basis'!$B$48,IF(G4943&lt;65,'General Basis'!$B$49,'General Basis'!$B$50)))))))))))))</f>
        <v/>
      </c>
      <c r="BI4943" s="744" t="str">
        <f t="shared" si="1721"/>
        <v/>
      </c>
      <c r="BJ4943" s="747" t="str">
        <f t="shared" si="1728"/>
        <v/>
      </c>
      <c r="BK4943" s="498" t="str">
        <f t="shared" si="1722"/>
        <v/>
      </c>
      <c r="BL4943" s="498" t="str">
        <f t="shared" si="1723"/>
        <v/>
      </c>
    </row>
    <row r="4944" spans="1:64" x14ac:dyDescent="0.25">
      <c r="A4944" s="762">
        <f t="shared" si="1724"/>
        <v>4939</v>
      </c>
      <c r="B4944" s="229"/>
      <c r="C4944" s="223"/>
      <c r="D4944" s="224"/>
      <c r="E4944" s="225"/>
      <c r="F4944" s="1036" t="str">
        <f t="shared" ref="F4944:F5007" si="1730">IF(C4944="","",IF($B4944="","",((YEAR($F$3)-YEAR($B4944))+(MONTH($F$3)-MONTH($B4944))/12+(DAY($F$3)-DAY($B4944))/(DATE(YEAR($F$3),12,31)-DATE(YEAR($F$3),1,1)+1))))</f>
        <v/>
      </c>
      <c r="G4944" s="1037" t="str">
        <f t="shared" si="1725"/>
        <v/>
      </c>
      <c r="H4944" s="225"/>
      <c r="I4944" s="1013"/>
      <c r="J4944" s="1013"/>
      <c r="K4944" s="1028"/>
      <c r="L4944" s="1035" t="str">
        <f t="shared" si="1729"/>
        <v/>
      </c>
      <c r="S4944" s="498"/>
      <c r="AJ4944" s="498"/>
      <c r="AM4944" s="498">
        <f t="shared" si="1710"/>
        <v>0</v>
      </c>
      <c r="AN4944" s="498">
        <f t="shared" si="1711"/>
        <v>0</v>
      </c>
      <c r="AO4944" s="498">
        <f t="shared" si="1712"/>
        <v>0</v>
      </c>
      <c r="AP4944" s="498">
        <f t="shared" si="1709"/>
        <v>0</v>
      </c>
      <c r="AQ4944" s="498">
        <f t="shared" si="1726"/>
        <v>0</v>
      </c>
      <c r="AU4944" s="498">
        <f t="shared" si="1713"/>
        <v>0</v>
      </c>
      <c r="AV4944" s="498">
        <f t="shared" si="1714"/>
        <v>0</v>
      </c>
      <c r="AW4944" s="498">
        <f t="shared" si="1715"/>
        <v>0</v>
      </c>
      <c r="AX4944" s="498">
        <f t="shared" si="1716"/>
        <v>0</v>
      </c>
      <c r="AY4944" s="498">
        <f t="shared" si="1717"/>
        <v>0</v>
      </c>
      <c r="BB4944" s="498" t="str">
        <f t="shared" si="1718"/>
        <v/>
      </c>
      <c r="BC4944" s="743" t="str">
        <f t="shared" si="1719"/>
        <v/>
      </c>
      <c r="BD4944" s="743" t="str">
        <f t="shared" si="1720"/>
        <v/>
      </c>
      <c r="BE4944" s="743" t="str">
        <f>IF(D4944="","",VLOOKUP(D4944,'General Basis'!$J$39:$K$46,2,0))</f>
        <v/>
      </c>
      <c r="BF4944" s="744" t="str">
        <f>IF(D4944="","",VLOOKUP(D4944,'General Basis'!$J$39:$L$46,3,0))</f>
        <v/>
      </c>
      <c r="BG4944" s="744" t="str">
        <f t="shared" si="1727"/>
        <v/>
      </c>
      <c r="BH4944" s="744" t="str">
        <f>IF(G4944="","",IF(BF4944="Abu Dhabi",IF(G4944&lt;18,'General Basis'!$C$39,IF(G4944&lt;41,'General Basis'!$C$40,IF(G4944&lt;60,'General Basis'!$C$41,IF(G4944&lt;65,'General Basis'!$C$42,'General Basis'!$C$43)))),IF(G4944&lt;11,'General Basis'!$B$39,IF(G4944&lt;18,'General Basis'!$B$40,IF(G4944&lt;26,'General Basis'!$B$41,IF(G4944&lt;31,'General Basis'!$B$42,IF(G4944&lt;36,'General Basis'!$B$43,IF(G4944&lt;41,'General Basis'!$B$44,IF(G4944&lt;46,'General Basis'!$B$45,IF(G4944&lt;51,'General Basis'!$B$46,IF(G4944&lt;56,'General Basis'!$B$47,IF(G4944&lt;60,'General Basis'!$B$48,IF(G4944&lt;65,'General Basis'!$B$49,'General Basis'!$B$50)))))))))))))</f>
        <v/>
      </c>
      <c r="BI4944" s="744" t="str">
        <f t="shared" si="1721"/>
        <v/>
      </c>
      <c r="BJ4944" s="747" t="str">
        <f t="shared" si="1728"/>
        <v/>
      </c>
      <c r="BK4944" s="498" t="str">
        <f t="shared" si="1722"/>
        <v/>
      </c>
      <c r="BL4944" s="498" t="str">
        <f t="shared" si="1723"/>
        <v/>
      </c>
    </row>
    <row r="4945" spans="1:64" x14ac:dyDescent="0.25">
      <c r="A4945" s="762">
        <f t="shared" si="1724"/>
        <v>4940</v>
      </c>
      <c r="B4945" s="229"/>
      <c r="C4945" s="223"/>
      <c r="D4945" s="224"/>
      <c r="E4945" s="225"/>
      <c r="F4945" s="1036" t="str">
        <f t="shared" si="1730"/>
        <v/>
      </c>
      <c r="G4945" s="1037" t="str">
        <f t="shared" si="1725"/>
        <v/>
      </c>
      <c r="H4945" s="225"/>
      <c r="I4945" s="1013"/>
      <c r="J4945" s="1013"/>
      <c r="K4945" s="1028"/>
      <c r="L4945" s="1035" t="str">
        <f t="shared" si="1729"/>
        <v/>
      </c>
      <c r="S4945" s="498"/>
      <c r="AJ4945" s="498"/>
      <c r="AM4945" s="498">
        <f t="shared" si="1710"/>
        <v>0</v>
      </c>
      <c r="AN4945" s="498">
        <f t="shared" si="1711"/>
        <v>0</v>
      </c>
      <c r="AO4945" s="498">
        <f t="shared" si="1712"/>
        <v>0</v>
      </c>
      <c r="AP4945" s="498">
        <f t="shared" si="1709"/>
        <v>0</v>
      </c>
      <c r="AQ4945" s="498">
        <f t="shared" si="1726"/>
        <v>0</v>
      </c>
      <c r="AU4945" s="498">
        <f t="shared" si="1713"/>
        <v>0</v>
      </c>
      <c r="AV4945" s="498">
        <f t="shared" si="1714"/>
        <v>0</v>
      </c>
      <c r="AW4945" s="498">
        <f t="shared" si="1715"/>
        <v>0</v>
      </c>
      <c r="AX4945" s="498">
        <f t="shared" si="1716"/>
        <v>0</v>
      </c>
      <c r="AY4945" s="498">
        <f t="shared" si="1717"/>
        <v>0</v>
      </c>
      <c r="BB4945" s="498" t="str">
        <f t="shared" si="1718"/>
        <v/>
      </c>
      <c r="BC4945" s="743" t="str">
        <f t="shared" si="1719"/>
        <v/>
      </c>
      <c r="BD4945" s="743" t="str">
        <f t="shared" si="1720"/>
        <v/>
      </c>
      <c r="BE4945" s="743" t="str">
        <f>IF(D4945="","",VLOOKUP(D4945,'General Basis'!$J$39:$K$46,2,0))</f>
        <v/>
      </c>
      <c r="BF4945" s="744" t="str">
        <f>IF(D4945="","",VLOOKUP(D4945,'General Basis'!$J$39:$L$46,3,0))</f>
        <v/>
      </c>
      <c r="BG4945" s="744" t="str">
        <f t="shared" si="1727"/>
        <v/>
      </c>
      <c r="BH4945" s="744" t="str">
        <f>IF(G4945="","",IF(BF4945="Abu Dhabi",IF(G4945&lt;18,'General Basis'!$C$39,IF(G4945&lt;41,'General Basis'!$C$40,IF(G4945&lt;60,'General Basis'!$C$41,IF(G4945&lt;65,'General Basis'!$C$42,'General Basis'!$C$43)))),IF(G4945&lt;11,'General Basis'!$B$39,IF(G4945&lt;18,'General Basis'!$B$40,IF(G4945&lt;26,'General Basis'!$B$41,IF(G4945&lt;31,'General Basis'!$B$42,IF(G4945&lt;36,'General Basis'!$B$43,IF(G4945&lt;41,'General Basis'!$B$44,IF(G4945&lt;46,'General Basis'!$B$45,IF(G4945&lt;51,'General Basis'!$B$46,IF(G4945&lt;56,'General Basis'!$B$47,IF(G4945&lt;60,'General Basis'!$B$48,IF(G4945&lt;65,'General Basis'!$B$49,'General Basis'!$B$50)))))))))))))</f>
        <v/>
      </c>
      <c r="BI4945" s="744" t="str">
        <f t="shared" si="1721"/>
        <v/>
      </c>
      <c r="BJ4945" s="747" t="str">
        <f t="shared" si="1728"/>
        <v/>
      </c>
      <c r="BK4945" s="498" t="str">
        <f t="shared" si="1722"/>
        <v/>
      </c>
      <c r="BL4945" s="498" t="str">
        <f t="shared" si="1723"/>
        <v/>
      </c>
    </row>
    <row r="4946" spans="1:64" x14ac:dyDescent="0.25">
      <c r="A4946" s="762">
        <f t="shared" si="1724"/>
        <v>4941</v>
      </c>
      <c r="B4946" s="229"/>
      <c r="C4946" s="223"/>
      <c r="D4946" s="224"/>
      <c r="E4946" s="225"/>
      <c r="F4946" s="1036" t="str">
        <f t="shared" si="1730"/>
        <v/>
      </c>
      <c r="G4946" s="1037" t="str">
        <f t="shared" si="1725"/>
        <v/>
      </c>
      <c r="H4946" s="225"/>
      <c r="I4946" s="1013"/>
      <c r="J4946" s="1013"/>
      <c r="K4946" s="1028"/>
      <c r="L4946" s="1035" t="str">
        <f t="shared" si="1729"/>
        <v/>
      </c>
      <c r="S4946" s="498"/>
      <c r="AJ4946" s="498"/>
      <c r="AM4946" s="498">
        <f t="shared" si="1710"/>
        <v>0</v>
      </c>
      <c r="AN4946" s="498">
        <f t="shared" si="1711"/>
        <v>0</v>
      </c>
      <c r="AO4946" s="498">
        <f t="shared" si="1712"/>
        <v>0</v>
      </c>
      <c r="AP4946" s="498">
        <f t="shared" si="1709"/>
        <v>0</v>
      </c>
      <c r="AQ4946" s="498">
        <f t="shared" si="1726"/>
        <v>0</v>
      </c>
      <c r="AU4946" s="498">
        <f t="shared" si="1713"/>
        <v>0</v>
      </c>
      <c r="AV4946" s="498">
        <f t="shared" si="1714"/>
        <v>0</v>
      </c>
      <c r="AW4946" s="498">
        <f t="shared" si="1715"/>
        <v>0</v>
      </c>
      <c r="AX4946" s="498">
        <f t="shared" si="1716"/>
        <v>0</v>
      </c>
      <c r="AY4946" s="498">
        <f t="shared" si="1717"/>
        <v>0</v>
      </c>
      <c r="BB4946" s="498" t="str">
        <f t="shared" si="1718"/>
        <v/>
      </c>
      <c r="BC4946" s="743" t="str">
        <f t="shared" si="1719"/>
        <v/>
      </c>
      <c r="BD4946" s="743" t="str">
        <f t="shared" si="1720"/>
        <v/>
      </c>
      <c r="BE4946" s="743" t="str">
        <f>IF(D4946="","",VLOOKUP(D4946,'General Basis'!$J$39:$K$46,2,0))</f>
        <v/>
      </c>
      <c r="BF4946" s="744" t="str">
        <f>IF(D4946="","",VLOOKUP(D4946,'General Basis'!$J$39:$L$46,3,0))</f>
        <v/>
      </c>
      <c r="BG4946" s="744" t="str">
        <f t="shared" si="1727"/>
        <v/>
      </c>
      <c r="BH4946" s="744" t="str">
        <f>IF(G4946="","",IF(BF4946="Abu Dhabi",IF(G4946&lt;18,'General Basis'!$C$39,IF(G4946&lt;41,'General Basis'!$C$40,IF(G4946&lt;60,'General Basis'!$C$41,IF(G4946&lt;65,'General Basis'!$C$42,'General Basis'!$C$43)))),IF(G4946&lt;11,'General Basis'!$B$39,IF(G4946&lt;18,'General Basis'!$B$40,IF(G4946&lt;26,'General Basis'!$B$41,IF(G4946&lt;31,'General Basis'!$B$42,IF(G4946&lt;36,'General Basis'!$B$43,IF(G4946&lt;41,'General Basis'!$B$44,IF(G4946&lt;46,'General Basis'!$B$45,IF(G4946&lt;51,'General Basis'!$B$46,IF(G4946&lt;56,'General Basis'!$B$47,IF(G4946&lt;60,'General Basis'!$B$48,IF(G4946&lt;65,'General Basis'!$B$49,'General Basis'!$B$50)))))))))))))</f>
        <v/>
      </c>
      <c r="BI4946" s="744" t="str">
        <f t="shared" si="1721"/>
        <v/>
      </c>
      <c r="BJ4946" s="747" t="str">
        <f t="shared" si="1728"/>
        <v/>
      </c>
      <c r="BK4946" s="498" t="str">
        <f t="shared" si="1722"/>
        <v/>
      </c>
      <c r="BL4946" s="498" t="str">
        <f t="shared" si="1723"/>
        <v/>
      </c>
    </row>
    <row r="4947" spans="1:64" x14ac:dyDescent="0.25">
      <c r="A4947" s="762">
        <f t="shared" si="1724"/>
        <v>4942</v>
      </c>
      <c r="B4947" s="229"/>
      <c r="C4947" s="223"/>
      <c r="D4947" s="224"/>
      <c r="E4947" s="225"/>
      <c r="F4947" s="1036" t="str">
        <f t="shared" si="1730"/>
        <v/>
      </c>
      <c r="G4947" s="1037" t="str">
        <f t="shared" si="1725"/>
        <v/>
      </c>
      <c r="H4947" s="225"/>
      <c r="I4947" s="1013"/>
      <c r="J4947" s="1013"/>
      <c r="K4947" s="1028"/>
      <c r="L4947" s="1035" t="str">
        <f t="shared" si="1729"/>
        <v/>
      </c>
      <c r="S4947" s="498"/>
      <c r="AJ4947" s="498"/>
      <c r="AM4947" s="498">
        <f t="shared" si="1710"/>
        <v>0</v>
      </c>
      <c r="AN4947" s="498">
        <f t="shared" si="1711"/>
        <v>0</v>
      </c>
      <c r="AO4947" s="498">
        <f t="shared" si="1712"/>
        <v>0</v>
      </c>
      <c r="AP4947" s="498">
        <f t="shared" ref="AP4947:AP5010" si="1731">IF(ISBLANK($B4947),0,IF(OR($C4947="M",$C4947="F"),0,1))</f>
        <v>0</v>
      </c>
      <c r="AQ4947" s="498">
        <f t="shared" si="1726"/>
        <v>0</v>
      </c>
      <c r="AU4947" s="498">
        <f t="shared" si="1713"/>
        <v>0</v>
      </c>
      <c r="AV4947" s="498">
        <f t="shared" si="1714"/>
        <v>0</v>
      </c>
      <c r="AW4947" s="498">
        <f t="shared" si="1715"/>
        <v>0</v>
      </c>
      <c r="AX4947" s="498">
        <f t="shared" si="1716"/>
        <v>0</v>
      </c>
      <c r="AY4947" s="498">
        <f t="shared" si="1717"/>
        <v>0</v>
      </c>
      <c r="BB4947" s="498" t="str">
        <f t="shared" si="1718"/>
        <v/>
      </c>
      <c r="BC4947" s="743" t="str">
        <f t="shared" si="1719"/>
        <v/>
      </c>
      <c r="BD4947" s="743" t="str">
        <f t="shared" si="1720"/>
        <v/>
      </c>
      <c r="BE4947" s="743" t="str">
        <f>IF(D4947="","",VLOOKUP(D4947,'General Basis'!$J$39:$K$46,2,0))</f>
        <v/>
      </c>
      <c r="BF4947" s="744" t="str">
        <f>IF(D4947="","",VLOOKUP(D4947,'General Basis'!$J$39:$L$46,3,0))</f>
        <v/>
      </c>
      <c r="BG4947" s="744" t="str">
        <f t="shared" si="1727"/>
        <v/>
      </c>
      <c r="BH4947" s="744" t="str">
        <f>IF(G4947="","",IF(BF4947="Abu Dhabi",IF(G4947&lt;18,'General Basis'!$C$39,IF(G4947&lt;41,'General Basis'!$C$40,IF(G4947&lt;60,'General Basis'!$C$41,IF(G4947&lt;65,'General Basis'!$C$42,'General Basis'!$C$43)))),IF(G4947&lt;11,'General Basis'!$B$39,IF(G4947&lt;18,'General Basis'!$B$40,IF(G4947&lt;26,'General Basis'!$B$41,IF(G4947&lt;31,'General Basis'!$B$42,IF(G4947&lt;36,'General Basis'!$B$43,IF(G4947&lt;41,'General Basis'!$B$44,IF(G4947&lt;46,'General Basis'!$B$45,IF(G4947&lt;51,'General Basis'!$B$46,IF(G4947&lt;56,'General Basis'!$B$47,IF(G4947&lt;60,'General Basis'!$B$48,IF(G4947&lt;65,'General Basis'!$B$49,'General Basis'!$B$50)))))))))))))</f>
        <v/>
      </c>
      <c r="BI4947" s="744" t="str">
        <f t="shared" si="1721"/>
        <v/>
      </c>
      <c r="BJ4947" s="747" t="str">
        <f t="shared" si="1728"/>
        <v/>
      </c>
      <c r="BK4947" s="498" t="str">
        <f t="shared" si="1722"/>
        <v/>
      </c>
      <c r="BL4947" s="498" t="str">
        <f t="shared" si="1723"/>
        <v/>
      </c>
    </row>
    <row r="4948" spans="1:64" x14ac:dyDescent="0.25">
      <c r="A4948" s="762">
        <f t="shared" si="1724"/>
        <v>4943</v>
      </c>
      <c r="B4948" s="229"/>
      <c r="C4948" s="223"/>
      <c r="D4948" s="224"/>
      <c r="E4948" s="225"/>
      <c r="F4948" s="1036" t="str">
        <f t="shared" si="1730"/>
        <v/>
      </c>
      <c r="G4948" s="1037" t="str">
        <f t="shared" si="1725"/>
        <v/>
      </c>
      <c r="H4948" s="225"/>
      <c r="I4948" s="1013"/>
      <c r="J4948" s="1013"/>
      <c r="K4948" s="1028"/>
      <c r="L4948" s="1035" t="str">
        <f t="shared" si="1729"/>
        <v/>
      </c>
      <c r="S4948" s="498"/>
      <c r="AJ4948" s="498"/>
      <c r="AM4948" s="498">
        <f t="shared" si="1710"/>
        <v>0</v>
      </c>
      <c r="AN4948" s="498">
        <f t="shared" si="1711"/>
        <v>0</v>
      </c>
      <c r="AO4948" s="498">
        <f t="shared" si="1712"/>
        <v>0</v>
      </c>
      <c r="AP4948" s="498">
        <f t="shared" si="1731"/>
        <v>0</v>
      </c>
      <c r="AQ4948" s="498">
        <f t="shared" si="1726"/>
        <v>0</v>
      </c>
      <c r="AU4948" s="498">
        <f t="shared" si="1713"/>
        <v>0</v>
      </c>
      <c r="AV4948" s="498">
        <f t="shared" si="1714"/>
        <v>0</v>
      </c>
      <c r="AW4948" s="498">
        <f t="shared" si="1715"/>
        <v>0</v>
      </c>
      <c r="AX4948" s="498">
        <f t="shared" si="1716"/>
        <v>0</v>
      </c>
      <c r="AY4948" s="498">
        <f t="shared" si="1717"/>
        <v>0</v>
      </c>
      <c r="BB4948" s="498" t="str">
        <f t="shared" si="1718"/>
        <v/>
      </c>
      <c r="BC4948" s="743" t="str">
        <f t="shared" si="1719"/>
        <v/>
      </c>
      <c r="BD4948" s="743" t="str">
        <f t="shared" si="1720"/>
        <v/>
      </c>
      <c r="BE4948" s="743" t="str">
        <f>IF(D4948="","",VLOOKUP(D4948,'General Basis'!$J$39:$K$46,2,0))</f>
        <v/>
      </c>
      <c r="BF4948" s="744" t="str">
        <f>IF(D4948="","",VLOOKUP(D4948,'General Basis'!$J$39:$L$46,3,0))</f>
        <v/>
      </c>
      <c r="BG4948" s="744" t="str">
        <f t="shared" si="1727"/>
        <v/>
      </c>
      <c r="BH4948" s="744" t="str">
        <f>IF(G4948="","",IF(BF4948="Abu Dhabi",IF(G4948&lt;18,'General Basis'!$C$39,IF(G4948&lt;41,'General Basis'!$C$40,IF(G4948&lt;60,'General Basis'!$C$41,IF(G4948&lt;65,'General Basis'!$C$42,'General Basis'!$C$43)))),IF(G4948&lt;11,'General Basis'!$B$39,IF(G4948&lt;18,'General Basis'!$B$40,IF(G4948&lt;26,'General Basis'!$B$41,IF(G4948&lt;31,'General Basis'!$B$42,IF(G4948&lt;36,'General Basis'!$B$43,IF(G4948&lt;41,'General Basis'!$B$44,IF(G4948&lt;46,'General Basis'!$B$45,IF(G4948&lt;51,'General Basis'!$B$46,IF(G4948&lt;56,'General Basis'!$B$47,IF(G4948&lt;60,'General Basis'!$B$48,IF(G4948&lt;65,'General Basis'!$B$49,'General Basis'!$B$50)))))))))))))</f>
        <v/>
      </c>
      <c r="BI4948" s="744" t="str">
        <f t="shared" si="1721"/>
        <v/>
      </c>
      <c r="BJ4948" s="747" t="str">
        <f t="shared" si="1728"/>
        <v/>
      </c>
      <c r="BK4948" s="498" t="str">
        <f t="shared" si="1722"/>
        <v/>
      </c>
      <c r="BL4948" s="498" t="str">
        <f t="shared" si="1723"/>
        <v/>
      </c>
    </row>
    <row r="4949" spans="1:64" x14ac:dyDescent="0.25">
      <c r="A4949" s="762">
        <f t="shared" si="1724"/>
        <v>4944</v>
      </c>
      <c r="B4949" s="229"/>
      <c r="C4949" s="223"/>
      <c r="D4949" s="224"/>
      <c r="E4949" s="225"/>
      <c r="F4949" s="1036" t="str">
        <f t="shared" si="1730"/>
        <v/>
      </c>
      <c r="G4949" s="1037" t="str">
        <f t="shared" si="1725"/>
        <v/>
      </c>
      <c r="H4949" s="225"/>
      <c r="I4949" s="1013"/>
      <c r="J4949" s="1013"/>
      <c r="K4949" s="1028"/>
      <c r="L4949" s="1035" t="str">
        <f t="shared" si="1729"/>
        <v/>
      </c>
      <c r="S4949" s="498"/>
      <c r="AJ4949" s="498"/>
      <c r="AM4949" s="498">
        <f t="shared" si="1710"/>
        <v>0</v>
      </c>
      <c r="AN4949" s="498">
        <f t="shared" si="1711"/>
        <v>0</v>
      </c>
      <c r="AO4949" s="498">
        <f t="shared" si="1712"/>
        <v>0</v>
      </c>
      <c r="AP4949" s="498">
        <f t="shared" si="1731"/>
        <v>0</v>
      </c>
      <c r="AQ4949" s="498">
        <f t="shared" si="1726"/>
        <v>0</v>
      </c>
      <c r="AU4949" s="498">
        <f t="shared" si="1713"/>
        <v>0</v>
      </c>
      <c r="AV4949" s="498">
        <f t="shared" si="1714"/>
        <v>0</v>
      </c>
      <c r="AW4949" s="498">
        <f t="shared" si="1715"/>
        <v>0</v>
      </c>
      <c r="AX4949" s="498">
        <f t="shared" si="1716"/>
        <v>0</v>
      </c>
      <c r="AY4949" s="498">
        <f t="shared" si="1717"/>
        <v>0</v>
      </c>
      <c r="BB4949" s="498" t="str">
        <f t="shared" si="1718"/>
        <v/>
      </c>
      <c r="BC4949" s="743" t="str">
        <f t="shared" si="1719"/>
        <v/>
      </c>
      <c r="BD4949" s="743" t="str">
        <f t="shared" si="1720"/>
        <v/>
      </c>
      <c r="BE4949" s="743" t="str">
        <f>IF(D4949="","",VLOOKUP(D4949,'General Basis'!$J$39:$K$46,2,0))</f>
        <v/>
      </c>
      <c r="BF4949" s="744" t="str">
        <f>IF(D4949="","",VLOOKUP(D4949,'General Basis'!$J$39:$L$46,3,0))</f>
        <v/>
      </c>
      <c r="BG4949" s="744" t="str">
        <f t="shared" si="1727"/>
        <v/>
      </c>
      <c r="BH4949" s="744" t="str">
        <f>IF(G4949="","",IF(BF4949="Abu Dhabi",IF(G4949&lt;18,'General Basis'!$C$39,IF(G4949&lt;41,'General Basis'!$C$40,IF(G4949&lt;60,'General Basis'!$C$41,IF(G4949&lt;65,'General Basis'!$C$42,'General Basis'!$C$43)))),IF(G4949&lt;11,'General Basis'!$B$39,IF(G4949&lt;18,'General Basis'!$B$40,IF(G4949&lt;26,'General Basis'!$B$41,IF(G4949&lt;31,'General Basis'!$B$42,IF(G4949&lt;36,'General Basis'!$B$43,IF(G4949&lt;41,'General Basis'!$B$44,IF(G4949&lt;46,'General Basis'!$B$45,IF(G4949&lt;51,'General Basis'!$B$46,IF(G4949&lt;56,'General Basis'!$B$47,IF(G4949&lt;60,'General Basis'!$B$48,IF(G4949&lt;65,'General Basis'!$B$49,'General Basis'!$B$50)))))))))))))</f>
        <v/>
      </c>
      <c r="BI4949" s="744" t="str">
        <f t="shared" si="1721"/>
        <v/>
      </c>
      <c r="BJ4949" s="747" t="str">
        <f t="shared" si="1728"/>
        <v/>
      </c>
      <c r="BK4949" s="498" t="str">
        <f t="shared" si="1722"/>
        <v/>
      </c>
      <c r="BL4949" s="498" t="str">
        <f t="shared" si="1723"/>
        <v/>
      </c>
    </row>
    <row r="4950" spans="1:64" x14ac:dyDescent="0.25">
      <c r="A4950" s="762">
        <f t="shared" si="1724"/>
        <v>4945</v>
      </c>
      <c r="B4950" s="229"/>
      <c r="C4950" s="223"/>
      <c r="D4950" s="224"/>
      <c r="E4950" s="225"/>
      <c r="F4950" s="1036" t="str">
        <f t="shared" si="1730"/>
        <v/>
      </c>
      <c r="G4950" s="1037" t="str">
        <f t="shared" si="1725"/>
        <v/>
      </c>
      <c r="H4950" s="225"/>
      <c r="I4950" s="1013"/>
      <c r="J4950" s="1013"/>
      <c r="K4950" s="1028"/>
      <c r="L4950" s="1035" t="str">
        <f t="shared" si="1729"/>
        <v/>
      </c>
      <c r="S4950" s="498"/>
      <c r="AJ4950" s="498"/>
      <c r="AM4950" s="498">
        <f t="shared" si="1710"/>
        <v>0</v>
      </c>
      <c r="AN4950" s="498">
        <f t="shared" si="1711"/>
        <v>0</v>
      </c>
      <c r="AO4950" s="498">
        <f t="shared" si="1712"/>
        <v>0</v>
      </c>
      <c r="AP4950" s="498">
        <f t="shared" si="1731"/>
        <v>0</v>
      </c>
      <c r="AQ4950" s="498">
        <f t="shared" si="1726"/>
        <v>0</v>
      </c>
      <c r="AU4950" s="498">
        <f t="shared" si="1713"/>
        <v>0</v>
      </c>
      <c r="AV4950" s="498">
        <f t="shared" si="1714"/>
        <v>0</v>
      </c>
      <c r="AW4950" s="498">
        <f t="shared" si="1715"/>
        <v>0</v>
      </c>
      <c r="AX4950" s="498">
        <f t="shared" si="1716"/>
        <v>0</v>
      </c>
      <c r="AY4950" s="498">
        <f t="shared" si="1717"/>
        <v>0</v>
      </c>
      <c r="BB4950" s="498" t="str">
        <f t="shared" si="1718"/>
        <v/>
      </c>
      <c r="BC4950" s="743" t="str">
        <f t="shared" si="1719"/>
        <v/>
      </c>
      <c r="BD4950" s="743" t="str">
        <f t="shared" si="1720"/>
        <v/>
      </c>
      <c r="BE4950" s="743" t="str">
        <f>IF(D4950="","",VLOOKUP(D4950,'General Basis'!$J$39:$K$46,2,0))</f>
        <v/>
      </c>
      <c r="BF4950" s="744" t="str">
        <f>IF(D4950="","",VLOOKUP(D4950,'General Basis'!$J$39:$L$46,3,0))</f>
        <v/>
      </c>
      <c r="BG4950" s="744" t="str">
        <f t="shared" si="1727"/>
        <v/>
      </c>
      <c r="BH4950" s="744" t="str">
        <f>IF(G4950="","",IF(BF4950="Abu Dhabi",IF(G4950&lt;18,'General Basis'!$C$39,IF(G4950&lt;41,'General Basis'!$C$40,IF(G4950&lt;60,'General Basis'!$C$41,IF(G4950&lt;65,'General Basis'!$C$42,'General Basis'!$C$43)))),IF(G4950&lt;11,'General Basis'!$B$39,IF(G4950&lt;18,'General Basis'!$B$40,IF(G4950&lt;26,'General Basis'!$B$41,IF(G4950&lt;31,'General Basis'!$B$42,IF(G4950&lt;36,'General Basis'!$B$43,IF(G4950&lt;41,'General Basis'!$B$44,IF(G4950&lt;46,'General Basis'!$B$45,IF(G4950&lt;51,'General Basis'!$B$46,IF(G4950&lt;56,'General Basis'!$B$47,IF(G4950&lt;60,'General Basis'!$B$48,IF(G4950&lt;65,'General Basis'!$B$49,'General Basis'!$B$50)))))))))))))</f>
        <v/>
      </c>
      <c r="BI4950" s="744" t="str">
        <f t="shared" si="1721"/>
        <v/>
      </c>
      <c r="BJ4950" s="747" t="str">
        <f t="shared" si="1728"/>
        <v/>
      </c>
      <c r="BK4950" s="498" t="str">
        <f t="shared" si="1722"/>
        <v/>
      </c>
      <c r="BL4950" s="498" t="str">
        <f t="shared" si="1723"/>
        <v/>
      </c>
    </row>
    <row r="4951" spans="1:64" x14ac:dyDescent="0.25">
      <c r="A4951" s="762">
        <f t="shared" si="1724"/>
        <v>4946</v>
      </c>
      <c r="B4951" s="229"/>
      <c r="C4951" s="223"/>
      <c r="D4951" s="224"/>
      <c r="E4951" s="225"/>
      <c r="F4951" s="1036" t="str">
        <f t="shared" si="1730"/>
        <v/>
      </c>
      <c r="G4951" s="1037" t="str">
        <f t="shared" si="1725"/>
        <v/>
      </c>
      <c r="H4951" s="225"/>
      <c r="I4951" s="1013"/>
      <c r="J4951" s="1013"/>
      <c r="K4951" s="1028"/>
      <c r="L4951" s="1035" t="str">
        <f t="shared" si="1729"/>
        <v/>
      </c>
      <c r="S4951" s="498"/>
      <c r="AJ4951" s="498"/>
      <c r="AM4951" s="498">
        <f t="shared" si="1710"/>
        <v>0</v>
      </c>
      <c r="AN4951" s="498">
        <f t="shared" si="1711"/>
        <v>0</v>
      </c>
      <c r="AO4951" s="498">
        <f t="shared" si="1712"/>
        <v>0</v>
      </c>
      <c r="AP4951" s="498">
        <f t="shared" si="1731"/>
        <v>0</v>
      </c>
      <c r="AQ4951" s="498">
        <f t="shared" si="1726"/>
        <v>0</v>
      </c>
      <c r="AU4951" s="498">
        <f t="shared" si="1713"/>
        <v>0</v>
      </c>
      <c r="AV4951" s="498">
        <f t="shared" si="1714"/>
        <v>0</v>
      </c>
      <c r="AW4951" s="498">
        <f t="shared" si="1715"/>
        <v>0</v>
      </c>
      <c r="AX4951" s="498">
        <f t="shared" si="1716"/>
        <v>0</v>
      </c>
      <c r="AY4951" s="498">
        <f t="shared" si="1717"/>
        <v>0</v>
      </c>
      <c r="BB4951" s="498" t="str">
        <f t="shared" si="1718"/>
        <v/>
      </c>
      <c r="BC4951" s="743" t="str">
        <f t="shared" si="1719"/>
        <v/>
      </c>
      <c r="BD4951" s="743" t="str">
        <f t="shared" si="1720"/>
        <v/>
      </c>
      <c r="BE4951" s="743" t="str">
        <f>IF(D4951="","",VLOOKUP(D4951,'General Basis'!$J$39:$K$46,2,0))</f>
        <v/>
      </c>
      <c r="BF4951" s="744" t="str">
        <f>IF(D4951="","",VLOOKUP(D4951,'General Basis'!$J$39:$L$46,3,0))</f>
        <v/>
      </c>
      <c r="BG4951" s="744" t="str">
        <f t="shared" si="1727"/>
        <v/>
      </c>
      <c r="BH4951" s="744" t="str">
        <f>IF(G4951="","",IF(BF4951="Abu Dhabi",IF(G4951&lt;18,'General Basis'!$C$39,IF(G4951&lt;41,'General Basis'!$C$40,IF(G4951&lt;60,'General Basis'!$C$41,IF(G4951&lt;65,'General Basis'!$C$42,'General Basis'!$C$43)))),IF(G4951&lt;11,'General Basis'!$B$39,IF(G4951&lt;18,'General Basis'!$B$40,IF(G4951&lt;26,'General Basis'!$B$41,IF(G4951&lt;31,'General Basis'!$B$42,IF(G4951&lt;36,'General Basis'!$B$43,IF(G4951&lt;41,'General Basis'!$B$44,IF(G4951&lt;46,'General Basis'!$B$45,IF(G4951&lt;51,'General Basis'!$B$46,IF(G4951&lt;56,'General Basis'!$B$47,IF(G4951&lt;60,'General Basis'!$B$48,IF(G4951&lt;65,'General Basis'!$B$49,'General Basis'!$B$50)))))))))))))</f>
        <v/>
      </c>
      <c r="BI4951" s="744" t="str">
        <f t="shared" si="1721"/>
        <v/>
      </c>
      <c r="BJ4951" s="747" t="str">
        <f t="shared" si="1728"/>
        <v/>
      </c>
      <c r="BK4951" s="498" t="str">
        <f t="shared" si="1722"/>
        <v/>
      </c>
      <c r="BL4951" s="498" t="str">
        <f t="shared" si="1723"/>
        <v/>
      </c>
    </row>
    <row r="4952" spans="1:64" x14ac:dyDescent="0.25">
      <c r="A4952" s="762">
        <f t="shared" si="1724"/>
        <v>4947</v>
      </c>
      <c r="B4952" s="229"/>
      <c r="C4952" s="223"/>
      <c r="D4952" s="224"/>
      <c r="E4952" s="225"/>
      <c r="F4952" s="1036" t="str">
        <f t="shared" si="1730"/>
        <v/>
      </c>
      <c r="G4952" s="1037" t="str">
        <f t="shared" si="1725"/>
        <v/>
      </c>
      <c r="H4952" s="225"/>
      <c r="I4952" s="1013"/>
      <c r="J4952" s="1013"/>
      <c r="K4952" s="1028"/>
      <c r="L4952" s="1035" t="str">
        <f t="shared" si="1729"/>
        <v/>
      </c>
      <c r="S4952" s="498"/>
      <c r="AJ4952" s="498"/>
      <c r="AM4952" s="498">
        <f t="shared" si="1710"/>
        <v>0</v>
      </c>
      <c r="AN4952" s="498">
        <f t="shared" si="1711"/>
        <v>0</v>
      </c>
      <c r="AO4952" s="498">
        <f t="shared" si="1712"/>
        <v>0</v>
      </c>
      <c r="AP4952" s="498">
        <f t="shared" si="1731"/>
        <v>0</v>
      </c>
      <c r="AQ4952" s="498">
        <f t="shared" si="1726"/>
        <v>0</v>
      </c>
      <c r="AU4952" s="498">
        <f t="shared" si="1713"/>
        <v>0</v>
      </c>
      <c r="AV4952" s="498">
        <f t="shared" si="1714"/>
        <v>0</v>
      </c>
      <c r="AW4952" s="498">
        <f t="shared" si="1715"/>
        <v>0</v>
      </c>
      <c r="AX4952" s="498">
        <f t="shared" si="1716"/>
        <v>0</v>
      </c>
      <c r="AY4952" s="498">
        <f t="shared" si="1717"/>
        <v>0</v>
      </c>
      <c r="BB4952" s="498" t="str">
        <f t="shared" si="1718"/>
        <v/>
      </c>
      <c r="BC4952" s="743" t="str">
        <f t="shared" si="1719"/>
        <v/>
      </c>
      <c r="BD4952" s="743" t="str">
        <f t="shared" si="1720"/>
        <v/>
      </c>
      <c r="BE4952" s="743" t="str">
        <f>IF(D4952="","",VLOOKUP(D4952,'General Basis'!$J$39:$K$46,2,0))</f>
        <v/>
      </c>
      <c r="BF4952" s="744" t="str">
        <f>IF(D4952="","",VLOOKUP(D4952,'General Basis'!$J$39:$L$46,3,0))</f>
        <v/>
      </c>
      <c r="BG4952" s="744" t="str">
        <f t="shared" si="1727"/>
        <v/>
      </c>
      <c r="BH4952" s="744" t="str">
        <f>IF(G4952="","",IF(BF4952="Abu Dhabi",IF(G4952&lt;18,'General Basis'!$C$39,IF(G4952&lt;41,'General Basis'!$C$40,IF(G4952&lt;60,'General Basis'!$C$41,IF(G4952&lt;65,'General Basis'!$C$42,'General Basis'!$C$43)))),IF(G4952&lt;11,'General Basis'!$B$39,IF(G4952&lt;18,'General Basis'!$B$40,IF(G4952&lt;26,'General Basis'!$B$41,IF(G4952&lt;31,'General Basis'!$B$42,IF(G4952&lt;36,'General Basis'!$B$43,IF(G4952&lt;41,'General Basis'!$B$44,IF(G4952&lt;46,'General Basis'!$B$45,IF(G4952&lt;51,'General Basis'!$B$46,IF(G4952&lt;56,'General Basis'!$B$47,IF(G4952&lt;60,'General Basis'!$B$48,IF(G4952&lt;65,'General Basis'!$B$49,'General Basis'!$B$50)))))))))))))</f>
        <v/>
      </c>
      <c r="BI4952" s="744" t="str">
        <f t="shared" si="1721"/>
        <v/>
      </c>
      <c r="BJ4952" s="747" t="str">
        <f t="shared" si="1728"/>
        <v/>
      </c>
      <c r="BK4952" s="498" t="str">
        <f t="shared" si="1722"/>
        <v/>
      </c>
      <c r="BL4952" s="498" t="str">
        <f t="shared" si="1723"/>
        <v/>
      </c>
    </row>
    <row r="4953" spans="1:64" x14ac:dyDescent="0.25">
      <c r="A4953" s="762">
        <f t="shared" si="1724"/>
        <v>4948</v>
      </c>
      <c r="B4953" s="229"/>
      <c r="C4953" s="223"/>
      <c r="D4953" s="224"/>
      <c r="E4953" s="225"/>
      <c r="F4953" s="1036" t="str">
        <f t="shared" si="1730"/>
        <v/>
      </c>
      <c r="G4953" s="1037" t="str">
        <f t="shared" si="1725"/>
        <v/>
      </c>
      <c r="H4953" s="225"/>
      <c r="I4953" s="1013"/>
      <c r="J4953" s="1013"/>
      <c r="K4953" s="1028"/>
      <c r="L4953" s="1035" t="str">
        <f t="shared" si="1729"/>
        <v/>
      </c>
      <c r="S4953" s="498"/>
      <c r="AJ4953" s="498"/>
      <c r="AM4953" s="498">
        <f t="shared" si="1710"/>
        <v>0</v>
      </c>
      <c r="AN4953" s="498">
        <f t="shared" si="1711"/>
        <v>0</v>
      </c>
      <c r="AO4953" s="498">
        <f t="shared" si="1712"/>
        <v>0</v>
      </c>
      <c r="AP4953" s="498">
        <f t="shared" si="1731"/>
        <v>0</v>
      </c>
      <c r="AQ4953" s="498">
        <f t="shared" si="1726"/>
        <v>0</v>
      </c>
      <c r="AU4953" s="498">
        <f t="shared" si="1713"/>
        <v>0</v>
      </c>
      <c r="AV4953" s="498">
        <f t="shared" si="1714"/>
        <v>0</v>
      </c>
      <c r="AW4953" s="498">
        <f t="shared" si="1715"/>
        <v>0</v>
      </c>
      <c r="AX4953" s="498">
        <f t="shared" si="1716"/>
        <v>0</v>
      </c>
      <c r="AY4953" s="498">
        <f t="shared" si="1717"/>
        <v>0</v>
      </c>
      <c r="BB4953" s="498" t="str">
        <f t="shared" si="1718"/>
        <v/>
      </c>
      <c r="BC4953" s="743" t="str">
        <f t="shared" si="1719"/>
        <v/>
      </c>
      <c r="BD4953" s="743" t="str">
        <f t="shared" si="1720"/>
        <v/>
      </c>
      <c r="BE4953" s="743" t="str">
        <f>IF(D4953="","",VLOOKUP(D4953,'General Basis'!$J$39:$K$46,2,0))</f>
        <v/>
      </c>
      <c r="BF4953" s="744" t="str">
        <f>IF(D4953="","",VLOOKUP(D4953,'General Basis'!$J$39:$L$46,3,0))</f>
        <v/>
      </c>
      <c r="BG4953" s="744" t="str">
        <f t="shared" si="1727"/>
        <v/>
      </c>
      <c r="BH4953" s="744" t="str">
        <f>IF(G4953="","",IF(BF4953="Abu Dhabi",IF(G4953&lt;18,'General Basis'!$C$39,IF(G4953&lt;41,'General Basis'!$C$40,IF(G4953&lt;60,'General Basis'!$C$41,IF(G4953&lt;65,'General Basis'!$C$42,'General Basis'!$C$43)))),IF(G4953&lt;11,'General Basis'!$B$39,IF(G4953&lt;18,'General Basis'!$B$40,IF(G4953&lt;26,'General Basis'!$B$41,IF(G4953&lt;31,'General Basis'!$B$42,IF(G4953&lt;36,'General Basis'!$B$43,IF(G4953&lt;41,'General Basis'!$B$44,IF(G4953&lt;46,'General Basis'!$B$45,IF(G4953&lt;51,'General Basis'!$B$46,IF(G4953&lt;56,'General Basis'!$B$47,IF(G4953&lt;60,'General Basis'!$B$48,IF(G4953&lt;65,'General Basis'!$B$49,'General Basis'!$B$50)))))))))))))</f>
        <v/>
      </c>
      <c r="BI4953" s="744" t="str">
        <f t="shared" si="1721"/>
        <v/>
      </c>
      <c r="BJ4953" s="747" t="str">
        <f t="shared" si="1728"/>
        <v/>
      </c>
      <c r="BK4953" s="498" t="str">
        <f t="shared" si="1722"/>
        <v/>
      </c>
      <c r="BL4953" s="498" t="str">
        <f t="shared" si="1723"/>
        <v/>
      </c>
    </row>
    <row r="4954" spans="1:64" x14ac:dyDescent="0.25">
      <c r="A4954" s="762">
        <f t="shared" si="1724"/>
        <v>4949</v>
      </c>
      <c r="B4954" s="229"/>
      <c r="C4954" s="223"/>
      <c r="D4954" s="224"/>
      <c r="E4954" s="225"/>
      <c r="F4954" s="1036" t="str">
        <f t="shared" si="1730"/>
        <v/>
      </c>
      <c r="G4954" s="1037" t="str">
        <f t="shared" si="1725"/>
        <v/>
      </c>
      <c r="H4954" s="225"/>
      <c r="I4954" s="1013"/>
      <c r="J4954" s="1013"/>
      <c r="K4954" s="1028"/>
      <c r="L4954" s="1035" t="str">
        <f t="shared" si="1729"/>
        <v/>
      </c>
      <c r="S4954" s="498"/>
      <c r="AJ4954" s="498"/>
      <c r="AM4954" s="498">
        <f t="shared" si="1710"/>
        <v>0</v>
      </c>
      <c r="AN4954" s="498">
        <f t="shared" si="1711"/>
        <v>0</v>
      </c>
      <c r="AO4954" s="498">
        <f t="shared" si="1712"/>
        <v>0</v>
      </c>
      <c r="AP4954" s="498">
        <f t="shared" si="1731"/>
        <v>0</v>
      </c>
      <c r="AQ4954" s="498">
        <f t="shared" si="1726"/>
        <v>0</v>
      </c>
      <c r="AU4954" s="498">
        <f t="shared" si="1713"/>
        <v>0</v>
      </c>
      <c r="AV4954" s="498">
        <f t="shared" si="1714"/>
        <v>0</v>
      </c>
      <c r="AW4954" s="498">
        <f t="shared" si="1715"/>
        <v>0</v>
      </c>
      <c r="AX4954" s="498">
        <f t="shared" si="1716"/>
        <v>0</v>
      </c>
      <c r="AY4954" s="498">
        <f t="shared" si="1717"/>
        <v>0</v>
      </c>
      <c r="BB4954" s="498" t="str">
        <f t="shared" si="1718"/>
        <v/>
      </c>
      <c r="BC4954" s="743" t="str">
        <f t="shared" si="1719"/>
        <v/>
      </c>
      <c r="BD4954" s="743" t="str">
        <f t="shared" si="1720"/>
        <v/>
      </c>
      <c r="BE4954" s="743" t="str">
        <f>IF(D4954="","",VLOOKUP(D4954,'General Basis'!$J$39:$K$46,2,0))</f>
        <v/>
      </c>
      <c r="BF4954" s="744" t="str">
        <f>IF(D4954="","",VLOOKUP(D4954,'General Basis'!$J$39:$L$46,3,0))</f>
        <v/>
      </c>
      <c r="BG4954" s="744" t="str">
        <f t="shared" si="1727"/>
        <v/>
      </c>
      <c r="BH4954" s="744" t="str">
        <f>IF(G4954="","",IF(BF4954="Abu Dhabi",IF(G4954&lt;18,'General Basis'!$C$39,IF(G4954&lt;41,'General Basis'!$C$40,IF(G4954&lt;60,'General Basis'!$C$41,IF(G4954&lt;65,'General Basis'!$C$42,'General Basis'!$C$43)))),IF(G4954&lt;11,'General Basis'!$B$39,IF(G4954&lt;18,'General Basis'!$B$40,IF(G4954&lt;26,'General Basis'!$B$41,IF(G4954&lt;31,'General Basis'!$B$42,IF(G4954&lt;36,'General Basis'!$B$43,IF(G4954&lt;41,'General Basis'!$B$44,IF(G4954&lt;46,'General Basis'!$B$45,IF(G4954&lt;51,'General Basis'!$B$46,IF(G4954&lt;56,'General Basis'!$B$47,IF(G4954&lt;60,'General Basis'!$B$48,IF(G4954&lt;65,'General Basis'!$B$49,'General Basis'!$B$50)))))))))))))</f>
        <v/>
      </c>
      <c r="BI4954" s="744" t="str">
        <f t="shared" si="1721"/>
        <v/>
      </c>
      <c r="BJ4954" s="747" t="str">
        <f t="shared" si="1728"/>
        <v/>
      </c>
      <c r="BK4954" s="498" t="str">
        <f t="shared" si="1722"/>
        <v/>
      </c>
      <c r="BL4954" s="498" t="str">
        <f t="shared" si="1723"/>
        <v/>
      </c>
    </row>
    <row r="4955" spans="1:64" x14ac:dyDescent="0.25">
      <c r="A4955" s="762">
        <f t="shared" si="1724"/>
        <v>4950</v>
      </c>
      <c r="B4955" s="229"/>
      <c r="C4955" s="223"/>
      <c r="D4955" s="224"/>
      <c r="E4955" s="225"/>
      <c r="F4955" s="1036" t="str">
        <f t="shared" si="1730"/>
        <v/>
      </c>
      <c r="G4955" s="1037" t="str">
        <f t="shared" si="1725"/>
        <v/>
      </c>
      <c r="H4955" s="225"/>
      <c r="I4955" s="1013"/>
      <c r="J4955" s="1013"/>
      <c r="K4955" s="1028"/>
      <c r="L4955" s="1035" t="str">
        <f t="shared" si="1729"/>
        <v/>
      </c>
      <c r="S4955" s="498"/>
      <c r="AJ4955" s="498"/>
      <c r="AM4955" s="498">
        <f t="shared" si="1710"/>
        <v>0</v>
      </c>
      <c r="AN4955" s="498">
        <f t="shared" si="1711"/>
        <v>0</v>
      </c>
      <c r="AO4955" s="498">
        <f t="shared" si="1712"/>
        <v>0</v>
      </c>
      <c r="AP4955" s="498">
        <f t="shared" si="1731"/>
        <v>0</v>
      </c>
      <c r="AQ4955" s="498">
        <f t="shared" si="1726"/>
        <v>0</v>
      </c>
      <c r="AU4955" s="498">
        <f t="shared" si="1713"/>
        <v>0</v>
      </c>
      <c r="AV4955" s="498">
        <f t="shared" si="1714"/>
        <v>0</v>
      </c>
      <c r="AW4955" s="498">
        <f t="shared" si="1715"/>
        <v>0</v>
      </c>
      <c r="AX4955" s="498">
        <f t="shared" si="1716"/>
        <v>0</v>
      </c>
      <c r="AY4955" s="498">
        <f t="shared" si="1717"/>
        <v>0</v>
      </c>
      <c r="BB4955" s="498" t="str">
        <f t="shared" si="1718"/>
        <v/>
      </c>
      <c r="BC4955" s="743" t="str">
        <f t="shared" si="1719"/>
        <v/>
      </c>
      <c r="BD4955" s="743" t="str">
        <f t="shared" si="1720"/>
        <v/>
      </c>
      <c r="BE4955" s="743" t="str">
        <f>IF(D4955="","",VLOOKUP(D4955,'General Basis'!$J$39:$K$46,2,0))</f>
        <v/>
      </c>
      <c r="BF4955" s="744" t="str">
        <f>IF(D4955="","",VLOOKUP(D4955,'General Basis'!$J$39:$L$46,3,0))</f>
        <v/>
      </c>
      <c r="BG4955" s="744" t="str">
        <f t="shared" si="1727"/>
        <v/>
      </c>
      <c r="BH4955" s="744" t="str">
        <f>IF(G4955="","",IF(BF4955="Abu Dhabi",IF(G4955&lt;18,'General Basis'!$C$39,IF(G4955&lt;41,'General Basis'!$C$40,IF(G4955&lt;60,'General Basis'!$C$41,IF(G4955&lt;65,'General Basis'!$C$42,'General Basis'!$C$43)))),IF(G4955&lt;11,'General Basis'!$B$39,IF(G4955&lt;18,'General Basis'!$B$40,IF(G4955&lt;26,'General Basis'!$B$41,IF(G4955&lt;31,'General Basis'!$B$42,IF(G4955&lt;36,'General Basis'!$B$43,IF(G4955&lt;41,'General Basis'!$B$44,IF(G4955&lt;46,'General Basis'!$B$45,IF(G4955&lt;51,'General Basis'!$B$46,IF(G4955&lt;56,'General Basis'!$B$47,IF(G4955&lt;60,'General Basis'!$B$48,IF(G4955&lt;65,'General Basis'!$B$49,'General Basis'!$B$50)))))))))))))</f>
        <v/>
      </c>
      <c r="BI4955" s="744" t="str">
        <f t="shared" si="1721"/>
        <v/>
      </c>
      <c r="BJ4955" s="747" t="str">
        <f t="shared" si="1728"/>
        <v/>
      </c>
      <c r="BK4955" s="498" t="str">
        <f t="shared" si="1722"/>
        <v/>
      </c>
      <c r="BL4955" s="498" t="str">
        <f t="shared" si="1723"/>
        <v/>
      </c>
    </row>
    <row r="4956" spans="1:64" x14ac:dyDescent="0.25">
      <c r="A4956" s="762">
        <f t="shared" si="1724"/>
        <v>4951</v>
      </c>
      <c r="B4956" s="229"/>
      <c r="C4956" s="223"/>
      <c r="D4956" s="224"/>
      <c r="E4956" s="225"/>
      <c r="F4956" s="1036" t="str">
        <f t="shared" si="1730"/>
        <v/>
      </c>
      <c r="G4956" s="1037" t="str">
        <f t="shared" si="1725"/>
        <v/>
      </c>
      <c r="H4956" s="225"/>
      <c r="I4956" s="1013"/>
      <c r="J4956" s="1013"/>
      <c r="K4956" s="1028"/>
      <c r="L4956" s="1035" t="str">
        <f t="shared" si="1729"/>
        <v/>
      </c>
      <c r="S4956" s="498"/>
      <c r="AJ4956" s="498"/>
      <c r="AM4956" s="498">
        <f t="shared" si="1710"/>
        <v>0</v>
      </c>
      <c r="AN4956" s="498">
        <f t="shared" si="1711"/>
        <v>0</v>
      </c>
      <c r="AO4956" s="498">
        <f t="shared" si="1712"/>
        <v>0</v>
      </c>
      <c r="AP4956" s="498">
        <f t="shared" si="1731"/>
        <v>0</v>
      </c>
      <c r="AQ4956" s="498">
        <f t="shared" si="1726"/>
        <v>0</v>
      </c>
      <c r="AU4956" s="498">
        <f t="shared" si="1713"/>
        <v>0</v>
      </c>
      <c r="AV4956" s="498">
        <f t="shared" si="1714"/>
        <v>0</v>
      </c>
      <c r="AW4956" s="498">
        <f t="shared" si="1715"/>
        <v>0</v>
      </c>
      <c r="AX4956" s="498">
        <f t="shared" si="1716"/>
        <v>0</v>
      </c>
      <c r="AY4956" s="498">
        <f t="shared" si="1717"/>
        <v>0</v>
      </c>
      <c r="BB4956" s="498" t="str">
        <f t="shared" si="1718"/>
        <v/>
      </c>
      <c r="BC4956" s="743" t="str">
        <f t="shared" si="1719"/>
        <v/>
      </c>
      <c r="BD4956" s="743" t="str">
        <f t="shared" si="1720"/>
        <v/>
      </c>
      <c r="BE4956" s="743" t="str">
        <f>IF(D4956="","",VLOOKUP(D4956,'General Basis'!$J$39:$K$46,2,0))</f>
        <v/>
      </c>
      <c r="BF4956" s="744" t="str">
        <f>IF(D4956="","",VLOOKUP(D4956,'General Basis'!$J$39:$L$46,3,0))</f>
        <v/>
      </c>
      <c r="BG4956" s="744" t="str">
        <f t="shared" si="1727"/>
        <v/>
      </c>
      <c r="BH4956" s="744" t="str">
        <f>IF(G4956="","",IF(BF4956="Abu Dhabi",IF(G4956&lt;18,'General Basis'!$C$39,IF(G4956&lt;41,'General Basis'!$C$40,IF(G4956&lt;60,'General Basis'!$C$41,IF(G4956&lt;65,'General Basis'!$C$42,'General Basis'!$C$43)))),IF(G4956&lt;11,'General Basis'!$B$39,IF(G4956&lt;18,'General Basis'!$B$40,IF(G4956&lt;26,'General Basis'!$B$41,IF(G4956&lt;31,'General Basis'!$B$42,IF(G4956&lt;36,'General Basis'!$B$43,IF(G4956&lt;41,'General Basis'!$B$44,IF(G4956&lt;46,'General Basis'!$B$45,IF(G4956&lt;51,'General Basis'!$B$46,IF(G4956&lt;56,'General Basis'!$B$47,IF(G4956&lt;60,'General Basis'!$B$48,IF(G4956&lt;65,'General Basis'!$B$49,'General Basis'!$B$50)))))))))))))</f>
        <v/>
      </c>
      <c r="BI4956" s="744" t="str">
        <f t="shared" si="1721"/>
        <v/>
      </c>
      <c r="BJ4956" s="747" t="str">
        <f t="shared" si="1728"/>
        <v/>
      </c>
      <c r="BK4956" s="498" t="str">
        <f t="shared" si="1722"/>
        <v/>
      </c>
      <c r="BL4956" s="498" t="str">
        <f t="shared" si="1723"/>
        <v/>
      </c>
    </row>
    <row r="4957" spans="1:64" x14ac:dyDescent="0.25">
      <c r="A4957" s="762">
        <f t="shared" si="1724"/>
        <v>4952</v>
      </c>
      <c r="B4957" s="229"/>
      <c r="C4957" s="223"/>
      <c r="D4957" s="224"/>
      <c r="E4957" s="225"/>
      <c r="F4957" s="1036" t="str">
        <f t="shared" si="1730"/>
        <v/>
      </c>
      <c r="G4957" s="1037" t="str">
        <f t="shared" si="1725"/>
        <v/>
      </c>
      <c r="H4957" s="225"/>
      <c r="I4957" s="1013"/>
      <c r="J4957" s="1013"/>
      <c r="K4957" s="1028"/>
      <c r="L4957" s="1035" t="str">
        <f t="shared" si="1729"/>
        <v/>
      </c>
      <c r="S4957" s="498"/>
      <c r="AJ4957" s="498"/>
      <c r="AM4957" s="498">
        <f t="shared" si="1710"/>
        <v>0</v>
      </c>
      <c r="AN4957" s="498">
        <f t="shared" si="1711"/>
        <v>0</v>
      </c>
      <c r="AO4957" s="498">
        <f t="shared" si="1712"/>
        <v>0</v>
      </c>
      <c r="AP4957" s="498">
        <f t="shared" si="1731"/>
        <v>0</v>
      </c>
      <c r="AQ4957" s="498">
        <f t="shared" si="1726"/>
        <v>0</v>
      </c>
      <c r="AU4957" s="498">
        <f t="shared" si="1713"/>
        <v>0</v>
      </c>
      <c r="AV4957" s="498">
        <f t="shared" si="1714"/>
        <v>0</v>
      </c>
      <c r="AW4957" s="498">
        <f t="shared" si="1715"/>
        <v>0</v>
      </c>
      <c r="AX4957" s="498">
        <f t="shared" si="1716"/>
        <v>0</v>
      </c>
      <c r="AY4957" s="498">
        <f t="shared" si="1717"/>
        <v>0</v>
      </c>
      <c r="BB4957" s="498" t="str">
        <f t="shared" si="1718"/>
        <v/>
      </c>
      <c r="BC4957" s="743" t="str">
        <f t="shared" si="1719"/>
        <v/>
      </c>
      <c r="BD4957" s="743" t="str">
        <f t="shared" si="1720"/>
        <v/>
      </c>
      <c r="BE4957" s="743" t="str">
        <f>IF(D4957="","",VLOOKUP(D4957,'General Basis'!$J$39:$K$46,2,0))</f>
        <v/>
      </c>
      <c r="BF4957" s="744" t="str">
        <f>IF(D4957="","",VLOOKUP(D4957,'General Basis'!$J$39:$L$46,3,0))</f>
        <v/>
      </c>
      <c r="BG4957" s="744" t="str">
        <f t="shared" si="1727"/>
        <v/>
      </c>
      <c r="BH4957" s="744" t="str">
        <f>IF(G4957="","",IF(BF4957="Abu Dhabi",IF(G4957&lt;18,'General Basis'!$C$39,IF(G4957&lt;41,'General Basis'!$C$40,IF(G4957&lt;60,'General Basis'!$C$41,IF(G4957&lt;65,'General Basis'!$C$42,'General Basis'!$C$43)))),IF(G4957&lt;11,'General Basis'!$B$39,IF(G4957&lt;18,'General Basis'!$B$40,IF(G4957&lt;26,'General Basis'!$B$41,IF(G4957&lt;31,'General Basis'!$B$42,IF(G4957&lt;36,'General Basis'!$B$43,IF(G4957&lt;41,'General Basis'!$B$44,IF(G4957&lt;46,'General Basis'!$B$45,IF(G4957&lt;51,'General Basis'!$B$46,IF(G4957&lt;56,'General Basis'!$B$47,IF(G4957&lt;60,'General Basis'!$B$48,IF(G4957&lt;65,'General Basis'!$B$49,'General Basis'!$B$50)))))))))))))</f>
        <v/>
      </c>
      <c r="BI4957" s="744" t="str">
        <f t="shared" si="1721"/>
        <v/>
      </c>
      <c r="BJ4957" s="747" t="str">
        <f t="shared" si="1728"/>
        <v/>
      </c>
      <c r="BK4957" s="498" t="str">
        <f t="shared" si="1722"/>
        <v/>
      </c>
      <c r="BL4957" s="498" t="str">
        <f t="shared" si="1723"/>
        <v/>
      </c>
    </row>
    <row r="4958" spans="1:64" x14ac:dyDescent="0.25">
      <c r="A4958" s="762">
        <f t="shared" si="1724"/>
        <v>4953</v>
      </c>
      <c r="B4958" s="229"/>
      <c r="C4958" s="223"/>
      <c r="D4958" s="224"/>
      <c r="E4958" s="225"/>
      <c r="F4958" s="1036" t="str">
        <f t="shared" si="1730"/>
        <v/>
      </c>
      <c r="G4958" s="1037" t="str">
        <f t="shared" si="1725"/>
        <v/>
      </c>
      <c r="H4958" s="225"/>
      <c r="I4958" s="1013"/>
      <c r="J4958" s="1013"/>
      <c r="K4958" s="1028"/>
      <c r="L4958" s="1035" t="str">
        <f t="shared" si="1729"/>
        <v/>
      </c>
      <c r="S4958" s="498"/>
      <c r="AJ4958" s="498"/>
      <c r="AM4958" s="498">
        <f t="shared" si="1710"/>
        <v>0</v>
      </c>
      <c r="AN4958" s="498">
        <f t="shared" si="1711"/>
        <v>0</v>
      </c>
      <c r="AO4958" s="498">
        <f t="shared" si="1712"/>
        <v>0</v>
      </c>
      <c r="AP4958" s="498">
        <f t="shared" si="1731"/>
        <v>0</v>
      </c>
      <c r="AQ4958" s="498">
        <f t="shared" si="1726"/>
        <v>0</v>
      </c>
      <c r="AU4958" s="498">
        <f t="shared" si="1713"/>
        <v>0</v>
      </c>
      <c r="AV4958" s="498">
        <f t="shared" si="1714"/>
        <v>0</v>
      </c>
      <c r="AW4958" s="498">
        <f t="shared" si="1715"/>
        <v>0</v>
      </c>
      <c r="AX4958" s="498">
        <f t="shared" si="1716"/>
        <v>0</v>
      </c>
      <c r="AY4958" s="498">
        <f t="shared" si="1717"/>
        <v>0</v>
      </c>
      <c r="BB4958" s="498" t="str">
        <f t="shared" si="1718"/>
        <v/>
      </c>
      <c r="BC4958" s="743" t="str">
        <f t="shared" si="1719"/>
        <v/>
      </c>
      <c r="BD4958" s="743" t="str">
        <f t="shared" si="1720"/>
        <v/>
      </c>
      <c r="BE4958" s="743" t="str">
        <f>IF(D4958="","",VLOOKUP(D4958,'General Basis'!$J$39:$K$46,2,0))</f>
        <v/>
      </c>
      <c r="BF4958" s="744" t="str">
        <f>IF(D4958="","",VLOOKUP(D4958,'General Basis'!$J$39:$L$46,3,0))</f>
        <v/>
      </c>
      <c r="BG4958" s="744" t="str">
        <f t="shared" si="1727"/>
        <v/>
      </c>
      <c r="BH4958" s="744" t="str">
        <f>IF(G4958="","",IF(BF4958="Abu Dhabi",IF(G4958&lt;18,'General Basis'!$C$39,IF(G4958&lt;41,'General Basis'!$C$40,IF(G4958&lt;60,'General Basis'!$C$41,IF(G4958&lt;65,'General Basis'!$C$42,'General Basis'!$C$43)))),IF(G4958&lt;11,'General Basis'!$B$39,IF(G4958&lt;18,'General Basis'!$B$40,IF(G4958&lt;26,'General Basis'!$B$41,IF(G4958&lt;31,'General Basis'!$B$42,IF(G4958&lt;36,'General Basis'!$B$43,IF(G4958&lt;41,'General Basis'!$B$44,IF(G4958&lt;46,'General Basis'!$B$45,IF(G4958&lt;51,'General Basis'!$B$46,IF(G4958&lt;56,'General Basis'!$B$47,IF(G4958&lt;60,'General Basis'!$B$48,IF(G4958&lt;65,'General Basis'!$B$49,'General Basis'!$B$50)))))))))))))</f>
        <v/>
      </c>
      <c r="BI4958" s="744" t="str">
        <f t="shared" si="1721"/>
        <v/>
      </c>
      <c r="BJ4958" s="747" t="str">
        <f t="shared" si="1728"/>
        <v/>
      </c>
      <c r="BK4958" s="498" t="str">
        <f t="shared" si="1722"/>
        <v/>
      </c>
      <c r="BL4958" s="498" t="str">
        <f t="shared" si="1723"/>
        <v/>
      </c>
    </row>
    <row r="4959" spans="1:64" x14ac:dyDescent="0.25">
      <c r="A4959" s="762">
        <f t="shared" si="1724"/>
        <v>4954</v>
      </c>
      <c r="B4959" s="229"/>
      <c r="C4959" s="223"/>
      <c r="D4959" s="224"/>
      <c r="E4959" s="225"/>
      <c r="F4959" s="1036" t="str">
        <f t="shared" si="1730"/>
        <v/>
      </c>
      <c r="G4959" s="1037" t="str">
        <f t="shared" si="1725"/>
        <v/>
      </c>
      <c r="H4959" s="225"/>
      <c r="I4959" s="1013"/>
      <c r="J4959" s="1013"/>
      <c r="K4959" s="1028"/>
      <c r="L4959" s="1035" t="str">
        <f t="shared" si="1729"/>
        <v/>
      </c>
      <c r="S4959" s="498"/>
      <c r="AJ4959" s="498"/>
      <c r="AM4959" s="498">
        <f t="shared" si="1710"/>
        <v>0</v>
      </c>
      <c r="AN4959" s="498">
        <f t="shared" si="1711"/>
        <v>0</v>
      </c>
      <c r="AO4959" s="498">
        <f t="shared" si="1712"/>
        <v>0</v>
      </c>
      <c r="AP4959" s="498">
        <f t="shared" si="1731"/>
        <v>0</v>
      </c>
      <c r="AQ4959" s="498">
        <f t="shared" si="1726"/>
        <v>0</v>
      </c>
      <c r="AU4959" s="498">
        <f t="shared" si="1713"/>
        <v>0</v>
      </c>
      <c r="AV4959" s="498">
        <f t="shared" si="1714"/>
        <v>0</v>
      </c>
      <c r="AW4959" s="498">
        <f t="shared" si="1715"/>
        <v>0</v>
      </c>
      <c r="AX4959" s="498">
        <f t="shared" si="1716"/>
        <v>0</v>
      </c>
      <c r="AY4959" s="498">
        <f t="shared" si="1717"/>
        <v>0</v>
      </c>
      <c r="BB4959" s="498" t="str">
        <f t="shared" si="1718"/>
        <v/>
      </c>
      <c r="BC4959" s="743" t="str">
        <f t="shared" si="1719"/>
        <v/>
      </c>
      <c r="BD4959" s="743" t="str">
        <f t="shared" si="1720"/>
        <v/>
      </c>
      <c r="BE4959" s="743" t="str">
        <f>IF(D4959="","",VLOOKUP(D4959,'General Basis'!$J$39:$K$46,2,0))</f>
        <v/>
      </c>
      <c r="BF4959" s="744" t="str">
        <f>IF(D4959="","",VLOOKUP(D4959,'General Basis'!$J$39:$L$46,3,0))</f>
        <v/>
      </c>
      <c r="BG4959" s="744" t="str">
        <f t="shared" si="1727"/>
        <v/>
      </c>
      <c r="BH4959" s="744" t="str">
        <f>IF(G4959="","",IF(BF4959="Abu Dhabi",IF(G4959&lt;18,'General Basis'!$C$39,IF(G4959&lt;41,'General Basis'!$C$40,IF(G4959&lt;60,'General Basis'!$C$41,IF(G4959&lt;65,'General Basis'!$C$42,'General Basis'!$C$43)))),IF(G4959&lt;11,'General Basis'!$B$39,IF(G4959&lt;18,'General Basis'!$B$40,IF(G4959&lt;26,'General Basis'!$B$41,IF(G4959&lt;31,'General Basis'!$B$42,IF(G4959&lt;36,'General Basis'!$B$43,IF(G4959&lt;41,'General Basis'!$B$44,IF(G4959&lt;46,'General Basis'!$B$45,IF(G4959&lt;51,'General Basis'!$B$46,IF(G4959&lt;56,'General Basis'!$B$47,IF(G4959&lt;60,'General Basis'!$B$48,IF(G4959&lt;65,'General Basis'!$B$49,'General Basis'!$B$50)))))))))))))</f>
        <v/>
      </c>
      <c r="BI4959" s="744" t="str">
        <f t="shared" si="1721"/>
        <v/>
      </c>
      <c r="BJ4959" s="747" t="str">
        <f t="shared" si="1728"/>
        <v/>
      </c>
      <c r="BK4959" s="498" t="str">
        <f t="shared" si="1722"/>
        <v/>
      </c>
      <c r="BL4959" s="498" t="str">
        <f t="shared" si="1723"/>
        <v/>
      </c>
    </row>
    <row r="4960" spans="1:64" x14ac:dyDescent="0.25">
      <c r="A4960" s="762">
        <f t="shared" si="1724"/>
        <v>4955</v>
      </c>
      <c r="B4960" s="229"/>
      <c r="C4960" s="223"/>
      <c r="D4960" s="224"/>
      <c r="E4960" s="225"/>
      <c r="F4960" s="1036" t="str">
        <f t="shared" si="1730"/>
        <v/>
      </c>
      <c r="G4960" s="1037" t="str">
        <f t="shared" si="1725"/>
        <v/>
      </c>
      <c r="H4960" s="225"/>
      <c r="I4960" s="1013"/>
      <c r="J4960" s="1013"/>
      <c r="K4960" s="1028"/>
      <c r="L4960" s="1035" t="str">
        <f t="shared" si="1729"/>
        <v/>
      </c>
      <c r="S4960" s="498"/>
      <c r="AJ4960" s="498"/>
      <c r="AM4960" s="498">
        <f t="shared" si="1710"/>
        <v>0</v>
      </c>
      <c r="AN4960" s="498">
        <f t="shared" si="1711"/>
        <v>0</v>
      </c>
      <c r="AO4960" s="498">
        <f t="shared" si="1712"/>
        <v>0</v>
      </c>
      <c r="AP4960" s="498">
        <f t="shared" si="1731"/>
        <v>0</v>
      </c>
      <c r="AQ4960" s="498">
        <f t="shared" si="1726"/>
        <v>0</v>
      </c>
      <c r="AU4960" s="498">
        <f t="shared" si="1713"/>
        <v>0</v>
      </c>
      <c r="AV4960" s="498">
        <f t="shared" si="1714"/>
        <v>0</v>
      </c>
      <c r="AW4960" s="498">
        <f t="shared" si="1715"/>
        <v>0</v>
      </c>
      <c r="AX4960" s="498">
        <f t="shared" si="1716"/>
        <v>0</v>
      </c>
      <c r="AY4960" s="498">
        <f t="shared" si="1717"/>
        <v>0</v>
      </c>
      <c r="BB4960" s="498" t="str">
        <f t="shared" si="1718"/>
        <v/>
      </c>
      <c r="BC4960" s="743" t="str">
        <f t="shared" si="1719"/>
        <v/>
      </c>
      <c r="BD4960" s="743" t="str">
        <f t="shared" si="1720"/>
        <v/>
      </c>
      <c r="BE4960" s="743" t="str">
        <f>IF(D4960="","",VLOOKUP(D4960,'General Basis'!$J$39:$K$46,2,0))</f>
        <v/>
      </c>
      <c r="BF4960" s="744" t="str">
        <f>IF(D4960="","",VLOOKUP(D4960,'General Basis'!$J$39:$L$46,3,0))</f>
        <v/>
      </c>
      <c r="BG4960" s="744" t="str">
        <f t="shared" si="1727"/>
        <v/>
      </c>
      <c r="BH4960" s="744" t="str">
        <f>IF(G4960="","",IF(BF4960="Abu Dhabi",IF(G4960&lt;18,'General Basis'!$C$39,IF(G4960&lt;41,'General Basis'!$C$40,IF(G4960&lt;60,'General Basis'!$C$41,IF(G4960&lt;65,'General Basis'!$C$42,'General Basis'!$C$43)))),IF(G4960&lt;11,'General Basis'!$B$39,IF(G4960&lt;18,'General Basis'!$B$40,IF(G4960&lt;26,'General Basis'!$B$41,IF(G4960&lt;31,'General Basis'!$B$42,IF(G4960&lt;36,'General Basis'!$B$43,IF(G4960&lt;41,'General Basis'!$B$44,IF(G4960&lt;46,'General Basis'!$B$45,IF(G4960&lt;51,'General Basis'!$B$46,IF(G4960&lt;56,'General Basis'!$B$47,IF(G4960&lt;60,'General Basis'!$B$48,IF(G4960&lt;65,'General Basis'!$B$49,'General Basis'!$B$50)))))))))))))</f>
        <v/>
      </c>
      <c r="BI4960" s="744" t="str">
        <f t="shared" si="1721"/>
        <v/>
      </c>
      <c r="BJ4960" s="747" t="str">
        <f t="shared" si="1728"/>
        <v/>
      </c>
      <c r="BK4960" s="498" t="str">
        <f t="shared" si="1722"/>
        <v/>
      </c>
      <c r="BL4960" s="498" t="str">
        <f t="shared" si="1723"/>
        <v/>
      </c>
    </row>
    <row r="4961" spans="1:64" x14ac:dyDescent="0.25">
      <c r="A4961" s="762">
        <f t="shared" si="1724"/>
        <v>4956</v>
      </c>
      <c r="B4961" s="229"/>
      <c r="C4961" s="223"/>
      <c r="D4961" s="224"/>
      <c r="E4961" s="225"/>
      <c r="F4961" s="1036" t="str">
        <f t="shared" si="1730"/>
        <v/>
      </c>
      <c r="G4961" s="1037" t="str">
        <f t="shared" si="1725"/>
        <v/>
      </c>
      <c r="H4961" s="225"/>
      <c r="I4961" s="1013"/>
      <c r="J4961" s="1013"/>
      <c r="K4961" s="1028"/>
      <c r="L4961" s="1035" t="str">
        <f t="shared" si="1729"/>
        <v/>
      </c>
      <c r="S4961" s="498"/>
      <c r="AJ4961" s="498"/>
      <c r="AM4961" s="498">
        <f t="shared" si="1710"/>
        <v>0</v>
      </c>
      <c r="AN4961" s="498">
        <f t="shared" si="1711"/>
        <v>0</v>
      </c>
      <c r="AO4961" s="498">
        <f t="shared" si="1712"/>
        <v>0</v>
      </c>
      <c r="AP4961" s="498">
        <f t="shared" si="1731"/>
        <v>0</v>
      </c>
      <c r="AQ4961" s="498">
        <f t="shared" si="1726"/>
        <v>0</v>
      </c>
      <c r="AU4961" s="498">
        <f t="shared" si="1713"/>
        <v>0</v>
      </c>
      <c r="AV4961" s="498">
        <f t="shared" si="1714"/>
        <v>0</v>
      </c>
      <c r="AW4961" s="498">
        <f t="shared" si="1715"/>
        <v>0</v>
      </c>
      <c r="AX4961" s="498">
        <f t="shared" si="1716"/>
        <v>0</v>
      </c>
      <c r="AY4961" s="498">
        <f t="shared" si="1717"/>
        <v>0</v>
      </c>
      <c r="BB4961" s="498" t="str">
        <f t="shared" si="1718"/>
        <v/>
      </c>
      <c r="BC4961" s="743" t="str">
        <f t="shared" si="1719"/>
        <v/>
      </c>
      <c r="BD4961" s="743" t="str">
        <f t="shared" si="1720"/>
        <v/>
      </c>
      <c r="BE4961" s="743" t="str">
        <f>IF(D4961="","",VLOOKUP(D4961,'General Basis'!$J$39:$K$46,2,0))</f>
        <v/>
      </c>
      <c r="BF4961" s="744" t="str">
        <f>IF(D4961="","",VLOOKUP(D4961,'General Basis'!$J$39:$L$46,3,0))</f>
        <v/>
      </c>
      <c r="BG4961" s="744" t="str">
        <f t="shared" si="1727"/>
        <v/>
      </c>
      <c r="BH4961" s="744" t="str">
        <f>IF(G4961="","",IF(BF4961="Abu Dhabi",IF(G4961&lt;18,'General Basis'!$C$39,IF(G4961&lt;41,'General Basis'!$C$40,IF(G4961&lt;60,'General Basis'!$C$41,IF(G4961&lt;65,'General Basis'!$C$42,'General Basis'!$C$43)))),IF(G4961&lt;11,'General Basis'!$B$39,IF(G4961&lt;18,'General Basis'!$B$40,IF(G4961&lt;26,'General Basis'!$B$41,IF(G4961&lt;31,'General Basis'!$B$42,IF(G4961&lt;36,'General Basis'!$B$43,IF(G4961&lt;41,'General Basis'!$B$44,IF(G4961&lt;46,'General Basis'!$B$45,IF(G4961&lt;51,'General Basis'!$B$46,IF(G4961&lt;56,'General Basis'!$B$47,IF(G4961&lt;60,'General Basis'!$B$48,IF(G4961&lt;65,'General Basis'!$B$49,'General Basis'!$B$50)))))))))))))</f>
        <v/>
      </c>
      <c r="BI4961" s="744" t="str">
        <f t="shared" si="1721"/>
        <v/>
      </c>
      <c r="BJ4961" s="747" t="str">
        <f t="shared" si="1728"/>
        <v/>
      </c>
      <c r="BK4961" s="498" t="str">
        <f t="shared" si="1722"/>
        <v/>
      </c>
      <c r="BL4961" s="498" t="str">
        <f t="shared" si="1723"/>
        <v/>
      </c>
    </row>
    <row r="4962" spans="1:64" x14ac:dyDescent="0.25">
      <c r="A4962" s="762">
        <f t="shared" si="1724"/>
        <v>4957</v>
      </c>
      <c r="B4962" s="229"/>
      <c r="C4962" s="223"/>
      <c r="D4962" s="224"/>
      <c r="E4962" s="225"/>
      <c r="F4962" s="1036" t="str">
        <f t="shared" si="1730"/>
        <v/>
      </c>
      <c r="G4962" s="1037" t="str">
        <f t="shared" si="1725"/>
        <v/>
      </c>
      <c r="H4962" s="225"/>
      <c r="I4962" s="1013"/>
      <c r="J4962" s="1013"/>
      <c r="K4962" s="1028"/>
      <c r="L4962" s="1035" t="str">
        <f t="shared" si="1729"/>
        <v/>
      </c>
      <c r="S4962" s="498"/>
      <c r="AJ4962" s="498"/>
      <c r="AM4962" s="498">
        <f t="shared" si="1710"/>
        <v>0</v>
      </c>
      <c r="AN4962" s="498">
        <f t="shared" si="1711"/>
        <v>0</v>
      </c>
      <c r="AO4962" s="498">
        <f t="shared" si="1712"/>
        <v>0</v>
      </c>
      <c r="AP4962" s="498">
        <f t="shared" si="1731"/>
        <v>0</v>
      </c>
      <c r="AQ4962" s="498">
        <f t="shared" si="1726"/>
        <v>0</v>
      </c>
      <c r="AU4962" s="498">
        <f t="shared" si="1713"/>
        <v>0</v>
      </c>
      <c r="AV4962" s="498">
        <f t="shared" si="1714"/>
        <v>0</v>
      </c>
      <c r="AW4962" s="498">
        <f t="shared" si="1715"/>
        <v>0</v>
      </c>
      <c r="AX4962" s="498">
        <f t="shared" si="1716"/>
        <v>0</v>
      </c>
      <c r="AY4962" s="498">
        <f t="shared" si="1717"/>
        <v>0</v>
      </c>
      <c r="BB4962" s="498" t="str">
        <f t="shared" si="1718"/>
        <v/>
      </c>
      <c r="BC4962" s="743" t="str">
        <f t="shared" si="1719"/>
        <v/>
      </c>
      <c r="BD4962" s="743" t="str">
        <f t="shared" si="1720"/>
        <v/>
      </c>
      <c r="BE4962" s="743" t="str">
        <f>IF(D4962="","",VLOOKUP(D4962,'General Basis'!$J$39:$K$46,2,0))</f>
        <v/>
      </c>
      <c r="BF4962" s="744" t="str">
        <f>IF(D4962="","",VLOOKUP(D4962,'General Basis'!$J$39:$L$46,3,0))</f>
        <v/>
      </c>
      <c r="BG4962" s="744" t="str">
        <f t="shared" si="1727"/>
        <v/>
      </c>
      <c r="BH4962" s="744" t="str">
        <f>IF(G4962="","",IF(BF4962="Abu Dhabi",IF(G4962&lt;18,'General Basis'!$C$39,IF(G4962&lt;41,'General Basis'!$C$40,IF(G4962&lt;60,'General Basis'!$C$41,IF(G4962&lt;65,'General Basis'!$C$42,'General Basis'!$C$43)))),IF(G4962&lt;11,'General Basis'!$B$39,IF(G4962&lt;18,'General Basis'!$B$40,IF(G4962&lt;26,'General Basis'!$B$41,IF(G4962&lt;31,'General Basis'!$B$42,IF(G4962&lt;36,'General Basis'!$B$43,IF(G4962&lt;41,'General Basis'!$B$44,IF(G4962&lt;46,'General Basis'!$B$45,IF(G4962&lt;51,'General Basis'!$B$46,IF(G4962&lt;56,'General Basis'!$B$47,IF(G4962&lt;60,'General Basis'!$B$48,IF(G4962&lt;65,'General Basis'!$B$49,'General Basis'!$B$50)))))))))))))</f>
        <v/>
      </c>
      <c r="BI4962" s="744" t="str">
        <f t="shared" si="1721"/>
        <v/>
      </c>
      <c r="BJ4962" s="747" t="str">
        <f t="shared" si="1728"/>
        <v/>
      </c>
      <c r="BK4962" s="498" t="str">
        <f t="shared" si="1722"/>
        <v/>
      </c>
      <c r="BL4962" s="498" t="str">
        <f t="shared" si="1723"/>
        <v/>
      </c>
    </row>
    <row r="4963" spans="1:64" x14ac:dyDescent="0.25">
      <c r="A4963" s="762">
        <f t="shared" si="1724"/>
        <v>4958</v>
      </c>
      <c r="B4963" s="229"/>
      <c r="C4963" s="223"/>
      <c r="D4963" s="224"/>
      <c r="E4963" s="225"/>
      <c r="F4963" s="1036" t="str">
        <f t="shared" si="1730"/>
        <v/>
      </c>
      <c r="G4963" s="1037" t="str">
        <f t="shared" si="1725"/>
        <v/>
      </c>
      <c r="H4963" s="225"/>
      <c r="I4963" s="1013"/>
      <c r="J4963" s="1013"/>
      <c r="K4963" s="1028"/>
      <c r="L4963" s="1035" t="str">
        <f t="shared" si="1729"/>
        <v/>
      </c>
      <c r="S4963" s="498"/>
      <c r="AJ4963" s="498"/>
      <c r="AM4963" s="498">
        <f t="shared" si="1710"/>
        <v>0</v>
      </c>
      <c r="AN4963" s="498">
        <f t="shared" si="1711"/>
        <v>0</v>
      </c>
      <c r="AO4963" s="498">
        <f t="shared" si="1712"/>
        <v>0</v>
      </c>
      <c r="AP4963" s="498">
        <f t="shared" si="1731"/>
        <v>0</v>
      </c>
      <c r="AQ4963" s="498">
        <f t="shared" si="1726"/>
        <v>0</v>
      </c>
      <c r="AU4963" s="498">
        <f t="shared" si="1713"/>
        <v>0</v>
      </c>
      <c r="AV4963" s="498">
        <f t="shared" si="1714"/>
        <v>0</v>
      </c>
      <c r="AW4963" s="498">
        <f t="shared" si="1715"/>
        <v>0</v>
      </c>
      <c r="AX4963" s="498">
        <f t="shared" si="1716"/>
        <v>0</v>
      </c>
      <c r="AY4963" s="498">
        <f t="shared" si="1717"/>
        <v>0</v>
      </c>
      <c r="BB4963" s="498" t="str">
        <f t="shared" si="1718"/>
        <v/>
      </c>
      <c r="BC4963" s="743" t="str">
        <f t="shared" si="1719"/>
        <v/>
      </c>
      <c r="BD4963" s="743" t="str">
        <f t="shared" si="1720"/>
        <v/>
      </c>
      <c r="BE4963" s="743" t="str">
        <f>IF(D4963="","",VLOOKUP(D4963,'General Basis'!$J$39:$K$46,2,0))</f>
        <v/>
      </c>
      <c r="BF4963" s="744" t="str">
        <f>IF(D4963="","",VLOOKUP(D4963,'General Basis'!$J$39:$L$46,3,0))</f>
        <v/>
      </c>
      <c r="BG4963" s="744" t="str">
        <f t="shared" si="1727"/>
        <v/>
      </c>
      <c r="BH4963" s="744" t="str">
        <f>IF(G4963="","",IF(BF4963="Abu Dhabi",IF(G4963&lt;18,'General Basis'!$C$39,IF(G4963&lt;41,'General Basis'!$C$40,IF(G4963&lt;60,'General Basis'!$C$41,IF(G4963&lt;65,'General Basis'!$C$42,'General Basis'!$C$43)))),IF(G4963&lt;11,'General Basis'!$B$39,IF(G4963&lt;18,'General Basis'!$B$40,IF(G4963&lt;26,'General Basis'!$B$41,IF(G4963&lt;31,'General Basis'!$B$42,IF(G4963&lt;36,'General Basis'!$B$43,IF(G4963&lt;41,'General Basis'!$B$44,IF(G4963&lt;46,'General Basis'!$B$45,IF(G4963&lt;51,'General Basis'!$B$46,IF(G4963&lt;56,'General Basis'!$B$47,IF(G4963&lt;60,'General Basis'!$B$48,IF(G4963&lt;65,'General Basis'!$B$49,'General Basis'!$B$50)))))))))))))</f>
        <v/>
      </c>
      <c r="BI4963" s="744" t="str">
        <f t="shared" si="1721"/>
        <v/>
      </c>
      <c r="BJ4963" s="747" t="str">
        <f t="shared" si="1728"/>
        <v/>
      </c>
      <c r="BK4963" s="498" t="str">
        <f t="shared" si="1722"/>
        <v/>
      </c>
      <c r="BL4963" s="498" t="str">
        <f t="shared" si="1723"/>
        <v/>
      </c>
    </row>
    <row r="4964" spans="1:64" x14ac:dyDescent="0.25">
      <c r="A4964" s="762">
        <f t="shared" si="1724"/>
        <v>4959</v>
      </c>
      <c r="B4964" s="229"/>
      <c r="C4964" s="223"/>
      <c r="D4964" s="224"/>
      <c r="E4964" s="225"/>
      <c r="F4964" s="1036" t="str">
        <f t="shared" si="1730"/>
        <v/>
      </c>
      <c r="G4964" s="1037" t="str">
        <f t="shared" si="1725"/>
        <v/>
      </c>
      <c r="H4964" s="225"/>
      <c r="I4964" s="1013"/>
      <c r="J4964" s="1013"/>
      <c r="K4964" s="1028"/>
      <c r="L4964" s="1035" t="str">
        <f t="shared" si="1729"/>
        <v/>
      </c>
      <c r="S4964" s="498"/>
      <c r="AJ4964" s="498"/>
      <c r="AM4964" s="498">
        <f t="shared" si="1710"/>
        <v>0</v>
      </c>
      <c r="AN4964" s="498">
        <f t="shared" si="1711"/>
        <v>0</v>
      </c>
      <c r="AO4964" s="498">
        <f t="shared" si="1712"/>
        <v>0</v>
      </c>
      <c r="AP4964" s="498">
        <f t="shared" si="1731"/>
        <v>0</v>
      </c>
      <c r="AQ4964" s="498">
        <f t="shared" si="1726"/>
        <v>0</v>
      </c>
      <c r="AU4964" s="498">
        <f t="shared" si="1713"/>
        <v>0</v>
      </c>
      <c r="AV4964" s="498">
        <f t="shared" si="1714"/>
        <v>0</v>
      </c>
      <c r="AW4964" s="498">
        <f t="shared" si="1715"/>
        <v>0</v>
      </c>
      <c r="AX4964" s="498">
        <f t="shared" si="1716"/>
        <v>0</v>
      </c>
      <c r="AY4964" s="498">
        <f t="shared" si="1717"/>
        <v>0</v>
      </c>
      <c r="BB4964" s="498" t="str">
        <f t="shared" si="1718"/>
        <v/>
      </c>
      <c r="BC4964" s="743" t="str">
        <f t="shared" si="1719"/>
        <v/>
      </c>
      <c r="BD4964" s="743" t="str">
        <f t="shared" si="1720"/>
        <v/>
      </c>
      <c r="BE4964" s="743" t="str">
        <f>IF(D4964="","",VLOOKUP(D4964,'General Basis'!$J$39:$K$46,2,0))</f>
        <v/>
      </c>
      <c r="BF4964" s="744" t="str">
        <f>IF(D4964="","",VLOOKUP(D4964,'General Basis'!$J$39:$L$46,3,0))</f>
        <v/>
      </c>
      <c r="BG4964" s="744" t="str">
        <f t="shared" si="1727"/>
        <v/>
      </c>
      <c r="BH4964" s="744" t="str">
        <f>IF(G4964="","",IF(BF4964="Abu Dhabi",IF(G4964&lt;18,'General Basis'!$C$39,IF(G4964&lt;41,'General Basis'!$C$40,IF(G4964&lt;60,'General Basis'!$C$41,IF(G4964&lt;65,'General Basis'!$C$42,'General Basis'!$C$43)))),IF(G4964&lt;11,'General Basis'!$B$39,IF(G4964&lt;18,'General Basis'!$B$40,IF(G4964&lt;26,'General Basis'!$B$41,IF(G4964&lt;31,'General Basis'!$B$42,IF(G4964&lt;36,'General Basis'!$B$43,IF(G4964&lt;41,'General Basis'!$B$44,IF(G4964&lt;46,'General Basis'!$B$45,IF(G4964&lt;51,'General Basis'!$B$46,IF(G4964&lt;56,'General Basis'!$B$47,IF(G4964&lt;60,'General Basis'!$B$48,IF(G4964&lt;65,'General Basis'!$B$49,'General Basis'!$B$50)))))))))))))</f>
        <v/>
      </c>
      <c r="BI4964" s="744" t="str">
        <f t="shared" si="1721"/>
        <v/>
      </c>
      <c r="BJ4964" s="747" t="str">
        <f t="shared" si="1728"/>
        <v/>
      </c>
      <c r="BK4964" s="498" t="str">
        <f t="shared" si="1722"/>
        <v/>
      </c>
      <c r="BL4964" s="498" t="str">
        <f t="shared" si="1723"/>
        <v/>
      </c>
    </row>
    <row r="4965" spans="1:64" x14ac:dyDescent="0.25">
      <c r="A4965" s="762">
        <f t="shared" si="1724"/>
        <v>4960</v>
      </c>
      <c r="B4965" s="229"/>
      <c r="C4965" s="223"/>
      <c r="D4965" s="224"/>
      <c r="E4965" s="225"/>
      <c r="F4965" s="1036" t="str">
        <f t="shared" si="1730"/>
        <v/>
      </c>
      <c r="G4965" s="1037" t="str">
        <f t="shared" si="1725"/>
        <v/>
      </c>
      <c r="H4965" s="225"/>
      <c r="I4965" s="1013"/>
      <c r="J4965" s="1013"/>
      <c r="K4965" s="1028"/>
      <c r="L4965" s="1035" t="str">
        <f t="shared" si="1729"/>
        <v/>
      </c>
      <c r="S4965" s="498"/>
      <c r="AJ4965" s="498"/>
      <c r="AM4965" s="498">
        <f t="shared" si="1710"/>
        <v>0</v>
      </c>
      <c r="AN4965" s="498">
        <f t="shared" si="1711"/>
        <v>0</v>
      </c>
      <c r="AO4965" s="498">
        <f t="shared" si="1712"/>
        <v>0</v>
      </c>
      <c r="AP4965" s="498">
        <f t="shared" si="1731"/>
        <v>0</v>
      </c>
      <c r="AQ4965" s="498">
        <f t="shared" si="1726"/>
        <v>0</v>
      </c>
      <c r="AU4965" s="498">
        <f t="shared" si="1713"/>
        <v>0</v>
      </c>
      <c r="AV4965" s="498">
        <f t="shared" si="1714"/>
        <v>0</v>
      </c>
      <c r="AW4965" s="498">
        <f t="shared" si="1715"/>
        <v>0</v>
      </c>
      <c r="AX4965" s="498">
        <f t="shared" si="1716"/>
        <v>0</v>
      </c>
      <c r="AY4965" s="498">
        <f t="shared" si="1717"/>
        <v>0</v>
      </c>
      <c r="BB4965" s="498" t="str">
        <f t="shared" si="1718"/>
        <v/>
      </c>
      <c r="BC4965" s="743" t="str">
        <f t="shared" si="1719"/>
        <v/>
      </c>
      <c r="BD4965" s="743" t="str">
        <f t="shared" si="1720"/>
        <v/>
      </c>
      <c r="BE4965" s="743" t="str">
        <f>IF(D4965="","",VLOOKUP(D4965,'General Basis'!$J$39:$K$46,2,0))</f>
        <v/>
      </c>
      <c r="BF4965" s="744" t="str">
        <f>IF(D4965="","",VLOOKUP(D4965,'General Basis'!$J$39:$L$46,3,0))</f>
        <v/>
      </c>
      <c r="BG4965" s="744" t="str">
        <f t="shared" si="1727"/>
        <v/>
      </c>
      <c r="BH4965" s="744" t="str">
        <f>IF(G4965="","",IF(BF4965="Abu Dhabi",IF(G4965&lt;18,'General Basis'!$C$39,IF(G4965&lt;41,'General Basis'!$C$40,IF(G4965&lt;60,'General Basis'!$C$41,IF(G4965&lt;65,'General Basis'!$C$42,'General Basis'!$C$43)))),IF(G4965&lt;11,'General Basis'!$B$39,IF(G4965&lt;18,'General Basis'!$B$40,IF(G4965&lt;26,'General Basis'!$B$41,IF(G4965&lt;31,'General Basis'!$B$42,IF(G4965&lt;36,'General Basis'!$B$43,IF(G4965&lt;41,'General Basis'!$B$44,IF(G4965&lt;46,'General Basis'!$B$45,IF(G4965&lt;51,'General Basis'!$B$46,IF(G4965&lt;56,'General Basis'!$B$47,IF(G4965&lt;60,'General Basis'!$B$48,IF(G4965&lt;65,'General Basis'!$B$49,'General Basis'!$B$50)))))))))))))</f>
        <v/>
      </c>
      <c r="BI4965" s="744" t="str">
        <f t="shared" si="1721"/>
        <v/>
      </c>
      <c r="BJ4965" s="747" t="str">
        <f t="shared" si="1728"/>
        <v/>
      </c>
      <c r="BK4965" s="498" t="str">
        <f t="shared" si="1722"/>
        <v/>
      </c>
      <c r="BL4965" s="498" t="str">
        <f t="shared" si="1723"/>
        <v/>
      </c>
    </row>
    <row r="4966" spans="1:64" x14ac:dyDescent="0.25">
      <c r="A4966" s="762">
        <f t="shared" si="1724"/>
        <v>4961</v>
      </c>
      <c r="B4966" s="229"/>
      <c r="C4966" s="223"/>
      <c r="D4966" s="224"/>
      <c r="E4966" s="225"/>
      <c r="F4966" s="1036" t="str">
        <f t="shared" si="1730"/>
        <v/>
      </c>
      <c r="G4966" s="1037" t="str">
        <f t="shared" si="1725"/>
        <v/>
      </c>
      <c r="H4966" s="225"/>
      <c r="I4966" s="1013"/>
      <c r="J4966" s="1013"/>
      <c r="K4966" s="1028"/>
      <c r="L4966" s="1035" t="str">
        <f t="shared" si="1729"/>
        <v/>
      </c>
      <c r="S4966" s="498"/>
      <c r="AJ4966" s="498"/>
      <c r="AM4966" s="498">
        <f t="shared" si="1710"/>
        <v>0</v>
      </c>
      <c r="AN4966" s="498">
        <f t="shared" si="1711"/>
        <v>0</v>
      </c>
      <c r="AO4966" s="498">
        <f t="shared" si="1712"/>
        <v>0</v>
      </c>
      <c r="AP4966" s="498">
        <f t="shared" si="1731"/>
        <v>0</v>
      </c>
      <c r="AQ4966" s="498">
        <f t="shared" si="1726"/>
        <v>0</v>
      </c>
      <c r="AU4966" s="498">
        <f t="shared" si="1713"/>
        <v>0</v>
      </c>
      <c r="AV4966" s="498">
        <f t="shared" si="1714"/>
        <v>0</v>
      </c>
      <c r="AW4966" s="498">
        <f t="shared" si="1715"/>
        <v>0</v>
      </c>
      <c r="AX4966" s="498">
        <f t="shared" si="1716"/>
        <v>0</v>
      </c>
      <c r="AY4966" s="498">
        <f t="shared" si="1717"/>
        <v>0</v>
      </c>
      <c r="BB4966" s="498" t="str">
        <f t="shared" si="1718"/>
        <v/>
      </c>
      <c r="BC4966" s="743" t="str">
        <f t="shared" si="1719"/>
        <v/>
      </c>
      <c r="BD4966" s="743" t="str">
        <f t="shared" si="1720"/>
        <v/>
      </c>
      <c r="BE4966" s="743" t="str">
        <f>IF(D4966="","",VLOOKUP(D4966,'General Basis'!$J$39:$K$46,2,0))</f>
        <v/>
      </c>
      <c r="BF4966" s="744" t="str">
        <f>IF(D4966="","",VLOOKUP(D4966,'General Basis'!$J$39:$L$46,3,0))</f>
        <v/>
      </c>
      <c r="BG4966" s="744" t="str">
        <f t="shared" si="1727"/>
        <v/>
      </c>
      <c r="BH4966" s="744" t="str">
        <f>IF(G4966="","",IF(BF4966="Abu Dhabi",IF(G4966&lt;18,'General Basis'!$C$39,IF(G4966&lt;41,'General Basis'!$C$40,IF(G4966&lt;60,'General Basis'!$C$41,IF(G4966&lt;65,'General Basis'!$C$42,'General Basis'!$C$43)))),IF(G4966&lt;11,'General Basis'!$B$39,IF(G4966&lt;18,'General Basis'!$B$40,IF(G4966&lt;26,'General Basis'!$B$41,IF(G4966&lt;31,'General Basis'!$B$42,IF(G4966&lt;36,'General Basis'!$B$43,IF(G4966&lt;41,'General Basis'!$B$44,IF(G4966&lt;46,'General Basis'!$B$45,IF(G4966&lt;51,'General Basis'!$B$46,IF(G4966&lt;56,'General Basis'!$B$47,IF(G4966&lt;60,'General Basis'!$B$48,IF(G4966&lt;65,'General Basis'!$B$49,'General Basis'!$B$50)))))))))))))</f>
        <v/>
      </c>
      <c r="BI4966" s="744" t="str">
        <f t="shared" si="1721"/>
        <v/>
      </c>
      <c r="BJ4966" s="747" t="str">
        <f t="shared" si="1728"/>
        <v/>
      </c>
      <c r="BK4966" s="498" t="str">
        <f t="shared" si="1722"/>
        <v/>
      </c>
      <c r="BL4966" s="498" t="str">
        <f t="shared" si="1723"/>
        <v/>
      </c>
    </row>
    <row r="4967" spans="1:64" x14ac:dyDescent="0.25">
      <c r="A4967" s="762">
        <f t="shared" si="1724"/>
        <v>4962</v>
      </c>
      <c r="B4967" s="229"/>
      <c r="C4967" s="223"/>
      <c r="D4967" s="224"/>
      <c r="E4967" s="225"/>
      <c r="F4967" s="1036" t="str">
        <f t="shared" si="1730"/>
        <v/>
      </c>
      <c r="G4967" s="1037" t="str">
        <f t="shared" si="1725"/>
        <v/>
      </c>
      <c r="H4967" s="225"/>
      <c r="I4967" s="1013"/>
      <c r="J4967" s="1013"/>
      <c r="K4967" s="1028"/>
      <c r="L4967" s="1035" t="str">
        <f t="shared" si="1729"/>
        <v/>
      </c>
      <c r="S4967" s="498"/>
      <c r="AJ4967" s="498"/>
      <c r="AM4967" s="498">
        <f t="shared" si="1710"/>
        <v>0</v>
      </c>
      <c r="AN4967" s="498">
        <f t="shared" si="1711"/>
        <v>0</v>
      </c>
      <c r="AO4967" s="498">
        <f t="shared" si="1712"/>
        <v>0</v>
      </c>
      <c r="AP4967" s="498">
        <f t="shared" si="1731"/>
        <v>0</v>
      </c>
      <c r="AQ4967" s="498">
        <f t="shared" si="1726"/>
        <v>0</v>
      </c>
      <c r="AU4967" s="498">
        <f t="shared" si="1713"/>
        <v>0</v>
      </c>
      <c r="AV4967" s="498">
        <f t="shared" si="1714"/>
        <v>0</v>
      </c>
      <c r="AW4967" s="498">
        <f t="shared" si="1715"/>
        <v>0</v>
      </c>
      <c r="AX4967" s="498">
        <f t="shared" si="1716"/>
        <v>0</v>
      </c>
      <c r="AY4967" s="498">
        <f t="shared" si="1717"/>
        <v>0</v>
      </c>
      <c r="BB4967" s="498" t="str">
        <f t="shared" si="1718"/>
        <v/>
      </c>
      <c r="BC4967" s="743" t="str">
        <f t="shared" si="1719"/>
        <v/>
      </c>
      <c r="BD4967" s="743" t="str">
        <f t="shared" si="1720"/>
        <v/>
      </c>
      <c r="BE4967" s="743" t="str">
        <f>IF(D4967="","",VLOOKUP(D4967,'General Basis'!$J$39:$K$46,2,0))</f>
        <v/>
      </c>
      <c r="BF4967" s="744" t="str">
        <f>IF(D4967="","",VLOOKUP(D4967,'General Basis'!$J$39:$L$46,3,0))</f>
        <v/>
      </c>
      <c r="BG4967" s="744" t="str">
        <f t="shared" si="1727"/>
        <v/>
      </c>
      <c r="BH4967" s="744" t="str">
        <f>IF(G4967="","",IF(BF4967="Abu Dhabi",IF(G4967&lt;18,'General Basis'!$C$39,IF(G4967&lt;41,'General Basis'!$C$40,IF(G4967&lt;60,'General Basis'!$C$41,IF(G4967&lt;65,'General Basis'!$C$42,'General Basis'!$C$43)))),IF(G4967&lt;11,'General Basis'!$B$39,IF(G4967&lt;18,'General Basis'!$B$40,IF(G4967&lt;26,'General Basis'!$B$41,IF(G4967&lt;31,'General Basis'!$B$42,IF(G4967&lt;36,'General Basis'!$B$43,IF(G4967&lt;41,'General Basis'!$B$44,IF(G4967&lt;46,'General Basis'!$B$45,IF(G4967&lt;51,'General Basis'!$B$46,IF(G4967&lt;56,'General Basis'!$B$47,IF(G4967&lt;60,'General Basis'!$B$48,IF(G4967&lt;65,'General Basis'!$B$49,'General Basis'!$B$50)))))))))))))</f>
        <v/>
      </c>
      <c r="BI4967" s="744" t="str">
        <f t="shared" si="1721"/>
        <v/>
      </c>
      <c r="BJ4967" s="747" t="str">
        <f t="shared" si="1728"/>
        <v/>
      </c>
      <c r="BK4967" s="498" t="str">
        <f t="shared" si="1722"/>
        <v/>
      </c>
      <c r="BL4967" s="498" t="str">
        <f t="shared" si="1723"/>
        <v/>
      </c>
    </row>
    <row r="4968" spans="1:64" x14ac:dyDescent="0.25">
      <c r="A4968" s="762">
        <f t="shared" si="1724"/>
        <v>4963</v>
      </c>
      <c r="B4968" s="229"/>
      <c r="C4968" s="223"/>
      <c r="D4968" s="224"/>
      <c r="E4968" s="225"/>
      <c r="F4968" s="1036" t="str">
        <f t="shared" si="1730"/>
        <v/>
      </c>
      <c r="G4968" s="1037" t="str">
        <f t="shared" si="1725"/>
        <v/>
      </c>
      <c r="H4968" s="225"/>
      <c r="I4968" s="1013"/>
      <c r="J4968" s="1013"/>
      <c r="K4968" s="1028"/>
      <c r="L4968" s="1035" t="str">
        <f t="shared" si="1729"/>
        <v/>
      </c>
      <c r="S4968" s="498"/>
      <c r="AJ4968" s="498"/>
      <c r="AM4968" s="498">
        <f t="shared" si="1710"/>
        <v>0</v>
      </c>
      <c r="AN4968" s="498">
        <f t="shared" si="1711"/>
        <v>0</v>
      </c>
      <c r="AO4968" s="498">
        <f t="shared" si="1712"/>
        <v>0</v>
      </c>
      <c r="AP4968" s="498">
        <f t="shared" si="1731"/>
        <v>0</v>
      </c>
      <c r="AQ4968" s="498">
        <f t="shared" si="1726"/>
        <v>0</v>
      </c>
      <c r="AU4968" s="498">
        <f t="shared" si="1713"/>
        <v>0</v>
      </c>
      <c r="AV4968" s="498">
        <f t="shared" si="1714"/>
        <v>0</v>
      </c>
      <c r="AW4968" s="498">
        <f t="shared" si="1715"/>
        <v>0</v>
      </c>
      <c r="AX4968" s="498">
        <f t="shared" si="1716"/>
        <v>0</v>
      </c>
      <c r="AY4968" s="498">
        <f t="shared" si="1717"/>
        <v>0</v>
      </c>
      <c r="BB4968" s="498" t="str">
        <f t="shared" si="1718"/>
        <v/>
      </c>
      <c r="BC4968" s="743" t="str">
        <f t="shared" si="1719"/>
        <v/>
      </c>
      <c r="BD4968" s="743" t="str">
        <f t="shared" si="1720"/>
        <v/>
      </c>
      <c r="BE4968" s="743" t="str">
        <f>IF(D4968="","",VLOOKUP(D4968,'General Basis'!$J$39:$K$46,2,0))</f>
        <v/>
      </c>
      <c r="BF4968" s="744" t="str">
        <f>IF(D4968="","",VLOOKUP(D4968,'General Basis'!$J$39:$L$46,3,0))</f>
        <v/>
      </c>
      <c r="BG4968" s="744" t="str">
        <f t="shared" si="1727"/>
        <v/>
      </c>
      <c r="BH4968" s="744" t="str">
        <f>IF(G4968="","",IF(BF4968="Abu Dhabi",IF(G4968&lt;18,'General Basis'!$C$39,IF(G4968&lt;41,'General Basis'!$C$40,IF(G4968&lt;60,'General Basis'!$C$41,IF(G4968&lt;65,'General Basis'!$C$42,'General Basis'!$C$43)))),IF(G4968&lt;11,'General Basis'!$B$39,IF(G4968&lt;18,'General Basis'!$B$40,IF(G4968&lt;26,'General Basis'!$B$41,IF(G4968&lt;31,'General Basis'!$B$42,IF(G4968&lt;36,'General Basis'!$B$43,IF(G4968&lt;41,'General Basis'!$B$44,IF(G4968&lt;46,'General Basis'!$B$45,IF(G4968&lt;51,'General Basis'!$B$46,IF(G4968&lt;56,'General Basis'!$B$47,IF(G4968&lt;60,'General Basis'!$B$48,IF(G4968&lt;65,'General Basis'!$B$49,'General Basis'!$B$50)))))))))))))</f>
        <v/>
      </c>
      <c r="BI4968" s="744" t="str">
        <f t="shared" si="1721"/>
        <v/>
      </c>
      <c r="BJ4968" s="747" t="str">
        <f t="shared" si="1728"/>
        <v/>
      </c>
      <c r="BK4968" s="498" t="str">
        <f t="shared" si="1722"/>
        <v/>
      </c>
      <c r="BL4968" s="498" t="str">
        <f t="shared" si="1723"/>
        <v/>
      </c>
    </row>
    <row r="4969" spans="1:64" x14ac:dyDescent="0.25">
      <c r="A4969" s="762">
        <f t="shared" si="1724"/>
        <v>4964</v>
      </c>
      <c r="B4969" s="229"/>
      <c r="C4969" s="223"/>
      <c r="D4969" s="224"/>
      <c r="E4969" s="225"/>
      <c r="F4969" s="1036" t="str">
        <f t="shared" si="1730"/>
        <v/>
      </c>
      <c r="G4969" s="1037" t="str">
        <f t="shared" si="1725"/>
        <v/>
      </c>
      <c r="H4969" s="225"/>
      <c r="I4969" s="1013"/>
      <c r="J4969" s="1013"/>
      <c r="K4969" s="1028"/>
      <c r="L4969" s="1035" t="str">
        <f t="shared" si="1729"/>
        <v/>
      </c>
      <c r="S4969" s="498"/>
      <c r="AJ4969" s="498"/>
      <c r="AM4969" s="498">
        <f t="shared" si="1710"/>
        <v>0</v>
      </c>
      <c r="AN4969" s="498">
        <f t="shared" si="1711"/>
        <v>0</v>
      </c>
      <c r="AO4969" s="498">
        <f t="shared" si="1712"/>
        <v>0</v>
      </c>
      <c r="AP4969" s="498">
        <f t="shared" si="1731"/>
        <v>0</v>
      </c>
      <c r="AQ4969" s="498">
        <f t="shared" si="1726"/>
        <v>0</v>
      </c>
      <c r="AU4969" s="498">
        <f t="shared" si="1713"/>
        <v>0</v>
      </c>
      <c r="AV4969" s="498">
        <f t="shared" si="1714"/>
        <v>0</v>
      </c>
      <c r="AW4969" s="498">
        <f t="shared" si="1715"/>
        <v>0</v>
      </c>
      <c r="AX4969" s="498">
        <f t="shared" si="1716"/>
        <v>0</v>
      </c>
      <c r="AY4969" s="498">
        <f t="shared" si="1717"/>
        <v>0</v>
      </c>
      <c r="BB4969" s="498" t="str">
        <f t="shared" si="1718"/>
        <v/>
      </c>
      <c r="BC4969" s="743" t="str">
        <f t="shared" si="1719"/>
        <v/>
      </c>
      <c r="BD4969" s="743" t="str">
        <f t="shared" si="1720"/>
        <v/>
      </c>
      <c r="BE4969" s="743" t="str">
        <f>IF(D4969="","",VLOOKUP(D4969,'General Basis'!$J$39:$K$46,2,0))</f>
        <v/>
      </c>
      <c r="BF4969" s="744" t="str">
        <f>IF(D4969="","",VLOOKUP(D4969,'General Basis'!$J$39:$L$46,3,0))</f>
        <v/>
      </c>
      <c r="BG4969" s="744" t="str">
        <f t="shared" si="1727"/>
        <v/>
      </c>
      <c r="BH4969" s="744" t="str">
        <f>IF(G4969="","",IF(BF4969="Abu Dhabi",IF(G4969&lt;18,'General Basis'!$C$39,IF(G4969&lt;41,'General Basis'!$C$40,IF(G4969&lt;60,'General Basis'!$C$41,IF(G4969&lt;65,'General Basis'!$C$42,'General Basis'!$C$43)))),IF(G4969&lt;11,'General Basis'!$B$39,IF(G4969&lt;18,'General Basis'!$B$40,IF(G4969&lt;26,'General Basis'!$B$41,IF(G4969&lt;31,'General Basis'!$B$42,IF(G4969&lt;36,'General Basis'!$B$43,IF(G4969&lt;41,'General Basis'!$B$44,IF(G4969&lt;46,'General Basis'!$B$45,IF(G4969&lt;51,'General Basis'!$B$46,IF(G4969&lt;56,'General Basis'!$B$47,IF(G4969&lt;60,'General Basis'!$B$48,IF(G4969&lt;65,'General Basis'!$B$49,'General Basis'!$B$50)))))))))))))</f>
        <v/>
      </c>
      <c r="BI4969" s="744" t="str">
        <f t="shared" si="1721"/>
        <v/>
      </c>
      <c r="BJ4969" s="747" t="str">
        <f t="shared" si="1728"/>
        <v/>
      </c>
      <c r="BK4969" s="498" t="str">
        <f t="shared" si="1722"/>
        <v/>
      </c>
      <c r="BL4969" s="498" t="str">
        <f t="shared" si="1723"/>
        <v/>
      </c>
    </row>
    <row r="4970" spans="1:64" x14ac:dyDescent="0.25">
      <c r="A4970" s="762">
        <f t="shared" si="1724"/>
        <v>4965</v>
      </c>
      <c r="B4970" s="229"/>
      <c r="C4970" s="223"/>
      <c r="D4970" s="224"/>
      <c r="E4970" s="225"/>
      <c r="F4970" s="1036" t="str">
        <f t="shared" si="1730"/>
        <v/>
      </c>
      <c r="G4970" s="1037" t="str">
        <f t="shared" si="1725"/>
        <v/>
      </c>
      <c r="H4970" s="225"/>
      <c r="I4970" s="1013"/>
      <c r="J4970" s="1013"/>
      <c r="K4970" s="1028"/>
      <c r="L4970" s="1035" t="str">
        <f t="shared" si="1729"/>
        <v/>
      </c>
      <c r="S4970" s="498"/>
      <c r="AJ4970" s="498"/>
      <c r="AM4970" s="498">
        <f t="shared" si="1710"/>
        <v>0</v>
      </c>
      <c r="AN4970" s="498">
        <f t="shared" si="1711"/>
        <v>0</v>
      </c>
      <c r="AO4970" s="498">
        <f t="shared" si="1712"/>
        <v>0</v>
      </c>
      <c r="AP4970" s="498">
        <f t="shared" si="1731"/>
        <v>0</v>
      </c>
      <c r="AQ4970" s="498">
        <f t="shared" si="1726"/>
        <v>0</v>
      </c>
      <c r="AU4970" s="498">
        <f t="shared" si="1713"/>
        <v>0</v>
      </c>
      <c r="AV4970" s="498">
        <f t="shared" si="1714"/>
        <v>0</v>
      </c>
      <c r="AW4970" s="498">
        <f t="shared" si="1715"/>
        <v>0</v>
      </c>
      <c r="AX4970" s="498">
        <f t="shared" si="1716"/>
        <v>0</v>
      </c>
      <c r="AY4970" s="498">
        <f t="shared" si="1717"/>
        <v>0</v>
      </c>
      <c r="BB4970" s="498" t="str">
        <f t="shared" si="1718"/>
        <v/>
      </c>
      <c r="BC4970" s="743" t="str">
        <f t="shared" si="1719"/>
        <v/>
      </c>
      <c r="BD4970" s="743" t="str">
        <f t="shared" si="1720"/>
        <v/>
      </c>
      <c r="BE4970" s="743" t="str">
        <f>IF(D4970="","",VLOOKUP(D4970,'General Basis'!$J$39:$K$46,2,0))</f>
        <v/>
      </c>
      <c r="BF4970" s="744" t="str">
        <f>IF(D4970="","",VLOOKUP(D4970,'General Basis'!$J$39:$L$46,3,0))</f>
        <v/>
      </c>
      <c r="BG4970" s="744" t="str">
        <f t="shared" si="1727"/>
        <v/>
      </c>
      <c r="BH4970" s="744" t="str">
        <f>IF(G4970="","",IF(BF4970="Abu Dhabi",IF(G4970&lt;18,'General Basis'!$C$39,IF(G4970&lt;41,'General Basis'!$C$40,IF(G4970&lt;60,'General Basis'!$C$41,IF(G4970&lt;65,'General Basis'!$C$42,'General Basis'!$C$43)))),IF(G4970&lt;11,'General Basis'!$B$39,IF(G4970&lt;18,'General Basis'!$B$40,IF(G4970&lt;26,'General Basis'!$B$41,IF(G4970&lt;31,'General Basis'!$B$42,IF(G4970&lt;36,'General Basis'!$B$43,IF(G4970&lt;41,'General Basis'!$B$44,IF(G4970&lt;46,'General Basis'!$B$45,IF(G4970&lt;51,'General Basis'!$B$46,IF(G4970&lt;56,'General Basis'!$B$47,IF(G4970&lt;60,'General Basis'!$B$48,IF(G4970&lt;65,'General Basis'!$B$49,'General Basis'!$B$50)))))))))))))</f>
        <v/>
      </c>
      <c r="BI4970" s="744" t="str">
        <f t="shared" si="1721"/>
        <v/>
      </c>
      <c r="BJ4970" s="747" t="str">
        <f t="shared" si="1728"/>
        <v/>
      </c>
      <c r="BK4970" s="498" t="str">
        <f t="shared" si="1722"/>
        <v/>
      </c>
      <c r="BL4970" s="498" t="str">
        <f t="shared" si="1723"/>
        <v/>
      </c>
    </row>
    <row r="4971" spans="1:64" x14ac:dyDescent="0.25">
      <c r="A4971" s="762">
        <f t="shared" si="1724"/>
        <v>4966</v>
      </c>
      <c r="B4971" s="229"/>
      <c r="C4971" s="223"/>
      <c r="D4971" s="224"/>
      <c r="E4971" s="225"/>
      <c r="F4971" s="1036" t="str">
        <f t="shared" si="1730"/>
        <v/>
      </c>
      <c r="G4971" s="1037" t="str">
        <f t="shared" si="1725"/>
        <v/>
      </c>
      <c r="H4971" s="225"/>
      <c r="I4971" s="1013"/>
      <c r="J4971" s="1013"/>
      <c r="K4971" s="1028"/>
      <c r="L4971" s="1035" t="str">
        <f t="shared" si="1729"/>
        <v/>
      </c>
      <c r="S4971" s="498"/>
      <c r="AJ4971" s="498"/>
      <c r="AM4971" s="498">
        <f t="shared" si="1710"/>
        <v>0</v>
      </c>
      <c r="AN4971" s="498">
        <f t="shared" si="1711"/>
        <v>0</v>
      </c>
      <c r="AO4971" s="498">
        <f t="shared" si="1712"/>
        <v>0</v>
      </c>
      <c r="AP4971" s="498">
        <f t="shared" si="1731"/>
        <v>0</v>
      </c>
      <c r="AQ4971" s="498">
        <f t="shared" si="1726"/>
        <v>0</v>
      </c>
      <c r="AU4971" s="498">
        <f t="shared" si="1713"/>
        <v>0</v>
      </c>
      <c r="AV4971" s="498">
        <f t="shared" si="1714"/>
        <v>0</v>
      </c>
      <c r="AW4971" s="498">
        <f t="shared" si="1715"/>
        <v>0</v>
      </c>
      <c r="AX4971" s="498">
        <f t="shared" si="1716"/>
        <v>0</v>
      </c>
      <c r="AY4971" s="498">
        <f t="shared" si="1717"/>
        <v>0</v>
      </c>
      <c r="BB4971" s="498" t="str">
        <f t="shared" si="1718"/>
        <v/>
      </c>
      <c r="BC4971" s="743" t="str">
        <f t="shared" si="1719"/>
        <v/>
      </c>
      <c r="BD4971" s="743" t="str">
        <f t="shared" si="1720"/>
        <v/>
      </c>
      <c r="BE4971" s="743" t="str">
        <f>IF(D4971="","",VLOOKUP(D4971,'General Basis'!$J$39:$K$46,2,0))</f>
        <v/>
      </c>
      <c r="BF4971" s="744" t="str">
        <f>IF(D4971="","",VLOOKUP(D4971,'General Basis'!$J$39:$L$46,3,0))</f>
        <v/>
      </c>
      <c r="BG4971" s="744" t="str">
        <f t="shared" si="1727"/>
        <v/>
      </c>
      <c r="BH4971" s="744" t="str">
        <f>IF(G4971="","",IF(BF4971="Abu Dhabi",IF(G4971&lt;18,'General Basis'!$C$39,IF(G4971&lt;41,'General Basis'!$C$40,IF(G4971&lt;60,'General Basis'!$C$41,IF(G4971&lt;65,'General Basis'!$C$42,'General Basis'!$C$43)))),IF(G4971&lt;11,'General Basis'!$B$39,IF(G4971&lt;18,'General Basis'!$B$40,IF(G4971&lt;26,'General Basis'!$B$41,IF(G4971&lt;31,'General Basis'!$B$42,IF(G4971&lt;36,'General Basis'!$B$43,IF(G4971&lt;41,'General Basis'!$B$44,IF(G4971&lt;46,'General Basis'!$B$45,IF(G4971&lt;51,'General Basis'!$B$46,IF(G4971&lt;56,'General Basis'!$B$47,IF(G4971&lt;60,'General Basis'!$B$48,IF(G4971&lt;65,'General Basis'!$B$49,'General Basis'!$B$50)))))))))))))</f>
        <v/>
      </c>
      <c r="BI4971" s="744" t="str">
        <f t="shared" si="1721"/>
        <v/>
      </c>
      <c r="BJ4971" s="747" t="str">
        <f t="shared" si="1728"/>
        <v/>
      </c>
      <c r="BK4971" s="498" t="str">
        <f t="shared" si="1722"/>
        <v/>
      </c>
      <c r="BL4971" s="498" t="str">
        <f t="shared" si="1723"/>
        <v/>
      </c>
    </row>
    <row r="4972" spans="1:64" x14ac:dyDescent="0.25">
      <c r="A4972" s="762">
        <f t="shared" si="1724"/>
        <v>4967</v>
      </c>
      <c r="B4972" s="229"/>
      <c r="C4972" s="223"/>
      <c r="D4972" s="224"/>
      <c r="E4972" s="225"/>
      <c r="F4972" s="1036" t="str">
        <f t="shared" si="1730"/>
        <v/>
      </c>
      <c r="G4972" s="1037" t="str">
        <f t="shared" si="1725"/>
        <v/>
      </c>
      <c r="H4972" s="225"/>
      <c r="I4972" s="1013"/>
      <c r="J4972" s="1013"/>
      <c r="K4972" s="1028"/>
      <c r="L4972" s="1035" t="str">
        <f t="shared" si="1729"/>
        <v/>
      </c>
      <c r="S4972" s="498"/>
      <c r="AJ4972" s="498"/>
      <c r="AM4972" s="498">
        <f t="shared" si="1710"/>
        <v>0</v>
      </c>
      <c r="AN4972" s="498">
        <f t="shared" si="1711"/>
        <v>0</v>
      </c>
      <c r="AO4972" s="498">
        <f t="shared" si="1712"/>
        <v>0</v>
      </c>
      <c r="AP4972" s="498">
        <f t="shared" si="1731"/>
        <v>0</v>
      </c>
      <c r="AQ4972" s="498">
        <f t="shared" si="1726"/>
        <v>0</v>
      </c>
      <c r="AU4972" s="498">
        <f t="shared" si="1713"/>
        <v>0</v>
      </c>
      <c r="AV4972" s="498">
        <f t="shared" si="1714"/>
        <v>0</v>
      </c>
      <c r="AW4972" s="498">
        <f t="shared" si="1715"/>
        <v>0</v>
      </c>
      <c r="AX4972" s="498">
        <f t="shared" si="1716"/>
        <v>0</v>
      </c>
      <c r="AY4972" s="498">
        <f t="shared" si="1717"/>
        <v>0</v>
      </c>
      <c r="BB4972" s="498" t="str">
        <f t="shared" si="1718"/>
        <v/>
      </c>
      <c r="BC4972" s="743" t="str">
        <f t="shared" si="1719"/>
        <v/>
      </c>
      <c r="BD4972" s="743" t="str">
        <f t="shared" si="1720"/>
        <v/>
      </c>
      <c r="BE4972" s="743" t="str">
        <f>IF(D4972="","",VLOOKUP(D4972,'General Basis'!$J$39:$K$46,2,0))</f>
        <v/>
      </c>
      <c r="BF4972" s="744" t="str">
        <f>IF(D4972="","",VLOOKUP(D4972,'General Basis'!$J$39:$L$46,3,0))</f>
        <v/>
      </c>
      <c r="BG4972" s="744" t="str">
        <f t="shared" si="1727"/>
        <v/>
      </c>
      <c r="BH4972" s="744" t="str">
        <f>IF(G4972="","",IF(BF4972="Abu Dhabi",IF(G4972&lt;18,'General Basis'!$C$39,IF(G4972&lt;41,'General Basis'!$C$40,IF(G4972&lt;60,'General Basis'!$C$41,IF(G4972&lt;65,'General Basis'!$C$42,'General Basis'!$C$43)))),IF(G4972&lt;11,'General Basis'!$B$39,IF(G4972&lt;18,'General Basis'!$B$40,IF(G4972&lt;26,'General Basis'!$B$41,IF(G4972&lt;31,'General Basis'!$B$42,IF(G4972&lt;36,'General Basis'!$B$43,IF(G4972&lt;41,'General Basis'!$B$44,IF(G4972&lt;46,'General Basis'!$B$45,IF(G4972&lt;51,'General Basis'!$B$46,IF(G4972&lt;56,'General Basis'!$B$47,IF(G4972&lt;60,'General Basis'!$B$48,IF(G4972&lt;65,'General Basis'!$B$49,'General Basis'!$B$50)))))))))))))</f>
        <v/>
      </c>
      <c r="BI4972" s="744" t="str">
        <f t="shared" si="1721"/>
        <v/>
      </c>
      <c r="BJ4972" s="747" t="str">
        <f t="shared" si="1728"/>
        <v/>
      </c>
      <c r="BK4972" s="498" t="str">
        <f t="shared" si="1722"/>
        <v/>
      </c>
      <c r="BL4972" s="498" t="str">
        <f t="shared" si="1723"/>
        <v/>
      </c>
    </row>
    <row r="4973" spans="1:64" x14ac:dyDescent="0.25">
      <c r="A4973" s="762">
        <f t="shared" si="1724"/>
        <v>4968</v>
      </c>
      <c r="B4973" s="229"/>
      <c r="C4973" s="223"/>
      <c r="D4973" s="224"/>
      <c r="E4973" s="225"/>
      <c r="F4973" s="1036" t="str">
        <f t="shared" si="1730"/>
        <v/>
      </c>
      <c r="G4973" s="1037" t="str">
        <f t="shared" si="1725"/>
        <v/>
      </c>
      <c r="H4973" s="225"/>
      <c r="I4973" s="1013"/>
      <c r="J4973" s="1013"/>
      <c r="K4973" s="1028"/>
      <c r="L4973" s="1035" t="str">
        <f t="shared" si="1729"/>
        <v/>
      </c>
      <c r="S4973" s="498"/>
      <c r="AJ4973" s="498"/>
      <c r="AM4973" s="498">
        <f t="shared" si="1710"/>
        <v>0</v>
      </c>
      <c r="AN4973" s="498">
        <f t="shared" si="1711"/>
        <v>0</v>
      </c>
      <c r="AO4973" s="498">
        <f t="shared" si="1712"/>
        <v>0</v>
      </c>
      <c r="AP4973" s="498">
        <f t="shared" si="1731"/>
        <v>0</v>
      </c>
      <c r="AQ4973" s="498">
        <f t="shared" si="1726"/>
        <v>0</v>
      </c>
      <c r="AU4973" s="498">
        <f t="shared" si="1713"/>
        <v>0</v>
      </c>
      <c r="AV4973" s="498">
        <f t="shared" si="1714"/>
        <v>0</v>
      </c>
      <c r="AW4973" s="498">
        <f t="shared" si="1715"/>
        <v>0</v>
      </c>
      <c r="AX4973" s="498">
        <f t="shared" si="1716"/>
        <v>0</v>
      </c>
      <c r="AY4973" s="498">
        <f t="shared" si="1717"/>
        <v>0</v>
      </c>
      <c r="BB4973" s="498" t="str">
        <f t="shared" si="1718"/>
        <v/>
      </c>
      <c r="BC4973" s="743" t="str">
        <f t="shared" si="1719"/>
        <v/>
      </c>
      <c r="BD4973" s="743" t="str">
        <f t="shared" si="1720"/>
        <v/>
      </c>
      <c r="BE4973" s="743" t="str">
        <f>IF(D4973="","",VLOOKUP(D4973,'General Basis'!$J$39:$K$46,2,0))</f>
        <v/>
      </c>
      <c r="BF4973" s="744" t="str">
        <f>IF(D4973="","",VLOOKUP(D4973,'General Basis'!$J$39:$L$46,3,0))</f>
        <v/>
      </c>
      <c r="BG4973" s="744" t="str">
        <f t="shared" si="1727"/>
        <v/>
      </c>
      <c r="BH4973" s="744" t="str">
        <f>IF(G4973="","",IF(BF4973="Abu Dhabi",IF(G4973&lt;18,'General Basis'!$C$39,IF(G4973&lt;41,'General Basis'!$C$40,IF(G4973&lt;60,'General Basis'!$C$41,IF(G4973&lt;65,'General Basis'!$C$42,'General Basis'!$C$43)))),IF(G4973&lt;11,'General Basis'!$B$39,IF(G4973&lt;18,'General Basis'!$B$40,IF(G4973&lt;26,'General Basis'!$B$41,IF(G4973&lt;31,'General Basis'!$B$42,IF(G4973&lt;36,'General Basis'!$B$43,IF(G4973&lt;41,'General Basis'!$B$44,IF(G4973&lt;46,'General Basis'!$B$45,IF(G4973&lt;51,'General Basis'!$B$46,IF(G4973&lt;56,'General Basis'!$B$47,IF(G4973&lt;60,'General Basis'!$B$48,IF(G4973&lt;65,'General Basis'!$B$49,'General Basis'!$B$50)))))))))))))</f>
        <v/>
      </c>
      <c r="BI4973" s="744" t="str">
        <f t="shared" si="1721"/>
        <v/>
      </c>
      <c r="BJ4973" s="747" t="str">
        <f t="shared" si="1728"/>
        <v/>
      </c>
      <c r="BK4973" s="498" t="str">
        <f t="shared" si="1722"/>
        <v/>
      </c>
      <c r="BL4973" s="498" t="str">
        <f t="shared" si="1723"/>
        <v/>
      </c>
    </row>
    <row r="4974" spans="1:64" x14ac:dyDescent="0.25">
      <c r="A4974" s="762">
        <f t="shared" si="1724"/>
        <v>4969</v>
      </c>
      <c r="B4974" s="229"/>
      <c r="C4974" s="223"/>
      <c r="D4974" s="224"/>
      <c r="E4974" s="225"/>
      <c r="F4974" s="1036" t="str">
        <f t="shared" si="1730"/>
        <v/>
      </c>
      <c r="G4974" s="1037" t="str">
        <f t="shared" si="1725"/>
        <v/>
      </c>
      <c r="H4974" s="225"/>
      <c r="I4974" s="1013"/>
      <c r="J4974" s="1013"/>
      <c r="K4974" s="1028"/>
      <c r="L4974" s="1035" t="str">
        <f t="shared" si="1729"/>
        <v/>
      </c>
      <c r="S4974" s="498"/>
      <c r="AJ4974" s="498"/>
      <c r="AM4974" s="498">
        <f t="shared" si="1710"/>
        <v>0</v>
      </c>
      <c r="AN4974" s="498">
        <f t="shared" si="1711"/>
        <v>0</v>
      </c>
      <c r="AO4974" s="498">
        <f t="shared" si="1712"/>
        <v>0</v>
      </c>
      <c r="AP4974" s="498">
        <f t="shared" si="1731"/>
        <v>0</v>
      </c>
      <c r="AQ4974" s="498">
        <f t="shared" si="1726"/>
        <v>0</v>
      </c>
      <c r="AU4974" s="498">
        <f t="shared" si="1713"/>
        <v>0</v>
      </c>
      <c r="AV4974" s="498">
        <f t="shared" si="1714"/>
        <v>0</v>
      </c>
      <c r="AW4974" s="498">
        <f t="shared" si="1715"/>
        <v>0</v>
      </c>
      <c r="AX4974" s="498">
        <f t="shared" si="1716"/>
        <v>0</v>
      </c>
      <c r="AY4974" s="498">
        <f t="shared" si="1717"/>
        <v>0</v>
      </c>
      <c r="BB4974" s="498" t="str">
        <f t="shared" si="1718"/>
        <v/>
      </c>
      <c r="BC4974" s="743" t="str">
        <f t="shared" si="1719"/>
        <v/>
      </c>
      <c r="BD4974" s="743" t="str">
        <f t="shared" si="1720"/>
        <v/>
      </c>
      <c r="BE4974" s="743" t="str">
        <f>IF(D4974="","",VLOOKUP(D4974,'General Basis'!$J$39:$K$46,2,0))</f>
        <v/>
      </c>
      <c r="BF4974" s="744" t="str">
        <f>IF(D4974="","",VLOOKUP(D4974,'General Basis'!$J$39:$L$46,3,0))</f>
        <v/>
      </c>
      <c r="BG4974" s="744" t="str">
        <f t="shared" si="1727"/>
        <v/>
      </c>
      <c r="BH4974" s="744" t="str">
        <f>IF(G4974="","",IF(BF4974="Abu Dhabi",IF(G4974&lt;18,'General Basis'!$C$39,IF(G4974&lt;41,'General Basis'!$C$40,IF(G4974&lt;60,'General Basis'!$C$41,IF(G4974&lt;65,'General Basis'!$C$42,'General Basis'!$C$43)))),IF(G4974&lt;11,'General Basis'!$B$39,IF(G4974&lt;18,'General Basis'!$B$40,IF(G4974&lt;26,'General Basis'!$B$41,IF(G4974&lt;31,'General Basis'!$B$42,IF(G4974&lt;36,'General Basis'!$B$43,IF(G4974&lt;41,'General Basis'!$B$44,IF(G4974&lt;46,'General Basis'!$B$45,IF(G4974&lt;51,'General Basis'!$B$46,IF(G4974&lt;56,'General Basis'!$B$47,IF(G4974&lt;60,'General Basis'!$B$48,IF(G4974&lt;65,'General Basis'!$B$49,'General Basis'!$B$50)))))))))))))</f>
        <v/>
      </c>
      <c r="BI4974" s="744" t="str">
        <f t="shared" si="1721"/>
        <v/>
      </c>
      <c r="BJ4974" s="747" t="str">
        <f t="shared" si="1728"/>
        <v/>
      </c>
      <c r="BK4974" s="498" t="str">
        <f t="shared" si="1722"/>
        <v/>
      </c>
      <c r="BL4974" s="498" t="str">
        <f t="shared" si="1723"/>
        <v/>
      </c>
    </row>
    <row r="4975" spans="1:64" x14ac:dyDescent="0.25">
      <c r="A4975" s="762">
        <f t="shared" si="1724"/>
        <v>4970</v>
      </c>
      <c r="B4975" s="229"/>
      <c r="C4975" s="223"/>
      <c r="D4975" s="224"/>
      <c r="E4975" s="225"/>
      <c r="F4975" s="1036" t="str">
        <f t="shared" si="1730"/>
        <v/>
      </c>
      <c r="G4975" s="1037" t="str">
        <f t="shared" si="1725"/>
        <v/>
      </c>
      <c r="H4975" s="225"/>
      <c r="I4975" s="1013"/>
      <c r="J4975" s="1013"/>
      <c r="K4975" s="1028"/>
      <c r="L4975" s="1035" t="str">
        <f t="shared" si="1729"/>
        <v/>
      </c>
      <c r="S4975" s="498"/>
      <c r="AJ4975" s="498"/>
      <c r="AM4975" s="498">
        <f t="shared" si="1710"/>
        <v>0</v>
      </c>
      <c r="AN4975" s="498">
        <f t="shared" si="1711"/>
        <v>0</v>
      </c>
      <c r="AO4975" s="498">
        <f t="shared" si="1712"/>
        <v>0</v>
      </c>
      <c r="AP4975" s="498">
        <f t="shared" si="1731"/>
        <v>0</v>
      </c>
      <c r="AQ4975" s="498">
        <f t="shared" si="1726"/>
        <v>0</v>
      </c>
      <c r="AU4975" s="498">
        <f t="shared" si="1713"/>
        <v>0</v>
      </c>
      <c r="AV4975" s="498">
        <f t="shared" si="1714"/>
        <v>0</v>
      </c>
      <c r="AW4975" s="498">
        <f t="shared" si="1715"/>
        <v>0</v>
      </c>
      <c r="AX4975" s="498">
        <f t="shared" si="1716"/>
        <v>0</v>
      </c>
      <c r="AY4975" s="498">
        <f t="shared" si="1717"/>
        <v>0</v>
      </c>
      <c r="BB4975" s="498" t="str">
        <f t="shared" si="1718"/>
        <v/>
      </c>
      <c r="BC4975" s="743" t="str">
        <f t="shared" si="1719"/>
        <v/>
      </c>
      <c r="BD4975" s="743" t="str">
        <f t="shared" si="1720"/>
        <v/>
      </c>
      <c r="BE4975" s="743" t="str">
        <f>IF(D4975="","",VLOOKUP(D4975,'General Basis'!$J$39:$K$46,2,0))</f>
        <v/>
      </c>
      <c r="BF4975" s="744" t="str">
        <f>IF(D4975="","",VLOOKUP(D4975,'General Basis'!$J$39:$L$46,3,0))</f>
        <v/>
      </c>
      <c r="BG4975" s="744" t="str">
        <f t="shared" si="1727"/>
        <v/>
      </c>
      <c r="BH4975" s="744" t="str">
        <f>IF(G4975="","",IF(BF4975="Abu Dhabi",IF(G4975&lt;18,'General Basis'!$C$39,IF(G4975&lt;41,'General Basis'!$C$40,IF(G4975&lt;60,'General Basis'!$C$41,IF(G4975&lt;65,'General Basis'!$C$42,'General Basis'!$C$43)))),IF(G4975&lt;11,'General Basis'!$B$39,IF(G4975&lt;18,'General Basis'!$B$40,IF(G4975&lt;26,'General Basis'!$B$41,IF(G4975&lt;31,'General Basis'!$B$42,IF(G4975&lt;36,'General Basis'!$B$43,IF(G4975&lt;41,'General Basis'!$B$44,IF(G4975&lt;46,'General Basis'!$B$45,IF(G4975&lt;51,'General Basis'!$B$46,IF(G4975&lt;56,'General Basis'!$B$47,IF(G4975&lt;60,'General Basis'!$B$48,IF(G4975&lt;65,'General Basis'!$B$49,'General Basis'!$B$50)))))))))))))</f>
        <v/>
      </c>
      <c r="BI4975" s="744" t="str">
        <f t="shared" si="1721"/>
        <v/>
      </c>
      <c r="BJ4975" s="747" t="str">
        <f t="shared" si="1728"/>
        <v/>
      </c>
      <c r="BK4975" s="498" t="str">
        <f t="shared" si="1722"/>
        <v/>
      </c>
      <c r="BL4975" s="498" t="str">
        <f t="shared" si="1723"/>
        <v/>
      </c>
    </row>
    <row r="4976" spans="1:64" x14ac:dyDescent="0.25">
      <c r="A4976" s="762">
        <f t="shared" si="1724"/>
        <v>4971</v>
      </c>
      <c r="B4976" s="229"/>
      <c r="C4976" s="223"/>
      <c r="D4976" s="224"/>
      <c r="E4976" s="225"/>
      <c r="F4976" s="1036" t="str">
        <f t="shared" si="1730"/>
        <v/>
      </c>
      <c r="G4976" s="1037" t="str">
        <f t="shared" si="1725"/>
        <v/>
      </c>
      <c r="H4976" s="225"/>
      <c r="I4976" s="1013"/>
      <c r="J4976" s="1013"/>
      <c r="K4976" s="1028"/>
      <c r="L4976" s="1035" t="str">
        <f t="shared" si="1729"/>
        <v/>
      </c>
      <c r="S4976" s="498"/>
      <c r="AJ4976" s="498"/>
      <c r="AM4976" s="498">
        <f t="shared" si="1710"/>
        <v>0</v>
      </c>
      <c r="AN4976" s="498">
        <f t="shared" si="1711"/>
        <v>0</v>
      </c>
      <c r="AO4976" s="498">
        <f t="shared" si="1712"/>
        <v>0</v>
      </c>
      <c r="AP4976" s="498">
        <f t="shared" si="1731"/>
        <v>0</v>
      </c>
      <c r="AQ4976" s="498">
        <f t="shared" si="1726"/>
        <v>0</v>
      </c>
      <c r="AU4976" s="498">
        <f t="shared" si="1713"/>
        <v>0</v>
      </c>
      <c r="AV4976" s="498">
        <f t="shared" si="1714"/>
        <v>0</v>
      </c>
      <c r="AW4976" s="498">
        <f t="shared" si="1715"/>
        <v>0</v>
      </c>
      <c r="AX4976" s="498">
        <f t="shared" si="1716"/>
        <v>0</v>
      </c>
      <c r="AY4976" s="498">
        <f t="shared" si="1717"/>
        <v>0</v>
      </c>
      <c r="BB4976" s="498" t="str">
        <f t="shared" si="1718"/>
        <v/>
      </c>
      <c r="BC4976" s="743" t="str">
        <f t="shared" si="1719"/>
        <v/>
      </c>
      <c r="BD4976" s="743" t="str">
        <f t="shared" si="1720"/>
        <v/>
      </c>
      <c r="BE4976" s="743" t="str">
        <f>IF(D4976="","",VLOOKUP(D4976,'General Basis'!$J$39:$K$46,2,0))</f>
        <v/>
      </c>
      <c r="BF4976" s="744" t="str">
        <f>IF(D4976="","",VLOOKUP(D4976,'General Basis'!$J$39:$L$46,3,0))</f>
        <v/>
      </c>
      <c r="BG4976" s="744" t="str">
        <f t="shared" si="1727"/>
        <v/>
      </c>
      <c r="BH4976" s="744" t="str">
        <f>IF(G4976="","",IF(BF4976="Abu Dhabi",IF(G4976&lt;18,'General Basis'!$C$39,IF(G4976&lt;41,'General Basis'!$C$40,IF(G4976&lt;60,'General Basis'!$C$41,IF(G4976&lt;65,'General Basis'!$C$42,'General Basis'!$C$43)))),IF(G4976&lt;11,'General Basis'!$B$39,IF(G4976&lt;18,'General Basis'!$B$40,IF(G4976&lt;26,'General Basis'!$B$41,IF(G4976&lt;31,'General Basis'!$B$42,IF(G4976&lt;36,'General Basis'!$B$43,IF(G4976&lt;41,'General Basis'!$B$44,IF(G4976&lt;46,'General Basis'!$B$45,IF(G4976&lt;51,'General Basis'!$B$46,IF(G4976&lt;56,'General Basis'!$B$47,IF(G4976&lt;60,'General Basis'!$B$48,IF(G4976&lt;65,'General Basis'!$B$49,'General Basis'!$B$50)))))))))))))</f>
        <v/>
      </c>
      <c r="BI4976" s="744" t="str">
        <f t="shared" si="1721"/>
        <v/>
      </c>
      <c r="BJ4976" s="747" t="str">
        <f t="shared" si="1728"/>
        <v/>
      </c>
      <c r="BK4976" s="498" t="str">
        <f t="shared" si="1722"/>
        <v/>
      </c>
      <c r="BL4976" s="498" t="str">
        <f t="shared" si="1723"/>
        <v/>
      </c>
    </row>
    <row r="4977" spans="1:64" x14ac:dyDescent="0.25">
      <c r="A4977" s="762">
        <f t="shared" si="1724"/>
        <v>4972</v>
      </c>
      <c r="B4977" s="229"/>
      <c r="C4977" s="223"/>
      <c r="D4977" s="224"/>
      <c r="E4977" s="225"/>
      <c r="F4977" s="1036" t="str">
        <f t="shared" si="1730"/>
        <v/>
      </c>
      <c r="G4977" s="1037" t="str">
        <f t="shared" si="1725"/>
        <v/>
      </c>
      <c r="H4977" s="225"/>
      <c r="I4977" s="1013"/>
      <c r="J4977" s="1013"/>
      <c r="K4977" s="1028"/>
      <c r="L4977" s="1035" t="str">
        <f t="shared" si="1729"/>
        <v/>
      </c>
      <c r="S4977" s="498"/>
      <c r="AJ4977" s="498"/>
      <c r="AM4977" s="498">
        <f t="shared" si="1710"/>
        <v>0</v>
      </c>
      <c r="AN4977" s="498">
        <f t="shared" si="1711"/>
        <v>0</v>
      </c>
      <c r="AO4977" s="498">
        <f t="shared" si="1712"/>
        <v>0</v>
      </c>
      <c r="AP4977" s="498">
        <f t="shared" si="1731"/>
        <v>0</v>
      </c>
      <c r="AQ4977" s="498">
        <f t="shared" si="1726"/>
        <v>0</v>
      </c>
      <c r="AU4977" s="498">
        <f t="shared" si="1713"/>
        <v>0</v>
      </c>
      <c r="AV4977" s="498">
        <f t="shared" si="1714"/>
        <v>0</v>
      </c>
      <c r="AW4977" s="498">
        <f t="shared" si="1715"/>
        <v>0</v>
      </c>
      <c r="AX4977" s="498">
        <f t="shared" si="1716"/>
        <v>0</v>
      </c>
      <c r="AY4977" s="498">
        <f t="shared" si="1717"/>
        <v>0</v>
      </c>
      <c r="BB4977" s="498" t="str">
        <f t="shared" si="1718"/>
        <v/>
      </c>
      <c r="BC4977" s="743" t="str">
        <f t="shared" si="1719"/>
        <v/>
      </c>
      <c r="BD4977" s="743" t="str">
        <f t="shared" si="1720"/>
        <v/>
      </c>
      <c r="BE4977" s="743" t="str">
        <f>IF(D4977="","",VLOOKUP(D4977,'General Basis'!$J$39:$K$46,2,0))</f>
        <v/>
      </c>
      <c r="BF4977" s="744" t="str">
        <f>IF(D4977="","",VLOOKUP(D4977,'General Basis'!$J$39:$L$46,3,0))</f>
        <v/>
      </c>
      <c r="BG4977" s="744" t="str">
        <f t="shared" si="1727"/>
        <v/>
      </c>
      <c r="BH4977" s="744" t="str">
        <f>IF(G4977="","",IF(BF4977="Abu Dhabi",IF(G4977&lt;18,'General Basis'!$C$39,IF(G4977&lt;41,'General Basis'!$C$40,IF(G4977&lt;60,'General Basis'!$C$41,IF(G4977&lt;65,'General Basis'!$C$42,'General Basis'!$C$43)))),IF(G4977&lt;11,'General Basis'!$B$39,IF(G4977&lt;18,'General Basis'!$B$40,IF(G4977&lt;26,'General Basis'!$B$41,IF(G4977&lt;31,'General Basis'!$B$42,IF(G4977&lt;36,'General Basis'!$B$43,IF(G4977&lt;41,'General Basis'!$B$44,IF(G4977&lt;46,'General Basis'!$B$45,IF(G4977&lt;51,'General Basis'!$B$46,IF(G4977&lt;56,'General Basis'!$B$47,IF(G4977&lt;60,'General Basis'!$B$48,IF(G4977&lt;65,'General Basis'!$B$49,'General Basis'!$B$50)))))))))))))</f>
        <v/>
      </c>
      <c r="BI4977" s="744" t="str">
        <f t="shared" si="1721"/>
        <v/>
      </c>
      <c r="BJ4977" s="747" t="str">
        <f t="shared" si="1728"/>
        <v/>
      </c>
      <c r="BK4977" s="498" t="str">
        <f t="shared" si="1722"/>
        <v/>
      </c>
      <c r="BL4977" s="498" t="str">
        <f t="shared" si="1723"/>
        <v/>
      </c>
    </row>
    <row r="4978" spans="1:64" x14ac:dyDescent="0.25">
      <c r="A4978" s="762">
        <f t="shared" si="1724"/>
        <v>4973</v>
      </c>
      <c r="B4978" s="229"/>
      <c r="C4978" s="223"/>
      <c r="D4978" s="224"/>
      <c r="E4978" s="225"/>
      <c r="F4978" s="1036" t="str">
        <f t="shared" si="1730"/>
        <v/>
      </c>
      <c r="G4978" s="1037" t="str">
        <f t="shared" si="1725"/>
        <v/>
      </c>
      <c r="H4978" s="225"/>
      <c r="I4978" s="1013"/>
      <c r="J4978" s="1013"/>
      <c r="K4978" s="1028"/>
      <c r="L4978" s="1035" t="str">
        <f t="shared" si="1729"/>
        <v/>
      </c>
      <c r="S4978" s="498"/>
      <c r="AJ4978" s="498"/>
      <c r="AM4978" s="498">
        <f t="shared" si="1710"/>
        <v>0</v>
      </c>
      <c r="AN4978" s="498">
        <f t="shared" si="1711"/>
        <v>0</v>
      </c>
      <c r="AO4978" s="498">
        <f t="shared" si="1712"/>
        <v>0</v>
      </c>
      <c r="AP4978" s="498">
        <f t="shared" si="1731"/>
        <v>0</v>
      </c>
      <c r="AQ4978" s="498">
        <f t="shared" si="1726"/>
        <v>0</v>
      </c>
      <c r="AU4978" s="498">
        <f t="shared" si="1713"/>
        <v>0</v>
      </c>
      <c r="AV4978" s="498">
        <f t="shared" si="1714"/>
        <v>0</v>
      </c>
      <c r="AW4978" s="498">
        <f t="shared" si="1715"/>
        <v>0</v>
      </c>
      <c r="AX4978" s="498">
        <f t="shared" si="1716"/>
        <v>0</v>
      </c>
      <c r="AY4978" s="498">
        <f t="shared" si="1717"/>
        <v>0</v>
      </c>
      <c r="BB4978" s="498" t="str">
        <f t="shared" si="1718"/>
        <v/>
      </c>
      <c r="BC4978" s="743" t="str">
        <f t="shared" si="1719"/>
        <v/>
      </c>
      <c r="BD4978" s="743" t="str">
        <f t="shared" si="1720"/>
        <v/>
      </c>
      <c r="BE4978" s="743" t="str">
        <f>IF(D4978="","",VLOOKUP(D4978,'General Basis'!$J$39:$K$46,2,0))</f>
        <v/>
      </c>
      <c r="BF4978" s="744" t="str">
        <f>IF(D4978="","",VLOOKUP(D4978,'General Basis'!$J$39:$L$46,3,0))</f>
        <v/>
      </c>
      <c r="BG4978" s="744" t="str">
        <f t="shared" si="1727"/>
        <v/>
      </c>
      <c r="BH4978" s="744" t="str">
        <f>IF(G4978="","",IF(BF4978="Abu Dhabi",IF(G4978&lt;18,'General Basis'!$C$39,IF(G4978&lt;41,'General Basis'!$C$40,IF(G4978&lt;60,'General Basis'!$C$41,IF(G4978&lt;65,'General Basis'!$C$42,'General Basis'!$C$43)))),IF(G4978&lt;11,'General Basis'!$B$39,IF(G4978&lt;18,'General Basis'!$B$40,IF(G4978&lt;26,'General Basis'!$B$41,IF(G4978&lt;31,'General Basis'!$B$42,IF(G4978&lt;36,'General Basis'!$B$43,IF(G4978&lt;41,'General Basis'!$B$44,IF(G4978&lt;46,'General Basis'!$B$45,IF(G4978&lt;51,'General Basis'!$B$46,IF(G4978&lt;56,'General Basis'!$B$47,IF(G4978&lt;60,'General Basis'!$B$48,IF(G4978&lt;65,'General Basis'!$B$49,'General Basis'!$B$50)))))))))))))</f>
        <v/>
      </c>
      <c r="BI4978" s="744" t="str">
        <f t="shared" si="1721"/>
        <v/>
      </c>
      <c r="BJ4978" s="747" t="str">
        <f t="shared" si="1728"/>
        <v/>
      </c>
      <c r="BK4978" s="498" t="str">
        <f t="shared" si="1722"/>
        <v/>
      </c>
      <c r="BL4978" s="498" t="str">
        <f t="shared" si="1723"/>
        <v/>
      </c>
    </row>
    <row r="4979" spans="1:64" x14ac:dyDescent="0.25">
      <c r="A4979" s="762">
        <f t="shared" si="1724"/>
        <v>4974</v>
      </c>
      <c r="B4979" s="229"/>
      <c r="C4979" s="223"/>
      <c r="D4979" s="224"/>
      <c r="E4979" s="225"/>
      <c r="F4979" s="1036" t="str">
        <f t="shared" si="1730"/>
        <v/>
      </c>
      <c r="G4979" s="1037" t="str">
        <f t="shared" si="1725"/>
        <v/>
      </c>
      <c r="H4979" s="225"/>
      <c r="I4979" s="1013"/>
      <c r="J4979" s="1013"/>
      <c r="K4979" s="1028"/>
      <c r="L4979" s="1035" t="str">
        <f t="shared" si="1729"/>
        <v/>
      </c>
      <c r="S4979" s="498"/>
      <c r="AJ4979" s="498"/>
      <c r="AM4979" s="498">
        <f t="shared" si="1710"/>
        <v>0</v>
      </c>
      <c r="AN4979" s="498">
        <f t="shared" si="1711"/>
        <v>0</v>
      </c>
      <c r="AO4979" s="498">
        <f t="shared" si="1712"/>
        <v>0</v>
      </c>
      <c r="AP4979" s="498">
        <f t="shared" si="1731"/>
        <v>0</v>
      </c>
      <c r="AQ4979" s="498">
        <f t="shared" si="1726"/>
        <v>0</v>
      </c>
      <c r="AU4979" s="498">
        <f t="shared" si="1713"/>
        <v>0</v>
      </c>
      <c r="AV4979" s="498">
        <f t="shared" si="1714"/>
        <v>0</v>
      </c>
      <c r="AW4979" s="498">
        <f t="shared" si="1715"/>
        <v>0</v>
      </c>
      <c r="AX4979" s="498">
        <f t="shared" si="1716"/>
        <v>0</v>
      </c>
      <c r="AY4979" s="498">
        <f t="shared" si="1717"/>
        <v>0</v>
      </c>
      <c r="BB4979" s="498" t="str">
        <f t="shared" si="1718"/>
        <v/>
      </c>
      <c r="BC4979" s="743" t="str">
        <f t="shared" si="1719"/>
        <v/>
      </c>
      <c r="BD4979" s="743" t="str">
        <f t="shared" si="1720"/>
        <v/>
      </c>
      <c r="BE4979" s="743" t="str">
        <f>IF(D4979="","",VLOOKUP(D4979,'General Basis'!$J$39:$K$46,2,0))</f>
        <v/>
      </c>
      <c r="BF4979" s="744" t="str">
        <f>IF(D4979="","",VLOOKUP(D4979,'General Basis'!$J$39:$L$46,3,0))</f>
        <v/>
      </c>
      <c r="BG4979" s="744" t="str">
        <f t="shared" si="1727"/>
        <v/>
      </c>
      <c r="BH4979" s="744" t="str">
        <f>IF(G4979="","",IF(BF4979="Abu Dhabi",IF(G4979&lt;18,'General Basis'!$C$39,IF(G4979&lt;41,'General Basis'!$C$40,IF(G4979&lt;60,'General Basis'!$C$41,IF(G4979&lt;65,'General Basis'!$C$42,'General Basis'!$C$43)))),IF(G4979&lt;11,'General Basis'!$B$39,IF(G4979&lt;18,'General Basis'!$B$40,IF(G4979&lt;26,'General Basis'!$B$41,IF(G4979&lt;31,'General Basis'!$B$42,IF(G4979&lt;36,'General Basis'!$B$43,IF(G4979&lt;41,'General Basis'!$B$44,IF(G4979&lt;46,'General Basis'!$B$45,IF(G4979&lt;51,'General Basis'!$B$46,IF(G4979&lt;56,'General Basis'!$B$47,IF(G4979&lt;60,'General Basis'!$B$48,IF(G4979&lt;65,'General Basis'!$B$49,'General Basis'!$B$50)))))))))))))</f>
        <v/>
      </c>
      <c r="BI4979" s="744" t="str">
        <f t="shared" si="1721"/>
        <v/>
      </c>
      <c r="BJ4979" s="747" t="str">
        <f t="shared" si="1728"/>
        <v/>
      </c>
      <c r="BK4979" s="498" t="str">
        <f t="shared" si="1722"/>
        <v/>
      </c>
      <c r="BL4979" s="498" t="str">
        <f t="shared" si="1723"/>
        <v/>
      </c>
    </row>
    <row r="4980" spans="1:64" x14ac:dyDescent="0.25">
      <c r="A4980" s="762">
        <f t="shared" si="1724"/>
        <v>4975</v>
      </c>
      <c r="B4980" s="229"/>
      <c r="C4980" s="223"/>
      <c r="D4980" s="224"/>
      <c r="E4980" s="225"/>
      <c r="F4980" s="1036" t="str">
        <f t="shared" si="1730"/>
        <v/>
      </c>
      <c r="G4980" s="1037" t="str">
        <f t="shared" si="1725"/>
        <v/>
      </c>
      <c r="H4980" s="225"/>
      <c r="I4980" s="1013"/>
      <c r="J4980" s="1013"/>
      <c r="K4980" s="1028"/>
      <c r="L4980" s="1035" t="str">
        <f t="shared" si="1729"/>
        <v/>
      </c>
      <c r="S4980" s="498"/>
      <c r="AJ4980" s="498"/>
      <c r="AM4980" s="498">
        <f t="shared" si="1710"/>
        <v>0</v>
      </c>
      <c r="AN4980" s="498">
        <f t="shared" si="1711"/>
        <v>0</v>
      </c>
      <c r="AO4980" s="498">
        <f t="shared" si="1712"/>
        <v>0</v>
      </c>
      <c r="AP4980" s="498">
        <f t="shared" si="1731"/>
        <v>0</v>
      </c>
      <c r="AQ4980" s="498">
        <f t="shared" si="1726"/>
        <v>0</v>
      </c>
      <c r="AU4980" s="498">
        <f t="shared" si="1713"/>
        <v>0</v>
      </c>
      <c r="AV4980" s="498">
        <f t="shared" si="1714"/>
        <v>0</v>
      </c>
      <c r="AW4980" s="498">
        <f t="shared" si="1715"/>
        <v>0</v>
      </c>
      <c r="AX4980" s="498">
        <f t="shared" si="1716"/>
        <v>0</v>
      </c>
      <c r="AY4980" s="498">
        <f t="shared" si="1717"/>
        <v>0</v>
      </c>
      <c r="BB4980" s="498" t="str">
        <f t="shared" si="1718"/>
        <v/>
      </c>
      <c r="BC4980" s="743" t="str">
        <f t="shared" si="1719"/>
        <v/>
      </c>
      <c r="BD4980" s="743" t="str">
        <f t="shared" si="1720"/>
        <v/>
      </c>
      <c r="BE4980" s="743" t="str">
        <f>IF(D4980="","",VLOOKUP(D4980,'General Basis'!$J$39:$K$46,2,0))</f>
        <v/>
      </c>
      <c r="BF4980" s="744" t="str">
        <f>IF(D4980="","",VLOOKUP(D4980,'General Basis'!$J$39:$L$46,3,0))</f>
        <v/>
      </c>
      <c r="BG4980" s="744" t="str">
        <f t="shared" si="1727"/>
        <v/>
      </c>
      <c r="BH4980" s="744" t="str">
        <f>IF(G4980="","",IF(BF4980="Abu Dhabi",IF(G4980&lt;18,'General Basis'!$C$39,IF(G4980&lt;41,'General Basis'!$C$40,IF(G4980&lt;60,'General Basis'!$C$41,IF(G4980&lt;65,'General Basis'!$C$42,'General Basis'!$C$43)))),IF(G4980&lt;11,'General Basis'!$B$39,IF(G4980&lt;18,'General Basis'!$B$40,IF(G4980&lt;26,'General Basis'!$B$41,IF(G4980&lt;31,'General Basis'!$B$42,IF(G4980&lt;36,'General Basis'!$B$43,IF(G4980&lt;41,'General Basis'!$B$44,IF(G4980&lt;46,'General Basis'!$B$45,IF(G4980&lt;51,'General Basis'!$B$46,IF(G4980&lt;56,'General Basis'!$B$47,IF(G4980&lt;60,'General Basis'!$B$48,IF(G4980&lt;65,'General Basis'!$B$49,'General Basis'!$B$50)))))))))))))</f>
        <v/>
      </c>
      <c r="BI4980" s="744" t="str">
        <f t="shared" si="1721"/>
        <v/>
      </c>
      <c r="BJ4980" s="747" t="str">
        <f t="shared" si="1728"/>
        <v/>
      </c>
      <c r="BK4980" s="498" t="str">
        <f t="shared" si="1722"/>
        <v/>
      </c>
      <c r="BL4980" s="498" t="str">
        <f t="shared" si="1723"/>
        <v/>
      </c>
    </row>
    <row r="4981" spans="1:64" x14ac:dyDescent="0.25">
      <c r="A4981" s="762">
        <f t="shared" si="1724"/>
        <v>4976</v>
      </c>
      <c r="B4981" s="229"/>
      <c r="C4981" s="223"/>
      <c r="D4981" s="224"/>
      <c r="E4981" s="225"/>
      <c r="F4981" s="1036" t="str">
        <f t="shared" si="1730"/>
        <v/>
      </c>
      <c r="G4981" s="1037" t="str">
        <f t="shared" si="1725"/>
        <v/>
      </c>
      <c r="H4981" s="225"/>
      <c r="I4981" s="1013"/>
      <c r="J4981" s="1013"/>
      <c r="K4981" s="1028"/>
      <c r="L4981" s="1035" t="str">
        <f t="shared" si="1729"/>
        <v/>
      </c>
      <c r="S4981" s="498"/>
      <c r="AJ4981" s="498"/>
      <c r="AM4981" s="498">
        <f t="shared" si="1710"/>
        <v>0</v>
      </c>
      <c r="AN4981" s="498">
        <f t="shared" si="1711"/>
        <v>0</v>
      </c>
      <c r="AO4981" s="498">
        <f t="shared" si="1712"/>
        <v>0</v>
      </c>
      <c r="AP4981" s="498">
        <f t="shared" si="1731"/>
        <v>0</v>
      </c>
      <c r="AQ4981" s="498">
        <f t="shared" si="1726"/>
        <v>0</v>
      </c>
      <c r="AU4981" s="498">
        <f t="shared" si="1713"/>
        <v>0</v>
      </c>
      <c r="AV4981" s="498">
        <f t="shared" si="1714"/>
        <v>0</v>
      </c>
      <c r="AW4981" s="498">
        <f t="shared" si="1715"/>
        <v>0</v>
      </c>
      <c r="AX4981" s="498">
        <f t="shared" si="1716"/>
        <v>0</v>
      </c>
      <c r="AY4981" s="498">
        <f t="shared" si="1717"/>
        <v>0</v>
      </c>
      <c r="BB4981" s="498" t="str">
        <f t="shared" si="1718"/>
        <v/>
      </c>
      <c r="BC4981" s="743" t="str">
        <f t="shared" si="1719"/>
        <v/>
      </c>
      <c r="BD4981" s="743" t="str">
        <f t="shared" si="1720"/>
        <v/>
      </c>
      <c r="BE4981" s="743" t="str">
        <f>IF(D4981="","",VLOOKUP(D4981,'General Basis'!$J$39:$K$46,2,0))</f>
        <v/>
      </c>
      <c r="BF4981" s="744" t="str">
        <f>IF(D4981="","",VLOOKUP(D4981,'General Basis'!$J$39:$L$46,3,0))</f>
        <v/>
      </c>
      <c r="BG4981" s="744" t="str">
        <f t="shared" si="1727"/>
        <v/>
      </c>
      <c r="BH4981" s="744" t="str">
        <f>IF(G4981="","",IF(BF4981="Abu Dhabi",IF(G4981&lt;18,'General Basis'!$C$39,IF(G4981&lt;41,'General Basis'!$C$40,IF(G4981&lt;60,'General Basis'!$C$41,IF(G4981&lt;65,'General Basis'!$C$42,'General Basis'!$C$43)))),IF(G4981&lt;11,'General Basis'!$B$39,IF(G4981&lt;18,'General Basis'!$B$40,IF(G4981&lt;26,'General Basis'!$B$41,IF(G4981&lt;31,'General Basis'!$B$42,IF(G4981&lt;36,'General Basis'!$B$43,IF(G4981&lt;41,'General Basis'!$B$44,IF(G4981&lt;46,'General Basis'!$B$45,IF(G4981&lt;51,'General Basis'!$B$46,IF(G4981&lt;56,'General Basis'!$B$47,IF(G4981&lt;60,'General Basis'!$B$48,IF(G4981&lt;65,'General Basis'!$B$49,'General Basis'!$B$50)))))))))))))</f>
        <v/>
      </c>
      <c r="BI4981" s="744" t="str">
        <f t="shared" si="1721"/>
        <v/>
      </c>
      <c r="BJ4981" s="747" t="str">
        <f t="shared" si="1728"/>
        <v/>
      </c>
      <c r="BK4981" s="498" t="str">
        <f t="shared" si="1722"/>
        <v/>
      </c>
      <c r="BL4981" s="498" t="str">
        <f t="shared" si="1723"/>
        <v/>
      </c>
    </row>
    <row r="4982" spans="1:64" x14ac:dyDescent="0.25">
      <c r="A4982" s="762">
        <f t="shared" si="1724"/>
        <v>4977</v>
      </c>
      <c r="B4982" s="229"/>
      <c r="C4982" s="223"/>
      <c r="D4982" s="224"/>
      <c r="E4982" s="225"/>
      <c r="F4982" s="1036" t="str">
        <f t="shared" si="1730"/>
        <v/>
      </c>
      <c r="G4982" s="1037" t="str">
        <f t="shared" si="1725"/>
        <v/>
      </c>
      <c r="H4982" s="225"/>
      <c r="I4982" s="1013"/>
      <c r="J4982" s="1013"/>
      <c r="K4982" s="1028"/>
      <c r="L4982" s="1035" t="str">
        <f t="shared" si="1729"/>
        <v/>
      </c>
      <c r="S4982" s="498"/>
      <c r="AJ4982" s="498"/>
      <c r="AM4982" s="498">
        <f t="shared" si="1710"/>
        <v>0</v>
      </c>
      <c r="AN4982" s="498">
        <f t="shared" si="1711"/>
        <v>0</v>
      </c>
      <c r="AO4982" s="498">
        <f t="shared" si="1712"/>
        <v>0</v>
      </c>
      <c r="AP4982" s="498">
        <f t="shared" si="1731"/>
        <v>0</v>
      </c>
      <c r="AQ4982" s="498">
        <f t="shared" si="1726"/>
        <v>0</v>
      </c>
      <c r="AU4982" s="498">
        <f t="shared" si="1713"/>
        <v>0</v>
      </c>
      <c r="AV4982" s="498">
        <f t="shared" si="1714"/>
        <v>0</v>
      </c>
      <c r="AW4982" s="498">
        <f t="shared" si="1715"/>
        <v>0</v>
      </c>
      <c r="AX4982" s="498">
        <f t="shared" si="1716"/>
        <v>0</v>
      </c>
      <c r="AY4982" s="498">
        <f t="shared" si="1717"/>
        <v>0</v>
      </c>
      <c r="BB4982" s="498" t="str">
        <f t="shared" si="1718"/>
        <v/>
      </c>
      <c r="BC4982" s="743" t="str">
        <f t="shared" si="1719"/>
        <v/>
      </c>
      <c r="BD4982" s="743" t="str">
        <f t="shared" si="1720"/>
        <v/>
      </c>
      <c r="BE4982" s="743" t="str">
        <f>IF(D4982="","",VLOOKUP(D4982,'General Basis'!$J$39:$K$46,2,0))</f>
        <v/>
      </c>
      <c r="BF4982" s="744" t="str">
        <f>IF(D4982="","",VLOOKUP(D4982,'General Basis'!$J$39:$L$46,3,0))</f>
        <v/>
      </c>
      <c r="BG4982" s="744" t="str">
        <f t="shared" si="1727"/>
        <v/>
      </c>
      <c r="BH4982" s="744" t="str">
        <f>IF(G4982="","",IF(BF4982="Abu Dhabi",IF(G4982&lt;18,'General Basis'!$C$39,IF(G4982&lt;41,'General Basis'!$C$40,IF(G4982&lt;60,'General Basis'!$C$41,IF(G4982&lt;65,'General Basis'!$C$42,'General Basis'!$C$43)))),IF(G4982&lt;11,'General Basis'!$B$39,IF(G4982&lt;18,'General Basis'!$B$40,IF(G4982&lt;26,'General Basis'!$B$41,IF(G4982&lt;31,'General Basis'!$B$42,IF(G4982&lt;36,'General Basis'!$B$43,IF(G4982&lt;41,'General Basis'!$B$44,IF(G4982&lt;46,'General Basis'!$B$45,IF(G4982&lt;51,'General Basis'!$B$46,IF(G4982&lt;56,'General Basis'!$B$47,IF(G4982&lt;60,'General Basis'!$B$48,IF(G4982&lt;65,'General Basis'!$B$49,'General Basis'!$B$50)))))))))))))</f>
        <v/>
      </c>
      <c r="BI4982" s="744" t="str">
        <f t="shared" si="1721"/>
        <v/>
      </c>
      <c r="BJ4982" s="747" t="str">
        <f t="shared" si="1728"/>
        <v/>
      </c>
      <c r="BK4982" s="498" t="str">
        <f t="shared" si="1722"/>
        <v/>
      </c>
      <c r="BL4982" s="498" t="str">
        <f t="shared" si="1723"/>
        <v/>
      </c>
    </row>
    <row r="4983" spans="1:64" x14ac:dyDescent="0.25">
      <c r="A4983" s="762">
        <f t="shared" si="1724"/>
        <v>4978</v>
      </c>
      <c r="B4983" s="229"/>
      <c r="C4983" s="223"/>
      <c r="D4983" s="224"/>
      <c r="E4983" s="225"/>
      <c r="F4983" s="1036" t="str">
        <f t="shared" si="1730"/>
        <v/>
      </c>
      <c r="G4983" s="1037" t="str">
        <f t="shared" si="1725"/>
        <v/>
      </c>
      <c r="H4983" s="225"/>
      <c r="I4983" s="1013"/>
      <c r="J4983" s="1013"/>
      <c r="K4983" s="1028"/>
      <c r="L4983" s="1035" t="str">
        <f t="shared" si="1729"/>
        <v/>
      </c>
      <c r="S4983" s="498"/>
      <c r="AJ4983" s="498"/>
      <c r="AM4983" s="498">
        <f t="shared" si="1710"/>
        <v>0</v>
      </c>
      <c r="AN4983" s="498">
        <f t="shared" si="1711"/>
        <v>0</v>
      </c>
      <c r="AO4983" s="498">
        <f t="shared" si="1712"/>
        <v>0</v>
      </c>
      <c r="AP4983" s="498">
        <f t="shared" si="1731"/>
        <v>0</v>
      </c>
      <c r="AQ4983" s="498">
        <f t="shared" si="1726"/>
        <v>0</v>
      </c>
      <c r="AU4983" s="498">
        <f t="shared" si="1713"/>
        <v>0</v>
      </c>
      <c r="AV4983" s="498">
        <f t="shared" si="1714"/>
        <v>0</v>
      </c>
      <c r="AW4983" s="498">
        <f t="shared" si="1715"/>
        <v>0</v>
      </c>
      <c r="AX4983" s="498">
        <f t="shared" si="1716"/>
        <v>0</v>
      </c>
      <c r="AY4983" s="498">
        <f t="shared" si="1717"/>
        <v>0</v>
      </c>
      <c r="BB4983" s="498" t="str">
        <f t="shared" si="1718"/>
        <v/>
      </c>
      <c r="BC4983" s="743" t="str">
        <f t="shared" si="1719"/>
        <v/>
      </c>
      <c r="BD4983" s="743" t="str">
        <f t="shared" si="1720"/>
        <v/>
      </c>
      <c r="BE4983" s="743" t="str">
        <f>IF(D4983="","",VLOOKUP(D4983,'General Basis'!$J$39:$K$46,2,0))</f>
        <v/>
      </c>
      <c r="BF4983" s="744" t="str">
        <f>IF(D4983="","",VLOOKUP(D4983,'General Basis'!$J$39:$L$46,3,0))</f>
        <v/>
      </c>
      <c r="BG4983" s="744" t="str">
        <f t="shared" si="1727"/>
        <v/>
      </c>
      <c r="BH4983" s="744" t="str">
        <f>IF(G4983="","",IF(BF4983="Abu Dhabi",IF(G4983&lt;18,'General Basis'!$C$39,IF(G4983&lt;41,'General Basis'!$C$40,IF(G4983&lt;60,'General Basis'!$C$41,IF(G4983&lt;65,'General Basis'!$C$42,'General Basis'!$C$43)))),IF(G4983&lt;11,'General Basis'!$B$39,IF(G4983&lt;18,'General Basis'!$B$40,IF(G4983&lt;26,'General Basis'!$B$41,IF(G4983&lt;31,'General Basis'!$B$42,IF(G4983&lt;36,'General Basis'!$B$43,IF(G4983&lt;41,'General Basis'!$B$44,IF(G4983&lt;46,'General Basis'!$B$45,IF(G4983&lt;51,'General Basis'!$B$46,IF(G4983&lt;56,'General Basis'!$B$47,IF(G4983&lt;60,'General Basis'!$B$48,IF(G4983&lt;65,'General Basis'!$B$49,'General Basis'!$B$50)))))))))))))</f>
        <v/>
      </c>
      <c r="BI4983" s="744" t="str">
        <f t="shared" si="1721"/>
        <v/>
      </c>
      <c r="BJ4983" s="747" t="str">
        <f t="shared" si="1728"/>
        <v/>
      </c>
      <c r="BK4983" s="498" t="str">
        <f t="shared" si="1722"/>
        <v/>
      </c>
      <c r="BL4983" s="498" t="str">
        <f t="shared" si="1723"/>
        <v/>
      </c>
    </row>
    <row r="4984" spans="1:64" x14ac:dyDescent="0.25">
      <c r="A4984" s="762">
        <f t="shared" si="1724"/>
        <v>4979</v>
      </c>
      <c r="B4984" s="229"/>
      <c r="C4984" s="223"/>
      <c r="D4984" s="224"/>
      <c r="E4984" s="225"/>
      <c r="F4984" s="1036" t="str">
        <f t="shared" si="1730"/>
        <v/>
      </c>
      <c r="G4984" s="1037" t="str">
        <f t="shared" si="1725"/>
        <v/>
      </c>
      <c r="H4984" s="225"/>
      <c r="I4984" s="1013"/>
      <c r="J4984" s="1013"/>
      <c r="K4984" s="1028"/>
      <c r="L4984" s="1035" t="str">
        <f t="shared" si="1729"/>
        <v/>
      </c>
      <c r="S4984" s="498"/>
      <c r="AJ4984" s="498"/>
      <c r="AM4984" s="498">
        <f t="shared" si="1710"/>
        <v>0</v>
      </c>
      <c r="AN4984" s="498">
        <f t="shared" si="1711"/>
        <v>0</v>
      </c>
      <c r="AO4984" s="498">
        <f t="shared" si="1712"/>
        <v>0</v>
      </c>
      <c r="AP4984" s="498">
        <f t="shared" si="1731"/>
        <v>0</v>
      </c>
      <c r="AQ4984" s="498">
        <f t="shared" si="1726"/>
        <v>0</v>
      </c>
      <c r="AU4984" s="498">
        <f t="shared" si="1713"/>
        <v>0</v>
      </c>
      <c r="AV4984" s="498">
        <f t="shared" si="1714"/>
        <v>0</v>
      </c>
      <c r="AW4984" s="498">
        <f t="shared" si="1715"/>
        <v>0</v>
      </c>
      <c r="AX4984" s="498">
        <f t="shared" si="1716"/>
        <v>0</v>
      </c>
      <c r="AY4984" s="498">
        <f t="shared" si="1717"/>
        <v>0</v>
      </c>
      <c r="BB4984" s="498" t="str">
        <f t="shared" si="1718"/>
        <v/>
      </c>
      <c r="BC4984" s="743" t="str">
        <f t="shared" si="1719"/>
        <v/>
      </c>
      <c r="BD4984" s="743" t="str">
        <f t="shared" si="1720"/>
        <v/>
      </c>
      <c r="BE4984" s="743" t="str">
        <f>IF(D4984="","",VLOOKUP(D4984,'General Basis'!$J$39:$K$46,2,0))</f>
        <v/>
      </c>
      <c r="BF4984" s="744" t="str">
        <f>IF(D4984="","",VLOOKUP(D4984,'General Basis'!$J$39:$L$46,3,0))</f>
        <v/>
      </c>
      <c r="BG4984" s="744" t="str">
        <f t="shared" si="1727"/>
        <v/>
      </c>
      <c r="BH4984" s="744" t="str">
        <f>IF(G4984="","",IF(BF4984="Abu Dhabi",IF(G4984&lt;18,'General Basis'!$C$39,IF(G4984&lt;41,'General Basis'!$C$40,IF(G4984&lt;60,'General Basis'!$C$41,IF(G4984&lt;65,'General Basis'!$C$42,'General Basis'!$C$43)))),IF(G4984&lt;11,'General Basis'!$B$39,IF(G4984&lt;18,'General Basis'!$B$40,IF(G4984&lt;26,'General Basis'!$B$41,IF(G4984&lt;31,'General Basis'!$B$42,IF(G4984&lt;36,'General Basis'!$B$43,IF(G4984&lt;41,'General Basis'!$B$44,IF(G4984&lt;46,'General Basis'!$B$45,IF(G4984&lt;51,'General Basis'!$B$46,IF(G4984&lt;56,'General Basis'!$B$47,IF(G4984&lt;60,'General Basis'!$B$48,IF(G4984&lt;65,'General Basis'!$B$49,'General Basis'!$B$50)))))))))))))</f>
        <v/>
      </c>
      <c r="BI4984" s="744" t="str">
        <f t="shared" si="1721"/>
        <v/>
      </c>
      <c r="BJ4984" s="747" t="str">
        <f t="shared" si="1728"/>
        <v/>
      </c>
      <c r="BK4984" s="498" t="str">
        <f t="shared" si="1722"/>
        <v/>
      </c>
      <c r="BL4984" s="498" t="str">
        <f t="shared" si="1723"/>
        <v/>
      </c>
    </row>
    <row r="4985" spans="1:64" x14ac:dyDescent="0.25">
      <c r="A4985" s="762">
        <f t="shared" si="1724"/>
        <v>4980</v>
      </c>
      <c r="B4985" s="229"/>
      <c r="C4985" s="223"/>
      <c r="D4985" s="224"/>
      <c r="E4985" s="225"/>
      <c r="F4985" s="1036" t="str">
        <f t="shared" si="1730"/>
        <v/>
      </c>
      <c r="G4985" s="1037" t="str">
        <f t="shared" si="1725"/>
        <v/>
      </c>
      <c r="H4985" s="225"/>
      <c r="I4985" s="1013"/>
      <c r="J4985" s="1013"/>
      <c r="K4985" s="1028"/>
      <c r="L4985" s="1035" t="str">
        <f t="shared" si="1729"/>
        <v/>
      </c>
      <c r="S4985" s="498"/>
      <c r="AJ4985" s="498"/>
      <c r="AM4985" s="498">
        <f t="shared" si="1710"/>
        <v>0</v>
      </c>
      <c r="AN4985" s="498">
        <f t="shared" si="1711"/>
        <v>0</v>
      </c>
      <c r="AO4985" s="498">
        <f t="shared" si="1712"/>
        <v>0</v>
      </c>
      <c r="AP4985" s="498">
        <f t="shared" si="1731"/>
        <v>0</v>
      </c>
      <c r="AQ4985" s="498">
        <f t="shared" si="1726"/>
        <v>0</v>
      </c>
      <c r="AU4985" s="498">
        <f t="shared" si="1713"/>
        <v>0</v>
      </c>
      <c r="AV4985" s="498">
        <f t="shared" si="1714"/>
        <v>0</v>
      </c>
      <c r="AW4985" s="498">
        <f t="shared" si="1715"/>
        <v>0</v>
      </c>
      <c r="AX4985" s="498">
        <f t="shared" si="1716"/>
        <v>0</v>
      </c>
      <c r="AY4985" s="498">
        <f t="shared" si="1717"/>
        <v>0</v>
      </c>
      <c r="BB4985" s="498" t="str">
        <f t="shared" si="1718"/>
        <v/>
      </c>
      <c r="BC4985" s="743" t="str">
        <f t="shared" si="1719"/>
        <v/>
      </c>
      <c r="BD4985" s="743" t="str">
        <f t="shared" si="1720"/>
        <v/>
      </c>
      <c r="BE4985" s="743" t="str">
        <f>IF(D4985="","",VLOOKUP(D4985,'General Basis'!$J$39:$K$46,2,0))</f>
        <v/>
      </c>
      <c r="BF4985" s="744" t="str">
        <f>IF(D4985="","",VLOOKUP(D4985,'General Basis'!$J$39:$L$46,3,0))</f>
        <v/>
      </c>
      <c r="BG4985" s="744" t="str">
        <f t="shared" si="1727"/>
        <v/>
      </c>
      <c r="BH4985" s="744" t="str">
        <f>IF(G4985="","",IF(BF4985="Abu Dhabi",IF(G4985&lt;18,'General Basis'!$C$39,IF(G4985&lt;41,'General Basis'!$C$40,IF(G4985&lt;60,'General Basis'!$C$41,IF(G4985&lt;65,'General Basis'!$C$42,'General Basis'!$C$43)))),IF(G4985&lt;11,'General Basis'!$B$39,IF(G4985&lt;18,'General Basis'!$B$40,IF(G4985&lt;26,'General Basis'!$B$41,IF(G4985&lt;31,'General Basis'!$B$42,IF(G4985&lt;36,'General Basis'!$B$43,IF(G4985&lt;41,'General Basis'!$B$44,IF(G4985&lt;46,'General Basis'!$B$45,IF(G4985&lt;51,'General Basis'!$B$46,IF(G4985&lt;56,'General Basis'!$B$47,IF(G4985&lt;60,'General Basis'!$B$48,IF(G4985&lt;65,'General Basis'!$B$49,'General Basis'!$B$50)))))))))))))</f>
        <v/>
      </c>
      <c r="BI4985" s="744" t="str">
        <f t="shared" si="1721"/>
        <v/>
      </c>
      <c r="BJ4985" s="747" t="str">
        <f t="shared" si="1728"/>
        <v/>
      </c>
      <c r="BK4985" s="498" t="str">
        <f t="shared" si="1722"/>
        <v/>
      </c>
      <c r="BL4985" s="498" t="str">
        <f t="shared" si="1723"/>
        <v/>
      </c>
    </row>
    <row r="4986" spans="1:64" x14ac:dyDescent="0.25">
      <c r="A4986" s="762">
        <f t="shared" si="1724"/>
        <v>4981</v>
      </c>
      <c r="B4986" s="229"/>
      <c r="C4986" s="223"/>
      <c r="D4986" s="224"/>
      <c r="E4986" s="225"/>
      <c r="F4986" s="1036" t="str">
        <f t="shared" si="1730"/>
        <v/>
      </c>
      <c r="G4986" s="1037" t="str">
        <f t="shared" si="1725"/>
        <v/>
      </c>
      <c r="H4986" s="225"/>
      <c r="I4986" s="1013"/>
      <c r="J4986" s="1013"/>
      <c r="K4986" s="1028"/>
      <c r="L4986" s="1035" t="str">
        <f t="shared" si="1729"/>
        <v/>
      </c>
      <c r="S4986" s="498"/>
      <c r="AJ4986" s="498"/>
      <c r="AM4986" s="498">
        <f t="shared" si="1710"/>
        <v>0</v>
      </c>
      <c r="AN4986" s="498">
        <f t="shared" si="1711"/>
        <v>0</v>
      </c>
      <c r="AO4986" s="498">
        <f t="shared" si="1712"/>
        <v>0</v>
      </c>
      <c r="AP4986" s="498">
        <f t="shared" si="1731"/>
        <v>0</v>
      </c>
      <c r="AQ4986" s="498">
        <f t="shared" si="1726"/>
        <v>0</v>
      </c>
      <c r="AU4986" s="498">
        <f t="shared" si="1713"/>
        <v>0</v>
      </c>
      <c r="AV4986" s="498">
        <f t="shared" si="1714"/>
        <v>0</v>
      </c>
      <c r="AW4986" s="498">
        <f t="shared" si="1715"/>
        <v>0</v>
      </c>
      <c r="AX4986" s="498">
        <f t="shared" si="1716"/>
        <v>0</v>
      </c>
      <c r="AY4986" s="498">
        <f t="shared" si="1717"/>
        <v>0</v>
      </c>
      <c r="BB4986" s="498" t="str">
        <f t="shared" si="1718"/>
        <v/>
      </c>
      <c r="BC4986" s="743" t="str">
        <f t="shared" si="1719"/>
        <v/>
      </c>
      <c r="BD4986" s="743" t="str">
        <f t="shared" si="1720"/>
        <v/>
      </c>
      <c r="BE4986" s="743" t="str">
        <f>IF(D4986="","",VLOOKUP(D4986,'General Basis'!$J$39:$K$46,2,0))</f>
        <v/>
      </c>
      <c r="BF4986" s="744" t="str">
        <f>IF(D4986="","",VLOOKUP(D4986,'General Basis'!$J$39:$L$46,3,0))</f>
        <v/>
      </c>
      <c r="BG4986" s="744" t="str">
        <f t="shared" si="1727"/>
        <v/>
      </c>
      <c r="BH4986" s="744" t="str">
        <f>IF(G4986="","",IF(BF4986="Abu Dhabi",IF(G4986&lt;18,'General Basis'!$C$39,IF(G4986&lt;41,'General Basis'!$C$40,IF(G4986&lt;60,'General Basis'!$C$41,IF(G4986&lt;65,'General Basis'!$C$42,'General Basis'!$C$43)))),IF(G4986&lt;11,'General Basis'!$B$39,IF(G4986&lt;18,'General Basis'!$B$40,IF(G4986&lt;26,'General Basis'!$B$41,IF(G4986&lt;31,'General Basis'!$B$42,IF(G4986&lt;36,'General Basis'!$B$43,IF(G4986&lt;41,'General Basis'!$B$44,IF(G4986&lt;46,'General Basis'!$B$45,IF(G4986&lt;51,'General Basis'!$B$46,IF(G4986&lt;56,'General Basis'!$B$47,IF(G4986&lt;60,'General Basis'!$B$48,IF(G4986&lt;65,'General Basis'!$B$49,'General Basis'!$B$50)))))))))))))</f>
        <v/>
      </c>
      <c r="BI4986" s="744" t="str">
        <f t="shared" si="1721"/>
        <v/>
      </c>
      <c r="BJ4986" s="747" t="str">
        <f t="shared" si="1728"/>
        <v/>
      </c>
      <c r="BK4986" s="498" t="str">
        <f t="shared" si="1722"/>
        <v/>
      </c>
      <c r="BL4986" s="498" t="str">
        <f t="shared" si="1723"/>
        <v/>
      </c>
    </row>
    <row r="4987" spans="1:64" x14ac:dyDescent="0.25">
      <c r="A4987" s="762">
        <f t="shared" si="1724"/>
        <v>4982</v>
      </c>
      <c r="B4987" s="229"/>
      <c r="C4987" s="223"/>
      <c r="D4987" s="224"/>
      <c r="E4987" s="225"/>
      <c r="F4987" s="1036" t="str">
        <f t="shared" si="1730"/>
        <v/>
      </c>
      <c r="G4987" s="1037" t="str">
        <f t="shared" si="1725"/>
        <v/>
      </c>
      <c r="H4987" s="225"/>
      <c r="I4987" s="1013"/>
      <c r="J4987" s="1013"/>
      <c r="K4987" s="1028"/>
      <c r="L4987" s="1035" t="str">
        <f t="shared" si="1729"/>
        <v/>
      </c>
      <c r="S4987" s="498"/>
      <c r="AJ4987" s="498"/>
      <c r="AM4987" s="498">
        <f t="shared" si="1710"/>
        <v>0</v>
      </c>
      <c r="AN4987" s="498">
        <f t="shared" si="1711"/>
        <v>0</v>
      </c>
      <c r="AO4987" s="498">
        <f t="shared" si="1712"/>
        <v>0</v>
      </c>
      <c r="AP4987" s="498">
        <f t="shared" si="1731"/>
        <v>0</v>
      </c>
      <c r="AQ4987" s="498">
        <f t="shared" si="1726"/>
        <v>0</v>
      </c>
      <c r="AU4987" s="498">
        <f t="shared" si="1713"/>
        <v>0</v>
      </c>
      <c r="AV4987" s="498">
        <f t="shared" si="1714"/>
        <v>0</v>
      </c>
      <c r="AW4987" s="498">
        <f t="shared" si="1715"/>
        <v>0</v>
      </c>
      <c r="AX4987" s="498">
        <f t="shared" si="1716"/>
        <v>0</v>
      </c>
      <c r="AY4987" s="498">
        <f t="shared" si="1717"/>
        <v>0</v>
      </c>
      <c r="BB4987" s="498" t="str">
        <f t="shared" si="1718"/>
        <v/>
      </c>
      <c r="BC4987" s="743" t="str">
        <f t="shared" si="1719"/>
        <v/>
      </c>
      <c r="BD4987" s="743" t="str">
        <f t="shared" si="1720"/>
        <v/>
      </c>
      <c r="BE4987" s="743" t="str">
        <f>IF(D4987="","",VLOOKUP(D4987,'General Basis'!$J$39:$K$46,2,0))</f>
        <v/>
      </c>
      <c r="BF4987" s="744" t="str">
        <f>IF(D4987="","",VLOOKUP(D4987,'General Basis'!$J$39:$L$46,3,0))</f>
        <v/>
      </c>
      <c r="BG4987" s="744" t="str">
        <f t="shared" si="1727"/>
        <v/>
      </c>
      <c r="BH4987" s="744" t="str">
        <f>IF(G4987="","",IF(BF4987="Abu Dhabi",IF(G4987&lt;18,'General Basis'!$C$39,IF(G4987&lt;41,'General Basis'!$C$40,IF(G4987&lt;60,'General Basis'!$C$41,IF(G4987&lt;65,'General Basis'!$C$42,'General Basis'!$C$43)))),IF(G4987&lt;11,'General Basis'!$B$39,IF(G4987&lt;18,'General Basis'!$B$40,IF(G4987&lt;26,'General Basis'!$B$41,IF(G4987&lt;31,'General Basis'!$B$42,IF(G4987&lt;36,'General Basis'!$B$43,IF(G4987&lt;41,'General Basis'!$B$44,IF(G4987&lt;46,'General Basis'!$B$45,IF(G4987&lt;51,'General Basis'!$B$46,IF(G4987&lt;56,'General Basis'!$B$47,IF(G4987&lt;60,'General Basis'!$B$48,IF(G4987&lt;65,'General Basis'!$B$49,'General Basis'!$B$50)))))))))))))</f>
        <v/>
      </c>
      <c r="BI4987" s="744" t="str">
        <f t="shared" si="1721"/>
        <v/>
      </c>
      <c r="BJ4987" s="747" t="str">
        <f t="shared" si="1728"/>
        <v/>
      </c>
      <c r="BK4987" s="498" t="str">
        <f t="shared" si="1722"/>
        <v/>
      </c>
      <c r="BL4987" s="498" t="str">
        <f t="shared" si="1723"/>
        <v/>
      </c>
    </row>
    <row r="4988" spans="1:64" x14ac:dyDescent="0.25">
      <c r="A4988" s="762">
        <f t="shared" si="1724"/>
        <v>4983</v>
      </c>
      <c r="B4988" s="229"/>
      <c r="C4988" s="223"/>
      <c r="D4988" s="224"/>
      <c r="E4988" s="225"/>
      <c r="F4988" s="1036" t="str">
        <f t="shared" si="1730"/>
        <v/>
      </c>
      <c r="G4988" s="1037" t="str">
        <f t="shared" si="1725"/>
        <v/>
      </c>
      <c r="H4988" s="225"/>
      <c r="I4988" s="1013"/>
      <c r="J4988" s="1013"/>
      <c r="K4988" s="1028"/>
      <c r="L4988" s="1035" t="str">
        <f t="shared" si="1729"/>
        <v/>
      </c>
      <c r="S4988" s="498"/>
      <c r="AJ4988" s="498"/>
      <c r="AM4988" s="498">
        <f t="shared" si="1710"/>
        <v>0</v>
      </c>
      <c r="AN4988" s="498">
        <f t="shared" si="1711"/>
        <v>0</v>
      </c>
      <c r="AO4988" s="498">
        <f t="shared" si="1712"/>
        <v>0</v>
      </c>
      <c r="AP4988" s="498">
        <f t="shared" si="1731"/>
        <v>0</v>
      </c>
      <c r="AQ4988" s="498">
        <f t="shared" si="1726"/>
        <v>0</v>
      </c>
      <c r="AU4988" s="498">
        <f t="shared" si="1713"/>
        <v>0</v>
      </c>
      <c r="AV4988" s="498">
        <f t="shared" si="1714"/>
        <v>0</v>
      </c>
      <c r="AW4988" s="498">
        <f t="shared" si="1715"/>
        <v>0</v>
      </c>
      <c r="AX4988" s="498">
        <f t="shared" si="1716"/>
        <v>0</v>
      </c>
      <c r="AY4988" s="498">
        <f t="shared" si="1717"/>
        <v>0</v>
      </c>
      <c r="BB4988" s="498" t="str">
        <f t="shared" si="1718"/>
        <v/>
      </c>
      <c r="BC4988" s="743" t="str">
        <f t="shared" si="1719"/>
        <v/>
      </c>
      <c r="BD4988" s="743" t="str">
        <f t="shared" si="1720"/>
        <v/>
      </c>
      <c r="BE4988" s="743" t="str">
        <f>IF(D4988="","",VLOOKUP(D4988,'General Basis'!$J$39:$K$46,2,0))</f>
        <v/>
      </c>
      <c r="BF4988" s="744" t="str">
        <f>IF(D4988="","",VLOOKUP(D4988,'General Basis'!$J$39:$L$46,3,0))</f>
        <v/>
      </c>
      <c r="BG4988" s="744" t="str">
        <f t="shared" si="1727"/>
        <v/>
      </c>
      <c r="BH4988" s="744" t="str">
        <f>IF(G4988="","",IF(BF4988="Abu Dhabi",IF(G4988&lt;18,'General Basis'!$C$39,IF(G4988&lt;41,'General Basis'!$C$40,IF(G4988&lt;60,'General Basis'!$C$41,IF(G4988&lt;65,'General Basis'!$C$42,'General Basis'!$C$43)))),IF(G4988&lt;11,'General Basis'!$B$39,IF(G4988&lt;18,'General Basis'!$B$40,IF(G4988&lt;26,'General Basis'!$B$41,IF(G4988&lt;31,'General Basis'!$B$42,IF(G4988&lt;36,'General Basis'!$B$43,IF(G4988&lt;41,'General Basis'!$B$44,IF(G4988&lt;46,'General Basis'!$B$45,IF(G4988&lt;51,'General Basis'!$B$46,IF(G4988&lt;56,'General Basis'!$B$47,IF(G4988&lt;60,'General Basis'!$B$48,IF(G4988&lt;65,'General Basis'!$B$49,'General Basis'!$B$50)))))))))))))</f>
        <v/>
      </c>
      <c r="BI4988" s="744" t="str">
        <f t="shared" si="1721"/>
        <v/>
      </c>
      <c r="BJ4988" s="747" t="str">
        <f t="shared" si="1728"/>
        <v/>
      </c>
      <c r="BK4988" s="498" t="str">
        <f t="shared" si="1722"/>
        <v/>
      </c>
      <c r="BL4988" s="498" t="str">
        <f t="shared" si="1723"/>
        <v/>
      </c>
    </row>
    <row r="4989" spans="1:64" x14ac:dyDescent="0.25">
      <c r="A4989" s="762">
        <f t="shared" si="1724"/>
        <v>4984</v>
      </c>
      <c r="B4989" s="229"/>
      <c r="C4989" s="223"/>
      <c r="D4989" s="224"/>
      <c r="E4989" s="225"/>
      <c r="F4989" s="1036" t="str">
        <f t="shared" si="1730"/>
        <v/>
      </c>
      <c r="G4989" s="1037" t="str">
        <f t="shared" si="1725"/>
        <v/>
      </c>
      <c r="H4989" s="225"/>
      <c r="I4989" s="1013"/>
      <c r="J4989" s="1013"/>
      <c r="K4989" s="1028"/>
      <c r="L4989" s="1035" t="str">
        <f t="shared" si="1729"/>
        <v/>
      </c>
      <c r="S4989" s="498"/>
      <c r="AJ4989" s="498"/>
      <c r="AM4989" s="498">
        <f t="shared" si="1710"/>
        <v>0</v>
      </c>
      <c r="AN4989" s="498">
        <f t="shared" si="1711"/>
        <v>0</v>
      </c>
      <c r="AO4989" s="498">
        <f t="shared" si="1712"/>
        <v>0</v>
      </c>
      <c r="AP4989" s="498">
        <f t="shared" si="1731"/>
        <v>0</v>
      </c>
      <c r="AQ4989" s="498">
        <f t="shared" si="1726"/>
        <v>0</v>
      </c>
      <c r="AU4989" s="498">
        <f t="shared" si="1713"/>
        <v>0</v>
      </c>
      <c r="AV4989" s="498">
        <f t="shared" si="1714"/>
        <v>0</v>
      </c>
      <c r="AW4989" s="498">
        <f t="shared" si="1715"/>
        <v>0</v>
      </c>
      <c r="AX4989" s="498">
        <f t="shared" si="1716"/>
        <v>0</v>
      </c>
      <c r="AY4989" s="498">
        <f t="shared" si="1717"/>
        <v>0</v>
      </c>
      <c r="BB4989" s="498" t="str">
        <f t="shared" si="1718"/>
        <v/>
      </c>
      <c r="BC4989" s="743" t="str">
        <f t="shared" si="1719"/>
        <v/>
      </c>
      <c r="BD4989" s="743" t="str">
        <f t="shared" si="1720"/>
        <v/>
      </c>
      <c r="BE4989" s="743" t="str">
        <f>IF(D4989="","",VLOOKUP(D4989,'General Basis'!$J$39:$K$46,2,0))</f>
        <v/>
      </c>
      <c r="BF4989" s="744" t="str">
        <f>IF(D4989="","",VLOOKUP(D4989,'General Basis'!$J$39:$L$46,3,0))</f>
        <v/>
      </c>
      <c r="BG4989" s="744" t="str">
        <f t="shared" si="1727"/>
        <v/>
      </c>
      <c r="BH4989" s="744" t="str">
        <f>IF(G4989="","",IF(BF4989="Abu Dhabi",IF(G4989&lt;18,'General Basis'!$C$39,IF(G4989&lt;41,'General Basis'!$C$40,IF(G4989&lt;60,'General Basis'!$C$41,IF(G4989&lt;65,'General Basis'!$C$42,'General Basis'!$C$43)))),IF(G4989&lt;11,'General Basis'!$B$39,IF(G4989&lt;18,'General Basis'!$B$40,IF(G4989&lt;26,'General Basis'!$B$41,IF(G4989&lt;31,'General Basis'!$B$42,IF(G4989&lt;36,'General Basis'!$B$43,IF(G4989&lt;41,'General Basis'!$B$44,IF(G4989&lt;46,'General Basis'!$B$45,IF(G4989&lt;51,'General Basis'!$B$46,IF(G4989&lt;56,'General Basis'!$B$47,IF(G4989&lt;60,'General Basis'!$B$48,IF(G4989&lt;65,'General Basis'!$B$49,'General Basis'!$B$50)))))))))))))</f>
        <v/>
      </c>
      <c r="BI4989" s="744" t="str">
        <f t="shared" si="1721"/>
        <v/>
      </c>
      <c r="BJ4989" s="747" t="str">
        <f t="shared" si="1728"/>
        <v/>
      </c>
      <c r="BK4989" s="498" t="str">
        <f t="shared" si="1722"/>
        <v/>
      </c>
      <c r="BL4989" s="498" t="str">
        <f t="shared" si="1723"/>
        <v/>
      </c>
    </row>
    <row r="4990" spans="1:64" x14ac:dyDescent="0.25">
      <c r="A4990" s="762">
        <f t="shared" si="1724"/>
        <v>4985</v>
      </c>
      <c r="B4990" s="229"/>
      <c r="C4990" s="223"/>
      <c r="D4990" s="224"/>
      <c r="E4990" s="225"/>
      <c r="F4990" s="1036" t="str">
        <f t="shared" si="1730"/>
        <v/>
      </c>
      <c r="G4990" s="1037" t="str">
        <f t="shared" si="1725"/>
        <v/>
      </c>
      <c r="H4990" s="225"/>
      <c r="I4990" s="1013"/>
      <c r="J4990" s="1013"/>
      <c r="K4990" s="1028"/>
      <c r="L4990" s="1035" t="str">
        <f t="shared" si="1729"/>
        <v/>
      </c>
      <c r="S4990" s="498"/>
      <c r="AJ4990" s="498"/>
      <c r="AM4990" s="498">
        <f t="shared" si="1710"/>
        <v>0</v>
      </c>
      <c r="AN4990" s="498">
        <f t="shared" si="1711"/>
        <v>0</v>
      </c>
      <c r="AO4990" s="498">
        <f t="shared" si="1712"/>
        <v>0</v>
      </c>
      <c r="AP4990" s="498">
        <f t="shared" si="1731"/>
        <v>0</v>
      </c>
      <c r="AQ4990" s="498">
        <f t="shared" si="1726"/>
        <v>0</v>
      </c>
      <c r="AU4990" s="498">
        <f t="shared" si="1713"/>
        <v>0</v>
      </c>
      <c r="AV4990" s="498">
        <f t="shared" si="1714"/>
        <v>0</v>
      </c>
      <c r="AW4990" s="498">
        <f t="shared" si="1715"/>
        <v>0</v>
      </c>
      <c r="AX4990" s="498">
        <f t="shared" si="1716"/>
        <v>0</v>
      </c>
      <c r="AY4990" s="498">
        <f t="shared" si="1717"/>
        <v>0</v>
      </c>
      <c r="BB4990" s="498" t="str">
        <f t="shared" si="1718"/>
        <v/>
      </c>
      <c r="BC4990" s="743" t="str">
        <f t="shared" si="1719"/>
        <v/>
      </c>
      <c r="BD4990" s="743" t="str">
        <f t="shared" si="1720"/>
        <v/>
      </c>
      <c r="BE4990" s="743" t="str">
        <f>IF(D4990="","",VLOOKUP(D4990,'General Basis'!$J$39:$K$46,2,0))</f>
        <v/>
      </c>
      <c r="BF4990" s="744" t="str">
        <f>IF(D4990="","",VLOOKUP(D4990,'General Basis'!$J$39:$L$46,3,0))</f>
        <v/>
      </c>
      <c r="BG4990" s="744" t="str">
        <f t="shared" si="1727"/>
        <v/>
      </c>
      <c r="BH4990" s="744" t="str">
        <f>IF(G4990="","",IF(BF4990="Abu Dhabi",IF(G4990&lt;18,'General Basis'!$C$39,IF(G4990&lt;41,'General Basis'!$C$40,IF(G4990&lt;60,'General Basis'!$C$41,IF(G4990&lt;65,'General Basis'!$C$42,'General Basis'!$C$43)))),IF(G4990&lt;11,'General Basis'!$B$39,IF(G4990&lt;18,'General Basis'!$B$40,IF(G4990&lt;26,'General Basis'!$B$41,IF(G4990&lt;31,'General Basis'!$B$42,IF(G4990&lt;36,'General Basis'!$B$43,IF(G4990&lt;41,'General Basis'!$B$44,IF(G4990&lt;46,'General Basis'!$B$45,IF(G4990&lt;51,'General Basis'!$B$46,IF(G4990&lt;56,'General Basis'!$B$47,IF(G4990&lt;60,'General Basis'!$B$48,IF(G4990&lt;65,'General Basis'!$B$49,'General Basis'!$B$50)))))))))))))</f>
        <v/>
      </c>
      <c r="BI4990" s="744" t="str">
        <f t="shared" si="1721"/>
        <v/>
      </c>
      <c r="BJ4990" s="747" t="str">
        <f t="shared" si="1728"/>
        <v/>
      </c>
      <c r="BK4990" s="498" t="str">
        <f t="shared" si="1722"/>
        <v/>
      </c>
      <c r="BL4990" s="498" t="str">
        <f t="shared" si="1723"/>
        <v/>
      </c>
    </row>
    <row r="4991" spans="1:64" x14ac:dyDescent="0.25">
      <c r="A4991" s="762">
        <f t="shared" si="1724"/>
        <v>4986</v>
      </c>
      <c r="B4991" s="229"/>
      <c r="C4991" s="223"/>
      <c r="D4991" s="224"/>
      <c r="E4991" s="225"/>
      <c r="F4991" s="1036" t="str">
        <f t="shared" si="1730"/>
        <v/>
      </c>
      <c r="G4991" s="1037" t="str">
        <f t="shared" si="1725"/>
        <v/>
      </c>
      <c r="H4991" s="225"/>
      <c r="I4991" s="1013"/>
      <c r="J4991" s="1013"/>
      <c r="K4991" s="1028"/>
      <c r="L4991" s="1035" t="str">
        <f t="shared" si="1729"/>
        <v/>
      </c>
      <c r="S4991" s="498"/>
      <c r="AJ4991" s="498"/>
      <c r="AM4991" s="498">
        <f t="shared" si="1710"/>
        <v>0</v>
      </c>
      <c r="AN4991" s="498">
        <f t="shared" si="1711"/>
        <v>0</v>
      </c>
      <c r="AO4991" s="498">
        <f t="shared" si="1712"/>
        <v>0</v>
      </c>
      <c r="AP4991" s="498">
        <f t="shared" si="1731"/>
        <v>0</v>
      </c>
      <c r="AQ4991" s="498">
        <f t="shared" si="1726"/>
        <v>0</v>
      </c>
      <c r="AU4991" s="498">
        <f t="shared" si="1713"/>
        <v>0</v>
      </c>
      <c r="AV4991" s="498">
        <f t="shared" si="1714"/>
        <v>0</v>
      </c>
      <c r="AW4991" s="498">
        <f t="shared" si="1715"/>
        <v>0</v>
      </c>
      <c r="AX4991" s="498">
        <f t="shared" si="1716"/>
        <v>0</v>
      </c>
      <c r="AY4991" s="498">
        <f t="shared" si="1717"/>
        <v>0</v>
      </c>
      <c r="BB4991" s="498" t="str">
        <f t="shared" si="1718"/>
        <v/>
      </c>
      <c r="BC4991" s="743" t="str">
        <f t="shared" si="1719"/>
        <v/>
      </c>
      <c r="BD4991" s="743" t="str">
        <f t="shared" si="1720"/>
        <v/>
      </c>
      <c r="BE4991" s="743" t="str">
        <f>IF(D4991="","",VLOOKUP(D4991,'General Basis'!$J$39:$K$46,2,0))</f>
        <v/>
      </c>
      <c r="BF4991" s="744" t="str">
        <f>IF(D4991="","",VLOOKUP(D4991,'General Basis'!$J$39:$L$46,3,0))</f>
        <v/>
      </c>
      <c r="BG4991" s="744" t="str">
        <f t="shared" si="1727"/>
        <v/>
      </c>
      <c r="BH4991" s="744" t="str">
        <f>IF(G4991="","",IF(BF4991="Abu Dhabi",IF(G4991&lt;18,'General Basis'!$C$39,IF(G4991&lt;41,'General Basis'!$C$40,IF(G4991&lt;60,'General Basis'!$C$41,IF(G4991&lt;65,'General Basis'!$C$42,'General Basis'!$C$43)))),IF(G4991&lt;11,'General Basis'!$B$39,IF(G4991&lt;18,'General Basis'!$B$40,IF(G4991&lt;26,'General Basis'!$B$41,IF(G4991&lt;31,'General Basis'!$B$42,IF(G4991&lt;36,'General Basis'!$B$43,IF(G4991&lt;41,'General Basis'!$B$44,IF(G4991&lt;46,'General Basis'!$B$45,IF(G4991&lt;51,'General Basis'!$B$46,IF(G4991&lt;56,'General Basis'!$B$47,IF(G4991&lt;60,'General Basis'!$B$48,IF(G4991&lt;65,'General Basis'!$B$49,'General Basis'!$B$50)))))))))))))</f>
        <v/>
      </c>
      <c r="BI4991" s="744" t="str">
        <f t="shared" si="1721"/>
        <v/>
      </c>
      <c r="BJ4991" s="747" t="str">
        <f t="shared" si="1728"/>
        <v/>
      </c>
      <c r="BK4991" s="498" t="str">
        <f t="shared" si="1722"/>
        <v/>
      </c>
      <c r="BL4991" s="498" t="str">
        <f t="shared" si="1723"/>
        <v/>
      </c>
    </row>
    <row r="4992" spans="1:64" x14ac:dyDescent="0.25">
      <c r="A4992" s="762">
        <f t="shared" si="1724"/>
        <v>4987</v>
      </c>
      <c r="B4992" s="229"/>
      <c r="C4992" s="223"/>
      <c r="D4992" s="224"/>
      <c r="E4992" s="225"/>
      <c r="F4992" s="1036" t="str">
        <f t="shared" si="1730"/>
        <v/>
      </c>
      <c r="G4992" s="1037" t="str">
        <f t="shared" si="1725"/>
        <v/>
      </c>
      <c r="H4992" s="225"/>
      <c r="I4992" s="1013"/>
      <c r="J4992" s="1013"/>
      <c r="K4992" s="1028"/>
      <c r="L4992" s="1035" t="str">
        <f t="shared" si="1729"/>
        <v/>
      </c>
      <c r="S4992" s="498"/>
      <c r="AJ4992" s="498"/>
      <c r="AM4992" s="498">
        <f t="shared" si="1710"/>
        <v>0</v>
      </c>
      <c r="AN4992" s="498">
        <f t="shared" si="1711"/>
        <v>0</v>
      </c>
      <c r="AO4992" s="498">
        <f t="shared" si="1712"/>
        <v>0</v>
      </c>
      <c r="AP4992" s="498">
        <f t="shared" si="1731"/>
        <v>0</v>
      </c>
      <c r="AQ4992" s="498">
        <f t="shared" si="1726"/>
        <v>0</v>
      </c>
      <c r="AU4992" s="498">
        <f t="shared" si="1713"/>
        <v>0</v>
      </c>
      <c r="AV4992" s="498">
        <f t="shared" si="1714"/>
        <v>0</v>
      </c>
      <c r="AW4992" s="498">
        <f t="shared" si="1715"/>
        <v>0</v>
      </c>
      <c r="AX4992" s="498">
        <f t="shared" si="1716"/>
        <v>0</v>
      </c>
      <c r="AY4992" s="498">
        <f t="shared" si="1717"/>
        <v>0</v>
      </c>
      <c r="BB4992" s="498" t="str">
        <f t="shared" si="1718"/>
        <v/>
      </c>
      <c r="BC4992" s="743" t="str">
        <f t="shared" si="1719"/>
        <v/>
      </c>
      <c r="BD4992" s="743" t="str">
        <f t="shared" si="1720"/>
        <v/>
      </c>
      <c r="BE4992" s="743" t="str">
        <f>IF(D4992="","",VLOOKUP(D4992,'General Basis'!$J$39:$K$46,2,0))</f>
        <v/>
      </c>
      <c r="BF4992" s="744" t="str">
        <f>IF(D4992="","",VLOOKUP(D4992,'General Basis'!$J$39:$L$46,3,0))</f>
        <v/>
      </c>
      <c r="BG4992" s="744" t="str">
        <f t="shared" si="1727"/>
        <v/>
      </c>
      <c r="BH4992" s="744" t="str">
        <f>IF(G4992="","",IF(BF4992="Abu Dhabi",IF(G4992&lt;18,'General Basis'!$C$39,IF(G4992&lt;41,'General Basis'!$C$40,IF(G4992&lt;60,'General Basis'!$C$41,IF(G4992&lt;65,'General Basis'!$C$42,'General Basis'!$C$43)))),IF(G4992&lt;11,'General Basis'!$B$39,IF(G4992&lt;18,'General Basis'!$B$40,IF(G4992&lt;26,'General Basis'!$B$41,IF(G4992&lt;31,'General Basis'!$B$42,IF(G4992&lt;36,'General Basis'!$B$43,IF(G4992&lt;41,'General Basis'!$B$44,IF(G4992&lt;46,'General Basis'!$B$45,IF(G4992&lt;51,'General Basis'!$B$46,IF(G4992&lt;56,'General Basis'!$B$47,IF(G4992&lt;60,'General Basis'!$B$48,IF(G4992&lt;65,'General Basis'!$B$49,'General Basis'!$B$50)))))))))))))</f>
        <v/>
      </c>
      <c r="BI4992" s="744" t="str">
        <f t="shared" si="1721"/>
        <v/>
      </c>
      <c r="BJ4992" s="747" t="str">
        <f t="shared" si="1728"/>
        <v/>
      </c>
      <c r="BK4992" s="498" t="str">
        <f t="shared" si="1722"/>
        <v/>
      </c>
      <c r="BL4992" s="498" t="str">
        <f t="shared" si="1723"/>
        <v/>
      </c>
    </row>
    <row r="4993" spans="1:64" x14ac:dyDescent="0.25">
      <c r="A4993" s="762">
        <f t="shared" si="1724"/>
        <v>4988</v>
      </c>
      <c r="B4993" s="229"/>
      <c r="C4993" s="223"/>
      <c r="D4993" s="224"/>
      <c r="E4993" s="225"/>
      <c r="F4993" s="1036" t="str">
        <f t="shared" si="1730"/>
        <v/>
      </c>
      <c r="G4993" s="1037" t="str">
        <f t="shared" si="1725"/>
        <v/>
      </c>
      <c r="H4993" s="225"/>
      <c r="I4993" s="1013"/>
      <c r="J4993" s="1013"/>
      <c r="K4993" s="1028"/>
      <c r="L4993" s="1035" t="str">
        <f t="shared" si="1729"/>
        <v/>
      </c>
      <c r="S4993" s="498"/>
      <c r="AJ4993" s="498"/>
      <c r="AM4993" s="498">
        <f t="shared" si="1710"/>
        <v>0</v>
      </c>
      <c r="AN4993" s="498">
        <f t="shared" si="1711"/>
        <v>0</v>
      </c>
      <c r="AO4993" s="498">
        <f t="shared" si="1712"/>
        <v>0</v>
      </c>
      <c r="AP4993" s="498">
        <f t="shared" si="1731"/>
        <v>0</v>
      </c>
      <c r="AQ4993" s="498">
        <f t="shared" si="1726"/>
        <v>0</v>
      </c>
      <c r="AU4993" s="498">
        <f t="shared" si="1713"/>
        <v>0</v>
      </c>
      <c r="AV4993" s="498">
        <f t="shared" si="1714"/>
        <v>0</v>
      </c>
      <c r="AW4993" s="498">
        <f t="shared" si="1715"/>
        <v>0</v>
      </c>
      <c r="AX4993" s="498">
        <f t="shared" si="1716"/>
        <v>0</v>
      </c>
      <c r="AY4993" s="498">
        <f t="shared" si="1717"/>
        <v>0</v>
      </c>
      <c r="BB4993" s="498" t="str">
        <f t="shared" si="1718"/>
        <v/>
      </c>
      <c r="BC4993" s="743" t="str">
        <f t="shared" si="1719"/>
        <v/>
      </c>
      <c r="BD4993" s="743" t="str">
        <f t="shared" si="1720"/>
        <v/>
      </c>
      <c r="BE4993" s="743" t="str">
        <f>IF(D4993="","",VLOOKUP(D4993,'General Basis'!$J$39:$K$46,2,0))</f>
        <v/>
      </c>
      <c r="BF4993" s="744" t="str">
        <f>IF(D4993="","",VLOOKUP(D4993,'General Basis'!$J$39:$L$46,3,0))</f>
        <v/>
      </c>
      <c r="BG4993" s="744" t="str">
        <f t="shared" si="1727"/>
        <v/>
      </c>
      <c r="BH4993" s="744" t="str">
        <f>IF(G4993="","",IF(BF4993="Abu Dhabi",IF(G4993&lt;18,'General Basis'!$C$39,IF(G4993&lt;41,'General Basis'!$C$40,IF(G4993&lt;60,'General Basis'!$C$41,IF(G4993&lt;65,'General Basis'!$C$42,'General Basis'!$C$43)))),IF(G4993&lt;11,'General Basis'!$B$39,IF(G4993&lt;18,'General Basis'!$B$40,IF(G4993&lt;26,'General Basis'!$B$41,IF(G4993&lt;31,'General Basis'!$B$42,IF(G4993&lt;36,'General Basis'!$B$43,IF(G4993&lt;41,'General Basis'!$B$44,IF(G4993&lt;46,'General Basis'!$B$45,IF(G4993&lt;51,'General Basis'!$B$46,IF(G4993&lt;56,'General Basis'!$B$47,IF(G4993&lt;60,'General Basis'!$B$48,IF(G4993&lt;65,'General Basis'!$B$49,'General Basis'!$B$50)))))))))))))</f>
        <v/>
      </c>
      <c r="BI4993" s="744" t="str">
        <f t="shared" si="1721"/>
        <v/>
      </c>
      <c r="BJ4993" s="747" t="str">
        <f t="shared" si="1728"/>
        <v/>
      </c>
      <c r="BK4993" s="498" t="str">
        <f t="shared" si="1722"/>
        <v/>
      </c>
      <c r="BL4993" s="498" t="str">
        <f t="shared" si="1723"/>
        <v/>
      </c>
    </row>
    <row r="4994" spans="1:64" x14ac:dyDescent="0.25">
      <c r="A4994" s="762">
        <f t="shared" si="1724"/>
        <v>4989</v>
      </c>
      <c r="B4994" s="229"/>
      <c r="C4994" s="223"/>
      <c r="D4994" s="224"/>
      <c r="E4994" s="225"/>
      <c r="F4994" s="1036" t="str">
        <f t="shared" si="1730"/>
        <v/>
      </c>
      <c r="G4994" s="1037" t="str">
        <f t="shared" si="1725"/>
        <v/>
      </c>
      <c r="H4994" s="225"/>
      <c r="I4994" s="1013"/>
      <c r="J4994" s="1013"/>
      <c r="K4994" s="1028"/>
      <c r="L4994" s="1035" t="str">
        <f t="shared" si="1729"/>
        <v/>
      </c>
      <c r="S4994" s="498"/>
      <c r="AJ4994" s="498"/>
      <c r="AM4994" s="498">
        <f t="shared" si="1710"/>
        <v>0</v>
      </c>
      <c r="AN4994" s="498">
        <f t="shared" si="1711"/>
        <v>0</v>
      </c>
      <c r="AO4994" s="498">
        <f t="shared" si="1712"/>
        <v>0</v>
      </c>
      <c r="AP4994" s="498">
        <f t="shared" si="1731"/>
        <v>0</v>
      </c>
      <c r="AQ4994" s="498">
        <f t="shared" si="1726"/>
        <v>0</v>
      </c>
      <c r="AU4994" s="498">
        <f t="shared" si="1713"/>
        <v>0</v>
      </c>
      <c r="AV4994" s="498">
        <f t="shared" si="1714"/>
        <v>0</v>
      </c>
      <c r="AW4994" s="498">
        <f t="shared" si="1715"/>
        <v>0</v>
      </c>
      <c r="AX4994" s="498">
        <f t="shared" si="1716"/>
        <v>0</v>
      </c>
      <c r="AY4994" s="498">
        <f t="shared" si="1717"/>
        <v>0</v>
      </c>
      <c r="BB4994" s="498" t="str">
        <f t="shared" si="1718"/>
        <v/>
      </c>
      <c r="BC4994" s="743" t="str">
        <f t="shared" si="1719"/>
        <v/>
      </c>
      <c r="BD4994" s="743" t="str">
        <f t="shared" si="1720"/>
        <v/>
      </c>
      <c r="BE4994" s="743" t="str">
        <f>IF(D4994="","",VLOOKUP(D4994,'General Basis'!$J$39:$K$46,2,0))</f>
        <v/>
      </c>
      <c r="BF4994" s="744" t="str">
        <f>IF(D4994="","",VLOOKUP(D4994,'General Basis'!$J$39:$L$46,3,0))</f>
        <v/>
      </c>
      <c r="BG4994" s="744" t="str">
        <f t="shared" si="1727"/>
        <v/>
      </c>
      <c r="BH4994" s="744" t="str">
        <f>IF(G4994="","",IF(BF4994="Abu Dhabi",IF(G4994&lt;18,'General Basis'!$C$39,IF(G4994&lt;41,'General Basis'!$C$40,IF(G4994&lt;60,'General Basis'!$C$41,IF(G4994&lt;65,'General Basis'!$C$42,'General Basis'!$C$43)))),IF(G4994&lt;11,'General Basis'!$B$39,IF(G4994&lt;18,'General Basis'!$B$40,IF(G4994&lt;26,'General Basis'!$B$41,IF(G4994&lt;31,'General Basis'!$B$42,IF(G4994&lt;36,'General Basis'!$B$43,IF(G4994&lt;41,'General Basis'!$B$44,IF(G4994&lt;46,'General Basis'!$B$45,IF(G4994&lt;51,'General Basis'!$B$46,IF(G4994&lt;56,'General Basis'!$B$47,IF(G4994&lt;60,'General Basis'!$B$48,IF(G4994&lt;65,'General Basis'!$B$49,'General Basis'!$B$50)))))))))))))</f>
        <v/>
      </c>
      <c r="BI4994" s="744" t="str">
        <f t="shared" si="1721"/>
        <v/>
      </c>
      <c r="BJ4994" s="747" t="str">
        <f t="shared" si="1728"/>
        <v/>
      </c>
      <c r="BK4994" s="498" t="str">
        <f t="shared" si="1722"/>
        <v/>
      </c>
      <c r="BL4994" s="498" t="str">
        <f t="shared" si="1723"/>
        <v/>
      </c>
    </row>
    <row r="4995" spans="1:64" x14ac:dyDescent="0.25">
      <c r="A4995" s="762">
        <f t="shared" si="1724"/>
        <v>4990</v>
      </c>
      <c r="B4995" s="229"/>
      <c r="C4995" s="223"/>
      <c r="D4995" s="224"/>
      <c r="E4995" s="225"/>
      <c r="F4995" s="1036" t="str">
        <f t="shared" si="1730"/>
        <v/>
      </c>
      <c r="G4995" s="1037" t="str">
        <f t="shared" si="1725"/>
        <v/>
      </c>
      <c r="H4995" s="225"/>
      <c r="I4995" s="1013"/>
      <c r="J4995" s="1013"/>
      <c r="K4995" s="1028"/>
      <c r="L4995" s="1035" t="str">
        <f t="shared" si="1729"/>
        <v/>
      </c>
      <c r="S4995" s="498"/>
      <c r="AJ4995" s="498"/>
      <c r="AM4995" s="498">
        <f t="shared" si="1710"/>
        <v>0</v>
      </c>
      <c r="AN4995" s="498">
        <f t="shared" si="1711"/>
        <v>0</v>
      </c>
      <c r="AO4995" s="498">
        <f t="shared" si="1712"/>
        <v>0</v>
      </c>
      <c r="AP4995" s="498">
        <f t="shared" si="1731"/>
        <v>0</v>
      </c>
      <c r="AQ4995" s="498">
        <f t="shared" si="1726"/>
        <v>0</v>
      </c>
      <c r="AU4995" s="498">
        <f t="shared" si="1713"/>
        <v>0</v>
      </c>
      <c r="AV4995" s="498">
        <f t="shared" si="1714"/>
        <v>0</v>
      </c>
      <c r="AW4995" s="498">
        <f t="shared" si="1715"/>
        <v>0</v>
      </c>
      <c r="AX4995" s="498">
        <f t="shared" si="1716"/>
        <v>0</v>
      </c>
      <c r="AY4995" s="498">
        <f t="shared" si="1717"/>
        <v>0</v>
      </c>
      <c r="BB4995" s="498" t="str">
        <f t="shared" si="1718"/>
        <v/>
      </c>
      <c r="BC4995" s="743" t="str">
        <f t="shared" si="1719"/>
        <v/>
      </c>
      <c r="BD4995" s="743" t="str">
        <f t="shared" si="1720"/>
        <v/>
      </c>
      <c r="BE4995" s="743" t="str">
        <f>IF(D4995="","",VLOOKUP(D4995,'General Basis'!$J$39:$K$46,2,0))</f>
        <v/>
      </c>
      <c r="BF4995" s="744" t="str">
        <f>IF(D4995="","",VLOOKUP(D4995,'General Basis'!$J$39:$L$46,3,0))</f>
        <v/>
      </c>
      <c r="BG4995" s="744" t="str">
        <f t="shared" si="1727"/>
        <v/>
      </c>
      <c r="BH4995" s="744" t="str">
        <f>IF(G4995="","",IF(BF4995="Abu Dhabi",IF(G4995&lt;18,'General Basis'!$C$39,IF(G4995&lt;41,'General Basis'!$C$40,IF(G4995&lt;60,'General Basis'!$C$41,IF(G4995&lt;65,'General Basis'!$C$42,'General Basis'!$C$43)))),IF(G4995&lt;11,'General Basis'!$B$39,IF(G4995&lt;18,'General Basis'!$B$40,IF(G4995&lt;26,'General Basis'!$B$41,IF(G4995&lt;31,'General Basis'!$B$42,IF(G4995&lt;36,'General Basis'!$B$43,IF(G4995&lt;41,'General Basis'!$B$44,IF(G4995&lt;46,'General Basis'!$B$45,IF(G4995&lt;51,'General Basis'!$B$46,IF(G4995&lt;56,'General Basis'!$B$47,IF(G4995&lt;60,'General Basis'!$B$48,IF(G4995&lt;65,'General Basis'!$B$49,'General Basis'!$B$50)))))))))))))</f>
        <v/>
      </c>
      <c r="BI4995" s="744" t="str">
        <f t="shared" si="1721"/>
        <v/>
      </c>
      <c r="BJ4995" s="747" t="str">
        <f t="shared" si="1728"/>
        <v/>
      </c>
      <c r="BK4995" s="498" t="str">
        <f t="shared" si="1722"/>
        <v/>
      </c>
      <c r="BL4995" s="498" t="str">
        <f t="shared" si="1723"/>
        <v/>
      </c>
    </row>
    <row r="4996" spans="1:64" x14ac:dyDescent="0.25">
      <c r="A4996" s="762">
        <f t="shared" si="1724"/>
        <v>4991</v>
      </c>
      <c r="B4996" s="229"/>
      <c r="C4996" s="223"/>
      <c r="D4996" s="224"/>
      <c r="E4996" s="225"/>
      <c r="F4996" s="1036" t="str">
        <f t="shared" si="1730"/>
        <v/>
      </c>
      <c r="G4996" s="1037" t="str">
        <f t="shared" si="1725"/>
        <v/>
      </c>
      <c r="H4996" s="225"/>
      <c r="I4996" s="1013"/>
      <c r="J4996" s="1013"/>
      <c r="K4996" s="1028"/>
      <c r="L4996" s="1035" t="str">
        <f t="shared" si="1729"/>
        <v/>
      </c>
      <c r="S4996" s="498"/>
      <c r="AJ4996" s="498"/>
      <c r="AM4996" s="498">
        <f t="shared" si="1710"/>
        <v>0</v>
      </c>
      <c r="AN4996" s="498">
        <f t="shared" si="1711"/>
        <v>0</v>
      </c>
      <c r="AO4996" s="498">
        <f t="shared" si="1712"/>
        <v>0</v>
      </c>
      <c r="AP4996" s="498">
        <f t="shared" si="1731"/>
        <v>0</v>
      </c>
      <c r="AQ4996" s="498">
        <f t="shared" si="1726"/>
        <v>0</v>
      </c>
      <c r="AU4996" s="498">
        <f t="shared" si="1713"/>
        <v>0</v>
      </c>
      <c r="AV4996" s="498">
        <f t="shared" si="1714"/>
        <v>0</v>
      </c>
      <c r="AW4996" s="498">
        <f t="shared" si="1715"/>
        <v>0</v>
      </c>
      <c r="AX4996" s="498">
        <f t="shared" si="1716"/>
        <v>0</v>
      </c>
      <c r="AY4996" s="498">
        <f t="shared" si="1717"/>
        <v>0</v>
      </c>
      <c r="BB4996" s="498" t="str">
        <f t="shared" si="1718"/>
        <v/>
      </c>
      <c r="BC4996" s="743" t="str">
        <f t="shared" si="1719"/>
        <v/>
      </c>
      <c r="BD4996" s="743" t="str">
        <f t="shared" si="1720"/>
        <v/>
      </c>
      <c r="BE4996" s="743" t="str">
        <f>IF(D4996="","",VLOOKUP(D4996,'General Basis'!$J$39:$K$46,2,0))</f>
        <v/>
      </c>
      <c r="BF4996" s="744" t="str">
        <f>IF(D4996="","",VLOOKUP(D4996,'General Basis'!$J$39:$L$46,3,0))</f>
        <v/>
      </c>
      <c r="BG4996" s="744" t="str">
        <f t="shared" si="1727"/>
        <v/>
      </c>
      <c r="BH4996" s="744" t="str">
        <f>IF(G4996="","",IF(BF4996="Abu Dhabi",IF(G4996&lt;18,'General Basis'!$C$39,IF(G4996&lt;41,'General Basis'!$C$40,IF(G4996&lt;60,'General Basis'!$C$41,IF(G4996&lt;65,'General Basis'!$C$42,'General Basis'!$C$43)))),IF(G4996&lt;11,'General Basis'!$B$39,IF(G4996&lt;18,'General Basis'!$B$40,IF(G4996&lt;26,'General Basis'!$B$41,IF(G4996&lt;31,'General Basis'!$B$42,IF(G4996&lt;36,'General Basis'!$B$43,IF(G4996&lt;41,'General Basis'!$B$44,IF(G4996&lt;46,'General Basis'!$B$45,IF(G4996&lt;51,'General Basis'!$B$46,IF(G4996&lt;56,'General Basis'!$B$47,IF(G4996&lt;60,'General Basis'!$B$48,IF(G4996&lt;65,'General Basis'!$B$49,'General Basis'!$B$50)))))))))))))</f>
        <v/>
      </c>
      <c r="BI4996" s="744" t="str">
        <f t="shared" si="1721"/>
        <v/>
      </c>
      <c r="BJ4996" s="747" t="str">
        <f t="shared" si="1728"/>
        <v/>
      </c>
      <c r="BK4996" s="498" t="str">
        <f t="shared" si="1722"/>
        <v/>
      </c>
      <c r="BL4996" s="498" t="str">
        <f t="shared" si="1723"/>
        <v/>
      </c>
    </row>
    <row r="4997" spans="1:64" x14ac:dyDescent="0.25">
      <c r="A4997" s="762">
        <f t="shared" si="1724"/>
        <v>4992</v>
      </c>
      <c r="B4997" s="229"/>
      <c r="C4997" s="223"/>
      <c r="D4997" s="224"/>
      <c r="E4997" s="225"/>
      <c r="F4997" s="1036" t="str">
        <f t="shared" si="1730"/>
        <v/>
      </c>
      <c r="G4997" s="1037" t="str">
        <f t="shared" si="1725"/>
        <v/>
      </c>
      <c r="H4997" s="225"/>
      <c r="I4997" s="1013"/>
      <c r="J4997" s="1013"/>
      <c r="K4997" s="1028"/>
      <c r="L4997" s="1035" t="str">
        <f t="shared" si="1729"/>
        <v/>
      </c>
      <c r="S4997" s="498"/>
      <c r="AJ4997" s="498"/>
      <c r="AM4997" s="498">
        <f t="shared" si="1710"/>
        <v>0</v>
      </c>
      <c r="AN4997" s="498">
        <f t="shared" si="1711"/>
        <v>0</v>
      </c>
      <c r="AO4997" s="498">
        <f t="shared" si="1712"/>
        <v>0</v>
      </c>
      <c r="AP4997" s="498">
        <f t="shared" si="1731"/>
        <v>0</v>
      </c>
      <c r="AQ4997" s="498">
        <f t="shared" si="1726"/>
        <v>0</v>
      </c>
      <c r="AU4997" s="498">
        <f t="shared" si="1713"/>
        <v>0</v>
      </c>
      <c r="AV4997" s="498">
        <f t="shared" si="1714"/>
        <v>0</v>
      </c>
      <c r="AW4997" s="498">
        <f t="shared" si="1715"/>
        <v>0</v>
      </c>
      <c r="AX4997" s="498">
        <f t="shared" si="1716"/>
        <v>0</v>
      </c>
      <c r="AY4997" s="498">
        <f t="shared" si="1717"/>
        <v>0</v>
      </c>
      <c r="BB4997" s="498" t="str">
        <f t="shared" si="1718"/>
        <v/>
      </c>
      <c r="BC4997" s="743" t="str">
        <f t="shared" si="1719"/>
        <v/>
      </c>
      <c r="BD4997" s="743" t="str">
        <f t="shared" si="1720"/>
        <v/>
      </c>
      <c r="BE4997" s="743" t="str">
        <f>IF(D4997="","",VLOOKUP(D4997,'General Basis'!$J$39:$K$46,2,0))</f>
        <v/>
      </c>
      <c r="BF4997" s="744" t="str">
        <f>IF(D4997="","",VLOOKUP(D4997,'General Basis'!$J$39:$L$46,3,0))</f>
        <v/>
      </c>
      <c r="BG4997" s="744" t="str">
        <f t="shared" si="1727"/>
        <v/>
      </c>
      <c r="BH4997" s="744" t="str">
        <f>IF(G4997="","",IF(BF4997="Abu Dhabi",IF(G4997&lt;18,'General Basis'!$C$39,IF(G4997&lt;41,'General Basis'!$C$40,IF(G4997&lt;60,'General Basis'!$C$41,IF(G4997&lt;65,'General Basis'!$C$42,'General Basis'!$C$43)))),IF(G4997&lt;11,'General Basis'!$B$39,IF(G4997&lt;18,'General Basis'!$B$40,IF(G4997&lt;26,'General Basis'!$B$41,IF(G4997&lt;31,'General Basis'!$B$42,IF(G4997&lt;36,'General Basis'!$B$43,IF(G4997&lt;41,'General Basis'!$B$44,IF(G4997&lt;46,'General Basis'!$B$45,IF(G4997&lt;51,'General Basis'!$B$46,IF(G4997&lt;56,'General Basis'!$B$47,IF(G4997&lt;60,'General Basis'!$B$48,IF(G4997&lt;65,'General Basis'!$B$49,'General Basis'!$B$50)))))))))))))</f>
        <v/>
      </c>
      <c r="BI4997" s="744" t="str">
        <f t="shared" si="1721"/>
        <v/>
      </c>
      <c r="BJ4997" s="747" t="str">
        <f t="shared" si="1728"/>
        <v/>
      </c>
      <c r="BK4997" s="498" t="str">
        <f t="shared" si="1722"/>
        <v/>
      </c>
      <c r="BL4997" s="498" t="str">
        <f t="shared" si="1723"/>
        <v/>
      </c>
    </row>
    <row r="4998" spans="1:64" x14ac:dyDescent="0.25">
      <c r="A4998" s="762">
        <f t="shared" si="1724"/>
        <v>4993</v>
      </c>
      <c r="B4998" s="229"/>
      <c r="C4998" s="223"/>
      <c r="D4998" s="224"/>
      <c r="E4998" s="225"/>
      <c r="F4998" s="1036" t="str">
        <f t="shared" si="1730"/>
        <v/>
      </c>
      <c r="G4998" s="1037" t="str">
        <f t="shared" si="1725"/>
        <v/>
      </c>
      <c r="H4998" s="225"/>
      <c r="I4998" s="1013"/>
      <c r="J4998" s="1013"/>
      <c r="K4998" s="1028"/>
      <c r="L4998" s="1035" t="str">
        <f t="shared" si="1729"/>
        <v/>
      </c>
      <c r="S4998" s="498"/>
      <c r="AJ4998" s="498"/>
      <c r="AM4998" s="498">
        <f t="shared" ref="AM4998:AM5061" si="1732">IF(ISTEXT(B4998),1,0)</f>
        <v>0</v>
      </c>
      <c r="AN4998" s="498">
        <f t="shared" ref="AN4998:AN5061" si="1733">IF(ISBLANK(B4998),0,IF(B4998&lt;$AK$6,1,0))</f>
        <v>0</v>
      </c>
      <c r="AO4998" s="498">
        <f t="shared" ref="AO4998:AO5061" si="1734">IF(ISBLANK(B4998),0,IF(B4998&gt;$AK$7,1,0))</f>
        <v>0</v>
      </c>
      <c r="AP4998" s="498">
        <f t="shared" si="1731"/>
        <v>0</v>
      </c>
      <c r="AQ4998" s="498">
        <f t="shared" si="1726"/>
        <v>0</v>
      </c>
      <c r="AU4998" s="498">
        <f t="shared" ref="AU4998:AU5061" si="1735">IF(ISBLANK(B4998),0,1)</f>
        <v>0</v>
      </c>
      <c r="AV4998" s="498">
        <f t="shared" ref="AV4998:AV5061" si="1736">IF(ISBLANK(C4998),0,1)</f>
        <v>0</v>
      </c>
      <c r="AW4998" s="498">
        <f t="shared" ref="AW4998:AW5061" si="1737">IF(ISBLANK(D4998),0,1)</f>
        <v>0</v>
      </c>
      <c r="AX4998" s="498">
        <f t="shared" ref="AX4998:AX5061" si="1738">IF(ISBLANK(E4998),0,1)</f>
        <v>0</v>
      </c>
      <c r="AY4998" s="498">
        <f t="shared" ref="AY4998:AY5061" si="1739">IF(ISBLANK(H4998),0,1)</f>
        <v>0</v>
      </c>
      <c r="BB4998" s="498" t="str">
        <f t="shared" ref="BB4998:BB5061" si="1740">IF(E4998="Principal","Principal",IF(E4998="","","Other"))</f>
        <v/>
      </c>
      <c r="BC4998" s="743" t="str">
        <f t="shared" ref="BC4998:BC5061" si="1741">IF(D4998="","",D4998)</f>
        <v/>
      </c>
      <c r="BD4998" s="743" t="str">
        <f t="shared" ref="BD4998:BD5061" si="1742">IF(E4998="Principal","Employee",IF(E4998="","","Dependent"))</f>
        <v/>
      </c>
      <c r="BE4998" s="743" t="str">
        <f>IF(D4998="","",VLOOKUP(D4998,'General Basis'!$J$39:$K$46,2,0))</f>
        <v/>
      </c>
      <c r="BF4998" s="744" t="str">
        <f>IF(D4998="","",VLOOKUP(D4998,'General Basis'!$J$39:$L$46,3,0))</f>
        <v/>
      </c>
      <c r="BG4998" s="744" t="str">
        <f t="shared" si="1727"/>
        <v/>
      </c>
      <c r="BH4998" s="744" t="str">
        <f>IF(G4998="","",IF(BF4998="Abu Dhabi",IF(G4998&lt;18,'General Basis'!$C$39,IF(G4998&lt;41,'General Basis'!$C$40,IF(G4998&lt;60,'General Basis'!$C$41,IF(G4998&lt;65,'General Basis'!$C$42,'General Basis'!$C$43)))),IF(G4998&lt;11,'General Basis'!$B$39,IF(G4998&lt;18,'General Basis'!$B$40,IF(G4998&lt;26,'General Basis'!$B$41,IF(G4998&lt;31,'General Basis'!$B$42,IF(G4998&lt;36,'General Basis'!$B$43,IF(G4998&lt;41,'General Basis'!$B$44,IF(G4998&lt;46,'General Basis'!$B$45,IF(G4998&lt;51,'General Basis'!$B$46,IF(G4998&lt;56,'General Basis'!$B$47,IF(G4998&lt;60,'General Basis'!$B$48,IF(G4998&lt;65,'General Basis'!$B$49,'General Basis'!$B$50)))))))))))))</f>
        <v/>
      </c>
      <c r="BI4998" s="744" t="str">
        <f t="shared" ref="BI4998:BI5061" si="1743">IF(C4998="","",IF(C4998="M","Male","Female"))</f>
        <v/>
      </c>
      <c r="BJ4998" s="747" t="str">
        <f t="shared" si="1728"/>
        <v/>
      </c>
      <c r="BK4998" s="498" t="str">
        <f t="shared" ref="BK4998:BK5061" si="1744">IF(BD4998="","",IF(AND(BD4998="Employee",BI4998="Male",BF4998="Abu Dhabi",BE4998=GN_Plus),VLOOKUP(BH4998,AUH_MALE_EMP,2,0),IF(AND(BD4998="Employee",BI4998="Male",BF4998="Abu Dhabi",BE4998=GN),VLOOKUP(BH4998,AUH_MALE_EMP,3,0),IF(AND(BD4998="Employee",BI4998="Male",BF4998="Abu Dhabi",BE4998=RN_Plus),VLOOKUP(BH4998,AUH_MALE_EMP,4,0),IF(AND(BD4998="Employee",BI4998="Male",BF4998="Abu Dhabi",BE4998=RN),VLOOKUP(BH4998,AUH_MALE_EMP,5,0),IF(AND(BD4998="Employee",BI4998="Male",BF4998="Abu Dhabi",BE4998=RN_2),VLOOKUP(BH4998,AUH_MALE_EMP,6,0),IF(AND(BD4998="Employee",BI4998="Male",BF4998="Abu Dhabi",BE4998=RN2_minus),VLOOKUP(BH4998,AUH_MALE_EMP,7,0),IF(AND(BD4998="Employee",BI4998="Male",BF4998="Abu Dhabi",BE4998=RN_3),VLOOKUP(BH4998,AUH_MALE_EMP,8,0),IF(AND(BD4998="Employee",BI4998="Male",BF4998="Abu Dhabi",BE4998=VN),VLOOKUP(BH4998,AUH_MALE_EMP,9,0),IF(BD4998="","",IF(AND(BD4998="Employee",BI4998="Female",BF4998="Abu Dhabi",BE4998=GN_Plus),VLOOKUP(BH4998,AUH_FEMALE_EMP,2,0),IF(AND(BD4998="Employee",BI4998="Female",BF4998="Abu Dhabi",BE4998=GN),VLOOKUP(BH4998,AUH_FEMALE_EMP,3,0),IF(AND(BD4998="Employee",BI4998="Female",BF4998="Abu Dhabi",BE4998=RN_Plus),VLOOKUP(BH4998,AUH_FEMALE_EMP,4,0),IF(AND(BD4998="Employee",BI4998="Female",BF4998="Abu Dhabi",BE4998=RN),VLOOKUP(BH4998,AUH_FEMALE_EMP,5,0),IF(AND(BD4998="Employee",BI4998="Female",BF4998="Abu Dhabi",BE4998=RN_2),VLOOKUP(BH4998,AUH_FEMALE_EMP,6,0),IF(AND(BD4998="Employee",BI4998="Female",BF4998="Abu Dhabi",BE4998=RN2_minus),VLOOKUP(BH4998,AUH_FEMALE_EMP,7,0),IF(AND(BD4998="Employee",BI4998="Female",BF4998="Abu Dhabi",BE4998=RN_3),VLOOKUP(BH4998,AUH_FEMALE_EMP,8,0),IF(AND(BD4998="Employee",BI4998="Female",BF4998="Abu Dhabi",BE4998=VN),VLOOKUP(BH4998,AUH_FEMALE_EMP,9,0),IF(BD4998="","",IF(AND(BD4998="Dependent",BI4998="Male",BF4998="Abu Dhabi",BE4998=GN_Plus),VLOOKUP(BH4998,AUH_MALE_DEP,2,0),IF(AND(BD4998="Dependent",BI4998="Male",BF4998="Abu Dhabi",BE4998=GN),VLOOKUP(BH4998,AUH_MALE_DEP,3,0),IF(AND(BD4998="Dependent",BI4998="Male",BF4998="Abu Dhabi",BE4998=RN_Plus),VLOOKUP(BH4998,AUH_MALE_DEP,4,0),IF(AND(BD4998="Dependent",BI4998="Male",BF4998="Abu Dhabi",BE4998=RN),VLOOKUP(BH4998,AUH_MALE_DEP,5,0),IF(AND(BD4998="Dependent",BI4998="Male",BF4998="Abu Dhabi",BE4998=RN_2),VLOOKUP(BH4998,AUH_MALE_DEP,6,0),IF(AND(BD4998="Dependent",BI4998="Male",BF4998="Abu Dhabi",BE4998=RN2_minus),VLOOKUP(BH4998,AUH_MALE_DEP,7,0),IF(AND(BD4998="Dependent",BI4998="Male",BF4998="Abu Dhabi",BE4998=RN_3),VLOOKUP(BH4998,AUH_MALE_DEP,8,0),IF(AND(BD4998="Dependent",BI4998="Male",BF4998="Abu Dhabi",BE4998=VN),VLOOKUP(BH4998,AUH_MALE_DEP,9,0),IF(BD4998="","",IF(AND(BD4998="Dependent",BI4998="Female",BF4998="Abu Dhabi",BE4998=GN_Plus),VLOOKUP(BH4998,AUH_FEMALE_DEP,2,0),IF(AND(BD4998="Dependent",BI4998="Female",BF4998="Abu Dhabi",BE4998=GN),VLOOKUP(BH4998,AUH_FEMALE_DEP,3,0),IF(AND(BD4998="Dependent",BI4998="Female",BF4998="Abu Dhabi",BE4998=RN_Plus),VLOOKUP(BH4998,AUH_FEMALE_DEP,4,0),IF(AND(BD4998="Dependent",BI4998="Female",BF4998="Abu Dhabi",BE4998=RN),VLOOKUP(BH4998,AUH_FEMALE_DEP,5,0),IF(AND(BD4998="Dependent",BI4998="Female",BF4998="Abu Dhabi",BE4998=RN_2),VLOOKUP(BH4998,AUH_FEMALE_DEP,6,0),IF(AND(BD4998="Dependent",BI4998="Female",BF4998="Abu Dhabi",BE4998=RN2_minus),VLOOKUP(BH4998,AUH_FEMALE_DEP,7,0),IF(AND(BD4998="Dependent",BI4998="Female",BF4998="Abu Dhabi",BE4998=RN_3),VLOOKUP(BH4998,AUH_FEMALE_DEP,8,0),IF(AND(BD4998="Dependent",BI4998="Female",BF4998="Abu Dhabi",BE4998=VN),VLOOKUP(BH4998,AUH_FEMALE_DEP,9,0),"ABC"))))))))))))))))))))))))))))))))))))</f>
        <v/>
      </c>
      <c r="BL4998" s="498" t="str">
        <f t="shared" ref="BL4998:BL5061" si="1745">IF(BD4998="","",IF(AND(BD4998="Employee",BI4998="Male",BF4998="Dubai",BE4998=GN_Plus),VLOOKUP(BH4998,DXB_MALE_EMP,2,0),IF(AND(BD4998="Employee",BI4998="Male",BF4998="Dubai",BE4998=GN),VLOOKUP(BH4998,DXB_MALE_EMP,3,0),IF(AND(BD4998="Employee",BI4998="Male",BF4998="Dubai",BE4998=RN_Plus),VLOOKUP(BH4998,DXB_MALE_EMP,4,0),IF(AND(BD4998="Employee",BI4998="Male",BF4998="Dubai",BE4998=RN),VLOOKUP(BH4998,DXB_MALE_EMP,5,0),IF(AND(BD4998="Employee",BI4998="Male",BF4998="Dubai",BE4998=RN_2),VLOOKUP(BH4998,DXB_MALE_EMP,6,0),IF(AND(BD4998="Employee",BI4998="Male",BF4998="Dubai",BE4998=RN2_minus),VLOOKUP(BH4998,DXB_MALE_EMP,7,0),IF(AND(BD4998="Employee",BI4998="Male",BF4998="Dubai",BE4998=RN_3),VLOOKUP(BH4998,DXB_MALE_EMP,8,0),IF(AND(BD4998="Employee",BI4998="Male",BF4998="Dubai",BE4998=VN),VLOOKUP(BH4998,DXB_MALE_EMP,9,0),IF(BD4998="","",IF(AND(BD4998="Employee",BI4998="Female",BF4998="Dubai",BE4998=GN_Plus),VLOOKUP(BH4998,DXB_FEMALE_EMP,2,0),IF(AND(BD4998="Employee",BI4998="Female",BF4998="Dubai",BE4998=GN),VLOOKUP(BH4998,DXB_FEMALE_EMP,3,0),IF(AND(BD4998="Employee",BI4998="Female",BF4998="Dubai",BE4998=RN_Plus),VLOOKUP(BH4998,DXB_FEMALE_EMP,4,0),IF(AND(BD4998="Employee",BI4998="Female",BF4998="Dubai",BE4998=RN),VLOOKUP(BH4998,DXB_FEMALE_EMP,5,0),IF(AND(BD4998="Employee",BI4998="Female",BF4998="Dubai",BE4998=RN_2),VLOOKUP(BH4998,DXB_FEMALE_EMP,6,0),IF(AND(BD4998="Employee",BI4998="Female",BF4998="Dubai",BE4998=RN2_minus),VLOOKUP(BH4998,DXB_FEMALE_EMP,7,0),IF(AND(BD4998="Employee",BI4998="Female",BF4998="Dubai",BE4998=RN_3),VLOOKUP(BH4998,DXB_FEMALE_EMP,8,0),IF(AND(BD4998="Employee",BI4998="Female",BF4998="Dubai",BE4998=VN),VLOOKUP(BH4998,DXB_FEMALE_EMP,9,0),IF(BD4998="","",IF(AND(BD4998="Dependent",BI4998="Male",BF4998="Dubai",BE4998=GN_Plus),VLOOKUP(BH4998,DXB_MALE_DEP,2,0),IF(AND(BD4998="Dependent",BI4998="Male",BF4998="Dubai",BE4998=GN),VLOOKUP(BH4998,DXB_MALE_DEP,3,0),IF(AND(BD4998="Dependent",BI4998="Male",BF4998="Dubai",BE4998=RN_Plus),VLOOKUP(BH4998,DXB_MALE_DEP,4,0),IF(AND(BD4998="Dependent",BI4998="Male",BF4998="Dubai",BE4998=RN),VLOOKUP(BH4998,DXB_MALE_DEP,5,0),IF(AND(BD4998="Dependent",BI4998="Male",BF4998="Dubai",BE4998=RN_2),VLOOKUP(BH4998,DXB_MALE_DEP,6,0),IF(AND(BD4998="Dependent",BI4998="Male",BF4998="Dubai",BE4998=RN2_minus),VLOOKUP(BH4998,DXB_MALE_DEP,7,0),IF(AND(BD4998="Dependent",BI4998="Male",BF4998="Dubai",BE4998=RN_3),VLOOKUP(BH4998,DXB_MALE_DEP,8,0),IF(AND(BD4998="Dependent",BI4998="Male",BF4998="Dubai",BE4998=VN),VLOOKUP(BH4998,DXB_MALE_DEP,9,0),IF(BD4998="","",IF(AND(BD4998="Dependent",BI4998="Female",BF4998="Dubai",BE4998=GN_Plus),VLOOKUP(BH4998,DXB_FEMALE_DEP,2,0),IF(AND(BD4998="Dependent",BI4998="Female",BF4998="Dubai",BE4998=GN),VLOOKUP(BH4998,DXB_FEMALE_DEP,3,0),IF(AND(BD4998="Dependent",BI4998="Female",BF4998="Dubai",BE4998=RN_Plus),VLOOKUP(BH4998,DXB_FEMALE_DEP,4,0),IF(AND(BD4998="Dependent",BI4998="Female",BF4998="Dubai",BE4998=RN),VLOOKUP(BH4998,DXB_FEMALE_DEP,5,0),IF(AND(BD4998="Dependent",BI4998="Female",BF4998="Dubai",BE4998=RN_2),VLOOKUP(BH4998,DXB_FEMALE_DEP,6,0),IF(AND(BD4998="Dependent",BI4998="Female",BF4998="Dubai",BE4998=RN2_minus),VLOOKUP(BH4998,DXB_FEMALE_DEP,7,0),IF(AND(BD4998="Dependent",BI4998="Female",BF4998="Dubai",BE4998=RN_3),VLOOKUP(BH4998,DXB_FEMALE_DEP,8,0),IF(AND(BD4998="Dependent",BI4998="Female",BF4998="Dubai",BE4998=VN),VLOOKUP(BH4998,DXB_FEMALE_DEP,9,0),"ABC"))))))))))))))))))))))))))))))))))))</f>
        <v/>
      </c>
    </row>
    <row r="4999" spans="1:64" x14ac:dyDescent="0.25">
      <c r="A4999" s="762">
        <f t="shared" ref="A4999:A5062" si="1746">+A4998+1</f>
        <v>4994</v>
      </c>
      <c r="B4999" s="229"/>
      <c r="C4999" s="223"/>
      <c r="D4999" s="224"/>
      <c r="E4999" s="225"/>
      <c r="F4999" s="1036" t="str">
        <f t="shared" si="1730"/>
        <v/>
      </c>
      <c r="G4999" s="1037" t="str">
        <f t="shared" ref="G4999:G5062" si="1747">IF(D4999="","",MAX(0,ROUNDUP(F4999,0)))</f>
        <v/>
      </c>
      <c r="H4999" s="225"/>
      <c r="I4999" s="1013"/>
      <c r="J4999" s="1013"/>
      <c r="K4999" s="1028"/>
      <c r="L4999" s="1035" t="str">
        <f t="shared" si="1729"/>
        <v/>
      </c>
      <c r="S4999" s="498"/>
      <c r="AJ4999" s="498"/>
      <c r="AM4999" s="498">
        <f t="shared" si="1732"/>
        <v>0</v>
      </c>
      <c r="AN4999" s="498">
        <f t="shared" si="1733"/>
        <v>0</v>
      </c>
      <c r="AO4999" s="498">
        <f t="shared" si="1734"/>
        <v>0</v>
      </c>
      <c r="AP4999" s="498">
        <f t="shared" si="1731"/>
        <v>0</v>
      </c>
      <c r="AQ4999" s="498">
        <f t="shared" ref="AQ4999:AQ5062" si="1748">IF(ISBLANK($B4999),0,IF(OR($H4999="Single",$H4999="Married"),0,1))</f>
        <v>0</v>
      </c>
      <c r="AU4999" s="498">
        <f t="shared" si="1735"/>
        <v>0</v>
      </c>
      <c r="AV4999" s="498">
        <f t="shared" si="1736"/>
        <v>0</v>
      </c>
      <c r="AW4999" s="498">
        <f t="shared" si="1737"/>
        <v>0</v>
      </c>
      <c r="AX4999" s="498">
        <f t="shared" si="1738"/>
        <v>0</v>
      </c>
      <c r="AY4999" s="498">
        <f t="shared" si="1739"/>
        <v>0</v>
      </c>
      <c r="BB4999" s="498" t="str">
        <f t="shared" si="1740"/>
        <v/>
      </c>
      <c r="BC4999" s="743" t="str">
        <f t="shared" si="1741"/>
        <v/>
      </c>
      <c r="BD4999" s="743" t="str">
        <f t="shared" si="1742"/>
        <v/>
      </c>
      <c r="BE4999" s="743" t="str">
        <f>IF(D4999="","",VLOOKUP(D4999,'General Basis'!$J$39:$K$46,2,0))</f>
        <v/>
      </c>
      <c r="BF4999" s="744" t="str">
        <f>IF(D4999="","",VLOOKUP(D4999,'General Basis'!$J$39:$L$46,3,0))</f>
        <v/>
      </c>
      <c r="BG4999" s="744" t="str">
        <f t="shared" ref="BG4999:BG5062" si="1749">BC4999&amp;BI4999</f>
        <v/>
      </c>
      <c r="BH4999" s="744" t="str">
        <f>IF(G4999="","",IF(BF4999="Abu Dhabi",IF(G4999&lt;18,'General Basis'!$C$39,IF(G4999&lt;41,'General Basis'!$C$40,IF(G4999&lt;60,'General Basis'!$C$41,IF(G4999&lt;65,'General Basis'!$C$42,'General Basis'!$C$43)))),IF(G4999&lt;11,'General Basis'!$B$39,IF(G4999&lt;18,'General Basis'!$B$40,IF(G4999&lt;26,'General Basis'!$B$41,IF(G4999&lt;31,'General Basis'!$B$42,IF(G4999&lt;36,'General Basis'!$B$43,IF(G4999&lt;41,'General Basis'!$B$44,IF(G4999&lt;46,'General Basis'!$B$45,IF(G4999&lt;51,'General Basis'!$B$46,IF(G4999&lt;56,'General Basis'!$B$47,IF(G4999&lt;60,'General Basis'!$B$48,IF(G4999&lt;65,'General Basis'!$B$49,'General Basis'!$B$50)))))))))))))</f>
        <v/>
      </c>
      <c r="BI4999" s="744" t="str">
        <f t="shared" si="1743"/>
        <v/>
      </c>
      <c r="BJ4999" s="747" t="str">
        <f t="shared" ref="BJ4999:BJ5062" si="1750">IF(BD4999="","",IF(BF4999="Abu Dhabi",BK4999,BL4999))</f>
        <v/>
      </c>
      <c r="BK4999" s="498" t="str">
        <f t="shared" si="1744"/>
        <v/>
      </c>
      <c r="BL4999" s="498" t="str">
        <f t="shared" si="1745"/>
        <v/>
      </c>
    </row>
    <row r="5000" spans="1:64" x14ac:dyDescent="0.25">
      <c r="A5000" s="762">
        <f t="shared" si="1746"/>
        <v>4995</v>
      </c>
      <c r="B5000" s="229"/>
      <c r="C5000" s="223"/>
      <c r="D5000" s="224"/>
      <c r="E5000" s="225"/>
      <c r="F5000" s="1036" t="str">
        <f t="shared" si="1730"/>
        <v/>
      </c>
      <c r="G5000" s="1037" t="str">
        <f t="shared" si="1747"/>
        <v/>
      </c>
      <c r="H5000" s="225"/>
      <c r="I5000" s="1013"/>
      <c r="J5000" s="1013"/>
      <c r="K5000" s="1028"/>
      <c r="L5000" s="1035" t="str">
        <f t="shared" ref="L5000:L5063" si="1751">IF(AND(E5000="Child",H5000="Married"),"Check the Marital Status of the Child. ",IF(AND(E5000="Child",F5000&gt;18),"Child Age exceed 18 years. ",IF(AND(E5000="Spouse",H5000="Single"),"Spouse is selected as Single. ","")))&amp;IF(K5000&gt;0,"UW Loading has been Applied","")</f>
        <v/>
      </c>
      <c r="S5000" s="498"/>
      <c r="AJ5000" s="498"/>
      <c r="AM5000" s="498">
        <f t="shared" si="1732"/>
        <v>0</v>
      </c>
      <c r="AN5000" s="498">
        <f t="shared" si="1733"/>
        <v>0</v>
      </c>
      <c r="AO5000" s="498">
        <f t="shared" si="1734"/>
        <v>0</v>
      </c>
      <c r="AP5000" s="498">
        <f t="shared" si="1731"/>
        <v>0</v>
      </c>
      <c r="AQ5000" s="498">
        <f t="shared" si="1748"/>
        <v>0</v>
      </c>
      <c r="AU5000" s="498">
        <f t="shared" si="1735"/>
        <v>0</v>
      </c>
      <c r="AV5000" s="498">
        <f t="shared" si="1736"/>
        <v>0</v>
      </c>
      <c r="AW5000" s="498">
        <f t="shared" si="1737"/>
        <v>0</v>
      </c>
      <c r="AX5000" s="498">
        <f t="shared" si="1738"/>
        <v>0</v>
      </c>
      <c r="AY5000" s="498">
        <f t="shared" si="1739"/>
        <v>0</v>
      </c>
      <c r="BB5000" s="498" t="str">
        <f t="shared" si="1740"/>
        <v/>
      </c>
      <c r="BC5000" s="743" t="str">
        <f t="shared" si="1741"/>
        <v/>
      </c>
      <c r="BD5000" s="743" t="str">
        <f t="shared" si="1742"/>
        <v/>
      </c>
      <c r="BE5000" s="743" t="str">
        <f>IF(D5000="","",VLOOKUP(D5000,'General Basis'!$J$39:$K$46,2,0))</f>
        <v/>
      </c>
      <c r="BF5000" s="744" t="str">
        <f>IF(D5000="","",VLOOKUP(D5000,'General Basis'!$J$39:$L$46,3,0))</f>
        <v/>
      </c>
      <c r="BG5000" s="744" t="str">
        <f t="shared" si="1749"/>
        <v/>
      </c>
      <c r="BH5000" s="744" t="str">
        <f>IF(G5000="","",IF(BF5000="Abu Dhabi",IF(G5000&lt;18,'General Basis'!$C$39,IF(G5000&lt;41,'General Basis'!$C$40,IF(G5000&lt;60,'General Basis'!$C$41,IF(G5000&lt;65,'General Basis'!$C$42,'General Basis'!$C$43)))),IF(G5000&lt;11,'General Basis'!$B$39,IF(G5000&lt;18,'General Basis'!$B$40,IF(G5000&lt;26,'General Basis'!$B$41,IF(G5000&lt;31,'General Basis'!$B$42,IF(G5000&lt;36,'General Basis'!$B$43,IF(G5000&lt;41,'General Basis'!$B$44,IF(G5000&lt;46,'General Basis'!$B$45,IF(G5000&lt;51,'General Basis'!$B$46,IF(G5000&lt;56,'General Basis'!$B$47,IF(G5000&lt;60,'General Basis'!$B$48,IF(G5000&lt;65,'General Basis'!$B$49,'General Basis'!$B$50)))))))))))))</f>
        <v/>
      </c>
      <c r="BI5000" s="744" t="str">
        <f t="shared" si="1743"/>
        <v/>
      </c>
      <c r="BJ5000" s="747" t="str">
        <f t="shared" si="1750"/>
        <v/>
      </c>
      <c r="BK5000" s="498" t="str">
        <f t="shared" si="1744"/>
        <v/>
      </c>
      <c r="BL5000" s="498" t="str">
        <f t="shared" si="1745"/>
        <v/>
      </c>
    </row>
    <row r="5001" spans="1:64" x14ac:dyDescent="0.25">
      <c r="A5001" s="762">
        <f t="shared" si="1746"/>
        <v>4996</v>
      </c>
      <c r="B5001" s="229"/>
      <c r="C5001" s="223"/>
      <c r="D5001" s="224"/>
      <c r="E5001" s="225"/>
      <c r="F5001" s="1036" t="str">
        <f t="shared" si="1730"/>
        <v/>
      </c>
      <c r="G5001" s="1037" t="str">
        <f t="shared" si="1747"/>
        <v/>
      </c>
      <c r="H5001" s="225"/>
      <c r="I5001" s="1013"/>
      <c r="J5001" s="1013"/>
      <c r="K5001" s="1028"/>
      <c r="L5001" s="1035" t="str">
        <f t="shared" si="1751"/>
        <v/>
      </c>
      <c r="S5001" s="498"/>
      <c r="AJ5001" s="498"/>
      <c r="AM5001" s="498">
        <f t="shared" si="1732"/>
        <v>0</v>
      </c>
      <c r="AN5001" s="498">
        <f t="shared" si="1733"/>
        <v>0</v>
      </c>
      <c r="AO5001" s="498">
        <f t="shared" si="1734"/>
        <v>0</v>
      </c>
      <c r="AP5001" s="498">
        <f t="shared" si="1731"/>
        <v>0</v>
      </c>
      <c r="AQ5001" s="498">
        <f t="shared" si="1748"/>
        <v>0</v>
      </c>
      <c r="AU5001" s="498">
        <f t="shared" si="1735"/>
        <v>0</v>
      </c>
      <c r="AV5001" s="498">
        <f t="shared" si="1736"/>
        <v>0</v>
      </c>
      <c r="AW5001" s="498">
        <f t="shared" si="1737"/>
        <v>0</v>
      </c>
      <c r="AX5001" s="498">
        <f t="shared" si="1738"/>
        <v>0</v>
      </c>
      <c r="AY5001" s="498">
        <f t="shared" si="1739"/>
        <v>0</v>
      </c>
      <c r="BB5001" s="498" t="str">
        <f t="shared" si="1740"/>
        <v/>
      </c>
      <c r="BC5001" s="743" t="str">
        <f t="shared" si="1741"/>
        <v/>
      </c>
      <c r="BD5001" s="743" t="str">
        <f t="shared" si="1742"/>
        <v/>
      </c>
      <c r="BE5001" s="743" t="str">
        <f>IF(D5001="","",VLOOKUP(D5001,'General Basis'!$J$39:$K$46,2,0))</f>
        <v/>
      </c>
      <c r="BF5001" s="744" t="str">
        <f>IF(D5001="","",VLOOKUP(D5001,'General Basis'!$J$39:$L$46,3,0))</f>
        <v/>
      </c>
      <c r="BG5001" s="744" t="str">
        <f t="shared" si="1749"/>
        <v/>
      </c>
      <c r="BH5001" s="744" t="str">
        <f>IF(G5001="","",IF(BF5001="Abu Dhabi",IF(G5001&lt;18,'General Basis'!$C$39,IF(G5001&lt;41,'General Basis'!$C$40,IF(G5001&lt;60,'General Basis'!$C$41,IF(G5001&lt;65,'General Basis'!$C$42,'General Basis'!$C$43)))),IF(G5001&lt;11,'General Basis'!$B$39,IF(G5001&lt;18,'General Basis'!$B$40,IF(G5001&lt;26,'General Basis'!$B$41,IF(G5001&lt;31,'General Basis'!$B$42,IF(G5001&lt;36,'General Basis'!$B$43,IF(G5001&lt;41,'General Basis'!$B$44,IF(G5001&lt;46,'General Basis'!$B$45,IF(G5001&lt;51,'General Basis'!$B$46,IF(G5001&lt;56,'General Basis'!$B$47,IF(G5001&lt;60,'General Basis'!$B$48,IF(G5001&lt;65,'General Basis'!$B$49,'General Basis'!$B$50)))))))))))))</f>
        <v/>
      </c>
      <c r="BI5001" s="744" t="str">
        <f t="shared" si="1743"/>
        <v/>
      </c>
      <c r="BJ5001" s="747" t="str">
        <f t="shared" si="1750"/>
        <v/>
      </c>
      <c r="BK5001" s="498" t="str">
        <f t="shared" si="1744"/>
        <v/>
      </c>
      <c r="BL5001" s="498" t="str">
        <f t="shared" si="1745"/>
        <v/>
      </c>
    </row>
    <row r="5002" spans="1:64" x14ac:dyDescent="0.25">
      <c r="A5002" s="762">
        <f t="shared" si="1746"/>
        <v>4997</v>
      </c>
      <c r="B5002" s="229"/>
      <c r="C5002" s="223"/>
      <c r="D5002" s="224"/>
      <c r="E5002" s="225"/>
      <c r="F5002" s="1036" t="str">
        <f t="shared" si="1730"/>
        <v/>
      </c>
      <c r="G5002" s="1037" t="str">
        <f t="shared" si="1747"/>
        <v/>
      </c>
      <c r="H5002" s="225"/>
      <c r="I5002" s="1013"/>
      <c r="J5002" s="1013"/>
      <c r="K5002" s="1028"/>
      <c r="L5002" s="1035" t="str">
        <f t="shared" si="1751"/>
        <v/>
      </c>
      <c r="S5002" s="498"/>
      <c r="AJ5002" s="498"/>
      <c r="AM5002" s="498">
        <f t="shared" si="1732"/>
        <v>0</v>
      </c>
      <c r="AN5002" s="498">
        <f t="shared" si="1733"/>
        <v>0</v>
      </c>
      <c r="AO5002" s="498">
        <f t="shared" si="1734"/>
        <v>0</v>
      </c>
      <c r="AP5002" s="498">
        <f t="shared" si="1731"/>
        <v>0</v>
      </c>
      <c r="AQ5002" s="498">
        <f t="shared" si="1748"/>
        <v>0</v>
      </c>
      <c r="AU5002" s="498">
        <f t="shared" si="1735"/>
        <v>0</v>
      </c>
      <c r="AV5002" s="498">
        <f t="shared" si="1736"/>
        <v>0</v>
      </c>
      <c r="AW5002" s="498">
        <f t="shared" si="1737"/>
        <v>0</v>
      </c>
      <c r="AX5002" s="498">
        <f t="shared" si="1738"/>
        <v>0</v>
      </c>
      <c r="AY5002" s="498">
        <f t="shared" si="1739"/>
        <v>0</v>
      </c>
      <c r="BB5002" s="498" t="str">
        <f t="shared" si="1740"/>
        <v/>
      </c>
      <c r="BC5002" s="743" t="str">
        <f t="shared" si="1741"/>
        <v/>
      </c>
      <c r="BD5002" s="743" t="str">
        <f t="shared" si="1742"/>
        <v/>
      </c>
      <c r="BE5002" s="743" t="str">
        <f>IF(D5002="","",VLOOKUP(D5002,'General Basis'!$J$39:$K$46,2,0))</f>
        <v/>
      </c>
      <c r="BF5002" s="744" t="str">
        <f>IF(D5002="","",VLOOKUP(D5002,'General Basis'!$J$39:$L$46,3,0))</f>
        <v/>
      </c>
      <c r="BG5002" s="744" t="str">
        <f t="shared" si="1749"/>
        <v/>
      </c>
      <c r="BH5002" s="744" t="str">
        <f>IF(G5002="","",IF(BF5002="Abu Dhabi",IF(G5002&lt;18,'General Basis'!$C$39,IF(G5002&lt;41,'General Basis'!$C$40,IF(G5002&lt;60,'General Basis'!$C$41,IF(G5002&lt;65,'General Basis'!$C$42,'General Basis'!$C$43)))),IF(G5002&lt;11,'General Basis'!$B$39,IF(G5002&lt;18,'General Basis'!$B$40,IF(G5002&lt;26,'General Basis'!$B$41,IF(G5002&lt;31,'General Basis'!$B$42,IF(G5002&lt;36,'General Basis'!$B$43,IF(G5002&lt;41,'General Basis'!$B$44,IF(G5002&lt;46,'General Basis'!$B$45,IF(G5002&lt;51,'General Basis'!$B$46,IF(G5002&lt;56,'General Basis'!$B$47,IF(G5002&lt;60,'General Basis'!$B$48,IF(G5002&lt;65,'General Basis'!$B$49,'General Basis'!$B$50)))))))))))))</f>
        <v/>
      </c>
      <c r="BI5002" s="744" t="str">
        <f t="shared" si="1743"/>
        <v/>
      </c>
      <c r="BJ5002" s="747" t="str">
        <f t="shared" si="1750"/>
        <v/>
      </c>
      <c r="BK5002" s="498" t="str">
        <f t="shared" si="1744"/>
        <v/>
      </c>
      <c r="BL5002" s="498" t="str">
        <f t="shared" si="1745"/>
        <v/>
      </c>
    </row>
    <row r="5003" spans="1:64" x14ac:dyDescent="0.25">
      <c r="A5003" s="762">
        <f t="shared" si="1746"/>
        <v>4998</v>
      </c>
      <c r="B5003" s="229"/>
      <c r="C5003" s="223"/>
      <c r="D5003" s="224"/>
      <c r="E5003" s="225"/>
      <c r="F5003" s="1036" t="str">
        <f t="shared" si="1730"/>
        <v/>
      </c>
      <c r="G5003" s="1037" t="str">
        <f t="shared" si="1747"/>
        <v/>
      </c>
      <c r="H5003" s="225"/>
      <c r="I5003" s="1013"/>
      <c r="J5003" s="1013"/>
      <c r="K5003" s="1028"/>
      <c r="L5003" s="1035" t="str">
        <f t="shared" si="1751"/>
        <v/>
      </c>
      <c r="S5003" s="498"/>
      <c r="AJ5003" s="498"/>
      <c r="AM5003" s="498">
        <f t="shared" si="1732"/>
        <v>0</v>
      </c>
      <c r="AN5003" s="498">
        <f t="shared" si="1733"/>
        <v>0</v>
      </c>
      <c r="AO5003" s="498">
        <f t="shared" si="1734"/>
        <v>0</v>
      </c>
      <c r="AP5003" s="498">
        <f t="shared" si="1731"/>
        <v>0</v>
      </c>
      <c r="AQ5003" s="498">
        <f t="shared" si="1748"/>
        <v>0</v>
      </c>
      <c r="AU5003" s="498">
        <f t="shared" si="1735"/>
        <v>0</v>
      </c>
      <c r="AV5003" s="498">
        <f t="shared" si="1736"/>
        <v>0</v>
      </c>
      <c r="AW5003" s="498">
        <f t="shared" si="1737"/>
        <v>0</v>
      </c>
      <c r="AX5003" s="498">
        <f t="shared" si="1738"/>
        <v>0</v>
      </c>
      <c r="AY5003" s="498">
        <f t="shared" si="1739"/>
        <v>0</v>
      </c>
      <c r="BB5003" s="498" t="str">
        <f t="shared" si="1740"/>
        <v/>
      </c>
      <c r="BC5003" s="743" t="str">
        <f t="shared" si="1741"/>
        <v/>
      </c>
      <c r="BD5003" s="743" t="str">
        <f t="shared" si="1742"/>
        <v/>
      </c>
      <c r="BE5003" s="743" t="str">
        <f>IF(D5003="","",VLOOKUP(D5003,'General Basis'!$J$39:$K$46,2,0))</f>
        <v/>
      </c>
      <c r="BF5003" s="744" t="str">
        <f>IF(D5003="","",VLOOKUP(D5003,'General Basis'!$J$39:$L$46,3,0))</f>
        <v/>
      </c>
      <c r="BG5003" s="744" t="str">
        <f t="shared" si="1749"/>
        <v/>
      </c>
      <c r="BH5003" s="744" t="str">
        <f>IF(G5003="","",IF(BF5003="Abu Dhabi",IF(G5003&lt;18,'General Basis'!$C$39,IF(G5003&lt;41,'General Basis'!$C$40,IF(G5003&lt;60,'General Basis'!$C$41,IF(G5003&lt;65,'General Basis'!$C$42,'General Basis'!$C$43)))),IF(G5003&lt;11,'General Basis'!$B$39,IF(G5003&lt;18,'General Basis'!$B$40,IF(G5003&lt;26,'General Basis'!$B$41,IF(G5003&lt;31,'General Basis'!$B$42,IF(G5003&lt;36,'General Basis'!$B$43,IF(G5003&lt;41,'General Basis'!$B$44,IF(G5003&lt;46,'General Basis'!$B$45,IF(G5003&lt;51,'General Basis'!$B$46,IF(G5003&lt;56,'General Basis'!$B$47,IF(G5003&lt;60,'General Basis'!$B$48,IF(G5003&lt;65,'General Basis'!$B$49,'General Basis'!$B$50)))))))))))))</f>
        <v/>
      </c>
      <c r="BI5003" s="744" t="str">
        <f t="shared" si="1743"/>
        <v/>
      </c>
      <c r="BJ5003" s="747" t="str">
        <f t="shared" si="1750"/>
        <v/>
      </c>
      <c r="BK5003" s="498" t="str">
        <f t="shared" si="1744"/>
        <v/>
      </c>
      <c r="BL5003" s="498" t="str">
        <f t="shared" si="1745"/>
        <v/>
      </c>
    </row>
    <row r="5004" spans="1:64" x14ac:dyDescent="0.25">
      <c r="A5004" s="762">
        <f t="shared" si="1746"/>
        <v>4999</v>
      </c>
      <c r="B5004" s="229"/>
      <c r="C5004" s="223"/>
      <c r="D5004" s="224"/>
      <c r="E5004" s="225"/>
      <c r="F5004" s="1036" t="str">
        <f t="shared" si="1730"/>
        <v/>
      </c>
      <c r="G5004" s="1037" t="str">
        <f t="shared" si="1747"/>
        <v/>
      </c>
      <c r="H5004" s="225"/>
      <c r="I5004" s="1013"/>
      <c r="J5004" s="1013"/>
      <c r="K5004" s="1028"/>
      <c r="L5004" s="1035" t="str">
        <f t="shared" si="1751"/>
        <v/>
      </c>
      <c r="S5004" s="498"/>
      <c r="AJ5004" s="498"/>
      <c r="AM5004" s="498">
        <f t="shared" si="1732"/>
        <v>0</v>
      </c>
      <c r="AN5004" s="498">
        <f t="shared" si="1733"/>
        <v>0</v>
      </c>
      <c r="AO5004" s="498">
        <f t="shared" si="1734"/>
        <v>0</v>
      </c>
      <c r="AP5004" s="498">
        <f t="shared" si="1731"/>
        <v>0</v>
      </c>
      <c r="AQ5004" s="498">
        <f t="shared" si="1748"/>
        <v>0</v>
      </c>
      <c r="AU5004" s="498">
        <f t="shared" si="1735"/>
        <v>0</v>
      </c>
      <c r="AV5004" s="498">
        <f t="shared" si="1736"/>
        <v>0</v>
      </c>
      <c r="AW5004" s="498">
        <f t="shared" si="1737"/>
        <v>0</v>
      </c>
      <c r="AX5004" s="498">
        <f t="shared" si="1738"/>
        <v>0</v>
      </c>
      <c r="AY5004" s="498">
        <f t="shared" si="1739"/>
        <v>0</v>
      </c>
      <c r="BB5004" s="498" t="str">
        <f t="shared" si="1740"/>
        <v/>
      </c>
      <c r="BC5004" s="743" t="str">
        <f t="shared" si="1741"/>
        <v/>
      </c>
      <c r="BD5004" s="743" t="str">
        <f t="shared" si="1742"/>
        <v/>
      </c>
      <c r="BE5004" s="743" t="str">
        <f>IF(D5004="","",VLOOKUP(D5004,'General Basis'!$J$39:$K$46,2,0))</f>
        <v/>
      </c>
      <c r="BF5004" s="744" t="str">
        <f>IF(D5004="","",VLOOKUP(D5004,'General Basis'!$J$39:$L$46,3,0))</f>
        <v/>
      </c>
      <c r="BG5004" s="744" t="str">
        <f t="shared" si="1749"/>
        <v/>
      </c>
      <c r="BH5004" s="744" t="str">
        <f>IF(G5004="","",IF(BF5004="Abu Dhabi",IF(G5004&lt;18,'General Basis'!$C$39,IF(G5004&lt;41,'General Basis'!$C$40,IF(G5004&lt;60,'General Basis'!$C$41,IF(G5004&lt;65,'General Basis'!$C$42,'General Basis'!$C$43)))),IF(G5004&lt;11,'General Basis'!$B$39,IF(G5004&lt;18,'General Basis'!$B$40,IF(G5004&lt;26,'General Basis'!$B$41,IF(G5004&lt;31,'General Basis'!$B$42,IF(G5004&lt;36,'General Basis'!$B$43,IF(G5004&lt;41,'General Basis'!$B$44,IF(G5004&lt;46,'General Basis'!$B$45,IF(G5004&lt;51,'General Basis'!$B$46,IF(G5004&lt;56,'General Basis'!$B$47,IF(G5004&lt;60,'General Basis'!$B$48,IF(G5004&lt;65,'General Basis'!$B$49,'General Basis'!$B$50)))))))))))))</f>
        <v/>
      </c>
      <c r="BI5004" s="744" t="str">
        <f t="shared" si="1743"/>
        <v/>
      </c>
      <c r="BJ5004" s="747" t="str">
        <f t="shared" si="1750"/>
        <v/>
      </c>
      <c r="BK5004" s="498" t="str">
        <f t="shared" si="1744"/>
        <v/>
      </c>
      <c r="BL5004" s="498" t="str">
        <f t="shared" si="1745"/>
        <v/>
      </c>
    </row>
    <row r="5005" spans="1:64" x14ac:dyDescent="0.25">
      <c r="A5005" s="762">
        <f t="shared" si="1746"/>
        <v>5000</v>
      </c>
      <c r="B5005" s="229"/>
      <c r="C5005" s="223"/>
      <c r="D5005" s="224"/>
      <c r="E5005" s="225"/>
      <c r="F5005" s="1036" t="str">
        <f t="shared" si="1730"/>
        <v/>
      </c>
      <c r="G5005" s="1037" t="str">
        <f t="shared" si="1747"/>
        <v/>
      </c>
      <c r="H5005" s="225"/>
      <c r="I5005" s="1013"/>
      <c r="J5005" s="1013"/>
      <c r="K5005" s="1028"/>
      <c r="L5005" s="1035" t="str">
        <f t="shared" si="1751"/>
        <v/>
      </c>
      <c r="S5005" s="498"/>
      <c r="AJ5005" s="498"/>
      <c r="AM5005" s="498">
        <f t="shared" si="1732"/>
        <v>0</v>
      </c>
      <c r="AN5005" s="498">
        <f t="shared" si="1733"/>
        <v>0</v>
      </c>
      <c r="AO5005" s="498">
        <f t="shared" si="1734"/>
        <v>0</v>
      </c>
      <c r="AP5005" s="498">
        <f t="shared" si="1731"/>
        <v>0</v>
      </c>
      <c r="AQ5005" s="498">
        <f t="shared" si="1748"/>
        <v>0</v>
      </c>
      <c r="AU5005" s="498">
        <f t="shared" si="1735"/>
        <v>0</v>
      </c>
      <c r="AV5005" s="498">
        <f t="shared" si="1736"/>
        <v>0</v>
      </c>
      <c r="AW5005" s="498">
        <f t="shared" si="1737"/>
        <v>0</v>
      </c>
      <c r="AX5005" s="498">
        <f t="shared" si="1738"/>
        <v>0</v>
      </c>
      <c r="AY5005" s="498">
        <f t="shared" si="1739"/>
        <v>0</v>
      </c>
      <c r="BB5005" s="498" t="str">
        <f t="shared" si="1740"/>
        <v/>
      </c>
      <c r="BC5005" s="743" t="str">
        <f t="shared" si="1741"/>
        <v/>
      </c>
      <c r="BD5005" s="743" t="str">
        <f t="shared" si="1742"/>
        <v/>
      </c>
      <c r="BE5005" s="743" t="str">
        <f>IF(D5005="","",VLOOKUP(D5005,'General Basis'!$J$39:$K$46,2,0))</f>
        <v/>
      </c>
      <c r="BF5005" s="744" t="str">
        <f>IF(D5005="","",VLOOKUP(D5005,'General Basis'!$J$39:$L$46,3,0))</f>
        <v/>
      </c>
      <c r="BG5005" s="744" t="str">
        <f t="shared" si="1749"/>
        <v/>
      </c>
      <c r="BH5005" s="744" t="str">
        <f>IF(G5005="","",IF(BF5005="Abu Dhabi",IF(G5005&lt;18,'General Basis'!$C$39,IF(G5005&lt;41,'General Basis'!$C$40,IF(G5005&lt;60,'General Basis'!$C$41,IF(G5005&lt;65,'General Basis'!$C$42,'General Basis'!$C$43)))),IF(G5005&lt;11,'General Basis'!$B$39,IF(G5005&lt;18,'General Basis'!$B$40,IF(G5005&lt;26,'General Basis'!$B$41,IF(G5005&lt;31,'General Basis'!$B$42,IF(G5005&lt;36,'General Basis'!$B$43,IF(G5005&lt;41,'General Basis'!$B$44,IF(G5005&lt;46,'General Basis'!$B$45,IF(G5005&lt;51,'General Basis'!$B$46,IF(G5005&lt;56,'General Basis'!$B$47,IF(G5005&lt;60,'General Basis'!$B$48,IF(G5005&lt;65,'General Basis'!$B$49,'General Basis'!$B$50)))))))))))))</f>
        <v/>
      </c>
      <c r="BI5005" s="744" t="str">
        <f t="shared" si="1743"/>
        <v/>
      </c>
      <c r="BJ5005" s="747" t="str">
        <f t="shared" si="1750"/>
        <v/>
      </c>
      <c r="BK5005" s="498" t="str">
        <f t="shared" si="1744"/>
        <v/>
      </c>
      <c r="BL5005" s="498" t="str">
        <f t="shared" si="1745"/>
        <v/>
      </c>
    </row>
    <row r="5006" spans="1:64" x14ac:dyDescent="0.25">
      <c r="A5006" s="762">
        <f t="shared" si="1746"/>
        <v>5001</v>
      </c>
      <c r="B5006" s="229"/>
      <c r="C5006" s="223"/>
      <c r="D5006" s="224"/>
      <c r="E5006" s="225"/>
      <c r="F5006" s="1036" t="str">
        <f t="shared" si="1730"/>
        <v/>
      </c>
      <c r="G5006" s="1037" t="str">
        <f t="shared" si="1747"/>
        <v/>
      </c>
      <c r="H5006" s="225"/>
      <c r="I5006" s="1013"/>
      <c r="J5006" s="1013"/>
      <c r="K5006" s="1028"/>
      <c r="L5006" s="1035" t="str">
        <f t="shared" si="1751"/>
        <v/>
      </c>
      <c r="S5006" s="498"/>
      <c r="AJ5006" s="498"/>
      <c r="AM5006" s="498">
        <f t="shared" si="1732"/>
        <v>0</v>
      </c>
      <c r="AN5006" s="498">
        <f t="shared" si="1733"/>
        <v>0</v>
      </c>
      <c r="AO5006" s="498">
        <f t="shared" si="1734"/>
        <v>0</v>
      </c>
      <c r="AP5006" s="498">
        <f t="shared" si="1731"/>
        <v>0</v>
      </c>
      <c r="AQ5006" s="498">
        <f t="shared" si="1748"/>
        <v>0</v>
      </c>
      <c r="AU5006" s="498">
        <f t="shared" si="1735"/>
        <v>0</v>
      </c>
      <c r="AV5006" s="498">
        <f t="shared" si="1736"/>
        <v>0</v>
      </c>
      <c r="AW5006" s="498">
        <f t="shared" si="1737"/>
        <v>0</v>
      </c>
      <c r="AX5006" s="498">
        <f t="shared" si="1738"/>
        <v>0</v>
      </c>
      <c r="AY5006" s="498">
        <f t="shared" si="1739"/>
        <v>0</v>
      </c>
      <c r="BB5006" s="498" t="str">
        <f t="shared" si="1740"/>
        <v/>
      </c>
      <c r="BC5006" s="743" t="str">
        <f t="shared" si="1741"/>
        <v/>
      </c>
      <c r="BD5006" s="743" t="str">
        <f t="shared" si="1742"/>
        <v/>
      </c>
      <c r="BE5006" s="743" t="str">
        <f>IF(D5006="","",VLOOKUP(D5006,'General Basis'!$J$39:$K$46,2,0))</f>
        <v/>
      </c>
      <c r="BF5006" s="744" t="str">
        <f>IF(D5006="","",VLOOKUP(D5006,'General Basis'!$J$39:$L$46,3,0))</f>
        <v/>
      </c>
      <c r="BG5006" s="744" t="str">
        <f t="shared" si="1749"/>
        <v/>
      </c>
      <c r="BH5006" s="744" t="str">
        <f>IF(G5006="","",IF(BF5006="Abu Dhabi",IF(G5006&lt;18,'General Basis'!$C$39,IF(G5006&lt;41,'General Basis'!$C$40,IF(G5006&lt;60,'General Basis'!$C$41,IF(G5006&lt;65,'General Basis'!$C$42,'General Basis'!$C$43)))),IF(G5006&lt;11,'General Basis'!$B$39,IF(G5006&lt;18,'General Basis'!$B$40,IF(G5006&lt;26,'General Basis'!$B$41,IF(G5006&lt;31,'General Basis'!$B$42,IF(G5006&lt;36,'General Basis'!$B$43,IF(G5006&lt;41,'General Basis'!$B$44,IF(G5006&lt;46,'General Basis'!$B$45,IF(G5006&lt;51,'General Basis'!$B$46,IF(G5006&lt;56,'General Basis'!$B$47,IF(G5006&lt;60,'General Basis'!$B$48,IF(G5006&lt;65,'General Basis'!$B$49,'General Basis'!$B$50)))))))))))))</f>
        <v/>
      </c>
      <c r="BI5006" s="744" t="str">
        <f t="shared" si="1743"/>
        <v/>
      </c>
      <c r="BJ5006" s="747" t="str">
        <f t="shared" si="1750"/>
        <v/>
      </c>
      <c r="BK5006" s="498" t="str">
        <f t="shared" si="1744"/>
        <v/>
      </c>
      <c r="BL5006" s="498" t="str">
        <f t="shared" si="1745"/>
        <v/>
      </c>
    </row>
    <row r="5007" spans="1:64" x14ac:dyDescent="0.25">
      <c r="A5007" s="762">
        <f t="shared" si="1746"/>
        <v>5002</v>
      </c>
      <c r="B5007" s="229"/>
      <c r="C5007" s="223"/>
      <c r="D5007" s="224"/>
      <c r="E5007" s="225"/>
      <c r="F5007" s="1036" t="str">
        <f t="shared" si="1730"/>
        <v/>
      </c>
      <c r="G5007" s="1037" t="str">
        <f t="shared" si="1747"/>
        <v/>
      </c>
      <c r="H5007" s="225"/>
      <c r="I5007" s="1013"/>
      <c r="J5007" s="1013"/>
      <c r="K5007" s="1028"/>
      <c r="L5007" s="1035" t="str">
        <f t="shared" si="1751"/>
        <v/>
      </c>
      <c r="S5007" s="498"/>
      <c r="AJ5007" s="498"/>
      <c r="AM5007" s="498">
        <f t="shared" si="1732"/>
        <v>0</v>
      </c>
      <c r="AN5007" s="498">
        <f t="shared" si="1733"/>
        <v>0</v>
      </c>
      <c r="AO5007" s="498">
        <f t="shared" si="1734"/>
        <v>0</v>
      </c>
      <c r="AP5007" s="498">
        <f t="shared" si="1731"/>
        <v>0</v>
      </c>
      <c r="AQ5007" s="498">
        <f t="shared" si="1748"/>
        <v>0</v>
      </c>
      <c r="AU5007" s="498">
        <f t="shared" si="1735"/>
        <v>0</v>
      </c>
      <c r="AV5007" s="498">
        <f t="shared" si="1736"/>
        <v>0</v>
      </c>
      <c r="AW5007" s="498">
        <f t="shared" si="1737"/>
        <v>0</v>
      </c>
      <c r="AX5007" s="498">
        <f t="shared" si="1738"/>
        <v>0</v>
      </c>
      <c r="AY5007" s="498">
        <f t="shared" si="1739"/>
        <v>0</v>
      </c>
      <c r="BB5007" s="498" t="str">
        <f t="shared" si="1740"/>
        <v/>
      </c>
      <c r="BC5007" s="743" t="str">
        <f t="shared" si="1741"/>
        <v/>
      </c>
      <c r="BD5007" s="743" t="str">
        <f t="shared" si="1742"/>
        <v/>
      </c>
      <c r="BE5007" s="743" t="str">
        <f>IF(D5007="","",VLOOKUP(D5007,'General Basis'!$J$39:$K$46,2,0))</f>
        <v/>
      </c>
      <c r="BF5007" s="744" t="str">
        <f>IF(D5007="","",VLOOKUP(D5007,'General Basis'!$J$39:$L$46,3,0))</f>
        <v/>
      </c>
      <c r="BG5007" s="744" t="str">
        <f t="shared" si="1749"/>
        <v/>
      </c>
      <c r="BH5007" s="744" t="str">
        <f>IF(G5007="","",IF(BF5007="Abu Dhabi",IF(G5007&lt;18,'General Basis'!$C$39,IF(G5007&lt;41,'General Basis'!$C$40,IF(G5007&lt;60,'General Basis'!$C$41,IF(G5007&lt;65,'General Basis'!$C$42,'General Basis'!$C$43)))),IF(G5007&lt;11,'General Basis'!$B$39,IF(G5007&lt;18,'General Basis'!$B$40,IF(G5007&lt;26,'General Basis'!$B$41,IF(G5007&lt;31,'General Basis'!$B$42,IF(G5007&lt;36,'General Basis'!$B$43,IF(G5007&lt;41,'General Basis'!$B$44,IF(G5007&lt;46,'General Basis'!$B$45,IF(G5007&lt;51,'General Basis'!$B$46,IF(G5007&lt;56,'General Basis'!$B$47,IF(G5007&lt;60,'General Basis'!$B$48,IF(G5007&lt;65,'General Basis'!$B$49,'General Basis'!$B$50)))))))))))))</f>
        <v/>
      </c>
      <c r="BI5007" s="744" t="str">
        <f t="shared" si="1743"/>
        <v/>
      </c>
      <c r="BJ5007" s="747" t="str">
        <f t="shared" si="1750"/>
        <v/>
      </c>
      <c r="BK5007" s="498" t="str">
        <f t="shared" si="1744"/>
        <v/>
      </c>
      <c r="BL5007" s="498" t="str">
        <f t="shared" si="1745"/>
        <v/>
      </c>
    </row>
    <row r="5008" spans="1:64" x14ac:dyDescent="0.25">
      <c r="A5008" s="762">
        <f t="shared" si="1746"/>
        <v>5003</v>
      </c>
      <c r="B5008" s="229"/>
      <c r="C5008" s="223"/>
      <c r="D5008" s="224"/>
      <c r="E5008" s="225"/>
      <c r="F5008" s="1036" t="str">
        <f t="shared" ref="F5008:F5071" si="1752">IF(C5008="","",IF($B5008="","",((YEAR($F$3)-YEAR($B5008))+(MONTH($F$3)-MONTH($B5008))/12+(DAY($F$3)-DAY($B5008))/(DATE(YEAR($F$3),12,31)-DATE(YEAR($F$3),1,1)+1))))</f>
        <v/>
      </c>
      <c r="G5008" s="1037" t="str">
        <f t="shared" si="1747"/>
        <v/>
      </c>
      <c r="H5008" s="225"/>
      <c r="I5008" s="1013"/>
      <c r="J5008" s="1013"/>
      <c r="K5008" s="1028"/>
      <c r="L5008" s="1035" t="str">
        <f t="shared" si="1751"/>
        <v/>
      </c>
      <c r="S5008" s="498"/>
      <c r="AJ5008" s="498"/>
      <c r="AM5008" s="498">
        <f t="shared" si="1732"/>
        <v>0</v>
      </c>
      <c r="AN5008" s="498">
        <f t="shared" si="1733"/>
        <v>0</v>
      </c>
      <c r="AO5008" s="498">
        <f t="shared" si="1734"/>
        <v>0</v>
      </c>
      <c r="AP5008" s="498">
        <f t="shared" si="1731"/>
        <v>0</v>
      </c>
      <c r="AQ5008" s="498">
        <f t="shared" si="1748"/>
        <v>0</v>
      </c>
      <c r="AU5008" s="498">
        <f t="shared" si="1735"/>
        <v>0</v>
      </c>
      <c r="AV5008" s="498">
        <f t="shared" si="1736"/>
        <v>0</v>
      </c>
      <c r="AW5008" s="498">
        <f t="shared" si="1737"/>
        <v>0</v>
      </c>
      <c r="AX5008" s="498">
        <f t="shared" si="1738"/>
        <v>0</v>
      </c>
      <c r="AY5008" s="498">
        <f t="shared" si="1739"/>
        <v>0</v>
      </c>
      <c r="BB5008" s="498" t="str">
        <f t="shared" si="1740"/>
        <v/>
      </c>
      <c r="BC5008" s="743" t="str">
        <f t="shared" si="1741"/>
        <v/>
      </c>
      <c r="BD5008" s="743" t="str">
        <f t="shared" si="1742"/>
        <v/>
      </c>
      <c r="BE5008" s="743" t="str">
        <f>IF(D5008="","",VLOOKUP(D5008,'General Basis'!$J$39:$K$46,2,0))</f>
        <v/>
      </c>
      <c r="BF5008" s="744" t="str">
        <f>IF(D5008="","",VLOOKUP(D5008,'General Basis'!$J$39:$L$46,3,0))</f>
        <v/>
      </c>
      <c r="BG5008" s="744" t="str">
        <f t="shared" si="1749"/>
        <v/>
      </c>
      <c r="BH5008" s="744" t="str">
        <f>IF(G5008="","",IF(BF5008="Abu Dhabi",IF(G5008&lt;18,'General Basis'!$C$39,IF(G5008&lt;41,'General Basis'!$C$40,IF(G5008&lt;60,'General Basis'!$C$41,IF(G5008&lt;65,'General Basis'!$C$42,'General Basis'!$C$43)))),IF(G5008&lt;11,'General Basis'!$B$39,IF(G5008&lt;18,'General Basis'!$B$40,IF(G5008&lt;26,'General Basis'!$B$41,IF(G5008&lt;31,'General Basis'!$B$42,IF(G5008&lt;36,'General Basis'!$B$43,IF(G5008&lt;41,'General Basis'!$B$44,IF(G5008&lt;46,'General Basis'!$B$45,IF(G5008&lt;51,'General Basis'!$B$46,IF(G5008&lt;56,'General Basis'!$B$47,IF(G5008&lt;60,'General Basis'!$B$48,IF(G5008&lt;65,'General Basis'!$B$49,'General Basis'!$B$50)))))))))))))</f>
        <v/>
      </c>
      <c r="BI5008" s="744" t="str">
        <f t="shared" si="1743"/>
        <v/>
      </c>
      <c r="BJ5008" s="747" t="str">
        <f t="shared" si="1750"/>
        <v/>
      </c>
      <c r="BK5008" s="498" t="str">
        <f t="shared" si="1744"/>
        <v/>
      </c>
      <c r="BL5008" s="498" t="str">
        <f t="shared" si="1745"/>
        <v/>
      </c>
    </row>
    <row r="5009" spans="1:64" x14ac:dyDescent="0.25">
      <c r="A5009" s="762">
        <f t="shared" si="1746"/>
        <v>5004</v>
      </c>
      <c r="B5009" s="229"/>
      <c r="C5009" s="223"/>
      <c r="D5009" s="224"/>
      <c r="E5009" s="225"/>
      <c r="F5009" s="1036" t="str">
        <f t="shared" si="1752"/>
        <v/>
      </c>
      <c r="G5009" s="1037" t="str">
        <f t="shared" si="1747"/>
        <v/>
      </c>
      <c r="H5009" s="225"/>
      <c r="I5009" s="1013"/>
      <c r="J5009" s="1013"/>
      <c r="K5009" s="1028"/>
      <c r="L5009" s="1035" t="str">
        <f t="shared" si="1751"/>
        <v/>
      </c>
      <c r="S5009" s="498"/>
      <c r="AJ5009" s="498"/>
      <c r="AM5009" s="498">
        <f t="shared" si="1732"/>
        <v>0</v>
      </c>
      <c r="AN5009" s="498">
        <f t="shared" si="1733"/>
        <v>0</v>
      </c>
      <c r="AO5009" s="498">
        <f t="shared" si="1734"/>
        <v>0</v>
      </c>
      <c r="AP5009" s="498">
        <f t="shared" si="1731"/>
        <v>0</v>
      </c>
      <c r="AQ5009" s="498">
        <f t="shared" si="1748"/>
        <v>0</v>
      </c>
      <c r="AU5009" s="498">
        <f t="shared" si="1735"/>
        <v>0</v>
      </c>
      <c r="AV5009" s="498">
        <f t="shared" si="1736"/>
        <v>0</v>
      </c>
      <c r="AW5009" s="498">
        <f t="shared" si="1737"/>
        <v>0</v>
      </c>
      <c r="AX5009" s="498">
        <f t="shared" si="1738"/>
        <v>0</v>
      </c>
      <c r="AY5009" s="498">
        <f t="shared" si="1739"/>
        <v>0</v>
      </c>
      <c r="BB5009" s="498" t="str">
        <f t="shared" si="1740"/>
        <v/>
      </c>
      <c r="BC5009" s="743" t="str">
        <f t="shared" si="1741"/>
        <v/>
      </c>
      <c r="BD5009" s="743" t="str">
        <f t="shared" si="1742"/>
        <v/>
      </c>
      <c r="BE5009" s="743" t="str">
        <f>IF(D5009="","",VLOOKUP(D5009,'General Basis'!$J$39:$K$46,2,0))</f>
        <v/>
      </c>
      <c r="BF5009" s="744" t="str">
        <f>IF(D5009="","",VLOOKUP(D5009,'General Basis'!$J$39:$L$46,3,0))</f>
        <v/>
      </c>
      <c r="BG5009" s="744" t="str">
        <f t="shared" si="1749"/>
        <v/>
      </c>
      <c r="BH5009" s="744" t="str">
        <f>IF(G5009="","",IF(BF5009="Abu Dhabi",IF(G5009&lt;18,'General Basis'!$C$39,IF(G5009&lt;41,'General Basis'!$C$40,IF(G5009&lt;60,'General Basis'!$C$41,IF(G5009&lt;65,'General Basis'!$C$42,'General Basis'!$C$43)))),IF(G5009&lt;11,'General Basis'!$B$39,IF(G5009&lt;18,'General Basis'!$B$40,IF(G5009&lt;26,'General Basis'!$B$41,IF(G5009&lt;31,'General Basis'!$B$42,IF(G5009&lt;36,'General Basis'!$B$43,IF(G5009&lt;41,'General Basis'!$B$44,IF(G5009&lt;46,'General Basis'!$B$45,IF(G5009&lt;51,'General Basis'!$B$46,IF(G5009&lt;56,'General Basis'!$B$47,IF(G5009&lt;60,'General Basis'!$B$48,IF(G5009&lt;65,'General Basis'!$B$49,'General Basis'!$B$50)))))))))))))</f>
        <v/>
      </c>
      <c r="BI5009" s="744" t="str">
        <f t="shared" si="1743"/>
        <v/>
      </c>
      <c r="BJ5009" s="747" t="str">
        <f t="shared" si="1750"/>
        <v/>
      </c>
      <c r="BK5009" s="498" t="str">
        <f t="shared" si="1744"/>
        <v/>
      </c>
      <c r="BL5009" s="498" t="str">
        <f t="shared" si="1745"/>
        <v/>
      </c>
    </row>
    <row r="5010" spans="1:64" x14ac:dyDescent="0.25">
      <c r="A5010" s="762">
        <f t="shared" si="1746"/>
        <v>5005</v>
      </c>
      <c r="B5010" s="229"/>
      <c r="C5010" s="223"/>
      <c r="D5010" s="224"/>
      <c r="E5010" s="225"/>
      <c r="F5010" s="1036" t="str">
        <f t="shared" si="1752"/>
        <v/>
      </c>
      <c r="G5010" s="1037" t="str">
        <f t="shared" si="1747"/>
        <v/>
      </c>
      <c r="H5010" s="225"/>
      <c r="I5010" s="1013"/>
      <c r="J5010" s="1013"/>
      <c r="K5010" s="1028"/>
      <c r="L5010" s="1035" t="str">
        <f t="shared" si="1751"/>
        <v/>
      </c>
      <c r="S5010" s="498"/>
      <c r="AJ5010" s="498"/>
      <c r="AM5010" s="498">
        <f t="shared" si="1732"/>
        <v>0</v>
      </c>
      <c r="AN5010" s="498">
        <f t="shared" si="1733"/>
        <v>0</v>
      </c>
      <c r="AO5010" s="498">
        <f t="shared" si="1734"/>
        <v>0</v>
      </c>
      <c r="AP5010" s="498">
        <f t="shared" si="1731"/>
        <v>0</v>
      </c>
      <c r="AQ5010" s="498">
        <f t="shared" si="1748"/>
        <v>0</v>
      </c>
      <c r="AU5010" s="498">
        <f t="shared" si="1735"/>
        <v>0</v>
      </c>
      <c r="AV5010" s="498">
        <f t="shared" si="1736"/>
        <v>0</v>
      </c>
      <c r="AW5010" s="498">
        <f t="shared" si="1737"/>
        <v>0</v>
      </c>
      <c r="AX5010" s="498">
        <f t="shared" si="1738"/>
        <v>0</v>
      </c>
      <c r="AY5010" s="498">
        <f t="shared" si="1739"/>
        <v>0</v>
      </c>
      <c r="BB5010" s="498" t="str">
        <f t="shared" si="1740"/>
        <v/>
      </c>
      <c r="BC5010" s="743" t="str">
        <f t="shared" si="1741"/>
        <v/>
      </c>
      <c r="BD5010" s="743" t="str">
        <f t="shared" si="1742"/>
        <v/>
      </c>
      <c r="BE5010" s="743" t="str">
        <f>IF(D5010="","",VLOOKUP(D5010,'General Basis'!$J$39:$K$46,2,0))</f>
        <v/>
      </c>
      <c r="BF5010" s="744" t="str">
        <f>IF(D5010="","",VLOOKUP(D5010,'General Basis'!$J$39:$L$46,3,0))</f>
        <v/>
      </c>
      <c r="BG5010" s="744" t="str">
        <f t="shared" si="1749"/>
        <v/>
      </c>
      <c r="BH5010" s="744" t="str">
        <f>IF(G5010="","",IF(BF5010="Abu Dhabi",IF(G5010&lt;18,'General Basis'!$C$39,IF(G5010&lt;41,'General Basis'!$C$40,IF(G5010&lt;60,'General Basis'!$C$41,IF(G5010&lt;65,'General Basis'!$C$42,'General Basis'!$C$43)))),IF(G5010&lt;11,'General Basis'!$B$39,IF(G5010&lt;18,'General Basis'!$B$40,IF(G5010&lt;26,'General Basis'!$B$41,IF(G5010&lt;31,'General Basis'!$B$42,IF(G5010&lt;36,'General Basis'!$B$43,IF(G5010&lt;41,'General Basis'!$B$44,IF(G5010&lt;46,'General Basis'!$B$45,IF(G5010&lt;51,'General Basis'!$B$46,IF(G5010&lt;56,'General Basis'!$B$47,IF(G5010&lt;60,'General Basis'!$B$48,IF(G5010&lt;65,'General Basis'!$B$49,'General Basis'!$B$50)))))))))))))</f>
        <v/>
      </c>
      <c r="BI5010" s="744" t="str">
        <f t="shared" si="1743"/>
        <v/>
      </c>
      <c r="BJ5010" s="747" t="str">
        <f t="shared" si="1750"/>
        <v/>
      </c>
      <c r="BK5010" s="498" t="str">
        <f t="shared" si="1744"/>
        <v/>
      </c>
      <c r="BL5010" s="498" t="str">
        <f t="shared" si="1745"/>
        <v/>
      </c>
    </row>
    <row r="5011" spans="1:64" x14ac:dyDescent="0.25">
      <c r="A5011" s="762">
        <f t="shared" si="1746"/>
        <v>5006</v>
      </c>
      <c r="B5011" s="229"/>
      <c r="C5011" s="223"/>
      <c r="D5011" s="224"/>
      <c r="E5011" s="225"/>
      <c r="F5011" s="1036" t="str">
        <f t="shared" si="1752"/>
        <v/>
      </c>
      <c r="G5011" s="1037" t="str">
        <f t="shared" si="1747"/>
        <v/>
      </c>
      <c r="H5011" s="225"/>
      <c r="I5011" s="1013"/>
      <c r="J5011" s="1013"/>
      <c r="K5011" s="1028"/>
      <c r="L5011" s="1035" t="str">
        <f t="shared" si="1751"/>
        <v/>
      </c>
      <c r="S5011" s="498"/>
      <c r="AJ5011" s="498"/>
      <c r="AM5011" s="498">
        <f t="shared" si="1732"/>
        <v>0</v>
      </c>
      <c r="AN5011" s="498">
        <f t="shared" si="1733"/>
        <v>0</v>
      </c>
      <c r="AO5011" s="498">
        <f t="shared" si="1734"/>
        <v>0</v>
      </c>
      <c r="AP5011" s="498">
        <f t="shared" ref="AP5011:AP5074" si="1753">IF(ISBLANK($B5011),0,IF(OR($C5011="M",$C5011="F"),0,1))</f>
        <v>0</v>
      </c>
      <c r="AQ5011" s="498">
        <f t="shared" si="1748"/>
        <v>0</v>
      </c>
      <c r="AU5011" s="498">
        <f t="shared" si="1735"/>
        <v>0</v>
      </c>
      <c r="AV5011" s="498">
        <f t="shared" si="1736"/>
        <v>0</v>
      </c>
      <c r="AW5011" s="498">
        <f t="shared" si="1737"/>
        <v>0</v>
      </c>
      <c r="AX5011" s="498">
        <f t="shared" si="1738"/>
        <v>0</v>
      </c>
      <c r="AY5011" s="498">
        <f t="shared" si="1739"/>
        <v>0</v>
      </c>
      <c r="BB5011" s="498" t="str">
        <f t="shared" si="1740"/>
        <v/>
      </c>
      <c r="BC5011" s="743" t="str">
        <f t="shared" si="1741"/>
        <v/>
      </c>
      <c r="BD5011" s="743" t="str">
        <f t="shared" si="1742"/>
        <v/>
      </c>
      <c r="BE5011" s="743" t="str">
        <f>IF(D5011="","",VLOOKUP(D5011,'General Basis'!$J$39:$K$46,2,0))</f>
        <v/>
      </c>
      <c r="BF5011" s="744" t="str">
        <f>IF(D5011="","",VLOOKUP(D5011,'General Basis'!$J$39:$L$46,3,0))</f>
        <v/>
      </c>
      <c r="BG5011" s="744" t="str">
        <f t="shared" si="1749"/>
        <v/>
      </c>
      <c r="BH5011" s="744" t="str">
        <f>IF(G5011="","",IF(BF5011="Abu Dhabi",IF(G5011&lt;18,'General Basis'!$C$39,IF(G5011&lt;41,'General Basis'!$C$40,IF(G5011&lt;60,'General Basis'!$C$41,IF(G5011&lt;65,'General Basis'!$C$42,'General Basis'!$C$43)))),IF(G5011&lt;11,'General Basis'!$B$39,IF(G5011&lt;18,'General Basis'!$B$40,IF(G5011&lt;26,'General Basis'!$B$41,IF(G5011&lt;31,'General Basis'!$B$42,IF(G5011&lt;36,'General Basis'!$B$43,IF(G5011&lt;41,'General Basis'!$B$44,IF(G5011&lt;46,'General Basis'!$B$45,IF(G5011&lt;51,'General Basis'!$B$46,IF(G5011&lt;56,'General Basis'!$B$47,IF(G5011&lt;60,'General Basis'!$B$48,IF(G5011&lt;65,'General Basis'!$B$49,'General Basis'!$B$50)))))))))))))</f>
        <v/>
      </c>
      <c r="BI5011" s="744" t="str">
        <f t="shared" si="1743"/>
        <v/>
      </c>
      <c r="BJ5011" s="747" t="str">
        <f t="shared" si="1750"/>
        <v/>
      </c>
      <c r="BK5011" s="498" t="str">
        <f t="shared" si="1744"/>
        <v/>
      </c>
      <c r="BL5011" s="498" t="str">
        <f t="shared" si="1745"/>
        <v/>
      </c>
    </row>
    <row r="5012" spans="1:64" x14ac:dyDescent="0.25">
      <c r="A5012" s="762">
        <f t="shared" si="1746"/>
        <v>5007</v>
      </c>
      <c r="B5012" s="229"/>
      <c r="C5012" s="223"/>
      <c r="D5012" s="224"/>
      <c r="E5012" s="225"/>
      <c r="F5012" s="1036" t="str">
        <f t="shared" si="1752"/>
        <v/>
      </c>
      <c r="G5012" s="1037" t="str">
        <f t="shared" si="1747"/>
        <v/>
      </c>
      <c r="H5012" s="225"/>
      <c r="I5012" s="1013"/>
      <c r="J5012" s="1013"/>
      <c r="K5012" s="1028"/>
      <c r="L5012" s="1035" t="str">
        <f t="shared" si="1751"/>
        <v/>
      </c>
      <c r="S5012" s="498"/>
      <c r="AJ5012" s="498"/>
      <c r="AM5012" s="498">
        <f t="shared" si="1732"/>
        <v>0</v>
      </c>
      <c r="AN5012" s="498">
        <f t="shared" si="1733"/>
        <v>0</v>
      </c>
      <c r="AO5012" s="498">
        <f t="shared" si="1734"/>
        <v>0</v>
      </c>
      <c r="AP5012" s="498">
        <f t="shared" si="1753"/>
        <v>0</v>
      </c>
      <c r="AQ5012" s="498">
        <f t="shared" si="1748"/>
        <v>0</v>
      </c>
      <c r="AU5012" s="498">
        <f t="shared" si="1735"/>
        <v>0</v>
      </c>
      <c r="AV5012" s="498">
        <f t="shared" si="1736"/>
        <v>0</v>
      </c>
      <c r="AW5012" s="498">
        <f t="shared" si="1737"/>
        <v>0</v>
      </c>
      <c r="AX5012" s="498">
        <f t="shared" si="1738"/>
        <v>0</v>
      </c>
      <c r="AY5012" s="498">
        <f t="shared" si="1739"/>
        <v>0</v>
      </c>
      <c r="BB5012" s="498" t="str">
        <f t="shared" si="1740"/>
        <v/>
      </c>
      <c r="BC5012" s="743" t="str">
        <f t="shared" si="1741"/>
        <v/>
      </c>
      <c r="BD5012" s="743" t="str">
        <f t="shared" si="1742"/>
        <v/>
      </c>
      <c r="BE5012" s="743" t="str">
        <f>IF(D5012="","",VLOOKUP(D5012,'General Basis'!$J$39:$K$46,2,0))</f>
        <v/>
      </c>
      <c r="BF5012" s="744" t="str">
        <f>IF(D5012="","",VLOOKUP(D5012,'General Basis'!$J$39:$L$46,3,0))</f>
        <v/>
      </c>
      <c r="BG5012" s="744" t="str">
        <f t="shared" si="1749"/>
        <v/>
      </c>
      <c r="BH5012" s="744" t="str">
        <f>IF(G5012="","",IF(BF5012="Abu Dhabi",IF(G5012&lt;18,'General Basis'!$C$39,IF(G5012&lt;41,'General Basis'!$C$40,IF(G5012&lt;60,'General Basis'!$C$41,IF(G5012&lt;65,'General Basis'!$C$42,'General Basis'!$C$43)))),IF(G5012&lt;11,'General Basis'!$B$39,IF(G5012&lt;18,'General Basis'!$B$40,IF(G5012&lt;26,'General Basis'!$B$41,IF(G5012&lt;31,'General Basis'!$B$42,IF(G5012&lt;36,'General Basis'!$B$43,IF(G5012&lt;41,'General Basis'!$B$44,IF(G5012&lt;46,'General Basis'!$B$45,IF(G5012&lt;51,'General Basis'!$B$46,IF(G5012&lt;56,'General Basis'!$B$47,IF(G5012&lt;60,'General Basis'!$B$48,IF(G5012&lt;65,'General Basis'!$B$49,'General Basis'!$B$50)))))))))))))</f>
        <v/>
      </c>
      <c r="BI5012" s="744" t="str">
        <f t="shared" si="1743"/>
        <v/>
      </c>
      <c r="BJ5012" s="747" t="str">
        <f t="shared" si="1750"/>
        <v/>
      </c>
      <c r="BK5012" s="498" t="str">
        <f t="shared" si="1744"/>
        <v/>
      </c>
      <c r="BL5012" s="498" t="str">
        <f t="shared" si="1745"/>
        <v/>
      </c>
    </row>
    <row r="5013" spans="1:64" x14ac:dyDescent="0.25">
      <c r="A5013" s="762">
        <f t="shared" si="1746"/>
        <v>5008</v>
      </c>
      <c r="B5013" s="229"/>
      <c r="C5013" s="223"/>
      <c r="D5013" s="224"/>
      <c r="E5013" s="225"/>
      <c r="F5013" s="1036" t="str">
        <f t="shared" si="1752"/>
        <v/>
      </c>
      <c r="G5013" s="1037" t="str">
        <f t="shared" si="1747"/>
        <v/>
      </c>
      <c r="H5013" s="225"/>
      <c r="I5013" s="1013"/>
      <c r="J5013" s="1013"/>
      <c r="K5013" s="1028"/>
      <c r="L5013" s="1035" t="str">
        <f t="shared" si="1751"/>
        <v/>
      </c>
      <c r="S5013" s="498"/>
      <c r="AJ5013" s="498"/>
      <c r="AM5013" s="498">
        <f t="shared" si="1732"/>
        <v>0</v>
      </c>
      <c r="AN5013" s="498">
        <f t="shared" si="1733"/>
        <v>0</v>
      </c>
      <c r="AO5013" s="498">
        <f t="shared" si="1734"/>
        <v>0</v>
      </c>
      <c r="AP5013" s="498">
        <f t="shared" si="1753"/>
        <v>0</v>
      </c>
      <c r="AQ5013" s="498">
        <f t="shared" si="1748"/>
        <v>0</v>
      </c>
      <c r="AU5013" s="498">
        <f t="shared" si="1735"/>
        <v>0</v>
      </c>
      <c r="AV5013" s="498">
        <f t="shared" si="1736"/>
        <v>0</v>
      </c>
      <c r="AW5013" s="498">
        <f t="shared" si="1737"/>
        <v>0</v>
      </c>
      <c r="AX5013" s="498">
        <f t="shared" si="1738"/>
        <v>0</v>
      </c>
      <c r="AY5013" s="498">
        <f t="shared" si="1739"/>
        <v>0</v>
      </c>
      <c r="BB5013" s="498" t="str">
        <f t="shared" si="1740"/>
        <v/>
      </c>
      <c r="BC5013" s="743" t="str">
        <f t="shared" si="1741"/>
        <v/>
      </c>
      <c r="BD5013" s="743" t="str">
        <f t="shared" si="1742"/>
        <v/>
      </c>
      <c r="BE5013" s="743" t="str">
        <f>IF(D5013="","",VLOOKUP(D5013,'General Basis'!$J$39:$K$46,2,0))</f>
        <v/>
      </c>
      <c r="BF5013" s="744" t="str">
        <f>IF(D5013="","",VLOOKUP(D5013,'General Basis'!$J$39:$L$46,3,0))</f>
        <v/>
      </c>
      <c r="BG5013" s="744" t="str">
        <f t="shared" si="1749"/>
        <v/>
      </c>
      <c r="BH5013" s="744" t="str">
        <f>IF(G5013="","",IF(BF5013="Abu Dhabi",IF(G5013&lt;18,'General Basis'!$C$39,IF(G5013&lt;41,'General Basis'!$C$40,IF(G5013&lt;60,'General Basis'!$C$41,IF(G5013&lt;65,'General Basis'!$C$42,'General Basis'!$C$43)))),IF(G5013&lt;11,'General Basis'!$B$39,IF(G5013&lt;18,'General Basis'!$B$40,IF(G5013&lt;26,'General Basis'!$B$41,IF(G5013&lt;31,'General Basis'!$B$42,IF(G5013&lt;36,'General Basis'!$B$43,IF(G5013&lt;41,'General Basis'!$B$44,IF(G5013&lt;46,'General Basis'!$B$45,IF(G5013&lt;51,'General Basis'!$B$46,IF(G5013&lt;56,'General Basis'!$B$47,IF(G5013&lt;60,'General Basis'!$B$48,IF(G5013&lt;65,'General Basis'!$B$49,'General Basis'!$B$50)))))))))))))</f>
        <v/>
      </c>
      <c r="BI5013" s="744" t="str">
        <f t="shared" si="1743"/>
        <v/>
      </c>
      <c r="BJ5013" s="747" t="str">
        <f t="shared" si="1750"/>
        <v/>
      </c>
      <c r="BK5013" s="498" t="str">
        <f t="shared" si="1744"/>
        <v/>
      </c>
      <c r="BL5013" s="498" t="str">
        <f t="shared" si="1745"/>
        <v/>
      </c>
    </row>
    <row r="5014" spans="1:64" x14ac:dyDescent="0.25">
      <c r="A5014" s="762">
        <f t="shared" si="1746"/>
        <v>5009</v>
      </c>
      <c r="B5014" s="229"/>
      <c r="C5014" s="223"/>
      <c r="D5014" s="224"/>
      <c r="E5014" s="225"/>
      <c r="F5014" s="1036" t="str">
        <f t="shared" si="1752"/>
        <v/>
      </c>
      <c r="G5014" s="1037" t="str">
        <f t="shared" si="1747"/>
        <v/>
      </c>
      <c r="H5014" s="225"/>
      <c r="I5014" s="1013"/>
      <c r="J5014" s="1013"/>
      <c r="K5014" s="1028"/>
      <c r="L5014" s="1035" t="str">
        <f t="shared" si="1751"/>
        <v/>
      </c>
      <c r="S5014" s="498"/>
      <c r="AJ5014" s="498"/>
      <c r="AM5014" s="498">
        <f t="shared" si="1732"/>
        <v>0</v>
      </c>
      <c r="AN5014" s="498">
        <f t="shared" si="1733"/>
        <v>0</v>
      </c>
      <c r="AO5014" s="498">
        <f t="shared" si="1734"/>
        <v>0</v>
      </c>
      <c r="AP5014" s="498">
        <f t="shared" si="1753"/>
        <v>0</v>
      </c>
      <c r="AQ5014" s="498">
        <f t="shared" si="1748"/>
        <v>0</v>
      </c>
      <c r="AU5014" s="498">
        <f t="shared" si="1735"/>
        <v>0</v>
      </c>
      <c r="AV5014" s="498">
        <f t="shared" si="1736"/>
        <v>0</v>
      </c>
      <c r="AW5014" s="498">
        <f t="shared" si="1737"/>
        <v>0</v>
      </c>
      <c r="AX5014" s="498">
        <f t="shared" si="1738"/>
        <v>0</v>
      </c>
      <c r="AY5014" s="498">
        <f t="shared" si="1739"/>
        <v>0</v>
      </c>
      <c r="BB5014" s="498" t="str">
        <f t="shared" si="1740"/>
        <v/>
      </c>
      <c r="BC5014" s="743" t="str">
        <f t="shared" si="1741"/>
        <v/>
      </c>
      <c r="BD5014" s="743" t="str">
        <f t="shared" si="1742"/>
        <v/>
      </c>
      <c r="BE5014" s="743" t="str">
        <f>IF(D5014="","",VLOOKUP(D5014,'General Basis'!$J$39:$K$46,2,0))</f>
        <v/>
      </c>
      <c r="BF5014" s="744" t="str">
        <f>IF(D5014="","",VLOOKUP(D5014,'General Basis'!$J$39:$L$46,3,0))</f>
        <v/>
      </c>
      <c r="BG5014" s="744" t="str">
        <f t="shared" si="1749"/>
        <v/>
      </c>
      <c r="BH5014" s="744" t="str">
        <f>IF(G5014="","",IF(BF5014="Abu Dhabi",IF(G5014&lt;18,'General Basis'!$C$39,IF(G5014&lt;41,'General Basis'!$C$40,IF(G5014&lt;60,'General Basis'!$C$41,IF(G5014&lt;65,'General Basis'!$C$42,'General Basis'!$C$43)))),IF(G5014&lt;11,'General Basis'!$B$39,IF(G5014&lt;18,'General Basis'!$B$40,IF(G5014&lt;26,'General Basis'!$B$41,IF(G5014&lt;31,'General Basis'!$B$42,IF(G5014&lt;36,'General Basis'!$B$43,IF(G5014&lt;41,'General Basis'!$B$44,IF(G5014&lt;46,'General Basis'!$B$45,IF(G5014&lt;51,'General Basis'!$B$46,IF(G5014&lt;56,'General Basis'!$B$47,IF(G5014&lt;60,'General Basis'!$B$48,IF(G5014&lt;65,'General Basis'!$B$49,'General Basis'!$B$50)))))))))))))</f>
        <v/>
      </c>
      <c r="BI5014" s="744" t="str">
        <f t="shared" si="1743"/>
        <v/>
      </c>
      <c r="BJ5014" s="747" t="str">
        <f t="shared" si="1750"/>
        <v/>
      </c>
      <c r="BK5014" s="498" t="str">
        <f t="shared" si="1744"/>
        <v/>
      </c>
      <c r="BL5014" s="498" t="str">
        <f t="shared" si="1745"/>
        <v/>
      </c>
    </row>
    <row r="5015" spans="1:64" x14ac:dyDescent="0.25">
      <c r="A5015" s="762">
        <f t="shared" si="1746"/>
        <v>5010</v>
      </c>
      <c r="B5015" s="229"/>
      <c r="C5015" s="223"/>
      <c r="D5015" s="224"/>
      <c r="E5015" s="225"/>
      <c r="F5015" s="1036" t="str">
        <f t="shared" si="1752"/>
        <v/>
      </c>
      <c r="G5015" s="1037" t="str">
        <f t="shared" si="1747"/>
        <v/>
      </c>
      <c r="H5015" s="225"/>
      <c r="I5015" s="1013"/>
      <c r="J5015" s="1013"/>
      <c r="K5015" s="1028"/>
      <c r="L5015" s="1035" t="str">
        <f t="shared" si="1751"/>
        <v/>
      </c>
      <c r="S5015" s="498"/>
      <c r="AJ5015" s="498"/>
      <c r="AM5015" s="498">
        <f t="shared" si="1732"/>
        <v>0</v>
      </c>
      <c r="AN5015" s="498">
        <f t="shared" si="1733"/>
        <v>0</v>
      </c>
      <c r="AO5015" s="498">
        <f t="shared" si="1734"/>
        <v>0</v>
      </c>
      <c r="AP5015" s="498">
        <f t="shared" si="1753"/>
        <v>0</v>
      </c>
      <c r="AQ5015" s="498">
        <f t="shared" si="1748"/>
        <v>0</v>
      </c>
      <c r="AU5015" s="498">
        <f t="shared" si="1735"/>
        <v>0</v>
      </c>
      <c r="AV5015" s="498">
        <f t="shared" si="1736"/>
        <v>0</v>
      </c>
      <c r="AW5015" s="498">
        <f t="shared" si="1737"/>
        <v>0</v>
      </c>
      <c r="AX5015" s="498">
        <f t="shared" si="1738"/>
        <v>0</v>
      </c>
      <c r="AY5015" s="498">
        <f t="shared" si="1739"/>
        <v>0</v>
      </c>
      <c r="BB5015" s="498" t="str">
        <f t="shared" si="1740"/>
        <v/>
      </c>
      <c r="BC5015" s="743" t="str">
        <f t="shared" si="1741"/>
        <v/>
      </c>
      <c r="BD5015" s="743" t="str">
        <f t="shared" si="1742"/>
        <v/>
      </c>
      <c r="BE5015" s="743" t="str">
        <f>IF(D5015="","",VLOOKUP(D5015,'General Basis'!$J$39:$K$46,2,0))</f>
        <v/>
      </c>
      <c r="BF5015" s="744" t="str">
        <f>IF(D5015="","",VLOOKUP(D5015,'General Basis'!$J$39:$L$46,3,0))</f>
        <v/>
      </c>
      <c r="BG5015" s="744" t="str">
        <f t="shared" si="1749"/>
        <v/>
      </c>
      <c r="BH5015" s="744" t="str">
        <f>IF(G5015="","",IF(BF5015="Abu Dhabi",IF(G5015&lt;18,'General Basis'!$C$39,IF(G5015&lt;41,'General Basis'!$C$40,IF(G5015&lt;60,'General Basis'!$C$41,IF(G5015&lt;65,'General Basis'!$C$42,'General Basis'!$C$43)))),IF(G5015&lt;11,'General Basis'!$B$39,IF(G5015&lt;18,'General Basis'!$B$40,IF(G5015&lt;26,'General Basis'!$B$41,IF(G5015&lt;31,'General Basis'!$B$42,IF(G5015&lt;36,'General Basis'!$B$43,IF(G5015&lt;41,'General Basis'!$B$44,IF(G5015&lt;46,'General Basis'!$B$45,IF(G5015&lt;51,'General Basis'!$B$46,IF(G5015&lt;56,'General Basis'!$B$47,IF(G5015&lt;60,'General Basis'!$B$48,IF(G5015&lt;65,'General Basis'!$B$49,'General Basis'!$B$50)))))))))))))</f>
        <v/>
      </c>
      <c r="BI5015" s="744" t="str">
        <f t="shared" si="1743"/>
        <v/>
      </c>
      <c r="BJ5015" s="747" t="str">
        <f t="shared" si="1750"/>
        <v/>
      </c>
      <c r="BK5015" s="498" t="str">
        <f t="shared" si="1744"/>
        <v/>
      </c>
      <c r="BL5015" s="498" t="str">
        <f t="shared" si="1745"/>
        <v/>
      </c>
    </row>
    <row r="5016" spans="1:64" x14ac:dyDescent="0.25">
      <c r="A5016" s="762">
        <f t="shared" si="1746"/>
        <v>5011</v>
      </c>
      <c r="B5016" s="229"/>
      <c r="C5016" s="223"/>
      <c r="D5016" s="224"/>
      <c r="E5016" s="225"/>
      <c r="F5016" s="1036" t="str">
        <f t="shared" si="1752"/>
        <v/>
      </c>
      <c r="G5016" s="1037" t="str">
        <f t="shared" si="1747"/>
        <v/>
      </c>
      <c r="H5016" s="225"/>
      <c r="I5016" s="1013"/>
      <c r="J5016" s="1013"/>
      <c r="K5016" s="1028"/>
      <c r="L5016" s="1035" t="str">
        <f t="shared" si="1751"/>
        <v/>
      </c>
      <c r="S5016" s="498"/>
      <c r="AJ5016" s="498"/>
      <c r="AM5016" s="498">
        <f t="shared" si="1732"/>
        <v>0</v>
      </c>
      <c r="AN5016" s="498">
        <f t="shared" si="1733"/>
        <v>0</v>
      </c>
      <c r="AO5016" s="498">
        <f t="shared" si="1734"/>
        <v>0</v>
      </c>
      <c r="AP5016" s="498">
        <f t="shared" si="1753"/>
        <v>0</v>
      </c>
      <c r="AQ5016" s="498">
        <f t="shared" si="1748"/>
        <v>0</v>
      </c>
      <c r="AU5016" s="498">
        <f t="shared" si="1735"/>
        <v>0</v>
      </c>
      <c r="AV5016" s="498">
        <f t="shared" si="1736"/>
        <v>0</v>
      </c>
      <c r="AW5016" s="498">
        <f t="shared" si="1737"/>
        <v>0</v>
      </c>
      <c r="AX5016" s="498">
        <f t="shared" si="1738"/>
        <v>0</v>
      </c>
      <c r="AY5016" s="498">
        <f t="shared" si="1739"/>
        <v>0</v>
      </c>
      <c r="BB5016" s="498" t="str">
        <f t="shared" si="1740"/>
        <v/>
      </c>
      <c r="BC5016" s="743" t="str">
        <f t="shared" si="1741"/>
        <v/>
      </c>
      <c r="BD5016" s="743" t="str">
        <f t="shared" si="1742"/>
        <v/>
      </c>
      <c r="BE5016" s="743" t="str">
        <f>IF(D5016="","",VLOOKUP(D5016,'General Basis'!$J$39:$K$46,2,0))</f>
        <v/>
      </c>
      <c r="BF5016" s="744" t="str">
        <f>IF(D5016="","",VLOOKUP(D5016,'General Basis'!$J$39:$L$46,3,0))</f>
        <v/>
      </c>
      <c r="BG5016" s="744" t="str">
        <f t="shared" si="1749"/>
        <v/>
      </c>
      <c r="BH5016" s="744" t="str">
        <f>IF(G5016="","",IF(BF5016="Abu Dhabi",IF(G5016&lt;18,'General Basis'!$C$39,IF(G5016&lt;41,'General Basis'!$C$40,IF(G5016&lt;60,'General Basis'!$C$41,IF(G5016&lt;65,'General Basis'!$C$42,'General Basis'!$C$43)))),IF(G5016&lt;11,'General Basis'!$B$39,IF(G5016&lt;18,'General Basis'!$B$40,IF(G5016&lt;26,'General Basis'!$B$41,IF(G5016&lt;31,'General Basis'!$B$42,IF(G5016&lt;36,'General Basis'!$B$43,IF(G5016&lt;41,'General Basis'!$B$44,IF(G5016&lt;46,'General Basis'!$B$45,IF(G5016&lt;51,'General Basis'!$B$46,IF(G5016&lt;56,'General Basis'!$B$47,IF(G5016&lt;60,'General Basis'!$B$48,IF(G5016&lt;65,'General Basis'!$B$49,'General Basis'!$B$50)))))))))))))</f>
        <v/>
      </c>
      <c r="BI5016" s="744" t="str">
        <f t="shared" si="1743"/>
        <v/>
      </c>
      <c r="BJ5016" s="747" t="str">
        <f t="shared" si="1750"/>
        <v/>
      </c>
      <c r="BK5016" s="498" t="str">
        <f t="shared" si="1744"/>
        <v/>
      </c>
      <c r="BL5016" s="498" t="str">
        <f t="shared" si="1745"/>
        <v/>
      </c>
    </row>
    <row r="5017" spans="1:64" x14ac:dyDescent="0.25">
      <c r="A5017" s="762">
        <f t="shared" si="1746"/>
        <v>5012</v>
      </c>
      <c r="B5017" s="229"/>
      <c r="C5017" s="223"/>
      <c r="D5017" s="224"/>
      <c r="E5017" s="225"/>
      <c r="F5017" s="1036" t="str">
        <f t="shared" si="1752"/>
        <v/>
      </c>
      <c r="G5017" s="1037" t="str">
        <f t="shared" si="1747"/>
        <v/>
      </c>
      <c r="H5017" s="225"/>
      <c r="I5017" s="1013"/>
      <c r="J5017" s="1013"/>
      <c r="K5017" s="1028"/>
      <c r="L5017" s="1035" t="str">
        <f t="shared" si="1751"/>
        <v/>
      </c>
      <c r="S5017" s="498"/>
      <c r="AJ5017" s="498"/>
      <c r="AM5017" s="498">
        <f t="shared" si="1732"/>
        <v>0</v>
      </c>
      <c r="AN5017" s="498">
        <f t="shared" si="1733"/>
        <v>0</v>
      </c>
      <c r="AO5017" s="498">
        <f t="shared" si="1734"/>
        <v>0</v>
      </c>
      <c r="AP5017" s="498">
        <f t="shared" si="1753"/>
        <v>0</v>
      </c>
      <c r="AQ5017" s="498">
        <f t="shared" si="1748"/>
        <v>0</v>
      </c>
      <c r="AU5017" s="498">
        <f t="shared" si="1735"/>
        <v>0</v>
      </c>
      <c r="AV5017" s="498">
        <f t="shared" si="1736"/>
        <v>0</v>
      </c>
      <c r="AW5017" s="498">
        <f t="shared" si="1737"/>
        <v>0</v>
      </c>
      <c r="AX5017" s="498">
        <f t="shared" si="1738"/>
        <v>0</v>
      </c>
      <c r="AY5017" s="498">
        <f t="shared" si="1739"/>
        <v>0</v>
      </c>
      <c r="BB5017" s="498" t="str">
        <f t="shared" si="1740"/>
        <v/>
      </c>
      <c r="BC5017" s="743" t="str">
        <f t="shared" si="1741"/>
        <v/>
      </c>
      <c r="BD5017" s="743" t="str">
        <f t="shared" si="1742"/>
        <v/>
      </c>
      <c r="BE5017" s="743" t="str">
        <f>IF(D5017="","",VLOOKUP(D5017,'General Basis'!$J$39:$K$46,2,0))</f>
        <v/>
      </c>
      <c r="BF5017" s="744" t="str">
        <f>IF(D5017="","",VLOOKUP(D5017,'General Basis'!$J$39:$L$46,3,0))</f>
        <v/>
      </c>
      <c r="BG5017" s="744" t="str">
        <f t="shared" si="1749"/>
        <v/>
      </c>
      <c r="BH5017" s="744" t="str">
        <f>IF(G5017="","",IF(BF5017="Abu Dhabi",IF(G5017&lt;18,'General Basis'!$C$39,IF(G5017&lt;41,'General Basis'!$C$40,IF(G5017&lt;60,'General Basis'!$C$41,IF(G5017&lt;65,'General Basis'!$C$42,'General Basis'!$C$43)))),IF(G5017&lt;11,'General Basis'!$B$39,IF(G5017&lt;18,'General Basis'!$B$40,IF(G5017&lt;26,'General Basis'!$B$41,IF(G5017&lt;31,'General Basis'!$B$42,IF(G5017&lt;36,'General Basis'!$B$43,IF(G5017&lt;41,'General Basis'!$B$44,IF(G5017&lt;46,'General Basis'!$B$45,IF(G5017&lt;51,'General Basis'!$B$46,IF(G5017&lt;56,'General Basis'!$B$47,IF(G5017&lt;60,'General Basis'!$B$48,IF(G5017&lt;65,'General Basis'!$B$49,'General Basis'!$B$50)))))))))))))</f>
        <v/>
      </c>
      <c r="BI5017" s="744" t="str">
        <f t="shared" si="1743"/>
        <v/>
      </c>
      <c r="BJ5017" s="747" t="str">
        <f t="shared" si="1750"/>
        <v/>
      </c>
      <c r="BK5017" s="498" t="str">
        <f t="shared" si="1744"/>
        <v/>
      </c>
      <c r="BL5017" s="498" t="str">
        <f t="shared" si="1745"/>
        <v/>
      </c>
    </row>
    <row r="5018" spans="1:64" x14ac:dyDescent="0.25">
      <c r="A5018" s="762">
        <f t="shared" si="1746"/>
        <v>5013</v>
      </c>
      <c r="B5018" s="229"/>
      <c r="C5018" s="223"/>
      <c r="D5018" s="224"/>
      <c r="E5018" s="225"/>
      <c r="F5018" s="1036" t="str">
        <f t="shared" si="1752"/>
        <v/>
      </c>
      <c r="G5018" s="1037" t="str">
        <f t="shared" si="1747"/>
        <v/>
      </c>
      <c r="H5018" s="225"/>
      <c r="I5018" s="1013"/>
      <c r="J5018" s="1013"/>
      <c r="K5018" s="1028"/>
      <c r="L5018" s="1035" t="str">
        <f t="shared" si="1751"/>
        <v/>
      </c>
      <c r="S5018" s="498"/>
      <c r="AJ5018" s="498"/>
      <c r="AM5018" s="498">
        <f t="shared" si="1732"/>
        <v>0</v>
      </c>
      <c r="AN5018" s="498">
        <f t="shared" si="1733"/>
        <v>0</v>
      </c>
      <c r="AO5018" s="498">
        <f t="shared" si="1734"/>
        <v>0</v>
      </c>
      <c r="AP5018" s="498">
        <f t="shared" si="1753"/>
        <v>0</v>
      </c>
      <c r="AQ5018" s="498">
        <f t="shared" si="1748"/>
        <v>0</v>
      </c>
      <c r="AU5018" s="498">
        <f t="shared" si="1735"/>
        <v>0</v>
      </c>
      <c r="AV5018" s="498">
        <f t="shared" si="1736"/>
        <v>0</v>
      </c>
      <c r="AW5018" s="498">
        <f t="shared" si="1737"/>
        <v>0</v>
      </c>
      <c r="AX5018" s="498">
        <f t="shared" si="1738"/>
        <v>0</v>
      </c>
      <c r="AY5018" s="498">
        <f t="shared" si="1739"/>
        <v>0</v>
      </c>
      <c r="BB5018" s="498" t="str">
        <f t="shared" si="1740"/>
        <v/>
      </c>
      <c r="BC5018" s="743" t="str">
        <f t="shared" si="1741"/>
        <v/>
      </c>
      <c r="BD5018" s="743" t="str">
        <f t="shared" si="1742"/>
        <v/>
      </c>
      <c r="BE5018" s="743" t="str">
        <f>IF(D5018="","",VLOOKUP(D5018,'General Basis'!$J$39:$K$46,2,0))</f>
        <v/>
      </c>
      <c r="BF5018" s="744" t="str">
        <f>IF(D5018="","",VLOOKUP(D5018,'General Basis'!$J$39:$L$46,3,0))</f>
        <v/>
      </c>
      <c r="BG5018" s="744" t="str">
        <f t="shared" si="1749"/>
        <v/>
      </c>
      <c r="BH5018" s="744" t="str">
        <f>IF(G5018="","",IF(BF5018="Abu Dhabi",IF(G5018&lt;18,'General Basis'!$C$39,IF(G5018&lt;41,'General Basis'!$C$40,IF(G5018&lt;60,'General Basis'!$C$41,IF(G5018&lt;65,'General Basis'!$C$42,'General Basis'!$C$43)))),IF(G5018&lt;11,'General Basis'!$B$39,IF(G5018&lt;18,'General Basis'!$B$40,IF(G5018&lt;26,'General Basis'!$B$41,IF(G5018&lt;31,'General Basis'!$B$42,IF(G5018&lt;36,'General Basis'!$B$43,IF(G5018&lt;41,'General Basis'!$B$44,IF(G5018&lt;46,'General Basis'!$B$45,IF(G5018&lt;51,'General Basis'!$B$46,IF(G5018&lt;56,'General Basis'!$B$47,IF(G5018&lt;60,'General Basis'!$B$48,IF(G5018&lt;65,'General Basis'!$B$49,'General Basis'!$B$50)))))))))))))</f>
        <v/>
      </c>
      <c r="BI5018" s="744" t="str">
        <f t="shared" si="1743"/>
        <v/>
      </c>
      <c r="BJ5018" s="747" t="str">
        <f t="shared" si="1750"/>
        <v/>
      </c>
      <c r="BK5018" s="498" t="str">
        <f t="shared" si="1744"/>
        <v/>
      </c>
      <c r="BL5018" s="498" t="str">
        <f t="shared" si="1745"/>
        <v/>
      </c>
    </row>
    <row r="5019" spans="1:64" x14ac:dyDescent="0.25">
      <c r="A5019" s="762">
        <f t="shared" si="1746"/>
        <v>5014</v>
      </c>
      <c r="B5019" s="229"/>
      <c r="C5019" s="223"/>
      <c r="D5019" s="224"/>
      <c r="E5019" s="225"/>
      <c r="F5019" s="1036" t="str">
        <f t="shared" si="1752"/>
        <v/>
      </c>
      <c r="G5019" s="1037" t="str">
        <f t="shared" si="1747"/>
        <v/>
      </c>
      <c r="H5019" s="225"/>
      <c r="I5019" s="1013"/>
      <c r="J5019" s="1013"/>
      <c r="K5019" s="1028"/>
      <c r="L5019" s="1035" t="str">
        <f t="shared" si="1751"/>
        <v/>
      </c>
      <c r="S5019" s="498"/>
      <c r="AJ5019" s="498"/>
      <c r="AM5019" s="498">
        <f t="shared" si="1732"/>
        <v>0</v>
      </c>
      <c r="AN5019" s="498">
        <f t="shared" si="1733"/>
        <v>0</v>
      </c>
      <c r="AO5019" s="498">
        <f t="shared" si="1734"/>
        <v>0</v>
      </c>
      <c r="AP5019" s="498">
        <f t="shared" si="1753"/>
        <v>0</v>
      </c>
      <c r="AQ5019" s="498">
        <f t="shared" si="1748"/>
        <v>0</v>
      </c>
      <c r="AU5019" s="498">
        <f t="shared" si="1735"/>
        <v>0</v>
      </c>
      <c r="AV5019" s="498">
        <f t="shared" si="1736"/>
        <v>0</v>
      </c>
      <c r="AW5019" s="498">
        <f t="shared" si="1737"/>
        <v>0</v>
      </c>
      <c r="AX5019" s="498">
        <f t="shared" si="1738"/>
        <v>0</v>
      </c>
      <c r="AY5019" s="498">
        <f t="shared" si="1739"/>
        <v>0</v>
      </c>
      <c r="BB5019" s="498" t="str">
        <f t="shared" si="1740"/>
        <v/>
      </c>
      <c r="BC5019" s="743" t="str">
        <f t="shared" si="1741"/>
        <v/>
      </c>
      <c r="BD5019" s="743" t="str">
        <f t="shared" si="1742"/>
        <v/>
      </c>
      <c r="BE5019" s="743" t="str">
        <f>IF(D5019="","",VLOOKUP(D5019,'General Basis'!$J$39:$K$46,2,0))</f>
        <v/>
      </c>
      <c r="BF5019" s="744" t="str">
        <f>IF(D5019="","",VLOOKUP(D5019,'General Basis'!$J$39:$L$46,3,0))</f>
        <v/>
      </c>
      <c r="BG5019" s="744" t="str">
        <f t="shared" si="1749"/>
        <v/>
      </c>
      <c r="BH5019" s="744" t="str">
        <f>IF(G5019="","",IF(BF5019="Abu Dhabi",IF(G5019&lt;18,'General Basis'!$C$39,IF(G5019&lt;41,'General Basis'!$C$40,IF(G5019&lt;60,'General Basis'!$C$41,IF(G5019&lt;65,'General Basis'!$C$42,'General Basis'!$C$43)))),IF(G5019&lt;11,'General Basis'!$B$39,IF(G5019&lt;18,'General Basis'!$B$40,IF(G5019&lt;26,'General Basis'!$B$41,IF(G5019&lt;31,'General Basis'!$B$42,IF(G5019&lt;36,'General Basis'!$B$43,IF(G5019&lt;41,'General Basis'!$B$44,IF(G5019&lt;46,'General Basis'!$B$45,IF(G5019&lt;51,'General Basis'!$B$46,IF(G5019&lt;56,'General Basis'!$B$47,IF(G5019&lt;60,'General Basis'!$B$48,IF(G5019&lt;65,'General Basis'!$B$49,'General Basis'!$B$50)))))))))))))</f>
        <v/>
      </c>
      <c r="BI5019" s="744" t="str">
        <f t="shared" si="1743"/>
        <v/>
      </c>
      <c r="BJ5019" s="747" t="str">
        <f t="shared" si="1750"/>
        <v/>
      </c>
      <c r="BK5019" s="498" t="str">
        <f t="shared" si="1744"/>
        <v/>
      </c>
      <c r="BL5019" s="498" t="str">
        <f t="shared" si="1745"/>
        <v/>
      </c>
    </row>
    <row r="5020" spans="1:64" x14ac:dyDescent="0.25">
      <c r="A5020" s="762">
        <f t="shared" si="1746"/>
        <v>5015</v>
      </c>
      <c r="B5020" s="229"/>
      <c r="C5020" s="223"/>
      <c r="D5020" s="224"/>
      <c r="E5020" s="225"/>
      <c r="F5020" s="1036" t="str">
        <f t="shared" si="1752"/>
        <v/>
      </c>
      <c r="G5020" s="1037" t="str">
        <f t="shared" si="1747"/>
        <v/>
      </c>
      <c r="H5020" s="225"/>
      <c r="I5020" s="1013"/>
      <c r="J5020" s="1013"/>
      <c r="K5020" s="1028"/>
      <c r="L5020" s="1035" t="str">
        <f t="shared" si="1751"/>
        <v/>
      </c>
      <c r="S5020" s="498"/>
      <c r="AJ5020" s="498"/>
      <c r="AM5020" s="498">
        <f t="shared" si="1732"/>
        <v>0</v>
      </c>
      <c r="AN5020" s="498">
        <f t="shared" si="1733"/>
        <v>0</v>
      </c>
      <c r="AO5020" s="498">
        <f t="shared" si="1734"/>
        <v>0</v>
      </c>
      <c r="AP5020" s="498">
        <f t="shared" si="1753"/>
        <v>0</v>
      </c>
      <c r="AQ5020" s="498">
        <f t="shared" si="1748"/>
        <v>0</v>
      </c>
      <c r="AU5020" s="498">
        <f t="shared" si="1735"/>
        <v>0</v>
      </c>
      <c r="AV5020" s="498">
        <f t="shared" si="1736"/>
        <v>0</v>
      </c>
      <c r="AW5020" s="498">
        <f t="shared" si="1737"/>
        <v>0</v>
      </c>
      <c r="AX5020" s="498">
        <f t="shared" si="1738"/>
        <v>0</v>
      </c>
      <c r="AY5020" s="498">
        <f t="shared" si="1739"/>
        <v>0</v>
      </c>
      <c r="BB5020" s="498" t="str">
        <f t="shared" si="1740"/>
        <v/>
      </c>
      <c r="BC5020" s="743" t="str">
        <f t="shared" si="1741"/>
        <v/>
      </c>
      <c r="BD5020" s="743" t="str">
        <f t="shared" si="1742"/>
        <v/>
      </c>
      <c r="BE5020" s="743" t="str">
        <f>IF(D5020="","",VLOOKUP(D5020,'General Basis'!$J$39:$K$46,2,0))</f>
        <v/>
      </c>
      <c r="BF5020" s="744" t="str">
        <f>IF(D5020="","",VLOOKUP(D5020,'General Basis'!$J$39:$L$46,3,0))</f>
        <v/>
      </c>
      <c r="BG5020" s="744" t="str">
        <f t="shared" si="1749"/>
        <v/>
      </c>
      <c r="BH5020" s="744" t="str">
        <f>IF(G5020="","",IF(BF5020="Abu Dhabi",IF(G5020&lt;18,'General Basis'!$C$39,IF(G5020&lt;41,'General Basis'!$C$40,IF(G5020&lt;60,'General Basis'!$C$41,IF(G5020&lt;65,'General Basis'!$C$42,'General Basis'!$C$43)))),IF(G5020&lt;11,'General Basis'!$B$39,IF(G5020&lt;18,'General Basis'!$B$40,IF(G5020&lt;26,'General Basis'!$B$41,IF(G5020&lt;31,'General Basis'!$B$42,IF(G5020&lt;36,'General Basis'!$B$43,IF(G5020&lt;41,'General Basis'!$B$44,IF(G5020&lt;46,'General Basis'!$B$45,IF(G5020&lt;51,'General Basis'!$B$46,IF(G5020&lt;56,'General Basis'!$B$47,IF(G5020&lt;60,'General Basis'!$B$48,IF(G5020&lt;65,'General Basis'!$B$49,'General Basis'!$B$50)))))))))))))</f>
        <v/>
      </c>
      <c r="BI5020" s="744" t="str">
        <f t="shared" si="1743"/>
        <v/>
      </c>
      <c r="BJ5020" s="747" t="str">
        <f t="shared" si="1750"/>
        <v/>
      </c>
      <c r="BK5020" s="498" t="str">
        <f t="shared" si="1744"/>
        <v/>
      </c>
      <c r="BL5020" s="498" t="str">
        <f t="shared" si="1745"/>
        <v/>
      </c>
    </row>
    <row r="5021" spans="1:64" x14ac:dyDescent="0.25">
      <c r="A5021" s="762">
        <f t="shared" si="1746"/>
        <v>5016</v>
      </c>
      <c r="B5021" s="229"/>
      <c r="C5021" s="223"/>
      <c r="D5021" s="224"/>
      <c r="E5021" s="225"/>
      <c r="F5021" s="1036" t="str">
        <f t="shared" si="1752"/>
        <v/>
      </c>
      <c r="G5021" s="1037" t="str">
        <f t="shared" si="1747"/>
        <v/>
      </c>
      <c r="H5021" s="225"/>
      <c r="I5021" s="1013"/>
      <c r="J5021" s="1013"/>
      <c r="K5021" s="1028"/>
      <c r="L5021" s="1035" t="str">
        <f t="shared" si="1751"/>
        <v/>
      </c>
      <c r="S5021" s="498"/>
      <c r="AJ5021" s="498"/>
      <c r="AM5021" s="498">
        <f t="shared" si="1732"/>
        <v>0</v>
      </c>
      <c r="AN5021" s="498">
        <f t="shared" si="1733"/>
        <v>0</v>
      </c>
      <c r="AO5021" s="498">
        <f t="shared" si="1734"/>
        <v>0</v>
      </c>
      <c r="AP5021" s="498">
        <f t="shared" si="1753"/>
        <v>0</v>
      </c>
      <c r="AQ5021" s="498">
        <f t="shared" si="1748"/>
        <v>0</v>
      </c>
      <c r="AU5021" s="498">
        <f t="shared" si="1735"/>
        <v>0</v>
      </c>
      <c r="AV5021" s="498">
        <f t="shared" si="1736"/>
        <v>0</v>
      </c>
      <c r="AW5021" s="498">
        <f t="shared" si="1737"/>
        <v>0</v>
      </c>
      <c r="AX5021" s="498">
        <f t="shared" si="1738"/>
        <v>0</v>
      </c>
      <c r="AY5021" s="498">
        <f t="shared" si="1739"/>
        <v>0</v>
      </c>
      <c r="BB5021" s="498" t="str">
        <f t="shared" si="1740"/>
        <v/>
      </c>
      <c r="BC5021" s="743" t="str">
        <f t="shared" si="1741"/>
        <v/>
      </c>
      <c r="BD5021" s="743" t="str">
        <f t="shared" si="1742"/>
        <v/>
      </c>
      <c r="BE5021" s="743" t="str">
        <f>IF(D5021="","",VLOOKUP(D5021,'General Basis'!$J$39:$K$46,2,0))</f>
        <v/>
      </c>
      <c r="BF5021" s="744" t="str">
        <f>IF(D5021="","",VLOOKUP(D5021,'General Basis'!$J$39:$L$46,3,0))</f>
        <v/>
      </c>
      <c r="BG5021" s="744" t="str">
        <f t="shared" si="1749"/>
        <v/>
      </c>
      <c r="BH5021" s="744" t="str">
        <f>IF(G5021="","",IF(BF5021="Abu Dhabi",IF(G5021&lt;18,'General Basis'!$C$39,IF(G5021&lt;41,'General Basis'!$C$40,IF(G5021&lt;60,'General Basis'!$C$41,IF(G5021&lt;65,'General Basis'!$C$42,'General Basis'!$C$43)))),IF(G5021&lt;11,'General Basis'!$B$39,IF(G5021&lt;18,'General Basis'!$B$40,IF(G5021&lt;26,'General Basis'!$B$41,IF(G5021&lt;31,'General Basis'!$B$42,IF(G5021&lt;36,'General Basis'!$B$43,IF(G5021&lt;41,'General Basis'!$B$44,IF(G5021&lt;46,'General Basis'!$B$45,IF(G5021&lt;51,'General Basis'!$B$46,IF(G5021&lt;56,'General Basis'!$B$47,IF(G5021&lt;60,'General Basis'!$B$48,IF(G5021&lt;65,'General Basis'!$B$49,'General Basis'!$B$50)))))))))))))</f>
        <v/>
      </c>
      <c r="BI5021" s="744" t="str">
        <f t="shared" si="1743"/>
        <v/>
      </c>
      <c r="BJ5021" s="747" t="str">
        <f t="shared" si="1750"/>
        <v/>
      </c>
      <c r="BK5021" s="498" t="str">
        <f t="shared" si="1744"/>
        <v/>
      </c>
      <c r="BL5021" s="498" t="str">
        <f t="shared" si="1745"/>
        <v/>
      </c>
    </row>
    <row r="5022" spans="1:64" x14ac:dyDescent="0.25">
      <c r="A5022" s="762">
        <f t="shared" si="1746"/>
        <v>5017</v>
      </c>
      <c r="B5022" s="229"/>
      <c r="C5022" s="223"/>
      <c r="D5022" s="224"/>
      <c r="E5022" s="225"/>
      <c r="F5022" s="1036" t="str">
        <f t="shared" si="1752"/>
        <v/>
      </c>
      <c r="G5022" s="1037" t="str">
        <f t="shared" si="1747"/>
        <v/>
      </c>
      <c r="H5022" s="225"/>
      <c r="I5022" s="1013"/>
      <c r="J5022" s="1013"/>
      <c r="K5022" s="1028"/>
      <c r="L5022" s="1035" t="str">
        <f t="shared" si="1751"/>
        <v/>
      </c>
      <c r="S5022" s="498"/>
      <c r="AJ5022" s="498"/>
      <c r="AM5022" s="498">
        <f t="shared" si="1732"/>
        <v>0</v>
      </c>
      <c r="AN5022" s="498">
        <f t="shared" si="1733"/>
        <v>0</v>
      </c>
      <c r="AO5022" s="498">
        <f t="shared" si="1734"/>
        <v>0</v>
      </c>
      <c r="AP5022" s="498">
        <f t="shared" si="1753"/>
        <v>0</v>
      </c>
      <c r="AQ5022" s="498">
        <f t="shared" si="1748"/>
        <v>0</v>
      </c>
      <c r="AU5022" s="498">
        <f t="shared" si="1735"/>
        <v>0</v>
      </c>
      <c r="AV5022" s="498">
        <f t="shared" si="1736"/>
        <v>0</v>
      </c>
      <c r="AW5022" s="498">
        <f t="shared" si="1737"/>
        <v>0</v>
      </c>
      <c r="AX5022" s="498">
        <f t="shared" si="1738"/>
        <v>0</v>
      </c>
      <c r="AY5022" s="498">
        <f t="shared" si="1739"/>
        <v>0</v>
      </c>
      <c r="BB5022" s="498" t="str">
        <f t="shared" si="1740"/>
        <v/>
      </c>
      <c r="BC5022" s="743" t="str">
        <f t="shared" si="1741"/>
        <v/>
      </c>
      <c r="BD5022" s="743" t="str">
        <f t="shared" si="1742"/>
        <v/>
      </c>
      <c r="BE5022" s="743" t="str">
        <f>IF(D5022="","",VLOOKUP(D5022,'General Basis'!$J$39:$K$46,2,0))</f>
        <v/>
      </c>
      <c r="BF5022" s="744" t="str">
        <f>IF(D5022="","",VLOOKUP(D5022,'General Basis'!$J$39:$L$46,3,0))</f>
        <v/>
      </c>
      <c r="BG5022" s="744" t="str">
        <f t="shared" si="1749"/>
        <v/>
      </c>
      <c r="BH5022" s="744" t="str">
        <f>IF(G5022="","",IF(BF5022="Abu Dhabi",IF(G5022&lt;18,'General Basis'!$C$39,IF(G5022&lt;41,'General Basis'!$C$40,IF(G5022&lt;60,'General Basis'!$C$41,IF(G5022&lt;65,'General Basis'!$C$42,'General Basis'!$C$43)))),IF(G5022&lt;11,'General Basis'!$B$39,IF(G5022&lt;18,'General Basis'!$B$40,IF(G5022&lt;26,'General Basis'!$B$41,IF(G5022&lt;31,'General Basis'!$B$42,IF(G5022&lt;36,'General Basis'!$B$43,IF(G5022&lt;41,'General Basis'!$B$44,IF(G5022&lt;46,'General Basis'!$B$45,IF(G5022&lt;51,'General Basis'!$B$46,IF(G5022&lt;56,'General Basis'!$B$47,IF(G5022&lt;60,'General Basis'!$B$48,IF(G5022&lt;65,'General Basis'!$B$49,'General Basis'!$B$50)))))))))))))</f>
        <v/>
      </c>
      <c r="BI5022" s="744" t="str">
        <f t="shared" si="1743"/>
        <v/>
      </c>
      <c r="BJ5022" s="747" t="str">
        <f t="shared" si="1750"/>
        <v/>
      </c>
      <c r="BK5022" s="498" t="str">
        <f t="shared" si="1744"/>
        <v/>
      </c>
      <c r="BL5022" s="498" t="str">
        <f t="shared" si="1745"/>
        <v/>
      </c>
    </row>
    <row r="5023" spans="1:64" x14ac:dyDescent="0.25">
      <c r="A5023" s="762">
        <f t="shared" si="1746"/>
        <v>5018</v>
      </c>
      <c r="B5023" s="229"/>
      <c r="C5023" s="223"/>
      <c r="D5023" s="224"/>
      <c r="E5023" s="225"/>
      <c r="F5023" s="1036" t="str">
        <f t="shared" si="1752"/>
        <v/>
      </c>
      <c r="G5023" s="1037" t="str">
        <f t="shared" si="1747"/>
        <v/>
      </c>
      <c r="H5023" s="225"/>
      <c r="I5023" s="1013"/>
      <c r="J5023" s="1013"/>
      <c r="K5023" s="1028"/>
      <c r="L5023" s="1035" t="str">
        <f t="shared" si="1751"/>
        <v/>
      </c>
      <c r="S5023" s="498"/>
      <c r="AJ5023" s="498"/>
      <c r="AM5023" s="498">
        <f t="shared" si="1732"/>
        <v>0</v>
      </c>
      <c r="AN5023" s="498">
        <f t="shared" si="1733"/>
        <v>0</v>
      </c>
      <c r="AO5023" s="498">
        <f t="shared" si="1734"/>
        <v>0</v>
      </c>
      <c r="AP5023" s="498">
        <f t="shared" si="1753"/>
        <v>0</v>
      </c>
      <c r="AQ5023" s="498">
        <f t="shared" si="1748"/>
        <v>0</v>
      </c>
      <c r="AU5023" s="498">
        <f t="shared" si="1735"/>
        <v>0</v>
      </c>
      <c r="AV5023" s="498">
        <f t="shared" si="1736"/>
        <v>0</v>
      </c>
      <c r="AW5023" s="498">
        <f t="shared" si="1737"/>
        <v>0</v>
      </c>
      <c r="AX5023" s="498">
        <f t="shared" si="1738"/>
        <v>0</v>
      </c>
      <c r="AY5023" s="498">
        <f t="shared" si="1739"/>
        <v>0</v>
      </c>
      <c r="BB5023" s="498" t="str">
        <f t="shared" si="1740"/>
        <v/>
      </c>
      <c r="BC5023" s="743" t="str">
        <f t="shared" si="1741"/>
        <v/>
      </c>
      <c r="BD5023" s="743" t="str">
        <f t="shared" si="1742"/>
        <v/>
      </c>
      <c r="BE5023" s="743" t="str">
        <f>IF(D5023="","",VLOOKUP(D5023,'General Basis'!$J$39:$K$46,2,0))</f>
        <v/>
      </c>
      <c r="BF5023" s="744" t="str">
        <f>IF(D5023="","",VLOOKUP(D5023,'General Basis'!$J$39:$L$46,3,0))</f>
        <v/>
      </c>
      <c r="BG5023" s="744" t="str">
        <f t="shared" si="1749"/>
        <v/>
      </c>
      <c r="BH5023" s="744" t="str">
        <f>IF(G5023="","",IF(BF5023="Abu Dhabi",IF(G5023&lt;18,'General Basis'!$C$39,IF(G5023&lt;41,'General Basis'!$C$40,IF(G5023&lt;60,'General Basis'!$C$41,IF(G5023&lt;65,'General Basis'!$C$42,'General Basis'!$C$43)))),IF(G5023&lt;11,'General Basis'!$B$39,IF(G5023&lt;18,'General Basis'!$B$40,IF(G5023&lt;26,'General Basis'!$B$41,IF(G5023&lt;31,'General Basis'!$B$42,IF(G5023&lt;36,'General Basis'!$B$43,IF(G5023&lt;41,'General Basis'!$B$44,IF(G5023&lt;46,'General Basis'!$B$45,IF(G5023&lt;51,'General Basis'!$B$46,IF(G5023&lt;56,'General Basis'!$B$47,IF(G5023&lt;60,'General Basis'!$B$48,IF(G5023&lt;65,'General Basis'!$B$49,'General Basis'!$B$50)))))))))))))</f>
        <v/>
      </c>
      <c r="BI5023" s="744" t="str">
        <f t="shared" si="1743"/>
        <v/>
      </c>
      <c r="BJ5023" s="747" t="str">
        <f t="shared" si="1750"/>
        <v/>
      </c>
      <c r="BK5023" s="498" t="str">
        <f t="shared" si="1744"/>
        <v/>
      </c>
      <c r="BL5023" s="498" t="str">
        <f t="shared" si="1745"/>
        <v/>
      </c>
    </row>
    <row r="5024" spans="1:64" x14ac:dyDescent="0.25">
      <c r="A5024" s="762">
        <f t="shared" si="1746"/>
        <v>5019</v>
      </c>
      <c r="B5024" s="229"/>
      <c r="C5024" s="223"/>
      <c r="D5024" s="224"/>
      <c r="E5024" s="225"/>
      <c r="F5024" s="1036" t="str">
        <f t="shared" si="1752"/>
        <v/>
      </c>
      <c r="G5024" s="1037" t="str">
        <f t="shared" si="1747"/>
        <v/>
      </c>
      <c r="H5024" s="225"/>
      <c r="I5024" s="1013"/>
      <c r="J5024" s="1013"/>
      <c r="K5024" s="1028"/>
      <c r="L5024" s="1035" t="str">
        <f t="shared" si="1751"/>
        <v/>
      </c>
      <c r="S5024" s="498"/>
      <c r="AJ5024" s="498"/>
      <c r="AM5024" s="498">
        <f t="shared" si="1732"/>
        <v>0</v>
      </c>
      <c r="AN5024" s="498">
        <f t="shared" si="1733"/>
        <v>0</v>
      </c>
      <c r="AO5024" s="498">
        <f t="shared" si="1734"/>
        <v>0</v>
      </c>
      <c r="AP5024" s="498">
        <f t="shared" si="1753"/>
        <v>0</v>
      </c>
      <c r="AQ5024" s="498">
        <f t="shared" si="1748"/>
        <v>0</v>
      </c>
      <c r="AU5024" s="498">
        <f t="shared" si="1735"/>
        <v>0</v>
      </c>
      <c r="AV5024" s="498">
        <f t="shared" si="1736"/>
        <v>0</v>
      </c>
      <c r="AW5024" s="498">
        <f t="shared" si="1737"/>
        <v>0</v>
      </c>
      <c r="AX5024" s="498">
        <f t="shared" si="1738"/>
        <v>0</v>
      </c>
      <c r="AY5024" s="498">
        <f t="shared" si="1739"/>
        <v>0</v>
      </c>
      <c r="BB5024" s="498" t="str">
        <f t="shared" si="1740"/>
        <v/>
      </c>
      <c r="BC5024" s="743" t="str">
        <f t="shared" si="1741"/>
        <v/>
      </c>
      <c r="BD5024" s="743" t="str">
        <f t="shared" si="1742"/>
        <v/>
      </c>
      <c r="BE5024" s="743" t="str">
        <f>IF(D5024="","",VLOOKUP(D5024,'General Basis'!$J$39:$K$46,2,0))</f>
        <v/>
      </c>
      <c r="BF5024" s="744" t="str">
        <f>IF(D5024="","",VLOOKUP(D5024,'General Basis'!$J$39:$L$46,3,0))</f>
        <v/>
      </c>
      <c r="BG5024" s="744" t="str">
        <f t="shared" si="1749"/>
        <v/>
      </c>
      <c r="BH5024" s="744" t="str">
        <f>IF(G5024="","",IF(BF5024="Abu Dhabi",IF(G5024&lt;18,'General Basis'!$C$39,IF(G5024&lt;41,'General Basis'!$C$40,IF(G5024&lt;60,'General Basis'!$C$41,IF(G5024&lt;65,'General Basis'!$C$42,'General Basis'!$C$43)))),IF(G5024&lt;11,'General Basis'!$B$39,IF(G5024&lt;18,'General Basis'!$B$40,IF(G5024&lt;26,'General Basis'!$B$41,IF(G5024&lt;31,'General Basis'!$B$42,IF(G5024&lt;36,'General Basis'!$B$43,IF(G5024&lt;41,'General Basis'!$B$44,IF(G5024&lt;46,'General Basis'!$B$45,IF(G5024&lt;51,'General Basis'!$B$46,IF(G5024&lt;56,'General Basis'!$B$47,IF(G5024&lt;60,'General Basis'!$B$48,IF(G5024&lt;65,'General Basis'!$B$49,'General Basis'!$B$50)))))))))))))</f>
        <v/>
      </c>
      <c r="BI5024" s="744" t="str">
        <f t="shared" si="1743"/>
        <v/>
      </c>
      <c r="BJ5024" s="747" t="str">
        <f t="shared" si="1750"/>
        <v/>
      </c>
      <c r="BK5024" s="498" t="str">
        <f t="shared" si="1744"/>
        <v/>
      </c>
      <c r="BL5024" s="498" t="str">
        <f t="shared" si="1745"/>
        <v/>
      </c>
    </row>
    <row r="5025" spans="1:64" x14ac:dyDescent="0.25">
      <c r="A5025" s="762">
        <f t="shared" si="1746"/>
        <v>5020</v>
      </c>
      <c r="B5025" s="229"/>
      <c r="C5025" s="223"/>
      <c r="D5025" s="224"/>
      <c r="E5025" s="225"/>
      <c r="F5025" s="1036" t="str">
        <f t="shared" si="1752"/>
        <v/>
      </c>
      <c r="G5025" s="1037" t="str">
        <f t="shared" si="1747"/>
        <v/>
      </c>
      <c r="H5025" s="225"/>
      <c r="I5025" s="1013"/>
      <c r="J5025" s="1013"/>
      <c r="K5025" s="1028"/>
      <c r="L5025" s="1035" t="str">
        <f t="shared" si="1751"/>
        <v/>
      </c>
      <c r="S5025" s="498"/>
      <c r="AJ5025" s="498"/>
      <c r="AM5025" s="498">
        <f t="shared" si="1732"/>
        <v>0</v>
      </c>
      <c r="AN5025" s="498">
        <f t="shared" si="1733"/>
        <v>0</v>
      </c>
      <c r="AO5025" s="498">
        <f t="shared" si="1734"/>
        <v>0</v>
      </c>
      <c r="AP5025" s="498">
        <f t="shared" si="1753"/>
        <v>0</v>
      </c>
      <c r="AQ5025" s="498">
        <f t="shared" si="1748"/>
        <v>0</v>
      </c>
      <c r="AU5025" s="498">
        <f t="shared" si="1735"/>
        <v>0</v>
      </c>
      <c r="AV5025" s="498">
        <f t="shared" si="1736"/>
        <v>0</v>
      </c>
      <c r="AW5025" s="498">
        <f t="shared" si="1737"/>
        <v>0</v>
      </c>
      <c r="AX5025" s="498">
        <f t="shared" si="1738"/>
        <v>0</v>
      </c>
      <c r="AY5025" s="498">
        <f t="shared" si="1739"/>
        <v>0</v>
      </c>
      <c r="BB5025" s="498" t="str">
        <f t="shared" si="1740"/>
        <v/>
      </c>
      <c r="BC5025" s="743" t="str">
        <f t="shared" si="1741"/>
        <v/>
      </c>
      <c r="BD5025" s="743" t="str">
        <f t="shared" si="1742"/>
        <v/>
      </c>
      <c r="BE5025" s="743" t="str">
        <f>IF(D5025="","",VLOOKUP(D5025,'General Basis'!$J$39:$K$46,2,0))</f>
        <v/>
      </c>
      <c r="BF5025" s="744" t="str">
        <f>IF(D5025="","",VLOOKUP(D5025,'General Basis'!$J$39:$L$46,3,0))</f>
        <v/>
      </c>
      <c r="BG5025" s="744" t="str">
        <f t="shared" si="1749"/>
        <v/>
      </c>
      <c r="BH5025" s="744" t="str">
        <f>IF(G5025="","",IF(BF5025="Abu Dhabi",IF(G5025&lt;18,'General Basis'!$C$39,IF(G5025&lt;41,'General Basis'!$C$40,IF(G5025&lt;60,'General Basis'!$C$41,IF(G5025&lt;65,'General Basis'!$C$42,'General Basis'!$C$43)))),IF(G5025&lt;11,'General Basis'!$B$39,IF(G5025&lt;18,'General Basis'!$B$40,IF(G5025&lt;26,'General Basis'!$B$41,IF(G5025&lt;31,'General Basis'!$B$42,IF(G5025&lt;36,'General Basis'!$B$43,IF(G5025&lt;41,'General Basis'!$B$44,IF(G5025&lt;46,'General Basis'!$B$45,IF(G5025&lt;51,'General Basis'!$B$46,IF(G5025&lt;56,'General Basis'!$B$47,IF(G5025&lt;60,'General Basis'!$B$48,IF(G5025&lt;65,'General Basis'!$B$49,'General Basis'!$B$50)))))))))))))</f>
        <v/>
      </c>
      <c r="BI5025" s="744" t="str">
        <f t="shared" si="1743"/>
        <v/>
      </c>
      <c r="BJ5025" s="747" t="str">
        <f t="shared" si="1750"/>
        <v/>
      </c>
      <c r="BK5025" s="498" t="str">
        <f t="shared" si="1744"/>
        <v/>
      </c>
      <c r="BL5025" s="498" t="str">
        <f t="shared" si="1745"/>
        <v/>
      </c>
    </row>
    <row r="5026" spans="1:64" x14ac:dyDescent="0.25">
      <c r="A5026" s="762">
        <f t="shared" si="1746"/>
        <v>5021</v>
      </c>
      <c r="B5026" s="229"/>
      <c r="C5026" s="223"/>
      <c r="D5026" s="224"/>
      <c r="E5026" s="225"/>
      <c r="F5026" s="1036" t="str">
        <f t="shared" si="1752"/>
        <v/>
      </c>
      <c r="G5026" s="1037" t="str">
        <f t="shared" si="1747"/>
        <v/>
      </c>
      <c r="H5026" s="225"/>
      <c r="I5026" s="1013"/>
      <c r="J5026" s="1013"/>
      <c r="K5026" s="1028"/>
      <c r="L5026" s="1035" t="str">
        <f t="shared" si="1751"/>
        <v/>
      </c>
      <c r="S5026" s="498"/>
      <c r="AJ5026" s="498"/>
      <c r="AM5026" s="498">
        <f t="shared" si="1732"/>
        <v>0</v>
      </c>
      <c r="AN5026" s="498">
        <f t="shared" si="1733"/>
        <v>0</v>
      </c>
      <c r="AO5026" s="498">
        <f t="shared" si="1734"/>
        <v>0</v>
      </c>
      <c r="AP5026" s="498">
        <f t="shared" si="1753"/>
        <v>0</v>
      </c>
      <c r="AQ5026" s="498">
        <f t="shared" si="1748"/>
        <v>0</v>
      </c>
      <c r="AU5026" s="498">
        <f t="shared" si="1735"/>
        <v>0</v>
      </c>
      <c r="AV5026" s="498">
        <f t="shared" si="1736"/>
        <v>0</v>
      </c>
      <c r="AW5026" s="498">
        <f t="shared" si="1737"/>
        <v>0</v>
      </c>
      <c r="AX5026" s="498">
        <f t="shared" si="1738"/>
        <v>0</v>
      </c>
      <c r="AY5026" s="498">
        <f t="shared" si="1739"/>
        <v>0</v>
      </c>
      <c r="BB5026" s="498" t="str">
        <f t="shared" si="1740"/>
        <v/>
      </c>
      <c r="BC5026" s="743" t="str">
        <f t="shared" si="1741"/>
        <v/>
      </c>
      <c r="BD5026" s="743" t="str">
        <f t="shared" si="1742"/>
        <v/>
      </c>
      <c r="BE5026" s="743" t="str">
        <f>IF(D5026="","",VLOOKUP(D5026,'General Basis'!$J$39:$K$46,2,0))</f>
        <v/>
      </c>
      <c r="BF5026" s="744" t="str">
        <f>IF(D5026="","",VLOOKUP(D5026,'General Basis'!$J$39:$L$46,3,0))</f>
        <v/>
      </c>
      <c r="BG5026" s="744" t="str">
        <f t="shared" si="1749"/>
        <v/>
      </c>
      <c r="BH5026" s="744" t="str">
        <f>IF(G5026="","",IF(BF5026="Abu Dhabi",IF(G5026&lt;18,'General Basis'!$C$39,IF(G5026&lt;41,'General Basis'!$C$40,IF(G5026&lt;60,'General Basis'!$C$41,IF(G5026&lt;65,'General Basis'!$C$42,'General Basis'!$C$43)))),IF(G5026&lt;11,'General Basis'!$B$39,IF(G5026&lt;18,'General Basis'!$B$40,IF(G5026&lt;26,'General Basis'!$B$41,IF(G5026&lt;31,'General Basis'!$B$42,IF(G5026&lt;36,'General Basis'!$B$43,IF(G5026&lt;41,'General Basis'!$B$44,IF(G5026&lt;46,'General Basis'!$B$45,IF(G5026&lt;51,'General Basis'!$B$46,IF(G5026&lt;56,'General Basis'!$B$47,IF(G5026&lt;60,'General Basis'!$B$48,IF(G5026&lt;65,'General Basis'!$B$49,'General Basis'!$B$50)))))))))))))</f>
        <v/>
      </c>
      <c r="BI5026" s="744" t="str">
        <f t="shared" si="1743"/>
        <v/>
      </c>
      <c r="BJ5026" s="747" t="str">
        <f t="shared" si="1750"/>
        <v/>
      </c>
      <c r="BK5026" s="498" t="str">
        <f t="shared" si="1744"/>
        <v/>
      </c>
      <c r="BL5026" s="498" t="str">
        <f t="shared" si="1745"/>
        <v/>
      </c>
    </row>
    <row r="5027" spans="1:64" x14ac:dyDescent="0.25">
      <c r="A5027" s="762">
        <f t="shared" si="1746"/>
        <v>5022</v>
      </c>
      <c r="B5027" s="229"/>
      <c r="C5027" s="223"/>
      <c r="D5027" s="224"/>
      <c r="E5027" s="225"/>
      <c r="F5027" s="1036" t="str">
        <f t="shared" si="1752"/>
        <v/>
      </c>
      <c r="G5027" s="1037" t="str">
        <f t="shared" si="1747"/>
        <v/>
      </c>
      <c r="H5027" s="225"/>
      <c r="I5027" s="1013"/>
      <c r="J5027" s="1013"/>
      <c r="K5027" s="1028"/>
      <c r="L5027" s="1035" t="str">
        <f t="shared" si="1751"/>
        <v/>
      </c>
      <c r="S5027" s="498"/>
      <c r="AJ5027" s="498"/>
      <c r="AM5027" s="498">
        <f t="shared" si="1732"/>
        <v>0</v>
      </c>
      <c r="AN5027" s="498">
        <f t="shared" si="1733"/>
        <v>0</v>
      </c>
      <c r="AO5027" s="498">
        <f t="shared" si="1734"/>
        <v>0</v>
      </c>
      <c r="AP5027" s="498">
        <f t="shared" si="1753"/>
        <v>0</v>
      </c>
      <c r="AQ5027" s="498">
        <f t="shared" si="1748"/>
        <v>0</v>
      </c>
      <c r="AU5027" s="498">
        <f t="shared" si="1735"/>
        <v>0</v>
      </c>
      <c r="AV5027" s="498">
        <f t="shared" si="1736"/>
        <v>0</v>
      </c>
      <c r="AW5027" s="498">
        <f t="shared" si="1737"/>
        <v>0</v>
      </c>
      <c r="AX5027" s="498">
        <f t="shared" si="1738"/>
        <v>0</v>
      </c>
      <c r="AY5027" s="498">
        <f t="shared" si="1739"/>
        <v>0</v>
      </c>
      <c r="BB5027" s="498" t="str">
        <f t="shared" si="1740"/>
        <v/>
      </c>
      <c r="BC5027" s="743" t="str">
        <f t="shared" si="1741"/>
        <v/>
      </c>
      <c r="BD5027" s="743" t="str">
        <f t="shared" si="1742"/>
        <v/>
      </c>
      <c r="BE5027" s="743" t="str">
        <f>IF(D5027="","",VLOOKUP(D5027,'General Basis'!$J$39:$K$46,2,0))</f>
        <v/>
      </c>
      <c r="BF5027" s="744" t="str">
        <f>IF(D5027="","",VLOOKUP(D5027,'General Basis'!$J$39:$L$46,3,0))</f>
        <v/>
      </c>
      <c r="BG5027" s="744" t="str">
        <f t="shared" si="1749"/>
        <v/>
      </c>
      <c r="BH5027" s="744" t="str">
        <f>IF(G5027="","",IF(BF5027="Abu Dhabi",IF(G5027&lt;18,'General Basis'!$C$39,IF(G5027&lt;41,'General Basis'!$C$40,IF(G5027&lt;60,'General Basis'!$C$41,IF(G5027&lt;65,'General Basis'!$C$42,'General Basis'!$C$43)))),IF(G5027&lt;11,'General Basis'!$B$39,IF(G5027&lt;18,'General Basis'!$B$40,IF(G5027&lt;26,'General Basis'!$B$41,IF(G5027&lt;31,'General Basis'!$B$42,IF(G5027&lt;36,'General Basis'!$B$43,IF(G5027&lt;41,'General Basis'!$B$44,IF(G5027&lt;46,'General Basis'!$B$45,IF(G5027&lt;51,'General Basis'!$B$46,IF(G5027&lt;56,'General Basis'!$B$47,IF(G5027&lt;60,'General Basis'!$B$48,IF(G5027&lt;65,'General Basis'!$B$49,'General Basis'!$B$50)))))))))))))</f>
        <v/>
      </c>
      <c r="BI5027" s="744" t="str">
        <f t="shared" si="1743"/>
        <v/>
      </c>
      <c r="BJ5027" s="747" t="str">
        <f t="shared" si="1750"/>
        <v/>
      </c>
      <c r="BK5027" s="498" t="str">
        <f t="shared" si="1744"/>
        <v/>
      </c>
      <c r="BL5027" s="498" t="str">
        <f t="shared" si="1745"/>
        <v/>
      </c>
    </row>
    <row r="5028" spans="1:64" x14ac:dyDescent="0.25">
      <c r="A5028" s="762">
        <f t="shared" si="1746"/>
        <v>5023</v>
      </c>
      <c r="B5028" s="229"/>
      <c r="C5028" s="223"/>
      <c r="D5028" s="224"/>
      <c r="E5028" s="225"/>
      <c r="F5028" s="1036" t="str">
        <f t="shared" si="1752"/>
        <v/>
      </c>
      <c r="G5028" s="1037" t="str">
        <f t="shared" si="1747"/>
        <v/>
      </c>
      <c r="H5028" s="225"/>
      <c r="I5028" s="1013"/>
      <c r="J5028" s="1013"/>
      <c r="K5028" s="1028"/>
      <c r="L5028" s="1035" t="str">
        <f t="shared" si="1751"/>
        <v/>
      </c>
      <c r="S5028" s="498"/>
      <c r="AJ5028" s="498"/>
      <c r="AM5028" s="498">
        <f t="shared" si="1732"/>
        <v>0</v>
      </c>
      <c r="AN5028" s="498">
        <f t="shared" si="1733"/>
        <v>0</v>
      </c>
      <c r="AO5028" s="498">
        <f t="shared" si="1734"/>
        <v>0</v>
      </c>
      <c r="AP5028" s="498">
        <f t="shared" si="1753"/>
        <v>0</v>
      </c>
      <c r="AQ5028" s="498">
        <f t="shared" si="1748"/>
        <v>0</v>
      </c>
      <c r="AU5028" s="498">
        <f t="shared" si="1735"/>
        <v>0</v>
      </c>
      <c r="AV5028" s="498">
        <f t="shared" si="1736"/>
        <v>0</v>
      </c>
      <c r="AW5028" s="498">
        <f t="shared" si="1737"/>
        <v>0</v>
      </c>
      <c r="AX5028" s="498">
        <f t="shared" si="1738"/>
        <v>0</v>
      </c>
      <c r="AY5028" s="498">
        <f t="shared" si="1739"/>
        <v>0</v>
      </c>
      <c r="BB5028" s="498" t="str">
        <f t="shared" si="1740"/>
        <v/>
      </c>
      <c r="BC5028" s="743" t="str">
        <f t="shared" si="1741"/>
        <v/>
      </c>
      <c r="BD5028" s="743" t="str">
        <f t="shared" si="1742"/>
        <v/>
      </c>
      <c r="BE5028" s="743" t="str">
        <f>IF(D5028="","",VLOOKUP(D5028,'General Basis'!$J$39:$K$46,2,0))</f>
        <v/>
      </c>
      <c r="BF5028" s="744" t="str">
        <f>IF(D5028="","",VLOOKUP(D5028,'General Basis'!$J$39:$L$46,3,0))</f>
        <v/>
      </c>
      <c r="BG5028" s="744" t="str">
        <f t="shared" si="1749"/>
        <v/>
      </c>
      <c r="BH5028" s="744" t="str">
        <f>IF(G5028="","",IF(BF5028="Abu Dhabi",IF(G5028&lt;18,'General Basis'!$C$39,IF(G5028&lt;41,'General Basis'!$C$40,IF(G5028&lt;60,'General Basis'!$C$41,IF(G5028&lt;65,'General Basis'!$C$42,'General Basis'!$C$43)))),IF(G5028&lt;11,'General Basis'!$B$39,IF(G5028&lt;18,'General Basis'!$B$40,IF(G5028&lt;26,'General Basis'!$B$41,IF(G5028&lt;31,'General Basis'!$B$42,IF(G5028&lt;36,'General Basis'!$B$43,IF(G5028&lt;41,'General Basis'!$B$44,IF(G5028&lt;46,'General Basis'!$B$45,IF(G5028&lt;51,'General Basis'!$B$46,IF(G5028&lt;56,'General Basis'!$B$47,IF(G5028&lt;60,'General Basis'!$B$48,IF(G5028&lt;65,'General Basis'!$B$49,'General Basis'!$B$50)))))))))))))</f>
        <v/>
      </c>
      <c r="BI5028" s="744" t="str">
        <f t="shared" si="1743"/>
        <v/>
      </c>
      <c r="BJ5028" s="747" t="str">
        <f t="shared" si="1750"/>
        <v/>
      </c>
      <c r="BK5028" s="498" t="str">
        <f t="shared" si="1744"/>
        <v/>
      </c>
      <c r="BL5028" s="498" t="str">
        <f t="shared" si="1745"/>
        <v/>
      </c>
    </row>
    <row r="5029" spans="1:64" x14ac:dyDescent="0.25">
      <c r="A5029" s="762">
        <f t="shared" si="1746"/>
        <v>5024</v>
      </c>
      <c r="B5029" s="229"/>
      <c r="C5029" s="223"/>
      <c r="D5029" s="224"/>
      <c r="E5029" s="225"/>
      <c r="F5029" s="1036" t="str">
        <f t="shared" si="1752"/>
        <v/>
      </c>
      <c r="G5029" s="1037" t="str">
        <f t="shared" si="1747"/>
        <v/>
      </c>
      <c r="H5029" s="225"/>
      <c r="I5029" s="1013"/>
      <c r="J5029" s="1013"/>
      <c r="K5029" s="1028"/>
      <c r="L5029" s="1035" t="str">
        <f t="shared" si="1751"/>
        <v/>
      </c>
      <c r="S5029" s="498"/>
      <c r="AJ5029" s="498"/>
      <c r="AM5029" s="498">
        <f t="shared" si="1732"/>
        <v>0</v>
      </c>
      <c r="AN5029" s="498">
        <f t="shared" si="1733"/>
        <v>0</v>
      </c>
      <c r="AO5029" s="498">
        <f t="shared" si="1734"/>
        <v>0</v>
      </c>
      <c r="AP5029" s="498">
        <f t="shared" si="1753"/>
        <v>0</v>
      </c>
      <c r="AQ5029" s="498">
        <f t="shared" si="1748"/>
        <v>0</v>
      </c>
      <c r="AU5029" s="498">
        <f t="shared" si="1735"/>
        <v>0</v>
      </c>
      <c r="AV5029" s="498">
        <f t="shared" si="1736"/>
        <v>0</v>
      </c>
      <c r="AW5029" s="498">
        <f t="shared" si="1737"/>
        <v>0</v>
      </c>
      <c r="AX5029" s="498">
        <f t="shared" si="1738"/>
        <v>0</v>
      </c>
      <c r="AY5029" s="498">
        <f t="shared" si="1739"/>
        <v>0</v>
      </c>
      <c r="BB5029" s="498" t="str">
        <f t="shared" si="1740"/>
        <v/>
      </c>
      <c r="BC5029" s="743" t="str">
        <f t="shared" si="1741"/>
        <v/>
      </c>
      <c r="BD5029" s="743" t="str">
        <f t="shared" si="1742"/>
        <v/>
      </c>
      <c r="BE5029" s="743" t="str">
        <f>IF(D5029="","",VLOOKUP(D5029,'General Basis'!$J$39:$K$46,2,0))</f>
        <v/>
      </c>
      <c r="BF5029" s="744" t="str">
        <f>IF(D5029="","",VLOOKUP(D5029,'General Basis'!$J$39:$L$46,3,0))</f>
        <v/>
      </c>
      <c r="BG5029" s="744" t="str">
        <f t="shared" si="1749"/>
        <v/>
      </c>
      <c r="BH5029" s="744" t="str">
        <f>IF(G5029="","",IF(BF5029="Abu Dhabi",IF(G5029&lt;18,'General Basis'!$C$39,IF(G5029&lt;41,'General Basis'!$C$40,IF(G5029&lt;60,'General Basis'!$C$41,IF(G5029&lt;65,'General Basis'!$C$42,'General Basis'!$C$43)))),IF(G5029&lt;11,'General Basis'!$B$39,IF(G5029&lt;18,'General Basis'!$B$40,IF(G5029&lt;26,'General Basis'!$B$41,IF(G5029&lt;31,'General Basis'!$B$42,IF(G5029&lt;36,'General Basis'!$B$43,IF(G5029&lt;41,'General Basis'!$B$44,IF(G5029&lt;46,'General Basis'!$B$45,IF(G5029&lt;51,'General Basis'!$B$46,IF(G5029&lt;56,'General Basis'!$B$47,IF(G5029&lt;60,'General Basis'!$B$48,IF(G5029&lt;65,'General Basis'!$B$49,'General Basis'!$B$50)))))))))))))</f>
        <v/>
      </c>
      <c r="BI5029" s="744" t="str">
        <f t="shared" si="1743"/>
        <v/>
      </c>
      <c r="BJ5029" s="747" t="str">
        <f t="shared" si="1750"/>
        <v/>
      </c>
      <c r="BK5029" s="498" t="str">
        <f t="shared" si="1744"/>
        <v/>
      </c>
      <c r="BL5029" s="498" t="str">
        <f t="shared" si="1745"/>
        <v/>
      </c>
    </row>
    <row r="5030" spans="1:64" x14ac:dyDescent="0.25">
      <c r="A5030" s="762">
        <f t="shared" si="1746"/>
        <v>5025</v>
      </c>
      <c r="B5030" s="229"/>
      <c r="C5030" s="223"/>
      <c r="D5030" s="224"/>
      <c r="E5030" s="225"/>
      <c r="F5030" s="1036" t="str">
        <f t="shared" si="1752"/>
        <v/>
      </c>
      <c r="G5030" s="1037" t="str">
        <f t="shared" si="1747"/>
        <v/>
      </c>
      <c r="H5030" s="225"/>
      <c r="I5030" s="1013"/>
      <c r="J5030" s="1013"/>
      <c r="K5030" s="1028"/>
      <c r="L5030" s="1035" t="str">
        <f t="shared" si="1751"/>
        <v/>
      </c>
      <c r="S5030" s="498"/>
      <c r="AJ5030" s="498"/>
      <c r="AM5030" s="498">
        <f t="shared" si="1732"/>
        <v>0</v>
      </c>
      <c r="AN5030" s="498">
        <f t="shared" si="1733"/>
        <v>0</v>
      </c>
      <c r="AO5030" s="498">
        <f t="shared" si="1734"/>
        <v>0</v>
      </c>
      <c r="AP5030" s="498">
        <f t="shared" si="1753"/>
        <v>0</v>
      </c>
      <c r="AQ5030" s="498">
        <f t="shared" si="1748"/>
        <v>0</v>
      </c>
      <c r="AU5030" s="498">
        <f t="shared" si="1735"/>
        <v>0</v>
      </c>
      <c r="AV5030" s="498">
        <f t="shared" si="1736"/>
        <v>0</v>
      </c>
      <c r="AW5030" s="498">
        <f t="shared" si="1737"/>
        <v>0</v>
      </c>
      <c r="AX5030" s="498">
        <f t="shared" si="1738"/>
        <v>0</v>
      </c>
      <c r="AY5030" s="498">
        <f t="shared" si="1739"/>
        <v>0</v>
      </c>
      <c r="BB5030" s="498" t="str">
        <f t="shared" si="1740"/>
        <v/>
      </c>
      <c r="BC5030" s="743" t="str">
        <f t="shared" si="1741"/>
        <v/>
      </c>
      <c r="BD5030" s="743" t="str">
        <f t="shared" si="1742"/>
        <v/>
      </c>
      <c r="BE5030" s="743" t="str">
        <f>IF(D5030="","",VLOOKUP(D5030,'General Basis'!$J$39:$K$46,2,0))</f>
        <v/>
      </c>
      <c r="BF5030" s="744" t="str">
        <f>IF(D5030="","",VLOOKUP(D5030,'General Basis'!$J$39:$L$46,3,0))</f>
        <v/>
      </c>
      <c r="BG5030" s="744" t="str">
        <f t="shared" si="1749"/>
        <v/>
      </c>
      <c r="BH5030" s="744" t="str">
        <f>IF(G5030="","",IF(BF5030="Abu Dhabi",IF(G5030&lt;18,'General Basis'!$C$39,IF(G5030&lt;41,'General Basis'!$C$40,IF(G5030&lt;60,'General Basis'!$C$41,IF(G5030&lt;65,'General Basis'!$C$42,'General Basis'!$C$43)))),IF(G5030&lt;11,'General Basis'!$B$39,IF(G5030&lt;18,'General Basis'!$B$40,IF(G5030&lt;26,'General Basis'!$B$41,IF(G5030&lt;31,'General Basis'!$B$42,IF(G5030&lt;36,'General Basis'!$B$43,IF(G5030&lt;41,'General Basis'!$B$44,IF(G5030&lt;46,'General Basis'!$B$45,IF(G5030&lt;51,'General Basis'!$B$46,IF(G5030&lt;56,'General Basis'!$B$47,IF(G5030&lt;60,'General Basis'!$B$48,IF(G5030&lt;65,'General Basis'!$B$49,'General Basis'!$B$50)))))))))))))</f>
        <v/>
      </c>
      <c r="BI5030" s="744" t="str">
        <f t="shared" si="1743"/>
        <v/>
      </c>
      <c r="BJ5030" s="747" t="str">
        <f t="shared" si="1750"/>
        <v/>
      </c>
      <c r="BK5030" s="498" t="str">
        <f t="shared" si="1744"/>
        <v/>
      </c>
      <c r="BL5030" s="498" t="str">
        <f t="shared" si="1745"/>
        <v/>
      </c>
    </row>
    <row r="5031" spans="1:64" x14ac:dyDescent="0.25">
      <c r="A5031" s="762">
        <f t="shared" si="1746"/>
        <v>5026</v>
      </c>
      <c r="B5031" s="229"/>
      <c r="C5031" s="223"/>
      <c r="D5031" s="224"/>
      <c r="E5031" s="225"/>
      <c r="F5031" s="1036" t="str">
        <f t="shared" si="1752"/>
        <v/>
      </c>
      <c r="G5031" s="1037" t="str">
        <f t="shared" si="1747"/>
        <v/>
      </c>
      <c r="H5031" s="225"/>
      <c r="I5031" s="1013"/>
      <c r="J5031" s="1013"/>
      <c r="K5031" s="1028"/>
      <c r="L5031" s="1035" t="str">
        <f t="shared" si="1751"/>
        <v/>
      </c>
      <c r="S5031" s="498"/>
      <c r="AJ5031" s="498"/>
      <c r="AM5031" s="498">
        <f t="shared" si="1732"/>
        <v>0</v>
      </c>
      <c r="AN5031" s="498">
        <f t="shared" si="1733"/>
        <v>0</v>
      </c>
      <c r="AO5031" s="498">
        <f t="shared" si="1734"/>
        <v>0</v>
      </c>
      <c r="AP5031" s="498">
        <f t="shared" si="1753"/>
        <v>0</v>
      </c>
      <c r="AQ5031" s="498">
        <f t="shared" si="1748"/>
        <v>0</v>
      </c>
      <c r="AU5031" s="498">
        <f t="shared" si="1735"/>
        <v>0</v>
      </c>
      <c r="AV5031" s="498">
        <f t="shared" si="1736"/>
        <v>0</v>
      </c>
      <c r="AW5031" s="498">
        <f t="shared" si="1737"/>
        <v>0</v>
      </c>
      <c r="AX5031" s="498">
        <f t="shared" si="1738"/>
        <v>0</v>
      </c>
      <c r="AY5031" s="498">
        <f t="shared" si="1739"/>
        <v>0</v>
      </c>
      <c r="BB5031" s="498" t="str">
        <f t="shared" si="1740"/>
        <v/>
      </c>
      <c r="BC5031" s="743" t="str">
        <f t="shared" si="1741"/>
        <v/>
      </c>
      <c r="BD5031" s="743" t="str">
        <f t="shared" si="1742"/>
        <v/>
      </c>
      <c r="BE5031" s="743" t="str">
        <f>IF(D5031="","",VLOOKUP(D5031,'General Basis'!$J$39:$K$46,2,0))</f>
        <v/>
      </c>
      <c r="BF5031" s="744" t="str">
        <f>IF(D5031="","",VLOOKUP(D5031,'General Basis'!$J$39:$L$46,3,0))</f>
        <v/>
      </c>
      <c r="BG5031" s="744" t="str">
        <f t="shared" si="1749"/>
        <v/>
      </c>
      <c r="BH5031" s="744" t="str">
        <f>IF(G5031="","",IF(BF5031="Abu Dhabi",IF(G5031&lt;18,'General Basis'!$C$39,IF(G5031&lt;41,'General Basis'!$C$40,IF(G5031&lt;60,'General Basis'!$C$41,IF(G5031&lt;65,'General Basis'!$C$42,'General Basis'!$C$43)))),IF(G5031&lt;11,'General Basis'!$B$39,IF(G5031&lt;18,'General Basis'!$B$40,IF(G5031&lt;26,'General Basis'!$B$41,IF(G5031&lt;31,'General Basis'!$B$42,IF(G5031&lt;36,'General Basis'!$B$43,IF(G5031&lt;41,'General Basis'!$B$44,IF(G5031&lt;46,'General Basis'!$B$45,IF(G5031&lt;51,'General Basis'!$B$46,IF(G5031&lt;56,'General Basis'!$B$47,IF(G5031&lt;60,'General Basis'!$B$48,IF(G5031&lt;65,'General Basis'!$B$49,'General Basis'!$B$50)))))))))))))</f>
        <v/>
      </c>
      <c r="BI5031" s="744" t="str">
        <f t="shared" si="1743"/>
        <v/>
      </c>
      <c r="BJ5031" s="747" t="str">
        <f t="shared" si="1750"/>
        <v/>
      </c>
      <c r="BK5031" s="498" t="str">
        <f t="shared" si="1744"/>
        <v/>
      </c>
      <c r="BL5031" s="498" t="str">
        <f t="shared" si="1745"/>
        <v/>
      </c>
    </row>
    <row r="5032" spans="1:64" x14ac:dyDescent="0.25">
      <c r="A5032" s="762">
        <f t="shared" si="1746"/>
        <v>5027</v>
      </c>
      <c r="B5032" s="229"/>
      <c r="C5032" s="223"/>
      <c r="D5032" s="224"/>
      <c r="E5032" s="225"/>
      <c r="F5032" s="1036" t="str">
        <f t="shared" si="1752"/>
        <v/>
      </c>
      <c r="G5032" s="1037" t="str">
        <f t="shared" si="1747"/>
        <v/>
      </c>
      <c r="H5032" s="225"/>
      <c r="I5032" s="1013"/>
      <c r="J5032" s="1013"/>
      <c r="K5032" s="1028"/>
      <c r="L5032" s="1035" t="str">
        <f t="shared" si="1751"/>
        <v/>
      </c>
      <c r="S5032" s="498"/>
      <c r="AJ5032" s="498"/>
      <c r="AM5032" s="498">
        <f t="shared" si="1732"/>
        <v>0</v>
      </c>
      <c r="AN5032" s="498">
        <f t="shared" si="1733"/>
        <v>0</v>
      </c>
      <c r="AO5032" s="498">
        <f t="shared" si="1734"/>
        <v>0</v>
      </c>
      <c r="AP5032" s="498">
        <f t="shared" si="1753"/>
        <v>0</v>
      </c>
      <c r="AQ5032" s="498">
        <f t="shared" si="1748"/>
        <v>0</v>
      </c>
      <c r="AU5032" s="498">
        <f t="shared" si="1735"/>
        <v>0</v>
      </c>
      <c r="AV5032" s="498">
        <f t="shared" si="1736"/>
        <v>0</v>
      </c>
      <c r="AW5032" s="498">
        <f t="shared" si="1737"/>
        <v>0</v>
      </c>
      <c r="AX5032" s="498">
        <f t="shared" si="1738"/>
        <v>0</v>
      </c>
      <c r="AY5032" s="498">
        <f t="shared" si="1739"/>
        <v>0</v>
      </c>
      <c r="BB5032" s="498" t="str">
        <f t="shared" si="1740"/>
        <v/>
      </c>
      <c r="BC5032" s="743" t="str">
        <f t="shared" si="1741"/>
        <v/>
      </c>
      <c r="BD5032" s="743" t="str">
        <f t="shared" si="1742"/>
        <v/>
      </c>
      <c r="BE5032" s="743" t="str">
        <f>IF(D5032="","",VLOOKUP(D5032,'General Basis'!$J$39:$K$46,2,0))</f>
        <v/>
      </c>
      <c r="BF5032" s="744" t="str">
        <f>IF(D5032="","",VLOOKUP(D5032,'General Basis'!$J$39:$L$46,3,0))</f>
        <v/>
      </c>
      <c r="BG5032" s="744" t="str">
        <f t="shared" si="1749"/>
        <v/>
      </c>
      <c r="BH5032" s="744" t="str">
        <f>IF(G5032="","",IF(BF5032="Abu Dhabi",IF(G5032&lt;18,'General Basis'!$C$39,IF(G5032&lt;41,'General Basis'!$C$40,IF(G5032&lt;60,'General Basis'!$C$41,IF(G5032&lt;65,'General Basis'!$C$42,'General Basis'!$C$43)))),IF(G5032&lt;11,'General Basis'!$B$39,IF(G5032&lt;18,'General Basis'!$B$40,IF(G5032&lt;26,'General Basis'!$B$41,IF(G5032&lt;31,'General Basis'!$B$42,IF(G5032&lt;36,'General Basis'!$B$43,IF(G5032&lt;41,'General Basis'!$B$44,IF(G5032&lt;46,'General Basis'!$B$45,IF(G5032&lt;51,'General Basis'!$B$46,IF(G5032&lt;56,'General Basis'!$B$47,IF(G5032&lt;60,'General Basis'!$B$48,IF(G5032&lt;65,'General Basis'!$B$49,'General Basis'!$B$50)))))))))))))</f>
        <v/>
      </c>
      <c r="BI5032" s="744" t="str">
        <f t="shared" si="1743"/>
        <v/>
      </c>
      <c r="BJ5032" s="747" t="str">
        <f t="shared" si="1750"/>
        <v/>
      </c>
      <c r="BK5032" s="498" t="str">
        <f t="shared" si="1744"/>
        <v/>
      </c>
      <c r="BL5032" s="498" t="str">
        <f t="shared" si="1745"/>
        <v/>
      </c>
    </row>
    <row r="5033" spans="1:64" x14ac:dyDescent="0.25">
      <c r="A5033" s="762">
        <f t="shared" si="1746"/>
        <v>5028</v>
      </c>
      <c r="B5033" s="229"/>
      <c r="C5033" s="223"/>
      <c r="D5033" s="224"/>
      <c r="E5033" s="225"/>
      <c r="F5033" s="1036" t="str">
        <f t="shared" si="1752"/>
        <v/>
      </c>
      <c r="G5033" s="1037" t="str">
        <f t="shared" si="1747"/>
        <v/>
      </c>
      <c r="H5033" s="225"/>
      <c r="I5033" s="1013"/>
      <c r="J5033" s="1013"/>
      <c r="K5033" s="1028"/>
      <c r="L5033" s="1035" t="str">
        <f t="shared" si="1751"/>
        <v/>
      </c>
      <c r="S5033" s="498"/>
      <c r="AJ5033" s="498"/>
      <c r="AM5033" s="498">
        <f t="shared" si="1732"/>
        <v>0</v>
      </c>
      <c r="AN5033" s="498">
        <f t="shared" si="1733"/>
        <v>0</v>
      </c>
      <c r="AO5033" s="498">
        <f t="shared" si="1734"/>
        <v>0</v>
      </c>
      <c r="AP5033" s="498">
        <f t="shared" si="1753"/>
        <v>0</v>
      </c>
      <c r="AQ5033" s="498">
        <f t="shared" si="1748"/>
        <v>0</v>
      </c>
      <c r="AU5033" s="498">
        <f t="shared" si="1735"/>
        <v>0</v>
      </c>
      <c r="AV5033" s="498">
        <f t="shared" si="1736"/>
        <v>0</v>
      </c>
      <c r="AW5033" s="498">
        <f t="shared" si="1737"/>
        <v>0</v>
      </c>
      <c r="AX5033" s="498">
        <f t="shared" si="1738"/>
        <v>0</v>
      </c>
      <c r="AY5033" s="498">
        <f t="shared" si="1739"/>
        <v>0</v>
      </c>
      <c r="BB5033" s="498" t="str">
        <f t="shared" si="1740"/>
        <v/>
      </c>
      <c r="BC5033" s="743" t="str">
        <f t="shared" si="1741"/>
        <v/>
      </c>
      <c r="BD5033" s="743" t="str">
        <f t="shared" si="1742"/>
        <v/>
      </c>
      <c r="BE5033" s="743" t="str">
        <f>IF(D5033="","",VLOOKUP(D5033,'General Basis'!$J$39:$K$46,2,0))</f>
        <v/>
      </c>
      <c r="BF5033" s="744" t="str">
        <f>IF(D5033="","",VLOOKUP(D5033,'General Basis'!$J$39:$L$46,3,0))</f>
        <v/>
      </c>
      <c r="BG5033" s="744" t="str">
        <f t="shared" si="1749"/>
        <v/>
      </c>
      <c r="BH5033" s="744" t="str">
        <f>IF(G5033="","",IF(BF5033="Abu Dhabi",IF(G5033&lt;18,'General Basis'!$C$39,IF(G5033&lt;41,'General Basis'!$C$40,IF(G5033&lt;60,'General Basis'!$C$41,IF(G5033&lt;65,'General Basis'!$C$42,'General Basis'!$C$43)))),IF(G5033&lt;11,'General Basis'!$B$39,IF(G5033&lt;18,'General Basis'!$B$40,IF(G5033&lt;26,'General Basis'!$B$41,IF(G5033&lt;31,'General Basis'!$B$42,IF(G5033&lt;36,'General Basis'!$B$43,IF(G5033&lt;41,'General Basis'!$B$44,IF(G5033&lt;46,'General Basis'!$B$45,IF(G5033&lt;51,'General Basis'!$B$46,IF(G5033&lt;56,'General Basis'!$B$47,IF(G5033&lt;60,'General Basis'!$B$48,IF(G5033&lt;65,'General Basis'!$B$49,'General Basis'!$B$50)))))))))))))</f>
        <v/>
      </c>
      <c r="BI5033" s="744" t="str">
        <f t="shared" si="1743"/>
        <v/>
      </c>
      <c r="BJ5033" s="747" t="str">
        <f t="shared" si="1750"/>
        <v/>
      </c>
      <c r="BK5033" s="498" t="str">
        <f t="shared" si="1744"/>
        <v/>
      </c>
      <c r="BL5033" s="498" t="str">
        <f t="shared" si="1745"/>
        <v/>
      </c>
    </row>
    <row r="5034" spans="1:64" x14ac:dyDescent="0.25">
      <c r="A5034" s="762">
        <f t="shared" si="1746"/>
        <v>5029</v>
      </c>
      <c r="B5034" s="229"/>
      <c r="C5034" s="223"/>
      <c r="D5034" s="224"/>
      <c r="E5034" s="225"/>
      <c r="F5034" s="1036" t="str">
        <f t="shared" si="1752"/>
        <v/>
      </c>
      <c r="G5034" s="1037" t="str">
        <f t="shared" si="1747"/>
        <v/>
      </c>
      <c r="H5034" s="225"/>
      <c r="I5034" s="1013"/>
      <c r="J5034" s="1013"/>
      <c r="K5034" s="1028"/>
      <c r="L5034" s="1035" t="str">
        <f t="shared" si="1751"/>
        <v/>
      </c>
      <c r="S5034" s="498"/>
      <c r="AJ5034" s="498"/>
      <c r="AM5034" s="498">
        <f t="shared" si="1732"/>
        <v>0</v>
      </c>
      <c r="AN5034" s="498">
        <f t="shared" si="1733"/>
        <v>0</v>
      </c>
      <c r="AO5034" s="498">
        <f t="shared" si="1734"/>
        <v>0</v>
      </c>
      <c r="AP5034" s="498">
        <f t="shared" si="1753"/>
        <v>0</v>
      </c>
      <c r="AQ5034" s="498">
        <f t="shared" si="1748"/>
        <v>0</v>
      </c>
      <c r="AU5034" s="498">
        <f t="shared" si="1735"/>
        <v>0</v>
      </c>
      <c r="AV5034" s="498">
        <f t="shared" si="1736"/>
        <v>0</v>
      </c>
      <c r="AW5034" s="498">
        <f t="shared" si="1737"/>
        <v>0</v>
      </c>
      <c r="AX5034" s="498">
        <f t="shared" si="1738"/>
        <v>0</v>
      </c>
      <c r="AY5034" s="498">
        <f t="shared" si="1739"/>
        <v>0</v>
      </c>
      <c r="BB5034" s="498" t="str">
        <f t="shared" si="1740"/>
        <v/>
      </c>
      <c r="BC5034" s="743" t="str">
        <f t="shared" si="1741"/>
        <v/>
      </c>
      <c r="BD5034" s="743" t="str">
        <f t="shared" si="1742"/>
        <v/>
      </c>
      <c r="BE5034" s="743" t="str">
        <f>IF(D5034="","",VLOOKUP(D5034,'General Basis'!$J$39:$K$46,2,0))</f>
        <v/>
      </c>
      <c r="BF5034" s="744" t="str">
        <f>IF(D5034="","",VLOOKUP(D5034,'General Basis'!$J$39:$L$46,3,0))</f>
        <v/>
      </c>
      <c r="BG5034" s="744" t="str">
        <f t="shared" si="1749"/>
        <v/>
      </c>
      <c r="BH5034" s="744" t="str">
        <f>IF(G5034="","",IF(BF5034="Abu Dhabi",IF(G5034&lt;18,'General Basis'!$C$39,IF(G5034&lt;41,'General Basis'!$C$40,IF(G5034&lt;60,'General Basis'!$C$41,IF(G5034&lt;65,'General Basis'!$C$42,'General Basis'!$C$43)))),IF(G5034&lt;11,'General Basis'!$B$39,IF(G5034&lt;18,'General Basis'!$B$40,IF(G5034&lt;26,'General Basis'!$B$41,IF(G5034&lt;31,'General Basis'!$B$42,IF(G5034&lt;36,'General Basis'!$B$43,IF(G5034&lt;41,'General Basis'!$B$44,IF(G5034&lt;46,'General Basis'!$B$45,IF(G5034&lt;51,'General Basis'!$B$46,IF(G5034&lt;56,'General Basis'!$B$47,IF(G5034&lt;60,'General Basis'!$B$48,IF(G5034&lt;65,'General Basis'!$B$49,'General Basis'!$B$50)))))))))))))</f>
        <v/>
      </c>
      <c r="BI5034" s="744" t="str">
        <f t="shared" si="1743"/>
        <v/>
      </c>
      <c r="BJ5034" s="747" t="str">
        <f t="shared" si="1750"/>
        <v/>
      </c>
      <c r="BK5034" s="498" t="str">
        <f t="shared" si="1744"/>
        <v/>
      </c>
      <c r="BL5034" s="498" t="str">
        <f t="shared" si="1745"/>
        <v/>
      </c>
    </row>
    <row r="5035" spans="1:64" x14ac:dyDescent="0.25">
      <c r="A5035" s="762">
        <f t="shared" si="1746"/>
        <v>5030</v>
      </c>
      <c r="B5035" s="229"/>
      <c r="C5035" s="223"/>
      <c r="D5035" s="224"/>
      <c r="E5035" s="225"/>
      <c r="F5035" s="1036" t="str">
        <f t="shared" si="1752"/>
        <v/>
      </c>
      <c r="G5035" s="1037" t="str">
        <f t="shared" si="1747"/>
        <v/>
      </c>
      <c r="H5035" s="225"/>
      <c r="I5035" s="1013"/>
      <c r="J5035" s="1013"/>
      <c r="K5035" s="1028"/>
      <c r="L5035" s="1035" t="str">
        <f t="shared" si="1751"/>
        <v/>
      </c>
      <c r="S5035" s="498"/>
      <c r="AJ5035" s="498"/>
      <c r="AM5035" s="498">
        <f t="shared" si="1732"/>
        <v>0</v>
      </c>
      <c r="AN5035" s="498">
        <f t="shared" si="1733"/>
        <v>0</v>
      </c>
      <c r="AO5035" s="498">
        <f t="shared" si="1734"/>
        <v>0</v>
      </c>
      <c r="AP5035" s="498">
        <f t="shared" si="1753"/>
        <v>0</v>
      </c>
      <c r="AQ5035" s="498">
        <f t="shared" si="1748"/>
        <v>0</v>
      </c>
      <c r="AU5035" s="498">
        <f t="shared" si="1735"/>
        <v>0</v>
      </c>
      <c r="AV5035" s="498">
        <f t="shared" si="1736"/>
        <v>0</v>
      </c>
      <c r="AW5035" s="498">
        <f t="shared" si="1737"/>
        <v>0</v>
      </c>
      <c r="AX5035" s="498">
        <f t="shared" si="1738"/>
        <v>0</v>
      </c>
      <c r="AY5035" s="498">
        <f t="shared" si="1739"/>
        <v>0</v>
      </c>
      <c r="BB5035" s="498" t="str">
        <f t="shared" si="1740"/>
        <v/>
      </c>
      <c r="BC5035" s="743" t="str">
        <f t="shared" si="1741"/>
        <v/>
      </c>
      <c r="BD5035" s="743" t="str">
        <f t="shared" si="1742"/>
        <v/>
      </c>
      <c r="BE5035" s="743" t="str">
        <f>IF(D5035="","",VLOOKUP(D5035,'General Basis'!$J$39:$K$46,2,0))</f>
        <v/>
      </c>
      <c r="BF5035" s="744" t="str">
        <f>IF(D5035="","",VLOOKUP(D5035,'General Basis'!$J$39:$L$46,3,0))</f>
        <v/>
      </c>
      <c r="BG5035" s="744" t="str">
        <f t="shared" si="1749"/>
        <v/>
      </c>
      <c r="BH5035" s="744" t="str">
        <f>IF(G5035="","",IF(BF5035="Abu Dhabi",IF(G5035&lt;18,'General Basis'!$C$39,IF(G5035&lt;41,'General Basis'!$C$40,IF(G5035&lt;60,'General Basis'!$C$41,IF(G5035&lt;65,'General Basis'!$C$42,'General Basis'!$C$43)))),IF(G5035&lt;11,'General Basis'!$B$39,IF(G5035&lt;18,'General Basis'!$B$40,IF(G5035&lt;26,'General Basis'!$B$41,IF(G5035&lt;31,'General Basis'!$B$42,IF(G5035&lt;36,'General Basis'!$B$43,IF(G5035&lt;41,'General Basis'!$B$44,IF(G5035&lt;46,'General Basis'!$B$45,IF(G5035&lt;51,'General Basis'!$B$46,IF(G5035&lt;56,'General Basis'!$B$47,IF(G5035&lt;60,'General Basis'!$B$48,IF(G5035&lt;65,'General Basis'!$B$49,'General Basis'!$B$50)))))))))))))</f>
        <v/>
      </c>
      <c r="BI5035" s="744" t="str">
        <f t="shared" si="1743"/>
        <v/>
      </c>
      <c r="BJ5035" s="747" t="str">
        <f t="shared" si="1750"/>
        <v/>
      </c>
      <c r="BK5035" s="498" t="str">
        <f t="shared" si="1744"/>
        <v/>
      </c>
      <c r="BL5035" s="498" t="str">
        <f t="shared" si="1745"/>
        <v/>
      </c>
    </row>
    <row r="5036" spans="1:64" x14ac:dyDescent="0.25">
      <c r="A5036" s="762">
        <f t="shared" si="1746"/>
        <v>5031</v>
      </c>
      <c r="B5036" s="229"/>
      <c r="C5036" s="223"/>
      <c r="D5036" s="224"/>
      <c r="E5036" s="225"/>
      <c r="F5036" s="1036" t="str">
        <f t="shared" si="1752"/>
        <v/>
      </c>
      <c r="G5036" s="1037" t="str">
        <f t="shared" si="1747"/>
        <v/>
      </c>
      <c r="H5036" s="225"/>
      <c r="I5036" s="1013"/>
      <c r="J5036" s="1013"/>
      <c r="K5036" s="1028"/>
      <c r="L5036" s="1035" t="str">
        <f t="shared" si="1751"/>
        <v/>
      </c>
      <c r="S5036" s="498"/>
      <c r="AJ5036" s="498"/>
      <c r="AM5036" s="498">
        <f t="shared" si="1732"/>
        <v>0</v>
      </c>
      <c r="AN5036" s="498">
        <f t="shared" si="1733"/>
        <v>0</v>
      </c>
      <c r="AO5036" s="498">
        <f t="shared" si="1734"/>
        <v>0</v>
      </c>
      <c r="AP5036" s="498">
        <f t="shared" si="1753"/>
        <v>0</v>
      </c>
      <c r="AQ5036" s="498">
        <f t="shared" si="1748"/>
        <v>0</v>
      </c>
      <c r="AU5036" s="498">
        <f t="shared" si="1735"/>
        <v>0</v>
      </c>
      <c r="AV5036" s="498">
        <f t="shared" si="1736"/>
        <v>0</v>
      </c>
      <c r="AW5036" s="498">
        <f t="shared" si="1737"/>
        <v>0</v>
      </c>
      <c r="AX5036" s="498">
        <f t="shared" si="1738"/>
        <v>0</v>
      </c>
      <c r="AY5036" s="498">
        <f t="shared" si="1739"/>
        <v>0</v>
      </c>
      <c r="BB5036" s="498" t="str">
        <f t="shared" si="1740"/>
        <v/>
      </c>
      <c r="BC5036" s="743" t="str">
        <f t="shared" si="1741"/>
        <v/>
      </c>
      <c r="BD5036" s="743" t="str">
        <f t="shared" si="1742"/>
        <v/>
      </c>
      <c r="BE5036" s="743" t="str">
        <f>IF(D5036="","",VLOOKUP(D5036,'General Basis'!$J$39:$K$46,2,0))</f>
        <v/>
      </c>
      <c r="BF5036" s="744" t="str">
        <f>IF(D5036="","",VLOOKUP(D5036,'General Basis'!$J$39:$L$46,3,0))</f>
        <v/>
      </c>
      <c r="BG5036" s="744" t="str">
        <f t="shared" si="1749"/>
        <v/>
      </c>
      <c r="BH5036" s="744" t="str">
        <f>IF(G5036="","",IF(BF5036="Abu Dhabi",IF(G5036&lt;18,'General Basis'!$C$39,IF(G5036&lt;41,'General Basis'!$C$40,IF(G5036&lt;60,'General Basis'!$C$41,IF(G5036&lt;65,'General Basis'!$C$42,'General Basis'!$C$43)))),IF(G5036&lt;11,'General Basis'!$B$39,IF(G5036&lt;18,'General Basis'!$B$40,IF(G5036&lt;26,'General Basis'!$B$41,IF(G5036&lt;31,'General Basis'!$B$42,IF(G5036&lt;36,'General Basis'!$B$43,IF(G5036&lt;41,'General Basis'!$B$44,IF(G5036&lt;46,'General Basis'!$B$45,IF(G5036&lt;51,'General Basis'!$B$46,IF(G5036&lt;56,'General Basis'!$B$47,IF(G5036&lt;60,'General Basis'!$B$48,IF(G5036&lt;65,'General Basis'!$B$49,'General Basis'!$B$50)))))))))))))</f>
        <v/>
      </c>
      <c r="BI5036" s="744" t="str">
        <f t="shared" si="1743"/>
        <v/>
      </c>
      <c r="BJ5036" s="747" t="str">
        <f t="shared" si="1750"/>
        <v/>
      </c>
      <c r="BK5036" s="498" t="str">
        <f t="shared" si="1744"/>
        <v/>
      </c>
      <c r="BL5036" s="498" t="str">
        <f t="shared" si="1745"/>
        <v/>
      </c>
    </row>
    <row r="5037" spans="1:64" x14ac:dyDescent="0.25">
      <c r="A5037" s="762">
        <f t="shared" si="1746"/>
        <v>5032</v>
      </c>
      <c r="B5037" s="229"/>
      <c r="C5037" s="223"/>
      <c r="D5037" s="224"/>
      <c r="E5037" s="225"/>
      <c r="F5037" s="1036" t="str">
        <f t="shared" si="1752"/>
        <v/>
      </c>
      <c r="G5037" s="1037" t="str">
        <f t="shared" si="1747"/>
        <v/>
      </c>
      <c r="H5037" s="225"/>
      <c r="I5037" s="1013"/>
      <c r="J5037" s="1013"/>
      <c r="K5037" s="1028"/>
      <c r="L5037" s="1035" t="str">
        <f t="shared" si="1751"/>
        <v/>
      </c>
      <c r="S5037" s="498"/>
      <c r="AJ5037" s="498"/>
      <c r="AM5037" s="498">
        <f t="shared" si="1732"/>
        <v>0</v>
      </c>
      <c r="AN5037" s="498">
        <f t="shared" si="1733"/>
        <v>0</v>
      </c>
      <c r="AO5037" s="498">
        <f t="shared" si="1734"/>
        <v>0</v>
      </c>
      <c r="AP5037" s="498">
        <f t="shared" si="1753"/>
        <v>0</v>
      </c>
      <c r="AQ5037" s="498">
        <f t="shared" si="1748"/>
        <v>0</v>
      </c>
      <c r="AU5037" s="498">
        <f t="shared" si="1735"/>
        <v>0</v>
      </c>
      <c r="AV5037" s="498">
        <f t="shared" si="1736"/>
        <v>0</v>
      </c>
      <c r="AW5037" s="498">
        <f t="shared" si="1737"/>
        <v>0</v>
      </c>
      <c r="AX5037" s="498">
        <f t="shared" si="1738"/>
        <v>0</v>
      </c>
      <c r="AY5037" s="498">
        <f t="shared" si="1739"/>
        <v>0</v>
      </c>
      <c r="BB5037" s="498" t="str">
        <f t="shared" si="1740"/>
        <v/>
      </c>
      <c r="BC5037" s="743" t="str">
        <f t="shared" si="1741"/>
        <v/>
      </c>
      <c r="BD5037" s="743" t="str">
        <f t="shared" si="1742"/>
        <v/>
      </c>
      <c r="BE5037" s="743" t="str">
        <f>IF(D5037="","",VLOOKUP(D5037,'General Basis'!$J$39:$K$46,2,0))</f>
        <v/>
      </c>
      <c r="BF5037" s="744" t="str">
        <f>IF(D5037="","",VLOOKUP(D5037,'General Basis'!$J$39:$L$46,3,0))</f>
        <v/>
      </c>
      <c r="BG5037" s="744" t="str">
        <f t="shared" si="1749"/>
        <v/>
      </c>
      <c r="BH5037" s="744" t="str">
        <f>IF(G5037="","",IF(BF5037="Abu Dhabi",IF(G5037&lt;18,'General Basis'!$C$39,IF(G5037&lt;41,'General Basis'!$C$40,IF(G5037&lt;60,'General Basis'!$C$41,IF(G5037&lt;65,'General Basis'!$C$42,'General Basis'!$C$43)))),IF(G5037&lt;11,'General Basis'!$B$39,IF(G5037&lt;18,'General Basis'!$B$40,IF(G5037&lt;26,'General Basis'!$B$41,IF(G5037&lt;31,'General Basis'!$B$42,IF(G5037&lt;36,'General Basis'!$B$43,IF(G5037&lt;41,'General Basis'!$B$44,IF(G5037&lt;46,'General Basis'!$B$45,IF(G5037&lt;51,'General Basis'!$B$46,IF(G5037&lt;56,'General Basis'!$B$47,IF(G5037&lt;60,'General Basis'!$B$48,IF(G5037&lt;65,'General Basis'!$B$49,'General Basis'!$B$50)))))))))))))</f>
        <v/>
      </c>
      <c r="BI5037" s="744" t="str">
        <f t="shared" si="1743"/>
        <v/>
      </c>
      <c r="BJ5037" s="747" t="str">
        <f t="shared" si="1750"/>
        <v/>
      </c>
      <c r="BK5037" s="498" t="str">
        <f t="shared" si="1744"/>
        <v/>
      </c>
      <c r="BL5037" s="498" t="str">
        <f t="shared" si="1745"/>
        <v/>
      </c>
    </row>
    <row r="5038" spans="1:64" x14ac:dyDescent="0.25">
      <c r="A5038" s="762">
        <f t="shared" si="1746"/>
        <v>5033</v>
      </c>
      <c r="B5038" s="229"/>
      <c r="C5038" s="223"/>
      <c r="D5038" s="224"/>
      <c r="E5038" s="225"/>
      <c r="F5038" s="1036" t="str">
        <f t="shared" si="1752"/>
        <v/>
      </c>
      <c r="G5038" s="1037" t="str">
        <f t="shared" si="1747"/>
        <v/>
      </c>
      <c r="H5038" s="225"/>
      <c r="I5038" s="1013"/>
      <c r="J5038" s="1013"/>
      <c r="K5038" s="1028"/>
      <c r="L5038" s="1035" t="str">
        <f t="shared" si="1751"/>
        <v/>
      </c>
      <c r="S5038" s="498"/>
      <c r="AJ5038" s="498"/>
      <c r="AM5038" s="498">
        <f t="shared" si="1732"/>
        <v>0</v>
      </c>
      <c r="AN5038" s="498">
        <f t="shared" si="1733"/>
        <v>0</v>
      </c>
      <c r="AO5038" s="498">
        <f t="shared" si="1734"/>
        <v>0</v>
      </c>
      <c r="AP5038" s="498">
        <f t="shared" si="1753"/>
        <v>0</v>
      </c>
      <c r="AQ5038" s="498">
        <f t="shared" si="1748"/>
        <v>0</v>
      </c>
      <c r="AU5038" s="498">
        <f t="shared" si="1735"/>
        <v>0</v>
      </c>
      <c r="AV5038" s="498">
        <f t="shared" si="1736"/>
        <v>0</v>
      </c>
      <c r="AW5038" s="498">
        <f t="shared" si="1737"/>
        <v>0</v>
      </c>
      <c r="AX5038" s="498">
        <f t="shared" si="1738"/>
        <v>0</v>
      </c>
      <c r="AY5038" s="498">
        <f t="shared" si="1739"/>
        <v>0</v>
      </c>
      <c r="BB5038" s="498" t="str">
        <f t="shared" si="1740"/>
        <v/>
      </c>
      <c r="BC5038" s="743" t="str">
        <f t="shared" si="1741"/>
        <v/>
      </c>
      <c r="BD5038" s="743" t="str">
        <f t="shared" si="1742"/>
        <v/>
      </c>
      <c r="BE5038" s="743" t="str">
        <f>IF(D5038="","",VLOOKUP(D5038,'General Basis'!$J$39:$K$46,2,0))</f>
        <v/>
      </c>
      <c r="BF5038" s="744" t="str">
        <f>IF(D5038="","",VLOOKUP(D5038,'General Basis'!$J$39:$L$46,3,0))</f>
        <v/>
      </c>
      <c r="BG5038" s="744" t="str">
        <f t="shared" si="1749"/>
        <v/>
      </c>
      <c r="BH5038" s="744" t="str">
        <f>IF(G5038="","",IF(BF5038="Abu Dhabi",IF(G5038&lt;18,'General Basis'!$C$39,IF(G5038&lt;41,'General Basis'!$C$40,IF(G5038&lt;60,'General Basis'!$C$41,IF(G5038&lt;65,'General Basis'!$C$42,'General Basis'!$C$43)))),IF(G5038&lt;11,'General Basis'!$B$39,IF(G5038&lt;18,'General Basis'!$B$40,IF(G5038&lt;26,'General Basis'!$B$41,IF(G5038&lt;31,'General Basis'!$B$42,IF(G5038&lt;36,'General Basis'!$B$43,IF(G5038&lt;41,'General Basis'!$B$44,IF(G5038&lt;46,'General Basis'!$B$45,IF(G5038&lt;51,'General Basis'!$B$46,IF(G5038&lt;56,'General Basis'!$B$47,IF(G5038&lt;60,'General Basis'!$B$48,IF(G5038&lt;65,'General Basis'!$B$49,'General Basis'!$B$50)))))))))))))</f>
        <v/>
      </c>
      <c r="BI5038" s="744" t="str">
        <f t="shared" si="1743"/>
        <v/>
      </c>
      <c r="BJ5038" s="747" t="str">
        <f t="shared" si="1750"/>
        <v/>
      </c>
      <c r="BK5038" s="498" t="str">
        <f t="shared" si="1744"/>
        <v/>
      </c>
      <c r="BL5038" s="498" t="str">
        <f t="shared" si="1745"/>
        <v/>
      </c>
    </row>
    <row r="5039" spans="1:64" x14ac:dyDescent="0.25">
      <c r="A5039" s="762">
        <f t="shared" si="1746"/>
        <v>5034</v>
      </c>
      <c r="B5039" s="229"/>
      <c r="C5039" s="223"/>
      <c r="D5039" s="224"/>
      <c r="E5039" s="225"/>
      <c r="F5039" s="1036" t="str">
        <f t="shared" si="1752"/>
        <v/>
      </c>
      <c r="G5039" s="1037" t="str">
        <f t="shared" si="1747"/>
        <v/>
      </c>
      <c r="H5039" s="225"/>
      <c r="I5039" s="1013"/>
      <c r="J5039" s="1013"/>
      <c r="K5039" s="1028"/>
      <c r="L5039" s="1035" t="str">
        <f t="shared" si="1751"/>
        <v/>
      </c>
      <c r="S5039" s="498"/>
      <c r="AJ5039" s="498"/>
      <c r="AM5039" s="498">
        <f t="shared" si="1732"/>
        <v>0</v>
      </c>
      <c r="AN5039" s="498">
        <f t="shared" si="1733"/>
        <v>0</v>
      </c>
      <c r="AO5039" s="498">
        <f t="shared" si="1734"/>
        <v>0</v>
      </c>
      <c r="AP5039" s="498">
        <f t="shared" si="1753"/>
        <v>0</v>
      </c>
      <c r="AQ5039" s="498">
        <f t="shared" si="1748"/>
        <v>0</v>
      </c>
      <c r="AU5039" s="498">
        <f t="shared" si="1735"/>
        <v>0</v>
      </c>
      <c r="AV5039" s="498">
        <f t="shared" si="1736"/>
        <v>0</v>
      </c>
      <c r="AW5039" s="498">
        <f t="shared" si="1737"/>
        <v>0</v>
      </c>
      <c r="AX5039" s="498">
        <f t="shared" si="1738"/>
        <v>0</v>
      </c>
      <c r="AY5039" s="498">
        <f t="shared" si="1739"/>
        <v>0</v>
      </c>
      <c r="BB5039" s="498" t="str">
        <f t="shared" si="1740"/>
        <v/>
      </c>
      <c r="BC5039" s="743" t="str">
        <f t="shared" si="1741"/>
        <v/>
      </c>
      <c r="BD5039" s="743" t="str">
        <f t="shared" si="1742"/>
        <v/>
      </c>
      <c r="BE5039" s="743" t="str">
        <f>IF(D5039="","",VLOOKUP(D5039,'General Basis'!$J$39:$K$46,2,0))</f>
        <v/>
      </c>
      <c r="BF5039" s="744" t="str">
        <f>IF(D5039="","",VLOOKUP(D5039,'General Basis'!$J$39:$L$46,3,0))</f>
        <v/>
      </c>
      <c r="BG5039" s="744" t="str">
        <f t="shared" si="1749"/>
        <v/>
      </c>
      <c r="BH5039" s="744" t="str">
        <f>IF(G5039="","",IF(BF5039="Abu Dhabi",IF(G5039&lt;18,'General Basis'!$C$39,IF(G5039&lt;41,'General Basis'!$C$40,IF(G5039&lt;60,'General Basis'!$C$41,IF(G5039&lt;65,'General Basis'!$C$42,'General Basis'!$C$43)))),IF(G5039&lt;11,'General Basis'!$B$39,IF(G5039&lt;18,'General Basis'!$B$40,IF(G5039&lt;26,'General Basis'!$B$41,IF(G5039&lt;31,'General Basis'!$B$42,IF(G5039&lt;36,'General Basis'!$B$43,IF(G5039&lt;41,'General Basis'!$B$44,IF(G5039&lt;46,'General Basis'!$B$45,IF(G5039&lt;51,'General Basis'!$B$46,IF(G5039&lt;56,'General Basis'!$B$47,IF(G5039&lt;60,'General Basis'!$B$48,IF(G5039&lt;65,'General Basis'!$B$49,'General Basis'!$B$50)))))))))))))</f>
        <v/>
      </c>
      <c r="BI5039" s="744" t="str">
        <f t="shared" si="1743"/>
        <v/>
      </c>
      <c r="BJ5039" s="747" t="str">
        <f t="shared" si="1750"/>
        <v/>
      </c>
      <c r="BK5039" s="498" t="str">
        <f t="shared" si="1744"/>
        <v/>
      </c>
      <c r="BL5039" s="498" t="str">
        <f t="shared" si="1745"/>
        <v/>
      </c>
    </row>
    <row r="5040" spans="1:64" x14ac:dyDescent="0.25">
      <c r="A5040" s="762">
        <f t="shared" si="1746"/>
        <v>5035</v>
      </c>
      <c r="B5040" s="229"/>
      <c r="C5040" s="223"/>
      <c r="D5040" s="224"/>
      <c r="E5040" s="225"/>
      <c r="F5040" s="1036" t="str">
        <f t="shared" si="1752"/>
        <v/>
      </c>
      <c r="G5040" s="1037" t="str">
        <f t="shared" si="1747"/>
        <v/>
      </c>
      <c r="H5040" s="225"/>
      <c r="I5040" s="1013"/>
      <c r="J5040" s="1013"/>
      <c r="K5040" s="1028"/>
      <c r="L5040" s="1035" t="str">
        <f t="shared" si="1751"/>
        <v/>
      </c>
      <c r="S5040" s="498"/>
      <c r="AJ5040" s="498"/>
      <c r="AM5040" s="498">
        <f t="shared" si="1732"/>
        <v>0</v>
      </c>
      <c r="AN5040" s="498">
        <f t="shared" si="1733"/>
        <v>0</v>
      </c>
      <c r="AO5040" s="498">
        <f t="shared" si="1734"/>
        <v>0</v>
      </c>
      <c r="AP5040" s="498">
        <f t="shared" si="1753"/>
        <v>0</v>
      </c>
      <c r="AQ5040" s="498">
        <f t="shared" si="1748"/>
        <v>0</v>
      </c>
      <c r="AU5040" s="498">
        <f t="shared" si="1735"/>
        <v>0</v>
      </c>
      <c r="AV5040" s="498">
        <f t="shared" si="1736"/>
        <v>0</v>
      </c>
      <c r="AW5040" s="498">
        <f t="shared" si="1737"/>
        <v>0</v>
      </c>
      <c r="AX5040" s="498">
        <f t="shared" si="1738"/>
        <v>0</v>
      </c>
      <c r="AY5040" s="498">
        <f t="shared" si="1739"/>
        <v>0</v>
      </c>
      <c r="BB5040" s="498" t="str">
        <f t="shared" si="1740"/>
        <v/>
      </c>
      <c r="BC5040" s="743" t="str">
        <f t="shared" si="1741"/>
        <v/>
      </c>
      <c r="BD5040" s="743" t="str">
        <f t="shared" si="1742"/>
        <v/>
      </c>
      <c r="BE5040" s="743" t="str">
        <f>IF(D5040="","",VLOOKUP(D5040,'General Basis'!$J$39:$K$46,2,0))</f>
        <v/>
      </c>
      <c r="BF5040" s="744" t="str">
        <f>IF(D5040="","",VLOOKUP(D5040,'General Basis'!$J$39:$L$46,3,0))</f>
        <v/>
      </c>
      <c r="BG5040" s="744" t="str">
        <f t="shared" si="1749"/>
        <v/>
      </c>
      <c r="BH5040" s="744" t="str">
        <f>IF(G5040="","",IF(BF5040="Abu Dhabi",IF(G5040&lt;18,'General Basis'!$C$39,IF(G5040&lt;41,'General Basis'!$C$40,IF(G5040&lt;60,'General Basis'!$C$41,IF(G5040&lt;65,'General Basis'!$C$42,'General Basis'!$C$43)))),IF(G5040&lt;11,'General Basis'!$B$39,IF(G5040&lt;18,'General Basis'!$B$40,IF(G5040&lt;26,'General Basis'!$B$41,IF(G5040&lt;31,'General Basis'!$B$42,IF(G5040&lt;36,'General Basis'!$B$43,IF(G5040&lt;41,'General Basis'!$B$44,IF(G5040&lt;46,'General Basis'!$B$45,IF(G5040&lt;51,'General Basis'!$B$46,IF(G5040&lt;56,'General Basis'!$B$47,IF(G5040&lt;60,'General Basis'!$B$48,IF(G5040&lt;65,'General Basis'!$B$49,'General Basis'!$B$50)))))))))))))</f>
        <v/>
      </c>
      <c r="BI5040" s="744" t="str">
        <f t="shared" si="1743"/>
        <v/>
      </c>
      <c r="BJ5040" s="747" t="str">
        <f t="shared" si="1750"/>
        <v/>
      </c>
      <c r="BK5040" s="498" t="str">
        <f t="shared" si="1744"/>
        <v/>
      </c>
      <c r="BL5040" s="498" t="str">
        <f t="shared" si="1745"/>
        <v/>
      </c>
    </row>
    <row r="5041" spans="1:64" x14ac:dyDescent="0.25">
      <c r="A5041" s="762">
        <f t="shared" si="1746"/>
        <v>5036</v>
      </c>
      <c r="B5041" s="229"/>
      <c r="C5041" s="223"/>
      <c r="D5041" s="224"/>
      <c r="E5041" s="225"/>
      <c r="F5041" s="1036" t="str">
        <f t="shared" si="1752"/>
        <v/>
      </c>
      <c r="G5041" s="1037" t="str">
        <f t="shared" si="1747"/>
        <v/>
      </c>
      <c r="H5041" s="225"/>
      <c r="I5041" s="1013"/>
      <c r="J5041" s="1013"/>
      <c r="K5041" s="1028"/>
      <c r="L5041" s="1035" t="str">
        <f t="shared" si="1751"/>
        <v/>
      </c>
      <c r="S5041" s="498"/>
      <c r="AJ5041" s="498"/>
      <c r="AM5041" s="498">
        <f t="shared" si="1732"/>
        <v>0</v>
      </c>
      <c r="AN5041" s="498">
        <f t="shared" si="1733"/>
        <v>0</v>
      </c>
      <c r="AO5041" s="498">
        <f t="shared" si="1734"/>
        <v>0</v>
      </c>
      <c r="AP5041" s="498">
        <f t="shared" si="1753"/>
        <v>0</v>
      </c>
      <c r="AQ5041" s="498">
        <f t="shared" si="1748"/>
        <v>0</v>
      </c>
      <c r="AU5041" s="498">
        <f t="shared" si="1735"/>
        <v>0</v>
      </c>
      <c r="AV5041" s="498">
        <f t="shared" si="1736"/>
        <v>0</v>
      </c>
      <c r="AW5041" s="498">
        <f t="shared" si="1737"/>
        <v>0</v>
      </c>
      <c r="AX5041" s="498">
        <f t="shared" si="1738"/>
        <v>0</v>
      </c>
      <c r="AY5041" s="498">
        <f t="shared" si="1739"/>
        <v>0</v>
      </c>
      <c r="BB5041" s="498" t="str">
        <f t="shared" si="1740"/>
        <v/>
      </c>
      <c r="BC5041" s="743" t="str">
        <f t="shared" si="1741"/>
        <v/>
      </c>
      <c r="BD5041" s="743" t="str">
        <f t="shared" si="1742"/>
        <v/>
      </c>
      <c r="BE5041" s="743" t="str">
        <f>IF(D5041="","",VLOOKUP(D5041,'General Basis'!$J$39:$K$46,2,0))</f>
        <v/>
      </c>
      <c r="BF5041" s="744" t="str">
        <f>IF(D5041="","",VLOOKUP(D5041,'General Basis'!$J$39:$L$46,3,0))</f>
        <v/>
      </c>
      <c r="BG5041" s="744" t="str">
        <f t="shared" si="1749"/>
        <v/>
      </c>
      <c r="BH5041" s="744" t="str">
        <f>IF(G5041="","",IF(BF5041="Abu Dhabi",IF(G5041&lt;18,'General Basis'!$C$39,IF(G5041&lt;41,'General Basis'!$C$40,IF(G5041&lt;60,'General Basis'!$C$41,IF(G5041&lt;65,'General Basis'!$C$42,'General Basis'!$C$43)))),IF(G5041&lt;11,'General Basis'!$B$39,IF(G5041&lt;18,'General Basis'!$B$40,IF(G5041&lt;26,'General Basis'!$B$41,IF(G5041&lt;31,'General Basis'!$B$42,IF(G5041&lt;36,'General Basis'!$B$43,IF(G5041&lt;41,'General Basis'!$B$44,IF(G5041&lt;46,'General Basis'!$B$45,IF(G5041&lt;51,'General Basis'!$B$46,IF(G5041&lt;56,'General Basis'!$B$47,IF(G5041&lt;60,'General Basis'!$B$48,IF(G5041&lt;65,'General Basis'!$B$49,'General Basis'!$B$50)))))))))))))</f>
        <v/>
      </c>
      <c r="BI5041" s="744" t="str">
        <f t="shared" si="1743"/>
        <v/>
      </c>
      <c r="BJ5041" s="747" t="str">
        <f t="shared" si="1750"/>
        <v/>
      </c>
      <c r="BK5041" s="498" t="str">
        <f t="shared" si="1744"/>
        <v/>
      </c>
      <c r="BL5041" s="498" t="str">
        <f t="shared" si="1745"/>
        <v/>
      </c>
    </row>
    <row r="5042" spans="1:64" x14ac:dyDescent="0.25">
      <c r="A5042" s="762">
        <f t="shared" si="1746"/>
        <v>5037</v>
      </c>
      <c r="B5042" s="229"/>
      <c r="C5042" s="223"/>
      <c r="D5042" s="224"/>
      <c r="E5042" s="225"/>
      <c r="F5042" s="1036" t="str">
        <f t="shared" si="1752"/>
        <v/>
      </c>
      <c r="G5042" s="1037" t="str">
        <f t="shared" si="1747"/>
        <v/>
      </c>
      <c r="H5042" s="225"/>
      <c r="I5042" s="1013"/>
      <c r="J5042" s="1013"/>
      <c r="K5042" s="1028"/>
      <c r="L5042" s="1035" t="str">
        <f t="shared" si="1751"/>
        <v/>
      </c>
      <c r="S5042" s="498"/>
      <c r="AJ5042" s="498"/>
      <c r="AM5042" s="498">
        <f t="shared" si="1732"/>
        <v>0</v>
      </c>
      <c r="AN5042" s="498">
        <f t="shared" si="1733"/>
        <v>0</v>
      </c>
      <c r="AO5042" s="498">
        <f t="shared" si="1734"/>
        <v>0</v>
      </c>
      <c r="AP5042" s="498">
        <f t="shared" si="1753"/>
        <v>0</v>
      </c>
      <c r="AQ5042" s="498">
        <f t="shared" si="1748"/>
        <v>0</v>
      </c>
      <c r="AU5042" s="498">
        <f t="shared" si="1735"/>
        <v>0</v>
      </c>
      <c r="AV5042" s="498">
        <f t="shared" si="1736"/>
        <v>0</v>
      </c>
      <c r="AW5042" s="498">
        <f t="shared" si="1737"/>
        <v>0</v>
      </c>
      <c r="AX5042" s="498">
        <f t="shared" si="1738"/>
        <v>0</v>
      </c>
      <c r="AY5042" s="498">
        <f t="shared" si="1739"/>
        <v>0</v>
      </c>
      <c r="BB5042" s="498" t="str">
        <f t="shared" si="1740"/>
        <v/>
      </c>
      <c r="BC5042" s="743" t="str">
        <f t="shared" si="1741"/>
        <v/>
      </c>
      <c r="BD5042" s="743" t="str">
        <f t="shared" si="1742"/>
        <v/>
      </c>
      <c r="BE5042" s="743" t="str">
        <f>IF(D5042="","",VLOOKUP(D5042,'General Basis'!$J$39:$K$46,2,0))</f>
        <v/>
      </c>
      <c r="BF5042" s="744" t="str">
        <f>IF(D5042="","",VLOOKUP(D5042,'General Basis'!$J$39:$L$46,3,0))</f>
        <v/>
      </c>
      <c r="BG5042" s="744" t="str">
        <f t="shared" si="1749"/>
        <v/>
      </c>
      <c r="BH5042" s="744" t="str">
        <f>IF(G5042="","",IF(BF5042="Abu Dhabi",IF(G5042&lt;18,'General Basis'!$C$39,IF(G5042&lt;41,'General Basis'!$C$40,IF(G5042&lt;60,'General Basis'!$C$41,IF(G5042&lt;65,'General Basis'!$C$42,'General Basis'!$C$43)))),IF(G5042&lt;11,'General Basis'!$B$39,IF(G5042&lt;18,'General Basis'!$B$40,IF(G5042&lt;26,'General Basis'!$B$41,IF(G5042&lt;31,'General Basis'!$B$42,IF(G5042&lt;36,'General Basis'!$B$43,IF(G5042&lt;41,'General Basis'!$B$44,IF(G5042&lt;46,'General Basis'!$B$45,IF(G5042&lt;51,'General Basis'!$B$46,IF(G5042&lt;56,'General Basis'!$B$47,IF(G5042&lt;60,'General Basis'!$B$48,IF(G5042&lt;65,'General Basis'!$B$49,'General Basis'!$B$50)))))))))))))</f>
        <v/>
      </c>
      <c r="BI5042" s="744" t="str">
        <f t="shared" si="1743"/>
        <v/>
      </c>
      <c r="BJ5042" s="747" t="str">
        <f t="shared" si="1750"/>
        <v/>
      </c>
      <c r="BK5042" s="498" t="str">
        <f t="shared" si="1744"/>
        <v/>
      </c>
      <c r="BL5042" s="498" t="str">
        <f t="shared" si="1745"/>
        <v/>
      </c>
    </row>
    <row r="5043" spans="1:64" x14ac:dyDescent="0.25">
      <c r="A5043" s="762">
        <f t="shared" si="1746"/>
        <v>5038</v>
      </c>
      <c r="B5043" s="229"/>
      <c r="C5043" s="223"/>
      <c r="D5043" s="224"/>
      <c r="E5043" s="225"/>
      <c r="F5043" s="1036" t="str">
        <f t="shared" si="1752"/>
        <v/>
      </c>
      <c r="G5043" s="1037" t="str">
        <f t="shared" si="1747"/>
        <v/>
      </c>
      <c r="H5043" s="225"/>
      <c r="I5043" s="1013"/>
      <c r="J5043" s="1013"/>
      <c r="K5043" s="1028"/>
      <c r="L5043" s="1035" t="str">
        <f t="shared" si="1751"/>
        <v/>
      </c>
      <c r="S5043" s="498"/>
      <c r="AJ5043" s="498"/>
      <c r="AM5043" s="498">
        <f t="shared" si="1732"/>
        <v>0</v>
      </c>
      <c r="AN5043" s="498">
        <f t="shared" si="1733"/>
        <v>0</v>
      </c>
      <c r="AO5043" s="498">
        <f t="shared" si="1734"/>
        <v>0</v>
      </c>
      <c r="AP5043" s="498">
        <f t="shared" si="1753"/>
        <v>0</v>
      </c>
      <c r="AQ5043" s="498">
        <f t="shared" si="1748"/>
        <v>0</v>
      </c>
      <c r="AU5043" s="498">
        <f t="shared" si="1735"/>
        <v>0</v>
      </c>
      <c r="AV5043" s="498">
        <f t="shared" si="1736"/>
        <v>0</v>
      </c>
      <c r="AW5043" s="498">
        <f t="shared" si="1737"/>
        <v>0</v>
      </c>
      <c r="AX5043" s="498">
        <f t="shared" si="1738"/>
        <v>0</v>
      </c>
      <c r="AY5043" s="498">
        <f t="shared" si="1739"/>
        <v>0</v>
      </c>
      <c r="BB5043" s="498" t="str">
        <f t="shared" si="1740"/>
        <v/>
      </c>
      <c r="BC5043" s="743" t="str">
        <f t="shared" si="1741"/>
        <v/>
      </c>
      <c r="BD5043" s="743" t="str">
        <f t="shared" si="1742"/>
        <v/>
      </c>
      <c r="BE5043" s="743" t="str">
        <f>IF(D5043="","",VLOOKUP(D5043,'General Basis'!$J$39:$K$46,2,0))</f>
        <v/>
      </c>
      <c r="BF5043" s="744" t="str">
        <f>IF(D5043="","",VLOOKUP(D5043,'General Basis'!$J$39:$L$46,3,0))</f>
        <v/>
      </c>
      <c r="BG5043" s="744" t="str">
        <f t="shared" si="1749"/>
        <v/>
      </c>
      <c r="BH5043" s="744" t="str">
        <f>IF(G5043="","",IF(BF5043="Abu Dhabi",IF(G5043&lt;18,'General Basis'!$C$39,IF(G5043&lt;41,'General Basis'!$C$40,IF(G5043&lt;60,'General Basis'!$C$41,IF(G5043&lt;65,'General Basis'!$C$42,'General Basis'!$C$43)))),IF(G5043&lt;11,'General Basis'!$B$39,IF(G5043&lt;18,'General Basis'!$B$40,IF(G5043&lt;26,'General Basis'!$B$41,IF(G5043&lt;31,'General Basis'!$B$42,IF(G5043&lt;36,'General Basis'!$B$43,IF(G5043&lt;41,'General Basis'!$B$44,IF(G5043&lt;46,'General Basis'!$B$45,IF(G5043&lt;51,'General Basis'!$B$46,IF(G5043&lt;56,'General Basis'!$B$47,IF(G5043&lt;60,'General Basis'!$B$48,IF(G5043&lt;65,'General Basis'!$B$49,'General Basis'!$B$50)))))))))))))</f>
        <v/>
      </c>
      <c r="BI5043" s="744" t="str">
        <f t="shared" si="1743"/>
        <v/>
      </c>
      <c r="BJ5043" s="747" t="str">
        <f t="shared" si="1750"/>
        <v/>
      </c>
      <c r="BK5043" s="498" t="str">
        <f t="shared" si="1744"/>
        <v/>
      </c>
      <c r="BL5043" s="498" t="str">
        <f t="shared" si="1745"/>
        <v/>
      </c>
    </row>
    <row r="5044" spans="1:64" x14ac:dyDescent="0.25">
      <c r="A5044" s="762">
        <f t="shared" si="1746"/>
        <v>5039</v>
      </c>
      <c r="B5044" s="229"/>
      <c r="C5044" s="223"/>
      <c r="D5044" s="224"/>
      <c r="E5044" s="225"/>
      <c r="F5044" s="1036" t="str">
        <f t="shared" si="1752"/>
        <v/>
      </c>
      <c r="G5044" s="1037" t="str">
        <f t="shared" si="1747"/>
        <v/>
      </c>
      <c r="H5044" s="225"/>
      <c r="I5044" s="1013"/>
      <c r="J5044" s="1013"/>
      <c r="K5044" s="1028"/>
      <c r="L5044" s="1035" t="str">
        <f t="shared" si="1751"/>
        <v/>
      </c>
      <c r="S5044" s="498"/>
      <c r="AJ5044" s="498"/>
      <c r="AM5044" s="498">
        <f t="shared" si="1732"/>
        <v>0</v>
      </c>
      <c r="AN5044" s="498">
        <f t="shared" si="1733"/>
        <v>0</v>
      </c>
      <c r="AO5044" s="498">
        <f t="shared" si="1734"/>
        <v>0</v>
      </c>
      <c r="AP5044" s="498">
        <f t="shared" si="1753"/>
        <v>0</v>
      </c>
      <c r="AQ5044" s="498">
        <f t="shared" si="1748"/>
        <v>0</v>
      </c>
      <c r="AU5044" s="498">
        <f t="shared" si="1735"/>
        <v>0</v>
      </c>
      <c r="AV5044" s="498">
        <f t="shared" si="1736"/>
        <v>0</v>
      </c>
      <c r="AW5044" s="498">
        <f t="shared" si="1737"/>
        <v>0</v>
      </c>
      <c r="AX5044" s="498">
        <f t="shared" si="1738"/>
        <v>0</v>
      </c>
      <c r="AY5044" s="498">
        <f t="shared" si="1739"/>
        <v>0</v>
      </c>
      <c r="BB5044" s="498" t="str">
        <f t="shared" si="1740"/>
        <v/>
      </c>
      <c r="BC5044" s="743" t="str">
        <f t="shared" si="1741"/>
        <v/>
      </c>
      <c r="BD5044" s="743" t="str">
        <f t="shared" si="1742"/>
        <v/>
      </c>
      <c r="BE5044" s="743" t="str">
        <f>IF(D5044="","",VLOOKUP(D5044,'General Basis'!$J$39:$K$46,2,0))</f>
        <v/>
      </c>
      <c r="BF5044" s="744" t="str">
        <f>IF(D5044="","",VLOOKUP(D5044,'General Basis'!$J$39:$L$46,3,0))</f>
        <v/>
      </c>
      <c r="BG5044" s="744" t="str">
        <f t="shared" si="1749"/>
        <v/>
      </c>
      <c r="BH5044" s="744" t="str">
        <f>IF(G5044="","",IF(BF5044="Abu Dhabi",IF(G5044&lt;18,'General Basis'!$C$39,IF(G5044&lt;41,'General Basis'!$C$40,IF(G5044&lt;60,'General Basis'!$C$41,IF(G5044&lt;65,'General Basis'!$C$42,'General Basis'!$C$43)))),IF(G5044&lt;11,'General Basis'!$B$39,IF(G5044&lt;18,'General Basis'!$B$40,IF(G5044&lt;26,'General Basis'!$B$41,IF(G5044&lt;31,'General Basis'!$B$42,IF(G5044&lt;36,'General Basis'!$B$43,IF(G5044&lt;41,'General Basis'!$B$44,IF(G5044&lt;46,'General Basis'!$B$45,IF(G5044&lt;51,'General Basis'!$B$46,IF(G5044&lt;56,'General Basis'!$B$47,IF(G5044&lt;60,'General Basis'!$B$48,IF(G5044&lt;65,'General Basis'!$B$49,'General Basis'!$B$50)))))))))))))</f>
        <v/>
      </c>
      <c r="BI5044" s="744" t="str">
        <f t="shared" si="1743"/>
        <v/>
      </c>
      <c r="BJ5044" s="747" t="str">
        <f t="shared" si="1750"/>
        <v/>
      </c>
      <c r="BK5044" s="498" t="str">
        <f t="shared" si="1744"/>
        <v/>
      </c>
      <c r="BL5044" s="498" t="str">
        <f t="shared" si="1745"/>
        <v/>
      </c>
    </row>
    <row r="5045" spans="1:64" x14ac:dyDescent="0.25">
      <c r="A5045" s="762">
        <f t="shared" si="1746"/>
        <v>5040</v>
      </c>
      <c r="B5045" s="229"/>
      <c r="C5045" s="223"/>
      <c r="D5045" s="224"/>
      <c r="E5045" s="225"/>
      <c r="F5045" s="1036" t="str">
        <f t="shared" si="1752"/>
        <v/>
      </c>
      <c r="G5045" s="1037" t="str">
        <f t="shared" si="1747"/>
        <v/>
      </c>
      <c r="H5045" s="225"/>
      <c r="I5045" s="1013"/>
      <c r="J5045" s="1013"/>
      <c r="K5045" s="1028"/>
      <c r="L5045" s="1035" t="str">
        <f t="shared" si="1751"/>
        <v/>
      </c>
      <c r="S5045" s="498"/>
      <c r="AJ5045" s="498"/>
      <c r="AM5045" s="498">
        <f t="shared" si="1732"/>
        <v>0</v>
      </c>
      <c r="AN5045" s="498">
        <f t="shared" si="1733"/>
        <v>0</v>
      </c>
      <c r="AO5045" s="498">
        <f t="shared" si="1734"/>
        <v>0</v>
      </c>
      <c r="AP5045" s="498">
        <f t="shared" si="1753"/>
        <v>0</v>
      </c>
      <c r="AQ5045" s="498">
        <f t="shared" si="1748"/>
        <v>0</v>
      </c>
      <c r="AU5045" s="498">
        <f t="shared" si="1735"/>
        <v>0</v>
      </c>
      <c r="AV5045" s="498">
        <f t="shared" si="1736"/>
        <v>0</v>
      </c>
      <c r="AW5045" s="498">
        <f t="shared" si="1737"/>
        <v>0</v>
      </c>
      <c r="AX5045" s="498">
        <f t="shared" si="1738"/>
        <v>0</v>
      </c>
      <c r="AY5045" s="498">
        <f t="shared" si="1739"/>
        <v>0</v>
      </c>
      <c r="BB5045" s="498" t="str">
        <f t="shared" si="1740"/>
        <v/>
      </c>
      <c r="BC5045" s="743" t="str">
        <f t="shared" si="1741"/>
        <v/>
      </c>
      <c r="BD5045" s="743" t="str">
        <f t="shared" si="1742"/>
        <v/>
      </c>
      <c r="BE5045" s="743" t="str">
        <f>IF(D5045="","",VLOOKUP(D5045,'General Basis'!$J$39:$K$46,2,0))</f>
        <v/>
      </c>
      <c r="BF5045" s="744" t="str">
        <f>IF(D5045="","",VLOOKUP(D5045,'General Basis'!$J$39:$L$46,3,0))</f>
        <v/>
      </c>
      <c r="BG5045" s="744" t="str">
        <f t="shared" si="1749"/>
        <v/>
      </c>
      <c r="BH5045" s="744" t="str">
        <f>IF(G5045="","",IF(BF5045="Abu Dhabi",IF(G5045&lt;18,'General Basis'!$C$39,IF(G5045&lt;41,'General Basis'!$C$40,IF(G5045&lt;60,'General Basis'!$C$41,IF(G5045&lt;65,'General Basis'!$C$42,'General Basis'!$C$43)))),IF(G5045&lt;11,'General Basis'!$B$39,IF(G5045&lt;18,'General Basis'!$B$40,IF(G5045&lt;26,'General Basis'!$B$41,IF(G5045&lt;31,'General Basis'!$B$42,IF(G5045&lt;36,'General Basis'!$B$43,IF(G5045&lt;41,'General Basis'!$B$44,IF(G5045&lt;46,'General Basis'!$B$45,IF(G5045&lt;51,'General Basis'!$B$46,IF(G5045&lt;56,'General Basis'!$B$47,IF(G5045&lt;60,'General Basis'!$B$48,IF(G5045&lt;65,'General Basis'!$B$49,'General Basis'!$B$50)))))))))))))</f>
        <v/>
      </c>
      <c r="BI5045" s="744" t="str">
        <f t="shared" si="1743"/>
        <v/>
      </c>
      <c r="BJ5045" s="747" t="str">
        <f t="shared" si="1750"/>
        <v/>
      </c>
      <c r="BK5045" s="498" t="str">
        <f t="shared" si="1744"/>
        <v/>
      </c>
      <c r="BL5045" s="498" t="str">
        <f t="shared" si="1745"/>
        <v/>
      </c>
    </row>
    <row r="5046" spans="1:64" x14ac:dyDescent="0.25">
      <c r="A5046" s="762">
        <f t="shared" si="1746"/>
        <v>5041</v>
      </c>
      <c r="B5046" s="229"/>
      <c r="C5046" s="223"/>
      <c r="D5046" s="224"/>
      <c r="E5046" s="225"/>
      <c r="F5046" s="1036" t="str">
        <f t="shared" si="1752"/>
        <v/>
      </c>
      <c r="G5046" s="1037" t="str">
        <f t="shared" si="1747"/>
        <v/>
      </c>
      <c r="H5046" s="225"/>
      <c r="I5046" s="1013"/>
      <c r="J5046" s="1013"/>
      <c r="K5046" s="1028"/>
      <c r="L5046" s="1035" t="str">
        <f t="shared" si="1751"/>
        <v/>
      </c>
      <c r="S5046" s="498"/>
      <c r="AJ5046" s="498"/>
      <c r="AM5046" s="498">
        <f t="shared" si="1732"/>
        <v>0</v>
      </c>
      <c r="AN5046" s="498">
        <f t="shared" si="1733"/>
        <v>0</v>
      </c>
      <c r="AO5046" s="498">
        <f t="shared" si="1734"/>
        <v>0</v>
      </c>
      <c r="AP5046" s="498">
        <f t="shared" si="1753"/>
        <v>0</v>
      </c>
      <c r="AQ5046" s="498">
        <f t="shared" si="1748"/>
        <v>0</v>
      </c>
      <c r="AU5046" s="498">
        <f t="shared" si="1735"/>
        <v>0</v>
      </c>
      <c r="AV5046" s="498">
        <f t="shared" si="1736"/>
        <v>0</v>
      </c>
      <c r="AW5046" s="498">
        <f t="shared" si="1737"/>
        <v>0</v>
      </c>
      <c r="AX5046" s="498">
        <f t="shared" si="1738"/>
        <v>0</v>
      </c>
      <c r="AY5046" s="498">
        <f t="shared" si="1739"/>
        <v>0</v>
      </c>
      <c r="BB5046" s="498" t="str">
        <f t="shared" si="1740"/>
        <v/>
      </c>
      <c r="BC5046" s="743" t="str">
        <f t="shared" si="1741"/>
        <v/>
      </c>
      <c r="BD5046" s="743" t="str">
        <f t="shared" si="1742"/>
        <v/>
      </c>
      <c r="BE5046" s="743" t="str">
        <f>IF(D5046="","",VLOOKUP(D5046,'General Basis'!$J$39:$K$46,2,0))</f>
        <v/>
      </c>
      <c r="BF5046" s="744" t="str">
        <f>IF(D5046="","",VLOOKUP(D5046,'General Basis'!$J$39:$L$46,3,0))</f>
        <v/>
      </c>
      <c r="BG5046" s="744" t="str">
        <f t="shared" si="1749"/>
        <v/>
      </c>
      <c r="BH5046" s="744" t="str">
        <f>IF(G5046="","",IF(BF5046="Abu Dhabi",IF(G5046&lt;18,'General Basis'!$C$39,IF(G5046&lt;41,'General Basis'!$C$40,IF(G5046&lt;60,'General Basis'!$C$41,IF(G5046&lt;65,'General Basis'!$C$42,'General Basis'!$C$43)))),IF(G5046&lt;11,'General Basis'!$B$39,IF(G5046&lt;18,'General Basis'!$B$40,IF(G5046&lt;26,'General Basis'!$B$41,IF(G5046&lt;31,'General Basis'!$B$42,IF(G5046&lt;36,'General Basis'!$B$43,IF(G5046&lt;41,'General Basis'!$B$44,IF(G5046&lt;46,'General Basis'!$B$45,IF(G5046&lt;51,'General Basis'!$B$46,IF(G5046&lt;56,'General Basis'!$B$47,IF(G5046&lt;60,'General Basis'!$B$48,IF(G5046&lt;65,'General Basis'!$B$49,'General Basis'!$B$50)))))))))))))</f>
        <v/>
      </c>
      <c r="BI5046" s="744" t="str">
        <f t="shared" si="1743"/>
        <v/>
      </c>
      <c r="BJ5046" s="747" t="str">
        <f t="shared" si="1750"/>
        <v/>
      </c>
      <c r="BK5046" s="498" t="str">
        <f t="shared" si="1744"/>
        <v/>
      </c>
      <c r="BL5046" s="498" t="str">
        <f t="shared" si="1745"/>
        <v/>
      </c>
    </row>
    <row r="5047" spans="1:64" x14ac:dyDescent="0.25">
      <c r="A5047" s="762">
        <f t="shared" si="1746"/>
        <v>5042</v>
      </c>
      <c r="B5047" s="229"/>
      <c r="C5047" s="223"/>
      <c r="D5047" s="224"/>
      <c r="E5047" s="225"/>
      <c r="F5047" s="1036" t="str">
        <f t="shared" si="1752"/>
        <v/>
      </c>
      <c r="G5047" s="1037" t="str">
        <f t="shared" si="1747"/>
        <v/>
      </c>
      <c r="H5047" s="225"/>
      <c r="I5047" s="1013"/>
      <c r="J5047" s="1013"/>
      <c r="K5047" s="1028"/>
      <c r="L5047" s="1035" t="str">
        <f t="shared" si="1751"/>
        <v/>
      </c>
      <c r="S5047" s="498"/>
      <c r="AJ5047" s="498"/>
      <c r="AM5047" s="498">
        <f t="shared" si="1732"/>
        <v>0</v>
      </c>
      <c r="AN5047" s="498">
        <f t="shared" si="1733"/>
        <v>0</v>
      </c>
      <c r="AO5047" s="498">
        <f t="shared" si="1734"/>
        <v>0</v>
      </c>
      <c r="AP5047" s="498">
        <f t="shared" si="1753"/>
        <v>0</v>
      </c>
      <c r="AQ5047" s="498">
        <f t="shared" si="1748"/>
        <v>0</v>
      </c>
      <c r="AU5047" s="498">
        <f t="shared" si="1735"/>
        <v>0</v>
      </c>
      <c r="AV5047" s="498">
        <f t="shared" si="1736"/>
        <v>0</v>
      </c>
      <c r="AW5047" s="498">
        <f t="shared" si="1737"/>
        <v>0</v>
      </c>
      <c r="AX5047" s="498">
        <f t="shared" si="1738"/>
        <v>0</v>
      </c>
      <c r="AY5047" s="498">
        <f t="shared" si="1739"/>
        <v>0</v>
      </c>
      <c r="BB5047" s="498" t="str">
        <f t="shared" si="1740"/>
        <v/>
      </c>
      <c r="BC5047" s="743" t="str">
        <f t="shared" si="1741"/>
        <v/>
      </c>
      <c r="BD5047" s="743" t="str">
        <f t="shared" si="1742"/>
        <v/>
      </c>
      <c r="BE5047" s="743" t="str">
        <f>IF(D5047="","",VLOOKUP(D5047,'General Basis'!$J$39:$K$46,2,0))</f>
        <v/>
      </c>
      <c r="BF5047" s="744" t="str">
        <f>IF(D5047="","",VLOOKUP(D5047,'General Basis'!$J$39:$L$46,3,0))</f>
        <v/>
      </c>
      <c r="BG5047" s="744" t="str">
        <f t="shared" si="1749"/>
        <v/>
      </c>
      <c r="BH5047" s="744" t="str">
        <f>IF(G5047="","",IF(BF5047="Abu Dhabi",IF(G5047&lt;18,'General Basis'!$C$39,IF(G5047&lt;41,'General Basis'!$C$40,IF(G5047&lt;60,'General Basis'!$C$41,IF(G5047&lt;65,'General Basis'!$C$42,'General Basis'!$C$43)))),IF(G5047&lt;11,'General Basis'!$B$39,IF(G5047&lt;18,'General Basis'!$B$40,IF(G5047&lt;26,'General Basis'!$B$41,IF(G5047&lt;31,'General Basis'!$B$42,IF(G5047&lt;36,'General Basis'!$B$43,IF(G5047&lt;41,'General Basis'!$B$44,IF(G5047&lt;46,'General Basis'!$B$45,IF(G5047&lt;51,'General Basis'!$B$46,IF(G5047&lt;56,'General Basis'!$B$47,IF(G5047&lt;60,'General Basis'!$B$48,IF(G5047&lt;65,'General Basis'!$B$49,'General Basis'!$B$50)))))))))))))</f>
        <v/>
      </c>
      <c r="BI5047" s="744" t="str">
        <f t="shared" si="1743"/>
        <v/>
      </c>
      <c r="BJ5047" s="747" t="str">
        <f t="shared" si="1750"/>
        <v/>
      </c>
      <c r="BK5047" s="498" t="str">
        <f t="shared" si="1744"/>
        <v/>
      </c>
      <c r="BL5047" s="498" t="str">
        <f t="shared" si="1745"/>
        <v/>
      </c>
    </row>
    <row r="5048" spans="1:64" x14ac:dyDescent="0.25">
      <c r="A5048" s="762">
        <f t="shared" si="1746"/>
        <v>5043</v>
      </c>
      <c r="B5048" s="229"/>
      <c r="C5048" s="223"/>
      <c r="D5048" s="224"/>
      <c r="E5048" s="225"/>
      <c r="F5048" s="1036" t="str">
        <f t="shared" si="1752"/>
        <v/>
      </c>
      <c r="G5048" s="1037" t="str">
        <f t="shared" si="1747"/>
        <v/>
      </c>
      <c r="H5048" s="225"/>
      <c r="I5048" s="1013"/>
      <c r="J5048" s="1013"/>
      <c r="K5048" s="1028"/>
      <c r="L5048" s="1035" t="str">
        <f t="shared" si="1751"/>
        <v/>
      </c>
      <c r="S5048" s="498"/>
      <c r="AJ5048" s="498"/>
      <c r="AM5048" s="498">
        <f t="shared" si="1732"/>
        <v>0</v>
      </c>
      <c r="AN5048" s="498">
        <f t="shared" si="1733"/>
        <v>0</v>
      </c>
      <c r="AO5048" s="498">
        <f t="shared" si="1734"/>
        <v>0</v>
      </c>
      <c r="AP5048" s="498">
        <f t="shared" si="1753"/>
        <v>0</v>
      </c>
      <c r="AQ5048" s="498">
        <f t="shared" si="1748"/>
        <v>0</v>
      </c>
      <c r="AU5048" s="498">
        <f t="shared" si="1735"/>
        <v>0</v>
      </c>
      <c r="AV5048" s="498">
        <f t="shared" si="1736"/>
        <v>0</v>
      </c>
      <c r="AW5048" s="498">
        <f t="shared" si="1737"/>
        <v>0</v>
      </c>
      <c r="AX5048" s="498">
        <f t="shared" si="1738"/>
        <v>0</v>
      </c>
      <c r="AY5048" s="498">
        <f t="shared" si="1739"/>
        <v>0</v>
      </c>
      <c r="BB5048" s="498" t="str">
        <f t="shared" si="1740"/>
        <v/>
      </c>
      <c r="BC5048" s="743" t="str">
        <f t="shared" si="1741"/>
        <v/>
      </c>
      <c r="BD5048" s="743" t="str">
        <f t="shared" si="1742"/>
        <v/>
      </c>
      <c r="BE5048" s="743" t="str">
        <f>IF(D5048="","",VLOOKUP(D5048,'General Basis'!$J$39:$K$46,2,0))</f>
        <v/>
      </c>
      <c r="BF5048" s="744" t="str">
        <f>IF(D5048="","",VLOOKUP(D5048,'General Basis'!$J$39:$L$46,3,0))</f>
        <v/>
      </c>
      <c r="BG5048" s="744" t="str">
        <f t="shared" si="1749"/>
        <v/>
      </c>
      <c r="BH5048" s="744" t="str">
        <f>IF(G5048="","",IF(BF5048="Abu Dhabi",IF(G5048&lt;18,'General Basis'!$C$39,IF(G5048&lt;41,'General Basis'!$C$40,IF(G5048&lt;60,'General Basis'!$C$41,IF(G5048&lt;65,'General Basis'!$C$42,'General Basis'!$C$43)))),IF(G5048&lt;11,'General Basis'!$B$39,IF(G5048&lt;18,'General Basis'!$B$40,IF(G5048&lt;26,'General Basis'!$B$41,IF(G5048&lt;31,'General Basis'!$B$42,IF(G5048&lt;36,'General Basis'!$B$43,IF(G5048&lt;41,'General Basis'!$B$44,IF(G5048&lt;46,'General Basis'!$B$45,IF(G5048&lt;51,'General Basis'!$B$46,IF(G5048&lt;56,'General Basis'!$B$47,IF(G5048&lt;60,'General Basis'!$B$48,IF(G5048&lt;65,'General Basis'!$B$49,'General Basis'!$B$50)))))))))))))</f>
        <v/>
      </c>
      <c r="BI5048" s="744" t="str">
        <f t="shared" si="1743"/>
        <v/>
      </c>
      <c r="BJ5048" s="747" t="str">
        <f t="shared" si="1750"/>
        <v/>
      </c>
      <c r="BK5048" s="498" t="str">
        <f t="shared" si="1744"/>
        <v/>
      </c>
      <c r="BL5048" s="498" t="str">
        <f t="shared" si="1745"/>
        <v/>
      </c>
    </row>
    <row r="5049" spans="1:64" x14ac:dyDescent="0.25">
      <c r="A5049" s="762">
        <f t="shared" si="1746"/>
        <v>5044</v>
      </c>
      <c r="B5049" s="229"/>
      <c r="C5049" s="223"/>
      <c r="D5049" s="224"/>
      <c r="E5049" s="225"/>
      <c r="F5049" s="1036" t="str">
        <f t="shared" si="1752"/>
        <v/>
      </c>
      <c r="G5049" s="1037" t="str">
        <f t="shared" si="1747"/>
        <v/>
      </c>
      <c r="H5049" s="225"/>
      <c r="I5049" s="1013"/>
      <c r="J5049" s="1013"/>
      <c r="K5049" s="1028"/>
      <c r="L5049" s="1035" t="str">
        <f t="shared" si="1751"/>
        <v/>
      </c>
      <c r="S5049" s="498"/>
      <c r="AJ5049" s="498"/>
      <c r="AM5049" s="498">
        <f t="shared" si="1732"/>
        <v>0</v>
      </c>
      <c r="AN5049" s="498">
        <f t="shared" si="1733"/>
        <v>0</v>
      </c>
      <c r="AO5049" s="498">
        <f t="shared" si="1734"/>
        <v>0</v>
      </c>
      <c r="AP5049" s="498">
        <f t="shared" si="1753"/>
        <v>0</v>
      </c>
      <c r="AQ5049" s="498">
        <f t="shared" si="1748"/>
        <v>0</v>
      </c>
      <c r="AU5049" s="498">
        <f t="shared" si="1735"/>
        <v>0</v>
      </c>
      <c r="AV5049" s="498">
        <f t="shared" si="1736"/>
        <v>0</v>
      </c>
      <c r="AW5049" s="498">
        <f t="shared" si="1737"/>
        <v>0</v>
      </c>
      <c r="AX5049" s="498">
        <f t="shared" si="1738"/>
        <v>0</v>
      </c>
      <c r="AY5049" s="498">
        <f t="shared" si="1739"/>
        <v>0</v>
      </c>
      <c r="BB5049" s="498" t="str">
        <f t="shared" si="1740"/>
        <v/>
      </c>
      <c r="BC5049" s="743" t="str">
        <f t="shared" si="1741"/>
        <v/>
      </c>
      <c r="BD5049" s="743" t="str">
        <f t="shared" si="1742"/>
        <v/>
      </c>
      <c r="BE5049" s="743" t="str">
        <f>IF(D5049="","",VLOOKUP(D5049,'General Basis'!$J$39:$K$46,2,0))</f>
        <v/>
      </c>
      <c r="BF5049" s="744" t="str">
        <f>IF(D5049="","",VLOOKUP(D5049,'General Basis'!$J$39:$L$46,3,0))</f>
        <v/>
      </c>
      <c r="BG5049" s="744" t="str">
        <f t="shared" si="1749"/>
        <v/>
      </c>
      <c r="BH5049" s="744" t="str">
        <f>IF(G5049="","",IF(BF5049="Abu Dhabi",IF(G5049&lt;18,'General Basis'!$C$39,IF(G5049&lt;41,'General Basis'!$C$40,IF(G5049&lt;60,'General Basis'!$C$41,IF(G5049&lt;65,'General Basis'!$C$42,'General Basis'!$C$43)))),IF(G5049&lt;11,'General Basis'!$B$39,IF(G5049&lt;18,'General Basis'!$B$40,IF(G5049&lt;26,'General Basis'!$B$41,IF(G5049&lt;31,'General Basis'!$B$42,IF(G5049&lt;36,'General Basis'!$B$43,IF(G5049&lt;41,'General Basis'!$B$44,IF(G5049&lt;46,'General Basis'!$B$45,IF(G5049&lt;51,'General Basis'!$B$46,IF(G5049&lt;56,'General Basis'!$B$47,IF(G5049&lt;60,'General Basis'!$B$48,IF(G5049&lt;65,'General Basis'!$B$49,'General Basis'!$B$50)))))))))))))</f>
        <v/>
      </c>
      <c r="BI5049" s="744" t="str">
        <f t="shared" si="1743"/>
        <v/>
      </c>
      <c r="BJ5049" s="747" t="str">
        <f t="shared" si="1750"/>
        <v/>
      </c>
      <c r="BK5049" s="498" t="str">
        <f t="shared" si="1744"/>
        <v/>
      </c>
      <c r="BL5049" s="498" t="str">
        <f t="shared" si="1745"/>
        <v/>
      </c>
    </row>
    <row r="5050" spans="1:64" x14ac:dyDescent="0.25">
      <c r="A5050" s="762">
        <f t="shared" si="1746"/>
        <v>5045</v>
      </c>
      <c r="B5050" s="229"/>
      <c r="C5050" s="223"/>
      <c r="D5050" s="224"/>
      <c r="E5050" s="225"/>
      <c r="F5050" s="1036" t="str">
        <f t="shared" si="1752"/>
        <v/>
      </c>
      <c r="G5050" s="1037" t="str">
        <f t="shared" si="1747"/>
        <v/>
      </c>
      <c r="H5050" s="225"/>
      <c r="I5050" s="1013"/>
      <c r="J5050" s="1013"/>
      <c r="K5050" s="1028"/>
      <c r="L5050" s="1035" t="str">
        <f t="shared" si="1751"/>
        <v/>
      </c>
      <c r="S5050" s="498"/>
      <c r="AJ5050" s="498"/>
      <c r="AM5050" s="498">
        <f t="shared" si="1732"/>
        <v>0</v>
      </c>
      <c r="AN5050" s="498">
        <f t="shared" si="1733"/>
        <v>0</v>
      </c>
      <c r="AO5050" s="498">
        <f t="shared" si="1734"/>
        <v>0</v>
      </c>
      <c r="AP5050" s="498">
        <f t="shared" si="1753"/>
        <v>0</v>
      </c>
      <c r="AQ5050" s="498">
        <f t="shared" si="1748"/>
        <v>0</v>
      </c>
      <c r="AU5050" s="498">
        <f t="shared" si="1735"/>
        <v>0</v>
      </c>
      <c r="AV5050" s="498">
        <f t="shared" si="1736"/>
        <v>0</v>
      </c>
      <c r="AW5050" s="498">
        <f t="shared" si="1737"/>
        <v>0</v>
      </c>
      <c r="AX5050" s="498">
        <f t="shared" si="1738"/>
        <v>0</v>
      </c>
      <c r="AY5050" s="498">
        <f t="shared" si="1739"/>
        <v>0</v>
      </c>
      <c r="BB5050" s="498" t="str">
        <f t="shared" si="1740"/>
        <v/>
      </c>
      <c r="BC5050" s="743" t="str">
        <f t="shared" si="1741"/>
        <v/>
      </c>
      <c r="BD5050" s="743" t="str">
        <f t="shared" si="1742"/>
        <v/>
      </c>
      <c r="BE5050" s="743" t="str">
        <f>IF(D5050="","",VLOOKUP(D5050,'General Basis'!$J$39:$K$46,2,0))</f>
        <v/>
      </c>
      <c r="BF5050" s="744" t="str">
        <f>IF(D5050="","",VLOOKUP(D5050,'General Basis'!$J$39:$L$46,3,0))</f>
        <v/>
      </c>
      <c r="BG5050" s="744" t="str">
        <f t="shared" si="1749"/>
        <v/>
      </c>
      <c r="BH5050" s="744" t="str">
        <f>IF(G5050="","",IF(BF5050="Abu Dhabi",IF(G5050&lt;18,'General Basis'!$C$39,IF(G5050&lt;41,'General Basis'!$C$40,IF(G5050&lt;60,'General Basis'!$C$41,IF(G5050&lt;65,'General Basis'!$C$42,'General Basis'!$C$43)))),IF(G5050&lt;11,'General Basis'!$B$39,IF(G5050&lt;18,'General Basis'!$B$40,IF(G5050&lt;26,'General Basis'!$B$41,IF(G5050&lt;31,'General Basis'!$B$42,IF(G5050&lt;36,'General Basis'!$B$43,IF(G5050&lt;41,'General Basis'!$B$44,IF(G5050&lt;46,'General Basis'!$B$45,IF(G5050&lt;51,'General Basis'!$B$46,IF(G5050&lt;56,'General Basis'!$B$47,IF(G5050&lt;60,'General Basis'!$B$48,IF(G5050&lt;65,'General Basis'!$B$49,'General Basis'!$B$50)))))))))))))</f>
        <v/>
      </c>
      <c r="BI5050" s="744" t="str">
        <f t="shared" si="1743"/>
        <v/>
      </c>
      <c r="BJ5050" s="747" t="str">
        <f t="shared" si="1750"/>
        <v/>
      </c>
      <c r="BK5050" s="498" t="str">
        <f t="shared" si="1744"/>
        <v/>
      </c>
      <c r="BL5050" s="498" t="str">
        <f t="shared" si="1745"/>
        <v/>
      </c>
    </row>
    <row r="5051" spans="1:64" x14ac:dyDescent="0.25">
      <c r="A5051" s="762">
        <f t="shared" si="1746"/>
        <v>5046</v>
      </c>
      <c r="B5051" s="229"/>
      <c r="C5051" s="223"/>
      <c r="D5051" s="224"/>
      <c r="E5051" s="225"/>
      <c r="F5051" s="1036" t="str">
        <f t="shared" si="1752"/>
        <v/>
      </c>
      <c r="G5051" s="1037" t="str">
        <f t="shared" si="1747"/>
        <v/>
      </c>
      <c r="H5051" s="225"/>
      <c r="I5051" s="1013"/>
      <c r="J5051" s="1013"/>
      <c r="K5051" s="1028"/>
      <c r="L5051" s="1035" t="str">
        <f t="shared" si="1751"/>
        <v/>
      </c>
      <c r="S5051" s="498"/>
      <c r="AJ5051" s="498"/>
      <c r="AM5051" s="498">
        <f t="shared" si="1732"/>
        <v>0</v>
      </c>
      <c r="AN5051" s="498">
        <f t="shared" si="1733"/>
        <v>0</v>
      </c>
      <c r="AO5051" s="498">
        <f t="shared" si="1734"/>
        <v>0</v>
      </c>
      <c r="AP5051" s="498">
        <f t="shared" si="1753"/>
        <v>0</v>
      </c>
      <c r="AQ5051" s="498">
        <f t="shared" si="1748"/>
        <v>0</v>
      </c>
      <c r="AU5051" s="498">
        <f t="shared" si="1735"/>
        <v>0</v>
      </c>
      <c r="AV5051" s="498">
        <f t="shared" si="1736"/>
        <v>0</v>
      </c>
      <c r="AW5051" s="498">
        <f t="shared" si="1737"/>
        <v>0</v>
      </c>
      <c r="AX5051" s="498">
        <f t="shared" si="1738"/>
        <v>0</v>
      </c>
      <c r="AY5051" s="498">
        <f t="shared" si="1739"/>
        <v>0</v>
      </c>
      <c r="BB5051" s="498" t="str">
        <f t="shared" si="1740"/>
        <v/>
      </c>
      <c r="BC5051" s="743" t="str">
        <f t="shared" si="1741"/>
        <v/>
      </c>
      <c r="BD5051" s="743" t="str">
        <f t="shared" si="1742"/>
        <v/>
      </c>
      <c r="BE5051" s="743" t="str">
        <f>IF(D5051="","",VLOOKUP(D5051,'General Basis'!$J$39:$K$46,2,0))</f>
        <v/>
      </c>
      <c r="BF5051" s="744" t="str">
        <f>IF(D5051="","",VLOOKUP(D5051,'General Basis'!$J$39:$L$46,3,0))</f>
        <v/>
      </c>
      <c r="BG5051" s="744" t="str">
        <f t="shared" si="1749"/>
        <v/>
      </c>
      <c r="BH5051" s="744" t="str">
        <f>IF(G5051="","",IF(BF5051="Abu Dhabi",IF(G5051&lt;18,'General Basis'!$C$39,IF(G5051&lt;41,'General Basis'!$C$40,IF(G5051&lt;60,'General Basis'!$C$41,IF(G5051&lt;65,'General Basis'!$C$42,'General Basis'!$C$43)))),IF(G5051&lt;11,'General Basis'!$B$39,IF(G5051&lt;18,'General Basis'!$B$40,IF(G5051&lt;26,'General Basis'!$B$41,IF(G5051&lt;31,'General Basis'!$B$42,IF(G5051&lt;36,'General Basis'!$B$43,IF(G5051&lt;41,'General Basis'!$B$44,IF(G5051&lt;46,'General Basis'!$B$45,IF(G5051&lt;51,'General Basis'!$B$46,IF(G5051&lt;56,'General Basis'!$B$47,IF(G5051&lt;60,'General Basis'!$B$48,IF(G5051&lt;65,'General Basis'!$B$49,'General Basis'!$B$50)))))))))))))</f>
        <v/>
      </c>
      <c r="BI5051" s="744" t="str">
        <f t="shared" si="1743"/>
        <v/>
      </c>
      <c r="BJ5051" s="747" t="str">
        <f t="shared" si="1750"/>
        <v/>
      </c>
      <c r="BK5051" s="498" t="str">
        <f t="shared" si="1744"/>
        <v/>
      </c>
      <c r="BL5051" s="498" t="str">
        <f t="shared" si="1745"/>
        <v/>
      </c>
    </row>
    <row r="5052" spans="1:64" x14ac:dyDescent="0.25">
      <c r="A5052" s="762">
        <f t="shared" si="1746"/>
        <v>5047</v>
      </c>
      <c r="B5052" s="229"/>
      <c r="C5052" s="223"/>
      <c r="D5052" s="224"/>
      <c r="E5052" s="225"/>
      <c r="F5052" s="1036" t="str">
        <f t="shared" si="1752"/>
        <v/>
      </c>
      <c r="G5052" s="1037" t="str">
        <f t="shared" si="1747"/>
        <v/>
      </c>
      <c r="H5052" s="225"/>
      <c r="I5052" s="1013"/>
      <c r="J5052" s="1013"/>
      <c r="K5052" s="1028"/>
      <c r="L5052" s="1035" t="str">
        <f t="shared" si="1751"/>
        <v/>
      </c>
      <c r="S5052" s="498"/>
      <c r="AJ5052" s="498"/>
      <c r="AM5052" s="498">
        <f t="shared" si="1732"/>
        <v>0</v>
      </c>
      <c r="AN5052" s="498">
        <f t="shared" si="1733"/>
        <v>0</v>
      </c>
      <c r="AO5052" s="498">
        <f t="shared" si="1734"/>
        <v>0</v>
      </c>
      <c r="AP5052" s="498">
        <f t="shared" si="1753"/>
        <v>0</v>
      </c>
      <c r="AQ5052" s="498">
        <f t="shared" si="1748"/>
        <v>0</v>
      </c>
      <c r="AU5052" s="498">
        <f t="shared" si="1735"/>
        <v>0</v>
      </c>
      <c r="AV5052" s="498">
        <f t="shared" si="1736"/>
        <v>0</v>
      </c>
      <c r="AW5052" s="498">
        <f t="shared" si="1737"/>
        <v>0</v>
      </c>
      <c r="AX5052" s="498">
        <f t="shared" si="1738"/>
        <v>0</v>
      </c>
      <c r="AY5052" s="498">
        <f t="shared" si="1739"/>
        <v>0</v>
      </c>
      <c r="BB5052" s="498" t="str">
        <f t="shared" si="1740"/>
        <v/>
      </c>
      <c r="BC5052" s="743" t="str">
        <f t="shared" si="1741"/>
        <v/>
      </c>
      <c r="BD5052" s="743" t="str">
        <f t="shared" si="1742"/>
        <v/>
      </c>
      <c r="BE5052" s="743" t="str">
        <f>IF(D5052="","",VLOOKUP(D5052,'General Basis'!$J$39:$K$46,2,0))</f>
        <v/>
      </c>
      <c r="BF5052" s="744" t="str">
        <f>IF(D5052="","",VLOOKUP(D5052,'General Basis'!$J$39:$L$46,3,0))</f>
        <v/>
      </c>
      <c r="BG5052" s="744" t="str">
        <f t="shared" si="1749"/>
        <v/>
      </c>
      <c r="BH5052" s="744" t="str">
        <f>IF(G5052="","",IF(BF5052="Abu Dhabi",IF(G5052&lt;18,'General Basis'!$C$39,IF(G5052&lt;41,'General Basis'!$C$40,IF(G5052&lt;60,'General Basis'!$C$41,IF(G5052&lt;65,'General Basis'!$C$42,'General Basis'!$C$43)))),IF(G5052&lt;11,'General Basis'!$B$39,IF(G5052&lt;18,'General Basis'!$B$40,IF(G5052&lt;26,'General Basis'!$B$41,IF(G5052&lt;31,'General Basis'!$B$42,IF(G5052&lt;36,'General Basis'!$B$43,IF(G5052&lt;41,'General Basis'!$B$44,IF(G5052&lt;46,'General Basis'!$B$45,IF(G5052&lt;51,'General Basis'!$B$46,IF(G5052&lt;56,'General Basis'!$B$47,IF(G5052&lt;60,'General Basis'!$B$48,IF(G5052&lt;65,'General Basis'!$B$49,'General Basis'!$B$50)))))))))))))</f>
        <v/>
      </c>
      <c r="BI5052" s="744" t="str">
        <f t="shared" si="1743"/>
        <v/>
      </c>
      <c r="BJ5052" s="747" t="str">
        <f t="shared" si="1750"/>
        <v/>
      </c>
      <c r="BK5052" s="498" t="str">
        <f t="shared" si="1744"/>
        <v/>
      </c>
      <c r="BL5052" s="498" t="str">
        <f t="shared" si="1745"/>
        <v/>
      </c>
    </row>
    <row r="5053" spans="1:64" x14ac:dyDescent="0.25">
      <c r="A5053" s="762">
        <f t="shared" si="1746"/>
        <v>5048</v>
      </c>
      <c r="B5053" s="229"/>
      <c r="C5053" s="223"/>
      <c r="D5053" s="224"/>
      <c r="E5053" s="225"/>
      <c r="F5053" s="1036" t="str">
        <f t="shared" si="1752"/>
        <v/>
      </c>
      <c r="G5053" s="1037" t="str">
        <f t="shared" si="1747"/>
        <v/>
      </c>
      <c r="H5053" s="225"/>
      <c r="I5053" s="1013"/>
      <c r="J5053" s="1013"/>
      <c r="K5053" s="1028"/>
      <c r="L5053" s="1035" t="str">
        <f t="shared" si="1751"/>
        <v/>
      </c>
      <c r="S5053" s="498"/>
      <c r="AJ5053" s="498"/>
      <c r="AM5053" s="498">
        <f t="shared" si="1732"/>
        <v>0</v>
      </c>
      <c r="AN5053" s="498">
        <f t="shared" si="1733"/>
        <v>0</v>
      </c>
      <c r="AO5053" s="498">
        <f t="shared" si="1734"/>
        <v>0</v>
      </c>
      <c r="AP5053" s="498">
        <f t="shared" si="1753"/>
        <v>0</v>
      </c>
      <c r="AQ5053" s="498">
        <f t="shared" si="1748"/>
        <v>0</v>
      </c>
      <c r="AU5053" s="498">
        <f t="shared" si="1735"/>
        <v>0</v>
      </c>
      <c r="AV5053" s="498">
        <f t="shared" si="1736"/>
        <v>0</v>
      </c>
      <c r="AW5053" s="498">
        <f t="shared" si="1737"/>
        <v>0</v>
      </c>
      <c r="AX5053" s="498">
        <f t="shared" si="1738"/>
        <v>0</v>
      </c>
      <c r="AY5053" s="498">
        <f t="shared" si="1739"/>
        <v>0</v>
      </c>
      <c r="BB5053" s="498" t="str">
        <f t="shared" si="1740"/>
        <v/>
      </c>
      <c r="BC5053" s="743" t="str">
        <f t="shared" si="1741"/>
        <v/>
      </c>
      <c r="BD5053" s="743" t="str">
        <f t="shared" si="1742"/>
        <v/>
      </c>
      <c r="BE5053" s="743" t="str">
        <f>IF(D5053="","",VLOOKUP(D5053,'General Basis'!$J$39:$K$46,2,0))</f>
        <v/>
      </c>
      <c r="BF5053" s="744" t="str">
        <f>IF(D5053="","",VLOOKUP(D5053,'General Basis'!$J$39:$L$46,3,0))</f>
        <v/>
      </c>
      <c r="BG5053" s="744" t="str">
        <f t="shared" si="1749"/>
        <v/>
      </c>
      <c r="BH5053" s="744" t="str">
        <f>IF(G5053="","",IF(BF5053="Abu Dhabi",IF(G5053&lt;18,'General Basis'!$C$39,IF(G5053&lt;41,'General Basis'!$C$40,IF(G5053&lt;60,'General Basis'!$C$41,IF(G5053&lt;65,'General Basis'!$C$42,'General Basis'!$C$43)))),IF(G5053&lt;11,'General Basis'!$B$39,IF(G5053&lt;18,'General Basis'!$B$40,IF(G5053&lt;26,'General Basis'!$B$41,IF(G5053&lt;31,'General Basis'!$B$42,IF(G5053&lt;36,'General Basis'!$B$43,IF(G5053&lt;41,'General Basis'!$B$44,IF(G5053&lt;46,'General Basis'!$B$45,IF(G5053&lt;51,'General Basis'!$B$46,IF(G5053&lt;56,'General Basis'!$B$47,IF(G5053&lt;60,'General Basis'!$B$48,IF(G5053&lt;65,'General Basis'!$B$49,'General Basis'!$B$50)))))))))))))</f>
        <v/>
      </c>
      <c r="BI5053" s="744" t="str">
        <f t="shared" si="1743"/>
        <v/>
      </c>
      <c r="BJ5053" s="747" t="str">
        <f t="shared" si="1750"/>
        <v/>
      </c>
      <c r="BK5053" s="498" t="str">
        <f t="shared" si="1744"/>
        <v/>
      </c>
      <c r="BL5053" s="498" t="str">
        <f t="shared" si="1745"/>
        <v/>
      </c>
    </row>
    <row r="5054" spans="1:64" x14ac:dyDescent="0.25">
      <c r="A5054" s="762">
        <f t="shared" si="1746"/>
        <v>5049</v>
      </c>
      <c r="B5054" s="229"/>
      <c r="C5054" s="223"/>
      <c r="D5054" s="224"/>
      <c r="E5054" s="225"/>
      <c r="F5054" s="1036" t="str">
        <f t="shared" si="1752"/>
        <v/>
      </c>
      <c r="G5054" s="1037" t="str">
        <f t="shared" si="1747"/>
        <v/>
      </c>
      <c r="H5054" s="225"/>
      <c r="I5054" s="1013"/>
      <c r="J5054" s="1013"/>
      <c r="K5054" s="1028"/>
      <c r="L5054" s="1035" t="str">
        <f t="shared" si="1751"/>
        <v/>
      </c>
      <c r="S5054" s="498"/>
      <c r="AJ5054" s="498"/>
      <c r="AM5054" s="498">
        <f t="shared" si="1732"/>
        <v>0</v>
      </c>
      <c r="AN5054" s="498">
        <f t="shared" si="1733"/>
        <v>0</v>
      </c>
      <c r="AO5054" s="498">
        <f t="shared" si="1734"/>
        <v>0</v>
      </c>
      <c r="AP5054" s="498">
        <f t="shared" si="1753"/>
        <v>0</v>
      </c>
      <c r="AQ5054" s="498">
        <f t="shared" si="1748"/>
        <v>0</v>
      </c>
      <c r="AU5054" s="498">
        <f t="shared" si="1735"/>
        <v>0</v>
      </c>
      <c r="AV5054" s="498">
        <f t="shared" si="1736"/>
        <v>0</v>
      </c>
      <c r="AW5054" s="498">
        <f t="shared" si="1737"/>
        <v>0</v>
      </c>
      <c r="AX5054" s="498">
        <f t="shared" si="1738"/>
        <v>0</v>
      </c>
      <c r="AY5054" s="498">
        <f t="shared" si="1739"/>
        <v>0</v>
      </c>
      <c r="BB5054" s="498" t="str">
        <f t="shared" si="1740"/>
        <v/>
      </c>
      <c r="BC5054" s="743" t="str">
        <f t="shared" si="1741"/>
        <v/>
      </c>
      <c r="BD5054" s="743" t="str">
        <f t="shared" si="1742"/>
        <v/>
      </c>
      <c r="BE5054" s="743" t="str">
        <f>IF(D5054="","",VLOOKUP(D5054,'General Basis'!$J$39:$K$46,2,0))</f>
        <v/>
      </c>
      <c r="BF5054" s="744" t="str">
        <f>IF(D5054="","",VLOOKUP(D5054,'General Basis'!$J$39:$L$46,3,0))</f>
        <v/>
      </c>
      <c r="BG5054" s="744" t="str">
        <f t="shared" si="1749"/>
        <v/>
      </c>
      <c r="BH5054" s="744" t="str">
        <f>IF(G5054="","",IF(BF5054="Abu Dhabi",IF(G5054&lt;18,'General Basis'!$C$39,IF(G5054&lt;41,'General Basis'!$C$40,IF(G5054&lt;60,'General Basis'!$C$41,IF(G5054&lt;65,'General Basis'!$C$42,'General Basis'!$C$43)))),IF(G5054&lt;11,'General Basis'!$B$39,IF(G5054&lt;18,'General Basis'!$B$40,IF(G5054&lt;26,'General Basis'!$B$41,IF(G5054&lt;31,'General Basis'!$B$42,IF(G5054&lt;36,'General Basis'!$B$43,IF(G5054&lt;41,'General Basis'!$B$44,IF(G5054&lt;46,'General Basis'!$B$45,IF(G5054&lt;51,'General Basis'!$B$46,IF(G5054&lt;56,'General Basis'!$B$47,IF(G5054&lt;60,'General Basis'!$B$48,IF(G5054&lt;65,'General Basis'!$B$49,'General Basis'!$B$50)))))))))))))</f>
        <v/>
      </c>
      <c r="BI5054" s="744" t="str">
        <f t="shared" si="1743"/>
        <v/>
      </c>
      <c r="BJ5054" s="747" t="str">
        <f t="shared" si="1750"/>
        <v/>
      </c>
      <c r="BK5054" s="498" t="str">
        <f t="shared" si="1744"/>
        <v/>
      </c>
      <c r="BL5054" s="498" t="str">
        <f t="shared" si="1745"/>
        <v/>
      </c>
    </row>
    <row r="5055" spans="1:64" x14ac:dyDescent="0.25">
      <c r="A5055" s="762">
        <f t="shared" si="1746"/>
        <v>5050</v>
      </c>
      <c r="B5055" s="229"/>
      <c r="C5055" s="223"/>
      <c r="D5055" s="224"/>
      <c r="E5055" s="225"/>
      <c r="F5055" s="1036" t="str">
        <f t="shared" si="1752"/>
        <v/>
      </c>
      <c r="G5055" s="1037" t="str">
        <f t="shared" si="1747"/>
        <v/>
      </c>
      <c r="H5055" s="225"/>
      <c r="I5055" s="1013"/>
      <c r="J5055" s="1013"/>
      <c r="K5055" s="1028"/>
      <c r="L5055" s="1035" t="str">
        <f t="shared" si="1751"/>
        <v/>
      </c>
      <c r="S5055" s="498"/>
      <c r="AJ5055" s="498"/>
      <c r="AM5055" s="498">
        <f t="shared" si="1732"/>
        <v>0</v>
      </c>
      <c r="AN5055" s="498">
        <f t="shared" si="1733"/>
        <v>0</v>
      </c>
      <c r="AO5055" s="498">
        <f t="shared" si="1734"/>
        <v>0</v>
      </c>
      <c r="AP5055" s="498">
        <f t="shared" si="1753"/>
        <v>0</v>
      </c>
      <c r="AQ5055" s="498">
        <f t="shared" si="1748"/>
        <v>0</v>
      </c>
      <c r="AU5055" s="498">
        <f t="shared" si="1735"/>
        <v>0</v>
      </c>
      <c r="AV5055" s="498">
        <f t="shared" si="1736"/>
        <v>0</v>
      </c>
      <c r="AW5055" s="498">
        <f t="shared" si="1737"/>
        <v>0</v>
      </c>
      <c r="AX5055" s="498">
        <f t="shared" si="1738"/>
        <v>0</v>
      </c>
      <c r="AY5055" s="498">
        <f t="shared" si="1739"/>
        <v>0</v>
      </c>
      <c r="BB5055" s="498" t="str">
        <f t="shared" si="1740"/>
        <v/>
      </c>
      <c r="BC5055" s="743" t="str">
        <f t="shared" si="1741"/>
        <v/>
      </c>
      <c r="BD5055" s="743" t="str">
        <f t="shared" si="1742"/>
        <v/>
      </c>
      <c r="BE5055" s="743" t="str">
        <f>IF(D5055="","",VLOOKUP(D5055,'General Basis'!$J$39:$K$46,2,0))</f>
        <v/>
      </c>
      <c r="BF5055" s="744" t="str">
        <f>IF(D5055="","",VLOOKUP(D5055,'General Basis'!$J$39:$L$46,3,0))</f>
        <v/>
      </c>
      <c r="BG5055" s="744" t="str">
        <f t="shared" si="1749"/>
        <v/>
      </c>
      <c r="BH5055" s="744" t="str">
        <f>IF(G5055="","",IF(BF5055="Abu Dhabi",IF(G5055&lt;18,'General Basis'!$C$39,IF(G5055&lt;41,'General Basis'!$C$40,IF(G5055&lt;60,'General Basis'!$C$41,IF(G5055&lt;65,'General Basis'!$C$42,'General Basis'!$C$43)))),IF(G5055&lt;11,'General Basis'!$B$39,IF(G5055&lt;18,'General Basis'!$B$40,IF(G5055&lt;26,'General Basis'!$B$41,IF(G5055&lt;31,'General Basis'!$B$42,IF(G5055&lt;36,'General Basis'!$B$43,IF(G5055&lt;41,'General Basis'!$B$44,IF(G5055&lt;46,'General Basis'!$B$45,IF(G5055&lt;51,'General Basis'!$B$46,IF(G5055&lt;56,'General Basis'!$B$47,IF(G5055&lt;60,'General Basis'!$B$48,IF(G5055&lt;65,'General Basis'!$B$49,'General Basis'!$B$50)))))))))))))</f>
        <v/>
      </c>
      <c r="BI5055" s="744" t="str">
        <f t="shared" si="1743"/>
        <v/>
      </c>
      <c r="BJ5055" s="747" t="str">
        <f t="shared" si="1750"/>
        <v/>
      </c>
      <c r="BK5055" s="498" t="str">
        <f t="shared" si="1744"/>
        <v/>
      </c>
      <c r="BL5055" s="498" t="str">
        <f t="shared" si="1745"/>
        <v/>
      </c>
    </row>
    <row r="5056" spans="1:64" x14ac:dyDescent="0.25">
      <c r="A5056" s="762">
        <f t="shared" si="1746"/>
        <v>5051</v>
      </c>
      <c r="B5056" s="229"/>
      <c r="C5056" s="223"/>
      <c r="D5056" s="224"/>
      <c r="E5056" s="225"/>
      <c r="F5056" s="1036" t="str">
        <f t="shared" si="1752"/>
        <v/>
      </c>
      <c r="G5056" s="1037" t="str">
        <f t="shared" si="1747"/>
        <v/>
      </c>
      <c r="H5056" s="225"/>
      <c r="I5056" s="1013"/>
      <c r="J5056" s="1013"/>
      <c r="K5056" s="1028"/>
      <c r="L5056" s="1035" t="str">
        <f t="shared" si="1751"/>
        <v/>
      </c>
      <c r="S5056" s="498"/>
      <c r="AJ5056" s="498"/>
      <c r="AM5056" s="498">
        <f t="shared" si="1732"/>
        <v>0</v>
      </c>
      <c r="AN5056" s="498">
        <f t="shared" si="1733"/>
        <v>0</v>
      </c>
      <c r="AO5056" s="498">
        <f t="shared" si="1734"/>
        <v>0</v>
      </c>
      <c r="AP5056" s="498">
        <f t="shared" si="1753"/>
        <v>0</v>
      </c>
      <c r="AQ5056" s="498">
        <f t="shared" si="1748"/>
        <v>0</v>
      </c>
      <c r="AU5056" s="498">
        <f t="shared" si="1735"/>
        <v>0</v>
      </c>
      <c r="AV5056" s="498">
        <f t="shared" si="1736"/>
        <v>0</v>
      </c>
      <c r="AW5056" s="498">
        <f t="shared" si="1737"/>
        <v>0</v>
      </c>
      <c r="AX5056" s="498">
        <f t="shared" si="1738"/>
        <v>0</v>
      </c>
      <c r="AY5056" s="498">
        <f t="shared" si="1739"/>
        <v>0</v>
      </c>
      <c r="BB5056" s="498" t="str">
        <f t="shared" si="1740"/>
        <v/>
      </c>
      <c r="BC5056" s="743" t="str">
        <f t="shared" si="1741"/>
        <v/>
      </c>
      <c r="BD5056" s="743" t="str">
        <f t="shared" si="1742"/>
        <v/>
      </c>
      <c r="BE5056" s="743" t="str">
        <f>IF(D5056="","",VLOOKUP(D5056,'General Basis'!$J$39:$K$46,2,0))</f>
        <v/>
      </c>
      <c r="BF5056" s="744" t="str">
        <f>IF(D5056="","",VLOOKUP(D5056,'General Basis'!$J$39:$L$46,3,0))</f>
        <v/>
      </c>
      <c r="BG5056" s="744" t="str">
        <f t="shared" si="1749"/>
        <v/>
      </c>
      <c r="BH5056" s="744" t="str">
        <f>IF(G5056="","",IF(BF5056="Abu Dhabi",IF(G5056&lt;18,'General Basis'!$C$39,IF(G5056&lt;41,'General Basis'!$C$40,IF(G5056&lt;60,'General Basis'!$C$41,IF(G5056&lt;65,'General Basis'!$C$42,'General Basis'!$C$43)))),IF(G5056&lt;11,'General Basis'!$B$39,IF(G5056&lt;18,'General Basis'!$B$40,IF(G5056&lt;26,'General Basis'!$B$41,IF(G5056&lt;31,'General Basis'!$B$42,IF(G5056&lt;36,'General Basis'!$B$43,IF(G5056&lt;41,'General Basis'!$B$44,IF(G5056&lt;46,'General Basis'!$B$45,IF(G5056&lt;51,'General Basis'!$B$46,IF(G5056&lt;56,'General Basis'!$B$47,IF(G5056&lt;60,'General Basis'!$B$48,IF(G5056&lt;65,'General Basis'!$B$49,'General Basis'!$B$50)))))))))))))</f>
        <v/>
      </c>
      <c r="BI5056" s="744" t="str">
        <f t="shared" si="1743"/>
        <v/>
      </c>
      <c r="BJ5056" s="747" t="str">
        <f t="shared" si="1750"/>
        <v/>
      </c>
      <c r="BK5056" s="498" t="str">
        <f t="shared" si="1744"/>
        <v/>
      </c>
      <c r="BL5056" s="498" t="str">
        <f t="shared" si="1745"/>
        <v/>
      </c>
    </row>
    <row r="5057" spans="1:64" x14ac:dyDescent="0.25">
      <c r="A5057" s="762">
        <f t="shared" si="1746"/>
        <v>5052</v>
      </c>
      <c r="B5057" s="229"/>
      <c r="C5057" s="223"/>
      <c r="D5057" s="224"/>
      <c r="E5057" s="225"/>
      <c r="F5057" s="1036" t="str">
        <f t="shared" si="1752"/>
        <v/>
      </c>
      <c r="G5057" s="1037" t="str">
        <f t="shared" si="1747"/>
        <v/>
      </c>
      <c r="H5057" s="225"/>
      <c r="I5057" s="1013"/>
      <c r="J5057" s="1013"/>
      <c r="K5057" s="1028"/>
      <c r="L5057" s="1035" t="str">
        <f t="shared" si="1751"/>
        <v/>
      </c>
      <c r="S5057" s="498"/>
      <c r="AJ5057" s="498"/>
      <c r="AM5057" s="498">
        <f t="shared" si="1732"/>
        <v>0</v>
      </c>
      <c r="AN5057" s="498">
        <f t="shared" si="1733"/>
        <v>0</v>
      </c>
      <c r="AO5057" s="498">
        <f t="shared" si="1734"/>
        <v>0</v>
      </c>
      <c r="AP5057" s="498">
        <f t="shared" si="1753"/>
        <v>0</v>
      </c>
      <c r="AQ5057" s="498">
        <f t="shared" si="1748"/>
        <v>0</v>
      </c>
      <c r="AU5057" s="498">
        <f t="shared" si="1735"/>
        <v>0</v>
      </c>
      <c r="AV5057" s="498">
        <f t="shared" si="1736"/>
        <v>0</v>
      </c>
      <c r="AW5057" s="498">
        <f t="shared" si="1737"/>
        <v>0</v>
      </c>
      <c r="AX5057" s="498">
        <f t="shared" si="1738"/>
        <v>0</v>
      </c>
      <c r="AY5057" s="498">
        <f t="shared" si="1739"/>
        <v>0</v>
      </c>
      <c r="BB5057" s="498" t="str">
        <f t="shared" si="1740"/>
        <v/>
      </c>
      <c r="BC5057" s="743" t="str">
        <f t="shared" si="1741"/>
        <v/>
      </c>
      <c r="BD5057" s="743" t="str">
        <f t="shared" si="1742"/>
        <v/>
      </c>
      <c r="BE5057" s="743" t="str">
        <f>IF(D5057="","",VLOOKUP(D5057,'General Basis'!$J$39:$K$46,2,0))</f>
        <v/>
      </c>
      <c r="BF5057" s="744" t="str">
        <f>IF(D5057="","",VLOOKUP(D5057,'General Basis'!$J$39:$L$46,3,0))</f>
        <v/>
      </c>
      <c r="BG5057" s="744" t="str">
        <f t="shared" si="1749"/>
        <v/>
      </c>
      <c r="BH5057" s="744" t="str">
        <f>IF(G5057="","",IF(BF5057="Abu Dhabi",IF(G5057&lt;18,'General Basis'!$C$39,IF(G5057&lt;41,'General Basis'!$C$40,IF(G5057&lt;60,'General Basis'!$C$41,IF(G5057&lt;65,'General Basis'!$C$42,'General Basis'!$C$43)))),IF(G5057&lt;11,'General Basis'!$B$39,IF(G5057&lt;18,'General Basis'!$B$40,IF(G5057&lt;26,'General Basis'!$B$41,IF(G5057&lt;31,'General Basis'!$B$42,IF(G5057&lt;36,'General Basis'!$B$43,IF(G5057&lt;41,'General Basis'!$B$44,IF(G5057&lt;46,'General Basis'!$B$45,IF(G5057&lt;51,'General Basis'!$B$46,IF(G5057&lt;56,'General Basis'!$B$47,IF(G5057&lt;60,'General Basis'!$B$48,IF(G5057&lt;65,'General Basis'!$B$49,'General Basis'!$B$50)))))))))))))</f>
        <v/>
      </c>
      <c r="BI5057" s="744" t="str">
        <f t="shared" si="1743"/>
        <v/>
      </c>
      <c r="BJ5057" s="747" t="str">
        <f t="shared" si="1750"/>
        <v/>
      </c>
      <c r="BK5057" s="498" t="str">
        <f t="shared" si="1744"/>
        <v/>
      </c>
      <c r="BL5057" s="498" t="str">
        <f t="shared" si="1745"/>
        <v/>
      </c>
    </row>
    <row r="5058" spans="1:64" x14ac:dyDescent="0.25">
      <c r="A5058" s="762">
        <f t="shared" si="1746"/>
        <v>5053</v>
      </c>
      <c r="B5058" s="229"/>
      <c r="C5058" s="223"/>
      <c r="D5058" s="224"/>
      <c r="E5058" s="225"/>
      <c r="F5058" s="1036" t="str">
        <f t="shared" si="1752"/>
        <v/>
      </c>
      <c r="G5058" s="1037" t="str">
        <f t="shared" si="1747"/>
        <v/>
      </c>
      <c r="H5058" s="225"/>
      <c r="I5058" s="1013"/>
      <c r="J5058" s="1013"/>
      <c r="K5058" s="1028"/>
      <c r="L5058" s="1035" t="str">
        <f t="shared" si="1751"/>
        <v/>
      </c>
      <c r="S5058" s="498"/>
      <c r="AJ5058" s="498"/>
      <c r="AM5058" s="498">
        <f t="shared" si="1732"/>
        <v>0</v>
      </c>
      <c r="AN5058" s="498">
        <f t="shared" si="1733"/>
        <v>0</v>
      </c>
      <c r="AO5058" s="498">
        <f t="shared" si="1734"/>
        <v>0</v>
      </c>
      <c r="AP5058" s="498">
        <f t="shared" si="1753"/>
        <v>0</v>
      </c>
      <c r="AQ5058" s="498">
        <f t="shared" si="1748"/>
        <v>0</v>
      </c>
      <c r="AU5058" s="498">
        <f t="shared" si="1735"/>
        <v>0</v>
      </c>
      <c r="AV5058" s="498">
        <f t="shared" si="1736"/>
        <v>0</v>
      </c>
      <c r="AW5058" s="498">
        <f t="shared" si="1737"/>
        <v>0</v>
      </c>
      <c r="AX5058" s="498">
        <f t="shared" si="1738"/>
        <v>0</v>
      </c>
      <c r="AY5058" s="498">
        <f t="shared" si="1739"/>
        <v>0</v>
      </c>
      <c r="BB5058" s="498" t="str">
        <f t="shared" si="1740"/>
        <v/>
      </c>
      <c r="BC5058" s="743" t="str">
        <f t="shared" si="1741"/>
        <v/>
      </c>
      <c r="BD5058" s="743" t="str">
        <f t="shared" si="1742"/>
        <v/>
      </c>
      <c r="BE5058" s="743" t="str">
        <f>IF(D5058="","",VLOOKUP(D5058,'General Basis'!$J$39:$K$46,2,0))</f>
        <v/>
      </c>
      <c r="BF5058" s="744" t="str">
        <f>IF(D5058="","",VLOOKUP(D5058,'General Basis'!$J$39:$L$46,3,0))</f>
        <v/>
      </c>
      <c r="BG5058" s="744" t="str">
        <f t="shared" si="1749"/>
        <v/>
      </c>
      <c r="BH5058" s="744" t="str">
        <f>IF(G5058="","",IF(BF5058="Abu Dhabi",IF(G5058&lt;18,'General Basis'!$C$39,IF(G5058&lt;41,'General Basis'!$C$40,IF(G5058&lt;60,'General Basis'!$C$41,IF(G5058&lt;65,'General Basis'!$C$42,'General Basis'!$C$43)))),IF(G5058&lt;11,'General Basis'!$B$39,IF(G5058&lt;18,'General Basis'!$B$40,IF(G5058&lt;26,'General Basis'!$B$41,IF(G5058&lt;31,'General Basis'!$B$42,IF(G5058&lt;36,'General Basis'!$B$43,IF(G5058&lt;41,'General Basis'!$B$44,IF(G5058&lt;46,'General Basis'!$B$45,IF(G5058&lt;51,'General Basis'!$B$46,IF(G5058&lt;56,'General Basis'!$B$47,IF(G5058&lt;60,'General Basis'!$B$48,IF(G5058&lt;65,'General Basis'!$B$49,'General Basis'!$B$50)))))))))))))</f>
        <v/>
      </c>
      <c r="BI5058" s="744" t="str">
        <f t="shared" si="1743"/>
        <v/>
      </c>
      <c r="BJ5058" s="747" t="str">
        <f t="shared" si="1750"/>
        <v/>
      </c>
      <c r="BK5058" s="498" t="str">
        <f t="shared" si="1744"/>
        <v/>
      </c>
      <c r="BL5058" s="498" t="str">
        <f t="shared" si="1745"/>
        <v/>
      </c>
    </row>
    <row r="5059" spans="1:64" x14ac:dyDescent="0.25">
      <c r="A5059" s="762">
        <f t="shared" si="1746"/>
        <v>5054</v>
      </c>
      <c r="B5059" s="229"/>
      <c r="C5059" s="223"/>
      <c r="D5059" s="224"/>
      <c r="E5059" s="225"/>
      <c r="F5059" s="1036" t="str">
        <f t="shared" si="1752"/>
        <v/>
      </c>
      <c r="G5059" s="1037" t="str">
        <f t="shared" si="1747"/>
        <v/>
      </c>
      <c r="H5059" s="225"/>
      <c r="I5059" s="1013"/>
      <c r="J5059" s="1013"/>
      <c r="K5059" s="1028"/>
      <c r="L5059" s="1035" t="str">
        <f t="shared" si="1751"/>
        <v/>
      </c>
      <c r="S5059" s="498"/>
      <c r="AJ5059" s="498"/>
      <c r="AM5059" s="498">
        <f t="shared" si="1732"/>
        <v>0</v>
      </c>
      <c r="AN5059" s="498">
        <f t="shared" si="1733"/>
        <v>0</v>
      </c>
      <c r="AO5059" s="498">
        <f t="shared" si="1734"/>
        <v>0</v>
      </c>
      <c r="AP5059" s="498">
        <f t="shared" si="1753"/>
        <v>0</v>
      </c>
      <c r="AQ5059" s="498">
        <f t="shared" si="1748"/>
        <v>0</v>
      </c>
      <c r="AU5059" s="498">
        <f t="shared" si="1735"/>
        <v>0</v>
      </c>
      <c r="AV5059" s="498">
        <f t="shared" si="1736"/>
        <v>0</v>
      </c>
      <c r="AW5059" s="498">
        <f t="shared" si="1737"/>
        <v>0</v>
      </c>
      <c r="AX5059" s="498">
        <f t="shared" si="1738"/>
        <v>0</v>
      </c>
      <c r="AY5059" s="498">
        <f t="shared" si="1739"/>
        <v>0</v>
      </c>
      <c r="BB5059" s="498" t="str">
        <f t="shared" si="1740"/>
        <v/>
      </c>
      <c r="BC5059" s="743" t="str">
        <f t="shared" si="1741"/>
        <v/>
      </c>
      <c r="BD5059" s="743" t="str">
        <f t="shared" si="1742"/>
        <v/>
      </c>
      <c r="BE5059" s="743" t="str">
        <f>IF(D5059="","",VLOOKUP(D5059,'General Basis'!$J$39:$K$46,2,0))</f>
        <v/>
      </c>
      <c r="BF5059" s="744" t="str">
        <f>IF(D5059="","",VLOOKUP(D5059,'General Basis'!$J$39:$L$46,3,0))</f>
        <v/>
      </c>
      <c r="BG5059" s="744" t="str">
        <f t="shared" si="1749"/>
        <v/>
      </c>
      <c r="BH5059" s="744" t="str">
        <f>IF(G5059="","",IF(BF5059="Abu Dhabi",IF(G5059&lt;18,'General Basis'!$C$39,IF(G5059&lt;41,'General Basis'!$C$40,IF(G5059&lt;60,'General Basis'!$C$41,IF(G5059&lt;65,'General Basis'!$C$42,'General Basis'!$C$43)))),IF(G5059&lt;11,'General Basis'!$B$39,IF(G5059&lt;18,'General Basis'!$B$40,IF(G5059&lt;26,'General Basis'!$B$41,IF(G5059&lt;31,'General Basis'!$B$42,IF(G5059&lt;36,'General Basis'!$B$43,IF(G5059&lt;41,'General Basis'!$B$44,IF(G5059&lt;46,'General Basis'!$B$45,IF(G5059&lt;51,'General Basis'!$B$46,IF(G5059&lt;56,'General Basis'!$B$47,IF(G5059&lt;60,'General Basis'!$B$48,IF(G5059&lt;65,'General Basis'!$B$49,'General Basis'!$B$50)))))))))))))</f>
        <v/>
      </c>
      <c r="BI5059" s="744" t="str">
        <f t="shared" si="1743"/>
        <v/>
      </c>
      <c r="BJ5059" s="747" t="str">
        <f t="shared" si="1750"/>
        <v/>
      </c>
      <c r="BK5059" s="498" t="str">
        <f t="shared" si="1744"/>
        <v/>
      </c>
      <c r="BL5059" s="498" t="str">
        <f t="shared" si="1745"/>
        <v/>
      </c>
    </row>
    <row r="5060" spans="1:64" x14ac:dyDescent="0.25">
      <c r="A5060" s="762">
        <f t="shared" si="1746"/>
        <v>5055</v>
      </c>
      <c r="B5060" s="229"/>
      <c r="C5060" s="223"/>
      <c r="D5060" s="224"/>
      <c r="E5060" s="225"/>
      <c r="F5060" s="1036" t="str">
        <f t="shared" si="1752"/>
        <v/>
      </c>
      <c r="G5060" s="1037" t="str">
        <f t="shared" si="1747"/>
        <v/>
      </c>
      <c r="H5060" s="225"/>
      <c r="I5060" s="1013"/>
      <c r="J5060" s="1013"/>
      <c r="K5060" s="1028"/>
      <c r="L5060" s="1035" t="str">
        <f t="shared" si="1751"/>
        <v/>
      </c>
      <c r="S5060" s="498"/>
      <c r="AJ5060" s="498"/>
      <c r="AM5060" s="498">
        <f t="shared" si="1732"/>
        <v>0</v>
      </c>
      <c r="AN5060" s="498">
        <f t="shared" si="1733"/>
        <v>0</v>
      </c>
      <c r="AO5060" s="498">
        <f t="shared" si="1734"/>
        <v>0</v>
      </c>
      <c r="AP5060" s="498">
        <f t="shared" si="1753"/>
        <v>0</v>
      </c>
      <c r="AQ5060" s="498">
        <f t="shared" si="1748"/>
        <v>0</v>
      </c>
      <c r="AU5060" s="498">
        <f t="shared" si="1735"/>
        <v>0</v>
      </c>
      <c r="AV5060" s="498">
        <f t="shared" si="1736"/>
        <v>0</v>
      </c>
      <c r="AW5060" s="498">
        <f t="shared" si="1737"/>
        <v>0</v>
      </c>
      <c r="AX5060" s="498">
        <f t="shared" si="1738"/>
        <v>0</v>
      </c>
      <c r="AY5060" s="498">
        <f t="shared" si="1739"/>
        <v>0</v>
      </c>
      <c r="BB5060" s="498" t="str">
        <f t="shared" si="1740"/>
        <v/>
      </c>
      <c r="BC5060" s="743" t="str">
        <f t="shared" si="1741"/>
        <v/>
      </c>
      <c r="BD5060" s="743" t="str">
        <f t="shared" si="1742"/>
        <v/>
      </c>
      <c r="BE5060" s="743" t="str">
        <f>IF(D5060="","",VLOOKUP(D5060,'General Basis'!$J$39:$K$46,2,0))</f>
        <v/>
      </c>
      <c r="BF5060" s="744" t="str">
        <f>IF(D5060="","",VLOOKUP(D5060,'General Basis'!$J$39:$L$46,3,0))</f>
        <v/>
      </c>
      <c r="BG5060" s="744" t="str">
        <f t="shared" si="1749"/>
        <v/>
      </c>
      <c r="BH5060" s="744" t="str">
        <f>IF(G5060="","",IF(BF5060="Abu Dhabi",IF(G5060&lt;18,'General Basis'!$C$39,IF(G5060&lt;41,'General Basis'!$C$40,IF(G5060&lt;60,'General Basis'!$C$41,IF(G5060&lt;65,'General Basis'!$C$42,'General Basis'!$C$43)))),IF(G5060&lt;11,'General Basis'!$B$39,IF(G5060&lt;18,'General Basis'!$B$40,IF(G5060&lt;26,'General Basis'!$B$41,IF(G5060&lt;31,'General Basis'!$B$42,IF(G5060&lt;36,'General Basis'!$B$43,IF(G5060&lt;41,'General Basis'!$B$44,IF(G5060&lt;46,'General Basis'!$B$45,IF(G5060&lt;51,'General Basis'!$B$46,IF(G5060&lt;56,'General Basis'!$B$47,IF(G5060&lt;60,'General Basis'!$B$48,IF(G5060&lt;65,'General Basis'!$B$49,'General Basis'!$B$50)))))))))))))</f>
        <v/>
      </c>
      <c r="BI5060" s="744" t="str">
        <f t="shared" si="1743"/>
        <v/>
      </c>
      <c r="BJ5060" s="747" t="str">
        <f t="shared" si="1750"/>
        <v/>
      </c>
      <c r="BK5060" s="498" t="str">
        <f t="shared" si="1744"/>
        <v/>
      </c>
      <c r="BL5060" s="498" t="str">
        <f t="shared" si="1745"/>
        <v/>
      </c>
    </row>
    <row r="5061" spans="1:64" x14ac:dyDescent="0.25">
      <c r="A5061" s="762">
        <f t="shared" si="1746"/>
        <v>5056</v>
      </c>
      <c r="B5061" s="229"/>
      <c r="C5061" s="223"/>
      <c r="D5061" s="224"/>
      <c r="E5061" s="225"/>
      <c r="F5061" s="1036" t="str">
        <f t="shared" si="1752"/>
        <v/>
      </c>
      <c r="G5061" s="1037" t="str">
        <f t="shared" si="1747"/>
        <v/>
      </c>
      <c r="H5061" s="225"/>
      <c r="I5061" s="1013"/>
      <c r="J5061" s="1013"/>
      <c r="K5061" s="1028"/>
      <c r="L5061" s="1035" t="str">
        <f t="shared" si="1751"/>
        <v/>
      </c>
      <c r="S5061" s="498"/>
      <c r="AJ5061" s="498"/>
      <c r="AM5061" s="498">
        <f t="shared" si="1732"/>
        <v>0</v>
      </c>
      <c r="AN5061" s="498">
        <f t="shared" si="1733"/>
        <v>0</v>
      </c>
      <c r="AO5061" s="498">
        <f t="shared" si="1734"/>
        <v>0</v>
      </c>
      <c r="AP5061" s="498">
        <f t="shared" si="1753"/>
        <v>0</v>
      </c>
      <c r="AQ5061" s="498">
        <f t="shared" si="1748"/>
        <v>0</v>
      </c>
      <c r="AU5061" s="498">
        <f t="shared" si="1735"/>
        <v>0</v>
      </c>
      <c r="AV5061" s="498">
        <f t="shared" si="1736"/>
        <v>0</v>
      </c>
      <c r="AW5061" s="498">
        <f t="shared" si="1737"/>
        <v>0</v>
      </c>
      <c r="AX5061" s="498">
        <f t="shared" si="1738"/>
        <v>0</v>
      </c>
      <c r="AY5061" s="498">
        <f t="shared" si="1739"/>
        <v>0</v>
      </c>
      <c r="BB5061" s="498" t="str">
        <f t="shared" si="1740"/>
        <v/>
      </c>
      <c r="BC5061" s="743" t="str">
        <f t="shared" si="1741"/>
        <v/>
      </c>
      <c r="BD5061" s="743" t="str">
        <f t="shared" si="1742"/>
        <v/>
      </c>
      <c r="BE5061" s="743" t="str">
        <f>IF(D5061="","",VLOOKUP(D5061,'General Basis'!$J$39:$K$46,2,0))</f>
        <v/>
      </c>
      <c r="BF5061" s="744" t="str">
        <f>IF(D5061="","",VLOOKUP(D5061,'General Basis'!$J$39:$L$46,3,0))</f>
        <v/>
      </c>
      <c r="BG5061" s="744" t="str">
        <f t="shared" si="1749"/>
        <v/>
      </c>
      <c r="BH5061" s="744" t="str">
        <f>IF(G5061="","",IF(BF5061="Abu Dhabi",IF(G5061&lt;18,'General Basis'!$C$39,IF(G5061&lt;41,'General Basis'!$C$40,IF(G5061&lt;60,'General Basis'!$C$41,IF(G5061&lt;65,'General Basis'!$C$42,'General Basis'!$C$43)))),IF(G5061&lt;11,'General Basis'!$B$39,IF(G5061&lt;18,'General Basis'!$B$40,IF(G5061&lt;26,'General Basis'!$B$41,IF(G5061&lt;31,'General Basis'!$B$42,IF(G5061&lt;36,'General Basis'!$B$43,IF(G5061&lt;41,'General Basis'!$B$44,IF(G5061&lt;46,'General Basis'!$B$45,IF(G5061&lt;51,'General Basis'!$B$46,IF(G5061&lt;56,'General Basis'!$B$47,IF(G5061&lt;60,'General Basis'!$B$48,IF(G5061&lt;65,'General Basis'!$B$49,'General Basis'!$B$50)))))))))))))</f>
        <v/>
      </c>
      <c r="BI5061" s="744" t="str">
        <f t="shared" si="1743"/>
        <v/>
      </c>
      <c r="BJ5061" s="747" t="str">
        <f t="shared" si="1750"/>
        <v/>
      </c>
      <c r="BK5061" s="498" t="str">
        <f t="shared" si="1744"/>
        <v/>
      </c>
      <c r="BL5061" s="498" t="str">
        <f t="shared" si="1745"/>
        <v/>
      </c>
    </row>
    <row r="5062" spans="1:64" x14ac:dyDescent="0.25">
      <c r="A5062" s="762">
        <f t="shared" si="1746"/>
        <v>5057</v>
      </c>
      <c r="B5062" s="229"/>
      <c r="C5062" s="223"/>
      <c r="D5062" s="224"/>
      <c r="E5062" s="225"/>
      <c r="F5062" s="1036" t="str">
        <f t="shared" si="1752"/>
        <v/>
      </c>
      <c r="G5062" s="1037" t="str">
        <f t="shared" si="1747"/>
        <v/>
      </c>
      <c r="H5062" s="225"/>
      <c r="I5062" s="1013"/>
      <c r="J5062" s="1013"/>
      <c r="K5062" s="1028"/>
      <c r="L5062" s="1035" t="str">
        <f t="shared" si="1751"/>
        <v/>
      </c>
      <c r="S5062" s="498"/>
      <c r="AJ5062" s="498"/>
      <c r="AM5062" s="498">
        <f t="shared" ref="AM5062:AM5125" si="1754">IF(ISTEXT(B5062),1,0)</f>
        <v>0</v>
      </c>
      <c r="AN5062" s="498">
        <f t="shared" ref="AN5062:AN5125" si="1755">IF(ISBLANK(B5062),0,IF(B5062&lt;$AK$6,1,0))</f>
        <v>0</v>
      </c>
      <c r="AO5062" s="498">
        <f t="shared" ref="AO5062:AO5125" si="1756">IF(ISBLANK(B5062),0,IF(B5062&gt;$AK$7,1,0))</f>
        <v>0</v>
      </c>
      <c r="AP5062" s="498">
        <f t="shared" si="1753"/>
        <v>0</v>
      </c>
      <c r="AQ5062" s="498">
        <f t="shared" si="1748"/>
        <v>0</v>
      </c>
      <c r="AU5062" s="498">
        <f t="shared" ref="AU5062:AU5125" si="1757">IF(ISBLANK(B5062),0,1)</f>
        <v>0</v>
      </c>
      <c r="AV5062" s="498">
        <f t="shared" ref="AV5062:AV5125" si="1758">IF(ISBLANK(C5062),0,1)</f>
        <v>0</v>
      </c>
      <c r="AW5062" s="498">
        <f t="shared" ref="AW5062:AW5125" si="1759">IF(ISBLANK(D5062),0,1)</f>
        <v>0</v>
      </c>
      <c r="AX5062" s="498">
        <f t="shared" ref="AX5062:AX5125" si="1760">IF(ISBLANK(E5062),0,1)</f>
        <v>0</v>
      </c>
      <c r="AY5062" s="498">
        <f t="shared" ref="AY5062:AY5125" si="1761">IF(ISBLANK(H5062),0,1)</f>
        <v>0</v>
      </c>
      <c r="BB5062" s="498" t="str">
        <f t="shared" ref="BB5062:BB5125" si="1762">IF(E5062="Principal","Principal",IF(E5062="","","Other"))</f>
        <v/>
      </c>
      <c r="BC5062" s="743" t="str">
        <f t="shared" ref="BC5062:BC5125" si="1763">IF(D5062="","",D5062)</f>
        <v/>
      </c>
      <c r="BD5062" s="743" t="str">
        <f t="shared" ref="BD5062:BD5125" si="1764">IF(E5062="Principal","Employee",IF(E5062="","","Dependent"))</f>
        <v/>
      </c>
      <c r="BE5062" s="743" t="str">
        <f>IF(D5062="","",VLOOKUP(D5062,'General Basis'!$J$39:$K$46,2,0))</f>
        <v/>
      </c>
      <c r="BF5062" s="744" t="str">
        <f>IF(D5062="","",VLOOKUP(D5062,'General Basis'!$J$39:$L$46,3,0))</f>
        <v/>
      </c>
      <c r="BG5062" s="744" t="str">
        <f t="shared" si="1749"/>
        <v/>
      </c>
      <c r="BH5062" s="744" t="str">
        <f>IF(G5062="","",IF(BF5062="Abu Dhabi",IF(G5062&lt;18,'General Basis'!$C$39,IF(G5062&lt;41,'General Basis'!$C$40,IF(G5062&lt;60,'General Basis'!$C$41,IF(G5062&lt;65,'General Basis'!$C$42,'General Basis'!$C$43)))),IF(G5062&lt;11,'General Basis'!$B$39,IF(G5062&lt;18,'General Basis'!$B$40,IF(G5062&lt;26,'General Basis'!$B$41,IF(G5062&lt;31,'General Basis'!$B$42,IF(G5062&lt;36,'General Basis'!$B$43,IF(G5062&lt;41,'General Basis'!$B$44,IF(G5062&lt;46,'General Basis'!$B$45,IF(G5062&lt;51,'General Basis'!$B$46,IF(G5062&lt;56,'General Basis'!$B$47,IF(G5062&lt;60,'General Basis'!$B$48,IF(G5062&lt;65,'General Basis'!$B$49,'General Basis'!$B$50)))))))))))))</f>
        <v/>
      </c>
      <c r="BI5062" s="744" t="str">
        <f t="shared" ref="BI5062:BI5125" si="1765">IF(C5062="","",IF(C5062="M","Male","Female"))</f>
        <v/>
      </c>
      <c r="BJ5062" s="747" t="str">
        <f t="shared" si="1750"/>
        <v/>
      </c>
      <c r="BK5062" s="498" t="str">
        <f t="shared" ref="BK5062:BK5125" si="1766">IF(BD5062="","",IF(AND(BD5062="Employee",BI5062="Male",BF5062="Abu Dhabi",BE5062=GN_Plus),VLOOKUP(BH5062,AUH_MALE_EMP,2,0),IF(AND(BD5062="Employee",BI5062="Male",BF5062="Abu Dhabi",BE5062=GN),VLOOKUP(BH5062,AUH_MALE_EMP,3,0),IF(AND(BD5062="Employee",BI5062="Male",BF5062="Abu Dhabi",BE5062=RN_Plus),VLOOKUP(BH5062,AUH_MALE_EMP,4,0),IF(AND(BD5062="Employee",BI5062="Male",BF5062="Abu Dhabi",BE5062=RN),VLOOKUP(BH5062,AUH_MALE_EMP,5,0),IF(AND(BD5062="Employee",BI5062="Male",BF5062="Abu Dhabi",BE5062=RN_2),VLOOKUP(BH5062,AUH_MALE_EMP,6,0),IF(AND(BD5062="Employee",BI5062="Male",BF5062="Abu Dhabi",BE5062=RN2_minus),VLOOKUP(BH5062,AUH_MALE_EMP,7,0),IF(AND(BD5062="Employee",BI5062="Male",BF5062="Abu Dhabi",BE5062=RN_3),VLOOKUP(BH5062,AUH_MALE_EMP,8,0),IF(AND(BD5062="Employee",BI5062="Male",BF5062="Abu Dhabi",BE5062=VN),VLOOKUP(BH5062,AUH_MALE_EMP,9,0),IF(BD5062="","",IF(AND(BD5062="Employee",BI5062="Female",BF5062="Abu Dhabi",BE5062=GN_Plus),VLOOKUP(BH5062,AUH_FEMALE_EMP,2,0),IF(AND(BD5062="Employee",BI5062="Female",BF5062="Abu Dhabi",BE5062=GN),VLOOKUP(BH5062,AUH_FEMALE_EMP,3,0),IF(AND(BD5062="Employee",BI5062="Female",BF5062="Abu Dhabi",BE5062=RN_Plus),VLOOKUP(BH5062,AUH_FEMALE_EMP,4,0),IF(AND(BD5062="Employee",BI5062="Female",BF5062="Abu Dhabi",BE5062=RN),VLOOKUP(BH5062,AUH_FEMALE_EMP,5,0),IF(AND(BD5062="Employee",BI5062="Female",BF5062="Abu Dhabi",BE5062=RN_2),VLOOKUP(BH5062,AUH_FEMALE_EMP,6,0),IF(AND(BD5062="Employee",BI5062="Female",BF5062="Abu Dhabi",BE5062=RN2_minus),VLOOKUP(BH5062,AUH_FEMALE_EMP,7,0),IF(AND(BD5062="Employee",BI5062="Female",BF5062="Abu Dhabi",BE5062=RN_3),VLOOKUP(BH5062,AUH_FEMALE_EMP,8,0),IF(AND(BD5062="Employee",BI5062="Female",BF5062="Abu Dhabi",BE5062=VN),VLOOKUP(BH5062,AUH_FEMALE_EMP,9,0),IF(BD5062="","",IF(AND(BD5062="Dependent",BI5062="Male",BF5062="Abu Dhabi",BE5062=GN_Plus),VLOOKUP(BH5062,AUH_MALE_DEP,2,0),IF(AND(BD5062="Dependent",BI5062="Male",BF5062="Abu Dhabi",BE5062=GN),VLOOKUP(BH5062,AUH_MALE_DEP,3,0),IF(AND(BD5062="Dependent",BI5062="Male",BF5062="Abu Dhabi",BE5062=RN_Plus),VLOOKUP(BH5062,AUH_MALE_DEP,4,0),IF(AND(BD5062="Dependent",BI5062="Male",BF5062="Abu Dhabi",BE5062=RN),VLOOKUP(BH5062,AUH_MALE_DEP,5,0),IF(AND(BD5062="Dependent",BI5062="Male",BF5062="Abu Dhabi",BE5062=RN_2),VLOOKUP(BH5062,AUH_MALE_DEP,6,0),IF(AND(BD5062="Dependent",BI5062="Male",BF5062="Abu Dhabi",BE5062=RN2_minus),VLOOKUP(BH5062,AUH_MALE_DEP,7,0),IF(AND(BD5062="Dependent",BI5062="Male",BF5062="Abu Dhabi",BE5062=RN_3),VLOOKUP(BH5062,AUH_MALE_DEP,8,0),IF(AND(BD5062="Dependent",BI5062="Male",BF5062="Abu Dhabi",BE5062=VN),VLOOKUP(BH5062,AUH_MALE_DEP,9,0),IF(BD5062="","",IF(AND(BD5062="Dependent",BI5062="Female",BF5062="Abu Dhabi",BE5062=GN_Plus),VLOOKUP(BH5062,AUH_FEMALE_DEP,2,0),IF(AND(BD5062="Dependent",BI5062="Female",BF5062="Abu Dhabi",BE5062=GN),VLOOKUP(BH5062,AUH_FEMALE_DEP,3,0),IF(AND(BD5062="Dependent",BI5062="Female",BF5062="Abu Dhabi",BE5062=RN_Plus),VLOOKUP(BH5062,AUH_FEMALE_DEP,4,0),IF(AND(BD5062="Dependent",BI5062="Female",BF5062="Abu Dhabi",BE5062=RN),VLOOKUP(BH5062,AUH_FEMALE_DEP,5,0),IF(AND(BD5062="Dependent",BI5062="Female",BF5062="Abu Dhabi",BE5062=RN_2),VLOOKUP(BH5062,AUH_FEMALE_DEP,6,0),IF(AND(BD5062="Dependent",BI5062="Female",BF5062="Abu Dhabi",BE5062=RN2_minus),VLOOKUP(BH5062,AUH_FEMALE_DEP,7,0),IF(AND(BD5062="Dependent",BI5062="Female",BF5062="Abu Dhabi",BE5062=RN_3),VLOOKUP(BH5062,AUH_FEMALE_DEP,8,0),IF(AND(BD5062="Dependent",BI5062="Female",BF5062="Abu Dhabi",BE5062=VN),VLOOKUP(BH5062,AUH_FEMALE_DEP,9,0),"ABC"))))))))))))))))))))))))))))))))))))</f>
        <v/>
      </c>
      <c r="BL5062" s="498" t="str">
        <f t="shared" ref="BL5062:BL5125" si="1767">IF(BD5062="","",IF(AND(BD5062="Employee",BI5062="Male",BF5062="Dubai",BE5062=GN_Plus),VLOOKUP(BH5062,DXB_MALE_EMP,2,0),IF(AND(BD5062="Employee",BI5062="Male",BF5062="Dubai",BE5062=GN),VLOOKUP(BH5062,DXB_MALE_EMP,3,0),IF(AND(BD5062="Employee",BI5062="Male",BF5062="Dubai",BE5062=RN_Plus),VLOOKUP(BH5062,DXB_MALE_EMP,4,0),IF(AND(BD5062="Employee",BI5062="Male",BF5062="Dubai",BE5062=RN),VLOOKUP(BH5062,DXB_MALE_EMP,5,0),IF(AND(BD5062="Employee",BI5062="Male",BF5062="Dubai",BE5062=RN_2),VLOOKUP(BH5062,DXB_MALE_EMP,6,0),IF(AND(BD5062="Employee",BI5062="Male",BF5062="Dubai",BE5062=RN2_minus),VLOOKUP(BH5062,DXB_MALE_EMP,7,0),IF(AND(BD5062="Employee",BI5062="Male",BF5062="Dubai",BE5062=RN_3),VLOOKUP(BH5062,DXB_MALE_EMP,8,0),IF(AND(BD5062="Employee",BI5062="Male",BF5062="Dubai",BE5062=VN),VLOOKUP(BH5062,DXB_MALE_EMP,9,0),IF(BD5062="","",IF(AND(BD5062="Employee",BI5062="Female",BF5062="Dubai",BE5062=GN_Plus),VLOOKUP(BH5062,DXB_FEMALE_EMP,2,0),IF(AND(BD5062="Employee",BI5062="Female",BF5062="Dubai",BE5062=GN),VLOOKUP(BH5062,DXB_FEMALE_EMP,3,0),IF(AND(BD5062="Employee",BI5062="Female",BF5062="Dubai",BE5062=RN_Plus),VLOOKUP(BH5062,DXB_FEMALE_EMP,4,0),IF(AND(BD5062="Employee",BI5062="Female",BF5062="Dubai",BE5062=RN),VLOOKUP(BH5062,DXB_FEMALE_EMP,5,0),IF(AND(BD5062="Employee",BI5062="Female",BF5062="Dubai",BE5062=RN_2),VLOOKUP(BH5062,DXB_FEMALE_EMP,6,0),IF(AND(BD5062="Employee",BI5062="Female",BF5062="Dubai",BE5062=RN2_minus),VLOOKUP(BH5062,DXB_FEMALE_EMP,7,0),IF(AND(BD5062="Employee",BI5062="Female",BF5062="Dubai",BE5062=RN_3),VLOOKUP(BH5062,DXB_FEMALE_EMP,8,0),IF(AND(BD5062="Employee",BI5062="Female",BF5062="Dubai",BE5062=VN),VLOOKUP(BH5062,DXB_FEMALE_EMP,9,0),IF(BD5062="","",IF(AND(BD5062="Dependent",BI5062="Male",BF5062="Dubai",BE5062=GN_Plus),VLOOKUP(BH5062,DXB_MALE_DEP,2,0),IF(AND(BD5062="Dependent",BI5062="Male",BF5062="Dubai",BE5062=GN),VLOOKUP(BH5062,DXB_MALE_DEP,3,0),IF(AND(BD5062="Dependent",BI5062="Male",BF5062="Dubai",BE5062=RN_Plus),VLOOKUP(BH5062,DXB_MALE_DEP,4,0),IF(AND(BD5062="Dependent",BI5062="Male",BF5062="Dubai",BE5062=RN),VLOOKUP(BH5062,DXB_MALE_DEP,5,0),IF(AND(BD5062="Dependent",BI5062="Male",BF5062="Dubai",BE5062=RN_2),VLOOKUP(BH5062,DXB_MALE_DEP,6,0),IF(AND(BD5062="Dependent",BI5062="Male",BF5062="Dubai",BE5062=RN2_minus),VLOOKUP(BH5062,DXB_MALE_DEP,7,0),IF(AND(BD5062="Dependent",BI5062="Male",BF5062="Dubai",BE5062=RN_3),VLOOKUP(BH5062,DXB_MALE_DEP,8,0),IF(AND(BD5062="Dependent",BI5062="Male",BF5062="Dubai",BE5062=VN),VLOOKUP(BH5062,DXB_MALE_DEP,9,0),IF(BD5062="","",IF(AND(BD5062="Dependent",BI5062="Female",BF5062="Dubai",BE5062=GN_Plus),VLOOKUP(BH5062,DXB_FEMALE_DEP,2,0),IF(AND(BD5062="Dependent",BI5062="Female",BF5062="Dubai",BE5062=GN),VLOOKUP(BH5062,DXB_FEMALE_DEP,3,0),IF(AND(BD5062="Dependent",BI5062="Female",BF5062="Dubai",BE5062=RN_Plus),VLOOKUP(BH5062,DXB_FEMALE_DEP,4,0),IF(AND(BD5062="Dependent",BI5062="Female",BF5062="Dubai",BE5062=RN),VLOOKUP(BH5062,DXB_FEMALE_DEP,5,0),IF(AND(BD5062="Dependent",BI5062="Female",BF5062="Dubai",BE5062=RN_2),VLOOKUP(BH5062,DXB_FEMALE_DEP,6,0),IF(AND(BD5062="Dependent",BI5062="Female",BF5062="Dubai",BE5062=RN2_minus),VLOOKUP(BH5062,DXB_FEMALE_DEP,7,0),IF(AND(BD5062="Dependent",BI5062="Female",BF5062="Dubai",BE5062=RN_3),VLOOKUP(BH5062,DXB_FEMALE_DEP,8,0),IF(AND(BD5062="Dependent",BI5062="Female",BF5062="Dubai",BE5062=VN),VLOOKUP(BH5062,DXB_FEMALE_DEP,9,0),"ABC"))))))))))))))))))))))))))))))))))))</f>
        <v/>
      </c>
    </row>
    <row r="5063" spans="1:64" x14ac:dyDescent="0.25">
      <c r="A5063" s="762">
        <f t="shared" ref="A5063:A5126" si="1768">+A5062+1</f>
        <v>5058</v>
      </c>
      <c r="B5063" s="229"/>
      <c r="C5063" s="223"/>
      <c r="D5063" s="224"/>
      <c r="E5063" s="225"/>
      <c r="F5063" s="1036" t="str">
        <f t="shared" si="1752"/>
        <v/>
      </c>
      <c r="G5063" s="1037" t="str">
        <f t="shared" ref="G5063:G5126" si="1769">IF(D5063="","",MAX(0,ROUNDUP(F5063,0)))</f>
        <v/>
      </c>
      <c r="H5063" s="225"/>
      <c r="I5063" s="1013"/>
      <c r="J5063" s="1013"/>
      <c r="K5063" s="1028"/>
      <c r="L5063" s="1035" t="str">
        <f t="shared" si="1751"/>
        <v/>
      </c>
      <c r="S5063" s="498"/>
      <c r="AJ5063" s="498"/>
      <c r="AM5063" s="498">
        <f t="shared" si="1754"/>
        <v>0</v>
      </c>
      <c r="AN5063" s="498">
        <f t="shared" si="1755"/>
        <v>0</v>
      </c>
      <c r="AO5063" s="498">
        <f t="shared" si="1756"/>
        <v>0</v>
      </c>
      <c r="AP5063" s="498">
        <f t="shared" si="1753"/>
        <v>0</v>
      </c>
      <c r="AQ5063" s="498">
        <f t="shared" ref="AQ5063:AQ5126" si="1770">IF(ISBLANK($B5063),0,IF(OR($H5063="Single",$H5063="Married"),0,1))</f>
        <v>0</v>
      </c>
      <c r="AU5063" s="498">
        <f t="shared" si="1757"/>
        <v>0</v>
      </c>
      <c r="AV5063" s="498">
        <f t="shared" si="1758"/>
        <v>0</v>
      </c>
      <c r="AW5063" s="498">
        <f t="shared" si="1759"/>
        <v>0</v>
      </c>
      <c r="AX5063" s="498">
        <f t="shared" si="1760"/>
        <v>0</v>
      </c>
      <c r="AY5063" s="498">
        <f t="shared" si="1761"/>
        <v>0</v>
      </c>
      <c r="BB5063" s="498" t="str">
        <f t="shared" si="1762"/>
        <v/>
      </c>
      <c r="BC5063" s="743" t="str">
        <f t="shared" si="1763"/>
        <v/>
      </c>
      <c r="BD5063" s="743" t="str">
        <f t="shared" si="1764"/>
        <v/>
      </c>
      <c r="BE5063" s="743" t="str">
        <f>IF(D5063="","",VLOOKUP(D5063,'General Basis'!$J$39:$K$46,2,0))</f>
        <v/>
      </c>
      <c r="BF5063" s="744" t="str">
        <f>IF(D5063="","",VLOOKUP(D5063,'General Basis'!$J$39:$L$46,3,0))</f>
        <v/>
      </c>
      <c r="BG5063" s="744" t="str">
        <f t="shared" ref="BG5063:BG5126" si="1771">BC5063&amp;BI5063</f>
        <v/>
      </c>
      <c r="BH5063" s="744" t="str">
        <f>IF(G5063="","",IF(BF5063="Abu Dhabi",IF(G5063&lt;18,'General Basis'!$C$39,IF(G5063&lt;41,'General Basis'!$C$40,IF(G5063&lt;60,'General Basis'!$C$41,IF(G5063&lt;65,'General Basis'!$C$42,'General Basis'!$C$43)))),IF(G5063&lt;11,'General Basis'!$B$39,IF(G5063&lt;18,'General Basis'!$B$40,IF(G5063&lt;26,'General Basis'!$B$41,IF(G5063&lt;31,'General Basis'!$B$42,IF(G5063&lt;36,'General Basis'!$B$43,IF(G5063&lt;41,'General Basis'!$B$44,IF(G5063&lt;46,'General Basis'!$B$45,IF(G5063&lt;51,'General Basis'!$B$46,IF(G5063&lt;56,'General Basis'!$B$47,IF(G5063&lt;60,'General Basis'!$B$48,IF(G5063&lt;65,'General Basis'!$B$49,'General Basis'!$B$50)))))))))))))</f>
        <v/>
      </c>
      <c r="BI5063" s="744" t="str">
        <f t="shared" si="1765"/>
        <v/>
      </c>
      <c r="BJ5063" s="747" t="str">
        <f t="shared" ref="BJ5063:BJ5126" si="1772">IF(BD5063="","",IF(BF5063="Abu Dhabi",BK5063,BL5063))</f>
        <v/>
      </c>
      <c r="BK5063" s="498" t="str">
        <f t="shared" si="1766"/>
        <v/>
      </c>
      <c r="BL5063" s="498" t="str">
        <f t="shared" si="1767"/>
        <v/>
      </c>
    </row>
    <row r="5064" spans="1:64" x14ac:dyDescent="0.25">
      <c r="A5064" s="762">
        <f t="shared" si="1768"/>
        <v>5059</v>
      </c>
      <c r="B5064" s="229"/>
      <c r="C5064" s="223"/>
      <c r="D5064" s="224"/>
      <c r="E5064" s="225"/>
      <c r="F5064" s="1036" t="str">
        <f t="shared" si="1752"/>
        <v/>
      </c>
      <c r="G5064" s="1037" t="str">
        <f t="shared" si="1769"/>
        <v/>
      </c>
      <c r="H5064" s="225"/>
      <c r="I5064" s="1013"/>
      <c r="J5064" s="1013"/>
      <c r="K5064" s="1028"/>
      <c r="L5064" s="1035" t="str">
        <f t="shared" ref="L5064:L5127" si="1773">IF(AND(E5064="Child",H5064="Married"),"Check the Marital Status of the Child. ",IF(AND(E5064="Child",F5064&gt;18),"Child Age exceed 18 years. ",IF(AND(E5064="Spouse",H5064="Single"),"Spouse is selected as Single. ","")))&amp;IF(K5064&gt;0,"UW Loading has been Applied","")</f>
        <v/>
      </c>
      <c r="S5064" s="498"/>
      <c r="AJ5064" s="498"/>
      <c r="AM5064" s="498">
        <f t="shared" si="1754"/>
        <v>0</v>
      </c>
      <c r="AN5064" s="498">
        <f t="shared" si="1755"/>
        <v>0</v>
      </c>
      <c r="AO5064" s="498">
        <f t="shared" si="1756"/>
        <v>0</v>
      </c>
      <c r="AP5064" s="498">
        <f t="shared" si="1753"/>
        <v>0</v>
      </c>
      <c r="AQ5064" s="498">
        <f t="shared" si="1770"/>
        <v>0</v>
      </c>
      <c r="AU5064" s="498">
        <f t="shared" si="1757"/>
        <v>0</v>
      </c>
      <c r="AV5064" s="498">
        <f t="shared" si="1758"/>
        <v>0</v>
      </c>
      <c r="AW5064" s="498">
        <f t="shared" si="1759"/>
        <v>0</v>
      </c>
      <c r="AX5064" s="498">
        <f t="shared" si="1760"/>
        <v>0</v>
      </c>
      <c r="AY5064" s="498">
        <f t="shared" si="1761"/>
        <v>0</v>
      </c>
      <c r="BB5064" s="498" t="str">
        <f t="shared" si="1762"/>
        <v/>
      </c>
      <c r="BC5064" s="743" t="str">
        <f t="shared" si="1763"/>
        <v/>
      </c>
      <c r="BD5064" s="743" t="str">
        <f t="shared" si="1764"/>
        <v/>
      </c>
      <c r="BE5064" s="743" t="str">
        <f>IF(D5064="","",VLOOKUP(D5064,'General Basis'!$J$39:$K$46,2,0))</f>
        <v/>
      </c>
      <c r="BF5064" s="744" t="str">
        <f>IF(D5064="","",VLOOKUP(D5064,'General Basis'!$J$39:$L$46,3,0))</f>
        <v/>
      </c>
      <c r="BG5064" s="744" t="str">
        <f t="shared" si="1771"/>
        <v/>
      </c>
      <c r="BH5064" s="744" t="str">
        <f>IF(G5064="","",IF(BF5064="Abu Dhabi",IF(G5064&lt;18,'General Basis'!$C$39,IF(G5064&lt;41,'General Basis'!$C$40,IF(G5064&lt;60,'General Basis'!$C$41,IF(G5064&lt;65,'General Basis'!$C$42,'General Basis'!$C$43)))),IF(G5064&lt;11,'General Basis'!$B$39,IF(G5064&lt;18,'General Basis'!$B$40,IF(G5064&lt;26,'General Basis'!$B$41,IF(G5064&lt;31,'General Basis'!$B$42,IF(G5064&lt;36,'General Basis'!$B$43,IF(G5064&lt;41,'General Basis'!$B$44,IF(G5064&lt;46,'General Basis'!$B$45,IF(G5064&lt;51,'General Basis'!$B$46,IF(G5064&lt;56,'General Basis'!$B$47,IF(G5064&lt;60,'General Basis'!$B$48,IF(G5064&lt;65,'General Basis'!$B$49,'General Basis'!$B$50)))))))))))))</f>
        <v/>
      </c>
      <c r="BI5064" s="744" t="str">
        <f t="shared" si="1765"/>
        <v/>
      </c>
      <c r="BJ5064" s="747" t="str">
        <f t="shared" si="1772"/>
        <v/>
      </c>
      <c r="BK5064" s="498" t="str">
        <f t="shared" si="1766"/>
        <v/>
      </c>
      <c r="BL5064" s="498" t="str">
        <f t="shared" si="1767"/>
        <v/>
      </c>
    </row>
    <row r="5065" spans="1:64" x14ac:dyDescent="0.25">
      <c r="A5065" s="762">
        <f t="shared" si="1768"/>
        <v>5060</v>
      </c>
      <c r="B5065" s="229"/>
      <c r="C5065" s="223"/>
      <c r="D5065" s="224"/>
      <c r="E5065" s="225"/>
      <c r="F5065" s="1036" t="str">
        <f t="shared" si="1752"/>
        <v/>
      </c>
      <c r="G5065" s="1037" t="str">
        <f t="shared" si="1769"/>
        <v/>
      </c>
      <c r="H5065" s="225"/>
      <c r="I5065" s="1013"/>
      <c r="J5065" s="1013"/>
      <c r="K5065" s="1028"/>
      <c r="L5065" s="1035" t="str">
        <f t="shared" si="1773"/>
        <v/>
      </c>
      <c r="S5065" s="498"/>
      <c r="AJ5065" s="498"/>
      <c r="AM5065" s="498">
        <f t="shared" si="1754"/>
        <v>0</v>
      </c>
      <c r="AN5065" s="498">
        <f t="shared" si="1755"/>
        <v>0</v>
      </c>
      <c r="AO5065" s="498">
        <f t="shared" si="1756"/>
        <v>0</v>
      </c>
      <c r="AP5065" s="498">
        <f t="shared" si="1753"/>
        <v>0</v>
      </c>
      <c r="AQ5065" s="498">
        <f t="shared" si="1770"/>
        <v>0</v>
      </c>
      <c r="AU5065" s="498">
        <f t="shared" si="1757"/>
        <v>0</v>
      </c>
      <c r="AV5065" s="498">
        <f t="shared" si="1758"/>
        <v>0</v>
      </c>
      <c r="AW5065" s="498">
        <f t="shared" si="1759"/>
        <v>0</v>
      </c>
      <c r="AX5065" s="498">
        <f t="shared" si="1760"/>
        <v>0</v>
      </c>
      <c r="AY5065" s="498">
        <f t="shared" si="1761"/>
        <v>0</v>
      </c>
      <c r="BB5065" s="498" t="str">
        <f t="shared" si="1762"/>
        <v/>
      </c>
      <c r="BC5065" s="743" t="str">
        <f t="shared" si="1763"/>
        <v/>
      </c>
      <c r="BD5065" s="743" t="str">
        <f t="shared" si="1764"/>
        <v/>
      </c>
      <c r="BE5065" s="743" t="str">
        <f>IF(D5065="","",VLOOKUP(D5065,'General Basis'!$J$39:$K$46,2,0))</f>
        <v/>
      </c>
      <c r="BF5065" s="744" t="str">
        <f>IF(D5065="","",VLOOKUP(D5065,'General Basis'!$J$39:$L$46,3,0))</f>
        <v/>
      </c>
      <c r="BG5065" s="744" t="str">
        <f t="shared" si="1771"/>
        <v/>
      </c>
      <c r="BH5065" s="744" t="str">
        <f>IF(G5065="","",IF(BF5065="Abu Dhabi",IF(G5065&lt;18,'General Basis'!$C$39,IF(G5065&lt;41,'General Basis'!$C$40,IF(G5065&lt;60,'General Basis'!$C$41,IF(G5065&lt;65,'General Basis'!$C$42,'General Basis'!$C$43)))),IF(G5065&lt;11,'General Basis'!$B$39,IF(G5065&lt;18,'General Basis'!$B$40,IF(G5065&lt;26,'General Basis'!$B$41,IF(G5065&lt;31,'General Basis'!$B$42,IF(G5065&lt;36,'General Basis'!$B$43,IF(G5065&lt;41,'General Basis'!$B$44,IF(G5065&lt;46,'General Basis'!$B$45,IF(G5065&lt;51,'General Basis'!$B$46,IF(G5065&lt;56,'General Basis'!$B$47,IF(G5065&lt;60,'General Basis'!$B$48,IF(G5065&lt;65,'General Basis'!$B$49,'General Basis'!$B$50)))))))))))))</f>
        <v/>
      </c>
      <c r="BI5065" s="744" t="str">
        <f t="shared" si="1765"/>
        <v/>
      </c>
      <c r="BJ5065" s="747" t="str">
        <f t="shared" si="1772"/>
        <v/>
      </c>
      <c r="BK5065" s="498" t="str">
        <f t="shared" si="1766"/>
        <v/>
      </c>
      <c r="BL5065" s="498" t="str">
        <f t="shared" si="1767"/>
        <v/>
      </c>
    </row>
    <row r="5066" spans="1:64" x14ac:dyDescent="0.25">
      <c r="A5066" s="762">
        <f t="shared" si="1768"/>
        <v>5061</v>
      </c>
      <c r="B5066" s="229"/>
      <c r="C5066" s="223"/>
      <c r="D5066" s="224"/>
      <c r="E5066" s="225"/>
      <c r="F5066" s="1036" t="str">
        <f t="shared" si="1752"/>
        <v/>
      </c>
      <c r="G5066" s="1037" t="str">
        <f t="shared" si="1769"/>
        <v/>
      </c>
      <c r="H5066" s="225"/>
      <c r="I5066" s="1013"/>
      <c r="J5066" s="1013"/>
      <c r="K5066" s="1028"/>
      <c r="L5066" s="1035" t="str">
        <f t="shared" si="1773"/>
        <v/>
      </c>
      <c r="S5066" s="498"/>
      <c r="AJ5066" s="498"/>
      <c r="AM5066" s="498">
        <f t="shared" si="1754"/>
        <v>0</v>
      </c>
      <c r="AN5066" s="498">
        <f t="shared" si="1755"/>
        <v>0</v>
      </c>
      <c r="AO5066" s="498">
        <f t="shared" si="1756"/>
        <v>0</v>
      </c>
      <c r="AP5066" s="498">
        <f t="shared" si="1753"/>
        <v>0</v>
      </c>
      <c r="AQ5066" s="498">
        <f t="shared" si="1770"/>
        <v>0</v>
      </c>
      <c r="AU5066" s="498">
        <f t="shared" si="1757"/>
        <v>0</v>
      </c>
      <c r="AV5066" s="498">
        <f t="shared" si="1758"/>
        <v>0</v>
      </c>
      <c r="AW5066" s="498">
        <f t="shared" si="1759"/>
        <v>0</v>
      </c>
      <c r="AX5066" s="498">
        <f t="shared" si="1760"/>
        <v>0</v>
      </c>
      <c r="AY5066" s="498">
        <f t="shared" si="1761"/>
        <v>0</v>
      </c>
      <c r="BB5066" s="498" t="str">
        <f t="shared" si="1762"/>
        <v/>
      </c>
      <c r="BC5066" s="743" t="str">
        <f t="shared" si="1763"/>
        <v/>
      </c>
      <c r="BD5066" s="743" t="str">
        <f t="shared" si="1764"/>
        <v/>
      </c>
      <c r="BE5066" s="743" t="str">
        <f>IF(D5066="","",VLOOKUP(D5066,'General Basis'!$J$39:$K$46,2,0))</f>
        <v/>
      </c>
      <c r="BF5066" s="744" t="str">
        <f>IF(D5066="","",VLOOKUP(D5066,'General Basis'!$J$39:$L$46,3,0))</f>
        <v/>
      </c>
      <c r="BG5066" s="744" t="str">
        <f t="shared" si="1771"/>
        <v/>
      </c>
      <c r="BH5066" s="744" t="str">
        <f>IF(G5066="","",IF(BF5066="Abu Dhabi",IF(G5066&lt;18,'General Basis'!$C$39,IF(G5066&lt;41,'General Basis'!$C$40,IF(G5066&lt;60,'General Basis'!$C$41,IF(G5066&lt;65,'General Basis'!$C$42,'General Basis'!$C$43)))),IF(G5066&lt;11,'General Basis'!$B$39,IF(G5066&lt;18,'General Basis'!$B$40,IF(G5066&lt;26,'General Basis'!$B$41,IF(G5066&lt;31,'General Basis'!$B$42,IF(G5066&lt;36,'General Basis'!$B$43,IF(G5066&lt;41,'General Basis'!$B$44,IF(G5066&lt;46,'General Basis'!$B$45,IF(G5066&lt;51,'General Basis'!$B$46,IF(G5066&lt;56,'General Basis'!$B$47,IF(G5066&lt;60,'General Basis'!$B$48,IF(G5066&lt;65,'General Basis'!$B$49,'General Basis'!$B$50)))))))))))))</f>
        <v/>
      </c>
      <c r="BI5066" s="744" t="str">
        <f t="shared" si="1765"/>
        <v/>
      </c>
      <c r="BJ5066" s="747" t="str">
        <f t="shared" si="1772"/>
        <v/>
      </c>
      <c r="BK5066" s="498" t="str">
        <f t="shared" si="1766"/>
        <v/>
      </c>
      <c r="BL5066" s="498" t="str">
        <f t="shared" si="1767"/>
        <v/>
      </c>
    </row>
    <row r="5067" spans="1:64" x14ac:dyDescent="0.25">
      <c r="A5067" s="762">
        <f t="shared" si="1768"/>
        <v>5062</v>
      </c>
      <c r="B5067" s="229"/>
      <c r="C5067" s="223"/>
      <c r="D5067" s="224"/>
      <c r="E5067" s="225"/>
      <c r="F5067" s="1036" t="str">
        <f t="shared" si="1752"/>
        <v/>
      </c>
      <c r="G5067" s="1037" t="str">
        <f t="shared" si="1769"/>
        <v/>
      </c>
      <c r="H5067" s="225"/>
      <c r="I5067" s="1013"/>
      <c r="J5067" s="1013"/>
      <c r="K5067" s="1028"/>
      <c r="L5067" s="1035" t="str">
        <f t="shared" si="1773"/>
        <v/>
      </c>
      <c r="S5067" s="498"/>
      <c r="AJ5067" s="498"/>
      <c r="AM5067" s="498">
        <f t="shared" si="1754"/>
        <v>0</v>
      </c>
      <c r="AN5067" s="498">
        <f t="shared" si="1755"/>
        <v>0</v>
      </c>
      <c r="AO5067" s="498">
        <f t="shared" si="1756"/>
        <v>0</v>
      </c>
      <c r="AP5067" s="498">
        <f t="shared" si="1753"/>
        <v>0</v>
      </c>
      <c r="AQ5067" s="498">
        <f t="shared" si="1770"/>
        <v>0</v>
      </c>
      <c r="AU5067" s="498">
        <f t="shared" si="1757"/>
        <v>0</v>
      </c>
      <c r="AV5067" s="498">
        <f t="shared" si="1758"/>
        <v>0</v>
      </c>
      <c r="AW5067" s="498">
        <f t="shared" si="1759"/>
        <v>0</v>
      </c>
      <c r="AX5067" s="498">
        <f t="shared" si="1760"/>
        <v>0</v>
      </c>
      <c r="AY5067" s="498">
        <f t="shared" si="1761"/>
        <v>0</v>
      </c>
      <c r="BB5067" s="498" t="str">
        <f t="shared" si="1762"/>
        <v/>
      </c>
      <c r="BC5067" s="743" t="str">
        <f t="shared" si="1763"/>
        <v/>
      </c>
      <c r="BD5067" s="743" t="str">
        <f t="shared" si="1764"/>
        <v/>
      </c>
      <c r="BE5067" s="743" t="str">
        <f>IF(D5067="","",VLOOKUP(D5067,'General Basis'!$J$39:$K$46,2,0))</f>
        <v/>
      </c>
      <c r="BF5067" s="744" t="str">
        <f>IF(D5067="","",VLOOKUP(D5067,'General Basis'!$J$39:$L$46,3,0))</f>
        <v/>
      </c>
      <c r="BG5067" s="744" t="str">
        <f t="shared" si="1771"/>
        <v/>
      </c>
      <c r="BH5067" s="744" t="str">
        <f>IF(G5067="","",IF(BF5067="Abu Dhabi",IF(G5067&lt;18,'General Basis'!$C$39,IF(G5067&lt;41,'General Basis'!$C$40,IF(G5067&lt;60,'General Basis'!$C$41,IF(G5067&lt;65,'General Basis'!$C$42,'General Basis'!$C$43)))),IF(G5067&lt;11,'General Basis'!$B$39,IF(G5067&lt;18,'General Basis'!$B$40,IF(G5067&lt;26,'General Basis'!$B$41,IF(G5067&lt;31,'General Basis'!$B$42,IF(G5067&lt;36,'General Basis'!$B$43,IF(G5067&lt;41,'General Basis'!$B$44,IF(G5067&lt;46,'General Basis'!$B$45,IF(G5067&lt;51,'General Basis'!$B$46,IF(G5067&lt;56,'General Basis'!$B$47,IF(G5067&lt;60,'General Basis'!$B$48,IF(G5067&lt;65,'General Basis'!$B$49,'General Basis'!$B$50)))))))))))))</f>
        <v/>
      </c>
      <c r="BI5067" s="744" t="str">
        <f t="shared" si="1765"/>
        <v/>
      </c>
      <c r="BJ5067" s="747" t="str">
        <f t="shared" si="1772"/>
        <v/>
      </c>
      <c r="BK5067" s="498" t="str">
        <f t="shared" si="1766"/>
        <v/>
      </c>
      <c r="BL5067" s="498" t="str">
        <f t="shared" si="1767"/>
        <v/>
      </c>
    </row>
    <row r="5068" spans="1:64" x14ac:dyDescent="0.25">
      <c r="A5068" s="762">
        <f t="shared" si="1768"/>
        <v>5063</v>
      </c>
      <c r="B5068" s="229"/>
      <c r="C5068" s="223"/>
      <c r="D5068" s="224"/>
      <c r="E5068" s="225"/>
      <c r="F5068" s="1036" t="str">
        <f t="shared" si="1752"/>
        <v/>
      </c>
      <c r="G5068" s="1037" t="str">
        <f t="shared" si="1769"/>
        <v/>
      </c>
      <c r="H5068" s="225"/>
      <c r="I5068" s="1013"/>
      <c r="J5068" s="1013"/>
      <c r="K5068" s="1028"/>
      <c r="L5068" s="1035" t="str">
        <f t="shared" si="1773"/>
        <v/>
      </c>
      <c r="S5068" s="498"/>
      <c r="AJ5068" s="498"/>
      <c r="AM5068" s="498">
        <f t="shared" si="1754"/>
        <v>0</v>
      </c>
      <c r="AN5068" s="498">
        <f t="shared" si="1755"/>
        <v>0</v>
      </c>
      <c r="AO5068" s="498">
        <f t="shared" si="1756"/>
        <v>0</v>
      </c>
      <c r="AP5068" s="498">
        <f t="shared" si="1753"/>
        <v>0</v>
      </c>
      <c r="AQ5068" s="498">
        <f t="shared" si="1770"/>
        <v>0</v>
      </c>
      <c r="AU5068" s="498">
        <f t="shared" si="1757"/>
        <v>0</v>
      </c>
      <c r="AV5068" s="498">
        <f t="shared" si="1758"/>
        <v>0</v>
      </c>
      <c r="AW5068" s="498">
        <f t="shared" si="1759"/>
        <v>0</v>
      </c>
      <c r="AX5068" s="498">
        <f t="shared" si="1760"/>
        <v>0</v>
      </c>
      <c r="AY5068" s="498">
        <f t="shared" si="1761"/>
        <v>0</v>
      </c>
      <c r="BB5068" s="498" t="str">
        <f t="shared" si="1762"/>
        <v/>
      </c>
      <c r="BC5068" s="743" t="str">
        <f t="shared" si="1763"/>
        <v/>
      </c>
      <c r="BD5068" s="743" t="str">
        <f t="shared" si="1764"/>
        <v/>
      </c>
      <c r="BE5068" s="743" t="str">
        <f>IF(D5068="","",VLOOKUP(D5068,'General Basis'!$J$39:$K$46,2,0))</f>
        <v/>
      </c>
      <c r="BF5068" s="744" t="str">
        <f>IF(D5068="","",VLOOKUP(D5068,'General Basis'!$J$39:$L$46,3,0))</f>
        <v/>
      </c>
      <c r="BG5068" s="744" t="str">
        <f t="shared" si="1771"/>
        <v/>
      </c>
      <c r="BH5068" s="744" t="str">
        <f>IF(G5068="","",IF(BF5068="Abu Dhabi",IF(G5068&lt;18,'General Basis'!$C$39,IF(G5068&lt;41,'General Basis'!$C$40,IF(G5068&lt;60,'General Basis'!$C$41,IF(G5068&lt;65,'General Basis'!$C$42,'General Basis'!$C$43)))),IF(G5068&lt;11,'General Basis'!$B$39,IF(G5068&lt;18,'General Basis'!$B$40,IF(G5068&lt;26,'General Basis'!$B$41,IF(G5068&lt;31,'General Basis'!$B$42,IF(G5068&lt;36,'General Basis'!$B$43,IF(G5068&lt;41,'General Basis'!$B$44,IF(G5068&lt;46,'General Basis'!$B$45,IF(G5068&lt;51,'General Basis'!$B$46,IF(G5068&lt;56,'General Basis'!$B$47,IF(G5068&lt;60,'General Basis'!$B$48,IF(G5068&lt;65,'General Basis'!$B$49,'General Basis'!$B$50)))))))))))))</f>
        <v/>
      </c>
      <c r="BI5068" s="744" t="str">
        <f t="shared" si="1765"/>
        <v/>
      </c>
      <c r="BJ5068" s="747" t="str">
        <f t="shared" si="1772"/>
        <v/>
      </c>
      <c r="BK5068" s="498" t="str">
        <f t="shared" si="1766"/>
        <v/>
      </c>
      <c r="BL5068" s="498" t="str">
        <f t="shared" si="1767"/>
        <v/>
      </c>
    </row>
    <row r="5069" spans="1:64" x14ac:dyDescent="0.25">
      <c r="A5069" s="762">
        <f t="shared" si="1768"/>
        <v>5064</v>
      </c>
      <c r="B5069" s="229"/>
      <c r="C5069" s="223"/>
      <c r="D5069" s="224"/>
      <c r="E5069" s="225"/>
      <c r="F5069" s="1036" t="str">
        <f t="shared" si="1752"/>
        <v/>
      </c>
      <c r="G5069" s="1037" t="str">
        <f t="shared" si="1769"/>
        <v/>
      </c>
      <c r="H5069" s="225"/>
      <c r="I5069" s="1013"/>
      <c r="J5069" s="1013"/>
      <c r="K5069" s="1028"/>
      <c r="L5069" s="1035" t="str">
        <f t="shared" si="1773"/>
        <v/>
      </c>
      <c r="S5069" s="498"/>
      <c r="AJ5069" s="498"/>
      <c r="AM5069" s="498">
        <f t="shared" si="1754"/>
        <v>0</v>
      </c>
      <c r="AN5069" s="498">
        <f t="shared" si="1755"/>
        <v>0</v>
      </c>
      <c r="AO5069" s="498">
        <f t="shared" si="1756"/>
        <v>0</v>
      </c>
      <c r="AP5069" s="498">
        <f t="shared" si="1753"/>
        <v>0</v>
      </c>
      <c r="AQ5069" s="498">
        <f t="shared" si="1770"/>
        <v>0</v>
      </c>
      <c r="AU5069" s="498">
        <f t="shared" si="1757"/>
        <v>0</v>
      </c>
      <c r="AV5069" s="498">
        <f t="shared" si="1758"/>
        <v>0</v>
      </c>
      <c r="AW5069" s="498">
        <f t="shared" si="1759"/>
        <v>0</v>
      </c>
      <c r="AX5069" s="498">
        <f t="shared" si="1760"/>
        <v>0</v>
      </c>
      <c r="AY5069" s="498">
        <f t="shared" si="1761"/>
        <v>0</v>
      </c>
      <c r="BB5069" s="498" t="str">
        <f t="shared" si="1762"/>
        <v/>
      </c>
      <c r="BC5069" s="743" t="str">
        <f t="shared" si="1763"/>
        <v/>
      </c>
      <c r="BD5069" s="743" t="str">
        <f t="shared" si="1764"/>
        <v/>
      </c>
      <c r="BE5069" s="743" t="str">
        <f>IF(D5069="","",VLOOKUP(D5069,'General Basis'!$J$39:$K$46,2,0))</f>
        <v/>
      </c>
      <c r="BF5069" s="744" t="str">
        <f>IF(D5069="","",VLOOKUP(D5069,'General Basis'!$J$39:$L$46,3,0))</f>
        <v/>
      </c>
      <c r="BG5069" s="744" t="str">
        <f t="shared" si="1771"/>
        <v/>
      </c>
      <c r="BH5069" s="744" t="str">
        <f>IF(G5069="","",IF(BF5069="Abu Dhabi",IF(G5069&lt;18,'General Basis'!$C$39,IF(G5069&lt;41,'General Basis'!$C$40,IF(G5069&lt;60,'General Basis'!$C$41,IF(G5069&lt;65,'General Basis'!$C$42,'General Basis'!$C$43)))),IF(G5069&lt;11,'General Basis'!$B$39,IF(G5069&lt;18,'General Basis'!$B$40,IF(G5069&lt;26,'General Basis'!$B$41,IF(G5069&lt;31,'General Basis'!$B$42,IF(G5069&lt;36,'General Basis'!$B$43,IF(G5069&lt;41,'General Basis'!$B$44,IF(G5069&lt;46,'General Basis'!$B$45,IF(G5069&lt;51,'General Basis'!$B$46,IF(G5069&lt;56,'General Basis'!$B$47,IF(G5069&lt;60,'General Basis'!$B$48,IF(G5069&lt;65,'General Basis'!$B$49,'General Basis'!$B$50)))))))))))))</f>
        <v/>
      </c>
      <c r="BI5069" s="744" t="str">
        <f t="shared" si="1765"/>
        <v/>
      </c>
      <c r="BJ5069" s="747" t="str">
        <f t="shared" si="1772"/>
        <v/>
      </c>
      <c r="BK5069" s="498" t="str">
        <f t="shared" si="1766"/>
        <v/>
      </c>
      <c r="BL5069" s="498" t="str">
        <f t="shared" si="1767"/>
        <v/>
      </c>
    </row>
    <row r="5070" spans="1:64" x14ac:dyDescent="0.25">
      <c r="A5070" s="762">
        <f t="shared" si="1768"/>
        <v>5065</v>
      </c>
      <c r="B5070" s="229"/>
      <c r="C5070" s="223"/>
      <c r="D5070" s="224"/>
      <c r="E5070" s="225"/>
      <c r="F5070" s="1036" t="str">
        <f t="shared" si="1752"/>
        <v/>
      </c>
      <c r="G5070" s="1037" t="str">
        <f t="shared" si="1769"/>
        <v/>
      </c>
      <c r="H5070" s="225"/>
      <c r="I5070" s="1013"/>
      <c r="J5070" s="1013"/>
      <c r="K5070" s="1028"/>
      <c r="L5070" s="1035" t="str">
        <f t="shared" si="1773"/>
        <v/>
      </c>
      <c r="S5070" s="498"/>
      <c r="AJ5070" s="498"/>
      <c r="AM5070" s="498">
        <f t="shared" si="1754"/>
        <v>0</v>
      </c>
      <c r="AN5070" s="498">
        <f t="shared" si="1755"/>
        <v>0</v>
      </c>
      <c r="AO5070" s="498">
        <f t="shared" si="1756"/>
        <v>0</v>
      </c>
      <c r="AP5070" s="498">
        <f t="shared" si="1753"/>
        <v>0</v>
      </c>
      <c r="AQ5070" s="498">
        <f t="shared" si="1770"/>
        <v>0</v>
      </c>
      <c r="AU5070" s="498">
        <f t="shared" si="1757"/>
        <v>0</v>
      </c>
      <c r="AV5070" s="498">
        <f t="shared" si="1758"/>
        <v>0</v>
      </c>
      <c r="AW5070" s="498">
        <f t="shared" si="1759"/>
        <v>0</v>
      </c>
      <c r="AX5070" s="498">
        <f t="shared" si="1760"/>
        <v>0</v>
      </c>
      <c r="AY5070" s="498">
        <f t="shared" si="1761"/>
        <v>0</v>
      </c>
      <c r="BB5070" s="498" t="str">
        <f t="shared" si="1762"/>
        <v/>
      </c>
      <c r="BC5070" s="743" t="str">
        <f t="shared" si="1763"/>
        <v/>
      </c>
      <c r="BD5070" s="743" t="str">
        <f t="shared" si="1764"/>
        <v/>
      </c>
      <c r="BE5070" s="743" t="str">
        <f>IF(D5070="","",VLOOKUP(D5070,'General Basis'!$J$39:$K$46,2,0))</f>
        <v/>
      </c>
      <c r="BF5070" s="744" t="str">
        <f>IF(D5070="","",VLOOKUP(D5070,'General Basis'!$J$39:$L$46,3,0))</f>
        <v/>
      </c>
      <c r="BG5070" s="744" t="str">
        <f t="shared" si="1771"/>
        <v/>
      </c>
      <c r="BH5070" s="744" t="str">
        <f>IF(G5070="","",IF(BF5070="Abu Dhabi",IF(G5070&lt;18,'General Basis'!$C$39,IF(G5070&lt;41,'General Basis'!$C$40,IF(G5070&lt;60,'General Basis'!$C$41,IF(G5070&lt;65,'General Basis'!$C$42,'General Basis'!$C$43)))),IF(G5070&lt;11,'General Basis'!$B$39,IF(G5070&lt;18,'General Basis'!$B$40,IF(G5070&lt;26,'General Basis'!$B$41,IF(G5070&lt;31,'General Basis'!$B$42,IF(G5070&lt;36,'General Basis'!$B$43,IF(G5070&lt;41,'General Basis'!$B$44,IF(G5070&lt;46,'General Basis'!$B$45,IF(G5070&lt;51,'General Basis'!$B$46,IF(G5070&lt;56,'General Basis'!$B$47,IF(G5070&lt;60,'General Basis'!$B$48,IF(G5070&lt;65,'General Basis'!$B$49,'General Basis'!$B$50)))))))))))))</f>
        <v/>
      </c>
      <c r="BI5070" s="744" t="str">
        <f t="shared" si="1765"/>
        <v/>
      </c>
      <c r="BJ5070" s="747" t="str">
        <f t="shared" si="1772"/>
        <v/>
      </c>
      <c r="BK5070" s="498" t="str">
        <f t="shared" si="1766"/>
        <v/>
      </c>
      <c r="BL5070" s="498" t="str">
        <f t="shared" si="1767"/>
        <v/>
      </c>
    </row>
    <row r="5071" spans="1:64" x14ac:dyDescent="0.25">
      <c r="A5071" s="762">
        <f t="shared" si="1768"/>
        <v>5066</v>
      </c>
      <c r="B5071" s="229"/>
      <c r="C5071" s="223"/>
      <c r="D5071" s="224"/>
      <c r="E5071" s="225"/>
      <c r="F5071" s="1036" t="str">
        <f t="shared" si="1752"/>
        <v/>
      </c>
      <c r="G5071" s="1037" t="str">
        <f t="shared" si="1769"/>
        <v/>
      </c>
      <c r="H5071" s="225"/>
      <c r="I5071" s="1013"/>
      <c r="J5071" s="1013"/>
      <c r="K5071" s="1028"/>
      <c r="L5071" s="1035" t="str">
        <f t="shared" si="1773"/>
        <v/>
      </c>
      <c r="S5071" s="498"/>
      <c r="AJ5071" s="498"/>
      <c r="AM5071" s="498">
        <f t="shared" si="1754"/>
        <v>0</v>
      </c>
      <c r="AN5071" s="498">
        <f t="shared" si="1755"/>
        <v>0</v>
      </c>
      <c r="AO5071" s="498">
        <f t="shared" si="1756"/>
        <v>0</v>
      </c>
      <c r="AP5071" s="498">
        <f t="shared" si="1753"/>
        <v>0</v>
      </c>
      <c r="AQ5071" s="498">
        <f t="shared" si="1770"/>
        <v>0</v>
      </c>
      <c r="AU5071" s="498">
        <f t="shared" si="1757"/>
        <v>0</v>
      </c>
      <c r="AV5071" s="498">
        <f t="shared" si="1758"/>
        <v>0</v>
      </c>
      <c r="AW5071" s="498">
        <f t="shared" si="1759"/>
        <v>0</v>
      </c>
      <c r="AX5071" s="498">
        <f t="shared" si="1760"/>
        <v>0</v>
      </c>
      <c r="AY5071" s="498">
        <f t="shared" si="1761"/>
        <v>0</v>
      </c>
      <c r="BB5071" s="498" t="str">
        <f t="shared" si="1762"/>
        <v/>
      </c>
      <c r="BC5071" s="743" t="str">
        <f t="shared" si="1763"/>
        <v/>
      </c>
      <c r="BD5071" s="743" t="str">
        <f t="shared" si="1764"/>
        <v/>
      </c>
      <c r="BE5071" s="743" t="str">
        <f>IF(D5071="","",VLOOKUP(D5071,'General Basis'!$J$39:$K$46,2,0))</f>
        <v/>
      </c>
      <c r="BF5071" s="744" t="str">
        <f>IF(D5071="","",VLOOKUP(D5071,'General Basis'!$J$39:$L$46,3,0))</f>
        <v/>
      </c>
      <c r="BG5071" s="744" t="str">
        <f t="shared" si="1771"/>
        <v/>
      </c>
      <c r="BH5071" s="744" t="str">
        <f>IF(G5071="","",IF(BF5071="Abu Dhabi",IF(G5071&lt;18,'General Basis'!$C$39,IF(G5071&lt;41,'General Basis'!$C$40,IF(G5071&lt;60,'General Basis'!$C$41,IF(G5071&lt;65,'General Basis'!$C$42,'General Basis'!$C$43)))),IF(G5071&lt;11,'General Basis'!$B$39,IF(G5071&lt;18,'General Basis'!$B$40,IF(G5071&lt;26,'General Basis'!$B$41,IF(G5071&lt;31,'General Basis'!$B$42,IF(G5071&lt;36,'General Basis'!$B$43,IF(G5071&lt;41,'General Basis'!$B$44,IF(G5071&lt;46,'General Basis'!$B$45,IF(G5071&lt;51,'General Basis'!$B$46,IF(G5071&lt;56,'General Basis'!$B$47,IF(G5071&lt;60,'General Basis'!$B$48,IF(G5071&lt;65,'General Basis'!$B$49,'General Basis'!$B$50)))))))))))))</f>
        <v/>
      </c>
      <c r="BI5071" s="744" t="str">
        <f t="shared" si="1765"/>
        <v/>
      </c>
      <c r="BJ5071" s="747" t="str">
        <f t="shared" si="1772"/>
        <v/>
      </c>
      <c r="BK5071" s="498" t="str">
        <f t="shared" si="1766"/>
        <v/>
      </c>
      <c r="BL5071" s="498" t="str">
        <f t="shared" si="1767"/>
        <v/>
      </c>
    </row>
    <row r="5072" spans="1:64" x14ac:dyDescent="0.25">
      <c r="A5072" s="762">
        <f t="shared" si="1768"/>
        <v>5067</v>
      </c>
      <c r="B5072" s="229"/>
      <c r="C5072" s="223"/>
      <c r="D5072" s="224"/>
      <c r="E5072" s="225"/>
      <c r="F5072" s="1036" t="str">
        <f t="shared" ref="F5072:F5135" si="1774">IF(C5072="","",IF($B5072="","",((YEAR($F$3)-YEAR($B5072))+(MONTH($F$3)-MONTH($B5072))/12+(DAY($F$3)-DAY($B5072))/(DATE(YEAR($F$3),12,31)-DATE(YEAR($F$3),1,1)+1))))</f>
        <v/>
      </c>
      <c r="G5072" s="1037" t="str">
        <f t="shared" si="1769"/>
        <v/>
      </c>
      <c r="H5072" s="225"/>
      <c r="I5072" s="1013"/>
      <c r="J5072" s="1013"/>
      <c r="K5072" s="1028"/>
      <c r="L5072" s="1035" t="str">
        <f t="shared" si="1773"/>
        <v/>
      </c>
      <c r="S5072" s="498"/>
      <c r="AJ5072" s="498"/>
      <c r="AM5072" s="498">
        <f t="shared" si="1754"/>
        <v>0</v>
      </c>
      <c r="AN5072" s="498">
        <f t="shared" si="1755"/>
        <v>0</v>
      </c>
      <c r="AO5072" s="498">
        <f t="shared" si="1756"/>
        <v>0</v>
      </c>
      <c r="AP5072" s="498">
        <f t="shared" si="1753"/>
        <v>0</v>
      </c>
      <c r="AQ5072" s="498">
        <f t="shared" si="1770"/>
        <v>0</v>
      </c>
      <c r="AU5072" s="498">
        <f t="shared" si="1757"/>
        <v>0</v>
      </c>
      <c r="AV5072" s="498">
        <f t="shared" si="1758"/>
        <v>0</v>
      </c>
      <c r="AW5072" s="498">
        <f t="shared" si="1759"/>
        <v>0</v>
      </c>
      <c r="AX5072" s="498">
        <f t="shared" si="1760"/>
        <v>0</v>
      </c>
      <c r="AY5072" s="498">
        <f t="shared" si="1761"/>
        <v>0</v>
      </c>
      <c r="BB5072" s="498" t="str">
        <f t="shared" si="1762"/>
        <v/>
      </c>
      <c r="BC5072" s="743" t="str">
        <f t="shared" si="1763"/>
        <v/>
      </c>
      <c r="BD5072" s="743" t="str">
        <f t="shared" si="1764"/>
        <v/>
      </c>
      <c r="BE5072" s="743" t="str">
        <f>IF(D5072="","",VLOOKUP(D5072,'General Basis'!$J$39:$K$46,2,0))</f>
        <v/>
      </c>
      <c r="BF5072" s="744" t="str">
        <f>IF(D5072="","",VLOOKUP(D5072,'General Basis'!$J$39:$L$46,3,0))</f>
        <v/>
      </c>
      <c r="BG5072" s="744" t="str">
        <f t="shared" si="1771"/>
        <v/>
      </c>
      <c r="BH5072" s="744" t="str">
        <f>IF(G5072="","",IF(BF5072="Abu Dhabi",IF(G5072&lt;18,'General Basis'!$C$39,IF(G5072&lt;41,'General Basis'!$C$40,IF(G5072&lt;60,'General Basis'!$C$41,IF(G5072&lt;65,'General Basis'!$C$42,'General Basis'!$C$43)))),IF(G5072&lt;11,'General Basis'!$B$39,IF(G5072&lt;18,'General Basis'!$B$40,IF(G5072&lt;26,'General Basis'!$B$41,IF(G5072&lt;31,'General Basis'!$B$42,IF(G5072&lt;36,'General Basis'!$B$43,IF(G5072&lt;41,'General Basis'!$B$44,IF(G5072&lt;46,'General Basis'!$B$45,IF(G5072&lt;51,'General Basis'!$B$46,IF(G5072&lt;56,'General Basis'!$B$47,IF(G5072&lt;60,'General Basis'!$B$48,IF(G5072&lt;65,'General Basis'!$B$49,'General Basis'!$B$50)))))))))))))</f>
        <v/>
      </c>
      <c r="BI5072" s="744" t="str">
        <f t="shared" si="1765"/>
        <v/>
      </c>
      <c r="BJ5072" s="747" t="str">
        <f t="shared" si="1772"/>
        <v/>
      </c>
      <c r="BK5072" s="498" t="str">
        <f t="shared" si="1766"/>
        <v/>
      </c>
      <c r="BL5072" s="498" t="str">
        <f t="shared" si="1767"/>
        <v/>
      </c>
    </row>
    <row r="5073" spans="1:64" x14ac:dyDescent="0.25">
      <c r="A5073" s="762">
        <f t="shared" si="1768"/>
        <v>5068</v>
      </c>
      <c r="B5073" s="229"/>
      <c r="C5073" s="223"/>
      <c r="D5073" s="224"/>
      <c r="E5073" s="225"/>
      <c r="F5073" s="1036" t="str">
        <f t="shared" si="1774"/>
        <v/>
      </c>
      <c r="G5073" s="1037" t="str">
        <f t="shared" si="1769"/>
        <v/>
      </c>
      <c r="H5073" s="225"/>
      <c r="I5073" s="1013"/>
      <c r="J5073" s="1013"/>
      <c r="K5073" s="1028"/>
      <c r="L5073" s="1035" t="str">
        <f t="shared" si="1773"/>
        <v/>
      </c>
      <c r="S5073" s="498"/>
      <c r="AJ5073" s="498"/>
      <c r="AM5073" s="498">
        <f t="shared" si="1754"/>
        <v>0</v>
      </c>
      <c r="AN5073" s="498">
        <f t="shared" si="1755"/>
        <v>0</v>
      </c>
      <c r="AO5073" s="498">
        <f t="shared" si="1756"/>
        <v>0</v>
      </c>
      <c r="AP5073" s="498">
        <f t="shared" si="1753"/>
        <v>0</v>
      </c>
      <c r="AQ5073" s="498">
        <f t="shared" si="1770"/>
        <v>0</v>
      </c>
      <c r="AU5073" s="498">
        <f t="shared" si="1757"/>
        <v>0</v>
      </c>
      <c r="AV5073" s="498">
        <f t="shared" si="1758"/>
        <v>0</v>
      </c>
      <c r="AW5073" s="498">
        <f t="shared" si="1759"/>
        <v>0</v>
      </c>
      <c r="AX5073" s="498">
        <f t="shared" si="1760"/>
        <v>0</v>
      </c>
      <c r="AY5073" s="498">
        <f t="shared" si="1761"/>
        <v>0</v>
      </c>
      <c r="BB5073" s="498" t="str">
        <f t="shared" si="1762"/>
        <v/>
      </c>
      <c r="BC5073" s="743" t="str">
        <f t="shared" si="1763"/>
        <v/>
      </c>
      <c r="BD5073" s="743" t="str">
        <f t="shared" si="1764"/>
        <v/>
      </c>
      <c r="BE5073" s="743" t="str">
        <f>IF(D5073="","",VLOOKUP(D5073,'General Basis'!$J$39:$K$46,2,0))</f>
        <v/>
      </c>
      <c r="BF5073" s="744" t="str">
        <f>IF(D5073="","",VLOOKUP(D5073,'General Basis'!$J$39:$L$46,3,0))</f>
        <v/>
      </c>
      <c r="BG5073" s="744" t="str">
        <f t="shared" si="1771"/>
        <v/>
      </c>
      <c r="BH5073" s="744" t="str">
        <f>IF(G5073="","",IF(BF5073="Abu Dhabi",IF(G5073&lt;18,'General Basis'!$C$39,IF(G5073&lt;41,'General Basis'!$C$40,IF(G5073&lt;60,'General Basis'!$C$41,IF(G5073&lt;65,'General Basis'!$C$42,'General Basis'!$C$43)))),IF(G5073&lt;11,'General Basis'!$B$39,IF(G5073&lt;18,'General Basis'!$B$40,IF(G5073&lt;26,'General Basis'!$B$41,IF(G5073&lt;31,'General Basis'!$B$42,IF(G5073&lt;36,'General Basis'!$B$43,IF(G5073&lt;41,'General Basis'!$B$44,IF(G5073&lt;46,'General Basis'!$B$45,IF(G5073&lt;51,'General Basis'!$B$46,IF(G5073&lt;56,'General Basis'!$B$47,IF(G5073&lt;60,'General Basis'!$B$48,IF(G5073&lt;65,'General Basis'!$B$49,'General Basis'!$B$50)))))))))))))</f>
        <v/>
      </c>
      <c r="BI5073" s="744" t="str">
        <f t="shared" si="1765"/>
        <v/>
      </c>
      <c r="BJ5073" s="747" t="str">
        <f t="shared" si="1772"/>
        <v/>
      </c>
      <c r="BK5073" s="498" t="str">
        <f t="shared" si="1766"/>
        <v/>
      </c>
      <c r="BL5073" s="498" t="str">
        <f t="shared" si="1767"/>
        <v/>
      </c>
    </row>
    <row r="5074" spans="1:64" x14ac:dyDescent="0.25">
      <c r="A5074" s="762">
        <f t="shared" si="1768"/>
        <v>5069</v>
      </c>
      <c r="B5074" s="229"/>
      <c r="C5074" s="223"/>
      <c r="D5074" s="224"/>
      <c r="E5074" s="225"/>
      <c r="F5074" s="1036" t="str">
        <f t="shared" si="1774"/>
        <v/>
      </c>
      <c r="G5074" s="1037" t="str">
        <f t="shared" si="1769"/>
        <v/>
      </c>
      <c r="H5074" s="225"/>
      <c r="I5074" s="1013"/>
      <c r="J5074" s="1013"/>
      <c r="K5074" s="1028"/>
      <c r="L5074" s="1035" t="str">
        <f t="shared" si="1773"/>
        <v/>
      </c>
      <c r="S5074" s="498"/>
      <c r="AJ5074" s="498"/>
      <c r="AM5074" s="498">
        <f t="shared" si="1754"/>
        <v>0</v>
      </c>
      <c r="AN5074" s="498">
        <f t="shared" si="1755"/>
        <v>0</v>
      </c>
      <c r="AO5074" s="498">
        <f t="shared" si="1756"/>
        <v>0</v>
      </c>
      <c r="AP5074" s="498">
        <f t="shared" si="1753"/>
        <v>0</v>
      </c>
      <c r="AQ5074" s="498">
        <f t="shared" si="1770"/>
        <v>0</v>
      </c>
      <c r="AU5074" s="498">
        <f t="shared" si="1757"/>
        <v>0</v>
      </c>
      <c r="AV5074" s="498">
        <f t="shared" si="1758"/>
        <v>0</v>
      </c>
      <c r="AW5074" s="498">
        <f t="shared" si="1759"/>
        <v>0</v>
      </c>
      <c r="AX5074" s="498">
        <f t="shared" si="1760"/>
        <v>0</v>
      </c>
      <c r="AY5074" s="498">
        <f t="shared" si="1761"/>
        <v>0</v>
      </c>
      <c r="BB5074" s="498" t="str">
        <f t="shared" si="1762"/>
        <v/>
      </c>
      <c r="BC5074" s="743" t="str">
        <f t="shared" si="1763"/>
        <v/>
      </c>
      <c r="BD5074" s="743" t="str">
        <f t="shared" si="1764"/>
        <v/>
      </c>
      <c r="BE5074" s="743" t="str">
        <f>IF(D5074="","",VLOOKUP(D5074,'General Basis'!$J$39:$K$46,2,0))</f>
        <v/>
      </c>
      <c r="BF5074" s="744" t="str">
        <f>IF(D5074="","",VLOOKUP(D5074,'General Basis'!$J$39:$L$46,3,0))</f>
        <v/>
      </c>
      <c r="BG5074" s="744" t="str">
        <f t="shared" si="1771"/>
        <v/>
      </c>
      <c r="BH5074" s="744" t="str">
        <f>IF(G5074="","",IF(BF5074="Abu Dhabi",IF(G5074&lt;18,'General Basis'!$C$39,IF(G5074&lt;41,'General Basis'!$C$40,IF(G5074&lt;60,'General Basis'!$C$41,IF(G5074&lt;65,'General Basis'!$C$42,'General Basis'!$C$43)))),IF(G5074&lt;11,'General Basis'!$B$39,IF(G5074&lt;18,'General Basis'!$B$40,IF(G5074&lt;26,'General Basis'!$B$41,IF(G5074&lt;31,'General Basis'!$B$42,IF(G5074&lt;36,'General Basis'!$B$43,IF(G5074&lt;41,'General Basis'!$B$44,IF(G5074&lt;46,'General Basis'!$B$45,IF(G5074&lt;51,'General Basis'!$B$46,IF(G5074&lt;56,'General Basis'!$B$47,IF(G5074&lt;60,'General Basis'!$B$48,IF(G5074&lt;65,'General Basis'!$B$49,'General Basis'!$B$50)))))))))))))</f>
        <v/>
      </c>
      <c r="BI5074" s="744" t="str">
        <f t="shared" si="1765"/>
        <v/>
      </c>
      <c r="BJ5074" s="747" t="str">
        <f t="shared" si="1772"/>
        <v/>
      </c>
      <c r="BK5074" s="498" t="str">
        <f t="shared" si="1766"/>
        <v/>
      </c>
      <c r="BL5074" s="498" t="str">
        <f t="shared" si="1767"/>
        <v/>
      </c>
    </row>
    <row r="5075" spans="1:64" x14ac:dyDescent="0.25">
      <c r="A5075" s="762">
        <f t="shared" si="1768"/>
        <v>5070</v>
      </c>
      <c r="B5075" s="229"/>
      <c r="C5075" s="223"/>
      <c r="D5075" s="224"/>
      <c r="E5075" s="225"/>
      <c r="F5075" s="1036" t="str">
        <f t="shared" si="1774"/>
        <v/>
      </c>
      <c r="G5075" s="1037" t="str">
        <f t="shared" si="1769"/>
        <v/>
      </c>
      <c r="H5075" s="225"/>
      <c r="I5075" s="1013"/>
      <c r="J5075" s="1013"/>
      <c r="K5075" s="1028"/>
      <c r="L5075" s="1035" t="str">
        <f t="shared" si="1773"/>
        <v/>
      </c>
      <c r="S5075" s="498"/>
      <c r="AJ5075" s="498"/>
      <c r="AM5075" s="498">
        <f t="shared" si="1754"/>
        <v>0</v>
      </c>
      <c r="AN5075" s="498">
        <f t="shared" si="1755"/>
        <v>0</v>
      </c>
      <c r="AO5075" s="498">
        <f t="shared" si="1756"/>
        <v>0</v>
      </c>
      <c r="AP5075" s="498">
        <f t="shared" ref="AP5075:AP5138" si="1775">IF(ISBLANK($B5075),0,IF(OR($C5075="M",$C5075="F"),0,1))</f>
        <v>0</v>
      </c>
      <c r="AQ5075" s="498">
        <f t="shared" si="1770"/>
        <v>0</v>
      </c>
      <c r="AU5075" s="498">
        <f t="shared" si="1757"/>
        <v>0</v>
      </c>
      <c r="AV5075" s="498">
        <f t="shared" si="1758"/>
        <v>0</v>
      </c>
      <c r="AW5075" s="498">
        <f t="shared" si="1759"/>
        <v>0</v>
      </c>
      <c r="AX5075" s="498">
        <f t="shared" si="1760"/>
        <v>0</v>
      </c>
      <c r="AY5075" s="498">
        <f t="shared" si="1761"/>
        <v>0</v>
      </c>
      <c r="BB5075" s="498" t="str">
        <f t="shared" si="1762"/>
        <v/>
      </c>
      <c r="BC5075" s="743" t="str">
        <f t="shared" si="1763"/>
        <v/>
      </c>
      <c r="BD5075" s="743" t="str">
        <f t="shared" si="1764"/>
        <v/>
      </c>
      <c r="BE5075" s="743" t="str">
        <f>IF(D5075="","",VLOOKUP(D5075,'General Basis'!$J$39:$K$46,2,0))</f>
        <v/>
      </c>
      <c r="BF5075" s="744" t="str">
        <f>IF(D5075="","",VLOOKUP(D5075,'General Basis'!$J$39:$L$46,3,0))</f>
        <v/>
      </c>
      <c r="BG5075" s="744" t="str">
        <f t="shared" si="1771"/>
        <v/>
      </c>
      <c r="BH5075" s="744" t="str">
        <f>IF(G5075="","",IF(BF5075="Abu Dhabi",IF(G5075&lt;18,'General Basis'!$C$39,IF(G5075&lt;41,'General Basis'!$C$40,IF(G5075&lt;60,'General Basis'!$C$41,IF(G5075&lt;65,'General Basis'!$C$42,'General Basis'!$C$43)))),IF(G5075&lt;11,'General Basis'!$B$39,IF(G5075&lt;18,'General Basis'!$B$40,IF(G5075&lt;26,'General Basis'!$B$41,IF(G5075&lt;31,'General Basis'!$B$42,IF(G5075&lt;36,'General Basis'!$B$43,IF(G5075&lt;41,'General Basis'!$B$44,IF(G5075&lt;46,'General Basis'!$B$45,IF(G5075&lt;51,'General Basis'!$B$46,IF(G5075&lt;56,'General Basis'!$B$47,IF(G5075&lt;60,'General Basis'!$B$48,IF(G5075&lt;65,'General Basis'!$B$49,'General Basis'!$B$50)))))))))))))</f>
        <v/>
      </c>
      <c r="BI5075" s="744" t="str">
        <f t="shared" si="1765"/>
        <v/>
      </c>
      <c r="BJ5075" s="747" t="str">
        <f t="shared" si="1772"/>
        <v/>
      </c>
      <c r="BK5075" s="498" t="str">
        <f t="shared" si="1766"/>
        <v/>
      </c>
      <c r="BL5075" s="498" t="str">
        <f t="shared" si="1767"/>
        <v/>
      </c>
    </row>
    <row r="5076" spans="1:64" x14ac:dyDescent="0.25">
      <c r="A5076" s="762">
        <f t="shared" si="1768"/>
        <v>5071</v>
      </c>
      <c r="B5076" s="229"/>
      <c r="C5076" s="223"/>
      <c r="D5076" s="224"/>
      <c r="E5076" s="225"/>
      <c r="F5076" s="1036" t="str">
        <f t="shared" si="1774"/>
        <v/>
      </c>
      <c r="G5076" s="1037" t="str">
        <f t="shared" si="1769"/>
        <v/>
      </c>
      <c r="H5076" s="225"/>
      <c r="I5076" s="1013"/>
      <c r="J5076" s="1013"/>
      <c r="K5076" s="1028"/>
      <c r="L5076" s="1035" t="str">
        <f t="shared" si="1773"/>
        <v/>
      </c>
      <c r="S5076" s="498"/>
      <c r="AJ5076" s="498"/>
      <c r="AM5076" s="498">
        <f t="shared" si="1754"/>
        <v>0</v>
      </c>
      <c r="AN5076" s="498">
        <f t="shared" si="1755"/>
        <v>0</v>
      </c>
      <c r="AO5076" s="498">
        <f t="shared" si="1756"/>
        <v>0</v>
      </c>
      <c r="AP5076" s="498">
        <f t="shared" si="1775"/>
        <v>0</v>
      </c>
      <c r="AQ5076" s="498">
        <f t="shared" si="1770"/>
        <v>0</v>
      </c>
      <c r="AU5076" s="498">
        <f t="shared" si="1757"/>
        <v>0</v>
      </c>
      <c r="AV5076" s="498">
        <f t="shared" si="1758"/>
        <v>0</v>
      </c>
      <c r="AW5076" s="498">
        <f t="shared" si="1759"/>
        <v>0</v>
      </c>
      <c r="AX5076" s="498">
        <f t="shared" si="1760"/>
        <v>0</v>
      </c>
      <c r="AY5076" s="498">
        <f t="shared" si="1761"/>
        <v>0</v>
      </c>
      <c r="BB5076" s="498" t="str">
        <f t="shared" si="1762"/>
        <v/>
      </c>
      <c r="BC5076" s="743" t="str">
        <f t="shared" si="1763"/>
        <v/>
      </c>
      <c r="BD5076" s="743" t="str">
        <f t="shared" si="1764"/>
        <v/>
      </c>
      <c r="BE5076" s="743" t="str">
        <f>IF(D5076="","",VLOOKUP(D5076,'General Basis'!$J$39:$K$46,2,0))</f>
        <v/>
      </c>
      <c r="BF5076" s="744" t="str">
        <f>IF(D5076="","",VLOOKUP(D5076,'General Basis'!$J$39:$L$46,3,0))</f>
        <v/>
      </c>
      <c r="BG5076" s="744" t="str">
        <f t="shared" si="1771"/>
        <v/>
      </c>
      <c r="BH5076" s="744" t="str">
        <f>IF(G5076="","",IF(BF5076="Abu Dhabi",IF(G5076&lt;18,'General Basis'!$C$39,IF(G5076&lt;41,'General Basis'!$C$40,IF(G5076&lt;60,'General Basis'!$C$41,IF(G5076&lt;65,'General Basis'!$C$42,'General Basis'!$C$43)))),IF(G5076&lt;11,'General Basis'!$B$39,IF(G5076&lt;18,'General Basis'!$B$40,IF(G5076&lt;26,'General Basis'!$B$41,IF(G5076&lt;31,'General Basis'!$B$42,IF(G5076&lt;36,'General Basis'!$B$43,IF(G5076&lt;41,'General Basis'!$B$44,IF(G5076&lt;46,'General Basis'!$B$45,IF(G5076&lt;51,'General Basis'!$B$46,IF(G5076&lt;56,'General Basis'!$B$47,IF(G5076&lt;60,'General Basis'!$B$48,IF(G5076&lt;65,'General Basis'!$B$49,'General Basis'!$B$50)))))))))))))</f>
        <v/>
      </c>
      <c r="BI5076" s="744" t="str">
        <f t="shared" si="1765"/>
        <v/>
      </c>
      <c r="BJ5076" s="747" t="str">
        <f t="shared" si="1772"/>
        <v/>
      </c>
      <c r="BK5076" s="498" t="str">
        <f t="shared" si="1766"/>
        <v/>
      </c>
      <c r="BL5076" s="498" t="str">
        <f t="shared" si="1767"/>
        <v/>
      </c>
    </row>
    <row r="5077" spans="1:64" x14ac:dyDescent="0.25">
      <c r="A5077" s="762">
        <f t="shared" si="1768"/>
        <v>5072</v>
      </c>
      <c r="B5077" s="229"/>
      <c r="C5077" s="223"/>
      <c r="D5077" s="224"/>
      <c r="E5077" s="225"/>
      <c r="F5077" s="1036" t="str">
        <f t="shared" si="1774"/>
        <v/>
      </c>
      <c r="G5077" s="1037" t="str">
        <f t="shared" si="1769"/>
        <v/>
      </c>
      <c r="H5077" s="225"/>
      <c r="I5077" s="1013"/>
      <c r="J5077" s="1013"/>
      <c r="K5077" s="1028"/>
      <c r="L5077" s="1035" t="str">
        <f t="shared" si="1773"/>
        <v/>
      </c>
      <c r="S5077" s="498"/>
      <c r="AJ5077" s="498"/>
      <c r="AM5077" s="498">
        <f t="shared" si="1754"/>
        <v>0</v>
      </c>
      <c r="AN5077" s="498">
        <f t="shared" si="1755"/>
        <v>0</v>
      </c>
      <c r="AO5077" s="498">
        <f t="shared" si="1756"/>
        <v>0</v>
      </c>
      <c r="AP5077" s="498">
        <f t="shared" si="1775"/>
        <v>0</v>
      </c>
      <c r="AQ5077" s="498">
        <f t="shared" si="1770"/>
        <v>0</v>
      </c>
      <c r="AU5077" s="498">
        <f t="shared" si="1757"/>
        <v>0</v>
      </c>
      <c r="AV5077" s="498">
        <f t="shared" si="1758"/>
        <v>0</v>
      </c>
      <c r="AW5077" s="498">
        <f t="shared" si="1759"/>
        <v>0</v>
      </c>
      <c r="AX5077" s="498">
        <f t="shared" si="1760"/>
        <v>0</v>
      </c>
      <c r="AY5077" s="498">
        <f t="shared" si="1761"/>
        <v>0</v>
      </c>
      <c r="BB5077" s="498" t="str">
        <f t="shared" si="1762"/>
        <v/>
      </c>
      <c r="BC5077" s="743" t="str">
        <f t="shared" si="1763"/>
        <v/>
      </c>
      <c r="BD5077" s="743" t="str">
        <f t="shared" si="1764"/>
        <v/>
      </c>
      <c r="BE5077" s="743" t="str">
        <f>IF(D5077="","",VLOOKUP(D5077,'General Basis'!$J$39:$K$46,2,0))</f>
        <v/>
      </c>
      <c r="BF5077" s="744" t="str">
        <f>IF(D5077="","",VLOOKUP(D5077,'General Basis'!$J$39:$L$46,3,0))</f>
        <v/>
      </c>
      <c r="BG5077" s="744" t="str">
        <f t="shared" si="1771"/>
        <v/>
      </c>
      <c r="BH5077" s="744" t="str">
        <f>IF(G5077="","",IF(BF5077="Abu Dhabi",IF(G5077&lt;18,'General Basis'!$C$39,IF(G5077&lt;41,'General Basis'!$C$40,IF(G5077&lt;60,'General Basis'!$C$41,IF(G5077&lt;65,'General Basis'!$C$42,'General Basis'!$C$43)))),IF(G5077&lt;11,'General Basis'!$B$39,IF(G5077&lt;18,'General Basis'!$B$40,IF(G5077&lt;26,'General Basis'!$B$41,IF(G5077&lt;31,'General Basis'!$B$42,IF(G5077&lt;36,'General Basis'!$B$43,IF(G5077&lt;41,'General Basis'!$B$44,IF(G5077&lt;46,'General Basis'!$B$45,IF(G5077&lt;51,'General Basis'!$B$46,IF(G5077&lt;56,'General Basis'!$B$47,IF(G5077&lt;60,'General Basis'!$B$48,IF(G5077&lt;65,'General Basis'!$B$49,'General Basis'!$B$50)))))))))))))</f>
        <v/>
      </c>
      <c r="BI5077" s="744" t="str">
        <f t="shared" si="1765"/>
        <v/>
      </c>
      <c r="BJ5077" s="747" t="str">
        <f t="shared" si="1772"/>
        <v/>
      </c>
      <c r="BK5077" s="498" t="str">
        <f t="shared" si="1766"/>
        <v/>
      </c>
      <c r="BL5077" s="498" t="str">
        <f t="shared" si="1767"/>
        <v/>
      </c>
    </row>
    <row r="5078" spans="1:64" x14ac:dyDescent="0.25">
      <c r="A5078" s="762">
        <f t="shared" si="1768"/>
        <v>5073</v>
      </c>
      <c r="B5078" s="229"/>
      <c r="C5078" s="223"/>
      <c r="D5078" s="224"/>
      <c r="E5078" s="225"/>
      <c r="F5078" s="1036" t="str">
        <f t="shared" si="1774"/>
        <v/>
      </c>
      <c r="G5078" s="1037" t="str">
        <f t="shared" si="1769"/>
        <v/>
      </c>
      <c r="H5078" s="225"/>
      <c r="I5078" s="1013"/>
      <c r="J5078" s="1013"/>
      <c r="K5078" s="1028"/>
      <c r="L5078" s="1035" t="str">
        <f t="shared" si="1773"/>
        <v/>
      </c>
      <c r="S5078" s="498"/>
      <c r="AJ5078" s="498"/>
      <c r="AM5078" s="498">
        <f t="shared" si="1754"/>
        <v>0</v>
      </c>
      <c r="AN5078" s="498">
        <f t="shared" si="1755"/>
        <v>0</v>
      </c>
      <c r="AO5078" s="498">
        <f t="shared" si="1756"/>
        <v>0</v>
      </c>
      <c r="AP5078" s="498">
        <f t="shared" si="1775"/>
        <v>0</v>
      </c>
      <c r="AQ5078" s="498">
        <f t="shared" si="1770"/>
        <v>0</v>
      </c>
      <c r="AU5078" s="498">
        <f t="shared" si="1757"/>
        <v>0</v>
      </c>
      <c r="AV5078" s="498">
        <f t="shared" si="1758"/>
        <v>0</v>
      </c>
      <c r="AW5078" s="498">
        <f t="shared" si="1759"/>
        <v>0</v>
      </c>
      <c r="AX5078" s="498">
        <f t="shared" si="1760"/>
        <v>0</v>
      </c>
      <c r="AY5078" s="498">
        <f t="shared" si="1761"/>
        <v>0</v>
      </c>
      <c r="BB5078" s="498" t="str">
        <f t="shared" si="1762"/>
        <v/>
      </c>
      <c r="BC5078" s="743" t="str">
        <f t="shared" si="1763"/>
        <v/>
      </c>
      <c r="BD5078" s="743" t="str">
        <f t="shared" si="1764"/>
        <v/>
      </c>
      <c r="BE5078" s="743" t="str">
        <f>IF(D5078="","",VLOOKUP(D5078,'General Basis'!$J$39:$K$46,2,0))</f>
        <v/>
      </c>
      <c r="BF5078" s="744" t="str">
        <f>IF(D5078="","",VLOOKUP(D5078,'General Basis'!$J$39:$L$46,3,0))</f>
        <v/>
      </c>
      <c r="BG5078" s="744" t="str">
        <f t="shared" si="1771"/>
        <v/>
      </c>
      <c r="BH5078" s="744" t="str">
        <f>IF(G5078="","",IF(BF5078="Abu Dhabi",IF(G5078&lt;18,'General Basis'!$C$39,IF(G5078&lt;41,'General Basis'!$C$40,IF(G5078&lt;60,'General Basis'!$C$41,IF(G5078&lt;65,'General Basis'!$C$42,'General Basis'!$C$43)))),IF(G5078&lt;11,'General Basis'!$B$39,IF(G5078&lt;18,'General Basis'!$B$40,IF(G5078&lt;26,'General Basis'!$B$41,IF(G5078&lt;31,'General Basis'!$B$42,IF(G5078&lt;36,'General Basis'!$B$43,IF(G5078&lt;41,'General Basis'!$B$44,IF(G5078&lt;46,'General Basis'!$B$45,IF(G5078&lt;51,'General Basis'!$B$46,IF(G5078&lt;56,'General Basis'!$B$47,IF(G5078&lt;60,'General Basis'!$B$48,IF(G5078&lt;65,'General Basis'!$B$49,'General Basis'!$B$50)))))))))))))</f>
        <v/>
      </c>
      <c r="BI5078" s="744" t="str">
        <f t="shared" si="1765"/>
        <v/>
      </c>
      <c r="BJ5078" s="747" t="str">
        <f t="shared" si="1772"/>
        <v/>
      </c>
      <c r="BK5078" s="498" t="str">
        <f t="shared" si="1766"/>
        <v/>
      </c>
      <c r="BL5078" s="498" t="str">
        <f t="shared" si="1767"/>
        <v/>
      </c>
    </row>
    <row r="5079" spans="1:64" x14ac:dyDescent="0.25">
      <c r="A5079" s="762">
        <f t="shared" si="1768"/>
        <v>5074</v>
      </c>
      <c r="B5079" s="229"/>
      <c r="C5079" s="223"/>
      <c r="D5079" s="224"/>
      <c r="E5079" s="225"/>
      <c r="F5079" s="1036" t="str">
        <f t="shared" si="1774"/>
        <v/>
      </c>
      <c r="G5079" s="1037" t="str">
        <f t="shared" si="1769"/>
        <v/>
      </c>
      <c r="H5079" s="225"/>
      <c r="I5079" s="1013"/>
      <c r="J5079" s="1013"/>
      <c r="K5079" s="1028"/>
      <c r="L5079" s="1035" t="str">
        <f t="shared" si="1773"/>
        <v/>
      </c>
      <c r="S5079" s="498"/>
      <c r="AJ5079" s="498"/>
      <c r="AM5079" s="498">
        <f t="shared" si="1754"/>
        <v>0</v>
      </c>
      <c r="AN5079" s="498">
        <f t="shared" si="1755"/>
        <v>0</v>
      </c>
      <c r="AO5079" s="498">
        <f t="shared" si="1756"/>
        <v>0</v>
      </c>
      <c r="AP5079" s="498">
        <f t="shared" si="1775"/>
        <v>0</v>
      </c>
      <c r="AQ5079" s="498">
        <f t="shared" si="1770"/>
        <v>0</v>
      </c>
      <c r="AU5079" s="498">
        <f t="shared" si="1757"/>
        <v>0</v>
      </c>
      <c r="AV5079" s="498">
        <f t="shared" si="1758"/>
        <v>0</v>
      </c>
      <c r="AW5079" s="498">
        <f t="shared" si="1759"/>
        <v>0</v>
      </c>
      <c r="AX5079" s="498">
        <f t="shared" si="1760"/>
        <v>0</v>
      </c>
      <c r="AY5079" s="498">
        <f t="shared" si="1761"/>
        <v>0</v>
      </c>
      <c r="BB5079" s="498" t="str">
        <f t="shared" si="1762"/>
        <v/>
      </c>
      <c r="BC5079" s="743" t="str">
        <f t="shared" si="1763"/>
        <v/>
      </c>
      <c r="BD5079" s="743" t="str">
        <f t="shared" si="1764"/>
        <v/>
      </c>
      <c r="BE5079" s="743" t="str">
        <f>IF(D5079="","",VLOOKUP(D5079,'General Basis'!$J$39:$K$46,2,0))</f>
        <v/>
      </c>
      <c r="BF5079" s="744" t="str">
        <f>IF(D5079="","",VLOOKUP(D5079,'General Basis'!$J$39:$L$46,3,0))</f>
        <v/>
      </c>
      <c r="BG5079" s="744" t="str">
        <f t="shared" si="1771"/>
        <v/>
      </c>
      <c r="BH5079" s="744" t="str">
        <f>IF(G5079="","",IF(BF5079="Abu Dhabi",IF(G5079&lt;18,'General Basis'!$C$39,IF(G5079&lt;41,'General Basis'!$C$40,IF(G5079&lt;60,'General Basis'!$C$41,IF(G5079&lt;65,'General Basis'!$C$42,'General Basis'!$C$43)))),IF(G5079&lt;11,'General Basis'!$B$39,IF(G5079&lt;18,'General Basis'!$B$40,IF(G5079&lt;26,'General Basis'!$B$41,IF(G5079&lt;31,'General Basis'!$B$42,IF(G5079&lt;36,'General Basis'!$B$43,IF(G5079&lt;41,'General Basis'!$B$44,IF(G5079&lt;46,'General Basis'!$B$45,IF(G5079&lt;51,'General Basis'!$B$46,IF(G5079&lt;56,'General Basis'!$B$47,IF(G5079&lt;60,'General Basis'!$B$48,IF(G5079&lt;65,'General Basis'!$B$49,'General Basis'!$B$50)))))))))))))</f>
        <v/>
      </c>
      <c r="BI5079" s="744" t="str">
        <f t="shared" si="1765"/>
        <v/>
      </c>
      <c r="BJ5079" s="747" t="str">
        <f t="shared" si="1772"/>
        <v/>
      </c>
      <c r="BK5079" s="498" t="str">
        <f t="shared" si="1766"/>
        <v/>
      </c>
      <c r="BL5079" s="498" t="str">
        <f t="shared" si="1767"/>
        <v/>
      </c>
    </row>
    <row r="5080" spans="1:64" x14ac:dyDescent="0.25">
      <c r="A5080" s="762">
        <f t="shared" si="1768"/>
        <v>5075</v>
      </c>
      <c r="B5080" s="229"/>
      <c r="C5080" s="223"/>
      <c r="D5080" s="224"/>
      <c r="E5080" s="225"/>
      <c r="F5080" s="1036" t="str">
        <f t="shared" si="1774"/>
        <v/>
      </c>
      <c r="G5080" s="1037" t="str">
        <f t="shared" si="1769"/>
        <v/>
      </c>
      <c r="H5080" s="225"/>
      <c r="I5080" s="1013"/>
      <c r="J5080" s="1013"/>
      <c r="K5080" s="1028"/>
      <c r="L5080" s="1035" t="str">
        <f t="shared" si="1773"/>
        <v/>
      </c>
      <c r="S5080" s="498"/>
      <c r="AJ5080" s="498"/>
      <c r="AM5080" s="498">
        <f t="shared" si="1754"/>
        <v>0</v>
      </c>
      <c r="AN5080" s="498">
        <f t="shared" si="1755"/>
        <v>0</v>
      </c>
      <c r="AO5080" s="498">
        <f t="shared" si="1756"/>
        <v>0</v>
      </c>
      <c r="AP5080" s="498">
        <f t="shared" si="1775"/>
        <v>0</v>
      </c>
      <c r="AQ5080" s="498">
        <f t="shared" si="1770"/>
        <v>0</v>
      </c>
      <c r="AU5080" s="498">
        <f t="shared" si="1757"/>
        <v>0</v>
      </c>
      <c r="AV5080" s="498">
        <f t="shared" si="1758"/>
        <v>0</v>
      </c>
      <c r="AW5080" s="498">
        <f t="shared" si="1759"/>
        <v>0</v>
      </c>
      <c r="AX5080" s="498">
        <f t="shared" si="1760"/>
        <v>0</v>
      </c>
      <c r="AY5080" s="498">
        <f t="shared" si="1761"/>
        <v>0</v>
      </c>
      <c r="BB5080" s="498" t="str">
        <f t="shared" si="1762"/>
        <v/>
      </c>
      <c r="BC5080" s="743" t="str">
        <f t="shared" si="1763"/>
        <v/>
      </c>
      <c r="BD5080" s="743" t="str">
        <f t="shared" si="1764"/>
        <v/>
      </c>
      <c r="BE5080" s="743" t="str">
        <f>IF(D5080="","",VLOOKUP(D5080,'General Basis'!$J$39:$K$46,2,0))</f>
        <v/>
      </c>
      <c r="BF5080" s="744" t="str">
        <f>IF(D5080="","",VLOOKUP(D5080,'General Basis'!$J$39:$L$46,3,0))</f>
        <v/>
      </c>
      <c r="BG5080" s="744" t="str">
        <f t="shared" si="1771"/>
        <v/>
      </c>
      <c r="BH5080" s="744" t="str">
        <f>IF(G5080="","",IF(BF5080="Abu Dhabi",IF(G5080&lt;18,'General Basis'!$C$39,IF(G5080&lt;41,'General Basis'!$C$40,IF(G5080&lt;60,'General Basis'!$C$41,IF(G5080&lt;65,'General Basis'!$C$42,'General Basis'!$C$43)))),IF(G5080&lt;11,'General Basis'!$B$39,IF(G5080&lt;18,'General Basis'!$B$40,IF(G5080&lt;26,'General Basis'!$B$41,IF(G5080&lt;31,'General Basis'!$B$42,IF(G5080&lt;36,'General Basis'!$B$43,IF(G5080&lt;41,'General Basis'!$B$44,IF(G5080&lt;46,'General Basis'!$B$45,IF(G5080&lt;51,'General Basis'!$B$46,IF(G5080&lt;56,'General Basis'!$B$47,IF(G5080&lt;60,'General Basis'!$B$48,IF(G5080&lt;65,'General Basis'!$B$49,'General Basis'!$B$50)))))))))))))</f>
        <v/>
      </c>
      <c r="BI5080" s="744" t="str">
        <f t="shared" si="1765"/>
        <v/>
      </c>
      <c r="BJ5080" s="747" t="str">
        <f t="shared" si="1772"/>
        <v/>
      </c>
      <c r="BK5080" s="498" t="str">
        <f t="shared" si="1766"/>
        <v/>
      </c>
      <c r="BL5080" s="498" t="str">
        <f t="shared" si="1767"/>
        <v/>
      </c>
    </row>
    <row r="5081" spans="1:64" x14ac:dyDescent="0.25">
      <c r="A5081" s="762">
        <f t="shared" si="1768"/>
        <v>5076</v>
      </c>
      <c r="B5081" s="229"/>
      <c r="C5081" s="223"/>
      <c r="D5081" s="224"/>
      <c r="E5081" s="225"/>
      <c r="F5081" s="1036" t="str">
        <f t="shared" si="1774"/>
        <v/>
      </c>
      <c r="G5081" s="1037" t="str">
        <f t="shared" si="1769"/>
        <v/>
      </c>
      <c r="H5081" s="225"/>
      <c r="I5081" s="1013"/>
      <c r="J5081" s="1013"/>
      <c r="K5081" s="1028"/>
      <c r="L5081" s="1035" t="str">
        <f t="shared" si="1773"/>
        <v/>
      </c>
      <c r="S5081" s="498"/>
      <c r="AJ5081" s="498"/>
      <c r="AM5081" s="498">
        <f t="shared" si="1754"/>
        <v>0</v>
      </c>
      <c r="AN5081" s="498">
        <f t="shared" si="1755"/>
        <v>0</v>
      </c>
      <c r="AO5081" s="498">
        <f t="shared" si="1756"/>
        <v>0</v>
      </c>
      <c r="AP5081" s="498">
        <f t="shared" si="1775"/>
        <v>0</v>
      </c>
      <c r="AQ5081" s="498">
        <f t="shared" si="1770"/>
        <v>0</v>
      </c>
      <c r="AU5081" s="498">
        <f t="shared" si="1757"/>
        <v>0</v>
      </c>
      <c r="AV5081" s="498">
        <f t="shared" si="1758"/>
        <v>0</v>
      </c>
      <c r="AW5081" s="498">
        <f t="shared" si="1759"/>
        <v>0</v>
      </c>
      <c r="AX5081" s="498">
        <f t="shared" si="1760"/>
        <v>0</v>
      </c>
      <c r="AY5081" s="498">
        <f t="shared" si="1761"/>
        <v>0</v>
      </c>
      <c r="BB5081" s="498" t="str">
        <f t="shared" si="1762"/>
        <v/>
      </c>
      <c r="BC5081" s="743" t="str">
        <f t="shared" si="1763"/>
        <v/>
      </c>
      <c r="BD5081" s="743" t="str">
        <f t="shared" si="1764"/>
        <v/>
      </c>
      <c r="BE5081" s="743" t="str">
        <f>IF(D5081="","",VLOOKUP(D5081,'General Basis'!$J$39:$K$46,2,0))</f>
        <v/>
      </c>
      <c r="BF5081" s="744" t="str">
        <f>IF(D5081="","",VLOOKUP(D5081,'General Basis'!$J$39:$L$46,3,0))</f>
        <v/>
      </c>
      <c r="BG5081" s="744" t="str">
        <f t="shared" si="1771"/>
        <v/>
      </c>
      <c r="BH5081" s="744" t="str">
        <f>IF(G5081="","",IF(BF5081="Abu Dhabi",IF(G5081&lt;18,'General Basis'!$C$39,IF(G5081&lt;41,'General Basis'!$C$40,IF(G5081&lt;60,'General Basis'!$C$41,IF(G5081&lt;65,'General Basis'!$C$42,'General Basis'!$C$43)))),IF(G5081&lt;11,'General Basis'!$B$39,IF(G5081&lt;18,'General Basis'!$B$40,IF(G5081&lt;26,'General Basis'!$B$41,IF(G5081&lt;31,'General Basis'!$B$42,IF(G5081&lt;36,'General Basis'!$B$43,IF(G5081&lt;41,'General Basis'!$B$44,IF(G5081&lt;46,'General Basis'!$B$45,IF(G5081&lt;51,'General Basis'!$B$46,IF(G5081&lt;56,'General Basis'!$B$47,IF(G5081&lt;60,'General Basis'!$B$48,IF(G5081&lt;65,'General Basis'!$B$49,'General Basis'!$B$50)))))))))))))</f>
        <v/>
      </c>
      <c r="BI5081" s="744" t="str">
        <f t="shared" si="1765"/>
        <v/>
      </c>
      <c r="BJ5081" s="747" t="str">
        <f t="shared" si="1772"/>
        <v/>
      </c>
      <c r="BK5081" s="498" t="str">
        <f t="shared" si="1766"/>
        <v/>
      </c>
      <c r="BL5081" s="498" t="str">
        <f t="shared" si="1767"/>
        <v/>
      </c>
    </row>
    <row r="5082" spans="1:64" x14ac:dyDescent="0.25">
      <c r="A5082" s="762">
        <f t="shared" si="1768"/>
        <v>5077</v>
      </c>
      <c r="B5082" s="229"/>
      <c r="C5082" s="223"/>
      <c r="D5082" s="224"/>
      <c r="E5082" s="225"/>
      <c r="F5082" s="1036" t="str">
        <f t="shared" si="1774"/>
        <v/>
      </c>
      <c r="G5082" s="1037" t="str">
        <f t="shared" si="1769"/>
        <v/>
      </c>
      <c r="H5082" s="225"/>
      <c r="I5082" s="1013"/>
      <c r="J5082" s="1013"/>
      <c r="K5082" s="1028"/>
      <c r="L5082" s="1035" t="str">
        <f t="shared" si="1773"/>
        <v/>
      </c>
      <c r="S5082" s="498"/>
      <c r="AJ5082" s="498"/>
      <c r="AM5082" s="498">
        <f t="shared" si="1754"/>
        <v>0</v>
      </c>
      <c r="AN5082" s="498">
        <f t="shared" si="1755"/>
        <v>0</v>
      </c>
      <c r="AO5082" s="498">
        <f t="shared" si="1756"/>
        <v>0</v>
      </c>
      <c r="AP5082" s="498">
        <f t="shared" si="1775"/>
        <v>0</v>
      </c>
      <c r="AQ5082" s="498">
        <f t="shared" si="1770"/>
        <v>0</v>
      </c>
      <c r="AU5082" s="498">
        <f t="shared" si="1757"/>
        <v>0</v>
      </c>
      <c r="AV5082" s="498">
        <f t="shared" si="1758"/>
        <v>0</v>
      </c>
      <c r="AW5082" s="498">
        <f t="shared" si="1759"/>
        <v>0</v>
      </c>
      <c r="AX5082" s="498">
        <f t="shared" si="1760"/>
        <v>0</v>
      </c>
      <c r="AY5082" s="498">
        <f t="shared" si="1761"/>
        <v>0</v>
      </c>
      <c r="BB5082" s="498" t="str">
        <f t="shared" si="1762"/>
        <v/>
      </c>
      <c r="BC5082" s="743" t="str">
        <f t="shared" si="1763"/>
        <v/>
      </c>
      <c r="BD5082" s="743" t="str">
        <f t="shared" si="1764"/>
        <v/>
      </c>
      <c r="BE5082" s="743" t="str">
        <f>IF(D5082="","",VLOOKUP(D5082,'General Basis'!$J$39:$K$46,2,0))</f>
        <v/>
      </c>
      <c r="BF5082" s="744" t="str">
        <f>IF(D5082="","",VLOOKUP(D5082,'General Basis'!$J$39:$L$46,3,0))</f>
        <v/>
      </c>
      <c r="BG5082" s="744" t="str">
        <f t="shared" si="1771"/>
        <v/>
      </c>
      <c r="BH5082" s="744" t="str">
        <f>IF(G5082="","",IF(BF5082="Abu Dhabi",IF(G5082&lt;18,'General Basis'!$C$39,IF(G5082&lt;41,'General Basis'!$C$40,IF(G5082&lt;60,'General Basis'!$C$41,IF(G5082&lt;65,'General Basis'!$C$42,'General Basis'!$C$43)))),IF(G5082&lt;11,'General Basis'!$B$39,IF(G5082&lt;18,'General Basis'!$B$40,IF(G5082&lt;26,'General Basis'!$B$41,IF(G5082&lt;31,'General Basis'!$B$42,IF(G5082&lt;36,'General Basis'!$B$43,IF(G5082&lt;41,'General Basis'!$B$44,IF(G5082&lt;46,'General Basis'!$B$45,IF(G5082&lt;51,'General Basis'!$B$46,IF(G5082&lt;56,'General Basis'!$B$47,IF(G5082&lt;60,'General Basis'!$B$48,IF(G5082&lt;65,'General Basis'!$B$49,'General Basis'!$B$50)))))))))))))</f>
        <v/>
      </c>
      <c r="BI5082" s="744" t="str">
        <f t="shared" si="1765"/>
        <v/>
      </c>
      <c r="BJ5082" s="747" t="str">
        <f t="shared" si="1772"/>
        <v/>
      </c>
      <c r="BK5082" s="498" t="str">
        <f t="shared" si="1766"/>
        <v/>
      </c>
      <c r="BL5082" s="498" t="str">
        <f t="shared" si="1767"/>
        <v/>
      </c>
    </row>
    <row r="5083" spans="1:64" x14ac:dyDescent="0.25">
      <c r="A5083" s="762">
        <f t="shared" si="1768"/>
        <v>5078</v>
      </c>
      <c r="B5083" s="229"/>
      <c r="C5083" s="223"/>
      <c r="D5083" s="224"/>
      <c r="E5083" s="225"/>
      <c r="F5083" s="1036" t="str">
        <f t="shared" si="1774"/>
        <v/>
      </c>
      <c r="G5083" s="1037" t="str">
        <f t="shared" si="1769"/>
        <v/>
      </c>
      <c r="H5083" s="225"/>
      <c r="I5083" s="1013"/>
      <c r="J5083" s="1013"/>
      <c r="K5083" s="1028"/>
      <c r="L5083" s="1035" t="str">
        <f t="shared" si="1773"/>
        <v/>
      </c>
      <c r="S5083" s="498"/>
      <c r="AJ5083" s="498"/>
      <c r="AM5083" s="498">
        <f t="shared" si="1754"/>
        <v>0</v>
      </c>
      <c r="AN5083" s="498">
        <f t="shared" si="1755"/>
        <v>0</v>
      </c>
      <c r="AO5083" s="498">
        <f t="shared" si="1756"/>
        <v>0</v>
      </c>
      <c r="AP5083" s="498">
        <f t="shared" si="1775"/>
        <v>0</v>
      </c>
      <c r="AQ5083" s="498">
        <f t="shared" si="1770"/>
        <v>0</v>
      </c>
      <c r="AU5083" s="498">
        <f t="shared" si="1757"/>
        <v>0</v>
      </c>
      <c r="AV5083" s="498">
        <f t="shared" si="1758"/>
        <v>0</v>
      </c>
      <c r="AW5083" s="498">
        <f t="shared" si="1759"/>
        <v>0</v>
      </c>
      <c r="AX5083" s="498">
        <f t="shared" si="1760"/>
        <v>0</v>
      </c>
      <c r="AY5083" s="498">
        <f t="shared" si="1761"/>
        <v>0</v>
      </c>
      <c r="BB5083" s="498" t="str">
        <f t="shared" si="1762"/>
        <v/>
      </c>
      <c r="BC5083" s="743" t="str">
        <f t="shared" si="1763"/>
        <v/>
      </c>
      <c r="BD5083" s="743" t="str">
        <f t="shared" si="1764"/>
        <v/>
      </c>
      <c r="BE5083" s="743" t="str">
        <f>IF(D5083="","",VLOOKUP(D5083,'General Basis'!$J$39:$K$46,2,0))</f>
        <v/>
      </c>
      <c r="BF5083" s="744" t="str">
        <f>IF(D5083="","",VLOOKUP(D5083,'General Basis'!$J$39:$L$46,3,0))</f>
        <v/>
      </c>
      <c r="BG5083" s="744" t="str">
        <f t="shared" si="1771"/>
        <v/>
      </c>
      <c r="BH5083" s="744" t="str">
        <f>IF(G5083="","",IF(BF5083="Abu Dhabi",IF(G5083&lt;18,'General Basis'!$C$39,IF(G5083&lt;41,'General Basis'!$C$40,IF(G5083&lt;60,'General Basis'!$C$41,IF(G5083&lt;65,'General Basis'!$C$42,'General Basis'!$C$43)))),IF(G5083&lt;11,'General Basis'!$B$39,IF(G5083&lt;18,'General Basis'!$B$40,IF(G5083&lt;26,'General Basis'!$B$41,IF(G5083&lt;31,'General Basis'!$B$42,IF(G5083&lt;36,'General Basis'!$B$43,IF(G5083&lt;41,'General Basis'!$B$44,IF(G5083&lt;46,'General Basis'!$B$45,IF(G5083&lt;51,'General Basis'!$B$46,IF(G5083&lt;56,'General Basis'!$B$47,IF(G5083&lt;60,'General Basis'!$B$48,IF(G5083&lt;65,'General Basis'!$B$49,'General Basis'!$B$50)))))))))))))</f>
        <v/>
      </c>
      <c r="BI5083" s="744" t="str">
        <f t="shared" si="1765"/>
        <v/>
      </c>
      <c r="BJ5083" s="747" t="str">
        <f t="shared" si="1772"/>
        <v/>
      </c>
      <c r="BK5083" s="498" t="str">
        <f t="shared" si="1766"/>
        <v/>
      </c>
      <c r="BL5083" s="498" t="str">
        <f t="shared" si="1767"/>
        <v/>
      </c>
    </row>
    <row r="5084" spans="1:64" x14ac:dyDescent="0.25">
      <c r="A5084" s="762">
        <f t="shared" si="1768"/>
        <v>5079</v>
      </c>
      <c r="B5084" s="229"/>
      <c r="C5084" s="223"/>
      <c r="D5084" s="224"/>
      <c r="E5084" s="225"/>
      <c r="F5084" s="1036" t="str">
        <f t="shared" si="1774"/>
        <v/>
      </c>
      <c r="G5084" s="1037" t="str">
        <f t="shared" si="1769"/>
        <v/>
      </c>
      <c r="H5084" s="225"/>
      <c r="I5084" s="1013"/>
      <c r="J5084" s="1013"/>
      <c r="K5084" s="1028"/>
      <c r="L5084" s="1035" t="str">
        <f t="shared" si="1773"/>
        <v/>
      </c>
      <c r="S5084" s="498"/>
      <c r="AJ5084" s="498"/>
      <c r="AM5084" s="498">
        <f t="shared" si="1754"/>
        <v>0</v>
      </c>
      <c r="AN5084" s="498">
        <f t="shared" si="1755"/>
        <v>0</v>
      </c>
      <c r="AO5084" s="498">
        <f t="shared" si="1756"/>
        <v>0</v>
      </c>
      <c r="AP5084" s="498">
        <f t="shared" si="1775"/>
        <v>0</v>
      </c>
      <c r="AQ5084" s="498">
        <f t="shared" si="1770"/>
        <v>0</v>
      </c>
      <c r="AU5084" s="498">
        <f t="shared" si="1757"/>
        <v>0</v>
      </c>
      <c r="AV5084" s="498">
        <f t="shared" si="1758"/>
        <v>0</v>
      </c>
      <c r="AW5084" s="498">
        <f t="shared" si="1759"/>
        <v>0</v>
      </c>
      <c r="AX5084" s="498">
        <f t="shared" si="1760"/>
        <v>0</v>
      </c>
      <c r="AY5084" s="498">
        <f t="shared" si="1761"/>
        <v>0</v>
      </c>
      <c r="BB5084" s="498" t="str">
        <f t="shared" si="1762"/>
        <v/>
      </c>
      <c r="BC5084" s="743" t="str">
        <f t="shared" si="1763"/>
        <v/>
      </c>
      <c r="BD5084" s="743" t="str">
        <f t="shared" si="1764"/>
        <v/>
      </c>
      <c r="BE5084" s="743" t="str">
        <f>IF(D5084="","",VLOOKUP(D5084,'General Basis'!$J$39:$K$46,2,0))</f>
        <v/>
      </c>
      <c r="BF5084" s="744" t="str">
        <f>IF(D5084="","",VLOOKUP(D5084,'General Basis'!$J$39:$L$46,3,0))</f>
        <v/>
      </c>
      <c r="BG5084" s="744" t="str">
        <f t="shared" si="1771"/>
        <v/>
      </c>
      <c r="BH5084" s="744" t="str">
        <f>IF(G5084="","",IF(BF5084="Abu Dhabi",IF(G5084&lt;18,'General Basis'!$C$39,IF(G5084&lt;41,'General Basis'!$C$40,IF(G5084&lt;60,'General Basis'!$C$41,IF(G5084&lt;65,'General Basis'!$C$42,'General Basis'!$C$43)))),IF(G5084&lt;11,'General Basis'!$B$39,IF(G5084&lt;18,'General Basis'!$B$40,IF(G5084&lt;26,'General Basis'!$B$41,IF(G5084&lt;31,'General Basis'!$B$42,IF(G5084&lt;36,'General Basis'!$B$43,IF(G5084&lt;41,'General Basis'!$B$44,IF(G5084&lt;46,'General Basis'!$B$45,IF(G5084&lt;51,'General Basis'!$B$46,IF(G5084&lt;56,'General Basis'!$B$47,IF(G5084&lt;60,'General Basis'!$B$48,IF(G5084&lt;65,'General Basis'!$B$49,'General Basis'!$B$50)))))))))))))</f>
        <v/>
      </c>
      <c r="BI5084" s="744" t="str">
        <f t="shared" si="1765"/>
        <v/>
      </c>
      <c r="BJ5084" s="747" t="str">
        <f t="shared" si="1772"/>
        <v/>
      </c>
      <c r="BK5084" s="498" t="str">
        <f t="shared" si="1766"/>
        <v/>
      </c>
      <c r="BL5084" s="498" t="str">
        <f t="shared" si="1767"/>
        <v/>
      </c>
    </row>
    <row r="5085" spans="1:64" x14ac:dyDescent="0.25">
      <c r="A5085" s="762">
        <f t="shared" si="1768"/>
        <v>5080</v>
      </c>
      <c r="B5085" s="229"/>
      <c r="C5085" s="223"/>
      <c r="D5085" s="224"/>
      <c r="E5085" s="225"/>
      <c r="F5085" s="1036" t="str">
        <f t="shared" si="1774"/>
        <v/>
      </c>
      <c r="G5085" s="1037" t="str">
        <f t="shared" si="1769"/>
        <v/>
      </c>
      <c r="H5085" s="225"/>
      <c r="I5085" s="1013"/>
      <c r="J5085" s="1013"/>
      <c r="K5085" s="1028"/>
      <c r="L5085" s="1035" t="str">
        <f t="shared" si="1773"/>
        <v/>
      </c>
      <c r="S5085" s="498"/>
      <c r="AJ5085" s="498"/>
      <c r="AM5085" s="498">
        <f t="shared" si="1754"/>
        <v>0</v>
      </c>
      <c r="AN5085" s="498">
        <f t="shared" si="1755"/>
        <v>0</v>
      </c>
      <c r="AO5085" s="498">
        <f t="shared" si="1756"/>
        <v>0</v>
      </c>
      <c r="AP5085" s="498">
        <f t="shared" si="1775"/>
        <v>0</v>
      </c>
      <c r="AQ5085" s="498">
        <f t="shared" si="1770"/>
        <v>0</v>
      </c>
      <c r="AU5085" s="498">
        <f t="shared" si="1757"/>
        <v>0</v>
      </c>
      <c r="AV5085" s="498">
        <f t="shared" si="1758"/>
        <v>0</v>
      </c>
      <c r="AW5085" s="498">
        <f t="shared" si="1759"/>
        <v>0</v>
      </c>
      <c r="AX5085" s="498">
        <f t="shared" si="1760"/>
        <v>0</v>
      </c>
      <c r="AY5085" s="498">
        <f t="shared" si="1761"/>
        <v>0</v>
      </c>
      <c r="BB5085" s="498" t="str">
        <f t="shared" si="1762"/>
        <v/>
      </c>
      <c r="BC5085" s="743" t="str">
        <f t="shared" si="1763"/>
        <v/>
      </c>
      <c r="BD5085" s="743" t="str">
        <f t="shared" si="1764"/>
        <v/>
      </c>
      <c r="BE5085" s="743" t="str">
        <f>IF(D5085="","",VLOOKUP(D5085,'General Basis'!$J$39:$K$46,2,0))</f>
        <v/>
      </c>
      <c r="BF5085" s="744" t="str">
        <f>IF(D5085="","",VLOOKUP(D5085,'General Basis'!$J$39:$L$46,3,0))</f>
        <v/>
      </c>
      <c r="BG5085" s="744" t="str">
        <f t="shared" si="1771"/>
        <v/>
      </c>
      <c r="BH5085" s="744" t="str">
        <f>IF(G5085="","",IF(BF5085="Abu Dhabi",IF(G5085&lt;18,'General Basis'!$C$39,IF(G5085&lt;41,'General Basis'!$C$40,IF(G5085&lt;60,'General Basis'!$C$41,IF(G5085&lt;65,'General Basis'!$C$42,'General Basis'!$C$43)))),IF(G5085&lt;11,'General Basis'!$B$39,IF(G5085&lt;18,'General Basis'!$B$40,IF(G5085&lt;26,'General Basis'!$B$41,IF(G5085&lt;31,'General Basis'!$B$42,IF(G5085&lt;36,'General Basis'!$B$43,IF(G5085&lt;41,'General Basis'!$B$44,IF(G5085&lt;46,'General Basis'!$B$45,IF(G5085&lt;51,'General Basis'!$B$46,IF(G5085&lt;56,'General Basis'!$B$47,IF(G5085&lt;60,'General Basis'!$B$48,IF(G5085&lt;65,'General Basis'!$B$49,'General Basis'!$B$50)))))))))))))</f>
        <v/>
      </c>
      <c r="BI5085" s="744" t="str">
        <f t="shared" si="1765"/>
        <v/>
      </c>
      <c r="BJ5085" s="747" t="str">
        <f t="shared" si="1772"/>
        <v/>
      </c>
      <c r="BK5085" s="498" t="str">
        <f t="shared" si="1766"/>
        <v/>
      </c>
      <c r="BL5085" s="498" t="str">
        <f t="shared" si="1767"/>
        <v/>
      </c>
    </row>
    <row r="5086" spans="1:64" x14ac:dyDescent="0.25">
      <c r="A5086" s="762">
        <f t="shared" si="1768"/>
        <v>5081</v>
      </c>
      <c r="B5086" s="229"/>
      <c r="C5086" s="223"/>
      <c r="D5086" s="224"/>
      <c r="E5086" s="225"/>
      <c r="F5086" s="1036" t="str">
        <f t="shared" si="1774"/>
        <v/>
      </c>
      <c r="G5086" s="1037" t="str">
        <f t="shared" si="1769"/>
        <v/>
      </c>
      <c r="H5086" s="225"/>
      <c r="I5086" s="1013"/>
      <c r="J5086" s="1013"/>
      <c r="K5086" s="1028"/>
      <c r="L5086" s="1035" t="str">
        <f t="shared" si="1773"/>
        <v/>
      </c>
      <c r="S5086" s="498"/>
      <c r="AJ5086" s="498"/>
      <c r="AM5086" s="498">
        <f t="shared" si="1754"/>
        <v>0</v>
      </c>
      <c r="AN5086" s="498">
        <f t="shared" si="1755"/>
        <v>0</v>
      </c>
      <c r="AO5086" s="498">
        <f t="shared" si="1756"/>
        <v>0</v>
      </c>
      <c r="AP5086" s="498">
        <f t="shared" si="1775"/>
        <v>0</v>
      </c>
      <c r="AQ5086" s="498">
        <f t="shared" si="1770"/>
        <v>0</v>
      </c>
      <c r="AU5086" s="498">
        <f t="shared" si="1757"/>
        <v>0</v>
      </c>
      <c r="AV5086" s="498">
        <f t="shared" si="1758"/>
        <v>0</v>
      </c>
      <c r="AW5086" s="498">
        <f t="shared" si="1759"/>
        <v>0</v>
      </c>
      <c r="AX5086" s="498">
        <f t="shared" si="1760"/>
        <v>0</v>
      </c>
      <c r="AY5086" s="498">
        <f t="shared" si="1761"/>
        <v>0</v>
      </c>
      <c r="BB5086" s="498" t="str">
        <f t="shared" si="1762"/>
        <v/>
      </c>
      <c r="BC5086" s="743" t="str">
        <f t="shared" si="1763"/>
        <v/>
      </c>
      <c r="BD5086" s="743" t="str">
        <f t="shared" si="1764"/>
        <v/>
      </c>
      <c r="BE5086" s="743" t="str">
        <f>IF(D5086="","",VLOOKUP(D5086,'General Basis'!$J$39:$K$46,2,0))</f>
        <v/>
      </c>
      <c r="BF5086" s="744" t="str">
        <f>IF(D5086="","",VLOOKUP(D5086,'General Basis'!$J$39:$L$46,3,0))</f>
        <v/>
      </c>
      <c r="BG5086" s="744" t="str">
        <f t="shared" si="1771"/>
        <v/>
      </c>
      <c r="BH5086" s="744" t="str">
        <f>IF(G5086="","",IF(BF5086="Abu Dhabi",IF(G5086&lt;18,'General Basis'!$C$39,IF(G5086&lt;41,'General Basis'!$C$40,IF(G5086&lt;60,'General Basis'!$C$41,IF(G5086&lt;65,'General Basis'!$C$42,'General Basis'!$C$43)))),IF(G5086&lt;11,'General Basis'!$B$39,IF(G5086&lt;18,'General Basis'!$B$40,IF(G5086&lt;26,'General Basis'!$B$41,IF(G5086&lt;31,'General Basis'!$B$42,IF(G5086&lt;36,'General Basis'!$B$43,IF(G5086&lt;41,'General Basis'!$B$44,IF(G5086&lt;46,'General Basis'!$B$45,IF(G5086&lt;51,'General Basis'!$B$46,IF(G5086&lt;56,'General Basis'!$B$47,IF(G5086&lt;60,'General Basis'!$B$48,IF(G5086&lt;65,'General Basis'!$B$49,'General Basis'!$B$50)))))))))))))</f>
        <v/>
      </c>
      <c r="BI5086" s="744" t="str">
        <f t="shared" si="1765"/>
        <v/>
      </c>
      <c r="BJ5086" s="747" t="str">
        <f t="shared" si="1772"/>
        <v/>
      </c>
      <c r="BK5086" s="498" t="str">
        <f t="shared" si="1766"/>
        <v/>
      </c>
      <c r="BL5086" s="498" t="str">
        <f t="shared" si="1767"/>
        <v/>
      </c>
    </row>
    <row r="5087" spans="1:64" x14ac:dyDescent="0.25">
      <c r="A5087" s="762">
        <f t="shared" si="1768"/>
        <v>5082</v>
      </c>
      <c r="B5087" s="229"/>
      <c r="C5087" s="223"/>
      <c r="D5087" s="224"/>
      <c r="E5087" s="225"/>
      <c r="F5087" s="1036" t="str">
        <f t="shared" si="1774"/>
        <v/>
      </c>
      <c r="G5087" s="1037" t="str">
        <f t="shared" si="1769"/>
        <v/>
      </c>
      <c r="H5087" s="225"/>
      <c r="I5087" s="1013"/>
      <c r="J5087" s="1013"/>
      <c r="K5087" s="1028"/>
      <c r="L5087" s="1035" t="str">
        <f t="shared" si="1773"/>
        <v/>
      </c>
      <c r="S5087" s="498"/>
      <c r="AJ5087" s="498"/>
      <c r="AM5087" s="498">
        <f t="shared" si="1754"/>
        <v>0</v>
      </c>
      <c r="AN5087" s="498">
        <f t="shared" si="1755"/>
        <v>0</v>
      </c>
      <c r="AO5087" s="498">
        <f t="shared" si="1756"/>
        <v>0</v>
      </c>
      <c r="AP5087" s="498">
        <f t="shared" si="1775"/>
        <v>0</v>
      </c>
      <c r="AQ5087" s="498">
        <f t="shared" si="1770"/>
        <v>0</v>
      </c>
      <c r="AU5087" s="498">
        <f t="shared" si="1757"/>
        <v>0</v>
      </c>
      <c r="AV5087" s="498">
        <f t="shared" si="1758"/>
        <v>0</v>
      </c>
      <c r="AW5087" s="498">
        <f t="shared" si="1759"/>
        <v>0</v>
      </c>
      <c r="AX5087" s="498">
        <f t="shared" si="1760"/>
        <v>0</v>
      </c>
      <c r="AY5087" s="498">
        <f t="shared" si="1761"/>
        <v>0</v>
      </c>
      <c r="BB5087" s="498" t="str">
        <f t="shared" si="1762"/>
        <v/>
      </c>
      <c r="BC5087" s="743" t="str">
        <f t="shared" si="1763"/>
        <v/>
      </c>
      <c r="BD5087" s="743" t="str">
        <f t="shared" si="1764"/>
        <v/>
      </c>
      <c r="BE5087" s="743" t="str">
        <f>IF(D5087="","",VLOOKUP(D5087,'General Basis'!$J$39:$K$46,2,0))</f>
        <v/>
      </c>
      <c r="BF5087" s="744" t="str">
        <f>IF(D5087="","",VLOOKUP(D5087,'General Basis'!$J$39:$L$46,3,0))</f>
        <v/>
      </c>
      <c r="BG5087" s="744" t="str">
        <f t="shared" si="1771"/>
        <v/>
      </c>
      <c r="BH5087" s="744" t="str">
        <f>IF(G5087="","",IF(BF5087="Abu Dhabi",IF(G5087&lt;18,'General Basis'!$C$39,IF(G5087&lt;41,'General Basis'!$C$40,IF(G5087&lt;60,'General Basis'!$C$41,IF(G5087&lt;65,'General Basis'!$C$42,'General Basis'!$C$43)))),IF(G5087&lt;11,'General Basis'!$B$39,IF(G5087&lt;18,'General Basis'!$B$40,IF(G5087&lt;26,'General Basis'!$B$41,IF(G5087&lt;31,'General Basis'!$B$42,IF(G5087&lt;36,'General Basis'!$B$43,IF(G5087&lt;41,'General Basis'!$B$44,IF(G5087&lt;46,'General Basis'!$B$45,IF(G5087&lt;51,'General Basis'!$B$46,IF(G5087&lt;56,'General Basis'!$B$47,IF(G5087&lt;60,'General Basis'!$B$48,IF(G5087&lt;65,'General Basis'!$B$49,'General Basis'!$B$50)))))))))))))</f>
        <v/>
      </c>
      <c r="BI5087" s="744" t="str">
        <f t="shared" si="1765"/>
        <v/>
      </c>
      <c r="BJ5087" s="747" t="str">
        <f t="shared" si="1772"/>
        <v/>
      </c>
      <c r="BK5087" s="498" t="str">
        <f t="shared" si="1766"/>
        <v/>
      </c>
      <c r="BL5087" s="498" t="str">
        <f t="shared" si="1767"/>
        <v/>
      </c>
    </row>
    <row r="5088" spans="1:64" x14ac:dyDescent="0.25">
      <c r="A5088" s="762">
        <f t="shared" si="1768"/>
        <v>5083</v>
      </c>
      <c r="B5088" s="229"/>
      <c r="C5088" s="223"/>
      <c r="D5088" s="224"/>
      <c r="E5088" s="225"/>
      <c r="F5088" s="1036" t="str">
        <f t="shared" si="1774"/>
        <v/>
      </c>
      <c r="G5088" s="1037" t="str">
        <f t="shared" si="1769"/>
        <v/>
      </c>
      <c r="H5088" s="225"/>
      <c r="I5088" s="1013"/>
      <c r="J5088" s="1013"/>
      <c r="K5088" s="1028"/>
      <c r="L5088" s="1035" t="str">
        <f t="shared" si="1773"/>
        <v/>
      </c>
      <c r="S5088" s="498"/>
      <c r="AJ5088" s="498"/>
      <c r="AM5088" s="498">
        <f t="shared" si="1754"/>
        <v>0</v>
      </c>
      <c r="AN5088" s="498">
        <f t="shared" si="1755"/>
        <v>0</v>
      </c>
      <c r="AO5088" s="498">
        <f t="shared" si="1756"/>
        <v>0</v>
      </c>
      <c r="AP5088" s="498">
        <f t="shared" si="1775"/>
        <v>0</v>
      </c>
      <c r="AQ5088" s="498">
        <f t="shared" si="1770"/>
        <v>0</v>
      </c>
      <c r="AU5088" s="498">
        <f t="shared" si="1757"/>
        <v>0</v>
      </c>
      <c r="AV5088" s="498">
        <f t="shared" si="1758"/>
        <v>0</v>
      </c>
      <c r="AW5088" s="498">
        <f t="shared" si="1759"/>
        <v>0</v>
      </c>
      <c r="AX5088" s="498">
        <f t="shared" si="1760"/>
        <v>0</v>
      </c>
      <c r="AY5088" s="498">
        <f t="shared" si="1761"/>
        <v>0</v>
      </c>
      <c r="BB5088" s="498" t="str">
        <f t="shared" si="1762"/>
        <v/>
      </c>
      <c r="BC5088" s="743" t="str">
        <f t="shared" si="1763"/>
        <v/>
      </c>
      <c r="BD5088" s="743" t="str">
        <f t="shared" si="1764"/>
        <v/>
      </c>
      <c r="BE5088" s="743" t="str">
        <f>IF(D5088="","",VLOOKUP(D5088,'General Basis'!$J$39:$K$46,2,0))</f>
        <v/>
      </c>
      <c r="BF5088" s="744" t="str">
        <f>IF(D5088="","",VLOOKUP(D5088,'General Basis'!$J$39:$L$46,3,0))</f>
        <v/>
      </c>
      <c r="BG5088" s="744" t="str">
        <f t="shared" si="1771"/>
        <v/>
      </c>
      <c r="BH5088" s="744" t="str">
        <f>IF(G5088="","",IF(BF5088="Abu Dhabi",IF(G5088&lt;18,'General Basis'!$C$39,IF(G5088&lt;41,'General Basis'!$C$40,IF(G5088&lt;60,'General Basis'!$C$41,IF(G5088&lt;65,'General Basis'!$C$42,'General Basis'!$C$43)))),IF(G5088&lt;11,'General Basis'!$B$39,IF(G5088&lt;18,'General Basis'!$B$40,IF(G5088&lt;26,'General Basis'!$B$41,IF(G5088&lt;31,'General Basis'!$B$42,IF(G5088&lt;36,'General Basis'!$B$43,IF(G5088&lt;41,'General Basis'!$B$44,IF(G5088&lt;46,'General Basis'!$B$45,IF(G5088&lt;51,'General Basis'!$B$46,IF(G5088&lt;56,'General Basis'!$B$47,IF(G5088&lt;60,'General Basis'!$B$48,IF(G5088&lt;65,'General Basis'!$B$49,'General Basis'!$B$50)))))))))))))</f>
        <v/>
      </c>
      <c r="BI5088" s="744" t="str">
        <f t="shared" si="1765"/>
        <v/>
      </c>
      <c r="BJ5088" s="747" t="str">
        <f t="shared" si="1772"/>
        <v/>
      </c>
      <c r="BK5088" s="498" t="str">
        <f t="shared" si="1766"/>
        <v/>
      </c>
      <c r="BL5088" s="498" t="str">
        <f t="shared" si="1767"/>
        <v/>
      </c>
    </row>
    <row r="5089" spans="1:64" x14ac:dyDescent="0.25">
      <c r="A5089" s="762">
        <f t="shared" si="1768"/>
        <v>5084</v>
      </c>
      <c r="B5089" s="229"/>
      <c r="C5089" s="223"/>
      <c r="D5089" s="224"/>
      <c r="E5089" s="225"/>
      <c r="F5089" s="1036" t="str">
        <f t="shared" si="1774"/>
        <v/>
      </c>
      <c r="G5089" s="1037" t="str">
        <f t="shared" si="1769"/>
        <v/>
      </c>
      <c r="H5089" s="225"/>
      <c r="I5089" s="1013"/>
      <c r="J5089" s="1013"/>
      <c r="K5089" s="1028"/>
      <c r="L5089" s="1035" t="str">
        <f t="shared" si="1773"/>
        <v/>
      </c>
      <c r="S5089" s="498"/>
      <c r="AJ5089" s="498"/>
      <c r="AM5089" s="498">
        <f t="shared" si="1754"/>
        <v>0</v>
      </c>
      <c r="AN5089" s="498">
        <f t="shared" si="1755"/>
        <v>0</v>
      </c>
      <c r="AO5089" s="498">
        <f t="shared" si="1756"/>
        <v>0</v>
      </c>
      <c r="AP5089" s="498">
        <f t="shared" si="1775"/>
        <v>0</v>
      </c>
      <c r="AQ5089" s="498">
        <f t="shared" si="1770"/>
        <v>0</v>
      </c>
      <c r="AU5089" s="498">
        <f t="shared" si="1757"/>
        <v>0</v>
      </c>
      <c r="AV5089" s="498">
        <f t="shared" si="1758"/>
        <v>0</v>
      </c>
      <c r="AW5089" s="498">
        <f t="shared" si="1759"/>
        <v>0</v>
      </c>
      <c r="AX5089" s="498">
        <f t="shared" si="1760"/>
        <v>0</v>
      </c>
      <c r="AY5089" s="498">
        <f t="shared" si="1761"/>
        <v>0</v>
      </c>
      <c r="BB5089" s="498" t="str">
        <f t="shared" si="1762"/>
        <v/>
      </c>
      <c r="BC5089" s="743" t="str">
        <f t="shared" si="1763"/>
        <v/>
      </c>
      <c r="BD5089" s="743" t="str">
        <f t="shared" si="1764"/>
        <v/>
      </c>
      <c r="BE5089" s="743" t="str">
        <f>IF(D5089="","",VLOOKUP(D5089,'General Basis'!$J$39:$K$46,2,0))</f>
        <v/>
      </c>
      <c r="BF5089" s="744" t="str">
        <f>IF(D5089="","",VLOOKUP(D5089,'General Basis'!$J$39:$L$46,3,0))</f>
        <v/>
      </c>
      <c r="BG5089" s="744" t="str">
        <f t="shared" si="1771"/>
        <v/>
      </c>
      <c r="BH5089" s="744" t="str">
        <f>IF(G5089="","",IF(BF5089="Abu Dhabi",IF(G5089&lt;18,'General Basis'!$C$39,IF(G5089&lt;41,'General Basis'!$C$40,IF(G5089&lt;60,'General Basis'!$C$41,IF(G5089&lt;65,'General Basis'!$C$42,'General Basis'!$C$43)))),IF(G5089&lt;11,'General Basis'!$B$39,IF(G5089&lt;18,'General Basis'!$B$40,IF(G5089&lt;26,'General Basis'!$B$41,IF(G5089&lt;31,'General Basis'!$B$42,IF(G5089&lt;36,'General Basis'!$B$43,IF(G5089&lt;41,'General Basis'!$B$44,IF(G5089&lt;46,'General Basis'!$B$45,IF(G5089&lt;51,'General Basis'!$B$46,IF(G5089&lt;56,'General Basis'!$B$47,IF(G5089&lt;60,'General Basis'!$B$48,IF(G5089&lt;65,'General Basis'!$B$49,'General Basis'!$B$50)))))))))))))</f>
        <v/>
      </c>
      <c r="BI5089" s="744" t="str">
        <f t="shared" si="1765"/>
        <v/>
      </c>
      <c r="BJ5089" s="747" t="str">
        <f t="shared" si="1772"/>
        <v/>
      </c>
      <c r="BK5089" s="498" t="str">
        <f t="shared" si="1766"/>
        <v/>
      </c>
      <c r="BL5089" s="498" t="str">
        <f t="shared" si="1767"/>
        <v/>
      </c>
    </row>
    <row r="5090" spans="1:64" x14ac:dyDescent="0.25">
      <c r="A5090" s="762">
        <f t="shared" si="1768"/>
        <v>5085</v>
      </c>
      <c r="B5090" s="229"/>
      <c r="C5090" s="223"/>
      <c r="D5090" s="224"/>
      <c r="E5090" s="225"/>
      <c r="F5090" s="1036" t="str">
        <f t="shared" si="1774"/>
        <v/>
      </c>
      <c r="G5090" s="1037" t="str">
        <f t="shared" si="1769"/>
        <v/>
      </c>
      <c r="H5090" s="225"/>
      <c r="I5090" s="1013"/>
      <c r="J5090" s="1013"/>
      <c r="K5090" s="1028"/>
      <c r="L5090" s="1035" t="str">
        <f t="shared" si="1773"/>
        <v/>
      </c>
      <c r="S5090" s="498"/>
      <c r="AJ5090" s="498"/>
      <c r="AM5090" s="498">
        <f t="shared" si="1754"/>
        <v>0</v>
      </c>
      <c r="AN5090" s="498">
        <f t="shared" si="1755"/>
        <v>0</v>
      </c>
      <c r="AO5090" s="498">
        <f t="shared" si="1756"/>
        <v>0</v>
      </c>
      <c r="AP5090" s="498">
        <f t="shared" si="1775"/>
        <v>0</v>
      </c>
      <c r="AQ5090" s="498">
        <f t="shared" si="1770"/>
        <v>0</v>
      </c>
      <c r="AU5090" s="498">
        <f t="shared" si="1757"/>
        <v>0</v>
      </c>
      <c r="AV5090" s="498">
        <f t="shared" si="1758"/>
        <v>0</v>
      </c>
      <c r="AW5090" s="498">
        <f t="shared" si="1759"/>
        <v>0</v>
      </c>
      <c r="AX5090" s="498">
        <f t="shared" si="1760"/>
        <v>0</v>
      </c>
      <c r="AY5090" s="498">
        <f t="shared" si="1761"/>
        <v>0</v>
      </c>
      <c r="BB5090" s="498" t="str">
        <f t="shared" si="1762"/>
        <v/>
      </c>
      <c r="BC5090" s="743" t="str">
        <f t="shared" si="1763"/>
        <v/>
      </c>
      <c r="BD5090" s="743" t="str">
        <f t="shared" si="1764"/>
        <v/>
      </c>
      <c r="BE5090" s="743" t="str">
        <f>IF(D5090="","",VLOOKUP(D5090,'General Basis'!$J$39:$K$46,2,0))</f>
        <v/>
      </c>
      <c r="BF5090" s="744" t="str">
        <f>IF(D5090="","",VLOOKUP(D5090,'General Basis'!$J$39:$L$46,3,0))</f>
        <v/>
      </c>
      <c r="BG5090" s="744" t="str">
        <f t="shared" si="1771"/>
        <v/>
      </c>
      <c r="BH5090" s="744" t="str">
        <f>IF(G5090="","",IF(BF5090="Abu Dhabi",IF(G5090&lt;18,'General Basis'!$C$39,IF(G5090&lt;41,'General Basis'!$C$40,IF(G5090&lt;60,'General Basis'!$C$41,IF(G5090&lt;65,'General Basis'!$C$42,'General Basis'!$C$43)))),IF(G5090&lt;11,'General Basis'!$B$39,IF(G5090&lt;18,'General Basis'!$B$40,IF(G5090&lt;26,'General Basis'!$B$41,IF(G5090&lt;31,'General Basis'!$B$42,IF(G5090&lt;36,'General Basis'!$B$43,IF(G5090&lt;41,'General Basis'!$B$44,IF(G5090&lt;46,'General Basis'!$B$45,IF(G5090&lt;51,'General Basis'!$B$46,IF(G5090&lt;56,'General Basis'!$B$47,IF(G5090&lt;60,'General Basis'!$B$48,IF(G5090&lt;65,'General Basis'!$B$49,'General Basis'!$B$50)))))))))))))</f>
        <v/>
      </c>
      <c r="BI5090" s="744" t="str">
        <f t="shared" si="1765"/>
        <v/>
      </c>
      <c r="BJ5090" s="747" t="str">
        <f t="shared" si="1772"/>
        <v/>
      </c>
      <c r="BK5090" s="498" t="str">
        <f t="shared" si="1766"/>
        <v/>
      </c>
      <c r="BL5090" s="498" t="str">
        <f t="shared" si="1767"/>
        <v/>
      </c>
    </row>
    <row r="5091" spans="1:64" x14ac:dyDescent="0.25">
      <c r="A5091" s="762">
        <f t="shared" si="1768"/>
        <v>5086</v>
      </c>
      <c r="B5091" s="229"/>
      <c r="C5091" s="223"/>
      <c r="D5091" s="224"/>
      <c r="E5091" s="225"/>
      <c r="F5091" s="1036" t="str">
        <f t="shared" si="1774"/>
        <v/>
      </c>
      <c r="G5091" s="1037" t="str">
        <f t="shared" si="1769"/>
        <v/>
      </c>
      <c r="H5091" s="225"/>
      <c r="I5091" s="1013"/>
      <c r="J5091" s="1013"/>
      <c r="K5091" s="1028"/>
      <c r="L5091" s="1035" t="str">
        <f t="shared" si="1773"/>
        <v/>
      </c>
      <c r="S5091" s="498"/>
      <c r="AJ5091" s="498"/>
      <c r="AM5091" s="498">
        <f t="shared" si="1754"/>
        <v>0</v>
      </c>
      <c r="AN5091" s="498">
        <f t="shared" si="1755"/>
        <v>0</v>
      </c>
      <c r="AO5091" s="498">
        <f t="shared" si="1756"/>
        <v>0</v>
      </c>
      <c r="AP5091" s="498">
        <f t="shared" si="1775"/>
        <v>0</v>
      </c>
      <c r="AQ5091" s="498">
        <f t="shared" si="1770"/>
        <v>0</v>
      </c>
      <c r="AU5091" s="498">
        <f t="shared" si="1757"/>
        <v>0</v>
      </c>
      <c r="AV5091" s="498">
        <f t="shared" si="1758"/>
        <v>0</v>
      </c>
      <c r="AW5091" s="498">
        <f t="shared" si="1759"/>
        <v>0</v>
      </c>
      <c r="AX5091" s="498">
        <f t="shared" si="1760"/>
        <v>0</v>
      </c>
      <c r="AY5091" s="498">
        <f t="shared" si="1761"/>
        <v>0</v>
      </c>
      <c r="BB5091" s="498" t="str">
        <f t="shared" si="1762"/>
        <v/>
      </c>
      <c r="BC5091" s="743" t="str">
        <f t="shared" si="1763"/>
        <v/>
      </c>
      <c r="BD5091" s="743" t="str">
        <f t="shared" si="1764"/>
        <v/>
      </c>
      <c r="BE5091" s="743" t="str">
        <f>IF(D5091="","",VLOOKUP(D5091,'General Basis'!$J$39:$K$46,2,0))</f>
        <v/>
      </c>
      <c r="BF5091" s="744" t="str">
        <f>IF(D5091="","",VLOOKUP(D5091,'General Basis'!$J$39:$L$46,3,0))</f>
        <v/>
      </c>
      <c r="BG5091" s="744" t="str">
        <f t="shared" si="1771"/>
        <v/>
      </c>
      <c r="BH5091" s="744" t="str">
        <f>IF(G5091="","",IF(BF5091="Abu Dhabi",IF(G5091&lt;18,'General Basis'!$C$39,IF(G5091&lt;41,'General Basis'!$C$40,IF(G5091&lt;60,'General Basis'!$C$41,IF(G5091&lt;65,'General Basis'!$C$42,'General Basis'!$C$43)))),IF(G5091&lt;11,'General Basis'!$B$39,IF(G5091&lt;18,'General Basis'!$B$40,IF(G5091&lt;26,'General Basis'!$B$41,IF(G5091&lt;31,'General Basis'!$B$42,IF(G5091&lt;36,'General Basis'!$B$43,IF(G5091&lt;41,'General Basis'!$B$44,IF(G5091&lt;46,'General Basis'!$B$45,IF(G5091&lt;51,'General Basis'!$B$46,IF(G5091&lt;56,'General Basis'!$B$47,IF(G5091&lt;60,'General Basis'!$B$48,IF(G5091&lt;65,'General Basis'!$B$49,'General Basis'!$B$50)))))))))))))</f>
        <v/>
      </c>
      <c r="BI5091" s="744" t="str">
        <f t="shared" si="1765"/>
        <v/>
      </c>
      <c r="BJ5091" s="747" t="str">
        <f t="shared" si="1772"/>
        <v/>
      </c>
      <c r="BK5091" s="498" t="str">
        <f t="shared" si="1766"/>
        <v/>
      </c>
      <c r="BL5091" s="498" t="str">
        <f t="shared" si="1767"/>
        <v/>
      </c>
    </row>
    <row r="5092" spans="1:64" x14ac:dyDescent="0.25">
      <c r="A5092" s="762">
        <f t="shared" si="1768"/>
        <v>5087</v>
      </c>
      <c r="B5092" s="229"/>
      <c r="C5092" s="223"/>
      <c r="D5092" s="224"/>
      <c r="E5092" s="225"/>
      <c r="F5092" s="1036" t="str">
        <f t="shared" si="1774"/>
        <v/>
      </c>
      <c r="G5092" s="1037" t="str">
        <f t="shared" si="1769"/>
        <v/>
      </c>
      <c r="H5092" s="225"/>
      <c r="I5092" s="1013"/>
      <c r="J5092" s="1013"/>
      <c r="K5092" s="1028"/>
      <c r="L5092" s="1035" t="str">
        <f t="shared" si="1773"/>
        <v/>
      </c>
      <c r="S5092" s="498"/>
      <c r="AJ5092" s="498"/>
      <c r="AM5092" s="498">
        <f t="shared" si="1754"/>
        <v>0</v>
      </c>
      <c r="AN5092" s="498">
        <f t="shared" si="1755"/>
        <v>0</v>
      </c>
      <c r="AO5092" s="498">
        <f t="shared" si="1756"/>
        <v>0</v>
      </c>
      <c r="AP5092" s="498">
        <f t="shared" si="1775"/>
        <v>0</v>
      </c>
      <c r="AQ5092" s="498">
        <f t="shared" si="1770"/>
        <v>0</v>
      </c>
      <c r="AU5092" s="498">
        <f t="shared" si="1757"/>
        <v>0</v>
      </c>
      <c r="AV5092" s="498">
        <f t="shared" si="1758"/>
        <v>0</v>
      </c>
      <c r="AW5092" s="498">
        <f t="shared" si="1759"/>
        <v>0</v>
      </c>
      <c r="AX5092" s="498">
        <f t="shared" si="1760"/>
        <v>0</v>
      </c>
      <c r="AY5092" s="498">
        <f t="shared" si="1761"/>
        <v>0</v>
      </c>
      <c r="BB5092" s="498" t="str">
        <f t="shared" si="1762"/>
        <v/>
      </c>
      <c r="BC5092" s="743" t="str">
        <f t="shared" si="1763"/>
        <v/>
      </c>
      <c r="BD5092" s="743" t="str">
        <f t="shared" si="1764"/>
        <v/>
      </c>
      <c r="BE5092" s="743" t="str">
        <f>IF(D5092="","",VLOOKUP(D5092,'General Basis'!$J$39:$K$46,2,0))</f>
        <v/>
      </c>
      <c r="BF5092" s="744" t="str">
        <f>IF(D5092="","",VLOOKUP(D5092,'General Basis'!$J$39:$L$46,3,0))</f>
        <v/>
      </c>
      <c r="BG5092" s="744" t="str">
        <f t="shared" si="1771"/>
        <v/>
      </c>
      <c r="BH5092" s="744" t="str">
        <f>IF(G5092="","",IF(BF5092="Abu Dhabi",IF(G5092&lt;18,'General Basis'!$C$39,IF(G5092&lt;41,'General Basis'!$C$40,IF(G5092&lt;60,'General Basis'!$C$41,IF(G5092&lt;65,'General Basis'!$C$42,'General Basis'!$C$43)))),IF(G5092&lt;11,'General Basis'!$B$39,IF(G5092&lt;18,'General Basis'!$B$40,IF(G5092&lt;26,'General Basis'!$B$41,IF(G5092&lt;31,'General Basis'!$B$42,IF(G5092&lt;36,'General Basis'!$B$43,IF(G5092&lt;41,'General Basis'!$B$44,IF(G5092&lt;46,'General Basis'!$B$45,IF(G5092&lt;51,'General Basis'!$B$46,IF(G5092&lt;56,'General Basis'!$B$47,IF(G5092&lt;60,'General Basis'!$B$48,IF(G5092&lt;65,'General Basis'!$B$49,'General Basis'!$B$50)))))))))))))</f>
        <v/>
      </c>
      <c r="BI5092" s="744" t="str">
        <f t="shared" si="1765"/>
        <v/>
      </c>
      <c r="BJ5092" s="747" t="str">
        <f t="shared" si="1772"/>
        <v/>
      </c>
      <c r="BK5092" s="498" t="str">
        <f t="shared" si="1766"/>
        <v/>
      </c>
      <c r="BL5092" s="498" t="str">
        <f t="shared" si="1767"/>
        <v/>
      </c>
    </row>
    <row r="5093" spans="1:64" x14ac:dyDescent="0.25">
      <c r="A5093" s="762">
        <f t="shared" si="1768"/>
        <v>5088</v>
      </c>
      <c r="B5093" s="229"/>
      <c r="C5093" s="223"/>
      <c r="D5093" s="224"/>
      <c r="E5093" s="225"/>
      <c r="F5093" s="1036" t="str">
        <f t="shared" si="1774"/>
        <v/>
      </c>
      <c r="G5093" s="1037" t="str">
        <f t="shared" si="1769"/>
        <v/>
      </c>
      <c r="H5093" s="225"/>
      <c r="I5093" s="1013"/>
      <c r="J5093" s="1013"/>
      <c r="K5093" s="1028"/>
      <c r="L5093" s="1035" t="str">
        <f t="shared" si="1773"/>
        <v/>
      </c>
      <c r="S5093" s="498"/>
      <c r="AJ5093" s="498"/>
      <c r="AM5093" s="498">
        <f t="shared" si="1754"/>
        <v>0</v>
      </c>
      <c r="AN5093" s="498">
        <f t="shared" si="1755"/>
        <v>0</v>
      </c>
      <c r="AO5093" s="498">
        <f t="shared" si="1756"/>
        <v>0</v>
      </c>
      <c r="AP5093" s="498">
        <f t="shared" si="1775"/>
        <v>0</v>
      </c>
      <c r="AQ5093" s="498">
        <f t="shared" si="1770"/>
        <v>0</v>
      </c>
      <c r="AU5093" s="498">
        <f t="shared" si="1757"/>
        <v>0</v>
      </c>
      <c r="AV5093" s="498">
        <f t="shared" si="1758"/>
        <v>0</v>
      </c>
      <c r="AW5093" s="498">
        <f t="shared" si="1759"/>
        <v>0</v>
      </c>
      <c r="AX5093" s="498">
        <f t="shared" si="1760"/>
        <v>0</v>
      </c>
      <c r="AY5093" s="498">
        <f t="shared" si="1761"/>
        <v>0</v>
      </c>
      <c r="BB5093" s="498" t="str">
        <f t="shared" si="1762"/>
        <v/>
      </c>
      <c r="BC5093" s="743" t="str">
        <f t="shared" si="1763"/>
        <v/>
      </c>
      <c r="BD5093" s="743" t="str">
        <f t="shared" si="1764"/>
        <v/>
      </c>
      <c r="BE5093" s="743" t="str">
        <f>IF(D5093="","",VLOOKUP(D5093,'General Basis'!$J$39:$K$46,2,0))</f>
        <v/>
      </c>
      <c r="BF5093" s="744" t="str">
        <f>IF(D5093="","",VLOOKUP(D5093,'General Basis'!$J$39:$L$46,3,0))</f>
        <v/>
      </c>
      <c r="BG5093" s="744" t="str">
        <f t="shared" si="1771"/>
        <v/>
      </c>
      <c r="BH5093" s="744" t="str">
        <f>IF(G5093="","",IF(BF5093="Abu Dhabi",IF(G5093&lt;18,'General Basis'!$C$39,IF(G5093&lt;41,'General Basis'!$C$40,IF(G5093&lt;60,'General Basis'!$C$41,IF(G5093&lt;65,'General Basis'!$C$42,'General Basis'!$C$43)))),IF(G5093&lt;11,'General Basis'!$B$39,IF(G5093&lt;18,'General Basis'!$B$40,IF(G5093&lt;26,'General Basis'!$B$41,IF(G5093&lt;31,'General Basis'!$B$42,IF(G5093&lt;36,'General Basis'!$B$43,IF(G5093&lt;41,'General Basis'!$B$44,IF(G5093&lt;46,'General Basis'!$B$45,IF(G5093&lt;51,'General Basis'!$B$46,IF(G5093&lt;56,'General Basis'!$B$47,IF(G5093&lt;60,'General Basis'!$B$48,IF(G5093&lt;65,'General Basis'!$B$49,'General Basis'!$B$50)))))))))))))</f>
        <v/>
      </c>
      <c r="BI5093" s="744" t="str">
        <f t="shared" si="1765"/>
        <v/>
      </c>
      <c r="BJ5093" s="747" t="str">
        <f t="shared" si="1772"/>
        <v/>
      </c>
      <c r="BK5093" s="498" t="str">
        <f t="shared" si="1766"/>
        <v/>
      </c>
      <c r="BL5093" s="498" t="str">
        <f t="shared" si="1767"/>
        <v/>
      </c>
    </row>
    <row r="5094" spans="1:64" x14ac:dyDescent="0.25">
      <c r="A5094" s="762">
        <f t="shared" si="1768"/>
        <v>5089</v>
      </c>
      <c r="B5094" s="229"/>
      <c r="C5094" s="223"/>
      <c r="D5094" s="224"/>
      <c r="E5094" s="225"/>
      <c r="F5094" s="1036" t="str">
        <f t="shared" si="1774"/>
        <v/>
      </c>
      <c r="G5094" s="1037" t="str">
        <f t="shared" si="1769"/>
        <v/>
      </c>
      <c r="H5094" s="225"/>
      <c r="I5094" s="1013"/>
      <c r="J5094" s="1013"/>
      <c r="K5094" s="1028"/>
      <c r="L5094" s="1035" t="str">
        <f t="shared" si="1773"/>
        <v/>
      </c>
      <c r="S5094" s="498"/>
      <c r="AJ5094" s="498"/>
      <c r="AM5094" s="498">
        <f t="shared" si="1754"/>
        <v>0</v>
      </c>
      <c r="AN5094" s="498">
        <f t="shared" si="1755"/>
        <v>0</v>
      </c>
      <c r="AO5094" s="498">
        <f t="shared" si="1756"/>
        <v>0</v>
      </c>
      <c r="AP5094" s="498">
        <f t="shared" si="1775"/>
        <v>0</v>
      </c>
      <c r="AQ5094" s="498">
        <f t="shared" si="1770"/>
        <v>0</v>
      </c>
      <c r="AU5094" s="498">
        <f t="shared" si="1757"/>
        <v>0</v>
      </c>
      <c r="AV5094" s="498">
        <f t="shared" si="1758"/>
        <v>0</v>
      </c>
      <c r="AW5094" s="498">
        <f t="shared" si="1759"/>
        <v>0</v>
      </c>
      <c r="AX5094" s="498">
        <f t="shared" si="1760"/>
        <v>0</v>
      </c>
      <c r="AY5094" s="498">
        <f t="shared" si="1761"/>
        <v>0</v>
      </c>
      <c r="BB5094" s="498" t="str">
        <f t="shared" si="1762"/>
        <v/>
      </c>
      <c r="BC5094" s="743" t="str">
        <f t="shared" si="1763"/>
        <v/>
      </c>
      <c r="BD5094" s="743" t="str">
        <f t="shared" si="1764"/>
        <v/>
      </c>
      <c r="BE5094" s="743" t="str">
        <f>IF(D5094="","",VLOOKUP(D5094,'General Basis'!$J$39:$K$46,2,0))</f>
        <v/>
      </c>
      <c r="BF5094" s="744" t="str">
        <f>IF(D5094="","",VLOOKUP(D5094,'General Basis'!$J$39:$L$46,3,0))</f>
        <v/>
      </c>
      <c r="BG5094" s="744" t="str">
        <f t="shared" si="1771"/>
        <v/>
      </c>
      <c r="BH5094" s="744" t="str">
        <f>IF(G5094="","",IF(BF5094="Abu Dhabi",IF(G5094&lt;18,'General Basis'!$C$39,IF(G5094&lt;41,'General Basis'!$C$40,IF(G5094&lt;60,'General Basis'!$C$41,IF(G5094&lt;65,'General Basis'!$C$42,'General Basis'!$C$43)))),IF(G5094&lt;11,'General Basis'!$B$39,IF(G5094&lt;18,'General Basis'!$B$40,IF(G5094&lt;26,'General Basis'!$B$41,IF(G5094&lt;31,'General Basis'!$B$42,IF(G5094&lt;36,'General Basis'!$B$43,IF(G5094&lt;41,'General Basis'!$B$44,IF(G5094&lt;46,'General Basis'!$B$45,IF(G5094&lt;51,'General Basis'!$B$46,IF(G5094&lt;56,'General Basis'!$B$47,IF(G5094&lt;60,'General Basis'!$B$48,IF(G5094&lt;65,'General Basis'!$B$49,'General Basis'!$B$50)))))))))))))</f>
        <v/>
      </c>
      <c r="BI5094" s="744" t="str">
        <f t="shared" si="1765"/>
        <v/>
      </c>
      <c r="BJ5094" s="747" t="str">
        <f t="shared" si="1772"/>
        <v/>
      </c>
      <c r="BK5094" s="498" t="str">
        <f t="shared" si="1766"/>
        <v/>
      </c>
      <c r="BL5094" s="498" t="str">
        <f t="shared" si="1767"/>
        <v/>
      </c>
    </row>
    <row r="5095" spans="1:64" x14ac:dyDescent="0.25">
      <c r="A5095" s="762">
        <f t="shared" si="1768"/>
        <v>5090</v>
      </c>
      <c r="B5095" s="229"/>
      <c r="C5095" s="223"/>
      <c r="D5095" s="224"/>
      <c r="E5095" s="225"/>
      <c r="F5095" s="1036" t="str">
        <f t="shared" si="1774"/>
        <v/>
      </c>
      <c r="G5095" s="1037" t="str">
        <f t="shared" si="1769"/>
        <v/>
      </c>
      <c r="H5095" s="225"/>
      <c r="I5095" s="1013"/>
      <c r="J5095" s="1013"/>
      <c r="K5095" s="1028"/>
      <c r="L5095" s="1035" t="str">
        <f t="shared" si="1773"/>
        <v/>
      </c>
      <c r="S5095" s="498"/>
      <c r="AJ5095" s="498"/>
      <c r="AM5095" s="498">
        <f t="shared" si="1754"/>
        <v>0</v>
      </c>
      <c r="AN5095" s="498">
        <f t="shared" si="1755"/>
        <v>0</v>
      </c>
      <c r="AO5095" s="498">
        <f t="shared" si="1756"/>
        <v>0</v>
      </c>
      <c r="AP5095" s="498">
        <f t="shared" si="1775"/>
        <v>0</v>
      </c>
      <c r="AQ5095" s="498">
        <f t="shared" si="1770"/>
        <v>0</v>
      </c>
      <c r="AU5095" s="498">
        <f t="shared" si="1757"/>
        <v>0</v>
      </c>
      <c r="AV5095" s="498">
        <f t="shared" si="1758"/>
        <v>0</v>
      </c>
      <c r="AW5095" s="498">
        <f t="shared" si="1759"/>
        <v>0</v>
      </c>
      <c r="AX5095" s="498">
        <f t="shared" si="1760"/>
        <v>0</v>
      </c>
      <c r="AY5095" s="498">
        <f t="shared" si="1761"/>
        <v>0</v>
      </c>
      <c r="BB5095" s="498" t="str">
        <f t="shared" si="1762"/>
        <v/>
      </c>
      <c r="BC5095" s="743" t="str">
        <f t="shared" si="1763"/>
        <v/>
      </c>
      <c r="BD5095" s="743" t="str">
        <f t="shared" si="1764"/>
        <v/>
      </c>
      <c r="BE5095" s="743" t="str">
        <f>IF(D5095="","",VLOOKUP(D5095,'General Basis'!$J$39:$K$46,2,0))</f>
        <v/>
      </c>
      <c r="BF5095" s="744" t="str">
        <f>IF(D5095="","",VLOOKUP(D5095,'General Basis'!$J$39:$L$46,3,0))</f>
        <v/>
      </c>
      <c r="BG5095" s="744" t="str">
        <f t="shared" si="1771"/>
        <v/>
      </c>
      <c r="BH5095" s="744" t="str">
        <f>IF(G5095="","",IF(BF5095="Abu Dhabi",IF(G5095&lt;18,'General Basis'!$C$39,IF(G5095&lt;41,'General Basis'!$C$40,IF(G5095&lt;60,'General Basis'!$C$41,IF(G5095&lt;65,'General Basis'!$C$42,'General Basis'!$C$43)))),IF(G5095&lt;11,'General Basis'!$B$39,IF(G5095&lt;18,'General Basis'!$B$40,IF(G5095&lt;26,'General Basis'!$B$41,IF(G5095&lt;31,'General Basis'!$B$42,IF(G5095&lt;36,'General Basis'!$B$43,IF(G5095&lt;41,'General Basis'!$B$44,IF(G5095&lt;46,'General Basis'!$B$45,IF(G5095&lt;51,'General Basis'!$B$46,IF(G5095&lt;56,'General Basis'!$B$47,IF(G5095&lt;60,'General Basis'!$B$48,IF(G5095&lt;65,'General Basis'!$B$49,'General Basis'!$B$50)))))))))))))</f>
        <v/>
      </c>
      <c r="BI5095" s="744" t="str">
        <f t="shared" si="1765"/>
        <v/>
      </c>
      <c r="BJ5095" s="747" t="str">
        <f t="shared" si="1772"/>
        <v/>
      </c>
      <c r="BK5095" s="498" t="str">
        <f t="shared" si="1766"/>
        <v/>
      </c>
      <c r="BL5095" s="498" t="str">
        <f t="shared" si="1767"/>
        <v/>
      </c>
    </row>
    <row r="5096" spans="1:64" x14ac:dyDescent="0.25">
      <c r="A5096" s="762">
        <f t="shared" si="1768"/>
        <v>5091</v>
      </c>
      <c r="B5096" s="229"/>
      <c r="C5096" s="223"/>
      <c r="D5096" s="224"/>
      <c r="E5096" s="225"/>
      <c r="F5096" s="1036" t="str">
        <f t="shared" si="1774"/>
        <v/>
      </c>
      <c r="G5096" s="1037" t="str">
        <f t="shared" si="1769"/>
        <v/>
      </c>
      <c r="H5096" s="225"/>
      <c r="I5096" s="1013"/>
      <c r="J5096" s="1013"/>
      <c r="K5096" s="1028"/>
      <c r="L5096" s="1035" t="str">
        <f t="shared" si="1773"/>
        <v/>
      </c>
      <c r="S5096" s="498"/>
      <c r="AJ5096" s="498"/>
      <c r="AM5096" s="498">
        <f t="shared" si="1754"/>
        <v>0</v>
      </c>
      <c r="AN5096" s="498">
        <f t="shared" si="1755"/>
        <v>0</v>
      </c>
      <c r="AO5096" s="498">
        <f t="shared" si="1756"/>
        <v>0</v>
      </c>
      <c r="AP5096" s="498">
        <f t="shared" si="1775"/>
        <v>0</v>
      </c>
      <c r="AQ5096" s="498">
        <f t="shared" si="1770"/>
        <v>0</v>
      </c>
      <c r="AU5096" s="498">
        <f t="shared" si="1757"/>
        <v>0</v>
      </c>
      <c r="AV5096" s="498">
        <f t="shared" si="1758"/>
        <v>0</v>
      </c>
      <c r="AW5096" s="498">
        <f t="shared" si="1759"/>
        <v>0</v>
      </c>
      <c r="AX5096" s="498">
        <f t="shared" si="1760"/>
        <v>0</v>
      </c>
      <c r="AY5096" s="498">
        <f t="shared" si="1761"/>
        <v>0</v>
      </c>
      <c r="BB5096" s="498" t="str">
        <f t="shared" si="1762"/>
        <v/>
      </c>
      <c r="BC5096" s="743" t="str">
        <f t="shared" si="1763"/>
        <v/>
      </c>
      <c r="BD5096" s="743" t="str">
        <f t="shared" si="1764"/>
        <v/>
      </c>
      <c r="BE5096" s="743" t="str">
        <f>IF(D5096="","",VLOOKUP(D5096,'General Basis'!$J$39:$K$46,2,0))</f>
        <v/>
      </c>
      <c r="BF5096" s="744" t="str">
        <f>IF(D5096="","",VLOOKUP(D5096,'General Basis'!$J$39:$L$46,3,0))</f>
        <v/>
      </c>
      <c r="BG5096" s="744" t="str">
        <f t="shared" si="1771"/>
        <v/>
      </c>
      <c r="BH5096" s="744" t="str">
        <f>IF(G5096="","",IF(BF5096="Abu Dhabi",IF(G5096&lt;18,'General Basis'!$C$39,IF(G5096&lt;41,'General Basis'!$C$40,IF(G5096&lt;60,'General Basis'!$C$41,IF(G5096&lt;65,'General Basis'!$C$42,'General Basis'!$C$43)))),IF(G5096&lt;11,'General Basis'!$B$39,IF(G5096&lt;18,'General Basis'!$B$40,IF(G5096&lt;26,'General Basis'!$B$41,IF(G5096&lt;31,'General Basis'!$B$42,IF(G5096&lt;36,'General Basis'!$B$43,IF(G5096&lt;41,'General Basis'!$B$44,IF(G5096&lt;46,'General Basis'!$B$45,IF(G5096&lt;51,'General Basis'!$B$46,IF(G5096&lt;56,'General Basis'!$B$47,IF(G5096&lt;60,'General Basis'!$B$48,IF(G5096&lt;65,'General Basis'!$B$49,'General Basis'!$B$50)))))))))))))</f>
        <v/>
      </c>
      <c r="BI5096" s="744" t="str">
        <f t="shared" si="1765"/>
        <v/>
      </c>
      <c r="BJ5096" s="747" t="str">
        <f t="shared" si="1772"/>
        <v/>
      </c>
      <c r="BK5096" s="498" t="str">
        <f t="shared" si="1766"/>
        <v/>
      </c>
      <c r="BL5096" s="498" t="str">
        <f t="shared" si="1767"/>
        <v/>
      </c>
    </row>
    <row r="5097" spans="1:64" x14ac:dyDescent="0.25">
      <c r="A5097" s="762">
        <f t="shared" si="1768"/>
        <v>5092</v>
      </c>
      <c r="B5097" s="229"/>
      <c r="C5097" s="223"/>
      <c r="D5097" s="224"/>
      <c r="E5097" s="225"/>
      <c r="F5097" s="1036" t="str">
        <f t="shared" si="1774"/>
        <v/>
      </c>
      <c r="G5097" s="1037" t="str">
        <f t="shared" si="1769"/>
        <v/>
      </c>
      <c r="H5097" s="225"/>
      <c r="I5097" s="1013"/>
      <c r="J5097" s="1013"/>
      <c r="K5097" s="1028"/>
      <c r="L5097" s="1035" t="str">
        <f t="shared" si="1773"/>
        <v/>
      </c>
      <c r="S5097" s="498"/>
      <c r="AJ5097" s="498"/>
      <c r="AM5097" s="498">
        <f t="shared" si="1754"/>
        <v>0</v>
      </c>
      <c r="AN5097" s="498">
        <f t="shared" si="1755"/>
        <v>0</v>
      </c>
      <c r="AO5097" s="498">
        <f t="shared" si="1756"/>
        <v>0</v>
      </c>
      <c r="AP5097" s="498">
        <f t="shared" si="1775"/>
        <v>0</v>
      </c>
      <c r="AQ5097" s="498">
        <f t="shared" si="1770"/>
        <v>0</v>
      </c>
      <c r="AU5097" s="498">
        <f t="shared" si="1757"/>
        <v>0</v>
      </c>
      <c r="AV5097" s="498">
        <f t="shared" si="1758"/>
        <v>0</v>
      </c>
      <c r="AW5097" s="498">
        <f t="shared" si="1759"/>
        <v>0</v>
      </c>
      <c r="AX5097" s="498">
        <f t="shared" si="1760"/>
        <v>0</v>
      </c>
      <c r="AY5097" s="498">
        <f t="shared" si="1761"/>
        <v>0</v>
      </c>
      <c r="BB5097" s="498" t="str">
        <f t="shared" si="1762"/>
        <v/>
      </c>
      <c r="BC5097" s="743" t="str">
        <f t="shared" si="1763"/>
        <v/>
      </c>
      <c r="BD5097" s="743" t="str">
        <f t="shared" si="1764"/>
        <v/>
      </c>
      <c r="BE5097" s="743" t="str">
        <f>IF(D5097="","",VLOOKUP(D5097,'General Basis'!$J$39:$K$46,2,0))</f>
        <v/>
      </c>
      <c r="BF5097" s="744" t="str">
        <f>IF(D5097="","",VLOOKUP(D5097,'General Basis'!$J$39:$L$46,3,0))</f>
        <v/>
      </c>
      <c r="BG5097" s="744" t="str">
        <f t="shared" si="1771"/>
        <v/>
      </c>
      <c r="BH5097" s="744" t="str">
        <f>IF(G5097="","",IF(BF5097="Abu Dhabi",IF(G5097&lt;18,'General Basis'!$C$39,IF(G5097&lt;41,'General Basis'!$C$40,IF(G5097&lt;60,'General Basis'!$C$41,IF(G5097&lt;65,'General Basis'!$C$42,'General Basis'!$C$43)))),IF(G5097&lt;11,'General Basis'!$B$39,IF(G5097&lt;18,'General Basis'!$B$40,IF(G5097&lt;26,'General Basis'!$B$41,IF(G5097&lt;31,'General Basis'!$B$42,IF(G5097&lt;36,'General Basis'!$B$43,IF(G5097&lt;41,'General Basis'!$B$44,IF(G5097&lt;46,'General Basis'!$B$45,IF(G5097&lt;51,'General Basis'!$B$46,IF(G5097&lt;56,'General Basis'!$B$47,IF(G5097&lt;60,'General Basis'!$B$48,IF(G5097&lt;65,'General Basis'!$B$49,'General Basis'!$B$50)))))))))))))</f>
        <v/>
      </c>
      <c r="BI5097" s="744" t="str">
        <f t="shared" si="1765"/>
        <v/>
      </c>
      <c r="BJ5097" s="747" t="str">
        <f t="shared" si="1772"/>
        <v/>
      </c>
      <c r="BK5097" s="498" t="str">
        <f t="shared" si="1766"/>
        <v/>
      </c>
      <c r="BL5097" s="498" t="str">
        <f t="shared" si="1767"/>
        <v/>
      </c>
    </row>
    <row r="5098" spans="1:64" x14ac:dyDescent="0.25">
      <c r="A5098" s="762">
        <f t="shared" si="1768"/>
        <v>5093</v>
      </c>
      <c r="B5098" s="229"/>
      <c r="C5098" s="223"/>
      <c r="D5098" s="224"/>
      <c r="E5098" s="225"/>
      <c r="F5098" s="1036" t="str">
        <f t="shared" si="1774"/>
        <v/>
      </c>
      <c r="G5098" s="1037" t="str">
        <f t="shared" si="1769"/>
        <v/>
      </c>
      <c r="H5098" s="225"/>
      <c r="I5098" s="1013"/>
      <c r="J5098" s="1013"/>
      <c r="K5098" s="1028"/>
      <c r="L5098" s="1035" t="str">
        <f t="shared" si="1773"/>
        <v/>
      </c>
      <c r="S5098" s="498"/>
      <c r="AJ5098" s="498"/>
      <c r="AM5098" s="498">
        <f t="shared" si="1754"/>
        <v>0</v>
      </c>
      <c r="AN5098" s="498">
        <f t="shared" si="1755"/>
        <v>0</v>
      </c>
      <c r="AO5098" s="498">
        <f t="shared" si="1756"/>
        <v>0</v>
      </c>
      <c r="AP5098" s="498">
        <f t="shared" si="1775"/>
        <v>0</v>
      </c>
      <c r="AQ5098" s="498">
        <f t="shared" si="1770"/>
        <v>0</v>
      </c>
      <c r="AU5098" s="498">
        <f t="shared" si="1757"/>
        <v>0</v>
      </c>
      <c r="AV5098" s="498">
        <f t="shared" si="1758"/>
        <v>0</v>
      </c>
      <c r="AW5098" s="498">
        <f t="shared" si="1759"/>
        <v>0</v>
      </c>
      <c r="AX5098" s="498">
        <f t="shared" si="1760"/>
        <v>0</v>
      </c>
      <c r="AY5098" s="498">
        <f t="shared" si="1761"/>
        <v>0</v>
      </c>
      <c r="BB5098" s="498" t="str">
        <f t="shared" si="1762"/>
        <v/>
      </c>
      <c r="BC5098" s="743" t="str">
        <f t="shared" si="1763"/>
        <v/>
      </c>
      <c r="BD5098" s="743" t="str">
        <f t="shared" si="1764"/>
        <v/>
      </c>
      <c r="BE5098" s="743" t="str">
        <f>IF(D5098="","",VLOOKUP(D5098,'General Basis'!$J$39:$K$46,2,0))</f>
        <v/>
      </c>
      <c r="BF5098" s="744" t="str">
        <f>IF(D5098="","",VLOOKUP(D5098,'General Basis'!$J$39:$L$46,3,0))</f>
        <v/>
      </c>
      <c r="BG5098" s="744" t="str">
        <f t="shared" si="1771"/>
        <v/>
      </c>
      <c r="BH5098" s="744" t="str">
        <f>IF(G5098="","",IF(BF5098="Abu Dhabi",IF(G5098&lt;18,'General Basis'!$C$39,IF(G5098&lt;41,'General Basis'!$C$40,IF(G5098&lt;60,'General Basis'!$C$41,IF(G5098&lt;65,'General Basis'!$C$42,'General Basis'!$C$43)))),IF(G5098&lt;11,'General Basis'!$B$39,IF(G5098&lt;18,'General Basis'!$B$40,IF(G5098&lt;26,'General Basis'!$B$41,IF(G5098&lt;31,'General Basis'!$B$42,IF(G5098&lt;36,'General Basis'!$B$43,IF(G5098&lt;41,'General Basis'!$B$44,IF(G5098&lt;46,'General Basis'!$B$45,IF(G5098&lt;51,'General Basis'!$B$46,IF(G5098&lt;56,'General Basis'!$B$47,IF(G5098&lt;60,'General Basis'!$B$48,IF(G5098&lt;65,'General Basis'!$B$49,'General Basis'!$B$50)))))))))))))</f>
        <v/>
      </c>
      <c r="BI5098" s="744" t="str">
        <f t="shared" si="1765"/>
        <v/>
      </c>
      <c r="BJ5098" s="747" t="str">
        <f t="shared" si="1772"/>
        <v/>
      </c>
      <c r="BK5098" s="498" t="str">
        <f t="shared" si="1766"/>
        <v/>
      </c>
      <c r="BL5098" s="498" t="str">
        <f t="shared" si="1767"/>
        <v/>
      </c>
    </row>
    <row r="5099" spans="1:64" x14ac:dyDescent="0.25">
      <c r="A5099" s="762">
        <f t="shared" si="1768"/>
        <v>5094</v>
      </c>
      <c r="B5099" s="229"/>
      <c r="C5099" s="223"/>
      <c r="D5099" s="224"/>
      <c r="E5099" s="225"/>
      <c r="F5099" s="1036" t="str">
        <f t="shared" si="1774"/>
        <v/>
      </c>
      <c r="G5099" s="1037" t="str">
        <f t="shared" si="1769"/>
        <v/>
      </c>
      <c r="H5099" s="225"/>
      <c r="I5099" s="1013"/>
      <c r="J5099" s="1013"/>
      <c r="K5099" s="1028"/>
      <c r="L5099" s="1035" t="str">
        <f t="shared" si="1773"/>
        <v/>
      </c>
      <c r="S5099" s="498"/>
      <c r="AJ5099" s="498"/>
      <c r="AM5099" s="498">
        <f t="shared" si="1754"/>
        <v>0</v>
      </c>
      <c r="AN5099" s="498">
        <f t="shared" si="1755"/>
        <v>0</v>
      </c>
      <c r="AO5099" s="498">
        <f t="shared" si="1756"/>
        <v>0</v>
      </c>
      <c r="AP5099" s="498">
        <f t="shared" si="1775"/>
        <v>0</v>
      </c>
      <c r="AQ5099" s="498">
        <f t="shared" si="1770"/>
        <v>0</v>
      </c>
      <c r="AU5099" s="498">
        <f t="shared" si="1757"/>
        <v>0</v>
      </c>
      <c r="AV5099" s="498">
        <f t="shared" si="1758"/>
        <v>0</v>
      </c>
      <c r="AW5099" s="498">
        <f t="shared" si="1759"/>
        <v>0</v>
      </c>
      <c r="AX5099" s="498">
        <f t="shared" si="1760"/>
        <v>0</v>
      </c>
      <c r="AY5099" s="498">
        <f t="shared" si="1761"/>
        <v>0</v>
      </c>
      <c r="BB5099" s="498" t="str">
        <f t="shared" si="1762"/>
        <v/>
      </c>
      <c r="BC5099" s="743" t="str">
        <f t="shared" si="1763"/>
        <v/>
      </c>
      <c r="BD5099" s="743" t="str">
        <f t="shared" si="1764"/>
        <v/>
      </c>
      <c r="BE5099" s="743" t="str">
        <f>IF(D5099="","",VLOOKUP(D5099,'General Basis'!$J$39:$K$46,2,0))</f>
        <v/>
      </c>
      <c r="BF5099" s="744" t="str">
        <f>IF(D5099="","",VLOOKUP(D5099,'General Basis'!$J$39:$L$46,3,0))</f>
        <v/>
      </c>
      <c r="BG5099" s="744" t="str">
        <f t="shared" si="1771"/>
        <v/>
      </c>
      <c r="BH5099" s="744" t="str">
        <f>IF(G5099="","",IF(BF5099="Abu Dhabi",IF(G5099&lt;18,'General Basis'!$C$39,IF(G5099&lt;41,'General Basis'!$C$40,IF(G5099&lt;60,'General Basis'!$C$41,IF(G5099&lt;65,'General Basis'!$C$42,'General Basis'!$C$43)))),IF(G5099&lt;11,'General Basis'!$B$39,IF(G5099&lt;18,'General Basis'!$B$40,IF(G5099&lt;26,'General Basis'!$B$41,IF(G5099&lt;31,'General Basis'!$B$42,IF(G5099&lt;36,'General Basis'!$B$43,IF(G5099&lt;41,'General Basis'!$B$44,IF(G5099&lt;46,'General Basis'!$B$45,IF(G5099&lt;51,'General Basis'!$B$46,IF(G5099&lt;56,'General Basis'!$B$47,IF(G5099&lt;60,'General Basis'!$B$48,IF(G5099&lt;65,'General Basis'!$B$49,'General Basis'!$B$50)))))))))))))</f>
        <v/>
      </c>
      <c r="BI5099" s="744" t="str">
        <f t="shared" si="1765"/>
        <v/>
      </c>
      <c r="BJ5099" s="747" t="str">
        <f t="shared" si="1772"/>
        <v/>
      </c>
      <c r="BK5099" s="498" t="str">
        <f t="shared" si="1766"/>
        <v/>
      </c>
      <c r="BL5099" s="498" t="str">
        <f t="shared" si="1767"/>
        <v/>
      </c>
    </row>
    <row r="5100" spans="1:64" x14ac:dyDescent="0.25">
      <c r="A5100" s="762">
        <f t="shared" si="1768"/>
        <v>5095</v>
      </c>
      <c r="B5100" s="229"/>
      <c r="C5100" s="223"/>
      <c r="D5100" s="224"/>
      <c r="E5100" s="225"/>
      <c r="F5100" s="1036" t="str">
        <f t="shared" si="1774"/>
        <v/>
      </c>
      <c r="G5100" s="1037" t="str">
        <f t="shared" si="1769"/>
        <v/>
      </c>
      <c r="H5100" s="225"/>
      <c r="I5100" s="1013"/>
      <c r="J5100" s="1013"/>
      <c r="K5100" s="1028"/>
      <c r="L5100" s="1035" t="str">
        <f t="shared" si="1773"/>
        <v/>
      </c>
      <c r="S5100" s="498"/>
      <c r="AJ5100" s="498"/>
      <c r="AM5100" s="498">
        <f t="shared" si="1754"/>
        <v>0</v>
      </c>
      <c r="AN5100" s="498">
        <f t="shared" si="1755"/>
        <v>0</v>
      </c>
      <c r="AO5100" s="498">
        <f t="shared" si="1756"/>
        <v>0</v>
      </c>
      <c r="AP5100" s="498">
        <f t="shared" si="1775"/>
        <v>0</v>
      </c>
      <c r="AQ5100" s="498">
        <f t="shared" si="1770"/>
        <v>0</v>
      </c>
      <c r="AU5100" s="498">
        <f t="shared" si="1757"/>
        <v>0</v>
      </c>
      <c r="AV5100" s="498">
        <f t="shared" si="1758"/>
        <v>0</v>
      </c>
      <c r="AW5100" s="498">
        <f t="shared" si="1759"/>
        <v>0</v>
      </c>
      <c r="AX5100" s="498">
        <f t="shared" si="1760"/>
        <v>0</v>
      </c>
      <c r="AY5100" s="498">
        <f t="shared" si="1761"/>
        <v>0</v>
      </c>
      <c r="BB5100" s="498" t="str">
        <f t="shared" si="1762"/>
        <v/>
      </c>
      <c r="BC5100" s="743" t="str">
        <f t="shared" si="1763"/>
        <v/>
      </c>
      <c r="BD5100" s="743" t="str">
        <f t="shared" si="1764"/>
        <v/>
      </c>
      <c r="BE5100" s="743" t="str">
        <f>IF(D5100="","",VLOOKUP(D5100,'General Basis'!$J$39:$K$46,2,0))</f>
        <v/>
      </c>
      <c r="BF5100" s="744" t="str">
        <f>IF(D5100="","",VLOOKUP(D5100,'General Basis'!$J$39:$L$46,3,0))</f>
        <v/>
      </c>
      <c r="BG5100" s="744" t="str">
        <f t="shared" si="1771"/>
        <v/>
      </c>
      <c r="BH5100" s="744" t="str">
        <f>IF(G5100="","",IF(BF5100="Abu Dhabi",IF(G5100&lt;18,'General Basis'!$C$39,IF(G5100&lt;41,'General Basis'!$C$40,IF(G5100&lt;60,'General Basis'!$C$41,IF(G5100&lt;65,'General Basis'!$C$42,'General Basis'!$C$43)))),IF(G5100&lt;11,'General Basis'!$B$39,IF(G5100&lt;18,'General Basis'!$B$40,IF(G5100&lt;26,'General Basis'!$B$41,IF(G5100&lt;31,'General Basis'!$B$42,IF(G5100&lt;36,'General Basis'!$B$43,IF(G5100&lt;41,'General Basis'!$B$44,IF(G5100&lt;46,'General Basis'!$B$45,IF(G5100&lt;51,'General Basis'!$B$46,IF(G5100&lt;56,'General Basis'!$B$47,IF(G5100&lt;60,'General Basis'!$B$48,IF(G5100&lt;65,'General Basis'!$B$49,'General Basis'!$B$50)))))))))))))</f>
        <v/>
      </c>
      <c r="BI5100" s="744" t="str">
        <f t="shared" si="1765"/>
        <v/>
      </c>
      <c r="BJ5100" s="747" t="str">
        <f t="shared" si="1772"/>
        <v/>
      </c>
      <c r="BK5100" s="498" t="str">
        <f t="shared" si="1766"/>
        <v/>
      </c>
      <c r="BL5100" s="498" t="str">
        <f t="shared" si="1767"/>
        <v/>
      </c>
    </row>
    <row r="5101" spans="1:64" x14ac:dyDescent="0.25">
      <c r="A5101" s="762">
        <f t="shared" si="1768"/>
        <v>5096</v>
      </c>
      <c r="B5101" s="229"/>
      <c r="C5101" s="223"/>
      <c r="D5101" s="224"/>
      <c r="E5101" s="225"/>
      <c r="F5101" s="1036" t="str">
        <f t="shared" si="1774"/>
        <v/>
      </c>
      <c r="G5101" s="1037" t="str">
        <f t="shared" si="1769"/>
        <v/>
      </c>
      <c r="H5101" s="225"/>
      <c r="I5101" s="1013"/>
      <c r="J5101" s="1013"/>
      <c r="K5101" s="1028"/>
      <c r="L5101" s="1035" t="str">
        <f t="shared" si="1773"/>
        <v/>
      </c>
      <c r="S5101" s="498"/>
      <c r="AJ5101" s="498"/>
      <c r="AM5101" s="498">
        <f t="shared" si="1754"/>
        <v>0</v>
      </c>
      <c r="AN5101" s="498">
        <f t="shared" si="1755"/>
        <v>0</v>
      </c>
      <c r="AO5101" s="498">
        <f t="shared" si="1756"/>
        <v>0</v>
      </c>
      <c r="AP5101" s="498">
        <f t="shared" si="1775"/>
        <v>0</v>
      </c>
      <c r="AQ5101" s="498">
        <f t="shared" si="1770"/>
        <v>0</v>
      </c>
      <c r="AU5101" s="498">
        <f t="shared" si="1757"/>
        <v>0</v>
      </c>
      <c r="AV5101" s="498">
        <f t="shared" si="1758"/>
        <v>0</v>
      </c>
      <c r="AW5101" s="498">
        <f t="shared" si="1759"/>
        <v>0</v>
      </c>
      <c r="AX5101" s="498">
        <f t="shared" si="1760"/>
        <v>0</v>
      </c>
      <c r="AY5101" s="498">
        <f t="shared" si="1761"/>
        <v>0</v>
      </c>
      <c r="BB5101" s="498" t="str">
        <f t="shared" si="1762"/>
        <v/>
      </c>
      <c r="BC5101" s="743" t="str">
        <f t="shared" si="1763"/>
        <v/>
      </c>
      <c r="BD5101" s="743" t="str">
        <f t="shared" si="1764"/>
        <v/>
      </c>
      <c r="BE5101" s="743" t="str">
        <f>IF(D5101="","",VLOOKUP(D5101,'General Basis'!$J$39:$K$46,2,0))</f>
        <v/>
      </c>
      <c r="BF5101" s="744" t="str">
        <f>IF(D5101="","",VLOOKUP(D5101,'General Basis'!$J$39:$L$46,3,0))</f>
        <v/>
      </c>
      <c r="BG5101" s="744" t="str">
        <f t="shared" si="1771"/>
        <v/>
      </c>
      <c r="BH5101" s="744" t="str">
        <f>IF(G5101="","",IF(BF5101="Abu Dhabi",IF(G5101&lt;18,'General Basis'!$C$39,IF(G5101&lt;41,'General Basis'!$C$40,IF(G5101&lt;60,'General Basis'!$C$41,IF(G5101&lt;65,'General Basis'!$C$42,'General Basis'!$C$43)))),IF(G5101&lt;11,'General Basis'!$B$39,IF(G5101&lt;18,'General Basis'!$B$40,IF(G5101&lt;26,'General Basis'!$B$41,IF(G5101&lt;31,'General Basis'!$B$42,IF(G5101&lt;36,'General Basis'!$B$43,IF(G5101&lt;41,'General Basis'!$B$44,IF(G5101&lt;46,'General Basis'!$B$45,IF(G5101&lt;51,'General Basis'!$B$46,IF(G5101&lt;56,'General Basis'!$B$47,IF(G5101&lt;60,'General Basis'!$B$48,IF(G5101&lt;65,'General Basis'!$B$49,'General Basis'!$B$50)))))))))))))</f>
        <v/>
      </c>
      <c r="BI5101" s="744" t="str">
        <f t="shared" si="1765"/>
        <v/>
      </c>
      <c r="BJ5101" s="747" t="str">
        <f t="shared" si="1772"/>
        <v/>
      </c>
      <c r="BK5101" s="498" t="str">
        <f t="shared" si="1766"/>
        <v/>
      </c>
      <c r="BL5101" s="498" t="str">
        <f t="shared" si="1767"/>
        <v/>
      </c>
    </row>
    <row r="5102" spans="1:64" x14ac:dyDescent="0.25">
      <c r="A5102" s="762">
        <f t="shared" si="1768"/>
        <v>5097</v>
      </c>
      <c r="B5102" s="229"/>
      <c r="C5102" s="223"/>
      <c r="D5102" s="224"/>
      <c r="E5102" s="225"/>
      <c r="F5102" s="1036" t="str">
        <f t="shared" si="1774"/>
        <v/>
      </c>
      <c r="G5102" s="1037" t="str">
        <f t="shared" si="1769"/>
        <v/>
      </c>
      <c r="H5102" s="225"/>
      <c r="I5102" s="1013"/>
      <c r="J5102" s="1013"/>
      <c r="K5102" s="1028"/>
      <c r="L5102" s="1035" t="str">
        <f t="shared" si="1773"/>
        <v/>
      </c>
      <c r="S5102" s="498"/>
      <c r="AJ5102" s="498"/>
      <c r="AM5102" s="498">
        <f t="shared" si="1754"/>
        <v>0</v>
      </c>
      <c r="AN5102" s="498">
        <f t="shared" si="1755"/>
        <v>0</v>
      </c>
      <c r="AO5102" s="498">
        <f t="shared" si="1756"/>
        <v>0</v>
      </c>
      <c r="AP5102" s="498">
        <f t="shared" si="1775"/>
        <v>0</v>
      </c>
      <c r="AQ5102" s="498">
        <f t="shared" si="1770"/>
        <v>0</v>
      </c>
      <c r="AU5102" s="498">
        <f t="shared" si="1757"/>
        <v>0</v>
      </c>
      <c r="AV5102" s="498">
        <f t="shared" si="1758"/>
        <v>0</v>
      </c>
      <c r="AW5102" s="498">
        <f t="shared" si="1759"/>
        <v>0</v>
      </c>
      <c r="AX5102" s="498">
        <f t="shared" si="1760"/>
        <v>0</v>
      </c>
      <c r="AY5102" s="498">
        <f t="shared" si="1761"/>
        <v>0</v>
      </c>
      <c r="BB5102" s="498" t="str">
        <f t="shared" si="1762"/>
        <v/>
      </c>
      <c r="BC5102" s="743" t="str">
        <f t="shared" si="1763"/>
        <v/>
      </c>
      <c r="BD5102" s="743" t="str">
        <f t="shared" si="1764"/>
        <v/>
      </c>
      <c r="BE5102" s="743" t="str">
        <f>IF(D5102="","",VLOOKUP(D5102,'General Basis'!$J$39:$K$46,2,0))</f>
        <v/>
      </c>
      <c r="BF5102" s="744" t="str">
        <f>IF(D5102="","",VLOOKUP(D5102,'General Basis'!$J$39:$L$46,3,0))</f>
        <v/>
      </c>
      <c r="BG5102" s="744" t="str">
        <f t="shared" si="1771"/>
        <v/>
      </c>
      <c r="BH5102" s="744" t="str">
        <f>IF(G5102="","",IF(BF5102="Abu Dhabi",IF(G5102&lt;18,'General Basis'!$C$39,IF(G5102&lt;41,'General Basis'!$C$40,IF(G5102&lt;60,'General Basis'!$C$41,IF(G5102&lt;65,'General Basis'!$C$42,'General Basis'!$C$43)))),IF(G5102&lt;11,'General Basis'!$B$39,IF(G5102&lt;18,'General Basis'!$B$40,IF(G5102&lt;26,'General Basis'!$B$41,IF(G5102&lt;31,'General Basis'!$B$42,IF(G5102&lt;36,'General Basis'!$B$43,IF(G5102&lt;41,'General Basis'!$B$44,IF(G5102&lt;46,'General Basis'!$B$45,IF(G5102&lt;51,'General Basis'!$B$46,IF(G5102&lt;56,'General Basis'!$B$47,IF(G5102&lt;60,'General Basis'!$B$48,IF(G5102&lt;65,'General Basis'!$B$49,'General Basis'!$B$50)))))))))))))</f>
        <v/>
      </c>
      <c r="BI5102" s="744" t="str">
        <f t="shared" si="1765"/>
        <v/>
      </c>
      <c r="BJ5102" s="747" t="str">
        <f t="shared" si="1772"/>
        <v/>
      </c>
      <c r="BK5102" s="498" t="str">
        <f t="shared" si="1766"/>
        <v/>
      </c>
      <c r="BL5102" s="498" t="str">
        <f t="shared" si="1767"/>
        <v/>
      </c>
    </row>
    <row r="5103" spans="1:64" x14ac:dyDescent="0.25">
      <c r="A5103" s="762">
        <f t="shared" si="1768"/>
        <v>5098</v>
      </c>
      <c r="B5103" s="229"/>
      <c r="C5103" s="223"/>
      <c r="D5103" s="224"/>
      <c r="E5103" s="225"/>
      <c r="F5103" s="1036" t="str">
        <f t="shared" si="1774"/>
        <v/>
      </c>
      <c r="G5103" s="1037" t="str">
        <f t="shared" si="1769"/>
        <v/>
      </c>
      <c r="H5103" s="225"/>
      <c r="I5103" s="1013"/>
      <c r="J5103" s="1013"/>
      <c r="K5103" s="1028"/>
      <c r="L5103" s="1035" t="str">
        <f t="shared" si="1773"/>
        <v/>
      </c>
      <c r="S5103" s="498"/>
      <c r="AJ5103" s="498"/>
      <c r="AM5103" s="498">
        <f t="shared" si="1754"/>
        <v>0</v>
      </c>
      <c r="AN5103" s="498">
        <f t="shared" si="1755"/>
        <v>0</v>
      </c>
      <c r="AO5103" s="498">
        <f t="shared" si="1756"/>
        <v>0</v>
      </c>
      <c r="AP5103" s="498">
        <f t="shared" si="1775"/>
        <v>0</v>
      </c>
      <c r="AQ5103" s="498">
        <f t="shared" si="1770"/>
        <v>0</v>
      </c>
      <c r="AU5103" s="498">
        <f t="shared" si="1757"/>
        <v>0</v>
      </c>
      <c r="AV5103" s="498">
        <f t="shared" si="1758"/>
        <v>0</v>
      </c>
      <c r="AW5103" s="498">
        <f t="shared" si="1759"/>
        <v>0</v>
      </c>
      <c r="AX5103" s="498">
        <f t="shared" si="1760"/>
        <v>0</v>
      </c>
      <c r="AY5103" s="498">
        <f t="shared" si="1761"/>
        <v>0</v>
      </c>
      <c r="BB5103" s="498" t="str">
        <f t="shared" si="1762"/>
        <v/>
      </c>
      <c r="BC5103" s="743" t="str">
        <f t="shared" si="1763"/>
        <v/>
      </c>
      <c r="BD5103" s="743" t="str">
        <f t="shared" si="1764"/>
        <v/>
      </c>
      <c r="BE5103" s="743" t="str">
        <f>IF(D5103="","",VLOOKUP(D5103,'General Basis'!$J$39:$K$46,2,0))</f>
        <v/>
      </c>
      <c r="BF5103" s="744" t="str">
        <f>IF(D5103="","",VLOOKUP(D5103,'General Basis'!$J$39:$L$46,3,0))</f>
        <v/>
      </c>
      <c r="BG5103" s="744" t="str">
        <f t="shared" si="1771"/>
        <v/>
      </c>
      <c r="BH5103" s="744" t="str">
        <f>IF(G5103="","",IF(BF5103="Abu Dhabi",IF(G5103&lt;18,'General Basis'!$C$39,IF(G5103&lt;41,'General Basis'!$C$40,IF(G5103&lt;60,'General Basis'!$C$41,IF(G5103&lt;65,'General Basis'!$C$42,'General Basis'!$C$43)))),IF(G5103&lt;11,'General Basis'!$B$39,IF(G5103&lt;18,'General Basis'!$B$40,IF(G5103&lt;26,'General Basis'!$B$41,IF(G5103&lt;31,'General Basis'!$B$42,IF(G5103&lt;36,'General Basis'!$B$43,IF(G5103&lt;41,'General Basis'!$B$44,IF(G5103&lt;46,'General Basis'!$B$45,IF(G5103&lt;51,'General Basis'!$B$46,IF(G5103&lt;56,'General Basis'!$B$47,IF(G5103&lt;60,'General Basis'!$B$48,IF(G5103&lt;65,'General Basis'!$B$49,'General Basis'!$B$50)))))))))))))</f>
        <v/>
      </c>
      <c r="BI5103" s="744" t="str">
        <f t="shared" si="1765"/>
        <v/>
      </c>
      <c r="BJ5103" s="747" t="str">
        <f t="shared" si="1772"/>
        <v/>
      </c>
      <c r="BK5103" s="498" t="str">
        <f t="shared" si="1766"/>
        <v/>
      </c>
      <c r="BL5103" s="498" t="str">
        <f t="shared" si="1767"/>
        <v/>
      </c>
    </row>
    <row r="5104" spans="1:64" x14ac:dyDescent="0.25">
      <c r="A5104" s="762">
        <f t="shared" si="1768"/>
        <v>5099</v>
      </c>
      <c r="B5104" s="229"/>
      <c r="C5104" s="223"/>
      <c r="D5104" s="224"/>
      <c r="E5104" s="225"/>
      <c r="F5104" s="1036" t="str">
        <f t="shared" si="1774"/>
        <v/>
      </c>
      <c r="G5104" s="1037" t="str">
        <f t="shared" si="1769"/>
        <v/>
      </c>
      <c r="H5104" s="225"/>
      <c r="I5104" s="1013"/>
      <c r="J5104" s="1013"/>
      <c r="K5104" s="1028"/>
      <c r="L5104" s="1035" t="str">
        <f t="shared" si="1773"/>
        <v/>
      </c>
      <c r="S5104" s="498"/>
      <c r="AJ5104" s="498"/>
      <c r="AM5104" s="498">
        <f t="shared" si="1754"/>
        <v>0</v>
      </c>
      <c r="AN5104" s="498">
        <f t="shared" si="1755"/>
        <v>0</v>
      </c>
      <c r="AO5104" s="498">
        <f t="shared" si="1756"/>
        <v>0</v>
      </c>
      <c r="AP5104" s="498">
        <f t="shared" si="1775"/>
        <v>0</v>
      </c>
      <c r="AQ5104" s="498">
        <f t="shared" si="1770"/>
        <v>0</v>
      </c>
      <c r="AU5104" s="498">
        <f t="shared" si="1757"/>
        <v>0</v>
      </c>
      <c r="AV5104" s="498">
        <f t="shared" si="1758"/>
        <v>0</v>
      </c>
      <c r="AW5104" s="498">
        <f t="shared" si="1759"/>
        <v>0</v>
      </c>
      <c r="AX5104" s="498">
        <f t="shared" si="1760"/>
        <v>0</v>
      </c>
      <c r="AY5104" s="498">
        <f t="shared" si="1761"/>
        <v>0</v>
      </c>
      <c r="BB5104" s="498" t="str">
        <f t="shared" si="1762"/>
        <v/>
      </c>
      <c r="BC5104" s="743" t="str">
        <f t="shared" si="1763"/>
        <v/>
      </c>
      <c r="BD5104" s="743" t="str">
        <f t="shared" si="1764"/>
        <v/>
      </c>
      <c r="BE5104" s="743" t="str">
        <f>IF(D5104="","",VLOOKUP(D5104,'General Basis'!$J$39:$K$46,2,0))</f>
        <v/>
      </c>
      <c r="BF5104" s="744" t="str">
        <f>IF(D5104="","",VLOOKUP(D5104,'General Basis'!$J$39:$L$46,3,0))</f>
        <v/>
      </c>
      <c r="BG5104" s="744" t="str">
        <f t="shared" si="1771"/>
        <v/>
      </c>
      <c r="BH5104" s="744" t="str">
        <f>IF(G5104="","",IF(BF5104="Abu Dhabi",IF(G5104&lt;18,'General Basis'!$C$39,IF(G5104&lt;41,'General Basis'!$C$40,IF(G5104&lt;60,'General Basis'!$C$41,IF(G5104&lt;65,'General Basis'!$C$42,'General Basis'!$C$43)))),IF(G5104&lt;11,'General Basis'!$B$39,IF(G5104&lt;18,'General Basis'!$B$40,IF(G5104&lt;26,'General Basis'!$B$41,IF(G5104&lt;31,'General Basis'!$B$42,IF(G5104&lt;36,'General Basis'!$B$43,IF(G5104&lt;41,'General Basis'!$B$44,IF(G5104&lt;46,'General Basis'!$B$45,IF(G5104&lt;51,'General Basis'!$B$46,IF(G5104&lt;56,'General Basis'!$B$47,IF(G5104&lt;60,'General Basis'!$B$48,IF(G5104&lt;65,'General Basis'!$B$49,'General Basis'!$B$50)))))))))))))</f>
        <v/>
      </c>
      <c r="BI5104" s="744" t="str">
        <f t="shared" si="1765"/>
        <v/>
      </c>
      <c r="BJ5104" s="747" t="str">
        <f t="shared" si="1772"/>
        <v/>
      </c>
      <c r="BK5104" s="498" t="str">
        <f t="shared" si="1766"/>
        <v/>
      </c>
      <c r="BL5104" s="498" t="str">
        <f t="shared" si="1767"/>
        <v/>
      </c>
    </row>
    <row r="5105" spans="1:64" x14ac:dyDescent="0.25">
      <c r="A5105" s="762">
        <f t="shared" si="1768"/>
        <v>5100</v>
      </c>
      <c r="B5105" s="229"/>
      <c r="C5105" s="223"/>
      <c r="D5105" s="224"/>
      <c r="E5105" s="225"/>
      <c r="F5105" s="1036" t="str">
        <f t="shared" si="1774"/>
        <v/>
      </c>
      <c r="G5105" s="1037" t="str">
        <f t="shared" si="1769"/>
        <v/>
      </c>
      <c r="H5105" s="225"/>
      <c r="I5105" s="1013"/>
      <c r="J5105" s="1013"/>
      <c r="K5105" s="1028"/>
      <c r="L5105" s="1035" t="str">
        <f t="shared" si="1773"/>
        <v/>
      </c>
      <c r="S5105" s="498"/>
      <c r="AJ5105" s="498"/>
      <c r="AM5105" s="498">
        <f t="shared" si="1754"/>
        <v>0</v>
      </c>
      <c r="AN5105" s="498">
        <f t="shared" si="1755"/>
        <v>0</v>
      </c>
      <c r="AO5105" s="498">
        <f t="shared" si="1756"/>
        <v>0</v>
      </c>
      <c r="AP5105" s="498">
        <f t="shared" si="1775"/>
        <v>0</v>
      </c>
      <c r="AQ5105" s="498">
        <f t="shared" si="1770"/>
        <v>0</v>
      </c>
      <c r="AU5105" s="498">
        <f t="shared" si="1757"/>
        <v>0</v>
      </c>
      <c r="AV5105" s="498">
        <f t="shared" si="1758"/>
        <v>0</v>
      </c>
      <c r="AW5105" s="498">
        <f t="shared" si="1759"/>
        <v>0</v>
      </c>
      <c r="AX5105" s="498">
        <f t="shared" si="1760"/>
        <v>0</v>
      </c>
      <c r="AY5105" s="498">
        <f t="shared" si="1761"/>
        <v>0</v>
      </c>
      <c r="BB5105" s="498" t="str">
        <f t="shared" si="1762"/>
        <v/>
      </c>
      <c r="BC5105" s="743" t="str">
        <f t="shared" si="1763"/>
        <v/>
      </c>
      <c r="BD5105" s="743" t="str">
        <f t="shared" si="1764"/>
        <v/>
      </c>
      <c r="BE5105" s="743" t="str">
        <f>IF(D5105="","",VLOOKUP(D5105,'General Basis'!$J$39:$K$46,2,0))</f>
        <v/>
      </c>
      <c r="BF5105" s="744" t="str">
        <f>IF(D5105="","",VLOOKUP(D5105,'General Basis'!$J$39:$L$46,3,0))</f>
        <v/>
      </c>
      <c r="BG5105" s="744" t="str">
        <f t="shared" si="1771"/>
        <v/>
      </c>
      <c r="BH5105" s="744" t="str">
        <f>IF(G5105="","",IF(BF5105="Abu Dhabi",IF(G5105&lt;18,'General Basis'!$C$39,IF(G5105&lt;41,'General Basis'!$C$40,IF(G5105&lt;60,'General Basis'!$C$41,IF(G5105&lt;65,'General Basis'!$C$42,'General Basis'!$C$43)))),IF(G5105&lt;11,'General Basis'!$B$39,IF(G5105&lt;18,'General Basis'!$B$40,IF(G5105&lt;26,'General Basis'!$B$41,IF(G5105&lt;31,'General Basis'!$B$42,IF(G5105&lt;36,'General Basis'!$B$43,IF(G5105&lt;41,'General Basis'!$B$44,IF(G5105&lt;46,'General Basis'!$B$45,IF(G5105&lt;51,'General Basis'!$B$46,IF(G5105&lt;56,'General Basis'!$B$47,IF(G5105&lt;60,'General Basis'!$B$48,IF(G5105&lt;65,'General Basis'!$B$49,'General Basis'!$B$50)))))))))))))</f>
        <v/>
      </c>
      <c r="BI5105" s="744" t="str">
        <f t="shared" si="1765"/>
        <v/>
      </c>
      <c r="BJ5105" s="747" t="str">
        <f t="shared" si="1772"/>
        <v/>
      </c>
      <c r="BK5105" s="498" t="str">
        <f t="shared" si="1766"/>
        <v/>
      </c>
      <c r="BL5105" s="498" t="str">
        <f t="shared" si="1767"/>
        <v/>
      </c>
    </row>
    <row r="5106" spans="1:64" x14ac:dyDescent="0.25">
      <c r="A5106" s="762">
        <f t="shared" si="1768"/>
        <v>5101</v>
      </c>
      <c r="B5106" s="229"/>
      <c r="C5106" s="223"/>
      <c r="D5106" s="224"/>
      <c r="E5106" s="225"/>
      <c r="F5106" s="1036" t="str">
        <f t="shared" si="1774"/>
        <v/>
      </c>
      <c r="G5106" s="1037" t="str">
        <f t="shared" si="1769"/>
        <v/>
      </c>
      <c r="H5106" s="225"/>
      <c r="I5106" s="1013"/>
      <c r="J5106" s="1013"/>
      <c r="K5106" s="1028"/>
      <c r="L5106" s="1035" t="str">
        <f t="shared" si="1773"/>
        <v/>
      </c>
      <c r="S5106" s="498"/>
      <c r="AJ5106" s="498"/>
      <c r="AM5106" s="498">
        <f t="shared" si="1754"/>
        <v>0</v>
      </c>
      <c r="AN5106" s="498">
        <f t="shared" si="1755"/>
        <v>0</v>
      </c>
      <c r="AO5106" s="498">
        <f t="shared" si="1756"/>
        <v>0</v>
      </c>
      <c r="AP5106" s="498">
        <f t="shared" si="1775"/>
        <v>0</v>
      </c>
      <c r="AQ5106" s="498">
        <f t="shared" si="1770"/>
        <v>0</v>
      </c>
      <c r="AU5106" s="498">
        <f t="shared" si="1757"/>
        <v>0</v>
      </c>
      <c r="AV5106" s="498">
        <f t="shared" si="1758"/>
        <v>0</v>
      </c>
      <c r="AW5106" s="498">
        <f t="shared" si="1759"/>
        <v>0</v>
      </c>
      <c r="AX5106" s="498">
        <f t="shared" si="1760"/>
        <v>0</v>
      </c>
      <c r="AY5106" s="498">
        <f t="shared" si="1761"/>
        <v>0</v>
      </c>
      <c r="BB5106" s="498" t="str">
        <f t="shared" si="1762"/>
        <v/>
      </c>
      <c r="BC5106" s="743" t="str">
        <f t="shared" si="1763"/>
        <v/>
      </c>
      <c r="BD5106" s="743" t="str">
        <f t="shared" si="1764"/>
        <v/>
      </c>
      <c r="BE5106" s="743" t="str">
        <f>IF(D5106="","",VLOOKUP(D5106,'General Basis'!$J$39:$K$46,2,0))</f>
        <v/>
      </c>
      <c r="BF5106" s="744" t="str">
        <f>IF(D5106="","",VLOOKUP(D5106,'General Basis'!$J$39:$L$46,3,0))</f>
        <v/>
      </c>
      <c r="BG5106" s="744" t="str">
        <f t="shared" si="1771"/>
        <v/>
      </c>
      <c r="BH5106" s="744" t="str">
        <f>IF(G5106="","",IF(BF5106="Abu Dhabi",IF(G5106&lt;18,'General Basis'!$C$39,IF(G5106&lt;41,'General Basis'!$C$40,IF(G5106&lt;60,'General Basis'!$C$41,IF(G5106&lt;65,'General Basis'!$C$42,'General Basis'!$C$43)))),IF(G5106&lt;11,'General Basis'!$B$39,IF(G5106&lt;18,'General Basis'!$B$40,IF(G5106&lt;26,'General Basis'!$B$41,IF(G5106&lt;31,'General Basis'!$B$42,IF(G5106&lt;36,'General Basis'!$B$43,IF(G5106&lt;41,'General Basis'!$B$44,IF(G5106&lt;46,'General Basis'!$B$45,IF(G5106&lt;51,'General Basis'!$B$46,IF(G5106&lt;56,'General Basis'!$B$47,IF(G5106&lt;60,'General Basis'!$B$48,IF(G5106&lt;65,'General Basis'!$B$49,'General Basis'!$B$50)))))))))))))</f>
        <v/>
      </c>
      <c r="BI5106" s="744" t="str">
        <f t="shared" si="1765"/>
        <v/>
      </c>
      <c r="BJ5106" s="747" t="str">
        <f t="shared" si="1772"/>
        <v/>
      </c>
      <c r="BK5106" s="498" t="str">
        <f t="shared" si="1766"/>
        <v/>
      </c>
      <c r="BL5106" s="498" t="str">
        <f t="shared" si="1767"/>
        <v/>
      </c>
    </row>
    <row r="5107" spans="1:64" x14ac:dyDescent="0.25">
      <c r="A5107" s="762">
        <f t="shared" si="1768"/>
        <v>5102</v>
      </c>
      <c r="B5107" s="229"/>
      <c r="C5107" s="223"/>
      <c r="D5107" s="224"/>
      <c r="E5107" s="225"/>
      <c r="F5107" s="1036" t="str">
        <f t="shared" si="1774"/>
        <v/>
      </c>
      <c r="G5107" s="1037" t="str">
        <f t="shared" si="1769"/>
        <v/>
      </c>
      <c r="H5107" s="225"/>
      <c r="I5107" s="1013"/>
      <c r="J5107" s="1013"/>
      <c r="K5107" s="1028"/>
      <c r="L5107" s="1035" t="str">
        <f t="shared" si="1773"/>
        <v/>
      </c>
      <c r="S5107" s="498"/>
      <c r="AJ5107" s="498"/>
      <c r="AM5107" s="498">
        <f t="shared" si="1754"/>
        <v>0</v>
      </c>
      <c r="AN5107" s="498">
        <f t="shared" si="1755"/>
        <v>0</v>
      </c>
      <c r="AO5107" s="498">
        <f t="shared" si="1756"/>
        <v>0</v>
      </c>
      <c r="AP5107" s="498">
        <f t="shared" si="1775"/>
        <v>0</v>
      </c>
      <c r="AQ5107" s="498">
        <f t="shared" si="1770"/>
        <v>0</v>
      </c>
      <c r="AU5107" s="498">
        <f t="shared" si="1757"/>
        <v>0</v>
      </c>
      <c r="AV5107" s="498">
        <f t="shared" si="1758"/>
        <v>0</v>
      </c>
      <c r="AW5107" s="498">
        <f t="shared" si="1759"/>
        <v>0</v>
      </c>
      <c r="AX5107" s="498">
        <f t="shared" si="1760"/>
        <v>0</v>
      </c>
      <c r="AY5107" s="498">
        <f t="shared" si="1761"/>
        <v>0</v>
      </c>
      <c r="BB5107" s="498" t="str">
        <f t="shared" si="1762"/>
        <v/>
      </c>
      <c r="BC5107" s="743" t="str">
        <f t="shared" si="1763"/>
        <v/>
      </c>
      <c r="BD5107" s="743" t="str">
        <f t="shared" si="1764"/>
        <v/>
      </c>
      <c r="BE5107" s="743" t="str">
        <f>IF(D5107="","",VLOOKUP(D5107,'General Basis'!$J$39:$K$46,2,0))</f>
        <v/>
      </c>
      <c r="BF5107" s="744" t="str">
        <f>IF(D5107="","",VLOOKUP(D5107,'General Basis'!$J$39:$L$46,3,0))</f>
        <v/>
      </c>
      <c r="BG5107" s="744" t="str">
        <f t="shared" si="1771"/>
        <v/>
      </c>
      <c r="BH5107" s="744" t="str">
        <f>IF(G5107="","",IF(BF5107="Abu Dhabi",IF(G5107&lt;18,'General Basis'!$C$39,IF(G5107&lt;41,'General Basis'!$C$40,IF(G5107&lt;60,'General Basis'!$C$41,IF(G5107&lt;65,'General Basis'!$C$42,'General Basis'!$C$43)))),IF(G5107&lt;11,'General Basis'!$B$39,IF(G5107&lt;18,'General Basis'!$B$40,IF(G5107&lt;26,'General Basis'!$B$41,IF(G5107&lt;31,'General Basis'!$B$42,IF(G5107&lt;36,'General Basis'!$B$43,IF(G5107&lt;41,'General Basis'!$B$44,IF(G5107&lt;46,'General Basis'!$B$45,IF(G5107&lt;51,'General Basis'!$B$46,IF(G5107&lt;56,'General Basis'!$B$47,IF(G5107&lt;60,'General Basis'!$B$48,IF(G5107&lt;65,'General Basis'!$B$49,'General Basis'!$B$50)))))))))))))</f>
        <v/>
      </c>
      <c r="BI5107" s="744" t="str">
        <f t="shared" si="1765"/>
        <v/>
      </c>
      <c r="BJ5107" s="747" t="str">
        <f t="shared" si="1772"/>
        <v/>
      </c>
      <c r="BK5107" s="498" t="str">
        <f t="shared" si="1766"/>
        <v/>
      </c>
      <c r="BL5107" s="498" t="str">
        <f t="shared" si="1767"/>
        <v/>
      </c>
    </row>
    <row r="5108" spans="1:64" x14ac:dyDescent="0.25">
      <c r="A5108" s="762">
        <f t="shared" si="1768"/>
        <v>5103</v>
      </c>
      <c r="B5108" s="229"/>
      <c r="C5108" s="223"/>
      <c r="D5108" s="224"/>
      <c r="E5108" s="225"/>
      <c r="F5108" s="1036" t="str">
        <f t="shared" si="1774"/>
        <v/>
      </c>
      <c r="G5108" s="1037" t="str">
        <f t="shared" si="1769"/>
        <v/>
      </c>
      <c r="H5108" s="225"/>
      <c r="I5108" s="1013"/>
      <c r="J5108" s="1013"/>
      <c r="K5108" s="1028"/>
      <c r="L5108" s="1035" t="str">
        <f t="shared" si="1773"/>
        <v/>
      </c>
      <c r="S5108" s="498"/>
      <c r="AJ5108" s="498"/>
      <c r="AM5108" s="498">
        <f t="shared" si="1754"/>
        <v>0</v>
      </c>
      <c r="AN5108" s="498">
        <f t="shared" si="1755"/>
        <v>0</v>
      </c>
      <c r="AO5108" s="498">
        <f t="shared" si="1756"/>
        <v>0</v>
      </c>
      <c r="AP5108" s="498">
        <f t="shared" si="1775"/>
        <v>0</v>
      </c>
      <c r="AQ5108" s="498">
        <f t="shared" si="1770"/>
        <v>0</v>
      </c>
      <c r="AU5108" s="498">
        <f t="shared" si="1757"/>
        <v>0</v>
      </c>
      <c r="AV5108" s="498">
        <f t="shared" si="1758"/>
        <v>0</v>
      </c>
      <c r="AW5108" s="498">
        <f t="shared" si="1759"/>
        <v>0</v>
      </c>
      <c r="AX5108" s="498">
        <f t="shared" si="1760"/>
        <v>0</v>
      </c>
      <c r="AY5108" s="498">
        <f t="shared" si="1761"/>
        <v>0</v>
      </c>
      <c r="BB5108" s="498" t="str">
        <f t="shared" si="1762"/>
        <v/>
      </c>
      <c r="BC5108" s="743" t="str">
        <f t="shared" si="1763"/>
        <v/>
      </c>
      <c r="BD5108" s="743" t="str">
        <f t="shared" si="1764"/>
        <v/>
      </c>
      <c r="BE5108" s="743" t="str">
        <f>IF(D5108="","",VLOOKUP(D5108,'General Basis'!$J$39:$K$46,2,0))</f>
        <v/>
      </c>
      <c r="BF5108" s="744" t="str">
        <f>IF(D5108="","",VLOOKUP(D5108,'General Basis'!$J$39:$L$46,3,0))</f>
        <v/>
      </c>
      <c r="BG5108" s="744" t="str">
        <f t="shared" si="1771"/>
        <v/>
      </c>
      <c r="BH5108" s="744" t="str">
        <f>IF(G5108="","",IF(BF5108="Abu Dhabi",IF(G5108&lt;18,'General Basis'!$C$39,IF(G5108&lt;41,'General Basis'!$C$40,IF(G5108&lt;60,'General Basis'!$C$41,IF(G5108&lt;65,'General Basis'!$C$42,'General Basis'!$C$43)))),IF(G5108&lt;11,'General Basis'!$B$39,IF(G5108&lt;18,'General Basis'!$B$40,IF(G5108&lt;26,'General Basis'!$B$41,IF(G5108&lt;31,'General Basis'!$B$42,IF(G5108&lt;36,'General Basis'!$B$43,IF(G5108&lt;41,'General Basis'!$B$44,IF(G5108&lt;46,'General Basis'!$B$45,IF(G5108&lt;51,'General Basis'!$B$46,IF(G5108&lt;56,'General Basis'!$B$47,IF(G5108&lt;60,'General Basis'!$B$48,IF(G5108&lt;65,'General Basis'!$B$49,'General Basis'!$B$50)))))))))))))</f>
        <v/>
      </c>
      <c r="BI5108" s="744" t="str">
        <f t="shared" si="1765"/>
        <v/>
      </c>
      <c r="BJ5108" s="747" t="str">
        <f t="shared" si="1772"/>
        <v/>
      </c>
      <c r="BK5108" s="498" t="str">
        <f t="shared" si="1766"/>
        <v/>
      </c>
      <c r="BL5108" s="498" t="str">
        <f t="shared" si="1767"/>
        <v/>
      </c>
    </row>
    <row r="5109" spans="1:64" x14ac:dyDescent="0.25">
      <c r="A5109" s="762">
        <f t="shared" si="1768"/>
        <v>5104</v>
      </c>
      <c r="B5109" s="229"/>
      <c r="C5109" s="223"/>
      <c r="D5109" s="224"/>
      <c r="E5109" s="225"/>
      <c r="F5109" s="1036" t="str">
        <f t="shared" si="1774"/>
        <v/>
      </c>
      <c r="G5109" s="1037" t="str">
        <f t="shared" si="1769"/>
        <v/>
      </c>
      <c r="H5109" s="225"/>
      <c r="I5109" s="1013"/>
      <c r="J5109" s="1013"/>
      <c r="K5109" s="1028"/>
      <c r="L5109" s="1035" t="str">
        <f t="shared" si="1773"/>
        <v/>
      </c>
      <c r="S5109" s="498"/>
      <c r="AJ5109" s="498"/>
      <c r="AM5109" s="498">
        <f t="shared" si="1754"/>
        <v>0</v>
      </c>
      <c r="AN5109" s="498">
        <f t="shared" si="1755"/>
        <v>0</v>
      </c>
      <c r="AO5109" s="498">
        <f t="shared" si="1756"/>
        <v>0</v>
      </c>
      <c r="AP5109" s="498">
        <f t="shared" si="1775"/>
        <v>0</v>
      </c>
      <c r="AQ5109" s="498">
        <f t="shared" si="1770"/>
        <v>0</v>
      </c>
      <c r="AU5109" s="498">
        <f t="shared" si="1757"/>
        <v>0</v>
      </c>
      <c r="AV5109" s="498">
        <f t="shared" si="1758"/>
        <v>0</v>
      </c>
      <c r="AW5109" s="498">
        <f t="shared" si="1759"/>
        <v>0</v>
      </c>
      <c r="AX5109" s="498">
        <f t="shared" si="1760"/>
        <v>0</v>
      </c>
      <c r="AY5109" s="498">
        <f t="shared" si="1761"/>
        <v>0</v>
      </c>
      <c r="BB5109" s="498" t="str">
        <f t="shared" si="1762"/>
        <v/>
      </c>
      <c r="BC5109" s="743" t="str">
        <f t="shared" si="1763"/>
        <v/>
      </c>
      <c r="BD5109" s="743" t="str">
        <f t="shared" si="1764"/>
        <v/>
      </c>
      <c r="BE5109" s="743" t="str">
        <f>IF(D5109="","",VLOOKUP(D5109,'General Basis'!$J$39:$K$46,2,0))</f>
        <v/>
      </c>
      <c r="BF5109" s="744" t="str">
        <f>IF(D5109="","",VLOOKUP(D5109,'General Basis'!$J$39:$L$46,3,0))</f>
        <v/>
      </c>
      <c r="BG5109" s="744" t="str">
        <f t="shared" si="1771"/>
        <v/>
      </c>
      <c r="BH5109" s="744" t="str">
        <f>IF(G5109="","",IF(BF5109="Abu Dhabi",IF(G5109&lt;18,'General Basis'!$C$39,IF(G5109&lt;41,'General Basis'!$C$40,IF(G5109&lt;60,'General Basis'!$C$41,IF(G5109&lt;65,'General Basis'!$C$42,'General Basis'!$C$43)))),IF(G5109&lt;11,'General Basis'!$B$39,IF(G5109&lt;18,'General Basis'!$B$40,IF(G5109&lt;26,'General Basis'!$B$41,IF(G5109&lt;31,'General Basis'!$B$42,IF(G5109&lt;36,'General Basis'!$B$43,IF(G5109&lt;41,'General Basis'!$B$44,IF(G5109&lt;46,'General Basis'!$B$45,IF(G5109&lt;51,'General Basis'!$B$46,IF(G5109&lt;56,'General Basis'!$B$47,IF(G5109&lt;60,'General Basis'!$B$48,IF(G5109&lt;65,'General Basis'!$B$49,'General Basis'!$B$50)))))))))))))</f>
        <v/>
      </c>
      <c r="BI5109" s="744" t="str">
        <f t="shared" si="1765"/>
        <v/>
      </c>
      <c r="BJ5109" s="747" t="str">
        <f t="shared" si="1772"/>
        <v/>
      </c>
      <c r="BK5109" s="498" t="str">
        <f t="shared" si="1766"/>
        <v/>
      </c>
      <c r="BL5109" s="498" t="str">
        <f t="shared" si="1767"/>
        <v/>
      </c>
    </row>
    <row r="5110" spans="1:64" x14ac:dyDescent="0.25">
      <c r="A5110" s="762">
        <f t="shared" si="1768"/>
        <v>5105</v>
      </c>
      <c r="B5110" s="229"/>
      <c r="C5110" s="223"/>
      <c r="D5110" s="224"/>
      <c r="E5110" s="225"/>
      <c r="F5110" s="1036" t="str">
        <f t="shared" si="1774"/>
        <v/>
      </c>
      <c r="G5110" s="1037" t="str">
        <f t="shared" si="1769"/>
        <v/>
      </c>
      <c r="H5110" s="225"/>
      <c r="I5110" s="1013"/>
      <c r="J5110" s="1013"/>
      <c r="K5110" s="1028"/>
      <c r="L5110" s="1035" t="str">
        <f t="shared" si="1773"/>
        <v/>
      </c>
      <c r="S5110" s="498"/>
      <c r="AJ5110" s="498"/>
      <c r="AM5110" s="498">
        <f t="shared" si="1754"/>
        <v>0</v>
      </c>
      <c r="AN5110" s="498">
        <f t="shared" si="1755"/>
        <v>0</v>
      </c>
      <c r="AO5110" s="498">
        <f t="shared" si="1756"/>
        <v>0</v>
      </c>
      <c r="AP5110" s="498">
        <f t="shared" si="1775"/>
        <v>0</v>
      </c>
      <c r="AQ5110" s="498">
        <f t="shared" si="1770"/>
        <v>0</v>
      </c>
      <c r="AU5110" s="498">
        <f t="shared" si="1757"/>
        <v>0</v>
      </c>
      <c r="AV5110" s="498">
        <f t="shared" si="1758"/>
        <v>0</v>
      </c>
      <c r="AW5110" s="498">
        <f t="shared" si="1759"/>
        <v>0</v>
      </c>
      <c r="AX5110" s="498">
        <f t="shared" si="1760"/>
        <v>0</v>
      </c>
      <c r="AY5110" s="498">
        <f t="shared" si="1761"/>
        <v>0</v>
      </c>
      <c r="BB5110" s="498" t="str">
        <f t="shared" si="1762"/>
        <v/>
      </c>
      <c r="BC5110" s="743" t="str">
        <f t="shared" si="1763"/>
        <v/>
      </c>
      <c r="BD5110" s="743" t="str">
        <f t="shared" si="1764"/>
        <v/>
      </c>
      <c r="BE5110" s="743" t="str">
        <f>IF(D5110="","",VLOOKUP(D5110,'General Basis'!$J$39:$K$46,2,0))</f>
        <v/>
      </c>
      <c r="BF5110" s="744" t="str">
        <f>IF(D5110="","",VLOOKUP(D5110,'General Basis'!$J$39:$L$46,3,0))</f>
        <v/>
      </c>
      <c r="BG5110" s="744" t="str">
        <f t="shared" si="1771"/>
        <v/>
      </c>
      <c r="BH5110" s="744" t="str">
        <f>IF(G5110="","",IF(BF5110="Abu Dhabi",IF(G5110&lt;18,'General Basis'!$C$39,IF(G5110&lt;41,'General Basis'!$C$40,IF(G5110&lt;60,'General Basis'!$C$41,IF(G5110&lt;65,'General Basis'!$C$42,'General Basis'!$C$43)))),IF(G5110&lt;11,'General Basis'!$B$39,IF(G5110&lt;18,'General Basis'!$B$40,IF(G5110&lt;26,'General Basis'!$B$41,IF(G5110&lt;31,'General Basis'!$B$42,IF(G5110&lt;36,'General Basis'!$B$43,IF(G5110&lt;41,'General Basis'!$B$44,IF(G5110&lt;46,'General Basis'!$B$45,IF(G5110&lt;51,'General Basis'!$B$46,IF(G5110&lt;56,'General Basis'!$B$47,IF(G5110&lt;60,'General Basis'!$B$48,IF(G5110&lt;65,'General Basis'!$B$49,'General Basis'!$B$50)))))))))))))</f>
        <v/>
      </c>
      <c r="BI5110" s="744" t="str">
        <f t="shared" si="1765"/>
        <v/>
      </c>
      <c r="BJ5110" s="747" t="str">
        <f t="shared" si="1772"/>
        <v/>
      </c>
      <c r="BK5110" s="498" t="str">
        <f t="shared" si="1766"/>
        <v/>
      </c>
      <c r="BL5110" s="498" t="str">
        <f t="shared" si="1767"/>
        <v/>
      </c>
    </row>
    <row r="5111" spans="1:64" x14ac:dyDescent="0.25">
      <c r="A5111" s="762">
        <f t="shared" si="1768"/>
        <v>5106</v>
      </c>
      <c r="B5111" s="229"/>
      <c r="C5111" s="223"/>
      <c r="D5111" s="224"/>
      <c r="E5111" s="225"/>
      <c r="F5111" s="1036" t="str">
        <f t="shared" si="1774"/>
        <v/>
      </c>
      <c r="G5111" s="1037" t="str">
        <f t="shared" si="1769"/>
        <v/>
      </c>
      <c r="H5111" s="225"/>
      <c r="I5111" s="1013"/>
      <c r="J5111" s="1013"/>
      <c r="K5111" s="1028"/>
      <c r="L5111" s="1035" t="str">
        <f t="shared" si="1773"/>
        <v/>
      </c>
      <c r="S5111" s="498"/>
      <c r="AJ5111" s="498"/>
      <c r="AM5111" s="498">
        <f t="shared" si="1754"/>
        <v>0</v>
      </c>
      <c r="AN5111" s="498">
        <f t="shared" si="1755"/>
        <v>0</v>
      </c>
      <c r="AO5111" s="498">
        <f t="shared" si="1756"/>
        <v>0</v>
      </c>
      <c r="AP5111" s="498">
        <f t="shared" si="1775"/>
        <v>0</v>
      </c>
      <c r="AQ5111" s="498">
        <f t="shared" si="1770"/>
        <v>0</v>
      </c>
      <c r="AU5111" s="498">
        <f t="shared" si="1757"/>
        <v>0</v>
      </c>
      <c r="AV5111" s="498">
        <f t="shared" si="1758"/>
        <v>0</v>
      </c>
      <c r="AW5111" s="498">
        <f t="shared" si="1759"/>
        <v>0</v>
      </c>
      <c r="AX5111" s="498">
        <f t="shared" si="1760"/>
        <v>0</v>
      </c>
      <c r="AY5111" s="498">
        <f t="shared" si="1761"/>
        <v>0</v>
      </c>
      <c r="BB5111" s="498" t="str">
        <f t="shared" si="1762"/>
        <v/>
      </c>
      <c r="BC5111" s="743" t="str">
        <f t="shared" si="1763"/>
        <v/>
      </c>
      <c r="BD5111" s="743" t="str">
        <f t="shared" si="1764"/>
        <v/>
      </c>
      <c r="BE5111" s="743" t="str">
        <f>IF(D5111="","",VLOOKUP(D5111,'General Basis'!$J$39:$K$46,2,0))</f>
        <v/>
      </c>
      <c r="BF5111" s="744" t="str">
        <f>IF(D5111="","",VLOOKUP(D5111,'General Basis'!$J$39:$L$46,3,0))</f>
        <v/>
      </c>
      <c r="BG5111" s="744" t="str">
        <f t="shared" si="1771"/>
        <v/>
      </c>
      <c r="BH5111" s="744" t="str">
        <f>IF(G5111="","",IF(BF5111="Abu Dhabi",IF(G5111&lt;18,'General Basis'!$C$39,IF(G5111&lt;41,'General Basis'!$C$40,IF(G5111&lt;60,'General Basis'!$C$41,IF(G5111&lt;65,'General Basis'!$C$42,'General Basis'!$C$43)))),IF(G5111&lt;11,'General Basis'!$B$39,IF(G5111&lt;18,'General Basis'!$B$40,IF(G5111&lt;26,'General Basis'!$B$41,IF(G5111&lt;31,'General Basis'!$B$42,IF(G5111&lt;36,'General Basis'!$B$43,IF(G5111&lt;41,'General Basis'!$B$44,IF(G5111&lt;46,'General Basis'!$B$45,IF(G5111&lt;51,'General Basis'!$B$46,IF(G5111&lt;56,'General Basis'!$B$47,IF(G5111&lt;60,'General Basis'!$B$48,IF(G5111&lt;65,'General Basis'!$B$49,'General Basis'!$B$50)))))))))))))</f>
        <v/>
      </c>
      <c r="BI5111" s="744" t="str">
        <f t="shared" si="1765"/>
        <v/>
      </c>
      <c r="BJ5111" s="747" t="str">
        <f t="shared" si="1772"/>
        <v/>
      </c>
      <c r="BK5111" s="498" t="str">
        <f t="shared" si="1766"/>
        <v/>
      </c>
      <c r="BL5111" s="498" t="str">
        <f t="shared" si="1767"/>
        <v/>
      </c>
    </row>
    <row r="5112" spans="1:64" x14ac:dyDescent="0.25">
      <c r="A5112" s="762">
        <f t="shared" si="1768"/>
        <v>5107</v>
      </c>
      <c r="B5112" s="229"/>
      <c r="C5112" s="223"/>
      <c r="D5112" s="224"/>
      <c r="E5112" s="225"/>
      <c r="F5112" s="1036" t="str">
        <f t="shared" si="1774"/>
        <v/>
      </c>
      <c r="G5112" s="1037" t="str">
        <f t="shared" si="1769"/>
        <v/>
      </c>
      <c r="H5112" s="225"/>
      <c r="I5112" s="1013"/>
      <c r="J5112" s="1013"/>
      <c r="K5112" s="1028"/>
      <c r="L5112" s="1035" t="str">
        <f t="shared" si="1773"/>
        <v/>
      </c>
      <c r="S5112" s="498"/>
      <c r="AJ5112" s="498"/>
      <c r="AM5112" s="498">
        <f t="shared" si="1754"/>
        <v>0</v>
      </c>
      <c r="AN5112" s="498">
        <f t="shared" si="1755"/>
        <v>0</v>
      </c>
      <c r="AO5112" s="498">
        <f t="shared" si="1756"/>
        <v>0</v>
      </c>
      <c r="AP5112" s="498">
        <f t="shared" si="1775"/>
        <v>0</v>
      </c>
      <c r="AQ5112" s="498">
        <f t="shared" si="1770"/>
        <v>0</v>
      </c>
      <c r="AU5112" s="498">
        <f t="shared" si="1757"/>
        <v>0</v>
      </c>
      <c r="AV5112" s="498">
        <f t="shared" si="1758"/>
        <v>0</v>
      </c>
      <c r="AW5112" s="498">
        <f t="shared" si="1759"/>
        <v>0</v>
      </c>
      <c r="AX5112" s="498">
        <f t="shared" si="1760"/>
        <v>0</v>
      </c>
      <c r="AY5112" s="498">
        <f t="shared" si="1761"/>
        <v>0</v>
      </c>
      <c r="BB5112" s="498" t="str">
        <f t="shared" si="1762"/>
        <v/>
      </c>
      <c r="BC5112" s="743" t="str">
        <f t="shared" si="1763"/>
        <v/>
      </c>
      <c r="BD5112" s="743" t="str">
        <f t="shared" si="1764"/>
        <v/>
      </c>
      <c r="BE5112" s="743" t="str">
        <f>IF(D5112="","",VLOOKUP(D5112,'General Basis'!$J$39:$K$46,2,0))</f>
        <v/>
      </c>
      <c r="BF5112" s="744" t="str">
        <f>IF(D5112="","",VLOOKUP(D5112,'General Basis'!$J$39:$L$46,3,0))</f>
        <v/>
      </c>
      <c r="BG5112" s="744" t="str">
        <f t="shared" si="1771"/>
        <v/>
      </c>
      <c r="BH5112" s="744" t="str">
        <f>IF(G5112="","",IF(BF5112="Abu Dhabi",IF(G5112&lt;18,'General Basis'!$C$39,IF(G5112&lt;41,'General Basis'!$C$40,IF(G5112&lt;60,'General Basis'!$C$41,IF(G5112&lt;65,'General Basis'!$C$42,'General Basis'!$C$43)))),IF(G5112&lt;11,'General Basis'!$B$39,IF(G5112&lt;18,'General Basis'!$B$40,IF(G5112&lt;26,'General Basis'!$B$41,IF(G5112&lt;31,'General Basis'!$B$42,IF(G5112&lt;36,'General Basis'!$B$43,IF(G5112&lt;41,'General Basis'!$B$44,IF(G5112&lt;46,'General Basis'!$B$45,IF(G5112&lt;51,'General Basis'!$B$46,IF(G5112&lt;56,'General Basis'!$B$47,IF(G5112&lt;60,'General Basis'!$B$48,IF(G5112&lt;65,'General Basis'!$B$49,'General Basis'!$B$50)))))))))))))</f>
        <v/>
      </c>
      <c r="BI5112" s="744" t="str">
        <f t="shared" si="1765"/>
        <v/>
      </c>
      <c r="BJ5112" s="747" t="str">
        <f t="shared" si="1772"/>
        <v/>
      </c>
      <c r="BK5112" s="498" t="str">
        <f t="shared" si="1766"/>
        <v/>
      </c>
      <c r="BL5112" s="498" t="str">
        <f t="shared" si="1767"/>
        <v/>
      </c>
    </row>
    <row r="5113" spans="1:64" x14ac:dyDescent="0.25">
      <c r="A5113" s="762">
        <f t="shared" si="1768"/>
        <v>5108</v>
      </c>
      <c r="B5113" s="229"/>
      <c r="C5113" s="223"/>
      <c r="D5113" s="224"/>
      <c r="E5113" s="225"/>
      <c r="F5113" s="1036" t="str">
        <f t="shared" si="1774"/>
        <v/>
      </c>
      <c r="G5113" s="1037" t="str">
        <f t="shared" si="1769"/>
        <v/>
      </c>
      <c r="H5113" s="225"/>
      <c r="I5113" s="1013"/>
      <c r="J5113" s="1013"/>
      <c r="K5113" s="1028"/>
      <c r="L5113" s="1035" t="str">
        <f t="shared" si="1773"/>
        <v/>
      </c>
      <c r="S5113" s="498"/>
      <c r="AJ5113" s="498"/>
      <c r="AM5113" s="498">
        <f t="shared" si="1754"/>
        <v>0</v>
      </c>
      <c r="AN5113" s="498">
        <f t="shared" si="1755"/>
        <v>0</v>
      </c>
      <c r="AO5113" s="498">
        <f t="shared" si="1756"/>
        <v>0</v>
      </c>
      <c r="AP5113" s="498">
        <f t="shared" si="1775"/>
        <v>0</v>
      </c>
      <c r="AQ5113" s="498">
        <f t="shared" si="1770"/>
        <v>0</v>
      </c>
      <c r="AU5113" s="498">
        <f t="shared" si="1757"/>
        <v>0</v>
      </c>
      <c r="AV5113" s="498">
        <f t="shared" si="1758"/>
        <v>0</v>
      </c>
      <c r="AW5113" s="498">
        <f t="shared" si="1759"/>
        <v>0</v>
      </c>
      <c r="AX5113" s="498">
        <f t="shared" si="1760"/>
        <v>0</v>
      </c>
      <c r="AY5113" s="498">
        <f t="shared" si="1761"/>
        <v>0</v>
      </c>
      <c r="BB5113" s="498" t="str">
        <f t="shared" si="1762"/>
        <v/>
      </c>
      <c r="BC5113" s="743" t="str">
        <f t="shared" si="1763"/>
        <v/>
      </c>
      <c r="BD5113" s="743" t="str">
        <f t="shared" si="1764"/>
        <v/>
      </c>
      <c r="BE5113" s="743" t="str">
        <f>IF(D5113="","",VLOOKUP(D5113,'General Basis'!$J$39:$K$46,2,0))</f>
        <v/>
      </c>
      <c r="BF5113" s="744" t="str">
        <f>IF(D5113="","",VLOOKUP(D5113,'General Basis'!$J$39:$L$46,3,0))</f>
        <v/>
      </c>
      <c r="BG5113" s="744" t="str">
        <f t="shared" si="1771"/>
        <v/>
      </c>
      <c r="BH5113" s="744" t="str">
        <f>IF(G5113="","",IF(BF5113="Abu Dhabi",IF(G5113&lt;18,'General Basis'!$C$39,IF(G5113&lt;41,'General Basis'!$C$40,IF(G5113&lt;60,'General Basis'!$C$41,IF(G5113&lt;65,'General Basis'!$C$42,'General Basis'!$C$43)))),IF(G5113&lt;11,'General Basis'!$B$39,IF(G5113&lt;18,'General Basis'!$B$40,IF(G5113&lt;26,'General Basis'!$B$41,IF(G5113&lt;31,'General Basis'!$B$42,IF(G5113&lt;36,'General Basis'!$B$43,IF(G5113&lt;41,'General Basis'!$B$44,IF(G5113&lt;46,'General Basis'!$B$45,IF(G5113&lt;51,'General Basis'!$B$46,IF(G5113&lt;56,'General Basis'!$B$47,IF(G5113&lt;60,'General Basis'!$B$48,IF(G5113&lt;65,'General Basis'!$B$49,'General Basis'!$B$50)))))))))))))</f>
        <v/>
      </c>
      <c r="BI5113" s="744" t="str">
        <f t="shared" si="1765"/>
        <v/>
      </c>
      <c r="BJ5113" s="747" t="str">
        <f t="shared" si="1772"/>
        <v/>
      </c>
      <c r="BK5113" s="498" t="str">
        <f t="shared" si="1766"/>
        <v/>
      </c>
      <c r="BL5113" s="498" t="str">
        <f t="shared" si="1767"/>
        <v/>
      </c>
    </row>
    <row r="5114" spans="1:64" x14ac:dyDescent="0.25">
      <c r="A5114" s="762">
        <f t="shared" si="1768"/>
        <v>5109</v>
      </c>
      <c r="B5114" s="229"/>
      <c r="C5114" s="223"/>
      <c r="D5114" s="224"/>
      <c r="E5114" s="225"/>
      <c r="F5114" s="1036" t="str">
        <f t="shared" si="1774"/>
        <v/>
      </c>
      <c r="G5114" s="1037" t="str">
        <f t="shared" si="1769"/>
        <v/>
      </c>
      <c r="H5114" s="225"/>
      <c r="I5114" s="1013"/>
      <c r="J5114" s="1013"/>
      <c r="K5114" s="1028"/>
      <c r="L5114" s="1035" t="str">
        <f t="shared" si="1773"/>
        <v/>
      </c>
      <c r="S5114" s="498"/>
      <c r="AJ5114" s="498"/>
      <c r="AM5114" s="498">
        <f t="shared" si="1754"/>
        <v>0</v>
      </c>
      <c r="AN5114" s="498">
        <f t="shared" si="1755"/>
        <v>0</v>
      </c>
      <c r="AO5114" s="498">
        <f t="shared" si="1756"/>
        <v>0</v>
      </c>
      <c r="AP5114" s="498">
        <f t="shared" si="1775"/>
        <v>0</v>
      </c>
      <c r="AQ5114" s="498">
        <f t="shared" si="1770"/>
        <v>0</v>
      </c>
      <c r="AU5114" s="498">
        <f t="shared" si="1757"/>
        <v>0</v>
      </c>
      <c r="AV5114" s="498">
        <f t="shared" si="1758"/>
        <v>0</v>
      </c>
      <c r="AW5114" s="498">
        <f t="shared" si="1759"/>
        <v>0</v>
      </c>
      <c r="AX5114" s="498">
        <f t="shared" si="1760"/>
        <v>0</v>
      </c>
      <c r="AY5114" s="498">
        <f t="shared" si="1761"/>
        <v>0</v>
      </c>
      <c r="BB5114" s="498" t="str">
        <f t="shared" si="1762"/>
        <v/>
      </c>
      <c r="BC5114" s="743" t="str">
        <f t="shared" si="1763"/>
        <v/>
      </c>
      <c r="BD5114" s="743" t="str">
        <f t="shared" si="1764"/>
        <v/>
      </c>
      <c r="BE5114" s="743" t="str">
        <f>IF(D5114="","",VLOOKUP(D5114,'General Basis'!$J$39:$K$46,2,0))</f>
        <v/>
      </c>
      <c r="BF5114" s="744" t="str">
        <f>IF(D5114="","",VLOOKUP(D5114,'General Basis'!$J$39:$L$46,3,0))</f>
        <v/>
      </c>
      <c r="BG5114" s="744" t="str">
        <f t="shared" si="1771"/>
        <v/>
      </c>
      <c r="BH5114" s="744" t="str">
        <f>IF(G5114="","",IF(BF5114="Abu Dhabi",IF(G5114&lt;18,'General Basis'!$C$39,IF(G5114&lt;41,'General Basis'!$C$40,IF(G5114&lt;60,'General Basis'!$C$41,IF(G5114&lt;65,'General Basis'!$C$42,'General Basis'!$C$43)))),IF(G5114&lt;11,'General Basis'!$B$39,IF(G5114&lt;18,'General Basis'!$B$40,IF(G5114&lt;26,'General Basis'!$B$41,IF(G5114&lt;31,'General Basis'!$B$42,IF(G5114&lt;36,'General Basis'!$B$43,IF(G5114&lt;41,'General Basis'!$B$44,IF(G5114&lt;46,'General Basis'!$B$45,IF(G5114&lt;51,'General Basis'!$B$46,IF(G5114&lt;56,'General Basis'!$B$47,IF(G5114&lt;60,'General Basis'!$B$48,IF(G5114&lt;65,'General Basis'!$B$49,'General Basis'!$B$50)))))))))))))</f>
        <v/>
      </c>
      <c r="BI5114" s="744" t="str">
        <f t="shared" si="1765"/>
        <v/>
      </c>
      <c r="BJ5114" s="747" t="str">
        <f t="shared" si="1772"/>
        <v/>
      </c>
      <c r="BK5114" s="498" t="str">
        <f t="shared" si="1766"/>
        <v/>
      </c>
      <c r="BL5114" s="498" t="str">
        <f t="shared" si="1767"/>
        <v/>
      </c>
    </row>
    <row r="5115" spans="1:64" x14ac:dyDescent="0.25">
      <c r="A5115" s="762">
        <f t="shared" si="1768"/>
        <v>5110</v>
      </c>
      <c r="B5115" s="229"/>
      <c r="C5115" s="223"/>
      <c r="D5115" s="224"/>
      <c r="E5115" s="225"/>
      <c r="F5115" s="1036" t="str">
        <f t="shared" si="1774"/>
        <v/>
      </c>
      <c r="G5115" s="1037" t="str">
        <f t="shared" si="1769"/>
        <v/>
      </c>
      <c r="H5115" s="225"/>
      <c r="I5115" s="1013"/>
      <c r="J5115" s="1013"/>
      <c r="K5115" s="1028"/>
      <c r="L5115" s="1035" t="str">
        <f t="shared" si="1773"/>
        <v/>
      </c>
      <c r="S5115" s="498"/>
      <c r="AJ5115" s="498"/>
      <c r="AM5115" s="498">
        <f t="shared" si="1754"/>
        <v>0</v>
      </c>
      <c r="AN5115" s="498">
        <f t="shared" si="1755"/>
        <v>0</v>
      </c>
      <c r="AO5115" s="498">
        <f t="shared" si="1756"/>
        <v>0</v>
      </c>
      <c r="AP5115" s="498">
        <f t="shared" si="1775"/>
        <v>0</v>
      </c>
      <c r="AQ5115" s="498">
        <f t="shared" si="1770"/>
        <v>0</v>
      </c>
      <c r="AU5115" s="498">
        <f t="shared" si="1757"/>
        <v>0</v>
      </c>
      <c r="AV5115" s="498">
        <f t="shared" si="1758"/>
        <v>0</v>
      </c>
      <c r="AW5115" s="498">
        <f t="shared" si="1759"/>
        <v>0</v>
      </c>
      <c r="AX5115" s="498">
        <f t="shared" si="1760"/>
        <v>0</v>
      </c>
      <c r="AY5115" s="498">
        <f t="shared" si="1761"/>
        <v>0</v>
      </c>
      <c r="BB5115" s="498" t="str">
        <f t="shared" si="1762"/>
        <v/>
      </c>
      <c r="BC5115" s="743" t="str">
        <f t="shared" si="1763"/>
        <v/>
      </c>
      <c r="BD5115" s="743" t="str">
        <f t="shared" si="1764"/>
        <v/>
      </c>
      <c r="BE5115" s="743" t="str">
        <f>IF(D5115="","",VLOOKUP(D5115,'General Basis'!$J$39:$K$46,2,0))</f>
        <v/>
      </c>
      <c r="BF5115" s="744" t="str">
        <f>IF(D5115="","",VLOOKUP(D5115,'General Basis'!$J$39:$L$46,3,0))</f>
        <v/>
      </c>
      <c r="BG5115" s="744" t="str">
        <f t="shared" si="1771"/>
        <v/>
      </c>
      <c r="BH5115" s="744" t="str">
        <f>IF(G5115="","",IF(BF5115="Abu Dhabi",IF(G5115&lt;18,'General Basis'!$C$39,IF(G5115&lt;41,'General Basis'!$C$40,IF(G5115&lt;60,'General Basis'!$C$41,IF(G5115&lt;65,'General Basis'!$C$42,'General Basis'!$C$43)))),IF(G5115&lt;11,'General Basis'!$B$39,IF(G5115&lt;18,'General Basis'!$B$40,IF(G5115&lt;26,'General Basis'!$B$41,IF(G5115&lt;31,'General Basis'!$B$42,IF(G5115&lt;36,'General Basis'!$B$43,IF(G5115&lt;41,'General Basis'!$B$44,IF(G5115&lt;46,'General Basis'!$B$45,IF(G5115&lt;51,'General Basis'!$B$46,IF(G5115&lt;56,'General Basis'!$B$47,IF(G5115&lt;60,'General Basis'!$B$48,IF(G5115&lt;65,'General Basis'!$B$49,'General Basis'!$B$50)))))))))))))</f>
        <v/>
      </c>
      <c r="BI5115" s="744" t="str">
        <f t="shared" si="1765"/>
        <v/>
      </c>
      <c r="BJ5115" s="747" t="str">
        <f t="shared" si="1772"/>
        <v/>
      </c>
      <c r="BK5115" s="498" t="str">
        <f t="shared" si="1766"/>
        <v/>
      </c>
      <c r="BL5115" s="498" t="str">
        <f t="shared" si="1767"/>
        <v/>
      </c>
    </row>
    <row r="5116" spans="1:64" x14ac:dyDescent="0.25">
      <c r="A5116" s="762">
        <f t="shared" si="1768"/>
        <v>5111</v>
      </c>
      <c r="B5116" s="229"/>
      <c r="C5116" s="223"/>
      <c r="D5116" s="224"/>
      <c r="E5116" s="225"/>
      <c r="F5116" s="1036" t="str">
        <f t="shared" si="1774"/>
        <v/>
      </c>
      <c r="G5116" s="1037" t="str">
        <f t="shared" si="1769"/>
        <v/>
      </c>
      <c r="H5116" s="225"/>
      <c r="I5116" s="1013"/>
      <c r="J5116" s="1013"/>
      <c r="K5116" s="1028"/>
      <c r="L5116" s="1035" t="str">
        <f t="shared" si="1773"/>
        <v/>
      </c>
      <c r="S5116" s="498"/>
      <c r="AJ5116" s="498"/>
      <c r="AM5116" s="498">
        <f t="shared" si="1754"/>
        <v>0</v>
      </c>
      <c r="AN5116" s="498">
        <f t="shared" si="1755"/>
        <v>0</v>
      </c>
      <c r="AO5116" s="498">
        <f t="shared" si="1756"/>
        <v>0</v>
      </c>
      <c r="AP5116" s="498">
        <f t="shared" si="1775"/>
        <v>0</v>
      </c>
      <c r="AQ5116" s="498">
        <f t="shared" si="1770"/>
        <v>0</v>
      </c>
      <c r="AU5116" s="498">
        <f t="shared" si="1757"/>
        <v>0</v>
      </c>
      <c r="AV5116" s="498">
        <f t="shared" si="1758"/>
        <v>0</v>
      </c>
      <c r="AW5116" s="498">
        <f t="shared" si="1759"/>
        <v>0</v>
      </c>
      <c r="AX5116" s="498">
        <f t="shared" si="1760"/>
        <v>0</v>
      </c>
      <c r="AY5116" s="498">
        <f t="shared" si="1761"/>
        <v>0</v>
      </c>
      <c r="BB5116" s="498" t="str">
        <f t="shared" si="1762"/>
        <v/>
      </c>
      <c r="BC5116" s="743" t="str">
        <f t="shared" si="1763"/>
        <v/>
      </c>
      <c r="BD5116" s="743" t="str">
        <f t="shared" si="1764"/>
        <v/>
      </c>
      <c r="BE5116" s="743" t="str">
        <f>IF(D5116="","",VLOOKUP(D5116,'General Basis'!$J$39:$K$46,2,0))</f>
        <v/>
      </c>
      <c r="BF5116" s="744" t="str">
        <f>IF(D5116="","",VLOOKUP(D5116,'General Basis'!$J$39:$L$46,3,0))</f>
        <v/>
      </c>
      <c r="BG5116" s="744" t="str">
        <f t="shared" si="1771"/>
        <v/>
      </c>
      <c r="BH5116" s="744" t="str">
        <f>IF(G5116="","",IF(BF5116="Abu Dhabi",IF(G5116&lt;18,'General Basis'!$C$39,IF(G5116&lt;41,'General Basis'!$C$40,IF(G5116&lt;60,'General Basis'!$C$41,IF(G5116&lt;65,'General Basis'!$C$42,'General Basis'!$C$43)))),IF(G5116&lt;11,'General Basis'!$B$39,IF(G5116&lt;18,'General Basis'!$B$40,IF(G5116&lt;26,'General Basis'!$B$41,IF(G5116&lt;31,'General Basis'!$B$42,IF(G5116&lt;36,'General Basis'!$B$43,IF(G5116&lt;41,'General Basis'!$B$44,IF(G5116&lt;46,'General Basis'!$B$45,IF(G5116&lt;51,'General Basis'!$B$46,IF(G5116&lt;56,'General Basis'!$B$47,IF(G5116&lt;60,'General Basis'!$B$48,IF(G5116&lt;65,'General Basis'!$B$49,'General Basis'!$B$50)))))))))))))</f>
        <v/>
      </c>
      <c r="BI5116" s="744" t="str">
        <f t="shared" si="1765"/>
        <v/>
      </c>
      <c r="BJ5116" s="747" t="str">
        <f t="shared" si="1772"/>
        <v/>
      </c>
      <c r="BK5116" s="498" t="str">
        <f t="shared" si="1766"/>
        <v/>
      </c>
      <c r="BL5116" s="498" t="str">
        <f t="shared" si="1767"/>
        <v/>
      </c>
    </row>
    <row r="5117" spans="1:64" x14ac:dyDescent="0.25">
      <c r="A5117" s="762">
        <f t="shared" si="1768"/>
        <v>5112</v>
      </c>
      <c r="B5117" s="229"/>
      <c r="C5117" s="223"/>
      <c r="D5117" s="224"/>
      <c r="E5117" s="225"/>
      <c r="F5117" s="1036" t="str">
        <f t="shared" si="1774"/>
        <v/>
      </c>
      <c r="G5117" s="1037" t="str">
        <f t="shared" si="1769"/>
        <v/>
      </c>
      <c r="H5117" s="225"/>
      <c r="I5117" s="1013"/>
      <c r="J5117" s="1013"/>
      <c r="K5117" s="1028"/>
      <c r="L5117" s="1035" t="str">
        <f t="shared" si="1773"/>
        <v/>
      </c>
      <c r="S5117" s="498"/>
      <c r="AJ5117" s="498"/>
      <c r="AM5117" s="498">
        <f t="shared" si="1754"/>
        <v>0</v>
      </c>
      <c r="AN5117" s="498">
        <f t="shared" si="1755"/>
        <v>0</v>
      </c>
      <c r="AO5117" s="498">
        <f t="shared" si="1756"/>
        <v>0</v>
      </c>
      <c r="AP5117" s="498">
        <f t="shared" si="1775"/>
        <v>0</v>
      </c>
      <c r="AQ5117" s="498">
        <f t="shared" si="1770"/>
        <v>0</v>
      </c>
      <c r="AU5117" s="498">
        <f t="shared" si="1757"/>
        <v>0</v>
      </c>
      <c r="AV5117" s="498">
        <f t="shared" si="1758"/>
        <v>0</v>
      </c>
      <c r="AW5117" s="498">
        <f t="shared" si="1759"/>
        <v>0</v>
      </c>
      <c r="AX5117" s="498">
        <f t="shared" si="1760"/>
        <v>0</v>
      </c>
      <c r="AY5117" s="498">
        <f t="shared" si="1761"/>
        <v>0</v>
      </c>
      <c r="BB5117" s="498" t="str">
        <f t="shared" si="1762"/>
        <v/>
      </c>
      <c r="BC5117" s="743" t="str">
        <f t="shared" si="1763"/>
        <v/>
      </c>
      <c r="BD5117" s="743" t="str">
        <f t="shared" si="1764"/>
        <v/>
      </c>
      <c r="BE5117" s="743" t="str">
        <f>IF(D5117="","",VLOOKUP(D5117,'General Basis'!$J$39:$K$46,2,0))</f>
        <v/>
      </c>
      <c r="BF5117" s="744" t="str">
        <f>IF(D5117="","",VLOOKUP(D5117,'General Basis'!$J$39:$L$46,3,0))</f>
        <v/>
      </c>
      <c r="BG5117" s="744" t="str">
        <f t="shared" si="1771"/>
        <v/>
      </c>
      <c r="BH5117" s="744" t="str">
        <f>IF(G5117="","",IF(BF5117="Abu Dhabi",IF(G5117&lt;18,'General Basis'!$C$39,IF(G5117&lt;41,'General Basis'!$C$40,IF(G5117&lt;60,'General Basis'!$C$41,IF(G5117&lt;65,'General Basis'!$C$42,'General Basis'!$C$43)))),IF(G5117&lt;11,'General Basis'!$B$39,IF(G5117&lt;18,'General Basis'!$B$40,IF(G5117&lt;26,'General Basis'!$B$41,IF(G5117&lt;31,'General Basis'!$B$42,IF(G5117&lt;36,'General Basis'!$B$43,IF(G5117&lt;41,'General Basis'!$B$44,IF(G5117&lt;46,'General Basis'!$B$45,IF(G5117&lt;51,'General Basis'!$B$46,IF(G5117&lt;56,'General Basis'!$B$47,IF(G5117&lt;60,'General Basis'!$B$48,IF(G5117&lt;65,'General Basis'!$B$49,'General Basis'!$B$50)))))))))))))</f>
        <v/>
      </c>
      <c r="BI5117" s="744" t="str">
        <f t="shared" si="1765"/>
        <v/>
      </c>
      <c r="BJ5117" s="747" t="str">
        <f t="shared" si="1772"/>
        <v/>
      </c>
      <c r="BK5117" s="498" t="str">
        <f t="shared" si="1766"/>
        <v/>
      </c>
      <c r="BL5117" s="498" t="str">
        <f t="shared" si="1767"/>
        <v/>
      </c>
    </row>
    <row r="5118" spans="1:64" x14ac:dyDescent="0.25">
      <c r="A5118" s="762">
        <f t="shared" si="1768"/>
        <v>5113</v>
      </c>
      <c r="B5118" s="229"/>
      <c r="C5118" s="223"/>
      <c r="D5118" s="224"/>
      <c r="E5118" s="225"/>
      <c r="F5118" s="1036" t="str">
        <f t="shared" si="1774"/>
        <v/>
      </c>
      <c r="G5118" s="1037" t="str">
        <f t="shared" si="1769"/>
        <v/>
      </c>
      <c r="H5118" s="225"/>
      <c r="I5118" s="1013"/>
      <c r="J5118" s="1013"/>
      <c r="K5118" s="1028"/>
      <c r="L5118" s="1035" t="str">
        <f t="shared" si="1773"/>
        <v/>
      </c>
      <c r="S5118" s="498"/>
      <c r="AJ5118" s="498"/>
      <c r="AM5118" s="498">
        <f t="shared" si="1754"/>
        <v>0</v>
      </c>
      <c r="AN5118" s="498">
        <f t="shared" si="1755"/>
        <v>0</v>
      </c>
      <c r="AO5118" s="498">
        <f t="shared" si="1756"/>
        <v>0</v>
      </c>
      <c r="AP5118" s="498">
        <f t="shared" si="1775"/>
        <v>0</v>
      </c>
      <c r="AQ5118" s="498">
        <f t="shared" si="1770"/>
        <v>0</v>
      </c>
      <c r="AU5118" s="498">
        <f t="shared" si="1757"/>
        <v>0</v>
      </c>
      <c r="AV5118" s="498">
        <f t="shared" si="1758"/>
        <v>0</v>
      </c>
      <c r="AW5118" s="498">
        <f t="shared" si="1759"/>
        <v>0</v>
      </c>
      <c r="AX5118" s="498">
        <f t="shared" si="1760"/>
        <v>0</v>
      </c>
      <c r="AY5118" s="498">
        <f t="shared" si="1761"/>
        <v>0</v>
      </c>
      <c r="BB5118" s="498" t="str">
        <f t="shared" si="1762"/>
        <v/>
      </c>
      <c r="BC5118" s="743" t="str">
        <f t="shared" si="1763"/>
        <v/>
      </c>
      <c r="BD5118" s="743" t="str">
        <f t="shared" si="1764"/>
        <v/>
      </c>
      <c r="BE5118" s="743" t="str">
        <f>IF(D5118="","",VLOOKUP(D5118,'General Basis'!$J$39:$K$46,2,0))</f>
        <v/>
      </c>
      <c r="BF5118" s="744" t="str">
        <f>IF(D5118="","",VLOOKUP(D5118,'General Basis'!$J$39:$L$46,3,0))</f>
        <v/>
      </c>
      <c r="BG5118" s="744" t="str">
        <f t="shared" si="1771"/>
        <v/>
      </c>
      <c r="BH5118" s="744" t="str">
        <f>IF(G5118="","",IF(BF5118="Abu Dhabi",IF(G5118&lt;18,'General Basis'!$C$39,IF(G5118&lt;41,'General Basis'!$C$40,IF(G5118&lt;60,'General Basis'!$C$41,IF(G5118&lt;65,'General Basis'!$C$42,'General Basis'!$C$43)))),IF(G5118&lt;11,'General Basis'!$B$39,IF(G5118&lt;18,'General Basis'!$B$40,IF(G5118&lt;26,'General Basis'!$B$41,IF(G5118&lt;31,'General Basis'!$B$42,IF(G5118&lt;36,'General Basis'!$B$43,IF(G5118&lt;41,'General Basis'!$B$44,IF(G5118&lt;46,'General Basis'!$B$45,IF(G5118&lt;51,'General Basis'!$B$46,IF(G5118&lt;56,'General Basis'!$B$47,IF(G5118&lt;60,'General Basis'!$B$48,IF(G5118&lt;65,'General Basis'!$B$49,'General Basis'!$B$50)))))))))))))</f>
        <v/>
      </c>
      <c r="BI5118" s="744" t="str">
        <f t="shared" si="1765"/>
        <v/>
      </c>
      <c r="BJ5118" s="747" t="str">
        <f t="shared" si="1772"/>
        <v/>
      </c>
      <c r="BK5118" s="498" t="str">
        <f t="shared" si="1766"/>
        <v/>
      </c>
      <c r="BL5118" s="498" t="str">
        <f t="shared" si="1767"/>
        <v/>
      </c>
    </row>
    <row r="5119" spans="1:64" x14ac:dyDescent="0.25">
      <c r="A5119" s="762">
        <f t="shared" si="1768"/>
        <v>5114</v>
      </c>
      <c r="B5119" s="229"/>
      <c r="C5119" s="223"/>
      <c r="D5119" s="224"/>
      <c r="E5119" s="225"/>
      <c r="F5119" s="1036" t="str">
        <f t="shared" si="1774"/>
        <v/>
      </c>
      <c r="G5119" s="1037" t="str">
        <f t="shared" si="1769"/>
        <v/>
      </c>
      <c r="H5119" s="225"/>
      <c r="I5119" s="1013"/>
      <c r="J5119" s="1013"/>
      <c r="K5119" s="1028"/>
      <c r="L5119" s="1035" t="str">
        <f t="shared" si="1773"/>
        <v/>
      </c>
      <c r="S5119" s="498"/>
      <c r="AJ5119" s="498"/>
      <c r="AM5119" s="498">
        <f t="shared" si="1754"/>
        <v>0</v>
      </c>
      <c r="AN5119" s="498">
        <f t="shared" si="1755"/>
        <v>0</v>
      </c>
      <c r="AO5119" s="498">
        <f t="shared" si="1756"/>
        <v>0</v>
      </c>
      <c r="AP5119" s="498">
        <f t="shared" si="1775"/>
        <v>0</v>
      </c>
      <c r="AQ5119" s="498">
        <f t="shared" si="1770"/>
        <v>0</v>
      </c>
      <c r="AU5119" s="498">
        <f t="shared" si="1757"/>
        <v>0</v>
      </c>
      <c r="AV5119" s="498">
        <f t="shared" si="1758"/>
        <v>0</v>
      </c>
      <c r="AW5119" s="498">
        <f t="shared" si="1759"/>
        <v>0</v>
      </c>
      <c r="AX5119" s="498">
        <f t="shared" si="1760"/>
        <v>0</v>
      </c>
      <c r="AY5119" s="498">
        <f t="shared" si="1761"/>
        <v>0</v>
      </c>
      <c r="BB5119" s="498" t="str">
        <f t="shared" si="1762"/>
        <v/>
      </c>
      <c r="BC5119" s="743" t="str">
        <f t="shared" si="1763"/>
        <v/>
      </c>
      <c r="BD5119" s="743" t="str">
        <f t="shared" si="1764"/>
        <v/>
      </c>
      <c r="BE5119" s="743" t="str">
        <f>IF(D5119="","",VLOOKUP(D5119,'General Basis'!$J$39:$K$46,2,0))</f>
        <v/>
      </c>
      <c r="BF5119" s="744" t="str">
        <f>IF(D5119="","",VLOOKUP(D5119,'General Basis'!$J$39:$L$46,3,0))</f>
        <v/>
      </c>
      <c r="BG5119" s="744" t="str">
        <f t="shared" si="1771"/>
        <v/>
      </c>
      <c r="BH5119" s="744" t="str">
        <f>IF(G5119="","",IF(BF5119="Abu Dhabi",IF(G5119&lt;18,'General Basis'!$C$39,IF(G5119&lt;41,'General Basis'!$C$40,IF(G5119&lt;60,'General Basis'!$C$41,IF(G5119&lt;65,'General Basis'!$C$42,'General Basis'!$C$43)))),IF(G5119&lt;11,'General Basis'!$B$39,IF(G5119&lt;18,'General Basis'!$B$40,IF(G5119&lt;26,'General Basis'!$B$41,IF(G5119&lt;31,'General Basis'!$B$42,IF(G5119&lt;36,'General Basis'!$B$43,IF(G5119&lt;41,'General Basis'!$B$44,IF(G5119&lt;46,'General Basis'!$B$45,IF(G5119&lt;51,'General Basis'!$B$46,IF(G5119&lt;56,'General Basis'!$B$47,IF(G5119&lt;60,'General Basis'!$B$48,IF(G5119&lt;65,'General Basis'!$B$49,'General Basis'!$B$50)))))))))))))</f>
        <v/>
      </c>
      <c r="BI5119" s="744" t="str">
        <f t="shared" si="1765"/>
        <v/>
      </c>
      <c r="BJ5119" s="747" t="str">
        <f t="shared" si="1772"/>
        <v/>
      </c>
      <c r="BK5119" s="498" t="str">
        <f t="shared" si="1766"/>
        <v/>
      </c>
      <c r="BL5119" s="498" t="str">
        <f t="shared" si="1767"/>
        <v/>
      </c>
    </row>
    <row r="5120" spans="1:64" x14ac:dyDescent="0.25">
      <c r="A5120" s="762">
        <f t="shared" si="1768"/>
        <v>5115</v>
      </c>
      <c r="B5120" s="229"/>
      <c r="C5120" s="223"/>
      <c r="D5120" s="224"/>
      <c r="E5120" s="225"/>
      <c r="F5120" s="1036" t="str">
        <f t="shared" si="1774"/>
        <v/>
      </c>
      <c r="G5120" s="1037" t="str">
        <f t="shared" si="1769"/>
        <v/>
      </c>
      <c r="H5120" s="225"/>
      <c r="I5120" s="1013"/>
      <c r="J5120" s="1013"/>
      <c r="K5120" s="1028"/>
      <c r="L5120" s="1035" t="str">
        <f t="shared" si="1773"/>
        <v/>
      </c>
      <c r="S5120" s="498"/>
      <c r="AJ5120" s="498"/>
      <c r="AM5120" s="498">
        <f t="shared" si="1754"/>
        <v>0</v>
      </c>
      <c r="AN5120" s="498">
        <f t="shared" si="1755"/>
        <v>0</v>
      </c>
      <c r="AO5120" s="498">
        <f t="shared" si="1756"/>
        <v>0</v>
      </c>
      <c r="AP5120" s="498">
        <f t="shared" si="1775"/>
        <v>0</v>
      </c>
      <c r="AQ5120" s="498">
        <f t="shared" si="1770"/>
        <v>0</v>
      </c>
      <c r="AU5120" s="498">
        <f t="shared" si="1757"/>
        <v>0</v>
      </c>
      <c r="AV5120" s="498">
        <f t="shared" si="1758"/>
        <v>0</v>
      </c>
      <c r="AW5120" s="498">
        <f t="shared" si="1759"/>
        <v>0</v>
      </c>
      <c r="AX5120" s="498">
        <f t="shared" si="1760"/>
        <v>0</v>
      </c>
      <c r="AY5120" s="498">
        <f t="shared" si="1761"/>
        <v>0</v>
      </c>
      <c r="BB5120" s="498" t="str">
        <f t="shared" si="1762"/>
        <v/>
      </c>
      <c r="BC5120" s="743" t="str">
        <f t="shared" si="1763"/>
        <v/>
      </c>
      <c r="BD5120" s="743" t="str">
        <f t="shared" si="1764"/>
        <v/>
      </c>
      <c r="BE5120" s="743" t="str">
        <f>IF(D5120="","",VLOOKUP(D5120,'General Basis'!$J$39:$K$46,2,0))</f>
        <v/>
      </c>
      <c r="BF5120" s="744" t="str">
        <f>IF(D5120="","",VLOOKUP(D5120,'General Basis'!$J$39:$L$46,3,0))</f>
        <v/>
      </c>
      <c r="BG5120" s="744" t="str">
        <f t="shared" si="1771"/>
        <v/>
      </c>
      <c r="BH5120" s="744" t="str">
        <f>IF(G5120="","",IF(BF5120="Abu Dhabi",IF(G5120&lt;18,'General Basis'!$C$39,IF(G5120&lt;41,'General Basis'!$C$40,IF(G5120&lt;60,'General Basis'!$C$41,IF(G5120&lt;65,'General Basis'!$C$42,'General Basis'!$C$43)))),IF(G5120&lt;11,'General Basis'!$B$39,IF(G5120&lt;18,'General Basis'!$B$40,IF(G5120&lt;26,'General Basis'!$B$41,IF(G5120&lt;31,'General Basis'!$B$42,IF(G5120&lt;36,'General Basis'!$B$43,IF(G5120&lt;41,'General Basis'!$B$44,IF(G5120&lt;46,'General Basis'!$B$45,IF(G5120&lt;51,'General Basis'!$B$46,IF(G5120&lt;56,'General Basis'!$B$47,IF(G5120&lt;60,'General Basis'!$B$48,IF(G5120&lt;65,'General Basis'!$B$49,'General Basis'!$B$50)))))))))))))</f>
        <v/>
      </c>
      <c r="BI5120" s="744" t="str">
        <f t="shared" si="1765"/>
        <v/>
      </c>
      <c r="BJ5120" s="747" t="str">
        <f t="shared" si="1772"/>
        <v/>
      </c>
      <c r="BK5120" s="498" t="str">
        <f t="shared" si="1766"/>
        <v/>
      </c>
      <c r="BL5120" s="498" t="str">
        <f t="shared" si="1767"/>
        <v/>
      </c>
    </row>
    <row r="5121" spans="1:64" x14ac:dyDescent="0.25">
      <c r="A5121" s="762">
        <f t="shared" si="1768"/>
        <v>5116</v>
      </c>
      <c r="B5121" s="229"/>
      <c r="C5121" s="223"/>
      <c r="D5121" s="224"/>
      <c r="E5121" s="225"/>
      <c r="F5121" s="1036" t="str">
        <f t="shared" si="1774"/>
        <v/>
      </c>
      <c r="G5121" s="1037" t="str">
        <f t="shared" si="1769"/>
        <v/>
      </c>
      <c r="H5121" s="225"/>
      <c r="I5121" s="1013"/>
      <c r="J5121" s="1013"/>
      <c r="K5121" s="1028"/>
      <c r="L5121" s="1035" t="str">
        <f t="shared" si="1773"/>
        <v/>
      </c>
      <c r="S5121" s="498"/>
      <c r="AJ5121" s="498"/>
      <c r="AM5121" s="498">
        <f t="shared" si="1754"/>
        <v>0</v>
      </c>
      <c r="AN5121" s="498">
        <f t="shared" si="1755"/>
        <v>0</v>
      </c>
      <c r="AO5121" s="498">
        <f t="shared" si="1756"/>
        <v>0</v>
      </c>
      <c r="AP5121" s="498">
        <f t="shared" si="1775"/>
        <v>0</v>
      </c>
      <c r="AQ5121" s="498">
        <f t="shared" si="1770"/>
        <v>0</v>
      </c>
      <c r="AU5121" s="498">
        <f t="shared" si="1757"/>
        <v>0</v>
      </c>
      <c r="AV5121" s="498">
        <f t="shared" si="1758"/>
        <v>0</v>
      </c>
      <c r="AW5121" s="498">
        <f t="shared" si="1759"/>
        <v>0</v>
      </c>
      <c r="AX5121" s="498">
        <f t="shared" si="1760"/>
        <v>0</v>
      </c>
      <c r="AY5121" s="498">
        <f t="shared" si="1761"/>
        <v>0</v>
      </c>
      <c r="BB5121" s="498" t="str">
        <f t="shared" si="1762"/>
        <v/>
      </c>
      <c r="BC5121" s="743" t="str">
        <f t="shared" si="1763"/>
        <v/>
      </c>
      <c r="BD5121" s="743" t="str">
        <f t="shared" si="1764"/>
        <v/>
      </c>
      <c r="BE5121" s="743" t="str">
        <f>IF(D5121="","",VLOOKUP(D5121,'General Basis'!$J$39:$K$46,2,0))</f>
        <v/>
      </c>
      <c r="BF5121" s="744" t="str">
        <f>IF(D5121="","",VLOOKUP(D5121,'General Basis'!$J$39:$L$46,3,0))</f>
        <v/>
      </c>
      <c r="BG5121" s="744" t="str">
        <f t="shared" si="1771"/>
        <v/>
      </c>
      <c r="BH5121" s="744" t="str">
        <f>IF(G5121="","",IF(BF5121="Abu Dhabi",IF(G5121&lt;18,'General Basis'!$C$39,IF(G5121&lt;41,'General Basis'!$C$40,IF(G5121&lt;60,'General Basis'!$C$41,IF(G5121&lt;65,'General Basis'!$C$42,'General Basis'!$C$43)))),IF(G5121&lt;11,'General Basis'!$B$39,IF(G5121&lt;18,'General Basis'!$B$40,IF(G5121&lt;26,'General Basis'!$B$41,IF(G5121&lt;31,'General Basis'!$B$42,IF(G5121&lt;36,'General Basis'!$B$43,IF(G5121&lt;41,'General Basis'!$B$44,IF(G5121&lt;46,'General Basis'!$B$45,IF(G5121&lt;51,'General Basis'!$B$46,IF(G5121&lt;56,'General Basis'!$B$47,IF(G5121&lt;60,'General Basis'!$B$48,IF(G5121&lt;65,'General Basis'!$B$49,'General Basis'!$B$50)))))))))))))</f>
        <v/>
      </c>
      <c r="BI5121" s="744" t="str">
        <f t="shared" si="1765"/>
        <v/>
      </c>
      <c r="BJ5121" s="747" t="str">
        <f t="shared" si="1772"/>
        <v/>
      </c>
      <c r="BK5121" s="498" t="str">
        <f t="shared" si="1766"/>
        <v/>
      </c>
      <c r="BL5121" s="498" t="str">
        <f t="shared" si="1767"/>
        <v/>
      </c>
    </row>
    <row r="5122" spans="1:64" x14ac:dyDescent="0.25">
      <c r="A5122" s="762">
        <f t="shared" si="1768"/>
        <v>5117</v>
      </c>
      <c r="B5122" s="229"/>
      <c r="C5122" s="223"/>
      <c r="D5122" s="224"/>
      <c r="E5122" s="225"/>
      <c r="F5122" s="1036" t="str">
        <f t="shared" si="1774"/>
        <v/>
      </c>
      <c r="G5122" s="1037" t="str">
        <f t="shared" si="1769"/>
        <v/>
      </c>
      <c r="H5122" s="225"/>
      <c r="I5122" s="1013"/>
      <c r="J5122" s="1013"/>
      <c r="K5122" s="1028"/>
      <c r="L5122" s="1035" t="str">
        <f t="shared" si="1773"/>
        <v/>
      </c>
      <c r="S5122" s="498"/>
      <c r="AJ5122" s="498"/>
      <c r="AM5122" s="498">
        <f t="shared" si="1754"/>
        <v>0</v>
      </c>
      <c r="AN5122" s="498">
        <f t="shared" si="1755"/>
        <v>0</v>
      </c>
      <c r="AO5122" s="498">
        <f t="shared" si="1756"/>
        <v>0</v>
      </c>
      <c r="AP5122" s="498">
        <f t="shared" si="1775"/>
        <v>0</v>
      </c>
      <c r="AQ5122" s="498">
        <f t="shared" si="1770"/>
        <v>0</v>
      </c>
      <c r="AU5122" s="498">
        <f t="shared" si="1757"/>
        <v>0</v>
      </c>
      <c r="AV5122" s="498">
        <f t="shared" si="1758"/>
        <v>0</v>
      </c>
      <c r="AW5122" s="498">
        <f t="shared" si="1759"/>
        <v>0</v>
      </c>
      <c r="AX5122" s="498">
        <f t="shared" si="1760"/>
        <v>0</v>
      </c>
      <c r="AY5122" s="498">
        <f t="shared" si="1761"/>
        <v>0</v>
      </c>
      <c r="BB5122" s="498" t="str">
        <f t="shared" si="1762"/>
        <v/>
      </c>
      <c r="BC5122" s="743" t="str">
        <f t="shared" si="1763"/>
        <v/>
      </c>
      <c r="BD5122" s="743" t="str">
        <f t="shared" si="1764"/>
        <v/>
      </c>
      <c r="BE5122" s="743" t="str">
        <f>IF(D5122="","",VLOOKUP(D5122,'General Basis'!$J$39:$K$46,2,0))</f>
        <v/>
      </c>
      <c r="BF5122" s="744" t="str">
        <f>IF(D5122="","",VLOOKUP(D5122,'General Basis'!$J$39:$L$46,3,0))</f>
        <v/>
      </c>
      <c r="BG5122" s="744" t="str">
        <f t="shared" si="1771"/>
        <v/>
      </c>
      <c r="BH5122" s="744" t="str">
        <f>IF(G5122="","",IF(BF5122="Abu Dhabi",IF(G5122&lt;18,'General Basis'!$C$39,IF(G5122&lt;41,'General Basis'!$C$40,IF(G5122&lt;60,'General Basis'!$C$41,IF(G5122&lt;65,'General Basis'!$C$42,'General Basis'!$C$43)))),IF(G5122&lt;11,'General Basis'!$B$39,IF(G5122&lt;18,'General Basis'!$B$40,IF(G5122&lt;26,'General Basis'!$B$41,IF(G5122&lt;31,'General Basis'!$B$42,IF(G5122&lt;36,'General Basis'!$B$43,IF(G5122&lt;41,'General Basis'!$B$44,IF(G5122&lt;46,'General Basis'!$B$45,IF(G5122&lt;51,'General Basis'!$B$46,IF(G5122&lt;56,'General Basis'!$B$47,IF(G5122&lt;60,'General Basis'!$B$48,IF(G5122&lt;65,'General Basis'!$B$49,'General Basis'!$B$50)))))))))))))</f>
        <v/>
      </c>
      <c r="BI5122" s="744" t="str">
        <f t="shared" si="1765"/>
        <v/>
      </c>
      <c r="BJ5122" s="747" t="str">
        <f t="shared" si="1772"/>
        <v/>
      </c>
      <c r="BK5122" s="498" t="str">
        <f t="shared" si="1766"/>
        <v/>
      </c>
      <c r="BL5122" s="498" t="str">
        <f t="shared" si="1767"/>
        <v/>
      </c>
    </row>
    <row r="5123" spans="1:64" x14ac:dyDescent="0.25">
      <c r="A5123" s="762">
        <f t="shared" si="1768"/>
        <v>5118</v>
      </c>
      <c r="B5123" s="229"/>
      <c r="C5123" s="223"/>
      <c r="D5123" s="224"/>
      <c r="E5123" s="225"/>
      <c r="F5123" s="1036" t="str">
        <f t="shared" si="1774"/>
        <v/>
      </c>
      <c r="G5123" s="1037" t="str">
        <f t="shared" si="1769"/>
        <v/>
      </c>
      <c r="H5123" s="225"/>
      <c r="I5123" s="1013"/>
      <c r="J5123" s="1013"/>
      <c r="K5123" s="1028"/>
      <c r="L5123" s="1035" t="str">
        <f t="shared" si="1773"/>
        <v/>
      </c>
      <c r="S5123" s="498"/>
      <c r="AJ5123" s="498"/>
      <c r="AM5123" s="498">
        <f t="shared" si="1754"/>
        <v>0</v>
      </c>
      <c r="AN5123" s="498">
        <f t="shared" si="1755"/>
        <v>0</v>
      </c>
      <c r="AO5123" s="498">
        <f t="shared" si="1756"/>
        <v>0</v>
      </c>
      <c r="AP5123" s="498">
        <f t="shared" si="1775"/>
        <v>0</v>
      </c>
      <c r="AQ5123" s="498">
        <f t="shared" si="1770"/>
        <v>0</v>
      </c>
      <c r="AU5123" s="498">
        <f t="shared" si="1757"/>
        <v>0</v>
      </c>
      <c r="AV5123" s="498">
        <f t="shared" si="1758"/>
        <v>0</v>
      </c>
      <c r="AW5123" s="498">
        <f t="shared" si="1759"/>
        <v>0</v>
      </c>
      <c r="AX5123" s="498">
        <f t="shared" si="1760"/>
        <v>0</v>
      </c>
      <c r="AY5123" s="498">
        <f t="shared" si="1761"/>
        <v>0</v>
      </c>
      <c r="BB5123" s="498" t="str">
        <f t="shared" si="1762"/>
        <v/>
      </c>
      <c r="BC5123" s="743" t="str">
        <f t="shared" si="1763"/>
        <v/>
      </c>
      <c r="BD5123" s="743" t="str">
        <f t="shared" si="1764"/>
        <v/>
      </c>
      <c r="BE5123" s="743" t="str">
        <f>IF(D5123="","",VLOOKUP(D5123,'General Basis'!$J$39:$K$46,2,0))</f>
        <v/>
      </c>
      <c r="BF5123" s="744" t="str">
        <f>IF(D5123="","",VLOOKUP(D5123,'General Basis'!$J$39:$L$46,3,0))</f>
        <v/>
      </c>
      <c r="BG5123" s="744" t="str">
        <f t="shared" si="1771"/>
        <v/>
      </c>
      <c r="BH5123" s="744" t="str">
        <f>IF(G5123="","",IF(BF5123="Abu Dhabi",IF(G5123&lt;18,'General Basis'!$C$39,IF(G5123&lt;41,'General Basis'!$C$40,IF(G5123&lt;60,'General Basis'!$C$41,IF(G5123&lt;65,'General Basis'!$C$42,'General Basis'!$C$43)))),IF(G5123&lt;11,'General Basis'!$B$39,IF(G5123&lt;18,'General Basis'!$B$40,IF(G5123&lt;26,'General Basis'!$B$41,IF(G5123&lt;31,'General Basis'!$B$42,IF(G5123&lt;36,'General Basis'!$B$43,IF(G5123&lt;41,'General Basis'!$B$44,IF(G5123&lt;46,'General Basis'!$B$45,IF(G5123&lt;51,'General Basis'!$B$46,IF(G5123&lt;56,'General Basis'!$B$47,IF(G5123&lt;60,'General Basis'!$B$48,IF(G5123&lt;65,'General Basis'!$B$49,'General Basis'!$B$50)))))))))))))</f>
        <v/>
      </c>
      <c r="BI5123" s="744" t="str">
        <f t="shared" si="1765"/>
        <v/>
      </c>
      <c r="BJ5123" s="747" t="str">
        <f t="shared" si="1772"/>
        <v/>
      </c>
      <c r="BK5123" s="498" t="str">
        <f t="shared" si="1766"/>
        <v/>
      </c>
      <c r="BL5123" s="498" t="str">
        <f t="shared" si="1767"/>
        <v/>
      </c>
    </row>
    <row r="5124" spans="1:64" x14ac:dyDescent="0.25">
      <c r="A5124" s="762">
        <f t="shared" si="1768"/>
        <v>5119</v>
      </c>
      <c r="B5124" s="229"/>
      <c r="C5124" s="223"/>
      <c r="D5124" s="224"/>
      <c r="E5124" s="225"/>
      <c r="F5124" s="1036" t="str">
        <f t="shared" si="1774"/>
        <v/>
      </c>
      <c r="G5124" s="1037" t="str">
        <f t="shared" si="1769"/>
        <v/>
      </c>
      <c r="H5124" s="225"/>
      <c r="I5124" s="1013"/>
      <c r="J5124" s="1013"/>
      <c r="K5124" s="1028"/>
      <c r="L5124" s="1035" t="str">
        <f t="shared" si="1773"/>
        <v/>
      </c>
      <c r="S5124" s="498"/>
      <c r="AJ5124" s="498"/>
      <c r="AM5124" s="498">
        <f t="shared" si="1754"/>
        <v>0</v>
      </c>
      <c r="AN5124" s="498">
        <f t="shared" si="1755"/>
        <v>0</v>
      </c>
      <c r="AO5124" s="498">
        <f t="shared" si="1756"/>
        <v>0</v>
      </c>
      <c r="AP5124" s="498">
        <f t="shared" si="1775"/>
        <v>0</v>
      </c>
      <c r="AQ5124" s="498">
        <f t="shared" si="1770"/>
        <v>0</v>
      </c>
      <c r="AU5124" s="498">
        <f t="shared" si="1757"/>
        <v>0</v>
      </c>
      <c r="AV5124" s="498">
        <f t="shared" si="1758"/>
        <v>0</v>
      </c>
      <c r="AW5124" s="498">
        <f t="shared" si="1759"/>
        <v>0</v>
      </c>
      <c r="AX5124" s="498">
        <f t="shared" si="1760"/>
        <v>0</v>
      </c>
      <c r="AY5124" s="498">
        <f t="shared" si="1761"/>
        <v>0</v>
      </c>
      <c r="BB5124" s="498" t="str">
        <f t="shared" si="1762"/>
        <v/>
      </c>
      <c r="BC5124" s="743" t="str">
        <f t="shared" si="1763"/>
        <v/>
      </c>
      <c r="BD5124" s="743" t="str">
        <f t="shared" si="1764"/>
        <v/>
      </c>
      <c r="BE5124" s="743" t="str">
        <f>IF(D5124="","",VLOOKUP(D5124,'General Basis'!$J$39:$K$46,2,0))</f>
        <v/>
      </c>
      <c r="BF5124" s="744" t="str">
        <f>IF(D5124="","",VLOOKUP(D5124,'General Basis'!$J$39:$L$46,3,0))</f>
        <v/>
      </c>
      <c r="BG5124" s="744" t="str">
        <f t="shared" si="1771"/>
        <v/>
      </c>
      <c r="BH5124" s="744" t="str">
        <f>IF(G5124="","",IF(BF5124="Abu Dhabi",IF(G5124&lt;18,'General Basis'!$C$39,IF(G5124&lt;41,'General Basis'!$C$40,IF(G5124&lt;60,'General Basis'!$C$41,IF(G5124&lt;65,'General Basis'!$C$42,'General Basis'!$C$43)))),IF(G5124&lt;11,'General Basis'!$B$39,IF(G5124&lt;18,'General Basis'!$B$40,IF(G5124&lt;26,'General Basis'!$B$41,IF(G5124&lt;31,'General Basis'!$B$42,IF(G5124&lt;36,'General Basis'!$B$43,IF(G5124&lt;41,'General Basis'!$B$44,IF(G5124&lt;46,'General Basis'!$B$45,IF(G5124&lt;51,'General Basis'!$B$46,IF(G5124&lt;56,'General Basis'!$B$47,IF(G5124&lt;60,'General Basis'!$B$48,IF(G5124&lt;65,'General Basis'!$B$49,'General Basis'!$B$50)))))))))))))</f>
        <v/>
      </c>
      <c r="BI5124" s="744" t="str">
        <f t="shared" si="1765"/>
        <v/>
      </c>
      <c r="BJ5124" s="747" t="str">
        <f t="shared" si="1772"/>
        <v/>
      </c>
      <c r="BK5124" s="498" t="str">
        <f t="shared" si="1766"/>
        <v/>
      </c>
      <c r="BL5124" s="498" t="str">
        <f t="shared" si="1767"/>
        <v/>
      </c>
    </row>
    <row r="5125" spans="1:64" x14ac:dyDescent="0.25">
      <c r="A5125" s="762">
        <f t="shared" si="1768"/>
        <v>5120</v>
      </c>
      <c r="B5125" s="229"/>
      <c r="C5125" s="223"/>
      <c r="D5125" s="224"/>
      <c r="E5125" s="225"/>
      <c r="F5125" s="1036" t="str">
        <f t="shared" si="1774"/>
        <v/>
      </c>
      <c r="G5125" s="1037" t="str">
        <f t="shared" si="1769"/>
        <v/>
      </c>
      <c r="H5125" s="225"/>
      <c r="I5125" s="1013"/>
      <c r="J5125" s="1013"/>
      <c r="K5125" s="1028"/>
      <c r="L5125" s="1035" t="str">
        <f t="shared" si="1773"/>
        <v/>
      </c>
      <c r="S5125" s="498"/>
      <c r="AJ5125" s="498"/>
      <c r="AM5125" s="498">
        <f t="shared" si="1754"/>
        <v>0</v>
      </c>
      <c r="AN5125" s="498">
        <f t="shared" si="1755"/>
        <v>0</v>
      </c>
      <c r="AO5125" s="498">
        <f t="shared" si="1756"/>
        <v>0</v>
      </c>
      <c r="AP5125" s="498">
        <f t="shared" si="1775"/>
        <v>0</v>
      </c>
      <c r="AQ5125" s="498">
        <f t="shared" si="1770"/>
        <v>0</v>
      </c>
      <c r="AU5125" s="498">
        <f t="shared" si="1757"/>
        <v>0</v>
      </c>
      <c r="AV5125" s="498">
        <f t="shared" si="1758"/>
        <v>0</v>
      </c>
      <c r="AW5125" s="498">
        <f t="shared" si="1759"/>
        <v>0</v>
      </c>
      <c r="AX5125" s="498">
        <f t="shared" si="1760"/>
        <v>0</v>
      </c>
      <c r="AY5125" s="498">
        <f t="shared" si="1761"/>
        <v>0</v>
      </c>
      <c r="BB5125" s="498" t="str">
        <f t="shared" si="1762"/>
        <v/>
      </c>
      <c r="BC5125" s="743" t="str">
        <f t="shared" si="1763"/>
        <v/>
      </c>
      <c r="BD5125" s="743" t="str">
        <f t="shared" si="1764"/>
        <v/>
      </c>
      <c r="BE5125" s="743" t="str">
        <f>IF(D5125="","",VLOOKUP(D5125,'General Basis'!$J$39:$K$46,2,0))</f>
        <v/>
      </c>
      <c r="BF5125" s="744" t="str">
        <f>IF(D5125="","",VLOOKUP(D5125,'General Basis'!$J$39:$L$46,3,0))</f>
        <v/>
      </c>
      <c r="BG5125" s="744" t="str">
        <f t="shared" si="1771"/>
        <v/>
      </c>
      <c r="BH5125" s="744" t="str">
        <f>IF(G5125="","",IF(BF5125="Abu Dhabi",IF(G5125&lt;18,'General Basis'!$C$39,IF(G5125&lt;41,'General Basis'!$C$40,IF(G5125&lt;60,'General Basis'!$C$41,IF(G5125&lt;65,'General Basis'!$C$42,'General Basis'!$C$43)))),IF(G5125&lt;11,'General Basis'!$B$39,IF(G5125&lt;18,'General Basis'!$B$40,IF(G5125&lt;26,'General Basis'!$B$41,IF(G5125&lt;31,'General Basis'!$B$42,IF(G5125&lt;36,'General Basis'!$B$43,IF(G5125&lt;41,'General Basis'!$B$44,IF(G5125&lt;46,'General Basis'!$B$45,IF(G5125&lt;51,'General Basis'!$B$46,IF(G5125&lt;56,'General Basis'!$B$47,IF(G5125&lt;60,'General Basis'!$B$48,IF(G5125&lt;65,'General Basis'!$B$49,'General Basis'!$B$50)))))))))))))</f>
        <v/>
      </c>
      <c r="BI5125" s="744" t="str">
        <f t="shared" si="1765"/>
        <v/>
      </c>
      <c r="BJ5125" s="747" t="str">
        <f t="shared" si="1772"/>
        <v/>
      </c>
      <c r="BK5125" s="498" t="str">
        <f t="shared" si="1766"/>
        <v/>
      </c>
      <c r="BL5125" s="498" t="str">
        <f t="shared" si="1767"/>
        <v/>
      </c>
    </row>
    <row r="5126" spans="1:64" x14ac:dyDescent="0.25">
      <c r="A5126" s="762">
        <f t="shared" si="1768"/>
        <v>5121</v>
      </c>
      <c r="B5126" s="229"/>
      <c r="C5126" s="223"/>
      <c r="D5126" s="224"/>
      <c r="E5126" s="225"/>
      <c r="F5126" s="1036" t="str">
        <f t="shared" si="1774"/>
        <v/>
      </c>
      <c r="G5126" s="1037" t="str">
        <f t="shared" si="1769"/>
        <v/>
      </c>
      <c r="H5126" s="225"/>
      <c r="I5126" s="1013"/>
      <c r="J5126" s="1013"/>
      <c r="K5126" s="1028"/>
      <c r="L5126" s="1035" t="str">
        <f t="shared" si="1773"/>
        <v/>
      </c>
      <c r="S5126" s="498"/>
      <c r="AJ5126" s="498"/>
      <c r="AM5126" s="498">
        <f t="shared" ref="AM5126:AM5189" si="1776">IF(ISTEXT(B5126),1,0)</f>
        <v>0</v>
      </c>
      <c r="AN5126" s="498">
        <f t="shared" ref="AN5126:AN5189" si="1777">IF(ISBLANK(B5126),0,IF(B5126&lt;$AK$6,1,0))</f>
        <v>0</v>
      </c>
      <c r="AO5126" s="498">
        <f t="shared" ref="AO5126:AO5189" si="1778">IF(ISBLANK(B5126),0,IF(B5126&gt;$AK$7,1,0))</f>
        <v>0</v>
      </c>
      <c r="AP5126" s="498">
        <f t="shared" si="1775"/>
        <v>0</v>
      </c>
      <c r="AQ5126" s="498">
        <f t="shared" si="1770"/>
        <v>0</v>
      </c>
      <c r="AU5126" s="498">
        <f t="shared" ref="AU5126:AU5189" si="1779">IF(ISBLANK(B5126),0,1)</f>
        <v>0</v>
      </c>
      <c r="AV5126" s="498">
        <f t="shared" ref="AV5126:AV5189" si="1780">IF(ISBLANK(C5126),0,1)</f>
        <v>0</v>
      </c>
      <c r="AW5126" s="498">
        <f t="shared" ref="AW5126:AW5189" si="1781">IF(ISBLANK(D5126),0,1)</f>
        <v>0</v>
      </c>
      <c r="AX5126" s="498">
        <f t="shared" ref="AX5126:AX5189" si="1782">IF(ISBLANK(E5126),0,1)</f>
        <v>0</v>
      </c>
      <c r="AY5126" s="498">
        <f t="shared" ref="AY5126:AY5189" si="1783">IF(ISBLANK(H5126),0,1)</f>
        <v>0</v>
      </c>
      <c r="BB5126" s="498" t="str">
        <f t="shared" ref="BB5126:BB5189" si="1784">IF(E5126="Principal","Principal",IF(E5126="","","Other"))</f>
        <v/>
      </c>
      <c r="BC5126" s="743" t="str">
        <f t="shared" ref="BC5126:BC5189" si="1785">IF(D5126="","",D5126)</f>
        <v/>
      </c>
      <c r="BD5126" s="743" t="str">
        <f t="shared" ref="BD5126:BD5189" si="1786">IF(E5126="Principal","Employee",IF(E5126="","","Dependent"))</f>
        <v/>
      </c>
      <c r="BE5126" s="743" t="str">
        <f>IF(D5126="","",VLOOKUP(D5126,'General Basis'!$J$39:$K$46,2,0))</f>
        <v/>
      </c>
      <c r="BF5126" s="744" t="str">
        <f>IF(D5126="","",VLOOKUP(D5126,'General Basis'!$J$39:$L$46,3,0))</f>
        <v/>
      </c>
      <c r="BG5126" s="744" t="str">
        <f t="shared" si="1771"/>
        <v/>
      </c>
      <c r="BH5126" s="744" t="str">
        <f>IF(G5126="","",IF(BF5126="Abu Dhabi",IF(G5126&lt;18,'General Basis'!$C$39,IF(G5126&lt;41,'General Basis'!$C$40,IF(G5126&lt;60,'General Basis'!$C$41,IF(G5126&lt;65,'General Basis'!$C$42,'General Basis'!$C$43)))),IF(G5126&lt;11,'General Basis'!$B$39,IF(G5126&lt;18,'General Basis'!$B$40,IF(G5126&lt;26,'General Basis'!$B$41,IF(G5126&lt;31,'General Basis'!$B$42,IF(G5126&lt;36,'General Basis'!$B$43,IF(G5126&lt;41,'General Basis'!$B$44,IF(G5126&lt;46,'General Basis'!$B$45,IF(G5126&lt;51,'General Basis'!$B$46,IF(G5126&lt;56,'General Basis'!$B$47,IF(G5126&lt;60,'General Basis'!$B$48,IF(G5126&lt;65,'General Basis'!$B$49,'General Basis'!$B$50)))))))))))))</f>
        <v/>
      </c>
      <c r="BI5126" s="744" t="str">
        <f t="shared" ref="BI5126:BI5189" si="1787">IF(C5126="","",IF(C5126="M","Male","Female"))</f>
        <v/>
      </c>
      <c r="BJ5126" s="747" t="str">
        <f t="shared" si="1772"/>
        <v/>
      </c>
      <c r="BK5126" s="498" t="str">
        <f t="shared" ref="BK5126:BK5189" si="1788">IF(BD5126="","",IF(AND(BD5126="Employee",BI5126="Male",BF5126="Abu Dhabi",BE5126=GN_Plus),VLOOKUP(BH5126,AUH_MALE_EMP,2,0),IF(AND(BD5126="Employee",BI5126="Male",BF5126="Abu Dhabi",BE5126=GN),VLOOKUP(BH5126,AUH_MALE_EMP,3,0),IF(AND(BD5126="Employee",BI5126="Male",BF5126="Abu Dhabi",BE5126=RN_Plus),VLOOKUP(BH5126,AUH_MALE_EMP,4,0),IF(AND(BD5126="Employee",BI5126="Male",BF5126="Abu Dhabi",BE5126=RN),VLOOKUP(BH5126,AUH_MALE_EMP,5,0),IF(AND(BD5126="Employee",BI5126="Male",BF5126="Abu Dhabi",BE5126=RN_2),VLOOKUP(BH5126,AUH_MALE_EMP,6,0),IF(AND(BD5126="Employee",BI5126="Male",BF5126="Abu Dhabi",BE5126=RN2_minus),VLOOKUP(BH5126,AUH_MALE_EMP,7,0),IF(AND(BD5126="Employee",BI5126="Male",BF5126="Abu Dhabi",BE5126=RN_3),VLOOKUP(BH5126,AUH_MALE_EMP,8,0),IF(AND(BD5126="Employee",BI5126="Male",BF5126="Abu Dhabi",BE5126=VN),VLOOKUP(BH5126,AUH_MALE_EMP,9,0),IF(BD5126="","",IF(AND(BD5126="Employee",BI5126="Female",BF5126="Abu Dhabi",BE5126=GN_Plus),VLOOKUP(BH5126,AUH_FEMALE_EMP,2,0),IF(AND(BD5126="Employee",BI5126="Female",BF5126="Abu Dhabi",BE5126=GN),VLOOKUP(BH5126,AUH_FEMALE_EMP,3,0),IF(AND(BD5126="Employee",BI5126="Female",BF5126="Abu Dhabi",BE5126=RN_Plus),VLOOKUP(BH5126,AUH_FEMALE_EMP,4,0),IF(AND(BD5126="Employee",BI5126="Female",BF5126="Abu Dhabi",BE5126=RN),VLOOKUP(BH5126,AUH_FEMALE_EMP,5,0),IF(AND(BD5126="Employee",BI5126="Female",BF5126="Abu Dhabi",BE5126=RN_2),VLOOKUP(BH5126,AUH_FEMALE_EMP,6,0),IF(AND(BD5126="Employee",BI5126="Female",BF5126="Abu Dhabi",BE5126=RN2_minus),VLOOKUP(BH5126,AUH_FEMALE_EMP,7,0),IF(AND(BD5126="Employee",BI5126="Female",BF5126="Abu Dhabi",BE5126=RN_3),VLOOKUP(BH5126,AUH_FEMALE_EMP,8,0),IF(AND(BD5126="Employee",BI5126="Female",BF5126="Abu Dhabi",BE5126=VN),VLOOKUP(BH5126,AUH_FEMALE_EMP,9,0),IF(BD5126="","",IF(AND(BD5126="Dependent",BI5126="Male",BF5126="Abu Dhabi",BE5126=GN_Plus),VLOOKUP(BH5126,AUH_MALE_DEP,2,0),IF(AND(BD5126="Dependent",BI5126="Male",BF5126="Abu Dhabi",BE5126=GN),VLOOKUP(BH5126,AUH_MALE_DEP,3,0),IF(AND(BD5126="Dependent",BI5126="Male",BF5126="Abu Dhabi",BE5126=RN_Plus),VLOOKUP(BH5126,AUH_MALE_DEP,4,0),IF(AND(BD5126="Dependent",BI5126="Male",BF5126="Abu Dhabi",BE5126=RN),VLOOKUP(BH5126,AUH_MALE_DEP,5,0),IF(AND(BD5126="Dependent",BI5126="Male",BF5126="Abu Dhabi",BE5126=RN_2),VLOOKUP(BH5126,AUH_MALE_DEP,6,0),IF(AND(BD5126="Dependent",BI5126="Male",BF5126="Abu Dhabi",BE5126=RN2_minus),VLOOKUP(BH5126,AUH_MALE_DEP,7,0),IF(AND(BD5126="Dependent",BI5126="Male",BF5126="Abu Dhabi",BE5126=RN_3),VLOOKUP(BH5126,AUH_MALE_DEP,8,0),IF(AND(BD5126="Dependent",BI5126="Male",BF5126="Abu Dhabi",BE5126=VN),VLOOKUP(BH5126,AUH_MALE_DEP,9,0),IF(BD5126="","",IF(AND(BD5126="Dependent",BI5126="Female",BF5126="Abu Dhabi",BE5126=GN_Plus),VLOOKUP(BH5126,AUH_FEMALE_DEP,2,0),IF(AND(BD5126="Dependent",BI5126="Female",BF5126="Abu Dhabi",BE5126=GN),VLOOKUP(BH5126,AUH_FEMALE_DEP,3,0),IF(AND(BD5126="Dependent",BI5126="Female",BF5126="Abu Dhabi",BE5126=RN_Plus),VLOOKUP(BH5126,AUH_FEMALE_DEP,4,0),IF(AND(BD5126="Dependent",BI5126="Female",BF5126="Abu Dhabi",BE5126=RN),VLOOKUP(BH5126,AUH_FEMALE_DEP,5,0),IF(AND(BD5126="Dependent",BI5126="Female",BF5126="Abu Dhabi",BE5126=RN_2),VLOOKUP(BH5126,AUH_FEMALE_DEP,6,0),IF(AND(BD5126="Dependent",BI5126="Female",BF5126="Abu Dhabi",BE5126=RN2_minus),VLOOKUP(BH5126,AUH_FEMALE_DEP,7,0),IF(AND(BD5126="Dependent",BI5126="Female",BF5126="Abu Dhabi",BE5126=RN_3),VLOOKUP(BH5126,AUH_FEMALE_DEP,8,0),IF(AND(BD5126="Dependent",BI5126="Female",BF5126="Abu Dhabi",BE5126=VN),VLOOKUP(BH5126,AUH_FEMALE_DEP,9,0),"ABC"))))))))))))))))))))))))))))))))))))</f>
        <v/>
      </c>
      <c r="BL5126" s="498" t="str">
        <f t="shared" ref="BL5126:BL5189" si="1789">IF(BD5126="","",IF(AND(BD5126="Employee",BI5126="Male",BF5126="Dubai",BE5126=GN_Plus),VLOOKUP(BH5126,DXB_MALE_EMP,2,0),IF(AND(BD5126="Employee",BI5126="Male",BF5126="Dubai",BE5126=GN),VLOOKUP(BH5126,DXB_MALE_EMP,3,0),IF(AND(BD5126="Employee",BI5126="Male",BF5126="Dubai",BE5126=RN_Plus),VLOOKUP(BH5126,DXB_MALE_EMP,4,0),IF(AND(BD5126="Employee",BI5126="Male",BF5126="Dubai",BE5126=RN),VLOOKUP(BH5126,DXB_MALE_EMP,5,0),IF(AND(BD5126="Employee",BI5126="Male",BF5126="Dubai",BE5126=RN_2),VLOOKUP(BH5126,DXB_MALE_EMP,6,0),IF(AND(BD5126="Employee",BI5126="Male",BF5126="Dubai",BE5126=RN2_minus),VLOOKUP(BH5126,DXB_MALE_EMP,7,0),IF(AND(BD5126="Employee",BI5126="Male",BF5126="Dubai",BE5126=RN_3),VLOOKUP(BH5126,DXB_MALE_EMP,8,0),IF(AND(BD5126="Employee",BI5126="Male",BF5126="Dubai",BE5126=VN),VLOOKUP(BH5126,DXB_MALE_EMP,9,0),IF(BD5126="","",IF(AND(BD5126="Employee",BI5126="Female",BF5126="Dubai",BE5126=GN_Plus),VLOOKUP(BH5126,DXB_FEMALE_EMP,2,0),IF(AND(BD5126="Employee",BI5126="Female",BF5126="Dubai",BE5126=GN),VLOOKUP(BH5126,DXB_FEMALE_EMP,3,0),IF(AND(BD5126="Employee",BI5126="Female",BF5126="Dubai",BE5126=RN_Plus),VLOOKUP(BH5126,DXB_FEMALE_EMP,4,0),IF(AND(BD5126="Employee",BI5126="Female",BF5126="Dubai",BE5126=RN),VLOOKUP(BH5126,DXB_FEMALE_EMP,5,0),IF(AND(BD5126="Employee",BI5126="Female",BF5126="Dubai",BE5126=RN_2),VLOOKUP(BH5126,DXB_FEMALE_EMP,6,0),IF(AND(BD5126="Employee",BI5126="Female",BF5126="Dubai",BE5126=RN2_minus),VLOOKUP(BH5126,DXB_FEMALE_EMP,7,0),IF(AND(BD5126="Employee",BI5126="Female",BF5126="Dubai",BE5126=RN_3),VLOOKUP(BH5126,DXB_FEMALE_EMP,8,0),IF(AND(BD5126="Employee",BI5126="Female",BF5126="Dubai",BE5126=VN),VLOOKUP(BH5126,DXB_FEMALE_EMP,9,0),IF(BD5126="","",IF(AND(BD5126="Dependent",BI5126="Male",BF5126="Dubai",BE5126=GN_Plus),VLOOKUP(BH5126,DXB_MALE_DEP,2,0),IF(AND(BD5126="Dependent",BI5126="Male",BF5126="Dubai",BE5126=GN),VLOOKUP(BH5126,DXB_MALE_DEP,3,0),IF(AND(BD5126="Dependent",BI5126="Male",BF5126="Dubai",BE5126=RN_Plus),VLOOKUP(BH5126,DXB_MALE_DEP,4,0),IF(AND(BD5126="Dependent",BI5126="Male",BF5126="Dubai",BE5126=RN),VLOOKUP(BH5126,DXB_MALE_DEP,5,0),IF(AND(BD5126="Dependent",BI5126="Male",BF5126="Dubai",BE5126=RN_2),VLOOKUP(BH5126,DXB_MALE_DEP,6,0),IF(AND(BD5126="Dependent",BI5126="Male",BF5126="Dubai",BE5126=RN2_minus),VLOOKUP(BH5126,DXB_MALE_DEP,7,0),IF(AND(BD5126="Dependent",BI5126="Male",BF5126="Dubai",BE5126=RN_3),VLOOKUP(BH5126,DXB_MALE_DEP,8,0),IF(AND(BD5126="Dependent",BI5126="Male",BF5126="Dubai",BE5126=VN),VLOOKUP(BH5126,DXB_MALE_DEP,9,0),IF(BD5126="","",IF(AND(BD5126="Dependent",BI5126="Female",BF5126="Dubai",BE5126=GN_Plus),VLOOKUP(BH5126,DXB_FEMALE_DEP,2,0),IF(AND(BD5126="Dependent",BI5126="Female",BF5126="Dubai",BE5126=GN),VLOOKUP(BH5126,DXB_FEMALE_DEP,3,0),IF(AND(BD5126="Dependent",BI5126="Female",BF5126="Dubai",BE5126=RN_Plus),VLOOKUP(BH5126,DXB_FEMALE_DEP,4,0),IF(AND(BD5126="Dependent",BI5126="Female",BF5126="Dubai",BE5126=RN),VLOOKUP(BH5126,DXB_FEMALE_DEP,5,0),IF(AND(BD5126="Dependent",BI5126="Female",BF5126="Dubai",BE5126=RN_2),VLOOKUP(BH5126,DXB_FEMALE_DEP,6,0),IF(AND(BD5126="Dependent",BI5126="Female",BF5126="Dubai",BE5126=RN2_minus),VLOOKUP(BH5126,DXB_FEMALE_DEP,7,0),IF(AND(BD5126="Dependent",BI5126="Female",BF5126="Dubai",BE5126=RN_3),VLOOKUP(BH5126,DXB_FEMALE_DEP,8,0),IF(AND(BD5126="Dependent",BI5126="Female",BF5126="Dubai",BE5126=VN),VLOOKUP(BH5126,DXB_FEMALE_DEP,9,0),"ABC"))))))))))))))))))))))))))))))))))))</f>
        <v/>
      </c>
    </row>
    <row r="5127" spans="1:64" x14ac:dyDescent="0.25">
      <c r="A5127" s="762">
        <f t="shared" ref="A5127:A5190" si="1790">+A5126+1</f>
        <v>5122</v>
      </c>
      <c r="B5127" s="229"/>
      <c r="C5127" s="223"/>
      <c r="D5127" s="224"/>
      <c r="E5127" s="225"/>
      <c r="F5127" s="1036" t="str">
        <f t="shared" si="1774"/>
        <v/>
      </c>
      <c r="G5127" s="1037" t="str">
        <f t="shared" ref="G5127:G5190" si="1791">IF(D5127="","",MAX(0,ROUNDUP(F5127,0)))</f>
        <v/>
      </c>
      <c r="H5127" s="225"/>
      <c r="I5127" s="1013"/>
      <c r="J5127" s="1013"/>
      <c r="K5127" s="1028"/>
      <c r="L5127" s="1035" t="str">
        <f t="shared" si="1773"/>
        <v/>
      </c>
      <c r="S5127" s="498"/>
      <c r="AJ5127" s="498"/>
      <c r="AM5127" s="498">
        <f t="shared" si="1776"/>
        <v>0</v>
      </c>
      <c r="AN5127" s="498">
        <f t="shared" si="1777"/>
        <v>0</v>
      </c>
      <c r="AO5127" s="498">
        <f t="shared" si="1778"/>
        <v>0</v>
      </c>
      <c r="AP5127" s="498">
        <f t="shared" si="1775"/>
        <v>0</v>
      </c>
      <c r="AQ5127" s="498">
        <f t="shared" ref="AQ5127:AQ5190" si="1792">IF(ISBLANK($B5127),0,IF(OR($H5127="Single",$H5127="Married"),0,1))</f>
        <v>0</v>
      </c>
      <c r="AU5127" s="498">
        <f t="shared" si="1779"/>
        <v>0</v>
      </c>
      <c r="AV5127" s="498">
        <f t="shared" si="1780"/>
        <v>0</v>
      </c>
      <c r="AW5127" s="498">
        <f t="shared" si="1781"/>
        <v>0</v>
      </c>
      <c r="AX5127" s="498">
        <f t="shared" si="1782"/>
        <v>0</v>
      </c>
      <c r="AY5127" s="498">
        <f t="shared" si="1783"/>
        <v>0</v>
      </c>
      <c r="BB5127" s="498" t="str">
        <f t="shared" si="1784"/>
        <v/>
      </c>
      <c r="BC5127" s="743" t="str">
        <f t="shared" si="1785"/>
        <v/>
      </c>
      <c r="BD5127" s="743" t="str">
        <f t="shared" si="1786"/>
        <v/>
      </c>
      <c r="BE5127" s="743" t="str">
        <f>IF(D5127="","",VLOOKUP(D5127,'General Basis'!$J$39:$K$46,2,0))</f>
        <v/>
      </c>
      <c r="BF5127" s="744" t="str">
        <f>IF(D5127="","",VLOOKUP(D5127,'General Basis'!$J$39:$L$46,3,0))</f>
        <v/>
      </c>
      <c r="BG5127" s="744" t="str">
        <f t="shared" ref="BG5127:BG5190" si="1793">BC5127&amp;BI5127</f>
        <v/>
      </c>
      <c r="BH5127" s="744" t="str">
        <f>IF(G5127="","",IF(BF5127="Abu Dhabi",IF(G5127&lt;18,'General Basis'!$C$39,IF(G5127&lt;41,'General Basis'!$C$40,IF(G5127&lt;60,'General Basis'!$C$41,IF(G5127&lt;65,'General Basis'!$C$42,'General Basis'!$C$43)))),IF(G5127&lt;11,'General Basis'!$B$39,IF(G5127&lt;18,'General Basis'!$B$40,IF(G5127&lt;26,'General Basis'!$B$41,IF(G5127&lt;31,'General Basis'!$B$42,IF(G5127&lt;36,'General Basis'!$B$43,IF(G5127&lt;41,'General Basis'!$B$44,IF(G5127&lt;46,'General Basis'!$B$45,IF(G5127&lt;51,'General Basis'!$B$46,IF(G5127&lt;56,'General Basis'!$B$47,IF(G5127&lt;60,'General Basis'!$B$48,IF(G5127&lt;65,'General Basis'!$B$49,'General Basis'!$B$50)))))))))))))</f>
        <v/>
      </c>
      <c r="BI5127" s="744" t="str">
        <f t="shared" si="1787"/>
        <v/>
      </c>
      <c r="BJ5127" s="747" t="str">
        <f t="shared" ref="BJ5127:BJ5190" si="1794">IF(BD5127="","",IF(BF5127="Abu Dhabi",BK5127,BL5127))</f>
        <v/>
      </c>
      <c r="BK5127" s="498" t="str">
        <f t="shared" si="1788"/>
        <v/>
      </c>
      <c r="BL5127" s="498" t="str">
        <f t="shared" si="1789"/>
        <v/>
      </c>
    </row>
    <row r="5128" spans="1:64" x14ac:dyDescent="0.25">
      <c r="A5128" s="762">
        <f t="shared" si="1790"/>
        <v>5123</v>
      </c>
      <c r="B5128" s="229"/>
      <c r="C5128" s="223"/>
      <c r="D5128" s="224"/>
      <c r="E5128" s="225"/>
      <c r="F5128" s="1036" t="str">
        <f t="shared" si="1774"/>
        <v/>
      </c>
      <c r="G5128" s="1037" t="str">
        <f t="shared" si="1791"/>
        <v/>
      </c>
      <c r="H5128" s="225"/>
      <c r="I5128" s="1013"/>
      <c r="J5128" s="1013"/>
      <c r="K5128" s="1028"/>
      <c r="L5128" s="1035" t="str">
        <f t="shared" ref="L5128:L5191" si="1795">IF(AND(E5128="Child",H5128="Married"),"Check the Marital Status of the Child. ",IF(AND(E5128="Child",F5128&gt;18),"Child Age exceed 18 years. ",IF(AND(E5128="Spouse",H5128="Single"),"Spouse is selected as Single. ","")))&amp;IF(K5128&gt;0,"UW Loading has been Applied","")</f>
        <v/>
      </c>
      <c r="S5128" s="498"/>
      <c r="AJ5128" s="498"/>
      <c r="AM5128" s="498">
        <f t="shared" si="1776"/>
        <v>0</v>
      </c>
      <c r="AN5128" s="498">
        <f t="shared" si="1777"/>
        <v>0</v>
      </c>
      <c r="AO5128" s="498">
        <f t="shared" si="1778"/>
        <v>0</v>
      </c>
      <c r="AP5128" s="498">
        <f t="shared" si="1775"/>
        <v>0</v>
      </c>
      <c r="AQ5128" s="498">
        <f t="shared" si="1792"/>
        <v>0</v>
      </c>
      <c r="AU5128" s="498">
        <f t="shared" si="1779"/>
        <v>0</v>
      </c>
      <c r="AV5128" s="498">
        <f t="shared" si="1780"/>
        <v>0</v>
      </c>
      <c r="AW5128" s="498">
        <f t="shared" si="1781"/>
        <v>0</v>
      </c>
      <c r="AX5128" s="498">
        <f t="shared" si="1782"/>
        <v>0</v>
      </c>
      <c r="AY5128" s="498">
        <f t="shared" si="1783"/>
        <v>0</v>
      </c>
      <c r="BB5128" s="498" t="str">
        <f t="shared" si="1784"/>
        <v/>
      </c>
      <c r="BC5128" s="743" t="str">
        <f t="shared" si="1785"/>
        <v/>
      </c>
      <c r="BD5128" s="743" t="str">
        <f t="shared" si="1786"/>
        <v/>
      </c>
      <c r="BE5128" s="743" t="str">
        <f>IF(D5128="","",VLOOKUP(D5128,'General Basis'!$J$39:$K$46,2,0))</f>
        <v/>
      </c>
      <c r="BF5128" s="744" t="str">
        <f>IF(D5128="","",VLOOKUP(D5128,'General Basis'!$J$39:$L$46,3,0))</f>
        <v/>
      </c>
      <c r="BG5128" s="744" t="str">
        <f t="shared" si="1793"/>
        <v/>
      </c>
      <c r="BH5128" s="744" t="str">
        <f>IF(G5128="","",IF(BF5128="Abu Dhabi",IF(G5128&lt;18,'General Basis'!$C$39,IF(G5128&lt;41,'General Basis'!$C$40,IF(G5128&lt;60,'General Basis'!$C$41,IF(G5128&lt;65,'General Basis'!$C$42,'General Basis'!$C$43)))),IF(G5128&lt;11,'General Basis'!$B$39,IF(G5128&lt;18,'General Basis'!$B$40,IF(G5128&lt;26,'General Basis'!$B$41,IF(G5128&lt;31,'General Basis'!$B$42,IF(G5128&lt;36,'General Basis'!$B$43,IF(G5128&lt;41,'General Basis'!$B$44,IF(G5128&lt;46,'General Basis'!$B$45,IF(G5128&lt;51,'General Basis'!$B$46,IF(G5128&lt;56,'General Basis'!$B$47,IF(G5128&lt;60,'General Basis'!$B$48,IF(G5128&lt;65,'General Basis'!$B$49,'General Basis'!$B$50)))))))))))))</f>
        <v/>
      </c>
      <c r="BI5128" s="744" t="str">
        <f t="shared" si="1787"/>
        <v/>
      </c>
      <c r="BJ5128" s="747" t="str">
        <f t="shared" si="1794"/>
        <v/>
      </c>
      <c r="BK5128" s="498" t="str">
        <f t="shared" si="1788"/>
        <v/>
      </c>
      <c r="BL5128" s="498" t="str">
        <f t="shared" si="1789"/>
        <v/>
      </c>
    </row>
    <row r="5129" spans="1:64" x14ac:dyDescent="0.25">
      <c r="A5129" s="762">
        <f t="shared" si="1790"/>
        <v>5124</v>
      </c>
      <c r="B5129" s="229"/>
      <c r="C5129" s="223"/>
      <c r="D5129" s="224"/>
      <c r="E5129" s="225"/>
      <c r="F5129" s="1036" t="str">
        <f t="shared" si="1774"/>
        <v/>
      </c>
      <c r="G5129" s="1037" t="str">
        <f t="shared" si="1791"/>
        <v/>
      </c>
      <c r="H5129" s="225"/>
      <c r="I5129" s="1013"/>
      <c r="J5129" s="1013"/>
      <c r="K5129" s="1028"/>
      <c r="L5129" s="1035" t="str">
        <f t="shared" si="1795"/>
        <v/>
      </c>
      <c r="S5129" s="498"/>
      <c r="AJ5129" s="498"/>
      <c r="AM5129" s="498">
        <f t="shared" si="1776"/>
        <v>0</v>
      </c>
      <c r="AN5129" s="498">
        <f t="shared" si="1777"/>
        <v>0</v>
      </c>
      <c r="AO5129" s="498">
        <f t="shared" si="1778"/>
        <v>0</v>
      </c>
      <c r="AP5129" s="498">
        <f t="shared" si="1775"/>
        <v>0</v>
      </c>
      <c r="AQ5129" s="498">
        <f t="shared" si="1792"/>
        <v>0</v>
      </c>
      <c r="AU5129" s="498">
        <f t="shared" si="1779"/>
        <v>0</v>
      </c>
      <c r="AV5129" s="498">
        <f t="shared" si="1780"/>
        <v>0</v>
      </c>
      <c r="AW5129" s="498">
        <f t="shared" si="1781"/>
        <v>0</v>
      </c>
      <c r="AX5129" s="498">
        <f t="shared" si="1782"/>
        <v>0</v>
      </c>
      <c r="AY5129" s="498">
        <f t="shared" si="1783"/>
        <v>0</v>
      </c>
      <c r="BB5129" s="498" t="str">
        <f t="shared" si="1784"/>
        <v/>
      </c>
      <c r="BC5129" s="743" t="str">
        <f t="shared" si="1785"/>
        <v/>
      </c>
      <c r="BD5129" s="743" t="str">
        <f t="shared" si="1786"/>
        <v/>
      </c>
      <c r="BE5129" s="743" t="str">
        <f>IF(D5129="","",VLOOKUP(D5129,'General Basis'!$J$39:$K$46,2,0))</f>
        <v/>
      </c>
      <c r="BF5129" s="744" t="str">
        <f>IF(D5129="","",VLOOKUP(D5129,'General Basis'!$J$39:$L$46,3,0))</f>
        <v/>
      </c>
      <c r="BG5129" s="744" t="str">
        <f t="shared" si="1793"/>
        <v/>
      </c>
      <c r="BH5129" s="744" t="str">
        <f>IF(G5129="","",IF(BF5129="Abu Dhabi",IF(G5129&lt;18,'General Basis'!$C$39,IF(G5129&lt;41,'General Basis'!$C$40,IF(G5129&lt;60,'General Basis'!$C$41,IF(G5129&lt;65,'General Basis'!$C$42,'General Basis'!$C$43)))),IF(G5129&lt;11,'General Basis'!$B$39,IF(G5129&lt;18,'General Basis'!$B$40,IF(G5129&lt;26,'General Basis'!$B$41,IF(G5129&lt;31,'General Basis'!$B$42,IF(G5129&lt;36,'General Basis'!$B$43,IF(G5129&lt;41,'General Basis'!$B$44,IF(G5129&lt;46,'General Basis'!$B$45,IF(G5129&lt;51,'General Basis'!$B$46,IF(G5129&lt;56,'General Basis'!$B$47,IF(G5129&lt;60,'General Basis'!$B$48,IF(G5129&lt;65,'General Basis'!$B$49,'General Basis'!$B$50)))))))))))))</f>
        <v/>
      </c>
      <c r="BI5129" s="744" t="str">
        <f t="shared" si="1787"/>
        <v/>
      </c>
      <c r="BJ5129" s="747" t="str">
        <f t="shared" si="1794"/>
        <v/>
      </c>
      <c r="BK5129" s="498" t="str">
        <f t="shared" si="1788"/>
        <v/>
      </c>
      <c r="BL5129" s="498" t="str">
        <f t="shared" si="1789"/>
        <v/>
      </c>
    </row>
    <row r="5130" spans="1:64" x14ac:dyDescent="0.25">
      <c r="A5130" s="762">
        <f t="shared" si="1790"/>
        <v>5125</v>
      </c>
      <c r="B5130" s="229"/>
      <c r="C5130" s="223"/>
      <c r="D5130" s="224"/>
      <c r="E5130" s="225"/>
      <c r="F5130" s="1036" t="str">
        <f t="shared" si="1774"/>
        <v/>
      </c>
      <c r="G5130" s="1037" t="str">
        <f t="shared" si="1791"/>
        <v/>
      </c>
      <c r="H5130" s="225"/>
      <c r="I5130" s="1013"/>
      <c r="J5130" s="1013"/>
      <c r="K5130" s="1028"/>
      <c r="L5130" s="1035" t="str">
        <f t="shared" si="1795"/>
        <v/>
      </c>
      <c r="S5130" s="498"/>
      <c r="AJ5130" s="498"/>
      <c r="AM5130" s="498">
        <f t="shared" si="1776"/>
        <v>0</v>
      </c>
      <c r="AN5130" s="498">
        <f t="shared" si="1777"/>
        <v>0</v>
      </c>
      <c r="AO5130" s="498">
        <f t="shared" si="1778"/>
        <v>0</v>
      </c>
      <c r="AP5130" s="498">
        <f t="shared" si="1775"/>
        <v>0</v>
      </c>
      <c r="AQ5130" s="498">
        <f t="shared" si="1792"/>
        <v>0</v>
      </c>
      <c r="AU5130" s="498">
        <f t="shared" si="1779"/>
        <v>0</v>
      </c>
      <c r="AV5130" s="498">
        <f t="shared" si="1780"/>
        <v>0</v>
      </c>
      <c r="AW5130" s="498">
        <f t="shared" si="1781"/>
        <v>0</v>
      </c>
      <c r="AX5130" s="498">
        <f t="shared" si="1782"/>
        <v>0</v>
      </c>
      <c r="AY5130" s="498">
        <f t="shared" si="1783"/>
        <v>0</v>
      </c>
      <c r="BB5130" s="498" t="str">
        <f t="shared" si="1784"/>
        <v/>
      </c>
      <c r="BC5130" s="743" t="str">
        <f t="shared" si="1785"/>
        <v/>
      </c>
      <c r="BD5130" s="743" t="str">
        <f t="shared" si="1786"/>
        <v/>
      </c>
      <c r="BE5130" s="743" t="str">
        <f>IF(D5130="","",VLOOKUP(D5130,'General Basis'!$J$39:$K$46,2,0))</f>
        <v/>
      </c>
      <c r="BF5130" s="744" t="str">
        <f>IF(D5130="","",VLOOKUP(D5130,'General Basis'!$J$39:$L$46,3,0))</f>
        <v/>
      </c>
      <c r="BG5130" s="744" t="str">
        <f t="shared" si="1793"/>
        <v/>
      </c>
      <c r="BH5130" s="744" t="str">
        <f>IF(G5130="","",IF(BF5130="Abu Dhabi",IF(G5130&lt;18,'General Basis'!$C$39,IF(G5130&lt;41,'General Basis'!$C$40,IF(G5130&lt;60,'General Basis'!$C$41,IF(G5130&lt;65,'General Basis'!$C$42,'General Basis'!$C$43)))),IF(G5130&lt;11,'General Basis'!$B$39,IF(G5130&lt;18,'General Basis'!$B$40,IF(G5130&lt;26,'General Basis'!$B$41,IF(G5130&lt;31,'General Basis'!$B$42,IF(G5130&lt;36,'General Basis'!$B$43,IF(G5130&lt;41,'General Basis'!$B$44,IF(G5130&lt;46,'General Basis'!$B$45,IF(G5130&lt;51,'General Basis'!$B$46,IF(G5130&lt;56,'General Basis'!$B$47,IF(G5130&lt;60,'General Basis'!$B$48,IF(G5130&lt;65,'General Basis'!$B$49,'General Basis'!$B$50)))))))))))))</f>
        <v/>
      </c>
      <c r="BI5130" s="744" t="str">
        <f t="shared" si="1787"/>
        <v/>
      </c>
      <c r="BJ5130" s="747" t="str">
        <f t="shared" si="1794"/>
        <v/>
      </c>
      <c r="BK5130" s="498" t="str">
        <f t="shared" si="1788"/>
        <v/>
      </c>
      <c r="BL5130" s="498" t="str">
        <f t="shared" si="1789"/>
        <v/>
      </c>
    </row>
    <row r="5131" spans="1:64" x14ac:dyDescent="0.25">
      <c r="A5131" s="762">
        <f t="shared" si="1790"/>
        <v>5126</v>
      </c>
      <c r="B5131" s="229"/>
      <c r="C5131" s="223"/>
      <c r="D5131" s="224"/>
      <c r="E5131" s="225"/>
      <c r="F5131" s="1036" t="str">
        <f t="shared" si="1774"/>
        <v/>
      </c>
      <c r="G5131" s="1037" t="str">
        <f t="shared" si="1791"/>
        <v/>
      </c>
      <c r="H5131" s="225"/>
      <c r="I5131" s="1013"/>
      <c r="J5131" s="1013"/>
      <c r="K5131" s="1028"/>
      <c r="L5131" s="1035" t="str">
        <f t="shared" si="1795"/>
        <v/>
      </c>
      <c r="S5131" s="498"/>
      <c r="AJ5131" s="498"/>
      <c r="AM5131" s="498">
        <f t="shared" si="1776"/>
        <v>0</v>
      </c>
      <c r="AN5131" s="498">
        <f t="shared" si="1777"/>
        <v>0</v>
      </c>
      <c r="AO5131" s="498">
        <f t="shared" si="1778"/>
        <v>0</v>
      </c>
      <c r="AP5131" s="498">
        <f t="shared" si="1775"/>
        <v>0</v>
      </c>
      <c r="AQ5131" s="498">
        <f t="shared" si="1792"/>
        <v>0</v>
      </c>
      <c r="AU5131" s="498">
        <f t="shared" si="1779"/>
        <v>0</v>
      </c>
      <c r="AV5131" s="498">
        <f t="shared" si="1780"/>
        <v>0</v>
      </c>
      <c r="AW5131" s="498">
        <f t="shared" si="1781"/>
        <v>0</v>
      </c>
      <c r="AX5131" s="498">
        <f t="shared" si="1782"/>
        <v>0</v>
      </c>
      <c r="AY5131" s="498">
        <f t="shared" si="1783"/>
        <v>0</v>
      </c>
      <c r="BB5131" s="498" t="str">
        <f t="shared" si="1784"/>
        <v/>
      </c>
      <c r="BC5131" s="743" t="str">
        <f t="shared" si="1785"/>
        <v/>
      </c>
      <c r="BD5131" s="743" t="str">
        <f t="shared" si="1786"/>
        <v/>
      </c>
      <c r="BE5131" s="743" t="str">
        <f>IF(D5131="","",VLOOKUP(D5131,'General Basis'!$J$39:$K$46,2,0))</f>
        <v/>
      </c>
      <c r="BF5131" s="744" t="str">
        <f>IF(D5131="","",VLOOKUP(D5131,'General Basis'!$J$39:$L$46,3,0))</f>
        <v/>
      </c>
      <c r="BG5131" s="744" t="str">
        <f t="shared" si="1793"/>
        <v/>
      </c>
      <c r="BH5131" s="744" t="str">
        <f>IF(G5131="","",IF(BF5131="Abu Dhabi",IF(G5131&lt;18,'General Basis'!$C$39,IF(G5131&lt;41,'General Basis'!$C$40,IF(G5131&lt;60,'General Basis'!$C$41,IF(G5131&lt;65,'General Basis'!$C$42,'General Basis'!$C$43)))),IF(G5131&lt;11,'General Basis'!$B$39,IF(G5131&lt;18,'General Basis'!$B$40,IF(G5131&lt;26,'General Basis'!$B$41,IF(G5131&lt;31,'General Basis'!$B$42,IF(G5131&lt;36,'General Basis'!$B$43,IF(G5131&lt;41,'General Basis'!$B$44,IF(G5131&lt;46,'General Basis'!$B$45,IF(G5131&lt;51,'General Basis'!$B$46,IF(G5131&lt;56,'General Basis'!$B$47,IF(G5131&lt;60,'General Basis'!$B$48,IF(G5131&lt;65,'General Basis'!$B$49,'General Basis'!$B$50)))))))))))))</f>
        <v/>
      </c>
      <c r="BI5131" s="744" t="str">
        <f t="shared" si="1787"/>
        <v/>
      </c>
      <c r="BJ5131" s="747" t="str">
        <f t="shared" si="1794"/>
        <v/>
      </c>
      <c r="BK5131" s="498" t="str">
        <f t="shared" si="1788"/>
        <v/>
      </c>
      <c r="BL5131" s="498" t="str">
        <f t="shared" si="1789"/>
        <v/>
      </c>
    </row>
    <row r="5132" spans="1:64" x14ac:dyDescent="0.25">
      <c r="A5132" s="762">
        <f t="shared" si="1790"/>
        <v>5127</v>
      </c>
      <c r="B5132" s="229"/>
      <c r="C5132" s="223"/>
      <c r="D5132" s="224"/>
      <c r="E5132" s="225"/>
      <c r="F5132" s="1036" t="str">
        <f t="shared" si="1774"/>
        <v/>
      </c>
      <c r="G5132" s="1037" t="str">
        <f t="shared" si="1791"/>
        <v/>
      </c>
      <c r="H5132" s="225"/>
      <c r="I5132" s="1013"/>
      <c r="J5132" s="1013"/>
      <c r="K5132" s="1028"/>
      <c r="L5132" s="1035" t="str">
        <f t="shared" si="1795"/>
        <v/>
      </c>
      <c r="S5132" s="498"/>
      <c r="AJ5132" s="498"/>
      <c r="AM5132" s="498">
        <f t="shared" si="1776"/>
        <v>0</v>
      </c>
      <c r="AN5132" s="498">
        <f t="shared" si="1777"/>
        <v>0</v>
      </c>
      <c r="AO5132" s="498">
        <f t="shared" si="1778"/>
        <v>0</v>
      </c>
      <c r="AP5132" s="498">
        <f t="shared" si="1775"/>
        <v>0</v>
      </c>
      <c r="AQ5132" s="498">
        <f t="shared" si="1792"/>
        <v>0</v>
      </c>
      <c r="AU5132" s="498">
        <f t="shared" si="1779"/>
        <v>0</v>
      </c>
      <c r="AV5132" s="498">
        <f t="shared" si="1780"/>
        <v>0</v>
      </c>
      <c r="AW5132" s="498">
        <f t="shared" si="1781"/>
        <v>0</v>
      </c>
      <c r="AX5132" s="498">
        <f t="shared" si="1782"/>
        <v>0</v>
      </c>
      <c r="AY5132" s="498">
        <f t="shared" si="1783"/>
        <v>0</v>
      </c>
      <c r="BB5132" s="498" t="str">
        <f t="shared" si="1784"/>
        <v/>
      </c>
      <c r="BC5132" s="743" t="str">
        <f t="shared" si="1785"/>
        <v/>
      </c>
      <c r="BD5132" s="743" t="str">
        <f t="shared" si="1786"/>
        <v/>
      </c>
      <c r="BE5132" s="743" t="str">
        <f>IF(D5132="","",VLOOKUP(D5132,'General Basis'!$J$39:$K$46,2,0))</f>
        <v/>
      </c>
      <c r="BF5132" s="744" t="str">
        <f>IF(D5132="","",VLOOKUP(D5132,'General Basis'!$J$39:$L$46,3,0))</f>
        <v/>
      </c>
      <c r="BG5132" s="744" t="str">
        <f t="shared" si="1793"/>
        <v/>
      </c>
      <c r="BH5132" s="744" t="str">
        <f>IF(G5132="","",IF(BF5132="Abu Dhabi",IF(G5132&lt;18,'General Basis'!$C$39,IF(G5132&lt;41,'General Basis'!$C$40,IF(G5132&lt;60,'General Basis'!$C$41,IF(G5132&lt;65,'General Basis'!$C$42,'General Basis'!$C$43)))),IF(G5132&lt;11,'General Basis'!$B$39,IF(G5132&lt;18,'General Basis'!$B$40,IF(G5132&lt;26,'General Basis'!$B$41,IF(G5132&lt;31,'General Basis'!$B$42,IF(G5132&lt;36,'General Basis'!$B$43,IF(G5132&lt;41,'General Basis'!$B$44,IF(G5132&lt;46,'General Basis'!$B$45,IF(G5132&lt;51,'General Basis'!$B$46,IF(G5132&lt;56,'General Basis'!$B$47,IF(G5132&lt;60,'General Basis'!$B$48,IF(G5132&lt;65,'General Basis'!$B$49,'General Basis'!$B$50)))))))))))))</f>
        <v/>
      </c>
      <c r="BI5132" s="744" t="str">
        <f t="shared" si="1787"/>
        <v/>
      </c>
      <c r="BJ5132" s="747" t="str">
        <f t="shared" si="1794"/>
        <v/>
      </c>
      <c r="BK5132" s="498" t="str">
        <f t="shared" si="1788"/>
        <v/>
      </c>
      <c r="BL5132" s="498" t="str">
        <f t="shared" si="1789"/>
        <v/>
      </c>
    </row>
    <row r="5133" spans="1:64" x14ac:dyDescent="0.25">
      <c r="A5133" s="762">
        <f t="shared" si="1790"/>
        <v>5128</v>
      </c>
      <c r="B5133" s="229"/>
      <c r="C5133" s="223"/>
      <c r="D5133" s="224"/>
      <c r="E5133" s="225"/>
      <c r="F5133" s="1036" t="str">
        <f t="shared" si="1774"/>
        <v/>
      </c>
      <c r="G5133" s="1037" t="str">
        <f t="shared" si="1791"/>
        <v/>
      </c>
      <c r="H5133" s="225"/>
      <c r="I5133" s="1013"/>
      <c r="J5133" s="1013"/>
      <c r="K5133" s="1028"/>
      <c r="L5133" s="1035" t="str">
        <f t="shared" si="1795"/>
        <v/>
      </c>
      <c r="S5133" s="498"/>
      <c r="AJ5133" s="498"/>
      <c r="AM5133" s="498">
        <f t="shared" si="1776"/>
        <v>0</v>
      </c>
      <c r="AN5133" s="498">
        <f t="shared" si="1777"/>
        <v>0</v>
      </c>
      <c r="AO5133" s="498">
        <f t="shared" si="1778"/>
        <v>0</v>
      </c>
      <c r="AP5133" s="498">
        <f t="shared" si="1775"/>
        <v>0</v>
      </c>
      <c r="AQ5133" s="498">
        <f t="shared" si="1792"/>
        <v>0</v>
      </c>
      <c r="AU5133" s="498">
        <f t="shared" si="1779"/>
        <v>0</v>
      </c>
      <c r="AV5133" s="498">
        <f t="shared" si="1780"/>
        <v>0</v>
      </c>
      <c r="AW5133" s="498">
        <f t="shared" si="1781"/>
        <v>0</v>
      </c>
      <c r="AX5133" s="498">
        <f t="shared" si="1782"/>
        <v>0</v>
      </c>
      <c r="AY5133" s="498">
        <f t="shared" si="1783"/>
        <v>0</v>
      </c>
      <c r="BB5133" s="498" t="str">
        <f t="shared" si="1784"/>
        <v/>
      </c>
      <c r="BC5133" s="743" t="str">
        <f t="shared" si="1785"/>
        <v/>
      </c>
      <c r="BD5133" s="743" t="str">
        <f t="shared" si="1786"/>
        <v/>
      </c>
      <c r="BE5133" s="743" t="str">
        <f>IF(D5133="","",VLOOKUP(D5133,'General Basis'!$J$39:$K$46,2,0))</f>
        <v/>
      </c>
      <c r="BF5133" s="744" t="str">
        <f>IF(D5133="","",VLOOKUP(D5133,'General Basis'!$J$39:$L$46,3,0))</f>
        <v/>
      </c>
      <c r="BG5133" s="744" t="str">
        <f t="shared" si="1793"/>
        <v/>
      </c>
      <c r="BH5133" s="744" t="str">
        <f>IF(G5133="","",IF(BF5133="Abu Dhabi",IF(G5133&lt;18,'General Basis'!$C$39,IF(G5133&lt;41,'General Basis'!$C$40,IF(G5133&lt;60,'General Basis'!$C$41,IF(G5133&lt;65,'General Basis'!$C$42,'General Basis'!$C$43)))),IF(G5133&lt;11,'General Basis'!$B$39,IF(G5133&lt;18,'General Basis'!$B$40,IF(G5133&lt;26,'General Basis'!$B$41,IF(G5133&lt;31,'General Basis'!$B$42,IF(G5133&lt;36,'General Basis'!$B$43,IF(G5133&lt;41,'General Basis'!$B$44,IF(G5133&lt;46,'General Basis'!$B$45,IF(G5133&lt;51,'General Basis'!$B$46,IF(G5133&lt;56,'General Basis'!$B$47,IF(G5133&lt;60,'General Basis'!$B$48,IF(G5133&lt;65,'General Basis'!$B$49,'General Basis'!$B$50)))))))))))))</f>
        <v/>
      </c>
      <c r="BI5133" s="744" t="str">
        <f t="shared" si="1787"/>
        <v/>
      </c>
      <c r="BJ5133" s="747" t="str">
        <f t="shared" si="1794"/>
        <v/>
      </c>
      <c r="BK5133" s="498" t="str">
        <f t="shared" si="1788"/>
        <v/>
      </c>
      <c r="BL5133" s="498" t="str">
        <f t="shared" si="1789"/>
        <v/>
      </c>
    </row>
    <row r="5134" spans="1:64" x14ac:dyDescent="0.25">
      <c r="A5134" s="762">
        <f t="shared" si="1790"/>
        <v>5129</v>
      </c>
      <c r="B5134" s="229"/>
      <c r="C5134" s="223"/>
      <c r="D5134" s="224"/>
      <c r="E5134" s="225"/>
      <c r="F5134" s="1036" t="str">
        <f t="shared" si="1774"/>
        <v/>
      </c>
      <c r="G5134" s="1037" t="str">
        <f t="shared" si="1791"/>
        <v/>
      </c>
      <c r="H5134" s="225"/>
      <c r="I5134" s="1013"/>
      <c r="J5134" s="1013"/>
      <c r="K5134" s="1028"/>
      <c r="L5134" s="1035" t="str">
        <f t="shared" si="1795"/>
        <v/>
      </c>
      <c r="S5134" s="498"/>
      <c r="AJ5134" s="498"/>
      <c r="AM5134" s="498">
        <f t="shared" si="1776"/>
        <v>0</v>
      </c>
      <c r="AN5134" s="498">
        <f t="shared" si="1777"/>
        <v>0</v>
      </c>
      <c r="AO5134" s="498">
        <f t="shared" si="1778"/>
        <v>0</v>
      </c>
      <c r="AP5134" s="498">
        <f t="shared" si="1775"/>
        <v>0</v>
      </c>
      <c r="AQ5134" s="498">
        <f t="shared" si="1792"/>
        <v>0</v>
      </c>
      <c r="AU5134" s="498">
        <f t="shared" si="1779"/>
        <v>0</v>
      </c>
      <c r="AV5134" s="498">
        <f t="shared" si="1780"/>
        <v>0</v>
      </c>
      <c r="AW5134" s="498">
        <f t="shared" si="1781"/>
        <v>0</v>
      </c>
      <c r="AX5134" s="498">
        <f t="shared" si="1782"/>
        <v>0</v>
      </c>
      <c r="AY5134" s="498">
        <f t="shared" si="1783"/>
        <v>0</v>
      </c>
      <c r="BB5134" s="498" t="str">
        <f t="shared" si="1784"/>
        <v/>
      </c>
      <c r="BC5134" s="743" t="str">
        <f t="shared" si="1785"/>
        <v/>
      </c>
      <c r="BD5134" s="743" t="str">
        <f t="shared" si="1786"/>
        <v/>
      </c>
      <c r="BE5134" s="743" t="str">
        <f>IF(D5134="","",VLOOKUP(D5134,'General Basis'!$J$39:$K$46,2,0))</f>
        <v/>
      </c>
      <c r="BF5134" s="744" t="str">
        <f>IF(D5134="","",VLOOKUP(D5134,'General Basis'!$J$39:$L$46,3,0))</f>
        <v/>
      </c>
      <c r="BG5134" s="744" t="str">
        <f t="shared" si="1793"/>
        <v/>
      </c>
      <c r="BH5134" s="744" t="str">
        <f>IF(G5134="","",IF(BF5134="Abu Dhabi",IF(G5134&lt;18,'General Basis'!$C$39,IF(G5134&lt;41,'General Basis'!$C$40,IF(G5134&lt;60,'General Basis'!$C$41,IF(G5134&lt;65,'General Basis'!$C$42,'General Basis'!$C$43)))),IF(G5134&lt;11,'General Basis'!$B$39,IF(G5134&lt;18,'General Basis'!$B$40,IF(G5134&lt;26,'General Basis'!$B$41,IF(G5134&lt;31,'General Basis'!$B$42,IF(G5134&lt;36,'General Basis'!$B$43,IF(G5134&lt;41,'General Basis'!$B$44,IF(G5134&lt;46,'General Basis'!$B$45,IF(G5134&lt;51,'General Basis'!$B$46,IF(G5134&lt;56,'General Basis'!$B$47,IF(G5134&lt;60,'General Basis'!$B$48,IF(G5134&lt;65,'General Basis'!$B$49,'General Basis'!$B$50)))))))))))))</f>
        <v/>
      </c>
      <c r="BI5134" s="744" t="str">
        <f t="shared" si="1787"/>
        <v/>
      </c>
      <c r="BJ5134" s="747" t="str">
        <f t="shared" si="1794"/>
        <v/>
      </c>
      <c r="BK5134" s="498" t="str">
        <f t="shared" si="1788"/>
        <v/>
      </c>
      <c r="BL5134" s="498" t="str">
        <f t="shared" si="1789"/>
        <v/>
      </c>
    </row>
    <row r="5135" spans="1:64" x14ac:dyDescent="0.25">
      <c r="A5135" s="762">
        <f t="shared" si="1790"/>
        <v>5130</v>
      </c>
      <c r="B5135" s="229"/>
      <c r="C5135" s="223"/>
      <c r="D5135" s="224"/>
      <c r="E5135" s="225"/>
      <c r="F5135" s="1036" t="str">
        <f t="shared" si="1774"/>
        <v/>
      </c>
      <c r="G5135" s="1037" t="str">
        <f t="shared" si="1791"/>
        <v/>
      </c>
      <c r="H5135" s="225"/>
      <c r="I5135" s="1013"/>
      <c r="J5135" s="1013"/>
      <c r="K5135" s="1028"/>
      <c r="L5135" s="1035" t="str">
        <f t="shared" si="1795"/>
        <v/>
      </c>
      <c r="S5135" s="498"/>
      <c r="AJ5135" s="498"/>
      <c r="AM5135" s="498">
        <f t="shared" si="1776"/>
        <v>0</v>
      </c>
      <c r="AN5135" s="498">
        <f t="shared" si="1777"/>
        <v>0</v>
      </c>
      <c r="AO5135" s="498">
        <f t="shared" si="1778"/>
        <v>0</v>
      </c>
      <c r="AP5135" s="498">
        <f t="shared" si="1775"/>
        <v>0</v>
      </c>
      <c r="AQ5135" s="498">
        <f t="shared" si="1792"/>
        <v>0</v>
      </c>
      <c r="AU5135" s="498">
        <f t="shared" si="1779"/>
        <v>0</v>
      </c>
      <c r="AV5135" s="498">
        <f t="shared" si="1780"/>
        <v>0</v>
      </c>
      <c r="AW5135" s="498">
        <f t="shared" si="1781"/>
        <v>0</v>
      </c>
      <c r="AX5135" s="498">
        <f t="shared" si="1782"/>
        <v>0</v>
      </c>
      <c r="AY5135" s="498">
        <f t="shared" si="1783"/>
        <v>0</v>
      </c>
      <c r="BB5135" s="498" t="str">
        <f t="shared" si="1784"/>
        <v/>
      </c>
      <c r="BC5135" s="743" t="str">
        <f t="shared" si="1785"/>
        <v/>
      </c>
      <c r="BD5135" s="743" t="str">
        <f t="shared" si="1786"/>
        <v/>
      </c>
      <c r="BE5135" s="743" t="str">
        <f>IF(D5135="","",VLOOKUP(D5135,'General Basis'!$J$39:$K$46,2,0))</f>
        <v/>
      </c>
      <c r="BF5135" s="744" t="str">
        <f>IF(D5135="","",VLOOKUP(D5135,'General Basis'!$J$39:$L$46,3,0))</f>
        <v/>
      </c>
      <c r="BG5135" s="744" t="str">
        <f t="shared" si="1793"/>
        <v/>
      </c>
      <c r="BH5135" s="744" t="str">
        <f>IF(G5135="","",IF(BF5135="Abu Dhabi",IF(G5135&lt;18,'General Basis'!$C$39,IF(G5135&lt;41,'General Basis'!$C$40,IF(G5135&lt;60,'General Basis'!$C$41,IF(G5135&lt;65,'General Basis'!$C$42,'General Basis'!$C$43)))),IF(G5135&lt;11,'General Basis'!$B$39,IF(G5135&lt;18,'General Basis'!$B$40,IF(G5135&lt;26,'General Basis'!$B$41,IF(G5135&lt;31,'General Basis'!$B$42,IF(G5135&lt;36,'General Basis'!$B$43,IF(G5135&lt;41,'General Basis'!$B$44,IF(G5135&lt;46,'General Basis'!$B$45,IF(G5135&lt;51,'General Basis'!$B$46,IF(G5135&lt;56,'General Basis'!$B$47,IF(G5135&lt;60,'General Basis'!$B$48,IF(G5135&lt;65,'General Basis'!$B$49,'General Basis'!$B$50)))))))))))))</f>
        <v/>
      </c>
      <c r="BI5135" s="744" t="str">
        <f t="shared" si="1787"/>
        <v/>
      </c>
      <c r="BJ5135" s="747" t="str">
        <f t="shared" si="1794"/>
        <v/>
      </c>
      <c r="BK5135" s="498" t="str">
        <f t="shared" si="1788"/>
        <v/>
      </c>
      <c r="BL5135" s="498" t="str">
        <f t="shared" si="1789"/>
        <v/>
      </c>
    </row>
    <row r="5136" spans="1:64" x14ac:dyDescent="0.25">
      <c r="A5136" s="762">
        <f t="shared" si="1790"/>
        <v>5131</v>
      </c>
      <c r="B5136" s="229"/>
      <c r="C5136" s="223"/>
      <c r="D5136" s="224"/>
      <c r="E5136" s="225"/>
      <c r="F5136" s="1036" t="str">
        <f t="shared" ref="F5136:F5199" si="1796">IF(C5136="","",IF($B5136="","",((YEAR($F$3)-YEAR($B5136))+(MONTH($F$3)-MONTH($B5136))/12+(DAY($F$3)-DAY($B5136))/(DATE(YEAR($F$3),12,31)-DATE(YEAR($F$3),1,1)+1))))</f>
        <v/>
      </c>
      <c r="G5136" s="1037" t="str">
        <f t="shared" si="1791"/>
        <v/>
      </c>
      <c r="H5136" s="225"/>
      <c r="I5136" s="1013"/>
      <c r="J5136" s="1013"/>
      <c r="K5136" s="1028"/>
      <c r="L5136" s="1035" t="str">
        <f t="shared" si="1795"/>
        <v/>
      </c>
      <c r="S5136" s="498"/>
      <c r="AJ5136" s="498"/>
      <c r="AM5136" s="498">
        <f t="shared" si="1776"/>
        <v>0</v>
      </c>
      <c r="AN5136" s="498">
        <f t="shared" si="1777"/>
        <v>0</v>
      </c>
      <c r="AO5136" s="498">
        <f t="shared" si="1778"/>
        <v>0</v>
      </c>
      <c r="AP5136" s="498">
        <f t="shared" si="1775"/>
        <v>0</v>
      </c>
      <c r="AQ5136" s="498">
        <f t="shared" si="1792"/>
        <v>0</v>
      </c>
      <c r="AU5136" s="498">
        <f t="shared" si="1779"/>
        <v>0</v>
      </c>
      <c r="AV5136" s="498">
        <f t="shared" si="1780"/>
        <v>0</v>
      </c>
      <c r="AW5136" s="498">
        <f t="shared" si="1781"/>
        <v>0</v>
      </c>
      <c r="AX5136" s="498">
        <f t="shared" si="1782"/>
        <v>0</v>
      </c>
      <c r="AY5136" s="498">
        <f t="shared" si="1783"/>
        <v>0</v>
      </c>
      <c r="BB5136" s="498" t="str">
        <f t="shared" si="1784"/>
        <v/>
      </c>
      <c r="BC5136" s="743" t="str">
        <f t="shared" si="1785"/>
        <v/>
      </c>
      <c r="BD5136" s="743" t="str">
        <f t="shared" si="1786"/>
        <v/>
      </c>
      <c r="BE5136" s="743" t="str">
        <f>IF(D5136="","",VLOOKUP(D5136,'General Basis'!$J$39:$K$46,2,0))</f>
        <v/>
      </c>
      <c r="BF5136" s="744" t="str">
        <f>IF(D5136="","",VLOOKUP(D5136,'General Basis'!$J$39:$L$46,3,0))</f>
        <v/>
      </c>
      <c r="BG5136" s="744" t="str">
        <f t="shared" si="1793"/>
        <v/>
      </c>
      <c r="BH5136" s="744" t="str">
        <f>IF(G5136="","",IF(BF5136="Abu Dhabi",IF(G5136&lt;18,'General Basis'!$C$39,IF(G5136&lt;41,'General Basis'!$C$40,IF(G5136&lt;60,'General Basis'!$C$41,IF(G5136&lt;65,'General Basis'!$C$42,'General Basis'!$C$43)))),IF(G5136&lt;11,'General Basis'!$B$39,IF(G5136&lt;18,'General Basis'!$B$40,IF(G5136&lt;26,'General Basis'!$B$41,IF(G5136&lt;31,'General Basis'!$B$42,IF(G5136&lt;36,'General Basis'!$B$43,IF(G5136&lt;41,'General Basis'!$B$44,IF(G5136&lt;46,'General Basis'!$B$45,IF(G5136&lt;51,'General Basis'!$B$46,IF(G5136&lt;56,'General Basis'!$B$47,IF(G5136&lt;60,'General Basis'!$B$48,IF(G5136&lt;65,'General Basis'!$B$49,'General Basis'!$B$50)))))))))))))</f>
        <v/>
      </c>
      <c r="BI5136" s="744" t="str">
        <f t="shared" si="1787"/>
        <v/>
      </c>
      <c r="BJ5136" s="747" t="str">
        <f t="shared" si="1794"/>
        <v/>
      </c>
      <c r="BK5136" s="498" t="str">
        <f t="shared" si="1788"/>
        <v/>
      </c>
      <c r="BL5136" s="498" t="str">
        <f t="shared" si="1789"/>
        <v/>
      </c>
    </row>
    <row r="5137" spans="1:64" x14ac:dyDescent="0.25">
      <c r="A5137" s="762">
        <f t="shared" si="1790"/>
        <v>5132</v>
      </c>
      <c r="B5137" s="229"/>
      <c r="C5137" s="223"/>
      <c r="D5137" s="224"/>
      <c r="E5137" s="225"/>
      <c r="F5137" s="1036" t="str">
        <f t="shared" si="1796"/>
        <v/>
      </c>
      <c r="G5137" s="1037" t="str">
        <f t="shared" si="1791"/>
        <v/>
      </c>
      <c r="H5137" s="225"/>
      <c r="I5137" s="1013"/>
      <c r="J5137" s="1013"/>
      <c r="K5137" s="1028"/>
      <c r="L5137" s="1035" t="str">
        <f t="shared" si="1795"/>
        <v/>
      </c>
      <c r="S5137" s="498"/>
      <c r="AJ5137" s="498"/>
      <c r="AM5137" s="498">
        <f t="shared" si="1776"/>
        <v>0</v>
      </c>
      <c r="AN5137" s="498">
        <f t="shared" si="1777"/>
        <v>0</v>
      </c>
      <c r="AO5137" s="498">
        <f t="shared" si="1778"/>
        <v>0</v>
      </c>
      <c r="AP5137" s="498">
        <f t="shared" si="1775"/>
        <v>0</v>
      </c>
      <c r="AQ5137" s="498">
        <f t="shared" si="1792"/>
        <v>0</v>
      </c>
      <c r="AU5137" s="498">
        <f t="shared" si="1779"/>
        <v>0</v>
      </c>
      <c r="AV5137" s="498">
        <f t="shared" si="1780"/>
        <v>0</v>
      </c>
      <c r="AW5137" s="498">
        <f t="shared" si="1781"/>
        <v>0</v>
      </c>
      <c r="AX5137" s="498">
        <f t="shared" si="1782"/>
        <v>0</v>
      </c>
      <c r="AY5137" s="498">
        <f t="shared" si="1783"/>
        <v>0</v>
      </c>
      <c r="BB5137" s="498" t="str">
        <f t="shared" si="1784"/>
        <v/>
      </c>
      <c r="BC5137" s="743" t="str">
        <f t="shared" si="1785"/>
        <v/>
      </c>
      <c r="BD5137" s="743" t="str">
        <f t="shared" si="1786"/>
        <v/>
      </c>
      <c r="BE5137" s="743" t="str">
        <f>IF(D5137="","",VLOOKUP(D5137,'General Basis'!$J$39:$K$46,2,0))</f>
        <v/>
      </c>
      <c r="BF5137" s="744" t="str">
        <f>IF(D5137="","",VLOOKUP(D5137,'General Basis'!$J$39:$L$46,3,0))</f>
        <v/>
      </c>
      <c r="BG5137" s="744" t="str">
        <f t="shared" si="1793"/>
        <v/>
      </c>
      <c r="BH5137" s="744" t="str">
        <f>IF(G5137="","",IF(BF5137="Abu Dhabi",IF(G5137&lt;18,'General Basis'!$C$39,IF(G5137&lt;41,'General Basis'!$C$40,IF(G5137&lt;60,'General Basis'!$C$41,IF(G5137&lt;65,'General Basis'!$C$42,'General Basis'!$C$43)))),IF(G5137&lt;11,'General Basis'!$B$39,IF(G5137&lt;18,'General Basis'!$B$40,IF(G5137&lt;26,'General Basis'!$B$41,IF(G5137&lt;31,'General Basis'!$B$42,IF(G5137&lt;36,'General Basis'!$B$43,IF(G5137&lt;41,'General Basis'!$B$44,IF(G5137&lt;46,'General Basis'!$B$45,IF(G5137&lt;51,'General Basis'!$B$46,IF(G5137&lt;56,'General Basis'!$B$47,IF(G5137&lt;60,'General Basis'!$B$48,IF(G5137&lt;65,'General Basis'!$B$49,'General Basis'!$B$50)))))))))))))</f>
        <v/>
      </c>
      <c r="BI5137" s="744" t="str">
        <f t="shared" si="1787"/>
        <v/>
      </c>
      <c r="BJ5137" s="747" t="str">
        <f t="shared" si="1794"/>
        <v/>
      </c>
      <c r="BK5137" s="498" t="str">
        <f t="shared" si="1788"/>
        <v/>
      </c>
      <c r="BL5137" s="498" t="str">
        <f t="shared" si="1789"/>
        <v/>
      </c>
    </row>
    <row r="5138" spans="1:64" x14ac:dyDescent="0.25">
      <c r="A5138" s="762">
        <f t="shared" si="1790"/>
        <v>5133</v>
      </c>
      <c r="B5138" s="229"/>
      <c r="C5138" s="223"/>
      <c r="D5138" s="224"/>
      <c r="E5138" s="225"/>
      <c r="F5138" s="1036" t="str">
        <f t="shared" si="1796"/>
        <v/>
      </c>
      <c r="G5138" s="1037" t="str">
        <f t="shared" si="1791"/>
        <v/>
      </c>
      <c r="H5138" s="225"/>
      <c r="I5138" s="1013"/>
      <c r="J5138" s="1013"/>
      <c r="K5138" s="1028"/>
      <c r="L5138" s="1035" t="str">
        <f t="shared" si="1795"/>
        <v/>
      </c>
      <c r="S5138" s="498"/>
      <c r="AJ5138" s="498"/>
      <c r="AM5138" s="498">
        <f t="shared" si="1776"/>
        <v>0</v>
      </c>
      <c r="AN5138" s="498">
        <f t="shared" si="1777"/>
        <v>0</v>
      </c>
      <c r="AO5138" s="498">
        <f t="shared" si="1778"/>
        <v>0</v>
      </c>
      <c r="AP5138" s="498">
        <f t="shared" si="1775"/>
        <v>0</v>
      </c>
      <c r="AQ5138" s="498">
        <f t="shared" si="1792"/>
        <v>0</v>
      </c>
      <c r="AU5138" s="498">
        <f t="shared" si="1779"/>
        <v>0</v>
      </c>
      <c r="AV5138" s="498">
        <f t="shared" si="1780"/>
        <v>0</v>
      </c>
      <c r="AW5138" s="498">
        <f t="shared" si="1781"/>
        <v>0</v>
      </c>
      <c r="AX5138" s="498">
        <f t="shared" si="1782"/>
        <v>0</v>
      </c>
      <c r="AY5138" s="498">
        <f t="shared" si="1783"/>
        <v>0</v>
      </c>
      <c r="BB5138" s="498" t="str">
        <f t="shared" si="1784"/>
        <v/>
      </c>
      <c r="BC5138" s="743" t="str">
        <f t="shared" si="1785"/>
        <v/>
      </c>
      <c r="BD5138" s="743" t="str">
        <f t="shared" si="1786"/>
        <v/>
      </c>
      <c r="BE5138" s="743" t="str">
        <f>IF(D5138="","",VLOOKUP(D5138,'General Basis'!$J$39:$K$46,2,0))</f>
        <v/>
      </c>
      <c r="BF5138" s="744" t="str">
        <f>IF(D5138="","",VLOOKUP(D5138,'General Basis'!$J$39:$L$46,3,0))</f>
        <v/>
      </c>
      <c r="BG5138" s="744" t="str">
        <f t="shared" si="1793"/>
        <v/>
      </c>
      <c r="BH5138" s="744" t="str">
        <f>IF(G5138="","",IF(BF5138="Abu Dhabi",IF(G5138&lt;18,'General Basis'!$C$39,IF(G5138&lt;41,'General Basis'!$C$40,IF(G5138&lt;60,'General Basis'!$C$41,IF(G5138&lt;65,'General Basis'!$C$42,'General Basis'!$C$43)))),IF(G5138&lt;11,'General Basis'!$B$39,IF(G5138&lt;18,'General Basis'!$B$40,IF(G5138&lt;26,'General Basis'!$B$41,IF(G5138&lt;31,'General Basis'!$B$42,IF(G5138&lt;36,'General Basis'!$B$43,IF(G5138&lt;41,'General Basis'!$B$44,IF(G5138&lt;46,'General Basis'!$B$45,IF(G5138&lt;51,'General Basis'!$B$46,IF(G5138&lt;56,'General Basis'!$B$47,IF(G5138&lt;60,'General Basis'!$B$48,IF(G5138&lt;65,'General Basis'!$B$49,'General Basis'!$B$50)))))))))))))</f>
        <v/>
      </c>
      <c r="BI5138" s="744" t="str">
        <f t="shared" si="1787"/>
        <v/>
      </c>
      <c r="BJ5138" s="747" t="str">
        <f t="shared" si="1794"/>
        <v/>
      </c>
      <c r="BK5138" s="498" t="str">
        <f t="shared" si="1788"/>
        <v/>
      </c>
      <c r="BL5138" s="498" t="str">
        <f t="shared" si="1789"/>
        <v/>
      </c>
    </row>
    <row r="5139" spans="1:64" x14ac:dyDescent="0.25">
      <c r="A5139" s="762">
        <f t="shared" si="1790"/>
        <v>5134</v>
      </c>
      <c r="B5139" s="229"/>
      <c r="C5139" s="223"/>
      <c r="D5139" s="224"/>
      <c r="E5139" s="225"/>
      <c r="F5139" s="1036" t="str">
        <f t="shared" si="1796"/>
        <v/>
      </c>
      <c r="G5139" s="1037" t="str">
        <f t="shared" si="1791"/>
        <v/>
      </c>
      <c r="H5139" s="225"/>
      <c r="I5139" s="1013"/>
      <c r="J5139" s="1013"/>
      <c r="K5139" s="1028"/>
      <c r="L5139" s="1035" t="str">
        <f t="shared" si="1795"/>
        <v/>
      </c>
      <c r="S5139" s="498"/>
      <c r="AJ5139" s="498"/>
      <c r="AM5139" s="498">
        <f t="shared" si="1776"/>
        <v>0</v>
      </c>
      <c r="AN5139" s="498">
        <f t="shared" si="1777"/>
        <v>0</v>
      </c>
      <c r="AO5139" s="498">
        <f t="shared" si="1778"/>
        <v>0</v>
      </c>
      <c r="AP5139" s="498">
        <f t="shared" ref="AP5139:AP5202" si="1797">IF(ISBLANK($B5139),0,IF(OR($C5139="M",$C5139="F"),0,1))</f>
        <v>0</v>
      </c>
      <c r="AQ5139" s="498">
        <f t="shared" si="1792"/>
        <v>0</v>
      </c>
      <c r="AU5139" s="498">
        <f t="shared" si="1779"/>
        <v>0</v>
      </c>
      <c r="AV5139" s="498">
        <f t="shared" si="1780"/>
        <v>0</v>
      </c>
      <c r="AW5139" s="498">
        <f t="shared" si="1781"/>
        <v>0</v>
      </c>
      <c r="AX5139" s="498">
        <f t="shared" si="1782"/>
        <v>0</v>
      </c>
      <c r="AY5139" s="498">
        <f t="shared" si="1783"/>
        <v>0</v>
      </c>
      <c r="BB5139" s="498" t="str">
        <f t="shared" si="1784"/>
        <v/>
      </c>
      <c r="BC5139" s="743" t="str">
        <f t="shared" si="1785"/>
        <v/>
      </c>
      <c r="BD5139" s="743" t="str">
        <f t="shared" si="1786"/>
        <v/>
      </c>
      <c r="BE5139" s="743" t="str">
        <f>IF(D5139="","",VLOOKUP(D5139,'General Basis'!$J$39:$K$46,2,0))</f>
        <v/>
      </c>
      <c r="BF5139" s="744" t="str">
        <f>IF(D5139="","",VLOOKUP(D5139,'General Basis'!$J$39:$L$46,3,0))</f>
        <v/>
      </c>
      <c r="BG5139" s="744" t="str">
        <f t="shared" si="1793"/>
        <v/>
      </c>
      <c r="BH5139" s="744" t="str">
        <f>IF(G5139="","",IF(BF5139="Abu Dhabi",IF(G5139&lt;18,'General Basis'!$C$39,IF(G5139&lt;41,'General Basis'!$C$40,IF(G5139&lt;60,'General Basis'!$C$41,IF(G5139&lt;65,'General Basis'!$C$42,'General Basis'!$C$43)))),IF(G5139&lt;11,'General Basis'!$B$39,IF(G5139&lt;18,'General Basis'!$B$40,IF(G5139&lt;26,'General Basis'!$B$41,IF(G5139&lt;31,'General Basis'!$B$42,IF(G5139&lt;36,'General Basis'!$B$43,IF(G5139&lt;41,'General Basis'!$B$44,IF(G5139&lt;46,'General Basis'!$B$45,IF(G5139&lt;51,'General Basis'!$B$46,IF(G5139&lt;56,'General Basis'!$B$47,IF(G5139&lt;60,'General Basis'!$B$48,IF(G5139&lt;65,'General Basis'!$B$49,'General Basis'!$B$50)))))))))))))</f>
        <v/>
      </c>
      <c r="BI5139" s="744" t="str">
        <f t="shared" si="1787"/>
        <v/>
      </c>
      <c r="BJ5139" s="747" t="str">
        <f t="shared" si="1794"/>
        <v/>
      </c>
      <c r="BK5139" s="498" t="str">
        <f t="shared" si="1788"/>
        <v/>
      </c>
      <c r="BL5139" s="498" t="str">
        <f t="shared" si="1789"/>
        <v/>
      </c>
    </row>
    <row r="5140" spans="1:64" x14ac:dyDescent="0.25">
      <c r="A5140" s="762">
        <f t="shared" si="1790"/>
        <v>5135</v>
      </c>
      <c r="B5140" s="229"/>
      <c r="C5140" s="223"/>
      <c r="D5140" s="224"/>
      <c r="E5140" s="225"/>
      <c r="F5140" s="1036" t="str">
        <f t="shared" si="1796"/>
        <v/>
      </c>
      <c r="G5140" s="1037" t="str">
        <f t="shared" si="1791"/>
        <v/>
      </c>
      <c r="H5140" s="225"/>
      <c r="I5140" s="1013"/>
      <c r="J5140" s="1013"/>
      <c r="K5140" s="1028"/>
      <c r="L5140" s="1035" t="str">
        <f t="shared" si="1795"/>
        <v/>
      </c>
      <c r="S5140" s="498"/>
      <c r="AJ5140" s="498"/>
      <c r="AM5140" s="498">
        <f t="shared" si="1776"/>
        <v>0</v>
      </c>
      <c r="AN5140" s="498">
        <f t="shared" si="1777"/>
        <v>0</v>
      </c>
      <c r="AO5140" s="498">
        <f t="shared" si="1778"/>
        <v>0</v>
      </c>
      <c r="AP5140" s="498">
        <f t="shared" si="1797"/>
        <v>0</v>
      </c>
      <c r="AQ5140" s="498">
        <f t="shared" si="1792"/>
        <v>0</v>
      </c>
      <c r="AU5140" s="498">
        <f t="shared" si="1779"/>
        <v>0</v>
      </c>
      <c r="AV5140" s="498">
        <f t="shared" si="1780"/>
        <v>0</v>
      </c>
      <c r="AW5140" s="498">
        <f t="shared" si="1781"/>
        <v>0</v>
      </c>
      <c r="AX5140" s="498">
        <f t="shared" si="1782"/>
        <v>0</v>
      </c>
      <c r="AY5140" s="498">
        <f t="shared" si="1783"/>
        <v>0</v>
      </c>
      <c r="BB5140" s="498" t="str">
        <f t="shared" si="1784"/>
        <v/>
      </c>
      <c r="BC5140" s="743" t="str">
        <f t="shared" si="1785"/>
        <v/>
      </c>
      <c r="BD5140" s="743" t="str">
        <f t="shared" si="1786"/>
        <v/>
      </c>
      <c r="BE5140" s="743" t="str">
        <f>IF(D5140="","",VLOOKUP(D5140,'General Basis'!$J$39:$K$46,2,0))</f>
        <v/>
      </c>
      <c r="BF5140" s="744" t="str">
        <f>IF(D5140="","",VLOOKUP(D5140,'General Basis'!$J$39:$L$46,3,0))</f>
        <v/>
      </c>
      <c r="BG5140" s="744" t="str">
        <f t="shared" si="1793"/>
        <v/>
      </c>
      <c r="BH5140" s="744" t="str">
        <f>IF(G5140="","",IF(BF5140="Abu Dhabi",IF(G5140&lt;18,'General Basis'!$C$39,IF(G5140&lt;41,'General Basis'!$C$40,IF(G5140&lt;60,'General Basis'!$C$41,IF(G5140&lt;65,'General Basis'!$C$42,'General Basis'!$C$43)))),IF(G5140&lt;11,'General Basis'!$B$39,IF(G5140&lt;18,'General Basis'!$B$40,IF(G5140&lt;26,'General Basis'!$B$41,IF(G5140&lt;31,'General Basis'!$B$42,IF(G5140&lt;36,'General Basis'!$B$43,IF(G5140&lt;41,'General Basis'!$B$44,IF(G5140&lt;46,'General Basis'!$B$45,IF(G5140&lt;51,'General Basis'!$B$46,IF(G5140&lt;56,'General Basis'!$B$47,IF(G5140&lt;60,'General Basis'!$B$48,IF(G5140&lt;65,'General Basis'!$B$49,'General Basis'!$B$50)))))))))))))</f>
        <v/>
      </c>
      <c r="BI5140" s="744" t="str">
        <f t="shared" si="1787"/>
        <v/>
      </c>
      <c r="BJ5140" s="747" t="str">
        <f t="shared" si="1794"/>
        <v/>
      </c>
      <c r="BK5140" s="498" t="str">
        <f t="shared" si="1788"/>
        <v/>
      </c>
      <c r="BL5140" s="498" t="str">
        <f t="shared" si="1789"/>
        <v/>
      </c>
    </row>
    <row r="5141" spans="1:64" x14ac:dyDescent="0.25">
      <c r="A5141" s="762">
        <f t="shared" si="1790"/>
        <v>5136</v>
      </c>
      <c r="B5141" s="229"/>
      <c r="C5141" s="223"/>
      <c r="D5141" s="224"/>
      <c r="E5141" s="225"/>
      <c r="F5141" s="1036" t="str">
        <f t="shared" si="1796"/>
        <v/>
      </c>
      <c r="G5141" s="1037" t="str">
        <f t="shared" si="1791"/>
        <v/>
      </c>
      <c r="H5141" s="225"/>
      <c r="I5141" s="1013"/>
      <c r="J5141" s="1013"/>
      <c r="K5141" s="1028"/>
      <c r="L5141" s="1035" t="str">
        <f t="shared" si="1795"/>
        <v/>
      </c>
      <c r="S5141" s="498"/>
      <c r="AJ5141" s="498"/>
      <c r="AM5141" s="498">
        <f t="shared" si="1776"/>
        <v>0</v>
      </c>
      <c r="AN5141" s="498">
        <f t="shared" si="1777"/>
        <v>0</v>
      </c>
      <c r="AO5141" s="498">
        <f t="shared" si="1778"/>
        <v>0</v>
      </c>
      <c r="AP5141" s="498">
        <f t="shared" si="1797"/>
        <v>0</v>
      </c>
      <c r="AQ5141" s="498">
        <f t="shared" si="1792"/>
        <v>0</v>
      </c>
      <c r="AU5141" s="498">
        <f t="shared" si="1779"/>
        <v>0</v>
      </c>
      <c r="AV5141" s="498">
        <f t="shared" si="1780"/>
        <v>0</v>
      </c>
      <c r="AW5141" s="498">
        <f t="shared" si="1781"/>
        <v>0</v>
      </c>
      <c r="AX5141" s="498">
        <f t="shared" si="1782"/>
        <v>0</v>
      </c>
      <c r="AY5141" s="498">
        <f t="shared" si="1783"/>
        <v>0</v>
      </c>
      <c r="BB5141" s="498" t="str">
        <f t="shared" si="1784"/>
        <v/>
      </c>
      <c r="BC5141" s="743" t="str">
        <f t="shared" si="1785"/>
        <v/>
      </c>
      <c r="BD5141" s="743" t="str">
        <f t="shared" si="1786"/>
        <v/>
      </c>
      <c r="BE5141" s="743" t="str">
        <f>IF(D5141="","",VLOOKUP(D5141,'General Basis'!$J$39:$K$46,2,0))</f>
        <v/>
      </c>
      <c r="BF5141" s="744" t="str">
        <f>IF(D5141="","",VLOOKUP(D5141,'General Basis'!$J$39:$L$46,3,0))</f>
        <v/>
      </c>
      <c r="BG5141" s="744" t="str">
        <f t="shared" si="1793"/>
        <v/>
      </c>
      <c r="BH5141" s="744" t="str">
        <f>IF(G5141="","",IF(BF5141="Abu Dhabi",IF(G5141&lt;18,'General Basis'!$C$39,IF(G5141&lt;41,'General Basis'!$C$40,IF(G5141&lt;60,'General Basis'!$C$41,IF(G5141&lt;65,'General Basis'!$C$42,'General Basis'!$C$43)))),IF(G5141&lt;11,'General Basis'!$B$39,IF(G5141&lt;18,'General Basis'!$B$40,IF(G5141&lt;26,'General Basis'!$B$41,IF(G5141&lt;31,'General Basis'!$B$42,IF(G5141&lt;36,'General Basis'!$B$43,IF(G5141&lt;41,'General Basis'!$B$44,IF(G5141&lt;46,'General Basis'!$B$45,IF(G5141&lt;51,'General Basis'!$B$46,IF(G5141&lt;56,'General Basis'!$B$47,IF(G5141&lt;60,'General Basis'!$B$48,IF(G5141&lt;65,'General Basis'!$B$49,'General Basis'!$B$50)))))))))))))</f>
        <v/>
      </c>
      <c r="BI5141" s="744" t="str">
        <f t="shared" si="1787"/>
        <v/>
      </c>
      <c r="BJ5141" s="747" t="str">
        <f t="shared" si="1794"/>
        <v/>
      </c>
      <c r="BK5141" s="498" t="str">
        <f t="shared" si="1788"/>
        <v/>
      </c>
      <c r="BL5141" s="498" t="str">
        <f t="shared" si="1789"/>
        <v/>
      </c>
    </row>
    <row r="5142" spans="1:64" x14ac:dyDescent="0.25">
      <c r="A5142" s="762">
        <f t="shared" si="1790"/>
        <v>5137</v>
      </c>
      <c r="B5142" s="229"/>
      <c r="C5142" s="223"/>
      <c r="D5142" s="224"/>
      <c r="E5142" s="225"/>
      <c r="F5142" s="1036" t="str">
        <f t="shared" si="1796"/>
        <v/>
      </c>
      <c r="G5142" s="1037" t="str">
        <f t="shared" si="1791"/>
        <v/>
      </c>
      <c r="H5142" s="225"/>
      <c r="I5142" s="1013"/>
      <c r="J5142" s="1013"/>
      <c r="K5142" s="1028"/>
      <c r="L5142" s="1035" t="str">
        <f t="shared" si="1795"/>
        <v/>
      </c>
      <c r="S5142" s="498"/>
      <c r="AJ5142" s="498"/>
      <c r="AM5142" s="498">
        <f t="shared" si="1776"/>
        <v>0</v>
      </c>
      <c r="AN5142" s="498">
        <f t="shared" si="1777"/>
        <v>0</v>
      </c>
      <c r="AO5142" s="498">
        <f t="shared" si="1778"/>
        <v>0</v>
      </c>
      <c r="AP5142" s="498">
        <f t="shared" si="1797"/>
        <v>0</v>
      </c>
      <c r="AQ5142" s="498">
        <f t="shared" si="1792"/>
        <v>0</v>
      </c>
      <c r="AU5142" s="498">
        <f t="shared" si="1779"/>
        <v>0</v>
      </c>
      <c r="AV5142" s="498">
        <f t="shared" si="1780"/>
        <v>0</v>
      </c>
      <c r="AW5142" s="498">
        <f t="shared" si="1781"/>
        <v>0</v>
      </c>
      <c r="AX5142" s="498">
        <f t="shared" si="1782"/>
        <v>0</v>
      </c>
      <c r="AY5142" s="498">
        <f t="shared" si="1783"/>
        <v>0</v>
      </c>
      <c r="BB5142" s="498" t="str">
        <f t="shared" si="1784"/>
        <v/>
      </c>
      <c r="BC5142" s="743" t="str">
        <f t="shared" si="1785"/>
        <v/>
      </c>
      <c r="BD5142" s="743" t="str">
        <f t="shared" si="1786"/>
        <v/>
      </c>
      <c r="BE5142" s="743" t="str">
        <f>IF(D5142="","",VLOOKUP(D5142,'General Basis'!$J$39:$K$46,2,0))</f>
        <v/>
      </c>
      <c r="BF5142" s="744" t="str">
        <f>IF(D5142="","",VLOOKUP(D5142,'General Basis'!$J$39:$L$46,3,0))</f>
        <v/>
      </c>
      <c r="BG5142" s="744" t="str">
        <f t="shared" si="1793"/>
        <v/>
      </c>
      <c r="BH5142" s="744" t="str">
        <f>IF(G5142="","",IF(BF5142="Abu Dhabi",IF(G5142&lt;18,'General Basis'!$C$39,IF(G5142&lt;41,'General Basis'!$C$40,IF(G5142&lt;60,'General Basis'!$C$41,IF(G5142&lt;65,'General Basis'!$C$42,'General Basis'!$C$43)))),IF(G5142&lt;11,'General Basis'!$B$39,IF(G5142&lt;18,'General Basis'!$B$40,IF(G5142&lt;26,'General Basis'!$B$41,IF(G5142&lt;31,'General Basis'!$B$42,IF(G5142&lt;36,'General Basis'!$B$43,IF(G5142&lt;41,'General Basis'!$B$44,IF(G5142&lt;46,'General Basis'!$B$45,IF(G5142&lt;51,'General Basis'!$B$46,IF(G5142&lt;56,'General Basis'!$B$47,IF(G5142&lt;60,'General Basis'!$B$48,IF(G5142&lt;65,'General Basis'!$B$49,'General Basis'!$B$50)))))))))))))</f>
        <v/>
      </c>
      <c r="BI5142" s="744" t="str">
        <f t="shared" si="1787"/>
        <v/>
      </c>
      <c r="BJ5142" s="747" t="str">
        <f t="shared" si="1794"/>
        <v/>
      </c>
      <c r="BK5142" s="498" t="str">
        <f t="shared" si="1788"/>
        <v/>
      </c>
      <c r="BL5142" s="498" t="str">
        <f t="shared" si="1789"/>
        <v/>
      </c>
    </row>
    <row r="5143" spans="1:64" x14ac:dyDescent="0.25">
      <c r="A5143" s="762">
        <f t="shared" si="1790"/>
        <v>5138</v>
      </c>
      <c r="B5143" s="229"/>
      <c r="C5143" s="223"/>
      <c r="D5143" s="224"/>
      <c r="E5143" s="225"/>
      <c r="F5143" s="1036" t="str">
        <f t="shared" si="1796"/>
        <v/>
      </c>
      <c r="G5143" s="1037" t="str">
        <f t="shared" si="1791"/>
        <v/>
      </c>
      <c r="H5143" s="225"/>
      <c r="I5143" s="1013"/>
      <c r="J5143" s="1013"/>
      <c r="K5143" s="1028"/>
      <c r="L5143" s="1035" t="str">
        <f t="shared" si="1795"/>
        <v/>
      </c>
      <c r="S5143" s="498"/>
      <c r="AJ5143" s="498"/>
      <c r="AM5143" s="498">
        <f t="shared" si="1776"/>
        <v>0</v>
      </c>
      <c r="AN5143" s="498">
        <f t="shared" si="1777"/>
        <v>0</v>
      </c>
      <c r="AO5143" s="498">
        <f t="shared" si="1778"/>
        <v>0</v>
      </c>
      <c r="AP5143" s="498">
        <f t="shared" si="1797"/>
        <v>0</v>
      </c>
      <c r="AQ5143" s="498">
        <f t="shared" si="1792"/>
        <v>0</v>
      </c>
      <c r="AU5143" s="498">
        <f t="shared" si="1779"/>
        <v>0</v>
      </c>
      <c r="AV5143" s="498">
        <f t="shared" si="1780"/>
        <v>0</v>
      </c>
      <c r="AW5143" s="498">
        <f t="shared" si="1781"/>
        <v>0</v>
      </c>
      <c r="AX5143" s="498">
        <f t="shared" si="1782"/>
        <v>0</v>
      </c>
      <c r="AY5143" s="498">
        <f t="shared" si="1783"/>
        <v>0</v>
      </c>
      <c r="BB5143" s="498" t="str">
        <f t="shared" si="1784"/>
        <v/>
      </c>
      <c r="BC5143" s="743" t="str">
        <f t="shared" si="1785"/>
        <v/>
      </c>
      <c r="BD5143" s="743" t="str">
        <f t="shared" si="1786"/>
        <v/>
      </c>
      <c r="BE5143" s="743" t="str">
        <f>IF(D5143="","",VLOOKUP(D5143,'General Basis'!$J$39:$K$46,2,0))</f>
        <v/>
      </c>
      <c r="BF5143" s="744" t="str">
        <f>IF(D5143="","",VLOOKUP(D5143,'General Basis'!$J$39:$L$46,3,0))</f>
        <v/>
      </c>
      <c r="BG5143" s="744" t="str">
        <f t="shared" si="1793"/>
        <v/>
      </c>
      <c r="BH5143" s="744" t="str">
        <f>IF(G5143="","",IF(BF5143="Abu Dhabi",IF(G5143&lt;18,'General Basis'!$C$39,IF(G5143&lt;41,'General Basis'!$C$40,IF(G5143&lt;60,'General Basis'!$C$41,IF(G5143&lt;65,'General Basis'!$C$42,'General Basis'!$C$43)))),IF(G5143&lt;11,'General Basis'!$B$39,IF(G5143&lt;18,'General Basis'!$B$40,IF(G5143&lt;26,'General Basis'!$B$41,IF(G5143&lt;31,'General Basis'!$B$42,IF(G5143&lt;36,'General Basis'!$B$43,IF(G5143&lt;41,'General Basis'!$B$44,IF(G5143&lt;46,'General Basis'!$B$45,IF(G5143&lt;51,'General Basis'!$B$46,IF(G5143&lt;56,'General Basis'!$B$47,IF(G5143&lt;60,'General Basis'!$B$48,IF(G5143&lt;65,'General Basis'!$B$49,'General Basis'!$B$50)))))))))))))</f>
        <v/>
      </c>
      <c r="BI5143" s="744" t="str">
        <f t="shared" si="1787"/>
        <v/>
      </c>
      <c r="BJ5143" s="747" t="str">
        <f t="shared" si="1794"/>
        <v/>
      </c>
      <c r="BK5143" s="498" t="str">
        <f t="shared" si="1788"/>
        <v/>
      </c>
      <c r="BL5143" s="498" t="str">
        <f t="shared" si="1789"/>
        <v/>
      </c>
    </row>
    <row r="5144" spans="1:64" x14ac:dyDescent="0.25">
      <c r="A5144" s="762">
        <f t="shared" si="1790"/>
        <v>5139</v>
      </c>
      <c r="B5144" s="229"/>
      <c r="C5144" s="223"/>
      <c r="D5144" s="224"/>
      <c r="E5144" s="225"/>
      <c r="F5144" s="1036" t="str">
        <f t="shared" si="1796"/>
        <v/>
      </c>
      <c r="G5144" s="1037" t="str">
        <f t="shared" si="1791"/>
        <v/>
      </c>
      <c r="H5144" s="225"/>
      <c r="I5144" s="1013"/>
      <c r="J5144" s="1013"/>
      <c r="K5144" s="1028"/>
      <c r="L5144" s="1035" t="str">
        <f t="shared" si="1795"/>
        <v/>
      </c>
      <c r="S5144" s="498"/>
      <c r="AJ5144" s="498"/>
      <c r="AM5144" s="498">
        <f t="shared" si="1776"/>
        <v>0</v>
      </c>
      <c r="AN5144" s="498">
        <f t="shared" si="1777"/>
        <v>0</v>
      </c>
      <c r="AO5144" s="498">
        <f t="shared" si="1778"/>
        <v>0</v>
      </c>
      <c r="AP5144" s="498">
        <f t="shared" si="1797"/>
        <v>0</v>
      </c>
      <c r="AQ5144" s="498">
        <f t="shared" si="1792"/>
        <v>0</v>
      </c>
      <c r="AU5144" s="498">
        <f t="shared" si="1779"/>
        <v>0</v>
      </c>
      <c r="AV5144" s="498">
        <f t="shared" si="1780"/>
        <v>0</v>
      </c>
      <c r="AW5144" s="498">
        <f t="shared" si="1781"/>
        <v>0</v>
      </c>
      <c r="AX5144" s="498">
        <f t="shared" si="1782"/>
        <v>0</v>
      </c>
      <c r="AY5144" s="498">
        <f t="shared" si="1783"/>
        <v>0</v>
      </c>
      <c r="BB5144" s="498" t="str">
        <f t="shared" si="1784"/>
        <v/>
      </c>
      <c r="BC5144" s="743" t="str">
        <f t="shared" si="1785"/>
        <v/>
      </c>
      <c r="BD5144" s="743" t="str">
        <f t="shared" si="1786"/>
        <v/>
      </c>
      <c r="BE5144" s="743" t="str">
        <f>IF(D5144="","",VLOOKUP(D5144,'General Basis'!$J$39:$K$46,2,0))</f>
        <v/>
      </c>
      <c r="BF5144" s="744" t="str">
        <f>IF(D5144="","",VLOOKUP(D5144,'General Basis'!$J$39:$L$46,3,0))</f>
        <v/>
      </c>
      <c r="BG5144" s="744" t="str">
        <f t="shared" si="1793"/>
        <v/>
      </c>
      <c r="BH5144" s="744" t="str">
        <f>IF(G5144="","",IF(BF5144="Abu Dhabi",IF(G5144&lt;18,'General Basis'!$C$39,IF(G5144&lt;41,'General Basis'!$C$40,IF(G5144&lt;60,'General Basis'!$C$41,IF(G5144&lt;65,'General Basis'!$C$42,'General Basis'!$C$43)))),IF(G5144&lt;11,'General Basis'!$B$39,IF(G5144&lt;18,'General Basis'!$B$40,IF(G5144&lt;26,'General Basis'!$B$41,IF(G5144&lt;31,'General Basis'!$B$42,IF(G5144&lt;36,'General Basis'!$B$43,IF(G5144&lt;41,'General Basis'!$B$44,IF(G5144&lt;46,'General Basis'!$B$45,IF(G5144&lt;51,'General Basis'!$B$46,IF(G5144&lt;56,'General Basis'!$B$47,IF(G5144&lt;60,'General Basis'!$B$48,IF(G5144&lt;65,'General Basis'!$B$49,'General Basis'!$B$50)))))))))))))</f>
        <v/>
      </c>
      <c r="BI5144" s="744" t="str">
        <f t="shared" si="1787"/>
        <v/>
      </c>
      <c r="BJ5144" s="747" t="str">
        <f t="shared" si="1794"/>
        <v/>
      </c>
      <c r="BK5144" s="498" t="str">
        <f t="shared" si="1788"/>
        <v/>
      </c>
      <c r="BL5144" s="498" t="str">
        <f t="shared" si="1789"/>
        <v/>
      </c>
    </row>
    <row r="5145" spans="1:64" x14ac:dyDescent="0.25">
      <c r="A5145" s="762">
        <f t="shared" si="1790"/>
        <v>5140</v>
      </c>
      <c r="B5145" s="229"/>
      <c r="C5145" s="223"/>
      <c r="D5145" s="224"/>
      <c r="E5145" s="225"/>
      <c r="F5145" s="1036" t="str">
        <f t="shared" si="1796"/>
        <v/>
      </c>
      <c r="G5145" s="1037" t="str">
        <f t="shared" si="1791"/>
        <v/>
      </c>
      <c r="H5145" s="225"/>
      <c r="I5145" s="1013"/>
      <c r="J5145" s="1013"/>
      <c r="K5145" s="1028"/>
      <c r="L5145" s="1035" t="str">
        <f t="shared" si="1795"/>
        <v/>
      </c>
      <c r="S5145" s="498"/>
      <c r="AJ5145" s="498"/>
      <c r="AM5145" s="498">
        <f t="shared" si="1776"/>
        <v>0</v>
      </c>
      <c r="AN5145" s="498">
        <f t="shared" si="1777"/>
        <v>0</v>
      </c>
      <c r="AO5145" s="498">
        <f t="shared" si="1778"/>
        <v>0</v>
      </c>
      <c r="AP5145" s="498">
        <f t="shared" si="1797"/>
        <v>0</v>
      </c>
      <c r="AQ5145" s="498">
        <f t="shared" si="1792"/>
        <v>0</v>
      </c>
      <c r="AU5145" s="498">
        <f t="shared" si="1779"/>
        <v>0</v>
      </c>
      <c r="AV5145" s="498">
        <f t="shared" si="1780"/>
        <v>0</v>
      </c>
      <c r="AW5145" s="498">
        <f t="shared" si="1781"/>
        <v>0</v>
      </c>
      <c r="AX5145" s="498">
        <f t="shared" si="1782"/>
        <v>0</v>
      </c>
      <c r="AY5145" s="498">
        <f t="shared" si="1783"/>
        <v>0</v>
      </c>
      <c r="BB5145" s="498" t="str">
        <f t="shared" si="1784"/>
        <v/>
      </c>
      <c r="BC5145" s="743" t="str">
        <f t="shared" si="1785"/>
        <v/>
      </c>
      <c r="BD5145" s="743" t="str">
        <f t="shared" si="1786"/>
        <v/>
      </c>
      <c r="BE5145" s="743" t="str">
        <f>IF(D5145="","",VLOOKUP(D5145,'General Basis'!$J$39:$K$46,2,0))</f>
        <v/>
      </c>
      <c r="BF5145" s="744" t="str">
        <f>IF(D5145="","",VLOOKUP(D5145,'General Basis'!$J$39:$L$46,3,0))</f>
        <v/>
      </c>
      <c r="BG5145" s="744" t="str">
        <f t="shared" si="1793"/>
        <v/>
      </c>
      <c r="BH5145" s="744" t="str">
        <f>IF(G5145="","",IF(BF5145="Abu Dhabi",IF(G5145&lt;18,'General Basis'!$C$39,IF(G5145&lt;41,'General Basis'!$C$40,IF(G5145&lt;60,'General Basis'!$C$41,IF(G5145&lt;65,'General Basis'!$C$42,'General Basis'!$C$43)))),IF(G5145&lt;11,'General Basis'!$B$39,IF(G5145&lt;18,'General Basis'!$B$40,IF(G5145&lt;26,'General Basis'!$B$41,IF(G5145&lt;31,'General Basis'!$B$42,IF(G5145&lt;36,'General Basis'!$B$43,IF(G5145&lt;41,'General Basis'!$B$44,IF(G5145&lt;46,'General Basis'!$B$45,IF(G5145&lt;51,'General Basis'!$B$46,IF(G5145&lt;56,'General Basis'!$B$47,IF(G5145&lt;60,'General Basis'!$B$48,IF(G5145&lt;65,'General Basis'!$B$49,'General Basis'!$B$50)))))))))))))</f>
        <v/>
      </c>
      <c r="BI5145" s="744" t="str">
        <f t="shared" si="1787"/>
        <v/>
      </c>
      <c r="BJ5145" s="747" t="str">
        <f t="shared" si="1794"/>
        <v/>
      </c>
      <c r="BK5145" s="498" t="str">
        <f t="shared" si="1788"/>
        <v/>
      </c>
      <c r="BL5145" s="498" t="str">
        <f t="shared" si="1789"/>
        <v/>
      </c>
    </row>
    <row r="5146" spans="1:64" x14ac:dyDescent="0.25">
      <c r="A5146" s="762">
        <f t="shared" si="1790"/>
        <v>5141</v>
      </c>
      <c r="B5146" s="229"/>
      <c r="C5146" s="223"/>
      <c r="D5146" s="224"/>
      <c r="E5146" s="225"/>
      <c r="F5146" s="1036" t="str">
        <f t="shared" si="1796"/>
        <v/>
      </c>
      <c r="G5146" s="1037" t="str">
        <f t="shared" si="1791"/>
        <v/>
      </c>
      <c r="H5146" s="225"/>
      <c r="I5146" s="1013"/>
      <c r="J5146" s="1013"/>
      <c r="K5146" s="1028"/>
      <c r="L5146" s="1035" t="str">
        <f t="shared" si="1795"/>
        <v/>
      </c>
      <c r="S5146" s="498"/>
      <c r="AJ5146" s="498"/>
      <c r="AM5146" s="498">
        <f t="shared" si="1776"/>
        <v>0</v>
      </c>
      <c r="AN5146" s="498">
        <f t="shared" si="1777"/>
        <v>0</v>
      </c>
      <c r="AO5146" s="498">
        <f t="shared" si="1778"/>
        <v>0</v>
      </c>
      <c r="AP5146" s="498">
        <f t="shared" si="1797"/>
        <v>0</v>
      </c>
      <c r="AQ5146" s="498">
        <f t="shared" si="1792"/>
        <v>0</v>
      </c>
      <c r="AU5146" s="498">
        <f t="shared" si="1779"/>
        <v>0</v>
      </c>
      <c r="AV5146" s="498">
        <f t="shared" si="1780"/>
        <v>0</v>
      </c>
      <c r="AW5146" s="498">
        <f t="shared" si="1781"/>
        <v>0</v>
      </c>
      <c r="AX5146" s="498">
        <f t="shared" si="1782"/>
        <v>0</v>
      </c>
      <c r="AY5146" s="498">
        <f t="shared" si="1783"/>
        <v>0</v>
      </c>
      <c r="BB5146" s="498" t="str">
        <f t="shared" si="1784"/>
        <v/>
      </c>
      <c r="BC5146" s="743" t="str">
        <f t="shared" si="1785"/>
        <v/>
      </c>
      <c r="BD5146" s="743" t="str">
        <f t="shared" si="1786"/>
        <v/>
      </c>
      <c r="BE5146" s="743" t="str">
        <f>IF(D5146="","",VLOOKUP(D5146,'General Basis'!$J$39:$K$46,2,0))</f>
        <v/>
      </c>
      <c r="BF5146" s="744" t="str">
        <f>IF(D5146="","",VLOOKUP(D5146,'General Basis'!$J$39:$L$46,3,0))</f>
        <v/>
      </c>
      <c r="BG5146" s="744" t="str">
        <f t="shared" si="1793"/>
        <v/>
      </c>
      <c r="BH5146" s="744" t="str">
        <f>IF(G5146="","",IF(BF5146="Abu Dhabi",IF(G5146&lt;18,'General Basis'!$C$39,IF(G5146&lt;41,'General Basis'!$C$40,IF(G5146&lt;60,'General Basis'!$C$41,IF(G5146&lt;65,'General Basis'!$C$42,'General Basis'!$C$43)))),IF(G5146&lt;11,'General Basis'!$B$39,IF(G5146&lt;18,'General Basis'!$B$40,IF(G5146&lt;26,'General Basis'!$B$41,IF(G5146&lt;31,'General Basis'!$B$42,IF(G5146&lt;36,'General Basis'!$B$43,IF(G5146&lt;41,'General Basis'!$B$44,IF(G5146&lt;46,'General Basis'!$B$45,IF(G5146&lt;51,'General Basis'!$B$46,IF(G5146&lt;56,'General Basis'!$B$47,IF(G5146&lt;60,'General Basis'!$B$48,IF(G5146&lt;65,'General Basis'!$B$49,'General Basis'!$B$50)))))))))))))</f>
        <v/>
      </c>
      <c r="BI5146" s="744" t="str">
        <f t="shared" si="1787"/>
        <v/>
      </c>
      <c r="BJ5146" s="747" t="str">
        <f t="shared" si="1794"/>
        <v/>
      </c>
      <c r="BK5146" s="498" t="str">
        <f t="shared" si="1788"/>
        <v/>
      </c>
      <c r="BL5146" s="498" t="str">
        <f t="shared" si="1789"/>
        <v/>
      </c>
    </row>
    <row r="5147" spans="1:64" x14ac:dyDescent="0.25">
      <c r="A5147" s="762">
        <f t="shared" si="1790"/>
        <v>5142</v>
      </c>
      <c r="B5147" s="229"/>
      <c r="C5147" s="223"/>
      <c r="D5147" s="224"/>
      <c r="E5147" s="225"/>
      <c r="F5147" s="1036" t="str">
        <f t="shared" si="1796"/>
        <v/>
      </c>
      <c r="G5147" s="1037" t="str">
        <f t="shared" si="1791"/>
        <v/>
      </c>
      <c r="H5147" s="225"/>
      <c r="I5147" s="1013"/>
      <c r="J5147" s="1013"/>
      <c r="K5147" s="1028"/>
      <c r="L5147" s="1035" t="str">
        <f t="shared" si="1795"/>
        <v/>
      </c>
      <c r="S5147" s="498"/>
      <c r="AJ5147" s="498"/>
      <c r="AM5147" s="498">
        <f t="shared" si="1776"/>
        <v>0</v>
      </c>
      <c r="AN5147" s="498">
        <f t="shared" si="1777"/>
        <v>0</v>
      </c>
      <c r="AO5147" s="498">
        <f t="shared" si="1778"/>
        <v>0</v>
      </c>
      <c r="AP5147" s="498">
        <f t="shared" si="1797"/>
        <v>0</v>
      </c>
      <c r="AQ5147" s="498">
        <f t="shared" si="1792"/>
        <v>0</v>
      </c>
      <c r="AU5147" s="498">
        <f t="shared" si="1779"/>
        <v>0</v>
      </c>
      <c r="AV5147" s="498">
        <f t="shared" si="1780"/>
        <v>0</v>
      </c>
      <c r="AW5147" s="498">
        <f t="shared" si="1781"/>
        <v>0</v>
      </c>
      <c r="AX5147" s="498">
        <f t="shared" si="1782"/>
        <v>0</v>
      </c>
      <c r="AY5147" s="498">
        <f t="shared" si="1783"/>
        <v>0</v>
      </c>
      <c r="BB5147" s="498" t="str">
        <f t="shared" si="1784"/>
        <v/>
      </c>
      <c r="BC5147" s="743" t="str">
        <f t="shared" si="1785"/>
        <v/>
      </c>
      <c r="BD5147" s="743" t="str">
        <f t="shared" si="1786"/>
        <v/>
      </c>
      <c r="BE5147" s="743" t="str">
        <f>IF(D5147="","",VLOOKUP(D5147,'General Basis'!$J$39:$K$46,2,0))</f>
        <v/>
      </c>
      <c r="BF5147" s="744" t="str">
        <f>IF(D5147="","",VLOOKUP(D5147,'General Basis'!$J$39:$L$46,3,0))</f>
        <v/>
      </c>
      <c r="BG5147" s="744" t="str">
        <f t="shared" si="1793"/>
        <v/>
      </c>
      <c r="BH5147" s="744" t="str">
        <f>IF(G5147="","",IF(BF5147="Abu Dhabi",IF(G5147&lt;18,'General Basis'!$C$39,IF(G5147&lt;41,'General Basis'!$C$40,IF(G5147&lt;60,'General Basis'!$C$41,IF(G5147&lt;65,'General Basis'!$C$42,'General Basis'!$C$43)))),IF(G5147&lt;11,'General Basis'!$B$39,IF(G5147&lt;18,'General Basis'!$B$40,IF(G5147&lt;26,'General Basis'!$B$41,IF(G5147&lt;31,'General Basis'!$B$42,IF(G5147&lt;36,'General Basis'!$B$43,IF(G5147&lt;41,'General Basis'!$B$44,IF(G5147&lt;46,'General Basis'!$B$45,IF(G5147&lt;51,'General Basis'!$B$46,IF(G5147&lt;56,'General Basis'!$B$47,IF(G5147&lt;60,'General Basis'!$B$48,IF(G5147&lt;65,'General Basis'!$B$49,'General Basis'!$B$50)))))))))))))</f>
        <v/>
      </c>
      <c r="BI5147" s="744" t="str">
        <f t="shared" si="1787"/>
        <v/>
      </c>
      <c r="BJ5147" s="747" t="str">
        <f t="shared" si="1794"/>
        <v/>
      </c>
      <c r="BK5147" s="498" t="str">
        <f t="shared" si="1788"/>
        <v/>
      </c>
      <c r="BL5147" s="498" t="str">
        <f t="shared" si="1789"/>
        <v/>
      </c>
    </row>
    <row r="5148" spans="1:64" x14ac:dyDescent="0.25">
      <c r="A5148" s="762">
        <f t="shared" si="1790"/>
        <v>5143</v>
      </c>
      <c r="B5148" s="229"/>
      <c r="C5148" s="223"/>
      <c r="D5148" s="224"/>
      <c r="E5148" s="225"/>
      <c r="F5148" s="1036" t="str">
        <f t="shared" si="1796"/>
        <v/>
      </c>
      <c r="G5148" s="1037" t="str">
        <f t="shared" si="1791"/>
        <v/>
      </c>
      <c r="H5148" s="225"/>
      <c r="I5148" s="1013"/>
      <c r="J5148" s="1013"/>
      <c r="K5148" s="1028"/>
      <c r="L5148" s="1035" t="str">
        <f t="shared" si="1795"/>
        <v/>
      </c>
      <c r="S5148" s="498"/>
      <c r="AJ5148" s="498"/>
      <c r="AM5148" s="498">
        <f t="shared" si="1776"/>
        <v>0</v>
      </c>
      <c r="AN5148" s="498">
        <f t="shared" si="1777"/>
        <v>0</v>
      </c>
      <c r="AO5148" s="498">
        <f t="shared" si="1778"/>
        <v>0</v>
      </c>
      <c r="AP5148" s="498">
        <f t="shared" si="1797"/>
        <v>0</v>
      </c>
      <c r="AQ5148" s="498">
        <f t="shared" si="1792"/>
        <v>0</v>
      </c>
      <c r="AU5148" s="498">
        <f t="shared" si="1779"/>
        <v>0</v>
      </c>
      <c r="AV5148" s="498">
        <f t="shared" si="1780"/>
        <v>0</v>
      </c>
      <c r="AW5148" s="498">
        <f t="shared" si="1781"/>
        <v>0</v>
      </c>
      <c r="AX5148" s="498">
        <f t="shared" si="1782"/>
        <v>0</v>
      </c>
      <c r="AY5148" s="498">
        <f t="shared" si="1783"/>
        <v>0</v>
      </c>
      <c r="BB5148" s="498" t="str">
        <f t="shared" si="1784"/>
        <v/>
      </c>
      <c r="BC5148" s="743" t="str">
        <f t="shared" si="1785"/>
        <v/>
      </c>
      <c r="BD5148" s="743" t="str">
        <f t="shared" si="1786"/>
        <v/>
      </c>
      <c r="BE5148" s="743" t="str">
        <f>IF(D5148="","",VLOOKUP(D5148,'General Basis'!$J$39:$K$46,2,0))</f>
        <v/>
      </c>
      <c r="BF5148" s="744" t="str">
        <f>IF(D5148="","",VLOOKUP(D5148,'General Basis'!$J$39:$L$46,3,0))</f>
        <v/>
      </c>
      <c r="BG5148" s="744" t="str">
        <f t="shared" si="1793"/>
        <v/>
      </c>
      <c r="BH5148" s="744" t="str">
        <f>IF(G5148="","",IF(BF5148="Abu Dhabi",IF(G5148&lt;18,'General Basis'!$C$39,IF(G5148&lt;41,'General Basis'!$C$40,IF(G5148&lt;60,'General Basis'!$C$41,IF(G5148&lt;65,'General Basis'!$C$42,'General Basis'!$C$43)))),IF(G5148&lt;11,'General Basis'!$B$39,IF(G5148&lt;18,'General Basis'!$B$40,IF(G5148&lt;26,'General Basis'!$B$41,IF(G5148&lt;31,'General Basis'!$B$42,IF(G5148&lt;36,'General Basis'!$B$43,IF(G5148&lt;41,'General Basis'!$B$44,IF(G5148&lt;46,'General Basis'!$B$45,IF(G5148&lt;51,'General Basis'!$B$46,IF(G5148&lt;56,'General Basis'!$B$47,IF(G5148&lt;60,'General Basis'!$B$48,IF(G5148&lt;65,'General Basis'!$B$49,'General Basis'!$B$50)))))))))))))</f>
        <v/>
      </c>
      <c r="BI5148" s="744" t="str">
        <f t="shared" si="1787"/>
        <v/>
      </c>
      <c r="BJ5148" s="747" t="str">
        <f t="shared" si="1794"/>
        <v/>
      </c>
      <c r="BK5148" s="498" t="str">
        <f t="shared" si="1788"/>
        <v/>
      </c>
      <c r="BL5148" s="498" t="str">
        <f t="shared" si="1789"/>
        <v/>
      </c>
    </row>
    <row r="5149" spans="1:64" x14ac:dyDescent="0.25">
      <c r="A5149" s="762">
        <f t="shared" si="1790"/>
        <v>5144</v>
      </c>
      <c r="B5149" s="229"/>
      <c r="C5149" s="223"/>
      <c r="D5149" s="224"/>
      <c r="E5149" s="225"/>
      <c r="F5149" s="1036" t="str">
        <f t="shared" si="1796"/>
        <v/>
      </c>
      <c r="G5149" s="1037" t="str">
        <f t="shared" si="1791"/>
        <v/>
      </c>
      <c r="H5149" s="225"/>
      <c r="I5149" s="1013"/>
      <c r="J5149" s="1013"/>
      <c r="K5149" s="1028"/>
      <c r="L5149" s="1035" t="str">
        <f t="shared" si="1795"/>
        <v/>
      </c>
      <c r="S5149" s="498"/>
      <c r="AJ5149" s="498"/>
      <c r="AM5149" s="498">
        <f t="shared" si="1776"/>
        <v>0</v>
      </c>
      <c r="AN5149" s="498">
        <f t="shared" si="1777"/>
        <v>0</v>
      </c>
      <c r="AO5149" s="498">
        <f t="shared" si="1778"/>
        <v>0</v>
      </c>
      <c r="AP5149" s="498">
        <f t="shared" si="1797"/>
        <v>0</v>
      </c>
      <c r="AQ5149" s="498">
        <f t="shared" si="1792"/>
        <v>0</v>
      </c>
      <c r="AU5149" s="498">
        <f t="shared" si="1779"/>
        <v>0</v>
      </c>
      <c r="AV5149" s="498">
        <f t="shared" si="1780"/>
        <v>0</v>
      </c>
      <c r="AW5149" s="498">
        <f t="shared" si="1781"/>
        <v>0</v>
      </c>
      <c r="AX5149" s="498">
        <f t="shared" si="1782"/>
        <v>0</v>
      </c>
      <c r="AY5149" s="498">
        <f t="shared" si="1783"/>
        <v>0</v>
      </c>
      <c r="BB5149" s="498" t="str">
        <f t="shared" si="1784"/>
        <v/>
      </c>
      <c r="BC5149" s="743" t="str">
        <f t="shared" si="1785"/>
        <v/>
      </c>
      <c r="BD5149" s="743" t="str">
        <f t="shared" si="1786"/>
        <v/>
      </c>
      <c r="BE5149" s="743" t="str">
        <f>IF(D5149="","",VLOOKUP(D5149,'General Basis'!$J$39:$K$46,2,0))</f>
        <v/>
      </c>
      <c r="BF5149" s="744" t="str">
        <f>IF(D5149="","",VLOOKUP(D5149,'General Basis'!$J$39:$L$46,3,0))</f>
        <v/>
      </c>
      <c r="BG5149" s="744" t="str">
        <f t="shared" si="1793"/>
        <v/>
      </c>
      <c r="BH5149" s="744" t="str">
        <f>IF(G5149="","",IF(BF5149="Abu Dhabi",IF(G5149&lt;18,'General Basis'!$C$39,IF(G5149&lt;41,'General Basis'!$C$40,IF(G5149&lt;60,'General Basis'!$C$41,IF(G5149&lt;65,'General Basis'!$C$42,'General Basis'!$C$43)))),IF(G5149&lt;11,'General Basis'!$B$39,IF(G5149&lt;18,'General Basis'!$B$40,IF(G5149&lt;26,'General Basis'!$B$41,IF(G5149&lt;31,'General Basis'!$B$42,IF(G5149&lt;36,'General Basis'!$B$43,IF(G5149&lt;41,'General Basis'!$B$44,IF(G5149&lt;46,'General Basis'!$B$45,IF(G5149&lt;51,'General Basis'!$B$46,IF(G5149&lt;56,'General Basis'!$B$47,IF(G5149&lt;60,'General Basis'!$B$48,IF(G5149&lt;65,'General Basis'!$B$49,'General Basis'!$B$50)))))))))))))</f>
        <v/>
      </c>
      <c r="BI5149" s="744" t="str">
        <f t="shared" si="1787"/>
        <v/>
      </c>
      <c r="BJ5149" s="747" t="str">
        <f t="shared" si="1794"/>
        <v/>
      </c>
      <c r="BK5149" s="498" t="str">
        <f t="shared" si="1788"/>
        <v/>
      </c>
      <c r="BL5149" s="498" t="str">
        <f t="shared" si="1789"/>
        <v/>
      </c>
    </row>
    <row r="5150" spans="1:64" x14ac:dyDescent="0.25">
      <c r="A5150" s="762">
        <f t="shared" si="1790"/>
        <v>5145</v>
      </c>
      <c r="B5150" s="229"/>
      <c r="C5150" s="223"/>
      <c r="D5150" s="224"/>
      <c r="E5150" s="225"/>
      <c r="F5150" s="1036" t="str">
        <f t="shared" si="1796"/>
        <v/>
      </c>
      <c r="G5150" s="1037" t="str">
        <f t="shared" si="1791"/>
        <v/>
      </c>
      <c r="H5150" s="225"/>
      <c r="I5150" s="1013"/>
      <c r="J5150" s="1013"/>
      <c r="K5150" s="1028"/>
      <c r="L5150" s="1035" t="str">
        <f t="shared" si="1795"/>
        <v/>
      </c>
      <c r="S5150" s="498"/>
      <c r="AJ5150" s="498"/>
      <c r="AM5150" s="498">
        <f t="shared" si="1776"/>
        <v>0</v>
      </c>
      <c r="AN5150" s="498">
        <f t="shared" si="1777"/>
        <v>0</v>
      </c>
      <c r="AO5150" s="498">
        <f t="shared" si="1778"/>
        <v>0</v>
      </c>
      <c r="AP5150" s="498">
        <f t="shared" si="1797"/>
        <v>0</v>
      </c>
      <c r="AQ5150" s="498">
        <f t="shared" si="1792"/>
        <v>0</v>
      </c>
      <c r="AU5150" s="498">
        <f t="shared" si="1779"/>
        <v>0</v>
      </c>
      <c r="AV5150" s="498">
        <f t="shared" si="1780"/>
        <v>0</v>
      </c>
      <c r="AW5150" s="498">
        <f t="shared" si="1781"/>
        <v>0</v>
      </c>
      <c r="AX5150" s="498">
        <f t="shared" si="1782"/>
        <v>0</v>
      </c>
      <c r="AY5150" s="498">
        <f t="shared" si="1783"/>
        <v>0</v>
      </c>
      <c r="BB5150" s="498" t="str">
        <f t="shared" si="1784"/>
        <v/>
      </c>
      <c r="BC5150" s="743" t="str">
        <f t="shared" si="1785"/>
        <v/>
      </c>
      <c r="BD5150" s="743" t="str">
        <f t="shared" si="1786"/>
        <v/>
      </c>
      <c r="BE5150" s="743" t="str">
        <f>IF(D5150="","",VLOOKUP(D5150,'General Basis'!$J$39:$K$46,2,0))</f>
        <v/>
      </c>
      <c r="BF5150" s="744" t="str">
        <f>IF(D5150="","",VLOOKUP(D5150,'General Basis'!$J$39:$L$46,3,0))</f>
        <v/>
      </c>
      <c r="BG5150" s="744" t="str">
        <f t="shared" si="1793"/>
        <v/>
      </c>
      <c r="BH5150" s="744" t="str">
        <f>IF(G5150="","",IF(BF5150="Abu Dhabi",IF(G5150&lt;18,'General Basis'!$C$39,IF(G5150&lt;41,'General Basis'!$C$40,IF(G5150&lt;60,'General Basis'!$C$41,IF(G5150&lt;65,'General Basis'!$C$42,'General Basis'!$C$43)))),IF(G5150&lt;11,'General Basis'!$B$39,IF(G5150&lt;18,'General Basis'!$B$40,IF(G5150&lt;26,'General Basis'!$B$41,IF(G5150&lt;31,'General Basis'!$B$42,IF(G5150&lt;36,'General Basis'!$B$43,IF(G5150&lt;41,'General Basis'!$B$44,IF(G5150&lt;46,'General Basis'!$B$45,IF(G5150&lt;51,'General Basis'!$B$46,IF(G5150&lt;56,'General Basis'!$B$47,IF(G5150&lt;60,'General Basis'!$B$48,IF(G5150&lt;65,'General Basis'!$B$49,'General Basis'!$B$50)))))))))))))</f>
        <v/>
      </c>
      <c r="BI5150" s="744" t="str">
        <f t="shared" si="1787"/>
        <v/>
      </c>
      <c r="BJ5150" s="747" t="str">
        <f t="shared" si="1794"/>
        <v/>
      </c>
      <c r="BK5150" s="498" t="str">
        <f t="shared" si="1788"/>
        <v/>
      </c>
      <c r="BL5150" s="498" t="str">
        <f t="shared" si="1789"/>
        <v/>
      </c>
    </row>
    <row r="5151" spans="1:64" x14ac:dyDescent="0.25">
      <c r="A5151" s="762">
        <f t="shared" si="1790"/>
        <v>5146</v>
      </c>
      <c r="B5151" s="229"/>
      <c r="C5151" s="223"/>
      <c r="D5151" s="224"/>
      <c r="E5151" s="225"/>
      <c r="F5151" s="1036" t="str">
        <f t="shared" si="1796"/>
        <v/>
      </c>
      <c r="G5151" s="1037" t="str">
        <f t="shared" si="1791"/>
        <v/>
      </c>
      <c r="H5151" s="225"/>
      <c r="I5151" s="1013"/>
      <c r="J5151" s="1013"/>
      <c r="K5151" s="1028"/>
      <c r="L5151" s="1035" t="str">
        <f t="shared" si="1795"/>
        <v/>
      </c>
      <c r="S5151" s="498"/>
      <c r="AJ5151" s="498"/>
      <c r="AM5151" s="498">
        <f t="shared" si="1776"/>
        <v>0</v>
      </c>
      <c r="AN5151" s="498">
        <f t="shared" si="1777"/>
        <v>0</v>
      </c>
      <c r="AO5151" s="498">
        <f t="shared" si="1778"/>
        <v>0</v>
      </c>
      <c r="AP5151" s="498">
        <f t="shared" si="1797"/>
        <v>0</v>
      </c>
      <c r="AQ5151" s="498">
        <f t="shared" si="1792"/>
        <v>0</v>
      </c>
      <c r="AU5151" s="498">
        <f t="shared" si="1779"/>
        <v>0</v>
      </c>
      <c r="AV5151" s="498">
        <f t="shared" si="1780"/>
        <v>0</v>
      </c>
      <c r="AW5151" s="498">
        <f t="shared" si="1781"/>
        <v>0</v>
      </c>
      <c r="AX5151" s="498">
        <f t="shared" si="1782"/>
        <v>0</v>
      </c>
      <c r="AY5151" s="498">
        <f t="shared" si="1783"/>
        <v>0</v>
      </c>
      <c r="BB5151" s="498" t="str">
        <f t="shared" si="1784"/>
        <v/>
      </c>
      <c r="BC5151" s="743" t="str">
        <f t="shared" si="1785"/>
        <v/>
      </c>
      <c r="BD5151" s="743" t="str">
        <f t="shared" si="1786"/>
        <v/>
      </c>
      <c r="BE5151" s="743" t="str">
        <f>IF(D5151="","",VLOOKUP(D5151,'General Basis'!$J$39:$K$46,2,0))</f>
        <v/>
      </c>
      <c r="BF5151" s="744" t="str">
        <f>IF(D5151="","",VLOOKUP(D5151,'General Basis'!$J$39:$L$46,3,0))</f>
        <v/>
      </c>
      <c r="BG5151" s="744" t="str">
        <f t="shared" si="1793"/>
        <v/>
      </c>
      <c r="BH5151" s="744" t="str">
        <f>IF(G5151="","",IF(BF5151="Abu Dhabi",IF(G5151&lt;18,'General Basis'!$C$39,IF(G5151&lt;41,'General Basis'!$C$40,IF(G5151&lt;60,'General Basis'!$C$41,IF(G5151&lt;65,'General Basis'!$C$42,'General Basis'!$C$43)))),IF(G5151&lt;11,'General Basis'!$B$39,IF(G5151&lt;18,'General Basis'!$B$40,IF(G5151&lt;26,'General Basis'!$B$41,IF(G5151&lt;31,'General Basis'!$B$42,IF(G5151&lt;36,'General Basis'!$B$43,IF(G5151&lt;41,'General Basis'!$B$44,IF(G5151&lt;46,'General Basis'!$B$45,IF(G5151&lt;51,'General Basis'!$B$46,IF(G5151&lt;56,'General Basis'!$B$47,IF(G5151&lt;60,'General Basis'!$B$48,IF(G5151&lt;65,'General Basis'!$B$49,'General Basis'!$B$50)))))))))))))</f>
        <v/>
      </c>
      <c r="BI5151" s="744" t="str">
        <f t="shared" si="1787"/>
        <v/>
      </c>
      <c r="BJ5151" s="747" t="str">
        <f t="shared" si="1794"/>
        <v/>
      </c>
      <c r="BK5151" s="498" t="str">
        <f t="shared" si="1788"/>
        <v/>
      </c>
      <c r="BL5151" s="498" t="str">
        <f t="shared" si="1789"/>
        <v/>
      </c>
    </row>
    <row r="5152" spans="1:64" x14ac:dyDescent="0.25">
      <c r="A5152" s="762">
        <f t="shared" si="1790"/>
        <v>5147</v>
      </c>
      <c r="B5152" s="229"/>
      <c r="C5152" s="223"/>
      <c r="D5152" s="224"/>
      <c r="E5152" s="225"/>
      <c r="F5152" s="1036" t="str">
        <f t="shared" si="1796"/>
        <v/>
      </c>
      <c r="G5152" s="1037" t="str">
        <f t="shared" si="1791"/>
        <v/>
      </c>
      <c r="H5152" s="225"/>
      <c r="I5152" s="1013"/>
      <c r="J5152" s="1013"/>
      <c r="K5152" s="1028"/>
      <c r="L5152" s="1035" t="str">
        <f t="shared" si="1795"/>
        <v/>
      </c>
      <c r="S5152" s="498"/>
      <c r="AJ5152" s="498"/>
      <c r="AM5152" s="498">
        <f t="shared" si="1776"/>
        <v>0</v>
      </c>
      <c r="AN5152" s="498">
        <f t="shared" si="1777"/>
        <v>0</v>
      </c>
      <c r="AO5152" s="498">
        <f t="shared" si="1778"/>
        <v>0</v>
      </c>
      <c r="AP5152" s="498">
        <f t="shared" si="1797"/>
        <v>0</v>
      </c>
      <c r="AQ5152" s="498">
        <f t="shared" si="1792"/>
        <v>0</v>
      </c>
      <c r="AU5152" s="498">
        <f t="shared" si="1779"/>
        <v>0</v>
      </c>
      <c r="AV5152" s="498">
        <f t="shared" si="1780"/>
        <v>0</v>
      </c>
      <c r="AW5152" s="498">
        <f t="shared" si="1781"/>
        <v>0</v>
      </c>
      <c r="AX5152" s="498">
        <f t="shared" si="1782"/>
        <v>0</v>
      </c>
      <c r="AY5152" s="498">
        <f t="shared" si="1783"/>
        <v>0</v>
      </c>
      <c r="BB5152" s="498" t="str">
        <f t="shared" si="1784"/>
        <v/>
      </c>
      <c r="BC5152" s="743" t="str">
        <f t="shared" si="1785"/>
        <v/>
      </c>
      <c r="BD5152" s="743" t="str">
        <f t="shared" si="1786"/>
        <v/>
      </c>
      <c r="BE5152" s="743" t="str">
        <f>IF(D5152="","",VLOOKUP(D5152,'General Basis'!$J$39:$K$46,2,0))</f>
        <v/>
      </c>
      <c r="BF5152" s="744" t="str">
        <f>IF(D5152="","",VLOOKUP(D5152,'General Basis'!$J$39:$L$46,3,0))</f>
        <v/>
      </c>
      <c r="BG5152" s="744" t="str">
        <f t="shared" si="1793"/>
        <v/>
      </c>
      <c r="BH5152" s="744" t="str">
        <f>IF(G5152="","",IF(BF5152="Abu Dhabi",IF(G5152&lt;18,'General Basis'!$C$39,IF(G5152&lt;41,'General Basis'!$C$40,IF(G5152&lt;60,'General Basis'!$C$41,IF(G5152&lt;65,'General Basis'!$C$42,'General Basis'!$C$43)))),IF(G5152&lt;11,'General Basis'!$B$39,IF(G5152&lt;18,'General Basis'!$B$40,IF(G5152&lt;26,'General Basis'!$B$41,IF(G5152&lt;31,'General Basis'!$B$42,IF(G5152&lt;36,'General Basis'!$B$43,IF(G5152&lt;41,'General Basis'!$B$44,IF(G5152&lt;46,'General Basis'!$B$45,IF(G5152&lt;51,'General Basis'!$B$46,IF(G5152&lt;56,'General Basis'!$B$47,IF(G5152&lt;60,'General Basis'!$B$48,IF(G5152&lt;65,'General Basis'!$B$49,'General Basis'!$B$50)))))))))))))</f>
        <v/>
      </c>
      <c r="BI5152" s="744" t="str">
        <f t="shared" si="1787"/>
        <v/>
      </c>
      <c r="BJ5152" s="747" t="str">
        <f t="shared" si="1794"/>
        <v/>
      </c>
      <c r="BK5152" s="498" t="str">
        <f t="shared" si="1788"/>
        <v/>
      </c>
      <c r="BL5152" s="498" t="str">
        <f t="shared" si="1789"/>
        <v/>
      </c>
    </row>
    <row r="5153" spans="1:64" x14ac:dyDescent="0.25">
      <c r="A5153" s="762">
        <f t="shared" si="1790"/>
        <v>5148</v>
      </c>
      <c r="B5153" s="229"/>
      <c r="C5153" s="223"/>
      <c r="D5153" s="224"/>
      <c r="E5153" s="225"/>
      <c r="F5153" s="1036" t="str">
        <f t="shared" si="1796"/>
        <v/>
      </c>
      <c r="G5153" s="1037" t="str">
        <f t="shared" si="1791"/>
        <v/>
      </c>
      <c r="H5153" s="225"/>
      <c r="I5153" s="1013"/>
      <c r="J5153" s="1013"/>
      <c r="K5153" s="1028"/>
      <c r="L5153" s="1035" t="str">
        <f t="shared" si="1795"/>
        <v/>
      </c>
      <c r="S5153" s="498"/>
      <c r="AJ5153" s="498"/>
      <c r="AM5153" s="498">
        <f t="shared" si="1776"/>
        <v>0</v>
      </c>
      <c r="AN5153" s="498">
        <f t="shared" si="1777"/>
        <v>0</v>
      </c>
      <c r="AO5153" s="498">
        <f t="shared" si="1778"/>
        <v>0</v>
      </c>
      <c r="AP5153" s="498">
        <f t="shared" si="1797"/>
        <v>0</v>
      </c>
      <c r="AQ5153" s="498">
        <f t="shared" si="1792"/>
        <v>0</v>
      </c>
      <c r="AU5153" s="498">
        <f t="shared" si="1779"/>
        <v>0</v>
      </c>
      <c r="AV5153" s="498">
        <f t="shared" si="1780"/>
        <v>0</v>
      </c>
      <c r="AW5153" s="498">
        <f t="shared" si="1781"/>
        <v>0</v>
      </c>
      <c r="AX5153" s="498">
        <f t="shared" si="1782"/>
        <v>0</v>
      </c>
      <c r="AY5153" s="498">
        <f t="shared" si="1783"/>
        <v>0</v>
      </c>
      <c r="BB5153" s="498" t="str">
        <f t="shared" si="1784"/>
        <v/>
      </c>
      <c r="BC5153" s="743" t="str">
        <f t="shared" si="1785"/>
        <v/>
      </c>
      <c r="BD5153" s="743" t="str">
        <f t="shared" si="1786"/>
        <v/>
      </c>
      <c r="BE5153" s="743" t="str">
        <f>IF(D5153="","",VLOOKUP(D5153,'General Basis'!$J$39:$K$46,2,0))</f>
        <v/>
      </c>
      <c r="BF5153" s="744" t="str">
        <f>IF(D5153="","",VLOOKUP(D5153,'General Basis'!$J$39:$L$46,3,0))</f>
        <v/>
      </c>
      <c r="BG5153" s="744" t="str">
        <f t="shared" si="1793"/>
        <v/>
      </c>
      <c r="BH5153" s="744" t="str">
        <f>IF(G5153="","",IF(BF5153="Abu Dhabi",IF(G5153&lt;18,'General Basis'!$C$39,IF(G5153&lt;41,'General Basis'!$C$40,IF(G5153&lt;60,'General Basis'!$C$41,IF(G5153&lt;65,'General Basis'!$C$42,'General Basis'!$C$43)))),IF(G5153&lt;11,'General Basis'!$B$39,IF(G5153&lt;18,'General Basis'!$B$40,IF(G5153&lt;26,'General Basis'!$B$41,IF(G5153&lt;31,'General Basis'!$B$42,IF(G5153&lt;36,'General Basis'!$B$43,IF(G5153&lt;41,'General Basis'!$B$44,IF(G5153&lt;46,'General Basis'!$B$45,IF(G5153&lt;51,'General Basis'!$B$46,IF(G5153&lt;56,'General Basis'!$B$47,IF(G5153&lt;60,'General Basis'!$B$48,IF(G5153&lt;65,'General Basis'!$B$49,'General Basis'!$B$50)))))))))))))</f>
        <v/>
      </c>
      <c r="BI5153" s="744" t="str">
        <f t="shared" si="1787"/>
        <v/>
      </c>
      <c r="BJ5153" s="747" t="str">
        <f t="shared" si="1794"/>
        <v/>
      </c>
      <c r="BK5153" s="498" t="str">
        <f t="shared" si="1788"/>
        <v/>
      </c>
      <c r="BL5153" s="498" t="str">
        <f t="shared" si="1789"/>
        <v/>
      </c>
    </row>
    <row r="5154" spans="1:64" x14ac:dyDescent="0.25">
      <c r="A5154" s="762">
        <f t="shared" si="1790"/>
        <v>5149</v>
      </c>
      <c r="B5154" s="229"/>
      <c r="C5154" s="223"/>
      <c r="D5154" s="224"/>
      <c r="E5154" s="225"/>
      <c r="F5154" s="1036" t="str">
        <f t="shared" si="1796"/>
        <v/>
      </c>
      <c r="G5154" s="1037" t="str">
        <f t="shared" si="1791"/>
        <v/>
      </c>
      <c r="H5154" s="225"/>
      <c r="I5154" s="1013"/>
      <c r="J5154" s="1013"/>
      <c r="K5154" s="1028"/>
      <c r="L5154" s="1035" t="str">
        <f t="shared" si="1795"/>
        <v/>
      </c>
      <c r="S5154" s="498"/>
      <c r="AJ5154" s="498"/>
      <c r="AM5154" s="498">
        <f t="shared" si="1776"/>
        <v>0</v>
      </c>
      <c r="AN5154" s="498">
        <f t="shared" si="1777"/>
        <v>0</v>
      </c>
      <c r="AO5154" s="498">
        <f t="shared" si="1778"/>
        <v>0</v>
      </c>
      <c r="AP5154" s="498">
        <f t="shared" si="1797"/>
        <v>0</v>
      </c>
      <c r="AQ5154" s="498">
        <f t="shared" si="1792"/>
        <v>0</v>
      </c>
      <c r="AU5154" s="498">
        <f t="shared" si="1779"/>
        <v>0</v>
      </c>
      <c r="AV5154" s="498">
        <f t="shared" si="1780"/>
        <v>0</v>
      </c>
      <c r="AW5154" s="498">
        <f t="shared" si="1781"/>
        <v>0</v>
      </c>
      <c r="AX5154" s="498">
        <f t="shared" si="1782"/>
        <v>0</v>
      </c>
      <c r="AY5154" s="498">
        <f t="shared" si="1783"/>
        <v>0</v>
      </c>
      <c r="BB5154" s="498" t="str">
        <f t="shared" si="1784"/>
        <v/>
      </c>
      <c r="BC5154" s="743" t="str">
        <f t="shared" si="1785"/>
        <v/>
      </c>
      <c r="BD5154" s="743" t="str">
        <f t="shared" si="1786"/>
        <v/>
      </c>
      <c r="BE5154" s="743" t="str">
        <f>IF(D5154="","",VLOOKUP(D5154,'General Basis'!$J$39:$K$46,2,0))</f>
        <v/>
      </c>
      <c r="BF5154" s="744" t="str">
        <f>IF(D5154="","",VLOOKUP(D5154,'General Basis'!$J$39:$L$46,3,0))</f>
        <v/>
      </c>
      <c r="BG5154" s="744" t="str">
        <f t="shared" si="1793"/>
        <v/>
      </c>
      <c r="BH5154" s="744" t="str">
        <f>IF(G5154="","",IF(BF5154="Abu Dhabi",IF(G5154&lt;18,'General Basis'!$C$39,IF(G5154&lt;41,'General Basis'!$C$40,IF(G5154&lt;60,'General Basis'!$C$41,IF(G5154&lt;65,'General Basis'!$C$42,'General Basis'!$C$43)))),IF(G5154&lt;11,'General Basis'!$B$39,IF(G5154&lt;18,'General Basis'!$B$40,IF(G5154&lt;26,'General Basis'!$B$41,IF(G5154&lt;31,'General Basis'!$B$42,IF(G5154&lt;36,'General Basis'!$B$43,IF(G5154&lt;41,'General Basis'!$B$44,IF(G5154&lt;46,'General Basis'!$B$45,IF(G5154&lt;51,'General Basis'!$B$46,IF(G5154&lt;56,'General Basis'!$B$47,IF(G5154&lt;60,'General Basis'!$B$48,IF(G5154&lt;65,'General Basis'!$B$49,'General Basis'!$B$50)))))))))))))</f>
        <v/>
      </c>
      <c r="BI5154" s="744" t="str">
        <f t="shared" si="1787"/>
        <v/>
      </c>
      <c r="BJ5154" s="747" t="str">
        <f t="shared" si="1794"/>
        <v/>
      </c>
      <c r="BK5154" s="498" t="str">
        <f t="shared" si="1788"/>
        <v/>
      </c>
      <c r="BL5154" s="498" t="str">
        <f t="shared" si="1789"/>
        <v/>
      </c>
    </row>
    <row r="5155" spans="1:64" x14ac:dyDescent="0.25">
      <c r="A5155" s="762">
        <f t="shared" si="1790"/>
        <v>5150</v>
      </c>
      <c r="B5155" s="229"/>
      <c r="C5155" s="223"/>
      <c r="D5155" s="224"/>
      <c r="E5155" s="225"/>
      <c r="F5155" s="1036" t="str">
        <f t="shared" si="1796"/>
        <v/>
      </c>
      <c r="G5155" s="1037" t="str">
        <f t="shared" si="1791"/>
        <v/>
      </c>
      <c r="H5155" s="225"/>
      <c r="I5155" s="1013"/>
      <c r="J5155" s="1013"/>
      <c r="K5155" s="1028"/>
      <c r="L5155" s="1035" t="str">
        <f t="shared" si="1795"/>
        <v/>
      </c>
      <c r="S5155" s="498"/>
      <c r="AJ5155" s="498"/>
      <c r="AM5155" s="498">
        <f t="shared" si="1776"/>
        <v>0</v>
      </c>
      <c r="AN5155" s="498">
        <f t="shared" si="1777"/>
        <v>0</v>
      </c>
      <c r="AO5155" s="498">
        <f t="shared" si="1778"/>
        <v>0</v>
      </c>
      <c r="AP5155" s="498">
        <f t="shared" si="1797"/>
        <v>0</v>
      </c>
      <c r="AQ5155" s="498">
        <f t="shared" si="1792"/>
        <v>0</v>
      </c>
      <c r="AU5155" s="498">
        <f t="shared" si="1779"/>
        <v>0</v>
      </c>
      <c r="AV5155" s="498">
        <f t="shared" si="1780"/>
        <v>0</v>
      </c>
      <c r="AW5155" s="498">
        <f t="shared" si="1781"/>
        <v>0</v>
      </c>
      <c r="AX5155" s="498">
        <f t="shared" si="1782"/>
        <v>0</v>
      </c>
      <c r="AY5155" s="498">
        <f t="shared" si="1783"/>
        <v>0</v>
      </c>
      <c r="BB5155" s="498" t="str">
        <f t="shared" si="1784"/>
        <v/>
      </c>
      <c r="BC5155" s="743" t="str">
        <f t="shared" si="1785"/>
        <v/>
      </c>
      <c r="BD5155" s="743" t="str">
        <f t="shared" si="1786"/>
        <v/>
      </c>
      <c r="BE5155" s="743" t="str">
        <f>IF(D5155="","",VLOOKUP(D5155,'General Basis'!$J$39:$K$46,2,0))</f>
        <v/>
      </c>
      <c r="BF5155" s="744" t="str">
        <f>IF(D5155="","",VLOOKUP(D5155,'General Basis'!$J$39:$L$46,3,0))</f>
        <v/>
      </c>
      <c r="BG5155" s="744" t="str">
        <f t="shared" si="1793"/>
        <v/>
      </c>
      <c r="BH5155" s="744" t="str">
        <f>IF(G5155="","",IF(BF5155="Abu Dhabi",IF(G5155&lt;18,'General Basis'!$C$39,IF(G5155&lt;41,'General Basis'!$C$40,IF(G5155&lt;60,'General Basis'!$C$41,IF(G5155&lt;65,'General Basis'!$C$42,'General Basis'!$C$43)))),IF(G5155&lt;11,'General Basis'!$B$39,IF(G5155&lt;18,'General Basis'!$B$40,IF(G5155&lt;26,'General Basis'!$B$41,IF(G5155&lt;31,'General Basis'!$B$42,IF(G5155&lt;36,'General Basis'!$B$43,IF(G5155&lt;41,'General Basis'!$B$44,IF(G5155&lt;46,'General Basis'!$B$45,IF(G5155&lt;51,'General Basis'!$B$46,IF(G5155&lt;56,'General Basis'!$B$47,IF(G5155&lt;60,'General Basis'!$B$48,IF(G5155&lt;65,'General Basis'!$B$49,'General Basis'!$B$50)))))))))))))</f>
        <v/>
      </c>
      <c r="BI5155" s="744" t="str">
        <f t="shared" si="1787"/>
        <v/>
      </c>
      <c r="BJ5155" s="747" t="str">
        <f t="shared" si="1794"/>
        <v/>
      </c>
      <c r="BK5155" s="498" t="str">
        <f t="shared" si="1788"/>
        <v/>
      </c>
      <c r="BL5155" s="498" t="str">
        <f t="shared" si="1789"/>
        <v/>
      </c>
    </row>
    <row r="5156" spans="1:64" x14ac:dyDescent="0.25">
      <c r="A5156" s="762">
        <f t="shared" si="1790"/>
        <v>5151</v>
      </c>
      <c r="B5156" s="229"/>
      <c r="C5156" s="223"/>
      <c r="D5156" s="224"/>
      <c r="E5156" s="225"/>
      <c r="F5156" s="1036" t="str">
        <f t="shared" si="1796"/>
        <v/>
      </c>
      <c r="G5156" s="1037" t="str">
        <f t="shared" si="1791"/>
        <v/>
      </c>
      <c r="H5156" s="225"/>
      <c r="I5156" s="1013"/>
      <c r="J5156" s="1013"/>
      <c r="K5156" s="1028"/>
      <c r="L5156" s="1035" t="str">
        <f t="shared" si="1795"/>
        <v/>
      </c>
      <c r="S5156" s="498"/>
      <c r="AJ5156" s="498"/>
      <c r="AM5156" s="498">
        <f t="shared" si="1776"/>
        <v>0</v>
      </c>
      <c r="AN5156" s="498">
        <f t="shared" si="1777"/>
        <v>0</v>
      </c>
      <c r="AO5156" s="498">
        <f t="shared" si="1778"/>
        <v>0</v>
      </c>
      <c r="AP5156" s="498">
        <f t="shared" si="1797"/>
        <v>0</v>
      </c>
      <c r="AQ5156" s="498">
        <f t="shared" si="1792"/>
        <v>0</v>
      </c>
      <c r="AU5156" s="498">
        <f t="shared" si="1779"/>
        <v>0</v>
      </c>
      <c r="AV5156" s="498">
        <f t="shared" si="1780"/>
        <v>0</v>
      </c>
      <c r="AW5156" s="498">
        <f t="shared" si="1781"/>
        <v>0</v>
      </c>
      <c r="AX5156" s="498">
        <f t="shared" si="1782"/>
        <v>0</v>
      </c>
      <c r="AY5156" s="498">
        <f t="shared" si="1783"/>
        <v>0</v>
      </c>
      <c r="BB5156" s="498" t="str">
        <f t="shared" si="1784"/>
        <v/>
      </c>
      <c r="BC5156" s="743" t="str">
        <f t="shared" si="1785"/>
        <v/>
      </c>
      <c r="BD5156" s="743" t="str">
        <f t="shared" si="1786"/>
        <v/>
      </c>
      <c r="BE5156" s="743" t="str">
        <f>IF(D5156="","",VLOOKUP(D5156,'General Basis'!$J$39:$K$46,2,0))</f>
        <v/>
      </c>
      <c r="BF5156" s="744" t="str">
        <f>IF(D5156="","",VLOOKUP(D5156,'General Basis'!$J$39:$L$46,3,0))</f>
        <v/>
      </c>
      <c r="BG5156" s="744" t="str">
        <f t="shared" si="1793"/>
        <v/>
      </c>
      <c r="BH5156" s="744" t="str">
        <f>IF(G5156="","",IF(BF5156="Abu Dhabi",IF(G5156&lt;18,'General Basis'!$C$39,IF(G5156&lt;41,'General Basis'!$C$40,IF(G5156&lt;60,'General Basis'!$C$41,IF(G5156&lt;65,'General Basis'!$C$42,'General Basis'!$C$43)))),IF(G5156&lt;11,'General Basis'!$B$39,IF(G5156&lt;18,'General Basis'!$B$40,IF(G5156&lt;26,'General Basis'!$B$41,IF(G5156&lt;31,'General Basis'!$B$42,IF(G5156&lt;36,'General Basis'!$B$43,IF(G5156&lt;41,'General Basis'!$B$44,IF(G5156&lt;46,'General Basis'!$B$45,IF(G5156&lt;51,'General Basis'!$B$46,IF(G5156&lt;56,'General Basis'!$B$47,IF(G5156&lt;60,'General Basis'!$B$48,IF(G5156&lt;65,'General Basis'!$B$49,'General Basis'!$B$50)))))))))))))</f>
        <v/>
      </c>
      <c r="BI5156" s="744" t="str">
        <f t="shared" si="1787"/>
        <v/>
      </c>
      <c r="BJ5156" s="747" t="str">
        <f t="shared" si="1794"/>
        <v/>
      </c>
      <c r="BK5156" s="498" t="str">
        <f t="shared" si="1788"/>
        <v/>
      </c>
      <c r="BL5156" s="498" t="str">
        <f t="shared" si="1789"/>
        <v/>
      </c>
    </row>
    <row r="5157" spans="1:64" x14ac:dyDescent="0.25">
      <c r="A5157" s="762">
        <f t="shared" si="1790"/>
        <v>5152</v>
      </c>
      <c r="B5157" s="229"/>
      <c r="C5157" s="223"/>
      <c r="D5157" s="224"/>
      <c r="E5157" s="225"/>
      <c r="F5157" s="1036" t="str">
        <f t="shared" si="1796"/>
        <v/>
      </c>
      <c r="G5157" s="1037" t="str">
        <f t="shared" si="1791"/>
        <v/>
      </c>
      <c r="H5157" s="225"/>
      <c r="I5157" s="1013"/>
      <c r="J5157" s="1013"/>
      <c r="K5157" s="1028"/>
      <c r="L5157" s="1035" t="str">
        <f t="shared" si="1795"/>
        <v/>
      </c>
      <c r="S5157" s="498"/>
      <c r="AJ5157" s="498"/>
      <c r="AM5157" s="498">
        <f t="shared" si="1776"/>
        <v>0</v>
      </c>
      <c r="AN5157" s="498">
        <f t="shared" si="1777"/>
        <v>0</v>
      </c>
      <c r="AO5157" s="498">
        <f t="shared" si="1778"/>
        <v>0</v>
      </c>
      <c r="AP5157" s="498">
        <f t="shared" si="1797"/>
        <v>0</v>
      </c>
      <c r="AQ5157" s="498">
        <f t="shared" si="1792"/>
        <v>0</v>
      </c>
      <c r="AU5157" s="498">
        <f t="shared" si="1779"/>
        <v>0</v>
      </c>
      <c r="AV5157" s="498">
        <f t="shared" si="1780"/>
        <v>0</v>
      </c>
      <c r="AW5157" s="498">
        <f t="shared" si="1781"/>
        <v>0</v>
      </c>
      <c r="AX5157" s="498">
        <f t="shared" si="1782"/>
        <v>0</v>
      </c>
      <c r="AY5157" s="498">
        <f t="shared" si="1783"/>
        <v>0</v>
      </c>
      <c r="BB5157" s="498" t="str">
        <f t="shared" si="1784"/>
        <v/>
      </c>
      <c r="BC5157" s="743" t="str">
        <f t="shared" si="1785"/>
        <v/>
      </c>
      <c r="BD5157" s="743" t="str">
        <f t="shared" si="1786"/>
        <v/>
      </c>
      <c r="BE5157" s="743" t="str">
        <f>IF(D5157="","",VLOOKUP(D5157,'General Basis'!$J$39:$K$46,2,0))</f>
        <v/>
      </c>
      <c r="BF5157" s="744" t="str">
        <f>IF(D5157="","",VLOOKUP(D5157,'General Basis'!$J$39:$L$46,3,0))</f>
        <v/>
      </c>
      <c r="BG5157" s="744" t="str">
        <f t="shared" si="1793"/>
        <v/>
      </c>
      <c r="BH5157" s="744" t="str">
        <f>IF(G5157="","",IF(BF5157="Abu Dhabi",IF(G5157&lt;18,'General Basis'!$C$39,IF(G5157&lt;41,'General Basis'!$C$40,IF(G5157&lt;60,'General Basis'!$C$41,IF(G5157&lt;65,'General Basis'!$C$42,'General Basis'!$C$43)))),IF(G5157&lt;11,'General Basis'!$B$39,IF(G5157&lt;18,'General Basis'!$B$40,IF(G5157&lt;26,'General Basis'!$B$41,IF(G5157&lt;31,'General Basis'!$B$42,IF(G5157&lt;36,'General Basis'!$B$43,IF(G5157&lt;41,'General Basis'!$B$44,IF(G5157&lt;46,'General Basis'!$B$45,IF(G5157&lt;51,'General Basis'!$B$46,IF(G5157&lt;56,'General Basis'!$B$47,IF(G5157&lt;60,'General Basis'!$B$48,IF(G5157&lt;65,'General Basis'!$B$49,'General Basis'!$B$50)))))))))))))</f>
        <v/>
      </c>
      <c r="BI5157" s="744" t="str">
        <f t="shared" si="1787"/>
        <v/>
      </c>
      <c r="BJ5157" s="747" t="str">
        <f t="shared" si="1794"/>
        <v/>
      </c>
      <c r="BK5157" s="498" t="str">
        <f t="shared" si="1788"/>
        <v/>
      </c>
      <c r="BL5157" s="498" t="str">
        <f t="shared" si="1789"/>
        <v/>
      </c>
    </row>
    <row r="5158" spans="1:64" x14ac:dyDescent="0.25">
      <c r="A5158" s="762">
        <f t="shared" si="1790"/>
        <v>5153</v>
      </c>
      <c r="B5158" s="229"/>
      <c r="C5158" s="223"/>
      <c r="D5158" s="224"/>
      <c r="E5158" s="225"/>
      <c r="F5158" s="1036" t="str">
        <f t="shared" si="1796"/>
        <v/>
      </c>
      <c r="G5158" s="1037" t="str">
        <f t="shared" si="1791"/>
        <v/>
      </c>
      <c r="H5158" s="225"/>
      <c r="I5158" s="1013"/>
      <c r="J5158" s="1013"/>
      <c r="K5158" s="1028"/>
      <c r="L5158" s="1035" t="str">
        <f t="shared" si="1795"/>
        <v/>
      </c>
      <c r="S5158" s="498"/>
      <c r="AJ5158" s="498"/>
      <c r="AM5158" s="498">
        <f t="shared" si="1776"/>
        <v>0</v>
      </c>
      <c r="AN5158" s="498">
        <f t="shared" si="1777"/>
        <v>0</v>
      </c>
      <c r="AO5158" s="498">
        <f t="shared" si="1778"/>
        <v>0</v>
      </c>
      <c r="AP5158" s="498">
        <f t="shared" si="1797"/>
        <v>0</v>
      </c>
      <c r="AQ5158" s="498">
        <f t="shared" si="1792"/>
        <v>0</v>
      </c>
      <c r="AU5158" s="498">
        <f t="shared" si="1779"/>
        <v>0</v>
      </c>
      <c r="AV5158" s="498">
        <f t="shared" si="1780"/>
        <v>0</v>
      </c>
      <c r="AW5158" s="498">
        <f t="shared" si="1781"/>
        <v>0</v>
      </c>
      <c r="AX5158" s="498">
        <f t="shared" si="1782"/>
        <v>0</v>
      </c>
      <c r="AY5158" s="498">
        <f t="shared" si="1783"/>
        <v>0</v>
      </c>
      <c r="BB5158" s="498" t="str">
        <f t="shared" si="1784"/>
        <v/>
      </c>
      <c r="BC5158" s="743" t="str">
        <f t="shared" si="1785"/>
        <v/>
      </c>
      <c r="BD5158" s="743" t="str">
        <f t="shared" si="1786"/>
        <v/>
      </c>
      <c r="BE5158" s="743" t="str">
        <f>IF(D5158="","",VLOOKUP(D5158,'General Basis'!$J$39:$K$46,2,0))</f>
        <v/>
      </c>
      <c r="BF5158" s="744" t="str">
        <f>IF(D5158="","",VLOOKUP(D5158,'General Basis'!$J$39:$L$46,3,0))</f>
        <v/>
      </c>
      <c r="BG5158" s="744" t="str">
        <f t="shared" si="1793"/>
        <v/>
      </c>
      <c r="BH5158" s="744" t="str">
        <f>IF(G5158="","",IF(BF5158="Abu Dhabi",IF(G5158&lt;18,'General Basis'!$C$39,IF(G5158&lt;41,'General Basis'!$C$40,IF(G5158&lt;60,'General Basis'!$C$41,IF(G5158&lt;65,'General Basis'!$C$42,'General Basis'!$C$43)))),IF(G5158&lt;11,'General Basis'!$B$39,IF(G5158&lt;18,'General Basis'!$B$40,IF(G5158&lt;26,'General Basis'!$B$41,IF(G5158&lt;31,'General Basis'!$B$42,IF(G5158&lt;36,'General Basis'!$B$43,IF(G5158&lt;41,'General Basis'!$B$44,IF(G5158&lt;46,'General Basis'!$B$45,IF(G5158&lt;51,'General Basis'!$B$46,IF(G5158&lt;56,'General Basis'!$B$47,IF(G5158&lt;60,'General Basis'!$B$48,IF(G5158&lt;65,'General Basis'!$B$49,'General Basis'!$B$50)))))))))))))</f>
        <v/>
      </c>
      <c r="BI5158" s="744" t="str">
        <f t="shared" si="1787"/>
        <v/>
      </c>
      <c r="BJ5158" s="747" t="str">
        <f t="shared" si="1794"/>
        <v/>
      </c>
      <c r="BK5158" s="498" t="str">
        <f t="shared" si="1788"/>
        <v/>
      </c>
      <c r="BL5158" s="498" t="str">
        <f t="shared" si="1789"/>
        <v/>
      </c>
    </row>
    <row r="5159" spans="1:64" x14ac:dyDescent="0.25">
      <c r="A5159" s="762">
        <f t="shared" si="1790"/>
        <v>5154</v>
      </c>
      <c r="B5159" s="229"/>
      <c r="C5159" s="223"/>
      <c r="D5159" s="224"/>
      <c r="E5159" s="225"/>
      <c r="F5159" s="1036" t="str">
        <f t="shared" si="1796"/>
        <v/>
      </c>
      <c r="G5159" s="1037" t="str">
        <f t="shared" si="1791"/>
        <v/>
      </c>
      <c r="H5159" s="225"/>
      <c r="I5159" s="1013"/>
      <c r="J5159" s="1013"/>
      <c r="K5159" s="1028"/>
      <c r="L5159" s="1035" t="str">
        <f t="shared" si="1795"/>
        <v/>
      </c>
      <c r="S5159" s="498"/>
      <c r="AJ5159" s="498"/>
      <c r="AM5159" s="498">
        <f t="shared" si="1776"/>
        <v>0</v>
      </c>
      <c r="AN5159" s="498">
        <f t="shared" si="1777"/>
        <v>0</v>
      </c>
      <c r="AO5159" s="498">
        <f t="shared" si="1778"/>
        <v>0</v>
      </c>
      <c r="AP5159" s="498">
        <f t="shared" si="1797"/>
        <v>0</v>
      </c>
      <c r="AQ5159" s="498">
        <f t="shared" si="1792"/>
        <v>0</v>
      </c>
      <c r="AU5159" s="498">
        <f t="shared" si="1779"/>
        <v>0</v>
      </c>
      <c r="AV5159" s="498">
        <f t="shared" si="1780"/>
        <v>0</v>
      </c>
      <c r="AW5159" s="498">
        <f t="shared" si="1781"/>
        <v>0</v>
      </c>
      <c r="AX5159" s="498">
        <f t="shared" si="1782"/>
        <v>0</v>
      </c>
      <c r="AY5159" s="498">
        <f t="shared" si="1783"/>
        <v>0</v>
      </c>
      <c r="BB5159" s="498" t="str">
        <f t="shared" si="1784"/>
        <v/>
      </c>
      <c r="BC5159" s="743" t="str">
        <f t="shared" si="1785"/>
        <v/>
      </c>
      <c r="BD5159" s="743" t="str">
        <f t="shared" si="1786"/>
        <v/>
      </c>
      <c r="BE5159" s="743" t="str">
        <f>IF(D5159="","",VLOOKUP(D5159,'General Basis'!$J$39:$K$46,2,0))</f>
        <v/>
      </c>
      <c r="BF5159" s="744" t="str">
        <f>IF(D5159="","",VLOOKUP(D5159,'General Basis'!$J$39:$L$46,3,0))</f>
        <v/>
      </c>
      <c r="BG5159" s="744" t="str">
        <f t="shared" si="1793"/>
        <v/>
      </c>
      <c r="BH5159" s="744" t="str">
        <f>IF(G5159="","",IF(BF5159="Abu Dhabi",IF(G5159&lt;18,'General Basis'!$C$39,IF(G5159&lt;41,'General Basis'!$C$40,IF(G5159&lt;60,'General Basis'!$C$41,IF(G5159&lt;65,'General Basis'!$C$42,'General Basis'!$C$43)))),IF(G5159&lt;11,'General Basis'!$B$39,IF(G5159&lt;18,'General Basis'!$B$40,IF(G5159&lt;26,'General Basis'!$B$41,IF(G5159&lt;31,'General Basis'!$B$42,IF(G5159&lt;36,'General Basis'!$B$43,IF(G5159&lt;41,'General Basis'!$B$44,IF(G5159&lt;46,'General Basis'!$B$45,IF(G5159&lt;51,'General Basis'!$B$46,IF(G5159&lt;56,'General Basis'!$B$47,IF(G5159&lt;60,'General Basis'!$B$48,IF(G5159&lt;65,'General Basis'!$B$49,'General Basis'!$B$50)))))))))))))</f>
        <v/>
      </c>
      <c r="BI5159" s="744" t="str">
        <f t="shared" si="1787"/>
        <v/>
      </c>
      <c r="BJ5159" s="747" t="str">
        <f t="shared" si="1794"/>
        <v/>
      </c>
      <c r="BK5159" s="498" t="str">
        <f t="shared" si="1788"/>
        <v/>
      </c>
      <c r="BL5159" s="498" t="str">
        <f t="shared" si="1789"/>
        <v/>
      </c>
    </row>
    <row r="5160" spans="1:64" x14ac:dyDescent="0.25">
      <c r="A5160" s="762">
        <f t="shared" si="1790"/>
        <v>5155</v>
      </c>
      <c r="B5160" s="229"/>
      <c r="C5160" s="223"/>
      <c r="D5160" s="224"/>
      <c r="E5160" s="225"/>
      <c r="F5160" s="1036" t="str">
        <f t="shared" si="1796"/>
        <v/>
      </c>
      <c r="G5160" s="1037" t="str">
        <f t="shared" si="1791"/>
        <v/>
      </c>
      <c r="H5160" s="225"/>
      <c r="I5160" s="1013"/>
      <c r="J5160" s="1013"/>
      <c r="K5160" s="1028"/>
      <c r="L5160" s="1035" t="str">
        <f t="shared" si="1795"/>
        <v/>
      </c>
      <c r="S5160" s="498"/>
      <c r="AJ5160" s="498"/>
      <c r="AM5160" s="498">
        <f t="shared" si="1776"/>
        <v>0</v>
      </c>
      <c r="AN5160" s="498">
        <f t="shared" si="1777"/>
        <v>0</v>
      </c>
      <c r="AO5160" s="498">
        <f t="shared" si="1778"/>
        <v>0</v>
      </c>
      <c r="AP5160" s="498">
        <f t="shared" si="1797"/>
        <v>0</v>
      </c>
      <c r="AQ5160" s="498">
        <f t="shared" si="1792"/>
        <v>0</v>
      </c>
      <c r="AU5160" s="498">
        <f t="shared" si="1779"/>
        <v>0</v>
      </c>
      <c r="AV5160" s="498">
        <f t="shared" si="1780"/>
        <v>0</v>
      </c>
      <c r="AW5160" s="498">
        <f t="shared" si="1781"/>
        <v>0</v>
      </c>
      <c r="AX5160" s="498">
        <f t="shared" si="1782"/>
        <v>0</v>
      </c>
      <c r="AY5160" s="498">
        <f t="shared" si="1783"/>
        <v>0</v>
      </c>
      <c r="BB5160" s="498" t="str">
        <f t="shared" si="1784"/>
        <v/>
      </c>
      <c r="BC5160" s="743" t="str">
        <f t="shared" si="1785"/>
        <v/>
      </c>
      <c r="BD5160" s="743" t="str">
        <f t="shared" si="1786"/>
        <v/>
      </c>
      <c r="BE5160" s="743" t="str">
        <f>IF(D5160="","",VLOOKUP(D5160,'General Basis'!$J$39:$K$46,2,0))</f>
        <v/>
      </c>
      <c r="BF5160" s="744" t="str">
        <f>IF(D5160="","",VLOOKUP(D5160,'General Basis'!$J$39:$L$46,3,0))</f>
        <v/>
      </c>
      <c r="BG5160" s="744" t="str">
        <f t="shared" si="1793"/>
        <v/>
      </c>
      <c r="BH5160" s="744" t="str">
        <f>IF(G5160="","",IF(BF5160="Abu Dhabi",IF(G5160&lt;18,'General Basis'!$C$39,IF(G5160&lt;41,'General Basis'!$C$40,IF(G5160&lt;60,'General Basis'!$C$41,IF(G5160&lt;65,'General Basis'!$C$42,'General Basis'!$C$43)))),IF(G5160&lt;11,'General Basis'!$B$39,IF(G5160&lt;18,'General Basis'!$B$40,IF(G5160&lt;26,'General Basis'!$B$41,IF(G5160&lt;31,'General Basis'!$B$42,IF(G5160&lt;36,'General Basis'!$B$43,IF(G5160&lt;41,'General Basis'!$B$44,IF(G5160&lt;46,'General Basis'!$B$45,IF(G5160&lt;51,'General Basis'!$B$46,IF(G5160&lt;56,'General Basis'!$B$47,IF(G5160&lt;60,'General Basis'!$B$48,IF(G5160&lt;65,'General Basis'!$B$49,'General Basis'!$B$50)))))))))))))</f>
        <v/>
      </c>
      <c r="BI5160" s="744" t="str">
        <f t="shared" si="1787"/>
        <v/>
      </c>
      <c r="BJ5160" s="747" t="str">
        <f t="shared" si="1794"/>
        <v/>
      </c>
      <c r="BK5160" s="498" t="str">
        <f t="shared" si="1788"/>
        <v/>
      </c>
      <c r="BL5160" s="498" t="str">
        <f t="shared" si="1789"/>
        <v/>
      </c>
    </row>
    <row r="5161" spans="1:64" x14ac:dyDescent="0.25">
      <c r="A5161" s="762">
        <f t="shared" si="1790"/>
        <v>5156</v>
      </c>
      <c r="B5161" s="229"/>
      <c r="C5161" s="223"/>
      <c r="D5161" s="224"/>
      <c r="E5161" s="225"/>
      <c r="F5161" s="1036" t="str">
        <f t="shared" si="1796"/>
        <v/>
      </c>
      <c r="G5161" s="1037" t="str">
        <f t="shared" si="1791"/>
        <v/>
      </c>
      <c r="H5161" s="225"/>
      <c r="I5161" s="1013"/>
      <c r="J5161" s="1013"/>
      <c r="K5161" s="1028"/>
      <c r="L5161" s="1035" t="str">
        <f t="shared" si="1795"/>
        <v/>
      </c>
      <c r="S5161" s="498"/>
      <c r="AJ5161" s="498"/>
      <c r="AM5161" s="498">
        <f t="shared" si="1776"/>
        <v>0</v>
      </c>
      <c r="AN5161" s="498">
        <f t="shared" si="1777"/>
        <v>0</v>
      </c>
      <c r="AO5161" s="498">
        <f t="shared" si="1778"/>
        <v>0</v>
      </c>
      <c r="AP5161" s="498">
        <f t="shared" si="1797"/>
        <v>0</v>
      </c>
      <c r="AQ5161" s="498">
        <f t="shared" si="1792"/>
        <v>0</v>
      </c>
      <c r="AU5161" s="498">
        <f t="shared" si="1779"/>
        <v>0</v>
      </c>
      <c r="AV5161" s="498">
        <f t="shared" si="1780"/>
        <v>0</v>
      </c>
      <c r="AW5161" s="498">
        <f t="shared" si="1781"/>
        <v>0</v>
      </c>
      <c r="AX5161" s="498">
        <f t="shared" si="1782"/>
        <v>0</v>
      </c>
      <c r="AY5161" s="498">
        <f t="shared" si="1783"/>
        <v>0</v>
      </c>
      <c r="BB5161" s="498" t="str">
        <f t="shared" si="1784"/>
        <v/>
      </c>
      <c r="BC5161" s="743" t="str">
        <f t="shared" si="1785"/>
        <v/>
      </c>
      <c r="BD5161" s="743" t="str">
        <f t="shared" si="1786"/>
        <v/>
      </c>
      <c r="BE5161" s="743" t="str">
        <f>IF(D5161="","",VLOOKUP(D5161,'General Basis'!$J$39:$K$46,2,0))</f>
        <v/>
      </c>
      <c r="BF5161" s="744" t="str">
        <f>IF(D5161="","",VLOOKUP(D5161,'General Basis'!$J$39:$L$46,3,0))</f>
        <v/>
      </c>
      <c r="BG5161" s="744" t="str">
        <f t="shared" si="1793"/>
        <v/>
      </c>
      <c r="BH5161" s="744" t="str">
        <f>IF(G5161="","",IF(BF5161="Abu Dhabi",IF(G5161&lt;18,'General Basis'!$C$39,IF(G5161&lt;41,'General Basis'!$C$40,IF(G5161&lt;60,'General Basis'!$C$41,IF(G5161&lt;65,'General Basis'!$C$42,'General Basis'!$C$43)))),IF(G5161&lt;11,'General Basis'!$B$39,IF(G5161&lt;18,'General Basis'!$B$40,IF(G5161&lt;26,'General Basis'!$B$41,IF(G5161&lt;31,'General Basis'!$B$42,IF(G5161&lt;36,'General Basis'!$B$43,IF(G5161&lt;41,'General Basis'!$B$44,IF(G5161&lt;46,'General Basis'!$B$45,IF(G5161&lt;51,'General Basis'!$B$46,IF(G5161&lt;56,'General Basis'!$B$47,IF(G5161&lt;60,'General Basis'!$B$48,IF(G5161&lt;65,'General Basis'!$B$49,'General Basis'!$B$50)))))))))))))</f>
        <v/>
      </c>
      <c r="BI5161" s="744" t="str">
        <f t="shared" si="1787"/>
        <v/>
      </c>
      <c r="BJ5161" s="747" t="str">
        <f t="shared" si="1794"/>
        <v/>
      </c>
      <c r="BK5161" s="498" t="str">
        <f t="shared" si="1788"/>
        <v/>
      </c>
      <c r="BL5161" s="498" t="str">
        <f t="shared" si="1789"/>
        <v/>
      </c>
    </row>
    <row r="5162" spans="1:64" x14ac:dyDescent="0.25">
      <c r="A5162" s="762">
        <f t="shared" si="1790"/>
        <v>5157</v>
      </c>
      <c r="B5162" s="229"/>
      <c r="C5162" s="223"/>
      <c r="D5162" s="224"/>
      <c r="E5162" s="225"/>
      <c r="F5162" s="1036" t="str">
        <f t="shared" si="1796"/>
        <v/>
      </c>
      <c r="G5162" s="1037" t="str">
        <f t="shared" si="1791"/>
        <v/>
      </c>
      <c r="H5162" s="225"/>
      <c r="I5162" s="1013"/>
      <c r="J5162" s="1013"/>
      <c r="K5162" s="1028"/>
      <c r="L5162" s="1035" t="str">
        <f t="shared" si="1795"/>
        <v/>
      </c>
      <c r="S5162" s="498"/>
      <c r="AJ5162" s="498"/>
      <c r="AM5162" s="498">
        <f t="shared" si="1776"/>
        <v>0</v>
      </c>
      <c r="AN5162" s="498">
        <f t="shared" si="1777"/>
        <v>0</v>
      </c>
      <c r="AO5162" s="498">
        <f t="shared" si="1778"/>
        <v>0</v>
      </c>
      <c r="AP5162" s="498">
        <f t="shared" si="1797"/>
        <v>0</v>
      </c>
      <c r="AQ5162" s="498">
        <f t="shared" si="1792"/>
        <v>0</v>
      </c>
      <c r="AU5162" s="498">
        <f t="shared" si="1779"/>
        <v>0</v>
      </c>
      <c r="AV5162" s="498">
        <f t="shared" si="1780"/>
        <v>0</v>
      </c>
      <c r="AW5162" s="498">
        <f t="shared" si="1781"/>
        <v>0</v>
      </c>
      <c r="AX5162" s="498">
        <f t="shared" si="1782"/>
        <v>0</v>
      </c>
      <c r="AY5162" s="498">
        <f t="shared" si="1783"/>
        <v>0</v>
      </c>
      <c r="BB5162" s="498" t="str">
        <f t="shared" si="1784"/>
        <v/>
      </c>
      <c r="BC5162" s="743" t="str">
        <f t="shared" si="1785"/>
        <v/>
      </c>
      <c r="BD5162" s="743" t="str">
        <f t="shared" si="1786"/>
        <v/>
      </c>
      <c r="BE5162" s="743" t="str">
        <f>IF(D5162="","",VLOOKUP(D5162,'General Basis'!$J$39:$K$46,2,0))</f>
        <v/>
      </c>
      <c r="BF5162" s="744" t="str">
        <f>IF(D5162="","",VLOOKUP(D5162,'General Basis'!$J$39:$L$46,3,0))</f>
        <v/>
      </c>
      <c r="BG5162" s="744" t="str">
        <f t="shared" si="1793"/>
        <v/>
      </c>
      <c r="BH5162" s="744" t="str">
        <f>IF(G5162="","",IF(BF5162="Abu Dhabi",IF(G5162&lt;18,'General Basis'!$C$39,IF(G5162&lt;41,'General Basis'!$C$40,IF(G5162&lt;60,'General Basis'!$C$41,IF(G5162&lt;65,'General Basis'!$C$42,'General Basis'!$C$43)))),IF(G5162&lt;11,'General Basis'!$B$39,IF(G5162&lt;18,'General Basis'!$B$40,IF(G5162&lt;26,'General Basis'!$B$41,IF(G5162&lt;31,'General Basis'!$B$42,IF(G5162&lt;36,'General Basis'!$B$43,IF(G5162&lt;41,'General Basis'!$B$44,IF(G5162&lt;46,'General Basis'!$B$45,IF(G5162&lt;51,'General Basis'!$B$46,IF(G5162&lt;56,'General Basis'!$B$47,IF(G5162&lt;60,'General Basis'!$B$48,IF(G5162&lt;65,'General Basis'!$B$49,'General Basis'!$B$50)))))))))))))</f>
        <v/>
      </c>
      <c r="BI5162" s="744" t="str">
        <f t="shared" si="1787"/>
        <v/>
      </c>
      <c r="BJ5162" s="747" t="str">
        <f t="shared" si="1794"/>
        <v/>
      </c>
      <c r="BK5162" s="498" t="str">
        <f t="shared" si="1788"/>
        <v/>
      </c>
      <c r="BL5162" s="498" t="str">
        <f t="shared" si="1789"/>
        <v/>
      </c>
    </row>
    <row r="5163" spans="1:64" x14ac:dyDescent="0.25">
      <c r="A5163" s="762">
        <f t="shared" si="1790"/>
        <v>5158</v>
      </c>
      <c r="B5163" s="229"/>
      <c r="C5163" s="223"/>
      <c r="D5163" s="224"/>
      <c r="E5163" s="225"/>
      <c r="F5163" s="1036" t="str">
        <f t="shared" si="1796"/>
        <v/>
      </c>
      <c r="G5163" s="1037" t="str">
        <f t="shared" si="1791"/>
        <v/>
      </c>
      <c r="H5163" s="225"/>
      <c r="I5163" s="1013"/>
      <c r="J5163" s="1013"/>
      <c r="K5163" s="1028"/>
      <c r="L5163" s="1035" t="str">
        <f t="shared" si="1795"/>
        <v/>
      </c>
      <c r="S5163" s="498"/>
      <c r="AJ5163" s="498"/>
      <c r="AM5163" s="498">
        <f t="shared" si="1776"/>
        <v>0</v>
      </c>
      <c r="AN5163" s="498">
        <f t="shared" si="1777"/>
        <v>0</v>
      </c>
      <c r="AO5163" s="498">
        <f t="shared" si="1778"/>
        <v>0</v>
      </c>
      <c r="AP5163" s="498">
        <f t="shared" si="1797"/>
        <v>0</v>
      </c>
      <c r="AQ5163" s="498">
        <f t="shared" si="1792"/>
        <v>0</v>
      </c>
      <c r="AU5163" s="498">
        <f t="shared" si="1779"/>
        <v>0</v>
      </c>
      <c r="AV5163" s="498">
        <f t="shared" si="1780"/>
        <v>0</v>
      </c>
      <c r="AW5163" s="498">
        <f t="shared" si="1781"/>
        <v>0</v>
      </c>
      <c r="AX5163" s="498">
        <f t="shared" si="1782"/>
        <v>0</v>
      </c>
      <c r="AY5163" s="498">
        <f t="shared" si="1783"/>
        <v>0</v>
      </c>
      <c r="BB5163" s="498" t="str">
        <f t="shared" si="1784"/>
        <v/>
      </c>
      <c r="BC5163" s="743" t="str">
        <f t="shared" si="1785"/>
        <v/>
      </c>
      <c r="BD5163" s="743" t="str">
        <f t="shared" si="1786"/>
        <v/>
      </c>
      <c r="BE5163" s="743" t="str">
        <f>IF(D5163="","",VLOOKUP(D5163,'General Basis'!$J$39:$K$46,2,0))</f>
        <v/>
      </c>
      <c r="BF5163" s="744" t="str">
        <f>IF(D5163="","",VLOOKUP(D5163,'General Basis'!$J$39:$L$46,3,0))</f>
        <v/>
      </c>
      <c r="BG5163" s="744" t="str">
        <f t="shared" si="1793"/>
        <v/>
      </c>
      <c r="BH5163" s="744" t="str">
        <f>IF(G5163="","",IF(BF5163="Abu Dhabi",IF(G5163&lt;18,'General Basis'!$C$39,IF(G5163&lt;41,'General Basis'!$C$40,IF(G5163&lt;60,'General Basis'!$C$41,IF(G5163&lt;65,'General Basis'!$C$42,'General Basis'!$C$43)))),IF(G5163&lt;11,'General Basis'!$B$39,IF(G5163&lt;18,'General Basis'!$B$40,IF(G5163&lt;26,'General Basis'!$B$41,IF(G5163&lt;31,'General Basis'!$B$42,IF(G5163&lt;36,'General Basis'!$B$43,IF(G5163&lt;41,'General Basis'!$B$44,IF(G5163&lt;46,'General Basis'!$B$45,IF(G5163&lt;51,'General Basis'!$B$46,IF(G5163&lt;56,'General Basis'!$B$47,IF(G5163&lt;60,'General Basis'!$B$48,IF(G5163&lt;65,'General Basis'!$B$49,'General Basis'!$B$50)))))))))))))</f>
        <v/>
      </c>
      <c r="BI5163" s="744" t="str">
        <f t="shared" si="1787"/>
        <v/>
      </c>
      <c r="BJ5163" s="747" t="str">
        <f t="shared" si="1794"/>
        <v/>
      </c>
      <c r="BK5163" s="498" t="str">
        <f t="shared" si="1788"/>
        <v/>
      </c>
      <c r="BL5163" s="498" t="str">
        <f t="shared" si="1789"/>
        <v/>
      </c>
    </row>
    <row r="5164" spans="1:64" x14ac:dyDescent="0.25">
      <c r="A5164" s="762">
        <f t="shared" si="1790"/>
        <v>5159</v>
      </c>
      <c r="B5164" s="229"/>
      <c r="C5164" s="223"/>
      <c r="D5164" s="224"/>
      <c r="E5164" s="225"/>
      <c r="F5164" s="1036" t="str">
        <f t="shared" si="1796"/>
        <v/>
      </c>
      <c r="G5164" s="1037" t="str">
        <f t="shared" si="1791"/>
        <v/>
      </c>
      <c r="H5164" s="225"/>
      <c r="I5164" s="1013"/>
      <c r="J5164" s="1013"/>
      <c r="K5164" s="1028"/>
      <c r="L5164" s="1035" t="str">
        <f t="shared" si="1795"/>
        <v/>
      </c>
      <c r="S5164" s="498"/>
      <c r="AJ5164" s="498"/>
      <c r="AM5164" s="498">
        <f t="shared" si="1776"/>
        <v>0</v>
      </c>
      <c r="AN5164" s="498">
        <f t="shared" si="1777"/>
        <v>0</v>
      </c>
      <c r="AO5164" s="498">
        <f t="shared" si="1778"/>
        <v>0</v>
      </c>
      <c r="AP5164" s="498">
        <f t="shared" si="1797"/>
        <v>0</v>
      </c>
      <c r="AQ5164" s="498">
        <f t="shared" si="1792"/>
        <v>0</v>
      </c>
      <c r="AU5164" s="498">
        <f t="shared" si="1779"/>
        <v>0</v>
      </c>
      <c r="AV5164" s="498">
        <f t="shared" si="1780"/>
        <v>0</v>
      </c>
      <c r="AW5164" s="498">
        <f t="shared" si="1781"/>
        <v>0</v>
      </c>
      <c r="AX5164" s="498">
        <f t="shared" si="1782"/>
        <v>0</v>
      </c>
      <c r="AY5164" s="498">
        <f t="shared" si="1783"/>
        <v>0</v>
      </c>
      <c r="BB5164" s="498" t="str">
        <f t="shared" si="1784"/>
        <v/>
      </c>
      <c r="BC5164" s="743" t="str">
        <f t="shared" si="1785"/>
        <v/>
      </c>
      <c r="BD5164" s="743" t="str">
        <f t="shared" si="1786"/>
        <v/>
      </c>
      <c r="BE5164" s="743" t="str">
        <f>IF(D5164="","",VLOOKUP(D5164,'General Basis'!$J$39:$K$46,2,0))</f>
        <v/>
      </c>
      <c r="BF5164" s="744" t="str">
        <f>IF(D5164="","",VLOOKUP(D5164,'General Basis'!$J$39:$L$46,3,0))</f>
        <v/>
      </c>
      <c r="BG5164" s="744" t="str">
        <f t="shared" si="1793"/>
        <v/>
      </c>
      <c r="BH5164" s="744" t="str">
        <f>IF(G5164="","",IF(BF5164="Abu Dhabi",IF(G5164&lt;18,'General Basis'!$C$39,IF(G5164&lt;41,'General Basis'!$C$40,IF(G5164&lt;60,'General Basis'!$C$41,IF(G5164&lt;65,'General Basis'!$C$42,'General Basis'!$C$43)))),IF(G5164&lt;11,'General Basis'!$B$39,IF(G5164&lt;18,'General Basis'!$B$40,IF(G5164&lt;26,'General Basis'!$B$41,IF(G5164&lt;31,'General Basis'!$B$42,IF(G5164&lt;36,'General Basis'!$B$43,IF(G5164&lt;41,'General Basis'!$B$44,IF(G5164&lt;46,'General Basis'!$B$45,IF(G5164&lt;51,'General Basis'!$B$46,IF(G5164&lt;56,'General Basis'!$B$47,IF(G5164&lt;60,'General Basis'!$B$48,IF(G5164&lt;65,'General Basis'!$B$49,'General Basis'!$B$50)))))))))))))</f>
        <v/>
      </c>
      <c r="BI5164" s="744" t="str">
        <f t="shared" si="1787"/>
        <v/>
      </c>
      <c r="BJ5164" s="747" t="str">
        <f t="shared" si="1794"/>
        <v/>
      </c>
      <c r="BK5164" s="498" t="str">
        <f t="shared" si="1788"/>
        <v/>
      </c>
      <c r="BL5164" s="498" t="str">
        <f t="shared" si="1789"/>
        <v/>
      </c>
    </row>
    <row r="5165" spans="1:64" x14ac:dyDescent="0.25">
      <c r="A5165" s="762">
        <f t="shared" si="1790"/>
        <v>5160</v>
      </c>
      <c r="B5165" s="229"/>
      <c r="C5165" s="223"/>
      <c r="D5165" s="224"/>
      <c r="E5165" s="225"/>
      <c r="F5165" s="1036" t="str">
        <f t="shared" si="1796"/>
        <v/>
      </c>
      <c r="G5165" s="1037" t="str">
        <f t="shared" si="1791"/>
        <v/>
      </c>
      <c r="H5165" s="225"/>
      <c r="I5165" s="1013"/>
      <c r="J5165" s="1013"/>
      <c r="K5165" s="1028"/>
      <c r="L5165" s="1035" t="str">
        <f t="shared" si="1795"/>
        <v/>
      </c>
      <c r="S5165" s="498"/>
      <c r="AJ5165" s="498"/>
      <c r="AM5165" s="498">
        <f t="shared" si="1776"/>
        <v>0</v>
      </c>
      <c r="AN5165" s="498">
        <f t="shared" si="1777"/>
        <v>0</v>
      </c>
      <c r="AO5165" s="498">
        <f t="shared" si="1778"/>
        <v>0</v>
      </c>
      <c r="AP5165" s="498">
        <f t="shared" si="1797"/>
        <v>0</v>
      </c>
      <c r="AQ5165" s="498">
        <f t="shared" si="1792"/>
        <v>0</v>
      </c>
      <c r="AU5165" s="498">
        <f t="shared" si="1779"/>
        <v>0</v>
      </c>
      <c r="AV5165" s="498">
        <f t="shared" si="1780"/>
        <v>0</v>
      </c>
      <c r="AW5165" s="498">
        <f t="shared" si="1781"/>
        <v>0</v>
      </c>
      <c r="AX5165" s="498">
        <f t="shared" si="1782"/>
        <v>0</v>
      </c>
      <c r="AY5165" s="498">
        <f t="shared" si="1783"/>
        <v>0</v>
      </c>
      <c r="BB5165" s="498" t="str">
        <f t="shared" si="1784"/>
        <v/>
      </c>
      <c r="BC5165" s="743" t="str">
        <f t="shared" si="1785"/>
        <v/>
      </c>
      <c r="BD5165" s="743" t="str">
        <f t="shared" si="1786"/>
        <v/>
      </c>
      <c r="BE5165" s="743" t="str">
        <f>IF(D5165="","",VLOOKUP(D5165,'General Basis'!$J$39:$K$46,2,0))</f>
        <v/>
      </c>
      <c r="BF5165" s="744" t="str">
        <f>IF(D5165="","",VLOOKUP(D5165,'General Basis'!$J$39:$L$46,3,0))</f>
        <v/>
      </c>
      <c r="BG5165" s="744" t="str">
        <f t="shared" si="1793"/>
        <v/>
      </c>
      <c r="BH5165" s="744" t="str">
        <f>IF(G5165="","",IF(BF5165="Abu Dhabi",IF(G5165&lt;18,'General Basis'!$C$39,IF(G5165&lt;41,'General Basis'!$C$40,IF(G5165&lt;60,'General Basis'!$C$41,IF(G5165&lt;65,'General Basis'!$C$42,'General Basis'!$C$43)))),IF(G5165&lt;11,'General Basis'!$B$39,IF(G5165&lt;18,'General Basis'!$B$40,IF(G5165&lt;26,'General Basis'!$B$41,IF(G5165&lt;31,'General Basis'!$B$42,IF(G5165&lt;36,'General Basis'!$B$43,IF(G5165&lt;41,'General Basis'!$B$44,IF(G5165&lt;46,'General Basis'!$B$45,IF(G5165&lt;51,'General Basis'!$B$46,IF(G5165&lt;56,'General Basis'!$B$47,IF(G5165&lt;60,'General Basis'!$B$48,IF(G5165&lt;65,'General Basis'!$B$49,'General Basis'!$B$50)))))))))))))</f>
        <v/>
      </c>
      <c r="BI5165" s="744" t="str">
        <f t="shared" si="1787"/>
        <v/>
      </c>
      <c r="BJ5165" s="747" t="str">
        <f t="shared" si="1794"/>
        <v/>
      </c>
      <c r="BK5165" s="498" t="str">
        <f t="shared" si="1788"/>
        <v/>
      </c>
      <c r="BL5165" s="498" t="str">
        <f t="shared" si="1789"/>
        <v/>
      </c>
    </row>
    <row r="5166" spans="1:64" x14ac:dyDescent="0.25">
      <c r="A5166" s="762">
        <f t="shared" si="1790"/>
        <v>5161</v>
      </c>
      <c r="B5166" s="229"/>
      <c r="C5166" s="223"/>
      <c r="D5166" s="224"/>
      <c r="E5166" s="225"/>
      <c r="F5166" s="1036" t="str">
        <f t="shared" si="1796"/>
        <v/>
      </c>
      <c r="G5166" s="1037" t="str">
        <f t="shared" si="1791"/>
        <v/>
      </c>
      <c r="H5166" s="225"/>
      <c r="I5166" s="1013"/>
      <c r="J5166" s="1013"/>
      <c r="K5166" s="1028"/>
      <c r="L5166" s="1035" t="str">
        <f t="shared" si="1795"/>
        <v/>
      </c>
      <c r="S5166" s="498"/>
      <c r="AJ5166" s="498"/>
      <c r="AM5166" s="498">
        <f t="shared" si="1776"/>
        <v>0</v>
      </c>
      <c r="AN5166" s="498">
        <f t="shared" si="1777"/>
        <v>0</v>
      </c>
      <c r="AO5166" s="498">
        <f t="shared" si="1778"/>
        <v>0</v>
      </c>
      <c r="AP5166" s="498">
        <f t="shared" si="1797"/>
        <v>0</v>
      </c>
      <c r="AQ5166" s="498">
        <f t="shared" si="1792"/>
        <v>0</v>
      </c>
      <c r="AU5166" s="498">
        <f t="shared" si="1779"/>
        <v>0</v>
      </c>
      <c r="AV5166" s="498">
        <f t="shared" si="1780"/>
        <v>0</v>
      </c>
      <c r="AW5166" s="498">
        <f t="shared" si="1781"/>
        <v>0</v>
      </c>
      <c r="AX5166" s="498">
        <f t="shared" si="1782"/>
        <v>0</v>
      </c>
      <c r="AY5166" s="498">
        <f t="shared" si="1783"/>
        <v>0</v>
      </c>
      <c r="BB5166" s="498" t="str">
        <f t="shared" si="1784"/>
        <v/>
      </c>
      <c r="BC5166" s="743" t="str">
        <f t="shared" si="1785"/>
        <v/>
      </c>
      <c r="BD5166" s="743" t="str">
        <f t="shared" si="1786"/>
        <v/>
      </c>
      <c r="BE5166" s="743" t="str">
        <f>IF(D5166="","",VLOOKUP(D5166,'General Basis'!$J$39:$K$46,2,0))</f>
        <v/>
      </c>
      <c r="BF5166" s="744" t="str">
        <f>IF(D5166="","",VLOOKUP(D5166,'General Basis'!$J$39:$L$46,3,0))</f>
        <v/>
      </c>
      <c r="BG5166" s="744" t="str">
        <f t="shared" si="1793"/>
        <v/>
      </c>
      <c r="BH5166" s="744" t="str">
        <f>IF(G5166="","",IF(BF5166="Abu Dhabi",IF(G5166&lt;18,'General Basis'!$C$39,IF(G5166&lt;41,'General Basis'!$C$40,IF(G5166&lt;60,'General Basis'!$C$41,IF(G5166&lt;65,'General Basis'!$C$42,'General Basis'!$C$43)))),IF(G5166&lt;11,'General Basis'!$B$39,IF(G5166&lt;18,'General Basis'!$B$40,IF(G5166&lt;26,'General Basis'!$B$41,IF(G5166&lt;31,'General Basis'!$B$42,IF(G5166&lt;36,'General Basis'!$B$43,IF(G5166&lt;41,'General Basis'!$B$44,IF(G5166&lt;46,'General Basis'!$B$45,IF(G5166&lt;51,'General Basis'!$B$46,IF(G5166&lt;56,'General Basis'!$B$47,IF(G5166&lt;60,'General Basis'!$B$48,IF(G5166&lt;65,'General Basis'!$B$49,'General Basis'!$B$50)))))))))))))</f>
        <v/>
      </c>
      <c r="BI5166" s="744" t="str">
        <f t="shared" si="1787"/>
        <v/>
      </c>
      <c r="BJ5166" s="747" t="str">
        <f t="shared" si="1794"/>
        <v/>
      </c>
      <c r="BK5166" s="498" t="str">
        <f t="shared" si="1788"/>
        <v/>
      </c>
      <c r="BL5166" s="498" t="str">
        <f t="shared" si="1789"/>
        <v/>
      </c>
    </row>
    <row r="5167" spans="1:64" x14ac:dyDescent="0.25">
      <c r="A5167" s="762">
        <f t="shared" si="1790"/>
        <v>5162</v>
      </c>
      <c r="B5167" s="229"/>
      <c r="C5167" s="223"/>
      <c r="D5167" s="224"/>
      <c r="E5167" s="225"/>
      <c r="F5167" s="1036" t="str">
        <f t="shared" si="1796"/>
        <v/>
      </c>
      <c r="G5167" s="1037" t="str">
        <f t="shared" si="1791"/>
        <v/>
      </c>
      <c r="H5167" s="225"/>
      <c r="I5167" s="1013"/>
      <c r="J5167" s="1013"/>
      <c r="K5167" s="1028"/>
      <c r="L5167" s="1035" t="str">
        <f t="shared" si="1795"/>
        <v/>
      </c>
      <c r="S5167" s="498"/>
      <c r="AJ5167" s="498"/>
      <c r="AM5167" s="498">
        <f t="shared" si="1776"/>
        <v>0</v>
      </c>
      <c r="AN5167" s="498">
        <f t="shared" si="1777"/>
        <v>0</v>
      </c>
      <c r="AO5167" s="498">
        <f t="shared" si="1778"/>
        <v>0</v>
      </c>
      <c r="AP5167" s="498">
        <f t="shared" si="1797"/>
        <v>0</v>
      </c>
      <c r="AQ5167" s="498">
        <f t="shared" si="1792"/>
        <v>0</v>
      </c>
      <c r="AU5167" s="498">
        <f t="shared" si="1779"/>
        <v>0</v>
      </c>
      <c r="AV5167" s="498">
        <f t="shared" si="1780"/>
        <v>0</v>
      </c>
      <c r="AW5167" s="498">
        <f t="shared" si="1781"/>
        <v>0</v>
      </c>
      <c r="AX5167" s="498">
        <f t="shared" si="1782"/>
        <v>0</v>
      </c>
      <c r="AY5167" s="498">
        <f t="shared" si="1783"/>
        <v>0</v>
      </c>
      <c r="BB5167" s="498" t="str">
        <f t="shared" si="1784"/>
        <v/>
      </c>
      <c r="BC5167" s="743" t="str">
        <f t="shared" si="1785"/>
        <v/>
      </c>
      <c r="BD5167" s="743" t="str">
        <f t="shared" si="1786"/>
        <v/>
      </c>
      <c r="BE5167" s="743" t="str">
        <f>IF(D5167="","",VLOOKUP(D5167,'General Basis'!$J$39:$K$46,2,0))</f>
        <v/>
      </c>
      <c r="BF5167" s="744" t="str">
        <f>IF(D5167="","",VLOOKUP(D5167,'General Basis'!$J$39:$L$46,3,0))</f>
        <v/>
      </c>
      <c r="BG5167" s="744" t="str">
        <f t="shared" si="1793"/>
        <v/>
      </c>
      <c r="BH5167" s="744" t="str">
        <f>IF(G5167="","",IF(BF5167="Abu Dhabi",IF(G5167&lt;18,'General Basis'!$C$39,IF(G5167&lt;41,'General Basis'!$C$40,IF(G5167&lt;60,'General Basis'!$C$41,IF(G5167&lt;65,'General Basis'!$C$42,'General Basis'!$C$43)))),IF(G5167&lt;11,'General Basis'!$B$39,IF(G5167&lt;18,'General Basis'!$B$40,IF(G5167&lt;26,'General Basis'!$B$41,IF(G5167&lt;31,'General Basis'!$B$42,IF(G5167&lt;36,'General Basis'!$B$43,IF(G5167&lt;41,'General Basis'!$B$44,IF(G5167&lt;46,'General Basis'!$B$45,IF(G5167&lt;51,'General Basis'!$B$46,IF(G5167&lt;56,'General Basis'!$B$47,IF(G5167&lt;60,'General Basis'!$B$48,IF(G5167&lt;65,'General Basis'!$B$49,'General Basis'!$B$50)))))))))))))</f>
        <v/>
      </c>
      <c r="BI5167" s="744" t="str">
        <f t="shared" si="1787"/>
        <v/>
      </c>
      <c r="BJ5167" s="747" t="str">
        <f t="shared" si="1794"/>
        <v/>
      </c>
      <c r="BK5167" s="498" t="str">
        <f t="shared" si="1788"/>
        <v/>
      </c>
      <c r="BL5167" s="498" t="str">
        <f t="shared" si="1789"/>
        <v/>
      </c>
    </row>
    <row r="5168" spans="1:64" x14ac:dyDescent="0.25">
      <c r="A5168" s="762">
        <f t="shared" si="1790"/>
        <v>5163</v>
      </c>
      <c r="B5168" s="229"/>
      <c r="C5168" s="223"/>
      <c r="D5168" s="224"/>
      <c r="E5168" s="225"/>
      <c r="F5168" s="1036" t="str">
        <f t="shared" si="1796"/>
        <v/>
      </c>
      <c r="G5168" s="1037" t="str">
        <f t="shared" si="1791"/>
        <v/>
      </c>
      <c r="H5168" s="225"/>
      <c r="I5168" s="1013"/>
      <c r="J5168" s="1013"/>
      <c r="K5168" s="1028"/>
      <c r="L5168" s="1035" t="str">
        <f t="shared" si="1795"/>
        <v/>
      </c>
      <c r="S5168" s="498"/>
      <c r="AJ5168" s="498"/>
      <c r="AM5168" s="498">
        <f t="shared" si="1776"/>
        <v>0</v>
      </c>
      <c r="AN5168" s="498">
        <f t="shared" si="1777"/>
        <v>0</v>
      </c>
      <c r="AO5168" s="498">
        <f t="shared" si="1778"/>
        <v>0</v>
      </c>
      <c r="AP5168" s="498">
        <f t="shared" si="1797"/>
        <v>0</v>
      </c>
      <c r="AQ5168" s="498">
        <f t="shared" si="1792"/>
        <v>0</v>
      </c>
      <c r="AU5168" s="498">
        <f t="shared" si="1779"/>
        <v>0</v>
      </c>
      <c r="AV5168" s="498">
        <f t="shared" si="1780"/>
        <v>0</v>
      </c>
      <c r="AW5168" s="498">
        <f t="shared" si="1781"/>
        <v>0</v>
      </c>
      <c r="AX5168" s="498">
        <f t="shared" si="1782"/>
        <v>0</v>
      </c>
      <c r="AY5168" s="498">
        <f t="shared" si="1783"/>
        <v>0</v>
      </c>
      <c r="BB5168" s="498" t="str">
        <f t="shared" si="1784"/>
        <v/>
      </c>
      <c r="BC5168" s="743" t="str">
        <f t="shared" si="1785"/>
        <v/>
      </c>
      <c r="BD5168" s="743" t="str">
        <f t="shared" si="1786"/>
        <v/>
      </c>
      <c r="BE5168" s="743" t="str">
        <f>IF(D5168="","",VLOOKUP(D5168,'General Basis'!$J$39:$K$46,2,0))</f>
        <v/>
      </c>
      <c r="BF5168" s="744" t="str">
        <f>IF(D5168="","",VLOOKUP(D5168,'General Basis'!$J$39:$L$46,3,0))</f>
        <v/>
      </c>
      <c r="BG5168" s="744" t="str">
        <f t="shared" si="1793"/>
        <v/>
      </c>
      <c r="BH5168" s="744" t="str">
        <f>IF(G5168="","",IF(BF5168="Abu Dhabi",IF(G5168&lt;18,'General Basis'!$C$39,IF(G5168&lt;41,'General Basis'!$C$40,IF(G5168&lt;60,'General Basis'!$C$41,IF(G5168&lt;65,'General Basis'!$C$42,'General Basis'!$C$43)))),IF(G5168&lt;11,'General Basis'!$B$39,IF(G5168&lt;18,'General Basis'!$B$40,IF(G5168&lt;26,'General Basis'!$B$41,IF(G5168&lt;31,'General Basis'!$B$42,IF(G5168&lt;36,'General Basis'!$B$43,IF(G5168&lt;41,'General Basis'!$B$44,IF(G5168&lt;46,'General Basis'!$B$45,IF(G5168&lt;51,'General Basis'!$B$46,IF(G5168&lt;56,'General Basis'!$B$47,IF(G5168&lt;60,'General Basis'!$B$48,IF(G5168&lt;65,'General Basis'!$B$49,'General Basis'!$B$50)))))))))))))</f>
        <v/>
      </c>
      <c r="BI5168" s="744" t="str">
        <f t="shared" si="1787"/>
        <v/>
      </c>
      <c r="BJ5168" s="747" t="str">
        <f t="shared" si="1794"/>
        <v/>
      </c>
      <c r="BK5168" s="498" t="str">
        <f t="shared" si="1788"/>
        <v/>
      </c>
      <c r="BL5168" s="498" t="str">
        <f t="shared" si="1789"/>
        <v/>
      </c>
    </row>
    <row r="5169" spans="1:64" x14ac:dyDescent="0.25">
      <c r="A5169" s="762">
        <f t="shared" si="1790"/>
        <v>5164</v>
      </c>
      <c r="B5169" s="229"/>
      <c r="C5169" s="223"/>
      <c r="D5169" s="224"/>
      <c r="E5169" s="225"/>
      <c r="F5169" s="1036" t="str">
        <f t="shared" si="1796"/>
        <v/>
      </c>
      <c r="G5169" s="1037" t="str">
        <f t="shared" si="1791"/>
        <v/>
      </c>
      <c r="H5169" s="225"/>
      <c r="I5169" s="1013"/>
      <c r="J5169" s="1013"/>
      <c r="K5169" s="1028"/>
      <c r="L5169" s="1035" t="str">
        <f t="shared" si="1795"/>
        <v/>
      </c>
      <c r="S5169" s="498"/>
      <c r="AJ5169" s="498"/>
      <c r="AM5169" s="498">
        <f t="shared" si="1776"/>
        <v>0</v>
      </c>
      <c r="AN5169" s="498">
        <f t="shared" si="1777"/>
        <v>0</v>
      </c>
      <c r="AO5169" s="498">
        <f t="shared" si="1778"/>
        <v>0</v>
      </c>
      <c r="AP5169" s="498">
        <f t="shared" si="1797"/>
        <v>0</v>
      </c>
      <c r="AQ5169" s="498">
        <f t="shared" si="1792"/>
        <v>0</v>
      </c>
      <c r="AU5169" s="498">
        <f t="shared" si="1779"/>
        <v>0</v>
      </c>
      <c r="AV5169" s="498">
        <f t="shared" si="1780"/>
        <v>0</v>
      </c>
      <c r="AW5169" s="498">
        <f t="shared" si="1781"/>
        <v>0</v>
      </c>
      <c r="AX5169" s="498">
        <f t="shared" si="1782"/>
        <v>0</v>
      </c>
      <c r="AY5169" s="498">
        <f t="shared" si="1783"/>
        <v>0</v>
      </c>
      <c r="BB5169" s="498" t="str">
        <f t="shared" si="1784"/>
        <v/>
      </c>
      <c r="BC5169" s="743" t="str">
        <f t="shared" si="1785"/>
        <v/>
      </c>
      <c r="BD5169" s="743" t="str">
        <f t="shared" si="1786"/>
        <v/>
      </c>
      <c r="BE5169" s="743" t="str">
        <f>IF(D5169="","",VLOOKUP(D5169,'General Basis'!$J$39:$K$46,2,0))</f>
        <v/>
      </c>
      <c r="BF5169" s="744" t="str">
        <f>IF(D5169="","",VLOOKUP(D5169,'General Basis'!$J$39:$L$46,3,0))</f>
        <v/>
      </c>
      <c r="BG5169" s="744" t="str">
        <f t="shared" si="1793"/>
        <v/>
      </c>
      <c r="BH5169" s="744" t="str">
        <f>IF(G5169="","",IF(BF5169="Abu Dhabi",IF(G5169&lt;18,'General Basis'!$C$39,IF(G5169&lt;41,'General Basis'!$C$40,IF(G5169&lt;60,'General Basis'!$C$41,IF(G5169&lt;65,'General Basis'!$C$42,'General Basis'!$C$43)))),IF(G5169&lt;11,'General Basis'!$B$39,IF(G5169&lt;18,'General Basis'!$B$40,IF(G5169&lt;26,'General Basis'!$B$41,IF(G5169&lt;31,'General Basis'!$B$42,IF(G5169&lt;36,'General Basis'!$B$43,IF(G5169&lt;41,'General Basis'!$B$44,IF(G5169&lt;46,'General Basis'!$B$45,IF(G5169&lt;51,'General Basis'!$B$46,IF(G5169&lt;56,'General Basis'!$B$47,IF(G5169&lt;60,'General Basis'!$B$48,IF(G5169&lt;65,'General Basis'!$B$49,'General Basis'!$B$50)))))))))))))</f>
        <v/>
      </c>
      <c r="BI5169" s="744" t="str">
        <f t="shared" si="1787"/>
        <v/>
      </c>
      <c r="BJ5169" s="747" t="str">
        <f t="shared" si="1794"/>
        <v/>
      </c>
      <c r="BK5169" s="498" t="str">
        <f t="shared" si="1788"/>
        <v/>
      </c>
      <c r="BL5169" s="498" t="str">
        <f t="shared" si="1789"/>
        <v/>
      </c>
    </row>
    <row r="5170" spans="1:64" x14ac:dyDescent="0.25">
      <c r="A5170" s="762">
        <f t="shared" si="1790"/>
        <v>5165</v>
      </c>
      <c r="B5170" s="229"/>
      <c r="C5170" s="223"/>
      <c r="D5170" s="224"/>
      <c r="E5170" s="225"/>
      <c r="F5170" s="1036" t="str">
        <f t="shared" si="1796"/>
        <v/>
      </c>
      <c r="G5170" s="1037" t="str">
        <f t="shared" si="1791"/>
        <v/>
      </c>
      <c r="H5170" s="225"/>
      <c r="I5170" s="1013"/>
      <c r="J5170" s="1013"/>
      <c r="K5170" s="1028"/>
      <c r="L5170" s="1035" t="str">
        <f t="shared" si="1795"/>
        <v/>
      </c>
      <c r="S5170" s="498"/>
      <c r="AJ5170" s="498"/>
      <c r="AM5170" s="498">
        <f t="shared" si="1776"/>
        <v>0</v>
      </c>
      <c r="AN5170" s="498">
        <f t="shared" si="1777"/>
        <v>0</v>
      </c>
      <c r="AO5170" s="498">
        <f t="shared" si="1778"/>
        <v>0</v>
      </c>
      <c r="AP5170" s="498">
        <f t="shared" si="1797"/>
        <v>0</v>
      </c>
      <c r="AQ5170" s="498">
        <f t="shared" si="1792"/>
        <v>0</v>
      </c>
      <c r="AU5170" s="498">
        <f t="shared" si="1779"/>
        <v>0</v>
      </c>
      <c r="AV5170" s="498">
        <f t="shared" si="1780"/>
        <v>0</v>
      </c>
      <c r="AW5170" s="498">
        <f t="shared" si="1781"/>
        <v>0</v>
      </c>
      <c r="AX5170" s="498">
        <f t="shared" si="1782"/>
        <v>0</v>
      </c>
      <c r="AY5170" s="498">
        <f t="shared" si="1783"/>
        <v>0</v>
      </c>
      <c r="BB5170" s="498" t="str">
        <f t="shared" si="1784"/>
        <v/>
      </c>
      <c r="BC5170" s="743" t="str">
        <f t="shared" si="1785"/>
        <v/>
      </c>
      <c r="BD5170" s="743" t="str">
        <f t="shared" si="1786"/>
        <v/>
      </c>
      <c r="BE5170" s="743" t="str">
        <f>IF(D5170="","",VLOOKUP(D5170,'General Basis'!$J$39:$K$46,2,0))</f>
        <v/>
      </c>
      <c r="BF5170" s="744" t="str">
        <f>IF(D5170="","",VLOOKUP(D5170,'General Basis'!$J$39:$L$46,3,0))</f>
        <v/>
      </c>
      <c r="BG5170" s="744" t="str">
        <f t="shared" si="1793"/>
        <v/>
      </c>
      <c r="BH5170" s="744" t="str">
        <f>IF(G5170="","",IF(BF5170="Abu Dhabi",IF(G5170&lt;18,'General Basis'!$C$39,IF(G5170&lt;41,'General Basis'!$C$40,IF(G5170&lt;60,'General Basis'!$C$41,IF(G5170&lt;65,'General Basis'!$C$42,'General Basis'!$C$43)))),IF(G5170&lt;11,'General Basis'!$B$39,IF(G5170&lt;18,'General Basis'!$B$40,IF(G5170&lt;26,'General Basis'!$B$41,IF(G5170&lt;31,'General Basis'!$B$42,IF(G5170&lt;36,'General Basis'!$B$43,IF(G5170&lt;41,'General Basis'!$B$44,IF(G5170&lt;46,'General Basis'!$B$45,IF(G5170&lt;51,'General Basis'!$B$46,IF(G5170&lt;56,'General Basis'!$B$47,IF(G5170&lt;60,'General Basis'!$B$48,IF(G5170&lt;65,'General Basis'!$B$49,'General Basis'!$B$50)))))))))))))</f>
        <v/>
      </c>
      <c r="BI5170" s="744" t="str">
        <f t="shared" si="1787"/>
        <v/>
      </c>
      <c r="BJ5170" s="747" t="str">
        <f t="shared" si="1794"/>
        <v/>
      </c>
      <c r="BK5170" s="498" t="str">
        <f t="shared" si="1788"/>
        <v/>
      </c>
      <c r="BL5170" s="498" t="str">
        <f t="shared" si="1789"/>
        <v/>
      </c>
    </row>
    <row r="5171" spans="1:64" x14ac:dyDescent="0.25">
      <c r="A5171" s="762">
        <f t="shared" si="1790"/>
        <v>5166</v>
      </c>
      <c r="B5171" s="229"/>
      <c r="C5171" s="223"/>
      <c r="D5171" s="224"/>
      <c r="E5171" s="225"/>
      <c r="F5171" s="1036" t="str">
        <f t="shared" si="1796"/>
        <v/>
      </c>
      <c r="G5171" s="1037" t="str">
        <f t="shared" si="1791"/>
        <v/>
      </c>
      <c r="H5171" s="225"/>
      <c r="I5171" s="1013"/>
      <c r="J5171" s="1013"/>
      <c r="K5171" s="1028"/>
      <c r="L5171" s="1035" t="str">
        <f t="shared" si="1795"/>
        <v/>
      </c>
      <c r="S5171" s="498"/>
      <c r="AJ5171" s="498"/>
      <c r="AM5171" s="498">
        <f t="shared" si="1776"/>
        <v>0</v>
      </c>
      <c r="AN5171" s="498">
        <f t="shared" si="1777"/>
        <v>0</v>
      </c>
      <c r="AO5171" s="498">
        <f t="shared" si="1778"/>
        <v>0</v>
      </c>
      <c r="AP5171" s="498">
        <f t="shared" si="1797"/>
        <v>0</v>
      </c>
      <c r="AQ5171" s="498">
        <f t="shared" si="1792"/>
        <v>0</v>
      </c>
      <c r="AU5171" s="498">
        <f t="shared" si="1779"/>
        <v>0</v>
      </c>
      <c r="AV5171" s="498">
        <f t="shared" si="1780"/>
        <v>0</v>
      </c>
      <c r="AW5171" s="498">
        <f t="shared" si="1781"/>
        <v>0</v>
      </c>
      <c r="AX5171" s="498">
        <f t="shared" si="1782"/>
        <v>0</v>
      </c>
      <c r="AY5171" s="498">
        <f t="shared" si="1783"/>
        <v>0</v>
      </c>
      <c r="BB5171" s="498" t="str">
        <f t="shared" si="1784"/>
        <v/>
      </c>
      <c r="BC5171" s="743" t="str">
        <f t="shared" si="1785"/>
        <v/>
      </c>
      <c r="BD5171" s="743" t="str">
        <f t="shared" si="1786"/>
        <v/>
      </c>
      <c r="BE5171" s="743" t="str">
        <f>IF(D5171="","",VLOOKUP(D5171,'General Basis'!$J$39:$K$46,2,0))</f>
        <v/>
      </c>
      <c r="BF5171" s="744" t="str">
        <f>IF(D5171="","",VLOOKUP(D5171,'General Basis'!$J$39:$L$46,3,0))</f>
        <v/>
      </c>
      <c r="BG5171" s="744" t="str">
        <f t="shared" si="1793"/>
        <v/>
      </c>
      <c r="BH5171" s="744" t="str">
        <f>IF(G5171="","",IF(BF5171="Abu Dhabi",IF(G5171&lt;18,'General Basis'!$C$39,IF(G5171&lt;41,'General Basis'!$C$40,IF(G5171&lt;60,'General Basis'!$C$41,IF(G5171&lt;65,'General Basis'!$C$42,'General Basis'!$C$43)))),IF(G5171&lt;11,'General Basis'!$B$39,IF(G5171&lt;18,'General Basis'!$B$40,IF(G5171&lt;26,'General Basis'!$B$41,IF(G5171&lt;31,'General Basis'!$B$42,IF(G5171&lt;36,'General Basis'!$B$43,IF(G5171&lt;41,'General Basis'!$B$44,IF(G5171&lt;46,'General Basis'!$B$45,IF(G5171&lt;51,'General Basis'!$B$46,IF(G5171&lt;56,'General Basis'!$B$47,IF(G5171&lt;60,'General Basis'!$B$48,IF(G5171&lt;65,'General Basis'!$B$49,'General Basis'!$B$50)))))))))))))</f>
        <v/>
      </c>
      <c r="BI5171" s="744" t="str">
        <f t="shared" si="1787"/>
        <v/>
      </c>
      <c r="BJ5171" s="747" t="str">
        <f t="shared" si="1794"/>
        <v/>
      </c>
      <c r="BK5171" s="498" t="str">
        <f t="shared" si="1788"/>
        <v/>
      </c>
      <c r="BL5171" s="498" t="str">
        <f t="shared" si="1789"/>
        <v/>
      </c>
    </row>
    <row r="5172" spans="1:64" x14ac:dyDescent="0.25">
      <c r="A5172" s="762">
        <f t="shared" si="1790"/>
        <v>5167</v>
      </c>
      <c r="B5172" s="229"/>
      <c r="C5172" s="223"/>
      <c r="D5172" s="224"/>
      <c r="E5172" s="225"/>
      <c r="F5172" s="1036" t="str">
        <f t="shared" si="1796"/>
        <v/>
      </c>
      <c r="G5172" s="1037" t="str">
        <f t="shared" si="1791"/>
        <v/>
      </c>
      <c r="H5172" s="225"/>
      <c r="I5172" s="1013"/>
      <c r="J5172" s="1013"/>
      <c r="K5172" s="1028"/>
      <c r="L5172" s="1035" t="str">
        <f t="shared" si="1795"/>
        <v/>
      </c>
      <c r="S5172" s="498"/>
      <c r="AJ5172" s="498"/>
      <c r="AM5172" s="498">
        <f t="shared" si="1776"/>
        <v>0</v>
      </c>
      <c r="AN5172" s="498">
        <f t="shared" si="1777"/>
        <v>0</v>
      </c>
      <c r="AO5172" s="498">
        <f t="shared" si="1778"/>
        <v>0</v>
      </c>
      <c r="AP5172" s="498">
        <f t="shared" si="1797"/>
        <v>0</v>
      </c>
      <c r="AQ5172" s="498">
        <f t="shared" si="1792"/>
        <v>0</v>
      </c>
      <c r="AU5172" s="498">
        <f t="shared" si="1779"/>
        <v>0</v>
      </c>
      <c r="AV5172" s="498">
        <f t="shared" si="1780"/>
        <v>0</v>
      </c>
      <c r="AW5172" s="498">
        <f t="shared" si="1781"/>
        <v>0</v>
      </c>
      <c r="AX5172" s="498">
        <f t="shared" si="1782"/>
        <v>0</v>
      </c>
      <c r="AY5172" s="498">
        <f t="shared" si="1783"/>
        <v>0</v>
      </c>
      <c r="BB5172" s="498" t="str">
        <f t="shared" si="1784"/>
        <v/>
      </c>
      <c r="BC5172" s="743" t="str">
        <f t="shared" si="1785"/>
        <v/>
      </c>
      <c r="BD5172" s="743" t="str">
        <f t="shared" si="1786"/>
        <v/>
      </c>
      <c r="BE5172" s="743" t="str">
        <f>IF(D5172="","",VLOOKUP(D5172,'General Basis'!$J$39:$K$46,2,0))</f>
        <v/>
      </c>
      <c r="BF5172" s="744" t="str">
        <f>IF(D5172="","",VLOOKUP(D5172,'General Basis'!$J$39:$L$46,3,0))</f>
        <v/>
      </c>
      <c r="BG5172" s="744" t="str">
        <f t="shared" si="1793"/>
        <v/>
      </c>
      <c r="BH5172" s="744" t="str">
        <f>IF(G5172="","",IF(BF5172="Abu Dhabi",IF(G5172&lt;18,'General Basis'!$C$39,IF(G5172&lt;41,'General Basis'!$C$40,IF(G5172&lt;60,'General Basis'!$C$41,IF(G5172&lt;65,'General Basis'!$C$42,'General Basis'!$C$43)))),IF(G5172&lt;11,'General Basis'!$B$39,IF(G5172&lt;18,'General Basis'!$B$40,IF(G5172&lt;26,'General Basis'!$B$41,IF(G5172&lt;31,'General Basis'!$B$42,IF(G5172&lt;36,'General Basis'!$B$43,IF(G5172&lt;41,'General Basis'!$B$44,IF(G5172&lt;46,'General Basis'!$B$45,IF(G5172&lt;51,'General Basis'!$B$46,IF(G5172&lt;56,'General Basis'!$B$47,IF(G5172&lt;60,'General Basis'!$B$48,IF(G5172&lt;65,'General Basis'!$B$49,'General Basis'!$B$50)))))))))))))</f>
        <v/>
      </c>
      <c r="BI5172" s="744" t="str">
        <f t="shared" si="1787"/>
        <v/>
      </c>
      <c r="BJ5172" s="747" t="str">
        <f t="shared" si="1794"/>
        <v/>
      </c>
      <c r="BK5172" s="498" t="str">
        <f t="shared" si="1788"/>
        <v/>
      </c>
      <c r="BL5172" s="498" t="str">
        <f t="shared" si="1789"/>
        <v/>
      </c>
    </row>
    <row r="5173" spans="1:64" x14ac:dyDescent="0.25">
      <c r="A5173" s="762">
        <f t="shared" si="1790"/>
        <v>5168</v>
      </c>
      <c r="B5173" s="229"/>
      <c r="C5173" s="223"/>
      <c r="D5173" s="224"/>
      <c r="E5173" s="225"/>
      <c r="F5173" s="1036" t="str">
        <f t="shared" si="1796"/>
        <v/>
      </c>
      <c r="G5173" s="1037" t="str">
        <f t="shared" si="1791"/>
        <v/>
      </c>
      <c r="H5173" s="225"/>
      <c r="I5173" s="1013"/>
      <c r="J5173" s="1013"/>
      <c r="K5173" s="1028"/>
      <c r="L5173" s="1035" t="str">
        <f t="shared" si="1795"/>
        <v/>
      </c>
      <c r="S5173" s="498"/>
      <c r="AJ5173" s="498"/>
      <c r="AM5173" s="498">
        <f t="shared" si="1776"/>
        <v>0</v>
      </c>
      <c r="AN5173" s="498">
        <f t="shared" si="1777"/>
        <v>0</v>
      </c>
      <c r="AO5173" s="498">
        <f t="shared" si="1778"/>
        <v>0</v>
      </c>
      <c r="AP5173" s="498">
        <f t="shared" si="1797"/>
        <v>0</v>
      </c>
      <c r="AQ5173" s="498">
        <f t="shared" si="1792"/>
        <v>0</v>
      </c>
      <c r="AU5173" s="498">
        <f t="shared" si="1779"/>
        <v>0</v>
      </c>
      <c r="AV5173" s="498">
        <f t="shared" si="1780"/>
        <v>0</v>
      </c>
      <c r="AW5173" s="498">
        <f t="shared" si="1781"/>
        <v>0</v>
      </c>
      <c r="AX5173" s="498">
        <f t="shared" si="1782"/>
        <v>0</v>
      </c>
      <c r="AY5173" s="498">
        <f t="shared" si="1783"/>
        <v>0</v>
      </c>
      <c r="BB5173" s="498" t="str">
        <f t="shared" si="1784"/>
        <v/>
      </c>
      <c r="BC5173" s="743" t="str">
        <f t="shared" si="1785"/>
        <v/>
      </c>
      <c r="BD5173" s="743" t="str">
        <f t="shared" si="1786"/>
        <v/>
      </c>
      <c r="BE5173" s="743" t="str">
        <f>IF(D5173="","",VLOOKUP(D5173,'General Basis'!$J$39:$K$46,2,0))</f>
        <v/>
      </c>
      <c r="BF5173" s="744" t="str">
        <f>IF(D5173="","",VLOOKUP(D5173,'General Basis'!$J$39:$L$46,3,0))</f>
        <v/>
      </c>
      <c r="BG5173" s="744" t="str">
        <f t="shared" si="1793"/>
        <v/>
      </c>
      <c r="BH5173" s="744" t="str">
        <f>IF(G5173="","",IF(BF5173="Abu Dhabi",IF(G5173&lt;18,'General Basis'!$C$39,IF(G5173&lt;41,'General Basis'!$C$40,IF(G5173&lt;60,'General Basis'!$C$41,IF(G5173&lt;65,'General Basis'!$C$42,'General Basis'!$C$43)))),IF(G5173&lt;11,'General Basis'!$B$39,IF(G5173&lt;18,'General Basis'!$B$40,IF(G5173&lt;26,'General Basis'!$B$41,IF(G5173&lt;31,'General Basis'!$B$42,IF(G5173&lt;36,'General Basis'!$B$43,IF(G5173&lt;41,'General Basis'!$B$44,IF(G5173&lt;46,'General Basis'!$B$45,IF(G5173&lt;51,'General Basis'!$B$46,IF(G5173&lt;56,'General Basis'!$B$47,IF(G5173&lt;60,'General Basis'!$B$48,IF(G5173&lt;65,'General Basis'!$B$49,'General Basis'!$B$50)))))))))))))</f>
        <v/>
      </c>
      <c r="BI5173" s="744" t="str">
        <f t="shared" si="1787"/>
        <v/>
      </c>
      <c r="BJ5173" s="747" t="str">
        <f t="shared" si="1794"/>
        <v/>
      </c>
      <c r="BK5173" s="498" t="str">
        <f t="shared" si="1788"/>
        <v/>
      </c>
      <c r="BL5173" s="498" t="str">
        <f t="shared" si="1789"/>
        <v/>
      </c>
    </row>
    <row r="5174" spans="1:64" x14ac:dyDescent="0.25">
      <c r="A5174" s="762">
        <f t="shared" si="1790"/>
        <v>5169</v>
      </c>
      <c r="B5174" s="229"/>
      <c r="C5174" s="223"/>
      <c r="D5174" s="224"/>
      <c r="E5174" s="225"/>
      <c r="F5174" s="1036" t="str">
        <f t="shared" si="1796"/>
        <v/>
      </c>
      <c r="G5174" s="1037" t="str">
        <f t="shared" si="1791"/>
        <v/>
      </c>
      <c r="H5174" s="225"/>
      <c r="I5174" s="1013"/>
      <c r="J5174" s="1013"/>
      <c r="K5174" s="1028"/>
      <c r="L5174" s="1035" t="str">
        <f t="shared" si="1795"/>
        <v/>
      </c>
      <c r="S5174" s="498"/>
      <c r="AJ5174" s="498"/>
      <c r="AM5174" s="498">
        <f t="shared" si="1776"/>
        <v>0</v>
      </c>
      <c r="AN5174" s="498">
        <f t="shared" si="1777"/>
        <v>0</v>
      </c>
      <c r="AO5174" s="498">
        <f t="shared" si="1778"/>
        <v>0</v>
      </c>
      <c r="AP5174" s="498">
        <f t="shared" si="1797"/>
        <v>0</v>
      </c>
      <c r="AQ5174" s="498">
        <f t="shared" si="1792"/>
        <v>0</v>
      </c>
      <c r="AU5174" s="498">
        <f t="shared" si="1779"/>
        <v>0</v>
      </c>
      <c r="AV5174" s="498">
        <f t="shared" si="1780"/>
        <v>0</v>
      </c>
      <c r="AW5174" s="498">
        <f t="shared" si="1781"/>
        <v>0</v>
      </c>
      <c r="AX5174" s="498">
        <f t="shared" si="1782"/>
        <v>0</v>
      </c>
      <c r="AY5174" s="498">
        <f t="shared" si="1783"/>
        <v>0</v>
      </c>
      <c r="BB5174" s="498" t="str">
        <f t="shared" si="1784"/>
        <v/>
      </c>
      <c r="BC5174" s="743" t="str">
        <f t="shared" si="1785"/>
        <v/>
      </c>
      <c r="BD5174" s="743" t="str">
        <f t="shared" si="1786"/>
        <v/>
      </c>
      <c r="BE5174" s="743" t="str">
        <f>IF(D5174="","",VLOOKUP(D5174,'General Basis'!$J$39:$K$46,2,0))</f>
        <v/>
      </c>
      <c r="BF5174" s="744" t="str">
        <f>IF(D5174="","",VLOOKUP(D5174,'General Basis'!$J$39:$L$46,3,0))</f>
        <v/>
      </c>
      <c r="BG5174" s="744" t="str">
        <f t="shared" si="1793"/>
        <v/>
      </c>
      <c r="BH5174" s="744" t="str">
        <f>IF(G5174="","",IF(BF5174="Abu Dhabi",IF(G5174&lt;18,'General Basis'!$C$39,IF(G5174&lt;41,'General Basis'!$C$40,IF(G5174&lt;60,'General Basis'!$C$41,IF(G5174&lt;65,'General Basis'!$C$42,'General Basis'!$C$43)))),IF(G5174&lt;11,'General Basis'!$B$39,IF(G5174&lt;18,'General Basis'!$B$40,IF(G5174&lt;26,'General Basis'!$B$41,IF(G5174&lt;31,'General Basis'!$B$42,IF(G5174&lt;36,'General Basis'!$B$43,IF(G5174&lt;41,'General Basis'!$B$44,IF(G5174&lt;46,'General Basis'!$B$45,IF(G5174&lt;51,'General Basis'!$B$46,IF(G5174&lt;56,'General Basis'!$B$47,IF(G5174&lt;60,'General Basis'!$B$48,IF(G5174&lt;65,'General Basis'!$B$49,'General Basis'!$B$50)))))))))))))</f>
        <v/>
      </c>
      <c r="BI5174" s="744" t="str">
        <f t="shared" si="1787"/>
        <v/>
      </c>
      <c r="BJ5174" s="747" t="str">
        <f t="shared" si="1794"/>
        <v/>
      </c>
      <c r="BK5174" s="498" t="str">
        <f t="shared" si="1788"/>
        <v/>
      </c>
      <c r="BL5174" s="498" t="str">
        <f t="shared" si="1789"/>
        <v/>
      </c>
    </row>
    <row r="5175" spans="1:64" x14ac:dyDescent="0.25">
      <c r="A5175" s="762">
        <f t="shared" si="1790"/>
        <v>5170</v>
      </c>
      <c r="B5175" s="229"/>
      <c r="C5175" s="223"/>
      <c r="D5175" s="224"/>
      <c r="E5175" s="225"/>
      <c r="F5175" s="1036" t="str">
        <f t="shared" si="1796"/>
        <v/>
      </c>
      <c r="G5175" s="1037" t="str">
        <f t="shared" si="1791"/>
        <v/>
      </c>
      <c r="H5175" s="225"/>
      <c r="I5175" s="1013"/>
      <c r="J5175" s="1013"/>
      <c r="K5175" s="1028"/>
      <c r="L5175" s="1035" t="str">
        <f t="shared" si="1795"/>
        <v/>
      </c>
      <c r="S5175" s="498"/>
      <c r="AJ5175" s="498"/>
      <c r="AM5175" s="498">
        <f t="shared" si="1776"/>
        <v>0</v>
      </c>
      <c r="AN5175" s="498">
        <f t="shared" si="1777"/>
        <v>0</v>
      </c>
      <c r="AO5175" s="498">
        <f t="shared" si="1778"/>
        <v>0</v>
      </c>
      <c r="AP5175" s="498">
        <f t="shared" si="1797"/>
        <v>0</v>
      </c>
      <c r="AQ5175" s="498">
        <f t="shared" si="1792"/>
        <v>0</v>
      </c>
      <c r="AU5175" s="498">
        <f t="shared" si="1779"/>
        <v>0</v>
      </c>
      <c r="AV5175" s="498">
        <f t="shared" si="1780"/>
        <v>0</v>
      </c>
      <c r="AW5175" s="498">
        <f t="shared" si="1781"/>
        <v>0</v>
      </c>
      <c r="AX5175" s="498">
        <f t="shared" si="1782"/>
        <v>0</v>
      </c>
      <c r="AY5175" s="498">
        <f t="shared" si="1783"/>
        <v>0</v>
      </c>
      <c r="BB5175" s="498" t="str">
        <f t="shared" si="1784"/>
        <v/>
      </c>
      <c r="BC5175" s="743" t="str">
        <f t="shared" si="1785"/>
        <v/>
      </c>
      <c r="BD5175" s="743" t="str">
        <f t="shared" si="1786"/>
        <v/>
      </c>
      <c r="BE5175" s="743" t="str">
        <f>IF(D5175="","",VLOOKUP(D5175,'General Basis'!$J$39:$K$46,2,0))</f>
        <v/>
      </c>
      <c r="BF5175" s="744" t="str">
        <f>IF(D5175="","",VLOOKUP(D5175,'General Basis'!$J$39:$L$46,3,0))</f>
        <v/>
      </c>
      <c r="BG5175" s="744" t="str">
        <f t="shared" si="1793"/>
        <v/>
      </c>
      <c r="BH5175" s="744" t="str">
        <f>IF(G5175="","",IF(BF5175="Abu Dhabi",IF(G5175&lt;18,'General Basis'!$C$39,IF(G5175&lt;41,'General Basis'!$C$40,IF(G5175&lt;60,'General Basis'!$C$41,IF(G5175&lt;65,'General Basis'!$C$42,'General Basis'!$C$43)))),IF(G5175&lt;11,'General Basis'!$B$39,IF(G5175&lt;18,'General Basis'!$B$40,IF(G5175&lt;26,'General Basis'!$B$41,IF(G5175&lt;31,'General Basis'!$B$42,IF(G5175&lt;36,'General Basis'!$B$43,IF(G5175&lt;41,'General Basis'!$B$44,IF(G5175&lt;46,'General Basis'!$B$45,IF(G5175&lt;51,'General Basis'!$B$46,IF(G5175&lt;56,'General Basis'!$B$47,IF(G5175&lt;60,'General Basis'!$B$48,IF(G5175&lt;65,'General Basis'!$B$49,'General Basis'!$B$50)))))))))))))</f>
        <v/>
      </c>
      <c r="BI5175" s="744" t="str">
        <f t="shared" si="1787"/>
        <v/>
      </c>
      <c r="BJ5175" s="747" t="str">
        <f t="shared" si="1794"/>
        <v/>
      </c>
      <c r="BK5175" s="498" t="str">
        <f t="shared" si="1788"/>
        <v/>
      </c>
      <c r="BL5175" s="498" t="str">
        <f t="shared" si="1789"/>
        <v/>
      </c>
    </row>
    <row r="5176" spans="1:64" x14ac:dyDescent="0.25">
      <c r="A5176" s="762">
        <f t="shared" si="1790"/>
        <v>5171</v>
      </c>
      <c r="B5176" s="229"/>
      <c r="C5176" s="223"/>
      <c r="D5176" s="224"/>
      <c r="E5176" s="225"/>
      <c r="F5176" s="1036" t="str">
        <f t="shared" si="1796"/>
        <v/>
      </c>
      <c r="G5176" s="1037" t="str">
        <f t="shared" si="1791"/>
        <v/>
      </c>
      <c r="H5176" s="225"/>
      <c r="I5176" s="1013"/>
      <c r="J5176" s="1013"/>
      <c r="K5176" s="1028"/>
      <c r="L5176" s="1035" t="str">
        <f t="shared" si="1795"/>
        <v/>
      </c>
      <c r="S5176" s="498"/>
      <c r="AJ5176" s="498"/>
      <c r="AM5176" s="498">
        <f t="shared" si="1776"/>
        <v>0</v>
      </c>
      <c r="AN5176" s="498">
        <f t="shared" si="1777"/>
        <v>0</v>
      </c>
      <c r="AO5176" s="498">
        <f t="shared" si="1778"/>
        <v>0</v>
      </c>
      <c r="AP5176" s="498">
        <f t="shared" si="1797"/>
        <v>0</v>
      </c>
      <c r="AQ5176" s="498">
        <f t="shared" si="1792"/>
        <v>0</v>
      </c>
      <c r="AU5176" s="498">
        <f t="shared" si="1779"/>
        <v>0</v>
      </c>
      <c r="AV5176" s="498">
        <f t="shared" si="1780"/>
        <v>0</v>
      </c>
      <c r="AW5176" s="498">
        <f t="shared" si="1781"/>
        <v>0</v>
      </c>
      <c r="AX5176" s="498">
        <f t="shared" si="1782"/>
        <v>0</v>
      </c>
      <c r="AY5176" s="498">
        <f t="shared" si="1783"/>
        <v>0</v>
      </c>
      <c r="BB5176" s="498" t="str">
        <f t="shared" si="1784"/>
        <v/>
      </c>
      <c r="BC5176" s="743" t="str">
        <f t="shared" si="1785"/>
        <v/>
      </c>
      <c r="BD5176" s="743" t="str">
        <f t="shared" si="1786"/>
        <v/>
      </c>
      <c r="BE5176" s="743" t="str">
        <f>IF(D5176="","",VLOOKUP(D5176,'General Basis'!$J$39:$K$46,2,0))</f>
        <v/>
      </c>
      <c r="BF5176" s="744" t="str">
        <f>IF(D5176="","",VLOOKUP(D5176,'General Basis'!$J$39:$L$46,3,0))</f>
        <v/>
      </c>
      <c r="BG5176" s="744" t="str">
        <f t="shared" si="1793"/>
        <v/>
      </c>
      <c r="BH5176" s="744" t="str">
        <f>IF(G5176="","",IF(BF5176="Abu Dhabi",IF(G5176&lt;18,'General Basis'!$C$39,IF(G5176&lt;41,'General Basis'!$C$40,IF(G5176&lt;60,'General Basis'!$C$41,IF(G5176&lt;65,'General Basis'!$C$42,'General Basis'!$C$43)))),IF(G5176&lt;11,'General Basis'!$B$39,IF(G5176&lt;18,'General Basis'!$B$40,IF(G5176&lt;26,'General Basis'!$B$41,IF(G5176&lt;31,'General Basis'!$B$42,IF(G5176&lt;36,'General Basis'!$B$43,IF(G5176&lt;41,'General Basis'!$B$44,IF(G5176&lt;46,'General Basis'!$B$45,IF(G5176&lt;51,'General Basis'!$B$46,IF(G5176&lt;56,'General Basis'!$B$47,IF(G5176&lt;60,'General Basis'!$B$48,IF(G5176&lt;65,'General Basis'!$B$49,'General Basis'!$B$50)))))))))))))</f>
        <v/>
      </c>
      <c r="BI5176" s="744" t="str">
        <f t="shared" si="1787"/>
        <v/>
      </c>
      <c r="BJ5176" s="747" t="str">
        <f t="shared" si="1794"/>
        <v/>
      </c>
      <c r="BK5176" s="498" t="str">
        <f t="shared" si="1788"/>
        <v/>
      </c>
      <c r="BL5176" s="498" t="str">
        <f t="shared" si="1789"/>
        <v/>
      </c>
    </row>
    <row r="5177" spans="1:64" x14ac:dyDescent="0.25">
      <c r="A5177" s="762">
        <f t="shared" si="1790"/>
        <v>5172</v>
      </c>
      <c r="B5177" s="229"/>
      <c r="C5177" s="223"/>
      <c r="D5177" s="224"/>
      <c r="E5177" s="225"/>
      <c r="F5177" s="1036" t="str">
        <f t="shared" si="1796"/>
        <v/>
      </c>
      <c r="G5177" s="1037" t="str">
        <f t="shared" si="1791"/>
        <v/>
      </c>
      <c r="H5177" s="225"/>
      <c r="I5177" s="1013"/>
      <c r="J5177" s="1013"/>
      <c r="K5177" s="1028"/>
      <c r="L5177" s="1035" t="str">
        <f t="shared" si="1795"/>
        <v/>
      </c>
      <c r="S5177" s="498"/>
      <c r="AJ5177" s="498"/>
      <c r="AM5177" s="498">
        <f t="shared" si="1776"/>
        <v>0</v>
      </c>
      <c r="AN5177" s="498">
        <f t="shared" si="1777"/>
        <v>0</v>
      </c>
      <c r="AO5177" s="498">
        <f t="shared" si="1778"/>
        <v>0</v>
      </c>
      <c r="AP5177" s="498">
        <f t="shared" si="1797"/>
        <v>0</v>
      </c>
      <c r="AQ5177" s="498">
        <f t="shared" si="1792"/>
        <v>0</v>
      </c>
      <c r="AU5177" s="498">
        <f t="shared" si="1779"/>
        <v>0</v>
      </c>
      <c r="AV5177" s="498">
        <f t="shared" si="1780"/>
        <v>0</v>
      </c>
      <c r="AW5177" s="498">
        <f t="shared" si="1781"/>
        <v>0</v>
      </c>
      <c r="AX5177" s="498">
        <f t="shared" si="1782"/>
        <v>0</v>
      </c>
      <c r="AY5177" s="498">
        <f t="shared" si="1783"/>
        <v>0</v>
      </c>
      <c r="BB5177" s="498" t="str">
        <f t="shared" si="1784"/>
        <v/>
      </c>
      <c r="BC5177" s="743" t="str">
        <f t="shared" si="1785"/>
        <v/>
      </c>
      <c r="BD5177" s="743" t="str">
        <f t="shared" si="1786"/>
        <v/>
      </c>
      <c r="BE5177" s="743" t="str">
        <f>IF(D5177="","",VLOOKUP(D5177,'General Basis'!$J$39:$K$46,2,0))</f>
        <v/>
      </c>
      <c r="BF5177" s="744" t="str">
        <f>IF(D5177="","",VLOOKUP(D5177,'General Basis'!$J$39:$L$46,3,0))</f>
        <v/>
      </c>
      <c r="BG5177" s="744" t="str">
        <f t="shared" si="1793"/>
        <v/>
      </c>
      <c r="BH5177" s="744" t="str">
        <f>IF(G5177="","",IF(BF5177="Abu Dhabi",IF(G5177&lt;18,'General Basis'!$C$39,IF(G5177&lt;41,'General Basis'!$C$40,IF(G5177&lt;60,'General Basis'!$C$41,IF(G5177&lt;65,'General Basis'!$C$42,'General Basis'!$C$43)))),IF(G5177&lt;11,'General Basis'!$B$39,IF(G5177&lt;18,'General Basis'!$B$40,IF(G5177&lt;26,'General Basis'!$B$41,IF(G5177&lt;31,'General Basis'!$B$42,IF(G5177&lt;36,'General Basis'!$B$43,IF(G5177&lt;41,'General Basis'!$B$44,IF(G5177&lt;46,'General Basis'!$B$45,IF(G5177&lt;51,'General Basis'!$B$46,IF(G5177&lt;56,'General Basis'!$B$47,IF(G5177&lt;60,'General Basis'!$B$48,IF(G5177&lt;65,'General Basis'!$B$49,'General Basis'!$B$50)))))))))))))</f>
        <v/>
      </c>
      <c r="BI5177" s="744" t="str">
        <f t="shared" si="1787"/>
        <v/>
      </c>
      <c r="BJ5177" s="747" t="str">
        <f t="shared" si="1794"/>
        <v/>
      </c>
      <c r="BK5177" s="498" t="str">
        <f t="shared" si="1788"/>
        <v/>
      </c>
      <c r="BL5177" s="498" t="str">
        <f t="shared" si="1789"/>
        <v/>
      </c>
    </row>
    <row r="5178" spans="1:64" x14ac:dyDescent="0.25">
      <c r="A5178" s="762">
        <f t="shared" si="1790"/>
        <v>5173</v>
      </c>
      <c r="B5178" s="229"/>
      <c r="C5178" s="223"/>
      <c r="D5178" s="224"/>
      <c r="E5178" s="225"/>
      <c r="F5178" s="1036" t="str">
        <f t="shared" si="1796"/>
        <v/>
      </c>
      <c r="G5178" s="1037" t="str">
        <f t="shared" si="1791"/>
        <v/>
      </c>
      <c r="H5178" s="225"/>
      <c r="I5178" s="1013"/>
      <c r="J5178" s="1013"/>
      <c r="K5178" s="1028"/>
      <c r="L5178" s="1035" t="str">
        <f t="shared" si="1795"/>
        <v/>
      </c>
      <c r="S5178" s="498"/>
      <c r="AJ5178" s="498"/>
      <c r="AM5178" s="498">
        <f t="shared" si="1776"/>
        <v>0</v>
      </c>
      <c r="AN5178" s="498">
        <f t="shared" si="1777"/>
        <v>0</v>
      </c>
      <c r="AO5178" s="498">
        <f t="shared" si="1778"/>
        <v>0</v>
      </c>
      <c r="AP5178" s="498">
        <f t="shared" si="1797"/>
        <v>0</v>
      </c>
      <c r="AQ5178" s="498">
        <f t="shared" si="1792"/>
        <v>0</v>
      </c>
      <c r="AU5178" s="498">
        <f t="shared" si="1779"/>
        <v>0</v>
      </c>
      <c r="AV5178" s="498">
        <f t="shared" si="1780"/>
        <v>0</v>
      </c>
      <c r="AW5178" s="498">
        <f t="shared" si="1781"/>
        <v>0</v>
      </c>
      <c r="AX5178" s="498">
        <f t="shared" si="1782"/>
        <v>0</v>
      </c>
      <c r="AY5178" s="498">
        <f t="shared" si="1783"/>
        <v>0</v>
      </c>
      <c r="BB5178" s="498" t="str">
        <f t="shared" si="1784"/>
        <v/>
      </c>
      <c r="BC5178" s="743" t="str">
        <f t="shared" si="1785"/>
        <v/>
      </c>
      <c r="BD5178" s="743" t="str">
        <f t="shared" si="1786"/>
        <v/>
      </c>
      <c r="BE5178" s="743" t="str">
        <f>IF(D5178="","",VLOOKUP(D5178,'General Basis'!$J$39:$K$46,2,0))</f>
        <v/>
      </c>
      <c r="BF5178" s="744" t="str">
        <f>IF(D5178="","",VLOOKUP(D5178,'General Basis'!$J$39:$L$46,3,0))</f>
        <v/>
      </c>
      <c r="BG5178" s="744" t="str">
        <f t="shared" si="1793"/>
        <v/>
      </c>
      <c r="BH5178" s="744" t="str">
        <f>IF(G5178="","",IF(BF5178="Abu Dhabi",IF(G5178&lt;18,'General Basis'!$C$39,IF(G5178&lt;41,'General Basis'!$C$40,IF(G5178&lt;60,'General Basis'!$C$41,IF(G5178&lt;65,'General Basis'!$C$42,'General Basis'!$C$43)))),IF(G5178&lt;11,'General Basis'!$B$39,IF(G5178&lt;18,'General Basis'!$B$40,IF(G5178&lt;26,'General Basis'!$B$41,IF(G5178&lt;31,'General Basis'!$B$42,IF(G5178&lt;36,'General Basis'!$B$43,IF(G5178&lt;41,'General Basis'!$B$44,IF(G5178&lt;46,'General Basis'!$B$45,IF(G5178&lt;51,'General Basis'!$B$46,IF(G5178&lt;56,'General Basis'!$B$47,IF(G5178&lt;60,'General Basis'!$B$48,IF(G5178&lt;65,'General Basis'!$B$49,'General Basis'!$B$50)))))))))))))</f>
        <v/>
      </c>
      <c r="BI5178" s="744" t="str">
        <f t="shared" si="1787"/>
        <v/>
      </c>
      <c r="BJ5178" s="747" t="str">
        <f t="shared" si="1794"/>
        <v/>
      </c>
      <c r="BK5178" s="498" t="str">
        <f t="shared" si="1788"/>
        <v/>
      </c>
      <c r="BL5178" s="498" t="str">
        <f t="shared" si="1789"/>
        <v/>
      </c>
    </row>
    <row r="5179" spans="1:64" x14ac:dyDescent="0.25">
      <c r="A5179" s="762">
        <f t="shared" si="1790"/>
        <v>5174</v>
      </c>
      <c r="B5179" s="229"/>
      <c r="C5179" s="223"/>
      <c r="D5179" s="224"/>
      <c r="E5179" s="225"/>
      <c r="F5179" s="1036" t="str">
        <f t="shared" si="1796"/>
        <v/>
      </c>
      <c r="G5179" s="1037" t="str">
        <f t="shared" si="1791"/>
        <v/>
      </c>
      <c r="H5179" s="225"/>
      <c r="I5179" s="1013"/>
      <c r="J5179" s="1013"/>
      <c r="K5179" s="1028"/>
      <c r="L5179" s="1035" t="str">
        <f t="shared" si="1795"/>
        <v/>
      </c>
      <c r="S5179" s="498"/>
      <c r="AJ5179" s="498"/>
      <c r="AM5179" s="498">
        <f t="shared" si="1776"/>
        <v>0</v>
      </c>
      <c r="AN5179" s="498">
        <f t="shared" si="1777"/>
        <v>0</v>
      </c>
      <c r="AO5179" s="498">
        <f t="shared" si="1778"/>
        <v>0</v>
      </c>
      <c r="AP5179" s="498">
        <f t="shared" si="1797"/>
        <v>0</v>
      </c>
      <c r="AQ5179" s="498">
        <f t="shared" si="1792"/>
        <v>0</v>
      </c>
      <c r="AU5179" s="498">
        <f t="shared" si="1779"/>
        <v>0</v>
      </c>
      <c r="AV5179" s="498">
        <f t="shared" si="1780"/>
        <v>0</v>
      </c>
      <c r="AW5179" s="498">
        <f t="shared" si="1781"/>
        <v>0</v>
      </c>
      <c r="AX5179" s="498">
        <f t="shared" si="1782"/>
        <v>0</v>
      </c>
      <c r="AY5179" s="498">
        <f t="shared" si="1783"/>
        <v>0</v>
      </c>
      <c r="BB5179" s="498" t="str">
        <f t="shared" si="1784"/>
        <v/>
      </c>
      <c r="BC5179" s="743" t="str">
        <f t="shared" si="1785"/>
        <v/>
      </c>
      <c r="BD5179" s="743" t="str">
        <f t="shared" si="1786"/>
        <v/>
      </c>
      <c r="BE5179" s="743" t="str">
        <f>IF(D5179="","",VLOOKUP(D5179,'General Basis'!$J$39:$K$46,2,0))</f>
        <v/>
      </c>
      <c r="BF5179" s="744" t="str">
        <f>IF(D5179="","",VLOOKUP(D5179,'General Basis'!$J$39:$L$46,3,0))</f>
        <v/>
      </c>
      <c r="BG5179" s="744" t="str">
        <f t="shared" si="1793"/>
        <v/>
      </c>
      <c r="BH5179" s="744" t="str">
        <f>IF(G5179="","",IF(BF5179="Abu Dhabi",IF(G5179&lt;18,'General Basis'!$C$39,IF(G5179&lt;41,'General Basis'!$C$40,IF(G5179&lt;60,'General Basis'!$C$41,IF(G5179&lt;65,'General Basis'!$C$42,'General Basis'!$C$43)))),IF(G5179&lt;11,'General Basis'!$B$39,IF(G5179&lt;18,'General Basis'!$B$40,IF(G5179&lt;26,'General Basis'!$B$41,IF(G5179&lt;31,'General Basis'!$B$42,IF(G5179&lt;36,'General Basis'!$B$43,IF(G5179&lt;41,'General Basis'!$B$44,IF(G5179&lt;46,'General Basis'!$B$45,IF(G5179&lt;51,'General Basis'!$B$46,IF(G5179&lt;56,'General Basis'!$B$47,IF(G5179&lt;60,'General Basis'!$B$48,IF(G5179&lt;65,'General Basis'!$B$49,'General Basis'!$B$50)))))))))))))</f>
        <v/>
      </c>
      <c r="BI5179" s="744" t="str">
        <f t="shared" si="1787"/>
        <v/>
      </c>
      <c r="BJ5179" s="747" t="str">
        <f t="shared" si="1794"/>
        <v/>
      </c>
      <c r="BK5179" s="498" t="str">
        <f t="shared" si="1788"/>
        <v/>
      </c>
      <c r="BL5179" s="498" t="str">
        <f t="shared" si="1789"/>
        <v/>
      </c>
    </row>
    <row r="5180" spans="1:64" x14ac:dyDescent="0.25">
      <c r="A5180" s="762">
        <f t="shared" si="1790"/>
        <v>5175</v>
      </c>
      <c r="B5180" s="229"/>
      <c r="C5180" s="223"/>
      <c r="D5180" s="224"/>
      <c r="E5180" s="225"/>
      <c r="F5180" s="1036" t="str">
        <f t="shared" si="1796"/>
        <v/>
      </c>
      <c r="G5180" s="1037" t="str">
        <f t="shared" si="1791"/>
        <v/>
      </c>
      <c r="H5180" s="225"/>
      <c r="I5180" s="1013"/>
      <c r="J5180" s="1013"/>
      <c r="K5180" s="1028"/>
      <c r="L5180" s="1035" t="str">
        <f t="shared" si="1795"/>
        <v/>
      </c>
      <c r="S5180" s="498"/>
      <c r="AJ5180" s="498"/>
      <c r="AM5180" s="498">
        <f t="shared" si="1776"/>
        <v>0</v>
      </c>
      <c r="AN5180" s="498">
        <f t="shared" si="1777"/>
        <v>0</v>
      </c>
      <c r="AO5180" s="498">
        <f t="shared" si="1778"/>
        <v>0</v>
      </c>
      <c r="AP5180" s="498">
        <f t="shared" si="1797"/>
        <v>0</v>
      </c>
      <c r="AQ5180" s="498">
        <f t="shared" si="1792"/>
        <v>0</v>
      </c>
      <c r="AU5180" s="498">
        <f t="shared" si="1779"/>
        <v>0</v>
      </c>
      <c r="AV5180" s="498">
        <f t="shared" si="1780"/>
        <v>0</v>
      </c>
      <c r="AW5180" s="498">
        <f t="shared" si="1781"/>
        <v>0</v>
      </c>
      <c r="AX5180" s="498">
        <f t="shared" si="1782"/>
        <v>0</v>
      </c>
      <c r="AY5180" s="498">
        <f t="shared" si="1783"/>
        <v>0</v>
      </c>
      <c r="BB5180" s="498" t="str">
        <f t="shared" si="1784"/>
        <v/>
      </c>
      <c r="BC5180" s="743" t="str">
        <f t="shared" si="1785"/>
        <v/>
      </c>
      <c r="BD5180" s="743" t="str">
        <f t="shared" si="1786"/>
        <v/>
      </c>
      <c r="BE5180" s="743" t="str">
        <f>IF(D5180="","",VLOOKUP(D5180,'General Basis'!$J$39:$K$46,2,0))</f>
        <v/>
      </c>
      <c r="BF5180" s="744" t="str">
        <f>IF(D5180="","",VLOOKUP(D5180,'General Basis'!$J$39:$L$46,3,0))</f>
        <v/>
      </c>
      <c r="BG5180" s="744" t="str">
        <f t="shared" si="1793"/>
        <v/>
      </c>
      <c r="BH5180" s="744" t="str">
        <f>IF(G5180="","",IF(BF5180="Abu Dhabi",IF(G5180&lt;18,'General Basis'!$C$39,IF(G5180&lt;41,'General Basis'!$C$40,IF(G5180&lt;60,'General Basis'!$C$41,IF(G5180&lt;65,'General Basis'!$C$42,'General Basis'!$C$43)))),IF(G5180&lt;11,'General Basis'!$B$39,IF(G5180&lt;18,'General Basis'!$B$40,IF(G5180&lt;26,'General Basis'!$B$41,IF(G5180&lt;31,'General Basis'!$B$42,IF(G5180&lt;36,'General Basis'!$B$43,IF(G5180&lt;41,'General Basis'!$B$44,IF(G5180&lt;46,'General Basis'!$B$45,IF(G5180&lt;51,'General Basis'!$B$46,IF(G5180&lt;56,'General Basis'!$B$47,IF(G5180&lt;60,'General Basis'!$B$48,IF(G5180&lt;65,'General Basis'!$B$49,'General Basis'!$B$50)))))))))))))</f>
        <v/>
      </c>
      <c r="BI5180" s="744" t="str">
        <f t="shared" si="1787"/>
        <v/>
      </c>
      <c r="BJ5180" s="747" t="str">
        <f t="shared" si="1794"/>
        <v/>
      </c>
      <c r="BK5180" s="498" t="str">
        <f t="shared" si="1788"/>
        <v/>
      </c>
      <c r="BL5180" s="498" t="str">
        <f t="shared" si="1789"/>
        <v/>
      </c>
    </row>
    <row r="5181" spans="1:64" x14ac:dyDescent="0.25">
      <c r="A5181" s="762">
        <f t="shared" si="1790"/>
        <v>5176</v>
      </c>
      <c r="B5181" s="229"/>
      <c r="C5181" s="223"/>
      <c r="D5181" s="224"/>
      <c r="E5181" s="225"/>
      <c r="F5181" s="1036" t="str">
        <f t="shared" si="1796"/>
        <v/>
      </c>
      <c r="G5181" s="1037" t="str">
        <f t="shared" si="1791"/>
        <v/>
      </c>
      <c r="H5181" s="225"/>
      <c r="I5181" s="1013"/>
      <c r="J5181" s="1013"/>
      <c r="K5181" s="1028"/>
      <c r="L5181" s="1035" t="str">
        <f t="shared" si="1795"/>
        <v/>
      </c>
      <c r="S5181" s="498"/>
      <c r="AJ5181" s="498"/>
      <c r="AM5181" s="498">
        <f t="shared" si="1776"/>
        <v>0</v>
      </c>
      <c r="AN5181" s="498">
        <f t="shared" si="1777"/>
        <v>0</v>
      </c>
      <c r="AO5181" s="498">
        <f t="shared" si="1778"/>
        <v>0</v>
      </c>
      <c r="AP5181" s="498">
        <f t="shared" si="1797"/>
        <v>0</v>
      </c>
      <c r="AQ5181" s="498">
        <f t="shared" si="1792"/>
        <v>0</v>
      </c>
      <c r="AU5181" s="498">
        <f t="shared" si="1779"/>
        <v>0</v>
      </c>
      <c r="AV5181" s="498">
        <f t="shared" si="1780"/>
        <v>0</v>
      </c>
      <c r="AW5181" s="498">
        <f t="shared" si="1781"/>
        <v>0</v>
      </c>
      <c r="AX5181" s="498">
        <f t="shared" si="1782"/>
        <v>0</v>
      </c>
      <c r="AY5181" s="498">
        <f t="shared" si="1783"/>
        <v>0</v>
      </c>
      <c r="BB5181" s="498" t="str">
        <f t="shared" si="1784"/>
        <v/>
      </c>
      <c r="BC5181" s="743" t="str">
        <f t="shared" si="1785"/>
        <v/>
      </c>
      <c r="BD5181" s="743" t="str">
        <f t="shared" si="1786"/>
        <v/>
      </c>
      <c r="BE5181" s="743" t="str">
        <f>IF(D5181="","",VLOOKUP(D5181,'General Basis'!$J$39:$K$46,2,0))</f>
        <v/>
      </c>
      <c r="BF5181" s="744" t="str">
        <f>IF(D5181="","",VLOOKUP(D5181,'General Basis'!$J$39:$L$46,3,0))</f>
        <v/>
      </c>
      <c r="BG5181" s="744" t="str">
        <f t="shared" si="1793"/>
        <v/>
      </c>
      <c r="BH5181" s="744" t="str">
        <f>IF(G5181="","",IF(BF5181="Abu Dhabi",IF(G5181&lt;18,'General Basis'!$C$39,IF(G5181&lt;41,'General Basis'!$C$40,IF(G5181&lt;60,'General Basis'!$C$41,IF(G5181&lt;65,'General Basis'!$C$42,'General Basis'!$C$43)))),IF(G5181&lt;11,'General Basis'!$B$39,IF(G5181&lt;18,'General Basis'!$B$40,IF(G5181&lt;26,'General Basis'!$B$41,IF(G5181&lt;31,'General Basis'!$B$42,IF(G5181&lt;36,'General Basis'!$B$43,IF(G5181&lt;41,'General Basis'!$B$44,IF(G5181&lt;46,'General Basis'!$B$45,IF(G5181&lt;51,'General Basis'!$B$46,IF(G5181&lt;56,'General Basis'!$B$47,IF(G5181&lt;60,'General Basis'!$B$48,IF(G5181&lt;65,'General Basis'!$B$49,'General Basis'!$B$50)))))))))))))</f>
        <v/>
      </c>
      <c r="BI5181" s="744" t="str">
        <f t="shared" si="1787"/>
        <v/>
      </c>
      <c r="BJ5181" s="747" t="str">
        <f t="shared" si="1794"/>
        <v/>
      </c>
      <c r="BK5181" s="498" t="str">
        <f t="shared" si="1788"/>
        <v/>
      </c>
      <c r="BL5181" s="498" t="str">
        <f t="shared" si="1789"/>
        <v/>
      </c>
    </row>
    <row r="5182" spans="1:64" x14ac:dyDescent="0.25">
      <c r="A5182" s="762">
        <f t="shared" si="1790"/>
        <v>5177</v>
      </c>
      <c r="B5182" s="229"/>
      <c r="C5182" s="223"/>
      <c r="D5182" s="224"/>
      <c r="E5182" s="225"/>
      <c r="F5182" s="1036" t="str">
        <f t="shared" si="1796"/>
        <v/>
      </c>
      <c r="G5182" s="1037" t="str">
        <f t="shared" si="1791"/>
        <v/>
      </c>
      <c r="H5182" s="225"/>
      <c r="I5182" s="1013"/>
      <c r="J5182" s="1013"/>
      <c r="K5182" s="1028"/>
      <c r="L5182" s="1035" t="str">
        <f t="shared" si="1795"/>
        <v/>
      </c>
      <c r="S5182" s="498"/>
      <c r="AJ5182" s="498"/>
      <c r="AM5182" s="498">
        <f t="shared" si="1776"/>
        <v>0</v>
      </c>
      <c r="AN5182" s="498">
        <f t="shared" si="1777"/>
        <v>0</v>
      </c>
      <c r="AO5182" s="498">
        <f t="shared" si="1778"/>
        <v>0</v>
      </c>
      <c r="AP5182" s="498">
        <f t="shared" si="1797"/>
        <v>0</v>
      </c>
      <c r="AQ5182" s="498">
        <f t="shared" si="1792"/>
        <v>0</v>
      </c>
      <c r="AU5182" s="498">
        <f t="shared" si="1779"/>
        <v>0</v>
      </c>
      <c r="AV5182" s="498">
        <f t="shared" si="1780"/>
        <v>0</v>
      </c>
      <c r="AW5182" s="498">
        <f t="shared" si="1781"/>
        <v>0</v>
      </c>
      <c r="AX5182" s="498">
        <f t="shared" si="1782"/>
        <v>0</v>
      </c>
      <c r="AY5182" s="498">
        <f t="shared" si="1783"/>
        <v>0</v>
      </c>
      <c r="BB5182" s="498" t="str">
        <f t="shared" si="1784"/>
        <v/>
      </c>
      <c r="BC5182" s="743" t="str">
        <f t="shared" si="1785"/>
        <v/>
      </c>
      <c r="BD5182" s="743" t="str">
        <f t="shared" si="1786"/>
        <v/>
      </c>
      <c r="BE5182" s="743" t="str">
        <f>IF(D5182="","",VLOOKUP(D5182,'General Basis'!$J$39:$K$46,2,0))</f>
        <v/>
      </c>
      <c r="BF5182" s="744" t="str">
        <f>IF(D5182="","",VLOOKUP(D5182,'General Basis'!$J$39:$L$46,3,0))</f>
        <v/>
      </c>
      <c r="BG5182" s="744" t="str">
        <f t="shared" si="1793"/>
        <v/>
      </c>
      <c r="BH5182" s="744" t="str">
        <f>IF(G5182="","",IF(BF5182="Abu Dhabi",IF(G5182&lt;18,'General Basis'!$C$39,IF(G5182&lt;41,'General Basis'!$C$40,IF(G5182&lt;60,'General Basis'!$C$41,IF(G5182&lt;65,'General Basis'!$C$42,'General Basis'!$C$43)))),IF(G5182&lt;11,'General Basis'!$B$39,IF(G5182&lt;18,'General Basis'!$B$40,IF(G5182&lt;26,'General Basis'!$B$41,IF(G5182&lt;31,'General Basis'!$B$42,IF(G5182&lt;36,'General Basis'!$B$43,IF(G5182&lt;41,'General Basis'!$B$44,IF(G5182&lt;46,'General Basis'!$B$45,IF(G5182&lt;51,'General Basis'!$B$46,IF(G5182&lt;56,'General Basis'!$B$47,IF(G5182&lt;60,'General Basis'!$B$48,IF(G5182&lt;65,'General Basis'!$B$49,'General Basis'!$B$50)))))))))))))</f>
        <v/>
      </c>
      <c r="BI5182" s="744" t="str">
        <f t="shared" si="1787"/>
        <v/>
      </c>
      <c r="BJ5182" s="747" t="str">
        <f t="shared" si="1794"/>
        <v/>
      </c>
      <c r="BK5182" s="498" t="str">
        <f t="shared" si="1788"/>
        <v/>
      </c>
      <c r="BL5182" s="498" t="str">
        <f t="shared" si="1789"/>
        <v/>
      </c>
    </row>
    <row r="5183" spans="1:64" x14ac:dyDescent="0.25">
      <c r="A5183" s="762">
        <f t="shared" si="1790"/>
        <v>5178</v>
      </c>
      <c r="B5183" s="229"/>
      <c r="C5183" s="223"/>
      <c r="D5183" s="224"/>
      <c r="E5183" s="225"/>
      <c r="F5183" s="1036" t="str">
        <f t="shared" si="1796"/>
        <v/>
      </c>
      <c r="G5183" s="1037" t="str">
        <f t="shared" si="1791"/>
        <v/>
      </c>
      <c r="H5183" s="225"/>
      <c r="I5183" s="1013"/>
      <c r="J5183" s="1013"/>
      <c r="K5183" s="1028"/>
      <c r="L5183" s="1035" t="str">
        <f t="shared" si="1795"/>
        <v/>
      </c>
      <c r="S5183" s="498"/>
      <c r="AJ5183" s="498"/>
      <c r="AM5183" s="498">
        <f t="shared" si="1776"/>
        <v>0</v>
      </c>
      <c r="AN5183" s="498">
        <f t="shared" si="1777"/>
        <v>0</v>
      </c>
      <c r="AO5183" s="498">
        <f t="shared" si="1778"/>
        <v>0</v>
      </c>
      <c r="AP5183" s="498">
        <f t="shared" si="1797"/>
        <v>0</v>
      </c>
      <c r="AQ5183" s="498">
        <f t="shared" si="1792"/>
        <v>0</v>
      </c>
      <c r="AU5183" s="498">
        <f t="shared" si="1779"/>
        <v>0</v>
      </c>
      <c r="AV5183" s="498">
        <f t="shared" si="1780"/>
        <v>0</v>
      </c>
      <c r="AW5183" s="498">
        <f t="shared" si="1781"/>
        <v>0</v>
      </c>
      <c r="AX5183" s="498">
        <f t="shared" si="1782"/>
        <v>0</v>
      </c>
      <c r="AY5183" s="498">
        <f t="shared" si="1783"/>
        <v>0</v>
      </c>
      <c r="BB5183" s="498" t="str">
        <f t="shared" si="1784"/>
        <v/>
      </c>
      <c r="BC5183" s="743" t="str">
        <f t="shared" si="1785"/>
        <v/>
      </c>
      <c r="BD5183" s="743" t="str">
        <f t="shared" si="1786"/>
        <v/>
      </c>
      <c r="BE5183" s="743" t="str">
        <f>IF(D5183="","",VLOOKUP(D5183,'General Basis'!$J$39:$K$46,2,0))</f>
        <v/>
      </c>
      <c r="BF5183" s="744" t="str">
        <f>IF(D5183="","",VLOOKUP(D5183,'General Basis'!$J$39:$L$46,3,0))</f>
        <v/>
      </c>
      <c r="BG5183" s="744" t="str">
        <f t="shared" si="1793"/>
        <v/>
      </c>
      <c r="BH5183" s="744" t="str">
        <f>IF(G5183="","",IF(BF5183="Abu Dhabi",IF(G5183&lt;18,'General Basis'!$C$39,IF(G5183&lt;41,'General Basis'!$C$40,IF(G5183&lt;60,'General Basis'!$C$41,IF(G5183&lt;65,'General Basis'!$C$42,'General Basis'!$C$43)))),IF(G5183&lt;11,'General Basis'!$B$39,IF(G5183&lt;18,'General Basis'!$B$40,IF(G5183&lt;26,'General Basis'!$B$41,IF(G5183&lt;31,'General Basis'!$B$42,IF(G5183&lt;36,'General Basis'!$B$43,IF(G5183&lt;41,'General Basis'!$B$44,IF(G5183&lt;46,'General Basis'!$B$45,IF(G5183&lt;51,'General Basis'!$B$46,IF(G5183&lt;56,'General Basis'!$B$47,IF(G5183&lt;60,'General Basis'!$B$48,IF(G5183&lt;65,'General Basis'!$B$49,'General Basis'!$B$50)))))))))))))</f>
        <v/>
      </c>
      <c r="BI5183" s="744" t="str">
        <f t="shared" si="1787"/>
        <v/>
      </c>
      <c r="BJ5183" s="747" t="str">
        <f t="shared" si="1794"/>
        <v/>
      </c>
      <c r="BK5183" s="498" t="str">
        <f t="shared" si="1788"/>
        <v/>
      </c>
      <c r="BL5183" s="498" t="str">
        <f t="shared" si="1789"/>
        <v/>
      </c>
    </row>
    <row r="5184" spans="1:64" x14ac:dyDescent="0.25">
      <c r="A5184" s="762">
        <f t="shared" si="1790"/>
        <v>5179</v>
      </c>
      <c r="B5184" s="229"/>
      <c r="C5184" s="223"/>
      <c r="D5184" s="224"/>
      <c r="E5184" s="225"/>
      <c r="F5184" s="1036" t="str">
        <f t="shared" si="1796"/>
        <v/>
      </c>
      <c r="G5184" s="1037" t="str">
        <f t="shared" si="1791"/>
        <v/>
      </c>
      <c r="H5184" s="225"/>
      <c r="I5184" s="1013"/>
      <c r="J5184" s="1013"/>
      <c r="K5184" s="1028"/>
      <c r="L5184" s="1035" t="str">
        <f t="shared" si="1795"/>
        <v/>
      </c>
      <c r="S5184" s="498"/>
      <c r="AJ5184" s="498"/>
      <c r="AM5184" s="498">
        <f t="shared" si="1776"/>
        <v>0</v>
      </c>
      <c r="AN5184" s="498">
        <f t="shared" si="1777"/>
        <v>0</v>
      </c>
      <c r="AO5184" s="498">
        <f t="shared" si="1778"/>
        <v>0</v>
      </c>
      <c r="AP5184" s="498">
        <f t="shared" si="1797"/>
        <v>0</v>
      </c>
      <c r="AQ5184" s="498">
        <f t="shared" si="1792"/>
        <v>0</v>
      </c>
      <c r="AU5184" s="498">
        <f t="shared" si="1779"/>
        <v>0</v>
      </c>
      <c r="AV5184" s="498">
        <f t="shared" si="1780"/>
        <v>0</v>
      </c>
      <c r="AW5184" s="498">
        <f t="shared" si="1781"/>
        <v>0</v>
      </c>
      <c r="AX5184" s="498">
        <f t="shared" si="1782"/>
        <v>0</v>
      </c>
      <c r="AY5184" s="498">
        <f t="shared" si="1783"/>
        <v>0</v>
      </c>
      <c r="BB5184" s="498" t="str">
        <f t="shared" si="1784"/>
        <v/>
      </c>
      <c r="BC5184" s="743" t="str">
        <f t="shared" si="1785"/>
        <v/>
      </c>
      <c r="BD5184" s="743" t="str">
        <f t="shared" si="1786"/>
        <v/>
      </c>
      <c r="BE5184" s="743" t="str">
        <f>IF(D5184="","",VLOOKUP(D5184,'General Basis'!$J$39:$K$46,2,0))</f>
        <v/>
      </c>
      <c r="BF5184" s="744" t="str">
        <f>IF(D5184="","",VLOOKUP(D5184,'General Basis'!$J$39:$L$46,3,0))</f>
        <v/>
      </c>
      <c r="BG5184" s="744" t="str">
        <f t="shared" si="1793"/>
        <v/>
      </c>
      <c r="BH5184" s="744" t="str">
        <f>IF(G5184="","",IF(BF5184="Abu Dhabi",IF(G5184&lt;18,'General Basis'!$C$39,IF(G5184&lt;41,'General Basis'!$C$40,IF(G5184&lt;60,'General Basis'!$C$41,IF(G5184&lt;65,'General Basis'!$C$42,'General Basis'!$C$43)))),IF(G5184&lt;11,'General Basis'!$B$39,IF(G5184&lt;18,'General Basis'!$B$40,IF(G5184&lt;26,'General Basis'!$B$41,IF(G5184&lt;31,'General Basis'!$B$42,IF(G5184&lt;36,'General Basis'!$B$43,IF(G5184&lt;41,'General Basis'!$B$44,IF(G5184&lt;46,'General Basis'!$B$45,IF(G5184&lt;51,'General Basis'!$B$46,IF(G5184&lt;56,'General Basis'!$B$47,IF(G5184&lt;60,'General Basis'!$B$48,IF(G5184&lt;65,'General Basis'!$B$49,'General Basis'!$B$50)))))))))))))</f>
        <v/>
      </c>
      <c r="BI5184" s="744" t="str">
        <f t="shared" si="1787"/>
        <v/>
      </c>
      <c r="BJ5184" s="747" t="str">
        <f t="shared" si="1794"/>
        <v/>
      </c>
      <c r="BK5184" s="498" t="str">
        <f t="shared" si="1788"/>
        <v/>
      </c>
      <c r="BL5184" s="498" t="str">
        <f t="shared" si="1789"/>
        <v/>
      </c>
    </row>
    <row r="5185" spans="1:64" x14ac:dyDescent="0.25">
      <c r="A5185" s="762">
        <f t="shared" si="1790"/>
        <v>5180</v>
      </c>
      <c r="B5185" s="229"/>
      <c r="C5185" s="223"/>
      <c r="D5185" s="224"/>
      <c r="E5185" s="225"/>
      <c r="F5185" s="1036" t="str">
        <f t="shared" si="1796"/>
        <v/>
      </c>
      <c r="G5185" s="1037" t="str">
        <f t="shared" si="1791"/>
        <v/>
      </c>
      <c r="H5185" s="225"/>
      <c r="I5185" s="1013"/>
      <c r="J5185" s="1013"/>
      <c r="K5185" s="1028"/>
      <c r="L5185" s="1035" t="str">
        <f t="shared" si="1795"/>
        <v/>
      </c>
      <c r="S5185" s="498"/>
      <c r="AJ5185" s="498"/>
      <c r="AM5185" s="498">
        <f t="shared" si="1776"/>
        <v>0</v>
      </c>
      <c r="AN5185" s="498">
        <f t="shared" si="1777"/>
        <v>0</v>
      </c>
      <c r="AO5185" s="498">
        <f t="shared" si="1778"/>
        <v>0</v>
      </c>
      <c r="AP5185" s="498">
        <f t="shared" si="1797"/>
        <v>0</v>
      </c>
      <c r="AQ5185" s="498">
        <f t="shared" si="1792"/>
        <v>0</v>
      </c>
      <c r="AU5185" s="498">
        <f t="shared" si="1779"/>
        <v>0</v>
      </c>
      <c r="AV5185" s="498">
        <f t="shared" si="1780"/>
        <v>0</v>
      </c>
      <c r="AW5185" s="498">
        <f t="shared" si="1781"/>
        <v>0</v>
      </c>
      <c r="AX5185" s="498">
        <f t="shared" si="1782"/>
        <v>0</v>
      </c>
      <c r="AY5185" s="498">
        <f t="shared" si="1783"/>
        <v>0</v>
      </c>
      <c r="BB5185" s="498" t="str">
        <f t="shared" si="1784"/>
        <v/>
      </c>
      <c r="BC5185" s="743" t="str">
        <f t="shared" si="1785"/>
        <v/>
      </c>
      <c r="BD5185" s="743" t="str">
        <f t="shared" si="1786"/>
        <v/>
      </c>
      <c r="BE5185" s="743" t="str">
        <f>IF(D5185="","",VLOOKUP(D5185,'General Basis'!$J$39:$K$46,2,0))</f>
        <v/>
      </c>
      <c r="BF5185" s="744" t="str">
        <f>IF(D5185="","",VLOOKUP(D5185,'General Basis'!$J$39:$L$46,3,0))</f>
        <v/>
      </c>
      <c r="BG5185" s="744" t="str">
        <f t="shared" si="1793"/>
        <v/>
      </c>
      <c r="BH5185" s="744" t="str">
        <f>IF(G5185="","",IF(BF5185="Abu Dhabi",IF(G5185&lt;18,'General Basis'!$C$39,IF(G5185&lt;41,'General Basis'!$C$40,IF(G5185&lt;60,'General Basis'!$C$41,IF(G5185&lt;65,'General Basis'!$C$42,'General Basis'!$C$43)))),IF(G5185&lt;11,'General Basis'!$B$39,IF(G5185&lt;18,'General Basis'!$B$40,IF(G5185&lt;26,'General Basis'!$B$41,IF(G5185&lt;31,'General Basis'!$B$42,IF(G5185&lt;36,'General Basis'!$B$43,IF(G5185&lt;41,'General Basis'!$B$44,IF(G5185&lt;46,'General Basis'!$B$45,IF(G5185&lt;51,'General Basis'!$B$46,IF(G5185&lt;56,'General Basis'!$B$47,IF(G5185&lt;60,'General Basis'!$B$48,IF(G5185&lt;65,'General Basis'!$B$49,'General Basis'!$B$50)))))))))))))</f>
        <v/>
      </c>
      <c r="BI5185" s="744" t="str">
        <f t="shared" si="1787"/>
        <v/>
      </c>
      <c r="BJ5185" s="747" t="str">
        <f t="shared" si="1794"/>
        <v/>
      </c>
      <c r="BK5185" s="498" t="str">
        <f t="shared" si="1788"/>
        <v/>
      </c>
      <c r="BL5185" s="498" t="str">
        <f t="shared" si="1789"/>
        <v/>
      </c>
    </row>
    <row r="5186" spans="1:64" x14ac:dyDescent="0.25">
      <c r="A5186" s="762">
        <f t="shared" si="1790"/>
        <v>5181</v>
      </c>
      <c r="B5186" s="229"/>
      <c r="C5186" s="223"/>
      <c r="D5186" s="224"/>
      <c r="E5186" s="225"/>
      <c r="F5186" s="1036" t="str">
        <f t="shared" si="1796"/>
        <v/>
      </c>
      <c r="G5186" s="1037" t="str">
        <f t="shared" si="1791"/>
        <v/>
      </c>
      <c r="H5186" s="225"/>
      <c r="I5186" s="1013"/>
      <c r="J5186" s="1013"/>
      <c r="K5186" s="1028"/>
      <c r="L5186" s="1035" t="str">
        <f t="shared" si="1795"/>
        <v/>
      </c>
      <c r="S5186" s="498"/>
      <c r="AJ5186" s="498"/>
      <c r="AM5186" s="498">
        <f t="shared" si="1776"/>
        <v>0</v>
      </c>
      <c r="AN5186" s="498">
        <f t="shared" si="1777"/>
        <v>0</v>
      </c>
      <c r="AO5186" s="498">
        <f t="shared" si="1778"/>
        <v>0</v>
      </c>
      <c r="AP5186" s="498">
        <f t="shared" si="1797"/>
        <v>0</v>
      </c>
      <c r="AQ5186" s="498">
        <f t="shared" si="1792"/>
        <v>0</v>
      </c>
      <c r="AU5186" s="498">
        <f t="shared" si="1779"/>
        <v>0</v>
      </c>
      <c r="AV5186" s="498">
        <f t="shared" si="1780"/>
        <v>0</v>
      </c>
      <c r="AW5186" s="498">
        <f t="shared" si="1781"/>
        <v>0</v>
      </c>
      <c r="AX5186" s="498">
        <f t="shared" si="1782"/>
        <v>0</v>
      </c>
      <c r="AY5186" s="498">
        <f t="shared" si="1783"/>
        <v>0</v>
      </c>
      <c r="BB5186" s="498" t="str">
        <f t="shared" si="1784"/>
        <v/>
      </c>
      <c r="BC5186" s="743" t="str">
        <f t="shared" si="1785"/>
        <v/>
      </c>
      <c r="BD5186" s="743" t="str">
        <f t="shared" si="1786"/>
        <v/>
      </c>
      <c r="BE5186" s="743" t="str">
        <f>IF(D5186="","",VLOOKUP(D5186,'General Basis'!$J$39:$K$46,2,0))</f>
        <v/>
      </c>
      <c r="BF5186" s="744" t="str">
        <f>IF(D5186="","",VLOOKUP(D5186,'General Basis'!$J$39:$L$46,3,0))</f>
        <v/>
      </c>
      <c r="BG5186" s="744" t="str">
        <f t="shared" si="1793"/>
        <v/>
      </c>
      <c r="BH5186" s="744" t="str">
        <f>IF(G5186="","",IF(BF5186="Abu Dhabi",IF(G5186&lt;18,'General Basis'!$C$39,IF(G5186&lt;41,'General Basis'!$C$40,IF(G5186&lt;60,'General Basis'!$C$41,IF(G5186&lt;65,'General Basis'!$C$42,'General Basis'!$C$43)))),IF(G5186&lt;11,'General Basis'!$B$39,IF(G5186&lt;18,'General Basis'!$B$40,IF(G5186&lt;26,'General Basis'!$B$41,IF(G5186&lt;31,'General Basis'!$B$42,IF(G5186&lt;36,'General Basis'!$B$43,IF(G5186&lt;41,'General Basis'!$B$44,IF(G5186&lt;46,'General Basis'!$B$45,IF(G5186&lt;51,'General Basis'!$B$46,IF(G5186&lt;56,'General Basis'!$B$47,IF(G5186&lt;60,'General Basis'!$B$48,IF(G5186&lt;65,'General Basis'!$B$49,'General Basis'!$B$50)))))))))))))</f>
        <v/>
      </c>
      <c r="BI5186" s="744" t="str">
        <f t="shared" si="1787"/>
        <v/>
      </c>
      <c r="BJ5186" s="747" t="str">
        <f t="shared" si="1794"/>
        <v/>
      </c>
      <c r="BK5186" s="498" t="str">
        <f t="shared" si="1788"/>
        <v/>
      </c>
      <c r="BL5186" s="498" t="str">
        <f t="shared" si="1789"/>
        <v/>
      </c>
    </row>
    <row r="5187" spans="1:64" x14ac:dyDescent="0.25">
      <c r="A5187" s="762">
        <f t="shared" si="1790"/>
        <v>5182</v>
      </c>
      <c r="B5187" s="229"/>
      <c r="C5187" s="223"/>
      <c r="D5187" s="224"/>
      <c r="E5187" s="225"/>
      <c r="F5187" s="1036" t="str">
        <f t="shared" si="1796"/>
        <v/>
      </c>
      <c r="G5187" s="1037" t="str">
        <f t="shared" si="1791"/>
        <v/>
      </c>
      <c r="H5187" s="225"/>
      <c r="I5187" s="1013"/>
      <c r="J5187" s="1013"/>
      <c r="K5187" s="1028"/>
      <c r="L5187" s="1035" t="str">
        <f t="shared" si="1795"/>
        <v/>
      </c>
      <c r="S5187" s="498"/>
      <c r="AJ5187" s="498"/>
      <c r="AM5187" s="498">
        <f t="shared" si="1776"/>
        <v>0</v>
      </c>
      <c r="AN5187" s="498">
        <f t="shared" si="1777"/>
        <v>0</v>
      </c>
      <c r="AO5187" s="498">
        <f t="shared" si="1778"/>
        <v>0</v>
      </c>
      <c r="AP5187" s="498">
        <f t="shared" si="1797"/>
        <v>0</v>
      </c>
      <c r="AQ5187" s="498">
        <f t="shared" si="1792"/>
        <v>0</v>
      </c>
      <c r="AU5187" s="498">
        <f t="shared" si="1779"/>
        <v>0</v>
      </c>
      <c r="AV5187" s="498">
        <f t="shared" si="1780"/>
        <v>0</v>
      </c>
      <c r="AW5187" s="498">
        <f t="shared" si="1781"/>
        <v>0</v>
      </c>
      <c r="AX5187" s="498">
        <f t="shared" si="1782"/>
        <v>0</v>
      </c>
      <c r="AY5187" s="498">
        <f t="shared" si="1783"/>
        <v>0</v>
      </c>
      <c r="BB5187" s="498" t="str">
        <f t="shared" si="1784"/>
        <v/>
      </c>
      <c r="BC5187" s="743" t="str">
        <f t="shared" si="1785"/>
        <v/>
      </c>
      <c r="BD5187" s="743" t="str">
        <f t="shared" si="1786"/>
        <v/>
      </c>
      <c r="BE5187" s="743" t="str">
        <f>IF(D5187="","",VLOOKUP(D5187,'General Basis'!$J$39:$K$46,2,0))</f>
        <v/>
      </c>
      <c r="BF5187" s="744" t="str">
        <f>IF(D5187="","",VLOOKUP(D5187,'General Basis'!$J$39:$L$46,3,0))</f>
        <v/>
      </c>
      <c r="BG5187" s="744" t="str">
        <f t="shared" si="1793"/>
        <v/>
      </c>
      <c r="BH5187" s="744" t="str">
        <f>IF(G5187="","",IF(BF5187="Abu Dhabi",IF(G5187&lt;18,'General Basis'!$C$39,IF(G5187&lt;41,'General Basis'!$C$40,IF(G5187&lt;60,'General Basis'!$C$41,IF(G5187&lt;65,'General Basis'!$C$42,'General Basis'!$C$43)))),IF(G5187&lt;11,'General Basis'!$B$39,IF(G5187&lt;18,'General Basis'!$B$40,IF(G5187&lt;26,'General Basis'!$B$41,IF(G5187&lt;31,'General Basis'!$B$42,IF(G5187&lt;36,'General Basis'!$B$43,IF(G5187&lt;41,'General Basis'!$B$44,IF(G5187&lt;46,'General Basis'!$B$45,IF(G5187&lt;51,'General Basis'!$B$46,IF(G5187&lt;56,'General Basis'!$B$47,IF(G5187&lt;60,'General Basis'!$B$48,IF(G5187&lt;65,'General Basis'!$B$49,'General Basis'!$B$50)))))))))))))</f>
        <v/>
      </c>
      <c r="BI5187" s="744" t="str">
        <f t="shared" si="1787"/>
        <v/>
      </c>
      <c r="BJ5187" s="747" t="str">
        <f t="shared" si="1794"/>
        <v/>
      </c>
      <c r="BK5187" s="498" t="str">
        <f t="shared" si="1788"/>
        <v/>
      </c>
      <c r="BL5187" s="498" t="str">
        <f t="shared" si="1789"/>
        <v/>
      </c>
    </row>
    <row r="5188" spans="1:64" x14ac:dyDescent="0.25">
      <c r="A5188" s="762">
        <f t="shared" si="1790"/>
        <v>5183</v>
      </c>
      <c r="B5188" s="229"/>
      <c r="C5188" s="223"/>
      <c r="D5188" s="224"/>
      <c r="E5188" s="225"/>
      <c r="F5188" s="1036" t="str">
        <f t="shared" si="1796"/>
        <v/>
      </c>
      <c r="G5188" s="1037" t="str">
        <f t="shared" si="1791"/>
        <v/>
      </c>
      <c r="H5188" s="225"/>
      <c r="I5188" s="1013"/>
      <c r="J5188" s="1013"/>
      <c r="K5188" s="1028"/>
      <c r="L5188" s="1035" t="str">
        <f t="shared" si="1795"/>
        <v/>
      </c>
      <c r="S5188" s="498"/>
      <c r="AJ5188" s="498"/>
      <c r="AM5188" s="498">
        <f t="shared" si="1776"/>
        <v>0</v>
      </c>
      <c r="AN5188" s="498">
        <f t="shared" si="1777"/>
        <v>0</v>
      </c>
      <c r="AO5188" s="498">
        <f t="shared" si="1778"/>
        <v>0</v>
      </c>
      <c r="AP5188" s="498">
        <f t="shared" si="1797"/>
        <v>0</v>
      </c>
      <c r="AQ5188" s="498">
        <f t="shared" si="1792"/>
        <v>0</v>
      </c>
      <c r="AU5188" s="498">
        <f t="shared" si="1779"/>
        <v>0</v>
      </c>
      <c r="AV5188" s="498">
        <f t="shared" si="1780"/>
        <v>0</v>
      </c>
      <c r="AW5188" s="498">
        <f t="shared" si="1781"/>
        <v>0</v>
      </c>
      <c r="AX5188" s="498">
        <f t="shared" si="1782"/>
        <v>0</v>
      </c>
      <c r="AY5188" s="498">
        <f t="shared" si="1783"/>
        <v>0</v>
      </c>
      <c r="BB5188" s="498" t="str">
        <f t="shared" si="1784"/>
        <v/>
      </c>
      <c r="BC5188" s="743" t="str">
        <f t="shared" si="1785"/>
        <v/>
      </c>
      <c r="BD5188" s="743" t="str">
        <f t="shared" si="1786"/>
        <v/>
      </c>
      <c r="BE5188" s="743" t="str">
        <f>IF(D5188="","",VLOOKUP(D5188,'General Basis'!$J$39:$K$46,2,0))</f>
        <v/>
      </c>
      <c r="BF5188" s="744" t="str">
        <f>IF(D5188="","",VLOOKUP(D5188,'General Basis'!$J$39:$L$46,3,0))</f>
        <v/>
      </c>
      <c r="BG5188" s="744" t="str">
        <f t="shared" si="1793"/>
        <v/>
      </c>
      <c r="BH5188" s="744" t="str">
        <f>IF(G5188="","",IF(BF5188="Abu Dhabi",IF(G5188&lt;18,'General Basis'!$C$39,IF(G5188&lt;41,'General Basis'!$C$40,IF(G5188&lt;60,'General Basis'!$C$41,IF(G5188&lt;65,'General Basis'!$C$42,'General Basis'!$C$43)))),IF(G5188&lt;11,'General Basis'!$B$39,IF(G5188&lt;18,'General Basis'!$B$40,IF(G5188&lt;26,'General Basis'!$B$41,IF(G5188&lt;31,'General Basis'!$B$42,IF(G5188&lt;36,'General Basis'!$B$43,IF(G5188&lt;41,'General Basis'!$B$44,IF(G5188&lt;46,'General Basis'!$B$45,IF(G5188&lt;51,'General Basis'!$B$46,IF(G5188&lt;56,'General Basis'!$B$47,IF(G5188&lt;60,'General Basis'!$B$48,IF(G5188&lt;65,'General Basis'!$B$49,'General Basis'!$B$50)))))))))))))</f>
        <v/>
      </c>
      <c r="BI5188" s="744" t="str">
        <f t="shared" si="1787"/>
        <v/>
      </c>
      <c r="BJ5188" s="747" t="str">
        <f t="shared" si="1794"/>
        <v/>
      </c>
      <c r="BK5188" s="498" t="str">
        <f t="shared" si="1788"/>
        <v/>
      </c>
      <c r="BL5188" s="498" t="str">
        <f t="shared" si="1789"/>
        <v/>
      </c>
    </row>
    <row r="5189" spans="1:64" x14ac:dyDescent="0.25">
      <c r="A5189" s="762">
        <f t="shared" si="1790"/>
        <v>5184</v>
      </c>
      <c r="B5189" s="229"/>
      <c r="C5189" s="223"/>
      <c r="D5189" s="224"/>
      <c r="E5189" s="225"/>
      <c r="F5189" s="1036" t="str">
        <f t="shared" si="1796"/>
        <v/>
      </c>
      <c r="G5189" s="1037" t="str">
        <f t="shared" si="1791"/>
        <v/>
      </c>
      <c r="H5189" s="225"/>
      <c r="I5189" s="1013"/>
      <c r="J5189" s="1013"/>
      <c r="K5189" s="1028"/>
      <c r="L5189" s="1035" t="str">
        <f t="shared" si="1795"/>
        <v/>
      </c>
      <c r="S5189" s="498"/>
      <c r="AJ5189" s="498"/>
      <c r="AM5189" s="498">
        <f t="shared" si="1776"/>
        <v>0</v>
      </c>
      <c r="AN5189" s="498">
        <f t="shared" si="1777"/>
        <v>0</v>
      </c>
      <c r="AO5189" s="498">
        <f t="shared" si="1778"/>
        <v>0</v>
      </c>
      <c r="AP5189" s="498">
        <f t="shared" si="1797"/>
        <v>0</v>
      </c>
      <c r="AQ5189" s="498">
        <f t="shared" si="1792"/>
        <v>0</v>
      </c>
      <c r="AU5189" s="498">
        <f t="shared" si="1779"/>
        <v>0</v>
      </c>
      <c r="AV5189" s="498">
        <f t="shared" si="1780"/>
        <v>0</v>
      </c>
      <c r="AW5189" s="498">
        <f t="shared" si="1781"/>
        <v>0</v>
      </c>
      <c r="AX5189" s="498">
        <f t="shared" si="1782"/>
        <v>0</v>
      </c>
      <c r="AY5189" s="498">
        <f t="shared" si="1783"/>
        <v>0</v>
      </c>
      <c r="BB5189" s="498" t="str">
        <f t="shared" si="1784"/>
        <v/>
      </c>
      <c r="BC5189" s="743" t="str">
        <f t="shared" si="1785"/>
        <v/>
      </c>
      <c r="BD5189" s="743" t="str">
        <f t="shared" si="1786"/>
        <v/>
      </c>
      <c r="BE5189" s="743" t="str">
        <f>IF(D5189="","",VLOOKUP(D5189,'General Basis'!$J$39:$K$46,2,0))</f>
        <v/>
      </c>
      <c r="BF5189" s="744" t="str">
        <f>IF(D5189="","",VLOOKUP(D5189,'General Basis'!$J$39:$L$46,3,0))</f>
        <v/>
      </c>
      <c r="BG5189" s="744" t="str">
        <f t="shared" si="1793"/>
        <v/>
      </c>
      <c r="BH5189" s="744" t="str">
        <f>IF(G5189="","",IF(BF5189="Abu Dhabi",IF(G5189&lt;18,'General Basis'!$C$39,IF(G5189&lt;41,'General Basis'!$C$40,IF(G5189&lt;60,'General Basis'!$C$41,IF(G5189&lt;65,'General Basis'!$C$42,'General Basis'!$C$43)))),IF(G5189&lt;11,'General Basis'!$B$39,IF(G5189&lt;18,'General Basis'!$B$40,IF(G5189&lt;26,'General Basis'!$B$41,IF(G5189&lt;31,'General Basis'!$B$42,IF(G5189&lt;36,'General Basis'!$B$43,IF(G5189&lt;41,'General Basis'!$B$44,IF(G5189&lt;46,'General Basis'!$B$45,IF(G5189&lt;51,'General Basis'!$B$46,IF(G5189&lt;56,'General Basis'!$B$47,IF(G5189&lt;60,'General Basis'!$B$48,IF(G5189&lt;65,'General Basis'!$B$49,'General Basis'!$B$50)))))))))))))</f>
        <v/>
      </c>
      <c r="BI5189" s="744" t="str">
        <f t="shared" si="1787"/>
        <v/>
      </c>
      <c r="BJ5189" s="747" t="str">
        <f t="shared" si="1794"/>
        <v/>
      </c>
      <c r="BK5189" s="498" t="str">
        <f t="shared" si="1788"/>
        <v/>
      </c>
      <c r="BL5189" s="498" t="str">
        <f t="shared" si="1789"/>
        <v/>
      </c>
    </row>
    <row r="5190" spans="1:64" x14ac:dyDescent="0.25">
      <c r="A5190" s="762">
        <f t="shared" si="1790"/>
        <v>5185</v>
      </c>
      <c r="B5190" s="229"/>
      <c r="C5190" s="223"/>
      <c r="D5190" s="224"/>
      <c r="E5190" s="225"/>
      <c r="F5190" s="1036" t="str">
        <f t="shared" si="1796"/>
        <v/>
      </c>
      <c r="G5190" s="1037" t="str">
        <f t="shared" si="1791"/>
        <v/>
      </c>
      <c r="H5190" s="225"/>
      <c r="I5190" s="1013"/>
      <c r="J5190" s="1013"/>
      <c r="K5190" s="1028"/>
      <c r="L5190" s="1035" t="str">
        <f t="shared" si="1795"/>
        <v/>
      </c>
      <c r="S5190" s="498"/>
      <c r="AJ5190" s="498"/>
      <c r="AM5190" s="498">
        <f t="shared" ref="AM5190:AM5253" si="1798">IF(ISTEXT(B5190),1,0)</f>
        <v>0</v>
      </c>
      <c r="AN5190" s="498">
        <f t="shared" ref="AN5190:AN5253" si="1799">IF(ISBLANK(B5190),0,IF(B5190&lt;$AK$6,1,0))</f>
        <v>0</v>
      </c>
      <c r="AO5190" s="498">
        <f t="shared" ref="AO5190:AO5253" si="1800">IF(ISBLANK(B5190),0,IF(B5190&gt;$AK$7,1,0))</f>
        <v>0</v>
      </c>
      <c r="AP5190" s="498">
        <f t="shared" si="1797"/>
        <v>0</v>
      </c>
      <c r="AQ5190" s="498">
        <f t="shared" si="1792"/>
        <v>0</v>
      </c>
      <c r="AU5190" s="498">
        <f t="shared" ref="AU5190:AU5253" si="1801">IF(ISBLANK(B5190),0,1)</f>
        <v>0</v>
      </c>
      <c r="AV5190" s="498">
        <f t="shared" ref="AV5190:AV5253" si="1802">IF(ISBLANK(C5190),0,1)</f>
        <v>0</v>
      </c>
      <c r="AW5190" s="498">
        <f t="shared" ref="AW5190:AW5253" si="1803">IF(ISBLANK(D5190),0,1)</f>
        <v>0</v>
      </c>
      <c r="AX5190" s="498">
        <f t="shared" ref="AX5190:AX5253" si="1804">IF(ISBLANK(E5190),0,1)</f>
        <v>0</v>
      </c>
      <c r="AY5190" s="498">
        <f t="shared" ref="AY5190:AY5253" si="1805">IF(ISBLANK(H5190),0,1)</f>
        <v>0</v>
      </c>
      <c r="BB5190" s="498" t="str">
        <f t="shared" ref="BB5190:BB5253" si="1806">IF(E5190="Principal","Principal",IF(E5190="","","Other"))</f>
        <v/>
      </c>
      <c r="BC5190" s="743" t="str">
        <f t="shared" ref="BC5190:BC5253" si="1807">IF(D5190="","",D5190)</f>
        <v/>
      </c>
      <c r="BD5190" s="743" t="str">
        <f t="shared" ref="BD5190:BD5253" si="1808">IF(E5190="Principal","Employee",IF(E5190="","","Dependent"))</f>
        <v/>
      </c>
      <c r="BE5190" s="743" t="str">
        <f>IF(D5190="","",VLOOKUP(D5190,'General Basis'!$J$39:$K$46,2,0))</f>
        <v/>
      </c>
      <c r="BF5190" s="744" t="str">
        <f>IF(D5190="","",VLOOKUP(D5190,'General Basis'!$J$39:$L$46,3,0))</f>
        <v/>
      </c>
      <c r="BG5190" s="744" t="str">
        <f t="shared" si="1793"/>
        <v/>
      </c>
      <c r="BH5190" s="744" t="str">
        <f>IF(G5190="","",IF(BF5190="Abu Dhabi",IF(G5190&lt;18,'General Basis'!$C$39,IF(G5190&lt;41,'General Basis'!$C$40,IF(G5190&lt;60,'General Basis'!$C$41,IF(G5190&lt;65,'General Basis'!$C$42,'General Basis'!$C$43)))),IF(G5190&lt;11,'General Basis'!$B$39,IF(G5190&lt;18,'General Basis'!$B$40,IF(G5190&lt;26,'General Basis'!$B$41,IF(G5190&lt;31,'General Basis'!$B$42,IF(G5190&lt;36,'General Basis'!$B$43,IF(G5190&lt;41,'General Basis'!$B$44,IF(G5190&lt;46,'General Basis'!$B$45,IF(G5190&lt;51,'General Basis'!$B$46,IF(G5190&lt;56,'General Basis'!$B$47,IF(G5190&lt;60,'General Basis'!$B$48,IF(G5190&lt;65,'General Basis'!$B$49,'General Basis'!$B$50)))))))))))))</f>
        <v/>
      </c>
      <c r="BI5190" s="744" t="str">
        <f t="shared" ref="BI5190:BI5253" si="1809">IF(C5190="","",IF(C5190="M","Male","Female"))</f>
        <v/>
      </c>
      <c r="BJ5190" s="747" t="str">
        <f t="shared" si="1794"/>
        <v/>
      </c>
      <c r="BK5190" s="498" t="str">
        <f t="shared" ref="BK5190:BK5253" si="1810">IF(BD5190="","",IF(AND(BD5190="Employee",BI5190="Male",BF5190="Abu Dhabi",BE5190=GN_Plus),VLOOKUP(BH5190,AUH_MALE_EMP,2,0),IF(AND(BD5190="Employee",BI5190="Male",BF5190="Abu Dhabi",BE5190=GN),VLOOKUP(BH5190,AUH_MALE_EMP,3,0),IF(AND(BD5190="Employee",BI5190="Male",BF5190="Abu Dhabi",BE5190=RN_Plus),VLOOKUP(BH5190,AUH_MALE_EMP,4,0),IF(AND(BD5190="Employee",BI5190="Male",BF5190="Abu Dhabi",BE5190=RN),VLOOKUP(BH5190,AUH_MALE_EMP,5,0),IF(AND(BD5190="Employee",BI5190="Male",BF5190="Abu Dhabi",BE5190=RN_2),VLOOKUP(BH5190,AUH_MALE_EMP,6,0),IF(AND(BD5190="Employee",BI5190="Male",BF5190="Abu Dhabi",BE5190=RN2_minus),VLOOKUP(BH5190,AUH_MALE_EMP,7,0),IF(AND(BD5190="Employee",BI5190="Male",BF5190="Abu Dhabi",BE5190=RN_3),VLOOKUP(BH5190,AUH_MALE_EMP,8,0),IF(AND(BD5190="Employee",BI5190="Male",BF5190="Abu Dhabi",BE5190=VN),VLOOKUP(BH5190,AUH_MALE_EMP,9,0),IF(BD5190="","",IF(AND(BD5190="Employee",BI5190="Female",BF5190="Abu Dhabi",BE5190=GN_Plus),VLOOKUP(BH5190,AUH_FEMALE_EMP,2,0),IF(AND(BD5190="Employee",BI5190="Female",BF5190="Abu Dhabi",BE5190=GN),VLOOKUP(BH5190,AUH_FEMALE_EMP,3,0),IF(AND(BD5190="Employee",BI5190="Female",BF5190="Abu Dhabi",BE5190=RN_Plus),VLOOKUP(BH5190,AUH_FEMALE_EMP,4,0),IF(AND(BD5190="Employee",BI5190="Female",BF5190="Abu Dhabi",BE5190=RN),VLOOKUP(BH5190,AUH_FEMALE_EMP,5,0),IF(AND(BD5190="Employee",BI5190="Female",BF5190="Abu Dhabi",BE5190=RN_2),VLOOKUP(BH5190,AUH_FEMALE_EMP,6,0),IF(AND(BD5190="Employee",BI5190="Female",BF5190="Abu Dhabi",BE5190=RN2_minus),VLOOKUP(BH5190,AUH_FEMALE_EMP,7,0),IF(AND(BD5190="Employee",BI5190="Female",BF5190="Abu Dhabi",BE5190=RN_3),VLOOKUP(BH5190,AUH_FEMALE_EMP,8,0),IF(AND(BD5190="Employee",BI5190="Female",BF5190="Abu Dhabi",BE5190=VN),VLOOKUP(BH5190,AUH_FEMALE_EMP,9,0),IF(BD5190="","",IF(AND(BD5190="Dependent",BI5190="Male",BF5190="Abu Dhabi",BE5190=GN_Plus),VLOOKUP(BH5190,AUH_MALE_DEP,2,0),IF(AND(BD5190="Dependent",BI5190="Male",BF5190="Abu Dhabi",BE5190=GN),VLOOKUP(BH5190,AUH_MALE_DEP,3,0),IF(AND(BD5190="Dependent",BI5190="Male",BF5190="Abu Dhabi",BE5190=RN_Plus),VLOOKUP(BH5190,AUH_MALE_DEP,4,0),IF(AND(BD5190="Dependent",BI5190="Male",BF5190="Abu Dhabi",BE5190=RN),VLOOKUP(BH5190,AUH_MALE_DEP,5,0),IF(AND(BD5190="Dependent",BI5190="Male",BF5190="Abu Dhabi",BE5190=RN_2),VLOOKUP(BH5190,AUH_MALE_DEP,6,0),IF(AND(BD5190="Dependent",BI5190="Male",BF5190="Abu Dhabi",BE5190=RN2_minus),VLOOKUP(BH5190,AUH_MALE_DEP,7,0),IF(AND(BD5190="Dependent",BI5190="Male",BF5190="Abu Dhabi",BE5190=RN_3),VLOOKUP(BH5190,AUH_MALE_DEP,8,0),IF(AND(BD5190="Dependent",BI5190="Male",BF5190="Abu Dhabi",BE5190=VN),VLOOKUP(BH5190,AUH_MALE_DEP,9,0),IF(BD5190="","",IF(AND(BD5190="Dependent",BI5190="Female",BF5190="Abu Dhabi",BE5190=GN_Plus),VLOOKUP(BH5190,AUH_FEMALE_DEP,2,0),IF(AND(BD5190="Dependent",BI5190="Female",BF5190="Abu Dhabi",BE5190=GN),VLOOKUP(BH5190,AUH_FEMALE_DEP,3,0),IF(AND(BD5190="Dependent",BI5190="Female",BF5190="Abu Dhabi",BE5190=RN_Plus),VLOOKUP(BH5190,AUH_FEMALE_DEP,4,0),IF(AND(BD5190="Dependent",BI5190="Female",BF5190="Abu Dhabi",BE5190=RN),VLOOKUP(BH5190,AUH_FEMALE_DEP,5,0),IF(AND(BD5190="Dependent",BI5190="Female",BF5190="Abu Dhabi",BE5190=RN_2),VLOOKUP(BH5190,AUH_FEMALE_DEP,6,0),IF(AND(BD5190="Dependent",BI5190="Female",BF5190="Abu Dhabi",BE5190=RN2_minus),VLOOKUP(BH5190,AUH_FEMALE_DEP,7,0),IF(AND(BD5190="Dependent",BI5190="Female",BF5190="Abu Dhabi",BE5190=RN_3),VLOOKUP(BH5190,AUH_FEMALE_DEP,8,0),IF(AND(BD5190="Dependent",BI5190="Female",BF5190="Abu Dhabi",BE5190=VN),VLOOKUP(BH5190,AUH_FEMALE_DEP,9,0),"ABC"))))))))))))))))))))))))))))))))))))</f>
        <v/>
      </c>
      <c r="BL5190" s="498" t="str">
        <f t="shared" ref="BL5190:BL5253" si="1811">IF(BD5190="","",IF(AND(BD5190="Employee",BI5190="Male",BF5190="Dubai",BE5190=GN_Plus),VLOOKUP(BH5190,DXB_MALE_EMP,2,0),IF(AND(BD5190="Employee",BI5190="Male",BF5190="Dubai",BE5190=GN),VLOOKUP(BH5190,DXB_MALE_EMP,3,0),IF(AND(BD5190="Employee",BI5190="Male",BF5190="Dubai",BE5190=RN_Plus),VLOOKUP(BH5190,DXB_MALE_EMP,4,0),IF(AND(BD5190="Employee",BI5190="Male",BF5190="Dubai",BE5190=RN),VLOOKUP(BH5190,DXB_MALE_EMP,5,0),IF(AND(BD5190="Employee",BI5190="Male",BF5190="Dubai",BE5190=RN_2),VLOOKUP(BH5190,DXB_MALE_EMP,6,0),IF(AND(BD5190="Employee",BI5190="Male",BF5190="Dubai",BE5190=RN2_minus),VLOOKUP(BH5190,DXB_MALE_EMP,7,0),IF(AND(BD5190="Employee",BI5190="Male",BF5190="Dubai",BE5190=RN_3),VLOOKUP(BH5190,DXB_MALE_EMP,8,0),IF(AND(BD5190="Employee",BI5190="Male",BF5190="Dubai",BE5190=VN),VLOOKUP(BH5190,DXB_MALE_EMP,9,0),IF(BD5190="","",IF(AND(BD5190="Employee",BI5190="Female",BF5190="Dubai",BE5190=GN_Plus),VLOOKUP(BH5190,DXB_FEMALE_EMP,2,0),IF(AND(BD5190="Employee",BI5190="Female",BF5190="Dubai",BE5190=GN),VLOOKUP(BH5190,DXB_FEMALE_EMP,3,0),IF(AND(BD5190="Employee",BI5190="Female",BF5190="Dubai",BE5190=RN_Plus),VLOOKUP(BH5190,DXB_FEMALE_EMP,4,0),IF(AND(BD5190="Employee",BI5190="Female",BF5190="Dubai",BE5190=RN),VLOOKUP(BH5190,DXB_FEMALE_EMP,5,0),IF(AND(BD5190="Employee",BI5190="Female",BF5190="Dubai",BE5190=RN_2),VLOOKUP(BH5190,DXB_FEMALE_EMP,6,0),IF(AND(BD5190="Employee",BI5190="Female",BF5190="Dubai",BE5190=RN2_minus),VLOOKUP(BH5190,DXB_FEMALE_EMP,7,0),IF(AND(BD5190="Employee",BI5190="Female",BF5190="Dubai",BE5190=RN_3),VLOOKUP(BH5190,DXB_FEMALE_EMP,8,0),IF(AND(BD5190="Employee",BI5190="Female",BF5190="Dubai",BE5190=VN),VLOOKUP(BH5190,DXB_FEMALE_EMP,9,0),IF(BD5190="","",IF(AND(BD5190="Dependent",BI5190="Male",BF5190="Dubai",BE5190=GN_Plus),VLOOKUP(BH5190,DXB_MALE_DEP,2,0),IF(AND(BD5190="Dependent",BI5190="Male",BF5190="Dubai",BE5190=GN),VLOOKUP(BH5190,DXB_MALE_DEP,3,0),IF(AND(BD5190="Dependent",BI5190="Male",BF5190="Dubai",BE5190=RN_Plus),VLOOKUP(BH5190,DXB_MALE_DEP,4,0),IF(AND(BD5190="Dependent",BI5190="Male",BF5190="Dubai",BE5190=RN),VLOOKUP(BH5190,DXB_MALE_DEP,5,0),IF(AND(BD5190="Dependent",BI5190="Male",BF5190="Dubai",BE5190=RN_2),VLOOKUP(BH5190,DXB_MALE_DEP,6,0),IF(AND(BD5190="Dependent",BI5190="Male",BF5190="Dubai",BE5190=RN2_minus),VLOOKUP(BH5190,DXB_MALE_DEP,7,0),IF(AND(BD5190="Dependent",BI5190="Male",BF5190="Dubai",BE5190=RN_3),VLOOKUP(BH5190,DXB_MALE_DEP,8,0),IF(AND(BD5190="Dependent",BI5190="Male",BF5190="Dubai",BE5190=VN),VLOOKUP(BH5190,DXB_MALE_DEP,9,0),IF(BD5190="","",IF(AND(BD5190="Dependent",BI5190="Female",BF5190="Dubai",BE5190=GN_Plus),VLOOKUP(BH5190,DXB_FEMALE_DEP,2,0),IF(AND(BD5190="Dependent",BI5190="Female",BF5190="Dubai",BE5190=GN),VLOOKUP(BH5190,DXB_FEMALE_DEP,3,0),IF(AND(BD5190="Dependent",BI5190="Female",BF5190="Dubai",BE5190=RN_Plus),VLOOKUP(BH5190,DXB_FEMALE_DEP,4,0),IF(AND(BD5190="Dependent",BI5190="Female",BF5190="Dubai",BE5190=RN),VLOOKUP(BH5190,DXB_FEMALE_DEP,5,0),IF(AND(BD5190="Dependent",BI5190="Female",BF5190="Dubai",BE5190=RN_2),VLOOKUP(BH5190,DXB_FEMALE_DEP,6,0),IF(AND(BD5190="Dependent",BI5190="Female",BF5190="Dubai",BE5190=RN2_minus),VLOOKUP(BH5190,DXB_FEMALE_DEP,7,0),IF(AND(BD5190="Dependent",BI5190="Female",BF5190="Dubai",BE5190=RN_3),VLOOKUP(BH5190,DXB_FEMALE_DEP,8,0),IF(AND(BD5190="Dependent",BI5190="Female",BF5190="Dubai",BE5190=VN),VLOOKUP(BH5190,DXB_FEMALE_DEP,9,0),"ABC"))))))))))))))))))))))))))))))))))))</f>
        <v/>
      </c>
    </row>
    <row r="5191" spans="1:64" x14ac:dyDescent="0.25">
      <c r="A5191" s="762">
        <f t="shared" ref="A5191:A5254" si="1812">+A5190+1</f>
        <v>5186</v>
      </c>
      <c r="B5191" s="229"/>
      <c r="C5191" s="223"/>
      <c r="D5191" s="224"/>
      <c r="E5191" s="225"/>
      <c r="F5191" s="1036" t="str">
        <f t="shared" si="1796"/>
        <v/>
      </c>
      <c r="G5191" s="1037" t="str">
        <f t="shared" ref="G5191:G5254" si="1813">IF(D5191="","",MAX(0,ROUNDUP(F5191,0)))</f>
        <v/>
      </c>
      <c r="H5191" s="225"/>
      <c r="I5191" s="1013"/>
      <c r="J5191" s="1013"/>
      <c r="K5191" s="1028"/>
      <c r="L5191" s="1035" t="str">
        <f t="shared" si="1795"/>
        <v/>
      </c>
      <c r="S5191" s="498"/>
      <c r="AJ5191" s="498"/>
      <c r="AM5191" s="498">
        <f t="shared" si="1798"/>
        <v>0</v>
      </c>
      <c r="AN5191" s="498">
        <f t="shared" si="1799"/>
        <v>0</v>
      </c>
      <c r="AO5191" s="498">
        <f t="shared" si="1800"/>
        <v>0</v>
      </c>
      <c r="AP5191" s="498">
        <f t="shared" si="1797"/>
        <v>0</v>
      </c>
      <c r="AQ5191" s="498">
        <f t="shared" ref="AQ5191:AQ5254" si="1814">IF(ISBLANK($B5191),0,IF(OR($H5191="Single",$H5191="Married"),0,1))</f>
        <v>0</v>
      </c>
      <c r="AU5191" s="498">
        <f t="shared" si="1801"/>
        <v>0</v>
      </c>
      <c r="AV5191" s="498">
        <f t="shared" si="1802"/>
        <v>0</v>
      </c>
      <c r="AW5191" s="498">
        <f t="shared" si="1803"/>
        <v>0</v>
      </c>
      <c r="AX5191" s="498">
        <f t="shared" si="1804"/>
        <v>0</v>
      </c>
      <c r="AY5191" s="498">
        <f t="shared" si="1805"/>
        <v>0</v>
      </c>
      <c r="BB5191" s="498" t="str">
        <f t="shared" si="1806"/>
        <v/>
      </c>
      <c r="BC5191" s="743" t="str">
        <f t="shared" si="1807"/>
        <v/>
      </c>
      <c r="BD5191" s="743" t="str">
        <f t="shared" si="1808"/>
        <v/>
      </c>
      <c r="BE5191" s="743" t="str">
        <f>IF(D5191="","",VLOOKUP(D5191,'General Basis'!$J$39:$K$46,2,0))</f>
        <v/>
      </c>
      <c r="BF5191" s="744" t="str">
        <f>IF(D5191="","",VLOOKUP(D5191,'General Basis'!$J$39:$L$46,3,0))</f>
        <v/>
      </c>
      <c r="BG5191" s="744" t="str">
        <f t="shared" ref="BG5191:BG5254" si="1815">BC5191&amp;BI5191</f>
        <v/>
      </c>
      <c r="BH5191" s="744" t="str">
        <f>IF(G5191="","",IF(BF5191="Abu Dhabi",IF(G5191&lt;18,'General Basis'!$C$39,IF(G5191&lt;41,'General Basis'!$C$40,IF(G5191&lt;60,'General Basis'!$C$41,IF(G5191&lt;65,'General Basis'!$C$42,'General Basis'!$C$43)))),IF(G5191&lt;11,'General Basis'!$B$39,IF(G5191&lt;18,'General Basis'!$B$40,IF(G5191&lt;26,'General Basis'!$B$41,IF(G5191&lt;31,'General Basis'!$B$42,IF(G5191&lt;36,'General Basis'!$B$43,IF(G5191&lt;41,'General Basis'!$B$44,IF(G5191&lt;46,'General Basis'!$B$45,IF(G5191&lt;51,'General Basis'!$B$46,IF(G5191&lt;56,'General Basis'!$B$47,IF(G5191&lt;60,'General Basis'!$B$48,IF(G5191&lt;65,'General Basis'!$B$49,'General Basis'!$B$50)))))))))))))</f>
        <v/>
      </c>
      <c r="BI5191" s="744" t="str">
        <f t="shared" si="1809"/>
        <v/>
      </c>
      <c r="BJ5191" s="747" t="str">
        <f t="shared" ref="BJ5191:BJ5254" si="1816">IF(BD5191="","",IF(BF5191="Abu Dhabi",BK5191,BL5191))</f>
        <v/>
      </c>
      <c r="BK5191" s="498" t="str">
        <f t="shared" si="1810"/>
        <v/>
      </c>
      <c r="BL5191" s="498" t="str">
        <f t="shared" si="1811"/>
        <v/>
      </c>
    </row>
    <row r="5192" spans="1:64" x14ac:dyDescent="0.25">
      <c r="A5192" s="762">
        <f t="shared" si="1812"/>
        <v>5187</v>
      </c>
      <c r="B5192" s="229"/>
      <c r="C5192" s="223"/>
      <c r="D5192" s="224"/>
      <c r="E5192" s="225"/>
      <c r="F5192" s="1036" t="str">
        <f t="shared" si="1796"/>
        <v/>
      </c>
      <c r="G5192" s="1037" t="str">
        <f t="shared" si="1813"/>
        <v/>
      </c>
      <c r="H5192" s="225"/>
      <c r="I5192" s="1013"/>
      <c r="J5192" s="1013"/>
      <c r="K5192" s="1028"/>
      <c r="L5192" s="1035" t="str">
        <f t="shared" ref="L5192:L5255" si="1817">IF(AND(E5192="Child",H5192="Married"),"Check the Marital Status of the Child. ",IF(AND(E5192="Child",F5192&gt;18),"Child Age exceed 18 years. ",IF(AND(E5192="Spouse",H5192="Single"),"Spouse is selected as Single. ","")))&amp;IF(K5192&gt;0,"UW Loading has been Applied","")</f>
        <v/>
      </c>
      <c r="S5192" s="498"/>
      <c r="AJ5192" s="498"/>
      <c r="AM5192" s="498">
        <f t="shared" si="1798"/>
        <v>0</v>
      </c>
      <c r="AN5192" s="498">
        <f t="shared" si="1799"/>
        <v>0</v>
      </c>
      <c r="AO5192" s="498">
        <f t="shared" si="1800"/>
        <v>0</v>
      </c>
      <c r="AP5192" s="498">
        <f t="shared" si="1797"/>
        <v>0</v>
      </c>
      <c r="AQ5192" s="498">
        <f t="shared" si="1814"/>
        <v>0</v>
      </c>
      <c r="AU5192" s="498">
        <f t="shared" si="1801"/>
        <v>0</v>
      </c>
      <c r="AV5192" s="498">
        <f t="shared" si="1802"/>
        <v>0</v>
      </c>
      <c r="AW5192" s="498">
        <f t="shared" si="1803"/>
        <v>0</v>
      </c>
      <c r="AX5192" s="498">
        <f t="shared" si="1804"/>
        <v>0</v>
      </c>
      <c r="AY5192" s="498">
        <f t="shared" si="1805"/>
        <v>0</v>
      </c>
      <c r="BB5192" s="498" t="str">
        <f t="shared" si="1806"/>
        <v/>
      </c>
      <c r="BC5192" s="743" t="str">
        <f t="shared" si="1807"/>
        <v/>
      </c>
      <c r="BD5192" s="743" t="str">
        <f t="shared" si="1808"/>
        <v/>
      </c>
      <c r="BE5192" s="743" t="str">
        <f>IF(D5192="","",VLOOKUP(D5192,'General Basis'!$J$39:$K$46,2,0))</f>
        <v/>
      </c>
      <c r="BF5192" s="744" t="str">
        <f>IF(D5192="","",VLOOKUP(D5192,'General Basis'!$J$39:$L$46,3,0))</f>
        <v/>
      </c>
      <c r="BG5192" s="744" t="str">
        <f t="shared" si="1815"/>
        <v/>
      </c>
      <c r="BH5192" s="744" t="str">
        <f>IF(G5192="","",IF(BF5192="Abu Dhabi",IF(G5192&lt;18,'General Basis'!$C$39,IF(G5192&lt;41,'General Basis'!$C$40,IF(G5192&lt;60,'General Basis'!$C$41,IF(G5192&lt;65,'General Basis'!$C$42,'General Basis'!$C$43)))),IF(G5192&lt;11,'General Basis'!$B$39,IF(G5192&lt;18,'General Basis'!$B$40,IF(G5192&lt;26,'General Basis'!$B$41,IF(G5192&lt;31,'General Basis'!$B$42,IF(G5192&lt;36,'General Basis'!$B$43,IF(G5192&lt;41,'General Basis'!$B$44,IF(G5192&lt;46,'General Basis'!$B$45,IF(G5192&lt;51,'General Basis'!$B$46,IF(G5192&lt;56,'General Basis'!$B$47,IF(G5192&lt;60,'General Basis'!$B$48,IF(G5192&lt;65,'General Basis'!$B$49,'General Basis'!$B$50)))))))))))))</f>
        <v/>
      </c>
      <c r="BI5192" s="744" t="str">
        <f t="shared" si="1809"/>
        <v/>
      </c>
      <c r="BJ5192" s="747" t="str">
        <f t="shared" si="1816"/>
        <v/>
      </c>
      <c r="BK5192" s="498" t="str">
        <f t="shared" si="1810"/>
        <v/>
      </c>
      <c r="BL5192" s="498" t="str">
        <f t="shared" si="1811"/>
        <v/>
      </c>
    </row>
    <row r="5193" spans="1:64" x14ac:dyDescent="0.25">
      <c r="A5193" s="762">
        <f t="shared" si="1812"/>
        <v>5188</v>
      </c>
      <c r="B5193" s="229"/>
      <c r="C5193" s="223"/>
      <c r="D5193" s="224"/>
      <c r="E5193" s="225"/>
      <c r="F5193" s="1036" t="str">
        <f t="shared" si="1796"/>
        <v/>
      </c>
      <c r="G5193" s="1037" t="str">
        <f t="shared" si="1813"/>
        <v/>
      </c>
      <c r="H5193" s="225"/>
      <c r="I5193" s="1013"/>
      <c r="J5193" s="1013"/>
      <c r="K5193" s="1028"/>
      <c r="L5193" s="1035" t="str">
        <f t="shared" si="1817"/>
        <v/>
      </c>
      <c r="S5193" s="498"/>
      <c r="AJ5193" s="498"/>
      <c r="AM5193" s="498">
        <f t="shared" si="1798"/>
        <v>0</v>
      </c>
      <c r="AN5193" s="498">
        <f t="shared" si="1799"/>
        <v>0</v>
      </c>
      <c r="AO5193" s="498">
        <f t="shared" si="1800"/>
        <v>0</v>
      </c>
      <c r="AP5193" s="498">
        <f t="shared" si="1797"/>
        <v>0</v>
      </c>
      <c r="AQ5193" s="498">
        <f t="shared" si="1814"/>
        <v>0</v>
      </c>
      <c r="AU5193" s="498">
        <f t="shared" si="1801"/>
        <v>0</v>
      </c>
      <c r="AV5193" s="498">
        <f t="shared" si="1802"/>
        <v>0</v>
      </c>
      <c r="AW5193" s="498">
        <f t="shared" si="1803"/>
        <v>0</v>
      </c>
      <c r="AX5193" s="498">
        <f t="shared" si="1804"/>
        <v>0</v>
      </c>
      <c r="AY5193" s="498">
        <f t="shared" si="1805"/>
        <v>0</v>
      </c>
      <c r="BB5193" s="498" t="str">
        <f t="shared" si="1806"/>
        <v/>
      </c>
      <c r="BC5193" s="743" t="str">
        <f t="shared" si="1807"/>
        <v/>
      </c>
      <c r="BD5193" s="743" t="str">
        <f t="shared" si="1808"/>
        <v/>
      </c>
      <c r="BE5193" s="743" t="str">
        <f>IF(D5193="","",VLOOKUP(D5193,'General Basis'!$J$39:$K$46,2,0))</f>
        <v/>
      </c>
      <c r="BF5193" s="744" t="str">
        <f>IF(D5193="","",VLOOKUP(D5193,'General Basis'!$J$39:$L$46,3,0))</f>
        <v/>
      </c>
      <c r="BG5193" s="744" t="str">
        <f t="shared" si="1815"/>
        <v/>
      </c>
      <c r="BH5193" s="744" t="str">
        <f>IF(G5193="","",IF(BF5193="Abu Dhabi",IF(G5193&lt;18,'General Basis'!$C$39,IF(G5193&lt;41,'General Basis'!$C$40,IF(G5193&lt;60,'General Basis'!$C$41,IF(G5193&lt;65,'General Basis'!$C$42,'General Basis'!$C$43)))),IF(G5193&lt;11,'General Basis'!$B$39,IF(G5193&lt;18,'General Basis'!$B$40,IF(G5193&lt;26,'General Basis'!$B$41,IF(G5193&lt;31,'General Basis'!$B$42,IF(G5193&lt;36,'General Basis'!$B$43,IF(G5193&lt;41,'General Basis'!$B$44,IF(G5193&lt;46,'General Basis'!$B$45,IF(G5193&lt;51,'General Basis'!$B$46,IF(G5193&lt;56,'General Basis'!$B$47,IF(G5193&lt;60,'General Basis'!$B$48,IF(G5193&lt;65,'General Basis'!$B$49,'General Basis'!$B$50)))))))))))))</f>
        <v/>
      </c>
      <c r="BI5193" s="744" t="str">
        <f t="shared" si="1809"/>
        <v/>
      </c>
      <c r="BJ5193" s="747" t="str">
        <f t="shared" si="1816"/>
        <v/>
      </c>
      <c r="BK5193" s="498" t="str">
        <f t="shared" si="1810"/>
        <v/>
      </c>
      <c r="BL5193" s="498" t="str">
        <f t="shared" si="1811"/>
        <v/>
      </c>
    </row>
    <row r="5194" spans="1:64" x14ac:dyDescent="0.25">
      <c r="A5194" s="762">
        <f t="shared" si="1812"/>
        <v>5189</v>
      </c>
      <c r="B5194" s="229"/>
      <c r="C5194" s="223"/>
      <c r="D5194" s="224"/>
      <c r="E5194" s="225"/>
      <c r="F5194" s="1036" t="str">
        <f t="shared" si="1796"/>
        <v/>
      </c>
      <c r="G5194" s="1037" t="str">
        <f t="shared" si="1813"/>
        <v/>
      </c>
      <c r="H5194" s="225"/>
      <c r="I5194" s="1013"/>
      <c r="J5194" s="1013"/>
      <c r="K5194" s="1028"/>
      <c r="L5194" s="1035" t="str">
        <f t="shared" si="1817"/>
        <v/>
      </c>
      <c r="S5194" s="498"/>
      <c r="AJ5194" s="498"/>
      <c r="AM5194" s="498">
        <f t="shared" si="1798"/>
        <v>0</v>
      </c>
      <c r="AN5194" s="498">
        <f t="shared" si="1799"/>
        <v>0</v>
      </c>
      <c r="AO5194" s="498">
        <f t="shared" si="1800"/>
        <v>0</v>
      </c>
      <c r="AP5194" s="498">
        <f t="shared" si="1797"/>
        <v>0</v>
      </c>
      <c r="AQ5194" s="498">
        <f t="shared" si="1814"/>
        <v>0</v>
      </c>
      <c r="AU5194" s="498">
        <f t="shared" si="1801"/>
        <v>0</v>
      </c>
      <c r="AV5194" s="498">
        <f t="shared" si="1802"/>
        <v>0</v>
      </c>
      <c r="AW5194" s="498">
        <f t="shared" si="1803"/>
        <v>0</v>
      </c>
      <c r="AX5194" s="498">
        <f t="shared" si="1804"/>
        <v>0</v>
      </c>
      <c r="AY5194" s="498">
        <f t="shared" si="1805"/>
        <v>0</v>
      </c>
      <c r="BB5194" s="498" t="str">
        <f t="shared" si="1806"/>
        <v/>
      </c>
      <c r="BC5194" s="743" t="str">
        <f t="shared" si="1807"/>
        <v/>
      </c>
      <c r="BD5194" s="743" t="str">
        <f t="shared" si="1808"/>
        <v/>
      </c>
      <c r="BE5194" s="743" t="str">
        <f>IF(D5194="","",VLOOKUP(D5194,'General Basis'!$J$39:$K$46,2,0))</f>
        <v/>
      </c>
      <c r="BF5194" s="744" t="str">
        <f>IF(D5194="","",VLOOKUP(D5194,'General Basis'!$J$39:$L$46,3,0))</f>
        <v/>
      </c>
      <c r="BG5194" s="744" t="str">
        <f t="shared" si="1815"/>
        <v/>
      </c>
      <c r="BH5194" s="744" t="str">
        <f>IF(G5194="","",IF(BF5194="Abu Dhabi",IF(G5194&lt;18,'General Basis'!$C$39,IF(G5194&lt;41,'General Basis'!$C$40,IF(G5194&lt;60,'General Basis'!$C$41,IF(G5194&lt;65,'General Basis'!$C$42,'General Basis'!$C$43)))),IF(G5194&lt;11,'General Basis'!$B$39,IF(G5194&lt;18,'General Basis'!$B$40,IF(G5194&lt;26,'General Basis'!$B$41,IF(G5194&lt;31,'General Basis'!$B$42,IF(G5194&lt;36,'General Basis'!$B$43,IF(G5194&lt;41,'General Basis'!$B$44,IF(G5194&lt;46,'General Basis'!$B$45,IF(G5194&lt;51,'General Basis'!$B$46,IF(G5194&lt;56,'General Basis'!$B$47,IF(G5194&lt;60,'General Basis'!$B$48,IF(G5194&lt;65,'General Basis'!$B$49,'General Basis'!$B$50)))))))))))))</f>
        <v/>
      </c>
      <c r="BI5194" s="744" t="str">
        <f t="shared" si="1809"/>
        <v/>
      </c>
      <c r="BJ5194" s="747" t="str">
        <f t="shared" si="1816"/>
        <v/>
      </c>
      <c r="BK5194" s="498" t="str">
        <f t="shared" si="1810"/>
        <v/>
      </c>
      <c r="BL5194" s="498" t="str">
        <f t="shared" si="1811"/>
        <v/>
      </c>
    </row>
    <row r="5195" spans="1:64" x14ac:dyDescent="0.25">
      <c r="A5195" s="762">
        <f t="shared" si="1812"/>
        <v>5190</v>
      </c>
      <c r="B5195" s="229"/>
      <c r="C5195" s="223"/>
      <c r="D5195" s="224"/>
      <c r="E5195" s="225"/>
      <c r="F5195" s="1036" t="str">
        <f t="shared" si="1796"/>
        <v/>
      </c>
      <c r="G5195" s="1037" t="str">
        <f t="shared" si="1813"/>
        <v/>
      </c>
      <c r="H5195" s="225"/>
      <c r="I5195" s="1013"/>
      <c r="J5195" s="1013"/>
      <c r="K5195" s="1028"/>
      <c r="L5195" s="1035" t="str">
        <f t="shared" si="1817"/>
        <v/>
      </c>
      <c r="S5195" s="498"/>
      <c r="AJ5195" s="498"/>
      <c r="AM5195" s="498">
        <f t="shared" si="1798"/>
        <v>0</v>
      </c>
      <c r="AN5195" s="498">
        <f t="shared" si="1799"/>
        <v>0</v>
      </c>
      <c r="AO5195" s="498">
        <f t="shared" si="1800"/>
        <v>0</v>
      </c>
      <c r="AP5195" s="498">
        <f t="shared" si="1797"/>
        <v>0</v>
      </c>
      <c r="AQ5195" s="498">
        <f t="shared" si="1814"/>
        <v>0</v>
      </c>
      <c r="AU5195" s="498">
        <f t="shared" si="1801"/>
        <v>0</v>
      </c>
      <c r="AV5195" s="498">
        <f t="shared" si="1802"/>
        <v>0</v>
      </c>
      <c r="AW5195" s="498">
        <f t="shared" si="1803"/>
        <v>0</v>
      </c>
      <c r="AX5195" s="498">
        <f t="shared" si="1804"/>
        <v>0</v>
      </c>
      <c r="AY5195" s="498">
        <f t="shared" si="1805"/>
        <v>0</v>
      </c>
      <c r="BB5195" s="498" t="str">
        <f t="shared" si="1806"/>
        <v/>
      </c>
      <c r="BC5195" s="743" t="str">
        <f t="shared" si="1807"/>
        <v/>
      </c>
      <c r="BD5195" s="743" t="str">
        <f t="shared" si="1808"/>
        <v/>
      </c>
      <c r="BE5195" s="743" t="str">
        <f>IF(D5195="","",VLOOKUP(D5195,'General Basis'!$J$39:$K$46,2,0))</f>
        <v/>
      </c>
      <c r="BF5195" s="744" t="str">
        <f>IF(D5195="","",VLOOKUP(D5195,'General Basis'!$J$39:$L$46,3,0))</f>
        <v/>
      </c>
      <c r="BG5195" s="744" t="str">
        <f t="shared" si="1815"/>
        <v/>
      </c>
      <c r="BH5195" s="744" t="str">
        <f>IF(G5195="","",IF(BF5195="Abu Dhabi",IF(G5195&lt;18,'General Basis'!$C$39,IF(G5195&lt;41,'General Basis'!$C$40,IF(G5195&lt;60,'General Basis'!$C$41,IF(G5195&lt;65,'General Basis'!$C$42,'General Basis'!$C$43)))),IF(G5195&lt;11,'General Basis'!$B$39,IF(G5195&lt;18,'General Basis'!$B$40,IF(G5195&lt;26,'General Basis'!$B$41,IF(G5195&lt;31,'General Basis'!$B$42,IF(G5195&lt;36,'General Basis'!$B$43,IF(G5195&lt;41,'General Basis'!$B$44,IF(G5195&lt;46,'General Basis'!$B$45,IF(G5195&lt;51,'General Basis'!$B$46,IF(G5195&lt;56,'General Basis'!$B$47,IF(G5195&lt;60,'General Basis'!$B$48,IF(G5195&lt;65,'General Basis'!$B$49,'General Basis'!$B$50)))))))))))))</f>
        <v/>
      </c>
      <c r="BI5195" s="744" t="str">
        <f t="shared" si="1809"/>
        <v/>
      </c>
      <c r="BJ5195" s="747" t="str">
        <f t="shared" si="1816"/>
        <v/>
      </c>
      <c r="BK5195" s="498" t="str">
        <f t="shared" si="1810"/>
        <v/>
      </c>
      <c r="BL5195" s="498" t="str">
        <f t="shared" si="1811"/>
        <v/>
      </c>
    </row>
    <row r="5196" spans="1:64" x14ac:dyDescent="0.25">
      <c r="A5196" s="762">
        <f t="shared" si="1812"/>
        <v>5191</v>
      </c>
      <c r="B5196" s="229"/>
      <c r="C5196" s="223"/>
      <c r="D5196" s="224"/>
      <c r="E5196" s="225"/>
      <c r="F5196" s="1036" t="str">
        <f t="shared" si="1796"/>
        <v/>
      </c>
      <c r="G5196" s="1037" t="str">
        <f t="shared" si="1813"/>
        <v/>
      </c>
      <c r="H5196" s="225"/>
      <c r="I5196" s="1013"/>
      <c r="J5196" s="1013"/>
      <c r="K5196" s="1028"/>
      <c r="L5196" s="1035" t="str">
        <f t="shared" si="1817"/>
        <v/>
      </c>
      <c r="S5196" s="498"/>
      <c r="AJ5196" s="498"/>
      <c r="AM5196" s="498">
        <f t="shared" si="1798"/>
        <v>0</v>
      </c>
      <c r="AN5196" s="498">
        <f t="shared" si="1799"/>
        <v>0</v>
      </c>
      <c r="AO5196" s="498">
        <f t="shared" si="1800"/>
        <v>0</v>
      </c>
      <c r="AP5196" s="498">
        <f t="shared" si="1797"/>
        <v>0</v>
      </c>
      <c r="AQ5196" s="498">
        <f t="shared" si="1814"/>
        <v>0</v>
      </c>
      <c r="AU5196" s="498">
        <f t="shared" si="1801"/>
        <v>0</v>
      </c>
      <c r="AV5196" s="498">
        <f t="shared" si="1802"/>
        <v>0</v>
      </c>
      <c r="AW5196" s="498">
        <f t="shared" si="1803"/>
        <v>0</v>
      </c>
      <c r="AX5196" s="498">
        <f t="shared" si="1804"/>
        <v>0</v>
      </c>
      <c r="AY5196" s="498">
        <f t="shared" si="1805"/>
        <v>0</v>
      </c>
      <c r="BB5196" s="498" t="str">
        <f t="shared" si="1806"/>
        <v/>
      </c>
      <c r="BC5196" s="743" t="str">
        <f t="shared" si="1807"/>
        <v/>
      </c>
      <c r="BD5196" s="743" t="str">
        <f t="shared" si="1808"/>
        <v/>
      </c>
      <c r="BE5196" s="743" t="str">
        <f>IF(D5196="","",VLOOKUP(D5196,'General Basis'!$J$39:$K$46,2,0))</f>
        <v/>
      </c>
      <c r="BF5196" s="744" t="str">
        <f>IF(D5196="","",VLOOKUP(D5196,'General Basis'!$J$39:$L$46,3,0))</f>
        <v/>
      </c>
      <c r="BG5196" s="744" t="str">
        <f t="shared" si="1815"/>
        <v/>
      </c>
      <c r="BH5196" s="744" t="str">
        <f>IF(G5196="","",IF(BF5196="Abu Dhabi",IF(G5196&lt;18,'General Basis'!$C$39,IF(G5196&lt;41,'General Basis'!$C$40,IF(G5196&lt;60,'General Basis'!$C$41,IF(G5196&lt;65,'General Basis'!$C$42,'General Basis'!$C$43)))),IF(G5196&lt;11,'General Basis'!$B$39,IF(G5196&lt;18,'General Basis'!$B$40,IF(G5196&lt;26,'General Basis'!$B$41,IF(G5196&lt;31,'General Basis'!$B$42,IF(G5196&lt;36,'General Basis'!$B$43,IF(G5196&lt;41,'General Basis'!$B$44,IF(G5196&lt;46,'General Basis'!$B$45,IF(G5196&lt;51,'General Basis'!$B$46,IF(G5196&lt;56,'General Basis'!$B$47,IF(G5196&lt;60,'General Basis'!$B$48,IF(G5196&lt;65,'General Basis'!$B$49,'General Basis'!$B$50)))))))))))))</f>
        <v/>
      </c>
      <c r="BI5196" s="744" t="str">
        <f t="shared" si="1809"/>
        <v/>
      </c>
      <c r="BJ5196" s="747" t="str">
        <f t="shared" si="1816"/>
        <v/>
      </c>
      <c r="BK5196" s="498" t="str">
        <f t="shared" si="1810"/>
        <v/>
      </c>
      <c r="BL5196" s="498" t="str">
        <f t="shared" si="1811"/>
        <v/>
      </c>
    </row>
    <row r="5197" spans="1:64" x14ac:dyDescent="0.25">
      <c r="A5197" s="762">
        <f t="shared" si="1812"/>
        <v>5192</v>
      </c>
      <c r="B5197" s="229"/>
      <c r="C5197" s="223"/>
      <c r="D5197" s="224"/>
      <c r="E5197" s="225"/>
      <c r="F5197" s="1036" t="str">
        <f t="shared" si="1796"/>
        <v/>
      </c>
      <c r="G5197" s="1037" t="str">
        <f t="shared" si="1813"/>
        <v/>
      </c>
      <c r="H5197" s="225"/>
      <c r="I5197" s="1013"/>
      <c r="J5197" s="1013"/>
      <c r="K5197" s="1028"/>
      <c r="L5197" s="1035" t="str">
        <f t="shared" si="1817"/>
        <v/>
      </c>
      <c r="S5197" s="498"/>
      <c r="AJ5197" s="498"/>
      <c r="AM5197" s="498">
        <f t="shared" si="1798"/>
        <v>0</v>
      </c>
      <c r="AN5197" s="498">
        <f t="shared" si="1799"/>
        <v>0</v>
      </c>
      <c r="AO5197" s="498">
        <f t="shared" si="1800"/>
        <v>0</v>
      </c>
      <c r="AP5197" s="498">
        <f t="shared" si="1797"/>
        <v>0</v>
      </c>
      <c r="AQ5197" s="498">
        <f t="shared" si="1814"/>
        <v>0</v>
      </c>
      <c r="AU5197" s="498">
        <f t="shared" si="1801"/>
        <v>0</v>
      </c>
      <c r="AV5197" s="498">
        <f t="shared" si="1802"/>
        <v>0</v>
      </c>
      <c r="AW5197" s="498">
        <f t="shared" si="1803"/>
        <v>0</v>
      </c>
      <c r="AX5197" s="498">
        <f t="shared" si="1804"/>
        <v>0</v>
      </c>
      <c r="AY5197" s="498">
        <f t="shared" si="1805"/>
        <v>0</v>
      </c>
      <c r="BB5197" s="498" t="str">
        <f t="shared" si="1806"/>
        <v/>
      </c>
      <c r="BC5197" s="743" t="str">
        <f t="shared" si="1807"/>
        <v/>
      </c>
      <c r="BD5197" s="743" t="str">
        <f t="shared" si="1808"/>
        <v/>
      </c>
      <c r="BE5197" s="743" t="str">
        <f>IF(D5197="","",VLOOKUP(D5197,'General Basis'!$J$39:$K$46,2,0))</f>
        <v/>
      </c>
      <c r="BF5197" s="744" t="str">
        <f>IF(D5197="","",VLOOKUP(D5197,'General Basis'!$J$39:$L$46,3,0))</f>
        <v/>
      </c>
      <c r="BG5197" s="744" t="str">
        <f t="shared" si="1815"/>
        <v/>
      </c>
      <c r="BH5197" s="744" t="str">
        <f>IF(G5197="","",IF(BF5197="Abu Dhabi",IF(G5197&lt;18,'General Basis'!$C$39,IF(G5197&lt;41,'General Basis'!$C$40,IF(G5197&lt;60,'General Basis'!$C$41,IF(G5197&lt;65,'General Basis'!$C$42,'General Basis'!$C$43)))),IF(G5197&lt;11,'General Basis'!$B$39,IF(G5197&lt;18,'General Basis'!$B$40,IF(G5197&lt;26,'General Basis'!$B$41,IF(G5197&lt;31,'General Basis'!$B$42,IF(G5197&lt;36,'General Basis'!$B$43,IF(G5197&lt;41,'General Basis'!$B$44,IF(G5197&lt;46,'General Basis'!$B$45,IF(G5197&lt;51,'General Basis'!$B$46,IF(G5197&lt;56,'General Basis'!$B$47,IF(G5197&lt;60,'General Basis'!$B$48,IF(G5197&lt;65,'General Basis'!$B$49,'General Basis'!$B$50)))))))))))))</f>
        <v/>
      </c>
      <c r="BI5197" s="744" t="str">
        <f t="shared" si="1809"/>
        <v/>
      </c>
      <c r="BJ5197" s="747" t="str">
        <f t="shared" si="1816"/>
        <v/>
      </c>
      <c r="BK5197" s="498" t="str">
        <f t="shared" si="1810"/>
        <v/>
      </c>
      <c r="BL5197" s="498" t="str">
        <f t="shared" si="1811"/>
        <v/>
      </c>
    </row>
    <row r="5198" spans="1:64" x14ac:dyDescent="0.25">
      <c r="A5198" s="762">
        <f t="shared" si="1812"/>
        <v>5193</v>
      </c>
      <c r="B5198" s="229"/>
      <c r="C5198" s="223"/>
      <c r="D5198" s="224"/>
      <c r="E5198" s="225"/>
      <c r="F5198" s="1036" t="str">
        <f t="shared" si="1796"/>
        <v/>
      </c>
      <c r="G5198" s="1037" t="str">
        <f t="shared" si="1813"/>
        <v/>
      </c>
      <c r="H5198" s="225"/>
      <c r="I5198" s="1013"/>
      <c r="J5198" s="1013"/>
      <c r="K5198" s="1028"/>
      <c r="L5198" s="1035" t="str">
        <f t="shared" si="1817"/>
        <v/>
      </c>
      <c r="S5198" s="498"/>
      <c r="AJ5198" s="498"/>
      <c r="AM5198" s="498">
        <f t="shared" si="1798"/>
        <v>0</v>
      </c>
      <c r="AN5198" s="498">
        <f t="shared" si="1799"/>
        <v>0</v>
      </c>
      <c r="AO5198" s="498">
        <f t="shared" si="1800"/>
        <v>0</v>
      </c>
      <c r="AP5198" s="498">
        <f t="shared" si="1797"/>
        <v>0</v>
      </c>
      <c r="AQ5198" s="498">
        <f t="shared" si="1814"/>
        <v>0</v>
      </c>
      <c r="AU5198" s="498">
        <f t="shared" si="1801"/>
        <v>0</v>
      </c>
      <c r="AV5198" s="498">
        <f t="shared" si="1802"/>
        <v>0</v>
      </c>
      <c r="AW5198" s="498">
        <f t="shared" si="1803"/>
        <v>0</v>
      </c>
      <c r="AX5198" s="498">
        <f t="shared" si="1804"/>
        <v>0</v>
      </c>
      <c r="AY5198" s="498">
        <f t="shared" si="1805"/>
        <v>0</v>
      </c>
      <c r="BB5198" s="498" t="str">
        <f t="shared" si="1806"/>
        <v/>
      </c>
      <c r="BC5198" s="743" t="str">
        <f t="shared" si="1807"/>
        <v/>
      </c>
      <c r="BD5198" s="743" t="str">
        <f t="shared" si="1808"/>
        <v/>
      </c>
      <c r="BE5198" s="743" t="str">
        <f>IF(D5198="","",VLOOKUP(D5198,'General Basis'!$J$39:$K$46,2,0))</f>
        <v/>
      </c>
      <c r="BF5198" s="744" t="str">
        <f>IF(D5198="","",VLOOKUP(D5198,'General Basis'!$J$39:$L$46,3,0))</f>
        <v/>
      </c>
      <c r="BG5198" s="744" t="str">
        <f t="shared" si="1815"/>
        <v/>
      </c>
      <c r="BH5198" s="744" t="str">
        <f>IF(G5198="","",IF(BF5198="Abu Dhabi",IF(G5198&lt;18,'General Basis'!$C$39,IF(G5198&lt;41,'General Basis'!$C$40,IF(G5198&lt;60,'General Basis'!$C$41,IF(G5198&lt;65,'General Basis'!$C$42,'General Basis'!$C$43)))),IF(G5198&lt;11,'General Basis'!$B$39,IF(G5198&lt;18,'General Basis'!$B$40,IF(G5198&lt;26,'General Basis'!$B$41,IF(G5198&lt;31,'General Basis'!$B$42,IF(G5198&lt;36,'General Basis'!$B$43,IF(G5198&lt;41,'General Basis'!$B$44,IF(G5198&lt;46,'General Basis'!$B$45,IF(G5198&lt;51,'General Basis'!$B$46,IF(G5198&lt;56,'General Basis'!$B$47,IF(G5198&lt;60,'General Basis'!$B$48,IF(G5198&lt;65,'General Basis'!$B$49,'General Basis'!$B$50)))))))))))))</f>
        <v/>
      </c>
      <c r="BI5198" s="744" t="str">
        <f t="shared" si="1809"/>
        <v/>
      </c>
      <c r="BJ5198" s="747" t="str">
        <f t="shared" si="1816"/>
        <v/>
      </c>
      <c r="BK5198" s="498" t="str">
        <f t="shared" si="1810"/>
        <v/>
      </c>
      <c r="BL5198" s="498" t="str">
        <f t="shared" si="1811"/>
        <v/>
      </c>
    </row>
    <row r="5199" spans="1:64" x14ac:dyDescent="0.25">
      <c r="A5199" s="762">
        <f t="shared" si="1812"/>
        <v>5194</v>
      </c>
      <c r="B5199" s="229"/>
      <c r="C5199" s="223"/>
      <c r="D5199" s="224"/>
      <c r="E5199" s="225"/>
      <c r="F5199" s="1036" t="str">
        <f t="shared" si="1796"/>
        <v/>
      </c>
      <c r="G5199" s="1037" t="str">
        <f t="shared" si="1813"/>
        <v/>
      </c>
      <c r="H5199" s="225"/>
      <c r="I5199" s="1013"/>
      <c r="J5199" s="1013"/>
      <c r="K5199" s="1028"/>
      <c r="L5199" s="1035" t="str">
        <f t="shared" si="1817"/>
        <v/>
      </c>
      <c r="S5199" s="498"/>
      <c r="AJ5199" s="498"/>
      <c r="AM5199" s="498">
        <f t="shared" si="1798"/>
        <v>0</v>
      </c>
      <c r="AN5199" s="498">
        <f t="shared" si="1799"/>
        <v>0</v>
      </c>
      <c r="AO5199" s="498">
        <f t="shared" si="1800"/>
        <v>0</v>
      </c>
      <c r="AP5199" s="498">
        <f t="shared" si="1797"/>
        <v>0</v>
      </c>
      <c r="AQ5199" s="498">
        <f t="shared" si="1814"/>
        <v>0</v>
      </c>
      <c r="AU5199" s="498">
        <f t="shared" si="1801"/>
        <v>0</v>
      </c>
      <c r="AV5199" s="498">
        <f t="shared" si="1802"/>
        <v>0</v>
      </c>
      <c r="AW5199" s="498">
        <f t="shared" si="1803"/>
        <v>0</v>
      </c>
      <c r="AX5199" s="498">
        <f t="shared" si="1804"/>
        <v>0</v>
      </c>
      <c r="AY5199" s="498">
        <f t="shared" si="1805"/>
        <v>0</v>
      </c>
      <c r="BB5199" s="498" t="str">
        <f t="shared" si="1806"/>
        <v/>
      </c>
      <c r="BC5199" s="743" t="str">
        <f t="shared" si="1807"/>
        <v/>
      </c>
      <c r="BD5199" s="743" t="str">
        <f t="shared" si="1808"/>
        <v/>
      </c>
      <c r="BE5199" s="743" t="str">
        <f>IF(D5199="","",VLOOKUP(D5199,'General Basis'!$J$39:$K$46,2,0))</f>
        <v/>
      </c>
      <c r="BF5199" s="744" t="str">
        <f>IF(D5199="","",VLOOKUP(D5199,'General Basis'!$J$39:$L$46,3,0))</f>
        <v/>
      </c>
      <c r="BG5199" s="744" t="str">
        <f t="shared" si="1815"/>
        <v/>
      </c>
      <c r="BH5199" s="744" t="str">
        <f>IF(G5199="","",IF(BF5199="Abu Dhabi",IF(G5199&lt;18,'General Basis'!$C$39,IF(G5199&lt;41,'General Basis'!$C$40,IF(G5199&lt;60,'General Basis'!$C$41,IF(G5199&lt;65,'General Basis'!$C$42,'General Basis'!$C$43)))),IF(G5199&lt;11,'General Basis'!$B$39,IF(G5199&lt;18,'General Basis'!$B$40,IF(G5199&lt;26,'General Basis'!$B$41,IF(G5199&lt;31,'General Basis'!$B$42,IF(G5199&lt;36,'General Basis'!$B$43,IF(G5199&lt;41,'General Basis'!$B$44,IF(G5199&lt;46,'General Basis'!$B$45,IF(G5199&lt;51,'General Basis'!$B$46,IF(G5199&lt;56,'General Basis'!$B$47,IF(G5199&lt;60,'General Basis'!$B$48,IF(G5199&lt;65,'General Basis'!$B$49,'General Basis'!$B$50)))))))))))))</f>
        <v/>
      </c>
      <c r="BI5199" s="744" t="str">
        <f t="shared" si="1809"/>
        <v/>
      </c>
      <c r="BJ5199" s="747" t="str">
        <f t="shared" si="1816"/>
        <v/>
      </c>
      <c r="BK5199" s="498" t="str">
        <f t="shared" si="1810"/>
        <v/>
      </c>
      <c r="BL5199" s="498" t="str">
        <f t="shared" si="1811"/>
        <v/>
      </c>
    </row>
    <row r="5200" spans="1:64" x14ac:dyDescent="0.25">
      <c r="A5200" s="762">
        <f t="shared" si="1812"/>
        <v>5195</v>
      </c>
      <c r="B5200" s="229"/>
      <c r="C5200" s="223"/>
      <c r="D5200" s="224"/>
      <c r="E5200" s="225"/>
      <c r="F5200" s="1036" t="str">
        <f t="shared" ref="F5200:F5263" si="1818">IF(C5200="","",IF($B5200="","",((YEAR($F$3)-YEAR($B5200))+(MONTH($F$3)-MONTH($B5200))/12+(DAY($F$3)-DAY($B5200))/(DATE(YEAR($F$3),12,31)-DATE(YEAR($F$3),1,1)+1))))</f>
        <v/>
      </c>
      <c r="G5200" s="1037" t="str">
        <f t="shared" si="1813"/>
        <v/>
      </c>
      <c r="H5200" s="225"/>
      <c r="I5200" s="1013"/>
      <c r="J5200" s="1013"/>
      <c r="K5200" s="1028"/>
      <c r="L5200" s="1035" t="str">
        <f t="shared" si="1817"/>
        <v/>
      </c>
      <c r="S5200" s="498"/>
      <c r="AJ5200" s="498"/>
      <c r="AM5200" s="498">
        <f t="shared" si="1798"/>
        <v>0</v>
      </c>
      <c r="AN5200" s="498">
        <f t="shared" si="1799"/>
        <v>0</v>
      </c>
      <c r="AO5200" s="498">
        <f t="shared" si="1800"/>
        <v>0</v>
      </c>
      <c r="AP5200" s="498">
        <f t="shared" si="1797"/>
        <v>0</v>
      </c>
      <c r="AQ5200" s="498">
        <f t="shared" si="1814"/>
        <v>0</v>
      </c>
      <c r="AU5200" s="498">
        <f t="shared" si="1801"/>
        <v>0</v>
      </c>
      <c r="AV5200" s="498">
        <f t="shared" si="1802"/>
        <v>0</v>
      </c>
      <c r="AW5200" s="498">
        <f t="shared" si="1803"/>
        <v>0</v>
      </c>
      <c r="AX5200" s="498">
        <f t="shared" si="1804"/>
        <v>0</v>
      </c>
      <c r="AY5200" s="498">
        <f t="shared" si="1805"/>
        <v>0</v>
      </c>
      <c r="BB5200" s="498" t="str">
        <f t="shared" si="1806"/>
        <v/>
      </c>
      <c r="BC5200" s="743" t="str">
        <f t="shared" si="1807"/>
        <v/>
      </c>
      <c r="BD5200" s="743" t="str">
        <f t="shared" si="1808"/>
        <v/>
      </c>
      <c r="BE5200" s="743" t="str">
        <f>IF(D5200="","",VLOOKUP(D5200,'General Basis'!$J$39:$K$46,2,0))</f>
        <v/>
      </c>
      <c r="BF5200" s="744" t="str">
        <f>IF(D5200="","",VLOOKUP(D5200,'General Basis'!$J$39:$L$46,3,0))</f>
        <v/>
      </c>
      <c r="BG5200" s="744" t="str">
        <f t="shared" si="1815"/>
        <v/>
      </c>
      <c r="BH5200" s="744" t="str">
        <f>IF(G5200="","",IF(BF5200="Abu Dhabi",IF(G5200&lt;18,'General Basis'!$C$39,IF(G5200&lt;41,'General Basis'!$C$40,IF(G5200&lt;60,'General Basis'!$C$41,IF(G5200&lt;65,'General Basis'!$C$42,'General Basis'!$C$43)))),IF(G5200&lt;11,'General Basis'!$B$39,IF(G5200&lt;18,'General Basis'!$B$40,IF(G5200&lt;26,'General Basis'!$B$41,IF(G5200&lt;31,'General Basis'!$B$42,IF(G5200&lt;36,'General Basis'!$B$43,IF(G5200&lt;41,'General Basis'!$B$44,IF(G5200&lt;46,'General Basis'!$B$45,IF(G5200&lt;51,'General Basis'!$B$46,IF(G5200&lt;56,'General Basis'!$B$47,IF(G5200&lt;60,'General Basis'!$B$48,IF(G5200&lt;65,'General Basis'!$B$49,'General Basis'!$B$50)))))))))))))</f>
        <v/>
      </c>
      <c r="BI5200" s="744" t="str">
        <f t="shared" si="1809"/>
        <v/>
      </c>
      <c r="BJ5200" s="747" t="str">
        <f t="shared" si="1816"/>
        <v/>
      </c>
      <c r="BK5200" s="498" t="str">
        <f t="shared" si="1810"/>
        <v/>
      </c>
      <c r="BL5200" s="498" t="str">
        <f t="shared" si="1811"/>
        <v/>
      </c>
    </row>
    <row r="5201" spans="1:64" x14ac:dyDescent="0.25">
      <c r="A5201" s="762">
        <f t="shared" si="1812"/>
        <v>5196</v>
      </c>
      <c r="B5201" s="229"/>
      <c r="C5201" s="223"/>
      <c r="D5201" s="224"/>
      <c r="E5201" s="225"/>
      <c r="F5201" s="1036" t="str">
        <f t="shared" si="1818"/>
        <v/>
      </c>
      <c r="G5201" s="1037" t="str">
        <f t="shared" si="1813"/>
        <v/>
      </c>
      <c r="H5201" s="225"/>
      <c r="I5201" s="1013"/>
      <c r="J5201" s="1013"/>
      <c r="K5201" s="1028"/>
      <c r="L5201" s="1035" t="str">
        <f t="shared" si="1817"/>
        <v/>
      </c>
      <c r="S5201" s="498"/>
      <c r="AJ5201" s="498"/>
      <c r="AM5201" s="498">
        <f t="shared" si="1798"/>
        <v>0</v>
      </c>
      <c r="AN5201" s="498">
        <f t="shared" si="1799"/>
        <v>0</v>
      </c>
      <c r="AO5201" s="498">
        <f t="shared" si="1800"/>
        <v>0</v>
      </c>
      <c r="AP5201" s="498">
        <f t="shared" si="1797"/>
        <v>0</v>
      </c>
      <c r="AQ5201" s="498">
        <f t="shared" si="1814"/>
        <v>0</v>
      </c>
      <c r="AU5201" s="498">
        <f t="shared" si="1801"/>
        <v>0</v>
      </c>
      <c r="AV5201" s="498">
        <f t="shared" si="1802"/>
        <v>0</v>
      </c>
      <c r="AW5201" s="498">
        <f t="shared" si="1803"/>
        <v>0</v>
      </c>
      <c r="AX5201" s="498">
        <f t="shared" si="1804"/>
        <v>0</v>
      </c>
      <c r="AY5201" s="498">
        <f t="shared" si="1805"/>
        <v>0</v>
      </c>
      <c r="BB5201" s="498" t="str">
        <f t="shared" si="1806"/>
        <v/>
      </c>
      <c r="BC5201" s="743" t="str">
        <f t="shared" si="1807"/>
        <v/>
      </c>
      <c r="BD5201" s="743" t="str">
        <f t="shared" si="1808"/>
        <v/>
      </c>
      <c r="BE5201" s="743" t="str">
        <f>IF(D5201="","",VLOOKUP(D5201,'General Basis'!$J$39:$K$46,2,0))</f>
        <v/>
      </c>
      <c r="BF5201" s="744" t="str">
        <f>IF(D5201="","",VLOOKUP(D5201,'General Basis'!$J$39:$L$46,3,0))</f>
        <v/>
      </c>
      <c r="BG5201" s="744" t="str">
        <f t="shared" si="1815"/>
        <v/>
      </c>
      <c r="BH5201" s="744" t="str">
        <f>IF(G5201="","",IF(BF5201="Abu Dhabi",IF(G5201&lt;18,'General Basis'!$C$39,IF(G5201&lt;41,'General Basis'!$C$40,IF(G5201&lt;60,'General Basis'!$C$41,IF(G5201&lt;65,'General Basis'!$C$42,'General Basis'!$C$43)))),IF(G5201&lt;11,'General Basis'!$B$39,IF(G5201&lt;18,'General Basis'!$B$40,IF(G5201&lt;26,'General Basis'!$B$41,IF(G5201&lt;31,'General Basis'!$B$42,IF(G5201&lt;36,'General Basis'!$B$43,IF(G5201&lt;41,'General Basis'!$B$44,IF(G5201&lt;46,'General Basis'!$B$45,IF(G5201&lt;51,'General Basis'!$B$46,IF(G5201&lt;56,'General Basis'!$B$47,IF(G5201&lt;60,'General Basis'!$B$48,IF(G5201&lt;65,'General Basis'!$B$49,'General Basis'!$B$50)))))))))))))</f>
        <v/>
      </c>
      <c r="BI5201" s="744" t="str">
        <f t="shared" si="1809"/>
        <v/>
      </c>
      <c r="BJ5201" s="747" t="str">
        <f t="shared" si="1816"/>
        <v/>
      </c>
      <c r="BK5201" s="498" t="str">
        <f t="shared" si="1810"/>
        <v/>
      </c>
      <c r="BL5201" s="498" t="str">
        <f t="shared" si="1811"/>
        <v/>
      </c>
    </row>
    <row r="5202" spans="1:64" x14ac:dyDescent="0.25">
      <c r="A5202" s="762">
        <f t="shared" si="1812"/>
        <v>5197</v>
      </c>
      <c r="B5202" s="229"/>
      <c r="C5202" s="223"/>
      <c r="D5202" s="224"/>
      <c r="E5202" s="225"/>
      <c r="F5202" s="1036" t="str">
        <f t="shared" si="1818"/>
        <v/>
      </c>
      <c r="G5202" s="1037" t="str">
        <f t="shared" si="1813"/>
        <v/>
      </c>
      <c r="H5202" s="225"/>
      <c r="I5202" s="1013"/>
      <c r="J5202" s="1013"/>
      <c r="K5202" s="1028"/>
      <c r="L5202" s="1035" t="str">
        <f t="shared" si="1817"/>
        <v/>
      </c>
      <c r="S5202" s="498"/>
      <c r="AJ5202" s="498"/>
      <c r="AM5202" s="498">
        <f t="shared" si="1798"/>
        <v>0</v>
      </c>
      <c r="AN5202" s="498">
        <f t="shared" si="1799"/>
        <v>0</v>
      </c>
      <c r="AO5202" s="498">
        <f t="shared" si="1800"/>
        <v>0</v>
      </c>
      <c r="AP5202" s="498">
        <f t="shared" si="1797"/>
        <v>0</v>
      </c>
      <c r="AQ5202" s="498">
        <f t="shared" si="1814"/>
        <v>0</v>
      </c>
      <c r="AU5202" s="498">
        <f t="shared" si="1801"/>
        <v>0</v>
      </c>
      <c r="AV5202" s="498">
        <f t="shared" si="1802"/>
        <v>0</v>
      </c>
      <c r="AW5202" s="498">
        <f t="shared" si="1803"/>
        <v>0</v>
      </c>
      <c r="AX5202" s="498">
        <f t="shared" si="1804"/>
        <v>0</v>
      </c>
      <c r="AY5202" s="498">
        <f t="shared" si="1805"/>
        <v>0</v>
      </c>
      <c r="BB5202" s="498" t="str">
        <f t="shared" si="1806"/>
        <v/>
      </c>
      <c r="BC5202" s="743" t="str">
        <f t="shared" si="1807"/>
        <v/>
      </c>
      <c r="BD5202" s="743" t="str">
        <f t="shared" si="1808"/>
        <v/>
      </c>
      <c r="BE5202" s="743" t="str">
        <f>IF(D5202="","",VLOOKUP(D5202,'General Basis'!$J$39:$K$46,2,0))</f>
        <v/>
      </c>
      <c r="BF5202" s="744" t="str">
        <f>IF(D5202="","",VLOOKUP(D5202,'General Basis'!$J$39:$L$46,3,0))</f>
        <v/>
      </c>
      <c r="BG5202" s="744" t="str">
        <f t="shared" si="1815"/>
        <v/>
      </c>
      <c r="BH5202" s="744" t="str">
        <f>IF(G5202="","",IF(BF5202="Abu Dhabi",IF(G5202&lt;18,'General Basis'!$C$39,IF(G5202&lt;41,'General Basis'!$C$40,IF(G5202&lt;60,'General Basis'!$C$41,IF(G5202&lt;65,'General Basis'!$C$42,'General Basis'!$C$43)))),IF(G5202&lt;11,'General Basis'!$B$39,IF(G5202&lt;18,'General Basis'!$B$40,IF(G5202&lt;26,'General Basis'!$B$41,IF(G5202&lt;31,'General Basis'!$B$42,IF(G5202&lt;36,'General Basis'!$B$43,IF(G5202&lt;41,'General Basis'!$B$44,IF(G5202&lt;46,'General Basis'!$B$45,IF(G5202&lt;51,'General Basis'!$B$46,IF(G5202&lt;56,'General Basis'!$B$47,IF(G5202&lt;60,'General Basis'!$B$48,IF(G5202&lt;65,'General Basis'!$B$49,'General Basis'!$B$50)))))))))))))</f>
        <v/>
      </c>
      <c r="BI5202" s="744" t="str">
        <f t="shared" si="1809"/>
        <v/>
      </c>
      <c r="BJ5202" s="747" t="str">
        <f t="shared" si="1816"/>
        <v/>
      </c>
      <c r="BK5202" s="498" t="str">
        <f t="shared" si="1810"/>
        <v/>
      </c>
      <c r="BL5202" s="498" t="str">
        <f t="shared" si="1811"/>
        <v/>
      </c>
    </row>
    <row r="5203" spans="1:64" x14ac:dyDescent="0.25">
      <c r="A5203" s="762">
        <f t="shared" si="1812"/>
        <v>5198</v>
      </c>
      <c r="B5203" s="229"/>
      <c r="C5203" s="223"/>
      <c r="D5203" s="224"/>
      <c r="E5203" s="225"/>
      <c r="F5203" s="1036" t="str">
        <f t="shared" si="1818"/>
        <v/>
      </c>
      <c r="G5203" s="1037" t="str">
        <f t="shared" si="1813"/>
        <v/>
      </c>
      <c r="H5203" s="225"/>
      <c r="I5203" s="1013"/>
      <c r="J5203" s="1013"/>
      <c r="K5203" s="1028"/>
      <c r="L5203" s="1035" t="str">
        <f t="shared" si="1817"/>
        <v/>
      </c>
      <c r="S5203" s="498"/>
      <c r="AJ5203" s="498"/>
      <c r="AM5203" s="498">
        <f t="shared" si="1798"/>
        <v>0</v>
      </c>
      <c r="AN5203" s="498">
        <f t="shared" si="1799"/>
        <v>0</v>
      </c>
      <c r="AO5203" s="498">
        <f t="shared" si="1800"/>
        <v>0</v>
      </c>
      <c r="AP5203" s="498">
        <f t="shared" ref="AP5203:AP5266" si="1819">IF(ISBLANK($B5203),0,IF(OR($C5203="M",$C5203="F"),0,1))</f>
        <v>0</v>
      </c>
      <c r="AQ5203" s="498">
        <f t="shared" si="1814"/>
        <v>0</v>
      </c>
      <c r="AU5203" s="498">
        <f t="shared" si="1801"/>
        <v>0</v>
      </c>
      <c r="AV5203" s="498">
        <f t="shared" si="1802"/>
        <v>0</v>
      </c>
      <c r="AW5203" s="498">
        <f t="shared" si="1803"/>
        <v>0</v>
      </c>
      <c r="AX5203" s="498">
        <f t="shared" si="1804"/>
        <v>0</v>
      </c>
      <c r="AY5203" s="498">
        <f t="shared" si="1805"/>
        <v>0</v>
      </c>
      <c r="BB5203" s="498" t="str">
        <f t="shared" si="1806"/>
        <v/>
      </c>
      <c r="BC5203" s="743" t="str">
        <f t="shared" si="1807"/>
        <v/>
      </c>
      <c r="BD5203" s="743" t="str">
        <f t="shared" si="1808"/>
        <v/>
      </c>
      <c r="BE5203" s="743" t="str">
        <f>IF(D5203="","",VLOOKUP(D5203,'General Basis'!$J$39:$K$46,2,0))</f>
        <v/>
      </c>
      <c r="BF5203" s="744" t="str">
        <f>IF(D5203="","",VLOOKUP(D5203,'General Basis'!$J$39:$L$46,3,0))</f>
        <v/>
      </c>
      <c r="BG5203" s="744" t="str">
        <f t="shared" si="1815"/>
        <v/>
      </c>
      <c r="BH5203" s="744" t="str">
        <f>IF(G5203="","",IF(BF5203="Abu Dhabi",IF(G5203&lt;18,'General Basis'!$C$39,IF(G5203&lt;41,'General Basis'!$C$40,IF(G5203&lt;60,'General Basis'!$C$41,IF(G5203&lt;65,'General Basis'!$C$42,'General Basis'!$C$43)))),IF(G5203&lt;11,'General Basis'!$B$39,IF(G5203&lt;18,'General Basis'!$B$40,IF(G5203&lt;26,'General Basis'!$B$41,IF(G5203&lt;31,'General Basis'!$B$42,IF(G5203&lt;36,'General Basis'!$B$43,IF(G5203&lt;41,'General Basis'!$B$44,IF(G5203&lt;46,'General Basis'!$B$45,IF(G5203&lt;51,'General Basis'!$B$46,IF(G5203&lt;56,'General Basis'!$B$47,IF(G5203&lt;60,'General Basis'!$B$48,IF(G5203&lt;65,'General Basis'!$B$49,'General Basis'!$B$50)))))))))))))</f>
        <v/>
      </c>
      <c r="BI5203" s="744" t="str">
        <f t="shared" si="1809"/>
        <v/>
      </c>
      <c r="BJ5203" s="747" t="str">
        <f t="shared" si="1816"/>
        <v/>
      </c>
      <c r="BK5203" s="498" t="str">
        <f t="shared" si="1810"/>
        <v/>
      </c>
      <c r="BL5203" s="498" t="str">
        <f t="shared" si="1811"/>
        <v/>
      </c>
    </row>
    <row r="5204" spans="1:64" x14ac:dyDescent="0.25">
      <c r="A5204" s="762">
        <f t="shared" si="1812"/>
        <v>5199</v>
      </c>
      <c r="B5204" s="229"/>
      <c r="C5204" s="223"/>
      <c r="D5204" s="224"/>
      <c r="E5204" s="225"/>
      <c r="F5204" s="1036" t="str">
        <f t="shared" si="1818"/>
        <v/>
      </c>
      <c r="G5204" s="1037" t="str">
        <f t="shared" si="1813"/>
        <v/>
      </c>
      <c r="H5204" s="225"/>
      <c r="I5204" s="1013"/>
      <c r="J5204" s="1013"/>
      <c r="K5204" s="1028"/>
      <c r="L5204" s="1035" t="str">
        <f t="shared" si="1817"/>
        <v/>
      </c>
      <c r="S5204" s="498"/>
      <c r="AJ5204" s="498"/>
      <c r="AM5204" s="498">
        <f t="shared" si="1798"/>
        <v>0</v>
      </c>
      <c r="AN5204" s="498">
        <f t="shared" si="1799"/>
        <v>0</v>
      </c>
      <c r="AO5204" s="498">
        <f t="shared" si="1800"/>
        <v>0</v>
      </c>
      <c r="AP5204" s="498">
        <f t="shared" si="1819"/>
        <v>0</v>
      </c>
      <c r="AQ5204" s="498">
        <f t="shared" si="1814"/>
        <v>0</v>
      </c>
      <c r="AU5204" s="498">
        <f t="shared" si="1801"/>
        <v>0</v>
      </c>
      <c r="AV5204" s="498">
        <f t="shared" si="1802"/>
        <v>0</v>
      </c>
      <c r="AW5204" s="498">
        <f t="shared" si="1803"/>
        <v>0</v>
      </c>
      <c r="AX5204" s="498">
        <f t="shared" si="1804"/>
        <v>0</v>
      </c>
      <c r="AY5204" s="498">
        <f t="shared" si="1805"/>
        <v>0</v>
      </c>
      <c r="BB5204" s="498" t="str">
        <f t="shared" si="1806"/>
        <v/>
      </c>
      <c r="BC5204" s="743" t="str">
        <f t="shared" si="1807"/>
        <v/>
      </c>
      <c r="BD5204" s="743" t="str">
        <f t="shared" si="1808"/>
        <v/>
      </c>
      <c r="BE5204" s="743" t="str">
        <f>IF(D5204="","",VLOOKUP(D5204,'General Basis'!$J$39:$K$46,2,0))</f>
        <v/>
      </c>
      <c r="BF5204" s="744" t="str">
        <f>IF(D5204="","",VLOOKUP(D5204,'General Basis'!$J$39:$L$46,3,0))</f>
        <v/>
      </c>
      <c r="BG5204" s="744" t="str">
        <f t="shared" si="1815"/>
        <v/>
      </c>
      <c r="BH5204" s="744" t="str">
        <f>IF(G5204="","",IF(BF5204="Abu Dhabi",IF(G5204&lt;18,'General Basis'!$C$39,IF(G5204&lt;41,'General Basis'!$C$40,IF(G5204&lt;60,'General Basis'!$C$41,IF(G5204&lt;65,'General Basis'!$C$42,'General Basis'!$C$43)))),IF(G5204&lt;11,'General Basis'!$B$39,IF(G5204&lt;18,'General Basis'!$B$40,IF(G5204&lt;26,'General Basis'!$B$41,IF(G5204&lt;31,'General Basis'!$B$42,IF(G5204&lt;36,'General Basis'!$B$43,IF(G5204&lt;41,'General Basis'!$B$44,IF(G5204&lt;46,'General Basis'!$B$45,IF(G5204&lt;51,'General Basis'!$B$46,IF(G5204&lt;56,'General Basis'!$B$47,IF(G5204&lt;60,'General Basis'!$B$48,IF(G5204&lt;65,'General Basis'!$B$49,'General Basis'!$B$50)))))))))))))</f>
        <v/>
      </c>
      <c r="BI5204" s="744" t="str">
        <f t="shared" si="1809"/>
        <v/>
      </c>
      <c r="BJ5204" s="747" t="str">
        <f t="shared" si="1816"/>
        <v/>
      </c>
      <c r="BK5204" s="498" t="str">
        <f t="shared" si="1810"/>
        <v/>
      </c>
      <c r="BL5204" s="498" t="str">
        <f t="shared" si="1811"/>
        <v/>
      </c>
    </row>
    <row r="5205" spans="1:64" x14ac:dyDescent="0.25">
      <c r="A5205" s="762">
        <f t="shared" si="1812"/>
        <v>5200</v>
      </c>
      <c r="B5205" s="229"/>
      <c r="C5205" s="223"/>
      <c r="D5205" s="224"/>
      <c r="E5205" s="225"/>
      <c r="F5205" s="1036" t="str">
        <f t="shared" si="1818"/>
        <v/>
      </c>
      <c r="G5205" s="1037" t="str">
        <f t="shared" si="1813"/>
        <v/>
      </c>
      <c r="H5205" s="225"/>
      <c r="I5205" s="1013"/>
      <c r="J5205" s="1013"/>
      <c r="K5205" s="1028"/>
      <c r="L5205" s="1035" t="str">
        <f t="shared" si="1817"/>
        <v/>
      </c>
      <c r="S5205" s="498"/>
      <c r="AJ5205" s="498"/>
      <c r="AM5205" s="498">
        <f t="shared" si="1798"/>
        <v>0</v>
      </c>
      <c r="AN5205" s="498">
        <f t="shared" si="1799"/>
        <v>0</v>
      </c>
      <c r="AO5205" s="498">
        <f t="shared" si="1800"/>
        <v>0</v>
      </c>
      <c r="AP5205" s="498">
        <f t="shared" si="1819"/>
        <v>0</v>
      </c>
      <c r="AQ5205" s="498">
        <f t="shared" si="1814"/>
        <v>0</v>
      </c>
      <c r="AU5205" s="498">
        <f t="shared" si="1801"/>
        <v>0</v>
      </c>
      <c r="AV5205" s="498">
        <f t="shared" si="1802"/>
        <v>0</v>
      </c>
      <c r="AW5205" s="498">
        <f t="shared" si="1803"/>
        <v>0</v>
      </c>
      <c r="AX5205" s="498">
        <f t="shared" si="1804"/>
        <v>0</v>
      </c>
      <c r="AY5205" s="498">
        <f t="shared" si="1805"/>
        <v>0</v>
      </c>
      <c r="BB5205" s="498" t="str">
        <f t="shared" si="1806"/>
        <v/>
      </c>
      <c r="BC5205" s="743" t="str">
        <f t="shared" si="1807"/>
        <v/>
      </c>
      <c r="BD5205" s="743" t="str">
        <f t="shared" si="1808"/>
        <v/>
      </c>
      <c r="BE5205" s="743" t="str">
        <f>IF(D5205="","",VLOOKUP(D5205,'General Basis'!$J$39:$K$46,2,0))</f>
        <v/>
      </c>
      <c r="BF5205" s="744" t="str">
        <f>IF(D5205="","",VLOOKUP(D5205,'General Basis'!$J$39:$L$46,3,0))</f>
        <v/>
      </c>
      <c r="BG5205" s="744" t="str">
        <f t="shared" si="1815"/>
        <v/>
      </c>
      <c r="BH5205" s="744" t="str">
        <f>IF(G5205="","",IF(BF5205="Abu Dhabi",IF(G5205&lt;18,'General Basis'!$C$39,IF(G5205&lt;41,'General Basis'!$C$40,IF(G5205&lt;60,'General Basis'!$C$41,IF(G5205&lt;65,'General Basis'!$C$42,'General Basis'!$C$43)))),IF(G5205&lt;11,'General Basis'!$B$39,IF(G5205&lt;18,'General Basis'!$B$40,IF(G5205&lt;26,'General Basis'!$B$41,IF(G5205&lt;31,'General Basis'!$B$42,IF(G5205&lt;36,'General Basis'!$B$43,IF(G5205&lt;41,'General Basis'!$B$44,IF(G5205&lt;46,'General Basis'!$B$45,IF(G5205&lt;51,'General Basis'!$B$46,IF(G5205&lt;56,'General Basis'!$B$47,IF(G5205&lt;60,'General Basis'!$B$48,IF(G5205&lt;65,'General Basis'!$B$49,'General Basis'!$B$50)))))))))))))</f>
        <v/>
      </c>
      <c r="BI5205" s="744" t="str">
        <f t="shared" si="1809"/>
        <v/>
      </c>
      <c r="BJ5205" s="747" t="str">
        <f t="shared" si="1816"/>
        <v/>
      </c>
      <c r="BK5205" s="498" t="str">
        <f t="shared" si="1810"/>
        <v/>
      </c>
      <c r="BL5205" s="498" t="str">
        <f t="shared" si="1811"/>
        <v/>
      </c>
    </row>
    <row r="5206" spans="1:64" x14ac:dyDescent="0.25">
      <c r="A5206" s="762">
        <f t="shared" si="1812"/>
        <v>5201</v>
      </c>
      <c r="B5206" s="229"/>
      <c r="C5206" s="223"/>
      <c r="D5206" s="224"/>
      <c r="E5206" s="225"/>
      <c r="F5206" s="1036" t="str">
        <f t="shared" si="1818"/>
        <v/>
      </c>
      <c r="G5206" s="1037" t="str">
        <f t="shared" si="1813"/>
        <v/>
      </c>
      <c r="H5206" s="225"/>
      <c r="I5206" s="1013"/>
      <c r="J5206" s="1013"/>
      <c r="K5206" s="1028"/>
      <c r="L5206" s="1035" t="str">
        <f t="shared" si="1817"/>
        <v/>
      </c>
      <c r="S5206" s="498"/>
      <c r="AJ5206" s="498"/>
      <c r="AM5206" s="498">
        <f t="shared" si="1798"/>
        <v>0</v>
      </c>
      <c r="AN5206" s="498">
        <f t="shared" si="1799"/>
        <v>0</v>
      </c>
      <c r="AO5206" s="498">
        <f t="shared" si="1800"/>
        <v>0</v>
      </c>
      <c r="AP5206" s="498">
        <f t="shared" si="1819"/>
        <v>0</v>
      </c>
      <c r="AQ5206" s="498">
        <f t="shared" si="1814"/>
        <v>0</v>
      </c>
      <c r="AU5206" s="498">
        <f t="shared" si="1801"/>
        <v>0</v>
      </c>
      <c r="AV5206" s="498">
        <f t="shared" si="1802"/>
        <v>0</v>
      </c>
      <c r="AW5206" s="498">
        <f t="shared" si="1803"/>
        <v>0</v>
      </c>
      <c r="AX5206" s="498">
        <f t="shared" si="1804"/>
        <v>0</v>
      </c>
      <c r="AY5206" s="498">
        <f t="shared" si="1805"/>
        <v>0</v>
      </c>
      <c r="BB5206" s="498" t="str">
        <f t="shared" si="1806"/>
        <v/>
      </c>
      <c r="BC5206" s="743" t="str">
        <f t="shared" si="1807"/>
        <v/>
      </c>
      <c r="BD5206" s="743" t="str">
        <f t="shared" si="1808"/>
        <v/>
      </c>
      <c r="BE5206" s="743" t="str">
        <f>IF(D5206="","",VLOOKUP(D5206,'General Basis'!$J$39:$K$46,2,0))</f>
        <v/>
      </c>
      <c r="BF5206" s="744" t="str">
        <f>IF(D5206="","",VLOOKUP(D5206,'General Basis'!$J$39:$L$46,3,0))</f>
        <v/>
      </c>
      <c r="BG5206" s="744" t="str">
        <f t="shared" si="1815"/>
        <v/>
      </c>
      <c r="BH5206" s="744" t="str">
        <f>IF(G5206="","",IF(BF5206="Abu Dhabi",IF(G5206&lt;18,'General Basis'!$C$39,IF(G5206&lt;41,'General Basis'!$C$40,IF(G5206&lt;60,'General Basis'!$C$41,IF(G5206&lt;65,'General Basis'!$C$42,'General Basis'!$C$43)))),IF(G5206&lt;11,'General Basis'!$B$39,IF(G5206&lt;18,'General Basis'!$B$40,IF(G5206&lt;26,'General Basis'!$B$41,IF(G5206&lt;31,'General Basis'!$B$42,IF(G5206&lt;36,'General Basis'!$B$43,IF(G5206&lt;41,'General Basis'!$B$44,IF(G5206&lt;46,'General Basis'!$B$45,IF(G5206&lt;51,'General Basis'!$B$46,IF(G5206&lt;56,'General Basis'!$B$47,IF(G5206&lt;60,'General Basis'!$B$48,IF(G5206&lt;65,'General Basis'!$B$49,'General Basis'!$B$50)))))))))))))</f>
        <v/>
      </c>
      <c r="BI5206" s="744" t="str">
        <f t="shared" si="1809"/>
        <v/>
      </c>
      <c r="BJ5206" s="747" t="str">
        <f t="shared" si="1816"/>
        <v/>
      </c>
      <c r="BK5206" s="498" t="str">
        <f t="shared" si="1810"/>
        <v/>
      </c>
      <c r="BL5206" s="498" t="str">
        <f t="shared" si="1811"/>
        <v/>
      </c>
    </row>
    <row r="5207" spans="1:64" x14ac:dyDescent="0.25">
      <c r="A5207" s="762">
        <f t="shared" si="1812"/>
        <v>5202</v>
      </c>
      <c r="B5207" s="229"/>
      <c r="C5207" s="223"/>
      <c r="D5207" s="224"/>
      <c r="E5207" s="225"/>
      <c r="F5207" s="1036" t="str">
        <f t="shared" si="1818"/>
        <v/>
      </c>
      <c r="G5207" s="1037" t="str">
        <f t="shared" si="1813"/>
        <v/>
      </c>
      <c r="H5207" s="225"/>
      <c r="I5207" s="1013"/>
      <c r="J5207" s="1013"/>
      <c r="K5207" s="1028"/>
      <c r="L5207" s="1035" t="str">
        <f t="shared" si="1817"/>
        <v/>
      </c>
      <c r="S5207" s="498"/>
      <c r="AJ5207" s="498"/>
      <c r="AM5207" s="498">
        <f t="shared" si="1798"/>
        <v>0</v>
      </c>
      <c r="AN5207" s="498">
        <f t="shared" si="1799"/>
        <v>0</v>
      </c>
      <c r="AO5207" s="498">
        <f t="shared" si="1800"/>
        <v>0</v>
      </c>
      <c r="AP5207" s="498">
        <f t="shared" si="1819"/>
        <v>0</v>
      </c>
      <c r="AQ5207" s="498">
        <f t="shared" si="1814"/>
        <v>0</v>
      </c>
      <c r="AU5207" s="498">
        <f t="shared" si="1801"/>
        <v>0</v>
      </c>
      <c r="AV5207" s="498">
        <f t="shared" si="1802"/>
        <v>0</v>
      </c>
      <c r="AW5207" s="498">
        <f t="shared" si="1803"/>
        <v>0</v>
      </c>
      <c r="AX5207" s="498">
        <f t="shared" si="1804"/>
        <v>0</v>
      </c>
      <c r="AY5207" s="498">
        <f t="shared" si="1805"/>
        <v>0</v>
      </c>
      <c r="BB5207" s="498" t="str">
        <f t="shared" si="1806"/>
        <v/>
      </c>
      <c r="BC5207" s="743" t="str">
        <f t="shared" si="1807"/>
        <v/>
      </c>
      <c r="BD5207" s="743" t="str">
        <f t="shared" si="1808"/>
        <v/>
      </c>
      <c r="BE5207" s="743" t="str">
        <f>IF(D5207="","",VLOOKUP(D5207,'General Basis'!$J$39:$K$46,2,0))</f>
        <v/>
      </c>
      <c r="BF5207" s="744" t="str">
        <f>IF(D5207="","",VLOOKUP(D5207,'General Basis'!$J$39:$L$46,3,0))</f>
        <v/>
      </c>
      <c r="BG5207" s="744" t="str">
        <f t="shared" si="1815"/>
        <v/>
      </c>
      <c r="BH5207" s="744" t="str">
        <f>IF(G5207="","",IF(BF5207="Abu Dhabi",IF(G5207&lt;18,'General Basis'!$C$39,IF(G5207&lt;41,'General Basis'!$C$40,IF(G5207&lt;60,'General Basis'!$C$41,IF(G5207&lt;65,'General Basis'!$C$42,'General Basis'!$C$43)))),IF(G5207&lt;11,'General Basis'!$B$39,IF(G5207&lt;18,'General Basis'!$B$40,IF(G5207&lt;26,'General Basis'!$B$41,IF(G5207&lt;31,'General Basis'!$B$42,IF(G5207&lt;36,'General Basis'!$B$43,IF(G5207&lt;41,'General Basis'!$B$44,IF(G5207&lt;46,'General Basis'!$B$45,IF(G5207&lt;51,'General Basis'!$B$46,IF(G5207&lt;56,'General Basis'!$B$47,IF(G5207&lt;60,'General Basis'!$B$48,IF(G5207&lt;65,'General Basis'!$B$49,'General Basis'!$B$50)))))))))))))</f>
        <v/>
      </c>
      <c r="BI5207" s="744" t="str">
        <f t="shared" si="1809"/>
        <v/>
      </c>
      <c r="BJ5207" s="747" t="str">
        <f t="shared" si="1816"/>
        <v/>
      </c>
      <c r="BK5207" s="498" t="str">
        <f t="shared" si="1810"/>
        <v/>
      </c>
      <c r="BL5207" s="498" t="str">
        <f t="shared" si="1811"/>
        <v/>
      </c>
    </row>
    <row r="5208" spans="1:64" x14ac:dyDescent="0.25">
      <c r="A5208" s="762">
        <f t="shared" si="1812"/>
        <v>5203</v>
      </c>
      <c r="B5208" s="229"/>
      <c r="C5208" s="223"/>
      <c r="D5208" s="224"/>
      <c r="E5208" s="225"/>
      <c r="F5208" s="1036" t="str">
        <f t="shared" si="1818"/>
        <v/>
      </c>
      <c r="G5208" s="1037" t="str">
        <f t="shared" si="1813"/>
        <v/>
      </c>
      <c r="H5208" s="225"/>
      <c r="I5208" s="1013"/>
      <c r="J5208" s="1013"/>
      <c r="K5208" s="1028"/>
      <c r="L5208" s="1035" t="str">
        <f t="shared" si="1817"/>
        <v/>
      </c>
      <c r="S5208" s="498"/>
      <c r="AJ5208" s="498"/>
      <c r="AM5208" s="498">
        <f t="shared" si="1798"/>
        <v>0</v>
      </c>
      <c r="AN5208" s="498">
        <f t="shared" si="1799"/>
        <v>0</v>
      </c>
      <c r="AO5208" s="498">
        <f t="shared" si="1800"/>
        <v>0</v>
      </c>
      <c r="AP5208" s="498">
        <f t="shared" si="1819"/>
        <v>0</v>
      </c>
      <c r="AQ5208" s="498">
        <f t="shared" si="1814"/>
        <v>0</v>
      </c>
      <c r="AU5208" s="498">
        <f t="shared" si="1801"/>
        <v>0</v>
      </c>
      <c r="AV5208" s="498">
        <f t="shared" si="1802"/>
        <v>0</v>
      </c>
      <c r="AW5208" s="498">
        <f t="shared" si="1803"/>
        <v>0</v>
      </c>
      <c r="AX5208" s="498">
        <f t="shared" si="1804"/>
        <v>0</v>
      </c>
      <c r="AY5208" s="498">
        <f t="shared" si="1805"/>
        <v>0</v>
      </c>
      <c r="BB5208" s="498" t="str">
        <f t="shared" si="1806"/>
        <v/>
      </c>
      <c r="BC5208" s="743" t="str">
        <f t="shared" si="1807"/>
        <v/>
      </c>
      <c r="BD5208" s="743" t="str">
        <f t="shared" si="1808"/>
        <v/>
      </c>
      <c r="BE5208" s="743" t="str">
        <f>IF(D5208="","",VLOOKUP(D5208,'General Basis'!$J$39:$K$46,2,0))</f>
        <v/>
      </c>
      <c r="BF5208" s="744" t="str">
        <f>IF(D5208="","",VLOOKUP(D5208,'General Basis'!$J$39:$L$46,3,0))</f>
        <v/>
      </c>
      <c r="BG5208" s="744" t="str">
        <f t="shared" si="1815"/>
        <v/>
      </c>
      <c r="BH5208" s="744" t="str">
        <f>IF(G5208="","",IF(BF5208="Abu Dhabi",IF(G5208&lt;18,'General Basis'!$C$39,IF(G5208&lt;41,'General Basis'!$C$40,IF(G5208&lt;60,'General Basis'!$C$41,IF(G5208&lt;65,'General Basis'!$C$42,'General Basis'!$C$43)))),IF(G5208&lt;11,'General Basis'!$B$39,IF(G5208&lt;18,'General Basis'!$B$40,IF(G5208&lt;26,'General Basis'!$B$41,IF(G5208&lt;31,'General Basis'!$B$42,IF(G5208&lt;36,'General Basis'!$B$43,IF(G5208&lt;41,'General Basis'!$B$44,IF(G5208&lt;46,'General Basis'!$B$45,IF(G5208&lt;51,'General Basis'!$B$46,IF(G5208&lt;56,'General Basis'!$B$47,IF(G5208&lt;60,'General Basis'!$B$48,IF(G5208&lt;65,'General Basis'!$B$49,'General Basis'!$B$50)))))))))))))</f>
        <v/>
      </c>
      <c r="BI5208" s="744" t="str">
        <f t="shared" si="1809"/>
        <v/>
      </c>
      <c r="BJ5208" s="747" t="str">
        <f t="shared" si="1816"/>
        <v/>
      </c>
      <c r="BK5208" s="498" t="str">
        <f t="shared" si="1810"/>
        <v/>
      </c>
      <c r="BL5208" s="498" t="str">
        <f t="shared" si="1811"/>
        <v/>
      </c>
    </row>
    <row r="5209" spans="1:64" x14ac:dyDescent="0.25">
      <c r="A5209" s="762">
        <f t="shared" si="1812"/>
        <v>5204</v>
      </c>
      <c r="B5209" s="229"/>
      <c r="C5209" s="223"/>
      <c r="D5209" s="224"/>
      <c r="E5209" s="225"/>
      <c r="F5209" s="1036" t="str">
        <f t="shared" si="1818"/>
        <v/>
      </c>
      <c r="G5209" s="1037" t="str">
        <f t="shared" si="1813"/>
        <v/>
      </c>
      <c r="H5209" s="225"/>
      <c r="I5209" s="1013"/>
      <c r="J5209" s="1013"/>
      <c r="K5209" s="1028"/>
      <c r="L5209" s="1035" t="str">
        <f t="shared" si="1817"/>
        <v/>
      </c>
      <c r="S5209" s="498"/>
      <c r="AJ5209" s="498"/>
      <c r="AM5209" s="498">
        <f t="shared" si="1798"/>
        <v>0</v>
      </c>
      <c r="AN5209" s="498">
        <f t="shared" si="1799"/>
        <v>0</v>
      </c>
      <c r="AO5209" s="498">
        <f t="shared" si="1800"/>
        <v>0</v>
      </c>
      <c r="AP5209" s="498">
        <f t="shared" si="1819"/>
        <v>0</v>
      </c>
      <c r="AQ5209" s="498">
        <f t="shared" si="1814"/>
        <v>0</v>
      </c>
      <c r="AU5209" s="498">
        <f t="shared" si="1801"/>
        <v>0</v>
      </c>
      <c r="AV5209" s="498">
        <f t="shared" si="1802"/>
        <v>0</v>
      </c>
      <c r="AW5209" s="498">
        <f t="shared" si="1803"/>
        <v>0</v>
      </c>
      <c r="AX5209" s="498">
        <f t="shared" si="1804"/>
        <v>0</v>
      </c>
      <c r="AY5209" s="498">
        <f t="shared" si="1805"/>
        <v>0</v>
      </c>
      <c r="BB5209" s="498" t="str">
        <f t="shared" si="1806"/>
        <v/>
      </c>
      <c r="BC5209" s="743" t="str">
        <f t="shared" si="1807"/>
        <v/>
      </c>
      <c r="BD5209" s="743" t="str">
        <f t="shared" si="1808"/>
        <v/>
      </c>
      <c r="BE5209" s="743" t="str">
        <f>IF(D5209="","",VLOOKUP(D5209,'General Basis'!$J$39:$K$46,2,0))</f>
        <v/>
      </c>
      <c r="BF5209" s="744" t="str">
        <f>IF(D5209="","",VLOOKUP(D5209,'General Basis'!$J$39:$L$46,3,0))</f>
        <v/>
      </c>
      <c r="BG5209" s="744" t="str">
        <f t="shared" si="1815"/>
        <v/>
      </c>
      <c r="BH5209" s="744" t="str">
        <f>IF(G5209="","",IF(BF5209="Abu Dhabi",IF(G5209&lt;18,'General Basis'!$C$39,IF(G5209&lt;41,'General Basis'!$C$40,IF(G5209&lt;60,'General Basis'!$C$41,IF(G5209&lt;65,'General Basis'!$C$42,'General Basis'!$C$43)))),IF(G5209&lt;11,'General Basis'!$B$39,IF(G5209&lt;18,'General Basis'!$B$40,IF(G5209&lt;26,'General Basis'!$B$41,IF(G5209&lt;31,'General Basis'!$B$42,IF(G5209&lt;36,'General Basis'!$B$43,IF(G5209&lt;41,'General Basis'!$B$44,IF(G5209&lt;46,'General Basis'!$B$45,IF(G5209&lt;51,'General Basis'!$B$46,IF(G5209&lt;56,'General Basis'!$B$47,IF(G5209&lt;60,'General Basis'!$B$48,IF(G5209&lt;65,'General Basis'!$B$49,'General Basis'!$B$50)))))))))))))</f>
        <v/>
      </c>
      <c r="BI5209" s="744" t="str">
        <f t="shared" si="1809"/>
        <v/>
      </c>
      <c r="BJ5209" s="747" t="str">
        <f t="shared" si="1816"/>
        <v/>
      </c>
      <c r="BK5209" s="498" t="str">
        <f t="shared" si="1810"/>
        <v/>
      </c>
      <c r="BL5209" s="498" t="str">
        <f t="shared" si="1811"/>
        <v/>
      </c>
    </row>
    <row r="5210" spans="1:64" x14ac:dyDescent="0.25">
      <c r="A5210" s="762">
        <f t="shared" si="1812"/>
        <v>5205</v>
      </c>
      <c r="B5210" s="229"/>
      <c r="C5210" s="223"/>
      <c r="D5210" s="224"/>
      <c r="E5210" s="225"/>
      <c r="F5210" s="1036" t="str">
        <f t="shared" si="1818"/>
        <v/>
      </c>
      <c r="G5210" s="1037" t="str">
        <f t="shared" si="1813"/>
        <v/>
      </c>
      <c r="H5210" s="225"/>
      <c r="I5210" s="1013"/>
      <c r="J5210" s="1013"/>
      <c r="K5210" s="1028"/>
      <c r="L5210" s="1035" t="str">
        <f t="shared" si="1817"/>
        <v/>
      </c>
      <c r="S5210" s="498"/>
      <c r="AJ5210" s="498"/>
      <c r="AM5210" s="498">
        <f t="shared" si="1798"/>
        <v>0</v>
      </c>
      <c r="AN5210" s="498">
        <f t="shared" si="1799"/>
        <v>0</v>
      </c>
      <c r="AO5210" s="498">
        <f t="shared" si="1800"/>
        <v>0</v>
      </c>
      <c r="AP5210" s="498">
        <f t="shared" si="1819"/>
        <v>0</v>
      </c>
      <c r="AQ5210" s="498">
        <f t="shared" si="1814"/>
        <v>0</v>
      </c>
      <c r="AU5210" s="498">
        <f t="shared" si="1801"/>
        <v>0</v>
      </c>
      <c r="AV5210" s="498">
        <f t="shared" si="1802"/>
        <v>0</v>
      </c>
      <c r="AW5210" s="498">
        <f t="shared" si="1803"/>
        <v>0</v>
      </c>
      <c r="AX5210" s="498">
        <f t="shared" si="1804"/>
        <v>0</v>
      </c>
      <c r="AY5210" s="498">
        <f t="shared" si="1805"/>
        <v>0</v>
      </c>
      <c r="BB5210" s="498" t="str">
        <f t="shared" si="1806"/>
        <v/>
      </c>
      <c r="BC5210" s="743" t="str">
        <f t="shared" si="1807"/>
        <v/>
      </c>
      <c r="BD5210" s="743" t="str">
        <f t="shared" si="1808"/>
        <v/>
      </c>
      <c r="BE5210" s="743" t="str">
        <f>IF(D5210="","",VLOOKUP(D5210,'General Basis'!$J$39:$K$46,2,0))</f>
        <v/>
      </c>
      <c r="BF5210" s="744" t="str">
        <f>IF(D5210="","",VLOOKUP(D5210,'General Basis'!$J$39:$L$46,3,0))</f>
        <v/>
      </c>
      <c r="BG5210" s="744" t="str">
        <f t="shared" si="1815"/>
        <v/>
      </c>
      <c r="BH5210" s="744" t="str">
        <f>IF(G5210="","",IF(BF5210="Abu Dhabi",IF(G5210&lt;18,'General Basis'!$C$39,IF(G5210&lt;41,'General Basis'!$C$40,IF(G5210&lt;60,'General Basis'!$C$41,IF(G5210&lt;65,'General Basis'!$C$42,'General Basis'!$C$43)))),IF(G5210&lt;11,'General Basis'!$B$39,IF(G5210&lt;18,'General Basis'!$B$40,IF(G5210&lt;26,'General Basis'!$B$41,IF(G5210&lt;31,'General Basis'!$B$42,IF(G5210&lt;36,'General Basis'!$B$43,IF(G5210&lt;41,'General Basis'!$B$44,IF(G5210&lt;46,'General Basis'!$B$45,IF(G5210&lt;51,'General Basis'!$B$46,IF(G5210&lt;56,'General Basis'!$B$47,IF(G5210&lt;60,'General Basis'!$B$48,IF(G5210&lt;65,'General Basis'!$B$49,'General Basis'!$B$50)))))))))))))</f>
        <v/>
      </c>
      <c r="BI5210" s="744" t="str">
        <f t="shared" si="1809"/>
        <v/>
      </c>
      <c r="BJ5210" s="747" t="str">
        <f t="shared" si="1816"/>
        <v/>
      </c>
      <c r="BK5210" s="498" t="str">
        <f t="shared" si="1810"/>
        <v/>
      </c>
      <c r="BL5210" s="498" t="str">
        <f t="shared" si="1811"/>
        <v/>
      </c>
    </row>
    <row r="5211" spans="1:64" x14ac:dyDescent="0.25">
      <c r="A5211" s="762">
        <f t="shared" si="1812"/>
        <v>5206</v>
      </c>
      <c r="B5211" s="229"/>
      <c r="C5211" s="223"/>
      <c r="D5211" s="224"/>
      <c r="E5211" s="225"/>
      <c r="F5211" s="1036" t="str">
        <f t="shared" si="1818"/>
        <v/>
      </c>
      <c r="G5211" s="1037" t="str">
        <f t="shared" si="1813"/>
        <v/>
      </c>
      <c r="H5211" s="225"/>
      <c r="I5211" s="1013"/>
      <c r="J5211" s="1013"/>
      <c r="K5211" s="1028"/>
      <c r="L5211" s="1035" t="str">
        <f t="shared" si="1817"/>
        <v/>
      </c>
      <c r="S5211" s="498"/>
      <c r="AJ5211" s="498"/>
      <c r="AM5211" s="498">
        <f t="shared" si="1798"/>
        <v>0</v>
      </c>
      <c r="AN5211" s="498">
        <f t="shared" si="1799"/>
        <v>0</v>
      </c>
      <c r="AO5211" s="498">
        <f t="shared" si="1800"/>
        <v>0</v>
      </c>
      <c r="AP5211" s="498">
        <f t="shared" si="1819"/>
        <v>0</v>
      </c>
      <c r="AQ5211" s="498">
        <f t="shared" si="1814"/>
        <v>0</v>
      </c>
      <c r="AU5211" s="498">
        <f t="shared" si="1801"/>
        <v>0</v>
      </c>
      <c r="AV5211" s="498">
        <f t="shared" si="1802"/>
        <v>0</v>
      </c>
      <c r="AW5211" s="498">
        <f t="shared" si="1803"/>
        <v>0</v>
      </c>
      <c r="AX5211" s="498">
        <f t="shared" si="1804"/>
        <v>0</v>
      </c>
      <c r="AY5211" s="498">
        <f t="shared" si="1805"/>
        <v>0</v>
      </c>
      <c r="BB5211" s="498" t="str">
        <f t="shared" si="1806"/>
        <v/>
      </c>
      <c r="BC5211" s="743" t="str">
        <f t="shared" si="1807"/>
        <v/>
      </c>
      <c r="BD5211" s="743" t="str">
        <f t="shared" si="1808"/>
        <v/>
      </c>
      <c r="BE5211" s="743" t="str">
        <f>IF(D5211="","",VLOOKUP(D5211,'General Basis'!$J$39:$K$46,2,0))</f>
        <v/>
      </c>
      <c r="BF5211" s="744" t="str">
        <f>IF(D5211="","",VLOOKUP(D5211,'General Basis'!$J$39:$L$46,3,0))</f>
        <v/>
      </c>
      <c r="BG5211" s="744" t="str">
        <f t="shared" si="1815"/>
        <v/>
      </c>
      <c r="BH5211" s="744" t="str">
        <f>IF(G5211="","",IF(BF5211="Abu Dhabi",IF(G5211&lt;18,'General Basis'!$C$39,IF(G5211&lt;41,'General Basis'!$C$40,IF(G5211&lt;60,'General Basis'!$C$41,IF(G5211&lt;65,'General Basis'!$C$42,'General Basis'!$C$43)))),IF(G5211&lt;11,'General Basis'!$B$39,IF(G5211&lt;18,'General Basis'!$B$40,IF(G5211&lt;26,'General Basis'!$B$41,IF(G5211&lt;31,'General Basis'!$B$42,IF(G5211&lt;36,'General Basis'!$B$43,IF(G5211&lt;41,'General Basis'!$B$44,IF(G5211&lt;46,'General Basis'!$B$45,IF(G5211&lt;51,'General Basis'!$B$46,IF(G5211&lt;56,'General Basis'!$B$47,IF(G5211&lt;60,'General Basis'!$B$48,IF(G5211&lt;65,'General Basis'!$B$49,'General Basis'!$B$50)))))))))))))</f>
        <v/>
      </c>
      <c r="BI5211" s="744" t="str">
        <f t="shared" si="1809"/>
        <v/>
      </c>
      <c r="BJ5211" s="747" t="str">
        <f t="shared" si="1816"/>
        <v/>
      </c>
      <c r="BK5211" s="498" t="str">
        <f t="shared" si="1810"/>
        <v/>
      </c>
      <c r="BL5211" s="498" t="str">
        <f t="shared" si="1811"/>
        <v/>
      </c>
    </row>
    <row r="5212" spans="1:64" x14ac:dyDescent="0.25">
      <c r="A5212" s="762">
        <f t="shared" si="1812"/>
        <v>5207</v>
      </c>
      <c r="B5212" s="229"/>
      <c r="C5212" s="223"/>
      <c r="D5212" s="224"/>
      <c r="E5212" s="225"/>
      <c r="F5212" s="1036" t="str">
        <f t="shared" si="1818"/>
        <v/>
      </c>
      <c r="G5212" s="1037" t="str">
        <f t="shared" si="1813"/>
        <v/>
      </c>
      <c r="H5212" s="225"/>
      <c r="I5212" s="1013"/>
      <c r="J5212" s="1013"/>
      <c r="K5212" s="1028"/>
      <c r="L5212" s="1035" t="str">
        <f t="shared" si="1817"/>
        <v/>
      </c>
      <c r="S5212" s="498"/>
      <c r="AJ5212" s="498"/>
      <c r="AM5212" s="498">
        <f t="shared" si="1798"/>
        <v>0</v>
      </c>
      <c r="AN5212" s="498">
        <f t="shared" si="1799"/>
        <v>0</v>
      </c>
      <c r="AO5212" s="498">
        <f t="shared" si="1800"/>
        <v>0</v>
      </c>
      <c r="AP5212" s="498">
        <f t="shared" si="1819"/>
        <v>0</v>
      </c>
      <c r="AQ5212" s="498">
        <f t="shared" si="1814"/>
        <v>0</v>
      </c>
      <c r="AU5212" s="498">
        <f t="shared" si="1801"/>
        <v>0</v>
      </c>
      <c r="AV5212" s="498">
        <f t="shared" si="1802"/>
        <v>0</v>
      </c>
      <c r="AW5212" s="498">
        <f t="shared" si="1803"/>
        <v>0</v>
      </c>
      <c r="AX5212" s="498">
        <f t="shared" si="1804"/>
        <v>0</v>
      </c>
      <c r="AY5212" s="498">
        <f t="shared" si="1805"/>
        <v>0</v>
      </c>
      <c r="BB5212" s="498" t="str">
        <f t="shared" si="1806"/>
        <v/>
      </c>
      <c r="BC5212" s="743" t="str">
        <f t="shared" si="1807"/>
        <v/>
      </c>
      <c r="BD5212" s="743" t="str">
        <f t="shared" si="1808"/>
        <v/>
      </c>
      <c r="BE5212" s="743" t="str">
        <f>IF(D5212="","",VLOOKUP(D5212,'General Basis'!$J$39:$K$46,2,0))</f>
        <v/>
      </c>
      <c r="BF5212" s="744" t="str">
        <f>IF(D5212="","",VLOOKUP(D5212,'General Basis'!$J$39:$L$46,3,0))</f>
        <v/>
      </c>
      <c r="BG5212" s="744" t="str">
        <f t="shared" si="1815"/>
        <v/>
      </c>
      <c r="BH5212" s="744" t="str">
        <f>IF(G5212="","",IF(BF5212="Abu Dhabi",IF(G5212&lt;18,'General Basis'!$C$39,IF(G5212&lt;41,'General Basis'!$C$40,IF(G5212&lt;60,'General Basis'!$C$41,IF(G5212&lt;65,'General Basis'!$C$42,'General Basis'!$C$43)))),IF(G5212&lt;11,'General Basis'!$B$39,IF(G5212&lt;18,'General Basis'!$B$40,IF(G5212&lt;26,'General Basis'!$B$41,IF(G5212&lt;31,'General Basis'!$B$42,IF(G5212&lt;36,'General Basis'!$B$43,IF(G5212&lt;41,'General Basis'!$B$44,IF(G5212&lt;46,'General Basis'!$B$45,IF(G5212&lt;51,'General Basis'!$B$46,IF(G5212&lt;56,'General Basis'!$B$47,IF(G5212&lt;60,'General Basis'!$B$48,IF(G5212&lt;65,'General Basis'!$B$49,'General Basis'!$B$50)))))))))))))</f>
        <v/>
      </c>
      <c r="BI5212" s="744" t="str">
        <f t="shared" si="1809"/>
        <v/>
      </c>
      <c r="BJ5212" s="747" t="str">
        <f t="shared" si="1816"/>
        <v/>
      </c>
      <c r="BK5212" s="498" t="str">
        <f t="shared" si="1810"/>
        <v/>
      </c>
      <c r="BL5212" s="498" t="str">
        <f t="shared" si="1811"/>
        <v/>
      </c>
    </row>
    <row r="5213" spans="1:64" x14ac:dyDescent="0.25">
      <c r="A5213" s="762">
        <f t="shared" si="1812"/>
        <v>5208</v>
      </c>
      <c r="B5213" s="229"/>
      <c r="C5213" s="223"/>
      <c r="D5213" s="224"/>
      <c r="E5213" s="225"/>
      <c r="F5213" s="1036" t="str">
        <f t="shared" si="1818"/>
        <v/>
      </c>
      <c r="G5213" s="1037" t="str">
        <f t="shared" si="1813"/>
        <v/>
      </c>
      <c r="H5213" s="225"/>
      <c r="I5213" s="1013"/>
      <c r="J5213" s="1013"/>
      <c r="K5213" s="1028"/>
      <c r="L5213" s="1035" t="str">
        <f t="shared" si="1817"/>
        <v/>
      </c>
      <c r="S5213" s="498"/>
      <c r="AJ5213" s="498"/>
      <c r="AM5213" s="498">
        <f t="shared" si="1798"/>
        <v>0</v>
      </c>
      <c r="AN5213" s="498">
        <f t="shared" si="1799"/>
        <v>0</v>
      </c>
      <c r="AO5213" s="498">
        <f t="shared" si="1800"/>
        <v>0</v>
      </c>
      <c r="AP5213" s="498">
        <f t="shared" si="1819"/>
        <v>0</v>
      </c>
      <c r="AQ5213" s="498">
        <f t="shared" si="1814"/>
        <v>0</v>
      </c>
      <c r="AU5213" s="498">
        <f t="shared" si="1801"/>
        <v>0</v>
      </c>
      <c r="AV5213" s="498">
        <f t="shared" si="1802"/>
        <v>0</v>
      </c>
      <c r="AW5213" s="498">
        <f t="shared" si="1803"/>
        <v>0</v>
      </c>
      <c r="AX5213" s="498">
        <f t="shared" si="1804"/>
        <v>0</v>
      </c>
      <c r="AY5213" s="498">
        <f t="shared" si="1805"/>
        <v>0</v>
      </c>
      <c r="BB5213" s="498" t="str">
        <f t="shared" si="1806"/>
        <v/>
      </c>
      <c r="BC5213" s="743" t="str">
        <f t="shared" si="1807"/>
        <v/>
      </c>
      <c r="BD5213" s="743" t="str">
        <f t="shared" si="1808"/>
        <v/>
      </c>
      <c r="BE5213" s="743" t="str">
        <f>IF(D5213="","",VLOOKUP(D5213,'General Basis'!$J$39:$K$46,2,0))</f>
        <v/>
      </c>
      <c r="BF5213" s="744" t="str">
        <f>IF(D5213="","",VLOOKUP(D5213,'General Basis'!$J$39:$L$46,3,0))</f>
        <v/>
      </c>
      <c r="BG5213" s="744" t="str">
        <f t="shared" si="1815"/>
        <v/>
      </c>
      <c r="BH5213" s="744" t="str">
        <f>IF(G5213="","",IF(BF5213="Abu Dhabi",IF(G5213&lt;18,'General Basis'!$C$39,IF(G5213&lt;41,'General Basis'!$C$40,IF(G5213&lt;60,'General Basis'!$C$41,IF(G5213&lt;65,'General Basis'!$C$42,'General Basis'!$C$43)))),IF(G5213&lt;11,'General Basis'!$B$39,IF(G5213&lt;18,'General Basis'!$B$40,IF(G5213&lt;26,'General Basis'!$B$41,IF(G5213&lt;31,'General Basis'!$B$42,IF(G5213&lt;36,'General Basis'!$B$43,IF(G5213&lt;41,'General Basis'!$B$44,IF(G5213&lt;46,'General Basis'!$B$45,IF(G5213&lt;51,'General Basis'!$B$46,IF(G5213&lt;56,'General Basis'!$B$47,IF(G5213&lt;60,'General Basis'!$B$48,IF(G5213&lt;65,'General Basis'!$B$49,'General Basis'!$B$50)))))))))))))</f>
        <v/>
      </c>
      <c r="BI5213" s="744" t="str">
        <f t="shared" si="1809"/>
        <v/>
      </c>
      <c r="BJ5213" s="747" t="str">
        <f t="shared" si="1816"/>
        <v/>
      </c>
      <c r="BK5213" s="498" t="str">
        <f t="shared" si="1810"/>
        <v/>
      </c>
      <c r="BL5213" s="498" t="str">
        <f t="shared" si="1811"/>
        <v/>
      </c>
    </row>
    <row r="5214" spans="1:64" x14ac:dyDescent="0.25">
      <c r="A5214" s="762">
        <f t="shared" si="1812"/>
        <v>5209</v>
      </c>
      <c r="B5214" s="229"/>
      <c r="C5214" s="223"/>
      <c r="D5214" s="224"/>
      <c r="E5214" s="225"/>
      <c r="F5214" s="1036" t="str">
        <f t="shared" si="1818"/>
        <v/>
      </c>
      <c r="G5214" s="1037" t="str">
        <f t="shared" si="1813"/>
        <v/>
      </c>
      <c r="H5214" s="225"/>
      <c r="I5214" s="1013"/>
      <c r="J5214" s="1013"/>
      <c r="K5214" s="1028"/>
      <c r="L5214" s="1035" t="str">
        <f t="shared" si="1817"/>
        <v/>
      </c>
      <c r="S5214" s="498"/>
      <c r="AJ5214" s="498"/>
      <c r="AM5214" s="498">
        <f t="shared" si="1798"/>
        <v>0</v>
      </c>
      <c r="AN5214" s="498">
        <f t="shared" si="1799"/>
        <v>0</v>
      </c>
      <c r="AO5214" s="498">
        <f t="shared" si="1800"/>
        <v>0</v>
      </c>
      <c r="AP5214" s="498">
        <f t="shared" si="1819"/>
        <v>0</v>
      </c>
      <c r="AQ5214" s="498">
        <f t="shared" si="1814"/>
        <v>0</v>
      </c>
      <c r="AU5214" s="498">
        <f t="shared" si="1801"/>
        <v>0</v>
      </c>
      <c r="AV5214" s="498">
        <f t="shared" si="1802"/>
        <v>0</v>
      </c>
      <c r="AW5214" s="498">
        <f t="shared" si="1803"/>
        <v>0</v>
      </c>
      <c r="AX5214" s="498">
        <f t="shared" si="1804"/>
        <v>0</v>
      </c>
      <c r="AY5214" s="498">
        <f t="shared" si="1805"/>
        <v>0</v>
      </c>
      <c r="BB5214" s="498" t="str">
        <f t="shared" si="1806"/>
        <v/>
      </c>
      <c r="BC5214" s="743" t="str">
        <f t="shared" si="1807"/>
        <v/>
      </c>
      <c r="BD5214" s="743" t="str">
        <f t="shared" si="1808"/>
        <v/>
      </c>
      <c r="BE5214" s="743" t="str">
        <f>IF(D5214="","",VLOOKUP(D5214,'General Basis'!$J$39:$K$46,2,0))</f>
        <v/>
      </c>
      <c r="BF5214" s="744" t="str">
        <f>IF(D5214="","",VLOOKUP(D5214,'General Basis'!$J$39:$L$46,3,0))</f>
        <v/>
      </c>
      <c r="BG5214" s="744" t="str">
        <f t="shared" si="1815"/>
        <v/>
      </c>
      <c r="BH5214" s="744" t="str">
        <f>IF(G5214="","",IF(BF5214="Abu Dhabi",IF(G5214&lt;18,'General Basis'!$C$39,IF(G5214&lt;41,'General Basis'!$C$40,IF(G5214&lt;60,'General Basis'!$C$41,IF(G5214&lt;65,'General Basis'!$C$42,'General Basis'!$C$43)))),IF(G5214&lt;11,'General Basis'!$B$39,IF(G5214&lt;18,'General Basis'!$B$40,IF(G5214&lt;26,'General Basis'!$B$41,IF(G5214&lt;31,'General Basis'!$B$42,IF(G5214&lt;36,'General Basis'!$B$43,IF(G5214&lt;41,'General Basis'!$B$44,IF(G5214&lt;46,'General Basis'!$B$45,IF(G5214&lt;51,'General Basis'!$B$46,IF(G5214&lt;56,'General Basis'!$B$47,IF(G5214&lt;60,'General Basis'!$B$48,IF(G5214&lt;65,'General Basis'!$B$49,'General Basis'!$B$50)))))))))))))</f>
        <v/>
      </c>
      <c r="BI5214" s="744" t="str">
        <f t="shared" si="1809"/>
        <v/>
      </c>
      <c r="BJ5214" s="747" t="str">
        <f t="shared" si="1816"/>
        <v/>
      </c>
      <c r="BK5214" s="498" t="str">
        <f t="shared" si="1810"/>
        <v/>
      </c>
      <c r="BL5214" s="498" t="str">
        <f t="shared" si="1811"/>
        <v/>
      </c>
    </row>
    <row r="5215" spans="1:64" x14ac:dyDescent="0.25">
      <c r="A5215" s="762">
        <f t="shared" si="1812"/>
        <v>5210</v>
      </c>
      <c r="B5215" s="229"/>
      <c r="C5215" s="223"/>
      <c r="D5215" s="224"/>
      <c r="E5215" s="225"/>
      <c r="F5215" s="1036" t="str">
        <f t="shared" si="1818"/>
        <v/>
      </c>
      <c r="G5215" s="1037" t="str">
        <f t="shared" si="1813"/>
        <v/>
      </c>
      <c r="H5215" s="225"/>
      <c r="I5215" s="1013"/>
      <c r="J5215" s="1013"/>
      <c r="K5215" s="1028"/>
      <c r="L5215" s="1035" t="str">
        <f t="shared" si="1817"/>
        <v/>
      </c>
      <c r="S5215" s="498"/>
      <c r="AJ5215" s="498"/>
      <c r="AM5215" s="498">
        <f t="shared" si="1798"/>
        <v>0</v>
      </c>
      <c r="AN5215" s="498">
        <f t="shared" si="1799"/>
        <v>0</v>
      </c>
      <c r="AO5215" s="498">
        <f t="shared" si="1800"/>
        <v>0</v>
      </c>
      <c r="AP5215" s="498">
        <f t="shared" si="1819"/>
        <v>0</v>
      </c>
      <c r="AQ5215" s="498">
        <f t="shared" si="1814"/>
        <v>0</v>
      </c>
      <c r="AU5215" s="498">
        <f t="shared" si="1801"/>
        <v>0</v>
      </c>
      <c r="AV5215" s="498">
        <f t="shared" si="1802"/>
        <v>0</v>
      </c>
      <c r="AW5215" s="498">
        <f t="shared" si="1803"/>
        <v>0</v>
      </c>
      <c r="AX5215" s="498">
        <f t="shared" si="1804"/>
        <v>0</v>
      </c>
      <c r="AY5215" s="498">
        <f t="shared" si="1805"/>
        <v>0</v>
      </c>
      <c r="BB5215" s="498" t="str">
        <f t="shared" si="1806"/>
        <v/>
      </c>
      <c r="BC5215" s="743" t="str">
        <f t="shared" si="1807"/>
        <v/>
      </c>
      <c r="BD5215" s="743" t="str">
        <f t="shared" si="1808"/>
        <v/>
      </c>
      <c r="BE5215" s="743" t="str">
        <f>IF(D5215="","",VLOOKUP(D5215,'General Basis'!$J$39:$K$46,2,0))</f>
        <v/>
      </c>
      <c r="BF5215" s="744" t="str">
        <f>IF(D5215="","",VLOOKUP(D5215,'General Basis'!$J$39:$L$46,3,0))</f>
        <v/>
      </c>
      <c r="BG5215" s="744" t="str">
        <f t="shared" si="1815"/>
        <v/>
      </c>
      <c r="BH5215" s="744" t="str">
        <f>IF(G5215="","",IF(BF5215="Abu Dhabi",IF(G5215&lt;18,'General Basis'!$C$39,IF(G5215&lt;41,'General Basis'!$C$40,IF(G5215&lt;60,'General Basis'!$C$41,IF(G5215&lt;65,'General Basis'!$C$42,'General Basis'!$C$43)))),IF(G5215&lt;11,'General Basis'!$B$39,IF(G5215&lt;18,'General Basis'!$B$40,IF(G5215&lt;26,'General Basis'!$B$41,IF(G5215&lt;31,'General Basis'!$B$42,IF(G5215&lt;36,'General Basis'!$B$43,IF(G5215&lt;41,'General Basis'!$B$44,IF(G5215&lt;46,'General Basis'!$B$45,IF(G5215&lt;51,'General Basis'!$B$46,IF(G5215&lt;56,'General Basis'!$B$47,IF(G5215&lt;60,'General Basis'!$B$48,IF(G5215&lt;65,'General Basis'!$B$49,'General Basis'!$B$50)))))))))))))</f>
        <v/>
      </c>
      <c r="BI5215" s="744" t="str">
        <f t="shared" si="1809"/>
        <v/>
      </c>
      <c r="BJ5215" s="747" t="str">
        <f t="shared" si="1816"/>
        <v/>
      </c>
      <c r="BK5215" s="498" t="str">
        <f t="shared" si="1810"/>
        <v/>
      </c>
      <c r="BL5215" s="498" t="str">
        <f t="shared" si="1811"/>
        <v/>
      </c>
    </row>
    <row r="5216" spans="1:64" x14ac:dyDescent="0.25">
      <c r="A5216" s="762">
        <f t="shared" si="1812"/>
        <v>5211</v>
      </c>
      <c r="B5216" s="229"/>
      <c r="C5216" s="223"/>
      <c r="D5216" s="224"/>
      <c r="E5216" s="225"/>
      <c r="F5216" s="1036" t="str">
        <f t="shared" si="1818"/>
        <v/>
      </c>
      <c r="G5216" s="1037" t="str">
        <f t="shared" si="1813"/>
        <v/>
      </c>
      <c r="H5216" s="225"/>
      <c r="I5216" s="1013"/>
      <c r="J5216" s="1013"/>
      <c r="K5216" s="1028"/>
      <c r="L5216" s="1035" t="str">
        <f t="shared" si="1817"/>
        <v/>
      </c>
      <c r="S5216" s="498"/>
      <c r="AJ5216" s="498"/>
      <c r="AM5216" s="498">
        <f t="shared" si="1798"/>
        <v>0</v>
      </c>
      <c r="AN5216" s="498">
        <f t="shared" si="1799"/>
        <v>0</v>
      </c>
      <c r="AO5216" s="498">
        <f t="shared" si="1800"/>
        <v>0</v>
      </c>
      <c r="AP5216" s="498">
        <f t="shared" si="1819"/>
        <v>0</v>
      </c>
      <c r="AQ5216" s="498">
        <f t="shared" si="1814"/>
        <v>0</v>
      </c>
      <c r="AU5216" s="498">
        <f t="shared" si="1801"/>
        <v>0</v>
      </c>
      <c r="AV5216" s="498">
        <f t="shared" si="1802"/>
        <v>0</v>
      </c>
      <c r="AW5216" s="498">
        <f t="shared" si="1803"/>
        <v>0</v>
      </c>
      <c r="AX5216" s="498">
        <f t="shared" si="1804"/>
        <v>0</v>
      </c>
      <c r="AY5216" s="498">
        <f t="shared" si="1805"/>
        <v>0</v>
      </c>
      <c r="BB5216" s="498" t="str">
        <f t="shared" si="1806"/>
        <v/>
      </c>
      <c r="BC5216" s="743" t="str">
        <f t="shared" si="1807"/>
        <v/>
      </c>
      <c r="BD5216" s="743" t="str">
        <f t="shared" si="1808"/>
        <v/>
      </c>
      <c r="BE5216" s="743" t="str">
        <f>IF(D5216="","",VLOOKUP(D5216,'General Basis'!$J$39:$K$46,2,0))</f>
        <v/>
      </c>
      <c r="BF5216" s="744" t="str">
        <f>IF(D5216="","",VLOOKUP(D5216,'General Basis'!$J$39:$L$46,3,0))</f>
        <v/>
      </c>
      <c r="BG5216" s="744" t="str">
        <f t="shared" si="1815"/>
        <v/>
      </c>
      <c r="BH5216" s="744" t="str">
        <f>IF(G5216="","",IF(BF5216="Abu Dhabi",IF(G5216&lt;18,'General Basis'!$C$39,IF(G5216&lt;41,'General Basis'!$C$40,IF(G5216&lt;60,'General Basis'!$C$41,IF(G5216&lt;65,'General Basis'!$C$42,'General Basis'!$C$43)))),IF(G5216&lt;11,'General Basis'!$B$39,IF(G5216&lt;18,'General Basis'!$B$40,IF(G5216&lt;26,'General Basis'!$B$41,IF(G5216&lt;31,'General Basis'!$B$42,IF(G5216&lt;36,'General Basis'!$B$43,IF(G5216&lt;41,'General Basis'!$B$44,IF(G5216&lt;46,'General Basis'!$B$45,IF(G5216&lt;51,'General Basis'!$B$46,IF(G5216&lt;56,'General Basis'!$B$47,IF(G5216&lt;60,'General Basis'!$B$48,IF(G5216&lt;65,'General Basis'!$B$49,'General Basis'!$B$50)))))))))))))</f>
        <v/>
      </c>
      <c r="BI5216" s="744" t="str">
        <f t="shared" si="1809"/>
        <v/>
      </c>
      <c r="BJ5216" s="747" t="str">
        <f t="shared" si="1816"/>
        <v/>
      </c>
      <c r="BK5216" s="498" t="str">
        <f t="shared" si="1810"/>
        <v/>
      </c>
      <c r="BL5216" s="498" t="str">
        <f t="shared" si="1811"/>
        <v/>
      </c>
    </row>
    <row r="5217" spans="1:64" x14ac:dyDescent="0.25">
      <c r="A5217" s="762">
        <f t="shared" si="1812"/>
        <v>5212</v>
      </c>
      <c r="B5217" s="229"/>
      <c r="C5217" s="223"/>
      <c r="D5217" s="224"/>
      <c r="E5217" s="225"/>
      <c r="F5217" s="1036" t="str">
        <f t="shared" si="1818"/>
        <v/>
      </c>
      <c r="G5217" s="1037" t="str">
        <f t="shared" si="1813"/>
        <v/>
      </c>
      <c r="H5217" s="225"/>
      <c r="I5217" s="1013"/>
      <c r="J5217" s="1013"/>
      <c r="K5217" s="1028"/>
      <c r="L5217" s="1035" t="str">
        <f t="shared" si="1817"/>
        <v/>
      </c>
      <c r="S5217" s="498"/>
      <c r="AJ5217" s="498"/>
      <c r="AM5217" s="498">
        <f t="shared" si="1798"/>
        <v>0</v>
      </c>
      <c r="AN5217" s="498">
        <f t="shared" si="1799"/>
        <v>0</v>
      </c>
      <c r="AO5217" s="498">
        <f t="shared" si="1800"/>
        <v>0</v>
      </c>
      <c r="AP5217" s="498">
        <f t="shared" si="1819"/>
        <v>0</v>
      </c>
      <c r="AQ5217" s="498">
        <f t="shared" si="1814"/>
        <v>0</v>
      </c>
      <c r="AU5217" s="498">
        <f t="shared" si="1801"/>
        <v>0</v>
      </c>
      <c r="AV5217" s="498">
        <f t="shared" si="1802"/>
        <v>0</v>
      </c>
      <c r="AW5217" s="498">
        <f t="shared" si="1803"/>
        <v>0</v>
      </c>
      <c r="AX5217" s="498">
        <f t="shared" si="1804"/>
        <v>0</v>
      </c>
      <c r="AY5217" s="498">
        <f t="shared" si="1805"/>
        <v>0</v>
      </c>
      <c r="BB5217" s="498" t="str">
        <f t="shared" si="1806"/>
        <v/>
      </c>
      <c r="BC5217" s="743" t="str">
        <f t="shared" si="1807"/>
        <v/>
      </c>
      <c r="BD5217" s="743" t="str">
        <f t="shared" si="1808"/>
        <v/>
      </c>
      <c r="BE5217" s="743" t="str">
        <f>IF(D5217="","",VLOOKUP(D5217,'General Basis'!$J$39:$K$46,2,0))</f>
        <v/>
      </c>
      <c r="BF5217" s="744" t="str">
        <f>IF(D5217="","",VLOOKUP(D5217,'General Basis'!$J$39:$L$46,3,0))</f>
        <v/>
      </c>
      <c r="BG5217" s="744" t="str">
        <f t="shared" si="1815"/>
        <v/>
      </c>
      <c r="BH5217" s="744" t="str">
        <f>IF(G5217="","",IF(BF5217="Abu Dhabi",IF(G5217&lt;18,'General Basis'!$C$39,IF(G5217&lt;41,'General Basis'!$C$40,IF(G5217&lt;60,'General Basis'!$C$41,IF(G5217&lt;65,'General Basis'!$C$42,'General Basis'!$C$43)))),IF(G5217&lt;11,'General Basis'!$B$39,IF(G5217&lt;18,'General Basis'!$B$40,IF(G5217&lt;26,'General Basis'!$B$41,IF(G5217&lt;31,'General Basis'!$B$42,IF(G5217&lt;36,'General Basis'!$B$43,IF(G5217&lt;41,'General Basis'!$B$44,IF(G5217&lt;46,'General Basis'!$B$45,IF(G5217&lt;51,'General Basis'!$B$46,IF(G5217&lt;56,'General Basis'!$B$47,IF(G5217&lt;60,'General Basis'!$B$48,IF(G5217&lt;65,'General Basis'!$B$49,'General Basis'!$B$50)))))))))))))</f>
        <v/>
      </c>
      <c r="BI5217" s="744" t="str">
        <f t="shared" si="1809"/>
        <v/>
      </c>
      <c r="BJ5217" s="747" t="str">
        <f t="shared" si="1816"/>
        <v/>
      </c>
      <c r="BK5217" s="498" t="str">
        <f t="shared" si="1810"/>
        <v/>
      </c>
      <c r="BL5217" s="498" t="str">
        <f t="shared" si="1811"/>
        <v/>
      </c>
    </row>
    <row r="5218" spans="1:64" x14ac:dyDescent="0.25">
      <c r="A5218" s="762">
        <f t="shared" si="1812"/>
        <v>5213</v>
      </c>
      <c r="B5218" s="229"/>
      <c r="C5218" s="223"/>
      <c r="D5218" s="224"/>
      <c r="E5218" s="225"/>
      <c r="F5218" s="1036" t="str">
        <f t="shared" si="1818"/>
        <v/>
      </c>
      <c r="G5218" s="1037" t="str">
        <f t="shared" si="1813"/>
        <v/>
      </c>
      <c r="H5218" s="225"/>
      <c r="I5218" s="1013"/>
      <c r="J5218" s="1013"/>
      <c r="K5218" s="1028"/>
      <c r="L5218" s="1035" t="str">
        <f t="shared" si="1817"/>
        <v/>
      </c>
      <c r="S5218" s="498"/>
      <c r="AJ5218" s="498"/>
      <c r="AM5218" s="498">
        <f t="shared" si="1798"/>
        <v>0</v>
      </c>
      <c r="AN5218" s="498">
        <f t="shared" si="1799"/>
        <v>0</v>
      </c>
      <c r="AO5218" s="498">
        <f t="shared" si="1800"/>
        <v>0</v>
      </c>
      <c r="AP5218" s="498">
        <f t="shared" si="1819"/>
        <v>0</v>
      </c>
      <c r="AQ5218" s="498">
        <f t="shared" si="1814"/>
        <v>0</v>
      </c>
      <c r="AU5218" s="498">
        <f t="shared" si="1801"/>
        <v>0</v>
      </c>
      <c r="AV5218" s="498">
        <f t="shared" si="1802"/>
        <v>0</v>
      </c>
      <c r="AW5218" s="498">
        <f t="shared" si="1803"/>
        <v>0</v>
      </c>
      <c r="AX5218" s="498">
        <f t="shared" si="1804"/>
        <v>0</v>
      </c>
      <c r="AY5218" s="498">
        <f t="shared" si="1805"/>
        <v>0</v>
      </c>
      <c r="BB5218" s="498" t="str">
        <f t="shared" si="1806"/>
        <v/>
      </c>
      <c r="BC5218" s="743" t="str">
        <f t="shared" si="1807"/>
        <v/>
      </c>
      <c r="BD5218" s="743" t="str">
        <f t="shared" si="1808"/>
        <v/>
      </c>
      <c r="BE5218" s="743" t="str">
        <f>IF(D5218="","",VLOOKUP(D5218,'General Basis'!$J$39:$K$46,2,0))</f>
        <v/>
      </c>
      <c r="BF5218" s="744" t="str">
        <f>IF(D5218="","",VLOOKUP(D5218,'General Basis'!$J$39:$L$46,3,0))</f>
        <v/>
      </c>
      <c r="BG5218" s="744" t="str">
        <f t="shared" si="1815"/>
        <v/>
      </c>
      <c r="BH5218" s="744" t="str">
        <f>IF(G5218="","",IF(BF5218="Abu Dhabi",IF(G5218&lt;18,'General Basis'!$C$39,IF(G5218&lt;41,'General Basis'!$C$40,IF(G5218&lt;60,'General Basis'!$C$41,IF(G5218&lt;65,'General Basis'!$C$42,'General Basis'!$C$43)))),IF(G5218&lt;11,'General Basis'!$B$39,IF(G5218&lt;18,'General Basis'!$B$40,IF(G5218&lt;26,'General Basis'!$B$41,IF(G5218&lt;31,'General Basis'!$B$42,IF(G5218&lt;36,'General Basis'!$B$43,IF(G5218&lt;41,'General Basis'!$B$44,IF(G5218&lt;46,'General Basis'!$B$45,IF(G5218&lt;51,'General Basis'!$B$46,IF(G5218&lt;56,'General Basis'!$B$47,IF(G5218&lt;60,'General Basis'!$B$48,IF(G5218&lt;65,'General Basis'!$B$49,'General Basis'!$B$50)))))))))))))</f>
        <v/>
      </c>
      <c r="BI5218" s="744" t="str">
        <f t="shared" si="1809"/>
        <v/>
      </c>
      <c r="BJ5218" s="747" t="str">
        <f t="shared" si="1816"/>
        <v/>
      </c>
      <c r="BK5218" s="498" t="str">
        <f t="shared" si="1810"/>
        <v/>
      </c>
      <c r="BL5218" s="498" t="str">
        <f t="shared" si="1811"/>
        <v/>
      </c>
    </row>
    <row r="5219" spans="1:64" x14ac:dyDescent="0.25">
      <c r="A5219" s="762">
        <f t="shared" si="1812"/>
        <v>5214</v>
      </c>
      <c r="B5219" s="229"/>
      <c r="C5219" s="223"/>
      <c r="D5219" s="224"/>
      <c r="E5219" s="225"/>
      <c r="F5219" s="1036" t="str">
        <f t="shared" si="1818"/>
        <v/>
      </c>
      <c r="G5219" s="1037" t="str">
        <f t="shared" si="1813"/>
        <v/>
      </c>
      <c r="H5219" s="225"/>
      <c r="I5219" s="1013"/>
      <c r="J5219" s="1013"/>
      <c r="K5219" s="1028"/>
      <c r="L5219" s="1035" t="str">
        <f t="shared" si="1817"/>
        <v/>
      </c>
      <c r="S5219" s="498"/>
      <c r="AJ5219" s="498"/>
      <c r="AM5219" s="498">
        <f t="shared" si="1798"/>
        <v>0</v>
      </c>
      <c r="AN5219" s="498">
        <f t="shared" si="1799"/>
        <v>0</v>
      </c>
      <c r="AO5219" s="498">
        <f t="shared" si="1800"/>
        <v>0</v>
      </c>
      <c r="AP5219" s="498">
        <f t="shared" si="1819"/>
        <v>0</v>
      </c>
      <c r="AQ5219" s="498">
        <f t="shared" si="1814"/>
        <v>0</v>
      </c>
      <c r="AU5219" s="498">
        <f t="shared" si="1801"/>
        <v>0</v>
      </c>
      <c r="AV5219" s="498">
        <f t="shared" si="1802"/>
        <v>0</v>
      </c>
      <c r="AW5219" s="498">
        <f t="shared" si="1803"/>
        <v>0</v>
      </c>
      <c r="AX5219" s="498">
        <f t="shared" si="1804"/>
        <v>0</v>
      </c>
      <c r="AY5219" s="498">
        <f t="shared" si="1805"/>
        <v>0</v>
      </c>
      <c r="BB5219" s="498" t="str">
        <f t="shared" si="1806"/>
        <v/>
      </c>
      <c r="BC5219" s="743" t="str">
        <f t="shared" si="1807"/>
        <v/>
      </c>
      <c r="BD5219" s="743" t="str">
        <f t="shared" si="1808"/>
        <v/>
      </c>
      <c r="BE5219" s="743" t="str">
        <f>IF(D5219="","",VLOOKUP(D5219,'General Basis'!$J$39:$K$46,2,0))</f>
        <v/>
      </c>
      <c r="BF5219" s="744" t="str">
        <f>IF(D5219="","",VLOOKUP(D5219,'General Basis'!$J$39:$L$46,3,0))</f>
        <v/>
      </c>
      <c r="BG5219" s="744" t="str">
        <f t="shared" si="1815"/>
        <v/>
      </c>
      <c r="BH5219" s="744" t="str">
        <f>IF(G5219="","",IF(BF5219="Abu Dhabi",IF(G5219&lt;18,'General Basis'!$C$39,IF(G5219&lt;41,'General Basis'!$C$40,IF(G5219&lt;60,'General Basis'!$C$41,IF(G5219&lt;65,'General Basis'!$C$42,'General Basis'!$C$43)))),IF(G5219&lt;11,'General Basis'!$B$39,IF(G5219&lt;18,'General Basis'!$B$40,IF(G5219&lt;26,'General Basis'!$B$41,IF(G5219&lt;31,'General Basis'!$B$42,IF(G5219&lt;36,'General Basis'!$B$43,IF(G5219&lt;41,'General Basis'!$B$44,IF(G5219&lt;46,'General Basis'!$B$45,IF(G5219&lt;51,'General Basis'!$B$46,IF(G5219&lt;56,'General Basis'!$B$47,IF(G5219&lt;60,'General Basis'!$B$48,IF(G5219&lt;65,'General Basis'!$B$49,'General Basis'!$B$50)))))))))))))</f>
        <v/>
      </c>
      <c r="BI5219" s="744" t="str">
        <f t="shared" si="1809"/>
        <v/>
      </c>
      <c r="BJ5219" s="747" t="str">
        <f t="shared" si="1816"/>
        <v/>
      </c>
      <c r="BK5219" s="498" t="str">
        <f t="shared" si="1810"/>
        <v/>
      </c>
      <c r="BL5219" s="498" t="str">
        <f t="shared" si="1811"/>
        <v/>
      </c>
    </row>
    <row r="5220" spans="1:64" x14ac:dyDescent="0.25">
      <c r="A5220" s="762">
        <f t="shared" si="1812"/>
        <v>5215</v>
      </c>
      <c r="B5220" s="229"/>
      <c r="C5220" s="223"/>
      <c r="D5220" s="224"/>
      <c r="E5220" s="225"/>
      <c r="F5220" s="1036" t="str">
        <f t="shared" si="1818"/>
        <v/>
      </c>
      <c r="G5220" s="1037" t="str">
        <f t="shared" si="1813"/>
        <v/>
      </c>
      <c r="H5220" s="225"/>
      <c r="I5220" s="1013"/>
      <c r="J5220" s="1013"/>
      <c r="K5220" s="1028"/>
      <c r="L5220" s="1035" t="str">
        <f t="shared" si="1817"/>
        <v/>
      </c>
      <c r="S5220" s="498"/>
      <c r="AJ5220" s="498"/>
      <c r="AM5220" s="498">
        <f t="shared" si="1798"/>
        <v>0</v>
      </c>
      <c r="AN5220" s="498">
        <f t="shared" si="1799"/>
        <v>0</v>
      </c>
      <c r="AO5220" s="498">
        <f t="shared" si="1800"/>
        <v>0</v>
      </c>
      <c r="AP5220" s="498">
        <f t="shared" si="1819"/>
        <v>0</v>
      </c>
      <c r="AQ5220" s="498">
        <f t="shared" si="1814"/>
        <v>0</v>
      </c>
      <c r="AU5220" s="498">
        <f t="shared" si="1801"/>
        <v>0</v>
      </c>
      <c r="AV5220" s="498">
        <f t="shared" si="1802"/>
        <v>0</v>
      </c>
      <c r="AW5220" s="498">
        <f t="shared" si="1803"/>
        <v>0</v>
      </c>
      <c r="AX5220" s="498">
        <f t="shared" si="1804"/>
        <v>0</v>
      </c>
      <c r="AY5220" s="498">
        <f t="shared" si="1805"/>
        <v>0</v>
      </c>
      <c r="BB5220" s="498" t="str">
        <f t="shared" si="1806"/>
        <v/>
      </c>
      <c r="BC5220" s="743" t="str">
        <f t="shared" si="1807"/>
        <v/>
      </c>
      <c r="BD5220" s="743" t="str">
        <f t="shared" si="1808"/>
        <v/>
      </c>
      <c r="BE5220" s="743" t="str">
        <f>IF(D5220="","",VLOOKUP(D5220,'General Basis'!$J$39:$K$46,2,0))</f>
        <v/>
      </c>
      <c r="BF5220" s="744" t="str">
        <f>IF(D5220="","",VLOOKUP(D5220,'General Basis'!$J$39:$L$46,3,0))</f>
        <v/>
      </c>
      <c r="BG5220" s="744" t="str">
        <f t="shared" si="1815"/>
        <v/>
      </c>
      <c r="BH5220" s="744" t="str">
        <f>IF(G5220="","",IF(BF5220="Abu Dhabi",IF(G5220&lt;18,'General Basis'!$C$39,IF(G5220&lt;41,'General Basis'!$C$40,IF(G5220&lt;60,'General Basis'!$C$41,IF(G5220&lt;65,'General Basis'!$C$42,'General Basis'!$C$43)))),IF(G5220&lt;11,'General Basis'!$B$39,IF(G5220&lt;18,'General Basis'!$B$40,IF(G5220&lt;26,'General Basis'!$B$41,IF(G5220&lt;31,'General Basis'!$B$42,IF(G5220&lt;36,'General Basis'!$B$43,IF(G5220&lt;41,'General Basis'!$B$44,IF(G5220&lt;46,'General Basis'!$B$45,IF(G5220&lt;51,'General Basis'!$B$46,IF(G5220&lt;56,'General Basis'!$B$47,IF(G5220&lt;60,'General Basis'!$B$48,IF(G5220&lt;65,'General Basis'!$B$49,'General Basis'!$B$50)))))))))))))</f>
        <v/>
      </c>
      <c r="BI5220" s="744" t="str">
        <f t="shared" si="1809"/>
        <v/>
      </c>
      <c r="BJ5220" s="747" t="str">
        <f t="shared" si="1816"/>
        <v/>
      </c>
      <c r="BK5220" s="498" t="str">
        <f t="shared" si="1810"/>
        <v/>
      </c>
      <c r="BL5220" s="498" t="str">
        <f t="shared" si="1811"/>
        <v/>
      </c>
    </row>
    <row r="5221" spans="1:64" x14ac:dyDescent="0.25">
      <c r="A5221" s="762">
        <f t="shared" si="1812"/>
        <v>5216</v>
      </c>
      <c r="B5221" s="229"/>
      <c r="C5221" s="223"/>
      <c r="D5221" s="224"/>
      <c r="E5221" s="225"/>
      <c r="F5221" s="1036" t="str">
        <f t="shared" si="1818"/>
        <v/>
      </c>
      <c r="G5221" s="1037" t="str">
        <f t="shared" si="1813"/>
        <v/>
      </c>
      <c r="H5221" s="225"/>
      <c r="I5221" s="1013"/>
      <c r="J5221" s="1013"/>
      <c r="K5221" s="1028"/>
      <c r="L5221" s="1035" t="str">
        <f t="shared" si="1817"/>
        <v/>
      </c>
      <c r="S5221" s="498"/>
      <c r="AJ5221" s="498"/>
      <c r="AM5221" s="498">
        <f t="shared" si="1798"/>
        <v>0</v>
      </c>
      <c r="AN5221" s="498">
        <f t="shared" si="1799"/>
        <v>0</v>
      </c>
      <c r="AO5221" s="498">
        <f t="shared" si="1800"/>
        <v>0</v>
      </c>
      <c r="AP5221" s="498">
        <f t="shared" si="1819"/>
        <v>0</v>
      </c>
      <c r="AQ5221" s="498">
        <f t="shared" si="1814"/>
        <v>0</v>
      </c>
      <c r="AU5221" s="498">
        <f t="shared" si="1801"/>
        <v>0</v>
      </c>
      <c r="AV5221" s="498">
        <f t="shared" si="1802"/>
        <v>0</v>
      </c>
      <c r="AW5221" s="498">
        <f t="shared" si="1803"/>
        <v>0</v>
      </c>
      <c r="AX5221" s="498">
        <f t="shared" si="1804"/>
        <v>0</v>
      </c>
      <c r="AY5221" s="498">
        <f t="shared" si="1805"/>
        <v>0</v>
      </c>
      <c r="BB5221" s="498" t="str">
        <f t="shared" si="1806"/>
        <v/>
      </c>
      <c r="BC5221" s="743" t="str">
        <f t="shared" si="1807"/>
        <v/>
      </c>
      <c r="BD5221" s="743" t="str">
        <f t="shared" si="1808"/>
        <v/>
      </c>
      <c r="BE5221" s="743" t="str">
        <f>IF(D5221="","",VLOOKUP(D5221,'General Basis'!$J$39:$K$46,2,0))</f>
        <v/>
      </c>
      <c r="BF5221" s="744" t="str">
        <f>IF(D5221="","",VLOOKUP(D5221,'General Basis'!$J$39:$L$46,3,0))</f>
        <v/>
      </c>
      <c r="BG5221" s="744" t="str">
        <f t="shared" si="1815"/>
        <v/>
      </c>
      <c r="BH5221" s="744" t="str">
        <f>IF(G5221="","",IF(BF5221="Abu Dhabi",IF(G5221&lt;18,'General Basis'!$C$39,IF(G5221&lt;41,'General Basis'!$C$40,IF(G5221&lt;60,'General Basis'!$C$41,IF(G5221&lt;65,'General Basis'!$C$42,'General Basis'!$C$43)))),IF(G5221&lt;11,'General Basis'!$B$39,IF(G5221&lt;18,'General Basis'!$B$40,IF(G5221&lt;26,'General Basis'!$B$41,IF(G5221&lt;31,'General Basis'!$B$42,IF(G5221&lt;36,'General Basis'!$B$43,IF(G5221&lt;41,'General Basis'!$B$44,IF(G5221&lt;46,'General Basis'!$B$45,IF(G5221&lt;51,'General Basis'!$B$46,IF(G5221&lt;56,'General Basis'!$B$47,IF(G5221&lt;60,'General Basis'!$B$48,IF(G5221&lt;65,'General Basis'!$B$49,'General Basis'!$B$50)))))))))))))</f>
        <v/>
      </c>
      <c r="BI5221" s="744" t="str">
        <f t="shared" si="1809"/>
        <v/>
      </c>
      <c r="BJ5221" s="747" t="str">
        <f t="shared" si="1816"/>
        <v/>
      </c>
      <c r="BK5221" s="498" t="str">
        <f t="shared" si="1810"/>
        <v/>
      </c>
      <c r="BL5221" s="498" t="str">
        <f t="shared" si="1811"/>
        <v/>
      </c>
    </row>
    <row r="5222" spans="1:64" x14ac:dyDescent="0.25">
      <c r="A5222" s="762">
        <f t="shared" si="1812"/>
        <v>5217</v>
      </c>
      <c r="B5222" s="229"/>
      <c r="C5222" s="223"/>
      <c r="D5222" s="224"/>
      <c r="E5222" s="225"/>
      <c r="F5222" s="1036" t="str">
        <f t="shared" si="1818"/>
        <v/>
      </c>
      <c r="G5222" s="1037" t="str">
        <f t="shared" si="1813"/>
        <v/>
      </c>
      <c r="H5222" s="225"/>
      <c r="I5222" s="1013"/>
      <c r="J5222" s="1013"/>
      <c r="K5222" s="1028"/>
      <c r="L5222" s="1035" t="str">
        <f t="shared" si="1817"/>
        <v/>
      </c>
      <c r="S5222" s="498"/>
      <c r="AJ5222" s="498"/>
      <c r="AM5222" s="498">
        <f t="shared" si="1798"/>
        <v>0</v>
      </c>
      <c r="AN5222" s="498">
        <f t="shared" si="1799"/>
        <v>0</v>
      </c>
      <c r="AO5222" s="498">
        <f t="shared" si="1800"/>
        <v>0</v>
      </c>
      <c r="AP5222" s="498">
        <f t="shared" si="1819"/>
        <v>0</v>
      </c>
      <c r="AQ5222" s="498">
        <f t="shared" si="1814"/>
        <v>0</v>
      </c>
      <c r="AU5222" s="498">
        <f t="shared" si="1801"/>
        <v>0</v>
      </c>
      <c r="AV5222" s="498">
        <f t="shared" si="1802"/>
        <v>0</v>
      </c>
      <c r="AW5222" s="498">
        <f t="shared" si="1803"/>
        <v>0</v>
      </c>
      <c r="AX5222" s="498">
        <f t="shared" si="1804"/>
        <v>0</v>
      </c>
      <c r="AY5222" s="498">
        <f t="shared" si="1805"/>
        <v>0</v>
      </c>
      <c r="BB5222" s="498" t="str">
        <f t="shared" si="1806"/>
        <v/>
      </c>
      <c r="BC5222" s="743" t="str">
        <f t="shared" si="1807"/>
        <v/>
      </c>
      <c r="BD5222" s="743" t="str">
        <f t="shared" si="1808"/>
        <v/>
      </c>
      <c r="BE5222" s="743" t="str">
        <f>IF(D5222="","",VLOOKUP(D5222,'General Basis'!$J$39:$K$46,2,0))</f>
        <v/>
      </c>
      <c r="BF5222" s="744" t="str">
        <f>IF(D5222="","",VLOOKUP(D5222,'General Basis'!$J$39:$L$46,3,0))</f>
        <v/>
      </c>
      <c r="BG5222" s="744" t="str">
        <f t="shared" si="1815"/>
        <v/>
      </c>
      <c r="BH5222" s="744" t="str">
        <f>IF(G5222="","",IF(BF5222="Abu Dhabi",IF(G5222&lt;18,'General Basis'!$C$39,IF(G5222&lt;41,'General Basis'!$C$40,IF(G5222&lt;60,'General Basis'!$C$41,IF(G5222&lt;65,'General Basis'!$C$42,'General Basis'!$C$43)))),IF(G5222&lt;11,'General Basis'!$B$39,IF(G5222&lt;18,'General Basis'!$B$40,IF(G5222&lt;26,'General Basis'!$B$41,IF(G5222&lt;31,'General Basis'!$B$42,IF(G5222&lt;36,'General Basis'!$B$43,IF(G5222&lt;41,'General Basis'!$B$44,IF(G5222&lt;46,'General Basis'!$B$45,IF(G5222&lt;51,'General Basis'!$B$46,IF(G5222&lt;56,'General Basis'!$B$47,IF(G5222&lt;60,'General Basis'!$B$48,IF(G5222&lt;65,'General Basis'!$B$49,'General Basis'!$B$50)))))))))))))</f>
        <v/>
      </c>
      <c r="BI5222" s="744" t="str">
        <f t="shared" si="1809"/>
        <v/>
      </c>
      <c r="BJ5222" s="747" t="str">
        <f t="shared" si="1816"/>
        <v/>
      </c>
      <c r="BK5222" s="498" t="str">
        <f t="shared" si="1810"/>
        <v/>
      </c>
      <c r="BL5222" s="498" t="str">
        <f t="shared" si="1811"/>
        <v/>
      </c>
    </row>
    <row r="5223" spans="1:64" x14ac:dyDescent="0.25">
      <c r="A5223" s="762">
        <f t="shared" si="1812"/>
        <v>5218</v>
      </c>
      <c r="B5223" s="229"/>
      <c r="C5223" s="223"/>
      <c r="D5223" s="224"/>
      <c r="E5223" s="225"/>
      <c r="F5223" s="1036" t="str">
        <f t="shared" si="1818"/>
        <v/>
      </c>
      <c r="G5223" s="1037" t="str">
        <f t="shared" si="1813"/>
        <v/>
      </c>
      <c r="H5223" s="225"/>
      <c r="I5223" s="1013"/>
      <c r="J5223" s="1013"/>
      <c r="K5223" s="1028"/>
      <c r="L5223" s="1035" t="str">
        <f t="shared" si="1817"/>
        <v/>
      </c>
      <c r="S5223" s="498"/>
      <c r="AJ5223" s="498"/>
      <c r="AM5223" s="498">
        <f t="shared" si="1798"/>
        <v>0</v>
      </c>
      <c r="AN5223" s="498">
        <f t="shared" si="1799"/>
        <v>0</v>
      </c>
      <c r="AO5223" s="498">
        <f t="shared" si="1800"/>
        <v>0</v>
      </c>
      <c r="AP5223" s="498">
        <f t="shared" si="1819"/>
        <v>0</v>
      </c>
      <c r="AQ5223" s="498">
        <f t="shared" si="1814"/>
        <v>0</v>
      </c>
      <c r="AU5223" s="498">
        <f t="shared" si="1801"/>
        <v>0</v>
      </c>
      <c r="AV5223" s="498">
        <f t="shared" si="1802"/>
        <v>0</v>
      </c>
      <c r="AW5223" s="498">
        <f t="shared" si="1803"/>
        <v>0</v>
      </c>
      <c r="AX5223" s="498">
        <f t="shared" si="1804"/>
        <v>0</v>
      </c>
      <c r="AY5223" s="498">
        <f t="shared" si="1805"/>
        <v>0</v>
      </c>
      <c r="BB5223" s="498" t="str">
        <f t="shared" si="1806"/>
        <v/>
      </c>
      <c r="BC5223" s="743" t="str">
        <f t="shared" si="1807"/>
        <v/>
      </c>
      <c r="BD5223" s="743" t="str">
        <f t="shared" si="1808"/>
        <v/>
      </c>
      <c r="BE5223" s="743" t="str">
        <f>IF(D5223="","",VLOOKUP(D5223,'General Basis'!$J$39:$K$46,2,0))</f>
        <v/>
      </c>
      <c r="BF5223" s="744" t="str">
        <f>IF(D5223="","",VLOOKUP(D5223,'General Basis'!$J$39:$L$46,3,0))</f>
        <v/>
      </c>
      <c r="BG5223" s="744" t="str">
        <f t="shared" si="1815"/>
        <v/>
      </c>
      <c r="BH5223" s="744" t="str">
        <f>IF(G5223="","",IF(BF5223="Abu Dhabi",IF(G5223&lt;18,'General Basis'!$C$39,IF(G5223&lt;41,'General Basis'!$C$40,IF(G5223&lt;60,'General Basis'!$C$41,IF(G5223&lt;65,'General Basis'!$C$42,'General Basis'!$C$43)))),IF(G5223&lt;11,'General Basis'!$B$39,IF(G5223&lt;18,'General Basis'!$B$40,IF(G5223&lt;26,'General Basis'!$B$41,IF(G5223&lt;31,'General Basis'!$B$42,IF(G5223&lt;36,'General Basis'!$B$43,IF(G5223&lt;41,'General Basis'!$B$44,IF(G5223&lt;46,'General Basis'!$B$45,IF(G5223&lt;51,'General Basis'!$B$46,IF(G5223&lt;56,'General Basis'!$B$47,IF(G5223&lt;60,'General Basis'!$B$48,IF(G5223&lt;65,'General Basis'!$B$49,'General Basis'!$B$50)))))))))))))</f>
        <v/>
      </c>
      <c r="BI5223" s="744" t="str">
        <f t="shared" si="1809"/>
        <v/>
      </c>
      <c r="BJ5223" s="747" t="str">
        <f t="shared" si="1816"/>
        <v/>
      </c>
      <c r="BK5223" s="498" t="str">
        <f t="shared" si="1810"/>
        <v/>
      </c>
      <c r="BL5223" s="498" t="str">
        <f t="shared" si="1811"/>
        <v/>
      </c>
    </row>
    <row r="5224" spans="1:64" x14ac:dyDescent="0.25">
      <c r="A5224" s="762">
        <f t="shared" si="1812"/>
        <v>5219</v>
      </c>
      <c r="B5224" s="229"/>
      <c r="C5224" s="223"/>
      <c r="D5224" s="224"/>
      <c r="E5224" s="225"/>
      <c r="F5224" s="1036" t="str">
        <f t="shared" si="1818"/>
        <v/>
      </c>
      <c r="G5224" s="1037" t="str">
        <f t="shared" si="1813"/>
        <v/>
      </c>
      <c r="H5224" s="225"/>
      <c r="I5224" s="1013"/>
      <c r="J5224" s="1013"/>
      <c r="K5224" s="1028"/>
      <c r="L5224" s="1035" t="str">
        <f t="shared" si="1817"/>
        <v/>
      </c>
      <c r="S5224" s="498"/>
      <c r="AJ5224" s="498"/>
      <c r="AM5224" s="498">
        <f t="shared" si="1798"/>
        <v>0</v>
      </c>
      <c r="AN5224" s="498">
        <f t="shared" si="1799"/>
        <v>0</v>
      </c>
      <c r="AO5224" s="498">
        <f t="shared" si="1800"/>
        <v>0</v>
      </c>
      <c r="AP5224" s="498">
        <f t="shared" si="1819"/>
        <v>0</v>
      </c>
      <c r="AQ5224" s="498">
        <f t="shared" si="1814"/>
        <v>0</v>
      </c>
      <c r="AU5224" s="498">
        <f t="shared" si="1801"/>
        <v>0</v>
      </c>
      <c r="AV5224" s="498">
        <f t="shared" si="1802"/>
        <v>0</v>
      </c>
      <c r="AW5224" s="498">
        <f t="shared" si="1803"/>
        <v>0</v>
      </c>
      <c r="AX5224" s="498">
        <f t="shared" si="1804"/>
        <v>0</v>
      </c>
      <c r="AY5224" s="498">
        <f t="shared" si="1805"/>
        <v>0</v>
      </c>
      <c r="BB5224" s="498" t="str">
        <f t="shared" si="1806"/>
        <v/>
      </c>
      <c r="BC5224" s="743" t="str">
        <f t="shared" si="1807"/>
        <v/>
      </c>
      <c r="BD5224" s="743" t="str">
        <f t="shared" si="1808"/>
        <v/>
      </c>
      <c r="BE5224" s="743" t="str">
        <f>IF(D5224="","",VLOOKUP(D5224,'General Basis'!$J$39:$K$46,2,0))</f>
        <v/>
      </c>
      <c r="BF5224" s="744" t="str">
        <f>IF(D5224="","",VLOOKUP(D5224,'General Basis'!$J$39:$L$46,3,0))</f>
        <v/>
      </c>
      <c r="BG5224" s="744" t="str">
        <f t="shared" si="1815"/>
        <v/>
      </c>
      <c r="BH5224" s="744" t="str">
        <f>IF(G5224="","",IF(BF5224="Abu Dhabi",IF(G5224&lt;18,'General Basis'!$C$39,IF(G5224&lt;41,'General Basis'!$C$40,IF(G5224&lt;60,'General Basis'!$C$41,IF(G5224&lt;65,'General Basis'!$C$42,'General Basis'!$C$43)))),IF(G5224&lt;11,'General Basis'!$B$39,IF(G5224&lt;18,'General Basis'!$B$40,IF(G5224&lt;26,'General Basis'!$B$41,IF(G5224&lt;31,'General Basis'!$B$42,IF(G5224&lt;36,'General Basis'!$B$43,IF(G5224&lt;41,'General Basis'!$B$44,IF(G5224&lt;46,'General Basis'!$B$45,IF(G5224&lt;51,'General Basis'!$B$46,IF(G5224&lt;56,'General Basis'!$B$47,IF(G5224&lt;60,'General Basis'!$B$48,IF(G5224&lt;65,'General Basis'!$B$49,'General Basis'!$B$50)))))))))))))</f>
        <v/>
      </c>
      <c r="BI5224" s="744" t="str">
        <f t="shared" si="1809"/>
        <v/>
      </c>
      <c r="BJ5224" s="747" t="str">
        <f t="shared" si="1816"/>
        <v/>
      </c>
      <c r="BK5224" s="498" t="str">
        <f t="shared" si="1810"/>
        <v/>
      </c>
      <c r="BL5224" s="498" t="str">
        <f t="shared" si="1811"/>
        <v/>
      </c>
    </row>
    <row r="5225" spans="1:64" x14ac:dyDescent="0.25">
      <c r="A5225" s="762">
        <f t="shared" si="1812"/>
        <v>5220</v>
      </c>
      <c r="B5225" s="229"/>
      <c r="C5225" s="223"/>
      <c r="D5225" s="224"/>
      <c r="E5225" s="225"/>
      <c r="F5225" s="1036" t="str">
        <f t="shared" si="1818"/>
        <v/>
      </c>
      <c r="G5225" s="1037" t="str">
        <f t="shared" si="1813"/>
        <v/>
      </c>
      <c r="H5225" s="225"/>
      <c r="I5225" s="1013"/>
      <c r="J5225" s="1013"/>
      <c r="K5225" s="1028"/>
      <c r="L5225" s="1035" t="str">
        <f t="shared" si="1817"/>
        <v/>
      </c>
      <c r="S5225" s="498"/>
      <c r="AJ5225" s="498"/>
      <c r="AM5225" s="498">
        <f t="shared" si="1798"/>
        <v>0</v>
      </c>
      <c r="AN5225" s="498">
        <f t="shared" si="1799"/>
        <v>0</v>
      </c>
      <c r="AO5225" s="498">
        <f t="shared" si="1800"/>
        <v>0</v>
      </c>
      <c r="AP5225" s="498">
        <f t="shared" si="1819"/>
        <v>0</v>
      </c>
      <c r="AQ5225" s="498">
        <f t="shared" si="1814"/>
        <v>0</v>
      </c>
      <c r="AU5225" s="498">
        <f t="shared" si="1801"/>
        <v>0</v>
      </c>
      <c r="AV5225" s="498">
        <f t="shared" si="1802"/>
        <v>0</v>
      </c>
      <c r="AW5225" s="498">
        <f t="shared" si="1803"/>
        <v>0</v>
      </c>
      <c r="AX5225" s="498">
        <f t="shared" si="1804"/>
        <v>0</v>
      </c>
      <c r="AY5225" s="498">
        <f t="shared" si="1805"/>
        <v>0</v>
      </c>
      <c r="BB5225" s="498" t="str">
        <f t="shared" si="1806"/>
        <v/>
      </c>
      <c r="BC5225" s="743" t="str">
        <f t="shared" si="1807"/>
        <v/>
      </c>
      <c r="BD5225" s="743" t="str">
        <f t="shared" si="1808"/>
        <v/>
      </c>
      <c r="BE5225" s="743" t="str">
        <f>IF(D5225="","",VLOOKUP(D5225,'General Basis'!$J$39:$K$46,2,0))</f>
        <v/>
      </c>
      <c r="BF5225" s="744" t="str">
        <f>IF(D5225="","",VLOOKUP(D5225,'General Basis'!$J$39:$L$46,3,0))</f>
        <v/>
      </c>
      <c r="BG5225" s="744" t="str">
        <f t="shared" si="1815"/>
        <v/>
      </c>
      <c r="BH5225" s="744" t="str">
        <f>IF(G5225="","",IF(BF5225="Abu Dhabi",IF(G5225&lt;18,'General Basis'!$C$39,IF(G5225&lt;41,'General Basis'!$C$40,IF(G5225&lt;60,'General Basis'!$C$41,IF(G5225&lt;65,'General Basis'!$C$42,'General Basis'!$C$43)))),IF(G5225&lt;11,'General Basis'!$B$39,IF(G5225&lt;18,'General Basis'!$B$40,IF(G5225&lt;26,'General Basis'!$B$41,IF(G5225&lt;31,'General Basis'!$B$42,IF(G5225&lt;36,'General Basis'!$B$43,IF(G5225&lt;41,'General Basis'!$B$44,IF(G5225&lt;46,'General Basis'!$B$45,IF(G5225&lt;51,'General Basis'!$B$46,IF(G5225&lt;56,'General Basis'!$B$47,IF(G5225&lt;60,'General Basis'!$B$48,IF(G5225&lt;65,'General Basis'!$B$49,'General Basis'!$B$50)))))))))))))</f>
        <v/>
      </c>
      <c r="BI5225" s="744" t="str">
        <f t="shared" si="1809"/>
        <v/>
      </c>
      <c r="BJ5225" s="747" t="str">
        <f t="shared" si="1816"/>
        <v/>
      </c>
      <c r="BK5225" s="498" t="str">
        <f t="shared" si="1810"/>
        <v/>
      </c>
      <c r="BL5225" s="498" t="str">
        <f t="shared" si="1811"/>
        <v/>
      </c>
    </row>
    <row r="5226" spans="1:64" x14ac:dyDescent="0.25">
      <c r="A5226" s="762">
        <f t="shared" si="1812"/>
        <v>5221</v>
      </c>
      <c r="B5226" s="229"/>
      <c r="C5226" s="223"/>
      <c r="D5226" s="224"/>
      <c r="E5226" s="225"/>
      <c r="F5226" s="1036" t="str">
        <f t="shared" si="1818"/>
        <v/>
      </c>
      <c r="G5226" s="1037" t="str">
        <f t="shared" si="1813"/>
        <v/>
      </c>
      <c r="H5226" s="225"/>
      <c r="I5226" s="1013"/>
      <c r="J5226" s="1013"/>
      <c r="K5226" s="1028"/>
      <c r="L5226" s="1035" t="str">
        <f t="shared" si="1817"/>
        <v/>
      </c>
      <c r="S5226" s="498"/>
      <c r="AJ5226" s="498"/>
      <c r="AM5226" s="498">
        <f t="shared" si="1798"/>
        <v>0</v>
      </c>
      <c r="AN5226" s="498">
        <f t="shared" si="1799"/>
        <v>0</v>
      </c>
      <c r="AO5226" s="498">
        <f t="shared" si="1800"/>
        <v>0</v>
      </c>
      <c r="AP5226" s="498">
        <f t="shared" si="1819"/>
        <v>0</v>
      </c>
      <c r="AQ5226" s="498">
        <f t="shared" si="1814"/>
        <v>0</v>
      </c>
      <c r="AU5226" s="498">
        <f t="shared" si="1801"/>
        <v>0</v>
      </c>
      <c r="AV5226" s="498">
        <f t="shared" si="1802"/>
        <v>0</v>
      </c>
      <c r="AW5226" s="498">
        <f t="shared" si="1803"/>
        <v>0</v>
      </c>
      <c r="AX5226" s="498">
        <f t="shared" si="1804"/>
        <v>0</v>
      </c>
      <c r="AY5226" s="498">
        <f t="shared" si="1805"/>
        <v>0</v>
      </c>
      <c r="BB5226" s="498" t="str">
        <f t="shared" si="1806"/>
        <v/>
      </c>
      <c r="BC5226" s="743" t="str">
        <f t="shared" si="1807"/>
        <v/>
      </c>
      <c r="BD5226" s="743" t="str">
        <f t="shared" si="1808"/>
        <v/>
      </c>
      <c r="BE5226" s="743" t="str">
        <f>IF(D5226="","",VLOOKUP(D5226,'General Basis'!$J$39:$K$46,2,0))</f>
        <v/>
      </c>
      <c r="BF5226" s="744" t="str">
        <f>IF(D5226="","",VLOOKUP(D5226,'General Basis'!$J$39:$L$46,3,0))</f>
        <v/>
      </c>
      <c r="BG5226" s="744" t="str">
        <f t="shared" si="1815"/>
        <v/>
      </c>
      <c r="BH5226" s="744" t="str">
        <f>IF(G5226="","",IF(BF5226="Abu Dhabi",IF(G5226&lt;18,'General Basis'!$C$39,IF(G5226&lt;41,'General Basis'!$C$40,IF(G5226&lt;60,'General Basis'!$C$41,IF(G5226&lt;65,'General Basis'!$C$42,'General Basis'!$C$43)))),IF(G5226&lt;11,'General Basis'!$B$39,IF(G5226&lt;18,'General Basis'!$B$40,IF(G5226&lt;26,'General Basis'!$B$41,IF(G5226&lt;31,'General Basis'!$B$42,IF(G5226&lt;36,'General Basis'!$B$43,IF(G5226&lt;41,'General Basis'!$B$44,IF(G5226&lt;46,'General Basis'!$B$45,IF(G5226&lt;51,'General Basis'!$B$46,IF(G5226&lt;56,'General Basis'!$B$47,IF(G5226&lt;60,'General Basis'!$B$48,IF(G5226&lt;65,'General Basis'!$B$49,'General Basis'!$B$50)))))))))))))</f>
        <v/>
      </c>
      <c r="BI5226" s="744" t="str">
        <f t="shared" si="1809"/>
        <v/>
      </c>
      <c r="BJ5226" s="747" t="str">
        <f t="shared" si="1816"/>
        <v/>
      </c>
      <c r="BK5226" s="498" t="str">
        <f t="shared" si="1810"/>
        <v/>
      </c>
      <c r="BL5226" s="498" t="str">
        <f t="shared" si="1811"/>
        <v/>
      </c>
    </row>
    <row r="5227" spans="1:64" x14ac:dyDescent="0.25">
      <c r="A5227" s="762">
        <f t="shared" si="1812"/>
        <v>5222</v>
      </c>
      <c r="B5227" s="229"/>
      <c r="C5227" s="223"/>
      <c r="D5227" s="224"/>
      <c r="E5227" s="225"/>
      <c r="F5227" s="1036" t="str">
        <f t="shared" si="1818"/>
        <v/>
      </c>
      <c r="G5227" s="1037" t="str">
        <f t="shared" si="1813"/>
        <v/>
      </c>
      <c r="H5227" s="225"/>
      <c r="I5227" s="1013"/>
      <c r="J5227" s="1013"/>
      <c r="K5227" s="1028"/>
      <c r="L5227" s="1035" t="str">
        <f t="shared" si="1817"/>
        <v/>
      </c>
      <c r="S5227" s="498"/>
      <c r="AJ5227" s="498"/>
      <c r="AM5227" s="498">
        <f t="shared" si="1798"/>
        <v>0</v>
      </c>
      <c r="AN5227" s="498">
        <f t="shared" si="1799"/>
        <v>0</v>
      </c>
      <c r="AO5227" s="498">
        <f t="shared" si="1800"/>
        <v>0</v>
      </c>
      <c r="AP5227" s="498">
        <f t="shared" si="1819"/>
        <v>0</v>
      </c>
      <c r="AQ5227" s="498">
        <f t="shared" si="1814"/>
        <v>0</v>
      </c>
      <c r="AU5227" s="498">
        <f t="shared" si="1801"/>
        <v>0</v>
      </c>
      <c r="AV5227" s="498">
        <f t="shared" si="1802"/>
        <v>0</v>
      </c>
      <c r="AW5227" s="498">
        <f t="shared" si="1803"/>
        <v>0</v>
      </c>
      <c r="AX5227" s="498">
        <f t="shared" si="1804"/>
        <v>0</v>
      </c>
      <c r="AY5227" s="498">
        <f t="shared" si="1805"/>
        <v>0</v>
      </c>
      <c r="BB5227" s="498" t="str">
        <f t="shared" si="1806"/>
        <v/>
      </c>
      <c r="BC5227" s="743" t="str">
        <f t="shared" si="1807"/>
        <v/>
      </c>
      <c r="BD5227" s="743" t="str">
        <f t="shared" si="1808"/>
        <v/>
      </c>
      <c r="BE5227" s="743" t="str">
        <f>IF(D5227="","",VLOOKUP(D5227,'General Basis'!$J$39:$K$46,2,0))</f>
        <v/>
      </c>
      <c r="BF5227" s="744" t="str">
        <f>IF(D5227="","",VLOOKUP(D5227,'General Basis'!$J$39:$L$46,3,0))</f>
        <v/>
      </c>
      <c r="BG5227" s="744" t="str">
        <f t="shared" si="1815"/>
        <v/>
      </c>
      <c r="BH5227" s="744" t="str">
        <f>IF(G5227="","",IF(BF5227="Abu Dhabi",IF(G5227&lt;18,'General Basis'!$C$39,IF(G5227&lt;41,'General Basis'!$C$40,IF(G5227&lt;60,'General Basis'!$C$41,IF(G5227&lt;65,'General Basis'!$C$42,'General Basis'!$C$43)))),IF(G5227&lt;11,'General Basis'!$B$39,IF(G5227&lt;18,'General Basis'!$B$40,IF(G5227&lt;26,'General Basis'!$B$41,IF(G5227&lt;31,'General Basis'!$B$42,IF(G5227&lt;36,'General Basis'!$B$43,IF(G5227&lt;41,'General Basis'!$B$44,IF(G5227&lt;46,'General Basis'!$B$45,IF(G5227&lt;51,'General Basis'!$B$46,IF(G5227&lt;56,'General Basis'!$B$47,IF(G5227&lt;60,'General Basis'!$B$48,IF(G5227&lt;65,'General Basis'!$B$49,'General Basis'!$B$50)))))))))))))</f>
        <v/>
      </c>
      <c r="BI5227" s="744" t="str">
        <f t="shared" si="1809"/>
        <v/>
      </c>
      <c r="BJ5227" s="747" t="str">
        <f t="shared" si="1816"/>
        <v/>
      </c>
      <c r="BK5227" s="498" t="str">
        <f t="shared" si="1810"/>
        <v/>
      </c>
      <c r="BL5227" s="498" t="str">
        <f t="shared" si="1811"/>
        <v/>
      </c>
    </row>
    <row r="5228" spans="1:64" x14ac:dyDescent="0.25">
      <c r="A5228" s="762">
        <f t="shared" si="1812"/>
        <v>5223</v>
      </c>
      <c r="B5228" s="229"/>
      <c r="C5228" s="223"/>
      <c r="D5228" s="224"/>
      <c r="E5228" s="225"/>
      <c r="F5228" s="1036" t="str">
        <f t="shared" si="1818"/>
        <v/>
      </c>
      <c r="G5228" s="1037" t="str">
        <f t="shared" si="1813"/>
        <v/>
      </c>
      <c r="H5228" s="225"/>
      <c r="I5228" s="1013"/>
      <c r="J5228" s="1013"/>
      <c r="K5228" s="1028"/>
      <c r="L5228" s="1035" t="str">
        <f t="shared" si="1817"/>
        <v/>
      </c>
      <c r="S5228" s="498"/>
      <c r="AJ5228" s="498"/>
      <c r="AM5228" s="498">
        <f t="shared" si="1798"/>
        <v>0</v>
      </c>
      <c r="AN5228" s="498">
        <f t="shared" si="1799"/>
        <v>0</v>
      </c>
      <c r="AO5228" s="498">
        <f t="shared" si="1800"/>
        <v>0</v>
      </c>
      <c r="AP5228" s="498">
        <f t="shared" si="1819"/>
        <v>0</v>
      </c>
      <c r="AQ5228" s="498">
        <f t="shared" si="1814"/>
        <v>0</v>
      </c>
      <c r="AU5228" s="498">
        <f t="shared" si="1801"/>
        <v>0</v>
      </c>
      <c r="AV5228" s="498">
        <f t="shared" si="1802"/>
        <v>0</v>
      </c>
      <c r="AW5228" s="498">
        <f t="shared" si="1803"/>
        <v>0</v>
      </c>
      <c r="AX5228" s="498">
        <f t="shared" si="1804"/>
        <v>0</v>
      </c>
      <c r="AY5228" s="498">
        <f t="shared" si="1805"/>
        <v>0</v>
      </c>
      <c r="BB5228" s="498" t="str">
        <f t="shared" si="1806"/>
        <v/>
      </c>
      <c r="BC5228" s="743" t="str">
        <f t="shared" si="1807"/>
        <v/>
      </c>
      <c r="BD5228" s="743" t="str">
        <f t="shared" si="1808"/>
        <v/>
      </c>
      <c r="BE5228" s="743" t="str">
        <f>IF(D5228="","",VLOOKUP(D5228,'General Basis'!$J$39:$K$46,2,0))</f>
        <v/>
      </c>
      <c r="BF5228" s="744" t="str">
        <f>IF(D5228="","",VLOOKUP(D5228,'General Basis'!$J$39:$L$46,3,0))</f>
        <v/>
      </c>
      <c r="BG5228" s="744" t="str">
        <f t="shared" si="1815"/>
        <v/>
      </c>
      <c r="BH5228" s="744" t="str">
        <f>IF(G5228="","",IF(BF5228="Abu Dhabi",IF(G5228&lt;18,'General Basis'!$C$39,IF(G5228&lt;41,'General Basis'!$C$40,IF(G5228&lt;60,'General Basis'!$C$41,IF(G5228&lt;65,'General Basis'!$C$42,'General Basis'!$C$43)))),IF(G5228&lt;11,'General Basis'!$B$39,IF(G5228&lt;18,'General Basis'!$B$40,IF(G5228&lt;26,'General Basis'!$B$41,IF(G5228&lt;31,'General Basis'!$B$42,IF(G5228&lt;36,'General Basis'!$B$43,IF(G5228&lt;41,'General Basis'!$B$44,IF(G5228&lt;46,'General Basis'!$B$45,IF(G5228&lt;51,'General Basis'!$B$46,IF(G5228&lt;56,'General Basis'!$B$47,IF(G5228&lt;60,'General Basis'!$B$48,IF(G5228&lt;65,'General Basis'!$B$49,'General Basis'!$B$50)))))))))))))</f>
        <v/>
      </c>
      <c r="BI5228" s="744" t="str">
        <f t="shared" si="1809"/>
        <v/>
      </c>
      <c r="BJ5228" s="747" t="str">
        <f t="shared" si="1816"/>
        <v/>
      </c>
      <c r="BK5228" s="498" t="str">
        <f t="shared" si="1810"/>
        <v/>
      </c>
      <c r="BL5228" s="498" t="str">
        <f t="shared" si="1811"/>
        <v/>
      </c>
    </row>
    <row r="5229" spans="1:64" x14ac:dyDescent="0.25">
      <c r="A5229" s="762">
        <f t="shared" si="1812"/>
        <v>5224</v>
      </c>
      <c r="B5229" s="229"/>
      <c r="C5229" s="223"/>
      <c r="D5229" s="224"/>
      <c r="E5229" s="225"/>
      <c r="F5229" s="1036" t="str">
        <f t="shared" si="1818"/>
        <v/>
      </c>
      <c r="G5229" s="1037" t="str">
        <f t="shared" si="1813"/>
        <v/>
      </c>
      <c r="H5229" s="225"/>
      <c r="I5229" s="1013"/>
      <c r="J5229" s="1013"/>
      <c r="K5229" s="1028"/>
      <c r="L5229" s="1035" t="str">
        <f t="shared" si="1817"/>
        <v/>
      </c>
      <c r="S5229" s="498"/>
      <c r="AJ5229" s="498"/>
      <c r="AM5229" s="498">
        <f t="shared" si="1798"/>
        <v>0</v>
      </c>
      <c r="AN5229" s="498">
        <f t="shared" si="1799"/>
        <v>0</v>
      </c>
      <c r="AO5229" s="498">
        <f t="shared" si="1800"/>
        <v>0</v>
      </c>
      <c r="AP5229" s="498">
        <f t="shared" si="1819"/>
        <v>0</v>
      </c>
      <c r="AQ5229" s="498">
        <f t="shared" si="1814"/>
        <v>0</v>
      </c>
      <c r="AU5229" s="498">
        <f t="shared" si="1801"/>
        <v>0</v>
      </c>
      <c r="AV5229" s="498">
        <f t="shared" si="1802"/>
        <v>0</v>
      </c>
      <c r="AW5229" s="498">
        <f t="shared" si="1803"/>
        <v>0</v>
      </c>
      <c r="AX5229" s="498">
        <f t="shared" si="1804"/>
        <v>0</v>
      </c>
      <c r="AY5229" s="498">
        <f t="shared" si="1805"/>
        <v>0</v>
      </c>
      <c r="BB5229" s="498" t="str">
        <f t="shared" si="1806"/>
        <v/>
      </c>
      <c r="BC5229" s="743" t="str">
        <f t="shared" si="1807"/>
        <v/>
      </c>
      <c r="BD5229" s="743" t="str">
        <f t="shared" si="1808"/>
        <v/>
      </c>
      <c r="BE5229" s="743" t="str">
        <f>IF(D5229="","",VLOOKUP(D5229,'General Basis'!$J$39:$K$46,2,0))</f>
        <v/>
      </c>
      <c r="BF5229" s="744" t="str">
        <f>IF(D5229="","",VLOOKUP(D5229,'General Basis'!$J$39:$L$46,3,0))</f>
        <v/>
      </c>
      <c r="BG5229" s="744" t="str">
        <f t="shared" si="1815"/>
        <v/>
      </c>
      <c r="BH5229" s="744" t="str">
        <f>IF(G5229="","",IF(BF5229="Abu Dhabi",IF(G5229&lt;18,'General Basis'!$C$39,IF(G5229&lt;41,'General Basis'!$C$40,IF(G5229&lt;60,'General Basis'!$C$41,IF(G5229&lt;65,'General Basis'!$C$42,'General Basis'!$C$43)))),IF(G5229&lt;11,'General Basis'!$B$39,IF(G5229&lt;18,'General Basis'!$B$40,IF(G5229&lt;26,'General Basis'!$B$41,IF(G5229&lt;31,'General Basis'!$B$42,IF(G5229&lt;36,'General Basis'!$B$43,IF(G5229&lt;41,'General Basis'!$B$44,IF(G5229&lt;46,'General Basis'!$B$45,IF(G5229&lt;51,'General Basis'!$B$46,IF(G5229&lt;56,'General Basis'!$B$47,IF(G5229&lt;60,'General Basis'!$B$48,IF(G5229&lt;65,'General Basis'!$B$49,'General Basis'!$B$50)))))))))))))</f>
        <v/>
      </c>
      <c r="BI5229" s="744" t="str">
        <f t="shared" si="1809"/>
        <v/>
      </c>
      <c r="BJ5229" s="747" t="str">
        <f t="shared" si="1816"/>
        <v/>
      </c>
      <c r="BK5229" s="498" t="str">
        <f t="shared" si="1810"/>
        <v/>
      </c>
      <c r="BL5229" s="498" t="str">
        <f t="shared" si="1811"/>
        <v/>
      </c>
    </row>
    <row r="5230" spans="1:64" x14ac:dyDescent="0.25">
      <c r="A5230" s="762">
        <f t="shared" si="1812"/>
        <v>5225</v>
      </c>
      <c r="B5230" s="229"/>
      <c r="C5230" s="223"/>
      <c r="D5230" s="224"/>
      <c r="E5230" s="225"/>
      <c r="F5230" s="1036" t="str">
        <f t="shared" si="1818"/>
        <v/>
      </c>
      <c r="G5230" s="1037" t="str">
        <f t="shared" si="1813"/>
        <v/>
      </c>
      <c r="H5230" s="225"/>
      <c r="I5230" s="1013"/>
      <c r="J5230" s="1013"/>
      <c r="K5230" s="1028"/>
      <c r="L5230" s="1035" t="str">
        <f t="shared" si="1817"/>
        <v/>
      </c>
      <c r="S5230" s="498"/>
      <c r="AJ5230" s="498"/>
      <c r="AM5230" s="498">
        <f t="shared" si="1798"/>
        <v>0</v>
      </c>
      <c r="AN5230" s="498">
        <f t="shared" si="1799"/>
        <v>0</v>
      </c>
      <c r="AO5230" s="498">
        <f t="shared" si="1800"/>
        <v>0</v>
      </c>
      <c r="AP5230" s="498">
        <f t="shared" si="1819"/>
        <v>0</v>
      </c>
      <c r="AQ5230" s="498">
        <f t="shared" si="1814"/>
        <v>0</v>
      </c>
      <c r="AU5230" s="498">
        <f t="shared" si="1801"/>
        <v>0</v>
      </c>
      <c r="AV5230" s="498">
        <f t="shared" si="1802"/>
        <v>0</v>
      </c>
      <c r="AW5230" s="498">
        <f t="shared" si="1803"/>
        <v>0</v>
      </c>
      <c r="AX5230" s="498">
        <f t="shared" si="1804"/>
        <v>0</v>
      </c>
      <c r="AY5230" s="498">
        <f t="shared" si="1805"/>
        <v>0</v>
      </c>
      <c r="BB5230" s="498" t="str">
        <f t="shared" si="1806"/>
        <v/>
      </c>
      <c r="BC5230" s="743" t="str">
        <f t="shared" si="1807"/>
        <v/>
      </c>
      <c r="BD5230" s="743" t="str">
        <f t="shared" si="1808"/>
        <v/>
      </c>
      <c r="BE5230" s="743" t="str">
        <f>IF(D5230="","",VLOOKUP(D5230,'General Basis'!$J$39:$K$46,2,0))</f>
        <v/>
      </c>
      <c r="BF5230" s="744" t="str">
        <f>IF(D5230="","",VLOOKUP(D5230,'General Basis'!$J$39:$L$46,3,0))</f>
        <v/>
      </c>
      <c r="BG5230" s="744" t="str">
        <f t="shared" si="1815"/>
        <v/>
      </c>
      <c r="BH5230" s="744" t="str">
        <f>IF(G5230="","",IF(BF5230="Abu Dhabi",IF(G5230&lt;18,'General Basis'!$C$39,IF(G5230&lt;41,'General Basis'!$C$40,IF(G5230&lt;60,'General Basis'!$C$41,IF(G5230&lt;65,'General Basis'!$C$42,'General Basis'!$C$43)))),IF(G5230&lt;11,'General Basis'!$B$39,IF(G5230&lt;18,'General Basis'!$B$40,IF(G5230&lt;26,'General Basis'!$B$41,IF(G5230&lt;31,'General Basis'!$B$42,IF(G5230&lt;36,'General Basis'!$B$43,IF(G5230&lt;41,'General Basis'!$B$44,IF(G5230&lt;46,'General Basis'!$B$45,IF(G5230&lt;51,'General Basis'!$B$46,IF(G5230&lt;56,'General Basis'!$B$47,IF(G5230&lt;60,'General Basis'!$B$48,IF(G5230&lt;65,'General Basis'!$B$49,'General Basis'!$B$50)))))))))))))</f>
        <v/>
      </c>
      <c r="BI5230" s="744" t="str">
        <f t="shared" si="1809"/>
        <v/>
      </c>
      <c r="BJ5230" s="747" t="str">
        <f t="shared" si="1816"/>
        <v/>
      </c>
      <c r="BK5230" s="498" t="str">
        <f t="shared" si="1810"/>
        <v/>
      </c>
      <c r="BL5230" s="498" t="str">
        <f t="shared" si="1811"/>
        <v/>
      </c>
    </row>
    <row r="5231" spans="1:64" x14ac:dyDescent="0.25">
      <c r="A5231" s="762">
        <f t="shared" si="1812"/>
        <v>5226</v>
      </c>
      <c r="B5231" s="229"/>
      <c r="C5231" s="223"/>
      <c r="D5231" s="224"/>
      <c r="E5231" s="225"/>
      <c r="F5231" s="1036" t="str">
        <f t="shared" si="1818"/>
        <v/>
      </c>
      <c r="G5231" s="1037" t="str">
        <f t="shared" si="1813"/>
        <v/>
      </c>
      <c r="H5231" s="225"/>
      <c r="I5231" s="1013"/>
      <c r="J5231" s="1013"/>
      <c r="K5231" s="1028"/>
      <c r="L5231" s="1035" t="str">
        <f t="shared" si="1817"/>
        <v/>
      </c>
      <c r="S5231" s="498"/>
      <c r="AJ5231" s="498"/>
      <c r="AM5231" s="498">
        <f t="shared" si="1798"/>
        <v>0</v>
      </c>
      <c r="AN5231" s="498">
        <f t="shared" si="1799"/>
        <v>0</v>
      </c>
      <c r="AO5231" s="498">
        <f t="shared" si="1800"/>
        <v>0</v>
      </c>
      <c r="AP5231" s="498">
        <f t="shared" si="1819"/>
        <v>0</v>
      </c>
      <c r="AQ5231" s="498">
        <f t="shared" si="1814"/>
        <v>0</v>
      </c>
      <c r="AU5231" s="498">
        <f t="shared" si="1801"/>
        <v>0</v>
      </c>
      <c r="AV5231" s="498">
        <f t="shared" si="1802"/>
        <v>0</v>
      </c>
      <c r="AW5231" s="498">
        <f t="shared" si="1803"/>
        <v>0</v>
      </c>
      <c r="AX5231" s="498">
        <f t="shared" si="1804"/>
        <v>0</v>
      </c>
      <c r="AY5231" s="498">
        <f t="shared" si="1805"/>
        <v>0</v>
      </c>
      <c r="BB5231" s="498" t="str">
        <f t="shared" si="1806"/>
        <v/>
      </c>
      <c r="BC5231" s="743" t="str">
        <f t="shared" si="1807"/>
        <v/>
      </c>
      <c r="BD5231" s="743" t="str">
        <f t="shared" si="1808"/>
        <v/>
      </c>
      <c r="BE5231" s="743" t="str">
        <f>IF(D5231="","",VLOOKUP(D5231,'General Basis'!$J$39:$K$46,2,0))</f>
        <v/>
      </c>
      <c r="BF5231" s="744" t="str">
        <f>IF(D5231="","",VLOOKUP(D5231,'General Basis'!$J$39:$L$46,3,0))</f>
        <v/>
      </c>
      <c r="BG5231" s="744" t="str">
        <f t="shared" si="1815"/>
        <v/>
      </c>
      <c r="BH5231" s="744" t="str">
        <f>IF(G5231="","",IF(BF5231="Abu Dhabi",IF(G5231&lt;18,'General Basis'!$C$39,IF(G5231&lt;41,'General Basis'!$C$40,IF(G5231&lt;60,'General Basis'!$C$41,IF(G5231&lt;65,'General Basis'!$C$42,'General Basis'!$C$43)))),IF(G5231&lt;11,'General Basis'!$B$39,IF(G5231&lt;18,'General Basis'!$B$40,IF(G5231&lt;26,'General Basis'!$B$41,IF(G5231&lt;31,'General Basis'!$B$42,IF(G5231&lt;36,'General Basis'!$B$43,IF(G5231&lt;41,'General Basis'!$B$44,IF(G5231&lt;46,'General Basis'!$B$45,IF(G5231&lt;51,'General Basis'!$B$46,IF(G5231&lt;56,'General Basis'!$B$47,IF(G5231&lt;60,'General Basis'!$B$48,IF(G5231&lt;65,'General Basis'!$B$49,'General Basis'!$B$50)))))))))))))</f>
        <v/>
      </c>
      <c r="BI5231" s="744" t="str">
        <f t="shared" si="1809"/>
        <v/>
      </c>
      <c r="BJ5231" s="747" t="str">
        <f t="shared" si="1816"/>
        <v/>
      </c>
      <c r="BK5231" s="498" t="str">
        <f t="shared" si="1810"/>
        <v/>
      </c>
      <c r="BL5231" s="498" t="str">
        <f t="shared" si="1811"/>
        <v/>
      </c>
    </row>
    <row r="5232" spans="1:64" x14ac:dyDescent="0.25">
      <c r="A5232" s="762">
        <f t="shared" si="1812"/>
        <v>5227</v>
      </c>
      <c r="B5232" s="229"/>
      <c r="C5232" s="223"/>
      <c r="D5232" s="224"/>
      <c r="E5232" s="225"/>
      <c r="F5232" s="1036" t="str">
        <f t="shared" si="1818"/>
        <v/>
      </c>
      <c r="G5232" s="1037" t="str">
        <f t="shared" si="1813"/>
        <v/>
      </c>
      <c r="H5232" s="225"/>
      <c r="I5232" s="1013"/>
      <c r="J5232" s="1013"/>
      <c r="K5232" s="1028"/>
      <c r="L5232" s="1035" t="str">
        <f t="shared" si="1817"/>
        <v/>
      </c>
      <c r="S5232" s="498"/>
      <c r="AJ5232" s="498"/>
      <c r="AM5232" s="498">
        <f t="shared" si="1798"/>
        <v>0</v>
      </c>
      <c r="AN5232" s="498">
        <f t="shared" si="1799"/>
        <v>0</v>
      </c>
      <c r="AO5232" s="498">
        <f t="shared" si="1800"/>
        <v>0</v>
      </c>
      <c r="AP5232" s="498">
        <f t="shared" si="1819"/>
        <v>0</v>
      </c>
      <c r="AQ5232" s="498">
        <f t="shared" si="1814"/>
        <v>0</v>
      </c>
      <c r="AU5232" s="498">
        <f t="shared" si="1801"/>
        <v>0</v>
      </c>
      <c r="AV5232" s="498">
        <f t="shared" si="1802"/>
        <v>0</v>
      </c>
      <c r="AW5232" s="498">
        <f t="shared" si="1803"/>
        <v>0</v>
      </c>
      <c r="AX5232" s="498">
        <f t="shared" si="1804"/>
        <v>0</v>
      </c>
      <c r="AY5232" s="498">
        <f t="shared" si="1805"/>
        <v>0</v>
      </c>
      <c r="BB5232" s="498" t="str">
        <f t="shared" si="1806"/>
        <v/>
      </c>
      <c r="BC5232" s="743" t="str">
        <f t="shared" si="1807"/>
        <v/>
      </c>
      <c r="BD5232" s="743" t="str">
        <f t="shared" si="1808"/>
        <v/>
      </c>
      <c r="BE5232" s="743" t="str">
        <f>IF(D5232="","",VLOOKUP(D5232,'General Basis'!$J$39:$K$46,2,0))</f>
        <v/>
      </c>
      <c r="BF5232" s="744" t="str">
        <f>IF(D5232="","",VLOOKUP(D5232,'General Basis'!$J$39:$L$46,3,0))</f>
        <v/>
      </c>
      <c r="BG5232" s="744" t="str">
        <f t="shared" si="1815"/>
        <v/>
      </c>
      <c r="BH5232" s="744" t="str">
        <f>IF(G5232="","",IF(BF5232="Abu Dhabi",IF(G5232&lt;18,'General Basis'!$C$39,IF(G5232&lt;41,'General Basis'!$C$40,IF(G5232&lt;60,'General Basis'!$C$41,IF(G5232&lt;65,'General Basis'!$C$42,'General Basis'!$C$43)))),IF(G5232&lt;11,'General Basis'!$B$39,IF(G5232&lt;18,'General Basis'!$B$40,IF(G5232&lt;26,'General Basis'!$B$41,IF(G5232&lt;31,'General Basis'!$B$42,IF(G5232&lt;36,'General Basis'!$B$43,IF(G5232&lt;41,'General Basis'!$B$44,IF(G5232&lt;46,'General Basis'!$B$45,IF(G5232&lt;51,'General Basis'!$B$46,IF(G5232&lt;56,'General Basis'!$B$47,IF(G5232&lt;60,'General Basis'!$B$48,IF(G5232&lt;65,'General Basis'!$B$49,'General Basis'!$B$50)))))))))))))</f>
        <v/>
      </c>
      <c r="BI5232" s="744" t="str">
        <f t="shared" si="1809"/>
        <v/>
      </c>
      <c r="BJ5232" s="747" t="str">
        <f t="shared" si="1816"/>
        <v/>
      </c>
      <c r="BK5232" s="498" t="str">
        <f t="shared" si="1810"/>
        <v/>
      </c>
      <c r="BL5232" s="498" t="str">
        <f t="shared" si="1811"/>
        <v/>
      </c>
    </row>
    <row r="5233" spans="1:64" x14ac:dyDescent="0.25">
      <c r="A5233" s="762">
        <f t="shared" si="1812"/>
        <v>5228</v>
      </c>
      <c r="B5233" s="229"/>
      <c r="C5233" s="223"/>
      <c r="D5233" s="224"/>
      <c r="E5233" s="225"/>
      <c r="F5233" s="1036" t="str">
        <f t="shared" si="1818"/>
        <v/>
      </c>
      <c r="G5233" s="1037" t="str">
        <f t="shared" si="1813"/>
        <v/>
      </c>
      <c r="H5233" s="225"/>
      <c r="I5233" s="1013"/>
      <c r="J5233" s="1013"/>
      <c r="K5233" s="1028"/>
      <c r="L5233" s="1035" t="str">
        <f t="shared" si="1817"/>
        <v/>
      </c>
      <c r="S5233" s="498"/>
      <c r="AJ5233" s="498"/>
      <c r="AM5233" s="498">
        <f t="shared" si="1798"/>
        <v>0</v>
      </c>
      <c r="AN5233" s="498">
        <f t="shared" si="1799"/>
        <v>0</v>
      </c>
      <c r="AO5233" s="498">
        <f t="shared" si="1800"/>
        <v>0</v>
      </c>
      <c r="AP5233" s="498">
        <f t="shared" si="1819"/>
        <v>0</v>
      </c>
      <c r="AQ5233" s="498">
        <f t="shared" si="1814"/>
        <v>0</v>
      </c>
      <c r="AU5233" s="498">
        <f t="shared" si="1801"/>
        <v>0</v>
      </c>
      <c r="AV5233" s="498">
        <f t="shared" si="1802"/>
        <v>0</v>
      </c>
      <c r="AW5233" s="498">
        <f t="shared" si="1803"/>
        <v>0</v>
      </c>
      <c r="AX5233" s="498">
        <f t="shared" si="1804"/>
        <v>0</v>
      </c>
      <c r="AY5233" s="498">
        <f t="shared" si="1805"/>
        <v>0</v>
      </c>
      <c r="BB5233" s="498" t="str">
        <f t="shared" si="1806"/>
        <v/>
      </c>
      <c r="BC5233" s="743" t="str">
        <f t="shared" si="1807"/>
        <v/>
      </c>
      <c r="BD5233" s="743" t="str">
        <f t="shared" si="1808"/>
        <v/>
      </c>
      <c r="BE5233" s="743" t="str">
        <f>IF(D5233="","",VLOOKUP(D5233,'General Basis'!$J$39:$K$46,2,0))</f>
        <v/>
      </c>
      <c r="BF5233" s="744" t="str">
        <f>IF(D5233="","",VLOOKUP(D5233,'General Basis'!$J$39:$L$46,3,0))</f>
        <v/>
      </c>
      <c r="BG5233" s="744" t="str">
        <f t="shared" si="1815"/>
        <v/>
      </c>
      <c r="BH5233" s="744" t="str">
        <f>IF(G5233="","",IF(BF5233="Abu Dhabi",IF(G5233&lt;18,'General Basis'!$C$39,IF(G5233&lt;41,'General Basis'!$C$40,IF(G5233&lt;60,'General Basis'!$C$41,IF(G5233&lt;65,'General Basis'!$C$42,'General Basis'!$C$43)))),IF(G5233&lt;11,'General Basis'!$B$39,IF(G5233&lt;18,'General Basis'!$B$40,IF(G5233&lt;26,'General Basis'!$B$41,IF(G5233&lt;31,'General Basis'!$B$42,IF(G5233&lt;36,'General Basis'!$B$43,IF(G5233&lt;41,'General Basis'!$B$44,IF(G5233&lt;46,'General Basis'!$B$45,IF(G5233&lt;51,'General Basis'!$B$46,IF(G5233&lt;56,'General Basis'!$B$47,IF(G5233&lt;60,'General Basis'!$B$48,IF(G5233&lt;65,'General Basis'!$B$49,'General Basis'!$B$50)))))))))))))</f>
        <v/>
      </c>
      <c r="BI5233" s="744" t="str">
        <f t="shared" si="1809"/>
        <v/>
      </c>
      <c r="BJ5233" s="747" t="str">
        <f t="shared" si="1816"/>
        <v/>
      </c>
      <c r="BK5233" s="498" t="str">
        <f t="shared" si="1810"/>
        <v/>
      </c>
      <c r="BL5233" s="498" t="str">
        <f t="shared" si="1811"/>
        <v/>
      </c>
    </row>
    <row r="5234" spans="1:64" x14ac:dyDescent="0.25">
      <c r="A5234" s="762">
        <f t="shared" si="1812"/>
        <v>5229</v>
      </c>
      <c r="B5234" s="229"/>
      <c r="C5234" s="223"/>
      <c r="D5234" s="224"/>
      <c r="E5234" s="225"/>
      <c r="F5234" s="1036" t="str">
        <f t="shared" si="1818"/>
        <v/>
      </c>
      <c r="G5234" s="1037" t="str">
        <f t="shared" si="1813"/>
        <v/>
      </c>
      <c r="H5234" s="225"/>
      <c r="I5234" s="1013"/>
      <c r="J5234" s="1013"/>
      <c r="K5234" s="1028"/>
      <c r="L5234" s="1035" t="str">
        <f t="shared" si="1817"/>
        <v/>
      </c>
      <c r="S5234" s="498"/>
      <c r="AJ5234" s="498"/>
      <c r="AM5234" s="498">
        <f t="shared" si="1798"/>
        <v>0</v>
      </c>
      <c r="AN5234" s="498">
        <f t="shared" si="1799"/>
        <v>0</v>
      </c>
      <c r="AO5234" s="498">
        <f t="shared" si="1800"/>
        <v>0</v>
      </c>
      <c r="AP5234" s="498">
        <f t="shared" si="1819"/>
        <v>0</v>
      </c>
      <c r="AQ5234" s="498">
        <f t="shared" si="1814"/>
        <v>0</v>
      </c>
      <c r="AU5234" s="498">
        <f t="shared" si="1801"/>
        <v>0</v>
      </c>
      <c r="AV5234" s="498">
        <f t="shared" si="1802"/>
        <v>0</v>
      </c>
      <c r="AW5234" s="498">
        <f t="shared" si="1803"/>
        <v>0</v>
      </c>
      <c r="AX5234" s="498">
        <f t="shared" si="1804"/>
        <v>0</v>
      </c>
      <c r="AY5234" s="498">
        <f t="shared" si="1805"/>
        <v>0</v>
      </c>
      <c r="BB5234" s="498" t="str">
        <f t="shared" si="1806"/>
        <v/>
      </c>
      <c r="BC5234" s="743" t="str">
        <f t="shared" si="1807"/>
        <v/>
      </c>
      <c r="BD5234" s="743" t="str">
        <f t="shared" si="1808"/>
        <v/>
      </c>
      <c r="BE5234" s="743" t="str">
        <f>IF(D5234="","",VLOOKUP(D5234,'General Basis'!$J$39:$K$46,2,0))</f>
        <v/>
      </c>
      <c r="BF5234" s="744" t="str">
        <f>IF(D5234="","",VLOOKUP(D5234,'General Basis'!$J$39:$L$46,3,0))</f>
        <v/>
      </c>
      <c r="BG5234" s="744" t="str">
        <f t="shared" si="1815"/>
        <v/>
      </c>
      <c r="BH5234" s="744" t="str">
        <f>IF(G5234="","",IF(BF5234="Abu Dhabi",IF(G5234&lt;18,'General Basis'!$C$39,IF(G5234&lt;41,'General Basis'!$C$40,IF(G5234&lt;60,'General Basis'!$C$41,IF(G5234&lt;65,'General Basis'!$C$42,'General Basis'!$C$43)))),IF(G5234&lt;11,'General Basis'!$B$39,IF(G5234&lt;18,'General Basis'!$B$40,IF(G5234&lt;26,'General Basis'!$B$41,IF(G5234&lt;31,'General Basis'!$B$42,IF(G5234&lt;36,'General Basis'!$B$43,IF(G5234&lt;41,'General Basis'!$B$44,IF(G5234&lt;46,'General Basis'!$B$45,IF(G5234&lt;51,'General Basis'!$B$46,IF(G5234&lt;56,'General Basis'!$B$47,IF(G5234&lt;60,'General Basis'!$B$48,IF(G5234&lt;65,'General Basis'!$B$49,'General Basis'!$B$50)))))))))))))</f>
        <v/>
      </c>
      <c r="BI5234" s="744" t="str">
        <f t="shared" si="1809"/>
        <v/>
      </c>
      <c r="BJ5234" s="747" t="str">
        <f t="shared" si="1816"/>
        <v/>
      </c>
      <c r="BK5234" s="498" t="str">
        <f t="shared" si="1810"/>
        <v/>
      </c>
      <c r="BL5234" s="498" t="str">
        <f t="shared" si="1811"/>
        <v/>
      </c>
    </row>
    <row r="5235" spans="1:64" x14ac:dyDescent="0.25">
      <c r="A5235" s="762">
        <f t="shared" si="1812"/>
        <v>5230</v>
      </c>
      <c r="B5235" s="229"/>
      <c r="C5235" s="223"/>
      <c r="D5235" s="224"/>
      <c r="E5235" s="225"/>
      <c r="F5235" s="1036" t="str">
        <f t="shared" si="1818"/>
        <v/>
      </c>
      <c r="G5235" s="1037" t="str">
        <f t="shared" si="1813"/>
        <v/>
      </c>
      <c r="H5235" s="225"/>
      <c r="I5235" s="1013"/>
      <c r="J5235" s="1013"/>
      <c r="K5235" s="1028"/>
      <c r="L5235" s="1035" t="str">
        <f t="shared" si="1817"/>
        <v/>
      </c>
      <c r="S5235" s="498"/>
      <c r="AJ5235" s="498"/>
      <c r="AM5235" s="498">
        <f t="shared" si="1798"/>
        <v>0</v>
      </c>
      <c r="AN5235" s="498">
        <f t="shared" si="1799"/>
        <v>0</v>
      </c>
      <c r="AO5235" s="498">
        <f t="shared" si="1800"/>
        <v>0</v>
      </c>
      <c r="AP5235" s="498">
        <f t="shared" si="1819"/>
        <v>0</v>
      </c>
      <c r="AQ5235" s="498">
        <f t="shared" si="1814"/>
        <v>0</v>
      </c>
      <c r="AU5235" s="498">
        <f t="shared" si="1801"/>
        <v>0</v>
      </c>
      <c r="AV5235" s="498">
        <f t="shared" si="1802"/>
        <v>0</v>
      </c>
      <c r="AW5235" s="498">
        <f t="shared" si="1803"/>
        <v>0</v>
      </c>
      <c r="AX5235" s="498">
        <f t="shared" si="1804"/>
        <v>0</v>
      </c>
      <c r="AY5235" s="498">
        <f t="shared" si="1805"/>
        <v>0</v>
      </c>
      <c r="BB5235" s="498" t="str">
        <f t="shared" si="1806"/>
        <v/>
      </c>
      <c r="BC5235" s="743" t="str">
        <f t="shared" si="1807"/>
        <v/>
      </c>
      <c r="BD5235" s="743" t="str">
        <f t="shared" si="1808"/>
        <v/>
      </c>
      <c r="BE5235" s="743" t="str">
        <f>IF(D5235="","",VLOOKUP(D5235,'General Basis'!$J$39:$K$46,2,0))</f>
        <v/>
      </c>
      <c r="BF5235" s="744" t="str">
        <f>IF(D5235="","",VLOOKUP(D5235,'General Basis'!$J$39:$L$46,3,0))</f>
        <v/>
      </c>
      <c r="BG5235" s="744" t="str">
        <f t="shared" si="1815"/>
        <v/>
      </c>
      <c r="BH5235" s="744" t="str">
        <f>IF(G5235="","",IF(BF5235="Abu Dhabi",IF(G5235&lt;18,'General Basis'!$C$39,IF(G5235&lt;41,'General Basis'!$C$40,IF(G5235&lt;60,'General Basis'!$C$41,IF(G5235&lt;65,'General Basis'!$C$42,'General Basis'!$C$43)))),IF(G5235&lt;11,'General Basis'!$B$39,IF(G5235&lt;18,'General Basis'!$B$40,IF(G5235&lt;26,'General Basis'!$B$41,IF(G5235&lt;31,'General Basis'!$B$42,IF(G5235&lt;36,'General Basis'!$B$43,IF(G5235&lt;41,'General Basis'!$B$44,IF(G5235&lt;46,'General Basis'!$B$45,IF(G5235&lt;51,'General Basis'!$B$46,IF(G5235&lt;56,'General Basis'!$B$47,IF(G5235&lt;60,'General Basis'!$B$48,IF(G5235&lt;65,'General Basis'!$B$49,'General Basis'!$B$50)))))))))))))</f>
        <v/>
      </c>
      <c r="BI5235" s="744" t="str">
        <f t="shared" si="1809"/>
        <v/>
      </c>
      <c r="BJ5235" s="747" t="str">
        <f t="shared" si="1816"/>
        <v/>
      </c>
      <c r="BK5235" s="498" t="str">
        <f t="shared" si="1810"/>
        <v/>
      </c>
      <c r="BL5235" s="498" t="str">
        <f t="shared" si="1811"/>
        <v/>
      </c>
    </row>
    <row r="5236" spans="1:64" x14ac:dyDescent="0.25">
      <c r="A5236" s="762">
        <f t="shared" si="1812"/>
        <v>5231</v>
      </c>
      <c r="B5236" s="229"/>
      <c r="C5236" s="223"/>
      <c r="D5236" s="224"/>
      <c r="E5236" s="225"/>
      <c r="F5236" s="1036" t="str">
        <f t="shared" si="1818"/>
        <v/>
      </c>
      <c r="G5236" s="1037" t="str">
        <f t="shared" si="1813"/>
        <v/>
      </c>
      <c r="H5236" s="225"/>
      <c r="I5236" s="1013"/>
      <c r="J5236" s="1013"/>
      <c r="K5236" s="1028"/>
      <c r="L5236" s="1035" t="str">
        <f t="shared" si="1817"/>
        <v/>
      </c>
      <c r="S5236" s="498"/>
      <c r="AJ5236" s="498"/>
      <c r="AM5236" s="498">
        <f t="shared" si="1798"/>
        <v>0</v>
      </c>
      <c r="AN5236" s="498">
        <f t="shared" si="1799"/>
        <v>0</v>
      </c>
      <c r="AO5236" s="498">
        <f t="shared" si="1800"/>
        <v>0</v>
      </c>
      <c r="AP5236" s="498">
        <f t="shared" si="1819"/>
        <v>0</v>
      </c>
      <c r="AQ5236" s="498">
        <f t="shared" si="1814"/>
        <v>0</v>
      </c>
      <c r="AU5236" s="498">
        <f t="shared" si="1801"/>
        <v>0</v>
      </c>
      <c r="AV5236" s="498">
        <f t="shared" si="1802"/>
        <v>0</v>
      </c>
      <c r="AW5236" s="498">
        <f t="shared" si="1803"/>
        <v>0</v>
      </c>
      <c r="AX5236" s="498">
        <f t="shared" si="1804"/>
        <v>0</v>
      </c>
      <c r="AY5236" s="498">
        <f t="shared" si="1805"/>
        <v>0</v>
      </c>
      <c r="BB5236" s="498" t="str">
        <f t="shared" si="1806"/>
        <v/>
      </c>
      <c r="BC5236" s="743" t="str">
        <f t="shared" si="1807"/>
        <v/>
      </c>
      <c r="BD5236" s="743" t="str">
        <f t="shared" si="1808"/>
        <v/>
      </c>
      <c r="BE5236" s="743" t="str">
        <f>IF(D5236="","",VLOOKUP(D5236,'General Basis'!$J$39:$K$46,2,0))</f>
        <v/>
      </c>
      <c r="BF5236" s="744" t="str">
        <f>IF(D5236="","",VLOOKUP(D5236,'General Basis'!$J$39:$L$46,3,0))</f>
        <v/>
      </c>
      <c r="BG5236" s="744" t="str">
        <f t="shared" si="1815"/>
        <v/>
      </c>
      <c r="BH5236" s="744" t="str">
        <f>IF(G5236="","",IF(BF5236="Abu Dhabi",IF(G5236&lt;18,'General Basis'!$C$39,IF(G5236&lt;41,'General Basis'!$C$40,IF(G5236&lt;60,'General Basis'!$C$41,IF(G5236&lt;65,'General Basis'!$C$42,'General Basis'!$C$43)))),IF(G5236&lt;11,'General Basis'!$B$39,IF(G5236&lt;18,'General Basis'!$B$40,IF(G5236&lt;26,'General Basis'!$B$41,IF(G5236&lt;31,'General Basis'!$B$42,IF(G5236&lt;36,'General Basis'!$B$43,IF(G5236&lt;41,'General Basis'!$B$44,IF(G5236&lt;46,'General Basis'!$B$45,IF(G5236&lt;51,'General Basis'!$B$46,IF(G5236&lt;56,'General Basis'!$B$47,IF(G5236&lt;60,'General Basis'!$B$48,IF(G5236&lt;65,'General Basis'!$B$49,'General Basis'!$B$50)))))))))))))</f>
        <v/>
      </c>
      <c r="BI5236" s="744" t="str">
        <f t="shared" si="1809"/>
        <v/>
      </c>
      <c r="BJ5236" s="747" t="str">
        <f t="shared" si="1816"/>
        <v/>
      </c>
      <c r="BK5236" s="498" t="str">
        <f t="shared" si="1810"/>
        <v/>
      </c>
      <c r="BL5236" s="498" t="str">
        <f t="shared" si="1811"/>
        <v/>
      </c>
    </row>
    <row r="5237" spans="1:64" x14ac:dyDescent="0.25">
      <c r="A5237" s="762">
        <f t="shared" si="1812"/>
        <v>5232</v>
      </c>
      <c r="B5237" s="229"/>
      <c r="C5237" s="223"/>
      <c r="D5237" s="224"/>
      <c r="E5237" s="225"/>
      <c r="F5237" s="1036" t="str">
        <f t="shared" si="1818"/>
        <v/>
      </c>
      <c r="G5237" s="1037" t="str">
        <f t="shared" si="1813"/>
        <v/>
      </c>
      <c r="H5237" s="225"/>
      <c r="I5237" s="1013"/>
      <c r="J5237" s="1013"/>
      <c r="K5237" s="1028"/>
      <c r="L5237" s="1035" t="str">
        <f t="shared" si="1817"/>
        <v/>
      </c>
      <c r="S5237" s="498"/>
      <c r="AJ5237" s="498"/>
      <c r="AM5237" s="498">
        <f t="shared" si="1798"/>
        <v>0</v>
      </c>
      <c r="AN5237" s="498">
        <f t="shared" si="1799"/>
        <v>0</v>
      </c>
      <c r="AO5237" s="498">
        <f t="shared" si="1800"/>
        <v>0</v>
      </c>
      <c r="AP5237" s="498">
        <f t="shared" si="1819"/>
        <v>0</v>
      </c>
      <c r="AQ5237" s="498">
        <f t="shared" si="1814"/>
        <v>0</v>
      </c>
      <c r="AU5237" s="498">
        <f t="shared" si="1801"/>
        <v>0</v>
      </c>
      <c r="AV5237" s="498">
        <f t="shared" si="1802"/>
        <v>0</v>
      </c>
      <c r="AW5237" s="498">
        <f t="shared" si="1803"/>
        <v>0</v>
      </c>
      <c r="AX5237" s="498">
        <f t="shared" si="1804"/>
        <v>0</v>
      </c>
      <c r="AY5237" s="498">
        <f t="shared" si="1805"/>
        <v>0</v>
      </c>
      <c r="BB5237" s="498" t="str">
        <f t="shared" si="1806"/>
        <v/>
      </c>
      <c r="BC5237" s="743" t="str">
        <f t="shared" si="1807"/>
        <v/>
      </c>
      <c r="BD5237" s="743" t="str">
        <f t="shared" si="1808"/>
        <v/>
      </c>
      <c r="BE5237" s="743" t="str">
        <f>IF(D5237="","",VLOOKUP(D5237,'General Basis'!$J$39:$K$46,2,0))</f>
        <v/>
      </c>
      <c r="BF5237" s="744" t="str">
        <f>IF(D5237="","",VLOOKUP(D5237,'General Basis'!$J$39:$L$46,3,0))</f>
        <v/>
      </c>
      <c r="BG5237" s="744" t="str">
        <f t="shared" si="1815"/>
        <v/>
      </c>
      <c r="BH5237" s="744" t="str">
        <f>IF(G5237="","",IF(BF5237="Abu Dhabi",IF(G5237&lt;18,'General Basis'!$C$39,IF(G5237&lt;41,'General Basis'!$C$40,IF(G5237&lt;60,'General Basis'!$C$41,IF(G5237&lt;65,'General Basis'!$C$42,'General Basis'!$C$43)))),IF(G5237&lt;11,'General Basis'!$B$39,IF(G5237&lt;18,'General Basis'!$B$40,IF(G5237&lt;26,'General Basis'!$B$41,IF(G5237&lt;31,'General Basis'!$B$42,IF(G5237&lt;36,'General Basis'!$B$43,IF(G5237&lt;41,'General Basis'!$B$44,IF(G5237&lt;46,'General Basis'!$B$45,IF(G5237&lt;51,'General Basis'!$B$46,IF(G5237&lt;56,'General Basis'!$B$47,IF(G5237&lt;60,'General Basis'!$B$48,IF(G5237&lt;65,'General Basis'!$B$49,'General Basis'!$B$50)))))))))))))</f>
        <v/>
      </c>
      <c r="BI5237" s="744" t="str">
        <f t="shared" si="1809"/>
        <v/>
      </c>
      <c r="BJ5237" s="747" t="str">
        <f t="shared" si="1816"/>
        <v/>
      </c>
      <c r="BK5237" s="498" t="str">
        <f t="shared" si="1810"/>
        <v/>
      </c>
      <c r="BL5237" s="498" t="str">
        <f t="shared" si="1811"/>
        <v/>
      </c>
    </row>
    <row r="5238" spans="1:64" x14ac:dyDescent="0.25">
      <c r="A5238" s="762">
        <f t="shared" si="1812"/>
        <v>5233</v>
      </c>
      <c r="B5238" s="229"/>
      <c r="C5238" s="223"/>
      <c r="D5238" s="224"/>
      <c r="E5238" s="225"/>
      <c r="F5238" s="1036" t="str">
        <f t="shared" si="1818"/>
        <v/>
      </c>
      <c r="G5238" s="1037" t="str">
        <f t="shared" si="1813"/>
        <v/>
      </c>
      <c r="H5238" s="225"/>
      <c r="I5238" s="1013"/>
      <c r="J5238" s="1013"/>
      <c r="K5238" s="1028"/>
      <c r="L5238" s="1035" t="str">
        <f t="shared" si="1817"/>
        <v/>
      </c>
      <c r="S5238" s="498"/>
      <c r="AJ5238" s="498"/>
      <c r="AM5238" s="498">
        <f t="shared" si="1798"/>
        <v>0</v>
      </c>
      <c r="AN5238" s="498">
        <f t="shared" si="1799"/>
        <v>0</v>
      </c>
      <c r="AO5238" s="498">
        <f t="shared" si="1800"/>
        <v>0</v>
      </c>
      <c r="AP5238" s="498">
        <f t="shared" si="1819"/>
        <v>0</v>
      </c>
      <c r="AQ5238" s="498">
        <f t="shared" si="1814"/>
        <v>0</v>
      </c>
      <c r="AU5238" s="498">
        <f t="shared" si="1801"/>
        <v>0</v>
      </c>
      <c r="AV5238" s="498">
        <f t="shared" si="1802"/>
        <v>0</v>
      </c>
      <c r="AW5238" s="498">
        <f t="shared" si="1803"/>
        <v>0</v>
      </c>
      <c r="AX5238" s="498">
        <f t="shared" si="1804"/>
        <v>0</v>
      </c>
      <c r="AY5238" s="498">
        <f t="shared" si="1805"/>
        <v>0</v>
      </c>
      <c r="BB5238" s="498" t="str">
        <f t="shared" si="1806"/>
        <v/>
      </c>
      <c r="BC5238" s="743" t="str">
        <f t="shared" si="1807"/>
        <v/>
      </c>
      <c r="BD5238" s="743" t="str">
        <f t="shared" si="1808"/>
        <v/>
      </c>
      <c r="BE5238" s="743" t="str">
        <f>IF(D5238="","",VLOOKUP(D5238,'General Basis'!$J$39:$K$46,2,0))</f>
        <v/>
      </c>
      <c r="BF5238" s="744" t="str">
        <f>IF(D5238="","",VLOOKUP(D5238,'General Basis'!$J$39:$L$46,3,0))</f>
        <v/>
      </c>
      <c r="BG5238" s="744" t="str">
        <f t="shared" si="1815"/>
        <v/>
      </c>
      <c r="BH5238" s="744" t="str">
        <f>IF(G5238="","",IF(BF5238="Abu Dhabi",IF(G5238&lt;18,'General Basis'!$C$39,IF(G5238&lt;41,'General Basis'!$C$40,IF(G5238&lt;60,'General Basis'!$C$41,IF(G5238&lt;65,'General Basis'!$C$42,'General Basis'!$C$43)))),IF(G5238&lt;11,'General Basis'!$B$39,IF(G5238&lt;18,'General Basis'!$B$40,IF(G5238&lt;26,'General Basis'!$B$41,IF(G5238&lt;31,'General Basis'!$B$42,IF(G5238&lt;36,'General Basis'!$B$43,IF(G5238&lt;41,'General Basis'!$B$44,IF(G5238&lt;46,'General Basis'!$B$45,IF(G5238&lt;51,'General Basis'!$B$46,IF(G5238&lt;56,'General Basis'!$B$47,IF(G5238&lt;60,'General Basis'!$B$48,IF(G5238&lt;65,'General Basis'!$B$49,'General Basis'!$B$50)))))))))))))</f>
        <v/>
      </c>
      <c r="BI5238" s="744" t="str">
        <f t="shared" si="1809"/>
        <v/>
      </c>
      <c r="BJ5238" s="747" t="str">
        <f t="shared" si="1816"/>
        <v/>
      </c>
      <c r="BK5238" s="498" t="str">
        <f t="shared" si="1810"/>
        <v/>
      </c>
      <c r="BL5238" s="498" t="str">
        <f t="shared" si="1811"/>
        <v/>
      </c>
    </row>
    <row r="5239" spans="1:64" x14ac:dyDescent="0.25">
      <c r="A5239" s="762">
        <f t="shared" si="1812"/>
        <v>5234</v>
      </c>
      <c r="B5239" s="229"/>
      <c r="C5239" s="223"/>
      <c r="D5239" s="224"/>
      <c r="E5239" s="225"/>
      <c r="F5239" s="1036" t="str">
        <f t="shared" si="1818"/>
        <v/>
      </c>
      <c r="G5239" s="1037" t="str">
        <f t="shared" si="1813"/>
        <v/>
      </c>
      <c r="H5239" s="225"/>
      <c r="I5239" s="1013"/>
      <c r="J5239" s="1013"/>
      <c r="K5239" s="1028"/>
      <c r="L5239" s="1035" t="str">
        <f t="shared" si="1817"/>
        <v/>
      </c>
      <c r="S5239" s="498"/>
      <c r="AJ5239" s="498"/>
      <c r="AM5239" s="498">
        <f t="shared" si="1798"/>
        <v>0</v>
      </c>
      <c r="AN5239" s="498">
        <f t="shared" si="1799"/>
        <v>0</v>
      </c>
      <c r="AO5239" s="498">
        <f t="shared" si="1800"/>
        <v>0</v>
      </c>
      <c r="AP5239" s="498">
        <f t="shared" si="1819"/>
        <v>0</v>
      </c>
      <c r="AQ5239" s="498">
        <f t="shared" si="1814"/>
        <v>0</v>
      </c>
      <c r="AU5239" s="498">
        <f t="shared" si="1801"/>
        <v>0</v>
      </c>
      <c r="AV5239" s="498">
        <f t="shared" si="1802"/>
        <v>0</v>
      </c>
      <c r="AW5239" s="498">
        <f t="shared" si="1803"/>
        <v>0</v>
      </c>
      <c r="AX5239" s="498">
        <f t="shared" si="1804"/>
        <v>0</v>
      </c>
      <c r="AY5239" s="498">
        <f t="shared" si="1805"/>
        <v>0</v>
      </c>
      <c r="BB5239" s="498" t="str">
        <f t="shared" si="1806"/>
        <v/>
      </c>
      <c r="BC5239" s="743" t="str">
        <f t="shared" si="1807"/>
        <v/>
      </c>
      <c r="BD5239" s="743" t="str">
        <f t="shared" si="1808"/>
        <v/>
      </c>
      <c r="BE5239" s="743" t="str">
        <f>IF(D5239="","",VLOOKUP(D5239,'General Basis'!$J$39:$K$46,2,0))</f>
        <v/>
      </c>
      <c r="BF5239" s="744" t="str">
        <f>IF(D5239="","",VLOOKUP(D5239,'General Basis'!$J$39:$L$46,3,0))</f>
        <v/>
      </c>
      <c r="BG5239" s="744" t="str">
        <f t="shared" si="1815"/>
        <v/>
      </c>
      <c r="BH5239" s="744" t="str">
        <f>IF(G5239="","",IF(BF5239="Abu Dhabi",IF(G5239&lt;18,'General Basis'!$C$39,IF(G5239&lt;41,'General Basis'!$C$40,IF(G5239&lt;60,'General Basis'!$C$41,IF(G5239&lt;65,'General Basis'!$C$42,'General Basis'!$C$43)))),IF(G5239&lt;11,'General Basis'!$B$39,IF(G5239&lt;18,'General Basis'!$B$40,IF(G5239&lt;26,'General Basis'!$B$41,IF(G5239&lt;31,'General Basis'!$B$42,IF(G5239&lt;36,'General Basis'!$B$43,IF(G5239&lt;41,'General Basis'!$B$44,IF(G5239&lt;46,'General Basis'!$B$45,IF(G5239&lt;51,'General Basis'!$B$46,IF(G5239&lt;56,'General Basis'!$B$47,IF(G5239&lt;60,'General Basis'!$B$48,IF(G5239&lt;65,'General Basis'!$B$49,'General Basis'!$B$50)))))))))))))</f>
        <v/>
      </c>
      <c r="BI5239" s="744" t="str">
        <f t="shared" si="1809"/>
        <v/>
      </c>
      <c r="BJ5239" s="747" t="str">
        <f t="shared" si="1816"/>
        <v/>
      </c>
      <c r="BK5239" s="498" t="str">
        <f t="shared" si="1810"/>
        <v/>
      </c>
      <c r="BL5239" s="498" t="str">
        <f t="shared" si="1811"/>
        <v/>
      </c>
    </row>
    <row r="5240" spans="1:64" x14ac:dyDescent="0.25">
      <c r="A5240" s="762">
        <f t="shared" si="1812"/>
        <v>5235</v>
      </c>
      <c r="B5240" s="229"/>
      <c r="C5240" s="223"/>
      <c r="D5240" s="224"/>
      <c r="E5240" s="225"/>
      <c r="F5240" s="1036" t="str">
        <f t="shared" si="1818"/>
        <v/>
      </c>
      <c r="G5240" s="1037" t="str">
        <f t="shared" si="1813"/>
        <v/>
      </c>
      <c r="H5240" s="225"/>
      <c r="I5240" s="1013"/>
      <c r="J5240" s="1013"/>
      <c r="K5240" s="1028"/>
      <c r="L5240" s="1035" t="str">
        <f t="shared" si="1817"/>
        <v/>
      </c>
      <c r="S5240" s="498"/>
      <c r="AJ5240" s="498"/>
      <c r="AM5240" s="498">
        <f t="shared" si="1798"/>
        <v>0</v>
      </c>
      <c r="AN5240" s="498">
        <f t="shared" si="1799"/>
        <v>0</v>
      </c>
      <c r="AO5240" s="498">
        <f t="shared" si="1800"/>
        <v>0</v>
      </c>
      <c r="AP5240" s="498">
        <f t="shared" si="1819"/>
        <v>0</v>
      </c>
      <c r="AQ5240" s="498">
        <f t="shared" si="1814"/>
        <v>0</v>
      </c>
      <c r="AU5240" s="498">
        <f t="shared" si="1801"/>
        <v>0</v>
      </c>
      <c r="AV5240" s="498">
        <f t="shared" si="1802"/>
        <v>0</v>
      </c>
      <c r="AW5240" s="498">
        <f t="shared" si="1803"/>
        <v>0</v>
      </c>
      <c r="AX5240" s="498">
        <f t="shared" si="1804"/>
        <v>0</v>
      </c>
      <c r="AY5240" s="498">
        <f t="shared" si="1805"/>
        <v>0</v>
      </c>
      <c r="BB5240" s="498" t="str">
        <f t="shared" si="1806"/>
        <v/>
      </c>
      <c r="BC5240" s="743" t="str">
        <f t="shared" si="1807"/>
        <v/>
      </c>
      <c r="BD5240" s="743" t="str">
        <f t="shared" si="1808"/>
        <v/>
      </c>
      <c r="BE5240" s="743" t="str">
        <f>IF(D5240="","",VLOOKUP(D5240,'General Basis'!$J$39:$K$46,2,0))</f>
        <v/>
      </c>
      <c r="BF5240" s="744" t="str">
        <f>IF(D5240="","",VLOOKUP(D5240,'General Basis'!$J$39:$L$46,3,0))</f>
        <v/>
      </c>
      <c r="BG5240" s="744" t="str">
        <f t="shared" si="1815"/>
        <v/>
      </c>
      <c r="BH5240" s="744" t="str">
        <f>IF(G5240="","",IF(BF5240="Abu Dhabi",IF(G5240&lt;18,'General Basis'!$C$39,IF(G5240&lt;41,'General Basis'!$C$40,IF(G5240&lt;60,'General Basis'!$C$41,IF(G5240&lt;65,'General Basis'!$C$42,'General Basis'!$C$43)))),IF(G5240&lt;11,'General Basis'!$B$39,IF(G5240&lt;18,'General Basis'!$B$40,IF(G5240&lt;26,'General Basis'!$B$41,IF(G5240&lt;31,'General Basis'!$B$42,IF(G5240&lt;36,'General Basis'!$B$43,IF(G5240&lt;41,'General Basis'!$B$44,IF(G5240&lt;46,'General Basis'!$B$45,IF(G5240&lt;51,'General Basis'!$B$46,IF(G5240&lt;56,'General Basis'!$B$47,IF(G5240&lt;60,'General Basis'!$B$48,IF(G5240&lt;65,'General Basis'!$B$49,'General Basis'!$B$50)))))))))))))</f>
        <v/>
      </c>
      <c r="BI5240" s="744" t="str">
        <f t="shared" si="1809"/>
        <v/>
      </c>
      <c r="BJ5240" s="747" t="str">
        <f t="shared" si="1816"/>
        <v/>
      </c>
      <c r="BK5240" s="498" t="str">
        <f t="shared" si="1810"/>
        <v/>
      </c>
      <c r="BL5240" s="498" t="str">
        <f t="shared" si="1811"/>
        <v/>
      </c>
    </row>
    <row r="5241" spans="1:64" x14ac:dyDescent="0.25">
      <c r="A5241" s="762">
        <f t="shared" si="1812"/>
        <v>5236</v>
      </c>
      <c r="B5241" s="229"/>
      <c r="C5241" s="223"/>
      <c r="D5241" s="224"/>
      <c r="E5241" s="225"/>
      <c r="F5241" s="1036" t="str">
        <f t="shared" si="1818"/>
        <v/>
      </c>
      <c r="G5241" s="1037" t="str">
        <f t="shared" si="1813"/>
        <v/>
      </c>
      <c r="H5241" s="225"/>
      <c r="I5241" s="1013"/>
      <c r="J5241" s="1013"/>
      <c r="K5241" s="1028"/>
      <c r="L5241" s="1035" t="str">
        <f t="shared" si="1817"/>
        <v/>
      </c>
      <c r="S5241" s="498"/>
      <c r="AJ5241" s="498"/>
      <c r="AM5241" s="498">
        <f t="shared" si="1798"/>
        <v>0</v>
      </c>
      <c r="AN5241" s="498">
        <f t="shared" si="1799"/>
        <v>0</v>
      </c>
      <c r="AO5241" s="498">
        <f t="shared" si="1800"/>
        <v>0</v>
      </c>
      <c r="AP5241" s="498">
        <f t="shared" si="1819"/>
        <v>0</v>
      </c>
      <c r="AQ5241" s="498">
        <f t="shared" si="1814"/>
        <v>0</v>
      </c>
      <c r="AU5241" s="498">
        <f t="shared" si="1801"/>
        <v>0</v>
      </c>
      <c r="AV5241" s="498">
        <f t="shared" si="1802"/>
        <v>0</v>
      </c>
      <c r="AW5241" s="498">
        <f t="shared" si="1803"/>
        <v>0</v>
      </c>
      <c r="AX5241" s="498">
        <f t="shared" si="1804"/>
        <v>0</v>
      </c>
      <c r="AY5241" s="498">
        <f t="shared" si="1805"/>
        <v>0</v>
      </c>
      <c r="BB5241" s="498" t="str">
        <f t="shared" si="1806"/>
        <v/>
      </c>
      <c r="BC5241" s="743" t="str">
        <f t="shared" si="1807"/>
        <v/>
      </c>
      <c r="BD5241" s="743" t="str">
        <f t="shared" si="1808"/>
        <v/>
      </c>
      <c r="BE5241" s="743" t="str">
        <f>IF(D5241="","",VLOOKUP(D5241,'General Basis'!$J$39:$K$46,2,0))</f>
        <v/>
      </c>
      <c r="BF5241" s="744" t="str">
        <f>IF(D5241="","",VLOOKUP(D5241,'General Basis'!$J$39:$L$46,3,0))</f>
        <v/>
      </c>
      <c r="BG5241" s="744" t="str">
        <f t="shared" si="1815"/>
        <v/>
      </c>
      <c r="BH5241" s="744" t="str">
        <f>IF(G5241="","",IF(BF5241="Abu Dhabi",IF(G5241&lt;18,'General Basis'!$C$39,IF(G5241&lt;41,'General Basis'!$C$40,IF(G5241&lt;60,'General Basis'!$C$41,IF(G5241&lt;65,'General Basis'!$C$42,'General Basis'!$C$43)))),IF(G5241&lt;11,'General Basis'!$B$39,IF(G5241&lt;18,'General Basis'!$B$40,IF(G5241&lt;26,'General Basis'!$B$41,IF(G5241&lt;31,'General Basis'!$B$42,IF(G5241&lt;36,'General Basis'!$B$43,IF(G5241&lt;41,'General Basis'!$B$44,IF(G5241&lt;46,'General Basis'!$B$45,IF(G5241&lt;51,'General Basis'!$B$46,IF(G5241&lt;56,'General Basis'!$B$47,IF(G5241&lt;60,'General Basis'!$B$48,IF(G5241&lt;65,'General Basis'!$B$49,'General Basis'!$B$50)))))))))))))</f>
        <v/>
      </c>
      <c r="BI5241" s="744" t="str">
        <f t="shared" si="1809"/>
        <v/>
      </c>
      <c r="BJ5241" s="747" t="str">
        <f t="shared" si="1816"/>
        <v/>
      </c>
      <c r="BK5241" s="498" t="str">
        <f t="shared" si="1810"/>
        <v/>
      </c>
      <c r="BL5241" s="498" t="str">
        <f t="shared" si="1811"/>
        <v/>
      </c>
    </row>
    <row r="5242" spans="1:64" x14ac:dyDescent="0.25">
      <c r="A5242" s="762">
        <f t="shared" si="1812"/>
        <v>5237</v>
      </c>
      <c r="B5242" s="229"/>
      <c r="C5242" s="223"/>
      <c r="D5242" s="224"/>
      <c r="E5242" s="225"/>
      <c r="F5242" s="1036" t="str">
        <f t="shared" si="1818"/>
        <v/>
      </c>
      <c r="G5242" s="1037" t="str">
        <f t="shared" si="1813"/>
        <v/>
      </c>
      <c r="H5242" s="225"/>
      <c r="I5242" s="1013"/>
      <c r="J5242" s="1013"/>
      <c r="K5242" s="1028"/>
      <c r="L5242" s="1035" t="str">
        <f t="shared" si="1817"/>
        <v/>
      </c>
      <c r="S5242" s="498"/>
      <c r="AJ5242" s="498"/>
      <c r="AM5242" s="498">
        <f t="shared" si="1798"/>
        <v>0</v>
      </c>
      <c r="AN5242" s="498">
        <f t="shared" si="1799"/>
        <v>0</v>
      </c>
      <c r="AO5242" s="498">
        <f t="shared" si="1800"/>
        <v>0</v>
      </c>
      <c r="AP5242" s="498">
        <f t="shared" si="1819"/>
        <v>0</v>
      </c>
      <c r="AQ5242" s="498">
        <f t="shared" si="1814"/>
        <v>0</v>
      </c>
      <c r="AU5242" s="498">
        <f t="shared" si="1801"/>
        <v>0</v>
      </c>
      <c r="AV5242" s="498">
        <f t="shared" si="1802"/>
        <v>0</v>
      </c>
      <c r="AW5242" s="498">
        <f t="shared" si="1803"/>
        <v>0</v>
      </c>
      <c r="AX5242" s="498">
        <f t="shared" si="1804"/>
        <v>0</v>
      </c>
      <c r="AY5242" s="498">
        <f t="shared" si="1805"/>
        <v>0</v>
      </c>
      <c r="BB5242" s="498" t="str">
        <f t="shared" si="1806"/>
        <v/>
      </c>
      <c r="BC5242" s="743" t="str">
        <f t="shared" si="1807"/>
        <v/>
      </c>
      <c r="BD5242" s="743" t="str">
        <f t="shared" si="1808"/>
        <v/>
      </c>
      <c r="BE5242" s="743" t="str">
        <f>IF(D5242="","",VLOOKUP(D5242,'General Basis'!$J$39:$K$46,2,0))</f>
        <v/>
      </c>
      <c r="BF5242" s="744" t="str">
        <f>IF(D5242="","",VLOOKUP(D5242,'General Basis'!$J$39:$L$46,3,0))</f>
        <v/>
      </c>
      <c r="BG5242" s="744" t="str">
        <f t="shared" si="1815"/>
        <v/>
      </c>
      <c r="BH5242" s="744" t="str">
        <f>IF(G5242="","",IF(BF5242="Abu Dhabi",IF(G5242&lt;18,'General Basis'!$C$39,IF(G5242&lt;41,'General Basis'!$C$40,IF(G5242&lt;60,'General Basis'!$C$41,IF(G5242&lt;65,'General Basis'!$C$42,'General Basis'!$C$43)))),IF(G5242&lt;11,'General Basis'!$B$39,IF(G5242&lt;18,'General Basis'!$B$40,IF(G5242&lt;26,'General Basis'!$B$41,IF(G5242&lt;31,'General Basis'!$B$42,IF(G5242&lt;36,'General Basis'!$B$43,IF(G5242&lt;41,'General Basis'!$B$44,IF(G5242&lt;46,'General Basis'!$B$45,IF(G5242&lt;51,'General Basis'!$B$46,IF(G5242&lt;56,'General Basis'!$B$47,IF(G5242&lt;60,'General Basis'!$B$48,IF(G5242&lt;65,'General Basis'!$B$49,'General Basis'!$B$50)))))))))))))</f>
        <v/>
      </c>
      <c r="BI5242" s="744" t="str">
        <f t="shared" si="1809"/>
        <v/>
      </c>
      <c r="BJ5242" s="747" t="str">
        <f t="shared" si="1816"/>
        <v/>
      </c>
      <c r="BK5242" s="498" t="str">
        <f t="shared" si="1810"/>
        <v/>
      </c>
      <c r="BL5242" s="498" t="str">
        <f t="shared" si="1811"/>
        <v/>
      </c>
    </row>
    <row r="5243" spans="1:64" x14ac:dyDescent="0.25">
      <c r="A5243" s="762">
        <f t="shared" si="1812"/>
        <v>5238</v>
      </c>
      <c r="B5243" s="229"/>
      <c r="C5243" s="223"/>
      <c r="D5243" s="224"/>
      <c r="E5243" s="225"/>
      <c r="F5243" s="1036" t="str">
        <f t="shared" si="1818"/>
        <v/>
      </c>
      <c r="G5243" s="1037" t="str">
        <f t="shared" si="1813"/>
        <v/>
      </c>
      <c r="H5243" s="225"/>
      <c r="I5243" s="1013"/>
      <c r="J5243" s="1013"/>
      <c r="K5243" s="1028"/>
      <c r="L5243" s="1035" t="str">
        <f t="shared" si="1817"/>
        <v/>
      </c>
      <c r="S5243" s="498"/>
      <c r="AJ5243" s="498"/>
      <c r="AM5243" s="498">
        <f t="shared" si="1798"/>
        <v>0</v>
      </c>
      <c r="AN5243" s="498">
        <f t="shared" si="1799"/>
        <v>0</v>
      </c>
      <c r="AO5243" s="498">
        <f t="shared" si="1800"/>
        <v>0</v>
      </c>
      <c r="AP5243" s="498">
        <f t="shared" si="1819"/>
        <v>0</v>
      </c>
      <c r="AQ5243" s="498">
        <f t="shared" si="1814"/>
        <v>0</v>
      </c>
      <c r="AU5243" s="498">
        <f t="shared" si="1801"/>
        <v>0</v>
      </c>
      <c r="AV5243" s="498">
        <f t="shared" si="1802"/>
        <v>0</v>
      </c>
      <c r="AW5243" s="498">
        <f t="shared" si="1803"/>
        <v>0</v>
      </c>
      <c r="AX5243" s="498">
        <f t="shared" si="1804"/>
        <v>0</v>
      </c>
      <c r="AY5243" s="498">
        <f t="shared" si="1805"/>
        <v>0</v>
      </c>
      <c r="BB5243" s="498" t="str">
        <f t="shared" si="1806"/>
        <v/>
      </c>
      <c r="BC5243" s="743" t="str">
        <f t="shared" si="1807"/>
        <v/>
      </c>
      <c r="BD5243" s="743" t="str">
        <f t="shared" si="1808"/>
        <v/>
      </c>
      <c r="BE5243" s="743" t="str">
        <f>IF(D5243="","",VLOOKUP(D5243,'General Basis'!$J$39:$K$46,2,0))</f>
        <v/>
      </c>
      <c r="BF5243" s="744" t="str">
        <f>IF(D5243="","",VLOOKUP(D5243,'General Basis'!$J$39:$L$46,3,0))</f>
        <v/>
      </c>
      <c r="BG5243" s="744" t="str">
        <f t="shared" si="1815"/>
        <v/>
      </c>
      <c r="BH5243" s="744" t="str">
        <f>IF(G5243="","",IF(BF5243="Abu Dhabi",IF(G5243&lt;18,'General Basis'!$C$39,IF(G5243&lt;41,'General Basis'!$C$40,IF(G5243&lt;60,'General Basis'!$C$41,IF(G5243&lt;65,'General Basis'!$C$42,'General Basis'!$C$43)))),IF(G5243&lt;11,'General Basis'!$B$39,IF(G5243&lt;18,'General Basis'!$B$40,IF(G5243&lt;26,'General Basis'!$B$41,IF(G5243&lt;31,'General Basis'!$B$42,IF(G5243&lt;36,'General Basis'!$B$43,IF(G5243&lt;41,'General Basis'!$B$44,IF(G5243&lt;46,'General Basis'!$B$45,IF(G5243&lt;51,'General Basis'!$B$46,IF(G5243&lt;56,'General Basis'!$B$47,IF(G5243&lt;60,'General Basis'!$B$48,IF(G5243&lt;65,'General Basis'!$B$49,'General Basis'!$B$50)))))))))))))</f>
        <v/>
      </c>
      <c r="BI5243" s="744" t="str">
        <f t="shared" si="1809"/>
        <v/>
      </c>
      <c r="BJ5243" s="747" t="str">
        <f t="shared" si="1816"/>
        <v/>
      </c>
      <c r="BK5243" s="498" t="str">
        <f t="shared" si="1810"/>
        <v/>
      </c>
      <c r="BL5243" s="498" t="str">
        <f t="shared" si="1811"/>
        <v/>
      </c>
    </row>
    <row r="5244" spans="1:64" x14ac:dyDescent="0.25">
      <c r="A5244" s="762">
        <f t="shared" si="1812"/>
        <v>5239</v>
      </c>
      <c r="B5244" s="229"/>
      <c r="C5244" s="223"/>
      <c r="D5244" s="224"/>
      <c r="E5244" s="225"/>
      <c r="F5244" s="1036" t="str">
        <f t="shared" si="1818"/>
        <v/>
      </c>
      <c r="G5244" s="1037" t="str">
        <f t="shared" si="1813"/>
        <v/>
      </c>
      <c r="H5244" s="225"/>
      <c r="I5244" s="1013"/>
      <c r="J5244" s="1013"/>
      <c r="K5244" s="1028"/>
      <c r="L5244" s="1035" t="str">
        <f t="shared" si="1817"/>
        <v/>
      </c>
      <c r="S5244" s="498"/>
      <c r="AJ5244" s="498"/>
      <c r="AM5244" s="498">
        <f t="shared" si="1798"/>
        <v>0</v>
      </c>
      <c r="AN5244" s="498">
        <f t="shared" si="1799"/>
        <v>0</v>
      </c>
      <c r="AO5244" s="498">
        <f t="shared" si="1800"/>
        <v>0</v>
      </c>
      <c r="AP5244" s="498">
        <f t="shared" si="1819"/>
        <v>0</v>
      </c>
      <c r="AQ5244" s="498">
        <f t="shared" si="1814"/>
        <v>0</v>
      </c>
      <c r="AU5244" s="498">
        <f t="shared" si="1801"/>
        <v>0</v>
      </c>
      <c r="AV5244" s="498">
        <f t="shared" si="1802"/>
        <v>0</v>
      </c>
      <c r="AW5244" s="498">
        <f t="shared" si="1803"/>
        <v>0</v>
      </c>
      <c r="AX5244" s="498">
        <f t="shared" si="1804"/>
        <v>0</v>
      </c>
      <c r="AY5244" s="498">
        <f t="shared" si="1805"/>
        <v>0</v>
      </c>
      <c r="BB5244" s="498" t="str">
        <f t="shared" si="1806"/>
        <v/>
      </c>
      <c r="BC5244" s="743" t="str">
        <f t="shared" si="1807"/>
        <v/>
      </c>
      <c r="BD5244" s="743" t="str">
        <f t="shared" si="1808"/>
        <v/>
      </c>
      <c r="BE5244" s="743" t="str">
        <f>IF(D5244="","",VLOOKUP(D5244,'General Basis'!$J$39:$K$46,2,0))</f>
        <v/>
      </c>
      <c r="BF5244" s="744" t="str">
        <f>IF(D5244="","",VLOOKUP(D5244,'General Basis'!$J$39:$L$46,3,0))</f>
        <v/>
      </c>
      <c r="BG5244" s="744" t="str">
        <f t="shared" si="1815"/>
        <v/>
      </c>
      <c r="BH5244" s="744" t="str">
        <f>IF(G5244="","",IF(BF5244="Abu Dhabi",IF(G5244&lt;18,'General Basis'!$C$39,IF(G5244&lt;41,'General Basis'!$C$40,IF(G5244&lt;60,'General Basis'!$C$41,IF(G5244&lt;65,'General Basis'!$C$42,'General Basis'!$C$43)))),IF(G5244&lt;11,'General Basis'!$B$39,IF(G5244&lt;18,'General Basis'!$B$40,IF(G5244&lt;26,'General Basis'!$B$41,IF(G5244&lt;31,'General Basis'!$B$42,IF(G5244&lt;36,'General Basis'!$B$43,IF(G5244&lt;41,'General Basis'!$B$44,IF(G5244&lt;46,'General Basis'!$B$45,IF(G5244&lt;51,'General Basis'!$B$46,IF(G5244&lt;56,'General Basis'!$B$47,IF(G5244&lt;60,'General Basis'!$B$48,IF(G5244&lt;65,'General Basis'!$B$49,'General Basis'!$B$50)))))))))))))</f>
        <v/>
      </c>
      <c r="BI5244" s="744" t="str">
        <f t="shared" si="1809"/>
        <v/>
      </c>
      <c r="BJ5244" s="747" t="str">
        <f t="shared" si="1816"/>
        <v/>
      </c>
      <c r="BK5244" s="498" t="str">
        <f t="shared" si="1810"/>
        <v/>
      </c>
      <c r="BL5244" s="498" t="str">
        <f t="shared" si="1811"/>
        <v/>
      </c>
    </row>
    <row r="5245" spans="1:64" x14ac:dyDescent="0.25">
      <c r="A5245" s="762">
        <f t="shared" si="1812"/>
        <v>5240</v>
      </c>
      <c r="B5245" s="229"/>
      <c r="C5245" s="223"/>
      <c r="D5245" s="224"/>
      <c r="E5245" s="225"/>
      <c r="F5245" s="1036" t="str">
        <f t="shared" si="1818"/>
        <v/>
      </c>
      <c r="G5245" s="1037" t="str">
        <f t="shared" si="1813"/>
        <v/>
      </c>
      <c r="H5245" s="225"/>
      <c r="I5245" s="1013"/>
      <c r="J5245" s="1013"/>
      <c r="K5245" s="1028"/>
      <c r="L5245" s="1035" t="str">
        <f t="shared" si="1817"/>
        <v/>
      </c>
      <c r="S5245" s="498"/>
      <c r="AJ5245" s="498"/>
      <c r="AM5245" s="498">
        <f t="shared" si="1798"/>
        <v>0</v>
      </c>
      <c r="AN5245" s="498">
        <f t="shared" si="1799"/>
        <v>0</v>
      </c>
      <c r="AO5245" s="498">
        <f t="shared" si="1800"/>
        <v>0</v>
      </c>
      <c r="AP5245" s="498">
        <f t="shared" si="1819"/>
        <v>0</v>
      </c>
      <c r="AQ5245" s="498">
        <f t="shared" si="1814"/>
        <v>0</v>
      </c>
      <c r="AU5245" s="498">
        <f t="shared" si="1801"/>
        <v>0</v>
      </c>
      <c r="AV5245" s="498">
        <f t="shared" si="1802"/>
        <v>0</v>
      </c>
      <c r="AW5245" s="498">
        <f t="shared" si="1803"/>
        <v>0</v>
      </c>
      <c r="AX5245" s="498">
        <f t="shared" si="1804"/>
        <v>0</v>
      </c>
      <c r="AY5245" s="498">
        <f t="shared" si="1805"/>
        <v>0</v>
      </c>
      <c r="BB5245" s="498" t="str">
        <f t="shared" si="1806"/>
        <v/>
      </c>
      <c r="BC5245" s="743" t="str">
        <f t="shared" si="1807"/>
        <v/>
      </c>
      <c r="BD5245" s="743" t="str">
        <f t="shared" si="1808"/>
        <v/>
      </c>
      <c r="BE5245" s="743" t="str">
        <f>IF(D5245="","",VLOOKUP(D5245,'General Basis'!$J$39:$K$46,2,0))</f>
        <v/>
      </c>
      <c r="BF5245" s="744" t="str">
        <f>IF(D5245="","",VLOOKUP(D5245,'General Basis'!$J$39:$L$46,3,0))</f>
        <v/>
      </c>
      <c r="BG5245" s="744" t="str">
        <f t="shared" si="1815"/>
        <v/>
      </c>
      <c r="BH5245" s="744" t="str">
        <f>IF(G5245="","",IF(BF5245="Abu Dhabi",IF(G5245&lt;18,'General Basis'!$C$39,IF(G5245&lt;41,'General Basis'!$C$40,IF(G5245&lt;60,'General Basis'!$C$41,IF(G5245&lt;65,'General Basis'!$C$42,'General Basis'!$C$43)))),IF(G5245&lt;11,'General Basis'!$B$39,IF(G5245&lt;18,'General Basis'!$B$40,IF(G5245&lt;26,'General Basis'!$B$41,IF(G5245&lt;31,'General Basis'!$B$42,IF(G5245&lt;36,'General Basis'!$B$43,IF(G5245&lt;41,'General Basis'!$B$44,IF(G5245&lt;46,'General Basis'!$B$45,IF(G5245&lt;51,'General Basis'!$B$46,IF(G5245&lt;56,'General Basis'!$B$47,IF(G5245&lt;60,'General Basis'!$B$48,IF(G5245&lt;65,'General Basis'!$B$49,'General Basis'!$B$50)))))))))))))</f>
        <v/>
      </c>
      <c r="BI5245" s="744" t="str">
        <f t="shared" si="1809"/>
        <v/>
      </c>
      <c r="BJ5245" s="747" t="str">
        <f t="shared" si="1816"/>
        <v/>
      </c>
      <c r="BK5245" s="498" t="str">
        <f t="shared" si="1810"/>
        <v/>
      </c>
      <c r="BL5245" s="498" t="str">
        <f t="shared" si="1811"/>
        <v/>
      </c>
    </row>
    <row r="5246" spans="1:64" x14ac:dyDescent="0.25">
      <c r="A5246" s="762">
        <f t="shared" si="1812"/>
        <v>5241</v>
      </c>
      <c r="B5246" s="229"/>
      <c r="C5246" s="223"/>
      <c r="D5246" s="224"/>
      <c r="E5246" s="225"/>
      <c r="F5246" s="1036" t="str">
        <f t="shared" si="1818"/>
        <v/>
      </c>
      <c r="G5246" s="1037" t="str">
        <f t="shared" si="1813"/>
        <v/>
      </c>
      <c r="H5246" s="225"/>
      <c r="I5246" s="1013"/>
      <c r="J5246" s="1013"/>
      <c r="K5246" s="1028"/>
      <c r="L5246" s="1035" t="str">
        <f t="shared" si="1817"/>
        <v/>
      </c>
      <c r="S5246" s="498"/>
      <c r="AJ5246" s="498"/>
      <c r="AM5246" s="498">
        <f t="shared" si="1798"/>
        <v>0</v>
      </c>
      <c r="AN5246" s="498">
        <f t="shared" si="1799"/>
        <v>0</v>
      </c>
      <c r="AO5246" s="498">
        <f t="shared" si="1800"/>
        <v>0</v>
      </c>
      <c r="AP5246" s="498">
        <f t="shared" si="1819"/>
        <v>0</v>
      </c>
      <c r="AQ5246" s="498">
        <f t="shared" si="1814"/>
        <v>0</v>
      </c>
      <c r="AU5246" s="498">
        <f t="shared" si="1801"/>
        <v>0</v>
      </c>
      <c r="AV5246" s="498">
        <f t="shared" si="1802"/>
        <v>0</v>
      </c>
      <c r="AW5246" s="498">
        <f t="shared" si="1803"/>
        <v>0</v>
      </c>
      <c r="AX5246" s="498">
        <f t="shared" si="1804"/>
        <v>0</v>
      </c>
      <c r="AY5246" s="498">
        <f t="shared" si="1805"/>
        <v>0</v>
      </c>
      <c r="BB5246" s="498" t="str">
        <f t="shared" si="1806"/>
        <v/>
      </c>
      <c r="BC5246" s="743" t="str">
        <f t="shared" si="1807"/>
        <v/>
      </c>
      <c r="BD5246" s="743" t="str">
        <f t="shared" si="1808"/>
        <v/>
      </c>
      <c r="BE5246" s="743" t="str">
        <f>IF(D5246="","",VLOOKUP(D5246,'General Basis'!$J$39:$K$46,2,0))</f>
        <v/>
      </c>
      <c r="BF5246" s="744" t="str">
        <f>IF(D5246="","",VLOOKUP(D5246,'General Basis'!$J$39:$L$46,3,0))</f>
        <v/>
      </c>
      <c r="BG5246" s="744" t="str">
        <f t="shared" si="1815"/>
        <v/>
      </c>
      <c r="BH5246" s="744" t="str">
        <f>IF(G5246="","",IF(BF5246="Abu Dhabi",IF(G5246&lt;18,'General Basis'!$C$39,IF(G5246&lt;41,'General Basis'!$C$40,IF(G5246&lt;60,'General Basis'!$C$41,IF(G5246&lt;65,'General Basis'!$C$42,'General Basis'!$C$43)))),IF(G5246&lt;11,'General Basis'!$B$39,IF(G5246&lt;18,'General Basis'!$B$40,IF(G5246&lt;26,'General Basis'!$B$41,IF(G5246&lt;31,'General Basis'!$B$42,IF(G5246&lt;36,'General Basis'!$B$43,IF(G5246&lt;41,'General Basis'!$B$44,IF(G5246&lt;46,'General Basis'!$B$45,IF(G5246&lt;51,'General Basis'!$B$46,IF(G5246&lt;56,'General Basis'!$B$47,IF(G5246&lt;60,'General Basis'!$B$48,IF(G5246&lt;65,'General Basis'!$B$49,'General Basis'!$B$50)))))))))))))</f>
        <v/>
      </c>
      <c r="BI5246" s="744" t="str">
        <f t="shared" si="1809"/>
        <v/>
      </c>
      <c r="BJ5246" s="747" t="str">
        <f t="shared" si="1816"/>
        <v/>
      </c>
      <c r="BK5246" s="498" t="str">
        <f t="shared" si="1810"/>
        <v/>
      </c>
      <c r="BL5246" s="498" t="str">
        <f t="shared" si="1811"/>
        <v/>
      </c>
    </row>
    <row r="5247" spans="1:64" x14ac:dyDescent="0.25">
      <c r="A5247" s="762">
        <f t="shared" si="1812"/>
        <v>5242</v>
      </c>
      <c r="B5247" s="229"/>
      <c r="C5247" s="223"/>
      <c r="D5247" s="224"/>
      <c r="E5247" s="225"/>
      <c r="F5247" s="1036" t="str">
        <f t="shared" si="1818"/>
        <v/>
      </c>
      <c r="G5247" s="1037" t="str">
        <f t="shared" si="1813"/>
        <v/>
      </c>
      <c r="H5247" s="225"/>
      <c r="I5247" s="1013"/>
      <c r="J5247" s="1013"/>
      <c r="K5247" s="1028"/>
      <c r="L5247" s="1035" t="str">
        <f t="shared" si="1817"/>
        <v/>
      </c>
      <c r="S5247" s="498"/>
      <c r="AJ5247" s="498"/>
      <c r="AM5247" s="498">
        <f t="shared" si="1798"/>
        <v>0</v>
      </c>
      <c r="AN5247" s="498">
        <f t="shared" si="1799"/>
        <v>0</v>
      </c>
      <c r="AO5247" s="498">
        <f t="shared" si="1800"/>
        <v>0</v>
      </c>
      <c r="AP5247" s="498">
        <f t="shared" si="1819"/>
        <v>0</v>
      </c>
      <c r="AQ5247" s="498">
        <f t="shared" si="1814"/>
        <v>0</v>
      </c>
      <c r="AU5247" s="498">
        <f t="shared" si="1801"/>
        <v>0</v>
      </c>
      <c r="AV5247" s="498">
        <f t="shared" si="1802"/>
        <v>0</v>
      </c>
      <c r="AW5247" s="498">
        <f t="shared" si="1803"/>
        <v>0</v>
      </c>
      <c r="AX5247" s="498">
        <f t="shared" si="1804"/>
        <v>0</v>
      </c>
      <c r="AY5247" s="498">
        <f t="shared" si="1805"/>
        <v>0</v>
      </c>
      <c r="BB5247" s="498" t="str">
        <f t="shared" si="1806"/>
        <v/>
      </c>
      <c r="BC5247" s="743" t="str">
        <f t="shared" si="1807"/>
        <v/>
      </c>
      <c r="BD5247" s="743" t="str">
        <f t="shared" si="1808"/>
        <v/>
      </c>
      <c r="BE5247" s="743" t="str">
        <f>IF(D5247="","",VLOOKUP(D5247,'General Basis'!$J$39:$K$46,2,0))</f>
        <v/>
      </c>
      <c r="BF5247" s="744" t="str">
        <f>IF(D5247="","",VLOOKUP(D5247,'General Basis'!$J$39:$L$46,3,0))</f>
        <v/>
      </c>
      <c r="BG5247" s="744" t="str">
        <f t="shared" si="1815"/>
        <v/>
      </c>
      <c r="BH5247" s="744" t="str">
        <f>IF(G5247="","",IF(BF5247="Abu Dhabi",IF(G5247&lt;18,'General Basis'!$C$39,IF(G5247&lt;41,'General Basis'!$C$40,IF(G5247&lt;60,'General Basis'!$C$41,IF(G5247&lt;65,'General Basis'!$C$42,'General Basis'!$C$43)))),IF(G5247&lt;11,'General Basis'!$B$39,IF(G5247&lt;18,'General Basis'!$B$40,IF(G5247&lt;26,'General Basis'!$B$41,IF(G5247&lt;31,'General Basis'!$B$42,IF(G5247&lt;36,'General Basis'!$B$43,IF(G5247&lt;41,'General Basis'!$B$44,IF(G5247&lt;46,'General Basis'!$B$45,IF(G5247&lt;51,'General Basis'!$B$46,IF(G5247&lt;56,'General Basis'!$B$47,IF(G5247&lt;60,'General Basis'!$B$48,IF(G5247&lt;65,'General Basis'!$B$49,'General Basis'!$B$50)))))))))))))</f>
        <v/>
      </c>
      <c r="BI5247" s="744" t="str">
        <f t="shared" si="1809"/>
        <v/>
      </c>
      <c r="BJ5247" s="747" t="str">
        <f t="shared" si="1816"/>
        <v/>
      </c>
      <c r="BK5247" s="498" t="str">
        <f t="shared" si="1810"/>
        <v/>
      </c>
      <c r="BL5247" s="498" t="str">
        <f t="shared" si="1811"/>
        <v/>
      </c>
    </row>
    <row r="5248" spans="1:64" x14ac:dyDescent="0.25">
      <c r="A5248" s="762">
        <f t="shared" si="1812"/>
        <v>5243</v>
      </c>
      <c r="B5248" s="229"/>
      <c r="C5248" s="223"/>
      <c r="D5248" s="224"/>
      <c r="E5248" s="225"/>
      <c r="F5248" s="1036" t="str">
        <f t="shared" si="1818"/>
        <v/>
      </c>
      <c r="G5248" s="1037" t="str">
        <f t="shared" si="1813"/>
        <v/>
      </c>
      <c r="H5248" s="225"/>
      <c r="I5248" s="1013"/>
      <c r="J5248" s="1013"/>
      <c r="K5248" s="1028"/>
      <c r="L5248" s="1035" t="str">
        <f t="shared" si="1817"/>
        <v/>
      </c>
      <c r="S5248" s="498"/>
      <c r="AJ5248" s="498"/>
      <c r="AM5248" s="498">
        <f t="shared" si="1798"/>
        <v>0</v>
      </c>
      <c r="AN5248" s="498">
        <f t="shared" si="1799"/>
        <v>0</v>
      </c>
      <c r="AO5248" s="498">
        <f t="shared" si="1800"/>
        <v>0</v>
      </c>
      <c r="AP5248" s="498">
        <f t="shared" si="1819"/>
        <v>0</v>
      </c>
      <c r="AQ5248" s="498">
        <f t="shared" si="1814"/>
        <v>0</v>
      </c>
      <c r="AU5248" s="498">
        <f t="shared" si="1801"/>
        <v>0</v>
      </c>
      <c r="AV5248" s="498">
        <f t="shared" si="1802"/>
        <v>0</v>
      </c>
      <c r="AW5248" s="498">
        <f t="shared" si="1803"/>
        <v>0</v>
      </c>
      <c r="AX5248" s="498">
        <f t="shared" si="1804"/>
        <v>0</v>
      </c>
      <c r="AY5248" s="498">
        <f t="shared" si="1805"/>
        <v>0</v>
      </c>
      <c r="BB5248" s="498" t="str">
        <f t="shared" si="1806"/>
        <v/>
      </c>
      <c r="BC5248" s="743" t="str">
        <f t="shared" si="1807"/>
        <v/>
      </c>
      <c r="BD5248" s="743" t="str">
        <f t="shared" si="1808"/>
        <v/>
      </c>
      <c r="BE5248" s="743" t="str">
        <f>IF(D5248="","",VLOOKUP(D5248,'General Basis'!$J$39:$K$46,2,0))</f>
        <v/>
      </c>
      <c r="BF5248" s="744" t="str">
        <f>IF(D5248="","",VLOOKUP(D5248,'General Basis'!$J$39:$L$46,3,0))</f>
        <v/>
      </c>
      <c r="BG5248" s="744" t="str">
        <f t="shared" si="1815"/>
        <v/>
      </c>
      <c r="BH5248" s="744" t="str">
        <f>IF(G5248="","",IF(BF5248="Abu Dhabi",IF(G5248&lt;18,'General Basis'!$C$39,IF(G5248&lt;41,'General Basis'!$C$40,IF(G5248&lt;60,'General Basis'!$C$41,IF(G5248&lt;65,'General Basis'!$C$42,'General Basis'!$C$43)))),IF(G5248&lt;11,'General Basis'!$B$39,IF(G5248&lt;18,'General Basis'!$B$40,IF(G5248&lt;26,'General Basis'!$B$41,IF(G5248&lt;31,'General Basis'!$B$42,IF(G5248&lt;36,'General Basis'!$B$43,IF(G5248&lt;41,'General Basis'!$B$44,IF(G5248&lt;46,'General Basis'!$B$45,IF(G5248&lt;51,'General Basis'!$B$46,IF(G5248&lt;56,'General Basis'!$B$47,IF(G5248&lt;60,'General Basis'!$B$48,IF(G5248&lt;65,'General Basis'!$B$49,'General Basis'!$B$50)))))))))))))</f>
        <v/>
      </c>
      <c r="BI5248" s="744" t="str">
        <f t="shared" si="1809"/>
        <v/>
      </c>
      <c r="BJ5248" s="747" t="str">
        <f t="shared" si="1816"/>
        <v/>
      </c>
      <c r="BK5248" s="498" t="str">
        <f t="shared" si="1810"/>
        <v/>
      </c>
      <c r="BL5248" s="498" t="str">
        <f t="shared" si="1811"/>
        <v/>
      </c>
    </row>
    <row r="5249" spans="1:64" x14ac:dyDescent="0.25">
      <c r="A5249" s="762">
        <f t="shared" si="1812"/>
        <v>5244</v>
      </c>
      <c r="B5249" s="229"/>
      <c r="C5249" s="223"/>
      <c r="D5249" s="224"/>
      <c r="E5249" s="225"/>
      <c r="F5249" s="1036" t="str">
        <f t="shared" si="1818"/>
        <v/>
      </c>
      <c r="G5249" s="1037" t="str">
        <f t="shared" si="1813"/>
        <v/>
      </c>
      <c r="H5249" s="225"/>
      <c r="I5249" s="1013"/>
      <c r="J5249" s="1013"/>
      <c r="K5249" s="1028"/>
      <c r="L5249" s="1035" t="str">
        <f t="shared" si="1817"/>
        <v/>
      </c>
      <c r="S5249" s="498"/>
      <c r="AJ5249" s="498"/>
      <c r="AM5249" s="498">
        <f t="shared" si="1798"/>
        <v>0</v>
      </c>
      <c r="AN5249" s="498">
        <f t="shared" si="1799"/>
        <v>0</v>
      </c>
      <c r="AO5249" s="498">
        <f t="shared" si="1800"/>
        <v>0</v>
      </c>
      <c r="AP5249" s="498">
        <f t="shared" si="1819"/>
        <v>0</v>
      </c>
      <c r="AQ5249" s="498">
        <f t="shared" si="1814"/>
        <v>0</v>
      </c>
      <c r="AU5249" s="498">
        <f t="shared" si="1801"/>
        <v>0</v>
      </c>
      <c r="AV5249" s="498">
        <f t="shared" si="1802"/>
        <v>0</v>
      </c>
      <c r="AW5249" s="498">
        <f t="shared" si="1803"/>
        <v>0</v>
      </c>
      <c r="AX5249" s="498">
        <f t="shared" si="1804"/>
        <v>0</v>
      </c>
      <c r="AY5249" s="498">
        <f t="shared" si="1805"/>
        <v>0</v>
      </c>
      <c r="BB5249" s="498" t="str">
        <f t="shared" si="1806"/>
        <v/>
      </c>
      <c r="BC5249" s="743" t="str">
        <f t="shared" si="1807"/>
        <v/>
      </c>
      <c r="BD5249" s="743" t="str">
        <f t="shared" si="1808"/>
        <v/>
      </c>
      <c r="BE5249" s="743" t="str">
        <f>IF(D5249="","",VLOOKUP(D5249,'General Basis'!$J$39:$K$46,2,0))</f>
        <v/>
      </c>
      <c r="BF5249" s="744" t="str">
        <f>IF(D5249="","",VLOOKUP(D5249,'General Basis'!$J$39:$L$46,3,0))</f>
        <v/>
      </c>
      <c r="BG5249" s="744" t="str">
        <f t="shared" si="1815"/>
        <v/>
      </c>
      <c r="BH5249" s="744" t="str">
        <f>IF(G5249="","",IF(BF5249="Abu Dhabi",IF(G5249&lt;18,'General Basis'!$C$39,IF(G5249&lt;41,'General Basis'!$C$40,IF(G5249&lt;60,'General Basis'!$C$41,IF(G5249&lt;65,'General Basis'!$C$42,'General Basis'!$C$43)))),IF(G5249&lt;11,'General Basis'!$B$39,IF(G5249&lt;18,'General Basis'!$B$40,IF(G5249&lt;26,'General Basis'!$B$41,IF(G5249&lt;31,'General Basis'!$B$42,IF(G5249&lt;36,'General Basis'!$B$43,IF(G5249&lt;41,'General Basis'!$B$44,IF(G5249&lt;46,'General Basis'!$B$45,IF(G5249&lt;51,'General Basis'!$B$46,IF(G5249&lt;56,'General Basis'!$B$47,IF(G5249&lt;60,'General Basis'!$B$48,IF(G5249&lt;65,'General Basis'!$B$49,'General Basis'!$B$50)))))))))))))</f>
        <v/>
      </c>
      <c r="BI5249" s="744" t="str">
        <f t="shared" si="1809"/>
        <v/>
      </c>
      <c r="BJ5249" s="747" t="str">
        <f t="shared" si="1816"/>
        <v/>
      </c>
      <c r="BK5249" s="498" t="str">
        <f t="shared" si="1810"/>
        <v/>
      </c>
      <c r="BL5249" s="498" t="str">
        <f t="shared" si="1811"/>
        <v/>
      </c>
    </row>
    <row r="5250" spans="1:64" x14ac:dyDescent="0.25">
      <c r="A5250" s="762">
        <f t="shared" si="1812"/>
        <v>5245</v>
      </c>
      <c r="B5250" s="229"/>
      <c r="C5250" s="223"/>
      <c r="D5250" s="224"/>
      <c r="E5250" s="225"/>
      <c r="F5250" s="1036" t="str">
        <f t="shared" si="1818"/>
        <v/>
      </c>
      <c r="G5250" s="1037" t="str">
        <f t="shared" si="1813"/>
        <v/>
      </c>
      <c r="H5250" s="225"/>
      <c r="I5250" s="1013"/>
      <c r="J5250" s="1013"/>
      <c r="K5250" s="1028"/>
      <c r="L5250" s="1035" t="str">
        <f t="shared" si="1817"/>
        <v/>
      </c>
      <c r="S5250" s="498"/>
      <c r="AJ5250" s="498"/>
      <c r="AM5250" s="498">
        <f t="shared" si="1798"/>
        <v>0</v>
      </c>
      <c r="AN5250" s="498">
        <f t="shared" si="1799"/>
        <v>0</v>
      </c>
      <c r="AO5250" s="498">
        <f t="shared" si="1800"/>
        <v>0</v>
      </c>
      <c r="AP5250" s="498">
        <f t="shared" si="1819"/>
        <v>0</v>
      </c>
      <c r="AQ5250" s="498">
        <f t="shared" si="1814"/>
        <v>0</v>
      </c>
      <c r="AU5250" s="498">
        <f t="shared" si="1801"/>
        <v>0</v>
      </c>
      <c r="AV5250" s="498">
        <f t="shared" si="1802"/>
        <v>0</v>
      </c>
      <c r="AW5250" s="498">
        <f t="shared" si="1803"/>
        <v>0</v>
      </c>
      <c r="AX5250" s="498">
        <f t="shared" si="1804"/>
        <v>0</v>
      </c>
      <c r="AY5250" s="498">
        <f t="shared" si="1805"/>
        <v>0</v>
      </c>
      <c r="BB5250" s="498" t="str">
        <f t="shared" si="1806"/>
        <v/>
      </c>
      <c r="BC5250" s="743" t="str">
        <f t="shared" si="1807"/>
        <v/>
      </c>
      <c r="BD5250" s="743" t="str">
        <f t="shared" si="1808"/>
        <v/>
      </c>
      <c r="BE5250" s="743" t="str">
        <f>IF(D5250="","",VLOOKUP(D5250,'General Basis'!$J$39:$K$46,2,0))</f>
        <v/>
      </c>
      <c r="BF5250" s="744" t="str">
        <f>IF(D5250="","",VLOOKUP(D5250,'General Basis'!$J$39:$L$46,3,0))</f>
        <v/>
      </c>
      <c r="BG5250" s="744" t="str">
        <f t="shared" si="1815"/>
        <v/>
      </c>
      <c r="BH5250" s="744" t="str">
        <f>IF(G5250="","",IF(BF5250="Abu Dhabi",IF(G5250&lt;18,'General Basis'!$C$39,IF(G5250&lt;41,'General Basis'!$C$40,IF(G5250&lt;60,'General Basis'!$C$41,IF(G5250&lt;65,'General Basis'!$C$42,'General Basis'!$C$43)))),IF(G5250&lt;11,'General Basis'!$B$39,IF(G5250&lt;18,'General Basis'!$B$40,IF(G5250&lt;26,'General Basis'!$B$41,IF(G5250&lt;31,'General Basis'!$B$42,IF(G5250&lt;36,'General Basis'!$B$43,IF(G5250&lt;41,'General Basis'!$B$44,IF(G5250&lt;46,'General Basis'!$B$45,IF(G5250&lt;51,'General Basis'!$B$46,IF(G5250&lt;56,'General Basis'!$B$47,IF(G5250&lt;60,'General Basis'!$B$48,IF(G5250&lt;65,'General Basis'!$B$49,'General Basis'!$B$50)))))))))))))</f>
        <v/>
      </c>
      <c r="BI5250" s="744" t="str">
        <f t="shared" si="1809"/>
        <v/>
      </c>
      <c r="BJ5250" s="747" t="str">
        <f t="shared" si="1816"/>
        <v/>
      </c>
      <c r="BK5250" s="498" t="str">
        <f t="shared" si="1810"/>
        <v/>
      </c>
      <c r="BL5250" s="498" t="str">
        <f t="shared" si="1811"/>
        <v/>
      </c>
    </row>
    <row r="5251" spans="1:64" x14ac:dyDescent="0.25">
      <c r="A5251" s="762">
        <f t="shared" si="1812"/>
        <v>5246</v>
      </c>
      <c r="B5251" s="229"/>
      <c r="C5251" s="223"/>
      <c r="D5251" s="224"/>
      <c r="E5251" s="225"/>
      <c r="F5251" s="1036" t="str">
        <f t="shared" si="1818"/>
        <v/>
      </c>
      <c r="G5251" s="1037" t="str">
        <f t="shared" si="1813"/>
        <v/>
      </c>
      <c r="H5251" s="225"/>
      <c r="I5251" s="1013"/>
      <c r="J5251" s="1013"/>
      <c r="K5251" s="1028"/>
      <c r="L5251" s="1035" t="str">
        <f t="shared" si="1817"/>
        <v/>
      </c>
      <c r="S5251" s="498"/>
      <c r="AJ5251" s="498"/>
      <c r="AM5251" s="498">
        <f t="shared" si="1798"/>
        <v>0</v>
      </c>
      <c r="AN5251" s="498">
        <f t="shared" si="1799"/>
        <v>0</v>
      </c>
      <c r="AO5251" s="498">
        <f t="shared" si="1800"/>
        <v>0</v>
      </c>
      <c r="AP5251" s="498">
        <f t="shared" si="1819"/>
        <v>0</v>
      </c>
      <c r="AQ5251" s="498">
        <f t="shared" si="1814"/>
        <v>0</v>
      </c>
      <c r="AU5251" s="498">
        <f t="shared" si="1801"/>
        <v>0</v>
      </c>
      <c r="AV5251" s="498">
        <f t="shared" si="1802"/>
        <v>0</v>
      </c>
      <c r="AW5251" s="498">
        <f t="shared" si="1803"/>
        <v>0</v>
      </c>
      <c r="AX5251" s="498">
        <f t="shared" si="1804"/>
        <v>0</v>
      </c>
      <c r="AY5251" s="498">
        <f t="shared" si="1805"/>
        <v>0</v>
      </c>
      <c r="BB5251" s="498" t="str">
        <f t="shared" si="1806"/>
        <v/>
      </c>
      <c r="BC5251" s="743" t="str">
        <f t="shared" si="1807"/>
        <v/>
      </c>
      <c r="BD5251" s="743" t="str">
        <f t="shared" si="1808"/>
        <v/>
      </c>
      <c r="BE5251" s="743" t="str">
        <f>IF(D5251="","",VLOOKUP(D5251,'General Basis'!$J$39:$K$46,2,0))</f>
        <v/>
      </c>
      <c r="BF5251" s="744" t="str">
        <f>IF(D5251="","",VLOOKUP(D5251,'General Basis'!$J$39:$L$46,3,0))</f>
        <v/>
      </c>
      <c r="BG5251" s="744" t="str">
        <f t="shared" si="1815"/>
        <v/>
      </c>
      <c r="BH5251" s="744" t="str">
        <f>IF(G5251="","",IF(BF5251="Abu Dhabi",IF(G5251&lt;18,'General Basis'!$C$39,IF(G5251&lt;41,'General Basis'!$C$40,IF(G5251&lt;60,'General Basis'!$C$41,IF(G5251&lt;65,'General Basis'!$C$42,'General Basis'!$C$43)))),IF(G5251&lt;11,'General Basis'!$B$39,IF(G5251&lt;18,'General Basis'!$B$40,IF(G5251&lt;26,'General Basis'!$B$41,IF(G5251&lt;31,'General Basis'!$B$42,IF(G5251&lt;36,'General Basis'!$B$43,IF(G5251&lt;41,'General Basis'!$B$44,IF(G5251&lt;46,'General Basis'!$B$45,IF(G5251&lt;51,'General Basis'!$B$46,IF(G5251&lt;56,'General Basis'!$B$47,IF(G5251&lt;60,'General Basis'!$B$48,IF(G5251&lt;65,'General Basis'!$B$49,'General Basis'!$B$50)))))))))))))</f>
        <v/>
      </c>
      <c r="BI5251" s="744" t="str">
        <f t="shared" si="1809"/>
        <v/>
      </c>
      <c r="BJ5251" s="747" t="str">
        <f t="shared" si="1816"/>
        <v/>
      </c>
      <c r="BK5251" s="498" t="str">
        <f t="shared" si="1810"/>
        <v/>
      </c>
      <c r="BL5251" s="498" t="str">
        <f t="shared" si="1811"/>
        <v/>
      </c>
    </row>
    <row r="5252" spans="1:64" x14ac:dyDescent="0.25">
      <c r="A5252" s="762">
        <f t="shared" si="1812"/>
        <v>5247</v>
      </c>
      <c r="B5252" s="229"/>
      <c r="C5252" s="223"/>
      <c r="D5252" s="224"/>
      <c r="E5252" s="225"/>
      <c r="F5252" s="1036" t="str">
        <f t="shared" si="1818"/>
        <v/>
      </c>
      <c r="G5252" s="1037" t="str">
        <f t="shared" si="1813"/>
        <v/>
      </c>
      <c r="H5252" s="225"/>
      <c r="I5252" s="1013"/>
      <c r="J5252" s="1013"/>
      <c r="K5252" s="1028"/>
      <c r="L5252" s="1035" t="str">
        <f t="shared" si="1817"/>
        <v/>
      </c>
      <c r="S5252" s="498"/>
      <c r="AJ5252" s="498"/>
      <c r="AM5252" s="498">
        <f t="shared" si="1798"/>
        <v>0</v>
      </c>
      <c r="AN5252" s="498">
        <f t="shared" si="1799"/>
        <v>0</v>
      </c>
      <c r="AO5252" s="498">
        <f t="shared" si="1800"/>
        <v>0</v>
      </c>
      <c r="AP5252" s="498">
        <f t="shared" si="1819"/>
        <v>0</v>
      </c>
      <c r="AQ5252" s="498">
        <f t="shared" si="1814"/>
        <v>0</v>
      </c>
      <c r="AU5252" s="498">
        <f t="shared" si="1801"/>
        <v>0</v>
      </c>
      <c r="AV5252" s="498">
        <f t="shared" si="1802"/>
        <v>0</v>
      </c>
      <c r="AW5252" s="498">
        <f t="shared" si="1803"/>
        <v>0</v>
      </c>
      <c r="AX5252" s="498">
        <f t="shared" si="1804"/>
        <v>0</v>
      </c>
      <c r="AY5252" s="498">
        <f t="shared" si="1805"/>
        <v>0</v>
      </c>
      <c r="BB5252" s="498" t="str">
        <f t="shared" si="1806"/>
        <v/>
      </c>
      <c r="BC5252" s="743" t="str">
        <f t="shared" si="1807"/>
        <v/>
      </c>
      <c r="BD5252" s="743" t="str">
        <f t="shared" si="1808"/>
        <v/>
      </c>
      <c r="BE5252" s="743" t="str">
        <f>IF(D5252="","",VLOOKUP(D5252,'General Basis'!$J$39:$K$46,2,0))</f>
        <v/>
      </c>
      <c r="BF5252" s="744" t="str">
        <f>IF(D5252="","",VLOOKUP(D5252,'General Basis'!$J$39:$L$46,3,0))</f>
        <v/>
      </c>
      <c r="BG5252" s="744" t="str">
        <f t="shared" si="1815"/>
        <v/>
      </c>
      <c r="BH5252" s="744" t="str">
        <f>IF(G5252="","",IF(BF5252="Abu Dhabi",IF(G5252&lt;18,'General Basis'!$C$39,IF(G5252&lt;41,'General Basis'!$C$40,IF(G5252&lt;60,'General Basis'!$C$41,IF(G5252&lt;65,'General Basis'!$C$42,'General Basis'!$C$43)))),IF(G5252&lt;11,'General Basis'!$B$39,IF(G5252&lt;18,'General Basis'!$B$40,IF(G5252&lt;26,'General Basis'!$B$41,IF(G5252&lt;31,'General Basis'!$B$42,IF(G5252&lt;36,'General Basis'!$B$43,IF(G5252&lt;41,'General Basis'!$B$44,IF(G5252&lt;46,'General Basis'!$B$45,IF(G5252&lt;51,'General Basis'!$B$46,IF(G5252&lt;56,'General Basis'!$B$47,IF(G5252&lt;60,'General Basis'!$B$48,IF(G5252&lt;65,'General Basis'!$B$49,'General Basis'!$B$50)))))))))))))</f>
        <v/>
      </c>
      <c r="BI5252" s="744" t="str">
        <f t="shared" si="1809"/>
        <v/>
      </c>
      <c r="BJ5252" s="747" t="str">
        <f t="shared" si="1816"/>
        <v/>
      </c>
      <c r="BK5252" s="498" t="str">
        <f t="shared" si="1810"/>
        <v/>
      </c>
      <c r="BL5252" s="498" t="str">
        <f t="shared" si="1811"/>
        <v/>
      </c>
    </row>
    <row r="5253" spans="1:64" x14ac:dyDescent="0.25">
      <c r="A5253" s="762">
        <f t="shared" si="1812"/>
        <v>5248</v>
      </c>
      <c r="B5253" s="229"/>
      <c r="C5253" s="223"/>
      <c r="D5253" s="224"/>
      <c r="E5253" s="225"/>
      <c r="F5253" s="1036" t="str">
        <f t="shared" si="1818"/>
        <v/>
      </c>
      <c r="G5253" s="1037" t="str">
        <f t="shared" si="1813"/>
        <v/>
      </c>
      <c r="H5253" s="225"/>
      <c r="I5253" s="1013"/>
      <c r="J5253" s="1013"/>
      <c r="K5253" s="1028"/>
      <c r="L5253" s="1035" t="str">
        <f t="shared" si="1817"/>
        <v/>
      </c>
      <c r="S5253" s="498"/>
      <c r="AJ5253" s="498"/>
      <c r="AM5253" s="498">
        <f t="shared" si="1798"/>
        <v>0</v>
      </c>
      <c r="AN5253" s="498">
        <f t="shared" si="1799"/>
        <v>0</v>
      </c>
      <c r="AO5253" s="498">
        <f t="shared" si="1800"/>
        <v>0</v>
      </c>
      <c r="AP5253" s="498">
        <f t="shared" si="1819"/>
        <v>0</v>
      </c>
      <c r="AQ5253" s="498">
        <f t="shared" si="1814"/>
        <v>0</v>
      </c>
      <c r="AU5253" s="498">
        <f t="shared" si="1801"/>
        <v>0</v>
      </c>
      <c r="AV5253" s="498">
        <f t="shared" si="1802"/>
        <v>0</v>
      </c>
      <c r="AW5253" s="498">
        <f t="shared" si="1803"/>
        <v>0</v>
      </c>
      <c r="AX5253" s="498">
        <f t="shared" si="1804"/>
        <v>0</v>
      </c>
      <c r="AY5253" s="498">
        <f t="shared" si="1805"/>
        <v>0</v>
      </c>
      <c r="BB5253" s="498" t="str">
        <f t="shared" si="1806"/>
        <v/>
      </c>
      <c r="BC5253" s="743" t="str">
        <f t="shared" si="1807"/>
        <v/>
      </c>
      <c r="BD5253" s="743" t="str">
        <f t="shared" si="1808"/>
        <v/>
      </c>
      <c r="BE5253" s="743" t="str">
        <f>IF(D5253="","",VLOOKUP(D5253,'General Basis'!$J$39:$K$46,2,0))</f>
        <v/>
      </c>
      <c r="BF5253" s="744" t="str">
        <f>IF(D5253="","",VLOOKUP(D5253,'General Basis'!$J$39:$L$46,3,0))</f>
        <v/>
      </c>
      <c r="BG5253" s="744" t="str">
        <f t="shared" si="1815"/>
        <v/>
      </c>
      <c r="BH5253" s="744" t="str">
        <f>IF(G5253="","",IF(BF5253="Abu Dhabi",IF(G5253&lt;18,'General Basis'!$C$39,IF(G5253&lt;41,'General Basis'!$C$40,IF(G5253&lt;60,'General Basis'!$C$41,IF(G5253&lt;65,'General Basis'!$C$42,'General Basis'!$C$43)))),IF(G5253&lt;11,'General Basis'!$B$39,IF(G5253&lt;18,'General Basis'!$B$40,IF(G5253&lt;26,'General Basis'!$B$41,IF(G5253&lt;31,'General Basis'!$B$42,IF(G5253&lt;36,'General Basis'!$B$43,IF(G5253&lt;41,'General Basis'!$B$44,IF(G5253&lt;46,'General Basis'!$B$45,IF(G5253&lt;51,'General Basis'!$B$46,IF(G5253&lt;56,'General Basis'!$B$47,IF(G5253&lt;60,'General Basis'!$B$48,IF(G5253&lt;65,'General Basis'!$B$49,'General Basis'!$B$50)))))))))))))</f>
        <v/>
      </c>
      <c r="BI5253" s="744" t="str">
        <f t="shared" si="1809"/>
        <v/>
      </c>
      <c r="BJ5253" s="747" t="str">
        <f t="shared" si="1816"/>
        <v/>
      </c>
      <c r="BK5253" s="498" t="str">
        <f t="shared" si="1810"/>
        <v/>
      </c>
      <c r="BL5253" s="498" t="str">
        <f t="shared" si="1811"/>
        <v/>
      </c>
    </row>
    <row r="5254" spans="1:64" x14ac:dyDescent="0.25">
      <c r="A5254" s="762">
        <f t="shared" si="1812"/>
        <v>5249</v>
      </c>
      <c r="B5254" s="229"/>
      <c r="C5254" s="223"/>
      <c r="D5254" s="224"/>
      <c r="E5254" s="225"/>
      <c r="F5254" s="1036" t="str">
        <f t="shared" si="1818"/>
        <v/>
      </c>
      <c r="G5254" s="1037" t="str">
        <f t="shared" si="1813"/>
        <v/>
      </c>
      <c r="H5254" s="225"/>
      <c r="I5254" s="1013"/>
      <c r="J5254" s="1013"/>
      <c r="K5254" s="1028"/>
      <c r="L5254" s="1035" t="str">
        <f t="shared" si="1817"/>
        <v/>
      </c>
      <c r="S5254" s="498"/>
      <c r="AJ5254" s="498"/>
      <c r="AM5254" s="498">
        <f t="shared" ref="AM5254:AM5317" si="1820">IF(ISTEXT(B5254),1,0)</f>
        <v>0</v>
      </c>
      <c r="AN5254" s="498">
        <f t="shared" ref="AN5254:AN5317" si="1821">IF(ISBLANK(B5254),0,IF(B5254&lt;$AK$6,1,0))</f>
        <v>0</v>
      </c>
      <c r="AO5254" s="498">
        <f t="shared" ref="AO5254:AO5317" si="1822">IF(ISBLANK(B5254),0,IF(B5254&gt;$AK$7,1,0))</f>
        <v>0</v>
      </c>
      <c r="AP5254" s="498">
        <f t="shared" si="1819"/>
        <v>0</v>
      </c>
      <c r="AQ5254" s="498">
        <f t="shared" si="1814"/>
        <v>0</v>
      </c>
      <c r="AU5254" s="498">
        <f t="shared" ref="AU5254:AU5317" si="1823">IF(ISBLANK(B5254),0,1)</f>
        <v>0</v>
      </c>
      <c r="AV5254" s="498">
        <f t="shared" ref="AV5254:AV5317" si="1824">IF(ISBLANK(C5254),0,1)</f>
        <v>0</v>
      </c>
      <c r="AW5254" s="498">
        <f t="shared" ref="AW5254:AW5317" si="1825">IF(ISBLANK(D5254),0,1)</f>
        <v>0</v>
      </c>
      <c r="AX5254" s="498">
        <f t="shared" ref="AX5254:AX5317" si="1826">IF(ISBLANK(E5254),0,1)</f>
        <v>0</v>
      </c>
      <c r="AY5254" s="498">
        <f t="shared" ref="AY5254:AY5317" si="1827">IF(ISBLANK(H5254),0,1)</f>
        <v>0</v>
      </c>
      <c r="BB5254" s="498" t="str">
        <f t="shared" ref="BB5254:BB5317" si="1828">IF(E5254="Principal","Principal",IF(E5254="","","Other"))</f>
        <v/>
      </c>
      <c r="BC5254" s="743" t="str">
        <f t="shared" ref="BC5254:BC5317" si="1829">IF(D5254="","",D5254)</f>
        <v/>
      </c>
      <c r="BD5254" s="743" t="str">
        <f t="shared" ref="BD5254:BD5317" si="1830">IF(E5254="Principal","Employee",IF(E5254="","","Dependent"))</f>
        <v/>
      </c>
      <c r="BE5254" s="743" t="str">
        <f>IF(D5254="","",VLOOKUP(D5254,'General Basis'!$J$39:$K$46,2,0))</f>
        <v/>
      </c>
      <c r="BF5254" s="744" t="str">
        <f>IF(D5254="","",VLOOKUP(D5254,'General Basis'!$J$39:$L$46,3,0))</f>
        <v/>
      </c>
      <c r="BG5254" s="744" t="str">
        <f t="shared" si="1815"/>
        <v/>
      </c>
      <c r="BH5254" s="744" t="str">
        <f>IF(G5254="","",IF(BF5254="Abu Dhabi",IF(G5254&lt;18,'General Basis'!$C$39,IF(G5254&lt;41,'General Basis'!$C$40,IF(G5254&lt;60,'General Basis'!$C$41,IF(G5254&lt;65,'General Basis'!$C$42,'General Basis'!$C$43)))),IF(G5254&lt;11,'General Basis'!$B$39,IF(G5254&lt;18,'General Basis'!$B$40,IF(G5254&lt;26,'General Basis'!$B$41,IF(G5254&lt;31,'General Basis'!$B$42,IF(G5254&lt;36,'General Basis'!$B$43,IF(G5254&lt;41,'General Basis'!$B$44,IF(G5254&lt;46,'General Basis'!$B$45,IF(G5254&lt;51,'General Basis'!$B$46,IF(G5254&lt;56,'General Basis'!$B$47,IF(G5254&lt;60,'General Basis'!$B$48,IF(G5254&lt;65,'General Basis'!$B$49,'General Basis'!$B$50)))))))))))))</f>
        <v/>
      </c>
      <c r="BI5254" s="744" t="str">
        <f t="shared" ref="BI5254:BI5317" si="1831">IF(C5254="","",IF(C5254="M","Male","Female"))</f>
        <v/>
      </c>
      <c r="BJ5254" s="747" t="str">
        <f t="shared" si="1816"/>
        <v/>
      </c>
      <c r="BK5254" s="498" t="str">
        <f t="shared" ref="BK5254:BK5317" si="1832">IF(BD5254="","",IF(AND(BD5254="Employee",BI5254="Male",BF5254="Abu Dhabi",BE5254=GN_Plus),VLOOKUP(BH5254,AUH_MALE_EMP,2,0),IF(AND(BD5254="Employee",BI5254="Male",BF5254="Abu Dhabi",BE5254=GN),VLOOKUP(BH5254,AUH_MALE_EMP,3,0),IF(AND(BD5254="Employee",BI5254="Male",BF5254="Abu Dhabi",BE5254=RN_Plus),VLOOKUP(BH5254,AUH_MALE_EMP,4,0),IF(AND(BD5254="Employee",BI5254="Male",BF5254="Abu Dhabi",BE5254=RN),VLOOKUP(BH5254,AUH_MALE_EMP,5,0),IF(AND(BD5254="Employee",BI5254="Male",BF5254="Abu Dhabi",BE5254=RN_2),VLOOKUP(BH5254,AUH_MALE_EMP,6,0),IF(AND(BD5254="Employee",BI5254="Male",BF5254="Abu Dhabi",BE5254=RN2_minus),VLOOKUP(BH5254,AUH_MALE_EMP,7,0),IF(AND(BD5254="Employee",BI5254="Male",BF5254="Abu Dhabi",BE5254=RN_3),VLOOKUP(BH5254,AUH_MALE_EMP,8,0),IF(AND(BD5254="Employee",BI5254="Male",BF5254="Abu Dhabi",BE5254=VN),VLOOKUP(BH5254,AUH_MALE_EMP,9,0),IF(BD5254="","",IF(AND(BD5254="Employee",BI5254="Female",BF5254="Abu Dhabi",BE5254=GN_Plus),VLOOKUP(BH5254,AUH_FEMALE_EMP,2,0),IF(AND(BD5254="Employee",BI5254="Female",BF5254="Abu Dhabi",BE5254=GN),VLOOKUP(BH5254,AUH_FEMALE_EMP,3,0),IF(AND(BD5254="Employee",BI5254="Female",BF5254="Abu Dhabi",BE5254=RN_Plus),VLOOKUP(BH5254,AUH_FEMALE_EMP,4,0),IF(AND(BD5254="Employee",BI5254="Female",BF5254="Abu Dhabi",BE5254=RN),VLOOKUP(BH5254,AUH_FEMALE_EMP,5,0),IF(AND(BD5254="Employee",BI5254="Female",BF5254="Abu Dhabi",BE5254=RN_2),VLOOKUP(BH5254,AUH_FEMALE_EMP,6,0),IF(AND(BD5254="Employee",BI5254="Female",BF5254="Abu Dhabi",BE5254=RN2_minus),VLOOKUP(BH5254,AUH_FEMALE_EMP,7,0),IF(AND(BD5254="Employee",BI5254="Female",BF5254="Abu Dhabi",BE5254=RN_3),VLOOKUP(BH5254,AUH_FEMALE_EMP,8,0),IF(AND(BD5254="Employee",BI5254="Female",BF5254="Abu Dhabi",BE5254=VN),VLOOKUP(BH5254,AUH_FEMALE_EMP,9,0),IF(BD5254="","",IF(AND(BD5254="Dependent",BI5254="Male",BF5254="Abu Dhabi",BE5254=GN_Plus),VLOOKUP(BH5254,AUH_MALE_DEP,2,0),IF(AND(BD5254="Dependent",BI5254="Male",BF5254="Abu Dhabi",BE5254=GN),VLOOKUP(BH5254,AUH_MALE_DEP,3,0),IF(AND(BD5254="Dependent",BI5254="Male",BF5254="Abu Dhabi",BE5254=RN_Plus),VLOOKUP(BH5254,AUH_MALE_DEP,4,0),IF(AND(BD5254="Dependent",BI5254="Male",BF5254="Abu Dhabi",BE5254=RN),VLOOKUP(BH5254,AUH_MALE_DEP,5,0),IF(AND(BD5254="Dependent",BI5254="Male",BF5254="Abu Dhabi",BE5254=RN_2),VLOOKUP(BH5254,AUH_MALE_DEP,6,0),IF(AND(BD5254="Dependent",BI5254="Male",BF5254="Abu Dhabi",BE5254=RN2_minus),VLOOKUP(BH5254,AUH_MALE_DEP,7,0),IF(AND(BD5254="Dependent",BI5254="Male",BF5254="Abu Dhabi",BE5254=RN_3),VLOOKUP(BH5254,AUH_MALE_DEP,8,0),IF(AND(BD5254="Dependent",BI5254="Male",BF5254="Abu Dhabi",BE5254=VN),VLOOKUP(BH5254,AUH_MALE_DEP,9,0),IF(BD5254="","",IF(AND(BD5254="Dependent",BI5254="Female",BF5254="Abu Dhabi",BE5254=GN_Plus),VLOOKUP(BH5254,AUH_FEMALE_DEP,2,0),IF(AND(BD5254="Dependent",BI5254="Female",BF5254="Abu Dhabi",BE5254=GN),VLOOKUP(BH5254,AUH_FEMALE_DEP,3,0),IF(AND(BD5254="Dependent",BI5254="Female",BF5254="Abu Dhabi",BE5254=RN_Plus),VLOOKUP(BH5254,AUH_FEMALE_DEP,4,0),IF(AND(BD5254="Dependent",BI5254="Female",BF5254="Abu Dhabi",BE5254=RN),VLOOKUP(BH5254,AUH_FEMALE_DEP,5,0),IF(AND(BD5254="Dependent",BI5254="Female",BF5254="Abu Dhabi",BE5254=RN_2),VLOOKUP(BH5254,AUH_FEMALE_DEP,6,0),IF(AND(BD5254="Dependent",BI5254="Female",BF5254="Abu Dhabi",BE5254=RN2_minus),VLOOKUP(BH5254,AUH_FEMALE_DEP,7,0),IF(AND(BD5254="Dependent",BI5254="Female",BF5254="Abu Dhabi",BE5254=RN_3),VLOOKUP(BH5254,AUH_FEMALE_DEP,8,0),IF(AND(BD5254="Dependent",BI5254="Female",BF5254="Abu Dhabi",BE5254=VN),VLOOKUP(BH5254,AUH_FEMALE_DEP,9,0),"ABC"))))))))))))))))))))))))))))))))))))</f>
        <v/>
      </c>
      <c r="BL5254" s="498" t="str">
        <f t="shared" ref="BL5254:BL5317" si="1833">IF(BD5254="","",IF(AND(BD5254="Employee",BI5254="Male",BF5254="Dubai",BE5254=GN_Plus),VLOOKUP(BH5254,DXB_MALE_EMP,2,0),IF(AND(BD5254="Employee",BI5254="Male",BF5254="Dubai",BE5254=GN),VLOOKUP(BH5254,DXB_MALE_EMP,3,0),IF(AND(BD5254="Employee",BI5254="Male",BF5254="Dubai",BE5254=RN_Plus),VLOOKUP(BH5254,DXB_MALE_EMP,4,0),IF(AND(BD5254="Employee",BI5254="Male",BF5254="Dubai",BE5254=RN),VLOOKUP(BH5254,DXB_MALE_EMP,5,0),IF(AND(BD5254="Employee",BI5254="Male",BF5254="Dubai",BE5254=RN_2),VLOOKUP(BH5254,DXB_MALE_EMP,6,0),IF(AND(BD5254="Employee",BI5254="Male",BF5254="Dubai",BE5254=RN2_minus),VLOOKUP(BH5254,DXB_MALE_EMP,7,0),IF(AND(BD5254="Employee",BI5254="Male",BF5254="Dubai",BE5254=RN_3),VLOOKUP(BH5254,DXB_MALE_EMP,8,0),IF(AND(BD5254="Employee",BI5254="Male",BF5254="Dubai",BE5254=VN),VLOOKUP(BH5254,DXB_MALE_EMP,9,0),IF(BD5254="","",IF(AND(BD5254="Employee",BI5254="Female",BF5254="Dubai",BE5254=GN_Plus),VLOOKUP(BH5254,DXB_FEMALE_EMP,2,0),IF(AND(BD5254="Employee",BI5254="Female",BF5254="Dubai",BE5254=GN),VLOOKUP(BH5254,DXB_FEMALE_EMP,3,0),IF(AND(BD5254="Employee",BI5254="Female",BF5254="Dubai",BE5254=RN_Plus),VLOOKUP(BH5254,DXB_FEMALE_EMP,4,0),IF(AND(BD5254="Employee",BI5254="Female",BF5254="Dubai",BE5254=RN),VLOOKUP(BH5254,DXB_FEMALE_EMP,5,0),IF(AND(BD5254="Employee",BI5254="Female",BF5254="Dubai",BE5254=RN_2),VLOOKUP(BH5254,DXB_FEMALE_EMP,6,0),IF(AND(BD5254="Employee",BI5254="Female",BF5254="Dubai",BE5254=RN2_minus),VLOOKUP(BH5254,DXB_FEMALE_EMP,7,0),IF(AND(BD5254="Employee",BI5254="Female",BF5254="Dubai",BE5254=RN_3),VLOOKUP(BH5254,DXB_FEMALE_EMP,8,0),IF(AND(BD5254="Employee",BI5254="Female",BF5254="Dubai",BE5254=VN),VLOOKUP(BH5254,DXB_FEMALE_EMP,9,0),IF(BD5254="","",IF(AND(BD5254="Dependent",BI5254="Male",BF5254="Dubai",BE5254=GN_Plus),VLOOKUP(BH5254,DXB_MALE_DEP,2,0),IF(AND(BD5254="Dependent",BI5254="Male",BF5254="Dubai",BE5254=GN),VLOOKUP(BH5254,DXB_MALE_DEP,3,0),IF(AND(BD5254="Dependent",BI5254="Male",BF5254="Dubai",BE5254=RN_Plus),VLOOKUP(BH5254,DXB_MALE_DEP,4,0),IF(AND(BD5254="Dependent",BI5254="Male",BF5254="Dubai",BE5254=RN),VLOOKUP(BH5254,DXB_MALE_DEP,5,0),IF(AND(BD5254="Dependent",BI5254="Male",BF5254="Dubai",BE5254=RN_2),VLOOKUP(BH5254,DXB_MALE_DEP,6,0),IF(AND(BD5254="Dependent",BI5254="Male",BF5254="Dubai",BE5254=RN2_minus),VLOOKUP(BH5254,DXB_MALE_DEP,7,0),IF(AND(BD5254="Dependent",BI5254="Male",BF5254="Dubai",BE5254=RN_3),VLOOKUP(BH5254,DXB_MALE_DEP,8,0),IF(AND(BD5254="Dependent",BI5254="Male",BF5254="Dubai",BE5254=VN),VLOOKUP(BH5254,DXB_MALE_DEP,9,0),IF(BD5254="","",IF(AND(BD5254="Dependent",BI5254="Female",BF5254="Dubai",BE5254=GN_Plus),VLOOKUP(BH5254,DXB_FEMALE_DEP,2,0),IF(AND(BD5254="Dependent",BI5254="Female",BF5254="Dubai",BE5254=GN),VLOOKUP(BH5254,DXB_FEMALE_DEP,3,0),IF(AND(BD5254="Dependent",BI5254="Female",BF5254="Dubai",BE5254=RN_Plus),VLOOKUP(BH5254,DXB_FEMALE_DEP,4,0),IF(AND(BD5254="Dependent",BI5254="Female",BF5254="Dubai",BE5254=RN),VLOOKUP(BH5254,DXB_FEMALE_DEP,5,0),IF(AND(BD5254="Dependent",BI5254="Female",BF5254="Dubai",BE5254=RN_2),VLOOKUP(BH5254,DXB_FEMALE_DEP,6,0),IF(AND(BD5254="Dependent",BI5254="Female",BF5254="Dubai",BE5254=RN2_minus),VLOOKUP(BH5254,DXB_FEMALE_DEP,7,0),IF(AND(BD5254="Dependent",BI5254="Female",BF5254="Dubai",BE5254=RN_3),VLOOKUP(BH5254,DXB_FEMALE_DEP,8,0),IF(AND(BD5254="Dependent",BI5254="Female",BF5254="Dubai",BE5254=VN),VLOOKUP(BH5254,DXB_FEMALE_DEP,9,0),"ABC"))))))))))))))))))))))))))))))))))))</f>
        <v/>
      </c>
    </row>
    <row r="5255" spans="1:64" x14ac:dyDescent="0.25">
      <c r="A5255" s="762">
        <f t="shared" ref="A5255:A5318" si="1834">+A5254+1</f>
        <v>5250</v>
      </c>
      <c r="B5255" s="229"/>
      <c r="C5255" s="223"/>
      <c r="D5255" s="224"/>
      <c r="E5255" s="225"/>
      <c r="F5255" s="1036" t="str">
        <f t="shared" si="1818"/>
        <v/>
      </c>
      <c r="G5255" s="1037" t="str">
        <f t="shared" ref="G5255:G5318" si="1835">IF(D5255="","",MAX(0,ROUNDUP(F5255,0)))</f>
        <v/>
      </c>
      <c r="H5255" s="225"/>
      <c r="I5255" s="1013"/>
      <c r="J5255" s="1013"/>
      <c r="K5255" s="1028"/>
      <c r="L5255" s="1035" t="str">
        <f t="shared" si="1817"/>
        <v/>
      </c>
      <c r="S5255" s="498"/>
      <c r="AJ5255" s="498"/>
      <c r="AM5255" s="498">
        <f t="shared" si="1820"/>
        <v>0</v>
      </c>
      <c r="AN5255" s="498">
        <f t="shared" si="1821"/>
        <v>0</v>
      </c>
      <c r="AO5255" s="498">
        <f t="shared" si="1822"/>
        <v>0</v>
      </c>
      <c r="AP5255" s="498">
        <f t="shared" si="1819"/>
        <v>0</v>
      </c>
      <c r="AQ5255" s="498">
        <f t="shared" ref="AQ5255:AQ5318" si="1836">IF(ISBLANK($B5255),0,IF(OR($H5255="Single",$H5255="Married"),0,1))</f>
        <v>0</v>
      </c>
      <c r="AU5255" s="498">
        <f t="shared" si="1823"/>
        <v>0</v>
      </c>
      <c r="AV5255" s="498">
        <f t="shared" si="1824"/>
        <v>0</v>
      </c>
      <c r="AW5255" s="498">
        <f t="shared" si="1825"/>
        <v>0</v>
      </c>
      <c r="AX5255" s="498">
        <f t="shared" si="1826"/>
        <v>0</v>
      </c>
      <c r="AY5255" s="498">
        <f t="shared" si="1827"/>
        <v>0</v>
      </c>
      <c r="BB5255" s="498" t="str">
        <f t="shared" si="1828"/>
        <v/>
      </c>
      <c r="BC5255" s="743" t="str">
        <f t="shared" si="1829"/>
        <v/>
      </c>
      <c r="BD5255" s="743" t="str">
        <f t="shared" si="1830"/>
        <v/>
      </c>
      <c r="BE5255" s="743" t="str">
        <f>IF(D5255="","",VLOOKUP(D5255,'General Basis'!$J$39:$K$46,2,0))</f>
        <v/>
      </c>
      <c r="BF5255" s="744" t="str">
        <f>IF(D5255="","",VLOOKUP(D5255,'General Basis'!$J$39:$L$46,3,0))</f>
        <v/>
      </c>
      <c r="BG5255" s="744" t="str">
        <f t="shared" ref="BG5255:BG5318" si="1837">BC5255&amp;BI5255</f>
        <v/>
      </c>
      <c r="BH5255" s="744" t="str">
        <f>IF(G5255="","",IF(BF5255="Abu Dhabi",IF(G5255&lt;18,'General Basis'!$C$39,IF(G5255&lt;41,'General Basis'!$C$40,IF(G5255&lt;60,'General Basis'!$C$41,IF(G5255&lt;65,'General Basis'!$C$42,'General Basis'!$C$43)))),IF(G5255&lt;11,'General Basis'!$B$39,IF(G5255&lt;18,'General Basis'!$B$40,IF(G5255&lt;26,'General Basis'!$B$41,IF(G5255&lt;31,'General Basis'!$B$42,IF(G5255&lt;36,'General Basis'!$B$43,IF(G5255&lt;41,'General Basis'!$B$44,IF(G5255&lt;46,'General Basis'!$B$45,IF(G5255&lt;51,'General Basis'!$B$46,IF(G5255&lt;56,'General Basis'!$B$47,IF(G5255&lt;60,'General Basis'!$B$48,IF(G5255&lt;65,'General Basis'!$B$49,'General Basis'!$B$50)))))))))))))</f>
        <v/>
      </c>
      <c r="BI5255" s="744" t="str">
        <f t="shared" si="1831"/>
        <v/>
      </c>
      <c r="BJ5255" s="747" t="str">
        <f t="shared" ref="BJ5255:BJ5318" si="1838">IF(BD5255="","",IF(BF5255="Abu Dhabi",BK5255,BL5255))</f>
        <v/>
      </c>
      <c r="BK5255" s="498" t="str">
        <f t="shared" si="1832"/>
        <v/>
      </c>
      <c r="BL5255" s="498" t="str">
        <f t="shared" si="1833"/>
        <v/>
      </c>
    </row>
    <row r="5256" spans="1:64" x14ac:dyDescent="0.25">
      <c r="A5256" s="762">
        <f t="shared" si="1834"/>
        <v>5251</v>
      </c>
      <c r="B5256" s="229"/>
      <c r="C5256" s="223"/>
      <c r="D5256" s="224"/>
      <c r="E5256" s="225"/>
      <c r="F5256" s="1036" t="str">
        <f t="shared" si="1818"/>
        <v/>
      </c>
      <c r="G5256" s="1037" t="str">
        <f t="shared" si="1835"/>
        <v/>
      </c>
      <c r="H5256" s="225"/>
      <c r="I5256" s="1013"/>
      <c r="J5256" s="1013"/>
      <c r="K5256" s="1028"/>
      <c r="L5256" s="1035" t="str">
        <f t="shared" ref="L5256:L5319" si="1839">IF(AND(E5256="Child",H5256="Married"),"Check the Marital Status of the Child. ",IF(AND(E5256="Child",F5256&gt;18),"Child Age exceed 18 years. ",IF(AND(E5256="Spouse",H5256="Single"),"Spouse is selected as Single. ","")))&amp;IF(K5256&gt;0,"UW Loading has been Applied","")</f>
        <v/>
      </c>
      <c r="S5256" s="498"/>
      <c r="AJ5256" s="498"/>
      <c r="AM5256" s="498">
        <f t="shared" si="1820"/>
        <v>0</v>
      </c>
      <c r="AN5256" s="498">
        <f t="shared" si="1821"/>
        <v>0</v>
      </c>
      <c r="AO5256" s="498">
        <f t="shared" si="1822"/>
        <v>0</v>
      </c>
      <c r="AP5256" s="498">
        <f t="shared" si="1819"/>
        <v>0</v>
      </c>
      <c r="AQ5256" s="498">
        <f t="shared" si="1836"/>
        <v>0</v>
      </c>
      <c r="AU5256" s="498">
        <f t="shared" si="1823"/>
        <v>0</v>
      </c>
      <c r="AV5256" s="498">
        <f t="shared" si="1824"/>
        <v>0</v>
      </c>
      <c r="AW5256" s="498">
        <f t="shared" si="1825"/>
        <v>0</v>
      </c>
      <c r="AX5256" s="498">
        <f t="shared" si="1826"/>
        <v>0</v>
      </c>
      <c r="AY5256" s="498">
        <f t="shared" si="1827"/>
        <v>0</v>
      </c>
      <c r="BB5256" s="498" t="str">
        <f t="shared" si="1828"/>
        <v/>
      </c>
      <c r="BC5256" s="743" t="str">
        <f t="shared" si="1829"/>
        <v/>
      </c>
      <c r="BD5256" s="743" t="str">
        <f t="shared" si="1830"/>
        <v/>
      </c>
      <c r="BE5256" s="743" t="str">
        <f>IF(D5256="","",VLOOKUP(D5256,'General Basis'!$J$39:$K$46,2,0))</f>
        <v/>
      </c>
      <c r="BF5256" s="744" t="str">
        <f>IF(D5256="","",VLOOKUP(D5256,'General Basis'!$J$39:$L$46,3,0))</f>
        <v/>
      </c>
      <c r="BG5256" s="744" t="str">
        <f t="shared" si="1837"/>
        <v/>
      </c>
      <c r="BH5256" s="744" t="str">
        <f>IF(G5256="","",IF(BF5256="Abu Dhabi",IF(G5256&lt;18,'General Basis'!$C$39,IF(G5256&lt;41,'General Basis'!$C$40,IF(G5256&lt;60,'General Basis'!$C$41,IF(G5256&lt;65,'General Basis'!$C$42,'General Basis'!$C$43)))),IF(G5256&lt;11,'General Basis'!$B$39,IF(G5256&lt;18,'General Basis'!$B$40,IF(G5256&lt;26,'General Basis'!$B$41,IF(G5256&lt;31,'General Basis'!$B$42,IF(G5256&lt;36,'General Basis'!$B$43,IF(G5256&lt;41,'General Basis'!$B$44,IF(G5256&lt;46,'General Basis'!$B$45,IF(G5256&lt;51,'General Basis'!$B$46,IF(G5256&lt;56,'General Basis'!$B$47,IF(G5256&lt;60,'General Basis'!$B$48,IF(G5256&lt;65,'General Basis'!$B$49,'General Basis'!$B$50)))))))))))))</f>
        <v/>
      </c>
      <c r="BI5256" s="744" t="str">
        <f t="shared" si="1831"/>
        <v/>
      </c>
      <c r="BJ5256" s="747" t="str">
        <f t="shared" si="1838"/>
        <v/>
      </c>
      <c r="BK5256" s="498" t="str">
        <f t="shared" si="1832"/>
        <v/>
      </c>
      <c r="BL5256" s="498" t="str">
        <f t="shared" si="1833"/>
        <v/>
      </c>
    </row>
    <row r="5257" spans="1:64" x14ac:dyDescent="0.25">
      <c r="A5257" s="762">
        <f t="shared" si="1834"/>
        <v>5252</v>
      </c>
      <c r="B5257" s="229"/>
      <c r="C5257" s="223"/>
      <c r="D5257" s="224"/>
      <c r="E5257" s="225"/>
      <c r="F5257" s="1036" t="str">
        <f t="shared" si="1818"/>
        <v/>
      </c>
      <c r="G5257" s="1037" t="str">
        <f t="shared" si="1835"/>
        <v/>
      </c>
      <c r="H5257" s="225"/>
      <c r="I5257" s="1013"/>
      <c r="J5257" s="1013"/>
      <c r="K5257" s="1028"/>
      <c r="L5257" s="1035" t="str">
        <f t="shared" si="1839"/>
        <v/>
      </c>
      <c r="S5257" s="498"/>
      <c r="AJ5257" s="498"/>
      <c r="AM5257" s="498">
        <f t="shared" si="1820"/>
        <v>0</v>
      </c>
      <c r="AN5257" s="498">
        <f t="shared" si="1821"/>
        <v>0</v>
      </c>
      <c r="AO5257" s="498">
        <f t="shared" si="1822"/>
        <v>0</v>
      </c>
      <c r="AP5257" s="498">
        <f t="shared" si="1819"/>
        <v>0</v>
      </c>
      <c r="AQ5257" s="498">
        <f t="shared" si="1836"/>
        <v>0</v>
      </c>
      <c r="AU5257" s="498">
        <f t="shared" si="1823"/>
        <v>0</v>
      </c>
      <c r="AV5257" s="498">
        <f t="shared" si="1824"/>
        <v>0</v>
      </c>
      <c r="AW5257" s="498">
        <f t="shared" si="1825"/>
        <v>0</v>
      </c>
      <c r="AX5257" s="498">
        <f t="shared" si="1826"/>
        <v>0</v>
      </c>
      <c r="AY5257" s="498">
        <f t="shared" si="1827"/>
        <v>0</v>
      </c>
      <c r="BB5257" s="498" t="str">
        <f t="shared" si="1828"/>
        <v/>
      </c>
      <c r="BC5257" s="743" t="str">
        <f t="shared" si="1829"/>
        <v/>
      </c>
      <c r="BD5257" s="743" t="str">
        <f t="shared" si="1830"/>
        <v/>
      </c>
      <c r="BE5257" s="743" t="str">
        <f>IF(D5257="","",VLOOKUP(D5257,'General Basis'!$J$39:$K$46,2,0))</f>
        <v/>
      </c>
      <c r="BF5257" s="744" t="str">
        <f>IF(D5257="","",VLOOKUP(D5257,'General Basis'!$J$39:$L$46,3,0))</f>
        <v/>
      </c>
      <c r="BG5257" s="744" t="str">
        <f t="shared" si="1837"/>
        <v/>
      </c>
      <c r="BH5257" s="744" t="str">
        <f>IF(G5257="","",IF(BF5257="Abu Dhabi",IF(G5257&lt;18,'General Basis'!$C$39,IF(G5257&lt;41,'General Basis'!$C$40,IF(G5257&lt;60,'General Basis'!$C$41,IF(G5257&lt;65,'General Basis'!$C$42,'General Basis'!$C$43)))),IF(G5257&lt;11,'General Basis'!$B$39,IF(G5257&lt;18,'General Basis'!$B$40,IF(G5257&lt;26,'General Basis'!$B$41,IF(G5257&lt;31,'General Basis'!$B$42,IF(G5257&lt;36,'General Basis'!$B$43,IF(G5257&lt;41,'General Basis'!$B$44,IF(G5257&lt;46,'General Basis'!$B$45,IF(G5257&lt;51,'General Basis'!$B$46,IF(G5257&lt;56,'General Basis'!$B$47,IF(G5257&lt;60,'General Basis'!$B$48,IF(G5257&lt;65,'General Basis'!$B$49,'General Basis'!$B$50)))))))))))))</f>
        <v/>
      </c>
      <c r="BI5257" s="744" t="str">
        <f t="shared" si="1831"/>
        <v/>
      </c>
      <c r="BJ5257" s="747" t="str">
        <f t="shared" si="1838"/>
        <v/>
      </c>
      <c r="BK5257" s="498" t="str">
        <f t="shared" si="1832"/>
        <v/>
      </c>
      <c r="BL5257" s="498" t="str">
        <f t="shared" si="1833"/>
        <v/>
      </c>
    </row>
    <row r="5258" spans="1:64" x14ac:dyDescent="0.25">
      <c r="A5258" s="762">
        <f t="shared" si="1834"/>
        <v>5253</v>
      </c>
      <c r="B5258" s="229"/>
      <c r="C5258" s="223"/>
      <c r="D5258" s="224"/>
      <c r="E5258" s="225"/>
      <c r="F5258" s="1036" t="str">
        <f t="shared" si="1818"/>
        <v/>
      </c>
      <c r="G5258" s="1037" t="str">
        <f t="shared" si="1835"/>
        <v/>
      </c>
      <c r="H5258" s="225"/>
      <c r="I5258" s="1013"/>
      <c r="J5258" s="1013"/>
      <c r="K5258" s="1028"/>
      <c r="L5258" s="1035" t="str">
        <f t="shared" si="1839"/>
        <v/>
      </c>
      <c r="S5258" s="498"/>
      <c r="AJ5258" s="498"/>
      <c r="AM5258" s="498">
        <f t="shared" si="1820"/>
        <v>0</v>
      </c>
      <c r="AN5258" s="498">
        <f t="shared" si="1821"/>
        <v>0</v>
      </c>
      <c r="AO5258" s="498">
        <f t="shared" si="1822"/>
        <v>0</v>
      </c>
      <c r="AP5258" s="498">
        <f t="shared" si="1819"/>
        <v>0</v>
      </c>
      <c r="AQ5258" s="498">
        <f t="shared" si="1836"/>
        <v>0</v>
      </c>
      <c r="AU5258" s="498">
        <f t="shared" si="1823"/>
        <v>0</v>
      </c>
      <c r="AV5258" s="498">
        <f t="shared" si="1824"/>
        <v>0</v>
      </c>
      <c r="AW5258" s="498">
        <f t="shared" si="1825"/>
        <v>0</v>
      </c>
      <c r="AX5258" s="498">
        <f t="shared" si="1826"/>
        <v>0</v>
      </c>
      <c r="AY5258" s="498">
        <f t="shared" si="1827"/>
        <v>0</v>
      </c>
      <c r="BB5258" s="498" t="str">
        <f t="shared" si="1828"/>
        <v/>
      </c>
      <c r="BC5258" s="743" t="str">
        <f t="shared" si="1829"/>
        <v/>
      </c>
      <c r="BD5258" s="743" t="str">
        <f t="shared" si="1830"/>
        <v/>
      </c>
      <c r="BE5258" s="743" t="str">
        <f>IF(D5258="","",VLOOKUP(D5258,'General Basis'!$J$39:$K$46,2,0))</f>
        <v/>
      </c>
      <c r="BF5258" s="744" t="str">
        <f>IF(D5258="","",VLOOKUP(D5258,'General Basis'!$J$39:$L$46,3,0))</f>
        <v/>
      </c>
      <c r="BG5258" s="744" t="str">
        <f t="shared" si="1837"/>
        <v/>
      </c>
      <c r="BH5258" s="744" t="str">
        <f>IF(G5258="","",IF(BF5258="Abu Dhabi",IF(G5258&lt;18,'General Basis'!$C$39,IF(G5258&lt;41,'General Basis'!$C$40,IF(G5258&lt;60,'General Basis'!$C$41,IF(G5258&lt;65,'General Basis'!$C$42,'General Basis'!$C$43)))),IF(G5258&lt;11,'General Basis'!$B$39,IF(G5258&lt;18,'General Basis'!$B$40,IF(G5258&lt;26,'General Basis'!$B$41,IF(G5258&lt;31,'General Basis'!$B$42,IF(G5258&lt;36,'General Basis'!$B$43,IF(G5258&lt;41,'General Basis'!$B$44,IF(G5258&lt;46,'General Basis'!$B$45,IF(G5258&lt;51,'General Basis'!$B$46,IF(G5258&lt;56,'General Basis'!$B$47,IF(G5258&lt;60,'General Basis'!$B$48,IF(G5258&lt;65,'General Basis'!$B$49,'General Basis'!$B$50)))))))))))))</f>
        <v/>
      </c>
      <c r="BI5258" s="744" t="str">
        <f t="shared" si="1831"/>
        <v/>
      </c>
      <c r="BJ5258" s="747" t="str">
        <f t="shared" si="1838"/>
        <v/>
      </c>
      <c r="BK5258" s="498" t="str">
        <f t="shared" si="1832"/>
        <v/>
      </c>
      <c r="BL5258" s="498" t="str">
        <f t="shared" si="1833"/>
        <v/>
      </c>
    </row>
    <row r="5259" spans="1:64" x14ac:dyDescent="0.25">
      <c r="A5259" s="762">
        <f t="shared" si="1834"/>
        <v>5254</v>
      </c>
      <c r="B5259" s="229"/>
      <c r="C5259" s="223"/>
      <c r="D5259" s="224"/>
      <c r="E5259" s="225"/>
      <c r="F5259" s="1036" t="str">
        <f t="shared" si="1818"/>
        <v/>
      </c>
      <c r="G5259" s="1037" t="str">
        <f t="shared" si="1835"/>
        <v/>
      </c>
      <c r="H5259" s="225"/>
      <c r="I5259" s="1013"/>
      <c r="J5259" s="1013"/>
      <c r="K5259" s="1028"/>
      <c r="L5259" s="1035" t="str">
        <f t="shared" si="1839"/>
        <v/>
      </c>
      <c r="S5259" s="498"/>
      <c r="AJ5259" s="498"/>
      <c r="AM5259" s="498">
        <f t="shared" si="1820"/>
        <v>0</v>
      </c>
      <c r="AN5259" s="498">
        <f t="shared" si="1821"/>
        <v>0</v>
      </c>
      <c r="AO5259" s="498">
        <f t="shared" si="1822"/>
        <v>0</v>
      </c>
      <c r="AP5259" s="498">
        <f t="shared" si="1819"/>
        <v>0</v>
      </c>
      <c r="AQ5259" s="498">
        <f t="shared" si="1836"/>
        <v>0</v>
      </c>
      <c r="AU5259" s="498">
        <f t="shared" si="1823"/>
        <v>0</v>
      </c>
      <c r="AV5259" s="498">
        <f t="shared" si="1824"/>
        <v>0</v>
      </c>
      <c r="AW5259" s="498">
        <f t="shared" si="1825"/>
        <v>0</v>
      </c>
      <c r="AX5259" s="498">
        <f t="shared" si="1826"/>
        <v>0</v>
      </c>
      <c r="AY5259" s="498">
        <f t="shared" si="1827"/>
        <v>0</v>
      </c>
      <c r="BB5259" s="498" t="str">
        <f t="shared" si="1828"/>
        <v/>
      </c>
      <c r="BC5259" s="743" t="str">
        <f t="shared" si="1829"/>
        <v/>
      </c>
      <c r="BD5259" s="743" t="str">
        <f t="shared" si="1830"/>
        <v/>
      </c>
      <c r="BE5259" s="743" t="str">
        <f>IF(D5259="","",VLOOKUP(D5259,'General Basis'!$J$39:$K$46,2,0))</f>
        <v/>
      </c>
      <c r="BF5259" s="744" t="str">
        <f>IF(D5259="","",VLOOKUP(D5259,'General Basis'!$J$39:$L$46,3,0))</f>
        <v/>
      </c>
      <c r="BG5259" s="744" t="str">
        <f t="shared" si="1837"/>
        <v/>
      </c>
      <c r="BH5259" s="744" t="str">
        <f>IF(G5259="","",IF(BF5259="Abu Dhabi",IF(G5259&lt;18,'General Basis'!$C$39,IF(G5259&lt;41,'General Basis'!$C$40,IF(G5259&lt;60,'General Basis'!$C$41,IF(G5259&lt;65,'General Basis'!$C$42,'General Basis'!$C$43)))),IF(G5259&lt;11,'General Basis'!$B$39,IF(G5259&lt;18,'General Basis'!$B$40,IF(G5259&lt;26,'General Basis'!$B$41,IF(G5259&lt;31,'General Basis'!$B$42,IF(G5259&lt;36,'General Basis'!$B$43,IF(G5259&lt;41,'General Basis'!$B$44,IF(G5259&lt;46,'General Basis'!$B$45,IF(G5259&lt;51,'General Basis'!$B$46,IF(G5259&lt;56,'General Basis'!$B$47,IF(G5259&lt;60,'General Basis'!$B$48,IF(G5259&lt;65,'General Basis'!$B$49,'General Basis'!$B$50)))))))))))))</f>
        <v/>
      </c>
      <c r="BI5259" s="744" t="str">
        <f t="shared" si="1831"/>
        <v/>
      </c>
      <c r="BJ5259" s="747" t="str">
        <f t="shared" si="1838"/>
        <v/>
      </c>
      <c r="BK5259" s="498" t="str">
        <f t="shared" si="1832"/>
        <v/>
      </c>
      <c r="BL5259" s="498" t="str">
        <f t="shared" si="1833"/>
        <v/>
      </c>
    </row>
    <row r="5260" spans="1:64" x14ac:dyDescent="0.25">
      <c r="A5260" s="762">
        <f t="shared" si="1834"/>
        <v>5255</v>
      </c>
      <c r="B5260" s="229"/>
      <c r="C5260" s="223"/>
      <c r="D5260" s="224"/>
      <c r="E5260" s="225"/>
      <c r="F5260" s="1036" t="str">
        <f t="shared" si="1818"/>
        <v/>
      </c>
      <c r="G5260" s="1037" t="str">
        <f t="shared" si="1835"/>
        <v/>
      </c>
      <c r="H5260" s="225"/>
      <c r="I5260" s="1013"/>
      <c r="J5260" s="1013"/>
      <c r="K5260" s="1028"/>
      <c r="L5260" s="1035" t="str">
        <f t="shared" si="1839"/>
        <v/>
      </c>
      <c r="S5260" s="498"/>
      <c r="AJ5260" s="498"/>
      <c r="AM5260" s="498">
        <f t="shared" si="1820"/>
        <v>0</v>
      </c>
      <c r="AN5260" s="498">
        <f t="shared" si="1821"/>
        <v>0</v>
      </c>
      <c r="AO5260" s="498">
        <f t="shared" si="1822"/>
        <v>0</v>
      </c>
      <c r="AP5260" s="498">
        <f t="shared" si="1819"/>
        <v>0</v>
      </c>
      <c r="AQ5260" s="498">
        <f t="shared" si="1836"/>
        <v>0</v>
      </c>
      <c r="AU5260" s="498">
        <f t="shared" si="1823"/>
        <v>0</v>
      </c>
      <c r="AV5260" s="498">
        <f t="shared" si="1824"/>
        <v>0</v>
      </c>
      <c r="AW5260" s="498">
        <f t="shared" si="1825"/>
        <v>0</v>
      </c>
      <c r="AX5260" s="498">
        <f t="shared" si="1826"/>
        <v>0</v>
      </c>
      <c r="AY5260" s="498">
        <f t="shared" si="1827"/>
        <v>0</v>
      </c>
      <c r="BB5260" s="498" t="str">
        <f t="shared" si="1828"/>
        <v/>
      </c>
      <c r="BC5260" s="743" t="str">
        <f t="shared" si="1829"/>
        <v/>
      </c>
      <c r="BD5260" s="743" t="str">
        <f t="shared" si="1830"/>
        <v/>
      </c>
      <c r="BE5260" s="743" t="str">
        <f>IF(D5260="","",VLOOKUP(D5260,'General Basis'!$J$39:$K$46,2,0))</f>
        <v/>
      </c>
      <c r="BF5260" s="744" t="str">
        <f>IF(D5260="","",VLOOKUP(D5260,'General Basis'!$J$39:$L$46,3,0))</f>
        <v/>
      </c>
      <c r="BG5260" s="744" t="str">
        <f t="shared" si="1837"/>
        <v/>
      </c>
      <c r="BH5260" s="744" t="str">
        <f>IF(G5260="","",IF(BF5260="Abu Dhabi",IF(G5260&lt;18,'General Basis'!$C$39,IF(G5260&lt;41,'General Basis'!$C$40,IF(G5260&lt;60,'General Basis'!$C$41,IF(G5260&lt;65,'General Basis'!$C$42,'General Basis'!$C$43)))),IF(G5260&lt;11,'General Basis'!$B$39,IF(G5260&lt;18,'General Basis'!$B$40,IF(G5260&lt;26,'General Basis'!$B$41,IF(G5260&lt;31,'General Basis'!$B$42,IF(G5260&lt;36,'General Basis'!$B$43,IF(G5260&lt;41,'General Basis'!$B$44,IF(G5260&lt;46,'General Basis'!$B$45,IF(G5260&lt;51,'General Basis'!$B$46,IF(G5260&lt;56,'General Basis'!$B$47,IF(G5260&lt;60,'General Basis'!$B$48,IF(G5260&lt;65,'General Basis'!$B$49,'General Basis'!$B$50)))))))))))))</f>
        <v/>
      </c>
      <c r="BI5260" s="744" t="str">
        <f t="shared" si="1831"/>
        <v/>
      </c>
      <c r="BJ5260" s="747" t="str">
        <f t="shared" si="1838"/>
        <v/>
      </c>
      <c r="BK5260" s="498" t="str">
        <f t="shared" si="1832"/>
        <v/>
      </c>
      <c r="BL5260" s="498" t="str">
        <f t="shared" si="1833"/>
        <v/>
      </c>
    </row>
    <row r="5261" spans="1:64" x14ac:dyDescent="0.25">
      <c r="A5261" s="762">
        <f t="shared" si="1834"/>
        <v>5256</v>
      </c>
      <c r="B5261" s="229"/>
      <c r="C5261" s="223"/>
      <c r="D5261" s="224"/>
      <c r="E5261" s="225"/>
      <c r="F5261" s="1036" t="str">
        <f t="shared" si="1818"/>
        <v/>
      </c>
      <c r="G5261" s="1037" t="str">
        <f t="shared" si="1835"/>
        <v/>
      </c>
      <c r="H5261" s="225"/>
      <c r="I5261" s="1013"/>
      <c r="J5261" s="1013"/>
      <c r="K5261" s="1028"/>
      <c r="L5261" s="1035" t="str">
        <f t="shared" si="1839"/>
        <v/>
      </c>
      <c r="S5261" s="498"/>
      <c r="AJ5261" s="498"/>
      <c r="AM5261" s="498">
        <f t="shared" si="1820"/>
        <v>0</v>
      </c>
      <c r="AN5261" s="498">
        <f t="shared" si="1821"/>
        <v>0</v>
      </c>
      <c r="AO5261" s="498">
        <f t="shared" si="1822"/>
        <v>0</v>
      </c>
      <c r="AP5261" s="498">
        <f t="shared" si="1819"/>
        <v>0</v>
      </c>
      <c r="AQ5261" s="498">
        <f t="shared" si="1836"/>
        <v>0</v>
      </c>
      <c r="AU5261" s="498">
        <f t="shared" si="1823"/>
        <v>0</v>
      </c>
      <c r="AV5261" s="498">
        <f t="shared" si="1824"/>
        <v>0</v>
      </c>
      <c r="AW5261" s="498">
        <f t="shared" si="1825"/>
        <v>0</v>
      </c>
      <c r="AX5261" s="498">
        <f t="shared" si="1826"/>
        <v>0</v>
      </c>
      <c r="AY5261" s="498">
        <f t="shared" si="1827"/>
        <v>0</v>
      </c>
      <c r="BB5261" s="498" t="str">
        <f t="shared" si="1828"/>
        <v/>
      </c>
      <c r="BC5261" s="743" t="str">
        <f t="shared" si="1829"/>
        <v/>
      </c>
      <c r="BD5261" s="743" t="str">
        <f t="shared" si="1830"/>
        <v/>
      </c>
      <c r="BE5261" s="743" t="str">
        <f>IF(D5261="","",VLOOKUP(D5261,'General Basis'!$J$39:$K$46,2,0))</f>
        <v/>
      </c>
      <c r="BF5261" s="744" t="str">
        <f>IF(D5261="","",VLOOKUP(D5261,'General Basis'!$J$39:$L$46,3,0))</f>
        <v/>
      </c>
      <c r="BG5261" s="744" t="str">
        <f t="shared" si="1837"/>
        <v/>
      </c>
      <c r="BH5261" s="744" t="str">
        <f>IF(G5261="","",IF(BF5261="Abu Dhabi",IF(G5261&lt;18,'General Basis'!$C$39,IF(G5261&lt;41,'General Basis'!$C$40,IF(G5261&lt;60,'General Basis'!$C$41,IF(G5261&lt;65,'General Basis'!$C$42,'General Basis'!$C$43)))),IF(G5261&lt;11,'General Basis'!$B$39,IF(G5261&lt;18,'General Basis'!$B$40,IF(G5261&lt;26,'General Basis'!$B$41,IF(G5261&lt;31,'General Basis'!$B$42,IF(G5261&lt;36,'General Basis'!$B$43,IF(G5261&lt;41,'General Basis'!$B$44,IF(G5261&lt;46,'General Basis'!$B$45,IF(G5261&lt;51,'General Basis'!$B$46,IF(G5261&lt;56,'General Basis'!$B$47,IF(G5261&lt;60,'General Basis'!$B$48,IF(G5261&lt;65,'General Basis'!$B$49,'General Basis'!$B$50)))))))))))))</f>
        <v/>
      </c>
      <c r="BI5261" s="744" t="str">
        <f t="shared" si="1831"/>
        <v/>
      </c>
      <c r="BJ5261" s="747" t="str">
        <f t="shared" si="1838"/>
        <v/>
      </c>
      <c r="BK5261" s="498" t="str">
        <f t="shared" si="1832"/>
        <v/>
      </c>
      <c r="BL5261" s="498" t="str">
        <f t="shared" si="1833"/>
        <v/>
      </c>
    </row>
    <row r="5262" spans="1:64" x14ac:dyDescent="0.25">
      <c r="A5262" s="762">
        <f t="shared" si="1834"/>
        <v>5257</v>
      </c>
      <c r="B5262" s="229"/>
      <c r="C5262" s="223"/>
      <c r="D5262" s="224"/>
      <c r="E5262" s="225"/>
      <c r="F5262" s="1036" t="str">
        <f t="shared" si="1818"/>
        <v/>
      </c>
      <c r="G5262" s="1037" t="str">
        <f t="shared" si="1835"/>
        <v/>
      </c>
      <c r="H5262" s="225"/>
      <c r="I5262" s="1013"/>
      <c r="J5262" s="1013"/>
      <c r="K5262" s="1028"/>
      <c r="L5262" s="1035" t="str">
        <f t="shared" si="1839"/>
        <v/>
      </c>
      <c r="S5262" s="498"/>
      <c r="AJ5262" s="498"/>
      <c r="AM5262" s="498">
        <f t="shared" si="1820"/>
        <v>0</v>
      </c>
      <c r="AN5262" s="498">
        <f t="shared" si="1821"/>
        <v>0</v>
      </c>
      <c r="AO5262" s="498">
        <f t="shared" si="1822"/>
        <v>0</v>
      </c>
      <c r="AP5262" s="498">
        <f t="shared" si="1819"/>
        <v>0</v>
      </c>
      <c r="AQ5262" s="498">
        <f t="shared" si="1836"/>
        <v>0</v>
      </c>
      <c r="AU5262" s="498">
        <f t="shared" si="1823"/>
        <v>0</v>
      </c>
      <c r="AV5262" s="498">
        <f t="shared" si="1824"/>
        <v>0</v>
      </c>
      <c r="AW5262" s="498">
        <f t="shared" si="1825"/>
        <v>0</v>
      </c>
      <c r="AX5262" s="498">
        <f t="shared" si="1826"/>
        <v>0</v>
      </c>
      <c r="AY5262" s="498">
        <f t="shared" si="1827"/>
        <v>0</v>
      </c>
      <c r="BB5262" s="498" t="str">
        <f t="shared" si="1828"/>
        <v/>
      </c>
      <c r="BC5262" s="743" t="str">
        <f t="shared" si="1829"/>
        <v/>
      </c>
      <c r="BD5262" s="743" t="str">
        <f t="shared" si="1830"/>
        <v/>
      </c>
      <c r="BE5262" s="743" t="str">
        <f>IF(D5262="","",VLOOKUP(D5262,'General Basis'!$J$39:$K$46,2,0))</f>
        <v/>
      </c>
      <c r="BF5262" s="744" t="str">
        <f>IF(D5262="","",VLOOKUP(D5262,'General Basis'!$J$39:$L$46,3,0))</f>
        <v/>
      </c>
      <c r="BG5262" s="744" t="str">
        <f t="shared" si="1837"/>
        <v/>
      </c>
      <c r="BH5262" s="744" t="str">
        <f>IF(G5262="","",IF(BF5262="Abu Dhabi",IF(G5262&lt;18,'General Basis'!$C$39,IF(G5262&lt;41,'General Basis'!$C$40,IF(G5262&lt;60,'General Basis'!$C$41,IF(G5262&lt;65,'General Basis'!$C$42,'General Basis'!$C$43)))),IF(G5262&lt;11,'General Basis'!$B$39,IF(G5262&lt;18,'General Basis'!$B$40,IF(G5262&lt;26,'General Basis'!$B$41,IF(G5262&lt;31,'General Basis'!$B$42,IF(G5262&lt;36,'General Basis'!$B$43,IF(G5262&lt;41,'General Basis'!$B$44,IF(G5262&lt;46,'General Basis'!$B$45,IF(G5262&lt;51,'General Basis'!$B$46,IF(G5262&lt;56,'General Basis'!$B$47,IF(G5262&lt;60,'General Basis'!$B$48,IF(G5262&lt;65,'General Basis'!$B$49,'General Basis'!$B$50)))))))))))))</f>
        <v/>
      </c>
      <c r="BI5262" s="744" t="str">
        <f t="shared" si="1831"/>
        <v/>
      </c>
      <c r="BJ5262" s="747" t="str">
        <f t="shared" si="1838"/>
        <v/>
      </c>
      <c r="BK5262" s="498" t="str">
        <f t="shared" si="1832"/>
        <v/>
      </c>
      <c r="BL5262" s="498" t="str">
        <f t="shared" si="1833"/>
        <v/>
      </c>
    </row>
    <row r="5263" spans="1:64" x14ac:dyDescent="0.25">
      <c r="A5263" s="762">
        <f t="shared" si="1834"/>
        <v>5258</v>
      </c>
      <c r="B5263" s="229"/>
      <c r="C5263" s="223"/>
      <c r="D5263" s="224"/>
      <c r="E5263" s="225"/>
      <c r="F5263" s="1036" t="str">
        <f t="shared" si="1818"/>
        <v/>
      </c>
      <c r="G5263" s="1037" t="str">
        <f t="shared" si="1835"/>
        <v/>
      </c>
      <c r="H5263" s="225"/>
      <c r="I5263" s="1013"/>
      <c r="J5263" s="1013"/>
      <c r="K5263" s="1028"/>
      <c r="L5263" s="1035" t="str">
        <f t="shared" si="1839"/>
        <v/>
      </c>
      <c r="S5263" s="498"/>
      <c r="AJ5263" s="498"/>
      <c r="AM5263" s="498">
        <f t="shared" si="1820"/>
        <v>0</v>
      </c>
      <c r="AN5263" s="498">
        <f t="shared" si="1821"/>
        <v>0</v>
      </c>
      <c r="AO5263" s="498">
        <f t="shared" si="1822"/>
        <v>0</v>
      </c>
      <c r="AP5263" s="498">
        <f t="shared" si="1819"/>
        <v>0</v>
      </c>
      <c r="AQ5263" s="498">
        <f t="shared" si="1836"/>
        <v>0</v>
      </c>
      <c r="AU5263" s="498">
        <f t="shared" si="1823"/>
        <v>0</v>
      </c>
      <c r="AV5263" s="498">
        <f t="shared" si="1824"/>
        <v>0</v>
      </c>
      <c r="AW5263" s="498">
        <f t="shared" si="1825"/>
        <v>0</v>
      </c>
      <c r="AX5263" s="498">
        <f t="shared" si="1826"/>
        <v>0</v>
      </c>
      <c r="AY5263" s="498">
        <f t="shared" si="1827"/>
        <v>0</v>
      </c>
      <c r="BB5263" s="498" t="str">
        <f t="shared" si="1828"/>
        <v/>
      </c>
      <c r="BC5263" s="743" t="str">
        <f t="shared" si="1829"/>
        <v/>
      </c>
      <c r="BD5263" s="743" t="str">
        <f t="shared" si="1830"/>
        <v/>
      </c>
      <c r="BE5263" s="743" t="str">
        <f>IF(D5263="","",VLOOKUP(D5263,'General Basis'!$J$39:$K$46,2,0))</f>
        <v/>
      </c>
      <c r="BF5263" s="744" t="str">
        <f>IF(D5263="","",VLOOKUP(D5263,'General Basis'!$J$39:$L$46,3,0))</f>
        <v/>
      </c>
      <c r="BG5263" s="744" t="str">
        <f t="shared" si="1837"/>
        <v/>
      </c>
      <c r="BH5263" s="744" t="str">
        <f>IF(G5263="","",IF(BF5263="Abu Dhabi",IF(G5263&lt;18,'General Basis'!$C$39,IF(G5263&lt;41,'General Basis'!$C$40,IF(G5263&lt;60,'General Basis'!$C$41,IF(G5263&lt;65,'General Basis'!$C$42,'General Basis'!$C$43)))),IF(G5263&lt;11,'General Basis'!$B$39,IF(G5263&lt;18,'General Basis'!$B$40,IF(G5263&lt;26,'General Basis'!$B$41,IF(G5263&lt;31,'General Basis'!$B$42,IF(G5263&lt;36,'General Basis'!$B$43,IF(G5263&lt;41,'General Basis'!$B$44,IF(G5263&lt;46,'General Basis'!$B$45,IF(G5263&lt;51,'General Basis'!$B$46,IF(G5263&lt;56,'General Basis'!$B$47,IF(G5263&lt;60,'General Basis'!$B$48,IF(G5263&lt;65,'General Basis'!$B$49,'General Basis'!$B$50)))))))))))))</f>
        <v/>
      </c>
      <c r="BI5263" s="744" t="str">
        <f t="shared" si="1831"/>
        <v/>
      </c>
      <c r="BJ5263" s="747" t="str">
        <f t="shared" si="1838"/>
        <v/>
      </c>
      <c r="BK5263" s="498" t="str">
        <f t="shared" si="1832"/>
        <v/>
      </c>
      <c r="BL5263" s="498" t="str">
        <f t="shared" si="1833"/>
        <v/>
      </c>
    </row>
    <row r="5264" spans="1:64" x14ac:dyDescent="0.25">
      <c r="A5264" s="762">
        <f t="shared" si="1834"/>
        <v>5259</v>
      </c>
      <c r="B5264" s="229"/>
      <c r="C5264" s="223"/>
      <c r="D5264" s="224"/>
      <c r="E5264" s="225"/>
      <c r="F5264" s="1036" t="str">
        <f t="shared" ref="F5264:F5327" si="1840">IF(C5264="","",IF($B5264="","",((YEAR($F$3)-YEAR($B5264))+(MONTH($F$3)-MONTH($B5264))/12+(DAY($F$3)-DAY($B5264))/(DATE(YEAR($F$3),12,31)-DATE(YEAR($F$3),1,1)+1))))</f>
        <v/>
      </c>
      <c r="G5264" s="1037" t="str">
        <f t="shared" si="1835"/>
        <v/>
      </c>
      <c r="H5264" s="225"/>
      <c r="I5264" s="1013"/>
      <c r="J5264" s="1013"/>
      <c r="K5264" s="1028"/>
      <c r="L5264" s="1035" t="str">
        <f t="shared" si="1839"/>
        <v/>
      </c>
      <c r="S5264" s="498"/>
      <c r="AJ5264" s="498"/>
      <c r="AM5264" s="498">
        <f t="shared" si="1820"/>
        <v>0</v>
      </c>
      <c r="AN5264" s="498">
        <f t="shared" si="1821"/>
        <v>0</v>
      </c>
      <c r="AO5264" s="498">
        <f t="shared" si="1822"/>
        <v>0</v>
      </c>
      <c r="AP5264" s="498">
        <f t="shared" si="1819"/>
        <v>0</v>
      </c>
      <c r="AQ5264" s="498">
        <f t="shared" si="1836"/>
        <v>0</v>
      </c>
      <c r="AU5264" s="498">
        <f t="shared" si="1823"/>
        <v>0</v>
      </c>
      <c r="AV5264" s="498">
        <f t="shared" si="1824"/>
        <v>0</v>
      </c>
      <c r="AW5264" s="498">
        <f t="shared" si="1825"/>
        <v>0</v>
      </c>
      <c r="AX5264" s="498">
        <f t="shared" si="1826"/>
        <v>0</v>
      </c>
      <c r="AY5264" s="498">
        <f t="shared" si="1827"/>
        <v>0</v>
      </c>
      <c r="BB5264" s="498" t="str">
        <f t="shared" si="1828"/>
        <v/>
      </c>
      <c r="BC5264" s="743" t="str">
        <f t="shared" si="1829"/>
        <v/>
      </c>
      <c r="BD5264" s="743" t="str">
        <f t="shared" si="1830"/>
        <v/>
      </c>
      <c r="BE5264" s="743" t="str">
        <f>IF(D5264="","",VLOOKUP(D5264,'General Basis'!$J$39:$K$46,2,0))</f>
        <v/>
      </c>
      <c r="BF5264" s="744" t="str">
        <f>IF(D5264="","",VLOOKUP(D5264,'General Basis'!$J$39:$L$46,3,0))</f>
        <v/>
      </c>
      <c r="BG5264" s="744" t="str">
        <f t="shared" si="1837"/>
        <v/>
      </c>
      <c r="BH5264" s="744" t="str">
        <f>IF(G5264="","",IF(BF5264="Abu Dhabi",IF(G5264&lt;18,'General Basis'!$C$39,IF(G5264&lt;41,'General Basis'!$C$40,IF(G5264&lt;60,'General Basis'!$C$41,IF(G5264&lt;65,'General Basis'!$C$42,'General Basis'!$C$43)))),IF(G5264&lt;11,'General Basis'!$B$39,IF(G5264&lt;18,'General Basis'!$B$40,IF(G5264&lt;26,'General Basis'!$B$41,IF(G5264&lt;31,'General Basis'!$B$42,IF(G5264&lt;36,'General Basis'!$B$43,IF(G5264&lt;41,'General Basis'!$B$44,IF(G5264&lt;46,'General Basis'!$B$45,IF(G5264&lt;51,'General Basis'!$B$46,IF(G5264&lt;56,'General Basis'!$B$47,IF(G5264&lt;60,'General Basis'!$B$48,IF(G5264&lt;65,'General Basis'!$B$49,'General Basis'!$B$50)))))))))))))</f>
        <v/>
      </c>
      <c r="BI5264" s="744" t="str">
        <f t="shared" si="1831"/>
        <v/>
      </c>
      <c r="BJ5264" s="747" t="str">
        <f t="shared" si="1838"/>
        <v/>
      </c>
      <c r="BK5264" s="498" t="str">
        <f t="shared" si="1832"/>
        <v/>
      </c>
      <c r="BL5264" s="498" t="str">
        <f t="shared" si="1833"/>
        <v/>
      </c>
    </row>
    <row r="5265" spans="1:64" x14ac:dyDescent="0.25">
      <c r="A5265" s="762">
        <f t="shared" si="1834"/>
        <v>5260</v>
      </c>
      <c r="B5265" s="229"/>
      <c r="C5265" s="223"/>
      <c r="D5265" s="224"/>
      <c r="E5265" s="225"/>
      <c r="F5265" s="1036" t="str">
        <f t="shared" si="1840"/>
        <v/>
      </c>
      <c r="G5265" s="1037" t="str">
        <f t="shared" si="1835"/>
        <v/>
      </c>
      <c r="H5265" s="225"/>
      <c r="I5265" s="1013"/>
      <c r="J5265" s="1013"/>
      <c r="K5265" s="1028"/>
      <c r="L5265" s="1035" t="str">
        <f t="shared" si="1839"/>
        <v/>
      </c>
      <c r="S5265" s="498"/>
      <c r="AJ5265" s="498"/>
      <c r="AM5265" s="498">
        <f t="shared" si="1820"/>
        <v>0</v>
      </c>
      <c r="AN5265" s="498">
        <f t="shared" si="1821"/>
        <v>0</v>
      </c>
      <c r="AO5265" s="498">
        <f t="shared" si="1822"/>
        <v>0</v>
      </c>
      <c r="AP5265" s="498">
        <f t="shared" si="1819"/>
        <v>0</v>
      </c>
      <c r="AQ5265" s="498">
        <f t="shared" si="1836"/>
        <v>0</v>
      </c>
      <c r="AU5265" s="498">
        <f t="shared" si="1823"/>
        <v>0</v>
      </c>
      <c r="AV5265" s="498">
        <f t="shared" si="1824"/>
        <v>0</v>
      </c>
      <c r="AW5265" s="498">
        <f t="shared" si="1825"/>
        <v>0</v>
      </c>
      <c r="AX5265" s="498">
        <f t="shared" si="1826"/>
        <v>0</v>
      </c>
      <c r="AY5265" s="498">
        <f t="shared" si="1827"/>
        <v>0</v>
      </c>
      <c r="BB5265" s="498" t="str">
        <f t="shared" si="1828"/>
        <v/>
      </c>
      <c r="BC5265" s="743" t="str">
        <f t="shared" si="1829"/>
        <v/>
      </c>
      <c r="BD5265" s="743" t="str">
        <f t="shared" si="1830"/>
        <v/>
      </c>
      <c r="BE5265" s="743" t="str">
        <f>IF(D5265="","",VLOOKUP(D5265,'General Basis'!$J$39:$K$46,2,0))</f>
        <v/>
      </c>
      <c r="BF5265" s="744" t="str">
        <f>IF(D5265="","",VLOOKUP(D5265,'General Basis'!$J$39:$L$46,3,0))</f>
        <v/>
      </c>
      <c r="BG5265" s="744" t="str">
        <f t="shared" si="1837"/>
        <v/>
      </c>
      <c r="BH5265" s="744" t="str">
        <f>IF(G5265="","",IF(BF5265="Abu Dhabi",IF(G5265&lt;18,'General Basis'!$C$39,IF(G5265&lt;41,'General Basis'!$C$40,IF(G5265&lt;60,'General Basis'!$C$41,IF(G5265&lt;65,'General Basis'!$C$42,'General Basis'!$C$43)))),IF(G5265&lt;11,'General Basis'!$B$39,IF(G5265&lt;18,'General Basis'!$B$40,IF(G5265&lt;26,'General Basis'!$B$41,IF(G5265&lt;31,'General Basis'!$B$42,IF(G5265&lt;36,'General Basis'!$B$43,IF(G5265&lt;41,'General Basis'!$B$44,IF(G5265&lt;46,'General Basis'!$B$45,IF(G5265&lt;51,'General Basis'!$B$46,IF(G5265&lt;56,'General Basis'!$B$47,IF(G5265&lt;60,'General Basis'!$B$48,IF(G5265&lt;65,'General Basis'!$B$49,'General Basis'!$B$50)))))))))))))</f>
        <v/>
      </c>
      <c r="BI5265" s="744" t="str">
        <f t="shared" si="1831"/>
        <v/>
      </c>
      <c r="BJ5265" s="747" t="str">
        <f t="shared" si="1838"/>
        <v/>
      </c>
      <c r="BK5265" s="498" t="str">
        <f t="shared" si="1832"/>
        <v/>
      </c>
      <c r="BL5265" s="498" t="str">
        <f t="shared" si="1833"/>
        <v/>
      </c>
    </row>
    <row r="5266" spans="1:64" x14ac:dyDescent="0.25">
      <c r="A5266" s="762">
        <f t="shared" si="1834"/>
        <v>5261</v>
      </c>
      <c r="B5266" s="229"/>
      <c r="C5266" s="223"/>
      <c r="D5266" s="224"/>
      <c r="E5266" s="225"/>
      <c r="F5266" s="1036" t="str">
        <f t="shared" si="1840"/>
        <v/>
      </c>
      <c r="G5266" s="1037" t="str">
        <f t="shared" si="1835"/>
        <v/>
      </c>
      <c r="H5266" s="225"/>
      <c r="I5266" s="1013"/>
      <c r="J5266" s="1013"/>
      <c r="K5266" s="1028"/>
      <c r="L5266" s="1035" t="str">
        <f t="shared" si="1839"/>
        <v/>
      </c>
      <c r="S5266" s="498"/>
      <c r="AJ5266" s="498"/>
      <c r="AM5266" s="498">
        <f t="shared" si="1820"/>
        <v>0</v>
      </c>
      <c r="AN5266" s="498">
        <f t="shared" si="1821"/>
        <v>0</v>
      </c>
      <c r="AO5266" s="498">
        <f t="shared" si="1822"/>
        <v>0</v>
      </c>
      <c r="AP5266" s="498">
        <f t="shared" si="1819"/>
        <v>0</v>
      </c>
      <c r="AQ5266" s="498">
        <f t="shared" si="1836"/>
        <v>0</v>
      </c>
      <c r="AU5266" s="498">
        <f t="shared" si="1823"/>
        <v>0</v>
      </c>
      <c r="AV5266" s="498">
        <f t="shared" si="1824"/>
        <v>0</v>
      </c>
      <c r="AW5266" s="498">
        <f t="shared" si="1825"/>
        <v>0</v>
      </c>
      <c r="AX5266" s="498">
        <f t="shared" si="1826"/>
        <v>0</v>
      </c>
      <c r="AY5266" s="498">
        <f t="shared" si="1827"/>
        <v>0</v>
      </c>
      <c r="BB5266" s="498" t="str">
        <f t="shared" si="1828"/>
        <v/>
      </c>
      <c r="BC5266" s="743" t="str">
        <f t="shared" si="1829"/>
        <v/>
      </c>
      <c r="BD5266" s="743" t="str">
        <f t="shared" si="1830"/>
        <v/>
      </c>
      <c r="BE5266" s="743" t="str">
        <f>IF(D5266="","",VLOOKUP(D5266,'General Basis'!$J$39:$K$46,2,0))</f>
        <v/>
      </c>
      <c r="BF5266" s="744" t="str">
        <f>IF(D5266="","",VLOOKUP(D5266,'General Basis'!$J$39:$L$46,3,0))</f>
        <v/>
      </c>
      <c r="BG5266" s="744" t="str">
        <f t="shared" si="1837"/>
        <v/>
      </c>
      <c r="BH5266" s="744" t="str">
        <f>IF(G5266="","",IF(BF5266="Abu Dhabi",IF(G5266&lt;18,'General Basis'!$C$39,IF(G5266&lt;41,'General Basis'!$C$40,IF(G5266&lt;60,'General Basis'!$C$41,IF(G5266&lt;65,'General Basis'!$C$42,'General Basis'!$C$43)))),IF(G5266&lt;11,'General Basis'!$B$39,IF(G5266&lt;18,'General Basis'!$B$40,IF(G5266&lt;26,'General Basis'!$B$41,IF(G5266&lt;31,'General Basis'!$B$42,IF(G5266&lt;36,'General Basis'!$B$43,IF(G5266&lt;41,'General Basis'!$B$44,IF(G5266&lt;46,'General Basis'!$B$45,IF(G5266&lt;51,'General Basis'!$B$46,IF(G5266&lt;56,'General Basis'!$B$47,IF(G5266&lt;60,'General Basis'!$B$48,IF(G5266&lt;65,'General Basis'!$B$49,'General Basis'!$B$50)))))))))))))</f>
        <v/>
      </c>
      <c r="BI5266" s="744" t="str">
        <f t="shared" si="1831"/>
        <v/>
      </c>
      <c r="BJ5266" s="747" t="str">
        <f t="shared" si="1838"/>
        <v/>
      </c>
      <c r="BK5266" s="498" t="str">
        <f t="shared" si="1832"/>
        <v/>
      </c>
      <c r="BL5266" s="498" t="str">
        <f t="shared" si="1833"/>
        <v/>
      </c>
    </row>
    <row r="5267" spans="1:64" x14ac:dyDescent="0.25">
      <c r="A5267" s="762">
        <f t="shared" si="1834"/>
        <v>5262</v>
      </c>
      <c r="B5267" s="229"/>
      <c r="C5267" s="223"/>
      <c r="D5267" s="224"/>
      <c r="E5267" s="225"/>
      <c r="F5267" s="1036" t="str">
        <f t="shared" si="1840"/>
        <v/>
      </c>
      <c r="G5267" s="1037" t="str">
        <f t="shared" si="1835"/>
        <v/>
      </c>
      <c r="H5267" s="225"/>
      <c r="I5267" s="1013"/>
      <c r="J5267" s="1013"/>
      <c r="K5267" s="1028"/>
      <c r="L5267" s="1035" t="str">
        <f t="shared" si="1839"/>
        <v/>
      </c>
      <c r="S5267" s="498"/>
      <c r="AJ5267" s="498"/>
      <c r="AM5267" s="498">
        <f t="shared" si="1820"/>
        <v>0</v>
      </c>
      <c r="AN5267" s="498">
        <f t="shared" si="1821"/>
        <v>0</v>
      </c>
      <c r="AO5267" s="498">
        <f t="shared" si="1822"/>
        <v>0</v>
      </c>
      <c r="AP5267" s="498">
        <f t="shared" ref="AP5267:AP5330" si="1841">IF(ISBLANK($B5267),0,IF(OR($C5267="M",$C5267="F"),0,1))</f>
        <v>0</v>
      </c>
      <c r="AQ5267" s="498">
        <f t="shared" si="1836"/>
        <v>0</v>
      </c>
      <c r="AU5267" s="498">
        <f t="shared" si="1823"/>
        <v>0</v>
      </c>
      <c r="AV5267" s="498">
        <f t="shared" si="1824"/>
        <v>0</v>
      </c>
      <c r="AW5267" s="498">
        <f t="shared" si="1825"/>
        <v>0</v>
      </c>
      <c r="AX5267" s="498">
        <f t="shared" si="1826"/>
        <v>0</v>
      </c>
      <c r="AY5267" s="498">
        <f t="shared" si="1827"/>
        <v>0</v>
      </c>
      <c r="BB5267" s="498" t="str">
        <f t="shared" si="1828"/>
        <v/>
      </c>
      <c r="BC5267" s="743" t="str">
        <f t="shared" si="1829"/>
        <v/>
      </c>
      <c r="BD5267" s="743" t="str">
        <f t="shared" si="1830"/>
        <v/>
      </c>
      <c r="BE5267" s="743" t="str">
        <f>IF(D5267="","",VLOOKUP(D5267,'General Basis'!$J$39:$K$46,2,0))</f>
        <v/>
      </c>
      <c r="BF5267" s="744" t="str">
        <f>IF(D5267="","",VLOOKUP(D5267,'General Basis'!$J$39:$L$46,3,0))</f>
        <v/>
      </c>
      <c r="BG5267" s="744" t="str">
        <f t="shared" si="1837"/>
        <v/>
      </c>
      <c r="BH5267" s="744" t="str">
        <f>IF(G5267="","",IF(BF5267="Abu Dhabi",IF(G5267&lt;18,'General Basis'!$C$39,IF(G5267&lt;41,'General Basis'!$C$40,IF(G5267&lt;60,'General Basis'!$C$41,IF(G5267&lt;65,'General Basis'!$C$42,'General Basis'!$C$43)))),IF(G5267&lt;11,'General Basis'!$B$39,IF(G5267&lt;18,'General Basis'!$B$40,IF(G5267&lt;26,'General Basis'!$B$41,IF(G5267&lt;31,'General Basis'!$B$42,IF(G5267&lt;36,'General Basis'!$B$43,IF(G5267&lt;41,'General Basis'!$B$44,IF(G5267&lt;46,'General Basis'!$B$45,IF(G5267&lt;51,'General Basis'!$B$46,IF(G5267&lt;56,'General Basis'!$B$47,IF(G5267&lt;60,'General Basis'!$B$48,IF(G5267&lt;65,'General Basis'!$B$49,'General Basis'!$B$50)))))))))))))</f>
        <v/>
      </c>
      <c r="BI5267" s="744" t="str">
        <f t="shared" si="1831"/>
        <v/>
      </c>
      <c r="BJ5267" s="747" t="str">
        <f t="shared" si="1838"/>
        <v/>
      </c>
      <c r="BK5267" s="498" t="str">
        <f t="shared" si="1832"/>
        <v/>
      </c>
      <c r="BL5267" s="498" t="str">
        <f t="shared" si="1833"/>
        <v/>
      </c>
    </row>
    <row r="5268" spans="1:64" x14ac:dyDescent="0.25">
      <c r="A5268" s="762">
        <f t="shared" si="1834"/>
        <v>5263</v>
      </c>
      <c r="B5268" s="229"/>
      <c r="C5268" s="223"/>
      <c r="D5268" s="224"/>
      <c r="E5268" s="225"/>
      <c r="F5268" s="1036" t="str">
        <f t="shared" si="1840"/>
        <v/>
      </c>
      <c r="G5268" s="1037" t="str">
        <f t="shared" si="1835"/>
        <v/>
      </c>
      <c r="H5268" s="225"/>
      <c r="I5268" s="1013"/>
      <c r="J5268" s="1013"/>
      <c r="K5268" s="1028"/>
      <c r="L5268" s="1035" t="str">
        <f t="shared" si="1839"/>
        <v/>
      </c>
      <c r="S5268" s="498"/>
      <c r="AJ5268" s="498"/>
      <c r="AM5268" s="498">
        <f t="shared" si="1820"/>
        <v>0</v>
      </c>
      <c r="AN5268" s="498">
        <f t="shared" si="1821"/>
        <v>0</v>
      </c>
      <c r="AO5268" s="498">
        <f t="shared" si="1822"/>
        <v>0</v>
      </c>
      <c r="AP5268" s="498">
        <f t="shared" si="1841"/>
        <v>0</v>
      </c>
      <c r="AQ5268" s="498">
        <f t="shared" si="1836"/>
        <v>0</v>
      </c>
      <c r="AU5268" s="498">
        <f t="shared" si="1823"/>
        <v>0</v>
      </c>
      <c r="AV5268" s="498">
        <f t="shared" si="1824"/>
        <v>0</v>
      </c>
      <c r="AW5268" s="498">
        <f t="shared" si="1825"/>
        <v>0</v>
      </c>
      <c r="AX5268" s="498">
        <f t="shared" si="1826"/>
        <v>0</v>
      </c>
      <c r="AY5268" s="498">
        <f t="shared" si="1827"/>
        <v>0</v>
      </c>
      <c r="BB5268" s="498" t="str">
        <f t="shared" si="1828"/>
        <v/>
      </c>
      <c r="BC5268" s="743" t="str">
        <f t="shared" si="1829"/>
        <v/>
      </c>
      <c r="BD5268" s="743" t="str">
        <f t="shared" si="1830"/>
        <v/>
      </c>
      <c r="BE5268" s="743" t="str">
        <f>IF(D5268="","",VLOOKUP(D5268,'General Basis'!$J$39:$K$46,2,0))</f>
        <v/>
      </c>
      <c r="BF5268" s="744" t="str">
        <f>IF(D5268="","",VLOOKUP(D5268,'General Basis'!$J$39:$L$46,3,0))</f>
        <v/>
      </c>
      <c r="BG5268" s="744" t="str">
        <f t="shared" si="1837"/>
        <v/>
      </c>
      <c r="BH5268" s="744" t="str">
        <f>IF(G5268="","",IF(BF5268="Abu Dhabi",IF(G5268&lt;18,'General Basis'!$C$39,IF(G5268&lt;41,'General Basis'!$C$40,IF(G5268&lt;60,'General Basis'!$C$41,IF(G5268&lt;65,'General Basis'!$C$42,'General Basis'!$C$43)))),IF(G5268&lt;11,'General Basis'!$B$39,IF(G5268&lt;18,'General Basis'!$B$40,IF(G5268&lt;26,'General Basis'!$B$41,IF(G5268&lt;31,'General Basis'!$B$42,IF(G5268&lt;36,'General Basis'!$B$43,IF(G5268&lt;41,'General Basis'!$B$44,IF(G5268&lt;46,'General Basis'!$B$45,IF(G5268&lt;51,'General Basis'!$B$46,IF(G5268&lt;56,'General Basis'!$B$47,IF(G5268&lt;60,'General Basis'!$B$48,IF(G5268&lt;65,'General Basis'!$B$49,'General Basis'!$B$50)))))))))))))</f>
        <v/>
      </c>
      <c r="BI5268" s="744" t="str">
        <f t="shared" si="1831"/>
        <v/>
      </c>
      <c r="BJ5268" s="747" t="str">
        <f t="shared" si="1838"/>
        <v/>
      </c>
      <c r="BK5268" s="498" t="str">
        <f t="shared" si="1832"/>
        <v/>
      </c>
      <c r="BL5268" s="498" t="str">
        <f t="shared" si="1833"/>
        <v/>
      </c>
    </row>
    <row r="5269" spans="1:64" x14ac:dyDescent="0.25">
      <c r="A5269" s="762">
        <f t="shared" si="1834"/>
        <v>5264</v>
      </c>
      <c r="B5269" s="229"/>
      <c r="C5269" s="223"/>
      <c r="D5269" s="224"/>
      <c r="E5269" s="225"/>
      <c r="F5269" s="1036" t="str">
        <f t="shared" si="1840"/>
        <v/>
      </c>
      <c r="G5269" s="1037" t="str">
        <f t="shared" si="1835"/>
        <v/>
      </c>
      <c r="H5269" s="225"/>
      <c r="I5269" s="1013"/>
      <c r="J5269" s="1013"/>
      <c r="K5269" s="1028"/>
      <c r="L5269" s="1035" t="str">
        <f t="shared" si="1839"/>
        <v/>
      </c>
      <c r="S5269" s="498"/>
      <c r="AJ5269" s="498"/>
      <c r="AM5269" s="498">
        <f t="shared" si="1820"/>
        <v>0</v>
      </c>
      <c r="AN5269" s="498">
        <f t="shared" si="1821"/>
        <v>0</v>
      </c>
      <c r="AO5269" s="498">
        <f t="shared" si="1822"/>
        <v>0</v>
      </c>
      <c r="AP5269" s="498">
        <f t="shared" si="1841"/>
        <v>0</v>
      </c>
      <c r="AQ5269" s="498">
        <f t="shared" si="1836"/>
        <v>0</v>
      </c>
      <c r="AU5269" s="498">
        <f t="shared" si="1823"/>
        <v>0</v>
      </c>
      <c r="AV5269" s="498">
        <f t="shared" si="1824"/>
        <v>0</v>
      </c>
      <c r="AW5269" s="498">
        <f t="shared" si="1825"/>
        <v>0</v>
      </c>
      <c r="AX5269" s="498">
        <f t="shared" si="1826"/>
        <v>0</v>
      </c>
      <c r="AY5269" s="498">
        <f t="shared" si="1827"/>
        <v>0</v>
      </c>
      <c r="BB5269" s="498" t="str">
        <f t="shared" si="1828"/>
        <v/>
      </c>
      <c r="BC5269" s="743" t="str">
        <f t="shared" si="1829"/>
        <v/>
      </c>
      <c r="BD5269" s="743" t="str">
        <f t="shared" si="1830"/>
        <v/>
      </c>
      <c r="BE5269" s="743" t="str">
        <f>IF(D5269="","",VLOOKUP(D5269,'General Basis'!$J$39:$K$46,2,0))</f>
        <v/>
      </c>
      <c r="BF5269" s="744" t="str">
        <f>IF(D5269="","",VLOOKUP(D5269,'General Basis'!$J$39:$L$46,3,0))</f>
        <v/>
      </c>
      <c r="BG5269" s="744" t="str">
        <f t="shared" si="1837"/>
        <v/>
      </c>
      <c r="BH5269" s="744" t="str">
        <f>IF(G5269="","",IF(BF5269="Abu Dhabi",IF(G5269&lt;18,'General Basis'!$C$39,IF(G5269&lt;41,'General Basis'!$C$40,IF(G5269&lt;60,'General Basis'!$C$41,IF(G5269&lt;65,'General Basis'!$C$42,'General Basis'!$C$43)))),IF(G5269&lt;11,'General Basis'!$B$39,IF(G5269&lt;18,'General Basis'!$B$40,IF(G5269&lt;26,'General Basis'!$B$41,IF(G5269&lt;31,'General Basis'!$B$42,IF(G5269&lt;36,'General Basis'!$B$43,IF(G5269&lt;41,'General Basis'!$B$44,IF(G5269&lt;46,'General Basis'!$B$45,IF(G5269&lt;51,'General Basis'!$B$46,IF(G5269&lt;56,'General Basis'!$B$47,IF(G5269&lt;60,'General Basis'!$B$48,IF(G5269&lt;65,'General Basis'!$B$49,'General Basis'!$B$50)))))))))))))</f>
        <v/>
      </c>
      <c r="BI5269" s="744" t="str">
        <f t="shared" si="1831"/>
        <v/>
      </c>
      <c r="BJ5269" s="747" t="str">
        <f t="shared" si="1838"/>
        <v/>
      </c>
      <c r="BK5269" s="498" t="str">
        <f t="shared" si="1832"/>
        <v/>
      </c>
      <c r="BL5269" s="498" t="str">
        <f t="shared" si="1833"/>
        <v/>
      </c>
    </row>
    <row r="5270" spans="1:64" x14ac:dyDescent="0.25">
      <c r="A5270" s="762">
        <f t="shared" si="1834"/>
        <v>5265</v>
      </c>
      <c r="B5270" s="229"/>
      <c r="C5270" s="223"/>
      <c r="D5270" s="224"/>
      <c r="E5270" s="225"/>
      <c r="F5270" s="1036" t="str">
        <f t="shared" si="1840"/>
        <v/>
      </c>
      <c r="G5270" s="1037" t="str">
        <f t="shared" si="1835"/>
        <v/>
      </c>
      <c r="H5270" s="225"/>
      <c r="I5270" s="1013"/>
      <c r="J5270" s="1013"/>
      <c r="K5270" s="1028"/>
      <c r="L5270" s="1035" t="str">
        <f t="shared" si="1839"/>
        <v/>
      </c>
      <c r="S5270" s="498"/>
      <c r="AJ5270" s="498"/>
      <c r="AM5270" s="498">
        <f t="shared" si="1820"/>
        <v>0</v>
      </c>
      <c r="AN5270" s="498">
        <f t="shared" si="1821"/>
        <v>0</v>
      </c>
      <c r="AO5270" s="498">
        <f t="shared" si="1822"/>
        <v>0</v>
      </c>
      <c r="AP5270" s="498">
        <f t="shared" si="1841"/>
        <v>0</v>
      </c>
      <c r="AQ5270" s="498">
        <f t="shared" si="1836"/>
        <v>0</v>
      </c>
      <c r="AU5270" s="498">
        <f t="shared" si="1823"/>
        <v>0</v>
      </c>
      <c r="AV5270" s="498">
        <f t="shared" si="1824"/>
        <v>0</v>
      </c>
      <c r="AW5270" s="498">
        <f t="shared" si="1825"/>
        <v>0</v>
      </c>
      <c r="AX5270" s="498">
        <f t="shared" si="1826"/>
        <v>0</v>
      </c>
      <c r="AY5270" s="498">
        <f t="shared" si="1827"/>
        <v>0</v>
      </c>
      <c r="BB5270" s="498" t="str">
        <f t="shared" si="1828"/>
        <v/>
      </c>
      <c r="BC5270" s="743" t="str">
        <f t="shared" si="1829"/>
        <v/>
      </c>
      <c r="BD5270" s="743" t="str">
        <f t="shared" si="1830"/>
        <v/>
      </c>
      <c r="BE5270" s="743" t="str">
        <f>IF(D5270="","",VLOOKUP(D5270,'General Basis'!$J$39:$K$46,2,0))</f>
        <v/>
      </c>
      <c r="BF5270" s="744" t="str">
        <f>IF(D5270="","",VLOOKUP(D5270,'General Basis'!$J$39:$L$46,3,0))</f>
        <v/>
      </c>
      <c r="BG5270" s="744" t="str">
        <f t="shared" si="1837"/>
        <v/>
      </c>
      <c r="BH5270" s="744" t="str">
        <f>IF(G5270="","",IF(BF5270="Abu Dhabi",IF(G5270&lt;18,'General Basis'!$C$39,IF(G5270&lt;41,'General Basis'!$C$40,IF(G5270&lt;60,'General Basis'!$C$41,IF(G5270&lt;65,'General Basis'!$C$42,'General Basis'!$C$43)))),IF(G5270&lt;11,'General Basis'!$B$39,IF(G5270&lt;18,'General Basis'!$B$40,IF(G5270&lt;26,'General Basis'!$B$41,IF(G5270&lt;31,'General Basis'!$B$42,IF(G5270&lt;36,'General Basis'!$B$43,IF(G5270&lt;41,'General Basis'!$B$44,IF(G5270&lt;46,'General Basis'!$B$45,IF(G5270&lt;51,'General Basis'!$B$46,IF(G5270&lt;56,'General Basis'!$B$47,IF(G5270&lt;60,'General Basis'!$B$48,IF(G5270&lt;65,'General Basis'!$B$49,'General Basis'!$B$50)))))))))))))</f>
        <v/>
      </c>
      <c r="BI5270" s="744" t="str">
        <f t="shared" si="1831"/>
        <v/>
      </c>
      <c r="BJ5270" s="747" t="str">
        <f t="shared" si="1838"/>
        <v/>
      </c>
      <c r="BK5270" s="498" t="str">
        <f t="shared" si="1832"/>
        <v/>
      </c>
      <c r="BL5270" s="498" t="str">
        <f t="shared" si="1833"/>
        <v/>
      </c>
    </row>
    <row r="5271" spans="1:64" x14ac:dyDescent="0.25">
      <c r="A5271" s="762">
        <f t="shared" si="1834"/>
        <v>5266</v>
      </c>
      <c r="B5271" s="229"/>
      <c r="C5271" s="223"/>
      <c r="D5271" s="224"/>
      <c r="E5271" s="225"/>
      <c r="F5271" s="1036" t="str">
        <f t="shared" si="1840"/>
        <v/>
      </c>
      <c r="G5271" s="1037" t="str">
        <f t="shared" si="1835"/>
        <v/>
      </c>
      <c r="H5271" s="225"/>
      <c r="I5271" s="1013"/>
      <c r="J5271" s="1013"/>
      <c r="K5271" s="1028"/>
      <c r="L5271" s="1035" t="str">
        <f t="shared" si="1839"/>
        <v/>
      </c>
      <c r="S5271" s="498"/>
      <c r="AJ5271" s="498"/>
      <c r="AM5271" s="498">
        <f t="shared" si="1820"/>
        <v>0</v>
      </c>
      <c r="AN5271" s="498">
        <f t="shared" si="1821"/>
        <v>0</v>
      </c>
      <c r="AO5271" s="498">
        <f t="shared" si="1822"/>
        <v>0</v>
      </c>
      <c r="AP5271" s="498">
        <f t="shared" si="1841"/>
        <v>0</v>
      </c>
      <c r="AQ5271" s="498">
        <f t="shared" si="1836"/>
        <v>0</v>
      </c>
      <c r="AU5271" s="498">
        <f t="shared" si="1823"/>
        <v>0</v>
      </c>
      <c r="AV5271" s="498">
        <f t="shared" si="1824"/>
        <v>0</v>
      </c>
      <c r="AW5271" s="498">
        <f t="shared" si="1825"/>
        <v>0</v>
      </c>
      <c r="AX5271" s="498">
        <f t="shared" si="1826"/>
        <v>0</v>
      </c>
      <c r="AY5271" s="498">
        <f t="shared" si="1827"/>
        <v>0</v>
      </c>
      <c r="BB5271" s="498" t="str">
        <f t="shared" si="1828"/>
        <v/>
      </c>
      <c r="BC5271" s="743" t="str">
        <f t="shared" si="1829"/>
        <v/>
      </c>
      <c r="BD5271" s="743" t="str">
        <f t="shared" si="1830"/>
        <v/>
      </c>
      <c r="BE5271" s="743" t="str">
        <f>IF(D5271="","",VLOOKUP(D5271,'General Basis'!$J$39:$K$46,2,0))</f>
        <v/>
      </c>
      <c r="BF5271" s="744" t="str">
        <f>IF(D5271="","",VLOOKUP(D5271,'General Basis'!$J$39:$L$46,3,0))</f>
        <v/>
      </c>
      <c r="BG5271" s="744" t="str">
        <f t="shared" si="1837"/>
        <v/>
      </c>
      <c r="BH5271" s="744" t="str">
        <f>IF(G5271="","",IF(BF5271="Abu Dhabi",IF(G5271&lt;18,'General Basis'!$C$39,IF(G5271&lt;41,'General Basis'!$C$40,IF(G5271&lt;60,'General Basis'!$C$41,IF(G5271&lt;65,'General Basis'!$C$42,'General Basis'!$C$43)))),IF(G5271&lt;11,'General Basis'!$B$39,IF(G5271&lt;18,'General Basis'!$B$40,IF(G5271&lt;26,'General Basis'!$B$41,IF(G5271&lt;31,'General Basis'!$B$42,IF(G5271&lt;36,'General Basis'!$B$43,IF(G5271&lt;41,'General Basis'!$B$44,IF(G5271&lt;46,'General Basis'!$B$45,IF(G5271&lt;51,'General Basis'!$B$46,IF(G5271&lt;56,'General Basis'!$B$47,IF(G5271&lt;60,'General Basis'!$B$48,IF(G5271&lt;65,'General Basis'!$B$49,'General Basis'!$B$50)))))))))))))</f>
        <v/>
      </c>
      <c r="BI5271" s="744" t="str">
        <f t="shared" si="1831"/>
        <v/>
      </c>
      <c r="BJ5271" s="747" t="str">
        <f t="shared" si="1838"/>
        <v/>
      </c>
      <c r="BK5271" s="498" t="str">
        <f t="shared" si="1832"/>
        <v/>
      </c>
      <c r="BL5271" s="498" t="str">
        <f t="shared" si="1833"/>
        <v/>
      </c>
    </row>
    <row r="5272" spans="1:64" x14ac:dyDescent="0.25">
      <c r="A5272" s="762">
        <f t="shared" si="1834"/>
        <v>5267</v>
      </c>
      <c r="B5272" s="229"/>
      <c r="C5272" s="223"/>
      <c r="D5272" s="224"/>
      <c r="E5272" s="225"/>
      <c r="F5272" s="1036" t="str">
        <f t="shared" si="1840"/>
        <v/>
      </c>
      <c r="G5272" s="1037" t="str">
        <f t="shared" si="1835"/>
        <v/>
      </c>
      <c r="H5272" s="225"/>
      <c r="I5272" s="1013"/>
      <c r="J5272" s="1013"/>
      <c r="K5272" s="1028"/>
      <c r="L5272" s="1035" t="str">
        <f t="shared" si="1839"/>
        <v/>
      </c>
      <c r="S5272" s="498"/>
      <c r="AJ5272" s="498"/>
      <c r="AM5272" s="498">
        <f t="shared" si="1820"/>
        <v>0</v>
      </c>
      <c r="AN5272" s="498">
        <f t="shared" si="1821"/>
        <v>0</v>
      </c>
      <c r="AO5272" s="498">
        <f t="shared" si="1822"/>
        <v>0</v>
      </c>
      <c r="AP5272" s="498">
        <f t="shared" si="1841"/>
        <v>0</v>
      </c>
      <c r="AQ5272" s="498">
        <f t="shared" si="1836"/>
        <v>0</v>
      </c>
      <c r="AU5272" s="498">
        <f t="shared" si="1823"/>
        <v>0</v>
      </c>
      <c r="AV5272" s="498">
        <f t="shared" si="1824"/>
        <v>0</v>
      </c>
      <c r="AW5272" s="498">
        <f t="shared" si="1825"/>
        <v>0</v>
      </c>
      <c r="AX5272" s="498">
        <f t="shared" si="1826"/>
        <v>0</v>
      </c>
      <c r="AY5272" s="498">
        <f t="shared" si="1827"/>
        <v>0</v>
      </c>
      <c r="BB5272" s="498" t="str">
        <f t="shared" si="1828"/>
        <v/>
      </c>
      <c r="BC5272" s="743" t="str">
        <f t="shared" si="1829"/>
        <v/>
      </c>
      <c r="BD5272" s="743" t="str">
        <f t="shared" si="1830"/>
        <v/>
      </c>
      <c r="BE5272" s="743" t="str">
        <f>IF(D5272="","",VLOOKUP(D5272,'General Basis'!$J$39:$K$46,2,0))</f>
        <v/>
      </c>
      <c r="BF5272" s="744" t="str">
        <f>IF(D5272="","",VLOOKUP(D5272,'General Basis'!$J$39:$L$46,3,0))</f>
        <v/>
      </c>
      <c r="BG5272" s="744" t="str">
        <f t="shared" si="1837"/>
        <v/>
      </c>
      <c r="BH5272" s="744" t="str">
        <f>IF(G5272="","",IF(BF5272="Abu Dhabi",IF(G5272&lt;18,'General Basis'!$C$39,IF(G5272&lt;41,'General Basis'!$C$40,IF(G5272&lt;60,'General Basis'!$C$41,IF(G5272&lt;65,'General Basis'!$C$42,'General Basis'!$C$43)))),IF(G5272&lt;11,'General Basis'!$B$39,IF(G5272&lt;18,'General Basis'!$B$40,IF(G5272&lt;26,'General Basis'!$B$41,IF(G5272&lt;31,'General Basis'!$B$42,IF(G5272&lt;36,'General Basis'!$B$43,IF(G5272&lt;41,'General Basis'!$B$44,IF(G5272&lt;46,'General Basis'!$B$45,IF(G5272&lt;51,'General Basis'!$B$46,IF(G5272&lt;56,'General Basis'!$B$47,IF(G5272&lt;60,'General Basis'!$B$48,IF(G5272&lt;65,'General Basis'!$B$49,'General Basis'!$B$50)))))))))))))</f>
        <v/>
      </c>
      <c r="BI5272" s="744" t="str">
        <f t="shared" si="1831"/>
        <v/>
      </c>
      <c r="BJ5272" s="747" t="str">
        <f t="shared" si="1838"/>
        <v/>
      </c>
      <c r="BK5272" s="498" t="str">
        <f t="shared" si="1832"/>
        <v/>
      </c>
      <c r="BL5272" s="498" t="str">
        <f t="shared" si="1833"/>
        <v/>
      </c>
    </row>
    <row r="5273" spans="1:64" x14ac:dyDescent="0.25">
      <c r="A5273" s="762">
        <f t="shared" si="1834"/>
        <v>5268</v>
      </c>
      <c r="B5273" s="229"/>
      <c r="C5273" s="223"/>
      <c r="D5273" s="224"/>
      <c r="E5273" s="225"/>
      <c r="F5273" s="1036" t="str">
        <f t="shared" si="1840"/>
        <v/>
      </c>
      <c r="G5273" s="1037" t="str">
        <f t="shared" si="1835"/>
        <v/>
      </c>
      <c r="H5273" s="225"/>
      <c r="I5273" s="1013"/>
      <c r="J5273" s="1013"/>
      <c r="K5273" s="1028"/>
      <c r="L5273" s="1035" t="str">
        <f t="shared" si="1839"/>
        <v/>
      </c>
      <c r="S5273" s="498"/>
      <c r="AJ5273" s="498"/>
      <c r="AM5273" s="498">
        <f t="shared" si="1820"/>
        <v>0</v>
      </c>
      <c r="AN5273" s="498">
        <f t="shared" si="1821"/>
        <v>0</v>
      </c>
      <c r="AO5273" s="498">
        <f t="shared" si="1822"/>
        <v>0</v>
      </c>
      <c r="AP5273" s="498">
        <f t="shared" si="1841"/>
        <v>0</v>
      </c>
      <c r="AQ5273" s="498">
        <f t="shared" si="1836"/>
        <v>0</v>
      </c>
      <c r="AU5273" s="498">
        <f t="shared" si="1823"/>
        <v>0</v>
      </c>
      <c r="AV5273" s="498">
        <f t="shared" si="1824"/>
        <v>0</v>
      </c>
      <c r="AW5273" s="498">
        <f t="shared" si="1825"/>
        <v>0</v>
      </c>
      <c r="AX5273" s="498">
        <f t="shared" si="1826"/>
        <v>0</v>
      </c>
      <c r="AY5273" s="498">
        <f t="shared" si="1827"/>
        <v>0</v>
      </c>
      <c r="BB5273" s="498" t="str">
        <f t="shared" si="1828"/>
        <v/>
      </c>
      <c r="BC5273" s="743" t="str">
        <f t="shared" si="1829"/>
        <v/>
      </c>
      <c r="BD5273" s="743" t="str">
        <f t="shared" si="1830"/>
        <v/>
      </c>
      <c r="BE5273" s="743" t="str">
        <f>IF(D5273="","",VLOOKUP(D5273,'General Basis'!$J$39:$K$46,2,0))</f>
        <v/>
      </c>
      <c r="BF5273" s="744" t="str">
        <f>IF(D5273="","",VLOOKUP(D5273,'General Basis'!$J$39:$L$46,3,0))</f>
        <v/>
      </c>
      <c r="BG5273" s="744" t="str">
        <f t="shared" si="1837"/>
        <v/>
      </c>
      <c r="BH5273" s="744" t="str">
        <f>IF(G5273="","",IF(BF5273="Abu Dhabi",IF(G5273&lt;18,'General Basis'!$C$39,IF(G5273&lt;41,'General Basis'!$C$40,IF(G5273&lt;60,'General Basis'!$C$41,IF(G5273&lt;65,'General Basis'!$C$42,'General Basis'!$C$43)))),IF(G5273&lt;11,'General Basis'!$B$39,IF(G5273&lt;18,'General Basis'!$B$40,IF(G5273&lt;26,'General Basis'!$B$41,IF(G5273&lt;31,'General Basis'!$B$42,IF(G5273&lt;36,'General Basis'!$B$43,IF(G5273&lt;41,'General Basis'!$B$44,IF(G5273&lt;46,'General Basis'!$B$45,IF(G5273&lt;51,'General Basis'!$B$46,IF(G5273&lt;56,'General Basis'!$B$47,IF(G5273&lt;60,'General Basis'!$B$48,IF(G5273&lt;65,'General Basis'!$B$49,'General Basis'!$B$50)))))))))))))</f>
        <v/>
      </c>
      <c r="BI5273" s="744" t="str">
        <f t="shared" si="1831"/>
        <v/>
      </c>
      <c r="BJ5273" s="747" t="str">
        <f t="shared" si="1838"/>
        <v/>
      </c>
      <c r="BK5273" s="498" t="str">
        <f t="shared" si="1832"/>
        <v/>
      </c>
      <c r="BL5273" s="498" t="str">
        <f t="shared" si="1833"/>
        <v/>
      </c>
    </row>
    <row r="5274" spans="1:64" x14ac:dyDescent="0.25">
      <c r="A5274" s="762">
        <f t="shared" si="1834"/>
        <v>5269</v>
      </c>
      <c r="B5274" s="229"/>
      <c r="C5274" s="223"/>
      <c r="D5274" s="224"/>
      <c r="E5274" s="225"/>
      <c r="F5274" s="1036" t="str">
        <f t="shared" si="1840"/>
        <v/>
      </c>
      <c r="G5274" s="1037" t="str">
        <f t="shared" si="1835"/>
        <v/>
      </c>
      <c r="H5274" s="225"/>
      <c r="I5274" s="1013"/>
      <c r="J5274" s="1013"/>
      <c r="K5274" s="1028"/>
      <c r="L5274" s="1035" t="str">
        <f t="shared" si="1839"/>
        <v/>
      </c>
      <c r="S5274" s="498"/>
      <c r="AJ5274" s="498"/>
      <c r="AM5274" s="498">
        <f t="shared" si="1820"/>
        <v>0</v>
      </c>
      <c r="AN5274" s="498">
        <f t="shared" si="1821"/>
        <v>0</v>
      </c>
      <c r="AO5274" s="498">
        <f t="shared" si="1822"/>
        <v>0</v>
      </c>
      <c r="AP5274" s="498">
        <f t="shared" si="1841"/>
        <v>0</v>
      </c>
      <c r="AQ5274" s="498">
        <f t="shared" si="1836"/>
        <v>0</v>
      </c>
      <c r="AU5274" s="498">
        <f t="shared" si="1823"/>
        <v>0</v>
      </c>
      <c r="AV5274" s="498">
        <f t="shared" si="1824"/>
        <v>0</v>
      </c>
      <c r="AW5274" s="498">
        <f t="shared" si="1825"/>
        <v>0</v>
      </c>
      <c r="AX5274" s="498">
        <f t="shared" si="1826"/>
        <v>0</v>
      </c>
      <c r="AY5274" s="498">
        <f t="shared" si="1827"/>
        <v>0</v>
      </c>
      <c r="BB5274" s="498" t="str">
        <f t="shared" si="1828"/>
        <v/>
      </c>
      <c r="BC5274" s="743" t="str">
        <f t="shared" si="1829"/>
        <v/>
      </c>
      <c r="BD5274" s="743" t="str">
        <f t="shared" si="1830"/>
        <v/>
      </c>
      <c r="BE5274" s="743" t="str">
        <f>IF(D5274="","",VLOOKUP(D5274,'General Basis'!$J$39:$K$46,2,0))</f>
        <v/>
      </c>
      <c r="BF5274" s="744" t="str">
        <f>IF(D5274="","",VLOOKUP(D5274,'General Basis'!$J$39:$L$46,3,0))</f>
        <v/>
      </c>
      <c r="BG5274" s="744" t="str">
        <f t="shared" si="1837"/>
        <v/>
      </c>
      <c r="BH5274" s="744" t="str">
        <f>IF(G5274="","",IF(BF5274="Abu Dhabi",IF(G5274&lt;18,'General Basis'!$C$39,IF(G5274&lt;41,'General Basis'!$C$40,IF(G5274&lt;60,'General Basis'!$C$41,IF(G5274&lt;65,'General Basis'!$C$42,'General Basis'!$C$43)))),IF(G5274&lt;11,'General Basis'!$B$39,IF(G5274&lt;18,'General Basis'!$B$40,IF(G5274&lt;26,'General Basis'!$B$41,IF(G5274&lt;31,'General Basis'!$B$42,IF(G5274&lt;36,'General Basis'!$B$43,IF(G5274&lt;41,'General Basis'!$B$44,IF(G5274&lt;46,'General Basis'!$B$45,IF(G5274&lt;51,'General Basis'!$B$46,IF(G5274&lt;56,'General Basis'!$B$47,IF(G5274&lt;60,'General Basis'!$B$48,IF(G5274&lt;65,'General Basis'!$B$49,'General Basis'!$B$50)))))))))))))</f>
        <v/>
      </c>
      <c r="BI5274" s="744" t="str">
        <f t="shared" si="1831"/>
        <v/>
      </c>
      <c r="BJ5274" s="747" t="str">
        <f t="shared" si="1838"/>
        <v/>
      </c>
      <c r="BK5274" s="498" t="str">
        <f t="shared" si="1832"/>
        <v/>
      </c>
      <c r="BL5274" s="498" t="str">
        <f t="shared" si="1833"/>
        <v/>
      </c>
    </row>
    <row r="5275" spans="1:64" x14ac:dyDescent="0.25">
      <c r="A5275" s="762">
        <f t="shared" si="1834"/>
        <v>5270</v>
      </c>
      <c r="B5275" s="229"/>
      <c r="C5275" s="223"/>
      <c r="D5275" s="224"/>
      <c r="E5275" s="225"/>
      <c r="F5275" s="1036" t="str">
        <f t="shared" si="1840"/>
        <v/>
      </c>
      <c r="G5275" s="1037" t="str">
        <f t="shared" si="1835"/>
        <v/>
      </c>
      <c r="H5275" s="225"/>
      <c r="I5275" s="1013"/>
      <c r="J5275" s="1013"/>
      <c r="K5275" s="1028"/>
      <c r="L5275" s="1035" t="str">
        <f t="shared" si="1839"/>
        <v/>
      </c>
      <c r="S5275" s="498"/>
      <c r="AJ5275" s="498"/>
      <c r="AM5275" s="498">
        <f t="shared" si="1820"/>
        <v>0</v>
      </c>
      <c r="AN5275" s="498">
        <f t="shared" si="1821"/>
        <v>0</v>
      </c>
      <c r="AO5275" s="498">
        <f t="shared" si="1822"/>
        <v>0</v>
      </c>
      <c r="AP5275" s="498">
        <f t="shared" si="1841"/>
        <v>0</v>
      </c>
      <c r="AQ5275" s="498">
        <f t="shared" si="1836"/>
        <v>0</v>
      </c>
      <c r="AU5275" s="498">
        <f t="shared" si="1823"/>
        <v>0</v>
      </c>
      <c r="AV5275" s="498">
        <f t="shared" si="1824"/>
        <v>0</v>
      </c>
      <c r="AW5275" s="498">
        <f t="shared" si="1825"/>
        <v>0</v>
      </c>
      <c r="AX5275" s="498">
        <f t="shared" si="1826"/>
        <v>0</v>
      </c>
      <c r="AY5275" s="498">
        <f t="shared" si="1827"/>
        <v>0</v>
      </c>
      <c r="BB5275" s="498" t="str">
        <f t="shared" si="1828"/>
        <v/>
      </c>
      <c r="BC5275" s="743" t="str">
        <f t="shared" si="1829"/>
        <v/>
      </c>
      <c r="BD5275" s="743" t="str">
        <f t="shared" si="1830"/>
        <v/>
      </c>
      <c r="BE5275" s="743" t="str">
        <f>IF(D5275="","",VLOOKUP(D5275,'General Basis'!$J$39:$K$46,2,0))</f>
        <v/>
      </c>
      <c r="BF5275" s="744" t="str">
        <f>IF(D5275="","",VLOOKUP(D5275,'General Basis'!$J$39:$L$46,3,0))</f>
        <v/>
      </c>
      <c r="BG5275" s="744" t="str">
        <f t="shared" si="1837"/>
        <v/>
      </c>
      <c r="BH5275" s="744" t="str">
        <f>IF(G5275="","",IF(BF5275="Abu Dhabi",IF(G5275&lt;18,'General Basis'!$C$39,IF(G5275&lt;41,'General Basis'!$C$40,IF(G5275&lt;60,'General Basis'!$C$41,IF(G5275&lt;65,'General Basis'!$C$42,'General Basis'!$C$43)))),IF(G5275&lt;11,'General Basis'!$B$39,IF(G5275&lt;18,'General Basis'!$B$40,IF(G5275&lt;26,'General Basis'!$B$41,IF(G5275&lt;31,'General Basis'!$B$42,IF(G5275&lt;36,'General Basis'!$B$43,IF(G5275&lt;41,'General Basis'!$B$44,IF(G5275&lt;46,'General Basis'!$B$45,IF(G5275&lt;51,'General Basis'!$B$46,IF(G5275&lt;56,'General Basis'!$B$47,IF(G5275&lt;60,'General Basis'!$B$48,IF(G5275&lt;65,'General Basis'!$B$49,'General Basis'!$B$50)))))))))))))</f>
        <v/>
      </c>
      <c r="BI5275" s="744" t="str">
        <f t="shared" si="1831"/>
        <v/>
      </c>
      <c r="BJ5275" s="747" t="str">
        <f t="shared" si="1838"/>
        <v/>
      </c>
      <c r="BK5275" s="498" t="str">
        <f t="shared" si="1832"/>
        <v/>
      </c>
      <c r="BL5275" s="498" t="str">
        <f t="shared" si="1833"/>
        <v/>
      </c>
    </row>
    <row r="5276" spans="1:64" x14ac:dyDescent="0.25">
      <c r="A5276" s="762">
        <f t="shared" si="1834"/>
        <v>5271</v>
      </c>
      <c r="B5276" s="229"/>
      <c r="C5276" s="223"/>
      <c r="D5276" s="224"/>
      <c r="E5276" s="225"/>
      <c r="F5276" s="1036" t="str">
        <f t="shared" si="1840"/>
        <v/>
      </c>
      <c r="G5276" s="1037" t="str">
        <f t="shared" si="1835"/>
        <v/>
      </c>
      <c r="H5276" s="225"/>
      <c r="I5276" s="1013"/>
      <c r="J5276" s="1013"/>
      <c r="K5276" s="1028"/>
      <c r="L5276" s="1035" t="str">
        <f t="shared" si="1839"/>
        <v/>
      </c>
      <c r="S5276" s="498"/>
      <c r="AJ5276" s="498"/>
      <c r="AM5276" s="498">
        <f t="shared" si="1820"/>
        <v>0</v>
      </c>
      <c r="AN5276" s="498">
        <f t="shared" si="1821"/>
        <v>0</v>
      </c>
      <c r="AO5276" s="498">
        <f t="shared" si="1822"/>
        <v>0</v>
      </c>
      <c r="AP5276" s="498">
        <f t="shared" si="1841"/>
        <v>0</v>
      </c>
      <c r="AQ5276" s="498">
        <f t="shared" si="1836"/>
        <v>0</v>
      </c>
      <c r="AU5276" s="498">
        <f t="shared" si="1823"/>
        <v>0</v>
      </c>
      <c r="AV5276" s="498">
        <f t="shared" si="1824"/>
        <v>0</v>
      </c>
      <c r="AW5276" s="498">
        <f t="shared" si="1825"/>
        <v>0</v>
      </c>
      <c r="AX5276" s="498">
        <f t="shared" si="1826"/>
        <v>0</v>
      </c>
      <c r="AY5276" s="498">
        <f t="shared" si="1827"/>
        <v>0</v>
      </c>
      <c r="BB5276" s="498" t="str">
        <f t="shared" si="1828"/>
        <v/>
      </c>
      <c r="BC5276" s="743" t="str">
        <f t="shared" si="1829"/>
        <v/>
      </c>
      <c r="BD5276" s="743" t="str">
        <f t="shared" si="1830"/>
        <v/>
      </c>
      <c r="BE5276" s="743" t="str">
        <f>IF(D5276="","",VLOOKUP(D5276,'General Basis'!$J$39:$K$46,2,0))</f>
        <v/>
      </c>
      <c r="BF5276" s="744" t="str">
        <f>IF(D5276="","",VLOOKUP(D5276,'General Basis'!$J$39:$L$46,3,0))</f>
        <v/>
      </c>
      <c r="BG5276" s="744" t="str">
        <f t="shared" si="1837"/>
        <v/>
      </c>
      <c r="BH5276" s="744" t="str">
        <f>IF(G5276="","",IF(BF5276="Abu Dhabi",IF(G5276&lt;18,'General Basis'!$C$39,IF(G5276&lt;41,'General Basis'!$C$40,IF(G5276&lt;60,'General Basis'!$C$41,IF(G5276&lt;65,'General Basis'!$C$42,'General Basis'!$C$43)))),IF(G5276&lt;11,'General Basis'!$B$39,IF(G5276&lt;18,'General Basis'!$B$40,IF(G5276&lt;26,'General Basis'!$B$41,IF(G5276&lt;31,'General Basis'!$B$42,IF(G5276&lt;36,'General Basis'!$B$43,IF(G5276&lt;41,'General Basis'!$B$44,IF(G5276&lt;46,'General Basis'!$B$45,IF(G5276&lt;51,'General Basis'!$B$46,IF(G5276&lt;56,'General Basis'!$B$47,IF(G5276&lt;60,'General Basis'!$B$48,IF(G5276&lt;65,'General Basis'!$B$49,'General Basis'!$B$50)))))))))))))</f>
        <v/>
      </c>
      <c r="BI5276" s="744" t="str">
        <f t="shared" si="1831"/>
        <v/>
      </c>
      <c r="BJ5276" s="747" t="str">
        <f t="shared" si="1838"/>
        <v/>
      </c>
      <c r="BK5276" s="498" t="str">
        <f t="shared" si="1832"/>
        <v/>
      </c>
      <c r="BL5276" s="498" t="str">
        <f t="shared" si="1833"/>
        <v/>
      </c>
    </row>
    <row r="5277" spans="1:64" x14ac:dyDescent="0.25">
      <c r="A5277" s="762">
        <f t="shared" si="1834"/>
        <v>5272</v>
      </c>
      <c r="B5277" s="229"/>
      <c r="C5277" s="223"/>
      <c r="D5277" s="224"/>
      <c r="E5277" s="225"/>
      <c r="F5277" s="1036" t="str">
        <f t="shared" si="1840"/>
        <v/>
      </c>
      <c r="G5277" s="1037" t="str">
        <f t="shared" si="1835"/>
        <v/>
      </c>
      <c r="H5277" s="225"/>
      <c r="I5277" s="1013"/>
      <c r="J5277" s="1013"/>
      <c r="K5277" s="1028"/>
      <c r="L5277" s="1035" t="str">
        <f t="shared" si="1839"/>
        <v/>
      </c>
      <c r="S5277" s="498"/>
      <c r="AJ5277" s="498"/>
      <c r="AM5277" s="498">
        <f t="shared" si="1820"/>
        <v>0</v>
      </c>
      <c r="AN5277" s="498">
        <f t="shared" si="1821"/>
        <v>0</v>
      </c>
      <c r="AO5277" s="498">
        <f t="shared" si="1822"/>
        <v>0</v>
      </c>
      <c r="AP5277" s="498">
        <f t="shared" si="1841"/>
        <v>0</v>
      </c>
      <c r="AQ5277" s="498">
        <f t="shared" si="1836"/>
        <v>0</v>
      </c>
      <c r="AU5277" s="498">
        <f t="shared" si="1823"/>
        <v>0</v>
      </c>
      <c r="AV5277" s="498">
        <f t="shared" si="1824"/>
        <v>0</v>
      </c>
      <c r="AW5277" s="498">
        <f t="shared" si="1825"/>
        <v>0</v>
      </c>
      <c r="AX5277" s="498">
        <f t="shared" si="1826"/>
        <v>0</v>
      </c>
      <c r="AY5277" s="498">
        <f t="shared" si="1827"/>
        <v>0</v>
      </c>
      <c r="BB5277" s="498" t="str">
        <f t="shared" si="1828"/>
        <v/>
      </c>
      <c r="BC5277" s="743" t="str">
        <f t="shared" si="1829"/>
        <v/>
      </c>
      <c r="BD5277" s="743" t="str">
        <f t="shared" si="1830"/>
        <v/>
      </c>
      <c r="BE5277" s="743" t="str">
        <f>IF(D5277="","",VLOOKUP(D5277,'General Basis'!$J$39:$K$46,2,0))</f>
        <v/>
      </c>
      <c r="BF5277" s="744" t="str">
        <f>IF(D5277="","",VLOOKUP(D5277,'General Basis'!$J$39:$L$46,3,0))</f>
        <v/>
      </c>
      <c r="BG5277" s="744" t="str">
        <f t="shared" si="1837"/>
        <v/>
      </c>
      <c r="BH5277" s="744" t="str">
        <f>IF(G5277="","",IF(BF5277="Abu Dhabi",IF(G5277&lt;18,'General Basis'!$C$39,IF(G5277&lt;41,'General Basis'!$C$40,IF(G5277&lt;60,'General Basis'!$C$41,IF(G5277&lt;65,'General Basis'!$C$42,'General Basis'!$C$43)))),IF(G5277&lt;11,'General Basis'!$B$39,IF(G5277&lt;18,'General Basis'!$B$40,IF(G5277&lt;26,'General Basis'!$B$41,IF(G5277&lt;31,'General Basis'!$B$42,IF(G5277&lt;36,'General Basis'!$B$43,IF(G5277&lt;41,'General Basis'!$B$44,IF(G5277&lt;46,'General Basis'!$B$45,IF(G5277&lt;51,'General Basis'!$B$46,IF(G5277&lt;56,'General Basis'!$B$47,IF(G5277&lt;60,'General Basis'!$B$48,IF(G5277&lt;65,'General Basis'!$B$49,'General Basis'!$B$50)))))))))))))</f>
        <v/>
      </c>
      <c r="BI5277" s="744" t="str">
        <f t="shared" si="1831"/>
        <v/>
      </c>
      <c r="BJ5277" s="747" t="str">
        <f t="shared" si="1838"/>
        <v/>
      </c>
      <c r="BK5277" s="498" t="str">
        <f t="shared" si="1832"/>
        <v/>
      </c>
      <c r="BL5277" s="498" t="str">
        <f t="shared" si="1833"/>
        <v/>
      </c>
    </row>
    <row r="5278" spans="1:64" x14ac:dyDescent="0.25">
      <c r="A5278" s="762">
        <f t="shared" si="1834"/>
        <v>5273</v>
      </c>
      <c r="B5278" s="229"/>
      <c r="C5278" s="223"/>
      <c r="D5278" s="224"/>
      <c r="E5278" s="225"/>
      <c r="F5278" s="1036" t="str">
        <f t="shared" si="1840"/>
        <v/>
      </c>
      <c r="G5278" s="1037" t="str">
        <f t="shared" si="1835"/>
        <v/>
      </c>
      <c r="H5278" s="225"/>
      <c r="I5278" s="1013"/>
      <c r="J5278" s="1013"/>
      <c r="K5278" s="1028"/>
      <c r="L5278" s="1035" t="str">
        <f t="shared" si="1839"/>
        <v/>
      </c>
      <c r="S5278" s="498"/>
      <c r="AJ5278" s="498"/>
      <c r="AM5278" s="498">
        <f t="shared" si="1820"/>
        <v>0</v>
      </c>
      <c r="AN5278" s="498">
        <f t="shared" si="1821"/>
        <v>0</v>
      </c>
      <c r="AO5278" s="498">
        <f t="shared" si="1822"/>
        <v>0</v>
      </c>
      <c r="AP5278" s="498">
        <f t="shared" si="1841"/>
        <v>0</v>
      </c>
      <c r="AQ5278" s="498">
        <f t="shared" si="1836"/>
        <v>0</v>
      </c>
      <c r="AU5278" s="498">
        <f t="shared" si="1823"/>
        <v>0</v>
      </c>
      <c r="AV5278" s="498">
        <f t="shared" si="1824"/>
        <v>0</v>
      </c>
      <c r="AW5278" s="498">
        <f t="shared" si="1825"/>
        <v>0</v>
      </c>
      <c r="AX5278" s="498">
        <f t="shared" si="1826"/>
        <v>0</v>
      </c>
      <c r="AY5278" s="498">
        <f t="shared" si="1827"/>
        <v>0</v>
      </c>
      <c r="BB5278" s="498" t="str">
        <f t="shared" si="1828"/>
        <v/>
      </c>
      <c r="BC5278" s="743" t="str">
        <f t="shared" si="1829"/>
        <v/>
      </c>
      <c r="BD5278" s="743" t="str">
        <f t="shared" si="1830"/>
        <v/>
      </c>
      <c r="BE5278" s="743" t="str">
        <f>IF(D5278="","",VLOOKUP(D5278,'General Basis'!$J$39:$K$46,2,0))</f>
        <v/>
      </c>
      <c r="BF5278" s="744" t="str">
        <f>IF(D5278="","",VLOOKUP(D5278,'General Basis'!$J$39:$L$46,3,0))</f>
        <v/>
      </c>
      <c r="BG5278" s="744" t="str">
        <f t="shared" si="1837"/>
        <v/>
      </c>
      <c r="BH5278" s="744" t="str">
        <f>IF(G5278="","",IF(BF5278="Abu Dhabi",IF(G5278&lt;18,'General Basis'!$C$39,IF(G5278&lt;41,'General Basis'!$C$40,IF(G5278&lt;60,'General Basis'!$C$41,IF(G5278&lt;65,'General Basis'!$C$42,'General Basis'!$C$43)))),IF(G5278&lt;11,'General Basis'!$B$39,IF(G5278&lt;18,'General Basis'!$B$40,IF(G5278&lt;26,'General Basis'!$B$41,IF(G5278&lt;31,'General Basis'!$B$42,IF(G5278&lt;36,'General Basis'!$B$43,IF(G5278&lt;41,'General Basis'!$B$44,IF(G5278&lt;46,'General Basis'!$B$45,IF(G5278&lt;51,'General Basis'!$B$46,IF(G5278&lt;56,'General Basis'!$B$47,IF(G5278&lt;60,'General Basis'!$B$48,IF(G5278&lt;65,'General Basis'!$B$49,'General Basis'!$B$50)))))))))))))</f>
        <v/>
      </c>
      <c r="BI5278" s="744" t="str">
        <f t="shared" si="1831"/>
        <v/>
      </c>
      <c r="BJ5278" s="747" t="str">
        <f t="shared" si="1838"/>
        <v/>
      </c>
      <c r="BK5278" s="498" t="str">
        <f t="shared" si="1832"/>
        <v/>
      </c>
      <c r="BL5278" s="498" t="str">
        <f t="shared" si="1833"/>
        <v/>
      </c>
    </row>
    <row r="5279" spans="1:64" x14ac:dyDescent="0.25">
      <c r="A5279" s="762">
        <f t="shared" si="1834"/>
        <v>5274</v>
      </c>
      <c r="B5279" s="229"/>
      <c r="C5279" s="223"/>
      <c r="D5279" s="224"/>
      <c r="E5279" s="225"/>
      <c r="F5279" s="1036" t="str">
        <f t="shared" si="1840"/>
        <v/>
      </c>
      <c r="G5279" s="1037" t="str">
        <f t="shared" si="1835"/>
        <v/>
      </c>
      <c r="H5279" s="225"/>
      <c r="I5279" s="1013"/>
      <c r="J5279" s="1013"/>
      <c r="K5279" s="1028"/>
      <c r="L5279" s="1035" t="str">
        <f t="shared" si="1839"/>
        <v/>
      </c>
      <c r="S5279" s="498"/>
      <c r="AJ5279" s="498"/>
      <c r="AM5279" s="498">
        <f t="shared" si="1820"/>
        <v>0</v>
      </c>
      <c r="AN5279" s="498">
        <f t="shared" si="1821"/>
        <v>0</v>
      </c>
      <c r="AO5279" s="498">
        <f t="shared" si="1822"/>
        <v>0</v>
      </c>
      <c r="AP5279" s="498">
        <f t="shared" si="1841"/>
        <v>0</v>
      </c>
      <c r="AQ5279" s="498">
        <f t="shared" si="1836"/>
        <v>0</v>
      </c>
      <c r="AU5279" s="498">
        <f t="shared" si="1823"/>
        <v>0</v>
      </c>
      <c r="AV5279" s="498">
        <f t="shared" si="1824"/>
        <v>0</v>
      </c>
      <c r="AW5279" s="498">
        <f t="shared" si="1825"/>
        <v>0</v>
      </c>
      <c r="AX5279" s="498">
        <f t="shared" si="1826"/>
        <v>0</v>
      </c>
      <c r="AY5279" s="498">
        <f t="shared" si="1827"/>
        <v>0</v>
      </c>
      <c r="BB5279" s="498" t="str">
        <f t="shared" si="1828"/>
        <v/>
      </c>
      <c r="BC5279" s="743" t="str">
        <f t="shared" si="1829"/>
        <v/>
      </c>
      <c r="BD5279" s="743" t="str">
        <f t="shared" si="1830"/>
        <v/>
      </c>
      <c r="BE5279" s="743" t="str">
        <f>IF(D5279="","",VLOOKUP(D5279,'General Basis'!$J$39:$K$46,2,0))</f>
        <v/>
      </c>
      <c r="BF5279" s="744" t="str">
        <f>IF(D5279="","",VLOOKUP(D5279,'General Basis'!$J$39:$L$46,3,0))</f>
        <v/>
      </c>
      <c r="BG5279" s="744" t="str">
        <f t="shared" si="1837"/>
        <v/>
      </c>
      <c r="BH5279" s="744" t="str">
        <f>IF(G5279="","",IF(BF5279="Abu Dhabi",IF(G5279&lt;18,'General Basis'!$C$39,IF(G5279&lt;41,'General Basis'!$C$40,IF(G5279&lt;60,'General Basis'!$C$41,IF(G5279&lt;65,'General Basis'!$C$42,'General Basis'!$C$43)))),IF(G5279&lt;11,'General Basis'!$B$39,IF(G5279&lt;18,'General Basis'!$B$40,IF(G5279&lt;26,'General Basis'!$B$41,IF(G5279&lt;31,'General Basis'!$B$42,IF(G5279&lt;36,'General Basis'!$B$43,IF(G5279&lt;41,'General Basis'!$B$44,IF(G5279&lt;46,'General Basis'!$B$45,IF(G5279&lt;51,'General Basis'!$B$46,IF(G5279&lt;56,'General Basis'!$B$47,IF(G5279&lt;60,'General Basis'!$B$48,IF(G5279&lt;65,'General Basis'!$B$49,'General Basis'!$B$50)))))))))))))</f>
        <v/>
      </c>
      <c r="BI5279" s="744" t="str">
        <f t="shared" si="1831"/>
        <v/>
      </c>
      <c r="BJ5279" s="747" t="str">
        <f t="shared" si="1838"/>
        <v/>
      </c>
      <c r="BK5279" s="498" t="str">
        <f t="shared" si="1832"/>
        <v/>
      </c>
      <c r="BL5279" s="498" t="str">
        <f t="shared" si="1833"/>
        <v/>
      </c>
    </row>
    <row r="5280" spans="1:64" x14ac:dyDescent="0.25">
      <c r="A5280" s="762">
        <f t="shared" si="1834"/>
        <v>5275</v>
      </c>
      <c r="B5280" s="229"/>
      <c r="C5280" s="223"/>
      <c r="D5280" s="224"/>
      <c r="E5280" s="225"/>
      <c r="F5280" s="1036" t="str">
        <f t="shared" si="1840"/>
        <v/>
      </c>
      <c r="G5280" s="1037" t="str">
        <f t="shared" si="1835"/>
        <v/>
      </c>
      <c r="H5280" s="225"/>
      <c r="I5280" s="1013"/>
      <c r="J5280" s="1013"/>
      <c r="K5280" s="1028"/>
      <c r="L5280" s="1035" t="str">
        <f t="shared" si="1839"/>
        <v/>
      </c>
      <c r="S5280" s="498"/>
      <c r="AJ5280" s="498"/>
      <c r="AM5280" s="498">
        <f t="shared" si="1820"/>
        <v>0</v>
      </c>
      <c r="AN5280" s="498">
        <f t="shared" si="1821"/>
        <v>0</v>
      </c>
      <c r="AO5280" s="498">
        <f t="shared" si="1822"/>
        <v>0</v>
      </c>
      <c r="AP5280" s="498">
        <f t="shared" si="1841"/>
        <v>0</v>
      </c>
      <c r="AQ5280" s="498">
        <f t="shared" si="1836"/>
        <v>0</v>
      </c>
      <c r="AU5280" s="498">
        <f t="shared" si="1823"/>
        <v>0</v>
      </c>
      <c r="AV5280" s="498">
        <f t="shared" si="1824"/>
        <v>0</v>
      </c>
      <c r="AW5280" s="498">
        <f t="shared" si="1825"/>
        <v>0</v>
      </c>
      <c r="AX5280" s="498">
        <f t="shared" si="1826"/>
        <v>0</v>
      </c>
      <c r="AY5280" s="498">
        <f t="shared" si="1827"/>
        <v>0</v>
      </c>
      <c r="BB5280" s="498" t="str">
        <f t="shared" si="1828"/>
        <v/>
      </c>
      <c r="BC5280" s="743" t="str">
        <f t="shared" si="1829"/>
        <v/>
      </c>
      <c r="BD5280" s="743" t="str">
        <f t="shared" si="1830"/>
        <v/>
      </c>
      <c r="BE5280" s="743" t="str">
        <f>IF(D5280="","",VLOOKUP(D5280,'General Basis'!$J$39:$K$46,2,0))</f>
        <v/>
      </c>
      <c r="BF5280" s="744" t="str">
        <f>IF(D5280="","",VLOOKUP(D5280,'General Basis'!$J$39:$L$46,3,0))</f>
        <v/>
      </c>
      <c r="BG5280" s="744" t="str">
        <f t="shared" si="1837"/>
        <v/>
      </c>
      <c r="BH5280" s="744" t="str">
        <f>IF(G5280="","",IF(BF5280="Abu Dhabi",IF(G5280&lt;18,'General Basis'!$C$39,IF(G5280&lt;41,'General Basis'!$C$40,IF(G5280&lt;60,'General Basis'!$C$41,IF(G5280&lt;65,'General Basis'!$C$42,'General Basis'!$C$43)))),IF(G5280&lt;11,'General Basis'!$B$39,IF(G5280&lt;18,'General Basis'!$B$40,IF(G5280&lt;26,'General Basis'!$B$41,IF(G5280&lt;31,'General Basis'!$B$42,IF(G5280&lt;36,'General Basis'!$B$43,IF(G5280&lt;41,'General Basis'!$B$44,IF(G5280&lt;46,'General Basis'!$B$45,IF(G5280&lt;51,'General Basis'!$B$46,IF(G5280&lt;56,'General Basis'!$B$47,IF(G5280&lt;60,'General Basis'!$B$48,IF(G5280&lt;65,'General Basis'!$B$49,'General Basis'!$B$50)))))))))))))</f>
        <v/>
      </c>
      <c r="BI5280" s="744" t="str">
        <f t="shared" si="1831"/>
        <v/>
      </c>
      <c r="BJ5280" s="747" t="str">
        <f t="shared" si="1838"/>
        <v/>
      </c>
      <c r="BK5280" s="498" t="str">
        <f t="shared" si="1832"/>
        <v/>
      </c>
      <c r="BL5280" s="498" t="str">
        <f t="shared" si="1833"/>
        <v/>
      </c>
    </row>
    <row r="5281" spans="1:64" x14ac:dyDescent="0.25">
      <c r="A5281" s="762">
        <f t="shared" si="1834"/>
        <v>5276</v>
      </c>
      <c r="B5281" s="229"/>
      <c r="C5281" s="223"/>
      <c r="D5281" s="224"/>
      <c r="E5281" s="225"/>
      <c r="F5281" s="1036" t="str">
        <f t="shared" si="1840"/>
        <v/>
      </c>
      <c r="G5281" s="1037" t="str">
        <f t="shared" si="1835"/>
        <v/>
      </c>
      <c r="H5281" s="225"/>
      <c r="I5281" s="1013"/>
      <c r="J5281" s="1013"/>
      <c r="K5281" s="1028"/>
      <c r="L5281" s="1035" t="str">
        <f t="shared" si="1839"/>
        <v/>
      </c>
      <c r="S5281" s="498"/>
      <c r="AJ5281" s="498"/>
      <c r="AM5281" s="498">
        <f t="shared" si="1820"/>
        <v>0</v>
      </c>
      <c r="AN5281" s="498">
        <f t="shared" si="1821"/>
        <v>0</v>
      </c>
      <c r="AO5281" s="498">
        <f t="shared" si="1822"/>
        <v>0</v>
      </c>
      <c r="AP5281" s="498">
        <f t="shared" si="1841"/>
        <v>0</v>
      </c>
      <c r="AQ5281" s="498">
        <f t="shared" si="1836"/>
        <v>0</v>
      </c>
      <c r="AU5281" s="498">
        <f t="shared" si="1823"/>
        <v>0</v>
      </c>
      <c r="AV5281" s="498">
        <f t="shared" si="1824"/>
        <v>0</v>
      </c>
      <c r="AW5281" s="498">
        <f t="shared" si="1825"/>
        <v>0</v>
      </c>
      <c r="AX5281" s="498">
        <f t="shared" si="1826"/>
        <v>0</v>
      </c>
      <c r="AY5281" s="498">
        <f t="shared" si="1827"/>
        <v>0</v>
      </c>
      <c r="BB5281" s="498" t="str">
        <f t="shared" si="1828"/>
        <v/>
      </c>
      <c r="BC5281" s="743" t="str">
        <f t="shared" si="1829"/>
        <v/>
      </c>
      <c r="BD5281" s="743" t="str">
        <f t="shared" si="1830"/>
        <v/>
      </c>
      <c r="BE5281" s="743" t="str">
        <f>IF(D5281="","",VLOOKUP(D5281,'General Basis'!$J$39:$K$46,2,0))</f>
        <v/>
      </c>
      <c r="BF5281" s="744" t="str">
        <f>IF(D5281="","",VLOOKUP(D5281,'General Basis'!$J$39:$L$46,3,0))</f>
        <v/>
      </c>
      <c r="BG5281" s="744" t="str">
        <f t="shared" si="1837"/>
        <v/>
      </c>
      <c r="BH5281" s="744" t="str">
        <f>IF(G5281="","",IF(BF5281="Abu Dhabi",IF(G5281&lt;18,'General Basis'!$C$39,IF(G5281&lt;41,'General Basis'!$C$40,IF(G5281&lt;60,'General Basis'!$C$41,IF(G5281&lt;65,'General Basis'!$C$42,'General Basis'!$C$43)))),IF(G5281&lt;11,'General Basis'!$B$39,IF(G5281&lt;18,'General Basis'!$B$40,IF(G5281&lt;26,'General Basis'!$B$41,IF(G5281&lt;31,'General Basis'!$B$42,IF(G5281&lt;36,'General Basis'!$B$43,IF(G5281&lt;41,'General Basis'!$B$44,IF(G5281&lt;46,'General Basis'!$B$45,IF(G5281&lt;51,'General Basis'!$B$46,IF(G5281&lt;56,'General Basis'!$B$47,IF(G5281&lt;60,'General Basis'!$B$48,IF(G5281&lt;65,'General Basis'!$B$49,'General Basis'!$B$50)))))))))))))</f>
        <v/>
      </c>
      <c r="BI5281" s="744" t="str">
        <f t="shared" si="1831"/>
        <v/>
      </c>
      <c r="BJ5281" s="747" t="str">
        <f t="shared" si="1838"/>
        <v/>
      </c>
      <c r="BK5281" s="498" t="str">
        <f t="shared" si="1832"/>
        <v/>
      </c>
      <c r="BL5281" s="498" t="str">
        <f t="shared" si="1833"/>
        <v/>
      </c>
    </row>
    <row r="5282" spans="1:64" x14ac:dyDescent="0.25">
      <c r="A5282" s="762">
        <f t="shared" si="1834"/>
        <v>5277</v>
      </c>
      <c r="B5282" s="229"/>
      <c r="C5282" s="223"/>
      <c r="D5282" s="224"/>
      <c r="E5282" s="225"/>
      <c r="F5282" s="1036" t="str">
        <f t="shared" si="1840"/>
        <v/>
      </c>
      <c r="G5282" s="1037" t="str">
        <f t="shared" si="1835"/>
        <v/>
      </c>
      <c r="H5282" s="225"/>
      <c r="I5282" s="1013"/>
      <c r="J5282" s="1013"/>
      <c r="K5282" s="1028"/>
      <c r="L5282" s="1035" t="str">
        <f t="shared" si="1839"/>
        <v/>
      </c>
      <c r="S5282" s="498"/>
      <c r="AJ5282" s="498"/>
      <c r="AM5282" s="498">
        <f t="shared" si="1820"/>
        <v>0</v>
      </c>
      <c r="AN5282" s="498">
        <f t="shared" si="1821"/>
        <v>0</v>
      </c>
      <c r="AO5282" s="498">
        <f t="shared" si="1822"/>
        <v>0</v>
      </c>
      <c r="AP5282" s="498">
        <f t="shared" si="1841"/>
        <v>0</v>
      </c>
      <c r="AQ5282" s="498">
        <f t="shared" si="1836"/>
        <v>0</v>
      </c>
      <c r="AU5282" s="498">
        <f t="shared" si="1823"/>
        <v>0</v>
      </c>
      <c r="AV5282" s="498">
        <f t="shared" si="1824"/>
        <v>0</v>
      </c>
      <c r="AW5282" s="498">
        <f t="shared" si="1825"/>
        <v>0</v>
      </c>
      <c r="AX5282" s="498">
        <f t="shared" si="1826"/>
        <v>0</v>
      </c>
      <c r="AY5282" s="498">
        <f t="shared" si="1827"/>
        <v>0</v>
      </c>
      <c r="BB5282" s="498" t="str">
        <f t="shared" si="1828"/>
        <v/>
      </c>
      <c r="BC5282" s="743" t="str">
        <f t="shared" si="1829"/>
        <v/>
      </c>
      <c r="BD5282" s="743" t="str">
        <f t="shared" si="1830"/>
        <v/>
      </c>
      <c r="BE5282" s="743" t="str">
        <f>IF(D5282="","",VLOOKUP(D5282,'General Basis'!$J$39:$K$46,2,0))</f>
        <v/>
      </c>
      <c r="BF5282" s="744" t="str">
        <f>IF(D5282="","",VLOOKUP(D5282,'General Basis'!$J$39:$L$46,3,0))</f>
        <v/>
      </c>
      <c r="BG5282" s="744" t="str">
        <f t="shared" si="1837"/>
        <v/>
      </c>
      <c r="BH5282" s="744" t="str">
        <f>IF(G5282="","",IF(BF5282="Abu Dhabi",IF(G5282&lt;18,'General Basis'!$C$39,IF(G5282&lt;41,'General Basis'!$C$40,IF(G5282&lt;60,'General Basis'!$C$41,IF(G5282&lt;65,'General Basis'!$C$42,'General Basis'!$C$43)))),IF(G5282&lt;11,'General Basis'!$B$39,IF(G5282&lt;18,'General Basis'!$B$40,IF(G5282&lt;26,'General Basis'!$B$41,IF(G5282&lt;31,'General Basis'!$B$42,IF(G5282&lt;36,'General Basis'!$B$43,IF(G5282&lt;41,'General Basis'!$B$44,IF(G5282&lt;46,'General Basis'!$B$45,IF(G5282&lt;51,'General Basis'!$B$46,IF(G5282&lt;56,'General Basis'!$B$47,IF(G5282&lt;60,'General Basis'!$B$48,IF(G5282&lt;65,'General Basis'!$B$49,'General Basis'!$B$50)))))))))))))</f>
        <v/>
      </c>
      <c r="BI5282" s="744" t="str">
        <f t="shared" si="1831"/>
        <v/>
      </c>
      <c r="BJ5282" s="747" t="str">
        <f t="shared" si="1838"/>
        <v/>
      </c>
      <c r="BK5282" s="498" t="str">
        <f t="shared" si="1832"/>
        <v/>
      </c>
      <c r="BL5282" s="498" t="str">
        <f t="shared" si="1833"/>
        <v/>
      </c>
    </row>
    <row r="5283" spans="1:64" x14ac:dyDescent="0.25">
      <c r="A5283" s="762">
        <f t="shared" si="1834"/>
        <v>5278</v>
      </c>
      <c r="B5283" s="229"/>
      <c r="C5283" s="223"/>
      <c r="D5283" s="224"/>
      <c r="E5283" s="225"/>
      <c r="F5283" s="1036" t="str">
        <f t="shared" si="1840"/>
        <v/>
      </c>
      <c r="G5283" s="1037" t="str">
        <f t="shared" si="1835"/>
        <v/>
      </c>
      <c r="H5283" s="225"/>
      <c r="I5283" s="1013"/>
      <c r="J5283" s="1013"/>
      <c r="K5283" s="1028"/>
      <c r="L5283" s="1035" t="str">
        <f t="shared" si="1839"/>
        <v/>
      </c>
      <c r="S5283" s="498"/>
      <c r="AJ5283" s="498"/>
      <c r="AM5283" s="498">
        <f t="shared" si="1820"/>
        <v>0</v>
      </c>
      <c r="AN5283" s="498">
        <f t="shared" si="1821"/>
        <v>0</v>
      </c>
      <c r="AO5283" s="498">
        <f t="shared" si="1822"/>
        <v>0</v>
      </c>
      <c r="AP5283" s="498">
        <f t="shared" si="1841"/>
        <v>0</v>
      </c>
      <c r="AQ5283" s="498">
        <f t="shared" si="1836"/>
        <v>0</v>
      </c>
      <c r="AU5283" s="498">
        <f t="shared" si="1823"/>
        <v>0</v>
      </c>
      <c r="AV5283" s="498">
        <f t="shared" si="1824"/>
        <v>0</v>
      </c>
      <c r="AW5283" s="498">
        <f t="shared" si="1825"/>
        <v>0</v>
      </c>
      <c r="AX5283" s="498">
        <f t="shared" si="1826"/>
        <v>0</v>
      </c>
      <c r="AY5283" s="498">
        <f t="shared" si="1827"/>
        <v>0</v>
      </c>
      <c r="BB5283" s="498" t="str">
        <f t="shared" si="1828"/>
        <v/>
      </c>
      <c r="BC5283" s="743" t="str">
        <f t="shared" si="1829"/>
        <v/>
      </c>
      <c r="BD5283" s="743" t="str">
        <f t="shared" si="1830"/>
        <v/>
      </c>
      <c r="BE5283" s="743" t="str">
        <f>IF(D5283="","",VLOOKUP(D5283,'General Basis'!$J$39:$K$46,2,0))</f>
        <v/>
      </c>
      <c r="BF5283" s="744" t="str">
        <f>IF(D5283="","",VLOOKUP(D5283,'General Basis'!$J$39:$L$46,3,0))</f>
        <v/>
      </c>
      <c r="BG5283" s="744" t="str">
        <f t="shared" si="1837"/>
        <v/>
      </c>
      <c r="BH5283" s="744" t="str">
        <f>IF(G5283="","",IF(BF5283="Abu Dhabi",IF(G5283&lt;18,'General Basis'!$C$39,IF(G5283&lt;41,'General Basis'!$C$40,IF(G5283&lt;60,'General Basis'!$C$41,IF(G5283&lt;65,'General Basis'!$C$42,'General Basis'!$C$43)))),IF(G5283&lt;11,'General Basis'!$B$39,IF(G5283&lt;18,'General Basis'!$B$40,IF(G5283&lt;26,'General Basis'!$B$41,IF(G5283&lt;31,'General Basis'!$B$42,IF(G5283&lt;36,'General Basis'!$B$43,IF(G5283&lt;41,'General Basis'!$B$44,IF(G5283&lt;46,'General Basis'!$B$45,IF(G5283&lt;51,'General Basis'!$B$46,IF(G5283&lt;56,'General Basis'!$B$47,IF(G5283&lt;60,'General Basis'!$B$48,IF(G5283&lt;65,'General Basis'!$B$49,'General Basis'!$B$50)))))))))))))</f>
        <v/>
      </c>
      <c r="BI5283" s="744" t="str">
        <f t="shared" si="1831"/>
        <v/>
      </c>
      <c r="BJ5283" s="747" t="str">
        <f t="shared" si="1838"/>
        <v/>
      </c>
      <c r="BK5283" s="498" t="str">
        <f t="shared" si="1832"/>
        <v/>
      </c>
      <c r="BL5283" s="498" t="str">
        <f t="shared" si="1833"/>
        <v/>
      </c>
    </row>
    <row r="5284" spans="1:64" x14ac:dyDescent="0.25">
      <c r="A5284" s="762">
        <f t="shared" si="1834"/>
        <v>5279</v>
      </c>
      <c r="B5284" s="229"/>
      <c r="C5284" s="223"/>
      <c r="D5284" s="224"/>
      <c r="E5284" s="225"/>
      <c r="F5284" s="1036" t="str">
        <f t="shared" si="1840"/>
        <v/>
      </c>
      <c r="G5284" s="1037" t="str">
        <f t="shared" si="1835"/>
        <v/>
      </c>
      <c r="H5284" s="225"/>
      <c r="I5284" s="1013"/>
      <c r="J5284" s="1013"/>
      <c r="K5284" s="1028"/>
      <c r="L5284" s="1035" t="str">
        <f t="shared" si="1839"/>
        <v/>
      </c>
      <c r="S5284" s="498"/>
      <c r="AJ5284" s="498"/>
      <c r="AM5284" s="498">
        <f t="shared" si="1820"/>
        <v>0</v>
      </c>
      <c r="AN5284" s="498">
        <f t="shared" si="1821"/>
        <v>0</v>
      </c>
      <c r="AO5284" s="498">
        <f t="shared" si="1822"/>
        <v>0</v>
      </c>
      <c r="AP5284" s="498">
        <f t="shared" si="1841"/>
        <v>0</v>
      </c>
      <c r="AQ5284" s="498">
        <f t="shared" si="1836"/>
        <v>0</v>
      </c>
      <c r="AU5284" s="498">
        <f t="shared" si="1823"/>
        <v>0</v>
      </c>
      <c r="AV5284" s="498">
        <f t="shared" si="1824"/>
        <v>0</v>
      </c>
      <c r="AW5284" s="498">
        <f t="shared" si="1825"/>
        <v>0</v>
      </c>
      <c r="AX5284" s="498">
        <f t="shared" si="1826"/>
        <v>0</v>
      </c>
      <c r="AY5284" s="498">
        <f t="shared" si="1827"/>
        <v>0</v>
      </c>
      <c r="BB5284" s="498" t="str">
        <f t="shared" si="1828"/>
        <v/>
      </c>
      <c r="BC5284" s="743" t="str">
        <f t="shared" si="1829"/>
        <v/>
      </c>
      <c r="BD5284" s="743" t="str">
        <f t="shared" si="1830"/>
        <v/>
      </c>
      <c r="BE5284" s="743" t="str">
        <f>IF(D5284="","",VLOOKUP(D5284,'General Basis'!$J$39:$K$46,2,0))</f>
        <v/>
      </c>
      <c r="BF5284" s="744" t="str">
        <f>IF(D5284="","",VLOOKUP(D5284,'General Basis'!$J$39:$L$46,3,0))</f>
        <v/>
      </c>
      <c r="BG5284" s="744" t="str">
        <f t="shared" si="1837"/>
        <v/>
      </c>
      <c r="BH5284" s="744" t="str">
        <f>IF(G5284="","",IF(BF5284="Abu Dhabi",IF(G5284&lt;18,'General Basis'!$C$39,IF(G5284&lt;41,'General Basis'!$C$40,IF(G5284&lt;60,'General Basis'!$C$41,IF(G5284&lt;65,'General Basis'!$C$42,'General Basis'!$C$43)))),IF(G5284&lt;11,'General Basis'!$B$39,IF(G5284&lt;18,'General Basis'!$B$40,IF(G5284&lt;26,'General Basis'!$B$41,IF(G5284&lt;31,'General Basis'!$B$42,IF(G5284&lt;36,'General Basis'!$B$43,IF(G5284&lt;41,'General Basis'!$B$44,IF(G5284&lt;46,'General Basis'!$B$45,IF(G5284&lt;51,'General Basis'!$B$46,IF(G5284&lt;56,'General Basis'!$B$47,IF(G5284&lt;60,'General Basis'!$B$48,IF(G5284&lt;65,'General Basis'!$B$49,'General Basis'!$B$50)))))))))))))</f>
        <v/>
      </c>
      <c r="BI5284" s="744" t="str">
        <f t="shared" si="1831"/>
        <v/>
      </c>
      <c r="BJ5284" s="747" t="str">
        <f t="shared" si="1838"/>
        <v/>
      </c>
      <c r="BK5284" s="498" t="str">
        <f t="shared" si="1832"/>
        <v/>
      </c>
      <c r="BL5284" s="498" t="str">
        <f t="shared" si="1833"/>
        <v/>
      </c>
    </row>
    <row r="5285" spans="1:64" x14ac:dyDescent="0.25">
      <c r="A5285" s="762">
        <f t="shared" si="1834"/>
        <v>5280</v>
      </c>
      <c r="B5285" s="229"/>
      <c r="C5285" s="223"/>
      <c r="D5285" s="224"/>
      <c r="E5285" s="225"/>
      <c r="F5285" s="1036" t="str">
        <f t="shared" si="1840"/>
        <v/>
      </c>
      <c r="G5285" s="1037" t="str">
        <f t="shared" si="1835"/>
        <v/>
      </c>
      <c r="H5285" s="225"/>
      <c r="I5285" s="1013"/>
      <c r="J5285" s="1013"/>
      <c r="K5285" s="1028"/>
      <c r="L5285" s="1035" t="str">
        <f t="shared" si="1839"/>
        <v/>
      </c>
      <c r="S5285" s="498"/>
      <c r="AJ5285" s="498"/>
      <c r="AM5285" s="498">
        <f t="shared" si="1820"/>
        <v>0</v>
      </c>
      <c r="AN5285" s="498">
        <f t="shared" si="1821"/>
        <v>0</v>
      </c>
      <c r="AO5285" s="498">
        <f t="shared" si="1822"/>
        <v>0</v>
      </c>
      <c r="AP5285" s="498">
        <f t="shared" si="1841"/>
        <v>0</v>
      </c>
      <c r="AQ5285" s="498">
        <f t="shared" si="1836"/>
        <v>0</v>
      </c>
      <c r="AU5285" s="498">
        <f t="shared" si="1823"/>
        <v>0</v>
      </c>
      <c r="AV5285" s="498">
        <f t="shared" si="1824"/>
        <v>0</v>
      </c>
      <c r="AW5285" s="498">
        <f t="shared" si="1825"/>
        <v>0</v>
      </c>
      <c r="AX5285" s="498">
        <f t="shared" si="1826"/>
        <v>0</v>
      </c>
      <c r="AY5285" s="498">
        <f t="shared" si="1827"/>
        <v>0</v>
      </c>
      <c r="BB5285" s="498" t="str">
        <f t="shared" si="1828"/>
        <v/>
      </c>
      <c r="BC5285" s="743" t="str">
        <f t="shared" si="1829"/>
        <v/>
      </c>
      <c r="BD5285" s="743" t="str">
        <f t="shared" si="1830"/>
        <v/>
      </c>
      <c r="BE5285" s="743" t="str">
        <f>IF(D5285="","",VLOOKUP(D5285,'General Basis'!$J$39:$K$46,2,0))</f>
        <v/>
      </c>
      <c r="BF5285" s="744" t="str">
        <f>IF(D5285="","",VLOOKUP(D5285,'General Basis'!$J$39:$L$46,3,0))</f>
        <v/>
      </c>
      <c r="BG5285" s="744" t="str">
        <f t="shared" si="1837"/>
        <v/>
      </c>
      <c r="BH5285" s="744" t="str">
        <f>IF(G5285="","",IF(BF5285="Abu Dhabi",IF(G5285&lt;18,'General Basis'!$C$39,IF(G5285&lt;41,'General Basis'!$C$40,IF(G5285&lt;60,'General Basis'!$C$41,IF(G5285&lt;65,'General Basis'!$C$42,'General Basis'!$C$43)))),IF(G5285&lt;11,'General Basis'!$B$39,IF(G5285&lt;18,'General Basis'!$B$40,IF(G5285&lt;26,'General Basis'!$B$41,IF(G5285&lt;31,'General Basis'!$B$42,IF(G5285&lt;36,'General Basis'!$B$43,IF(G5285&lt;41,'General Basis'!$B$44,IF(G5285&lt;46,'General Basis'!$B$45,IF(G5285&lt;51,'General Basis'!$B$46,IF(G5285&lt;56,'General Basis'!$B$47,IF(G5285&lt;60,'General Basis'!$B$48,IF(G5285&lt;65,'General Basis'!$B$49,'General Basis'!$B$50)))))))))))))</f>
        <v/>
      </c>
      <c r="BI5285" s="744" t="str">
        <f t="shared" si="1831"/>
        <v/>
      </c>
      <c r="BJ5285" s="747" t="str">
        <f t="shared" si="1838"/>
        <v/>
      </c>
      <c r="BK5285" s="498" t="str">
        <f t="shared" si="1832"/>
        <v/>
      </c>
      <c r="BL5285" s="498" t="str">
        <f t="shared" si="1833"/>
        <v/>
      </c>
    </row>
    <row r="5286" spans="1:64" x14ac:dyDescent="0.25">
      <c r="A5286" s="762">
        <f t="shared" si="1834"/>
        <v>5281</v>
      </c>
      <c r="B5286" s="229"/>
      <c r="C5286" s="223"/>
      <c r="D5286" s="224"/>
      <c r="E5286" s="225"/>
      <c r="F5286" s="1036" t="str">
        <f t="shared" si="1840"/>
        <v/>
      </c>
      <c r="G5286" s="1037" t="str">
        <f t="shared" si="1835"/>
        <v/>
      </c>
      <c r="H5286" s="225"/>
      <c r="I5286" s="1013"/>
      <c r="J5286" s="1013"/>
      <c r="K5286" s="1028"/>
      <c r="L5286" s="1035" t="str">
        <f t="shared" si="1839"/>
        <v/>
      </c>
      <c r="S5286" s="498"/>
      <c r="AJ5286" s="498"/>
      <c r="AM5286" s="498">
        <f t="shared" si="1820"/>
        <v>0</v>
      </c>
      <c r="AN5286" s="498">
        <f t="shared" si="1821"/>
        <v>0</v>
      </c>
      <c r="AO5286" s="498">
        <f t="shared" si="1822"/>
        <v>0</v>
      </c>
      <c r="AP5286" s="498">
        <f t="shared" si="1841"/>
        <v>0</v>
      </c>
      <c r="AQ5286" s="498">
        <f t="shared" si="1836"/>
        <v>0</v>
      </c>
      <c r="AU5286" s="498">
        <f t="shared" si="1823"/>
        <v>0</v>
      </c>
      <c r="AV5286" s="498">
        <f t="shared" si="1824"/>
        <v>0</v>
      </c>
      <c r="AW5286" s="498">
        <f t="shared" si="1825"/>
        <v>0</v>
      </c>
      <c r="AX5286" s="498">
        <f t="shared" si="1826"/>
        <v>0</v>
      </c>
      <c r="AY5286" s="498">
        <f t="shared" si="1827"/>
        <v>0</v>
      </c>
      <c r="BB5286" s="498" t="str">
        <f t="shared" si="1828"/>
        <v/>
      </c>
      <c r="BC5286" s="743" t="str">
        <f t="shared" si="1829"/>
        <v/>
      </c>
      <c r="BD5286" s="743" t="str">
        <f t="shared" si="1830"/>
        <v/>
      </c>
      <c r="BE5286" s="743" t="str">
        <f>IF(D5286="","",VLOOKUP(D5286,'General Basis'!$J$39:$K$46,2,0))</f>
        <v/>
      </c>
      <c r="BF5286" s="744" t="str">
        <f>IF(D5286="","",VLOOKUP(D5286,'General Basis'!$J$39:$L$46,3,0))</f>
        <v/>
      </c>
      <c r="BG5286" s="744" t="str">
        <f t="shared" si="1837"/>
        <v/>
      </c>
      <c r="BH5286" s="744" t="str">
        <f>IF(G5286="","",IF(BF5286="Abu Dhabi",IF(G5286&lt;18,'General Basis'!$C$39,IF(G5286&lt;41,'General Basis'!$C$40,IF(G5286&lt;60,'General Basis'!$C$41,IF(G5286&lt;65,'General Basis'!$C$42,'General Basis'!$C$43)))),IF(G5286&lt;11,'General Basis'!$B$39,IF(G5286&lt;18,'General Basis'!$B$40,IF(G5286&lt;26,'General Basis'!$B$41,IF(G5286&lt;31,'General Basis'!$B$42,IF(G5286&lt;36,'General Basis'!$B$43,IF(G5286&lt;41,'General Basis'!$B$44,IF(G5286&lt;46,'General Basis'!$B$45,IF(G5286&lt;51,'General Basis'!$B$46,IF(G5286&lt;56,'General Basis'!$B$47,IF(G5286&lt;60,'General Basis'!$B$48,IF(G5286&lt;65,'General Basis'!$B$49,'General Basis'!$B$50)))))))))))))</f>
        <v/>
      </c>
      <c r="BI5286" s="744" t="str">
        <f t="shared" si="1831"/>
        <v/>
      </c>
      <c r="BJ5286" s="747" t="str">
        <f t="shared" si="1838"/>
        <v/>
      </c>
      <c r="BK5286" s="498" t="str">
        <f t="shared" si="1832"/>
        <v/>
      </c>
      <c r="BL5286" s="498" t="str">
        <f t="shared" si="1833"/>
        <v/>
      </c>
    </row>
    <row r="5287" spans="1:64" x14ac:dyDescent="0.25">
      <c r="A5287" s="762">
        <f t="shared" si="1834"/>
        <v>5282</v>
      </c>
      <c r="B5287" s="229"/>
      <c r="C5287" s="223"/>
      <c r="D5287" s="224"/>
      <c r="E5287" s="225"/>
      <c r="F5287" s="1036" t="str">
        <f t="shared" si="1840"/>
        <v/>
      </c>
      <c r="G5287" s="1037" t="str">
        <f t="shared" si="1835"/>
        <v/>
      </c>
      <c r="H5287" s="225"/>
      <c r="I5287" s="1013"/>
      <c r="J5287" s="1013"/>
      <c r="K5287" s="1028"/>
      <c r="L5287" s="1035" t="str">
        <f t="shared" si="1839"/>
        <v/>
      </c>
      <c r="S5287" s="498"/>
      <c r="AJ5287" s="498"/>
      <c r="AM5287" s="498">
        <f t="shared" si="1820"/>
        <v>0</v>
      </c>
      <c r="AN5287" s="498">
        <f t="shared" si="1821"/>
        <v>0</v>
      </c>
      <c r="AO5287" s="498">
        <f t="shared" si="1822"/>
        <v>0</v>
      </c>
      <c r="AP5287" s="498">
        <f t="shared" si="1841"/>
        <v>0</v>
      </c>
      <c r="AQ5287" s="498">
        <f t="shared" si="1836"/>
        <v>0</v>
      </c>
      <c r="AU5287" s="498">
        <f t="shared" si="1823"/>
        <v>0</v>
      </c>
      <c r="AV5287" s="498">
        <f t="shared" si="1824"/>
        <v>0</v>
      </c>
      <c r="AW5287" s="498">
        <f t="shared" si="1825"/>
        <v>0</v>
      </c>
      <c r="AX5287" s="498">
        <f t="shared" si="1826"/>
        <v>0</v>
      </c>
      <c r="AY5287" s="498">
        <f t="shared" si="1827"/>
        <v>0</v>
      </c>
      <c r="BB5287" s="498" t="str">
        <f t="shared" si="1828"/>
        <v/>
      </c>
      <c r="BC5287" s="743" t="str">
        <f t="shared" si="1829"/>
        <v/>
      </c>
      <c r="BD5287" s="743" t="str">
        <f t="shared" si="1830"/>
        <v/>
      </c>
      <c r="BE5287" s="743" t="str">
        <f>IF(D5287="","",VLOOKUP(D5287,'General Basis'!$J$39:$K$46,2,0))</f>
        <v/>
      </c>
      <c r="BF5287" s="744" t="str">
        <f>IF(D5287="","",VLOOKUP(D5287,'General Basis'!$J$39:$L$46,3,0))</f>
        <v/>
      </c>
      <c r="BG5287" s="744" t="str">
        <f t="shared" si="1837"/>
        <v/>
      </c>
      <c r="BH5287" s="744" t="str">
        <f>IF(G5287="","",IF(BF5287="Abu Dhabi",IF(G5287&lt;18,'General Basis'!$C$39,IF(G5287&lt;41,'General Basis'!$C$40,IF(G5287&lt;60,'General Basis'!$C$41,IF(G5287&lt;65,'General Basis'!$C$42,'General Basis'!$C$43)))),IF(G5287&lt;11,'General Basis'!$B$39,IF(G5287&lt;18,'General Basis'!$B$40,IF(G5287&lt;26,'General Basis'!$B$41,IF(G5287&lt;31,'General Basis'!$B$42,IF(G5287&lt;36,'General Basis'!$B$43,IF(G5287&lt;41,'General Basis'!$B$44,IF(G5287&lt;46,'General Basis'!$B$45,IF(G5287&lt;51,'General Basis'!$B$46,IF(G5287&lt;56,'General Basis'!$B$47,IF(G5287&lt;60,'General Basis'!$B$48,IF(G5287&lt;65,'General Basis'!$B$49,'General Basis'!$B$50)))))))))))))</f>
        <v/>
      </c>
      <c r="BI5287" s="744" t="str">
        <f t="shared" si="1831"/>
        <v/>
      </c>
      <c r="BJ5287" s="747" t="str">
        <f t="shared" si="1838"/>
        <v/>
      </c>
      <c r="BK5287" s="498" t="str">
        <f t="shared" si="1832"/>
        <v/>
      </c>
      <c r="BL5287" s="498" t="str">
        <f t="shared" si="1833"/>
        <v/>
      </c>
    </row>
    <row r="5288" spans="1:64" x14ac:dyDescent="0.25">
      <c r="A5288" s="762">
        <f t="shared" si="1834"/>
        <v>5283</v>
      </c>
      <c r="B5288" s="229"/>
      <c r="C5288" s="223"/>
      <c r="D5288" s="224"/>
      <c r="E5288" s="225"/>
      <c r="F5288" s="1036" t="str">
        <f t="shared" si="1840"/>
        <v/>
      </c>
      <c r="G5288" s="1037" t="str">
        <f t="shared" si="1835"/>
        <v/>
      </c>
      <c r="H5288" s="225"/>
      <c r="I5288" s="1013"/>
      <c r="J5288" s="1013"/>
      <c r="K5288" s="1028"/>
      <c r="L5288" s="1035" t="str">
        <f t="shared" si="1839"/>
        <v/>
      </c>
      <c r="S5288" s="498"/>
      <c r="AJ5288" s="498"/>
      <c r="AM5288" s="498">
        <f t="shared" si="1820"/>
        <v>0</v>
      </c>
      <c r="AN5288" s="498">
        <f t="shared" si="1821"/>
        <v>0</v>
      </c>
      <c r="AO5288" s="498">
        <f t="shared" si="1822"/>
        <v>0</v>
      </c>
      <c r="AP5288" s="498">
        <f t="shared" si="1841"/>
        <v>0</v>
      </c>
      <c r="AQ5288" s="498">
        <f t="shared" si="1836"/>
        <v>0</v>
      </c>
      <c r="AU5288" s="498">
        <f t="shared" si="1823"/>
        <v>0</v>
      </c>
      <c r="AV5288" s="498">
        <f t="shared" si="1824"/>
        <v>0</v>
      </c>
      <c r="AW5288" s="498">
        <f t="shared" si="1825"/>
        <v>0</v>
      </c>
      <c r="AX5288" s="498">
        <f t="shared" si="1826"/>
        <v>0</v>
      </c>
      <c r="AY5288" s="498">
        <f t="shared" si="1827"/>
        <v>0</v>
      </c>
      <c r="BB5288" s="498" t="str">
        <f t="shared" si="1828"/>
        <v/>
      </c>
      <c r="BC5288" s="743" t="str">
        <f t="shared" si="1829"/>
        <v/>
      </c>
      <c r="BD5288" s="743" t="str">
        <f t="shared" si="1830"/>
        <v/>
      </c>
      <c r="BE5288" s="743" t="str">
        <f>IF(D5288="","",VLOOKUP(D5288,'General Basis'!$J$39:$K$46,2,0))</f>
        <v/>
      </c>
      <c r="BF5288" s="744" t="str">
        <f>IF(D5288="","",VLOOKUP(D5288,'General Basis'!$J$39:$L$46,3,0))</f>
        <v/>
      </c>
      <c r="BG5288" s="744" t="str">
        <f t="shared" si="1837"/>
        <v/>
      </c>
      <c r="BH5288" s="744" t="str">
        <f>IF(G5288="","",IF(BF5288="Abu Dhabi",IF(G5288&lt;18,'General Basis'!$C$39,IF(G5288&lt;41,'General Basis'!$C$40,IF(G5288&lt;60,'General Basis'!$C$41,IF(G5288&lt;65,'General Basis'!$C$42,'General Basis'!$C$43)))),IF(G5288&lt;11,'General Basis'!$B$39,IF(G5288&lt;18,'General Basis'!$B$40,IF(G5288&lt;26,'General Basis'!$B$41,IF(G5288&lt;31,'General Basis'!$B$42,IF(G5288&lt;36,'General Basis'!$B$43,IF(G5288&lt;41,'General Basis'!$B$44,IF(G5288&lt;46,'General Basis'!$B$45,IF(G5288&lt;51,'General Basis'!$B$46,IF(G5288&lt;56,'General Basis'!$B$47,IF(G5288&lt;60,'General Basis'!$B$48,IF(G5288&lt;65,'General Basis'!$B$49,'General Basis'!$B$50)))))))))))))</f>
        <v/>
      </c>
      <c r="BI5288" s="744" t="str">
        <f t="shared" si="1831"/>
        <v/>
      </c>
      <c r="BJ5288" s="747" t="str">
        <f t="shared" si="1838"/>
        <v/>
      </c>
      <c r="BK5288" s="498" t="str">
        <f t="shared" si="1832"/>
        <v/>
      </c>
      <c r="BL5288" s="498" t="str">
        <f t="shared" si="1833"/>
        <v/>
      </c>
    </row>
    <row r="5289" spans="1:64" x14ac:dyDescent="0.25">
      <c r="A5289" s="762">
        <f t="shared" si="1834"/>
        <v>5284</v>
      </c>
      <c r="B5289" s="229"/>
      <c r="C5289" s="223"/>
      <c r="D5289" s="224"/>
      <c r="E5289" s="225"/>
      <c r="F5289" s="1036" t="str">
        <f t="shared" si="1840"/>
        <v/>
      </c>
      <c r="G5289" s="1037" t="str">
        <f t="shared" si="1835"/>
        <v/>
      </c>
      <c r="H5289" s="225"/>
      <c r="I5289" s="1013"/>
      <c r="J5289" s="1013"/>
      <c r="K5289" s="1028"/>
      <c r="L5289" s="1035" t="str">
        <f t="shared" si="1839"/>
        <v/>
      </c>
      <c r="S5289" s="498"/>
      <c r="AJ5289" s="498"/>
      <c r="AM5289" s="498">
        <f t="shared" si="1820"/>
        <v>0</v>
      </c>
      <c r="AN5289" s="498">
        <f t="shared" si="1821"/>
        <v>0</v>
      </c>
      <c r="AO5289" s="498">
        <f t="shared" si="1822"/>
        <v>0</v>
      </c>
      <c r="AP5289" s="498">
        <f t="shared" si="1841"/>
        <v>0</v>
      </c>
      <c r="AQ5289" s="498">
        <f t="shared" si="1836"/>
        <v>0</v>
      </c>
      <c r="AU5289" s="498">
        <f t="shared" si="1823"/>
        <v>0</v>
      </c>
      <c r="AV5289" s="498">
        <f t="shared" si="1824"/>
        <v>0</v>
      </c>
      <c r="AW5289" s="498">
        <f t="shared" si="1825"/>
        <v>0</v>
      </c>
      <c r="AX5289" s="498">
        <f t="shared" si="1826"/>
        <v>0</v>
      </c>
      <c r="AY5289" s="498">
        <f t="shared" si="1827"/>
        <v>0</v>
      </c>
      <c r="BB5289" s="498" t="str">
        <f t="shared" si="1828"/>
        <v/>
      </c>
      <c r="BC5289" s="743" t="str">
        <f t="shared" si="1829"/>
        <v/>
      </c>
      <c r="BD5289" s="743" t="str">
        <f t="shared" si="1830"/>
        <v/>
      </c>
      <c r="BE5289" s="743" t="str">
        <f>IF(D5289="","",VLOOKUP(D5289,'General Basis'!$J$39:$K$46,2,0))</f>
        <v/>
      </c>
      <c r="BF5289" s="744" t="str">
        <f>IF(D5289="","",VLOOKUP(D5289,'General Basis'!$J$39:$L$46,3,0))</f>
        <v/>
      </c>
      <c r="BG5289" s="744" t="str">
        <f t="shared" si="1837"/>
        <v/>
      </c>
      <c r="BH5289" s="744" t="str">
        <f>IF(G5289="","",IF(BF5289="Abu Dhabi",IF(G5289&lt;18,'General Basis'!$C$39,IF(G5289&lt;41,'General Basis'!$C$40,IF(G5289&lt;60,'General Basis'!$C$41,IF(G5289&lt;65,'General Basis'!$C$42,'General Basis'!$C$43)))),IF(G5289&lt;11,'General Basis'!$B$39,IF(G5289&lt;18,'General Basis'!$B$40,IF(G5289&lt;26,'General Basis'!$B$41,IF(G5289&lt;31,'General Basis'!$B$42,IF(G5289&lt;36,'General Basis'!$B$43,IF(G5289&lt;41,'General Basis'!$B$44,IF(G5289&lt;46,'General Basis'!$B$45,IF(G5289&lt;51,'General Basis'!$B$46,IF(G5289&lt;56,'General Basis'!$B$47,IF(G5289&lt;60,'General Basis'!$B$48,IF(G5289&lt;65,'General Basis'!$B$49,'General Basis'!$B$50)))))))))))))</f>
        <v/>
      </c>
      <c r="BI5289" s="744" t="str">
        <f t="shared" si="1831"/>
        <v/>
      </c>
      <c r="BJ5289" s="747" t="str">
        <f t="shared" si="1838"/>
        <v/>
      </c>
      <c r="BK5289" s="498" t="str">
        <f t="shared" si="1832"/>
        <v/>
      </c>
      <c r="BL5289" s="498" t="str">
        <f t="shared" si="1833"/>
        <v/>
      </c>
    </row>
    <row r="5290" spans="1:64" x14ac:dyDescent="0.25">
      <c r="A5290" s="762">
        <f t="shared" si="1834"/>
        <v>5285</v>
      </c>
      <c r="B5290" s="229"/>
      <c r="C5290" s="223"/>
      <c r="D5290" s="224"/>
      <c r="E5290" s="225"/>
      <c r="F5290" s="1036" t="str">
        <f t="shared" si="1840"/>
        <v/>
      </c>
      <c r="G5290" s="1037" t="str">
        <f t="shared" si="1835"/>
        <v/>
      </c>
      <c r="H5290" s="225"/>
      <c r="I5290" s="1013"/>
      <c r="J5290" s="1013"/>
      <c r="K5290" s="1028"/>
      <c r="L5290" s="1035" t="str">
        <f t="shared" si="1839"/>
        <v/>
      </c>
      <c r="S5290" s="498"/>
      <c r="AJ5290" s="498"/>
      <c r="AM5290" s="498">
        <f t="shared" si="1820"/>
        <v>0</v>
      </c>
      <c r="AN5290" s="498">
        <f t="shared" si="1821"/>
        <v>0</v>
      </c>
      <c r="AO5290" s="498">
        <f t="shared" si="1822"/>
        <v>0</v>
      </c>
      <c r="AP5290" s="498">
        <f t="shared" si="1841"/>
        <v>0</v>
      </c>
      <c r="AQ5290" s="498">
        <f t="shared" si="1836"/>
        <v>0</v>
      </c>
      <c r="AU5290" s="498">
        <f t="shared" si="1823"/>
        <v>0</v>
      </c>
      <c r="AV5290" s="498">
        <f t="shared" si="1824"/>
        <v>0</v>
      </c>
      <c r="AW5290" s="498">
        <f t="shared" si="1825"/>
        <v>0</v>
      </c>
      <c r="AX5290" s="498">
        <f t="shared" si="1826"/>
        <v>0</v>
      </c>
      <c r="AY5290" s="498">
        <f t="shared" si="1827"/>
        <v>0</v>
      </c>
      <c r="BB5290" s="498" t="str">
        <f t="shared" si="1828"/>
        <v/>
      </c>
      <c r="BC5290" s="743" t="str">
        <f t="shared" si="1829"/>
        <v/>
      </c>
      <c r="BD5290" s="743" t="str">
        <f t="shared" si="1830"/>
        <v/>
      </c>
      <c r="BE5290" s="743" t="str">
        <f>IF(D5290="","",VLOOKUP(D5290,'General Basis'!$J$39:$K$46,2,0))</f>
        <v/>
      </c>
      <c r="BF5290" s="744" t="str">
        <f>IF(D5290="","",VLOOKUP(D5290,'General Basis'!$J$39:$L$46,3,0))</f>
        <v/>
      </c>
      <c r="BG5290" s="744" t="str">
        <f t="shared" si="1837"/>
        <v/>
      </c>
      <c r="BH5290" s="744" t="str">
        <f>IF(G5290="","",IF(BF5290="Abu Dhabi",IF(G5290&lt;18,'General Basis'!$C$39,IF(G5290&lt;41,'General Basis'!$C$40,IF(G5290&lt;60,'General Basis'!$C$41,IF(G5290&lt;65,'General Basis'!$C$42,'General Basis'!$C$43)))),IF(G5290&lt;11,'General Basis'!$B$39,IF(G5290&lt;18,'General Basis'!$B$40,IF(G5290&lt;26,'General Basis'!$B$41,IF(G5290&lt;31,'General Basis'!$B$42,IF(G5290&lt;36,'General Basis'!$B$43,IF(G5290&lt;41,'General Basis'!$B$44,IF(G5290&lt;46,'General Basis'!$B$45,IF(G5290&lt;51,'General Basis'!$B$46,IF(G5290&lt;56,'General Basis'!$B$47,IF(G5290&lt;60,'General Basis'!$B$48,IF(G5290&lt;65,'General Basis'!$B$49,'General Basis'!$B$50)))))))))))))</f>
        <v/>
      </c>
      <c r="BI5290" s="744" t="str">
        <f t="shared" si="1831"/>
        <v/>
      </c>
      <c r="BJ5290" s="747" t="str">
        <f t="shared" si="1838"/>
        <v/>
      </c>
      <c r="BK5290" s="498" t="str">
        <f t="shared" si="1832"/>
        <v/>
      </c>
      <c r="BL5290" s="498" t="str">
        <f t="shared" si="1833"/>
        <v/>
      </c>
    </row>
    <row r="5291" spans="1:64" x14ac:dyDescent="0.25">
      <c r="A5291" s="762">
        <f t="shared" si="1834"/>
        <v>5286</v>
      </c>
      <c r="B5291" s="229"/>
      <c r="C5291" s="223"/>
      <c r="D5291" s="224"/>
      <c r="E5291" s="225"/>
      <c r="F5291" s="1036" t="str">
        <f t="shared" si="1840"/>
        <v/>
      </c>
      <c r="G5291" s="1037" t="str">
        <f t="shared" si="1835"/>
        <v/>
      </c>
      <c r="H5291" s="225"/>
      <c r="I5291" s="1013"/>
      <c r="J5291" s="1013"/>
      <c r="K5291" s="1028"/>
      <c r="L5291" s="1035" t="str">
        <f t="shared" si="1839"/>
        <v/>
      </c>
      <c r="S5291" s="498"/>
      <c r="AJ5291" s="498"/>
      <c r="AM5291" s="498">
        <f t="shared" si="1820"/>
        <v>0</v>
      </c>
      <c r="AN5291" s="498">
        <f t="shared" si="1821"/>
        <v>0</v>
      </c>
      <c r="AO5291" s="498">
        <f t="shared" si="1822"/>
        <v>0</v>
      </c>
      <c r="AP5291" s="498">
        <f t="shared" si="1841"/>
        <v>0</v>
      </c>
      <c r="AQ5291" s="498">
        <f t="shared" si="1836"/>
        <v>0</v>
      </c>
      <c r="AU5291" s="498">
        <f t="shared" si="1823"/>
        <v>0</v>
      </c>
      <c r="AV5291" s="498">
        <f t="shared" si="1824"/>
        <v>0</v>
      </c>
      <c r="AW5291" s="498">
        <f t="shared" si="1825"/>
        <v>0</v>
      </c>
      <c r="AX5291" s="498">
        <f t="shared" si="1826"/>
        <v>0</v>
      </c>
      <c r="AY5291" s="498">
        <f t="shared" si="1827"/>
        <v>0</v>
      </c>
      <c r="BB5291" s="498" t="str">
        <f t="shared" si="1828"/>
        <v/>
      </c>
      <c r="BC5291" s="743" t="str">
        <f t="shared" si="1829"/>
        <v/>
      </c>
      <c r="BD5291" s="743" t="str">
        <f t="shared" si="1830"/>
        <v/>
      </c>
      <c r="BE5291" s="743" t="str">
        <f>IF(D5291="","",VLOOKUP(D5291,'General Basis'!$J$39:$K$46,2,0))</f>
        <v/>
      </c>
      <c r="BF5291" s="744" t="str">
        <f>IF(D5291="","",VLOOKUP(D5291,'General Basis'!$J$39:$L$46,3,0))</f>
        <v/>
      </c>
      <c r="BG5291" s="744" t="str">
        <f t="shared" si="1837"/>
        <v/>
      </c>
      <c r="BH5291" s="744" t="str">
        <f>IF(G5291="","",IF(BF5291="Abu Dhabi",IF(G5291&lt;18,'General Basis'!$C$39,IF(G5291&lt;41,'General Basis'!$C$40,IF(G5291&lt;60,'General Basis'!$C$41,IF(G5291&lt;65,'General Basis'!$C$42,'General Basis'!$C$43)))),IF(G5291&lt;11,'General Basis'!$B$39,IF(G5291&lt;18,'General Basis'!$B$40,IF(G5291&lt;26,'General Basis'!$B$41,IF(G5291&lt;31,'General Basis'!$B$42,IF(G5291&lt;36,'General Basis'!$B$43,IF(G5291&lt;41,'General Basis'!$B$44,IF(G5291&lt;46,'General Basis'!$B$45,IF(G5291&lt;51,'General Basis'!$B$46,IF(G5291&lt;56,'General Basis'!$B$47,IF(G5291&lt;60,'General Basis'!$B$48,IF(G5291&lt;65,'General Basis'!$B$49,'General Basis'!$B$50)))))))))))))</f>
        <v/>
      </c>
      <c r="BI5291" s="744" t="str">
        <f t="shared" si="1831"/>
        <v/>
      </c>
      <c r="BJ5291" s="747" t="str">
        <f t="shared" si="1838"/>
        <v/>
      </c>
      <c r="BK5291" s="498" t="str">
        <f t="shared" si="1832"/>
        <v/>
      </c>
      <c r="BL5291" s="498" t="str">
        <f t="shared" si="1833"/>
        <v/>
      </c>
    </row>
    <row r="5292" spans="1:64" x14ac:dyDescent="0.25">
      <c r="A5292" s="762">
        <f t="shared" si="1834"/>
        <v>5287</v>
      </c>
      <c r="B5292" s="229"/>
      <c r="C5292" s="223"/>
      <c r="D5292" s="224"/>
      <c r="E5292" s="225"/>
      <c r="F5292" s="1036" t="str">
        <f t="shared" si="1840"/>
        <v/>
      </c>
      <c r="G5292" s="1037" t="str">
        <f t="shared" si="1835"/>
        <v/>
      </c>
      <c r="H5292" s="225"/>
      <c r="I5292" s="1013"/>
      <c r="J5292" s="1013"/>
      <c r="K5292" s="1028"/>
      <c r="L5292" s="1035" t="str">
        <f t="shared" si="1839"/>
        <v/>
      </c>
      <c r="S5292" s="498"/>
      <c r="AJ5292" s="498"/>
      <c r="AM5292" s="498">
        <f t="shared" si="1820"/>
        <v>0</v>
      </c>
      <c r="AN5292" s="498">
        <f t="shared" si="1821"/>
        <v>0</v>
      </c>
      <c r="AO5292" s="498">
        <f t="shared" si="1822"/>
        <v>0</v>
      </c>
      <c r="AP5292" s="498">
        <f t="shared" si="1841"/>
        <v>0</v>
      </c>
      <c r="AQ5292" s="498">
        <f t="shared" si="1836"/>
        <v>0</v>
      </c>
      <c r="AU5292" s="498">
        <f t="shared" si="1823"/>
        <v>0</v>
      </c>
      <c r="AV5292" s="498">
        <f t="shared" si="1824"/>
        <v>0</v>
      </c>
      <c r="AW5292" s="498">
        <f t="shared" si="1825"/>
        <v>0</v>
      </c>
      <c r="AX5292" s="498">
        <f t="shared" si="1826"/>
        <v>0</v>
      </c>
      <c r="AY5292" s="498">
        <f t="shared" si="1827"/>
        <v>0</v>
      </c>
      <c r="BB5292" s="498" t="str">
        <f t="shared" si="1828"/>
        <v/>
      </c>
      <c r="BC5292" s="743" t="str">
        <f t="shared" si="1829"/>
        <v/>
      </c>
      <c r="BD5292" s="743" t="str">
        <f t="shared" si="1830"/>
        <v/>
      </c>
      <c r="BE5292" s="743" t="str">
        <f>IF(D5292="","",VLOOKUP(D5292,'General Basis'!$J$39:$K$46,2,0))</f>
        <v/>
      </c>
      <c r="BF5292" s="744" t="str">
        <f>IF(D5292="","",VLOOKUP(D5292,'General Basis'!$J$39:$L$46,3,0))</f>
        <v/>
      </c>
      <c r="BG5292" s="744" t="str">
        <f t="shared" si="1837"/>
        <v/>
      </c>
      <c r="BH5292" s="744" t="str">
        <f>IF(G5292="","",IF(BF5292="Abu Dhabi",IF(G5292&lt;18,'General Basis'!$C$39,IF(G5292&lt;41,'General Basis'!$C$40,IF(G5292&lt;60,'General Basis'!$C$41,IF(G5292&lt;65,'General Basis'!$C$42,'General Basis'!$C$43)))),IF(G5292&lt;11,'General Basis'!$B$39,IF(G5292&lt;18,'General Basis'!$B$40,IF(G5292&lt;26,'General Basis'!$B$41,IF(G5292&lt;31,'General Basis'!$B$42,IF(G5292&lt;36,'General Basis'!$B$43,IF(G5292&lt;41,'General Basis'!$B$44,IF(G5292&lt;46,'General Basis'!$B$45,IF(G5292&lt;51,'General Basis'!$B$46,IF(G5292&lt;56,'General Basis'!$B$47,IF(G5292&lt;60,'General Basis'!$B$48,IF(G5292&lt;65,'General Basis'!$B$49,'General Basis'!$B$50)))))))))))))</f>
        <v/>
      </c>
      <c r="BI5292" s="744" t="str">
        <f t="shared" si="1831"/>
        <v/>
      </c>
      <c r="BJ5292" s="747" t="str">
        <f t="shared" si="1838"/>
        <v/>
      </c>
      <c r="BK5292" s="498" t="str">
        <f t="shared" si="1832"/>
        <v/>
      </c>
      <c r="BL5292" s="498" t="str">
        <f t="shared" si="1833"/>
        <v/>
      </c>
    </row>
    <row r="5293" spans="1:64" x14ac:dyDescent="0.25">
      <c r="A5293" s="762">
        <f t="shared" si="1834"/>
        <v>5288</v>
      </c>
      <c r="B5293" s="229"/>
      <c r="C5293" s="223"/>
      <c r="D5293" s="224"/>
      <c r="E5293" s="225"/>
      <c r="F5293" s="1036" t="str">
        <f t="shared" si="1840"/>
        <v/>
      </c>
      <c r="G5293" s="1037" t="str">
        <f t="shared" si="1835"/>
        <v/>
      </c>
      <c r="H5293" s="225"/>
      <c r="I5293" s="1013"/>
      <c r="J5293" s="1013"/>
      <c r="K5293" s="1028"/>
      <c r="L5293" s="1035" t="str">
        <f t="shared" si="1839"/>
        <v/>
      </c>
      <c r="S5293" s="498"/>
      <c r="AJ5293" s="498"/>
      <c r="AM5293" s="498">
        <f t="shared" si="1820"/>
        <v>0</v>
      </c>
      <c r="AN5293" s="498">
        <f t="shared" si="1821"/>
        <v>0</v>
      </c>
      <c r="AO5293" s="498">
        <f t="shared" si="1822"/>
        <v>0</v>
      </c>
      <c r="AP5293" s="498">
        <f t="shared" si="1841"/>
        <v>0</v>
      </c>
      <c r="AQ5293" s="498">
        <f t="shared" si="1836"/>
        <v>0</v>
      </c>
      <c r="AU5293" s="498">
        <f t="shared" si="1823"/>
        <v>0</v>
      </c>
      <c r="AV5293" s="498">
        <f t="shared" si="1824"/>
        <v>0</v>
      </c>
      <c r="AW5293" s="498">
        <f t="shared" si="1825"/>
        <v>0</v>
      </c>
      <c r="AX5293" s="498">
        <f t="shared" si="1826"/>
        <v>0</v>
      </c>
      <c r="AY5293" s="498">
        <f t="shared" si="1827"/>
        <v>0</v>
      </c>
      <c r="BB5293" s="498" t="str">
        <f t="shared" si="1828"/>
        <v/>
      </c>
      <c r="BC5293" s="743" t="str">
        <f t="shared" si="1829"/>
        <v/>
      </c>
      <c r="BD5293" s="743" t="str">
        <f t="shared" si="1830"/>
        <v/>
      </c>
      <c r="BE5293" s="743" t="str">
        <f>IF(D5293="","",VLOOKUP(D5293,'General Basis'!$J$39:$K$46,2,0))</f>
        <v/>
      </c>
      <c r="BF5293" s="744" t="str">
        <f>IF(D5293="","",VLOOKUP(D5293,'General Basis'!$J$39:$L$46,3,0))</f>
        <v/>
      </c>
      <c r="BG5293" s="744" t="str">
        <f t="shared" si="1837"/>
        <v/>
      </c>
      <c r="BH5293" s="744" t="str">
        <f>IF(G5293="","",IF(BF5293="Abu Dhabi",IF(G5293&lt;18,'General Basis'!$C$39,IF(G5293&lt;41,'General Basis'!$C$40,IF(G5293&lt;60,'General Basis'!$C$41,IF(G5293&lt;65,'General Basis'!$C$42,'General Basis'!$C$43)))),IF(G5293&lt;11,'General Basis'!$B$39,IF(G5293&lt;18,'General Basis'!$B$40,IF(G5293&lt;26,'General Basis'!$B$41,IF(G5293&lt;31,'General Basis'!$B$42,IF(G5293&lt;36,'General Basis'!$B$43,IF(G5293&lt;41,'General Basis'!$B$44,IF(G5293&lt;46,'General Basis'!$B$45,IF(G5293&lt;51,'General Basis'!$B$46,IF(G5293&lt;56,'General Basis'!$B$47,IF(G5293&lt;60,'General Basis'!$B$48,IF(G5293&lt;65,'General Basis'!$B$49,'General Basis'!$B$50)))))))))))))</f>
        <v/>
      </c>
      <c r="BI5293" s="744" t="str">
        <f t="shared" si="1831"/>
        <v/>
      </c>
      <c r="BJ5293" s="747" t="str">
        <f t="shared" si="1838"/>
        <v/>
      </c>
      <c r="BK5293" s="498" t="str">
        <f t="shared" si="1832"/>
        <v/>
      </c>
      <c r="BL5293" s="498" t="str">
        <f t="shared" si="1833"/>
        <v/>
      </c>
    </row>
    <row r="5294" spans="1:64" x14ac:dyDescent="0.25">
      <c r="A5294" s="762">
        <f t="shared" si="1834"/>
        <v>5289</v>
      </c>
      <c r="B5294" s="229"/>
      <c r="C5294" s="223"/>
      <c r="D5294" s="224"/>
      <c r="E5294" s="225"/>
      <c r="F5294" s="1036" t="str">
        <f t="shared" si="1840"/>
        <v/>
      </c>
      <c r="G5294" s="1037" t="str">
        <f t="shared" si="1835"/>
        <v/>
      </c>
      <c r="H5294" s="225"/>
      <c r="I5294" s="1013"/>
      <c r="J5294" s="1013"/>
      <c r="K5294" s="1028"/>
      <c r="L5294" s="1035" t="str">
        <f t="shared" si="1839"/>
        <v/>
      </c>
      <c r="S5294" s="498"/>
      <c r="AJ5294" s="498"/>
      <c r="AM5294" s="498">
        <f t="shared" si="1820"/>
        <v>0</v>
      </c>
      <c r="AN5294" s="498">
        <f t="shared" si="1821"/>
        <v>0</v>
      </c>
      <c r="AO5294" s="498">
        <f t="shared" si="1822"/>
        <v>0</v>
      </c>
      <c r="AP5294" s="498">
        <f t="shared" si="1841"/>
        <v>0</v>
      </c>
      <c r="AQ5294" s="498">
        <f t="shared" si="1836"/>
        <v>0</v>
      </c>
      <c r="AU5294" s="498">
        <f t="shared" si="1823"/>
        <v>0</v>
      </c>
      <c r="AV5294" s="498">
        <f t="shared" si="1824"/>
        <v>0</v>
      </c>
      <c r="AW5294" s="498">
        <f t="shared" si="1825"/>
        <v>0</v>
      </c>
      <c r="AX5294" s="498">
        <f t="shared" si="1826"/>
        <v>0</v>
      </c>
      <c r="AY5294" s="498">
        <f t="shared" si="1827"/>
        <v>0</v>
      </c>
      <c r="BB5294" s="498" t="str">
        <f t="shared" si="1828"/>
        <v/>
      </c>
      <c r="BC5294" s="743" t="str">
        <f t="shared" si="1829"/>
        <v/>
      </c>
      <c r="BD5294" s="743" t="str">
        <f t="shared" si="1830"/>
        <v/>
      </c>
      <c r="BE5294" s="743" t="str">
        <f>IF(D5294="","",VLOOKUP(D5294,'General Basis'!$J$39:$K$46,2,0))</f>
        <v/>
      </c>
      <c r="BF5294" s="744" t="str">
        <f>IF(D5294="","",VLOOKUP(D5294,'General Basis'!$J$39:$L$46,3,0))</f>
        <v/>
      </c>
      <c r="BG5294" s="744" t="str">
        <f t="shared" si="1837"/>
        <v/>
      </c>
      <c r="BH5294" s="744" t="str">
        <f>IF(G5294="","",IF(BF5294="Abu Dhabi",IF(G5294&lt;18,'General Basis'!$C$39,IF(G5294&lt;41,'General Basis'!$C$40,IF(G5294&lt;60,'General Basis'!$C$41,IF(G5294&lt;65,'General Basis'!$C$42,'General Basis'!$C$43)))),IF(G5294&lt;11,'General Basis'!$B$39,IF(G5294&lt;18,'General Basis'!$B$40,IF(G5294&lt;26,'General Basis'!$B$41,IF(G5294&lt;31,'General Basis'!$B$42,IF(G5294&lt;36,'General Basis'!$B$43,IF(G5294&lt;41,'General Basis'!$B$44,IF(G5294&lt;46,'General Basis'!$B$45,IF(G5294&lt;51,'General Basis'!$B$46,IF(G5294&lt;56,'General Basis'!$B$47,IF(G5294&lt;60,'General Basis'!$B$48,IF(G5294&lt;65,'General Basis'!$B$49,'General Basis'!$B$50)))))))))))))</f>
        <v/>
      </c>
      <c r="BI5294" s="744" t="str">
        <f t="shared" si="1831"/>
        <v/>
      </c>
      <c r="BJ5294" s="747" t="str">
        <f t="shared" si="1838"/>
        <v/>
      </c>
      <c r="BK5294" s="498" t="str">
        <f t="shared" si="1832"/>
        <v/>
      </c>
      <c r="BL5294" s="498" t="str">
        <f t="shared" si="1833"/>
        <v/>
      </c>
    </row>
    <row r="5295" spans="1:64" x14ac:dyDescent="0.25">
      <c r="A5295" s="762">
        <f t="shared" si="1834"/>
        <v>5290</v>
      </c>
      <c r="B5295" s="229"/>
      <c r="C5295" s="223"/>
      <c r="D5295" s="224"/>
      <c r="E5295" s="225"/>
      <c r="F5295" s="1036" t="str">
        <f t="shared" si="1840"/>
        <v/>
      </c>
      <c r="G5295" s="1037" t="str">
        <f t="shared" si="1835"/>
        <v/>
      </c>
      <c r="H5295" s="225"/>
      <c r="I5295" s="1013"/>
      <c r="J5295" s="1013"/>
      <c r="K5295" s="1028"/>
      <c r="L5295" s="1035" t="str">
        <f t="shared" si="1839"/>
        <v/>
      </c>
      <c r="S5295" s="498"/>
      <c r="AJ5295" s="498"/>
      <c r="AM5295" s="498">
        <f t="shared" si="1820"/>
        <v>0</v>
      </c>
      <c r="AN5295" s="498">
        <f t="shared" si="1821"/>
        <v>0</v>
      </c>
      <c r="AO5295" s="498">
        <f t="shared" si="1822"/>
        <v>0</v>
      </c>
      <c r="AP5295" s="498">
        <f t="shared" si="1841"/>
        <v>0</v>
      </c>
      <c r="AQ5295" s="498">
        <f t="shared" si="1836"/>
        <v>0</v>
      </c>
      <c r="AU5295" s="498">
        <f t="shared" si="1823"/>
        <v>0</v>
      </c>
      <c r="AV5295" s="498">
        <f t="shared" si="1824"/>
        <v>0</v>
      </c>
      <c r="AW5295" s="498">
        <f t="shared" si="1825"/>
        <v>0</v>
      </c>
      <c r="AX5295" s="498">
        <f t="shared" si="1826"/>
        <v>0</v>
      </c>
      <c r="AY5295" s="498">
        <f t="shared" si="1827"/>
        <v>0</v>
      </c>
      <c r="BB5295" s="498" t="str">
        <f t="shared" si="1828"/>
        <v/>
      </c>
      <c r="BC5295" s="743" t="str">
        <f t="shared" si="1829"/>
        <v/>
      </c>
      <c r="BD5295" s="743" t="str">
        <f t="shared" si="1830"/>
        <v/>
      </c>
      <c r="BE5295" s="743" t="str">
        <f>IF(D5295="","",VLOOKUP(D5295,'General Basis'!$J$39:$K$46,2,0))</f>
        <v/>
      </c>
      <c r="BF5295" s="744" t="str">
        <f>IF(D5295="","",VLOOKUP(D5295,'General Basis'!$J$39:$L$46,3,0))</f>
        <v/>
      </c>
      <c r="BG5295" s="744" t="str">
        <f t="shared" si="1837"/>
        <v/>
      </c>
      <c r="BH5295" s="744" t="str">
        <f>IF(G5295="","",IF(BF5295="Abu Dhabi",IF(G5295&lt;18,'General Basis'!$C$39,IF(G5295&lt;41,'General Basis'!$C$40,IF(G5295&lt;60,'General Basis'!$C$41,IF(G5295&lt;65,'General Basis'!$C$42,'General Basis'!$C$43)))),IF(G5295&lt;11,'General Basis'!$B$39,IF(G5295&lt;18,'General Basis'!$B$40,IF(G5295&lt;26,'General Basis'!$B$41,IF(G5295&lt;31,'General Basis'!$B$42,IF(G5295&lt;36,'General Basis'!$B$43,IF(G5295&lt;41,'General Basis'!$B$44,IF(G5295&lt;46,'General Basis'!$B$45,IF(G5295&lt;51,'General Basis'!$B$46,IF(G5295&lt;56,'General Basis'!$B$47,IF(G5295&lt;60,'General Basis'!$B$48,IF(G5295&lt;65,'General Basis'!$B$49,'General Basis'!$B$50)))))))))))))</f>
        <v/>
      </c>
      <c r="BI5295" s="744" t="str">
        <f t="shared" si="1831"/>
        <v/>
      </c>
      <c r="BJ5295" s="747" t="str">
        <f t="shared" si="1838"/>
        <v/>
      </c>
      <c r="BK5295" s="498" t="str">
        <f t="shared" si="1832"/>
        <v/>
      </c>
      <c r="BL5295" s="498" t="str">
        <f t="shared" si="1833"/>
        <v/>
      </c>
    </row>
    <row r="5296" spans="1:64" x14ac:dyDescent="0.25">
      <c r="A5296" s="762">
        <f t="shared" si="1834"/>
        <v>5291</v>
      </c>
      <c r="B5296" s="229"/>
      <c r="C5296" s="223"/>
      <c r="D5296" s="224"/>
      <c r="E5296" s="225"/>
      <c r="F5296" s="1036" t="str">
        <f t="shared" si="1840"/>
        <v/>
      </c>
      <c r="G5296" s="1037" t="str">
        <f t="shared" si="1835"/>
        <v/>
      </c>
      <c r="H5296" s="225"/>
      <c r="I5296" s="1013"/>
      <c r="J5296" s="1013"/>
      <c r="K5296" s="1028"/>
      <c r="L5296" s="1035" t="str">
        <f t="shared" si="1839"/>
        <v/>
      </c>
      <c r="S5296" s="498"/>
      <c r="AJ5296" s="498"/>
      <c r="AM5296" s="498">
        <f t="shared" si="1820"/>
        <v>0</v>
      </c>
      <c r="AN5296" s="498">
        <f t="shared" si="1821"/>
        <v>0</v>
      </c>
      <c r="AO5296" s="498">
        <f t="shared" si="1822"/>
        <v>0</v>
      </c>
      <c r="AP5296" s="498">
        <f t="shared" si="1841"/>
        <v>0</v>
      </c>
      <c r="AQ5296" s="498">
        <f t="shared" si="1836"/>
        <v>0</v>
      </c>
      <c r="AU5296" s="498">
        <f t="shared" si="1823"/>
        <v>0</v>
      </c>
      <c r="AV5296" s="498">
        <f t="shared" si="1824"/>
        <v>0</v>
      </c>
      <c r="AW5296" s="498">
        <f t="shared" si="1825"/>
        <v>0</v>
      </c>
      <c r="AX5296" s="498">
        <f t="shared" si="1826"/>
        <v>0</v>
      </c>
      <c r="AY5296" s="498">
        <f t="shared" si="1827"/>
        <v>0</v>
      </c>
      <c r="BB5296" s="498" t="str">
        <f t="shared" si="1828"/>
        <v/>
      </c>
      <c r="BC5296" s="743" t="str">
        <f t="shared" si="1829"/>
        <v/>
      </c>
      <c r="BD5296" s="743" t="str">
        <f t="shared" si="1830"/>
        <v/>
      </c>
      <c r="BE5296" s="743" t="str">
        <f>IF(D5296="","",VLOOKUP(D5296,'General Basis'!$J$39:$K$46,2,0))</f>
        <v/>
      </c>
      <c r="BF5296" s="744" t="str">
        <f>IF(D5296="","",VLOOKUP(D5296,'General Basis'!$J$39:$L$46,3,0))</f>
        <v/>
      </c>
      <c r="BG5296" s="744" t="str">
        <f t="shared" si="1837"/>
        <v/>
      </c>
      <c r="BH5296" s="744" t="str">
        <f>IF(G5296="","",IF(BF5296="Abu Dhabi",IF(G5296&lt;18,'General Basis'!$C$39,IF(G5296&lt;41,'General Basis'!$C$40,IF(G5296&lt;60,'General Basis'!$C$41,IF(G5296&lt;65,'General Basis'!$C$42,'General Basis'!$C$43)))),IF(G5296&lt;11,'General Basis'!$B$39,IF(G5296&lt;18,'General Basis'!$B$40,IF(G5296&lt;26,'General Basis'!$B$41,IF(G5296&lt;31,'General Basis'!$B$42,IF(G5296&lt;36,'General Basis'!$B$43,IF(G5296&lt;41,'General Basis'!$B$44,IF(G5296&lt;46,'General Basis'!$B$45,IF(G5296&lt;51,'General Basis'!$B$46,IF(G5296&lt;56,'General Basis'!$B$47,IF(G5296&lt;60,'General Basis'!$B$48,IF(G5296&lt;65,'General Basis'!$B$49,'General Basis'!$B$50)))))))))))))</f>
        <v/>
      </c>
      <c r="BI5296" s="744" t="str">
        <f t="shared" si="1831"/>
        <v/>
      </c>
      <c r="BJ5296" s="747" t="str">
        <f t="shared" si="1838"/>
        <v/>
      </c>
      <c r="BK5296" s="498" t="str">
        <f t="shared" si="1832"/>
        <v/>
      </c>
      <c r="BL5296" s="498" t="str">
        <f t="shared" si="1833"/>
        <v/>
      </c>
    </row>
    <row r="5297" spans="1:64" x14ac:dyDescent="0.25">
      <c r="A5297" s="762">
        <f t="shared" si="1834"/>
        <v>5292</v>
      </c>
      <c r="B5297" s="229"/>
      <c r="C5297" s="223"/>
      <c r="D5297" s="224"/>
      <c r="E5297" s="225"/>
      <c r="F5297" s="1036" t="str">
        <f t="shared" si="1840"/>
        <v/>
      </c>
      <c r="G5297" s="1037" t="str">
        <f t="shared" si="1835"/>
        <v/>
      </c>
      <c r="H5297" s="225"/>
      <c r="I5297" s="1013"/>
      <c r="J5297" s="1013"/>
      <c r="K5297" s="1028"/>
      <c r="L5297" s="1035" t="str">
        <f t="shared" si="1839"/>
        <v/>
      </c>
      <c r="S5297" s="498"/>
      <c r="AJ5297" s="498"/>
      <c r="AM5297" s="498">
        <f t="shared" si="1820"/>
        <v>0</v>
      </c>
      <c r="AN5297" s="498">
        <f t="shared" si="1821"/>
        <v>0</v>
      </c>
      <c r="AO5297" s="498">
        <f t="shared" si="1822"/>
        <v>0</v>
      </c>
      <c r="AP5297" s="498">
        <f t="shared" si="1841"/>
        <v>0</v>
      </c>
      <c r="AQ5297" s="498">
        <f t="shared" si="1836"/>
        <v>0</v>
      </c>
      <c r="AU5297" s="498">
        <f t="shared" si="1823"/>
        <v>0</v>
      </c>
      <c r="AV5297" s="498">
        <f t="shared" si="1824"/>
        <v>0</v>
      </c>
      <c r="AW5297" s="498">
        <f t="shared" si="1825"/>
        <v>0</v>
      </c>
      <c r="AX5297" s="498">
        <f t="shared" si="1826"/>
        <v>0</v>
      </c>
      <c r="AY5297" s="498">
        <f t="shared" si="1827"/>
        <v>0</v>
      </c>
      <c r="BB5297" s="498" t="str">
        <f t="shared" si="1828"/>
        <v/>
      </c>
      <c r="BC5297" s="743" t="str">
        <f t="shared" si="1829"/>
        <v/>
      </c>
      <c r="BD5297" s="743" t="str">
        <f t="shared" si="1830"/>
        <v/>
      </c>
      <c r="BE5297" s="743" t="str">
        <f>IF(D5297="","",VLOOKUP(D5297,'General Basis'!$J$39:$K$46,2,0))</f>
        <v/>
      </c>
      <c r="BF5297" s="744" t="str">
        <f>IF(D5297="","",VLOOKUP(D5297,'General Basis'!$J$39:$L$46,3,0))</f>
        <v/>
      </c>
      <c r="BG5297" s="744" t="str">
        <f t="shared" si="1837"/>
        <v/>
      </c>
      <c r="BH5297" s="744" t="str">
        <f>IF(G5297="","",IF(BF5297="Abu Dhabi",IF(G5297&lt;18,'General Basis'!$C$39,IF(G5297&lt;41,'General Basis'!$C$40,IF(G5297&lt;60,'General Basis'!$C$41,IF(G5297&lt;65,'General Basis'!$C$42,'General Basis'!$C$43)))),IF(G5297&lt;11,'General Basis'!$B$39,IF(G5297&lt;18,'General Basis'!$B$40,IF(G5297&lt;26,'General Basis'!$B$41,IF(G5297&lt;31,'General Basis'!$B$42,IF(G5297&lt;36,'General Basis'!$B$43,IF(G5297&lt;41,'General Basis'!$B$44,IF(G5297&lt;46,'General Basis'!$B$45,IF(G5297&lt;51,'General Basis'!$B$46,IF(G5297&lt;56,'General Basis'!$B$47,IF(G5297&lt;60,'General Basis'!$B$48,IF(G5297&lt;65,'General Basis'!$B$49,'General Basis'!$B$50)))))))))))))</f>
        <v/>
      </c>
      <c r="BI5297" s="744" t="str">
        <f t="shared" si="1831"/>
        <v/>
      </c>
      <c r="BJ5297" s="747" t="str">
        <f t="shared" si="1838"/>
        <v/>
      </c>
      <c r="BK5297" s="498" t="str">
        <f t="shared" si="1832"/>
        <v/>
      </c>
      <c r="BL5297" s="498" t="str">
        <f t="shared" si="1833"/>
        <v/>
      </c>
    </row>
    <row r="5298" spans="1:64" x14ac:dyDescent="0.25">
      <c r="A5298" s="762">
        <f t="shared" si="1834"/>
        <v>5293</v>
      </c>
      <c r="B5298" s="229"/>
      <c r="C5298" s="223"/>
      <c r="D5298" s="224"/>
      <c r="E5298" s="225"/>
      <c r="F5298" s="1036" t="str">
        <f t="shared" si="1840"/>
        <v/>
      </c>
      <c r="G5298" s="1037" t="str">
        <f t="shared" si="1835"/>
        <v/>
      </c>
      <c r="H5298" s="225"/>
      <c r="I5298" s="1013"/>
      <c r="J5298" s="1013"/>
      <c r="K5298" s="1028"/>
      <c r="L5298" s="1035" t="str">
        <f t="shared" si="1839"/>
        <v/>
      </c>
      <c r="S5298" s="498"/>
      <c r="AJ5298" s="498"/>
      <c r="AM5298" s="498">
        <f t="shared" si="1820"/>
        <v>0</v>
      </c>
      <c r="AN5298" s="498">
        <f t="shared" si="1821"/>
        <v>0</v>
      </c>
      <c r="AO5298" s="498">
        <f t="shared" si="1822"/>
        <v>0</v>
      </c>
      <c r="AP5298" s="498">
        <f t="shared" si="1841"/>
        <v>0</v>
      </c>
      <c r="AQ5298" s="498">
        <f t="shared" si="1836"/>
        <v>0</v>
      </c>
      <c r="AU5298" s="498">
        <f t="shared" si="1823"/>
        <v>0</v>
      </c>
      <c r="AV5298" s="498">
        <f t="shared" si="1824"/>
        <v>0</v>
      </c>
      <c r="AW5298" s="498">
        <f t="shared" si="1825"/>
        <v>0</v>
      </c>
      <c r="AX5298" s="498">
        <f t="shared" si="1826"/>
        <v>0</v>
      </c>
      <c r="AY5298" s="498">
        <f t="shared" si="1827"/>
        <v>0</v>
      </c>
      <c r="BB5298" s="498" t="str">
        <f t="shared" si="1828"/>
        <v/>
      </c>
      <c r="BC5298" s="743" t="str">
        <f t="shared" si="1829"/>
        <v/>
      </c>
      <c r="BD5298" s="743" t="str">
        <f t="shared" si="1830"/>
        <v/>
      </c>
      <c r="BE5298" s="743" t="str">
        <f>IF(D5298="","",VLOOKUP(D5298,'General Basis'!$J$39:$K$46,2,0))</f>
        <v/>
      </c>
      <c r="BF5298" s="744" t="str">
        <f>IF(D5298="","",VLOOKUP(D5298,'General Basis'!$J$39:$L$46,3,0))</f>
        <v/>
      </c>
      <c r="BG5298" s="744" t="str">
        <f t="shared" si="1837"/>
        <v/>
      </c>
      <c r="BH5298" s="744" t="str">
        <f>IF(G5298="","",IF(BF5298="Abu Dhabi",IF(G5298&lt;18,'General Basis'!$C$39,IF(G5298&lt;41,'General Basis'!$C$40,IF(G5298&lt;60,'General Basis'!$C$41,IF(G5298&lt;65,'General Basis'!$C$42,'General Basis'!$C$43)))),IF(G5298&lt;11,'General Basis'!$B$39,IF(G5298&lt;18,'General Basis'!$B$40,IF(G5298&lt;26,'General Basis'!$B$41,IF(G5298&lt;31,'General Basis'!$B$42,IF(G5298&lt;36,'General Basis'!$B$43,IF(G5298&lt;41,'General Basis'!$B$44,IF(G5298&lt;46,'General Basis'!$B$45,IF(G5298&lt;51,'General Basis'!$B$46,IF(G5298&lt;56,'General Basis'!$B$47,IF(G5298&lt;60,'General Basis'!$B$48,IF(G5298&lt;65,'General Basis'!$B$49,'General Basis'!$B$50)))))))))))))</f>
        <v/>
      </c>
      <c r="BI5298" s="744" t="str">
        <f t="shared" si="1831"/>
        <v/>
      </c>
      <c r="BJ5298" s="747" t="str">
        <f t="shared" si="1838"/>
        <v/>
      </c>
      <c r="BK5298" s="498" t="str">
        <f t="shared" si="1832"/>
        <v/>
      </c>
      <c r="BL5298" s="498" t="str">
        <f t="shared" si="1833"/>
        <v/>
      </c>
    </row>
    <row r="5299" spans="1:64" x14ac:dyDescent="0.25">
      <c r="A5299" s="762">
        <f t="shared" si="1834"/>
        <v>5294</v>
      </c>
      <c r="B5299" s="229"/>
      <c r="C5299" s="223"/>
      <c r="D5299" s="224"/>
      <c r="E5299" s="225"/>
      <c r="F5299" s="1036" t="str">
        <f t="shared" si="1840"/>
        <v/>
      </c>
      <c r="G5299" s="1037" t="str">
        <f t="shared" si="1835"/>
        <v/>
      </c>
      <c r="H5299" s="225"/>
      <c r="I5299" s="1013"/>
      <c r="J5299" s="1013"/>
      <c r="K5299" s="1028"/>
      <c r="L5299" s="1035" t="str">
        <f t="shared" si="1839"/>
        <v/>
      </c>
      <c r="S5299" s="498"/>
      <c r="AJ5299" s="498"/>
      <c r="AM5299" s="498">
        <f t="shared" si="1820"/>
        <v>0</v>
      </c>
      <c r="AN5299" s="498">
        <f t="shared" si="1821"/>
        <v>0</v>
      </c>
      <c r="AO5299" s="498">
        <f t="shared" si="1822"/>
        <v>0</v>
      </c>
      <c r="AP5299" s="498">
        <f t="shared" si="1841"/>
        <v>0</v>
      </c>
      <c r="AQ5299" s="498">
        <f t="shared" si="1836"/>
        <v>0</v>
      </c>
      <c r="AU5299" s="498">
        <f t="shared" si="1823"/>
        <v>0</v>
      </c>
      <c r="AV5299" s="498">
        <f t="shared" si="1824"/>
        <v>0</v>
      </c>
      <c r="AW5299" s="498">
        <f t="shared" si="1825"/>
        <v>0</v>
      </c>
      <c r="AX5299" s="498">
        <f t="shared" si="1826"/>
        <v>0</v>
      </c>
      <c r="AY5299" s="498">
        <f t="shared" si="1827"/>
        <v>0</v>
      </c>
      <c r="BB5299" s="498" t="str">
        <f t="shared" si="1828"/>
        <v/>
      </c>
      <c r="BC5299" s="743" t="str">
        <f t="shared" si="1829"/>
        <v/>
      </c>
      <c r="BD5299" s="743" t="str">
        <f t="shared" si="1830"/>
        <v/>
      </c>
      <c r="BE5299" s="743" t="str">
        <f>IF(D5299="","",VLOOKUP(D5299,'General Basis'!$J$39:$K$46,2,0))</f>
        <v/>
      </c>
      <c r="BF5299" s="744" t="str">
        <f>IF(D5299="","",VLOOKUP(D5299,'General Basis'!$J$39:$L$46,3,0))</f>
        <v/>
      </c>
      <c r="BG5299" s="744" t="str">
        <f t="shared" si="1837"/>
        <v/>
      </c>
      <c r="BH5299" s="744" t="str">
        <f>IF(G5299="","",IF(BF5299="Abu Dhabi",IF(G5299&lt;18,'General Basis'!$C$39,IF(G5299&lt;41,'General Basis'!$C$40,IF(G5299&lt;60,'General Basis'!$C$41,IF(G5299&lt;65,'General Basis'!$C$42,'General Basis'!$C$43)))),IF(G5299&lt;11,'General Basis'!$B$39,IF(G5299&lt;18,'General Basis'!$B$40,IF(G5299&lt;26,'General Basis'!$B$41,IF(G5299&lt;31,'General Basis'!$B$42,IF(G5299&lt;36,'General Basis'!$B$43,IF(G5299&lt;41,'General Basis'!$B$44,IF(G5299&lt;46,'General Basis'!$B$45,IF(G5299&lt;51,'General Basis'!$B$46,IF(G5299&lt;56,'General Basis'!$B$47,IF(G5299&lt;60,'General Basis'!$B$48,IF(G5299&lt;65,'General Basis'!$B$49,'General Basis'!$B$50)))))))))))))</f>
        <v/>
      </c>
      <c r="BI5299" s="744" t="str">
        <f t="shared" si="1831"/>
        <v/>
      </c>
      <c r="BJ5299" s="747" t="str">
        <f t="shared" si="1838"/>
        <v/>
      </c>
      <c r="BK5299" s="498" t="str">
        <f t="shared" si="1832"/>
        <v/>
      </c>
      <c r="BL5299" s="498" t="str">
        <f t="shared" si="1833"/>
        <v/>
      </c>
    </row>
    <row r="5300" spans="1:64" x14ac:dyDescent="0.25">
      <c r="A5300" s="762">
        <f t="shared" si="1834"/>
        <v>5295</v>
      </c>
      <c r="B5300" s="229"/>
      <c r="C5300" s="223"/>
      <c r="D5300" s="224"/>
      <c r="E5300" s="225"/>
      <c r="F5300" s="1036" t="str">
        <f t="shared" si="1840"/>
        <v/>
      </c>
      <c r="G5300" s="1037" t="str">
        <f t="shared" si="1835"/>
        <v/>
      </c>
      <c r="H5300" s="225"/>
      <c r="I5300" s="1013"/>
      <c r="J5300" s="1013"/>
      <c r="K5300" s="1028"/>
      <c r="L5300" s="1035" t="str">
        <f t="shared" si="1839"/>
        <v/>
      </c>
      <c r="S5300" s="498"/>
      <c r="AJ5300" s="498"/>
      <c r="AM5300" s="498">
        <f t="shared" si="1820"/>
        <v>0</v>
      </c>
      <c r="AN5300" s="498">
        <f t="shared" si="1821"/>
        <v>0</v>
      </c>
      <c r="AO5300" s="498">
        <f t="shared" si="1822"/>
        <v>0</v>
      </c>
      <c r="AP5300" s="498">
        <f t="shared" si="1841"/>
        <v>0</v>
      </c>
      <c r="AQ5300" s="498">
        <f t="shared" si="1836"/>
        <v>0</v>
      </c>
      <c r="AU5300" s="498">
        <f t="shared" si="1823"/>
        <v>0</v>
      </c>
      <c r="AV5300" s="498">
        <f t="shared" si="1824"/>
        <v>0</v>
      </c>
      <c r="AW5300" s="498">
        <f t="shared" si="1825"/>
        <v>0</v>
      </c>
      <c r="AX5300" s="498">
        <f t="shared" si="1826"/>
        <v>0</v>
      </c>
      <c r="AY5300" s="498">
        <f t="shared" si="1827"/>
        <v>0</v>
      </c>
      <c r="BB5300" s="498" t="str">
        <f t="shared" si="1828"/>
        <v/>
      </c>
      <c r="BC5300" s="743" t="str">
        <f t="shared" si="1829"/>
        <v/>
      </c>
      <c r="BD5300" s="743" t="str">
        <f t="shared" si="1830"/>
        <v/>
      </c>
      <c r="BE5300" s="743" t="str">
        <f>IF(D5300="","",VLOOKUP(D5300,'General Basis'!$J$39:$K$46,2,0))</f>
        <v/>
      </c>
      <c r="BF5300" s="744" t="str">
        <f>IF(D5300="","",VLOOKUP(D5300,'General Basis'!$J$39:$L$46,3,0))</f>
        <v/>
      </c>
      <c r="BG5300" s="744" t="str">
        <f t="shared" si="1837"/>
        <v/>
      </c>
      <c r="BH5300" s="744" t="str">
        <f>IF(G5300="","",IF(BF5300="Abu Dhabi",IF(G5300&lt;18,'General Basis'!$C$39,IF(G5300&lt;41,'General Basis'!$C$40,IF(G5300&lt;60,'General Basis'!$C$41,IF(G5300&lt;65,'General Basis'!$C$42,'General Basis'!$C$43)))),IF(G5300&lt;11,'General Basis'!$B$39,IF(G5300&lt;18,'General Basis'!$B$40,IF(G5300&lt;26,'General Basis'!$B$41,IF(G5300&lt;31,'General Basis'!$B$42,IF(G5300&lt;36,'General Basis'!$B$43,IF(G5300&lt;41,'General Basis'!$B$44,IF(G5300&lt;46,'General Basis'!$B$45,IF(G5300&lt;51,'General Basis'!$B$46,IF(G5300&lt;56,'General Basis'!$B$47,IF(G5300&lt;60,'General Basis'!$B$48,IF(G5300&lt;65,'General Basis'!$B$49,'General Basis'!$B$50)))))))))))))</f>
        <v/>
      </c>
      <c r="BI5300" s="744" t="str">
        <f t="shared" si="1831"/>
        <v/>
      </c>
      <c r="BJ5300" s="747" t="str">
        <f t="shared" si="1838"/>
        <v/>
      </c>
      <c r="BK5300" s="498" t="str">
        <f t="shared" si="1832"/>
        <v/>
      </c>
      <c r="BL5300" s="498" t="str">
        <f t="shared" si="1833"/>
        <v/>
      </c>
    </row>
    <row r="5301" spans="1:64" x14ac:dyDescent="0.25">
      <c r="A5301" s="762">
        <f t="shared" si="1834"/>
        <v>5296</v>
      </c>
      <c r="B5301" s="229"/>
      <c r="C5301" s="223"/>
      <c r="D5301" s="224"/>
      <c r="E5301" s="225"/>
      <c r="F5301" s="1036" t="str">
        <f t="shared" si="1840"/>
        <v/>
      </c>
      <c r="G5301" s="1037" t="str">
        <f t="shared" si="1835"/>
        <v/>
      </c>
      <c r="H5301" s="225"/>
      <c r="I5301" s="1013"/>
      <c r="J5301" s="1013"/>
      <c r="K5301" s="1028"/>
      <c r="L5301" s="1035" t="str">
        <f t="shared" si="1839"/>
        <v/>
      </c>
      <c r="S5301" s="498"/>
      <c r="AJ5301" s="498"/>
      <c r="AM5301" s="498">
        <f t="shared" si="1820"/>
        <v>0</v>
      </c>
      <c r="AN5301" s="498">
        <f t="shared" si="1821"/>
        <v>0</v>
      </c>
      <c r="AO5301" s="498">
        <f t="shared" si="1822"/>
        <v>0</v>
      </c>
      <c r="AP5301" s="498">
        <f t="shared" si="1841"/>
        <v>0</v>
      </c>
      <c r="AQ5301" s="498">
        <f t="shared" si="1836"/>
        <v>0</v>
      </c>
      <c r="AU5301" s="498">
        <f t="shared" si="1823"/>
        <v>0</v>
      </c>
      <c r="AV5301" s="498">
        <f t="shared" si="1824"/>
        <v>0</v>
      </c>
      <c r="AW5301" s="498">
        <f t="shared" si="1825"/>
        <v>0</v>
      </c>
      <c r="AX5301" s="498">
        <f t="shared" si="1826"/>
        <v>0</v>
      </c>
      <c r="AY5301" s="498">
        <f t="shared" si="1827"/>
        <v>0</v>
      </c>
      <c r="BB5301" s="498" t="str">
        <f t="shared" si="1828"/>
        <v/>
      </c>
      <c r="BC5301" s="743" t="str">
        <f t="shared" si="1829"/>
        <v/>
      </c>
      <c r="BD5301" s="743" t="str">
        <f t="shared" si="1830"/>
        <v/>
      </c>
      <c r="BE5301" s="743" t="str">
        <f>IF(D5301="","",VLOOKUP(D5301,'General Basis'!$J$39:$K$46,2,0))</f>
        <v/>
      </c>
      <c r="BF5301" s="744" t="str">
        <f>IF(D5301="","",VLOOKUP(D5301,'General Basis'!$J$39:$L$46,3,0))</f>
        <v/>
      </c>
      <c r="BG5301" s="744" t="str">
        <f t="shared" si="1837"/>
        <v/>
      </c>
      <c r="BH5301" s="744" t="str">
        <f>IF(G5301="","",IF(BF5301="Abu Dhabi",IF(G5301&lt;18,'General Basis'!$C$39,IF(G5301&lt;41,'General Basis'!$C$40,IF(G5301&lt;60,'General Basis'!$C$41,IF(G5301&lt;65,'General Basis'!$C$42,'General Basis'!$C$43)))),IF(G5301&lt;11,'General Basis'!$B$39,IF(G5301&lt;18,'General Basis'!$B$40,IF(G5301&lt;26,'General Basis'!$B$41,IF(G5301&lt;31,'General Basis'!$B$42,IF(G5301&lt;36,'General Basis'!$B$43,IF(G5301&lt;41,'General Basis'!$B$44,IF(G5301&lt;46,'General Basis'!$B$45,IF(G5301&lt;51,'General Basis'!$B$46,IF(G5301&lt;56,'General Basis'!$B$47,IF(G5301&lt;60,'General Basis'!$B$48,IF(G5301&lt;65,'General Basis'!$B$49,'General Basis'!$B$50)))))))))))))</f>
        <v/>
      </c>
      <c r="BI5301" s="744" t="str">
        <f t="shared" si="1831"/>
        <v/>
      </c>
      <c r="BJ5301" s="747" t="str">
        <f t="shared" si="1838"/>
        <v/>
      </c>
      <c r="BK5301" s="498" t="str">
        <f t="shared" si="1832"/>
        <v/>
      </c>
      <c r="BL5301" s="498" t="str">
        <f t="shared" si="1833"/>
        <v/>
      </c>
    </row>
    <row r="5302" spans="1:64" x14ac:dyDescent="0.25">
      <c r="A5302" s="762">
        <f t="shared" si="1834"/>
        <v>5297</v>
      </c>
      <c r="B5302" s="229"/>
      <c r="C5302" s="223"/>
      <c r="D5302" s="224"/>
      <c r="E5302" s="225"/>
      <c r="F5302" s="1036" t="str">
        <f t="shared" si="1840"/>
        <v/>
      </c>
      <c r="G5302" s="1037" t="str">
        <f t="shared" si="1835"/>
        <v/>
      </c>
      <c r="H5302" s="225"/>
      <c r="I5302" s="1013"/>
      <c r="J5302" s="1013"/>
      <c r="K5302" s="1028"/>
      <c r="L5302" s="1035" t="str">
        <f t="shared" si="1839"/>
        <v/>
      </c>
      <c r="S5302" s="498"/>
      <c r="AJ5302" s="498"/>
      <c r="AM5302" s="498">
        <f t="shared" si="1820"/>
        <v>0</v>
      </c>
      <c r="AN5302" s="498">
        <f t="shared" si="1821"/>
        <v>0</v>
      </c>
      <c r="AO5302" s="498">
        <f t="shared" si="1822"/>
        <v>0</v>
      </c>
      <c r="AP5302" s="498">
        <f t="shared" si="1841"/>
        <v>0</v>
      </c>
      <c r="AQ5302" s="498">
        <f t="shared" si="1836"/>
        <v>0</v>
      </c>
      <c r="AU5302" s="498">
        <f t="shared" si="1823"/>
        <v>0</v>
      </c>
      <c r="AV5302" s="498">
        <f t="shared" si="1824"/>
        <v>0</v>
      </c>
      <c r="AW5302" s="498">
        <f t="shared" si="1825"/>
        <v>0</v>
      </c>
      <c r="AX5302" s="498">
        <f t="shared" si="1826"/>
        <v>0</v>
      </c>
      <c r="AY5302" s="498">
        <f t="shared" si="1827"/>
        <v>0</v>
      </c>
      <c r="BB5302" s="498" t="str">
        <f t="shared" si="1828"/>
        <v/>
      </c>
      <c r="BC5302" s="743" t="str">
        <f t="shared" si="1829"/>
        <v/>
      </c>
      <c r="BD5302" s="743" t="str">
        <f t="shared" si="1830"/>
        <v/>
      </c>
      <c r="BE5302" s="743" t="str">
        <f>IF(D5302="","",VLOOKUP(D5302,'General Basis'!$J$39:$K$46,2,0))</f>
        <v/>
      </c>
      <c r="BF5302" s="744" t="str">
        <f>IF(D5302="","",VLOOKUP(D5302,'General Basis'!$J$39:$L$46,3,0))</f>
        <v/>
      </c>
      <c r="BG5302" s="744" t="str">
        <f t="shared" si="1837"/>
        <v/>
      </c>
      <c r="BH5302" s="744" t="str">
        <f>IF(G5302="","",IF(BF5302="Abu Dhabi",IF(G5302&lt;18,'General Basis'!$C$39,IF(G5302&lt;41,'General Basis'!$C$40,IF(G5302&lt;60,'General Basis'!$C$41,IF(G5302&lt;65,'General Basis'!$C$42,'General Basis'!$C$43)))),IF(G5302&lt;11,'General Basis'!$B$39,IF(G5302&lt;18,'General Basis'!$B$40,IF(G5302&lt;26,'General Basis'!$B$41,IF(G5302&lt;31,'General Basis'!$B$42,IF(G5302&lt;36,'General Basis'!$B$43,IF(G5302&lt;41,'General Basis'!$B$44,IF(G5302&lt;46,'General Basis'!$B$45,IF(G5302&lt;51,'General Basis'!$B$46,IF(G5302&lt;56,'General Basis'!$B$47,IF(G5302&lt;60,'General Basis'!$B$48,IF(G5302&lt;65,'General Basis'!$B$49,'General Basis'!$B$50)))))))))))))</f>
        <v/>
      </c>
      <c r="BI5302" s="744" t="str">
        <f t="shared" si="1831"/>
        <v/>
      </c>
      <c r="BJ5302" s="747" t="str">
        <f t="shared" si="1838"/>
        <v/>
      </c>
      <c r="BK5302" s="498" t="str">
        <f t="shared" si="1832"/>
        <v/>
      </c>
      <c r="BL5302" s="498" t="str">
        <f t="shared" si="1833"/>
        <v/>
      </c>
    </row>
    <row r="5303" spans="1:64" x14ac:dyDescent="0.25">
      <c r="A5303" s="762">
        <f t="shared" si="1834"/>
        <v>5298</v>
      </c>
      <c r="B5303" s="229"/>
      <c r="C5303" s="223"/>
      <c r="D5303" s="224"/>
      <c r="E5303" s="225"/>
      <c r="F5303" s="1036" t="str">
        <f t="shared" si="1840"/>
        <v/>
      </c>
      <c r="G5303" s="1037" t="str">
        <f t="shared" si="1835"/>
        <v/>
      </c>
      <c r="H5303" s="225"/>
      <c r="I5303" s="1013"/>
      <c r="J5303" s="1013"/>
      <c r="K5303" s="1028"/>
      <c r="L5303" s="1035" t="str">
        <f t="shared" si="1839"/>
        <v/>
      </c>
      <c r="S5303" s="498"/>
      <c r="AJ5303" s="498"/>
      <c r="AM5303" s="498">
        <f t="shared" si="1820"/>
        <v>0</v>
      </c>
      <c r="AN5303" s="498">
        <f t="shared" si="1821"/>
        <v>0</v>
      </c>
      <c r="AO5303" s="498">
        <f t="shared" si="1822"/>
        <v>0</v>
      </c>
      <c r="AP5303" s="498">
        <f t="shared" si="1841"/>
        <v>0</v>
      </c>
      <c r="AQ5303" s="498">
        <f t="shared" si="1836"/>
        <v>0</v>
      </c>
      <c r="AU5303" s="498">
        <f t="shared" si="1823"/>
        <v>0</v>
      </c>
      <c r="AV5303" s="498">
        <f t="shared" si="1824"/>
        <v>0</v>
      </c>
      <c r="AW5303" s="498">
        <f t="shared" si="1825"/>
        <v>0</v>
      </c>
      <c r="AX5303" s="498">
        <f t="shared" si="1826"/>
        <v>0</v>
      </c>
      <c r="AY5303" s="498">
        <f t="shared" si="1827"/>
        <v>0</v>
      </c>
      <c r="BB5303" s="498" t="str">
        <f t="shared" si="1828"/>
        <v/>
      </c>
      <c r="BC5303" s="743" t="str">
        <f t="shared" si="1829"/>
        <v/>
      </c>
      <c r="BD5303" s="743" t="str">
        <f t="shared" si="1830"/>
        <v/>
      </c>
      <c r="BE5303" s="743" t="str">
        <f>IF(D5303="","",VLOOKUP(D5303,'General Basis'!$J$39:$K$46,2,0))</f>
        <v/>
      </c>
      <c r="BF5303" s="744" t="str">
        <f>IF(D5303="","",VLOOKUP(D5303,'General Basis'!$J$39:$L$46,3,0))</f>
        <v/>
      </c>
      <c r="BG5303" s="744" t="str">
        <f t="shared" si="1837"/>
        <v/>
      </c>
      <c r="BH5303" s="744" t="str">
        <f>IF(G5303="","",IF(BF5303="Abu Dhabi",IF(G5303&lt;18,'General Basis'!$C$39,IF(G5303&lt;41,'General Basis'!$C$40,IF(G5303&lt;60,'General Basis'!$C$41,IF(G5303&lt;65,'General Basis'!$C$42,'General Basis'!$C$43)))),IF(G5303&lt;11,'General Basis'!$B$39,IF(G5303&lt;18,'General Basis'!$B$40,IF(G5303&lt;26,'General Basis'!$B$41,IF(G5303&lt;31,'General Basis'!$B$42,IF(G5303&lt;36,'General Basis'!$B$43,IF(G5303&lt;41,'General Basis'!$B$44,IF(G5303&lt;46,'General Basis'!$B$45,IF(G5303&lt;51,'General Basis'!$B$46,IF(G5303&lt;56,'General Basis'!$B$47,IF(G5303&lt;60,'General Basis'!$B$48,IF(G5303&lt;65,'General Basis'!$B$49,'General Basis'!$B$50)))))))))))))</f>
        <v/>
      </c>
      <c r="BI5303" s="744" t="str">
        <f t="shared" si="1831"/>
        <v/>
      </c>
      <c r="BJ5303" s="747" t="str">
        <f t="shared" si="1838"/>
        <v/>
      </c>
      <c r="BK5303" s="498" t="str">
        <f t="shared" si="1832"/>
        <v/>
      </c>
      <c r="BL5303" s="498" t="str">
        <f t="shared" si="1833"/>
        <v/>
      </c>
    </row>
    <row r="5304" spans="1:64" x14ac:dyDescent="0.25">
      <c r="A5304" s="762">
        <f t="shared" si="1834"/>
        <v>5299</v>
      </c>
      <c r="B5304" s="229"/>
      <c r="C5304" s="223"/>
      <c r="D5304" s="224"/>
      <c r="E5304" s="225"/>
      <c r="F5304" s="1036" t="str">
        <f t="shared" si="1840"/>
        <v/>
      </c>
      <c r="G5304" s="1037" t="str">
        <f t="shared" si="1835"/>
        <v/>
      </c>
      <c r="H5304" s="225"/>
      <c r="I5304" s="1013"/>
      <c r="J5304" s="1013"/>
      <c r="K5304" s="1028"/>
      <c r="L5304" s="1035" t="str">
        <f t="shared" si="1839"/>
        <v/>
      </c>
      <c r="S5304" s="498"/>
      <c r="AJ5304" s="498"/>
      <c r="AM5304" s="498">
        <f t="shared" si="1820"/>
        <v>0</v>
      </c>
      <c r="AN5304" s="498">
        <f t="shared" si="1821"/>
        <v>0</v>
      </c>
      <c r="AO5304" s="498">
        <f t="shared" si="1822"/>
        <v>0</v>
      </c>
      <c r="AP5304" s="498">
        <f t="shared" si="1841"/>
        <v>0</v>
      </c>
      <c r="AQ5304" s="498">
        <f t="shared" si="1836"/>
        <v>0</v>
      </c>
      <c r="AU5304" s="498">
        <f t="shared" si="1823"/>
        <v>0</v>
      </c>
      <c r="AV5304" s="498">
        <f t="shared" si="1824"/>
        <v>0</v>
      </c>
      <c r="AW5304" s="498">
        <f t="shared" si="1825"/>
        <v>0</v>
      </c>
      <c r="AX5304" s="498">
        <f t="shared" si="1826"/>
        <v>0</v>
      </c>
      <c r="AY5304" s="498">
        <f t="shared" si="1827"/>
        <v>0</v>
      </c>
      <c r="BB5304" s="498" t="str">
        <f t="shared" si="1828"/>
        <v/>
      </c>
      <c r="BC5304" s="743" t="str">
        <f t="shared" si="1829"/>
        <v/>
      </c>
      <c r="BD5304" s="743" t="str">
        <f t="shared" si="1830"/>
        <v/>
      </c>
      <c r="BE5304" s="743" t="str">
        <f>IF(D5304="","",VLOOKUP(D5304,'General Basis'!$J$39:$K$46,2,0))</f>
        <v/>
      </c>
      <c r="BF5304" s="744" t="str">
        <f>IF(D5304="","",VLOOKUP(D5304,'General Basis'!$J$39:$L$46,3,0))</f>
        <v/>
      </c>
      <c r="BG5304" s="744" t="str">
        <f t="shared" si="1837"/>
        <v/>
      </c>
      <c r="BH5304" s="744" t="str">
        <f>IF(G5304="","",IF(BF5304="Abu Dhabi",IF(G5304&lt;18,'General Basis'!$C$39,IF(G5304&lt;41,'General Basis'!$C$40,IF(G5304&lt;60,'General Basis'!$C$41,IF(G5304&lt;65,'General Basis'!$C$42,'General Basis'!$C$43)))),IF(G5304&lt;11,'General Basis'!$B$39,IF(G5304&lt;18,'General Basis'!$B$40,IF(G5304&lt;26,'General Basis'!$B$41,IF(G5304&lt;31,'General Basis'!$B$42,IF(G5304&lt;36,'General Basis'!$B$43,IF(G5304&lt;41,'General Basis'!$B$44,IF(G5304&lt;46,'General Basis'!$B$45,IF(G5304&lt;51,'General Basis'!$B$46,IF(G5304&lt;56,'General Basis'!$B$47,IF(G5304&lt;60,'General Basis'!$B$48,IF(G5304&lt;65,'General Basis'!$B$49,'General Basis'!$B$50)))))))))))))</f>
        <v/>
      </c>
      <c r="BI5304" s="744" t="str">
        <f t="shared" si="1831"/>
        <v/>
      </c>
      <c r="BJ5304" s="747" t="str">
        <f t="shared" si="1838"/>
        <v/>
      </c>
      <c r="BK5304" s="498" t="str">
        <f t="shared" si="1832"/>
        <v/>
      </c>
      <c r="BL5304" s="498" t="str">
        <f t="shared" si="1833"/>
        <v/>
      </c>
    </row>
    <row r="5305" spans="1:64" x14ac:dyDescent="0.25">
      <c r="A5305" s="762">
        <f t="shared" si="1834"/>
        <v>5300</v>
      </c>
      <c r="B5305" s="229"/>
      <c r="C5305" s="223"/>
      <c r="D5305" s="224"/>
      <c r="E5305" s="225"/>
      <c r="F5305" s="1036" t="str">
        <f t="shared" si="1840"/>
        <v/>
      </c>
      <c r="G5305" s="1037" t="str">
        <f t="shared" si="1835"/>
        <v/>
      </c>
      <c r="H5305" s="225"/>
      <c r="I5305" s="1013"/>
      <c r="J5305" s="1013"/>
      <c r="K5305" s="1028"/>
      <c r="L5305" s="1035" t="str">
        <f t="shared" si="1839"/>
        <v/>
      </c>
      <c r="S5305" s="498"/>
      <c r="AJ5305" s="498"/>
      <c r="AM5305" s="498">
        <f t="shared" si="1820"/>
        <v>0</v>
      </c>
      <c r="AN5305" s="498">
        <f t="shared" si="1821"/>
        <v>0</v>
      </c>
      <c r="AO5305" s="498">
        <f t="shared" si="1822"/>
        <v>0</v>
      </c>
      <c r="AP5305" s="498">
        <f t="shared" si="1841"/>
        <v>0</v>
      </c>
      <c r="AQ5305" s="498">
        <f t="shared" si="1836"/>
        <v>0</v>
      </c>
      <c r="AU5305" s="498">
        <f t="shared" si="1823"/>
        <v>0</v>
      </c>
      <c r="AV5305" s="498">
        <f t="shared" si="1824"/>
        <v>0</v>
      </c>
      <c r="AW5305" s="498">
        <f t="shared" si="1825"/>
        <v>0</v>
      </c>
      <c r="AX5305" s="498">
        <f t="shared" si="1826"/>
        <v>0</v>
      </c>
      <c r="AY5305" s="498">
        <f t="shared" si="1827"/>
        <v>0</v>
      </c>
      <c r="BB5305" s="498" t="str">
        <f t="shared" si="1828"/>
        <v/>
      </c>
      <c r="BC5305" s="743" t="str">
        <f t="shared" si="1829"/>
        <v/>
      </c>
      <c r="BD5305" s="743" t="str">
        <f t="shared" si="1830"/>
        <v/>
      </c>
      <c r="BE5305" s="743" t="str">
        <f>IF(D5305="","",VLOOKUP(D5305,'General Basis'!$J$39:$K$46,2,0))</f>
        <v/>
      </c>
      <c r="BF5305" s="744" t="str">
        <f>IF(D5305="","",VLOOKUP(D5305,'General Basis'!$J$39:$L$46,3,0))</f>
        <v/>
      </c>
      <c r="BG5305" s="744" t="str">
        <f t="shared" si="1837"/>
        <v/>
      </c>
      <c r="BH5305" s="744" t="str">
        <f>IF(G5305="","",IF(BF5305="Abu Dhabi",IF(G5305&lt;18,'General Basis'!$C$39,IF(G5305&lt;41,'General Basis'!$C$40,IF(G5305&lt;60,'General Basis'!$C$41,IF(G5305&lt;65,'General Basis'!$C$42,'General Basis'!$C$43)))),IF(G5305&lt;11,'General Basis'!$B$39,IF(G5305&lt;18,'General Basis'!$B$40,IF(G5305&lt;26,'General Basis'!$B$41,IF(G5305&lt;31,'General Basis'!$B$42,IF(G5305&lt;36,'General Basis'!$B$43,IF(G5305&lt;41,'General Basis'!$B$44,IF(G5305&lt;46,'General Basis'!$B$45,IF(G5305&lt;51,'General Basis'!$B$46,IF(G5305&lt;56,'General Basis'!$B$47,IF(G5305&lt;60,'General Basis'!$B$48,IF(G5305&lt;65,'General Basis'!$B$49,'General Basis'!$B$50)))))))))))))</f>
        <v/>
      </c>
      <c r="BI5305" s="744" t="str">
        <f t="shared" si="1831"/>
        <v/>
      </c>
      <c r="BJ5305" s="747" t="str">
        <f t="shared" si="1838"/>
        <v/>
      </c>
      <c r="BK5305" s="498" t="str">
        <f t="shared" si="1832"/>
        <v/>
      </c>
      <c r="BL5305" s="498" t="str">
        <f t="shared" si="1833"/>
        <v/>
      </c>
    </row>
    <row r="5306" spans="1:64" x14ac:dyDescent="0.25">
      <c r="A5306" s="762">
        <f t="shared" si="1834"/>
        <v>5301</v>
      </c>
      <c r="B5306" s="229"/>
      <c r="C5306" s="223"/>
      <c r="D5306" s="224"/>
      <c r="E5306" s="225"/>
      <c r="F5306" s="1036" t="str">
        <f t="shared" si="1840"/>
        <v/>
      </c>
      <c r="G5306" s="1037" t="str">
        <f t="shared" si="1835"/>
        <v/>
      </c>
      <c r="H5306" s="225"/>
      <c r="I5306" s="1013"/>
      <c r="J5306" s="1013"/>
      <c r="K5306" s="1028"/>
      <c r="L5306" s="1035" t="str">
        <f t="shared" si="1839"/>
        <v/>
      </c>
      <c r="S5306" s="498"/>
      <c r="AJ5306" s="498"/>
      <c r="AM5306" s="498">
        <f t="shared" si="1820"/>
        <v>0</v>
      </c>
      <c r="AN5306" s="498">
        <f t="shared" si="1821"/>
        <v>0</v>
      </c>
      <c r="AO5306" s="498">
        <f t="shared" si="1822"/>
        <v>0</v>
      </c>
      <c r="AP5306" s="498">
        <f t="shared" si="1841"/>
        <v>0</v>
      </c>
      <c r="AQ5306" s="498">
        <f t="shared" si="1836"/>
        <v>0</v>
      </c>
      <c r="AU5306" s="498">
        <f t="shared" si="1823"/>
        <v>0</v>
      </c>
      <c r="AV5306" s="498">
        <f t="shared" si="1824"/>
        <v>0</v>
      </c>
      <c r="AW5306" s="498">
        <f t="shared" si="1825"/>
        <v>0</v>
      </c>
      <c r="AX5306" s="498">
        <f t="shared" si="1826"/>
        <v>0</v>
      </c>
      <c r="AY5306" s="498">
        <f t="shared" si="1827"/>
        <v>0</v>
      </c>
      <c r="BB5306" s="498" t="str">
        <f t="shared" si="1828"/>
        <v/>
      </c>
      <c r="BC5306" s="743" t="str">
        <f t="shared" si="1829"/>
        <v/>
      </c>
      <c r="BD5306" s="743" t="str">
        <f t="shared" si="1830"/>
        <v/>
      </c>
      <c r="BE5306" s="743" t="str">
        <f>IF(D5306="","",VLOOKUP(D5306,'General Basis'!$J$39:$K$46,2,0))</f>
        <v/>
      </c>
      <c r="BF5306" s="744" t="str">
        <f>IF(D5306="","",VLOOKUP(D5306,'General Basis'!$J$39:$L$46,3,0))</f>
        <v/>
      </c>
      <c r="BG5306" s="744" t="str">
        <f t="shared" si="1837"/>
        <v/>
      </c>
      <c r="BH5306" s="744" t="str">
        <f>IF(G5306="","",IF(BF5306="Abu Dhabi",IF(G5306&lt;18,'General Basis'!$C$39,IF(G5306&lt;41,'General Basis'!$C$40,IF(G5306&lt;60,'General Basis'!$C$41,IF(G5306&lt;65,'General Basis'!$C$42,'General Basis'!$C$43)))),IF(G5306&lt;11,'General Basis'!$B$39,IF(G5306&lt;18,'General Basis'!$B$40,IF(G5306&lt;26,'General Basis'!$B$41,IF(G5306&lt;31,'General Basis'!$B$42,IF(G5306&lt;36,'General Basis'!$B$43,IF(G5306&lt;41,'General Basis'!$B$44,IF(G5306&lt;46,'General Basis'!$B$45,IF(G5306&lt;51,'General Basis'!$B$46,IF(G5306&lt;56,'General Basis'!$B$47,IF(G5306&lt;60,'General Basis'!$B$48,IF(G5306&lt;65,'General Basis'!$B$49,'General Basis'!$B$50)))))))))))))</f>
        <v/>
      </c>
      <c r="BI5306" s="744" t="str">
        <f t="shared" si="1831"/>
        <v/>
      </c>
      <c r="BJ5306" s="747" t="str">
        <f t="shared" si="1838"/>
        <v/>
      </c>
      <c r="BK5306" s="498" t="str">
        <f t="shared" si="1832"/>
        <v/>
      </c>
      <c r="BL5306" s="498" t="str">
        <f t="shared" si="1833"/>
        <v/>
      </c>
    </row>
    <row r="5307" spans="1:64" x14ac:dyDescent="0.25">
      <c r="A5307" s="762">
        <f t="shared" si="1834"/>
        <v>5302</v>
      </c>
      <c r="B5307" s="229"/>
      <c r="C5307" s="223"/>
      <c r="D5307" s="224"/>
      <c r="E5307" s="225"/>
      <c r="F5307" s="1036" t="str">
        <f t="shared" si="1840"/>
        <v/>
      </c>
      <c r="G5307" s="1037" t="str">
        <f t="shared" si="1835"/>
        <v/>
      </c>
      <c r="H5307" s="225"/>
      <c r="I5307" s="1013"/>
      <c r="J5307" s="1013"/>
      <c r="K5307" s="1028"/>
      <c r="L5307" s="1035" t="str">
        <f t="shared" si="1839"/>
        <v/>
      </c>
      <c r="S5307" s="498"/>
      <c r="AJ5307" s="498"/>
      <c r="AM5307" s="498">
        <f t="shared" si="1820"/>
        <v>0</v>
      </c>
      <c r="AN5307" s="498">
        <f t="shared" si="1821"/>
        <v>0</v>
      </c>
      <c r="AO5307" s="498">
        <f t="shared" si="1822"/>
        <v>0</v>
      </c>
      <c r="AP5307" s="498">
        <f t="shared" si="1841"/>
        <v>0</v>
      </c>
      <c r="AQ5307" s="498">
        <f t="shared" si="1836"/>
        <v>0</v>
      </c>
      <c r="AU5307" s="498">
        <f t="shared" si="1823"/>
        <v>0</v>
      </c>
      <c r="AV5307" s="498">
        <f t="shared" si="1824"/>
        <v>0</v>
      </c>
      <c r="AW5307" s="498">
        <f t="shared" si="1825"/>
        <v>0</v>
      </c>
      <c r="AX5307" s="498">
        <f t="shared" si="1826"/>
        <v>0</v>
      </c>
      <c r="AY5307" s="498">
        <f t="shared" si="1827"/>
        <v>0</v>
      </c>
      <c r="BB5307" s="498" t="str">
        <f t="shared" si="1828"/>
        <v/>
      </c>
      <c r="BC5307" s="743" t="str">
        <f t="shared" si="1829"/>
        <v/>
      </c>
      <c r="BD5307" s="743" t="str">
        <f t="shared" si="1830"/>
        <v/>
      </c>
      <c r="BE5307" s="743" t="str">
        <f>IF(D5307="","",VLOOKUP(D5307,'General Basis'!$J$39:$K$46,2,0))</f>
        <v/>
      </c>
      <c r="BF5307" s="744" t="str">
        <f>IF(D5307="","",VLOOKUP(D5307,'General Basis'!$J$39:$L$46,3,0))</f>
        <v/>
      </c>
      <c r="BG5307" s="744" t="str">
        <f t="shared" si="1837"/>
        <v/>
      </c>
      <c r="BH5307" s="744" t="str">
        <f>IF(G5307="","",IF(BF5307="Abu Dhabi",IF(G5307&lt;18,'General Basis'!$C$39,IF(G5307&lt;41,'General Basis'!$C$40,IF(G5307&lt;60,'General Basis'!$C$41,IF(G5307&lt;65,'General Basis'!$C$42,'General Basis'!$C$43)))),IF(G5307&lt;11,'General Basis'!$B$39,IF(G5307&lt;18,'General Basis'!$B$40,IF(G5307&lt;26,'General Basis'!$B$41,IF(G5307&lt;31,'General Basis'!$B$42,IF(G5307&lt;36,'General Basis'!$B$43,IF(G5307&lt;41,'General Basis'!$B$44,IF(G5307&lt;46,'General Basis'!$B$45,IF(G5307&lt;51,'General Basis'!$B$46,IF(G5307&lt;56,'General Basis'!$B$47,IF(G5307&lt;60,'General Basis'!$B$48,IF(G5307&lt;65,'General Basis'!$B$49,'General Basis'!$B$50)))))))))))))</f>
        <v/>
      </c>
      <c r="BI5307" s="744" t="str">
        <f t="shared" si="1831"/>
        <v/>
      </c>
      <c r="BJ5307" s="747" t="str">
        <f t="shared" si="1838"/>
        <v/>
      </c>
      <c r="BK5307" s="498" t="str">
        <f t="shared" si="1832"/>
        <v/>
      </c>
      <c r="BL5307" s="498" t="str">
        <f t="shared" si="1833"/>
        <v/>
      </c>
    </row>
    <row r="5308" spans="1:64" x14ac:dyDescent="0.25">
      <c r="A5308" s="762">
        <f t="shared" si="1834"/>
        <v>5303</v>
      </c>
      <c r="B5308" s="229"/>
      <c r="C5308" s="223"/>
      <c r="D5308" s="224"/>
      <c r="E5308" s="225"/>
      <c r="F5308" s="1036" t="str">
        <f t="shared" si="1840"/>
        <v/>
      </c>
      <c r="G5308" s="1037" t="str">
        <f t="shared" si="1835"/>
        <v/>
      </c>
      <c r="H5308" s="225"/>
      <c r="I5308" s="1013"/>
      <c r="J5308" s="1013"/>
      <c r="K5308" s="1028"/>
      <c r="L5308" s="1035" t="str">
        <f t="shared" si="1839"/>
        <v/>
      </c>
      <c r="S5308" s="498"/>
      <c r="AJ5308" s="498"/>
      <c r="AM5308" s="498">
        <f t="shared" si="1820"/>
        <v>0</v>
      </c>
      <c r="AN5308" s="498">
        <f t="shared" si="1821"/>
        <v>0</v>
      </c>
      <c r="AO5308" s="498">
        <f t="shared" si="1822"/>
        <v>0</v>
      </c>
      <c r="AP5308" s="498">
        <f t="shared" si="1841"/>
        <v>0</v>
      </c>
      <c r="AQ5308" s="498">
        <f t="shared" si="1836"/>
        <v>0</v>
      </c>
      <c r="AU5308" s="498">
        <f t="shared" si="1823"/>
        <v>0</v>
      </c>
      <c r="AV5308" s="498">
        <f t="shared" si="1824"/>
        <v>0</v>
      </c>
      <c r="AW5308" s="498">
        <f t="shared" si="1825"/>
        <v>0</v>
      </c>
      <c r="AX5308" s="498">
        <f t="shared" si="1826"/>
        <v>0</v>
      </c>
      <c r="AY5308" s="498">
        <f t="shared" si="1827"/>
        <v>0</v>
      </c>
      <c r="BB5308" s="498" t="str">
        <f t="shared" si="1828"/>
        <v/>
      </c>
      <c r="BC5308" s="743" t="str">
        <f t="shared" si="1829"/>
        <v/>
      </c>
      <c r="BD5308" s="743" t="str">
        <f t="shared" si="1830"/>
        <v/>
      </c>
      <c r="BE5308" s="743" t="str">
        <f>IF(D5308="","",VLOOKUP(D5308,'General Basis'!$J$39:$K$46,2,0))</f>
        <v/>
      </c>
      <c r="BF5308" s="744" t="str">
        <f>IF(D5308="","",VLOOKUP(D5308,'General Basis'!$J$39:$L$46,3,0))</f>
        <v/>
      </c>
      <c r="BG5308" s="744" t="str">
        <f t="shared" si="1837"/>
        <v/>
      </c>
      <c r="BH5308" s="744" t="str">
        <f>IF(G5308="","",IF(BF5308="Abu Dhabi",IF(G5308&lt;18,'General Basis'!$C$39,IF(G5308&lt;41,'General Basis'!$C$40,IF(G5308&lt;60,'General Basis'!$C$41,IF(G5308&lt;65,'General Basis'!$C$42,'General Basis'!$C$43)))),IF(G5308&lt;11,'General Basis'!$B$39,IF(G5308&lt;18,'General Basis'!$B$40,IF(G5308&lt;26,'General Basis'!$B$41,IF(G5308&lt;31,'General Basis'!$B$42,IF(G5308&lt;36,'General Basis'!$B$43,IF(G5308&lt;41,'General Basis'!$B$44,IF(G5308&lt;46,'General Basis'!$B$45,IF(G5308&lt;51,'General Basis'!$B$46,IF(G5308&lt;56,'General Basis'!$B$47,IF(G5308&lt;60,'General Basis'!$B$48,IF(G5308&lt;65,'General Basis'!$B$49,'General Basis'!$B$50)))))))))))))</f>
        <v/>
      </c>
      <c r="BI5308" s="744" t="str">
        <f t="shared" si="1831"/>
        <v/>
      </c>
      <c r="BJ5308" s="747" t="str">
        <f t="shared" si="1838"/>
        <v/>
      </c>
      <c r="BK5308" s="498" t="str">
        <f t="shared" si="1832"/>
        <v/>
      </c>
      <c r="BL5308" s="498" t="str">
        <f t="shared" si="1833"/>
        <v/>
      </c>
    </row>
    <row r="5309" spans="1:64" x14ac:dyDescent="0.25">
      <c r="A5309" s="762">
        <f t="shared" si="1834"/>
        <v>5304</v>
      </c>
      <c r="B5309" s="229"/>
      <c r="C5309" s="223"/>
      <c r="D5309" s="224"/>
      <c r="E5309" s="225"/>
      <c r="F5309" s="1036" t="str">
        <f t="shared" si="1840"/>
        <v/>
      </c>
      <c r="G5309" s="1037" t="str">
        <f t="shared" si="1835"/>
        <v/>
      </c>
      <c r="H5309" s="225"/>
      <c r="I5309" s="1013"/>
      <c r="J5309" s="1013"/>
      <c r="K5309" s="1028"/>
      <c r="L5309" s="1035" t="str">
        <f t="shared" si="1839"/>
        <v/>
      </c>
      <c r="S5309" s="498"/>
      <c r="AJ5309" s="498"/>
      <c r="AM5309" s="498">
        <f t="shared" si="1820"/>
        <v>0</v>
      </c>
      <c r="AN5309" s="498">
        <f t="shared" si="1821"/>
        <v>0</v>
      </c>
      <c r="AO5309" s="498">
        <f t="shared" si="1822"/>
        <v>0</v>
      </c>
      <c r="AP5309" s="498">
        <f t="shared" si="1841"/>
        <v>0</v>
      </c>
      <c r="AQ5309" s="498">
        <f t="shared" si="1836"/>
        <v>0</v>
      </c>
      <c r="AU5309" s="498">
        <f t="shared" si="1823"/>
        <v>0</v>
      </c>
      <c r="AV5309" s="498">
        <f t="shared" si="1824"/>
        <v>0</v>
      </c>
      <c r="AW5309" s="498">
        <f t="shared" si="1825"/>
        <v>0</v>
      </c>
      <c r="AX5309" s="498">
        <f t="shared" si="1826"/>
        <v>0</v>
      </c>
      <c r="AY5309" s="498">
        <f t="shared" si="1827"/>
        <v>0</v>
      </c>
      <c r="BB5309" s="498" t="str">
        <f t="shared" si="1828"/>
        <v/>
      </c>
      <c r="BC5309" s="743" t="str">
        <f t="shared" si="1829"/>
        <v/>
      </c>
      <c r="BD5309" s="743" t="str">
        <f t="shared" si="1830"/>
        <v/>
      </c>
      <c r="BE5309" s="743" t="str">
        <f>IF(D5309="","",VLOOKUP(D5309,'General Basis'!$J$39:$K$46,2,0))</f>
        <v/>
      </c>
      <c r="BF5309" s="744" t="str">
        <f>IF(D5309="","",VLOOKUP(D5309,'General Basis'!$J$39:$L$46,3,0))</f>
        <v/>
      </c>
      <c r="BG5309" s="744" t="str">
        <f t="shared" si="1837"/>
        <v/>
      </c>
      <c r="BH5309" s="744" t="str">
        <f>IF(G5309="","",IF(BF5309="Abu Dhabi",IF(G5309&lt;18,'General Basis'!$C$39,IF(G5309&lt;41,'General Basis'!$C$40,IF(G5309&lt;60,'General Basis'!$C$41,IF(G5309&lt;65,'General Basis'!$C$42,'General Basis'!$C$43)))),IF(G5309&lt;11,'General Basis'!$B$39,IF(G5309&lt;18,'General Basis'!$B$40,IF(G5309&lt;26,'General Basis'!$B$41,IF(G5309&lt;31,'General Basis'!$B$42,IF(G5309&lt;36,'General Basis'!$B$43,IF(G5309&lt;41,'General Basis'!$B$44,IF(G5309&lt;46,'General Basis'!$B$45,IF(G5309&lt;51,'General Basis'!$B$46,IF(G5309&lt;56,'General Basis'!$B$47,IF(G5309&lt;60,'General Basis'!$B$48,IF(G5309&lt;65,'General Basis'!$B$49,'General Basis'!$B$50)))))))))))))</f>
        <v/>
      </c>
      <c r="BI5309" s="744" t="str">
        <f t="shared" si="1831"/>
        <v/>
      </c>
      <c r="BJ5309" s="747" t="str">
        <f t="shared" si="1838"/>
        <v/>
      </c>
      <c r="BK5309" s="498" t="str">
        <f t="shared" si="1832"/>
        <v/>
      </c>
      <c r="BL5309" s="498" t="str">
        <f t="shared" si="1833"/>
        <v/>
      </c>
    </row>
    <row r="5310" spans="1:64" x14ac:dyDescent="0.25">
      <c r="A5310" s="762">
        <f t="shared" si="1834"/>
        <v>5305</v>
      </c>
      <c r="B5310" s="229"/>
      <c r="C5310" s="223"/>
      <c r="D5310" s="224"/>
      <c r="E5310" s="225"/>
      <c r="F5310" s="1036" t="str">
        <f t="shared" si="1840"/>
        <v/>
      </c>
      <c r="G5310" s="1037" t="str">
        <f t="shared" si="1835"/>
        <v/>
      </c>
      <c r="H5310" s="225"/>
      <c r="I5310" s="1013"/>
      <c r="J5310" s="1013"/>
      <c r="K5310" s="1028"/>
      <c r="L5310" s="1035" t="str">
        <f t="shared" si="1839"/>
        <v/>
      </c>
      <c r="S5310" s="498"/>
      <c r="AJ5310" s="498"/>
      <c r="AM5310" s="498">
        <f t="shared" si="1820"/>
        <v>0</v>
      </c>
      <c r="AN5310" s="498">
        <f t="shared" si="1821"/>
        <v>0</v>
      </c>
      <c r="AO5310" s="498">
        <f t="shared" si="1822"/>
        <v>0</v>
      </c>
      <c r="AP5310" s="498">
        <f t="shared" si="1841"/>
        <v>0</v>
      </c>
      <c r="AQ5310" s="498">
        <f t="shared" si="1836"/>
        <v>0</v>
      </c>
      <c r="AU5310" s="498">
        <f t="shared" si="1823"/>
        <v>0</v>
      </c>
      <c r="AV5310" s="498">
        <f t="shared" si="1824"/>
        <v>0</v>
      </c>
      <c r="AW5310" s="498">
        <f t="shared" si="1825"/>
        <v>0</v>
      </c>
      <c r="AX5310" s="498">
        <f t="shared" si="1826"/>
        <v>0</v>
      </c>
      <c r="AY5310" s="498">
        <f t="shared" si="1827"/>
        <v>0</v>
      </c>
      <c r="BB5310" s="498" t="str">
        <f t="shared" si="1828"/>
        <v/>
      </c>
      <c r="BC5310" s="743" t="str">
        <f t="shared" si="1829"/>
        <v/>
      </c>
      <c r="BD5310" s="743" t="str">
        <f t="shared" si="1830"/>
        <v/>
      </c>
      <c r="BE5310" s="743" t="str">
        <f>IF(D5310="","",VLOOKUP(D5310,'General Basis'!$J$39:$K$46,2,0))</f>
        <v/>
      </c>
      <c r="BF5310" s="744" t="str">
        <f>IF(D5310="","",VLOOKUP(D5310,'General Basis'!$J$39:$L$46,3,0))</f>
        <v/>
      </c>
      <c r="BG5310" s="744" t="str">
        <f t="shared" si="1837"/>
        <v/>
      </c>
      <c r="BH5310" s="744" t="str">
        <f>IF(G5310="","",IF(BF5310="Abu Dhabi",IF(G5310&lt;18,'General Basis'!$C$39,IF(G5310&lt;41,'General Basis'!$C$40,IF(G5310&lt;60,'General Basis'!$C$41,IF(G5310&lt;65,'General Basis'!$C$42,'General Basis'!$C$43)))),IF(G5310&lt;11,'General Basis'!$B$39,IF(G5310&lt;18,'General Basis'!$B$40,IF(G5310&lt;26,'General Basis'!$B$41,IF(G5310&lt;31,'General Basis'!$B$42,IF(G5310&lt;36,'General Basis'!$B$43,IF(G5310&lt;41,'General Basis'!$B$44,IF(G5310&lt;46,'General Basis'!$B$45,IF(G5310&lt;51,'General Basis'!$B$46,IF(G5310&lt;56,'General Basis'!$B$47,IF(G5310&lt;60,'General Basis'!$B$48,IF(G5310&lt;65,'General Basis'!$B$49,'General Basis'!$B$50)))))))))))))</f>
        <v/>
      </c>
      <c r="BI5310" s="744" t="str">
        <f t="shared" si="1831"/>
        <v/>
      </c>
      <c r="BJ5310" s="747" t="str">
        <f t="shared" si="1838"/>
        <v/>
      </c>
      <c r="BK5310" s="498" t="str">
        <f t="shared" si="1832"/>
        <v/>
      </c>
      <c r="BL5310" s="498" t="str">
        <f t="shared" si="1833"/>
        <v/>
      </c>
    </row>
    <row r="5311" spans="1:64" x14ac:dyDescent="0.25">
      <c r="A5311" s="762">
        <f t="shared" si="1834"/>
        <v>5306</v>
      </c>
      <c r="B5311" s="229"/>
      <c r="C5311" s="223"/>
      <c r="D5311" s="224"/>
      <c r="E5311" s="225"/>
      <c r="F5311" s="1036" t="str">
        <f t="shared" si="1840"/>
        <v/>
      </c>
      <c r="G5311" s="1037" t="str">
        <f t="shared" si="1835"/>
        <v/>
      </c>
      <c r="H5311" s="225"/>
      <c r="I5311" s="1013"/>
      <c r="J5311" s="1013"/>
      <c r="K5311" s="1028"/>
      <c r="L5311" s="1035" t="str">
        <f t="shared" si="1839"/>
        <v/>
      </c>
      <c r="S5311" s="498"/>
      <c r="AJ5311" s="498"/>
      <c r="AM5311" s="498">
        <f t="shared" si="1820"/>
        <v>0</v>
      </c>
      <c r="AN5311" s="498">
        <f t="shared" si="1821"/>
        <v>0</v>
      </c>
      <c r="AO5311" s="498">
        <f t="shared" si="1822"/>
        <v>0</v>
      </c>
      <c r="AP5311" s="498">
        <f t="shared" si="1841"/>
        <v>0</v>
      </c>
      <c r="AQ5311" s="498">
        <f t="shared" si="1836"/>
        <v>0</v>
      </c>
      <c r="AU5311" s="498">
        <f t="shared" si="1823"/>
        <v>0</v>
      </c>
      <c r="AV5311" s="498">
        <f t="shared" si="1824"/>
        <v>0</v>
      </c>
      <c r="AW5311" s="498">
        <f t="shared" si="1825"/>
        <v>0</v>
      </c>
      <c r="AX5311" s="498">
        <f t="shared" si="1826"/>
        <v>0</v>
      </c>
      <c r="AY5311" s="498">
        <f t="shared" si="1827"/>
        <v>0</v>
      </c>
      <c r="BB5311" s="498" t="str">
        <f t="shared" si="1828"/>
        <v/>
      </c>
      <c r="BC5311" s="743" t="str">
        <f t="shared" si="1829"/>
        <v/>
      </c>
      <c r="BD5311" s="743" t="str">
        <f t="shared" si="1830"/>
        <v/>
      </c>
      <c r="BE5311" s="743" t="str">
        <f>IF(D5311="","",VLOOKUP(D5311,'General Basis'!$J$39:$K$46,2,0))</f>
        <v/>
      </c>
      <c r="BF5311" s="744" t="str">
        <f>IF(D5311="","",VLOOKUP(D5311,'General Basis'!$J$39:$L$46,3,0))</f>
        <v/>
      </c>
      <c r="BG5311" s="744" t="str">
        <f t="shared" si="1837"/>
        <v/>
      </c>
      <c r="BH5311" s="744" t="str">
        <f>IF(G5311="","",IF(BF5311="Abu Dhabi",IF(G5311&lt;18,'General Basis'!$C$39,IF(G5311&lt;41,'General Basis'!$C$40,IF(G5311&lt;60,'General Basis'!$C$41,IF(G5311&lt;65,'General Basis'!$C$42,'General Basis'!$C$43)))),IF(G5311&lt;11,'General Basis'!$B$39,IF(G5311&lt;18,'General Basis'!$B$40,IF(G5311&lt;26,'General Basis'!$B$41,IF(G5311&lt;31,'General Basis'!$B$42,IF(G5311&lt;36,'General Basis'!$B$43,IF(G5311&lt;41,'General Basis'!$B$44,IF(G5311&lt;46,'General Basis'!$B$45,IF(G5311&lt;51,'General Basis'!$B$46,IF(G5311&lt;56,'General Basis'!$B$47,IF(G5311&lt;60,'General Basis'!$B$48,IF(G5311&lt;65,'General Basis'!$B$49,'General Basis'!$B$50)))))))))))))</f>
        <v/>
      </c>
      <c r="BI5311" s="744" t="str">
        <f t="shared" si="1831"/>
        <v/>
      </c>
      <c r="BJ5311" s="747" t="str">
        <f t="shared" si="1838"/>
        <v/>
      </c>
      <c r="BK5311" s="498" t="str">
        <f t="shared" si="1832"/>
        <v/>
      </c>
      <c r="BL5311" s="498" t="str">
        <f t="shared" si="1833"/>
        <v/>
      </c>
    </row>
    <row r="5312" spans="1:64" x14ac:dyDescent="0.25">
      <c r="A5312" s="762">
        <f t="shared" si="1834"/>
        <v>5307</v>
      </c>
      <c r="B5312" s="229"/>
      <c r="C5312" s="223"/>
      <c r="D5312" s="224"/>
      <c r="E5312" s="225"/>
      <c r="F5312" s="1036" t="str">
        <f t="shared" si="1840"/>
        <v/>
      </c>
      <c r="G5312" s="1037" t="str">
        <f t="shared" si="1835"/>
        <v/>
      </c>
      <c r="H5312" s="225"/>
      <c r="I5312" s="1013"/>
      <c r="J5312" s="1013"/>
      <c r="K5312" s="1028"/>
      <c r="L5312" s="1035" t="str">
        <f t="shared" si="1839"/>
        <v/>
      </c>
      <c r="S5312" s="498"/>
      <c r="AJ5312" s="498"/>
      <c r="AM5312" s="498">
        <f t="shared" si="1820"/>
        <v>0</v>
      </c>
      <c r="AN5312" s="498">
        <f t="shared" si="1821"/>
        <v>0</v>
      </c>
      <c r="AO5312" s="498">
        <f t="shared" si="1822"/>
        <v>0</v>
      </c>
      <c r="AP5312" s="498">
        <f t="shared" si="1841"/>
        <v>0</v>
      </c>
      <c r="AQ5312" s="498">
        <f t="shared" si="1836"/>
        <v>0</v>
      </c>
      <c r="AU5312" s="498">
        <f t="shared" si="1823"/>
        <v>0</v>
      </c>
      <c r="AV5312" s="498">
        <f t="shared" si="1824"/>
        <v>0</v>
      </c>
      <c r="AW5312" s="498">
        <f t="shared" si="1825"/>
        <v>0</v>
      </c>
      <c r="AX5312" s="498">
        <f t="shared" si="1826"/>
        <v>0</v>
      </c>
      <c r="AY5312" s="498">
        <f t="shared" si="1827"/>
        <v>0</v>
      </c>
      <c r="BB5312" s="498" t="str">
        <f t="shared" si="1828"/>
        <v/>
      </c>
      <c r="BC5312" s="743" t="str">
        <f t="shared" si="1829"/>
        <v/>
      </c>
      <c r="BD5312" s="743" t="str">
        <f t="shared" si="1830"/>
        <v/>
      </c>
      <c r="BE5312" s="743" t="str">
        <f>IF(D5312="","",VLOOKUP(D5312,'General Basis'!$J$39:$K$46,2,0))</f>
        <v/>
      </c>
      <c r="BF5312" s="744" t="str">
        <f>IF(D5312="","",VLOOKUP(D5312,'General Basis'!$J$39:$L$46,3,0))</f>
        <v/>
      </c>
      <c r="BG5312" s="744" t="str">
        <f t="shared" si="1837"/>
        <v/>
      </c>
      <c r="BH5312" s="744" t="str">
        <f>IF(G5312="","",IF(BF5312="Abu Dhabi",IF(G5312&lt;18,'General Basis'!$C$39,IF(G5312&lt;41,'General Basis'!$C$40,IF(G5312&lt;60,'General Basis'!$C$41,IF(G5312&lt;65,'General Basis'!$C$42,'General Basis'!$C$43)))),IF(G5312&lt;11,'General Basis'!$B$39,IF(G5312&lt;18,'General Basis'!$B$40,IF(G5312&lt;26,'General Basis'!$B$41,IF(G5312&lt;31,'General Basis'!$B$42,IF(G5312&lt;36,'General Basis'!$B$43,IF(G5312&lt;41,'General Basis'!$B$44,IF(G5312&lt;46,'General Basis'!$B$45,IF(G5312&lt;51,'General Basis'!$B$46,IF(G5312&lt;56,'General Basis'!$B$47,IF(G5312&lt;60,'General Basis'!$B$48,IF(G5312&lt;65,'General Basis'!$B$49,'General Basis'!$B$50)))))))))))))</f>
        <v/>
      </c>
      <c r="BI5312" s="744" t="str">
        <f t="shared" si="1831"/>
        <v/>
      </c>
      <c r="BJ5312" s="747" t="str">
        <f t="shared" si="1838"/>
        <v/>
      </c>
      <c r="BK5312" s="498" t="str">
        <f t="shared" si="1832"/>
        <v/>
      </c>
      <c r="BL5312" s="498" t="str">
        <f t="shared" si="1833"/>
        <v/>
      </c>
    </row>
    <row r="5313" spans="1:64" x14ac:dyDescent="0.25">
      <c r="A5313" s="762">
        <f t="shared" si="1834"/>
        <v>5308</v>
      </c>
      <c r="B5313" s="229"/>
      <c r="C5313" s="223"/>
      <c r="D5313" s="224"/>
      <c r="E5313" s="225"/>
      <c r="F5313" s="1036" t="str">
        <f t="shared" si="1840"/>
        <v/>
      </c>
      <c r="G5313" s="1037" t="str">
        <f t="shared" si="1835"/>
        <v/>
      </c>
      <c r="H5313" s="225"/>
      <c r="I5313" s="1013"/>
      <c r="J5313" s="1013"/>
      <c r="K5313" s="1028"/>
      <c r="L5313" s="1035" t="str">
        <f t="shared" si="1839"/>
        <v/>
      </c>
      <c r="S5313" s="498"/>
      <c r="AJ5313" s="498"/>
      <c r="AM5313" s="498">
        <f t="shared" si="1820"/>
        <v>0</v>
      </c>
      <c r="AN5313" s="498">
        <f t="shared" si="1821"/>
        <v>0</v>
      </c>
      <c r="AO5313" s="498">
        <f t="shared" si="1822"/>
        <v>0</v>
      </c>
      <c r="AP5313" s="498">
        <f t="shared" si="1841"/>
        <v>0</v>
      </c>
      <c r="AQ5313" s="498">
        <f t="shared" si="1836"/>
        <v>0</v>
      </c>
      <c r="AU5313" s="498">
        <f t="shared" si="1823"/>
        <v>0</v>
      </c>
      <c r="AV5313" s="498">
        <f t="shared" si="1824"/>
        <v>0</v>
      </c>
      <c r="AW5313" s="498">
        <f t="shared" si="1825"/>
        <v>0</v>
      </c>
      <c r="AX5313" s="498">
        <f t="shared" si="1826"/>
        <v>0</v>
      </c>
      <c r="AY5313" s="498">
        <f t="shared" si="1827"/>
        <v>0</v>
      </c>
      <c r="BB5313" s="498" t="str">
        <f t="shared" si="1828"/>
        <v/>
      </c>
      <c r="BC5313" s="743" t="str">
        <f t="shared" si="1829"/>
        <v/>
      </c>
      <c r="BD5313" s="743" t="str">
        <f t="shared" si="1830"/>
        <v/>
      </c>
      <c r="BE5313" s="743" t="str">
        <f>IF(D5313="","",VLOOKUP(D5313,'General Basis'!$J$39:$K$46,2,0))</f>
        <v/>
      </c>
      <c r="BF5313" s="744" t="str">
        <f>IF(D5313="","",VLOOKUP(D5313,'General Basis'!$J$39:$L$46,3,0))</f>
        <v/>
      </c>
      <c r="BG5313" s="744" t="str">
        <f t="shared" si="1837"/>
        <v/>
      </c>
      <c r="BH5313" s="744" t="str">
        <f>IF(G5313="","",IF(BF5313="Abu Dhabi",IF(G5313&lt;18,'General Basis'!$C$39,IF(G5313&lt;41,'General Basis'!$C$40,IF(G5313&lt;60,'General Basis'!$C$41,IF(G5313&lt;65,'General Basis'!$C$42,'General Basis'!$C$43)))),IF(G5313&lt;11,'General Basis'!$B$39,IF(G5313&lt;18,'General Basis'!$B$40,IF(G5313&lt;26,'General Basis'!$B$41,IF(G5313&lt;31,'General Basis'!$B$42,IF(G5313&lt;36,'General Basis'!$B$43,IF(G5313&lt;41,'General Basis'!$B$44,IF(G5313&lt;46,'General Basis'!$B$45,IF(G5313&lt;51,'General Basis'!$B$46,IF(G5313&lt;56,'General Basis'!$B$47,IF(G5313&lt;60,'General Basis'!$B$48,IF(G5313&lt;65,'General Basis'!$B$49,'General Basis'!$B$50)))))))))))))</f>
        <v/>
      </c>
      <c r="BI5313" s="744" t="str">
        <f t="shared" si="1831"/>
        <v/>
      </c>
      <c r="BJ5313" s="747" t="str">
        <f t="shared" si="1838"/>
        <v/>
      </c>
      <c r="BK5313" s="498" t="str">
        <f t="shared" si="1832"/>
        <v/>
      </c>
      <c r="BL5313" s="498" t="str">
        <f t="shared" si="1833"/>
        <v/>
      </c>
    </row>
    <row r="5314" spans="1:64" x14ac:dyDescent="0.25">
      <c r="A5314" s="762">
        <f t="shared" si="1834"/>
        <v>5309</v>
      </c>
      <c r="B5314" s="229"/>
      <c r="C5314" s="223"/>
      <c r="D5314" s="224"/>
      <c r="E5314" s="225"/>
      <c r="F5314" s="1036" t="str">
        <f t="shared" si="1840"/>
        <v/>
      </c>
      <c r="G5314" s="1037" t="str">
        <f t="shared" si="1835"/>
        <v/>
      </c>
      <c r="H5314" s="225"/>
      <c r="I5314" s="1013"/>
      <c r="J5314" s="1013"/>
      <c r="K5314" s="1028"/>
      <c r="L5314" s="1035" t="str">
        <f t="shared" si="1839"/>
        <v/>
      </c>
      <c r="S5314" s="498"/>
      <c r="AJ5314" s="498"/>
      <c r="AM5314" s="498">
        <f t="shared" si="1820"/>
        <v>0</v>
      </c>
      <c r="AN5314" s="498">
        <f t="shared" si="1821"/>
        <v>0</v>
      </c>
      <c r="AO5314" s="498">
        <f t="shared" si="1822"/>
        <v>0</v>
      </c>
      <c r="AP5314" s="498">
        <f t="shared" si="1841"/>
        <v>0</v>
      </c>
      <c r="AQ5314" s="498">
        <f t="shared" si="1836"/>
        <v>0</v>
      </c>
      <c r="AU5314" s="498">
        <f t="shared" si="1823"/>
        <v>0</v>
      </c>
      <c r="AV5314" s="498">
        <f t="shared" si="1824"/>
        <v>0</v>
      </c>
      <c r="AW5314" s="498">
        <f t="shared" si="1825"/>
        <v>0</v>
      </c>
      <c r="AX5314" s="498">
        <f t="shared" si="1826"/>
        <v>0</v>
      </c>
      <c r="AY5314" s="498">
        <f t="shared" si="1827"/>
        <v>0</v>
      </c>
      <c r="BB5314" s="498" t="str">
        <f t="shared" si="1828"/>
        <v/>
      </c>
      <c r="BC5314" s="743" t="str">
        <f t="shared" si="1829"/>
        <v/>
      </c>
      <c r="BD5314" s="743" t="str">
        <f t="shared" si="1830"/>
        <v/>
      </c>
      <c r="BE5314" s="743" t="str">
        <f>IF(D5314="","",VLOOKUP(D5314,'General Basis'!$J$39:$K$46,2,0))</f>
        <v/>
      </c>
      <c r="BF5314" s="744" t="str">
        <f>IF(D5314="","",VLOOKUP(D5314,'General Basis'!$J$39:$L$46,3,0))</f>
        <v/>
      </c>
      <c r="BG5314" s="744" t="str">
        <f t="shared" si="1837"/>
        <v/>
      </c>
      <c r="BH5314" s="744" t="str">
        <f>IF(G5314="","",IF(BF5314="Abu Dhabi",IF(G5314&lt;18,'General Basis'!$C$39,IF(G5314&lt;41,'General Basis'!$C$40,IF(G5314&lt;60,'General Basis'!$C$41,IF(G5314&lt;65,'General Basis'!$C$42,'General Basis'!$C$43)))),IF(G5314&lt;11,'General Basis'!$B$39,IF(G5314&lt;18,'General Basis'!$B$40,IF(G5314&lt;26,'General Basis'!$B$41,IF(G5314&lt;31,'General Basis'!$B$42,IF(G5314&lt;36,'General Basis'!$B$43,IF(G5314&lt;41,'General Basis'!$B$44,IF(G5314&lt;46,'General Basis'!$B$45,IF(G5314&lt;51,'General Basis'!$B$46,IF(G5314&lt;56,'General Basis'!$B$47,IF(G5314&lt;60,'General Basis'!$B$48,IF(G5314&lt;65,'General Basis'!$B$49,'General Basis'!$B$50)))))))))))))</f>
        <v/>
      </c>
      <c r="BI5314" s="744" t="str">
        <f t="shared" si="1831"/>
        <v/>
      </c>
      <c r="BJ5314" s="747" t="str">
        <f t="shared" si="1838"/>
        <v/>
      </c>
      <c r="BK5314" s="498" t="str">
        <f t="shared" si="1832"/>
        <v/>
      </c>
      <c r="BL5314" s="498" t="str">
        <f t="shared" si="1833"/>
        <v/>
      </c>
    </row>
    <row r="5315" spans="1:64" x14ac:dyDescent="0.25">
      <c r="A5315" s="762">
        <f t="shared" si="1834"/>
        <v>5310</v>
      </c>
      <c r="B5315" s="229"/>
      <c r="C5315" s="223"/>
      <c r="D5315" s="224"/>
      <c r="E5315" s="225"/>
      <c r="F5315" s="1036" t="str">
        <f t="shared" si="1840"/>
        <v/>
      </c>
      <c r="G5315" s="1037" t="str">
        <f t="shared" si="1835"/>
        <v/>
      </c>
      <c r="H5315" s="225"/>
      <c r="I5315" s="1013"/>
      <c r="J5315" s="1013"/>
      <c r="K5315" s="1028"/>
      <c r="L5315" s="1035" t="str">
        <f t="shared" si="1839"/>
        <v/>
      </c>
      <c r="S5315" s="498"/>
      <c r="AJ5315" s="498"/>
      <c r="AM5315" s="498">
        <f t="shared" si="1820"/>
        <v>0</v>
      </c>
      <c r="AN5315" s="498">
        <f t="shared" si="1821"/>
        <v>0</v>
      </c>
      <c r="AO5315" s="498">
        <f t="shared" si="1822"/>
        <v>0</v>
      </c>
      <c r="AP5315" s="498">
        <f t="shared" si="1841"/>
        <v>0</v>
      </c>
      <c r="AQ5315" s="498">
        <f t="shared" si="1836"/>
        <v>0</v>
      </c>
      <c r="AU5315" s="498">
        <f t="shared" si="1823"/>
        <v>0</v>
      </c>
      <c r="AV5315" s="498">
        <f t="shared" si="1824"/>
        <v>0</v>
      </c>
      <c r="AW5315" s="498">
        <f t="shared" si="1825"/>
        <v>0</v>
      </c>
      <c r="AX5315" s="498">
        <f t="shared" si="1826"/>
        <v>0</v>
      </c>
      <c r="AY5315" s="498">
        <f t="shared" si="1827"/>
        <v>0</v>
      </c>
      <c r="BB5315" s="498" t="str">
        <f t="shared" si="1828"/>
        <v/>
      </c>
      <c r="BC5315" s="743" t="str">
        <f t="shared" si="1829"/>
        <v/>
      </c>
      <c r="BD5315" s="743" t="str">
        <f t="shared" si="1830"/>
        <v/>
      </c>
      <c r="BE5315" s="743" t="str">
        <f>IF(D5315="","",VLOOKUP(D5315,'General Basis'!$J$39:$K$46,2,0))</f>
        <v/>
      </c>
      <c r="BF5315" s="744" t="str">
        <f>IF(D5315="","",VLOOKUP(D5315,'General Basis'!$J$39:$L$46,3,0))</f>
        <v/>
      </c>
      <c r="BG5315" s="744" t="str">
        <f t="shared" si="1837"/>
        <v/>
      </c>
      <c r="BH5315" s="744" t="str">
        <f>IF(G5315="","",IF(BF5315="Abu Dhabi",IF(G5315&lt;18,'General Basis'!$C$39,IF(G5315&lt;41,'General Basis'!$C$40,IF(G5315&lt;60,'General Basis'!$C$41,IF(G5315&lt;65,'General Basis'!$C$42,'General Basis'!$C$43)))),IF(G5315&lt;11,'General Basis'!$B$39,IF(G5315&lt;18,'General Basis'!$B$40,IF(G5315&lt;26,'General Basis'!$B$41,IF(G5315&lt;31,'General Basis'!$B$42,IF(G5315&lt;36,'General Basis'!$B$43,IF(G5315&lt;41,'General Basis'!$B$44,IF(G5315&lt;46,'General Basis'!$B$45,IF(G5315&lt;51,'General Basis'!$B$46,IF(G5315&lt;56,'General Basis'!$B$47,IF(G5315&lt;60,'General Basis'!$B$48,IF(G5315&lt;65,'General Basis'!$B$49,'General Basis'!$B$50)))))))))))))</f>
        <v/>
      </c>
      <c r="BI5315" s="744" t="str">
        <f t="shared" si="1831"/>
        <v/>
      </c>
      <c r="BJ5315" s="747" t="str">
        <f t="shared" si="1838"/>
        <v/>
      </c>
      <c r="BK5315" s="498" t="str">
        <f t="shared" si="1832"/>
        <v/>
      </c>
      <c r="BL5315" s="498" t="str">
        <f t="shared" si="1833"/>
        <v/>
      </c>
    </row>
    <row r="5316" spans="1:64" x14ac:dyDescent="0.25">
      <c r="A5316" s="762">
        <f t="shared" si="1834"/>
        <v>5311</v>
      </c>
      <c r="B5316" s="229"/>
      <c r="C5316" s="223"/>
      <c r="D5316" s="224"/>
      <c r="E5316" s="225"/>
      <c r="F5316" s="1036" t="str">
        <f t="shared" si="1840"/>
        <v/>
      </c>
      <c r="G5316" s="1037" t="str">
        <f t="shared" si="1835"/>
        <v/>
      </c>
      <c r="H5316" s="225"/>
      <c r="I5316" s="1013"/>
      <c r="J5316" s="1013"/>
      <c r="K5316" s="1028"/>
      <c r="L5316" s="1035" t="str">
        <f t="shared" si="1839"/>
        <v/>
      </c>
      <c r="S5316" s="498"/>
      <c r="AJ5316" s="498"/>
      <c r="AM5316" s="498">
        <f t="shared" si="1820"/>
        <v>0</v>
      </c>
      <c r="AN5316" s="498">
        <f t="shared" si="1821"/>
        <v>0</v>
      </c>
      <c r="AO5316" s="498">
        <f t="shared" si="1822"/>
        <v>0</v>
      </c>
      <c r="AP5316" s="498">
        <f t="shared" si="1841"/>
        <v>0</v>
      </c>
      <c r="AQ5316" s="498">
        <f t="shared" si="1836"/>
        <v>0</v>
      </c>
      <c r="AU5316" s="498">
        <f t="shared" si="1823"/>
        <v>0</v>
      </c>
      <c r="AV5316" s="498">
        <f t="shared" si="1824"/>
        <v>0</v>
      </c>
      <c r="AW5316" s="498">
        <f t="shared" si="1825"/>
        <v>0</v>
      </c>
      <c r="AX5316" s="498">
        <f t="shared" si="1826"/>
        <v>0</v>
      </c>
      <c r="AY5316" s="498">
        <f t="shared" si="1827"/>
        <v>0</v>
      </c>
      <c r="BB5316" s="498" t="str">
        <f t="shared" si="1828"/>
        <v/>
      </c>
      <c r="BC5316" s="743" t="str">
        <f t="shared" si="1829"/>
        <v/>
      </c>
      <c r="BD5316" s="743" t="str">
        <f t="shared" si="1830"/>
        <v/>
      </c>
      <c r="BE5316" s="743" t="str">
        <f>IF(D5316="","",VLOOKUP(D5316,'General Basis'!$J$39:$K$46,2,0))</f>
        <v/>
      </c>
      <c r="BF5316" s="744" t="str">
        <f>IF(D5316="","",VLOOKUP(D5316,'General Basis'!$J$39:$L$46,3,0))</f>
        <v/>
      </c>
      <c r="BG5316" s="744" t="str">
        <f t="shared" si="1837"/>
        <v/>
      </c>
      <c r="BH5316" s="744" t="str">
        <f>IF(G5316="","",IF(BF5316="Abu Dhabi",IF(G5316&lt;18,'General Basis'!$C$39,IF(G5316&lt;41,'General Basis'!$C$40,IF(G5316&lt;60,'General Basis'!$C$41,IF(G5316&lt;65,'General Basis'!$C$42,'General Basis'!$C$43)))),IF(G5316&lt;11,'General Basis'!$B$39,IF(G5316&lt;18,'General Basis'!$B$40,IF(G5316&lt;26,'General Basis'!$B$41,IF(G5316&lt;31,'General Basis'!$B$42,IF(G5316&lt;36,'General Basis'!$B$43,IF(G5316&lt;41,'General Basis'!$B$44,IF(G5316&lt;46,'General Basis'!$B$45,IF(G5316&lt;51,'General Basis'!$B$46,IF(G5316&lt;56,'General Basis'!$B$47,IF(G5316&lt;60,'General Basis'!$B$48,IF(G5316&lt;65,'General Basis'!$B$49,'General Basis'!$B$50)))))))))))))</f>
        <v/>
      </c>
      <c r="BI5316" s="744" t="str">
        <f t="shared" si="1831"/>
        <v/>
      </c>
      <c r="BJ5316" s="747" t="str">
        <f t="shared" si="1838"/>
        <v/>
      </c>
      <c r="BK5316" s="498" t="str">
        <f t="shared" si="1832"/>
        <v/>
      </c>
      <c r="BL5316" s="498" t="str">
        <f t="shared" si="1833"/>
        <v/>
      </c>
    </row>
    <row r="5317" spans="1:64" x14ac:dyDescent="0.25">
      <c r="A5317" s="762">
        <f t="shared" si="1834"/>
        <v>5312</v>
      </c>
      <c r="B5317" s="229"/>
      <c r="C5317" s="223"/>
      <c r="D5317" s="224"/>
      <c r="E5317" s="225"/>
      <c r="F5317" s="1036" t="str">
        <f t="shared" si="1840"/>
        <v/>
      </c>
      <c r="G5317" s="1037" t="str">
        <f t="shared" si="1835"/>
        <v/>
      </c>
      <c r="H5317" s="225"/>
      <c r="I5317" s="1013"/>
      <c r="J5317" s="1013"/>
      <c r="K5317" s="1028"/>
      <c r="L5317" s="1035" t="str">
        <f t="shared" si="1839"/>
        <v/>
      </c>
      <c r="S5317" s="498"/>
      <c r="AJ5317" s="498"/>
      <c r="AM5317" s="498">
        <f t="shared" si="1820"/>
        <v>0</v>
      </c>
      <c r="AN5317" s="498">
        <f t="shared" si="1821"/>
        <v>0</v>
      </c>
      <c r="AO5317" s="498">
        <f t="shared" si="1822"/>
        <v>0</v>
      </c>
      <c r="AP5317" s="498">
        <f t="shared" si="1841"/>
        <v>0</v>
      </c>
      <c r="AQ5317" s="498">
        <f t="shared" si="1836"/>
        <v>0</v>
      </c>
      <c r="AU5317" s="498">
        <f t="shared" si="1823"/>
        <v>0</v>
      </c>
      <c r="AV5317" s="498">
        <f t="shared" si="1824"/>
        <v>0</v>
      </c>
      <c r="AW5317" s="498">
        <f t="shared" si="1825"/>
        <v>0</v>
      </c>
      <c r="AX5317" s="498">
        <f t="shared" si="1826"/>
        <v>0</v>
      </c>
      <c r="AY5317" s="498">
        <f t="shared" si="1827"/>
        <v>0</v>
      </c>
      <c r="BB5317" s="498" t="str">
        <f t="shared" si="1828"/>
        <v/>
      </c>
      <c r="BC5317" s="743" t="str">
        <f t="shared" si="1829"/>
        <v/>
      </c>
      <c r="BD5317" s="743" t="str">
        <f t="shared" si="1830"/>
        <v/>
      </c>
      <c r="BE5317" s="743" t="str">
        <f>IF(D5317="","",VLOOKUP(D5317,'General Basis'!$J$39:$K$46,2,0))</f>
        <v/>
      </c>
      <c r="BF5317" s="744" t="str">
        <f>IF(D5317="","",VLOOKUP(D5317,'General Basis'!$J$39:$L$46,3,0))</f>
        <v/>
      </c>
      <c r="BG5317" s="744" t="str">
        <f t="shared" si="1837"/>
        <v/>
      </c>
      <c r="BH5317" s="744" t="str">
        <f>IF(G5317="","",IF(BF5317="Abu Dhabi",IF(G5317&lt;18,'General Basis'!$C$39,IF(G5317&lt;41,'General Basis'!$C$40,IF(G5317&lt;60,'General Basis'!$C$41,IF(G5317&lt;65,'General Basis'!$C$42,'General Basis'!$C$43)))),IF(G5317&lt;11,'General Basis'!$B$39,IF(G5317&lt;18,'General Basis'!$B$40,IF(G5317&lt;26,'General Basis'!$B$41,IF(G5317&lt;31,'General Basis'!$B$42,IF(G5317&lt;36,'General Basis'!$B$43,IF(G5317&lt;41,'General Basis'!$B$44,IF(G5317&lt;46,'General Basis'!$B$45,IF(G5317&lt;51,'General Basis'!$B$46,IF(G5317&lt;56,'General Basis'!$B$47,IF(G5317&lt;60,'General Basis'!$B$48,IF(G5317&lt;65,'General Basis'!$B$49,'General Basis'!$B$50)))))))))))))</f>
        <v/>
      </c>
      <c r="BI5317" s="744" t="str">
        <f t="shared" si="1831"/>
        <v/>
      </c>
      <c r="BJ5317" s="747" t="str">
        <f t="shared" si="1838"/>
        <v/>
      </c>
      <c r="BK5317" s="498" t="str">
        <f t="shared" si="1832"/>
        <v/>
      </c>
      <c r="BL5317" s="498" t="str">
        <f t="shared" si="1833"/>
        <v/>
      </c>
    </row>
    <row r="5318" spans="1:64" x14ac:dyDescent="0.25">
      <c r="A5318" s="762">
        <f t="shared" si="1834"/>
        <v>5313</v>
      </c>
      <c r="B5318" s="229"/>
      <c r="C5318" s="223"/>
      <c r="D5318" s="224"/>
      <c r="E5318" s="225"/>
      <c r="F5318" s="1036" t="str">
        <f t="shared" si="1840"/>
        <v/>
      </c>
      <c r="G5318" s="1037" t="str">
        <f t="shared" si="1835"/>
        <v/>
      </c>
      <c r="H5318" s="225"/>
      <c r="I5318" s="1013"/>
      <c r="J5318" s="1013"/>
      <c r="K5318" s="1028"/>
      <c r="L5318" s="1035" t="str">
        <f t="shared" si="1839"/>
        <v/>
      </c>
      <c r="S5318" s="498"/>
      <c r="AJ5318" s="498"/>
      <c r="AM5318" s="498">
        <f t="shared" ref="AM5318:AM5331" si="1842">IF(ISTEXT(B5318),1,0)</f>
        <v>0</v>
      </c>
      <c r="AN5318" s="498">
        <f t="shared" ref="AN5318:AN5331" si="1843">IF(ISBLANK(B5318),0,IF(B5318&lt;$AK$6,1,0))</f>
        <v>0</v>
      </c>
      <c r="AO5318" s="498">
        <f t="shared" ref="AO5318:AO5331" si="1844">IF(ISBLANK(B5318),0,IF(B5318&gt;$AK$7,1,0))</f>
        <v>0</v>
      </c>
      <c r="AP5318" s="498">
        <f t="shared" si="1841"/>
        <v>0</v>
      </c>
      <c r="AQ5318" s="498">
        <f t="shared" si="1836"/>
        <v>0</v>
      </c>
      <c r="AU5318" s="498">
        <f t="shared" ref="AU5318:AU5331" si="1845">IF(ISBLANK(B5318),0,1)</f>
        <v>0</v>
      </c>
      <c r="AV5318" s="498">
        <f t="shared" ref="AV5318:AV5331" si="1846">IF(ISBLANK(C5318),0,1)</f>
        <v>0</v>
      </c>
      <c r="AW5318" s="498">
        <f t="shared" ref="AW5318:AW5331" si="1847">IF(ISBLANK(D5318),0,1)</f>
        <v>0</v>
      </c>
      <c r="AX5318" s="498">
        <f t="shared" ref="AX5318:AX5331" si="1848">IF(ISBLANK(E5318),0,1)</f>
        <v>0</v>
      </c>
      <c r="AY5318" s="498">
        <f t="shared" ref="AY5318:AY5331" si="1849">IF(ISBLANK(H5318),0,1)</f>
        <v>0</v>
      </c>
      <c r="BB5318" s="498" t="str">
        <f t="shared" ref="BB5318:BB5331" si="1850">IF(E5318="Principal","Principal",IF(E5318="","","Other"))</f>
        <v/>
      </c>
      <c r="BC5318" s="743" t="str">
        <f t="shared" ref="BC5318:BC5331" si="1851">IF(D5318="","",D5318)</f>
        <v/>
      </c>
      <c r="BD5318" s="743" t="str">
        <f t="shared" ref="BD5318:BD5331" si="1852">IF(E5318="Principal","Employee",IF(E5318="","","Dependent"))</f>
        <v/>
      </c>
      <c r="BE5318" s="743" t="str">
        <f>IF(D5318="","",VLOOKUP(D5318,'General Basis'!$J$39:$K$46,2,0))</f>
        <v/>
      </c>
      <c r="BF5318" s="744" t="str">
        <f>IF(D5318="","",VLOOKUP(D5318,'General Basis'!$J$39:$L$46,3,0))</f>
        <v/>
      </c>
      <c r="BG5318" s="744" t="str">
        <f t="shared" si="1837"/>
        <v/>
      </c>
      <c r="BH5318" s="744" t="str">
        <f>IF(G5318="","",IF(BF5318="Abu Dhabi",IF(G5318&lt;18,'General Basis'!$C$39,IF(G5318&lt;41,'General Basis'!$C$40,IF(G5318&lt;60,'General Basis'!$C$41,IF(G5318&lt;65,'General Basis'!$C$42,'General Basis'!$C$43)))),IF(G5318&lt;11,'General Basis'!$B$39,IF(G5318&lt;18,'General Basis'!$B$40,IF(G5318&lt;26,'General Basis'!$B$41,IF(G5318&lt;31,'General Basis'!$B$42,IF(G5318&lt;36,'General Basis'!$B$43,IF(G5318&lt;41,'General Basis'!$B$44,IF(G5318&lt;46,'General Basis'!$B$45,IF(G5318&lt;51,'General Basis'!$B$46,IF(G5318&lt;56,'General Basis'!$B$47,IF(G5318&lt;60,'General Basis'!$B$48,IF(G5318&lt;65,'General Basis'!$B$49,'General Basis'!$B$50)))))))))))))</f>
        <v/>
      </c>
      <c r="BI5318" s="744" t="str">
        <f t="shared" ref="BI5318:BI5331" si="1853">IF(C5318="","",IF(C5318="M","Male","Female"))</f>
        <v/>
      </c>
      <c r="BJ5318" s="747" t="str">
        <f t="shared" si="1838"/>
        <v/>
      </c>
      <c r="BK5318" s="498" t="str">
        <f t="shared" ref="BK5318:BK5331" si="1854">IF(BD5318="","",IF(AND(BD5318="Employee",BI5318="Male",BF5318="Abu Dhabi",BE5318=GN_Plus),VLOOKUP(BH5318,AUH_MALE_EMP,2,0),IF(AND(BD5318="Employee",BI5318="Male",BF5318="Abu Dhabi",BE5318=GN),VLOOKUP(BH5318,AUH_MALE_EMP,3,0),IF(AND(BD5318="Employee",BI5318="Male",BF5318="Abu Dhabi",BE5318=RN_Plus),VLOOKUP(BH5318,AUH_MALE_EMP,4,0),IF(AND(BD5318="Employee",BI5318="Male",BF5318="Abu Dhabi",BE5318=RN),VLOOKUP(BH5318,AUH_MALE_EMP,5,0),IF(AND(BD5318="Employee",BI5318="Male",BF5318="Abu Dhabi",BE5318=RN_2),VLOOKUP(BH5318,AUH_MALE_EMP,6,0),IF(AND(BD5318="Employee",BI5318="Male",BF5318="Abu Dhabi",BE5318=RN2_minus),VLOOKUP(BH5318,AUH_MALE_EMP,7,0),IF(AND(BD5318="Employee",BI5318="Male",BF5318="Abu Dhabi",BE5318=RN_3),VLOOKUP(BH5318,AUH_MALE_EMP,8,0),IF(AND(BD5318="Employee",BI5318="Male",BF5318="Abu Dhabi",BE5318=VN),VLOOKUP(BH5318,AUH_MALE_EMP,9,0),IF(BD5318="","",IF(AND(BD5318="Employee",BI5318="Female",BF5318="Abu Dhabi",BE5318=GN_Plus),VLOOKUP(BH5318,AUH_FEMALE_EMP,2,0),IF(AND(BD5318="Employee",BI5318="Female",BF5318="Abu Dhabi",BE5318=GN),VLOOKUP(BH5318,AUH_FEMALE_EMP,3,0),IF(AND(BD5318="Employee",BI5318="Female",BF5318="Abu Dhabi",BE5318=RN_Plus),VLOOKUP(BH5318,AUH_FEMALE_EMP,4,0),IF(AND(BD5318="Employee",BI5318="Female",BF5318="Abu Dhabi",BE5318=RN),VLOOKUP(BH5318,AUH_FEMALE_EMP,5,0),IF(AND(BD5318="Employee",BI5318="Female",BF5318="Abu Dhabi",BE5318=RN_2),VLOOKUP(BH5318,AUH_FEMALE_EMP,6,0),IF(AND(BD5318="Employee",BI5318="Female",BF5318="Abu Dhabi",BE5318=RN2_minus),VLOOKUP(BH5318,AUH_FEMALE_EMP,7,0),IF(AND(BD5318="Employee",BI5318="Female",BF5318="Abu Dhabi",BE5318=RN_3),VLOOKUP(BH5318,AUH_FEMALE_EMP,8,0),IF(AND(BD5318="Employee",BI5318="Female",BF5318="Abu Dhabi",BE5318=VN),VLOOKUP(BH5318,AUH_FEMALE_EMP,9,0),IF(BD5318="","",IF(AND(BD5318="Dependent",BI5318="Male",BF5318="Abu Dhabi",BE5318=GN_Plus),VLOOKUP(BH5318,AUH_MALE_DEP,2,0),IF(AND(BD5318="Dependent",BI5318="Male",BF5318="Abu Dhabi",BE5318=GN),VLOOKUP(BH5318,AUH_MALE_DEP,3,0),IF(AND(BD5318="Dependent",BI5318="Male",BF5318="Abu Dhabi",BE5318=RN_Plus),VLOOKUP(BH5318,AUH_MALE_DEP,4,0),IF(AND(BD5318="Dependent",BI5318="Male",BF5318="Abu Dhabi",BE5318=RN),VLOOKUP(BH5318,AUH_MALE_DEP,5,0),IF(AND(BD5318="Dependent",BI5318="Male",BF5318="Abu Dhabi",BE5318=RN_2),VLOOKUP(BH5318,AUH_MALE_DEP,6,0),IF(AND(BD5318="Dependent",BI5318="Male",BF5318="Abu Dhabi",BE5318=RN2_minus),VLOOKUP(BH5318,AUH_MALE_DEP,7,0),IF(AND(BD5318="Dependent",BI5318="Male",BF5318="Abu Dhabi",BE5318=RN_3),VLOOKUP(BH5318,AUH_MALE_DEP,8,0),IF(AND(BD5318="Dependent",BI5318="Male",BF5318="Abu Dhabi",BE5318=VN),VLOOKUP(BH5318,AUH_MALE_DEP,9,0),IF(BD5318="","",IF(AND(BD5318="Dependent",BI5318="Female",BF5318="Abu Dhabi",BE5318=GN_Plus),VLOOKUP(BH5318,AUH_FEMALE_DEP,2,0),IF(AND(BD5318="Dependent",BI5318="Female",BF5318="Abu Dhabi",BE5318=GN),VLOOKUP(BH5318,AUH_FEMALE_DEP,3,0),IF(AND(BD5318="Dependent",BI5318="Female",BF5318="Abu Dhabi",BE5318=RN_Plus),VLOOKUP(BH5318,AUH_FEMALE_DEP,4,0),IF(AND(BD5318="Dependent",BI5318="Female",BF5318="Abu Dhabi",BE5318=RN),VLOOKUP(BH5318,AUH_FEMALE_DEP,5,0),IF(AND(BD5318="Dependent",BI5318="Female",BF5318="Abu Dhabi",BE5318=RN_2),VLOOKUP(BH5318,AUH_FEMALE_DEP,6,0),IF(AND(BD5318="Dependent",BI5318="Female",BF5318="Abu Dhabi",BE5318=RN2_minus),VLOOKUP(BH5318,AUH_FEMALE_DEP,7,0),IF(AND(BD5318="Dependent",BI5318="Female",BF5318="Abu Dhabi",BE5318=RN_3),VLOOKUP(BH5318,AUH_FEMALE_DEP,8,0),IF(AND(BD5318="Dependent",BI5318="Female",BF5318="Abu Dhabi",BE5318=VN),VLOOKUP(BH5318,AUH_FEMALE_DEP,9,0),"ABC"))))))))))))))))))))))))))))))))))))</f>
        <v/>
      </c>
      <c r="BL5318" s="498" t="str">
        <f t="shared" ref="BL5318:BL5331" si="1855">IF(BD5318="","",IF(AND(BD5318="Employee",BI5318="Male",BF5318="Dubai",BE5318=GN_Plus),VLOOKUP(BH5318,DXB_MALE_EMP,2,0),IF(AND(BD5318="Employee",BI5318="Male",BF5318="Dubai",BE5318=GN),VLOOKUP(BH5318,DXB_MALE_EMP,3,0),IF(AND(BD5318="Employee",BI5318="Male",BF5318="Dubai",BE5318=RN_Plus),VLOOKUP(BH5318,DXB_MALE_EMP,4,0),IF(AND(BD5318="Employee",BI5318="Male",BF5318="Dubai",BE5318=RN),VLOOKUP(BH5318,DXB_MALE_EMP,5,0),IF(AND(BD5318="Employee",BI5318="Male",BF5318="Dubai",BE5318=RN_2),VLOOKUP(BH5318,DXB_MALE_EMP,6,0),IF(AND(BD5318="Employee",BI5318="Male",BF5318="Dubai",BE5318=RN2_minus),VLOOKUP(BH5318,DXB_MALE_EMP,7,0),IF(AND(BD5318="Employee",BI5318="Male",BF5318="Dubai",BE5318=RN_3),VLOOKUP(BH5318,DXB_MALE_EMP,8,0),IF(AND(BD5318="Employee",BI5318="Male",BF5318="Dubai",BE5318=VN),VLOOKUP(BH5318,DXB_MALE_EMP,9,0),IF(BD5318="","",IF(AND(BD5318="Employee",BI5318="Female",BF5318="Dubai",BE5318=GN_Plus),VLOOKUP(BH5318,DXB_FEMALE_EMP,2,0),IF(AND(BD5318="Employee",BI5318="Female",BF5318="Dubai",BE5318=GN),VLOOKUP(BH5318,DXB_FEMALE_EMP,3,0),IF(AND(BD5318="Employee",BI5318="Female",BF5318="Dubai",BE5318=RN_Plus),VLOOKUP(BH5318,DXB_FEMALE_EMP,4,0),IF(AND(BD5318="Employee",BI5318="Female",BF5318="Dubai",BE5318=RN),VLOOKUP(BH5318,DXB_FEMALE_EMP,5,0),IF(AND(BD5318="Employee",BI5318="Female",BF5318="Dubai",BE5318=RN_2),VLOOKUP(BH5318,DXB_FEMALE_EMP,6,0),IF(AND(BD5318="Employee",BI5318="Female",BF5318="Dubai",BE5318=RN2_minus),VLOOKUP(BH5318,DXB_FEMALE_EMP,7,0),IF(AND(BD5318="Employee",BI5318="Female",BF5318="Dubai",BE5318=RN_3),VLOOKUP(BH5318,DXB_FEMALE_EMP,8,0),IF(AND(BD5318="Employee",BI5318="Female",BF5318="Dubai",BE5318=VN),VLOOKUP(BH5318,DXB_FEMALE_EMP,9,0),IF(BD5318="","",IF(AND(BD5318="Dependent",BI5318="Male",BF5318="Dubai",BE5318=GN_Plus),VLOOKUP(BH5318,DXB_MALE_DEP,2,0),IF(AND(BD5318="Dependent",BI5318="Male",BF5318="Dubai",BE5318=GN),VLOOKUP(BH5318,DXB_MALE_DEP,3,0),IF(AND(BD5318="Dependent",BI5318="Male",BF5318="Dubai",BE5318=RN_Plus),VLOOKUP(BH5318,DXB_MALE_DEP,4,0),IF(AND(BD5318="Dependent",BI5318="Male",BF5318="Dubai",BE5318=RN),VLOOKUP(BH5318,DXB_MALE_DEP,5,0),IF(AND(BD5318="Dependent",BI5318="Male",BF5318="Dubai",BE5318=RN_2),VLOOKUP(BH5318,DXB_MALE_DEP,6,0),IF(AND(BD5318="Dependent",BI5318="Male",BF5318="Dubai",BE5318=RN2_minus),VLOOKUP(BH5318,DXB_MALE_DEP,7,0),IF(AND(BD5318="Dependent",BI5318="Male",BF5318="Dubai",BE5318=RN_3),VLOOKUP(BH5318,DXB_MALE_DEP,8,0),IF(AND(BD5318="Dependent",BI5318="Male",BF5318="Dubai",BE5318=VN),VLOOKUP(BH5318,DXB_MALE_DEP,9,0),IF(BD5318="","",IF(AND(BD5318="Dependent",BI5318="Female",BF5318="Dubai",BE5318=GN_Plus),VLOOKUP(BH5318,DXB_FEMALE_DEP,2,0),IF(AND(BD5318="Dependent",BI5318="Female",BF5318="Dubai",BE5318=GN),VLOOKUP(BH5318,DXB_FEMALE_DEP,3,0),IF(AND(BD5318="Dependent",BI5318="Female",BF5318="Dubai",BE5318=RN_Plus),VLOOKUP(BH5318,DXB_FEMALE_DEP,4,0),IF(AND(BD5318="Dependent",BI5318="Female",BF5318="Dubai",BE5318=RN),VLOOKUP(BH5318,DXB_FEMALE_DEP,5,0),IF(AND(BD5318="Dependent",BI5318="Female",BF5318="Dubai",BE5318=RN_2),VLOOKUP(BH5318,DXB_FEMALE_DEP,6,0),IF(AND(BD5318="Dependent",BI5318="Female",BF5318="Dubai",BE5318=RN2_minus),VLOOKUP(BH5318,DXB_FEMALE_DEP,7,0),IF(AND(BD5318="Dependent",BI5318="Female",BF5318="Dubai",BE5318=RN_3),VLOOKUP(BH5318,DXB_FEMALE_DEP,8,0),IF(AND(BD5318="Dependent",BI5318="Female",BF5318="Dubai",BE5318=VN),VLOOKUP(BH5318,DXB_FEMALE_DEP,9,0),"ABC"))))))))))))))))))))))))))))))))))))</f>
        <v/>
      </c>
    </row>
    <row r="5319" spans="1:64" x14ac:dyDescent="0.25">
      <c r="A5319" s="762">
        <f t="shared" ref="A5319:A5331" si="1856">+A5318+1</f>
        <v>5314</v>
      </c>
      <c r="B5319" s="229"/>
      <c r="C5319" s="223"/>
      <c r="D5319" s="224"/>
      <c r="E5319" s="225"/>
      <c r="F5319" s="1036" t="str">
        <f t="shared" si="1840"/>
        <v/>
      </c>
      <c r="G5319" s="1037" t="str">
        <f t="shared" ref="G5319:G5331" si="1857">IF(D5319="","",MAX(0,ROUNDUP(F5319,0)))</f>
        <v/>
      </c>
      <c r="H5319" s="225"/>
      <c r="I5319" s="1013"/>
      <c r="J5319" s="1013"/>
      <c r="K5319" s="1028"/>
      <c r="L5319" s="1035" t="str">
        <f t="shared" si="1839"/>
        <v/>
      </c>
      <c r="S5319" s="498"/>
      <c r="AJ5319" s="498"/>
      <c r="AM5319" s="498">
        <f t="shared" si="1842"/>
        <v>0</v>
      </c>
      <c r="AN5319" s="498">
        <f t="shared" si="1843"/>
        <v>0</v>
      </c>
      <c r="AO5319" s="498">
        <f t="shared" si="1844"/>
        <v>0</v>
      </c>
      <c r="AP5319" s="498">
        <f t="shared" si="1841"/>
        <v>0</v>
      </c>
      <c r="AQ5319" s="498">
        <f t="shared" ref="AQ5319:AQ5331" si="1858">IF(ISBLANK($B5319),0,IF(OR($H5319="Single",$H5319="Married"),0,1))</f>
        <v>0</v>
      </c>
      <c r="AU5319" s="498">
        <f t="shared" si="1845"/>
        <v>0</v>
      </c>
      <c r="AV5319" s="498">
        <f t="shared" si="1846"/>
        <v>0</v>
      </c>
      <c r="AW5319" s="498">
        <f t="shared" si="1847"/>
        <v>0</v>
      </c>
      <c r="AX5319" s="498">
        <f t="shared" si="1848"/>
        <v>0</v>
      </c>
      <c r="AY5319" s="498">
        <f t="shared" si="1849"/>
        <v>0</v>
      </c>
      <c r="BB5319" s="498" t="str">
        <f t="shared" si="1850"/>
        <v/>
      </c>
      <c r="BC5319" s="743" t="str">
        <f t="shared" si="1851"/>
        <v/>
      </c>
      <c r="BD5319" s="743" t="str">
        <f t="shared" si="1852"/>
        <v/>
      </c>
      <c r="BE5319" s="743" t="str">
        <f>IF(D5319="","",VLOOKUP(D5319,'General Basis'!$J$39:$K$46,2,0))</f>
        <v/>
      </c>
      <c r="BF5319" s="744" t="str">
        <f>IF(D5319="","",VLOOKUP(D5319,'General Basis'!$J$39:$L$46,3,0))</f>
        <v/>
      </c>
      <c r="BG5319" s="744" t="str">
        <f t="shared" ref="BG5319:BG5331" si="1859">BC5319&amp;BI5319</f>
        <v/>
      </c>
      <c r="BH5319" s="744" t="str">
        <f>IF(G5319="","",IF(BF5319="Abu Dhabi",IF(G5319&lt;18,'General Basis'!$C$39,IF(G5319&lt;41,'General Basis'!$C$40,IF(G5319&lt;60,'General Basis'!$C$41,IF(G5319&lt;65,'General Basis'!$C$42,'General Basis'!$C$43)))),IF(G5319&lt;11,'General Basis'!$B$39,IF(G5319&lt;18,'General Basis'!$B$40,IF(G5319&lt;26,'General Basis'!$B$41,IF(G5319&lt;31,'General Basis'!$B$42,IF(G5319&lt;36,'General Basis'!$B$43,IF(G5319&lt;41,'General Basis'!$B$44,IF(G5319&lt;46,'General Basis'!$B$45,IF(G5319&lt;51,'General Basis'!$B$46,IF(G5319&lt;56,'General Basis'!$B$47,IF(G5319&lt;60,'General Basis'!$B$48,IF(G5319&lt;65,'General Basis'!$B$49,'General Basis'!$B$50)))))))))))))</f>
        <v/>
      </c>
      <c r="BI5319" s="744" t="str">
        <f t="shared" si="1853"/>
        <v/>
      </c>
      <c r="BJ5319" s="747" t="str">
        <f t="shared" ref="BJ5319:BJ5331" si="1860">IF(BD5319="","",IF(BF5319="Abu Dhabi",BK5319,BL5319))</f>
        <v/>
      </c>
      <c r="BK5319" s="498" t="str">
        <f t="shared" si="1854"/>
        <v/>
      </c>
      <c r="BL5319" s="498" t="str">
        <f t="shared" si="1855"/>
        <v/>
      </c>
    </row>
    <row r="5320" spans="1:64" x14ac:dyDescent="0.25">
      <c r="A5320" s="762">
        <f t="shared" si="1856"/>
        <v>5315</v>
      </c>
      <c r="B5320" s="229"/>
      <c r="C5320" s="223"/>
      <c r="D5320" s="224"/>
      <c r="E5320" s="225"/>
      <c r="F5320" s="1036" t="str">
        <f t="shared" si="1840"/>
        <v/>
      </c>
      <c r="G5320" s="1037" t="str">
        <f t="shared" si="1857"/>
        <v/>
      </c>
      <c r="H5320" s="225"/>
      <c r="I5320" s="1013"/>
      <c r="J5320" s="1013"/>
      <c r="K5320" s="1028"/>
      <c r="L5320" s="1035" t="str">
        <f t="shared" ref="L5320:L5331" si="1861">IF(AND(E5320="Child",H5320="Married"),"Check the Marital Status of the Child. ",IF(AND(E5320="Child",F5320&gt;18),"Child Age exceed 18 years. ",IF(AND(E5320="Spouse",H5320="Single"),"Spouse is selected as Single. ","")))&amp;IF(K5320&gt;0,"UW Loading has been Applied","")</f>
        <v/>
      </c>
      <c r="S5320" s="498"/>
      <c r="AJ5320" s="498"/>
      <c r="AM5320" s="498">
        <f t="shared" si="1842"/>
        <v>0</v>
      </c>
      <c r="AN5320" s="498">
        <f t="shared" si="1843"/>
        <v>0</v>
      </c>
      <c r="AO5320" s="498">
        <f t="shared" si="1844"/>
        <v>0</v>
      </c>
      <c r="AP5320" s="498">
        <f t="shared" si="1841"/>
        <v>0</v>
      </c>
      <c r="AQ5320" s="498">
        <f t="shared" si="1858"/>
        <v>0</v>
      </c>
      <c r="AU5320" s="498">
        <f t="shared" si="1845"/>
        <v>0</v>
      </c>
      <c r="AV5320" s="498">
        <f t="shared" si="1846"/>
        <v>0</v>
      </c>
      <c r="AW5320" s="498">
        <f t="shared" si="1847"/>
        <v>0</v>
      </c>
      <c r="AX5320" s="498">
        <f t="shared" si="1848"/>
        <v>0</v>
      </c>
      <c r="AY5320" s="498">
        <f t="shared" si="1849"/>
        <v>0</v>
      </c>
      <c r="BB5320" s="498" t="str">
        <f t="shared" si="1850"/>
        <v/>
      </c>
      <c r="BC5320" s="743" t="str">
        <f t="shared" si="1851"/>
        <v/>
      </c>
      <c r="BD5320" s="743" t="str">
        <f t="shared" si="1852"/>
        <v/>
      </c>
      <c r="BE5320" s="743" t="str">
        <f>IF(D5320="","",VLOOKUP(D5320,'General Basis'!$J$39:$K$46,2,0))</f>
        <v/>
      </c>
      <c r="BF5320" s="744" t="str">
        <f>IF(D5320="","",VLOOKUP(D5320,'General Basis'!$J$39:$L$46,3,0))</f>
        <v/>
      </c>
      <c r="BG5320" s="744" t="str">
        <f t="shared" si="1859"/>
        <v/>
      </c>
      <c r="BH5320" s="744" t="str">
        <f>IF(G5320="","",IF(BF5320="Abu Dhabi",IF(G5320&lt;18,'General Basis'!$C$39,IF(G5320&lt;41,'General Basis'!$C$40,IF(G5320&lt;60,'General Basis'!$C$41,IF(G5320&lt;65,'General Basis'!$C$42,'General Basis'!$C$43)))),IF(G5320&lt;11,'General Basis'!$B$39,IF(G5320&lt;18,'General Basis'!$B$40,IF(G5320&lt;26,'General Basis'!$B$41,IF(G5320&lt;31,'General Basis'!$B$42,IF(G5320&lt;36,'General Basis'!$B$43,IF(G5320&lt;41,'General Basis'!$B$44,IF(G5320&lt;46,'General Basis'!$B$45,IF(G5320&lt;51,'General Basis'!$B$46,IF(G5320&lt;56,'General Basis'!$B$47,IF(G5320&lt;60,'General Basis'!$B$48,IF(G5320&lt;65,'General Basis'!$B$49,'General Basis'!$B$50)))))))))))))</f>
        <v/>
      </c>
      <c r="BI5320" s="744" t="str">
        <f t="shared" si="1853"/>
        <v/>
      </c>
      <c r="BJ5320" s="747" t="str">
        <f t="shared" si="1860"/>
        <v/>
      </c>
      <c r="BK5320" s="498" t="str">
        <f t="shared" si="1854"/>
        <v/>
      </c>
      <c r="BL5320" s="498" t="str">
        <f t="shared" si="1855"/>
        <v/>
      </c>
    </row>
    <row r="5321" spans="1:64" x14ac:dyDescent="0.25">
      <c r="A5321" s="762">
        <f t="shared" si="1856"/>
        <v>5316</v>
      </c>
      <c r="B5321" s="229"/>
      <c r="C5321" s="223"/>
      <c r="D5321" s="224"/>
      <c r="E5321" s="225"/>
      <c r="F5321" s="1036" t="str">
        <f t="shared" si="1840"/>
        <v/>
      </c>
      <c r="G5321" s="1037" t="str">
        <f t="shared" si="1857"/>
        <v/>
      </c>
      <c r="H5321" s="225"/>
      <c r="I5321" s="1013"/>
      <c r="J5321" s="1013"/>
      <c r="K5321" s="1028"/>
      <c r="L5321" s="1035" t="str">
        <f t="shared" si="1861"/>
        <v/>
      </c>
      <c r="S5321" s="498"/>
      <c r="AJ5321" s="498"/>
      <c r="AM5321" s="498">
        <f t="shared" si="1842"/>
        <v>0</v>
      </c>
      <c r="AN5321" s="498">
        <f t="shared" si="1843"/>
        <v>0</v>
      </c>
      <c r="AO5321" s="498">
        <f t="shared" si="1844"/>
        <v>0</v>
      </c>
      <c r="AP5321" s="498">
        <f t="shared" si="1841"/>
        <v>0</v>
      </c>
      <c r="AQ5321" s="498">
        <f t="shared" si="1858"/>
        <v>0</v>
      </c>
      <c r="AU5321" s="498">
        <f t="shared" si="1845"/>
        <v>0</v>
      </c>
      <c r="AV5321" s="498">
        <f t="shared" si="1846"/>
        <v>0</v>
      </c>
      <c r="AW5321" s="498">
        <f t="shared" si="1847"/>
        <v>0</v>
      </c>
      <c r="AX5321" s="498">
        <f t="shared" si="1848"/>
        <v>0</v>
      </c>
      <c r="AY5321" s="498">
        <f t="shared" si="1849"/>
        <v>0</v>
      </c>
      <c r="BB5321" s="498" t="str">
        <f t="shared" si="1850"/>
        <v/>
      </c>
      <c r="BC5321" s="743" t="str">
        <f t="shared" si="1851"/>
        <v/>
      </c>
      <c r="BD5321" s="743" t="str">
        <f t="shared" si="1852"/>
        <v/>
      </c>
      <c r="BE5321" s="743" t="str">
        <f>IF(D5321="","",VLOOKUP(D5321,'General Basis'!$J$39:$K$46,2,0))</f>
        <v/>
      </c>
      <c r="BF5321" s="744" t="str">
        <f>IF(D5321="","",VLOOKUP(D5321,'General Basis'!$J$39:$L$46,3,0))</f>
        <v/>
      </c>
      <c r="BG5321" s="744" t="str">
        <f t="shared" si="1859"/>
        <v/>
      </c>
      <c r="BH5321" s="744" t="str">
        <f>IF(G5321="","",IF(BF5321="Abu Dhabi",IF(G5321&lt;18,'General Basis'!$C$39,IF(G5321&lt;41,'General Basis'!$C$40,IF(G5321&lt;60,'General Basis'!$C$41,IF(G5321&lt;65,'General Basis'!$C$42,'General Basis'!$C$43)))),IF(G5321&lt;11,'General Basis'!$B$39,IF(G5321&lt;18,'General Basis'!$B$40,IF(G5321&lt;26,'General Basis'!$B$41,IF(G5321&lt;31,'General Basis'!$B$42,IF(G5321&lt;36,'General Basis'!$B$43,IF(G5321&lt;41,'General Basis'!$B$44,IF(G5321&lt;46,'General Basis'!$B$45,IF(G5321&lt;51,'General Basis'!$B$46,IF(G5321&lt;56,'General Basis'!$B$47,IF(G5321&lt;60,'General Basis'!$B$48,IF(G5321&lt;65,'General Basis'!$B$49,'General Basis'!$B$50)))))))))))))</f>
        <v/>
      </c>
      <c r="BI5321" s="744" t="str">
        <f t="shared" si="1853"/>
        <v/>
      </c>
      <c r="BJ5321" s="747" t="str">
        <f t="shared" si="1860"/>
        <v/>
      </c>
      <c r="BK5321" s="498" t="str">
        <f t="shared" si="1854"/>
        <v/>
      </c>
      <c r="BL5321" s="498" t="str">
        <f t="shared" si="1855"/>
        <v/>
      </c>
    </row>
    <row r="5322" spans="1:64" x14ac:dyDescent="0.25">
      <c r="A5322" s="762">
        <f t="shared" si="1856"/>
        <v>5317</v>
      </c>
      <c r="B5322" s="229"/>
      <c r="C5322" s="223"/>
      <c r="D5322" s="224"/>
      <c r="E5322" s="225"/>
      <c r="F5322" s="1036" t="str">
        <f t="shared" si="1840"/>
        <v/>
      </c>
      <c r="G5322" s="1037" t="str">
        <f t="shared" si="1857"/>
        <v/>
      </c>
      <c r="H5322" s="225"/>
      <c r="I5322" s="1013"/>
      <c r="J5322" s="1013"/>
      <c r="K5322" s="1028"/>
      <c r="L5322" s="1035" t="str">
        <f t="shared" si="1861"/>
        <v/>
      </c>
      <c r="S5322" s="498"/>
      <c r="AJ5322" s="498"/>
      <c r="AM5322" s="498">
        <f t="shared" si="1842"/>
        <v>0</v>
      </c>
      <c r="AN5322" s="498">
        <f t="shared" si="1843"/>
        <v>0</v>
      </c>
      <c r="AO5322" s="498">
        <f t="shared" si="1844"/>
        <v>0</v>
      </c>
      <c r="AP5322" s="498">
        <f t="shared" si="1841"/>
        <v>0</v>
      </c>
      <c r="AQ5322" s="498">
        <f t="shared" si="1858"/>
        <v>0</v>
      </c>
      <c r="AU5322" s="498">
        <f t="shared" si="1845"/>
        <v>0</v>
      </c>
      <c r="AV5322" s="498">
        <f t="shared" si="1846"/>
        <v>0</v>
      </c>
      <c r="AW5322" s="498">
        <f t="shared" si="1847"/>
        <v>0</v>
      </c>
      <c r="AX5322" s="498">
        <f t="shared" si="1848"/>
        <v>0</v>
      </c>
      <c r="AY5322" s="498">
        <f t="shared" si="1849"/>
        <v>0</v>
      </c>
      <c r="BB5322" s="498" t="str">
        <f t="shared" si="1850"/>
        <v/>
      </c>
      <c r="BC5322" s="743" t="str">
        <f t="shared" si="1851"/>
        <v/>
      </c>
      <c r="BD5322" s="743" t="str">
        <f t="shared" si="1852"/>
        <v/>
      </c>
      <c r="BE5322" s="743" t="str">
        <f>IF(D5322="","",VLOOKUP(D5322,'General Basis'!$J$39:$K$46,2,0))</f>
        <v/>
      </c>
      <c r="BF5322" s="744" t="str">
        <f>IF(D5322="","",VLOOKUP(D5322,'General Basis'!$J$39:$L$46,3,0))</f>
        <v/>
      </c>
      <c r="BG5322" s="744" t="str">
        <f t="shared" si="1859"/>
        <v/>
      </c>
      <c r="BH5322" s="744" t="str">
        <f>IF(G5322="","",IF(BF5322="Abu Dhabi",IF(G5322&lt;18,'General Basis'!$C$39,IF(G5322&lt;41,'General Basis'!$C$40,IF(G5322&lt;60,'General Basis'!$C$41,IF(G5322&lt;65,'General Basis'!$C$42,'General Basis'!$C$43)))),IF(G5322&lt;11,'General Basis'!$B$39,IF(G5322&lt;18,'General Basis'!$B$40,IF(G5322&lt;26,'General Basis'!$B$41,IF(G5322&lt;31,'General Basis'!$B$42,IF(G5322&lt;36,'General Basis'!$B$43,IF(G5322&lt;41,'General Basis'!$B$44,IF(G5322&lt;46,'General Basis'!$B$45,IF(G5322&lt;51,'General Basis'!$B$46,IF(G5322&lt;56,'General Basis'!$B$47,IF(G5322&lt;60,'General Basis'!$B$48,IF(G5322&lt;65,'General Basis'!$B$49,'General Basis'!$B$50)))))))))))))</f>
        <v/>
      </c>
      <c r="BI5322" s="744" t="str">
        <f t="shared" si="1853"/>
        <v/>
      </c>
      <c r="BJ5322" s="747" t="str">
        <f t="shared" si="1860"/>
        <v/>
      </c>
      <c r="BK5322" s="498" t="str">
        <f t="shared" si="1854"/>
        <v/>
      </c>
      <c r="BL5322" s="498" t="str">
        <f t="shared" si="1855"/>
        <v/>
      </c>
    </row>
    <row r="5323" spans="1:64" x14ac:dyDescent="0.25">
      <c r="A5323" s="762">
        <f t="shared" si="1856"/>
        <v>5318</v>
      </c>
      <c r="B5323" s="229"/>
      <c r="C5323" s="223"/>
      <c r="D5323" s="224"/>
      <c r="E5323" s="225"/>
      <c r="F5323" s="1036" t="str">
        <f t="shared" si="1840"/>
        <v/>
      </c>
      <c r="G5323" s="1037" t="str">
        <f t="shared" si="1857"/>
        <v/>
      </c>
      <c r="H5323" s="225"/>
      <c r="I5323" s="1013"/>
      <c r="J5323" s="1013"/>
      <c r="K5323" s="1028"/>
      <c r="L5323" s="1035" t="str">
        <f t="shared" si="1861"/>
        <v/>
      </c>
      <c r="S5323" s="498"/>
      <c r="AJ5323" s="498"/>
      <c r="AM5323" s="498">
        <f t="shared" si="1842"/>
        <v>0</v>
      </c>
      <c r="AN5323" s="498">
        <f t="shared" si="1843"/>
        <v>0</v>
      </c>
      <c r="AO5323" s="498">
        <f t="shared" si="1844"/>
        <v>0</v>
      </c>
      <c r="AP5323" s="498">
        <f t="shared" si="1841"/>
        <v>0</v>
      </c>
      <c r="AQ5323" s="498">
        <f t="shared" si="1858"/>
        <v>0</v>
      </c>
      <c r="AU5323" s="498">
        <f t="shared" si="1845"/>
        <v>0</v>
      </c>
      <c r="AV5323" s="498">
        <f t="shared" si="1846"/>
        <v>0</v>
      </c>
      <c r="AW5323" s="498">
        <f t="shared" si="1847"/>
        <v>0</v>
      </c>
      <c r="AX5323" s="498">
        <f t="shared" si="1848"/>
        <v>0</v>
      </c>
      <c r="AY5323" s="498">
        <f t="shared" si="1849"/>
        <v>0</v>
      </c>
      <c r="BB5323" s="498" t="str">
        <f t="shared" si="1850"/>
        <v/>
      </c>
      <c r="BC5323" s="743" t="str">
        <f t="shared" si="1851"/>
        <v/>
      </c>
      <c r="BD5323" s="743" t="str">
        <f t="shared" si="1852"/>
        <v/>
      </c>
      <c r="BE5323" s="743" t="str">
        <f>IF(D5323="","",VLOOKUP(D5323,'General Basis'!$J$39:$K$46,2,0))</f>
        <v/>
      </c>
      <c r="BF5323" s="744" t="str">
        <f>IF(D5323="","",VLOOKUP(D5323,'General Basis'!$J$39:$L$46,3,0))</f>
        <v/>
      </c>
      <c r="BG5323" s="744" t="str">
        <f t="shared" si="1859"/>
        <v/>
      </c>
      <c r="BH5323" s="744" t="str">
        <f>IF(G5323="","",IF(BF5323="Abu Dhabi",IF(G5323&lt;18,'General Basis'!$C$39,IF(G5323&lt;41,'General Basis'!$C$40,IF(G5323&lt;60,'General Basis'!$C$41,IF(G5323&lt;65,'General Basis'!$C$42,'General Basis'!$C$43)))),IF(G5323&lt;11,'General Basis'!$B$39,IF(G5323&lt;18,'General Basis'!$B$40,IF(G5323&lt;26,'General Basis'!$B$41,IF(G5323&lt;31,'General Basis'!$B$42,IF(G5323&lt;36,'General Basis'!$B$43,IF(G5323&lt;41,'General Basis'!$B$44,IF(G5323&lt;46,'General Basis'!$B$45,IF(G5323&lt;51,'General Basis'!$B$46,IF(G5323&lt;56,'General Basis'!$B$47,IF(G5323&lt;60,'General Basis'!$B$48,IF(G5323&lt;65,'General Basis'!$B$49,'General Basis'!$B$50)))))))))))))</f>
        <v/>
      </c>
      <c r="BI5323" s="744" t="str">
        <f t="shared" si="1853"/>
        <v/>
      </c>
      <c r="BJ5323" s="747" t="str">
        <f t="shared" si="1860"/>
        <v/>
      </c>
      <c r="BK5323" s="498" t="str">
        <f t="shared" si="1854"/>
        <v/>
      </c>
      <c r="BL5323" s="498" t="str">
        <f t="shared" si="1855"/>
        <v/>
      </c>
    </row>
    <row r="5324" spans="1:64" x14ac:dyDescent="0.25">
      <c r="A5324" s="762">
        <f t="shared" si="1856"/>
        <v>5319</v>
      </c>
      <c r="B5324" s="229"/>
      <c r="C5324" s="223"/>
      <c r="D5324" s="224"/>
      <c r="E5324" s="225"/>
      <c r="F5324" s="1036" t="str">
        <f t="shared" si="1840"/>
        <v/>
      </c>
      <c r="G5324" s="1037" t="str">
        <f t="shared" si="1857"/>
        <v/>
      </c>
      <c r="H5324" s="225"/>
      <c r="I5324" s="1013"/>
      <c r="J5324" s="1013"/>
      <c r="K5324" s="1028"/>
      <c r="L5324" s="1035" t="str">
        <f t="shared" si="1861"/>
        <v/>
      </c>
      <c r="S5324" s="498"/>
      <c r="AJ5324" s="498"/>
      <c r="AM5324" s="498">
        <f t="shared" si="1842"/>
        <v>0</v>
      </c>
      <c r="AN5324" s="498">
        <f t="shared" si="1843"/>
        <v>0</v>
      </c>
      <c r="AO5324" s="498">
        <f t="shared" si="1844"/>
        <v>0</v>
      </c>
      <c r="AP5324" s="498">
        <f t="shared" si="1841"/>
        <v>0</v>
      </c>
      <c r="AQ5324" s="498">
        <f t="shared" si="1858"/>
        <v>0</v>
      </c>
      <c r="AU5324" s="498">
        <f t="shared" si="1845"/>
        <v>0</v>
      </c>
      <c r="AV5324" s="498">
        <f t="shared" si="1846"/>
        <v>0</v>
      </c>
      <c r="AW5324" s="498">
        <f t="shared" si="1847"/>
        <v>0</v>
      </c>
      <c r="AX5324" s="498">
        <f t="shared" si="1848"/>
        <v>0</v>
      </c>
      <c r="AY5324" s="498">
        <f t="shared" si="1849"/>
        <v>0</v>
      </c>
      <c r="BB5324" s="498" t="str">
        <f t="shared" si="1850"/>
        <v/>
      </c>
      <c r="BC5324" s="743" t="str">
        <f t="shared" si="1851"/>
        <v/>
      </c>
      <c r="BD5324" s="743" t="str">
        <f t="shared" si="1852"/>
        <v/>
      </c>
      <c r="BE5324" s="743" t="str">
        <f>IF(D5324="","",VLOOKUP(D5324,'General Basis'!$J$39:$K$46,2,0))</f>
        <v/>
      </c>
      <c r="BF5324" s="744" t="str">
        <f>IF(D5324="","",VLOOKUP(D5324,'General Basis'!$J$39:$L$46,3,0))</f>
        <v/>
      </c>
      <c r="BG5324" s="744" t="str">
        <f t="shared" si="1859"/>
        <v/>
      </c>
      <c r="BH5324" s="744" t="str">
        <f>IF(G5324="","",IF(BF5324="Abu Dhabi",IF(G5324&lt;18,'General Basis'!$C$39,IF(G5324&lt;41,'General Basis'!$C$40,IF(G5324&lt;60,'General Basis'!$C$41,IF(G5324&lt;65,'General Basis'!$C$42,'General Basis'!$C$43)))),IF(G5324&lt;11,'General Basis'!$B$39,IF(G5324&lt;18,'General Basis'!$B$40,IF(G5324&lt;26,'General Basis'!$B$41,IF(G5324&lt;31,'General Basis'!$B$42,IF(G5324&lt;36,'General Basis'!$B$43,IF(G5324&lt;41,'General Basis'!$B$44,IF(G5324&lt;46,'General Basis'!$B$45,IF(G5324&lt;51,'General Basis'!$B$46,IF(G5324&lt;56,'General Basis'!$B$47,IF(G5324&lt;60,'General Basis'!$B$48,IF(G5324&lt;65,'General Basis'!$B$49,'General Basis'!$B$50)))))))))))))</f>
        <v/>
      </c>
      <c r="BI5324" s="744" t="str">
        <f t="shared" si="1853"/>
        <v/>
      </c>
      <c r="BJ5324" s="747" t="str">
        <f t="shared" si="1860"/>
        <v/>
      </c>
      <c r="BK5324" s="498" t="str">
        <f t="shared" si="1854"/>
        <v/>
      </c>
      <c r="BL5324" s="498" t="str">
        <f t="shared" si="1855"/>
        <v/>
      </c>
    </row>
    <row r="5325" spans="1:64" x14ac:dyDescent="0.25">
      <c r="A5325" s="762">
        <f t="shared" si="1856"/>
        <v>5320</v>
      </c>
      <c r="B5325" s="229"/>
      <c r="C5325" s="223"/>
      <c r="D5325" s="224"/>
      <c r="E5325" s="225"/>
      <c r="F5325" s="1036" t="str">
        <f t="shared" si="1840"/>
        <v/>
      </c>
      <c r="G5325" s="1037" t="str">
        <f t="shared" si="1857"/>
        <v/>
      </c>
      <c r="H5325" s="225"/>
      <c r="I5325" s="1013"/>
      <c r="J5325" s="1013"/>
      <c r="K5325" s="1028"/>
      <c r="L5325" s="1035" t="str">
        <f t="shared" si="1861"/>
        <v/>
      </c>
      <c r="S5325" s="498"/>
      <c r="AJ5325" s="498"/>
      <c r="AM5325" s="498">
        <f t="shared" si="1842"/>
        <v>0</v>
      </c>
      <c r="AN5325" s="498">
        <f t="shared" si="1843"/>
        <v>0</v>
      </c>
      <c r="AO5325" s="498">
        <f t="shared" si="1844"/>
        <v>0</v>
      </c>
      <c r="AP5325" s="498">
        <f t="shared" si="1841"/>
        <v>0</v>
      </c>
      <c r="AQ5325" s="498">
        <f t="shared" si="1858"/>
        <v>0</v>
      </c>
      <c r="AU5325" s="498">
        <f t="shared" si="1845"/>
        <v>0</v>
      </c>
      <c r="AV5325" s="498">
        <f t="shared" si="1846"/>
        <v>0</v>
      </c>
      <c r="AW5325" s="498">
        <f t="shared" si="1847"/>
        <v>0</v>
      </c>
      <c r="AX5325" s="498">
        <f t="shared" si="1848"/>
        <v>0</v>
      </c>
      <c r="AY5325" s="498">
        <f t="shared" si="1849"/>
        <v>0</v>
      </c>
      <c r="BB5325" s="498" t="str">
        <f t="shared" si="1850"/>
        <v/>
      </c>
      <c r="BC5325" s="743" t="str">
        <f t="shared" si="1851"/>
        <v/>
      </c>
      <c r="BD5325" s="743" t="str">
        <f t="shared" si="1852"/>
        <v/>
      </c>
      <c r="BE5325" s="743" t="str">
        <f>IF(D5325="","",VLOOKUP(D5325,'General Basis'!$J$39:$K$46,2,0))</f>
        <v/>
      </c>
      <c r="BF5325" s="744" t="str">
        <f>IF(D5325="","",VLOOKUP(D5325,'General Basis'!$J$39:$L$46,3,0))</f>
        <v/>
      </c>
      <c r="BG5325" s="744" t="str">
        <f t="shared" si="1859"/>
        <v/>
      </c>
      <c r="BH5325" s="744" t="str">
        <f>IF(G5325="","",IF(BF5325="Abu Dhabi",IF(G5325&lt;18,'General Basis'!$C$39,IF(G5325&lt;41,'General Basis'!$C$40,IF(G5325&lt;60,'General Basis'!$C$41,IF(G5325&lt;65,'General Basis'!$C$42,'General Basis'!$C$43)))),IF(G5325&lt;11,'General Basis'!$B$39,IF(G5325&lt;18,'General Basis'!$B$40,IF(G5325&lt;26,'General Basis'!$B$41,IF(G5325&lt;31,'General Basis'!$B$42,IF(G5325&lt;36,'General Basis'!$B$43,IF(G5325&lt;41,'General Basis'!$B$44,IF(G5325&lt;46,'General Basis'!$B$45,IF(G5325&lt;51,'General Basis'!$B$46,IF(G5325&lt;56,'General Basis'!$B$47,IF(G5325&lt;60,'General Basis'!$B$48,IF(G5325&lt;65,'General Basis'!$B$49,'General Basis'!$B$50)))))))))))))</f>
        <v/>
      </c>
      <c r="BI5325" s="744" t="str">
        <f t="shared" si="1853"/>
        <v/>
      </c>
      <c r="BJ5325" s="747" t="str">
        <f t="shared" si="1860"/>
        <v/>
      </c>
      <c r="BK5325" s="498" t="str">
        <f t="shared" si="1854"/>
        <v/>
      </c>
      <c r="BL5325" s="498" t="str">
        <f t="shared" si="1855"/>
        <v/>
      </c>
    </row>
    <row r="5326" spans="1:64" x14ac:dyDescent="0.25">
      <c r="A5326" s="762">
        <f t="shared" si="1856"/>
        <v>5321</v>
      </c>
      <c r="B5326" s="229"/>
      <c r="C5326" s="223"/>
      <c r="D5326" s="224"/>
      <c r="E5326" s="225"/>
      <c r="F5326" s="1036" t="str">
        <f t="shared" si="1840"/>
        <v/>
      </c>
      <c r="G5326" s="1037" t="str">
        <f t="shared" si="1857"/>
        <v/>
      </c>
      <c r="H5326" s="225"/>
      <c r="I5326" s="1013"/>
      <c r="J5326" s="1013"/>
      <c r="K5326" s="1028"/>
      <c r="L5326" s="1035" t="str">
        <f t="shared" si="1861"/>
        <v/>
      </c>
      <c r="S5326" s="498"/>
      <c r="AJ5326" s="498"/>
      <c r="AM5326" s="498">
        <f t="shared" si="1842"/>
        <v>0</v>
      </c>
      <c r="AN5326" s="498">
        <f t="shared" si="1843"/>
        <v>0</v>
      </c>
      <c r="AO5326" s="498">
        <f t="shared" si="1844"/>
        <v>0</v>
      </c>
      <c r="AP5326" s="498">
        <f t="shared" si="1841"/>
        <v>0</v>
      </c>
      <c r="AQ5326" s="498">
        <f t="shared" si="1858"/>
        <v>0</v>
      </c>
      <c r="AU5326" s="498">
        <f t="shared" si="1845"/>
        <v>0</v>
      </c>
      <c r="AV5326" s="498">
        <f t="shared" si="1846"/>
        <v>0</v>
      </c>
      <c r="AW5326" s="498">
        <f t="shared" si="1847"/>
        <v>0</v>
      </c>
      <c r="AX5326" s="498">
        <f t="shared" si="1848"/>
        <v>0</v>
      </c>
      <c r="AY5326" s="498">
        <f t="shared" si="1849"/>
        <v>0</v>
      </c>
      <c r="BB5326" s="498" t="str">
        <f t="shared" si="1850"/>
        <v/>
      </c>
      <c r="BC5326" s="743" t="str">
        <f t="shared" si="1851"/>
        <v/>
      </c>
      <c r="BD5326" s="743" t="str">
        <f t="shared" si="1852"/>
        <v/>
      </c>
      <c r="BE5326" s="743" t="str">
        <f>IF(D5326="","",VLOOKUP(D5326,'General Basis'!$J$39:$K$46,2,0))</f>
        <v/>
      </c>
      <c r="BF5326" s="744" t="str">
        <f>IF(D5326="","",VLOOKUP(D5326,'General Basis'!$J$39:$L$46,3,0))</f>
        <v/>
      </c>
      <c r="BG5326" s="744" t="str">
        <f t="shared" si="1859"/>
        <v/>
      </c>
      <c r="BH5326" s="744" t="str">
        <f>IF(G5326="","",IF(BF5326="Abu Dhabi",IF(G5326&lt;18,'General Basis'!$C$39,IF(G5326&lt;41,'General Basis'!$C$40,IF(G5326&lt;60,'General Basis'!$C$41,IF(G5326&lt;65,'General Basis'!$C$42,'General Basis'!$C$43)))),IF(G5326&lt;11,'General Basis'!$B$39,IF(G5326&lt;18,'General Basis'!$B$40,IF(G5326&lt;26,'General Basis'!$B$41,IF(G5326&lt;31,'General Basis'!$B$42,IF(G5326&lt;36,'General Basis'!$B$43,IF(G5326&lt;41,'General Basis'!$B$44,IF(G5326&lt;46,'General Basis'!$B$45,IF(G5326&lt;51,'General Basis'!$B$46,IF(G5326&lt;56,'General Basis'!$B$47,IF(G5326&lt;60,'General Basis'!$B$48,IF(G5326&lt;65,'General Basis'!$B$49,'General Basis'!$B$50)))))))))))))</f>
        <v/>
      </c>
      <c r="BI5326" s="744" t="str">
        <f t="shared" si="1853"/>
        <v/>
      </c>
      <c r="BJ5326" s="747" t="str">
        <f t="shared" si="1860"/>
        <v/>
      </c>
      <c r="BK5326" s="498" t="str">
        <f t="shared" si="1854"/>
        <v/>
      </c>
      <c r="BL5326" s="498" t="str">
        <f t="shared" si="1855"/>
        <v/>
      </c>
    </row>
    <row r="5327" spans="1:64" x14ac:dyDescent="0.25">
      <c r="A5327" s="762">
        <f t="shared" si="1856"/>
        <v>5322</v>
      </c>
      <c r="B5327" s="229"/>
      <c r="C5327" s="223"/>
      <c r="D5327" s="224"/>
      <c r="E5327" s="225"/>
      <c r="F5327" s="1036" t="str">
        <f t="shared" si="1840"/>
        <v/>
      </c>
      <c r="G5327" s="1037" t="str">
        <f t="shared" si="1857"/>
        <v/>
      </c>
      <c r="H5327" s="225"/>
      <c r="I5327" s="1013"/>
      <c r="J5327" s="1013"/>
      <c r="K5327" s="1028"/>
      <c r="L5327" s="1035" t="str">
        <f t="shared" si="1861"/>
        <v/>
      </c>
      <c r="S5327" s="498"/>
      <c r="AJ5327" s="498"/>
      <c r="AM5327" s="498">
        <f t="shared" si="1842"/>
        <v>0</v>
      </c>
      <c r="AN5327" s="498">
        <f t="shared" si="1843"/>
        <v>0</v>
      </c>
      <c r="AO5327" s="498">
        <f t="shared" si="1844"/>
        <v>0</v>
      </c>
      <c r="AP5327" s="498">
        <f t="shared" si="1841"/>
        <v>0</v>
      </c>
      <c r="AQ5327" s="498">
        <f t="shared" si="1858"/>
        <v>0</v>
      </c>
      <c r="AU5327" s="498">
        <f t="shared" si="1845"/>
        <v>0</v>
      </c>
      <c r="AV5327" s="498">
        <f t="shared" si="1846"/>
        <v>0</v>
      </c>
      <c r="AW5327" s="498">
        <f t="shared" si="1847"/>
        <v>0</v>
      </c>
      <c r="AX5327" s="498">
        <f t="shared" si="1848"/>
        <v>0</v>
      </c>
      <c r="AY5327" s="498">
        <f t="shared" si="1849"/>
        <v>0</v>
      </c>
      <c r="BB5327" s="498" t="str">
        <f t="shared" si="1850"/>
        <v/>
      </c>
      <c r="BC5327" s="743" t="str">
        <f t="shared" si="1851"/>
        <v/>
      </c>
      <c r="BD5327" s="743" t="str">
        <f t="shared" si="1852"/>
        <v/>
      </c>
      <c r="BE5327" s="743" t="str">
        <f>IF(D5327="","",VLOOKUP(D5327,'General Basis'!$J$39:$K$46,2,0))</f>
        <v/>
      </c>
      <c r="BF5327" s="744" t="str">
        <f>IF(D5327="","",VLOOKUP(D5327,'General Basis'!$J$39:$L$46,3,0))</f>
        <v/>
      </c>
      <c r="BG5327" s="744" t="str">
        <f t="shared" si="1859"/>
        <v/>
      </c>
      <c r="BH5327" s="744" t="str">
        <f>IF(G5327="","",IF(BF5327="Abu Dhabi",IF(G5327&lt;18,'General Basis'!$C$39,IF(G5327&lt;41,'General Basis'!$C$40,IF(G5327&lt;60,'General Basis'!$C$41,IF(G5327&lt;65,'General Basis'!$C$42,'General Basis'!$C$43)))),IF(G5327&lt;11,'General Basis'!$B$39,IF(G5327&lt;18,'General Basis'!$B$40,IF(G5327&lt;26,'General Basis'!$B$41,IF(G5327&lt;31,'General Basis'!$B$42,IF(G5327&lt;36,'General Basis'!$B$43,IF(G5327&lt;41,'General Basis'!$B$44,IF(G5327&lt;46,'General Basis'!$B$45,IF(G5327&lt;51,'General Basis'!$B$46,IF(G5327&lt;56,'General Basis'!$B$47,IF(G5327&lt;60,'General Basis'!$B$48,IF(G5327&lt;65,'General Basis'!$B$49,'General Basis'!$B$50)))))))))))))</f>
        <v/>
      </c>
      <c r="BI5327" s="744" t="str">
        <f t="shared" si="1853"/>
        <v/>
      </c>
      <c r="BJ5327" s="747" t="str">
        <f t="shared" si="1860"/>
        <v/>
      </c>
      <c r="BK5327" s="498" t="str">
        <f t="shared" si="1854"/>
        <v/>
      </c>
      <c r="BL5327" s="498" t="str">
        <f t="shared" si="1855"/>
        <v/>
      </c>
    </row>
    <row r="5328" spans="1:64" x14ac:dyDescent="0.25">
      <c r="A5328" s="762">
        <f t="shared" si="1856"/>
        <v>5323</v>
      </c>
      <c r="B5328" s="229"/>
      <c r="C5328" s="223"/>
      <c r="D5328" s="224"/>
      <c r="E5328" s="225"/>
      <c r="F5328" s="1036" t="str">
        <f t="shared" ref="F5328:F5331" si="1862">IF(C5328="","",IF($B5328="","",((YEAR($F$3)-YEAR($B5328))+(MONTH($F$3)-MONTH($B5328))/12+(DAY($F$3)-DAY($B5328))/(DATE(YEAR($F$3),12,31)-DATE(YEAR($F$3),1,1)+1))))</f>
        <v/>
      </c>
      <c r="G5328" s="1037" t="str">
        <f t="shared" si="1857"/>
        <v/>
      </c>
      <c r="H5328" s="225"/>
      <c r="I5328" s="1013"/>
      <c r="J5328" s="1013"/>
      <c r="K5328" s="1028"/>
      <c r="L5328" s="1035" t="str">
        <f t="shared" si="1861"/>
        <v/>
      </c>
      <c r="S5328" s="498"/>
      <c r="AJ5328" s="498"/>
      <c r="AM5328" s="498">
        <f t="shared" si="1842"/>
        <v>0</v>
      </c>
      <c r="AN5328" s="498">
        <f t="shared" si="1843"/>
        <v>0</v>
      </c>
      <c r="AO5328" s="498">
        <f t="shared" si="1844"/>
        <v>0</v>
      </c>
      <c r="AP5328" s="498">
        <f t="shared" si="1841"/>
        <v>0</v>
      </c>
      <c r="AQ5328" s="498">
        <f t="shared" si="1858"/>
        <v>0</v>
      </c>
      <c r="AU5328" s="498">
        <f t="shared" si="1845"/>
        <v>0</v>
      </c>
      <c r="AV5328" s="498">
        <f t="shared" si="1846"/>
        <v>0</v>
      </c>
      <c r="AW5328" s="498">
        <f t="shared" si="1847"/>
        <v>0</v>
      </c>
      <c r="AX5328" s="498">
        <f t="shared" si="1848"/>
        <v>0</v>
      </c>
      <c r="AY5328" s="498">
        <f t="shared" si="1849"/>
        <v>0</v>
      </c>
      <c r="BB5328" s="498" t="str">
        <f t="shared" si="1850"/>
        <v/>
      </c>
      <c r="BC5328" s="743" t="str">
        <f t="shared" si="1851"/>
        <v/>
      </c>
      <c r="BD5328" s="743" t="str">
        <f t="shared" si="1852"/>
        <v/>
      </c>
      <c r="BE5328" s="743" t="str">
        <f>IF(D5328="","",VLOOKUP(D5328,'General Basis'!$J$39:$K$46,2,0))</f>
        <v/>
      </c>
      <c r="BF5328" s="744" t="str">
        <f>IF(D5328="","",VLOOKUP(D5328,'General Basis'!$J$39:$L$46,3,0))</f>
        <v/>
      </c>
      <c r="BG5328" s="744" t="str">
        <f t="shared" si="1859"/>
        <v/>
      </c>
      <c r="BH5328" s="744" t="str">
        <f>IF(G5328="","",IF(BF5328="Abu Dhabi",IF(G5328&lt;18,'General Basis'!$C$39,IF(G5328&lt;41,'General Basis'!$C$40,IF(G5328&lt;60,'General Basis'!$C$41,IF(G5328&lt;65,'General Basis'!$C$42,'General Basis'!$C$43)))),IF(G5328&lt;11,'General Basis'!$B$39,IF(G5328&lt;18,'General Basis'!$B$40,IF(G5328&lt;26,'General Basis'!$B$41,IF(G5328&lt;31,'General Basis'!$B$42,IF(G5328&lt;36,'General Basis'!$B$43,IF(G5328&lt;41,'General Basis'!$B$44,IF(G5328&lt;46,'General Basis'!$B$45,IF(G5328&lt;51,'General Basis'!$B$46,IF(G5328&lt;56,'General Basis'!$B$47,IF(G5328&lt;60,'General Basis'!$B$48,IF(G5328&lt;65,'General Basis'!$B$49,'General Basis'!$B$50)))))))))))))</f>
        <v/>
      </c>
      <c r="BI5328" s="744" t="str">
        <f t="shared" si="1853"/>
        <v/>
      </c>
      <c r="BJ5328" s="747" t="str">
        <f t="shared" si="1860"/>
        <v/>
      </c>
      <c r="BK5328" s="498" t="str">
        <f t="shared" si="1854"/>
        <v/>
      </c>
      <c r="BL5328" s="498" t="str">
        <f t="shared" si="1855"/>
        <v/>
      </c>
    </row>
    <row r="5329" spans="1:64" x14ac:dyDescent="0.25">
      <c r="A5329" s="762">
        <f t="shared" si="1856"/>
        <v>5324</v>
      </c>
      <c r="B5329" s="229"/>
      <c r="C5329" s="223"/>
      <c r="D5329" s="224"/>
      <c r="E5329" s="225"/>
      <c r="F5329" s="1036" t="str">
        <f t="shared" si="1862"/>
        <v/>
      </c>
      <c r="G5329" s="1037" t="str">
        <f t="shared" si="1857"/>
        <v/>
      </c>
      <c r="H5329" s="225"/>
      <c r="I5329" s="1013"/>
      <c r="J5329" s="1013"/>
      <c r="K5329" s="1028"/>
      <c r="L5329" s="1035" t="str">
        <f t="shared" si="1861"/>
        <v/>
      </c>
      <c r="S5329" s="498"/>
      <c r="AJ5329" s="498"/>
      <c r="AM5329" s="498">
        <f t="shared" si="1842"/>
        <v>0</v>
      </c>
      <c r="AN5329" s="498">
        <f t="shared" si="1843"/>
        <v>0</v>
      </c>
      <c r="AO5329" s="498">
        <f t="shared" si="1844"/>
        <v>0</v>
      </c>
      <c r="AP5329" s="498">
        <f t="shared" si="1841"/>
        <v>0</v>
      </c>
      <c r="AQ5329" s="498">
        <f t="shared" si="1858"/>
        <v>0</v>
      </c>
      <c r="AU5329" s="498">
        <f t="shared" si="1845"/>
        <v>0</v>
      </c>
      <c r="AV5329" s="498">
        <f t="shared" si="1846"/>
        <v>0</v>
      </c>
      <c r="AW5329" s="498">
        <f t="shared" si="1847"/>
        <v>0</v>
      </c>
      <c r="AX5329" s="498">
        <f t="shared" si="1848"/>
        <v>0</v>
      </c>
      <c r="AY5329" s="498">
        <f t="shared" si="1849"/>
        <v>0</v>
      </c>
      <c r="BB5329" s="498" t="str">
        <f t="shared" si="1850"/>
        <v/>
      </c>
      <c r="BC5329" s="743" t="str">
        <f t="shared" si="1851"/>
        <v/>
      </c>
      <c r="BD5329" s="743" t="str">
        <f t="shared" si="1852"/>
        <v/>
      </c>
      <c r="BE5329" s="743" t="str">
        <f>IF(D5329="","",VLOOKUP(D5329,'General Basis'!$J$39:$K$46,2,0))</f>
        <v/>
      </c>
      <c r="BF5329" s="744" t="str">
        <f>IF(D5329="","",VLOOKUP(D5329,'General Basis'!$J$39:$L$46,3,0))</f>
        <v/>
      </c>
      <c r="BG5329" s="744" t="str">
        <f t="shared" si="1859"/>
        <v/>
      </c>
      <c r="BH5329" s="744" t="str">
        <f>IF(G5329="","",IF(BF5329="Abu Dhabi",IF(G5329&lt;18,'General Basis'!$C$39,IF(G5329&lt;41,'General Basis'!$C$40,IF(G5329&lt;60,'General Basis'!$C$41,IF(G5329&lt;65,'General Basis'!$C$42,'General Basis'!$C$43)))),IF(G5329&lt;11,'General Basis'!$B$39,IF(G5329&lt;18,'General Basis'!$B$40,IF(G5329&lt;26,'General Basis'!$B$41,IF(G5329&lt;31,'General Basis'!$B$42,IF(G5329&lt;36,'General Basis'!$B$43,IF(G5329&lt;41,'General Basis'!$B$44,IF(G5329&lt;46,'General Basis'!$B$45,IF(G5329&lt;51,'General Basis'!$B$46,IF(G5329&lt;56,'General Basis'!$B$47,IF(G5329&lt;60,'General Basis'!$B$48,IF(G5329&lt;65,'General Basis'!$B$49,'General Basis'!$B$50)))))))))))))</f>
        <v/>
      </c>
      <c r="BI5329" s="744" t="str">
        <f t="shared" si="1853"/>
        <v/>
      </c>
      <c r="BJ5329" s="747" t="str">
        <f t="shared" si="1860"/>
        <v/>
      </c>
      <c r="BK5329" s="498" t="str">
        <f t="shared" si="1854"/>
        <v/>
      </c>
      <c r="BL5329" s="498" t="str">
        <f t="shared" si="1855"/>
        <v/>
      </c>
    </row>
    <row r="5330" spans="1:64" x14ac:dyDescent="0.25">
      <c r="A5330" s="762">
        <f t="shared" si="1856"/>
        <v>5325</v>
      </c>
      <c r="B5330" s="229"/>
      <c r="C5330" s="223"/>
      <c r="D5330" s="224"/>
      <c r="E5330" s="225"/>
      <c r="F5330" s="1036" t="str">
        <f t="shared" si="1862"/>
        <v/>
      </c>
      <c r="G5330" s="1037" t="str">
        <f t="shared" si="1857"/>
        <v/>
      </c>
      <c r="H5330" s="225"/>
      <c r="I5330" s="1013"/>
      <c r="J5330" s="1013"/>
      <c r="K5330" s="1028"/>
      <c r="L5330" s="1035" t="str">
        <f t="shared" si="1861"/>
        <v/>
      </c>
      <c r="S5330" s="498"/>
      <c r="AJ5330" s="498"/>
      <c r="AM5330" s="498">
        <f t="shared" si="1842"/>
        <v>0</v>
      </c>
      <c r="AN5330" s="498">
        <f t="shared" si="1843"/>
        <v>0</v>
      </c>
      <c r="AO5330" s="498">
        <f t="shared" si="1844"/>
        <v>0</v>
      </c>
      <c r="AP5330" s="498">
        <f t="shared" si="1841"/>
        <v>0</v>
      </c>
      <c r="AQ5330" s="498">
        <f t="shared" si="1858"/>
        <v>0</v>
      </c>
      <c r="AU5330" s="498">
        <f t="shared" si="1845"/>
        <v>0</v>
      </c>
      <c r="AV5330" s="498">
        <f t="shared" si="1846"/>
        <v>0</v>
      </c>
      <c r="AW5330" s="498">
        <f t="shared" si="1847"/>
        <v>0</v>
      </c>
      <c r="AX5330" s="498">
        <f t="shared" si="1848"/>
        <v>0</v>
      </c>
      <c r="AY5330" s="498">
        <f t="shared" si="1849"/>
        <v>0</v>
      </c>
      <c r="BB5330" s="498" t="str">
        <f t="shared" si="1850"/>
        <v/>
      </c>
      <c r="BC5330" s="743" t="str">
        <f t="shared" si="1851"/>
        <v/>
      </c>
      <c r="BD5330" s="743" t="str">
        <f t="shared" si="1852"/>
        <v/>
      </c>
      <c r="BE5330" s="743" t="str">
        <f>IF(D5330="","",VLOOKUP(D5330,'General Basis'!$J$39:$K$46,2,0))</f>
        <v/>
      </c>
      <c r="BF5330" s="744" t="str">
        <f>IF(D5330="","",VLOOKUP(D5330,'General Basis'!$J$39:$L$46,3,0))</f>
        <v/>
      </c>
      <c r="BG5330" s="744" t="str">
        <f t="shared" si="1859"/>
        <v/>
      </c>
      <c r="BH5330" s="744" t="str">
        <f>IF(G5330="","",IF(BF5330="Abu Dhabi",IF(G5330&lt;18,'General Basis'!$C$39,IF(G5330&lt;41,'General Basis'!$C$40,IF(G5330&lt;60,'General Basis'!$C$41,IF(G5330&lt;65,'General Basis'!$C$42,'General Basis'!$C$43)))),IF(G5330&lt;11,'General Basis'!$B$39,IF(G5330&lt;18,'General Basis'!$B$40,IF(G5330&lt;26,'General Basis'!$B$41,IF(G5330&lt;31,'General Basis'!$B$42,IF(G5330&lt;36,'General Basis'!$B$43,IF(G5330&lt;41,'General Basis'!$B$44,IF(G5330&lt;46,'General Basis'!$B$45,IF(G5330&lt;51,'General Basis'!$B$46,IF(G5330&lt;56,'General Basis'!$B$47,IF(G5330&lt;60,'General Basis'!$B$48,IF(G5330&lt;65,'General Basis'!$B$49,'General Basis'!$B$50)))))))))))))</f>
        <v/>
      </c>
      <c r="BI5330" s="744" t="str">
        <f t="shared" si="1853"/>
        <v/>
      </c>
      <c r="BJ5330" s="747" t="str">
        <f t="shared" si="1860"/>
        <v/>
      </c>
      <c r="BK5330" s="498" t="str">
        <f t="shared" si="1854"/>
        <v/>
      </c>
      <c r="BL5330" s="498" t="str">
        <f t="shared" si="1855"/>
        <v/>
      </c>
    </row>
    <row r="5331" spans="1:64" x14ac:dyDescent="0.25">
      <c r="A5331" s="762">
        <f t="shared" si="1856"/>
        <v>5326</v>
      </c>
      <c r="B5331" s="229"/>
      <c r="C5331" s="223"/>
      <c r="D5331" s="224"/>
      <c r="E5331" s="225"/>
      <c r="F5331" s="1036" t="str">
        <f t="shared" si="1862"/>
        <v/>
      </c>
      <c r="G5331" s="1037" t="str">
        <f t="shared" si="1857"/>
        <v/>
      </c>
      <c r="H5331" s="225"/>
      <c r="I5331" s="1013"/>
      <c r="J5331" s="1013"/>
      <c r="K5331" s="1028"/>
      <c r="L5331" s="1035" t="str">
        <f t="shared" si="1861"/>
        <v/>
      </c>
      <c r="S5331" s="498"/>
      <c r="AJ5331" s="498"/>
      <c r="AM5331" s="498">
        <f t="shared" si="1842"/>
        <v>0</v>
      </c>
      <c r="AN5331" s="498">
        <f t="shared" si="1843"/>
        <v>0</v>
      </c>
      <c r="AO5331" s="498">
        <f t="shared" si="1844"/>
        <v>0</v>
      </c>
      <c r="AP5331" s="498">
        <f t="shared" ref="AP5331" si="1863">IF(ISBLANK($B5331),0,IF(OR($C5331="M",$C5331="F"),0,1))</f>
        <v>0</v>
      </c>
      <c r="AQ5331" s="498">
        <f t="shared" si="1858"/>
        <v>0</v>
      </c>
      <c r="AU5331" s="498">
        <f t="shared" si="1845"/>
        <v>0</v>
      </c>
      <c r="AV5331" s="498">
        <f t="shared" si="1846"/>
        <v>0</v>
      </c>
      <c r="AW5331" s="498">
        <f t="shared" si="1847"/>
        <v>0</v>
      </c>
      <c r="AX5331" s="498">
        <f t="shared" si="1848"/>
        <v>0</v>
      </c>
      <c r="AY5331" s="498">
        <f t="shared" si="1849"/>
        <v>0</v>
      </c>
      <c r="BB5331" s="498" t="str">
        <f t="shared" si="1850"/>
        <v/>
      </c>
      <c r="BC5331" s="743" t="str">
        <f t="shared" si="1851"/>
        <v/>
      </c>
      <c r="BD5331" s="743" t="str">
        <f t="shared" si="1852"/>
        <v/>
      </c>
      <c r="BE5331" s="743" t="str">
        <f>IF(D5331="","",VLOOKUP(D5331,'General Basis'!$J$39:$K$46,2,0))</f>
        <v/>
      </c>
      <c r="BF5331" s="744" t="str">
        <f>IF(D5331="","",VLOOKUP(D5331,'General Basis'!$J$39:$L$46,3,0))</f>
        <v/>
      </c>
      <c r="BG5331" s="744" t="str">
        <f t="shared" si="1859"/>
        <v/>
      </c>
      <c r="BH5331" s="744" t="str">
        <f>IF(G5331="","",IF(BF5331="Abu Dhabi",IF(G5331&lt;18,'General Basis'!$C$39,IF(G5331&lt;41,'General Basis'!$C$40,IF(G5331&lt;60,'General Basis'!$C$41,IF(G5331&lt;65,'General Basis'!$C$42,'General Basis'!$C$43)))),IF(G5331&lt;11,'General Basis'!$B$39,IF(G5331&lt;18,'General Basis'!$B$40,IF(G5331&lt;26,'General Basis'!$B$41,IF(G5331&lt;31,'General Basis'!$B$42,IF(G5331&lt;36,'General Basis'!$B$43,IF(G5331&lt;41,'General Basis'!$B$44,IF(G5331&lt;46,'General Basis'!$B$45,IF(G5331&lt;51,'General Basis'!$B$46,IF(G5331&lt;56,'General Basis'!$B$47,IF(G5331&lt;60,'General Basis'!$B$48,IF(G5331&lt;65,'General Basis'!$B$49,'General Basis'!$B$50)))))))))))))</f>
        <v/>
      </c>
      <c r="BI5331" s="744" t="str">
        <f t="shared" si="1853"/>
        <v/>
      </c>
      <c r="BJ5331" s="747" t="str">
        <f t="shared" si="1860"/>
        <v/>
      </c>
      <c r="BK5331" s="498" t="str">
        <f t="shared" si="1854"/>
        <v/>
      </c>
      <c r="BL5331" s="498" t="str">
        <f t="shared" si="1855"/>
        <v/>
      </c>
    </row>
    <row r="5332" spans="1:64" x14ac:dyDescent="0.25">
      <c r="A5332" s="228"/>
      <c r="B5332" s="511" t="s">
        <v>77</v>
      </c>
      <c r="C5332" s="511" t="s">
        <v>77</v>
      </c>
      <c r="D5332" s="511" t="s">
        <v>77</v>
      </c>
      <c r="E5332" s="511" t="s">
        <v>77</v>
      </c>
      <c r="F5332" s="511" t="s">
        <v>77</v>
      </c>
      <c r="G5332" s="735" t="s">
        <v>77</v>
      </c>
      <c r="H5332" s="511" t="s">
        <v>77</v>
      </c>
      <c r="I5332" s="511" t="s">
        <v>77</v>
      </c>
      <c r="J5332" s="511" t="s">
        <v>77</v>
      </c>
      <c r="K5332" s="511" t="s">
        <v>77</v>
      </c>
      <c r="L5332" s="511" t="s">
        <v>77</v>
      </c>
    </row>
    <row r="5333" spans="1:64" s="499" customFormat="1" x14ac:dyDescent="0.25">
      <c r="A5333" s="500"/>
      <c r="B5333" s="501"/>
      <c r="C5333" s="502"/>
      <c r="D5333" s="497"/>
      <c r="E5333" s="497"/>
      <c r="F5333" s="502"/>
      <c r="G5333" s="497"/>
      <c r="H5333" s="497"/>
      <c r="I5333" s="497"/>
      <c r="J5333" s="497"/>
      <c r="K5333" s="500"/>
      <c r="L5333" s="497"/>
      <c r="M5333"/>
      <c r="N5333" s="498"/>
      <c r="O5333" s="498"/>
      <c r="P5333" s="498"/>
      <c r="Q5333" s="498"/>
      <c r="R5333" s="498"/>
      <c r="T5333" s="498"/>
      <c r="U5333" s="498"/>
      <c r="V5333" s="498"/>
      <c r="W5333" s="498"/>
      <c r="X5333" s="498"/>
      <c r="Y5333" s="498"/>
      <c r="Z5333" s="498"/>
      <c r="AA5333" s="498"/>
      <c r="AB5333" s="498"/>
      <c r="AC5333" s="498"/>
      <c r="AD5333" s="498"/>
      <c r="AE5333" s="498"/>
      <c r="AF5333" s="498"/>
      <c r="AG5333" s="498"/>
      <c r="AH5333" s="498"/>
      <c r="AI5333" s="498"/>
      <c r="AK5333" s="498"/>
      <c r="AL5333" s="498"/>
      <c r="AM5333" s="498"/>
      <c r="AN5333" s="498"/>
      <c r="AO5333" s="498"/>
      <c r="AP5333" s="498"/>
      <c r="AQ5333" s="498"/>
      <c r="AR5333" s="498"/>
      <c r="AS5333" s="498"/>
      <c r="AT5333" s="498"/>
      <c r="AU5333" s="498"/>
      <c r="AV5333" s="498"/>
      <c r="AW5333" s="498"/>
      <c r="AX5333" s="498"/>
      <c r="AY5333" s="498"/>
      <c r="AZ5333" s="498"/>
      <c r="BA5333" s="498"/>
    </row>
    <row r="5334" spans="1:64" s="499" customFormat="1" x14ac:dyDescent="0.25">
      <c r="A5334" s="500"/>
      <c r="B5334" s="501"/>
      <c r="C5334" s="502"/>
      <c r="D5334" s="497"/>
      <c r="E5334" s="497"/>
      <c r="F5334" s="502"/>
      <c r="G5334" s="497"/>
      <c r="H5334" s="497"/>
      <c r="I5334" s="497"/>
      <c r="J5334" s="497"/>
      <c r="K5334" s="500"/>
      <c r="L5334" s="497"/>
      <c r="M5334"/>
      <c r="N5334" s="498"/>
      <c r="O5334" s="498"/>
      <c r="P5334" s="498"/>
      <c r="Q5334" s="498"/>
      <c r="R5334" s="498"/>
      <c r="T5334" s="498"/>
      <c r="U5334" s="498"/>
      <c r="V5334" s="498"/>
      <c r="W5334" s="498"/>
      <c r="X5334" s="498"/>
      <c r="Y5334" s="498"/>
      <c r="Z5334" s="498"/>
      <c r="AA5334" s="498"/>
      <c r="AB5334" s="498"/>
      <c r="AC5334" s="498"/>
      <c r="AD5334" s="498"/>
      <c r="AE5334" s="498"/>
      <c r="AF5334" s="498"/>
      <c r="AG5334" s="498"/>
      <c r="AH5334" s="498"/>
      <c r="AI5334" s="498"/>
      <c r="AK5334" s="498"/>
      <c r="AL5334" s="498"/>
      <c r="AM5334" s="498"/>
      <c r="AN5334" s="498"/>
      <c r="AO5334" s="498"/>
      <c r="AP5334" s="498"/>
      <c r="AQ5334" s="498"/>
      <c r="AR5334" s="498"/>
      <c r="AS5334" s="498"/>
      <c r="AT5334" s="498"/>
      <c r="AU5334" s="498"/>
      <c r="AV5334" s="498"/>
      <c r="AW5334" s="498"/>
      <c r="AX5334" s="498"/>
      <c r="AY5334" s="498"/>
      <c r="AZ5334" s="498"/>
      <c r="BA5334" s="498"/>
      <c r="BF5334" s="499">
        <f>COUNTIFS($G$6:$G$6001,"&gt;17",$G$6:$G$6001,"&lt;36",$D$6:$D$6001,O27,$C$6:$C$6001,"F",$H$6:$H$6001,"Married")</f>
        <v>0</v>
      </c>
    </row>
    <row r="5335" spans="1:64" s="499" customFormat="1" x14ac:dyDescent="0.25">
      <c r="A5335" s="500"/>
      <c r="B5335" s="501"/>
      <c r="C5335" s="502"/>
      <c r="D5335" s="497"/>
      <c r="E5335" s="497"/>
      <c r="F5335" s="502"/>
      <c r="G5335" s="497"/>
      <c r="H5335" s="497"/>
      <c r="I5335" s="497"/>
      <c r="J5335" s="497"/>
      <c r="K5335" s="500"/>
      <c r="L5335" s="497"/>
      <c r="M5335"/>
      <c r="N5335" s="498"/>
      <c r="O5335" s="498"/>
      <c r="P5335" s="498"/>
      <c r="Q5335" s="498"/>
      <c r="R5335" s="498"/>
      <c r="T5335" s="498"/>
      <c r="U5335" s="498"/>
      <c r="V5335" s="498"/>
      <c r="W5335" s="498"/>
      <c r="X5335" s="498"/>
      <c r="Y5335" s="498"/>
      <c r="Z5335" s="498"/>
      <c r="AA5335" s="498"/>
      <c r="AB5335" s="498"/>
      <c r="AC5335" s="498"/>
      <c r="AD5335" s="498"/>
      <c r="AE5335" s="498"/>
      <c r="AF5335" s="498"/>
      <c r="AG5335" s="498"/>
      <c r="AH5335" s="498"/>
      <c r="AI5335" s="498"/>
      <c r="AK5335" s="498"/>
      <c r="AL5335" s="498"/>
      <c r="AM5335" s="498"/>
      <c r="AN5335" s="498"/>
      <c r="AO5335" s="498"/>
      <c r="AP5335" s="498"/>
      <c r="AQ5335" s="498"/>
      <c r="AR5335" s="498"/>
      <c r="AS5335" s="498"/>
      <c r="AT5335" s="498"/>
      <c r="AU5335" s="498"/>
      <c r="AV5335" s="498"/>
      <c r="AW5335" s="498"/>
      <c r="AX5335" s="498"/>
      <c r="AY5335" s="498"/>
      <c r="AZ5335" s="498"/>
      <c r="BA5335" s="498"/>
    </row>
    <row r="5336" spans="1:64" s="499" customFormat="1" x14ac:dyDescent="0.25">
      <c r="M5336"/>
    </row>
    <row r="5337" spans="1:64" s="499" customFormat="1" x14ac:dyDescent="0.25">
      <c r="M5337"/>
    </row>
    <row r="5338" spans="1:64" s="499" customFormat="1" ht="15.75" customHeight="1" x14ac:dyDescent="0.25">
      <c r="M5338"/>
    </row>
    <row r="5339" spans="1:64" s="499" customFormat="1" x14ac:dyDescent="0.25">
      <c r="M5339"/>
    </row>
    <row r="5340" spans="1:64" s="499" customFormat="1" x14ac:dyDescent="0.25">
      <c r="M5340"/>
    </row>
    <row r="5341" spans="1:64" s="499" customFormat="1" x14ac:dyDescent="0.25">
      <c r="M5341"/>
    </row>
    <row r="5342" spans="1:64" s="499" customFormat="1" x14ac:dyDescent="0.25">
      <c r="M5342"/>
    </row>
    <row r="5343" spans="1:64" s="499" customFormat="1" x14ac:dyDescent="0.25">
      <c r="M5343"/>
    </row>
    <row r="5344" spans="1:64" s="499" customFormat="1" x14ac:dyDescent="0.25">
      <c r="M5344"/>
    </row>
    <row r="5345" spans="1:13" s="499" customFormat="1" x14ac:dyDescent="0.25">
      <c r="M5345"/>
    </row>
    <row r="5346" spans="1:13" s="499" customFormat="1" x14ac:dyDescent="0.25">
      <c r="M5346"/>
    </row>
    <row r="5347" spans="1:13" s="499" customFormat="1" x14ac:dyDescent="0.25">
      <c r="M5347"/>
    </row>
    <row r="5348" spans="1:13" s="499" customFormat="1" x14ac:dyDescent="0.25">
      <c r="M5348"/>
    </row>
    <row r="5349" spans="1:13" s="499" customFormat="1" x14ac:dyDescent="0.25">
      <c r="M5349"/>
    </row>
    <row r="5350" spans="1:13" s="499" customFormat="1" x14ac:dyDescent="0.25">
      <c r="M5350"/>
    </row>
    <row r="5351" spans="1:13" s="499" customFormat="1" x14ac:dyDescent="0.25">
      <c r="M5351"/>
    </row>
    <row r="5352" spans="1:13" s="499" customFormat="1" x14ac:dyDescent="0.25">
      <c r="M5352"/>
    </row>
    <row r="5353" spans="1:13" s="499" customFormat="1" x14ac:dyDescent="0.25">
      <c r="M5353"/>
    </row>
    <row r="5354" spans="1:13" s="499" customFormat="1" x14ac:dyDescent="0.25">
      <c r="M5354"/>
    </row>
    <row r="5355" spans="1:13" s="499" customFormat="1" x14ac:dyDescent="0.25">
      <c r="M5355"/>
    </row>
    <row r="5356" spans="1:13" s="499" customFormat="1" x14ac:dyDescent="0.25">
      <c r="M5356"/>
    </row>
    <row r="5357" spans="1:13" s="499" customFormat="1" x14ac:dyDescent="0.25">
      <c r="M5357"/>
    </row>
    <row r="5358" spans="1:13" s="499" customFormat="1" x14ac:dyDescent="0.25">
      <c r="A5358" s="500"/>
      <c r="B5358" s="501"/>
      <c r="C5358" s="502"/>
      <c r="D5358" s="497"/>
      <c r="E5358" s="497"/>
      <c r="F5358" s="502"/>
      <c r="G5358" s="497"/>
      <c r="H5358" s="497"/>
      <c r="I5358" s="497"/>
      <c r="J5358" s="497"/>
      <c r="K5358" s="500"/>
      <c r="L5358" s="497"/>
      <c r="M5358"/>
    </row>
    <row r="5359" spans="1:13" s="499" customFormat="1" x14ac:dyDescent="0.25">
      <c r="A5359" s="500"/>
      <c r="B5359" s="501"/>
      <c r="C5359" s="502"/>
      <c r="D5359" s="497"/>
      <c r="E5359" s="497"/>
      <c r="F5359" s="502"/>
      <c r="G5359" s="497"/>
      <c r="H5359" s="497"/>
      <c r="I5359" s="497"/>
      <c r="J5359" s="497"/>
      <c r="K5359" s="500"/>
      <c r="L5359" s="497"/>
      <c r="M5359"/>
    </row>
    <row r="5360" spans="1:13" s="499" customFormat="1" x14ac:dyDescent="0.25">
      <c r="A5360" s="500"/>
      <c r="B5360" s="501"/>
      <c r="C5360" s="502"/>
      <c r="D5360" s="497"/>
      <c r="E5360" s="497"/>
      <c r="F5360" s="502"/>
      <c r="G5360" s="497"/>
      <c r="H5360" s="497"/>
      <c r="I5360" s="497"/>
      <c r="J5360" s="497"/>
      <c r="K5360" s="500"/>
      <c r="L5360" s="497"/>
      <c r="M5360"/>
    </row>
    <row r="5361" spans="1:13" s="499" customFormat="1" x14ac:dyDescent="0.25">
      <c r="A5361" s="500"/>
      <c r="B5361" s="501"/>
      <c r="C5361" s="502"/>
      <c r="D5361" s="497"/>
      <c r="E5361" s="497"/>
      <c r="F5361" s="502"/>
      <c r="G5361" s="497"/>
      <c r="H5361" s="497"/>
      <c r="I5361" s="497"/>
      <c r="J5361" s="497"/>
      <c r="K5361" s="500"/>
      <c r="L5361" s="497"/>
      <c r="M5361"/>
    </row>
    <row r="5362" spans="1:13" s="499" customFormat="1" x14ac:dyDescent="0.25">
      <c r="A5362" s="500"/>
      <c r="B5362" s="501"/>
      <c r="C5362" s="502"/>
      <c r="D5362" s="497"/>
      <c r="E5362" s="497"/>
      <c r="F5362" s="502"/>
      <c r="G5362" s="497"/>
      <c r="H5362" s="497"/>
      <c r="I5362" s="497"/>
      <c r="J5362" s="497"/>
      <c r="K5362" s="500"/>
      <c r="L5362" s="497"/>
      <c r="M5362"/>
    </row>
    <row r="5363" spans="1:13" s="499" customFormat="1" x14ac:dyDescent="0.25">
      <c r="A5363" s="500"/>
      <c r="B5363" s="501"/>
      <c r="C5363" s="502"/>
      <c r="D5363" s="497"/>
      <c r="E5363" s="497"/>
      <c r="F5363" s="502"/>
      <c r="G5363" s="497"/>
      <c r="H5363" s="497"/>
      <c r="I5363" s="497"/>
      <c r="J5363" s="497"/>
      <c r="K5363" s="500"/>
      <c r="L5363" s="497"/>
      <c r="M5363"/>
    </row>
    <row r="5364" spans="1:13" s="499" customFormat="1" x14ac:dyDescent="0.25">
      <c r="A5364" s="500"/>
      <c r="B5364" s="501"/>
      <c r="C5364" s="502"/>
      <c r="D5364" s="497"/>
      <c r="E5364" s="497"/>
      <c r="F5364" s="502"/>
      <c r="G5364" s="497"/>
      <c r="H5364" s="497"/>
      <c r="I5364" s="497"/>
      <c r="J5364" s="497"/>
      <c r="K5364" s="500"/>
      <c r="L5364" s="497"/>
      <c r="M5364"/>
    </row>
    <row r="5365" spans="1:13" s="499" customFormat="1" x14ac:dyDescent="0.25">
      <c r="A5365" s="500"/>
      <c r="B5365" s="501"/>
      <c r="C5365" s="502"/>
      <c r="D5365" s="497"/>
      <c r="E5365" s="497"/>
      <c r="F5365" s="502"/>
      <c r="G5365" s="497"/>
      <c r="H5365" s="497"/>
      <c r="I5365" s="497"/>
      <c r="J5365" s="497"/>
      <c r="K5365" s="500"/>
      <c r="L5365" s="497"/>
      <c r="M5365"/>
    </row>
    <row r="5366" spans="1:13" s="499" customFormat="1" x14ac:dyDescent="0.25">
      <c r="A5366" s="500"/>
      <c r="B5366" s="501"/>
      <c r="C5366" s="502"/>
      <c r="D5366" s="497"/>
      <c r="E5366" s="497"/>
      <c r="F5366" s="502"/>
      <c r="G5366" s="497"/>
      <c r="H5366" s="497"/>
      <c r="I5366" s="497"/>
      <c r="J5366" s="497"/>
      <c r="K5366" s="500"/>
      <c r="L5366" s="497"/>
      <c r="M5366"/>
    </row>
    <row r="5367" spans="1:13" s="499" customFormat="1" x14ac:dyDescent="0.25">
      <c r="A5367" s="500"/>
      <c r="B5367" s="501"/>
      <c r="C5367" s="502"/>
      <c r="D5367" s="497"/>
      <c r="E5367" s="497"/>
      <c r="F5367" s="502"/>
      <c r="G5367" s="497"/>
      <c r="H5367" s="497"/>
      <c r="I5367" s="497"/>
      <c r="J5367" s="497"/>
      <c r="K5367" s="500"/>
      <c r="L5367" s="497"/>
      <c r="M5367"/>
    </row>
    <row r="5368" spans="1:13" s="499" customFormat="1" x14ac:dyDescent="0.25">
      <c r="A5368" s="500"/>
      <c r="B5368" s="501"/>
      <c r="C5368" s="502"/>
      <c r="D5368" s="497"/>
      <c r="E5368" s="497"/>
      <c r="F5368" s="502"/>
      <c r="G5368" s="497"/>
      <c r="H5368" s="497"/>
      <c r="I5368" s="497"/>
      <c r="J5368" s="497"/>
      <c r="K5368" s="500"/>
      <c r="L5368" s="497"/>
      <c r="M5368"/>
    </row>
    <row r="5369" spans="1:13" s="499" customFormat="1" x14ac:dyDescent="0.25">
      <c r="A5369" s="500"/>
      <c r="B5369" s="501"/>
      <c r="C5369" s="502"/>
      <c r="D5369" s="497"/>
      <c r="E5369" s="497"/>
      <c r="F5369" s="502"/>
      <c r="G5369" s="497"/>
      <c r="H5369" s="497"/>
      <c r="I5369" s="497"/>
      <c r="J5369" s="497"/>
      <c r="K5369" s="500"/>
      <c r="L5369" s="497"/>
      <c r="M5369"/>
    </row>
    <row r="5370" spans="1:13" s="499" customFormat="1" x14ac:dyDescent="0.25">
      <c r="A5370" s="500"/>
      <c r="B5370" s="501"/>
      <c r="C5370" s="502"/>
      <c r="D5370" s="497"/>
      <c r="E5370" s="497"/>
      <c r="F5370" s="502"/>
      <c r="G5370" s="497"/>
      <c r="H5370" s="497"/>
      <c r="I5370" s="497"/>
      <c r="J5370" s="497"/>
      <c r="K5370" s="500"/>
      <c r="L5370" s="497"/>
      <c r="M5370"/>
    </row>
    <row r="5371" spans="1:13" s="499" customFormat="1" x14ac:dyDescent="0.25">
      <c r="A5371" s="500"/>
      <c r="B5371" s="501"/>
      <c r="C5371" s="502"/>
      <c r="D5371" s="497"/>
      <c r="E5371" s="497"/>
      <c r="F5371" s="502"/>
      <c r="G5371" s="497"/>
      <c r="H5371" s="497"/>
      <c r="I5371" s="497"/>
      <c r="J5371" s="497"/>
      <c r="K5371" s="500"/>
      <c r="L5371" s="497"/>
      <c r="M5371"/>
    </row>
    <row r="5372" spans="1:13" s="499" customFormat="1" x14ac:dyDescent="0.25">
      <c r="A5372" s="500"/>
      <c r="B5372" s="501"/>
      <c r="C5372" s="502"/>
      <c r="D5372" s="497"/>
      <c r="E5372" s="497"/>
      <c r="F5372" s="502"/>
      <c r="G5372" s="497"/>
      <c r="H5372" s="497"/>
      <c r="I5372" s="497"/>
      <c r="J5372" s="497"/>
      <c r="K5372" s="500"/>
      <c r="L5372" s="497"/>
      <c r="M5372"/>
    </row>
    <row r="5373" spans="1:13" s="499" customFormat="1" x14ac:dyDescent="0.25">
      <c r="A5373" s="500"/>
      <c r="B5373" s="501"/>
      <c r="C5373" s="502"/>
      <c r="D5373" s="497"/>
      <c r="E5373" s="497"/>
      <c r="F5373" s="502"/>
      <c r="G5373" s="497"/>
      <c r="H5373" s="497"/>
      <c r="I5373" s="497"/>
      <c r="J5373" s="497"/>
      <c r="K5373" s="500"/>
      <c r="L5373" s="497"/>
      <c r="M5373"/>
    </row>
    <row r="5374" spans="1:13" s="499" customFormat="1" x14ac:dyDescent="0.25">
      <c r="A5374" s="500"/>
      <c r="B5374" s="501"/>
      <c r="C5374" s="502"/>
      <c r="D5374" s="497"/>
      <c r="E5374" s="497"/>
      <c r="F5374" s="502"/>
      <c r="G5374" s="497"/>
      <c r="H5374" s="497"/>
      <c r="I5374" s="497"/>
      <c r="J5374" s="497"/>
      <c r="K5374" s="500"/>
      <c r="L5374" s="497"/>
      <c r="M5374"/>
    </row>
    <row r="5375" spans="1:13" s="499" customFormat="1" x14ac:dyDescent="0.25">
      <c r="A5375" s="500"/>
      <c r="B5375" s="501"/>
      <c r="C5375" s="502"/>
      <c r="D5375" s="497"/>
      <c r="E5375" s="497"/>
      <c r="F5375" s="502"/>
      <c r="G5375" s="497"/>
      <c r="H5375" s="497"/>
      <c r="I5375" s="497"/>
      <c r="J5375" s="497"/>
      <c r="K5375" s="500"/>
      <c r="L5375" s="497"/>
      <c r="M5375"/>
    </row>
    <row r="5376" spans="1:13" s="499" customFormat="1" x14ac:dyDescent="0.25">
      <c r="A5376" s="500"/>
      <c r="B5376" s="501"/>
      <c r="C5376" s="502"/>
      <c r="D5376" s="497"/>
      <c r="E5376" s="497"/>
      <c r="F5376" s="502"/>
      <c r="G5376" s="497"/>
      <c r="H5376" s="497"/>
      <c r="I5376" s="497"/>
      <c r="J5376" s="497"/>
      <c r="K5376" s="500"/>
      <c r="L5376" s="497"/>
      <c r="M5376"/>
    </row>
    <row r="5377" spans="1:13" s="499" customFormat="1" x14ac:dyDescent="0.25">
      <c r="A5377" s="500"/>
      <c r="B5377" s="501"/>
      <c r="C5377" s="502"/>
      <c r="D5377" s="497"/>
      <c r="E5377" s="497"/>
      <c r="F5377" s="502"/>
      <c r="G5377" s="497"/>
      <c r="H5377" s="497"/>
      <c r="I5377" s="497"/>
      <c r="J5377" s="497"/>
      <c r="K5377" s="500"/>
      <c r="L5377" s="497"/>
      <c r="M5377"/>
    </row>
    <row r="5378" spans="1:13" s="499" customFormat="1" x14ac:dyDescent="0.25">
      <c r="A5378" s="500"/>
      <c r="B5378" s="501"/>
      <c r="C5378" s="502"/>
      <c r="D5378" s="497"/>
      <c r="E5378" s="497"/>
      <c r="F5378" s="502"/>
      <c r="G5378" s="497"/>
      <c r="H5378" s="497"/>
      <c r="I5378" s="497"/>
      <c r="J5378" s="497"/>
      <c r="K5378" s="500"/>
      <c r="L5378" s="497"/>
      <c r="M5378"/>
    </row>
    <row r="5379" spans="1:13" s="499" customFormat="1" x14ac:dyDescent="0.25">
      <c r="A5379" s="500"/>
      <c r="B5379" s="501"/>
      <c r="C5379" s="502"/>
      <c r="D5379" s="497"/>
      <c r="E5379" s="497"/>
      <c r="F5379" s="502"/>
      <c r="G5379" s="497"/>
      <c r="H5379" s="497"/>
      <c r="I5379" s="497"/>
      <c r="J5379" s="497"/>
      <c r="K5379" s="500"/>
      <c r="L5379" s="497"/>
      <c r="M5379"/>
    </row>
    <row r="5380" spans="1:13" s="499" customFormat="1" x14ac:dyDescent="0.25">
      <c r="A5380" s="500"/>
      <c r="B5380" s="501"/>
      <c r="C5380" s="502"/>
      <c r="D5380" s="497"/>
      <c r="E5380" s="497"/>
      <c r="F5380" s="502"/>
      <c r="G5380" s="497"/>
      <c r="H5380" s="497"/>
      <c r="I5380" s="497"/>
      <c r="J5380" s="497"/>
      <c r="K5380" s="500"/>
      <c r="L5380" s="497"/>
      <c r="M5380"/>
    </row>
    <row r="5381" spans="1:13" s="499" customFormat="1" x14ac:dyDescent="0.25">
      <c r="A5381" s="500"/>
      <c r="B5381" s="501"/>
      <c r="C5381" s="502"/>
      <c r="D5381" s="497"/>
      <c r="E5381" s="497"/>
      <c r="F5381" s="502"/>
      <c r="G5381" s="497"/>
      <c r="H5381" s="497"/>
      <c r="I5381" s="497"/>
      <c r="J5381" s="497"/>
      <c r="K5381" s="500"/>
      <c r="L5381" s="497"/>
      <c r="M5381"/>
    </row>
    <row r="5382" spans="1:13" s="499" customFormat="1" x14ac:dyDescent="0.25">
      <c r="A5382" s="500"/>
      <c r="B5382" s="501"/>
      <c r="C5382" s="502"/>
      <c r="D5382" s="497"/>
      <c r="E5382" s="497"/>
      <c r="F5382" s="502"/>
      <c r="G5382" s="497"/>
      <c r="H5382" s="497"/>
      <c r="I5382" s="497"/>
      <c r="J5382" s="497"/>
      <c r="K5382" s="500"/>
      <c r="L5382" s="497"/>
      <c r="M5382"/>
    </row>
    <row r="5383" spans="1:13" s="499" customFormat="1" x14ac:dyDescent="0.25">
      <c r="A5383" s="500"/>
      <c r="B5383" s="501"/>
      <c r="C5383" s="502"/>
      <c r="D5383" s="497"/>
      <c r="E5383" s="497"/>
      <c r="F5383" s="502"/>
      <c r="G5383" s="497"/>
      <c r="H5383" s="497"/>
      <c r="I5383" s="497"/>
      <c r="J5383" s="497"/>
      <c r="K5383" s="500"/>
      <c r="L5383" s="497"/>
      <c r="M5383"/>
    </row>
    <row r="5384" spans="1:13" s="499" customFormat="1" x14ac:dyDescent="0.25">
      <c r="A5384" s="500"/>
      <c r="B5384" s="501"/>
      <c r="C5384" s="502"/>
      <c r="D5384" s="497"/>
      <c r="E5384" s="497"/>
      <c r="F5384" s="502"/>
      <c r="G5384" s="497"/>
      <c r="H5384" s="497"/>
      <c r="I5384" s="497"/>
      <c r="J5384" s="497"/>
      <c r="K5384" s="500"/>
      <c r="L5384" s="497"/>
      <c r="M5384"/>
    </row>
    <row r="5385" spans="1:13" s="499" customFormat="1" x14ac:dyDescent="0.25">
      <c r="A5385" s="500"/>
      <c r="B5385" s="501"/>
      <c r="C5385" s="502"/>
      <c r="D5385" s="497"/>
      <c r="E5385" s="497"/>
      <c r="F5385" s="502"/>
      <c r="G5385" s="497"/>
      <c r="H5385" s="497"/>
      <c r="I5385" s="497"/>
      <c r="J5385" s="497"/>
      <c r="K5385" s="500"/>
      <c r="L5385" s="497"/>
      <c r="M5385"/>
    </row>
    <row r="5386" spans="1:13" s="499" customFormat="1" x14ac:dyDescent="0.25">
      <c r="A5386" s="500"/>
      <c r="B5386" s="501"/>
      <c r="C5386" s="502"/>
      <c r="D5386" s="497"/>
      <c r="E5386" s="497"/>
      <c r="F5386" s="502"/>
      <c r="G5386" s="497"/>
      <c r="H5386" s="497"/>
      <c r="I5386" s="497"/>
      <c r="J5386" s="497"/>
      <c r="K5386" s="500"/>
      <c r="L5386" s="497"/>
      <c r="M5386"/>
    </row>
    <row r="5387" spans="1:13" s="499" customFormat="1" x14ac:dyDescent="0.25">
      <c r="A5387" s="500"/>
      <c r="B5387" s="501"/>
      <c r="C5387" s="502"/>
      <c r="D5387" s="497"/>
      <c r="E5387" s="497"/>
      <c r="F5387" s="502"/>
      <c r="G5387" s="497"/>
      <c r="H5387" s="497"/>
      <c r="I5387" s="497"/>
      <c r="J5387" s="497"/>
      <c r="K5387" s="500"/>
      <c r="L5387" s="497"/>
      <c r="M5387"/>
    </row>
    <row r="5388" spans="1:13" s="499" customFormat="1" x14ac:dyDescent="0.25">
      <c r="A5388" s="500"/>
      <c r="B5388" s="501"/>
      <c r="C5388" s="502"/>
      <c r="D5388" s="497"/>
      <c r="E5388" s="497"/>
      <c r="F5388" s="502"/>
      <c r="G5388" s="497"/>
      <c r="H5388" s="497"/>
      <c r="I5388" s="497"/>
      <c r="J5388" s="497"/>
      <c r="K5388" s="500"/>
      <c r="L5388" s="497"/>
      <c r="M5388"/>
    </row>
    <row r="5389" spans="1:13" s="499" customFormat="1" x14ac:dyDescent="0.25">
      <c r="A5389" s="500"/>
      <c r="B5389" s="501"/>
      <c r="C5389" s="502"/>
      <c r="D5389" s="497"/>
      <c r="E5389" s="497"/>
      <c r="F5389" s="502"/>
      <c r="G5389" s="497"/>
      <c r="H5389" s="497"/>
      <c r="I5389" s="497"/>
      <c r="J5389" s="497"/>
      <c r="K5389" s="500"/>
      <c r="L5389" s="497"/>
      <c r="M5389"/>
    </row>
    <row r="5390" spans="1:13" s="499" customFormat="1" x14ac:dyDescent="0.25">
      <c r="A5390" s="500"/>
      <c r="B5390" s="501"/>
      <c r="C5390" s="502"/>
      <c r="D5390" s="497"/>
      <c r="E5390" s="497"/>
      <c r="F5390" s="502"/>
      <c r="G5390" s="497"/>
      <c r="H5390" s="497"/>
      <c r="I5390" s="497"/>
      <c r="J5390" s="497"/>
      <c r="K5390" s="500"/>
      <c r="L5390" s="497"/>
      <c r="M5390"/>
    </row>
    <row r="5391" spans="1:13" s="499" customFormat="1" x14ac:dyDescent="0.25">
      <c r="A5391" s="500"/>
      <c r="B5391" s="501"/>
      <c r="C5391" s="502"/>
      <c r="D5391" s="497"/>
      <c r="E5391" s="497"/>
      <c r="F5391" s="502"/>
      <c r="G5391" s="497"/>
      <c r="H5391" s="497"/>
      <c r="I5391" s="497"/>
      <c r="J5391" s="497"/>
      <c r="K5391" s="500"/>
      <c r="L5391" s="497"/>
      <c r="M5391"/>
    </row>
    <row r="5392" spans="1:13" s="499" customFormat="1" x14ac:dyDescent="0.25">
      <c r="A5392" s="500"/>
      <c r="B5392" s="501"/>
      <c r="C5392" s="502"/>
      <c r="D5392" s="497"/>
      <c r="E5392" s="497"/>
      <c r="F5392" s="502"/>
      <c r="G5392" s="497"/>
      <c r="H5392" s="497"/>
      <c r="I5392" s="497"/>
      <c r="J5392" s="497"/>
      <c r="K5392" s="500"/>
      <c r="L5392" s="497"/>
      <c r="M5392"/>
    </row>
    <row r="5393" spans="1:13" s="499" customFormat="1" x14ac:dyDescent="0.25">
      <c r="A5393" s="500"/>
      <c r="B5393" s="501"/>
      <c r="C5393" s="502"/>
      <c r="D5393" s="497"/>
      <c r="E5393" s="497"/>
      <c r="F5393" s="502"/>
      <c r="G5393" s="497"/>
      <c r="H5393" s="497"/>
      <c r="I5393" s="497"/>
      <c r="J5393" s="497"/>
      <c r="K5393" s="500"/>
      <c r="L5393" s="497"/>
      <c r="M5393"/>
    </row>
    <row r="5394" spans="1:13" s="499" customFormat="1" x14ac:dyDescent="0.25">
      <c r="A5394" s="500"/>
      <c r="B5394" s="501"/>
      <c r="C5394" s="502"/>
      <c r="D5394" s="497"/>
      <c r="E5394" s="497"/>
      <c r="F5394" s="502"/>
      <c r="G5394" s="497"/>
      <c r="H5394" s="497"/>
      <c r="I5394" s="497"/>
      <c r="J5394" s="497"/>
      <c r="K5394" s="500"/>
      <c r="L5394" s="497"/>
      <c r="M5394"/>
    </row>
    <row r="5395" spans="1:13" s="499" customFormat="1" x14ac:dyDescent="0.25">
      <c r="A5395" s="500"/>
      <c r="B5395" s="501"/>
      <c r="C5395" s="502"/>
      <c r="D5395" s="497"/>
      <c r="E5395" s="497"/>
      <c r="F5395" s="502"/>
      <c r="G5395" s="497"/>
      <c r="H5395" s="497"/>
      <c r="I5395" s="497"/>
      <c r="J5395" s="497"/>
      <c r="K5395" s="500"/>
      <c r="L5395" s="497"/>
      <c r="M5395"/>
    </row>
    <row r="5396" spans="1:13" s="499" customFormat="1" x14ac:dyDescent="0.25">
      <c r="A5396" s="500"/>
      <c r="B5396" s="501"/>
      <c r="C5396" s="502"/>
      <c r="D5396" s="497"/>
      <c r="E5396" s="497"/>
      <c r="F5396" s="502"/>
      <c r="G5396" s="497"/>
      <c r="H5396" s="497"/>
      <c r="I5396" s="497"/>
      <c r="J5396" s="497"/>
      <c r="K5396" s="500"/>
      <c r="L5396" s="497"/>
      <c r="M5396"/>
    </row>
    <row r="5397" spans="1:13" s="499" customFormat="1" x14ac:dyDescent="0.25">
      <c r="A5397" s="500"/>
      <c r="B5397" s="501"/>
      <c r="C5397" s="502"/>
      <c r="D5397" s="497"/>
      <c r="E5397" s="497"/>
      <c r="F5397" s="502"/>
      <c r="G5397" s="497"/>
      <c r="H5397" s="497"/>
      <c r="I5397" s="497"/>
      <c r="J5397" s="497"/>
      <c r="K5397" s="500"/>
      <c r="L5397" s="497"/>
      <c r="M5397"/>
    </row>
    <row r="5398" spans="1:13" s="499" customFormat="1" x14ac:dyDescent="0.25">
      <c r="A5398" s="500"/>
      <c r="B5398" s="501"/>
      <c r="C5398" s="502"/>
      <c r="D5398" s="497"/>
      <c r="E5398" s="497"/>
      <c r="F5398" s="502"/>
      <c r="G5398" s="497"/>
      <c r="H5398" s="497"/>
      <c r="I5398" s="497"/>
      <c r="J5398" s="497"/>
      <c r="K5398" s="500"/>
      <c r="L5398" s="497"/>
      <c r="M5398"/>
    </row>
    <row r="5399" spans="1:13" s="499" customFormat="1" x14ac:dyDescent="0.25">
      <c r="A5399" s="500"/>
      <c r="B5399" s="501"/>
      <c r="C5399" s="502"/>
      <c r="D5399" s="497"/>
      <c r="E5399" s="497"/>
      <c r="F5399" s="502"/>
      <c r="G5399" s="497"/>
      <c r="H5399" s="497"/>
      <c r="I5399" s="497"/>
      <c r="J5399" s="497"/>
      <c r="K5399" s="500"/>
      <c r="L5399" s="497"/>
      <c r="M5399"/>
    </row>
    <row r="5400" spans="1:13" s="499" customFormat="1" x14ac:dyDescent="0.25">
      <c r="A5400" s="500"/>
      <c r="B5400" s="501"/>
      <c r="C5400" s="502"/>
      <c r="D5400" s="497"/>
      <c r="E5400" s="497"/>
      <c r="F5400" s="502"/>
      <c r="G5400" s="497"/>
      <c r="H5400" s="497"/>
      <c r="I5400" s="497"/>
      <c r="J5400" s="497"/>
      <c r="K5400" s="500"/>
      <c r="L5400" s="497"/>
      <c r="M5400"/>
    </row>
    <row r="5401" spans="1:13" s="499" customFormat="1" x14ac:dyDescent="0.25">
      <c r="A5401" s="500"/>
      <c r="B5401" s="501"/>
      <c r="C5401" s="502"/>
      <c r="D5401" s="497"/>
      <c r="E5401" s="497"/>
      <c r="F5401" s="502"/>
      <c r="G5401" s="497"/>
      <c r="H5401" s="497"/>
      <c r="I5401" s="497"/>
      <c r="J5401" s="497"/>
      <c r="K5401" s="500"/>
      <c r="L5401" s="497"/>
      <c r="M5401"/>
    </row>
    <row r="5402" spans="1:13" s="499" customFormat="1" x14ac:dyDescent="0.25">
      <c r="A5402" s="500"/>
      <c r="B5402" s="501"/>
      <c r="C5402" s="502"/>
      <c r="D5402" s="497"/>
      <c r="E5402" s="497"/>
      <c r="F5402" s="502"/>
      <c r="G5402" s="497"/>
      <c r="H5402" s="497"/>
      <c r="I5402" s="497"/>
      <c r="J5402" s="497"/>
      <c r="K5402" s="500"/>
      <c r="L5402" s="497"/>
      <c r="M5402"/>
    </row>
    <row r="5403" spans="1:13" s="499" customFormat="1" x14ac:dyDescent="0.25">
      <c r="A5403" s="500"/>
      <c r="B5403" s="501"/>
      <c r="C5403" s="502"/>
      <c r="D5403" s="497"/>
      <c r="E5403" s="497"/>
      <c r="F5403" s="502"/>
      <c r="G5403" s="497"/>
      <c r="H5403" s="497"/>
      <c r="I5403" s="497"/>
      <c r="J5403" s="497"/>
      <c r="K5403" s="500"/>
      <c r="L5403" s="497"/>
      <c r="M5403"/>
    </row>
    <row r="5404" spans="1:13" s="499" customFormat="1" x14ac:dyDescent="0.25">
      <c r="A5404" s="500"/>
      <c r="B5404" s="501"/>
      <c r="C5404" s="502"/>
      <c r="D5404" s="497"/>
      <c r="E5404" s="497"/>
      <c r="F5404" s="502"/>
      <c r="G5404" s="497"/>
      <c r="H5404" s="497"/>
      <c r="I5404" s="497"/>
      <c r="J5404" s="497"/>
      <c r="K5404" s="500"/>
      <c r="L5404" s="497"/>
      <c r="M5404"/>
    </row>
    <row r="5405" spans="1:13" s="499" customFormat="1" x14ac:dyDescent="0.25">
      <c r="A5405" s="500"/>
      <c r="B5405" s="501"/>
      <c r="C5405" s="502"/>
      <c r="D5405" s="497"/>
      <c r="E5405" s="497"/>
      <c r="F5405" s="502"/>
      <c r="G5405" s="497"/>
      <c r="H5405" s="497"/>
      <c r="I5405" s="497"/>
      <c r="J5405" s="497"/>
      <c r="K5405" s="500"/>
      <c r="L5405" s="497"/>
      <c r="M5405"/>
    </row>
    <row r="5406" spans="1:13" s="499" customFormat="1" x14ac:dyDescent="0.25">
      <c r="A5406" s="500"/>
      <c r="B5406" s="501"/>
      <c r="C5406" s="502"/>
      <c r="D5406" s="497"/>
      <c r="E5406" s="497"/>
      <c r="F5406" s="502"/>
      <c r="G5406" s="497"/>
      <c r="H5406" s="497"/>
      <c r="I5406" s="497"/>
      <c r="J5406" s="497"/>
      <c r="K5406" s="500"/>
      <c r="L5406" s="497"/>
      <c r="M5406"/>
    </row>
    <row r="5407" spans="1:13" s="499" customFormat="1" x14ac:dyDescent="0.25">
      <c r="A5407" s="500"/>
      <c r="B5407" s="501"/>
      <c r="C5407" s="502"/>
      <c r="D5407" s="497"/>
      <c r="E5407" s="497"/>
      <c r="F5407" s="502"/>
      <c r="G5407" s="497"/>
      <c r="H5407" s="497"/>
      <c r="I5407" s="497"/>
      <c r="J5407" s="497"/>
      <c r="K5407" s="500"/>
      <c r="L5407" s="497"/>
      <c r="M5407"/>
    </row>
    <row r="5408" spans="1:13" s="499" customFormat="1" x14ac:dyDescent="0.25">
      <c r="A5408" s="500"/>
      <c r="B5408" s="501"/>
      <c r="C5408" s="502"/>
      <c r="D5408" s="497"/>
      <c r="E5408" s="497"/>
      <c r="F5408" s="502"/>
      <c r="G5408" s="497"/>
      <c r="H5408" s="497"/>
      <c r="I5408" s="497"/>
      <c r="J5408" s="497"/>
      <c r="K5408" s="500"/>
      <c r="L5408" s="497"/>
      <c r="M5408"/>
    </row>
    <row r="5409" spans="1:13" s="499" customFormat="1" x14ac:dyDescent="0.25">
      <c r="A5409" s="500"/>
      <c r="B5409" s="501"/>
      <c r="C5409" s="502"/>
      <c r="D5409" s="497"/>
      <c r="E5409" s="497"/>
      <c r="F5409" s="502"/>
      <c r="G5409" s="497"/>
      <c r="H5409" s="497"/>
      <c r="I5409" s="497"/>
      <c r="J5409" s="497"/>
      <c r="K5409" s="500"/>
      <c r="L5409" s="497"/>
      <c r="M5409"/>
    </row>
    <row r="5410" spans="1:13" s="499" customFormat="1" x14ac:dyDescent="0.25">
      <c r="A5410" s="500"/>
      <c r="B5410" s="501"/>
      <c r="C5410" s="502"/>
      <c r="D5410" s="497"/>
      <c r="E5410" s="497"/>
      <c r="F5410" s="502"/>
      <c r="G5410" s="497"/>
      <c r="H5410" s="497"/>
      <c r="I5410" s="497"/>
      <c r="J5410" s="497"/>
      <c r="K5410" s="500"/>
      <c r="L5410" s="497"/>
      <c r="M5410"/>
    </row>
    <row r="5411" spans="1:13" s="499" customFormat="1" x14ac:dyDescent="0.25">
      <c r="A5411" s="500"/>
      <c r="B5411" s="501"/>
      <c r="C5411" s="502"/>
      <c r="D5411" s="497"/>
      <c r="E5411" s="497"/>
      <c r="F5411" s="502"/>
      <c r="G5411" s="497"/>
      <c r="H5411" s="497"/>
      <c r="I5411" s="497"/>
      <c r="J5411" s="497"/>
      <c r="K5411" s="500"/>
      <c r="L5411" s="497"/>
      <c r="M5411"/>
    </row>
    <row r="5412" spans="1:13" s="499" customFormat="1" x14ac:dyDescent="0.25">
      <c r="A5412" s="500"/>
      <c r="B5412" s="501"/>
      <c r="C5412" s="502"/>
      <c r="D5412" s="497"/>
      <c r="E5412" s="497"/>
      <c r="F5412" s="502"/>
      <c r="G5412" s="497"/>
      <c r="H5412" s="497"/>
      <c r="I5412" s="497"/>
      <c r="J5412" s="497"/>
      <c r="K5412" s="500"/>
      <c r="L5412" s="497"/>
      <c r="M5412"/>
    </row>
    <row r="5413" spans="1:13" s="499" customFormat="1" x14ac:dyDescent="0.25">
      <c r="A5413" s="500"/>
      <c r="B5413" s="501"/>
      <c r="C5413" s="502"/>
      <c r="D5413" s="497"/>
      <c r="E5413" s="497"/>
      <c r="F5413" s="502"/>
      <c r="G5413" s="497"/>
      <c r="H5413" s="497"/>
      <c r="I5413" s="497"/>
      <c r="J5413" s="497"/>
      <c r="K5413" s="500"/>
      <c r="L5413" s="497"/>
      <c r="M5413"/>
    </row>
    <row r="5414" spans="1:13" s="499" customFormat="1" x14ac:dyDescent="0.25">
      <c r="A5414" s="500"/>
      <c r="B5414" s="501"/>
      <c r="C5414" s="502"/>
      <c r="D5414" s="497"/>
      <c r="E5414" s="497"/>
      <c r="F5414" s="502"/>
      <c r="G5414" s="497"/>
      <c r="H5414" s="497"/>
      <c r="I5414" s="497"/>
      <c r="J5414" s="497"/>
      <c r="K5414" s="500"/>
      <c r="L5414" s="497"/>
      <c r="M5414"/>
    </row>
    <row r="5415" spans="1:13" s="499" customFormat="1" x14ac:dyDescent="0.25">
      <c r="A5415" s="500"/>
      <c r="B5415" s="501"/>
      <c r="C5415" s="502"/>
      <c r="D5415" s="497"/>
      <c r="E5415" s="497"/>
      <c r="F5415" s="502"/>
      <c r="G5415" s="497"/>
      <c r="H5415" s="497"/>
      <c r="I5415" s="497"/>
      <c r="J5415" s="497"/>
      <c r="K5415" s="500"/>
      <c r="L5415" s="497"/>
      <c r="M5415"/>
    </row>
    <row r="5416" spans="1:13" s="499" customFormat="1" x14ac:dyDescent="0.25">
      <c r="A5416" s="500"/>
      <c r="B5416" s="501"/>
      <c r="C5416" s="502"/>
      <c r="D5416" s="497"/>
      <c r="E5416" s="497"/>
      <c r="F5416" s="502"/>
      <c r="G5416" s="497"/>
      <c r="H5416" s="497"/>
      <c r="I5416" s="497"/>
      <c r="J5416" s="497"/>
      <c r="K5416" s="500"/>
      <c r="L5416" s="497"/>
      <c r="M5416"/>
    </row>
    <row r="5417" spans="1:13" s="499" customFormat="1" x14ac:dyDescent="0.25">
      <c r="A5417" s="500"/>
      <c r="B5417" s="501"/>
      <c r="C5417" s="502"/>
      <c r="D5417" s="497"/>
      <c r="E5417" s="497"/>
      <c r="F5417" s="502"/>
      <c r="G5417" s="497"/>
      <c r="H5417" s="497"/>
      <c r="I5417" s="497"/>
      <c r="J5417" s="497"/>
      <c r="K5417" s="500"/>
      <c r="L5417" s="497"/>
      <c r="M5417"/>
    </row>
    <row r="5418" spans="1:13" s="499" customFormat="1" x14ac:dyDescent="0.25">
      <c r="A5418" s="500"/>
      <c r="B5418" s="501"/>
      <c r="C5418" s="502"/>
      <c r="D5418" s="497"/>
      <c r="E5418" s="497"/>
      <c r="F5418" s="502"/>
      <c r="G5418" s="497"/>
      <c r="H5418" s="497"/>
      <c r="I5418" s="497"/>
      <c r="J5418" s="497"/>
      <c r="K5418" s="500"/>
      <c r="L5418" s="497"/>
      <c r="M5418"/>
    </row>
    <row r="5419" spans="1:13" s="499" customFormat="1" x14ac:dyDescent="0.25">
      <c r="A5419" s="500"/>
      <c r="B5419" s="501"/>
      <c r="C5419" s="502"/>
      <c r="D5419" s="497"/>
      <c r="E5419" s="497"/>
      <c r="F5419" s="502"/>
      <c r="G5419" s="497"/>
      <c r="H5419" s="497"/>
      <c r="I5419" s="497"/>
      <c r="J5419" s="497"/>
      <c r="K5419" s="500"/>
      <c r="L5419" s="497"/>
      <c r="M5419"/>
    </row>
    <row r="5420" spans="1:13" s="499" customFormat="1" x14ac:dyDescent="0.25">
      <c r="A5420" s="500"/>
      <c r="B5420" s="501"/>
      <c r="C5420" s="502"/>
      <c r="D5420" s="497"/>
      <c r="E5420" s="497"/>
      <c r="F5420" s="502"/>
      <c r="G5420" s="497"/>
      <c r="H5420" s="497"/>
      <c r="I5420" s="497"/>
      <c r="J5420" s="497"/>
      <c r="K5420" s="500"/>
      <c r="L5420" s="497"/>
      <c r="M5420"/>
    </row>
    <row r="5421" spans="1:13" s="499" customFormat="1" x14ac:dyDescent="0.25">
      <c r="A5421" s="500"/>
      <c r="B5421" s="501"/>
      <c r="C5421" s="502"/>
      <c r="D5421" s="497"/>
      <c r="E5421" s="497"/>
      <c r="F5421" s="502"/>
      <c r="G5421" s="497"/>
      <c r="H5421" s="497"/>
      <c r="I5421" s="497"/>
      <c r="J5421" s="497"/>
      <c r="K5421" s="500"/>
      <c r="L5421" s="497"/>
      <c r="M5421"/>
    </row>
    <row r="5422" spans="1:13" s="499" customFormat="1" x14ac:dyDescent="0.25">
      <c r="A5422" s="500"/>
      <c r="B5422" s="501"/>
      <c r="C5422" s="502"/>
      <c r="D5422" s="497"/>
      <c r="E5422" s="497"/>
      <c r="F5422" s="502"/>
      <c r="G5422" s="497"/>
      <c r="H5422" s="497"/>
      <c r="I5422" s="497"/>
      <c r="J5422" s="497"/>
      <c r="K5422" s="500"/>
      <c r="L5422" s="497"/>
      <c r="M5422"/>
    </row>
    <row r="5423" spans="1:13" s="499" customFormat="1" x14ac:dyDescent="0.25">
      <c r="A5423" s="500"/>
      <c r="B5423" s="501"/>
      <c r="C5423" s="502"/>
      <c r="D5423" s="497"/>
      <c r="E5423" s="497"/>
      <c r="F5423" s="502"/>
      <c r="G5423" s="497"/>
      <c r="H5423" s="497"/>
      <c r="I5423" s="497"/>
      <c r="J5423" s="497"/>
      <c r="K5423" s="500"/>
      <c r="L5423" s="497"/>
      <c r="M5423"/>
    </row>
    <row r="5424" spans="1:13" s="499" customFormat="1" x14ac:dyDescent="0.25">
      <c r="A5424" s="500"/>
      <c r="B5424" s="501"/>
      <c r="C5424" s="502"/>
      <c r="D5424" s="497"/>
      <c r="E5424" s="497"/>
      <c r="F5424" s="502"/>
      <c r="G5424" s="497"/>
      <c r="H5424" s="497"/>
      <c r="I5424" s="497"/>
      <c r="J5424" s="497"/>
      <c r="K5424" s="500"/>
      <c r="L5424" s="497"/>
      <c r="M5424"/>
    </row>
    <row r="5425" spans="1:13" s="499" customFormat="1" x14ac:dyDescent="0.25">
      <c r="A5425" s="500"/>
      <c r="B5425" s="501"/>
      <c r="C5425" s="502"/>
      <c r="D5425" s="497"/>
      <c r="E5425" s="497"/>
      <c r="F5425" s="502"/>
      <c r="G5425" s="497"/>
      <c r="H5425" s="497"/>
      <c r="I5425" s="497"/>
      <c r="J5425" s="497"/>
      <c r="K5425" s="500"/>
      <c r="L5425" s="497"/>
      <c r="M5425"/>
    </row>
    <row r="5426" spans="1:13" s="499" customFormat="1" x14ac:dyDescent="0.25">
      <c r="A5426" s="500"/>
      <c r="B5426" s="501"/>
      <c r="C5426" s="502"/>
      <c r="D5426" s="497"/>
      <c r="E5426" s="497"/>
      <c r="F5426" s="502"/>
      <c r="G5426" s="497"/>
      <c r="H5426" s="497"/>
      <c r="I5426" s="497"/>
      <c r="J5426" s="497"/>
      <c r="K5426" s="500"/>
      <c r="L5426" s="497"/>
      <c r="M5426"/>
    </row>
    <row r="5427" spans="1:13" s="499" customFormat="1" x14ac:dyDescent="0.25">
      <c r="A5427" s="500"/>
      <c r="B5427" s="501"/>
      <c r="C5427" s="502"/>
      <c r="D5427" s="497"/>
      <c r="E5427" s="497"/>
      <c r="F5427" s="502"/>
      <c r="G5427" s="497"/>
      <c r="H5427" s="497"/>
      <c r="I5427" s="497"/>
      <c r="J5427" s="497"/>
      <c r="K5427" s="500"/>
      <c r="L5427" s="497"/>
      <c r="M5427"/>
    </row>
    <row r="5428" spans="1:13" s="499" customFormat="1" x14ac:dyDescent="0.25">
      <c r="A5428" s="500"/>
      <c r="B5428" s="501"/>
      <c r="C5428" s="502"/>
      <c r="D5428" s="497"/>
      <c r="E5428" s="497"/>
      <c r="F5428" s="502"/>
      <c r="G5428" s="497"/>
      <c r="H5428" s="497"/>
      <c r="I5428" s="497"/>
      <c r="J5428" s="497"/>
      <c r="K5428" s="500"/>
      <c r="L5428" s="497"/>
      <c r="M5428"/>
    </row>
    <row r="5429" spans="1:13" s="499" customFormat="1" x14ac:dyDescent="0.25">
      <c r="A5429" s="500"/>
      <c r="B5429" s="501"/>
      <c r="C5429" s="502"/>
      <c r="D5429" s="497"/>
      <c r="E5429" s="497"/>
      <c r="F5429" s="502"/>
      <c r="G5429" s="497"/>
      <c r="H5429" s="497"/>
      <c r="I5429" s="497"/>
      <c r="J5429" s="497"/>
      <c r="K5429" s="500"/>
      <c r="L5429" s="497"/>
      <c r="M5429"/>
    </row>
    <row r="5430" spans="1:13" s="499" customFormat="1" x14ac:dyDescent="0.25">
      <c r="A5430" s="500"/>
      <c r="B5430" s="501"/>
      <c r="C5430" s="502"/>
      <c r="D5430" s="497"/>
      <c r="E5430" s="497"/>
      <c r="F5430" s="502"/>
      <c r="G5430" s="497"/>
      <c r="H5430" s="497"/>
      <c r="I5430" s="497"/>
      <c r="J5430" s="497"/>
      <c r="K5430" s="500"/>
      <c r="L5430" s="497"/>
      <c r="M5430"/>
    </row>
    <row r="5431" spans="1:13" s="499" customFormat="1" x14ac:dyDescent="0.25">
      <c r="A5431" s="500"/>
      <c r="B5431" s="501"/>
      <c r="C5431" s="502"/>
      <c r="D5431" s="497"/>
      <c r="E5431" s="497"/>
      <c r="F5431" s="502"/>
      <c r="G5431" s="497"/>
      <c r="H5431" s="497"/>
      <c r="I5431" s="497"/>
      <c r="J5431" s="497"/>
      <c r="K5431" s="500"/>
      <c r="L5431" s="497"/>
      <c r="M5431"/>
    </row>
    <row r="5432" spans="1:13" s="499" customFormat="1" x14ac:dyDescent="0.25">
      <c r="A5432" s="500"/>
      <c r="B5432" s="501"/>
      <c r="C5432" s="502"/>
      <c r="D5432" s="497"/>
      <c r="E5432" s="497"/>
      <c r="F5432" s="502"/>
      <c r="G5432" s="497"/>
      <c r="H5432" s="497"/>
      <c r="I5432" s="497"/>
      <c r="J5432" s="497"/>
      <c r="K5432" s="500"/>
      <c r="L5432" s="497"/>
      <c r="M5432"/>
    </row>
    <row r="5433" spans="1:13" s="499" customFormat="1" x14ac:dyDescent="0.25">
      <c r="A5433" s="500"/>
      <c r="B5433" s="501"/>
      <c r="C5433" s="502"/>
      <c r="D5433" s="497"/>
      <c r="E5433" s="497"/>
      <c r="F5433" s="502"/>
      <c r="G5433" s="497"/>
      <c r="H5433" s="497"/>
      <c r="I5433" s="497"/>
      <c r="J5433" s="497"/>
      <c r="K5433" s="500"/>
      <c r="L5433" s="497"/>
      <c r="M5433"/>
    </row>
    <row r="5434" spans="1:13" s="499" customFormat="1" x14ac:dyDescent="0.25">
      <c r="A5434" s="500"/>
      <c r="B5434" s="501"/>
      <c r="C5434" s="502"/>
      <c r="D5434" s="497"/>
      <c r="E5434" s="497"/>
      <c r="F5434" s="502"/>
      <c r="G5434" s="497"/>
      <c r="H5434" s="497"/>
      <c r="I5434" s="497"/>
      <c r="J5434" s="497"/>
      <c r="K5434" s="500"/>
      <c r="L5434" s="497"/>
      <c r="M5434"/>
    </row>
    <row r="5435" spans="1:13" s="499" customFormat="1" x14ac:dyDescent="0.25">
      <c r="A5435" s="500"/>
      <c r="B5435" s="501"/>
      <c r="C5435" s="502"/>
      <c r="D5435" s="497"/>
      <c r="E5435" s="497"/>
      <c r="F5435" s="502"/>
      <c r="G5435" s="497"/>
      <c r="H5435" s="497"/>
      <c r="I5435" s="497"/>
      <c r="J5435" s="497"/>
      <c r="K5435" s="500"/>
      <c r="L5435" s="497"/>
      <c r="M5435"/>
    </row>
    <row r="5436" spans="1:13" s="499" customFormat="1" x14ac:dyDescent="0.25">
      <c r="A5436" s="500"/>
      <c r="B5436" s="501"/>
      <c r="C5436" s="502"/>
      <c r="D5436" s="497"/>
      <c r="E5436" s="497"/>
      <c r="F5436" s="502"/>
      <c r="G5436" s="497"/>
      <c r="H5436" s="497"/>
      <c r="I5436" s="497"/>
      <c r="J5436" s="497"/>
      <c r="K5436" s="500"/>
      <c r="L5436" s="497"/>
      <c r="M5436"/>
    </row>
    <row r="5437" spans="1:13" s="499" customFormat="1" x14ac:dyDescent="0.25">
      <c r="A5437" s="500"/>
      <c r="B5437" s="501"/>
      <c r="C5437" s="502"/>
      <c r="D5437" s="497"/>
      <c r="E5437" s="497"/>
      <c r="F5437" s="502"/>
      <c r="G5437" s="497"/>
      <c r="H5437" s="497"/>
      <c r="I5437" s="497"/>
      <c r="J5437" s="497"/>
      <c r="K5437" s="500"/>
      <c r="L5437" s="497"/>
      <c r="M5437"/>
    </row>
    <row r="5438" spans="1:13" s="499" customFormat="1" x14ac:dyDescent="0.25">
      <c r="A5438" s="500"/>
      <c r="B5438" s="501"/>
      <c r="C5438" s="502"/>
      <c r="D5438" s="497"/>
      <c r="E5438" s="497"/>
      <c r="F5438" s="502"/>
      <c r="G5438" s="497"/>
      <c r="H5438" s="497"/>
      <c r="I5438" s="497"/>
      <c r="J5438" s="497"/>
      <c r="K5438" s="500"/>
      <c r="L5438" s="497"/>
      <c r="M5438"/>
    </row>
    <row r="5439" spans="1:13" s="499" customFormat="1" x14ac:dyDescent="0.25">
      <c r="A5439" s="500"/>
      <c r="B5439" s="501"/>
      <c r="C5439" s="502"/>
      <c r="D5439" s="497"/>
      <c r="E5439" s="497"/>
      <c r="F5439" s="502"/>
      <c r="G5439" s="497"/>
      <c r="H5439" s="497"/>
      <c r="I5439" s="497"/>
      <c r="J5439" s="497"/>
      <c r="K5439" s="500"/>
      <c r="L5439" s="497"/>
      <c r="M5439"/>
    </row>
    <row r="5440" spans="1:13" s="499" customFormat="1" x14ac:dyDescent="0.25">
      <c r="A5440" s="500"/>
      <c r="B5440" s="501"/>
      <c r="C5440" s="502"/>
      <c r="D5440" s="497"/>
      <c r="E5440" s="497"/>
      <c r="F5440" s="502"/>
      <c r="G5440" s="497"/>
      <c r="H5440" s="497"/>
      <c r="I5440" s="497"/>
      <c r="J5440" s="497"/>
      <c r="K5440" s="500"/>
      <c r="L5440" s="497"/>
      <c r="M5440"/>
    </row>
    <row r="5441" spans="1:13" s="499" customFormat="1" x14ac:dyDescent="0.25">
      <c r="A5441" s="500"/>
      <c r="B5441" s="501"/>
      <c r="C5441" s="502"/>
      <c r="D5441" s="497"/>
      <c r="E5441" s="497"/>
      <c r="F5441" s="502"/>
      <c r="G5441" s="497"/>
      <c r="H5441" s="497"/>
      <c r="I5441" s="497"/>
      <c r="J5441" s="497"/>
      <c r="K5441" s="500"/>
      <c r="L5441" s="497"/>
      <c r="M5441"/>
    </row>
    <row r="5442" spans="1:13" s="499" customFormat="1" x14ac:dyDescent="0.25">
      <c r="A5442" s="500"/>
      <c r="B5442" s="501"/>
      <c r="C5442" s="502"/>
      <c r="D5442" s="497"/>
      <c r="E5442" s="497"/>
      <c r="F5442" s="502"/>
      <c r="G5442" s="497"/>
      <c r="H5442" s="497"/>
      <c r="I5442" s="497"/>
      <c r="J5442" s="497"/>
      <c r="K5442" s="500"/>
      <c r="L5442" s="497"/>
      <c r="M5442"/>
    </row>
    <row r="5443" spans="1:13" s="499" customFormat="1" x14ac:dyDescent="0.25">
      <c r="A5443" s="500"/>
      <c r="B5443" s="501"/>
      <c r="C5443" s="502"/>
      <c r="D5443" s="497"/>
      <c r="E5443" s="497"/>
      <c r="F5443" s="502"/>
      <c r="G5443" s="497"/>
      <c r="H5443" s="497"/>
      <c r="I5443" s="497"/>
      <c r="J5443" s="497"/>
      <c r="K5443" s="500"/>
      <c r="L5443" s="497"/>
      <c r="M5443"/>
    </row>
    <row r="5444" spans="1:13" s="499" customFormat="1" x14ac:dyDescent="0.25">
      <c r="A5444" s="500"/>
      <c r="B5444" s="501"/>
      <c r="C5444" s="502"/>
      <c r="D5444" s="497"/>
      <c r="E5444" s="497"/>
      <c r="F5444" s="502"/>
      <c r="G5444" s="497"/>
      <c r="H5444" s="497"/>
      <c r="I5444" s="497"/>
      <c r="J5444" s="497"/>
      <c r="K5444" s="500"/>
      <c r="L5444" s="497"/>
      <c r="M5444"/>
    </row>
    <row r="5445" spans="1:13" s="499" customFormat="1" x14ac:dyDescent="0.25">
      <c r="A5445" s="500"/>
      <c r="B5445" s="501"/>
      <c r="C5445" s="502"/>
      <c r="D5445" s="497"/>
      <c r="E5445" s="497"/>
      <c r="F5445" s="502"/>
      <c r="G5445" s="497"/>
      <c r="H5445" s="497"/>
      <c r="I5445" s="497"/>
      <c r="J5445" s="497"/>
      <c r="K5445" s="500"/>
      <c r="L5445" s="497"/>
      <c r="M5445"/>
    </row>
    <row r="5446" spans="1:13" s="499" customFormat="1" x14ac:dyDescent="0.25">
      <c r="A5446" s="500"/>
      <c r="B5446" s="501"/>
      <c r="C5446" s="502"/>
      <c r="D5446" s="497"/>
      <c r="E5446" s="497"/>
      <c r="F5446" s="502"/>
      <c r="G5446" s="497"/>
      <c r="H5446" s="497"/>
      <c r="I5446" s="497"/>
      <c r="J5446" s="497"/>
      <c r="K5446" s="500"/>
      <c r="L5446" s="497"/>
      <c r="M5446"/>
    </row>
    <row r="5447" spans="1:13" s="499" customFormat="1" x14ac:dyDescent="0.25">
      <c r="A5447" s="500"/>
      <c r="B5447" s="501"/>
      <c r="C5447" s="502"/>
      <c r="D5447" s="497"/>
      <c r="E5447" s="497"/>
      <c r="F5447" s="502"/>
      <c r="G5447" s="497"/>
      <c r="H5447" s="497"/>
      <c r="I5447" s="497"/>
      <c r="J5447" s="497"/>
      <c r="K5447" s="500"/>
      <c r="L5447" s="497"/>
      <c r="M5447"/>
    </row>
    <row r="5448" spans="1:13" s="499" customFormat="1" x14ac:dyDescent="0.25">
      <c r="A5448" s="500"/>
      <c r="B5448" s="501"/>
      <c r="C5448" s="502"/>
      <c r="D5448" s="497"/>
      <c r="E5448" s="497"/>
      <c r="F5448" s="502"/>
      <c r="G5448" s="497"/>
      <c r="H5448" s="497"/>
      <c r="I5448" s="497"/>
      <c r="J5448" s="497"/>
      <c r="K5448" s="500"/>
      <c r="L5448" s="497"/>
      <c r="M5448"/>
    </row>
    <row r="5449" spans="1:13" s="499" customFormat="1" x14ac:dyDescent="0.25">
      <c r="A5449" s="500"/>
      <c r="B5449" s="501"/>
      <c r="C5449" s="502"/>
      <c r="D5449" s="497"/>
      <c r="E5449" s="497"/>
      <c r="F5449" s="502"/>
      <c r="G5449" s="497"/>
      <c r="H5449" s="497"/>
      <c r="I5449" s="497"/>
      <c r="J5449" s="497"/>
      <c r="K5449" s="500"/>
      <c r="L5449" s="497"/>
      <c r="M5449"/>
    </row>
    <row r="5450" spans="1:13" s="499" customFormat="1" x14ac:dyDescent="0.25">
      <c r="A5450" s="500"/>
      <c r="B5450" s="501"/>
      <c r="C5450" s="502"/>
      <c r="D5450" s="497"/>
      <c r="E5450" s="497"/>
      <c r="F5450" s="502"/>
      <c r="G5450" s="497"/>
      <c r="H5450" s="497"/>
      <c r="I5450" s="497"/>
      <c r="J5450" s="497"/>
      <c r="K5450" s="500"/>
      <c r="L5450" s="497"/>
      <c r="M5450"/>
    </row>
    <row r="5451" spans="1:13" s="499" customFormat="1" x14ac:dyDescent="0.25">
      <c r="A5451" s="500"/>
      <c r="B5451" s="501"/>
      <c r="C5451" s="502"/>
      <c r="D5451" s="497"/>
      <c r="E5451" s="497"/>
      <c r="F5451" s="502"/>
      <c r="G5451" s="497"/>
      <c r="H5451" s="497"/>
      <c r="I5451" s="497"/>
      <c r="J5451" s="497"/>
      <c r="K5451" s="500"/>
      <c r="L5451" s="497"/>
      <c r="M5451"/>
    </row>
    <row r="5452" spans="1:13" s="499" customFormat="1" x14ac:dyDescent="0.25">
      <c r="A5452" s="500"/>
      <c r="B5452" s="501"/>
      <c r="C5452" s="502"/>
      <c r="D5452" s="497"/>
      <c r="E5452" s="497"/>
      <c r="F5452" s="502"/>
      <c r="G5452" s="497"/>
      <c r="H5452" s="497"/>
      <c r="I5452" s="497"/>
      <c r="J5452" s="497"/>
      <c r="K5452" s="500"/>
      <c r="L5452" s="497"/>
      <c r="M5452"/>
    </row>
    <row r="5453" spans="1:13" s="499" customFormat="1" x14ac:dyDescent="0.25">
      <c r="A5453" s="500"/>
      <c r="B5453" s="501"/>
      <c r="C5453" s="502"/>
      <c r="D5453" s="497"/>
      <c r="E5453" s="497"/>
      <c r="F5453" s="502"/>
      <c r="G5453" s="497"/>
      <c r="H5453" s="497"/>
      <c r="I5453" s="497"/>
      <c r="J5453" s="497"/>
      <c r="K5453" s="500"/>
      <c r="L5453" s="497"/>
      <c r="M5453"/>
    </row>
    <row r="5454" spans="1:13" s="499" customFormat="1" x14ac:dyDescent="0.25">
      <c r="A5454" s="500"/>
      <c r="B5454" s="501"/>
      <c r="C5454" s="502"/>
      <c r="D5454" s="497"/>
      <c r="E5454" s="497"/>
      <c r="F5454" s="502"/>
      <c r="G5454" s="497"/>
      <c r="H5454" s="497"/>
      <c r="I5454" s="497"/>
      <c r="J5454" s="497"/>
      <c r="K5454" s="500"/>
      <c r="L5454" s="497"/>
      <c r="M5454"/>
    </row>
    <row r="5455" spans="1:13" s="499" customFormat="1" x14ac:dyDescent="0.25">
      <c r="A5455" s="500"/>
      <c r="B5455" s="501"/>
      <c r="C5455" s="502"/>
      <c r="D5455" s="497"/>
      <c r="E5455" s="497"/>
      <c r="F5455" s="502"/>
      <c r="G5455" s="497"/>
      <c r="H5455" s="497"/>
      <c r="I5455" s="497"/>
      <c r="J5455" s="497"/>
      <c r="K5455" s="500"/>
      <c r="L5455" s="497"/>
      <c r="M5455"/>
    </row>
    <row r="5456" spans="1:13" s="499" customFormat="1" x14ac:dyDescent="0.25">
      <c r="A5456" s="500"/>
      <c r="B5456" s="501"/>
      <c r="C5456" s="502"/>
      <c r="D5456" s="497"/>
      <c r="E5456" s="497"/>
      <c r="F5456" s="502"/>
      <c r="G5456" s="497"/>
      <c r="H5456" s="497"/>
      <c r="I5456" s="497"/>
      <c r="J5456" s="497"/>
      <c r="K5456" s="500"/>
      <c r="L5456" s="497"/>
      <c r="M5456"/>
    </row>
    <row r="5457" spans="1:13" s="499" customFormat="1" x14ac:dyDescent="0.25">
      <c r="A5457" s="500"/>
      <c r="B5457" s="501"/>
      <c r="C5457" s="502"/>
      <c r="D5457" s="497"/>
      <c r="E5457" s="497"/>
      <c r="F5457" s="502"/>
      <c r="G5457" s="497"/>
      <c r="H5457" s="497"/>
      <c r="I5457" s="497"/>
      <c r="J5457" s="497"/>
      <c r="K5457" s="500"/>
      <c r="L5457" s="497"/>
      <c r="M5457"/>
    </row>
    <row r="5458" spans="1:13" s="499" customFormat="1" x14ac:dyDescent="0.25">
      <c r="A5458" s="500"/>
      <c r="B5458" s="501"/>
      <c r="C5458" s="502"/>
      <c r="D5458" s="497"/>
      <c r="E5458" s="497"/>
      <c r="F5458" s="502"/>
      <c r="G5458" s="497"/>
      <c r="H5458" s="497"/>
      <c r="I5458" s="497"/>
      <c r="J5458" s="497"/>
      <c r="K5458" s="500"/>
      <c r="L5458" s="497"/>
      <c r="M5458"/>
    </row>
    <row r="5459" spans="1:13" s="499" customFormat="1" x14ac:dyDescent="0.25">
      <c r="A5459" s="500"/>
      <c r="B5459" s="501"/>
      <c r="C5459" s="502"/>
      <c r="D5459" s="497"/>
      <c r="E5459" s="497"/>
      <c r="F5459" s="502"/>
      <c r="G5459" s="497"/>
      <c r="H5459" s="497"/>
      <c r="I5459" s="497"/>
      <c r="J5459" s="497"/>
      <c r="K5459" s="500"/>
      <c r="L5459" s="497"/>
      <c r="M5459"/>
    </row>
    <row r="5460" spans="1:13" s="499" customFormat="1" x14ac:dyDescent="0.25">
      <c r="A5460" s="500"/>
      <c r="B5460" s="501"/>
      <c r="C5460" s="502"/>
      <c r="D5460" s="497"/>
      <c r="E5460" s="497"/>
      <c r="F5460" s="502"/>
      <c r="G5460" s="497"/>
      <c r="H5460" s="497"/>
      <c r="I5460" s="497"/>
      <c r="J5460" s="497"/>
      <c r="K5460" s="500"/>
      <c r="L5460" s="497"/>
      <c r="M5460"/>
    </row>
    <row r="5461" spans="1:13" s="499" customFormat="1" x14ac:dyDescent="0.25">
      <c r="A5461" s="500"/>
      <c r="B5461" s="501"/>
      <c r="C5461" s="502"/>
      <c r="D5461" s="497"/>
      <c r="E5461" s="497"/>
      <c r="F5461" s="502"/>
      <c r="G5461" s="497"/>
      <c r="H5461" s="497"/>
      <c r="I5461" s="497"/>
      <c r="J5461" s="497"/>
      <c r="K5461" s="500"/>
      <c r="L5461" s="497"/>
      <c r="M5461"/>
    </row>
    <row r="5462" spans="1:13" s="499" customFormat="1" x14ac:dyDescent="0.25">
      <c r="A5462" s="500"/>
      <c r="B5462" s="501"/>
      <c r="C5462" s="502"/>
      <c r="D5462" s="497"/>
      <c r="E5462" s="497"/>
      <c r="F5462" s="502"/>
      <c r="G5462" s="497"/>
      <c r="H5462" s="497"/>
      <c r="I5462" s="497"/>
      <c r="J5462" s="497"/>
      <c r="K5462" s="500"/>
      <c r="L5462" s="497"/>
      <c r="M5462"/>
    </row>
    <row r="5463" spans="1:13" s="499" customFormat="1" x14ac:dyDescent="0.25">
      <c r="A5463" s="500"/>
      <c r="B5463" s="501"/>
      <c r="C5463" s="502"/>
      <c r="D5463" s="497"/>
      <c r="E5463" s="497"/>
      <c r="F5463" s="502"/>
      <c r="G5463" s="497"/>
      <c r="H5463" s="497"/>
      <c r="I5463" s="497"/>
      <c r="J5463" s="497"/>
      <c r="K5463" s="500"/>
      <c r="L5463" s="497"/>
      <c r="M5463"/>
    </row>
    <row r="5464" spans="1:13" s="499" customFormat="1" x14ac:dyDescent="0.25">
      <c r="A5464" s="500"/>
      <c r="B5464" s="501"/>
      <c r="C5464" s="502"/>
      <c r="D5464" s="497"/>
      <c r="E5464" s="497"/>
      <c r="F5464" s="502"/>
      <c r="G5464" s="497"/>
      <c r="H5464" s="497"/>
      <c r="I5464" s="497"/>
      <c r="J5464" s="497"/>
      <c r="K5464" s="500"/>
      <c r="L5464" s="497"/>
      <c r="M5464"/>
    </row>
    <row r="5465" spans="1:13" s="499" customFormat="1" x14ac:dyDescent="0.25">
      <c r="A5465" s="500"/>
      <c r="B5465" s="501"/>
      <c r="C5465" s="502"/>
      <c r="D5465" s="497"/>
      <c r="E5465" s="497"/>
      <c r="F5465" s="502"/>
      <c r="G5465" s="497"/>
      <c r="H5465" s="497"/>
      <c r="I5465" s="497"/>
      <c r="J5465" s="497"/>
      <c r="K5465" s="500"/>
      <c r="L5465" s="497"/>
      <c r="M5465"/>
    </row>
    <row r="5466" spans="1:13" s="499" customFormat="1" x14ac:dyDescent="0.25">
      <c r="A5466" s="500"/>
      <c r="B5466" s="501"/>
      <c r="C5466" s="502"/>
      <c r="D5466" s="497"/>
      <c r="E5466" s="497"/>
      <c r="F5466" s="502"/>
      <c r="G5466" s="497"/>
      <c r="H5466" s="497"/>
      <c r="I5466" s="497"/>
      <c r="J5466" s="497"/>
      <c r="K5466" s="500"/>
      <c r="L5466" s="497"/>
      <c r="M5466"/>
    </row>
    <row r="5467" spans="1:13" s="499" customFormat="1" x14ac:dyDescent="0.25">
      <c r="A5467" s="500"/>
      <c r="B5467" s="501"/>
      <c r="C5467" s="502"/>
      <c r="D5467" s="497"/>
      <c r="E5467" s="497"/>
      <c r="F5467" s="502"/>
      <c r="G5467" s="497"/>
      <c r="H5467" s="497"/>
      <c r="I5467" s="497"/>
      <c r="J5467" s="497"/>
      <c r="K5467" s="500"/>
      <c r="L5467" s="497"/>
      <c r="M5467"/>
    </row>
    <row r="5468" spans="1:13" s="499" customFormat="1" x14ac:dyDescent="0.25">
      <c r="A5468" s="500"/>
      <c r="B5468" s="501"/>
      <c r="C5468" s="502"/>
      <c r="D5468" s="497"/>
      <c r="E5468" s="497"/>
      <c r="F5468" s="502"/>
      <c r="G5468" s="497"/>
      <c r="H5468" s="497"/>
      <c r="I5468" s="497"/>
      <c r="J5468" s="497"/>
      <c r="K5468" s="500"/>
      <c r="L5468" s="497"/>
      <c r="M5468"/>
    </row>
    <row r="5469" spans="1:13" s="499" customFormat="1" x14ac:dyDescent="0.25">
      <c r="A5469" s="500"/>
      <c r="B5469" s="501"/>
      <c r="C5469" s="502"/>
      <c r="D5469" s="497"/>
      <c r="E5469" s="497"/>
      <c r="F5469" s="502"/>
      <c r="G5469" s="497"/>
      <c r="H5469" s="497"/>
      <c r="I5469" s="497"/>
      <c r="J5469" s="497"/>
      <c r="K5469" s="500"/>
      <c r="L5469" s="497"/>
      <c r="M5469"/>
    </row>
    <row r="5470" spans="1:13" s="499" customFormat="1" x14ac:dyDescent="0.25">
      <c r="A5470" s="500"/>
      <c r="B5470" s="501"/>
      <c r="C5470" s="502"/>
      <c r="D5470" s="497"/>
      <c r="E5470" s="497"/>
      <c r="F5470" s="502"/>
      <c r="G5470" s="497"/>
      <c r="H5470" s="497"/>
      <c r="I5470" s="497"/>
      <c r="J5470" s="497"/>
      <c r="K5470" s="500"/>
      <c r="L5470" s="497"/>
      <c r="M5470"/>
    </row>
    <row r="5471" spans="1:13" s="499" customFormat="1" x14ac:dyDescent="0.25">
      <c r="A5471" s="500"/>
      <c r="B5471" s="501"/>
      <c r="C5471" s="502"/>
      <c r="D5471" s="497"/>
      <c r="E5471" s="497"/>
      <c r="F5471" s="502"/>
      <c r="G5471" s="497"/>
      <c r="H5471" s="497"/>
      <c r="I5471" s="497"/>
      <c r="J5471" s="497"/>
      <c r="K5471" s="500"/>
      <c r="L5471" s="497"/>
      <c r="M5471"/>
    </row>
    <row r="5472" spans="1:13" s="499" customFormat="1" x14ac:dyDescent="0.25">
      <c r="A5472" s="500"/>
      <c r="B5472" s="501"/>
      <c r="C5472" s="502"/>
      <c r="D5472" s="497"/>
      <c r="E5472" s="497"/>
      <c r="F5472" s="502"/>
      <c r="G5472" s="497"/>
      <c r="H5472" s="497"/>
      <c r="I5472" s="497"/>
      <c r="J5472" s="497"/>
      <c r="K5472" s="500"/>
      <c r="L5472" s="497"/>
      <c r="M5472"/>
    </row>
    <row r="5473" spans="1:13" s="499" customFormat="1" x14ac:dyDescent="0.25">
      <c r="A5473" s="500"/>
      <c r="B5473" s="501"/>
      <c r="C5473" s="502"/>
      <c r="D5473" s="497"/>
      <c r="E5473" s="497"/>
      <c r="F5473" s="502"/>
      <c r="G5473" s="497"/>
      <c r="H5473" s="497"/>
      <c r="I5473" s="497"/>
      <c r="J5473" s="497"/>
      <c r="K5473" s="500"/>
      <c r="L5473" s="497"/>
      <c r="M5473"/>
    </row>
    <row r="5474" spans="1:13" s="499" customFormat="1" x14ac:dyDescent="0.25">
      <c r="A5474" s="500"/>
      <c r="B5474" s="501"/>
      <c r="C5474" s="502"/>
      <c r="D5474" s="497"/>
      <c r="E5474" s="497"/>
      <c r="F5474" s="502"/>
      <c r="G5474" s="497"/>
      <c r="H5474" s="497"/>
      <c r="I5474" s="497"/>
      <c r="J5474" s="497"/>
      <c r="K5474" s="500"/>
      <c r="L5474" s="497"/>
      <c r="M5474"/>
    </row>
    <row r="5475" spans="1:13" s="499" customFormat="1" x14ac:dyDescent="0.25">
      <c r="A5475" s="500"/>
      <c r="B5475" s="501"/>
      <c r="C5475" s="502"/>
      <c r="D5475" s="497"/>
      <c r="E5475" s="497"/>
      <c r="F5475" s="502"/>
      <c r="G5475" s="497"/>
      <c r="H5475" s="497"/>
      <c r="I5475" s="497"/>
      <c r="J5475" s="497"/>
      <c r="K5475" s="500"/>
      <c r="L5475" s="497"/>
      <c r="M5475"/>
    </row>
    <row r="5476" spans="1:13" s="499" customFormat="1" x14ac:dyDescent="0.25">
      <c r="A5476" s="500"/>
      <c r="B5476" s="501"/>
      <c r="C5476" s="502"/>
      <c r="D5476" s="497"/>
      <c r="E5476" s="497"/>
      <c r="F5476" s="502"/>
      <c r="G5476" s="497"/>
      <c r="H5476" s="497"/>
      <c r="I5476" s="497"/>
      <c r="J5476" s="497"/>
      <c r="K5476" s="500"/>
      <c r="L5476" s="497"/>
      <c r="M5476"/>
    </row>
    <row r="5477" spans="1:13" s="499" customFormat="1" x14ac:dyDescent="0.25">
      <c r="A5477" s="500"/>
      <c r="B5477" s="501"/>
      <c r="C5477" s="502"/>
      <c r="D5477" s="497"/>
      <c r="E5477" s="497"/>
      <c r="F5477" s="502"/>
      <c r="G5477" s="497"/>
      <c r="H5477" s="497"/>
      <c r="I5477" s="497"/>
      <c r="J5477" s="497"/>
      <c r="K5477" s="500"/>
      <c r="L5477" s="497"/>
      <c r="M5477"/>
    </row>
    <row r="5478" spans="1:13" s="499" customFormat="1" x14ac:dyDescent="0.25">
      <c r="A5478" s="500"/>
      <c r="B5478" s="501"/>
      <c r="C5478" s="502"/>
      <c r="D5478" s="497"/>
      <c r="E5478" s="497"/>
      <c r="F5478" s="502"/>
      <c r="G5478" s="497"/>
      <c r="H5478" s="497"/>
      <c r="I5478" s="497"/>
      <c r="J5478" s="497"/>
      <c r="K5478" s="500"/>
      <c r="L5478" s="497"/>
      <c r="M5478"/>
    </row>
    <row r="5479" spans="1:13" s="499" customFormat="1" x14ac:dyDescent="0.25">
      <c r="A5479" s="500"/>
      <c r="B5479" s="501"/>
      <c r="C5479" s="502"/>
      <c r="D5479" s="497"/>
      <c r="E5479" s="497"/>
      <c r="F5479" s="502"/>
      <c r="G5479" s="497"/>
      <c r="H5479" s="497"/>
      <c r="I5479" s="497"/>
      <c r="J5479" s="497"/>
      <c r="K5479" s="500"/>
      <c r="L5479" s="497"/>
      <c r="M5479"/>
    </row>
    <row r="5480" spans="1:13" s="499" customFormat="1" x14ac:dyDescent="0.25">
      <c r="A5480" s="500"/>
      <c r="B5480" s="501"/>
      <c r="C5480" s="502"/>
      <c r="D5480" s="497"/>
      <c r="E5480" s="497"/>
      <c r="F5480" s="502"/>
      <c r="G5480" s="497"/>
      <c r="H5480" s="497"/>
      <c r="I5480" s="497"/>
      <c r="J5480" s="497"/>
      <c r="K5480" s="500"/>
      <c r="L5480" s="497"/>
      <c r="M5480"/>
    </row>
    <row r="5481" spans="1:13" s="499" customFormat="1" x14ac:dyDescent="0.25">
      <c r="A5481" s="500"/>
      <c r="B5481" s="501"/>
      <c r="C5481" s="502"/>
      <c r="D5481" s="497"/>
      <c r="E5481" s="497"/>
      <c r="F5481" s="502"/>
      <c r="G5481" s="497"/>
      <c r="H5481" s="497"/>
      <c r="I5481" s="497"/>
      <c r="J5481" s="497"/>
      <c r="K5481" s="500"/>
      <c r="L5481" s="497"/>
      <c r="M5481"/>
    </row>
    <row r="5482" spans="1:13" s="499" customFormat="1" x14ac:dyDescent="0.25">
      <c r="A5482" s="500"/>
      <c r="B5482" s="501"/>
      <c r="C5482" s="502"/>
      <c r="D5482" s="497"/>
      <c r="E5482" s="497"/>
      <c r="F5482" s="502"/>
      <c r="G5482" s="497"/>
      <c r="H5482" s="497"/>
      <c r="I5482" s="497"/>
      <c r="J5482" s="497"/>
      <c r="K5482" s="500"/>
      <c r="L5482" s="497"/>
      <c r="M5482"/>
    </row>
    <row r="5483" spans="1:13" s="499" customFormat="1" x14ac:dyDescent="0.25">
      <c r="A5483" s="500"/>
      <c r="B5483" s="501"/>
      <c r="C5483" s="502"/>
      <c r="D5483" s="497"/>
      <c r="E5483" s="497"/>
      <c r="F5483" s="502"/>
      <c r="G5483" s="497"/>
      <c r="H5483" s="497"/>
      <c r="I5483" s="497"/>
      <c r="J5483" s="497"/>
      <c r="K5483" s="500"/>
      <c r="L5483" s="497"/>
      <c r="M5483"/>
    </row>
    <row r="5484" spans="1:13" s="499" customFormat="1" x14ac:dyDescent="0.25">
      <c r="A5484" s="500"/>
      <c r="B5484" s="501"/>
      <c r="C5484" s="502"/>
      <c r="D5484" s="497"/>
      <c r="E5484" s="497"/>
      <c r="F5484" s="502"/>
      <c r="G5484" s="497"/>
      <c r="H5484" s="497"/>
      <c r="I5484" s="497"/>
      <c r="J5484" s="497"/>
      <c r="K5484" s="500"/>
      <c r="L5484" s="497"/>
      <c r="M5484"/>
    </row>
    <row r="5485" spans="1:13" s="499" customFormat="1" x14ac:dyDescent="0.25">
      <c r="A5485" s="500"/>
      <c r="B5485" s="501"/>
      <c r="C5485" s="502"/>
      <c r="D5485" s="497"/>
      <c r="E5485" s="497"/>
      <c r="F5485" s="502"/>
      <c r="G5485" s="497"/>
      <c r="H5485" s="497"/>
      <c r="I5485" s="497"/>
      <c r="J5485" s="497"/>
      <c r="K5485" s="500"/>
      <c r="L5485" s="497"/>
      <c r="M5485"/>
    </row>
    <row r="5486" spans="1:13" s="499" customFormat="1" x14ac:dyDescent="0.25">
      <c r="A5486" s="500"/>
      <c r="B5486" s="501"/>
      <c r="C5486" s="502"/>
      <c r="D5486" s="497"/>
      <c r="E5486" s="497"/>
      <c r="F5486" s="502"/>
      <c r="G5486" s="497"/>
      <c r="H5486" s="497"/>
      <c r="I5486" s="497"/>
      <c r="J5486" s="497"/>
      <c r="K5486" s="500"/>
      <c r="L5486" s="497"/>
      <c r="M5486"/>
    </row>
    <row r="5487" spans="1:13" s="499" customFormat="1" x14ac:dyDescent="0.25">
      <c r="A5487" s="500"/>
      <c r="B5487" s="501"/>
      <c r="C5487" s="502"/>
      <c r="D5487" s="497"/>
      <c r="E5487" s="497"/>
      <c r="F5487" s="502"/>
      <c r="G5487" s="497"/>
      <c r="H5487" s="497"/>
      <c r="I5487" s="497"/>
      <c r="J5487" s="497"/>
      <c r="K5487" s="500"/>
      <c r="L5487" s="497"/>
      <c r="M5487"/>
    </row>
    <row r="5488" spans="1:13" s="499" customFormat="1" x14ac:dyDescent="0.25">
      <c r="A5488" s="500"/>
      <c r="B5488" s="501"/>
      <c r="C5488" s="502"/>
      <c r="D5488" s="497"/>
      <c r="E5488" s="497"/>
      <c r="F5488" s="502"/>
      <c r="G5488" s="497"/>
      <c r="H5488" s="497"/>
      <c r="I5488" s="497"/>
      <c r="J5488" s="497"/>
      <c r="K5488" s="500"/>
      <c r="L5488" s="497"/>
      <c r="M5488"/>
    </row>
    <row r="5489" spans="1:13" s="499" customFormat="1" x14ac:dyDescent="0.25">
      <c r="A5489" s="500"/>
      <c r="B5489" s="501"/>
      <c r="C5489" s="502"/>
      <c r="D5489" s="497"/>
      <c r="E5489" s="497"/>
      <c r="F5489" s="502"/>
      <c r="G5489" s="497"/>
      <c r="H5489" s="497"/>
      <c r="I5489" s="497"/>
      <c r="J5489" s="497"/>
      <c r="K5489" s="500"/>
      <c r="L5489" s="497"/>
      <c r="M5489"/>
    </row>
    <row r="5490" spans="1:13" s="499" customFormat="1" x14ac:dyDescent="0.25">
      <c r="A5490" s="500"/>
      <c r="B5490" s="501"/>
      <c r="C5490" s="502"/>
      <c r="D5490" s="497"/>
      <c r="E5490" s="497"/>
      <c r="F5490" s="502"/>
      <c r="G5490" s="497"/>
      <c r="H5490" s="497"/>
      <c r="I5490" s="497"/>
      <c r="J5490" s="497"/>
      <c r="K5490" s="500"/>
      <c r="L5490" s="497"/>
      <c r="M5490"/>
    </row>
    <row r="5491" spans="1:13" s="499" customFormat="1" x14ac:dyDescent="0.25">
      <c r="A5491" s="500"/>
      <c r="B5491" s="501"/>
      <c r="C5491" s="502"/>
      <c r="D5491" s="497"/>
      <c r="E5491" s="497"/>
      <c r="F5491" s="502"/>
      <c r="G5491" s="497"/>
      <c r="H5491" s="497"/>
      <c r="I5491" s="497"/>
      <c r="J5491" s="497"/>
      <c r="K5491" s="500"/>
      <c r="L5491" s="497"/>
      <c r="M5491"/>
    </row>
    <row r="5492" spans="1:13" s="499" customFormat="1" x14ac:dyDescent="0.25">
      <c r="A5492" s="500"/>
      <c r="B5492" s="501"/>
      <c r="C5492" s="502"/>
      <c r="D5492" s="497"/>
      <c r="E5492" s="497"/>
      <c r="F5492" s="502"/>
      <c r="G5492" s="497"/>
      <c r="H5492" s="497"/>
      <c r="I5492" s="497"/>
      <c r="J5492" s="497"/>
      <c r="K5492" s="500"/>
      <c r="L5492" s="497"/>
      <c r="M5492"/>
    </row>
    <row r="5493" spans="1:13" s="499" customFormat="1" x14ac:dyDescent="0.25">
      <c r="A5493" s="500"/>
      <c r="B5493" s="501"/>
      <c r="C5493" s="502"/>
      <c r="D5493" s="497"/>
      <c r="E5493" s="497"/>
      <c r="F5493" s="502"/>
      <c r="G5493" s="497"/>
      <c r="H5493" s="497"/>
      <c r="I5493" s="497"/>
      <c r="J5493" s="497"/>
      <c r="K5493" s="500"/>
      <c r="L5493" s="497"/>
      <c r="M5493"/>
    </row>
    <row r="5494" spans="1:13" s="499" customFormat="1" x14ac:dyDescent="0.25">
      <c r="A5494" s="500"/>
      <c r="B5494" s="501"/>
      <c r="C5494" s="502"/>
      <c r="D5494" s="497"/>
      <c r="E5494" s="497"/>
      <c r="F5494" s="502"/>
      <c r="G5494" s="497"/>
      <c r="H5494" s="497"/>
      <c r="I5494" s="497"/>
      <c r="J5494" s="497"/>
      <c r="K5494" s="500"/>
      <c r="L5494" s="497"/>
      <c r="M5494"/>
    </row>
    <row r="5495" spans="1:13" s="499" customFormat="1" x14ac:dyDescent="0.25">
      <c r="A5495" s="500"/>
      <c r="B5495" s="501"/>
      <c r="C5495" s="502"/>
      <c r="D5495" s="497"/>
      <c r="E5495" s="497"/>
      <c r="F5495" s="502"/>
      <c r="G5495" s="497"/>
      <c r="H5495" s="497"/>
      <c r="I5495" s="497"/>
      <c r="J5495" s="497"/>
      <c r="K5495" s="500"/>
      <c r="L5495" s="497"/>
      <c r="M5495"/>
    </row>
    <row r="5496" spans="1:13" s="499" customFormat="1" x14ac:dyDescent="0.25">
      <c r="A5496" s="500"/>
      <c r="B5496" s="501"/>
      <c r="C5496" s="502"/>
      <c r="D5496" s="497"/>
      <c r="E5496" s="497"/>
      <c r="F5496" s="502"/>
      <c r="G5496" s="497"/>
      <c r="H5496" s="497"/>
      <c r="I5496" s="497"/>
      <c r="J5496" s="497"/>
      <c r="K5496" s="500"/>
      <c r="L5496" s="497"/>
      <c r="M5496"/>
    </row>
    <row r="5497" spans="1:13" s="499" customFormat="1" x14ac:dyDescent="0.25">
      <c r="A5497" s="500"/>
      <c r="B5497" s="501"/>
      <c r="C5497" s="502"/>
      <c r="D5497" s="497"/>
      <c r="E5497" s="497"/>
      <c r="F5497" s="502"/>
      <c r="G5497" s="497"/>
      <c r="H5497" s="497"/>
      <c r="I5497" s="497"/>
      <c r="J5497" s="497"/>
      <c r="K5497" s="500"/>
      <c r="L5497" s="497"/>
      <c r="M5497"/>
    </row>
    <row r="5498" spans="1:13" s="499" customFormat="1" x14ac:dyDescent="0.25">
      <c r="A5498" s="500"/>
      <c r="B5498" s="501"/>
      <c r="C5498" s="502"/>
      <c r="D5498" s="497"/>
      <c r="E5498" s="497"/>
      <c r="F5498" s="502"/>
      <c r="G5498" s="497"/>
      <c r="H5498" s="497"/>
      <c r="I5498" s="497"/>
      <c r="J5498" s="497"/>
      <c r="K5498" s="500"/>
      <c r="L5498" s="497"/>
      <c r="M5498"/>
    </row>
    <row r="5499" spans="1:13" s="499" customFormat="1" x14ac:dyDescent="0.25">
      <c r="A5499" s="500"/>
      <c r="B5499" s="501"/>
      <c r="C5499" s="502"/>
      <c r="D5499" s="497"/>
      <c r="E5499" s="497"/>
      <c r="F5499" s="502"/>
      <c r="G5499" s="497"/>
      <c r="H5499" s="497"/>
      <c r="I5499" s="497"/>
      <c r="J5499" s="497"/>
      <c r="K5499" s="500"/>
      <c r="L5499" s="497"/>
      <c r="M5499"/>
    </row>
    <row r="5500" spans="1:13" s="499" customFormat="1" x14ac:dyDescent="0.25">
      <c r="A5500" s="500"/>
      <c r="B5500" s="501"/>
      <c r="C5500" s="502"/>
      <c r="D5500" s="497"/>
      <c r="E5500" s="497"/>
      <c r="F5500" s="502"/>
      <c r="G5500" s="497"/>
      <c r="H5500" s="497"/>
      <c r="I5500" s="497"/>
      <c r="J5500" s="497"/>
      <c r="K5500" s="500"/>
      <c r="L5500" s="497"/>
      <c r="M5500"/>
    </row>
    <row r="5501" spans="1:13" s="499" customFormat="1" x14ac:dyDescent="0.25">
      <c r="A5501" s="500"/>
      <c r="B5501" s="501"/>
      <c r="C5501" s="502"/>
      <c r="D5501" s="497"/>
      <c r="E5501" s="497"/>
      <c r="F5501" s="502"/>
      <c r="G5501" s="497"/>
      <c r="H5501" s="497"/>
      <c r="I5501" s="497"/>
      <c r="J5501" s="497"/>
      <c r="K5501" s="500"/>
      <c r="L5501" s="497"/>
      <c r="M5501"/>
    </row>
    <row r="5502" spans="1:13" s="499" customFormat="1" x14ac:dyDescent="0.25">
      <c r="A5502" s="500"/>
      <c r="B5502" s="501"/>
      <c r="C5502" s="502"/>
      <c r="D5502" s="497"/>
      <c r="E5502" s="497"/>
      <c r="F5502" s="502"/>
      <c r="G5502" s="497"/>
      <c r="H5502" s="497"/>
      <c r="I5502" s="497"/>
      <c r="J5502" s="497"/>
      <c r="K5502" s="500"/>
      <c r="L5502" s="497"/>
      <c r="M5502"/>
    </row>
    <row r="5503" spans="1:13" s="499" customFormat="1" x14ac:dyDescent="0.25">
      <c r="A5503" s="500"/>
      <c r="B5503" s="501"/>
      <c r="C5503" s="502"/>
      <c r="D5503" s="497"/>
      <c r="E5503" s="497"/>
      <c r="F5503" s="502"/>
      <c r="G5503" s="497"/>
      <c r="H5503" s="497"/>
      <c r="I5503" s="497"/>
      <c r="J5503" s="497"/>
      <c r="K5503" s="500"/>
      <c r="L5503" s="497"/>
      <c r="M5503"/>
    </row>
    <row r="5504" spans="1:13" s="499" customFormat="1" x14ac:dyDescent="0.25">
      <c r="A5504" s="500"/>
      <c r="B5504" s="501"/>
      <c r="C5504" s="502"/>
      <c r="D5504" s="497"/>
      <c r="E5504" s="497"/>
      <c r="F5504" s="502"/>
      <c r="G5504" s="497"/>
      <c r="H5504" s="497"/>
      <c r="I5504" s="497"/>
      <c r="J5504" s="497"/>
      <c r="K5504" s="500"/>
      <c r="L5504" s="497"/>
      <c r="M5504"/>
    </row>
    <row r="5505" spans="1:13" s="499" customFormat="1" x14ac:dyDescent="0.25">
      <c r="A5505" s="500"/>
      <c r="B5505" s="501"/>
      <c r="C5505" s="502"/>
      <c r="D5505" s="497"/>
      <c r="E5505" s="497"/>
      <c r="F5505" s="502"/>
      <c r="G5505" s="497"/>
      <c r="H5505" s="497"/>
      <c r="I5505" s="497"/>
      <c r="J5505" s="497"/>
      <c r="K5505" s="500"/>
      <c r="L5505" s="497"/>
      <c r="M5505"/>
    </row>
    <row r="5506" spans="1:13" s="499" customFormat="1" x14ac:dyDescent="0.25">
      <c r="A5506" s="500"/>
      <c r="B5506" s="501"/>
      <c r="C5506" s="502"/>
      <c r="D5506" s="497"/>
      <c r="E5506" s="497"/>
      <c r="F5506" s="502"/>
      <c r="G5506" s="497"/>
      <c r="H5506" s="497"/>
      <c r="I5506" s="497"/>
      <c r="J5506" s="497"/>
      <c r="K5506" s="500"/>
      <c r="L5506" s="497"/>
      <c r="M5506"/>
    </row>
    <row r="5507" spans="1:13" s="499" customFormat="1" x14ac:dyDescent="0.25">
      <c r="A5507" s="500"/>
      <c r="B5507" s="501"/>
      <c r="C5507" s="502"/>
      <c r="D5507" s="497"/>
      <c r="E5507" s="497"/>
      <c r="F5507" s="502"/>
      <c r="G5507" s="497"/>
      <c r="H5507" s="497"/>
      <c r="I5507" s="497"/>
      <c r="J5507" s="497"/>
      <c r="K5507" s="500"/>
      <c r="L5507" s="497"/>
      <c r="M5507"/>
    </row>
    <row r="5508" spans="1:13" s="499" customFormat="1" x14ac:dyDescent="0.25">
      <c r="A5508" s="500"/>
      <c r="B5508" s="501"/>
      <c r="C5508" s="502"/>
      <c r="D5508" s="497"/>
      <c r="E5508" s="497"/>
      <c r="F5508" s="502"/>
      <c r="G5508" s="497"/>
      <c r="H5508" s="497"/>
      <c r="I5508" s="497"/>
      <c r="J5508" s="497"/>
      <c r="K5508" s="500"/>
      <c r="L5508" s="497"/>
      <c r="M5508"/>
    </row>
    <row r="5509" spans="1:13" s="499" customFormat="1" x14ac:dyDescent="0.25">
      <c r="A5509" s="500"/>
      <c r="B5509" s="501"/>
      <c r="C5509" s="502"/>
      <c r="D5509" s="497"/>
      <c r="E5509" s="497"/>
      <c r="F5509" s="502"/>
      <c r="G5509" s="497"/>
      <c r="H5509" s="497"/>
      <c r="I5509" s="497"/>
      <c r="J5509" s="497"/>
      <c r="K5509" s="500"/>
      <c r="L5509" s="497"/>
      <c r="M5509"/>
    </row>
    <row r="5510" spans="1:13" s="499" customFormat="1" x14ac:dyDescent="0.25">
      <c r="A5510" s="500"/>
      <c r="B5510" s="501"/>
      <c r="C5510" s="502"/>
      <c r="D5510" s="497"/>
      <c r="E5510" s="497"/>
      <c r="F5510" s="502"/>
      <c r="G5510" s="497"/>
      <c r="H5510" s="497"/>
      <c r="I5510" s="497"/>
      <c r="J5510" s="497"/>
      <c r="K5510" s="500"/>
      <c r="L5510" s="497"/>
      <c r="M5510"/>
    </row>
    <row r="5511" spans="1:13" s="499" customFormat="1" x14ac:dyDescent="0.25">
      <c r="A5511" s="500"/>
      <c r="B5511" s="501"/>
      <c r="C5511" s="502"/>
      <c r="D5511" s="497"/>
      <c r="E5511" s="497"/>
      <c r="F5511" s="502"/>
      <c r="G5511" s="497"/>
      <c r="H5511" s="497"/>
      <c r="I5511" s="497"/>
      <c r="J5511" s="497"/>
      <c r="K5511" s="500"/>
      <c r="L5511" s="497"/>
      <c r="M5511"/>
    </row>
    <row r="5512" spans="1:13" s="499" customFormat="1" x14ac:dyDescent="0.25">
      <c r="A5512" s="500"/>
      <c r="B5512" s="501"/>
      <c r="C5512" s="502"/>
      <c r="D5512" s="497"/>
      <c r="E5512" s="497"/>
      <c r="F5512" s="502"/>
      <c r="G5512" s="497"/>
      <c r="H5512" s="497"/>
      <c r="I5512" s="497"/>
      <c r="J5512" s="497"/>
      <c r="K5512" s="500"/>
      <c r="L5512" s="497"/>
      <c r="M5512"/>
    </row>
    <row r="5513" spans="1:13" s="499" customFormat="1" x14ac:dyDescent="0.25">
      <c r="A5513" s="500"/>
      <c r="B5513" s="501"/>
      <c r="C5513" s="502"/>
      <c r="D5513" s="497"/>
      <c r="E5513" s="497"/>
      <c r="F5513" s="502"/>
      <c r="G5513" s="497"/>
      <c r="H5513" s="497"/>
      <c r="I5513" s="497"/>
      <c r="J5513" s="497"/>
      <c r="K5513" s="500"/>
      <c r="L5513" s="497"/>
      <c r="M5513"/>
    </row>
    <row r="5514" spans="1:13" s="499" customFormat="1" x14ac:dyDescent="0.25">
      <c r="A5514" s="500"/>
      <c r="B5514" s="501"/>
      <c r="C5514" s="502"/>
      <c r="D5514" s="497"/>
      <c r="E5514" s="497"/>
      <c r="F5514" s="502"/>
      <c r="G5514" s="497"/>
      <c r="H5514" s="497"/>
      <c r="I5514" s="497"/>
      <c r="J5514" s="497"/>
      <c r="K5514" s="500"/>
      <c r="L5514" s="497"/>
      <c r="M5514"/>
    </row>
    <row r="5515" spans="1:13" s="499" customFormat="1" x14ac:dyDescent="0.25">
      <c r="A5515" s="500"/>
      <c r="B5515" s="501"/>
      <c r="C5515" s="502"/>
      <c r="D5515" s="497"/>
      <c r="E5515" s="497"/>
      <c r="F5515" s="502"/>
      <c r="G5515" s="497"/>
      <c r="H5515" s="497"/>
      <c r="I5515" s="497"/>
      <c r="J5515" s="497"/>
      <c r="K5515" s="500"/>
      <c r="L5515" s="497"/>
      <c r="M5515"/>
    </row>
    <row r="5516" spans="1:13" s="499" customFormat="1" x14ac:dyDescent="0.25">
      <c r="A5516" s="500"/>
      <c r="B5516" s="501"/>
      <c r="C5516" s="502"/>
      <c r="D5516" s="497"/>
      <c r="E5516" s="497"/>
      <c r="F5516" s="502"/>
      <c r="G5516" s="497"/>
      <c r="H5516" s="497"/>
      <c r="I5516" s="497"/>
      <c r="J5516" s="497"/>
      <c r="K5516" s="500"/>
      <c r="L5516" s="497"/>
      <c r="M5516"/>
    </row>
    <row r="5517" spans="1:13" s="499" customFormat="1" x14ac:dyDescent="0.25">
      <c r="A5517" s="500"/>
      <c r="B5517" s="501"/>
      <c r="C5517" s="502"/>
      <c r="D5517" s="497"/>
      <c r="E5517" s="497"/>
      <c r="F5517" s="502"/>
      <c r="G5517" s="497"/>
      <c r="H5517" s="497"/>
      <c r="I5517" s="497"/>
      <c r="J5517" s="497"/>
      <c r="K5517" s="500"/>
      <c r="L5517" s="497"/>
      <c r="M5517"/>
    </row>
    <row r="5518" spans="1:13" s="499" customFormat="1" x14ac:dyDescent="0.25">
      <c r="A5518" s="500"/>
      <c r="B5518" s="501"/>
      <c r="C5518" s="502"/>
      <c r="D5518" s="497"/>
      <c r="E5518" s="497"/>
      <c r="F5518" s="502"/>
      <c r="G5518" s="497"/>
      <c r="H5518" s="497"/>
      <c r="I5518" s="497"/>
      <c r="J5518" s="497"/>
      <c r="K5518" s="500"/>
      <c r="L5518" s="497"/>
      <c r="M5518"/>
    </row>
    <row r="5519" spans="1:13" s="499" customFormat="1" x14ac:dyDescent="0.25">
      <c r="A5519" s="500"/>
      <c r="B5519" s="501"/>
      <c r="C5519" s="502"/>
      <c r="D5519" s="497"/>
      <c r="E5519" s="497"/>
      <c r="F5519" s="502"/>
      <c r="G5519" s="497"/>
      <c r="H5519" s="497"/>
      <c r="I5519" s="497"/>
      <c r="J5519" s="497"/>
      <c r="K5519" s="500"/>
      <c r="L5519" s="497"/>
      <c r="M5519"/>
    </row>
    <row r="5520" spans="1:13" s="499" customFormat="1" x14ac:dyDescent="0.25">
      <c r="A5520" s="500"/>
      <c r="B5520" s="501"/>
      <c r="C5520" s="502"/>
      <c r="D5520" s="497"/>
      <c r="E5520" s="497"/>
      <c r="F5520" s="502"/>
      <c r="G5520" s="497"/>
      <c r="H5520" s="497"/>
      <c r="I5520" s="497"/>
      <c r="J5520" s="497"/>
      <c r="K5520" s="500"/>
      <c r="L5520" s="497"/>
      <c r="M5520"/>
    </row>
    <row r="5521" spans="1:13" s="499" customFormat="1" x14ac:dyDescent="0.25">
      <c r="A5521" s="500"/>
      <c r="B5521" s="501"/>
      <c r="C5521" s="502"/>
      <c r="D5521" s="497"/>
      <c r="E5521" s="497"/>
      <c r="F5521" s="502"/>
      <c r="G5521" s="497"/>
      <c r="H5521" s="497"/>
      <c r="I5521" s="497"/>
      <c r="J5521" s="497"/>
      <c r="K5521" s="500"/>
      <c r="L5521" s="497"/>
      <c r="M5521"/>
    </row>
    <row r="5522" spans="1:13" s="499" customFormat="1" x14ac:dyDescent="0.25">
      <c r="A5522" s="500"/>
      <c r="B5522" s="501"/>
      <c r="C5522" s="502"/>
      <c r="D5522" s="497"/>
      <c r="E5522" s="497"/>
      <c r="F5522" s="502"/>
      <c r="G5522" s="497"/>
      <c r="H5522" s="497"/>
      <c r="I5522" s="497"/>
      <c r="J5522" s="497"/>
      <c r="K5522" s="500"/>
      <c r="L5522" s="497"/>
      <c r="M5522"/>
    </row>
    <row r="5523" spans="1:13" s="499" customFormat="1" x14ac:dyDescent="0.25">
      <c r="A5523" s="500"/>
      <c r="B5523" s="501"/>
      <c r="C5523" s="502"/>
      <c r="D5523" s="497"/>
      <c r="E5523" s="497"/>
      <c r="F5523" s="502"/>
      <c r="G5523" s="497"/>
      <c r="H5523" s="497"/>
      <c r="I5523" s="497"/>
      <c r="J5523" s="497"/>
      <c r="K5523" s="500"/>
      <c r="L5523" s="497"/>
      <c r="M5523"/>
    </row>
    <row r="5524" spans="1:13" s="499" customFormat="1" x14ac:dyDescent="0.25">
      <c r="A5524" s="500"/>
      <c r="B5524" s="501"/>
      <c r="C5524" s="502"/>
      <c r="D5524" s="497"/>
      <c r="E5524" s="497"/>
      <c r="F5524" s="502"/>
      <c r="G5524" s="497"/>
      <c r="H5524" s="497"/>
      <c r="I5524" s="497"/>
      <c r="J5524" s="497"/>
      <c r="K5524" s="500"/>
      <c r="L5524" s="497"/>
      <c r="M5524"/>
    </row>
    <row r="5525" spans="1:13" s="499" customFormat="1" x14ac:dyDescent="0.25">
      <c r="A5525" s="500"/>
      <c r="B5525" s="501"/>
      <c r="C5525" s="502"/>
      <c r="D5525" s="497"/>
      <c r="E5525" s="497"/>
      <c r="F5525" s="502"/>
      <c r="G5525" s="497"/>
      <c r="H5525" s="497"/>
      <c r="I5525" s="497"/>
      <c r="J5525" s="497"/>
      <c r="K5525" s="500"/>
      <c r="L5525" s="497"/>
      <c r="M5525"/>
    </row>
    <row r="5526" spans="1:13" s="499" customFormat="1" x14ac:dyDescent="0.25">
      <c r="A5526" s="500"/>
      <c r="B5526" s="501"/>
      <c r="C5526" s="502"/>
      <c r="D5526" s="497"/>
      <c r="E5526" s="497"/>
      <c r="F5526" s="502"/>
      <c r="G5526" s="497"/>
      <c r="H5526" s="497"/>
      <c r="I5526" s="497"/>
      <c r="J5526" s="497"/>
      <c r="K5526" s="500"/>
      <c r="L5526" s="497"/>
      <c r="M5526"/>
    </row>
    <row r="5527" spans="1:13" s="499" customFormat="1" x14ac:dyDescent="0.25">
      <c r="A5527" s="500"/>
      <c r="B5527" s="501"/>
      <c r="C5527" s="502"/>
      <c r="D5527" s="497"/>
      <c r="E5527" s="497"/>
      <c r="F5527" s="502"/>
      <c r="G5527" s="497"/>
      <c r="H5527" s="497"/>
      <c r="I5527" s="497"/>
      <c r="J5527" s="497"/>
      <c r="K5527" s="500"/>
      <c r="L5527" s="497"/>
      <c r="M5527"/>
    </row>
    <row r="5528" spans="1:13" s="499" customFormat="1" x14ac:dyDescent="0.25">
      <c r="A5528" s="500"/>
      <c r="B5528" s="501"/>
      <c r="C5528" s="502"/>
      <c r="D5528" s="497"/>
      <c r="E5528" s="497"/>
      <c r="F5528" s="502"/>
      <c r="G5528" s="497"/>
      <c r="H5528" s="497"/>
      <c r="I5528" s="497"/>
      <c r="J5528" s="497"/>
      <c r="K5528" s="500"/>
      <c r="L5528" s="497"/>
      <c r="M5528"/>
    </row>
    <row r="5529" spans="1:13" s="499" customFormat="1" x14ac:dyDescent="0.25">
      <c r="A5529" s="500"/>
      <c r="B5529" s="501"/>
      <c r="C5529" s="502"/>
      <c r="D5529" s="497"/>
      <c r="E5529" s="497"/>
      <c r="F5529" s="502"/>
      <c r="G5529" s="497"/>
      <c r="H5529" s="497"/>
      <c r="I5529" s="497"/>
      <c r="J5529" s="497"/>
      <c r="K5529" s="500"/>
      <c r="L5529" s="497"/>
      <c r="M5529"/>
    </row>
    <row r="5530" spans="1:13" s="499" customFormat="1" x14ac:dyDescent="0.25">
      <c r="A5530" s="500"/>
      <c r="B5530" s="501"/>
      <c r="C5530" s="502"/>
      <c r="D5530" s="497"/>
      <c r="E5530" s="497"/>
      <c r="F5530" s="502"/>
      <c r="G5530" s="497"/>
      <c r="H5530" s="497"/>
      <c r="I5530" s="497"/>
      <c r="J5530" s="497"/>
      <c r="K5530" s="500"/>
      <c r="L5530" s="497"/>
      <c r="M5530"/>
    </row>
    <row r="5531" spans="1:13" s="499" customFormat="1" x14ac:dyDescent="0.25">
      <c r="A5531" s="500"/>
      <c r="B5531" s="501"/>
      <c r="C5531" s="502"/>
      <c r="D5531" s="497"/>
      <c r="E5531" s="497"/>
      <c r="F5531" s="502"/>
      <c r="G5531" s="497"/>
      <c r="H5531" s="497"/>
      <c r="I5531" s="497"/>
      <c r="J5531" s="497"/>
      <c r="K5531" s="500"/>
      <c r="L5531" s="497"/>
      <c r="M5531"/>
    </row>
    <row r="5532" spans="1:13" s="499" customFormat="1" x14ac:dyDescent="0.25">
      <c r="A5532" s="500"/>
      <c r="B5532" s="501"/>
      <c r="C5532" s="502"/>
      <c r="D5532" s="497"/>
      <c r="E5532" s="497"/>
      <c r="F5532" s="502"/>
      <c r="G5532" s="497"/>
      <c r="H5532" s="497"/>
      <c r="I5532" s="497"/>
      <c r="J5532" s="497"/>
      <c r="K5532" s="500"/>
      <c r="L5532" s="497"/>
      <c r="M5532"/>
    </row>
    <row r="5533" spans="1:13" s="499" customFormat="1" x14ac:dyDescent="0.25">
      <c r="A5533" s="500"/>
      <c r="B5533" s="501"/>
      <c r="C5533" s="502"/>
      <c r="D5533" s="497"/>
      <c r="E5533" s="497"/>
      <c r="F5533" s="502"/>
      <c r="G5533" s="497"/>
      <c r="H5533" s="497"/>
      <c r="I5533" s="497"/>
      <c r="J5533" s="497"/>
      <c r="K5533" s="500"/>
      <c r="L5533" s="497"/>
      <c r="M5533"/>
    </row>
    <row r="5534" spans="1:13" s="499" customFormat="1" x14ac:dyDescent="0.25">
      <c r="A5534" s="500"/>
      <c r="B5534" s="501"/>
      <c r="C5534" s="502"/>
      <c r="D5534" s="497"/>
      <c r="E5534" s="497"/>
      <c r="F5534" s="502"/>
      <c r="G5534" s="497"/>
      <c r="H5534" s="497"/>
      <c r="I5534" s="497"/>
      <c r="J5534" s="497"/>
      <c r="K5534" s="500"/>
      <c r="L5534" s="497"/>
      <c r="M5534"/>
    </row>
    <row r="5535" spans="1:13" s="499" customFormat="1" x14ac:dyDescent="0.25">
      <c r="A5535" s="500"/>
      <c r="B5535" s="501"/>
      <c r="C5535" s="502"/>
      <c r="D5535" s="497"/>
      <c r="E5535" s="497"/>
      <c r="F5535" s="502"/>
      <c r="G5535" s="497"/>
      <c r="H5535" s="497"/>
      <c r="I5535" s="497"/>
      <c r="J5535" s="497"/>
      <c r="K5535" s="500"/>
      <c r="L5535" s="497"/>
      <c r="M5535"/>
    </row>
    <row r="5536" spans="1:13" s="499" customFormat="1" x14ac:dyDescent="0.25">
      <c r="A5536" s="500"/>
      <c r="B5536" s="501"/>
      <c r="C5536" s="502"/>
      <c r="D5536" s="497"/>
      <c r="E5536" s="497"/>
      <c r="F5536" s="502"/>
      <c r="G5536" s="497"/>
      <c r="H5536" s="497"/>
      <c r="I5536" s="497"/>
      <c r="J5536" s="497"/>
      <c r="K5536" s="500"/>
      <c r="L5536" s="497"/>
      <c r="M5536"/>
    </row>
    <row r="5537" spans="1:13" s="499" customFormat="1" x14ac:dyDescent="0.25">
      <c r="A5537" s="500"/>
      <c r="B5537" s="501"/>
      <c r="C5537" s="502"/>
      <c r="D5537" s="497"/>
      <c r="E5537" s="497"/>
      <c r="F5537" s="502"/>
      <c r="G5537" s="497"/>
      <c r="H5537" s="497"/>
      <c r="I5537" s="497"/>
      <c r="J5537" s="497"/>
      <c r="K5537" s="500"/>
      <c r="L5537" s="497"/>
      <c r="M5537"/>
    </row>
    <row r="5538" spans="1:13" s="499" customFormat="1" x14ac:dyDescent="0.25">
      <c r="A5538" s="500"/>
      <c r="B5538" s="501"/>
      <c r="C5538" s="502"/>
      <c r="D5538" s="497"/>
      <c r="E5538" s="497"/>
      <c r="F5538" s="502"/>
      <c r="G5538" s="497"/>
      <c r="H5538" s="497"/>
      <c r="I5538" s="497"/>
      <c r="J5538" s="497"/>
      <c r="K5538" s="500"/>
      <c r="L5538" s="497"/>
      <c r="M5538"/>
    </row>
    <row r="5539" spans="1:13" s="499" customFormat="1" x14ac:dyDescent="0.25">
      <c r="A5539" s="500"/>
      <c r="B5539" s="501"/>
      <c r="C5539" s="502"/>
      <c r="D5539" s="497"/>
      <c r="E5539" s="497"/>
      <c r="F5539" s="502"/>
      <c r="G5539" s="497"/>
      <c r="H5539" s="497"/>
      <c r="I5539" s="497"/>
      <c r="J5539" s="497"/>
      <c r="K5539" s="500"/>
      <c r="L5539" s="497"/>
      <c r="M5539"/>
    </row>
    <row r="5540" spans="1:13" s="499" customFormat="1" x14ac:dyDescent="0.25">
      <c r="A5540" s="500"/>
      <c r="B5540" s="501"/>
      <c r="C5540" s="502"/>
      <c r="D5540" s="497"/>
      <c r="E5540" s="497"/>
      <c r="F5540" s="502"/>
      <c r="G5540" s="497"/>
      <c r="H5540" s="497"/>
      <c r="I5540" s="497"/>
      <c r="J5540" s="497"/>
      <c r="K5540" s="500"/>
      <c r="L5540" s="497"/>
      <c r="M5540"/>
    </row>
    <row r="5541" spans="1:13" s="499" customFormat="1" x14ac:dyDescent="0.25">
      <c r="A5541" s="500"/>
      <c r="B5541" s="501"/>
      <c r="C5541" s="502"/>
      <c r="D5541" s="497"/>
      <c r="E5541" s="497"/>
      <c r="F5541" s="502"/>
      <c r="G5541" s="497"/>
      <c r="H5541" s="497"/>
      <c r="I5541" s="497"/>
      <c r="J5541" s="497"/>
      <c r="K5541" s="500"/>
      <c r="L5541" s="497"/>
      <c r="M5541"/>
    </row>
    <row r="5542" spans="1:13" s="499" customFormat="1" x14ac:dyDescent="0.25">
      <c r="A5542" s="500"/>
      <c r="B5542" s="501"/>
      <c r="C5542" s="502"/>
      <c r="D5542" s="497"/>
      <c r="E5542" s="497"/>
      <c r="F5542" s="502"/>
      <c r="G5542" s="497"/>
      <c r="H5542" s="497"/>
      <c r="I5542" s="497"/>
      <c r="J5542" s="497"/>
      <c r="K5542" s="500"/>
      <c r="L5542" s="497"/>
      <c r="M5542"/>
    </row>
    <row r="5543" spans="1:13" s="499" customFormat="1" x14ac:dyDescent="0.25">
      <c r="A5543" s="500"/>
      <c r="B5543" s="501"/>
      <c r="C5543" s="502"/>
      <c r="D5543" s="497"/>
      <c r="E5543" s="497"/>
      <c r="F5543" s="502"/>
      <c r="G5543" s="497"/>
      <c r="H5543" s="497"/>
      <c r="I5543" s="497"/>
      <c r="J5543" s="497"/>
      <c r="K5543" s="500"/>
      <c r="L5543" s="497"/>
      <c r="M5543"/>
    </row>
    <row r="5544" spans="1:13" s="499" customFormat="1" x14ac:dyDescent="0.25">
      <c r="A5544" s="500"/>
      <c r="B5544" s="501"/>
      <c r="C5544" s="502"/>
      <c r="D5544" s="497"/>
      <c r="E5544" s="497"/>
      <c r="F5544" s="502"/>
      <c r="G5544" s="497"/>
      <c r="H5544" s="497"/>
      <c r="I5544" s="497"/>
      <c r="J5544" s="497"/>
      <c r="K5544" s="500"/>
      <c r="L5544" s="497"/>
      <c r="M5544"/>
    </row>
    <row r="5545" spans="1:13" s="499" customFormat="1" x14ac:dyDescent="0.25">
      <c r="A5545" s="500"/>
      <c r="B5545" s="501"/>
      <c r="C5545" s="502"/>
      <c r="D5545" s="497"/>
      <c r="E5545" s="497"/>
      <c r="F5545" s="502"/>
      <c r="G5545" s="497"/>
      <c r="H5545" s="497"/>
      <c r="I5545" s="497"/>
      <c r="J5545" s="497"/>
      <c r="K5545" s="500"/>
      <c r="L5545" s="497"/>
      <c r="M5545"/>
    </row>
    <row r="5546" spans="1:13" s="499" customFormat="1" x14ac:dyDescent="0.25">
      <c r="A5546" s="500"/>
      <c r="B5546" s="501"/>
      <c r="C5546" s="502"/>
      <c r="D5546" s="497"/>
      <c r="E5546" s="497"/>
      <c r="F5546" s="502"/>
      <c r="G5546" s="497"/>
      <c r="H5546" s="497"/>
      <c r="I5546" s="497"/>
      <c r="J5546" s="497"/>
      <c r="K5546" s="500"/>
      <c r="L5546" s="497"/>
      <c r="M5546"/>
    </row>
    <row r="5547" spans="1:13" s="499" customFormat="1" x14ac:dyDescent="0.25">
      <c r="A5547" s="500"/>
      <c r="B5547" s="501"/>
      <c r="C5547" s="502"/>
      <c r="D5547" s="497"/>
      <c r="E5547" s="497"/>
      <c r="F5547" s="502"/>
      <c r="G5547" s="497"/>
      <c r="H5547" s="497"/>
      <c r="I5547" s="497"/>
      <c r="J5547" s="497"/>
      <c r="K5547" s="500"/>
      <c r="L5547" s="497"/>
      <c r="M5547"/>
    </row>
    <row r="5548" spans="1:13" s="499" customFormat="1" x14ac:dyDescent="0.25">
      <c r="A5548" s="500"/>
      <c r="B5548" s="501"/>
      <c r="C5548" s="502"/>
      <c r="D5548" s="497"/>
      <c r="E5548" s="497"/>
      <c r="F5548" s="502"/>
      <c r="G5548" s="497"/>
      <c r="H5548" s="497"/>
      <c r="I5548" s="497"/>
      <c r="J5548" s="497"/>
      <c r="K5548" s="500"/>
      <c r="L5548" s="497"/>
      <c r="M5548"/>
    </row>
    <row r="5549" spans="1:13" s="499" customFormat="1" x14ac:dyDescent="0.25">
      <c r="A5549" s="500"/>
      <c r="B5549" s="501"/>
      <c r="C5549" s="502"/>
      <c r="D5549" s="497"/>
      <c r="E5549" s="497"/>
      <c r="F5549" s="502"/>
      <c r="G5549" s="497"/>
      <c r="H5549" s="497"/>
      <c r="I5549" s="497"/>
      <c r="J5549" s="497"/>
      <c r="K5549" s="500"/>
      <c r="L5549" s="497"/>
      <c r="M5549"/>
    </row>
    <row r="5550" spans="1:13" s="499" customFormat="1" x14ac:dyDescent="0.25">
      <c r="A5550" s="500"/>
      <c r="B5550" s="501"/>
      <c r="C5550" s="502"/>
      <c r="D5550" s="497"/>
      <c r="E5550" s="497"/>
      <c r="F5550" s="502"/>
      <c r="G5550" s="497"/>
      <c r="H5550" s="497"/>
      <c r="I5550" s="497"/>
      <c r="J5550" s="497"/>
      <c r="K5550" s="500"/>
      <c r="L5550" s="497"/>
      <c r="M5550"/>
    </row>
    <row r="5551" spans="1:13" s="499" customFormat="1" x14ac:dyDescent="0.25">
      <c r="A5551" s="500"/>
      <c r="B5551" s="501"/>
      <c r="C5551" s="502"/>
      <c r="D5551" s="497"/>
      <c r="E5551" s="497"/>
      <c r="F5551" s="502"/>
      <c r="G5551" s="497"/>
      <c r="H5551" s="497"/>
      <c r="I5551" s="497"/>
      <c r="J5551" s="497"/>
      <c r="K5551" s="500"/>
      <c r="L5551" s="497"/>
      <c r="M5551"/>
    </row>
    <row r="5552" spans="1:13" s="499" customFormat="1" x14ac:dyDescent="0.25">
      <c r="A5552" s="500"/>
      <c r="B5552" s="501"/>
      <c r="C5552" s="502"/>
      <c r="D5552" s="497"/>
      <c r="E5552" s="497"/>
      <c r="F5552" s="502"/>
      <c r="G5552" s="497"/>
      <c r="H5552" s="497"/>
      <c r="I5552" s="497"/>
      <c r="J5552" s="497"/>
      <c r="K5552" s="500"/>
      <c r="L5552" s="497"/>
      <c r="M5552"/>
    </row>
    <row r="5553" spans="1:13" s="499" customFormat="1" x14ac:dyDescent="0.25">
      <c r="A5553" s="500"/>
      <c r="B5553" s="501"/>
      <c r="C5553" s="502"/>
      <c r="D5553" s="497"/>
      <c r="E5553" s="497"/>
      <c r="F5553" s="502"/>
      <c r="G5553" s="497"/>
      <c r="H5553" s="497"/>
      <c r="I5553" s="497"/>
      <c r="J5553" s="497"/>
      <c r="K5553" s="500"/>
      <c r="L5553" s="497"/>
      <c r="M5553"/>
    </row>
    <row r="5554" spans="1:13" s="499" customFormat="1" x14ac:dyDescent="0.25">
      <c r="A5554" s="500"/>
      <c r="B5554" s="501"/>
      <c r="C5554" s="502"/>
      <c r="D5554" s="497"/>
      <c r="E5554" s="497"/>
      <c r="F5554" s="502"/>
      <c r="G5554" s="497"/>
      <c r="H5554" s="497"/>
      <c r="I5554" s="497"/>
      <c r="J5554" s="497"/>
      <c r="K5554" s="500"/>
      <c r="L5554" s="497"/>
      <c r="M5554"/>
    </row>
    <row r="5555" spans="1:13" s="499" customFormat="1" x14ac:dyDescent="0.25">
      <c r="A5555" s="500"/>
      <c r="B5555" s="501"/>
      <c r="C5555" s="502"/>
      <c r="D5555" s="497"/>
      <c r="E5555" s="497"/>
      <c r="F5555" s="502"/>
      <c r="G5555" s="497"/>
      <c r="H5555" s="497"/>
      <c r="I5555" s="497"/>
      <c r="J5555" s="497"/>
      <c r="K5555" s="500"/>
      <c r="L5555" s="497"/>
      <c r="M5555"/>
    </row>
    <row r="5556" spans="1:13" s="499" customFormat="1" x14ac:dyDescent="0.25">
      <c r="A5556" s="500"/>
      <c r="B5556" s="501"/>
      <c r="C5556" s="502"/>
      <c r="D5556" s="497"/>
      <c r="E5556" s="497"/>
      <c r="F5556" s="502"/>
      <c r="G5556" s="497"/>
      <c r="H5556" s="497"/>
      <c r="I5556" s="497"/>
      <c r="J5556" s="497"/>
      <c r="K5556" s="500"/>
      <c r="L5556" s="497"/>
      <c r="M5556"/>
    </row>
    <row r="5557" spans="1:13" s="499" customFormat="1" x14ac:dyDescent="0.25">
      <c r="A5557" s="500"/>
      <c r="B5557" s="501"/>
      <c r="C5557" s="502"/>
      <c r="D5557" s="497"/>
      <c r="E5557" s="497"/>
      <c r="F5557" s="502"/>
      <c r="G5557" s="497"/>
      <c r="H5557" s="497"/>
      <c r="I5557" s="497"/>
      <c r="J5557" s="497"/>
      <c r="K5557" s="500"/>
      <c r="L5557" s="497"/>
      <c r="M5557"/>
    </row>
    <row r="5558" spans="1:13" s="499" customFormat="1" x14ac:dyDescent="0.25">
      <c r="A5558" s="500"/>
      <c r="B5558" s="501"/>
      <c r="C5558" s="502"/>
      <c r="D5558" s="497"/>
      <c r="E5558" s="497"/>
      <c r="F5558" s="502"/>
      <c r="G5558" s="497"/>
      <c r="H5558" s="497"/>
      <c r="I5558" s="497"/>
      <c r="J5558" s="497"/>
      <c r="K5558" s="500"/>
      <c r="L5558" s="497"/>
      <c r="M5558"/>
    </row>
    <row r="5559" spans="1:13" s="499" customFormat="1" x14ac:dyDescent="0.25">
      <c r="A5559" s="500"/>
      <c r="B5559" s="501"/>
      <c r="C5559" s="502"/>
      <c r="D5559" s="497"/>
      <c r="E5559" s="497"/>
      <c r="F5559" s="502"/>
      <c r="G5559" s="497"/>
      <c r="H5559" s="497"/>
      <c r="I5559" s="497"/>
      <c r="J5559" s="497"/>
      <c r="K5559" s="500"/>
      <c r="L5559" s="497"/>
      <c r="M5559"/>
    </row>
    <row r="5560" spans="1:13" s="499" customFormat="1" x14ac:dyDescent="0.25">
      <c r="A5560" s="500"/>
      <c r="B5560" s="501"/>
      <c r="C5560" s="502"/>
      <c r="D5560" s="497"/>
      <c r="E5560" s="497"/>
      <c r="F5560" s="502"/>
      <c r="G5560" s="497"/>
      <c r="H5560" s="497"/>
      <c r="I5560" s="497"/>
      <c r="J5560" s="497"/>
      <c r="K5560" s="500"/>
      <c r="L5560" s="497"/>
      <c r="M5560"/>
    </row>
    <row r="5561" spans="1:13" s="499" customFormat="1" x14ac:dyDescent="0.25">
      <c r="A5561" s="500"/>
      <c r="B5561" s="501"/>
      <c r="C5561" s="502"/>
      <c r="D5561" s="497"/>
      <c r="E5561" s="497"/>
      <c r="F5561" s="502"/>
      <c r="G5561" s="497"/>
      <c r="H5561" s="497"/>
      <c r="I5561" s="497"/>
      <c r="J5561" s="497"/>
      <c r="K5561" s="500"/>
      <c r="L5561" s="497"/>
      <c r="M5561"/>
    </row>
    <row r="5562" spans="1:13" s="499" customFormat="1" x14ac:dyDescent="0.25">
      <c r="A5562" s="500"/>
      <c r="B5562" s="501"/>
      <c r="C5562" s="502"/>
      <c r="D5562" s="497"/>
      <c r="E5562" s="497"/>
      <c r="F5562" s="502"/>
      <c r="G5562" s="497"/>
      <c r="H5562" s="497"/>
      <c r="I5562" s="497"/>
      <c r="J5562" s="497"/>
      <c r="K5562" s="500"/>
      <c r="L5562" s="497"/>
      <c r="M5562"/>
    </row>
    <row r="5563" spans="1:13" s="499" customFormat="1" x14ac:dyDescent="0.25">
      <c r="A5563" s="500"/>
      <c r="B5563" s="501"/>
      <c r="C5563" s="502"/>
      <c r="D5563" s="497"/>
      <c r="E5563" s="497"/>
      <c r="F5563" s="502"/>
      <c r="G5563" s="497"/>
      <c r="H5563" s="497"/>
      <c r="I5563" s="497"/>
      <c r="J5563" s="497"/>
      <c r="K5563" s="500"/>
      <c r="L5563" s="497"/>
      <c r="M5563"/>
    </row>
    <row r="5564" spans="1:13" s="499" customFormat="1" x14ac:dyDescent="0.25">
      <c r="A5564" s="500"/>
      <c r="B5564" s="501"/>
      <c r="C5564" s="502"/>
      <c r="D5564" s="497"/>
      <c r="E5564" s="497"/>
      <c r="F5564" s="502"/>
      <c r="G5564" s="497"/>
      <c r="H5564" s="497"/>
      <c r="I5564" s="497"/>
      <c r="J5564" s="497"/>
      <c r="K5564" s="500"/>
      <c r="L5564" s="497"/>
      <c r="M5564"/>
    </row>
    <row r="5565" spans="1:13" s="499" customFormat="1" x14ac:dyDescent="0.25">
      <c r="A5565" s="500"/>
      <c r="B5565" s="501"/>
      <c r="C5565" s="502"/>
      <c r="D5565" s="497"/>
      <c r="E5565" s="497"/>
      <c r="F5565" s="502"/>
      <c r="G5565" s="497"/>
      <c r="H5565" s="497"/>
      <c r="I5565" s="497"/>
      <c r="J5565" s="497"/>
      <c r="K5565" s="500"/>
      <c r="L5565" s="497"/>
      <c r="M5565"/>
    </row>
    <row r="5566" spans="1:13" s="499" customFormat="1" x14ac:dyDescent="0.25">
      <c r="A5566" s="500"/>
      <c r="B5566" s="501"/>
      <c r="C5566" s="502"/>
      <c r="D5566" s="497"/>
      <c r="E5566" s="497"/>
      <c r="F5566" s="502"/>
      <c r="G5566" s="497"/>
      <c r="H5566" s="497"/>
      <c r="I5566" s="497"/>
      <c r="J5566" s="497"/>
      <c r="K5566" s="500"/>
      <c r="L5566" s="497"/>
      <c r="M5566"/>
    </row>
    <row r="5567" spans="1:13" s="499" customFormat="1" x14ac:dyDescent="0.25">
      <c r="A5567" s="500"/>
      <c r="B5567" s="501"/>
      <c r="C5567" s="502"/>
      <c r="D5567" s="497"/>
      <c r="E5567" s="497"/>
      <c r="F5567" s="502"/>
      <c r="G5567" s="497"/>
      <c r="H5567" s="497"/>
      <c r="I5567" s="497"/>
      <c r="J5567" s="497"/>
      <c r="K5567" s="500"/>
      <c r="L5567" s="497"/>
      <c r="M5567"/>
    </row>
    <row r="5568" spans="1:13" s="499" customFormat="1" x14ac:dyDescent="0.25">
      <c r="A5568" s="500"/>
      <c r="B5568" s="501"/>
      <c r="C5568" s="502"/>
      <c r="D5568" s="497"/>
      <c r="E5568" s="497"/>
      <c r="F5568" s="502"/>
      <c r="G5568" s="497"/>
      <c r="H5568" s="497"/>
      <c r="I5568" s="497"/>
      <c r="J5568" s="497"/>
      <c r="K5568" s="500"/>
      <c r="L5568" s="497"/>
      <c r="M5568"/>
    </row>
    <row r="5569" spans="1:13" s="499" customFormat="1" x14ac:dyDescent="0.25">
      <c r="A5569" s="500"/>
      <c r="B5569" s="501"/>
      <c r="C5569" s="502"/>
      <c r="D5569" s="497"/>
      <c r="E5569" s="497"/>
      <c r="F5569" s="502"/>
      <c r="G5569" s="497"/>
      <c r="H5569" s="497"/>
      <c r="I5569" s="497"/>
      <c r="J5569" s="497"/>
      <c r="K5569" s="500"/>
      <c r="L5569" s="497"/>
      <c r="M5569"/>
    </row>
    <row r="5570" spans="1:13" s="499" customFormat="1" x14ac:dyDescent="0.25">
      <c r="A5570" s="500"/>
      <c r="B5570" s="501"/>
      <c r="C5570" s="502"/>
      <c r="D5570" s="497"/>
      <c r="E5570" s="497"/>
      <c r="F5570" s="502"/>
      <c r="G5570" s="497"/>
      <c r="H5570" s="497"/>
      <c r="I5570" s="497"/>
      <c r="J5570" s="497"/>
      <c r="K5570" s="500"/>
      <c r="L5570" s="497"/>
      <c r="M5570"/>
    </row>
    <row r="5571" spans="1:13" s="499" customFormat="1" x14ac:dyDescent="0.25">
      <c r="A5571" s="500"/>
      <c r="B5571" s="501"/>
      <c r="C5571" s="502"/>
      <c r="D5571" s="497"/>
      <c r="E5571" s="497"/>
      <c r="F5571" s="502"/>
      <c r="G5571" s="497"/>
      <c r="H5571" s="497"/>
      <c r="I5571" s="497"/>
      <c r="J5571" s="497"/>
      <c r="K5571" s="500"/>
      <c r="L5571" s="497"/>
      <c r="M5571"/>
    </row>
    <row r="5572" spans="1:13" s="499" customFormat="1" x14ac:dyDescent="0.25">
      <c r="A5572" s="500"/>
      <c r="B5572" s="501"/>
      <c r="C5572" s="502"/>
      <c r="D5572" s="497"/>
      <c r="E5572" s="497"/>
      <c r="F5572" s="502"/>
      <c r="G5572" s="497"/>
      <c r="H5572" s="497"/>
      <c r="I5572" s="497"/>
      <c r="J5572" s="497"/>
      <c r="K5572" s="500"/>
      <c r="L5572" s="497"/>
      <c r="M5572"/>
    </row>
    <row r="5573" spans="1:13" s="499" customFormat="1" x14ac:dyDescent="0.25">
      <c r="A5573" s="500"/>
      <c r="B5573" s="501"/>
      <c r="C5573" s="502"/>
      <c r="D5573" s="497"/>
      <c r="E5573" s="497"/>
      <c r="F5573" s="502"/>
      <c r="G5573" s="497"/>
      <c r="H5573" s="497"/>
      <c r="I5573" s="497"/>
      <c r="J5573" s="497"/>
      <c r="K5573" s="500"/>
      <c r="L5573" s="497"/>
      <c r="M5573"/>
    </row>
    <row r="5574" spans="1:13" s="499" customFormat="1" x14ac:dyDescent="0.25">
      <c r="A5574" s="500"/>
      <c r="B5574" s="501"/>
      <c r="C5574" s="502"/>
      <c r="D5574" s="497"/>
      <c r="E5574" s="497"/>
      <c r="F5574" s="502"/>
      <c r="G5574" s="497"/>
      <c r="H5574" s="497"/>
      <c r="I5574" s="497"/>
      <c r="J5574" s="497"/>
      <c r="K5574" s="500"/>
      <c r="L5574" s="497"/>
      <c r="M5574"/>
    </row>
    <row r="5575" spans="1:13" s="499" customFormat="1" x14ac:dyDescent="0.25">
      <c r="A5575" s="500"/>
      <c r="B5575" s="501"/>
      <c r="C5575" s="502"/>
      <c r="D5575" s="497"/>
      <c r="E5575" s="497"/>
      <c r="F5575" s="502"/>
      <c r="G5575" s="497"/>
      <c r="H5575" s="497"/>
      <c r="I5575" s="497"/>
      <c r="J5575" s="497"/>
      <c r="K5575" s="500"/>
      <c r="L5575" s="497"/>
      <c r="M5575"/>
    </row>
    <row r="5576" spans="1:13" s="499" customFormat="1" x14ac:dyDescent="0.25">
      <c r="A5576" s="500"/>
      <c r="B5576" s="501"/>
      <c r="C5576" s="502"/>
      <c r="D5576" s="497"/>
      <c r="E5576" s="497"/>
      <c r="F5576" s="502"/>
      <c r="G5576" s="497"/>
      <c r="H5576" s="497"/>
      <c r="I5576" s="497"/>
      <c r="J5576" s="497"/>
      <c r="K5576" s="500"/>
      <c r="L5576" s="497"/>
      <c r="M5576"/>
    </row>
    <row r="5577" spans="1:13" s="499" customFormat="1" x14ac:dyDescent="0.25">
      <c r="A5577" s="500"/>
      <c r="B5577" s="501"/>
      <c r="C5577" s="502"/>
      <c r="D5577" s="497"/>
      <c r="E5577" s="497"/>
      <c r="F5577" s="502"/>
      <c r="G5577" s="497"/>
      <c r="H5577" s="497"/>
      <c r="I5577" s="497"/>
      <c r="J5577" s="497"/>
      <c r="K5577" s="500"/>
      <c r="L5577" s="497"/>
      <c r="M5577"/>
    </row>
    <row r="5578" spans="1:13" s="499" customFormat="1" x14ac:dyDescent="0.25">
      <c r="A5578" s="500"/>
      <c r="B5578" s="501"/>
      <c r="C5578" s="502"/>
      <c r="D5578" s="497"/>
      <c r="E5578" s="497"/>
      <c r="F5578" s="502"/>
      <c r="G5578" s="497"/>
      <c r="H5578" s="497"/>
      <c r="I5578" s="497"/>
      <c r="J5578" s="497"/>
      <c r="K5578" s="500"/>
      <c r="L5578" s="497"/>
      <c r="M5578"/>
    </row>
    <row r="5579" spans="1:13" s="499" customFormat="1" x14ac:dyDescent="0.25">
      <c r="A5579" s="500"/>
      <c r="B5579" s="501"/>
      <c r="C5579" s="502"/>
      <c r="D5579" s="497"/>
      <c r="E5579" s="497"/>
      <c r="F5579" s="502"/>
      <c r="G5579" s="497"/>
      <c r="H5579" s="497"/>
      <c r="I5579" s="497"/>
      <c r="J5579" s="497"/>
      <c r="K5579" s="500"/>
      <c r="L5579" s="497"/>
      <c r="M5579"/>
    </row>
    <row r="5580" spans="1:13" s="499" customFormat="1" x14ac:dyDescent="0.25">
      <c r="A5580" s="500"/>
      <c r="B5580" s="501"/>
      <c r="C5580" s="502"/>
      <c r="D5580" s="497"/>
      <c r="E5580" s="497"/>
      <c r="F5580" s="502"/>
      <c r="G5580" s="497"/>
      <c r="H5580" s="497"/>
      <c r="I5580" s="497"/>
      <c r="J5580" s="497"/>
      <c r="K5580" s="500"/>
      <c r="L5580" s="497"/>
      <c r="M5580"/>
    </row>
    <row r="5581" spans="1:13" s="499" customFormat="1" x14ac:dyDescent="0.25">
      <c r="A5581" s="500"/>
      <c r="B5581" s="501"/>
      <c r="C5581" s="502"/>
      <c r="D5581" s="497"/>
      <c r="E5581" s="497"/>
      <c r="F5581" s="502"/>
      <c r="G5581" s="497"/>
      <c r="H5581" s="497"/>
      <c r="I5581" s="497"/>
      <c r="J5581" s="497"/>
      <c r="K5581" s="500"/>
      <c r="L5581" s="497"/>
      <c r="M5581"/>
    </row>
    <row r="5582" spans="1:13" s="499" customFormat="1" x14ac:dyDescent="0.25">
      <c r="A5582" s="500"/>
      <c r="B5582" s="501"/>
      <c r="C5582" s="502"/>
      <c r="D5582" s="497"/>
      <c r="E5582" s="497"/>
      <c r="F5582" s="502"/>
      <c r="G5582" s="497"/>
      <c r="H5582" s="497"/>
      <c r="I5582" s="497"/>
      <c r="J5582" s="497"/>
      <c r="K5582" s="500"/>
      <c r="L5582" s="497"/>
      <c r="M5582"/>
    </row>
    <row r="5583" spans="1:13" s="499" customFormat="1" x14ac:dyDescent="0.25">
      <c r="A5583" s="500"/>
      <c r="B5583" s="501"/>
      <c r="C5583" s="502"/>
      <c r="D5583" s="497"/>
      <c r="E5583" s="497"/>
      <c r="F5583" s="502"/>
      <c r="G5583" s="497"/>
      <c r="H5583" s="497"/>
      <c r="I5583" s="497"/>
      <c r="J5583" s="497"/>
      <c r="K5583" s="500"/>
      <c r="L5583" s="497"/>
      <c r="M5583"/>
    </row>
    <row r="5584" spans="1:13" s="499" customFormat="1" x14ac:dyDescent="0.25">
      <c r="A5584" s="500"/>
      <c r="B5584" s="501"/>
      <c r="C5584" s="502"/>
      <c r="D5584" s="497"/>
      <c r="E5584" s="497"/>
      <c r="F5584" s="502"/>
      <c r="G5584" s="497"/>
      <c r="H5584" s="497"/>
      <c r="I5584" s="497"/>
      <c r="J5584" s="497"/>
      <c r="K5584" s="500"/>
      <c r="L5584" s="497"/>
      <c r="M5584"/>
    </row>
    <row r="5585" spans="1:13" s="499" customFormat="1" x14ac:dyDescent="0.25">
      <c r="A5585" s="500"/>
      <c r="B5585" s="501"/>
      <c r="C5585" s="502"/>
      <c r="D5585" s="497"/>
      <c r="E5585" s="497"/>
      <c r="F5585" s="502"/>
      <c r="G5585" s="497"/>
      <c r="H5585" s="497"/>
      <c r="I5585" s="497"/>
      <c r="J5585" s="497"/>
      <c r="K5585" s="500"/>
      <c r="L5585" s="497"/>
      <c r="M5585"/>
    </row>
    <row r="5586" spans="1:13" s="499" customFormat="1" x14ac:dyDescent="0.25">
      <c r="A5586" s="500"/>
      <c r="B5586" s="501"/>
      <c r="C5586" s="502"/>
      <c r="D5586" s="497"/>
      <c r="E5586" s="497"/>
      <c r="F5586" s="502"/>
      <c r="G5586" s="497"/>
      <c r="H5586" s="497"/>
      <c r="I5586" s="497"/>
      <c r="J5586" s="497"/>
      <c r="K5586" s="500"/>
      <c r="L5586" s="497"/>
      <c r="M5586"/>
    </row>
    <row r="5587" spans="1:13" s="499" customFormat="1" x14ac:dyDescent="0.25">
      <c r="A5587" s="500"/>
      <c r="B5587" s="501"/>
      <c r="C5587" s="502"/>
      <c r="D5587" s="497"/>
      <c r="E5587" s="497"/>
      <c r="F5587" s="502"/>
      <c r="G5587" s="497"/>
      <c r="H5587" s="497"/>
      <c r="I5587" s="497"/>
      <c r="J5587" s="497"/>
      <c r="K5587" s="500"/>
      <c r="L5587" s="497"/>
      <c r="M5587"/>
    </row>
    <row r="5588" spans="1:13" s="499" customFormat="1" x14ac:dyDescent="0.25">
      <c r="A5588" s="500"/>
      <c r="B5588" s="501"/>
      <c r="C5588" s="502"/>
      <c r="D5588" s="497"/>
      <c r="E5588" s="497"/>
      <c r="F5588" s="502"/>
      <c r="G5588" s="497"/>
      <c r="H5588" s="497"/>
      <c r="I5588" s="497"/>
      <c r="J5588" s="497"/>
      <c r="K5588" s="500"/>
      <c r="L5588" s="497"/>
      <c r="M5588"/>
    </row>
    <row r="5589" spans="1:13" s="499" customFormat="1" x14ac:dyDescent="0.25">
      <c r="A5589" s="500"/>
      <c r="B5589" s="501"/>
      <c r="C5589" s="502"/>
      <c r="D5589" s="497"/>
      <c r="E5589" s="497"/>
      <c r="F5589" s="502"/>
      <c r="G5589" s="497"/>
      <c r="H5589" s="497"/>
      <c r="I5589" s="497"/>
      <c r="J5589" s="497"/>
      <c r="K5589" s="500"/>
      <c r="L5589" s="497"/>
      <c r="M5589"/>
    </row>
    <row r="5590" spans="1:13" s="499" customFormat="1" x14ac:dyDescent="0.25">
      <c r="A5590" s="500"/>
      <c r="B5590" s="501"/>
      <c r="C5590" s="502"/>
      <c r="D5590" s="497"/>
      <c r="E5590" s="497"/>
      <c r="F5590" s="502"/>
      <c r="G5590" s="497"/>
      <c r="H5590" s="497"/>
      <c r="I5590" s="497"/>
      <c r="J5590" s="497"/>
      <c r="K5590" s="500"/>
      <c r="L5590" s="497"/>
      <c r="M5590"/>
    </row>
    <row r="5591" spans="1:13" s="499" customFormat="1" x14ac:dyDescent="0.25">
      <c r="A5591" s="500"/>
      <c r="B5591" s="501"/>
      <c r="C5591" s="502"/>
      <c r="D5591" s="497"/>
      <c r="E5591" s="497"/>
      <c r="F5591" s="502"/>
      <c r="G5591" s="497"/>
      <c r="H5591" s="497"/>
      <c r="I5591" s="497"/>
      <c r="J5591" s="497"/>
      <c r="K5591" s="500"/>
      <c r="L5591" s="497"/>
      <c r="M5591"/>
    </row>
    <row r="5592" spans="1:13" s="499" customFormat="1" x14ac:dyDescent="0.25">
      <c r="A5592" s="500"/>
      <c r="B5592" s="501"/>
      <c r="C5592" s="502"/>
      <c r="D5592" s="497"/>
      <c r="E5592" s="497"/>
      <c r="F5592" s="502"/>
      <c r="G5592" s="497"/>
      <c r="H5592" s="497"/>
      <c r="I5592" s="497"/>
      <c r="J5592" s="497"/>
      <c r="K5592" s="500"/>
      <c r="L5592" s="497"/>
      <c r="M5592"/>
    </row>
    <row r="5593" spans="1:13" s="499" customFormat="1" x14ac:dyDescent="0.25">
      <c r="A5593" s="500"/>
      <c r="B5593" s="501"/>
      <c r="C5593" s="502"/>
      <c r="D5593" s="497"/>
      <c r="E5593" s="497"/>
      <c r="F5593" s="502"/>
      <c r="G5593" s="497"/>
      <c r="H5593" s="497"/>
      <c r="I5593" s="497"/>
      <c r="J5593" s="497"/>
      <c r="K5593" s="500"/>
      <c r="L5593" s="497"/>
      <c r="M5593"/>
    </row>
    <row r="5594" spans="1:13" s="499" customFormat="1" x14ac:dyDescent="0.25">
      <c r="A5594" s="500"/>
      <c r="B5594" s="501"/>
      <c r="C5594" s="502"/>
      <c r="D5594" s="497"/>
      <c r="E5594" s="497"/>
      <c r="F5594" s="502"/>
      <c r="G5594" s="497"/>
      <c r="H5594" s="497"/>
      <c r="I5594" s="497"/>
      <c r="J5594" s="497"/>
      <c r="K5594" s="500"/>
      <c r="L5594" s="497"/>
      <c r="M5594"/>
    </row>
    <row r="5595" spans="1:13" s="499" customFormat="1" x14ac:dyDescent="0.25">
      <c r="A5595" s="500"/>
      <c r="B5595" s="501"/>
      <c r="C5595" s="502"/>
      <c r="D5595" s="497"/>
      <c r="E5595" s="497"/>
      <c r="F5595" s="502"/>
      <c r="G5595" s="497"/>
      <c r="H5595" s="497"/>
      <c r="I5595" s="497"/>
      <c r="J5595" s="497"/>
      <c r="K5595" s="500"/>
      <c r="L5595" s="497"/>
      <c r="M5595"/>
    </row>
    <row r="5596" spans="1:13" s="499" customFormat="1" x14ac:dyDescent="0.25">
      <c r="A5596" s="500"/>
      <c r="B5596" s="501"/>
      <c r="C5596" s="502"/>
      <c r="D5596" s="497"/>
      <c r="E5596" s="497"/>
      <c r="F5596" s="502"/>
      <c r="G5596" s="497"/>
      <c r="H5596" s="497"/>
      <c r="I5596" s="497"/>
      <c r="J5596" s="497"/>
      <c r="K5596" s="500"/>
      <c r="L5596" s="497"/>
      <c r="M5596"/>
    </row>
    <row r="5597" spans="1:13" s="499" customFormat="1" x14ac:dyDescent="0.25">
      <c r="A5597" s="500"/>
      <c r="B5597" s="501"/>
      <c r="C5597" s="502"/>
      <c r="D5597" s="497"/>
      <c r="E5597" s="497"/>
      <c r="F5597" s="502"/>
      <c r="G5597" s="497"/>
      <c r="H5597" s="497"/>
      <c r="I5597" s="497"/>
      <c r="J5597" s="497"/>
      <c r="K5597" s="500"/>
      <c r="L5597" s="497"/>
      <c r="M5597"/>
    </row>
    <row r="5598" spans="1:13" s="499" customFormat="1" x14ac:dyDescent="0.25">
      <c r="A5598" s="500"/>
      <c r="B5598" s="501"/>
      <c r="C5598" s="502"/>
      <c r="D5598" s="497"/>
      <c r="E5598" s="497"/>
      <c r="F5598" s="502"/>
      <c r="G5598" s="497"/>
      <c r="H5598" s="497"/>
      <c r="I5598" s="497"/>
      <c r="J5598" s="497"/>
      <c r="K5598" s="500"/>
      <c r="L5598" s="497"/>
      <c r="M5598"/>
    </row>
    <row r="5599" spans="1:13" s="499" customFormat="1" x14ac:dyDescent="0.25">
      <c r="A5599" s="500"/>
      <c r="B5599" s="501"/>
      <c r="C5599" s="502"/>
      <c r="D5599" s="497"/>
      <c r="E5599" s="497"/>
      <c r="F5599" s="502"/>
      <c r="G5599" s="497"/>
      <c r="H5599" s="497"/>
      <c r="I5599" s="497"/>
      <c r="J5599" s="497"/>
      <c r="K5599" s="500"/>
      <c r="L5599" s="497"/>
      <c r="M5599"/>
    </row>
    <row r="5600" spans="1:13" s="499" customFormat="1" x14ac:dyDescent="0.25">
      <c r="A5600" s="500"/>
      <c r="B5600" s="501"/>
      <c r="C5600" s="502"/>
      <c r="D5600" s="497"/>
      <c r="E5600" s="497"/>
      <c r="F5600" s="502"/>
      <c r="G5600" s="497"/>
      <c r="H5600" s="497"/>
      <c r="I5600" s="497"/>
      <c r="J5600" s="497"/>
      <c r="K5600" s="500"/>
      <c r="L5600" s="497"/>
      <c r="M5600"/>
    </row>
    <row r="5601" spans="1:13" s="499" customFormat="1" x14ac:dyDescent="0.25">
      <c r="A5601" s="500"/>
      <c r="B5601" s="501"/>
      <c r="C5601" s="502"/>
      <c r="D5601" s="497"/>
      <c r="E5601" s="497"/>
      <c r="F5601" s="502"/>
      <c r="G5601" s="497"/>
      <c r="H5601" s="497"/>
      <c r="I5601" s="497"/>
      <c r="J5601" s="497"/>
      <c r="K5601" s="500"/>
      <c r="L5601" s="497"/>
      <c r="M5601"/>
    </row>
    <row r="5602" spans="1:13" s="499" customFormat="1" x14ac:dyDescent="0.25">
      <c r="A5602" s="500"/>
      <c r="B5602" s="501"/>
      <c r="C5602" s="502"/>
      <c r="D5602" s="497"/>
      <c r="E5602" s="497"/>
      <c r="F5602" s="502"/>
      <c r="G5602" s="497"/>
      <c r="H5602" s="497"/>
      <c r="I5602" s="497"/>
      <c r="J5602" s="497"/>
      <c r="K5602" s="500"/>
      <c r="L5602" s="497"/>
      <c r="M5602"/>
    </row>
    <row r="5603" spans="1:13" s="499" customFormat="1" x14ac:dyDescent="0.25">
      <c r="A5603" s="500"/>
      <c r="B5603" s="501"/>
      <c r="C5603" s="502"/>
      <c r="D5603" s="497"/>
      <c r="E5603" s="497"/>
      <c r="F5603" s="502"/>
      <c r="G5603" s="497"/>
      <c r="H5603" s="497"/>
      <c r="I5603" s="497"/>
      <c r="J5603" s="497"/>
      <c r="K5603" s="500"/>
      <c r="L5603" s="497"/>
      <c r="M5603"/>
    </row>
    <row r="5604" spans="1:13" s="499" customFormat="1" x14ac:dyDescent="0.25">
      <c r="A5604" s="500"/>
      <c r="B5604" s="501"/>
      <c r="C5604" s="502"/>
      <c r="D5604" s="497"/>
      <c r="E5604" s="497"/>
      <c r="F5604" s="502"/>
      <c r="G5604" s="497"/>
      <c r="H5604" s="497"/>
      <c r="I5604" s="497"/>
      <c r="J5604" s="497"/>
      <c r="K5604" s="500"/>
      <c r="L5604" s="497"/>
      <c r="M5604"/>
    </row>
    <row r="5605" spans="1:13" s="499" customFormat="1" x14ac:dyDescent="0.25">
      <c r="A5605" s="500"/>
      <c r="B5605" s="501"/>
      <c r="C5605" s="502"/>
      <c r="D5605" s="497"/>
      <c r="E5605" s="497"/>
      <c r="F5605" s="502"/>
      <c r="G5605" s="497"/>
      <c r="H5605" s="497"/>
      <c r="I5605" s="497"/>
      <c r="J5605" s="497"/>
      <c r="K5605" s="500"/>
      <c r="L5605" s="497"/>
      <c r="M5605"/>
    </row>
    <row r="5606" spans="1:13" s="499" customFormat="1" x14ac:dyDescent="0.25">
      <c r="A5606" s="500"/>
      <c r="B5606" s="501"/>
      <c r="C5606" s="502"/>
      <c r="D5606" s="497"/>
      <c r="E5606" s="497"/>
      <c r="F5606" s="502"/>
      <c r="G5606" s="497"/>
      <c r="H5606" s="497"/>
      <c r="I5606" s="497"/>
      <c r="J5606" s="497"/>
      <c r="K5606" s="500"/>
      <c r="L5606" s="497"/>
      <c r="M5606"/>
    </row>
    <row r="5607" spans="1:13" s="499" customFormat="1" x14ac:dyDescent="0.25">
      <c r="A5607" s="500"/>
      <c r="B5607" s="501"/>
      <c r="C5607" s="502"/>
      <c r="D5607" s="497"/>
      <c r="E5607" s="497"/>
      <c r="F5607" s="502"/>
      <c r="G5607" s="497"/>
      <c r="H5607" s="497"/>
      <c r="I5607" s="497"/>
      <c r="J5607" s="497"/>
      <c r="K5607" s="500"/>
      <c r="L5607" s="497"/>
      <c r="M5607"/>
    </row>
    <row r="5608" spans="1:13" s="499" customFormat="1" x14ac:dyDescent="0.25">
      <c r="A5608" s="500"/>
      <c r="B5608" s="501"/>
      <c r="C5608" s="502"/>
      <c r="D5608" s="497"/>
      <c r="E5608" s="497"/>
      <c r="F5608" s="502"/>
      <c r="G5608" s="497"/>
      <c r="H5608" s="497"/>
      <c r="I5608" s="497"/>
      <c r="J5608" s="497"/>
      <c r="K5608" s="500"/>
      <c r="L5608" s="497"/>
      <c r="M5608"/>
    </row>
    <row r="5609" spans="1:13" s="499" customFormat="1" x14ac:dyDescent="0.25">
      <c r="A5609" s="500"/>
      <c r="B5609" s="501"/>
      <c r="C5609" s="502"/>
      <c r="D5609" s="497"/>
      <c r="E5609" s="497"/>
      <c r="F5609" s="502"/>
      <c r="G5609" s="497"/>
      <c r="H5609" s="497"/>
      <c r="I5609" s="497"/>
      <c r="J5609" s="497"/>
      <c r="K5609" s="500"/>
      <c r="L5609" s="497"/>
      <c r="M5609"/>
    </row>
    <row r="5610" spans="1:13" s="499" customFormat="1" x14ac:dyDescent="0.25">
      <c r="A5610" s="500"/>
      <c r="B5610" s="501"/>
      <c r="C5610" s="502"/>
      <c r="D5610" s="497"/>
      <c r="E5610" s="497"/>
      <c r="F5610" s="502"/>
      <c r="G5610" s="497"/>
      <c r="H5610" s="497"/>
      <c r="I5610" s="497"/>
      <c r="J5610" s="497"/>
      <c r="K5610" s="500"/>
      <c r="L5610" s="497"/>
      <c r="M5610"/>
    </row>
    <row r="5611" spans="1:13" s="499" customFormat="1" x14ac:dyDescent="0.25">
      <c r="A5611" s="500"/>
      <c r="B5611" s="501"/>
      <c r="C5611" s="502"/>
      <c r="D5611" s="497"/>
      <c r="E5611" s="497"/>
      <c r="F5611" s="502"/>
      <c r="G5611" s="497"/>
      <c r="H5611" s="497"/>
      <c r="I5611" s="497"/>
      <c r="J5611" s="497"/>
      <c r="K5611" s="500"/>
      <c r="L5611" s="497"/>
      <c r="M5611"/>
    </row>
    <row r="5612" spans="1:13" s="499" customFormat="1" x14ac:dyDescent="0.25">
      <c r="A5612" s="500"/>
      <c r="B5612" s="501"/>
      <c r="C5612" s="502"/>
      <c r="D5612" s="497"/>
      <c r="E5612" s="497"/>
      <c r="F5612" s="502"/>
      <c r="G5612" s="497"/>
      <c r="H5612" s="497"/>
      <c r="I5612" s="497"/>
      <c r="J5612" s="497"/>
      <c r="K5612" s="500"/>
      <c r="L5612" s="497"/>
      <c r="M5612"/>
    </row>
    <row r="5613" spans="1:13" s="499" customFormat="1" x14ac:dyDescent="0.25">
      <c r="A5613" s="500"/>
      <c r="B5613" s="501"/>
      <c r="C5613" s="502"/>
      <c r="D5613" s="497"/>
      <c r="E5613" s="497"/>
      <c r="F5613" s="502"/>
      <c r="G5613" s="497"/>
      <c r="H5613" s="497"/>
      <c r="I5613" s="497"/>
      <c r="J5613" s="497"/>
      <c r="K5613" s="500"/>
      <c r="L5613" s="497"/>
      <c r="M5613"/>
    </row>
    <row r="5614" spans="1:13" s="499" customFormat="1" x14ac:dyDescent="0.25">
      <c r="A5614" s="500"/>
      <c r="B5614" s="501"/>
      <c r="C5614" s="502"/>
      <c r="D5614" s="497"/>
      <c r="E5614" s="497"/>
      <c r="F5614" s="502"/>
      <c r="G5614" s="497"/>
      <c r="H5614" s="497"/>
      <c r="I5614" s="497"/>
      <c r="J5614" s="497"/>
      <c r="K5614" s="500"/>
      <c r="L5614" s="497"/>
      <c r="M5614"/>
    </row>
    <row r="5615" spans="1:13" s="499" customFormat="1" x14ac:dyDescent="0.25">
      <c r="A5615" s="500"/>
      <c r="B5615" s="501"/>
      <c r="C5615" s="502"/>
      <c r="D5615" s="497"/>
      <c r="E5615" s="497"/>
      <c r="F5615" s="502"/>
      <c r="G5615" s="497"/>
      <c r="H5615" s="497"/>
      <c r="I5615" s="497"/>
      <c r="J5615" s="497"/>
      <c r="K5615" s="500"/>
      <c r="L5615" s="497"/>
      <c r="M5615"/>
    </row>
    <row r="5616" spans="1:13" s="499" customFormat="1" x14ac:dyDescent="0.25">
      <c r="A5616" s="500"/>
      <c r="B5616" s="501"/>
      <c r="C5616" s="502"/>
      <c r="D5616" s="497"/>
      <c r="E5616" s="497"/>
      <c r="F5616" s="502"/>
      <c r="G5616" s="497"/>
      <c r="H5616" s="497"/>
      <c r="I5616" s="497"/>
      <c r="J5616" s="497"/>
      <c r="K5616" s="500"/>
      <c r="L5616" s="497"/>
      <c r="M5616"/>
    </row>
    <row r="5617" spans="1:13" s="499" customFormat="1" x14ac:dyDescent="0.25">
      <c r="A5617" s="500"/>
      <c r="B5617" s="501"/>
      <c r="C5617" s="502"/>
      <c r="D5617" s="497"/>
      <c r="E5617" s="497"/>
      <c r="F5617" s="502"/>
      <c r="G5617" s="497"/>
      <c r="H5617" s="497"/>
      <c r="I5617" s="497"/>
      <c r="J5617" s="497"/>
      <c r="K5617" s="500"/>
      <c r="L5617" s="497"/>
      <c r="M5617"/>
    </row>
    <row r="5618" spans="1:13" s="499" customFormat="1" x14ac:dyDescent="0.25">
      <c r="A5618" s="500"/>
      <c r="B5618" s="501"/>
      <c r="C5618" s="502"/>
      <c r="D5618" s="497"/>
      <c r="E5618" s="497"/>
      <c r="F5618" s="502"/>
      <c r="G5618" s="497"/>
      <c r="H5618" s="497"/>
      <c r="I5618" s="497"/>
      <c r="J5618" s="497"/>
      <c r="K5618" s="500"/>
      <c r="L5618" s="497"/>
      <c r="M5618"/>
    </row>
    <row r="5619" spans="1:13" s="499" customFormat="1" x14ac:dyDescent="0.25">
      <c r="A5619" s="500"/>
      <c r="B5619" s="501"/>
      <c r="C5619" s="502"/>
      <c r="D5619" s="497"/>
      <c r="E5619" s="497"/>
      <c r="F5619" s="502"/>
      <c r="G5619" s="497"/>
      <c r="H5619" s="497"/>
      <c r="I5619" s="497"/>
      <c r="J5619" s="497"/>
      <c r="K5619" s="500"/>
      <c r="L5619" s="497"/>
      <c r="M5619"/>
    </row>
    <row r="5620" spans="1:13" s="499" customFormat="1" x14ac:dyDescent="0.25">
      <c r="A5620" s="500"/>
      <c r="B5620" s="501"/>
      <c r="C5620" s="502"/>
      <c r="D5620" s="497"/>
      <c r="E5620" s="497"/>
      <c r="F5620" s="502"/>
      <c r="G5620" s="497"/>
      <c r="H5620" s="497"/>
      <c r="I5620" s="497"/>
      <c r="J5620" s="497"/>
      <c r="K5620" s="500"/>
      <c r="L5620" s="497"/>
      <c r="M5620"/>
    </row>
    <row r="5621" spans="1:13" s="499" customFormat="1" x14ac:dyDescent="0.25">
      <c r="A5621" s="500"/>
      <c r="B5621" s="501"/>
      <c r="C5621" s="502"/>
      <c r="D5621" s="497"/>
      <c r="E5621" s="497"/>
      <c r="F5621" s="502"/>
      <c r="G5621" s="497"/>
      <c r="H5621" s="497"/>
      <c r="I5621" s="497"/>
      <c r="J5621" s="497"/>
      <c r="K5621" s="500"/>
      <c r="L5621" s="497"/>
      <c r="M5621"/>
    </row>
    <row r="5622" spans="1:13" s="499" customFormat="1" x14ac:dyDescent="0.25">
      <c r="A5622" s="500"/>
      <c r="B5622" s="501"/>
      <c r="C5622" s="502"/>
      <c r="D5622" s="497"/>
      <c r="E5622" s="497"/>
      <c r="F5622" s="502"/>
      <c r="G5622" s="497"/>
      <c r="H5622" s="497"/>
      <c r="I5622" s="497"/>
      <c r="J5622" s="497"/>
      <c r="K5622" s="500"/>
      <c r="L5622" s="497"/>
      <c r="M5622"/>
    </row>
    <row r="5623" spans="1:13" s="499" customFormat="1" x14ac:dyDescent="0.25">
      <c r="A5623" s="500"/>
      <c r="B5623" s="501"/>
      <c r="C5623" s="502"/>
      <c r="D5623" s="497"/>
      <c r="E5623" s="497"/>
      <c r="F5623" s="502"/>
      <c r="G5623" s="497"/>
      <c r="H5623" s="497"/>
      <c r="I5623" s="497"/>
      <c r="J5623" s="497"/>
      <c r="K5623" s="500"/>
      <c r="L5623" s="497"/>
      <c r="M5623"/>
    </row>
    <row r="5624" spans="1:13" s="499" customFormat="1" x14ac:dyDescent="0.25">
      <c r="A5624" s="500"/>
      <c r="B5624" s="501"/>
      <c r="C5624" s="502"/>
      <c r="D5624" s="497"/>
      <c r="E5624" s="497"/>
      <c r="F5624" s="502"/>
      <c r="G5624" s="497"/>
      <c r="H5624" s="497"/>
      <c r="I5624" s="497"/>
      <c r="J5624" s="497"/>
      <c r="K5624" s="500"/>
      <c r="L5624" s="497"/>
      <c r="M5624"/>
    </row>
    <row r="5625" spans="1:13" s="499" customFormat="1" x14ac:dyDescent="0.25">
      <c r="A5625" s="500"/>
      <c r="B5625" s="501"/>
      <c r="C5625" s="502"/>
      <c r="D5625" s="497"/>
      <c r="E5625" s="497"/>
      <c r="F5625" s="502"/>
      <c r="G5625" s="497"/>
      <c r="H5625" s="497"/>
      <c r="I5625" s="497"/>
      <c r="J5625" s="497"/>
      <c r="K5625" s="500"/>
      <c r="L5625" s="497"/>
      <c r="M5625"/>
    </row>
    <row r="5626" spans="1:13" s="499" customFormat="1" x14ac:dyDescent="0.25">
      <c r="A5626" s="500"/>
      <c r="B5626" s="501"/>
      <c r="C5626" s="502"/>
      <c r="D5626" s="497"/>
      <c r="E5626" s="497"/>
      <c r="F5626" s="502"/>
      <c r="G5626" s="497"/>
      <c r="H5626" s="497"/>
      <c r="I5626" s="497"/>
      <c r="J5626" s="497"/>
      <c r="K5626" s="500"/>
      <c r="L5626" s="497"/>
      <c r="M5626"/>
    </row>
    <row r="5627" spans="1:13" s="499" customFormat="1" x14ac:dyDescent="0.25">
      <c r="A5627" s="500"/>
      <c r="B5627" s="501"/>
      <c r="C5627" s="502"/>
      <c r="D5627" s="497"/>
      <c r="E5627" s="497"/>
      <c r="F5627" s="502"/>
      <c r="G5627" s="497"/>
      <c r="H5627" s="497"/>
      <c r="I5627" s="497"/>
      <c r="J5627" s="497"/>
      <c r="K5627" s="500"/>
      <c r="L5627" s="497"/>
      <c r="M5627"/>
    </row>
    <row r="5628" spans="1:13" s="499" customFormat="1" x14ac:dyDescent="0.25">
      <c r="A5628" s="500"/>
      <c r="B5628" s="501"/>
      <c r="C5628" s="502"/>
      <c r="D5628" s="497"/>
      <c r="E5628" s="497"/>
      <c r="F5628" s="502"/>
      <c r="G5628" s="497"/>
      <c r="H5628" s="497"/>
      <c r="I5628" s="497"/>
      <c r="J5628" s="497"/>
      <c r="K5628" s="500"/>
      <c r="L5628" s="497"/>
      <c r="M5628"/>
    </row>
    <row r="5629" spans="1:13" s="499" customFormat="1" x14ac:dyDescent="0.25">
      <c r="A5629" s="500"/>
      <c r="B5629" s="501"/>
      <c r="C5629" s="502"/>
      <c r="D5629" s="497"/>
      <c r="E5629" s="497"/>
      <c r="F5629" s="502"/>
      <c r="G5629" s="497"/>
      <c r="H5629" s="497"/>
      <c r="I5629" s="497"/>
      <c r="J5629" s="497"/>
      <c r="K5629" s="500"/>
      <c r="L5629" s="497"/>
      <c r="M5629"/>
    </row>
    <row r="5630" spans="1:13" s="499" customFormat="1" x14ac:dyDescent="0.25">
      <c r="A5630" s="500"/>
      <c r="B5630" s="501"/>
      <c r="C5630" s="502"/>
      <c r="D5630" s="497"/>
      <c r="E5630" s="497"/>
      <c r="F5630" s="502"/>
      <c r="G5630" s="497"/>
      <c r="H5630" s="497"/>
      <c r="I5630" s="497"/>
      <c r="J5630" s="497"/>
      <c r="K5630" s="500"/>
      <c r="L5630" s="497"/>
      <c r="M5630"/>
    </row>
    <row r="5631" spans="1:13" s="499" customFormat="1" x14ac:dyDescent="0.25">
      <c r="A5631" s="500"/>
      <c r="B5631" s="501"/>
      <c r="C5631" s="502"/>
      <c r="D5631" s="497"/>
      <c r="E5631" s="497"/>
      <c r="F5631" s="502"/>
      <c r="G5631" s="497"/>
      <c r="H5631" s="497"/>
      <c r="I5631" s="497"/>
      <c r="J5631" s="497"/>
      <c r="K5631" s="500"/>
      <c r="L5631" s="497"/>
      <c r="M5631"/>
    </row>
    <row r="5632" spans="1:13" s="499" customFormat="1" x14ac:dyDescent="0.25">
      <c r="A5632" s="500"/>
      <c r="B5632" s="501"/>
      <c r="C5632" s="502"/>
      <c r="D5632" s="497"/>
      <c r="E5632" s="497"/>
      <c r="F5632" s="502"/>
      <c r="G5632" s="497"/>
      <c r="H5632" s="497"/>
      <c r="I5632" s="497"/>
      <c r="J5632" s="497"/>
      <c r="K5632" s="500"/>
      <c r="L5632" s="497"/>
      <c r="M5632"/>
    </row>
    <row r="5633" spans="1:13" s="499" customFormat="1" x14ac:dyDescent="0.25">
      <c r="A5633" s="500"/>
      <c r="B5633" s="501"/>
      <c r="C5633" s="502"/>
      <c r="D5633" s="497"/>
      <c r="E5633" s="497"/>
      <c r="F5633" s="502"/>
      <c r="G5633" s="497"/>
      <c r="H5633" s="497"/>
      <c r="I5633" s="497"/>
      <c r="J5633" s="497"/>
      <c r="K5633" s="500"/>
      <c r="L5633" s="497"/>
      <c r="M5633"/>
    </row>
    <row r="5634" spans="1:13" s="499" customFormat="1" x14ac:dyDescent="0.25">
      <c r="A5634" s="500"/>
      <c r="B5634" s="501"/>
      <c r="C5634" s="502"/>
      <c r="D5634" s="497"/>
      <c r="E5634" s="497"/>
      <c r="F5634" s="502"/>
      <c r="G5634" s="497"/>
      <c r="H5634" s="497"/>
      <c r="I5634" s="497"/>
      <c r="J5634" s="497"/>
      <c r="K5634" s="500"/>
      <c r="L5634" s="497"/>
      <c r="M5634"/>
    </row>
    <row r="5635" spans="1:13" s="499" customFormat="1" x14ac:dyDescent="0.25">
      <c r="A5635" s="500"/>
      <c r="B5635" s="501"/>
      <c r="C5635" s="502"/>
      <c r="D5635" s="497"/>
      <c r="E5635" s="497"/>
      <c r="F5635" s="502"/>
      <c r="G5635" s="497"/>
      <c r="H5635" s="497"/>
      <c r="I5635" s="497"/>
      <c r="J5635" s="497"/>
      <c r="K5635" s="500"/>
      <c r="L5635" s="497"/>
      <c r="M5635"/>
    </row>
    <row r="5636" spans="1:13" s="499" customFormat="1" x14ac:dyDescent="0.25">
      <c r="A5636" s="500"/>
      <c r="B5636" s="501"/>
      <c r="C5636" s="502"/>
      <c r="D5636" s="497"/>
      <c r="E5636" s="497"/>
      <c r="F5636" s="502"/>
      <c r="G5636" s="497"/>
      <c r="H5636" s="497"/>
      <c r="I5636" s="497"/>
      <c r="J5636" s="497"/>
      <c r="K5636" s="500"/>
      <c r="L5636" s="497"/>
      <c r="M5636"/>
    </row>
    <row r="5637" spans="1:13" s="499" customFormat="1" x14ac:dyDescent="0.25">
      <c r="A5637" s="500"/>
      <c r="B5637" s="501"/>
      <c r="C5637" s="502"/>
      <c r="D5637" s="497"/>
      <c r="E5637" s="497"/>
      <c r="F5637" s="502"/>
      <c r="G5637" s="497"/>
      <c r="H5637" s="497"/>
      <c r="I5637" s="497"/>
      <c r="J5637" s="497"/>
      <c r="K5637" s="500"/>
      <c r="L5637" s="497"/>
      <c r="M5637"/>
    </row>
    <row r="5638" spans="1:13" s="499" customFormat="1" x14ac:dyDescent="0.25">
      <c r="A5638" s="500"/>
      <c r="B5638" s="501"/>
      <c r="C5638" s="502"/>
      <c r="D5638" s="497"/>
      <c r="E5638" s="497"/>
      <c r="F5638" s="502"/>
      <c r="G5638" s="497"/>
      <c r="H5638" s="497"/>
      <c r="I5638" s="497"/>
      <c r="J5638" s="497"/>
      <c r="K5638" s="500"/>
      <c r="L5638" s="497"/>
      <c r="M5638"/>
    </row>
    <row r="5639" spans="1:13" s="499" customFormat="1" x14ac:dyDescent="0.25">
      <c r="A5639" s="500"/>
      <c r="B5639" s="501"/>
      <c r="C5639" s="502"/>
      <c r="D5639" s="497"/>
      <c r="E5639" s="497"/>
      <c r="F5639" s="502"/>
      <c r="G5639" s="497"/>
      <c r="H5639" s="497"/>
      <c r="I5639" s="497"/>
      <c r="J5639" s="497"/>
      <c r="K5639" s="500"/>
      <c r="L5639" s="497"/>
      <c r="M5639"/>
    </row>
    <row r="5640" spans="1:13" s="499" customFormat="1" x14ac:dyDescent="0.25">
      <c r="A5640" s="500"/>
      <c r="B5640" s="501"/>
      <c r="C5640" s="502"/>
      <c r="D5640" s="497"/>
      <c r="E5640" s="497"/>
      <c r="F5640" s="502"/>
      <c r="G5640" s="497"/>
      <c r="H5640" s="497"/>
      <c r="I5640" s="497"/>
      <c r="J5640" s="497"/>
      <c r="K5640" s="500"/>
      <c r="L5640" s="497"/>
      <c r="M5640"/>
    </row>
    <row r="5641" spans="1:13" s="499" customFormat="1" x14ac:dyDescent="0.25">
      <c r="A5641" s="500"/>
      <c r="B5641" s="501"/>
      <c r="C5641" s="502"/>
      <c r="D5641" s="497"/>
      <c r="E5641" s="497"/>
      <c r="F5641" s="502"/>
      <c r="G5641" s="497"/>
      <c r="H5641" s="497"/>
      <c r="I5641" s="497"/>
      <c r="J5641" s="497"/>
      <c r="K5641" s="500"/>
      <c r="L5641" s="497"/>
      <c r="M5641"/>
    </row>
    <row r="5642" spans="1:13" s="499" customFormat="1" x14ac:dyDescent="0.25">
      <c r="A5642" s="500"/>
      <c r="B5642" s="501"/>
      <c r="C5642" s="502"/>
      <c r="D5642" s="497"/>
      <c r="E5642" s="497"/>
      <c r="F5642" s="502"/>
      <c r="G5642" s="497"/>
      <c r="H5642" s="497"/>
      <c r="I5642" s="497"/>
      <c r="J5642" s="497"/>
      <c r="K5642" s="500"/>
      <c r="L5642" s="497"/>
      <c r="M5642"/>
    </row>
    <row r="5643" spans="1:13" s="499" customFormat="1" x14ac:dyDescent="0.25">
      <c r="A5643" s="500"/>
      <c r="B5643" s="501"/>
      <c r="C5643" s="502"/>
      <c r="D5643" s="497"/>
      <c r="E5643" s="497"/>
      <c r="F5643" s="502"/>
      <c r="G5643" s="497"/>
      <c r="H5643" s="497"/>
      <c r="I5643" s="497"/>
      <c r="J5643" s="497"/>
      <c r="K5643" s="500"/>
      <c r="L5643" s="497"/>
      <c r="M5643"/>
    </row>
    <row r="5644" spans="1:13" s="499" customFormat="1" x14ac:dyDescent="0.25">
      <c r="A5644" s="500"/>
      <c r="B5644" s="501"/>
      <c r="C5644" s="502"/>
      <c r="D5644" s="497"/>
      <c r="E5644" s="497"/>
      <c r="F5644" s="502"/>
      <c r="G5644" s="497"/>
      <c r="H5644" s="497"/>
      <c r="I5644" s="497"/>
      <c r="J5644" s="497"/>
      <c r="K5644" s="500"/>
      <c r="L5644" s="497"/>
      <c r="M5644"/>
    </row>
    <row r="5645" spans="1:13" s="499" customFormat="1" x14ac:dyDescent="0.25">
      <c r="A5645" s="500"/>
      <c r="B5645" s="501"/>
      <c r="C5645" s="502"/>
      <c r="D5645" s="497"/>
      <c r="E5645" s="497"/>
      <c r="F5645" s="502"/>
      <c r="G5645" s="497"/>
      <c r="H5645" s="497"/>
      <c r="I5645" s="497"/>
      <c r="J5645" s="497"/>
      <c r="K5645" s="500"/>
      <c r="L5645" s="497"/>
      <c r="M5645"/>
    </row>
    <row r="5646" spans="1:13" s="499" customFormat="1" x14ac:dyDescent="0.25">
      <c r="A5646" s="500"/>
      <c r="B5646" s="501"/>
      <c r="C5646" s="502"/>
      <c r="D5646" s="497"/>
      <c r="E5646" s="497"/>
      <c r="F5646" s="502"/>
      <c r="G5646" s="497"/>
      <c r="H5646" s="497"/>
      <c r="I5646" s="497"/>
      <c r="J5646" s="497"/>
      <c r="K5646" s="500"/>
      <c r="L5646" s="497"/>
      <c r="M5646"/>
    </row>
    <row r="5647" spans="1:13" s="499" customFormat="1" x14ac:dyDescent="0.25">
      <c r="A5647" s="500"/>
      <c r="B5647" s="501"/>
      <c r="C5647" s="502"/>
      <c r="D5647" s="497"/>
      <c r="E5647" s="497"/>
      <c r="F5647" s="502"/>
      <c r="G5647" s="497"/>
      <c r="H5647" s="497"/>
      <c r="I5647" s="497"/>
      <c r="J5647" s="497"/>
      <c r="K5647" s="500"/>
      <c r="L5647" s="497"/>
      <c r="M5647"/>
    </row>
    <row r="5648" spans="1:13" s="499" customFormat="1" x14ac:dyDescent="0.25">
      <c r="A5648" s="500"/>
      <c r="B5648" s="501"/>
      <c r="C5648" s="502"/>
      <c r="D5648" s="497"/>
      <c r="E5648" s="497"/>
      <c r="F5648" s="502"/>
      <c r="G5648" s="497"/>
      <c r="H5648" s="497"/>
      <c r="I5648" s="497"/>
      <c r="J5648" s="497"/>
      <c r="K5648" s="500"/>
      <c r="L5648" s="497"/>
      <c r="M5648"/>
    </row>
    <row r="5649" spans="1:13" s="499" customFormat="1" x14ac:dyDescent="0.25">
      <c r="A5649" s="500"/>
      <c r="B5649" s="501"/>
      <c r="C5649" s="502"/>
      <c r="D5649" s="497"/>
      <c r="E5649" s="497"/>
      <c r="F5649" s="502"/>
      <c r="G5649" s="497"/>
      <c r="H5649" s="497"/>
      <c r="I5649" s="497"/>
      <c r="J5649" s="497"/>
      <c r="K5649" s="500"/>
      <c r="L5649" s="497"/>
      <c r="M5649"/>
    </row>
    <row r="5650" spans="1:13" s="499" customFormat="1" x14ac:dyDescent="0.25">
      <c r="A5650" s="500"/>
      <c r="B5650" s="501"/>
      <c r="C5650" s="502"/>
      <c r="D5650" s="497"/>
      <c r="E5650" s="497"/>
      <c r="F5650" s="502"/>
      <c r="G5650" s="497"/>
      <c r="H5650" s="497"/>
      <c r="I5650" s="497"/>
      <c r="J5650" s="497"/>
      <c r="K5650" s="500"/>
      <c r="L5650" s="497"/>
      <c r="M5650"/>
    </row>
    <row r="5651" spans="1:13" s="499" customFormat="1" x14ac:dyDescent="0.25">
      <c r="A5651" s="500"/>
      <c r="B5651" s="501"/>
      <c r="C5651" s="502"/>
      <c r="D5651" s="497"/>
      <c r="E5651" s="497"/>
      <c r="F5651" s="502"/>
      <c r="G5651" s="497"/>
      <c r="H5651" s="497"/>
      <c r="I5651" s="497"/>
      <c r="J5651" s="497"/>
      <c r="K5651" s="500"/>
      <c r="L5651" s="497"/>
      <c r="M5651"/>
    </row>
    <row r="5652" spans="1:13" s="499" customFormat="1" x14ac:dyDescent="0.25">
      <c r="A5652" s="500"/>
      <c r="B5652" s="501"/>
      <c r="C5652" s="502"/>
      <c r="D5652" s="497"/>
      <c r="E5652" s="497"/>
      <c r="F5652" s="502"/>
      <c r="G5652" s="497"/>
      <c r="H5652" s="497"/>
      <c r="I5652" s="497"/>
      <c r="J5652" s="497"/>
      <c r="K5652" s="500"/>
      <c r="L5652" s="497"/>
      <c r="M5652"/>
    </row>
    <row r="5653" spans="1:13" s="499" customFormat="1" x14ac:dyDescent="0.25">
      <c r="A5653" s="500"/>
      <c r="B5653" s="501"/>
      <c r="C5653" s="502"/>
      <c r="D5653" s="497"/>
      <c r="E5653" s="497"/>
      <c r="F5653" s="502"/>
      <c r="G5653" s="497"/>
      <c r="H5653" s="497"/>
      <c r="I5653" s="497"/>
      <c r="J5653" s="497"/>
      <c r="K5653" s="500"/>
      <c r="L5653" s="497"/>
      <c r="M5653"/>
    </row>
    <row r="5654" spans="1:13" s="499" customFormat="1" x14ac:dyDescent="0.25">
      <c r="A5654" s="500"/>
      <c r="B5654" s="501"/>
      <c r="C5654" s="502"/>
      <c r="D5654" s="497"/>
      <c r="E5654" s="497"/>
      <c r="F5654" s="502"/>
      <c r="G5654" s="497"/>
      <c r="H5654" s="497"/>
      <c r="I5654" s="497"/>
      <c r="J5654" s="497"/>
      <c r="K5654" s="500"/>
      <c r="L5654" s="497"/>
      <c r="M5654"/>
    </row>
    <row r="5655" spans="1:13" s="499" customFormat="1" x14ac:dyDescent="0.25">
      <c r="A5655" s="500"/>
      <c r="B5655" s="501"/>
      <c r="C5655" s="502"/>
      <c r="D5655" s="497"/>
      <c r="E5655" s="497"/>
      <c r="F5655" s="502"/>
      <c r="G5655" s="497"/>
      <c r="H5655" s="497"/>
      <c r="I5655" s="497"/>
      <c r="J5655" s="497"/>
      <c r="K5655" s="500"/>
      <c r="L5655" s="497"/>
      <c r="M5655"/>
    </row>
    <row r="5656" spans="1:13" s="499" customFormat="1" x14ac:dyDescent="0.25">
      <c r="A5656" s="500"/>
      <c r="B5656" s="501"/>
      <c r="C5656" s="502"/>
      <c r="D5656" s="497"/>
      <c r="E5656" s="497"/>
      <c r="F5656" s="502"/>
      <c r="G5656" s="497"/>
      <c r="H5656" s="497"/>
      <c r="I5656" s="497"/>
      <c r="J5656" s="497"/>
      <c r="K5656" s="500"/>
      <c r="L5656" s="497"/>
      <c r="M5656"/>
    </row>
    <row r="5657" spans="1:13" s="499" customFormat="1" x14ac:dyDescent="0.25">
      <c r="A5657" s="500"/>
      <c r="B5657" s="501"/>
      <c r="C5657" s="502"/>
      <c r="D5657" s="497"/>
      <c r="E5657" s="497"/>
      <c r="F5657" s="502"/>
      <c r="G5657" s="497"/>
      <c r="H5657" s="497"/>
      <c r="I5657" s="497"/>
      <c r="J5657" s="497"/>
      <c r="K5657" s="500"/>
      <c r="L5657" s="497"/>
      <c r="M5657"/>
    </row>
    <row r="5658" spans="1:13" s="499" customFormat="1" x14ac:dyDescent="0.25">
      <c r="A5658" s="500"/>
      <c r="B5658" s="501"/>
      <c r="C5658" s="502"/>
      <c r="D5658" s="497"/>
      <c r="E5658" s="497"/>
      <c r="F5658" s="502"/>
      <c r="G5658" s="497"/>
      <c r="H5658" s="497"/>
      <c r="I5658" s="497"/>
      <c r="J5658" s="497"/>
      <c r="K5658" s="500"/>
      <c r="L5658" s="497"/>
      <c r="M5658"/>
    </row>
    <row r="5659" spans="1:13" s="499" customFormat="1" x14ac:dyDescent="0.25">
      <c r="A5659" s="500"/>
      <c r="B5659" s="501"/>
      <c r="C5659" s="502"/>
      <c r="D5659" s="497"/>
      <c r="E5659" s="497"/>
      <c r="F5659" s="502"/>
      <c r="G5659" s="497"/>
      <c r="H5659" s="497"/>
      <c r="I5659" s="497"/>
      <c r="J5659" s="497"/>
      <c r="K5659" s="500"/>
      <c r="L5659" s="497"/>
      <c r="M5659"/>
    </row>
    <row r="5660" spans="1:13" s="499" customFormat="1" x14ac:dyDescent="0.25">
      <c r="A5660" s="500"/>
      <c r="B5660" s="501"/>
      <c r="C5660" s="502"/>
      <c r="D5660" s="497"/>
      <c r="E5660" s="497"/>
      <c r="F5660" s="502"/>
      <c r="G5660" s="497"/>
      <c r="H5660" s="497"/>
      <c r="I5660" s="497"/>
      <c r="J5660" s="497"/>
      <c r="K5660" s="500"/>
      <c r="L5660" s="497"/>
      <c r="M5660"/>
    </row>
    <row r="5661" spans="1:13" s="499" customFormat="1" x14ac:dyDescent="0.25">
      <c r="A5661" s="500"/>
      <c r="B5661" s="501"/>
      <c r="C5661" s="502"/>
      <c r="D5661" s="497"/>
      <c r="E5661" s="497"/>
      <c r="F5661" s="502"/>
      <c r="G5661" s="497"/>
      <c r="H5661" s="497"/>
      <c r="I5661" s="497"/>
      <c r="J5661" s="497"/>
      <c r="K5661" s="500"/>
      <c r="L5661" s="497"/>
      <c r="M5661"/>
    </row>
    <row r="5662" spans="1:13" s="499" customFormat="1" x14ac:dyDescent="0.25">
      <c r="A5662" s="500"/>
      <c r="B5662" s="501"/>
      <c r="C5662" s="502"/>
      <c r="D5662" s="497"/>
      <c r="E5662" s="497"/>
      <c r="F5662" s="502"/>
      <c r="G5662" s="497"/>
      <c r="H5662" s="497"/>
      <c r="I5662" s="497"/>
      <c r="J5662" s="497"/>
      <c r="K5662" s="500"/>
      <c r="L5662" s="497"/>
      <c r="M5662"/>
    </row>
    <row r="5663" spans="1:13" s="499" customFormat="1" x14ac:dyDescent="0.25">
      <c r="A5663" s="500"/>
      <c r="B5663" s="501"/>
      <c r="C5663" s="502"/>
      <c r="D5663" s="497"/>
      <c r="E5663" s="497"/>
      <c r="F5663" s="502"/>
      <c r="G5663" s="497"/>
      <c r="H5663" s="497"/>
      <c r="I5663" s="497"/>
      <c r="J5663" s="497"/>
      <c r="K5663" s="500"/>
      <c r="L5663" s="497"/>
      <c r="M5663"/>
    </row>
    <row r="5664" spans="1:13" s="499" customFormat="1" x14ac:dyDescent="0.25">
      <c r="A5664" s="500"/>
      <c r="B5664" s="501"/>
      <c r="C5664" s="502"/>
      <c r="D5664" s="497"/>
      <c r="E5664" s="497"/>
      <c r="F5664" s="502"/>
      <c r="G5664" s="497"/>
      <c r="H5664" s="497"/>
      <c r="I5664" s="497"/>
      <c r="J5664" s="497"/>
      <c r="K5664" s="500"/>
      <c r="L5664" s="497"/>
      <c r="M5664"/>
    </row>
    <row r="5665" spans="1:13" s="499" customFormat="1" x14ac:dyDescent="0.25">
      <c r="A5665" s="500"/>
      <c r="B5665" s="501"/>
      <c r="C5665" s="502"/>
      <c r="D5665" s="497"/>
      <c r="E5665" s="497"/>
      <c r="F5665" s="502"/>
      <c r="G5665" s="497"/>
      <c r="H5665" s="497"/>
      <c r="I5665" s="497"/>
      <c r="J5665" s="497"/>
      <c r="K5665" s="500"/>
      <c r="L5665" s="497"/>
      <c r="M5665"/>
    </row>
    <row r="5666" spans="1:13" s="499" customFormat="1" x14ac:dyDescent="0.25">
      <c r="A5666" s="500"/>
      <c r="B5666" s="501"/>
      <c r="C5666" s="502"/>
      <c r="D5666" s="497"/>
      <c r="E5666" s="497"/>
      <c r="F5666" s="502"/>
      <c r="G5666" s="497"/>
      <c r="H5666" s="497"/>
      <c r="I5666" s="497"/>
      <c r="J5666" s="497"/>
      <c r="K5666" s="500"/>
      <c r="L5666" s="497"/>
      <c r="M5666"/>
    </row>
    <row r="5667" spans="1:13" s="499" customFormat="1" x14ac:dyDescent="0.25">
      <c r="A5667" s="500"/>
      <c r="B5667" s="501"/>
      <c r="C5667" s="502"/>
      <c r="D5667" s="497"/>
      <c r="E5667" s="497"/>
      <c r="F5667" s="502"/>
      <c r="G5667" s="497"/>
      <c r="H5667" s="497"/>
      <c r="I5667" s="497"/>
      <c r="J5667" s="497"/>
      <c r="K5667" s="500"/>
      <c r="L5667" s="497"/>
      <c r="M5667"/>
    </row>
    <row r="5668" spans="1:13" s="499" customFormat="1" x14ac:dyDescent="0.25">
      <c r="A5668" s="500"/>
      <c r="B5668" s="501"/>
      <c r="C5668" s="502"/>
      <c r="D5668" s="497"/>
      <c r="E5668" s="497"/>
      <c r="F5668" s="502"/>
      <c r="G5668" s="497"/>
      <c r="H5668" s="497"/>
      <c r="I5668" s="497"/>
      <c r="J5668" s="497"/>
      <c r="K5668" s="500"/>
      <c r="L5668" s="497"/>
      <c r="M5668"/>
    </row>
    <row r="5669" spans="1:13" s="499" customFormat="1" x14ac:dyDescent="0.25">
      <c r="A5669" s="500"/>
      <c r="B5669" s="501"/>
      <c r="C5669" s="502"/>
      <c r="D5669" s="497"/>
      <c r="E5669" s="497"/>
      <c r="F5669" s="502"/>
      <c r="G5669" s="497"/>
      <c r="H5669" s="497"/>
      <c r="I5669" s="497"/>
      <c r="J5669" s="497"/>
      <c r="K5669" s="500"/>
      <c r="L5669" s="497"/>
      <c r="M5669"/>
    </row>
    <row r="5670" spans="1:13" s="499" customFormat="1" x14ac:dyDescent="0.25">
      <c r="A5670" s="500"/>
      <c r="B5670" s="501"/>
      <c r="C5670" s="502"/>
      <c r="D5670" s="497"/>
      <c r="E5670" s="497"/>
      <c r="F5670" s="502"/>
      <c r="G5670" s="497"/>
      <c r="H5670" s="497"/>
      <c r="I5670" s="497"/>
      <c r="J5670" s="497"/>
      <c r="K5670" s="500"/>
      <c r="L5670" s="497"/>
      <c r="M5670"/>
    </row>
    <row r="5671" spans="1:13" s="499" customFormat="1" x14ac:dyDescent="0.25">
      <c r="A5671" s="500"/>
      <c r="B5671" s="501"/>
      <c r="C5671" s="502"/>
      <c r="D5671" s="497"/>
      <c r="E5671" s="497"/>
      <c r="F5671" s="502"/>
      <c r="G5671" s="497"/>
      <c r="H5671" s="497"/>
      <c r="I5671" s="497"/>
      <c r="J5671" s="497"/>
      <c r="K5671" s="500"/>
      <c r="L5671" s="497"/>
      <c r="M5671"/>
    </row>
    <row r="5672" spans="1:13" s="499" customFormat="1" x14ac:dyDescent="0.25">
      <c r="A5672" s="500"/>
      <c r="B5672" s="501"/>
      <c r="C5672" s="502"/>
      <c r="D5672" s="497"/>
      <c r="E5672" s="497"/>
      <c r="F5672" s="502"/>
      <c r="G5672" s="497"/>
      <c r="H5672" s="497"/>
      <c r="I5672" s="497"/>
      <c r="J5672" s="497"/>
      <c r="K5672" s="500"/>
      <c r="L5672" s="497"/>
      <c r="M5672"/>
    </row>
    <row r="5673" spans="1:13" s="499" customFormat="1" x14ac:dyDescent="0.25">
      <c r="A5673" s="500"/>
      <c r="B5673" s="501"/>
      <c r="C5673" s="502"/>
      <c r="D5673" s="497"/>
      <c r="E5673" s="497"/>
      <c r="F5673" s="502"/>
      <c r="G5673" s="497"/>
      <c r="H5673" s="497"/>
      <c r="I5673" s="497"/>
      <c r="J5673" s="497"/>
      <c r="K5673" s="500"/>
      <c r="L5673" s="497"/>
      <c r="M5673"/>
    </row>
    <row r="5674" spans="1:13" s="499" customFormat="1" x14ac:dyDescent="0.25">
      <c r="A5674" s="500"/>
      <c r="B5674" s="501"/>
      <c r="C5674" s="502"/>
      <c r="D5674" s="497"/>
      <c r="E5674" s="497"/>
      <c r="F5674" s="502"/>
      <c r="G5674" s="497"/>
      <c r="H5674" s="497"/>
      <c r="I5674" s="497"/>
      <c r="J5674" s="497"/>
      <c r="K5674" s="500"/>
      <c r="L5674" s="497"/>
      <c r="M5674"/>
    </row>
    <row r="5675" spans="1:13" s="499" customFormat="1" x14ac:dyDescent="0.25">
      <c r="A5675" s="500"/>
      <c r="B5675" s="501"/>
      <c r="C5675" s="502"/>
      <c r="D5675" s="497"/>
      <c r="E5675" s="497"/>
      <c r="F5675" s="502"/>
      <c r="G5675" s="497"/>
      <c r="H5675" s="497"/>
      <c r="I5675" s="497"/>
      <c r="J5675" s="497"/>
      <c r="K5675" s="500"/>
      <c r="L5675" s="497"/>
      <c r="M5675"/>
    </row>
    <row r="5676" spans="1:13" s="499" customFormat="1" x14ac:dyDescent="0.25">
      <c r="A5676" s="500"/>
      <c r="B5676" s="501"/>
      <c r="C5676" s="502"/>
      <c r="D5676" s="497"/>
      <c r="E5676" s="497"/>
      <c r="F5676" s="502"/>
      <c r="G5676" s="497"/>
      <c r="H5676" s="497"/>
      <c r="I5676" s="497"/>
      <c r="J5676" s="497"/>
      <c r="K5676" s="500"/>
      <c r="L5676" s="497"/>
      <c r="M5676"/>
    </row>
    <row r="5677" spans="1:13" s="499" customFormat="1" x14ac:dyDescent="0.25">
      <c r="A5677" s="500"/>
      <c r="B5677" s="501"/>
      <c r="C5677" s="502"/>
      <c r="D5677" s="497"/>
      <c r="E5677" s="497"/>
      <c r="F5677" s="502"/>
      <c r="G5677" s="497"/>
      <c r="H5677" s="497"/>
      <c r="I5677" s="497"/>
      <c r="J5677" s="497"/>
      <c r="K5677" s="500"/>
      <c r="L5677" s="497"/>
      <c r="M5677"/>
    </row>
    <row r="5678" spans="1:13" s="499" customFormat="1" x14ac:dyDescent="0.25">
      <c r="A5678" s="500"/>
      <c r="B5678" s="501"/>
      <c r="C5678" s="502"/>
      <c r="D5678" s="497"/>
      <c r="E5678" s="497"/>
      <c r="F5678" s="502"/>
      <c r="G5678" s="497"/>
      <c r="H5678" s="497"/>
      <c r="I5678" s="497"/>
      <c r="J5678" s="497"/>
      <c r="K5678" s="500"/>
      <c r="L5678" s="497"/>
      <c r="M5678"/>
    </row>
    <row r="5679" spans="1:13" s="499" customFormat="1" x14ac:dyDescent="0.25">
      <c r="A5679" s="500"/>
      <c r="B5679" s="501"/>
      <c r="C5679" s="502"/>
      <c r="D5679" s="497"/>
      <c r="E5679" s="497"/>
      <c r="F5679" s="502"/>
      <c r="G5679" s="497"/>
      <c r="H5679" s="497"/>
      <c r="I5679" s="497"/>
      <c r="J5679" s="497"/>
      <c r="K5679" s="500"/>
      <c r="L5679" s="497"/>
      <c r="M5679"/>
    </row>
    <row r="5680" spans="1:13" s="499" customFormat="1" x14ac:dyDescent="0.25">
      <c r="A5680" s="500"/>
      <c r="B5680" s="501"/>
      <c r="C5680" s="502"/>
      <c r="D5680" s="497"/>
      <c r="E5680" s="497"/>
      <c r="F5680" s="502"/>
      <c r="G5680" s="497"/>
      <c r="H5680" s="497"/>
      <c r="I5680" s="497"/>
      <c r="J5680" s="497"/>
      <c r="K5680" s="500"/>
      <c r="L5680" s="497"/>
      <c r="M5680"/>
    </row>
    <row r="5681" spans="1:13" s="499" customFormat="1" x14ac:dyDescent="0.25">
      <c r="A5681" s="500"/>
      <c r="B5681" s="501"/>
      <c r="C5681" s="502"/>
      <c r="D5681" s="497"/>
      <c r="E5681" s="497"/>
      <c r="F5681" s="502"/>
      <c r="G5681" s="497"/>
      <c r="H5681" s="497"/>
      <c r="I5681" s="497"/>
      <c r="J5681" s="497"/>
      <c r="K5681" s="500"/>
      <c r="L5681" s="497"/>
      <c r="M5681"/>
    </row>
    <row r="5682" spans="1:13" s="499" customFormat="1" x14ac:dyDescent="0.25">
      <c r="A5682" s="500"/>
      <c r="B5682" s="501"/>
      <c r="C5682" s="502"/>
      <c r="D5682" s="497"/>
      <c r="E5682" s="497"/>
      <c r="F5682" s="502"/>
      <c r="G5682" s="497"/>
      <c r="H5682" s="497"/>
      <c r="I5682" s="497"/>
      <c r="J5682" s="497"/>
      <c r="K5682" s="500"/>
      <c r="L5682" s="497"/>
      <c r="M5682"/>
    </row>
    <row r="5683" spans="1:13" s="499" customFormat="1" x14ac:dyDescent="0.25">
      <c r="A5683" s="500"/>
      <c r="B5683" s="501"/>
      <c r="C5683" s="502"/>
      <c r="D5683" s="497"/>
      <c r="E5683" s="497"/>
      <c r="F5683" s="502"/>
      <c r="G5683" s="497"/>
      <c r="H5683" s="497"/>
      <c r="I5683" s="497"/>
      <c r="J5683" s="497"/>
      <c r="K5683" s="500"/>
      <c r="L5683" s="497"/>
      <c r="M5683"/>
    </row>
    <row r="5684" spans="1:13" s="499" customFormat="1" x14ac:dyDescent="0.25">
      <c r="A5684" s="500"/>
      <c r="B5684" s="501"/>
      <c r="C5684" s="502"/>
      <c r="D5684" s="497"/>
      <c r="E5684" s="497"/>
      <c r="F5684" s="502"/>
      <c r="G5684" s="497"/>
      <c r="H5684" s="497"/>
      <c r="I5684" s="497"/>
      <c r="J5684" s="497"/>
      <c r="K5684" s="500"/>
      <c r="L5684" s="497"/>
      <c r="M5684"/>
    </row>
    <row r="5685" spans="1:13" s="499" customFormat="1" x14ac:dyDescent="0.25">
      <c r="A5685" s="500"/>
      <c r="B5685" s="501"/>
      <c r="C5685" s="502"/>
      <c r="D5685" s="497"/>
      <c r="E5685" s="497"/>
      <c r="F5685" s="502"/>
      <c r="G5685" s="497"/>
      <c r="H5685" s="497"/>
      <c r="I5685" s="497"/>
      <c r="J5685" s="497"/>
      <c r="K5685" s="500"/>
      <c r="L5685" s="497"/>
      <c r="M5685"/>
    </row>
    <row r="5686" spans="1:13" s="499" customFormat="1" x14ac:dyDescent="0.25">
      <c r="A5686" s="500"/>
      <c r="B5686" s="501"/>
      <c r="C5686" s="502"/>
      <c r="D5686" s="497"/>
      <c r="E5686" s="497"/>
      <c r="F5686" s="502"/>
      <c r="G5686" s="497"/>
      <c r="H5686" s="497"/>
      <c r="I5686" s="497"/>
      <c r="J5686" s="497"/>
      <c r="K5686" s="500"/>
      <c r="L5686" s="497"/>
      <c r="M5686"/>
    </row>
    <row r="5687" spans="1:13" s="499" customFormat="1" x14ac:dyDescent="0.25">
      <c r="A5687" s="500"/>
      <c r="B5687" s="501"/>
      <c r="C5687" s="502"/>
      <c r="D5687" s="497"/>
      <c r="E5687" s="497"/>
      <c r="F5687" s="502"/>
      <c r="G5687" s="497"/>
      <c r="H5687" s="497"/>
      <c r="I5687" s="497"/>
      <c r="J5687" s="497"/>
      <c r="K5687" s="500"/>
      <c r="L5687" s="497"/>
      <c r="M5687"/>
    </row>
    <row r="5688" spans="1:13" s="499" customFormat="1" x14ac:dyDescent="0.25">
      <c r="A5688" s="500"/>
      <c r="B5688" s="501"/>
      <c r="C5688" s="502"/>
      <c r="D5688" s="497"/>
      <c r="E5688" s="497"/>
      <c r="F5688" s="502"/>
      <c r="G5688" s="497"/>
      <c r="H5688" s="497"/>
      <c r="I5688" s="497"/>
      <c r="J5688" s="497"/>
      <c r="K5688" s="500"/>
      <c r="L5688" s="497"/>
      <c r="M5688"/>
    </row>
    <row r="5689" spans="1:13" s="499" customFormat="1" x14ac:dyDescent="0.25">
      <c r="A5689" s="500"/>
      <c r="B5689" s="501"/>
      <c r="C5689" s="502"/>
      <c r="D5689" s="497"/>
      <c r="E5689" s="497"/>
      <c r="F5689" s="502"/>
      <c r="G5689" s="497"/>
      <c r="H5689" s="497"/>
      <c r="I5689" s="497"/>
      <c r="J5689" s="497"/>
      <c r="K5689" s="500"/>
      <c r="L5689" s="497"/>
      <c r="M5689"/>
    </row>
    <row r="5690" spans="1:13" s="499" customFormat="1" x14ac:dyDescent="0.25">
      <c r="A5690" s="500"/>
      <c r="B5690" s="501"/>
      <c r="C5690" s="502"/>
      <c r="D5690" s="497"/>
      <c r="E5690" s="497"/>
      <c r="F5690" s="502"/>
      <c r="G5690" s="497"/>
      <c r="H5690" s="497"/>
      <c r="I5690" s="497"/>
      <c r="J5690" s="497"/>
      <c r="K5690" s="500"/>
      <c r="L5690" s="497"/>
      <c r="M5690"/>
    </row>
    <row r="5691" spans="1:13" s="499" customFormat="1" x14ac:dyDescent="0.25">
      <c r="A5691" s="500"/>
      <c r="B5691" s="501"/>
      <c r="C5691" s="502"/>
      <c r="D5691" s="497"/>
      <c r="E5691" s="497"/>
      <c r="F5691" s="502"/>
      <c r="G5691" s="497"/>
      <c r="H5691" s="497"/>
      <c r="I5691" s="497"/>
      <c r="J5691" s="497"/>
      <c r="K5691" s="500"/>
      <c r="L5691" s="497"/>
      <c r="M5691"/>
    </row>
    <row r="5692" spans="1:13" s="499" customFormat="1" x14ac:dyDescent="0.25">
      <c r="A5692" s="500"/>
      <c r="B5692" s="501"/>
      <c r="C5692" s="502"/>
      <c r="D5692" s="497"/>
      <c r="E5692" s="497"/>
      <c r="F5692" s="502"/>
      <c r="G5692" s="497"/>
      <c r="H5692" s="497"/>
      <c r="I5692" s="497"/>
      <c r="J5692" s="497"/>
      <c r="K5692" s="500"/>
      <c r="L5692" s="497"/>
      <c r="M5692"/>
    </row>
    <row r="5693" spans="1:13" s="499" customFormat="1" x14ac:dyDescent="0.25">
      <c r="A5693" s="500"/>
      <c r="B5693" s="501"/>
      <c r="C5693" s="502"/>
      <c r="D5693" s="497"/>
      <c r="E5693" s="497"/>
      <c r="F5693" s="502"/>
      <c r="G5693" s="497"/>
      <c r="H5693" s="497"/>
      <c r="I5693" s="497"/>
      <c r="J5693" s="497"/>
      <c r="K5693" s="500"/>
      <c r="L5693" s="497"/>
      <c r="M5693"/>
    </row>
    <row r="5694" spans="1:13" s="499" customFormat="1" x14ac:dyDescent="0.25">
      <c r="A5694" s="500"/>
      <c r="B5694" s="501"/>
      <c r="C5694" s="502"/>
      <c r="D5694" s="497"/>
      <c r="E5694" s="497"/>
      <c r="F5694" s="502"/>
      <c r="G5694" s="497"/>
      <c r="H5694" s="497"/>
      <c r="I5694" s="497"/>
      <c r="J5694" s="497"/>
      <c r="K5694" s="500"/>
      <c r="L5694" s="497"/>
      <c r="M5694"/>
    </row>
    <row r="5695" spans="1:13" s="499" customFormat="1" x14ac:dyDescent="0.25">
      <c r="A5695" s="500"/>
      <c r="B5695" s="501"/>
      <c r="C5695" s="502"/>
      <c r="D5695" s="497"/>
      <c r="E5695" s="497"/>
      <c r="F5695" s="502"/>
      <c r="G5695" s="497"/>
      <c r="H5695" s="497"/>
      <c r="I5695" s="497"/>
      <c r="J5695" s="497"/>
      <c r="K5695" s="500"/>
      <c r="L5695" s="497"/>
      <c r="M5695"/>
    </row>
    <row r="5696" spans="1:13" s="499" customFormat="1" x14ac:dyDescent="0.25">
      <c r="A5696" s="500"/>
      <c r="B5696" s="501"/>
      <c r="C5696" s="502"/>
      <c r="D5696" s="497"/>
      <c r="E5696" s="497"/>
      <c r="F5696" s="502"/>
      <c r="G5696" s="497"/>
      <c r="H5696" s="497"/>
      <c r="I5696" s="497"/>
      <c r="J5696" s="497"/>
      <c r="K5696" s="500"/>
      <c r="L5696" s="497"/>
      <c r="M5696"/>
    </row>
    <row r="5697" spans="1:13" s="499" customFormat="1" x14ac:dyDescent="0.25">
      <c r="A5697" s="500"/>
      <c r="B5697" s="501"/>
      <c r="C5697" s="502"/>
      <c r="D5697" s="497"/>
      <c r="E5697" s="497"/>
      <c r="F5697" s="502"/>
      <c r="G5697" s="497"/>
      <c r="H5697" s="497"/>
      <c r="I5697" s="497"/>
      <c r="J5697" s="497"/>
      <c r="K5697" s="500"/>
      <c r="L5697" s="497"/>
      <c r="M5697"/>
    </row>
    <row r="5698" spans="1:13" s="499" customFormat="1" x14ac:dyDescent="0.25">
      <c r="A5698" s="500"/>
      <c r="B5698" s="501"/>
      <c r="C5698" s="502"/>
      <c r="D5698" s="497"/>
      <c r="E5698" s="497"/>
      <c r="F5698" s="502"/>
      <c r="G5698" s="497"/>
      <c r="H5698" s="497"/>
      <c r="I5698" s="497"/>
      <c r="J5698" s="497"/>
      <c r="K5698" s="500"/>
      <c r="L5698" s="497"/>
      <c r="M5698"/>
    </row>
    <row r="5699" spans="1:13" s="499" customFormat="1" x14ac:dyDescent="0.25">
      <c r="A5699" s="500"/>
      <c r="B5699" s="501"/>
      <c r="C5699" s="502"/>
      <c r="D5699" s="497"/>
      <c r="E5699" s="497"/>
      <c r="F5699" s="502"/>
      <c r="G5699" s="497"/>
      <c r="H5699" s="497"/>
      <c r="I5699" s="497"/>
      <c r="J5699" s="497"/>
      <c r="K5699" s="500"/>
      <c r="L5699" s="497"/>
      <c r="M5699"/>
    </row>
    <row r="5700" spans="1:13" s="499" customFormat="1" x14ac:dyDescent="0.25">
      <c r="A5700" s="500"/>
      <c r="B5700" s="501"/>
      <c r="C5700" s="502"/>
      <c r="D5700" s="497"/>
      <c r="E5700" s="497"/>
      <c r="F5700" s="502"/>
      <c r="G5700" s="497"/>
      <c r="H5700" s="497"/>
      <c r="I5700" s="497"/>
      <c r="J5700" s="497"/>
      <c r="K5700" s="500"/>
      <c r="L5700" s="497"/>
      <c r="M5700"/>
    </row>
    <row r="5701" spans="1:13" s="499" customFormat="1" x14ac:dyDescent="0.25">
      <c r="A5701" s="500"/>
      <c r="B5701" s="501"/>
      <c r="C5701" s="502"/>
      <c r="D5701" s="497"/>
      <c r="E5701" s="497"/>
      <c r="F5701" s="502"/>
      <c r="G5701" s="497"/>
      <c r="H5701" s="497"/>
      <c r="I5701" s="497"/>
      <c r="J5701" s="497"/>
      <c r="K5701" s="500"/>
      <c r="L5701" s="497"/>
      <c r="M5701"/>
    </row>
    <row r="5702" spans="1:13" s="499" customFormat="1" x14ac:dyDescent="0.25">
      <c r="A5702" s="500"/>
      <c r="B5702" s="501"/>
      <c r="C5702" s="502"/>
      <c r="D5702" s="497"/>
      <c r="E5702" s="497"/>
      <c r="F5702" s="502"/>
      <c r="G5702" s="497"/>
      <c r="H5702" s="497"/>
      <c r="I5702" s="497"/>
      <c r="J5702" s="497"/>
      <c r="K5702" s="500"/>
      <c r="L5702" s="497"/>
      <c r="M5702"/>
    </row>
    <row r="5703" spans="1:13" s="499" customFormat="1" x14ac:dyDescent="0.25">
      <c r="A5703" s="500"/>
      <c r="B5703" s="501"/>
      <c r="C5703" s="502"/>
      <c r="D5703" s="497"/>
      <c r="E5703" s="497"/>
      <c r="F5703" s="502"/>
      <c r="G5703" s="497"/>
      <c r="H5703" s="497"/>
      <c r="I5703" s="497"/>
      <c r="J5703" s="497"/>
      <c r="K5703" s="500"/>
      <c r="L5703" s="497"/>
      <c r="M5703"/>
    </row>
    <row r="5704" spans="1:13" s="499" customFormat="1" x14ac:dyDescent="0.25">
      <c r="A5704" s="500"/>
      <c r="B5704" s="501"/>
      <c r="C5704" s="502"/>
      <c r="D5704" s="497"/>
      <c r="E5704" s="497"/>
      <c r="F5704" s="502"/>
      <c r="G5704" s="497"/>
      <c r="H5704" s="497"/>
      <c r="I5704" s="497"/>
      <c r="J5704" s="497"/>
      <c r="K5704" s="500"/>
      <c r="L5704" s="497"/>
      <c r="M5704"/>
    </row>
    <row r="5705" spans="1:13" s="499" customFormat="1" x14ac:dyDescent="0.25">
      <c r="A5705" s="500"/>
      <c r="B5705" s="501"/>
      <c r="C5705" s="502"/>
      <c r="D5705" s="497"/>
      <c r="E5705" s="497"/>
      <c r="F5705" s="502"/>
      <c r="G5705" s="497"/>
      <c r="H5705" s="497"/>
      <c r="I5705" s="497"/>
      <c r="J5705" s="497"/>
      <c r="K5705" s="500"/>
      <c r="L5705" s="497"/>
      <c r="M5705"/>
    </row>
    <row r="5706" spans="1:13" s="499" customFormat="1" x14ac:dyDescent="0.25">
      <c r="A5706" s="500"/>
      <c r="B5706" s="501"/>
      <c r="C5706" s="502"/>
      <c r="D5706" s="497"/>
      <c r="E5706" s="497"/>
      <c r="F5706" s="502"/>
      <c r="G5706" s="497"/>
      <c r="H5706" s="497"/>
      <c r="I5706" s="497"/>
      <c r="J5706" s="497"/>
      <c r="K5706" s="500"/>
      <c r="L5706" s="497"/>
      <c r="M5706"/>
    </row>
    <row r="5707" spans="1:13" s="499" customFormat="1" x14ac:dyDescent="0.25">
      <c r="A5707" s="500"/>
      <c r="B5707" s="501"/>
      <c r="C5707" s="502"/>
      <c r="D5707" s="497"/>
      <c r="E5707" s="497"/>
      <c r="F5707" s="502"/>
      <c r="G5707" s="497"/>
      <c r="H5707" s="497"/>
      <c r="I5707" s="497"/>
      <c r="J5707" s="497"/>
      <c r="K5707" s="500"/>
      <c r="L5707" s="497"/>
      <c r="M5707"/>
    </row>
    <row r="5708" spans="1:13" s="499" customFormat="1" x14ac:dyDescent="0.25">
      <c r="A5708" s="500"/>
      <c r="B5708" s="501"/>
      <c r="C5708" s="502"/>
      <c r="D5708" s="497"/>
      <c r="E5708" s="497"/>
      <c r="F5708" s="502"/>
      <c r="G5708" s="497"/>
      <c r="H5708" s="497"/>
      <c r="I5708" s="497"/>
      <c r="J5708" s="497"/>
      <c r="K5708" s="500"/>
      <c r="L5708" s="497"/>
      <c r="M5708"/>
    </row>
    <row r="5709" spans="1:13" s="499" customFormat="1" x14ac:dyDescent="0.25">
      <c r="A5709" s="500"/>
      <c r="B5709" s="501"/>
      <c r="C5709" s="502"/>
      <c r="D5709" s="497"/>
      <c r="E5709" s="497"/>
      <c r="F5709" s="502"/>
      <c r="G5709" s="497"/>
      <c r="H5709" s="497"/>
      <c r="I5709" s="497"/>
      <c r="J5709" s="497"/>
      <c r="K5709" s="500"/>
      <c r="L5709" s="497"/>
      <c r="M5709"/>
    </row>
    <row r="5710" spans="1:13" s="499" customFormat="1" x14ac:dyDescent="0.25">
      <c r="A5710" s="500"/>
      <c r="B5710" s="501"/>
      <c r="C5710" s="502"/>
      <c r="D5710" s="497"/>
      <c r="E5710" s="497"/>
      <c r="F5710" s="502"/>
      <c r="G5710" s="497"/>
      <c r="H5710" s="497"/>
      <c r="I5710" s="497"/>
      <c r="J5710" s="497"/>
      <c r="K5710" s="500"/>
      <c r="L5710" s="497"/>
      <c r="M5710"/>
    </row>
    <row r="5711" spans="1:13" s="499" customFormat="1" x14ac:dyDescent="0.25">
      <c r="A5711" s="500"/>
      <c r="B5711" s="501"/>
      <c r="C5711" s="502"/>
      <c r="D5711" s="497"/>
      <c r="E5711" s="497"/>
      <c r="F5711" s="502"/>
      <c r="G5711" s="497"/>
      <c r="H5711" s="497"/>
      <c r="I5711" s="497"/>
      <c r="J5711" s="497"/>
      <c r="K5711" s="500"/>
      <c r="L5711" s="497"/>
      <c r="M5711"/>
    </row>
    <row r="5712" spans="1:13" s="499" customFormat="1" x14ac:dyDescent="0.25">
      <c r="A5712" s="500"/>
      <c r="B5712" s="501"/>
      <c r="C5712" s="502"/>
      <c r="D5712" s="497"/>
      <c r="E5712" s="497"/>
      <c r="F5712" s="502"/>
      <c r="G5712" s="497"/>
      <c r="H5712" s="497"/>
      <c r="I5712" s="497"/>
      <c r="J5712" s="497"/>
      <c r="K5712" s="500"/>
      <c r="L5712" s="497"/>
      <c r="M5712"/>
    </row>
    <row r="5713" spans="1:13" s="499" customFormat="1" x14ac:dyDescent="0.25">
      <c r="A5713" s="500"/>
      <c r="B5713" s="501"/>
      <c r="C5713" s="502"/>
      <c r="D5713" s="497"/>
      <c r="E5713" s="497"/>
      <c r="F5713" s="502"/>
      <c r="G5713" s="497"/>
      <c r="H5713" s="497"/>
      <c r="I5713" s="497"/>
      <c r="J5713" s="497"/>
      <c r="K5713" s="500"/>
      <c r="L5713" s="497"/>
      <c r="M5713"/>
    </row>
    <row r="5714" spans="1:13" s="499" customFormat="1" x14ac:dyDescent="0.25">
      <c r="A5714" s="500"/>
      <c r="B5714" s="501"/>
      <c r="C5714" s="502"/>
      <c r="D5714" s="497"/>
      <c r="E5714" s="497"/>
      <c r="F5714" s="502"/>
      <c r="G5714" s="497"/>
      <c r="H5714" s="497"/>
      <c r="I5714" s="497"/>
      <c r="J5714" s="497"/>
      <c r="K5714" s="500"/>
      <c r="L5714" s="497"/>
      <c r="M5714"/>
    </row>
    <row r="5715" spans="1:13" s="499" customFormat="1" x14ac:dyDescent="0.25">
      <c r="A5715" s="500"/>
      <c r="B5715" s="501"/>
      <c r="C5715" s="502"/>
      <c r="D5715" s="497"/>
      <c r="E5715" s="497"/>
      <c r="F5715" s="502"/>
      <c r="G5715" s="497"/>
      <c r="H5715" s="497"/>
      <c r="I5715" s="497"/>
      <c r="J5715" s="497"/>
      <c r="K5715" s="500"/>
      <c r="L5715" s="497"/>
      <c r="M5715"/>
    </row>
    <row r="5716" spans="1:13" s="499" customFormat="1" x14ac:dyDescent="0.25">
      <c r="A5716" s="500"/>
      <c r="B5716" s="501"/>
      <c r="C5716" s="502"/>
      <c r="D5716" s="497"/>
      <c r="E5716" s="497"/>
      <c r="F5716" s="502"/>
      <c r="G5716" s="497"/>
      <c r="H5716" s="497"/>
      <c r="I5716" s="497"/>
      <c r="J5716" s="497"/>
      <c r="K5716" s="500"/>
      <c r="L5716" s="497"/>
      <c r="M5716"/>
    </row>
    <row r="5717" spans="1:13" s="499" customFormat="1" x14ac:dyDescent="0.25">
      <c r="A5717" s="500"/>
      <c r="B5717" s="501"/>
      <c r="C5717" s="502"/>
      <c r="D5717" s="497"/>
      <c r="E5717" s="497"/>
      <c r="F5717" s="502"/>
      <c r="G5717" s="497"/>
      <c r="H5717" s="497"/>
      <c r="I5717" s="497"/>
      <c r="J5717" s="497"/>
      <c r="K5717" s="500"/>
      <c r="L5717" s="497"/>
      <c r="M5717"/>
    </row>
    <row r="5718" spans="1:13" s="499" customFormat="1" x14ac:dyDescent="0.25">
      <c r="A5718" s="500"/>
      <c r="B5718" s="501"/>
      <c r="C5718" s="502"/>
      <c r="D5718" s="497"/>
      <c r="E5718" s="497"/>
      <c r="F5718" s="502"/>
      <c r="G5718" s="497"/>
      <c r="H5718" s="497"/>
      <c r="I5718" s="497"/>
      <c r="J5718" s="497"/>
      <c r="K5718" s="500"/>
      <c r="L5718" s="497"/>
      <c r="M5718"/>
    </row>
    <row r="5719" spans="1:13" s="499" customFormat="1" x14ac:dyDescent="0.25">
      <c r="A5719" s="500"/>
      <c r="B5719" s="501"/>
      <c r="C5719" s="502"/>
      <c r="D5719" s="497"/>
      <c r="E5719" s="497"/>
      <c r="F5719" s="502"/>
      <c r="G5719" s="497"/>
      <c r="H5719" s="497"/>
      <c r="I5719" s="497"/>
      <c r="J5719" s="497"/>
      <c r="K5719" s="500"/>
      <c r="L5719" s="497"/>
      <c r="M5719"/>
    </row>
    <row r="5720" spans="1:13" s="499" customFormat="1" x14ac:dyDescent="0.25">
      <c r="A5720" s="500"/>
      <c r="B5720" s="501"/>
      <c r="C5720" s="502"/>
      <c r="D5720" s="497"/>
      <c r="E5720" s="497"/>
      <c r="F5720" s="502"/>
      <c r="G5720" s="497"/>
      <c r="H5720" s="497"/>
      <c r="I5720" s="497"/>
      <c r="J5720" s="497"/>
      <c r="K5720" s="500"/>
      <c r="L5720" s="497"/>
      <c r="M5720"/>
    </row>
    <row r="5721" spans="1:13" s="499" customFormat="1" x14ac:dyDescent="0.25">
      <c r="A5721" s="500"/>
      <c r="B5721" s="501"/>
      <c r="C5721" s="502"/>
      <c r="D5721" s="497"/>
      <c r="E5721" s="497"/>
      <c r="F5721" s="502"/>
      <c r="G5721" s="497"/>
      <c r="H5721" s="497"/>
      <c r="I5721" s="497"/>
      <c r="J5721" s="497"/>
      <c r="K5721" s="500"/>
      <c r="L5721" s="497"/>
      <c r="M5721"/>
    </row>
    <row r="5722" spans="1:13" s="499" customFormat="1" x14ac:dyDescent="0.25">
      <c r="A5722" s="500"/>
      <c r="B5722" s="501"/>
      <c r="C5722" s="502"/>
      <c r="D5722" s="497"/>
      <c r="E5722" s="497"/>
      <c r="F5722" s="502"/>
      <c r="G5722" s="497"/>
      <c r="H5722" s="497"/>
      <c r="I5722" s="497"/>
      <c r="J5722" s="497"/>
      <c r="K5722" s="500"/>
      <c r="L5722" s="497"/>
      <c r="M5722"/>
    </row>
    <row r="5723" spans="1:13" s="499" customFormat="1" x14ac:dyDescent="0.25">
      <c r="A5723" s="500"/>
      <c r="B5723" s="501"/>
      <c r="C5723" s="502"/>
      <c r="D5723" s="497"/>
      <c r="E5723" s="497"/>
      <c r="F5723" s="502"/>
      <c r="G5723" s="497"/>
      <c r="H5723" s="497"/>
      <c r="I5723" s="497"/>
      <c r="J5723" s="497"/>
      <c r="K5723" s="500"/>
      <c r="L5723" s="497"/>
      <c r="M5723"/>
    </row>
    <row r="5724" spans="1:13" s="499" customFormat="1" x14ac:dyDescent="0.25">
      <c r="A5724" s="500"/>
      <c r="B5724" s="501"/>
      <c r="C5724" s="502"/>
      <c r="D5724" s="497"/>
      <c r="E5724" s="497"/>
      <c r="F5724" s="502"/>
      <c r="G5724" s="497"/>
      <c r="H5724" s="497"/>
      <c r="I5724" s="497"/>
      <c r="J5724" s="497"/>
      <c r="K5724" s="500"/>
      <c r="L5724" s="497"/>
      <c r="M5724"/>
    </row>
    <row r="5725" spans="1:13" s="499" customFormat="1" x14ac:dyDescent="0.25">
      <c r="A5725" s="500"/>
      <c r="B5725" s="501"/>
      <c r="C5725" s="502"/>
      <c r="D5725" s="497"/>
      <c r="E5725" s="497"/>
      <c r="F5725" s="502"/>
      <c r="G5725" s="497"/>
      <c r="H5725" s="497"/>
      <c r="I5725" s="497"/>
      <c r="J5725" s="497"/>
      <c r="K5725" s="500"/>
      <c r="L5725" s="497"/>
      <c r="M5725"/>
    </row>
    <row r="5726" spans="1:13" s="499" customFormat="1" x14ac:dyDescent="0.25">
      <c r="A5726" s="500"/>
      <c r="B5726" s="501"/>
      <c r="C5726" s="502"/>
      <c r="D5726" s="497"/>
      <c r="E5726" s="497"/>
      <c r="F5726" s="502"/>
      <c r="G5726" s="497"/>
      <c r="H5726" s="497"/>
      <c r="I5726" s="497"/>
      <c r="J5726" s="497"/>
      <c r="K5726" s="500"/>
      <c r="L5726" s="497"/>
      <c r="M5726"/>
    </row>
    <row r="5727" spans="1:13" s="499" customFormat="1" x14ac:dyDescent="0.25">
      <c r="A5727" s="500"/>
      <c r="B5727" s="501"/>
      <c r="C5727" s="502"/>
      <c r="D5727" s="497"/>
      <c r="E5727" s="497"/>
      <c r="F5727" s="502"/>
      <c r="G5727" s="497"/>
      <c r="H5727" s="497"/>
      <c r="I5727" s="497"/>
      <c r="J5727" s="497"/>
      <c r="K5727" s="500"/>
      <c r="L5727" s="497"/>
      <c r="M5727"/>
    </row>
    <row r="5728" spans="1:13" s="499" customFormat="1" x14ac:dyDescent="0.25">
      <c r="A5728" s="500"/>
      <c r="B5728" s="501"/>
      <c r="C5728" s="502"/>
      <c r="D5728" s="497"/>
      <c r="E5728" s="497"/>
      <c r="F5728" s="502"/>
      <c r="G5728" s="497"/>
      <c r="H5728" s="497"/>
      <c r="I5728" s="497"/>
      <c r="J5728" s="497"/>
      <c r="K5728" s="500"/>
      <c r="L5728" s="497"/>
      <c r="M5728"/>
    </row>
    <row r="5729" spans="1:13" s="499" customFormat="1" x14ac:dyDescent="0.25">
      <c r="A5729" s="500"/>
      <c r="B5729" s="501"/>
      <c r="C5729" s="502"/>
      <c r="D5729" s="497"/>
      <c r="E5729" s="497"/>
      <c r="F5729" s="502"/>
      <c r="G5729" s="497"/>
      <c r="H5729" s="497"/>
      <c r="I5729" s="497"/>
      <c r="J5729" s="497"/>
      <c r="K5729" s="500"/>
      <c r="L5729" s="497"/>
      <c r="M5729"/>
    </row>
    <row r="5730" spans="1:13" s="499" customFormat="1" x14ac:dyDescent="0.25">
      <c r="A5730" s="500"/>
      <c r="B5730" s="501"/>
      <c r="C5730" s="502"/>
      <c r="D5730" s="497"/>
      <c r="E5730" s="497"/>
      <c r="F5730" s="502"/>
      <c r="G5730" s="497"/>
      <c r="H5730" s="497"/>
      <c r="I5730" s="497"/>
      <c r="J5730" s="497"/>
      <c r="K5730" s="500"/>
      <c r="L5730" s="497"/>
      <c r="M5730"/>
    </row>
    <row r="5731" spans="1:13" s="499" customFormat="1" x14ac:dyDescent="0.25">
      <c r="A5731" s="500"/>
      <c r="B5731" s="501"/>
      <c r="C5731" s="502"/>
      <c r="D5731" s="497"/>
      <c r="E5731" s="497"/>
      <c r="F5731" s="502"/>
      <c r="G5731" s="497"/>
      <c r="H5731" s="497"/>
      <c r="I5731" s="497"/>
      <c r="J5731" s="497"/>
      <c r="K5731" s="500"/>
      <c r="L5731" s="497"/>
      <c r="M5731"/>
    </row>
    <row r="5732" spans="1:13" s="499" customFormat="1" x14ac:dyDescent="0.25">
      <c r="A5732" s="500"/>
      <c r="B5732" s="501"/>
      <c r="C5732" s="502"/>
      <c r="D5732" s="497"/>
      <c r="E5732" s="497"/>
      <c r="F5732" s="502"/>
      <c r="G5732" s="497"/>
      <c r="H5732" s="497"/>
      <c r="I5732" s="497"/>
      <c r="J5732" s="497"/>
      <c r="K5732" s="500"/>
      <c r="L5732" s="497"/>
      <c r="M5732"/>
    </row>
    <row r="5733" spans="1:13" s="499" customFormat="1" x14ac:dyDescent="0.25">
      <c r="A5733" s="500"/>
      <c r="B5733" s="501"/>
      <c r="C5733" s="502"/>
      <c r="D5733" s="497"/>
      <c r="E5733" s="497"/>
      <c r="F5733" s="502"/>
      <c r="G5733" s="497"/>
      <c r="H5733" s="497"/>
      <c r="I5733" s="497"/>
      <c r="J5733" s="497"/>
      <c r="K5733" s="500"/>
      <c r="L5733" s="497"/>
      <c r="M5733"/>
    </row>
    <row r="5734" spans="1:13" s="499" customFormat="1" x14ac:dyDescent="0.25">
      <c r="A5734" s="500"/>
      <c r="B5734" s="501"/>
      <c r="C5734" s="502"/>
      <c r="D5734" s="497"/>
      <c r="E5734" s="497"/>
      <c r="F5734" s="502"/>
      <c r="G5734" s="497"/>
      <c r="H5734" s="497"/>
      <c r="I5734" s="497"/>
      <c r="J5734" s="497"/>
      <c r="K5734" s="500"/>
      <c r="L5734" s="497"/>
      <c r="M5734"/>
    </row>
    <row r="5735" spans="1:13" s="499" customFormat="1" x14ac:dyDescent="0.25">
      <c r="A5735" s="500"/>
      <c r="B5735" s="501"/>
      <c r="C5735" s="502"/>
      <c r="D5735" s="497"/>
      <c r="E5735" s="497"/>
      <c r="F5735" s="502"/>
      <c r="G5735" s="497"/>
      <c r="H5735" s="497"/>
      <c r="I5735" s="497"/>
      <c r="J5735" s="497"/>
      <c r="K5735" s="500"/>
      <c r="L5735" s="497"/>
      <c r="M5735"/>
    </row>
    <row r="5736" spans="1:13" s="499" customFormat="1" x14ac:dyDescent="0.25">
      <c r="A5736" s="500"/>
      <c r="B5736" s="501"/>
      <c r="C5736" s="502"/>
      <c r="D5736" s="497"/>
      <c r="E5736" s="497"/>
      <c r="F5736" s="502"/>
      <c r="G5736" s="497"/>
      <c r="H5736" s="497"/>
      <c r="I5736" s="497"/>
      <c r="J5736" s="497"/>
      <c r="K5736" s="500"/>
      <c r="L5736" s="497"/>
      <c r="M5736"/>
    </row>
    <row r="5737" spans="1:13" s="499" customFormat="1" x14ac:dyDescent="0.25">
      <c r="A5737" s="500"/>
      <c r="B5737" s="501"/>
      <c r="C5737" s="502"/>
      <c r="D5737" s="497"/>
      <c r="E5737" s="497"/>
      <c r="F5737" s="502"/>
      <c r="G5737" s="497"/>
      <c r="H5737" s="497"/>
      <c r="I5737" s="497"/>
      <c r="J5737" s="497"/>
      <c r="K5737" s="500"/>
      <c r="L5737" s="497"/>
      <c r="M5737"/>
    </row>
    <row r="5738" spans="1:13" s="499" customFormat="1" x14ac:dyDescent="0.25">
      <c r="A5738" s="500"/>
      <c r="B5738" s="501"/>
      <c r="C5738" s="502"/>
      <c r="D5738" s="497"/>
      <c r="E5738" s="497"/>
      <c r="F5738" s="502"/>
      <c r="G5738" s="497"/>
      <c r="H5738" s="497"/>
      <c r="I5738" s="497"/>
      <c r="J5738" s="497"/>
      <c r="K5738" s="500"/>
      <c r="L5738" s="497"/>
      <c r="M5738"/>
    </row>
    <row r="5739" spans="1:13" s="499" customFormat="1" x14ac:dyDescent="0.25">
      <c r="A5739" s="500"/>
      <c r="B5739" s="501"/>
      <c r="C5739" s="502"/>
      <c r="D5739" s="497"/>
      <c r="E5739" s="497"/>
      <c r="F5739" s="502"/>
      <c r="G5739" s="497"/>
      <c r="H5739" s="497"/>
      <c r="I5739" s="497"/>
      <c r="J5739" s="497"/>
      <c r="K5739" s="500"/>
      <c r="L5739" s="497"/>
      <c r="M5739"/>
    </row>
    <row r="5740" spans="1:13" s="499" customFormat="1" x14ac:dyDescent="0.25">
      <c r="A5740" s="500"/>
      <c r="B5740" s="501"/>
      <c r="C5740" s="502"/>
      <c r="D5740" s="497"/>
      <c r="E5740" s="497"/>
      <c r="F5740" s="502"/>
      <c r="G5740" s="497"/>
      <c r="H5740" s="497"/>
      <c r="I5740" s="497"/>
      <c r="J5740" s="497"/>
      <c r="K5740" s="500"/>
      <c r="L5740" s="497"/>
      <c r="M5740"/>
    </row>
    <row r="5741" spans="1:13" s="499" customFormat="1" x14ac:dyDescent="0.25">
      <c r="A5741" s="500"/>
      <c r="B5741" s="501"/>
      <c r="C5741" s="502"/>
      <c r="D5741" s="497"/>
      <c r="E5741" s="497"/>
      <c r="F5741" s="502"/>
      <c r="G5741" s="497"/>
      <c r="H5741" s="497"/>
      <c r="I5741" s="497"/>
      <c r="J5741" s="497"/>
      <c r="K5741" s="500"/>
      <c r="L5741" s="497"/>
      <c r="M5741"/>
    </row>
    <row r="5742" spans="1:13" s="499" customFormat="1" x14ac:dyDescent="0.25">
      <c r="A5742" s="500"/>
      <c r="B5742" s="501"/>
      <c r="C5742" s="502"/>
      <c r="D5742" s="497"/>
      <c r="E5742" s="497"/>
      <c r="F5742" s="502"/>
      <c r="G5742" s="497"/>
      <c r="H5742" s="497"/>
      <c r="I5742" s="497"/>
      <c r="J5742" s="497"/>
      <c r="K5742" s="500"/>
      <c r="L5742" s="497"/>
      <c r="M5742"/>
    </row>
    <row r="5743" spans="1:13" s="499" customFormat="1" x14ac:dyDescent="0.25">
      <c r="A5743" s="500"/>
      <c r="B5743" s="501"/>
      <c r="C5743" s="502"/>
      <c r="D5743" s="497"/>
      <c r="E5743" s="497"/>
      <c r="F5743" s="502"/>
      <c r="G5743" s="497"/>
      <c r="H5743" s="497"/>
      <c r="I5743" s="497"/>
      <c r="J5743" s="497"/>
      <c r="K5743" s="500"/>
      <c r="L5743" s="497"/>
      <c r="M5743"/>
    </row>
    <row r="5744" spans="1:13" s="499" customFormat="1" x14ac:dyDescent="0.25">
      <c r="A5744" s="500"/>
      <c r="B5744" s="501"/>
      <c r="C5744" s="502"/>
      <c r="D5744" s="497"/>
      <c r="E5744" s="497"/>
      <c r="F5744" s="502"/>
      <c r="G5744" s="497"/>
      <c r="H5744" s="497"/>
      <c r="I5744" s="497"/>
      <c r="J5744" s="497"/>
      <c r="K5744" s="500"/>
      <c r="L5744" s="497"/>
      <c r="M5744"/>
    </row>
    <row r="5745" spans="1:13" s="499" customFormat="1" x14ac:dyDescent="0.25">
      <c r="A5745" s="500"/>
      <c r="B5745" s="501"/>
      <c r="C5745" s="502"/>
      <c r="D5745" s="497"/>
      <c r="E5745" s="497"/>
      <c r="F5745" s="502"/>
      <c r="G5745" s="497"/>
      <c r="H5745" s="497"/>
      <c r="I5745" s="497"/>
      <c r="J5745" s="497"/>
      <c r="K5745" s="500"/>
      <c r="L5745" s="497"/>
      <c r="M5745"/>
    </row>
    <row r="5746" spans="1:13" s="499" customFormat="1" x14ac:dyDescent="0.25">
      <c r="A5746" s="500"/>
      <c r="B5746" s="501"/>
      <c r="C5746" s="502"/>
      <c r="D5746" s="497"/>
      <c r="E5746" s="497"/>
      <c r="F5746" s="502"/>
      <c r="G5746" s="497"/>
      <c r="H5746" s="497"/>
      <c r="I5746" s="497"/>
      <c r="J5746" s="497"/>
      <c r="K5746" s="500"/>
      <c r="L5746" s="497"/>
      <c r="M5746"/>
    </row>
    <row r="5747" spans="1:13" s="499" customFormat="1" x14ac:dyDescent="0.25">
      <c r="A5747" s="500"/>
      <c r="B5747" s="501"/>
      <c r="C5747" s="502"/>
      <c r="D5747" s="497"/>
      <c r="E5747" s="497"/>
      <c r="F5747" s="502"/>
      <c r="G5747" s="497"/>
      <c r="H5747" s="497"/>
      <c r="I5747" s="497"/>
      <c r="J5747" s="497"/>
      <c r="K5747" s="500"/>
      <c r="L5747" s="497"/>
      <c r="M5747"/>
    </row>
    <row r="5748" spans="1:13" s="499" customFormat="1" x14ac:dyDescent="0.25">
      <c r="A5748" s="500"/>
      <c r="B5748" s="501"/>
      <c r="C5748" s="502"/>
      <c r="D5748" s="497"/>
      <c r="E5748" s="497"/>
      <c r="F5748" s="502"/>
      <c r="G5748" s="497"/>
      <c r="H5748" s="497"/>
      <c r="I5748" s="497"/>
      <c r="J5748" s="497"/>
      <c r="K5748" s="500"/>
      <c r="L5748" s="497"/>
      <c r="M5748"/>
    </row>
    <row r="5749" spans="1:13" s="499" customFormat="1" x14ac:dyDescent="0.25">
      <c r="A5749" s="500"/>
      <c r="B5749" s="501"/>
      <c r="C5749" s="502"/>
      <c r="D5749" s="497"/>
      <c r="E5749" s="497"/>
      <c r="F5749" s="502"/>
      <c r="G5749" s="497"/>
      <c r="H5749" s="497"/>
      <c r="I5749" s="497"/>
      <c r="J5749" s="497"/>
      <c r="K5749" s="500"/>
      <c r="L5749" s="497"/>
      <c r="M5749"/>
    </row>
    <row r="5750" spans="1:13" s="499" customFormat="1" x14ac:dyDescent="0.25">
      <c r="A5750" s="500"/>
      <c r="B5750" s="501"/>
      <c r="C5750" s="502"/>
      <c r="D5750" s="497"/>
      <c r="E5750" s="497"/>
      <c r="F5750" s="502"/>
      <c r="G5750" s="497"/>
      <c r="H5750" s="497"/>
      <c r="I5750" s="497"/>
      <c r="J5750" s="497"/>
      <c r="K5750" s="500"/>
      <c r="L5750" s="497"/>
      <c r="M5750"/>
    </row>
    <row r="5751" spans="1:13" s="499" customFormat="1" x14ac:dyDescent="0.25">
      <c r="A5751" s="500"/>
      <c r="B5751" s="501"/>
      <c r="C5751" s="502"/>
      <c r="D5751" s="497"/>
      <c r="E5751" s="497"/>
      <c r="F5751" s="502"/>
      <c r="G5751" s="497"/>
      <c r="H5751" s="497"/>
      <c r="I5751" s="497"/>
      <c r="J5751" s="497"/>
      <c r="K5751" s="500"/>
      <c r="L5751" s="497"/>
      <c r="M5751"/>
    </row>
    <row r="5752" spans="1:13" s="499" customFormat="1" x14ac:dyDescent="0.25">
      <c r="A5752" s="500"/>
      <c r="B5752" s="501"/>
      <c r="C5752" s="502"/>
      <c r="D5752" s="497"/>
      <c r="E5752" s="497"/>
      <c r="F5752" s="502"/>
      <c r="G5752" s="497"/>
      <c r="H5752" s="497"/>
      <c r="I5752" s="497"/>
      <c r="J5752" s="497"/>
      <c r="K5752" s="500"/>
      <c r="L5752" s="497"/>
      <c r="M5752"/>
    </row>
    <row r="5753" spans="1:13" s="499" customFormat="1" x14ac:dyDescent="0.25">
      <c r="A5753" s="500"/>
      <c r="B5753" s="501"/>
      <c r="C5753" s="502"/>
      <c r="D5753" s="497"/>
      <c r="E5753" s="497"/>
      <c r="F5753" s="502"/>
      <c r="G5753" s="497"/>
      <c r="H5753" s="497"/>
      <c r="I5753" s="497"/>
      <c r="J5753" s="497"/>
      <c r="K5753" s="500"/>
      <c r="L5753" s="497"/>
      <c r="M5753"/>
    </row>
    <row r="5754" spans="1:13" s="499" customFormat="1" x14ac:dyDescent="0.25">
      <c r="A5754" s="500"/>
      <c r="B5754" s="501"/>
      <c r="C5754" s="502"/>
      <c r="D5754" s="497"/>
      <c r="E5754" s="497"/>
      <c r="F5754" s="502"/>
      <c r="G5754" s="497"/>
      <c r="H5754" s="497"/>
      <c r="I5754" s="497"/>
      <c r="J5754" s="497"/>
      <c r="K5754" s="500"/>
      <c r="L5754" s="497"/>
      <c r="M5754"/>
    </row>
    <row r="5755" spans="1:13" s="499" customFormat="1" x14ac:dyDescent="0.25">
      <c r="A5755" s="500"/>
      <c r="B5755" s="501"/>
      <c r="C5755" s="502"/>
      <c r="D5755" s="497"/>
      <c r="E5755" s="497"/>
      <c r="F5755" s="502"/>
      <c r="G5755" s="497"/>
      <c r="H5755" s="497"/>
      <c r="I5755" s="497"/>
      <c r="J5755" s="497"/>
      <c r="K5755" s="500"/>
      <c r="L5755" s="497"/>
      <c r="M5755"/>
    </row>
    <row r="5756" spans="1:13" s="499" customFormat="1" x14ac:dyDescent="0.25">
      <c r="A5756" s="500"/>
      <c r="B5756" s="501"/>
      <c r="C5756" s="502"/>
      <c r="D5756" s="497"/>
      <c r="E5756" s="497"/>
      <c r="F5756" s="502"/>
      <c r="G5756" s="497"/>
      <c r="H5756" s="497"/>
      <c r="I5756" s="497"/>
      <c r="J5756" s="497"/>
      <c r="K5756" s="500"/>
      <c r="L5756" s="497"/>
      <c r="M5756"/>
    </row>
    <row r="5757" spans="1:13" s="499" customFormat="1" x14ac:dyDescent="0.25">
      <c r="A5757" s="500"/>
      <c r="B5757" s="501"/>
      <c r="C5757" s="502"/>
      <c r="D5757" s="497"/>
      <c r="E5757" s="497"/>
      <c r="F5757" s="502"/>
      <c r="G5757" s="497"/>
      <c r="H5757" s="497"/>
      <c r="I5757" s="497"/>
      <c r="J5757" s="497"/>
      <c r="K5757" s="500"/>
      <c r="L5757" s="497"/>
      <c r="M5757"/>
    </row>
    <row r="5758" spans="1:13" s="499" customFormat="1" x14ac:dyDescent="0.25">
      <c r="A5758" s="500"/>
      <c r="B5758" s="501"/>
      <c r="C5758" s="502"/>
      <c r="D5758" s="497"/>
      <c r="E5758" s="497"/>
      <c r="F5758" s="502"/>
      <c r="G5758" s="497"/>
      <c r="H5758" s="497"/>
      <c r="I5758" s="497"/>
      <c r="J5758" s="497"/>
      <c r="K5758" s="500"/>
      <c r="L5758" s="497"/>
      <c r="M5758"/>
    </row>
    <row r="5759" spans="1:13" s="499" customFormat="1" x14ac:dyDescent="0.25">
      <c r="A5759" s="500"/>
      <c r="B5759" s="501"/>
      <c r="C5759" s="502"/>
      <c r="D5759" s="497"/>
      <c r="E5759" s="497"/>
      <c r="F5759" s="502"/>
      <c r="G5759" s="497"/>
      <c r="H5759" s="497"/>
      <c r="I5759" s="497"/>
      <c r="J5759" s="497"/>
      <c r="K5759" s="500"/>
      <c r="L5759" s="497"/>
      <c r="M5759"/>
    </row>
    <row r="5760" spans="1:13" s="499" customFormat="1" x14ac:dyDescent="0.25">
      <c r="A5760" s="500"/>
      <c r="B5760" s="501"/>
      <c r="C5760" s="502"/>
      <c r="D5760" s="497"/>
      <c r="E5760" s="497"/>
      <c r="F5760" s="502"/>
      <c r="G5760" s="497"/>
      <c r="H5760" s="497"/>
      <c r="I5760" s="497"/>
      <c r="J5760" s="497"/>
      <c r="K5760" s="500"/>
      <c r="L5760" s="497"/>
      <c r="M5760"/>
    </row>
    <row r="5761" spans="1:13" s="499" customFormat="1" x14ac:dyDescent="0.25">
      <c r="A5761" s="500"/>
      <c r="B5761" s="501"/>
      <c r="C5761" s="502"/>
      <c r="D5761" s="497"/>
      <c r="E5761" s="497"/>
      <c r="F5761" s="502"/>
      <c r="G5761" s="497"/>
      <c r="H5761" s="497"/>
      <c r="I5761" s="497"/>
      <c r="J5761" s="497"/>
      <c r="K5761" s="500"/>
      <c r="L5761" s="497"/>
      <c r="M5761"/>
    </row>
    <row r="5762" spans="1:13" s="499" customFormat="1" x14ac:dyDescent="0.25">
      <c r="A5762" s="500"/>
      <c r="B5762" s="501"/>
      <c r="C5762" s="502"/>
      <c r="D5762" s="497"/>
      <c r="E5762" s="497"/>
      <c r="F5762" s="502"/>
      <c r="G5762" s="497"/>
      <c r="H5762" s="497"/>
      <c r="I5762" s="497"/>
      <c r="J5762" s="497"/>
      <c r="K5762" s="500"/>
      <c r="L5762" s="497"/>
      <c r="M5762"/>
    </row>
    <row r="5763" spans="1:13" s="499" customFormat="1" x14ac:dyDescent="0.25">
      <c r="A5763" s="500"/>
      <c r="B5763" s="501"/>
      <c r="C5763" s="502"/>
      <c r="D5763" s="497"/>
      <c r="E5763" s="497"/>
      <c r="F5763" s="502"/>
      <c r="G5763" s="497"/>
      <c r="H5763" s="497"/>
      <c r="I5763" s="497"/>
      <c r="J5763" s="497"/>
      <c r="K5763" s="500"/>
      <c r="L5763" s="497"/>
      <c r="M5763"/>
    </row>
    <row r="5764" spans="1:13" s="499" customFormat="1" x14ac:dyDescent="0.25">
      <c r="A5764" s="500"/>
      <c r="B5764" s="501"/>
      <c r="C5764" s="502"/>
      <c r="D5764" s="497"/>
      <c r="E5764" s="497"/>
      <c r="F5764" s="502"/>
      <c r="G5764" s="497"/>
      <c r="H5764" s="497"/>
      <c r="I5764" s="497"/>
      <c r="J5764" s="497"/>
      <c r="K5764" s="500"/>
      <c r="L5764" s="497"/>
      <c r="M5764"/>
    </row>
    <row r="5765" spans="1:13" s="499" customFormat="1" x14ac:dyDescent="0.25">
      <c r="A5765" s="500"/>
      <c r="B5765" s="501"/>
      <c r="C5765" s="502"/>
      <c r="D5765" s="497"/>
      <c r="E5765" s="497"/>
      <c r="F5765" s="502"/>
      <c r="G5765" s="497"/>
      <c r="H5765" s="497"/>
      <c r="I5765" s="497"/>
      <c r="J5765" s="497"/>
      <c r="K5765" s="500"/>
      <c r="L5765" s="497"/>
      <c r="M5765"/>
    </row>
    <row r="5766" spans="1:13" s="499" customFormat="1" x14ac:dyDescent="0.25">
      <c r="A5766" s="500"/>
      <c r="B5766" s="501"/>
      <c r="C5766" s="502"/>
      <c r="D5766" s="497"/>
      <c r="E5766" s="497"/>
      <c r="F5766" s="502"/>
      <c r="G5766" s="497"/>
      <c r="H5766" s="497"/>
      <c r="I5766" s="497"/>
      <c r="J5766" s="497"/>
      <c r="K5766" s="500"/>
      <c r="L5766" s="497"/>
      <c r="M5766"/>
    </row>
    <row r="5767" spans="1:13" s="499" customFormat="1" x14ac:dyDescent="0.25">
      <c r="A5767" s="500"/>
      <c r="B5767" s="501"/>
      <c r="C5767" s="502"/>
      <c r="D5767" s="497"/>
      <c r="E5767" s="497"/>
      <c r="F5767" s="502"/>
      <c r="G5767" s="497"/>
      <c r="H5767" s="497"/>
      <c r="I5767" s="497"/>
      <c r="J5767" s="497"/>
      <c r="K5767" s="500"/>
      <c r="L5767" s="497"/>
      <c r="M5767"/>
    </row>
    <row r="5768" spans="1:13" s="499" customFormat="1" x14ac:dyDescent="0.25">
      <c r="A5768" s="500"/>
      <c r="B5768" s="501"/>
      <c r="C5768" s="502"/>
      <c r="D5768" s="497"/>
      <c r="E5768" s="497"/>
      <c r="F5768" s="502"/>
      <c r="G5768" s="497"/>
      <c r="H5768" s="497"/>
      <c r="I5768" s="497"/>
      <c r="J5768" s="497"/>
      <c r="K5768" s="500"/>
      <c r="L5768" s="497"/>
      <c r="M5768"/>
    </row>
    <row r="5769" spans="1:13" s="499" customFormat="1" x14ac:dyDescent="0.25">
      <c r="A5769" s="500"/>
      <c r="B5769" s="501"/>
      <c r="C5769" s="502"/>
      <c r="D5769" s="497"/>
      <c r="E5769" s="497"/>
      <c r="F5769" s="502"/>
      <c r="G5769" s="497"/>
      <c r="H5769" s="497"/>
      <c r="I5769" s="497"/>
      <c r="J5769" s="497"/>
      <c r="K5769" s="500"/>
      <c r="L5769" s="497"/>
      <c r="M5769"/>
    </row>
    <row r="5770" spans="1:13" s="499" customFormat="1" x14ac:dyDescent="0.25">
      <c r="A5770" s="500"/>
      <c r="B5770" s="501"/>
      <c r="C5770" s="502"/>
      <c r="D5770" s="497"/>
      <c r="E5770" s="497"/>
      <c r="F5770" s="502"/>
      <c r="G5770" s="497"/>
      <c r="H5770" s="497"/>
      <c r="I5770" s="497"/>
      <c r="J5770" s="497"/>
      <c r="K5770" s="500"/>
      <c r="L5770" s="497"/>
      <c r="M5770"/>
    </row>
    <row r="5771" spans="1:13" s="499" customFormat="1" x14ac:dyDescent="0.25">
      <c r="A5771" s="500"/>
      <c r="B5771" s="501"/>
      <c r="C5771" s="502"/>
      <c r="D5771" s="497"/>
      <c r="E5771" s="497"/>
      <c r="F5771" s="502"/>
      <c r="G5771" s="497"/>
      <c r="H5771" s="497"/>
      <c r="I5771" s="497"/>
      <c r="J5771" s="497"/>
      <c r="K5771" s="500"/>
      <c r="L5771" s="497"/>
      <c r="M5771"/>
    </row>
    <row r="5772" spans="1:13" s="499" customFormat="1" x14ac:dyDescent="0.25">
      <c r="A5772" s="500"/>
      <c r="B5772" s="501"/>
      <c r="C5772" s="502"/>
      <c r="D5772" s="497"/>
      <c r="E5772" s="497"/>
      <c r="F5772" s="502"/>
      <c r="G5772" s="497"/>
      <c r="H5772" s="497"/>
      <c r="I5772" s="497"/>
      <c r="J5772" s="497"/>
      <c r="K5772" s="500"/>
      <c r="L5772" s="497"/>
      <c r="M5772"/>
    </row>
    <row r="5773" spans="1:13" s="499" customFormat="1" x14ac:dyDescent="0.25">
      <c r="A5773" s="500"/>
      <c r="B5773" s="501"/>
      <c r="C5773" s="502"/>
      <c r="D5773" s="497"/>
      <c r="E5773" s="497"/>
      <c r="F5773" s="502"/>
      <c r="G5773" s="497"/>
      <c r="H5773" s="497"/>
      <c r="I5773" s="497"/>
      <c r="J5773" s="497"/>
      <c r="K5773" s="500"/>
      <c r="L5773" s="497"/>
      <c r="M5773"/>
    </row>
    <row r="5774" spans="1:13" s="499" customFormat="1" x14ac:dyDescent="0.25">
      <c r="A5774" s="500"/>
      <c r="B5774" s="501"/>
      <c r="C5774" s="502"/>
      <c r="D5774" s="497"/>
      <c r="E5774" s="497"/>
      <c r="F5774" s="502"/>
      <c r="G5774" s="497"/>
      <c r="H5774" s="497"/>
      <c r="I5774" s="497"/>
      <c r="J5774" s="497"/>
      <c r="K5774" s="500"/>
      <c r="L5774" s="497"/>
      <c r="M5774"/>
    </row>
    <row r="5775" spans="1:13" s="499" customFormat="1" x14ac:dyDescent="0.25">
      <c r="A5775" s="500"/>
      <c r="B5775" s="501"/>
      <c r="C5775" s="502"/>
      <c r="D5775" s="497"/>
      <c r="E5775" s="497"/>
      <c r="F5775" s="502"/>
      <c r="G5775" s="497"/>
      <c r="H5775" s="497"/>
      <c r="I5775" s="497"/>
      <c r="J5775" s="497"/>
      <c r="K5775" s="500"/>
      <c r="L5775" s="497"/>
      <c r="M5775"/>
    </row>
    <row r="5776" spans="1:13" s="499" customFormat="1" x14ac:dyDescent="0.25">
      <c r="A5776" s="500"/>
      <c r="B5776" s="501"/>
      <c r="C5776" s="502"/>
      <c r="D5776" s="497"/>
      <c r="E5776" s="497"/>
      <c r="F5776" s="502"/>
      <c r="G5776" s="497"/>
      <c r="H5776" s="497"/>
      <c r="I5776" s="497"/>
      <c r="J5776" s="497"/>
      <c r="K5776" s="500"/>
      <c r="L5776" s="497"/>
      <c r="M5776"/>
    </row>
    <row r="5777" spans="1:13" s="499" customFormat="1" x14ac:dyDescent="0.25">
      <c r="A5777" s="500"/>
      <c r="B5777" s="501"/>
      <c r="C5777" s="502"/>
      <c r="D5777" s="497"/>
      <c r="E5777" s="497"/>
      <c r="F5777" s="502"/>
      <c r="G5777" s="497"/>
      <c r="H5777" s="497"/>
      <c r="I5777" s="497"/>
      <c r="J5777" s="497"/>
      <c r="K5777" s="500"/>
      <c r="L5777" s="497"/>
      <c r="M5777"/>
    </row>
    <row r="5778" spans="1:13" s="499" customFormat="1" x14ac:dyDescent="0.25">
      <c r="A5778" s="500"/>
      <c r="B5778" s="501"/>
      <c r="C5778" s="502"/>
      <c r="D5778" s="497"/>
      <c r="E5778" s="497"/>
      <c r="F5778" s="502"/>
      <c r="G5778" s="497"/>
      <c r="H5778" s="497"/>
      <c r="I5778" s="497"/>
      <c r="J5778" s="497"/>
      <c r="K5778" s="500"/>
      <c r="L5778" s="497"/>
      <c r="M5778"/>
    </row>
    <row r="5779" spans="1:13" s="499" customFormat="1" x14ac:dyDescent="0.25">
      <c r="A5779" s="500"/>
      <c r="B5779" s="501"/>
      <c r="C5779" s="502"/>
      <c r="D5779" s="497"/>
      <c r="E5779" s="497"/>
      <c r="F5779" s="502"/>
      <c r="G5779" s="497"/>
      <c r="H5779" s="497"/>
      <c r="I5779" s="497"/>
      <c r="J5779" s="497"/>
      <c r="K5779" s="500"/>
      <c r="L5779" s="497"/>
      <c r="M5779"/>
    </row>
    <row r="5780" spans="1:13" s="499" customFormat="1" x14ac:dyDescent="0.25">
      <c r="A5780" s="500"/>
      <c r="B5780" s="501"/>
      <c r="C5780" s="502"/>
      <c r="D5780" s="497"/>
      <c r="E5780" s="497"/>
      <c r="F5780" s="502"/>
      <c r="G5780" s="497"/>
      <c r="H5780" s="497"/>
      <c r="I5780" s="497"/>
      <c r="J5780" s="497"/>
      <c r="K5780" s="500"/>
      <c r="L5780" s="497"/>
      <c r="M5780"/>
    </row>
    <row r="5781" spans="1:13" s="499" customFormat="1" x14ac:dyDescent="0.25">
      <c r="A5781" s="500"/>
      <c r="B5781" s="501"/>
      <c r="C5781" s="502"/>
      <c r="D5781" s="497"/>
      <c r="E5781" s="497"/>
      <c r="F5781" s="502"/>
      <c r="G5781" s="497"/>
      <c r="H5781" s="497"/>
      <c r="I5781" s="497"/>
      <c r="J5781" s="497"/>
      <c r="K5781" s="500"/>
      <c r="L5781" s="497"/>
      <c r="M5781"/>
    </row>
    <row r="5782" spans="1:13" s="499" customFormat="1" x14ac:dyDescent="0.25">
      <c r="A5782" s="500"/>
      <c r="B5782" s="501"/>
      <c r="C5782" s="502"/>
      <c r="D5782" s="497"/>
      <c r="E5782" s="497"/>
      <c r="F5782" s="502"/>
      <c r="G5782" s="497"/>
      <c r="H5782" s="497"/>
      <c r="I5782" s="497"/>
      <c r="J5782" s="497"/>
      <c r="K5782" s="500"/>
      <c r="L5782" s="497"/>
      <c r="M5782"/>
    </row>
    <row r="5783" spans="1:13" s="499" customFormat="1" x14ac:dyDescent="0.25">
      <c r="A5783" s="500"/>
      <c r="B5783" s="501"/>
      <c r="C5783" s="502"/>
      <c r="D5783" s="497"/>
      <c r="E5783" s="497"/>
      <c r="F5783" s="502"/>
      <c r="G5783" s="497"/>
      <c r="H5783" s="497"/>
      <c r="I5783" s="497"/>
      <c r="J5783" s="497"/>
      <c r="K5783" s="500"/>
      <c r="L5783" s="497"/>
      <c r="M5783"/>
    </row>
    <row r="5784" spans="1:13" s="499" customFormat="1" x14ac:dyDescent="0.25">
      <c r="A5784" s="500"/>
      <c r="B5784" s="501"/>
      <c r="C5784" s="502"/>
      <c r="D5784" s="497"/>
      <c r="E5784" s="497"/>
      <c r="F5784" s="502"/>
      <c r="G5784" s="497"/>
      <c r="H5784" s="497"/>
      <c r="I5784" s="497"/>
      <c r="J5784" s="497"/>
      <c r="K5784" s="500"/>
      <c r="L5784" s="497"/>
      <c r="M5784"/>
    </row>
    <row r="5785" spans="1:13" s="499" customFormat="1" x14ac:dyDescent="0.25">
      <c r="A5785" s="500"/>
      <c r="B5785" s="501"/>
      <c r="C5785" s="502"/>
      <c r="D5785" s="497"/>
      <c r="E5785" s="497"/>
      <c r="F5785" s="502"/>
      <c r="G5785" s="497"/>
      <c r="H5785" s="497"/>
      <c r="I5785" s="497"/>
      <c r="J5785" s="497"/>
      <c r="K5785" s="500"/>
      <c r="L5785" s="497"/>
      <c r="M5785"/>
    </row>
    <row r="5786" spans="1:13" s="499" customFormat="1" x14ac:dyDescent="0.25">
      <c r="A5786" s="500"/>
      <c r="B5786" s="501"/>
      <c r="C5786" s="502"/>
      <c r="D5786" s="497"/>
      <c r="E5786" s="497"/>
      <c r="F5786" s="502"/>
      <c r="G5786" s="497"/>
      <c r="H5786" s="497"/>
      <c r="I5786" s="497"/>
      <c r="J5786" s="497"/>
      <c r="K5786" s="500"/>
      <c r="L5786" s="497"/>
      <c r="M5786"/>
    </row>
    <row r="5787" spans="1:13" s="499" customFormat="1" x14ac:dyDescent="0.25">
      <c r="A5787" s="500"/>
      <c r="B5787" s="501"/>
      <c r="C5787" s="502"/>
      <c r="D5787" s="497"/>
      <c r="E5787" s="497"/>
      <c r="F5787" s="502"/>
      <c r="G5787" s="497"/>
      <c r="H5787" s="497"/>
      <c r="I5787" s="497"/>
      <c r="J5787" s="497"/>
      <c r="K5787" s="500"/>
      <c r="L5787" s="497"/>
      <c r="M5787"/>
    </row>
    <row r="5788" spans="1:13" s="499" customFormat="1" x14ac:dyDescent="0.25">
      <c r="A5788" s="500"/>
      <c r="B5788" s="501"/>
      <c r="C5788" s="502"/>
      <c r="D5788" s="497"/>
      <c r="E5788" s="497"/>
      <c r="F5788" s="502"/>
      <c r="G5788" s="497"/>
      <c r="H5788" s="497"/>
      <c r="I5788" s="497"/>
      <c r="J5788" s="497"/>
      <c r="K5788" s="500"/>
      <c r="L5788" s="497"/>
      <c r="M5788"/>
    </row>
    <row r="5789" spans="1:13" s="499" customFormat="1" x14ac:dyDescent="0.25">
      <c r="A5789" s="500"/>
      <c r="B5789" s="501"/>
      <c r="C5789" s="502"/>
      <c r="D5789" s="497"/>
      <c r="E5789" s="497"/>
      <c r="F5789" s="502"/>
      <c r="G5789" s="497"/>
      <c r="H5789" s="497"/>
      <c r="I5789" s="497"/>
      <c r="J5789" s="497"/>
      <c r="K5789" s="500"/>
      <c r="L5789" s="497"/>
      <c r="M5789"/>
    </row>
    <row r="5790" spans="1:13" s="499" customFormat="1" x14ac:dyDescent="0.25">
      <c r="A5790" s="500"/>
      <c r="B5790" s="501"/>
      <c r="C5790" s="502"/>
      <c r="D5790" s="497"/>
      <c r="E5790" s="497"/>
      <c r="F5790" s="502"/>
      <c r="G5790" s="497"/>
      <c r="H5790" s="497"/>
      <c r="I5790" s="497"/>
      <c r="J5790" s="497"/>
      <c r="K5790" s="500"/>
      <c r="L5790" s="497"/>
      <c r="M5790"/>
    </row>
    <row r="5791" spans="1:13" s="499" customFormat="1" x14ac:dyDescent="0.25">
      <c r="A5791" s="500"/>
      <c r="B5791" s="501"/>
      <c r="C5791" s="502"/>
      <c r="D5791" s="497"/>
      <c r="E5791" s="497"/>
      <c r="F5791" s="502"/>
      <c r="G5791" s="497"/>
      <c r="H5791" s="497"/>
      <c r="I5791" s="497"/>
      <c r="J5791" s="497"/>
      <c r="K5791" s="500"/>
      <c r="L5791" s="497"/>
      <c r="M5791"/>
    </row>
    <row r="5792" spans="1:13" s="499" customFormat="1" x14ac:dyDescent="0.25">
      <c r="A5792" s="500"/>
      <c r="B5792" s="501"/>
      <c r="C5792" s="502"/>
      <c r="D5792" s="497"/>
      <c r="E5792" s="497"/>
      <c r="F5792" s="502"/>
      <c r="G5792" s="497"/>
      <c r="H5792" s="497"/>
      <c r="I5792" s="497"/>
      <c r="J5792" s="497"/>
      <c r="K5792" s="500"/>
      <c r="L5792" s="497"/>
      <c r="M5792"/>
    </row>
    <row r="5793" spans="1:53" s="499" customFormat="1" x14ac:dyDescent="0.25">
      <c r="A5793" s="500"/>
      <c r="B5793" s="501"/>
      <c r="C5793" s="502"/>
      <c r="D5793" s="497"/>
      <c r="E5793" s="497"/>
      <c r="F5793" s="502"/>
      <c r="G5793" s="497"/>
      <c r="H5793" s="497"/>
      <c r="I5793" s="497"/>
      <c r="J5793" s="497"/>
      <c r="K5793" s="500"/>
      <c r="L5793" s="497"/>
      <c r="M5793"/>
    </row>
    <row r="5794" spans="1:53" s="499" customFormat="1" x14ac:dyDescent="0.25">
      <c r="A5794" s="500"/>
      <c r="B5794" s="501"/>
      <c r="C5794" s="502"/>
      <c r="D5794" s="497"/>
      <c r="E5794" s="497"/>
      <c r="F5794" s="502"/>
      <c r="G5794" s="497"/>
      <c r="H5794" s="497"/>
      <c r="I5794" s="497"/>
      <c r="J5794" s="497"/>
      <c r="K5794" s="500"/>
      <c r="L5794" s="497"/>
      <c r="M5794"/>
    </row>
    <row r="5795" spans="1:53" s="499" customFormat="1" x14ac:dyDescent="0.25">
      <c r="A5795" s="500"/>
      <c r="B5795" s="501"/>
      <c r="C5795" s="502"/>
      <c r="D5795" s="497"/>
      <c r="E5795" s="497"/>
      <c r="F5795" s="502"/>
      <c r="G5795" s="497"/>
      <c r="H5795" s="497"/>
      <c r="I5795" s="497"/>
      <c r="J5795" s="497"/>
      <c r="K5795" s="500"/>
      <c r="L5795" s="497"/>
      <c r="M5795"/>
    </row>
    <row r="5796" spans="1:53" s="499" customFormat="1" x14ac:dyDescent="0.25">
      <c r="A5796" s="500"/>
      <c r="B5796" s="501"/>
      <c r="C5796" s="502"/>
      <c r="D5796" s="497"/>
      <c r="E5796" s="497"/>
      <c r="F5796" s="502"/>
      <c r="G5796" s="497"/>
      <c r="H5796" s="497"/>
      <c r="I5796" s="497"/>
      <c r="J5796" s="497"/>
      <c r="K5796" s="500"/>
      <c r="L5796" s="497"/>
      <c r="M5796"/>
    </row>
    <row r="5797" spans="1:53" s="499" customFormat="1" x14ac:dyDescent="0.25">
      <c r="A5797" s="500"/>
      <c r="B5797" s="501"/>
      <c r="C5797" s="502"/>
      <c r="D5797" s="497"/>
      <c r="E5797" s="497"/>
      <c r="F5797" s="502"/>
      <c r="G5797" s="497"/>
      <c r="H5797" s="497"/>
      <c r="I5797" s="497"/>
      <c r="J5797" s="497"/>
      <c r="K5797" s="500"/>
      <c r="L5797" s="497"/>
      <c r="M5797"/>
    </row>
    <row r="5798" spans="1:53" s="499" customFormat="1" x14ac:dyDescent="0.25">
      <c r="A5798" s="500"/>
      <c r="B5798" s="501"/>
      <c r="C5798" s="502"/>
      <c r="D5798" s="497"/>
      <c r="E5798" s="497"/>
      <c r="F5798" s="502"/>
      <c r="G5798" s="497"/>
      <c r="H5798" s="497"/>
      <c r="I5798" s="497"/>
      <c r="J5798" s="497"/>
      <c r="K5798" s="500"/>
      <c r="L5798" s="497"/>
      <c r="M5798"/>
    </row>
    <row r="5799" spans="1:53" s="499" customFormat="1" x14ac:dyDescent="0.25">
      <c r="A5799" s="500"/>
      <c r="B5799" s="501"/>
      <c r="C5799" s="502"/>
      <c r="D5799" s="497"/>
      <c r="E5799" s="497"/>
      <c r="F5799" s="502"/>
      <c r="G5799" s="497"/>
      <c r="H5799" s="497"/>
      <c r="I5799" s="497"/>
      <c r="J5799" s="497"/>
      <c r="K5799" s="500"/>
      <c r="L5799" s="497"/>
      <c r="M5799"/>
    </row>
    <row r="5800" spans="1:53" s="499" customFormat="1" x14ac:dyDescent="0.25">
      <c r="A5800" s="500"/>
      <c r="B5800" s="501"/>
      <c r="C5800" s="502"/>
      <c r="D5800" s="497"/>
      <c r="E5800" s="497"/>
      <c r="F5800" s="502"/>
      <c r="G5800" s="497"/>
      <c r="H5800" s="497"/>
      <c r="I5800" s="497"/>
      <c r="J5800" s="497"/>
      <c r="K5800" s="500"/>
      <c r="L5800" s="497"/>
      <c r="M5800"/>
    </row>
    <row r="5801" spans="1:53" s="499" customFormat="1" x14ac:dyDescent="0.25">
      <c r="A5801" s="500"/>
      <c r="B5801" s="501"/>
      <c r="C5801" s="502"/>
      <c r="D5801" s="497"/>
      <c r="E5801" s="497"/>
      <c r="F5801" s="502"/>
      <c r="G5801" s="497"/>
      <c r="H5801" s="497"/>
      <c r="I5801" s="497"/>
      <c r="J5801" s="497"/>
      <c r="K5801" s="500"/>
      <c r="L5801" s="497"/>
      <c r="M5801"/>
    </row>
    <row r="5802" spans="1:53" s="499" customFormat="1" x14ac:dyDescent="0.25">
      <c r="A5802" s="500"/>
      <c r="B5802" s="501"/>
      <c r="C5802" s="502"/>
      <c r="D5802" s="497"/>
      <c r="E5802" s="497"/>
      <c r="F5802" s="502"/>
      <c r="G5802" s="497"/>
      <c r="H5802" s="497"/>
      <c r="I5802" s="497"/>
      <c r="J5802" s="497"/>
      <c r="K5802" s="500"/>
      <c r="L5802" s="497"/>
      <c r="M5802"/>
    </row>
    <row r="5803" spans="1:53" s="499" customFormat="1" x14ac:dyDescent="0.25">
      <c r="A5803" s="500"/>
      <c r="B5803" s="501"/>
      <c r="C5803" s="502"/>
      <c r="D5803" s="497"/>
      <c r="E5803" s="497"/>
      <c r="F5803" s="502"/>
      <c r="G5803" s="497"/>
      <c r="H5803" s="497"/>
      <c r="I5803" s="497"/>
      <c r="J5803" s="497"/>
      <c r="K5803" s="500"/>
      <c r="L5803" s="497"/>
      <c r="M5803"/>
    </row>
    <row r="5804" spans="1:53" s="499" customFormat="1" x14ac:dyDescent="0.25">
      <c r="A5804" s="500"/>
      <c r="B5804" s="501"/>
      <c r="C5804" s="502"/>
      <c r="D5804" s="497"/>
      <c r="E5804" s="497"/>
      <c r="F5804" s="502"/>
      <c r="G5804" s="497"/>
      <c r="H5804" s="497"/>
      <c r="I5804" s="497"/>
      <c r="J5804" s="497"/>
      <c r="K5804" s="500"/>
      <c r="L5804" s="497"/>
      <c r="M5804"/>
    </row>
    <row r="5805" spans="1:53" s="499" customFormat="1" x14ac:dyDescent="0.25">
      <c r="A5805" s="500"/>
      <c r="B5805" s="501"/>
      <c r="C5805" s="502"/>
      <c r="D5805" s="497"/>
      <c r="E5805" s="497"/>
      <c r="F5805" s="502"/>
      <c r="G5805" s="497"/>
      <c r="H5805" s="497"/>
      <c r="I5805" s="497"/>
      <c r="J5805" s="497"/>
      <c r="K5805" s="500"/>
      <c r="L5805" s="497"/>
      <c r="M5805"/>
    </row>
    <row r="5806" spans="1:53" s="499" customFormat="1" x14ac:dyDescent="0.25">
      <c r="A5806" s="500"/>
      <c r="B5806" s="501"/>
      <c r="C5806" s="502"/>
      <c r="D5806" s="497"/>
      <c r="E5806" s="497"/>
      <c r="F5806" s="502"/>
      <c r="G5806" s="497"/>
      <c r="H5806" s="497"/>
      <c r="I5806" s="497"/>
      <c r="J5806" s="497"/>
      <c r="K5806" s="500"/>
      <c r="L5806" s="497"/>
      <c r="M5806"/>
    </row>
    <row r="5807" spans="1:53" s="499" customFormat="1" x14ac:dyDescent="0.25">
      <c r="A5807" s="500"/>
      <c r="B5807" s="501"/>
      <c r="C5807" s="502"/>
      <c r="D5807" s="497"/>
      <c r="E5807" s="497"/>
      <c r="F5807" s="502"/>
      <c r="G5807" s="497"/>
      <c r="H5807" s="497"/>
      <c r="I5807" s="497"/>
      <c r="J5807" s="497"/>
      <c r="K5807" s="500"/>
      <c r="L5807" s="497"/>
      <c r="M5807"/>
      <c r="N5807" s="498"/>
      <c r="O5807" s="498"/>
      <c r="P5807" s="498"/>
      <c r="Q5807" s="498"/>
      <c r="R5807" s="498"/>
      <c r="T5807" s="498"/>
      <c r="U5807" s="498"/>
      <c r="V5807" s="498"/>
      <c r="W5807" s="498"/>
      <c r="X5807" s="498"/>
      <c r="Y5807" s="498"/>
      <c r="Z5807" s="498"/>
      <c r="AA5807" s="498"/>
      <c r="AB5807" s="498"/>
      <c r="AC5807" s="498"/>
      <c r="AD5807" s="498"/>
      <c r="AE5807" s="498"/>
      <c r="AF5807" s="498"/>
      <c r="AG5807" s="498"/>
      <c r="AH5807" s="498"/>
      <c r="AI5807" s="498"/>
      <c r="AK5807" s="498"/>
      <c r="AL5807" s="498"/>
      <c r="AM5807" s="498"/>
      <c r="AN5807" s="498"/>
      <c r="AO5807" s="498"/>
      <c r="AP5807" s="498"/>
      <c r="AQ5807" s="498"/>
      <c r="AR5807" s="498"/>
      <c r="AS5807" s="498"/>
      <c r="AT5807" s="498"/>
      <c r="AU5807" s="498"/>
      <c r="AV5807" s="498"/>
      <c r="AW5807" s="498"/>
      <c r="AX5807" s="498"/>
      <c r="AY5807" s="498"/>
      <c r="AZ5807" s="498"/>
      <c r="BA5807" s="498"/>
    </row>
    <row r="5808" spans="1:53" s="499" customFormat="1" x14ac:dyDescent="0.25">
      <c r="A5808" s="500"/>
      <c r="B5808" s="501"/>
      <c r="C5808" s="502"/>
      <c r="D5808" s="497"/>
      <c r="E5808" s="497"/>
      <c r="F5808" s="502"/>
      <c r="G5808" s="497"/>
      <c r="H5808" s="497"/>
      <c r="I5808" s="497"/>
      <c r="J5808" s="497"/>
      <c r="K5808" s="500"/>
      <c r="L5808" s="497"/>
      <c r="M5808"/>
      <c r="N5808" s="498"/>
      <c r="O5808" s="498"/>
      <c r="P5808" s="498"/>
      <c r="Q5808" s="498"/>
      <c r="R5808" s="498"/>
      <c r="T5808" s="498"/>
      <c r="U5808" s="498"/>
      <c r="V5808" s="498"/>
      <c r="W5808" s="498"/>
      <c r="X5808" s="498"/>
      <c r="Y5808" s="498"/>
      <c r="Z5808" s="498"/>
      <c r="AA5808" s="498"/>
      <c r="AB5808" s="498"/>
      <c r="AC5808" s="498"/>
      <c r="AD5808" s="498"/>
      <c r="AE5808" s="498"/>
      <c r="AF5808" s="498"/>
      <c r="AG5808" s="498"/>
      <c r="AH5808" s="498"/>
      <c r="AI5808" s="498"/>
      <c r="AK5808" s="498"/>
      <c r="AL5808" s="498"/>
      <c r="AM5808" s="498"/>
      <c r="AN5808" s="498"/>
      <c r="AO5808" s="498"/>
      <c r="AP5808" s="498"/>
      <c r="AQ5808" s="498"/>
      <c r="AR5808" s="498"/>
      <c r="AS5808" s="498"/>
      <c r="AT5808" s="498"/>
      <c r="AU5808" s="498"/>
      <c r="AV5808" s="498"/>
      <c r="AW5808" s="498"/>
      <c r="AX5808" s="498"/>
      <c r="AY5808" s="498"/>
      <c r="AZ5808" s="498"/>
      <c r="BA5808" s="498"/>
    </row>
    <row r="5809" spans="1:53" s="499" customFormat="1" x14ac:dyDescent="0.25">
      <c r="A5809" s="500"/>
      <c r="B5809" s="501"/>
      <c r="C5809" s="502"/>
      <c r="D5809" s="497"/>
      <c r="E5809" s="497"/>
      <c r="F5809" s="502"/>
      <c r="G5809" s="497"/>
      <c r="H5809" s="497"/>
      <c r="I5809" s="497"/>
      <c r="J5809" s="497"/>
      <c r="K5809" s="500"/>
      <c r="L5809" s="497"/>
      <c r="M5809"/>
      <c r="N5809" s="498"/>
      <c r="O5809" s="498"/>
      <c r="P5809" s="498"/>
      <c r="Q5809" s="498"/>
      <c r="R5809" s="498"/>
      <c r="T5809" s="498"/>
      <c r="U5809" s="498"/>
      <c r="V5809" s="498"/>
      <c r="W5809" s="498"/>
      <c r="X5809" s="498"/>
      <c r="Y5809" s="498"/>
      <c r="Z5809" s="498"/>
      <c r="AA5809" s="498"/>
      <c r="AB5809" s="498"/>
      <c r="AC5809" s="498"/>
      <c r="AD5809" s="498"/>
      <c r="AE5809" s="498"/>
      <c r="AF5809" s="498"/>
      <c r="AG5809" s="498"/>
      <c r="AH5809" s="498"/>
      <c r="AI5809" s="498"/>
      <c r="AK5809" s="498"/>
      <c r="AL5809" s="498"/>
      <c r="AM5809" s="498"/>
      <c r="AN5809" s="498"/>
      <c r="AO5809" s="498"/>
      <c r="AP5809" s="498"/>
      <c r="AQ5809" s="498"/>
      <c r="AR5809" s="498"/>
      <c r="AS5809" s="498"/>
      <c r="AT5809" s="498"/>
      <c r="AU5809" s="498"/>
      <c r="AV5809" s="498"/>
      <c r="AW5809" s="498"/>
      <c r="AX5809" s="498"/>
      <c r="AY5809" s="498"/>
      <c r="AZ5809" s="498"/>
      <c r="BA5809" s="498"/>
    </row>
    <row r="5810" spans="1:53" s="499" customFormat="1" x14ac:dyDescent="0.25">
      <c r="A5810" s="500"/>
      <c r="B5810" s="501"/>
      <c r="C5810" s="502"/>
      <c r="D5810" s="497"/>
      <c r="E5810" s="497"/>
      <c r="F5810" s="502"/>
      <c r="G5810" s="497"/>
      <c r="H5810" s="497"/>
      <c r="I5810" s="497"/>
      <c r="J5810" s="497"/>
      <c r="K5810" s="500"/>
      <c r="L5810" s="497"/>
      <c r="M5810"/>
      <c r="N5810" s="498"/>
      <c r="O5810" s="498"/>
      <c r="P5810" s="498"/>
      <c r="Q5810" s="498"/>
      <c r="R5810" s="498"/>
      <c r="T5810" s="498"/>
      <c r="U5810" s="498"/>
      <c r="V5810" s="498"/>
      <c r="W5810" s="498"/>
      <c r="X5810" s="498"/>
      <c r="Y5810" s="498"/>
      <c r="Z5810" s="498"/>
      <c r="AA5810" s="498"/>
      <c r="AB5810" s="498"/>
      <c r="AC5810" s="498"/>
      <c r="AD5810" s="498"/>
      <c r="AE5810" s="498"/>
      <c r="AF5810" s="498"/>
      <c r="AG5810" s="498"/>
      <c r="AH5810" s="498"/>
      <c r="AI5810" s="498"/>
      <c r="AK5810" s="498"/>
      <c r="AL5810" s="498"/>
      <c r="AM5810" s="498"/>
      <c r="AN5810" s="498"/>
      <c r="AO5810" s="498"/>
      <c r="AP5810" s="498"/>
      <c r="AQ5810" s="498"/>
      <c r="AR5810" s="498"/>
      <c r="AS5810" s="498"/>
      <c r="AT5810" s="498"/>
      <c r="AU5810" s="498"/>
      <c r="AV5810" s="498"/>
      <c r="AW5810" s="498"/>
      <c r="AX5810" s="498"/>
      <c r="AY5810" s="498"/>
      <c r="AZ5810" s="498"/>
      <c r="BA5810" s="498"/>
    </row>
    <row r="5811" spans="1:53" s="499" customFormat="1" x14ac:dyDescent="0.25">
      <c r="A5811" s="500"/>
      <c r="B5811" s="501"/>
      <c r="C5811" s="502"/>
      <c r="D5811" s="497"/>
      <c r="E5811" s="497"/>
      <c r="F5811" s="502"/>
      <c r="G5811" s="497"/>
      <c r="H5811" s="497"/>
      <c r="I5811" s="497"/>
      <c r="J5811" s="497"/>
      <c r="K5811" s="500"/>
      <c r="L5811" s="497"/>
      <c r="M5811"/>
      <c r="N5811" s="498"/>
      <c r="O5811" s="498"/>
      <c r="P5811" s="498"/>
      <c r="Q5811" s="498"/>
      <c r="R5811" s="498"/>
      <c r="T5811" s="498"/>
      <c r="U5811" s="498"/>
      <c r="V5811" s="498"/>
      <c r="W5811" s="498"/>
      <c r="X5811" s="498"/>
      <c r="Y5811" s="498"/>
      <c r="Z5811" s="498"/>
      <c r="AA5811" s="498"/>
      <c r="AB5811" s="498"/>
      <c r="AC5811" s="498"/>
      <c r="AD5811" s="498"/>
      <c r="AE5811" s="498"/>
      <c r="AF5811" s="498"/>
      <c r="AG5811" s="498"/>
      <c r="AH5811" s="498"/>
      <c r="AI5811" s="498"/>
      <c r="AK5811" s="498"/>
      <c r="AL5811" s="498"/>
      <c r="AM5811" s="498"/>
      <c r="AN5811" s="498"/>
      <c r="AO5811" s="498"/>
      <c r="AP5811" s="498"/>
      <c r="AQ5811" s="498"/>
      <c r="AR5811" s="498"/>
      <c r="AS5811" s="498"/>
      <c r="AT5811" s="498"/>
      <c r="AU5811" s="498"/>
      <c r="AV5811" s="498"/>
      <c r="AW5811" s="498"/>
      <c r="AX5811" s="498"/>
      <c r="AY5811" s="498"/>
      <c r="AZ5811" s="498"/>
      <c r="BA5811" s="498"/>
    </row>
    <row r="5812" spans="1:53" s="499" customFormat="1" x14ac:dyDescent="0.25">
      <c r="A5812" s="500"/>
      <c r="B5812" s="501"/>
      <c r="C5812" s="502"/>
      <c r="D5812" s="497"/>
      <c r="E5812" s="497"/>
      <c r="F5812" s="502"/>
      <c r="G5812" s="497"/>
      <c r="H5812" s="497"/>
      <c r="I5812" s="497"/>
      <c r="J5812" s="497"/>
      <c r="K5812" s="500"/>
      <c r="L5812" s="497"/>
      <c r="M5812"/>
      <c r="N5812" s="498"/>
      <c r="O5812" s="498"/>
      <c r="P5812" s="498"/>
      <c r="Q5812" s="498"/>
      <c r="R5812" s="498"/>
      <c r="T5812" s="498"/>
      <c r="U5812" s="498"/>
      <c r="V5812" s="498"/>
      <c r="W5812" s="498"/>
      <c r="X5812" s="498"/>
      <c r="Y5812" s="498"/>
      <c r="Z5812" s="498"/>
      <c r="AA5812" s="498"/>
      <c r="AB5812" s="498"/>
      <c r="AC5812" s="498"/>
      <c r="AD5812" s="498"/>
      <c r="AE5812" s="498"/>
      <c r="AF5812" s="498"/>
      <c r="AG5812" s="498"/>
      <c r="AH5812" s="498"/>
      <c r="AI5812" s="498"/>
      <c r="AK5812" s="498"/>
      <c r="AL5812" s="498"/>
      <c r="AM5812" s="498"/>
      <c r="AN5812" s="498"/>
      <c r="AO5812" s="498"/>
      <c r="AP5812" s="498"/>
      <c r="AQ5812" s="498"/>
      <c r="AR5812" s="498"/>
      <c r="AS5812" s="498"/>
      <c r="AT5812" s="498"/>
      <c r="AU5812" s="498"/>
      <c r="AV5812" s="498"/>
      <c r="AW5812" s="498"/>
      <c r="AX5812" s="498"/>
      <c r="AY5812" s="498"/>
      <c r="AZ5812" s="498"/>
      <c r="BA5812" s="498"/>
    </row>
    <row r="5813" spans="1:53" s="499" customFormat="1" x14ac:dyDescent="0.25">
      <c r="A5813" s="500"/>
      <c r="B5813" s="501"/>
      <c r="C5813" s="502"/>
      <c r="D5813" s="497"/>
      <c r="E5813" s="497"/>
      <c r="F5813" s="502"/>
      <c r="G5813" s="497"/>
      <c r="H5813" s="497"/>
      <c r="I5813" s="497"/>
      <c r="J5813" s="497"/>
      <c r="K5813" s="500"/>
      <c r="L5813" s="497"/>
      <c r="M5813"/>
      <c r="N5813" s="498"/>
      <c r="O5813" s="498"/>
      <c r="P5813" s="498"/>
      <c r="Q5813" s="498"/>
      <c r="R5813" s="498"/>
      <c r="T5813" s="498"/>
      <c r="U5813" s="498"/>
      <c r="V5813" s="498"/>
      <c r="W5813" s="498"/>
      <c r="X5813" s="498"/>
      <c r="Y5813" s="498"/>
      <c r="Z5813" s="498"/>
      <c r="AA5813" s="498"/>
      <c r="AB5813" s="498"/>
      <c r="AC5813" s="498"/>
      <c r="AD5813" s="498"/>
      <c r="AE5813" s="498"/>
      <c r="AF5813" s="498"/>
      <c r="AG5813" s="498"/>
      <c r="AH5813" s="498"/>
      <c r="AI5813" s="498"/>
      <c r="AK5813" s="498"/>
      <c r="AL5813" s="498"/>
      <c r="AM5813" s="498"/>
      <c r="AN5813" s="498"/>
      <c r="AO5813" s="498"/>
      <c r="AP5813" s="498"/>
      <c r="AQ5813" s="498"/>
      <c r="AR5813" s="498"/>
      <c r="AS5813" s="498"/>
      <c r="AT5813" s="498"/>
      <c r="AU5813" s="498"/>
      <c r="AV5813" s="498"/>
      <c r="AW5813" s="498"/>
      <c r="AX5813" s="498"/>
      <c r="AY5813" s="498"/>
      <c r="AZ5813" s="498"/>
      <c r="BA5813" s="498"/>
    </row>
    <row r="5814" spans="1:53" s="499" customFormat="1" x14ac:dyDescent="0.25">
      <c r="A5814" s="500"/>
      <c r="B5814" s="501"/>
      <c r="C5814" s="502"/>
      <c r="D5814" s="497"/>
      <c r="E5814" s="497"/>
      <c r="F5814" s="502"/>
      <c r="G5814" s="497"/>
      <c r="H5814" s="497"/>
      <c r="I5814" s="497"/>
      <c r="J5814" s="497"/>
      <c r="K5814" s="500"/>
      <c r="L5814" s="497"/>
      <c r="M5814"/>
      <c r="N5814" s="498"/>
      <c r="O5814" s="498"/>
      <c r="P5814" s="498"/>
      <c r="Q5814" s="498"/>
      <c r="R5814" s="498"/>
      <c r="T5814" s="498"/>
      <c r="U5814" s="498"/>
      <c r="V5814" s="498"/>
      <c r="W5814" s="498"/>
      <c r="X5814" s="498"/>
      <c r="Y5814" s="498"/>
      <c r="Z5814" s="498"/>
      <c r="AA5814" s="498"/>
      <c r="AB5814" s="498"/>
      <c r="AC5814" s="498"/>
      <c r="AD5814" s="498"/>
      <c r="AE5814" s="498"/>
      <c r="AF5814" s="498"/>
      <c r="AG5814" s="498"/>
      <c r="AH5814" s="498"/>
      <c r="AI5814" s="498"/>
      <c r="AK5814" s="498"/>
      <c r="AL5814" s="498"/>
      <c r="AM5814" s="498"/>
      <c r="AN5814" s="498"/>
      <c r="AO5814" s="498"/>
      <c r="AP5814" s="498"/>
      <c r="AQ5814" s="498"/>
      <c r="AR5814" s="498"/>
      <c r="AS5814" s="498"/>
      <c r="AT5814" s="498"/>
      <c r="AU5814" s="498"/>
      <c r="AV5814" s="498"/>
      <c r="AW5814" s="498"/>
      <c r="AX5814" s="498"/>
      <c r="AY5814" s="498"/>
      <c r="AZ5814" s="498"/>
      <c r="BA5814" s="498"/>
    </row>
    <row r="5815" spans="1:53" s="499" customFormat="1" x14ac:dyDescent="0.25">
      <c r="A5815" s="500"/>
      <c r="B5815" s="501"/>
      <c r="C5815" s="502"/>
      <c r="D5815" s="497"/>
      <c r="E5815" s="497"/>
      <c r="F5815" s="502"/>
      <c r="G5815" s="497"/>
      <c r="H5815" s="497"/>
      <c r="I5815" s="497"/>
      <c r="J5815" s="497"/>
      <c r="K5815" s="500"/>
      <c r="L5815" s="497"/>
      <c r="M5815"/>
      <c r="N5815" s="498"/>
      <c r="O5815" s="498"/>
      <c r="P5815" s="498"/>
      <c r="Q5815" s="498"/>
      <c r="R5815" s="498"/>
      <c r="T5815" s="498"/>
      <c r="U5815" s="498"/>
      <c r="V5815" s="498"/>
      <c r="W5815" s="498"/>
      <c r="X5815" s="498"/>
      <c r="Y5815" s="498"/>
      <c r="Z5815" s="498"/>
      <c r="AA5815" s="498"/>
      <c r="AB5815" s="498"/>
      <c r="AC5815" s="498"/>
      <c r="AD5815" s="498"/>
      <c r="AE5815" s="498"/>
      <c r="AF5815" s="498"/>
      <c r="AG5815" s="498"/>
      <c r="AH5815" s="498"/>
      <c r="AI5815" s="498"/>
      <c r="AK5815" s="498"/>
      <c r="AL5815" s="498"/>
      <c r="AM5815" s="498"/>
      <c r="AN5815" s="498"/>
      <c r="AO5815" s="498"/>
      <c r="AP5815" s="498"/>
      <c r="AQ5815" s="498"/>
      <c r="AR5815" s="498"/>
      <c r="AS5815" s="498"/>
      <c r="AT5815" s="498"/>
      <c r="AU5815" s="498"/>
      <c r="AV5815" s="498"/>
      <c r="AW5815" s="498"/>
      <c r="AX5815" s="498"/>
      <c r="AY5815" s="498"/>
      <c r="AZ5815" s="498"/>
      <c r="BA5815" s="498"/>
    </row>
    <row r="5816" spans="1:53" s="499" customFormat="1" x14ac:dyDescent="0.25">
      <c r="A5816" s="500"/>
      <c r="B5816" s="501"/>
      <c r="C5816" s="502"/>
      <c r="D5816" s="497"/>
      <c r="E5816" s="497"/>
      <c r="F5816" s="502"/>
      <c r="G5816" s="497"/>
      <c r="H5816" s="497"/>
      <c r="I5816" s="497"/>
      <c r="J5816" s="497"/>
      <c r="K5816" s="500"/>
      <c r="L5816" s="497"/>
      <c r="M5816"/>
      <c r="N5816" s="498"/>
      <c r="O5816" s="498"/>
      <c r="P5816" s="498"/>
      <c r="Q5816" s="498"/>
      <c r="R5816" s="498"/>
      <c r="T5816" s="498"/>
      <c r="U5816" s="498"/>
      <c r="V5816" s="498"/>
      <c r="W5816" s="498"/>
      <c r="X5816" s="498"/>
      <c r="Y5816" s="498"/>
      <c r="Z5816" s="498"/>
      <c r="AA5816" s="498"/>
      <c r="AB5816" s="498"/>
      <c r="AC5816" s="498"/>
      <c r="AD5816" s="498"/>
      <c r="AE5816" s="498"/>
      <c r="AF5816" s="498"/>
      <c r="AG5816" s="498"/>
      <c r="AH5816" s="498"/>
      <c r="AI5816" s="498"/>
      <c r="AK5816" s="498"/>
      <c r="AL5816" s="498"/>
      <c r="AM5816" s="498"/>
      <c r="AN5816" s="498"/>
      <c r="AO5816" s="498"/>
      <c r="AP5816" s="498"/>
      <c r="AQ5816" s="498"/>
      <c r="AR5816" s="498"/>
      <c r="AS5816" s="498"/>
      <c r="AT5816" s="498"/>
      <c r="AU5816" s="498"/>
      <c r="AV5816" s="498"/>
      <c r="AW5816" s="498"/>
      <c r="AX5816" s="498"/>
      <c r="AY5816" s="498"/>
      <c r="AZ5816" s="498"/>
      <c r="BA5816" s="498"/>
    </row>
    <row r="5817" spans="1:53" s="499" customFormat="1" x14ac:dyDescent="0.25">
      <c r="A5817" s="500"/>
      <c r="B5817" s="501"/>
      <c r="C5817" s="502"/>
      <c r="D5817" s="497"/>
      <c r="E5817" s="497"/>
      <c r="F5817" s="502"/>
      <c r="G5817" s="497"/>
      <c r="H5817" s="497"/>
      <c r="I5817" s="497"/>
      <c r="J5817" s="497"/>
      <c r="K5817" s="500"/>
      <c r="L5817" s="497"/>
      <c r="M5817"/>
      <c r="N5817" s="498"/>
      <c r="O5817" s="498"/>
      <c r="P5817" s="498"/>
      <c r="Q5817" s="498"/>
      <c r="R5817" s="498"/>
      <c r="T5817" s="498"/>
      <c r="U5817" s="498"/>
      <c r="V5817" s="498"/>
      <c r="W5817" s="498"/>
      <c r="X5817" s="498"/>
      <c r="Y5817" s="498"/>
      <c r="Z5817" s="498"/>
      <c r="AA5817" s="498"/>
      <c r="AB5817" s="498"/>
      <c r="AC5817" s="498"/>
      <c r="AD5817" s="498"/>
      <c r="AE5817" s="498"/>
      <c r="AF5817" s="498"/>
      <c r="AG5817" s="498"/>
      <c r="AH5817" s="498"/>
      <c r="AI5817" s="498"/>
      <c r="AK5817" s="498"/>
      <c r="AL5817" s="498"/>
      <c r="AM5817" s="498"/>
      <c r="AN5817" s="498"/>
      <c r="AO5817" s="498"/>
      <c r="AP5817" s="498"/>
      <c r="AQ5817" s="498"/>
      <c r="AR5817" s="498"/>
      <c r="AS5817" s="498"/>
      <c r="AT5817" s="498"/>
      <c r="AU5817" s="498"/>
      <c r="AV5817" s="498"/>
      <c r="AW5817" s="498"/>
      <c r="AX5817" s="498"/>
      <c r="AY5817" s="498"/>
      <c r="AZ5817" s="498"/>
      <c r="BA5817" s="498"/>
    </row>
    <row r="5818" spans="1:53" s="499" customFormat="1" x14ac:dyDescent="0.25">
      <c r="A5818" s="500"/>
      <c r="B5818" s="501"/>
      <c r="C5818" s="502"/>
      <c r="D5818" s="497"/>
      <c r="E5818" s="497"/>
      <c r="F5818" s="502"/>
      <c r="G5818" s="497"/>
      <c r="H5818" s="497"/>
      <c r="I5818" s="497"/>
      <c r="J5818" s="497"/>
      <c r="K5818" s="500"/>
      <c r="L5818" s="497"/>
      <c r="M5818"/>
      <c r="N5818" s="498"/>
      <c r="O5818" s="498"/>
      <c r="P5818" s="498"/>
      <c r="Q5818" s="498"/>
      <c r="R5818" s="498"/>
      <c r="T5818" s="498"/>
      <c r="U5818" s="498"/>
      <c r="V5818" s="498"/>
      <c r="W5818" s="498"/>
      <c r="X5818" s="498"/>
      <c r="Y5818" s="498"/>
      <c r="Z5818" s="498"/>
      <c r="AA5818" s="498"/>
      <c r="AB5818" s="498"/>
      <c r="AC5818" s="498"/>
      <c r="AD5818" s="498"/>
      <c r="AE5818" s="498"/>
      <c r="AF5818" s="498"/>
      <c r="AG5818" s="498"/>
      <c r="AH5818" s="498"/>
      <c r="AI5818" s="498"/>
      <c r="AK5818" s="498"/>
      <c r="AL5818" s="498"/>
      <c r="AM5818" s="498"/>
      <c r="AN5818" s="498"/>
      <c r="AO5818" s="498"/>
      <c r="AP5818" s="498"/>
      <c r="AQ5818" s="498"/>
      <c r="AR5818" s="498"/>
      <c r="AS5818" s="498"/>
      <c r="AT5818" s="498"/>
      <c r="AU5818" s="498"/>
      <c r="AV5818" s="498"/>
      <c r="AW5818" s="498"/>
      <c r="AX5818" s="498"/>
      <c r="AY5818" s="498"/>
      <c r="AZ5818" s="498"/>
      <c r="BA5818" s="498"/>
    </row>
    <row r="5819" spans="1:53" s="499" customFormat="1" x14ac:dyDescent="0.25">
      <c r="A5819" s="500"/>
      <c r="B5819" s="501"/>
      <c r="C5819" s="502"/>
      <c r="D5819" s="497"/>
      <c r="E5819" s="497"/>
      <c r="F5819" s="502"/>
      <c r="G5819" s="497"/>
      <c r="H5819" s="497"/>
      <c r="I5819" s="497"/>
      <c r="J5819" s="497"/>
      <c r="K5819" s="500"/>
      <c r="L5819" s="497"/>
      <c r="M5819"/>
      <c r="N5819" s="498"/>
      <c r="O5819" s="498"/>
      <c r="P5819" s="498"/>
      <c r="Q5819" s="498"/>
      <c r="R5819" s="498"/>
      <c r="T5819" s="498"/>
      <c r="U5819" s="498"/>
      <c r="V5819" s="498"/>
      <c r="W5819" s="498"/>
      <c r="X5819" s="498"/>
      <c r="Y5819" s="498"/>
      <c r="Z5819" s="498"/>
      <c r="AA5819" s="498"/>
      <c r="AB5819" s="498"/>
      <c r="AC5819" s="498"/>
      <c r="AD5819" s="498"/>
      <c r="AE5819" s="498"/>
      <c r="AF5819" s="498"/>
      <c r="AG5819" s="498"/>
      <c r="AH5819" s="498"/>
      <c r="AI5819" s="498"/>
      <c r="AK5819" s="498"/>
      <c r="AL5819" s="498"/>
      <c r="AM5819" s="498"/>
      <c r="AN5819" s="498"/>
      <c r="AO5819" s="498"/>
      <c r="AP5819" s="498"/>
      <c r="AQ5819" s="498"/>
      <c r="AR5819" s="498"/>
      <c r="AS5819" s="498"/>
      <c r="AT5819" s="498"/>
      <c r="AU5819" s="498"/>
      <c r="AV5819" s="498"/>
      <c r="AW5819" s="498"/>
      <c r="AX5819" s="498"/>
      <c r="AY5819" s="498"/>
      <c r="AZ5819" s="498"/>
      <c r="BA5819" s="498"/>
    </row>
    <row r="5820" spans="1:53" s="499" customFormat="1" x14ac:dyDescent="0.25">
      <c r="A5820" s="500"/>
      <c r="B5820" s="501"/>
      <c r="C5820" s="502"/>
      <c r="D5820" s="497"/>
      <c r="E5820" s="497"/>
      <c r="F5820" s="502"/>
      <c r="G5820" s="497"/>
      <c r="H5820" s="497"/>
      <c r="I5820" s="497"/>
      <c r="J5820" s="497"/>
      <c r="K5820" s="500"/>
      <c r="L5820" s="497"/>
      <c r="M5820"/>
      <c r="N5820" s="498"/>
      <c r="O5820" s="498"/>
      <c r="P5820" s="498"/>
      <c r="Q5820" s="498"/>
      <c r="R5820" s="498"/>
      <c r="T5820" s="498"/>
      <c r="U5820" s="498"/>
      <c r="V5820" s="498"/>
      <c r="W5820" s="498"/>
      <c r="X5820" s="498"/>
      <c r="Y5820" s="498"/>
      <c r="Z5820" s="498"/>
      <c r="AA5820" s="498"/>
      <c r="AB5820" s="498"/>
      <c r="AC5820" s="498"/>
      <c r="AD5820" s="498"/>
      <c r="AE5820" s="498"/>
      <c r="AF5820" s="498"/>
      <c r="AG5820" s="498"/>
      <c r="AH5820" s="498"/>
      <c r="AI5820" s="498"/>
      <c r="AK5820" s="498"/>
      <c r="AL5820" s="498"/>
      <c r="AM5820" s="498"/>
      <c r="AN5820" s="498"/>
      <c r="AO5820" s="498"/>
      <c r="AP5820" s="498"/>
      <c r="AQ5820" s="498"/>
      <c r="AR5820" s="498"/>
      <c r="AS5820" s="498"/>
      <c r="AT5820" s="498"/>
      <c r="AU5820" s="498"/>
      <c r="AV5820" s="498"/>
      <c r="AW5820" s="498"/>
      <c r="AX5820" s="498"/>
      <c r="AY5820" s="498"/>
      <c r="AZ5820" s="498"/>
      <c r="BA5820" s="498"/>
    </row>
    <row r="5821" spans="1:53" s="499" customFormat="1" x14ac:dyDescent="0.25">
      <c r="A5821" s="500"/>
      <c r="B5821" s="501"/>
      <c r="C5821" s="502"/>
      <c r="D5821" s="497"/>
      <c r="E5821" s="497"/>
      <c r="F5821" s="502"/>
      <c r="G5821" s="497"/>
      <c r="H5821" s="497"/>
      <c r="I5821" s="497"/>
      <c r="J5821" s="497"/>
      <c r="K5821" s="500"/>
      <c r="L5821" s="497"/>
      <c r="M5821"/>
      <c r="N5821" s="498"/>
      <c r="O5821" s="498"/>
      <c r="P5821" s="498"/>
      <c r="Q5821" s="498"/>
      <c r="R5821" s="498"/>
      <c r="T5821" s="498"/>
      <c r="U5821" s="498"/>
      <c r="V5821" s="498"/>
      <c r="W5821" s="498"/>
      <c r="X5821" s="498"/>
      <c r="Y5821" s="498"/>
      <c r="Z5821" s="498"/>
      <c r="AA5821" s="498"/>
      <c r="AB5821" s="498"/>
      <c r="AC5821" s="498"/>
      <c r="AD5821" s="498"/>
      <c r="AE5821" s="498"/>
      <c r="AF5821" s="498"/>
      <c r="AG5821" s="498"/>
      <c r="AH5821" s="498"/>
      <c r="AI5821" s="498"/>
      <c r="AK5821" s="498"/>
      <c r="AL5821" s="498"/>
      <c r="AM5821" s="498"/>
      <c r="AN5821" s="498"/>
      <c r="AO5821" s="498"/>
      <c r="AP5821" s="498"/>
      <c r="AQ5821" s="498"/>
      <c r="AR5821" s="498"/>
      <c r="AS5821" s="498"/>
      <c r="AT5821" s="498"/>
      <c r="AU5821" s="498"/>
      <c r="AV5821" s="498"/>
      <c r="AW5821" s="498"/>
      <c r="AX5821" s="498"/>
      <c r="AY5821" s="498"/>
      <c r="AZ5821" s="498"/>
      <c r="BA5821" s="498"/>
    </row>
    <row r="5822" spans="1:53" s="499" customFormat="1" x14ac:dyDescent="0.25">
      <c r="A5822" s="500"/>
      <c r="B5822" s="501"/>
      <c r="C5822" s="502"/>
      <c r="D5822" s="497"/>
      <c r="E5822" s="497"/>
      <c r="F5822" s="502"/>
      <c r="G5822" s="497"/>
      <c r="H5822" s="497"/>
      <c r="I5822" s="497"/>
      <c r="J5822" s="497"/>
      <c r="K5822" s="500"/>
      <c r="L5822" s="497"/>
      <c r="M5822"/>
      <c r="N5822" s="498"/>
      <c r="O5822" s="498"/>
      <c r="P5822" s="498"/>
      <c r="Q5822" s="498"/>
      <c r="R5822" s="498"/>
      <c r="T5822" s="498"/>
      <c r="U5822" s="498"/>
      <c r="V5822" s="498"/>
      <c r="W5822" s="498"/>
      <c r="X5822" s="498"/>
      <c r="Y5822" s="498"/>
      <c r="Z5822" s="498"/>
      <c r="AA5822" s="498"/>
      <c r="AB5822" s="498"/>
      <c r="AC5822" s="498"/>
      <c r="AD5822" s="498"/>
      <c r="AE5822" s="498"/>
      <c r="AF5822" s="498"/>
      <c r="AG5822" s="498"/>
      <c r="AH5822" s="498"/>
      <c r="AI5822" s="498"/>
      <c r="AK5822" s="498"/>
      <c r="AL5822" s="498"/>
      <c r="AM5822" s="498"/>
      <c r="AN5822" s="498"/>
      <c r="AO5822" s="498"/>
      <c r="AP5822" s="498"/>
      <c r="AQ5822" s="498"/>
      <c r="AR5822" s="498"/>
      <c r="AS5822" s="498"/>
      <c r="AT5822" s="498"/>
      <c r="AU5822" s="498"/>
      <c r="AV5822" s="498"/>
      <c r="AW5822" s="498"/>
      <c r="AX5822" s="498"/>
      <c r="AY5822" s="498"/>
      <c r="AZ5822" s="498"/>
      <c r="BA5822" s="498"/>
    </row>
    <row r="5823" spans="1:53" s="499" customFormat="1" x14ac:dyDescent="0.25">
      <c r="A5823" s="500"/>
      <c r="B5823" s="501"/>
      <c r="C5823" s="502"/>
      <c r="D5823" s="497"/>
      <c r="E5823" s="497"/>
      <c r="F5823" s="502"/>
      <c r="G5823" s="497"/>
      <c r="H5823" s="497"/>
      <c r="I5823" s="497"/>
      <c r="J5823" s="497"/>
      <c r="K5823" s="500"/>
      <c r="L5823" s="497"/>
      <c r="M5823"/>
      <c r="N5823" s="498"/>
      <c r="O5823" s="498"/>
      <c r="P5823" s="498"/>
      <c r="Q5823" s="498"/>
      <c r="R5823" s="498"/>
      <c r="T5823" s="498"/>
      <c r="U5823" s="498"/>
      <c r="V5823" s="498"/>
      <c r="W5823" s="498"/>
      <c r="X5823" s="498"/>
      <c r="Y5823" s="498"/>
      <c r="Z5823" s="498"/>
      <c r="AA5823" s="498"/>
      <c r="AB5823" s="498"/>
      <c r="AC5823" s="498"/>
      <c r="AD5823" s="498"/>
      <c r="AE5823" s="498"/>
      <c r="AF5823" s="498"/>
      <c r="AG5823" s="498"/>
      <c r="AH5823" s="498"/>
      <c r="AI5823" s="498"/>
      <c r="AK5823" s="498"/>
      <c r="AL5823" s="498"/>
      <c r="AM5823" s="498"/>
      <c r="AN5823" s="498"/>
      <c r="AO5823" s="498"/>
      <c r="AP5823" s="498"/>
      <c r="AQ5823" s="498"/>
      <c r="AR5823" s="498"/>
      <c r="AS5823" s="498"/>
      <c r="AT5823" s="498"/>
      <c r="AU5823" s="498"/>
      <c r="AV5823" s="498"/>
      <c r="AW5823" s="498"/>
      <c r="AX5823" s="498"/>
      <c r="AY5823" s="498"/>
      <c r="AZ5823" s="498"/>
      <c r="BA5823" s="498"/>
    </row>
    <row r="5824" spans="1:53" s="499" customFormat="1" x14ac:dyDescent="0.25">
      <c r="A5824" s="500"/>
      <c r="B5824" s="501"/>
      <c r="C5824" s="502"/>
      <c r="D5824" s="497"/>
      <c r="E5824" s="497"/>
      <c r="F5824" s="502"/>
      <c r="G5824" s="497"/>
      <c r="H5824" s="497"/>
      <c r="I5824" s="497"/>
      <c r="J5824" s="497"/>
      <c r="K5824" s="500"/>
      <c r="L5824" s="497"/>
      <c r="M5824"/>
      <c r="N5824" s="498"/>
      <c r="O5824" s="498"/>
      <c r="P5824" s="498"/>
      <c r="Q5824" s="498"/>
      <c r="R5824" s="498"/>
      <c r="T5824" s="498"/>
      <c r="U5824" s="498"/>
      <c r="V5824" s="498"/>
      <c r="W5824" s="498"/>
      <c r="X5824" s="498"/>
      <c r="Y5824" s="498"/>
      <c r="Z5824" s="498"/>
      <c r="AA5824" s="498"/>
      <c r="AB5824" s="498"/>
      <c r="AC5824" s="498"/>
      <c r="AD5824" s="498"/>
      <c r="AE5824" s="498"/>
      <c r="AF5824" s="498"/>
      <c r="AG5824" s="498"/>
      <c r="AH5824" s="498"/>
      <c r="AI5824" s="498"/>
      <c r="AK5824" s="498"/>
      <c r="AL5824" s="498"/>
      <c r="AM5824" s="498"/>
      <c r="AN5824" s="498"/>
      <c r="AO5824" s="498"/>
      <c r="AP5824" s="498"/>
      <c r="AQ5824" s="498"/>
      <c r="AR5824" s="498"/>
      <c r="AS5824" s="498"/>
      <c r="AT5824" s="498"/>
      <c r="AU5824" s="498"/>
      <c r="AV5824" s="498"/>
      <c r="AW5824" s="498"/>
      <c r="AX5824" s="498"/>
      <c r="AY5824" s="498"/>
      <c r="AZ5824" s="498"/>
      <c r="BA5824" s="498"/>
    </row>
    <row r="5825" spans="1:53" s="499" customFormat="1" x14ac:dyDescent="0.25">
      <c r="A5825" s="500"/>
      <c r="B5825" s="501"/>
      <c r="C5825" s="502"/>
      <c r="D5825" s="497"/>
      <c r="E5825" s="497"/>
      <c r="F5825" s="502"/>
      <c r="G5825" s="497"/>
      <c r="H5825" s="497"/>
      <c r="I5825" s="497"/>
      <c r="J5825" s="497"/>
      <c r="K5825" s="500"/>
      <c r="L5825" s="497"/>
      <c r="M5825"/>
      <c r="N5825" s="498"/>
      <c r="O5825" s="498"/>
      <c r="P5825" s="498"/>
      <c r="Q5825" s="498"/>
      <c r="R5825" s="498"/>
      <c r="T5825" s="498"/>
      <c r="U5825" s="498"/>
      <c r="V5825" s="498"/>
      <c r="W5825" s="498"/>
      <c r="X5825" s="498"/>
      <c r="Y5825" s="498"/>
      <c r="Z5825" s="498"/>
      <c r="AA5825" s="498"/>
      <c r="AB5825" s="498"/>
      <c r="AC5825" s="498"/>
      <c r="AD5825" s="498"/>
      <c r="AE5825" s="498"/>
      <c r="AF5825" s="498"/>
      <c r="AG5825" s="498"/>
      <c r="AH5825" s="498"/>
      <c r="AI5825" s="498"/>
      <c r="AK5825" s="498"/>
      <c r="AL5825" s="498"/>
      <c r="AM5825" s="498"/>
      <c r="AN5825" s="498"/>
      <c r="AO5825" s="498"/>
      <c r="AP5825" s="498"/>
      <c r="AQ5825" s="498"/>
      <c r="AR5825" s="498"/>
      <c r="AS5825" s="498"/>
      <c r="AT5825" s="498"/>
      <c r="AU5825" s="498"/>
      <c r="AV5825" s="498"/>
      <c r="AW5825" s="498"/>
      <c r="AX5825" s="498"/>
      <c r="AY5825" s="498"/>
      <c r="AZ5825" s="498"/>
      <c r="BA5825" s="498"/>
    </row>
    <row r="5826" spans="1:53" s="499" customFormat="1" x14ac:dyDescent="0.25">
      <c r="A5826" s="500"/>
      <c r="B5826" s="501"/>
      <c r="C5826" s="502"/>
      <c r="D5826" s="497"/>
      <c r="E5826" s="497"/>
      <c r="F5826" s="502"/>
      <c r="G5826" s="497"/>
      <c r="H5826" s="497"/>
      <c r="I5826" s="497"/>
      <c r="J5826" s="497"/>
      <c r="K5826" s="500"/>
      <c r="L5826" s="497"/>
      <c r="M5826"/>
      <c r="N5826" s="498"/>
      <c r="O5826" s="498"/>
      <c r="P5826" s="498"/>
      <c r="Q5826" s="498"/>
      <c r="R5826" s="498"/>
      <c r="T5826" s="498"/>
      <c r="U5826" s="498"/>
      <c r="V5826" s="498"/>
      <c r="W5826" s="498"/>
      <c r="X5826" s="498"/>
      <c r="Y5826" s="498"/>
      <c r="Z5826" s="498"/>
      <c r="AA5826" s="498"/>
      <c r="AB5826" s="498"/>
      <c r="AC5826" s="498"/>
      <c r="AD5826" s="498"/>
      <c r="AE5826" s="498"/>
      <c r="AF5826" s="498"/>
      <c r="AG5826" s="498"/>
      <c r="AH5826" s="498"/>
      <c r="AI5826" s="498"/>
      <c r="AK5826" s="498"/>
      <c r="AL5826" s="498"/>
      <c r="AM5826" s="498"/>
      <c r="AN5826" s="498"/>
      <c r="AO5826" s="498"/>
      <c r="AP5826" s="498"/>
      <c r="AQ5826" s="498"/>
      <c r="AR5826" s="498"/>
      <c r="AS5826" s="498"/>
      <c r="AT5826" s="498"/>
      <c r="AU5826" s="498"/>
      <c r="AV5826" s="498"/>
      <c r="AW5826" s="498"/>
      <c r="AX5826" s="498"/>
      <c r="AY5826" s="498"/>
      <c r="AZ5826" s="498"/>
      <c r="BA5826" s="498"/>
    </row>
    <row r="5827" spans="1:53" s="499" customFormat="1" x14ac:dyDescent="0.25">
      <c r="A5827" s="500"/>
      <c r="B5827" s="501"/>
      <c r="C5827" s="502"/>
      <c r="D5827" s="497"/>
      <c r="E5827" s="497"/>
      <c r="F5827" s="502"/>
      <c r="G5827" s="497"/>
      <c r="H5827" s="497"/>
      <c r="I5827" s="497"/>
      <c r="J5827" s="497"/>
      <c r="K5827" s="500"/>
      <c r="L5827" s="497"/>
      <c r="M5827"/>
      <c r="N5827" s="498"/>
      <c r="O5827" s="498"/>
      <c r="P5827" s="498"/>
      <c r="Q5827" s="498"/>
      <c r="R5827" s="498"/>
      <c r="T5827" s="498"/>
      <c r="U5827" s="498"/>
      <c r="V5827" s="498"/>
      <c r="W5827" s="498"/>
      <c r="X5827" s="498"/>
      <c r="Y5827" s="498"/>
      <c r="Z5827" s="498"/>
      <c r="AA5827" s="498"/>
      <c r="AB5827" s="498"/>
      <c r="AC5827" s="498"/>
      <c r="AD5827" s="498"/>
      <c r="AE5827" s="498"/>
      <c r="AF5827" s="498"/>
      <c r="AG5827" s="498"/>
      <c r="AH5827" s="498"/>
      <c r="AI5827" s="498"/>
      <c r="AK5827" s="498"/>
      <c r="AL5827" s="498"/>
      <c r="AM5827" s="498"/>
      <c r="AN5827" s="498"/>
      <c r="AO5827" s="498"/>
      <c r="AP5827" s="498"/>
      <c r="AQ5827" s="498"/>
      <c r="AR5827" s="498"/>
      <c r="AS5827" s="498"/>
      <c r="AT5827" s="498"/>
      <c r="AU5827" s="498"/>
      <c r="AV5827" s="498"/>
      <c r="AW5827" s="498"/>
      <c r="AX5827" s="498"/>
      <c r="AY5827" s="498"/>
      <c r="AZ5827" s="498"/>
      <c r="BA5827" s="498"/>
    </row>
    <row r="5828" spans="1:53" s="499" customFormat="1" x14ac:dyDescent="0.25">
      <c r="A5828" s="500"/>
      <c r="B5828" s="501"/>
      <c r="C5828" s="502"/>
      <c r="D5828" s="497"/>
      <c r="E5828" s="497"/>
      <c r="F5828" s="502"/>
      <c r="G5828" s="497"/>
      <c r="H5828" s="497"/>
      <c r="I5828" s="497"/>
      <c r="J5828" s="497"/>
      <c r="K5828" s="500"/>
      <c r="L5828" s="497"/>
      <c r="M5828"/>
      <c r="N5828" s="498"/>
      <c r="O5828" s="498"/>
      <c r="P5828" s="498"/>
      <c r="Q5828" s="498"/>
      <c r="R5828" s="498"/>
      <c r="T5828" s="498"/>
      <c r="U5828" s="498"/>
      <c r="V5828" s="498"/>
      <c r="W5828" s="498"/>
      <c r="X5828" s="498"/>
      <c r="Y5828" s="498"/>
      <c r="Z5828" s="498"/>
      <c r="AA5828" s="498"/>
      <c r="AB5828" s="498"/>
      <c r="AC5828" s="498"/>
      <c r="AD5828" s="498"/>
      <c r="AE5828" s="498"/>
      <c r="AF5828" s="498"/>
      <c r="AG5828" s="498"/>
      <c r="AH5828" s="498"/>
      <c r="AI5828" s="498"/>
      <c r="AK5828" s="498"/>
      <c r="AL5828" s="498"/>
      <c r="AM5828" s="498"/>
      <c r="AN5828" s="498"/>
      <c r="AO5828" s="498"/>
      <c r="AP5828" s="498"/>
      <c r="AQ5828" s="498"/>
      <c r="AR5828" s="498"/>
      <c r="AS5828" s="498"/>
      <c r="AT5828" s="498"/>
      <c r="AU5828" s="498"/>
      <c r="AV5828" s="498"/>
      <c r="AW5828" s="498"/>
      <c r="AX5828" s="498"/>
      <c r="AY5828" s="498"/>
      <c r="AZ5828" s="498"/>
      <c r="BA5828" s="498"/>
    </row>
    <row r="5829" spans="1:53" s="499" customFormat="1" x14ac:dyDescent="0.25">
      <c r="A5829" s="500"/>
      <c r="B5829" s="501"/>
      <c r="C5829" s="502"/>
      <c r="D5829" s="497"/>
      <c r="E5829" s="497"/>
      <c r="F5829" s="502"/>
      <c r="G5829" s="497"/>
      <c r="H5829" s="497"/>
      <c r="I5829" s="497"/>
      <c r="J5829" s="497"/>
      <c r="K5829" s="500"/>
      <c r="L5829" s="497"/>
      <c r="M5829"/>
      <c r="N5829" s="498"/>
      <c r="O5829" s="498"/>
      <c r="P5829" s="498"/>
      <c r="Q5829" s="498"/>
      <c r="R5829" s="498"/>
      <c r="T5829" s="498"/>
      <c r="U5829" s="498"/>
      <c r="V5829" s="498"/>
      <c r="W5829" s="498"/>
      <c r="X5829" s="498"/>
      <c r="Y5829" s="498"/>
      <c r="Z5829" s="498"/>
      <c r="AA5829" s="498"/>
      <c r="AB5829" s="498"/>
      <c r="AC5829" s="498"/>
      <c r="AD5829" s="498"/>
      <c r="AE5829" s="498"/>
      <c r="AF5829" s="498"/>
      <c r="AG5829" s="498"/>
      <c r="AH5829" s="498"/>
      <c r="AI5829" s="498"/>
      <c r="AK5829" s="498"/>
      <c r="AL5829" s="498"/>
      <c r="AM5829" s="498"/>
      <c r="AN5829" s="498"/>
      <c r="AO5829" s="498"/>
      <c r="AP5829" s="498"/>
      <c r="AQ5829" s="498"/>
      <c r="AR5829" s="498"/>
      <c r="AS5829" s="498"/>
      <c r="AT5829" s="498"/>
      <c r="AU5829" s="498"/>
      <c r="AV5829" s="498"/>
      <c r="AW5829" s="498"/>
      <c r="AX5829" s="498"/>
      <c r="AY5829" s="498"/>
      <c r="AZ5829" s="498"/>
      <c r="BA5829" s="498"/>
    </row>
    <row r="5830" spans="1:53" s="499" customFormat="1" x14ac:dyDescent="0.25">
      <c r="A5830" s="500"/>
      <c r="B5830" s="501"/>
      <c r="C5830" s="502"/>
      <c r="D5830" s="497"/>
      <c r="E5830" s="497"/>
      <c r="F5830" s="502"/>
      <c r="G5830" s="497"/>
      <c r="H5830" s="497"/>
      <c r="I5830" s="497"/>
      <c r="J5830" s="497"/>
      <c r="K5830" s="500"/>
      <c r="L5830" s="497"/>
      <c r="M5830"/>
      <c r="N5830" s="498"/>
      <c r="O5830" s="498"/>
      <c r="P5830" s="498"/>
      <c r="Q5830" s="498"/>
      <c r="R5830" s="498"/>
      <c r="T5830" s="498"/>
      <c r="U5830" s="498"/>
      <c r="V5830" s="498"/>
      <c r="W5830" s="498"/>
      <c r="X5830" s="498"/>
      <c r="Y5830" s="498"/>
      <c r="Z5830" s="498"/>
      <c r="AA5830" s="498"/>
      <c r="AB5830" s="498"/>
      <c r="AC5830" s="498"/>
      <c r="AD5830" s="498"/>
      <c r="AE5830" s="498"/>
      <c r="AF5830" s="498"/>
      <c r="AG5830" s="498"/>
      <c r="AH5830" s="498"/>
      <c r="AI5830" s="498"/>
      <c r="AK5830" s="498"/>
      <c r="AL5830" s="498"/>
      <c r="AM5830" s="498"/>
      <c r="AN5830" s="498"/>
      <c r="AO5830" s="498"/>
      <c r="AP5830" s="498"/>
      <c r="AQ5830" s="498"/>
      <c r="AR5830" s="498"/>
      <c r="AS5830" s="498"/>
      <c r="AT5830" s="498"/>
      <c r="AU5830" s="498"/>
      <c r="AV5830" s="498"/>
      <c r="AW5830" s="498"/>
      <c r="AX5830" s="498"/>
      <c r="AY5830" s="498"/>
      <c r="AZ5830" s="498"/>
      <c r="BA5830" s="498"/>
    </row>
    <row r="5831" spans="1:53" s="499" customFormat="1" x14ac:dyDescent="0.25">
      <c r="A5831" s="500"/>
      <c r="B5831" s="501"/>
      <c r="C5831" s="502"/>
      <c r="D5831" s="497"/>
      <c r="E5831" s="497"/>
      <c r="F5831" s="502"/>
      <c r="G5831" s="497"/>
      <c r="H5831" s="497"/>
      <c r="I5831" s="497"/>
      <c r="J5831" s="497"/>
      <c r="K5831" s="500"/>
      <c r="L5831" s="497"/>
      <c r="M5831"/>
      <c r="N5831" s="498"/>
      <c r="O5831" s="498"/>
      <c r="P5831" s="498"/>
      <c r="Q5831" s="498"/>
      <c r="R5831" s="498"/>
      <c r="T5831" s="498"/>
      <c r="U5831" s="498"/>
      <c r="V5831" s="498"/>
      <c r="W5831" s="498"/>
      <c r="X5831" s="498"/>
      <c r="Y5831" s="498"/>
      <c r="Z5831" s="498"/>
      <c r="AA5831" s="498"/>
      <c r="AB5831" s="498"/>
      <c r="AC5831" s="498"/>
      <c r="AD5831" s="498"/>
      <c r="AE5831" s="498"/>
      <c r="AF5831" s="498"/>
      <c r="AG5831" s="498"/>
      <c r="AH5831" s="498"/>
      <c r="AI5831" s="498"/>
      <c r="AK5831" s="498"/>
      <c r="AL5831" s="498"/>
      <c r="AM5831" s="498"/>
      <c r="AN5831" s="498"/>
      <c r="AO5831" s="498"/>
      <c r="AP5831" s="498"/>
      <c r="AQ5831" s="498"/>
      <c r="AR5831" s="498"/>
      <c r="AS5831" s="498"/>
      <c r="AT5831" s="498"/>
      <c r="AU5831" s="498"/>
      <c r="AV5831" s="498"/>
      <c r="AW5831" s="498"/>
      <c r="AX5831" s="498"/>
      <c r="AY5831" s="498"/>
      <c r="AZ5831" s="498"/>
      <c r="BA5831" s="498"/>
    </row>
    <row r="5832" spans="1:53" s="499" customFormat="1" x14ac:dyDescent="0.25">
      <c r="A5832" s="500"/>
      <c r="B5832" s="501"/>
      <c r="C5832" s="502"/>
      <c r="D5832" s="497"/>
      <c r="E5832" s="497"/>
      <c r="F5832" s="502"/>
      <c r="G5832" s="497"/>
      <c r="H5832" s="497"/>
      <c r="I5832" s="497"/>
      <c r="J5832" s="497"/>
      <c r="K5832" s="500"/>
      <c r="L5832" s="497"/>
      <c r="M5832"/>
      <c r="N5832" s="498"/>
      <c r="O5832" s="498"/>
      <c r="P5832" s="498"/>
      <c r="Q5832" s="498"/>
      <c r="R5832" s="498"/>
      <c r="T5832" s="498"/>
      <c r="U5832" s="498"/>
      <c r="V5832" s="498"/>
      <c r="W5832" s="498"/>
      <c r="X5832" s="498"/>
      <c r="Y5832" s="498"/>
      <c r="Z5832" s="498"/>
      <c r="AA5832" s="498"/>
      <c r="AB5832" s="498"/>
      <c r="AC5832" s="498"/>
      <c r="AD5832" s="498"/>
      <c r="AE5832" s="498"/>
      <c r="AF5832" s="498"/>
      <c r="AG5832" s="498"/>
      <c r="AH5832" s="498"/>
      <c r="AI5832" s="498"/>
      <c r="AK5832" s="498"/>
      <c r="AL5832" s="498"/>
      <c r="AM5832" s="498"/>
      <c r="AN5832" s="498"/>
      <c r="AO5832" s="498"/>
      <c r="AP5832" s="498"/>
      <c r="AQ5832" s="498"/>
      <c r="AR5832" s="498"/>
      <c r="AS5832" s="498"/>
      <c r="AT5832" s="498"/>
      <c r="AU5832" s="498"/>
      <c r="AV5832" s="498"/>
      <c r="AW5832" s="498"/>
      <c r="AX5832" s="498"/>
      <c r="AY5832" s="498"/>
      <c r="AZ5832" s="498"/>
      <c r="BA5832" s="498"/>
    </row>
    <row r="5833" spans="1:53" s="499" customFormat="1" x14ac:dyDescent="0.25">
      <c r="A5833" s="500"/>
      <c r="B5833" s="501"/>
      <c r="C5833" s="502"/>
      <c r="D5833" s="497"/>
      <c r="E5833" s="497"/>
      <c r="F5833" s="502"/>
      <c r="G5833" s="497"/>
      <c r="H5833" s="497"/>
      <c r="I5833" s="497"/>
      <c r="J5833" s="497"/>
      <c r="K5833" s="500"/>
      <c r="L5833" s="497"/>
      <c r="M5833"/>
      <c r="N5833" s="498"/>
      <c r="O5833" s="498"/>
      <c r="P5833" s="498"/>
      <c r="Q5833" s="498"/>
      <c r="R5833" s="498"/>
      <c r="T5833" s="498"/>
      <c r="U5833" s="498"/>
      <c r="V5833" s="498"/>
      <c r="W5833" s="498"/>
      <c r="X5833" s="498"/>
      <c r="Y5833" s="498"/>
      <c r="Z5833" s="498"/>
      <c r="AA5833" s="498"/>
      <c r="AB5833" s="498"/>
      <c r="AC5833" s="498"/>
      <c r="AD5833" s="498"/>
      <c r="AE5833" s="498"/>
      <c r="AF5833" s="498"/>
      <c r="AG5833" s="498"/>
      <c r="AH5833" s="498"/>
      <c r="AI5833" s="498"/>
      <c r="AK5833" s="498"/>
      <c r="AL5833" s="498"/>
      <c r="AM5833" s="498"/>
      <c r="AN5833" s="498"/>
      <c r="AO5833" s="498"/>
      <c r="AP5833" s="498"/>
      <c r="AQ5833" s="498"/>
      <c r="AR5833" s="498"/>
      <c r="AS5833" s="498"/>
      <c r="AT5833" s="498"/>
      <c r="AU5833" s="498"/>
      <c r="AV5833" s="498"/>
      <c r="AW5833" s="498"/>
      <c r="AX5833" s="498"/>
      <c r="AY5833" s="498"/>
      <c r="AZ5833" s="498"/>
      <c r="BA5833" s="498"/>
    </row>
    <row r="5834" spans="1:53" s="499" customFormat="1" x14ac:dyDescent="0.25">
      <c r="A5834" s="500"/>
      <c r="B5834" s="501"/>
      <c r="C5834" s="502"/>
      <c r="D5834" s="497"/>
      <c r="E5834" s="497"/>
      <c r="F5834" s="502"/>
      <c r="G5834" s="497"/>
      <c r="H5834" s="497"/>
      <c r="I5834" s="497"/>
      <c r="J5834" s="497"/>
      <c r="K5834" s="500"/>
      <c r="L5834" s="497"/>
      <c r="M5834"/>
      <c r="N5834" s="498"/>
      <c r="O5834" s="498"/>
      <c r="P5834" s="498"/>
      <c r="Q5834" s="498"/>
      <c r="R5834" s="498"/>
      <c r="T5834" s="498"/>
      <c r="U5834" s="498"/>
      <c r="V5834" s="498"/>
      <c r="W5834" s="498"/>
      <c r="X5834" s="498"/>
      <c r="Y5834" s="498"/>
      <c r="Z5834" s="498"/>
      <c r="AA5834" s="498"/>
      <c r="AB5834" s="498"/>
      <c r="AC5834" s="498"/>
      <c r="AD5834" s="498"/>
      <c r="AE5834" s="498"/>
      <c r="AF5834" s="498"/>
      <c r="AG5834" s="498"/>
      <c r="AH5834" s="498"/>
      <c r="AI5834" s="498"/>
      <c r="AK5834" s="498"/>
      <c r="AL5834" s="498"/>
      <c r="AM5834" s="498"/>
      <c r="AN5834" s="498"/>
      <c r="AO5834" s="498"/>
      <c r="AP5834" s="498"/>
      <c r="AQ5834" s="498"/>
      <c r="AR5834" s="498"/>
      <c r="AS5834" s="498"/>
      <c r="AT5834" s="498"/>
      <c r="AU5834" s="498"/>
      <c r="AV5834" s="498"/>
      <c r="AW5834" s="498"/>
      <c r="AX5834" s="498"/>
      <c r="AY5834" s="498"/>
      <c r="AZ5834" s="498"/>
      <c r="BA5834" s="498"/>
    </row>
    <row r="5835" spans="1:53" s="499" customFormat="1" x14ac:dyDescent="0.25">
      <c r="A5835" s="500"/>
      <c r="B5835" s="501"/>
      <c r="C5835" s="502"/>
      <c r="D5835" s="497"/>
      <c r="E5835" s="497"/>
      <c r="F5835" s="502"/>
      <c r="G5835" s="497"/>
      <c r="H5835" s="497"/>
      <c r="I5835" s="497"/>
      <c r="J5835" s="497"/>
      <c r="K5835" s="500"/>
      <c r="L5835" s="497"/>
      <c r="M5835"/>
      <c r="N5835" s="498"/>
      <c r="O5835" s="498"/>
      <c r="P5835" s="498"/>
      <c r="Q5835" s="498"/>
      <c r="R5835" s="498"/>
      <c r="T5835" s="498"/>
      <c r="U5835" s="498"/>
      <c r="V5835" s="498"/>
      <c r="W5835" s="498"/>
      <c r="X5835" s="498"/>
      <c r="Y5835" s="498"/>
      <c r="Z5835" s="498"/>
      <c r="AA5835" s="498"/>
      <c r="AB5835" s="498"/>
      <c r="AC5835" s="498"/>
      <c r="AD5835" s="498"/>
      <c r="AE5835" s="498"/>
      <c r="AF5835" s="498"/>
      <c r="AG5835" s="498"/>
      <c r="AH5835" s="498"/>
      <c r="AI5835" s="498"/>
      <c r="AK5835" s="498"/>
      <c r="AL5835" s="498"/>
      <c r="AM5835" s="498"/>
      <c r="AN5835" s="498"/>
      <c r="AO5835" s="498"/>
      <c r="AP5835" s="498"/>
      <c r="AQ5835" s="498"/>
      <c r="AR5835" s="498"/>
      <c r="AS5835" s="498"/>
      <c r="AT5835" s="498"/>
      <c r="AU5835" s="498"/>
      <c r="AV5835" s="498"/>
      <c r="AW5835" s="498"/>
      <c r="AX5835" s="498"/>
      <c r="AY5835" s="498"/>
      <c r="AZ5835" s="498"/>
      <c r="BA5835" s="498"/>
    </row>
    <row r="5836" spans="1:53" s="499" customFormat="1" x14ac:dyDescent="0.25">
      <c r="A5836" s="500"/>
      <c r="B5836" s="501"/>
      <c r="C5836" s="502"/>
      <c r="D5836" s="497"/>
      <c r="E5836" s="497"/>
      <c r="F5836" s="502"/>
      <c r="G5836" s="497"/>
      <c r="H5836" s="497"/>
      <c r="I5836" s="497"/>
      <c r="J5836" s="497"/>
      <c r="K5836" s="500"/>
      <c r="L5836" s="497"/>
      <c r="M5836"/>
      <c r="N5836" s="498"/>
      <c r="O5836" s="498"/>
      <c r="P5836" s="498"/>
      <c r="Q5836" s="498"/>
      <c r="R5836" s="498"/>
      <c r="T5836" s="498"/>
      <c r="U5836" s="498"/>
      <c r="V5836" s="498"/>
      <c r="W5836" s="498"/>
      <c r="X5836" s="498"/>
      <c r="Y5836" s="498"/>
      <c r="Z5836" s="498"/>
      <c r="AA5836" s="498"/>
      <c r="AB5836" s="498"/>
      <c r="AC5836" s="498"/>
      <c r="AD5836" s="498"/>
      <c r="AE5836" s="498"/>
      <c r="AF5836" s="498"/>
      <c r="AG5836" s="498"/>
      <c r="AH5836" s="498"/>
      <c r="AI5836" s="498"/>
      <c r="AK5836" s="498"/>
      <c r="AL5836" s="498"/>
      <c r="AM5836" s="498"/>
      <c r="AN5836" s="498"/>
      <c r="AO5836" s="498"/>
      <c r="AP5836" s="498"/>
      <c r="AQ5836" s="498"/>
      <c r="AR5836" s="498"/>
      <c r="AS5836" s="498"/>
      <c r="AT5836" s="498"/>
      <c r="AU5836" s="498"/>
      <c r="AV5836" s="498"/>
      <c r="AW5836" s="498"/>
      <c r="AX5836" s="498"/>
      <c r="AY5836" s="498"/>
      <c r="AZ5836" s="498"/>
      <c r="BA5836" s="498"/>
    </row>
    <row r="5837" spans="1:53" s="499" customFormat="1" x14ac:dyDescent="0.25">
      <c r="A5837" s="500"/>
      <c r="B5837" s="501"/>
      <c r="C5837" s="502"/>
      <c r="D5837" s="497"/>
      <c r="E5837" s="497"/>
      <c r="F5837" s="502"/>
      <c r="G5837" s="497"/>
      <c r="H5837" s="497"/>
      <c r="I5837" s="497"/>
      <c r="J5837" s="497"/>
      <c r="K5837" s="500"/>
      <c r="L5837" s="497"/>
      <c r="M5837"/>
      <c r="N5837" s="498"/>
      <c r="O5837" s="498"/>
      <c r="P5837" s="498"/>
      <c r="Q5837" s="498"/>
      <c r="R5837" s="498"/>
      <c r="T5837" s="498"/>
      <c r="U5837" s="498"/>
      <c r="V5837" s="498"/>
      <c r="W5837" s="498"/>
      <c r="X5837" s="498"/>
      <c r="Y5837" s="498"/>
      <c r="Z5837" s="498"/>
      <c r="AA5837" s="498"/>
      <c r="AB5837" s="498"/>
      <c r="AC5837" s="498"/>
      <c r="AD5837" s="498"/>
      <c r="AE5837" s="498"/>
      <c r="AF5837" s="498"/>
      <c r="AG5837" s="498"/>
      <c r="AH5837" s="498"/>
      <c r="AI5837" s="498"/>
      <c r="AK5837" s="498"/>
      <c r="AL5837" s="498"/>
      <c r="AM5837" s="498"/>
      <c r="AN5837" s="498"/>
      <c r="AO5837" s="498"/>
      <c r="AP5837" s="498"/>
      <c r="AQ5837" s="498"/>
      <c r="AR5837" s="498"/>
      <c r="AS5837" s="498"/>
      <c r="AT5837" s="498"/>
      <c r="AU5837" s="498"/>
      <c r="AV5837" s="498"/>
      <c r="AW5837" s="498"/>
      <c r="AX5837" s="498"/>
      <c r="AY5837" s="498"/>
      <c r="AZ5837" s="498"/>
      <c r="BA5837" s="498"/>
    </row>
    <row r="5838" spans="1:53" s="499" customFormat="1" x14ac:dyDescent="0.25">
      <c r="A5838" s="500"/>
      <c r="B5838" s="501"/>
      <c r="C5838" s="502"/>
      <c r="D5838" s="497"/>
      <c r="E5838" s="497"/>
      <c r="F5838" s="502"/>
      <c r="G5838" s="497"/>
      <c r="H5838" s="497"/>
      <c r="I5838" s="497"/>
      <c r="J5838" s="497"/>
      <c r="K5838" s="500"/>
      <c r="L5838" s="497"/>
      <c r="M5838"/>
      <c r="N5838" s="498"/>
      <c r="O5838" s="498"/>
      <c r="P5838" s="498"/>
      <c r="Q5838" s="498"/>
      <c r="R5838" s="498"/>
      <c r="T5838" s="498"/>
      <c r="U5838" s="498"/>
      <c r="V5838" s="498"/>
      <c r="W5838" s="498"/>
      <c r="X5838" s="498"/>
      <c r="Y5838" s="498"/>
      <c r="Z5838" s="498"/>
      <c r="AA5838" s="498"/>
      <c r="AB5838" s="498"/>
      <c r="AC5838" s="498"/>
      <c r="AD5838" s="498"/>
      <c r="AE5838" s="498"/>
      <c r="AF5838" s="498"/>
      <c r="AG5838" s="498"/>
      <c r="AH5838" s="498"/>
      <c r="AI5838" s="498"/>
      <c r="AK5838" s="498"/>
      <c r="AL5838" s="498"/>
      <c r="AM5838" s="498"/>
      <c r="AN5838" s="498"/>
      <c r="AO5838" s="498"/>
      <c r="AP5838" s="498"/>
      <c r="AQ5838" s="498"/>
      <c r="AR5838" s="498"/>
      <c r="AS5838" s="498"/>
      <c r="AT5838" s="498"/>
      <c r="AU5838" s="498"/>
      <c r="AV5838" s="498"/>
      <c r="AW5838" s="498"/>
      <c r="AX5838" s="498"/>
      <c r="AY5838" s="498"/>
      <c r="AZ5838" s="498"/>
      <c r="BA5838" s="498"/>
    </row>
    <row r="5839" spans="1:53" s="499" customFormat="1" x14ac:dyDescent="0.25">
      <c r="A5839" s="500"/>
      <c r="B5839" s="501"/>
      <c r="C5839" s="502"/>
      <c r="D5839" s="497"/>
      <c r="E5839" s="497"/>
      <c r="F5839" s="502"/>
      <c r="G5839" s="497"/>
      <c r="H5839" s="497"/>
      <c r="I5839" s="497"/>
      <c r="J5839" s="497"/>
      <c r="K5839" s="500"/>
      <c r="L5839" s="497"/>
      <c r="M5839"/>
      <c r="N5839" s="498"/>
      <c r="O5839" s="498"/>
      <c r="P5839" s="498"/>
      <c r="Q5839" s="498"/>
      <c r="R5839" s="498"/>
      <c r="T5839" s="498"/>
      <c r="U5839" s="498"/>
      <c r="V5839" s="498"/>
      <c r="W5839" s="498"/>
      <c r="X5839" s="498"/>
      <c r="Y5839" s="498"/>
      <c r="Z5839" s="498"/>
      <c r="AA5839" s="498"/>
      <c r="AB5839" s="498"/>
      <c r="AC5839" s="498"/>
      <c r="AD5839" s="498"/>
      <c r="AE5839" s="498"/>
      <c r="AF5839" s="498"/>
      <c r="AG5839" s="498"/>
      <c r="AH5839" s="498"/>
      <c r="AI5839" s="498"/>
      <c r="AK5839" s="498"/>
      <c r="AL5839" s="498"/>
      <c r="AM5839" s="498"/>
      <c r="AN5839" s="498"/>
      <c r="AO5839" s="498"/>
      <c r="AP5839" s="498"/>
      <c r="AQ5839" s="498"/>
      <c r="AR5839" s="498"/>
      <c r="AS5839" s="498"/>
      <c r="AT5839" s="498"/>
      <c r="AU5839" s="498"/>
      <c r="AV5839" s="498"/>
      <c r="AW5839" s="498"/>
      <c r="AX5839" s="498"/>
      <c r="AY5839" s="498"/>
      <c r="AZ5839" s="498"/>
      <c r="BA5839" s="498"/>
    </row>
    <row r="5840" spans="1:53" s="499" customFormat="1" x14ac:dyDescent="0.25">
      <c r="A5840" s="500"/>
      <c r="B5840" s="501"/>
      <c r="C5840" s="502"/>
      <c r="D5840" s="497"/>
      <c r="E5840" s="497"/>
      <c r="F5840" s="502"/>
      <c r="G5840" s="497"/>
      <c r="H5840" s="497"/>
      <c r="I5840" s="497"/>
      <c r="J5840" s="497"/>
      <c r="K5840" s="500"/>
      <c r="L5840" s="497"/>
      <c r="M5840"/>
      <c r="N5840" s="498"/>
      <c r="O5840" s="498"/>
      <c r="P5840" s="498"/>
      <c r="Q5840" s="498"/>
      <c r="R5840" s="498"/>
      <c r="T5840" s="498"/>
      <c r="U5840" s="498"/>
      <c r="V5840" s="498"/>
      <c r="W5840" s="498"/>
      <c r="X5840" s="498"/>
      <c r="Y5840" s="498"/>
      <c r="Z5840" s="498"/>
      <c r="AA5840" s="498"/>
      <c r="AB5840" s="498"/>
      <c r="AC5840" s="498"/>
      <c r="AD5840" s="498"/>
      <c r="AE5840" s="498"/>
      <c r="AF5840" s="498"/>
      <c r="AG5840" s="498"/>
      <c r="AH5840" s="498"/>
      <c r="AI5840" s="498"/>
      <c r="AK5840" s="498"/>
      <c r="AL5840" s="498"/>
      <c r="AM5840" s="498"/>
      <c r="AN5840" s="498"/>
      <c r="AO5840" s="498"/>
      <c r="AP5840" s="498"/>
      <c r="AQ5840" s="498"/>
      <c r="AR5840" s="498"/>
      <c r="AS5840" s="498"/>
      <c r="AT5840" s="498"/>
      <c r="AU5840" s="498"/>
      <c r="AV5840" s="498"/>
      <c r="AW5840" s="498"/>
      <c r="AX5840" s="498"/>
      <c r="AY5840" s="498"/>
      <c r="AZ5840" s="498"/>
      <c r="BA5840" s="498"/>
    </row>
    <row r="5841" spans="1:53" s="499" customFormat="1" x14ac:dyDescent="0.25">
      <c r="A5841" s="500"/>
      <c r="B5841" s="501"/>
      <c r="C5841" s="502"/>
      <c r="D5841" s="497"/>
      <c r="E5841" s="497"/>
      <c r="F5841" s="502"/>
      <c r="G5841" s="497"/>
      <c r="H5841" s="497"/>
      <c r="I5841" s="497"/>
      <c r="J5841" s="497"/>
      <c r="K5841" s="500"/>
      <c r="L5841" s="497"/>
      <c r="M5841"/>
      <c r="N5841" s="498"/>
      <c r="O5841" s="498"/>
      <c r="P5841" s="498"/>
      <c r="Q5841" s="498"/>
      <c r="R5841" s="498"/>
      <c r="T5841" s="498"/>
      <c r="U5841" s="498"/>
      <c r="V5841" s="498"/>
      <c r="W5841" s="498"/>
      <c r="X5841" s="498"/>
      <c r="Y5841" s="498"/>
      <c r="Z5841" s="498"/>
      <c r="AA5841" s="498"/>
      <c r="AB5841" s="498"/>
      <c r="AC5841" s="498"/>
      <c r="AD5841" s="498"/>
      <c r="AE5841" s="498"/>
      <c r="AF5841" s="498"/>
      <c r="AG5841" s="498"/>
      <c r="AH5841" s="498"/>
      <c r="AI5841" s="498"/>
      <c r="AK5841" s="498"/>
      <c r="AL5841" s="498"/>
      <c r="AM5841" s="498"/>
      <c r="AN5841" s="498"/>
      <c r="AO5841" s="498"/>
      <c r="AP5841" s="498"/>
      <c r="AQ5841" s="498"/>
      <c r="AR5841" s="498"/>
      <c r="AS5841" s="498"/>
      <c r="AT5841" s="498"/>
      <c r="AU5841" s="498"/>
      <c r="AV5841" s="498"/>
      <c r="AW5841" s="498"/>
      <c r="AX5841" s="498"/>
      <c r="AY5841" s="498"/>
      <c r="AZ5841" s="498"/>
      <c r="BA5841" s="498"/>
    </row>
    <row r="5842" spans="1:53" s="499" customFormat="1" x14ac:dyDescent="0.25">
      <c r="A5842" s="500"/>
      <c r="B5842" s="501"/>
      <c r="C5842" s="502"/>
      <c r="D5842" s="497"/>
      <c r="E5842" s="497"/>
      <c r="F5842" s="502"/>
      <c r="G5842" s="497"/>
      <c r="H5842" s="497"/>
      <c r="I5842" s="497"/>
      <c r="J5842" s="497"/>
      <c r="K5842" s="500"/>
      <c r="L5842" s="497"/>
      <c r="M5842"/>
      <c r="N5842" s="498"/>
      <c r="O5842" s="498"/>
      <c r="P5842" s="498"/>
      <c r="Q5842" s="498"/>
      <c r="R5842" s="498"/>
      <c r="T5842" s="498"/>
      <c r="U5842" s="498"/>
      <c r="V5842" s="498"/>
      <c r="W5842" s="498"/>
      <c r="X5842" s="498"/>
      <c r="Y5842" s="498"/>
      <c r="Z5842" s="498"/>
      <c r="AA5842" s="498"/>
      <c r="AB5842" s="498"/>
      <c r="AC5842" s="498"/>
      <c r="AD5842" s="498"/>
      <c r="AE5842" s="498"/>
      <c r="AF5842" s="498"/>
      <c r="AG5842" s="498"/>
      <c r="AH5842" s="498"/>
      <c r="AI5842" s="498"/>
      <c r="AK5842" s="498"/>
      <c r="AL5842" s="498"/>
      <c r="AM5842" s="498"/>
      <c r="AN5842" s="498"/>
      <c r="AO5842" s="498"/>
      <c r="AP5842" s="498"/>
      <c r="AQ5842" s="498"/>
      <c r="AR5842" s="498"/>
      <c r="AS5842" s="498"/>
      <c r="AT5842" s="498"/>
      <c r="AU5842" s="498"/>
      <c r="AV5842" s="498"/>
      <c r="AW5842" s="498"/>
      <c r="AX5842" s="498"/>
      <c r="AY5842" s="498"/>
      <c r="AZ5842" s="498"/>
      <c r="BA5842" s="498"/>
    </row>
    <row r="5843" spans="1:53" s="499" customFormat="1" x14ac:dyDescent="0.25">
      <c r="A5843" s="500"/>
      <c r="B5843" s="501"/>
      <c r="C5843" s="502"/>
      <c r="D5843" s="497"/>
      <c r="E5843" s="497"/>
      <c r="F5843" s="502"/>
      <c r="G5843" s="497"/>
      <c r="H5843" s="497"/>
      <c r="I5843" s="497"/>
      <c r="J5843" s="497"/>
      <c r="K5843" s="500"/>
      <c r="L5843" s="497"/>
      <c r="M5843"/>
      <c r="N5843" s="498"/>
      <c r="O5843" s="498"/>
      <c r="P5843" s="498"/>
      <c r="Q5843" s="498"/>
      <c r="R5843" s="498"/>
      <c r="T5843" s="498"/>
      <c r="U5843" s="498"/>
      <c r="V5843" s="498"/>
      <c r="W5843" s="498"/>
      <c r="X5843" s="498"/>
      <c r="Y5843" s="498"/>
      <c r="Z5843" s="498"/>
      <c r="AA5843" s="498"/>
      <c r="AB5843" s="498"/>
      <c r="AC5843" s="498"/>
      <c r="AD5843" s="498"/>
      <c r="AE5843" s="498"/>
      <c r="AF5843" s="498"/>
      <c r="AG5843" s="498"/>
      <c r="AH5843" s="498"/>
      <c r="AI5843" s="498"/>
      <c r="AK5843" s="498"/>
      <c r="AL5843" s="498"/>
      <c r="AM5843" s="498"/>
      <c r="AN5843" s="498"/>
      <c r="AO5843" s="498"/>
      <c r="AP5843" s="498"/>
      <c r="AQ5843" s="498"/>
      <c r="AR5843" s="498"/>
      <c r="AS5843" s="498"/>
      <c r="AT5843" s="498"/>
      <c r="AU5843" s="498"/>
      <c r="AV5843" s="498"/>
      <c r="AW5843" s="498"/>
      <c r="AX5843" s="498"/>
      <c r="AY5843" s="498"/>
      <c r="AZ5843" s="498"/>
      <c r="BA5843" s="498"/>
    </row>
    <row r="5844" spans="1:53" s="499" customFormat="1" x14ac:dyDescent="0.25">
      <c r="A5844" s="500"/>
      <c r="B5844" s="501"/>
      <c r="C5844" s="502"/>
      <c r="D5844" s="497"/>
      <c r="E5844" s="497"/>
      <c r="F5844" s="502"/>
      <c r="G5844" s="497"/>
      <c r="H5844" s="497"/>
      <c r="I5844" s="497"/>
      <c r="J5844" s="497"/>
      <c r="K5844" s="500"/>
      <c r="L5844" s="497"/>
      <c r="M5844"/>
      <c r="N5844" s="498"/>
      <c r="O5844" s="498"/>
      <c r="P5844" s="498"/>
      <c r="Q5844" s="498"/>
      <c r="R5844" s="498"/>
      <c r="T5844" s="498"/>
      <c r="U5844" s="498"/>
      <c r="V5844" s="498"/>
      <c r="W5844" s="498"/>
      <c r="X5844" s="498"/>
      <c r="Y5844" s="498"/>
      <c r="Z5844" s="498"/>
      <c r="AA5844" s="498"/>
      <c r="AB5844" s="498"/>
      <c r="AC5844" s="498"/>
      <c r="AD5844" s="498"/>
      <c r="AE5844" s="498"/>
      <c r="AF5844" s="498"/>
      <c r="AG5844" s="498"/>
      <c r="AH5844" s="498"/>
      <c r="AI5844" s="498"/>
      <c r="AK5844" s="498"/>
      <c r="AL5844" s="498"/>
      <c r="AM5844" s="498"/>
      <c r="AN5844" s="498"/>
      <c r="AO5844" s="498"/>
      <c r="AP5844" s="498"/>
      <c r="AQ5844" s="498"/>
      <c r="AR5844" s="498"/>
      <c r="AS5844" s="498"/>
      <c r="AT5844" s="498"/>
      <c r="AU5844" s="498"/>
      <c r="AV5844" s="498"/>
      <c r="AW5844" s="498"/>
      <c r="AX5844" s="498"/>
      <c r="AY5844" s="498"/>
      <c r="AZ5844" s="498"/>
      <c r="BA5844" s="498"/>
    </row>
    <row r="5845" spans="1:53" s="499" customFormat="1" x14ac:dyDescent="0.25">
      <c r="A5845" s="500"/>
      <c r="B5845" s="501"/>
      <c r="C5845" s="502"/>
      <c r="D5845" s="497"/>
      <c r="E5845" s="497"/>
      <c r="F5845" s="502"/>
      <c r="G5845" s="497"/>
      <c r="H5845" s="497"/>
      <c r="I5845" s="497"/>
      <c r="J5845" s="497"/>
      <c r="K5845" s="500"/>
      <c r="L5845" s="497"/>
      <c r="M5845"/>
      <c r="N5845" s="498"/>
      <c r="O5845" s="498"/>
      <c r="P5845" s="498"/>
      <c r="Q5845" s="498"/>
      <c r="R5845" s="498"/>
      <c r="T5845" s="498"/>
      <c r="U5845" s="498"/>
      <c r="V5845" s="498"/>
      <c r="W5845" s="498"/>
      <c r="X5845" s="498"/>
      <c r="Y5845" s="498"/>
      <c r="Z5845" s="498"/>
      <c r="AA5845" s="498"/>
      <c r="AB5845" s="498"/>
      <c r="AC5845" s="498"/>
      <c r="AD5845" s="498"/>
      <c r="AE5845" s="498"/>
      <c r="AF5845" s="498"/>
      <c r="AG5845" s="498"/>
      <c r="AH5845" s="498"/>
      <c r="AI5845" s="498"/>
      <c r="AK5845" s="498"/>
      <c r="AL5845" s="498"/>
      <c r="AM5845" s="498"/>
      <c r="AN5845" s="498"/>
      <c r="AO5845" s="498"/>
      <c r="AP5845" s="498"/>
      <c r="AQ5845" s="498"/>
      <c r="AR5845" s="498"/>
      <c r="AS5845" s="498"/>
      <c r="AT5845" s="498"/>
      <c r="AU5845" s="498"/>
      <c r="AV5845" s="498"/>
      <c r="AW5845" s="498"/>
      <c r="AX5845" s="498"/>
      <c r="AY5845" s="498"/>
      <c r="AZ5845" s="498"/>
      <c r="BA5845" s="498"/>
    </row>
    <row r="5846" spans="1:53" s="499" customFormat="1" x14ac:dyDescent="0.25">
      <c r="A5846" s="500"/>
      <c r="B5846" s="501"/>
      <c r="C5846" s="502"/>
      <c r="D5846" s="497"/>
      <c r="E5846" s="497"/>
      <c r="F5846" s="502"/>
      <c r="G5846" s="497"/>
      <c r="H5846" s="497"/>
      <c r="I5846" s="497"/>
      <c r="J5846" s="497"/>
      <c r="K5846" s="500"/>
      <c r="L5846" s="497"/>
      <c r="M5846"/>
      <c r="N5846" s="498"/>
      <c r="O5846" s="498"/>
      <c r="P5846" s="498"/>
      <c r="Q5846" s="498"/>
      <c r="R5846" s="498"/>
      <c r="T5846" s="498"/>
      <c r="U5846" s="498"/>
      <c r="V5846" s="498"/>
      <c r="W5846" s="498"/>
      <c r="X5846" s="498"/>
      <c r="Y5846" s="498"/>
      <c r="Z5846" s="498"/>
      <c r="AA5846" s="498"/>
      <c r="AB5846" s="498"/>
      <c r="AC5846" s="498"/>
      <c r="AD5846" s="498"/>
      <c r="AE5846" s="498"/>
      <c r="AF5846" s="498"/>
      <c r="AG5846" s="498"/>
      <c r="AH5846" s="498"/>
      <c r="AI5846" s="498"/>
      <c r="AK5846" s="498"/>
      <c r="AL5846" s="498"/>
      <c r="AM5846" s="498"/>
      <c r="AN5846" s="498"/>
      <c r="AO5846" s="498"/>
      <c r="AP5846" s="498"/>
      <c r="AQ5846" s="498"/>
      <c r="AR5846" s="498"/>
      <c r="AS5846" s="498"/>
      <c r="AT5846" s="498"/>
      <c r="AU5846" s="498"/>
      <c r="AV5846" s="498"/>
      <c r="AW5846" s="498"/>
      <c r="AX5846" s="498"/>
      <c r="AY5846" s="498"/>
      <c r="AZ5846" s="498"/>
      <c r="BA5846" s="498"/>
    </row>
    <row r="5847" spans="1:53" s="499" customFormat="1" x14ac:dyDescent="0.25">
      <c r="A5847" s="500"/>
      <c r="B5847" s="501"/>
      <c r="C5847" s="502"/>
      <c r="D5847" s="497"/>
      <c r="E5847" s="497"/>
      <c r="F5847" s="502"/>
      <c r="G5847" s="497"/>
      <c r="H5847" s="497"/>
      <c r="I5847" s="497"/>
      <c r="J5847" s="497"/>
      <c r="K5847" s="500"/>
      <c r="L5847" s="497"/>
      <c r="M5847"/>
      <c r="N5847" s="498"/>
      <c r="O5847" s="498"/>
      <c r="P5847" s="498"/>
      <c r="Q5847" s="498"/>
      <c r="R5847" s="498"/>
      <c r="T5847" s="498"/>
      <c r="U5847" s="498"/>
      <c r="V5847" s="498"/>
      <c r="W5847" s="498"/>
      <c r="X5847" s="498"/>
      <c r="Y5847" s="498"/>
      <c r="Z5847" s="498"/>
      <c r="AA5847" s="498"/>
      <c r="AB5847" s="498"/>
      <c r="AC5847" s="498"/>
      <c r="AD5847" s="498"/>
      <c r="AE5847" s="498"/>
      <c r="AF5847" s="498"/>
      <c r="AG5847" s="498"/>
      <c r="AH5847" s="498"/>
      <c r="AI5847" s="498"/>
      <c r="AK5847" s="498"/>
      <c r="AL5847" s="498"/>
      <c r="AM5847" s="498"/>
      <c r="AN5847" s="498"/>
      <c r="AO5847" s="498"/>
      <c r="AP5847" s="498"/>
      <c r="AQ5847" s="498"/>
      <c r="AR5847" s="498"/>
      <c r="AS5847" s="498"/>
      <c r="AT5847" s="498"/>
      <c r="AU5847" s="498"/>
      <c r="AV5847" s="498"/>
      <c r="AW5847" s="498"/>
      <c r="AX5847" s="498"/>
      <c r="AY5847" s="498"/>
      <c r="AZ5847" s="498"/>
      <c r="BA5847" s="498"/>
    </row>
    <row r="5848" spans="1:53" s="499" customFormat="1" x14ac:dyDescent="0.25">
      <c r="A5848" s="500"/>
      <c r="B5848" s="501"/>
      <c r="C5848" s="502"/>
      <c r="D5848" s="497"/>
      <c r="E5848" s="497"/>
      <c r="F5848" s="502"/>
      <c r="G5848" s="497"/>
      <c r="H5848" s="497"/>
      <c r="I5848" s="497"/>
      <c r="J5848" s="497"/>
      <c r="K5848" s="500"/>
      <c r="L5848" s="497"/>
      <c r="M5848"/>
      <c r="N5848" s="498"/>
      <c r="O5848" s="498"/>
      <c r="P5848" s="498"/>
      <c r="Q5848" s="498"/>
      <c r="R5848" s="498"/>
      <c r="T5848" s="498"/>
      <c r="U5848" s="498"/>
      <c r="V5848" s="498"/>
      <c r="W5848" s="498"/>
      <c r="X5848" s="498"/>
      <c r="Y5848" s="498"/>
      <c r="Z5848" s="498"/>
      <c r="AA5848" s="498"/>
      <c r="AB5848" s="498"/>
      <c r="AC5848" s="498"/>
      <c r="AD5848" s="498"/>
      <c r="AE5848" s="498"/>
      <c r="AF5848" s="498"/>
      <c r="AG5848" s="498"/>
      <c r="AH5848" s="498"/>
      <c r="AI5848" s="498"/>
      <c r="AK5848" s="498"/>
      <c r="AL5848" s="498"/>
      <c r="AM5848" s="498"/>
      <c r="AN5848" s="498"/>
      <c r="AO5848" s="498"/>
      <c r="AP5848" s="498"/>
      <c r="AQ5848" s="498"/>
      <c r="AR5848" s="498"/>
      <c r="AS5848" s="498"/>
      <c r="AT5848" s="498"/>
      <c r="AU5848" s="498"/>
      <c r="AV5848" s="498"/>
      <c r="AW5848" s="498"/>
      <c r="AX5848" s="498"/>
      <c r="AY5848" s="498"/>
      <c r="AZ5848" s="498"/>
      <c r="BA5848" s="498"/>
    </row>
    <row r="5849" spans="1:53" s="499" customFormat="1" x14ac:dyDescent="0.25">
      <c r="A5849" s="500"/>
      <c r="B5849" s="501"/>
      <c r="C5849" s="502"/>
      <c r="D5849" s="497"/>
      <c r="E5849" s="497"/>
      <c r="F5849" s="502"/>
      <c r="G5849" s="497"/>
      <c r="H5849" s="497"/>
      <c r="I5849" s="497"/>
      <c r="J5849" s="497"/>
      <c r="K5849" s="500"/>
      <c r="L5849" s="497"/>
      <c r="M5849"/>
      <c r="N5849" s="498"/>
      <c r="O5849" s="498"/>
      <c r="P5849" s="498"/>
      <c r="Q5849" s="498"/>
      <c r="R5849" s="498"/>
      <c r="T5849" s="498"/>
      <c r="U5849" s="498"/>
      <c r="V5849" s="498"/>
      <c r="W5849" s="498"/>
      <c r="X5849" s="498"/>
      <c r="Y5849" s="498"/>
      <c r="Z5849" s="498"/>
      <c r="AA5849" s="498"/>
      <c r="AB5849" s="498"/>
      <c r="AC5849" s="498"/>
      <c r="AD5849" s="498"/>
      <c r="AE5849" s="498"/>
      <c r="AF5849" s="498"/>
      <c r="AG5849" s="498"/>
      <c r="AH5849" s="498"/>
      <c r="AI5849" s="498"/>
      <c r="AK5849" s="498"/>
      <c r="AL5849" s="498"/>
      <c r="AM5849" s="498"/>
      <c r="AN5849" s="498"/>
      <c r="AO5849" s="498"/>
      <c r="AP5849" s="498"/>
      <c r="AQ5849" s="498"/>
      <c r="AR5849" s="498"/>
      <c r="AS5849" s="498"/>
      <c r="AT5849" s="498"/>
      <c r="AU5849" s="498"/>
      <c r="AV5849" s="498"/>
      <c r="AW5849" s="498"/>
      <c r="AX5849" s="498"/>
      <c r="AY5849" s="498"/>
      <c r="AZ5849" s="498"/>
      <c r="BA5849" s="498"/>
    </row>
    <row r="5850" spans="1:53" s="499" customFormat="1" x14ac:dyDescent="0.25">
      <c r="A5850" s="500"/>
      <c r="B5850" s="501"/>
      <c r="C5850" s="502"/>
      <c r="D5850" s="497"/>
      <c r="E5850" s="497"/>
      <c r="F5850" s="502"/>
      <c r="G5850" s="497"/>
      <c r="H5850" s="497"/>
      <c r="I5850" s="497"/>
      <c r="J5850" s="497"/>
      <c r="K5850" s="500"/>
      <c r="L5850" s="497"/>
      <c r="M5850"/>
      <c r="N5850" s="498"/>
      <c r="O5850" s="498"/>
      <c r="P5850" s="498"/>
      <c r="Q5850" s="498"/>
      <c r="R5850" s="498"/>
      <c r="T5850" s="498"/>
      <c r="U5850" s="498"/>
      <c r="V5850" s="498"/>
      <c r="W5850" s="498"/>
      <c r="X5850" s="498"/>
      <c r="Y5850" s="498"/>
      <c r="Z5850" s="498"/>
      <c r="AA5850" s="498"/>
      <c r="AB5850" s="498"/>
      <c r="AC5850" s="498"/>
      <c r="AD5850" s="498"/>
      <c r="AE5850" s="498"/>
      <c r="AF5850" s="498"/>
      <c r="AG5850" s="498"/>
      <c r="AH5850" s="498"/>
      <c r="AI5850" s="498"/>
      <c r="AK5850" s="498"/>
      <c r="AL5850" s="498"/>
      <c r="AM5850" s="498"/>
      <c r="AN5850" s="498"/>
      <c r="AO5850" s="498"/>
      <c r="AP5850" s="498"/>
      <c r="AQ5850" s="498"/>
      <c r="AR5850" s="498"/>
      <c r="AS5850" s="498"/>
      <c r="AT5850" s="498"/>
      <c r="AU5850" s="498"/>
      <c r="AV5850" s="498"/>
      <c r="AW5850" s="498"/>
      <c r="AX5850" s="498"/>
      <c r="AY5850" s="498"/>
      <c r="AZ5850" s="498"/>
      <c r="BA5850" s="498"/>
    </row>
    <row r="5851" spans="1:53" s="499" customFormat="1" x14ac:dyDescent="0.25">
      <c r="A5851" s="500"/>
      <c r="B5851" s="501"/>
      <c r="C5851" s="502"/>
      <c r="D5851" s="497"/>
      <c r="E5851" s="497"/>
      <c r="F5851" s="502"/>
      <c r="G5851" s="497"/>
      <c r="H5851" s="497"/>
      <c r="I5851" s="497"/>
      <c r="J5851" s="497"/>
      <c r="K5851" s="500"/>
      <c r="L5851" s="497"/>
      <c r="M5851"/>
      <c r="N5851" s="498"/>
      <c r="O5851" s="498"/>
      <c r="P5851" s="498"/>
      <c r="Q5851" s="498"/>
      <c r="R5851" s="498"/>
      <c r="T5851" s="498"/>
      <c r="U5851" s="498"/>
      <c r="V5851" s="498"/>
      <c r="W5851" s="498"/>
      <c r="X5851" s="498"/>
      <c r="Y5851" s="498"/>
      <c r="Z5851" s="498"/>
      <c r="AA5851" s="498"/>
      <c r="AB5851" s="498"/>
      <c r="AC5851" s="498"/>
      <c r="AD5851" s="498"/>
      <c r="AE5851" s="498"/>
      <c r="AF5851" s="498"/>
      <c r="AG5851" s="498"/>
      <c r="AH5851" s="498"/>
      <c r="AI5851" s="498"/>
      <c r="AK5851" s="498"/>
      <c r="AL5851" s="498"/>
      <c r="AM5851" s="498"/>
      <c r="AN5851" s="498"/>
      <c r="AO5851" s="498"/>
      <c r="AP5851" s="498"/>
      <c r="AQ5851" s="498"/>
      <c r="AR5851" s="498"/>
      <c r="AS5851" s="498"/>
      <c r="AT5851" s="498"/>
      <c r="AU5851" s="498"/>
      <c r="AV5851" s="498"/>
      <c r="AW5851" s="498"/>
      <c r="AX5851" s="498"/>
      <c r="AY5851" s="498"/>
      <c r="AZ5851" s="498"/>
      <c r="BA5851" s="498"/>
    </row>
    <row r="5852" spans="1:53" s="499" customFormat="1" x14ac:dyDescent="0.25">
      <c r="A5852" s="500"/>
      <c r="B5852" s="501"/>
      <c r="C5852" s="502"/>
      <c r="D5852" s="497"/>
      <c r="E5852" s="497"/>
      <c r="F5852" s="502"/>
      <c r="G5852" s="497"/>
      <c r="H5852" s="497"/>
      <c r="I5852" s="497"/>
      <c r="J5852" s="497"/>
      <c r="K5852" s="500"/>
      <c r="L5852" s="497"/>
      <c r="M5852"/>
      <c r="N5852" s="498"/>
      <c r="O5852" s="498"/>
      <c r="P5852" s="498"/>
      <c r="Q5852" s="498"/>
      <c r="R5852" s="498"/>
      <c r="T5852" s="498"/>
      <c r="U5852" s="498"/>
      <c r="V5852" s="498"/>
      <c r="W5852" s="498"/>
      <c r="X5852" s="498"/>
      <c r="Y5852" s="498"/>
      <c r="Z5852" s="498"/>
      <c r="AA5852" s="498"/>
      <c r="AB5852" s="498"/>
      <c r="AC5852" s="498"/>
      <c r="AD5852" s="498"/>
      <c r="AE5852" s="498"/>
      <c r="AF5852" s="498"/>
      <c r="AG5852" s="498"/>
      <c r="AH5852" s="498"/>
      <c r="AI5852" s="498"/>
      <c r="AK5852" s="498"/>
      <c r="AL5852" s="498"/>
      <c r="AM5852" s="498"/>
      <c r="AN5852" s="498"/>
      <c r="AO5852" s="498"/>
      <c r="AP5852" s="498"/>
      <c r="AQ5852" s="498"/>
      <c r="AR5852" s="498"/>
      <c r="AS5852" s="498"/>
      <c r="AT5852" s="498"/>
      <c r="AU5852" s="498"/>
      <c r="AV5852" s="498"/>
      <c r="AW5852" s="498"/>
      <c r="AX5852" s="498"/>
      <c r="AY5852" s="498"/>
      <c r="AZ5852" s="498"/>
      <c r="BA5852" s="498"/>
    </row>
    <row r="5853" spans="1:53" s="499" customFormat="1" x14ac:dyDescent="0.25">
      <c r="A5853" s="500"/>
      <c r="B5853" s="501"/>
      <c r="C5853" s="502"/>
      <c r="D5853" s="497"/>
      <c r="E5853" s="497"/>
      <c r="F5853" s="502"/>
      <c r="G5853" s="497"/>
      <c r="H5853" s="497"/>
      <c r="I5853" s="497"/>
      <c r="J5853" s="497"/>
      <c r="K5853" s="500"/>
      <c r="L5853" s="497"/>
      <c r="M5853"/>
      <c r="N5853" s="498"/>
      <c r="O5853" s="498"/>
      <c r="P5853" s="498"/>
      <c r="Q5853" s="498"/>
      <c r="R5853" s="498"/>
      <c r="T5853" s="498"/>
      <c r="U5853" s="498"/>
      <c r="V5853" s="498"/>
      <c r="W5853" s="498"/>
      <c r="X5853" s="498"/>
      <c r="Y5853" s="498"/>
      <c r="Z5853" s="498"/>
      <c r="AA5853" s="498"/>
      <c r="AB5853" s="498"/>
      <c r="AC5853" s="498"/>
      <c r="AD5853" s="498"/>
      <c r="AE5853" s="498"/>
      <c r="AF5853" s="498"/>
      <c r="AG5853" s="498"/>
      <c r="AH5853" s="498"/>
      <c r="AI5853" s="498"/>
      <c r="AK5853" s="498"/>
      <c r="AL5853" s="498"/>
      <c r="AM5853" s="498"/>
      <c r="AN5853" s="498"/>
      <c r="AO5853" s="498"/>
      <c r="AP5853" s="498"/>
      <c r="AQ5853" s="498"/>
      <c r="AR5853" s="498"/>
      <c r="AS5853" s="498"/>
      <c r="AT5853" s="498"/>
      <c r="AU5853" s="498"/>
      <c r="AV5853" s="498"/>
      <c r="AW5853" s="498"/>
      <c r="AX5853" s="498"/>
      <c r="AY5853" s="498"/>
      <c r="AZ5853" s="498"/>
      <c r="BA5853" s="498"/>
    </row>
    <row r="5854" spans="1:53" s="499" customFormat="1" x14ac:dyDescent="0.25">
      <c r="A5854" s="500"/>
      <c r="B5854" s="501"/>
      <c r="C5854" s="502"/>
      <c r="D5854" s="497"/>
      <c r="E5854" s="497"/>
      <c r="F5854" s="502"/>
      <c r="G5854" s="497"/>
      <c r="H5854" s="497"/>
      <c r="I5854" s="497"/>
      <c r="J5854" s="497"/>
      <c r="K5854" s="500"/>
      <c r="L5854" s="497"/>
      <c r="M5854"/>
      <c r="N5854" s="498"/>
      <c r="O5854" s="498"/>
      <c r="P5854" s="498"/>
      <c r="Q5854" s="498"/>
      <c r="R5854" s="498"/>
      <c r="T5854" s="498"/>
      <c r="U5854" s="498"/>
      <c r="V5854" s="498"/>
      <c r="W5854" s="498"/>
      <c r="X5854" s="498"/>
      <c r="Y5854" s="498"/>
      <c r="Z5854" s="498"/>
      <c r="AA5854" s="498"/>
      <c r="AB5854" s="498"/>
      <c r="AC5854" s="498"/>
      <c r="AD5854" s="498"/>
      <c r="AE5854" s="498"/>
      <c r="AF5854" s="498"/>
      <c r="AG5854" s="498"/>
      <c r="AH5854" s="498"/>
      <c r="AI5854" s="498"/>
      <c r="AK5854" s="498"/>
      <c r="AL5854" s="498"/>
      <c r="AM5854" s="498"/>
      <c r="AN5854" s="498"/>
      <c r="AO5854" s="498"/>
      <c r="AP5854" s="498"/>
      <c r="AQ5854" s="498"/>
      <c r="AR5854" s="498"/>
      <c r="AS5854" s="498"/>
      <c r="AT5854" s="498"/>
      <c r="AU5854" s="498"/>
      <c r="AV5854" s="498"/>
      <c r="AW5854" s="498"/>
      <c r="AX5854" s="498"/>
      <c r="AY5854" s="498"/>
      <c r="AZ5854" s="498"/>
      <c r="BA5854" s="498"/>
    </row>
    <row r="5855" spans="1:53" s="499" customFormat="1" x14ac:dyDescent="0.25">
      <c r="A5855" s="500"/>
      <c r="B5855" s="501"/>
      <c r="C5855" s="502"/>
      <c r="D5855" s="497"/>
      <c r="E5855" s="497"/>
      <c r="F5855" s="502"/>
      <c r="G5855" s="497"/>
      <c r="H5855" s="497"/>
      <c r="I5855" s="497"/>
      <c r="J5855" s="497"/>
      <c r="K5855" s="500"/>
      <c r="L5855" s="497"/>
      <c r="M5855"/>
      <c r="N5855" s="498"/>
      <c r="O5855" s="498"/>
      <c r="P5855" s="498"/>
      <c r="Q5855" s="498"/>
      <c r="R5855" s="498"/>
      <c r="T5855" s="498"/>
      <c r="U5855" s="498"/>
      <c r="V5855" s="498"/>
      <c r="W5855" s="498"/>
      <c r="X5855" s="498"/>
      <c r="Y5855" s="498"/>
      <c r="Z5855" s="498"/>
      <c r="AA5855" s="498"/>
      <c r="AB5855" s="498"/>
      <c r="AC5855" s="498"/>
      <c r="AD5855" s="498"/>
      <c r="AE5855" s="498"/>
      <c r="AF5855" s="498"/>
      <c r="AG5855" s="498"/>
      <c r="AH5855" s="498"/>
      <c r="AI5855" s="498"/>
      <c r="AK5855" s="498"/>
      <c r="AL5855" s="498"/>
      <c r="AM5855" s="498"/>
      <c r="AN5855" s="498"/>
      <c r="AO5855" s="498"/>
      <c r="AP5855" s="498"/>
      <c r="AQ5855" s="498"/>
      <c r="AR5855" s="498"/>
      <c r="AS5855" s="498"/>
      <c r="AT5855" s="498"/>
      <c r="AU5855" s="498"/>
      <c r="AV5855" s="498"/>
      <c r="AW5855" s="498"/>
      <c r="AX5855" s="498"/>
      <c r="AY5855" s="498"/>
      <c r="AZ5855" s="498"/>
      <c r="BA5855" s="498"/>
    </row>
    <row r="5856" spans="1:53" s="499" customFormat="1" x14ac:dyDescent="0.25">
      <c r="A5856" s="500"/>
      <c r="B5856" s="501"/>
      <c r="C5856" s="502"/>
      <c r="D5856" s="497"/>
      <c r="E5856" s="497"/>
      <c r="F5856" s="502"/>
      <c r="G5856" s="497"/>
      <c r="H5856" s="497"/>
      <c r="I5856" s="497"/>
      <c r="J5856" s="497"/>
      <c r="K5856" s="500"/>
      <c r="L5856" s="497"/>
      <c r="M5856"/>
      <c r="N5856" s="498"/>
      <c r="O5856" s="498"/>
      <c r="P5856" s="498"/>
      <c r="Q5856" s="498"/>
      <c r="R5856" s="498"/>
      <c r="T5856" s="498"/>
      <c r="U5856" s="498"/>
      <c r="V5856" s="498"/>
      <c r="W5856" s="498"/>
      <c r="X5856" s="498"/>
      <c r="Y5856" s="498"/>
      <c r="Z5856" s="498"/>
      <c r="AA5856" s="498"/>
      <c r="AB5856" s="498"/>
      <c r="AC5856" s="498"/>
      <c r="AD5856" s="498"/>
      <c r="AE5856" s="498"/>
      <c r="AF5856" s="498"/>
      <c r="AG5856" s="498"/>
      <c r="AH5856" s="498"/>
      <c r="AI5856" s="498"/>
      <c r="AK5856" s="498"/>
      <c r="AL5856" s="498"/>
      <c r="AM5856" s="498"/>
      <c r="AN5856" s="498"/>
      <c r="AO5856" s="498"/>
      <c r="AP5856" s="498"/>
      <c r="AQ5856" s="498"/>
      <c r="AR5856" s="498"/>
      <c r="AS5856" s="498"/>
      <c r="AT5856" s="498"/>
      <c r="AU5856" s="498"/>
      <c r="AV5856" s="498"/>
      <c r="AW5856" s="498"/>
      <c r="AX5856" s="498"/>
      <c r="AY5856" s="498"/>
      <c r="AZ5856" s="498"/>
      <c r="BA5856" s="498"/>
    </row>
    <row r="5857" spans="1:53" s="499" customFormat="1" x14ac:dyDescent="0.25">
      <c r="A5857" s="500"/>
      <c r="B5857" s="501"/>
      <c r="C5857" s="502"/>
      <c r="D5857" s="497"/>
      <c r="E5857" s="497"/>
      <c r="F5857" s="502"/>
      <c r="G5857" s="497"/>
      <c r="H5857" s="497"/>
      <c r="I5857" s="497"/>
      <c r="J5857" s="497"/>
      <c r="K5857" s="500"/>
      <c r="L5857" s="497"/>
      <c r="M5857"/>
      <c r="N5857" s="498"/>
      <c r="O5857" s="498"/>
      <c r="P5857" s="498"/>
      <c r="Q5857" s="498"/>
      <c r="R5857" s="498"/>
      <c r="T5857" s="498"/>
      <c r="U5857" s="498"/>
      <c r="V5857" s="498"/>
      <c r="W5857" s="498"/>
      <c r="X5857" s="498"/>
      <c r="Y5857" s="498"/>
      <c r="Z5857" s="498"/>
      <c r="AA5857" s="498"/>
      <c r="AB5857" s="498"/>
      <c r="AC5857" s="498"/>
      <c r="AD5857" s="498"/>
      <c r="AE5857" s="498"/>
      <c r="AF5857" s="498"/>
      <c r="AG5857" s="498"/>
      <c r="AH5857" s="498"/>
      <c r="AI5857" s="498"/>
      <c r="AK5857" s="498"/>
      <c r="AL5857" s="498"/>
      <c r="AM5857" s="498"/>
      <c r="AN5857" s="498"/>
      <c r="AO5857" s="498"/>
      <c r="AP5857" s="498"/>
      <c r="AQ5857" s="498"/>
      <c r="AR5857" s="498"/>
      <c r="AS5857" s="498"/>
      <c r="AT5857" s="498"/>
      <c r="AU5857" s="498"/>
      <c r="AV5857" s="498"/>
      <c r="AW5857" s="498"/>
      <c r="AX5857" s="498"/>
      <c r="AY5857" s="498"/>
      <c r="AZ5857" s="498"/>
      <c r="BA5857" s="498"/>
    </row>
    <row r="5858" spans="1:53" s="499" customFormat="1" x14ac:dyDescent="0.25">
      <c r="A5858" s="500"/>
      <c r="B5858" s="501"/>
      <c r="C5858" s="502"/>
      <c r="D5858" s="497"/>
      <c r="E5858" s="497"/>
      <c r="F5858" s="502"/>
      <c r="G5858" s="497"/>
      <c r="H5858" s="497"/>
      <c r="I5858" s="497"/>
      <c r="J5858" s="497"/>
      <c r="K5858" s="500"/>
      <c r="L5858" s="497"/>
      <c r="M5858"/>
      <c r="N5858" s="498"/>
      <c r="O5858" s="498"/>
      <c r="P5858" s="498"/>
      <c r="Q5858" s="498"/>
      <c r="R5858" s="498"/>
      <c r="T5858" s="498"/>
      <c r="U5858" s="498"/>
      <c r="V5858" s="498"/>
      <c r="W5858" s="498"/>
      <c r="X5858" s="498"/>
      <c r="Y5858" s="498"/>
      <c r="Z5858" s="498"/>
      <c r="AA5858" s="498"/>
      <c r="AB5858" s="498"/>
      <c r="AC5858" s="498"/>
      <c r="AD5858" s="498"/>
      <c r="AE5858" s="498"/>
      <c r="AF5858" s="498"/>
      <c r="AG5858" s="498"/>
      <c r="AH5858" s="498"/>
      <c r="AI5858" s="498"/>
      <c r="AK5858" s="498"/>
      <c r="AL5858" s="498"/>
      <c r="AM5858" s="498"/>
      <c r="AN5858" s="498"/>
      <c r="AO5858" s="498"/>
      <c r="AP5858" s="498"/>
      <c r="AQ5858" s="498"/>
      <c r="AR5858" s="498"/>
      <c r="AS5858" s="498"/>
      <c r="AT5858" s="498"/>
      <c r="AU5858" s="498"/>
      <c r="AV5858" s="498"/>
      <c r="AW5858" s="498"/>
      <c r="AX5858" s="498"/>
      <c r="AY5858" s="498"/>
      <c r="AZ5858" s="498"/>
      <c r="BA5858" s="498"/>
    </row>
    <row r="5859" spans="1:53" s="499" customFormat="1" x14ac:dyDescent="0.25">
      <c r="A5859" s="500"/>
      <c r="B5859" s="501"/>
      <c r="C5859" s="502"/>
      <c r="D5859" s="497"/>
      <c r="E5859" s="497"/>
      <c r="F5859" s="502"/>
      <c r="G5859" s="497"/>
      <c r="H5859" s="497"/>
      <c r="I5859" s="497"/>
      <c r="J5859" s="497"/>
      <c r="K5859" s="500"/>
      <c r="L5859" s="497"/>
      <c r="M5859"/>
      <c r="N5859" s="498"/>
      <c r="O5859" s="498"/>
      <c r="P5859" s="498"/>
      <c r="Q5859" s="498"/>
      <c r="R5859" s="498"/>
      <c r="T5859" s="498"/>
      <c r="U5859" s="498"/>
      <c r="V5859" s="498"/>
      <c r="W5859" s="498"/>
      <c r="X5859" s="498"/>
      <c r="Y5859" s="498"/>
      <c r="Z5859" s="498"/>
      <c r="AA5859" s="498"/>
      <c r="AB5859" s="498"/>
      <c r="AC5859" s="498"/>
      <c r="AD5859" s="498"/>
      <c r="AE5859" s="498"/>
      <c r="AF5859" s="498"/>
      <c r="AG5859" s="498"/>
      <c r="AH5859" s="498"/>
      <c r="AI5859" s="498"/>
      <c r="AK5859" s="498"/>
      <c r="AL5859" s="498"/>
      <c r="AM5859" s="498"/>
      <c r="AN5859" s="498"/>
      <c r="AO5859" s="498"/>
      <c r="AP5859" s="498"/>
      <c r="AQ5859" s="498"/>
      <c r="AR5859" s="498"/>
      <c r="AS5859" s="498"/>
      <c r="AT5859" s="498"/>
      <c r="AU5859" s="498"/>
      <c r="AV5859" s="498"/>
      <c r="AW5859" s="498"/>
      <c r="AX5859" s="498"/>
      <c r="AY5859" s="498"/>
      <c r="AZ5859" s="498"/>
      <c r="BA5859" s="498"/>
    </row>
    <row r="5860" spans="1:53" s="499" customFormat="1" x14ac:dyDescent="0.25">
      <c r="A5860" s="500"/>
      <c r="B5860" s="501"/>
      <c r="C5860" s="502"/>
      <c r="D5860" s="497"/>
      <c r="E5860" s="497"/>
      <c r="F5860" s="502"/>
      <c r="G5860" s="497"/>
      <c r="H5860" s="497"/>
      <c r="I5860" s="497"/>
      <c r="J5860" s="497"/>
      <c r="K5860" s="500"/>
      <c r="L5860" s="497"/>
      <c r="M5860"/>
      <c r="N5860" s="498"/>
      <c r="O5860" s="498"/>
      <c r="P5860" s="498"/>
      <c r="Q5860" s="498"/>
      <c r="R5860" s="498"/>
      <c r="T5860" s="498"/>
      <c r="U5860" s="498"/>
      <c r="V5860" s="498"/>
      <c r="W5860" s="498"/>
      <c r="X5860" s="498"/>
      <c r="Y5860" s="498"/>
      <c r="Z5860" s="498"/>
      <c r="AA5860" s="498"/>
      <c r="AB5860" s="498"/>
      <c r="AC5860" s="498"/>
      <c r="AD5860" s="498"/>
      <c r="AE5860" s="498"/>
      <c r="AF5860" s="498"/>
      <c r="AG5860" s="498"/>
      <c r="AH5860" s="498"/>
      <c r="AI5860" s="498"/>
      <c r="AK5860" s="498"/>
      <c r="AL5860" s="498"/>
      <c r="AM5860" s="498"/>
      <c r="AN5860" s="498"/>
      <c r="AO5860" s="498"/>
      <c r="AP5860" s="498"/>
      <c r="AQ5860" s="498"/>
      <c r="AR5860" s="498"/>
      <c r="AS5860" s="498"/>
      <c r="AT5860" s="498"/>
      <c r="AU5860" s="498"/>
      <c r="AV5860" s="498"/>
      <c r="AW5860" s="498"/>
      <c r="AX5860" s="498"/>
      <c r="AY5860" s="498"/>
      <c r="AZ5860" s="498"/>
      <c r="BA5860" s="498"/>
    </row>
    <row r="5861" spans="1:53" s="499" customFormat="1" x14ac:dyDescent="0.25">
      <c r="A5861" s="500"/>
      <c r="B5861" s="501"/>
      <c r="C5861" s="502"/>
      <c r="D5861" s="497"/>
      <c r="E5861" s="497"/>
      <c r="F5861" s="502"/>
      <c r="G5861" s="497"/>
      <c r="H5861" s="497"/>
      <c r="I5861" s="497"/>
      <c r="J5861" s="497"/>
      <c r="K5861" s="500"/>
      <c r="L5861" s="497"/>
      <c r="M5861"/>
      <c r="N5861" s="498"/>
      <c r="O5861" s="498"/>
      <c r="P5861" s="498"/>
      <c r="Q5861" s="498"/>
      <c r="R5861" s="498"/>
      <c r="T5861" s="498"/>
      <c r="U5861" s="498"/>
      <c r="V5861" s="498"/>
      <c r="W5861" s="498"/>
      <c r="X5861" s="498"/>
      <c r="Y5861" s="498"/>
      <c r="Z5861" s="498"/>
      <c r="AA5861" s="498"/>
      <c r="AB5861" s="498"/>
      <c r="AC5861" s="498"/>
      <c r="AD5861" s="498"/>
      <c r="AE5861" s="498"/>
      <c r="AF5861" s="498"/>
      <c r="AG5861" s="498"/>
      <c r="AH5861" s="498"/>
      <c r="AI5861" s="498"/>
      <c r="AK5861" s="498"/>
      <c r="AL5861" s="498"/>
      <c r="AM5861" s="498"/>
      <c r="AN5861" s="498"/>
      <c r="AO5861" s="498"/>
      <c r="AP5861" s="498"/>
      <c r="AQ5861" s="498"/>
      <c r="AR5861" s="498"/>
      <c r="AS5861" s="498"/>
      <c r="AT5861" s="498"/>
      <c r="AU5861" s="498"/>
      <c r="AV5861" s="498"/>
      <c r="AW5861" s="498"/>
      <c r="AX5861" s="498"/>
      <c r="AY5861" s="498"/>
      <c r="AZ5861" s="498"/>
      <c r="BA5861" s="498"/>
    </row>
    <row r="5862" spans="1:53" s="499" customFormat="1" x14ac:dyDescent="0.25">
      <c r="A5862" s="500"/>
      <c r="B5862" s="501"/>
      <c r="C5862" s="502"/>
      <c r="D5862" s="497"/>
      <c r="E5862" s="497"/>
      <c r="F5862" s="502"/>
      <c r="G5862" s="497"/>
      <c r="H5862" s="497"/>
      <c r="I5862" s="497"/>
      <c r="J5862" s="497"/>
      <c r="K5862" s="500"/>
      <c r="L5862" s="497"/>
      <c r="M5862"/>
      <c r="N5862" s="498"/>
      <c r="O5862" s="498"/>
      <c r="P5862" s="498"/>
      <c r="Q5862" s="498"/>
      <c r="R5862" s="498"/>
      <c r="T5862" s="498"/>
      <c r="U5862" s="498"/>
      <c r="V5862" s="498"/>
      <c r="W5862" s="498"/>
      <c r="X5862" s="498"/>
      <c r="Y5862" s="498"/>
      <c r="Z5862" s="498"/>
      <c r="AA5862" s="498"/>
      <c r="AB5862" s="498"/>
      <c r="AC5862" s="498"/>
      <c r="AD5862" s="498"/>
      <c r="AE5862" s="498"/>
      <c r="AF5862" s="498"/>
      <c r="AG5862" s="498"/>
      <c r="AH5862" s="498"/>
      <c r="AI5862" s="498"/>
      <c r="AK5862" s="498"/>
      <c r="AL5862" s="498"/>
      <c r="AM5862" s="498"/>
      <c r="AN5862" s="498"/>
      <c r="AO5862" s="498"/>
      <c r="AP5862" s="498"/>
      <c r="AQ5862" s="498"/>
      <c r="AR5862" s="498"/>
      <c r="AS5862" s="498"/>
      <c r="AT5862" s="498"/>
      <c r="AU5862" s="498"/>
      <c r="AV5862" s="498"/>
      <c r="AW5862" s="498"/>
      <c r="AX5862" s="498"/>
      <c r="AY5862" s="498"/>
      <c r="AZ5862" s="498"/>
      <c r="BA5862" s="498"/>
    </row>
    <row r="5863" spans="1:53" s="499" customFormat="1" x14ac:dyDescent="0.25">
      <c r="A5863" s="500"/>
      <c r="B5863" s="501"/>
      <c r="C5863" s="502"/>
      <c r="D5863" s="497"/>
      <c r="E5863" s="497"/>
      <c r="F5863" s="502"/>
      <c r="G5863" s="497"/>
      <c r="H5863" s="497"/>
      <c r="I5863" s="497"/>
      <c r="J5863" s="497"/>
      <c r="K5863" s="500"/>
      <c r="L5863" s="497"/>
      <c r="M5863"/>
      <c r="N5863" s="498"/>
      <c r="O5863" s="498"/>
      <c r="P5863" s="498"/>
      <c r="Q5863" s="498"/>
      <c r="R5863" s="498"/>
      <c r="T5863" s="498"/>
      <c r="U5863" s="498"/>
      <c r="V5863" s="498"/>
      <c r="W5863" s="498"/>
      <c r="X5863" s="498"/>
      <c r="Y5863" s="498"/>
      <c r="Z5863" s="498"/>
      <c r="AA5863" s="498"/>
      <c r="AB5863" s="498"/>
      <c r="AC5863" s="498"/>
      <c r="AD5863" s="498"/>
      <c r="AE5863" s="498"/>
      <c r="AF5863" s="498"/>
      <c r="AG5863" s="498"/>
      <c r="AH5863" s="498"/>
      <c r="AI5863" s="498"/>
      <c r="AK5863" s="498"/>
      <c r="AL5863" s="498"/>
      <c r="AM5863" s="498"/>
      <c r="AN5863" s="498"/>
      <c r="AO5863" s="498"/>
      <c r="AP5863" s="498"/>
      <c r="AQ5863" s="498"/>
      <c r="AR5863" s="498"/>
      <c r="AS5863" s="498"/>
      <c r="AT5863" s="498"/>
      <c r="AU5863" s="498"/>
      <c r="AV5863" s="498"/>
      <c r="AW5863" s="498"/>
      <c r="AX5863" s="498"/>
      <c r="AY5863" s="498"/>
      <c r="AZ5863" s="498"/>
      <c r="BA5863" s="498"/>
    </row>
    <row r="5864" spans="1:53" s="499" customFormat="1" x14ac:dyDescent="0.25">
      <c r="A5864" s="500"/>
      <c r="B5864" s="501"/>
      <c r="C5864" s="502"/>
      <c r="D5864" s="497"/>
      <c r="E5864" s="497"/>
      <c r="F5864" s="502"/>
      <c r="G5864" s="497"/>
      <c r="H5864" s="497"/>
      <c r="I5864" s="497"/>
      <c r="J5864" s="497"/>
      <c r="K5864" s="500"/>
      <c r="L5864" s="497"/>
      <c r="M5864"/>
      <c r="N5864" s="498"/>
      <c r="O5864" s="498"/>
      <c r="P5864" s="498"/>
      <c r="Q5864" s="498"/>
      <c r="R5864" s="498"/>
      <c r="T5864" s="498"/>
      <c r="U5864" s="498"/>
      <c r="V5864" s="498"/>
      <c r="W5864" s="498"/>
      <c r="X5864" s="498"/>
      <c r="Y5864" s="498"/>
      <c r="Z5864" s="498"/>
      <c r="AA5864" s="498"/>
      <c r="AB5864" s="498"/>
      <c r="AC5864" s="498"/>
      <c r="AD5864" s="498"/>
      <c r="AE5864" s="498"/>
      <c r="AF5864" s="498"/>
      <c r="AG5864" s="498"/>
      <c r="AH5864" s="498"/>
      <c r="AI5864" s="498"/>
      <c r="AK5864" s="498"/>
      <c r="AL5864" s="498"/>
      <c r="AM5864" s="498"/>
      <c r="AN5864" s="498"/>
      <c r="AO5864" s="498"/>
      <c r="AP5864" s="498"/>
      <c r="AQ5864" s="498"/>
      <c r="AR5864" s="498"/>
      <c r="AS5864" s="498"/>
      <c r="AT5864" s="498"/>
      <c r="AU5864" s="498"/>
      <c r="AV5864" s="498"/>
      <c r="AW5864" s="498"/>
      <c r="AX5864" s="498"/>
      <c r="AY5864" s="498"/>
      <c r="AZ5864" s="498"/>
      <c r="BA5864" s="498"/>
    </row>
    <row r="5865" spans="1:53" s="499" customFormat="1" x14ac:dyDescent="0.25">
      <c r="A5865" s="500"/>
      <c r="B5865" s="501"/>
      <c r="C5865" s="502"/>
      <c r="D5865" s="497"/>
      <c r="E5865" s="497"/>
      <c r="F5865" s="502"/>
      <c r="G5865" s="497"/>
      <c r="H5865" s="497"/>
      <c r="I5865" s="497"/>
      <c r="J5865" s="497"/>
      <c r="K5865" s="500"/>
      <c r="L5865" s="497"/>
      <c r="M5865"/>
      <c r="N5865" s="498"/>
      <c r="O5865" s="498"/>
      <c r="P5865" s="498"/>
      <c r="Q5865" s="498"/>
      <c r="R5865" s="498"/>
      <c r="T5865" s="498"/>
      <c r="U5865" s="498"/>
      <c r="V5865" s="498"/>
      <c r="W5865" s="498"/>
      <c r="X5865" s="498"/>
      <c r="Y5865" s="498"/>
      <c r="Z5865" s="498"/>
      <c r="AA5865" s="498"/>
      <c r="AB5865" s="498"/>
      <c r="AC5865" s="498"/>
      <c r="AD5865" s="498"/>
      <c r="AE5865" s="498"/>
      <c r="AF5865" s="498"/>
      <c r="AG5865" s="498"/>
      <c r="AH5865" s="498"/>
      <c r="AI5865" s="498"/>
      <c r="AK5865" s="498"/>
      <c r="AL5865" s="498"/>
      <c r="AM5865" s="498"/>
      <c r="AN5865" s="498"/>
      <c r="AO5865" s="498"/>
      <c r="AP5865" s="498"/>
      <c r="AQ5865" s="498"/>
      <c r="AR5865" s="498"/>
      <c r="AS5865" s="498"/>
      <c r="AT5865" s="498"/>
      <c r="AU5865" s="498"/>
      <c r="AV5865" s="498"/>
      <c r="AW5865" s="498"/>
      <c r="AX5865" s="498"/>
      <c r="AY5865" s="498"/>
      <c r="AZ5865" s="498"/>
      <c r="BA5865" s="498"/>
    </row>
    <row r="5866" spans="1:53" s="499" customFormat="1" x14ac:dyDescent="0.25">
      <c r="A5866" s="500"/>
      <c r="B5866" s="501"/>
      <c r="C5866" s="502"/>
      <c r="D5866" s="497"/>
      <c r="E5866" s="497"/>
      <c r="F5866" s="502"/>
      <c r="G5866" s="497"/>
      <c r="H5866" s="497"/>
      <c r="I5866" s="497"/>
      <c r="J5866" s="497"/>
      <c r="K5866" s="500"/>
      <c r="L5866" s="497"/>
      <c r="M5866"/>
      <c r="N5866" s="498"/>
      <c r="O5866" s="498"/>
      <c r="P5866" s="498"/>
      <c r="Q5866" s="498"/>
      <c r="R5866" s="498"/>
      <c r="T5866" s="498"/>
      <c r="U5866" s="498"/>
      <c r="V5866" s="498"/>
      <c r="W5866" s="498"/>
      <c r="X5866" s="498"/>
      <c r="Y5866" s="498"/>
      <c r="Z5866" s="498"/>
      <c r="AA5866" s="498"/>
      <c r="AB5866" s="498"/>
      <c r="AC5866" s="498"/>
      <c r="AD5866" s="498"/>
      <c r="AE5866" s="498"/>
      <c r="AF5866" s="498"/>
      <c r="AG5866" s="498"/>
      <c r="AH5866" s="498"/>
      <c r="AI5866" s="498"/>
      <c r="AK5866" s="498"/>
      <c r="AL5866" s="498"/>
      <c r="AM5866" s="498"/>
      <c r="AN5866" s="498"/>
      <c r="AO5866" s="498"/>
      <c r="AP5866" s="498"/>
      <c r="AQ5866" s="498"/>
      <c r="AR5866" s="498"/>
      <c r="AS5866" s="498"/>
      <c r="AT5866" s="498"/>
      <c r="AU5866" s="498"/>
      <c r="AV5866" s="498"/>
      <c r="AW5866" s="498"/>
      <c r="AX5866" s="498"/>
      <c r="AY5866" s="498"/>
      <c r="AZ5866" s="498"/>
      <c r="BA5866" s="498"/>
    </row>
    <row r="5867" spans="1:53" s="499" customFormat="1" x14ac:dyDescent="0.25">
      <c r="A5867" s="500"/>
      <c r="B5867" s="501"/>
      <c r="C5867" s="502"/>
      <c r="D5867" s="497"/>
      <c r="E5867" s="497"/>
      <c r="F5867" s="502"/>
      <c r="G5867" s="497"/>
      <c r="H5867" s="497"/>
      <c r="I5867" s="497"/>
      <c r="J5867" s="497"/>
      <c r="K5867" s="500"/>
      <c r="L5867" s="497"/>
      <c r="M5867"/>
      <c r="N5867" s="498"/>
      <c r="O5867" s="498"/>
      <c r="P5867" s="498"/>
      <c r="Q5867" s="498"/>
      <c r="R5867" s="498"/>
      <c r="T5867" s="498"/>
      <c r="U5867" s="498"/>
      <c r="V5867" s="498"/>
      <c r="W5867" s="498"/>
      <c r="X5867" s="498"/>
      <c r="Y5867" s="498"/>
      <c r="Z5867" s="498"/>
      <c r="AA5867" s="498"/>
      <c r="AB5867" s="498"/>
      <c r="AC5867" s="498"/>
      <c r="AD5867" s="498"/>
      <c r="AE5867" s="498"/>
      <c r="AF5867" s="498"/>
      <c r="AG5867" s="498"/>
      <c r="AH5867" s="498"/>
      <c r="AI5867" s="498"/>
      <c r="AK5867" s="498"/>
      <c r="AL5867" s="498"/>
      <c r="AM5867" s="498"/>
      <c r="AN5867" s="498"/>
      <c r="AO5867" s="498"/>
      <c r="AP5867" s="498"/>
      <c r="AQ5867" s="498"/>
      <c r="AR5867" s="498"/>
      <c r="AS5867" s="498"/>
      <c r="AT5867" s="498"/>
      <c r="AU5867" s="498"/>
      <c r="AV5867" s="498"/>
      <c r="AW5867" s="498"/>
      <c r="AX5867" s="498"/>
      <c r="AY5867" s="498"/>
      <c r="AZ5867" s="498"/>
      <c r="BA5867" s="498"/>
    </row>
    <row r="5868" spans="1:53" s="499" customFormat="1" x14ac:dyDescent="0.25">
      <c r="A5868" s="500"/>
      <c r="B5868" s="501"/>
      <c r="C5868" s="502"/>
      <c r="D5868" s="497"/>
      <c r="E5868" s="497"/>
      <c r="F5868" s="502"/>
      <c r="G5868" s="497"/>
      <c r="H5868" s="497"/>
      <c r="I5868" s="497"/>
      <c r="J5868" s="497"/>
      <c r="K5868" s="500"/>
      <c r="L5868" s="497"/>
      <c r="M5868"/>
      <c r="N5868" s="498"/>
      <c r="O5868" s="498"/>
      <c r="P5868" s="498"/>
      <c r="Q5868" s="498"/>
      <c r="R5868" s="498"/>
      <c r="T5868" s="498"/>
      <c r="U5868" s="498"/>
      <c r="V5868" s="498"/>
      <c r="W5868" s="498"/>
      <c r="X5868" s="498"/>
      <c r="Y5868" s="498"/>
      <c r="Z5868" s="498"/>
      <c r="AA5868" s="498"/>
      <c r="AB5868" s="498"/>
      <c r="AC5868" s="498"/>
      <c r="AD5868" s="498"/>
      <c r="AE5868" s="498"/>
      <c r="AF5868" s="498"/>
      <c r="AG5868" s="498"/>
      <c r="AH5868" s="498"/>
      <c r="AI5868" s="498"/>
      <c r="AK5868" s="498"/>
      <c r="AL5868" s="498"/>
      <c r="AM5868" s="498"/>
      <c r="AN5868" s="498"/>
      <c r="AO5868" s="498"/>
      <c r="AP5868" s="498"/>
      <c r="AQ5868" s="498"/>
      <c r="AR5868" s="498"/>
      <c r="AS5868" s="498"/>
      <c r="AT5868" s="498"/>
      <c r="AU5868" s="498"/>
      <c r="AV5868" s="498"/>
      <c r="AW5868" s="498"/>
      <c r="AX5868" s="498"/>
      <c r="AY5868" s="498"/>
      <c r="AZ5868" s="498"/>
      <c r="BA5868" s="498"/>
    </row>
    <row r="5869" spans="1:53" s="499" customFormat="1" x14ac:dyDescent="0.25">
      <c r="A5869" s="500"/>
      <c r="B5869" s="501"/>
      <c r="C5869" s="502"/>
      <c r="D5869" s="497"/>
      <c r="E5869" s="497"/>
      <c r="F5869" s="502"/>
      <c r="G5869" s="497"/>
      <c r="H5869" s="497"/>
      <c r="I5869" s="497"/>
      <c r="J5869" s="497"/>
      <c r="K5869" s="500"/>
      <c r="L5869" s="497"/>
      <c r="M5869"/>
      <c r="N5869" s="498"/>
      <c r="O5869" s="498"/>
      <c r="P5869" s="498"/>
      <c r="Q5869" s="498"/>
      <c r="R5869" s="498"/>
      <c r="T5869" s="498"/>
      <c r="U5869" s="498"/>
      <c r="V5869" s="498"/>
      <c r="W5869" s="498"/>
      <c r="X5869" s="498"/>
      <c r="Y5869" s="498"/>
      <c r="Z5869" s="498"/>
      <c r="AA5869" s="498"/>
      <c r="AB5869" s="498"/>
      <c r="AC5869" s="498"/>
      <c r="AD5869" s="498"/>
      <c r="AE5869" s="498"/>
      <c r="AF5869" s="498"/>
      <c r="AG5869" s="498"/>
      <c r="AH5869" s="498"/>
      <c r="AI5869" s="498"/>
      <c r="AK5869" s="498"/>
      <c r="AL5869" s="498"/>
      <c r="AM5869" s="498"/>
      <c r="AN5869" s="498"/>
      <c r="AO5869" s="498"/>
      <c r="AP5869" s="498"/>
      <c r="AQ5869" s="498"/>
      <c r="AR5869" s="498"/>
      <c r="AS5869" s="498"/>
      <c r="AT5869" s="498"/>
      <c r="AU5869" s="498"/>
      <c r="AV5869" s="498"/>
      <c r="AW5869" s="498"/>
      <c r="AX5869" s="498"/>
      <c r="AY5869" s="498"/>
      <c r="AZ5869" s="498"/>
      <c r="BA5869" s="498"/>
    </row>
    <row r="5870" spans="1:53" s="499" customFormat="1" x14ac:dyDescent="0.25">
      <c r="A5870" s="500"/>
      <c r="B5870" s="501"/>
      <c r="C5870" s="502"/>
      <c r="D5870" s="497"/>
      <c r="E5870" s="497"/>
      <c r="F5870" s="502"/>
      <c r="G5870" s="497"/>
      <c r="H5870" s="497"/>
      <c r="I5870" s="497"/>
      <c r="J5870" s="497"/>
      <c r="K5870" s="500"/>
      <c r="L5870" s="497"/>
      <c r="M5870"/>
      <c r="N5870" s="498"/>
      <c r="O5870" s="498"/>
      <c r="P5870" s="498"/>
      <c r="Q5870" s="498"/>
      <c r="R5870" s="498"/>
      <c r="T5870" s="498"/>
      <c r="U5870" s="498"/>
      <c r="V5870" s="498"/>
      <c r="W5870" s="498"/>
      <c r="X5870" s="498"/>
      <c r="Y5870" s="498"/>
      <c r="Z5870" s="498"/>
      <c r="AA5870" s="498"/>
      <c r="AB5870" s="498"/>
      <c r="AC5870" s="498"/>
      <c r="AD5870" s="498"/>
      <c r="AE5870" s="498"/>
      <c r="AF5870" s="498"/>
      <c r="AG5870" s="498"/>
      <c r="AH5870" s="498"/>
      <c r="AI5870" s="498"/>
      <c r="AK5870" s="498"/>
      <c r="AL5870" s="498"/>
      <c r="AM5870" s="498"/>
      <c r="AN5870" s="498"/>
      <c r="AO5870" s="498"/>
      <c r="AP5870" s="498"/>
      <c r="AQ5870" s="498"/>
      <c r="AR5870" s="498"/>
      <c r="AS5870" s="498"/>
      <c r="AT5870" s="498"/>
      <c r="AU5870" s="498"/>
      <c r="AV5870" s="498"/>
      <c r="AW5870" s="498"/>
      <c r="AX5870" s="498"/>
      <c r="AY5870" s="498"/>
      <c r="AZ5870" s="498"/>
      <c r="BA5870" s="498"/>
    </row>
    <row r="5871" spans="1:53" s="499" customFormat="1" x14ac:dyDescent="0.25">
      <c r="A5871" s="500"/>
      <c r="B5871" s="501"/>
      <c r="C5871" s="502"/>
      <c r="D5871" s="497"/>
      <c r="E5871" s="497"/>
      <c r="F5871" s="502"/>
      <c r="G5871" s="497"/>
      <c r="H5871" s="497"/>
      <c r="I5871" s="497"/>
      <c r="J5871" s="497"/>
      <c r="K5871" s="500"/>
      <c r="L5871" s="497"/>
      <c r="M5871"/>
      <c r="N5871" s="498"/>
      <c r="O5871" s="498"/>
      <c r="P5871" s="498"/>
      <c r="Q5871" s="498"/>
      <c r="R5871" s="498"/>
      <c r="T5871" s="498"/>
      <c r="U5871" s="498"/>
      <c r="V5871" s="498"/>
      <c r="W5871" s="498"/>
      <c r="X5871" s="498"/>
      <c r="Y5871" s="498"/>
      <c r="Z5871" s="498"/>
      <c r="AA5871" s="498"/>
      <c r="AB5871" s="498"/>
      <c r="AC5871" s="498"/>
      <c r="AD5871" s="498"/>
      <c r="AE5871" s="498"/>
      <c r="AF5871" s="498"/>
      <c r="AG5871" s="498"/>
      <c r="AH5871" s="498"/>
      <c r="AI5871" s="498"/>
      <c r="AK5871" s="498"/>
      <c r="AL5871" s="498"/>
      <c r="AM5871" s="498"/>
      <c r="AN5871" s="498"/>
      <c r="AO5871" s="498"/>
      <c r="AP5871" s="498"/>
      <c r="AQ5871" s="498"/>
      <c r="AR5871" s="498"/>
      <c r="AS5871" s="498"/>
      <c r="AT5871" s="498"/>
      <c r="AU5871" s="498"/>
      <c r="AV5871" s="498"/>
      <c r="AW5871" s="498"/>
      <c r="AX5871" s="498"/>
      <c r="AY5871" s="498"/>
      <c r="AZ5871" s="498"/>
      <c r="BA5871" s="498"/>
    </row>
    <row r="5872" spans="1:53" s="499" customFormat="1" x14ac:dyDescent="0.25">
      <c r="A5872" s="500"/>
      <c r="B5872" s="501"/>
      <c r="C5872" s="502"/>
      <c r="D5872" s="497"/>
      <c r="E5872" s="497"/>
      <c r="F5872" s="502"/>
      <c r="G5872" s="497"/>
      <c r="H5872" s="497"/>
      <c r="I5872" s="497"/>
      <c r="J5872" s="497"/>
      <c r="K5872" s="500"/>
      <c r="L5872" s="497"/>
      <c r="M5872"/>
      <c r="N5872" s="498"/>
      <c r="O5872" s="498"/>
      <c r="P5872" s="498"/>
      <c r="Q5872" s="498"/>
      <c r="R5872" s="498"/>
      <c r="T5872" s="498"/>
      <c r="U5872" s="498"/>
      <c r="V5872" s="498"/>
      <c r="W5872" s="498"/>
      <c r="X5872" s="498"/>
      <c r="Y5872" s="498"/>
      <c r="Z5872" s="498"/>
      <c r="AA5872" s="498"/>
      <c r="AB5872" s="498"/>
      <c r="AC5872" s="498"/>
      <c r="AD5872" s="498"/>
      <c r="AE5872" s="498"/>
      <c r="AF5872" s="498"/>
      <c r="AG5872" s="498"/>
      <c r="AH5872" s="498"/>
      <c r="AI5872" s="498"/>
      <c r="AK5872" s="498"/>
      <c r="AL5872" s="498"/>
      <c r="AM5872" s="498"/>
      <c r="AN5872" s="498"/>
      <c r="AO5872" s="498"/>
      <c r="AP5872" s="498"/>
      <c r="AQ5872" s="498"/>
      <c r="AR5872" s="498"/>
      <c r="AS5872" s="498"/>
      <c r="AT5872" s="498"/>
      <c r="AU5872" s="498"/>
      <c r="AV5872" s="498"/>
      <c r="AW5872" s="498"/>
      <c r="AX5872" s="498"/>
      <c r="AY5872" s="498"/>
      <c r="AZ5872" s="498"/>
      <c r="BA5872" s="498"/>
    </row>
    <row r="5873" spans="1:53" s="499" customFormat="1" x14ac:dyDescent="0.25">
      <c r="A5873" s="500"/>
      <c r="B5873" s="501"/>
      <c r="C5873" s="502"/>
      <c r="D5873" s="497"/>
      <c r="E5873" s="497"/>
      <c r="F5873" s="502"/>
      <c r="G5873" s="497"/>
      <c r="H5873" s="497"/>
      <c r="I5873" s="497"/>
      <c r="J5873" s="497"/>
      <c r="K5873" s="500"/>
      <c r="L5873" s="497"/>
      <c r="M5873"/>
      <c r="N5873" s="498"/>
      <c r="O5873" s="498"/>
      <c r="P5873" s="498"/>
      <c r="Q5873" s="498"/>
      <c r="R5873" s="498"/>
      <c r="T5873" s="498"/>
      <c r="U5873" s="498"/>
      <c r="V5873" s="498"/>
      <c r="W5873" s="498"/>
      <c r="X5873" s="498"/>
      <c r="Y5873" s="498"/>
      <c r="Z5873" s="498"/>
      <c r="AA5873" s="498"/>
      <c r="AB5873" s="498"/>
      <c r="AC5873" s="498"/>
      <c r="AD5873" s="498"/>
      <c r="AE5873" s="498"/>
      <c r="AF5873" s="498"/>
      <c r="AG5873" s="498"/>
      <c r="AH5873" s="498"/>
      <c r="AI5873" s="498"/>
      <c r="AK5873" s="498"/>
      <c r="AL5873" s="498"/>
      <c r="AM5873" s="498"/>
      <c r="AN5873" s="498"/>
      <c r="AO5873" s="498"/>
      <c r="AP5873" s="498"/>
      <c r="AQ5873" s="498"/>
      <c r="AR5873" s="498"/>
      <c r="AS5873" s="498"/>
      <c r="AT5873" s="498"/>
      <c r="AU5873" s="498"/>
      <c r="AV5873" s="498"/>
      <c r="AW5873" s="498"/>
      <c r="AX5873" s="498"/>
      <c r="AY5873" s="498"/>
      <c r="AZ5873" s="498"/>
      <c r="BA5873" s="498"/>
    </row>
    <row r="5874" spans="1:53" s="499" customFormat="1" x14ac:dyDescent="0.25">
      <c r="A5874" s="500"/>
      <c r="B5874" s="501"/>
      <c r="C5874" s="502"/>
      <c r="D5874" s="497"/>
      <c r="E5874" s="497"/>
      <c r="F5874" s="502"/>
      <c r="G5874" s="497"/>
      <c r="H5874" s="497"/>
      <c r="I5874" s="497"/>
      <c r="J5874" s="497"/>
      <c r="K5874" s="500"/>
      <c r="L5874" s="497"/>
      <c r="M5874"/>
      <c r="N5874" s="498"/>
      <c r="O5874" s="498"/>
      <c r="P5874" s="498"/>
      <c r="Q5874" s="498"/>
      <c r="R5874" s="498"/>
      <c r="T5874" s="498"/>
      <c r="U5874" s="498"/>
      <c r="V5874" s="498"/>
      <c r="W5874" s="498"/>
      <c r="X5874" s="498"/>
      <c r="Y5874" s="498"/>
      <c r="Z5874" s="498"/>
      <c r="AA5874" s="498"/>
      <c r="AB5874" s="498"/>
      <c r="AC5874" s="498"/>
      <c r="AD5874" s="498"/>
      <c r="AE5874" s="498"/>
      <c r="AF5874" s="498"/>
      <c r="AG5874" s="498"/>
      <c r="AH5874" s="498"/>
      <c r="AI5874" s="498"/>
      <c r="AK5874" s="498"/>
      <c r="AL5874" s="498"/>
      <c r="AM5874" s="498"/>
      <c r="AN5874" s="498"/>
      <c r="AO5874" s="498"/>
      <c r="AP5874" s="498"/>
      <c r="AQ5874" s="498"/>
      <c r="AR5874" s="498"/>
      <c r="AS5874" s="498"/>
      <c r="AT5874" s="498"/>
      <c r="AU5874" s="498"/>
      <c r="AV5874" s="498"/>
      <c r="AW5874" s="498"/>
      <c r="AX5874" s="498"/>
      <c r="AY5874" s="498"/>
      <c r="AZ5874" s="498"/>
      <c r="BA5874" s="498"/>
    </row>
    <row r="5875" spans="1:53" s="499" customFormat="1" x14ac:dyDescent="0.25">
      <c r="A5875" s="500"/>
      <c r="B5875" s="501"/>
      <c r="C5875" s="502"/>
      <c r="D5875" s="497"/>
      <c r="E5875" s="497"/>
      <c r="F5875" s="502"/>
      <c r="G5875" s="497"/>
      <c r="H5875" s="497"/>
      <c r="I5875" s="497"/>
      <c r="J5875" s="497"/>
      <c r="K5875" s="500"/>
      <c r="L5875" s="497"/>
      <c r="M5875"/>
      <c r="N5875" s="498"/>
      <c r="O5875" s="498"/>
      <c r="P5875" s="498"/>
      <c r="Q5875" s="498"/>
      <c r="R5875" s="498"/>
      <c r="T5875" s="498"/>
      <c r="U5875" s="498"/>
      <c r="V5875" s="498"/>
      <c r="W5875" s="498"/>
      <c r="X5875" s="498"/>
      <c r="Y5875" s="498"/>
      <c r="Z5875" s="498"/>
      <c r="AA5875" s="498"/>
      <c r="AB5875" s="498"/>
      <c r="AC5875" s="498"/>
      <c r="AD5875" s="498"/>
      <c r="AE5875" s="498"/>
      <c r="AF5875" s="498"/>
      <c r="AG5875" s="498"/>
      <c r="AH5875" s="498"/>
      <c r="AI5875" s="498"/>
      <c r="AK5875" s="498"/>
      <c r="AL5875" s="498"/>
      <c r="AM5875" s="498"/>
      <c r="AN5875" s="498"/>
      <c r="AO5875" s="498"/>
      <c r="AP5875" s="498"/>
      <c r="AQ5875" s="498"/>
      <c r="AR5875" s="498"/>
      <c r="AS5875" s="498"/>
      <c r="AT5875" s="498"/>
      <c r="AU5875" s="498"/>
      <c r="AV5875" s="498"/>
      <c r="AW5875" s="498"/>
      <c r="AX5875" s="498"/>
      <c r="AY5875" s="498"/>
      <c r="AZ5875" s="498"/>
      <c r="BA5875" s="498"/>
    </row>
    <row r="5876" spans="1:53" s="499" customFormat="1" x14ac:dyDescent="0.25">
      <c r="A5876" s="500"/>
      <c r="B5876" s="501"/>
      <c r="C5876" s="502"/>
      <c r="D5876" s="497"/>
      <c r="E5876" s="497"/>
      <c r="F5876" s="502"/>
      <c r="G5876" s="497"/>
      <c r="H5876" s="497"/>
      <c r="I5876" s="497"/>
      <c r="J5876" s="497"/>
      <c r="K5876" s="500"/>
      <c r="L5876" s="497"/>
      <c r="M5876"/>
      <c r="N5876" s="498"/>
      <c r="O5876" s="498"/>
      <c r="P5876" s="498"/>
      <c r="Q5876" s="498"/>
      <c r="R5876" s="498"/>
      <c r="T5876" s="498"/>
      <c r="U5876" s="498"/>
      <c r="V5876" s="498"/>
      <c r="W5876" s="498"/>
      <c r="X5876" s="498"/>
      <c r="Y5876" s="498"/>
      <c r="Z5876" s="498"/>
      <c r="AA5876" s="498"/>
      <c r="AB5876" s="498"/>
      <c r="AC5876" s="498"/>
      <c r="AD5876" s="498"/>
      <c r="AE5876" s="498"/>
      <c r="AF5876" s="498"/>
      <c r="AG5876" s="498"/>
      <c r="AH5876" s="498"/>
      <c r="AI5876" s="498"/>
      <c r="AK5876" s="498"/>
      <c r="AL5876" s="498"/>
      <c r="AM5876" s="498"/>
      <c r="AN5876" s="498"/>
      <c r="AO5876" s="498"/>
      <c r="AP5876" s="498"/>
      <c r="AQ5876" s="498"/>
      <c r="AR5876" s="498"/>
      <c r="AS5876" s="498"/>
      <c r="AT5876" s="498"/>
      <c r="AU5876" s="498"/>
      <c r="AV5876" s="498"/>
      <c r="AW5876" s="498"/>
      <c r="AX5876" s="498"/>
      <c r="AY5876" s="498"/>
      <c r="AZ5876" s="498"/>
      <c r="BA5876" s="498"/>
    </row>
    <row r="5877" spans="1:53" s="499" customFormat="1" x14ac:dyDescent="0.25">
      <c r="A5877" s="500"/>
      <c r="B5877" s="501"/>
      <c r="C5877" s="502"/>
      <c r="D5877" s="497"/>
      <c r="E5877" s="497"/>
      <c r="F5877" s="502"/>
      <c r="G5877" s="497"/>
      <c r="H5877" s="497"/>
      <c r="I5877" s="497"/>
      <c r="J5877" s="497"/>
      <c r="K5877" s="500"/>
      <c r="L5877" s="497"/>
      <c r="M5877"/>
      <c r="N5877" s="498"/>
      <c r="O5877" s="498"/>
      <c r="P5877" s="498"/>
      <c r="Q5877" s="498"/>
      <c r="R5877" s="498"/>
      <c r="T5877" s="498"/>
      <c r="U5877" s="498"/>
      <c r="V5877" s="498"/>
      <c r="W5877" s="498"/>
      <c r="X5877" s="498"/>
      <c r="Y5877" s="498"/>
      <c r="Z5877" s="498"/>
      <c r="AA5877" s="498"/>
      <c r="AB5877" s="498"/>
      <c r="AC5877" s="498"/>
      <c r="AD5877" s="498"/>
      <c r="AE5877" s="498"/>
      <c r="AF5877" s="498"/>
      <c r="AG5877" s="498"/>
      <c r="AH5877" s="498"/>
      <c r="AI5877" s="498"/>
      <c r="AK5877" s="498"/>
      <c r="AL5877" s="498"/>
      <c r="AM5877" s="498"/>
      <c r="AN5877" s="498"/>
      <c r="AO5877" s="498"/>
      <c r="AP5877" s="498"/>
      <c r="AQ5877" s="498"/>
      <c r="AR5877" s="498"/>
      <c r="AS5877" s="498"/>
      <c r="AT5877" s="498"/>
      <c r="AU5877" s="498"/>
      <c r="AV5877" s="498"/>
      <c r="AW5877" s="498"/>
      <c r="AX5877" s="498"/>
      <c r="AY5877" s="498"/>
      <c r="AZ5877" s="498"/>
      <c r="BA5877" s="498"/>
    </row>
    <row r="5878" spans="1:53" s="499" customFormat="1" x14ac:dyDescent="0.25">
      <c r="A5878" s="500"/>
      <c r="B5878" s="501"/>
      <c r="C5878" s="502"/>
      <c r="D5878" s="497"/>
      <c r="E5878" s="497"/>
      <c r="F5878" s="502"/>
      <c r="G5878" s="497"/>
      <c r="H5878" s="497"/>
      <c r="I5878" s="497"/>
      <c r="J5878" s="497"/>
      <c r="K5878" s="500"/>
      <c r="L5878" s="497"/>
      <c r="M5878"/>
      <c r="N5878" s="498"/>
      <c r="O5878" s="498"/>
      <c r="P5878" s="498"/>
      <c r="Q5878" s="498"/>
      <c r="R5878" s="498"/>
      <c r="T5878" s="498"/>
      <c r="U5878" s="498"/>
      <c r="V5878" s="498"/>
      <c r="W5878" s="498"/>
      <c r="X5878" s="498"/>
      <c r="Y5878" s="498"/>
      <c r="Z5878" s="498"/>
      <c r="AA5878" s="498"/>
      <c r="AB5878" s="498"/>
      <c r="AC5878" s="498"/>
      <c r="AD5878" s="498"/>
      <c r="AE5878" s="498"/>
      <c r="AF5878" s="498"/>
      <c r="AG5878" s="498"/>
      <c r="AH5878" s="498"/>
      <c r="AI5878" s="498"/>
      <c r="AK5878" s="498"/>
      <c r="AL5878" s="498"/>
      <c r="AM5878" s="498"/>
      <c r="AN5878" s="498"/>
      <c r="AO5878" s="498"/>
      <c r="AP5878" s="498"/>
      <c r="AQ5878" s="498"/>
      <c r="AR5878" s="498"/>
      <c r="AS5878" s="498"/>
      <c r="AT5878" s="498"/>
      <c r="AU5878" s="498"/>
      <c r="AV5878" s="498"/>
      <c r="AW5878" s="498"/>
      <c r="AX5878" s="498"/>
      <c r="AY5878" s="498"/>
      <c r="AZ5878" s="498"/>
      <c r="BA5878" s="498"/>
    </row>
    <row r="5879" spans="1:53" s="499" customFormat="1" x14ac:dyDescent="0.25">
      <c r="A5879" s="500"/>
      <c r="B5879" s="501"/>
      <c r="C5879" s="502"/>
      <c r="D5879" s="497"/>
      <c r="E5879" s="497"/>
      <c r="F5879" s="502"/>
      <c r="G5879" s="497"/>
      <c r="H5879" s="497"/>
      <c r="I5879" s="497"/>
      <c r="J5879" s="497"/>
      <c r="K5879" s="500"/>
      <c r="L5879" s="497"/>
      <c r="M5879"/>
      <c r="N5879" s="498"/>
      <c r="O5879" s="498"/>
      <c r="P5879" s="498"/>
      <c r="Q5879" s="498"/>
      <c r="R5879" s="498"/>
      <c r="T5879" s="498"/>
      <c r="U5879" s="498"/>
      <c r="V5879" s="498"/>
      <c r="W5879" s="498"/>
      <c r="X5879" s="498"/>
      <c r="Y5879" s="498"/>
      <c r="Z5879" s="498"/>
      <c r="AA5879" s="498"/>
      <c r="AB5879" s="498"/>
      <c r="AC5879" s="498"/>
      <c r="AD5879" s="498"/>
      <c r="AE5879" s="498"/>
      <c r="AF5879" s="498"/>
      <c r="AG5879" s="498"/>
      <c r="AH5879" s="498"/>
      <c r="AI5879" s="498"/>
      <c r="AK5879" s="498"/>
      <c r="AL5879" s="498"/>
      <c r="AM5879" s="498"/>
      <c r="AN5879" s="498"/>
      <c r="AO5879" s="498"/>
      <c r="AP5879" s="498"/>
      <c r="AQ5879" s="498"/>
      <c r="AR5879" s="498"/>
      <c r="AS5879" s="498"/>
      <c r="AT5879" s="498"/>
      <c r="AU5879" s="498"/>
      <c r="AV5879" s="498"/>
      <c r="AW5879" s="498"/>
      <c r="AX5879" s="498"/>
      <c r="AY5879" s="498"/>
      <c r="AZ5879" s="498"/>
      <c r="BA5879" s="498"/>
    </row>
    <row r="5880" spans="1:53" s="499" customFormat="1" x14ac:dyDescent="0.25">
      <c r="A5880" s="500"/>
      <c r="B5880" s="501"/>
      <c r="C5880" s="502"/>
      <c r="D5880" s="497"/>
      <c r="E5880" s="497"/>
      <c r="F5880" s="502"/>
      <c r="G5880" s="497"/>
      <c r="H5880" s="497"/>
      <c r="I5880" s="497"/>
      <c r="J5880" s="497"/>
      <c r="K5880" s="500"/>
      <c r="L5880" s="497"/>
      <c r="M5880"/>
      <c r="N5880" s="498"/>
      <c r="O5880" s="498"/>
      <c r="P5880" s="498"/>
      <c r="Q5880" s="498"/>
      <c r="R5880" s="498"/>
      <c r="T5880" s="498"/>
      <c r="U5880" s="498"/>
      <c r="V5880" s="498"/>
      <c r="W5880" s="498"/>
      <c r="X5880" s="498"/>
      <c r="Y5880" s="498"/>
      <c r="Z5880" s="498"/>
      <c r="AA5880" s="498"/>
      <c r="AB5880" s="498"/>
      <c r="AC5880" s="498"/>
      <c r="AD5880" s="498"/>
      <c r="AE5880" s="498"/>
      <c r="AF5880" s="498"/>
      <c r="AG5880" s="498"/>
      <c r="AH5880" s="498"/>
      <c r="AI5880" s="498"/>
      <c r="AK5880" s="498"/>
      <c r="AL5880" s="498"/>
      <c r="AM5880" s="498"/>
      <c r="AN5880" s="498"/>
      <c r="AO5880" s="498"/>
      <c r="AP5880" s="498"/>
      <c r="AQ5880" s="498"/>
      <c r="AR5880" s="498"/>
      <c r="AS5880" s="498"/>
      <c r="AT5880" s="498"/>
      <c r="AU5880" s="498"/>
      <c r="AV5880" s="498"/>
      <c r="AW5880" s="498"/>
      <c r="AX5880" s="498"/>
      <c r="AY5880" s="498"/>
      <c r="AZ5880" s="498"/>
      <c r="BA5880" s="498"/>
    </row>
    <row r="5881" spans="1:53" s="499" customFormat="1" x14ac:dyDescent="0.25">
      <c r="A5881" s="500"/>
      <c r="B5881" s="501"/>
      <c r="C5881" s="502"/>
      <c r="D5881" s="497"/>
      <c r="E5881" s="497"/>
      <c r="F5881" s="502"/>
      <c r="G5881" s="497"/>
      <c r="H5881" s="497"/>
      <c r="I5881" s="497"/>
      <c r="J5881" s="497"/>
      <c r="K5881" s="500"/>
      <c r="L5881" s="497"/>
      <c r="M5881"/>
      <c r="N5881" s="498"/>
      <c r="O5881" s="498"/>
      <c r="P5881" s="498"/>
      <c r="Q5881" s="498"/>
      <c r="R5881" s="498"/>
      <c r="T5881" s="498"/>
      <c r="U5881" s="498"/>
      <c r="V5881" s="498"/>
      <c r="W5881" s="498"/>
      <c r="X5881" s="498"/>
      <c r="Y5881" s="498"/>
      <c r="Z5881" s="498"/>
      <c r="AA5881" s="498"/>
      <c r="AB5881" s="498"/>
      <c r="AC5881" s="498"/>
      <c r="AD5881" s="498"/>
      <c r="AE5881" s="498"/>
      <c r="AF5881" s="498"/>
      <c r="AG5881" s="498"/>
      <c r="AH5881" s="498"/>
      <c r="AI5881" s="498"/>
      <c r="AK5881" s="498"/>
      <c r="AL5881" s="498"/>
      <c r="AM5881" s="498"/>
      <c r="AN5881" s="498"/>
      <c r="AO5881" s="498"/>
      <c r="AP5881" s="498"/>
      <c r="AQ5881" s="498"/>
      <c r="AR5881" s="498"/>
      <c r="AS5881" s="498"/>
      <c r="AT5881" s="498"/>
      <c r="AU5881" s="498"/>
      <c r="AV5881" s="498"/>
      <c r="AW5881" s="498"/>
      <c r="AX5881" s="498"/>
      <c r="AY5881" s="498"/>
      <c r="AZ5881" s="498"/>
      <c r="BA5881" s="498"/>
    </row>
    <row r="5882" spans="1:53" s="499" customFormat="1" x14ac:dyDescent="0.25">
      <c r="A5882" s="500"/>
      <c r="B5882" s="501"/>
      <c r="C5882" s="502"/>
      <c r="D5882" s="497"/>
      <c r="E5882" s="497"/>
      <c r="F5882" s="502"/>
      <c r="G5882" s="497"/>
      <c r="H5882" s="497"/>
      <c r="I5882" s="497"/>
      <c r="J5882" s="497"/>
      <c r="K5882" s="500"/>
      <c r="L5882" s="497"/>
      <c r="M5882"/>
      <c r="N5882" s="498"/>
      <c r="O5882" s="498"/>
      <c r="P5882" s="498"/>
      <c r="Q5882" s="498"/>
      <c r="R5882" s="498"/>
      <c r="T5882" s="498"/>
      <c r="U5882" s="498"/>
      <c r="V5882" s="498"/>
      <c r="W5882" s="498"/>
      <c r="X5882" s="498"/>
      <c r="Y5882" s="498"/>
      <c r="Z5882" s="498"/>
      <c r="AA5882" s="498"/>
      <c r="AB5882" s="498"/>
      <c r="AC5882" s="498"/>
      <c r="AD5882" s="498"/>
      <c r="AE5882" s="498"/>
      <c r="AF5882" s="498"/>
      <c r="AG5882" s="498"/>
      <c r="AH5882" s="498"/>
      <c r="AI5882" s="498"/>
      <c r="AK5882" s="498"/>
      <c r="AL5882" s="498"/>
      <c r="AM5882" s="498"/>
      <c r="AN5882" s="498"/>
      <c r="AO5882" s="498"/>
      <c r="AP5882" s="498"/>
      <c r="AQ5882" s="498"/>
      <c r="AR5882" s="498"/>
      <c r="AS5882" s="498"/>
      <c r="AT5882" s="498"/>
      <c r="AU5882" s="498"/>
      <c r="AV5882" s="498"/>
      <c r="AW5882" s="498"/>
      <c r="AX5882" s="498"/>
      <c r="AY5882" s="498"/>
      <c r="AZ5882" s="498"/>
      <c r="BA5882" s="498"/>
    </row>
    <row r="5883" spans="1:53" s="499" customFormat="1" x14ac:dyDescent="0.25">
      <c r="A5883" s="500"/>
      <c r="B5883" s="501"/>
      <c r="C5883" s="502"/>
      <c r="D5883" s="497"/>
      <c r="E5883" s="497"/>
      <c r="F5883" s="502"/>
      <c r="G5883" s="497"/>
      <c r="H5883" s="497"/>
      <c r="I5883" s="497"/>
      <c r="J5883" s="497"/>
      <c r="K5883" s="500"/>
      <c r="L5883" s="497"/>
      <c r="M5883"/>
      <c r="N5883" s="498"/>
      <c r="O5883" s="498"/>
      <c r="P5883" s="498"/>
      <c r="Q5883" s="498"/>
      <c r="R5883" s="498"/>
      <c r="T5883" s="498"/>
      <c r="U5883" s="498"/>
      <c r="V5883" s="498"/>
      <c r="W5883" s="498"/>
      <c r="X5883" s="498"/>
      <c r="Y5883" s="498"/>
      <c r="Z5883" s="498"/>
      <c r="AA5883" s="498"/>
      <c r="AB5883" s="498"/>
      <c r="AC5883" s="498"/>
      <c r="AD5883" s="498"/>
      <c r="AE5883" s="498"/>
      <c r="AF5883" s="498"/>
      <c r="AG5883" s="498"/>
      <c r="AH5883" s="498"/>
      <c r="AI5883" s="498"/>
      <c r="AK5883" s="498"/>
      <c r="AL5883" s="498"/>
      <c r="AM5883" s="498"/>
      <c r="AN5883" s="498"/>
      <c r="AO5883" s="498"/>
      <c r="AP5883" s="498"/>
      <c r="AQ5883" s="498"/>
      <c r="AR5883" s="498"/>
      <c r="AS5883" s="498"/>
      <c r="AT5883" s="498"/>
      <c r="AU5883" s="498"/>
      <c r="AV5883" s="498"/>
      <c r="AW5883" s="498"/>
      <c r="AX5883" s="498"/>
      <c r="AY5883" s="498"/>
      <c r="AZ5883" s="498"/>
      <c r="BA5883" s="498"/>
    </row>
    <row r="5884" spans="1:53" s="499" customFormat="1" x14ac:dyDescent="0.25">
      <c r="A5884" s="500"/>
      <c r="B5884" s="501"/>
      <c r="C5884" s="502"/>
      <c r="D5884" s="497"/>
      <c r="E5884" s="497"/>
      <c r="F5884" s="502"/>
      <c r="G5884" s="497"/>
      <c r="H5884" s="497"/>
      <c r="I5884" s="497"/>
      <c r="J5884" s="497"/>
      <c r="K5884" s="500"/>
      <c r="L5884" s="497"/>
      <c r="M5884"/>
      <c r="N5884" s="498"/>
      <c r="O5884" s="498"/>
      <c r="P5884" s="498"/>
      <c r="Q5884" s="498"/>
      <c r="R5884" s="498"/>
      <c r="T5884" s="498"/>
      <c r="U5884" s="498"/>
      <c r="V5884" s="498"/>
      <c r="W5884" s="498"/>
      <c r="X5884" s="498"/>
      <c r="Y5884" s="498"/>
      <c r="Z5884" s="498"/>
      <c r="AA5884" s="498"/>
      <c r="AB5884" s="498"/>
      <c r="AC5884" s="498"/>
      <c r="AD5884" s="498"/>
      <c r="AE5884" s="498"/>
      <c r="AF5884" s="498"/>
      <c r="AG5884" s="498"/>
      <c r="AH5884" s="498"/>
      <c r="AI5884" s="498"/>
      <c r="AK5884" s="498"/>
      <c r="AL5884" s="498"/>
      <c r="AM5884" s="498"/>
      <c r="AN5884" s="498"/>
      <c r="AO5884" s="498"/>
      <c r="AP5884" s="498"/>
      <c r="AQ5884" s="498"/>
      <c r="AR5884" s="498"/>
      <c r="AS5884" s="498"/>
      <c r="AT5884" s="498"/>
      <c r="AU5884" s="498"/>
      <c r="AV5884" s="498"/>
      <c r="AW5884" s="498"/>
      <c r="AX5884" s="498"/>
      <c r="AY5884" s="498"/>
      <c r="AZ5884" s="498"/>
      <c r="BA5884" s="498"/>
    </row>
    <row r="5885" spans="1:53" s="499" customFormat="1" x14ac:dyDescent="0.25">
      <c r="A5885" s="500"/>
      <c r="B5885" s="501"/>
      <c r="C5885" s="502"/>
      <c r="D5885" s="497"/>
      <c r="E5885" s="497"/>
      <c r="F5885" s="502"/>
      <c r="G5885" s="497"/>
      <c r="H5885" s="497"/>
      <c r="I5885" s="497"/>
      <c r="J5885" s="497"/>
      <c r="K5885" s="500"/>
      <c r="L5885" s="497"/>
      <c r="M5885"/>
      <c r="N5885" s="498"/>
      <c r="O5885" s="498"/>
      <c r="P5885" s="498"/>
      <c r="Q5885" s="498"/>
      <c r="R5885" s="498"/>
      <c r="T5885" s="498"/>
      <c r="U5885" s="498"/>
      <c r="V5885" s="498"/>
      <c r="W5885" s="498"/>
      <c r="X5885" s="498"/>
      <c r="Y5885" s="498"/>
      <c r="Z5885" s="498"/>
      <c r="AA5885" s="498"/>
      <c r="AB5885" s="498"/>
      <c r="AC5885" s="498"/>
      <c r="AD5885" s="498"/>
      <c r="AE5885" s="498"/>
      <c r="AF5885" s="498"/>
      <c r="AG5885" s="498"/>
      <c r="AH5885" s="498"/>
      <c r="AI5885" s="498"/>
      <c r="AK5885" s="498"/>
      <c r="AL5885" s="498"/>
      <c r="AM5885" s="498"/>
      <c r="AN5885" s="498"/>
      <c r="AO5885" s="498"/>
      <c r="AP5885" s="498"/>
      <c r="AQ5885" s="498"/>
      <c r="AR5885" s="498"/>
      <c r="AS5885" s="498"/>
      <c r="AT5885" s="498"/>
      <c r="AU5885" s="498"/>
      <c r="AV5885" s="498"/>
      <c r="AW5885" s="498"/>
      <c r="AX5885" s="498"/>
      <c r="AY5885" s="498"/>
      <c r="AZ5885" s="498"/>
      <c r="BA5885" s="498"/>
    </row>
    <row r="5886" spans="1:53" s="499" customFormat="1" x14ac:dyDescent="0.25">
      <c r="A5886" s="500"/>
      <c r="B5886" s="501"/>
      <c r="C5886" s="502"/>
      <c r="D5886" s="497"/>
      <c r="E5886" s="497"/>
      <c r="F5886" s="502"/>
      <c r="G5886" s="497"/>
      <c r="H5886" s="497"/>
      <c r="I5886" s="497"/>
      <c r="J5886" s="497"/>
      <c r="K5886" s="500"/>
      <c r="L5886" s="497"/>
      <c r="M5886"/>
      <c r="N5886" s="498"/>
      <c r="O5886" s="498"/>
      <c r="P5886" s="498"/>
      <c r="Q5886" s="498"/>
      <c r="R5886" s="498"/>
      <c r="T5886" s="498"/>
      <c r="U5886" s="498"/>
      <c r="V5886" s="498"/>
      <c r="W5886" s="498"/>
      <c r="X5886" s="498"/>
      <c r="Y5886" s="498"/>
      <c r="Z5886" s="498"/>
      <c r="AA5886" s="498"/>
      <c r="AB5886" s="498"/>
      <c r="AC5886" s="498"/>
      <c r="AD5886" s="498"/>
      <c r="AE5886" s="498"/>
      <c r="AF5886" s="498"/>
      <c r="AG5886" s="498"/>
      <c r="AH5886" s="498"/>
      <c r="AI5886" s="498"/>
      <c r="AK5886" s="498"/>
      <c r="AL5886" s="498"/>
      <c r="AM5886" s="498"/>
      <c r="AN5886" s="498"/>
      <c r="AO5886" s="498"/>
      <c r="AP5886" s="498"/>
      <c r="AQ5886" s="498"/>
      <c r="AR5886" s="498"/>
      <c r="AS5886" s="498"/>
      <c r="AT5886" s="498"/>
      <c r="AU5886" s="498"/>
      <c r="AV5886" s="498"/>
      <c r="AW5886" s="498"/>
      <c r="AX5886" s="498"/>
      <c r="AY5886" s="498"/>
      <c r="AZ5886" s="498"/>
      <c r="BA5886" s="498"/>
    </row>
    <row r="5887" spans="1:53" s="499" customFormat="1" x14ac:dyDescent="0.25">
      <c r="A5887" s="500"/>
      <c r="B5887" s="501"/>
      <c r="C5887" s="502"/>
      <c r="D5887" s="497"/>
      <c r="E5887" s="497"/>
      <c r="F5887" s="502"/>
      <c r="G5887" s="497"/>
      <c r="H5887" s="497"/>
      <c r="I5887" s="497"/>
      <c r="J5887" s="497"/>
      <c r="K5887" s="500"/>
      <c r="L5887" s="497"/>
      <c r="M5887"/>
      <c r="N5887" s="498"/>
      <c r="O5887" s="498"/>
      <c r="P5887" s="498"/>
      <c r="Q5887" s="498"/>
      <c r="R5887" s="498"/>
      <c r="T5887" s="498"/>
      <c r="U5887" s="498"/>
      <c r="V5887" s="498"/>
      <c r="W5887" s="498"/>
      <c r="X5887" s="498"/>
      <c r="Y5887" s="498"/>
      <c r="Z5887" s="498"/>
      <c r="AA5887" s="498"/>
      <c r="AB5887" s="498"/>
      <c r="AC5887" s="498"/>
      <c r="AD5887" s="498"/>
      <c r="AE5887" s="498"/>
      <c r="AF5887" s="498"/>
      <c r="AG5887" s="498"/>
      <c r="AH5887" s="498"/>
      <c r="AI5887" s="498"/>
      <c r="AK5887" s="498"/>
      <c r="AL5887" s="498"/>
      <c r="AM5887" s="498"/>
      <c r="AN5887" s="498"/>
      <c r="AO5887" s="498"/>
      <c r="AP5887" s="498"/>
      <c r="AQ5887" s="498"/>
      <c r="AR5887" s="498"/>
      <c r="AS5887" s="498"/>
      <c r="AT5887" s="498"/>
      <c r="AU5887" s="498"/>
      <c r="AV5887" s="498"/>
      <c r="AW5887" s="498"/>
      <c r="AX5887" s="498"/>
      <c r="AY5887" s="498"/>
      <c r="AZ5887" s="498"/>
      <c r="BA5887" s="498"/>
    </row>
    <row r="5888" spans="1:53" s="499" customFormat="1" x14ac:dyDescent="0.25">
      <c r="A5888" s="500"/>
      <c r="B5888" s="501"/>
      <c r="C5888" s="502"/>
      <c r="D5888" s="497"/>
      <c r="E5888" s="497"/>
      <c r="F5888" s="502"/>
      <c r="G5888" s="497"/>
      <c r="H5888" s="497"/>
      <c r="I5888" s="497"/>
      <c r="J5888" s="497"/>
      <c r="K5888" s="500"/>
      <c r="L5888" s="497"/>
      <c r="M5888"/>
      <c r="N5888" s="498"/>
      <c r="O5888" s="498"/>
      <c r="P5888" s="498"/>
      <c r="Q5888" s="498"/>
      <c r="R5888" s="498"/>
      <c r="T5888" s="498"/>
      <c r="U5888" s="498"/>
      <c r="V5888" s="498"/>
      <c r="W5888" s="498"/>
      <c r="X5888" s="498"/>
      <c r="Y5888" s="498"/>
      <c r="Z5888" s="498"/>
      <c r="AA5888" s="498"/>
      <c r="AB5888" s="498"/>
      <c r="AC5888" s="498"/>
      <c r="AD5888" s="498"/>
      <c r="AE5888" s="498"/>
      <c r="AF5888" s="498"/>
      <c r="AG5888" s="498"/>
      <c r="AH5888" s="498"/>
      <c r="AI5888" s="498"/>
      <c r="AK5888" s="498"/>
      <c r="AL5888" s="498"/>
      <c r="AM5888" s="498"/>
      <c r="AN5888" s="498"/>
      <c r="AO5888" s="498"/>
      <c r="AP5888" s="498"/>
      <c r="AQ5888" s="498"/>
      <c r="AR5888" s="498"/>
      <c r="AS5888" s="498"/>
      <c r="AT5888" s="498"/>
      <c r="AU5888" s="498"/>
      <c r="AV5888" s="498"/>
      <c r="AW5888" s="498"/>
      <c r="AX5888" s="498"/>
      <c r="AY5888" s="498"/>
      <c r="AZ5888" s="498"/>
      <c r="BA5888" s="498"/>
    </row>
    <row r="5889" spans="1:53" s="499" customFormat="1" x14ac:dyDescent="0.25">
      <c r="A5889" s="500"/>
      <c r="B5889" s="501"/>
      <c r="C5889" s="502"/>
      <c r="D5889" s="497"/>
      <c r="E5889" s="497"/>
      <c r="F5889" s="502"/>
      <c r="G5889" s="497"/>
      <c r="H5889" s="497"/>
      <c r="I5889" s="497"/>
      <c r="J5889" s="497"/>
      <c r="K5889" s="500"/>
      <c r="L5889" s="497"/>
      <c r="M5889"/>
      <c r="N5889" s="498"/>
      <c r="O5889" s="498"/>
      <c r="P5889" s="498"/>
      <c r="Q5889" s="498"/>
      <c r="R5889" s="498"/>
      <c r="T5889" s="498"/>
      <c r="U5889" s="498"/>
      <c r="V5889" s="498"/>
      <c r="W5889" s="498"/>
      <c r="X5889" s="498"/>
      <c r="Y5889" s="498"/>
      <c r="Z5889" s="498"/>
      <c r="AA5889" s="498"/>
      <c r="AB5889" s="498"/>
      <c r="AC5889" s="498"/>
      <c r="AD5889" s="498"/>
      <c r="AE5889" s="498"/>
      <c r="AF5889" s="498"/>
      <c r="AG5889" s="498"/>
      <c r="AH5889" s="498"/>
      <c r="AI5889" s="498"/>
      <c r="AK5889" s="498"/>
      <c r="AL5889" s="498"/>
      <c r="AM5889" s="498"/>
      <c r="AN5889" s="498"/>
      <c r="AO5889" s="498"/>
      <c r="AP5889" s="498"/>
      <c r="AQ5889" s="498"/>
      <c r="AR5889" s="498"/>
      <c r="AS5889" s="498"/>
      <c r="AT5889" s="498"/>
      <c r="AU5889" s="498"/>
      <c r="AV5889" s="498"/>
      <c r="AW5889" s="498"/>
      <c r="AX5889" s="498"/>
      <c r="AY5889" s="498"/>
      <c r="AZ5889" s="498"/>
      <c r="BA5889" s="498"/>
    </row>
    <row r="5890" spans="1:53" s="499" customFormat="1" x14ac:dyDescent="0.25">
      <c r="A5890" s="500"/>
      <c r="B5890" s="501"/>
      <c r="C5890" s="502"/>
      <c r="D5890" s="497"/>
      <c r="E5890" s="497"/>
      <c r="F5890" s="502"/>
      <c r="G5890" s="497"/>
      <c r="H5890" s="497"/>
      <c r="I5890" s="497"/>
      <c r="J5890" s="497"/>
      <c r="K5890" s="500"/>
      <c r="L5890" s="497"/>
      <c r="M5890"/>
      <c r="N5890" s="498"/>
      <c r="O5890" s="498"/>
      <c r="P5890" s="498"/>
      <c r="Q5890" s="498"/>
      <c r="R5890" s="498"/>
      <c r="T5890" s="498"/>
      <c r="U5890" s="498"/>
      <c r="V5890" s="498"/>
      <c r="W5890" s="498"/>
      <c r="X5890" s="498"/>
      <c r="Y5890" s="498"/>
      <c r="Z5890" s="498"/>
      <c r="AA5890" s="498"/>
      <c r="AB5890" s="498"/>
      <c r="AC5890" s="498"/>
      <c r="AD5890" s="498"/>
      <c r="AE5890" s="498"/>
      <c r="AF5890" s="498"/>
      <c r="AG5890" s="498"/>
      <c r="AH5890" s="498"/>
      <c r="AI5890" s="498"/>
      <c r="AK5890" s="498"/>
      <c r="AL5890" s="498"/>
      <c r="AM5890" s="498"/>
      <c r="AN5890" s="498"/>
      <c r="AO5890" s="498"/>
      <c r="AP5890" s="498"/>
      <c r="AQ5890" s="498"/>
      <c r="AR5890" s="498"/>
      <c r="AS5890" s="498"/>
      <c r="AT5890" s="498"/>
      <c r="AU5890" s="498"/>
      <c r="AV5890" s="498"/>
      <c r="AW5890" s="498"/>
      <c r="AX5890" s="498"/>
      <c r="AY5890" s="498"/>
      <c r="AZ5890" s="498"/>
      <c r="BA5890" s="498"/>
    </row>
    <row r="5891" spans="1:53" s="499" customFormat="1" x14ac:dyDescent="0.25">
      <c r="A5891" s="500"/>
      <c r="B5891" s="501"/>
      <c r="C5891" s="502"/>
      <c r="D5891" s="497"/>
      <c r="E5891" s="497"/>
      <c r="F5891" s="502"/>
      <c r="G5891" s="497"/>
      <c r="H5891" s="497"/>
      <c r="I5891" s="497"/>
      <c r="J5891" s="497"/>
      <c r="K5891" s="500"/>
      <c r="L5891" s="497"/>
      <c r="M5891"/>
      <c r="N5891" s="498"/>
      <c r="O5891" s="498"/>
      <c r="P5891" s="498"/>
      <c r="Q5891" s="498"/>
      <c r="R5891" s="498"/>
      <c r="T5891" s="498"/>
      <c r="U5891" s="498"/>
      <c r="V5891" s="498"/>
      <c r="W5891" s="498"/>
      <c r="X5891" s="498"/>
      <c r="Y5891" s="498"/>
      <c r="Z5891" s="498"/>
      <c r="AA5891" s="498"/>
      <c r="AB5891" s="498"/>
      <c r="AC5891" s="498"/>
      <c r="AD5891" s="498"/>
      <c r="AE5891" s="498"/>
      <c r="AF5891" s="498"/>
      <c r="AG5891" s="498"/>
      <c r="AH5891" s="498"/>
      <c r="AI5891" s="498"/>
      <c r="AK5891" s="498"/>
      <c r="AL5891" s="498"/>
      <c r="AM5891" s="498"/>
      <c r="AN5891" s="498"/>
      <c r="AO5891" s="498"/>
      <c r="AP5891" s="498"/>
      <c r="AQ5891" s="498"/>
      <c r="AR5891" s="498"/>
      <c r="AS5891" s="498"/>
      <c r="AT5891" s="498"/>
      <c r="AU5891" s="498"/>
      <c r="AV5891" s="498"/>
      <c r="AW5891" s="498"/>
      <c r="AX5891" s="498"/>
      <c r="AY5891" s="498"/>
      <c r="AZ5891" s="498"/>
      <c r="BA5891" s="498"/>
    </row>
    <row r="5892" spans="1:53" s="499" customFormat="1" x14ac:dyDescent="0.25">
      <c r="A5892" s="500"/>
      <c r="B5892" s="501"/>
      <c r="C5892" s="502"/>
      <c r="D5892" s="497"/>
      <c r="E5892" s="497"/>
      <c r="F5892" s="502"/>
      <c r="G5892" s="497"/>
      <c r="H5892" s="497"/>
      <c r="I5892" s="497"/>
      <c r="J5892" s="497"/>
      <c r="K5892" s="500"/>
      <c r="L5892" s="497"/>
      <c r="M5892"/>
      <c r="N5892" s="498"/>
      <c r="O5892" s="498"/>
      <c r="P5892" s="498"/>
      <c r="Q5892" s="498"/>
      <c r="R5892" s="498"/>
      <c r="T5892" s="498"/>
      <c r="U5892" s="498"/>
      <c r="V5892" s="498"/>
      <c r="W5892" s="498"/>
      <c r="X5892" s="498"/>
      <c r="Y5892" s="498"/>
      <c r="Z5892" s="498"/>
      <c r="AA5892" s="498"/>
      <c r="AB5892" s="498"/>
      <c r="AC5892" s="498"/>
      <c r="AD5892" s="498"/>
      <c r="AE5892" s="498"/>
      <c r="AF5892" s="498"/>
      <c r="AG5892" s="498"/>
      <c r="AH5892" s="498"/>
      <c r="AI5892" s="498"/>
      <c r="AK5892" s="498"/>
      <c r="AL5892" s="498"/>
      <c r="AM5892" s="498"/>
      <c r="AN5892" s="498"/>
      <c r="AO5892" s="498"/>
      <c r="AP5892" s="498"/>
      <c r="AQ5892" s="498"/>
      <c r="AR5892" s="498"/>
      <c r="AS5892" s="498"/>
      <c r="AT5892" s="498"/>
      <c r="AU5892" s="498"/>
      <c r="AV5892" s="498"/>
      <c r="AW5892" s="498"/>
      <c r="AX5892" s="498"/>
      <c r="AY5892" s="498"/>
      <c r="AZ5892" s="498"/>
      <c r="BA5892" s="498"/>
    </row>
    <row r="5893" spans="1:53" s="499" customFormat="1" x14ac:dyDescent="0.25">
      <c r="A5893" s="500"/>
      <c r="B5893" s="501"/>
      <c r="C5893" s="502"/>
      <c r="D5893" s="497"/>
      <c r="E5893" s="497"/>
      <c r="F5893" s="502"/>
      <c r="G5893" s="497"/>
      <c r="H5893" s="497"/>
      <c r="I5893" s="497"/>
      <c r="J5893" s="497"/>
      <c r="K5893" s="500"/>
      <c r="L5893" s="497"/>
      <c r="M5893"/>
      <c r="N5893" s="498"/>
      <c r="O5893" s="498"/>
      <c r="P5893" s="498"/>
      <c r="Q5893" s="498"/>
      <c r="R5893" s="498"/>
      <c r="T5893" s="498"/>
      <c r="U5893" s="498"/>
      <c r="V5893" s="498"/>
      <c r="W5893" s="498"/>
      <c r="X5893" s="498"/>
      <c r="Y5893" s="498"/>
      <c r="Z5893" s="498"/>
      <c r="AA5893" s="498"/>
      <c r="AB5893" s="498"/>
      <c r="AC5893" s="498"/>
      <c r="AD5893" s="498"/>
      <c r="AE5893" s="498"/>
      <c r="AF5893" s="498"/>
      <c r="AG5893" s="498"/>
      <c r="AH5893" s="498"/>
      <c r="AI5893" s="498"/>
      <c r="AK5893" s="498"/>
      <c r="AL5893" s="498"/>
      <c r="AM5893" s="498"/>
      <c r="AN5893" s="498"/>
      <c r="AO5893" s="498"/>
      <c r="AP5893" s="498"/>
      <c r="AQ5893" s="498"/>
      <c r="AR5893" s="498"/>
      <c r="AS5893" s="498"/>
      <c r="AT5893" s="498"/>
      <c r="AU5893" s="498"/>
      <c r="AV5893" s="498"/>
      <c r="AW5893" s="498"/>
      <c r="AX5893" s="498"/>
      <c r="AY5893" s="498"/>
      <c r="AZ5893" s="498"/>
      <c r="BA5893" s="498"/>
    </row>
    <row r="5894" spans="1:53" s="499" customFormat="1" x14ac:dyDescent="0.25">
      <c r="A5894" s="500"/>
      <c r="B5894" s="501"/>
      <c r="C5894" s="502"/>
      <c r="D5894" s="497"/>
      <c r="E5894" s="497"/>
      <c r="F5894" s="502"/>
      <c r="G5894" s="497"/>
      <c r="H5894" s="497"/>
      <c r="I5894" s="497"/>
      <c r="J5894" s="497"/>
      <c r="K5894" s="500"/>
      <c r="L5894" s="497"/>
      <c r="M5894"/>
      <c r="N5894" s="498"/>
      <c r="O5894" s="498"/>
      <c r="P5894" s="498"/>
      <c r="Q5894" s="498"/>
      <c r="R5894" s="498"/>
      <c r="T5894" s="498"/>
      <c r="U5894" s="498"/>
      <c r="V5894" s="498"/>
      <c r="W5894" s="498"/>
      <c r="X5894" s="498"/>
      <c r="Y5894" s="498"/>
      <c r="Z5894" s="498"/>
      <c r="AA5894" s="498"/>
      <c r="AB5894" s="498"/>
      <c r="AC5894" s="498"/>
      <c r="AD5894" s="498"/>
      <c r="AE5894" s="498"/>
      <c r="AF5894" s="498"/>
      <c r="AG5894" s="498"/>
      <c r="AH5894" s="498"/>
      <c r="AI5894" s="498"/>
      <c r="AK5894" s="498"/>
      <c r="AL5894" s="498"/>
      <c r="AM5894" s="498"/>
      <c r="AN5894" s="498"/>
      <c r="AO5894" s="498"/>
      <c r="AP5894" s="498"/>
      <c r="AQ5894" s="498"/>
      <c r="AR5894" s="498"/>
      <c r="AS5894" s="498"/>
      <c r="AT5894" s="498"/>
      <c r="AU5894" s="498"/>
      <c r="AV5894" s="498"/>
      <c r="AW5894" s="498"/>
      <c r="AX5894" s="498"/>
      <c r="AY5894" s="498"/>
      <c r="AZ5894" s="498"/>
      <c r="BA5894" s="498"/>
    </row>
    <row r="5895" spans="1:53" s="499" customFormat="1" x14ac:dyDescent="0.25">
      <c r="A5895" s="500"/>
      <c r="B5895" s="501"/>
      <c r="C5895" s="502"/>
      <c r="D5895" s="497"/>
      <c r="E5895" s="497"/>
      <c r="F5895" s="502"/>
      <c r="G5895" s="497"/>
      <c r="H5895" s="497"/>
      <c r="I5895" s="497"/>
      <c r="J5895" s="497"/>
      <c r="K5895" s="500"/>
      <c r="L5895" s="497"/>
      <c r="M5895"/>
      <c r="N5895" s="498"/>
      <c r="O5895" s="498"/>
      <c r="P5895" s="498"/>
      <c r="Q5895" s="498"/>
      <c r="R5895" s="498"/>
      <c r="T5895" s="498"/>
      <c r="U5895" s="498"/>
      <c r="V5895" s="498"/>
      <c r="W5895" s="498"/>
      <c r="X5895" s="498"/>
      <c r="Y5895" s="498"/>
      <c r="Z5895" s="498"/>
      <c r="AA5895" s="498"/>
      <c r="AB5895" s="498"/>
      <c r="AC5895" s="498"/>
      <c r="AD5895" s="498"/>
      <c r="AE5895" s="498"/>
      <c r="AF5895" s="498"/>
      <c r="AG5895" s="498"/>
      <c r="AH5895" s="498"/>
      <c r="AI5895" s="498"/>
      <c r="AK5895" s="498"/>
      <c r="AL5895" s="498"/>
      <c r="AM5895" s="498"/>
      <c r="AN5895" s="498"/>
      <c r="AO5895" s="498"/>
      <c r="AP5895" s="498"/>
      <c r="AQ5895" s="498"/>
      <c r="AR5895" s="498"/>
      <c r="AS5895" s="498"/>
      <c r="AT5895" s="498"/>
      <c r="AU5895" s="498"/>
      <c r="AV5895" s="498"/>
      <c r="AW5895" s="498"/>
      <c r="AX5895" s="498"/>
      <c r="AY5895" s="498"/>
      <c r="AZ5895" s="498"/>
      <c r="BA5895" s="498"/>
    </row>
    <row r="5896" spans="1:53" s="499" customFormat="1" x14ac:dyDescent="0.25">
      <c r="A5896" s="500"/>
      <c r="B5896" s="501"/>
      <c r="C5896" s="502"/>
      <c r="D5896" s="497"/>
      <c r="E5896" s="497"/>
      <c r="F5896" s="502"/>
      <c r="G5896" s="497"/>
      <c r="H5896" s="497"/>
      <c r="I5896" s="497"/>
      <c r="J5896" s="497"/>
      <c r="K5896" s="500"/>
      <c r="L5896" s="497"/>
      <c r="M5896"/>
      <c r="N5896" s="498"/>
      <c r="O5896" s="498"/>
      <c r="P5896" s="498"/>
      <c r="Q5896" s="498"/>
      <c r="R5896" s="498"/>
      <c r="T5896" s="498"/>
      <c r="U5896" s="498"/>
      <c r="V5896" s="498"/>
      <c r="W5896" s="498"/>
      <c r="X5896" s="498"/>
      <c r="Y5896" s="498"/>
      <c r="Z5896" s="498"/>
      <c r="AA5896" s="498"/>
      <c r="AB5896" s="498"/>
      <c r="AC5896" s="498"/>
      <c r="AD5896" s="498"/>
      <c r="AE5896" s="498"/>
      <c r="AF5896" s="498"/>
      <c r="AG5896" s="498"/>
      <c r="AH5896" s="498"/>
      <c r="AI5896" s="498"/>
      <c r="AK5896" s="498"/>
      <c r="AL5896" s="498"/>
      <c r="AM5896" s="498"/>
      <c r="AN5896" s="498"/>
      <c r="AO5896" s="498"/>
      <c r="AP5896" s="498"/>
      <c r="AQ5896" s="498"/>
      <c r="AR5896" s="498"/>
      <c r="AS5896" s="498"/>
      <c r="AT5896" s="498"/>
      <c r="AU5896" s="498"/>
      <c r="AV5896" s="498"/>
      <c r="AW5896" s="498"/>
      <c r="AX5896" s="498"/>
      <c r="AY5896" s="498"/>
      <c r="AZ5896" s="498"/>
      <c r="BA5896" s="498"/>
    </row>
    <row r="5897" spans="1:53" s="499" customFormat="1" x14ac:dyDescent="0.25">
      <c r="A5897" s="500"/>
      <c r="B5897" s="501"/>
      <c r="C5897" s="502"/>
      <c r="D5897" s="497"/>
      <c r="E5897" s="497"/>
      <c r="F5897" s="502"/>
      <c r="G5897" s="497"/>
      <c r="H5897" s="497"/>
      <c r="I5897" s="497"/>
      <c r="J5897" s="497"/>
      <c r="K5897" s="500"/>
      <c r="L5897" s="497"/>
      <c r="M5897"/>
      <c r="N5897" s="498"/>
      <c r="O5897" s="498"/>
      <c r="P5897" s="498"/>
      <c r="Q5897" s="498"/>
      <c r="R5897" s="498"/>
      <c r="T5897" s="498"/>
      <c r="U5897" s="498"/>
      <c r="V5897" s="498"/>
      <c r="W5897" s="498"/>
      <c r="X5897" s="498"/>
      <c r="Y5897" s="498"/>
      <c r="Z5897" s="498"/>
      <c r="AA5897" s="498"/>
      <c r="AB5897" s="498"/>
      <c r="AC5897" s="498"/>
      <c r="AD5897" s="498"/>
      <c r="AE5897" s="498"/>
      <c r="AF5897" s="498"/>
      <c r="AG5897" s="498"/>
      <c r="AH5897" s="498"/>
      <c r="AI5897" s="498"/>
      <c r="AK5897" s="498"/>
      <c r="AL5897" s="498"/>
      <c r="AM5897" s="498"/>
      <c r="AN5897" s="498"/>
      <c r="AO5897" s="498"/>
      <c r="AP5897" s="498"/>
      <c r="AQ5897" s="498"/>
      <c r="AR5897" s="498"/>
      <c r="AS5897" s="498"/>
      <c r="AT5897" s="498"/>
      <c r="AU5897" s="498"/>
      <c r="AV5897" s="498"/>
      <c r="AW5897" s="498"/>
      <c r="AX5897" s="498"/>
      <c r="AY5897" s="498"/>
      <c r="AZ5897" s="498"/>
      <c r="BA5897" s="498"/>
    </row>
    <row r="5898" spans="1:53" s="499" customFormat="1" x14ac:dyDescent="0.25">
      <c r="A5898" s="500"/>
      <c r="B5898" s="501"/>
      <c r="C5898" s="502"/>
      <c r="D5898" s="497"/>
      <c r="E5898" s="497"/>
      <c r="F5898" s="502"/>
      <c r="G5898" s="497"/>
      <c r="H5898" s="497"/>
      <c r="I5898" s="497"/>
      <c r="J5898" s="497"/>
      <c r="K5898" s="500"/>
      <c r="L5898" s="497"/>
      <c r="M5898"/>
      <c r="N5898" s="498"/>
      <c r="O5898" s="498"/>
      <c r="P5898" s="498"/>
      <c r="Q5898" s="498"/>
      <c r="R5898" s="498"/>
      <c r="T5898" s="498"/>
      <c r="U5898" s="498"/>
      <c r="V5898" s="498"/>
      <c r="W5898" s="498"/>
      <c r="X5898" s="498"/>
      <c r="Y5898" s="498"/>
      <c r="Z5898" s="498"/>
      <c r="AA5898" s="498"/>
      <c r="AB5898" s="498"/>
      <c r="AC5898" s="498"/>
      <c r="AD5898" s="498"/>
      <c r="AE5898" s="498"/>
      <c r="AF5898" s="498"/>
      <c r="AG5898" s="498"/>
      <c r="AH5898" s="498"/>
      <c r="AI5898" s="498"/>
      <c r="AK5898" s="498"/>
      <c r="AL5898" s="498"/>
      <c r="AM5898" s="498"/>
      <c r="AN5898" s="498"/>
      <c r="AO5898" s="498"/>
      <c r="AP5898" s="498"/>
      <c r="AQ5898" s="498"/>
      <c r="AR5898" s="498"/>
      <c r="AS5898" s="498"/>
      <c r="AT5898" s="498"/>
      <c r="AU5898" s="498"/>
      <c r="AV5898" s="498"/>
      <c r="AW5898" s="498"/>
      <c r="AX5898" s="498"/>
      <c r="AY5898" s="498"/>
      <c r="AZ5898" s="498"/>
      <c r="BA5898" s="498"/>
    </row>
    <row r="5899" spans="1:53" s="499" customFormat="1" x14ac:dyDescent="0.25">
      <c r="A5899" s="500"/>
      <c r="B5899" s="501"/>
      <c r="C5899" s="502"/>
      <c r="D5899" s="497"/>
      <c r="E5899" s="497"/>
      <c r="F5899" s="502"/>
      <c r="G5899" s="497"/>
      <c r="H5899" s="497"/>
      <c r="I5899" s="497"/>
      <c r="J5899" s="497"/>
      <c r="K5899" s="500"/>
      <c r="L5899" s="497"/>
      <c r="M5899"/>
      <c r="N5899" s="498"/>
      <c r="O5899" s="498"/>
      <c r="P5899" s="498"/>
      <c r="Q5899" s="498"/>
      <c r="R5899" s="498"/>
      <c r="T5899" s="498"/>
      <c r="U5899" s="498"/>
      <c r="V5899" s="498"/>
      <c r="W5899" s="498"/>
      <c r="X5899" s="498"/>
      <c r="Y5899" s="498"/>
      <c r="Z5899" s="498"/>
      <c r="AA5899" s="498"/>
      <c r="AB5899" s="498"/>
      <c r="AC5899" s="498"/>
      <c r="AD5899" s="498"/>
      <c r="AE5899" s="498"/>
      <c r="AF5899" s="498"/>
      <c r="AG5899" s="498"/>
      <c r="AH5899" s="498"/>
      <c r="AI5899" s="498"/>
      <c r="AK5899" s="498"/>
      <c r="AL5899" s="498"/>
      <c r="AM5899" s="498"/>
      <c r="AN5899" s="498"/>
      <c r="AO5899" s="498"/>
      <c r="AP5899" s="498"/>
      <c r="AQ5899" s="498"/>
      <c r="AR5899" s="498"/>
      <c r="AS5899" s="498"/>
      <c r="AT5899" s="498"/>
      <c r="AU5899" s="498"/>
      <c r="AV5899" s="498"/>
      <c r="AW5899" s="498"/>
      <c r="AX5899" s="498"/>
      <c r="AY5899" s="498"/>
      <c r="AZ5899" s="498"/>
      <c r="BA5899" s="498"/>
    </row>
    <row r="5900" spans="1:53" s="499" customFormat="1" x14ac:dyDescent="0.25">
      <c r="A5900" s="500"/>
      <c r="B5900" s="501"/>
      <c r="C5900" s="502"/>
      <c r="D5900" s="497"/>
      <c r="E5900" s="497"/>
      <c r="F5900" s="502"/>
      <c r="G5900" s="497"/>
      <c r="H5900" s="497"/>
      <c r="I5900" s="497"/>
      <c r="J5900" s="497"/>
      <c r="K5900" s="500"/>
      <c r="L5900" s="497"/>
      <c r="M5900"/>
      <c r="N5900" s="498"/>
      <c r="O5900" s="498"/>
      <c r="P5900" s="498"/>
      <c r="Q5900" s="498"/>
      <c r="R5900" s="498"/>
      <c r="T5900" s="498"/>
      <c r="U5900" s="498"/>
      <c r="V5900" s="498"/>
      <c r="W5900" s="498"/>
      <c r="X5900" s="498"/>
      <c r="Y5900" s="498"/>
      <c r="Z5900" s="498"/>
      <c r="AA5900" s="498"/>
      <c r="AB5900" s="498"/>
      <c r="AC5900" s="498"/>
      <c r="AD5900" s="498"/>
      <c r="AE5900" s="498"/>
      <c r="AF5900" s="498"/>
      <c r="AG5900" s="498"/>
      <c r="AH5900" s="498"/>
      <c r="AI5900" s="498"/>
      <c r="AK5900" s="498"/>
      <c r="AL5900" s="498"/>
      <c r="AM5900" s="498"/>
      <c r="AN5900" s="498"/>
      <c r="AO5900" s="498"/>
      <c r="AP5900" s="498"/>
      <c r="AQ5900" s="498"/>
      <c r="AR5900" s="498"/>
      <c r="AS5900" s="498"/>
      <c r="AT5900" s="498"/>
      <c r="AU5900" s="498"/>
      <c r="AV5900" s="498"/>
      <c r="AW5900" s="498"/>
      <c r="AX5900" s="498"/>
      <c r="AY5900" s="498"/>
      <c r="AZ5900" s="498"/>
      <c r="BA5900" s="498"/>
    </row>
    <row r="5901" spans="1:53" s="499" customFormat="1" x14ac:dyDescent="0.25">
      <c r="A5901" s="500"/>
      <c r="B5901" s="501"/>
      <c r="C5901" s="502"/>
      <c r="D5901" s="497"/>
      <c r="E5901" s="497"/>
      <c r="F5901" s="502"/>
      <c r="G5901" s="497"/>
      <c r="H5901" s="497"/>
      <c r="I5901" s="497"/>
      <c r="J5901" s="497"/>
      <c r="K5901" s="500"/>
      <c r="L5901" s="497"/>
      <c r="M5901"/>
      <c r="N5901" s="498"/>
      <c r="O5901" s="498"/>
      <c r="P5901" s="498"/>
      <c r="Q5901" s="498"/>
      <c r="R5901" s="498"/>
      <c r="T5901" s="498"/>
      <c r="U5901" s="498"/>
      <c r="V5901" s="498"/>
      <c r="W5901" s="498"/>
      <c r="X5901" s="498"/>
      <c r="Y5901" s="498"/>
      <c r="Z5901" s="498"/>
      <c r="AA5901" s="498"/>
      <c r="AB5901" s="498"/>
      <c r="AC5901" s="498"/>
      <c r="AD5901" s="498"/>
      <c r="AE5901" s="498"/>
      <c r="AF5901" s="498"/>
      <c r="AG5901" s="498"/>
      <c r="AH5901" s="498"/>
      <c r="AI5901" s="498"/>
      <c r="AK5901" s="498"/>
      <c r="AL5901" s="498"/>
      <c r="AM5901" s="498"/>
      <c r="AN5901" s="498"/>
      <c r="AO5901" s="498"/>
      <c r="AP5901" s="498"/>
      <c r="AQ5901" s="498"/>
      <c r="AR5901" s="498"/>
      <c r="AS5901" s="498"/>
      <c r="AT5901" s="498"/>
      <c r="AU5901" s="498"/>
      <c r="AV5901" s="498"/>
      <c r="AW5901" s="498"/>
      <c r="AX5901" s="498"/>
      <c r="AY5901" s="498"/>
      <c r="AZ5901" s="498"/>
      <c r="BA5901" s="498"/>
    </row>
    <row r="5902" spans="1:53" s="499" customFormat="1" x14ac:dyDescent="0.25">
      <c r="A5902" s="500"/>
      <c r="B5902" s="501"/>
      <c r="C5902" s="502"/>
      <c r="D5902" s="497"/>
      <c r="E5902" s="497"/>
      <c r="F5902" s="502"/>
      <c r="G5902" s="497"/>
      <c r="H5902" s="497"/>
      <c r="I5902" s="497"/>
      <c r="J5902" s="497"/>
      <c r="K5902" s="500"/>
      <c r="L5902" s="497"/>
      <c r="M5902"/>
      <c r="N5902" s="498"/>
      <c r="O5902" s="498"/>
      <c r="P5902" s="498"/>
      <c r="Q5902" s="498"/>
      <c r="R5902" s="498"/>
      <c r="T5902" s="498"/>
      <c r="U5902" s="498"/>
      <c r="V5902" s="498"/>
      <c r="W5902" s="498"/>
      <c r="X5902" s="498"/>
      <c r="Y5902" s="498"/>
      <c r="Z5902" s="498"/>
      <c r="AA5902" s="498"/>
      <c r="AB5902" s="498"/>
      <c r="AC5902" s="498"/>
      <c r="AD5902" s="498"/>
      <c r="AE5902" s="498"/>
      <c r="AF5902" s="498"/>
      <c r="AG5902" s="498"/>
      <c r="AH5902" s="498"/>
      <c r="AI5902" s="498"/>
      <c r="AK5902" s="498"/>
      <c r="AL5902" s="498"/>
      <c r="AM5902" s="498"/>
      <c r="AN5902" s="498"/>
      <c r="AO5902" s="498"/>
      <c r="AP5902" s="498"/>
      <c r="AQ5902" s="498"/>
      <c r="AR5902" s="498"/>
      <c r="AS5902" s="498"/>
      <c r="AT5902" s="498"/>
      <c r="AU5902" s="498"/>
      <c r="AV5902" s="498"/>
      <c r="AW5902" s="498"/>
      <c r="AX5902" s="498"/>
      <c r="AY5902" s="498"/>
      <c r="AZ5902" s="498"/>
      <c r="BA5902" s="498"/>
    </row>
    <row r="5903" spans="1:53" s="499" customFormat="1" x14ac:dyDescent="0.25">
      <c r="A5903" s="500"/>
      <c r="B5903" s="501"/>
      <c r="C5903" s="502"/>
      <c r="D5903" s="497"/>
      <c r="E5903" s="497"/>
      <c r="F5903" s="502"/>
      <c r="G5903" s="497"/>
      <c r="H5903" s="497"/>
      <c r="I5903" s="497"/>
      <c r="J5903" s="497"/>
      <c r="K5903" s="500"/>
      <c r="L5903" s="497"/>
      <c r="M5903"/>
      <c r="N5903" s="498"/>
      <c r="O5903" s="498"/>
      <c r="P5903" s="498"/>
      <c r="Q5903" s="498"/>
      <c r="R5903" s="498"/>
      <c r="T5903" s="498"/>
      <c r="U5903" s="498"/>
      <c r="V5903" s="498"/>
      <c r="W5903" s="498"/>
      <c r="X5903" s="498"/>
      <c r="Y5903" s="498"/>
      <c r="Z5903" s="498"/>
      <c r="AA5903" s="498"/>
      <c r="AB5903" s="498"/>
      <c r="AC5903" s="498"/>
      <c r="AD5903" s="498"/>
      <c r="AE5903" s="498"/>
      <c r="AF5903" s="498"/>
      <c r="AG5903" s="498"/>
      <c r="AH5903" s="498"/>
      <c r="AI5903" s="498"/>
      <c r="AK5903" s="498"/>
      <c r="AL5903" s="498"/>
      <c r="AM5903" s="498"/>
      <c r="AN5903" s="498"/>
      <c r="AO5903" s="498"/>
      <c r="AP5903" s="498"/>
      <c r="AQ5903" s="498"/>
      <c r="AR5903" s="498"/>
      <c r="AS5903" s="498"/>
      <c r="AT5903" s="498"/>
      <c r="AU5903" s="498"/>
      <c r="AV5903" s="498"/>
      <c r="AW5903" s="498"/>
      <c r="AX5903" s="498"/>
      <c r="AY5903" s="498"/>
      <c r="AZ5903" s="498"/>
      <c r="BA5903" s="498"/>
    </row>
    <row r="5904" spans="1:53" s="499" customFormat="1" x14ac:dyDescent="0.25">
      <c r="A5904" s="500"/>
      <c r="B5904" s="501"/>
      <c r="C5904" s="502"/>
      <c r="D5904" s="497"/>
      <c r="E5904" s="497"/>
      <c r="F5904" s="502"/>
      <c r="G5904" s="497"/>
      <c r="H5904" s="497"/>
      <c r="I5904" s="497"/>
      <c r="J5904" s="497"/>
      <c r="K5904" s="500"/>
      <c r="L5904" s="497"/>
      <c r="M5904"/>
      <c r="N5904" s="498"/>
      <c r="O5904" s="498"/>
      <c r="P5904" s="498"/>
      <c r="Q5904" s="498"/>
      <c r="R5904" s="498"/>
      <c r="T5904" s="498"/>
      <c r="U5904" s="498"/>
      <c r="V5904" s="498"/>
      <c r="W5904" s="498"/>
      <c r="X5904" s="498"/>
      <c r="Y5904" s="498"/>
      <c r="Z5904" s="498"/>
      <c r="AA5904" s="498"/>
      <c r="AB5904" s="498"/>
      <c r="AC5904" s="498"/>
      <c r="AD5904" s="498"/>
      <c r="AE5904" s="498"/>
      <c r="AF5904" s="498"/>
      <c r="AG5904" s="498"/>
      <c r="AH5904" s="498"/>
      <c r="AI5904" s="498"/>
      <c r="AK5904" s="498"/>
      <c r="AL5904" s="498"/>
      <c r="AM5904" s="498"/>
      <c r="AN5904" s="498"/>
      <c r="AO5904" s="498"/>
      <c r="AP5904" s="498"/>
      <c r="AQ5904" s="498"/>
      <c r="AR5904" s="498"/>
      <c r="AS5904" s="498"/>
      <c r="AT5904" s="498"/>
      <c r="AU5904" s="498"/>
      <c r="AV5904" s="498"/>
      <c r="AW5904" s="498"/>
      <c r="AX5904" s="498"/>
      <c r="AY5904" s="498"/>
      <c r="AZ5904" s="498"/>
      <c r="BA5904" s="498"/>
    </row>
    <row r="5905" spans="1:53" s="499" customFormat="1" x14ac:dyDescent="0.25">
      <c r="A5905" s="500"/>
      <c r="B5905" s="501"/>
      <c r="C5905" s="502"/>
      <c r="D5905" s="497"/>
      <c r="E5905" s="497"/>
      <c r="F5905" s="502"/>
      <c r="G5905" s="497"/>
      <c r="H5905" s="497"/>
      <c r="I5905" s="497"/>
      <c r="J5905" s="497"/>
      <c r="K5905" s="500"/>
      <c r="L5905" s="497"/>
      <c r="M5905"/>
      <c r="N5905" s="498"/>
      <c r="O5905" s="498"/>
      <c r="P5905" s="498"/>
      <c r="Q5905" s="498"/>
      <c r="R5905" s="498"/>
      <c r="T5905" s="498"/>
      <c r="U5905" s="498"/>
      <c r="V5905" s="498"/>
      <c r="W5905" s="498"/>
      <c r="X5905" s="498"/>
      <c r="Y5905" s="498"/>
      <c r="Z5905" s="498"/>
      <c r="AA5905" s="498"/>
      <c r="AB5905" s="498"/>
      <c r="AC5905" s="498"/>
      <c r="AD5905" s="498"/>
      <c r="AE5905" s="498"/>
      <c r="AF5905" s="498"/>
      <c r="AG5905" s="498"/>
      <c r="AH5905" s="498"/>
      <c r="AI5905" s="498"/>
      <c r="AK5905" s="498"/>
      <c r="AL5905" s="498"/>
      <c r="AM5905" s="498"/>
      <c r="AN5905" s="498"/>
      <c r="AO5905" s="498"/>
      <c r="AP5905" s="498"/>
      <c r="AQ5905" s="498"/>
      <c r="AR5905" s="498"/>
      <c r="AS5905" s="498"/>
      <c r="AT5905" s="498"/>
      <c r="AU5905" s="498"/>
      <c r="AV5905" s="498"/>
      <c r="AW5905" s="498"/>
      <c r="AX5905" s="498"/>
      <c r="AY5905" s="498"/>
      <c r="AZ5905" s="498"/>
      <c r="BA5905" s="498"/>
    </row>
    <row r="5906" spans="1:53" s="499" customFormat="1" x14ac:dyDescent="0.25">
      <c r="A5906" s="500"/>
      <c r="B5906" s="501"/>
      <c r="C5906" s="502"/>
      <c r="D5906" s="497"/>
      <c r="E5906" s="497"/>
      <c r="F5906" s="502"/>
      <c r="G5906" s="497"/>
      <c r="H5906" s="497"/>
      <c r="I5906" s="497"/>
      <c r="J5906" s="497"/>
      <c r="K5906" s="500"/>
      <c r="L5906" s="497"/>
      <c r="M5906"/>
      <c r="N5906" s="498"/>
      <c r="O5906" s="498"/>
      <c r="P5906" s="498"/>
      <c r="Q5906" s="498"/>
      <c r="R5906" s="498"/>
      <c r="T5906" s="498"/>
      <c r="U5906" s="498"/>
      <c r="V5906" s="498"/>
      <c r="W5906" s="498"/>
      <c r="X5906" s="498"/>
      <c r="Y5906" s="498"/>
      <c r="Z5906" s="498"/>
      <c r="AA5906" s="498"/>
      <c r="AB5906" s="498"/>
      <c r="AC5906" s="498"/>
      <c r="AD5906" s="498"/>
      <c r="AE5906" s="498"/>
      <c r="AF5906" s="498"/>
      <c r="AG5906" s="498"/>
      <c r="AH5906" s="498"/>
      <c r="AI5906" s="498"/>
      <c r="AK5906" s="498"/>
      <c r="AL5906" s="498"/>
      <c r="AM5906" s="498"/>
      <c r="AN5906" s="498"/>
      <c r="AO5906" s="498"/>
      <c r="AP5906" s="498"/>
      <c r="AQ5906" s="498"/>
      <c r="AR5906" s="498"/>
      <c r="AS5906" s="498"/>
      <c r="AT5906" s="498"/>
      <c r="AU5906" s="498"/>
      <c r="AV5906" s="498"/>
      <c r="AW5906" s="498"/>
      <c r="AX5906" s="498"/>
      <c r="AY5906" s="498"/>
      <c r="AZ5906" s="498"/>
      <c r="BA5906" s="498"/>
    </row>
    <row r="5907" spans="1:53" s="499" customFormat="1" x14ac:dyDescent="0.25">
      <c r="A5907" s="500"/>
      <c r="B5907" s="501"/>
      <c r="C5907" s="502"/>
      <c r="D5907" s="497"/>
      <c r="E5907" s="497"/>
      <c r="F5907" s="502"/>
      <c r="G5907" s="497"/>
      <c r="H5907" s="497"/>
      <c r="I5907" s="497"/>
      <c r="J5907" s="497"/>
      <c r="K5907" s="500"/>
      <c r="L5907" s="497"/>
      <c r="M5907"/>
      <c r="N5907" s="498"/>
      <c r="O5907" s="498"/>
      <c r="P5907" s="498"/>
      <c r="Q5907" s="498"/>
      <c r="R5907" s="498"/>
      <c r="T5907" s="498"/>
      <c r="U5907" s="498"/>
      <c r="V5907" s="498"/>
      <c r="W5907" s="498"/>
      <c r="X5907" s="498"/>
      <c r="Y5907" s="498"/>
      <c r="Z5907" s="498"/>
      <c r="AA5907" s="498"/>
      <c r="AB5907" s="498"/>
      <c r="AC5907" s="498"/>
      <c r="AD5907" s="498"/>
      <c r="AE5907" s="498"/>
      <c r="AF5907" s="498"/>
      <c r="AG5907" s="498"/>
      <c r="AH5907" s="498"/>
      <c r="AI5907" s="498"/>
      <c r="AK5907" s="498"/>
      <c r="AL5907" s="498"/>
      <c r="AM5907" s="498"/>
      <c r="AN5907" s="498"/>
      <c r="AO5907" s="498"/>
      <c r="AP5907" s="498"/>
      <c r="AQ5907" s="498"/>
      <c r="AR5907" s="498"/>
      <c r="AS5907" s="498"/>
      <c r="AT5907" s="498"/>
      <c r="AU5907" s="498"/>
      <c r="AV5907" s="498"/>
      <c r="AW5907" s="498"/>
      <c r="AX5907" s="498"/>
      <c r="AY5907" s="498"/>
      <c r="AZ5907" s="498"/>
      <c r="BA5907" s="498"/>
    </row>
    <row r="5908" spans="1:53" s="499" customFormat="1" x14ac:dyDescent="0.25">
      <c r="A5908" s="500"/>
      <c r="B5908" s="501"/>
      <c r="C5908" s="502"/>
      <c r="D5908" s="497"/>
      <c r="E5908" s="497"/>
      <c r="F5908" s="502"/>
      <c r="G5908" s="497"/>
      <c r="H5908" s="497"/>
      <c r="I5908" s="497"/>
      <c r="J5908" s="497"/>
      <c r="K5908" s="500"/>
      <c r="L5908" s="497"/>
      <c r="M5908"/>
      <c r="N5908" s="498"/>
      <c r="O5908" s="498"/>
      <c r="P5908" s="498"/>
      <c r="Q5908" s="498"/>
      <c r="R5908" s="498"/>
      <c r="T5908" s="498"/>
      <c r="U5908" s="498"/>
      <c r="V5908" s="498"/>
      <c r="W5908" s="498"/>
      <c r="X5908" s="498"/>
      <c r="Y5908" s="498"/>
      <c r="Z5908" s="498"/>
      <c r="AA5908" s="498"/>
      <c r="AB5908" s="498"/>
      <c r="AC5908" s="498"/>
      <c r="AD5908" s="498"/>
      <c r="AE5908" s="498"/>
      <c r="AF5908" s="498"/>
      <c r="AG5908" s="498"/>
      <c r="AH5908" s="498"/>
      <c r="AI5908" s="498"/>
      <c r="AK5908" s="498"/>
      <c r="AL5908" s="498"/>
      <c r="AM5908" s="498"/>
      <c r="AN5908" s="498"/>
      <c r="AO5908" s="498"/>
      <c r="AP5908" s="498"/>
      <c r="AQ5908" s="498"/>
      <c r="AR5908" s="498"/>
      <c r="AS5908" s="498"/>
      <c r="AT5908" s="498"/>
      <c r="AU5908" s="498"/>
      <c r="AV5908" s="498"/>
      <c r="AW5908" s="498"/>
      <c r="AX5908" s="498"/>
      <c r="AY5908" s="498"/>
      <c r="AZ5908" s="498"/>
      <c r="BA5908" s="498"/>
    </row>
    <row r="5909" spans="1:53" s="499" customFormat="1" x14ac:dyDescent="0.25">
      <c r="A5909" s="500"/>
      <c r="B5909" s="501"/>
      <c r="C5909" s="502"/>
      <c r="D5909" s="497"/>
      <c r="E5909" s="497"/>
      <c r="F5909" s="502"/>
      <c r="G5909" s="497"/>
      <c r="H5909" s="497"/>
      <c r="I5909" s="497"/>
      <c r="J5909" s="497"/>
      <c r="K5909" s="500"/>
      <c r="L5909" s="497"/>
      <c r="M5909"/>
      <c r="N5909" s="498"/>
      <c r="O5909" s="498"/>
      <c r="P5909" s="498"/>
      <c r="Q5909" s="498"/>
      <c r="R5909" s="498"/>
      <c r="T5909" s="498"/>
      <c r="U5909" s="498"/>
      <c r="V5909" s="498"/>
      <c r="W5909" s="498"/>
      <c r="X5909" s="498"/>
      <c r="Y5909" s="498"/>
      <c r="Z5909" s="498"/>
      <c r="AA5909" s="498"/>
      <c r="AB5909" s="498"/>
      <c r="AC5909" s="498"/>
      <c r="AD5909" s="498"/>
      <c r="AE5909" s="498"/>
      <c r="AF5909" s="498"/>
      <c r="AG5909" s="498"/>
      <c r="AH5909" s="498"/>
      <c r="AI5909" s="498"/>
      <c r="AK5909" s="498"/>
      <c r="AL5909" s="498"/>
      <c r="AM5909" s="498"/>
      <c r="AN5909" s="498"/>
      <c r="AO5909" s="498"/>
      <c r="AP5909" s="498"/>
      <c r="AQ5909" s="498"/>
      <c r="AR5909" s="498"/>
      <c r="AS5909" s="498"/>
      <c r="AT5909" s="498"/>
      <c r="AU5909" s="498"/>
      <c r="AV5909" s="498"/>
      <c r="AW5909" s="498"/>
      <c r="AX5909" s="498"/>
      <c r="AY5909" s="498"/>
      <c r="AZ5909" s="498"/>
      <c r="BA5909" s="498"/>
    </row>
    <row r="5910" spans="1:53" s="499" customFormat="1" x14ac:dyDescent="0.25">
      <c r="A5910" s="500"/>
      <c r="B5910" s="501"/>
      <c r="C5910" s="502"/>
      <c r="D5910" s="497"/>
      <c r="E5910" s="497"/>
      <c r="F5910" s="502"/>
      <c r="G5910" s="497"/>
      <c r="H5910" s="497"/>
      <c r="I5910" s="497"/>
      <c r="J5910" s="497"/>
      <c r="K5910" s="500"/>
      <c r="L5910" s="497"/>
      <c r="M5910"/>
      <c r="N5910" s="498"/>
      <c r="O5910" s="498"/>
      <c r="P5910" s="498"/>
      <c r="Q5910" s="498"/>
      <c r="R5910" s="498"/>
      <c r="T5910" s="498"/>
      <c r="U5910" s="498"/>
      <c r="V5910" s="498"/>
      <c r="W5910" s="498"/>
      <c r="X5910" s="498"/>
      <c r="Y5910" s="498"/>
      <c r="Z5910" s="498"/>
      <c r="AA5910" s="498"/>
      <c r="AB5910" s="498"/>
      <c r="AC5910" s="498"/>
      <c r="AD5910" s="498"/>
      <c r="AE5910" s="498"/>
      <c r="AF5910" s="498"/>
      <c r="AG5910" s="498"/>
      <c r="AH5910" s="498"/>
      <c r="AI5910" s="498"/>
      <c r="AK5910" s="498"/>
      <c r="AL5910" s="498"/>
      <c r="AM5910" s="498"/>
      <c r="AN5910" s="498"/>
      <c r="AO5910" s="498"/>
      <c r="AP5910" s="498"/>
      <c r="AQ5910" s="498"/>
      <c r="AR5910" s="498"/>
      <c r="AS5910" s="498"/>
      <c r="AT5910" s="498"/>
      <c r="AU5910" s="498"/>
      <c r="AV5910" s="498"/>
      <c r="AW5910" s="498"/>
      <c r="AX5910" s="498"/>
      <c r="AY5910" s="498"/>
      <c r="AZ5910" s="498"/>
      <c r="BA5910" s="498"/>
    </row>
    <row r="5911" spans="1:53" s="499" customFormat="1" x14ac:dyDescent="0.25">
      <c r="A5911" s="500"/>
      <c r="B5911" s="501"/>
      <c r="C5911" s="502"/>
      <c r="D5911" s="497"/>
      <c r="E5911" s="497"/>
      <c r="F5911" s="502"/>
      <c r="G5911" s="497"/>
      <c r="H5911" s="497"/>
      <c r="I5911" s="497"/>
      <c r="J5911" s="497"/>
      <c r="K5911" s="500"/>
      <c r="L5911" s="497"/>
      <c r="M5911"/>
      <c r="N5911" s="498"/>
      <c r="O5911" s="498"/>
      <c r="P5911" s="498"/>
      <c r="Q5911" s="498"/>
      <c r="R5911" s="498"/>
      <c r="T5911" s="498"/>
      <c r="U5911" s="498"/>
      <c r="V5911" s="498"/>
      <c r="W5911" s="498"/>
      <c r="X5911" s="498"/>
      <c r="Y5911" s="498"/>
      <c r="Z5911" s="498"/>
      <c r="AA5911" s="498"/>
      <c r="AB5911" s="498"/>
      <c r="AC5911" s="498"/>
      <c r="AD5911" s="498"/>
      <c r="AE5911" s="498"/>
      <c r="AF5911" s="498"/>
      <c r="AG5911" s="498"/>
      <c r="AH5911" s="498"/>
      <c r="AI5911" s="498"/>
      <c r="AK5911" s="498"/>
      <c r="AL5911" s="498"/>
      <c r="AM5911" s="498"/>
      <c r="AN5911" s="498"/>
      <c r="AO5911" s="498"/>
      <c r="AP5911" s="498"/>
      <c r="AQ5911" s="498"/>
      <c r="AR5911" s="498"/>
      <c r="AS5911" s="498"/>
      <c r="AT5911" s="498"/>
      <c r="AU5911" s="498"/>
      <c r="AV5911" s="498"/>
      <c r="AW5911" s="498"/>
      <c r="AX5911" s="498"/>
      <c r="AY5911" s="498"/>
      <c r="AZ5911" s="498"/>
      <c r="BA5911" s="498"/>
    </row>
    <row r="5912" spans="1:53" s="499" customFormat="1" x14ac:dyDescent="0.25">
      <c r="A5912" s="500"/>
      <c r="B5912" s="501"/>
      <c r="C5912" s="502"/>
      <c r="D5912" s="497"/>
      <c r="E5912" s="497"/>
      <c r="F5912" s="502"/>
      <c r="G5912" s="497"/>
      <c r="H5912" s="497"/>
      <c r="I5912" s="497"/>
      <c r="J5912" s="497"/>
      <c r="K5912" s="500"/>
      <c r="L5912" s="497"/>
      <c r="M5912"/>
      <c r="N5912" s="498"/>
      <c r="O5912" s="498"/>
      <c r="P5912" s="498"/>
      <c r="Q5912" s="498"/>
      <c r="R5912" s="498"/>
      <c r="T5912" s="498"/>
      <c r="U5912" s="498"/>
      <c r="V5912" s="498"/>
      <c r="W5912" s="498"/>
      <c r="X5912" s="498"/>
      <c r="Y5912" s="498"/>
      <c r="Z5912" s="498"/>
      <c r="AA5912" s="498"/>
      <c r="AB5912" s="498"/>
      <c r="AC5912" s="498"/>
      <c r="AD5912" s="498"/>
      <c r="AE5912" s="498"/>
      <c r="AF5912" s="498"/>
      <c r="AG5912" s="498"/>
      <c r="AH5912" s="498"/>
      <c r="AI5912" s="498"/>
      <c r="AK5912" s="498"/>
      <c r="AL5912" s="498"/>
      <c r="AM5912" s="498"/>
      <c r="AN5912" s="498"/>
      <c r="AO5912" s="498"/>
      <c r="AP5912" s="498"/>
      <c r="AQ5912" s="498"/>
      <c r="AR5912" s="498"/>
      <c r="AS5912" s="498"/>
      <c r="AT5912" s="498"/>
      <c r="AU5912" s="498"/>
      <c r="AV5912" s="498"/>
      <c r="AW5912" s="498"/>
      <c r="AX5912" s="498"/>
      <c r="AY5912" s="498"/>
      <c r="AZ5912" s="498"/>
      <c r="BA5912" s="498"/>
    </row>
    <row r="5913" spans="1:53" s="499" customFormat="1" x14ac:dyDescent="0.25">
      <c r="A5913" s="500"/>
      <c r="B5913" s="501"/>
      <c r="C5913" s="502"/>
      <c r="D5913" s="497"/>
      <c r="E5913" s="497"/>
      <c r="F5913" s="502"/>
      <c r="G5913" s="497"/>
      <c r="H5913" s="497"/>
      <c r="I5913" s="497"/>
      <c r="J5913" s="497"/>
      <c r="K5913" s="500"/>
      <c r="L5913" s="497"/>
      <c r="M5913"/>
      <c r="N5913" s="498"/>
      <c r="O5913" s="498"/>
      <c r="P5913" s="498"/>
      <c r="Q5913" s="498"/>
      <c r="R5913" s="498"/>
      <c r="T5913" s="498"/>
      <c r="U5913" s="498"/>
      <c r="V5913" s="498"/>
      <c r="W5913" s="498"/>
      <c r="X5913" s="498"/>
      <c r="Y5913" s="498"/>
      <c r="Z5913" s="498"/>
      <c r="AA5913" s="498"/>
      <c r="AB5913" s="498"/>
      <c r="AC5913" s="498"/>
      <c r="AD5913" s="498"/>
      <c r="AE5913" s="498"/>
      <c r="AF5913" s="498"/>
      <c r="AG5913" s="498"/>
      <c r="AH5913" s="498"/>
      <c r="AI5913" s="498"/>
      <c r="AK5913" s="498"/>
      <c r="AL5913" s="498"/>
      <c r="AM5913" s="498"/>
      <c r="AN5913" s="498"/>
      <c r="AO5913" s="498"/>
      <c r="AP5913" s="498"/>
      <c r="AQ5913" s="498"/>
      <c r="AR5913" s="498"/>
      <c r="AS5913" s="498"/>
      <c r="AT5913" s="498"/>
      <c r="AU5913" s="498"/>
      <c r="AV5913" s="498"/>
      <c r="AW5913" s="498"/>
      <c r="AX5913" s="498"/>
      <c r="AY5913" s="498"/>
      <c r="AZ5913" s="498"/>
      <c r="BA5913" s="498"/>
    </row>
    <row r="5914" spans="1:53" s="499" customFormat="1" x14ac:dyDescent="0.25">
      <c r="A5914" s="500"/>
      <c r="B5914" s="501"/>
      <c r="C5914" s="502"/>
      <c r="D5914" s="497"/>
      <c r="E5914" s="497"/>
      <c r="F5914" s="502"/>
      <c r="G5914" s="497"/>
      <c r="H5914" s="497"/>
      <c r="I5914" s="497"/>
      <c r="J5914" s="497"/>
      <c r="K5914" s="500"/>
      <c r="L5914" s="497"/>
      <c r="M5914"/>
      <c r="N5914" s="498"/>
      <c r="O5914" s="498"/>
      <c r="P5914" s="498"/>
      <c r="Q5914" s="498"/>
      <c r="R5914" s="498"/>
      <c r="T5914" s="498"/>
      <c r="U5914" s="498"/>
      <c r="V5914" s="498"/>
      <c r="W5914" s="498"/>
      <c r="X5914" s="498"/>
      <c r="Y5914" s="498"/>
      <c r="Z5914" s="498"/>
      <c r="AA5914" s="498"/>
      <c r="AB5914" s="498"/>
      <c r="AC5914" s="498"/>
      <c r="AD5914" s="498"/>
      <c r="AE5914" s="498"/>
      <c r="AF5914" s="498"/>
      <c r="AG5914" s="498"/>
      <c r="AH5914" s="498"/>
      <c r="AI5914" s="498"/>
      <c r="AK5914" s="498"/>
      <c r="AL5914" s="498"/>
      <c r="AM5914" s="498"/>
      <c r="AN5914" s="498"/>
      <c r="AO5914" s="498"/>
      <c r="AP5914" s="498"/>
      <c r="AQ5914" s="498"/>
      <c r="AR5914" s="498"/>
      <c r="AS5914" s="498"/>
      <c r="AT5914" s="498"/>
      <c r="AU5914" s="498"/>
      <c r="AV5914" s="498"/>
      <c r="AW5914" s="498"/>
      <c r="AX5914" s="498"/>
      <c r="AY5914" s="498"/>
      <c r="AZ5914" s="498"/>
      <c r="BA5914" s="498"/>
    </row>
    <row r="5915" spans="1:53" s="499" customFormat="1" x14ac:dyDescent="0.25">
      <c r="A5915" s="500"/>
      <c r="B5915" s="501"/>
      <c r="C5915" s="502"/>
      <c r="D5915" s="497"/>
      <c r="E5915" s="497"/>
      <c r="F5915" s="502"/>
      <c r="G5915" s="497"/>
      <c r="H5915" s="497"/>
      <c r="I5915" s="497"/>
      <c r="J5915" s="497"/>
      <c r="K5915" s="500"/>
      <c r="L5915" s="497"/>
      <c r="M5915"/>
      <c r="N5915" s="498"/>
      <c r="O5915" s="498"/>
      <c r="P5915" s="498"/>
      <c r="Q5915" s="498"/>
      <c r="R5915" s="498"/>
      <c r="T5915" s="498"/>
      <c r="U5915" s="498"/>
      <c r="V5915" s="498"/>
      <c r="W5915" s="498"/>
      <c r="X5915" s="498"/>
      <c r="Y5915" s="498"/>
      <c r="Z5915" s="498"/>
      <c r="AA5915" s="498"/>
      <c r="AB5915" s="498"/>
      <c r="AC5915" s="498"/>
      <c r="AD5915" s="498"/>
      <c r="AE5915" s="498"/>
      <c r="AF5915" s="498"/>
      <c r="AG5915" s="498"/>
      <c r="AH5915" s="498"/>
      <c r="AI5915" s="498"/>
      <c r="AK5915" s="498"/>
      <c r="AL5915" s="498"/>
      <c r="AM5915" s="498"/>
      <c r="AN5915" s="498"/>
      <c r="AO5915" s="498"/>
      <c r="AP5915" s="498"/>
      <c r="AQ5915" s="498"/>
      <c r="AR5915" s="498"/>
      <c r="AS5915" s="498"/>
      <c r="AT5915" s="498"/>
      <c r="AU5915" s="498"/>
      <c r="AV5915" s="498"/>
      <c r="AW5915" s="498"/>
      <c r="AX5915" s="498"/>
      <c r="AY5915" s="498"/>
      <c r="AZ5915" s="498"/>
      <c r="BA5915" s="498"/>
    </row>
    <row r="5916" spans="1:53" s="499" customFormat="1" x14ac:dyDescent="0.25">
      <c r="A5916" s="500"/>
      <c r="B5916" s="501"/>
      <c r="C5916" s="502"/>
      <c r="D5916" s="497"/>
      <c r="E5916" s="497"/>
      <c r="F5916" s="502"/>
      <c r="G5916" s="497"/>
      <c r="H5916" s="497"/>
      <c r="I5916" s="497"/>
      <c r="J5916" s="497"/>
      <c r="K5916" s="500"/>
      <c r="L5916" s="497"/>
      <c r="M5916"/>
      <c r="N5916" s="498"/>
      <c r="O5916" s="498"/>
      <c r="P5916" s="498"/>
      <c r="Q5916" s="498"/>
      <c r="R5916" s="498"/>
      <c r="T5916" s="498"/>
      <c r="U5916" s="498"/>
      <c r="V5916" s="498"/>
      <c r="W5916" s="498"/>
      <c r="X5916" s="498"/>
      <c r="Y5916" s="498"/>
      <c r="Z5916" s="498"/>
      <c r="AA5916" s="498"/>
      <c r="AB5916" s="498"/>
      <c r="AC5916" s="498"/>
      <c r="AD5916" s="498"/>
      <c r="AE5916" s="498"/>
      <c r="AF5916" s="498"/>
      <c r="AG5916" s="498"/>
      <c r="AH5916" s="498"/>
      <c r="AI5916" s="498"/>
      <c r="AK5916" s="498"/>
      <c r="AL5916" s="498"/>
      <c r="AM5916" s="498"/>
      <c r="AN5916" s="498"/>
      <c r="AO5916" s="498"/>
      <c r="AP5916" s="498"/>
      <c r="AQ5916" s="498"/>
      <c r="AR5916" s="498"/>
      <c r="AS5916" s="498"/>
      <c r="AT5916" s="498"/>
      <c r="AU5916" s="498"/>
      <c r="AV5916" s="498"/>
      <c r="AW5916" s="498"/>
      <c r="AX5916" s="498"/>
      <c r="AY5916" s="498"/>
      <c r="AZ5916" s="498"/>
      <c r="BA5916" s="498"/>
    </row>
    <row r="5917" spans="1:53" s="499" customFormat="1" x14ac:dyDescent="0.25">
      <c r="A5917" s="500"/>
      <c r="B5917" s="501"/>
      <c r="C5917" s="502"/>
      <c r="D5917" s="497"/>
      <c r="E5917" s="497"/>
      <c r="F5917" s="502"/>
      <c r="G5917" s="497"/>
      <c r="H5917" s="497"/>
      <c r="I5917" s="497"/>
      <c r="J5917" s="497"/>
      <c r="K5917" s="500"/>
      <c r="L5917" s="497"/>
      <c r="M5917"/>
      <c r="N5917" s="498"/>
      <c r="O5917" s="498"/>
      <c r="P5917" s="498"/>
      <c r="Q5917" s="498"/>
      <c r="R5917" s="498"/>
      <c r="T5917" s="498"/>
      <c r="U5917" s="498"/>
      <c r="V5917" s="498"/>
      <c r="W5917" s="498"/>
      <c r="X5917" s="498"/>
      <c r="Y5917" s="498"/>
      <c r="Z5917" s="498"/>
      <c r="AA5917" s="498"/>
      <c r="AB5917" s="498"/>
      <c r="AC5917" s="498"/>
      <c r="AD5917" s="498"/>
      <c r="AE5917" s="498"/>
      <c r="AF5917" s="498"/>
      <c r="AG5917" s="498"/>
      <c r="AH5917" s="498"/>
      <c r="AI5917" s="498"/>
      <c r="AK5917" s="498"/>
      <c r="AL5917" s="498"/>
      <c r="AM5917" s="498"/>
      <c r="AN5917" s="498"/>
      <c r="AO5917" s="498"/>
      <c r="AP5917" s="498"/>
      <c r="AQ5917" s="498"/>
      <c r="AR5917" s="498"/>
      <c r="AS5917" s="498"/>
      <c r="AT5917" s="498"/>
      <c r="AU5917" s="498"/>
      <c r="AV5917" s="498"/>
      <c r="AW5917" s="498"/>
      <c r="AX5917" s="498"/>
      <c r="AY5917" s="498"/>
      <c r="AZ5917" s="498"/>
      <c r="BA5917" s="498"/>
    </row>
    <row r="5918" spans="1:53" s="499" customFormat="1" x14ac:dyDescent="0.25">
      <c r="A5918" s="500"/>
      <c r="B5918" s="501"/>
      <c r="C5918" s="502"/>
      <c r="D5918" s="497"/>
      <c r="E5918" s="497"/>
      <c r="F5918" s="502"/>
      <c r="G5918" s="497"/>
      <c r="H5918" s="497"/>
      <c r="I5918" s="497"/>
      <c r="J5918" s="497"/>
      <c r="K5918" s="500"/>
      <c r="L5918" s="497"/>
      <c r="M5918"/>
      <c r="N5918" s="498"/>
      <c r="O5918" s="498"/>
      <c r="P5918" s="498"/>
      <c r="Q5918" s="498"/>
      <c r="R5918" s="498"/>
      <c r="T5918" s="498"/>
      <c r="U5918" s="498"/>
      <c r="V5918" s="498"/>
      <c r="W5918" s="498"/>
      <c r="X5918" s="498"/>
      <c r="Y5918" s="498"/>
      <c r="Z5918" s="498"/>
      <c r="AA5918" s="498"/>
      <c r="AB5918" s="498"/>
      <c r="AC5918" s="498"/>
      <c r="AD5918" s="498"/>
      <c r="AE5918" s="498"/>
      <c r="AF5918" s="498"/>
      <c r="AG5918" s="498"/>
      <c r="AH5918" s="498"/>
      <c r="AI5918" s="498"/>
      <c r="AK5918" s="498"/>
      <c r="AL5918" s="498"/>
      <c r="AM5918" s="498"/>
      <c r="AN5918" s="498"/>
      <c r="AO5918" s="498"/>
      <c r="AP5918" s="498"/>
      <c r="AQ5918" s="498"/>
      <c r="AR5918" s="498"/>
      <c r="AS5918" s="498"/>
      <c r="AT5918" s="498"/>
      <c r="AU5918" s="498"/>
      <c r="AV5918" s="498"/>
      <c r="AW5918" s="498"/>
      <c r="AX5918" s="498"/>
      <c r="AY5918" s="498"/>
      <c r="AZ5918" s="498"/>
      <c r="BA5918" s="498"/>
    </row>
    <row r="5919" spans="1:53" s="499" customFormat="1" x14ac:dyDescent="0.25">
      <c r="A5919" s="500"/>
      <c r="B5919" s="501"/>
      <c r="C5919" s="502"/>
      <c r="D5919" s="497"/>
      <c r="E5919" s="497"/>
      <c r="F5919" s="502"/>
      <c r="G5919" s="497"/>
      <c r="H5919" s="497"/>
      <c r="I5919" s="497"/>
      <c r="J5919" s="497"/>
      <c r="K5919" s="500"/>
      <c r="L5919" s="497"/>
      <c r="M5919"/>
      <c r="N5919" s="498"/>
      <c r="O5919" s="498"/>
      <c r="P5919" s="498"/>
      <c r="Q5919" s="498"/>
      <c r="R5919" s="498"/>
      <c r="T5919" s="498"/>
      <c r="U5919" s="498"/>
      <c r="V5919" s="498"/>
      <c r="W5919" s="498"/>
      <c r="X5919" s="498"/>
      <c r="Y5919" s="498"/>
      <c r="Z5919" s="498"/>
      <c r="AA5919" s="498"/>
      <c r="AB5919" s="498"/>
      <c r="AC5919" s="498"/>
      <c r="AD5919" s="498"/>
      <c r="AE5919" s="498"/>
      <c r="AF5919" s="498"/>
      <c r="AG5919" s="498"/>
      <c r="AH5919" s="498"/>
      <c r="AI5919" s="498"/>
      <c r="AK5919" s="498"/>
      <c r="AL5919" s="498"/>
      <c r="AM5919" s="498"/>
      <c r="AN5919" s="498"/>
      <c r="AO5919" s="498"/>
      <c r="AP5919" s="498"/>
      <c r="AQ5919" s="498"/>
      <c r="AR5919" s="498"/>
      <c r="AS5919" s="498"/>
      <c r="AT5919" s="498"/>
      <c r="AU5919" s="498"/>
      <c r="AV5919" s="498"/>
      <c r="AW5919" s="498"/>
      <c r="AX5919" s="498"/>
      <c r="AY5919" s="498"/>
      <c r="AZ5919" s="498"/>
      <c r="BA5919" s="498"/>
    </row>
    <row r="5920" spans="1:53" s="499" customFormat="1" x14ac:dyDescent="0.25">
      <c r="A5920" s="500"/>
      <c r="B5920" s="501"/>
      <c r="C5920" s="502"/>
      <c r="D5920" s="497"/>
      <c r="E5920" s="497"/>
      <c r="F5920" s="502"/>
      <c r="G5920" s="497"/>
      <c r="H5920" s="497"/>
      <c r="I5920" s="497"/>
      <c r="J5920" s="497"/>
      <c r="K5920" s="500"/>
      <c r="L5920" s="497"/>
      <c r="M5920"/>
      <c r="N5920" s="498"/>
      <c r="O5920" s="498"/>
      <c r="P5920" s="498"/>
      <c r="Q5920" s="498"/>
      <c r="R5920" s="498"/>
      <c r="T5920" s="498"/>
      <c r="U5920" s="498"/>
      <c r="V5920" s="498"/>
      <c r="W5920" s="498"/>
      <c r="X5920" s="498"/>
      <c r="Y5920" s="498"/>
      <c r="Z5920" s="498"/>
      <c r="AA5920" s="498"/>
      <c r="AB5920" s="498"/>
      <c r="AC5920" s="498"/>
      <c r="AD5920" s="498"/>
      <c r="AE5920" s="498"/>
      <c r="AF5920" s="498"/>
      <c r="AG5920" s="498"/>
      <c r="AH5920" s="498"/>
      <c r="AI5920" s="498"/>
      <c r="AK5920" s="498"/>
      <c r="AL5920" s="498"/>
      <c r="AM5920" s="498"/>
      <c r="AN5920" s="498"/>
      <c r="AO5920" s="498"/>
      <c r="AP5920" s="498"/>
      <c r="AQ5920" s="498"/>
      <c r="AR5920" s="498"/>
      <c r="AS5920" s="498"/>
      <c r="AT5920" s="498"/>
      <c r="AU5920" s="498"/>
      <c r="AV5920" s="498"/>
      <c r="AW5920" s="498"/>
      <c r="AX5920" s="498"/>
      <c r="AY5920" s="498"/>
      <c r="AZ5920" s="498"/>
      <c r="BA5920" s="498"/>
    </row>
    <row r="5921" spans="1:53" s="499" customFormat="1" x14ac:dyDescent="0.25">
      <c r="A5921" s="500"/>
      <c r="B5921" s="501"/>
      <c r="C5921" s="502"/>
      <c r="D5921" s="497"/>
      <c r="E5921" s="497"/>
      <c r="F5921" s="502"/>
      <c r="G5921" s="497"/>
      <c r="H5921" s="497"/>
      <c r="I5921" s="497"/>
      <c r="J5921" s="497"/>
      <c r="K5921" s="500"/>
      <c r="L5921" s="497"/>
      <c r="M5921"/>
      <c r="N5921" s="498"/>
      <c r="O5921" s="498"/>
      <c r="P5921" s="498"/>
      <c r="Q5921" s="498"/>
      <c r="R5921" s="498"/>
      <c r="T5921" s="498"/>
      <c r="U5921" s="498"/>
      <c r="V5921" s="498"/>
      <c r="W5921" s="498"/>
      <c r="X5921" s="498"/>
      <c r="Y5921" s="498"/>
      <c r="Z5921" s="498"/>
      <c r="AA5921" s="498"/>
      <c r="AB5921" s="498"/>
      <c r="AC5921" s="498"/>
      <c r="AD5921" s="498"/>
      <c r="AE5921" s="498"/>
      <c r="AF5921" s="498"/>
      <c r="AG5921" s="498"/>
      <c r="AH5921" s="498"/>
      <c r="AI5921" s="498"/>
      <c r="AK5921" s="498"/>
      <c r="AL5921" s="498"/>
      <c r="AM5921" s="498"/>
      <c r="AN5921" s="498"/>
      <c r="AO5921" s="498"/>
      <c r="AP5921" s="498"/>
      <c r="AQ5921" s="498"/>
      <c r="AR5921" s="498"/>
      <c r="AS5921" s="498"/>
      <c r="AT5921" s="498"/>
      <c r="AU5921" s="498"/>
      <c r="AV5921" s="498"/>
      <c r="AW5921" s="498"/>
      <c r="AX5921" s="498"/>
      <c r="AY5921" s="498"/>
      <c r="AZ5921" s="498"/>
      <c r="BA5921" s="498"/>
    </row>
    <row r="5922" spans="1:53" s="499" customFormat="1" x14ac:dyDescent="0.25">
      <c r="A5922" s="500"/>
      <c r="B5922" s="501"/>
      <c r="C5922" s="502"/>
      <c r="D5922" s="497"/>
      <c r="E5922" s="497"/>
      <c r="F5922" s="502"/>
      <c r="G5922" s="497"/>
      <c r="H5922" s="497"/>
      <c r="I5922" s="497"/>
      <c r="J5922" s="497"/>
      <c r="K5922" s="500"/>
      <c r="L5922" s="497"/>
      <c r="M5922"/>
      <c r="N5922" s="498"/>
      <c r="O5922" s="498"/>
      <c r="P5922" s="498"/>
      <c r="Q5922" s="498"/>
      <c r="R5922" s="498"/>
      <c r="T5922" s="498"/>
      <c r="U5922" s="498"/>
      <c r="V5922" s="498"/>
      <c r="W5922" s="498"/>
      <c r="X5922" s="498"/>
      <c r="Y5922" s="498"/>
      <c r="Z5922" s="498"/>
      <c r="AA5922" s="498"/>
      <c r="AB5922" s="498"/>
      <c r="AC5922" s="498"/>
      <c r="AD5922" s="498"/>
      <c r="AE5922" s="498"/>
      <c r="AF5922" s="498"/>
      <c r="AG5922" s="498"/>
      <c r="AH5922" s="498"/>
      <c r="AI5922" s="498"/>
      <c r="AK5922" s="498"/>
      <c r="AL5922" s="498"/>
      <c r="AM5922" s="498"/>
      <c r="AN5922" s="498"/>
      <c r="AO5922" s="498"/>
      <c r="AP5922" s="498"/>
      <c r="AQ5922" s="498"/>
      <c r="AR5922" s="498"/>
      <c r="AS5922" s="498"/>
      <c r="AT5922" s="498"/>
      <c r="AU5922" s="498"/>
      <c r="AV5922" s="498"/>
      <c r="AW5922" s="498"/>
      <c r="AX5922" s="498"/>
      <c r="AY5922" s="498"/>
      <c r="AZ5922" s="498"/>
      <c r="BA5922" s="498"/>
    </row>
    <row r="5923" spans="1:53" s="499" customFormat="1" x14ac:dyDescent="0.25">
      <c r="A5923" s="500"/>
      <c r="B5923" s="501"/>
      <c r="C5923" s="502"/>
      <c r="D5923" s="497"/>
      <c r="E5923" s="497"/>
      <c r="F5923" s="502"/>
      <c r="G5923" s="497"/>
      <c r="H5923" s="497"/>
      <c r="I5923" s="497"/>
      <c r="J5923" s="497"/>
      <c r="K5923" s="500"/>
      <c r="L5923" s="497"/>
      <c r="M5923"/>
      <c r="N5923" s="498"/>
      <c r="O5923" s="498"/>
      <c r="P5923" s="498"/>
      <c r="Q5923" s="498"/>
      <c r="R5923" s="498"/>
      <c r="T5923" s="498"/>
      <c r="U5923" s="498"/>
      <c r="V5923" s="498"/>
      <c r="W5923" s="498"/>
      <c r="X5923" s="498"/>
      <c r="Y5923" s="498"/>
      <c r="Z5923" s="498"/>
      <c r="AA5923" s="498"/>
      <c r="AB5923" s="498"/>
      <c r="AC5923" s="498"/>
      <c r="AD5923" s="498"/>
      <c r="AE5923" s="498"/>
      <c r="AF5923" s="498"/>
      <c r="AG5923" s="498"/>
      <c r="AH5923" s="498"/>
      <c r="AI5923" s="498"/>
      <c r="AK5923" s="498"/>
      <c r="AL5923" s="498"/>
      <c r="AM5923" s="498"/>
      <c r="AN5923" s="498"/>
      <c r="AO5923" s="498"/>
      <c r="AP5923" s="498"/>
      <c r="AQ5923" s="498"/>
      <c r="AR5923" s="498"/>
      <c r="AS5923" s="498"/>
      <c r="AT5923" s="498"/>
      <c r="AU5923" s="498"/>
      <c r="AV5923" s="498"/>
      <c r="AW5923" s="498"/>
      <c r="AX5923" s="498"/>
      <c r="AY5923" s="498"/>
      <c r="AZ5923" s="498"/>
      <c r="BA5923" s="498"/>
    </row>
    <row r="5924" spans="1:53" s="499" customFormat="1" x14ac:dyDescent="0.25">
      <c r="A5924" s="500"/>
      <c r="B5924" s="501"/>
      <c r="C5924" s="502"/>
      <c r="D5924" s="497"/>
      <c r="E5924" s="497"/>
      <c r="F5924" s="502"/>
      <c r="G5924" s="497"/>
      <c r="H5924" s="497"/>
      <c r="I5924" s="497"/>
      <c r="J5924" s="497"/>
      <c r="K5924" s="500"/>
      <c r="L5924" s="497"/>
      <c r="M5924"/>
      <c r="N5924" s="498"/>
      <c r="O5924" s="498"/>
      <c r="P5924" s="498"/>
      <c r="Q5924" s="498"/>
      <c r="R5924" s="498"/>
      <c r="T5924" s="498"/>
      <c r="U5924" s="498"/>
      <c r="V5924" s="498"/>
      <c r="W5924" s="498"/>
      <c r="X5924" s="498"/>
      <c r="Y5924" s="498"/>
      <c r="Z5924" s="498"/>
      <c r="AA5924" s="498"/>
      <c r="AB5924" s="498"/>
      <c r="AC5924" s="498"/>
      <c r="AD5924" s="498"/>
      <c r="AE5924" s="498"/>
      <c r="AF5924" s="498"/>
      <c r="AG5924" s="498"/>
      <c r="AH5924" s="498"/>
      <c r="AI5924" s="498"/>
      <c r="AK5924" s="498"/>
      <c r="AL5924" s="498"/>
      <c r="AM5924" s="498"/>
      <c r="AN5924" s="498"/>
      <c r="AO5924" s="498"/>
      <c r="AP5924" s="498"/>
      <c r="AQ5924" s="498"/>
      <c r="AR5924" s="498"/>
      <c r="AS5924" s="498"/>
      <c r="AT5924" s="498"/>
      <c r="AU5924" s="498"/>
      <c r="AV5924" s="498"/>
      <c r="AW5924" s="498"/>
      <c r="AX5924" s="498"/>
      <c r="AY5924" s="498"/>
      <c r="AZ5924" s="498"/>
      <c r="BA5924" s="498"/>
    </row>
    <row r="5925" spans="1:53" s="499" customFormat="1" x14ac:dyDescent="0.25">
      <c r="A5925" s="500"/>
      <c r="B5925" s="501"/>
      <c r="C5925" s="502"/>
      <c r="D5925" s="497"/>
      <c r="E5925" s="497"/>
      <c r="F5925" s="502"/>
      <c r="G5925" s="497"/>
      <c r="H5925" s="497"/>
      <c r="I5925" s="497"/>
      <c r="J5925" s="497"/>
      <c r="K5925" s="500"/>
      <c r="L5925" s="497"/>
      <c r="M5925"/>
      <c r="N5925" s="498"/>
      <c r="O5925" s="498"/>
      <c r="P5925" s="498"/>
      <c r="Q5925" s="498"/>
      <c r="R5925" s="498"/>
      <c r="T5925" s="498"/>
      <c r="U5925" s="498"/>
      <c r="V5925" s="498"/>
      <c r="W5925" s="498"/>
      <c r="X5925" s="498"/>
      <c r="Y5925" s="498"/>
      <c r="Z5925" s="498"/>
      <c r="AA5925" s="498"/>
      <c r="AB5925" s="498"/>
      <c r="AC5925" s="498"/>
      <c r="AD5925" s="498"/>
      <c r="AE5925" s="498"/>
      <c r="AF5925" s="498"/>
      <c r="AG5925" s="498"/>
      <c r="AH5925" s="498"/>
      <c r="AI5925" s="498"/>
      <c r="AK5925" s="498"/>
      <c r="AL5925" s="498"/>
      <c r="AM5925" s="498"/>
      <c r="AN5925" s="498"/>
      <c r="AO5925" s="498"/>
      <c r="AP5925" s="498"/>
      <c r="AQ5925" s="498"/>
      <c r="AR5925" s="498"/>
      <c r="AS5925" s="498"/>
      <c r="AT5925" s="498"/>
      <c r="AU5925" s="498"/>
      <c r="AV5925" s="498"/>
      <c r="AW5925" s="498"/>
      <c r="AX5925" s="498"/>
      <c r="AY5925" s="498"/>
      <c r="AZ5925" s="498"/>
      <c r="BA5925" s="498"/>
    </row>
    <row r="5926" spans="1:53" s="499" customFormat="1" x14ac:dyDescent="0.25">
      <c r="A5926" s="500"/>
      <c r="B5926" s="501"/>
      <c r="C5926" s="502"/>
      <c r="D5926" s="497"/>
      <c r="E5926" s="497"/>
      <c r="F5926" s="502"/>
      <c r="G5926" s="497"/>
      <c r="H5926" s="497"/>
      <c r="I5926" s="497"/>
      <c r="J5926" s="497"/>
      <c r="K5926" s="500"/>
      <c r="L5926" s="497"/>
      <c r="M5926"/>
      <c r="N5926" s="498"/>
      <c r="O5926" s="498"/>
      <c r="P5926" s="498"/>
      <c r="Q5926" s="498"/>
      <c r="R5926" s="498"/>
      <c r="T5926" s="498"/>
      <c r="U5926" s="498"/>
      <c r="V5926" s="498"/>
      <c r="W5926" s="498"/>
      <c r="X5926" s="498"/>
      <c r="Y5926" s="498"/>
      <c r="Z5926" s="498"/>
      <c r="AA5926" s="498"/>
      <c r="AB5926" s="498"/>
      <c r="AC5926" s="498"/>
      <c r="AD5926" s="498"/>
      <c r="AE5926" s="498"/>
      <c r="AF5926" s="498"/>
      <c r="AG5926" s="498"/>
      <c r="AH5926" s="498"/>
      <c r="AI5926" s="498"/>
      <c r="AK5926" s="498"/>
      <c r="AL5926" s="498"/>
      <c r="AM5926" s="498"/>
      <c r="AN5926" s="498"/>
      <c r="AO5926" s="498"/>
      <c r="AP5926" s="498"/>
      <c r="AQ5926" s="498"/>
      <c r="AR5926" s="498"/>
      <c r="AS5926" s="498"/>
      <c r="AT5926" s="498"/>
      <c r="AU5926" s="498"/>
      <c r="AV5926" s="498"/>
      <c r="AW5926" s="498"/>
      <c r="AX5926" s="498"/>
      <c r="AY5926" s="498"/>
      <c r="AZ5926" s="498"/>
      <c r="BA5926" s="498"/>
    </row>
    <row r="5927" spans="1:53" s="499" customFormat="1" x14ac:dyDescent="0.25">
      <c r="A5927" s="500"/>
      <c r="B5927" s="501"/>
      <c r="C5927" s="502"/>
      <c r="D5927" s="497"/>
      <c r="E5927" s="497"/>
      <c r="F5927" s="502"/>
      <c r="G5927" s="497"/>
      <c r="H5927" s="497"/>
      <c r="I5927" s="497"/>
      <c r="J5927" s="497"/>
      <c r="K5927" s="500"/>
      <c r="L5927" s="497"/>
      <c r="M5927"/>
      <c r="N5927" s="498"/>
      <c r="O5927" s="498"/>
      <c r="P5927" s="498"/>
      <c r="Q5927" s="498"/>
      <c r="R5927" s="498"/>
      <c r="T5927" s="498"/>
      <c r="U5927" s="498"/>
      <c r="V5927" s="498"/>
      <c r="W5927" s="498"/>
      <c r="X5927" s="498"/>
      <c r="Y5927" s="498"/>
      <c r="Z5927" s="498"/>
      <c r="AA5927" s="498"/>
      <c r="AB5927" s="498"/>
      <c r="AC5927" s="498"/>
      <c r="AD5927" s="498"/>
      <c r="AE5927" s="498"/>
      <c r="AF5927" s="498"/>
      <c r="AG5927" s="498"/>
      <c r="AH5927" s="498"/>
      <c r="AI5927" s="498"/>
      <c r="AK5927" s="498"/>
      <c r="AL5927" s="498"/>
      <c r="AM5927" s="498"/>
      <c r="AN5927" s="498"/>
      <c r="AO5927" s="498"/>
      <c r="AP5927" s="498"/>
      <c r="AQ5927" s="498"/>
      <c r="AR5927" s="498"/>
      <c r="AS5927" s="498"/>
      <c r="AT5927" s="498"/>
      <c r="AU5927" s="498"/>
      <c r="AV5927" s="498"/>
      <c r="AW5927" s="498"/>
      <c r="AX5927" s="498"/>
      <c r="AY5927" s="498"/>
      <c r="AZ5927" s="498"/>
      <c r="BA5927" s="498"/>
    </row>
    <row r="5928" spans="1:53" s="499" customFormat="1" x14ac:dyDescent="0.25">
      <c r="A5928" s="500"/>
      <c r="B5928" s="501"/>
      <c r="C5928" s="502"/>
      <c r="D5928" s="497"/>
      <c r="E5928" s="497"/>
      <c r="F5928" s="502"/>
      <c r="G5928" s="497"/>
      <c r="H5928" s="497"/>
      <c r="I5928" s="497"/>
      <c r="J5928" s="497"/>
      <c r="K5928" s="500"/>
      <c r="L5928" s="497"/>
      <c r="M5928"/>
      <c r="N5928" s="498"/>
      <c r="O5928" s="498"/>
      <c r="P5928" s="498"/>
      <c r="Q5928" s="498"/>
      <c r="R5928" s="498"/>
      <c r="T5928" s="498"/>
      <c r="U5928" s="498"/>
      <c r="V5928" s="498"/>
      <c r="W5928" s="498"/>
      <c r="X5928" s="498"/>
      <c r="Y5928" s="498"/>
      <c r="Z5928" s="498"/>
      <c r="AA5928" s="498"/>
      <c r="AB5928" s="498"/>
      <c r="AC5928" s="498"/>
      <c r="AD5928" s="498"/>
      <c r="AE5928" s="498"/>
      <c r="AF5928" s="498"/>
      <c r="AG5928" s="498"/>
      <c r="AH5928" s="498"/>
      <c r="AI5928" s="498"/>
      <c r="AK5928" s="498"/>
      <c r="AL5928" s="498"/>
      <c r="AM5928" s="498"/>
      <c r="AN5928" s="498"/>
      <c r="AO5928" s="498"/>
      <c r="AP5928" s="498"/>
      <c r="AQ5928" s="498"/>
      <c r="AR5928" s="498"/>
      <c r="AS5928" s="498"/>
      <c r="AT5928" s="498"/>
      <c r="AU5928" s="498"/>
      <c r="AV5928" s="498"/>
      <c r="AW5928" s="498"/>
      <c r="AX5928" s="498"/>
      <c r="AY5928" s="498"/>
      <c r="AZ5928" s="498"/>
      <c r="BA5928" s="498"/>
    </row>
    <row r="5929" spans="1:53" s="499" customFormat="1" x14ac:dyDescent="0.25">
      <c r="A5929" s="500"/>
      <c r="B5929" s="501"/>
      <c r="C5929" s="502"/>
      <c r="D5929" s="497"/>
      <c r="E5929" s="497"/>
      <c r="F5929" s="502"/>
      <c r="G5929" s="497"/>
      <c r="H5929" s="497"/>
      <c r="I5929" s="497"/>
      <c r="J5929" s="497"/>
      <c r="K5929" s="500"/>
      <c r="L5929" s="497"/>
      <c r="M5929"/>
      <c r="N5929" s="498"/>
      <c r="O5929" s="498"/>
      <c r="P5929" s="498"/>
      <c r="Q5929" s="498"/>
      <c r="R5929" s="498"/>
      <c r="T5929" s="498"/>
      <c r="U5929" s="498"/>
      <c r="V5929" s="498"/>
      <c r="W5929" s="498"/>
      <c r="X5929" s="498"/>
      <c r="Y5929" s="498"/>
      <c r="Z5929" s="498"/>
      <c r="AA5929" s="498"/>
      <c r="AB5929" s="498"/>
      <c r="AC5929" s="498"/>
      <c r="AD5929" s="498"/>
      <c r="AE5929" s="498"/>
      <c r="AF5929" s="498"/>
      <c r="AG5929" s="498"/>
      <c r="AH5929" s="498"/>
      <c r="AI5929" s="498"/>
      <c r="AK5929" s="498"/>
      <c r="AL5929" s="498"/>
      <c r="AM5929" s="498"/>
      <c r="AN5929" s="498"/>
      <c r="AO5929" s="498"/>
      <c r="AP5929" s="498"/>
      <c r="AQ5929" s="498"/>
      <c r="AR5929" s="498"/>
      <c r="AS5929" s="498"/>
      <c r="AT5929" s="498"/>
      <c r="AU5929" s="498"/>
      <c r="AV5929" s="498"/>
      <c r="AW5929" s="498"/>
      <c r="AX5929" s="498"/>
      <c r="AY5929" s="498"/>
      <c r="AZ5929" s="498"/>
      <c r="BA5929" s="498"/>
    </row>
    <row r="5930" spans="1:53" s="499" customFormat="1" x14ac:dyDescent="0.25">
      <c r="A5930" s="500"/>
      <c r="B5930" s="501"/>
      <c r="C5930" s="502"/>
      <c r="D5930" s="497"/>
      <c r="E5930" s="497"/>
      <c r="F5930" s="502"/>
      <c r="G5930" s="497"/>
      <c r="H5930" s="497"/>
      <c r="I5930" s="497"/>
      <c r="J5930" s="497"/>
      <c r="K5930" s="500"/>
      <c r="L5930" s="497"/>
      <c r="M5930"/>
      <c r="N5930" s="498"/>
      <c r="O5930" s="498"/>
      <c r="P5930" s="498"/>
      <c r="Q5930" s="498"/>
      <c r="R5930" s="498"/>
      <c r="T5930" s="498"/>
      <c r="U5930" s="498"/>
      <c r="V5930" s="498"/>
      <c r="W5930" s="498"/>
      <c r="X5930" s="498"/>
      <c r="Y5930" s="498"/>
      <c r="Z5930" s="498"/>
      <c r="AA5930" s="498"/>
      <c r="AB5930" s="498"/>
      <c r="AC5930" s="498"/>
      <c r="AD5930" s="498"/>
      <c r="AE5930" s="498"/>
      <c r="AF5930" s="498"/>
      <c r="AG5930" s="498"/>
      <c r="AH5930" s="498"/>
      <c r="AI5930" s="498"/>
      <c r="AK5930" s="498"/>
      <c r="AL5930" s="498"/>
      <c r="AM5930" s="498"/>
      <c r="AN5930" s="498"/>
      <c r="AO5930" s="498"/>
      <c r="AP5930" s="498"/>
      <c r="AQ5930" s="498"/>
      <c r="AR5930" s="498"/>
      <c r="AS5930" s="498"/>
      <c r="AT5930" s="498"/>
      <c r="AU5930" s="498"/>
      <c r="AV5930" s="498"/>
      <c r="AW5930" s="498"/>
      <c r="AX5930" s="498"/>
      <c r="AY5930" s="498"/>
      <c r="AZ5930" s="498"/>
      <c r="BA5930" s="498"/>
    </row>
    <row r="5931" spans="1:53" s="499" customFormat="1" x14ac:dyDescent="0.25">
      <c r="A5931" s="500"/>
      <c r="B5931" s="501"/>
      <c r="C5931" s="502"/>
      <c r="D5931" s="497"/>
      <c r="E5931" s="497"/>
      <c r="F5931" s="502"/>
      <c r="G5931" s="497"/>
      <c r="H5931" s="497"/>
      <c r="I5931" s="497"/>
      <c r="J5931" s="497"/>
      <c r="K5931" s="500"/>
      <c r="L5931" s="497"/>
      <c r="M5931"/>
      <c r="N5931" s="498"/>
      <c r="O5931" s="498"/>
      <c r="P5931" s="498"/>
      <c r="Q5931" s="498"/>
      <c r="R5931" s="498"/>
      <c r="T5931" s="498"/>
      <c r="U5931" s="498"/>
      <c r="V5931" s="498"/>
      <c r="W5931" s="498"/>
      <c r="X5931" s="498"/>
      <c r="Y5931" s="498"/>
      <c r="Z5931" s="498"/>
      <c r="AA5931" s="498"/>
      <c r="AB5931" s="498"/>
      <c r="AC5931" s="498"/>
      <c r="AD5931" s="498"/>
      <c r="AE5931" s="498"/>
      <c r="AF5931" s="498"/>
      <c r="AG5931" s="498"/>
      <c r="AH5931" s="498"/>
      <c r="AI5931" s="498"/>
      <c r="AK5931" s="498"/>
      <c r="AL5931" s="498"/>
      <c r="AM5931" s="498"/>
      <c r="AN5931" s="498"/>
      <c r="AO5931" s="498"/>
      <c r="AP5931" s="498"/>
      <c r="AQ5931" s="498"/>
      <c r="AR5931" s="498"/>
      <c r="AS5931" s="498"/>
      <c r="AT5931" s="498"/>
      <c r="AU5931" s="498"/>
      <c r="AV5931" s="498"/>
      <c r="AW5931" s="498"/>
      <c r="AX5931" s="498"/>
      <c r="AY5931" s="498"/>
      <c r="AZ5931" s="498"/>
      <c r="BA5931" s="498"/>
    </row>
    <row r="5932" spans="1:53" s="499" customFormat="1" x14ac:dyDescent="0.25">
      <c r="A5932" s="500"/>
      <c r="B5932" s="501"/>
      <c r="C5932" s="502"/>
      <c r="D5932" s="497"/>
      <c r="E5932" s="497"/>
      <c r="F5932" s="502"/>
      <c r="G5932" s="497"/>
      <c r="H5932" s="497"/>
      <c r="I5932" s="497"/>
      <c r="J5932" s="497"/>
      <c r="K5932" s="500"/>
      <c r="L5932" s="497"/>
      <c r="M5932"/>
      <c r="N5932" s="498"/>
      <c r="O5932" s="498"/>
      <c r="P5932" s="498"/>
      <c r="Q5932" s="498"/>
      <c r="R5932" s="498"/>
      <c r="T5932" s="498"/>
      <c r="U5932" s="498"/>
      <c r="V5932" s="498"/>
      <c r="W5932" s="498"/>
      <c r="X5932" s="498"/>
      <c r="Y5932" s="498"/>
      <c r="Z5932" s="498"/>
      <c r="AA5932" s="498"/>
      <c r="AB5932" s="498"/>
      <c r="AC5932" s="498"/>
      <c r="AD5932" s="498"/>
      <c r="AE5932" s="498"/>
      <c r="AF5932" s="498"/>
      <c r="AG5932" s="498"/>
      <c r="AH5932" s="498"/>
      <c r="AI5932" s="498"/>
      <c r="AK5932" s="498"/>
      <c r="AL5932" s="498"/>
      <c r="AM5932" s="498"/>
      <c r="AN5932" s="498"/>
      <c r="AO5932" s="498"/>
      <c r="AP5932" s="498"/>
      <c r="AQ5932" s="498"/>
      <c r="AR5932" s="498"/>
      <c r="AS5932" s="498"/>
      <c r="AT5932" s="498"/>
      <c r="AU5932" s="498"/>
      <c r="AV5932" s="498"/>
      <c r="AW5932" s="498"/>
      <c r="AX5932" s="498"/>
      <c r="AY5932" s="498"/>
      <c r="AZ5932" s="498"/>
      <c r="BA5932" s="498"/>
    </row>
    <row r="5933" spans="1:53" s="499" customFormat="1" x14ac:dyDescent="0.25">
      <c r="A5933" s="500"/>
      <c r="B5933" s="501"/>
      <c r="C5933" s="502"/>
      <c r="D5933" s="497"/>
      <c r="E5933" s="497"/>
      <c r="F5933" s="502"/>
      <c r="G5933" s="497"/>
      <c r="H5933" s="497"/>
      <c r="I5933" s="497"/>
      <c r="J5933" s="497"/>
      <c r="K5933" s="500"/>
      <c r="L5933" s="497"/>
      <c r="M5933"/>
      <c r="N5933" s="498"/>
      <c r="O5933" s="498"/>
      <c r="P5933" s="498"/>
      <c r="Q5933" s="498"/>
      <c r="R5933" s="498"/>
      <c r="T5933" s="498"/>
      <c r="U5933" s="498"/>
      <c r="V5933" s="498"/>
      <c r="W5933" s="498"/>
      <c r="X5933" s="498"/>
      <c r="Y5933" s="498"/>
      <c r="Z5933" s="498"/>
      <c r="AA5933" s="498"/>
      <c r="AB5933" s="498"/>
      <c r="AC5933" s="498"/>
      <c r="AD5933" s="498"/>
      <c r="AE5933" s="498"/>
      <c r="AF5933" s="498"/>
      <c r="AG5933" s="498"/>
      <c r="AH5933" s="498"/>
      <c r="AI5933" s="498"/>
      <c r="AK5933" s="498"/>
      <c r="AL5933" s="498"/>
      <c r="AM5933" s="498"/>
      <c r="AN5933" s="498"/>
      <c r="AO5933" s="498"/>
      <c r="AP5933" s="498"/>
      <c r="AQ5933" s="498"/>
      <c r="AR5933" s="498"/>
      <c r="AS5933" s="498"/>
      <c r="AT5933" s="498"/>
      <c r="AU5933" s="498"/>
      <c r="AV5933" s="498"/>
      <c r="AW5933" s="498"/>
      <c r="AX5933" s="498"/>
      <c r="AY5933" s="498"/>
      <c r="AZ5933" s="498"/>
      <c r="BA5933" s="498"/>
    </row>
    <row r="5934" spans="1:53" s="499" customFormat="1" x14ac:dyDescent="0.25">
      <c r="A5934" s="500"/>
      <c r="B5934" s="501"/>
      <c r="C5934" s="502"/>
      <c r="D5934" s="497"/>
      <c r="E5934" s="497"/>
      <c r="F5934" s="502"/>
      <c r="G5934" s="497"/>
      <c r="H5934" s="497"/>
      <c r="I5934" s="497"/>
      <c r="J5934" s="497"/>
      <c r="K5934" s="500"/>
      <c r="L5934" s="497"/>
      <c r="M5934"/>
      <c r="N5934" s="498"/>
      <c r="O5934" s="498"/>
      <c r="P5934" s="498"/>
      <c r="Q5934" s="498"/>
      <c r="R5934" s="498"/>
      <c r="T5934" s="498"/>
      <c r="U5934" s="498"/>
      <c r="V5934" s="498"/>
      <c r="W5934" s="498"/>
      <c r="X5934" s="498"/>
      <c r="Y5934" s="498"/>
      <c r="Z5934" s="498"/>
      <c r="AA5934" s="498"/>
      <c r="AB5934" s="498"/>
      <c r="AC5934" s="498"/>
      <c r="AD5934" s="498"/>
      <c r="AE5934" s="498"/>
      <c r="AF5934" s="498"/>
      <c r="AG5934" s="498"/>
      <c r="AH5934" s="498"/>
      <c r="AI5934" s="498"/>
      <c r="AK5934" s="498"/>
      <c r="AL5934" s="498"/>
      <c r="AM5934" s="498"/>
      <c r="AN5934" s="498"/>
      <c r="AO5934" s="498"/>
      <c r="AP5934" s="498"/>
      <c r="AQ5934" s="498"/>
      <c r="AR5934" s="498"/>
      <c r="AS5934" s="498"/>
      <c r="AT5934" s="498"/>
      <c r="AU5934" s="498"/>
      <c r="AV5934" s="498"/>
      <c r="AW5934" s="498"/>
      <c r="AX5934" s="498"/>
      <c r="AY5934" s="498"/>
      <c r="AZ5934" s="498"/>
      <c r="BA5934" s="498"/>
    </row>
    <row r="5935" spans="1:53" s="499" customFormat="1" x14ac:dyDescent="0.25">
      <c r="A5935" s="500"/>
      <c r="B5935" s="501"/>
      <c r="C5935" s="502"/>
      <c r="D5935" s="497"/>
      <c r="E5935" s="497"/>
      <c r="F5935" s="502"/>
      <c r="G5935" s="497"/>
      <c r="H5935" s="497"/>
      <c r="I5935" s="497"/>
      <c r="J5935" s="497"/>
      <c r="K5935" s="500"/>
      <c r="L5935" s="497"/>
      <c r="M5935"/>
      <c r="N5935" s="498"/>
      <c r="O5935" s="498"/>
      <c r="P5935" s="498"/>
      <c r="Q5935" s="498"/>
      <c r="R5935" s="498"/>
      <c r="T5935" s="498"/>
      <c r="U5935" s="498"/>
      <c r="V5935" s="498"/>
      <c r="W5935" s="498"/>
      <c r="X5935" s="498"/>
      <c r="Y5935" s="498"/>
      <c r="Z5935" s="498"/>
      <c r="AA5935" s="498"/>
      <c r="AB5935" s="498"/>
      <c r="AC5935" s="498"/>
      <c r="AD5935" s="498"/>
      <c r="AE5935" s="498"/>
      <c r="AF5935" s="498"/>
      <c r="AG5935" s="498"/>
      <c r="AH5935" s="498"/>
      <c r="AI5935" s="498"/>
      <c r="AK5935" s="498"/>
      <c r="AL5935" s="498"/>
      <c r="AM5935" s="498"/>
      <c r="AN5935" s="498"/>
      <c r="AO5935" s="498"/>
      <c r="AP5935" s="498"/>
      <c r="AQ5935" s="498"/>
      <c r="AR5935" s="498"/>
      <c r="AS5935" s="498"/>
      <c r="AT5935" s="498"/>
      <c r="AU5935" s="498"/>
      <c r="AV5935" s="498"/>
      <c r="AW5935" s="498"/>
      <c r="AX5935" s="498"/>
      <c r="AY5935" s="498"/>
      <c r="AZ5935" s="498"/>
      <c r="BA5935" s="498"/>
    </row>
    <row r="5936" spans="1:53" s="499" customFormat="1" x14ac:dyDescent="0.25">
      <c r="A5936" s="500"/>
      <c r="B5936" s="501"/>
      <c r="C5936" s="502"/>
      <c r="D5936" s="497"/>
      <c r="E5936" s="497"/>
      <c r="F5936" s="502"/>
      <c r="G5936" s="497"/>
      <c r="H5936" s="497"/>
      <c r="I5936" s="497"/>
      <c r="J5936" s="497"/>
      <c r="K5936" s="500"/>
      <c r="L5936" s="497"/>
      <c r="M5936"/>
      <c r="N5936" s="498"/>
      <c r="O5936" s="498"/>
      <c r="P5936" s="498"/>
      <c r="Q5936" s="498"/>
      <c r="R5936" s="498"/>
      <c r="T5936" s="498"/>
      <c r="U5936" s="498"/>
      <c r="V5936" s="498"/>
      <c r="W5936" s="498"/>
      <c r="X5936" s="498"/>
      <c r="Y5936" s="498"/>
      <c r="Z5936" s="498"/>
      <c r="AA5936" s="498"/>
      <c r="AB5936" s="498"/>
      <c r="AC5936" s="498"/>
      <c r="AD5936" s="498"/>
      <c r="AE5936" s="498"/>
      <c r="AF5936" s="498"/>
      <c r="AG5936" s="498"/>
      <c r="AH5936" s="498"/>
      <c r="AI5936" s="498"/>
      <c r="AK5936" s="498"/>
      <c r="AL5936" s="498"/>
      <c r="AM5936" s="498"/>
      <c r="AN5936" s="498"/>
      <c r="AO5936" s="498"/>
      <c r="AP5936" s="498"/>
      <c r="AQ5936" s="498"/>
      <c r="AR5936" s="498"/>
      <c r="AS5936" s="498"/>
      <c r="AT5936" s="498"/>
      <c r="AU5936" s="498"/>
      <c r="AV5936" s="498"/>
      <c r="AW5936" s="498"/>
      <c r="AX5936" s="498"/>
      <c r="AY5936" s="498"/>
      <c r="AZ5936" s="498"/>
      <c r="BA5936" s="498"/>
    </row>
    <row r="5937" spans="1:53" s="499" customFormat="1" x14ac:dyDescent="0.25">
      <c r="A5937" s="500"/>
      <c r="B5937" s="501"/>
      <c r="C5937" s="502"/>
      <c r="D5937" s="497"/>
      <c r="E5937" s="497"/>
      <c r="F5937" s="502"/>
      <c r="G5937" s="497"/>
      <c r="H5937" s="497"/>
      <c r="I5937" s="497"/>
      <c r="J5937" s="497"/>
      <c r="K5937" s="500"/>
      <c r="L5937" s="497"/>
      <c r="M5937"/>
      <c r="N5937" s="498"/>
      <c r="O5937" s="498"/>
      <c r="P5937" s="498"/>
      <c r="Q5937" s="498"/>
      <c r="R5937" s="498"/>
      <c r="T5937" s="498"/>
      <c r="U5937" s="498"/>
      <c r="V5937" s="498"/>
      <c r="W5937" s="498"/>
      <c r="X5937" s="498"/>
      <c r="Y5937" s="498"/>
      <c r="Z5937" s="498"/>
      <c r="AA5937" s="498"/>
      <c r="AB5937" s="498"/>
      <c r="AC5937" s="498"/>
      <c r="AD5937" s="498"/>
      <c r="AE5937" s="498"/>
      <c r="AF5937" s="498"/>
      <c r="AG5937" s="498"/>
      <c r="AH5937" s="498"/>
      <c r="AI5937" s="498"/>
      <c r="AK5937" s="498"/>
      <c r="AL5937" s="498"/>
      <c r="AM5937" s="498"/>
      <c r="AN5937" s="498"/>
      <c r="AO5937" s="498"/>
      <c r="AP5937" s="498"/>
      <c r="AQ5937" s="498"/>
      <c r="AR5937" s="498"/>
      <c r="AS5937" s="498"/>
      <c r="AT5937" s="498"/>
      <c r="AU5937" s="498"/>
      <c r="AV5937" s="498"/>
      <c r="AW5937" s="498"/>
      <c r="AX5937" s="498"/>
      <c r="AY5937" s="498"/>
      <c r="AZ5937" s="498"/>
      <c r="BA5937" s="498"/>
    </row>
    <row r="5938" spans="1:53" s="499" customFormat="1" x14ac:dyDescent="0.25">
      <c r="A5938" s="500"/>
      <c r="B5938" s="501"/>
      <c r="C5938" s="502"/>
      <c r="D5938" s="497"/>
      <c r="E5938" s="497"/>
      <c r="F5938" s="502"/>
      <c r="G5938" s="497"/>
      <c r="H5938" s="497"/>
      <c r="I5938" s="497"/>
      <c r="J5938" s="497"/>
      <c r="K5938" s="500"/>
      <c r="L5938" s="497"/>
      <c r="M5938"/>
      <c r="N5938" s="498"/>
      <c r="O5938" s="498"/>
      <c r="P5938" s="498"/>
      <c r="Q5938" s="498"/>
      <c r="R5938" s="498"/>
      <c r="T5938" s="498"/>
      <c r="U5938" s="498"/>
      <c r="V5938" s="498"/>
      <c r="W5938" s="498"/>
      <c r="X5938" s="498"/>
      <c r="Y5938" s="498"/>
      <c r="Z5938" s="498"/>
      <c r="AA5938" s="498"/>
      <c r="AB5938" s="498"/>
      <c r="AC5938" s="498"/>
      <c r="AD5938" s="498"/>
      <c r="AE5938" s="498"/>
      <c r="AF5938" s="498"/>
      <c r="AG5938" s="498"/>
      <c r="AH5938" s="498"/>
      <c r="AI5938" s="498"/>
      <c r="AK5938" s="498"/>
      <c r="AL5938" s="498"/>
      <c r="AM5938" s="498"/>
      <c r="AN5938" s="498"/>
      <c r="AO5938" s="498"/>
      <c r="AP5938" s="498"/>
      <c r="AQ5938" s="498"/>
      <c r="AR5938" s="498"/>
      <c r="AS5938" s="498"/>
      <c r="AT5938" s="498"/>
      <c r="AU5938" s="498"/>
      <c r="AV5938" s="498"/>
      <c r="AW5938" s="498"/>
      <c r="AX5938" s="498"/>
      <c r="AY5938" s="498"/>
      <c r="AZ5938" s="498"/>
      <c r="BA5938" s="498"/>
    </row>
    <row r="5939" spans="1:53" s="499" customFormat="1" x14ac:dyDescent="0.25">
      <c r="A5939" s="500"/>
      <c r="B5939" s="501"/>
      <c r="C5939" s="502"/>
      <c r="D5939" s="497"/>
      <c r="E5939" s="497"/>
      <c r="F5939" s="502"/>
      <c r="G5939" s="497"/>
      <c r="H5939" s="497"/>
      <c r="I5939" s="497"/>
      <c r="J5939" s="497"/>
      <c r="K5939" s="500"/>
      <c r="L5939" s="497"/>
      <c r="M5939"/>
      <c r="N5939" s="498"/>
      <c r="O5939" s="498"/>
      <c r="P5939" s="498"/>
      <c r="Q5939" s="498"/>
      <c r="R5939" s="498"/>
      <c r="T5939" s="498"/>
      <c r="U5939" s="498"/>
      <c r="V5939" s="498"/>
      <c r="W5939" s="498"/>
      <c r="X5939" s="498"/>
      <c r="Y5939" s="498"/>
      <c r="Z5939" s="498"/>
      <c r="AA5939" s="498"/>
      <c r="AB5939" s="498"/>
      <c r="AC5939" s="498"/>
      <c r="AD5939" s="498"/>
      <c r="AE5939" s="498"/>
      <c r="AF5939" s="498"/>
      <c r="AG5939" s="498"/>
      <c r="AH5939" s="498"/>
      <c r="AI5939" s="498"/>
      <c r="AK5939" s="498"/>
      <c r="AL5939" s="498"/>
      <c r="AM5939" s="498"/>
      <c r="AN5939" s="498"/>
      <c r="AO5939" s="498"/>
      <c r="AP5939" s="498"/>
      <c r="AQ5939" s="498"/>
      <c r="AR5939" s="498"/>
      <c r="AS5939" s="498"/>
      <c r="AT5939" s="498"/>
      <c r="AU5939" s="498"/>
      <c r="AV5939" s="498"/>
      <c r="AW5939" s="498"/>
      <c r="AX5939" s="498"/>
      <c r="AY5939" s="498"/>
      <c r="AZ5939" s="498"/>
      <c r="BA5939" s="498"/>
    </row>
    <row r="5940" spans="1:53" s="499" customFormat="1" x14ac:dyDescent="0.25">
      <c r="A5940" s="500"/>
      <c r="B5940" s="501"/>
      <c r="C5940" s="502"/>
      <c r="D5940" s="497"/>
      <c r="E5940" s="497"/>
      <c r="F5940" s="502"/>
      <c r="G5940" s="497"/>
      <c r="H5940" s="497"/>
      <c r="I5940" s="497"/>
      <c r="J5940" s="497"/>
      <c r="K5940" s="500"/>
      <c r="L5940" s="497"/>
      <c r="M5940"/>
      <c r="N5940" s="498"/>
      <c r="O5940" s="498"/>
      <c r="P5940" s="498"/>
      <c r="Q5940" s="498"/>
      <c r="R5940" s="498"/>
      <c r="T5940" s="498"/>
      <c r="U5940" s="498"/>
      <c r="V5940" s="498"/>
      <c r="W5940" s="498"/>
      <c r="X5940" s="498"/>
      <c r="Y5940" s="498"/>
      <c r="Z5940" s="498"/>
      <c r="AA5940" s="498"/>
      <c r="AB5940" s="498"/>
      <c r="AC5940" s="498"/>
      <c r="AD5940" s="498"/>
      <c r="AE5940" s="498"/>
      <c r="AF5940" s="498"/>
      <c r="AG5940" s="498"/>
      <c r="AH5940" s="498"/>
      <c r="AI5940" s="498"/>
      <c r="AK5940" s="498"/>
      <c r="AL5940" s="498"/>
      <c r="AM5940" s="498"/>
      <c r="AN5940" s="498"/>
      <c r="AO5940" s="498"/>
      <c r="AP5940" s="498"/>
      <c r="AQ5940" s="498"/>
      <c r="AR5940" s="498"/>
      <c r="AS5940" s="498"/>
      <c r="AT5940" s="498"/>
      <c r="AU5940" s="498"/>
      <c r="AV5940" s="498"/>
      <c r="AW5940" s="498"/>
      <c r="AX5940" s="498"/>
      <c r="AY5940" s="498"/>
      <c r="AZ5940" s="498"/>
      <c r="BA5940" s="498"/>
    </row>
    <row r="5941" spans="1:53" s="499" customFormat="1" x14ac:dyDescent="0.25">
      <c r="A5941" s="500"/>
      <c r="B5941" s="501"/>
      <c r="C5941" s="502"/>
      <c r="D5941" s="497"/>
      <c r="E5941" s="497"/>
      <c r="F5941" s="502"/>
      <c r="G5941" s="497"/>
      <c r="H5941" s="497"/>
      <c r="I5941" s="497"/>
      <c r="J5941" s="497"/>
      <c r="K5941" s="500"/>
      <c r="L5941" s="497"/>
      <c r="M5941"/>
      <c r="N5941" s="498"/>
      <c r="O5941" s="498"/>
      <c r="P5941" s="498"/>
      <c r="Q5941" s="498"/>
      <c r="R5941" s="498"/>
      <c r="T5941" s="498"/>
      <c r="U5941" s="498"/>
      <c r="V5941" s="498"/>
      <c r="W5941" s="498"/>
      <c r="X5941" s="498"/>
      <c r="Y5941" s="498"/>
      <c r="Z5941" s="498"/>
      <c r="AA5941" s="498"/>
      <c r="AB5941" s="498"/>
      <c r="AC5941" s="498"/>
      <c r="AD5941" s="498"/>
      <c r="AE5941" s="498"/>
      <c r="AF5941" s="498"/>
      <c r="AG5941" s="498"/>
      <c r="AH5941" s="498"/>
      <c r="AI5941" s="498"/>
      <c r="AK5941" s="498"/>
      <c r="AL5941" s="498"/>
      <c r="AM5941" s="498"/>
      <c r="AN5941" s="498"/>
      <c r="AO5941" s="498"/>
      <c r="AP5941" s="498"/>
      <c r="AQ5941" s="498"/>
      <c r="AR5941" s="498"/>
      <c r="AS5941" s="498"/>
      <c r="AT5941" s="498"/>
      <c r="AU5941" s="498"/>
      <c r="AV5941" s="498"/>
      <c r="AW5941" s="498"/>
      <c r="AX5941" s="498"/>
      <c r="AY5941" s="498"/>
      <c r="AZ5941" s="498"/>
      <c r="BA5941" s="498"/>
    </row>
    <row r="5942" spans="1:53" s="499" customFormat="1" x14ac:dyDescent="0.25">
      <c r="A5942" s="500"/>
      <c r="B5942" s="501"/>
      <c r="C5942" s="502"/>
      <c r="D5942" s="497"/>
      <c r="E5942" s="497"/>
      <c r="F5942" s="502"/>
      <c r="G5942" s="497"/>
      <c r="H5942" s="497"/>
      <c r="I5942" s="497"/>
      <c r="J5942" s="497"/>
      <c r="K5942" s="500"/>
      <c r="L5942" s="497"/>
      <c r="M5942"/>
      <c r="N5942" s="498"/>
      <c r="O5942" s="498"/>
      <c r="P5942" s="498"/>
      <c r="Q5942" s="498"/>
      <c r="R5942" s="498"/>
      <c r="T5942" s="498"/>
      <c r="U5942" s="498"/>
      <c r="V5942" s="498"/>
      <c r="W5942" s="498"/>
      <c r="X5942" s="498"/>
      <c r="Y5942" s="498"/>
      <c r="Z5942" s="498"/>
      <c r="AA5942" s="498"/>
      <c r="AB5942" s="498"/>
      <c r="AC5942" s="498"/>
      <c r="AD5942" s="498"/>
      <c r="AE5942" s="498"/>
      <c r="AF5942" s="498"/>
      <c r="AG5942" s="498"/>
      <c r="AH5942" s="498"/>
      <c r="AI5942" s="498"/>
      <c r="AK5942" s="498"/>
      <c r="AL5942" s="498"/>
      <c r="AM5942" s="498"/>
      <c r="AN5942" s="498"/>
      <c r="AO5942" s="498"/>
      <c r="AP5942" s="498"/>
      <c r="AQ5942" s="498"/>
      <c r="AR5942" s="498"/>
      <c r="AS5942" s="498"/>
      <c r="AT5942" s="498"/>
      <c r="AU5942" s="498"/>
      <c r="AV5942" s="498"/>
      <c r="AW5942" s="498"/>
      <c r="AX5942" s="498"/>
      <c r="AY5942" s="498"/>
      <c r="AZ5942" s="498"/>
      <c r="BA5942" s="498"/>
    </row>
    <row r="5943" spans="1:53" s="499" customFormat="1" x14ac:dyDescent="0.25">
      <c r="A5943" s="500"/>
      <c r="B5943" s="501"/>
      <c r="C5943" s="502"/>
      <c r="D5943" s="497"/>
      <c r="E5943" s="497"/>
      <c r="F5943" s="502"/>
      <c r="G5943" s="497"/>
      <c r="H5943" s="497"/>
      <c r="I5943" s="497"/>
      <c r="J5943" s="497"/>
      <c r="K5943" s="500"/>
      <c r="L5943" s="497"/>
      <c r="M5943"/>
      <c r="N5943" s="498"/>
      <c r="O5943" s="498"/>
      <c r="P5943" s="498"/>
      <c r="Q5943" s="498"/>
      <c r="R5943" s="498"/>
      <c r="T5943" s="498"/>
      <c r="U5943" s="498"/>
      <c r="V5943" s="498"/>
      <c r="W5943" s="498"/>
      <c r="X5943" s="498"/>
      <c r="Y5943" s="498"/>
      <c r="Z5943" s="498"/>
      <c r="AA5943" s="498"/>
      <c r="AB5943" s="498"/>
      <c r="AC5943" s="498"/>
      <c r="AD5943" s="498"/>
      <c r="AE5943" s="498"/>
      <c r="AF5943" s="498"/>
      <c r="AG5943" s="498"/>
      <c r="AH5943" s="498"/>
      <c r="AI5943" s="498"/>
      <c r="AK5943" s="498"/>
      <c r="AL5943" s="498"/>
      <c r="AM5943" s="498"/>
      <c r="AN5943" s="498"/>
      <c r="AO5943" s="498"/>
      <c r="AP5943" s="498"/>
      <c r="AQ5943" s="498"/>
      <c r="AR5943" s="498"/>
      <c r="AS5943" s="498"/>
      <c r="AT5943" s="498"/>
      <c r="AU5943" s="498"/>
      <c r="AV5943" s="498"/>
      <c r="AW5943" s="498"/>
      <c r="AX5943" s="498"/>
      <c r="AY5943" s="498"/>
      <c r="AZ5943" s="498"/>
      <c r="BA5943" s="498"/>
    </row>
    <row r="5944" spans="1:53" s="499" customFormat="1" x14ac:dyDescent="0.25">
      <c r="A5944" s="500"/>
      <c r="B5944" s="501"/>
      <c r="C5944" s="502"/>
      <c r="D5944" s="497"/>
      <c r="E5944" s="497"/>
      <c r="F5944" s="502"/>
      <c r="G5944" s="497"/>
      <c r="H5944" s="497"/>
      <c r="I5944" s="497"/>
      <c r="J5944" s="497"/>
      <c r="K5944" s="500"/>
      <c r="L5944" s="497"/>
      <c r="M5944"/>
      <c r="N5944" s="498"/>
      <c r="O5944" s="498"/>
      <c r="P5944" s="498"/>
      <c r="Q5944" s="498"/>
      <c r="R5944" s="498"/>
      <c r="T5944" s="498"/>
      <c r="U5944" s="498"/>
      <c r="V5944" s="498"/>
      <c r="W5944" s="498"/>
      <c r="X5944" s="498"/>
      <c r="Y5944" s="498"/>
      <c r="Z5944" s="498"/>
      <c r="AA5944" s="498"/>
      <c r="AB5944" s="498"/>
      <c r="AC5944" s="498"/>
      <c r="AD5944" s="498"/>
      <c r="AE5944" s="498"/>
      <c r="AF5944" s="498"/>
      <c r="AG5944" s="498"/>
      <c r="AH5944" s="498"/>
      <c r="AI5944" s="498"/>
      <c r="AK5944" s="498"/>
      <c r="AL5944" s="498"/>
      <c r="AM5944" s="498"/>
      <c r="AN5944" s="498"/>
      <c r="AO5944" s="498"/>
      <c r="AP5944" s="498"/>
      <c r="AQ5944" s="498"/>
      <c r="AR5944" s="498"/>
      <c r="AS5944" s="498"/>
      <c r="AT5944" s="498"/>
      <c r="AU5944" s="498"/>
      <c r="AV5944" s="498"/>
      <c r="AW5944" s="498"/>
      <c r="AX5944" s="498"/>
      <c r="AY5944" s="498"/>
      <c r="AZ5944" s="498"/>
      <c r="BA5944" s="498"/>
    </row>
    <row r="5945" spans="1:53" s="499" customFormat="1" x14ac:dyDescent="0.25">
      <c r="A5945" s="500"/>
      <c r="B5945" s="501"/>
      <c r="C5945" s="502"/>
      <c r="D5945" s="497"/>
      <c r="E5945" s="497"/>
      <c r="F5945" s="502"/>
      <c r="G5945" s="497"/>
      <c r="H5945" s="497"/>
      <c r="I5945" s="497"/>
      <c r="J5945" s="497"/>
      <c r="K5945" s="500"/>
      <c r="L5945" s="497"/>
      <c r="M5945"/>
      <c r="N5945" s="498"/>
      <c r="O5945" s="498"/>
      <c r="P5945" s="498"/>
      <c r="Q5945" s="498"/>
      <c r="R5945" s="498"/>
      <c r="T5945" s="498"/>
      <c r="U5945" s="498"/>
      <c r="V5945" s="498"/>
      <c r="W5945" s="498"/>
      <c r="X5945" s="498"/>
      <c r="Y5945" s="498"/>
      <c r="Z5945" s="498"/>
      <c r="AA5945" s="498"/>
      <c r="AB5945" s="498"/>
      <c r="AC5945" s="498"/>
      <c r="AD5945" s="498"/>
      <c r="AE5945" s="498"/>
      <c r="AF5945" s="498"/>
      <c r="AG5945" s="498"/>
      <c r="AH5945" s="498"/>
      <c r="AI5945" s="498"/>
      <c r="AK5945" s="498"/>
      <c r="AL5945" s="498"/>
      <c r="AM5945" s="498"/>
      <c r="AN5945" s="498"/>
      <c r="AO5945" s="498"/>
      <c r="AP5945" s="498"/>
      <c r="AQ5945" s="498"/>
      <c r="AR5945" s="498"/>
      <c r="AS5945" s="498"/>
      <c r="AT5945" s="498"/>
      <c r="AU5945" s="498"/>
      <c r="AV5945" s="498"/>
      <c r="AW5945" s="498"/>
      <c r="AX5945" s="498"/>
      <c r="AY5945" s="498"/>
      <c r="AZ5945" s="498"/>
      <c r="BA5945" s="498"/>
    </row>
    <row r="5946" spans="1:53" s="499" customFormat="1" x14ac:dyDescent="0.25">
      <c r="A5946" s="500"/>
      <c r="B5946" s="501"/>
      <c r="C5946" s="502"/>
      <c r="D5946" s="497"/>
      <c r="E5946" s="497"/>
      <c r="F5946" s="502"/>
      <c r="G5946" s="497"/>
      <c r="H5946" s="497"/>
      <c r="I5946" s="497"/>
      <c r="J5946" s="497"/>
      <c r="K5946" s="500"/>
      <c r="L5946" s="497"/>
      <c r="M5946"/>
      <c r="N5946" s="498"/>
      <c r="O5946" s="498"/>
      <c r="P5946" s="498"/>
      <c r="Q5946" s="498"/>
      <c r="R5946" s="498"/>
      <c r="T5946" s="498"/>
      <c r="U5946" s="498"/>
      <c r="V5946" s="498"/>
      <c r="W5946" s="498"/>
      <c r="X5946" s="498"/>
      <c r="Y5946" s="498"/>
      <c r="Z5946" s="498"/>
      <c r="AA5946" s="498"/>
      <c r="AB5946" s="498"/>
      <c r="AC5946" s="498"/>
      <c r="AD5946" s="498"/>
      <c r="AE5946" s="498"/>
      <c r="AF5946" s="498"/>
      <c r="AG5946" s="498"/>
      <c r="AH5946" s="498"/>
      <c r="AI5946" s="498"/>
      <c r="AK5946" s="498"/>
      <c r="AL5946" s="498"/>
      <c r="AM5946" s="498"/>
      <c r="AN5946" s="498"/>
      <c r="AO5946" s="498"/>
      <c r="AP5946" s="498"/>
      <c r="AQ5946" s="498"/>
      <c r="AR5946" s="498"/>
      <c r="AS5946" s="498"/>
      <c r="AT5946" s="498"/>
      <c r="AU5946" s="498"/>
      <c r="AV5946" s="498"/>
      <c r="AW5946" s="498"/>
      <c r="AX5946" s="498"/>
      <c r="AY5946" s="498"/>
      <c r="AZ5946" s="498"/>
      <c r="BA5946" s="498"/>
    </row>
    <row r="5947" spans="1:53" s="499" customFormat="1" x14ac:dyDescent="0.25">
      <c r="A5947" s="500"/>
      <c r="B5947" s="501"/>
      <c r="C5947" s="502"/>
      <c r="D5947" s="497"/>
      <c r="E5947" s="497"/>
      <c r="F5947" s="502"/>
      <c r="G5947" s="497"/>
      <c r="H5947" s="497"/>
      <c r="I5947" s="497"/>
      <c r="J5947" s="497"/>
      <c r="K5947" s="500"/>
      <c r="L5947" s="497"/>
      <c r="M5947"/>
      <c r="N5947" s="498"/>
      <c r="O5947" s="498"/>
      <c r="P5947" s="498"/>
      <c r="Q5947" s="498"/>
      <c r="R5947" s="498"/>
      <c r="T5947" s="498"/>
      <c r="U5947" s="498"/>
      <c r="V5947" s="498"/>
      <c r="W5947" s="498"/>
      <c r="X5947" s="498"/>
      <c r="Y5947" s="498"/>
      <c r="Z5947" s="498"/>
      <c r="AA5947" s="498"/>
      <c r="AB5947" s="498"/>
      <c r="AC5947" s="498"/>
      <c r="AD5947" s="498"/>
      <c r="AE5947" s="498"/>
      <c r="AF5947" s="498"/>
      <c r="AG5947" s="498"/>
      <c r="AH5947" s="498"/>
      <c r="AI5947" s="498"/>
      <c r="AK5947" s="498"/>
      <c r="AL5947" s="498"/>
      <c r="AM5947" s="498"/>
      <c r="AN5947" s="498"/>
      <c r="AO5947" s="498"/>
      <c r="AP5947" s="498"/>
      <c r="AQ5947" s="498"/>
      <c r="AR5947" s="498"/>
      <c r="AS5947" s="498"/>
      <c r="AT5947" s="498"/>
      <c r="AU5947" s="498"/>
      <c r="AV5947" s="498"/>
      <c r="AW5947" s="498"/>
      <c r="AX5947" s="498"/>
      <c r="AY5947" s="498"/>
      <c r="AZ5947" s="498"/>
      <c r="BA5947" s="498"/>
    </row>
    <row r="5948" spans="1:53" s="499" customFormat="1" x14ac:dyDescent="0.25">
      <c r="A5948" s="500"/>
      <c r="B5948" s="501"/>
      <c r="C5948" s="502"/>
      <c r="D5948" s="497"/>
      <c r="E5948" s="497"/>
      <c r="F5948" s="502"/>
      <c r="G5948" s="497"/>
      <c r="H5948" s="497"/>
      <c r="I5948" s="497"/>
      <c r="J5948" s="497"/>
      <c r="K5948" s="500"/>
      <c r="L5948" s="497"/>
      <c r="M5948"/>
      <c r="N5948" s="498"/>
      <c r="O5948" s="498"/>
      <c r="P5948" s="498"/>
      <c r="Q5948" s="498"/>
      <c r="R5948" s="498"/>
      <c r="T5948" s="498"/>
      <c r="U5948" s="498"/>
      <c r="V5948" s="498"/>
      <c r="W5948" s="498"/>
      <c r="X5948" s="498"/>
      <c r="Y5948" s="498"/>
      <c r="Z5948" s="498"/>
      <c r="AA5948" s="498"/>
      <c r="AB5948" s="498"/>
      <c r="AC5948" s="498"/>
      <c r="AD5948" s="498"/>
      <c r="AE5948" s="498"/>
      <c r="AF5948" s="498"/>
      <c r="AG5948" s="498"/>
      <c r="AH5948" s="498"/>
      <c r="AI5948" s="498"/>
      <c r="AK5948" s="498"/>
      <c r="AL5948" s="498"/>
      <c r="AM5948" s="498"/>
      <c r="AN5948" s="498"/>
      <c r="AO5948" s="498"/>
      <c r="AP5948" s="498"/>
      <c r="AQ5948" s="498"/>
      <c r="AR5948" s="498"/>
      <c r="AS5948" s="498"/>
      <c r="AT5948" s="498"/>
      <c r="AU5948" s="498"/>
      <c r="AV5948" s="498"/>
      <c r="AW5948" s="498"/>
      <c r="AX5948" s="498"/>
      <c r="AY5948" s="498"/>
      <c r="AZ5948" s="498"/>
      <c r="BA5948" s="498"/>
    </row>
    <row r="5949" spans="1:53" s="499" customFormat="1" x14ac:dyDescent="0.25">
      <c r="A5949" s="500"/>
      <c r="B5949" s="501"/>
      <c r="C5949" s="502"/>
      <c r="D5949" s="497"/>
      <c r="E5949" s="497"/>
      <c r="F5949" s="502"/>
      <c r="G5949" s="497"/>
      <c r="H5949" s="497"/>
      <c r="I5949" s="497"/>
      <c r="J5949" s="497"/>
      <c r="K5949" s="500"/>
      <c r="L5949" s="497"/>
      <c r="M5949"/>
      <c r="N5949" s="498"/>
      <c r="O5949" s="498"/>
      <c r="P5949" s="498"/>
      <c r="Q5949" s="498"/>
      <c r="R5949" s="498"/>
      <c r="T5949" s="498"/>
      <c r="U5949" s="498"/>
      <c r="V5949" s="498"/>
      <c r="W5949" s="498"/>
      <c r="X5949" s="498"/>
      <c r="Y5949" s="498"/>
      <c r="Z5949" s="498"/>
      <c r="AA5949" s="498"/>
      <c r="AB5949" s="498"/>
      <c r="AC5949" s="498"/>
      <c r="AD5949" s="498"/>
      <c r="AE5949" s="498"/>
      <c r="AF5949" s="498"/>
      <c r="AG5949" s="498"/>
      <c r="AH5949" s="498"/>
      <c r="AI5949" s="498"/>
      <c r="AK5949" s="498"/>
      <c r="AL5949" s="498"/>
      <c r="AM5949" s="498"/>
      <c r="AN5949" s="498"/>
      <c r="AO5949" s="498"/>
      <c r="AP5949" s="498"/>
      <c r="AQ5949" s="498"/>
      <c r="AR5949" s="498"/>
      <c r="AS5949" s="498"/>
      <c r="AT5949" s="498"/>
      <c r="AU5949" s="498"/>
      <c r="AV5949" s="498"/>
      <c r="AW5949" s="498"/>
      <c r="AX5949" s="498"/>
      <c r="AY5949" s="498"/>
      <c r="AZ5949" s="498"/>
      <c r="BA5949" s="498"/>
    </row>
    <row r="5950" spans="1:53" s="499" customFormat="1" x14ac:dyDescent="0.25">
      <c r="A5950" s="500"/>
      <c r="B5950" s="501"/>
      <c r="C5950" s="502"/>
      <c r="D5950" s="497"/>
      <c r="E5950" s="497"/>
      <c r="F5950" s="502"/>
      <c r="G5950" s="497"/>
      <c r="H5950" s="497"/>
      <c r="I5950" s="497"/>
      <c r="J5950" s="497"/>
      <c r="K5950" s="500"/>
      <c r="L5950" s="497"/>
      <c r="M5950"/>
      <c r="N5950" s="498"/>
      <c r="O5950" s="498"/>
      <c r="P5950" s="498"/>
      <c r="Q5950" s="498"/>
      <c r="R5950" s="498"/>
      <c r="T5950" s="498"/>
      <c r="U5950" s="498"/>
      <c r="V5950" s="498"/>
      <c r="W5950" s="498"/>
      <c r="X5950" s="498"/>
      <c r="Y5950" s="498"/>
      <c r="Z5950" s="498"/>
      <c r="AA5950" s="498"/>
      <c r="AB5950" s="498"/>
      <c r="AC5950" s="498"/>
      <c r="AD5950" s="498"/>
      <c r="AE5950" s="498"/>
      <c r="AF5950" s="498"/>
      <c r="AG5950" s="498"/>
      <c r="AH5950" s="498"/>
      <c r="AI5950" s="498"/>
      <c r="AK5950" s="498"/>
      <c r="AL5950" s="498"/>
      <c r="AM5950" s="498"/>
      <c r="AN5950" s="498"/>
      <c r="AO5950" s="498"/>
      <c r="AP5950" s="498"/>
      <c r="AQ5950" s="498"/>
      <c r="AR5950" s="498"/>
      <c r="AS5950" s="498"/>
      <c r="AT5950" s="498"/>
      <c r="AU5950" s="498"/>
      <c r="AV5950" s="498"/>
      <c r="AW5950" s="498"/>
      <c r="AX5950" s="498"/>
      <c r="AY5950" s="498"/>
      <c r="AZ5950" s="498"/>
      <c r="BA5950" s="498"/>
    </row>
    <row r="5951" spans="1:53" s="499" customFormat="1" x14ac:dyDescent="0.25">
      <c r="A5951" s="500"/>
      <c r="B5951" s="501"/>
      <c r="C5951" s="502"/>
      <c r="D5951" s="497"/>
      <c r="E5951" s="497"/>
      <c r="F5951" s="502"/>
      <c r="G5951" s="497"/>
      <c r="H5951" s="497"/>
      <c r="I5951" s="497"/>
      <c r="J5951" s="497"/>
      <c r="K5951" s="500"/>
      <c r="L5951" s="497"/>
      <c r="M5951"/>
      <c r="N5951" s="498"/>
      <c r="O5951" s="498"/>
      <c r="P5951" s="498"/>
      <c r="Q5951" s="498"/>
      <c r="R5951" s="498"/>
      <c r="T5951" s="498"/>
      <c r="U5951" s="498"/>
      <c r="V5951" s="498"/>
      <c r="W5951" s="498"/>
      <c r="X5951" s="498"/>
      <c r="Y5951" s="498"/>
      <c r="Z5951" s="498"/>
      <c r="AA5951" s="498"/>
      <c r="AB5951" s="498"/>
      <c r="AC5951" s="498"/>
      <c r="AD5951" s="498"/>
      <c r="AE5951" s="498"/>
      <c r="AF5951" s="498"/>
      <c r="AG5951" s="498"/>
      <c r="AH5951" s="498"/>
      <c r="AI5951" s="498"/>
      <c r="AK5951" s="498"/>
      <c r="AL5951" s="498"/>
      <c r="AM5951" s="498"/>
      <c r="AN5951" s="498"/>
      <c r="AO5951" s="498"/>
      <c r="AP5951" s="498"/>
      <c r="AQ5951" s="498"/>
      <c r="AR5951" s="498"/>
      <c r="AS5951" s="498"/>
      <c r="AT5951" s="498"/>
      <c r="AU5951" s="498"/>
      <c r="AV5951" s="498"/>
      <c r="AW5951" s="498"/>
      <c r="AX5951" s="498"/>
      <c r="AY5951" s="498"/>
      <c r="AZ5951" s="498"/>
      <c r="BA5951" s="498"/>
    </row>
    <row r="5952" spans="1:53" s="499" customFormat="1" x14ac:dyDescent="0.25">
      <c r="A5952" s="500"/>
      <c r="B5952" s="501"/>
      <c r="C5952" s="502"/>
      <c r="D5952" s="497"/>
      <c r="E5952" s="497"/>
      <c r="F5952" s="502"/>
      <c r="G5952" s="497"/>
      <c r="H5952" s="497"/>
      <c r="I5952" s="497"/>
      <c r="J5952" s="497"/>
      <c r="K5952" s="500"/>
      <c r="L5952" s="497"/>
      <c r="M5952"/>
      <c r="N5952" s="498"/>
      <c r="O5952" s="498"/>
      <c r="P5952" s="498"/>
      <c r="Q5952" s="498"/>
      <c r="R5952" s="498"/>
      <c r="T5952" s="498"/>
      <c r="U5952" s="498"/>
      <c r="V5952" s="498"/>
      <c r="W5952" s="498"/>
      <c r="X5952" s="498"/>
      <c r="Y5952" s="498"/>
      <c r="Z5952" s="498"/>
      <c r="AA5952" s="498"/>
      <c r="AB5952" s="498"/>
      <c r="AC5952" s="498"/>
      <c r="AD5952" s="498"/>
      <c r="AE5952" s="498"/>
      <c r="AF5952" s="498"/>
      <c r="AG5952" s="498"/>
      <c r="AH5952" s="498"/>
      <c r="AI5952" s="498"/>
      <c r="AK5952" s="498"/>
      <c r="AL5952" s="498"/>
      <c r="AM5952" s="498"/>
      <c r="AN5952" s="498"/>
      <c r="AO5952" s="498"/>
      <c r="AP5952" s="498"/>
      <c r="AQ5952" s="498"/>
      <c r="AR5952" s="498"/>
      <c r="AS5952" s="498"/>
      <c r="AT5952" s="498"/>
      <c r="AU5952" s="498"/>
      <c r="AV5952" s="498"/>
      <c r="AW5952" s="498"/>
      <c r="AX5952" s="498"/>
      <c r="AY5952" s="498"/>
      <c r="AZ5952" s="498"/>
      <c r="BA5952" s="498"/>
    </row>
    <row r="5953" spans="1:53" s="499" customFormat="1" x14ac:dyDescent="0.25">
      <c r="A5953" s="500"/>
      <c r="B5953" s="501"/>
      <c r="C5953" s="502"/>
      <c r="D5953" s="497"/>
      <c r="E5953" s="497"/>
      <c r="F5953" s="502"/>
      <c r="G5953" s="497"/>
      <c r="H5953" s="497"/>
      <c r="I5953" s="497"/>
      <c r="J5953" s="497"/>
      <c r="K5953" s="500"/>
      <c r="L5953" s="497"/>
      <c r="M5953"/>
      <c r="N5953" s="498"/>
      <c r="O5953" s="498"/>
      <c r="P5953" s="498"/>
      <c r="Q5953" s="498"/>
      <c r="R5953" s="498"/>
      <c r="T5953" s="498"/>
      <c r="U5953" s="498"/>
      <c r="V5953" s="498"/>
      <c r="W5953" s="498"/>
      <c r="X5953" s="498"/>
      <c r="Y5953" s="498"/>
      <c r="Z5953" s="498"/>
      <c r="AA5953" s="498"/>
      <c r="AB5953" s="498"/>
      <c r="AC5953" s="498"/>
      <c r="AD5953" s="498"/>
      <c r="AE5953" s="498"/>
      <c r="AF5953" s="498"/>
      <c r="AG5953" s="498"/>
      <c r="AH5953" s="498"/>
      <c r="AI5953" s="498"/>
      <c r="AK5953" s="498"/>
      <c r="AL5953" s="498"/>
      <c r="AM5953" s="498"/>
      <c r="AN5953" s="498"/>
      <c r="AO5953" s="498"/>
      <c r="AP5953" s="498"/>
      <c r="AQ5953" s="498"/>
      <c r="AR5953" s="498"/>
      <c r="AS5953" s="498"/>
      <c r="AT5953" s="498"/>
      <c r="AU5953" s="498"/>
      <c r="AV5953" s="498"/>
      <c r="AW5953" s="498"/>
      <c r="AX5953" s="498"/>
      <c r="AY5953" s="498"/>
      <c r="AZ5953" s="498"/>
      <c r="BA5953" s="498"/>
    </row>
    <row r="5954" spans="1:53" s="499" customFormat="1" x14ac:dyDescent="0.25">
      <c r="A5954" s="500"/>
      <c r="B5954" s="501"/>
      <c r="C5954" s="502"/>
      <c r="D5954" s="497"/>
      <c r="E5954" s="497"/>
      <c r="F5954" s="502"/>
      <c r="G5954" s="497"/>
      <c r="H5954" s="497"/>
      <c r="I5954" s="497"/>
      <c r="J5954" s="497"/>
      <c r="K5954" s="500"/>
      <c r="L5954" s="497"/>
      <c r="M5954"/>
      <c r="N5954" s="498"/>
      <c r="O5954" s="498"/>
      <c r="P5954" s="498"/>
      <c r="Q5954" s="498"/>
      <c r="R5954" s="498"/>
      <c r="T5954" s="498"/>
      <c r="U5954" s="498"/>
      <c r="V5954" s="498"/>
      <c r="W5954" s="498"/>
      <c r="X5954" s="498"/>
      <c r="Y5954" s="498"/>
      <c r="Z5954" s="498"/>
      <c r="AA5954" s="498"/>
      <c r="AB5954" s="498"/>
      <c r="AC5954" s="498"/>
      <c r="AD5954" s="498"/>
      <c r="AE5954" s="498"/>
      <c r="AF5954" s="498"/>
      <c r="AG5954" s="498"/>
      <c r="AH5954" s="498"/>
      <c r="AI5954" s="498"/>
      <c r="AK5954" s="498"/>
      <c r="AL5954" s="498"/>
      <c r="AM5954" s="498"/>
      <c r="AN5954" s="498"/>
      <c r="AO5954" s="498"/>
      <c r="AP5954" s="498"/>
      <c r="AQ5954" s="498"/>
      <c r="AR5954" s="498"/>
      <c r="AS5954" s="498"/>
      <c r="AT5954" s="498"/>
      <c r="AU5954" s="498"/>
      <c r="AV5954" s="498"/>
      <c r="AW5954" s="498"/>
      <c r="AX5954" s="498"/>
      <c r="AY5954" s="498"/>
      <c r="AZ5954" s="498"/>
      <c r="BA5954" s="498"/>
    </row>
    <row r="5955" spans="1:53" s="499" customFormat="1" x14ac:dyDescent="0.25">
      <c r="A5955" s="500"/>
      <c r="B5955" s="501"/>
      <c r="C5955" s="502"/>
      <c r="D5955" s="497"/>
      <c r="E5955" s="497"/>
      <c r="F5955" s="502"/>
      <c r="G5955" s="497"/>
      <c r="H5955" s="497"/>
      <c r="I5955" s="497"/>
      <c r="J5955" s="497"/>
      <c r="K5955" s="500"/>
      <c r="L5955" s="497"/>
      <c r="M5955"/>
      <c r="N5955" s="498"/>
      <c r="O5955" s="498"/>
      <c r="P5955" s="498"/>
      <c r="Q5955" s="498"/>
      <c r="R5955" s="498"/>
      <c r="T5955" s="498"/>
      <c r="U5955" s="498"/>
      <c r="V5955" s="498"/>
      <c r="W5955" s="498"/>
      <c r="X5955" s="498"/>
      <c r="Y5955" s="498"/>
      <c r="Z5955" s="498"/>
      <c r="AA5955" s="498"/>
      <c r="AB5955" s="498"/>
      <c r="AC5955" s="498"/>
      <c r="AD5955" s="498"/>
      <c r="AE5955" s="498"/>
      <c r="AF5955" s="498"/>
      <c r="AG5955" s="498"/>
      <c r="AH5955" s="498"/>
      <c r="AI5955" s="498"/>
      <c r="AK5955" s="498"/>
      <c r="AL5955" s="498"/>
      <c r="AM5955" s="498"/>
      <c r="AN5955" s="498"/>
      <c r="AO5955" s="498"/>
      <c r="AP5955" s="498"/>
      <c r="AQ5955" s="498"/>
      <c r="AR5955" s="498"/>
      <c r="AS5955" s="498"/>
      <c r="AT5955" s="498"/>
      <c r="AU5955" s="498"/>
      <c r="AV5955" s="498"/>
      <c r="AW5955" s="498"/>
      <c r="AX5955" s="498"/>
      <c r="AY5955" s="498"/>
      <c r="AZ5955" s="498"/>
      <c r="BA5955" s="498"/>
    </row>
    <row r="5956" spans="1:53" s="499" customFormat="1" x14ac:dyDescent="0.25">
      <c r="A5956" s="500"/>
      <c r="B5956" s="501"/>
      <c r="C5956" s="502"/>
      <c r="D5956" s="497"/>
      <c r="E5956" s="497"/>
      <c r="F5956" s="502"/>
      <c r="G5956" s="497"/>
      <c r="H5956" s="497"/>
      <c r="I5956" s="497"/>
      <c r="J5956" s="497"/>
      <c r="K5956" s="500"/>
      <c r="L5956" s="497"/>
      <c r="M5956"/>
      <c r="N5956" s="498"/>
      <c r="O5956" s="498"/>
      <c r="P5956" s="498"/>
      <c r="Q5956" s="498"/>
      <c r="R5956" s="498"/>
      <c r="T5956" s="498"/>
      <c r="U5956" s="498"/>
      <c r="V5956" s="498"/>
      <c r="W5956" s="498"/>
      <c r="X5956" s="498"/>
      <c r="Y5956" s="498"/>
      <c r="Z5956" s="498"/>
      <c r="AA5956" s="498"/>
      <c r="AB5956" s="498"/>
      <c r="AC5956" s="498"/>
      <c r="AD5956" s="498"/>
      <c r="AE5956" s="498"/>
      <c r="AF5956" s="498"/>
      <c r="AG5956" s="498"/>
      <c r="AH5956" s="498"/>
      <c r="AI5956" s="498"/>
      <c r="AK5956" s="498"/>
      <c r="AL5956" s="498"/>
      <c r="AM5956" s="498"/>
      <c r="AN5956" s="498"/>
      <c r="AO5956" s="498"/>
      <c r="AP5956" s="498"/>
      <c r="AQ5956" s="498"/>
      <c r="AR5956" s="498"/>
      <c r="AS5956" s="498"/>
      <c r="AT5956" s="498"/>
      <c r="AU5956" s="498"/>
      <c r="AV5956" s="498"/>
      <c r="AW5956" s="498"/>
      <c r="AX5956" s="498"/>
      <c r="AY5956" s="498"/>
      <c r="AZ5956" s="498"/>
      <c r="BA5956" s="498"/>
    </row>
    <row r="5957" spans="1:53" s="499" customFormat="1" x14ac:dyDescent="0.25">
      <c r="A5957" s="500"/>
      <c r="B5957" s="501"/>
      <c r="C5957" s="502"/>
      <c r="D5957" s="497"/>
      <c r="E5957" s="497"/>
      <c r="F5957" s="502"/>
      <c r="G5957" s="497"/>
      <c r="H5957" s="497"/>
      <c r="I5957" s="497"/>
      <c r="J5957" s="497"/>
      <c r="K5957" s="500"/>
      <c r="L5957" s="497"/>
      <c r="M5957"/>
      <c r="N5957" s="498"/>
      <c r="O5957" s="498"/>
      <c r="P5957" s="498"/>
      <c r="Q5957" s="498"/>
      <c r="R5957" s="498"/>
      <c r="T5957" s="498"/>
      <c r="U5957" s="498"/>
      <c r="V5957" s="498"/>
      <c r="W5957" s="498"/>
      <c r="X5957" s="498"/>
      <c r="Y5957" s="498"/>
      <c r="Z5957" s="498"/>
      <c r="AA5957" s="498"/>
      <c r="AB5957" s="498"/>
      <c r="AC5957" s="498"/>
      <c r="AD5957" s="498"/>
      <c r="AE5957" s="498"/>
      <c r="AF5957" s="498"/>
      <c r="AG5957" s="498"/>
      <c r="AH5957" s="498"/>
      <c r="AI5957" s="498"/>
      <c r="AK5957" s="498"/>
      <c r="AL5957" s="498"/>
      <c r="AM5957" s="498"/>
      <c r="AN5957" s="498"/>
      <c r="AO5957" s="498"/>
      <c r="AP5957" s="498"/>
      <c r="AQ5957" s="498"/>
      <c r="AR5957" s="498"/>
      <c r="AS5957" s="498"/>
      <c r="AT5957" s="498"/>
      <c r="AU5957" s="498"/>
      <c r="AV5957" s="498"/>
      <c r="AW5957" s="498"/>
      <c r="AX5957" s="498"/>
      <c r="AY5957" s="498"/>
      <c r="AZ5957" s="498"/>
      <c r="BA5957" s="498"/>
    </row>
    <row r="5958" spans="1:53" s="499" customFormat="1" x14ac:dyDescent="0.25">
      <c r="A5958" s="500"/>
      <c r="B5958" s="501"/>
      <c r="C5958" s="502"/>
      <c r="D5958" s="497"/>
      <c r="E5958" s="497"/>
      <c r="F5958" s="502"/>
      <c r="G5958" s="497"/>
      <c r="H5958" s="497"/>
      <c r="I5958" s="497"/>
      <c r="J5958" s="497"/>
      <c r="K5958" s="500"/>
      <c r="L5958" s="497"/>
      <c r="M5958"/>
      <c r="N5958" s="498"/>
      <c r="O5958" s="498"/>
      <c r="P5958" s="498"/>
      <c r="Q5958" s="498"/>
      <c r="R5958" s="498"/>
      <c r="T5958" s="498"/>
      <c r="U5958" s="498"/>
      <c r="V5958" s="498"/>
      <c r="W5958" s="498"/>
      <c r="X5958" s="498"/>
      <c r="Y5958" s="498"/>
      <c r="Z5958" s="498"/>
      <c r="AA5958" s="498"/>
      <c r="AB5958" s="498"/>
      <c r="AC5958" s="498"/>
      <c r="AD5958" s="498"/>
      <c r="AE5958" s="498"/>
      <c r="AF5958" s="498"/>
      <c r="AG5958" s="498"/>
      <c r="AH5958" s="498"/>
      <c r="AI5958" s="498"/>
      <c r="AK5958" s="498"/>
      <c r="AL5958" s="498"/>
      <c r="AM5958" s="498"/>
      <c r="AN5958" s="498"/>
      <c r="AO5958" s="498"/>
      <c r="AP5958" s="498"/>
      <c r="AQ5958" s="498"/>
      <c r="AR5958" s="498"/>
      <c r="AS5958" s="498"/>
      <c r="AT5958" s="498"/>
      <c r="AU5958" s="498"/>
      <c r="AV5958" s="498"/>
      <c r="AW5958" s="498"/>
      <c r="AX5958" s="498"/>
      <c r="AY5958" s="498"/>
      <c r="AZ5958" s="498"/>
      <c r="BA5958" s="498"/>
    </row>
    <row r="5959" spans="1:53" s="499" customFormat="1" x14ac:dyDescent="0.25">
      <c r="A5959" s="500"/>
      <c r="B5959" s="501"/>
      <c r="C5959" s="502"/>
      <c r="D5959" s="497"/>
      <c r="E5959" s="497"/>
      <c r="F5959" s="502"/>
      <c r="G5959" s="497"/>
      <c r="H5959" s="497"/>
      <c r="I5959" s="497"/>
      <c r="J5959" s="497"/>
      <c r="K5959" s="500"/>
      <c r="L5959" s="497"/>
      <c r="M5959"/>
      <c r="N5959" s="498"/>
      <c r="O5959" s="498"/>
      <c r="P5959" s="498"/>
      <c r="Q5959" s="498"/>
      <c r="R5959" s="498"/>
      <c r="T5959" s="498"/>
      <c r="U5959" s="498"/>
      <c r="V5959" s="498"/>
      <c r="W5959" s="498"/>
      <c r="X5959" s="498"/>
      <c r="Y5959" s="498"/>
      <c r="Z5959" s="498"/>
      <c r="AA5959" s="498"/>
      <c r="AB5959" s="498"/>
      <c r="AC5959" s="498"/>
      <c r="AD5959" s="498"/>
      <c r="AE5959" s="498"/>
      <c r="AF5959" s="498"/>
      <c r="AG5959" s="498"/>
      <c r="AH5959" s="498"/>
      <c r="AI5959" s="498"/>
      <c r="AK5959" s="498"/>
      <c r="AL5959" s="498"/>
      <c r="AM5959" s="498"/>
      <c r="AN5959" s="498"/>
      <c r="AO5959" s="498"/>
      <c r="AP5959" s="498"/>
      <c r="AQ5959" s="498"/>
      <c r="AR5959" s="498"/>
      <c r="AS5959" s="498"/>
      <c r="AT5959" s="498"/>
      <c r="AU5959" s="498"/>
      <c r="AV5959" s="498"/>
      <c r="AW5959" s="498"/>
      <c r="AX5959" s="498"/>
      <c r="AY5959" s="498"/>
      <c r="AZ5959" s="498"/>
      <c r="BA5959" s="498"/>
    </row>
    <row r="5960" spans="1:53" s="499" customFormat="1" x14ac:dyDescent="0.25">
      <c r="A5960" s="500"/>
      <c r="B5960" s="501"/>
      <c r="C5960" s="502"/>
      <c r="D5960" s="497"/>
      <c r="E5960" s="497"/>
      <c r="F5960" s="502"/>
      <c r="G5960" s="497"/>
      <c r="H5960" s="497"/>
      <c r="I5960" s="497"/>
      <c r="J5960" s="497"/>
      <c r="K5960" s="500"/>
      <c r="L5960" s="497"/>
      <c r="M5960"/>
      <c r="N5960" s="498"/>
      <c r="O5960" s="498"/>
      <c r="P5960" s="498"/>
      <c r="Q5960" s="498"/>
      <c r="R5960" s="498"/>
      <c r="T5960" s="498"/>
      <c r="U5960" s="498"/>
      <c r="V5960" s="498"/>
      <c r="W5960" s="498"/>
      <c r="X5960" s="498"/>
      <c r="Y5960" s="498"/>
      <c r="Z5960" s="498"/>
      <c r="AA5960" s="498"/>
      <c r="AB5960" s="498"/>
      <c r="AC5960" s="498"/>
      <c r="AD5960" s="498"/>
      <c r="AE5960" s="498"/>
      <c r="AF5960" s="498"/>
      <c r="AG5960" s="498"/>
      <c r="AH5960" s="498"/>
      <c r="AI5960" s="498"/>
      <c r="AK5960" s="498"/>
      <c r="AL5960" s="498"/>
      <c r="AM5960" s="498"/>
      <c r="AN5960" s="498"/>
      <c r="AO5960" s="498"/>
      <c r="AP5960" s="498"/>
      <c r="AQ5960" s="498"/>
      <c r="AR5960" s="498"/>
      <c r="AS5960" s="498"/>
      <c r="AT5960" s="498"/>
      <c r="AU5960" s="498"/>
      <c r="AV5960" s="498"/>
      <c r="AW5960" s="498"/>
      <c r="AX5960" s="498"/>
      <c r="AY5960" s="498"/>
      <c r="AZ5960" s="498"/>
      <c r="BA5960" s="498"/>
    </row>
    <row r="5961" spans="1:53" s="499" customFormat="1" x14ac:dyDescent="0.25">
      <c r="A5961" s="500"/>
      <c r="B5961" s="501"/>
      <c r="C5961" s="502"/>
      <c r="D5961" s="497"/>
      <c r="E5961" s="497"/>
      <c r="F5961" s="502"/>
      <c r="G5961" s="497"/>
      <c r="H5961" s="497"/>
      <c r="I5961" s="497"/>
      <c r="J5961" s="497"/>
      <c r="K5961" s="500"/>
      <c r="L5961" s="497"/>
      <c r="M5961"/>
      <c r="N5961" s="498"/>
      <c r="O5961" s="498"/>
      <c r="P5961" s="498"/>
      <c r="Q5961" s="498"/>
      <c r="R5961" s="498"/>
      <c r="T5961" s="498"/>
      <c r="U5961" s="498"/>
      <c r="V5961" s="498"/>
      <c r="W5961" s="498"/>
      <c r="X5961" s="498"/>
      <c r="Y5961" s="498"/>
      <c r="Z5961" s="498"/>
      <c r="AA5961" s="498"/>
      <c r="AB5961" s="498"/>
      <c r="AC5961" s="498"/>
      <c r="AD5961" s="498"/>
      <c r="AE5961" s="498"/>
      <c r="AF5961" s="498"/>
      <c r="AG5961" s="498"/>
      <c r="AH5961" s="498"/>
      <c r="AI5961" s="498"/>
      <c r="AK5961" s="498"/>
      <c r="AL5961" s="498"/>
      <c r="AM5961" s="498"/>
      <c r="AN5961" s="498"/>
      <c r="AO5961" s="498"/>
      <c r="AP5961" s="498"/>
      <c r="AQ5961" s="498"/>
      <c r="AR5961" s="498"/>
      <c r="AS5961" s="498"/>
      <c r="AT5961" s="498"/>
      <c r="AU5961" s="498"/>
      <c r="AV5961" s="498"/>
      <c r="AW5961" s="498"/>
      <c r="AX5961" s="498"/>
      <c r="AY5961" s="498"/>
      <c r="AZ5961" s="498"/>
      <c r="BA5961" s="498"/>
    </row>
    <row r="5962" spans="1:53" s="499" customFormat="1" x14ac:dyDescent="0.25">
      <c r="A5962" s="500"/>
      <c r="B5962" s="501"/>
      <c r="C5962" s="502"/>
      <c r="D5962" s="497"/>
      <c r="E5962" s="497"/>
      <c r="F5962" s="502"/>
      <c r="G5962" s="497"/>
      <c r="H5962" s="497"/>
      <c r="I5962" s="497"/>
      <c r="J5962" s="497"/>
      <c r="K5962" s="500"/>
      <c r="L5962" s="497"/>
      <c r="M5962"/>
      <c r="N5962" s="498"/>
      <c r="O5962" s="498"/>
      <c r="P5962" s="498"/>
      <c r="Q5962" s="498"/>
      <c r="R5962" s="498"/>
      <c r="T5962" s="498"/>
      <c r="U5962" s="498"/>
      <c r="V5962" s="498"/>
      <c r="W5962" s="498"/>
      <c r="X5962" s="498"/>
      <c r="Y5962" s="498"/>
      <c r="Z5962" s="498"/>
      <c r="AA5962" s="498"/>
      <c r="AB5962" s="498"/>
      <c r="AC5962" s="498"/>
      <c r="AD5962" s="498"/>
      <c r="AE5962" s="498"/>
      <c r="AF5962" s="498"/>
      <c r="AG5962" s="498"/>
      <c r="AH5962" s="498"/>
      <c r="AI5962" s="498"/>
      <c r="AK5962" s="498"/>
      <c r="AL5962" s="498"/>
      <c r="AM5962" s="498"/>
      <c r="AN5962" s="498"/>
      <c r="AO5962" s="498"/>
      <c r="AP5962" s="498"/>
      <c r="AQ5962" s="498"/>
      <c r="AR5962" s="498"/>
      <c r="AS5962" s="498"/>
      <c r="AT5962" s="498"/>
      <c r="AU5962" s="498"/>
      <c r="AV5962" s="498"/>
      <c r="AW5962" s="498"/>
      <c r="AX5962" s="498"/>
      <c r="AY5962" s="498"/>
      <c r="AZ5962" s="498"/>
      <c r="BA5962" s="498"/>
    </row>
    <row r="5963" spans="1:53" s="499" customFormat="1" x14ac:dyDescent="0.25">
      <c r="A5963" s="500"/>
      <c r="B5963" s="501"/>
      <c r="C5963" s="502"/>
      <c r="D5963" s="497"/>
      <c r="E5963" s="497"/>
      <c r="F5963" s="502"/>
      <c r="G5963" s="497"/>
      <c r="H5963" s="497"/>
      <c r="I5963" s="497"/>
      <c r="J5963" s="497"/>
      <c r="K5963" s="500"/>
      <c r="L5963" s="497"/>
      <c r="M5963"/>
      <c r="N5963" s="498"/>
      <c r="O5963" s="498"/>
      <c r="P5963" s="498"/>
      <c r="Q5963" s="498"/>
      <c r="R5963" s="498"/>
      <c r="T5963" s="498"/>
      <c r="U5963" s="498"/>
      <c r="V5963" s="498"/>
      <c r="W5963" s="498"/>
      <c r="X5963" s="498"/>
      <c r="Y5963" s="498"/>
      <c r="Z5963" s="498"/>
      <c r="AA5963" s="498"/>
      <c r="AB5963" s="498"/>
      <c r="AC5963" s="498"/>
      <c r="AD5963" s="498"/>
      <c r="AE5963" s="498"/>
      <c r="AF5963" s="498"/>
      <c r="AG5963" s="498"/>
      <c r="AH5963" s="498"/>
      <c r="AI5963" s="498"/>
      <c r="AK5963" s="498"/>
      <c r="AL5963" s="498"/>
      <c r="AM5963" s="498"/>
      <c r="AN5963" s="498"/>
      <c r="AO5963" s="498"/>
      <c r="AP5963" s="498"/>
      <c r="AQ5963" s="498"/>
      <c r="AR5963" s="498"/>
      <c r="AS5963" s="498"/>
      <c r="AT5963" s="498"/>
      <c r="AU5963" s="498"/>
      <c r="AV5963" s="498"/>
      <c r="AW5963" s="498"/>
      <c r="AX5963" s="498"/>
      <c r="AY5963" s="498"/>
      <c r="AZ5963" s="498"/>
      <c r="BA5963" s="498"/>
    </row>
    <row r="5964" spans="1:53" s="499" customFormat="1" x14ac:dyDescent="0.25">
      <c r="A5964" s="500"/>
      <c r="B5964" s="501"/>
      <c r="C5964" s="502"/>
      <c r="D5964" s="497"/>
      <c r="E5964" s="497"/>
      <c r="F5964" s="502"/>
      <c r="G5964" s="497"/>
      <c r="H5964" s="497"/>
      <c r="I5964" s="497"/>
      <c r="J5964" s="497"/>
      <c r="K5964" s="500"/>
      <c r="L5964" s="497"/>
      <c r="M5964"/>
      <c r="N5964" s="498"/>
      <c r="O5964" s="498"/>
      <c r="P5964" s="498"/>
      <c r="Q5964" s="498"/>
      <c r="R5964" s="498"/>
      <c r="T5964" s="498"/>
      <c r="U5964" s="498"/>
      <c r="V5964" s="498"/>
      <c r="W5964" s="498"/>
      <c r="X5964" s="498"/>
      <c r="Y5964" s="498"/>
      <c r="Z5964" s="498"/>
      <c r="AA5964" s="498"/>
      <c r="AB5964" s="498"/>
      <c r="AC5964" s="498"/>
      <c r="AD5964" s="498"/>
      <c r="AE5964" s="498"/>
      <c r="AF5964" s="498"/>
      <c r="AG5964" s="498"/>
      <c r="AH5964" s="498"/>
      <c r="AI5964" s="498"/>
      <c r="AK5964" s="498"/>
      <c r="AL5964" s="498"/>
      <c r="AM5964" s="498"/>
      <c r="AN5964" s="498"/>
      <c r="AO5964" s="498"/>
      <c r="AP5964" s="498"/>
      <c r="AQ5964" s="498"/>
      <c r="AR5964" s="498"/>
      <c r="AS5964" s="498"/>
      <c r="AT5964" s="498"/>
      <c r="AU5964" s="498"/>
      <c r="AV5964" s="498"/>
      <c r="AW5964" s="498"/>
      <c r="AX5964" s="498"/>
      <c r="AY5964" s="498"/>
      <c r="AZ5964" s="498"/>
      <c r="BA5964" s="498"/>
    </row>
    <row r="5965" spans="1:53" s="499" customFormat="1" x14ac:dyDescent="0.25">
      <c r="A5965" s="500"/>
      <c r="B5965" s="501"/>
      <c r="C5965" s="502"/>
      <c r="D5965" s="497"/>
      <c r="E5965" s="497"/>
      <c r="F5965" s="502"/>
      <c r="G5965" s="497"/>
      <c r="H5965" s="497"/>
      <c r="I5965" s="497"/>
      <c r="J5965" s="497"/>
      <c r="K5965" s="500"/>
      <c r="L5965" s="497"/>
      <c r="M5965"/>
      <c r="N5965" s="498"/>
      <c r="O5965" s="498"/>
      <c r="P5965" s="498"/>
      <c r="Q5965" s="498"/>
      <c r="R5965" s="498"/>
      <c r="T5965" s="498"/>
      <c r="U5965" s="498"/>
      <c r="V5965" s="498"/>
      <c r="W5965" s="498"/>
      <c r="X5965" s="498"/>
      <c r="Y5965" s="498"/>
      <c r="Z5965" s="498"/>
      <c r="AA5965" s="498"/>
      <c r="AB5965" s="498"/>
      <c r="AC5965" s="498"/>
      <c r="AD5965" s="498"/>
      <c r="AE5965" s="498"/>
      <c r="AF5965" s="498"/>
      <c r="AG5965" s="498"/>
      <c r="AH5965" s="498"/>
      <c r="AI5965" s="498"/>
      <c r="AK5965" s="498"/>
      <c r="AL5965" s="498"/>
      <c r="AM5965" s="498"/>
      <c r="AN5965" s="498"/>
      <c r="AO5965" s="498"/>
      <c r="AP5965" s="498"/>
      <c r="AQ5965" s="498"/>
      <c r="AR5965" s="498"/>
      <c r="AS5965" s="498"/>
      <c r="AT5965" s="498"/>
      <c r="AU5965" s="498"/>
      <c r="AV5965" s="498"/>
      <c r="AW5965" s="498"/>
      <c r="AX5965" s="498"/>
      <c r="AY5965" s="498"/>
      <c r="AZ5965" s="498"/>
      <c r="BA5965" s="498"/>
    </row>
    <row r="5966" spans="1:53" s="499" customFormat="1" x14ac:dyDescent="0.25">
      <c r="A5966" s="500"/>
      <c r="B5966" s="501"/>
      <c r="C5966" s="502"/>
      <c r="D5966" s="497"/>
      <c r="E5966" s="497"/>
      <c r="F5966" s="502"/>
      <c r="G5966" s="497"/>
      <c r="H5966" s="497"/>
      <c r="I5966" s="497"/>
      <c r="J5966" s="497"/>
      <c r="K5966" s="500"/>
      <c r="L5966" s="497"/>
      <c r="M5966"/>
      <c r="N5966" s="498"/>
      <c r="O5966" s="498"/>
      <c r="P5966" s="498"/>
      <c r="Q5966" s="498"/>
      <c r="R5966" s="498"/>
      <c r="T5966" s="498"/>
      <c r="U5966" s="498"/>
      <c r="V5966" s="498"/>
      <c r="W5966" s="498"/>
      <c r="X5966" s="498"/>
      <c r="Y5966" s="498"/>
      <c r="Z5966" s="498"/>
      <c r="AA5966" s="498"/>
      <c r="AB5966" s="498"/>
      <c r="AC5966" s="498"/>
      <c r="AD5966" s="498"/>
      <c r="AE5966" s="498"/>
      <c r="AF5966" s="498"/>
      <c r="AG5966" s="498"/>
      <c r="AH5966" s="498"/>
      <c r="AI5966" s="498"/>
      <c r="AK5966" s="498"/>
      <c r="AL5966" s="498"/>
      <c r="AM5966" s="498"/>
      <c r="AN5966" s="498"/>
      <c r="AO5966" s="498"/>
      <c r="AP5966" s="498"/>
      <c r="AQ5966" s="498"/>
      <c r="AR5966" s="498"/>
      <c r="AS5966" s="498"/>
      <c r="AT5966" s="498"/>
      <c r="AU5966" s="498"/>
      <c r="AV5966" s="498"/>
      <c r="AW5966" s="498"/>
      <c r="AX5966" s="498"/>
      <c r="AY5966" s="498"/>
      <c r="AZ5966" s="498"/>
      <c r="BA5966" s="498"/>
    </row>
    <row r="5967" spans="1:53" s="499" customFormat="1" x14ac:dyDescent="0.25">
      <c r="A5967" s="500"/>
      <c r="B5967" s="501"/>
      <c r="C5967" s="502"/>
      <c r="D5967" s="497"/>
      <c r="E5967" s="497"/>
      <c r="F5967" s="502"/>
      <c r="G5967" s="497"/>
      <c r="H5967" s="497"/>
      <c r="I5967" s="497"/>
      <c r="J5967" s="497"/>
      <c r="K5967" s="500"/>
      <c r="L5967" s="497"/>
      <c r="M5967"/>
      <c r="N5967" s="498"/>
      <c r="O5967" s="498"/>
      <c r="P5967" s="498"/>
      <c r="Q5967" s="498"/>
      <c r="R5967" s="498"/>
      <c r="T5967" s="498"/>
      <c r="U5967" s="498"/>
      <c r="V5967" s="498"/>
      <c r="W5967" s="498"/>
      <c r="X5967" s="498"/>
      <c r="Y5967" s="498"/>
      <c r="Z5967" s="498"/>
      <c r="AA5967" s="498"/>
      <c r="AB5967" s="498"/>
      <c r="AC5967" s="498"/>
      <c r="AD5967" s="498"/>
      <c r="AE5967" s="498"/>
      <c r="AF5967" s="498"/>
      <c r="AG5967" s="498"/>
      <c r="AH5967" s="498"/>
      <c r="AI5967" s="498"/>
      <c r="AK5967" s="498"/>
      <c r="AL5967" s="498"/>
      <c r="AM5967" s="498"/>
      <c r="AN5967" s="498"/>
      <c r="AO5967" s="498"/>
      <c r="AP5967" s="498"/>
      <c r="AQ5967" s="498"/>
      <c r="AR5967" s="498"/>
      <c r="AS5967" s="498"/>
      <c r="AT5967" s="498"/>
      <c r="AU5967" s="498"/>
      <c r="AV5967" s="498"/>
      <c r="AW5967" s="498"/>
      <c r="AX5967" s="498"/>
      <c r="AY5967" s="498"/>
      <c r="AZ5967" s="498"/>
      <c r="BA5967" s="498"/>
    </row>
    <row r="5968" spans="1:53" s="499" customFormat="1" x14ac:dyDescent="0.25">
      <c r="A5968" s="500"/>
      <c r="B5968" s="501"/>
      <c r="C5968" s="502"/>
      <c r="D5968" s="497"/>
      <c r="E5968" s="497"/>
      <c r="F5968" s="502"/>
      <c r="G5968" s="497"/>
      <c r="H5968" s="497"/>
      <c r="I5968" s="497"/>
      <c r="J5968" s="497"/>
      <c r="K5968" s="500"/>
      <c r="L5968" s="497"/>
      <c r="M5968"/>
      <c r="N5968" s="498"/>
      <c r="O5968" s="498"/>
      <c r="P5968" s="498"/>
      <c r="Q5968" s="498"/>
      <c r="R5968" s="498"/>
      <c r="T5968" s="498"/>
      <c r="U5968" s="498"/>
      <c r="V5968" s="498"/>
      <c r="W5968" s="498"/>
      <c r="X5968" s="498"/>
      <c r="Y5968" s="498"/>
      <c r="Z5968" s="498"/>
      <c r="AA5968" s="498"/>
      <c r="AB5968" s="498"/>
      <c r="AC5968" s="498"/>
      <c r="AD5968" s="498"/>
      <c r="AE5968" s="498"/>
      <c r="AF5968" s="498"/>
      <c r="AG5968" s="498"/>
      <c r="AH5968" s="498"/>
      <c r="AI5968" s="498"/>
      <c r="AK5968" s="498"/>
      <c r="AL5968" s="498"/>
      <c r="AM5968" s="498"/>
      <c r="AN5968" s="498"/>
      <c r="AO5968" s="498"/>
      <c r="AP5968" s="498"/>
      <c r="AQ5968" s="498"/>
      <c r="AR5968" s="498"/>
      <c r="AS5968" s="498"/>
      <c r="AT5968" s="498"/>
      <c r="AU5968" s="498"/>
      <c r="AV5968" s="498"/>
      <c r="AW5968" s="498"/>
      <c r="AX5968" s="498"/>
      <c r="AY5968" s="498"/>
      <c r="AZ5968" s="498"/>
      <c r="BA5968" s="498"/>
    </row>
    <row r="5969" spans="1:53" s="499" customFormat="1" x14ac:dyDescent="0.25">
      <c r="A5969" s="500"/>
      <c r="B5969" s="501"/>
      <c r="C5969" s="502"/>
      <c r="D5969" s="497"/>
      <c r="E5969" s="497"/>
      <c r="F5969" s="502"/>
      <c r="G5969" s="497"/>
      <c r="H5969" s="497"/>
      <c r="I5969" s="497"/>
      <c r="J5969" s="497"/>
      <c r="K5969" s="500"/>
      <c r="L5969" s="497"/>
      <c r="M5969"/>
      <c r="N5969" s="498"/>
      <c r="O5969" s="498"/>
      <c r="P5969" s="498"/>
      <c r="Q5969" s="498"/>
      <c r="R5969" s="498"/>
      <c r="T5969" s="498"/>
      <c r="U5969" s="498"/>
      <c r="V5969" s="498"/>
      <c r="W5969" s="498"/>
      <c r="X5969" s="498"/>
      <c r="Y5969" s="498"/>
      <c r="Z5969" s="498"/>
      <c r="AA5969" s="498"/>
      <c r="AB5969" s="498"/>
      <c r="AC5969" s="498"/>
      <c r="AD5969" s="498"/>
      <c r="AE5969" s="498"/>
      <c r="AF5969" s="498"/>
      <c r="AG5969" s="498"/>
      <c r="AH5969" s="498"/>
      <c r="AI5969" s="498"/>
      <c r="AK5969" s="498"/>
      <c r="AL5969" s="498"/>
      <c r="AM5969" s="498"/>
      <c r="AN5969" s="498"/>
      <c r="AO5969" s="498"/>
      <c r="AP5969" s="498"/>
      <c r="AQ5969" s="498"/>
      <c r="AR5969" s="498"/>
      <c r="AS5969" s="498"/>
      <c r="AT5969" s="498"/>
      <c r="AU5969" s="498"/>
      <c r="AV5969" s="498"/>
      <c r="AW5969" s="498"/>
      <c r="AX5969" s="498"/>
      <c r="AY5969" s="498"/>
      <c r="AZ5969" s="498"/>
      <c r="BA5969" s="498"/>
    </row>
    <row r="5970" spans="1:53" s="499" customFormat="1" x14ac:dyDescent="0.25">
      <c r="A5970" s="500"/>
      <c r="B5970" s="501"/>
      <c r="C5970" s="502"/>
      <c r="D5970" s="497"/>
      <c r="E5970" s="497"/>
      <c r="F5970" s="502"/>
      <c r="G5970" s="497"/>
      <c r="H5970" s="497"/>
      <c r="I5970" s="497"/>
      <c r="J5970" s="497"/>
      <c r="K5970" s="500"/>
      <c r="L5970" s="497"/>
      <c r="M5970"/>
      <c r="N5970" s="498"/>
      <c r="O5970" s="498"/>
      <c r="P5970" s="498"/>
      <c r="Q5970" s="498"/>
      <c r="R5970" s="498"/>
      <c r="T5970" s="498"/>
      <c r="U5970" s="498"/>
      <c r="V5970" s="498"/>
      <c r="W5970" s="498"/>
      <c r="X5970" s="498"/>
      <c r="Y5970" s="498"/>
      <c r="Z5970" s="498"/>
      <c r="AA5970" s="498"/>
      <c r="AB5970" s="498"/>
      <c r="AC5970" s="498"/>
      <c r="AD5970" s="498"/>
      <c r="AE5970" s="498"/>
      <c r="AF5970" s="498"/>
      <c r="AG5970" s="498"/>
      <c r="AH5970" s="498"/>
      <c r="AI5970" s="498"/>
      <c r="AK5970" s="498"/>
      <c r="AL5970" s="498"/>
      <c r="AM5970" s="498"/>
      <c r="AN5970" s="498"/>
      <c r="AO5970" s="498"/>
      <c r="AP5970" s="498"/>
      <c r="AQ5970" s="498"/>
      <c r="AR5970" s="498"/>
      <c r="AS5970" s="498"/>
      <c r="AT5970" s="498"/>
      <c r="AU5970" s="498"/>
      <c r="AV5970" s="498"/>
      <c r="AW5970" s="498"/>
      <c r="AX5970" s="498"/>
      <c r="AY5970" s="498"/>
      <c r="AZ5970" s="498"/>
      <c r="BA5970" s="498"/>
    </row>
    <row r="5971" spans="1:53" s="499" customFormat="1" x14ac:dyDescent="0.25">
      <c r="A5971" s="500"/>
      <c r="B5971" s="501"/>
      <c r="C5971" s="502"/>
      <c r="D5971" s="497"/>
      <c r="E5971" s="497"/>
      <c r="F5971" s="502"/>
      <c r="G5971" s="497"/>
      <c r="H5971" s="497"/>
      <c r="I5971" s="497"/>
      <c r="J5971" s="497"/>
      <c r="K5971" s="500"/>
      <c r="L5971" s="497"/>
      <c r="M5971"/>
      <c r="N5971" s="498"/>
      <c r="O5971" s="498"/>
      <c r="P5971" s="498"/>
      <c r="Q5971" s="498"/>
      <c r="R5971" s="498"/>
      <c r="T5971" s="498"/>
      <c r="U5971" s="498"/>
      <c r="V5971" s="498"/>
      <c r="W5971" s="498"/>
      <c r="X5971" s="498"/>
      <c r="Y5971" s="498"/>
      <c r="Z5971" s="498"/>
      <c r="AA5971" s="498"/>
      <c r="AB5971" s="498"/>
      <c r="AC5971" s="498"/>
      <c r="AD5971" s="498"/>
      <c r="AE5971" s="498"/>
      <c r="AF5971" s="498"/>
      <c r="AG5971" s="498"/>
      <c r="AH5971" s="498"/>
      <c r="AI5971" s="498"/>
      <c r="AK5971" s="498"/>
      <c r="AL5971" s="498"/>
      <c r="AM5971" s="498"/>
      <c r="AN5971" s="498"/>
      <c r="AO5971" s="498"/>
      <c r="AP5971" s="498"/>
      <c r="AQ5971" s="498"/>
      <c r="AR5971" s="498"/>
      <c r="AS5971" s="498"/>
      <c r="AT5971" s="498"/>
      <c r="AU5971" s="498"/>
      <c r="AV5971" s="498"/>
      <c r="AW5971" s="498"/>
      <c r="AX5971" s="498"/>
      <c r="AY5971" s="498"/>
      <c r="AZ5971" s="498"/>
      <c r="BA5971" s="498"/>
    </row>
    <row r="5972" spans="1:53" s="499" customFormat="1" x14ac:dyDescent="0.25">
      <c r="A5972" s="500"/>
      <c r="B5972" s="501"/>
      <c r="C5972" s="502"/>
      <c r="D5972" s="497"/>
      <c r="E5972" s="497"/>
      <c r="F5972" s="502"/>
      <c r="G5972" s="497"/>
      <c r="H5972" s="497"/>
      <c r="I5972" s="497"/>
      <c r="J5972" s="497"/>
      <c r="K5972" s="500"/>
      <c r="L5972" s="497"/>
      <c r="M5972"/>
      <c r="N5972" s="498"/>
      <c r="O5972" s="498"/>
      <c r="P5972" s="498"/>
      <c r="Q5972" s="498"/>
      <c r="R5972" s="498"/>
      <c r="T5972" s="498"/>
      <c r="U5972" s="498"/>
      <c r="V5972" s="498"/>
      <c r="W5972" s="498"/>
      <c r="X5972" s="498"/>
      <c r="Y5972" s="498"/>
      <c r="Z5972" s="498"/>
      <c r="AA5972" s="498"/>
      <c r="AB5972" s="498"/>
      <c r="AC5972" s="498"/>
      <c r="AD5972" s="498"/>
      <c r="AE5972" s="498"/>
      <c r="AF5972" s="498"/>
      <c r="AG5972" s="498"/>
      <c r="AH5972" s="498"/>
      <c r="AI5972" s="498"/>
      <c r="AK5972" s="498"/>
      <c r="AL5972" s="498"/>
      <c r="AM5972" s="498"/>
      <c r="AN5972" s="498"/>
      <c r="AO5972" s="498"/>
      <c r="AP5972" s="498"/>
      <c r="AQ5972" s="498"/>
      <c r="AR5972" s="498"/>
      <c r="AS5972" s="498"/>
      <c r="AT5972" s="498"/>
      <c r="AU5972" s="498"/>
      <c r="AV5972" s="498"/>
      <c r="AW5972" s="498"/>
      <c r="AX5972" s="498"/>
      <c r="AY5972" s="498"/>
      <c r="AZ5972" s="498"/>
      <c r="BA5972" s="498"/>
    </row>
    <row r="5973" spans="1:53" s="499" customFormat="1" x14ac:dyDescent="0.25">
      <c r="A5973" s="500"/>
      <c r="B5973" s="501"/>
      <c r="C5973" s="502"/>
      <c r="D5973" s="497"/>
      <c r="E5973" s="497"/>
      <c r="F5973" s="502"/>
      <c r="G5973" s="497"/>
      <c r="H5973" s="497"/>
      <c r="I5973" s="497"/>
      <c r="J5973" s="497"/>
      <c r="K5973" s="500"/>
      <c r="L5973" s="497"/>
      <c r="M5973"/>
      <c r="N5973" s="498"/>
      <c r="O5973" s="498"/>
      <c r="P5973" s="498"/>
      <c r="Q5973" s="498"/>
      <c r="R5973" s="498"/>
      <c r="T5973" s="498"/>
      <c r="U5973" s="498"/>
      <c r="V5973" s="498"/>
      <c r="W5973" s="498"/>
      <c r="X5973" s="498"/>
      <c r="Y5973" s="498"/>
      <c r="Z5973" s="498"/>
      <c r="AA5973" s="498"/>
      <c r="AB5973" s="498"/>
      <c r="AC5973" s="498"/>
      <c r="AD5973" s="498"/>
      <c r="AE5973" s="498"/>
      <c r="AF5973" s="498"/>
      <c r="AG5973" s="498"/>
      <c r="AH5973" s="498"/>
      <c r="AI5973" s="498"/>
      <c r="AK5973" s="498"/>
      <c r="AL5973" s="498"/>
      <c r="AM5973" s="498"/>
      <c r="AN5973" s="498"/>
      <c r="AO5973" s="498"/>
      <c r="AP5973" s="498"/>
      <c r="AQ5973" s="498"/>
      <c r="AR5973" s="498"/>
      <c r="AS5973" s="498"/>
      <c r="AT5973" s="498"/>
      <c r="AU5973" s="498"/>
      <c r="AV5973" s="498"/>
      <c r="AW5973" s="498"/>
      <c r="AX5973" s="498"/>
      <c r="AY5973" s="498"/>
      <c r="AZ5973" s="498"/>
      <c r="BA5973" s="498"/>
    </row>
    <row r="5974" spans="1:53" s="499" customFormat="1" x14ac:dyDescent="0.25">
      <c r="A5974" s="500"/>
      <c r="B5974" s="501"/>
      <c r="C5974" s="502"/>
      <c r="D5974" s="497"/>
      <c r="E5974" s="497"/>
      <c r="F5974" s="502"/>
      <c r="G5974" s="497"/>
      <c r="H5974" s="497"/>
      <c r="I5974" s="497"/>
      <c r="J5974" s="497"/>
      <c r="K5974" s="500"/>
      <c r="L5974" s="497"/>
      <c r="M5974"/>
      <c r="N5974" s="498"/>
      <c r="O5974" s="498"/>
      <c r="P5974" s="498"/>
      <c r="Q5974" s="498"/>
      <c r="R5974" s="498"/>
      <c r="T5974" s="498"/>
      <c r="U5974" s="498"/>
      <c r="V5974" s="498"/>
      <c r="W5974" s="498"/>
      <c r="X5974" s="498"/>
      <c r="Y5974" s="498"/>
      <c r="Z5974" s="498"/>
      <c r="AA5974" s="498"/>
      <c r="AB5974" s="498"/>
      <c r="AC5974" s="498"/>
      <c r="AD5974" s="498"/>
      <c r="AE5974" s="498"/>
      <c r="AF5974" s="498"/>
      <c r="AG5974" s="498"/>
      <c r="AH5974" s="498"/>
      <c r="AI5974" s="498"/>
      <c r="AK5974" s="498"/>
      <c r="AL5974" s="498"/>
      <c r="AM5974" s="498"/>
      <c r="AN5974" s="498"/>
      <c r="AO5974" s="498"/>
      <c r="AP5974" s="498"/>
      <c r="AQ5974" s="498"/>
      <c r="AR5974" s="498"/>
      <c r="AS5974" s="498"/>
      <c r="AT5974" s="498"/>
      <c r="AU5974" s="498"/>
      <c r="AV5974" s="498"/>
      <c r="AW5974" s="498"/>
      <c r="AX5974" s="498"/>
      <c r="AY5974" s="498"/>
      <c r="AZ5974" s="498"/>
      <c r="BA5974" s="498"/>
    </row>
    <row r="5975" spans="1:53" s="499" customFormat="1" x14ac:dyDescent="0.25">
      <c r="A5975" s="500"/>
      <c r="B5975" s="501"/>
      <c r="C5975" s="502"/>
      <c r="D5975" s="497"/>
      <c r="E5975" s="497"/>
      <c r="F5975" s="502"/>
      <c r="G5975" s="497"/>
      <c r="H5975" s="497"/>
      <c r="I5975" s="497"/>
      <c r="J5975" s="497"/>
      <c r="K5975" s="500"/>
      <c r="L5975" s="497"/>
      <c r="M5975"/>
      <c r="N5975" s="498"/>
      <c r="O5975" s="498"/>
      <c r="P5975" s="498"/>
      <c r="Q5975" s="498"/>
      <c r="R5975" s="498"/>
      <c r="T5975" s="498"/>
      <c r="U5975" s="498"/>
      <c r="V5975" s="498"/>
      <c r="W5975" s="498"/>
      <c r="X5975" s="498"/>
      <c r="Y5975" s="498"/>
      <c r="Z5975" s="498"/>
      <c r="AA5975" s="498"/>
      <c r="AB5975" s="498"/>
      <c r="AC5975" s="498"/>
      <c r="AD5975" s="498"/>
      <c r="AE5975" s="498"/>
      <c r="AF5975" s="498"/>
      <c r="AG5975" s="498"/>
      <c r="AH5975" s="498"/>
      <c r="AI5975" s="498"/>
      <c r="AK5975" s="498"/>
      <c r="AL5975" s="498"/>
      <c r="AM5975" s="498"/>
      <c r="AN5975" s="498"/>
      <c r="AO5975" s="498"/>
      <c r="AP5975" s="498"/>
      <c r="AQ5975" s="498"/>
      <c r="AR5975" s="498"/>
      <c r="AS5975" s="498"/>
      <c r="AT5975" s="498"/>
      <c r="AU5975" s="498"/>
      <c r="AV5975" s="498"/>
      <c r="AW5975" s="498"/>
      <c r="AX5975" s="498"/>
      <c r="AY5975" s="498"/>
      <c r="AZ5975" s="498"/>
      <c r="BA5975" s="498"/>
    </row>
    <row r="5976" spans="1:53" s="499" customFormat="1" x14ac:dyDescent="0.25">
      <c r="A5976" s="500"/>
      <c r="B5976" s="501"/>
      <c r="C5976" s="502"/>
      <c r="D5976" s="497"/>
      <c r="E5976" s="497"/>
      <c r="F5976" s="502"/>
      <c r="G5976" s="497"/>
      <c r="H5976" s="497"/>
      <c r="I5976" s="497"/>
      <c r="J5976" s="497"/>
      <c r="K5976" s="500"/>
      <c r="L5976" s="497"/>
      <c r="M5976"/>
      <c r="N5976" s="498"/>
      <c r="O5976" s="498"/>
      <c r="P5976" s="498"/>
      <c r="Q5976" s="498"/>
      <c r="R5976" s="498"/>
      <c r="T5976" s="498"/>
      <c r="U5976" s="498"/>
      <c r="V5976" s="498"/>
      <c r="W5976" s="498"/>
      <c r="X5976" s="498"/>
      <c r="Y5976" s="498"/>
      <c r="Z5976" s="498"/>
      <c r="AA5976" s="498"/>
      <c r="AB5976" s="498"/>
      <c r="AC5976" s="498"/>
      <c r="AD5976" s="498"/>
      <c r="AE5976" s="498"/>
      <c r="AF5976" s="498"/>
      <c r="AG5976" s="498"/>
      <c r="AH5976" s="498"/>
      <c r="AI5976" s="498"/>
      <c r="AK5976" s="498"/>
      <c r="AL5976" s="498"/>
      <c r="AM5976" s="498"/>
      <c r="AN5976" s="498"/>
      <c r="AO5976" s="498"/>
      <c r="AP5976" s="498"/>
      <c r="AQ5976" s="498"/>
      <c r="AR5976" s="498"/>
      <c r="AS5976" s="498"/>
      <c r="AT5976" s="498"/>
      <c r="AU5976" s="498"/>
      <c r="AV5976" s="498"/>
      <c r="AW5976" s="498"/>
      <c r="AX5976" s="498"/>
      <c r="AY5976" s="498"/>
      <c r="AZ5976" s="498"/>
      <c r="BA5976" s="498"/>
    </row>
    <row r="5977" spans="1:53" s="499" customFormat="1" x14ac:dyDescent="0.25">
      <c r="A5977" s="500"/>
      <c r="B5977" s="501"/>
      <c r="C5977" s="502"/>
      <c r="D5977" s="497"/>
      <c r="E5977" s="497"/>
      <c r="F5977" s="502"/>
      <c r="G5977" s="497"/>
      <c r="H5977" s="497"/>
      <c r="I5977" s="497"/>
      <c r="J5977" s="497"/>
      <c r="K5977" s="500"/>
      <c r="L5977" s="497"/>
      <c r="M5977"/>
      <c r="N5977" s="498"/>
      <c r="O5977" s="498"/>
      <c r="P5977" s="498"/>
      <c r="Q5977" s="498"/>
      <c r="R5977" s="498"/>
      <c r="T5977" s="498"/>
      <c r="U5977" s="498"/>
      <c r="V5977" s="498"/>
      <c r="W5977" s="498"/>
      <c r="X5977" s="498"/>
      <c r="Y5977" s="498"/>
      <c r="Z5977" s="498"/>
      <c r="AA5977" s="498"/>
      <c r="AB5977" s="498"/>
      <c r="AC5977" s="498"/>
      <c r="AD5977" s="498"/>
      <c r="AE5977" s="498"/>
      <c r="AF5977" s="498"/>
      <c r="AG5977" s="498"/>
      <c r="AH5977" s="498"/>
      <c r="AI5977" s="498"/>
      <c r="AK5977" s="498"/>
      <c r="AL5977" s="498"/>
      <c r="AM5977" s="498"/>
      <c r="AN5977" s="498"/>
      <c r="AO5977" s="498"/>
      <c r="AP5977" s="498"/>
      <c r="AQ5977" s="498"/>
      <c r="AR5977" s="498"/>
      <c r="AS5977" s="498"/>
      <c r="AT5977" s="498"/>
      <c r="AU5977" s="498"/>
      <c r="AV5977" s="498"/>
      <c r="AW5977" s="498"/>
      <c r="AX5977" s="498"/>
      <c r="AY5977" s="498"/>
      <c r="AZ5977" s="498"/>
      <c r="BA5977" s="498"/>
    </row>
    <row r="5978" spans="1:53" s="499" customFormat="1" x14ac:dyDescent="0.25">
      <c r="A5978" s="500"/>
      <c r="B5978" s="501"/>
      <c r="C5978" s="502"/>
      <c r="D5978" s="497"/>
      <c r="E5978" s="497"/>
      <c r="F5978" s="502"/>
      <c r="G5978" s="497"/>
      <c r="H5978" s="497"/>
      <c r="I5978" s="497"/>
      <c r="J5978" s="497"/>
      <c r="K5978" s="500"/>
      <c r="L5978" s="497"/>
      <c r="M5978"/>
      <c r="N5978" s="498"/>
      <c r="O5978" s="498"/>
      <c r="P5978" s="498"/>
      <c r="Q5978" s="498"/>
      <c r="R5978" s="498"/>
      <c r="T5978" s="498"/>
      <c r="U5978" s="498"/>
      <c r="V5978" s="498"/>
      <c r="W5978" s="498"/>
      <c r="X5978" s="498"/>
      <c r="Y5978" s="498"/>
      <c r="Z5978" s="498"/>
      <c r="AA5978" s="498"/>
      <c r="AB5978" s="498"/>
      <c r="AC5978" s="498"/>
      <c r="AD5978" s="498"/>
      <c r="AE5978" s="498"/>
      <c r="AF5978" s="498"/>
      <c r="AG5978" s="498"/>
      <c r="AH5978" s="498"/>
      <c r="AI5978" s="498"/>
      <c r="AK5978" s="498"/>
      <c r="AL5978" s="498"/>
      <c r="AM5978" s="498"/>
      <c r="AN5978" s="498"/>
      <c r="AO5978" s="498"/>
      <c r="AP5978" s="498"/>
      <c r="AQ5978" s="498"/>
      <c r="AR5978" s="498"/>
      <c r="AS5978" s="498"/>
      <c r="AT5978" s="498"/>
      <c r="AU5978" s="498"/>
      <c r="AV5978" s="498"/>
      <c r="AW5978" s="498"/>
      <c r="AX5978" s="498"/>
      <c r="AY5978" s="498"/>
      <c r="AZ5978" s="498"/>
      <c r="BA5978" s="498"/>
    </row>
    <row r="5979" spans="1:53" s="499" customFormat="1" x14ac:dyDescent="0.25">
      <c r="A5979" s="500"/>
      <c r="B5979" s="501"/>
      <c r="C5979" s="502"/>
      <c r="D5979" s="497"/>
      <c r="E5979" s="497"/>
      <c r="F5979" s="502"/>
      <c r="G5979" s="497"/>
      <c r="H5979" s="497"/>
      <c r="I5979" s="497"/>
      <c r="J5979" s="497"/>
      <c r="K5979" s="500"/>
      <c r="L5979" s="497"/>
      <c r="M5979"/>
      <c r="N5979" s="498"/>
      <c r="O5979" s="498"/>
      <c r="P5979" s="498"/>
      <c r="Q5979" s="498"/>
      <c r="R5979" s="498"/>
      <c r="T5979" s="498"/>
      <c r="U5979" s="498"/>
      <c r="V5979" s="498"/>
      <c r="W5979" s="498"/>
      <c r="X5979" s="498"/>
      <c r="Y5979" s="498"/>
      <c r="Z5979" s="498"/>
      <c r="AA5979" s="498"/>
      <c r="AB5979" s="498"/>
      <c r="AC5979" s="498"/>
      <c r="AD5979" s="498"/>
      <c r="AE5979" s="498"/>
      <c r="AF5979" s="498"/>
      <c r="AG5979" s="498"/>
      <c r="AH5979" s="498"/>
      <c r="AI5979" s="498"/>
      <c r="AK5979" s="498"/>
      <c r="AL5979" s="498"/>
      <c r="AM5979" s="498"/>
      <c r="AN5979" s="498"/>
      <c r="AO5979" s="498"/>
      <c r="AP5979" s="498"/>
      <c r="AQ5979" s="498"/>
      <c r="AR5979" s="498"/>
      <c r="AS5979" s="498"/>
      <c r="AT5979" s="498"/>
      <c r="AU5979" s="498"/>
      <c r="AV5979" s="498"/>
      <c r="AW5979" s="498"/>
      <c r="AX5979" s="498"/>
      <c r="AY5979" s="498"/>
      <c r="AZ5979" s="498"/>
      <c r="BA5979" s="498"/>
    </row>
    <row r="5980" spans="1:53" s="499" customFormat="1" x14ac:dyDescent="0.25">
      <c r="A5980" s="500"/>
      <c r="B5980" s="501"/>
      <c r="C5980" s="502"/>
      <c r="D5980" s="497"/>
      <c r="E5980" s="497"/>
      <c r="F5980" s="502"/>
      <c r="G5980" s="497"/>
      <c r="H5980" s="497"/>
      <c r="I5980" s="497"/>
      <c r="J5980" s="497"/>
      <c r="K5980" s="500"/>
      <c r="L5980" s="497"/>
      <c r="M5980"/>
      <c r="N5980" s="498"/>
      <c r="O5980" s="498"/>
      <c r="P5980" s="498"/>
      <c r="Q5980" s="498"/>
      <c r="R5980" s="498"/>
      <c r="T5980" s="498"/>
      <c r="U5980" s="498"/>
      <c r="V5980" s="498"/>
      <c r="W5980" s="498"/>
      <c r="X5980" s="498"/>
      <c r="Y5980" s="498"/>
      <c r="Z5980" s="498"/>
      <c r="AA5980" s="498"/>
      <c r="AB5980" s="498"/>
      <c r="AC5980" s="498"/>
      <c r="AD5980" s="498"/>
      <c r="AE5980" s="498"/>
      <c r="AF5980" s="498"/>
      <c r="AG5980" s="498"/>
      <c r="AH5980" s="498"/>
      <c r="AI5980" s="498"/>
      <c r="AK5980" s="498"/>
      <c r="AL5980" s="498"/>
      <c r="AM5980" s="498"/>
      <c r="AN5980" s="498"/>
      <c r="AO5980" s="498"/>
      <c r="AP5980" s="498"/>
      <c r="AQ5980" s="498"/>
      <c r="AR5980" s="498"/>
      <c r="AS5980" s="498"/>
      <c r="AT5980" s="498"/>
      <c r="AU5980" s="498"/>
      <c r="AV5980" s="498"/>
      <c r="AW5980" s="498"/>
      <c r="AX5980" s="498"/>
      <c r="AY5980" s="498"/>
      <c r="AZ5980" s="498"/>
      <c r="BA5980" s="498"/>
    </row>
    <row r="5981" spans="1:53" s="499" customFormat="1" x14ac:dyDescent="0.25">
      <c r="A5981" s="500"/>
      <c r="B5981" s="501"/>
      <c r="C5981" s="502"/>
      <c r="D5981" s="497"/>
      <c r="E5981" s="497"/>
      <c r="F5981" s="502"/>
      <c r="G5981" s="497"/>
      <c r="H5981" s="497"/>
      <c r="I5981" s="497"/>
      <c r="J5981" s="497"/>
      <c r="K5981" s="500"/>
      <c r="L5981" s="497"/>
      <c r="M5981"/>
      <c r="N5981" s="498"/>
      <c r="O5981" s="498"/>
      <c r="P5981" s="498"/>
      <c r="Q5981" s="498"/>
      <c r="R5981" s="498"/>
      <c r="T5981" s="498"/>
      <c r="U5981" s="498"/>
      <c r="V5981" s="498"/>
      <c r="W5981" s="498"/>
      <c r="X5981" s="498"/>
      <c r="Y5981" s="498"/>
      <c r="Z5981" s="498"/>
      <c r="AA5981" s="498"/>
      <c r="AB5981" s="498"/>
      <c r="AC5981" s="498"/>
      <c r="AD5981" s="498"/>
      <c r="AE5981" s="498"/>
      <c r="AF5981" s="498"/>
      <c r="AG5981" s="498"/>
      <c r="AH5981" s="498"/>
      <c r="AI5981" s="498"/>
      <c r="AK5981" s="498"/>
      <c r="AL5981" s="498"/>
      <c r="AM5981" s="498"/>
      <c r="AN5981" s="498"/>
      <c r="AO5981" s="498"/>
      <c r="AP5981" s="498"/>
      <c r="AQ5981" s="498"/>
      <c r="AR5981" s="498"/>
      <c r="AS5981" s="498"/>
      <c r="AT5981" s="498"/>
      <c r="AU5981" s="498"/>
      <c r="AV5981" s="498"/>
      <c r="AW5981" s="498"/>
      <c r="AX5981" s="498"/>
      <c r="AY5981" s="498"/>
      <c r="AZ5981" s="498"/>
      <c r="BA5981" s="498"/>
    </row>
    <row r="5982" spans="1:53" s="499" customFormat="1" x14ac:dyDescent="0.25">
      <c r="A5982" s="500"/>
      <c r="B5982" s="501"/>
      <c r="C5982" s="502"/>
      <c r="D5982" s="497"/>
      <c r="E5982" s="497"/>
      <c r="F5982" s="502"/>
      <c r="G5982" s="497"/>
      <c r="H5982" s="497"/>
      <c r="I5982" s="497"/>
      <c r="J5982" s="497"/>
      <c r="K5982" s="500"/>
      <c r="L5982" s="497"/>
      <c r="M5982"/>
      <c r="N5982" s="498"/>
      <c r="O5982" s="498"/>
      <c r="P5982" s="498"/>
      <c r="Q5982" s="498"/>
      <c r="R5982" s="498"/>
      <c r="T5982" s="498"/>
      <c r="U5982" s="498"/>
      <c r="V5982" s="498"/>
      <c r="W5982" s="498"/>
      <c r="X5982" s="498"/>
      <c r="Y5982" s="498"/>
      <c r="Z5982" s="498"/>
      <c r="AA5982" s="498"/>
      <c r="AB5982" s="498"/>
      <c r="AC5982" s="498"/>
      <c r="AD5982" s="498"/>
      <c r="AE5982" s="498"/>
      <c r="AF5982" s="498"/>
      <c r="AG5982" s="498"/>
      <c r="AH5982" s="498"/>
      <c r="AI5982" s="498"/>
      <c r="AK5982" s="498"/>
      <c r="AL5982" s="498"/>
      <c r="AM5982" s="498"/>
      <c r="AN5982" s="498"/>
      <c r="AO5982" s="498"/>
      <c r="AP5982" s="498"/>
      <c r="AQ5982" s="498"/>
      <c r="AR5982" s="498"/>
      <c r="AS5982" s="498"/>
      <c r="AT5982" s="498"/>
      <c r="AU5982" s="498"/>
      <c r="AV5982" s="498"/>
      <c r="AW5982" s="498"/>
      <c r="AX5982" s="498"/>
      <c r="AY5982" s="498"/>
      <c r="AZ5982" s="498"/>
      <c r="BA5982" s="498"/>
    </row>
    <row r="5983" spans="1:53" s="499" customFormat="1" x14ac:dyDescent="0.25">
      <c r="A5983" s="500"/>
      <c r="B5983" s="501"/>
      <c r="C5983" s="502"/>
      <c r="D5983" s="497"/>
      <c r="E5983" s="497"/>
      <c r="F5983" s="502"/>
      <c r="G5983" s="497"/>
      <c r="H5983" s="497"/>
      <c r="I5983" s="497"/>
      <c r="J5983" s="497"/>
      <c r="K5983" s="500"/>
      <c r="L5983" s="497"/>
      <c r="M5983"/>
      <c r="N5983" s="498"/>
      <c r="O5983" s="498"/>
      <c r="P5983" s="498"/>
      <c r="Q5983" s="498"/>
      <c r="R5983" s="498"/>
      <c r="T5983" s="498"/>
      <c r="U5983" s="498"/>
      <c r="V5983" s="498"/>
      <c r="W5983" s="498"/>
      <c r="X5983" s="498"/>
      <c r="Y5983" s="498"/>
      <c r="Z5983" s="498"/>
      <c r="AA5983" s="498"/>
      <c r="AB5983" s="498"/>
      <c r="AC5983" s="498"/>
      <c r="AD5983" s="498"/>
      <c r="AE5983" s="498"/>
      <c r="AF5983" s="498"/>
      <c r="AG5983" s="498"/>
      <c r="AH5983" s="498"/>
      <c r="AI5983" s="498"/>
      <c r="AK5983" s="498"/>
      <c r="AL5983" s="498"/>
      <c r="AM5983" s="498"/>
      <c r="AN5983" s="498"/>
      <c r="AO5983" s="498"/>
      <c r="AP5983" s="498"/>
      <c r="AQ5983" s="498"/>
      <c r="AR5983" s="498"/>
      <c r="AS5983" s="498"/>
      <c r="AT5983" s="498"/>
      <c r="AU5983" s="498"/>
      <c r="AV5983" s="498"/>
      <c r="AW5983" s="498"/>
      <c r="AX5983" s="498"/>
      <c r="AY5983" s="498"/>
      <c r="AZ5983" s="498"/>
      <c r="BA5983" s="498"/>
    </row>
    <row r="5984" spans="1:53" s="499" customFormat="1" x14ac:dyDescent="0.25">
      <c r="A5984" s="500"/>
      <c r="B5984" s="501"/>
      <c r="C5984" s="502"/>
      <c r="D5984" s="497"/>
      <c r="E5984" s="497"/>
      <c r="F5984" s="502"/>
      <c r="G5984" s="497"/>
      <c r="H5984" s="497"/>
      <c r="I5984" s="497"/>
      <c r="J5984" s="497"/>
      <c r="K5984" s="500"/>
      <c r="L5984" s="497"/>
      <c r="M5984"/>
      <c r="N5984" s="498"/>
      <c r="O5984" s="498"/>
      <c r="P5984" s="498"/>
      <c r="Q5984" s="498"/>
      <c r="R5984" s="498"/>
      <c r="T5984" s="498"/>
      <c r="U5984" s="498"/>
      <c r="V5984" s="498"/>
      <c r="W5984" s="498"/>
      <c r="X5984" s="498"/>
      <c r="Y5984" s="498"/>
      <c r="Z5984" s="498"/>
      <c r="AA5984" s="498"/>
      <c r="AB5984" s="498"/>
      <c r="AC5984" s="498"/>
      <c r="AD5984" s="498"/>
      <c r="AE5984" s="498"/>
      <c r="AF5984" s="498"/>
      <c r="AG5984" s="498"/>
      <c r="AH5984" s="498"/>
      <c r="AI5984" s="498"/>
      <c r="AK5984" s="498"/>
      <c r="AL5984" s="498"/>
      <c r="AM5984" s="498"/>
      <c r="AN5984" s="498"/>
      <c r="AO5984" s="498"/>
      <c r="AP5984" s="498"/>
      <c r="AQ5984" s="498"/>
      <c r="AR5984" s="498"/>
      <c r="AS5984" s="498"/>
      <c r="AT5984" s="498"/>
      <c r="AU5984" s="498"/>
      <c r="AV5984" s="498"/>
      <c r="AW5984" s="498"/>
      <c r="AX5984" s="498"/>
      <c r="AY5984" s="498"/>
      <c r="AZ5984" s="498"/>
      <c r="BA5984" s="498"/>
    </row>
    <row r="5985" spans="1:53" s="499" customFormat="1" x14ac:dyDescent="0.25">
      <c r="A5985" s="500"/>
      <c r="B5985" s="501"/>
      <c r="C5985" s="502"/>
      <c r="D5985" s="497"/>
      <c r="E5985" s="497"/>
      <c r="F5985" s="502"/>
      <c r="G5985" s="497"/>
      <c r="H5985" s="497"/>
      <c r="I5985" s="497"/>
      <c r="J5985" s="497"/>
      <c r="K5985" s="500"/>
      <c r="L5985" s="497"/>
      <c r="M5985"/>
      <c r="N5985" s="498"/>
      <c r="O5985" s="498"/>
      <c r="P5985" s="498"/>
      <c r="Q5985" s="498"/>
      <c r="R5985" s="498"/>
      <c r="T5985" s="498"/>
      <c r="U5985" s="498"/>
      <c r="V5985" s="498"/>
      <c r="W5985" s="498"/>
      <c r="X5985" s="498"/>
      <c r="Y5985" s="498"/>
      <c r="Z5985" s="498"/>
      <c r="AA5985" s="498"/>
      <c r="AB5985" s="498"/>
      <c r="AC5985" s="498"/>
      <c r="AD5985" s="498"/>
      <c r="AE5985" s="498"/>
      <c r="AF5985" s="498"/>
      <c r="AG5985" s="498"/>
      <c r="AH5985" s="498"/>
      <c r="AI5985" s="498"/>
      <c r="AK5985" s="498"/>
      <c r="AL5985" s="498"/>
      <c r="AM5985" s="498"/>
      <c r="AN5985" s="498"/>
      <c r="AO5985" s="498"/>
      <c r="AP5985" s="498"/>
      <c r="AQ5985" s="498"/>
      <c r="AR5985" s="498"/>
      <c r="AS5985" s="498"/>
      <c r="AT5985" s="498"/>
      <c r="AU5985" s="498"/>
      <c r="AV5985" s="498"/>
      <c r="AW5985" s="498"/>
      <c r="AX5985" s="498"/>
      <c r="AY5985" s="498"/>
      <c r="AZ5985" s="498"/>
      <c r="BA5985" s="498"/>
    </row>
    <row r="5986" spans="1:53" s="499" customFormat="1" x14ac:dyDescent="0.25">
      <c r="A5986" s="500"/>
      <c r="B5986" s="501"/>
      <c r="C5986" s="502"/>
      <c r="D5986" s="497"/>
      <c r="E5986" s="497"/>
      <c r="F5986" s="502"/>
      <c r="G5986" s="497"/>
      <c r="H5986" s="497"/>
      <c r="I5986" s="497"/>
      <c r="J5986" s="497"/>
      <c r="K5986" s="500"/>
      <c r="L5986" s="497"/>
      <c r="M5986"/>
      <c r="N5986" s="498"/>
      <c r="O5986" s="498"/>
      <c r="P5986" s="498"/>
      <c r="Q5986" s="498"/>
      <c r="R5986" s="498"/>
      <c r="T5986" s="498"/>
      <c r="U5986" s="498"/>
      <c r="V5986" s="498"/>
      <c r="W5986" s="498"/>
      <c r="X5986" s="498"/>
      <c r="Y5986" s="498"/>
      <c r="Z5986" s="498"/>
      <c r="AA5986" s="498"/>
      <c r="AB5986" s="498"/>
      <c r="AC5986" s="498"/>
      <c r="AD5986" s="498"/>
      <c r="AE5986" s="498"/>
      <c r="AF5986" s="498"/>
      <c r="AG5986" s="498"/>
      <c r="AH5986" s="498"/>
      <c r="AI5986" s="498"/>
      <c r="AK5986" s="498"/>
      <c r="AL5986" s="498"/>
      <c r="AM5986" s="498"/>
      <c r="AN5986" s="498"/>
      <c r="AO5986" s="498"/>
      <c r="AP5986" s="498"/>
      <c r="AQ5986" s="498"/>
      <c r="AR5986" s="498"/>
      <c r="AS5986" s="498"/>
      <c r="AT5986" s="498"/>
      <c r="AU5986" s="498"/>
      <c r="AV5986" s="498"/>
      <c r="AW5986" s="498"/>
      <c r="AX5986" s="498"/>
      <c r="AY5986" s="498"/>
      <c r="AZ5986" s="498"/>
      <c r="BA5986" s="498"/>
    </row>
    <row r="5987" spans="1:53" s="499" customFormat="1" x14ac:dyDescent="0.25">
      <c r="A5987" s="500"/>
      <c r="B5987" s="501"/>
      <c r="C5987" s="502"/>
      <c r="D5987" s="497"/>
      <c r="E5987" s="497"/>
      <c r="F5987" s="502"/>
      <c r="G5987" s="497"/>
      <c r="H5987" s="497"/>
      <c r="I5987" s="497"/>
      <c r="J5987" s="497"/>
      <c r="K5987" s="500"/>
      <c r="L5987" s="497"/>
      <c r="M5987"/>
      <c r="N5987" s="498"/>
      <c r="O5987" s="498"/>
      <c r="P5987" s="498"/>
      <c r="Q5987" s="498"/>
      <c r="R5987" s="498"/>
      <c r="T5987" s="498"/>
      <c r="U5987" s="498"/>
      <c r="V5987" s="498"/>
      <c r="W5987" s="498"/>
      <c r="X5987" s="498"/>
      <c r="Y5987" s="498"/>
      <c r="Z5987" s="498"/>
      <c r="AA5987" s="498"/>
      <c r="AB5987" s="498"/>
      <c r="AC5987" s="498"/>
      <c r="AD5987" s="498"/>
      <c r="AE5987" s="498"/>
      <c r="AF5987" s="498"/>
      <c r="AG5987" s="498"/>
      <c r="AH5987" s="498"/>
      <c r="AI5987" s="498"/>
      <c r="AK5987" s="498"/>
      <c r="AL5987" s="498"/>
      <c r="AM5987" s="498"/>
      <c r="AN5987" s="498"/>
      <c r="AO5987" s="498"/>
      <c r="AP5987" s="498"/>
      <c r="AQ5987" s="498"/>
      <c r="AR5987" s="498"/>
      <c r="AS5987" s="498"/>
      <c r="AT5987" s="498"/>
      <c r="AU5987" s="498"/>
      <c r="AV5987" s="498"/>
      <c r="AW5987" s="498"/>
      <c r="AX5987" s="498"/>
      <c r="AY5987" s="498"/>
      <c r="AZ5987" s="498"/>
      <c r="BA5987" s="498"/>
    </row>
    <row r="5988" spans="1:53" s="499" customFormat="1" x14ac:dyDescent="0.25">
      <c r="A5988" s="500"/>
      <c r="B5988" s="501"/>
      <c r="C5988" s="502"/>
      <c r="D5988" s="497"/>
      <c r="E5988" s="497"/>
      <c r="F5988" s="502"/>
      <c r="G5988" s="497"/>
      <c r="H5988" s="497"/>
      <c r="I5988" s="497"/>
      <c r="J5988" s="497"/>
      <c r="K5988" s="500"/>
      <c r="L5988" s="497"/>
      <c r="M5988"/>
      <c r="N5988" s="498"/>
      <c r="O5988" s="498"/>
      <c r="P5988" s="498"/>
      <c r="Q5988" s="498"/>
      <c r="R5988" s="498"/>
      <c r="T5988" s="498"/>
      <c r="U5988" s="498"/>
      <c r="V5988" s="498"/>
      <c r="W5988" s="498"/>
      <c r="X5988" s="498"/>
      <c r="Y5988" s="498"/>
      <c r="Z5988" s="498"/>
      <c r="AA5988" s="498"/>
      <c r="AB5988" s="498"/>
      <c r="AC5988" s="498"/>
      <c r="AD5988" s="498"/>
      <c r="AE5988" s="498"/>
      <c r="AF5988" s="498"/>
      <c r="AG5988" s="498"/>
      <c r="AH5988" s="498"/>
      <c r="AI5988" s="498"/>
      <c r="AK5988" s="498"/>
      <c r="AL5988" s="498"/>
      <c r="AM5988" s="498"/>
      <c r="AN5988" s="498"/>
      <c r="AO5988" s="498"/>
      <c r="AP5988" s="498"/>
      <c r="AQ5988" s="498"/>
      <c r="AR5988" s="498"/>
      <c r="AS5988" s="498"/>
      <c r="AT5988" s="498"/>
      <c r="AU5988" s="498"/>
      <c r="AV5988" s="498"/>
      <c r="AW5988" s="498"/>
      <c r="AX5988" s="498"/>
      <c r="AY5988" s="498"/>
      <c r="AZ5988" s="498"/>
      <c r="BA5988" s="498"/>
    </row>
    <row r="5989" spans="1:53" s="499" customFormat="1" x14ac:dyDescent="0.25">
      <c r="A5989" s="500"/>
      <c r="B5989" s="501"/>
      <c r="C5989" s="502"/>
      <c r="D5989" s="497"/>
      <c r="E5989" s="497"/>
      <c r="F5989" s="502"/>
      <c r="G5989" s="497"/>
      <c r="H5989" s="497"/>
      <c r="I5989" s="497"/>
      <c r="J5989" s="497"/>
      <c r="K5989" s="500"/>
      <c r="L5989" s="497"/>
      <c r="M5989"/>
      <c r="N5989" s="498"/>
      <c r="O5989" s="498"/>
      <c r="P5989" s="498"/>
      <c r="Q5989" s="498"/>
      <c r="R5989" s="498"/>
      <c r="T5989" s="498"/>
      <c r="U5989" s="498"/>
      <c r="V5989" s="498"/>
      <c r="W5989" s="498"/>
      <c r="X5989" s="498"/>
      <c r="Y5989" s="498"/>
      <c r="Z5989" s="498"/>
      <c r="AA5989" s="498"/>
      <c r="AB5989" s="498"/>
      <c r="AC5989" s="498"/>
      <c r="AD5989" s="498"/>
      <c r="AE5989" s="498"/>
      <c r="AF5989" s="498"/>
      <c r="AG5989" s="498"/>
      <c r="AH5989" s="498"/>
      <c r="AI5989" s="498"/>
      <c r="AK5989" s="498"/>
      <c r="AL5989" s="498"/>
      <c r="AM5989" s="498"/>
      <c r="AN5989" s="498"/>
      <c r="AO5989" s="498"/>
      <c r="AP5989" s="498"/>
      <c r="AQ5989" s="498"/>
      <c r="AR5989" s="498"/>
      <c r="AS5989" s="498"/>
      <c r="AT5989" s="498"/>
      <c r="AU5989" s="498"/>
      <c r="AV5989" s="498"/>
      <c r="AW5989" s="498"/>
      <c r="AX5989" s="498"/>
      <c r="AY5989" s="498"/>
      <c r="AZ5989" s="498"/>
      <c r="BA5989" s="498"/>
    </row>
    <row r="5990" spans="1:53" s="499" customFormat="1" x14ac:dyDescent="0.25">
      <c r="A5990" s="500"/>
      <c r="B5990" s="501"/>
      <c r="C5990" s="502"/>
      <c r="D5990" s="497"/>
      <c r="E5990" s="497"/>
      <c r="F5990" s="502"/>
      <c r="G5990" s="497"/>
      <c r="H5990" s="497"/>
      <c r="I5990" s="497"/>
      <c r="J5990" s="497"/>
      <c r="K5990" s="500"/>
      <c r="L5990" s="497"/>
      <c r="M5990"/>
      <c r="N5990" s="498"/>
      <c r="O5990" s="498"/>
      <c r="P5990" s="498"/>
      <c r="Q5990" s="498"/>
      <c r="R5990" s="498"/>
      <c r="T5990" s="498"/>
      <c r="U5990" s="498"/>
      <c r="V5990" s="498"/>
      <c r="W5990" s="498"/>
      <c r="X5990" s="498"/>
      <c r="Y5990" s="498"/>
      <c r="Z5990" s="498"/>
      <c r="AA5990" s="498"/>
      <c r="AB5990" s="498"/>
      <c r="AC5990" s="498"/>
      <c r="AD5990" s="498"/>
      <c r="AE5990" s="498"/>
      <c r="AF5990" s="498"/>
      <c r="AG5990" s="498"/>
      <c r="AH5990" s="498"/>
      <c r="AI5990" s="498"/>
      <c r="AK5990" s="498"/>
      <c r="AL5990" s="498"/>
      <c r="AM5990" s="498"/>
      <c r="AN5990" s="498"/>
      <c r="AO5990" s="498"/>
      <c r="AP5990" s="498"/>
      <c r="AQ5990" s="498"/>
      <c r="AR5990" s="498"/>
      <c r="AS5990" s="498"/>
      <c r="AT5990" s="498"/>
      <c r="AU5990" s="498"/>
      <c r="AV5990" s="498"/>
      <c r="AW5990" s="498"/>
      <c r="AX5990" s="498"/>
      <c r="AY5990" s="498"/>
      <c r="AZ5990" s="498"/>
      <c r="BA5990" s="498"/>
    </row>
    <row r="5991" spans="1:53" s="499" customFormat="1" x14ac:dyDescent="0.25">
      <c r="A5991" s="500"/>
      <c r="B5991" s="501"/>
      <c r="C5991" s="502"/>
      <c r="D5991" s="497"/>
      <c r="E5991" s="497"/>
      <c r="F5991" s="502"/>
      <c r="G5991" s="497"/>
      <c r="H5991" s="497"/>
      <c r="I5991" s="497"/>
      <c r="J5991" s="497"/>
      <c r="K5991" s="500"/>
      <c r="L5991" s="497"/>
      <c r="M5991"/>
      <c r="N5991" s="498"/>
      <c r="O5991" s="498"/>
      <c r="P5991" s="498"/>
      <c r="Q5991" s="498"/>
      <c r="R5991" s="498"/>
      <c r="T5991" s="498"/>
      <c r="U5991" s="498"/>
      <c r="V5991" s="498"/>
      <c r="W5991" s="498"/>
      <c r="X5991" s="498"/>
      <c r="Y5991" s="498"/>
      <c r="Z5991" s="498"/>
      <c r="AA5991" s="498"/>
      <c r="AB5991" s="498"/>
      <c r="AC5991" s="498"/>
      <c r="AD5991" s="498"/>
      <c r="AE5991" s="498"/>
      <c r="AF5991" s="498"/>
      <c r="AG5991" s="498"/>
      <c r="AH5991" s="498"/>
      <c r="AI5991" s="498"/>
      <c r="AK5991" s="498"/>
      <c r="AL5991" s="498"/>
      <c r="AM5991" s="498"/>
      <c r="AN5991" s="498"/>
      <c r="AO5991" s="498"/>
      <c r="AP5991" s="498"/>
      <c r="AQ5991" s="498"/>
      <c r="AR5991" s="498"/>
      <c r="AS5991" s="498"/>
      <c r="AT5991" s="498"/>
      <c r="AU5991" s="498"/>
      <c r="AV5991" s="498"/>
      <c r="AW5991" s="498"/>
      <c r="AX5991" s="498"/>
      <c r="AY5991" s="498"/>
      <c r="AZ5991" s="498"/>
      <c r="BA5991" s="498"/>
    </row>
    <row r="5992" spans="1:53" s="499" customFormat="1" x14ac:dyDescent="0.25">
      <c r="A5992" s="500"/>
      <c r="B5992" s="501"/>
      <c r="C5992" s="502"/>
      <c r="D5992" s="497"/>
      <c r="E5992" s="497"/>
      <c r="F5992" s="502"/>
      <c r="G5992" s="497"/>
      <c r="H5992" s="497"/>
      <c r="I5992" s="497"/>
      <c r="J5992" s="497"/>
      <c r="K5992" s="500"/>
      <c r="L5992" s="497"/>
      <c r="M5992"/>
      <c r="N5992" s="498"/>
      <c r="O5992" s="498"/>
      <c r="P5992" s="498"/>
      <c r="Q5992" s="498"/>
      <c r="R5992" s="498"/>
      <c r="T5992" s="498"/>
      <c r="U5992" s="498"/>
      <c r="V5992" s="498"/>
      <c r="W5992" s="498"/>
      <c r="X5992" s="498"/>
      <c r="Y5992" s="498"/>
      <c r="Z5992" s="498"/>
      <c r="AA5992" s="498"/>
      <c r="AB5992" s="498"/>
      <c r="AC5992" s="498"/>
      <c r="AD5992" s="498"/>
      <c r="AE5992" s="498"/>
      <c r="AF5992" s="498"/>
      <c r="AG5992" s="498"/>
      <c r="AH5992" s="498"/>
      <c r="AI5992" s="498"/>
      <c r="AK5992" s="498"/>
      <c r="AL5992" s="498"/>
      <c r="AM5992" s="498"/>
      <c r="AN5992" s="498"/>
      <c r="AO5992" s="498"/>
      <c r="AP5992" s="498"/>
      <c r="AQ5992" s="498"/>
      <c r="AR5992" s="498"/>
      <c r="AS5992" s="498"/>
      <c r="AT5992" s="498"/>
      <c r="AU5992" s="498"/>
      <c r="AV5992" s="498"/>
      <c r="AW5992" s="498"/>
      <c r="AX5992" s="498"/>
      <c r="AY5992" s="498"/>
      <c r="AZ5992" s="498"/>
      <c r="BA5992" s="498"/>
    </row>
    <row r="5993" spans="1:53" s="499" customFormat="1" x14ac:dyDescent="0.25">
      <c r="A5993" s="500"/>
      <c r="B5993" s="501"/>
      <c r="C5993" s="502"/>
      <c r="D5993" s="497"/>
      <c r="E5993" s="497"/>
      <c r="F5993" s="502"/>
      <c r="G5993" s="497"/>
      <c r="H5993" s="497"/>
      <c r="I5993" s="497"/>
      <c r="J5993" s="497"/>
      <c r="K5993" s="500"/>
      <c r="L5993" s="497"/>
      <c r="M5993"/>
      <c r="N5993" s="498"/>
      <c r="O5993" s="498"/>
      <c r="P5993" s="498"/>
      <c r="Q5993" s="498"/>
      <c r="R5993" s="498"/>
      <c r="T5993" s="498"/>
      <c r="U5993" s="498"/>
      <c r="V5993" s="498"/>
      <c r="W5993" s="498"/>
      <c r="X5993" s="498"/>
      <c r="Y5993" s="498"/>
      <c r="Z5993" s="498"/>
      <c r="AA5993" s="498"/>
      <c r="AB5993" s="498"/>
      <c r="AC5993" s="498"/>
      <c r="AD5993" s="498"/>
      <c r="AE5993" s="498"/>
      <c r="AF5993" s="498"/>
      <c r="AG5993" s="498"/>
      <c r="AH5993" s="498"/>
      <c r="AI5993" s="498"/>
      <c r="AK5993" s="498"/>
      <c r="AL5993" s="498"/>
      <c r="AM5993" s="498"/>
      <c r="AN5993" s="498"/>
      <c r="AO5993" s="498"/>
      <c r="AP5993" s="498"/>
      <c r="AQ5993" s="498"/>
      <c r="AR5993" s="498"/>
      <c r="AS5993" s="498"/>
      <c r="AT5993" s="498"/>
      <c r="AU5993" s="498"/>
      <c r="AV5993" s="498"/>
      <c r="AW5993" s="498"/>
      <c r="AX5993" s="498"/>
      <c r="AY5993" s="498"/>
      <c r="AZ5993" s="498"/>
      <c r="BA5993" s="498"/>
    </row>
    <row r="5994" spans="1:53" s="499" customFormat="1" x14ac:dyDescent="0.25">
      <c r="A5994" s="500"/>
      <c r="B5994" s="501"/>
      <c r="C5994" s="502"/>
      <c r="D5994" s="497"/>
      <c r="E5994" s="497"/>
      <c r="F5994" s="502"/>
      <c r="G5994" s="497"/>
      <c r="H5994" s="497"/>
      <c r="I5994" s="497"/>
      <c r="J5994" s="497"/>
      <c r="K5994" s="500"/>
      <c r="L5994" s="497"/>
      <c r="M5994"/>
      <c r="N5994" s="498"/>
      <c r="O5994" s="498"/>
      <c r="P5994" s="498"/>
      <c r="Q5994" s="498"/>
      <c r="R5994" s="498"/>
      <c r="T5994" s="498"/>
      <c r="U5994" s="498"/>
      <c r="V5994" s="498"/>
      <c r="W5994" s="498"/>
      <c r="X5994" s="498"/>
      <c r="Y5994" s="498"/>
      <c r="Z5994" s="498"/>
      <c r="AA5994" s="498"/>
      <c r="AB5994" s="498"/>
      <c r="AC5994" s="498"/>
      <c r="AD5994" s="498"/>
      <c r="AE5994" s="498"/>
      <c r="AF5994" s="498"/>
      <c r="AG5994" s="498"/>
      <c r="AH5994" s="498"/>
      <c r="AI5994" s="498"/>
      <c r="AK5994" s="498"/>
      <c r="AL5994" s="498"/>
      <c r="AM5994" s="498"/>
      <c r="AN5994" s="498"/>
      <c r="AO5994" s="498"/>
      <c r="AP5994" s="498"/>
      <c r="AQ5994" s="498"/>
      <c r="AR5994" s="498"/>
      <c r="AS5994" s="498"/>
      <c r="AT5994" s="498"/>
      <c r="AU5994" s="498"/>
      <c r="AV5994" s="498"/>
      <c r="AW5994" s="498"/>
      <c r="AX5994" s="498"/>
      <c r="AY5994" s="498"/>
      <c r="AZ5994" s="498"/>
      <c r="BA5994" s="498"/>
    </row>
    <row r="5995" spans="1:53" s="499" customFormat="1" x14ac:dyDescent="0.25">
      <c r="A5995" s="500"/>
      <c r="B5995" s="501"/>
      <c r="C5995" s="502"/>
      <c r="D5995" s="497"/>
      <c r="E5995" s="497"/>
      <c r="F5995" s="502"/>
      <c r="G5995" s="497"/>
      <c r="H5995" s="497"/>
      <c r="I5995" s="497"/>
      <c r="J5995" s="497"/>
      <c r="K5995" s="500"/>
      <c r="L5995" s="497"/>
      <c r="M5995"/>
      <c r="N5995" s="498"/>
      <c r="O5995" s="498"/>
      <c r="P5995" s="498"/>
      <c r="Q5995" s="498"/>
      <c r="R5995" s="498"/>
      <c r="T5995" s="498"/>
      <c r="U5995" s="498"/>
      <c r="V5995" s="498"/>
      <c r="W5995" s="498"/>
      <c r="X5995" s="498"/>
      <c r="Y5995" s="498"/>
      <c r="Z5995" s="498"/>
      <c r="AA5995" s="498"/>
      <c r="AB5995" s="498"/>
      <c r="AC5995" s="498"/>
      <c r="AD5995" s="498"/>
      <c r="AE5995" s="498"/>
      <c r="AF5995" s="498"/>
      <c r="AG5995" s="498"/>
      <c r="AH5995" s="498"/>
      <c r="AI5995" s="498"/>
      <c r="AK5995" s="498"/>
      <c r="AL5995" s="498"/>
      <c r="AM5995" s="498"/>
      <c r="AN5995" s="498"/>
      <c r="AO5995" s="498"/>
      <c r="AP5995" s="498"/>
      <c r="AQ5995" s="498"/>
      <c r="AR5995" s="498"/>
      <c r="AS5995" s="498"/>
      <c r="AT5995" s="498"/>
      <c r="AU5995" s="498"/>
      <c r="AV5995" s="498"/>
      <c r="AW5995" s="498"/>
      <c r="AX5995" s="498"/>
      <c r="AY5995" s="498"/>
      <c r="AZ5995" s="498"/>
      <c r="BA5995" s="498"/>
    </row>
    <row r="5996" spans="1:53" s="499" customFormat="1" x14ac:dyDescent="0.25">
      <c r="A5996" s="500"/>
      <c r="B5996" s="501"/>
      <c r="C5996" s="502"/>
      <c r="D5996" s="497"/>
      <c r="E5996" s="497"/>
      <c r="F5996" s="502"/>
      <c r="G5996" s="497"/>
      <c r="H5996" s="497"/>
      <c r="I5996" s="497"/>
      <c r="J5996" s="497"/>
      <c r="K5996" s="500"/>
      <c r="L5996" s="497"/>
      <c r="M5996"/>
      <c r="N5996" s="498"/>
      <c r="O5996" s="498"/>
      <c r="P5996" s="498"/>
      <c r="Q5996" s="498"/>
      <c r="R5996" s="498"/>
      <c r="T5996" s="498"/>
      <c r="U5996" s="498"/>
      <c r="V5996" s="498"/>
      <c r="W5996" s="498"/>
      <c r="X5996" s="498"/>
      <c r="Y5996" s="498"/>
      <c r="Z5996" s="498"/>
      <c r="AA5996" s="498"/>
      <c r="AB5996" s="498"/>
      <c r="AC5996" s="498"/>
      <c r="AD5996" s="498"/>
      <c r="AE5996" s="498"/>
      <c r="AF5996" s="498"/>
      <c r="AG5996" s="498"/>
      <c r="AH5996" s="498"/>
      <c r="AI5996" s="498"/>
      <c r="AK5996" s="498"/>
      <c r="AL5996" s="498"/>
      <c r="AM5996" s="498"/>
      <c r="AN5996" s="498"/>
      <c r="AO5996" s="498"/>
      <c r="AP5996" s="498"/>
      <c r="AQ5996" s="498"/>
      <c r="AR5996" s="498"/>
      <c r="AS5996" s="498"/>
      <c r="AT5996" s="498"/>
      <c r="AU5996" s="498"/>
      <c r="AV5996" s="498"/>
      <c r="AW5996" s="498"/>
      <c r="AX5996" s="498"/>
      <c r="AY5996" s="498"/>
      <c r="AZ5996" s="498"/>
      <c r="BA5996" s="498"/>
    </row>
    <row r="5997" spans="1:53" s="499" customFormat="1" x14ac:dyDescent="0.25">
      <c r="A5997" s="500"/>
      <c r="B5997" s="501"/>
      <c r="C5997" s="502"/>
      <c r="D5997" s="497"/>
      <c r="E5997" s="497"/>
      <c r="F5997" s="502"/>
      <c r="G5997" s="497"/>
      <c r="H5997" s="497"/>
      <c r="I5997" s="497"/>
      <c r="J5997" s="497"/>
      <c r="K5997" s="500"/>
      <c r="L5997" s="497"/>
      <c r="M5997"/>
      <c r="N5997" s="498"/>
      <c r="O5997" s="498"/>
      <c r="P5997" s="498"/>
      <c r="Q5997" s="498"/>
      <c r="R5997" s="498"/>
      <c r="T5997" s="498"/>
      <c r="U5997" s="498"/>
      <c r="V5997" s="498"/>
      <c r="W5997" s="498"/>
      <c r="X5997" s="498"/>
      <c r="Y5997" s="498"/>
      <c r="Z5997" s="498"/>
      <c r="AA5997" s="498"/>
      <c r="AB5997" s="498"/>
      <c r="AC5997" s="498"/>
      <c r="AD5997" s="498"/>
      <c r="AE5997" s="498"/>
      <c r="AF5997" s="498"/>
      <c r="AG5997" s="498"/>
      <c r="AH5997" s="498"/>
      <c r="AI5997" s="498"/>
      <c r="AK5997" s="498"/>
      <c r="AL5997" s="498"/>
      <c r="AM5997" s="498"/>
      <c r="AN5997" s="498"/>
      <c r="AO5997" s="498"/>
      <c r="AP5997" s="498"/>
      <c r="AQ5997" s="498"/>
      <c r="AR5997" s="498"/>
      <c r="AS5997" s="498"/>
      <c r="AT5997" s="498"/>
      <c r="AU5997" s="498"/>
      <c r="AV5997" s="498"/>
      <c r="AW5997" s="498"/>
      <c r="AX5997" s="498"/>
      <c r="AY5997" s="498"/>
      <c r="AZ5997" s="498"/>
      <c r="BA5997" s="498"/>
    </row>
    <row r="5998" spans="1:53" s="499" customFormat="1" x14ac:dyDescent="0.25">
      <c r="A5998" s="500"/>
      <c r="B5998" s="501"/>
      <c r="C5998" s="502"/>
      <c r="D5998" s="497"/>
      <c r="E5998" s="497"/>
      <c r="F5998" s="502"/>
      <c r="G5998" s="497"/>
      <c r="H5998" s="497"/>
      <c r="I5998" s="497"/>
      <c r="J5998" s="497"/>
      <c r="K5998" s="500"/>
      <c r="L5998" s="497"/>
      <c r="M5998"/>
      <c r="N5998" s="498"/>
      <c r="O5998" s="498"/>
      <c r="P5998" s="498"/>
      <c r="Q5998" s="498"/>
      <c r="R5998" s="498"/>
      <c r="T5998" s="498"/>
      <c r="U5998" s="498"/>
      <c r="V5998" s="498"/>
      <c r="W5998" s="498"/>
      <c r="X5998" s="498"/>
      <c r="Y5998" s="498"/>
      <c r="Z5998" s="498"/>
      <c r="AA5998" s="498"/>
      <c r="AB5998" s="498"/>
      <c r="AC5998" s="498"/>
      <c r="AD5998" s="498"/>
      <c r="AE5998" s="498"/>
      <c r="AF5998" s="498"/>
      <c r="AG5998" s="498"/>
      <c r="AH5998" s="498"/>
      <c r="AI5998" s="498"/>
      <c r="AK5998" s="498"/>
      <c r="AL5998" s="498"/>
      <c r="AM5998" s="498"/>
      <c r="AN5998" s="498"/>
      <c r="AO5998" s="498"/>
      <c r="AP5998" s="498"/>
      <c r="AQ5998" s="498"/>
      <c r="AR5998" s="498"/>
      <c r="AS5998" s="498"/>
      <c r="AT5998" s="498"/>
      <c r="AU5998" s="498"/>
      <c r="AV5998" s="498"/>
      <c r="AW5998" s="498"/>
      <c r="AX5998" s="498"/>
      <c r="AY5998" s="498"/>
      <c r="AZ5998" s="498"/>
      <c r="BA5998" s="498"/>
    </row>
    <row r="5999" spans="1:53" s="499" customFormat="1" x14ac:dyDescent="0.25">
      <c r="A5999" s="500"/>
      <c r="B5999" s="501"/>
      <c r="C5999" s="502"/>
      <c r="D5999" s="497"/>
      <c r="E5999" s="497"/>
      <c r="F5999" s="502"/>
      <c r="G5999" s="497"/>
      <c r="H5999" s="497"/>
      <c r="I5999" s="497"/>
      <c r="J5999" s="497"/>
      <c r="K5999" s="500"/>
      <c r="L5999" s="497"/>
      <c r="M5999"/>
      <c r="N5999" s="498"/>
      <c r="O5999" s="498"/>
      <c r="P5999" s="498"/>
      <c r="Q5999" s="498"/>
      <c r="R5999" s="498"/>
      <c r="T5999" s="498"/>
      <c r="U5999" s="498"/>
      <c r="V5999" s="498"/>
      <c r="W5999" s="498"/>
      <c r="X5999" s="498"/>
      <c r="Y5999" s="498"/>
      <c r="Z5999" s="498"/>
      <c r="AA5999" s="498"/>
      <c r="AB5999" s="498"/>
      <c r="AC5999" s="498"/>
      <c r="AD5999" s="498"/>
      <c r="AE5999" s="498"/>
      <c r="AF5999" s="498"/>
      <c r="AG5999" s="498"/>
      <c r="AH5999" s="498"/>
      <c r="AI5999" s="498"/>
      <c r="AK5999" s="498"/>
      <c r="AL5999" s="498"/>
      <c r="AM5999" s="498"/>
      <c r="AN5999" s="498"/>
      <c r="AO5999" s="498"/>
      <c r="AP5999" s="498"/>
      <c r="AQ5999" s="498"/>
      <c r="AR5999" s="498"/>
      <c r="AS5999" s="498"/>
      <c r="AT5999" s="498"/>
      <c r="AU5999" s="498"/>
      <c r="AV5999" s="498"/>
      <c r="AW5999" s="498"/>
      <c r="AX5999" s="498"/>
      <c r="AY5999" s="498"/>
      <c r="AZ5999" s="498"/>
      <c r="BA5999" s="498"/>
    </row>
    <row r="6000" spans="1:53" s="499" customFormat="1" x14ac:dyDescent="0.25">
      <c r="A6000" s="500"/>
      <c r="B6000" s="501"/>
      <c r="C6000" s="502"/>
      <c r="D6000" s="497"/>
      <c r="E6000" s="497"/>
      <c r="F6000" s="502"/>
      <c r="G6000" s="497"/>
      <c r="H6000" s="497"/>
      <c r="I6000" s="497"/>
      <c r="J6000" s="497"/>
      <c r="K6000" s="500"/>
      <c r="L6000" s="497"/>
      <c r="M6000"/>
      <c r="N6000" s="498"/>
      <c r="O6000" s="498"/>
      <c r="P6000" s="498"/>
      <c r="Q6000" s="498"/>
      <c r="R6000" s="498"/>
      <c r="T6000" s="498"/>
      <c r="U6000" s="498"/>
      <c r="V6000" s="498"/>
      <c r="W6000" s="498"/>
      <c r="X6000" s="498"/>
      <c r="Y6000" s="498"/>
      <c r="Z6000" s="498"/>
      <c r="AA6000" s="498"/>
      <c r="AB6000" s="498"/>
      <c r="AC6000" s="498"/>
      <c r="AD6000" s="498"/>
      <c r="AE6000" s="498"/>
      <c r="AF6000" s="498"/>
      <c r="AG6000" s="498"/>
      <c r="AH6000" s="498"/>
      <c r="AI6000" s="498"/>
      <c r="AK6000" s="498"/>
      <c r="AL6000" s="498"/>
      <c r="AM6000" s="498"/>
      <c r="AN6000" s="498"/>
      <c r="AO6000" s="498"/>
      <c r="AP6000" s="498"/>
      <c r="AQ6000" s="498"/>
      <c r="AR6000" s="498"/>
      <c r="AS6000" s="498"/>
      <c r="AT6000" s="498"/>
      <c r="AU6000" s="498"/>
      <c r="AV6000" s="498"/>
      <c r="AW6000" s="498"/>
      <c r="AX6000" s="498"/>
      <c r="AY6000" s="498"/>
      <c r="AZ6000" s="498"/>
      <c r="BA6000" s="498"/>
    </row>
    <row r="6001" spans="1:53" s="499" customFormat="1" x14ac:dyDescent="0.25">
      <c r="A6001" s="500"/>
      <c r="B6001" s="501"/>
      <c r="C6001" s="502"/>
      <c r="D6001" s="497"/>
      <c r="E6001" s="497"/>
      <c r="F6001" s="502"/>
      <c r="G6001" s="497"/>
      <c r="H6001" s="497"/>
      <c r="I6001" s="497"/>
      <c r="J6001" s="497"/>
      <c r="K6001" s="500"/>
      <c r="L6001" s="497"/>
      <c r="M6001"/>
      <c r="N6001" s="498"/>
      <c r="O6001" s="498"/>
      <c r="P6001" s="498"/>
      <c r="Q6001" s="498"/>
      <c r="R6001" s="498"/>
      <c r="T6001" s="498"/>
      <c r="U6001" s="498"/>
      <c r="V6001" s="498"/>
      <c r="W6001" s="498"/>
      <c r="X6001" s="498"/>
      <c r="Y6001" s="498"/>
      <c r="Z6001" s="498"/>
      <c r="AA6001" s="498"/>
      <c r="AB6001" s="498"/>
      <c r="AC6001" s="498"/>
      <c r="AD6001" s="498"/>
      <c r="AE6001" s="498"/>
      <c r="AF6001" s="498"/>
      <c r="AG6001" s="498"/>
      <c r="AH6001" s="498"/>
      <c r="AI6001" s="498"/>
      <c r="AK6001" s="498"/>
      <c r="AL6001" s="498"/>
      <c r="AM6001" s="498"/>
      <c r="AN6001" s="498"/>
      <c r="AO6001" s="498"/>
      <c r="AP6001" s="498"/>
      <c r="AQ6001" s="498"/>
      <c r="AR6001" s="498"/>
      <c r="AS6001" s="498"/>
      <c r="AT6001" s="498"/>
      <c r="AU6001" s="498"/>
      <c r="AV6001" s="498"/>
      <c r="AW6001" s="498"/>
      <c r="AX6001" s="498"/>
      <c r="AY6001" s="498"/>
      <c r="AZ6001" s="498"/>
      <c r="BA6001" s="498"/>
    </row>
    <row r="6002" spans="1:53" s="499" customFormat="1" x14ac:dyDescent="0.25">
      <c r="A6002" s="500"/>
      <c r="B6002" s="501"/>
      <c r="C6002" s="502"/>
      <c r="D6002" s="497"/>
      <c r="E6002" s="497"/>
      <c r="F6002" s="502"/>
      <c r="G6002" s="497"/>
      <c r="H6002" s="497"/>
      <c r="I6002" s="497"/>
      <c r="J6002" s="497"/>
      <c r="K6002" s="500"/>
      <c r="L6002" s="497"/>
      <c r="M6002"/>
      <c r="N6002" s="498"/>
      <c r="O6002" s="498"/>
      <c r="P6002" s="498"/>
      <c r="Q6002" s="498"/>
      <c r="R6002" s="498"/>
      <c r="T6002" s="498"/>
      <c r="U6002" s="498"/>
      <c r="V6002" s="498"/>
      <c r="W6002" s="498"/>
      <c r="X6002" s="498"/>
      <c r="Y6002" s="498"/>
      <c r="Z6002" s="498"/>
      <c r="AA6002" s="498"/>
      <c r="AB6002" s="498"/>
      <c r="AC6002" s="498"/>
      <c r="AD6002" s="498"/>
      <c r="AE6002" s="498"/>
      <c r="AF6002" s="498"/>
      <c r="AG6002" s="498"/>
      <c r="AH6002" s="498"/>
      <c r="AI6002" s="498"/>
      <c r="AK6002" s="498"/>
      <c r="AL6002" s="498"/>
      <c r="AM6002" s="498"/>
      <c r="AN6002" s="498"/>
      <c r="AO6002" s="498"/>
      <c r="AP6002" s="498"/>
      <c r="AQ6002" s="498"/>
      <c r="AR6002" s="498"/>
      <c r="AS6002" s="498"/>
      <c r="AT6002" s="498"/>
      <c r="AU6002" s="498"/>
      <c r="AV6002" s="498"/>
      <c r="AW6002" s="498"/>
      <c r="AX6002" s="498"/>
      <c r="AY6002" s="498"/>
      <c r="AZ6002" s="498"/>
      <c r="BA6002" s="498"/>
    </row>
    <row r="6003" spans="1:53" s="499" customFormat="1" x14ac:dyDescent="0.25">
      <c r="A6003" s="500"/>
      <c r="B6003" s="501"/>
      <c r="C6003" s="502"/>
      <c r="D6003" s="497"/>
      <c r="E6003" s="497"/>
      <c r="F6003" s="502"/>
      <c r="G6003" s="497"/>
      <c r="H6003" s="497"/>
      <c r="I6003" s="497"/>
      <c r="J6003" s="497"/>
      <c r="K6003" s="500"/>
      <c r="L6003" s="497"/>
      <c r="M6003"/>
      <c r="N6003" s="498"/>
      <c r="O6003" s="498"/>
      <c r="P6003" s="498"/>
      <c r="Q6003" s="498"/>
      <c r="R6003" s="498"/>
      <c r="T6003" s="498"/>
      <c r="U6003" s="498"/>
      <c r="V6003" s="498"/>
      <c r="W6003" s="498"/>
      <c r="X6003" s="498"/>
      <c r="Y6003" s="498"/>
      <c r="Z6003" s="498"/>
      <c r="AA6003" s="498"/>
      <c r="AB6003" s="498"/>
      <c r="AC6003" s="498"/>
      <c r="AD6003" s="498"/>
      <c r="AE6003" s="498"/>
      <c r="AF6003" s="498"/>
      <c r="AG6003" s="498"/>
      <c r="AH6003" s="498"/>
      <c r="AI6003" s="498"/>
      <c r="AK6003" s="498"/>
      <c r="AL6003" s="498"/>
      <c r="AM6003" s="498"/>
      <c r="AN6003" s="498"/>
      <c r="AO6003" s="498"/>
      <c r="AP6003" s="498"/>
      <c r="AQ6003" s="498"/>
      <c r="AR6003" s="498"/>
      <c r="AS6003" s="498"/>
      <c r="AT6003" s="498"/>
      <c r="AU6003" s="498"/>
      <c r="AV6003" s="498"/>
      <c r="AW6003" s="498"/>
      <c r="AX6003" s="498"/>
      <c r="AY6003" s="498"/>
      <c r="AZ6003" s="498"/>
      <c r="BA6003" s="498"/>
    </row>
    <row r="6004" spans="1:53" s="499" customFormat="1" x14ac:dyDescent="0.25">
      <c r="A6004" s="500"/>
      <c r="B6004" s="501"/>
      <c r="C6004" s="502"/>
      <c r="D6004" s="497"/>
      <c r="E6004" s="497"/>
      <c r="F6004" s="502"/>
      <c r="G6004" s="497"/>
      <c r="H6004" s="497"/>
      <c r="I6004" s="497"/>
      <c r="J6004" s="497"/>
      <c r="K6004" s="500"/>
      <c r="L6004" s="497"/>
      <c r="M6004"/>
      <c r="N6004" s="498"/>
      <c r="O6004" s="498"/>
      <c r="P6004" s="498"/>
      <c r="Q6004" s="498"/>
      <c r="R6004" s="498"/>
      <c r="T6004" s="498"/>
      <c r="U6004" s="498"/>
      <c r="V6004" s="498"/>
      <c r="W6004" s="498"/>
      <c r="X6004" s="498"/>
      <c r="Y6004" s="498"/>
      <c r="Z6004" s="498"/>
      <c r="AA6004" s="498"/>
      <c r="AB6004" s="498"/>
      <c r="AC6004" s="498"/>
      <c r="AD6004" s="498"/>
      <c r="AE6004" s="498"/>
      <c r="AF6004" s="498"/>
      <c r="AG6004" s="498"/>
      <c r="AH6004" s="498"/>
      <c r="AI6004" s="498"/>
      <c r="AK6004" s="498"/>
      <c r="AL6004" s="498"/>
      <c r="AM6004" s="498"/>
      <c r="AN6004" s="498"/>
      <c r="AO6004" s="498"/>
      <c r="AP6004" s="498"/>
      <c r="AQ6004" s="498"/>
      <c r="AR6004" s="498"/>
      <c r="AS6004" s="498"/>
      <c r="AT6004" s="498"/>
      <c r="AU6004" s="498"/>
      <c r="AV6004" s="498"/>
      <c r="AW6004" s="498"/>
      <c r="AX6004" s="498"/>
      <c r="AY6004" s="498"/>
      <c r="AZ6004" s="498"/>
      <c r="BA6004" s="498"/>
    </row>
    <row r="6005" spans="1:53" s="499" customFormat="1" x14ac:dyDescent="0.25">
      <c r="A6005" s="500"/>
      <c r="B6005" s="501"/>
      <c r="C6005" s="502"/>
      <c r="D6005" s="497"/>
      <c r="E6005" s="497"/>
      <c r="F6005" s="502"/>
      <c r="G6005" s="497"/>
      <c r="H6005" s="497"/>
      <c r="I6005" s="497"/>
      <c r="J6005" s="497"/>
      <c r="K6005" s="500"/>
      <c r="L6005" s="497"/>
      <c r="M6005"/>
      <c r="N6005" s="498"/>
      <c r="O6005" s="498"/>
      <c r="P6005" s="498"/>
      <c r="Q6005" s="498"/>
      <c r="R6005" s="498"/>
      <c r="T6005" s="498"/>
      <c r="U6005" s="498"/>
      <c r="V6005" s="498"/>
      <c r="W6005" s="498"/>
      <c r="X6005" s="498"/>
      <c r="Y6005" s="498"/>
      <c r="Z6005" s="498"/>
      <c r="AA6005" s="498"/>
      <c r="AB6005" s="498"/>
      <c r="AC6005" s="498"/>
      <c r="AD6005" s="498"/>
      <c r="AE6005" s="498"/>
      <c r="AF6005" s="498"/>
      <c r="AG6005" s="498"/>
      <c r="AH6005" s="498"/>
      <c r="AI6005" s="498"/>
      <c r="AK6005" s="498"/>
      <c r="AL6005" s="498"/>
      <c r="AM6005" s="498"/>
      <c r="AN6005" s="498"/>
      <c r="AO6005" s="498"/>
      <c r="AP6005" s="498"/>
      <c r="AQ6005" s="498"/>
      <c r="AR6005" s="498"/>
      <c r="AS6005" s="498"/>
      <c r="AT6005" s="498"/>
      <c r="AU6005" s="498"/>
      <c r="AV6005" s="498"/>
      <c r="AW6005" s="498"/>
      <c r="AX6005" s="498"/>
      <c r="AY6005" s="498"/>
      <c r="AZ6005" s="498"/>
      <c r="BA6005" s="498"/>
    </row>
    <row r="6006" spans="1:53" s="499" customFormat="1" x14ac:dyDescent="0.25">
      <c r="A6006" s="500"/>
      <c r="B6006" s="501"/>
      <c r="C6006" s="502"/>
      <c r="D6006" s="497"/>
      <c r="E6006" s="497"/>
      <c r="F6006" s="502"/>
      <c r="G6006" s="497"/>
      <c r="H6006" s="497"/>
      <c r="I6006" s="497"/>
      <c r="J6006" s="497"/>
      <c r="K6006" s="500"/>
      <c r="L6006" s="497"/>
      <c r="M6006"/>
      <c r="N6006" s="498"/>
      <c r="O6006" s="498"/>
      <c r="P6006" s="498"/>
      <c r="Q6006" s="498"/>
      <c r="R6006" s="498"/>
      <c r="T6006" s="498"/>
      <c r="U6006" s="498"/>
      <c r="V6006" s="498"/>
      <c r="W6006" s="498"/>
      <c r="X6006" s="498"/>
      <c r="Y6006" s="498"/>
      <c r="Z6006" s="498"/>
      <c r="AA6006" s="498"/>
      <c r="AB6006" s="498"/>
      <c r="AC6006" s="498"/>
      <c r="AD6006" s="498"/>
      <c r="AE6006" s="498"/>
      <c r="AF6006" s="498"/>
      <c r="AG6006" s="498"/>
      <c r="AH6006" s="498"/>
      <c r="AI6006" s="498"/>
      <c r="AK6006" s="498"/>
      <c r="AL6006" s="498"/>
      <c r="AM6006" s="498"/>
      <c r="AN6006" s="498"/>
      <c r="AO6006" s="498"/>
      <c r="AP6006" s="498"/>
      <c r="AQ6006" s="498"/>
      <c r="AR6006" s="498"/>
      <c r="AS6006" s="498"/>
      <c r="AT6006" s="498"/>
      <c r="AU6006" s="498"/>
      <c r="AV6006" s="498"/>
      <c r="AW6006" s="498"/>
      <c r="AX6006" s="498"/>
      <c r="AY6006" s="498"/>
      <c r="AZ6006" s="498"/>
      <c r="BA6006" s="498"/>
    </row>
    <row r="6007" spans="1:53" s="499" customFormat="1" x14ac:dyDescent="0.25">
      <c r="A6007" s="500"/>
      <c r="B6007" s="501"/>
      <c r="C6007" s="502"/>
      <c r="D6007" s="497"/>
      <c r="E6007" s="497"/>
      <c r="F6007" s="502"/>
      <c r="G6007" s="497"/>
      <c r="H6007" s="497"/>
      <c r="I6007" s="497"/>
      <c r="J6007" s="497"/>
      <c r="K6007" s="500"/>
      <c r="L6007" s="497"/>
      <c r="M6007"/>
      <c r="N6007" s="498"/>
      <c r="O6007" s="498"/>
      <c r="P6007" s="498"/>
      <c r="Q6007" s="498"/>
      <c r="R6007" s="498"/>
      <c r="T6007" s="498"/>
      <c r="U6007" s="498"/>
      <c r="V6007" s="498"/>
      <c r="W6007" s="498"/>
      <c r="X6007" s="498"/>
      <c r="Y6007" s="498"/>
      <c r="Z6007" s="498"/>
      <c r="AA6007" s="498"/>
      <c r="AB6007" s="498"/>
      <c r="AC6007" s="498"/>
      <c r="AD6007" s="498"/>
      <c r="AE6007" s="498"/>
      <c r="AF6007" s="498"/>
      <c r="AG6007" s="498"/>
      <c r="AH6007" s="498"/>
      <c r="AI6007" s="498"/>
      <c r="AK6007" s="498"/>
      <c r="AL6007" s="498"/>
      <c r="AM6007" s="498"/>
      <c r="AN6007" s="498"/>
      <c r="AO6007" s="498"/>
      <c r="AP6007" s="498"/>
      <c r="AQ6007" s="498"/>
      <c r="AR6007" s="498"/>
      <c r="AS6007" s="498"/>
      <c r="AT6007" s="498"/>
      <c r="AU6007" s="498"/>
      <c r="AV6007" s="498"/>
      <c r="AW6007" s="498"/>
      <c r="AX6007" s="498"/>
      <c r="AY6007" s="498"/>
      <c r="AZ6007" s="498"/>
      <c r="BA6007" s="498"/>
    </row>
    <row r="6008" spans="1:53" s="499" customFormat="1" x14ac:dyDescent="0.25">
      <c r="A6008" s="500"/>
      <c r="B6008" s="501"/>
      <c r="C6008" s="502"/>
      <c r="D6008" s="497"/>
      <c r="E6008" s="497"/>
      <c r="F6008" s="502"/>
      <c r="G6008" s="497"/>
      <c r="H6008" s="497"/>
      <c r="I6008" s="497"/>
      <c r="J6008" s="497"/>
      <c r="K6008" s="500"/>
      <c r="L6008" s="497"/>
      <c r="M6008"/>
      <c r="N6008" s="498"/>
      <c r="O6008" s="498"/>
      <c r="P6008" s="498"/>
      <c r="Q6008" s="498"/>
      <c r="R6008" s="498"/>
      <c r="T6008" s="498"/>
      <c r="U6008" s="498"/>
      <c r="V6008" s="498"/>
      <c r="W6008" s="498"/>
      <c r="X6008" s="498"/>
      <c r="Y6008" s="498"/>
      <c r="Z6008" s="498"/>
      <c r="AA6008" s="498"/>
      <c r="AB6008" s="498"/>
      <c r="AC6008" s="498"/>
      <c r="AD6008" s="498"/>
      <c r="AE6008" s="498"/>
      <c r="AF6008" s="498"/>
      <c r="AG6008" s="498"/>
      <c r="AH6008" s="498"/>
      <c r="AI6008" s="498"/>
      <c r="AK6008" s="498"/>
      <c r="AL6008" s="498"/>
      <c r="AM6008" s="498"/>
      <c r="AN6008" s="498"/>
      <c r="AO6008" s="498"/>
      <c r="AP6008" s="498"/>
      <c r="AQ6008" s="498"/>
      <c r="AR6008" s="498"/>
      <c r="AS6008" s="498"/>
      <c r="AT6008" s="498"/>
      <c r="AU6008" s="498"/>
      <c r="AV6008" s="498"/>
      <c r="AW6008" s="498"/>
      <c r="AX6008" s="498"/>
      <c r="AY6008" s="498"/>
      <c r="AZ6008" s="498"/>
      <c r="BA6008" s="498"/>
    </row>
    <row r="6009" spans="1:53" s="499" customFormat="1" x14ac:dyDescent="0.25">
      <c r="A6009" s="500"/>
      <c r="B6009" s="501"/>
      <c r="C6009" s="502"/>
      <c r="D6009" s="497"/>
      <c r="E6009" s="497"/>
      <c r="F6009" s="502"/>
      <c r="G6009" s="497"/>
      <c r="H6009" s="497"/>
      <c r="I6009" s="497"/>
      <c r="J6009" s="497"/>
      <c r="K6009" s="500"/>
      <c r="L6009" s="497"/>
      <c r="M6009"/>
      <c r="N6009" s="498"/>
      <c r="O6009" s="498"/>
      <c r="P6009" s="498"/>
      <c r="Q6009" s="498"/>
      <c r="R6009" s="498"/>
      <c r="T6009" s="498"/>
      <c r="U6009" s="498"/>
      <c r="V6009" s="498"/>
      <c r="W6009" s="498"/>
      <c r="X6009" s="498"/>
      <c r="Y6009" s="498"/>
      <c r="Z6009" s="498"/>
      <c r="AA6009" s="498"/>
      <c r="AB6009" s="498"/>
      <c r="AC6009" s="498"/>
      <c r="AD6009" s="498"/>
      <c r="AE6009" s="498"/>
      <c r="AF6009" s="498"/>
      <c r="AG6009" s="498"/>
      <c r="AH6009" s="498"/>
      <c r="AI6009" s="498"/>
      <c r="AK6009" s="498"/>
      <c r="AL6009" s="498"/>
      <c r="AM6009" s="498"/>
      <c r="AN6009" s="498"/>
      <c r="AO6009" s="498"/>
      <c r="AP6009" s="498"/>
      <c r="AQ6009" s="498"/>
      <c r="AR6009" s="498"/>
      <c r="AS6009" s="498"/>
      <c r="AT6009" s="498"/>
      <c r="AU6009" s="498"/>
      <c r="AV6009" s="498"/>
      <c r="AW6009" s="498"/>
      <c r="AX6009" s="498"/>
      <c r="AY6009" s="498"/>
      <c r="AZ6009" s="498"/>
      <c r="BA6009" s="498"/>
    </row>
    <row r="6010" spans="1:53" s="499" customFormat="1" x14ac:dyDescent="0.25">
      <c r="A6010" s="500"/>
      <c r="B6010" s="501"/>
      <c r="C6010" s="502"/>
      <c r="D6010" s="497"/>
      <c r="E6010" s="497"/>
      <c r="F6010" s="502"/>
      <c r="G6010" s="497"/>
      <c r="H6010" s="497"/>
      <c r="I6010" s="497"/>
      <c r="J6010" s="497"/>
      <c r="K6010" s="500"/>
      <c r="L6010" s="497"/>
      <c r="M6010"/>
      <c r="N6010" s="498"/>
      <c r="O6010" s="498"/>
      <c r="P6010" s="498"/>
      <c r="Q6010" s="498"/>
      <c r="R6010" s="498"/>
      <c r="T6010" s="498"/>
      <c r="U6010" s="498"/>
      <c r="V6010" s="498"/>
      <c r="W6010" s="498"/>
      <c r="X6010" s="498"/>
      <c r="Y6010" s="498"/>
      <c r="Z6010" s="498"/>
      <c r="AA6010" s="498"/>
      <c r="AB6010" s="498"/>
      <c r="AC6010" s="498"/>
      <c r="AD6010" s="498"/>
      <c r="AE6010" s="498"/>
      <c r="AF6010" s="498"/>
      <c r="AG6010" s="498"/>
      <c r="AH6010" s="498"/>
      <c r="AI6010" s="498"/>
      <c r="AK6010" s="498"/>
      <c r="AL6010" s="498"/>
      <c r="AM6010" s="498"/>
      <c r="AN6010" s="498"/>
      <c r="AO6010" s="498"/>
      <c r="AP6010" s="498"/>
      <c r="AQ6010" s="498"/>
      <c r="AR6010" s="498"/>
      <c r="AS6010" s="498"/>
      <c r="AT6010" s="498"/>
      <c r="AU6010" s="498"/>
      <c r="AV6010" s="498"/>
      <c r="AW6010" s="498"/>
      <c r="AX6010" s="498"/>
      <c r="AY6010" s="498"/>
      <c r="AZ6010" s="498"/>
      <c r="BA6010" s="498"/>
    </row>
    <row r="6011" spans="1:53" s="499" customFormat="1" x14ac:dyDescent="0.25">
      <c r="A6011" s="500"/>
      <c r="B6011" s="501"/>
      <c r="C6011" s="502"/>
      <c r="D6011" s="497"/>
      <c r="E6011" s="497"/>
      <c r="F6011" s="502"/>
      <c r="G6011" s="497"/>
      <c r="H6011" s="497"/>
      <c r="I6011" s="497"/>
      <c r="J6011" s="497"/>
      <c r="K6011" s="500"/>
      <c r="L6011" s="497"/>
      <c r="M6011"/>
      <c r="N6011" s="498"/>
      <c r="O6011" s="498"/>
      <c r="P6011" s="498"/>
      <c r="Q6011" s="498"/>
      <c r="R6011" s="498"/>
      <c r="T6011" s="498"/>
      <c r="U6011" s="498"/>
      <c r="V6011" s="498"/>
      <c r="W6011" s="498"/>
      <c r="X6011" s="498"/>
      <c r="Y6011" s="498"/>
      <c r="Z6011" s="498"/>
      <c r="AA6011" s="498"/>
      <c r="AB6011" s="498"/>
      <c r="AC6011" s="498"/>
      <c r="AD6011" s="498"/>
      <c r="AE6011" s="498"/>
      <c r="AF6011" s="498"/>
      <c r="AG6011" s="498"/>
      <c r="AH6011" s="498"/>
      <c r="AI6011" s="498"/>
      <c r="AK6011" s="498"/>
      <c r="AL6011" s="498"/>
      <c r="AM6011" s="498"/>
      <c r="AN6011" s="498"/>
      <c r="AO6011" s="498"/>
      <c r="AP6011" s="498"/>
      <c r="AQ6011" s="498"/>
      <c r="AR6011" s="498"/>
      <c r="AS6011" s="498"/>
      <c r="AT6011" s="498"/>
      <c r="AU6011" s="498"/>
      <c r="AV6011" s="498"/>
      <c r="AW6011" s="498"/>
      <c r="AX6011" s="498"/>
      <c r="AY6011" s="498"/>
      <c r="AZ6011" s="498"/>
      <c r="BA6011" s="498"/>
    </row>
    <row r="6012" spans="1:53" s="499" customFormat="1" x14ac:dyDescent="0.25">
      <c r="A6012" s="500"/>
      <c r="B6012" s="501"/>
      <c r="C6012" s="502"/>
      <c r="D6012" s="497"/>
      <c r="E6012" s="497"/>
      <c r="F6012" s="502"/>
      <c r="G6012" s="497"/>
      <c r="H6012" s="497"/>
      <c r="I6012" s="497"/>
      <c r="J6012" s="497"/>
      <c r="K6012" s="500"/>
      <c r="L6012" s="497"/>
      <c r="M6012"/>
      <c r="N6012" s="498"/>
      <c r="O6012" s="498"/>
      <c r="P6012" s="498"/>
      <c r="Q6012" s="498"/>
      <c r="R6012" s="498"/>
      <c r="T6012" s="498"/>
      <c r="U6012" s="498"/>
      <c r="V6012" s="498"/>
      <c r="W6012" s="498"/>
      <c r="X6012" s="498"/>
      <c r="Y6012" s="498"/>
      <c r="Z6012" s="498"/>
      <c r="AA6012" s="498"/>
      <c r="AB6012" s="498"/>
      <c r="AC6012" s="498"/>
      <c r="AD6012" s="498"/>
      <c r="AE6012" s="498"/>
      <c r="AF6012" s="498"/>
      <c r="AG6012" s="498"/>
      <c r="AH6012" s="498"/>
      <c r="AI6012" s="498"/>
      <c r="AK6012" s="498"/>
      <c r="AL6012" s="498"/>
      <c r="AM6012" s="498"/>
      <c r="AN6012" s="498"/>
      <c r="AO6012" s="498"/>
      <c r="AP6012" s="498"/>
      <c r="AQ6012" s="498"/>
      <c r="AR6012" s="498"/>
      <c r="AS6012" s="498"/>
      <c r="AT6012" s="498"/>
      <c r="AU6012" s="498"/>
      <c r="AV6012" s="498"/>
      <c r="AW6012" s="498"/>
      <c r="AX6012" s="498"/>
      <c r="AY6012" s="498"/>
      <c r="AZ6012" s="498"/>
      <c r="BA6012" s="498"/>
    </row>
    <row r="6013" spans="1:53" s="499" customFormat="1" x14ac:dyDescent="0.25">
      <c r="A6013" s="500"/>
      <c r="B6013" s="501"/>
      <c r="C6013" s="502"/>
      <c r="D6013" s="497"/>
      <c r="E6013" s="497"/>
      <c r="F6013" s="502"/>
      <c r="G6013" s="497"/>
      <c r="H6013" s="497"/>
      <c r="I6013" s="497"/>
      <c r="J6013" s="497"/>
      <c r="K6013" s="500"/>
      <c r="L6013" s="497"/>
      <c r="M6013"/>
      <c r="N6013" s="498"/>
      <c r="O6013" s="498"/>
      <c r="P6013" s="498"/>
      <c r="Q6013" s="498"/>
      <c r="R6013" s="498"/>
      <c r="T6013" s="498"/>
      <c r="U6013" s="498"/>
      <c r="V6013" s="498"/>
      <c r="W6013" s="498"/>
      <c r="X6013" s="498"/>
      <c r="Y6013" s="498"/>
      <c r="Z6013" s="498"/>
      <c r="AA6013" s="498"/>
      <c r="AB6013" s="498"/>
      <c r="AC6013" s="498"/>
      <c r="AD6013" s="498"/>
      <c r="AE6013" s="498"/>
      <c r="AF6013" s="498"/>
      <c r="AG6013" s="498"/>
      <c r="AH6013" s="498"/>
      <c r="AI6013" s="498"/>
      <c r="AK6013" s="498"/>
      <c r="AL6013" s="498"/>
      <c r="AM6013" s="498"/>
      <c r="AN6013" s="498"/>
      <c r="AO6013" s="498"/>
      <c r="AP6013" s="498"/>
      <c r="AQ6013" s="498"/>
      <c r="AR6013" s="498"/>
      <c r="AS6013" s="498"/>
      <c r="AT6013" s="498"/>
      <c r="AU6013" s="498"/>
      <c r="AV6013" s="498"/>
      <c r="AW6013" s="498"/>
      <c r="AX6013" s="498"/>
      <c r="AY6013" s="498"/>
      <c r="AZ6013" s="498"/>
      <c r="BA6013" s="498"/>
    </row>
    <row r="6014" spans="1:53" s="499" customFormat="1" x14ac:dyDescent="0.25">
      <c r="A6014" s="500"/>
      <c r="B6014" s="501"/>
      <c r="C6014" s="502"/>
      <c r="D6014" s="497"/>
      <c r="E6014" s="497"/>
      <c r="F6014" s="502"/>
      <c r="G6014" s="497"/>
      <c r="H6014" s="497"/>
      <c r="I6014" s="497"/>
      <c r="J6014" s="497"/>
      <c r="K6014" s="500"/>
      <c r="L6014" s="497"/>
      <c r="M6014"/>
      <c r="N6014" s="498"/>
      <c r="O6014" s="498"/>
      <c r="P6014" s="498"/>
      <c r="Q6014" s="498"/>
      <c r="R6014" s="498"/>
      <c r="T6014" s="498"/>
      <c r="U6014" s="498"/>
      <c r="V6014" s="498"/>
      <c r="W6014" s="498"/>
      <c r="X6014" s="498"/>
      <c r="Y6014" s="498"/>
      <c r="Z6014" s="498"/>
      <c r="AA6014" s="498"/>
      <c r="AB6014" s="498"/>
      <c r="AC6014" s="498"/>
      <c r="AD6014" s="498"/>
      <c r="AE6014" s="498"/>
      <c r="AF6014" s="498"/>
      <c r="AG6014" s="498"/>
      <c r="AH6014" s="498"/>
      <c r="AI6014" s="498"/>
      <c r="AK6014" s="498"/>
      <c r="AL6014" s="498"/>
      <c r="AM6014" s="498"/>
      <c r="AN6014" s="498"/>
      <c r="AO6014" s="498"/>
      <c r="AP6014" s="498"/>
      <c r="AQ6014" s="498"/>
      <c r="AR6014" s="498"/>
      <c r="AS6014" s="498"/>
      <c r="AT6014" s="498"/>
      <c r="AU6014" s="498"/>
      <c r="AV6014" s="498"/>
      <c r="AW6014" s="498"/>
      <c r="AX6014" s="498"/>
      <c r="AY6014" s="498"/>
      <c r="AZ6014" s="498"/>
      <c r="BA6014" s="498"/>
    </row>
    <row r="6015" spans="1:53" s="499" customFormat="1" x14ac:dyDescent="0.25">
      <c r="A6015" s="500"/>
      <c r="B6015" s="501"/>
      <c r="C6015" s="502"/>
      <c r="D6015" s="497"/>
      <c r="E6015" s="497"/>
      <c r="F6015" s="502"/>
      <c r="G6015" s="497"/>
      <c r="H6015" s="497"/>
      <c r="I6015" s="497"/>
      <c r="J6015" s="497"/>
      <c r="K6015" s="500"/>
      <c r="L6015" s="497"/>
      <c r="M6015"/>
      <c r="N6015" s="498"/>
      <c r="O6015" s="498"/>
      <c r="P6015" s="498"/>
      <c r="Q6015" s="498"/>
      <c r="R6015" s="498"/>
      <c r="T6015" s="498"/>
      <c r="U6015" s="498"/>
      <c r="V6015" s="498"/>
      <c r="W6015" s="498"/>
      <c r="X6015" s="498"/>
      <c r="Y6015" s="498"/>
      <c r="Z6015" s="498"/>
      <c r="AA6015" s="498"/>
      <c r="AB6015" s="498"/>
      <c r="AC6015" s="498"/>
      <c r="AD6015" s="498"/>
      <c r="AE6015" s="498"/>
      <c r="AF6015" s="498"/>
      <c r="AG6015" s="498"/>
      <c r="AH6015" s="498"/>
      <c r="AI6015" s="498"/>
      <c r="AK6015" s="498"/>
      <c r="AL6015" s="498"/>
      <c r="AM6015" s="498"/>
      <c r="AN6015" s="498"/>
      <c r="AO6015" s="498"/>
      <c r="AP6015" s="498"/>
      <c r="AQ6015" s="498"/>
      <c r="AR6015" s="498"/>
      <c r="AS6015" s="498"/>
      <c r="AT6015" s="498"/>
      <c r="AU6015" s="498"/>
      <c r="AV6015" s="498"/>
      <c r="AW6015" s="498"/>
      <c r="AX6015" s="498"/>
      <c r="AY6015" s="498"/>
      <c r="AZ6015" s="498"/>
      <c r="BA6015" s="498"/>
    </row>
    <row r="6016" spans="1:53" s="499" customFormat="1" x14ac:dyDescent="0.25">
      <c r="A6016" s="500"/>
      <c r="B6016" s="501"/>
      <c r="C6016" s="502"/>
      <c r="D6016" s="497"/>
      <c r="E6016" s="497"/>
      <c r="F6016" s="502"/>
      <c r="G6016" s="497"/>
      <c r="H6016" s="497"/>
      <c r="I6016" s="497"/>
      <c r="J6016" s="497"/>
      <c r="K6016" s="500"/>
      <c r="L6016" s="497"/>
      <c r="M6016"/>
      <c r="N6016" s="498"/>
      <c r="O6016" s="498"/>
      <c r="P6016" s="498"/>
      <c r="Q6016" s="498"/>
      <c r="R6016" s="498"/>
      <c r="T6016" s="498"/>
      <c r="U6016" s="498"/>
      <c r="V6016" s="498"/>
      <c r="W6016" s="498"/>
      <c r="X6016" s="498"/>
      <c r="Y6016" s="498"/>
      <c r="Z6016" s="498"/>
      <c r="AA6016" s="498"/>
      <c r="AB6016" s="498"/>
      <c r="AC6016" s="498"/>
      <c r="AD6016" s="498"/>
      <c r="AE6016" s="498"/>
      <c r="AF6016" s="498"/>
      <c r="AG6016" s="498"/>
      <c r="AH6016" s="498"/>
      <c r="AI6016" s="498"/>
      <c r="AK6016" s="498"/>
      <c r="AL6016" s="498"/>
      <c r="AM6016" s="498"/>
      <c r="AN6016" s="498"/>
      <c r="AO6016" s="498"/>
      <c r="AP6016" s="498"/>
      <c r="AQ6016" s="498"/>
      <c r="AR6016" s="498"/>
      <c r="AS6016" s="498"/>
      <c r="AT6016" s="498"/>
      <c r="AU6016" s="498"/>
      <c r="AV6016" s="498"/>
      <c r="AW6016" s="498"/>
      <c r="AX6016" s="498"/>
      <c r="AY6016" s="498"/>
      <c r="AZ6016" s="498"/>
      <c r="BA6016" s="498"/>
    </row>
    <row r="6017" spans="1:53" s="499" customFormat="1" x14ac:dyDescent="0.25">
      <c r="A6017" s="500"/>
      <c r="B6017" s="501"/>
      <c r="C6017" s="502"/>
      <c r="D6017" s="497"/>
      <c r="E6017" s="497"/>
      <c r="F6017" s="502"/>
      <c r="G6017" s="497"/>
      <c r="H6017" s="497"/>
      <c r="I6017" s="497"/>
      <c r="J6017" s="497"/>
      <c r="K6017" s="500"/>
      <c r="L6017" s="497"/>
      <c r="M6017"/>
      <c r="N6017" s="498"/>
      <c r="O6017" s="498"/>
      <c r="P6017" s="498"/>
      <c r="Q6017" s="498"/>
      <c r="R6017" s="498"/>
      <c r="T6017" s="498"/>
      <c r="U6017" s="498"/>
      <c r="V6017" s="498"/>
      <c r="W6017" s="498"/>
      <c r="X6017" s="498"/>
      <c r="Y6017" s="498"/>
      <c r="Z6017" s="498"/>
      <c r="AA6017" s="498"/>
      <c r="AB6017" s="498"/>
      <c r="AC6017" s="498"/>
      <c r="AD6017" s="498"/>
      <c r="AE6017" s="498"/>
      <c r="AF6017" s="498"/>
      <c r="AG6017" s="498"/>
      <c r="AH6017" s="498"/>
      <c r="AI6017" s="498"/>
      <c r="AK6017" s="498"/>
      <c r="AL6017" s="498"/>
      <c r="AM6017" s="498"/>
      <c r="AN6017" s="498"/>
      <c r="AO6017" s="498"/>
      <c r="AP6017" s="498"/>
      <c r="AQ6017" s="498"/>
      <c r="AR6017" s="498"/>
      <c r="AS6017" s="498"/>
      <c r="AT6017" s="498"/>
      <c r="AU6017" s="498"/>
      <c r="AV6017" s="498"/>
      <c r="AW6017" s="498"/>
      <c r="AX6017" s="498"/>
      <c r="AY6017" s="498"/>
      <c r="AZ6017" s="498"/>
      <c r="BA6017" s="498"/>
    </row>
    <row r="6018" spans="1:53" s="499" customFormat="1" x14ac:dyDescent="0.25">
      <c r="A6018" s="500"/>
      <c r="B6018" s="501"/>
      <c r="C6018" s="502"/>
      <c r="D6018" s="497"/>
      <c r="E6018" s="497"/>
      <c r="F6018" s="502"/>
      <c r="G6018" s="497"/>
      <c r="H6018" s="497"/>
      <c r="I6018" s="497"/>
      <c r="J6018" s="497"/>
      <c r="K6018" s="500"/>
      <c r="L6018" s="497"/>
      <c r="M6018"/>
      <c r="N6018" s="498"/>
      <c r="O6018" s="498"/>
      <c r="P6018" s="498"/>
      <c r="Q6018" s="498"/>
      <c r="R6018" s="498"/>
      <c r="T6018" s="498"/>
      <c r="U6018" s="498"/>
      <c r="V6018" s="498"/>
      <c r="W6018" s="498"/>
      <c r="X6018" s="498"/>
      <c r="Y6018" s="498"/>
      <c r="Z6018" s="498"/>
      <c r="AA6018" s="498"/>
      <c r="AB6018" s="498"/>
      <c r="AC6018" s="498"/>
      <c r="AD6018" s="498"/>
      <c r="AE6018" s="498"/>
      <c r="AF6018" s="498"/>
      <c r="AG6018" s="498"/>
      <c r="AH6018" s="498"/>
      <c r="AI6018" s="498"/>
      <c r="AK6018" s="498"/>
      <c r="AL6018" s="498"/>
      <c r="AM6018" s="498"/>
      <c r="AN6018" s="498"/>
      <c r="AO6018" s="498"/>
      <c r="AP6018" s="498"/>
      <c r="AQ6018" s="498"/>
      <c r="AR6018" s="498"/>
      <c r="AS6018" s="498"/>
      <c r="AT6018" s="498"/>
      <c r="AU6018" s="498"/>
      <c r="AV6018" s="498"/>
      <c r="AW6018" s="498"/>
      <c r="AX6018" s="498"/>
      <c r="AY6018" s="498"/>
      <c r="AZ6018" s="498"/>
      <c r="BA6018" s="498"/>
    </row>
    <row r="6019" spans="1:53" s="499" customFormat="1" x14ac:dyDescent="0.25">
      <c r="A6019" s="500"/>
      <c r="B6019" s="501"/>
      <c r="C6019" s="502"/>
      <c r="D6019" s="497"/>
      <c r="E6019" s="497"/>
      <c r="F6019" s="502"/>
      <c r="G6019" s="497"/>
      <c r="H6019" s="497"/>
      <c r="I6019" s="497"/>
      <c r="J6019" s="497"/>
      <c r="K6019" s="500"/>
      <c r="L6019" s="497"/>
      <c r="M6019"/>
      <c r="N6019" s="498"/>
      <c r="O6019" s="498"/>
      <c r="P6019" s="498"/>
      <c r="Q6019" s="498"/>
      <c r="R6019" s="498"/>
      <c r="T6019" s="498"/>
      <c r="U6019" s="498"/>
      <c r="V6019" s="498"/>
      <c r="W6019" s="498"/>
      <c r="X6019" s="498"/>
      <c r="Y6019" s="498"/>
      <c r="Z6019" s="498"/>
      <c r="AA6019" s="498"/>
      <c r="AB6019" s="498"/>
      <c r="AC6019" s="498"/>
      <c r="AD6019" s="498"/>
      <c r="AE6019" s="498"/>
      <c r="AF6019" s="498"/>
      <c r="AG6019" s="498"/>
      <c r="AH6019" s="498"/>
      <c r="AI6019" s="498"/>
      <c r="AK6019" s="498"/>
      <c r="AL6019" s="498"/>
      <c r="AM6019" s="498"/>
      <c r="AN6019" s="498"/>
      <c r="AO6019" s="498"/>
      <c r="AP6019" s="498"/>
      <c r="AQ6019" s="498"/>
      <c r="AR6019" s="498"/>
      <c r="AS6019" s="498"/>
      <c r="AT6019" s="498"/>
      <c r="AU6019" s="498"/>
      <c r="AV6019" s="498"/>
      <c r="AW6019" s="498"/>
      <c r="AX6019" s="498"/>
      <c r="AY6019" s="498"/>
      <c r="AZ6019" s="498"/>
      <c r="BA6019" s="498"/>
    </row>
    <row r="6020" spans="1:53" s="499" customFormat="1" x14ac:dyDescent="0.25">
      <c r="A6020" s="500"/>
      <c r="B6020" s="501"/>
      <c r="C6020" s="502"/>
      <c r="D6020" s="497"/>
      <c r="E6020" s="497"/>
      <c r="F6020" s="502"/>
      <c r="G6020" s="497"/>
      <c r="H6020" s="497"/>
      <c r="I6020" s="497"/>
      <c r="J6020" s="497"/>
      <c r="K6020" s="500"/>
      <c r="L6020" s="497"/>
      <c r="M6020"/>
      <c r="N6020" s="498"/>
      <c r="O6020" s="498"/>
      <c r="P6020" s="498"/>
      <c r="Q6020" s="498"/>
      <c r="R6020" s="498"/>
      <c r="T6020" s="498"/>
      <c r="U6020" s="498"/>
      <c r="V6020" s="498"/>
      <c r="W6020" s="498"/>
      <c r="X6020" s="498"/>
      <c r="Y6020" s="498"/>
      <c r="Z6020" s="498"/>
      <c r="AA6020" s="498"/>
      <c r="AB6020" s="498"/>
      <c r="AC6020" s="498"/>
      <c r="AD6020" s="498"/>
      <c r="AE6020" s="498"/>
      <c r="AF6020" s="498"/>
      <c r="AG6020" s="498"/>
      <c r="AH6020" s="498"/>
      <c r="AI6020" s="498"/>
      <c r="AK6020" s="498"/>
      <c r="AL6020" s="498"/>
      <c r="AM6020" s="498"/>
      <c r="AN6020" s="498"/>
      <c r="AO6020" s="498"/>
      <c r="AP6020" s="498"/>
      <c r="AQ6020" s="498"/>
      <c r="AR6020" s="498"/>
      <c r="AS6020" s="498"/>
      <c r="AT6020" s="498"/>
      <c r="AU6020" s="498"/>
      <c r="AV6020" s="498"/>
      <c r="AW6020" s="498"/>
      <c r="AX6020" s="498"/>
      <c r="AY6020" s="498"/>
      <c r="AZ6020" s="498"/>
      <c r="BA6020" s="498"/>
    </row>
    <row r="6021" spans="1:53" s="499" customFormat="1" x14ac:dyDescent="0.25">
      <c r="A6021" s="500"/>
      <c r="B6021" s="501"/>
      <c r="C6021" s="502"/>
      <c r="D6021" s="497"/>
      <c r="E6021" s="497"/>
      <c r="F6021" s="502"/>
      <c r="G6021" s="497"/>
      <c r="H6021" s="497"/>
      <c r="I6021" s="497"/>
      <c r="J6021" s="497"/>
      <c r="K6021" s="500"/>
      <c r="L6021" s="497"/>
      <c r="M6021"/>
      <c r="N6021" s="498"/>
      <c r="O6021" s="498"/>
      <c r="P6021" s="498"/>
      <c r="Q6021" s="498"/>
      <c r="R6021" s="498"/>
      <c r="T6021" s="498"/>
      <c r="U6021" s="498"/>
      <c r="V6021" s="498"/>
      <c r="W6021" s="498"/>
      <c r="X6021" s="498"/>
      <c r="Y6021" s="498"/>
      <c r="Z6021" s="498"/>
      <c r="AA6021" s="498"/>
      <c r="AB6021" s="498"/>
      <c r="AC6021" s="498"/>
      <c r="AD6021" s="498"/>
      <c r="AE6021" s="498"/>
      <c r="AF6021" s="498"/>
      <c r="AG6021" s="498"/>
      <c r="AH6021" s="498"/>
      <c r="AI6021" s="498"/>
      <c r="AK6021" s="498"/>
      <c r="AL6021" s="498"/>
      <c r="AM6021" s="498"/>
      <c r="AN6021" s="498"/>
      <c r="AO6021" s="498"/>
      <c r="AP6021" s="498"/>
      <c r="AQ6021" s="498"/>
      <c r="AR6021" s="498"/>
      <c r="AS6021" s="498"/>
      <c r="AT6021" s="498"/>
      <c r="AU6021" s="498"/>
      <c r="AV6021" s="498"/>
      <c r="AW6021" s="498"/>
      <c r="AX6021" s="498"/>
      <c r="AY6021" s="498"/>
      <c r="AZ6021" s="498"/>
      <c r="BA6021" s="498"/>
    </row>
    <row r="6022" spans="1:53" s="499" customFormat="1" x14ac:dyDescent="0.25">
      <c r="A6022" s="500"/>
      <c r="B6022" s="501"/>
      <c r="C6022" s="502"/>
      <c r="D6022" s="497"/>
      <c r="E6022" s="497"/>
      <c r="F6022" s="502"/>
      <c r="G6022" s="497"/>
      <c r="H6022" s="497"/>
      <c r="I6022" s="497"/>
      <c r="J6022" s="497"/>
      <c r="K6022" s="500"/>
      <c r="L6022" s="497"/>
      <c r="M6022"/>
      <c r="N6022" s="498"/>
      <c r="O6022" s="498"/>
      <c r="P6022" s="498"/>
      <c r="Q6022" s="498"/>
      <c r="R6022" s="498"/>
      <c r="T6022" s="498"/>
      <c r="U6022" s="498"/>
      <c r="V6022" s="498"/>
      <c r="W6022" s="498"/>
      <c r="X6022" s="498"/>
      <c r="Y6022" s="498"/>
      <c r="Z6022" s="498"/>
      <c r="AA6022" s="498"/>
      <c r="AB6022" s="498"/>
      <c r="AC6022" s="498"/>
      <c r="AD6022" s="498"/>
      <c r="AE6022" s="498"/>
      <c r="AF6022" s="498"/>
      <c r="AG6022" s="498"/>
      <c r="AH6022" s="498"/>
      <c r="AI6022" s="498"/>
      <c r="AK6022" s="498"/>
      <c r="AL6022" s="498"/>
      <c r="AM6022" s="498"/>
      <c r="AN6022" s="498"/>
      <c r="AO6022" s="498"/>
      <c r="AP6022" s="498"/>
      <c r="AQ6022" s="498"/>
      <c r="AR6022" s="498"/>
      <c r="AS6022" s="498"/>
      <c r="AT6022" s="498"/>
      <c r="AU6022" s="498"/>
      <c r="AV6022" s="498"/>
      <c r="AW6022" s="498"/>
      <c r="AX6022" s="498"/>
      <c r="AY6022" s="498"/>
      <c r="AZ6022" s="498"/>
      <c r="BA6022" s="498"/>
    </row>
    <row r="6023" spans="1:53" s="499" customFormat="1" x14ac:dyDescent="0.25">
      <c r="A6023" s="500"/>
      <c r="B6023" s="501"/>
      <c r="C6023" s="502"/>
      <c r="D6023" s="497"/>
      <c r="E6023" s="497"/>
      <c r="F6023" s="502"/>
      <c r="G6023" s="497"/>
      <c r="H6023" s="497"/>
      <c r="I6023" s="497"/>
      <c r="J6023" s="497"/>
      <c r="K6023" s="500"/>
      <c r="L6023" s="497"/>
      <c r="M6023"/>
      <c r="N6023" s="498"/>
      <c r="O6023" s="498"/>
      <c r="P6023" s="498"/>
      <c r="Q6023" s="498"/>
      <c r="R6023" s="498"/>
      <c r="T6023" s="498"/>
      <c r="U6023" s="498"/>
      <c r="V6023" s="498"/>
      <c r="W6023" s="498"/>
      <c r="X6023" s="498"/>
      <c r="Y6023" s="498"/>
      <c r="Z6023" s="498"/>
      <c r="AA6023" s="498"/>
      <c r="AB6023" s="498"/>
      <c r="AC6023" s="498"/>
      <c r="AD6023" s="498"/>
      <c r="AE6023" s="498"/>
      <c r="AF6023" s="498"/>
      <c r="AG6023" s="498"/>
      <c r="AH6023" s="498"/>
      <c r="AI6023" s="498"/>
      <c r="AK6023" s="498"/>
      <c r="AL6023" s="498"/>
      <c r="AM6023" s="498"/>
      <c r="AN6023" s="498"/>
      <c r="AO6023" s="498"/>
      <c r="AP6023" s="498"/>
      <c r="AQ6023" s="498"/>
      <c r="AR6023" s="498"/>
      <c r="AS6023" s="498"/>
      <c r="AT6023" s="498"/>
      <c r="AU6023" s="498"/>
      <c r="AV6023" s="498"/>
      <c r="AW6023" s="498"/>
      <c r="AX6023" s="498"/>
      <c r="AY6023" s="498"/>
      <c r="AZ6023" s="498"/>
      <c r="BA6023" s="498"/>
    </row>
    <row r="6024" spans="1:53" s="499" customFormat="1" x14ac:dyDescent="0.25">
      <c r="A6024" s="500"/>
      <c r="B6024" s="501"/>
      <c r="C6024" s="502"/>
      <c r="D6024" s="497"/>
      <c r="E6024" s="497"/>
      <c r="F6024" s="502"/>
      <c r="G6024" s="497"/>
      <c r="H6024" s="497"/>
      <c r="I6024" s="497"/>
      <c r="J6024" s="497"/>
      <c r="K6024" s="500"/>
      <c r="L6024" s="497"/>
      <c r="M6024"/>
      <c r="N6024" s="498"/>
      <c r="O6024" s="498"/>
      <c r="P6024" s="498"/>
      <c r="Q6024" s="498"/>
      <c r="R6024" s="498"/>
      <c r="T6024" s="498"/>
      <c r="U6024" s="498"/>
      <c r="V6024" s="498"/>
      <c r="W6024" s="498"/>
      <c r="X6024" s="498"/>
      <c r="Y6024" s="498"/>
      <c r="Z6024" s="498"/>
      <c r="AA6024" s="498"/>
      <c r="AB6024" s="498"/>
      <c r="AC6024" s="498"/>
      <c r="AD6024" s="498"/>
      <c r="AE6024" s="498"/>
      <c r="AF6024" s="498"/>
      <c r="AG6024" s="498"/>
      <c r="AH6024" s="498"/>
      <c r="AI6024" s="498"/>
      <c r="AK6024" s="498"/>
      <c r="AL6024" s="498"/>
      <c r="AM6024" s="498"/>
      <c r="AN6024" s="498"/>
      <c r="AO6024" s="498"/>
      <c r="AP6024" s="498"/>
      <c r="AQ6024" s="498"/>
      <c r="AR6024" s="498"/>
      <c r="AS6024" s="498"/>
      <c r="AT6024" s="498"/>
      <c r="AU6024" s="498"/>
      <c r="AV6024" s="498"/>
      <c r="AW6024" s="498"/>
      <c r="AX6024" s="498"/>
      <c r="AY6024" s="498"/>
      <c r="AZ6024" s="498"/>
      <c r="BA6024" s="498"/>
    </row>
    <row r="6025" spans="1:53" s="499" customFormat="1" x14ac:dyDescent="0.25">
      <c r="A6025" s="500"/>
      <c r="B6025" s="501"/>
      <c r="C6025" s="502"/>
      <c r="D6025" s="497"/>
      <c r="E6025" s="497"/>
      <c r="F6025" s="502"/>
      <c r="G6025" s="497"/>
      <c r="H6025" s="497"/>
      <c r="I6025" s="497"/>
      <c r="J6025" s="497"/>
      <c r="K6025" s="500"/>
      <c r="L6025" s="497"/>
      <c r="M6025"/>
      <c r="N6025" s="498"/>
      <c r="O6025" s="498"/>
      <c r="P6025" s="498"/>
      <c r="Q6025" s="498"/>
      <c r="R6025" s="498"/>
      <c r="T6025" s="498"/>
      <c r="U6025" s="498"/>
      <c r="V6025" s="498"/>
      <c r="W6025" s="498"/>
      <c r="X6025" s="498"/>
      <c r="Y6025" s="498"/>
      <c r="Z6025" s="498"/>
      <c r="AA6025" s="498"/>
      <c r="AB6025" s="498"/>
      <c r="AC6025" s="498"/>
      <c r="AD6025" s="498"/>
      <c r="AE6025" s="498"/>
      <c r="AF6025" s="498"/>
      <c r="AG6025" s="498"/>
      <c r="AH6025" s="498"/>
      <c r="AI6025" s="498"/>
      <c r="AK6025" s="498"/>
      <c r="AL6025" s="498"/>
      <c r="AM6025" s="498"/>
      <c r="AN6025" s="498"/>
      <c r="AO6025" s="498"/>
      <c r="AP6025" s="498"/>
      <c r="AQ6025" s="498"/>
      <c r="AR6025" s="498"/>
      <c r="AS6025" s="498"/>
      <c r="AT6025" s="498"/>
      <c r="AU6025" s="498"/>
      <c r="AV6025" s="498"/>
      <c r="AW6025" s="498"/>
      <c r="AX6025" s="498"/>
      <c r="AY6025" s="498"/>
      <c r="AZ6025" s="498"/>
      <c r="BA6025" s="498"/>
    </row>
    <row r="6026" spans="1:53" s="499" customFormat="1" x14ac:dyDescent="0.25">
      <c r="A6026" s="500"/>
      <c r="B6026" s="501"/>
      <c r="C6026" s="502"/>
      <c r="D6026" s="497"/>
      <c r="E6026" s="497"/>
      <c r="F6026" s="502"/>
      <c r="G6026" s="497"/>
      <c r="H6026" s="497"/>
      <c r="I6026" s="497"/>
      <c r="J6026" s="497"/>
      <c r="K6026" s="500"/>
      <c r="L6026" s="497"/>
      <c r="M6026"/>
      <c r="N6026" s="498"/>
      <c r="O6026" s="498"/>
      <c r="P6026" s="498"/>
      <c r="Q6026" s="498"/>
      <c r="R6026" s="498"/>
      <c r="T6026" s="498"/>
      <c r="U6026" s="498"/>
      <c r="V6026" s="498"/>
      <c r="W6026" s="498"/>
      <c r="X6026" s="498"/>
      <c r="Y6026" s="498"/>
      <c r="Z6026" s="498"/>
      <c r="AA6026" s="498"/>
      <c r="AB6026" s="498"/>
      <c r="AC6026" s="498"/>
      <c r="AD6026" s="498"/>
      <c r="AE6026" s="498"/>
      <c r="AF6026" s="498"/>
      <c r="AG6026" s="498"/>
      <c r="AH6026" s="498"/>
      <c r="AI6026" s="498"/>
      <c r="AK6026" s="498"/>
      <c r="AL6026" s="498"/>
      <c r="AM6026" s="498"/>
      <c r="AN6026" s="498"/>
      <c r="AO6026" s="498"/>
      <c r="AP6026" s="498"/>
      <c r="AQ6026" s="498"/>
      <c r="AR6026" s="498"/>
      <c r="AS6026" s="498"/>
      <c r="AT6026" s="498"/>
      <c r="AU6026" s="498"/>
      <c r="AV6026" s="498"/>
      <c r="AW6026" s="498"/>
      <c r="AX6026" s="498"/>
      <c r="AY6026" s="498"/>
      <c r="AZ6026" s="498"/>
      <c r="BA6026" s="498"/>
    </row>
    <row r="6027" spans="1:53" s="499" customFormat="1" x14ac:dyDescent="0.25">
      <c r="A6027" s="500"/>
      <c r="B6027" s="501"/>
      <c r="C6027" s="502"/>
      <c r="D6027" s="497"/>
      <c r="E6027" s="497"/>
      <c r="F6027" s="502"/>
      <c r="G6027" s="497"/>
      <c r="H6027" s="497"/>
      <c r="I6027" s="497"/>
      <c r="J6027" s="497"/>
      <c r="K6027" s="500"/>
      <c r="L6027" s="497"/>
      <c r="M6027"/>
      <c r="N6027" s="498"/>
      <c r="O6027" s="498"/>
      <c r="P6027" s="498"/>
      <c r="Q6027" s="498"/>
      <c r="R6027" s="498"/>
      <c r="T6027" s="498"/>
      <c r="U6027" s="498"/>
      <c r="V6027" s="498"/>
      <c r="W6027" s="498"/>
      <c r="X6027" s="498"/>
      <c r="Y6027" s="498"/>
      <c r="Z6027" s="498"/>
      <c r="AA6027" s="498"/>
      <c r="AB6027" s="498"/>
      <c r="AC6027" s="498"/>
      <c r="AD6027" s="498"/>
      <c r="AE6027" s="498"/>
      <c r="AF6027" s="498"/>
      <c r="AG6027" s="498"/>
      <c r="AH6027" s="498"/>
      <c r="AI6027" s="498"/>
      <c r="AK6027" s="498"/>
      <c r="AL6027" s="498"/>
      <c r="AM6027" s="498"/>
      <c r="AN6027" s="498"/>
      <c r="AO6027" s="498"/>
      <c r="AP6027" s="498"/>
      <c r="AQ6027" s="498"/>
      <c r="AR6027" s="498"/>
      <c r="AS6027" s="498"/>
      <c r="AT6027" s="498"/>
      <c r="AU6027" s="498"/>
      <c r="AV6027" s="498"/>
      <c r="AW6027" s="498"/>
      <c r="AX6027" s="498"/>
      <c r="AY6027" s="498"/>
      <c r="AZ6027" s="498"/>
      <c r="BA6027" s="498"/>
    </row>
    <row r="6028" spans="1:53" s="499" customFormat="1" x14ac:dyDescent="0.25">
      <c r="A6028" s="500"/>
      <c r="B6028" s="501"/>
      <c r="C6028" s="502"/>
      <c r="D6028" s="497"/>
      <c r="E6028" s="497"/>
      <c r="F6028" s="502"/>
      <c r="G6028" s="497"/>
      <c r="H6028" s="497"/>
      <c r="I6028" s="497"/>
      <c r="J6028" s="497"/>
      <c r="K6028" s="500"/>
      <c r="L6028" s="497"/>
      <c r="M6028"/>
      <c r="N6028" s="498"/>
      <c r="O6028" s="498"/>
      <c r="P6028" s="498"/>
      <c r="Q6028" s="498"/>
      <c r="R6028" s="498"/>
      <c r="T6028" s="498"/>
      <c r="U6028" s="498"/>
      <c r="V6028" s="498"/>
      <c r="W6028" s="498"/>
      <c r="X6028" s="498"/>
      <c r="Y6028" s="498"/>
      <c r="Z6028" s="498"/>
      <c r="AA6028" s="498"/>
      <c r="AB6028" s="498"/>
      <c r="AC6028" s="498"/>
      <c r="AD6028" s="498"/>
      <c r="AE6028" s="498"/>
      <c r="AF6028" s="498"/>
      <c r="AG6028" s="498"/>
      <c r="AH6028" s="498"/>
      <c r="AI6028" s="498"/>
      <c r="AK6028" s="498"/>
      <c r="AL6028" s="498"/>
      <c r="AM6028" s="498"/>
      <c r="AN6028" s="498"/>
      <c r="AO6028" s="498"/>
      <c r="AP6028" s="498"/>
      <c r="AQ6028" s="498"/>
      <c r="AR6028" s="498"/>
      <c r="AS6028" s="498"/>
      <c r="AT6028" s="498"/>
      <c r="AU6028" s="498"/>
      <c r="AV6028" s="498"/>
      <c r="AW6028" s="498"/>
      <c r="AX6028" s="498"/>
      <c r="AY6028" s="498"/>
      <c r="AZ6028" s="498"/>
      <c r="BA6028" s="498"/>
    </row>
    <row r="6029" spans="1:53" s="499" customFormat="1" x14ac:dyDescent="0.25">
      <c r="A6029" s="500"/>
      <c r="B6029" s="501"/>
      <c r="C6029" s="502"/>
      <c r="D6029" s="497"/>
      <c r="E6029" s="497"/>
      <c r="F6029" s="502"/>
      <c r="G6029" s="497"/>
      <c r="H6029" s="497"/>
      <c r="I6029" s="497"/>
      <c r="J6029" s="497"/>
      <c r="K6029" s="500"/>
      <c r="L6029" s="497"/>
      <c r="M6029"/>
      <c r="N6029" s="498"/>
      <c r="O6029" s="498"/>
      <c r="P6029" s="498"/>
      <c r="Q6029" s="498"/>
      <c r="R6029" s="498"/>
      <c r="T6029" s="498"/>
      <c r="U6029" s="498"/>
      <c r="V6029" s="498"/>
      <c r="W6029" s="498"/>
      <c r="X6029" s="498"/>
      <c r="Y6029" s="498"/>
      <c r="Z6029" s="498"/>
      <c r="AA6029" s="498"/>
      <c r="AB6029" s="498"/>
      <c r="AC6029" s="498"/>
      <c r="AD6029" s="498"/>
      <c r="AE6029" s="498"/>
      <c r="AF6029" s="498"/>
      <c r="AG6029" s="498"/>
      <c r="AH6029" s="498"/>
      <c r="AI6029" s="498"/>
      <c r="AK6029" s="498"/>
      <c r="AL6029" s="498"/>
      <c r="AM6029" s="498"/>
      <c r="AN6029" s="498"/>
      <c r="AO6029" s="498"/>
      <c r="AP6029" s="498"/>
      <c r="AQ6029" s="498"/>
      <c r="AR6029" s="498"/>
      <c r="AS6029" s="498"/>
      <c r="AT6029" s="498"/>
      <c r="AU6029" s="498"/>
      <c r="AV6029" s="498"/>
      <c r="AW6029" s="498"/>
      <c r="AX6029" s="498"/>
      <c r="AY6029" s="498"/>
      <c r="AZ6029" s="498"/>
      <c r="BA6029" s="498"/>
    </row>
    <row r="6030" spans="1:53" s="499" customFormat="1" x14ac:dyDescent="0.25">
      <c r="A6030" s="500"/>
      <c r="B6030" s="501"/>
      <c r="C6030" s="502"/>
      <c r="D6030" s="497"/>
      <c r="E6030" s="497"/>
      <c r="F6030" s="502"/>
      <c r="G6030" s="497"/>
      <c r="H6030" s="497"/>
      <c r="I6030" s="497"/>
      <c r="J6030" s="497"/>
      <c r="K6030" s="500"/>
      <c r="L6030" s="497"/>
      <c r="M6030"/>
      <c r="N6030" s="498"/>
      <c r="O6030" s="498"/>
      <c r="P6030" s="498"/>
      <c r="Q6030" s="498"/>
      <c r="R6030" s="498"/>
      <c r="T6030" s="498"/>
      <c r="U6030" s="498"/>
      <c r="V6030" s="498"/>
      <c r="W6030" s="498"/>
      <c r="X6030" s="498"/>
      <c r="Y6030" s="498"/>
      <c r="Z6030" s="498"/>
      <c r="AA6030" s="498"/>
      <c r="AB6030" s="498"/>
      <c r="AC6030" s="498"/>
      <c r="AD6030" s="498"/>
      <c r="AE6030" s="498"/>
      <c r="AF6030" s="498"/>
      <c r="AG6030" s="498"/>
      <c r="AH6030" s="498"/>
      <c r="AI6030" s="498"/>
      <c r="AK6030" s="498"/>
      <c r="AL6030" s="498"/>
      <c r="AM6030" s="498"/>
      <c r="AN6030" s="498"/>
      <c r="AO6030" s="498"/>
      <c r="AP6030" s="498"/>
      <c r="AQ6030" s="498"/>
      <c r="AR6030" s="498"/>
      <c r="AS6030" s="498"/>
      <c r="AT6030" s="498"/>
      <c r="AU6030" s="498"/>
      <c r="AV6030" s="498"/>
      <c r="AW6030" s="498"/>
      <c r="AX6030" s="498"/>
      <c r="AY6030" s="498"/>
      <c r="AZ6030" s="498"/>
      <c r="BA6030" s="498"/>
    </row>
    <row r="6031" spans="1:53" s="499" customFormat="1" x14ac:dyDescent="0.25">
      <c r="A6031" s="500"/>
      <c r="B6031" s="501"/>
      <c r="C6031" s="502"/>
      <c r="D6031" s="497"/>
      <c r="E6031" s="497"/>
      <c r="F6031" s="502"/>
      <c r="G6031" s="497"/>
      <c r="H6031" s="497"/>
      <c r="I6031" s="497"/>
      <c r="J6031" s="497"/>
      <c r="K6031" s="500"/>
      <c r="L6031" s="497"/>
      <c r="M6031"/>
      <c r="N6031" s="498"/>
      <c r="O6031" s="498"/>
      <c r="P6031" s="498"/>
      <c r="Q6031" s="498"/>
      <c r="R6031" s="498"/>
      <c r="T6031" s="498"/>
      <c r="U6031" s="498"/>
      <c r="V6031" s="498"/>
      <c r="W6031" s="498"/>
      <c r="X6031" s="498"/>
      <c r="Y6031" s="498"/>
      <c r="Z6031" s="498"/>
      <c r="AA6031" s="498"/>
      <c r="AB6031" s="498"/>
      <c r="AC6031" s="498"/>
      <c r="AD6031" s="498"/>
      <c r="AE6031" s="498"/>
      <c r="AF6031" s="498"/>
      <c r="AG6031" s="498"/>
      <c r="AH6031" s="498"/>
      <c r="AI6031" s="498"/>
      <c r="AK6031" s="498"/>
      <c r="AL6031" s="498"/>
      <c r="AM6031" s="498"/>
      <c r="AN6031" s="498"/>
      <c r="AO6031" s="498"/>
      <c r="AP6031" s="498"/>
      <c r="AQ6031" s="498"/>
      <c r="AR6031" s="498"/>
      <c r="AS6031" s="498"/>
      <c r="AT6031" s="498"/>
      <c r="AU6031" s="498"/>
      <c r="AV6031" s="498"/>
      <c r="AW6031" s="498"/>
      <c r="AX6031" s="498"/>
      <c r="AY6031" s="498"/>
      <c r="AZ6031" s="498"/>
      <c r="BA6031" s="498"/>
    </row>
    <row r="6032" spans="1:53" s="499" customFormat="1" x14ac:dyDescent="0.25">
      <c r="A6032" s="500"/>
      <c r="B6032" s="501"/>
      <c r="C6032" s="502"/>
      <c r="D6032" s="497"/>
      <c r="E6032" s="497"/>
      <c r="F6032" s="502"/>
      <c r="G6032" s="497"/>
      <c r="H6032" s="497"/>
      <c r="I6032" s="497"/>
      <c r="J6032" s="497"/>
      <c r="K6032" s="500"/>
      <c r="L6032" s="497"/>
      <c r="M6032"/>
      <c r="N6032" s="498"/>
      <c r="O6032" s="498"/>
      <c r="P6032" s="498"/>
      <c r="Q6032" s="498"/>
      <c r="R6032" s="498"/>
      <c r="T6032" s="498"/>
      <c r="U6032" s="498"/>
      <c r="V6032" s="498"/>
      <c r="W6032" s="498"/>
      <c r="X6032" s="498"/>
      <c r="Y6032" s="498"/>
      <c r="Z6032" s="498"/>
      <c r="AA6032" s="498"/>
      <c r="AB6032" s="498"/>
      <c r="AC6032" s="498"/>
      <c r="AD6032" s="498"/>
      <c r="AE6032" s="498"/>
      <c r="AF6032" s="498"/>
      <c r="AG6032" s="498"/>
      <c r="AH6032" s="498"/>
      <c r="AI6032" s="498"/>
      <c r="AK6032" s="498"/>
      <c r="AL6032" s="498"/>
      <c r="AM6032" s="498"/>
      <c r="AN6032" s="498"/>
      <c r="AO6032" s="498"/>
      <c r="AP6032" s="498"/>
      <c r="AQ6032" s="498"/>
      <c r="AR6032" s="498"/>
      <c r="AS6032" s="498"/>
      <c r="AT6032" s="498"/>
      <c r="AU6032" s="498"/>
      <c r="AV6032" s="498"/>
      <c r="AW6032" s="498"/>
      <c r="AX6032" s="498"/>
      <c r="AY6032" s="498"/>
      <c r="AZ6032" s="498"/>
      <c r="BA6032" s="498"/>
    </row>
    <row r="6033" spans="1:53" s="499" customFormat="1" x14ac:dyDescent="0.25">
      <c r="A6033" s="500"/>
      <c r="B6033" s="501"/>
      <c r="C6033" s="502"/>
      <c r="D6033" s="497"/>
      <c r="E6033" s="497"/>
      <c r="F6033" s="502"/>
      <c r="G6033" s="497"/>
      <c r="H6033" s="497"/>
      <c r="I6033" s="497"/>
      <c r="J6033" s="497"/>
      <c r="K6033" s="500"/>
      <c r="L6033" s="497"/>
      <c r="M6033"/>
      <c r="N6033" s="498"/>
      <c r="O6033" s="498"/>
      <c r="P6033" s="498"/>
      <c r="Q6033" s="498"/>
      <c r="R6033" s="498"/>
      <c r="T6033" s="498"/>
      <c r="U6033" s="498"/>
      <c r="V6033" s="498"/>
      <c r="W6033" s="498"/>
      <c r="X6033" s="498"/>
      <c r="Y6033" s="498"/>
      <c r="Z6033" s="498"/>
      <c r="AA6033" s="498"/>
      <c r="AB6033" s="498"/>
      <c r="AC6033" s="498"/>
      <c r="AD6033" s="498"/>
      <c r="AE6033" s="498"/>
      <c r="AF6033" s="498"/>
      <c r="AG6033" s="498"/>
      <c r="AH6033" s="498"/>
      <c r="AI6033" s="498"/>
      <c r="AK6033" s="498"/>
      <c r="AL6033" s="498"/>
      <c r="AM6033" s="498"/>
      <c r="AN6033" s="498"/>
      <c r="AO6033" s="498"/>
      <c r="AP6033" s="498"/>
      <c r="AQ6033" s="498"/>
      <c r="AR6033" s="498"/>
      <c r="AS6033" s="498"/>
      <c r="AT6033" s="498"/>
      <c r="AU6033" s="498"/>
      <c r="AV6033" s="498"/>
      <c r="AW6033" s="498"/>
      <c r="AX6033" s="498"/>
      <c r="AY6033" s="498"/>
      <c r="AZ6033" s="498"/>
      <c r="BA6033" s="498"/>
    </row>
    <row r="6034" spans="1:53" s="499" customFormat="1" x14ac:dyDescent="0.25">
      <c r="A6034" s="500"/>
      <c r="B6034" s="501"/>
      <c r="C6034" s="502"/>
      <c r="D6034" s="497"/>
      <c r="E6034" s="497"/>
      <c r="F6034" s="502"/>
      <c r="G6034" s="497"/>
      <c r="H6034" s="497"/>
      <c r="I6034" s="497"/>
      <c r="J6034" s="497"/>
      <c r="K6034" s="500"/>
      <c r="L6034" s="497"/>
      <c r="M6034"/>
      <c r="N6034" s="498"/>
      <c r="O6034" s="498"/>
      <c r="P6034" s="498"/>
      <c r="Q6034" s="498"/>
      <c r="R6034" s="498"/>
      <c r="T6034" s="498"/>
      <c r="U6034" s="498"/>
      <c r="V6034" s="498"/>
      <c r="W6034" s="498"/>
      <c r="X6034" s="498"/>
      <c r="Y6034" s="498"/>
      <c r="Z6034" s="498"/>
      <c r="AA6034" s="498"/>
      <c r="AB6034" s="498"/>
      <c r="AC6034" s="498"/>
      <c r="AD6034" s="498"/>
      <c r="AE6034" s="498"/>
      <c r="AF6034" s="498"/>
      <c r="AG6034" s="498"/>
      <c r="AH6034" s="498"/>
      <c r="AI6034" s="498"/>
      <c r="AK6034" s="498"/>
      <c r="AL6034" s="498"/>
      <c r="AM6034" s="498"/>
      <c r="AN6034" s="498"/>
      <c r="AO6034" s="498"/>
      <c r="AP6034" s="498"/>
      <c r="AQ6034" s="498"/>
      <c r="AR6034" s="498"/>
      <c r="AS6034" s="498"/>
      <c r="AT6034" s="498"/>
      <c r="AU6034" s="498"/>
      <c r="AV6034" s="498"/>
      <c r="AW6034" s="498"/>
      <c r="AX6034" s="498"/>
      <c r="AY6034" s="498"/>
      <c r="AZ6034" s="498"/>
      <c r="BA6034" s="498"/>
    </row>
    <row r="6035" spans="1:53" s="499" customFormat="1" x14ac:dyDescent="0.25">
      <c r="A6035" s="500"/>
      <c r="B6035" s="501"/>
      <c r="C6035" s="502"/>
      <c r="D6035" s="497"/>
      <c r="E6035" s="497"/>
      <c r="F6035" s="502"/>
      <c r="G6035" s="497"/>
      <c r="H6035" s="497"/>
      <c r="I6035" s="497"/>
      <c r="J6035" s="497"/>
      <c r="K6035" s="500"/>
      <c r="L6035" s="497"/>
      <c r="M6035"/>
      <c r="N6035" s="498"/>
      <c r="O6035" s="498"/>
      <c r="P6035" s="498"/>
      <c r="Q6035" s="498"/>
      <c r="R6035" s="498"/>
      <c r="T6035" s="498"/>
      <c r="U6035" s="498"/>
      <c r="V6035" s="498"/>
      <c r="W6035" s="498"/>
      <c r="X6035" s="498"/>
      <c r="Y6035" s="498"/>
      <c r="Z6035" s="498"/>
      <c r="AA6035" s="498"/>
      <c r="AB6035" s="498"/>
      <c r="AC6035" s="498"/>
      <c r="AD6035" s="498"/>
      <c r="AE6035" s="498"/>
      <c r="AF6035" s="498"/>
      <c r="AG6035" s="498"/>
      <c r="AH6035" s="498"/>
      <c r="AI6035" s="498"/>
      <c r="AK6035" s="498"/>
      <c r="AL6035" s="498"/>
      <c r="AM6035" s="498"/>
      <c r="AN6035" s="498"/>
      <c r="AO6035" s="498"/>
      <c r="AP6035" s="498"/>
      <c r="AQ6035" s="498"/>
      <c r="AR6035" s="498"/>
      <c r="AS6035" s="498"/>
      <c r="AT6035" s="498"/>
      <c r="AU6035" s="498"/>
      <c r="AV6035" s="498"/>
      <c r="AW6035" s="498"/>
      <c r="AX6035" s="498"/>
      <c r="AY6035" s="498"/>
      <c r="AZ6035" s="498"/>
      <c r="BA6035" s="498"/>
    </row>
    <row r="6036" spans="1:53" s="499" customFormat="1" x14ac:dyDescent="0.25">
      <c r="A6036" s="500"/>
      <c r="B6036" s="501"/>
      <c r="C6036" s="502"/>
      <c r="D6036" s="497"/>
      <c r="E6036" s="497"/>
      <c r="F6036" s="502"/>
      <c r="G6036" s="497"/>
      <c r="H6036" s="497"/>
      <c r="I6036" s="497"/>
      <c r="J6036" s="497"/>
      <c r="K6036" s="500"/>
      <c r="L6036" s="497"/>
      <c r="M6036"/>
      <c r="N6036" s="498"/>
      <c r="O6036" s="498"/>
      <c r="P6036" s="498"/>
      <c r="Q6036" s="498"/>
      <c r="R6036" s="498"/>
      <c r="T6036" s="498"/>
      <c r="U6036" s="498"/>
      <c r="V6036" s="498"/>
      <c r="W6036" s="498"/>
      <c r="X6036" s="498"/>
      <c r="Y6036" s="498"/>
      <c r="Z6036" s="498"/>
      <c r="AA6036" s="498"/>
      <c r="AB6036" s="498"/>
      <c r="AC6036" s="498"/>
      <c r="AD6036" s="498"/>
      <c r="AE6036" s="498"/>
      <c r="AF6036" s="498"/>
      <c r="AG6036" s="498"/>
      <c r="AH6036" s="498"/>
      <c r="AI6036" s="498"/>
      <c r="AK6036" s="498"/>
      <c r="AL6036" s="498"/>
      <c r="AM6036" s="498"/>
      <c r="AN6036" s="498"/>
      <c r="AO6036" s="498"/>
      <c r="AP6036" s="498"/>
      <c r="AQ6036" s="498"/>
      <c r="AR6036" s="498"/>
      <c r="AS6036" s="498"/>
      <c r="AT6036" s="498"/>
      <c r="AU6036" s="498"/>
      <c r="AV6036" s="498"/>
      <c r="AW6036" s="498"/>
      <c r="AX6036" s="498"/>
      <c r="AY6036" s="498"/>
      <c r="AZ6036" s="498"/>
      <c r="BA6036" s="498"/>
    </row>
    <row r="6037" spans="1:53" s="499" customFormat="1" x14ac:dyDescent="0.25">
      <c r="A6037" s="500"/>
      <c r="B6037" s="501"/>
      <c r="C6037" s="502"/>
      <c r="D6037" s="497"/>
      <c r="E6037" s="497"/>
      <c r="F6037" s="502"/>
      <c r="G6037" s="497"/>
      <c r="H6037" s="497"/>
      <c r="I6037" s="497"/>
      <c r="J6037" s="497"/>
      <c r="K6037" s="500"/>
      <c r="L6037" s="497"/>
      <c r="M6037"/>
      <c r="N6037" s="498"/>
      <c r="O6037" s="498"/>
      <c r="P6037" s="498"/>
      <c r="Q6037" s="498"/>
      <c r="R6037" s="498"/>
      <c r="T6037" s="498"/>
      <c r="U6037" s="498"/>
      <c r="V6037" s="498"/>
      <c r="W6037" s="498"/>
      <c r="X6037" s="498"/>
      <c r="Y6037" s="498"/>
      <c r="Z6037" s="498"/>
      <c r="AA6037" s="498"/>
      <c r="AB6037" s="498"/>
      <c r="AC6037" s="498"/>
      <c r="AD6037" s="498"/>
      <c r="AE6037" s="498"/>
      <c r="AF6037" s="498"/>
      <c r="AG6037" s="498"/>
      <c r="AH6037" s="498"/>
      <c r="AI6037" s="498"/>
      <c r="AK6037" s="498"/>
      <c r="AL6037" s="498"/>
      <c r="AM6037" s="498"/>
      <c r="AN6037" s="498"/>
      <c r="AO6037" s="498"/>
      <c r="AP6037" s="498"/>
      <c r="AQ6037" s="498"/>
      <c r="AR6037" s="498"/>
      <c r="AS6037" s="498"/>
      <c r="AT6037" s="498"/>
      <c r="AU6037" s="498"/>
      <c r="AV6037" s="498"/>
      <c r="AW6037" s="498"/>
      <c r="AX6037" s="498"/>
      <c r="AY6037" s="498"/>
      <c r="AZ6037" s="498"/>
      <c r="BA6037" s="498"/>
    </row>
    <row r="6038" spans="1:53" s="499" customFormat="1" x14ac:dyDescent="0.25">
      <c r="A6038" s="500"/>
      <c r="B6038" s="501"/>
      <c r="C6038" s="502"/>
      <c r="D6038" s="497"/>
      <c r="E6038" s="497"/>
      <c r="F6038" s="502"/>
      <c r="G6038" s="497"/>
      <c r="H6038" s="497"/>
      <c r="I6038" s="497"/>
      <c r="J6038" s="497"/>
      <c r="K6038" s="500"/>
      <c r="L6038" s="497"/>
      <c r="M6038"/>
      <c r="N6038" s="498"/>
      <c r="O6038" s="498"/>
      <c r="P6038" s="498"/>
      <c r="Q6038" s="498"/>
      <c r="R6038" s="498"/>
      <c r="T6038" s="498"/>
      <c r="U6038" s="498"/>
      <c r="V6038" s="498"/>
      <c r="W6038" s="498"/>
      <c r="X6038" s="498"/>
      <c r="Y6038" s="498"/>
      <c r="Z6038" s="498"/>
      <c r="AA6038" s="498"/>
      <c r="AB6038" s="498"/>
      <c r="AC6038" s="498"/>
      <c r="AD6038" s="498"/>
      <c r="AE6038" s="498"/>
      <c r="AF6038" s="498"/>
      <c r="AG6038" s="498"/>
      <c r="AH6038" s="498"/>
      <c r="AI6038" s="498"/>
      <c r="AK6038" s="498"/>
      <c r="AL6038" s="498"/>
      <c r="AM6038" s="498"/>
      <c r="AN6038" s="498"/>
      <c r="AO6038" s="498"/>
      <c r="AP6038" s="498"/>
      <c r="AQ6038" s="498"/>
      <c r="AR6038" s="498"/>
      <c r="AS6038" s="498"/>
      <c r="AT6038" s="498"/>
      <c r="AU6038" s="498"/>
      <c r="AV6038" s="498"/>
      <c r="AW6038" s="498"/>
      <c r="AX6038" s="498"/>
      <c r="AY6038" s="498"/>
      <c r="AZ6038" s="498"/>
      <c r="BA6038" s="498"/>
    </row>
    <row r="6039" spans="1:53" s="499" customFormat="1" x14ac:dyDescent="0.25">
      <c r="A6039" s="500"/>
      <c r="B6039" s="501"/>
      <c r="C6039" s="502"/>
      <c r="D6039" s="497"/>
      <c r="E6039" s="497"/>
      <c r="F6039" s="502"/>
      <c r="G6039" s="497"/>
      <c r="H6039" s="497"/>
      <c r="I6039" s="497"/>
      <c r="J6039" s="497"/>
      <c r="K6039" s="500"/>
      <c r="L6039" s="497"/>
      <c r="M6039"/>
      <c r="N6039" s="498"/>
      <c r="O6039" s="498"/>
      <c r="P6039" s="498"/>
      <c r="Q6039" s="498"/>
      <c r="R6039" s="498"/>
      <c r="T6039" s="498"/>
      <c r="U6039" s="498"/>
      <c r="V6039" s="498"/>
      <c r="W6039" s="498"/>
      <c r="X6039" s="498"/>
      <c r="Y6039" s="498"/>
      <c r="Z6039" s="498"/>
      <c r="AA6039" s="498"/>
      <c r="AB6039" s="498"/>
      <c r="AC6039" s="498"/>
      <c r="AD6039" s="498"/>
      <c r="AE6039" s="498"/>
      <c r="AF6039" s="498"/>
      <c r="AG6039" s="498"/>
      <c r="AH6039" s="498"/>
      <c r="AI6039" s="498"/>
      <c r="AK6039" s="498"/>
      <c r="AL6039" s="498"/>
      <c r="AM6039" s="498"/>
      <c r="AN6039" s="498"/>
      <c r="AO6039" s="498"/>
      <c r="AP6039" s="498"/>
      <c r="AQ6039" s="498"/>
      <c r="AR6039" s="498"/>
      <c r="AS6039" s="498"/>
      <c r="AT6039" s="498"/>
      <c r="AU6039" s="498"/>
      <c r="AV6039" s="498"/>
      <c r="AW6039" s="498"/>
      <c r="AX6039" s="498"/>
      <c r="AY6039" s="498"/>
      <c r="AZ6039" s="498"/>
      <c r="BA6039" s="498"/>
    </row>
    <row r="6040" spans="1:53" s="499" customFormat="1" x14ac:dyDescent="0.25">
      <c r="A6040" s="500"/>
      <c r="B6040" s="501"/>
      <c r="C6040" s="502"/>
      <c r="D6040" s="497"/>
      <c r="E6040" s="497"/>
      <c r="F6040" s="502"/>
      <c r="G6040" s="497"/>
      <c r="H6040" s="497"/>
      <c r="I6040" s="497"/>
      <c r="J6040" s="497"/>
      <c r="K6040" s="500"/>
      <c r="L6040" s="497"/>
      <c r="M6040"/>
      <c r="N6040" s="498"/>
      <c r="O6040" s="498"/>
      <c r="P6040" s="498"/>
      <c r="Q6040" s="498"/>
      <c r="R6040" s="498"/>
      <c r="T6040" s="498"/>
      <c r="U6040" s="498"/>
      <c r="V6040" s="498"/>
      <c r="W6040" s="498"/>
      <c r="X6040" s="498"/>
      <c r="Y6040" s="498"/>
      <c r="Z6040" s="498"/>
      <c r="AA6040" s="498"/>
      <c r="AB6040" s="498"/>
      <c r="AC6040" s="498"/>
      <c r="AD6040" s="498"/>
      <c r="AE6040" s="498"/>
      <c r="AF6040" s="498"/>
      <c r="AG6040" s="498"/>
      <c r="AH6040" s="498"/>
      <c r="AI6040" s="498"/>
      <c r="AK6040" s="498"/>
      <c r="AL6040" s="498"/>
      <c r="AM6040" s="498"/>
      <c r="AN6040" s="498"/>
      <c r="AO6040" s="498"/>
      <c r="AP6040" s="498"/>
      <c r="AQ6040" s="498"/>
      <c r="AR6040" s="498"/>
      <c r="AS6040" s="498"/>
      <c r="AT6040" s="498"/>
      <c r="AU6040" s="498"/>
      <c r="AV6040" s="498"/>
      <c r="AW6040" s="498"/>
      <c r="AX6040" s="498"/>
      <c r="AY6040" s="498"/>
      <c r="AZ6040" s="498"/>
      <c r="BA6040" s="498"/>
    </row>
    <row r="6041" spans="1:53" s="499" customFormat="1" x14ac:dyDescent="0.25">
      <c r="A6041" s="500"/>
      <c r="B6041" s="501"/>
      <c r="C6041" s="502"/>
      <c r="D6041" s="497"/>
      <c r="E6041" s="497"/>
      <c r="F6041" s="502"/>
      <c r="G6041" s="497"/>
      <c r="H6041" s="497"/>
      <c r="I6041" s="497"/>
      <c r="J6041" s="497"/>
      <c r="K6041" s="500"/>
      <c r="L6041" s="497"/>
      <c r="M6041"/>
      <c r="N6041" s="498"/>
      <c r="O6041" s="498"/>
      <c r="P6041" s="498"/>
      <c r="Q6041" s="498"/>
      <c r="R6041" s="498"/>
      <c r="T6041" s="498"/>
      <c r="U6041" s="498"/>
      <c r="V6041" s="498"/>
      <c r="W6041" s="498"/>
      <c r="X6041" s="498"/>
      <c r="Y6041" s="498"/>
      <c r="Z6041" s="498"/>
      <c r="AA6041" s="498"/>
      <c r="AB6041" s="498"/>
      <c r="AC6041" s="498"/>
      <c r="AD6041" s="498"/>
      <c r="AE6041" s="498"/>
      <c r="AF6041" s="498"/>
      <c r="AG6041" s="498"/>
      <c r="AH6041" s="498"/>
      <c r="AI6041" s="498"/>
      <c r="AK6041" s="498"/>
      <c r="AL6041" s="498"/>
      <c r="AM6041" s="498"/>
      <c r="AN6041" s="498"/>
      <c r="AO6041" s="498"/>
      <c r="AP6041" s="498"/>
      <c r="AQ6041" s="498"/>
      <c r="AR6041" s="498"/>
      <c r="AS6041" s="498"/>
      <c r="AT6041" s="498"/>
      <c r="AU6041" s="498"/>
      <c r="AV6041" s="498"/>
      <c r="AW6041" s="498"/>
      <c r="AX6041" s="498"/>
      <c r="AY6041" s="498"/>
      <c r="AZ6041" s="498"/>
      <c r="BA6041" s="498"/>
    </row>
    <row r="6042" spans="1:53" s="499" customFormat="1" x14ac:dyDescent="0.25">
      <c r="A6042" s="500"/>
      <c r="B6042" s="501"/>
      <c r="C6042" s="502"/>
      <c r="D6042" s="497"/>
      <c r="E6042" s="497"/>
      <c r="F6042" s="502"/>
      <c r="G6042" s="497"/>
      <c r="H6042" s="497"/>
      <c r="I6042" s="497"/>
      <c r="J6042" s="497"/>
      <c r="K6042" s="500"/>
      <c r="L6042" s="497"/>
      <c r="M6042"/>
      <c r="N6042" s="498"/>
      <c r="O6042" s="498"/>
      <c r="P6042" s="498"/>
      <c r="Q6042" s="498"/>
      <c r="R6042" s="498"/>
      <c r="T6042" s="498"/>
      <c r="U6042" s="498"/>
      <c r="V6042" s="498"/>
      <c r="W6042" s="498"/>
      <c r="X6042" s="498"/>
      <c r="Y6042" s="498"/>
      <c r="Z6042" s="498"/>
      <c r="AA6042" s="498"/>
      <c r="AB6042" s="498"/>
      <c r="AC6042" s="498"/>
      <c r="AD6042" s="498"/>
      <c r="AE6042" s="498"/>
      <c r="AF6042" s="498"/>
      <c r="AG6042" s="498"/>
      <c r="AH6042" s="498"/>
      <c r="AI6042" s="498"/>
      <c r="AK6042" s="498"/>
      <c r="AL6042" s="498"/>
      <c r="AM6042" s="498"/>
      <c r="AN6042" s="498"/>
      <c r="AO6042" s="498"/>
      <c r="AP6042" s="498"/>
      <c r="AQ6042" s="498"/>
      <c r="AR6042" s="498"/>
      <c r="AS6042" s="498"/>
      <c r="AT6042" s="498"/>
      <c r="AU6042" s="498"/>
      <c r="AV6042" s="498"/>
      <c r="AW6042" s="498"/>
      <c r="AX6042" s="498"/>
      <c r="AY6042" s="498"/>
      <c r="AZ6042" s="498"/>
      <c r="BA6042" s="498"/>
    </row>
    <row r="6043" spans="1:53" s="499" customFormat="1" x14ac:dyDescent="0.25">
      <c r="A6043" s="500"/>
      <c r="B6043" s="501"/>
      <c r="C6043" s="502"/>
      <c r="D6043" s="497"/>
      <c r="E6043" s="497"/>
      <c r="F6043" s="502"/>
      <c r="G6043" s="497"/>
      <c r="H6043" s="497"/>
      <c r="I6043" s="497"/>
      <c r="J6043" s="497"/>
      <c r="K6043" s="500"/>
      <c r="L6043" s="497"/>
      <c r="M6043"/>
      <c r="N6043" s="498"/>
      <c r="O6043" s="498"/>
      <c r="P6043" s="498"/>
      <c r="Q6043" s="498"/>
      <c r="R6043" s="498"/>
      <c r="T6043" s="498"/>
      <c r="U6043" s="498"/>
      <c r="V6043" s="498"/>
      <c r="W6043" s="498"/>
      <c r="X6043" s="498"/>
      <c r="Y6043" s="498"/>
      <c r="Z6043" s="498"/>
      <c r="AA6043" s="498"/>
      <c r="AB6043" s="498"/>
      <c r="AC6043" s="498"/>
      <c r="AD6043" s="498"/>
      <c r="AE6043" s="498"/>
      <c r="AF6043" s="498"/>
      <c r="AG6043" s="498"/>
      <c r="AH6043" s="498"/>
      <c r="AI6043" s="498"/>
      <c r="AK6043" s="498"/>
      <c r="AL6043" s="498"/>
      <c r="AM6043" s="498"/>
      <c r="AN6043" s="498"/>
      <c r="AO6043" s="498"/>
      <c r="AP6043" s="498"/>
      <c r="AQ6043" s="498"/>
      <c r="AR6043" s="498"/>
      <c r="AS6043" s="498"/>
      <c r="AT6043" s="498"/>
      <c r="AU6043" s="498"/>
      <c r="AV6043" s="498"/>
      <c r="AW6043" s="498"/>
      <c r="AX6043" s="498"/>
      <c r="AY6043" s="498"/>
      <c r="AZ6043" s="498"/>
      <c r="BA6043" s="498"/>
    </row>
    <row r="6044" spans="1:53" s="499" customFormat="1" x14ac:dyDescent="0.25">
      <c r="A6044" s="500"/>
      <c r="B6044" s="501"/>
      <c r="C6044" s="502"/>
      <c r="D6044" s="497"/>
      <c r="E6044" s="497"/>
      <c r="F6044" s="502"/>
      <c r="G6044" s="497"/>
      <c r="H6044" s="497"/>
      <c r="I6044" s="497"/>
      <c r="J6044" s="497"/>
      <c r="K6044" s="500"/>
      <c r="L6044" s="497"/>
      <c r="M6044"/>
      <c r="N6044" s="498"/>
      <c r="O6044" s="498"/>
      <c r="P6044" s="498"/>
      <c r="Q6044" s="498"/>
      <c r="R6044" s="498"/>
      <c r="T6044" s="498"/>
      <c r="U6044" s="498"/>
      <c r="V6044" s="498"/>
      <c r="W6044" s="498"/>
      <c r="X6044" s="498"/>
      <c r="Y6044" s="498"/>
      <c r="Z6044" s="498"/>
      <c r="AA6044" s="498"/>
      <c r="AB6044" s="498"/>
      <c r="AC6044" s="498"/>
      <c r="AD6044" s="498"/>
      <c r="AE6044" s="498"/>
      <c r="AF6044" s="498"/>
      <c r="AG6044" s="498"/>
      <c r="AH6044" s="498"/>
      <c r="AI6044" s="498"/>
      <c r="AK6044" s="498"/>
      <c r="AL6044" s="498"/>
      <c r="AM6044" s="498"/>
      <c r="AN6044" s="498"/>
      <c r="AO6044" s="498"/>
      <c r="AP6044" s="498"/>
      <c r="AQ6044" s="498"/>
      <c r="AR6044" s="498"/>
      <c r="AS6044" s="498"/>
      <c r="AT6044" s="498"/>
      <c r="AU6044" s="498"/>
      <c r="AV6044" s="498"/>
      <c r="AW6044" s="498"/>
      <c r="AX6044" s="498"/>
      <c r="AY6044" s="498"/>
      <c r="AZ6044" s="498"/>
      <c r="BA6044" s="498"/>
    </row>
    <row r="6045" spans="1:53" s="499" customFormat="1" x14ac:dyDescent="0.25">
      <c r="A6045" s="500"/>
      <c r="B6045" s="501"/>
      <c r="C6045" s="502"/>
      <c r="D6045" s="497"/>
      <c r="E6045" s="497"/>
      <c r="F6045" s="502"/>
      <c r="G6045" s="497"/>
      <c r="H6045" s="497"/>
      <c r="I6045" s="497"/>
      <c r="J6045" s="497"/>
      <c r="K6045" s="500"/>
      <c r="L6045" s="497"/>
      <c r="M6045"/>
      <c r="N6045" s="498"/>
      <c r="O6045" s="498"/>
      <c r="P6045" s="498"/>
      <c r="Q6045" s="498"/>
      <c r="R6045" s="498"/>
      <c r="T6045" s="498"/>
      <c r="U6045" s="498"/>
      <c r="V6045" s="498"/>
      <c r="W6045" s="498"/>
      <c r="X6045" s="498"/>
      <c r="Y6045" s="498"/>
      <c r="Z6045" s="498"/>
      <c r="AA6045" s="498"/>
      <c r="AB6045" s="498"/>
      <c r="AC6045" s="498"/>
      <c r="AD6045" s="498"/>
      <c r="AE6045" s="498"/>
      <c r="AF6045" s="498"/>
      <c r="AG6045" s="498"/>
      <c r="AH6045" s="498"/>
      <c r="AI6045" s="498"/>
      <c r="AK6045" s="498"/>
      <c r="AL6045" s="498"/>
      <c r="AM6045" s="498"/>
      <c r="AN6045" s="498"/>
      <c r="AO6045" s="498"/>
      <c r="AP6045" s="498"/>
      <c r="AQ6045" s="498"/>
      <c r="AR6045" s="498"/>
      <c r="AS6045" s="498"/>
      <c r="AT6045" s="498"/>
      <c r="AU6045" s="498"/>
      <c r="AV6045" s="498"/>
      <c r="AW6045" s="498"/>
      <c r="AX6045" s="498"/>
      <c r="AY6045" s="498"/>
      <c r="AZ6045" s="498"/>
      <c r="BA6045" s="498"/>
    </row>
    <row r="6046" spans="1:53" s="499" customFormat="1" x14ac:dyDescent="0.25">
      <c r="A6046" s="500"/>
      <c r="B6046" s="501"/>
      <c r="C6046" s="502"/>
      <c r="D6046" s="497"/>
      <c r="E6046" s="497"/>
      <c r="F6046" s="502"/>
      <c r="G6046" s="497"/>
      <c r="H6046" s="497"/>
      <c r="I6046" s="497"/>
      <c r="J6046" s="497"/>
      <c r="K6046" s="500"/>
      <c r="L6046" s="497"/>
      <c r="M6046"/>
      <c r="N6046" s="498"/>
      <c r="O6046" s="498"/>
      <c r="P6046" s="498"/>
      <c r="Q6046" s="498"/>
      <c r="R6046" s="498"/>
      <c r="T6046" s="498"/>
      <c r="U6046" s="498"/>
      <c r="V6046" s="498"/>
      <c r="W6046" s="498"/>
      <c r="X6046" s="498"/>
      <c r="Y6046" s="498"/>
      <c r="Z6046" s="498"/>
      <c r="AA6046" s="498"/>
      <c r="AB6046" s="498"/>
      <c r="AC6046" s="498"/>
      <c r="AD6046" s="498"/>
      <c r="AE6046" s="498"/>
      <c r="AF6046" s="498"/>
      <c r="AG6046" s="498"/>
      <c r="AH6046" s="498"/>
      <c r="AI6046" s="498"/>
      <c r="AK6046" s="498"/>
      <c r="AL6046" s="498"/>
      <c r="AM6046" s="498"/>
      <c r="AN6046" s="498"/>
      <c r="AO6046" s="498"/>
      <c r="AP6046" s="498"/>
      <c r="AQ6046" s="498"/>
      <c r="AR6046" s="498"/>
      <c r="AS6046" s="498"/>
      <c r="AT6046" s="498"/>
      <c r="AU6046" s="498"/>
      <c r="AV6046" s="498"/>
      <c r="AW6046" s="498"/>
      <c r="AX6046" s="498"/>
      <c r="AY6046" s="498"/>
      <c r="AZ6046" s="498"/>
      <c r="BA6046" s="498"/>
    </row>
    <row r="6047" spans="1:53" s="499" customFormat="1" x14ac:dyDescent="0.25">
      <c r="A6047" s="500"/>
      <c r="B6047" s="501"/>
      <c r="C6047" s="502"/>
      <c r="D6047" s="497"/>
      <c r="E6047" s="497"/>
      <c r="F6047" s="502"/>
      <c r="G6047" s="497"/>
      <c r="H6047" s="497"/>
      <c r="I6047" s="497"/>
      <c r="J6047" s="497"/>
      <c r="K6047" s="500"/>
      <c r="L6047" s="497"/>
      <c r="M6047"/>
      <c r="N6047" s="498"/>
      <c r="O6047" s="498"/>
      <c r="P6047" s="498"/>
      <c r="Q6047" s="498"/>
      <c r="R6047" s="498"/>
      <c r="T6047" s="498"/>
      <c r="U6047" s="498"/>
      <c r="V6047" s="498"/>
      <c r="W6047" s="498"/>
      <c r="X6047" s="498"/>
      <c r="Y6047" s="498"/>
      <c r="Z6047" s="498"/>
      <c r="AA6047" s="498"/>
      <c r="AB6047" s="498"/>
      <c r="AC6047" s="498"/>
      <c r="AD6047" s="498"/>
      <c r="AE6047" s="498"/>
      <c r="AF6047" s="498"/>
      <c r="AG6047" s="498"/>
      <c r="AH6047" s="498"/>
      <c r="AI6047" s="498"/>
      <c r="AK6047" s="498"/>
      <c r="AL6047" s="498"/>
      <c r="AM6047" s="498"/>
      <c r="AN6047" s="498"/>
      <c r="AO6047" s="498"/>
      <c r="AP6047" s="498"/>
      <c r="AQ6047" s="498"/>
      <c r="AR6047" s="498"/>
      <c r="AS6047" s="498"/>
      <c r="AT6047" s="498"/>
      <c r="AU6047" s="498"/>
      <c r="AV6047" s="498"/>
      <c r="AW6047" s="498"/>
      <c r="AX6047" s="498"/>
      <c r="AY6047" s="498"/>
      <c r="AZ6047" s="498"/>
      <c r="BA6047" s="498"/>
    </row>
    <row r="6048" spans="1:53" s="499" customFormat="1" x14ac:dyDescent="0.25">
      <c r="A6048" s="500"/>
      <c r="B6048" s="501"/>
      <c r="C6048" s="502"/>
      <c r="D6048" s="497"/>
      <c r="E6048" s="497"/>
      <c r="F6048" s="502"/>
      <c r="G6048" s="497"/>
      <c r="H6048" s="497"/>
      <c r="I6048" s="497"/>
      <c r="J6048" s="497"/>
      <c r="K6048" s="500"/>
      <c r="L6048" s="497"/>
      <c r="M6048"/>
      <c r="N6048" s="498"/>
      <c r="O6048" s="498"/>
      <c r="P6048" s="498"/>
      <c r="Q6048" s="498"/>
      <c r="R6048" s="498"/>
      <c r="T6048" s="498"/>
      <c r="U6048" s="498"/>
      <c r="V6048" s="498"/>
      <c r="W6048" s="498"/>
      <c r="X6048" s="498"/>
      <c r="Y6048" s="498"/>
      <c r="Z6048" s="498"/>
      <c r="AA6048" s="498"/>
      <c r="AB6048" s="498"/>
      <c r="AC6048" s="498"/>
      <c r="AD6048" s="498"/>
      <c r="AE6048" s="498"/>
      <c r="AF6048" s="498"/>
      <c r="AG6048" s="498"/>
      <c r="AH6048" s="498"/>
      <c r="AI6048" s="498"/>
      <c r="AK6048" s="498"/>
      <c r="AL6048" s="498"/>
      <c r="AM6048" s="498"/>
      <c r="AN6048" s="498"/>
      <c r="AO6048" s="498"/>
      <c r="AP6048" s="498"/>
      <c r="AQ6048" s="498"/>
      <c r="AR6048" s="498"/>
      <c r="AS6048" s="498"/>
      <c r="AT6048" s="498"/>
      <c r="AU6048" s="498"/>
      <c r="AV6048" s="498"/>
      <c r="AW6048" s="498"/>
      <c r="AX6048" s="498"/>
      <c r="AY6048" s="498"/>
      <c r="AZ6048" s="498"/>
      <c r="BA6048" s="498"/>
    </row>
    <row r="6049" spans="1:53" s="499" customFormat="1" x14ac:dyDescent="0.25">
      <c r="A6049" s="500"/>
      <c r="B6049" s="501"/>
      <c r="C6049" s="502"/>
      <c r="D6049" s="497"/>
      <c r="E6049" s="497"/>
      <c r="F6049" s="502"/>
      <c r="G6049" s="497"/>
      <c r="H6049" s="497"/>
      <c r="I6049" s="497"/>
      <c r="J6049" s="497"/>
      <c r="K6049" s="500"/>
      <c r="L6049" s="497"/>
      <c r="M6049"/>
      <c r="N6049" s="498"/>
      <c r="O6049" s="498"/>
      <c r="P6049" s="498"/>
      <c r="Q6049" s="498"/>
      <c r="R6049" s="498"/>
      <c r="T6049" s="498"/>
      <c r="U6049" s="498"/>
      <c r="V6049" s="498"/>
      <c r="W6049" s="498"/>
      <c r="X6049" s="498"/>
      <c r="Y6049" s="498"/>
      <c r="Z6049" s="498"/>
      <c r="AA6049" s="498"/>
      <c r="AB6049" s="498"/>
      <c r="AC6049" s="498"/>
      <c r="AD6049" s="498"/>
      <c r="AE6049" s="498"/>
      <c r="AF6049" s="498"/>
      <c r="AG6049" s="498"/>
      <c r="AH6049" s="498"/>
      <c r="AI6049" s="498"/>
      <c r="AK6049" s="498"/>
      <c r="AL6049" s="498"/>
      <c r="AM6049" s="498"/>
      <c r="AN6049" s="498"/>
      <c r="AO6049" s="498"/>
      <c r="AP6049" s="498"/>
      <c r="AQ6049" s="498"/>
      <c r="AR6049" s="498"/>
      <c r="AS6049" s="498"/>
      <c r="AT6049" s="498"/>
      <c r="AU6049" s="498"/>
      <c r="AV6049" s="498"/>
      <c r="AW6049" s="498"/>
      <c r="AX6049" s="498"/>
      <c r="AY6049" s="498"/>
      <c r="AZ6049" s="498"/>
      <c r="BA6049" s="498"/>
    </row>
    <row r="6050" spans="1:53" s="499" customFormat="1" x14ac:dyDescent="0.25">
      <c r="A6050" s="500"/>
      <c r="B6050" s="501"/>
      <c r="C6050" s="502"/>
      <c r="D6050" s="497"/>
      <c r="E6050" s="497"/>
      <c r="F6050" s="502"/>
      <c r="G6050" s="497"/>
      <c r="H6050" s="497"/>
      <c r="I6050" s="497"/>
      <c r="J6050" s="497"/>
      <c r="K6050" s="500"/>
      <c r="L6050" s="497"/>
      <c r="M6050"/>
      <c r="N6050" s="498"/>
      <c r="O6050" s="498"/>
      <c r="P6050" s="498"/>
      <c r="Q6050" s="498"/>
      <c r="R6050" s="498"/>
      <c r="T6050" s="498"/>
      <c r="U6050" s="498"/>
      <c r="V6050" s="498"/>
      <c r="W6050" s="498"/>
      <c r="X6050" s="498"/>
      <c r="Y6050" s="498"/>
      <c r="Z6050" s="498"/>
      <c r="AA6050" s="498"/>
      <c r="AB6050" s="498"/>
      <c r="AC6050" s="498"/>
      <c r="AD6050" s="498"/>
      <c r="AE6050" s="498"/>
      <c r="AF6050" s="498"/>
      <c r="AG6050" s="498"/>
      <c r="AH6050" s="498"/>
      <c r="AI6050" s="498"/>
      <c r="AK6050" s="498"/>
      <c r="AL6050" s="498"/>
      <c r="AM6050" s="498"/>
      <c r="AN6050" s="498"/>
      <c r="AO6050" s="498"/>
      <c r="AP6050" s="498"/>
      <c r="AQ6050" s="498"/>
      <c r="AR6050" s="498"/>
      <c r="AS6050" s="498"/>
      <c r="AT6050" s="498"/>
      <c r="AU6050" s="498"/>
      <c r="AV6050" s="498"/>
      <c r="AW6050" s="498"/>
      <c r="AX6050" s="498"/>
      <c r="AY6050" s="498"/>
      <c r="AZ6050" s="498"/>
      <c r="BA6050" s="498"/>
    </row>
    <row r="6051" spans="1:53" s="499" customFormat="1" x14ac:dyDescent="0.25">
      <c r="A6051" s="500"/>
      <c r="B6051" s="501"/>
      <c r="C6051" s="502"/>
      <c r="D6051" s="497"/>
      <c r="E6051" s="497"/>
      <c r="F6051" s="502"/>
      <c r="G6051" s="497"/>
      <c r="H6051" s="497"/>
      <c r="I6051" s="497"/>
      <c r="J6051" s="497"/>
      <c r="K6051" s="500"/>
      <c r="L6051" s="497"/>
      <c r="M6051"/>
      <c r="N6051" s="498"/>
      <c r="O6051" s="498"/>
      <c r="P6051" s="498"/>
      <c r="Q6051" s="498"/>
      <c r="R6051" s="498"/>
      <c r="T6051" s="498"/>
      <c r="U6051" s="498"/>
      <c r="V6051" s="498"/>
      <c r="W6051" s="498"/>
      <c r="X6051" s="498"/>
      <c r="Y6051" s="498"/>
      <c r="Z6051" s="498"/>
      <c r="AA6051" s="498"/>
      <c r="AB6051" s="498"/>
      <c r="AC6051" s="498"/>
      <c r="AD6051" s="498"/>
      <c r="AE6051" s="498"/>
      <c r="AF6051" s="498"/>
      <c r="AG6051" s="498"/>
      <c r="AH6051" s="498"/>
      <c r="AI6051" s="498"/>
      <c r="AK6051" s="498"/>
      <c r="AL6051" s="498"/>
      <c r="AM6051" s="498"/>
      <c r="AN6051" s="498"/>
      <c r="AO6051" s="498"/>
      <c r="AP6051" s="498"/>
      <c r="AQ6051" s="498"/>
      <c r="AR6051" s="498"/>
      <c r="AS6051" s="498"/>
      <c r="AT6051" s="498"/>
      <c r="AU6051" s="498"/>
      <c r="AV6051" s="498"/>
      <c r="AW6051" s="498"/>
      <c r="AX6051" s="498"/>
      <c r="AY6051" s="498"/>
      <c r="AZ6051" s="498"/>
      <c r="BA6051" s="498"/>
    </row>
    <row r="6052" spans="1:53" s="499" customFormat="1" x14ac:dyDescent="0.25">
      <c r="A6052" s="500"/>
      <c r="B6052" s="501"/>
      <c r="C6052" s="502"/>
      <c r="D6052" s="497"/>
      <c r="E6052" s="497"/>
      <c r="F6052" s="502"/>
      <c r="G6052" s="497"/>
      <c r="H6052" s="497"/>
      <c r="I6052" s="497"/>
      <c r="J6052" s="497"/>
      <c r="K6052" s="500"/>
      <c r="L6052" s="497"/>
      <c r="M6052"/>
      <c r="N6052" s="498"/>
      <c r="O6052" s="498"/>
      <c r="P6052" s="498"/>
      <c r="Q6052" s="498"/>
      <c r="R6052" s="498"/>
      <c r="T6052" s="498"/>
      <c r="U6052" s="498"/>
      <c r="V6052" s="498"/>
      <c r="W6052" s="498"/>
      <c r="X6052" s="498"/>
      <c r="Y6052" s="498"/>
      <c r="Z6052" s="498"/>
      <c r="AA6052" s="498"/>
      <c r="AB6052" s="498"/>
      <c r="AC6052" s="498"/>
      <c r="AD6052" s="498"/>
      <c r="AE6052" s="498"/>
      <c r="AF6052" s="498"/>
      <c r="AG6052" s="498"/>
      <c r="AH6052" s="498"/>
      <c r="AI6052" s="498"/>
      <c r="AK6052" s="498"/>
      <c r="AL6052" s="498"/>
      <c r="AM6052" s="498"/>
      <c r="AN6052" s="498"/>
      <c r="AO6052" s="498"/>
      <c r="AP6052" s="498"/>
      <c r="AQ6052" s="498"/>
      <c r="AR6052" s="498"/>
      <c r="AS6052" s="498"/>
      <c r="AT6052" s="498"/>
      <c r="AU6052" s="498"/>
      <c r="AV6052" s="498"/>
      <c r="AW6052" s="498"/>
      <c r="AX6052" s="498"/>
      <c r="AY6052" s="498"/>
      <c r="AZ6052" s="498"/>
      <c r="BA6052" s="498"/>
    </row>
    <row r="6053" spans="1:53" s="499" customFormat="1" x14ac:dyDescent="0.25">
      <c r="A6053" s="500"/>
      <c r="B6053" s="501"/>
      <c r="C6053" s="502"/>
      <c r="D6053" s="497"/>
      <c r="E6053" s="497"/>
      <c r="F6053" s="502"/>
      <c r="G6053" s="497"/>
      <c r="H6053" s="497"/>
      <c r="I6053" s="497"/>
      <c r="J6053" s="497"/>
      <c r="K6053" s="500"/>
      <c r="L6053" s="497"/>
      <c r="M6053"/>
      <c r="N6053" s="498"/>
      <c r="O6053" s="498"/>
      <c r="P6053" s="498"/>
      <c r="Q6053" s="498"/>
      <c r="R6053" s="498"/>
      <c r="T6053" s="498"/>
      <c r="U6053" s="498"/>
      <c r="V6053" s="498"/>
      <c r="W6053" s="498"/>
      <c r="X6053" s="498"/>
      <c r="Y6053" s="498"/>
      <c r="Z6053" s="498"/>
      <c r="AA6053" s="498"/>
      <c r="AB6053" s="498"/>
      <c r="AC6053" s="498"/>
      <c r="AD6053" s="498"/>
      <c r="AE6053" s="498"/>
      <c r="AF6053" s="498"/>
      <c r="AG6053" s="498"/>
      <c r="AH6053" s="498"/>
      <c r="AI6053" s="498"/>
      <c r="AK6053" s="498"/>
      <c r="AL6053" s="498"/>
      <c r="AM6053" s="498"/>
      <c r="AN6053" s="498"/>
      <c r="AO6053" s="498"/>
      <c r="AP6053" s="498"/>
      <c r="AQ6053" s="498"/>
      <c r="AR6053" s="498"/>
      <c r="AS6053" s="498"/>
      <c r="AT6053" s="498"/>
      <c r="AU6053" s="498"/>
      <c r="AV6053" s="498"/>
      <c r="AW6053" s="498"/>
      <c r="AX6053" s="498"/>
      <c r="AY6053" s="498"/>
      <c r="AZ6053" s="498"/>
      <c r="BA6053" s="498"/>
    </row>
    <row r="6054" spans="1:53" s="499" customFormat="1" x14ac:dyDescent="0.25">
      <c r="A6054" s="500"/>
      <c r="B6054" s="501"/>
      <c r="C6054" s="502"/>
      <c r="D6054" s="497"/>
      <c r="E6054" s="497"/>
      <c r="F6054" s="502"/>
      <c r="G6054" s="497"/>
      <c r="H6054" s="497"/>
      <c r="I6054" s="497"/>
      <c r="J6054" s="497"/>
      <c r="K6054" s="500"/>
      <c r="L6054" s="497"/>
      <c r="M6054"/>
      <c r="N6054" s="498"/>
      <c r="O6054" s="498"/>
      <c r="P6054" s="498"/>
      <c r="Q6054" s="498"/>
      <c r="R6054" s="498"/>
      <c r="T6054" s="498"/>
      <c r="U6054" s="498"/>
      <c r="V6054" s="498"/>
      <c r="W6054" s="498"/>
      <c r="X6054" s="498"/>
      <c r="Y6054" s="498"/>
      <c r="Z6054" s="498"/>
      <c r="AA6054" s="498"/>
      <c r="AB6054" s="498"/>
      <c r="AC6054" s="498"/>
      <c r="AD6054" s="498"/>
      <c r="AE6054" s="498"/>
      <c r="AF6054" s="498"/>
      <c r="AG6054" s="498"/>
      <c r="AH6054" s="498"/>
      <c r="AI6054" s="498"/>
      <c r="AK6054" s="498"/>
      <c r="AL6054" s="498"/>
      <c r="AM6054" s="498"/>
      <c r="AN6054" s="498"/>
      <c r="AO6054" s="498"/>
      <c r="AP6054" s="498"/>
      <c r="AQ6054" s="498"/>
      <c r="AR6054" s="498"/>
      <c r="AS6054" s="498"/>
      <c r="AT6054" s="498"/>
      <c r="AU6054" s="498"/>
      <c r="AV6054" s="498"/>
      <c r="AW6054" s="498"/>
      <c r="AX6054" s="498"/>
      <c r="AY6054" s="498"/>
      <c r="AZ6054" s="498"/>
      <c r="BA6054" s="498"/>
    </row>
    <row r="6055" spans="1:53" s="499" customFormat="1" x14ac:dyDescent="0.25">
      <c r="A6055" s="500"/>
      <c r="B6055" s="501"/>
      <c r="C6055" s="502"/>
      <c r="D6055" s="497"/>
      <c r="E6055" s="497"/>
      <c r="F6055" s="502"/>
      <c r="G6055" s="497"/>
      <c r="H6055" s="497"/>
      <c r="I6055" s="497"/>
      <c r="J6055" s="497"/>
      <c r="K6055" s="500"/>
      <c r="L6055" s="497"/>
      <c r="M6055"/>
      <c r="N6055" s="498"/>
      <c r="O6055" s="498"/>
      <c r="P6055" s="498"/>
      <c r="Q6055" s="498"/>
      <c r="R6055" s="498"/>
      <c r="T6055" s="498"/>
      <c r="U6055" s="498"/>
      <c r="V6055" s="498"/>
      <c r="W6055" s="498"/>
      <c r="X6055" s="498"/>
      <c r="Y6055" s="498"/>
      <c r="Z6055" s="498"/>
      <c r="AA6055" s="498"/>
      <c r="AB6055" s="498"/>
      <c r="AC6055" s="498"/>
      <c r="AD6055" s="498"/>
      <c r="AE6055" s="498"/>
      <c r="AF6055" s="498"/>
      <c r="AG6055" s="498"/>
      <c r="AH6055" s="498"/>
      <c r="AI6055" s="498"/>
      <c r="AK6055" s="498"/>
      <c r="AL6055" s="498"/>
      <c r="AM6055" s="498"/>
      <c r="AN6055" s="498"/>
      <c r="AO6055" s="498"/>
      <c r="AP6055" s="498"/>
      <c r="AQ6055" s="498"/>
      <c r="AR6055" s="498"/>
      <c r="AS6055" s="498"/>
      <c r="AT6055" s="498"/>
      <c r="AU6055" s="498"/>
      <c r="AV6055" s="498"/>
      <c r="AW6055" s="498"/>
      <c r="AX6055" s="498"/>
      <c r="AY6055" s="498"/>
      <c r="AZ6055" s="498"/>
      <c r="BA6055" s="498"/>
    </row>
    <row r="6056" spans="1:53" s="499" customFormat="1" x14ac:dyDescent="0.25">
      <c r="A6056" s="500"/>
      <c r="B6056" s="501"/>
      <c r="C6056" s="502"/>
      <c r="D6056" s="497"/>
      <c r="E6056" s="497"/>
      <c r="F6056" s="502"/>
      <c r="G6056" s="497"/>
      <c r="H6056" s="497"/>
      <c r="I6056" s="497"/>
      <c r="J6056" s="497"/>
      <c r="K6056" s="500"/>
      <c r="L6056" s="497"/>
      <c r="M6056"/>
      <c r="N6056" s="498"/>
      <c r="O6056" s="498"/>
      <c r="P6056" s="498"/>
      <c r="Q6056" s="498"/>
      <c r="R6056" s="498"/>
      <c r="T6056" s="498"/>
      <c r="U6056" s="498"/>
      <c r="V6056" s="498"/>
      <c r="W6056" s="498"/>
      <c r="X6056" s="498"/>
      <c r="Y6056" s="498"/>
      <c r="Z6056" s="498"/>
      <c r="AA6056" s="498"/>
      <c r="AB6056" s="498"/>
      <c r="AC6056" s="498"/>
      <c r="AD6056" s="498"/>
      <c r="AE6056" s="498"/>
      <c r="AF6056" s="498"/>
      <c r="AG6056" s="498"/>
      <c r="AH6056" s="498"/>
      <c r="AI6056" s="498"/>
      <c r="AK6056" s="498"/>
      <c r="AL6056" s="498"/>
      <c r="AM6056" s="498"/>
      <c r="AN6056" s="498"/>
      <c r="AO6056" s="498"/>
      <c r="AP6056" s="498"/>
      <c r="AQ6056" s="498"/>
      <c r="AR6056" s="498"/>
      <c r="AS6056" s="498"/>
      <c r="AT6056" s="498"/>
      <c r="AU6056" s="498"/>
      <c r="AV6056" s="498"/>
      <c r="AW6056" s="498"/>
      <c r="AX6056" s="498"/>
      <c r="AY6056" s="498"/>
      <c r="AZ6056" s="498"/>
      <c r="BA6056" s="498"/>
    </row>
    <row r="6057" spans="1:53" s="499" customFormat="1" x14ac:dyDescent="0.25">
      <c r="A6057" s="500"/>
      <c r="B6057" s="501"/>
      <c r="C6057" s="502"/>
      <c r="D6057" s="497"/>
      <c r="E6057" s="497"/>
      <c r="F6057" s="502"/>
      <c r="G6057" s="497"/>
      <c r="H6057" s="497"/>
      <c r="I6057" s="497"/>
      <c r="J6057" s="497"/>
      <c r="K6057" s="500"/>
      <c r="L6057" s="497"/>
      <c r="M6057"/>
      <c r="N6057" s="498"/>
      <c r="O6057" s="498"/>
      <c r="P6057" s="498"/>
      <c r="Q6057" s="498"/>
      <c r="R6057" s="498"/>
      <c r="T6057" s="498"/>
      <c r="U6057" s="498"/>
      <c r="V6057" s="498"/>
      <c r="W6057" s="498"/>
      <c r="X6057" s="498"/>
      <c r="Y6057" s="498"/>
      <c r="Z6057" s="498"/>
      <c r="AA6057" s="498"/>
      <c r="AB6057" s="498"/>
      <c r="AC6057" s="498"/>
      <c r="AD6057" s="498"/>
      <c r="AE6057" s="498"/>
      <c r="AF6057" s="498"/>
      <c r="AG6057" s="498"/>
      <c r="AH6057" s="498"/>
      <c r="AI6057" s="498"/>
      <c r="AK6057" s="498"/>
      <c r="AL6057" s="498"/>
      <c r="AM6057" s="498"/>
      <c r="AN6057" s="498"/>
      <c r="AO6057" s="498"/>
      <c r="AP6057" s="498"/>
      <c r="AQ6057" s="498"/>
      <c r="AR6057" s="498"/>
      <c r="AS6057" s="498"/>
      <c r="AT6057" s="498"/>
      <c r="AU6057" s="498"/>
      <c r="AV6057" s="498"/>
      <c r="AW6057" s="498"/>
      <c r="AX6057" s="498"/>
      <c r="AY6057" s="498"/>
      <c r="AZ6057" s="498"/>
      <c r="BA6057" s="498"/>
    </row>
    <row r="6058" spans="1:53" s="499" customFormat="1" x14ac:dyDescent="0.25">
      <c r="A6058" s="500"/>
      <c r="B6058" s="501"/>
      <c r="C6058" s="502"/>
      <c r="D6058" s="497"/>
      <c r="E6058" s="497"/>
      <c r="F6058" s="502"/>
      <c r="G6058" s="497"/>
      <c r="H6058" s="497"/>
      <c r="I6058" s="497"/>
      <c r="J6058" s="497"/>
      <c r="K6058" s="500"/>
      <c r="L6058" s="497"/>
      <c r="M6058"/>
      <c r="N6058" s="498"/>
      <c r="O6058" s="498"/>
      <c r="P6058" s="498"/>
      <c r="Q6058" s="498"/>
      <c r="R6058" s="498"/>
      <c r="T6058" s="498"/>
      <c r="U6058" s="498"/>
      <c r="V6058" s="498"/>
      <c r="W6058" s="498"/>
      <c r="X6058" s="498"/>
      <c r="Y6058" s="498"/>
      <c r="Z6058" s="498"/>
      <c r="AA6058" s="498"/>
      <c r="AB6058" s="498"/>
      <c r="AC6058" s="498"/>
      <c r="AD6058" s="498"/>
      <c r="AE6058" s="498"/>
      <c r="AF6058" s="498"/>
      <c r="AG6058" s="498"/>
      <c r="AH6058" s="498"/>
      <c r="AI6058" s="498"/>
      <c r="AK6058" s="498"/>
      <c r="AL6058" s="498"/>
      <c r="AM6058" s="498"/>
      <c r="AN6058" s="498"/>
      <c r="AO6058" s="498"/>
      <c r="AP6058" s="498"/>
      <c r="AQ6058" s="498"/>
      <c r="AR6058" s="498"/>
      <c r="AS6058" s="498"/>
      <c r="AT6058" s="498"/>
      <c r="AU6058" s="498"/>
      <c r="AV6058" s="498"/>
      <c r="AW6058" s="498"/>
      <c r="AX6058" s="498"/>
      <c r="AY6058" s="498"/>
      <c r="AZ6058" s="498"/>
      <c r="BA6058" s="498"/>
    </row>
    <row r="6059" spans="1:53" s="499" customFormat="1" x14ac:dyDescent="0.25">
      <c r="A6059" s="500"/>
      <c r="B6059" s="501"/>
      <c r="C6059" s="502"/>
      <c r="D6059" s="497"/>
      <c r="E6059" s="497"/>
      <c r="F6059" s="502"/>
      <c r="G6059" s="497"/>
      <c r="H6059" s="497"/>
      <c r="I6059" s="497"/>
      <c r="J6059" s="497"/>
      <c r="K6059" s="500"/>
      <c r="L6059" s="497"/>
      <c r="M6059"/>
      <c r="N6059" s="498"/>
      <c r="O6059" s="498"/>
      <c r="P6059" s="498"/>
      <c r="Q6059" s="498"/>
      <c r="R6059" s="498"/>
      <c r="T6059" s="498"/>
      <c r="U6059" s="498"/>
      <c r="V6059" s="498"/>
      <c r="W6059" s="498"/>
      <c r="X6059" s="498"/>
      <c r="Y6059" s="498"/>
      <c r="Z6059" s="498"/>
      <c r="AA6059" s="498"/>
      <c r="AB6059" s="498"/>
      <c r="AC6059" s="498"/>
      <c r="AD6059" s="498"/>
      <c r="AE6059" s="498"/>
      <c r="AF6059" s="498"/>
      <c r="AG6059" s="498"/>
      <c r="AH6059" s="498"/>
      <c r="AI6059" s="498"/>
      <c r="AK6059" s="498"/>
      <c r="AL6059" s="498"/>
      <c r="AM6059" s="498"/>
      <c r="AN6059" s="498"/>
      <c r="AO6059" s="498"/>
      <c r="AP6059" s="498"/>
      <c r="AQ6059" s="498"/>
      <c r="AR6059" s="498"/>
      <c r="AS6059" s="498"/>
      <c r="AT6059" s="498"/>
      <c r="AU6059" s="498"/>
      <c r="AV6059" s="498"/>
      <c r="AW6059" s="498"/>
      <c r="AX6059" s="498"/>
      <c r="AY6059" s="498"/>
      <c r="AZ6059" s="498"/>
      <c r="BA6059" s="498"/>
    </row>
    <row r="6060" spans="1:53" s="499" customFormat="1" x14ac:dyDescent="0.25">
      <c r="A6060" s="500"/>
      <c r="B6060" s="501"/>
      <c r="C6060" s="502"/>
      <c r="D6060" s="497"/>
      <c r="E6060" s="497"/>
      <c r="F6060" s="502"/>
      <c r="G6060" s="497"/>
      <c r="H6060" s="497"/>
      <c r="I6060" s="497"/>
      <c r="J6060" s="497"/>
      <c r="K6060" s="500"/>
      <c r="L6060" s="497"/>
      <c r="M6060"/>
      <c r="N6060" s="498"/>
      <c r="O6060" s="498"/>
      <c r="P6060" s="498"/>
      <c r="Q6060" s="498"/>
      <c r="R6060" s="498"/>
      <c r="T6060" s="498"/>
      <c r="U6060" s="498"/>
      <c r="V6060" s="498"/>
      <c r="W6060" s="498"/>
      <c r="X6060" s="498"/>
      <c r="Y6060" s="498"/>
      <c r="Z6060" s="498"/>
      <c r="AA6060" s="498"/>
      <c r="AB6060" s="498"/>
      <c r="AC6060" s="498"/>
      <c r="AD6060" s="498"/>
      <c r="AE6060" s="498"/>
      <c r="AF6060" s="498"/>
      <c r="AG6060" s="498"/>
      <c r="AH6060" s="498"/>
      <c r="AI6060" s="498"/>
      <c r="AK6060" s="498"/>
      <c r="AL6060" s="498"/>
      <c r="AM6060" s="498"/>
      <c r="AN6060" s="498"/>
      <c r="AO6060" s="498"/>
      <c r="AP6060" s="498"/>
      <c r="AQ6060" s="498"/>
      <c r="AR6060" s="498"/>
      <c r="AS6060" s="498"/>
      <c r="AT6060" s="498"/>
      <c r="AU6060" s="498"/>
      <c r="AV6060" s="498"/>
      <c r="AW6060" s="498"/>
      <c r="AX6060" s="498"/>
      <c r="AY6060" s="498"/>
      <c r="AZ6060" s="498"/>
      <c r="BA6060" s="498"/>
    </row>
    <row r="6061" spans="1:53" s="499" customFormat="1" x14ac:dyDescent="0.25">
      <c r="A6061" s="500"/>
      <c r="B6061" s="501"/>
      <c r="C6061" s="502"/>
      <c r="D6061" s="497"/>
      <c r="E6061" s="497"/>
      <c r="F6061" s="502"/>
      <c r="G6061" s="497"/>
      <c r="H6061" s="497"/>
      <c r="I6061" s="497"/>
      <c r="J6061" s="497"/>
      <c r="K6061" s="500"/>
      <c r="L6061" s="497"/>
      <c r="M6061"/>
      <c r="N6061" s="498"/>
      <c r="O6061" s="498"/>
      <c r="P6061" s="498"/>
      <c r="Q6061" s="498"/>
      <c r="R6061" s="498"/>
      <c r="T6061" s="498"/>
      <c r="U6061" s="498"/>
      <c r="V6061" s="498"/>
      <c r="W6061" s="498"/>
      <c r="X6061" s="498"/>
      <c r="Y6061" s="498"/>
      <c r="Z6061" s="498"/>
      <c r="AA6061" s="498"/>
      <c r="AB6061" s="498"/>
      <c r="AC6061" s="498"/>
      <c r="AD6061" s="498"/>
      <c r="AE6061" s="498"/>
      <c r="AF6061" s="498"/>
      <c r="AG6061" s="498"/>
      <c r="AH6061" s="498"/>
      <c r="AI6061" s="498"/>
      <c r="AK6061" s="498"/>
      <c r="AL6061" s="498"/>
      <c r="AM6061" s="498"/>
      <c r="AN6061" s="498"/>
      <c r="AO6061" s="498"/>
      <c r="AP6061" s="498"/>
      <c r="AQ6061" s="498"/>
      <c r="AR6061" s="498"/>
      <c r="AS6061" s="498"/>
      <c r="AT6061" s="498"/>
      <c r="AU6061" s="498"/>
      <c r="AV6061" s="498"/>
      <c r="AW6061" s="498"/>
      <c r="AX6061" s="498"/>
      <c r="AY6061" s="498"/>
      <c r="AZ6061" s="498"/>
      <c r="BA6061" s="498"/>
    </row>
    <row r="6062" spans="1:53" s="499" customFormat="1" x14ac:dyDescent="0.25">
      <c r="A6062" s="500"/>
      <c r="B6062" s="501"/>
      <c r="C6062" s="502"/>
      <c r="D6062" s="497"/>
      <c r="E6062" s="497"/>
      <c r="F6062" s="502"/>
      <c r="G6062" s="497"/>
      <c r="H6062" s="497"/>
      <c r="I6062" s="497"/>
      <c r="J6062" s="497"/>
      <c r="K6062" s="500"/>
      <c r="L6062" s="497"/>
      <c r="M6062"/>
      <c r="N6062" s="498"/>
      <c r="O6062" s="498"/>
      <c r="P6062" s="498"/>
      <c r="Q6062" s="498"/>
      <c r="R6062" s="498"/>
      <c r="T6062" s="498"/>
      <c r="U6062" s="498"/>
      <c r="V6062" s="498"/>
      <c r="W6062" s="498"/>
      <c r="X6062" s="498"/>
      <c r="Y6062" s="498"/>
      <c r="Z6062" s="498"/>
      <c r="AA6062" s="498"/>
      <c r="AB6062" s="498"/>
      <c r="AC6062" s="498"/>
      <c r="AD6062" s="498"/>
      <c r="AE6062" s="498"/>
      <c r="AF6062" s="498"/>
      <c r="AG6062" s="498"/>
      <c r="AH6062" s="498"/>
      <c r="AI6062" s="498"/>
      <c r="AK6062" s="498"/>
      <c r="AL6062" s="498"/>
      <c r="AM6062" s="498"/>
      <c r="AN6062" s="498"/>
      <c r="AO6062" s="498"/>
      <c r="AP6062" s="498"/>
      <c r="AQ6062" s="498"/>
      <c r="AR6062" s="498"/>
      <c r="AS6062" s="498"/>
      <c r="AT6062" s="498"/>
      <c r="AU6062" s="498"/>
      <c r="AV6062" s="498"/>
      <c r="AW6062" s="498"/>
      <c r="AX6062" s="498"/>
      <c r="AY6062" s="498"/>
      <c r="AZ6062" s="498"/>
      <c r="BA6062" s="498"/>
    </row>
    <row r="6063" spans="1:53" s="499" customFormat="1" x14ac:dyDescent="0.25">
      <c r="A6063" s="500"/>
      <c r="B6063" s="501"/>
      <c r="C6063" s="502"/>
      <c r="D6063" s="497"/>
      <c r="E6063" s="497"/>
      <c r="F6063" s="502"/>
      <c r="G6063" s="497"/>
      <c r="H6063" s="497"/>
      <c r="I6063" s="497"/>
      <c r="J6063" s="497"/>
      <c r="K6063" s="500"/>
      <c r="L6063" s="497"/>
      <c r="M6063"/>
      <c r="N6063" s="498"/>
      <c r="O6063" s="498"/>
      <c r="P6063" s="498"/>
      <c r="Q6063" s="498"/>
      <c r="R6063" s="498"/>
      <c r="T6063" s="498"/>
      <c r="U6063" s="498"/>
      <c r="V6063" s="498"/>
      <c r="W6063" s="498"/>
      <c r="X6063" s="498"/>
      <c r="Y6063" s="498"/>
      <c r="Z6063" s="498"/>
      <c r="AA6063" s="498"/>
      <c r="AB6063" s="498"/>
      <c r="AC6063" s="498"/>
      <c r="AD6063" s="498"/>
      <c r="AE6063" s="498"/>
      <c r="AF6063" s="498"/>
      <c r="AG6063" s="498"/>
      <c r="AH6063" s="498"/>
      <c r="AI6063" s="498"/>
      <c r="AK6063" s="498"/>
      <c r="AL6063" s="498"/>
      <c r="AM6063" s="498"/>
      <c r="AN6063" s="498"/>
      <c r="AO6063" s="498"/>
      <c r="AP6063" s="498"/>
      <c r="AQ6063" s="498"/>
      <c r="AR6063" s="498"/>
      <c r="AS6063" s="498"/>
      <c r="AT6063" s="498"/>
      <c r="AU6063" s="498"/>
      <c r="AV6063" s="498"/>
      <c r="AW6063" s="498"/>
      <c r="AX6063" s="498"/>
      <c r="AY6063" s="498"/>
      <c r="AZ6063" s="498"/>
      <c r="BA6063" s="498"/>
    </row>
    <row r="6064" spans="1:53" s="499" customFormat="1" x14ac:dyDescent="0.25">
      <c r="A6064" s="500"/>
      <c r="B6064" s="501"/>
      <c r="C6064" s="502"/>
      <c r="D6064" s="497"/>
      <c r="E6064" s="497"/>
      <c r="F6064" s="502"/>
      <c r="G6064" s="497"/>
      <c r="H6064" s="497"/>
      <c r="I6064" s="497"/>
      <c r="J6064" s="497"/>
      <c r="K6064" s="500"/>
      <c r="L6064" s="497"/>
      <c r="M6064"/>
      <c r="N6064" s="498"/>
      <c r="O6064" s="498"/>
      <c r="P6064" s="498"/>
      <c r="Q6064" s="498"/>
      <c r="R6064" s="498"/>
      <c r="T6064" s="498"/>
      <c r="U6064" s="498"/>
      <c r="V6064" s="498"/>
      <c r="W6064" s="498"/>
      <c r="X6064" s="498"/>
      <c r="Y6064" s="498"/>
      <c r="Z6064" s="498"/>
      <c r="AA6064" s="498"/>
      <c r="AB6064" s="498"/>
      <c r="AC6064" s="498"/>
      <c r="AD6064" s="498"/>
      <c r="AE6064" s="498"/>
      <c r="AF6064" s="498"/>
      <c r="AG6064" s="498"/>
      <c r="AH6064" s="498"/>
      <c r="AI6064" s="498"/>
      <c r="AK6064" s="498"/>
      <c r="AL6064" s="498"/>
      <c r="AM6064" s="498"/>
      <c r="AN6064" s="498"/>
      <c r="AO6064" s="498"/>
      <c r="AP6064" s="498"/>
      <c r="AQ6064" s="498"/>
      <c r="AR6064" s="498"/>
      <c r="AS6064" s="498"/>
      <c r="AT6064" s="498"/>
      <c r="AU6064" s="498"/>
      <c r="AV6064" s="498"/>
      <c r="AW6064" s="498"/>
      <c r="AX6064" s="498"/>
      <c r="AY6064" s="498"/>
      <c r="AZ6064" s="498"/>
      <c r="BA6064" s="498"/>
    </row>
    <row r="6065" spans="1:53" s="499" customFormat="1" x14ac:dyDescent="0.25">
      <c r="A6065" s="500"/>
      <c r="B6065" s="501"/>
      <c r="C6065" s="502"/>
      <c r="D6065" s="497"/>
      <c r="E6065" s="497"/>
      <c r="F6065" s="502"/>
      <c r="G6065" s="497"/>
      <c r="H6065" s="497"/>
      <c r="I6065" s="497"/>
      <c r="J6065" s="497"/>
      <c r="K6065" s="500"/>
      <c r="L6065" s="497"/>
      <c r="M6065"/>
      <c r="N6065" s="498"/>
      <c r="O6065" s="498"/>
      <c r="P6065" s="498"/>
      <c r="Q6065" s="498"/>
      <c r="R6065" s="498"/>
      <c r="T6065" s="498"/>
      <c r="U6065" s="498"/>
      <c r="V6065" s="498"/>
      <c r="W6065" s="498"/>
      <c r="X6065" s="498"/>
      <c r="Y6065" s="498"/>
      <c r="Z6065" s="498"/>
      <c r="AA6065" s="498"/>
      <c r="AB6065" s="498"/>
      <c r="AC6065" s="498"/>
      <c r="AD6065" s="498"/>
      <c r="AE6065" s="498"/>
      <c r="AF6065" s="498"/>
      <c r="AG6065" s="498"/>
      <c r="AH6065" s="498"/>
      <c r="AI6065" s="498"/>
      <c r="AK6065" s="498"/>
      <c r="AL6065" s="498"/>
      <c r="AM6065" s="498"/>
      <c r="AN6065" s="498"/>
      <c r="AO6065" s="498"/>
      <c r="AP6065" s="498"/>
      <c r="AQ6065" s="498"/>
      <c r="AR6065" s="498"/>
      <c r="AS6065" s="498"/>
      <c r="AT6065" s="498"/>
      <c r="AU6065" s="498"/>
      <c r="AV6065" s="498"/>
      <c r="AW6065" s="498"/>
      <c r="AX6065" s="498"/>
      <c r="AY6065" s="498"/>
      <c r="AZ6065" s="498"/>
      <c r="BA6065" s="498"/>
    </row>
    <row r="6066" spans="1:53" s="499" customFormat="1" x14ac:dyDescent="0.25">
      <c r="A6066" s="500"/>
      <c r="B6066" s="501"/>
      <c r="C6066" s="502"/>
      <c r="D6066" s="497"/>
      <c r="E6066" s="497"/>
      <c r="F6066" s="502"/>
      <c r="G6066" s="497"/>
      <c r="H6066" s="497"/>
      <c r="I6066" s="497"/>
      <c r="J6066" s="497"/>
      <c r="K6066" s="500"/>
      <c r="L6066" s="497"/>
      <c r="M6066"/>
      <c r="N6066" s="498"/>
      <c r="O6066" s="498"/>
      <c r="P6066" s="498"/>
      <c r="Q6066" s="498"/>
      <c r="R6066" s="498"/>
      <c r="T6066" s="498"/>
      <c r="U6066" s="498"/>
      <c r="V6066" s="498"/>
      <c r="W6066" s="498"/>
      <c r="X6066" s="498"/>
      <c r="Y6066" s="498"/>
      <c r="Z6066" s="498"/>
      <c r="AA6066" s="498"/>
      <c r="AB6066" s="498"/>
      <c r="AC6066" s="498"/>
      <c r="AD6066" s="498"/>
      <c r="AE6066" s="498"/>
      <c r="AF6066" s="498"/>
      <c r="AG6066" s="498"/>
      <c r="AH6066" s="498"/>
      <c r="AI6066" s="498"/>
      <c r="AK6066" s="498"/>
      <c r="AL6066" s="498"/>
      <c r="AM6066" s="498"/>
      <c r="AN6066" s="498"/>
      <c r="AO6066" s="498"/>
      <c r="AP6066" s="498"/>
      <c r="AQ6066" s="498"/>
      <c r="AR6066" s="498"/>
      <c r="AS6066" s="498"/>
      <c r="AT6066" s="498"/>
      <c r="AU6066" s="498"/>
      <c r="AV6066" s="498"/>
      <c r="AW6066" s="498"/>
      <c r="AX6066" s="498"/>
      <c r="AY6066" s="498"/>
      <c r="AZ6066" s="498"/>
      <c r="BA6066" s="498"/>
    </row>
    <row r="6067" spans="1:53" s="499" customFormat="1" x14ac:dyDescent="0.25">
      <c r="A6067" s="500"/>
      <c r="B6067" s="501"/>
      <c r="C6067" s="502"/>
      <c r="D6067" s="497"/>
      <c r="E6067" s="497"/>
      <c r="F6067" s="502"/>
      <c r="G6067" s="497"/>
      <c r="H6067" s="497"/>
      <c r="I6067" s="497"/>
      <c r="J6067" s="497"/>
      <c r="K6067" s="500"/>
      <c r="L6067" s="497"/>
      <c r="M6067"/>
      <c r="N6067" s="498"/>
      <c r="O6067" s="498"/>
      <c r="P6067" s="498"/>
      <c r="Q6067" s="498"/>
      <c r="R6067" s="498"/>
      <c r="T6067" s="498"/>
      <c r="U6067" s="498"/>
      <c r="V6067" s="498"/>
      <c r="W6067" s="498"/>
      <c r="X6067" s="498"/>
      <c r="Y6067" s="498"/>
      <c r="Z6067" s="498"/>
      <c r="AA6067" s="498"/>
      <c r="AB6067" s="498"/>
      <c r="AC6067" s="498"/>
      <c r="AD6067" s="498"/>
      <c r="AE6067" s="498"/>
      <c r="AF6067" s="498"/>
      <c r="AG6067" s="498"/>
      <c r="AH6067" s="498"/>
      <c r="AI6067" s="498"/>
      <c r="AK6067" s="498"/>
      <c r="AL6067" s="498"/>
      <c r="AM6067" s="498"/>
      <c r="AN6067" s="498"/>
      <c r="AO6067" s="498"/>
      <c r="AP6067" s="498"/>
      <c r="AQ6067" s="498"/>
      <c r="AR6067" s="498"/>
      <c r="AS6067" s="498"/>
      <c r="AT6067" s="498"/>
      <c r="AU6067" s="498"/>
      <c r="AV6067" s="498"/>
      <c r="AW6067" s="498"/>
      <c r="AX6067" s="498"/>
      <c r="AY6067" s="498"/>
      <c r="AZ6067" s="498"/>
      <c r="BA6067" s="498"/>
    </row>
    <row r="6068" spans="1:53" s="499" customFormat="1" x14ac:dyDescent="0.25">
      <c r="A6068" s="500"/>
      <c r="B6068" s="501"/>
      <c r="C6068" s="502"/>
      <c r="D6068" s="497"/>
      <c r="E6068" s="497"/>
      <c r="F6068" s="502"/>
      <c r="G6068" s="497"/>
      <c r="H6068" s="497"/>
      <c r="I6068" s="497"/>
      <c r="J6068" s="497"/>
      <c r="K6068" s="500"/>
      <c r="L6068" s="497"/>
      <c r="M6068"/>
      <c r="N6068" s="498"/>
      <c r="O6068" s="498"/>
      <c r="P6068" s="498"/>
      <c r="Q6068" s="498"/>
      <c r="R6068" s="498"/>
      <c r="T6068" s="498"/>
      <c r="U6068" s="498"/>
      <c r="V6068" s="498"/>
      <c r="W6068" s="498"/>
      <c r="X6068" s="498"/>
      <c r="Y6068" s="498"/>
      <c r="Z6068" s="498"/>
      <c r="AA6068" s="498"/>
      <c r="AB6068" s="498"/>
      <c r="AC6068" s="498"/>
      <c r="AD6068" s="498"/>
      <c r="AE6068" s="498"/>
      <c r="AF6068" s="498"/>
      <c r="AG6068" s="498"/>
      <c r="AH6068" s="498"/>
      <c r="AI6068" s="498"/>
      <c r="AK6068" s="498"/>
      <c r="AL6068" s="498"/>
      <c r="AM6068" s="498"/>
      <c r="AN6068" s="498"/>
      <c r="AO6068" s="498"/>
      <c r="AP6068" s="498"/>
      <c r="AQ6068" s="498"/>
      <c r="AR6068" s="498"/>
      <c r="AS6068" s="498"/>
      <c r="AT6068" s="498"/>
      <c r="AU6068" s="498"/>
      <c r="AV6068" s="498"/>
      <c r="AW6068" s="498"/>
      <c r="AX6068" s="498"/>
      <c r="AY6068" s="498"/>
      <c r="AZ6068" s="498"/>
      <c r="BA6068" s="498"/>
    </row>
    <row r="6069" spans="1:53" s="499" customFormat="1" x14ac:dyDescent="0.25">
      <c r="A6069" s="500"/>
      <c r="B6069" s="501"/>
      <c r="C6069" s="502"/>
      <c r="D6069" s="497"/>
      <c r="E6069" s="497"/>
      <c r="F6069" s="502"/>
      <c r="G6069" s="497"/>
      <c r="H6069" s="497"/>
      <c r="I6069" s="497"/>
      <c r="J6069" s="497"/>
      <c r="K6069" s="500"/>
      <c r="L6069" s="497"/>
      <c r="M6069"/>
      <c r="N6069" s="498"/>
      <c r="O6069" s="498"/>
      <c r="P6069" s="498"/>
      <c r="Q6069" s="498"/>
      <c r="R6069" s="498"/>
      <c r="T6069" s="498"/>
      <c r="U6069" s="498"/>
      <c r="V6069" s="498"/>
      <c r="W6069" s="498"/>
      <c r="X6069" s="498"/>
      <c r="Y6069" s="498"/>
      <c r="Z6069" s="498"/>
      <c r="AA6069" s="498"/>
      <c r="AB6069" s="498"/>
      <c r="AC6069" s="498"/>
      <c r="AD6069" s="498"/>
      <c r="AE6069" s="498"/>
      <c r="AF6069" s="498"/>
      <c r="AG6069" s="498"/>
      <c r="AH6069" s="498"/>
      <c r="AI6069" s="498"/>
      <c r="AK6069" s="498"/>
      <c r="AL6069" s="498"/>
      <c r="AM6069" s="498"/>
      <c r="AN6069" s="498"/>
      <c r="AO6069" s="498"/>
      <c r="AP6069" s="498"/>
      <c r="AQ6069" s="498"/>
      <c r="AR6069" s="498"/>
      <c r="AS6069" s="498"/>
      <c r="AT6069" s="498"/>
      <c r="AU6069" s="498"/>
      <c r="AV6069" s="498"/>
      <c r="AW6069" s="498"/>
      <c r="AX6069" s="498"/>
      <c r="AY6069" s="498"/>
      <c r="AZ6069" s="498"/>
      <c r="BA6069" s="498"/>
    </row>
    <row r="6070" spans="1:53" s="499" customFormat="1" x14ac:dyDescent="0.25">
      <c r="A6070" s="500"/>
      <c r="B6070" s="501"/>
      <c r="C6070" s="502"/>
      <c r="D6070" s="497"/>
      <c r="E6070" s="497"/>
      <c r="F6070" s="502"/>
      <c r="G6070" s="497"/>
      <c r="H6070" s="497"/>
      <c r="I6070" s="497"/>
      <c r="J6070" s="497"/>
      <c r="K6070" s="500"/>
      <c r="L6070" s="497"/>
      <c r="M6070"/>
      <c r="N6070" s="498"/>
      <c r="O6070" s="498"/>
      <c r="P6070" s="498"/>
      <c r="Q6070" s="498"/>
      <c r="R6070" s="498"/>
      <c r="T6070" s="498"/>
      <c r="U6070" s="498"/>
      <c r="V6070" s="498"/>
      <c r="W6070" s="498"/>
      <c r="X6070" s="498"/>
      <c r="Y6070" s="498"/>
      <c r="Z6070" s="498"/>
      <c r="AA6070" s="498"/>
      <c r="AB6070" s="498"/>
      <c r="AC6070" s="498"/>
      <c r="AD6070" s="498"/>
      <c r="AE6070" s="498"/>
      <c r="AF6070" s="498"/>
      <c r="AG6070" s="498"/>
      <c r="AH6070" s="498"/>
      <c r="AI6070" s="498"/>
      <c r="AK6070" s="498"/>
      <c r="AL6070" s="498"/>
      <c r="AM6070" s="498"/>
      <c r="AN6070" s="498"/>
      <c r="AO6070" s="498"/>
      <c r="AP6070" s="498"/>
      <c r="AQ6070" s="498"/>
      <c r="AR6070" s="498"/>
      <c r="AS6070" s="498"/>
      <c r="AT6070" s="498"/>
      <c r="AU6070" s="498"/>
      <c r="AV6070" s="498"/>
      <c r="AW6070" s="498"/>
      <c r="AX6070" s="498"/>
      <c r="AY6070" s="498"/>
      <c r="AZ6070" s="498"/>
      <c r="BA6070" s="498"/>
    </row>
    <row r="6071" spans="1:53" s="499" customFormat="1" x14ac:dyDescent="0.25">
      <c r="A6071" s="500"/>
      <c r="B6071" s="501"/>
      <c r="C6071" s="502"/>
      <c r="D6071" s="497"/>
      <c r="E6071" s="497"/>
      <c r="F6071" s="502"/>
      <c r="G6071" s="497"/>
      <c r="H6071" s="497"/>
      <c r="I6071" s="497"/>
      <c r="J6071" s="497"/>
      <c r="K6071" s="500"/>
      <c r="L6071" s="497"/>
      <c r="M6071"/>
      <c r="N6071" s="498"/>
      <c r="O6071" s="498"/>
      <c r="P6071" s="498"/>
      <c r="Q6071" s="498"/>
      <c r="R6071" s="498"/>
      <c r="T6071" s="498"/>
      <c r="U6071" s="498"/>
      <c r="V6071" s="498"/>
      <c r="W6071" s="498"/>
      <c r="X6071" s="498"/>
      <c r="Y6071" s="498"/>
      <c r="Z6071" s="498"/>
      <c r="AA6071" s="498"/>
      <c r="AB6071" s="498"/>
      <c r="AC6071" s="498"/>
      <c r="AD6071" s="498"/>
      <c r="AE6071" s="498"/>
      <c r="AF6071" s="498"/>
      <c r="AG6071" s="498"/>
      <c r="AH6071" s="498"/>
      <c r="AI6071" s="498"/>
      <c r="AK6071" s="498"/>
      <c r="AL6071" s="498"/>
      <c r="AM6071" s="498"/>
      <c r="AN6071" s="498"/>
      <c r="AO6071" s="498"/>
      <c r="AP6071" s="498"/>
      <c r="AQ6071" s="498"/>
      <c r="AR6071" s="498"/>
      <c r="AS6071" s="498"/>
      <c r="AT6071" s="498"/>
      <c r="AU6071" s="498"/>
      <c r="AV6071" s="498"/>
      <c r="AW6071" s="498"/>
      <c r="AX6071" s="498"/>
      <c r="AY6071" s="498"/>
      <c r="AZ6071" s="498"/>
      <c r="BA6071" s="498"/>
    </row>
    <row r="6072" spans="1:53" s="499" customFormat="1" x14ac:dyDescent="0.25">
      <c r="A6072" s="500"/>
      <c r="B6072" s="501"/>
      <c r="C6072" s="502"/>
      <c r="D6072" s="497"/>
      <c r="E6072" s="497"/>
      <c r="F6072" s="502"/>
      <c r="G6072" s="497"/>
      <c r="H6072" s="497"/>
      <c r="I6072" s="497"/>
      <c r="J6072" s="497"/>
      <c r="K6072" s="500"/>
      <c r="L6072" s="497"/>
      <c r="M6072"/>
      <c r="N6072" s="498"/>
      <c r="O6072" s="498"/>
      <c r="P6072" s="498"/>
      <c r="Q6072" s="498"/>
      <c r="R6072" s="498"/>
      <c r="T6072" s="498"/>
      <c r="U6072" s="498"/>
      <c r="V6072" s="498"/>
      <c r="W6072" s="498"/>
      <c r="X6072" s="498"/>
      <c r="Y6072" s="498"/>
      <c r="Z6072" s="498"/>
      <c r="AA6072" s="498"/>
      <c r="AB6072" s="498"/>
      <c r="AC6072" s="498"/>
      <c r="AD6072" s="498"/>
      <c r="AE6072" s="498"/>
      <c r="AF6072" s="498"/>
      <c r="AG6072" s="498"/>
      <c r="AH6072" s="498"/>
      <c r="AI6072" s="498"/>
      <c r="AK6072" s="498"/>
      <c r="AL6072" s="498"/>
      <c r="AM6072" s="498"/>
      <c r="AN6072" s="498"/>
      <c r="AO6072" s="498"/>
      <c r="AP6072" s="498"/>
      <c r="AQ6072" s="498"/>
      <c r="AR6072" s="498"/>
      <c r="AS6072" s="498"/>
      <c r="AT6072" s="498"/>
      <c r="AU6072" s="498"/>
      <c r="AV6072" s="498"/>
      <c r="AW6072" s="498"/>
      <c r="AX6072" s="498"/>
      <c r="AY6072" s="498"/>
      <c r="AZ6072" s="498"/>
      <c r="BA6072" s="498"/>
    </row>
    <row r="6073" spans="1:53" s="499" customFormat="1" x14ac:dyDescent="0.25">
      <c r="A6073" s="500"/>
      <c r="B6073" s="501"/>
      <c r="C6073" s="502"/>
      <c r="D6073" s="497"/>
      <c r="E6073" s="497"/>
      <c r="F6073" s="502"/>
      <c r="G6073" s="497"/>
      <c r="H6073" s="497"/>
      <c r="I6073" s="497"/>
      <c r="J6073" s="497"/>
      <c r="K6073" s="500"/>
      <c r="L6073" s="497"/>
      <c r="M6073"/>
      <c r="N6073" s="498"/>
      <c r="O6073" s="498"/>
      <c r="P6073" s="498"/>
      <c r="Q6073" s="498"/>
      <c r="R6073" s="498"/>
      <c r="T6073" s="498"/>
      <c r="U6073" s="498"/>
      <c r="V6073" s="498"/>
      <c r="W6073" s="498"/>
      <c r="X6073" s="498"/>
      <c r="Y6073" s="498"/>
      <c r="Z6073" s="498"/>
      <c r="AA6073" s="498"/>
      <c r="AB6073" s="498"/>
      <c r="AC6073" s="498"/>
      <c r="AD6073" s="498"/>
      <c r="AE6073" s="498"/>
      <c r="AF6073" s="498"/>
      <c r="AG6073" s="498"/>
      <c r="AH6073" s="498"/>
      <c r="AI6073" s="498"/>
      <c r="AK6073" s="498"/>
      <c r="AL6073" s="498"/>
      <c r="AM6073" s="498"/>
      <c r="AN6073" s="498"/>
      <c r="AO6073" s="498"/>
      <c r="AP6073" s="498"/>
      <c r="AQ6073" s="498"/>
      <c r="AR6073" s="498"/>
      <c r="AS6073" s="498"/>
      <c r="AT6073" s="498"/>
      <c r="AU6073" s="498"/>
      <c r="AV6073" s="498"/>
      <c r="AW6073" s="498"/>
      <c r="AX6073" s="498"/>
      <c r="AY6073" s="498"/>
      <c r="AZ6073" s="498"/>
      <c r="BA6073" s="498"/>
    </row>
    <row r="6074" spans="1:53" s="499" customFormat="1" x14ac:dyDescent="0.25">
      <c r="A6074" s="500"/>
      <c r="B6074" s="501"/>
      <c r="C6074" s="502"/>
      <c r="D6074" s="497"/>
      <c r="E6074" s="497"/>
      <c r="F6074" s="502"/>
      <c r="G6074" s="497"/>
      <c r="H6074" s="497"/>
      <c r="I6074" s="497"/>
      <c r="J6074" s="497"/>
      <c r="K6074" s="500"/>
      <c r="L6074" s="497"/>
      <c r="M6074"/>
      <c r="N6074" s="498"/>
      <c r="O6074" s="498"/>
      <c r="P6074" s="498"/>
      <c r="Q6074" s="498"/>
      <c r="R6074" s="498"/>
      <c r="T6074" s="498"/>
      <c r="U6074" s="498"/>
      <c r="V6074" s="498"/>
      <c r="W6074" s="498"/>
      <c r="X6074" s="498"/>
      <c r="Y6074" s="498"/>
      <c r="Z6074" s="498"/>
      <c r="AA6074" s="498"/>
      <c r="AB6074" s="498"/>
      <c r="AC6074" s="498"/>
      <c r="AD6074" s="498"/>
      <c r="AE6074" s="498"/>
      <c r="AF6074" s="498"/>
      <c r="AG6074" s="498"/>
      <c r="AH6074" s="498"/>
      <c r="AI6074" s="498"/>
      <c r="AK6074" s="498"/>
      <c r="AL6074" s="498"/>
      <c r="AM6074" s="498"/>
      <c r="AN6074" s="498"/>
      <c r="AO6074" s="498"/>
      <c r="AP6074" s="498"/>
      <c r="AQ6074" s="498"/>
      <c r="AR6074" s="498"/>
      <c r="AS6074" s="498"/>
      <c r="AT6074" s="498"/>
      <c r="AU6074" s="498"/>
      <c r="AV6074" s="498"/>
      <c r="AW6074" s="498"/>
      <c r="AX6074" s="498"/>
      <c r="AY6074" s="498"/>
      <c r="AZ6074" s="498"/>
      <c r="BA6074" s="498"/>
    </row>
    <row r="6075" spans="1:53" s="499" customFormat="1" x14ac:dyDescent="0.25">
      <c r="A6075" s="500"/>
      <c r="B6075" s="501"/>
      <c r="C6075" s="502"/>
      <c r="D6075" s="497"/>
      <c r="E6075" s="497"/>
      <c r="F6075" s="502"/>
      <c r="G6075" s="497"/>
      <c r="H6075" s="497"/>
      <c r="I6075" s="497"/>
      <c r="J6075" s="497"/>
      <c r="K6075" s="500"/>
      <c r="L6075" s="497"/>
      <c r="M6075"/>
      <c r="N6075" s="498"/>
      <c r="O6075" s="498"/>
      <c r="P6075" s="498"/>
      <c r="Q6075" s="498"/>
      <c r="R6075" s="498"/>
      <c r="T6075" s="498"/>
      <c r="U6075" s="498"/>
      <c r="V6075" s="498"/>
      <c r="W6075" s="498"/>
      <c r="X6075" s="498"/>
      <c r="Y6075" s="498"/>
      <c r="Z6075" s="498"/>
      <c r="AA6075" s="498"/>
      <c r="AB6075" s="498"/>
      <c r="AC6075" s="498"/>
      <c r="AD6075" s="498"/>
      <c r="AE6075" s="498"/>
      <c r="AF6075" s="498"/>
      <c r="AG6075" s="498"/>
      <c r="AH6075" s="498"/>
      <c r="AI6075" s="498"/>
      <c r="AK6075" s="498"/>
      <c r="AL6075" s="498"/>
      <c r="AM6075" s="498"/>
      <c r="AN6075" s="498"/>
      <c r="AO6075" s="498"/>
      <c r="AP6075" s="498"/>
      <c r="AQ6075" s="498"/>
      <c r="AR6075" s="498"/>
      <c r="AS6075" s="498"/>
      <c r="AT6075" s="498"/>
      <c r="AU6075" s="498"/>
      <c r="AV6075" s="498"/>
      <c r="AW6075" s="498"/>
      <c r="AX6075" s="498"/>
      <c r="AY6075" s="498"/>
      <c r="AZ6075" s="498"/>
      <c r="BA6075" s="498"/>
    </row>
    <row r="6076" spans="1:53" s="499" customFormat="1" x14ac:dyDescent="0.25">
      <c r="A6076" s="500"/>
      <c r="B6076" s="501"/>
      <c r="C6076" s="502"/>
      <c r="D6076" s="497"/>
      <c r="E6076" s="497"/>
      <c r="F6076" s="502"/>
      <c r="G6076" s="497"/>
      <c r="H6076" s="497"/>
      <c r="I6076" s="497"/>
      <c r="J6076" s="497"/>
      <c r="K6076" s="500"/>
      <c r="L6076" s="497"/>
      <c r="M6076"/>
      <c r="N6076" s="498"/>
      <c r="O6076" s="498"/>
      <c r="P6076" s="498"/>
      <c r="Q6076" s="498"/>
      <c r="R6076" s="498"/>
      <c r="T6076" s="498"/>
      <c r="U6076" s="498"/>
      <c r="V6076" s="498"/>
      <c r="W6076" s="498"/>
      <c r="X6076" s="498"/>
      <c r="Y6076" s="498"/>
      <c r="Z6076" s="498"/>
      <c r="AA6076" s="498"/>
      <c r="AB6076" s="498"/>
      <c r="AC6076" s="498"/>
      <c r="AD6076" s="498"/>
      <c r="AE6076" s="498"/>
      <c r="AF6076" s="498"/>
      <c r="AG6076" s="498"/>
      <c r="AH6076" s="498"/>
      <c r="AI6076" s="498"/>
      <c r="AK6076" s="498"/>
      <c r="AL6076" s="498"/>
      <c r="AM6076" s="498"/>
      <c r="AN6076" s="498"/>
      <c r="AO6076" s="498"/>
      <c r="AP6076" s="498"/>
      <c r="AQ6076" s="498"/>
      <c r="AR6076" s="498"/>
      <c r="AS6076" s="498"/>
      <c r="AT6076" s="498"/>
      <c r="AU6076" s="498"/>
      <c r="AV6076" s="498"/>
      <c r="AW6076" s="498"/>
      <c r="AX6076" s="498"/>
      <c r="AY6076" s="498"/>
      <c r="AZ6076" s="498"/>
      <c r="BA6076" s="498"/>
    </row>
    <row r="6077" spans="1:53" s="499" customFormat="1" x14ac:dyDescent="0.25">
      <c r="A6077" s="500"/>
      <c r="B6077" s="501"/>
      <c r="C6077" s="502"/>
      <c r="D6077" s="497"/>
      <c r="E6077" s="497"/>
      <c r="F6077" s="502"/>
      <c r="G6077" s="497"/>
      <c r="H6077" s="497"/>
      <c r="I6077" s="497"/>
      <c r="J6077" s="497"/>
      <c r="K6077" s="500"/>
      <c r="L6077" s="497"/>
      <c r="M6077"/>
      <c r="N6077" s="498"/>
      <c r="O6077" s="498"/>
      <c r="P6077" s="498"/>
      <c r="Q6077" s="498"/>
      <c r="R6077" s="498"/>
      <c r="T6077" s="498"/>
      <c r="U6077" s="498"/>
      <c r="V6077" s="498"/>
      <c r="W6077" s="498"/>
      <c r="X6077" s="498"/>
      <c r="Y6077" s="498"/>
      <c r="Z6077" s="498"/>
      <c r="AA6077" s="498"/>
      <c r="AB6077" s="498"/>
      <c r="AC6077" s="498"/>
      <c r="AD6077" s="498"/>
      <c r="AE6077" s="498"/>
      <c r="AF6077" s="498"/>
      <c r="AG6077" s="498"/>
      <c r="AH6077" s="498"/>
      <c r="AI6077" s="498"/>
      <c r="AK6077" s="498"/>
      <c r="AL6077" s="498"/>
      <c r="AM6077" s="498"/>
      <c r="AN6077" s="498"/>
      <c r="AO6077" s="498"/>
      <c r="AP6077" s="498"/>
      <c r="AQ6077" s="498"/>
      <c r="AR6077" s="498"/>
      <c r="AS6077" s="498"/>
      <c r="AT6077" s="498"/>
      <c r="AU6077" s="498"/>
      <c r="AV6077" s="498"/>
      <c r="AW6077" s="498"/>
      <c r="AX6077" s="498"/>
      <c r="AY6077" s="498"/>
      <c r="AZ6077" s="498"/>
      <c r="BA6077" s="498"/>
    </row>
    <row r="6078" spans="1:53" s="499" customFormat="1" x14ac:dyDescent="0.25">
      <c r="A6078" s="500"/>
      <c r="B6078" s="501"/>
      <c r="C6078" s="502"/>
      <c r="D6078" s="497"/>
      <c r="E6078" s="497"/>
      <c r="F6078" s="502"/>
      <c r="G6078" s="497"/>
      <c r="H6078" s="497"/>
      <c r="I6078" s="497"/>
      <c r="J6078" s="497"/>
      <c r="K6078" s="500"/>
      <c r="L6078" s="497"/>
      <c r="M6078"/>
      <c r="N6078" s="498"/>
      <c r="O6078" s="498"/>
      <c r="P6078" s="498"/>
      <c r="Q6078" s="498"/>
      <c r="R6078" s="498"/>
      <c r="T6078" s="498"/>
      <c r="U6078" s="498"/>
      <c r="V6078" s="498"/>
      <c r="W6078" s="498"/>
      <c r="X6078" s="498"/>
      <c r="Y6078" s="498"/>
      <c r="Z6078" s="498"/>
      <c r="AA6078" s="498"/>
      <c r="AB6078" s="498"/>
      <c r="AC6078" s="498"/>
      <c r="AD6078" s="498"/>
      <c r="AE6078" s="498"/>
      <c r="AF6078" s="498"/>
      <c r="AG6078" s="498"/>
      <c r="AH6078" s="498"/>
      <c r="AI6078" s="498"/>
      <c r="AK6078" s="498"/>
      <c r="AL6078" s="498"/>
      <c r="AM6078" s="498"/>
      <c r="AN6078" s="498"/>
      <c r="AO6078" s="498"/>
      <c r="AP6078" s="498"/>
      <c r="AQ6078" s="498"/>
      <c r="AR6078" s="498"/>
      <c r="AS6078" s="498"/>
      <c r="AT6078" s="498"/>
      <c r="AU6078" s="498"/>
      <c r="AV6078" s="498"/>
      <c r="AW6078" s="498"/>
      <c r="AX6078" s="498"/>
      <c r="AY6078" s="498"/>
      <c r="AZ6078" s="498"/>
      <c r="BA6078" s="498"/>
    </row>
    <row r="6079" spans="1:53" s="499" customFormat="1" x14ac:dyDescent="0.25">
      <c r="A6079" s="500"/>
      <c r="B6079" s="501"/>
      <c r="C6079" s="502"/>
      <c r="D6079" s="497"/>
      <c r="E6079" s="497"/>
      <c r="F6079" s="502"/>
      <c r="G6079" s="497"/>
      <c r="H6079" s="497"/>
      <c r="I6079" s="497"/>
      <c r="J6079" s="497"/>
      <c r="K6079" s="500"/>
      <c r="L6079" s="497"/>
      <c r="M6079"/>
      <c r="N6079" s="498"/>
      <c r="O6079" s="498"/>
      <c r="P6079" s="498"/>
      <c r="Q6079" s="498"/>
      <c r="R6079" s="498"/>
      <c r="T6079" s="498"/>
      <c r="U6079" s="498"/>
      <c r="V6079" s="498"/>
      <c r="W6079" s="498"/>
      <c r="X6079" s="498"/>
      <c r="Y6079" s="498"/>
      <c r="Z6079" s="498"/>
      <c r="AA6079" s="498"/>
      <c r="AB6079" s="498"/>
      <c r="AC6079" s="498"/>
      <c r="AD6079" s="498"/>
      <c r="AE6079" s="498"/>
      <c r="AF6079" s="498"/>
      <c r="AG6079" s="498"/>
      <c r="AH6079" s="498"/>
      <c r="AI6079" s="498"/>
      <c r="AK6079" s="498"/>
      <c r="AL6079" s="498"/>
      <c r="AM6079" s="498"/>
      <c r="AN6079" s="498"/>
      <c r="AO6079" s="498"/>
      <c r="AP6079" s="498"/>
      <c r="AQ6079" s="498"/>
      <c r="AR6079" s="498"/>
      <c r="AS6079" s="498"/>
      <c r="AT6079" s="498"/>
      <c r="AU6079" s="498"/>
      <c r="AV6079" s="498"/>
      <c r="AW6079" s="498"/>
      <c r="AX6079" s="498"/>
      <c r="AY6079" s="498"/>
      <c r="AZ6079" s="498"/>
      <c r="BA6079" s="498"/>
    </row>
    <row r="6080" spans="1:53" s="499" customFormat="1" x14ac:dyDescent="0.25">
      <c r="A6080" s="500"/>
      <c r="B6080" s="501"/>
      <c r="C6080" s="502"/>
      <c r="D6080" s="497"/>
      <c r="E6080" s="497"/>
      <c r="F6080" s="502"/>
      <c r="G6080" s="497"/>
      <c r="H6080" s="497"/>
      <c r="I6080" s="497"/>
      <c r="J6080" s="497"/>
      <c r="K6080" s="500"/>
      <c r="L6080" s="497"/>
      <c r="M6080"/>
      <c r="N6080" s="498"/>
      <c r="O6080" s="498"/>
      <c r="P6080" s="498"/>
      <c r="Q6080" s="498"/>
      <c r="R6080" s="498"/>
      <c r="T6080" s="498"/>
      <c r="U6080" s="498"/>
      <c r="V6080" s="498"/>
      <c r="W6080" s="498"/>
      <c r="X6080" s="498"/>
      <c r="Y6080" s="498"/>
      <c r="Z6080" s="498"/>
      <c r="AA6080" s="498"/>
      <c r="AB6080" s="498"/>
      <c r="AC6080" s="498"/>
      <c r="AD6080" s="498"/>
      <c r="AE6080" s="498"/>
      <c r="AF6080" s="498"/>
      <c r="AG6080" s="498"/>
      <c r="AH6080" s="498"/>
      <c r="AI6080" s="498"/>
      <c r="AK6080" s="498"/>
      <c r="AL6080" s="498"/>
      <c r="AM6080" s="498"/>
      <c r="AN6080" s="498"/>
      <c r="AO6080" s="498"/>
      <c r="AP6080" s="498"/>
      <c r="AQ6080" s="498"/>
      <c r="AR6080" s="498"/>
      <c r="AS6080" s="498"/>
      <c r="AT6080" s="498"/>
      <c r="AU6080" s="498"/>
      <c r="AV6080" s="498"/>
      <c r="AW6080" s="498"/>
      <c r="AX6080" s="498"/>
      <c r="AY6080" s="498"/>
      <c r="AZ6080" s="498"/>
      <c r="BA6080" s="498"/>
    </row>
    <row r="6081" spans="1:53" s="499" customFormat="1" x14ac:dyDescent="0.25">
      <c r="A6081" s="500"/>
      <c r="B6081" s="501"/>
      <c r="C6081" s="502"/>
      <c r="D6081" s="497"/>
      <c r="E6081" s="497"/>
      <c r="F6081" s="502"/>
      <c r="G6081" s="497"/>
      <c r="H6081" s="497"/>
      <c r="I6081" s="497"/>
      <c r="J6081" s="497"/>
      <c r="K6081" s="500"/>
      <c r="L6081" s="497"/>
      <c r="M6081"/>
      <c r="N6081" s="498"/>
      <c r="O6081" s="498"/>
      <c r="P6081" s="498"/>
      <c r="Q6081" s="498"/>
      <c r="R6081" s="498"/>
      <c r="T6081" s="498"/>
      <c r="U6081" s="498"/>
      <c r="V6081" s="498"/>
      <c r="W6081" s="498"/>
      <c r="X6081" s="498"/>
      <c r="Y6081" s="498"/>
      <c r="Z6081" s="498"/>
      <c r="AA6081" s="498"/>
      <c r="AB6081" s="498"/>
      <c r="AC6081" s="498"/>
      <c r="AD6081" s="498"/>
      <c r="AE6081" s="498"/>
      <c r="AF6081" s="498"/>
      <c r="AG6081" s="498"/>
      <c r="AH6081" s="498"/>
      <c r="AI6081" s="498"/>
      <c r="AK6081" s="498"/>
      <c r="AL6081" s="498"/>
      <c r="AM6081" s="498"/>
      <c r="AN6081" s="498"/>
      <c r="AO6081" s="498"/>
      <c r="AP6081" s="498"/>
      <c r="AQ6081" s="498"/>
      <c r="AR6081" s="498"/>
      <c r="AS6081" s="498"/>
      <c r="AT6081" s="498"/>
      <c r="AU6081" s="498"/>
      <c r="AV6081" s="498"/>
      <c r="AW6081" s="498"/>
      <c r="AX6081" s="498"/>
      <c r="AY6081" s="498"/>
      <c r="AZ6081" s="498"/>
      <c r="BA6081" s="498"/>
    </row>
    <row r="6082" spans="1:53" s="499" customFormat="1" x14ac:dyDescent="0.25">
      <c r="A6082" s="500"/>
      <c r="B6082" s="501"/>
      <c r="C6082" s="502"/>
      <c r="D6082" s="497"/>
      <c r="E6082" s="497"/>
      <c r="F6082" s="502"/>
      <c r="G6082" s="497"/>
      <c r="H6082" s="497"/>
      <c r="I6082" s="497"/>
      <c r="J6082" s="497"/>
      <c r="K6082" s="500"/>
      <c r="L6082" s="497"/>
      <c r="M6082"/>
      <c r="N6082" s="498"/>
      <c r="O6082" s="498"/>
      <c r="P6082" s="498"/>
      <c r="Q6082" s="498"/>
      <c r="R6082" s="498"/>
      <c r="T6082" s="498"/>
      <c r="U6082" s="498"/>
      <c r="V6082" s="498"/>
      <c r="W6082" s="498"/>
      <c r="X6082" s="498"/>
      <c r="Y6082" s="498"/>
      <c r="Z6082" s="498"/>
      <c r="AA6082" s="498"/>
      <c r="AB6082" s="498"/>
      <c r="AC6082" s="498"/>
      <c r="AD6082" s="498"/>
      <c r="AE6082" s="498"/>
      <c r="AF6082" s="498"/>
      <c r="AG6082" s="498"/>
      <c r="AH6082" s="498"/>
      <c r="AI6082" s="498"/>
      <c r="AK6082" s="498"/>
      <c r="AL6082" s="498"/>
      <c r="AM6082" s="498"/>
      <c r="AN6082" s="498"/>
      <c r="AO6082" s="498"/>
      <c r="AP6082" s="498"/>
      <c r="AQ6082" s="498"/>
      <c r="AR6082" s="498"/>
      <c r="AS6082" s="498"/>
      <c r="AT6082" s="498"/>
      <c r="AU6082" s="498"/>
      <c r="AV6082" s="498"/>
      <c r="AW6082" s="498"/>
      <c r="AX6082" s="498"/>
      <c r="AY6082" s="498"/>
      <c r="AZ6082" s="498"/>
      <c r="BA6082" s="498"/>
    </row>
    <row r="6083" spans="1:53" s="499" customFormat="1" x14ac:dyDescent="0.25">
      <c r="A6083" s="500"/>
      <c r="B6083" s="501"/>
      <c r="C6083" s="502"/>
      <c r="D6083" s="497"/>
      <c r="E6083" s="497"/>
      <c r="F6083" s="502"/>
      <c r="G6083" s="497"/>
      <c r="H6083" s="497"/>
      <c r="I6083" s="497"/>
      <c r="J6083" s="497"/>
      <c r="K6083" s="500"/>
      <c r="L6083" s="497"/>
      <c r="M6083"/>
      <c r="N6083" s="498"/>
      <c r="O6083" s="498"/>
      <c r="P6083" s="498"/>
      <c r="Q6083" s="498"/>
      <c r="R6083" s="498"/>
      <c r="T6083" s="498"/>
      <c r="U6083" s="498"/>
      <c r="V6083" s="498"/>
      <c r="W6083" s="498"/>
      <c r="X6083" s="498"/>
      <c r="Y6083" s="498"/>
      <c r="Z6083" s="498"/>
      <c r="AA6083" s="498"/>
      <c r="AB6083" s="498"/>
      <c r="AC6083" s="498"/>
      <c r="AD6083" s="498"/>
      <c r="AE6083" s="498"/>
      <c r="AF6083" s="498"/>
      <c r="AG6083" s="498"/>
      <c r="AH6083" s="498"/>
      <c r="AI6083" s="498"/>
      <c r="AK6083" s="498"/>
      <c r="AL6083" s="498"/>
      <c r="AM6083" s="498"/>
      <c r="AN6083" s="498"/>
      <c r="AO6083" s="498"/>
      <c r="AP6083" s="498"/>
      <c r="AQ6083" s="498"/>
      <c r="AR6083" s="498"/>
      <c r="AS6083" s="498"/>
      <c r="AT6083" s="498"/>
      <c r="AU6083" s="498"/>
      <c r="AV6083" s="498"/>
      <c r="AW6083" s="498"/>
      <c r="AX6083" s="498"/>
      <c r="AY6083" s="498"/>
      <c r="AZ6083" s="498"/>
      <c r="BA6083" s="498"/>
    </row>
    <row r="6084" spans="1:53" s="499" customFormat="1" x14ac:dyDescent="0.25">
      <c r="A6084" s="500"/>
      <c r="B6084" s="501"/>
      <c r="C6084" s="502"/>
      <c r="D6084" s="497"/>
      <c r="E6084" s="497"/>
      <c r="F6084" s="502"/>
      <c r="G6084" s="497"/>
      <c r="H6084" s="497"/>
      <c r="I6084" s="497"/>
      <c r="J6084" s="497"/>
      <c r="K6084" s="500"/>
      <c r="L6084" s="497"/>
      <c r="M6084"/>
      <c r="N6084" s="498"/>
      <c r="O6084" s="498"/>
      <c r="P6084" s="498"/>
      <c r="Q6084" s="498"/>
      <c r="R6084" s="498"/>
      <c r="T6084" s="498"/>
      <c r="U6084" s="498"/>
      <c r="V6084" s="498"/>
      <c r="W6084" s="498"/>
      <c r="X6084" s="498"/>
      <c r="Y6084" s="498"/>
      <c r="Z6084" s="498"/>
      <c r="AA6084" s="498"/>
      <c r="AB6084" s="498"/>
      <c r="AC6084" s="498"/>
      <c r="AD6084" s="498"/>
      <c r="AE6084" s="498"/>
      <c r="AF6084" s="498"/>
      <c r="AG6084" s="498"/>
      <c r="AH6084" s="498"/>
      <c r="AI6084" s="498"/>
      <c r="AK6084" s="498"/>
      <c r="AL6084" s="498"/>
      <c r="AM6084" s="498"/>
      <c r="AN6084" s="498"/>
      <c r="AO6084" s="498"/>
      <c r="AP6084" s="498"/>
      <c r="AQ6084" s="498"/>
      <c r="AR6084" s="498"/>
      <c r="AS6084" s="498"/>
      <c r="AT6084" s="498"/>
      <c r="AU6084" s="498"/>
      <c r="AV6084" s="498"/>
      <c r="AW6084" s="498"/>
      <c r="AX6084" s="498"/>
      <c r="AY6084" s="498"/>
      <c r="AZ6084" s="498"/>
      <c r="BA6084" s="498"/>
    </row>
    <row r="6085" spans="1:53" s="499" customFormat="1" x14ac:dyDescent="0.25">
      <c r="A6085" s="500"/>
      <c r="B6085" s="501"/>
      <c r="C6085" s="502"/>
      <c r="D6085" s="497"/>
      <c r="E6085" s="497"/>
      <c r="F6085" s="502"/>
      <c r="G6085" s="497"/>
      <c r="H6085" s="497"/>
      <c r="I6085" s="497"/>
      <c r="J6085" s="497"/>
      <c r="K6085" s="500"/>
      <c r="L6085" s="497"/>
      <c r="M6085"/>
      <c r="N6085" s="498"/>
      <c r="O6085" s="498"/>
      <c r="P6085" s="498"/>
      <c r="Q6085" s="498"/>
      <c r="R6085" s="498"/>
      <c r="T6085" s="498"/>
      <c r="U6085" s="498"/>
      <c r="V6085" s="498"/>
      <c r="W6085" s="498"/>
      <c r="X6085" s="498"/>
      <c r="Y6085" s="498"/>
      <c r="Z6085" s="498"/>
      <c r="AA6085" s="498"/>
      <c r="AB6085" s="498"/>
      <c r="AC6085" s="498"/>
      <c r="AD6085" s="498"/>
      <c r="AE6085" s="498"/>
      <c r="AF6085" s="498"/>
      <c r="AG6085" s="498"/>
      <c r="AH6085" s="498"/>
      <c r="AI6085" s="498"/>
      <c r="AK6085" s="498"/>
      <c r="AL6085" s="498"/>
      <c r="AM6085" s="498"/>
      <c r="AN6085" s="498"/>
      <c r="AO6085" s="498"/>
      <c r="AP6085" s="498"/>
      <c r="AQ6085" s="498"/>
      <c r="AR6085" s="498"/>
      <c r="AS6085" s="498"/>
      <c r="AT6085" s="498"/>
      <c r="AU6085" s="498"/>
      <c r="AV6085" s="498"/>
      <c r="AW6085" s="498"/>
      <c r="AX6085" s="498"/>
      <c r="AY6085" s="498"/>
      <c r="AZ6085" s="498"/>
      <c r="BA6085" s="498"/>
    </row>
    <row r="6086" spans="1:53" s="499" customFormat="1" x14ac:dyDescent="0.25">
      <c r="A6086" s="500"/>
      <c r="B6086" s="501"/>
      <c r="C6086" s="502"/>
      <c r="D6086" s="497"/>
      <c r="E6086" s="497"/>
      <c r="F6086" s="502"/>
      <c r="G6086" s="497"/>
      <c r="H6086" s="497"/>
      <c r="I6086" s="497"/>
      <c r="J6086" s="497"/>
      <c r="K6086" s="500"/>
      <c r="L6086" s="497"/>
      <c r="M6086"/>
      <c r="N6086" s="498"/>
      <c r="O6086" s="498"/>
      <c r="P6086" s="498"/>
      <c r="Q6086" s="498"/>
      <c r="R6086" s="498"/>
      <c r="T6086" s="498"/>
      <c r="U6086" s="498"/>
      <c r="V6086" s="498"/>
      <c r="W6086" s="498"/>
      <c r="X6086" s="498"/>
      <c r="Y6086" s="498"/>
      <c r="Z6086" s="498"/>
      <c r="AA6086" s="498"/>
      <c r="AB6086" s="498"/>
      <c r="AC6086" s="498"/>
      <c r="AD6086" s="498"/>
      <c r="AE6086" s="498"/>
      <c r="AF6086" s="498"/>
      <c r="AG6086" s="498"/>
      <c r="AH6086" s="498"/>
      <c r="AI6086" s="498"/>
      <c r="AK6086" s="498"/>
      <c r="AL6086" s="498"/>
      <c r="AM6086" s="498"/>
      <c r="AN6086" s="498"/>
      <c r="AO6086" s="498"/>
      <c r="AP6086" s="498"/>
      <c r="AQ6086" s="498"/>
      <c r="AR6086" s="498"/>
      <c r="AS6086" s="498"/>
      <c r="AT6086" s="498"/>
      <c r="AU6086" s="498"/>
      <c r="AV6086" s="498"/>
      <c r="AW6086" s="498"/>
      <c r="AX6086" s="498"/>
      <c r="AY6086" s="498"/>
      <c r="AZ6086" s="498"/>
      <c r="BA6086" s="498"/>
    </row>
    <row r="6087" spans="1:53" s="499" customFormat="1" x14ac:dyDescent="0.25">
      <c r="A6087" s="500"/>
      <c r="B6087" s="501"/>
      <c r="C6087" s="502"/>
      <c r="D6087" s="497"/>
      <c r="E6087" s="497"/>
      <c r="F6087" s="502"/>
      <c r="G6087" s="497"/>
      <c r="H6087" s="497"/>
      <c r="I6087" s="497"/>
      <c r="J6087" s="497"/>
      <c r="K6087" s="500"/>
      <c r="L6087" s="497"/>
      <c r="M6087"/>
      <c r="N6087" s="498"/>
      <c r="O6087" s="498"/>
      <c r="P6087" s="498"/>
      <c r="Q6087" s="498"/>
      <c r="R6087" s="498"/>
      <c r="T6087" s="498"/>
      <c r="U6087" s="498"/>
      <c r="V6087" s="498"/>
      <c r="W6087" s="498"/>
      <c r="X6087" s="498"/>
      <c r="Y6087" s="498"/>
      <c r="Z6087" s="498"/>
      <c r="AA6087" s="498"/>
      <c r="AB6087" s="498"/>
      <c r="AC6087" s="498"/>
      <c r="AD6087" s="498"/>
      <c r="AE6087" s="498"/>
      <c r="AF6087" s="498"/>
      <c r="AG6087" s="498"/>
      <c r="AH6087" s="498"/>
      <c r="AI6087" s="498"/>
      <c r="AK6087" s="498"/>
      <c r="AL6087" s="498"/>
      <c r="AM6087" s="498"/>
      <c r="AN6087" s="498"/>
      <c r="AO6087" s="498"/>
      <c r="AP6087" s="498"/>
      <c r="AQ6087" s="498"/>
      <c r="AR6087" s="498"/>
      <c r="AS6087" s="498"/>
      <c r="AT6087" s="498"/>
      <c r="AU6087" s="498"/>
      <c r="AV6087" s="498"/>
      <c r="AW6087" s="498"/>
      <c r="AX6087" s="498"/>
      <c r="AY6087" s="498"/>
      <c r="AZ6087" s="498"/>
      <c r="BA6087" s="498"/>
    </row>
    <row r="6088" spans="1:53" s="499" customFormat="1" x14ac:dyDescent="0.25">
      <c r="A6088" s="500"/>
      <c r="B6088" s="501"/>
      <c r="C6088" s="502"/>
      <c r="D6088" s="497"/>
      <c r="E6088" s="497"/>
      <c r="F6088" s="502"/>
      <c r="G6088" s="497"/>
      <c r="H6088" s="497"/>
      <c r="I6088" s="497"/>
      <c r="J6088" s="497"/>
      <c r="K6088" s="500"/>
      <c r="L6088" s="497"/>
      <c r="M6088"/>
      <c r="N6088" s="498"/>
      <c r="O6088" s="498"/>
      <c r="P6088" s="498"/>
      <c r="Q6088" s="498"/>
      <c r="R6088" s="498"/>
      <c r="T6088" s="498"/>
      <c r="U6088" s="498"/>
      <c r="V6088" s="498"/>
      <c r="W6088" s="498"/>
      <c r="X6088" s="498"/>
      <c r="Y6088" s="498"/>
      <c r="Z6088" s="498"/>
      <c r="AA6088" s="498"/>
      <c r="AB6088" s="498"/>
      <c r="AC6088" s="498"/>
      <c r="AD6088" s="498"/>
      <c r="AE6088" s="498"/>
      <c r="AF6088" s="498"/>
      <c r="AG6088" s="498"/>
      <c r="AH6088" s="498"/>
      <c r="AI6088" s="498"/>
      <c r="AK6088" s="498"/>
      <c r="AL6088" s="498"/>
      <c r="AM6088" s="498"/>
      <c r="AN6088" s="498"/>
      <c r="AO6088" s="498"/>
      <c r="AP6088" s="498"/>
      <c r="AQ6088" s="498"/>
      <c r="AR6088" s="498"/>
      <c r="AS6088" s="498"/>
      <c r="AT6088" s="498"/>
      <c r="AU6088" s="498"/>
      <c r="AV6088" s="498"/>
      <c r="AW6088" s="498"/>
      <c r="AX6088" s="498"/>
      <c r="AY6088" s="498"/>
      <c r="AZ6088" s="498"/>
      <c r="BA6088" s="498"/>
    </row>
    <row r="6089" spans="1:53" s="499" customFormat="1" x14ac:dyDescent="0.25">
      <c r="A6089" s="500"/>
      <c r="B6089" s="501"/>
      <c r="C6089" s="502"/>
      <c r="D6089" s="497"/>
      <c r="E6089" s="497"/>
      <c r="F6089" s="502"/>
      <c r="G6089" s="497"/>
      <c r="H6089" s="497"/>
      <c r="I6089" s="497"/>
      <c r="J6089" s="497"/>
      <c r="K6089" s="500"/>
      <c r="L6089" s="497"/>
      <c r="M6089"/>
      <c r="N6089" s="498"/>
      <c r="O6089" s="498"/>
      <c r="P6089" s="498"/>
      <c r="Q6089" s="498"/>
      <c r="R6089" s="498"/>
      <c r="T6089" s="498"/>
      <c r="U6089" s="498"/>
      <c r="V6089" s="498"/>
      <c r="W6089" s="498"/>
      <c r="X6089" s="498"/>
      <c r="Y6089" s="498"/>
      <c r="Z6089" s="498"/>
      <c r="AA6089" s="498"/>
      <c r="AB6089" s="498"/>
      <c r="AC6089" s="498"/>
      <c r="AD6089" s="498"/>
      <c r="AE6089" s="498"/>
      <c r="AF6089" s="498"/>
      <c r="AG6089" s="498"/>
      <c r="AH6089" s="498"/>
      <c r="AI6089" s="498"/>
      <c r="AK6089" s="498"/>
      <c r="AL6089" s="498"/>
      <c r="AM6089" s="498"/>
      <c r="AN6089" s="498"/>
      <c r="AO6089" s="498"/>
      <c r="AP6089" s="498"/>
      <c r="AQ6089" s="498"/>
      <c r="AR6089" s="498"/>
      <c r="AS6089" s="498"/>
      <c r="AT6089" s="498"/>
      <c r="AU6089" s="498"/>
      <c r="AV6089" s="498"/>
      <c r="AW6089" s="498"/>
      <c r="AX6089" s="498"/>
      <c r="AY6089" s="498"/>
      <c r="AZ6089" s="498"/>
      <c r="BA6089" s="498"/>
    </row>
    <row r="6090" spans="1:53" s="499" customFormat="1" x14ac:dyDescent="0.25">
      <c r="A6090" s="500"/>
      <c r="B6090" s="501"/>
      <c r="C6090" s="502"/>
      <c r="D6090" s="497"/>
      <c r="E6090" s="497"/>
      <c r="F6090" s="502"/>
      <c r="G6090" s="497"/>
      <c r="H6090" s="497"/>
      <c r="I6090" s="497"/>
      <c r="J6090" s="497"/>
      <c r="K6090" s="500"/>
      <c r="L6090" s="497"/>
      <c r="M6090"/>
      <c r="N6090" s="498"/>
      <c r="O6090" s="498"/>
      <c r="P6090" s="498"/>
      <c r="Q6090" s="498"/>
      <c r="R6090" s="498"/>
      <c r="T6090" s="498"/>
      <c r="U6090" s="498"/>
      <c r="V6090" s="498"/>
      <c r="W6090" s="498"/>
      <c r="X6090" s="498"/>
      <c r="Y6090" s="498"/>
      <c r="Z6090" s="498"/>
      <c r="AA6090" s="498"/>
      <c r="AB6090" s="498"/>
      <c r="AC6090" s="498"/>
      <c r="AD6090" s="498"/>
      <c r="AE6090" s="498"/>
      <c r="AF6090" s="498"/>
      <c r="AG6090" s="498"/>
      <c r="AH6090" s="498"/>
      <c r="AI6090" s="498"/>
      <c r="AK6090" s="498"/>
      <c r="AL6090" s="498"/>
      <c r="AM6090" s="498"/>
      <c r="AN6090" s="498"/>
      <c r="AO6090" s="498"/>
      <c r="AP6090" s="498"/>
      <c r="AQ6090" s="498"/>
      <c r="AR6090" s="498"/>
      <c r="AS6090" s="498"/>
      <c r="AT6090" s="498"/>
      <c r="AU6090" s="498"/>
      <c r="AV6090" s="498"/>
      <c r="AW6090" s="498"/>
      <c r="AX6090" s="498"/>
      <c r="AY6090" s="498"/>
      <c r="AZ6090" s="498"/>
      <c r="BA6090" s="498"/>
    </row>
    <row r="6091" spans="1:53" s="499" customFormat="1" x14ac:dyDescent="0.25">
      <c r="A6091" s="500"/>
      <c r="B6091" s="501"/>
      <c r="C6091" s="502"/>
      <c r="D6091" s="497"/>
      <c r="E6091" s="497"/>
      <c r="F6091" s="502"/>
      <c r="G6091" s="497"/>
      <c r="H6091" s="497"/>
      <c r="I6091" s="497"/>
      <c r="J6091" s="497"/>
      <c r="K6091" s="500"/>
      <c r="L6091" s="497"/>
      <c r="M6091"/>
      <c r="N6091" s="498"/>
      <c r="O6091" s="498"/>
      <c r="P6091" s="498"/>
      <c r="Q6091" s="498"/>
      <c r="R6091" s="498"/>
      <c r="T6091" s="498"/>
      <c r="U6091" s="498"/>
      <c r="V6091" s="498"/>
      <c r="W6091" s="498"/>
      <c r="X6091" s="498"/>
      <c r="Y6091" s="498"/>
      <c r="Z6091" s="498"/>
      <c r="AA6091" s="498"/>
      <c r="AB6091" s="498"/>
      <c r="AC6091" s="498"/>
      <c r="AD6091" s="498"/>
      <c r="AE6091" s="498"/>
      <c r="AF6091" s="498"/>
      <c r="AG6091" s="498"/>
      <c r="AH6091" s="498"/>
      <c r="AI6091" s="498"/>
      <c r="AK6091" s="498"/>
      <c r="AL6091" s="498"/>
      <c r="AM6091" s="498"/>
      <c r="AN6091" s="498"/>
      <c r="AO6091" s="498"/>
      <c r="AP6091" s="498"/>
      <c r="AQ6091" s="498"/>
      <c r="AR6091" s="498"/>
      <c r="AS6091" s="498"/>
      <c r="AT6091" s="498"/>
      <c r="AU6091" s="498"/>
      <c r="AV6091" s="498"/>
      <c r="AW6091" s="498"/>
      <c r="AX6091" s="498"/>
      <c r="AY6091" s="498"/>
      <c r="AZ6091" s="498"/>
      <c r="BA6091" s="498"/>
    </row>
    <row r="6092" spans="1:53" s="499" customFormat="1" x14ac:dyDescent="0.25">
      <c r="A6092" s="500"/>
      <c r="B6092" s="501"/>
      <c r="C6092" s="502"/>
      <c r="D6092" s="497"/>
      <c r="E6092" s="497"/>
      <c r="F6092" s="502"/>
      <c r="G6092" s="497"/>
      <c r="H6092" s="497"/>
      <c r="I6092" s="497"/>
      <c r="J6092" s="497"/>
      <c r="K6092" s="500"/>
      <c r="L6092" s="497"/>
      <c r="M6092"/>
      <c r="N6092" s="498"/>
      <c r="O6092" s="498"/>
      <c r="P6092" s="498"/>
      <c r="Q6092" s="498"/>
      <c r="R6092" s="498"/>
      <c r="T6092" s="498"/>
      <c r="U6092" s="498"/>
      <c r="V6092" s="498"/>
      <c r="W6092" s="498"/>
      <c r="X6092" s="498"/>
      <c r="Y6092" s="498"/>
      <c r="Z6092" s="498"/>
      <c r="AA6092" s="498"/>
      <c r="AB6092" s="498"/>
      <c r="AC6092" s="498"/>
      <c r="AD6092" s="498"/>
      <c r="AE6092" s="498"/>
      <c r="AF6092" s="498"/>
      <c r="AG6092" s="498"/>
      <c r="AH6092" s="498"/>
      <c r="AI6092" s="498"/>
      <c r="AK6092" s="498"/>
      <c r="AL6092" s="498"/>
      <c r="AM6092" s="498"/>
      <c r="AN6092" s="498"/>
      <c r="AO6092" s="498"/>
      <c r="AP6092" s="498"/>
      <c r="AQ6092" s="498"/>
      <c r="AR6092" s="498"/>
      <c r="AS6092" s="498"/>
      <c r="AT6092" s="498"/>
      <c r="AU6092" s="498"/>
      <c r="AV6092" s="498"/>
      <c r="AW6092" s="498"/>
      <c r="AX6092" s="498"/>
      <c r="AY6092" s="498"/>
      <c r="AZ6092" s="498"/>
      <c r="BA6092" s="498"/>
    </row>
    <row r="6093" spans="1:53" s="499" customFormat="1" x14ac:dyDescent="0.25">
      <c r="A6093" s="500"/>
      <c r="B6093" s="501"/>
      <c r="C6093" s="502"/>
      <c r="D6093" s="497"/>
      <c r="E6093" s="497"/>
      <c r="F6093" s="502"/>
      <c r="G6093" s="497"/>
      <c r="H6093" s="497"/>
      <c r="I6093" s="497"/>
      <c r="J6093" s="497"/>
      <c r="K6093" s="500"/>
      <c r="L6093" s="497"/>
      <c r="M6093"/>
      <c r="N6093" s="498"/>
      <c r="O6093" s="498"/>
      <c r="P6093" s="498"/>
      <c r="Q6093" s="498"/>
      <c r="R6093" s="498"/>
      <c r="T6093" s="498"/>
      <c r="U6093" s="498"/>
      <c r="V6093" s="498"/>
      <c r="W6093" s="498"/>
      <c r="X6093" s="498"/>
      <c r="Y6093" s="498"/>
      <c r="Z6093" s="498"/>
      <c r="AA6093" s="498"/>
      <c r="AB6093" s="498"/>
      <c r="AC6093" s="498"/>
      <c r="AD6093" s="498"/>
      <c r="AE6093" s="498"/>
      <c r="AF6093" s="498"/>
      <c r="AG6093" s="498"/>
      <c r="AH6093" s="498"/>
      <c r="AI6093" s="498"/>
      <c r="AK6093" s="498"/>
      <c r="AL6093" s="498"/>
      <c r="AM6093" s="498"/>
      <c r="AN6093" s="498"/>
      <c r="AO6093" s="498"/>
      <c r="AP6093" s="498"/>
      <c r="AQ6093" s="498"/>
      <c r="AR6093" s="498"/>
      <c r="AS6093" s="498"/>
      <c r="AT6093" s="498"/>
      <c r="AU6093" s="498"/>
      <c r="AV6093" s="498"/>
      <c r="AW6093" s="498"/>
      <c r="AX6093" s="498"/>
      <c r="AY6093" s="498"/>
      <c r="AZ6093" s="498"/>
      <c r="BA6093" s="498"/>
    </row>
    <row r="6094" spans="1:53" s="499" customFormat="1" x14ac:dyDescent="0.25">
      <c r="A6094" s="500"/>
      <c r="B6094" s="501"/>
      <c r="C6094" s="502"/>
      <c r="D6094" s="497"/>
      <c r="E6094" s="497"/>
      <c r="F6094" s="502"/>
      <c r="G6094" s="497"/>
      <c r="H6094" s="497"/>
      <c r="I6094" s="497"/>
      <c r="J6094" s="497"/>
      <c r="K6094" s="500"/>
      <c r="L6094" s="497"/>
      <c r="M6094"/>
      <c r="N6094" s="498"/>
      <c r="O6094" s="498"/>
      <c r="P6094" s="498"/>
      <c r="Q6094" s="498"/>
      <c r="R6094" s="498"/>
      <c r="T6094" s="498"/>
      <c r="U6094" s="498"/>
      <c r="V6094" s="498"/>
      <c r="W6094" s="498"/>
      <c r="X6094" s="498"/>
      <c r="Y6094" s="498"/>
      <c r="Z6094" s="498"/>
      <c r="AA6094" s="498"/>
      <c r="AB6094" s="498"/>
      <c r="AC6094" s="498"/>
      <c r="AD6094" s="498"/>
      <c r="AE6094" s="498"/>
      <c r="AF6094" s="498"/>
      <c r="AG6094" s="498"/>
      <c r="AH6094" s="498"/>
      <c r="AI6094" s="498"/>
      <c r="AK6094" s="498"/>
      <c r="AL6094" s="498"/>
      <c r="AM6094" s="498"/>
      <c r="AN6094" s="498"/>
      <c r="AO6094" s="498"/>
      <c r="AP6094" s="498"/>
      <c r="AQ6094" s="498"/>
      <c r="AR6094" s="498"/>
      <c r="AS6094" s="498"/>
      <c r="AT6094" s="498"/>
      <c r="AU6094" s="498"/>
      <c r="AV6094" s="498"/>
      <c r="AW6094" s="498"/>
      <c r="AX6094" s="498"/>
      <c r="AY6094" s="498"/>
      <c r="AZ6094" s="498"/>
      <c r="BA6094" s="498"/>
    </row>
    <row r="6095" spans="1:53" s="499" customFormat="1" x14ac:dyDescent="0.25">
      <c r="A6095" s="500"/>
      <c r="B6095" s="501"/>
      <c r="C6095" s="502"/>
      <c r="D6095" s="497"/>
      <c r="E6095" s="497"/>
      <c r="F6095" s="502"/>
      <c r="G6095" s="497"/>
      <c r="H6095" s="497"/>
      <c r="I6095" s="497"/>
      <c r="J6095" s="497"/>
      <c r="K6095" s="500"/>
      <c r="L6095" s="497"/>
      <c r="M6095"/>
      <c r="N6095" s="498"/>
      <c r="O6095" s="498"/>
      <c r="P6095" s="498"/>
      <c r="Q6095" s="498"/>
      <c r="R6095" s="498"/>
      <c r="T6095" s="498"/>
      <c r="U6095" s="498"/>
      <c r="V6095" s="498"/>
      <c r="W6095" s="498"/>
      <c r="X6095" s="498"/>
      <c r="Y6095" s="498"/>
      <c r="Z6095" s="498"/>
      <c r="AA6095" s="498"/>
      <c r="AB6095" s="498"/>
      <c r="AC6095" s="498"/>
      <c r="AD6095" s="498"/>
      <c r="AE6095" s="498"/>
      <c r="AF6095" s="498"/>
      <c r="AG6095" s="498"/>
      <c r="AH6095" s="498"/>
      <c r="AI6095" s="498"/>
      <c r="AK6095" s="498"/>
      <c r="AL6095" s="498"/>
      <c r="AM6095" s="498"/>
      <c r="AN6095" s="498"/>
      <c r="AO6095" s="498"/>
      <c r="AP6095" s="498"/>
      <c r="AQ6095" s="498"/>
      <c r="AR6095" s="498"/>
      <c r="AS6095" s="498"/>
      <c r="AT6095" s="498"/>
      <c r="AU6095" s="498"/>
      <c r="AV6095" s="498"/>
      <c r="AW6095" s="498"/>
      <c r="AX6095" s="498"/>
      <c r="AY6095" s="498"/>
      <c r="AZ6095" s="498"/>
      <c r="BA6095" s="498"/>
    </row>
    <row r="6096" spans="1:53" s="499" customFormat="1" x14ac:dyDescent="0.25">
      <c r="A6096" s="500"/>
      <c r="B6096" s="501"/>
      <c r="C6096" s="502"/>
      <c r="D6096" s="497"/>
      <c r="E6096" s="497"/>
      <c r="F6096" s="502"/>
      <c r="G6096" s="497"/>
      <c r="H6096" s="497"/>
      <c r="I6096" s="497"/>
      <c r="J6096" s="497"/>
      <c r="K6096" s="500"/>
      <c r="L6096" s="497"/>
      <c r="M6096"/>
      <c r="N6096" s="498"/>
      <c r="O6096" s="498"/>
      <c r="P6096" s="498"/>
      <c r="Q6096" s="498"/>
      <c r="R6096" s="498"/>
      <c r="T6096" s="498"/>
      <c r="U6096" s="498"/>
      <c r="V6096" s="498"/>
      <c r="W6096" s="498"/>
      <c r="X6096" s="498"/>
      <c r="Y6096" s="498"/>
      <c r="Z6096" s="498"/>
      <c r="AA6096" s="498"/>
      <c r="AB6096" s="498"/>
      <c r="AC6096" s="498"/>
      <c r="AD6096" s="498"/>
      <c r="AE6096" s="498"/>
      <c r="AF6096" s="498"/>
      <c r="AG6096" s="498"/>
      <c r="AH6096" s="498"/>
      <c r="AI6096" s="498"/>
      <c r="AK6096" s="498"/>
      <c r="AL6096" s="498"/>
      <c r="AM6096" s="498"/>
      <c r="AN6096" s="498"/>
      <c r="AO6096" s="498"/>
      <c r="AP6096" s="498"/>
      <c r="AQ6096" s="498"/>
      <c r="AR6096" s="498"/>
      <c r="AS6096" s="498"/>
      <c r="AT6096" s="498"/>
      <c r="AU6096" s="498"/>
      <c r="AV6096" s="498"/>
      <c r="AW6096" s="498"/>
      <c r="AX6096" s="498"/>
      <c r="AY6096" s="498"/>
      <c r="AZ6096" s="498"/>
      <c r="BA6096" s="498"/>
    </row>
    <row r="6097" spans="1:53" s="499" customFormat="1" x14ac:dyDescent="0.25">
      <c r="A6097" s="500"/>
      <c r="B6097" s="501"/>
      <c r="C6097" s="502"/>
      <c r="D6097" s="497"/>
      <c r="E6097" s="497"/>
      <c r="F6097" s="502"/>
      <c r="G6097" s="497"/>
      <c r="H6097" s="497"/>
      <c r="I6097" s="497"/>
      <c r="J6097" s="497"/>
      <c r="K6097" s="500"/>
      <c r="L6097" s="497"/>
      <c r="M6097"/>
      <c r="N6097" s="498"/>
      <c r="O6097" s="498"/>
      <c r="P6097" s="498"/>
      <c r="Q6097" s="498"/>
      <c r="R6097" s="498"/>
      <c r="T6097" s="498"/>
      <c r="U6097" s="498"/>
      <c r="V6097" s="498"/>
      <c r="W6097" s="498"/>
      <c r="X6097" s="498"/>
      <c r="Y6097" s="498"/>
      <c r="Z6097" s="498"/>
      <c r="AA6097" s="498"/>
      <c r="AB6097" s="498"/>
      <c r="AC6097" s="498"/>
      <c r="AD6097" s="498"/>
      <c r="AE6097" s="498"/>
      <c r="AF6097" s="498"/>
      <c r="AG6097" s="498"/>
      <c r="AH6097" s="498"/>
      <c r="AI6097" s="498"/>
      <c r="AK6097" s="498"/>
      <c r="AL6097" s="498"/>
      <c r="AM6097" s="498"/>
      <c r="AN6097" s="498"/>
      <c r="AO6097" s="498"/>
      <c r="AP6097" s="498"/>
      <c r="AQ6097" s="498"/>
      <c r="AR6097" s="498"/>
      <c r="AS6097" s="498"/>
      <c r="AT6097" s="498"/>
      <c r="AU6097" s="498"/>
      <c r="AV6097" s="498"/>
      <c r="AW6097" s="498"/>
      <c r="AX6097" s="498"/>
      <c r="AY6097" s="498"/>
      <c r="AZ6097" s="498"/>
      <c r="BA6097" s="498"/>
    </row>
    <row r="6098" spans="1:53" s="499" customFormat="1" x14ac:dyDescent="0.25">
      <c r="A6098" s="500"/>
      <c r="B6098" s="501"/>
      <c r="C6098" s="502"/>
      <c r="D6098" s="497"/>
      <c r="E6098" s="497"/>
      <c r="F6098" s="502"/>
      <c r="G6098" s="497"/>
      <c r="H6098" s="497"/>
      <c r="I6098" s="497"/>
      <c r="J6098" s="497"/>
      <c r="K6098" s="500"/>
      <c r="L6098" s="497"/>
      <c r="M6098"/>
      <c r="N6098" s="498"/>
      <c r="O6098" s="498"/>
      <c r="P6098" s="498"/>
      <c r="Q6098" s="498"/>
      <c r="R6098" s="498"/>
      <c r="T6098" s="498"/>
      <c r="U6098" s="498"/>
      <c r="V6098" s="498"/>
      <c r="W6098" s="498"/>
      <c r="X6098" s="498"/>
      <c r="Y6098" s="498"/>
      <c r="Z6098" s="498"/>
      <c r="AA6098" s="498"/>
      <c r="AB6098" s="498"/>
      <c r="AC6098" s="498"/>
      <c r="AD6098" s="498"/>
      <c r="AE6098" s="498"/>
      <c r="AF6098" s="498"/>
      <c r="AG6098" s="498"/>
      <c r="AH6098" s="498"/>
      <c r="AI6098" s="498"/>
      <c r="AK6098" s="498"/>
      <c r="AL6098" s="498"/>
      <c r="AM6098" s="498"/>
      <c r="AN6098" s="498"/>
      <c r="AO6098" s="498"/>
      <c r="AP6098" s="498"/>
      <c r="AQ6098" s="498"/>
      <c r="AR6098" s="498"/>
      <c r="AS6098" s="498"/>
      <c r="AT6098" s="498"/>
      <c r="AU6098" s="498"/>
      <c r="AV6098" s="498"/>
      <c r="AW6098" s="498"/>
      <c r="AX6098" s="498"/>
      <c r="AY6098" s="498"/>
      <c r="AZ6098" s="498"/>
      <c r="BA6098" s="498"/>
    </row>
    <row r="6099" spans="1:53" s="499" customFormat="1" x14ac:dyDescent="0.25">
      <c r="A6099" s="500"/>
      <c r="B6099" s="501"/>
      <c r="C6099" s="502"/>
      <c r="D6099" s="497"/>
      <c r="E6099" s="497"/>
      <c r="F6099" s="502"/>
      <c r="G6099" s="497"/>
      <c r="H6099" s="497"/>
      <c r="I6099" s="497"/>
      <c r="J6099" s="497"/>
      <c r="K6099" s="500"/>
      <c r="L6099" s="497"/>
      <c r="M6099"/>
      <c r="N6099" s="498"/>
      <c r="O6099" s="498"/>
      <c r="P6099" s="498"/>
      <c r="Q6099" s="498"/>
      <c r="R6099" s="498"/>
      <c r="T6099" s="498"/>
      <c r="U6099" s="498"/>
      <c r="V6099" s="498"/>
      <c r="W6099" s="498"/>
      <c r="X6099" s="498"/>
      <c r="Y6099" s="498"/>
      <c r="Z6099" s="498"/>
      <c r="AA6099" s="498"/>
      <c r="AB6099" s="498"/>
      <c r="AC6099" s="498"/>
      <c r="AD6099" s="498"/>
      <c r="AE6099" s="498"/>
      <c r="AF6099" s="498"/>
      <c r="AG6099" s="498"/>
      <c r="AH6099" s="498"/>
      <c r="AI6099" s="498"/>
      <c r="AK6099" s="498"/>
      <c r="AL6099" s="498"/>
      <c r="AM6099" s="498"/>
      <c r="AN6099" s="498"/>
      <c r="AO6099" s="498"/>
      <c r="AP6099" s="498"/>
      <c r="AQ6099" s="498"/>
      <c r="AR6099" s="498"/>
      <c r="AS6099" s="498"/>
      <c r="AT6099" s="498"/>
      <c r="AU6099" s="498"/>
      <c r="AV6099" s="498"/>
      <c r="AW6099" s="498"/>
      <c r="AX6099" s="498"/>
      <c r="AY6099" s="498"/>
      <c r="AZ6099" s="498"/>
      <c r="BA6099" s="498"/>
    </row>
    <row r="6100" spans="1:53" s="499" customFormat="1" x14ac:dyDescent="0.25">
      <c r="A6100" s="500"/>
      <c r="B6100" s="501"/>
      <c r="C6100" s="502"/>
      <c r="D6100" s="497"/>
      <c r="E6100" s="497"/>
      <c r="F6100" s="502"/>
      <c r="G6100" s="497"/>
      <c r="H6100" s="497"/>
      <c r="I6100" s="497"/>
      <c r="J6100" s="497"/>
      <c r="K6100" s="500"/>
      <c r="L6100" s="497"/>
      <c r="M6100"/>
      <c r="N6100" s="498"/>
      <c r="O6100" s="498"/>
      <c r="P6100" s="498"/>
      <c r="Q6100" s="498"/>
      <c r="R6100" s="498"/>
      <c r="T6100" s="498"/>
      <c r="U6100" s="498"/>
      <c r="V6100" s="498"/>
      <c r="W6100" s="498"/>
      <c r="X6100" s="498"/>
      <c r="Y6100" s="498"/>
      <c r="Z6100" s="498"/>
      <c r="AA6100" s="498"/>
      <c r="AB6100" s="498"/>
      <c r="AC6100" s="498"/>
      <c r="AD6100" s="498"/>
      <c r="AE6100" s="498"/>
      <c r="AF6100" s="498"/>
      <c r="AG6100" s="498"/>
      <c r="AH6100" s="498"/>
      <c r="AI6100" s="498"/>
      <c r="AK6100" s="498"/>
      <c r="AL6100" s="498"/>
      <c r="AM6100" s="498"/>
      <c r="AN6100" s="498"/>
      <c r="AO6100" s="498"/>
      <c r="AP6100" s="498"/>
      <c r="AQ6100" s="498"/>
      <c r="AR6100" s="498"/>
      <c r="AS6100" s="498"/>
      <c r="AT6100" s="498"/>
      <c r="AU6100" s="498"/>
      <c r="AV6100" s="498"/>
      <c r="AW6100" s="498"/>
      <c r="AX6100" s="498"/>
      <c r="AY6100" s="498"/>
      <c r="AZ6100" s="498"/>
      <c r="BA6100" s="498"/>
    </row>
    <row r="6101" spans="1:53" s="499" customFormat="1" x14ac:dyDescent="0.25">
      <c r="A6101" s="500"/>
      <c r="B6101" s="501"/>
      <c r="C6101" s="502"/>
      <c r="D6101" s="497"/>
      <c r="E6101" s="497"/>
      <c r="F6101" s="502"/>
      <c r="G6101" s="497"/>
      <c r="H6101" s="497"/>
      <c r="I6101" s="497"/>
      <c r="J6101" s="497"/>
      <c r="K6101" s="500"/>
      <c r="L6101" s="497"/>
      <c r="M6101"/>
      <c r="N6101" s="498"/>
      <c r="O6101" s="498"/>
      <c r="P6101" s="498"/>
      <c r="Q6101" s="498"/>
      <c r="R6101" s="498"/>
      <c r="T6101" s="498"/>
      <c r="U6101" s="498"/>
      <c r="V6101" s="498"/>
      <c r="W6101" s="498"/>
      <c r="X6101" s="498"/>
      <c r="Y6101" s="498"/>
      <c r="Z6101" s="498"/>
      <c r="AA6101" s="498"/>
      <c r="AB6101" s="498"/>
      <c r="AC6101" s="498"/>
      <c r="AD6101" s="498"/>
      <c r="AE6101" s="498"/>
      <c r="AF6101" s="498"/>
      <c r="AG6101" s="498"/>
      <c r="AH6101" s="498"/>
      <c r="AI6101" s="498"/>
      <c r="AK6101" s="498"/>
      <c r="AL6101" s="498"/>
      <c r="AM6101" s="498"/>
      <c r="AN6101" s="498"/>
      <c r="AO6101" s="498"/>
      <c r="AP6101" s="498"/>
      <c r="AQ6101" s="498"/>
      <c r="AR6101" s="498"/>
      <c r="AS6101" s="498"/>
      <c r="AT6101" s="498"/>
      <c r="AU6101" s="498"/>
      <c r="AV6101" s="498"/>
      <c r="AW6101" s="498"/>
      <c r="AX6101" s="498"/>
      <c r="AY6101" s="498"/>
      <c r="AZ6101" s="498"/>
      <c r="BA6101" s="498"/>
    </row>
    <row r="6102" spans="1:53" s="499" customFormat="1" x14ac:dyDescent="0.25">
      <c r="A6102" s="500"/>
      <c r="B6102" s="501"/>
      <c r="C6102" s="502"/>
      <c r="D6102" s="497"/>
      <c r="E6102" s="497"/>
      <c r="F6102" s="502"/>
      <c r="G6102" s="497"/>
      <c r="H6102" s="497"/>
      <c r="I6102" s="497"/>
      <c r="J6102" s="497"/>
      <c r="K6102" s="500"/>
      <c r="L6102" s="497"/>
      <c r="M6102"/>
      <c r="N6102" s="498"/>
      <c r="O6102" s="498"/>
      <c r="P6102" s="498"/>
      <c r="Q6102" s="498"/>
      <c r="R6102" s="498"/>
      <c r="T6102" s="498"/>
      <c r="U6102" s="498"/>
      <c r="V6102" s="498"/>
      <c r="W6102" s="498"/>
      <c r="X6102" s="498"/>
      <c r="Y6102" s="498"/>
      <c r="Z6102" s="498"/>
      <c r="AA6102" s="498"/>
      <c r="AB6102" s="498"/>
      <c r="AC6102" s="498"/>
      <c r="AD6102" s="498"/>
      <c r="AE6102" s="498"/>
      <c r="AF6102" s="498"/>
      <c r="AG6102" s="498"/>
      <c r="AH6102" s="498"/>
      <c r="AI6102" s="498"/>
      <c r="AK6102" s="498"/>
      <c r="AL6102" s="498"/>
      <c r="AM6102" s="498"/>
      <c r="AN6102" s="498"/>
      <c r="AO6102" s="498"/>
      <c r="AP6102" s="498"/>
      <c r="AQ6102" s="498"/>
      <c r="AR6102" s="498"/>
      <c r="AS6102" s="498"/>
      <c r="AT6102" s="498"/>
      <c r="AU6102" s="498"/>
      <c r="AV6102" s="498"/>
      <c r="AW6102" s="498"/>
      <c r="AX6102" s="498"/>
      <c r="AY6102" s="498"/>
      <c r="AZ6102" s="498"/>
      <c r="BA6102" s="498"/>
    </row>
    <row r="6103" spans="1:53" s="499" customFormat="1" x14ac:dyDescent="0.25">
      <c r="A6103" s="500"/>
      <c r="B6103" s="501"/>
      <c r="C6103" s="502"/>
      <c r="D6103" s="497"/>
      <c r="E6103" s="497"/>
      <c r="F6103" s="502"/>
      <c r="G6103" s="497"/>
      <c r="H6103" s="497"/>
      <c r="I6103" s="497"/>
      <c r="J6103" s="497"/>
      <c r="K6103" s="500"/>
      <c r="L6103" s="497"/>
      <c r="M6103"/>
      <c r="N6103" s="498"/>
      <c r="O6103" s="498"/>
      <c r="P6103" s="498"/>
      <c r="Q6103" s="498"/>
      <c r="R6103" s="498"/>
      <c r="T6103" s="498"/>
      <c r="U6103" s="498"/>
      <c r="V6103" s="498"/>
      <c r="W6103" s="498"/>
      <c r="X6103" s="498"/>
      <c r="Y6103" s="498"/>
      <c r="Z6103" s="498"/>
      <c r="AA6103" s="498"/>
      <c r="AB6103" s="498"/>
      <c r="AC6103" s="498"/>
      <c r="AD6103" s="498"/>
      <c r="AE6103" s="498"/>
      <c r="AF6103" s="498"/>
      <c r="AG6103" s="498"/>
      <c r="AH6103" s="498"/>
      <c r="AI6103" s="498"/>
      <c r="AK6103" s="498"/>
      <c r="AL6103" s="498"/>
      <c r="AM6103" s="498"/>
      <c r="AN6103" s="498"/>
      <c r="AO6103" s="498"/>
      <c r="AP6103" s="498"/>
      <c r="AQ6103" s="498"/>
      <c r="AR6103" s="498"/>
      <c r="AS6103" s="498"/>
      <c r="AT6103" s="498"/>
      <c r="AU6103" s="498"/>
      <c r="AV6103" s="498"/>
      <c r="AW6103" s="498"/>
      <c r="AX6103" s="498"/>
      <c r="AY6103" s="498"/>
      <c r="AZ6103" s="498"/>
      <c r="BA6103" s="498"/>
    </row>
    <row r="6104" spans="1:53" s="499" customFormat="1" x14ac:dyDescent="0.25">
      <c r="A6104" s="500"/>
      <c r="B6104" s="501"/>
      <c r="C6104" s="502"/>
      <c r="D6104" s="497"/>
      <c r="E6104" s="497"/>
      <c r="F6104" s="502"/>
      <c r="G6104" s="497"/>
      <c r="H6104" s="497"/>
      <c r="I6104" s="497"/>
      <c r="J6104" s="497"/>
      <c r="K6104" s="500"/>
      <c r="L6104" s="497"/>
      <c r="M6104"/>
      <c r="N6104" s="498"/>
      <c r="O6104" s="498"/>
      <c r="P6104" s="498"/>
      <c r="Q6104" s="498"/>
      <c r="R6104" s="498"/>
      <c r="T6104" s="498"/>
      <c r="U6104" s="498"/>
      <c r="V6104" s="498"/>
      <c r="W6104" s="498"/>
      <c r="X6104" s="498"/>
      <c r="Y6104" s="498"/>
      <c r="Z6104" s="498"/>
      <c r="AA6104" s="498"/>
      <c r="AB6104" s="498"/>
      <c r="AC6104" s="498"/>
      <c r="AD6104" s="498"/>
      <c r="AE6104" s="498"/>
      <c r="AF6104" s="498"/>
      <c r="AG6104" s="498"/>
      <c r="AH6104" s="498"/>
      <c r="AI6104" s="498"/>
      <c r="AK6104" s="498"/>
      <c r="AL6104" s="498"/>
      <c r="AM6104" s="498"/>
      <c r="AN6104" s="498"/>
      <c r="AO6104" s="498"/>
      <c r="AP6104" s="498"/>
      <c r="AQ6104" s="498"/>
      <c r="AR6104" s="498"/>
      <c r="AS6104" s="498"/>
      <c r="AT6104" s="498"/>
      <c r="AU6104" s="498"/>
      <c r="AV6104" s="498"/>
      <c r="AW6104" s="498"/>
      <c r="AX6104" s="498"/>
      <c r="AY6104" s="498"/>
      <c r="AZ6104" s="498"/>
      <c r="BA6104" s="498"/>
    </row>
    <row r="6105" spans="1:53" s="499" customFormat="1" x14ac:dyDescent="0.25">
      <c r="A6105" s="500"/>
      <c r="B6105" s="501"/>
      <c r="C6105" s="502"/>
      <c r="D6105" s="497"/>
      <c r="E6105" s="497"/>
      <c r="F6105" s="502"/>
      <c r="G6105" s="497"/>
      <c r="H6105" s="497"/>
      <c r="I6105" s="497"/>
      <c r="J6105" s="497"/>
      <c r="K6105" s="500"/>
      <c r="L6105" s="497"/>
      <c r="M6105"/>
      <c r="N6105" s="498"/>
      <c r="O6105" s="498"/>
      <c r="P6105" s="498"/>
      <c r="Q6105" s="498"/>
      <c r="R6105" s="498"/>
      <c r="T6105" s="498"/>
      <c r="U6105" s="498"/>
      <c r="V6105" s="498"/>
      <c r="W6105" s="498"/>
      <c r="X6105" s="498"/>
      <c r="Y6105" s="498"/>
      <c r="Z6105" s="498"/>
      <c r="AA6105" s="498"/>
      <c r="AB6105" s="498"/>
      <c r="AC6105" s="498"/>
      <c r="AD6105" s="498"/>
      <c r="AE6105" s="498"/>
      <c r="AF6105" s="498"/>
      <c r="AG6105" s="498"/>
      <c r="AH6105" s="498"/>
      <c r="AI6105" s="498"/>
      <c r="AK6105" s="498"/>
      <c r="AL6105" s="498"/>
      <c r="AM6105" s="498"/>
      <c r="AN6105" s="498"/>
      <c r="AO6105" s="498"/>
      <c r="AP6105" s="498"/>
      <c r="AQ6105" s="498"/>
      <c r="AR6105" s="498"/>
      <c r="AS6105" s="498"/>
      <c r="AT6105" s="498"/>
      <c r="AU6105" s="498"/>
      <c r="AV6105" s="498"/>
      <c r="AW6105" s="498"/>
      <c r="AX6105" s="498"/>
      <c r="AY6105" s="498"/>
      <c r="AZ6105" s="498"/>
      <c r="BA6105" s="498"/>
    </row>
    <row r="6106" spans="1:53" s="499" customFormat="1" x14ac:dyDescent="0.25">
      <c r="A6106" s="500"/>
      <c r="B6106" s="501"/>
      <c r="C6106" s="502"/>
      <c r="D6106" s="497"/>
      <c r="E6106" s="497"/>
      <c r="F6106" s="502"/>
      <c r="G6106" s="497"/>
      <c r="H6106" s="497"/>
      <c r="I6106" s="497"/>
      <c r="J6106" s="497"/>
      <c r="K6106" s="500"/>
      <c r="L6106" s="497"/>
      <c r="M6106"/>
      <c r="N6106" s="498"/>
      <c r="O6106" s="498"/>
      <c r="P6106" s="498"/>
      <c r="Q6106" s="498"/>
      <c r="R6106" s="498"/>
      <c r="T6106" s="498"/>
      <c r="U6106" s="498"/>
      <c r="V6106" s="498"/>
      <c r="W6106" s="498"/>
      <c r="X6106" s="498"/>
      <c r="Y6106" s="498"/>
      <c r="Z6106" s="498"/>
      <c r="AA6106" s="498"/>
      <c r="AB6106" s="498"/>
      <c r="AC6106" s="498"/>
      <c r="AD6106" s="498"/>
      <c r="AE6106" s="498"/>
      <c r="AF6106" s="498"/>
      <c r="AG6106" s="498"/>
      <c r="AH6106" s="498"/>
      <c r="AI6106" s="498"/>
      <c r="AK6106" s="498"/>
      <c r="AL6106" s="498"/>
      <c r="AM6106" s="498"/>
      <c r="AN6106" s="498"/>
      <c r="AO6106" s="498"/>
      <c r="AP6106" s="498"/>
      <c r="AQ6106" s="498"/>
      <c r="AR6106" s="498"/>
      <c r="AS6106" s="498"/>
      <c r="AT6106" s="498"/>
      <c r="AU6106" s="498"/>
      <c r="AV6106" s="498"/>
      <c r="AW6106" s="498"/>
      <c r="AX6106" s="498"/>
      <c r="AY6106" s="498"/>
      <c r="AZ6106" s="498"/>
      <c r="BA6106" s="498"/>
    </row>
    <row r="6107" spans="1:53" s="499" customFormat="1" x14ac:dyDescent="0.25">
      <c r="A6107" s="500"/>
      <c r="B6107" s="501"/>
      <c r="C6107" s="502"/>
      <c r="D6107" s="497"/>
      <c r="E6107" s="497"/>
      <c r="F6107" s="502"/>
      <c r="G6107" s="497"/>
      <c r="H6107" s="497"/>
      <c r="I6107" s="497"/>
      <c r="J6107" s="497"/>
      <c r="K6107" s="500"/>
      <c r="L6107" s="497"/>
      <c r="M6107"/>
      <c r="N6107" s="498"/>
      <c r="O6107" s="498"/>
      <c r="P6107" s="498"/>
      <c r="Q6107" s="498"/>
      <c r="R6107" s="498"/>
      <c r="T6107" s="498"/>
      <c r="U6107" s="498"/>
      <c r="V6107" s="498"/>
      <c r="W6107" s="498"/>
      <c r="X6107" s="498"/>
      <c r="Y6107" s="498"/>
      <c r="Z6107" s="498"/>
      <c r="AA6107" s="498"/>
      <c r="AB6107" s="498"/>
      <c r="AC6107" s="498"/>
      <c r="AD6107" s="498"/>
      <c r="AE6107" s="498"/>
      <c r="AF6107" s="498"/>
      <c r="AG6107" s="498"/>
      <c r="AH6107" s="498"/>
      <c r="AI6107" s="498"/>
      <c r="AK6107" s="498"/>
      <c r="AL6107" s="498"/>
      <c r="AM6107" s="498"/>
      <c r="AN6107" s="498"/>
      <c r="AO6107" s="498"/>
      <c r="AP6107" s="498"/>
      <c r="AQ6107" s="498"/>
      <c r="AR6107" s="498"/>
      <c r="AS6107" s="498"/>
      <c r="AT6107" s="498"/>
      <c r="AU6107" s="498"/>
      <c r="AV6107" s="498"/>
      <c r="AW6107" s="498"/>
      <c r="AX6107" s="498"/>
      <c r="AY6107" s="498"/>
      <c r="AZ6107" s="498"/>
      <c r="BA6107" s="498"/>
    </row>
    <row r="6108" spans="1:53" s="499" customFormat="1" x14ac:dyDescent="0.25">
      <c r="A6108" s="500"/>
      <c r="B6108" s="501"/>
      <c r="C6108" s="502"/>
      <c r="D6108" s="497"/>
      <c r="E6108" s="497"/>
      <c r="F6108" s="502"/>
      <c r="G6108" s="497"/>
      <c r="H6108" s="497"/>
      <c r="I6108" s="497"/>
      <c r="J6108" s="497"/>
      <c r="K6108" s="500"/>
      <c r="L6108" s="497"/>
      <c r="M6108"/>
      <c r="N6108" s="498"/>
      <c r="O6108" s="498"/>
      <c r="P6108" s="498"/>
      <c r="Q6108" s="498"/>
      <c r="R6108" s="498"/>
      <c r="T6108" s="498"/>
      <c r="U6108" s="498"/>
      <c r="V6108" s="498"/>
      <c r="W6108" s="498"/>
      <c r="X6108" s="498"/>
      <c r="Y6108" s="498"/>
      <c r="Z6108" s="498"/>
      <c r="AA6108" s="498"/>
      <c r="AB6108" s="498"/>
      <c r="AC6108" s="498"/>
      <c r="AD6108" s="498"/>
      <c r="AE6108" s="498"/>
      <c r="AF6108" s="498"/>
      <c r="AG6108" s="498"/>
      <c r="AH6108" s="498"/>
      <c r="AI6108" s="498"/>
      <c r="AK6108" s="498"/>
      <c r="AL6108" s="498"/>
      <c r="AM6108" s="498"/>
      <c r="AN6108" s="498"/>
      <c r="AO6108" s="498"/>
      <c r="AP6108" s="498"/>
      <c r="AQ6108" s="498"/>
      <c r="AR6108" s="498"/>
      <c r="AS6108" s="498"/>
      <c r="AT6108" s="498"/>
      <c r="AU6108" s="498"/>
      <c r="AV6108" s="498"/>
      <c r="AW6108" s="498"/>
      <c r="AX6108" s="498"/>
      <c r="AY6108" s="498"/>
      <c r="AZ6108" s="498"/>
      <c r="BA6108" s="498"/>
    </row>
    <row r="6109" spans="1:53" s="499" customFormat="1" x14ac:dyDescent="0.25">
      <c r="A6109" s="500"/>
      <c r="B6109" s="501"/>
      <c r="C6109" s="502"/>
      <c r="D6109" s="497"/>
      <c r="E6109" s="497"/>
      <c r="F6109" s="502"/>
      <c r="G6109" s="497"/>
      <c r="H6109" s="497"/>
      <c r="I6109" s="497"/>
      <c r="J6109" s="497"/>
      <c r="K6109" s="500"/>
      <c r="L6109" s="497"/>
      <c r="M6109"/>
      <c r="N6109" s="498"/>
      <c r="O6109" s="498"/>
      <c r="P6109" s="498"/>
      <c r="Q6109" s="498"/>
      <c r="R6109" s="498"/>
      <c r="T6109" s="498"/>
      <c r="U6109" s="498"/>
      <c r="V6109" s="498"/>
      <c r="W6109" s="498"/>
      <c r="X6109" s="498"/>
      <c r="Y6109" s="498"/>
      <c r="Z6109" s="498"/>
      <c r="AA6109" s="498"/>
      <c r="AB6109" s="498"/>
      <c r="AC6109" s="498"/>
      <c r="AD6109" s="498"/>
      <c r="AE6109" s="498"/>
      <c r="AF6109" s="498"/>
      <c r="AG6109" s="498"/>
      <c r="AH6109" s="498"/>
      <c r="AI6109" s="498"/>
      <c r="AK6109" s="498"/>
      <c r="AL6109" s="498"/>
      <c r="AM6109" s="498"/>
      <c r="AN6109" s="498"/>
      <c r="AO6109" s="498"/>
      <c r="AP6109" s="498"/>
      <c r="AQ6109" s="498"/>
      <c r="AR6109" s="498"/>
      <c r="AS6109" s="498"/>
      <c r="AT6109" s="498"/>
      <c r="AU6109" s="498"/>
      <c r="AV6109" s="498"/>
      <c r="AW6109" s="498"/>
      <c r="AX6109" s="498"/>
      <c r="AY6109" s="498"/>
      <c r="AZ6109" s="498"/>
      <c r="BA6109" s="498"/>
    </row>
    <row r="6110" spans="1:53" s="499" customFormat="1" x14ac:dyDescent="0.25">
      <c r="A6110" s="500"/>
      <c r="B6110" s="501"/>
      <c r="C6110" s="502"/>
      <c r="D6110" s="497"/>
      <c r="E6110" s="497"/>
      <c r="F6110" s="502"/>
      <c r="G6110" s="497"/>
      <c r="H6110" s="497"/>
      <c r="I6110" s="497"/>
      <c r="J6110" s="497"/>
      <c r="K6110" s="500"/>
      <c r="L6110" s="497"/>
      <c r="M6110"/>
      <c r="N6110" s="498"/>
      <c r="O6110" s="498"/>
      <c r="P6110" s="498"/>
      <c r="Q6110" s="498"/>
      <c r="R6110" s="498"/>
      <c r="T6110" s="498"/>
      <c r="U6110" s="498"/>
      <c r="V6110" s="498"/>
      <c r="W6110" s="498"/>
      <c r="X6110" s="498"/>
      <c r="Y6110" s="498"/>
      <c r="Z6110" s="498"/>
      <c r="AA6110" s="498"/>
      <c r="AB6110" s="498"/>
      <c r="AC6110" s="498"/>
      <c r="AD6110" s="498"/>
      <c r="AE6110" s="498"/>
      <c r="AF6110" s="498"/>
      <c r="AG6110" s="498"/>
      <c r="AH6110" s="498"/>
      <c r="AI6110" s="498"/>
      <c r="AK6110" s="498"/>
      <c r="AL6110" s="498"/>
      <c r="AM6110" s="498"/>
      <c r="AN6110" s="498"/>
      <c r="AO6110" s="498"/>
      <c r="AP6110" s="498"/>
      <c r="AQ6110" s="498"/>
      <c r="AR6110" s="498"/>
      <c r="AS6110" s="498"/>
      <c r="AT6110" s="498"/>
      <c r="AU6110" s="498"/>
      <c r="AV6110" s="498"/>
      <c r="AW6110" s="498"/>
      <c r="AX6110" s="498"/>
      <c r="AY6110" s="498"/>
      <c r="AZ6110" s="498"/>
      <c r="BA6110" s="498"/>
    </row>
    <row r="6111" spans="1:53" s="499" customFormat="1" x14ac:dyDescent="0.25">
      <c r="A6111" s="500"/>
      <c r="B6111" s="501"/>
      <c r="C6111" s="502"/>
      <c r="D6111" s="497"/>
      <c r="E6111" s="497"/>
      <c r="F6111" s="502"/>
      <c r="G6111" s="497"/>
      <c r="H6111" s="497"/>
      <c r="I6111" s="497"/>
      <c r="J6111" s="497"/>
      <c r="K6111" s="500"/>
      <c r="L6111" s="497"/>
      <c r="M6111"/>
      <c r="N6111" s="498"/>
      <c r="O6111" s="498"/>
      <c r="P6111" s="498"/>
      <c r="Q6111" s="498"/>
      <c r="R6111" s="498"/>
      <c r="T6111" s="498"/>
      <c r="U6111" s="498"/>
      <c r="V6111" s="498"/>
      <c r="W6111" s="498"/>
      <c r="X6111" s="498"/>
      <c r="Y6111" s="498"/>
      <c r="Z6111" s="498"/>
      <c r="AA6111" s="498"/>
      <c r="AB6111" s="498"/>
      <c r="AC6111" s="498"/>
      <c r="AD6111" s="498"/>
      <c r="AE6111" s="498"/>
      <c r="AF6111" s="498"/>
      <c r="AG6111" s="498"/>
      <c r="AH6111" s="498"/>
      <c r="AI6111" s="498"/>
      <c r="AK6111" s="498"/>
      <c r="AL6111" s="498"/>
      <c r="AM6111" s="498"/>
      <c r="AN6111" s="498"/>
      <c r="AO6111" s="498"/>
      <c r="AP6111" s="498"/>
      <c r="AQ6111" s="498"/>
      <c r="AR6111" s="498"/>
      <c r="AS6111" s="498"/>
      <c r="AT6111" s="498"/>
      <c r="AU6111" s="498"/>
      <c r="AV6111" s="498"/>
      <c r="AW6111" s="498"/>
      <c r="AX6111" s="498"/>
      <c r="AY6111" s="498"/>
      <c r="AZ6111" s="498"/>
      <c r="BA6111" s="498"/>
    </row>
    <row r="6112" spans="1:53" s="499" customFormat="1" x14ac:dyDescent="0.25">
      <c r="A6112" s="500"/>
      <c r="B6112" s="501"/>
      <c r="C6112" s="502"/>
      <c r="D6112" s="497"/>
      <c r="E6112" s="497"/>
      <c r="F6112" s="502"/>
      <c r="G6112" s="497"/>
      <c r="H6112" s="497"/>
      <c r="I6112" s="497"/>
      <c r="J6112" s="497"/>
      <c r="K6112" s="500"/>
      <c r="L6112" s="497"/>
      <c r="M6112"/>
      <c r="N6112" s="498"/>
      <c r="O6112" s="498"/>
      <c r="P6112" s="498"/>
      <c r="Q6112" s="498"/>
      <c r="R6112" s="498"/>
      <c r="T6112" s="498"/>
      <c r="U6112" s="498"/>
      <c r="V6112" s="498"/>
      <c r="W6112" s="498"/>
      <c r="X6112" s="498"/>
      <c r="Y6112" s="498"/>
      <c r="Z6112" s="498"/>
      <c r="AA6112" s="498"/>
      <c r="AB6112" s="498"/>
      <c r="AC6112" s="498"/>
      <c r="AD6112" s="498"/>
      <c r="AE6112" s="498"/>
      <c r="AF6112" s="498"/>
      <c r="AG6112" s="498"/>
      <c r="AH6112" s="498"/>
      <c r="AI6112" s="498"/>
      <c r="AK6112" s="498"/>
      <c r="AL6112" s="498"/>
      <c r="AM6112" s="498"/>
      <c r="AN6112" s="498"/>
      <c r="AO6112" s="498"/>
      <c r="AP6112" s="498"/>
      <c r="AQ6112" s="498"/>
      <c r="AR6112" s="498"/>
      <c r="AS6112" s="498"/>
      <c r="AT6112" s="498"/>
      <c r="AU6112" s="498"/>
      <c r="AV6112" s="498"/>
      <c r="AW6112" s="498"/>
      <c r="AX6112" s="498"/>
      <c r="AY6112" s="498"/>
      <c r="AZ6112" s="498"/>
      <c r="BA6112" s="498"/>
    </row>
    <row r="6113" spans="1:53" s="499" customFormat="1" x14ac:dyDescent="0.25">
      <c r="A6113" s="500"/>
      <c r="B6113" s="501"/>
      <c r="C6113" s="502"/>
      <c r="D6113" s="497"/>
      <c r="E6113" s="497"/>
      <c r="F6113" s="502"/>
      <c r="G6113" s="497"/>
      <c r="H6113" s="497"/>
      <c r="I6113" s="497"/>
      <c r="J6113" s="497"/>
      <c r="K6113" s="500"/>
      <c r="L6113" s="497"/>
      <c r="M6113"/>
      <c r="N6113" s="498"/>
      <c r="O6113" s="498"/>
      <c r="P6113" s="498"/>
      <c r="Q6113" s="498"/>
      <c r="R6113" s="498"/>
      <c r="T6113" s="498"/>
      <c r="U6113" s="498"/>
      <c r="V6113" s="498"/>
      <c r="W6113" s="498"/>
      <c r="X6113" s="498"/>
      <c r="Y6113" s="498"/>
      <c r="Z6113" s="498"/>
      <c r="AA6113" s="498"/>
      <c r="AB6113" s="498"/>
      <c r="AC6113" s="498"/>
      <c r="AD6113" s="498"/>
      <c r="AE6113" s="498"/>
      <c r="AF6113" s="498"/>
      <c r="AG6113" s="498"/>
      <c r="AH6113" s="498"/>
      <c r="AI6113" s="498"/>
      <c r="AK6113" s="498"/>
      <c r="AL6113" s="498"/>
      <c r="AM6113" s="498"/>
      <c r="AN6113" s="498"/>
      <c r="AO6113" s="498"/>
      <c r="AP6113" s="498"/>
      <c r="AQ6113" s="498"/>
      <c r="AR6113" s="498"/>
      <c r="AS6113" s="498"/>
      <c r="AT6113" s="498"/>
      <c r="AU6113" s="498"/>
      <c r="AV6113" s="498"/>
      <c r="AW6113" s="498"/>
      <c r="AX6113" s="498"/>
      <c r="AY6113" s="498"/>
      <c r="AZ6113" s="498"/>
      <c r="BA6113" s="498"/>
    </row>
    <row r="6114" spans="1:53" s="499" customFormat="1" x14ac:dyDescent="0.25">
      <c r="A6114" s="500"/>
      <c r="B6114" s="501"/>
      <c r="C6114" s="502"/>
      <c r="D6114" s="497"/>
      <c r="E6114" s="497"/>
      <c r="F6114" s="502"/>
      <c r="G6114" s="497"/>
      <c r="H6114" s="497"/>
      <c r="I6114" s="497"/>
      <c r="J6114" s="497"/>
      <c r="K6114" s="500"/>
      <c r="L6114" s="497"/>
      <c r="M6114"/>
      <c r="N6114" s="498"/>
      <c r="O6114" s="498"/>
      <c r="P6114" s="498"/>
      <c r="Q6114" s="498"/>
      <c r="R6114" s="498"/>
      <c r="T6114" s="498"/>
      <c r="U6114" s="498"/>
      <c r="V6114" s="498"/>
      <c r="W6114" s="498"/>
      <c r="X6114" s="498"/>
      <c r="Y6114" s="498"/>
      <c r="Z6114" s="498"/>
      <c r="AA6114" s="498"/>
      <c r="AB6114" s="498"/>
      <c r="AC6114" s="498"/>
      <c r="AD6114" s="498"/>
      <c r="AE6114" s="498"/>
      <c r="AF6114" s="498"/>
      <c r="AG6114" s="498"/>
      <c r="AH6114" s="498"/>
      <c r="AI6114" s="498"/>
      <c r="AK6114" s="498"/>
      <c r="AL6114" s="498"/>
      <c r="AM6114" s="498"/>
      <c r="AN6114" s="498"/>
      <c r="AO6114" s="498"/>
      <c r="AP6114" s="498"/>
      <c r="AQ6114" s="498"/>
      <c r="AR6114" s="498"/>
      <c r="AS6114" s="498"/>
      <c r="AT6114" s="498"/>
      <c r="AU6114" s="498"/>
      <c r="AV6114" s="498"/>
      <c r="AW6114" s="498"/>
      <c r="AX6114" s="498"/>
      <c r="AY6114" s="498"/>
      <c r="AZ6114" s="498"/>
      <c r="BA6114" s="498"/>
    </row>
    <row r="6115" spans="1:53" s="499" customFormat="1" x14ac:dyDescent="0.25">
      <c r="A6115" s="500"/>
      <c r="B6115" s="501"/>
      <c r="C6115" s="502"/>
      <c r="D6115" s="497"/>
      <c r="E6115" s="497"/>
      <c r="F6115" s="502"/>
      <c r="G6115" s="497"/>
      <c r="H6115" s="497"/>
      <c r="I6115" s="497"/>
      <c r="J6115" s="497"/>
      <c r="K6115" s="500"/>
      <c r="L6115" s="497"/>
      <c r="M6115"/>
      <c r="N6115" s="498"/>
      <c r="O6115" s="498"/>
      <c r="P6115" s="498"/>
      <c r="Q6115" s="498"/>
      <c r="R6115" s="498"/>
      <c r="T6115" s="498"/>
      <c r="U6115" s="498"/>
      <c r="V6115" s="498"/>
      <c r="W6115" s="498"/>
      <c r="X6115" s="498"/>
      <c r="Y6115" s="498"/>
      <c r="Z6115" s="498"/>
      <c r="AA6115" s="498"/>
      <c r="AB6115" s="498"/>
      <c r="AC6115" s="498"/>
      <c r="AD6115" s="498"/>
      <c r="AE6115" s="498"/>
      <c r="AF6115" s="498"/>
      <c r="AG6115" s="498"/>
      <c r="AH6115" s="498"/>
      <c r="AI6115" s="498"/>
      <c r="AK6115" s="498"/>
      <c r="AL6115" s="498"/>
      <c r="AM6115" s="498"/>
      <c r="AN6115" s="498"/>
      <c r="AO6115" s="498"/>
      <c r="AP6115" s="498"/>
      <c r="AQ6115" s="498"/>
      <c r="AR6115" s="498"/>
      <c r="AS6115" s="498"/>
      <c r="AT6115" s="498"/>
      <c r="AU6115" s="498"/>
      <c r="AV6115" s="498"/>
      <c r="AW6115" s="498"/>
      <c r="AX6115" s="498"/>
      <c r="AY6115" s="498"/>
      <c r="AZ6115" s="498"/>
      <c r="BA6115" s="498"/>
    </row>
    <row r="6116" spans="1:53" s="499" customFormat="1" x14ac:dyDescent="0.25">
      <c r="A6116" s="500"/>
      <c r="B6116" s="501"/>
      <c r="C6116" s="502"/>
      <c r="D6116" s="497"/>
      <c r="E6116" s="497"/>
      <c r="F6116" s="502"/>
      <c r="G6116" s="497"/>
      <c r="H6116" s="497"/>
      <c r="I6116" s="497"/>
      <c r="J6116" s="497"/>
      <c r="K6116" s="500"/>
      <c r="L6116" s="497"/>
      <c r="M6116"/>
      <c r="N6116" s="498"/>
      <c r="O6116" s="498"/>
      <c r="P6116" s="498"/>
      <c r="Q6116" s="498"/>
      <c r="R6116" s="498"/>
      <c r="T6116" s="498"/>
      <c r="U6116" s="498"/>
      <c r="V6116" s="498"/>
      <c r="W6116" s="498"/>
      <c r="X6116" s="498"/>
      <c r="Y6116" s="498"/>
      <c r="Z6116" s="498"/>
      <c r="AA6116" s="498"/>
      <c r="AB6116" s="498"/>
      <c r="AC6116" s="498"/>
      <c r="AD6116" s="498"/>
      <c r="AE6116" s="498"/>
      <c r="AF6116" s="498"/>
      <c r="AG6116" s="498"/>
      <c r="AH6116" s="498"/>
      <c r="AI6116" s="498"/>
      <c r="AK6116" s="498"/>
      <c r="AL6116" s="498"/>
      <c r="AM6116" s="498"/>
      <c r="AN6116" s="498"/>
      <c r="AO6116" s="498"/>
      <c r="AP6116" s="498"/>
      <c r="AQ6116" s="498"/>
      <c r="AR6116" s="498"/>
      <c r="AS6116" s="498"/>
      <c r="AT6116" s="498"/>
      <c r="AU6116" s="498"/>
      <c r="AV6116" s="498"/>
      <c r="AW6116" s="498"/>
      <c r="AX6116" s="498"/>
      <c r="AY6116" s="498"/>
      <c r="AZ6116" s="498"/>
      <c r="BA6116" s="498"/>
    </row>
    <row r="6117" spans="1:53" s="499" customFormat="1" x14ac:dyDescent="0.25">
      <c r="A6117" s="500"/>
      <c r="B6117" s="501"/>
      <c r="C6117" s="502"/>
      <c r="D6117" s="497"/>
      <c r="E6117" s="497"/>
      <c r="F6117" s="502"/>
      <c r="G6117" s="497"/>
      <c r="H6117" s="497"/>
      <c r="I6117" s="497"/>
      <c r="J6117" s="497"/>
      <c r="K6117" s="500"/>
      <c r="L6117" s="497"/>
      <c r="M6117"/>
      <c r="N6117" s="498"/>
      <c r="O6117" s="498"/>
      <c r="P6117" s="498"/>
      <c r="Q6117" s="498"/>
      <c r="R6117" s="498"/>
      <c r="T6117" s="498"/>
      <c r="U6117" s="498"/>
      <c r="V6117" s="498"/>
      <c r="W6117" s="498"/>
      <c r="X6117" s="498"/>
      <c r="Y6117" s="498"/>
      <c r="Z6117" s="498"/>
      <c r="AA6117" s="498"/>
      <c r="AB6117" s="498"/>
      <c r="AC6117" s="498"/>
      <c r="AD6117" s="498"/>
      <c r="AE6117" s="498"/>
      <c r="AF6117" s="498"/>
      <c r="AG6117" s="498"/>
      <c r="AH6117" s="498"/>
      <c r="AI6117" s="498"/>
      <c r="AK6117" s="498"/>
      <c r="AL6117" s="498"/>
      <c r="AM6117" s="498"/>
      <c r="AN6117" s="498"/>
      <c r="AO6117" s="498"/>
      <c r="AP6117" s="498"/>
      <c r="AQ6117" s="498"/>
      <c r="AR6117" s="498"/>
      <c r="AS6117" s="498"/>
      <c r="AT6117" s="498"/>
      <c r="AU6117" s="498"/>
      <c r="AV6117" s="498"/>
      <c r="AW6117" s="498"/>
      <c r="AX6117" s="498"/>
      <c r="AY6117" s="498"/>
      <c r="AZ6117" s="498"/>
      <c r="BA6117" s="498"/>
    </row>
    <row r="6118" spans="1:53" s="499" customFormat="1" x14ac:dyDescent="0.25">
      <c r="A6118" s="500"/>
      <c r="B6118" s="501"/>
      <c r="C6118" s="502"/>
      <c r="D6118" s="497"/>
      <c r="E6118" s="497"/>
      <c r="F6118" s="502"/>
      <c r="G6118" s="497"/>
      <c r="H6118" s="497"/>
      <c r="I6118" s="497"/>
      <c r="J6118" s="497"/>
      <c r="K6118" s="500"/>
      <c r="L6118" s="497"/>
      <c r="M6118"/>
      <c r="N6118" s="498"/>
      <c r="O6118" s="498"/>
      <c r="P6118" s="498"/>
      <c r="Q6118" s="498"/>
      <c r="R6118" s="498"/>
      <c r="T6118" s="498"/>
      <c r="U6118" s="498"/>
      <c r="V6118" s="498"/>
      <c r="W6118" s="498"/>
      <c r="X6118" s="498"/>
      <c r="Y6118" s="498"/>
      <c r="Z6118" s="498"/>
      <c r="AA6118" s="498"/>
      <c r="AB6118" s="498"/>
      <c r="AC6118" s="498"/>
      <c r="AD6118" s="498"/>
      <c r="AE6118" s="498"/>
      <c r="AF6118" s="498"/>
      <c r="AG6118" s="498"/>
      <c r="AH6118" s="498"/>
      <c r="AI6118" s="498"/>
      <c r="AK6118" s="498"/>
      <c r="AL6118" s="498"/>
      <c r="AM6118" s="498"/>
      <c r="AN6118" s="498"/>
      <c r="AO6118" s="498"/>
      <c r="AP6118" s="498"/>
      <c r="AQ6118" s="498"/>
      <c r="AR6118" s="498"/>
      <c r="AS6118" s="498"/>
      <c r="AT6118" s="498"/>
      <c r="AU6118" s="498"/>
      <c r="AV6118" s="498"/>
      <c r="AW6118" s="498"/>
      <c r="AX6118" s="498"/>
      <c r="AY6118" s="498"/>
      <c r="AZ6118" s="498"/>
      <c r="BA6118" s="498"/>
    </row>
    <row r="6119" spans="1:53" s="499" customFormat="1" x14ac:dyDescent="0.25">
      <c r="A6119" s="500"/>
      <c r="B6119" s="501"/>
      <c r="C6119" s="502"/>
      <c r="D6119" s="497"/>
      <c r="E6119" s="497"/>
      <c r="F6119" s="502"/>
      <c r="G6119" s="497"/>
      <c r="H6119" s="497"/>
      <c r="I6119" s="497"/>
      <c r="J6119" s="497"/>
      <c r="K6119" s="500"/>
      <c r="L6119" s="497"/>
      <c r="M6119"/>
      <c r="N6119" s="498"/>
      <c r="O6119" s="498"/>
      <c r="P6119" s="498"/>
      <c r="Q6119" s="498"/>
      <c r="R6119" s="498"/>
      <c r="T6119" s="498"/>
      <c r="U6119" s="498"/>
      <c r="V6119" s="498"/>
      <c r="W6119" s="498"/>
      <c r="X6119" s="498"/>
      <c r="Y6119" s="498"/>
      <c r="Z6119" s="498"/>
      <c r="AA6119" s="498"/>
      <c r="AB6119" s="498"/>
      <c r="AC6119" s="498"/>
      <c r="AD6119" s="498"/>
      <c r="AE6119" s="498"/>
      <c r="AF6119" s="498"/>
      <c r="AG6119" s="498"/>
      <c r="AH6119" s="498"/>
      <c r="AI6119" s="498"/>
      <c r="AK6119" s="498"/>
      <c r="AL6119" s="498"/>
      <c r="AM6119" s="498"/>
      <c r="AN6119" s="498"/>
      <c r="AO6119" s="498"/>
      <c r="AP6119" s="498"/>
      <c r="AQ6119" s="498"/>
      <c r="AR6119" s="498"/>
      <c r="AS6119" s="498"/>
      <c r="AT6119" s="498"/>
      <c r="AU6119" s="498"/>
      <c r="AV6119" s="498"/>
      <c r="AW6119" s="498"/>
      <c r="AX6119" s="498"/>
      <c r="AY6119" s="498"/>
      <c r="AZ6119" s="498"/>
      <c r="BA6119" s="498"/>
    </row>
    <row r="6120" spans="1:53" s="499" customFormat="1" x14ac:dyDescent="0.25">
      <c r="A6120" s="500"/>
      <c r="B6120" s="501"/>
      <c r="C6120" s="502"/>
      <c r="D6120" s="497"/>
      <c r="E6120" s="497"/>
      <c r="F6120" s="502"/>
      <c r="G6120" s="497"/>
      <c r="H6120" s="497"/>
      <c r="I6120" s="497"/>
      <c r="J6120" s="497"/>
      <c r="K6120" s="500"/>
      <c r="L6120" s="497"/>
      <c r="M6120"/>
      <c r="N6120" s="498"/>
      <c r="O6120" s="498"/>
      <c r="P6120" s="498"/>
      <c r="Q6120" s="498"/>
      <c r="R6120" s="498"/>
      <c r="T6120" s="498"/>
      <c r="U6120" s="498"/>
      <c r="V6120" s="498"/>
      <c r="W6120" s="498"/>
      <c r="X6120" s="498"/>
      <c r="Y6120" s="498"/>
      <c r="Z6120" s="498"/>
      <c r="AA6120" s="498"/>
      <c r="AB6120" s="498"/>
      <c r="AC6120" s="498"/>
      <c r="AD6120" s="498"/>
      <c r="AE6120" s="498"/>
      <c r="AF6120" s="498"/>
      <c r="AG6120" s="498"/>
      <c r="AH6120" s="498"/>
      <c r="AI6120" s="498"/>
      <c r="AK6120" s="498"/>
      <c r="AL6120" s="498"/>
      <c r="AM6120" s="498"/>
      <c r="AN6120" s="498"/>
      <c r="AO6120" s="498"/>
      <c r="AP6120" s="498"/>
      <c r="AQ6120" s="498"/>
      <c r="AR6120" s="498"/>
      <c r="AS6120" s="498"/>
      <c r="AT6120" s="498"/>
      <c r="AU6120" s="498"/>
      <c r="AV6120" s="498"/>
      <c r="AW6120" s="498"/>
      <c r="AX6120" s="498"/>
      <c r="AY6120" s="498"/>
      <c r="AZ6120" s="498"/>
      <c r="BA6120" s="498"/>
    </row>
    <row r="6121" spans="1:53" s="499" customFormat="1" x14ac:dyDescent="0.25">
      <c r="A6121" s="500"/>
      <c r="B6121" s="501"/>
      <c r="C6121" s="502"/>
      <c r="D6121" s="497"/>
      <c r="E6121" s="497"/>
      <c r="F6121" s="502"/>
      <c r="G6121" s="497"/>
      <c r="H6121" s="497"/>
      <c r="I6121" s="497"/>
      <c r="J6121" s="497"/>
      <c r="K6121" s="500"/>
      <c r="L6121" s="497"/>
      <c r="M6121"/>
      <c r="N6121" s="498"/>
      <c r="O6121" s="498"/>
      <c r="P6121" s="498"/>
      <c r="Q6121" s="498"/>
      <c r="R6121" s="498"/>
      <c r="T6121" s="498"/>
      <c r="U6121" s="498"/>
      <c r="V6121" s="498"/>
      <c r="W6121" s="498"/>
      <c r="X6121" s="498"/>
      <c r="Y6121" s="498"/>
      <c r="Z6121" s="498"/>
      <c r="AA6121" s="498"/>
      <c r="AB6121" s="498"/>
      <c r="AC6121" s="498"/>
      <c r="AD6121" s="498"/>
      <c r="AE6121" s="498"/>
      <c r="AF6121" s="498"/>
      <c r="AG6121" s="498"/>
      <c r="AH6121" s="498"/>
      <c r="AI6121" s="498"/>
      <c r="AK6121" s="498"/>
      <c r="AL6121" s="498"/>
      <c r="AM6121" s="498"/>
      <c r="AN6121" s="498"/>
      <c r="AO6121" s="498"/>
      <c r="AP6121" s="498"/>
      <c r="AQ6121" s="498"/>
      <c r="AR6121" s="498"/>
      <c r="AS6121" s="498"/>
      <c r="AT6121" s="498"/>
      <c r="AU6121" s="498"/>
      <c r="AV6121" s="498"/>
      <c r="AW6121" s="498"/>
      <c r="AX6121" s="498"/>
      <c r="AY6121" s="498"/>
      <c r="AZ6121" s="498"/>
      <c r="BA6121" s="498"/>
    </row>
    <row r="6122" spans="1:53" s="499" customFormat="1" x14ac:dyDescent="0.25">
      <c r="A6122" s="500"/>
      <c r="B6122" s="501"/>
      <c r="C6122" s="502"/>
      <c r="D6122" s="497"/>
      <c r="E6122" s="497"/>
      <c r="F6122" s="502"/>
      <c r="G6122" s="497"/>
      <c r="H6122" s="497"/>
      <c r="I6122" s="497"/>
      <c r="J6122" s="497"/>
      <c r="K6122" s="500"/>
      <c r="L6122" s="497"/>
      <c r="M6122"/>
      <c r="N6122" s="498"/>
      <c r="O6122" s="498"/>
      <c r="P6122" s="498"/>
      <c r="Q6122" s="498"/>
      <c r="R6122" s="498"/>
      <c r="T6122" s="498"/>
      <c r="U6122" s="498"/>
      <c r="V6122" s="498"/>
      <c r="W6122" s="498"/>
      <c r="X6122" s="498"/>
      <c r="Y6122" s="498"/>
      <c r="Z6122" s="498"/>
      <c r="AA6122" s="498"/>
      <c r="AB6122" s="498"/>
      <c r="AC6122" s="498"/>
      <c r="AD6122" s="498"/>
      <c r="AE6122" s="498"/>
      <c r="AF6122" s="498"/>
      <c r="AG6122" s="498"/>
      <c r="AH6122" s="498"/>
      <c r="AI6122" s="498"/>
      <c r="AK6122" s="498"/>
      <c r="AL6122" s="498"/>
      <c r="AM6122" s="498"/>
      <c r="AN6122" s="498"/>
      <c r="AO6122" s="498"/>
      <c r="AP6122" s="498"/>
      <c r="AQ6122" s="498"/>
      <c r="AR6122" s="498"/>
      <c r="AS6122" s="498"/>
      <c r="AT6122" s="498"/>
      <c r="AU6122" s="498"/>
      <c r="AV6122" s="498"/>
      <c r="AW6122" s="498"/>
      <c r="AX6122" s="498"/>
      <c r="AY6122" s="498"/>
      <c r="AZ6122" s="498"/>
      <c r="BA6122" s="498"/>
    </row>
    <row r="6123" spans="1:53" s="499" customFormat="1" x14ac:dyDescent="0.25">
      <c r="A6123" s="500"/>
      <c r="B6123" s="501"/>
      <c r="C6123" s="502"/>
      <c r="D6123" s="497"/>
      <c r="E6123" s="497"/>
      <c r="F6123" s="502"/>
      <c r="G6123" s="497"/>
      <c r="H6123" s="497"/>
      <c r="I6123" s="497"/>
      <c r="J6123" s="497"/>
      <c r="K6123" s="500"/>
      <c r="L6123" s="497"/>
      <c r="M6123"/>
      <c r="N6123" s="498"/>
      <c r="O6123" s="498"/>
      <c r="P6123" s="498"/>
      <c r="Q6123" s="498"/>
      <c r="R6123" s="498"/>
      <c r="T6123" s="498"/>
      <c r="U6123" s="498"/>
      <c r="V6123" s="498"/>
      <c r="W6123" s="498"/>
      <c r="X6123" s="498"/>
      <c r="Y6123" s="498"/>
      <c r="Z6123" s="498"/>
      <c r="AA6123" s="498"/>
      <c r="AB6123" s="498"/>
      <c r="AC6123" s="498"/>
      <c r="AD6123" s="498"/>
      <c r="AE6123" s="498"/>
      <c r="AF6123" s="498"/>
      <c r="AG6123" s="498"/>
      <c r="AH6123" s="498"/>
      <c r="AI6123" s="498"/>
      <c r="AK6123" s="498"/>
      <c r="AL6123" s="498"/>
      <c r="AM6123" s="498"/>
      <c r="AN6123" s="498"/>
      <c r="AO6123" s="498"/>
      <c r="AP6123" s="498"/>
      <c r="AQ6123" s="498"/>
      <c r="AR6123" s="498"/>
      <c r="AS6123" s="498"/>
      <c r="AT6123" s="498"/>
      <c r="AU6123" s="498"/>
      <c r="AV6123" s="498"/>
      <c r="AW6123" s="498"/>
      <c r="AX6123" s="498"/>
      <c r="AY6123" s="498"/>
      <c r="AZ6123" s="498"/>
      <c r="BA6123" s="498"/>
    </row>
    <row r="6124" spans="1:53" s="499" customFormat="1" x14ac:dyDescent="0.25">
      <c r="A6124" s="500"/>
      <c r="B6124" s="501"/>
      <c r="C6124" s="502"/>
      <c r="D6124" s="497"/>
      <c r="E6124" s="497"/>
      <c r="F6124" s="502"/>
      <c r="G6124" s="497"/>
      <c r="H6124" s="497"/>
      <c r="I6124" s="497"/>
      <c r="J6124" s="497"/>
      <c r="K6124" s="500"/>
      <c r="L6124" s="497"/>
      <c r="M6124"/>
      <c r="N6124" s="498"/>
      <c r="O6124" s="498"/>
      <c r="P6124" s="498"/>
      <c r="Q6124" s="498"/>
      <c r="R6124" s="498"/>
      <c r="T6124" s="498"/>
      <c r="U6124" s="498"/>
      <c r="V6124" s="498"/>
      <c r="W6124" s="498"/>
      <c r="X6124" s="498"/>
      <c r="Y6124" s="498"/>
      <c r="Z6124" s="498"/>
      <c r="AA6124" s="498"/>
      <c r="AB6124" s="498"/>
      <c r="AC6124" s="498"/>
      <c r="AD6124" s="498"/>
      <c r="AE6124" s="498"/>
      <c r="AF6124" s="498"/>
      <c r="AG6124" s="498"/>
      <c r="AH6124" s="498"/>
      <c r="AI6124" s="498"/>
      <c r="AK6124" s="498"/>
      <c r="AL6124" s="498"/>
      <c r="AM6124" s="498"/>
      <c r="AN6124" s="498"/>
      <c r="AO6124" s="498"/>
      <c r="AP6124" s="498"/>
      <c r="AQ6124" s="498"/>
      <c r="AR6124" s="498"/>
      <c r="AS6124" s="498"/>
      <c r="AT6124" s="498"/>
      <c r="AU6124" s="498"/>
      <c r="AV6124" s="498"/>
      <c r="AW6124" s="498"/>
      <c r="AX6124" s="498"/>
      <c r="AY6124" s="498"/>
      <c r="AZ6124" s="498"/>
      <c r="BA6124" s="498"/>
    </row>
    <row r="6125" spans="1:53" s="499" customFormat="1" x14ac:dyDescent="0.25">
      <c r="A6125" s="500"/>
      <c r="B6125" s="501"/>
      <c r="C6125" s="502"/>
      <c r="D6125" s="497"/>
      <c r="E6125" s="497"/>
      <c r="F6125" s="502"/>
      <c r="G6125" s="497"/>
      <c r="H6125" s="497"/>
      <c r="I6125" s="497"/>
      <c r="J6125" s="497"/>
      <c r="K6125" s="500"/>
      <c r="L6125" s="497"/>
      <c r="M6125"/>
      <c r="N6125" s="498"/>
      <c r="O6125" s="498"/>
      <c r="P6125" s="498"/>
      <c r="Q6125" s="498"/>
      <c r="R6125" s="498"/>
      <c r="T6125" s="498"/>
      <c r="U6125" s="498"/>
      <c r="V6125" s="498"/>
      <c r="W6125" s="498"/>
      <c r="X6125" s="498"/>
      <c r="Y6125" s="498"/>
      <c r="Z6125" s="498"/>
      <c r="AA6125" s="498"/>
      <c r="AB6125" s="498"/>
      <c r="AC6125" s="498"/>
      <c r="AD6125" s="498"/>
      <c r="AE6125" s="498"/>
      <c r="AF6125" s="498"/>
      <c r="AG6125" s="498"/>
      <c r="AH6125" s="498"/>
      <c r="AI6125" s="498"/>
      <c r="AK6125" s="498"/>
      <c r="AL6125" s="498"/>
      <c r="AM6125" s="498"/>
      <c r="AN6125" s="498"/>
      <c r="AO6125" s="498"/>
      <c r="AP6125" s="498"/>
      <c r="AQ6125" s="498"/>
      <c r="AR6125" s="498"/>
      <c r="AS6125" s="498"/>
      <c r="AT6125" s="498"/>
      <c r="AU6125" s="498"/>
      <c r="AV6125" s="498"/>
      <c r="AW6125" s="498"/>
      <c r="AX6125" s="498"/>
      <c r="AY6125" s="498"/>
      <c r="AZ6125" s="498"/>
      <c r="BA6125" s="498"/>
    </row>
    <row r="6126" spans="1:53" s="499" customFormat="1" x14ac:dyDescent="0.25">
      <c r="A6126" s="500"/>
      <c r="B6126" s="501"/>
      <c r="C6126" s="502"/>
      <c r="D6126" s="497"/>
      <c r="E6126" s="497"/>
      <c r="F6126" s="502"/>
      <c r="G6126" s="497"/>
      <c r="H6126" s="497"/>
      <c r="I6126" s="497"/>
      <c r="J6126" s="497"/>
      <c r="K6126" s="500"/>
      <c r="L6126" s="497"/>
      <c r="M6126"/>
      <c r="N6126" s="498"/>
      <c r="O6126" s="498"/>
      <c r="P6126" s="498"/>
      <c r="Q6126" s="498"/>
      <c r="R6126" s="498"/>
      <c r="T6126" s="498"/>
      <c r="U6126" s="498"/>
      <c r="V6126" s="498"/>
      <c r="W6126" s="498"/>
      <c r="X6126" s="498"/>
      <c r="Y6126" s="498"/>
      <c r="Z6126" s="498"/>
      <c r="AA6126" s="498"/>
      <c r="AB6126" s="498"/>
      <c r="AC6126" s="498"/>
      <c r="AD6126" s="498"/>
      <c r="AE6126" s="498"/>
      <c r="AF6126" s="498"/>
      <c r="AG6126" s="498"/>
      <c r="AH6126" s="498"/>
      <c r="AI6126" s="498"/>
      <c r="AK6126" s="498"/>
      <c r="AL6126" s="498"/>
      <c r="AM6126" s="498"/>
      <c r="AN6126" s="498"/>
      <c r="AO6126" s="498"/>
      <c r="AP6126" s="498"/>
      <c r="AQ6126" s="498"/>
      <c r="AR6126" s="498"/>
      <c r="AS6126" s="498"/>
      <c r="AT6126" s="498"/>
      <c r="AU6126" s="498"/>
      <c r="AV6126" s="498"/>
      <c r="AW6126" s="498"/>
      <c r="AX6126" s="498"/>
      <c r="AY6126" s="498"/>
      <c r="AZ6126" s="498"/>
      <c r="BA6126" s="498"/>
    </row>
    <row r="6127" spans="1:53" s="499" customFormat="1" x14ac:dyDescent="0.25">
      <c r="A6127" s="500"/>
      <c r="B6127" s="501"/>
      <c r="C6127" s="502"/>
      <c r="D6127" s="497"/>
      <c r="E6127" s="497"/>
      <c r="F6127" s="502"/>
      <c r="G6127" s="497"/>
      <c r="H6127" s="497"/>
      <c r="I6127" s="497"/>
      <c r="J6127" s="497"/>
      <c r="K6127" s="500"/>
      <c r="L6127" s="497"/>
      <c r="M6127"/>
      <c r="N6127" s="498"/>
      <c r="O6127" s="498"/>
      <c r="P6127" s="498"/>
      <c r="Q6127" s="498"/>
      <c r="R6127" s="498"/>
      <c r="T6127" s="498"/>
      <c r="U6127" s="498"/>
      <c r="V6127" s="498"/>
      <c r="W6127" s="498"/>
      <c r="X6127" s="498"/>
      <c r="Y6127" s="498"/>
      <c r="Z6127" s="498"/>
      <c r="AA6127" s="498"/>
      <c r="AB6127" s="498"/>
      <c r="AC6127" s="498"/>
      <c r="AD6127" s="498"/>
      <c r="AE6127" s="498"/>
      <c r="AF6127" s="498"/>
      <c r="AG6127" s="498"/>
      <c r="AH6127" s="498"/>
      <c r="AI6127" s="498"/>
      <c r="AK6127" s="498"/>
      <c r="AL6127" s="498"/>
      <c r="AM6127" s="498"/>
      <c r="AN6127" s="498"/>
      <c r="AO6127" s="498"/>
      <c r="AP6127" s="498"/>
      <c r="AQ6127" s="498"/>
      <c r="AR6127" s="498"/>
      <c r="AS6127" s="498"/>
      <c r="AT6127" s="498"/>
      <c r="AU6127" s="498"/>
      <c r="AV6127" s="498"/>
      <c r="AW6127" s="498"/>
      <c r="AX6127" s="498"/>
      <c r="AY6127" s="498"/>
      <c r="AZ6127" s="498"/>
      <c r="BA6127" s="498"/>
    </row>
    <row r="6128" spans="1:53" s="499" customFormat="1" x14ac:dyDescent="0.25">
      <c r="A6128" s="500"/>
      <c r="B6128" s="501"/>
      <c r="C6128" s="502"/>
      <c r="D6128" s="497"/>
      <c r="E6128" s="497"/>
      <c r="F6128" s="502"/>
      <c r="G6128" s="497"/>
      <c r="H6128" s="497"/>
      <c r="I6128" s="497"/>
      <c r="J6128" s="497"/>
      <c r="K6128" s="500"/>
      <c r="L6128" s="497"/>
      <c r="M6128"/>
      <c r="N6128" s="498"/>
      <c r="O6128" s="498"/>
      <c r="P6128" s="498"/>
      <c r="Q6128" s="498"/>
      <c r="R6128" s="498"/>
      <c r="T6128" s="498"/>
      <c r="U6128" s="498"/>
      <c r="V6128" s="498"/>
      <c r="W6128" s="498"/>
      <c r="X6128" s="498"/>
      <c r="Y6128" s="498"/>
      <c r="Z6128" s="498"/>
      <c r="AA6128" s="498"/>
      <c r="AB6128" s="498"/>
      <c r="AC6128" s="498"/>
      <c r="AD6128" s="498"/>
      <c r="AE6128" s="498"/>
      <c r="AF6128" s="498"/>
      <c r="AG6128" s="498"/>
      <c r="AH6128" s="498"/>
      <c r="AI6128" s="498"/>
      <c r="AK6128" s="498"/>
      <c r="AL6128" s="498"/>
      <c r="AM6128" s="498"/>
      <c r="AN6128" s="498"/>
      <c r="AO6128" s="498"/>
      <c r="AP6128" s="498"/>
      <c r="AQ6128" s="498"/>
      <c r="AR6128" s="498"/>
      <c r="AS6128" s="498"/>
      <c r="AT6128" s="498"/>
      <c r="AU6128" s="498"/>
      <c r="AV6128" s="498"/>
      <c r="AW6128" s="498"/>
      <c r="AX6128" s="498"/>
      <c r="AY6128" s="498"/>
      <c r="AZ6128" s="498"/>
      <c r="BA6128" s="498"/>
    </row>
    <row r="6129" spans="1:53" s="499" customFormat="1" x14ac:dyDescent="0.25">
      <c r="A6129" s="500"/>
      <c r="B6129" s="501"/>
      <c r="C6129" s="502"/>
      <c r="D6129" s="497"/>
      <c r="E6129" s="497"/>
      <c r="F6129" s="502"/>
      <c r="G6129" s="497"/>
      <c r="H6129" s="497"/>
      <c r="I6129" s="497"/>
      <c r="J6129" s="497"/>
      <c r="K6129" s="500"/>
      <c r="L6129" s="497"/>
      <c r="M6129"/>
      <c r="N6129" s="498"/>
      <c r="O6129" s="498"/>
      <c r="P6129" s="498"/>
      <c r="Q6129" s="498"/>
      <c r="R6129" s="498"/>
      <c r="T6129" s="498"/>
      <c r="U6129" s="498"/>
      <c r="V6129" s="498"/>
      <c r="W6129" s="498"/>
      <c r="X6129" s="498"/>
      <c r="Y6129" s="498"/>
      <c r="Z6129" s="498"/>
      <c r="AA6129" s="498"/>
      <c r="AB6129" s="498"/>
      <c r="AC6129" s="498"/>
      <c r="AD6129" s="498"/>
      <c r="AE6129" s="498"/>
      <c r="AF6129" s="498"/>
      <c r="AG6129" s="498"/>
      <c r="AH6129" s="498"/>
      <c r="AI6129" s="498"/>
      <c r="AK6129" s="498"/>
      <c r="AL6129" s="498"/>
      <c r="AM6129" s="498"/>
      <c r="AN6129" s="498"/>
      <c r="AO6129" s="498"/>
      <c r="AP6129" s="498"/>
      <c r="AQ6129" s="498"/>
      <c r="AR6129" s="498"/>
      <c r="AS6129" s="498"/>
      <c r="AT6129" s="498"/>
      <c r="AU6129" s="498"/>
      <c r="AV6129" s="498"/>
      <c r="AW6129" s="498"/>
      <c r="AX6129" s="498"/>
      <c r="AY6129" s="498"/>
      <c r="AZ6129" s="498"/>
      <c r="BA6129" s="498"/>
    </row>
    <row r="6130" spans="1:53" s="499" customFormat="1" x14ac:dyDescent="0.25">
      <c r="A6130" s="500"/>
      <c r="B6130" s="501"/>
      <c r="C6130" s="502"/>
      <c r="D6130" s="497"/>
      <c r="E6130" s="497"/>
      <c r="F6130" s="502"/>
      <c r="G6130" s="497"/>
      <c r="H6130" s="497"/>
      <c r="I6130" s="497"/>
      <c r="J6130" s="497"/>
      <c r="K6130" s="500"/>
      <c r="L6130" s="497"/>
      <c r="M6130"/>
      <c r="N6130" s="498"/>
      <c r="O6130" s="498"/>
      <c r="P6130" s="498"/>
      <c r="Q6130" s="498"/>
      <c r="R6130" s="498"/>
      <c r="T6130" s="498"/>
      <c r="U6130" s="498"/>
      <c r="V6130" s="498"/>
      <c r="W6130" s="498"/>
      <c r="X6130" s="498"/>
      <c r="Y6130" s="498"/>
      <c r="Z6130" s="498"/>
      <c r="AA6130" s="498"/>
      <c r="AB6130" s="498"/>
      <c r="AC6130" s="498"/>
      <c r="AD6130" s="498"/>
      <c r="AE6130" s="498"/>
      <c r="AF6130" s="498"/>
      <c r="AG6130" s="498"/>
      <c r="AH6130" s="498"/>
      <c r="AI6130" s="498"/>
      <c r="AK6130" s="498"/>
      <c r="AL6130" s="498"/>
      <c r="AM6130" s="498"/>
      <c r="AN6130" s="498"/>
      <c r="AO6130" s="498"/>
      <c r="AP6130" s="498"/>
      <c r="AQ6130" s="498"/>
      <c r="AR6130" s="498"/>
      <c r="AS6130" s="498"/>
      <c r="AT6130" s="498"/>
      <c r="AU6130" s="498"/>
      <c r="AV6130" s="498"/>
      <c r="AW6130" s="498"/>
      <c r="AX6130" s="498"/>
      <c r="AY6130" s="498"/>
      <c r="AZ6130" s="498"/>
      <c r="BA6130" s="498"/>
    </row>
    <row r="6131" spans="1:53" s="499" customFormat="1" x14ac:dyDescent="0.25">
      <c r="A6131" s="500"/>
      <c r="B6131" s="501"/>
      <c r="C6131" s="502"/>
      <c r="D6131" s="497"/>
      <c r="E6131" s="497"/>
      <c r="F6131" s="502"/>
      <c r="G6131" s="497"/>
      <c r="H6131" s="497"/>
      <c r="I6131" s="497"/>
      <c r="J6131" s="497"/>
      <c r="K6131" s="500"/>
      <c r="L6131" s="497"/>
      <c r="M6131"/>
      <c r="N6131" s="498"/>
      <c r="O6131" s="498"/>
      <c r="P6131" s="498"/>
      <c r="Q6131" s="498"/>
      <c r="R6131" s="498"/>
      <c r="T6131" s="498"/>
      <c r="U6131" s="498"/>
      <c r="V6131" s="498"/>
      <c r="W6131" s="498"/>
      <c r="X6131" s="498"/>
      <c r="Y6131" s="498"/>
      <c r="Z6131" s="498"/>
      <c r="AA6131" s="498"/>
      <c r="AB6131" s="498"/>
      <c r="AC6131" s="498"/>
      <c r="AD6131" s="498"/>
      <c r="AE6131" s="498"/>
      <c r="AF6131" s="498"/>
      <c r="AG6131" s="498"/>
      <c r="AH6131" s="498"/>
      <c r="AI6131" s="498"/>
      <c r="AK6131" s="498"/>
      <c r="AL6131" s="498"/>
      <c r="AM6131" s="498"/>
      <c r="AN6131" s="498"/>
      <c r="AO6131" s="498"/>
      <c r="AP6131" s="498"/>
      <c r="AQ6131" s="498"/>
      <c r="AR6131" s="498"/>
      <c r="AS6131" s="498"/>
      <c r="AT6131" s="498"/>
      <c r="AU6131" s="498"/>
      <c r="AV6131" s="498"/>
      <c r="AW6131" s="498"/>
      <c r="AX6131" s="498"/>
      <c r="AY6131" s="498"/>
      <c r="AZ6131" s="498"/>
      <c r="BA6131" s="498"/>
    </row>
    <row r="6132" spans="1:53" s="499" customFormat="1" x14ac:dyDescent="0.25">
      <c r="A6132" s="500"/>
      <c r="B6132" s="501"/>
      <c r="C6132" s="502"/>
      <c r="D6132" s="497"/>
      <c r="E6132" s="497"/>
      <c r="F6132" s="502"/>
      <c r="G6132" s="497"/>
      <c r="H6132" s="497"/>
      <c r="I6132" s="497"/>
      <c r="J6132" s="497"/>
      <c r="K6132" s="500"/>
      <c r="L6132" s="497"/>
      <c r="M6132"/>
      <c r="N6132" s="498"/>
      <c r="O6132" s="498"/>
      <c r="P6132" s="498"/>
      <c r="Q6132" s="498"/>
      <c r="R6132" s="498"/>
      <c r="T6132" s="498"/>
      <c r="U6132" s="498"/>
      <c r="V6132" s="498"/>
      <c r="W6132" s="498"/>
      <c r="X6132" s="498"/>
      <c r="Y6132" s="498"/>
      <c r="Z6132" s="498"/>
      <c r="AA6132" s="498"/>
      <c r="AB6132" s="498"/>
      <c r="AC6132" s="498"/>
      <c r="AD6132" s="498"/>
      <c r="AE6132" s="498"/>
      <c r="AF6132" s="498"/>
      <c r="AG6132" s="498"/>
      <c r="AH6132" s="498"/>
      <c r="AI6132" s="498"/>
      <c r="AK6132" s="498"/>
      <c r="AL6132" s="498"/>
      <c r="AM6132" s="498"/>
      <c r="AN6132" s="498"/>
      <c r="AO6132" s="498"/>
      <c r="AP6132" s="498"/>
      <c r="AQ6132" s="498"/>
      <c r="AR6132" s="498"/>
      <c r="AS6132" s="498"/>
      <c r="AT6132" s="498"/>
      <c r="AU6132" s="498"/>
      <c r="AV6132" s="498"/>
      <c r="AW6132" s="498"/>
      <c r="AX6132" s="498"/>
      <c r="AY6132" s="498"/>
      <c r="AZ6132" s="498"/>
      <c r="BA6132" s="498"/>
    </row>
    <row r="6133" spans="1:53" s="499" customFormat="1" x14ac:dyDescent="0.25">
      <c r="A6133" s="500"/>
      <c r="B6133" s="501"/>
      <c r="C6133" s="502"/>
      <c r="D6133" s="497"/>
      <c r="E6133" s="497"/>
      <c r="F6133" s="502"/>
      <c r="G6133" s="497"/>
      <c r="H6133" s="497"/>
      <c r="I6133" s="497"/>
      <c r="J6133" s="497"/>
      <c r="K6133" s="500"/>
      <c r="L6133" s="497"/>
      <c r="M6133"/>
      <c r="N6133" s="498"/>
      <c r="O6133" s="498"/>
      <c r="P6133" s="498"/>
      <c r="Q6133" s="498"/>
      <c r="R6133" s="498"/>
      <c r="T6133" s="498"/>
      <c r="U6133" s="498"/>
      <c r="V6133" s="498"/>
      <c r="W6133" s="498"/>
      <c r="X6133" s="498"/>
      <c r="Y6133" s="498"/>
      <c r="Z6133" s="498"/>
      <c r="AA6133" s="498"/>
      <c r="AB6133" s="498"/>
      <c r="AC6133" s="498"/>
      <c r="AD6133" s="498"/>
      <c r="AE6133" s="498"/>
      <c r="AF6133" s="498"/>
      <c r="AG6133" s="498"/>
      <c r="AH6133" s="498"/>
      <c r="AI6133" s="498"/>
      <c r="AK6133" s="498"/>
      <c r="AL6133" s="498"/>
      <c r="AM6133" s="498"/>
      <c r="AN6133" s="498"/>
      <c r="AO6133" s="498"/>
      <c r="AP6133" s="498"/>
      <c r="AQ6133" s="498"/>
      <c r="AR6133" s="498"/>
      <c r="AS6133" s="498"/>
      <c r="AT6133" s="498"/>
      <c r="AU6133" s="498"/>
      <c r="AV6133" s="498"/>
      <c r="AW6133" s="498"/>
      <c r="AX6133" s="498"/>
      <c r="AY6133" s="498"/>
      <c r="AZ6133" s="498"/>
      <c r="BA6133" s="498"/>
    </row>
    <row r="6134" spans="1:53" s="499" customFormat="1" x14ac:dyDescent="0.25">
      <c r="A6134" s="500"/>
      <c r="B6134" s="501"/>
      <c r="C6134" s="502"/>
      <c r="D6134" s="497"/>
      <c r="E6134" s="497"/>
      <c r="F6134" s="502"/>
      <c r="G6134" s="497"/>
      <c r="H6134" s="497"/>
      <c r="I6134" s="497"/>
      <c r="J6134" s="497"/>
      <c r="K6134" s="500"/>
      <c r="L6134" s="497"/>
      <c r="M6134"/>
      <c r="N6134" s="498"/>
      <c r="O6134" s="498"/>
      <c r="P6134" s="498"/>
      <c r="Q6134" s="498"/>
      <c r="R6134" s="498"/>
      <c r="T6134" s="498"/>
      <c r="U6134" s="498"/>
      <c r="V6134" s="498"/>
      <c r="W6134" s="498"/>
      <c r="X6134" s="498"/>
      <c r="Y6134" s="498"/>
      <c r="Z6134" s="498"/>
      <c r="AA6134" s="498"/>
      <c r="AB6134" s="498"/>
      <c r="AC6134" s="498"/>
      <c r="AD6134" s="498"/>
      <c r="AE6134" s="498"/>
      <c r="AF6134" s="498"/>
      <c r="AG6134" s="498"/>
      <c r="AH6134" s="498"/>
      <c r="AI6134" s="498"/>
      <c r="AK6134" s="498"/>
      <c r="AL6134" s="498"/>
      <c r="AM6134" s="498"/>
      <c r="AN6134" s="498"/>
      <c r="AO6134" s="498"/>
      <c r="AP6134" s="498"/>
      <c r="AQ6134" s="498"/>
      <c r="AR6134" s="498"/>
      <c r="AS6134" s="498"/>
      <c r="AT6134" s="498"/>
      <c r="AU6134" s="498"/>
      <c r="AV6134" s="498"/>
      <c r="AW6134" s="498"/>
      <c r="AX6134" s="498"/>
      <c r="AY6134" s="498"/>
      <c r="AZ6134" s="498"/>
      <c r="BA6134" s="498"/>
    </row>
    <row r="6135" spans="1:53" s="499" customFormat="1" x14ac:dyDescent="0.25">
      <c r="A6135" s="500"/>
      <c r="B6135" s="501"/>
      <c r="C6135" s="502"/>
      <c r="D6135" s="497"/>
      <c r="E6135" s="497"/>
      <c r="F6135" s="502"/>
      <c r="G6135" s="497"/>
      <c r="H6135" s="497"/>
      <c r="I6135" s="497"/>
      <c r="J6135" s="497"/>
      <c r="K6135" s="500"/>
      <c r="L6135" s="497"/>
      <c r="M6135"/>
      <c r="N6135" s="498"/>
      <c r="O6135" s="498"/>
      <c r="P6135" s="498"/>
      <c r="Q6135" s="498"/>
      <c r="R6135" s="498"/>
      <c r="T6135" s="498"/>
      <c r="U6135" s="498"/>
      <c r="V6135" s="498"/>
      <c r="W6135" s="498"/>
      <c r="X6135" s="498"/>
      <c r="Y6135" s="498"/>
      <c r="Z6135" s="498"/>
      <c r="AA6135" s="498"/>
      <c r="AB6135" s="498"/>
      <c r="AC6135" s="498"/>
      <c r="AD6135" s="498"/>
      <c r="AE6135" s="498"/>
      <c r="AF6135" s="498"/>
      <c r="AG6135" s="498"/>
      <c r="AH6135" s="498"/>
      <c r="AI6135" s="498"/>
      <c r="AK6135" s="498"/>
      <c r="AL6135" s="498"/>
      <c r="AM6135" s="498"/>
      <c r="AN6135" s="498"/>
      <c r="AO6135" s="498"/>
      <c r="AP6135" s="498"/>
      <c r="AQ6135" s="498"/>
      <c r="AR6135" s="498"/>
      <c r="AS6135" s="498"/>
      <c r="AT6135" s="498"/>
      <c r="AU6135" s="498"/>
      <c r="AV6135" s="498"/>
      <c r="AW6135" s="498"/>
      <c r="AX6135" s="498"/>
      <c r="AY6135" s="498"/>
      <c r="AZ6135" s="498"/>
      <c r="BA6135" s="498"/>
    </row>
    <row r="6136" spans="1:53" s="499" customFormat="1" x14ac:dyDescent="0.25">
      <c r="A6136" s="500"/>
      <c r="B6136" s="501"/>
      <c r="C6136" s="502"/>
      <c r="D6136" s="497"/>
      <c r="E6136" s="497"/>
      <c r="F6136" s="502"/>
      <c r="G6136" s="497"/>
      <c r="H6136" s="497"/>
      <c r="I6136" s="497"/>
      <c r="J6136" s="497"/>
      <c r="K6136" s="500"/>
      <c r="L6136" s="497"/>
      <c r="M6136"/>
      <c r="N6136" s="498"/>
      <c r="O6136" s="498"/>
      <c r="P6136" s="498"/>
      <c r="Q6136" s="498"/>
      <c r="R6136" s="498"/>
      <c r="T6136" s="498"/>
      <c r="U6136" s="498"/>
      <c r="V6136" s="498"/>
      <c r="W6136" s="498"/>
      <c r="X6136" s="498"/>
      <c r="Y6136" s="498"/>
      <c r="Z6136" s="498"/>
      <c r="AA6136" s="498"/>
      <c r="AB6136" s="498"/>
      <c r="AC6136" s="498"/>
      <c r="AD6136" s="498"/>
      <c r="AE6136" s="498"/>
      <c r="AF6136" s="498"/>
      <c r="AG6136" s="498"/>
      <c r="AH6136" s="498"/>
      <c r="AI6136" s="498"/>
      <c r="AK6136" s="498"/>
      <c r="AL6136" s="498"/>
      <c r="AM6136" s="498"/>
      <c r="AN6136" s="498"/>
      <c r="AO6136" s="498"/>
      <c r="AP6136" s="498"/>
      <c r="AQ6136" s="498"/>
      <c r="AR6136" s="498"/>
      <c r="AS6136" s="498"/>
      <c r="AT6136" s="498"/>
      <c r="AU6136" s="498"/>
      <c r="AV6136" s="498"/>
      <c r="AW6136" s="498"/>
      <c r="AX6136" s="498"/>
      <c r="AY6136" s="498"/>
      <c r="AZ6136" s="498"/>
      <c r="BA6136" s="498"/>
    </row>
    <row r="6137" spans="1:53" s="499" customFormat="1" x14ac:dyDescent="0.25">
      <c r="A6137" s="500"/>
      <c r="B6137" s="501"/>
      <c r="C6137" s="502"/>
      <c r="D6137" s="497"/>
      <c r="E6137" s="497"/>
      <c r="F6137" s="502"/>
      <c r="G6137" s="497"/>
      <c r="H6137" s="497"/>
      <c r="I6137" s="497"/>
      <c r="J6137" s="497"/>
      <c r="K6137" s="500"/>
      <c r="L6137" s="497"/>
      <c r="M6137"/>
      <c r="N6137" s="498"/>
      <c r="O6137" s="498"/>
      <c r="P6137" s="498"/>
      <c r="Q6137" s="498"/>
      <c r="R6137" s="498"/>
      <c r="T6137" s="498"/>
      <c r="U6137" s="498"/>
      <c r="V6137" s="498"/>
      <c r="W6137" s="498"/>
      <c r="X6137" s="498"/>
      <c r="Y6137" s="498"/>
      <c r="Z6137" s="498"/>
      <c r="AA6137" s="498"/>
      <c r="AB6137" s="498"/>
      <c r="AC6137" s="498"/>
      <c r="AD6137" s="498"/>
      <c r="AE6137" s="498"/>
      <c r="AF6137" s="498"/>
      <c r="AG6137" s="498"/>
      <c r="AH6137" s="498"/>
      <c r="AI6137" s="498"/>
      <c r="AK6137" s="498"/>
      <c r="AL6137" s="498"/>
      <c r="AM6137" s="498"/>
      <c r="AN6137" s="498"/>
      <c r="AO6137" s="498"/>
      <c r="AP6137" s="498"/>
      <c r="AQ6137" s="498"/>
      <c r="AR6137" s="498"/>
      <c r="AS6137" s="498"/>
      <c r="AT6137" s="498"/>
      <c r="AU6137" s="498"/>
      <c r="AV6137" s="498"/>
      <c r="AW6137" s="498"/>
      <c r="AX6137" s="498"/>
      <c r="AY6137" s="498"/>
      <c r="AZ6137" s="498"/>
      <c r="BA6137" s="498"/>
    </row>
    <row r="6138" spans="1:53" s="499" customFormat="1" x14ac:dyDescent="0.25">
      <c r="A6138" s="500"/>
      <c r="B6138" s="501"/>
      <c r="C6138" s="502"/>
      <c r="D6138" s="497"/>
      <c r="E6138" s="497"/>
      <c r="F6138" s="502"/>
      <c r="G6138" s="497"/>
      <c r="H6138" s="497"/>
      <c r="I6138" s="497"/>
      <c r="J6138" s="497"/>
      <c r="K6138" s="500"/>
      <c r="L6138" s="497"/>
      <c r="M6138"/>
      <c r="N6138" s="498"/>
      <c r="O6138" s="498"/>
      <c r="P6138" s="498"/>
      <c r="Q6138" s="498"/>
      <c r="R6138" s="498"/>
      <c r="T6138" s="498"/>
      <c r="U6138" s="498"/>
      <c r="V6138" s="498"/>
      <c r="W6138" s="498"/>
      <c r="X6138" s="498"/>
      <c r="Y6138" s="498"/>
      <c r="Z6138" s="498"/>
      <c r="AA6138" s="498"/>
      <c r="AB6138" s="498"/>
      <c r="AC6138" s="498"/>
      <c r="AD6138" s="498"/>
      <c r="AE6138" s="498"/>
      <c r="AF6138" s="498"/>
      <c r="AG6138" s="498"/>
      <c r="AH6138" s="498"/>
      <c r="AI6138" s="498"/>
      <c r="AK6138" s="498"/>
      <c r="AL6138" s="498"/>
      <c r="AM6138" s="498"/>
      <c r="AN6138" s="498"/>
      <c r="AO6138" s="498"/>
      <c r="AP6138" s="498"/>
      <c r="AQ6138" s="498"/>
      <c r="AR6138" s="498"/>
      <c r="AS6138" s="498"/>
      <c r="AT6138" s="498"/>
      <c r="AU6138" s="498"/>
      <c r="AV6138" s="498"/>
      <c r="AW6138" s="498"/>
      <c r="AX6138" s="498"/>
      <c r="AY6138" s="498"/>
      <c r="AZ6138" s="498"/>
      <c r="BA6138" s="498"/>
    </row>
    <row r="6139" spans="1:53" s="499" customFormat="1" x14ac:dyDescent="0.25">
      <c r="A6139" s="500"/>
      <c r="B6139" s="501"/>
      <c r="C6139" s="502"/>
      <c r="D6139" s="497"/>
      <c r="E6139" s="497"/>
      <c r="F6139" s="502"/>
      <c r="G6139" s="497"/>
      <c r="H6139" s="497"/>
      <c r="I6139" s="497"/>
      <c r="J6139" s="497"/>
      <c r="K6139" s="500"/>
      <c r="L6139" s="497"/>
      <c r="M6139"/>
      <c r="N6139" s="498"/>
      <c r="O6139" s="498"/>
      <c r="P6139" s="498"/>
      <c r="Q6139" s="498"/>
      <c r="R6139" s="498"/>
      <c r="T6139" s="498"/>
      <c r="U6139" s="498"/>
      <c r="V6139" s="498"/>
      <c r="W6139" s="498"/>
      <c r="X6139" s="498"/>
      <c r="Y6139" s="498"/>
      <c r="Z6139" s="498"/>
      <c r="AA6139" s="498"/>
      <c r="AB6139" s="498"/>
      <c r="AC6139" s="498"/>
      <c r="AD6139" s="498"/>
      <c r="AE6139" s="498"/>
      <c r="AF6139" s="498"/>
      <c r="AG6139" s="498"/>
      <c r="AH6139" s="498"/>
      <c r="AI6139" s="498"/>
      <c r="AK6139" s="498"/>
      <c r="AL6139" s="498"/>
      <c r="AM6139" s="498"/>
      <c r="AN6139" s="498"/>
      <c r="AO6139" s="498"/>
      <c r="AP6139" s="498"/>
      <c r="AQ6139" s="498"/>
      <c r="AR6139" s="498"/>
      <c r="AS6139" s="498"/>
      <c r="AT6139" s="498"/>
      <c r="AU6139" s="498"/>
      <c r="AV6139" s="498"/>
      <c r="AW6139" s="498"/>
      <c r="AX6139" s="498"/>
      <c r="AY6139" s="498"/>
      <c r="AZ6139" s="498"/>
      <c r="BA6139" s="498"/>
    </row>
    <row r="6140" spans="1:53" s="499" customFormat="1" x14ac:dyDescent="0.25">
      <c r="A6140" s="500"/>
      <c r="B6140" s="501"/>
      <c r="C6140" s="502"/>
      <c r="D6140" s="497"/>
      <c r="E6140" s="497"/>
      <c r="F6140" s="502"/>
      <c r="G6140" s="497"/>
      <c r="H6140" s="497"/>
      <c r="I6140" s="497"/>
      <c r="J6140" s="497"/>
      <c r="K6140" s="500"/>
      <c r="L6140" s="497"/>
      <c r="M6140"/>
      <c r="N6140" s="498"/>
      <c r="O6140" s="498"/>
      <c r="P6140" s="498"/>
      <c r="Q6140" s="498"/>
      <c r="R6140" s="498"/>
      <c r="T6140" s="498"/>
      <c r="U6140" s="498"/>
      <c r="V6140" s="498"/>
      <c r="W6140" s="498"/>
      <c r="X6140" s="498"/>
      <c r="Y6140" s="498"/>
      <c r="Z6140" s="498"/>
      <c r="AA6140" s="498"/>
      <c r="AB6140" s="498"/>
      <c r="AC6140" s="498"/>
      <c r="AD6140" s="498"/>
      <c r="AE6140" s="498"/>
      <c r="AF6140" s="498"/>
      <c r="AG6140" s="498"/>
      <c r="AH6140" s="498"/>
      <c r="AI6140" s="498"/>
      <c r="AK6140" s="498"/>
      <c r="AL6140" s="498"/>
      <c r="AM6140" s="498"/>
      <c r="AN6140" s="498"/>
      <c r="AO6140" s="498"/>
      <c r="AP6140" s="498"/>
      <c r="AQ6140" s="498"/>
      <c r="AR6140" s="498"/>
      <c r="AS6140" s="498"/>
      <c r="AT6140" s="498"/>
      <c r="AU6140" s="498"/>
      <c r="AV6140" s="498"/>
      <c r="AW6140" s="498"/>
      <c r="AX6140" s="498"/>
      <c r="AY6140" s="498"/>
      <c r="AZ6140" s="498"/>
      <c r="BA6140" s="498"/>
    </row>
    <row r="6141" spans="1:53" s="499" customFormat="1" x14ac:dyDescent="0.25">
      <c r="A6141" s="500"/>
      <c r="B6141" s="501"/>
      <c r="C6141" s="502"/>
      <c r="D6141" s="497"/>
      <c r="E6141" s="497"/>
      <c r="F6141" s="502"/>
      <c r="G6141" s="497"/>
      <c r="H6141" s="497"/>
      <c r="I6141" s="497"/>
      <c r="J6141" s="497"/>
      <c r="K6141" s="500"/>
      <c r="L6141" s="497"/>
      <c r="M6141"/>
      <c r="N6141" s="498"/>
      <c r="O6141" s="498"/>
      <c r="P6141" s="498"/>
      <c r="Q6141" s="498"/>
      <c r="R6141" s="498"/>
      <c r="T6141" s="498"/>
      <c r="U6141" s="498"/>
      <c r="V6141" s="498"/>
      <c r="W6141" s="498"/>
      <c r="X6141" s="498"/>
      <c r="Y6141" s="498"/>
      <c r="Z6141" s="498"/>
      <c r="AA6141" s="498"/>
      <c r="AB6141" s="498"/>
      <c r="AC6141" s="498"/>
      <c r="AD6141" s="498"/>
      <c r="AE6141" s="498"/>
      <c r="AF6141" s="498"/>
      <c r="AG6141" s="498"/>
      <c r="AH6141" s="498"/>
      <c r="AI6141" s="498"/>
      <c r="AK6141" s="498"/>
      <c r="AL6141" s="498"/>
      <c r="AM6141" s="498"/>
      <c r="AN6141" s="498"/>
      <c r="AO6141" s="498"/>
      <c r="AP6141" s="498"/>
      <c r="AQ6141" s="498"/>
      <c r="AR6141" s="498"/>
      <c r="AS6141" s="498"/>
      <c r="AT6141" s="498"/>
      <c r="AU6141" s="498"/>
      <c r="AV6141" s="498"/>
      <c r="AW6141" s="498"/>
      <c r="AX6141" s="498"/>
      <c r="AY6141" s="498"/>
      <c r="AZ6141" s="498"/>
      <c r="BA6141" s="498"/>
    </row>
    <row r="6142" spans="1:53" s="499" customFormat="1" x14ac:dyDescent="0.25">
      <c r="A6142" s="500"/>
      <c r="B6142" s="501"/>
      <c r="C6142" s="502"/>
      <c r="D6142" s="497"/>
      <c r="E6142" s="497"/>
      <c r="F6142" s="502"/>
      <c r="G6142" s="497"/>
      <c r="H6142" s="497"/>
      <c r="I6142" s="497"/>
      <c r="J6142" s="497"/>
      <c r="K6142" s="500"/>
      <c r="L6142" s="497"/>
      <c r="M6142"/>
      <c r="N6142" s="498"/>
      <c r="O6142" s="498"/>
      <c r="P6142" s="498"/>
      <c r="Q6142" s="498"/>
      <c r="R6142" s="498"/>
      <c r="T6142" s="498"/>
      <c r="U6142" s="498"/>
      <c r="V6142" s="498"/>
      <c r="W6142" s="498"/>
      <c r="X6142" s="498"/>
      <c r="Y6142" s="498"/>
      <c r="Z6142" s="498"/>
      <c r="AA6142" s="498"/>
      <c r="AB6142" s="498"/>
      <c r="AC6142" s="498"/>
      <c r="AD6142" s="498"/>
      <c r="AE6142" s="498"/>
      <c r="AF6142" s="498"/>
      <c r="AG6142" s="498"/>
      <c r="AH6142" s="498"/>
      <c r="AI6142" s="498"/>
      <c r="AK6142" s="498"/>
      <c r="AL6142" s="498"/>
      <c r="AM6142" s="498"/>
      <c r="AN6142" s="498"/>
      <c r="AO6142" s="498"/>
      <c r="AP6142" s="498"/>
      <c r="AQ6142" s="498"/>
      <c r="AR6142" s="498"/>
      <c r="AS6142" s="498"/>
      <c r="AT6142" s="498"/>
      <c r="AU6142" s="498"/>
      <c r="AV6142" s="498"/>
      <c r="AW6142" s="498"/>
      <c r="AX6142" s="498"/>
      <c r="AY6142" s="498"/>
      <c r="AZ6142" s="498"/>
      <c r="BA6142" s="498"/>
    </row>
    <row r="6143" spans="1:53" s="499" customFormat="1" x14ac:dyDescent="0.25">
      <c r="A6143" s="500"/>
      <c r="B6143" s="501"/>
      <c r="C6143" s="502"/>
      <c r="D6143" s="497"/>
      <c r="E6143" s="497"/>
      <c r="F6143" s="502"/>
      <c r="G6143" s="497"/>
      <c r="H6143" s="497"/>
      <c r="I6143" s="497"/>
      <c r="J6143" s="497"/>
      <c r="K6143" s="500"/>
      <c r="L6143" s="497"/>
      <c r="M6143"/>
      <c r="N6143" s="498"/>
      <c r="O6143" s="498"/>
      <c r="P6143" s="498"/>
      <c r="Q6143" s="498"/>
      <c r="R6143" s="498"/>
      <c r="T6143" s="498"/>
      <c r="U6143" s="498"/>
      <c r="V6143" s="498"/>
      <c r="W6143" s="498"/>
      <c r="X6143" s="498"/>
      <c r="Y6143" s="498"/>
      <c r="Z6143" s="498"/>
      <c r="AA6143" s="498"/>
      <c r="AB6143" s="498"/>
      <c r="AC6143" s="498"/>
      <c r="AD6143" s="498"/>
      <c r="AE6143" s="498"/>
      <c r="AF6143" s="498"/>
      <c r="AG6143" s="498"/>
      <c r="AH6143" s="498"/>
      <c r="AI6143" s="498"/>
      <c r="AK6143" s="498"/>
      <c r="AL6143" s="498"/>
      <c r="AM6143" s="498"/>
      <c r="AN6143" s="498"/>
      <c r="AO6143" s="498"/>
      <c r="AP6143" s="498"/>
      <c r="AQ6143" s="498"/>
      <c r="AR6143" s="498"/>
      <c r="AS6143" s="498"/>
      <c r="AT6143" s="498"/>
      <c r="AU6143" s="498"/>
      <c r="AV6143" s="498"/>
      <c r="AW6143" s="498"/>
      <c r="AX6143" s="498"/>
      <c r="AY6143" s="498"/>
      <c r="AZ6143" s="498"/>
      <c r="BA6143" s="498"/>
    </row>
    <row r="6144" spans="1:53" s="499" customFormat="1" x14ac:dyDescent="0.25">
      <c r="A6144" s="500"/>
      <c r="B6144" s="501"/>
      <c r="C6144" s="502"/>
      <c r="D6144" s="497"/>
      <c r="E6144" s="497"/>
      <c r="F6144" s="502"/>
      <c r="G6144" s="497"/>
      <c r="H6144" s="497"/>
      <c r="I6144" s="497"/>
      <c r="J6144" s="497"/>
      <c r="K6144" s="500"/>
      <c r="L6144" s="497"/>
      <c r="M6144"/>
      <c r="N6144" s="498"/>
      <c r="O6144" s="498"/>
      <c r="P6144" s="498"/>
      <c r="Q6144" s="498"/>
      <c r="R6144" s="498"/>
      <c r="T6144" s="498"/>
      <c r="U6144" s="498"/>
      <c r="V6144" s="498"/>
      <c r="W6144" s="498"/>
      <c r="X6144" s="498"/>
      <c r="Y6144" s="498"/>
      <c r="Z6144" s="498"/>
      <c r="AA6144" s="498"/>
      <c r="AB6144" s="498"/>
      <c r="AC6144" s="498"/>
      <c r="AD6144" s="498"/>
      <c r="AE6144" s="498"/>
      <c r="AF6144" s="498"/>
      <c r="AG6144" s="498"/>
      <c r="AH6144" s="498"/>
      <c r="AI6144" s="498"/>
      <c r="AK6144" s="498"/>
      <c r="AL6144" s="498"/>
      <c r="AM6144" s="498"/>
      <c r="AN6144" s="498"/>
      <c r="AO6144" s="498"/>
      <c r="AP6144" s="498"/>
      <c r="AQ6144" s="498"/>
      <c r="AR6144" s="498"/>
      <c r="AS6144" s="498"/>
      <c r="AT6144" s="498"/>
      <c r="AU6144" s="498"/>
      <c r="AV6144" s="498"/>
      <c r="AW6144" s="498"/>
      <c r="AX6144" s="498"/>
      <c r="AY6144" s="498"/>
      <c r="AZ6144" s="498"/>
      <c r="BA6144" s="498"/>
    </row>
    <row r="6145" spans="1:53" s="499" customFormat="1" x14ac:dyDescent="0.25">
      <c r="A6145" s="500"/>
      <c r="B6145" s="501"/>
      <c r="C6145" s="502"/>
      <c r="D6145" s="497"/>
      <c r="E6145" s="497"/>
      <c r="F6145" s="502"/>
      <c r="G6145" s="497"/>
      <c r="H6145" s="497"/>
      <c r="I6145" s="497"/>
      <c r="J6145" s="497"/>
      <c r="K6145" s="500"/>
      <c r="L6145" s="497"/>
      <c r="M6145"/>
      <c r="N6145" s="498"/>
      <c r="O6145" s="498"/>
      <c r="P6145" s="498"/>
      <c r="Q6145" s="498"/>
      <c r="R6145" s="498"/>
      <c r="T6145" s="498"/>
      <c r="U6145" s="498"/>
      <c r="V6145" s="498"/>
      <c r="W6145" s="498"/>
      <c r="X6145" s="498"/>
      <c r="Y6145" s="498"/>
      <c r="Z6145" s="498"/>
      <c r="AA6145" s="498"/>
      <c r="AB6145" s="498"/>
      <c r="AC6145" s="498"/>
      <c r="AD6145" s="498"/>
      <c r="AE6145" s="498"/>
      <c r="AF6145" s="498"/>
      <c r="AG6145" s="498"/>
      <c r="AH6145" s="498"/>
      <c r="AI6145" s="498"/>
      <c r="AK6145" s="498"/>
      <c r="AL6145" s="498"/>
      <c r="AM6145" s="498"/>
      <c r="AN6145" s="498"/>
      <c r="AO6145" s="498"/>
      <c r="AP6145" s="498"/>
      <c r="AQ6145" s="498"/>
      <c r="AR6145" s="498"/>
      <c r="AS6145" s="498"/>
      <c r="AT6145" s="498"/>
      <c r="AU6145" s="498"/>
      <c r="AV6145" s="498"/>
      <c r="AW6145" s="498"/>
      <c r="AX6145" s="498"/>
      <c r="AY6145" s="498"/>
      <c r="AZ6145" s="498"/>
      <c r="BA6145" s="498"/>
    </row>
    <row r="6146" spans="1:53" s="499" customFormat="1" x14ac:dyDescent="0.25">
      <c r="A6146" s="500"/>
      <c r="B6146" s="501"/>
      <c r="C6146" s="502"/>
      <c r="D6146" s="497"/>
      <c r="E6146" s="497"/>
      <c r="F6146" s="502"/>
      <c r="G6146" s="497"/>
      <c r="H6146" s="497"/>
      <c r="I6146" s="497"/>
      <c r="J6146" s="497"/>
      <c r="K6146" s="500"/>
      <c r="L6146" s="497"/>
      <c r="M6146"/>
      <c r="N6146" s="498"/>
      <c r="O6146" s="498"/>
      <c r="P6146" s="498"/>
      <c r="Q6146" s="498"/>
      <c r="R6146" s="498"/>
      <c r="T6146" s="498"/>
      <c r="U6146" s="498"/>
      <c r="V6146" s="498"/>
      <c r="W6146" s="498"/>
      <c r="X6146" s="498"/>
      <c r="Y6146" s="498"/>
      <c r="Z6146" s="498"/>
      <c r="AA6146" s="498"/>
      <c r="AB6146" s="498"/>
      <c r="AC6146" s="498"/>
      <c r="AD6146" s="498"/>
      <c r="AE6146" s="498"/>
      <c r="AF6146" s="498"/>
      <c r="AG6146" s="498"/>
      <c r="AH6146" s="498"/>
      <c r="AI6146" s="498"/>
      <c r="AK6146" s="498"/>
      <c r="AL6146" s="498"/>
      <c r="AM6146" s="498"/>
      <c r="AN6146" s="498"/>
      <c r="AO6146" s="498"/>
      <c r="AP6146" s="498"/>
      <c r="AQ6146" s="498"/>
      <c r="AR6146" s="498"/>
      <c r="AS6146" s="498"/>
      <c r="AT6146" s="498"/>
      <c r="AU6146" s="498"/>
      <c r="AV6146" s="498"/>
      <c r="AW6146" s="498"/>
      <c r="AX6146" s="498"/>
      <c r="AY6146" s="498"/>
      <c r="AZ6146" s="498"/>
      <c r="BA6146" s="498"/>
    </row>
    <row r="6147" spans="1:53" s="499" customFormat="1" x14ac:dyDescent="0.25">
      <c r="A6147" s="500"/>
      <c r="B6147" s="501"/>
      <c r="C6147" s="502"/>
      <c r="D6147" s="497"/>
      <c r="E6147" s="497"/>
      <c r="F6147" s="502"/>
      <c r="G6147" s="497"/>
      <c r="H6147" s="497"/>
      <c r="I6147" s="497"/>
      <c r="J6147" s="497"/>
      <c r="K6147" s="500"/>
      <c r="L6147" s="497"/>
      <c r="M6147"/>
      <c r="N6147" s="498"/>
      <c r="O6147" s="498"/>
      <c r="P6147" s="498"/>
      <c r="Q6147" s="498"/>
      <c r="R6147" s="498"/>
      <c r="T6147" s="498"/>
      <c r="U6147" s="498"/>
      <c r="V6147" s="498"/>
      <c r="W6147" s="498"/>
      <c r="X6147" s="498"/>
      <c r="Y6147" s="498"/>
      <c r="Z6147" s="498"/>
      <c r="AA6147" s="498"/>
      <c r="AB6147" s="498"/>
      <c r="AC6147" s="498"/>
      <c r="AD6147" s="498"/>
      <c r="AE6147" s="498"/>
      <c r="AF6147" s="498"/>
      <c r="AG6147" s="498"/>
      <c r="AH6147" s="498"/>
      <c r="AI6147" s="498"/>
      <c r="AK6147" s="498"/>
      <c r="AL6147" s="498"/>
      <c r="AM6147" s="498"/>
      <c r="AN6147" s="498"/>
      <c r="AO6147" s="498"/>
      <c r="AP6147" s="498"/>
      <c r="AQ6147" s="498"/>
      <c r="AR6147" s="498"/>
      <c r="AS6147" s="498"/>
      <c r="AT6147" s="498"/>
      <c r="AU6147" s="498"/>
      <c r="AV6147" s="498"/>
      <c r="AW6147" s="498"/>
      <c r="AX6147" s="498"/>
      <c r="AY6147" s="498"/>
      <c r="AZ6147" s="498"/>
      <c r="BA6147" s="498"/>
    </row>
    <row r="6148" spans="1:53" s="499" customFormat="1" x14ac:dyDescent="0.25">
      <c r="A6148" s="500"/>
      <c r="B6148" s="501"/>
      <c r="C6148" s="502"/>
      <c r="D6148" s="497"/>
      <c r="E6148" s="497"/>
      <c r="F6148" s="502"/>
      <c r="G6148" s="497"/>
      <c r="H6148" s="497"/>
      <c r="I6148" s="497"/>
      <c r="J6148" s="497"/>
      <c r="K6148" s="500"/>
      <c r="L6148" s="497"/>
      <c r="M6148"/>
      <c r="N6148" s="498"/>
      <c r="O6148" s="498"/>
      <c r="P6148" s="498"/>
      <c r="Q6148" s="498"/>
      <c r="R6148" s="498"/>
      <c r="T6148" s="498"/>
      <c r="U6148" s="498"/>
      <c r="V6148" s="498"/>
      <c r="W6148" s="498"/>
      <c r="X6148" s="498"/>
      <c r="Y6148" s="498"/>
      <c r="Z6148" s="498"/>
      <c r="AA6148" s="498"/>
      <c r="AB6148" s="498"/>
      <c r="AC6148" s="498"/>
      <c r="AD6148" s="498"/>
      <c r="AE6148" s="498"/>
      <c r="AF6148" s="498"/>
      <c r="AG6148" s="498"/>
      <c r="AH6148" s="498"/>
      <c r="AI6148" s="498"/>
      <c r="AK6148" s="498"/>
      <c r="AL6148" s="498"/>
      <c r="AM6148" s="498"/>
      <c r="AN6148" s="498"/>
      <c r="AO6148" s="498"/>
      <c r="AP6148" s="498"/>
      <c r="AQ6148" s="498"/>
      <c r="AR6148" s="498"/>
      <c r="AS6148" s="498"/>
      <c r="AT6148" s="498"/>
      <c r="AU6148" s="498"/>
      <c r="AV6148" s="498"/>
      <c r="AW6148" s="498"/>
      <c r="AX6148" s="498"/>
      <c r="AY6148" s="498"/>
      <c r="AZ6148" s="498"/>
      <c r="BA6148" s="498"/>
    </row>
    <row r="6149" spans="1:53" s="499" customFormat="1" x14ac:dyDescent="0.25">
      <c r="A6149" s="500"/>
      <c r="B6149" s="501"/>
      <c r="C6149" s="502"/>
      <c r="D6149" s="497"/>
      <c r="E6149" s="497"/>
      <c r="F6149" s="502"/>
      <c r="G6149" s="497"/>
      <c r="H6149" s="497"/>
      <c r="I6149" s="497"/>
      <c r="J6149" s="497"/>
      <c r="K6149" s="500"/>
      <c r="L6149" s="497"/>
      <c r="M6149"/>
      <c r="N6149" s="498"/>
      <c r="O6149" s="498"/>
      <c r="P6149" s="498"/>
      <c r="Q6149" s="498"/>
      <c r="R6149" s="498"/>
      <c r="T6149" s="498"/>
      <c r="U6149" s="498"/>
      <c r="V6149" s="498"/>
      <c r="W6149" s="498"/>
      <c r="X6149" s="498"/>
      <c r="Y6149" s="498"/>
      <c r="Z6149" s="498"/>
      <c r="AA6149" s="498"/>
      <c r="AB6149" s="498"/>
      <c r="AC6149" s="498"/>
      <c r="AD6149" s="498"/>
      <c r="AE6149" s="498"/>
      <c r="AF6149" s="498"/>
      <c r="AG6149" s="498"/>
      <c r="AH6149" s="498"/>
      <c r="AI6149" s="498"/>
      <c r="AK6149" s="498"/>
      <c r="AL6149" s="498"/>
      <c r="AM6149" s="498"/>
      <c r="AN6149" s="498"/>
      <c r="AO6149" s="498"/>
      <c r="AP6149" s="498"/>
      <c r="AQ6149" s="498"/>
      <c r="AR6149" s="498"/>
      <c r="AS6149" s="498"/>
      <c r="AT6149" s="498"/>
      <c r="AU6149" s="498"/>
      <c r="AV6149" s="498"/>
      <c r="AW6149" s="498"/>
      <c r="AX6149" s="498"/>
      <c r="AY6149" s="498"/>
      <c r="AZ6149" s="498"/>
      <c r="BA6149" s="498"/>
    </row>
    <row r="6150" spans="1:53" s="499" customFormat="1" x14ac:dyDescent="0.25">
      <c r="A6150" s="500"/>
      <c r="B6150" s="501"/>
      <c r="C6150" s="502"/>
      <c r="D6150" s="497"/>
      <c r="E6150" s="497"/>
      <c r="F6150" s="502"/>
      <c r="G6150" s="497"/>
      <c r="H6150" s="497"/>
      <c r="I6150" s="497"/>
      <c r="J6150" s="497"/>
      <c r="K6150" s="500"/>
      <c r="L6150" s="497"/>
      <c r="M6150"/>
      <c r="N6150" s="498"/>
      <c r="O6150" s="498"/>
      <c r="P6150" s="498"/>
      <c r="Q6150" s="498"/>
      <c r="R6150" s="498"/>
      <c r="T6150" s="498"/>
      <c r="U6150" s="498"/>
      <c r="V6150" s="498"/>
      <c r="W6150" s="498"/>
      <c r="X6150" s="498"/>
      <c r="Y6150" s="498"/>
      <c r="Z6150" s="498"/>
      <c r="AA6150" s="498"/>
      <c r="AB6150" s="498"/>
      <c r="AC6150" s="498"/>
      <c r="AD6150" s="498"/>
      <c r="AE6150" s="498"/>
      <c r="AF6150" s="498"/>
      <c r="AG6150" s="498"/>
      <c r="AH6150" s="498"/>
      <c r="AI6150" s="498"/>
      <c r="AK6150" s="498"/>
      <c r="AL6150" s="498"/>
      <c r="AM6150" s="498"/>
      <c r="AN6150" s="498"/>
      <c r="AO6150" s="498"/>
      <c r="AP6150" s="498"/>
      <c r="AQ6150" s="498"/>
      <c r="AR6150" s="498"/>
      <c r="AS6150" s="498"/>
      <c r="AT6150" s="498"/>
      <c r="AU6150" s="498"/>
      <c r="AV6150" s="498"/>
      <c r="AW6150" s="498"/>
      <c r="AX6150" s="498"/>
      <c r="AY6150" s="498"/>
      <c r="AZ6150" s="498"/>
      <c r="BA6150" s="498"/>
    </row>
    <row r="6151" spans="1:53" s="499" customFormat="1" x14ac:dyDescent="0.25">
      <c r="A6151" s="500"/>
      <c r="B6151" s="501"/>
      <c r="C6151" s="502"/>
      <c r="D6151" s="497"/>
      <c r="E6151" s="497"/>
      <c r="F6151" s="502"/>
      <c r="G6151" s="497"/>
      <c r="H6151" s="497"/>
      <c r="I6151" s="497"/>
      <c r="J6151" s="497"/>
      <c r="K6151" s="500"/>
      <c r="L6151" s="497"/>
      <c r="M6151"/>
      <c r="N6151" s="498"/>
      <c r="O6151" s="498"/>
      <c r="P6151" s="498"/>
      <c r="Q6151" s="498"/>
      <c r="R6151" s="498"/>
      <c r="T6151" s="498"/>
      <c r="U6151" s="498"/>
      <c r="V6151" s="498"/>
      <c r="W6151" s="498"/>
      <c r="X6151" s="498"/>
      <c r="Y6151" s="498"/>
      <c r="Z6151" s="498"/>
      <c r="AA6151" s="498"/>
      <c r="AB6151" s="498"/>
      <c r="AC6151" s="498"/>
      <c r="AD6151" s="498"/>
      <c r="AE6151" s="498"/>
      <c r="AF6151" s="498"/>
      <c r="AG6151" s="498"/>
      <c r="AH6151" s="498"/>
      <c r="AI6151" s="498"/>
      <c r="AK6151" s="498"/>
      <c r="AL6151" s="498"/>
      <c r="AM6151" s="498"/>
      <c r="AN6151" s="498"/>
      <c r="AO6151" s="498"/>
      <c r="AP6151" s="498"/>
      <c r="AQ6151" s="498"/>
      <c r="AR6151" s="498"/>
      <c r="AS6151" s="498"/>
      <c r="AT6151" s="498"/>
      <c r="AU6151" s="498"/>
      <c r="AV6151" s="498"/>
      <c r="AW6151" s="498"/>
      <c r="AX6151" s="498"/>
      <c r="AY6151" s="498"/>
      <c r="AZ6151" s="498"/>
      <c r="BA6151" s="498"/>
    </row>
    <row r="6152" spans="1:53" s="499" customFormat="1" x14ac:dyDescent="0.25">
      <c r="A6152" s="500"/>
      <c r="B6152" s="501"/>
      <c r="C6152" s="502"/>
      <c r="D6152" s="497"/>
      <c r="E6152" s="497"/>
      <c r="F6152" s="502"/>
      <c r="G6152" s="497"/>
      <c r="H6152" s="497"/>
      <c r="I6152" s="497"/>
      <c r="J6152" s="497"/>
      <c r="K6152" s="500"/>
      <c r="L6152" s="497"/>
      <c r="M6152"/>
      <c r="N6152" s="498"/>
      <c r="O6152" s="498"/>
      <c r="P6152" s="498"/>
      <c r="Q6152" s="498"/>
      <c r="R6152" s="498"/>
      <c r="T6152" s="498"/>
      <c r="U6152" s="498"/>
      <c r="V6152" s="498"/>
      <c r="W6152" s="498"/>
      <c r="X6152" s="498"/>
      <c r="Y6152" s="498"/>
      <c r="Z6152" s="498"/>
      <c r="AA6152" s="498"/>
      <c r="AB6152" s="498"/>
      <c r="AC6152" s="498"/>
      <c r="AD6152" s="498"/>
      <c r="AE6152" s="498"/>
      <c r="AF6152" s="498"/>
      <c r="AG6152" s="498"/>
      <c r="AH6152" s="498"/>
      <c r="AI6152" s="498"/>
      <c r="AK6152" s="498"/>
      <c r="AL6152" s="498"/>
      <c r="AM6152" s="498"/>
      <c r="AN6152" s="498"/>
      <c r="AO6152" s="498"/>
      <c r="AP6152" s="498"/>
      <c r="AQ6152" s="498"/>
      <c r="AR6152" s="498"/>
      <c r="AS6152" s="498"/>
      <c r="AT6152" s="498"/>
      <c r="AU6152" s="498"/>
      <c r="AV6152" s="498"/>
      <c r="AW6152" s="498"/>
      <c r="AX6152" s="498"/>
      <c r="AY6152" s="498"/>
      <c r="AZ6152" s="498"/>
      <c r="BA6152" s="498"/>
    </row>
    <row r="6153" spans="1:53" s="499" customFormat="1" x14ac:dyDescent="0.25">
      <c r="A6153" s="500"/>
      <c r="B6153" s="501"/>
      <c r="C6153" s="502"/>
      <c r="D6153" s="497"/>
      <c r="E6153" s="497"/>
      <c r="F6153" s="502"/>
      <c r="G6153" s="497"/>
      <c r="H6153" s="497"/>
      <c r="I6153" s="497"/>
      <c r="J6153" s="497"/>
      <c r="K6153" s="500"/>
      <c r="L6153" s="497"/>
      <c r="M6153"/>
      <c r="N6153" s="498"/>
      <c r="O6153" s="498"/>
      <c r="P6153" s="498"/>
      <c r="Q6153" s="498"/>
      <c r="R6153" s="498"/>
      <c r="T6153" s="498"/>
      <c r="U6153" s="498"/>
      <c r="V6153" s="498"/>
      <c r="W6153" s="498"/>
      <c r="X6153" s="498"/>
      <c r="Y6153" s="498"/>
      <c r="Z6153" s="498"/>
      <c r="AA6153" s="498"/>
      <c r="AB6153" s="498"/>
      <c r="AC6153" s="498"/>
      <c r="AD6153" s="498"/>
      <c r="AE6153" s="498"/>
      <c r="AF6153" s="498"/>
      <c r="AG6153" s="498"/>
      <c r="AH6153" s="498"/>
      <c r="AI6153" s="498"/>
      <c r="AK6153" s="498"/>
      <c r="AL6153" s="498"/>
      <c r="AM6153" s="498"/>
      <c r="AN6153" s="498"/>
      <c r="AO6153" s="498"/>
      <c r="AP6153" s="498"/>
      <c r="AQ6153" s="498"/>
      <c r="AR6153" s="498"/>
      <c r="AS6153" s="498"/>
      <c r="AT6153" s="498"/>
      <c r="AU6153" s="498"/>
      <c r="AV6153" s="498"/>
      <c r="AW6153" s="498"/>
      <c r="AX6153" s="498"/>
      <c r="AY6153" s="498"/>
      <c r="AZ6153" s="498"/>
      <c r="BA6153" s="498"/>
    </row>
    <row r="6154" spans="1:53" s="499" customFormat="1" x14ac:dyDescent="0.25">
      <c r="A6154" s="500"/>
      <c r="B6154" s="501"/>
      <c r="C6154" s="502"/>
      <c r="D6154" s="497"/>
      <c r="E6154" s="497"/>
      <c r="F6154" s="502"/>
      <c r="G6154" s="497"/>
      <c r="H6154" s="497"/>
      <c r="I6154" s="497"/>
      <c r="J6154" s="497"/>
      <c r="K6154" s="500"/>
      <c r="L6154" s="497"/>
      <c r="M6154"/>
      <c r="N6154" s="498"/>
      <c r="O6154" s="498"/>
      <c r="P6154" s="498"/>
      <c r="Q6154" s="498"/>
      <c r="R6154" s="498"/>
      <c r="T6154" s="498"/>
      <c r="U6154" s="498"/>
      <c r="V6154" s="498"/>
      <c r="W6154" s="498"/>
      <c r="X6154" s="498"/>
      <c r="Y6154" s="498"/>
      <c r="Z6154" s="498"/>
      <c r="AA6154" s="498"/>
      <c r="AB6154" s="498"/>
      <c r="AC6154" s="498"/>
      <c r="AD6154" s="498"/>
      <c r="AE6154" s="498"/>
      <c r="AF6154" s="498"/>
      <c r="AG6154" s="498"/>
      <c r="AH6154" s="498"/>
      <c r="AI6154" s="498"/>
      <c r="AK6154" s="498"/>
      <c r="AL6154" s="498"/>
      <c r="AM6154" s="498"/>
      <c r="AN6154" s="498"/>
      <c r="AO6154" s="498"/>
      <c r="AP6154" s="498"/>
      <c r="AQ6154" s="498"/>
      <c r="AR6154" s="498"/>
      <c r="AS6154" s="498"/>
      <c r="AT6154" s="498"/>
      <c r="AU6154" s="498"/>
      <c r="AV6154" s="498"/>
      <c r="AW6154" s="498"/>
      <c r="AX6154" s="498"/>
      <c r="AY6154" s="498"/>
      <c r="AZ6154" s="498"/>
      <c r="BA6154" s="498"/>
    </row>
    <row r="6155" spans="1:53" s="499" customFormat="1" x14ac:dyDescent="0.25">
      <c r="A6155" s="500"/>
      <c r="B6155" s="501"/>
      <c r="C6155" s="502"/>
      <c r="D6155" s="497"/>
      <c r="E6155" s="497"/>
      <c r="F6155" s="502"/>
      <c r="G6155" s="497"/>
      <c r="H6155" s="497"/>
      <c r="I6155" s="497"/>
      <c r="J6155" s="497"/>
      <c r="K6155" s="500"/>
      <c r="L6155" s="497"/>
      <c r="M6155"/>
      <c r="N6155" s="498"/>
      <c r="O6155" s="498"/>
      <c r="P6155" s="498"/>
      <c r="Q6155" s="498"/>
      <c r="R6155" s="498"/>
      <c r="T6155" s="498"/>
      <c r="U6155" s="498"/>
      <c r="V6155" s="498"/>
      <c r="W6155" s="498"/>
      <c r="X6155" s="498"/>
      <c r="Y6155" s="498"/>
      <c r="Z6155" s="498"/>
      <c r="AA6155" s="498"/>
      <c r="AB6155" s="498"/>
      <c r="AC6155" s="498"/>
      <c r="AD6155" s="498"/>
      <c r="AE6155" s="498"/>
      <c r="AF6155" s="498"/>
      <c r="AG6155" s="498"/>
      <c r="AH6155" s="498"/>
      <c r="AI6155" s="498"/>
      <c r="AK6155" s="498"/>
      <c r="AL6155" s="498"/>
      <c r="AM6155" s="498"/>
      <c r="AN6155" s="498"/>
      <c r="AO6155" s="498"/>
      <c r="AP6155" s="498"/>
      <c r="AQ6155" s="498"/>
      <c r="AR6155" s="498"/>
      <c r="AS6155" s="498"/>
      <c r="AT6155" s="498"/>
      <c r="AU6155" s="498"/>
      <c r="AV6155" s="498"/>
      <c r="AW6155" s="498"/>
      <c r="AX6155" s="498"/>
      <c r="AY6155" s="498"/>
      <c r="AZ6155" s="498"/>
      <c r="BA6155" s="498"/>
    </row>
    <row r="6156" spans="1:53" s="499" customFormat="1" x14ac:dyDescent="0.25">
      <c r="A6156" s="500"/>
      <c r="B6156" s="501"/>
      <c r="C6156" s="502"/>
      <c r="D6156" s="497"/>
      <c r="E6156" s="497"/>
      <c r="F6156" s="502"/>
      <c r="G6156" s="497"/>
      <c r="H6156" s="497"/>
      <c r="I6156" s="497"/>
      <c r="J6156" s="497"/>
      <c r="K6156" s="500"/>
      <c r="L6156" s="497"/>
      <c r="M6156"/>
      <c r="N6156" s="498"/>
      <c r="O6156" s="498"/>
      <c r="P6156" s="498"/>
      <c r="Q6156" s="498"/>
      <c r="R6156" s="498"/>
      <c r="T6156" s="498"/>
      <c r="U6156" s="498"/>
      <c r="V6156" s="498"/>
      <c r="W6156" s="498"/>
      <c r="X6156" s="498"/>
      <c r="Y6156" s="498"/>
      <c r="Z6156" s="498"/>
      <c r="AA6156" s="498"/>
      <c r="AB6156" s="498"/>
      <c r="AC6156" s="498"/>
      <c r="AD6156" s="498"/>
      <c r="AE6156" s="498"/>
      <c r="AF6156" s="498"/>
      <c r="AG6156" s="498"/>
      <c r="AH6156" s="498"/>
      <c r="AI6156" s="498"/>
      <c r="AK6156" s="498"/>
      <c r="AL6156" s="498"/>
      <c r="AM6156" s="498"/>
      <c r="AN6156" s="498"/>
      <c r="AO6156" s="498"/>
      <c r="AP6156" s="498"/>
      <c r="AQ6156" s="498"/>
      <c r="AR6156" s="498"/>
      <c r="AS6156" s="498"/>
      <c r="AT6156" s="498"/>
      <c r="AU6156" s="498"/>
      <c r="AV6156" s="498"/>
      <c r="AW6156" s="498"/>
      <c r="AX6156" s="498"/>
      <c r="AY6156" s="498"/>
      <c r="AZ6156" s="498"/>
      <c r="BA6156" s="498"/>
    </row>
    <row r="6157" spans="1:53" s="499" customFormat="1" x14ac:dyDescent="0.25">
      <c r="A6157" s="500"/>
      <c r="B6157" s="501"/>
      <c r="C6157" s="502"/>
      <c r="D6157" s="497"/>
      <c r="E6157" s="497"/>
      <c r="F6157" s="502"/>
      <c r="G6157" s="497"/>
      <c r="H6157" s="497"/>
      <c r="I6157" s="497"/>
      <c r="J6157" s="497"/>
      <c r="K6157" s="500"/>
      <c r="L6157" s="497"/>
      <c r="M6157"/>
      <c r="N6157" s="498"/>
      <c r="O6157" s="498"/>
      <c r="P6157" s="498"/>
      <c r="Q6157" s="498"/>
      <c r="R6157" s="498"/>
      <c r="T6157" s="498"/>
      <c r="U6157" s="498"/>
      <c r="V6157" s="498"/>
      <c r="W6157" s="498"/>
      <c r="X6157" s="498"/>
      <c r="Y6157" s="498"/>
      <c r="Z6157" s="498"/>
      <c r="AA6157" s="498"/>
      <c r="AB6157" s="498"/>
      <c r="AC6157" s="498"/>
      <c r="AD6157" s="498"/>
      <c r="AE6157" s="498"/>
      <c r="AF6157" s="498"/>
      <c r="AG6157" s="498"/>
      <c r="AH6157" s="498"/>
      <c r="AI6157" s="498"/>
      <c r="AK6157" s="498"/>
      <c r="AL6157" s="498"/>
      <c r="AM6157" s="498"/>
      <c r="AN6157" s="498"/>
      <c r="AO6157" s="498"/>
      <c r="AP6157" s="498"/>
      <c r="AQ6157" s="498"/>
      <c r="AR6157" s="498"/>
      <c r="AS6157" s="498"/>
      <c r="AT6157" s="498"/>
      <c r="AU6157" s="498"/>
      <c r="AV6157" s="498"/>
      <c r="AW6157" s="498"/>
      <c r="AX6157" s="498"/>
      <c r="AY6157" s="498"/>
      <c r="AZ6157" s="498"/>
      <c r="BA6157" s="498"/>
    </row>
    <row r="6158" spans="1:53" s="499" customFormat="1" x14ac:dyDescent="0.25">
      <c r="A6158" s="500"/>
      <c r="B6158" s="501"/>
      <c r="C6158" s="502"/>
      <c r="D6158" s="497"/>
      <c r="E6158" s="497"/>
      <c r="F6158" s="502"/>
      <c r="G6158" s="497"/>
      <c r="H6158" s="497"/>
      <c r="I6158" s="497"/>
      <c r="J6158" s="497"/>
      <c r="K6158" s="500"/>
      <c r="L6158" s="497"/>
      <c r="M6158"/>
      <c r="N6158" s="498"/>
      <c r="O6158" s="498"/>
      <c r="P6158" s="498"/>
      <c r="Q6158" s="498"/>
      <c r="R6158" s="498"/>
      <c r="T6158" s="498"/>
      <c r="U6158" s="498"/>
      <c r="V6158" s="498"/>
      <c r="W6158" s="498"/>
      <c r="X6158" s="498"/>
      <c r="Y6158" s="498"/>
      <c r="Z6158" s="498"/>
      <c r="AA6158" s="498"/>
      <c r="AB6158" s="498"/>
      <c r="AC6158" s="498"/>
      <c r="AD6158" s="498"/>
      <c r="AE6158" s="498"/>
      <c r="AF6158" s="498"/>
      <c r="AG6158" s="498"/>
      <c r="AH6158" s="498"/>
      <c r="AI6158" s="498"/>
      <c r="AK6158" s="498"/>
      <c r="AL6158" s="498"/>
      <c r="AM6158" s="498"/>
      <c r="AN6158" s="498"/>
      <c r="AO6158" s="498"/>
      <c r="AP6158" s="498"/>
      <c r="AQ6158" s="498"/>
      <c r="AR6158" s="498"/>
      <c r="AS6158" s="498"/>
      <c r="AT6158" s="498"/>
      <c r="AU6158" s="498"/>
      <c r="AV6158" s="498"/>
      <c r="AW6158" s="498"/>
      <c r="AX6158" s="498"/>
      <c r="AY6158" s="498"/>
      <c r="AZ6158" s="498"/>
      <c r="BA6158" s="498"/>
    </row>
    <row r="6159" spans="1:53" s="499" customFormat="1" x14ac:dyDescent="0.25">
      <c r="A6159" s="500"/>
      <c r="B6159" s="501"/>
      <c r="C6159" s="502"/>
      <c r="D6159" s="497"/>
      <c r="E6159" s="497"/>
      <c r="F6159" s="502"/>
      <c r="G6159" s="497"/>
      <c r="H6159" s="497"/>
      <c r="I6159" s="497"/>
      <c r="J6159" s="497"/>
      <c r="K6159" s="500"/>
      <c r="L6159" s="497"/>
      <c r="M6159"/>
      <c r="N6159" s="498"/>
      <c r="O6159" s="498"/>
      <c r="P6159" s="498"/>
      <c r="Q6159" s="498"/>
      <c r="R6159" s="498"/>
      <c r="T6159" s="498"/>
      <c r="U6159" s="498"/>
      <c r="V6159" s="498"/>
      <c r="W6159" s="498"/>
      <c r="X6159" s="498"/>
      <c r="Y6159" s="498"/>
      <c r="Z6159" s="498"/>
      <c r="AA6159" s="498"/>
      <c r="AB6159" s="498"/>
      <c r="AC6159" s="498"/>
      <c r="AD6159" s="498"/>
      <c r="AE6159" s="498"/>
      <c r="AF6159" s="498"/>
      <c r="AG6159" s="498"/>
      <c r="AH6159" s="498"/>
      <c r="AI6159" s="498"/>
      <c r="AK6159" s="498"/>
      <c r="AL6159" s="498"/>
      <c r="AM6159" s="498"/>
      <c r="AN6159" s="498"/>
      <c r="AO6159" s="498"/>
      <c r="AP6159" s="498"/>
      <c r="AQ6159" s="498"/>
      <c r="AR6159" s="498"/>
      <c r="AS6159" s="498"/>
      <c r="AT6159" s="498"/>
      <c r="AU6159" s="498"/>
      <c r="AV6159" s="498"/>
      <c r="AW6159" s="498"/>
      <c r="AX6159" s="498"/>
      <c r="AY6159" s="498"/>
      <c r="AZ6159" s="498"/>
      <c r="BA6159" s="498"/>
    </row>
    <row r="6160" spans="1:53" s="499" customFormat="1" x14ac:dyDescent="0.25">
      <c r="A6160" s="500"/>
      <c r="B6160" s="501"/>
      <c r="C6160" s="502"/>
      <c r="D6160" s="497"/>
      <c r="E6160" s="497"/>
      <c r="F6160" s="502"/>
      <c r="G6160" s="497"/>
      <c r="H6160" s="497"/>
      <c r="I6160" s="497"/>
      <c r="J6160" s="497"/>
      <c r="K6160" s="500"/>
      <c r="L6160" s="497"/>
      <c r="M6160"/>
      <c r="N6160" s="498"/>
      <c r="O6160" s="498"/>
      <c r="P6160" s="498"/>
      <c r="Q6160" s="498"/>
      <c r="R6160" s="498"/>
      <c r="T6160" s="498"/>
      <c r="U6160" s="498"/>
      <c r="V6160" s="498"/>
      <c r="W6160" s="498"/>
      <c r="X6160" s="498"/>
      <c r="Y6160" s="498"/>
      <c r="Z6160" s="498"/>
      <c r="AA6160" s="498"/>
      <c r="AB6160" s="498"/>
      <c r="AC6160" s="498"/>
      <c r="AD6160" s="498"/>
      <c r="AE6160" s="498"/>
      <c r="AF6160" s="498"/>
      <c r="AG6160" s="498"/>
      <c r="AH6160" s="498"/>
      <c r="AI6160" s="498"/>
      <c r="AK6160" s="498"/>
      <c r="AL6160" s="498"/>
      <c r="AM6160" s="498"/>
      <c r="AN6160" s="498"/>
      <c r="AO6160" s="498"/>
      <c r="AP6160" s="498"/>
      <c r="AQ6160" s="498"/>
      <c r="AR6160" s="498"/>
      <c r="AS6160" s="498"/>
      <c r="AT6160" s="498"/>
      <c r="AU6160" s="498"/>
      <c r="AV6160" s="498"/>
      <c r="AW6160" s="498"/>
      <c r="AX6160" s="498"/>
      <c r="AY6160" s="498"/>
      <c r="AZ6160" s="498"/>
      <c r="BA6160" s="498"/>
    </row>
    <row r="6161" spans="1:53" s="499" customFormat="1" x14ac:dyDescent="0.25">
      <c r="A6161" s="500"/>
      <c r="B6161" s="501"/>
      <c r="C6161" s="502"/>
      <c r="D6161" s="497"/>
      <c r="E6161" s="497"/>
      <c r="F6161" s="502"/>
      <c r="G6161" s="497"/>
      <c r="H6161" s="497"/>
      <c r="I6161" s="497"/>
      <c r="J6161" s="497"/>
      <c r="K6161" s="500"/>
      <c r="L6161" s="497"/>
      <c r="M6161"/>
      <c r="N6161" s="498"/>
      <c r="O6161" s="498"/>
      <c r="P6161" s="498"/>
      <c r="Q6161" s="498"/>
      <c r="R6161" s="498"/>
      <c r="T6161" s="498"/>
      <c r="U6161" s="498"/>
      <c r="V6161" s="498"/>
      <c r="W6161" s="498"/>
      <c r="X6161" s="498"/>
      <c r="Y6161" s="498"/>
      <c r="Z6161" s="498"/>
      <c r="AA6161" s="498"/>
      <c r="AB6161" s="498"/>
      <c r="AC6161" s="498"/>
      <c r="AD6161" s="498"/>
      <c r="AE6161" s="498"/>
      <c r="AF6161" s="498"/>
      <c r="AG6161" s="498"/>
      <c r="AH6161" s="498"/>
      <c r="AI6161" s="498"/>
      <c r="AK6161" s="498"/>
      <c r="AL6161" s="498"/>
      <c r="AM6161" s="498"/>
      <c r="AN6161" s="498"/>
      <c r="AO6161" s="498"/>
      <c r="AP6161" s="498"/>
      <c r="AQ6161" s="498"/>
      <c r="AR6161" s="498"/>
      <c r="AS6161" s="498"/>
      <c r="AT6161" s="498"/>
      <c r="AU6161" s="498"/>
      <c r="AV6161" s="498"/>
      <c r="AW6161" s="498"/>
      <c r="AX6161" s="498"/>
      <c r="AY6161" s="498"/>
      <c r="AZ6161" s="498"/>
      <c r="BA6161" s="498"/>
    </row>
    <row r="6162" spans="1:53" s="499" customFormat="1" x14ac:dyDescent="0.25">
      <c r="A6162" s="500"/>
      <c r="B6162" s="501"/>
      <c r="C6162" s="502"/>
      <c r="D6162" s="497"/>
      <c r="E6162" s="497"/>
      <c r="F6162" s="502"/>
      <c r="G6162" s="497"/>
      <c r="H6162" s="497"/>
      <c r="I6162" s="497"/>
      <c r="J6162" s="497"/>
      <c r="K6162" s="500"/>
      <c r="L6162" s="497"/>
      <c r="M6162"/>
      <c r="N6162" s="498"/>
      <c r="O6162" s="498"/>
      <c r="P6162" s="498"/>
      <c r="Q6162" s="498"/>
      <c r="R6162" s="498"/>
      <c r="T6162" s="498"/>
      <c r="U6162" s="498"/>
      <c r="V6162" s="498"/>
      <c r="W6162" s="498"/>
      <c r="X6162" s="498"/>
      <c r="Y6162" s="498"/>
      <c r="Z6162" s="498"/>
      <c r="AA6162" s="498"/>
      <c r="AB6162" s="498"/>
      <c r="AC6162" s="498"/>
      <c r="AD6162" s="498"/>
      <c r="AE6162" s="498"/>
      <c r="AF6162" s="498"/>
      <c r="AG6162" s="498"/>
      <c r="AH6162" s="498"/>
      <c r="AI6162" s="498"/>
      <c r="AK6162" s="498"/>
      <c r="AL6162" s="498"/>
      <c r="AM6162" s="498"/>
      <c r="AN6162" s="498"/>
      <c r="AO6162" s="498"/>
      <c r="AP6162" s="498"/>
      <c r="AQ6162" s="498"/>
      <c r="AR6162" s="498"/>
      <c r="AS6162" s="498"/>
      <c r="AT6162" s="498"/>
      <c r="AU6162" s="498"/>
      <c r="AV6162" s="498"/>
      <c r="AW6162" s="498"/>
      <c r="AX6162" s="498"/>
      <c r="AY6162" s="498"/>
      <c r="AZ6162" s="498"/>
      <c r="BA6162" s="498"/>
    </row>
    <row r="6163" spans="1:53" s="499" customFormat="1" x14ac:dyDescent="0.25">
      <c r="A6163" s="500"/>
      <c r="B6163" s="501"/>
      <c r="C6163" s="502"/>
      <c r="D6163" s="497"/>
      <c r="E6163" s="497"/>
      <c r="F6163" s="502"/>
      <c r="G6163" s="497"/>
      <c r="H6163" s="497"/>
      <c r="I6163" s="497"/>
      <c r="J6163" s="497"/>
      <c r="K6163" s="500"/>
      <c r="L6163" s="497"/>
      <c r="M6163"/>
      <c r="N6163" s="498"/>
      <c r="O6163" s="498"/>
      <c r="P6163" s="498"/>
      <c r="Q6163" s="498"/>
      <c r="R6163" s="498"/>
      <c r="T6163" s="498"/>
      <c r="U6163" s="498"/>
      <c r="V6163" s="498"/>
      <c r="W6163" s="498"/>
      <c r="X6163" s="498"/>
      <c r="Y6163" s="498"/>
      <c r="Z6163" s="498"/>
      <c r="AA6163" s="498"/>
      <c r="AB6163" s="498"/>
      <c r="AC6163" s="498"/>
      <c r="AD6163" s="498"/>
      <c r="AE6163" s="498"/>
      <c r="AF6163" s="498"/>
      <c r="AG6163" s="498"/>
      <c r="AH6163" s="498"/>
      <c r="AI6163" s="498"/>
      <c r="AK6163" s="498"/>
      <c r="AL6163" s="498"/>
      <c r="AM6163" s="498"/>
      <c r="AN6163" s="498"/>
      <c r="AO6163" s="498"/>
      <c r="AP6163" s="498"/>
      <c r="AQ6163" s="498"/>
      <c r="AR6163" s="498"/>
      <c r="AS6163" s="498"/>
      <c r="AT6163" s="498"/>
      <c r="AU6163" s="498"/>
      <c r="AV6163" s="498"/>
      <c r="AW6163" s="498"/>
      <c r="AX6163" s="498"/>
      <c r="AY6163" s="498"/>
      <c r="AZ6163" s="498"/>
      <c r="BA6163" s="498"/>
    </row>
    <row r="6164" spans="1:53" s="499" customFormat="1" x14ac:dyDescent="0.25">
      <c r="A6164" s="500"/>
      <c r="B6164" s="501"/>
      <c r="C6164" s="502"/>
      <c r="D6164" s="497"/>
      <c r="E6164" s="497"/>
      <c r="F6164" s="502"/>
      <c r="G6164" s="497"/>
      <c r="H6164" s="497"/>
      <c r="I6164" s="497"/>
      <c r="J6164" s="497"/>
      <c r="K6164" s="500"/>
      <c r="L6164" s="497"/>
      <c r="M6164"/>
      <c r="N6164" s="498"/>
      <c r="O6164" s="498"/>
      <c r="P6164" s="498"/>
      <c r="Q6164" s="498"/>
      <c r="R6164" s="498"/>
      <c r="T6164" s="498"/>
      <c r="U6164" s="498"/>
      <c r="V6164" s="498"/>
      <c r="W6164" s="498"/>
      <c r="X6164" s="498"/>
      <c r="Y6164" s="498"/>
      <c r="Z6164" s="498"/>
      <c r="AA6164" s="498"/>
      <c r="AB6164" s="498"/>
      <c r="AC6164" s="498"/>
      <c r="AD6164" s="498"/>
      <c r="AE6164" s="498"/>
      <c r="AF6164" s="498"/>
      <c r="AG6164" s="498"/>
      <c r="AH6164" s="498"/>
      <c r="AI6164" s="498"/>
      <c r="AK6164" s="498"/>
      <c r="AL6164" s="498"/>
      <c r="AM6164" s="498"/>
      <c r="AN6164" s="498"/>
      <c r="AO6164" s="498"/>
      <c r="AP6164" s="498"/>
      <c r="AQ6164" s="498"/>
      <c r="AR6164" s="498"/>
      <c r="AS6164" s="498"/>
      <c r="AT6164" s="498"/>
      <c r="AU6164" s="498"/>
      <c r="AV6164" s="498"/>
      <c r="AW6164" s="498"/>
      <c r="AX6164" s="498"/>
      <c r="AY6164" s="498"/>
      <c r="AZ6164" s="498"/>
      <c r="BA6164" s="498"/>
    </row>
    <row r="6165" spans="1:53" s="499" customFormat="1" x14ac:dyDescent="0.25">
      <c r="A6165" s="500"/>
      <c r="B6165" s="501"/>
      <c r="C6165" s="502"/>
      <c r="D6165" s="497"/>
      <c r="E6165" s="497"/>
      <c r="F6165" s="502"/>
      <c r="G6165" s="497"/>
      <c r="H6165" s="497"/>
      <c r="I6165" s="497"/>
      <c r="J6165" s="497"/>
      <c r="K6165" s="500"/>
      <c r="L6165" s="497"/>
      <c r="M6165"/>
      <c r="N6165" s="498"/>
      <c r="O6165" s="498"/>
      <c r="P6165" s="498"/>
      <c r="Q6165" s="498"/>
      <c r="R6165" s="498"/>
      <c r="T6165" s="498"/>
      <c r="U6165" s="498"/>
      <c r="V6165" s="498"/>
      <c r="W6165" s="498"/>
      <c r="X6165" s="498"/>
      <c r="Y6165" s="498"/>
      <c r="Z6165" s="498"/>
      <c r="AA6165" s="498"/>
      <c r="AB6165" s="498"/>
      <c r="AC6165" s="498"/>
      <c r="AD6165" s="498"/>
      <c r="AE6165" s="498"/>
      <c r="AF6165" s="498"/>
      <c r="AG6165" s="498"/>
      <c r="AH6165" s="498"/>
      <c r="AI6165" s="498"/>
      <c r="AK6165" s="498"/>
      <c r="AL6165" s="498"/>
      <c r="AM6165" s="498"/>
      <c r="AN6165" s="498"/>
      <c r="AO6165" s="498"/>
      <c r="AP6165" s="498"/>
      <c r="AQ6165" s="498"/>
      <c r="AR6165" s="498"/>
      <c r="AS6165" s="498"/>
      <c r="AT6165" s="498"/>
      <c r="AU6165" s="498"/>
      <c r="AV6165" s="498"/>
      <c r="AW6165" s="498"/>
      <c r="AX6165" s="498"/>
      <c r="AY6165" s="498"/>
      <c r="AZ6165" s="498"/>
      <c r="BA6165" s="498"/>
    </row>
    <row r="6166" spans="1:53" s="499" customFormat="1" x14ac:dyDescent="0.25">
      <c r="A6166" s="500"/>
      <c r="B6166" s="501"/>
      <c r="C6166" s="502"/>
      <c r="D6166" s="497"/>
      <c r="E6166" s="497"/>
      <c r="F6166" s="502"/>
      <c r="G6166" s="497"/>
      <c r="H6166" s="497"/>
      <c r="I6166" s="497"/>
      <c r="J6166" s="497"/>
      <c r="K6166" s="500"/>
      <c r="L6166" s="497"/>
      <c r="M6166"/>
      <c r="N6166" s="498"/>
      <c r="O6166" s="498"/>
      <c r="P6166" s="498"/>
      <c r="Q6166" s="498"/>
      <c r="R6166" s="498"/>
      <c r="T6166" s="498"/>
      <c r="U6166" s="498"/>
      <c r="V6166" s="498"/>
      <c r="W6166" s="498"/>
      <c r="X6166" s="498"/>
      <c r="Y6166" s="498"/>
      <c r="Z6166" s="498"/>
      <c r="AA6166" s="498"/>
      <c r="AB6166" s="498"/>
      <c r="AC6166" s="498"/>
      <c r="AD6166" s="498"/>
      <c r="AE6166" s="498"/>
      <c r="AF6166" s="498"/>
      <c r="AG6166" s="498"/>
      <c r="AH6166" s="498"/>
      <c r="AI6166" s="498"/>
      <c r="AK6166" s="498"/>
      <c r="AL6166" s="498"/>
      <c r="AM6166" s="498"/>
      <c r="AN6166" s="498"/>
      <c r="AO6166" s="498"/>
      <c r="AP6166" s="498"/>
      <c r="AQ6166" s="498"/>
      <c r="AR6166" s="498"/>
      <c r="AS6166" s="498"/>
      <c r="AT6166" s="498"/>
      <c r="AU6166" s="498"/>
      <c r="AV6166" s="498"/>
      <c r="AW6166" s="498"/>
      <c r="AX6166" s="498"/>
      <c r="AY6166" s="498"/>
      <c r="AZ6166" s="498"/>
      <c r="BA6166" s="498"/>
    </row>
    <row r="6167" spans="1:53" s="499" customFormat="1" x14ac:dyDescent="0.25">
      <c r="A6167" s="500"/>
      <c r="B6167" s="501"/>
      <c r="C6167" s="502"/>
      <c r="D6167" s="497"/>
      <c r="E6167" s="497"/>
      <c r="F6167" s="502"/>
      <c r="G6167" s="497"/>
      <c r="H6167" s="497"/>
      <c r="I6167" s="497"/>
      <c r="J6167" s="497"/>
      <c r="K6167" s="500"/>
      <c r="L6167" s="497"/>
      <c r="M6167"/>
      <c r="N6167" s="498"/>
      <c r="O6167" s="498"/>
      <c r="P6167" s="498"/>
      <c r="Q6167" s="498"/>
      <c r="R6167" s="498"/>
      <c r="T6167" s="498"/>
      <c r="U6167" s="498"/>
      <c r="V6167" s="498"/>
      <c r="W6167" s="498"/>
      <c r="X6167" s="498"/>
      <c r="Y6167" s="498"/>
      <c r="Z6167" s="498"/>
      <c r="AA6167" s="498"/>
      <c r="AB6167" s="498"/>
      <c r="AC6167" s="498"/>
      <c r="AD6167" s="498"/>
      <c r="AE6167" s="498"/>
      <c r="AF6167" s="498"/>
      <c r="AG6167" s="498"/>
      <c r="AH6167" s="498"/>
      <c r="AI6167" s="498"/>
      <c r="AK6167" s="498"/>
      <c r="AL6167" s="498"/>
      <c r="AM6167" s="498"/>
      <c r="AN6167" s="498"/>
      <c r="AO6167" s="498"/>
      <c r="AP6167" s="498"/>
      <c r="AQ6167" s="498"/>
      <c r="AR6167" s="498"/>
      <c r="AS6167" s="498"/>
      <c r="AT6167" s="498"/>
      <c r="AU6167" s="498"/>
      <c r="AV6167" s="498"/>
      <c r="AW6167" s="498"/>
      <c r="AX6167" s="498"/>
      <c r="AY6167" s="498"/>
      <c r="AZ6167" s="498"/>
      <c r="BA6167" s="498"/>
    </row>
    <row r="6168" spans="1:53" s="499" customFormat="1" x14ac:dyDescent="0.25">
      <c r="A6168" s="500"/>
      <c r="B6168" s="501"/>
      <c r="C6168" s="502"/>
      <c r="D6168" s="497"/>
      <c r="E6168" s="497"/>
      <c r="F6168" s="502"/>
      <c r="G6168" s="497"/>
      <c r="H6168" s="497"/>
      <c r="I6168" s="497"/>
      <c r="J6168" s="497"/>
      <c r="K6168" s="500"/>
      <c r="L6168" s="497"/>
      <c r="M6168"/>
      <c r="N6168" s="498"/>
      <c r="O6168" s="498"/>
      <c r="P6168" s="498"/>
      <c r="Q6168" s="498"/>
      <c r="R6168" s="498"/>
      <c r="T6168" s="498"/>
      <c r="U6168" s="498"/>
      <c r="V6168" s="498"/>
      <c r="W6168" s="498"/>
      <c r="X6168" s="498"/>
      <c r="Y6168" s="498"/>
      <c r="Z6168" s="498"/>
      <c r="AA6168" s="498"/>
      <c r="AB6168" s="498"/>
      <c r="AC6168" s="498"/>
      <c r="AD6168" s="498"/>
      <c r="AE6168" s="498"/>
      <c r="AF6168" s="498"/>
      <c r="AG6168" s="498"/>
      <c r="AH6168" s="498"/>
      <c r="AI6168" s="498"/>
      <c r="AK6168" s="498"/>
      <c r="AL6168" s="498"/>
      <c r="AM6168" s="498"/>
      <c r="AN6168" s="498"/>
      <c r="AO6168" s="498"/>
      <c r="AP6168" s="498"/>
      <c r="AQ6168" s="498"/>
      <c r="AR6168" s="498"/>
      <c r="AS6168" s="498"/>
      <c r="AT6168" s="498"/>
      <c r="AU6168" s="498"/>
      <c r="AV6168" s="498"/>
      <c r="AW6168" s="498"/>
      <c r="AX6168" s="498"/>
      <c r="AY6168" s="498"/>
      <c r="AZ6168" s="498"/>
      <c r="BA6168" s="498"/>
    </row>
    <row r="6169" spans="1:53" s="499" customFormat="1" x14ac:dyDescent="0.25">
      <c r="A6169" s="500"/>
      <c r="B6169" s="501"/>
      <c r="C6169" s="502"/>
      <c r="D6169" s="497"/>
      <c r="E6169" s="497"/>
      <c r="F6169" s="502"/>
      <c r="G6169" s="497"/>
      <c r="H6169" s="497"/>
      <c r="I6169" s="497"/>
      <c r="J6169" s="497"/>
      <c r="K6169" s="500"/>
      <c r="L6169" s="497"/>
      <c r="M6169"/>
      <c r="N6169" s="498"/>
      <c r="O6169" s="498"/>
      <c r="P6169" s="498"/>
      <c r="Q6169" s="498"/>
      <c r="R6169" s="498"/>
      <c r="T6169" s="498"/>
      <c r="U6169" s="498"/>
      <c r="V6169" s="498"/>
      <c r="W6169" s="498"/>
      <c r="X6169" s="498"/>
      <c r="Y6169" s="498"/>
      <c r="Z6169" s="498"/>
      <c r="AA6169" s="498"/>
      <c r="AB6169" s="498"/>
      <c r="AC6169" s="498"/>
      <c r="AD6169" s="498"/>
      <c r="AE6169" s="498"/>
      <c r="AF6169" s="498"/>
      <c r="AG6169" s="498"/>
      <c r="AH6169" s="498"/>
      <c r="AI6169" s="498"/>
      <c r="AK6169" s="498"/>
      <c r="AL6169" s="498"/>
      <c r="AM6169" s="498"/>
      <c r="AN6169" s="498"/>
      <c r="AO6169" s="498"/>
      <c r="AP6169" s="498"/>
      <c r="AQ6169" s="498"/>
      <c r="AR6169" s="498"/>
      <c r="AS6169" s="498"/>
      <c r="AT6169" s="498"/>
      <c r="AU6169" s="498"/>
      <c r="AV6169" s="498"/>
      <c r="AW6169" s="498"/>
      <c r="AX6169" s="498"/>
      <c r="AY6169" s="498"/>
      <c r="AZ6169" s="498"/>
      <c r="BA6169" s="498"/>
    </row>
    <row r="6170" spans="1:53" s="499" customFormat="1" x14ac:dyDescent="0.25">
      <c r="A6170" s="500"/>
      <c r="B6170" s="501"/>
      <c r="C6170" s="502"/>
      <c r="D6170" s="497"/>
      <c r="E6170" s="497"/>
      <c r="F6170" s="502"/>
      <c r="G6170" s="497"/>
      <c r="H6170" s="497"/>
      <c r="I6170" s="497"/>
      <c r="J6170" s="497"/>
      <c r="K6170" s="500"/>
      <c r="L6170" s="497"/>
      <c r="M6170"/>
      <c r="N6170" s="498"/>
      <c r="O6170" s="498"/>
      <c r="P6170" s="498"/>
      <c r="Q6170" s="498"/>
      <c r="R6170" s="498"/>
      <c r="T6170" s="498"/>
      <c r="U6170" s="498"/>
      <c r="V6170" s="498"/>
      <c r="W6170" s="498"/>
      <c r="X6170" s="498"/>
      <c r="Y6170" s="498"/>
      <c r="Z6170" s="498"/>
      <c r="AA6170" s="498"/>
      <c r="AB6170" s="498"/>
      <c r="AC6170" s="498"/>
      <c r="AD6170" s="498"/>
      <c r="AE6170" s="498"/>
      <c r="AF6170" s="498"/>
      <c r="AG6170" s="498"/>
      <c r="AH6170" s="498"/>
      <c r="AI6170" s="498"/>
      <c r="AK6170" s="498"/>
      <c r="AL6170" s="498"/>
      <c r="AM6170" s="498"/>
      <c r="AN6170" s="498"/>
      <c r="AO6170" s="498"/>
      <c r="AP6170" s="498"/>
      <c r="AQ6170" s="498"/>
      <c r="AR6170" s="498"/>
      <c r="AS6170" s="498"/>
      <c r="AT6170" s="498"/>
      <c r="AU6170" s="498"/>
      <c r="AV6170" s="498"/>
      <c r="AW6170" s="498"/>
      <c r="AX6170" s="498"/>
      <c r="AY6170" s="498"/>
      <c r="AZ6170" s="498"/>
      <c r="BA6170" s="498"/>
    </row>
    <row r="6171" spans="1:53" s="499" customFormat="1" x14ac:dyDescent="0.25">
      <c r="A6171" s="500"/>
      <c r="B6171" s="501"/>
      <c r="C6171" s="502"/>
      <c r="D6171" s="497"/>
      <c r="E6171" s="497"/>
      <c r="F6171" s="502"/>
      <c r="G6171" s="497"/>
      <c r="H6171" s="497"/>
      <c r="I6171" s="497"/>
      <c r="J6171" s="497"/>
      <c r="K6171" s="500"/>
      <c r="L6171" s="497"/>
      <c r="M6171"/>
      <c r="N6171" s="498"/>
      <c r="O6171" s="498"/>
      <c r="P6171" s="498"/>
      <c r="Q6171" s="498"/>
      <c r="R6171" s="498"/>
      <c r="T6171" s="498"/>
      <c r="U6171" s="498"/>
      <c r="V6171" s="498"/>
      <c r="W6171" s="498"/>
      <c r="X6171" s="498"/>
      <c r="Y6171" s="498"/>
      <c r="Z6171" s="498"/>
      <c r="AA6171" s="498"/>
      <c r="AB6171" s="498"/>
      <c r="AC6171" s="498"/>
      <c r="AD6171" s="498"/>
      <c r="AE6171" s="498"/>
      <c r="AF6171" s="498"/>
      <c r="AG6171" s="498"/>
      <c r="AH6171" s="498"/>
      <c r="AI6171" s="498"/>
      <c r="AK6171" s="498"/>
      <c r="AL6171" s="498"/>
      <c r="AM6171" s="498"/>
      <c r="AN6171" s="498"/>
      <c r="AO6171" s="498"/>
      <c r="AP6171" s="498"/>
      <c r="AQ6171" s="498"/>
      <c r="AR6171" s="498"/>
      <c r="AS6171" s="498"/>
      <c r="AT6171" s="498"/>
      <c r="AU6171" s="498"/>
      <c r="AV6171" s="498"/>
      <c r="AW6171" s="498"/>
      <c r="AX6171" s="498"/>
      <c r="AY6171" s="498"/>
      <c r="AZ6171" s="498"/>
      <c r="BA6171" s="498"/>
    </row>
    <row r="6172" spans="1:53" s="499" customFormat="1" x14ac:dyDescent="0.25">
      <c r="A6172" s="500"/>
      <c r="B6172" s="501"/>
      <c r="C6172" s="502"/>
      <c r="D6172" s="497"/>
      <c r="E6172" s="497"/>
      <c r="F6172" s="502"/>
      <c r="G6172" s="497"/>
      <c r="H6172" s="497"/>
      <c r="I6172" s="497"/>
      <c r="J6172" s="497"/>
      <c r="K6172" s="500"/>
      <c r="L6172" s="497"/>
      <c r="M6172"/>
      <c r="N6172" s="498"/>
      <c r="O6172" s="498"/>
      <c r="P6172" s="498"/>
      <c r="Q6172" s="498"/>
      <c r="R6172" s="498"/>
      <c r="T6172" s="498"/>
      <c r="U6172" s="498"/>
      <c r="V6172" s="498"/>
      <c r="W6172" s="498"/>
      <c r="X6172" s="498"/>
      <c r="Y6172" s="498"/>
      <c r="Z6172" s="498"/>
      <c r="AA6172" s="498"/>
      <c r="AB6172" s="498"/>
      <c r="AC6172" s="498"/>
      <c r="AD6172" s="498"/>
      <c r="AE6172" s="498"/>
      <c r="AF6172" s="498"/>
      <c r="AG6172" s="498"/>
      <c r="AH6172" s="498"/>
      <c r="AI6172" s="498"/>
      <c r="AK6172" s="498"/>
      <c r="AL6172" s="498"/>
      <c r="AM6172" s="498"/>
      <c r="AN6172" s="498"/>
      <c r="AO6172" s="498"/>
      <c r="AP6172" s="498"/>
      <c r="AQ6172" s="498"/>
      <c r="AR6172" s="498"/>
      <c r="AS6172" s="498"/>
      <c r="AT6172" s="498"/>
      <c r="AU6172" s="498"/>
      <c r="AV6172" s="498"/>
      <c r="AW6172" s="498"/>
      <c r="AX6172" s="498"/>
      <c r="AY6172" s="498"/>
      <c r="AZ6172" s="498"/>
      <c r="BA6172" s="498"/>
    </row>
    <row r="6173" spans="1:53" s="499" customFormat="1" x14ac:dyDescent="0.25">
      <c r="A6173" s="500"/>
      <c r="B6173" s="501"/>
      <c r="C6173" s="502"/>
      <c r="D6173" s="497"/>
      <c r="E6173" s="497"/>
      <c r="F6173" s="502"/>
      <c r="G6173" s="497"/>
      <c r="H6173" s="497"/>
      <c r="I6173" s="497"/>
      <c r="J6173" s="497"/>
      <c r="K6173" s="500"/>
      <c r="L6173" s="497"/>
      <c r="M6173"/>
      <c r="N6173" s="498"/>
      <c r="O6173" s="498"/>
      <c r="P6173" s="498"/>
      <c r="Q6173" s="498"/>
      <c r="R6173" s="498"/>
      <c r="T6173" s="498"/>
      <c r="U6173" s="498"/>
      <c r="V6173" s="498"/>
      <c r="W6173" s="498"/>
      <c r="X6173" s="498"/>
      <c r="Y6173" s="498"/>
      <c r="Z6173" s="498"/>
      <c r="AA6173" s="498"/>
      <c r="AB6173" s="498"/>
      <c r="AC6173" s="498"/>
      <c r="AD6173" s="498"/>
      <c r="AE6173" s="498"/>
      <c r="AF6173" s="498"/>
      <c r="AG6173" s="498"/>
      <c r="AH6173" s="498"/>
      <c r="AI6173" s="498"/>
      <c r="AK6173" s="498"/>
      <c r="AL6173" s="498"/>
      <c r="AM6173" s="498"/>
      <c r="AN6173" s="498"/>
      <c r="AO6173" s="498"/>
      <c r="AP6173" s="498"/>
      <c r="AQ6173" s="498"/>
      <c r="AR6173" s="498"/>
      <c r="AS6173" s="498"/>
      <c r="AT6173" s="498"/>
      <c r="AU6173" s="498"/>
      <c r="AV6173" s="498"/>
      <c r="AW6173" s="498"/>
      <c r="AX6173" s="498"/>
      <c r="AY6173" s="498"/>
      <c r="AZ6173" s="498"/>
      <c r="BA6173" s="498"/>
    </row>
    <row r="6174" spans="1:53" s="499" customFormat="1" x14ac:dyDescent="0.25">
      <c r="A6174" s="500"/>
      <c r="B6174" s="501"/>
      <c r="C6174" s="502"/>
      <c r="D6174" s="497"/>
      <c r="E6174" s="497"/>
      <c r="F6174" s="502"/>
      <c r="G6174" s="497"/>
      <c r="H6174" s="497"/>
      <c r="I6174" s="497"/>
      <c r="J6174" s="497"/>
      <c r="K6174" s="500"/>
      <c r="L6174" s="497"/>
      <c r="M6174"/>
      <c r="N6174" s="498"/>
      <c r="O6174" s="498"/>
      <c r="P6174" s="498"/>
      <c r="Q6174" s="498"/>
      <c r="R6174" s="498"/>
      <c r="T6174" s="498"/>
      <c r="U6174" s="498"/>
      <c r="V6174" s="498"/>
      <c r="W6174" s="498"/>
      <c r="X6174" s="498"/>
      <c r="Y6174" s="498"/>
      <c r="Z6174" s="498"/>
      <c r="AA6174" s="498"/>
      <c r="AB6174" s="498"/>
      <c r="AC6174" s="498"/>
      <c r="AD6174" s="498"/>
      <c r="AE6174" s="498"/>
      <c r="AF6174" s="498"/>
      <c r="AG6174" s="498"/>
      <c r="AH6174" s="498"/>
      <c r="AI6174" s="498"/>
      <c r="AK6174" s="498"/>
      <c r="AL6174" s="498"/>
      <c r="AM6174" s="498"/>
      <c r="AN6174" s="498"/>
      <c r="AO6174" s="498"/>
      <c r="AP6174" s="498"/>
      <c r="AQ6174" s="498"/>
      <c r="AR6174" s="498"/>
      <c r="AS6174" s="498"/>
      <c r="AT6174" s="498"/>
      <c r="AU6174" s="498"/>
      <c r="AV6174" s="498"/>
      <c r="AW6174" s="498"/>
      <c r="AX6174" s="498"/>
      <c r="AY6174" s="498"/>
      <c r="AZ6174" s="498"/>
      <c r="BA6174" s="498"/>
    </row>
    <row r="6175" spans="1:53" s="499" customFormat="1" x14ac:dyDescent="0.25">
      <c r="A6175" s="500"/>
      <c r="B6175" s="501"/>
      <c r="C6175" s="502"/>
      <c r="D6175" s="497"/>
      <c r="E6175" s="497"/>
      <c r="F6175" s="502"/>
      <c r="G6175" s="497"/>
      <c r="H6175" s="497"/>
      <c r="I6175" s="497"/>
      <c r="J6175" s="497"/>
      <c r="K6175" s="500"/>
      <c r="L6175" s="497"/>
      <c r="M6175"/>
      <c r="N6175" s="498"/>
      <c r="O6175" s="498"/>
      <c r="P6175" s="498"/>
      <c r="Q6175" s="498"/>
      <c r="R6175" s="498"/>
      <c r="T6175" s="498"/>
      <c r="U6175" s="498"/>
      <c r="V6175" s="498"/>
      <c r="W6175" s="498"/>
      <c r="X6175" s="498"/>
      <c r="Y6175" s="498"/>
      <c r="Z6175" s="498"/>
      <c r="AA6175" s="498"/>
      <c r="AB6175" s="498"/>
      <c r="AC6175" s="498"/>
      <c r="AD6175" s="498"/>
      <c r="AE6175" s="498"/>
      <c r="AF6175" s="498"/>
      <c r="AG6175" s="498"/>
      <c r="AH6175" s="498"/>
      <c r="AI6175" s="498"/>
      <c r="AK6175" s="498"/>
      <c r="AL6175" s="498"/>
      <c r="AM6175" s="498"/>
      <c r="AN6175" s="498"/>
      <c r="AO6175" s="498"/>
      <c r="AP6175" s="498"/>
      <c r="AQ6175" s="498"/>
      <c r="AR6175" s="498"/>
      <c r="AS6175" s="498"/>
      <c r="AT6175" s="498"/>
      <c r="AU6175" s="498"/>
      <c r="AV6175" s="498"/>
      <c r="AW6175" s="498"/>
      <c r="AX6175" s="498"/>
      <c r="AY6175" s="498"/>
      <c r="AZ6175" s="498"/>
      <c r="BA6175" s="498"/>
    </row>
    <row r="6176" spans="1:53" s="499" customFormat="1" x14ac:dyDescent="0.25">
      <c r="A6176" s="500"/>
      <c r="B6176" s="501"/>
      <c r="C6176" s="502"/>
      <c r="D6176" s="497"/>
      <c r="E6176" s="497"/>
      <c r="F6176" s="502"/>
      <c r="G6176" s="497"/>
      <c r="H6176" s="497"/>
      <c r="I6176" s="497"/>
      <c r="J6176" s="497"/>
      <c r="K6176" s="500"/>
      <c r="L6176" s="497"/>
      <c r="M6176"/>
      <c r="N6176" s="498"/>
      <c r="O6176" s="498"/>
      <c r="P6176" s="498"/>
      <c r="Q6176" s="498"/>
      <c r="R6176" s="498"/>
      <c r="T6176" s="498"/>
      <c r="U6176" s="498"/>
      <c r="V6176" s="498"/>
      <c r="W6176" s="498"/>
      <c r="X6176" s="498"/>
      <c r="Y6176" s="498"/>
      <c r="Z6176" s="498"/>
      <c r="AA6176" s="498"/>
      <c r="AB6176" s="498"/>
      <c r="AC6176" s="498"/>
      <c r="AD6176" s="498"/>
      <c r="AE6176" s="498"/>
      <c r="AF6176" s="498"/>
      <c r="AG6176" s="498"/>
      <c r="AH6176" s="498"/>
      <c r="AI6176" s="498"/>
      <c r="AK6176" s="498"/>
      <c r="AL6176" s="498"/>
      <c r="AM6176" s="498"/>
      <c r="AN6176" s="498"/>
      <c r="AO6176" s="498"/>
      <c r="AP6176" s="498"/>
      <c r="AQ6176" s="498"/>
      <c r="AR6176" s="498"/>
      <c r="AS6176" s="498"/>
      <c r="AT6176" s="498"/>
      <c r="AU6176" s="498"/>
      <c r="AV6176" s="498"/>
      <c r="AW6176" s="498"/>
      <c r="AX6176" s="498"/>
      <c r="AY6176" s="498"/>
      <c r="AZ6176" s="498"/>
      <c r="BA6176" s="498"/>
    </row>
    <row r="6177" spans="1:53" s="499" customFormat="1" x14ac:dyDescent="0.25">
      <c r="A6177" s="500"/>
      <c r="B6177" s="501"/>
      <c r="C6177" s="502"/>
      <c r="D6177" s="497"/>
      <c r="E6177" s="497"/>
      <c r="F6177" s="502"/>
      <c r="G6177" s="497"/>
      <c r="H6177" s="497"/>
      <c r="I6177" s="497"/>
      <c r="J6177" s="497"/>
      <c r="K6177" s="500"/>
      <c r="L6177" s="497"/>
      <c r="M6177"/>
      <c r="N6177" s="498"/>
      <c r="O6177" s="498"/>
      <c r="P6177" s="498"/>
      <c r="Q6177" s="498"/>
      <c r="R6177" s="498"/>
      <c r="T6177" s="498"/>
      <c r="U6177" s="498"/>
      <c r="V6177" s="498"/>
      <c r="W6177" s="498"/>
      <c r="X6177" s="498"/>
      <c r="Y6177" s="498"/>
      <c r="Z6177" s="498"/>
      <c r="AA6177" s="498"/>
      <c r="AB6177" s="498"/>
      <c r="AC6177" s="498"/>
      <c r="AD6177" s="498"/>
      <c r="AE6177" s="498"/>
      <c r="AF6177" s="498"/>
      <c r="AG6177" s="498"/>
      <c r="AH6177" s="498"/>
      <c r="AI6177" s="498"/>
      <c r="AK6177" s="498"/>
      <c r="AL6177" s="498"/>
      <c r="AM6177" s="498"/>
      <c r="AN6177" s="498"/>
      <c r="AO6177" s="498"/>
      <c r="AP6177" s="498"/>
      <c r="AQ6177" s="498"/>
      <c r="AR6177" s="498"/>
      <c r="AS6177" s="498"/>
      <c r="AT6177" s="498"/>
      <c r="AU6177" s="498"/>
      <c r="AV6177" s="498"/>
      <c r="AW6177" s="498"/>
      <c r="AX6177" s="498"/>
      <c r="AY6177" s="498"/>
      <c r="AZ6177" s="498"/>
      <c r="BA6177" s="498"/>
    </row>
    <row r="6178" spans="1:53" s="499" customFormat="1" x14ac:dyDescent="0.25">
      <c r="A6178" s="500"/>
      <c r="B6178" s="501"/>
      <c r="C6178" s="502"/>
      <c r="D6178" s="497"/>
      <c r="E6178" s="497"/>
      <c r="F6178" s="502"/>
      <c r="G6178" s="497"/>
      <c r="H6178" s="497"/>
      <c r="I6178" s="497"/>
      <c r="J6178" s="497"/>
      <c r="K6178" s="500"/>
      <c r="L6178" s="497"/>
      <c r="M6178"/>
      <c r="N6178" s="498"/>
      <c r="O6178" s="498"/>
      <c r="P6178" s="498"/>
      <c r="Q6178" s="498"/>
      <c r="R6178" s="498"/>
      <c r="T6178" s="498"/>
      <c r="U6178" s="498"/>
      <c r="V6178" s="498"/>
      <c r="W6178" s="498"/>
      <c r="X6178" s="498"/>
      <c r="Y6178" s="498"/>
      <c r="Z6178" s="498"/>
      <c r="AA6178" s="498"/>
      <c r="AB6178" s="498"/>
      <c r="AC6178" s="498"/>
      <c r="AD6178" s="498"/>
      <c r="AE6178" s="498"/>
      <c r="AF6178" s="498"/>
      <c r="AG6178" s="498"/>
      <c r="AH6178" s="498"/>
      <c r="AI6178" s="498"/>
      <c r="AK6178" s="498"/>
      <c r="AL6178" s="498"/>
      <c r="AM6178" s="498"/>
      <c r="AN6178" s="498"/>
      <c r="AO6178" s="498"/>
      <c r="AP6178" s="498"/>
      <c r="AQ6178" s="498"/>
      <c r="AR6178" s="498"/>
      <c r="AS6178" s="498"/>
      <c r="AT6178" s="498"/>
      <c r="AU6178" s="498"/>
      <c r="AV6178" s="498"/>
      <c r="AW6178" s="498"/>
      <c r="AX6178" s="498"/>
      <c r="AY6178" s="498"/>
      <c r="AZ6178" s="498"/>
      <c r="BA6178" s="498"/>
    </row>
    <row r="6179" spans="1:53" s="499" customFormat="1" x14ac:dyDescent="0.25">
      <c r="A6179" s="500"/>
      <c r="B6179" s="501"/>
      <c r="C6179" s="502"/>
      <c r="D6179" s="497"/>
      <c r="E6179" s="497"/>
      <c r="F6179" s="502"/>
      <c r="G6179" s="497"/>
      <c r="H6179" s="497"/>
      <c r="I6179" s="497"/>
      <c r="J6179" s="497"/>
      <c r="K6179" s="500"/>
      <c r="L6179" s="497"/>
      <c r="M6179"/>
      <c r="N6179" s="498"/>
      <c r="O6179" s="498"/>
      <c r="P6179" s="498"/>
      <c r="Q6179" s="498"/>
      <c r="R6179" s="498"/>
      <c r="T6179" s="498"/>
      <c r="U6179" s="498"/>
      <c r="V6179" s="498"/>
      <c r="W6179" s="498"/>
      <c r="X6179" s="498"/>
      <c r="Y6179" s="498"/>
      <c r="Z6179" s="498"/>
      <c r="AA6179" s="498"/>
      <c r="AB6179" s="498"/>
      <c r="AC6179" s="498"/>
      <c r="AD6179" s="498"/>
      <c r="AE6179" s="498"/>
      <c r="AF6179" s="498"/>
      <c r="AG6179" s="498"/>
      <c r="AH6179" s="498"/>
      <c r="AI6179" s="498"/>
      <c r="AK6179" s="498"/>
      <c r="AL6179" s="498"/>
      <c r="AM6179" s="498"/>
      <c r="AN6179" s="498"/>
      <c r="AO6179" s="498"/>
      <c r="AP6179" s="498"/>
      <c r="AQ6179" s="498"/>
      <c r="AR6179" s="498"/>
      <c r="AS6179" s="498"/>
      <c r="AT6179" s="498"/>
      <c r="AU6179" s="498"/>
      <c r="AV6179" s="498"/>
      <c r="AW6179" s="498"/>
      <c r="AX6179" s="498"/>
      <c r="AY6179" s="498"/>
      <c r="AZ6179" s="498"/>
      <c r="BA6179" s="498"/>
    </row>
    <row r="6180" spans="1:53" s="499" customFormat="1" x14ac:dyDescent="0.25">
      <c r="A6180" s="500"/>
      <c r="B6180" s="501"/>
      <c r="C6180" s="502"/>
      <c r="D6180" s="497"/>
      <c r="E6180" s="497"/>
      <c r="F6180" s="502"/>
      <c r="G6180" s="497"/>
      <c r="H6180" s="497"/>
      <c r="I6180" s="497"/>
      <c r="J6180" s="497"/>
      <c r="K6180" s="500"/>
      <c r="L6180" s="497"/>
      <c r="M6180"/>
      <c r="N6180" s="498"/>
      <c r="O6180" s="498"/>
      <c r="P6180" s="498"/>
      <c r="Q6180" s="498"/>
      <c r="R6180" s="498"/>
      <c r="T6180" s="498"/>
      <c r="U6180" s="498"/>
      <c r="V6180" s="498"/>
      <c r="W6180" s="498"/>
      <c r="X6180" s="498"/>
      <c r="Y6180" s="498"/>
      <c r="Z6180" s="498"/>
      <c r="AA6180" s="498"/>
      <c r="AB6180" s="498"/>
      <c r="AC6180" s="498"/>
      <c r="AD6180" s="498"/>
      <c r="AE6180" s="498"/>
      <c r="AF6180" s="498"/>
      <c r="AG6180" s="498"/>
      <c r="AH6180" s="498"/>
      <c r="AI6180" s="498"/>
      <c r="AK6180" s="498"/>
      <c r="AL6180" s="498"/>
      <c r="AM6180" s="498"/>
      <c r="AN6180" s="498"/>
      <c r="AO6180" s="498"/>
      <c r="AP6180" s="498"/>
      <c r="AQ6180" s="498"/>
      <c r="AR6180" s="498"/>
      <c r="AS6180" s="498"/>
      <c r="AT6180" s="498"/>
      <c r="AU6180" s="498"/>
      <c r="AV6180" s="498"/>
      <c r="AW6180" s="498"/>
      <c r="AX6180" s="498"/>
      <c r="AY6180" s="498"/>
      <c r="AZ6180" s="498"/>
      <c r="BA6180" s="498"/>
    </row>
    <row r="6181" spans="1:53" s="499" customFormat="1" x14ac:dyDescent="0.25">
      <c r="A6181" s="500"/>
      <c r="B6181" s="501"/>
      <c r="C6181" s="502"/>
      <c r="D6181" s="497"/>
      <c r="E6181" s="497"/>
      <c r="F6181" s="502"/>
      <c r="G6181" s="497"/>
      <c r="H6181" s="497"/>
      <c r="I6181" s="497"/>
      <c r="J6181" s="497"/>
      <c r="K6181" s="500"/>
      <c r="L6181" s="497"/>
      <c r="M6181"/>
      <c r="N6181" s="498"/>
      <c r="O6181" s="498"/>
      <c r="P6181" s="498"/>
      <c r="Q6181" s="498"/>
      <c r="R6181" s="498"/>
      <c r="T6181" s="498"/>
      <c r="U6181" s="498"/>
      <c r="V6181" s="498"/>
      <c r="W6181" s="498"/>
      <c r="X6181" s="498"/>
      <c r="Y6181" s="498"/>
      <c r="Z6181" s="498"/>
      <c r="AA6181" s="498"/>
      <c r="AB6181" s="498"/>
      <c r="AC6181" s="498"/>
      <c r="AD6181" s="498"/>
      <c r="AE6181" s="498"/>
      <c r="AF6181" s="498"/>
      <c r="AG6181" s="498"/>
      <c r="AH6181" s="498"/>
      <c r="AI6181" s="498"/>
      <c r="AK6181" s="498"/>
      <c r="AL6181" s="498"/>
      <c r="AM6181" s="498"/>
      <c r="AN6181" s="498"/>
      <c r="AO6181" s="498"/>
      <c r="AP6181" s="498"/>
      <c r="AQ6181" s="498"/>
      <c r="AR6181" s="498"/>
      <c r="AS6181" s="498"/>
      <c r="AT6181" s="498"/>
      <c r="AU6181" s="498"/>
      <c r="AV6181" s="498"/>
      <c r="AW6181" s="498"/>
      <c r="AX6181" s="498"/>
      <c r="AY6181" s="498"/>
      <c r="AZ6181" s="498"/>
      <c r="BA6181" s="498"/>
    </row>
    <row r="6182" spans="1:53" s="499" customFormat="1" x14ac:dyDescent="0.25">
      <c r="A6182" s="500"/>
      <c r="B6182" s="501"/>
      <c r="C6182" s="502"/>
      <c r="D6182" s="497"/>
      <c r="E6182" s="497"/>
      <c r="F6182" s="502"/>
      <c r="G6182" s="497"/>
      <c r="H6182" s="497"/>
      <c r="I6182" s="497"/>
      <c r="J6182" s="497"/>
      <c r="K6182" s="500"/>
      <c r="L6182" s="497"/>
      <c r="M6182"/>
      <c r="N6182" s="498"/>
      <c r="O6182" s="498"/>
      <c r="P6182" s="498"/>
      <c r="Q6182" s="498"/>
      <c r="R6182" s="498"/>
      <c r="T6182" s="498"/>
      <c r="U6182" s="498"/>
      <c r="V6182" s="498"/>
      <c r="W6182" s="498"/>
      <c r="X6182" s="498"/>
      <c r="Y6182" s="498"/>
      <c r="Z6182" s="498"/>
      <c r="AA6182" s="498"/>
      <c r="AB6182" s="498"/>
      <c r="AC6182" s="498"/>
      <c r="AD6182" s="498"/>
      <c r="AE6182" s="498"/>
      <c r="AF6182" s="498"/>
      <c r="AG6182" s="498"/>
      <c r="AH6182" s="498"/>
      <c r="AI6182" s="498"/>
      <c r="AK6182" s="498"/>
      <c r="AL6182" s="498"/>
      <c r="AM6182" s="498"/>
      <c r="AN6182" s="498"/>
      <c r="AO6182" s="498"/>
      <c r="AP6182" s="498"/>
      <c r="AQ6182" s="498"/>
      <c r="AR6182" s="498"/>
      <c r="AS6182" s="498"/>
      <c r="AT6182" s="498"/>
      <c r="AU6182" s="498"/>
      <c r="AV6182" s="498"/>
      <c r="AW6182" s="498"/>
      <c r="AX6182" s="498"/>
      <c r="AY6182" s="498"/>
      <c r="AZ6182" s="498"/>
      <c r="BA6182" s="498"/>
    </row>
    <row r="6183" spans="1:53" s="499" customFormat="1" x14ac:dyDescent="0.25">
      <c r="A6183" s="500"/>
      <c r="B6183" s="501"/>
      <c r="C6183" s="502"/>
      <c r="D6183" s="497"/>
      <c r="E6183" s="497"/>
      <c r="F6183" s="502"/>
      <c r="G6183" s="497"/>
      <c r="H6183" s="497"/>
      <c r="I6183" s="497"/>
      <c r="J6183" s="497"/>
      <c r="K6183" s="500"/>
      <c r="L6183" s="497"/>
      <c r="M6183"/>
      <c r="N6183" s="498"/>
      <c r="O6183" s="498"/>
      <c r="P6183" s="498"/>
      <c r="Q6183" s="498"/>
      <c r="R6183" s="498"/>
      <c r="T6183" s="498"/>
      <c r="U6183" s="498"/>
      <c r="V6183" s="498"/>
      <c r="W6183" s="498"/>
      <c r="X6183" s="498"/>
      <c r="Y6183" s="498"/>
      <c r="Z6183" s="498"/>
      <c r="AA6183" s="498"/>
      <c r="AB6183" s="498"/>
      <c r="AC6183" s="498"/>
      <c r="AD6183" s="498"/>
      <c r="AE6183" s="498"/>
      <c r="AF6183" s="498"/>
      <c r="AG6183" s="498"/>
      <c r="AH6183" s="498"/>
      <c r="AI6183" s="498"/>
      <c r="AK6183" s="498"/>
      <c r="AL6183" s="498"/>
      <c r="AM6183" s="498"/>
      <c r="AN6183" s="498"/>
      <c r="AO6183" s="498"/>
      <c r="AP6183" s="498"/>
      <c r="AQ6183" s="498"/>
      <c r="AR6183" s="498"/>
      <c r="AS6183" s="498"/>
      <c r="AT6183" s="498"/>
      <c r="AU6183" s="498"/>
      <c r="AV6183" s="498"/>
      <c r="AW6183" s="498"/>
      <c r="AX6183" s="498"/>
      <c r="AY6183" s="498"/>
      <c r="AZ6183" s="498"/>
      <c r="BA6183" s="498"/>
    </row>
    <row r="6184" spans="1:53" s="499" customFormat="1" x14ac:dyDescent="0.25">
      <c r="A6184" s="500"/>
      <c r="B6184" s="501"/>
      <c r="C6184" s="502"/>
      <c r="D6184" s="497"/>
      <c r="E6184" s="497"/>
      <c r="F6184" s="502"/>
      <c r="G6184" s="497"/>
      <c r="H6184" s="497"/>
      <c r="I6184" s="497"/>
      <c r="J6184" s="497"/>
      <c r="K6184" s="500"/>
      <c r="L6184" s="497"/>
      <c r="M6184"/>
      <c r="N6184" s="498"/>
      <c r="O6184" s="498"/>
      <c r="P6184" s="498"/>
      <c r="Q6184" s="498"/>
      <c r="R6184" s="498"/>
      <c r="T6184" s="498"/>
      <c r="U6184" s="498"/>
      <c r="V6184" s="498"/>
      <c r="W6184" s="498"/>
      <c r="X6184" s="498"/>
      <c r="Y6184" s="498"/>
      <c r="Z6184" s="498"/>
      <c r="AA6184" s="498"/>
      <c r="AB6184" s="498"/>
      <c r="AC6184" s="498"/>
      <c r="AD6184" s="498"/>
      <c r="AE6184" s="498"/>
      <c r="AF6184" s="498"/>
      <c r="AG6184" s="498"/>
      <c r="AH6184" s="498"/>
      <c r="AI6184" s="498"/>
      <c r="AK6184" s="498"/>
      <c r="AL6184" s="498"/>
      <c r="AM6184" s="498"/>
      <c r="AN6184" s="498"/>
      <c r="AO6184" s="498"/>
      <c r="AP6184" s="498"/>
      <c r="AQ6184" s="498"/>
      <c r="AR6184" s="498"/>
      <c r="AS6184" s="498"/>
      <c r="AT6184" s="498"/>
      <c r="AU6184" s="498"/>
      <c r="AV6184" s="498"/>
      <c r="AW6184" s="498"/>
      <c r="AX6184" s="498"/>
      <c r="AY6184" s="498"/>
      <c r="AZ6184" s="498"/>
      <c r="BA6184" s="498"/>
    </row>
    <row r="6185" spans="1:53" s="499" customFormat="1" x14ac:dyDescent="0.25">
      <c r="A6185" s="500"/>
      <c r="B6185" s="501"/>
      <c r="C6185" s="502"/>
      <c r="D6185" s="497"/>
      <c r="E6185" s="497"/>
      <c r="F6185" s="502"/>
      <c r="G6185" s="497"/>
      <c r="H6185" s="497"/>
      <c r="I6185" s="497"/>
      <c r="J6185" s="497"/>
      <c r="K6185" s="500"/>
      <c r="L6185" s="497"/>
      <c r="M6185"/>
      <c r="N6185" s="498"/>
      <c r="O6185" s="498"/>
      <c r="P6185" s="498"/>
      <c r="Q6185" s="498"/>
      <c r="R6185" s="498"/>
      <c r="T6185" s="498"/>
      <c r="U6185" s="498"/>
      <c r="V6185" s="498"/>
      <c r="W6185" s="498"/>
      <c r="X6185" s="498"/>
      <c r="Y6185" s="498"/>
      <c r="Z6185" s="498"/>
      <c r="AA6185" s="498"/>
      <c r="AB6185" s="498"/>
      <c r="AC6185" s="498"/>
      <c r="AD6185" s="498"/>
      <c r="AE6185" s="498"/>
      <c r="AF6185" s="498"/>
      <c r="AG6185" s="498"/>
      <c r="AH6185" s="498"/>
      <c r="AI6185" s="498"/>
      <c r="AK6185" s="498"/>
      <c r="AL6185" s="498"/>
      <c r="AM6185" s="498"/>
      <c r="AN6185" s="498"/>
      <c r="AO6185" s="498"/>
      <c r="AP6185" s="498"/>
      <c r="AQ6185" s="498"/>
      <c r="AR6185" s="498"/>
      <c r="AS6185" s="498"/>
      <c r="AT6185" s="498"/>
      <c r="AU6185" s="498"/>
      <c r="AV6185" s="498"/>
      <c r="AW6185" s="498"/>
      <c r="AX6185" s="498"/>
      <c r="AY6185" s="498"/>
      <c r="AZ6185" s="498"/>
      <c r="BA6185" s="498"/>
    </row>
    <row r="6186" spans="1:53" s="499" customFormat="1" x14ac:dyDescent="0.25">
      <c r="A6186" s="500"/>
      <c r="B6186" s="501"/>
      <c r="C6186" s="502"/>
      <c r="D6186" s="497"/>
      <c r="E6186" s="497"/>
      <c r="F6186" s="502"/>
      <c r="G6186" s="497"/>
      <c r="H6186" s="497"/>
      <c r="I6186" s="497"/>
      <c r="J6186" s="497"/>
      <c r="K6186" s="500"/>
      <c r="L6186" s="497"/>
      <c r="M6186"/>
      <c r="N6186" s="498"/>
      <c r="O6186" s="498"/>
      <c r="P6186" s="498"/>
      <c r="Q6186" s="498"/>
      <c r="R6186" s="498"/>
      <c r="T6186" s="498"/>
      <c r="U6186" s="498"/>
      <c r="V6186" s="498"/>
      <c r="W6186" s="498"/>
      <c r="X6186" s="498"/>
      <c r="Y6186" s="498"/>
      <c r="Z6186" s="498"/>
      <c r="AA6186" s="498"/>
      <c r="AB6186" s="498"/>
      <c r="AC6186" s="498"/>
      <c r="AD6186" s="498"/>
      <c r="AE6186" s="498"/>
      <c r="AF6186" s="498"/>
      <c r="AG6186" s="498"/>
      <c r="AH6186" s="498"/>
      <c r="AI6186" s="498"/>
      <c r="AK6186" s="498"/>
      <c r="AL6186" s="498"/>
      <c r="AM6186" s="498"/>
      <c r="AN6186" s="498"/>
      <c r="AO6186" s="498"/>
      <c r="AP6186" s="498"/>
      <c r="AQ6186" s="498"/>
      <c r="AR6186" s="498"/>
      <c r="AS6186" s="498"/>
      <c r="AT6186" s="498"/>
      <c r="AU6186" s="498"/>
      <c r="AV6186" s="498"/>
      <c r="AW6186" s="498"/>
      <c r="AX6186" s="498"/>
      <c r="AY6186" s="498"/>
      <c r="AZ6186" s="498"/>
      <c r="BA6186" s="498"/>
    </row>
    <row r="6187" spans="1:53" s="499" customFormat="1" x14ac:dyDescent="0.25">
      <c r="A6187" s="500"/>
      <c r="B6187" s="501"/>
      <c r="C6187" s="502"/>
      <c r="D6187" s="497"/>
      <c r="E6187" s="497"/>
      <c r="F6187" s="502"/>
      <c r="G6187" s="497"/>
      <c r="H6187" s="497"/>
      <c r="I6187" s="497"/>
      <c r="J6187" s="497"/>
      <c r="K6187" s="500"/>
      <c r="L6187" s="497"/>
      <c r="M6187"/>
      <c r="N6187" s="498"/>
      <c r="O6187" s="498"/>
      <c r="P6187" s="498"/>
      <c r="Q6187" s="498"/>
      <c r="R6187" s="498"/>
      <c r="T6187" s="498"/>
      <c r="U6187" s="498"/>
      <c r="V6187" s="498"/>
      <c r="W6187" s="498"/>
      <c r="X6187" s="498"/>
      <c r="Y6187" s="498"/>
      <c r="Z6187" s="498"/>
      <c r="AA6187" s="498"/>
      <c r="AB6187" s="498"/>
      <c r="AC6187" s="498"/>
      <c r="AD6187" s="498"/>
      <c r="AE6187" s="498"/>
      <c r="AF6187" s="498"/>
      <c r="AG6187" s="498"/>
      <c r="AH6187" s="498"/>
      <c r="AI6187" s="498"/>
      <c r="AK6187" s="498"/>
      <c r="AL6187" s="498"/>
      <c r="AM6187" s="498"/>
      <c r="AN6187" s="498"/>
      <c r="AO6187" s="498"/>
      <c r="AP6187" s="498"/>
      <c r="AQ6187" s="498"/>
      <c r="AR6187" s="498"/>
      <c r="AS6187" s="498"/>
      <c r="AT6187" s="498"/>
      <c r="AU6187" s="498"/>
      <c r="AV6187" s="498"/>
      <c r="AW6187" s="498"/>
      <c r="AX6187" s="498"/>
      <c r="AY6187" s="498"/>
      <c r="AZ6187" s="498"/>
      <c r="BA6187" s="498"/>
    </row>
    <row r="6188" spans="1:53" s="499" customFormat="1" x14ac:dyDescent="0.25">
      <c r="A6188" s="500"/>
      <c r="B6188" s="501"/>
      <c r="C6188" s="502"/>
      <c r="D6188" s="497"/>
      <c r="E6188" s="497"/>
      <c r="F6188" s="502"/>
      <c r="G6188" s="497"/>
      <c r="H6188" s="497"/>
      <c r="I6188" s="497"/>
      <c r="J6188" s="497"/>
      <c r="K6188" s="500"/>
      <c r="L6188" s="497"/>
      <c r="M6188"/>
      <c r="N6188" s="498"/>
      <c r="O6188" s="498"/>
      <c r="P6188" s="498"/>
      <c r="Q6188" s="498"/>
      <c r="R6188" s="498"/>
      <c r="T6188" s="498"/>
      <c r="U6188" s="498"/>
      <c r="V6188" s="498"/>
      <c r="W6188" s="498"/>
      <c r="X6188" s="498"/>
      <c r="Y6188" s="498"/>
      <c r="Z6188" s="498"/>
      <c r="AA6188" s="498"/>
      <c r="AB6188" s="498"/>
      <c r="AC6188" s="498"/>
      <c r="AD6188" s="498"/>
      <c r="AE6188" s="498"/>
      <c r="AF6188" s="498"/>
      <c r="AG6188" s="498"/>
      <c r="AH6188" s="498"/>
      <c r="AI6188" s="498"/>
      <c r="AK6188" s="498"/>
      <c r="AL6188" s="498"/>
      <c r="AM6188" s="498"/>
      <c r="AN6188" s="498"/>
      <c r="AO6188" s="498"/>
      <c r="AP6188" s="498"/>
      <c r="AQ6188" s="498"/>
      <c r="AR6188" s="498"/>
      <c r="AS6188" s="498"/>
      <c r="AT6188" s="498"/>
      <c r="AU6188" s="498"/>
      <c r="AV6188" s="498"/>
      <c r="AW6188" s="498"/>
      <c r="AX6188" s="498"/>
      <c r="AY6188" s="498"/>
      <c r="AZ6188" s="498"/>
      <c r="BA6188" s="498"/>
    </row>
    <row r="6189" spans="1:53" s="499" customFormat="1" x14ac:dyDescent="0.25">
      <c r="A6189" s="500"/>
      <c r="B6189" s="501"/>
      <c r="C6189" s="502"/>
      <c r="D6189" s="497"/>
      <c r="E6189" s="497"/>
      <c r="F6189" s="502"/>
      <c r="G6189" s="497"/>
      <c r="H6189" s="497"/>
      <c r="I6189" s="497"/>
      <c r="J6189" s="497"/>
      <c r="K6189" s="500"/>
      <c r="L6189" s="497"/>
      <c r="M6189"/>
      <c r="N6189" s="498"/>
      <c r="O6189" s="498"/>
      <c r="P6189" s="498"/>
      <c r="Q6189" s="498"/>
      <c r="R6189" s="498"/>
      <c r="T6189" s="498"/>
      <c r="U6189" s="498"/>
      <c r="V6189" s="498"/>
      <c r="W6189" s="498"/>
      <c r="X6189" s="498"/>
      <c r="Y6189" s="498"/>
      <c r="Z6189" s="498"/>
      <c r="AA6189" s="498"/>
      <c r="AB6189" s="498"/>
      <c r="AC6189" s="498"/>
      <c r="AD6189" s="498"/>
      <c r="AE6189" s="498"/>
      <c r="AF6189" s="498"/>
      <c r="AG6189" s="498"/>
      <c r="AH6189" s="498"/>
      <c r="AI6189" s="498"/>
      <c r="AK6189" s="498"/>
      <c r="AL6189" s="498"/>
      <c r="AM6189" s="498"/>
      <c r="AN6189" s="498"/>
      <c r="AO6189" s="498"/>
      <c r="AP6189" s="498"/>
      <c r="AQ6189" s="498"/>
      <c r="AR6189" s="498"/>
      <c r="AS6189" s="498"/>
      <c r="AT6189" s="498"/>
      <c r="AU6189" s="498"/>
      <c r="AV6189" s="498"/>
      <c r="AW6189" s="498"/>
      <c r="AX6189" s="498"/>
      <c r="AY6189" s="498"/>
      <c r="AZ6189" s="498"/>
      <c r="BA6189" s="498"/>
    </row>
    <row r="6190" spans="1:53" s="499" customFormat="1" x14ac:dyDescent="0.25">
      <c r="A6190" s="500"/>
      <c r="B6190" s="501"/>
      <c r="C6190" s="502"/>
      <c r="D6190" s="497"/>
      <c r="E6190" s="497"/>
      <c r="F6190" s="502"/>
      <c r="G6190" s="497"/>
      <c r="H6190" s="497"/>
      <c r="I6190" s="497"/>
      <c r="J6190" s="497"/>
      <c r="K6190" s="500"/>
      <c r="L6190" s="497"/>
      <c r="M6190"/>
      <c r="N6190" s="498"/>
      <c r="O6190" s="498"/>
      <c r="P6190" s="498"/>
      <c r="Q6190" s="498"/>
      <c r="R6190" s="498"/>
      <c r="T6190" s="498"/>
      <c r="U6190" s="498"/>
      <c r="V6190" s="498"/>
      <c r="W6190" s="498"/>
      <c r="X6190" s="498"/>
      <c r="Y6190" s="498"/>
      <c r="Z6190" s="498"/>
      <c r="AA6190" s="498"/>
      <c r="AB6190" s="498"/>
      <c r="AC6190" s="498"/>
      <c r="AD6190" s="498"/>
      <c r="AE6190" s="498"/>
      <c r="AF6190" s="498"/>
      <c r="AG6190" s="498"/>
      <c r="AH6190" s="498"/>
      <c r="AI6190" s="498"/>
      <c r="AK6190" s="498"/>
      <c r="AL6190" s="498"/>
      <c r="AM6190" s="498"/>
      <c r="AN6190" s="498"/>
      <c r="AO6190" s="498"/>
      <c r="AP6190" s="498"/>
      <c r="AQ6190" s="498"/>
      <c r="AR6190" s="498"/>
      <c r="AS6190" s="498"/>
      <c r="AT6190" s="498"/>
      <c r="AU6190" s="498"/>
      <c r="AV6190" s="498"/>
      <c r="AW6190" s="498"/>
      <c r="AX6190" s="498"/>
      <c r="AY6190" s="498"/>
      <c r="AZ6190" s="498"/>
      <c r="BA6190" s="498"/>
    </row>
    <row r="6191" spans="1:53" s="499" customFormat="1" x14ac:dyDescent="0.25">
      <c r="A6191" s="500"/>
      <c r="B6191" s="501"/>
      <c r="C6191" s="502"/>
      <c r="D6191" s="497"/>
      <c r="E6191" s="497"/>
      <c r="F6191" s="502"/>
      <c r="G6191" s="497"/>
      <c r="H6191" s="497"/>
      <c r="I6191" s="497"/>
      <c r="J6191" s="497"/>
      <c r="K6191" s="500"/>
      <c r="L6191" s="497"/>
      <c r="M6191"/>
      <c r="N6191" s="498"/>
      <c r="O6191" s="498"/>
      <c r="P6191" s="498"/>
      <c r="Q6191" s="498"/>
      <c r="R6191" s="498"/>
      <c r="T6191" s="498"/>
      <c r="U6191" s="498"/>
      <c r="V6191" s="498"/>
      <c r="W6191" s="498"/>
      <c r="X6191" s="498"/>
      <c r="Y6191" s="498"/>
      <c r="Z6191" s="498"/>
      <c r="AA6191" s="498"/>
      <c r="AB6191" s="498"/>
      <c r="AC6191" s="498"/>
      <c r="AD6191" s="498"/>
      <c r="AE6191" s="498"/>
      <c r="AF6191" s="498"/>
      <c r="AG6191" s="498"/>
      <c r="AH6191" s="498"/>
      <c r="AI6191" s="498"/>
      <c r="AK6191" s="498"/>
      <c r="AL6191" s="498"/>
      <c r="AM6191" s="498"/>
      <c r="AN6191" s="498"/>
      <c r="AO6191" s="498"/>
      <c r="AP6191" s="498"/>
      <c r="AQ6191" s="498"/>
      <c r="AR6191" s="498"/>
      <c r="AS6191" s="498"/>
      <c r="AT6191" s="498"/>
      <c r="AU6191" s="498"/>
      <c r="AV6191" s="498"/>
      <c r="AW6191" s="498"/>
      <c r="AX6191" s="498"/>
      <c r="AY6191" s="498"/>
      <c r="AZ6191" s="498"/>
      <c r="BA6191" s="498"/>
    </row>
    <row r="6192" spans="1:53" s="499" customFormat="1" x14ac:dyDescent="0.25">
      <c r="A6192" s="500"/>
      <c r="B6192" s="501"/>
      <c r="C6192" s="502"/>
      <c r="D6192" s="497"/>
      <c r="E6192" s="497"/>
      <c r="F6192" s="502"/>
      <c r="G6192" s="497"/>
      <c r="H6192" s="497"/>
      <c r="I6192" s="497"/>
      <c r="J6192" s="497"/>
      <c r="K6192" s="500"/>
      <c r="L6192" s="497"/>
      <c r="M6192"/>
      <c r="N6192" s="498"/>
      <c r="O6192" s="498"/>
      <c r="P6192" s="498"/>
      <c r="Q6192" s="498"/>
      <c r="R6192" s="498"/>
      <c r="T6192" s="498"/>
      <c r="U6192" s="498"/>
      <c r="V6192" s="498"/>
      <c r="W6192" s="498"/>
      <c r="X6192" s="498"/>
      <c r="Y6192" s="498"/>
      <c r="Z6192" s="498"/>
      <c r="AA6192" s="498"/>
      <c r="AB6192" s="498"/>
      <c r="AC6192" s="498"/>
      <c r="AD6192" s="498"/>
      <c r="AE6192" s="498"/>
      <c r="AF6192" s="498"/>
      <c r="AG6192" s="498"/>
      <c r="AH6192" s="498"/>
      <c r="AI6192" s="498"/>
      <c r="AK6192" s="498"/>
      <c r="AL6192" s="498"/>
      <c r="AM6192" s="498"/>
      <c r="AN6192" s="498"/>
      <c r="AO6192" s="498"/>
      <c r="AP6192" s="498"/>
      <c r="AQ6192" s="498"/>
      <c r="AR6192" s="498"/>
      <c r="AS6192" s="498"/>
      <c r="AT6192" s="498"/>
      <c r="AU6192" s="498"/>
      <c r="AV6192" s="498"/>
      <c r="AW6192" s="498"/>
      <c r="AX6192" s="498"/>
      <c r="AY6192" s="498"/>
      <c r="AZ6192" s="498"/>
      <c r="BA6192" s="498"/>
    </row>
    <row r="6193" spans="1:53" s="499" customFormat="1" x14ac:dyDescent="0.25">
      <c r="A6193" s="500"/>
      <c r="B6193" s="501"/>
      <c r="C6193" s="502"/>
      <c r="D6193" s="497"/>
      <c r="E6193" s="497"/>
      <c r="F6193" s="502"/>
      <c r="G6193" s="497"/>
      <c r="H6193" s="497"/>
      <c r="I6193" s="497"/>
      <c r="J6193" s="497"/>
      <c r="K6193" s="500"/>
      <c r="L6193" s="497"/>
      <c r="M6193"/>
      <c r="N6193" s="498"/>
      <c r="O6193" s="498"/>
      <c r="P6193" s="498"/>
      <c r="Q6193" s="498"/>
      <c r="R6193" s="498"/>
      <c r="T6193" s="498"/>
      <c r="U6193" s="498"/>
      <c r="V6193" s="498"/>
      <c r="W6193" s="498"/>
      <c r="X6193" s="498"/>
      <c r="Y6193" s="498"/>
      <c r="Z6193" s="498"/>
      <c r="AA6193" s="498"/>
      <c r="AB6193" s="498"/>
      <c r="AC6193" s="498"/>
      <c r="AD6193" s="498"/>
      <c r="AE6193" s="498"/>
      <c r="AF6193" s="498"/>
      <c r="AG6193" s="498"/>
      <c r="AH6193" s="498"/>
      <c r="AI6193" s="498"/>
      <c r="AK6193" s="498"/>
      <c r="AL6193" s="498"/>
      <c r="AM6193" s="498"/>
      <c r="AN6193" s="498"/>
      <c r="AO6193" s="498"/>
      <c r="AP6193" s="498"/>
      <c r="AQ6193" s="498"/>
      <c r="AR6193" s="498"/>
      <c r="AS6193" s="498"/>
      <c r="AT6193" s="498"/>
      <c r="AU6193" s="498"/>
      <c r="AV6193" s="498"/>
      <c r="AW6193" s="498"/>
      <c r="AX6193" s="498"/>
      <c r="AY6193" s="498"/>
      <c r="AZ6193" s="498"/>
      <c r="BA6193" s="498"/>
    </row>
    <row r="6194" spans="1:53" s="499" customFormat="1" x14ac:dyDescent="0.25">
      <c r="A6194" s="500"/>
      <c r="B6194" s="501"/>
      <c r="C6194" s="502"/>
      <c r="D6194" s="497"/>
      <c r="E6194" s="497"/>
      <c r="F6194" s="502"/>
      <c r="G6194" s="497"/>
      <c r="H6194" s="497"/>
      <c r="I6194" s="497"/>
      <c r="J6194" s="497"/>
      <c r="K6194" s="500"/>
      <c r="L6194" s="497"/>
      <c r="M6194"/>
      <c r="N6194" s="498"/>
      <c r="O6194" s="498"/>
      <c r="P6194" s="498"/>
      <c r="Q6194" s="498"/>
      <c r="R6194" s="498"/>
      <c r="T6194" s="498"/>
      <c r="U6194" s="498"/>
      <c r="V6194" s="498"/>
      <c r="W6194" s="498"/>
      <c r="X6194" s="498"/>
      <c r="Y6194" s="498"/>
      <c r="Z6194" s="498"/>
      <c r="AA6194" s="498"/>
      <c r="AB6194" s="498"/>
      <c r="AC6194" s="498"/>
      <c r="AD6194" s="498"/>
      <c r="AE6194" s="498"/>
      <c r="AF6194" s="498"/>
      <c r="AG6194" s="498"/>
      <c r="AH6194" s="498"/>
      <c r="AI6194" s="498"/>
      <c r="AK6194" s="498"/>
      <c r="AL6194" s="498"/>
      <c r="AM6194" s="498"/>
      <c r="AN6194" s="498"/>
      <c r="AO6194" s="498"/>
      <c r="AP6194" s="498"/>
      <c r="AQ6194" s="498"/>
      <c r="AR6194" s="498"/>
      <c r="AS6194" s="498"/>
      <c r="AT6194" s="498"/>
      <c r="AU6194" s="498"/>
      <c r="AV6194" s="498"/>
      <c r="AW6194" s="498"/>
      <c r="AX6194" s="498"/>
      <c r="AY6194" s="498"/>
      <c r="AZ6194" s="498"/>
      <c r="BA6194" s="498"/>
    </row>
    <row r="6195" spans="1:53" s="499" customFormat="1" x14ac:dyDescent="0.25">
      <c r="A6195" s="500"/>
      <c r="B6195" s="501"/>
      <c r="C6195" s="502"/>
      <c r="D6195" s="497"/>
      <c r="E6195" s="497"/>
      <c r="F6195" s="502"/>
      <c r="G6195" s="497"/>
      <c r="H6195" s="497"/>
      <c r="I6195" s="497"/>
      <c r="J6195" s="497"/>
      <c r="K6195" s="500"/>
      <c r="L6195" s="497"/>
      <c r="M6195"/>
      <c r="N6195" s="498"/>
      <c r="O6195" s="498"/>
      <c r="P6195" s="498"/>
      <c r="Q6195" s="498"/>
      <c r="R6195" s="498"/>
      <c r="T6195" s="498"/>
      <c r="U6195" s="498"/>
      <c r="V6195" s="498"/>
      <c r="W6195" s="498"/>
      <c r="X6195" s="498"/>
      <c r="Y6195" s="498"/>
      <c r="Z6195" s="498"/>
      <c r="AA6195" s="498"/>
      <c r="AB6195" s="498"/>
      <c r="AC6195" s="498"/>
      <c r="AD6195" s="498"/>
      <c r="AE6195" s="498"/>
      <c r="AF6195" s="498"/>
      <c r="AG6195" s="498"/>
      <c r="AH6195" s="498"/>
      <c r="AI6195" s="498"/>
      <c r="AK6195" s="498"/>
      <c r="AL6195" s="498"/>
      <c r="AM6195" s="498"/>
      <c r="AN6195" s="498"/>
      <c r="AO6195" s="498"/>
      <c r="AP6195" s="498"/>
      <c r="AQ6195" s="498"/>
      <c r="AR6195" s="498"/>
      <c r="AS6195" s="498"/>
      <c r="AT6195" s="498"/>
      <c r="AU6195" s="498"/>
      <c r="AV6195" s="498"/>
      <c r="AW6195" s="498"/>
      <c r="AX6195" s="498"/>
      <c r="AY6195" s="498"/>
      <c r="AZ6195" s="498"/>
      <c r="BA6195" s="498"/>
    </row>
    <row r="6196" spans="1:53" s="499" customFormat="1" x14ac:dyDescent="0.25">
      <c r="A6196" s="500"/>
      <c r="B6196" s="501"/>
      <c r="C6196" s="502"/>
      <c r="D6196" s="497"/>
      <c r="E6196" s="497"/>
      <c r="F6196" s="502"/>
      <c r="G6196" s="497"/>
      <c r="H6196" s="497"/>
      <c r="I6196" s="497"/>
      <c r="J6196" s="497"/>
      <c r="K6196" s="500"/>
      <c r="L6196" s="497"/>
      <c r="M6196"/>
      <c r="N6196" s="498"/>
      <c r="O6196" s="498"/>
      <c r="P6196" s="498"/>
      <c r="Q6196" s="498"/>
      <c r="R6196" s="498"/>
      <c r="T6196" s="498"/>
      <c r="U6196" s="498"/>
      <c r="V6196" s="498"/>
      <c r="W6196" s="498"/>
      <c r="X6196" s="498"/>
      <c r="Y6196" s="498"/>
      <c r="Z6196" s="498"/>
      <c r="AA6196" s="498"/>
      <c r="AB6196" s="498"/>
      <c r="AC6196" s="498"/>
      <c r="AD6196" s="498"/>
      <c r="AE6196" s="498"/>
      <c r="AF6196" s="498"/>
      <c r="AG6196" s="498"/>
      <c r="AH6196" s="498"/>
      <c r="AI6196" s="498"/>
      <c r="AK6196" s="498"/>
      <c r="AL6196" s="498"/>
      <c r="AM6196" s="498"/>
      <c r="AN6196" s="498"/>
      <c r="AO6196" s="498"/>
      <c r="AP6196" s="498"/>
      <c r="AQ6196" s="498"/>
      <c r="AR6196" s="498"/>
      <c r="AS6196" s="498"/>
      <c r="AT6196" s="498"/>
      <c r="AU6196" s="498"/>
      <c r="AV6196" s="498"/>
      <c r="AW6196" s="498"/>
      <c r="AX6196" s="498"/>
      <c r="AY6196" s="498"/>
      <c r="AZ6196" s="498"/>
      <c r="BA6196" s="498"/>
    </row>
    <row r="6197" spans="1:53" s="499" customFormat="1" x14ac:dyDescent="0.25">
      <c r="A6197" s="500"/>
      <c r="B6197" s="501"/>
      <c r="C6197" s="502"/>
      <c r="D6197" s="497"/>
      <c r="E6197" s="497"/>
      <c r="F6197" s="502"/>
      <c r="G6197" s="497"/>
      <c r="H6197" s="497"/>
      <c r="I6197" s="497"/>
      <c r="J6197" s="497"/>
      <c r="K6197" s="500"/>
      <c r="L6197" s="497"/>
      <c r="M6197"/>
      <c r="N6197" s="498"/>
      <c r="O6197" s="498"/>
      <c r="P6197" s="498"/>
      <c r="Q6197" s="498"/>
      <c r="R6197" s="498"/>
      <c r="T6197" s="498"/>
      <c r="U6197" s="498"/>
      <c r="V6197" s="498"/>
      <c r="W6197" s="498"/>
      <c r="X6197" s="498"/>
      <c r="Y6197" s="498"/>
      <c r="Z6197" s="498"/>
      <c r="AA6197" s="498"/>
      <c r="AB6197" s="498"/>
      <c r="AC6197" s="498"/>
      <c r="AD6197" s="498"/>
      <c r="AE6197" s="498"/>
      <c r="AF6197" s="498"/>
      <c r="AG6197" s="498"/>
      <c r="AH6197" s="498"/>
      <c r="AI6197" s="498"/>
      <c r="AK6197" s="498"/>
      <c r="AL6197" s="498"/>
      <c r="AM6197" s="498"/>
      <c r="AN6197" s="498"/>
      <c r="AO6197" s="498"/>
      <c r="AP6197" s="498"/>
      <c r="AQ6197" s="498"/>
      <c r="AR6197" s="498"/>
      <c r="AS6197" s="498"/>
      <c r="AT6197" s="498"/>
      <c r="AU6197" s="498"/>
      <c r="AV6197" s="498"/>
      <c r="AW6197" s="498"/>
      <c r="AX6197" s="498"/>
      <c r="AY6197" s="498"/>
      <c r="AZ6197" s="498"/>
      <c r="BA6197" s="498"/>
    </row>
    <row r="6198" spans="1:53" s="499" customFormat="1" x14ac:dyDescent="0.25">
      <c r="A6198" s="500"/>
      <c r="B6198" s="501"/>
      <c r="C6198" s="502"/>
      <c r="D6198" s="497"/>
      <c r="E6198" s="497"/>
      <c r="F6198" s="502"/>
      <c r="G6198" s="497"/>
      <c r="H6198" s="497"/>
      <c r="I6198" s="497"/>
      <c r="J6198" s="497"/>
      <c r="K6198" s="500"/>
      <c r="L6198" s="497"/>
      <c r="M6198"/>
      <c r="N6198" s="498"/>
      <c r="O6198" s="498"/>
      <c r="P6198" s="498"/>
      <c r="Q6198" s="498"/>
      <c r="R6198" s="498"/>
      <c r="T6198" s="498"/>
      <c r="U6198" s="498"/>
      <c r="V6198" s="498"/>
      <c r="W6198" s="498"/>
      <c r="X6198" s="498"/>
      <c r="Y6198" s="498"/>
      <c r="Z6198" s="498"/>
      <c r="AA6198" s="498"/>
      <c r="AB6198" s="498"/>
      <c r="AC6198" s="498"/>
      <c r="AD6198" s="498"/>
      <c r="AE6198" s="498"/>
      <c r="AF6198" s="498"/>
      <c r="AG6198" s="498"/>
      <c r="AH6198" s="498"/>
      <c r="AI6198" s="498"/>
      <c r="AK6198" s="498"/>
      <c r="AL6198" s="498"/>
      <c r="AM6198" s="498"/>
      <c r="AN6198" s="498"/>
      <c r="AO6198" s="498"/>
      <c r="AP6198" s="498"/>
      <c r="AQ6198" s="498"/>
      <c r="AR6198" s="498"/>
      <c r="AS6198" s="498"/>
      <c r="AT6198" s="498"/>
      <c r="AU6198" s="498"/>
      <c r="AV6198" s="498"/>
      <c r="AW6198" s="498"/>
      <c r="AX6198" s="498"/>
      <c r="AY6198" s="498"/>
      <c r="AZ6198" s="498"/>
      <c r="BA6198" s="498"/>
    </row>
    <row r="6199" spans="1:53" s="499" customFormat="1" x14ac:dyDescent="0.25">
      <c r="A6199" s="500"/>
      <c r="B6199" s="501"/>
      <c r="C6199" s="502"/>
      <c r="D6199" s="497"/>
      <c r="E6199" s="497"/>
      <c r="F6199" s="502"/>
      <c r="G6199" s="497"/>
      <c r="H6199" s="497"/>
      <c r="I6199" s="497"/>
      <c r="J6199" s="497"/>
      <c r="K6199" s="500"/>
      <c r="L6199" s="497"/>
      <c r="M6199"/>
      <c r="N6199" s="498"/>
      <c r="O6199" s="498"/>
      <c r="P6199" s="498"/>
      <c r="Q6199" s="498"/>
      <c r="R6199" s="498"/>
      <c r="T6199" s="498"/>
      <c r="U6199" s="498"/>
      <c r="V6199" s="498"/>
      <c r="W6199" s="498"/>
      <c r="X6199" s="498"/>
      <c r="Y6199" s="498"/>
      <c r="Z6199" s="498"/>
      <c r="AA6199" s="498"/>
      <c r="AB6199" s="498"/>
      <c r="AC6199" s="498"/>
      <c r="AD6199" s="498"/>
      <c r="AE6199" s="498"/>
      <c r="AF6199" s="498"/>
      <c r="AG6199" s="498"/>
      <c r="AH6199" s="498"/>
      <c r="AI6199" s="498"/>
      <c r="AK6199" s="498"/>
      <c r="AL6199" s="498"/>
      <c r="AM6199" s="498"/>
      <c r="AN6199" s="498"/>
      <c r="AO6199" s="498"/>
      <c r="AP6199" s="498"/>
      <c r="AQ6199" s="498"/>
      <c r="AR6199" s="498"/>
      <c r="AS6199" s="498"/>
      <c r="AT6199" s="498"/>
      <c r="AU6199" s="498"/>
      <c r="AV6199" s="498"/>
      <c r="AW6199" s="498"/>
      <c r="AX6199" s="498"/>
      <c r="AY6199" s="498"/>
      <c r="AZ6199" s="498"/>
      <c r="BA6199" s="498"/>
    </row>
    <row r="6200" spans="1:53" s="499" customFormat="1" x14ac:dyDescent="0.25">
      <c r="A6200" s="500"/>
      <c r="B6200" s="501"/>
      <c r="C6200" s="502"/>
      <c r="D6200" s="497"/>
      <c r="E6200" s="497"/>
      <c r="F6200" s="502"/>
      <c r="G6200" s="497"/>
      <c r="H6200" s="497"/>
      <c r="I6200" s="497"/>
      <c r="J6200" s="497"/>
      <c r="K6200" s="500"/>
      <c r="L6200" s="497"/>
      <c r="M6200"/>
      <c r="N6200" s="498"/>
      <c r="O6200" s="498"/>
      <c r="P6200" s="498"/>
      <c r="Q6200" s="498"/>
      <c r="R6200" s="498"/>
      <c r="T6200" s="498"/>
      <c r="U6200" s="498"/>
      <c r="V6200" s="498"/>
      <c r="W6200" s="498"/>
      <c r="X6200" s="498"/>
      <c r="Y6200" s="498"/>
      <c r="Z6200" s="498"/>
      <c r="AA6200" s="498"/>
      <c r="AB6200" s="498"/>
      <c r="AC6200" s="498"/>
      <c r="AD6200" s="498"/>
      <c r="AE6200" s="498"/>
      <c r="AF6200" s="498"/>
      <c r="AG6200" s="498"/>
      <c r="AH6200" s="498"/>
      <c r="AI6200" s="498"/>
      <c r="AK6200" s="498"/>
      <c r="AL6200" s="498"/>
      <c r="AM6200" s="498"/>
      <c r="AN6200" s="498"/>
      <c r="AO6200" s="498"/>
      <c r="AP6200" s="498"/>
      <c r="AQ6200" s="498"/>
      <c r="AR6200" s="498"/>
      <c r="AS6200" s="498"/>
      <c r="AT6200" s="498"/>
      <c r="AU6200" s="498"/>
      <c r="AV6200" s="498"/>
      <c r="AW6200" s="498"/>
      <c r="AX6200" s="498"/>
      <c r="AY6200" s="498"/>
      <c r="AZ6200" s="498"/>
      <c r="BA6200" s="498"/>
    </row>
    <row r="6201" spans="1:53" s="499" customFormat="1" x14ac:dyDescent="0.25">
      <c r="A6201" s="500"/>
      <c r="B6201" s="501"/>
      <c r="C6201" s="502"/>
      <c r="D6201" s="497"/>
      <c r="E6201" s="497"/>
      <c r="F6201" s="502"/>
      <c r="G6201" s="497"/>
      <c r="H6201" s="497"/>
      <c r="I6201" s="497"/>
      <c r="J6201" s="497"/>
      <c r="K6201" s="500"/>
      <c r="L6201" s="497"/>
      <c r="M6201"/>
      <c r="N6201" s="498"/>
      <c r="O6201" s="498"/>
      <c r="P6201" s="498"/>
      <c r="Q6201" s="498"/>
      <c r="R6201" s="498"/>
      <c r="T6201" s="498"/>
      <c r="U6201" s="498"/>
      <c r="V6201" s="498"/>
      <c r="W6201" s="498"/>
      <c r="X6201" s="498"/>
      <c r="Y6201" s="498"/>
      <c r="Z6201" s="498"/>
      <c r="AA6201" s="498"/>
      <c r="AB6201" s="498"/>
      <c r="AC6201" s="498"/>
      <c r="AD6201" s="498"/>
      <c r="AE6201" s="498"/>
      <c r="AF6201" s="498"/>
      <c r="AG6201" s="498"/>
      <c r="AH6201" s="498"/>
      <c r="AI6201" s="498"/>
      <c r="AK6201" s="498"/>
      <c r="AL6201" s="498"/>
      <c r="AM6201" s="498"/>
      <c r="AN6201" s="498"/>
      <c r="AO6201" s="498"/>
      <c r="AP6201" s="498"/>
      <c r="AQ6201" s="498"/>
      <c r="AR6201" s="498"/>
      <c r="AS6201" s="498"/>
      <c r="AT6201" s="498"/>
      <c r="AU6201" s="498"/>
      <c r="AV6201" s="498"/>
      <c r="AW6201" s="498"/>
      <c r="AX6201" s="498"/>
      <c r="AY6201" s="498"/>
      <c r="AZ6201" s="498"/>
      <c r="BA6201" s="498"/>
    </row>
    <row r="6202" spans="1:53" s="499" customFormat="1" x14ac:dyDescent="0.25">
      <c r="A6202" s="500"/>
      <c r="B6202" s="501"/>
      <c r="C6202" s="502"/>
      <c r="D6202" s="497"/>
      <c r="E6202" s="497"/>
      <c r="F6202" s="502"/>
      <c r="G6202" s="497"/>
      <c r="H6202" s="497"/>
      <c r="I6202" s="497"/>
      <c r="J6202" s="497"/>
      <c r="K6202" s="500"/>
      <c r="L6202" s="497"/>
      <c r="M6202"/>
      <c r="N6202" s="498"/>
      <c r="O6202" s="498"/>
      <c r="P6202" s="498"/>
      <c r="Q6202" s="498"/>
      <c r="R6202" s="498"/>
      <c r="T6202" s="498"/>
      <c r="U6202" s="498"/>
      <c r="V6202" s="498"/>
      <c r="W6202" s="498"/>
      <c r="X6202" s="498"/>
      <c r="Y6202" s="498"/>
      <c r="Z6202" s="498"/>
      <c r="AA6202" s="498"/>
      <c r="AB6202" s="498"/>
      <c r="AC6202" s="498"/>
      <c r="AD6202" s="498"/>
      <c r="AE6202" s="498"/>
      <c r="AF6202" s="498"/>
      <c r="AG6202" s="498"/>
      <c r="AH6202" s="498"/>
      <c r="AI6202" s="498"/>
      <c r="AK6202" s="498"/>
      <c r="AL6202" s="498"/>
      <c r="AM6202" s="498"/>
      <c r="AN6202" s="498"/>
      <c r="AO6202" s="498"/>
      <c r="AP6202" s="498"/>
      <c r="AQ6202" s="498"/>
      <c r="AR6202" s="498"/>
      <c r="AS6202" s="498"/>
      <c r="AT6202" s="498"/>
      <c r="AU6202" s="498"/>
      <c r="AV6202" s="498"/>
      <c r="AW6202" s="498"/>
      <c r="AX6202" s="498"/>
      <c r="AY6202" s="498"/>
      <c r="AZ6202" s="498"/>
      <c r="BA6202" s="498"/>
    </row>
    <row r="6203" spans="1:53" s="499" customFormat="1" x14ac:dyDescent="0.25">
      <c r="A6203" s="500"/>
      <c r="B6203" s="501"/>
      <c r="C6203" s="502"/>
      <c r="D6203" s="497"/>
      <c r="E6203" s="497"/>
      <c r="F6203" s="502"/>
      <c r="G6203" s="497"/>
      <c r="H6203" s="497"/>
      <c r="I6203" s="497"/>
      <c r="J6203" s="497"/>
      <c r="K6203" s="500"/>
      <c r="L6203" s="497"/>
      <c r="M6203"/>
      <c r="N6203" s="498"/>
      <c r="O6203" s="498"/>
      <c r="P6203" s="498"/>
      <c r="Q6203" s="498"/>
      <c r="R6203" s="498"/>
      <c r="T6203" s="498"/>
      <c r="U6203" s="498"/>
      <c r="V6203" s="498"/>
      <c r="W6203" s="498"/>
      <c r="X6203" s="498"/>
      <c r="Y6203" s="498"/>
      <c r="Z6203" s="498"/>
      <c r="AA6203" s="498"/>
      <c r="AB6203" s="498"/>
      <c r="AC6203" s="498"/>
      <c r="AD6203" s="498"/>
      <c r="AE6203" s="498"/>
      <c r="AF6203" s="498"/>
      <c r="AG6203" s="498"/>
      <c r="AH6203" s="498"/>
      <c r="AI6203" s="498"/>
      <c r="AK6203" s="498"/>
      <c r="AL6203" s="498"/>
      <c r="AM6203" s="498"/>
      <c r="AN6203" s="498"/>
      <c r="AO6203" s="498"/>
      <c r="AP6203" s="498"/>
      <c r="AQ6203" s="498"/>
      <c r="AR6203" s="498"/>
      <c r="AS6203" s="498"/>
      <c r="AT6203" s="498"/>
      <c r="AU6203" s="498"/>
      <c r="AV6203" s="498"/>
      <c r="AW6203" s="498"/>
      <c r="AX6203" s="498"/>
      <c r="AY6203" s="498"/>
      <c r="AZ6203" s="498"/>
      <c r="BA6203" s="498"/>
    </row>
    <row r="6204" spans="1:53" s="499" customFormat="1" x14ac:dyDescent="0.25">
      <c r="A6204" s="500"/>
      <c r="B6204" s="501"/>
      <c r="C6204" s="502"/>
      <c r="D6204" s="497"/>
      <c r="E6204" s="497"/>
      <c r="F6204" s="502"/>
      <c r="G6204" s="497"/>
      <c r="H6204" s="497"/>
      <c r="I6204" s="497"/>
      <c r="J6204" s="497"/>
      <c r="K6204" s="500"/>
      <c r="L6204" s="497"/>
      <c r="M6204"/>
      <c r="N6204" s="498"/>
      <c r="O6204" s="498"/>
      <c r="P6204" s="498"/>
      <c r="Q6204" s="498"/>
      <c r="R6204" s="498"/>
      <c r="T6204" s="498"/>
      <c r="U6204" s="498"/>
      <c r="V6204" s="498"/>
      <c r="W6204" s="498"/>
      <c r="X6204" s="498"/>
      <c r="Y6204" s="498"/>
      <c r="Z6204" s="498"/>
      <c r="AA6204" s="498"/>
      <c r="AB6204" s="498"/>
      <c r="AC6204" s="498"/>
      <c r="AD6204" s="498"/>
      <c r="AE6204" s="498"/>
      <c r="AF6204" s="498"/>
      <c r="AG6204" s="498"/>
      <c r="AH6204" s="498"/>
      <c r="AI6204" s="498"/>
      <c r="AK6204" s="498"/>
      <c r="AL6204" s="498"/>
      <c r="AM6204" s="498"/>
      <c r="AN6204" s="498"/>
      <c r="AO6204" s="498"/>
      <c r="AP6204" s="498"/>
      <c r="AQ6204" s="498"/>
      <c r="AR6204" s="498"/>
      <c r="AS6204" s="498"/>
      <c r="AT6204" s="498"/>
      <c r="AU6204" s="498"/>
      <c r="AV6204" s="498"/>
      <c r="AW6204" s="498"/>
      <c r="AX6204" s="498"/>
      <c r="AY6204" s="498"/>
      <c r="AZ6204" s="498"/>
      <c r="BA6204" s="498"/>
    </row>
    <row r="6205" spans="1:53" s="499" customFormat="1" x14ac:dyDescent="0.25">
      <c r="A6205" s="500"/>
      <c r="B6205" s="501"/>
      <c r="C6205" s="502"/>
      <c r="D6205" s="497"/>
      <c r="E6205" s="497"/>
      <c r="F6205" s="502"/>
      <c r="G6205" s="497"/>
      <c r="H6205" s="497"/>
      <c r="I6205" s="497"/>
      <c r="J6205" s="497"/>
      <c r="K6205" s="500"/>
      <c r="L6205" s="497"/>
      <c r="M6205"/>
      <c r="N6205" s="498"/>
      <c r="O6205" s="498"/>
      <c r="P6205" s="498"/>
      <c r="Q6205" s="498"/>
      <c r="R6205" s="498"/>
      <c r="T6205" s="498"/>
      <c r="U6205" s="498"/>
      <c r="V6205" s="498"/>
      <c r="W6205" s="498"/>
      <c r="X6205" s="498"/>
      <c r="Y6205" s="498"/>
      <c r="Z6205" s="498"/>
      <c r="AA6205" s="498"/>
      <c r="AB6205" s="498"/>
      <c r="AC6205" s="498"/>
      <c r="AD6205" s="498"/>
      <c r="AE6205" s="498"/>
      <c r="AF6205" s="498"/>
      <c r="AG6205" s="498"/>
      <c r="AH6205" s="498"/>
      <c r="AI6205" s="498"/>
      <c r="AK6205" s="498"/>
      <c r="AL6205" s="498"/>
      <c r="AM6205" s="498"/>
      <c r="AN6205" s="498"/>
      <c r="AO6205" s="498"/>
      <c r="AP6205" s="498"/>
      <c r="AQ6205" s="498"/>
      <c r="AR6205" s="498"/>
      <c r="AS6205" s="498"/>
      <c r="AT6205" s="498"/>
      <c r="AU6205" s="498"/>
      <c r="AV6205" s="498"/>
      <c r="AW6205" s="498"/>
      <c r="AX6205" s="498"/>
      <c r="AY6205" s="498"/>
      <c r="AZ6205" s="498"/>
      <c r="BA6205" s="498"/>
    </row>
    <row r="6206" spans="1:53" s="499" customFormat="1" x14ac:dyDescent="0.25">
      <c r="A6206" s="500"/>
      <c r="B6206" s="501"/>
      <c r="C6206" s="502"/>
      <c r="D6206" s="497"/>
      <c r="E6206" s="497"/>
      <c r="F6206" s="502"/>
      <c r="G6206" s="497"/>
      <c r="H6206" s="497"/>
      <c r="I6206" s="497"/>
      <c r="J6206" s="497"/>
      <c r="K6206" s="500"/>
      <c r="L6206" s="497"/>
      <c r="M6206"/>
      <c r="N6206" s="498"/>
      <c r="O6206" s="498"/>
      <c r="P6206" s="498"/>
      <c r="Q6206" s="498"/>
      <c r="R6206" s="498"/>
      <c r="T6206" s="498"/>
      <c r="U6206" s="498"/>
      <c r="V6206" s="498"/>
      <c r="W6206" s="498"/>
      <c r="X6206" s="498"/>
      <c r="Y6206" s="498"/>
      <c r="Z6206" s="498"/>
      <c r="AA6206" s="498"/>
      <c r="AB6206" s="498"/>
      <c r="AC6206" s="498"/>
      <c r="AD6206" s="498"/>
      <c r="AE6206" s="498"/>
      <c r="AF6206" s="498"/>
      <c r="AG6206" s="498"/>
      <c r="AH6206" s="498"/>
      <c r="AI6206" s="498"/>
      <c r="AK6206" s="498"/>
      <c r="AL6206" s="498"/>
      <c r="AM6206" s="498"/>
      <c r="AN6206" s="498"/>
      <c r="AO6206" s="498"/>
      <c r="AP6206" s="498"/>
      <c r="AQ6206" s="498"/>
      <c r="AR6206" s="498"/>
      <c r="AS6206" s="498"/>
      <c r="AT6206" s="498"/>
      <c r="AU6206" s="498"/>
      <c r="AV6206" s="498"/>
      <c r="AW6206" s="498"/>
      <c r="AX6206" s="498"/>
      <c r="AY6206" s="498"/>
      <c r="AZ6206" s="498"/>
      <c r="BA6206" s="498"/>
    </row>
    <row r="6207" spans="1:53" s="499" customFormat="1" x14ac:dyDescent="0.25">
      <c r="A6207" s="500"/>
      <c r="B6207" s="501"/>
      <c r="C6207" s="502"/>
      <c r="D6207" s="497"/>
      <c r="E6207" s="497"/>
      <c r="F6207" s="502"/>
      <c r="G6207" s="497"/>
      <c r="H6207" s="497"/>
      <c r="I6207" s="497"/>
      <c r="J6207" s="497"/>
      <c r="K6207" s="500"/>
      <c r="L6207" s="497"/>
      <c r="M6207"/>
      <c r="N6207" s="498"/>
      <c r="O6207" s="498"/>
      <c r="P6207" s="498"/>
      <c r="Q6207" s="498"/>
      <c r="R6207" s="498"/>
      <c r="T6207" s="498"/>
      <c r="U6207" s="498"/>
      <c r="V6207" s="498"/>
      <c r="W6207" s="498"/>
      <c r="X6207" s="498"/>
      <c r="Y6207" s="498"/>
      <c r="Z6207" s="498"/>
      <c r="AA6207" s="498"/>
      <c r="AB6207" s="498"/>
      <c r="AC6207" s="498"/>
      <c r="AD6207" s="498"/>
      <c r="AE6207" s="498"/>
      <c r="AF6207" s="498"/>
      <c r="AG6207" s="498"/>
      <c r="AH6207" s="498"/>
      <c r="AI6207" s="498"/>
      <c r="AK6207" s="498"/>
      <c r="AL6207" s="498"/>
      <c r="AM6207" s="498"/>
      <c r="AN6207" s="498"/>
      <c r="AO6207" s="498"/>
      <c r="AP6207" s="498"/>
      <c r="AQ6207" s="498"/>
      <c r="AR6207" s="498"/>
      <c r="AS6207" s="498"/>
      <c r="AT6207" s="498"/>
      <c r="AU6207" s="498"/>
      <c r="AV6207" s="498"/>
      <c r="AW6207" s="498"/>
      <c r="AX6207" s="498"/>
      <c r="AY6207" s="498"/>
      <c r="AZ6207" s="498"/>
      <c r="BA6207" s="498"/>
    </row>
    <row r="6208" spans="1:53" s="499" customFormat="1" x14ac:dyDescent="0.25">
      <c r="A6208" s="500"/>
      <c r="B6208" s="501"/>
      <c r="C6208" s="502"/>
      <c r="D6208" s="497"/>
      <c r="E6208" s="497"/>
      <c r="F6208" s="502"/>
      <c r="G6208" s="497"/>
      <c r="H6208" s="497"/>
      <c r="I6208" s="497"/>
      <c r="J6208" s="497"/>
      <c r="K6208" s="500"/>
      <c r="L6208" s="497"/>
      <c r="M6208"/>
      <c r="N6208" s="498"/>
      <c r="O6208" s="498"/>
      <c r="P6208" s="498"/>
      <c r="Q6208" s="498"/>
      <c r="R6208" s="498"/>
      <c r="T6208" s="498"/>
      <c r="U6208" s="498"/>
      <c r="V6208" s="498"/>
      <c r="W6208" s="498"/>
      <c r="X6208" s="498"/>
      <c r="Y6208" s="498"/>
      <c r="Z6208" s="498"/>
      <c r="AA6208" s="498"/>
      <c r="AB6208" s="498"/>
      <c r="AC6208" s="498"/>
      <c r="AD6208" s="498"/>
      <c r="AE6208" s="498"/>
      <c r="AF6208" s="498"/>
      <c r="AG6208" s="498"/>
      <c r="AH6208" s="498"/>
      <c r="AI6208" s="498"/>
      <c r="AK6208" s="498"/>
      <c r="AL6208" s="498"/>
      <c r="AM6208" s="498"/>
      <c r="AN6208" s="498"/>
      <c r="AO6208" s="498"/>
      <c r="AP6208" s="498"/>
      <c r="AQ6208" s="498"/>
      <c r="AR6208" s="498"/>
      <c r="AS6208" s="498"/>
      <c r="AT6208" s="498"/>
      <c r="AU6208" s="498"/>
      <c r="AV6208" s="498"/>
      <c r="AW6208" s="498"/>
      <c r="AX6208" s="498"/>
      <c r="AY6208" s="498"/>
      <c r="AZ6208" s="498"/>
      <c r="BA6208" s="498"/>
    </row>
    <row r="6209" spans="1:53" s="499" customFormat="1" x14ac:dyDescent="0.25">
      <c r="A6209" s="500"/>
      <c r="B6209" s="501"/>
      <c r="C6209" s="502"/>
      <c r="D6209" s="497"/>
      <c r="E6209" s="497"/>
      <c r="F6209" s="502"/>
      <c r="G6209" s="497"/>
      <c r="H6209" s="497"/>
      <c r="I6209" s="497"/>
      <c r="J6209" s="497"/>
      <c r="K6209" s="500"/>
      <c r="L6209" s="497"/>
      <c r="M6209"/>
      <c r="N6209" s="498"/>
      <c r="O6209" s="498"/>
      <c r="P6209" s="498"/>
      <c r="Q6209" s="498"/>
      <c r="R6209" s="498"/>
      <c r="T6209" s="498"/>
      <c r="U6209" s="498"/>
      <c r="V6209" s="498"/>
      <c r="W6209" s="498"/>
      <c r="X6209" s="498"/>
      <c r="Y6209" s="498"/>
      <c r="Z6209" s="498"/>
      <c r="AA6209" s="498"/>
      <c r="AB6209" s="498"/>
      <c r="AC6209" s="498"/>
      <c r="AD6209" s="498"/>
      <c r="AE6209" s="498"/>
      <c r="AF6209" s="498"/>
      <c r="AG6209" s="498"/>
      <c r="AH6209" s="498"/>
      <c r="AI6209" s="498"/>
      <c r="AK6209" s="498"/>
      <c r="AL6209" s="498"/>
      <c r="AM6209" s="498"/>
      <c r="AN6209" s="498"/>
      <c r="AO6209" s="498"/>
      <c r="AP6209" s="498"/>
      <c r="AQ6209" s="498"/>
      <c r="AR6209" s="498"/>
      <c r="AS6209" s="498"/>
      <c r="AT6209" s="498"/>
      <c r="AU6209" s="498"/>
      <c r="AV6209" s="498"/>
      <c r="AW6209" s="498"/>
      <c r="AX6209" s="498"/>
      <c r="AY6209" s="498"/>
      <c r="AZ6209" s="498"/>
      <c r="BA6209" s="498"/>
    </row>
    <row r="6210" spans="1:53" s="499" customFormat="1" x14ac:dyDescent="0.25">
      <c r="A6210" s="500"/>
      <c r="B6210" s="501"/>
      <c r="C6210" s="502"/>
      <c r="D6210" s="497"/>
      <c r="E6210" s="497"/>
      <c r="F6210" s="502"/>
      <c r="G6210" s="497"/>
      <c r="H6210" s="497"/>
      <c r="I6210" s="497"/>
      <c r="J6210" s="497"/>
      <c r="K6210" s="500"/>
      <c r="L6210" s="497"/>
      <c r="M6210"/>
      <c r="N6210" s="498"/>
      <c r="O6210" s="498"/>
      <c r="P6210" s="498"/>
      <c r="Q6210" s="498"/>
      <c r="R6210" s="498"/>
      <c r="T6210" s="498"/>
      <c r="U6210" s="498"/>
      <c r="V6210" s="498"/>
      <c r="W6210" s="498"/>
      <c r="X6210" s="498"/>
      <c r="Y6210" s="498"/>
      <c r="Z6210" s="498"/>
      <c r="AA6210" s="498"/>
      <c r="AB6210" s="498"/>
      <c r="AC6210" s="498"/>
      <c r="AD6210" s="498"/>
      <c r="AE6210" s="498"/>
      <c r="AF6210" s="498"/>
      <c r="AG6210" s="498"/>
      <c r="AH6210" s="498"/>
      <c r="AI6210" s="498"/>
      <c r="AK6210" s="498"/>
      <c r="AL6210" s="498"/>
      <c r="AM6210" s="498"/>
      <c r="AN6210" s="498"/>
      <c r="AO6210" s="498"/>
      <c r="AP6210" s="498"/>
      <c r="AQ6210" s="498"/>
      <c r="AR6210" s="498"/>
      <c r="AS6210" s="498"/>
      <c r="AT6210" s="498"/>
      <c r="AU6210" s="498"/>
      <c r="AV6210" s="498"/>
      <c r="AW6210" s="498"/>
      <c r="AX6210" s="498"/>
      <c r="AY6210" s="498"/>
      <c r="AZ6210" s="498"/>
      <c r="BA6210" s="498"/>
    </row>
    <row r="6211" spans="1:53" s="499" customFormat="1" x14ac:dyDescent="0.25">
      <c r="A6211" s="500"/>
      <c r="B6211" s="501"/>
      <c r="C6211" s="502"/>
      <c r="D6211" s="497"/>
      <c r="E6211" s="497"/>
      <c r="F6211" s="502"/>
      <c r="G6211" s="497"/>
      <c r="H6211" s="497"/>
      <c r="I6211" s="497"/>
      <c r="J6211" s="497"/>
      <c r="K6211" s="500"/>
      <c r="L6211" s="497"/>
      <c r="M6211"/>
      <c r="N6211" s="498"/>
      <c r="O6211" s="498"/>
      <c r="P6211" s="498"/>
      <c r="Q6211" s="498"/>
      <c r="R6211" s="498"/>
      <c r="T6211" s="498"/>
      <c r="U6211" s="498"/>
      <c r="V6211" s="498"/>
      <c r="W6211" s="498"/>
      <c r="X6211" s="498"/>
      <c r="Y6211" s="498"/>
      <c r="Z6211" s="498"/>
      <c r="AA6211" s="498"/>
      <c r="AB6211" s="498"/>
      <c r="AC6211" s="498"/>
      <c r="AD6211" s="498"/>
      <c r="AE6211" s="498"/>
      <c r="AF6211" s="498"/>
      <c r="AG6211" s="498"/>
      <c r="AH6211" s="498"/>
      <c r="AI6211" s="498"/>
      <c r="AK6211" s="498"/>
      <c r="AL6211" s="498"/>
      <c r="AM6211" s="498"/>
      <c r="AN6211" s="498"/>
      <c r="AO6211" s="498"/>
      <c r="AP6211" s="498"/>
      <c r="AQ6211" s="498"/>
      <c r="AR6211" s="498"/>
      <c r="AS6211" s="498"/>
      <c r="AT6211" s="498"/>
      <c r="AU6211" s="498"/>
      <c r="AV6211" s="498"/>
      <c r="AW6211" s="498"/>
      <c r="AX6211" s="498"/>
      <c r="AY6211" s="498"/>
      <c r="AZ6211" s="498"/>
      <c r="BA6211" s="498"/>
    </row>
    <row r="6212" spans="1:53" s="499" customFormat="1" x14ac:dyDescent="0.25">
      <c r="A6212" s="500"/>
      <c r="B6212" s="501"/>
      <c r="C6212" s="502"/>
      <c r="D6212" s="497"/>
      <c r="E6212" s="497"/>
      <c r="F6212" s="502"/>
      <c r="G6212" s="497"/>
      <c r="H6212" s="497"/>
      <c r="I6212" s="497"/>
      <c r="J6212" s="497"/>
      <c r="K6212" s="500"/>
      <c r="L6212" s="497"/>
      <c r="M6212"/>
      <c r="N6212" s="498"/>
      <c r="O6212" s="498"/>
      <c r="P6212" s="498"/>
      <c r="Q6212" s="498"/>
      <c r="R6212" s="498"/>
      <c r="T6212" s="498"/>
      <c r="U6212" s="498"/>
      <c r="V6212" s="498"/>
      <c r="W6212" s="498"/>
      <c r="X6212" s="498"/>
      <c r="Y6212" s="498"/>
      <c r="Z6212" s="498"/>
      <c r="AA6212" s="498"/>
      <c r="AB6212" s="498"/>
      <c r="AC6212" s="498"/>
      <c r="AD6212" s="498"/>
      <c r="AE6212" s="498"/>
      <c r="AF6212" s="498"/>
      <c r="AG6212" s="498"/>
      <c r="AH6212" s="498"/>
      <c r="AI6212" s="498"/>
      <c r="AK6212" s="498"/>
      <c r="AL6212" s="498"/>
      <c r="AM6212" s="498"/>
      <c r="AN6212" s="498"/>
      <c r="AO6212" s="498"/>
      <c r="AP6212" s="498"/>
      <c r="AQ6212" s="498"/>
      <c r="AR6212" s="498"/>
      <c r="AS6212" s="498"/>
      <c r="AT6212" s="498"/>
      <c r="AU6212" s="498"/>
      <c r="AV6212" s="498"/>
      <c r="AW6212" s="498"/>
      <c r="AX6212" s="498"/>
      <c r="AY6212" s="498"/>
      <c r="AZ6212" s="498"/>
      <c r="BA6212" s="498"/>
    </row>
    <row r="6213" spans="1:53" s="499" customFormat="1" x14ac:dyDescent="0.25">
      <c r="A6213" s="500"/>
      <c r="B6213" s="501"/>
      <c r="C6213" s="502"/>
      <c r="D6213" s="497"/>
      <c r="E6213" s="497"/>
      <c r="F6213" s="502"/>
      <c r="G6213" s="497"/>
      <c r="H6213" s="497"/>
      <c r="I6213" s="497"/>
      <c r="J6213" s="497"/>
      <c r="K6213" s="500"/>
      <c r="L6213" s="497"/>
      <c r="M6213"/>
      <c r="N6213" s="498"/>
      <c r="O6213" s="498"/>
      <c r="P6213" s="498"/>
      <c r="Q6213" s="498"/>
      <c r="R6213" s="498"/>
      <c r="T6213" s="498"/>
      <c r="U6213" s="498"/>
      <c r="V6213" s="498"/>
      <c r="W6213" s="498"/>
      <c r="X6213" s="498"/>
      <c r="Y6213" s="498"/>
      <c r="Z6213" s="498"/>
      <c r="AA6213" s="498"/>
      <c r="AB6213" s="498"/>
      <c r="AC6213" s="498"/>
      <c r="AD6213" s="498"/>
      <c r="AE6213" s="498"/>
      <c r="AF6213" s="498"/>
      <c r="AG6213" s="498"/>
      <c r="AH6213" s="498"/>
      <c r="AI6213" s="498"/>
      <c r="AK6213" s="498"/>
      <c r="AL6213" s="498"/>
      <c r="AM6213" s="498"/>
      <c r="AN6213" s="498"/>
      <c r="AO6213" s="498"/>
      <c r="AP6213" s="498"/>
      <c r="AQ6213" s="498"/>
      <c r="AR6213" s="498"/>
      <c r="AS6213" s="498"/>
      <c r="AT6213" s="498"/>
      <c r="AU6213" s="498"/>
      <c r="AV6213" s="498"/>
      <c r="AW6213" s="498"/>
      <c r="AX6213" s="498"/>
      <c r="AY6213" s="498"/>
      <c r="AZ6213" s="498"/>
      <c r="BA6213" s="498"/>
    </row>
    <row r="6214" spans="1:53" s="499" customFormat="1" x14ac:dyDescent="0.25">
      <c r="A6214" s="500"/>
      <c r="B6214" s="501"/>
      <c r="C6214" s="502"/>
      <c r="D6214" s="497"/>
      <c r="E6214" s="497"/>
      <c r="F6214" s="502"/>
      <c r="G6214" s="497"/>
      <c r="H6214" s="497"/>
      <c r="I6214" s="497"/>
      <c r="J6214" s="497"/>
      <c r="K6214" s="500"/>
      <c r="L6214" s="497"/>
      <c r="M6214"/>
      <c r="N6214" s="498"/>
      <c r="O6214" s="498"/>
      <c r="P6214" s="498"/>
      <c r="Q6214" s="498"/>
      <c r="R6214" s="498"/>
      <c r="T6214" s="498"/>
      <c r="U6214" s="498"/>
      <c r="V6214" s="498"/>
      <c r="W6214" s="498"/>
      <c r="X6214" s="498"/>
      <c r="Y6214" s="498"/>
      <c r="Z6214" s="498"/>
      <c r="AA6214" s="498"/>
      <c r="AB6214" s="498"/>
      <c r="AC6214" s="498"/>
      <c r="AD6214" s="498"/>
      <c r="AE6214" s="498"/>
      <c r="AF6214" s="498"/>
      <c r="AG6214" s="498"/>
      <c r="AH6214" s="498"/>
      <c r="AI6214" s="498"/>
      <c r="AK6214" s="498"/>
      <c r="AL6214" s="498"/>
      <c r="AM6214" s="498"/>
      <c r="AN6214" s="498"/>
      <c r="AO6214" s="498"/>
      <c r="AP6214" s="498"/>
      <c r="AQ6214" s="498"/>
      <c r="AR6214" s="498"/>
      <c r="AS6214" s="498"/>
      <c r="AT6214" s="498"/>
      <c r="AU6214" s="498"/>
      <c r="AV6214" s="498"/>
      <c r="AW6214" s="498"/>
      <c r="AX6214" s="498"/>
      <c r="AY6214" s="498"/>
      <c r="AZ6214" s="498"/>
      <c r="BA6214" s="498"/>
    </row>
    <row r="6215" spans="1:53" s="499" customFormat="1" x14ac:dyDescent="0.25">
      <c r="A6215" s="500"/>
      <c r="B6215" s="501"/>
      <c r="C6215" s="502"/>
      <c r="D6215" s="497"/>
      <c r="E6215" s="497"/>
      <c r="F6215" s="502"/>
      <c r="G6215" s="497"/>
      <c r="H6215" s="497"/>
      <c r="I6215" s="497"/>
      <c r="J6215" s="497"/>
      <c r="K6215" s="500"/>
      <c r="L6215" s="497"/>
      <c r="M6215"/>
      <c r="N6215" s="498"/>
      <c r="O6215" s="498"/>
      <c r="P6215" s="498"/>
      <c r="Q6215" s="498"/>
      <c r="R6215" s="498"/>
      <c r="T6215" s="498"/>
      <c r="U6215" s="498"/>
      <c r="V6215" s="498"/>
      <c r="W6215" s="498"/>
      <c r="X6215" s="498"/>
      <c r="Y6215" s="498"/>
      <c r="Z6215" s="498"/>
      <c r="AA6215" s="498"/>
      <c r="AB6215" s="498"/>
      <c r="AC6215" s="498"/>
      <c r="AD6215" s="498"/>
      <c r="AE6215" s="498"/>
      <c r="AF6215" s="498"/>
      <c r="AG6215" s="498"/>
      <c r="AH6215" s="498"/>
      <c r="AI6215" s="498"/>
      <c r="AK6215" s="498"/>
      <c r="AL6215" s="498"/>
      <c r="AM6215" s="498"/>
      <c r="AN6215" s="498"/>
      <c r="AO6215" s="498"/>
      <c r="AP6215" s="498"/>
      <c r="AQ6215" s="498"/>
      <c r="AR6215" s="498"/>
      <c r="AS6215" s="498"/>
      <c r="AT6215" s="498"/>
      <c r="AU6215" s="498"/>
      <c r="AV6215" s="498"/>
      <c r="AW6215" s="498"/>
      <c r="AX6215" s="498"/>
      <c r="AY6215" s="498"/>
      <c r="AZ6215" s="498"/>
      <c r="BA6215" s="498"/>
    </row>
    <row r="6216" spans="1:53" s="499" customFormat="1" x14ac:dyDescent="0.25">
      <c r="A6216" s="500"/>
      <c r="B6216" s="501"/>
      <c r="C6216" s="502"/>
      <c r="D6216" s="497"/>
      <c r="E6216" s="497"/>
      <c r="F6216" s="502"/>
      <c r="G6216" s="497"/>
      <c r="H6216" s="497"/>
      <c r="I6216" s="497"/>
      <c r="J6216" s="497"/>
      <c r="K6216" s="500"/>
      <c r="L6216" s="497"/>
      <c r="M6216"/>
      <c r="N6216" s="498"/>
      <c r="O6216" s="498"/>
      <c r="P6216" s="498"/>
      <c r="Q6216" s="498"/>
      <c r="R6216" s="498"/>
      <c r="T6216" s="498"/>
      <c r="U6216" s="498"/>
      <c r="V6216" s="498"/>
      <c r="W6216" s="498"/>
      <c r="X6216" s="498"/>
      <c r="Y6216" s="498"/>
      <c r="Z6216" s="498"/>
      <c r="AA6216" s="498"/>
      <c r="AB6216" s="498"/>
      <c r="AC6216" s="498"/>
      <c r="AD6216" s="498"/>
      <c r="AE6216" s="498"/>
      <c r="AF6216" s="498"/>
      <c r="AG6216" s="498"/>
      <c r="AH6216" s="498"/>
      <c r="AI6216" s="498"/>
      <c r="AK6216" s="498"/>
      <c r="AL6216" s="498"/>
      <c r="AM6216" s="498"/>
      <c r="AN6216" s="498"/>
      <c r="AO6216" s="498"/>
      <c r="AP6216" s="498"/>
      <c r="AQ6216" s="498"/>
      <c r="AR6216" s="498"/>
      <c r="AS6216" s="498"/>
      <c r="AT6216" s="498"/>
      <c r="AU6216" s="498"/>
      <c r="AV6216" s="498"/>
      <c r="AW6216" s="498"/>
      <c r="AX6216" s="498"/>
      <c r="AY6216" s="498"/>
      <c r="AZ6216" s="498"/>
      <c r="BA6216" s="498"/>
    </row>
    <row r="6217" spans="1:53" s="499" customFormat="1" x14ac:dyDescent="0.25">
      <c r="A6217" s="500"/>
      <c r="B6217" s="501"/>
      <c r="C6217" s="502"/>
      <c r="D6217" s="497"/>
      <c r="E6217" s="497"/>
      <c r="F6217" s="502"/>
      <c r="G6217" s="497"/>
      <c r="H6217" s="497"/>
      <c r="I6217" s="497"/>
      <c r="J6217" s="497"/>
      <c r="K6217" s="500"/>
      <c r="L6217" s="497"/>
      <c r="M6217"/>
      <c r="N6217" s="498"/>
      <c r="O6217" s="498"/>
      <c r="P6217" s="498"/>
      <c r="Q6217" s="498"/>
      <c r="R6217" s="498"/>
      <c r="T6217" s="498"/>
      <c r="U6217" s="498"/>
      <c r="V6217" s="498"/>
      <c r="W6217" s="498"/>
      <c r="X6217" s="498"/>
      <c r="Y6217" s="498"/>
      <c r="Z6217" s="498"/>
      <c r="AA6217" s="498"/>
      <c r="AB6217" s="498"/>
      <c r="AC6217" s="498"/>
      <c r="AD6217" s="498"/>
      <c r="AE6217" s="498"/>
      <c r="AF6217" s="498"/>
      <c r="AG6217" s="498"/>
      <c r="AH6217" s="498"/>
      <c r="AI6217" s="498"/>
      <c r="AK6217" s="498"/>
      <c r="AL6217" s="498"/>
      <c r="AM6217" s="498"/>
      <c r="AN6217" s="498"/>
      <c r="AO6217" s="498"/>
      <c r="AP6217" s="498"/>
      <c r="AQ6217" s="498"/>
      <c r="AR6217" s="498"/>
      <c r="AS6217" s="498"/>
      <c r="AT6217" s="498"/>
      <c r="AU6217" s="498"/>
      <c r="AV6217" s="498"/>
      <c r="AW6217" s="498"/>
      <c r="AX6217" s="498"/>
      <c r="AY6217" s="498"/>
      <c r="AZ6217" s="498"/>
      <c r="BA6217" s="498"/>
    </row>
    <row r="6218" spans="1:53" s="499" customFormat="1" x14ac:dyDescent="0.25">
      <c r="A6218" s="500"/>
      <c r="B6218" s="501"/>
      <c r="C6218" s="502"/>
      <c r="D6218" s="497"/>
      <c r="E6218" s="497"/>
      <c r="F6218" s="502"/>
      <c r="G6218" s="497"/>
      <c r="H6218" s="497"/>
      <c r="I6218" s="497"/>
      <c r="J6218" s="497"/>
      <c r="K6218" s="500"/>
      <c r="L6218" s="497"/>
      <c r="M6218"/>
      <c r="N6218" s="498"/>
      <c r="O6218" s="498"/>
      <c r="P6218" s="498"/>
      <c r="Q6218" s="498"/>
      <c r="R6218" s="498"/>
      <c r="T6218" s="498"/>
      <c r="U6218" s="498"/>
      <c r="V6218" s="498"/>
      <c r="W6218" s="498"/>
      <c r="X6218" s="498"/>
      <c r="Y6218" s="498"/>
      <c r="Z6218" s="498"/>
      <c r="AA6218" s="498"/>
      <c r="AB6218" s="498"/>
      <c r="AC6218" s="498"/>
      <c r="AD6218" s="498"/>
      <c r="AE6218" s="498"/>
      <c r="AF6218" s="498"/>
      <c r="AG6218" s="498"/>
      <c r="AH6218" s="498"/>
      <c r="AI6218" s="498"/>
      <c r="AK6218" s="498"/>
      <c r="AL6218" s="498"/>
      <c r="AM6218" s="498"/>
      <c r="AN6218" s="498"/>
      <c r="AO6218" s="498"/>
      <c r="AP6218" s="498"/>
      <c r="AQ6218" s="498"/>
      <c r="AR6218" s="498"/>
      <c r="AS6218" s="498"/>
      <c r="AT6218" s="498"/>
      <c r="AU6218" s="498"/>
      <c r="AV6218" s="498"/>
      <c r="AW6218" s="498"/>
      <c r="AX6218" s="498"/>
      <c r="AY6218" s="498"/>
      <c r="AZ6218" s="498"/>
      <c r="BA6218" s="498"/>
    </row>
    <row r="6219" spans="1:53" s="499" customFormat="1" x14ac:dyDescent="0.25">
      <c r="A6219" s="500"/>
      <c r="B6219" s="501"/>
      <c r="C6219" s="502"/>
      <c r="D6219" s="497"/>
      <c r="E6219" s="497"/>
      <c r="F6219" s="502"/>
      <c r="G6219" s="497"/>
      <c r="H6219" s="497"/>
      <c r="I6219" s="497"/>
      <c r="J6219" s="497"/>
      <c r="K6219" s="500"/>
      <c r="L6219" s="497"/>
      <c r="M6219"/>
      <c r="N6219" s="498"/>
      <c r="O6219" s="498"/>
      <c r="P6219" s="498"/>
      <c r="Q6219" s="498"/>
      <c r="R6219" s="498"/>
      <c r="T6219" s="498"/>
      <c r="U6219" s="498"/>
      <c r="V6219" s="498"/>
      <c r="W6219" s="498"/>
      <c r="X6219" s="498"/>
      <c r="Y6219" s="498"/>
      <c r="Z6219" s="498"/>
      <c r="AA6219" s="498"/>
      <c r="AB6219" s="498"/>
      <c r="AC6219" s="498"/>
      <c r="AD6219" s="498"/>
      <c r="AE6219" s="498"/>
      <c r="AF6219" s="498"/>
      <c r="AG6219" s="498"/>
      <c r="AH6219" s="498"/>
      <c r="AI6219" s="498"/>
      <c r="AK6219" s="498"/>
      <c r="AL6219" s="498"/>
      <c r="AM6219" s="498"/>
      <c r="AN6219" s="498"/>
      <c r="AO6219" s="498"/>
      <c r="AP6219" s="498"/>
      <c r="AQ6219" s="498"/>
      <c r="AR6219" s="498"/>
      <c r="AS6219" s="498"/>
      <c r="AT6219" s="498"/>
      <c r="AU6219" s="498"/>
      <c r="AV6219" s="498"/>
      <c r="AW6219" s="498"/>
      <c r="AX6219" s="498"/>
      <c r="AY6219" s="498"/>
      <c r="AZ6219" s="498"/>
      <c r="BA6219" s="498"/>
    </row>
    <row r="6220" spans="1:53" s="499" customFormat="1" x14ac:dyDescent="0.25">
      <c r="A6220" s="500"/>
      <c r="B6220" s="501"/>
      <c r="C6220" s="502"/>
      <c r="D6220" s="497"/>
      <c r="E6220" s="497"/>
      <c r="F6220" s="502"/>
      <c r="G6220" s="497"/>
      <c r="H6220" s="497"/>
      <c r="I6220" s="497"/>
      <c r="J6220" s="497"/>
      <c r="K6220" s="500"/>
      <c r="L6220" s="497"/>
      <c r="M6220"/>
      <c r="N6220" s="498"/>
      <c r="O6220" s="498"/>
      <c r="P6220" s="498"/>
      <c r="Q6220" s="498"/>
      <c r="R6220" s="498"/>
      <c r="T6220" s="498"/>
      <c r="U6220" s="498"/>
      <c r="V6220" s="498"/>
      <c r="W6220" s="498"/>
      <c r="X6220" s="498"/>
      <c r="Y6220" s="498"/>
      <c r="Z6220" s="498"/>
      <c r="AA6220" s="498"/>
      <c r="AB6220" s="498"/>
      <c r="AC6220" s="498"/>
      <c r="AD6220" s="498"/>
      <c r="AE6220" s="498"/>
      <c r="AF6220" s="498"/>
      <c r="AG6220" s="498"/>
      <c r="AH6220" s="498"/>
      <c r="AI6220" s="498"/>
      <c r="AK6220" s="498"/>
      <c r="AL6220" s="498"/>
      <c r="AM6220" s="498"/>
      <c r="AN6220" s="498"/>
      <c r="AO6220" s="498"/>
      <c r="AP6220" s="498"/>
      <c r="AQ6220" s="498"/>
      <c r="AR6220" s="498"/>
      <c r="AS6220" s="498"/>
      <c r="AT6220" s="498"/>
      <c r="AU6220" s="498"/>
      <c r="AV6220" s="498"/>
      <c r="AW6220" s="498"/>
      <c r="AX6220" s="498"/>
      <c r="AY6220" s="498"/>
      <c r="AZ6220" s="498"/>
      <c r="BA6220" s="498"/>
    </row>
    <row r="6221" spans="1:53" s="499" customFormat="1" x14ac:dyDescent="0.25">
      <c r="A6221" s="500"/>
      <c r="B6221" s="501"/>
      <c r="C6221" s="502"/>
      <c r="D6221" s="497"/>
      <c r="E6221" s="497"/>
      <c r="F6221" s="502"/>
      <c r="G6221" s="497"/>
      <c r="H6221" s="497"/>
      <c r="I6221" s="497"/>
      <c r="J6221" s="497"/>
      <c r="K6221" s="500"/>
      <c r="L6221" s="497"/>
      <c r="M6221"/>
      <c r="N6221" s="498"/>
      <c r="O6221" s="498"/>
      <c r="P6221" s="498"/>
      <c r="Q6221" s="498"/>
      <c r="R6221" s="498"/>
      <c r="T6221" s="498"/>
      <c r="U6221" s="498"/>
      <c r="V6221" s="498"/>
      <c r="W6221" s="498"/>
      <c r="X6221" s="498"/>
      <c r="Y6221" s="498"/>
      <c r="Z6221" s="498"/>
      <c r="AA6221" s="498"/>
      <c r="AB6221" s="498"/>
      <c r="AC6221" s="498"/>
      <c r="AD6221" s="498"/>
      <c r="AE6221" s="498"/>
      <c r="AF6221" s="498"/>
      <c r="AG6221" s="498"/>
      <c r="AH6221" s="498"/>
      <c r="AI6221" s="498"/>
      <c r="AK6221" s="498"/>
      <c r="AL6221" s="498"/>
      <c r="AM6221" s="498"/>
      <c r="AN6221" s="498"/>
      <c r="AO6221" s="498"/>
      <c r="AP6221" s="498"/>
      <c r="AQ6221" s="498"/>
      <c r="AR6221" s="498"/>
      <c r="AS6221" s="498"/>
      <c r="AT6221" s="498"/>
      <c r="AU6221" s="498"/>
      <c r="AV6221" s="498"/>
      <c r="AW6221" s="498"/>
      <c r="AX6221" s="498"/>
      <c r="AY6221" s="498"/>
      <c r="AZ6221" s="498"/>
      <c r="BA6221" s="498"/>
    </row>
    <row r="6222" spans="1:53" s="499" customFormat="1" x14ac:dyDescent="0.25">
      <c r="A6222" s="500"/>
      <c r="B6222" s="501"/>
      <c r="C6222" s="502"/>
      <c r="D6222" s="497"/>
      <c r="E6222" s="497"/>
      <c r="F6222" s="502"/>
      <c r="G6222" s="497"/>
      <c r="H6222" s="497"/>
      <c r="I6222" s="497"/>
      <c r="J6222" s="497"/>
      <c r="K6222" s="500"/>
      <c r="L6222" s="497"/>
      <c r="M6222"/>
      <c r="N6222" s="498"/>
      <c r="O6222" s="498"/>
      <c r="P6222" s="498"/>
      <c r="Q6222" s="498"/>
      <c r="R6222" s="498"/>
      <c r="T6222" s="498"/>
      <c r="U6222" s="498"/>
      <c r="V6222" s="498"/>
      <c r="W6222" s="498"/>
      <c r="X6222" s="498"/>
      <c r="Y6222" s="498"/>
      <c r="Z6222" s="498"/>
      <c r="AA6222" s="498"/>
      <c r="AB6222" s="498"/>
      <c r="AC6222" s="498"/>
      <c r="AD6222" s="498"/>
      <c r="AE6222" s="498"/>
      <c r="AF6222" s="498"/>
      <c r="AG6222" s="498"/>
      <c r="AH6222" s="498"/>
      <c r="AI6222" s="498"/>
      <c r="AK6222" s="498"/>
      <c r="AL6222" s="498"/>
      <c r="AM6222" s="498"/>
      <c r="AN6222" s="498"/>
      <c r="AO6222" s="498"/>
      <c r="AP6222" s="498"/>
      <c r="AQ6222" s="498"/>
      <c r="AR6222" s="498"/>
      <c r="AS6222" s="498"/>
      <c r="AT6222" s="498"/>
      <c r="AU6222" s="498"/>
      <c r="AV6222" s="498"/>
      <c r="AW6222" s="498"/>
      <c r="AX6222" s="498"/>
      <c r="AY6222" s="498"/>
      <c r="AZ6222" s="498"/>
      <c r="BA6222" s="498"/>
    </row>
    <row r="6223" spans="1:53" s="499" customFormat="1" x14ac:dyDescent="0.25">
      <c r="A6223" s="500"/>
      <c r="B6223" s="501"/>
      <c r="C6223" s="502"/>
      <c r="D6223" s="497"/>
      <c r="E6223" s="497"/>
      <c r="F6223" s="502"/>
      <c r="G6223" s="497"/>
      <c r="H6223" s="497"/>
      <c r="I6223" s="497"/>
      <c r="J6223" s="497"/>
      <c r="K6223" s="500"/>
      <c r="L6223" s="497"/>
      <c r="M6223"/>
      <c r="N6223" s="498"/>
      <c r="O6223" s="498"/>
      <c r="P6223" s="498"/>
      <c r="Q6223" s="498"/>
      <c r="R6223" s="498"/>
      <c r="T6223" s="498"/>
      <c r="U6223" s="498"/>
      <c r="V6223" s="498"/>
      <c r="W6223" s="498"/>
      <c r="X6223" s="498"/>
      <c r="Y6223" s="498"/>
      <c r="Z6223" s="498"/>
      <c r="AA6223" s="498"/>
      <c r="AB6223" s="498"/>
      <c r="AC6223" s="498"/>
      <c r="AD6223" s="498"/>
      <c r="AE6223" s="498"/>
      <c r="AF6223" s="498"/>
      <c r="AG6223" s="498"/>
      <c r="AH6223" s="498"/>
      <c r="AI6223" s="498"/>
      <c r="AK6223" s="498"/>
      <c r="AL6223" s="498"/>
      <c r="AM6223" s="498"/>
      <c r="AN6223" s="498"/>
      <c r="AO6223" s="498"/>
      <c r="AP6223" s="498"/>
      <c r="AQ6223" s="498"/>
      <c r="AR6223" s="498"/>
      <c r="AS6223" s="498"/>
      <c r="AT6223" s="498"/>
      <c r="AU6223" s="498"/>
      <c r="AV6223" s="498"/>
      <c r="AW6223" s="498"/>
      <c r="AX6223" s="498"/>
      <c r="AY6223" s="498"/>
      <c r="AZ6223" s="498"/>
      <c r="BA6223" s="498"/>
    </row>
    <row r="6224" spans="1:53" s="499" customFormat="1" x14ac:dyDescent="0.25">
      <c r="A6224" s="500"/>
      <c r="B6224" s="501"/>
      <c r="C6224" s="502"/>
      <c r="D6224" s="497"/>
      <c r="E6224" s="497"/>
      <c r="F6224" s="502"/>
      <c r="G6224" s="497"/>
      <c r="H6224" s="497"/>
      <c r="I6224" s="497"/>
      <c r="J6224" s="497"/>
      <c r="K6224" s="500"/>
      <c r="L6224" s="497"/>
      <c r="M6224"/>
      <c r="N6224" s="498"/>
      <c r="O6224" s="498"/>
      <c r="P6224" s="498"/>
      <c r="Q6224" s="498"/>
      <c r="R6224" s="498"/>
      <c r="T6224" s="498"/>
      <c r="U6224" s="498"/>
      <c r="V6224" s="498"/>
      <c r="W6224" s="498"/>
      <c r="X6224" s="498"/>
      <c r="Y6224" s="498"/>
      <c r="Z6224" s="498"/>
      <c r="AA6224" s="498"/>
      <c r="AB6224" s="498"/>
      <c r="AC6224" s="498"/>
      <c r="AD6224" s="498"/>
      <c r="AE6224" s="498"/>
      <c r="AF6224" s="498"/>
      <c r="AG6224" s="498"/>
      <c r="AH6224" s="498"/>
      <c r="AI6224" s="498"/>
      <c r="AK6224" s="498"/>
      <c r="AL6224" s="498"/>
      <c r="AM6224" s="498"/>
      <c r="AN6224" s="498"/>
      <c r="AO6224" s="498"/>
      <c r="AP6224" s="498"/>
      <c r="AQ6224" s="498"/>
      <c r="AR6224" s="498"/>
      <c r="AS6224" s="498"/>
      <c r="AT6224" s="498"/>
      <c r="AU6224" s="498"/>
      <c r="AV6224" s="498"/>
      <c r="AW6224" s="498"/>
      <c r="AX6224" s="498"/>
      <c r="AY6224" s="498"/>
      <c r="AZ6224" s="498"/>
      <c r="BA6224" s="498"/>
    </row>
    <row r="6225" spans="1:53" s="499" customFormat="1" x14ac:dyDescent="0.25">
      <c r="A6225" s="500"/>
      <c r="B6225" s="501"/>
      <c r="C6225" s="502"/>
      <c r="D6225" s="497"/>
      <c r="E6225" s="497"/>
      <c r="F6225" s="502"/>
      <c r="G6225" s="497"/>
      <c r="H6225" s="497"/>
      <c r="I6225" s="497"/>
      <c r="J6225" s="497"/>
      <c r="K6225" s="500"/>
      <c r="L6225" s="497"/>
      <c r="M6225"/>
      <c r="N6225" s="498"/>
      <c r="O6225" s="498"/>
      <c r="P6225" s="498"/>
      <c r="Q6225" s="498"/>
      <c r="R6225" s="498"/>
      <c r="T6225" s="498"/>
      <c r="U6225" s="498"/>
      <c r="V6225" s="498"/>
      <c r="W6225" s="498"/>
      <c r="X6225" s="498"/>
      <c r="Y6225" s="498"/>
      <c r="Z6225" s="498"/>
      <c r="AA6225" s="498"/>
      <c r="AB6225" s="498"/>
      <c r="AC6225" s="498"/>
      <c r="AD6225" s="498"/>
      <c r="AE6225" s="498"/>
      <c r="AF6225" s="498"/>
      <c r="AG6225" s="498"/>
      <c r="AH6225" s="498"/>
      <c r="AI6225" s="498"/>
      <c r="AK6225" s="498"/>
      <c r="AL6225" s="498"/>
      <c r="AM6225" s="498"/>
      <c r="AN6225" s="498"/>
      <c r="AO6225" s="498"/>
      <c r="AP6225" s="498"/>
      <c r="AQ6225" s="498"/>
      <c r="AR6225" s="498"/>
      <c r="AS6225" s="498"/>
      <c r="AT6225" s="498"/>
      <c r="AU6225" s="498"/>
      <c r="AV6225" s="498"/>
      <c r="AW6225" s="498"/>
      <c r="AX6225" s="498"/>
      <c r="AY6225" s="498"/>
      <c r="AZ6225" s="498"/>
      <c r="BA6225" s="498"/>
    </row>
    <row r="6226" spans="1:53" s="499" customFormat="1" x14ac:dyDescent="0.25">
      <c r="A6226" s="500"/>
      <c r="B6226" s="501"/>
      <c r="C6226" s="502"/>
      <c r="D6226" s="497"/>
      <c r="E6226" s="497"/>
      <c r="F6226" s="502"/>
      <c r="G6226" s="497"/>
      <c r="H6226" s="497"/>
      <c r="I6226" s="497"/>
      <c r="J6226" s="497"/>
      <c r="K6226" s="500"/>
      <c r="L6226" s="497"/>
      <c r="M6226"/>
      <c r="N6226" s="498"/>
      <c r="O6226" s="498"/>
      <c r="P6226" s="498"/>
      <c r="Q6226" s="498"/>
      <c r="R6226" s="498"/>
      <c r="T6226" s="498"/>
      <c r="U6226" s="498"/>
      <c r="V6226" s="498"/>
      <c r="W6226" s="498"/>
      <c r="X6226" s="498"/>
      <c r="Y6226" s="498"/>
      <c r="Z6226" s="498"/>
      <c r="AA6226" s="498"/>
      <c r="AB6226" s="498"/>
      <c r="AC6226" s="498"/>
      <c r="AD6226" s="498"/>
      <c r="AE6226" s="498"/>
      <c r="AF6226" s="498"/>
      <c r="AG6226" s="498"/>
      <c r="AH6226" s="498"/>
      <c r="AI6226" s="498"/>
      <c r="AK6226" s="498"/>
      <c r="AL6226" s="498"/>
      <c r="AM6226" s="498"/>
      <c r="AN6226" s="498"/>
      <c r="AO6226" s="498"/>
      <c r="AP6226" s="498"/>
      <c r="AQ6226" s="498"/>
      <c r="AR6226" s="498"/>
      <c r="AS6226" s="498"/>
      <c r="AT6226" s="498"/>
      <c r="AU6226" s="498"/>
      <c r="AV6226" s="498"/>
      <c r="AW6226" s="498"/>
      <c r="AX6226" s="498"/>
      <c r="AY6226" s="498"/>
      <c r="AZ6226" s="498"/>
      <c r="BA6226" s="498"/>
    </row>
    <row r="6227" spans="1:53" s="499" customFormat="1" x14ac:dyDescent="0.25">
      <c r="A6227" s="500"/>
      <c r="B6227" s="501"/>
      <c r="C6227" s="502"/>
      <c r="D6227" s="497"/>
      <c r="E6227" s="497"/>
      <c r="F6227" s="502"/>
      <c r="G6227" s="497"/>
      <c r="H6227" s="497"/>
      <c r="I6227" s="497"/>
      <c r="J6227" s="497"/>
      <c r="K6227" s="500"/>
      <c r="L6227" s="497"/>
      <c r="M6227"/>
      <c r="N6227" s="498"/>
      <c r="O6227" s="498"/>
      <c r="P6227" s="498"/>
      <c r="Q6227" s="498"/>
      <c r="R6227" s="498"/>
      <c r="T6227" s="498"/>
      <c r="U6227" s="498"/>
      <c r="V6227" s="498"/>
      <c r="W6227" s="498"/>
      <c r="X6227" s="498"/>
      <c r="Y6227" s="498"/>
      <c r="Z6227" s="498"/>
      <c r="AA6227" s="498"/>
      <c r="AB6227" s="498"/>
      <c r="AC6227" s="498"/>
      <c r="AD6227" s="498"/>
      <c r="AE6227" s="498"/>
      <c r="AF6227" s="498"/>
      <c r="AG6227" s="498"/>
      <c r="AH6227" s="498"/>
      <c r="AI6227" s="498"/>
      <c r="AK6227" s="498"/>
      <c r="AL6227" s="498"/>
      <c r="AM6227" s="498"/>
      <c r="AN6227" s="498"/>
      <c r="AO6227" s="498"/>
      <c r="AP6227" s="498"/>
      <c r="AQ6227" s="498"/>
      <c r="AR6227" s="498"/>
      <c r="AS6227" s="498"/>
      <c r="AT6227" s="498"/>
      <c r="AU6227" s="498"/>
      <c r="AV6227" s="498"/>
      <c r="AW6227" s="498"/>
      <c r="AX6227" s="498"/>
      <c r="AY6227" s="498"/>
      <c r="AZ6227" s="498"/>
      <c r="BA6227" s="498"/>
    </row>
    <row r="6228" spans="1:53" s="499" customFormat="1" x14ac:dyDescent="0.25">
      <c r="A6228" s="500"/>
      <c r="B6228" s="501"/>
      <c r="C6228" s="502"/>
      <c r="D6228" s="497"/>
      <c r="E6228" s="497"/>
      <c r="F6228" s="502"/>
      <c r="G6228" s="497"/>
      <c r="H6228" s="497"/>
      <c r="I6228" s="497"/>
      <c r="J6228" s="497"/>
      <c r="K6228" s="500"/>
      <c r="L6228" s="497"/>
      <c r="M6228"/>
      <c r="N6228" s="498"/>
      <c r="O6228" s="498"/>
      <c r="P6228" s="498"/>
      <c r="Q6228" s="498"/>
      <c r="R6228" s="498"/>
      <c r="T6228" s="498"/>
      <c r="U6228" s="498"/>
      <c r="V6228" s="498"/>
      <c r="W6228" s="498"/>
      <c r="X6228" s="498"/>
      <c r="Y6228" s="498"/>
      <c r="Z6228" s="498"/>
      <c r="AA6228" s="498"/>
      <c r="AB6228" s="498"/>
      <c r="AC6228" s="498"/>
      <c r="AD6228" s="498"/>
      <c r="AE6228" s="498"/>
      <c r="AF6228" s="498"/>
      <c r="AG6228" s="498"/>
      <c r="AH6228" s="498"/>
      <c r="AI6228" s="498"/>
      <c r="AK6228" s="498"/>
      <c r="AL6228" s="498"/>
      <c r="AM6228" s="498"/>
      <c r="AN6228" s="498"/>
      <c r="AO6228" s="498"/>
      <c r="AP6228" s="498"/>
      <c r="AQ6228" s="498"/>
      <c r="AR6228" s="498"/>
      <c r="AS6228" s="498"/>
      <c r="AT6228" s="498"/>
      <c r="AU6228" s="498"/>
      <c r="AV6228" s="498"/>
      <c r="AW6228" s="498"/>
      <c r="AX6228" s="498"/>
      <c r="AY6228" s="498"/>
      <c r="AZ6228" s="498"/>
      <c r="BA6228" s="498"/>
    </row>
    <row r="6229" spans="1:53" s="499" customFormat="1" x14ac:dyDescent="0.25">
      <c r="A6229" s="500"/>
      <c r="B6229" s="501"/>
      <c r="C6229" s="502"/>
      <c r="D6229" s="497"/>
      <c r="E6229" s="497"/>
      <c r="F6229" s="502"/>
      <c r="G6229" s="497"/>
      <c r="H6229" s="497"/>
      <c r="I6229" s="497"/>
      <c r="J6229" s="497"/>
      <c r="K6229" s="500"/>
      <c r="L6229" s="497"/>
      <c r="M6229"/>
      <c r="N6229" s="498"/>
      <c r="O6229" s="498"/>
      <c r="P6229" s="498"/>
      <c r="Q6229" s="498"/>
      <c r="R6229" s="498"/>
      <c r="T6229" s="498"/>
      <c r="U6229" s="498"/>
      <c r="V6229" s="498"/>
      <c r="W6229" s="498"/>
      <c r="X6229" s="498"/>
      <c r="Y6229" s="498"/>
      <c r="Z6229" s="498"/>
      <c r="AA6229" s="498"/>
      <c r="AB6229" s="498"/>
      <c r="AC6229" s="498"/>
      <c r="AD6229" s="498"/>
      <c r="AE6229" s="498"/>
      <c r="AF6229" s="498"/>
      <c r="AG6229" s="498"/>
      <c r="AH6229" s="498"/>
      <c r="AI6229" s="498"/>
      <c r="AK6229" s="498"/>
      <c r="AL6229" s="498"/>
      <c r="AM6229" s="498"/>
      <c r="AN6229" s="498"/>
      <c r="AO6229" s="498"/>
      <c r="AP6229" s="498"/>
      <c r="AQ6229" s="498"/>
      <c r="AR6229" s="498"/>
      <c r="AS6229" s="498"/>
      <c r="AT6229" s="498"/>
      <c r="AU6229" s="498"/>
      <c r="AV6229" s="498"/>
      <c r="AW6229" s="498"/>
      <c r="AX6229" s="498"/>
      <c r="AY6229" s="498"/>
      <c r="AZ6229" s="498"/>
      <c r="BA6229" s="498"/>
    </row>
    <row r="6230" spans="1:53" s="499" customFormat="1" x14ac:dyDescent="0.25">
      <c r="A6230" s="500"/>
      <c r="B6230" s="501"/>
      <c r="C6230" s="502"/>
      <c r="D6230" s="497"/>
      <c r="E6230" s="497"/>
      <c r="F6230" s="502"/>
      <c r="G6230" s="497"/>
      <c r="H6230" s="497"/>
      <c r="I6230" s="497"/>
      <c r="J6230" s="497"/>
      <c r="K6230" s="500"/>
      <c r="L6230" s="497"/>
      <c r="M6230"/>
      <c r="N6230" s="498"/>
      <c r="O6230" s="498"/>
      <c r="P6230" s="498"/>
      <c r="Q6230" s="498"/>
      <c r="R6230" s="498"/>
      <c r="T6230" s="498"/>
      <c r="U6230" s="498"/>
      <c r="V6230" s="498"/>
      <c r="W6230" s="498"/>
      <c r="X6230" s="498"/>
      <c r="Y6230" s="498"/>
      <c r="Z6230" s="498"/>
      <c r="AA6230" s="498"/>
      <c r="AB6230" s="498"/>
      <c r="AC6230" s="498"/>
      <c r="AD6230" s="498"/>
      <c r="AE6230" s="498"/>
      <c r="AF6230" s="498"/>
      <c r="AG6230" s="498"/>
      <c r="AH6230" s="498"/>
      <c r="AI6230" s="498"/>
      <c r="AK6230" s="498"/>
      <c r="AL6230" s="498"/>
      <c r="AM6230" s="498"/>
      <c r="AN6230" s="498"/>
      <c r="AO6230" s="498"/>
      <c r="AP6230" s="498"/>
      <c r="AQ6230" s="498"/>
      <c r="AR6230" s="498"/>
      <c r="AS6230" s="498"/>
      <c r="AT6230" s="498"/>
      <c r="AU6230" s="498"/>
      <c r="AV6230" s="498"/>
      <c r="AW6230" s="498"/>
      <c r="AX6230" s="498"/>
      <c r="AY6230" s="498"/>
      <c r="AZ6230" s="498"/>
      <c r="BA6230" s="498"/>
    </row>
    <row r="6231" spans="1:53" s="499" customFormat="1" x14ac:dyDescent="0.25">
      <c r="A6231" s="500"/>
      <c r="B6231" s="501"/>
      <c r="C6231" s="502"/>
      <c r="D6231" s="497"/>
      <c r="E6231" s="497"/>
      <c r="F6231" s="502"/>
      <c r="G6231" s="497"/>
      <c r="H6231" s="497"/>
      <c r="I6231" s="497"/>
      <c r="J6231" s="497"/>
      <c r="K6231" s="500"/>
      <c r="L6231" s="497"/>
      <c r="M6231"/>
      <c r="N6231" s="498"/>
      <c r="O6231" s="498"/>
      <c r="P6231" s="498"/>
      <c r="Q6231" s="498"/>
      <c r="R6231" s="498"/>
      <c r="T6231" s="498"/>
      <c r="U6231" s="498"/>
      <c r="V6231" s="498"/>
      <c r="W6231" s="498"/>
      <c r="X6231" s="498"/>
      <c r="Y6231" s="498"/>
      <c r="Z6231" s="498"/>
      <c r="AA6231" s="498"/>
      <c r="AB6231" s="498"/>
      <c r="AC6231" s="498"/>
      <c r="AD6231" s="498"/>
      <c r="AE6231" s="498"/>
      <c r="AF6231" s="498"/>
      <c r="AG6231" s="498"/>
      <c r="AH6231" s="498"/>
      <c r="AI6231" s="498"/>
      <c r="AK6231" s="498"/>
      <c r="AL6231" s="498"/>
      <c r="AM6231" s="498"/>
      <c r="AN6231" s="498"/>
      <c r="AO6231" s="498"/>
      <c r="AP6231" s="498"/>
      <c r="AQ6231" s="498"/>
      <c r="AR6231" s="498"/>
      <c r="AS6231" s="498"/>
      <c r="AT6231" s="498"/>
      <c r="AU6231" s="498"/>
      <c r="AV6231" s="498"/>
      <c r="AW6231" s="498"/>
      <c r="AX6231" s="498"/>
      <c r="AY6231" s="498"/>
      <c r="AZ6231" s="498"/>
      <c r="BA6231" s="498"/>
    </row>
    <row r="6232" spans="1:53" s="499" customFormat="1" x14ac:dyDescent="0.25">
      <c r="A6232" s="500"/>
      <c r="B6232" s="501"/>
      <c r="C6232" s="502"/>
      <c r="D6232" s="497"/>
      <c r="E6232" s="497"/>
      <c r="F6232" s="502"/>
      <c r="G6232" s="497"/>
      <c r="H6232" s="497"/>
      <c r="I6232" s="497"/>
      <c r="J6232" s="497"/>
      <c r="K6232" s="500"/>
      <c r="L6232" s="497"/>
      <c r="M6232"/>
      <c r="N6232" s="498"/>
      <c r="O6232" s="498"/>
      <c r="P6232" s="498"/>
      <c r="Q6232" s="498"/>
      <c r="R6232" s="498"/>
      <c r="T6232" s="498"/>
      <c r="U6232" s="498"/>
      <c r="V6232" s="498"/>
      <c r="W6232" s="498"/>
      <c r="X6232" s="498"/>
      <c r="Y6232" s="498"/>
      <c r="Z6232" s="498"/>
      <c r="AA6232" s="498"/>
      <c r="AB6232" s="498"/>
      <c r="AC6232" s="498"/>
      <c r="AD6232" s="498"/>
      <c r="AE6232" s="498"/>
      <c r="AF6232" s="498"/>
      <c r="AG6232" s="498"/>
      <c r="AH6232" s="498"/>
      <c r="AI6232" s="498"/>
      <c r="AK6232" s="498"/>
      <c r="AL6232" s="498"/>
      <c r="AM6232" s="498"/>
      <c r="AN6232" s="498"/>
      <c r="AO6232" s="498"/>
      <c r="AP6232" s="498"/>
      <c r="AQ6232" s="498"/>
      <c r="AR6232" s="498"/>
      <c r="AS6232" s="498"/>
      <c r="AT6232" s="498"/>
      <c r="AU6232" s="498"/>
      <c r="AV6232" s="498"/>
      <c r="AW6232" s="498"/>
      <c r="AX6232" s="498"/>
      <c r="AY6232" s="498"/>
      <c r="AZ6232" s="498"/>
      <c r="BA6232" s="498"/>
    </row>
    <row r="6233" spans="1:53" s="499" customFormat="1" x14ac:dyDescent="0.25">
      <c r="A6233" s="500"/>
      <c r="B6233" s="501"/>
      <c r="C6233" s="502"/>
      <c r="D6233" s="497"/>
      <c r="E6233" s="497"/>
      <c r="F6233" s="502"/>
      <c r="G6233" s="497"/>
      <c r="H6233" s="497"/>
      <c r="I6233" s="497"/>
      <c r="J6233" s="497"/>
      <c r="K6233" s="500"/>
      <c r="L6233" s="497"/>
      <c r="M6233"/>
      <c r="N6233" s="498"/>
      <c r="O6233" s="498"/>
      <c r="P6233" s="498"/>
      <c r="Q6233" s="498"/>
      <c r="R6233" s="498"/>
      <c r="T6233" s="498"/>
      <c r="U6233" s="498"/>
      <c r="V6233" s="498"/>
      <c r="W6233" s="498"/>
      <c r="X6233" s="498"/>
      <c r="Y6233" s="498"/>
      <c r="Z6233" s="498"/>
      <c r="AA6233" s="498"/>
      <c r="AB6233" s="498"/>
      <c r="AC6233" s="498"/>
      <c r="AD6233" s="498"/>
      <c r="AE6233" s="498"/>
      <c r="AF6233" s="498"/>
      <c r="AG6233" s="498"/>
      <c r="AH6233" s="498"/>
      <c r="AI6233" s="498"/>
      <c r="AK6233" s="498"/>
      <c r="AL6233" s="498"/>
      <c r="AM6233" s="498"/>
      <c r="AN6233" s="498"/>
      <c r="AO6233" s="498"/>
      <c r="AP6233" s="498"/>
      <c r="AQ6233" s="498"/>
      <c r="AR6233" s="498"/>
      <c r="AS6233" s="498"/>
      <c r="AT6233" s="498"/>
      <c r="AU6233" s="498"/>
      <c r="AV6233" s="498"/>
      <c r="AW6233" s="498"/>
      <c r="AX6233" s="498"/>
      <c r="AY6233" s="498"/>
      <c r="AZ6233" s="498"/>
      <c r="BA6233" s="498"/>
    </row>
    <row r="6234" spans="1:53" s="499" customFormat="1" x14ac:dyDescent="0.25">
      <c r="A6234" s="500"/>
      <c r="B6234" s="501"/>
      <c r="C6234" s="502"/>
      <c r="D6234" s="497"/>
      <c r="E6234" s="497"/>
      <c r="F6234" s="502"/>
      <c r="G6234" s="497"/>
      <c r="H6234" s="497"/>
      <c r="I6234" s="497"/>
      <c r="J6234" s="497"/>
      <c r="K6234" s="500"/>
      <c r="L6234" s="497"/>
      <c r="M6234"/>
      <c r="N6234" s="498"/>
      <c r="O6234" s="498"/>
      <c r="P6234" s="498"/>
      <c r="Q6234" s="498"/>
      <c r="R6234" s="498"/>
      <c r="T6234" s="498"/>
      <c r="U6234" s="498"/>
      <c r="V6234" s="498"/>
      <c r="W6234" s="498"/>
      <c r="X6234" s="498"/>
      <c r="Y6234" s="498"/>
      <c r="Z6234" s="498"/>
      <c r="AA6234" s="498"/>
      <c r="AB6234" s="498"/>
      <c r="AC6234" s="498"/>
      <c r="AD6234" s="498"/>
      <c r="AE6234" s="498"/>
      <c r="AF6234" s="498"/>
      <c r="AG6234" s="498"/>
      <c r="AH6234" s="498"/>
      <c r="AI6234" s="498"/>
      <c r="AK6234" s="498"/>
      <c r="AL6234" s="498"/>
      <c r="AM6234" s="498"/>
      <c r="AN6234" s="498"/>
      <c r="AO6234" s="498"/>
      <c r="AP6234" s="498"/>
      <c r="AQ6234" s="498"/>
      <c r="AR6234" s="498"/>
      <c r="AS6234" s="498"/>
      <c r="AT6234" s="498"/>
      <c r="AU6234" s="498"/>
      <c r="AV6234" s="498"/>
      <c r="AW6234" s="498"/>
      <c r="AX6234" s="498"/>
      <c r="AY6234" s="498"/>
      <c r="AZ6234" s="498"/>
      <c r="BA6234" s="498"/>
    </row>
    <row r="6235" spans="1:53" s="499" customFormat="1" x14ac:dyDescent="0.25">
      <c r="A6235" s="500"/>
      <c r="B6235" s="501"/>
      <c r="C6235" s="502"/>
      <c r="D6235" s="497"/>
      <c r="E6235" s="497"/>
      <c r="F6235" s="502"/>
      <c r="G6235" s="497"/>
      <c r="H6235" s="497"/>
      <c r="I6235" s="497"/>
      <c r="J6235" s="497"/>
      <c r="K6235" s="500"/>
      <c r="L6235" s="497"/>
      <c r="M6235"/>
      <c r="N6235" s="498"/>
      <c r="O6235" s="498"/>
      <c r="P6235" s="498"/>
      <c r="Q6235" s="498"/>
      <c r="R6235" s="498"/>
      <c r="T6235" s="498"/>
      <c r="U6235" s="498"/>
      <c r="V6235" s="498"/>
      <c r="W6235" s="498"/>
      <c r="X6235" s="498"/>
      <c r="Y6235" s="498"/>
      <c r="Z6235" s="498"/>
      <c r="AA6235" s="498"/>
      <c r="AB6235" s="498"/>
      <c r="AC6235" s="498"/>
      <c r="AD6235" s="498"/>
      <c r="AE6235" s="498"/>
      <c r="AF6235" s="498"/>
      <c r="AG6235" s="498"/>
      <c r="AH6235" s="498"/>
      <c r="AI6235" s="498"/>
      <c r="AK6235" s="498"/>
      <c r="AL6235" s="498"/>
      <c r="AM6235" s="498"/>
      <c r="AN6235" s="498"/>
      <c r="AO6235" s="498"/>
      <c r="AP6235" s="498"/>
      <c r="AQ6235" s="498"/>
      <c r="AR6235" s="498"/>
      <c r="AS6235" s="498"/>
      <c r="AT6235" s="498"/>
      <c r="AU6235" s="498"/>
      <c r="AV6235" s="498"/>
      <c r="AW6235" s="498"/>
      <c r="AX6235" s="498"/>
      <c r="AY6235" s="498"/>
      <c r="AZ6235" s="498"/>
      <c r="BA6235" s="498"/>
    </row>
    <row r="6236" spans="1:53" s="499" customFormat="1" x14ac:dyDescent="0.25">
      <c r="A6236" s="500"/>
      <c r="B6236" s="501"/>
      <c r="C6236" s="502"/>
      <c r="D6236" s="497"/>
      <c r="E6236" s="497"/>
      <c r="F6236" s="502"/>
      <c r="G6236" s="497"/>
      <c r="H6236" s="497"/>
      <c r="I6236" s="497"/>
      <c r="J6236" s="497"/>
      <c r="K6236" s="500"/>
      <c r="L6236" s="497"/>
      <c r="M6236"/>
      <c r="N6236" s="498"/>
      <c r="O6236" s="498"/>
      <c r="P6236" s="498"/>
      <c r="Q6236" s="498"/>
      <c r="R6236" s="498"/>
      <c r="T6236" s="498"/>
      <c r="U6236" s="498"/>
      <c r="V6236" s="498"/>
      <c r="W6236" s="498"/>
      <c r="X6236" s="498"/>
      <c r="Y6236" s="498"/>
      <c r="Z6236" s="498"/>
      <c r="AA6236" s="498"/>
      <c r="AB6236" s="498"/>
      <c r="AC6236" s="498"/>
      <c r="AD6236" s="498"/>
      <c r="AE6236" s="498"/>
      <c r="AF6236" s="498"/>
      <c r="AG6236" s="498"/>
      <c r="AH6236" s="498"/>
      <c r="AI6236" s="498"/>
      <c r="AK6236" s="498"/>
      <c r="AL6236" s="498"/>
      <c r="AM6236" s="498"/>
      <c r="AN6236" s="498"/>
      <c r="AO6236" s="498"/>
      <c r="AP6236" s="498"/>
      <c r="AQ6236" s="498"/>
      <c r="AR6236" s="498"/>
      <c r="AS6236" s="498"/>
      <c r="AT6236" s="498"/>
      <c r="AU6236" s="498"/>
      <c r="AV6236" s="498"/>
      <c r="AW6236" s="498"/>
      <c r="AX6236" s="498"/>
      <c r="AY6236" s="498"/>
      <c r="AZ6236" s="498"/>
      <c r="BA6236" s="498"/>
    </row>
    <row r="6237" spans="1:53" s="499" customFormat="1" x14ac:dyDescent="0.25">
      <c r="A6237" s="500"/>
      <c r="B6237" s="501"/>
      <c r="C6237" s="502"/>
      <c r="D6237" s="497"/>
      <c r="E6237" s="497"/>
      <c r="F6237" s="502"/>
      <c r="G6237" s="497"/>
      <c r="H6237" s="497"/>
      <c r="I6237" s="497"/>
      <c r="J6237" s="497"/>
      <c r="K6237" s="500"/>
      <c r="L6237" s="497"/>
      <c r="M6237"/>
      <c r="N6237" s="498"/>
      <c r="O6237" s="498"/>
      <c r="P6237" s="498"/>
      <c r="Q6237" s="498"/>
      <c r="R6237" s="498"/>
      <c r="T6237" s="498"/>
      <c r="U6237" s="498"/>
      <c r="V6237" s="498"/>
      <c r="W6237" s="498"/>
      <c r="X6237" s="498"/>
      <c r="Y6237" s="498"/>
      <c r="Z6237" s="498"/>
      <c r="AA6237" s="498"/>
      <c r="AB6237" s="498"/>
      <c r="AC6237" s="498"/>
      <c r="AD6237" s="498"/>
      <c r="AE6237" s="498"/>
      <c r="AF6237" s="498"/>
      <c r="AG6237" s="498"/>
      <c r="AH6237" s="498"/>
      <c r="AI6237" s="498"/>
      <c r="AK6237" s="498"/>
      <c r="AL6237" s="498"/>
      <c r="AM6237" s="498"/>
      <c r="AN6237" s="498"/>
      <c r="AO6237" s="498"/>
      <c r="AP6237" s="498"/>
      <c r="AQ6237" s="498"/>
      <c r="AR6237" s="498"/>
      <c r="AS6237" s="498"/>
      <c r="AT6237" s="498"/>
      <c r="AU6237" s="498"/>
      <c r="AV6237" s="498"/>
      <c r="AW6237" s="498"/>
      <c r="AX6237" s="498"/>
      <c r="AY6237" s="498"/>
      <c r="AZ6237" s="498"/>
      <c r="BA6237" s="498"/>
    </row>
    <row r="6238" spans="1:53" s="499" customFormat="1" x14ac:dyDescent="0.25">
      <c r="A6238" s="500"/>
      <c r="B6238" s="501"/>
      <c r="C6238" s="502"/>
      <c r="D6238" s="497"/>
      <c r="E6238" s="497"/>
      <c r="F6238" s="502"/>
      <c r="G6238" s="497"/>
      <c r="H6238" s="497"/>
      <c r="I6238" s="497"/>
      <c r="J6238" s="497"/>
      <c r="K6238" s="500"/>
      <c r="L6238" s="497"/>
      <c r="M6238"/>
      <c r="N6238" s="498"/>
      <c r="O6238" s="498"/>
      <c r="P6238" s="498"/>
      <c r="Q6238" s="498"/>
      <c r="R6238" s="498"/>
      <c r="T6238" s="498"/>
      <c r="U6238" s="498"/>
      <c r="V6238" s="498"/>
      <c r="W6238" s="498"/>
      <c r="X6238" s="498"/>
      <c r="Y6238" s="498"/>
      <c r="Z6238" s="498"/>
      <c r="AA6238" s="498"/>
      <c r="AB6238" s="498"/>
      <c r="AC6238" s="498"/>
      <c r="AD6238" s="498"/>
      <c r="AE6238" s="498"/>
      <c r="AF6238" s="498"/>
      <c r="AG6238" s="498"/>
      <c r="AH6238" s="498"/>
      <c r="AI6238" s="498"/>
      <c r="AK6238" s="498"/>
      <c r="AL6238" s="498"/>
      <c r="AM6238" s="498"/>
      <c r="AN6238" s="498"/>
      <c r="AO6238" s="498"/>
      <c r="AP6238" s="498"/>
      <c r="AQ6238" s="498"/>
      <c r="AR6238" s="498"/>
      <c r="AS6238" s="498"/>
      <c r="AT6238" s="498"/>
      <c r="AU6238" s="498"/>
      <c r="AV6238" s="498"/>
      <c r="AW6238" s="498"/>
      <c r="AX6238" s="498"/>
      <c r="AY6238" s="498"/>
      <c r="AZ6238" s="498"/>
      <c r="BA6238" s="498"/>
    </row>
    <row r="6239" spans="1:53" s="499" customFormat="1" x14ac:dyDescent="0.25">
      <c r="A6239" s="500"/>
      <c r="B6239" s="501"/>
      <c r="C6239" s="502"/>
      <c r="D6239" s="497"/>
      <c r="E6239" s="497"/>
      <c r="F6239" s="502"/>
      <c r="G6239" s="497"/>
      <c r="H6239" s="497"/>
      <c r="I6239" s="497"/>
      <c r="J6239" s="497"/>
      <c r="K6239" s="500"/>
      <c r="L6239" s="497"/>
      <c r="M6239"/>
      <c r="N6239" s="498"/>
      <c r="O6239" s="498"/>
      <c r="P6239" s="498"/>
      <c r="Q6239" s="498"/>
      <c r="R6239" s="498"/>
      <c r="T6239" s="498"/>
      <c r="U6239" s="498"/>
      <c r="V6239" s="498"/>
      <c r="W6239" s="498"/>
      <c r="X6239" s="498"/>
      <c r="Y6239" s="498"/>
      <c r="Z6239" s="498"/>
      <c r="AA6239" s="498"/>
      <c r="AB6239" s="498"/>
      <c r="AC6239" s="498"/>
      <c r="AD6239" s="498"/>
      <c r="AE6239" s="498"/>
      <c r="AF6239" s="498"/>
      <c r="AG6239" s="498"/>
      <c r="AH6239" s="498"/>
      <c r="AI6239" s="498"/>
      <c r="AK6239" s="498"/>
      <c r="AL6239" s="498"/>
      <c r="AM6239" s="498"/>
      <c r="AN6239" s="498"/>
      <c r="AO6239" s="498"/>
      <c r="AP6239" s="498"/>
      <c r="AQ6239" s="498"/>
      <c r="AR6239" s="498"/>
      <c r="AS6239" s="498"/>
      <c r="AT6239" s="498"/>
      <c r="AU6239" s="498"/>
      <c r="AV6239" s="498"/>
      <c r="AW6239" s="498"/>
      <c r="AX6239" s="498"/>
      <c r="AY6239" s="498"/>
      <c r="AZ6239" s="498"/>
      <c r="BA6239" s="498"/>
    </row>
    <row r="6240" spans="1:53" s="499" customFormat="1" x14ac:dyDescent="0.25">
      <c r="A6240" s="500"/>
      <c r="B6240" s="501"/>
      <c r="C6240" s="502"/>
      <c r="D6240" s="497"/>
      <c r="E6240" s="497"/>
      <c r="F6240" s="502"/>
      <c r="G6240" s="497"/>
      <c r="H6240" s="497"/>
      <c r="I6240" s="497"/>
      <c r="J6240" s="497"/>
      <c r="K6240" s="500"/>
      <c r="L6240" s="497"/>
      <c r="M6240"/>
      <c r="N6240" s="498"/>
      <c r="O6240" s="498"/>
      <c r="P6240" s="498"/>
      <c r="Q6240" s="498"/>
      <c r="R6240" s="498"/>
      <c r="T6240" s="498"/>
      <c r="U6240" s="498"/>
      <c r="V6240" s="498"/>
      <c r="W6240" s="498"/>
      <c r="X6240" s="498"/>
      <c r="Y6240" s="498"/>
      <c r="Z6240" s="498"/>
      <c r="AA6240" s="498"/>
      <c r="AB6240" s="498"/>
      <c r="AC6240" s="498"/>
      <c r="AD6240" s="498"/>
      <c r="AE6240" s="498"/>
      <c r="AF6240" s="498"/>
      <c r="AG6240" s="498"/>
      <c r="AH6240" s="498"/>
      <c r="AI6240" s="498"/>
      <c r="AK6240" s="498"/>
      <c r="AL6240" s="498"/>
      <c r="AM6240" s="498"/>
      <c r="AN6240" s="498"/>
      <c r="AO6240" s="498"/>
      <c r="AP6240" s="498"/>
      <c r="AQ6240" s="498"/>
      <c r="AR6240" s="498"/>
      <c r="AS6240" s="498"/>
      <c r="AT6240" s="498"/>
      <c r="AU6240" s="498"/>
      <c r="AV6240" s="498"/>
      <c r="AW6240" s="498"/>
      <c r="AX6240" s="498"/>
      <c r="AY6240" s="498"/>
      <c r="AZ6240" s="498"/>
      <c r="BA6240" s="498"/>
    </row>
    <row r="6241" spans="1:53" s="499" customFormat="1" x14ac:dyDescent="0.25">
      <c r="A6241" s="500"/>
      <c r="B6241" s="501"/>
      <c r="C6241" s="502"/>
      <c r="D6241" s="497"/>
      <c r="E6241" s="497"/>
      <c r="F6241" s="502"/>
      <c r="G6241" s="497"/>
      <c r="H6241" s="497"/>
      <c r="I6241" s="497"/>
      <c r="J6241" s="497"/>
      <c r="K6241" s="500"/>
      <c r="L6241" s="497"/>
      <c r="M6241"/>
      <c r="N6241" s="498"/>
      <c r="O6241" s="498"/>
      <c r="P6241" s="498"/>
      <c r="Q6241" s="498"/>
      <c r="R6241" s="498"/>
      <c r="T6241" s="498"/>
      <c r="U6241" s="498"/>
      <c r="V6241" s="498"/>
      <c r="W6241" s="498"/>
      <c r="X6241" s="498"/>
      <c r="Y6241" s="498"/>
      <c r="Z6241" s="498"/>
      <c r="AA6241" s="498"/>
      <c r="AB6241" s="498"/>
      <c r="AC6241" s="498"/>
      <c r="AD6241" s="498"/>
      <c r="AE6241" s="498"/>
      <c r="AF6241" s="498"/>
      <c r="AG6241" s="498"/>
      <c r="AH6241" s="498"/>
      <c r="AI6241" s="498"/>
      <c r="AK6241" s="498"/>
      <c r="AL6241" s="498"/>
      <c r="AM6241" s="498"/>
      <c r="AN6241" s="498"/>
      <c r="AO6241" s="498"/>
      <c r="AP6241" s="498"/>
      <c r="AQ6241" s="498"/>
      <c r="AR6241" s="498"/>
      <c r="AS6241" s="498"/>
      <c r="AT6241" s="498"/>
      <c r="AU6241" s="498"/>
      <c r="AV6241" s="498"/>
      <c r="AW6241" s="498"/>
      <c r="AX6241" s="498"/>
      <c r="AY6241" s="498"/>
      <c r="AZ6241" s="498"/>
      <c r="BA6241" s="498"/>
    </row>
    <row r="6242" spans="1:53" s="499" customFormat="1" x14ac:dyDescent="0.25">
      <c r="A6242" s="500"/>
      <c r="B6242" s="501"/>
      <c r="C6242" s="502"/>
      <c r="D6242" s="497"/>
      <c r="E6242" s="497"/>
      <c r="F6242" s="502"/>
      <c r="G6242" s="497"/>
      <c r="H6242" s="497"/>
      <c r="I6242" s="497"/>
      <c r="J6242" s="497"/>
      <c r="K6242" s="500"/>
      <c r="L6242" s="497"/>
      <c r="M6242"/>
      <c r="N6242" s="498"/>
      <c r="O6242" s="498"/>
      <c r="P6242" s="498"/>
      <c r="Q6242" s="498"/>
      <c r="R6242" s="498"/>
      <c r="T6242" s="498"/>
      <c r="U6242" s="498"/>
      <c r="V6242" s="498"/>
      <c r="W6242" s="498"/>
      <c r="X6242" s="498"/>
      <c r="Y6242" s="498"/>
      <c r="Z6242" s="498"/>
      <c r="AA6242" s="498"/>
      <c r="AB6242" s="498"/>
      <c r="AC6242" s="498"/>
      <c r="AD6242" s="498"/>
      <c r="AE6242" s="498"/>
      <c r="AF6242" s="498"/>
      <c r="AG6242" s="498"/>
      <c r="AH6242" s="498"/>
      <c r="AI6242" s="498"/>
      <c r="AK6242" s="498"/>
      <c r="AL6242" s="498"/>
      <c r="AM6242" s="498"/>
      <c r="AN6242" s="498"/>
      <c r="AO6242" s="498"/>
      <c r="AP6242" s="498"/>
      <c r="AQ6242" s="498"/>
      <c r="AR6242" s="498"/>
      <c r="AS6242" s="498"/>
      <c r="AT6242" s="498"/>
      <c r="AU6242" s="498"/>
      <c r="AV6242" s="498"/>
      <c r="AW6242" s="498"/>
      <c r="AX6242" s="498"/>
      <c r="AY6242" s="498"/>
      <c r="AZ6242" s="498"/>
      <c r="BA6242" s="498"/>
    </row>
    <row r="6243" spans="1:53" s="499" customFormat="1" x14ac:dyDescent="0.25">
      <c r="A6243" s="500"/>
      <c r="B6243" s="501"/>
      <c r="C6243" s="502"/>
      <c r="D6243" s="497"/>
      <c r="E6243" s="497"/>
      <c r="F6243" s="502"/>
      <c r="G6243" s="497"/>
      <c r="H6243" s="497"/>
      <c r="I6243" s="497"/>
      <c r="J6243" s="497"/>
      <c r="K6243" s="500"/>
      <c r="L6243" s="497"/>
      <c r="M6243"/>
      <c r="N6243" s="498"/>
      <c r="O6243" s="498"/>
      <c r="P6243" s="498"/>
      <c r="Q6243" s="498"/>
      <c r="R6243" s="498"/>
      <c r="T6243" s="498"/>
      <c r="U6243" s="498"/>
      <c r="V6243" s="498"/>
      <c r="W6243" s="498"/>
      <c r="X6243" s="498"/>
      <c r="Y6243" s="498"/>
      <c r="Z6243" s="498"/>
      <c r="AA6243" s="498"/>
      <c r="AB6243" s="498"/>
      <c r="AC6243" s="498"/>
      <c r="AD6243" s="498"/>
      <c r="AE6243" s="498"/>
      <c r="AF6243" s="498"/>
      <c r="AG6243" s="498"/>
      <c r="AH6243" s="498"/>
      <c r="AI6243" s="498"/>
      <c r="AK6243" s="498"/>
      <c r="AL6243" s="498"/>
      <c r="AM6243" s="498"/>
      <c r="AN6243" s="498"/>
      <c r="AO6243" s="498"/>
      <c r="AP6243" s="498"/>
      <c r="AQ6243" s="498"/>
      <c r="AR6243" s="498"/>
      <c r="AS6243" s="498"/>
      <c r="AT6243" s="498"/>
      <c r="AU6243" s="498"/>
      <c r="AV6243" s="498"/>
      <c r="AW6243" s="498"/>
      <c r="AX6243" s="498"/>
      <c r="AY6243" s="498"/>
      <c r="AZ6243" s="498"/>
      <c r="BA6243" s="498"/>
    </row>
    <row r="6244" spans="1:53" s="499" customFormat="1" x14ac:dyDescent="0.25">
      <c r="A6244" s="500"/>
      <c r="B6244" s="501"/>
      <c r="C6244" s="502"/>
      <c r="D6244" s="497"/>
      <c r="E6244" s="497"/>
      <c r="F6244" s="502"/>
      <c r="G6244" s="497"/>
      <c r="H6244" s="497"/>
      <c r="I6244" s="497"/>
      <c r="J6244" s="497"/>
      <c r="K6244" s="500"/>
      <c r="L6244" s="497"/>
      <c r="M6244"/>
      <c r="N6244" s="498"/>
      <c r="O6244" s="498"/>
      <c r="P6244" s="498"/>
      <c r="Q6244" s="498"/>
      <c r="R6244" s="498"/>
      <c r="T6244" s="498"/>
      <c r="U6244" s="498"/>
      <c r="V6244" s="498"/>
      <c r="W6244" s="498"/>
      <c r="X6244" s="498"/>
      <c r="Y6244" s="498"/>
      <c r="Z6244" s="498"/>
      <c r="AA6244" s="498"/>
      <c r="AB6244" s="498"/>
      <c r="AC6244" s="498"/>
      <c r="AD6244" s="498"/>
      <c r="AE6244" s="498"/>
      <c r="AF6244" s="498"/>
      <c r="AG6244" s="498"/>
      <c r="AH6244" s="498"/>
      <c r="AI6244" s="498"/>
      <c r="AK6244" s="498"/>
      <c r="AL6244" s="498"/>
      <c r="AM6244" s="498"/>
      <c r="AN6244" s="498"/>
      <c r="AO6244" s="498"/>
      <c r="AP6244" s="498"/>
      <c r="AQ6244" s="498"/>
      <c r="AR6244" s="498"/>
      <c r="AS6244" s="498"/>
      <c r="AT6244" s="498"/>
      <c r="AU6244" s="498"/>
      <c r="AV6244" s="498"/>
      <c r="AW6244" s="498"/>
      <c r="AX6244" s="498"/>
      <c r="AY6244" s="498"/>
      <c r="AZ6244" s="498"/>
      <c r="BA6244" s="498"/>
    </row>
    <row r="6245" spans="1:53" s="499" customFormat="1" x14ac:dyDescent="0.25">
      <c r="A6245" s="500"/>
      <c r="B6245" s="501"/>
      <c r="C6245" s="502"/>
      <c r="D6245" s="497"/>
      <c r="E6245" s="497"/>
      <c r="F6245" s="502"/>
      <c r="G6245" s="497"/>
      <c r="H6245" s="497"/>
      <c r="I6245" s="497"/>
      <c r="J6245" s="497"/>
      <c r="K6245" s="500"/>
      <c r="L6245" s="497"/>
      <c r="M6245"/>
      <c r="N6245" s="498"/>
      <c r="O6245" s="498"/>
      <c r="P6245" s="498"/>
      <c r="Q6245" s="498"/>
      <c r="R6245" s="498"/>
      <c r="T6245" s="498"/>
      <c r="U6245" s="498"/>
      <c r="V6245" s="498"/>
      <c r="W6245" s="498"/>
      <c r="X6245" s="498"/>
      <c r="Y6245" s="498"/>
      <c r="Z6245" s="498"/>
      <c r="AA6245" s="498"/>
      <c r="AB6245" s="498"/>
      <c r="AC6245" s="498"/>
      <c r="AD6245" s="498"/>
      <c r="AE6245" s="498"/>
      <c r="AF6245" s="498"/>
      <c r="AG6245" s="498"/>
      <c r="AH6245" s="498"/>
      <c r="AI6245" s="498"/>
      <c r="AK6245" s="498"/>
      <c r="AL6245" s="498"/>
      <c r="AM6245" s="498"/>
      <c r="AN6245" s="498"/>
      <c r="AO6245" s="498"/>
      <c r="AP6245" s="498"/>
      <c r="AQ6245" s="498"/>
      <c r="AR6245" s="498"/>
      <c r="AS6245" s="498"/>
      <c r="AT6245" s="498"/>
      <c r="AU6245" s="498"/>
      <c r="AV6245" s="498"/>
      <c r="AW6245" s="498"/>
      <c r="AX6245" s="498"/>
      <c r="AY6245" s="498"/>
      <c r="AZ6245" s="498"/>
      <c r="BA6245" s="498"/>
    </row>
    <row r="6246" spans="1:53" s="499" customFormat="1" x14ac:dyDescent="0.25">
      <c r="A6246" s="500"/>
      <c r="B6246" s="501"/>
      <c r="C6246" s="502"/>
      <c r="D6246" s="497"/>
      <c r="E6246" s="497"/>
      <c r="F6246" s="502"/>
      <c r="G6246" s="497"/>
      <c r="H6246" s="497"/>
      <c r="I6246" s="497"/>
      <c r="J6246" s="497"/>
      <c r="K6246" s="500"/>
      <c r="L6246" s="497"/>
      <c r="M6246"/>
      <c r="N6246" s="498"/>
      <c r="O6246" s="498"/>
      <c r="P6246" s="498"/>
      <c r="Q6246" s="498"/>
      <c r="R6246" s="498"/>
      <c r="T6246" s="498"/>
      <c r="U6246" s="498"/>
      <c r="V6246" s="498"/>
      <c r="W6246" s="498"/>
      <c r="X6246" s="498"/>
      <c r="Y6246" s="498"/>
      <c r="Z6246" s="498"/>
      <c r="AA6246" s="498"/>
      <c r="AB6246" s="498"/>
      <c r="AC6246" s="498"/>
      <c r="AD6246" s="498"/>
      <c r="AE6246" s="498"/>
      <c r="AF6246" s="498"/>
      <c r="AG6246" s="498"/>
      <c r="AH6246" s="498"/>
      <c r="AI6246" s="498"/>
      <c r="AK6246" s="498"/>
      <c r="AL6246" s="498"/>
      <c r="AM6246" s="498"/>
      <c r="AN6246" s="498"/>
      <c r="AO6246" s="498"/>
      <c r="AP6246" s="498"/>
      <c r="AQ6246" s="498"/>
      <c r="AR6246" s="498"/>
      <c r="AS6246" s="498"/>
      <c r="AT6246" s="498"/>
      <c r="AU6246" s="498"/>
      <c r="AV6246" s="498"/>
      <c r="AW6246" s="498"/>
      <c r="AX6246" s="498"/>
      <c r="AY6246" s="498"/>
      <c r="AZ6246" s="498"/>
      <c r="BA6246" s="498"/>
    </row>
    <row r="6247" spans="1:53" s="499" customFormat="1" x14ac:dyDescent="0.25">
      <c r="A6247" s="500"/>
      <c r="B6247" s="501"/>
      <c r="C6247" s="502"/>
      <c r="D6247" s="497"/>
      <c r="E6247" s="497"/>
      <c r="F6247" s="502"/>
      <c r="G6247" s="497"/>
      <c r="H6247" s="497"/>
      <c r="I6247" s="497"/>
      <c r="J6247" s="497"/>
      <c r="K6247" s="500"/>
      <c r="L6247" s="497"/>
      <c r="M6247"/>
      <c r="N6247" s="498"/>
      <c r="O6247" s="498"/>
      <c r="P6247" s="498"/>
      <c r="Q6247" s="498"/>
      <c r="R6247" s="498"/>
      <c r="T6247" s="498"/>
      <c r="U6247" s="498"/>
      <c r="V6247" s="498"/>
      <c r="W6247" s="498"/>
      <c r="X6247" s="498"/>
      <c r="Y6247" s="498"/>
      <c r="Z6247" s="498"/>
      <c r="AA6247" s="498"/>
      <c r="AB6247" s="498"/>
      <c r="AC6247" s="498"/>
      <c r="AD6247" s="498"/>
      <c r="AE6247" s="498"/>
      <c r="AF6247" s="498"/>
      <c r="AG6247" s="498"/>
      <c r="AH6247" s="498"/>
      <c r="AI6247" s="498"/>
      <c r="AK6247" s="498"/>
      <c r="AL6247" s="498"/>
      <c r="AM6247" s="498"/>
      <c r="AN6247" s="498"/>
      <c r="AO6247" s="498"/>
      <c r="AP6247" s="498"/>
      <c r="AQ6247" s="498"/>
      <c r="AR6247" s="498"/>
      <c r="AS6247" s="498"/>
      <c r="AT6247" s="498"/>
      <c r="AU6247" s="498"/>
      <c r="AV6247" s="498"/>
      <c r="AW6247" s="498"/>
      <c r="AX6247" s="498"/>
      <c r="AY6247" s="498"/>
      <c r="AZ6247" s="498"/>
      <c r="BA6247" s="498"/>
    </row>
    <row r="6248" spans="1:53" s="499" customFormat="1" x14ac:dyDescent="0.25">
      <c r="A6248" s="500"/>
      <c r="B6248" s="501"/>
      <c r="C6248" s="502"/>
      <c r="D6248" s="497"/>
      <c r="E6248" s="497"/>
      <c r="F6248" s="502"/>
      <c r="G6248" s="497"/>
      <c r="H6248" s="497"/>
      <c r="I6248" s="497"/>
      <c r="J6248" s="497"/>
      <c r="K6248" s="500"/>
      <c r="L6248" s="497"/>
      <c r="M6248"/>
      <c r="N6248" s="498"/>
      <c r="O6248" s="498"/>
      <c r="P6248" s="498"/>
      <c r="Q6248" s="498"/>
      <c r="R6248" s="498"/>
      <c r="T6248" s="498"/>
      <c r="U6248" s="498"/>
      <c r="V6248" s="498"/>
      <c r="W6248" s="498"/>
      <c r="X6248" s="498"/>
      <c r="Y6248" s="498"/>
      <c r="Z6248" s="498"/>
      <c r="AA6248" s="498"/>
      <c r="AB6248" s="498"/>
      <c r="AC6248" s="498"/>
      <c r="AD6248" s="498"/>
      <c r="AE6248" s="498"/>
      <c r="AF6248" s="498"/>
      <c r="AG6248" s="498"/>
      <c r="AH6248" s="498"/>
      <c r="AI6248" s="498"/>
      <c r="AK6248" s="498"/>
      <c r="AL6248" s="498"/>
      <c r="AM6248" s="498"/>
      <c r="AN6248" s="498"/>
      <c r="AO6248" s="498"/>
      <c r="AP6248" s="498"/>
      <c r="AQ6248" s="498"/>
      <c r="AR6248" s="498"/>
      <c r="AS6248" s="498"/>
      <c r="AT6248" s="498"/>
      <c r="AU6248" s="498"/>
      <c r="AV6248" s="498"/>
      <c r="AW6248" s="498"/>
      <c r="AX6248" s="498"/>
      <c r="AY6248" s="498"/>
      <c r="AZ6248" s="498"/>
      <c r="BA6248" s="498"/>
    </row>
    <row r="6249" spans="1:53" s="499" customFormat="1" x14ac:dyDescent="0.25">
      <c r="A6249" s="500"/>
      <c r="B6249" s="501"/>
      <c r="C6249" s="502"/>
      <c r="D6249" s="497"/>
      <c r="E6249" s="497"/>
      <c r="F6249" s="502"/>
      <c r="G6249" s="497"/>
      <c r="H6249" s="497"/>
      <c r="I6249" s="497"/>
      <c r="J6249" s="497"/>
      <c r="K6249" s="500"/>
      <c r="L6249" s="497"/>
      <c r="M6249"/>
      <c r="N6249" s="498"/>
      <c r="O6249" s="498"/>
      <c r="P6249" s="498"/>
      <c r="Q6249" s="498"/>
      <c r="R6249" s="498"/>
      <c r="T6249" s="498"/>
      <c r="U6249" s="498"/>
      <c r="V6249" s="498"/>
      <c r="W6249" s="498"/>
      <c r="X6249" s="498"/>
      <c r="Y6249" s="498"/>
      <c r="Z6249" s="498"/>
      <c r="AA6249" s="498"/>
      <c r="AB6249" s="498"/>
      <c r="AC6249" s="498"/>
      <c r="AD6249" s="498"/>
      <c r="AE6249" s="498"/>
      <c r="AF6249" s="498"/>
      <c r="AG6249" s="498"/>
      <c r="AH6249" s="498"/>
      <c r="AI6249" s="498"/>
      <c r="AK6249" s="498"/>
      <c r="AL6249" s="498"/>
      <c r="AM6249" s="498"/>
      <c r="AN6249" s="498"/>
      <c r="AO6249" s="498"/>
      <c r="AP6249" s="498"/>
      <c r="AQ6249" s="498"/>
      <c r="AR6249" s="498"/>
      <c r="AS6249" s="498"/>
      <c r="AT6249" s="498"/>
      <c r="AU6249" s="498"/>
      <c r="AV6249" s="498"/>
      <c r="AW6249" s="498"/>
      <c r="AX6249" s="498"/>
      <c r="AY6249" s="498"/>
      <c r="AZ6249" s="498"/>
      <c r="BA6249" s="498"/>
    </row>
    <row r="6250" spans="1:53" s="499" customFormat="1" x14ac:dyDescent="0.25">
      <c r="A6250" s="500"/>
      <c r="B6250" s="501"/>
      <c r="C6250" s="502"/>
      <c r="D6250" s="497"/>
      <c r="E6250" s="497"/>
      <c r="F6250" s="502"/>
      <c r="G6250" s="497"/>
      <c r="H6250" s="497"/>
      <c r="I6250" s="497"/>
      <c r="J6250" s="497"/>
      <c r="K6250" s="500"/>
      <c r="L6250" s="497"/>
      <c r="M6250"/>
      <c r="N6250" s="498"/>
      <c r="O6250" s="498"/>
      <c r="P6250" s="498"/>
      <c r="Q6250" s="498"/>
      <c r="R6250" s="498"/>
      <c r="T6250" s="498"/>
      <c r="U6250" s="498"/>
      <c r="V6250" s="498"/>
      <c r="W6250" s="498"/>
      <c r="X6250" s="498"/>
      <c r="Y6250" s="498"/>
      <c r="Z6250" s="498"/>
      <c r="AA6250" s="498"/>
      <c r="AB6250" s="498"/>
      <c r="AC6250" s="498"/>
      <c r="AD6250" s="498"/>
      <c r="AE6250" s="498"/>
      <c r="AF6250" s="498"/>
      <c r="AG6250" s="498"/>
      <c r="AH6250" s="498"/>
      <c r="AI6250" s="498"/>
      <c r="AK6250" s="498"/>
      <c r="AL6250" s="498"/>
      <c r="AM6250" s="498"/>
      <c r="AN6250" s="498"/>
      <c r="AO6250" s="498"/>
      <c r="AP6250" s="498"/>
      <c r="AQ6250" s="498"/>
      <c r="AR6250" s="498"/>
      <c r="AS6250" s="498"/>
      <c r="AT6250" s="498"/>
      <c r="AU6250" s="498"/>
      <c r="AV6250" s="498"/>
      <c r="AW6250" s="498"/>
      <c r="AX6250" s="498"/>
      <c r="AY6250" s="498"/>
      <c r="AZ6250" s="498"/>
      <c r="BA6250" s="498"/>
    </row>
    <row r="6251" spans="1:53" s="499" customFormat="1" x14ac:dyDescent="0.25">
      <c r="A6251" s="500"/>
      <c r="B6251" s="501"/>
      <c r="C6251" s="502"/>
      <c r="D6251" s="497"/>
      <c r="E6251" s="497"/>
      <c r="F6251" s="502"/>
      <c r="G6251" s="497"/>
      <c r="H6251" s="497"/>
      <c r="I6251" s="497"/>
      <c r="J6251" s="497"/>
      <c r="K6251" s="500"/>
      <c r="L6251" s="497"/>
      <c r="M6251"/>
      <c r="N6251" s="498"/>
      <c r="O6251" s="498"/>
      <c r="P6251" s="498"/>
      <c r="Q6251" s="498"/>
      <c r="R6251" s="498"/>
      <c r="T6251" s="498"/>
      <c r="U6251" s="498"/>
      <c r="V6251" s="498"/>
      <c r="W6251" s="498"/>
      <c r="X6251" s="498"/>
      <c r="Y6251" s="498"/>
      <c r="Z6251" s="498"/>
      <c r="AA6251" s="498"/>
      <c r="AB6251" s="498"/>
      <c r="AC6251" s="498"/>
      <c r="AD6251" s="498"/>
      <c r="AE6251" s="498"/>
      <c r="AF6251" s="498"/>
      <c r="AG6251" s="498"/>
      <c r="AH6251" s="498"/>
      <c r="AI6251" s="498"/>
      <c r="AK6251" s="498"/>
      <c r="AL6251" s="498"/>
      <c r="AM6251" s="498"/>
      <c r="AN6251" s="498"/>
      <c r="AO6251" s="498"/>
      <c r="AP6251" s="498"/>
      <c r="AQ6251" s="498"/>
      <c r="AR6251" s="498"/>
      <c r="AS6251" s="498"/>
      <c r="AT6251" s="498"/>
      <c r="AU6251" s="498"/>
      <c r="AV6251" s="498"/>
      <c r="AW6251" s="498"/>
      <c r="AX6251" s="498"/>
      <c r="AY6251" s="498"/>
      <c r="AZ6251" s="498"/>
      <c r="BA6251" s="498"/>
    </row>
    <row r="6252" spans="1:53" s="499" customFormat="1" x14ac:dyDescent="0.25">
      <c r="A6252" s="500"/>
      <c r="B6252" s="501"/>
      <c r="C6252" s="502"/>
      <c r="D6252" s="497"/>
      <c r="E6252" s="497"/>
      <c r="F6252" s="502"/>
      <c r="G6252" s="497"/>
      <c r="H6252" s="497"/>
      <c r="I6252" s="497"/>
      <c r="J6252" s="497"/>
      <c r="K6252" s="500"/>
      <c r="L6252" s="497"/>
      <c r="M6252"/>
      <c r="N6252" s="498"/>
      <c r="O6252" s="498"/>
      <c r="P6252" s="498"/>
      <c r="Q6252" s="498"/>
      <c r="R6252" s="498"/>
      <c r="T6252" s="498"/>
      <c r="U6252" s="498"/>
      <c r="V6252" s="498"/>
      <c r="W6252" s="498"/>
      <c r="X6252" s="498"/>
      <c r="Y6252" s="498"/>
      <c r="Z6252" s="498"/>
      <c r="AA6252" s="498"/>
      <c r="AB6252" s="498"/>
      <c r="AC6252" s="498"/>
      <c r="AD6252" s="498"/>
      <c r="AE6252" s="498"/>
      <c r="AF6252" s="498"/>
      <c r="AG6252" s="498"/>
      <c r="AH6252" s="498"/>
      <c r="AI6252" s="498"/>
      <c r="AK6252" s="498"/>
      <c r="AL6252" s="498"/>
      <c r="AM6252" s="498"/>
      <c r="AN6252" s="498"/>
      <c r="AO6252" s="498"/>
      <c r="AP6252" s="498"/>
      <c r="AQ6252" s="498"/>
      <c r="AR6252" s="498"/>
      <c r="AS6252" s="498"/>
      <c r="AT6252" s="498"/>
      <c r="AU6252" s="498"/>
      <c r="AV6252" s="498"/>
      <c r="AW6252" s="498"/>
      <c r="AX6252" s="498"/>
      <c r="AY6252" s="498"/>
      <c r="AZ6252" s="498"/>
      <c r="BA6252" s="498"/>
    </row>
    <row r="6253" spans="1:53" s="499" customFormat="1" x14ac:dyDescent="0.25">
      <c r="A6253" s="500"/>
      <c r="B6253" s="501"/>
      <c r="C6253" s="502"/>
      <c r="D6253" s="497"/>
      <c r="E6253" s="497"/>
      <c r="F6253" s="502"/>
      <c r="G6253" s="497"/>
      <c r="H6253" s="497"/>
      <c r="I6253" s="497"/>
      <c r="J6253" s="497"/>
      <c r="K6253" s="500"/>
      <c r="L6253" s="497"/>
      <c r="M6253"/>
      <c r="N6253" s="498"/>
      <c r="O6253" s="498"/>
      <c r="P6253" s="498"/>
      <c r="Q6253" s="498"/>
      <c r="R6253" s="498"/>
      <c r="T6253" s="498"/>
      <c r="U6253" s="498"/>
      <c r="V6253" s="498"/>
      <c r="W6253" s="498"/>
      <c r="X6253" s="498"/>
      <c r="Y6253" s="498"/>
      <c r="Z6253" s="498"/>
      <c r="AA6253" s="498"/>
      <c r="AB6253" s="498"/>
      <c r="AC6253" s="498"/>
      <c r="AD6253" s="498"/>
      <c r="AE6253" s="498"/>
      <c r="AF6253" s="498"/>
      <c r="AG6253" s="498"/>
      <c r="AH6253" s="498"/>
      <c r="AI6253" s="498"/>
      <c r="AK6253" s="498"/>
      <c r="AL6253" s="498"/>
      <c r="AM6253" s="498"/>
      <c r="AN6253" s="498"/>
      <c r="AO6253" s="498"/>
      <c r="AP6253" s="498"/>
      <c r="AQ6253" s="498"/>
      <c r="AR6253" s="498"/>
      <c r="AS6253" s="498"/>
      <c r="AT6253" s="498"/>
      <c r="AU6253" s="498"/>
      <c r="AV6253" s="498"/>
      <c r="AW6253" s="498"/>
      <c r="AX6253" s="498"/>
      <c r="AY6253" s="498"/>
      <c r="AZ6253" s="498"/>
      <c r="BA6253" s="498"/>
    </row>
    <row r="6254" spans="1:53" s="499" customFormat="1" x14ac:dyDescent="0.25">
      <c r="A6254" s="500"/>
      <c r="B6254" s="501"/>
      <c r="C6254" s="502"/>
      <c r="D6254" s="497"/>
      <c r="E6254" s="497"/>
      <c r="F6254" s="502"/>
      <c r="G6254" s="497"/>
      <c r="H6254" s="497"/>
      <c r="I6254" s="497"/>
      <c r="J6254" s="497"/>
      <c r="K6254" s="500"/>
      <c r="L6254" s="497"/>
      <c r="M6254"/>
      <c r="N6254" s="498"/>
      <c r="O6254" s="498"/>
      <c r="P6254" s="498"/>
      <c r="Q6254" s="498"/>
      <c r="R6254" s="498"/>
      <c r="T6254" s="498"/>
      <c r="U6254" s="498"/>
      <c r="V6254" s="498"/>
      <c r="W6254" s="498"/>
      <c r="X6254" s="498"/>
      <c r="Y6254" s="498"/>
      <c r="Z6254" s="498"/>
      <c r="AA6254" s="498"/>
      <c r="AB6254" s="498"/>
      <c r="AC6254" s="498"/>
      <c r="AD6254" s="498"/>
      <c r="AE6254" s="498"/>
      <c r="AF6254" s="498"/>
      <c r="AG6254" s="498"/>
      <c r="AH6254" s="498"/>
      <c r="AI6254" s="498"/>
      <c r="AK6254" s="498"/>
      <c r="AL6254" s="498"/>
      <c r="AM6254" s="498"/>
      <c r="AN6254" s="498"/>
      <c r="AO6254" s="498"/>
      <c r="AP6254" s="498"/>
      <c r="AQ6254" s="498"/>
      <c r="AR6254" s="498"/>
      <c r="AS6254" s="498"/>
      <c r="AT6254" s="498"/>
      <c r="AU6254" s="498"/>
      <c r="AV6254" s="498"/>
      <c r="AW6254" s="498"/>
      <c r="AX6254" s="498"/>
      <c r="AY6254" s="498"/>
      <c r="AZ6254" s="498"/>
      <c r="BA6254" s="498"/>
    </row>
    <row r="6255" spans="1:53" s="499" customFormat="1" x14ac:dyDescent="0.25">
      <c r="A6255" s="500"/>
      <c r="B6255" s="501"/>
      <c r="C6255" s="502"/>
      <c r="D6255" s="497"/>
      <c r="E6255" s="497"/>
      <c r="F6255" s="502"/>
      <c r="G6255" s="497"/>
      <c r="H6255" s="497"/>
      <c r="I6255" s="497"/>
      <c r="J6255" s="497"/>
      <c r="K6255" s="500"/>
      <c r="L6255" s="497"/>
      <c r="M6255"/>
      <c r="N6255" s="498"/>
      <c r="O6255" s="498"/>
      <c r="P6255" s="498"/>
      <c r="Q6255" s="498"/>
      <c r="R6255" s="498"/>
      <c r="T6255" s="498"/>
      <c r="U6255" s="498"/>
      <c r="V6255" s="498"/>
      <c r="W6255" s="498"/>
      <c r="X6255" s="498"/>
      <c r="Y6255" s="498"/>
      <c r="Z6255" s="498"/>
      <c r="AA6255" s="498"/>
      <c r="AB6255" s="498"/>
      <c r="AC6255" s="498"/>
      <c r="AD6255" s="498"/>
      <c r="AE6255" s="498"/>
      <c r="AF6255" s="498"/>
      <c r="AG6255" s="498"/>
      <c r="AH6255" s="498"/>
      <c r="AI6255" s="498"/>
      <c r="AK6255" s="498"/>
      <c r="AL6255" s="498"/>
      <c r="AM6255" s="498"/>
      <c r="AN6255" s="498"/>
      <c r="AO6255" s="498"/>
      <c r="AP6255" s="498"/>
      <c r="AQ6255" s="498"/>
      <c r="AR6255" s="498"/>
      <c r="AS6255" s="498"/>
      <c r="AT6255" s="498"/>
      <c r="AU6255" s="498"/>
      <c r="AV6255" s="498"/>
      <c r="AW6255" s="498"/>
      <c r="AX6255" s="498"/>
      <c r="AY6255" s="498"/>
      <c r="AZ6255" s="498"/>
      <c r="BA6255" s="498"/>
    </row>
    <row r="6256" spans="1:53" s="499" customFormat="1" x14ac:dyDescent="0.25">
      <c r="A6256" s="500"/>
      <c r="B6256" s="501"/>
      <c r="C6256" s="502"/>
      <c r="D6256" s="497"/>
      <c r="E6256" s="497"/>
      <c r="F6256" s="502"/>
      <c r="G6256" s="497"/>
      <c r="H6256" s="497"/>
      <c r="I6256" s="497"/>
      <c r="J6256" s="497"/>
      <c r="K6256" s="500"/>
      <c r="L6256" s="497"/>
      <c r="M6256"/>
      <c r="N6256" s="498"/>
      <c r="O6256" s="498"/>
      <c r="P6256" s="498"/>
      <c r="Q6256" s="498"/>
      <c r="R6256" s="498"/>
      <c r="T6256" s="498"/>
      <c r="U6256" s="498"/>
      <c r="V6256" s="498"/>
      <c r="W6256" s="498"/>
      <c r="X6256" s="498"/>
      <c r="Y6256" s="498"/>
      <c r="Z6256" s="498"/>
      <c r="AA6256" s="498"/>
      <c r="AB6256" s="498"/>
      <c r="AC6256" s="498"/>
      <c r="AD6256" s="498"/>
      <c r="AE6256" s="498"/>
      <c r="AF6256" s="498"/>
      <c r="AG6256" s="498"/>
      <c r="AH6256" s="498"/>
      <c r="AI6256" s="498"/>
      <c r="AK6256" s="498"/>
      <c r="AL6256" s="498"/>
      <c r="AM6256" s="498"/>
      <c r="AN6256" s="498"/>
      <c r="AO6256" s="498"/>
      <c r="AP6256" s="498"/>
      <c r="AQ6256" s="498"/>
      <c r="AR6256" s="498"/>
      <c r="AS6256" s="498"/>
      <c r="AT6256" s="498"/>
      <c r="AU6256" s="498"/>
      <c r="AV6256" s="498"/>
      <c r="AW6256" s="498"/>
      <c r="AX6256" s="498"/>
      <c r="AY6256" s="498"/>
      <c r="AZ6256" s="498"/>
      <c r="BA6256" s="498"/>
    </row>
    <row r="6257" spans="1:53" s="499" customFormat="1" x14ac:dyDescent="0.25">
      <c r="A6257" s="500"/>
      <c r="B6257" s="501"/>
      <c r="C6257" s="502"/>
      <c r="D6257" s="497"/>
      <c r="E6257" s="497"/>
      <c r="F6257" s="502"/>
      <c r="G6257" s="497"/>
      <c r="H6257" s="497"/>
      <c r="I6257" s="497"/>
      <c r="J6257" s="497"/>
      <c r="K6257" s="500"/>
      <c r="L6257" s="497"/>
      <c r="M6257"/>
      <c r="N6257" s="498"/>
      <c r="O6257" s="498"/>
      <c r="P6257" s="498"/>
      <c r="Q6257" s="498"/>
      <c r="R6257" s="498"/>
      <c r="T6257" s="498"/>
      <c r="U6257" s="498"/>
      <c r="V6257" s="498"/>
      <c r="W6257" s="498"/>
      <c r="X6257" s="498"/>
      <c r="Y6257" s="498"/>
      <c r="Z6257" s="498"/>
      <c r="AA6257" s="498"/>
      <c r="AB6257" s="498"/>
      <c r="AC6257" s="498"/>
      <c r="AD6257" s="498"/>
      <c r="AE6257" s="498"/>
      <c r="AF6257" s="498"/>
      <c r="AG6257" s="498"/>
      <c r="AH6257" s="498"/>
      <c r="AI6257" s="498"/>
      <c r="AK6257" s="498"/>
      <c r="AL6257" s="498"/>
      <c r="AM6257" s="498"/>
      <c r="AN6257" s="498"/>
      <c r="AO6257" s="498"/>
      <c r="AP6257" s="498"/>
      <c r="AQ6257" s="498"/>
      <c r="AR6257" s="498"/>
      <c r="AS6257" s="498"/>
      <c r="AT6257" s="498"/>
      <c r="AU6257" s="498"/>
      <c r="AV6257" s="498"/>
      <c r="AW6257" s="498"/>
      <c r="AX6257" s="498"/>
      <c r="AY6257" s="498"/>
      <c r="AZ6257" s="498"/>
      <c r="BA6257" s="498"/>
    </row>
    <row r="6258" spans="1:53" s="499" customFormat="1" x14ac:dyDescent="0.25">
      <c r="A6258" s="500"/>
      <c r="B6258" s="501"/>
      <c r="C6258" s="502"/>
      <c r="D6258" s="497"/>
      <c r="E6258" s="497"/>
      <c r="F6258" s="502"/>
      <c r="G6258" s="497"/>
      <c r="H6258" s="497"/>
      <c r="I6258" s="497"/>
      <c r="J6258" s="497"/>
      <c r="K6258" s="500"/>
      <c r="L6258" s="497"/>
      <c r="M6258"/>
      <c r="N6258" s="498"/>
      <c r="O6258" s="498"/>
      <c r="P6258" s="498"/>
      <c r="Q6258" s="498"/>
      <c r="R6258" s="498"/>
      <c r="T6258" s="498"/>
      <c r="U6258" s="498"/>
      <c r="V6258" s="498"/>
      <c r="W6258" s="498"/>
      <c r="X6258" s="498"/>
      <c r="Y6258" s="498"/>
      <c r="Z6258" s="498"/>
      <c r="AA6258" s="498"/>
      <c r="AB6258" s="498"/>
      <c r="AC6258" s="498"/>
      <c r="AD6258" s="498"/>
      <c r="AE6258" s="498"/>
      <c r="AF6258" s="498"/>
      <c r="AG6258" s="498"/>
      <c r="AH6258" s="498"/>
      <c r="AI6258" s="498"/>
      <c r="AK6258" s="498"/>
      <c r="AL6258" s="498"/>
      <c r="AM6258" s="498"/>
      <c r="AN6258" s="498"/>
      <c r="AO6258" s="498"/>
      <c r="AP6258" s="498"/>
      <c r="AQ6258" s="498"/>
      <c r="AR6258" s="498"/>
      <c r="AS6258" s="498"/>
      <c r="AT6258" s="498"/>
      <c r="AU6258" s="498"/>
      <c r="AV6258" s="498"/>
      <c r="AW6258" s="498"/>
      <c r="AX6258" s="498"/>
      <c r="AY6258" s="498"/>
      <c r="AZ6258" s="498"/>
      <c r="BA6258" s="498"/>
    </row>
    <row r="6259" spans="1:53" s="499" customFormat="1" x14ac:dyDescent="0.25">
      <c r="A6259" s="500"/>
      <c r="B6259" s="501"/>
      <c r="C6259" s="502"/>
      <c r="D6259" s="497"/>
      <c r="E6259" s="497"/>
      <c r="F6259" s="502"/>
      <c r="G6259" s="497"/>
      <c r="H6259" s="497"/>
      <c r="I6259" s="497"/>
      <c r="J6259" s="497"/>
      <c r="K6259" s="500"/>
      <c r="L6259" s="497"/>
      <c r="M6259"/>
      <c r="N6259" s="498"/>
      <c r="O6259" s="498"/>
      <c r="P6259" s="498"/>
      <c r="Q6259" s="498"/>
      <c r="R6259" s="498"/>
      <c r="T6259" s="498"/>
      <c r="U6259" s="498"/>
      <c r="V6259" s="498"/>
      <c r="W6259" s="498"/>
      <c r="X6259" s="498"/>
      <c r="Y6259" s="498"/>
      <c r="Z6259" s="498"/>
      <c r="AA6259" s="498"/>
      <c r="AB6259" s="498"/>
      <c r="AC6259" s="498"/>
      <c r="AD6259" s="498"/>
      <c r="AE6259" s="498"/>
      <c r="AF6259" s="498"/>
      <c r="AG6259" s="498"/>
      <c r="AH6259" s="498"/>
      <c r="AI6259" s="498"/>
      <c r="AK6259" s="498"/>
      <c r="AL6259" s="498"/>
      <c r="AM6259" s="498"/>
      <c r="AN6259" s="498"/>
      <c r="AO6259" s="498"/>
      <c r="AP6259" s="498"/>
      <c r="AQ6259" s="498"/>
      <c r="AR6259" s="498"/>
      <c r="AS6259" s="498"/>
      <c r="AT6259" s="498"/>
      <c r="AU6259" s="498"/>
      <c r="AV6259" s="498"/>
      <c r="AW6259" s="498"/>
      <c r="AX6259" s="498"/>
      <c r="AY6259" s="498"/>
      <c r="AZ6259" s="498"/>
      <c r="BA6259" s="498"/>
    </row>
    <row r="6260" spans="1:53" s="499" customFormat="1" x14ac:dyDescent="0.25">
      <c r="A6260" s="500"/>
      <c r="B6260" s="501"/>
      <c r="C6260" s="502"/>
      <c r="D6260" s="497"/>
      <c r="E6260" s="497"/>
      <c r="F6260" s="502"/>
      <c r="G6260" s="497"/>
      <c r="H6260" s="497"/>
      <c r="I6260" s="497"/>
      <c r="J6260" s="497"/>
      <c r="K6260" s="500"/>
      <c r="L6260" s="497"/>
      <c r="M6260"/>
      <c r="N6260" s="498"/>
      <c r="O6260" s="498"/>
      <c r="P6260" s="498"/>
      <c r="Q6260" s="498"/>
      <c r="R6260" s="498"/>
      <c r="T6260" s="498"/>
      <c r="U6260" s="498"/>
      <c r="V6260" s="498"/>
      <c r="W6260" s="498"/>
      <c r="X6260" s="498"/>
      <c r="Y6260" s="498"/>
      <c r="Z6260" s="498"/>
      <c r="AA6260" s="498"/>
      <c r="AB6260" s="498"/>
      <c r="AC6260" s="498"/>
      <c r="AD6260" s="498"/>
      <c r="AE6260" s="498"/>
      <c r="AF6260" s="498"/>
      <c r="AG6260" s="498"/>
      <c r="AH6260" s="498"/>
      <c r="AI6260" s="498"/>
      <c r="AK6260" s="498"/>
      <c r="AL6260" s="498"/>
      <c r="AM6260" s="498"/>
      <c r="AN6260" s="498"/>
      <c r="AO6260" s="498"/>
      <c r="AP6260" s="498"/>
      <c r="AQ6260" s="498"/>
      <c r="AR6260" s="498"/>
      <c r="AS6260" s="498"/>
      <c r="AT6260" s="498"/>
      <c r="AU6260" s="498"/>
      <c r="AV6260" s="498"/>
      <c r="AW6260" s="498"/>
      <c r="AX6260" s="498"/>
      <c r="AY6260" s="498"/>
      <c r="AZ6260" s="498"/>
      <c r="BA6260" s="498"/>
    </row>
    <row r="6261" spans="1:53" s="499" customFormat="1" x14ac:dyDescent="0.25">
      <c r="A6261" s="500"/>
      <c r="B6261" s="501"/>
      <c r="C6261" s="502"/>
      <c r="D6261" s="497"/>
      <c r="E6261" s="497"/>
      <c r="F6261" s="502"/>
      <c r="G6261" s="497"/>
      <c r="H6261" s="497"/>
      <c r="I6261" s="497"/>
      <c r="J6261" s="497"/>
      <c r="K6261" s="500"/>
      <c r="L6261" s="497"/>
      <c r="M6261"/>
      <c r="N6261" s="498"/>
      <c r="O6261" s="498"/>
      <c r="P6261" s="498"/>
      <c r="Q6261" s="498"/>
      <c r="R6261" s="498"/>
      <c r="T6261" s="498"/>
      <c r="U6261" s="498"/>
      <c r="V6261" s="498"/>
      <c r="W6261" s="498"/>
      <c r="X6261" s="498"/>
      <c r="Y6261" s="498"/>
      <c r="Z6261" s="498"/>
      <c r="AA6261" s="498"/>
      <c r="AB6261" s="498"/>
      <c r="AC6261" s="498"/>
      <c r="AD6261" s="498"/>
      <c r="AE6261" s="498"/>
      <c r="AF6261" s="498"/>
      <c r="AG6261" s="498"/>
      <c r="AH6261" s="498"/>
      <c r="AI6261" s="498"/>
      <c r="AK6261" s="498"/>
      <c r="AL6261" s="498"/>
      <c r="AM6261" s="498"/>
      <c r="AN6261" s="498"/>
      <c r="AO6261" s="498"/>
      <c r="AP6261" s="498"/>
      <c r="AQ6261" s="498"/>
      <c r="AR6261" s="498"/>
      <c r="AS6261" s="498"/>
      <c r="AT6261" s="498"/>
      <c r="AU6261" s="498"/>
      <c r="AV6261" s="498"/>
      <c r="AW6261" s="498"/>
      <c r="AX6261" s="498"/>
      <c r="AY6261" s="498"/>
      <c r="AZ6261" s="498"/>
      <c r="BA6261" s="498"/>
    </row>
    <row r="6262" spans="1:53" s="499" customFormat="1" x14ac:dyDescent="0.25">
      <c r="A6262" s="500"/>
      <c r="B6262" s="501"/>
      <c r="C6262" s="502"/>
      <c r="D6262" s="497"/>
      <c r="E6262" s="497"/>
      <c r="F6262" s="502"/>
      <c r="G6262" s="497"/>
      <c r="H6262" s="497"/>
      <c r="I6262" s="497"/>
      <c r="J6262" s="497"/>
      <c r="K6262" s="500"/>
      <c r="L6262" s="497"/>
      <c r="M6262"/>
      <c r="N6262" s="498"/>
      <c r="O6262" s="498"/>
      <c r="P6262" s="498"/>
      <c r="Q6262" s="498"/>
      <c r="R6262" s="498"/>
      <c r="T6262" s="498"/>
      <c r="U6262" s="498"/>
      <c r="V6262" s="498"/>
      <c r="W6262" s="498"/>
      <c r="X6262" s="498"/>
      <c r="Y6262" s="498"/>
      <c r="Z6262" s="498"/>
      <c r="AA6262" s="498"/>
      <c r="AB6262" s="498"/>
      <c r="AC6262" s="498"/>
      <c r="AD6262" s="498"/>
      <c r="AE6262" s="498"/>
      <c r="AF6262" s="498"/>
      <c r="AG6262" s="498"/>
      <c r="AH6262" s="498"/>
      <c r="AI6262" s="498"/>
      <c r="AK6262" s="498"/>
      <c r="AL6262" s="498"/>
      <c r="AM6262" s="498"/>
      <c r="AN6262" s="498"/>
      <c r="AO6262" s="498"/>
      <c r="AP6262" s="498"/>
      <c r="AQ6262" s="498"/>
      <c r="AR6262" s="498"/>
      <c r="AS6262" s="498"/>
      <c r="AT6262" s="498"/>
      <c r="AU6262" s="498"/>
      <c r="AV6262" s="498"/>
      <c r="AW6262" s="498"/>
      <c r="AX6262" s="498"/>
      <c r="AY6262" s="498"/>
      <c r="AZ6262" s="498"/>
      <c r="BA6262" s="498"/>
    </row>
    <row r="6263" spans="1:53" s="499" customFormat="1" x14ac:dyDescent="0.25">
      <c r="A6263" s="500"/>
      <c r="B6263" s="501"/>
      <c r="C6263" s="502"/>
      <c r="D6263" s="497"/>
      <c r="E6263" s="497"/>
      <c r="F6263" s="502"/>
      <c r="G6263" s="497"/>
      <c r="H6263" s="497"/>
      <c r="I6263" s="497"/>
      <c r="J6263" s="497"/>
      <c r="K6263" s="500"/>
      <c r="L6263" s="497"/>
      <c r="M6263"/>
      <c r="N6263" s="498"/>
      <c r="O6263" s="498"/>
      <c r="P6263" s="498"/>
      <c r="Q6263" s="498"/>
      <c r="R6263" s="498"/>
      <c r="T6263" s="498"/>
      <c r="U6263" s="498"/>
      <c r="V6263" s="498"/>
      <c r="W6263" s="498"/>
      <c r="X6263" s="498"/>
      <c r="Y6263" s="498"/>
      <c r="Z6263" s="498"/>
      <c r="AA6263" s="498"/>
      <c r="AB6263" s="498"/>
      <c r="AC6263" s="498"/>
      <c r="AD6263" s="498"/>
      <c r="AE6263" s="498"/>
      <c r="AF6263" s="498"/>
      <c r="AG6263" s="498"/>
      <c r="AH6263" s="498"/>
      <c r="AI6263" s="498"/>
      <c r="AK6263" s="498"/>
      <c r="AL6263" s="498"/>
      <c r="AM6263" s="498"/>
      <c r="AN6263" s="498"/>
      <c r="AO6263" s="498"/>
      <c r="AP6263" s="498"/>
      <c r="AQ6263" s="498"/>
      <c r="AR6263" s="498"/>
      <c r="AS6263" s="498"/>
      <c r="AT6263" s="498"/>
      <c r="AU6263" s="498"/>
      <c r="AV6263" s="498"/>
      <c r="AW6263" s="498"/>
      <c r="AX6263" s="498"/>
      <c r="AY6263" s="498"/>
      <c r="AZ6263" s="498"/>
      <c r="BA6263" s="498"/>
    </row>
    <row r="6264" spans="1:53" s="499" customFormat="1" x14ac:dyDescent="0.25">
      <c r="A6264" s="500"/>
      <c r="B6264" s="501"/>
      <c r="C6264" s="502"/>
      <c r="D6264" s="497"/>
      <c r="E6264" s="497"/>
      <c r="F6264" s="502"/>
      <c r="G6264" s="497"/>
      <c r="H6264" s="497"/>
      <c r="I6264" s="497"/>
      <c r="J6264" s="497"/>
      <c r="K6264" s="500"/>
      <c r="L6264" s="497"/>
      <c r="M6264"/>
      <c r="N6264" s="498"/>
      <c r="O6264" s="498"/>
      <c r="P6264" s="498"/>
      <c r="Q6264" s="498"/>
      <c r="R6264" s="498"/>
      <c r="T6264" s="498"/>
      <c r="U6264" s="498"/>
      <c r="V6264" s="498"/>
      <c r="W6264" s="498"/>
      <c r="X6264" s="498"/>
      <c r="Y6264" s="498"/>
      <c r="Z6264" s="498"/>
      <c r="AA6264" s="498"/>
      <c r="AB6264" s="498"/>
      <c r="AC6264" s="498"/>
      <c r="AD6264" s="498"/>
      <c r="AE6264" s="498"/>
      <c r="AF6264" s="498"/>
      <c r="AG6264" s="498"/>
      <c r="AH6264" s="498"/>
      <c r="AI6264" s="498"/>
      <c r="AK6264" s="498"/>
      <c r="AL6264" s="498"/>
      <c r="AM6264" s="498"/>
      <c r="AN6264" s="498"/>
      <c r="AO6264" s="498"/>
      <c r="AP6264" s="498"/>
      <c r="AQ6264" s="498"/>
      <c r="AR6264" s="498"/>
      <c r="AS6264" s="498"/>
      <c r="AT6264" s="498"/>
      <c r="AU6264" s="498"/>
      <c r="AV6264" s="498"/>
      <c r="AW6264" s="498"/>
      <c r="AX6264" s="498"/>
      <c r="AY6264" s="498"/>
      <c r="AZ6264" s="498"/>
      <c r="BA6264" s="498"/>
    </row>
    <row r="6265" spans="1:53" s="499" customFormat="1" x14ac:dyDescent="0.25">
      <c r="A6265" s="500"/>
      <c r="B6265" s="501"/>
      <c r="C6265" s="502"/>
      <c r="D6265" s="497"/>
      <c r="E6265" s="497"/>
      <c r="F6265" s="502"/>
      <c r="G6265" s="497"/>
      <c r="H6265" s="497"/>
      <c r="I6265" s="497"/>
      <c r="J6265" s="497"/>
      <c r="K6265" s="500"/>
      <c r="L6265" s="497"/>
      <c r="M6265"/>
      <c r="N6265" s="498"/>
      <c r="O6265" s="498"/>
      <c r="P6265" s="498"/>
      <c r="Q6265" s="498"/>
      <c r="R6265" s="498"/>
      <c r="T6265" s="498"/>
      <c r="U6265" s="498"/>
      <c r="V6265" s="498"/>
      <c r="W6265" s="498"/>
      <c r="X6265" s="498"/>
      <c r="Y6265" s="498"/>
      <c r="Z6265" s="498"/>
      <c r="AA6265" s="498"/>
      <c r="AB6265" s="498"/>
      <c r="AC6265" s="498"/>
      <c r="AD6265" s="498"/>
      <c r="AE6265" s="498"/>
      <c r="AF6265" s="498"/>
      <c r="AG6265" s="498"/>
      <c r="AH6265" s="498"/>
      <c r="AI6265" s="498"/>
      <c r="AK6265" s="498"/>
      <c r="AL6265" s="498"/>
      <c r="AM6265" s="498"/>
      <c r="AN6265" s="498"/>
      <c r="AO6265" s="498"/>
      <c r="AP6265" s="498"/>
      <c r="AQ6265" s="498"/>
      <c r="AR6265" s="498"/>
      <c r="AS6265" s="498"/>
      <c r="AT6265" s="498"/>
      <c r="AU6265" s="498"/>
      <c r="AV6265" s="498"/>
      <c r="AW6265" s="498"/>
      <c r="AX6265" s="498"/>
      <c r="AY6265" s="498"/>
      <c r="AZ6265" s="498"/>
      <c r="BA6265" s="498"/>
    </row>
    <row r="6266" spans="1:53" s="499" customFormat="1" x14ac:dyDescent="0.25">
      <c r="A6266" s="500"/>
      <c r="B6266" s="501"/>
      <c r="C6266" s="502"/>
      <c r="D6266" s="497"/>
      <c r="E6266" s="497"/>
      <c r="F6266" s="502"/>
      <c r="G6266" s="497"/>
      <c r="H6266" s="497"/>
      <c r="I6266" s="497"/>
      <c r="J6266" s="497"/>
      <c r="K6266" s="500"/>
      <c r="L6266" s="497"/>
      <c r="M6266"/>
      <c r="N6266" s="498"/>
      <c r="O6266" s="498"/>
      <c r="P6266" s="498"/>
      <c r="Q6266" s="498"/>
      <c r="R6266" s="498"/>
      <c r="T6266" s="498"/>
      <c r="U6266" s="498"/>
      <c r="V6266" s="498"/>
      <c r="W6266" s="498"/>
      <c r="X6266" s="498"/>
      <c r="Y6266" s="498"/>
      <c r="Z6266" s="498"/>
      <c r="AA6266" s="498"/>
      <c r="AB6266" s="498"/>
      <c r="AC6266" s="498"/>
      <c r="AD6266" s="498"/>
      <c r="AE6266" s="498"/>
      <c r="AF6266" s="498"/>
      <c r="AG6266" s="498"/>
      <c r="AH6266" s="498"/>
      <c r="AI6266" s="498"/>
      <c r="AK6266" s="498"/>
      <c r="AL6266" s="498"/>
      <c r="AM6266" s="498"/>
      <c r="AN6266" s="498"/>
      <c r="AO6266" s="498"/>
      <c r="AP6266" s="498"/>
      <c r="AQ6266" s="498"/>
      <c r="AR6266" s="498"/>
      <c r="AS6266" s="498"/>
      <c r="AT6266" s="498"/>
      <c r="AU6266" s="498"/>
      <c r="AV6266" s="498"/>
      <c r="AW6266" s="498"/>
      <c r="AX6266" s="498"/>
      <c r="AY6266" s="498"/>
      <c r="AZ6266" s="498"/>
      <c r="BA6266" s="498"/>
    </row>
    <row r="6267" spans="1:53" s="499" customFormat="1" x14ac:dyDescent="0.25">
      <c r="A6267" s="500"/>
      <c r="B6267" s="501"/>
      <c r="C6267" s="502"/>
      <c r="D6267" s="497"/>
      <c r="E6267" s="497"/>
      <c r="F6267" s="502"/>
      <c r="G6267" s="497"/>
      <c r="H6267" s="497"/>
      <c r="I6267" s="497"/>
      <c r="J6267" s="497"/>
      <c r="K6267" s="500"/>
      <c r="L6267" s="497"/>
      <c r="M6267"/>
      <c r="N6267" s="498"/>
      <c r="O6267" s="498"/>
      <c r="P6267" s="498"/>
      <c r="Q6267" s="498"/>
      <c r="R6267" s="498"/>
      <c r="T6267" s="498"/>
      <c r="U6267" s="498"/>
      <c r="V6267" s="498"/>
      <c r="W6267" s="498"/>
      <c r="X6267" s="498"/>
      <c r="Y6267" s="498"/>
      <c r="Z6267" s="498"/>
      <c r="AA6267" s="498"/>
      <c r="AB6267" s="498"/>
      <c r="AC6267" s="498"/>
      <c r="AD6267" s="498"/>
      <c r="AE6267" s="498"/>
      <c r="AF6267" s="498"/>
      <c r="AG6267" s="498"/>
      <c r="AH6267" s="498"/>
      <c r="AI6267" s="498"/>
      <c r="AK6267" s="498"/>
      <c r="AL6267" s="498"/>
      <c r="AM6267" s="498"/>
      <c r="AN6267" s="498"/>
      <c r="AO6267" s="498"/>
      <c r="AP6267" s="498"/>
      <c r="AQ6267" s="498"/>
      <c r="AR6267" s="498"/>
      <c r="AS6267" s="498"/>
      <c r="AT6267" s="498"/>
      <c r="AU6267" s="498"/>
      <c r="AV6267" s="498"/>
      <c r="AW6267" s="498"/>
      <c r="AX6267" s="498"/>
      <c r="AY6267" s="498"/>
      <c r="AZ6267" s="498"/>
      <c r="BA6267" s="498"/>
    </row>
    <row r="6268" spans="1:53" s="499" customFormat="1" x14ac:dyDescent="0.25">
      <c r="A6268" s="500"/>
      <c r="B6268" s="501"/>
      <c r="C6268" s="502"/>
      <c r="D6268" s="497"/>
      <c r="E6268" s="497"/>
      <c r="F6268" s="502"/>
      <c r="G6268" s="497"/>
      <c r="H6268" s="497"/>
      <c r="I6268" s="497"/>
      <c r="J6268" s="497"/>
      <c r="K6268" s="500"/>
      <c r="L6268" s="497"/>
      <c r="M6268"/>
      <c r="N6268" s="498"/>
      <c r="O6268" s="498"/>
      <c r="P6268" s="498"/>
      <c r="Q6268" s="498"/>
      <c r="R6268" s="498"/>
      <c r="T6268" s="498"/>
      <c r="U6268" s="498"/>
      <c r="V6268" s="498"/>
      <c r="W6268" s="498"/>
      <c r="X6268" s="498"/>
      <c r="Y6268" s="498"/>
      <c r="Z6268" s="498"/>
      <c r="AA6268" s="498"/>
      <c r="AB6268" s="498"/>
      <c r="AC6268" s="498"/>
      <c r="AD6268" s="498"/>
      <c r="AE6268" s="498"/>
      <c r="AF6268" s="498"/>
      <c r="AG6268" s="498"/>
      <c r="AH6268" s="498"/>
      <c r="AI6268" s="498"/>
      <c r="AK6268" s="498"/>
      <c r="AL6268" s="498"/>
      <c r="AM6268" s="498"/>
      <c r="AN6268" s="498"/>
      <c r="AO6268" s="498"/>
      <c r="AP6268" s="498"/>
      <c r="AQ6268" s="498"/>
      <c r="AR6268" s="498"/>
      <c r="AS6268" s="498"/>
      <c r="AT6268" s="498"/>
      <c r="AU6268" s="498"/>
      <c r="AV6268" s="498"/>
      <c r="AW6268" s="498"/>
      <c r="AX6268" s="498"/>
      <c r="AY6268" s="498"/>
      <c r="AZ6268" s="498"/>
      <c r="BA6268" s="498"/>
    </row>
    <row r="6269" spans="1:53" s="499" customFormat="1" x14ac:dyDescent="0.25">
      <c r="A6269" s="500"/>
      <c r="B6269" s="501"/>
      <c r="C6269" s="502"/>
      <c r="D6269" s="497"/>
      <c r="E6269" s="497"/>
      <c r="F6269" s="502"/>
      <c r="G6269" s="497"/>
      <c r="H6269" s="497"/>
      <c r="I6269" s="497"/>
      <c r="J6269" s="497"/>
      <c r="K6269" s="500"/>
      <c r="L6269" s="497"/>
      <c r="M6269"/>
      <c r="N6269" s="498"/>
      <c r="O6269" s="498"/>
      <c r="P6269" s="498"/>
      <c r="Q6269" s="498"/>
      <c r="R6269" s="498"/>
      <c r="T6269" s="498"/>
      <c r="U6269" s="498"/>
      <c r="V6269" s="498"/>
      <c r="W6269" s="498"/>
      <c r="X6269" s="498"/>
      <c r="Y6269" s="498"/>
      <c r="Z6269" s="498"/>
      <c r="AA6269" s="498"/>
      <c r="AB6269" s="498"/>
      <c r="AC6269" s="498"/>
      <c r="AD6269" s="498"/>
      <c r="AE6269" s="498"/>
      <c r="AF6269" s="498"/>
      <c r="AG6269" s="498"/>
      <c r="AH6269" s="498"/>
      <c r="AI6269" s="498"/>
      <c r="AK6269" s="498"/>
      <c r="AL6269" s="498"/>
      <c r="AM6269" s="498"/>
      <c r="AN6269" s="498"/>
      <c r="AO6269" s="498"/>
      <c r="AP6269" s="498"/>
      <c r="AQ6269" s="498"/>
      <c r="AR6269" s="498"/>
      <c r="AS6269" s="498"/>
      <c r="AT6269" s="498"/>
      <c r="AU6269" s="498"/>
      <c r="AV6269" s="498"/>
      <c r="AW6269" s="498"/>
      <c r="AX6269" s="498"/>
      <c r="AY6269" s="498"/>
      <c r="AZ6269" s="498"/>
      <c r="BA6269" s="498"/>
    </row>
    <row r="6270" spans="1:53" s="499" customFormat="1" x14ac:dyDescent="0.25">
      <c r="A6270" s="500"/>
      <c r="B6270" s="501"/>
      <c r="C6270" s="502"/>
      <c r="D6270" s="497"/>
      <c r="E6270" s="497"/>
      <c r="F6270" s="502"/>
      <c r="G6270" s="497"/>
      <c r="H6270" s="497"/>
      <c r="I6270" s="497"/>
      <c r="J6270" s="497"/>
      <c r="K6270" s="500"/>
      <c r="L6270" s="497"/>
      <c r="M6270"/>
      <c r="N6270" s="498"/>
      <c r="O6270" s="498"/>
      <c r="P6270" s="498"/>
      <c r="Q6270" s="498"/>
      <c r="R6270" s="498"/>
      <c r="T6270" s="498"/>
      <c r="U6270" s="498"/>
      <c r="V6270" s="498"/>
      <c r="W6270" s="498"/>
      <c r="X6270" s="498"/>
      <c r="Y6270" s="498"/>
      <c r="Z6270" s="498"/>
      <c r="AA6270" s="498"/>
      <c r="AB6270" s="498"/>
      <c r="AC6270" s="498"/>
      <c r="AD6270" s="498"/>
      <c r="AE6270" s="498"/>
      <c r="AF6270" s="498"/>
      <c r="AG6270" s="498"/>
      <c r="AH6270" s="498"/>
      <c r="AI6270" s="498"/>
      <c r="AK6270" s="498"/>
      <c r="AL6270" s="498"/>
      <c r="AM6270" s="498"/>
      <c r="AN6270" s="498"/>
      <c r="AO6270" s="498"/>
      <c r="AP6270" s="498"/>
      <c r="AQ6270" s="498"/>
      <c r="AR6270" s="498"/>
      <c r="AS6270" s="498"/>
      <c r="AT6270" s="498"/>
      <c r="AU6270" s="498"/>
      <c r="AV6270" s="498"/>
      <c r="AW6270" s="498"/>
      <c r="AX6270" s="498"/>
      <c r="AY6270" s="498"/>
      <c r="AZ6270" s="498"/>
      <c r="BA6270" s="498"/>
    </row>
    <row r="6271" spans="1:53" s="499" customFormat="1" x14ac:dyDescent="0.25">
      <c r="A6271" s="500"/>
      <c r="B6271" s="501"/>
      <c r="C6271" s="502"/>
      <c r="D6271" s="497"/>
      <c r="E6271" s="497"/>
      <c r="F6271" s="502"/>
      <c r="G6271" s="497"/>
      <c r="H6271" s="497"/>
      <c r="I6271" s="497"/>
      <c r="J6271" s="497"/>
      <c r="K6271" s="500"/>
      <c r="L6271" s="497"/>
      <c r="M6271"/>
      <c r="N6271" s="498"/>
      <c r="O6271" s="498"/>
      <c r="P6271" s="498"/>
      <c r="Q6271" s="498"/>
      <c r="R6271" s="498"/>
      <c r="T6271" s="498"/>
      <c r="U6271" s="498"/>
      <c r="V6271" s="498"/>
      <c r="W6271" s="498"/>
      <c r="X6271" s="498"/>
      <c r="Y6271" s="498"/>
      <c r="Z6271" s="498"/>
      <c r="AA6271" s="498"/>
      <c r="AB6271" s="498"/>
      <c r="AC6271" s="498"/>
      <c r="AD6271" s="498"/>
      <c r="AE6271" s="498"/>
      <c r="AF6271" s="498"/>
      <c r="AG6271" s="498"/>
      <c r="AH6271" s="498"/>
      <c r="AI6271" s="498"/>
      <c r="AK6271" s="498"/>
      <c r="AL6271" s="498"/>
      <c r="AM6271" s="498"/>
      <c r="AN6271" s="498"/>
      <c r="AO6271" s="498"/>
      <c r="AP6271" s="498"/>
      <c r="AQ6271" s="498"/>
      <c r="AR6271" s="498"/>
      <c r="AS6271" s="498"/>
      <c r="AT6271" s="498"/>
      <c r="AU6271" s="498"/>
      <c r="AV6271" s="498"/>
      <c r="AW6271" s="498"/>
      <c r="AX6271" s="498"/>
      <c r="AY6271" s="498"/>
      <c r="AZ6271" s="498"/>
      <c r="BA6271" s="498"/>
    </row>
    <row r="6272" spans="1:53" s="499" customFormat="1" x14ac:dyDescent="0.25">
      <c r="A6272" s="500"/>
      <c r="B6272" s="501"/>
      <c r="C6272" s="502"/>
      <c r="D6272" s="497"/>
      <c r="E6272" s="497"/>
      <c r="F6272" s="502"/>
      <c r="G6272" s="497"/>
      <c r="H6272" s="497"/>
      <c r="I6272" s="497"/>
      <c r="J6272" s="497"/>
      <c r="K6272" s="500"/>
      <c r="L6272" s="497"/>
      <c r="M6272"/>
      <c r="N6272" s="498"/>
      <c r="O6272" s="498"/>
      <c r="P6272" s="498"/>
      <c r="Q6272" s="498"/>
      <c r="R6272" s="498"/>
      <c r="T6272" s="498"/>
      <c r="U6272" s="498"/>
      <c r="V6272" s="498"/>
      <c r="W6272" s="498"/>
      <c r="X6272" s="498"/>
      <c r="Y6272" s="498"/>
      <c r="Z6272" s="498"/>
      <c r="AA6272" s="498"/>
      <c r="AB6272" s="498"/>
      <c r="AC6272" s="498"/>
      <c r="AD6272" s="498"/>
      <c r="AE6272" s="498"/>
      <c r="AF6272" s="498"/>
      <c r="AG6272" s="498"/>
      <c r="AH6272" s="498"/>
      <c r="AI6272" s="498"/>
      <c r="AK6272" s="498"/>
      <c r="AL6272" s="498"/>
      <c r="AM6272" s="498"/>
      <c r="AN6272" s="498"/>
      <c r="AO6272" s="498"/>
      <c r="AP6272" s="498"/>
      <c r="AQ6272" s="498"/>
      <c r="AR6272" s="498"/>
      <c r="AS6272" s="498"/>
      <c r="AT6272" s="498"/>
      <c r="AU6272" s="498"/>
      <c r="AV6272" s="498"/>
      <c r="AW6272" s="498"/>
      <c r="AX6272" s="498"/>
      <c r="AY6272" s="498"/>
      <c r="AZ6272" s="498"/>
      <c r="BA6272" s="498"/>
    </row>
    <row r="6273" spans="1:53" s="499" customFormat="1" x14ac:dyDescent="0.25">
      <c r="A6273" s="500"/>
      <c r="B6273" s="501"/>
      <c r="C6273" s="502"/>
      <c r="D6273" s="497"/>
      <c r="E6273" s="497"/>
      <c r="F6273" s="502"/>
      <c r="G6273" s="497"/>
      <c r="H6273" s="497"/>
      <c r="I6273" s="497"/>
      <c r="J6273" s="497"/>
      <c r="K6273" s="500"/>
      <c r="L6273" s="497"/>
      <c r="M6273"/>
      <c r="N6273" s="498"/>
      <c r="O6273" s="498"/>
      <c r="P6273" s="498"/>
      <c r="Q6273" s="498"/>
      <c r="R6273" s="498"/>
      <c r="T6273" s="498"/>
      <c r="U6273" s="498"/>
      <c r="V6273" s="498"/>
      <c r="W6273" s="498"/>
      <c r="X6273" s="498"/>
      <c r="Y6273" s="498"/>
      <c r="Z6273" s="498"/>
      <c r="AA6273" s="498"/>
      <c r="AB6273" s="498"/>
      <c r="AC6273" s="498"/>
      <c r="AD6273" s="498"/>
      <c r="AE6273" s="498"/>
      <c r="AF6273" s="498"/>
      <c r="AG6273" s="498"/>
      <c r="AH6273" s="498"/>
      <c r="AI6273" s="498"/>
      <c r="AK6273" s="498"/>
      <c r="AL6273" s="498"/>
      <c r="AM6273" s="498"/>
      <c r="AN6273" s="498"/>
      <c r="AO6273" s="498"/>
      <c r="AP6273" s="498"/>
      <c r="AQ6273" s="498"/>
      <c r="AR6273" s="498"/>
      <c r="AS6273" s="498"/>
      <c r="AT6273" s="498"/>
      <c r="AU6273" s="498"/>
      <c r="AV6273" s="498"/>
      <c r="AW6273" s="498"/>
      <c r="AX6273" s="498"/>
      <c r="AY6273" s="498"/>
      <c r="AZ6273" s="498"/>
      <c r="BA6273" s="498"/>
    </row>
    <row r="6274" spans="1:53" s="499" customFormat="1" x14ac:dyDescent="0.25">
      <c r="A6274" s="500"/>
      <c r="B6274" s="501"/>
      <c r="C6274" s="502"/>
      <c r="D6274" s="497"/>
      <c r="E6274" s="497"/>
      <c r="F6274" s="502"/>
      <c r="G6274" s="497"/>
      <c r="H6274" s="497"/>
      <c r="I6274" s="497"/>
      <c r="J6274" s="497"/>
      <c r="K6274" s="500"/>
      <c r="L6274" s="497"/>
      <c r="M6274"/>
      <c r="N6274" s="498"/>
      <c r="O6274" s="498"/>
      <c r="P6274" s="498"/>
      <c r="Q6274" s="498"/>
      <c r="R6274" s="498"/>
      <c r="T6274" s="498"/>
      <c r="U6274" s="498"/>
      <c r="V6274" s="498"/>
      <c r="W6274" s="498"/>
      <c r="X6274" s="498"/>
      <c r="Y6274" s="498"/>
      <c r="Z6274" s="498"/>
      <c r="AA6274" s="498"/>
      <c r="AB6274" s="498"/>
      <c r="AC6274" s="498"/>
      <c r="AD6274" s="498"/>
      <c r="AE6274" s="498"/>
      <c r="AF6274" s="498"/>
      <c r="AG6274" s="498"/>
      <c r="AH6274" s="498"/>
      <c r="AI6274" s="498"/>
      <c r="AK6274" s="498"/>
      <c r="AL6274" s="498"/>
      <c r="AM6274" s="498"/>
      <c r="AN6274" s="498"/>
      <c r="AO6274" s="498"/>
      <c r="AP6274" s="498"/>
      <c r="AQ6274" s="498"/>
      <c r="AR6274" s="498"/>
      <c r="AS6274" s="498"/>
      <c r="AT6274" s="498"/>
      <c r="AU6274" s="498"/>
      <c r="AV6274" s="498"/>
      <c r="AW6274" s="498"/>
      <c r="AX6274" s="498"/>
      <c r="AY6274" s="498"/>
      <c r="AZ6274" s="498"/>
      <c r="BA6274" s="498"/>
    </row>
    <row r="6275" spans="1:53" s="499" customFormat="1" x14ac:dyDescent="0.25">
      <c r="A6275" s="500"/>
      <c r="B6275" s="501"/>
      <c r="C6275" s="502"/>
      <c r="D6275" s="497"/>
      <c r="E6275" s="497"/>
      <c r="F6275" s="502"/>
      <c r="G6275" s="497"/>
      <c r="H6275" s="497"/>
      <c r="I6275" s="497"/>
      <c r="J6275" s="497"/>
      <c r="K6275" s="500"/>
      <c r="L6275" s="497"/>
      <c r="M6275"/>
      <c r="N6275" s="498"/>
      <c r="O6275" s="498"/>
      <c r="P6275" s="498"/>
      <c r="Q6275" s="498"/>
      <c r="R6275" s="498"/>
      <c r="T6275" s="498"/>
      <c r="U6275" s="498"/>
      <c r="V6275" s="498"/>
      <c r="W6275" s="498"/>
      <c r="X6275" s="498"/>
      <c r="Y6275" s="498"/>
      <c r="Z6275" s="498"/>
      <c r="AA6275" s="498"/>
      <c r="AB6275" s="498"/>
      <c r="AC6275" s="498"/>
      <c r="AD6275" s="498"/>
      <c r="AE6275" s="498"/>
      <c r="AF6275" s="498"/>
      <c r="AG6275" s="498"/>
      <c r="AH6275" s="498"/>
      <c r="AI6275" s="498"/>
      <c r="AK6275" s="498"/>
      <c r="AL6275" s="498"/>
      <c r="AM6275" s="498"/>
      <c r="AN6275" s="498"/>
      <c r="AO6275" s="498"/>
      <c r="AP6275" s="498"/>
      <c r="AQ6275" s="498"/>
      <c r="AR6275" s="498"/>
      <c r="AS6275" s="498"/>
      <c r="AT6275" s="498"/>
      <c r="AU6275" s="498"/>
      <c r="AV6275" s="498"/>
      <c r="AW6275" s="498"/>
      <c r="AX6275" s="498"/>
      <c r="AY6275" s="498"/>
      <c r="AZ6275" s="498"/>
      <c r="BA6275" s="498"/>
    </row>
    <row r="6276" spans="1:53" s="499" customFormat="1" x14ac:dyDescent="0.25">
      <c r="A6276" s="500"/>
      <c r="B6276" s="501"/>
      <c r="C6276" s="502"/>
      <c r="D6276" s="497"/>
      <c r="E6276" s="497"/>
      <c r="F6276" s="502"/>
      <c r="G6276" s="497"/>
      <c r="H6276" s="497"/>
      <c r="I6276" s="497"/>
      <c r="J6276" s="497"/>
      <c r="K6276" s="500"/>
      <c r="L6276" s="497"/>
      <c r="M6276"/>
      <c r="N6276" s="498"/>
      <c r="O6276" s="498"/>
      <c r="P6276" s="498"/>
      <c r="Q6276" s="498"/>
      <c r="R6276" s="498"/>
      <c r="T6276" s="498"/>
      <c r="U6276" s="498"/>
      <c r="V6276" s="498"/>
      <c r="W6276" s="498"/>
      <c r="X6276" s="498"/>
      <c r="Y6276" s="498"/>
      <c r="Z6276" s="498"/>
      <c r="AA6276" s="498"/>
      <c r="AB6276" s="498"/>
      <c r="AC6276" s="498"/>
      <c r="AD6276" s="498"/>
      <c r="AE6276" s="498"/>
      <c r="AF6276" s="498"/>
      <c r="AG6276" s="498"/>
      <c r="AH6276" s="498"/>
      <c r="AI6276" s="498"/>
      <c r="AK6276" s="498"/>
      <c r="AL6276" s="498"/>
      <c r="AM6276" s="498"/>
      <c r="AN6276" s="498"/>
      <c r="AO6276" s="498"/>
      <c r="AP6276" s="498"/>
      <c r="AQ6276" s="498"/>
      <c r="AR6276" s="498"/>
      <c r="AS6276" s="498"/>
      <c r="AT6276" s="498"/>
      <c r="AU6276" s="498"/>
      <c r="AV6276" s="498"/>
      <c r="AW6276" s="498"/>
      <c r="AX6276" s="498"/>
      <c r="AY6276" s="498"/>
      <c r="AZ6276" s="498"/>
      <c r="BA6276" s="498"/>
    </row>
    <row r="6277" spans="1:53" s="499" customFormat="1" x14ac:dyDescent="0.25">
      <c r="A6277" s="500"/>
      <c r="B6277" s="501"/>
      <c r="C6277" s="502"/>
      <c r="D6277" s="497"/>
      <c r="E6277" s="497"/>
      <c r="F6277" s="502"/>
      <c r="G6277" s="497"/>
      <c r="H6277" s="497"/>
      <c r="I6277" s="497"/>
      <c r="J6277" s="497"/>
      <c r="K6277" s="500"/>
      <c r="L6277" s="497"/>
      <c r="M6277"/>
      <c r="N6277" s="498"/>
      <c r="O6277" s="498"/>
      <c r="P6277" s="498"/>
      <c r="Q6277" s="498"/>
      <c r="R6277" s="498"/>
      <c r="T6277" s="498"/>
      <c r="U6277" s="498"/>
      <c r="V6277" s="498"/>
      <c r="W6277" s="498"/>
      <c r="X6277" s="498"/>
      <c r="Y6277" s="498"/>
      <c r="Z6277" s="498"/>
      <c r="AA6277" s="498"/>
      <c r="AB6277" s="498"/>
      <c r="AC6277" s="498"/>
      <c r="AD6277" s="498"/>
      <c r="AE6277" s="498"/>
      <c r="AF6277" s="498"/>
      <c r="AG6277" s="498"/>
      <c r="AH6277" s="498"/>
      <c r="AI6277" s="498"/>
      <c r="AK6277" s="498"/>
      <c r="AL6277" s="498"/>
      <c r="AM6277" s="498"/>
      <c r="AN6277" s="498"/>
      <c r="AO6277" s="498"/>
      <c r="AP6277" s="498"/>
      <c r="AQ6277" s="498"/>
      <c r="AR6277" s="498"/>
      <c r="AS6277" s="498"/>
      <c r="AT6277" s="498"/>
      <c r="AU6277" s="498"/>
      <c r="AV6277" s="498"/>
      <c r="AW6277" s="498"/>
      <c r="AX6277" s="498"/>
      <c r="AY6277" s="498"/>
      <c r="AZ6277" s="498"/>
      <c r="BA6277" s="498"/>
    </row>
    <row r="6278" spans="1:53" s="499" customFormat="1" x14ac:dyDescent="0.25">
      <c r="A6278" s="500"/>
      <c r="B6278" s="501"/>
      <c r="C6278" s="502"/>
      <c r="D6278" s="497"/>
      <c r="E6278" s="497"/>
      <c r="F6278" s="502"/>
      <c r="G6278" s="497"/>
      <c r="H6278" s="497"/>
      <c r="I6278" s="497"/>
      <c r="J6278" s="497"/>
      <c r="K6278" s="500"/>
      <c r="L6278" s="497"/>
      <c r="M6278"/>
      <c r="N6278" s="498"/>
      <c r="O6278" s="498"/>
      <c r="P6278" s="498"/>
      <c r="Q6278" s="498"/>
      <c r="R6278" s="498"/>
      <c r="T6278" s="498"/>
      <c r="U6278" s="498"/>
      <c r="V6278" s="498"/>
      <c r="W6278" s="498"/>
      <c r="X6278" s="498"/>
      <c r="Y6278" s="498"/>
      <c r="Z6278" s="498"/>
      <c r="AA6278" s="498"/>
      <c r="AB6278" s="498"/>
      <c r="AC6278" s="498"/>
      <c r="AD6278" s="498"/>
      <c r="AE6278" s="498"/>
      <c r="AF6278" s="498"/>
      <c r="AG6278" s="498"/>
      <c r="AH6278" s="498"/>
      <c r="AI6278" s="498"/>
      <c r="AK6278" s="498"/>
      <c r="AL6278" s="498"/>
      <c r="AM6278" s="498"/>
      <c r="AN6278" s="498"/>
      <c r="AO6278" s="498"/>
      <c r="AP6278" s="498"/>
      <c r="AQ6278" s="498"/>
      <c r="AR6278" s="498"/>
      <c r="AS6278" s="498"/>
      <c r="AT6278" s="498"/>
      <c r="AU6278" s="498"/>
      <c r="AV6278" s="498"/>
      <c r="AW6278" s="498"/>
      <c r="AX6278" s="498"/>
      <c r="AY6278" s="498"/>
      <c r="AZ6278" s="498"/>
      <c r="BA6278" s="498"/>
    </row>
    <row r="6279" spans="1:53" s="499" customFormat="1" x14ac:dyDescent="0.25">
      <c r="A6279" s="500"/>
      <c r="B6279" s="501"/>
      <c r="C6279" s="502"/>
      <c r="D6279" s="497"/>
      <c r="E6279" s="497"/>
      <c r="F6279" s="502"/>
      <c r="G6279" s="497"/>
      <c r="H6279" s="497"/>
      <c r="I6279" s="497"/>
      <c r="J6279" s="497"/>
      <c r="K6279" s="500"/>
      <c r="L6279" s="497"/>
      <c r="M6279"/>
      <c r="N6279" s="498"/>
      <c r="O6279" s="498"/>
      <c r="P6279" s="498"/>
      <c r="Q6279" s="498"/>
      <c r="R6279" s="498"/>
      <c r="T6279" s="498"/>
      <c r="U6279" s="498"/>
      <c r="V6279" s="498"/>
      <c r="W6279" s="498"/>
      <c r="X6279" s="498"/>
      <c r="Y6279" s="498"/>
      <c r="Z6279" s="498"/>
      <c r="AA6279" s="498"/>
      <c r="AB6279" s="498"/>
      <c r="AC6279" s="498"/>
      <c r="AD6279" s="498"/>
      <c r="AE6279" s="498"/>
      <c r="AF6279" s="498"/>
      <c r="AG6279" s="498"/>
      <c r="AH6279" s="498"/>
      <c r="AI6279" s="498"/>
      <c r="AK6279" s="498"/>
      <c r="AL6279" s="498"/>
      <c r="AM6279" s="498"/>
      <c r="AN6279" s="498"/>
      <c r="AO6279" s="498"/>
      <c r="AP6279" s="498"/>
      <c r="AQ6279" s="498"/>
      <c r="AR6279" s="498"/>
      <c r="AS6279" s="498"/>
      <c r="AT6279" s="498"/>
      <c r="AU6279" s="498"/>
      <c r="AV6279" s="498"/>
      <c r="AW6279" s="498"/>
      <c r="AX6279" s="498"/>
      <c r="AY6279" s="498"/>
      <c r="AZ6279" s="498"/>
      <c r="BA6279" s="498"/>
    </row>
    <row r="6280" spans="1:53" s="499" customFormat="1" x14ac:dyDescent="0.25">
      <c r="A6280" s="500"/>
      <c r="B6280" s="501"/>
      <c r="C6280" s="502"/>
      <c r="D6280" s="497"/>
      <c r="E6280" s="497"/>
      <c r="F6280" s="502"/>
      <c r="G6280" s="497"/>
      <c r="H6280" s="497"/>
      <c r="I6280" s="497"/>
      <c r="J6280" s="497"/>
      <c r="K6280" s="500"/>
      <c r="L6280" s="497"/>
      <c r="M6280"/>
      <c r="N6280" s="498"/>
      <c r="O6280" s="498"/>
      <c r="P6280" s="498"/>
      <c r="Q6280" s="498"/>
      <c r="R6280" s="498"/>
      <c r="T6280" s="498"/>
      <c r="U6280" s="498"/>
      <c r="V6280" s="498"/>
      <c r="W6280" s="498"/>
      <c r="X6280" s="498"/>
      <c r="Y6280" s="498"/>
      <c r="Z6280" s="498"/>
      <c r="AA6280" s="498"/>
      <c r="AB6280" s="498"/>
      <c r="AC6280" s="498"/>
      <c r="AD6280" s="498"/>
      <c r="AE6280" s="498"/>
      <c r="AF6280" s="498"/>
      <c r="AG6280" s="498"/>
      <c r="AH6280" s="498"/>
      <c r="AI6280" s="498"/>
      <c r="AK6280" s="498"/>
      <c r="AL6280" s="498"/>
      <c r="AM6280" s="498"/>
      <c r="AN6280" s="498"/>
      <c r="AO6280" s="498"/>
      <c r="AP6280" s="498"/>
      <c r="AQ6280" s="498"/>
      <c r="AR6280" s="498"/>
      <c r="AS6280" s="498"/>
      <c r="AT6280" s="498"/>
      <c r="AU6280" s="498"/>
      <c r="AV6280" s="498"/>
      <c r="AW6280" s="498"/>
      <c r="AX6280" s="498"/>
      <c r="AY6280" s="498"/>
      <c r="AZ6280" s="498"/>
      <c r="BA6280" s="498"/>
    </row>
    <row r="6281" spans="1:53" s="499" customFormat="1" x14ac:dyDescent="0.25">
      <c r="A6281" s="500"/>
      <c r="B6281" s="501"/>
      <c r="C6281" s="502"/>
      <c r="D6281" s="497"/>
      <c r="E6281" s="497"/>
      <c r="F6281" s="502"/>
      <c r="G6281" s="497"/>
      <c r="H6281" s="497"/>
      <c r="I6281" s="497"/>
      <c r="J6281" s="497"/>
      <c r="K6281" s="500"/>
      <c r="L6281" s="497"/>
      <c r="M6281"/>
      <c r="N6281" s="498"/>
      <c r="O6281" s="498"/>
      <c r="P6281" s="498"/>
      <c r="Q6281" s="498"/>
      <c r="R6281" s="498"/>
      <c r="T6281" s="498"/>
      <c r="U6281" s="498"/>
      <c r="V6281" s="498"/>
      <c r="W6281" s="498"/>
      <c r="X6281" s="498"/>
      <c r="Y6281" s="498"/>
      <c r="Z6281" s="498"/>
      <c r="AA6281" s="498"/>
      <c r="AB6281" s="498"/>
      <c r="AC6281" s="498"/>
      <c r="AD6281" s="498"/>
      <c r="AE6281" s="498"/>
      <c r="AF6281" s="498"/>
      <c r="AG6281" s="498"/>
      <c r="AH6281" s="498"/>
      <c r="AI6281" s="498"/>
      <c r="AK6281" s="498"/>
      <c r="AL6281" s="498"/>
      <c r="AM6281" s="498"/>
      <c r="AN6281" s="498"/>
      <c r="AO6281" s="498"/>
      <c r="AP6281" s="498"/>
      <c r="AQ6281" s="498"/>
      <c r="AR6281" s="498"/>
      <c r="AS6281" s="498"/>
      <c r="AT6281" s="498"/>
      <c r="AU6281" s="498"/>
      <c r="AV6281" s="498"/>
      <c r="AW6281" s="498"/>
      <c r="AX6281" s="498"/>
      <c r="AY6281" s="498"/>
      <c r="AZ6281" s="498"/>
      <c r="BA6281" s="498"/>
    </row>
    <row r="6282" spans="1:53" s="499" customFormat="1" x14ac:dyDescent="0.25">
      <c r="A6282" s="500"/>
      <c r="B6282" s="501"/>
      <c r="C6282" s="502"/>
      <c r="D6282" s="497"/>
      <c r="E6282" s="497"/>
      <c r="F6282" s="502"/>
      <c r="G6282" s="497"/>
      <c r="H6282" s="497"/>
      <c r="I6282" s="497"/>
      <c r="J6282" s="497"/>
      <c r="K6282" s="500"/>
      <c r="L6282" s="497"/>
      <c r="M6282"/>
      <c r="N6282" s="498"/>
      <c r="O6282" s="498"/>
      <c r="P6282" s="498"/>
      <c r="Q6282" s="498"/>
      <c r="R6282" s="498"/>
      <c r="T6282" s="498"/>
      <c r="U6282" s="498"/>
      <c r="V6282" s="498"/>
      <c r="W6282" s="498"/>
      <c r="X6282" s="498"/>
      <c r="Y6282" s="498"/>
      <c r="Z6282" s="498"/>
      <c r="AA6282" s="498"/>
      <c r="AB6282" s="498"/>
      <c r="AC6282" s="498"/>
      <c r="AD6282" s="498"/>
      <c r="AE6282" s="498"/>
      <c r="AF6282" s="498"/>
      <c r="AG6282" s="498"/>
      <c r="AH6282" s="498"/>
      <c r="AI6282" s="498"/>
      <c r="AK6282" s="498"/>
      <c r="AL6282" s="498"/>
      <c r="AM6282" s="498"/>
      <c r="AN6282" s="498"/>
      <c r="AO6282" s="498"/>
      <c r="AP6282" s="498"/>
      <c r="AQ6282" s="498"/>
      <c r="AR6282" s="498"/>
      <c r="AS6282" s="498"/>
      <c r="AT6282" s="498"/>
      <c r="AU6282" s="498"/>
      <c r="AV6282" s="498"/>
      <c r="AW6282" s="498"/>
      <c r="AX6282" s="498"/>
      <c r="AY6282" s="498"/>
      <c r="AZ6282" s="498"/>
      <c r="BA6282" s="498"/>
    </row>
    <row r="6283" spans="1:53" s="499" customFormat="1" x14ac:dyDescent="0.25">
      <c r="A6283" s="500"/>
      <c r="B6283" s="501"/>
      <c r="C6283" s="502"/>
      <c r="D6283" s="497"/>
      <c r="E6283" s="497"/>
      <c r="F6283" s="502"/>
      <c r="G6283" s="497"/>
      <c r="H6283" s="497"/>
      <c r="I6283" s="497"/>
      <c r="J6283" s="497"/>
      <c r="K6283" s="500"/>
      <c r="L6283" s="497"/>
      <c r="M6283"/>
      <c r="N6283" s="498"/>
      <c r="O6283" s="498"/>
      <c r="P6283" s="498"/>
      <c r="Q6283" s="498"/>
      <c r="R6283" s="498"/>
      <c r="T6283" s="498"/>
      <c r="U6283" s="498"/>
      <c r="V6283" s="498"/>
      <c r="W6283" s="498"/>
      <c r="X6283" s="498"/>
      <c r="Y6283" s="498"/>
      <c r="Z6283" s="498"/>
      <c r="AA6283" s="498"/>
      <c r="AB6283" s="498"/>
      <c r="AC6283" s="498"/>
      <c r="AD6283" s="498"/>
      <c r="AE6283" s="498"/>
      <c r="AF6283" s="498"/>
      <c r="AG6283" s="498"/>
      <c r="AH6283" s="498"/>
      <c r="AI6283" s="498"/>
      <c r="AK6283" s="498"/>
      <c r="AL6283" s="498"/>
      <c r="AM6283" s="498"/>
      <c r="AN6283" s="498"/>
      <c r="AO6283" s="498"/>
      <c r="AP6283" s="498"/>
      <c r="AQ6283" s="498"/>
      <c r="AR6283" s="498"/>
      <c r="AS6283" s="498"/>
      <c r="AT6283" s="498"/>
      <c r="AU6283" s="498"/>
      <c r="AV6283" s="498"/>
      <c r="AW6283" s="498"/>
      <c r="AX6283" s="498"/>
      <c r="AY6283" s="498"/>
      <c r="AZ6283" s="498"/>
      <c r="BA6283" s="498"/>
    </row>
    <row r="6284" spans="1:53" s="499" customFormat="1" x14ac:dyDescent="0.25">
      <c r="A6284" s="500"/>
      <c r="B6284" s="501"/>
      <c r="C6284" s="502"/>
      <c r="D6284" s="497"/>
      <c r="E6284" s="497"/>
      <c r="F6284" s="502"/>
      <c r="G6284" s="497"/>
      <c r="H6284" s="497"/>
      <c r="I6284" s="497"/>
      <c r="J6284" s="497"/>
      <c r="K6284" s="500"/>
      <c r="L6284" s="497"/>
      <c r="M6284"/>
      <c r="N6284" s="498"/>
      <c r="O6284" s="498"/>
      <c r="P6284" s="498"/>
      <c r="Q6284" s="498"/>
      <c r="R6284" s="498"/>
      <c r="T6284" s="498"/>
      <c r="U6284" s="498"/>
      <c r="V6284" s="498"/>
      <c r="W6284" s="498"/>
      <c r="X6284" s="498"/>
      <c r="Y6284" s="498"/>
      <c r="Z6284" s="498"/>
      <c r="AA6284" s="498"/>
      <c r="AB6284" s="498"/>
      <c r="AC6284" s="498"/>
      <c r="AD6284" s="498"/>
      <c r="AE6284" s="498"/>
      <c r="AF6284" s="498"/>
      <c r="AG6284" s="498"/>
      <c r="AH6284" s="498"/>
      <c r="AI6284" s="498"/>
      <c r="AK6284" s="498"/>
      <c r="AL6284" s="498"/>
      <c r="AM6284" s="498"/>
      <c r="AN6284" s="498"/>
      <c r="AO6284" s="498"/>
      <c r="AP6284" s="498"/>
      <c r="AQ6284" s="498"/>
      <c r="AR6284" s="498"/>
      <c r="AS6284" s="498"/>
      <c r="AT6284" s="498"/>
      <c r="AU6284" s="498"/>
      <c r="AV6284" s="498"/>
      <c r="AW6284" s="498"/>
      <c r="AX6284" s="498"/>
      <c r="AY6284" s="498"/>
      <c r="AZ6284" s="498"/>
      <c r="BA6284" s="498"/>
    </row>
    <row r="6285" spans="1:53" s="499" customFormat="1" x14ac:dyDescent="0.25">
      <c r="A6285" s="500"/>
      <c r="B6285" s="501"/>
      <c r="C6285" s="502"/>
      <c r="D6285" s="497"/>
      <c r="E6285" s="497"/>
      <c r="F6285" s="502"/>
      <c r="G6285" s="497"/>
      <c r="H6285" s="497"/>
      <c r="I6285" s="497"/>
      <c r="J6285" s="497"/>
      <c r="K6285" s="500"/>
      <c r="L6285" s="497"/>
      <c r="M6285"/>
      <c r="N6285" s="498"/>
      <c r="O6285" s="498"/>
      <c r="P6285" s="498"/>
      <c r="Q6285" s="498"/>
      <c r="R6285" s="498"/>
      <c r="T6285" s="498"/>
      <c r="U6285" s="498"/>
      <c r="V6285" s="498"/>
      <c r="W6285" s="498"/>
      <c r="X6285" s="498"/>
      <c r="Y6285" s="498"/>
      <c r="Z6285" s="498"/>
      <c r="AA6285" s="498"/>
      <c r="AB6285" s="498"/>
      <c r="AC6285" s="498"/>
      <c r="AD6285" s="498"/>
      <c r="AE6285" s="498"/>
      <c r="AF6285" s="498"/>
      <c r="AG6285" s="498"/>
      <c r="AH6285" s="498"/>
      <c r="AI6285" s="498"/>
      <c r="AK6285" s="498"/>
      <c r="AL6285" s="498"/>
      <c r="AM6285" s="498"/>
      <c r="AN6285" s="498"/>
      <c r="AO6285" s="498"/>
      <c r="AP6285" s="498"/>
      <c r="AQ6285" s="498"/>
      <c r="AR6285" s="498"/>
      <c r="AS6285" s="498"/>
      <c r="AT6285" s="498"/>
      <c r="AU6285" s="498"/>
      <c r="AV6285" s="498"/>
      <c r="AW6285" s="498"/>
      <c r="AX6285" s="498"/>
      <c r="AY6285" s="498"/>
      <c r="AZ6285" s="498"/>
      <c r="BA6285" s="498"/>
    </row>
    <row r="6286" spans="1:53" s="499" customFormat="1" x14ac:dyDescent="0.25">
      <c r="A6286" s="500"/>
      <c r="B6286" s="501"/>
      <c r="C6286" s="502"/>
      <c r="D6286" s="497"/>
      <c r="E6286" s="497"/>
      <c r="F6286" s="502"/>
      <c r="G6286" s="497"/>
      <c r="H6286" s="497"/>
      <c r="I6286" s="497"/>
      <c r="J6286" s="497"/>
      <c r="K6286" s="500"/>
      <c r="L6286" s="497"/>
      <c r="M6286"/>
      <c r="N6286" s="498"/>
      <c r="O6286" s="498"/>
      <c r="P6286" s="498"/>
      <c r="Q6286" s="498"/>
      <c r="R6286" s="498"/>
      <c r="T6286" s="498"/>
      <c r="U6286" s="498"/>
      <c r="V6286" s="498"/>
      <c r="W6286" s="498"/>
      <c r="X6286" s="498"/>
      <c r="Y6286" s="498"/>
      <c r="Z6286" s="498"/>
      <c r="AA6286" s="498"/>
      <c r="AB6286" s="498"/>
      <c r="AC6286" s="498"/>
      <c r="AD6286" s="498"/>
      <c r="AE6286" s="498"/>
      <c r="AF6286" s="498"/>
      <c r="AG6286" s="498"/>
      <c r="AH6286" s="498"/>
      <c r="AI6286" s="498"/>
      <c r="AK6286" s="498"/>
      <c r="AL6286" s="498"/>
      <c r="AM6286" s="498"/>
      <c r="AN6286" s="498"/>
      <c r="AO6286" s="498"/>
      <c r="AP6286" s="498"/>
      <c r="AQ6286" s="498"/>
      <c r="AR6286" s="498"/>
      <c r="AS6286" s="498"/>
      <c r="AT6286" s="498"/>
      <c r="AU6286" s="498"/>
      <c r="AV6286" s="498"/>
      <c r="AW6286" s="498"/>
      <c r="AX6286" s="498"/>
      <c r="AY6286" s="498"/>
      <c r="AZ6286" s="498"/>
      <c r="BA6286" s="498"/>
    </row>
    <row r="6287" spans="1:53" s="499" customFormat="1" x14ac:dyDescent="0.25">
      <c r="A6287" s="500"/>
      <c r="B6287" s="501"/>
      <c r="C6287" s="502"/>
      <c r="D6287" s="497"/>
      <c r="E6287" s="497"/>
      <c r="F6287" s="502"/>
      <c r="G6287" s="497"/>
      <c r="H6287" s="497"/>
      <c r="I6287" s="497"/>
      <c r="J6287" s="497"/>
      <c r="K6287" s="500"/>
      <c r="L6287" s="497"/>
      <c r="M6287"/>
      <c r="N6287" s="498"/>
      <c r="O6287" s="498"/>
      <c r="P6287" s="498"/>
      <c r="Q6287" s="498"/>
      <c r="R6287" s="498"/>
      <c r="T6287" s="498"/>
      <c r="U6287" s="498"/>
      <c r="V6287" s="498"/>
      <c r="W6287" s="498"/>
      <c r="X6287" s="498"/>
      <c r="Y6287" s="498"/>
      <c r="Z6287" s="498"/>
      <c r="AA6287" s="498"/>
      <c r="AB6287" s="498"/>
      <c r="AC6287" s="498"/>
      <c r="AD6287" s="498"/>
      <c r="AE6287" s="498"/>
      <c r="AF6287" s="498"/>
      <c r="AG6287" s="498"/>
      <c r="AH6287" s="498"/>
      <c r="AI6287" s="498"/>
      <c r="AK6287" s="498"/>
      <c r="AL6287" s="498"/>
      <c r="AM6287" s="498"/>
      <c r="AN6287" s="498"/>
      <c r="AO6287" s="498"/>
      <c r="AP6287" s="498"/>
      <c r="AQ6287" s="498"/>
      <c r="AR6287" s="498"/>
      <c r="AS6287" s="498"/>
      <c r="AT6287" s="498"/>
      <c r="AU6287" s="498"/>
      <c r="AV6287" s="498"/>
      <c r="AW6287" s="498"/>
      <c r="AX6287" s="498"/>
      <c r="AY6287" s="498"/>
      <c r="AZ6287" s="498"/>
      <c r="BA6287" s="498"/>
    </row>
    <row r="6288" spans="1:53" s="499" customFormat="1" x14ac:dyDescent="0.25">
      <c r="A6288" s="500"/>
      <c r="B6288" s="501"/>
      <c r="C6288" s="502"/>
      <c r="D6288" s="497"/>
      <c r="E6288" s="497"/>
      <c r="F6288" s="502"/>
      <c r="G6288" s="497"/>
      <c r="H6288" s="497"/>
      <c r="I6288" s="497"/>
      <c r="J6288" s="497"/>
      <c r="K6288" s="500"/>
      <c r="L6288" s="497"/>
      <c r="M6288"/>
      <c r="N6288" s="498"/>
      <c r="O6288" s="498"/>
      <c r="P6288" s="498"/>
      <c r="Q6288" s="498"/>
      <c r="R6288" s="498"/>
      <c r="T6288" s="498"/>
      <c r="U6288" s="498"/>
      <c r="V6288" s="498"/>
      <c r="W6288" s="498"/>
      <c r="X6288" s="498"/>
      <c r="Y6288" s="498"/>
      <c r="Z6288" s="498"/>
      <c r="AA6288" s="498"/>
      <c r="AB6288" s="498"/>
      <c r="AC6288" s="498"/>
      <c r="AD6288" s="498"/>
      <c r="AE6288" s="498"/>
      <c r="AF6288" s="498"/>
      <c r="AG6288" s="498"/>
      <c r="AH6288" s="498"/>
      <c r="AI6288" s="498"/>
      <c r="AK6288" s="498"/>
      <c r="AL6288" s="498"/>
      <c r="AM6288" s="498"/>
      <c r="AN6288" s="498"/>
      <c r="AO6288" s="498"/>
      <c r="AP6288" s="498"/>
      <c r="AQ6288" s="498"/>
      <c r="AR6288" s="498"/>
      <c r="AS6288" s="498"/>
      <c r="AT6288" s="498"/>
      <c r="AU6288" s="498"/>
      <c r="AV6288" s="498"/>
      <c r="AW6288" s="498"/>
      <c r="AX6288" s="498"/>
      <c r="AY6288" s="498"/>
      <c r="AZ6288" s="498"/>
      <c r="BA6288" s="498"/>
    </row>
    <row r="6289" spans="1:53" s="499" customFormat="1" x14ac:dyDescent="0.25">
      <c r="A6289" s="500"/>
      <c r="B6289" s="501"/>
      <c r="C6289" s="502"/>
      <c r="D6289" s="497"/>
      <c r="E6289" s="497"/>
      <c r="F6289" s="502"/>
      <c r="G6289" s="497"/>
      <c r="H6289" s="497"/>
      <c r="I6289" s="497"/>
      <c r="J6289" s="497"/>
      <c r="K6289" s="500"/>
      <c r="L6289" s="497"/>
      <c r="M6289"/>
      <c r="N6289" s="498"/>
      <c r="O6289" s="498"/>
      <c r="P6289" s="498"/>
      <c r="Q6289" s="498"/>
      <c r="R6289" s="498"/>
      <c r="T6289" s="498"/>
      <c r="U6289" s="498"/>
      <c r="V6289" s="498"/>
      <c r="W6289" s="498"/>
      <c r="X6289" s="498"/>
      <c r="Y6289" s="498"/>
      <c r="Z6289" s="498"/>
      <c r="AA6289" s="498"/>
      <c r="AB6289" s="498"/>
      <c r="AC6289" s="498"/>
      <c r="AD6289" s="498"/>
      <c r="AE6289" s="498"/>
      <c r="AF6289" s="498"/>
      <c r="AG6289" s="498"/>
      <c r="AH6289" s="498"/>
      <c r="AI6289" s="498"/>
      <c r="AK6289" s="498"/>
      <c r="AL6289" s="498"/>
      <c r="AM6289" s="498"/>
      <c r="AN6289" s="498"/>
      <c r="AO6289" s="498"/>
      <c r="AP6289" s="498"/>
      <c r="AQ6289" s="498"/>
      <c r="AR6289" s="498"/>
      <c r="AS6289" s="498"/>
      <c r="AT6289" s="498"/>
      <c r="AU6289" s="498"/>
      <c r="AV6289" s="498"/>
      <c r="AW6289" s="498"/>
      <c r="AX6289" s="498"/>
      <c r="AY6289" s="498"/>
      <c r="AZ6289" s="498"/>
      <c r="BA6289" s="498"/>
    </row>
    <row r="6290" spans="1:53" s="499" customFormat="1" x14ac:dyDescent="0.25">
      <c r="A6290" s="500"/>
      <c r="B6290" s="501"/>
      <c r="C6290" s="502"/>
      <c r="D6290" s="497"/>
      <c r="E6290" s="497"/>
      <c r="F6290" s="502"/>
      <c r="G6290" s="497"/>
      <c r="H6290" s="497"/>
      <c r="I6290" s="497"/>
      <c r="J6290" s="497"/>
      <c r="K6290" s="500"/>
      <c r="L6290" s="497"/>
      <c r="M6290"/>
      <c r="N6290" s="498"/>
      <c r="O6290" s="498"/>
      <c r="P6290" s="498"/>
      <c r="Q6290" s="498"/>
      <c r="R6290" s="498"/>
      <c r="T6290" s="498"/>
      <c r="U6290" s="498"/>
      <c r="V6290" s="498"/>
      <c r="W6290" s="498"/>
      <c r="X6290" s="498"/>
      <c r="Y6290" s="498"/>
      <c r="Z6290" s="498"/>
      <c r="AA6290" s="498"/>
      <c r="AB6290" s="498"/>
      <c r="AC6290" s="498"/>
      <c r="AD6290" s="498"/>
      <c r="AE6290" s="498"/>
      <c r="AF6290" s="498"/>
      <c r="AG6290" s="498"/>
      <c r="AH6290" s="498"/>
      <c r="AI6290" s="498"/>
      <c r="AK6290" s="498"/>
      <c r="AL6290" s="498"/>
      <c r="AM6290" s="498"/>
      <c r="AN6290" s="498"/>
      <c r="AO6290" s="498"/>
      <c r="AP6290" s="498"/>
      <c r="AQ6290" s="498"/>
      <c r="AR6290" s="498"/>
      <c r="AS6290" s="498"/>
      <c r="AT6290" s="498"/>
      <c r="AU6290" s="498"/>
      <c r="AV6290" s="498"/>
      <c r="AW6290" s="498"/>
      <c r="AX6290" s="498"/>
      <c r="AY6290" s="498"/>
      <c r="AZ6290" s="498"/>
      <c r="BA6290" s="498"/>
    </row>
    <row r="6291" spans="1:53" s="499" customFormat="1" x14ac:dyDescent="0.25">
      <c r="A6291" s="500"/>
      <c r="B6291" s="501"/>
      <c r="C6291" s="502"/>
      <c r="D6291" s="497"/>
      <c r="E6291" s="497"/>
      <c r="F6291" s="502"/>
      <c r="G6291" s="497"/>
      <c r="H6291" s="497"/>
      <c r="I6291" s="497"/>
      <c r="J6291" s="497"/>
      <c r="K6291" s="500"/>
      <c r="L6291" s="497"/>
      <c r="M6291"/>
      <c r="N6291" s="498"/>
      <c r="O6291" s="498"/>
      <c r="P6291" s="498"/>
      <c r="Q6291" s="498"/>
      <c r="R6291" s="498"/>
      <c r="T6291" s="498"/>
      <c r="U6291" s="498"/>
      <c r="V6291" s="498"/>
      <c r="W6291" s="498"/>
      <c r="X6291" s="498"/>
      <c r="Y6291" s="498"/>
      <c r="Z6291" s="498"/>
      <c r="AA6291" s="498"/>
      <c r="AB6291" s="498"/>
      <c r="AC6291" s="498"/>
      <c r="AD6291" s="498"/>
      <c r="AE6291" s="498"/>
      <c r="AF6291" s="498"/>
      <c r="AG6291" s="498"/>
      <c r="AH6291" s="498"/>
      <c r="AI6291" s="498"/>
      <c r="AK6291" s="498"/>
      <c r="AL6291" s="498"/>
      <c r="AM6291" s="498"/>
      <c r="AN6291" s="498"/>
      <c r="AO6291" s="498"/>
      <c r="AP6291" s="498"/>
      <c r="AQ6291" s="498"/>
      <c r="AR6291" s="498"/>
      <c r="AS6291" s="498"/>
      <c r="AT6291" s="498"/>
      <c r="AU6291" s="498"/>
      <c r="AV6291" s="498"/>
      <c r="AW6291" s="498"/>
      <c r="AX6291" s="498"/>
      <c r="AY6291" s="498"/>
      <c r="AZ6291" s="498"/>
      <c r="BA6291" s="498"/>
    </row>
    <row r="6292" spans="1:53" s="499" customFormat="1" x14ac:dyDescent="0.25">
      <c r="A6292" s="500"/>
      <c r="B6292" s="501"/>
      <c r="C6292" s="502"/>
      <c r="D6292" s="497"/>
      <c r="E6292" s="497"/>
      <c r="F6292" s="502"/>
      <c r="G6292" s="497"/>
      <c r="H6292" s="497"/>
      <c r="I6292" s="497"/>
      <c r="J6292" s="497"/>
      <c r="K6292" s="500"/>
      <c r="L6292" s="497"/>
      <c r="M6292"/>
      <c r="N6292" s="498"/>
      <c r="O6292" s="498"/>
      <c r="P6292" s="498"/>
      <c r="Q6292" s="498"/>
      <c r="R6292" s="498"/>
      <c r="T6292" s="498"/>
      <c r="U6292" s="498"/>
      <c r="V6292" s="498"/>
      <c r="W6292" s="498"/>
      <c r="X6292" s="498"/>
      <c r="Y6292" s="498"/>
      <c r="Z6292" s="498"/>
      <c r="AA6292" s="498"/>
      <c r="AB6292" s="498"/>
      <c r="AC6292" s="498"/>
      <c r="AD6292" s="498"/>
      <c r="AE6292" s="498"/>
      <c r="AF6292" s="498"/>
      <c r="AG6292" s="498"/>
      <c r="AH6292" s="498"/>
      <c r="AI6292" s="498"/>
      <c r="AK6292" s="498"/>
      <c r="AL6292" s="498"/>
      <c r="AM6292" s="498"/>
      <c r="AN6292" s="498"/>
      <c r="AO6292" s="498"/>
      <c r="AP6292" s="498"/>
      <c r="AQ6292" s="498"/>
      <c r="AR6292" s="498"/>
      <c r="AS6292" s="498"/>
      <c r="AT6292" s="498"/>
      <c r="AU6292" s="498"/>
      <c r="AV6292" s="498"/>
      <c r="AW6292" s="498"/>
      <c r="AX6292" s="498"/>
      <c r="AY6292" s="498"/>
      <c r="AZ6292" s="498"/>
      <c r="BA6292" s="498"/>
    </row>
    <row r="6293" spans="1:53" s="499" customFormat="1" x14ac:dyDescent="0.25">
      <c r="A6293" s="500"/>
      <c r="B6293" s="501"/>
      <c r="C6293" s="502"/>
      <c r="D6293" s="497"/>
      <c r="E6293" s="497"/>
      <c r="F6293" s="502"/>
      <c r="G6293" s="497"/>
      <c r="H6293" s="497"/>
      <c r="I6293" s="497"/>
      <c r="J6293" s="497"/>
      <c r="K6293" s="500"/>
      <c r="L6293" s="497"/>
      <c r="M6293"/>
      <c r="N6293" s="498"/>
      <c r="O6293" s="498"/>
      <c r="P6293" s="498"/>
      <c r="Q6293" s="498"/>
      <c r="R6293" s="498"/>
      <c r="T6293" s="498"/>
      <c r="U6293" s="498"/>
      <c r="V6293" s="498"/>
      <c r="W6293" s="498"/>
      <c r="X6293" s="498"/>
      <c r="Y6293" s="498"/>
      <c r="Z6293" s="498"/>
      <c r="AA6293" s="498"/>
      <c r="AB6293" s="498"/>
      <c r="AC6293" s="498"/>
      <c r="AD6293" s="498"/>
      <c r="AE6293" s="498"/>
      <c r="AF6293" s="498"/>
      <c r="AG6293" s="498"/>
      <c r="AH6293" s="498"/>
      <c r="AI6293" s="498"/>
      <c r="AK6293" s="498"/>
      <c r="AL6293" s="498"/>
      <c r="AM6293" s="498"/>
      <c r="AN6293" s="498"/>
      <c r="AO6293" s="498"/>
      <c r="AP6293" s="498"/>
      <c r="AQ6293" s="498"/>
      <c r="AR6293" s="498"/>
      <c r="AS6293" s="498"/>
      <c r="AT6293" s="498"/>
      <c r="AU6293" s="498"/>
      <c r="AV6293" s="498"/>
      <c r="AW6293" s="498"/>
      <c r="AX6293" s="498"/>
      <c r="AY6293" s="498"/>
      <c r="AZ6293" s="498"/>
      <c r="BA6293" s="498"/>
    </row>
    <row r="6294" spans="1:53" s="499" customFormat="1" x14ac:dyDescent="0.25">
      <c r="A6294" s="500"/>
      <c r="B6294" s="501"/>
      <c r="C6294" s="502"/>
      <c r="D6294" s="497"/>
      <c r="E6294" s="497"/>
      <c r="F6294" s="502"/>
      <c r="G6294" s="497"/>
      <c r="H6294" s="497"/>
      <c r="I6294" s="497"/>
      <c r="J6294" s="497"/>
      <c r="K6294" s="500"/>
      <c r="L6294" s="497"/>
      <c r="M6294"/>
      <c r="N6294" s="498"/>
      <c r="O6294" s="498"/>
      <c r="P6294" s="498"/>
      <c r="Q6294" s="498"/>
      <c r="R6294" s="498"/>
      <c r="T6294" s="498"/>
      <c r="U6294" s="498"/>
      <c r="V6294" s="498"/>
      <c r="W6294" s="498"/>
      <c r="X6294" s="498"/>
      <c r="Y6294" s="498"/>
      <c r="Z6294" s="498"/>
      <c r="AA6294" s="498"/>
      <c r="AB6294" s="498"/>
      <c r="AC6294" s="498"/>
      <c r="AD6294" s="498"/>
      <c r="AE6294" s="498"/>
      <c r="AF6294" s="498"/>
      <c r="AG6294" s="498"/>
      <c r="AH6294" s="498"/>
      <c r="AI6294" s="498"/>
      <c r="AK6294" s="498"/>
      <c r="AL6294" s="498"/>
      <c r="AM6294" s="498"/>
      <c r="AN6294" s="498"/>
      <c r="AO6294" s="498"/>
      <c r="AP6294" s="498"/>
      <c r="AQ6294" s="498"/>
      <c r="AR6294" s="498"/>
      <c r="AS6294" s="498"/>
      <c r="AT6294" s="498"/>
      <c r="AU6294" s="498"/>
      <c r="AV6294" s="498"/>
      <c r="AW6294" s="498"/>
      <c r="AX6294" s="498"/>
      <c r="AY6294" s="498"/>
      <c r="AZ6294" s="498"/>
      <c r="BA6294" s="498"/>
    </row>
    <row r="6295" spans="1:53" s="499" customFormat="1" x14ac:dyDescent="0.25">
      <c r="A6295" s="500"/>
      <c r="B6295" s="501"/>
      <c r="C6295" s="502"/>
      <c r="D6295" s="497"/>
      <c r="E6295" s="497"/>
      <c r="F6295" s="502"/>
      <c r="G6295" s="497"/>
      <c r="H6295" s="497"/>
      <c r="I6295" s="497"/>
      <c r="J6295" s="497"/>
      <c r="K6295" s="500"/>
      <c r="L6295" s="497"/>
      <c r="M6295"/>
      <c r="N6295" s="498"/>
      <c r="O6295" s="498"/>
      <c r="P6295" s="498"/>
      <c r="Q6295" s="498"/>
      <c r="R6295" s="498"/>
      <c r="T6295" s="498"/>
      <c r="U6295" s="498"/>
      <c r="V6295" s="498"/>
      <c r="W6295" s="498"/>
      <c r="X6295" s="498"/>
      <c r="Y6295" s="498"/>
      <c r="Z6295" s="498"/>
      <c r="AA6295" s="498"/>
      <c r="AB6295" s="498"/>
      <c r="AC6295" s="498"/>
      <c r="AD6295" s="498"/>
      <c r="AE6295" s="498"/>
      <c r="AF6295" s="498"/>
      <c r="AG6295" s="498"/>
      <c r="AH6295" s="498"/>
      <c r="AI6295" s="498"/>
      <c r="AK6295" s="498"/>
      <c r="AL6295" s="498"/>
      <c r="AM6295" s="498"/>
      <c r="AN6295" s="498"/>
      <c r="AO6295" s="498"/>
      <c r="AP6295" s="498"/>
      <c r="AQ6295" s="498"/>
      <c r="AR6295" s="498"/>
      <c r="AS6295" s="498"/>
      <c r="AT6295" s="498"/>
      <c r="AU6295" s="498"/>
      <c r="AV6295" s="498"/>
      <c r="AW6295" s="498"/>
      <c r="AX6295" s="498"/>
      <c r="AY6295" s="498"/>
      <c r="AZ6295" s="498"/>
      <c r="BA6295" s="498"/>
    </row>
    <row r="6296" spans="1:53" s="499" customFormat="1" x14ac:dyDescent="0.25">
      <c r="A6296" s="500"/>
      <c r="B6296" s="501"/>
      <c r="C6296" s="502"/>
      <c r="D6296" s="497"/>
      <c r="E6296" s="497"/>
      <c r="F6296" s="502"/>
      <c r="G6296" s="497"/>
      <c r="H6296" s="497"/>
      <c r="I6296" s="497"/>
      <c r="J6296" s="497"/>
      <c r="K6296" s="500"/>
      <c r="L6296" s="497"/>
      <c r="M6296"/>
      <c r="N6296" s="498"/>
      <c r="O6296" s="498"/>
      <c r="P6296" s="498"/>
      <c r="Q6296" s="498"/>
      <c r="R6296" s="498"/>
      <c r="T6296" s="498"/>
      <c r="U6296" s="498"/>
      <c r="V6296" s="498"/>
      <c r="W6296" s="498"/>
      <c r="X6296" s="498"/>
      <c r="Y6296" s="498"/>
      <c r="Z6296" s="498"/>
      <c r="AA6296" s="498"/>
      <c r="AB6296" s="498"/>
      <c r="AC6296" s="498"/>
      <c r="AD6296" s="498"/>
      <c r="AE6296" s="498"/>
      <c r="AF6296" s="498"/>
      <c r="AG6296" s="498"/>
      <c r="AH6296" s="498"/>
      <c r="AI6296" s="498"/>
      <c r="AK6296" s="498"/>
      <c r="AL6296" s="498"/>
      <c r="AM6296" s="498"/>
      <c r="AN6296" s="498"/>
      <c r="AO6296" s="498"/>
      <c r="AP6296" s="498"/>
      <c r="AQ6296" s="498"/>
      <c r="AR6296" s="498"/>
      <c r="AS6296" s="498"/>
      <c r="AT6296" s="498"/>
      <c r="AU6296" s="498"/>
      <c r="AV6296" s="498"/>
      <c r="AW6296" s="498"/>
      <c r="AX6296" s="498"/>
      <c r="AY6296" s="498"/>
      <c r="AZ6296" s="498"/>
      <c r="BA6296" s="498"/>
    </row>
    <row r="6297" spans="1:53" s="499" customFormat="1" x14ac:dyDescent="0.25">
      <c r="A6297" s="500"/>
      <c r="B6297" s="501"/>
      <c r="C6297" s="502"/>
      <c r="D6297" s="497"/>
      <c r="E6297" s="497"/>
      <c r="F6297" s="502"/>
      <c r="G6297" s="497"/>
      <c r="H6297" s="497"/>
      <c r="I6297" s="497"/>
      <c r="J6297" s="497"/>
      <c r="K6297" s="500"/>
      <c r="L6297" s="497"/>
      <c r="M6297"/>
      <c r="N6297" s="498"/>
      <c r="O6297" s="498"/>
      <c r="P6297" s="498"/>
      <c r="Q6297" s="498"/>
      <c r="R6297" s="498"/>
      <c r="T6297" s="498"/>
      <c r="U6297" s="498"/>
      <c r="V6297" s="498"/>
      <c r="W6297" s="498"/>
      <c r="X6297" s="498"/>
      <c r="Y6297" s="498"/>
      <c r="Z6297" s="498"/>
      <c r="AA6297" s="498"/>
      <c r="AB6297" s="498"/>
      <c r="AC6297" s="498"/>
      <c r="AD6297" s="498"/>
      <c r="AE6297" s="498"/>
      <c r="AF6297" s="498"/>
      <c r="AG6297" s="498"/>
      <c r="AH6297" s="498"/>
      <c r="AI6297" s="498"/>
      <c r="AK6297" s="498"/>
      <c r="AL6297" s="498"/>
      <c r="AM6297" s="498"/>
      <c r="AN6297" s="498"/>
      <c r="AO6297" s="498"/>
      <c r="AP6297" s="498"/>
      <c r="AQ6297" s="498"/>
      <c r="AR6297" s="498"/>
      <c r="AS6297" s="498"/>
      <c r="AT6297" s="498"/>
      <c r="AU6297" s="498"/>
      <c r="AV6297" s="498"/>
      <c r="AW6297" s="498"/>
      <c r="AX6297" s="498"/>
      <c r="AY6297" s="498"/>
      <c r="AZ6297" s="498"/>
      <c r="BA6297" s="498"/>
    </row>
    <row r="6298" spans="1:53" s="499" customFormat="1" x14ac:dyDescent="0.25">
      <c r="A6298" s="500"/>
      <c r="B6298" s="501"/>
      <c r="C6298" s="502"/>
      <c r="D6298" s="497"/>
      <c r="E6298" s="497"/>
      <c r="F6298" s="502"/>
      <c r="G6298" s="497"/>
      <c r="H6298" s="497"/>
      <c r="I6298" s="497"/>
      <c r="J6298" s="497"/>
      <c r="K6298" s="500"/>
      <c r="L6298" s="497"/>
      <c r="M6298"/>
      <c r="N6298" s="498"/>
      <c r="O6298" s="498"/>
      <c r="P6298" s="498"/>
      <c r="Q6298" s="498"/>
      <c r="R6298" s="498"/>
      <c r="T6298" s="498"/>
      <c r="U6298" s="498"/>
      <c r="V6298" s="498"/>
      <c r="W6298" s="498"/>
      <c r="X6298" s="498"/>
      <c r="Y6298" s="498"/>
      <c r="Z6298" s="498"/>
      <c r="AA6298" s="498"/>
      <c r="AB6298" s="498"/>
      <c r="AC6298" s="498"/>
      <c r="AD6298" s="498"/>
      <c r="AE6298" s="498"/>
      <c r="AF6298" s="498"/>
      <c r="AG6298" s="498"/>
      <c r="AH6298" s="498"/>
      <c r="AI6298" s="498"/>
      <c r="AK6298" s="498"/>
      <c r="AL6298" s="498"/>
      <c r="AM6298" s="498"/>
      <c r="AN6298" s="498"/>
      <c r="AO6298" s="498"/>
      <c r="AP6298" s="498"/>
      <c r="AQ6298" s="498"/>
      <c r="AR6298" s="498"/>
      <c r="AS6298" s="498"/>
      <c r="AT6298" s="498"/>
      <c r="AU6298" s="498"/>
      <c r="AV6298" s="498"/>
      <c r="AW6298" s="498"/>
      <c r="AX6298" s="498"/>
      <c r="AY6298" s="498"/>
      <c r="AZ6298" s="498"/>
      <c r="BA6298" s="498"/>
    </row>
    <row r="6299" spans="1:53" s="499" customFormat="1" x14ac:dyDescent="0.25">
      <c r="A6299" s="500"/>
      <c r="B6299" s="501"/>
      <c r="C6299" s="502"/>
      <c r="D6299" s="497"/>
      <c r="E6299" s="497"/>
      <c r="F6299" s="502"/>
      <c r="G6299" s="497"/>
      <c r="H6299" s="497"/>
      <c r="I6299" s="497"/>
      <c r="J6299" s="497"/>
      <c r="K6299" s="500"/>
      <c r="L6299" s="497"/>
      <c r="M6299"/>
      <c r="N6299" s="498"/>
      <c r="O6299" s="498"/>
      <c r="P6299" s="498"/>
      <c r="Q6299" s="498"/>
      <c r="R6299" s="498"/>
      <c r="T6299" s="498"/>
      <c r="U6299" s="498"/>
      <c r="V6299" s="498"/>
      <c r="W6299" s="498"/>
      <c r="X6299" s="498"/>
      <c r="Y6299" s="498"/>
      <c r="Z6299" s="498"/>
      <c r="AA6299" s="498"/>
      <c r="AB6299" s="498"/>
      <c r="AC6299" s="498"/>
      <c r="AD6299" s="498"/>
      <c r="AE6299" s="498"/>
      <c r="AF6299" s="498"/>
      <c r="AG6299" s="498"/>
      <c r="AH6299" s="498"/>
      <c r="AI6299" s="498"/>
      <c r="AK6299" s="498"/>
      <c r="AL6299" s="498"/>
      <c r="AM6299" s="498"/>
      <c r="AN6299" s="498"/>
      <c r="AO6299" s="498"/>
      <c r="AP6299" s="498"/>
      <c r="AQ6299" s="498"/>
      <c r="AR6299" s="498"/>
      <c r="AS6299" s="498"/>
      <c r="AT6299" s="498"/>
      <c r="AU6299" s="498"/>
      <c r="AV6299" s="498"/>
      <c r="AW6299" s="498"/>
      <c r="AX6299" s="498"/>
      <c r="AY6299" s="498"/>
      <c r="AZ6299" s="498"/>
      <c r="BA6299" s="498"/>
    </row>
    <row r="6300" spans="1:53" s="499" customFormat="1" x14ac:dyDescent="0.25">
      <c r="A6300" s="500"/>
      <c r="B6300" s="501"/>
      <c r="C6300" s="502"/>
      <c r="D6300" s="497"/>
      <c r="E6300" s="497"/>
      <c r="F6300" s="502"/>
      <c r="G6300" s="497"/>
      <c r="H6300" s="497"/>
      <c r="I6300" s="497"/>
      <c r="J6300" s="497"/>
      <c r="K6300" s="500"/>
      <c r="L6300" s="497"/>
      <c r="M6300"/>
      <c r="N6300" s="498"/>
      <c r="O6300" s="498"/>
      <c r="P6300" s="498"/>
      <c r="Q6300" s="498"/>
      <c r="R6300" s="498"/>
      <c r="T6300" s="498"/>
      <c r="U6300" s="498"/>
      <c r="V6300" s="498"/>
      <c r="W6300" s="498"/>
      <c r="X6300" s="498"/>
      <c r="Y6300" s="498"/>
      <c r="Z6300" s="498"/>
      <c r="AA6300" s="498"/>
      <c r="AB6300" s="498"/>
      <c r="AC6300" s="498"/>
      <c r="AD6300" s="498"/>
      <c r="AE6300" s="498"/>
      <c r="AF6300" s="498"/>
      <c r="AG6300" s="498"/>
      <c r="AH6300" s="498"/>
      <c r="AI6300" s="498"/>
      <c r="AK6300" s="498"/>
      <c r="AL6300" s="498"/>
      <c r="AM6300" s="498"/>
      <c r="AN6300" s="498"/>
      <c r="AO6300" s="498"/>
      <c r="AP6300" s="498"/>
      <c r="AQ6300" s="498"/>
      <c r="AR6300" s="498"/>
      <c r="AS6300" s="498"/>
      <c r="AT6300" s="498"/>
      <c r="AU6300" s="498"/>
      <c r="AV6300" s="498"/>
      <c r="AW6300" s="498"/>
      <c r="AX6300" s="498"/>
      <c r="AY6300" s="498"/>
      <c r="AZ6300" s="498"/>
      <c r="BA6300" s="498"/>
    </row>
    <row r="6301" spans="1:53" s="499" customFormat="1" x14ac:dyDescent="0.25">
      <c r="A6301" s="500"/>
      <c r="B6301" s="501"/>
      <c r="C6301" s="502"/>
      <c r="D6301" s="497"/>
      <c r="E6301" s="497"/>
      <c r="F6301" s="502"/>
      <c r="G6301" s="497"/>
      <c r="H6301" s="497"/>
      <c r="I6301" s="497"/>
      <c r="J6301" s="497"/>
      <c r="K6301" s="500"/>
      <c r="L6301" s="497"/>
      <c r="M6301"/>
      <c r="N6301" s="498"/>
      <c r="O6301" s="498"/>
      <c r="P6301" s="498"/>
      <c r="Q6301" s="498"/>
      <c r="R6301" s="498"/>
      <c r="T6301" s="498"/>
      <c r="U6301" s="498"/>
      <c r="V6301" s="498"/>
      <c r="W6301" s="498"/>
      <c r="X6301" s="498"/>
      <c r="Y6301" s="498"/>
      <c r="Z6301" s="498"/>
      <c r="AA6301" s="498"/>
      <c r="AB6301" s="498"/>
      <c r="AC6301" s="498"/>
      <c r="AD6301" s="498"/>
      <c r="AE6301" s="498"/>
      <c r="AF6301" s="498"/>
      <c r="AG6301" s="498"/>
      <c r="AH6301" s="498"/>
      <c r="AI6301" s="498"/>
      <c r="AK6301" s="498"/>
      <c r="AL6301" s="498"/>
      <c r="AM6301" s="498"/>
      <c r="AN6301" s="498"/>
      <c r="AO6301" s="498"/>
      <c r="AP6301" s="498"/>
      <c r="AQ6301" s="498"/>
      <c r="AR6301" s="498"/>
      <c r="AS6301" s="498"/>
      <c r="AT6301" s="498"/>
      <c r="AU6301" s="498"/>
      <c r="AV6301" s="498"/>
      <c r="AW6301" s="498"/>
      <c r="AX6301" s="498"/>
      <c r="AY6301" s="498"/>
      <c r="AZ6301" s="498"/>
      <c r="BA6301" s="498"/>
    </row>
    <row r="6302" spans="1:53" s="499" customFormat="1" x14ac:dyDescent="0.25">
      <c r="A6302" s="500"/>
      <c r="B6302" s="501"/>
      <c r="C6302" s="502"/>
      <c r="D6302" s="497"/>
      <c r="E6302" s="497"/>
      <c r="F6302" s="502"/>
      <c r="G6302" s="497"/>
      <c r="H6302" s="497"/>
      <c r="I6302" s="497"/>
      <c r="J6302" s="497"/>
      <c r="K6302" s="500"/>
      <c r="L6302" s="497"/>
      <c r="M6302"/>
      <c r="N6302" s="498"/>
      <c r="O6302" s="498"/>
      <c r="P6302" s="498"/>
      <c r="Q6302" s="498"/>
      <c r="R6302" s="498"/>
      <c r="T6302" s="498"/>
      <c r="U6302" s="498"/>
      <c r="V6302" s="498"/>
      <c r="W6302" s="498"/>
      <c r="X6302" s="498"/>
      <c r="Y6302" s="498"/>
      <c r="Z6302" s="498"/>
      <c r="AA6302" s="498"/>
      <c r="AB6302" s="498"/>
      <c r="AC6302" s="498"/>
      <c r="AD6302" s="498"/>
      <c r="AE6302" s="498"/>
      <c r="AF6302" s="498"/>
      <c r="AG6302" s="498"/>
      <c r="AH6302" s="498"/>
      <c r="AI6302" s="498"/>
      <c r="AK6302" s="498"/>
      <c r="AL6302" s="498"/>
      <c r="AM6302" s="498"/>
      <c r="AN6302" s="498"/>
      <c r="AO6302" s="498"/>
      <c r="AP6302" s="498"/>
      <c r="AQ6302" s="498"/>
      <c r="AR6302" s="498"/>
      <c r="AS6302" s="498"/>
      <c r="AT6302" s="498"/>
      <c r="AU6302" s="498"/>
      <c r="AV6302" s="498"/>
      <c r="AW6302" s="498"/>
      <c r="AX6302" s="498"/>
      <c r="AY6302" s="498"/>
      <c r="AZ6302" s="498"/>
      <c r="BA6302" s="498"/>
    </row>
    <row r="6303" spans="1:53" s="499" customFormat="1" x14ac:dyDescent="0.25">
      <c r="A6303" s="500"/>
      <c r="B6303" s="501"/>
      <c r="C6303" s="502"/>
      <c r="D6303" s="497"/>
      <c r="E6303" s="497"/>
      <c r="F6303" s="502"/>
      <c r="G6303" s="497"/>
      <c r="H6303" s="497"/>
      <c r="I6303" s="497"/>
      <c r="J6303" s="497"/>
      <c r="K6303" s="500"/>
      <c r="L6303" s="497"/>
      <c r="M6303"/>
      <c r="N6303" s="498"/>
      <c r="O6303" s="498"/>
      <c r="P6303" s="498"/>
      <c r="Q6303" s="498"/>
      <c r="R6303" s="498"/>
      <c r="T6303" s="498"/>
      <c r="U6303" s="498"/>
      <c r="V6303" s="498"/>
      <c r="W6303" s="498"/>
      <c r="X6303" s="498"/>
      <c r="Y6303" s="498"/>
      <c r="Z6303" s="498"/>
      <c r="AA6303" s="498"/>
      <c r="AB6303" s="498"/>
      <c r="AC6303" s="498"/>
      <c r="AD6303" s="498"/>
      <c r="AE6303" s="498"/>
      <c r="AF6303" s="498"/>
      <c r="AG6303" s="498"/>
      <c r="AH6303" s="498"/>
      <c r="AI6303" s="498"/>
      <c r="AK6303" s="498"/>
      <c r="AL6303" s="498"/>
      <c r="AM6303" s="498"/>
      <c r="AN6303" s="498"/>
      <c r="AO6303" s="498"/>
      <c r="AP6303" s="498"/>
      <c r="AQ6303" s="498"/>
      <c r="AR6303" s="498"/>
      <c r="AS6303" s="498"/>
      <c r="AT6303" s="498"/>
      <c r="AU6303" s="498"/>
      <c r="AV6303" s="498"/>
      <c r="AW6303" s="498"/>
      <c r="AX6303" s="498"/>
      <c r="AY6303" s="498"/>
      <c r="AZ6303" s="498"/>
      <c r="BA6303" s="498"/>
    </row>
    <row r="6304" spans="1:53" s="499" customFormat="1" x14ac:dyDescent="0.25">
      <c r="A6304" s="500"/>
      <c r="B6304" s="501"/>
      <c r="C6304" s="502"/>
      <c r="D6304" s="497"/>
      <c r="E6304" s="497"/>
      <c r="F6304" s="502"/>
      <c r="G6304" s="497"/>
      <c r="H6304" s="497"/>
      <c r="I6304" s="497"/>
      <c r="J6304" s="497"/>
      <c r="K6304" s="500"/>
      <c r="L6304" s="497"/>
      <c r="M6304"/>
      <c r="N6304" s="498"/>
      <c r="O6304" s="498"/>
      <c r="P6304" s="498"/>
      <c r="Q6304" s="498"/>
      <c r="R6304" s="498"/>
      <c r="T6304" s="498"/>
      <c r="U6304" s="498"/>
      <c r="V6304" s="498"/>
      <c r="W6304" s="498"/>
      <c r="X6304" s="498"/>
      <c r="Y6304" s="498"/>
      <c r="Z6304" s="498"/>
      <c r="AA6304" s="498"/>
      <c r="AB6304" s="498"/>
      <c r="AC6304" s="498"/>
      <c r="AD6304" s="498"/>
      <c r="AE6304" s="498"/>
      <c r="AF6304" s="498"/>
      <c r="AG6304" s="498"/>
      <c r="AH6304" s="498"/>
      <c r="AI6304" s="498"/>
      <c r="AK6304" s="498"/>
      <c r="AL6304" s="498"/>
      <c r="AM6304" s="498"/>
      <c r="AN6304" s="498"/>
      <c r="AO6304" s="498"/>
      <c r="AP6304" s="498"/>
      <c r="AQ6304" s="498"/>
      <c r="AR6304" s="498"/>
      <c r="AS6304" s="498"/>
      <c r="AT6304" s="498"/>
      <c r="AU6304" s="498"/>
      <c r="AV6304" s="498"/>
      <c r="AW6304" s="498"/>
      <c r="AX6304" s="498"/>
      <c r="AY6304" s="498"/>
      <c r="AZ6304" s="498"/>
      <c r="BA6304" s="498"/>
    </row>
    <row r="6305" spans="1:53" s="499" customFormat="1" x14ac:dyDescent="0.25">
      <c r="A6305" s="500"/>
      <c r="B6305" s="501"/>
      <c r="C6305" s="502"/>
      <c r="D6305" s="497"/>
      <c r="E6305" s="497"/>
      <c r="F6305" s="502"/>
      <c r="G6305" s="497"/>
      <c r="H6305" s="497"/>
      <c r="I6305" s="497"/>
      <c r="J6305" s="497"/>
      <c r="K6305" s="500"/>
      <c r="L6305" s="497"/>
      <c r="M6305"/>
      <c r="N6305" s="498"/>
      <c r="O6305" s="498"/>
      <c r="P6305" s="498"/>
      <c r="Q6305" s="498"/>
      <c r="R6305" s="498"/>
      <c r="T6305" s="498"/>
      <c r="U6305" s="498"/>
      <c r="V6305" s="498"/>
      <c r="W6305" s="498"/>
      <c r="X6305" s="498"/>
      <c r="Y6305" s="498"/>
      <c r="Z6305" s="498"/>
      <c r="AA6305" s="498"/>
      <c r="AB6305" s="498"/>
      <c r="AC6305" s="498"/>
      <c r="AD6305" s="498"/>
      <c r="AE6305" s="498"/>
      <c r="AF6305" s="498"/>
      <c r="AG6305" s="498"/>
      <c r="AH6305" s="498"/>
      <c r="AI6305" s="498"/>
      <c r="AK6305" s="498"/>
      <c r="AL6305" s="498"/>
      <c r="AM6305" s="498"/>
      <c r="AN6305" s="498"/>
      <c r="AO6305" s="498"/>
      <c r="AP6305" s="498"/>
      <c r="AQ6305" s="498"/>
      <c r="AR6305" s="498"/>
      <c r="AS6305" s="498"/>
      <c r="AT6305" s="498"/>
      <c r="AU6305" s="498"/>
      <c r="AV6305" s="498"/>
      <c r="AW6305" s="498"/>
      <c r="AX6305" s="498"/>
      <c r="AY6305" s="498"/>
      <c r="AZ6305" s="498"/>
      <c r="BA6305" s="498"/>
    </row>
    <row r="6306" spans="1:53" s="499" customFormat="1" x14ac:dyDescent="0.25">
      <c r="A6306" s="500"/>
      <c r="B6306" s="501"/>
      <c r="C6306" s="502"/>
      <c r="D6306" s="497"/>
      <c r="E6306" s="497"/>
      <c r="F6306" s="502"/>
      <c r="G6306" s="497"/>
      <c r="H6306" s="497"/>
      <c r="I6306" s="497"/>
      <c r="J6306" s="497"/>
      <c r="K6306" s="500"/>
      <c r="L6306" s="497"/>
      <c r="M6306"/>
      <c r="N6306" s="498"/>
      <c r="O6306" s="498"/>
      <c r="P6306" s="498"/>
      <c r="Q6306" s="498"/>
      <c r="R6306" s="498"/>
      <c r="T6306" s="498"/>
      <c r="U6306" s="498"/>
      <c r="V6306" s="498"/>
      <c r="W6306" s="498"/>
      <c r="X6306" s="498"/>
      <c r="Y6306" s="498"/>
      <c r="Z6306" s="498"/>
      <c r="AA6306" s="498"/>
      <c r="AB6306" s="498"/>
      <c r="AC6306" s="498"/>
      <c r="AD6306" s="498"/>
      <c r="AE6306" s="498"/>
      <c r="AF6306" s="498"/>
      <c r="AG6306" s="498"/>
      <c r="AH6306" s="498"/>
      <c r="AI6306" s="498"/>
      <c r="AK6306" s="498"/>
      <c r="AL6306" s="498"/>
      <c r="AM6306" s="498"/>
      <c r="AN6306" s="498"/>
      <c r="AO6306" s="498"/>
      <c r="AP6306" s="498"/>
      <c r="AQ6306" s="498"/>
      <c r="AR6306" s="498"/>
      <c r="AS6306" s="498"/>
      <c r="AT6306" s="498"/>
      <c r="AU6306" s="498"/>
      <c r="AV6306" s="498"/>
      <c r="AW6306" s="498"/>
      <c r="AX6306" s="498"/>
      <c r="AY6306" s="498"/>
      <c r="AZ6306" s="498"/>
      <c r="BA6306" s="498"/>
    </row>
    <row r="6307" spans="1:53" s="499" customFormat="1" x14ac:dyDescent="0.25">
      <c r="A6307" s="500"/>
      <c r="B6307" s="501"/>
      <c r="C6307" s="502"/>
      <c r="D6307" s="497"/>
      <c r="E6307" s="497"/>
      <c r="F6307" s="502"/>
      <c r="G6307" s="497"/>
      <c r="H6307" s="497"/>
      <c r="I6307" s="497"/>
      <c r="J6307" s="497"/>
      <c r="K6307" s="500"/>
      <c r="L6307" s="497"/>
      <c r="M6307"/>
      <c r="N6307" s="498"/>
      <c r="O6307" s="498"/>
      <c r="P6307" s="498"/>
      <c r="Q6307" s="498"/>
      <c r="R6307" s="498"/>
      <c r="T6307" s="498"/>
      <c r="U6307" s="498"/>
      <c r="V6307" s="498"/>
      <c r="W6307" s="498"/>
      <c r="X6307" s="498"/>
      <c r="Y6307" s="498"/>
      <c r="Z6307" s="498"/>
      <c r="AA6307" s="498"/>
      <c r="AB6307" s="498"/>
      <c r="AC6307" s="498"/>
      <c r="AD6307" s="498"/>
      <c r="AE6307" s="498"/>
      <c r="AF6307" s="498"/>
      <c r="AG6307" s="498"/>
      <c r="AH6307" s="498"/>
      <c r="AI6307" s="498"/>
      <c r="AK6307" s="498"/>
      <c r="AL6307" s="498"/>
      <c r="AM6307" s="498"/>
      <c r="AN6307" s="498"/>
      <c r="AO6307" s="498"/>
      <c r="AP6307" s="498"/>
      <c r="AQ6307" s="498"/>
      <c r="AR6307" s="498"/>
      <c r="AS6307" s="498"/>
      <c r="AT6307" s="498"/>
      <c r="AU6307" s="498"/>
      <c r="AV6307" s="498"/>
      <c r="AW6307" s="498"/>
      <c r="AX6307" s="498"/>
      <c r="AY6307" s="498"/>
      <c r="AZ6307" s="498"/>
      <c r="BA6307" s="498"/>
    </row>
    <row r="6308" spans="1:53" s="499" customFormat="1" x14ac:dyDescent="0.25">
      <c r="A6308" s="500"/>
      <c r="B6308" s="501"/>
      <c r="C6308" s="502"/>
      <c r="D6308" s="497"/>
      <c r="E6308" s="497"/>
      <c r="F6308" s="502"/>
      <c r="G6308" s="497"/>
      <c r="H6308" s="497"/>
      <c r="I6308" s="497"/>
      <c r="J6308" s="497"/>
      <c r="K6308" s="500"/>
      <c r="L6308" s="497"/>
      <c r="M6308"/>
      <c r="N6308" s="498"/>
      <c r="O6308" s="498"/>
      <c r="P6308" s="498"/>
      <c r="Q6308" s="498"/>
      <c r="R6308" s="498"/>
      <c r="T6308" s="498"/>
      <c r="U6308" s="498"/>
      <c r="V6308" s="498"/>
      <c r="W6308" s="498"/>
      <c r="X6308" s="498"/>
      <c r="Y6308" s="498"/>
      <c r="Z6308" s="498"/>
      <c r="AA6308" s="498"/>
      <c r="AB6308" s="498"/>
      <c r="AC6308" s="498"/>
      <c r="AD6308" s="498"/>
      <c r="AE6308" s="498"/>
      <c r="AF6308" s="498"/>
      <c r="AG6308" s="498"/>
      <c r="AH6308" s="498"/>
      <c r="AI6308" s="498"/>
      <c r="AK6308" s="498"/>
      <c r="AL6308" s="498"/>
      <c r="AM6308" s="498"/>
      <c r="AN6308" s="498"/>
      <c r="AO6308" s="498"/>
      <c r="AP6308" s="498"/>
      <c r="AQ6308" s="498"/>
      <c r="AR6308" s="498"/>
      <c r="AS6308" s="498"/>
      <c r="AT6308" s="498"/>
      <c r="AU6308" s="498"/>
      <c r="AV6308" s="498"/>
      <c r="AW6308" s="498"/>
      <c r="AX6308" s="498"/>
      <c r="AY6308" s="498"/>
      <c r="AZ6308" s="498"/>
      <c r="BA6308" s="498"/>
    </row>
    <row r="6309" spans="1:53" s="499" customFormat="1" x14ac:dyDescent="0.25">
      <c r="A6309" s="500"/>
      <c r="B6309" s="501"/>
      <c r="C6309" s="502"/>
      <c r="D6309" s="497"/>
      <c r="E6309" s="497"/>
      <c r="F6309" s="502"/>
      <c r="G6309" s="497"/>
      <c r="H6309" s="497"/>
      <c r="I6309" s="497"/>
      <c r="J6309" s="497"/>
      <c r="K6309" s="500"/>
      <c r="L6309" s="497"/>
      <c r="M6309"/>
      <c r="N6309" s="498"/>
      <c r="O6309" s="498"/>
      <c r="P6309" s="498"/>
      <c r="Q6309" s="498"/>
      <c r="R6309" s="498"/>
      <c r="T6309" s="498"/>
      <c r="U6309" s="498"/>
      <c r="V6309" s="498"/>
      <c r="W6309" s="498"/>
      <c r="X6309" s="498"/>
      <c r="Y6309" s="498"/>
      <c r="Z6309" s="498"/>
      <c r="AA6309" s="498"/>
      <c r="AB6309" s="498"/>
      <c r="AC6309" s="498"/>
      <c r="AD6309" s="498"/>
      <c r="AE6309" s="498"/>
      <c r="AF6309" s="498"/>
      <c r="AG6309" s="498"/>
      <c r="AH6309" s="498"/>
      <c r="AI6309" s="498"/>
      <c r="AK6309" s="498"/>
      <c r="AL6309" s="498"/>
      <c r="AM6309" s="498"/>
      <c r="AN6309" s="498"/>
      <c r="AO6309" s="498"/>
      <c r="AP6309" s="498"/>
      <c r="AQ6309" s="498"/>
      <c r="AR6309" s="498"/>
      <c r="AS6309" s="498"/>
      <c r="AT6309" s="498"/>
      <c r="AU6309" s="498"/>
      <c r="AV6309" s="498"/>
      <c r="AW6309" s="498"/>
      <c r="AX6309" s="498"/>
      <c r="AY6309" s="498"/>
      <c r="AZ6309" s="498"/>
      <c r="BA6309" s="498"/>
    </row>
    <row r="6310" spans="1:53" s="499" customFormat="1" x14ac:dyDescent="0.25">
      <c r="A6310" s="500"/>
      <c r="B6310" s="501"/>
      <c r="C6310" s="502"/>
      <c r="D6310" s="497"/>
      <c r="E6310" s="497"/>
      <c r="F6310" s="502"/>
      <c r="G6310" s="497"/>
      <c r="H6310" s="497"/>
      <c r="I6310" s="497"/>
      <c r="J6310" s="497"/>
      <c r="K6310" s="500"/>
      <c r="L6310" s="497"/>
      <c r="M6310"/>
      <c r="N6310" s="498"/>
      <c r="O6310" s="498"/>
      <c r="P6310" s="498"/>
      <c r="Q6310" s="498"/>
      <c r="R6310" s="498"/>
      <c r="T6310" s="498"/>
      <c r="U6310" s="498"/>
      <c r="V6310" s="498"/>
      <c r="W6310" s="498"/>
      <c r="X6310" s="498"/>
      <c r="Y6310" s="498"/>
      <c r="Z6310" s="498"/>
      <c r="AA6310" s="498"/>
      <c r="AB6310" s="498"/>
      <c r="AC6310" s="498"/>
      <c r="AD6310" s="498"/>
      <c r="AE6310" s="498"/>
      <c r="AF6310" s="498"/>
      <c r="AG6310" s="498"/>
      <c r="AH6310" s="498"/>
      <c r="AI6310" s="498"/>
      <c r="AK6310" s="498"/>
      <c r="AL6310" s="498"/>
      <c r="AM6310" s="498"/>
      <c r="AN6310" s="498"/>
      <c r="AO6310" s="498"/>
      <c r="AP6310" s="498"/>
      <c r="AQ6310" s="498"/>
      <c r="AR6310" s="498"/>
      <c r="AS6310" s="498"/>
      <c r="AT6310" s="498"/>
      <c r="AU6310" s="498"/>
      <c r="AV6310" s="498"/>
      <c r="AW6310" s="498"/>
      <c r="AX6310" s="498"/>
      <c r="AY6310" s="498"/>
      <c r="AZ6310" s="498"/>
      <c r="BA6310" s="498"/>
    </row>
    <row r="6311" spans="1:53" s="499" customFormat="1" x14ac:dyDescent="0.25">
      <c r="A6311" s="500"/>
      <c r="B6311" s="501"/>
      <c r="C6311" s="502"/>
      <c r="D6311" s="497"/>
      <c r="E6311" s="497"/>
      <c r="F6311" s="502"/>
      <c r="G6311" s="497"/>
      <c r="H6311" s="497"/>
      <c r="I6311" s="497"/>
      <c r="J6311" s="497"/>
      <c r="K6311" s="500"/>
      <c r="L6311" s="497"/>
      <c r="M6311"/>
      <c r="N6311" s="498"/>
      <c r="O6311" s="498"/>
      <c r="P6311" s="498"/>
      <c r="Q6311" s="498"/>
      <c r="R6311" s="498"/>
      <c r="T6311" s="498"/>
      <c r="U6311" s="498"/>
      <c r="V6311" s="498"/>
      <c r="W6311" s="498"/>
      <c r="X6311" s="498"/>
      <c r="Y6311" s="498"/>
      <c r="Z6311" s="498"/>
      <c r="AA6311" s="498"/>
      <c r="AB6311" s="498"/>
      <c r="AC6311" s="498"/>
      <c r="AD6311" s="498"/>
      <c r="AE6311" s="498"/>
      <c r="AF6311" s="498"/>
      <c r="AG6311" s="498"/>
      <c r="AH6311" s="498"/>
      <c r="AI6311" s="498"/>
      <c r="AK6311" s="498"/>
      <c r="AL6311" s="498"/>
      <c r="AM6311" s="498"/>
      <c r="AN6311" s="498"/>
      <c r="AO6311" s="498"/>
      <c r="AP6311" s="498"/>
      <c r="AQ6311" s="498"/>
      <c r="AR6311" s="498"/>
      <c r="AS6311" s="498"/>
      <c r="AT6311" s="498"/>
      <c r="AU6311" s="498"/>
      <c r="AV6311" s="498"/>
      <c r="AW6311" s="498"/>
      <c r="AX6311" s="498"/>
      <c r="AY6311" s="498"/>
      <c r="AZ6311" s="498"/>
      <c r="BA6311" s="498"/>
    </row>
    <row r="6312" spans="1:53" s="499" customFormat="1" x14ac:dyDescent="0.25">
      <c r="A6312" s="500"/>
      <c r="B6312" s="501"/>
      <c r="C6312" s="502"/>
      <c r="D6312" s="497"/>
      <c r="E6312" s="497"/>
      <c r="F6312" s="502"/>
      <c r="G6312" s="497"/>
      <c r="H6312" s="497"/>
      <c r="I6312" s="497"/>
      <c r="J6312" s="497"/>
      <c r="K6312" s="500"/>
      <c r="L6312" s="497"/>
      <c r="M6312"/>
      <c r="N6312" s="498"/>
      <c r="O6312" s="498"/>
      <c r="P6312" s="498"/>
      <c r="Q6312" s="498"/>
      <c r="R6312" s="498"/>
      <c r="T6312" s="498"/>
      <c r="U6312" s="498"/>
      <c r="V6312" s="498"/>
      <c r="W6312" s="498"/>
      <c r="X6312" s="498"/>
      <c r="Y6312" s="498"/>
      <c r="Z6312" s="498"/>
      <c r="AA6312" s="498"/>
      <c r="AB6312" s="498"/>
      <c r="AC6312" s="498"/>
      <c r="AD6312" s="498"/>
      <c r="AE6312" s="498"/>
      <c r="AF6312" s="498"/>
      <c r="AG6312" s="498"/>
      <c r="AH6312" s="498"/>
      <c r="AI6312" s="498"/>
      <c r="AK6312" s="498"/>
      <c r="AL6312" s="498"/>
      <c r="AM6312" s="498"/>
      <c r="AN6312" s="498"/>
      <c r="AO6312" s="498"/>
      <c r="AP6312" s="498"/>
      <c r="AQ6312" s="498"/>
      <c r="AR6312" s="498"/>
      <c r="AS6312" s="498"/>
      <c r="AT6312" s="498"/>
      <c r="AU6312" s="498"/>
      <c r="AV6312" s="498"/>
      <c r="AW6312" s="498"/>
      <c r="AX6312" s="498"/>
      <c r="AY6312" s="498"/>
      <c r="AZ6312" s="498"/>
      <c r="BA6312" s="498"/>
    </row>
    <row r="6313" spans="1:53" s="499" customFormat="1" x14ac:dyDescent="0.25">
      <c r="A6313" s="500"/>
      <c r="B6313" s="501"/>
      <c r="C6313" s="502"/>
      <c r="D6313" s="497"/>
      <c r="E6313" s="497"/>
      <c r="F6313" s="502"/>
      <c r="G6313" s="497"/>
      <c r="H6313" s="497"/>
      <c r="I6313" s="497"/>
      <c r="J6313" s="497"/>
      <c r="K6313" s="500"/>
      <c r="L6313" s="497"/>
      <c r="M6313"/>
      <c r="N6313" s="498"/>
      <c r="O6313" s="498"/>
      <c r="P6313" s="498"/>
      <c r="Q6313" s="498"/>
      <c r="R6313" s="498"/>
      <c r="T6313" s="498"/>
      <c r="U6313" s="498"/>
      <c r="V6313" s="498"/>
      <c r="W6313" s="498"/>
      <c r="X6313" s="498"/>
      <c r="Y6313" s="498"/>
      <c r="Z6313" s="498"/>
      <c r="AA6313" s="498"/>
      <c r="AB6313" s="498"/>
      <c r="AC6313" s="498"/>
      <c r="AD6313" s="498"/>
      <c r="AE6313" s="498"/>
      <c r="AF6313" s="498"/>
      <c r="AG6313" s="498"/>
      <c r="AH6313" s="498"/>
      <c r="AI6313" s="498"/>
      <c r="AK6313" s="498"/>
      <c r="AL6313" s="498"/>
      <c r="AM6313" s="498"/>
      <c r="AN6313" s="498"/>
      <c r="AO6313" s="498"/>
      <c r="AP6313" s="498"/>
      <c r="AQ6313" s="498"/>
      <c r="AR6313" s="498"/>
      <c r="AS6313" s="498"/>
      <c r="AT6313" s="498"/>
      <c r="AU6313" s="498"/>
      <c r="AV6313" s="498"/>
      <c r="AW6313" s="498"/>
      <c r="AX6313" s="498"/>
      <c r="AY6313" s="498"/>
      <c r="AZ6313" s="498"/>
      <c r="BA6313" s="498"/>
    </row>
    <row r="6314" spans="1:53" s="499" customFormat="1" x14ac:dyDescent="0.25">
      <c r="A6314" s="500"/>
      <c r="B6314" s="501"/>
      <c r="C6314" s="502"/>
      <c r="D6314" s="497"/>
      <c r="E6314" s="497"/>
      <c r="F6314" s="502"/>
      <c r="G6314" s="497"/>
      <c r="H6314" s="497"/>
      <c r="I6314" s="497"/>
      <c r="J6314" s="497"/>
      <c r="K6314" s="500"/>
      <c r="L6314" s="497"/>
      <c r="M6314"/>
      <c r="N6314" s="498"/>
      <c r="O6314" s="498"/>
      <c r="P6314" s="498"/>
      <c r="Q6314" s="498"/>
      <c r="R6314" s="498"/>
      <c r="T6314" s="498"/>
      <c r="U6314" s="498"/>
      <c r="V6314" s="498"/>
      <c r="W6314" s="498"/>
      <c r="X6314" s="498"/>
      <c r="Y6314" s="498"/>
      <c r="Z6314" s="498"/>
      <c r="AA6314" s="498"/>
      <c r="AB6314" s="498"/>
      <c r="AC6314" s="498"/>
      <c r="AD6314" s="498"/>
      <c r="AE6314" s="498"/>
      <c r="AF6314" s="498"/>
      <c r="AG6314" s="498"/>
      <c r="AH6314" s="498"/>
      <c r="AI6314" s="498"/>
      <c r="AK6314" s="498"/>
      <c r="AL6314" s="498"/>
      <c r="AM6314" s="498"/>
      <c r="AN6314" s="498"/>
      <c r="AO6314" s="498"/>
      <c r="AP6314" s="498"/>
      <c r="AQ6314" s="498"/>
      <c r="AR6314" s="498"/>
      <c r="AS6314" s="498"/>
      <c r="AT6314" s="498"/>
      <c r="AU6314" s="498"/>
      <c r="AV6314" s="498"/>
      <c r="AW6314" s="498"/>
      <c r="AX6314" s="498"/>
      <c r="AY6314" s="498"/>
      <c r="AZ6314" s="498"/>
      <c r="BA6314" s="498"/>
    </row>
    <row r="6315" spans="1:53" s="499" customFormat="1" x14ac:dyDescent="0.25">
      <c r="A6315" s="500"/>
      <c r="B6315" s="501"/>
      <c r="C6315" s="502"/>
      <c r="D6315" s="497"/>
      <c r="E6315" s="497"/>
      <c r="F6315" s="502"/>
      <c r="G6315" s="497"/>
      <c r="H6315" s="497"/>
      <c r="I6315" s="497"/>
      <c r="J6315" s="497"/>
      <c r="K6315" s="500"/>
      <c r="L6315" s="497"/>
      <c r="M6315"/>
      <c r="N6315" s="498"/>
      <c r="O6315" s="498"/>
      <c r="P6315" s="498"/>
      <c r="Q6315" s="498"/>
      <c r="R6315" s="498"/>
      <c r="T6315" s="498"/>
      <c r="U6315" s="498"/>
      <c r="V6315" s="498"/>
      <c r="W6315" s="498"/>
      <c r="X6315" s="498"/>
      <c r="Y6315" s="498"/>
      <c r="Z6315" s="498"/>
      <c r="AA6315" s="498"/>
      <c r="AB6315" s="498"/>
      <c r="AC6315" s="498"/>
      <c r="AD6315" s="498"/>
      <c r="AE6315" s="498"/>
      <c r="AF6315" s="498"/>
      <c r="AG6315" s="498"/>
      <c r="AH6315" s="498"/>
      <c r="AI6315" s="498"/>
      <c r="AK6315" s="498"/>
      <c r="AL6315" s="498"/>
      <c r="AM6315" s="498"/>
      <c r="AN6315" s="498"/>
      <c r="AO6315" s="498"/>
      <c r="AP6315" s="498"/>
      <c r="AQ6315" s="498"/>
      <c r="AR6315" s="498"/>
      <c r="AS6315" s="498"/>
      <c r="AT6315" s="498"/>
      <c r="AU6315" s="498"/>
      <c r="AV6315" s="498"/>
      <c r="AW6315" s="498"/>
      <c r="AX6315" s="498"/>
      <c r="AY6315" s="498"/>
      <c r="AZ6315" s="498"/>
      <c r="BA6315" s="498"/>
    </row>
    <row r="6316" spans="1:53" s="499" customFormat="1" x14ac:dyDescent="0.25">
      <c r="A6316" s="500"/>
      <c r="B6316" s="501"/>
      <c r="C6316" s="502"/>
      <c r="D6316" s="497"/>
      <c r="E6316" s="497"/>
      <c r="F6316" s="502"/>
      <c r="G6316" s="497"/>
      <c r="H6316" s="497"/>
      <c r="I6316" s="497"/>
      <c r="J6316" s="497"/>
      <c r="K6316" s="500"/>
      <c r="L6316" s="497"/>
      <c r="M6316"/>
      <c r="N6316" s="498"/>
      <c r="O6316" s="498"/>
      <c r="P6316" s="498"/>
      <c r="Q6316" s="498"/>
      <c r="R6316" s="498"/>
      <c r="T6316" s="498"/>
      <c r="U6316" s="498"/>
      <c r="V6316" s="498"/>
      <c r="W6316" s="498"/>
      <c r="X6316" s="498"/>
      <c r="Y6316" s="498"/>
      <c r="Z6316" s="498"/>
      <c r="AA6316" s="498"/>
      <c r="AB6316" s="498"/>
      <c r="AC6316" s="498"/>
      <c r="AD6316" s="498"/>
      <c r="AE6316" s="498"/>
      <c r="AF6316" s="498"/>
      <c r="AG6316" s="498"/>
      <c r="AH6316" s="498"/>
      <c r="AI6316" s="498"/>
      <c r="AK6316" s="498"/>
      <c r="AL6316" s="498"/>
      <c r="AM6316" s="498"/>
      <c r="AN6316" s="498"/>
      <c r="AO6316" s="498"/>
      <c r="AP6316" s="498"/>
      <c r="AQ6316" s="498"/>
      <c r="AR6316" s="498"/>
      <c r="AS6316" s="498"/>
      <c r="AT6316" s="498"/>
      <c r="AU6316" s="498"/>
      <c r="AV6316" s="498"/>
      <c r="AW6316" s="498"/>
      <c r="AX6316" s="498"/>
      <c r="AY6316" s="498"/>
      <c r="AZ6316" s="498"/>
      <c r="BA6316" s="498"/>
    </row>
    <row r="6317" spans="1:53" s="499" customFormat="1" x14ac:dyDescent="0.25">
      <c r="A6317" s="500"/>
      <c r="B6317" s="501"/>
      <c r="C6317" s="502"/>
      <c r="D6317" s="497"/>
      <c r="E6317" s="497"/>
      <c r="F6317" s="502"/>
      <c r="G6317" s="497"/>
      <c r="H6317" s="497"/>
      <c r="I6317" s="497"/>
      <c r="J6317" s="497"/>
      <c r="K6317" s="500"/>
      <c r="L6317" s="497"/>
      <c r="M6317"/>
      <c r="N6317" s="498"/>
      <c r="O6317" s="498"/>
      <c r="P6317" s="498"/>
      <c r="Q6317" s="498"/>
      <c r="R6317" s="498"/>
      <c r="T6317" s="498"/>
      <c r="U6317" s="498"/>
      <c r="V6317" s="498"/>
      <c r="W6317" s="498"/>
      <c r="X6317" s="498"/>
      <c r="Y6317" s="498"/>
      <c r="Z6317" s="498"/>
      <c r="AA6317" s="498"/>
      <c r="AB6317" s="498"/>
      <c r="AC6317" s="498"/>
      <c r="AD6317" s="498"/>
      <c r="AE6317" s="498"/>
      <c r="AF6317" s="498"/>
      <c r="AG6317" s="498"/>
      <c r="AH6317" s="498"/>
      <c r="AI6317" s="498"/>
      <c r="AK6317" s="498"/>
      <c r="AL6317" s="498"/>
      <c r="AM6317" s="498"/>
      <c r="AN6317" s="498"/>
      <c r="AO6317" s="498"/>
      <c r="AP6317" s="498"/>
      <c r="AQ6317" s="498"/>
      <c r="AR6317" s="498"/>
      <c r="AS6317" s="498"/>
      <c r="AT6317" s="498"/>
      <c r="AU6317" s="498"/>
      <c r="AV6317" s="498"/>
      <c r="AW6317" s="498"/>
      <c r="AX6317" s="498"/>
      <c r="AY6317" s="498"/>
      <c r="AZ6317" s="498"/>
      <c r="BA6317" s="498"/>
    </row>
    <row r="6318" spans="1:53" s="499" customFormat="1" x14ac:dyDescent="0.25">
      <c r="A6318" s="500"/>
      <c r="B6318" s="501"/>
      <c r="C6318" s="502"/>
      <c r="D6318" s="497"/>
      <c r="E6318" s="497"/>
      <c r="F6318" s="502"/>
      <c r="G6318" s="497"/>
      <c r="H6318" s="497"/>
      <c r="I6318" s="497"/>
      <c r="J6318" s="497"/>
      <c r="K6318" s="500"/>
      <c r="L6318" s="497"/>
      <c r="M6318"/>
      <c r="N6318" s="498"/>
      <c r="O6318" s="498"/>
      <c r="P6318" s="498"/>
      <c r="Q6318" s="498"/>
      <c r="R6318" s="498"/>
      <c r="T6318" s="498"/>
      <c r="U6318" s="498"/>
      <c r="V6318" s="498"/>
      <c r="W6318" s="498"/>
      <c r="X6318" s="498"/>
      <c r="Y6318" s="498"/>
      <c r="Z6318" s="498"/>
      <c r="AA6318" s="498"/>
      <c r="AB6318" s="498"/>
      <c r="AC6318" s="498"/>
      <c r="AD6318" s="498"/>
      <c r="AE6318" s="498"/>
      <c r="AF6318" s="498"/>
      <c r="AG6318" s="498"/>
      <c r="AH6318" s="498"/>
      <c r="AI6318" s="498"/>
      <c r="AK6318" s="498"/>
      <c r="AL6318" s="498"/>
      <c r="AM6318" s="498"/>
      <c r="AN6318" s="498"/>
      <c r="AO6318" s="498"/>
      <c r="AP6318" s="498"/>
      <c r="AQ6318" s="498"/>
      <c r="AR6318" s="498"/>
      <c r="AS6318" s="498"/>
      <c r="AT6318" s="498"/>
      <c r="AU6318" s="498"/>
      <c r="AV6318" s="498"/>
      <c r="AW6318" s="498"/>
      <c r="AX6318" s="498"/>
      <c r="AY6318" s="498"/>
      <c r="AZ6318" s="498"/>
      <c r="BA6318" s="498"/>
    </row>
    <row r="6319" spans="1:53" s="499" customFormat="1" x14ac:dyDescent="0.25">
      <c r="A6319" s="500"/>
      <c r="B6319" s="501"/>
      <c r="C6319" s="502"/>
      <c r="D6319" s="497"/>
      <c r="E6319" s="497"/>
      <c r="F6319" s="502"/>
      <c r="G6319" s="497"/>
      <c r="H6319" s="497"/>
      <c r="I6319" s="497"/>
      <c r="J6319" s="497"/>
      <c r="K6319" s="500"/>
      <c r="L6319" s="497"/>
      <c r="M6319"/>
      <c r="N6319" s="498"/>
      <c r="O6319" s="498"/>
      <c r="P6319" s="498"/>
      <c r="Q6319" s="498"/>
      <c r="R6319" s="498"/>
      <c r="T6319" s="498"/>
      <c r="U6319" s="498"/>
      <c r="V6319" s="498"/>
      <c r="W6319" s="498"/>
      <c r="X6319" s="498"/>
      <c r="Y6319" s="498"/>
      <c r="Z6319" s="498"/>
      <c r="AA6319" s="498"/>
      <c r="AB6319" s="498"/>
      <c r="AC6319" s="498"/>
      <c r="AD6319" s="498"/>
      <c r="AE6319" s="498"/>
      <c r="AF6319" s="498"/>
      <c r="AG6319" s="498"/>
      <c r="AH6319" s="498"/>
      <c r="AI6319" s="498"/>
      <c r="AK6319" s="498"/>
      <c r="AL6319" s="498"/>
      <c r="AM6319" s="498"/>
      <c r="AN6319" s="498"/>
      <c r="AO6319" s="498"/>
      <c r="AP6319" s="498"/>
      <c r="AQ6319" s="498"/>
      <c r="AR6319" s="498"/>
      <c r="AS6319" s="498"/>
      <c r="AT6319" s="498"/>
      <c r="AU6319" s="498"/>
      <c r="AV6319" s="498"/>
      <c r="AW6319" s="498"/>
      <c r="AX6319" s="498"/>
      <c r="AY6319" s="498"/>
      <c r="AZ6319" s="498"/>
      <c r="BA6319" s="498"/>
    </row>
    <row r="6320" spans="1:53" s="499" customFormat="1" x14ac:dyDescent="0.25">
      <c r="A6320" s="500"/>
      <c r="B6320" s="501"/>
      <c r="C6320" s="502"/>
      <c r="D6320" s="497"/>
      <c r="E6320" s="497"/>
      <c r="F6320" s="502"/>
      <c r="G6320" s="497"/>
      <c r="H6320" s="497"/>
      <c r="I6320" s="497"/>
      <c r="J6320" s="497"/>
      <c r="K6320" s="500"/>
      <c r="L6320" s="497"/>
      <c r="M6320"/>
      <c r="N6320" s="498"/>
      <c r="O6320" s="498"/>
      <c r="P6320" s="498"/>
      <c r="Q6320" s="498"/>
      <c r="R6320" s="498"/>
      <c r="T6320" s="498"/>
      <c r="U6320" s="498"/>
      <c r="V6320" s="498"/>
      <c r="W6320" s="498"/>
      <c r="X6320" s="498"/>
      <c r="Y6320" s="498"/>
      <c r="Z6320" s="498"/>
      <c r="AA6320" s="498"/>
      <c r="AB6320" s="498"/>
      <c r="AC6320" s="498"/>
      <c r="AD6320" s="498"/>
      <c r="AE6320" s="498"/>
      <c r="AF6320" s="498"/>
      <c r="AG6320" s="498"/>
      <c r="AH6320" s="498"/>
      <c r="AI6320" s="498"/>
      <c r="AK6320" s="498"/>
      <c r="AL6320" s="498"/>
      <c r="AM6320" s="498"/>
      <c r="AN6320" s="498"/>
      <c r="AO6320" s="498"/>
      <c r="AP6320" s="498"/>
      <c r="AQ6320" s="498"/>
      <c r="AR6320" s="498"/>
      <c r="AS6320" s="498"/>
      <c r="AT6320" s="498"/>
      <c r="AU6320" s="498"/>
      <c r="AV6320" s="498"/>
      <c r="AW6320" s="498"/>
      <c r="AX6320" s="498"/>
      <c r="AY6320" s="498"/>
      <c r="AZ6320" s="498"/>
      <c r="BA6320" s="498"/>
    </row>
    <row r="6321" spans="1:53" s="499" customFormat="1" x14ac:dyDescent="0.25">
      <c r="A6321" s="500"/>
      <c r="B6321" s="501"/>
      <c r="C6321" s="502"/>
      <c r="D6321" s="497"/>
      <c r="E6321" s="497"/>
      <c r="F6321" s="502"/>
      <c r="G6321" s="497"/>
      <c r="H6321" s="497"/>
      <c r="I6321" s="497"/>
      <c r="J6321" s="497"/>
      <c r="K6321" s="500"/>
      <c r="L6321" s="497"/>
      <c r="M6321"/>
      <c r="N6321" s="498"/>
      <c r="O6321" s="498"/>
      <c r="P6321" s="498"/>
      <c r="Q6321" s="498"/>
      <c r="R6321" s="498"/>
      <c r="T6321" s="498"/>
      <c r="U6321" s="498"/>
      <c r="V6321" s="498"/>
      <c r="W6321" s="498"/>
      <c r="X6321" s="498"/>
      <c r="Y6321" s="498"/>
      <c r="Z6321" s="498"/>
      <c r="AA6321" s="498"/>
      <c r="AB6321" s="498"/>
      <c r="AC6321" s="498"/>
      <c r="AD6321" s="498"/>
      <c r="AE6321" s="498"/>
      <c r="AF6321" s="498"/>
      <c r="AG6321" s="498"/>
      <c r="AH6321" s="498"/>
      <c r="AI6321" s="498"/>
      <c r="AK6321" s="498"/>
      <c r="AL6321" s="498"/>
      <c r="AM6321" s="498"/>
      <c r="AN6321" s="498"/>
      <c r="AO6321" s="498"/>
      <c r="AP6321" s="498"/>
      <c r="AQ6321" s="498"/>
      <c r="AR6321" s="498"/>
      <c r="AS6321" s="498"/>
      <c r="AT6321" s="498"/>
      <c r="AU6321" s="498"/>
      <c r="AV6321" s="498"/>
      <c r="AW6321" s="498"/>
      <c r="AX6321" s="498"/>
      <c r="AY6321" s="498"/>
      <c r="AZ6321" s="498"/>
      <c r="BA6321" s="498"/>
    </row>
    <row r="6322" spans="1:53" s="499" customFormat="1" x14ac:dyDescent="0.25">
      <c r="A6322" s="500"/>
      <c r="B6322" s="501"/>
      <c r="C6322" s="502"/>
      <c r="D6322" s="497"/>
      <c r="E6322" s="497"/>
      <c r="F6322" s="502"/>
      <c r="G6322" s="497"/>
      <c r="H6322" s="497"/>
      <c r="I6322" s="497"/>
      <c r="J6322" s="497"/>
      <c r="K6322" s="500"/>
      <c r="L6322" s="497"/>
      <c r="M6322"/>
      <c r="N6322" s="498"/>
      <c r="O6322" s="498"/>
      <c r="P6322" s="498"/>
      <c r="Q6322" s="498"/>
      <c r="R6322" s="498"/>
      <c r="T6322" s="498"/>
      <c r="U6322" s="498"/>
      <c r="V6322" s="498"/>
      <c r="W6322" s="498"/>
      <c r="X6322" s="498"/>
      <c r="Y6322" s="498"/>
      <c r="Z6322" s="498"/>
      <c r="AA6322" s="498"/>
      <c r="AB6322" s="498"/>
      <c r="AC6322" s="498"/>
      <c r="AD6322" s="498"/>
      <c r="AE6322" s="498"/>
      <c r="AF6322" s="498"/>
      <c r="AG6322" s="498"/>
      <c r="AH6322" s="498"/>
      <c r="AI6322" s="498"/>
      <c r="AK6322" s="498"/>
      <c r="AL6322" s="498"/>
      <c r="AM6322" s="498"/>
      <c r="AN6322" s="498"/>
      <c r="AO6322" s="498"/>
      <c r="AP6322" s="498"/>
      <c r="AQ6322" s="498"/>
      <c r="AR6322" s="498"/>
      <c r="AS6322" s="498"/>
      <c r="AT6322" s="498"/>
      <c r="AU6322" s="498"/>
      <c r="AV6322" s="498"/>
      <c r="AW6322" s="498"/>
      <c r="AX6322" s="498"/>
      <c r="AY6322" s="498"/>
      <c r="AZ6322" s="498"/>
      <c r="BA6322" s="498"/>
    </row>
    <row r="6323" spans="1:53" s="499" customFormat="1" x14ac:dyDescent="0.25">
      <c r="A6323" s="500"/>
      <c r="B6323" s="501"/>
      <c r="C6323" s="502"/>
      <c r="D6323" s="497"/>
      <c r="E6323" s="497"/>
      <c r="F6323" s="502"/>
      <c r="G6323" s="497"/>
      <c r="H6323" s="497"/>
      <c r="I6323" s="497"/>
      <c r="J6323" s="497"/>
      <c r="K6323" s="500"/>
      <c r="L6323" s="497"/>
      <c r="M6323"/>
      <c r="N6323" s="498"/>
      <c r="O6323" s="498"/>
      <c r="P6323" s="498"/>
      <c r="Q6323" s="498"/>
      <c r="R6323" s="498"/>
      <c r="T6323" s="498"/>
      <c r="U6323" s="498"/>
      <c r="V6323" s="498"/>
      <c r="W6323" s="498"/>
      <c r="X6323" s="498"/>
      <c r="Y6323" s="498"/>
      <c r="Z6323" s="498"/>
      <c r="AA6323" s="498"/>
      <c r="AB6323" s="498"/>
      <c r="AC6323" s="498"/>
      <c r="AD6323" s="498"/>
      <c r="AE6323" s="498"/>
      <c r="AF6323" s="498"/>
      <c r="AG6323" s="498"/>
      <c r="AH6323" s="498"/>
      <c r="AI6323" s="498"/>
      <c r="AK6323" s="498"/>
      <c r="AL6323" s="498"/>
      <c r="AM6323" s="498"/>
      <c r="AN6323" s="498"/>
      <c r="AO6323" s="498"/>
      <c r="AP6323" s="498"/>
      <c r="AQ6323" s="498"/>
      <c r="AR6323" s="498"/>
      <c r="AS6323" s="498"/>
      <c r="AT6323" s="498"/>
      <c r="AU6323" s="498"/>
      <c r="AV6323" s="498"/>
      <c r="AW6323" s="498"/>
      <c r="AX6323" s="498"/>
      <c r="AY6323" s="498"/>
      <c r="AZ6323" s="498"/>
      <c r="BA6323" s="498"/>
    </row>
    <row r="6324" spans="1:53" s="499" customFormat="1" x14ac:dyDescent="0.25">
      <c r="A6324" s="500"/>
      <c r="B6324" s="501"/>
      <c r="C6324" s="502"/>
      <c r="D6324" s="497"/>
      <c r="E6324" s="497"/>
      <c r="F6324" s="502"/>
      <c r="G6324" s="497"/>
      <c r="H6324" s="497"/>
      <c r="I6324" s="497"/>
      <c r="J6324" s="497"/>
      <c r="K6324" s="500"/>
      <c r="L6324" s="497"/>
      <c r="M6324"/>
      <c r="N6324" s="498"/>
      <c r="O6324" s="498"/>
      <c r="P6324" s="498"/>
      <c r="Q6324" s="498"/>
      <c r="R6324" s="498"/>
      <c r="T6324" s="498"/>
      <c r="U6324" s="498"/>
      <c r="V6324" s="498"/>
      <c r="W6324" s="498"/>
      <c r="X6324" s="498"/>
      <c r="Y6324" s="498"/>
      <c r="Z6324" s="498"/>
      <c r="AA6324" s="498"/>
      <c r="AB6324" s="498"/>
      <c r="AC6324" s="498"/>
      <c r="AD6324" s="498"/>
      <c r="AE6324" s="498"/>
      <c r="AF6324" s="498"/>
      <c r="AG6324" s="498"/>
      <c r="AH6324" s="498"/>
      <c r="AI6324" s="498"/>
      <c r="AK6324" s="498"/>
      <c r="AL6324" s="498"/>
      <c r="AM6324" s="498"/>
      <c r="AN6324" s="498"/>
      <c r="AO6324" s="498"/>
      <c r="AP6324" s="498"/>
      <c r="AQ6324" s="498"/>
      <c r="AR6324" s="498"/>
      <c r="AS6324" s="498"/>
      <c r="AT6324" s="498"/>
      <c r="AU6324" s="498"/>
      <c r="AV6324" s="498"/>
      <c r="AW6324" s="498"/>
      <c r="AX6324" s="498"/>
      <c r="AY6324" s="498"/>
      <c r="AZ6324" s="498"/>
      <c r="BA6324" s="498"/>
    </row>
    <row r="6325" spans="1:53" s="499" customFormat="1" x14ac:dyDescent="0.25">
      <c r="A6325" s="500"/>
      <c r="B6325" s="501"/>
      <c r="C6325" s="502"/>
      <c r="D6325" s="497"/>
      <c r="E6325" s="497"/>
      <c r="F6325" s="502"/>
      <c r="G6325" s="497"/>
      <c r="H6325" s="497"/>
      <c r="I6325" s="497"/>
      <c r="J6325" s="497"/>
      <c r="K6325" s="500"/>
      <c r="L6325" s="497"/>
      <c r="M6325"/>
      <c r="N6325" s="498"/>
      <c r="O6325" s="498"/>
      <c r="P6325" s="498"/>
      <c r="Q6325" s="498"/>
      <c r="R6325" s="498"/>
      <c r="T6325" s="498"/>
      <c r="U6325" s="498"/>
      <c r="V6325" s="498"/>
      <c r="W6325" s="498"/>
      <c r="X6325" s="498"/>
      <c r="Y6325" s="498"/>
      <c r="Z6325" s="498"/>
      <c r="AA6325" s="498"/>
      <c r="AB6325" s="498"/>
      <c r="AC6325" s="498"/>
      <c r="AD6325" s="498"/>
      <c r="AE6325" s="498"/>
      <c r="AF6325" s="498"/>
      <c r="AG6325" s="498"/>
      <c r="AH6325" s="498"/>
      <c r="AI6325" s="498"/>
      <c r="AK6325" s="498"/>
      <c r="AL6325" s="498"/>
      <c r="AM6325" s="498"/>
      <c r="AN6325" s="498"/>
      <c r="AO6325" s="498"/>
      <c r="AP6325" s="498"/>
      <c r="AQ6325" s="498"/>
      <c r="AR6325" s="498"/>
      <c r="AS6325" s="498"/>
      <c r="AT6325" s="498"/>
      <c r="AU6325" s="498"/>
      <c r="AV6325" s="498"/>
      <c r="AW6325" s="498"/>
      <c r="AX6325" s="498"/>
      <c r="AY6325" s="498"/>
      <c r="AZ6325" s="498"/>
      <c r="BA6325" s="498"/>
    </row>
    <row r="6326" spans="1:53" s="499" customFormat="1" x14ac:dyDescent="0.25">
      <c r="A6326" s="500"/>
      <c r="B6326" s="501"/>
      <c r="C6326" s="502"/>
      <c r="D6326" s="497"/>
      <c r="E6326" s="497"/>
      <c r="F6326" s="502"/>
      <c r="G6326" s="497"/>
      <c r="H6326" s="497"/>
      <c r="I6326" s="497"/>
      <c r="J6326" s="497"/>
      <c r="K6326" s="500"/>
      <c r="L6326" s="497"/>
      <c r="M6326"/>
      <c r="N6326" s="498"/>
      <c r="O6326" s="498"/>
      <c r="P6326" s="498"/>
      <c r="Q6326" s="498"/>
      <c r="R6326" s="498"/>
      <c r="T6326" s="498"/>
      <c r="U6326" s="498"/>
      <c r="V6326" s="498"/>
      <c r="W6326" s="498"/>
      <c r="X6326" s="498"/>
      <c r="Y6326" s="498"/>
      <c r="Z6326" s="498"/>
      <c r="AA6326" s="498"/>
      <c r="AB6326" s="498"/>
      <c r="AC6326" s="498"/>
      <c r="AD6326" s="498"/>
      <c r="AE6326" s="498"/>
      <c r="AF6326" s="498"/>
      <c r="AG6326" s="498"/>
      <c r="AH6326" s="498"/>
      <c r="AI6326" s="498"/>
      <c r="AK6326" s="498"/>
      <c r="AL6326" s="498"/>
      <c r="AM6326" s="498"/>
      <c r="AN6326" s="498"/>
      <c r="AO6326" s="498"/>
      <c r="AP6326" s="498"/>
      <c r="AQ6326" s="498"/>
      <c r="AR6326" s="498"/>
      <c r="AS6326" s="498"/>
      <c r="AT6326" s="498"/>
      <c r="AU6326" s="498"/>
      <c r="AV6326" s="498"/>
      <c r="AW6326" s="498"/>
      <c r="AX6326" s="498"/>
      <c r="AY6326" s="498"/>
      <c r="AZ6326" s="498"/>
      <c r="BA6326" s="498"/>
    </row>
    <row r="6327" spans="1:53" s="499" customFormat="1" x14ac:dyDescent="0.25">
      <c r="A6327" s="500"/>
      <c r="B6327" s="501"/>
      <c r="C6327" s="502"/>
      <c r="D6327" s="497"/>
      <c r="E6327" s="497"/>
      <c r="F6327" s="502"/>
      <c r="G6327" s="497"/>
      <c r="H6327" s="497"/>
      <c r="I6327" s="497"/>
      <c r="J6327" s="497"/>
      <c r="K6327" s="500"/>
      <c r="L6327" s="497"/>
      <c r="M6327"/>
      <c r="N6327" s="498"/>
      <c r="O6327" s="498"/>
      <c r="P6327" s="498"/>
      <c r="Q6327" s="498"/>
      <c r="R6327" s="498"/>
      <c r="T6327" s="498"/>
      <c r="U6327" s="498"/>
      <c r="V6327" s="498"/>
      <c r="W6327" s="498"/>
      <c r="X6327" s="498"/>
      <c r="Y6327" s="498"/>
      <c r="Z6327" s="498"/>
      <c r="AA6327" s="498"/>
      <c r="AB6327" s="498"/>
      <c r="AC6327" s="498"/>
      <c r="AD6327" s="498"/>
      <c r="AE6327" s="498"/>
      <c r="AF6327" s="498"/>
      <c r="AG6327" s="498"/>
      <c r="AH6327" s="498"/>
      <c r="AI6327" s="498"/>
      <c r="AK6327" s="498"/>
      <c r="AL6327" s="498"/>
      <c r="AM6327" s="498"/>
      <c r="AN6327" s="498"/>
      <c r="AO6327" s="498"/>
      <c r="AP6327" s="498"/>
      <c r="AQ6327" s="498"/>
      <c r="AR6327" s="498"/>
      <c r="AS6327" s="498"/>
      <c r="AT6327" s="498"/>
      <c r="AU6327" s="498"/>
      <c r="AV6327" s="498"/>
      <c r="AW6327" s="498"/>
      <c r="AX6327" s="498"/>
      <c r="AY6327" s="498"/>
      <c r="AZ6327" s="498"/>
      <c r="BA6327" s="498"/>
    </row>
    <row r="6328" spans="1:53" s="499" customFormat="1" x14ac:dyDescent="0.25">
      <c r="A6328" s="500"/>
      <c r="B6328" s="501"/>
      <c r="C6328" s="502"/>
      <c r="D6328" s="497"/>
      <c r="E6328" s="497"/>
      <c r="F6328" s="502"/>
      <c r="G6328" s="497"/>
      <c r="H6328" s="497"/>
      <c r="I6328" s="497"/>
      <c r="J6328" s="497"/>
      <c r="K6328" s="500"/>
      <c r="L6328" s="497"/>
      <c r="M6328"/>
      <c r="N6328" s="498"/>
      <c r="O6328" s="498"/>
      <c r="P6328" s="498"/>
      <c r="Q6328" s="498"/>
      <c r="R6328" s="498"/>
      <c r="T6328" s="498"/>
      <c r="U6328" s="498"/>
      <c r="V6328" s="498"/>
      <c r="W6328" s="498"/>
      <c r="X6328" s="498"/>
      <c r="Y6328" s="498"/>
      <c r="Z6328" s="498"/>
      <c r="AA6328" s="498"/>
      <c r="AB6328" s="498"/>
      <c r="AC6328" s="498"/>
      <c r="AD6328" s="498"/>
      <c r="AE6328" s="498"/>
      <c r="AF6328" s="498"/>
      <c r="AG6328" s="498"/>
      <c r="AH6328" s="498"/>
      <c r="AI6328" s="498"/>
      <c r="AK6328" s="498"/>
      <c r="AL6328" s="498"/>
      <c r="AM6328" s="498"/>
      <c r="AN6328" s="498"/>
      <c r="AO6328" s="498"/>
      <c r="AP6328" s="498"/>
      <c r="AQ6328" s="498"/>
      <c r="AR6328" s="498"/>
      <c r="AS6328" s="498"/>
      <c r="AT6328" s="498"/>
      <c r="AU6328" s="498"/>
      <c r="AV6328" s="498"/>
      <c r="AW6328" s="498"/>
      <c r="AX6328" s="498"/>
      <c r="AY6328" s="498"/>
      <c r="AZ6328" s="498"/>
      <c r="BA6328" s="498"/>
    </row>
    <row r="6329" spans="1:53" s="499" customFormat="1" x14ac:dyDescent="0.25">
      <c r="A6329" s="500"/>
      <c r="B6329" s="501"/>
      <c r="C6329" s="502"/>
      <c r="D6329" s="497"/>
      <c r="E6329" s="497"/>
      <c r="F6329" s="502"/>
      <c r="G6329" s="497"/>
      <c r="H6329" s="497"/>
      <c r="I6329" s="497"/>
      <c r="J6329" s="497"/>
      <c r="K6329" s="500"/>
      <c r="L6329" s="497"/>
      <c r="M6329"/>
      <c r="N6329" s="498"/>
      <c r="O6329" s="498"/>
      <c r="P6329" s="498"/>
      <c r="Q6329" s="498"/>
      <c r="R6329" s="498"/>
      <c r="T6329" s="498"/>
      <c r="U6329" s="498"/>
      <c r="V6329" s="498"/>
      <c r="W6329" s="498"/>
      <c r="X6329" s="498"/>
      <c r="Y6329" s="498"/>
      <c r="Z6329" s="498"/>
      <c r="AA6329" s="498"/>
      <c r="AB6329" s="498"/>
      <c r="AC6329" s="498"/>
      <c r="AD6329" s="498"/>
      <c r="AE6329" s="498"/>
      <c r="AF6329" s="498"/>
      <c r="AG6329" s="498"/>
      <c r="AH6329" s="498"/>
      <c r="AI6329" s="498"/>
      <c r="AK6329" s="498"/>
      <c r="AL6329" s="498"/>
      <c r="AM6329" s="498"/>
      <c r="AN6329" s="498"/>
      <c r="AO6329" s="498"/>
      <c r="AP6329" s="498"/>
      <c r="AQ6329" s="498"/>
      <c r="AR6329" s="498"/>
      <c r="AS6329" s="498"/>
      <c r="AT6329" s="498"/>
      <c r="AU6329" s="498"/>
      <c r="AV6329" s="498"/>
      <c r="AW6329" s="498"/>
      <c r="AX6329" s="498"/>
      <c r="AY6329" s="498"/>
      <c r="AZ6329" s="498"/>
      <c r="BA6329" s="498"/>
    </row>
    <row r="6330" spans="1:53" s="499" customFormat="1" x14ac:dyDescent="0.25">
      <c r="A6330" s="500"/>
      <c r="B6330" s="501"/>
      <c r="C6330" s="502"/>
      <c r="D6330" s="497"/>
      <c r="E6330" s="497"/>
      <c r="F6330" s="502"/>
      <c r="G6330" s="497"/>
      <c r="H6330" s="497"/>
      <c r="I6330" s="497"/>
      <c r="J6330" s="497"/>
      <c r="K6330" s="500"/>
      <c r="L6330" s="497"/>
      <c r="M6330"/>
      <c r="N6330" s="498"/>
      <c r="O6330" s="498"/>
      <c r="P6330" s="498"/>
      <c r="Q6330" s="498"/>
      <c r="R6330" s="498"/>
      <c r="T6330" s="498"/>
      <c r="U6330" s="498"/>
      <c r="V6330" s="498"/>
      <c r="W6330" s="498"/>
      <c r="X6330" s="498"/>
      <c r="Y6330" s="498"/>
      <c r="Z6330" s="498"/>
      <c r="AA6330" s="498"/>
      <c r="AB6330" s="498"/>
      <c r="AC6330" s="498"/>
      <c r="AD6330" s="498"/>
      <c r="AE6330" s="498"/>
      <c r="AF6330" s="498"/>
      <c r="AG6330" s="498"/>
      <c r="AH6330" s="498"/>
      <c r="AI6330" s="498"/>
      <c r="AK6330" s="498"/>
      <c r="AL6330" s="498"/>
      <c r="AM6330" s="498"/>
      <c r="AN6330" s="498"/>
      <c r="AO6330" s="498"/>
      <c r="AP6330" s="498"/>
      <c r="AQ6330" s="498"/>
      <c r="AR6330" s="498"/>
      <c r="AS6330" s="498"/>
      <c r="AT6330" s="498"/>
      <c r="AU6330" s="498"/>
      <c r="AV6330" s="498"/>
      <c r="AW6330" s="498"/>
      <c r="AX6330" s="498"/>
      <c r="AY6330" s="498"/>
      <c r="AZ6330" s="498"/>
      <c r="BA6330" s="498"/>
    </row>
    <row r="6331" spans="1:53" s="499" customFormat="1" x14ac:dyDescent="0.25">
      <c r="A6331" s="500"/>
      <c r="B6331" s="501"/>
      <c r="C6331" s="502"/>
      <c r="D6331" s="497"/>
      <c r="E6331" s="497"/>
      <c r="F6331" s="502"/>
      <c r="G6331" s="497"/>
      <c r="H6331" s="497"/>
      <c r="I6331" s="497"/>
      <c r="J6331" s="497"/>
      <c r="K6331" s="500"/>
      <c r="L6331" s="497"/>
      <c r="M6331"/>
      <c r="N6331" s="498"/>
      <c r="O6331" s="498"/>
      <c r="P6331" s="498"/>
      <c r="Q6331" s="498"/>
      <c r="R6331" s="498"/>
      <c r="T6331" s="498"/>
      <c r="U6331" s="498"/>
      <c r="V6331" s="498"/>
      <c r="W6331" s="498"/>
      <c r="X6331" s="498"/>
      <c r="Y6331" s="498"/>
      <c r="Z6331" s="498"/>
      <c r="AA6331" s="498"/>
      <c r="AB6331" s="498"/>
      <c r="AC6331" s="498"/>
      <c r="AD6331" s="498"/>
      <c r="AE6331" s="498"/>
      <c r="AF6331" s="498"/>
      <c r="AG6331" s="498"/>
      <c r="AH6331" s="498"/>
      <c r="AI6331" s="498"/>
      <c r="AK6331" s="498"/>
      <c r="AL6331" s="498"/>
      <c r="AM6331" s="498"/>
      <c r="AN6331" s="498"/>
      <c r="AO6331" s="498"/>
      <c r="AP6331" s="498"/>
      <c r="AQ6331" s="498"/>
      <c r="AR6331" s="498"/>
      <c r="AS6331" s="498"/>
      <c r="AT6331" s="498"/>
      <c r="AU6331" s="498"/>
      <c r="AV6331" s="498"/>
      <c r="AW6331" s="498"/>
      <c r="AX6331" s="498"/>
      <c r="AY6331" s="498"/>
      <c r="AZ6331" s="498"/>
      <c r="BA6331" s="498"/>
    </row>
    <row r="6332" spans="1:53" s="499" customFormat="1" x14ac:dyDescent="0.25">
      <c r="A6332" s="500"/>
      <c r="B6332" s="501"/>
      <c r="C6332" s="502"/>
      <c r="D6332" s="497"/>
      <c r="E6332" s="497"/>
      <c r="F6332" s="502"/>
      <c r="G6332" s="497"/>
      <c r="H6332" s="497"/>
      <c r="I6332" s="497"/>
      <c r="J6332" s="497"/>
      <c r="K6332" s="500"/>
      <c r="L6332" s="497"/>
      <c r="M6332"/>
      <c r="N6332" s="498"/>
      <c r="O6332" s="498"/>
      <c r="P6332" s="498"/>
      <c r="Q6332" s="498"/>
      <c r="R6332" s="498"/>
      <c r="T6332" s="498"/>
      <c r="U6332" s="498"/>
      <c r="V6332" s="498"/>
      <c r="W6332" s="498"/>
      <c r="X6332" s="498"/>
      <c r="Y6332" s="498"/>
      <c r="Z6332" s="498"/>
      <c r="AA6332" s="498"/>
      <c r="AB6332" s="498"/>
      <c r="AC6332" s="498"/>
      <c r="AD6332" s="498"/>
      <c r="AE6332" s="498"/>
      <c r="AF6332" s="498"/>
      <c r="AG6332" s="498"/>
      <c r="AH6332" s="498"/>
      <c r="AI6332" s="498"/>
      <c r="AK6332" s="498"/>
      <c r="AL6332" s="498"/>
      <c r="AM6332" s="498"/>
      <c r="AN6332" s="498"/>
      <c r="AO6332" s="498"/>
      <c r="AP6332" s="498"/>
      <c r="AQ6332" s="498"/>
      <c r="AR6332" s="498"/>
      <c r="AS6332" s="498"/>
      <c r="AT6332" s="498"/>
      <c r="AU6332" s="498"/>
      <c r="AV6332" s="498"/>
      <c r="AW6332" s="498"/>
      <c r="AX6332" s="498"/>
      <c r="AY6332" s="498"/>
      <c r="AZ6332" s="498"/>
      <c r="BA6332" s="498"/>
    </row>
    <row r="6333" spans="1:53" s="499" customFormat="1" x14ac:dyDescent="0.25">
      <c r="A6333" s="500"/>
      <c r="B6333" s="501"/>
      <c r="C6333" s="502"/>
      <c r="D6333" s="497"/>
      <c r="E6333" s="497"/>
      <c r="F6333" s="502"/>
      <c r="G6333" s="497"/>
      <c r="H6333" s="497"/>
      <c r="I6333" s="497"/>
      <c r="J6333" s="497"/>
      <c r="K6333" s="500"/>
      <c r="L6333" s="497"/>
      <c r="M6333"/>
      <c r="N6333" s="498"/>
      <c r="O6333" s="498"/>
      <c r="P6333" s="498"/>
      <c r="Q6333" s="498"/>
      <c r="R6333" s="498"/>
      <c r="T6333" s="498"/>
      <c r="U6333" s="498"/>
      <c r="V6333" s="498"/>
      <c r="W6333" s="498"/>
      <c r="X6333" s="498"/>
      <c r="Y6333" s="498"/>
      <c r="Z6333" s="498"/>
      <c r="AA6333" s="498"/>
      <c r="AB6333" s="498"/>
      <c r="AC6333" s="498"/>
      <c r="AD6333" s="498"/>
      <c r="AE6333" s="498"/>
      <c r="AF6333" s="498"/>
      <c r="AG6333" s="498"/>
      <c r="AH6333" s="498"/>
      <c r="AI6333" s="498"/>
      <c r="AK6333" s="498"/>
      <c r="AL6333" s="498"/>
      <c r="AM6333" s="498"/>
      <c r="AN6333" s="498"/>
      <c r="AO6333" s="498"/>
      <c r="AP6333" s="498"/>
      <c r="AQ6333" s="498"/>
      <c r="AR6333" s="498"/>
      <c r="AS6333" s="498"/>
      <c r="AT6333" s="498"/>
      <c r="AU6333" s="498"/>
      <c r="AV6333" s="498"/>
      <c r="AW6333" s="498"/>
      <c r="AX6333" s="498"/>
      <c r="AY6333" s="498"/>
      <c r="AZ6333" s="498"/>
      <c r="BA6333" s="498"/>
    </row>
    <row r="6334" spans="1:53" s="499" customFormat="1" x14ac:dyDescent="0.25">
      <c r="A6334" s="500"/>
      <c r="B6334" s="501"/>
      <c r="C6334" s="502"/>
      <c r="D6334" s="497"/>
      <c r="E6334" s="497"/>
      <c r="F6334" s="502"/>
      <c r="G6334" s="497"/>
      <c r="H6334" s="497"/>
      <c r="I6334" s="497"/>
      <c r="J6334" s="497"/>
      <c r="K6334" s="500"/>
      <c r="L6334" s="497"/>
      <c r="M6334"/>
      <c r="N6334" s="498"/>
      <c r="O6334" s="498"/>
      <c r="P6334" s="498"/>
      <c r="Q6334" s="498"/>
      <c r="R6334" s="498"/>
      <c r="T6334" s="498"/>
      <c r="U6334" s="498"/>
      <c r="V6334" s="498"/>
      <c r="W6334" s="498"/>
      <c r="X6334" s="498"/>
      <c r="Y6334" s="498"/>
      <c r="Z6334" s="498"/>
      <c r="AA6334" s="498"/>
      <c r="AB6334" s="498"/>
      <c r="AC6334" s="498"/>
      <c r="AD6334" s="498"/>
      <c r="AE6334" s="498"/>
      <c r="AF6334" s="498"/>
      <c r="AG6334" s="498"/>
      <c r="AH6334" s="498"/>
      <c r="AI6334" s="498"/>
      <c r="AK6334" s="498"/>
      <c r="AL6334" s="498"/>
      <c r="AM6334" s="498"/>
      <c r="AN6334" s="498"/>
      <c r="AO6334" s="498"/>
      <c r="AP6334" s="498"/>
      <c r="AQ6334" s="498"/>
      <c r="AR6334" s="498"/>
      <c r="AS6334" s="498"/>
      <c r="AT6334" s="498"/>
      <c r="AU6334" s="498"/>
      <c r="AV6334" s="498"/>
      <c r="AW6334" s="498"/>
      <c r="AX6334" s="498"/>
      <c r="AY6334" s="498"/>
      <c r="AZ6334" s="498"/>
      <c r="BA6334" s="498"/>
    </row>
    <row r="6335" spans="1:53" s="499" customFormat="1" x14ac:dyDescent="0.25">
      <c r="A6335" s="500"/>
      <c r="B6335" s="501"/>
      <c r="C6335" s="502"/>
      <c r="D6335" s="497"/>
      <c r="E6335" s="497"/>
      <c r="F6335" s="502"/>
      <c r="G6335" s="497"/>
      <c r="H6335" s="497"/>
      <c r="I6335" s="497"/>
      <c r="J6335" s="497"/>
      <c r="K6335" s="500"/>
      <c r="L6335" s="497"/>
      <c r="M6335"/>
      <c r="N6335" s="498"/>
      <c r="O6335" s="498"/>
      <c r="P6335" s="498"/>
      <c r="Q6335" s="498"/>
      <c r="R6335" s="498"/>
      <c r="T6335" s="498"/>
      <c r="U6335" s="498"/>
      <c r="V6335" s="498"/>
      <c r="W6335" s="498"/>
      <c r="X6335" s="498"/>
      <c r="Y6335" s="498"/>
      <c r="Z6335" s="498"/>
      <c r="AA6335" s="498"/>
      <c r="AB6335" s="498"/>
      <c r="AC6335" s="498"/>
      <c r="AD6335" s="498"/>
      <c r="AE6335" s="498"/>
      <c r="AF6335" s="498"/>
      <c r="AG6335" s="498"/>
      <c r="AH6335" s="498"/>
      <c r="AI6335" s="498"/>
      <c r="AK6335" s="498"/>
      <c r="AL6335" s="498"/>
      <c r="AM6335" s="498"/>
      <c r="AN6335" s="498"/>
      <c r="AO6335" s="498"/>
      <c r="AP6335" s="498"/>
      <c r="AQ6335" s="498"/>
      <c r="AR6335" s="498"/>
      <c r="AS6335" s="498"/>
      <c r="AT6335" s="498"/>
      <c r="AU6335" s="498"/>
      <c r="AV6335" s="498"/>
      <c r="AW6335" s="498"/>
      <c r="AX6335" s="498"/>
      <c r="AY6335" s="498"/>
      <c r="AZ6335" s="498"/>
      <c r="BA6335" s="498"/>
    </row>
    <row r="6336" spans="1:53" s="499" customFormat="1" x14ac:dyDescent="0.25">
      <c r="A6336" s="500"/>
      <c r="B6336" s="501"/>
      <c r="C6336" s="502"/>
      <c r="D6336" s="497"/>
      <c r="E6336" s="497"/>
      <c r="F6336" s="502"/>
      <c r="G6336" s="497"/>
      <c r="H6336" s="497"/>
      <c r="I6336" s="497"/>
      <c r="J6336" s="497"/>
      <c r="K6336" s="500"/>
      <c r="L6336" s="497"/>
      <c r="M6336"/>
      <c r="N6336" s="498"/>
      <c r="O6336" s="498"/>
      <c r="P6336" s="498"/>
      <c r="Q6336" s="498"/>
      <c r="R6336" s="498"/>
      <c r="T6336" s="498"/>
      <c r="U6336" s="498"/>
      <c r="V6336" s="498"/>
      <c r="W6336" s="498"/>
      <c r="X6336" s="498"/>
      <c r="Y6336" s="498"/>
      <c r="Z6336" s="498"/>
      <c r="AA6336" s="498"/>
      <c r="AB6336" s="498"/>
      <c r="AC6336" s="498"/>
      <c r="AD6336" s="498"/>
      <c r="AE6336" s="498"/>
      <c r="AF6336" s="498"/>
      <c r="AG6336" s="498"/>
      <c r="AH6336" s="498"/>
      <c r="AI6336" s="498"/>
      <c r="AK6336" s="498"/>
      <c r="AL6336" s="498"/>
      <c r="AM6336" s="498"/>
      <c r="AN6336" s="498"/>
      <c r="AO6336" s="498"/>
      <c r="AP6336" s="498"/>
      <c r="AQ6336" s="498"/>
      <c r="AR6336" s="498"/>
      <c r="AS6336" s="498"/>
      <c r="AT6336" s="498"/>
      <c r="AU6336" s="498"/>
      <c r="AV6336" s="498"/>
      <c r="AW6336" s="498"/>
      <c r="AX6336" s="498"/>
      <c r="AY6336" s="498"/>
      <c r="AZ6336" s="498"/>
      <c r="BA6336" s="498"/>
    </row>
    <row r="6337" spans="1:53" s="499" customFormat="1" x14ac:dyDescent="0.25">
      <c r="A6337" s="500"/>
      <c r="B6337" s="501"/>
      <c r="C6337" s="502"/>
      <c r="D6337" s="497"/>
      <c r="E6337" s="497"/>
      <c r="F6337" s="502"/>
      <c r="G6337" s="497"/>
      <c r="H6337" s="497"/>
      <c r="I6337" s="497"/>
      <c r="J6337" s="497"/>
      <c r="K6337" s="500"/>
      <c r="L6337" s="497"/>
      <c r="M6337"/>
      <c r="N6337" s="498"/>
      <c r="O6337" s="498"/>
      <c r="P6337" s="498"/>
      <c r="Q6337" s="498"/>
      <c r="R6337" s="498"/>
      <c r="T6337" s="498"/>
      <c r="U6337" s="498"/>
      <c r="V6337" s="498"/>
      <c r="W6337" s="498"/>
      <c r="X6337" s="498"/>
      <c r="Y6337" s="498"/>
      <c r="Z6337" s="498"/>
      <c r="AA6337" s="498"/>
      <c r="AB6337" s="498"/>
      <c r="AC6337" s="498"/>
      <c r="AD6337" s="498"/>
      <c r="AE6337" s="498"/>
      <c r="AF6337" s="498"/>
      <c r="AG6337" s="498"/>
      <c r="AH6337" s="498"/>
      <c r="AI6337" s="498"/>
      <c r="AK6337" s="498"/>
      <c r="AL6337" s="498"/>
      <c r="AM6337" s="498"/>
      <c r="AN6337" s="498"/>
      <c r="AO6337" s="498"/>
      <c r="AP6337" s="498"/>
      <c r="AQ6337" s="498"/>
      <c r="AR6337" s="498"/>
      <c r="AS6337" s="498"/>
      <c r="AT6337" s="498"/>
      <c r="AU6337" s="498"/>
      <c r="AV6337" s="498"/>
      <c r="AW6337" s="498"/>
      <c r="AX6337" s="498"/>
      <c r="AY6337" s="498"/>
      <c r="AZ6337" s="498"/>
      <c r="BA6337" s="498"/>
    </row>
    <row r="6338" spans="1:53" s="499" customFormat="1" x14ac:dyDescent="0.25">
      <c r="A6338" s="500"/>
      <c r="B6338" s="501"/>
      <c r="C6338" s="502"/>
      <c r="D6338" s="497"/>
      <c r="E6338" s="497"/>
      <c r="F6338" s="502"/>
      <c r="G6338" s="497"/>
      <c r="H6338" s="497"/>
      <c r="I6338" s="497"/>
      <c r="J6338" s="497"/>
      <c r="K6338" s="500"/>
      <c r="L6338" s="497"/>
      <c r="M6338"/>
      <c r="N6338" s="498"/>
      <c r="O6338" s="498"/>
      <c r="P6338" s="498"/>
      <c r="Q6338" s="498"/>
      <c r="R6338" s="498"/>
      <c r="T6338" s="498"/>
      <c r="U6338" s="498"/>
      <c r="V6338" s="498"/>
      <c r="W6338" s="498"/>
      <c r="X6338" s="498"/>
      <c r="Y6338" s="498"/>
      <c r="Z6338" s="498"/>
      <c r="AA6338" s="498"/>
      <c r="AB6338" s="498"/>
      <c r="AC6338" s="498"/>
      <c r="AD6338" s="498"/>
      <c r="AE6338" s="498"/>
      <c r="AF6338" s="498"/>
      <c r="AG6338" s="498"/>
      <c r="AH6338" s="498"/>
      <c r="AI6338" s="498"/>
      <c r="AK6338" s="498"/>
      <c r="AL6338" s="498"/>
      <c r="AM6338" s="498"/>
      <c r="AN6338" s="498"/>
      <c r="AO6338" s="498"/>
      <c r="AP6338" s="498"/>
      <c r="AQ6338" s="498"/>
      <c r="AR6338" s="498"/>
      <c r="AS6338" s="498"/>
      <c r="AT6338" s="498"/>
      <c r="AU6338" s="498"/>
      <c r="AV6338" s="498"/>
      <c r="AW6338" s="498"/>
      <c r="AX6338" s="498"/>
      <c r="AY6338" s="498"/>
      <c r="AZ6338" s="498"/>
      <c r="BA6338" s="498"/>
    </row>
    <row r="6339" spans="1:53" s="499" customFormat="1" x14ac:dyDescent="0.25">
      <c r="A6339" s="500"/>
      <c r="B6339" s="501"/>
      <c r="C6339" s="502"/>
      <c r="D6339" s="497"/>
      <c r="E6339" s="497"/>
      <c r="F6339" s="502"/>
      <c r="G6339" s="497"/>
      <c r="H6339" s="497"/>
      <c r="I6339" s="497"/>
      <c r="J6339" s="497"/>
      <c r="K6339" s="500"/>
      <c r="L6339" s="497"/>
      <c r="M6339"/>
      <c r="N6339" s="498"/>
      <c r="O6339" s="498"/>
      <c r="P6339" s="498"/>
      <c r="Q6339" s="498"/>
      <c r="R6339" s="498"/>
      <c r="T6339" s="498"/>
      <c r="U6339" s="498"/>
      <c r="V6339" s="498"/>
      <c r="W6339" s="498"/>
      <c r="X6339" s="498"/>
      <c r="Y6339" s="498"/>
      <c r="Z6339" s="498"/>
      <c r="AA6339" s="498"/>
      <c r="AB6339" s="498"/>
      <c r="AC6339" s="498"/>
      <c r="AD6339" s="498"/>
      <c r="AE6339" s="498"/>
      <c r="AF6339" s="498"/>
      <c r="AG6339" s="498"/>
      <c r="AH6339" s="498"/>
      <c r="AI6339" s="498"/>
      <c r="AK6339" s="498"/>
      <c r="AL6339" s="498"/>
      <c r="AM6339" s="498"/>
      <c r="AN6339" s="498"/>
      <c r="AO6339" s="498"/>
      <c r="AP6339" s="498"/>
      <c r="AQ6339" s="498"/>
      <c r="AR6339" s="498"/>
      <c r="AS6339" s="498"/>
      <c r="AT6339" s="498"/>
      <c r="AU6339" s="498"/>
      <c r="AV6339" s="498"/>
      <c r="AW6339" s="498"/>
      <c r="AX6339" s="498"/>
      <c r="AY6339" s="498"/>
      <c r="AZ6339" s="498"/>
      <c r="BA6339" s="498"/>
    </row>
    <row r="6340" spans="1:53" s="499" customFormat="1" x14ac:dyDescent="0.25">
      <c r="A6340" s="500"/>
      <c r="B6340" s="501"/>
      <c r="C6340" s="502"/>
      <c r="D6340" s="497"/>
      <c r="E6340" s="497"/>
      <c r="F6340" s="502"/>
      <c r="G6340" s="497"/>
      <c r="H6340" s="497"/>
      <c r="I6340" s="497"/>
      <c r="J6340" s="497"/>
      <c r="K6340" s="500"/>
      <c r="L6340" s="497"/>
      <c r="M6340"/>
      <c r="N6340" s="498"/>
      <c r="O6340" s="498"/>
      <c r="P6340" s="498"/>
      <c r="Q6340" s="498"/>
      <c r="R6340" s="498"/>
      <c r="T6340" s="498"/>
      <c r="U6340" s="498"/>
      <c r="V6340" s="498"/>
      <c r="W6340" s="498"/>
      <c r="X6340" s="498"/>
      <c r="Y6340" s="498"/>
      <c r="Z6340" s="498"/>
      <c r="AA6340" s="498"/>
      <c r="AB6340" s="498"/>
      <c r="AC6340" s="498"/>
      <c r="AD6340" s="498"/>
      <c r="AE6340" s="498"/>
      <c r="AF6340" s="498"/>
      <c r="AG6340" s="498"/>
      <c r="AH6340" s="498"/>
      <c r="AI6340" s="498"/>
      <c r="AK6340" s="498"/>
      <c r="AL6340" s="498"/>
      <c r="AM6340" s="498"/>
      <c r="AN6340" s="498"/>
      <c r="AO6340" s="498"/>
      <c r="AP6340" s="498"/>
      <c r="AQ6340" s="498"/>
      <c r="AR6340" s="498"/>
      <c r="AS6340" s="498"/>
      <c r="AT6340" s="498"/>
      <c r="AU6340" s="498"/>
      <c r="AV6340" s="498"/>
      <c r="AW6340" s="498"/>
      <c r="AX6340" s="498"/>
      <c r="AY6340" s="498"/>
      <c r="AZ6340" s="498"/>
      <c r="BA6340" s="498"/>
    </row>
    <row r="6341" spans="1:53" s="499" customFormat="1" x14ac:dyDescent="0.25">
      <c r="A6341" s="500"/>
      <c r="B6341" s="501"/>
      <c r="C6341" s="502"/>
      <c r="D6341" s="497"/>
      <c r="E6341" s="497"/>
      <c r="F6341" s="502"/>
      <c r="G6341" s="497"/>
      <c r="H6341" s="497"/>
      <c r="I6341" s="497"/>
      <c r="J6341" s="497"/>
      <c r="K6341" s="500"/>
      <c r="L6341" s="497"/>
      <c r="M6341"/>
      <c r="N6341" s="498"/>
      <c r="O6341" s="498"/>
      <c r="P6341" s="498"/>
      <c r="Q6341" s="498"/>
      <c r="R6341" s="498"/>
      <c r="T6341" s="498"/>
      <c r="U6341" s="498"/>
      <c r="V6341" s="498"/>
      <c r="W6341" s="498"/>
      <c r="X6341" s="498"/>
      <c r="Y6341" s="498"/>
      <c r="Z6341" s="498"/>
      <c r="AA6341" s="498"/>
      <c r="AB6341" s="498"/>
      <c r="AC6341" s="498"/>
      <c r="AD6341" s="498"/>
      <c r="AE6341" s="498"/>
      <c r="AF6341" s="498"/>
      <c r="AG6341" s="498"/>
      <c r="AH6341" s="498"/>
      <c r="AI6341" s="498"/>
      <c r="AK6341" s="498"/>
      <c r="AL6341" s="498"/>
      <c r="AM6341" s="498"/>
      <c r="AN6341" s="498"/>
      <c r="AO6341" s="498"/>
      <c r="AP6341" s="498"/>
      <c r="AQ6341" s="498"/>
      <c r="AR6341" s="498"/>
      <c r="AS6341" s="498"/>
      <c r="AT6341" s="498"/>
      <c r="AU6341" s="498"/>
      <c r="AV6341" s="498"/>
      <c r="AW6341" s="498"/>
      <c r="AX6341" s="498"/>
      <c r="AY6341" s="498"/>
      <c r="AZ6341" s="498"/>
      <c r="BA6341" s="498"/>
    </row>
    <row r="6342" spans="1:53" s="499" customFormat="1" x14ac:dyDescent="0.25">
      <c r="A6342" s="500"/>
      <c r="B6342" s="501"/>
      <c r="C6342" s="502"/>
      <c r="D6342" s="497"/>
      <c r="E6342" s="497"/>
      <c r="F6342" s="502"/>
      <c r="G6342" s="497"/>
      <c r="H6342" s="497"/>
      <c r="I6342" s="497"/>
      <c r="J6342" s="497"/>
      <c r="K6342" s="500"/>
      <c r="L6342" s="497"/>
      <c r="M6342"/>
      <c r="N6342" s="498"/>
      <c r="O6342" s="498"/>
      <c r="P6342" s="498"/>
      <c r="Q6342" s="498"/>
      <c r="R6342" s="498"/>
      <c r="T6342" s="498"/>
      <c r="U6342" s="498"/>
      <c r="V6342" s="498"/>
      <c r="W6342" s="498"/>
      <c r="X6342" s="498"/>
      <c r="Y6342" s="498"/>
      <c r="Z6342" s="498"/>
      <c r="AA6342" s="498"/>
      <c r="AB6342" s="498"/>
      <c r="AC6342" s="498"/>
      <c r="AD6342" s="498"/>
      <c r="AE6342" s="498"/>
      <c r="AF6342" s="498"/>
      <c r="AG6342" s="498"/>
      <c r="AH6342" s="498"/>
      <c r="AI6342" s="498"/>
      <c r="AK6342" s="498"/>
      <c r="AL6342" s="498"/>
      <c r="AM6342" s="498"/>
      <c r="AN6342" s="498"/>
      <c r="AO6342" s="498"/>
      <c r="AP6342" s="498"/>
      <c r="AQ6342" s="498"/>
      <c r="AR6342" s="498"/>
      <c r="AS6342" s="498"/>
      <c r="AT6342" s="498"/>
      <c r="AU6342" s="498"/>
      <c r="AV6342" s="498"/>
      <c r="AW6342" s="498"/>
      <c r="AX6342" s="498"/>
      <c r="AY6342" s="498"/>
      <c r="AZ6342" s="498"/>
      <c r="BA6342" s="498"/>
    </row>
    <row r="6343" spans="1:53" s="499" customFormat="1" x14ac:dyDescent="0.25">
      <c r="A6343" s="500"/>
      <c r="B6343" s="501"/>
      <c r="C6343" s="502"/>
      <c r="D6343" s="497"/>
      <c r="E6343" s="497"/>
      <c r="F6343" s="502"/>
      <c r="G6343" s="497"/>
      <c r="H6343" s="497"/>
      <c r="I6343" s="497"/>
      <c r="J6343" s="497"/>
      <c r="K6343" s="500"/>
      <c r="L6343" s="497"/>
      <c r="M6343"/>
      <c r="N6343" s="498"/>
      <c r="O6343" s="498"/>
      <c r="P6343" s="498"/>
      <c r="Q6343" s="498"/>
      <c r="R6343" s="498"/>
      <c r="T6343" s="498"/>
      <c r="U6343" s="498"/>
      <c r="V6343" s="498"/>
      <c r="W6343" s="498"/>
      <c r="X6343" s="498"/>
      <c r="Y6343" s="498"/>
      <c r="Z6343" s="498"/>
      <c r="AA6343" s="498"/>
      <c r="AB6343" s="498"/>
      <c r="AC6343" s="498"/>
      <c r="AD6343" s="498"/>
      <c r="AE6343" s="498"/>
      <c r="AF6343" s="498"/>
      <c r="AG6343" s="498"/>
      <c r="AH6343" s="498"/>
      <c r="AI6343" s="498"/>
      <c r="AK6343" s="498"/>
      <c r="AL6343" s="498"/>
      <c r="AM6343" s="498"/>
      <c r="AN6343" s="498"/>
      <c r="AO6343" s="498"/>
      <c r="AP6343" s="498"/>
      <c r="AQ6343" s="498"/>
      <c r="AR6343" s="498"/>
      <c r="AS6343" s="498"/>
      <c r="AT6343" s="498"/>
      <c r="AU6343" s="498"/>
      <c r="AV6343" s="498"/>
      <c r="AW6343" s="498"/>
      <c r="AX6343" s="498"/>
      <c r="AY6343" s="498"/>
      <c r="AZ6343" s="498"/>
      <c r="BA6343" s="498"/>
    </row>
    <row r="6344" spans="1:53" s="499" customFormat="1" x14ac:dyDescent="0.25">
      <c r="A6344" s="500"/>
      <c r="B6344" s="501"/>
      <c r="C6344" s="502"/>
      <c r="D6344" s="497"/>
      <c r="E6344" s="497"/>
      <c r="F6344" s="502"/>
      <c r="G6344" s="497"/>
      <c r="H6344" s="497"/>
      <c r="I6344" s="497"/>
      <c r="J6344" s="497"/>
      <c r="K6344" s="500"/>
      <c r="L6344" s="497"/>
      <c r="M6344"/>
      <c r="N6344" s="498"/>
      <c r="O6344" s="498"/>
      <c r="P6344" s="498"/>
      <c r="Q6344" s="498"/>
      <c r="R6344" s="498"/>
      <c r="T6344" s="498"/>
      <c r="U6344" s="498"/>
      <c r="V6344" s="498"/>
      <c r="W6344" s="498"/>
      <c r="X6344" s="498"/>
      <c r="Y6344" s="498"/>
      <c r="Z6344" s="498"/>
      <c r="AA6344" s="498"/>
      <c r="AB6344" s="498"/>
      <c r="AC6344" s="498"/>
      <c r="AD6344" s="498"/>
      <c r="AE6344" s="498"/>
      <c r="AF6344" s="498"/>
      <c r="AG6344" s="498"/>
      <c r="AH6344" s="498"/>
      <c r="AI6344" s="498"/>
      <c r="AK6344" s="498"/>
      <c r="AL6344" s="498"/>
      <c r="AM6344" s="498"/>
      <c r="AN6344" s="498"/>
      <c r="AO6344" s="498"/>
      <c r="AP6344" s="498"/>
      <c r="AQ6344" s="498"/>
      <c r="AR6344" s="498"/>
      <c r="AS6344" s="498"/>
      <c r="AT6344" s="498"/>
      <c r="AU6344" s="498"/>
      <c r="AV6344" s="498"/>
      <c r="AW6344" s="498"/>
      <c r="AX6344" s="498"/>
      <c r="AY6344" s="498"/>
      <c r="AZ6344" s="498"/>
      <c r="BA6344" s="498"/>
    </row>
    <row r="6345" spans="1:53" s="499" customFormat="1" x14ac:dyDescent="0.25">
      <c r="A6345" s="500"/>
      <c r="B6345" s="501"/>
      <c r="C6345" s="502"/>
      <c r="D6345" s="497"/>
      <c r="E6345" s="497"/>
      <c r="F6345" s="502"/>
      <c r="G6345" s="497"/>
      <c r="H6345" s="497"/>
      <c r="I6345" s="497"/>
      <c r="J6345" s="497"/>
      <c r="K6345" s="500"/>
      <c r="L6345" s="497"/>
      <c r="M6345"/>
      <c r="N6345" s="498"/>
      <c r="O6345" s="498"/>
      <c r="P6345" s="498"/>
      <c r="Q6345" s="498"/>
      <c r="R6345" s="498"/>
      <c r="T6345" s="498"/>
      <c r="U6345" s="498"/>
      <c r="V6345" s="498"/>
      <c r="W6345" s="498"/>
      <c r="X6345" s="498"/>
      <c r="Y6345" s="498"/>
      <c r="Z6345" s="498"/>
      <c r="AA6345" s="498"/>
      <c r="AB6345" s="498"/>
      <c r="AC6345" s="498"/>
      <c r="AD6345" s="498"/>
      <c r="AE6345" s="498"/>
      <c r="AF6345" s="498"/>
      <c r="AG6345" s="498"/>
      <c r="AH6345" s="498"/>
      <c r="AI6345" s="498"/>
      <c r="AK6345" s="498"/>
      <c r="AL6345" s="498"/>
      <c r="AM6345" s="498"/>
      <c r="AN6345" s="498"/>
      <c r="AO6345" s="498"/>
      <c r="AP6345" s="498"/>
      <c r="AQ6345" s="498"/>
      <c r="AR6345" s="498"/>
      <c r="AS6345" s="498"/>
      <c r="AT6345" s="498"/>
      <c r="AU6345" s="498"/>
      <c r="AV6345" s="498"/>
      <c r="AW6345" s="498"/>
      <c r="AX6345" s="498"/>
      <c r="AY6345" s="498"/>
      <c r="AZ6345" s="498"/>
      <c r="BA6345" s="498"/>
    </row>
    <row r="6346" spans="1:53" s="499" customFormat="1" x14ac:dyDescent="0.25">
      <c r="A6346" s="500"/>
      <c r="B6346" s="501"/>
      <c r="C6346" s="502"/>
      <c r="D6346" s="497"/>
      <c r="E6346" s="497"/>
      <c r="F6346" s="502"/>
      <c r="G6346" s="497"/>
      <c r="H6346" s="497"/>
      <c r="I6346" s="497"/>
      <c r="J6346" s="497"/>
      <c r="K6346" s="500"/>
      <c r="L6346" s="497"/>
      <c r="M6346"/>
      <c r="N6346" s="498"/>
      <c r="O6346" s="498"/>
      <c r="P6346" s="498"/>
      <c r="Q6346" s="498"/>
      <c r="R6346" s="498"/>
      <c r="T6346" s="498"/>
      <c r="U6346" s="498"/>
      <c r="V6346" s="498"/>
      <c r="W6346" s="498"/>
      <c r="X6346" s="498"/>
      <c r="Y6346" s="498"/>
      <c r="Z6346" s="498"/>
      <c r="AA6346" s="498"/>
      <c r="AB6346" s="498"/>
      <c r="AC6346" s="498"/>
      <c r="AD6346" s="498"/>
      <c r="AE6346" s="498"/>
      <c r="AF6346" s="498"/>
      <c r="AG6346" s="498"/>
      <c r="AH6346" s="498"/>
      <c r="AI6346" s="498"/>
      <c r="AK6346" s="498"/>
      <c r="AL6346" s="498"/>
      <c r="AM6346" s="498"/>
      <c r="AN6346" s="498"/>
      <c r="AO6346" s="498"/>
      <c r="AP6346" s="498"/>
      <c r="AQ6346" s="498"/>
      <c r="AR6346" s="498"/>
      <c r="AS6346" s="498"/>
      <c r="AT6346" s="498"/>
      <c r="AU6346" s="498"/>
      <c r="AV6346" s="498"/>
      <c r="AW6346" s="498"/>
      <c r="AX6346" s="498"/>
      <c r="AY6346" s="498"/>
      <c r="AZ6346" s="498"/>
      <c r="BA6346" s="498"/>
    </row>
    <row r="6347" spans="1:53" s="499" customFormat="1" x14ac:dyDescent="0.25">
      <c r="A6347" s="500"/>
      <c r="B6347" s="501"/>
      <c r="C6347" s="502"/>
      <c r="D6347" s="497"/>
      <c r="E6347" s="497"/>
      <c r="F6347" s="502"/>
      <c r="G6347" s="497"/>
      <c r="H6347" s="497"/>
      <c r="I6347" s="497"/>
      <c r="J6347" s="497"/>
      <c r="K6347" s="500"/>
      <c r="L6347" s="497"/>
      <c r="M6347"/>
      <c r="N6347" s="498"/>
      <c r="O6347" s="498"/>
      <c r="P6347" s="498"/>
      <c r="Q6347" s="498"/>
      <c r="R6347" s="498"/>
      <c r="T6347" s="498"/>
      <c r="U6347" s="498"/>
      <c r="V6347" s="498"/>
      <c r="W6347" s="498"/>
      <c r="X6347" s="498"/>
      <c r="Y6347" s="498"/>
      <c r="Z6347" s="498"/>
      <c r="AA6347" s="498"/>
      <c r="AB6347" s="498"/>
      <c r="AC6347" s="498"/>
      <c r="AD6347" s="498"/>
      <c r="AE6347" s="498"/>
      <c r="AF6347" s="498"/>
      <c r="AG6347" s="498"/>
      <c r="AH6347" s="498"/>
      <c r="AI6347" s="498"/>
      <c r="AK6347" s="498"/>
      <c r="AL6347" s="498"/>
      <c r="AM6347" s="498"/>
      <c r="AN6347" s="498"/>
      <c r="AO6347" s="498"/>
      <c r="AP6347" s="498"/>
      <c r="AQ6347" s="498"/>
      <c r="AR6347" s="498"/>
      <c r="AS6347" s="498"/>
      <c r="AT6347" s="498"/>
      <c r="AU6347" s="498"/>
      <c r="AV6347" s="498"/>
      <c r="AW6347" s="498"/>
      <c r="AX6347" s="498"/>
      <c r="AY6347" s="498"/>
      <c r="AZ6347" s="498"/>
      <c r="BA6347" s="498"/>
    </row>
    <row r="6348" spans="1:53" s="499" customFormat="1" x14ac:dyDescent="0.25">
      <c r="A6348" s="500"/>
      <c r="B6348" s="501"/>
      <c r="C6348" s="502"/>
      <c r="D6348" s="497"/>
      <c r="E6348" s="497"/>
      <c r="F6348" s="502"/>
      <c r="G6348" s="497"/>
      <c r="H6348" s="497"/>
      <c r="I6348" s="497"/>
      <c r="J6348" s="497"/>
      <c r="K6348" s="500"/>
      <c r="L6348" s="497"/>
      <c r="M6348"/>
      <c r="N6348" s="498"/>
      <c r="O6348" s="498"/>
      <c r="P6348" s="498"/>
      <c r="Q6348" s="498"/>
      <c r="R6348" s="498"/>
      <c r="T6348" s="498"/>
      <c r="U6348" s="498"/>
      <c r="V6348" s="498"/>
      <c r="W6348" s="498"/>
      <c r="X6348" s="498"/>
      <c r="Y6348" s="498"/>
      <c r="Z6348" s="498"/>
      <c r="AA6348" s="498"/>
      <c r="AB6348" s="498"/>
      <c r="AC6348" s="498"/>
      <c r="AD6348" s="498"/>
      <c r="AE6348" s="498"/>
      <c r="AF6348" s="498"/>
      <c r="AG6348" s="498"/>
      <c r="AH6348" s="498"/>
      <c r="AI6348" s="498"/>
      <c r="AK6348" s="498"/>
      <c r="AL6348" s="498"/>
      <c r="AM6348" s="498"/>
      <c r="AN6348" s="498"/>
      <c r="AO6348" s="498"/>
      <c r="AP6348" s="498"/>
      <c r="AQ6348" s="498"/>
      <c r="AR6348" s="498"/>
      <c r="AS6348" s="498"/>
      <c r="AT6348" s="498"/>
      <c r="AU6348" s="498"/>
      <c r="AV6348" s="498"/>
      <c r="AW6348" s="498"/>
      <c r="AX6348" s="498"/>
      <c r="AY6348" s="498"/>
      <c r="AZ6348" s="498"/>
      <c r="BA6348" s="498"/>
    </row>
    <row r="6349" spans="1:53" s="499" customFormat="1" x14ac:dyDescent="0.25">
      <c r="A6349" s="500"/>
      <c r="B6349" s="501"/>
      <c r="C6349" s="502"/>
      <c r="D6349" s="497"/>
      <c r="E6349" s="497"/>
      <c r="F6349" s="502"/>
      <c r="G6349" s="497"/>
      <c r="H6349" s="497"/>
      <c r="I6349" s="497"/>
      <c r="J6349" s="497"/>
      <c r="K6349" s="500"/>
      <c r="L6349" s="497"/>
      <c r="M6349"/>
      <c r="N6349" s="498"/>
      <c r="O6349" s="498"/>
      <c r="P6349" s="498"/>
      <c r="Q6349" s="498"/>
      <c r="R6349" s="498"/>
      <c r="T6349" s="498"/>
      <c r="U6349" s="498"/>
      <c r="V6349" s="498"/>
      <c r="W6349" s="498"/>
      <c r="X6349" s="498"/>
      <c r="Y6349" s="498"/>
      <c r="Z6349" s="498"/>
      <c r="AA6349" s="498"/>
      <c r="AB6349" s="498"/>
      <c r="AC6349" s="498"/>
      <c r="AD6349" s="498"/>
      <c r="AE6349" s="498"/>
      <c r="AF6349" s="498"/>
      <c r="AG6349" s="498"/>
      <c r="AH6349" s="498"/>
      <c r="AI6349" s="498"/>
      <c r="AK6349" s="498"/>
      <c r="AL6349" s="498"/>
      <c r="AM6349" s="498"/>
      <c r="AN6349" s="498"/>
      <c r="AO6349" s="498"/>
      <c r="AP6349" s="498"/>
      <c r="AQ6349" s="498"/>
      <c r="AR6349" s="498"/>
      <c r="AS6349" s="498"/>
      <c r="AT6349" s="498"/>
      <c r="AU6349" s="498"/>
      <c r="AV6349" s="498"/>
      <c r="AW6349" s="498"/>
      <c r="AX6349" s="498"/>
      <c r="AY6349" s="498"/>
      <c r="AZ6349" s="498"/>
      <c r="BA6349" s="498"/>
    </row>
    <row r="6350" spans="1:53" s="499" customFormat="1" x14ac:dyDescent="0.25">
      <c r="A6350" s="500"/>
      <c r="B6350" s="501"/>
      <c r="C6350" s="502"/>
      <c r="D6350" s="497"/>
      <c r="E6350" s="497"/>
      <c r="F6350" s="502"/>
      <c r="G6350" s="497"/>
      <c r="H6350" s="497"/>
      <c r="I6350" s="497"/>
      <c r="J6350" s="497"/>
      <c r="K6350" s="500"/>
      <c r="L6350" s="497"/>
      <c r="M6350"/>
      <c r="N6350" s="498"/>
      <c r="O6350" s="498"/>
      <c r="P6350" s="498"/>
      <c r="Q6350" s="498"/>
      <c r="R6350" s="498"/>
      <c r="T6350" s="498"/>
      <c r="U6350" s="498"/>
      <c r="V6350" s="498"/>
      <c r="W6350" s="498"/>
      <c r="X6350" s="498"/>
      <c r="Y6350" s="498"/>
      <c r="Z6350" s="498"/>
      <c r="AA6350" s="498"/>
      <c r="AB6350" s="498"/>
      <c r="AC6350" s="498"/>
      <c r="AD6350" s="498"/>
      <c r="AE6350" s="498"/>
      <c r="AF6350" s="498"/>
      <c r="AG6350" s="498"/>
      <c r="AH6350" s="498"/>
      <c r="AI6350" s="498"/>
      <c r="AK6350" s="498"/>
      <c r="AL6350" s="498"/>
      <c r="AM6350" s="498"/>
      <c r="AN6350" s="498"/>
      <c r="AO6350" s="498"/>
      <c r="AP6350" s="498"/>
      <c r="AQ6350" s="498"/>
      <c r="AR6350" s="498"/>
      <c r="AS6350" s="498"/>
      <c r="AT6350" s="498"/>
      <c r="AU6350" s="498"/>
      <c r="AV6350" s="498"/>
      <c r="AW6350" s="498"/>
      <c r="AX6350" s="498"/>
      <c r="AY6350" s="498"/>
      <c r="AZ6350" s="498"/>
      <c r="BA6350" s="498"/>
    </row>
    <row r="6351" spans="1:53" s="499" customFormat="1" x14ac:dyDescent="0.25">
      <c r="A6351" s="500"/>
      <c r="B6351" s="501"/>
      <c r="C6351" s="502"/>
      <c r="D6351" s="497"/>
      <c r="E6351" s="497"/>
      <c r="F6351" s="502"/>
      <c r="G6351" s="497"/>
      <c r="H6351" s="497"/>
      <c r="I6351" s="497"/>
      <c r="J6351" s="497"/>
      <c r="K6351" s="500"/>
      <c r="L6351" s="497"/>
      <c r="M6351"/>
      <c r="N6351" s="498"/>
      <c r="O6351" s="498"/>
      <c r="P6351" s="498"/>
      <c r="Q6351" s="498"/>
      <c r="R6351" s="498"/>
      <c r="T6351" s="498"/>
      <c r="U6351" s="498"/>
      <c r="V6351" s="498"/>
      <c r="W6351" s="498"/>
      <c r="X6351" s="498"/>
      <c r="Y6351" s="498"/>
      <c r="Z6351" s="498"/>
      <c r="AA6351" s="498"/>
      <c r="AB6351" s="498"/>
      <c r="AC6351" s="498"/>
      <c r="AD6351" s="498"/>
      <c r="AE6351" s="498"/>
      <c r="AF6351" s="498"/>
      <c r="AG6351" s="498"/>
      <c r="AH6351" s="498"/>
      <c r="AI6351" s="498"/>
      <c r="AK6351" s="498"/>
      <c r="AL6351" s="498"/>
      <c r="AM6351" s="498"/>
      <c r="AN6351" s="498"/>
      <c r="AO6351" s="498"/>
      <c r="AP6351" s="498"/>
      <c r="AQ6351" s="498"/>
      <c r="AR6351" s="498"/>
      <c r="AS6351" s="498"/>
      <c r="AT6351" s="498"/>
      <c r="AU6351" s="498"/>
      <c r="AV6351" s="498"/>
      <c r="AW6351" s="498"/>
      <c r="AX6351" s="498"/>
      <c r="AY6351" s="498"/>
      <c r="AZ6351" s="498"/>
      <c r="BA6351" s="498"/>
    </row>
    <row r="6352" spans="1:53" s="499" customFormat="1" x14ac:dyDescent="0.25">
      <c r="A6352" s="500"/>
      <c r="B6352" s="501"/>
      <c r="C6352" s="502"/>
      <c r="D6352" s="497"/>
      <c r="E6352" s="497"/>
      <c r="F6352" s="502"/>
      <c r="G6352" s="497"/>
      <c r="H6352" s="497"/>
      <c r="I6352" s="497"/>
      <c r="J6352" s="497"/>
      <c r="K6352" s="500"/>
      <c r="L6352" s="497"/>
      <c r="M6352"/>
      <c r="N6352" s="498"/>
      <c r="O6352" s="498"/>
      <c r="P6352" s="498"/>
      <c r="Q6352" s="498"/>
      <c r="R6352" s="498"/>
      <c r="T6352" s="498"/>
      <c r="U6352" s="498"/>
      <c r="V6352" s="498"/>
      <c r="W6352" s="498"/>
      <c r="X6352" s="498"/>
      <c r="Y6352" s="498"/>
      <c r="Z6352" s="498"/>
      <c r="AA6352" s="498"/>
      <c r="AB6352" s="498"/>
      <c r="AC6352" s="498"/>
      <c r="AD6352" s="498"/>
      <c r="AE6352" s="498"/>
      <c r="AF6352" s="498"/>
      <c r="AG6352" s="498"/>
      <c r="AH6352" s="498"/>
      <c r="AI6352" s="498"/>
      <c r="AK6352" s="498"/>
      <c r="AL6352" s="498"/>
      <c r="AM6352" s="498"/>
      <c r="AN6352" s="498"/>
      <c r="AO6352" s="498"/>
      <c r="AP6352" s="498"/>
      <c r="AQ6352" s="498"/>
      <c r="AR6352" s="498"/>
      <c r="AS6352" s="498"/>
      <c r="AT6352" s="498"/>
      <c r="AU6352" s="498"/>
      <c r="AV6352" s="498"/>
      <c r="AW6352" s="498"/>
      <c r="AX6352" s="498"/>
      <c r="AY6352" s="498"/>
      <c r="AZ6352" s="498"/>
      <c r="BA6352" s="498"/>
    </row>
    <row r="6353" spans="1:53" s="499" customFormat="1" x14ac:dyDescent="0.25">
      <c r="A6353" s="500"/>
      <c r="B6353" s="501"/>
      <c r="C6353" s="502"/>
      <c r="D6353" s="497"/>
      <c r="E6353" s="497"/>
      <c r="F6353" s="502"/>
      <c r="G6353" s="497"/>
      <c r="H6353" s="497"/>
      <c r="I6353" s="497"/>
      <c r="J6353" s="497"/>
      <c r="K6353" s="500"/>
      <c r="L6353" s="497"/>
      <c r="M6353"/>
      <c r="N6353" s="498"/>
      <c r="O6353" s="498"/>
      <c r="P6353" s="498"/>
      <c r="Q6353" s="498"/>
      <c r="R6353" s="498"/>
      <c r="T6353" s="498"/>
      <c r="U6353" s="498"/>
      <c r="V6353" s="498"/>
      <c r="W6353" s="498"/>
      <c r="X6353" s="498"/>
      <c r="Y6353" s="498"/>
      <c r="Z6353" s="498"/>
      <c r="AA6353" s="498"/>
      <c r="AB6353" s="498"/>
      <c r="AC6353" s="498"/>
      <c r="AD6353" s="498"/>
      <c r="AE6353" s="498"/>
      <c r="AF6353" s="498"/>
      <c r="AG6353" s="498"/>
      <c r="AH6353" s="498"/>
      <c r="AI6353" s="498"/>
      <c r="AK6353" s="498"/>
      <c r="AL6353" s="498"/>
      <c r="AM6353" s="498"/>
      <c r="AN6353" s="498"/>
      <c r="AO6353" s="498"/>
      <c r="AP6353" s="498"/>
      <c r="AQ6353" s="498"/>
      <c r="AR6353" s="498"/>
      <c r="AS6353" s="498"/>
      <c r="AT6353" s="498"/>
      <c r="AU6353" s="498"/>
      <c r="AV6353" s="498"/>
      <c r="AW6353" s="498"/>
      <c r="AX6353" s="498"/>
      <c r="AY6353" s="498"/>
      <c r="AZ6353" s="498"/>
      <c r="BA6353" s="498"/>
    </row>
    <row r="6354" spans="1:53" s="499" customFormat="1" x14ac:dyDescent="0.25">
      <c r="A6354" s="500"/>
      <c r="B6354" s="501"/>
      <c r="C6354" s="502"/>
      <c r="D6354" s="497"/>
      <c r="E6354" s="497"/>
      <c r="F6354" s="502"/>
      <c r="G6354" s="497"/>
      <c r="H6354" s="497"/>
      <c r="I6354" s="497"/>
      <c r="J6354" s="497"/>
      <c r="K6354" s="500"/>
      <c r="L6354" s="497"/>
      <c r="M6354"/>
      <c r="N6354" s="498"/>
      <c r="O6354" s="498"/>
      <c r="P6354" s="498"/>
      <c r="Q6354" s="498"/>
      <c r="R6354" s="498"/>
      <c r="T6354" s="498"/>
      <c r="U6354" s="498"/>
      <c r="V6354" s="498"/>
      <c r="W6354" s="498"/>
      <c r="X6354" s="498"/>
      <c r="Y6354" s="498"/>
      <c r="Z6354" s="498"/>
      <c r="AA6354" s="498"/>
      <c r="AB6354" s="498"/>
      <c r="AC6354" s="498"/>
      <c r="AD6354" s="498"/>
      <c r="AE6354" s="498"/>
      <c r="AF6354" s="498"/>
      <c r="AG6354" s="498"/>
      <c r="AH6354" s="498"/>
      <c r="AI6354" s="498"/>
      <c r="AK6354" s="498"/>
      <c r="AL6354" s="498"/>
      <c r="AM6354" s="498"/>
      <c r="AN6354" s="498"/>
      <c r="AO6354" s="498"/>
      <c r="AP6354" s="498"/>
      <c r="AQ6354" s="498"/>
      <c r="AR6354" s="498"/>
      <c r="AS6354" s="498"/>
      <c r="AT6354" s="498"/>
      <c r="AU6354" s="498"/>
      <c r="AV6354" s="498"/>
      <c r="AW6354" s="498"/>
      <c r="AX6354" s="498"/>
      <c r="AY6354" s="498"/>
      <c r="AZ6354" s="498"/>
      <c r="BA6354" s="498"/>
    </row>
    <row r="6355" spans="1:53" s="499" customFormat="1" x14ac:dyDescent="0.25">
      <c r="A6355" s="500"/>
      <c r="B6355" s="501"/>
      <c r="C6355" s="502"/>
      <c r="D6355" s="497"/>
      <c r="E6355" s="497"/>
      <c r="F6355" s="502"/>
      <c r="G6355" s="497"/>
      <c r="H6355" s="497"/>
      <c r="I6355" s="497"/>
      <c r="J6355" s="497"/>
      <c r="K6355" s="500"/>
      <c r="L6355" s="497"/>
      <c r="M6355"/>
      <c r="N6355" s="498"/>
      <c r="O6355" s="498"/>
      <c r="P6355" s="498"/>
      <c r="Q6355" s="498"/>
      <c r="R6355" s="498"/>
      <c r="T6355" s="498"/>
      <c r="U6355" s="498"/>
      <c r="V6355" s="498"/>
      <c r="W6355" s="498"/>
      <c r="X6355" s="498"/>
      <c r="Y6355" s="498"/>
      <c r="Z6355" s="498"/>
      <c r="AA6355" s="498"/>
      <c r="AB6355" s="498"/>
      <c r="AC6355" s="498"/>
      <c r="AD6355" s="498"/>
      <c r="AE6355" s="498"/>
      <c r="AF6355" s="498"/>
      <c r="AG6355" s="498"/>
      <c r="AH6355" s="498"/>
      <c r="AI6355" s="498"/>
      <c r="AK6355" s="498"/>
      <c r="AL6355" s="498"/>
      <c r="AM6355" s="498"/>
      <c r="AN6355" s="498"/>
      <c r="AO6355" s="498"/>
      <c r="AP6355" s="498"/>
      <c r="AQ6355" s="498"/>
      <c r="AR6355" s="498"/>
      <c r="AS6355" s="498"/>
      <c r="AT6355" s="498"/>
      <c r="AU6355" s="498"/>
      <c r="AV6355" s="498"/>
      <c r="AW6355" s="498"/>
      <c r="AX6355" s="498"/>
      <c r="AY6355" s="498"/>
      <c r="AZ6355" s="498"/>
      <c r="BA6355" s="498"/>
    </row>
    <row r="6356" spans="1:53" s="499" customFormat="1" x14ac:dyDescent="0.25">
      <c r="A6356" s="500"/>
      <c r="B6356" s="501"/>
      <c r="C6356" s="502"/>
      <c r="D6356" s="497"/>
      <c r="E6356" s="497"/>
      <c r="F6356" s="502"/>
      <c r="G6356" s="497"/>
      <c r="H6356" s="497"/>
      <c r="I6356" s="497"/>
      <c r="J6356" s="497"/>
      <c r="K6356" s="500"/>
      <c r="L6356" s="497"/>
      <c r="M6356"/>
      <c r="N6356" s="498"/>
      <c r="O6356" s="498"/>
      <c r="P6356" s="498"/>
      <c r="Q6356" s="498"/>
      <c r="R6356" s="498"/>
      <c r="T6356" s="498"/>
      <c r="U6356" s="498"/>
      <c r="V6356" s="498"/>
      <c r="W6356" s="498"/>
      <c r="X6356" s="498"/>
      <c r="Y6356" s="498"/>
      <c r="Z6356" s="498"/>
      <c r="AA6356" s="498"/>
      <c r="AB6356" s="498"/>
      <c r="AC6356" s="498"/>
      <c r="AD6356" s="498"/>
      <c r="AE6356" s="498"/>
      <c r="AF6356" s="498"/>
      <c r="AG6356" s="498"/>
      <c r="AH6356" s="498"/>
      <c r="AI6356" s="498"/>
      <c r="AK6356" s="498"/>
      <c r="AL6356" s="498"/>
      <c r="AM6356" s="498"/>
      <c r="AN6356" s="498"/>
      <c r="AO6356" s="498"/>
      <c r="AP6356" s="498"/>
      <c r="AQ6356" s="498"/>
      <c r="AR6356" s="498"/>
      <c r="AS6356" s="498"/>
      <c r="AT6356" s="498"/>
      <c r="AU6356" s="498"/>
      <c r="AV6356" s="498"/>
      <c r="AW6356" s="498"/>
      <c r="AX6356" s="498"/>
      <c r="AY6356" s="498"/>
      <c r="AZ6356" s="498"/>
      <c r="BA6356" s="498"/>
    </row>
    <row r="6357" spans="1:53" s="499" customFormat="1" x14ac:dyDescent="0.25">
      <c r="A6357" s="500"/>
      <c r="B6357" s="501"/>
      <c r="C6357" s="502"/>
      <c r="D6357" s="497"/>
      <c r="E6357" s="497"/>
      <c r="F6357" s="502"/>
      <c r="G6357" s="497"/>
      <c r="H6357" s="497"/>
      <c r="I6357" s="497"/>
      <c r="J6357" s="497"/>
      <c r="K6357" s="500"/>
      <c r="L6357" s="497"/>
      <c r="M6357"/>
      <c r="N6357" s="498"/>
      <c r="O6357" s="498"/>
      <c r="P6357" s="498"/>
      <c r="Q6357" s="498"/>
      <c r="R6357" s="498"/>
      <c r="T6357" s="498"/>
      <c r="U6357" s="498"/>
      <c r="V6357" s="498"/>
      <c r="W6357" s="498"/>
      <c r="X6357" s="498"/>
      <c r="Y6357" s="498"/>
      <c r="Z6357" s="498"/>
      <c r="AA6357" s="498"/>
      <c r="AB6357" s="498"/>
      <c r="AC6357" s="498"/>
      <c r="AD6357" s="498"/>
      <c r="AE6357" s="498"/>
      <c r="AF6357" s="498"/>
      <c r="AG6357" s="498"/>
      <c r="AH6357" s="498"/>
      <c r="AI6357" s="498"/>
      <c r="AK6357" s="498"/>
      <c r="AL6357" s="498"/>
      <c r="AM6357" s="498"/>
      <c r="AN6357" s="498"/>
      <c r="AO6357" s="498"/>
      <c r="AP6357" s="498"/>
      <c r="AQ6357" s="498"/>
      <c r="AR6357" s="498"/>
      <c r="AS6357" s="498"/>
      <c r="AT6357" s="498"/>
      <c r="AU6357" s="498"/>
      <c r="AV6357" s="498"/>
      <c r="AW6357" s="498"/>
      <c r="AX6357" s="498"/>
      <c r="AY6357" s="498"/>
      <c r="AZ6357" s="498"/>
      <c r="BA6357" s="498"/>
    </row>
    <row r="6358" spans="1:53" s="499" customFormat="1" x14ac:dyDescent="0.25">
      <c r="A6358" s="500"/>
      <c r="B6358" s="501"/>
      <c r="C6358" s="502"/>
      <c r="D6358" s="497"/>
      <c r="E6358" s="497"/>
      <c r="F6358" s="502"/>
      <c r="G6358" s="497"/>
      <c r="H6358" s="497"/>
      <c r="I6358" s="497"/>
      <c r="J6358" s="497"/>
      <c r="K6358" s="500"/>
      <c r="L6358" s="497"/>
      <c r="M6358"/>
      <c r="N6358" s="498"/>
      <c r="O6358" s="498"/>
      <c r="P6358" s="498"/>
      <c r="Q6358" s="498"/>
      <c r="R6358" s="498"/>
      <c r="T6358" s="498"/>
      <c r="U6358" s="498"/>
      <c r="V6358" s="498"/>
      <c r="W6358" s="498"/>
      <c r="X6358" s="498"/>
      <c r="Y6358" s="498"/>
      <c r="Z6358" s="498"/>
      <c r="AA6358" s="498"/>
      <c r="AB6358" s="498"/>
      <c r="AC6358" s="498"/>
      <c r="AD6358" s="498"/>
      <c r="AE6358" s="498"/>
      <c r="AF6358" s="498"/>
      <c r="AG6358" s="498"/>
      <c r="AH6358" s="498"/>
      <c r="AI6358" s="498"/>
      <c r="AK6358" s="498"/>
      <c r="AL6358" s="498"/>
      <c r="AM6358" s="498"/>
      <c r="AN6358" s="498"/>
      <c r="AO6358" s="498"/>
      <c r="AP6358" s="498"/>
      <c r="AQ6358" s="498"/>
      <c r="AR6358" s="498"/>
      <c r="AS6358" s="498"/>
      <c r="AT6358" s="498"/>
      <c r="AU6358" s="498"/>
      <c r="AV6358" s="498"/>
      <c r="AW6358" s="498"/>
      <c r="AX6358" s="498"/>
      <c r="AY6358" s="498"/>
      <c r="AZ6358" s="498"/>
      <c r="BA6358" s="498"/>
    </row>
    <row r="6359" spans="1:53" s="499" customFormat="1" x14ac:dyDescent="0.25">
      <c r="A6359" s="500"/>
      <c r="B6359" s="501"/>
      <c r="C6359" s="502"/>
      <c r="D6359" s="497"/>
      <c r="E6359" s="497"/>
      <c r="F6359" s="502"/>
      <c r="G6359" s="497"/>
      <c r="H6359" s="497"/>
      <c r="I6359" s="497"/>
      <c r="J6359" s="497"/>
      <c r="K6359" s="500"/>
      <c r="L6359" s="497"/>
      <c r="M6359"/>
      <c r="N6359" s="498"/>
      <c r="O6359" s="498"/>
      <c r="P6359" s="498"/>
      <c r="Q6359" s="498"/>
      <c r="R6359" s="498"/>
      <c r="T6359" s="498"/>
      <c r="U6359" s="498"/>
      <c r="V6359" s="498"/>
      <c r="W6359" s="498"/>
      <c r="X6359" s="498"/>
      <c r="Y6359" s="498"/>
      <c r="Z6359" s="498"/>
      <c r="AA6359" s="498"/>
      <c r="AB6359" s="498"/>
      <c r="AC6359" s="498"/>
      <c r="AD6359" s="498"/>
      <c r="AE6359" s="498"/>
      <c r="AF6359" s="498"/>
      <c r="AG6359" s="498"/>
      <c r="AH6359" s="498"/>
      <c r="AI6359" s="498"/>
      <c r="AK6359" s="498"/>
      <c r="AL6359" s="498"/>
      <c r="AM6359" s="498"/>
      <c r="AN6359" s="498"/>
      <c r="AO6359" s="498"/>
      <c r="AP6359" s="498"/>
      <c r="AQ6359" s="498"/>
      <c r="AR6359" s="498"/>
      <c r="AS6359" s="498"/>
      <c r="AT6359" s="498"/>
      <c r="AU6359" s="498"/>
      <c r="AV6359" s="498"/>
      <c r="AW6359" s="498"/>
      <c r="AX6359" s="498"/>
      <c r="AY6359" s="498"/>
      <c r="AZ6359" s="498"/>
      <c r="BA6359" s="498"/>
    </row>
    <row r="6360" spans="1:53" s="499" customFormat="1" x14ac:dyDescent="0.25">
      <c r="A6360" s="500"/>
      <c r="B6360" s="501"/>
      <c r="C6360" s="502"/>
      <c r="D6360" s="497"/>
      <c r="E6360" s="497"/>
      <c r="F6360" s="502"/>
      <c r="G6360" s="497"/>
      <c r="H6360" s="497"/>
      <c r="I6360" s="497"/>
      <c r="J6360" s="497"/>
      <c r="K6360" s="500"/>
      <c r="L6360" s="497"/>
      <c r="M6360"/>
      <c r="N6360" s="498"/>
      <c r="O6360" s="498"/>
      <c r="P6360" s="498"/>
      <c r="Q6360" s="498"/>
      <c r="R6360" s="498"/>
      <c r="T6360" s="498"/>
      <c r="U6360" s="498"/>
      <c r="V6360" s="498"/>
      <c r="W6360" s="498"/>
      <c r="X6360" s="498"/>
      <c r="Y6360" s="498"/>
      <c r="Z6360" s="498"/>
      <c r="AA6360" s="498"/>
      <c r="AB6360" s="498"/>
      <c r="AC6360" s="498"/>
      <c r="AD6360" s="498"/>
      <c r="AE6360" s="498"/>
      <c r="AF6360" s="498"/>
      <c r="AG6360" s="498"/>
      <c r="AH6360" s="498"/>
      <c r="AI6360" s="498"/>
      <c r="AK6360" s="498"/>
      <c r="AL6360" s="498"/>
      <c r="AM6360" s="498"/>
      <c r="AN6360" s="498"/>
      <c r="AO6360" s="498"/>
      <c r="AP6360" s="498"/>
      <c r="AQ6360" s="498"/>
      <c r="AR6360" s="498"/>
      <c r="AS6360" s="498"/>
      <c r="AT6360" s="498"/>
      <c r="AU6360" s="498"/>
      <c r="AV6360" s="498"/>
      <c r="AW6360" s="498"/>
      <c r="AX6360" s="498"/>
      <c r="AY6360" s="498"/>
      <c r="AZ6360" s="498"/>
      <c r="BA6360" s="498"/>
    </row>
    <row r="6361" spans="1:53" s="499" customFormat="1" x14ac:dyDescent="0.25">
      <c r="A6361" s="500"/>
      <c r="B6361" s="501"/>
      <c r="C6361" s="502"/>
      <c r="D6361" s="497"/>
      <c r="E6361" s="497"/>
      <c r="F6361" s="502"/>
      <c r="G6361" s="497"/>
      <c r="H6361" s="497"/>
      <c r="I6361" s="497"/>
      <c r="J6361" s="497"/>
      <c r="K6361" s="500"/>
      <c r="L6361" s="497"/>
      <c r="M6361"/>
      <c r="N6361" s="498"/>
      <c r="O6361" s="498"/>
      <c r="P6361" s="498"/>
      <c r="Q6361" s="498"/>
      <c r="R6361" s="498"/>
      <c r="T6361" s="498"/>
      <c r="U6361" s="498"/>
      <c r="V6361" s="498"/>
      <c r="W6361" s="498"/>
      <c r="X6361" s="498"/>
      <c r="Y6361" s="498"/>
      <c r="Z6361" s="498"/>
      <c r="AA6361" s="498"/>
      <c r="AB6361" s="498"/>
      <c r="AC6361" s="498"/>
      <c r="AD6361" s="498"/>
      <c r="AE6361" s="498"/>
      <c r="AF6361" s="498"/>
      <c r="AG6361" s="498"/>
      <c r="AH6361" s="498"/>
      <c r="AI6361" s="498"/>
      <c r="AK6361" s="498"/>
      <c r="AL6361" s="498"/>
      <c r="AM6361" s="498"/>
      <c r="AN6361" s="498"/>
      <c r="AO6361" s="498"/>
      <c r="AP6361" s="498"/>
      <c r="AQ6361" s="498"/>
      <c r="AR6361" s="498"/>
      <c r="AS6361" s="498"/>
      <c r="AT6361" s="498"/>
      <c r="AU6361" s="498"/>
      <c r="AV6361" s="498"/>
      <c r="AW6361" s="498"/>
      <c r="AX6361" s="498"/>
      <c r="AY6361" s="498"/>
      <c r="AZ6361" s="498"/>
      <c r="BA6361" s="498"/>
    </row>
    <row r="6362" spans="1:53" s="499" customFormat="1" x14ac:dyDescent="0.25">
      <c r="A6362" s="500"/>
      <c r="B6362" s="501"/>
      <c r="C6362" s="502"/>
      <c r="D6362" s="497"/>
      <c r="E6362" s="497"/>
      <c r="F6362" s="502"/>
      <c r="G6362" s="497"/>
      <c r="H6362" s="497"/>
      <c r="I6362" s="497"/>
      <c r="J6362" s="497"/>
      <c r="K6362" s="500"/>
      <c r="L6362" s="497"/>
      <c r="M6362"/>
      <c r="N6362" s="498"/>
      <c r="O6362" s="498"/>
      <c r="P6362" s="498"/>
      <c r="Q6362" s="498"/>
      <c r="R6362" s="498"/>
      <c r="T6362" s="498"/>
      <c r="U6362" s="498"/>
      <c r="V6362" s="498"/>
      <c r="W6362" s="498"/>
      <c r="X6362" s="498"/>
      <c r="Y6362" s="498"/>
      <c r="Z6362" s="498"/>
      <c r="AA6362" s="498"/>
      <c r="AB6362" s="498"/>
      <c r="AC6362" s="498"/>
      <c r="AD6362" s="498"/>
      <c r="AE6362" s="498"/>
      <c r="AF6362" s="498"/>
      <c r="AG6362" s="498"/>
      <c r="AH6362" s="498"/>
      <c r="AI6362" s="498"/>
      <c r="AK6362" s="498"/>
      <c r="AL6362" s="498"/>
      <c r="AM6362" s="498"/>
      <c r="AN6362" s="498"/>
      <c r="AO6362" s="498"/>
      <c r="AP6362" s="498"/>
      <c r="AQ6362" s="498"/>
      <c r="AR6362" s="498"/>
      <c r="AS6362" s="498"/>
      <c r="AT6362" s="498"/>
      <c r="AU6362" s="498"/>
      <c r="AV6362" s="498"/>
      <c r="AW6362" s="498"/>
      <c r="AX6362" s="498"/>
      <c r="AY6362" s="498"/>
      <c r="AZ6362" s="498"/>
      <c r="BA6362" s="498"/>
    </row>
    <row r="6363" spans="1:53" s="499" customFormat="1" x14ac:dyDescent="0.25">
      <c r="A6363" s="500"/>
      <c r="B6363" s="501"/>
      <c r="C6363" s="502"/>
      <c r="D6363" s="497"/>
      <c r="E6363" s="497"/>
      <c r="F6363" s="502"/>
      <c r="G6363" s="497"/>
      <c r="H6363" s="497"/>
      <c r="I6363" s="497"/>
      <c r="J6363" s="497"/>
      <c r="K6363" s="500"/>
      <c r="L6363" s="497"/>
      <c r="M6363"/>
      <c r="N6363" s="498"/>
      <c r="O6363" s="498"/>
      <c r="P6363" s="498"/>
      <c r="Q6363" s="498"/>
      <c r="R6363" s="498"/>
      <c r="T6363" s="498"/>
      <c r="U6363" s="498"/>
      <c r="V6363" s="498"/>
      <c r="W6363" s="498"/>
      <c r="X6363" s="498"/>
      <c r="Y6363" s="498"/>
      <c r="Z6363" s="498"/>
      <c r="AA6363" s="498"/>
      <c r="AB6363" s="498"/>
      <c r="AC6363" s="498"/>
      <c r="AD6363" s="498"/>
      <c r="AE6363" s="498"/>
      <c r="AF6363" s="498"/>
      <c r="AG6363" s="498"/>
      <c r="AH6363" s="498"/>
      <c r="AI6363" s="498"/>
      <c r="AK6363" s="498"/>
      <c r="AL6363" s="498"/>
      <c r="AM6363" s="498"/>
      <c r="AN6363" s="498"/>
      <c r="AO6363" s="498"/>
      <c r="AP6363" s="498"/>
      <c r="AQ6363" s="498"/>
      <c r="AR6363" s="498"/>
      <c r="AS6363" s="498"/>
      <c r="AT6363" s="498"/>
      <c r="AU6363" s="498"/>
      <c r="AV6363" s="498"/>
      <c r="AW6363" s="498"/>
      <c r="AX6363" s="498"/>
      <c r="AY6363" s="498"/>
      <c r="AZ6363" s="498"/>
      <c r="BA6363" s="498"/>
    </row>
    <row r="6364" spans="1:53" s="499" customFormat="1" x14ac:dyDescent="0.25">
      <c r="A6364" s="500"/>
      <c r="B6364" s="501"/>
      <c r="C6364" s="502"/>
      <c r="D6364" s="497"/>
      <c r="E6364" s="497"/>
      <c r="F6364" s="502"/>
      <c r="G6364" s="497"/>
      <c r="H6364" s="497"/>
      <c r="I6364" s="497"/>
      <c r="J6364" s="497"/>
      <c r="K6364" s="500"/>
      <c r="L6364" s="497"/>
      <c r="M6364"/>
      <c r="N6364" s="498"/>
      <c r="O6364" s="498"/>
      <c r="P6364" s="498"/>
      <c r="Q6364" s="498"/>
      <c r="R6364" s="498"/>
      <c r="T6364" s="498"/>
      <c r="U6364" s="498"/>
      <c r="V6364" s="498"/>
      <c r="W6364" s="498"/>
      <c r="X6364" s="498"/>
      <c r="Y6364" s="498"/>
      <c r="Z6364" s="498"/>
      <c r="AA6364" s="498"/>
      <c r="AB6364" s="498"/>
      <c r="AC6364" s="498"/>
      <c r="AD6364" s="498"/>
      <c r="AE6364" s="498"/>
      <c r="AF6364" s="498"/>
      <c r="AG6364" s="498"/>
      <c r="AH6364" s="498"/>
      <c r="AI6364" s="498"/>
      <c r="AK6364" s="498"/>
      <c r="AL6364" s="498"/>
      <c r="AM6364" s="498"/>
      <c r="AN6364" s="498"/>
      <c r="AO6364" s="498"/>
      <c r="AP6364" s="498"/>
      <c r="AQ6364" s="498"/>
      <c r="AR6364" s="498"/>
      <c r="AS6364" s="498"/>
      <c r="AT6364" s="498"/>
      <c r="AU6364" s="498"/>
      <c r="AV6364" s="498"/>
      <c r="AW6364" s="498"/>
      <c r="AX6364" s="498"/>
      <c r="AY6364" s="498"/>
      <c r="AZ6364" s="498"/>
      <c r="BA6364" s="498"/>
    </row>
    <row r="6365" spans="1:53" s="499" customFormat="1" x14ac:dyDescent="0.25">
      <c r="A6365" s="500"/>
      <c r="B6365" s="501"/>
      <c r="C6365" s="502"/>
      <c r="D6365" s="497"/>
      <c r="E6365" s="497"/>
      <c r="F6365" s="502"/>
      <c r="G6365" s="497"/>
      <c r="H6365" s="497"/>
      <c r="I6365" s="497"/>
      <c r="J6365" s="497"/>
      <c r="K6365" s="500"/>
      <c r="L6365" s="497"/>
      <c r="M6365"/>
      <c r="N6365" s="498"/>
      <c r="O6365" s="498"/>
      <c r="P6365" s="498"/>
      <c r="Q6365" s="498"/>
      <c r="R6365" s="498"/>
      <c r="T6365" s="498"/>
      <c r="U6365" s="498"/>
      <c r="V6365" s="498"/>
      <c r="W6365" s="498"/>
      <c r="X6365" s="498"/>
      <c r="Y6365" s="498"/>
      <c r="Z6365" s="498"/>
      <c r="AA6365" s="498"/>
      <c r="AB6365" s="498"/>
      <c r="AC6365" s="498"/>
      <c r="AD6365" s="498"/>
      <c r="AE6365" s="498"/>
      <c r="AF6365" s="498"/>
      <c r="AG6365" s="498"/>
      <c r="AH6365" s="498"/>
      <c r="AI6365" s="498"/>
      <c r="AK6365" s="498"/>
      <c r="AL6365" s="498"/>
      <c r="AM6365" s="498"/>
      <c r="AN6365" s="498"/>
      <c r="AO6365" s="498"/>
      <c r="AP6365" s="498"/>
      <c r="AQ6365" s="498"/>
      <c r="AR6365" s="498"/>
      <c r="AS6365" s="498"/>
      <c r="AT6365" s="498"/>
      <c r="AU6365" s="498"/>
      <c r="AV6365" s="498"/>
      <c r="AW6365" s="498"/>
      <c r="AX6365" s="498"/>
      <c r="AY6365" s="498"/>
      <c r="AZ6365" s="498"/>
      <c r="BA6365" s="498"/>
    </row>
    <row r="6366" spans="1:53" s="499" customFormat="1" x14ac:dyDescent="0.25">
      <c r="A6366" s="500"/>
      <c r="B6366" s="501"/>
      <c r="C6366" s="502"/>
      <c r="D6366" s="497"/>
      <c r="E6366" s="497"/>
      <c r="F6366" s="502"/>
      <c r="G6366" s="497"/>
      <c r="H6366" s="497"/>
      <c r="I6366" s="497"/>
      <c r="J6366" s="497"/>
      <c r="K6366" s="500"/>
      <c r="L6366" s="497"/>
      <c r="M6366"/>
      <c r="N6366" s="498"/>
      <c r="O6366" s="498"/>
      <c r="P6366" s="498"/>
      <c r="Q6366" s="498"/>
      <c r="R6366" s="498"/>
      <c r="T6366" s="498"/>
      <c r="U6366" s="498"/>
      <c r="V6366" s="498"/>
      <c r="W6366" s="498"/>
      <c r="X6366" s="498"/>
      <c r="Y6366" s="498"/>
      <c r="Z6366" s="498"/>
      <c r="AA6366" s="498"/>
      <c r="AB6366" s="498"/>
      <c r="AC6366" s="498"/>
      <c r="AD6366" s="498"/>
      <c r="AE6366" s="498"/>
      <c r="AF6366" s="498"/>
      <c r="AG6366" s="498"/>
      <c r="AH6366" s="498"/>
      <c r="AI6366" s="498"/>
      <c r="AK6366" s="498"/>
      <c r="AL6366" s="498"/>
      <c r="AM6366" s="498"/>
      <c r="AN6366" s="498"/>
      <c r="AO6366" s="498"/>
      <c r="AP6366" s="498"/>
      <c r="AQ6366" s="498"/>
      <c r="AR6366" s="498"/>
      <c r="AS6366" s="498"/>
      <c r="AT6366" s="498"/>
      <c r="AU6366" s="498"/>
      <c r="AV6366" s="498"/>
      <c r="AW6366" s="498"/>
      <c r="AX6366" s="498"/>
      <c r="AY6366" s="498"/>
      <c r="AZ6366" s="498"/>
      <c r="BA6366" s="498"/>
    </row>
    <row r="6367" spans="1:53" s="499" customFormat="1" x14ac:dyDescent="0.25">
      <c r="A6367" s="500"/>
      <c r="B6367" s="501"/>
      <c r="C6367" s="502"/>
      <c r="D6367" s="497"/>
      <c r="E6367" s="497"/>
      <c r="F6367" s="502"/>
      <c r="G6367" s="497"/>
      <c r="H6367" s="497"/>
      <c r="I6367" s="497"/>
      <c r="J6367" s="497"/>
      <c r="K6367" s="500"/>
      <c r="L6367" s="497"/>
      <c r="M6367"/>
      <c r="N6367" s="498"/>
      <c r="O6367" s="498"/>
      <c r="P6367" s="498"/>
      <c r="Q6367" s="498"/>
      <c r="R6367" s="498"/>
      <c r="T6367" s="498"/>
      <c r="U6367" s="498"/>
      <c r="V6367" s="498"/>
      <c r="W6367" s="498"/>
      <c r="X6367" s="498"/>
      <c r="Y6367" s="498"/>
      <c r="Z6367" s="498"/>
      <c r="AA6367" s="498"/>
      <c r="AB6367" s="498"/>
      <c r="AC6367" s="498"/>
      <c r="AD6367" s="498"/>
      <c r="AE6367" s="498"/>
      <c r="AF6367" s="498"/>
      <c r="AG6367" s="498"/>
      <c r="AH6367" s="498"/>
      <c r="AI6367" s="498"/>
      <c r="AK6367" s="498"/>
      <c r="AL6367" s="498"/>
      <c r="AM6367" s="498"/>
      <c r="AN6367" s="498"/>
      <c r="AO6367" s="498"/>
      <c r="AP6367" s="498"/>
      <c r="AQ6367" s="498"/>
      <c r="AR6367" s="498"/>
      <c r="AS6367" s="498"/>
      <c r="AT6367" s="498"/>
      <c r="AU6367" s="498"/>
      <c r="AV6367" s="498"/>
      <c r="AW6367" s="498"/>
      <c r="AX6367" s="498"/>
      <c r="AY6367" s="498"/>
      <c r="AZ6367" s="498"/>
      <c r="BA6367" s="498"/>
    </row>
    <row r="6368" spans="1:53" s="499" customFormat="1" x14ac:dyDescent="0.25">
      <c r="A6368" s="500"/>
      <c r="B6368" s="501"/>
      <c r="C6368" s="502"/>
      <c r="D6368" s="497"/>
      <c r="E6368" s="497"/>
      <c r="F6368" s="502"/>
      <c r="G6368" s="497"/>
      <c r="H6368" s="497"/>
      <c r="I6368" s="497"/>
      <c r="J6368" s="497"/>
      <c r="K6368" s="500"/>
      <c r="L6368" s="497"/>
      <c r="M6368"/>
      <c r="N6368" s="498"/>
      <c r="O6368" s="498"/>
      <c r="P6368" s="498"/>
      <c r="Q6368" s="498"/>
      <c r="R6368" s="498"/>
      <c r="T6368" s="498"/>
      <c r="U6368" s="498"/>
      <c r="V6368" s="498"/>
      <c r="W6368" s="498"/>
      <c r="X6368" s="498"/>
      <c r="Y6368" s="498"/>
      <c r="Z6368" s="498"/>
      <c r="AA6368" s="498"/>
      <c r="AB6368" s="498"/>
      <c r="AC6368" s="498"/>
      <c r="AD6368" s="498"/>
      <c r="AE6368" s="498"/>
      <c r="AF6368" s="498"/>
      <c r="AG6368" s="498"/>
      <c r="AH6368" s="498"/>
      <c r="AI6368" s="498"/>
      <c r="AK6368" s="498"/>
      <c r="AL6368" s="498"/>
      <c r="AM6368" s="498"/>
      <c r="AN6368" s="498"/>
      <c r="AO6368" s="498"/>
      <c r="AP6368" s="498"/>
      <c r="AQ6368" s="498"/>
      <c r="AR6368" s="498"/>
      <c r="AS6368" s="498"/>
      <c r="AT6368" s="498"/>
      <c r="AU6368" s="498"/>
      <c r="AV6368" s="498"/>
      <c r="AW6368" s="498"/>
      <c r="AX6368" s="498"/>
      <c r="AY6368" s="498"/>
      <c r="AZ6368" s="498"/>
      <c r="BA6368" s="498"/>
    </row>
    <row r="6369" spans="1:53" s="499" customFormat="1" x14ac:dyDescent="0.25">
      <c r="A6369" s="500"/>
      <c r="B6369" s="501"/>
      <c r="C6369" s="502"/>
      <c r="D6369" s="497"/>
      <c r="E6369" s="497"/>
      <c r="F6369" s="502"/>
      <c r="G6369" s="497"/>
      <c r="H6369" s="497"/>
      <c r="I6369" s="497"/>
      <c r="J6369" s="497"/>
      <c r="K6369" s="500"/>
      <c r="L6369" s="497"/>
      <c r="M6369"/>
      <c r="N6369" s="498"/>
      <c r="O6369" s="498"/>
      <c r="P6369" s="498"/>
      <c r="Q6369" s="498"/>
      <c r="R6369" s="498"/>
      <c r="T6369" s="498"/>
      <c r="U6369" s="498"/>
      <c r="V6369" s="498"/>
      <c r="W6369" s="498"/>
      <c r="X6369" s="498"/>
      <c r="Y6369" s="498"/>
      <c r="Z6369" s="498"/>
      <c r="AA6369" s="498"/>
      <c r="AB6369" s="498"/>
      <c r="AC6369" s="498"/>
      <c r="AD6369" s="498"/>
      <c r="AE6369" s="498"/>
      <c r="AF6369" s="498"/>
      <c r="AG6369" s="498"/>
      <c r="AH6369" s="498"/>
      <c r="AI6369" s="498"/>
      <c r="AK6369" s="498"/>
      <c r="AL6369" s="498"/>
      <c r="AM6369" s="498"/>
      <c r="AN6369" s="498"/>
      <c r="AO6369" s="498"/>
      <c r="AP6369" s="498"/>
      <c r="AQ6369" s="498"/>
      <c r="AR6369" s="498"/>
      <c r="AS6369" s="498"/>
      <c r="AT6369" s="498"/>
      <c r="AU6369" s="498"/>
      <c r="AV6369" s="498"/>
      <c r="AW6369" s="498"/>
      <c r="AX6369" s="498"/>
      <c r="AY6369" s="498"/>
      <c r="AZ6369" s="498"/>
      <c r="BA6369" s="498"/>
    </row>
    <row r="6370" spans="1:53" s="499" customFormat="1" x14ac:dyDescent="0.25">
      <c r="A6370" s="500"/>
      <c r="B6370" s="501"/>
      <c r="C6370" s="502"/>
      <c r="D6370" s="497"/>
      <c r="E6370" s="497"/>
      <c r="F6370" s="502"/>
      <c r="G6370" s="497"/>
      <c r="H6370" s="497"/>
      <c r="I6370" s="497"/>
      <c r="J6370" s="497"/>
      <c r="K6370" s="500"/>
      <c r="L6370" s="497"/>
      <c r="M6370"/>
      <c r="N6370" s="498"/>
      <c r="O6370" s="498"/>
      <c r="P6370" s="498"/>
      <c r="Q6370" s="498"/>
      <c r="R6370" s="498"/>
      <c r="T6370" s="498"/>
      <c r="U6370" s="498"/>
      <c r="V6370" s="498"/>
      <c r="W6370" s="498"/>
      <c r="X6370" s="498"/>
      <c r="Y6370" s="498"/>
      <c r="Z6370" s="498"/>
      <c r="AA6370" s="498"/>
      <c r="AB6370" s="498"/>
      <c r="AC6370" s="498"/>
      <c r="AD6370" s="498"/>
      <c r="AE6370" s="498"/>
      <c r="AF6370" s="498"/>
      <c r="AG6370" s="498"/>
      <c r="AH6370" s="498"/>
      <c r="AI6370" s="498"/>
      <c r="AK6370" s="498"/>
      <c r="AL6370" s="498"/>
      <c r="AM6370" s="498"/>
      <c r="AN6370" s="498"/>
      <c r="AO6370" s="498"/>
      <c r="AP6370" s="498"/>
      <c r="AQ6370" s="498"/>
      <c r="AR6370" s="498"/>
      <c r="AS6370" s="498"/>
      <c r="AT6370" s="498"/>
      <c r="AU6370" s="498"/>
      <c r="AV6370" s="498"/>
      <c r="AW6370" s="498"/>
      <c r="AX6370" s="498"/>
      <c r="AY6370" s="498"/>
      <c r="AZ6370" s="498"/>
      <c r="BA6370" s="498"/>
    </row>
    <row r="6371" spans="1:53" s="499" customFormat="1" x14ac:dyDescent="0.25">
      <c r="A6371" s="500"/>
      <c r="B6371" s="501"/>
      <c r="C6371" s="502"/>
      <c r="D6371" s="497"/>
      <c r="E6371" s="497"/>
      <c r="F6371" s="502"/>
      <c r="G6371" s="497"/>
      <c r="H6371" s="497"/>
      <c r="I6371" s="497"/>
      <c r="J6371" s="497"/>
      <c r="K6371" s="500"/>
      <c r="L6371" s="497"/>
      <c r="M6371"/>
      <c r="N6371" s="498"/>
      <c r="O6371" s="498"/>
      <c r="P6371" s="498"/>
      <c r="Q6371" s="498"/>
      <c r="R6371" s="498"/>
      <c r="T6371" s="498"/>
      <c r="U6371" s="498"/>
      <c r="V6371" s="498"/>
      <c r="W6371" s="498"/>
      <c r="X6371" s="498"/>
      <c r="Y6371" s="498"/>
      <c r="Z6371" s="498"/>
      <c r="AA6371" s="498"/>
      <c r="AB6371" s="498"/>
      <c r="AC6371" s="498"/>
      <c r="AD6371" s="498"/>
      <c r="AE6371" s="498"/>
      <c r="AF6371" s="498"/>
      <c r="AG6371" s="498"/>
      <c r="AH6371" s="498"/>
      <c r="AI6371" s="498"/>
      <c r="AK6371" s="498"/>
      <c r="AL6371" s="498"/>
      <c r="AM6371" s="498"/>
      <c r="AN6371" s="498"/>
      <c r="AO6371" s="498"/>
      <c r="AP6371" s="498"/>
      <c r="AQ6371" s="498"/>
      <c r="AR6371" s="498"/>
      <c r="AS6371" s="498"/>
      <c r="AT6371" s="498"/>
      <c r="AU6371" s="498"/>
      <c r="AV6371" s="498"/>
      <c r="AW6371" s="498"/>
      <c r="AX6371" s="498"/>
      <c r="AY6371" s="498"/>
      <c r="AZ6371" s="498"/>
      <c r="BA6371" s="498"/>
    </row>
    <row r="6372" spans="1:53" s="499" customFormat="1" x14ac:dyDescent="0.25">
      <c r="A6372" s="500"/>
      <c r="B6372" s="501"/>
      <c r="C6372" s="502"/>
      <c r="D6372" s="497"/>
      <c r="E6372" s="497"/>
      <c r="F6372" s="502"/>
      <c r="G6372" s="497"/>
      <c r="H6372" s="497"/>
      <c r="I6372" s="497"/>
      <c r="J6372" s="497"/>
      <c r="K6372" s="500"/>
      <c r="L6372" s="497"/>
      <c r="M6372"/>
      <c r="N6372" s="498"/>
      <c r="O6372" s="498"/>
      <c r="P6372" s="498"/>
      <c r="Q6372" s="498"/>
      <c r="R6372" s="498"/>
      <c r="T6372" s="498"/>
      <c r="U6372" s="498"/>
      <c r="V6372" s="498"/>
      <c r="W6372" s="498"/>
      <c r="X6372" s="498"/>
      <c r="Y6372" s="498"/>
      <c r="Z6372" s="498"/>
      <c r="AA6372" s="498"/>
      <c r="AB6372" s="498"/>
      <c r="AC6372" s="498"/>
      <c r="AD6372" s="498"/>
      <c r="AE6372" s="498"/>
      <c r="AF6372" s="498"/>
      <c r="AG6372" s="498"/>
      <c r="AH6372" s="498"/>
      <c r="AI6372" s="498"/>
      <c r="AK6372" s="498"/>
      <c r="AL6372" s="498"/>
      <c r="AM6372" s="498"/>
      <c r="AN6372" s="498"/>
      <c r="AO6372" s="498"/>
      <c r="AP6372" s="498"/>
      <c r="AQ6372" s="498"/>
      <c r="AR6372" s="498"/>
      <c r="AS6372" s="498"/>
      <c r="AT6372" s="498"/>
      <c r="AU6372" s="498"/>
      <c r="AV6372" s="498"/>
      <c r="AW6372" s="498"/>
      <c r="AX6372" s="498"/>
      <c r="AY6372" s="498"/>
      <c r="AZ6372" s="498"/>
      <c r="BA6372" s="498"/>
    </row>
    <row r="6373" spans="1:53" s="499" customFormat="1" x14ac:dyDescent="0.25">
      <c r="A6373" s="500"/>
      <c r="B6373" s="501"/>
      <c r="C6373" s="502"/>
      <c r="D6373" s="497"/>
      <c r="E6373" s="497"/>
      <c r="F6373" s="502"/>
      <c r="G6373" s="497"/>
      <c r="H6373" s="497"/>
      <c r="I6373" s="497"/>
      <c r="J6373" s="497"/>
      <c r="K6373" s="500"/>
      <c r="L6373" s="497"/>
      <c r="M6373"/>
      <c r="N6373" s="498"/>
      <c r="O6373" s="498"/>
      <c r="P6373" s="498"/>
      <c r="Q6373" s="498"/>
      <c r="R6373" s="498"/>
      <c r="T6373" s="498"/>
      <c r="U6373" s="498"/>
      <c r="V6373" s="498"/>
      <c r="W6373" s="498"/>
      <c r="X6373" s="498"/>
      <c r="Y6373" s="498"/>
      <c r="Z6373" s="498"/>
      <c r="AA6373" s="498"/>
      <c r="AB6373" s="498"/>
      <c r="AC6373" s="498"/>
      <c r="AD6373" s="498"/>
      <c r="AE6373" s="498"/>
      <c r="AF6373" s="498"/>
      <c r="AG6373" s="498"/>
      <c r="AH6373" s="498"/>
      <c r="AI6373" s="498"/>
      <c r="AK6373" s="498"/>
      <c r="AL6373" s="498"/>
      <c r="AM6373" s="498"/>
      <c r="AN6373" s="498"/>
      <c r="AO6373" s="498"/>
      <c r="AP6373" s="498"/>
      <c r="AQ6373" s="498"/>
      <c r="AR6373" s="498"/>
      <c r="AS6373" s="498"/>
      <c r="AT6373" s="498"/>
      <c r="AU6373" s="498"/>
      <c r="AV6373" s="498"/>
      <c r="AW6373" s="498"/>
      <c r="AX6373" s="498"/>
      <c r="AY6373" s="498"/>
      <c r="AZ6373" s="498"/>
      <c r="BA6373" s="498"/>
    </row>
    <row r="6374" spans="1:53" s="499" customFormat="1" x14ac:dyDescent="0.25">
      <c r="A6374" s="500"/>
      <c r="B6374" s="501"/>
      <c r="C6374" s="502"/>
      <c r="D6374" s="497"/>
      <c r="E6374" s="497"/>
      <c r="F6374" s="502"/>
      <c r="G6374" s="497"/>
      <c r="H6374" s="497"/>
      <c r="I6374" s="497"/>
      <c r="J6374" s="497"/>
      <c r="K6374" s="500"/>
      <c r="L6374" s="497"/>
      <c r="M6374"/>
      <c r="N6374" s="498"/>
      <c r="O6374" s="498"/>
      <c r="P6374" s="498"/>
      <c r="Q6374" s="498"/>
      <c r="R6374" s="498"/>
      <c r="T6374" s="498"/>
      <c r="U6374" s="498"/>
      <c r="V6374" s="498"/>
      <c r="W6374" s="498"/>
      <c r="X6374" s="498"/>
      <c r="Y6374" s="498"/>
      <c r="Z6374" s="498"/>
      <c r="AA6374" s="498"/>
      <c r="AB6374" s="498"/>
      <c r="AC6374" s="498"/>
      <c r="AD6374" s="498"/>
      <c r="AE6374" s="498"/>
      <c r="AF6374" s="498"/>
      <c r="AG6374" s="498"/>
      <c r="AH6374" s="498"/>
      <c r="AI6374" s="498"/>
      <c r="AK6374" s="498"/>
      <c r="AL6374" s="498"/>
      <c r="AM6374" s="498"/>
      <c r="AN6374" s="498"/>
      <c r="AO6374" s="498"/>
      <c r="AP6374" s="498"/>
      <c r="AQ6374" s="498"/>
      <c r="AR6374" s="498"/>
      <c r="AS6374" s="498"/>
      <c r="AT6374" s="498"/>
      <c r="AU6374" s="498"/>
      <c r="AV6374" s="498"/>
      <c r="AW6374" s="498"/>
      <c r="AX6374" s="498"/>
      <c r="AY6374" s="498"/>
      <c r="AZ6374" s="498"/>
      <c r="BA6374" s="498"/>
    </row>
    <row r="6375" spans="1:53" s="499" customFormat="1" x14ac:dyDescent="0.25">
      <c r="A6375" s="500"/>
      <c r="B6375" s="501"/>
      <c r="C6375" s="502"/>
      <c r="D6375" s="497"/>
      <c r="E6375" s="497"/>
      <c r="F6375" s="502"/>
      <c r="G6375" s="497"/>
      <c r="H6375" s="497"/>
      <c r="I6375" s="497"/>
      <c r="J6375" s="497"/>
      <c r="K6375" s="500"/>
      <c r="L6375" s="497"/>
      <c r="M6375"/>
      <c r="N6375" s="498"/>
      <c r="O6375" s="498"/>
      <c r="P6375" s="498"/>
      <c r="Q6375" s="498"/>
      <c r="R6375" s="498"/>
      <c r="T6375" s="498"/>
      <c r="U6375" s="498"/>
      <c r="V6375" s="498"/>
      <c r="W6375" s="498"/>
      <c r="X6375" s="498"/>
      <c r="Y6375" s="498"/>
      <c r="Z6375" s="498"/>
      <c r="AA6375" s="498"/>
      <c r="AB6375" s="498"/>
      <c r="AC6375" s="498"/>
      <c r="AD6375" s="498"/>
      <c r="AE6375" s="498"/>
      <c r="AF6375" s="498"/>
      <c r="AG6375" s="498"/>
      <c r="AH6375" s="498"/>
      <c r="AI6375" s="498"/>
      <c r="AK6375" s="498"/>
      <c r="AL6375" s="498"/>
      <c r="AM6375" s="498"/>
      <c r="AN6375" s="498"/>
      <c r="AO6375" s="498"/>
      <c r="AP6375" s="498"/>
      <c r="AQ6375" s="498"/>
      <c r="AR6375" s="498"/>
      <c r="AS6375" s="498"/>
      <c r="AT6375" s="498"/>
      <c r="AU6375" s="498"/>
      <c r="AV6375" s="498"/>
      <c r="AW6375" s="498"/>
      <c r="AX6375" s="498"/>
      <c r="AY6375" s="498"/>
      <c r="AZ6375" s="498"/>
      <c r="BA6375" s="498"/>
    </row>
    <row r="6376" spans="1:53" s="499" customFormat="1" x14ac:dyDescent="0.25">
      <c r="A6376" s="500"/>
      <c r="B6376" s="501"/>
      <c r="C6376" s="502"/>
      <c r="D6376" s="497"/>
      <c r="E6376" s="497"/>
      <c r="F6376" s="502"/>
      <c r="G6376" s="497"/>
      <c r="H6376" s="497"/>
      <c r="I6376" s="497"/>
      <c r="J6376" s="497"/>
      <c r="K6376" s="500"/>
      <c r="L6376" s="497"/>
      <c r="M6376"/>
      <c r="N6376" s="498"/>
      <c r="O6376" s="498"/>
      <c r="P6376" s="498"/>
      <c r="Q6376" s="498"/>
      <c r="R6376" s="498"/>
      <c r="T6376" s="498"/>
      <c r="U6376" s="498"/>
      <c r="V6376" s="498"/>
      <c r="W6376" s="498"/>
      <c r="X6376" s="498"/>
      <c r="Y6376" s="498"/>
      <c r="Z6376" s="498"/>
      <c r="AA6376" s="498"/>
      <c r="AB6376" s="498"/>
      <c r="AC6376" s="498"/>
      <c r="AD6376" s="498"/>
      <c r="AE6376" s="498"/>
      <c r="AF6376" s="498"/>
      <c r="AG6376" s="498"/>
      <c r="AH6376" s="498"/>
      <c r="AI6376" s="498"/>
      <c r="AK6376" s="498"/>
      <c r="AL6376" s="498"/>
      <c r="AM6376" s="498"/>
      <c r="AN6376" s="498"/>
      <c r="AO6376" s="498"/>
      <c r="AP6376" s="498"/>
      <c r="AQ6376" s="498"/>
      <c r="AR6376" s="498"/>
      <c r="AS6376" s="498"/>
      <c r="AT6376" s="498"/>
      <c r="AU6376" s="498"/>
      <c r="AV6376" s="498"/>
      <c r="AW6376" s="498"/>
      <c r="AX6376" s="498"/>
      <c r="AY6376" s="498"/>
      <c r="AZ6376" s="498"/>
      <c r="BA6376" s="498"/>
    </row>
    <row r="6377" spans="1:53" s="499" customFormat="1" x14ac:dyDescent="0.25">
      <c r="A6377" s="500"/>
      <c r="B6377" s="501"/>
      <c r="C6377" s="502"/>
      <c r="D6377" s="497"/>
      <c r="E6377" s="497"/>
      <c r="F6377" s="502"/>
      <c r="G6377" s="497"/>
      <c r="H6377" s="497"/>
      <c r="I6377" s="497"/>
      <c r="J6377" s="497"/>
      <c r="K6377" s="500"/>
      <c r="L6377" s="497"/>
      <c r="M6377"/>
      <c r="N6377" s="498"/>
      <c r="O6377" s="498"/>
      <c r="P6377" s="498"/>
      <c r="Q6377" s="498"/>
      <c r="R6377" s="498"/>
      <c r="T6377" s="498"/>
      <c r="U6377" s="498"/>
      <c r="V6377" s="498"/>
      <c r="W6377" s="498"/>
      <c r="X6377" s="498"/>
      <c r="Y6377" s="498"/>
      <c r="Z6377" s="498"/>
      <c r="AA6377" s="498"/>
      <c r="AB6377" s="498"/>
      <c r="AC6377" s="498"/>
      <c r="AD6377" s="498"/>
      <c r="AE6377" s="498"/>
      <c r="AF6377" s="498"/>
      <c r="AG6377" s="498"/>
      <c r="AH6377" s="498"/>
      <c r="AI6377" s="498"/>
      <c r="AK6377" s="498"/>
      <c r="AL6377" s="498"/>
      <c r="AM6377" s="498"/>
      <c r="AN6377" s="498"/>
      <c r="AO6377" s="498"/>
      <c r="AP6377" s="498"/>
      <c r="AQ6377" s="498"/>
      <c r="AR6377" s="498"/>
      <c r="AS6377" s="498"/>
      <c r="AT6377" s="498"/>
      <c r="AU6377" s="498"/>
      <c r="AV6377" s="498"/>
      <c r="AW6377" s="498"/>
      <c r="AX6377" s="498"/>
      <c r="AY6377" s="498"/>
      <c r="AZ6377" s="498"/>
      <c r="BA6377" s="498"/>
    </row>
    <row r="6378" spans="1:53" s="499" customFormat="1" x14ac:dyDescent="0.25">
      <c r="A6378" s="500"/>
      <c r="B6378" s="501"/>
      <c r="C6378" s="502"/>
      <c r="D6378" s="497"/>
      <c r="E6378" s="497"/>
      <c r="F6378" s="502"/>
      <c r="G6378" s="497"/>
      <c r="H6378" s="497"/>
      <c r="I6378" s="497"/>
      <c r="J6378" s="497"/>
      <c r="K6378" s="500"/>
      <c r="L6378" s="497"/>
      <c r="M6378"/>
      <c r="N6378" s="498"/>
      <c r="O6378" s="498"/>
      <c r="P6378" s="498"/>
      <c r="Q6378" s="498"/>
      <c r="R6378" s="498"/>
      <c r="T6378" s="498"/>
      <c r="U6378" s="498"/>
      <c r="V6378" s="498"/>
      <c r="W6378" s="498"/>
      <c r="X6378" s="498"/>
      <c r="Y6378" s="498"/>
      <c r="Z6378" s="498"/>
      <c r="AA6378" s="498"/>
      <c r="AB6378" s="498"/>
      <c r="AC6378" s="498"/>
      <c r="AD6378" s="498"/>
      <c r="AE6378" s="498"/>
      <c r="AF6378" s="498"/>
      <c r="AG6378" s="498"/>
      <c r="AH6378" s="498"/>
      <c r="AI6378" s="498"/>
      <c r="AK6378" s="498"/>
      <c r="AL6378" s="498"/>
      <c r="AM6378" s="498"/>
      <c r="AN6378" s="498"/>
      <c r="AO6378" s="498"/>
      <c r="AP6378" s="498"/>
      <c r="AQ6378" s="498"/>
      <c r="AR6378" s="498"/>
      <c r="AS6378" s="498"/>
      <c r="AT6378" s="498"/>
      <c r="AU6378" s="498"/>
      <c r="AV6378" s="498"/>
      <c r="AW6378" s="498"/>
      <c r="AX6378" s="498"/>
      <c r="AY6378" s="498"/>
      <c r="AZ6378" s="498"/>
      <c r="BA6378" s="498"/>
    </row>
    <row r="6379" spans="1:53" s="499" customFormat="1" x14ac:dyDescent="0.25">
      <c r="A6379" s="500"/>
      <c r="B6379" s="501"/>
      <c r="C6379" s="502"/>
      <c r="D6379" s="497"/>
      <c r="E6379" s="497"/>
      <c r="F6379" s="502"/>
      <c r="G6379" s="497"/>
      <c r="H6379" s="497"/>
      <c r="I6379" s="497"/>
      <c r="J6379" s="497"/>
      <c r="K6379" s="500"/>
      <c r="L6379" s="497"/>
      <c r="M6379"/>
      <c r="N6379" s="498"/>
      <c r="O6379" s="498"/>
      <c r="P6379" s="498"/>
      <c r="Q6379" s="498"/>
      <c r="R6379" s="498"/>
      <c r="T6379" s="498"/>
      <c r="U6379" s="498"/>
      <c r="V6379" s="498"/>
      <c r="W6379" s="498"/>
      <c r="X6379" s="498"/>
      <c r="Y6379" s="498"/>
      <c r="Z6379" s="498"/>
      <c r="AA6379" s="498"/>
      <c r="AB6379" s="498"/>
      <c r="AC6379" s="498"/>
      <c r="AD6379" s="498"/>
      <c r="AE6379" s="498"/>
      <c r="AF6379" s="498"/>
      <c r="AG6379" s="498"/>
      <c r="AH6379" s="498"/>
      <c r="AI6379" s="498"/>
      <c r="AK6379" s="498"/>
      <c r="AL6379" s="498"/>
      <c r="AM6379" s="498"/>
      <c r="AN6379" s="498"/>
      <c r="AO6379" s="498"/>
      <c r="AP6379" s="498"/>
      <c r="AQ6379" s="498"/>
      <c r="AR6379" s="498"/>
      <c r="AS6379" s="498"/>
      <c r="AT6379" s="498"/>
      <c r="AU6379" s="498"/>
      <c r="AV6379" s="498"/>
      <c r="AW6379" s="498"/>
      <c r="AX6379" s="498"/>
      <c r="AY6379" s="498"/>
      <c r="AZ6379" s="498"/>
      <c r="BA6379" s="498"/>
    </row>
    <row r="6380" spans="1:53" s="499" customFormat="1" x14ac:dyDescent="0.25">
      <c r="A6380" s="500"/>
      <c r="B6380" s="501"/>
      <c r="C6380" s="502"/>
      <c r="D6380" s="497"/>
      <c r="E6380" s="497"/>
      <c r="F6380" s="502"/>
      <c r="G6380" s="497"/>
      <c r="H6380" s="497"/>
      <c r="I6380" s="497"/>
      <c r="J6380" s="497"/>
      <c r="K6380" s="500"/>
      <c r="L6380" s="497"/>
      <c r="M6380"/>
      <c r="N6380" s="498"/>
      <c r="O6380" s="498"/>
      <c r="P6380" s="498"/>
      <c r="Q6380" s="498"/>
      <c r="R6380" s="498"/>
      <c r="T6380" s="498"/>
      <c r="U6380" s="498"/>
      <c r="V6380" s="498"/>
      <c r="W6380" s="498"/>
      <c r="X6380" s="498"/>
      <c r="Y6380" s="498"/>
      <c r="Z6380" s="498"/>
      <c r="AA6380" s="498"/>
      <c r="AB6380" s="498"/>
      <c r="AC6380" s="498"/>
      <c r="AD6380" s="498"/>
      <c r="AE6380" s="498"/>
      <c r="AF6380" s="498"/>
      <c r="AG6380" s="498"/>
      <c r="AH6380" s="498"/>
      <c r="AI6380" s="498"/>
      <c r="AK6380" s="498"/>
      <c r="AL6380" s="498"/>
      <c r="AM6380" s="498"/>
      <c r="AN6380" s="498"/>
      <c r="AO6380" s="498"/>
      <c r="AP6380" s="498"/>
      <c r="AQ6380" s="498"/>
      <c r="AR6380" s="498"/>
      <c r="AS6380" s="498"/>
      <c r="AT6380" s="498"/>
      <c r="AU6380" s="498"/>
      <c r="AV6380" s="498"/>
      <c r="AW6380" s="498"/>
      <c r="AX6380" s="498"/>
      <c r="AY6380" s="498"/>
      <c r="AZ6380" s="498"/>
      <c r="BA6380" s="498"/>
    </row>
    <row r="6381" spans="1:53" s="499" customFormat="1" x14ac:dyDescent="0.25">
      <c r="A6381" s="500"/>
      <c r="B6381" s="501"/>
      <c r="C6381" s="502"/>
      <c r="D6381" s="497"/>
      <c r="E6381" s="497"/>
      <c r="F6381" s="502"/>
      <c r="G6381" s="497"/>
      <c r="H6381" s="497"/>
      <c r="I6381" s="497"/>
      <c r="J6381" s="497"/>
      <c r="K6381" s="500"/>
      <c r="L6381" s="497"/>
      <c r="M6381"/>
      <c r="N6381" s="498"/>
      <c r="O6381" s="498"/>
      <c r="P6381" s="498"/>
      <c r="Q6381" s="498"/>
      <c r="R6381" s="498"/>
      <c r="T6381" s="498"/>
      <c r="U6381" s="498"/>
      <c r="V6381" s="498"/>
      <c r="W6381" s="498"/>
      <c r="X6381" s="498"/>
      <c r="Y6381" s="498"/>
      <c r="Z6381" s="498"/>
      <c r="AA6381" s="498"/>
      <c r="AB6381" s="498"/>
      <c r="AC6381" s="498"/>
      <c r="AD6381" s="498"/>
      <c r="AE6381" s="498"/>
      <c r="AF6381" s="498"/>
      <c r="AG6381" s="498"/>
      <c r="AH6381" s="498"/>
      <c r="AI6381" s="498"/>
      <c r="AK6381" s="498"/>
      <c r="AL6381" s="498"/>
      <c r="AM6381" s="498"/>
      <c r="AN6381" s="498"/>
      <c r="AO6381" s="498"/>
      <c r="AP6381" s="498"/>
      <c r="AQ6381" s="498"/>
      <c r="AR6381" s="498"/>
      <c r="AS6381" s="498"/>
      <c r="AT6381" s="498"/>
      <c r="AU6381" s="498"/>
      <c r="AV6381" s="498"/>
      <c r="AW6381" s="498"/>
      <c r="AX6381" s="498"/>
      <c r="AY6381" s="498"/>
      <c r="AZ6381" s="498"/>
      <c r="BA6381" s="498"/>
    </row>
    <row r="6382" spans="1:53" s="499" customFormat="1" x14ac:dyDescent="0.25">
      <c r="A6382" s="500"/>
      <c r="B6382" s="501"/>
      <c r="C6382" s="502"/>
      <c r="D6382" s="497"/>
      <c r="E6382" s="497"/>
      <c r="F6382" s="502"/>
      <c r="G6382" s="497"/>
      <c r="H6382" s="497"/>
      <c r="I6382" s="497"/>
      <c r="J6382" s="497"/>
      <c r="K6382" s="500"/>
      <c r="L6382" s="497"/>
      <c r="M6382"/>
      <c r="N6382" s="498"/>
      <c r="O6382" s="498"/>
      <c r="P6382" s="498"/>
      <c r="Q6382" s="498"/>
      <c r="R6382" s="498"/>
      <c r="T6382" s="498"/>
      <c r="U6382" s="498"/>
      <c r="V6382" s="498"/>
      <c r="W6382" s="498"/>
      <c r="X6382" s="498"/>
      <c r="Y6382" s="498"/>
      <c r="Z6382" s="498"/>
      <c r="AA6382" s="498"/>
      <c r="AB6382" s="498"/>
      <c r="AC6382" s="498"/>
      <c r="AD6382" s="498"/>
      <c r="AE6382" s="498"/>
      <c r="AF6382" s="498"/>
      <c r="AG6382" s="498"/>
      <c r="AH6382" s="498"/>
      <c r="AI6382" s="498"/>
      <c r="AK6382" s="498"/>
      <c r="AL6382" s="498"/>
      <c r="AM6382" s="498"/>
      <c r="AN6382" s="498"/>
      <c r="AO6382" s="498"/>
      <c r="AP6382" s="498"/>
      <c r="AQ6382" s="498"/>
      <c r="AR6382" s="498"/>
      <c r="AS6382" s="498"/>
      <c r="AT6382" s="498"/>
      <c r="AU6382" s="498"/>
      <c r="AV6382" s="498"/>
      <c r="AW6382" s="498"/>
      <c r="AX6382" s="498"/>
      <c r="AY6382" s="498"/>
      <c r="AZ6382" s="498"/>
      <c r="BA6382" s="498"/>
    </row>
    <row r="6383" spans="1:53" s="499" customFormat="1" x14ac:dyDescent="0.25">
      <c r="A6383" s="500"/>
      <c r="B6383" s="501"/>
      <c r="C6383" s="502"/>
      <c r="D6383" s="497"/>
      <c r="E6383" s="497"/>
      <c r="F6383" s="502"/>
      <c r="G6383" s="497"/>
      <c r="H6383" s="497"/>
      <c r="I6383" s="497"/>
      <c r="J6383" s="497"/>
      <c r="K6383" s="500"/>
      <c r="L6383" s="497"/>
      <c r="M6383"/>
      <c r="N6383" s="498"/>
      <c r="O6383" s="498"/>
      <c r="P6383" s="498"/>
      <c r="Q6383" s="498"/>
      <c r="R6383" s="498"/>
      <c r="T6383" s="498"/>
      <c r="U6383" s="498"/>
      <c r="V6383" s="498"/>
      <c r="W6383" s="498"/>
      <c r="X6383" s="498"/>
      <c r="Y6383" s="498"/>
      <c r="Z6383" s="498"/>
      <c r="AA6383" s="498"/>
      <c r="AB6383" s="498"/>
      <c r="AC6383" s="498"/>
      <c r="AD6383" s="498"/>
      <c r="AE6383" s="498"/>
      <c r="AF6383" s="498"/>
      <c r="AG6383" s="498"/>
      <c r="AH6383" s="498"/>
      <c r="AI6383" s="498"/>
      <c r="AK6383" s="498"/>
      <c r="AL6383" s="498"/>
      <c r="AM6383" s="498"/>
      <c r="AN6383" s="498"/>
      <c r="AO6383" s="498"/>
      <c r="AP6383" s="498"/>
      <c r="AQ6383" s="498"/>
      <c r="AR6383" s="498"/>
      <c r="AS6383" s="498"/>
      <c r="AT6383" s="498"/>
      <c r="AU6383" s="498"/>
      <c r="AV6383" s="498"/>
      <c r="AW6383" s="498"/>
      <c r="AX6383" s="498"/>
      <c r="AY6383" s="498"/>
      <c r="AZ6383" s="498"/>
      <c r="BA6383" s="498"/>
    </row>
    <row r="6384" spans="1:53" s="499" customFormat="1" x14ac:dyDescent="0.25">
      <c r="A6384" s="500"/>
      <c r="B6384" s="501"/>
      <c r="C6384" s="502"/>
      <c r="D6384" s="497"/>
      <c r="E6384" s="497"/>
      <c r="F6384" s="502"/>
      <c r="G6384" s="497"/>
      <c r="H6384" s="497"/>
      <c r="I6384" s="497"/>
      <c r="J6384" s="497"/>
      <c r="K6384" s="500"/>
      <c r="L6384" s="497"/>
      <c r="M6384"/>
      <c r="N6384" s="498"/>
      <c r="O6384" s="498"/>
      <c r="P6384" s="498"/>
      <c r="Q6384" s="498"/>
      <c r="R6384" s="498"/>
      <c r="T6384" s="498"/>
      <c r="U6384" s="498"/>
      <c r="V6384" s="498"/>
      <c r="W6384" s="498"/>
      <c r="X6384" s="498"/>
      <c r="Y6384" s="498"/>
      <c r="Z6384" s="498"/>
      <c r="AA6384" s="498"/>
      <c r="AB6384" s="498"/>
      <c r="AC6384" s="498"/>
      <c r="AD6384" s="498"/>
      <c r="AE6384" s="498"/>
      <c r="AF6384" s="498"/>
      <c r="AG6384" s="498"/>
      <c r="AH6384" s="498"/>
      <c r="AI6384" s="498"/>
      <c r="AK6384" s="498"/>
      <c r="AL6384" s="498"/>
      <c r="AM6384" s="498"/>
      <c r="AN6384" s="498"/>
      <c r="AO6384" s="498"/>
      <c r="AP6384" s="498"/>
      <c r="AQ6384" s="498"/>
      <c r="AR6384" s="498"/>
      <c r="AS6384" s="498"/>
      <c r="AT6384" s="498"/>
      <c r="AU6384" s="498"/>
      <c r="AV6384" s="498"/>
      <c r="AW6384" s="498"/>
      <c r="AX6384" s="498"/>
      <c r="AY6384" s="498"/>
      <c r="AZ6384" s="498"/>
      <c r="BA6384" s="498"/>
    </row>
    <row r="6385" spans="1:53" s="499" customFormat="1" x14ac:dyDescent="0.25">
      <c r="A6385" s="500"/>
      <c r="B6385" s="501"/>
      <c r="C6385" s="502"/>
      <c r="D6385" s="497"/>
      <c r="E6385" s="497"/>
      <c r="F6385" s="502"/>
      <c r="G6385" s="497"/>
      <c r="H6385" s="497"/>
      <c r="I6385" s="497"/>
      <c r="J6385" s="497"/>
      <c r="K6385" s="500"/>
      <c r="L6385" s="497"/>
      <c r="M6385"/>
      <c r="N6385" s="498"/>
      <c r="O6385" s="498"/>
      <c r="P6385" s="498"/>
      <c r="Q6385" s="498"/>
      <c r="R6385" s="498"/>
      <c r="T6385" s="498"/>
      <c r="U6385" s="498"/>
      <c r="V6385" s="498"/>
      <c r="W6385" s="498"/>
      <c r="X6385" s="498"/>
      <c r="Y6385" s="498"/>
      <c r="Z6385" s="498"/>
      <c r="AA6385" s="498"/>
      <c r="AB6385" s="498"/>
      <c r="AC6385" s="498"/>
      <c r="AD6385" s="498"/>
      <c r="AE6385" s="498"/>
      <c r="AF6385" s="498"/>
      <c r="AG6385" s="498"/>
      <c r="AH6385" s="498"/>
      <c r="AI6385" s="498"/>
      <c r="AK6385" s="498"/>
      <c r="AL6385" s="498"/>
      <c r="AM6385" s="498"/>
      <c r="AN6385" s="498"/>
      <c r="AO6385" s="498"/>
      <c r="AP6385" s="498"/>
      <c r="AQ6385" s="498"/>
      <c r="AR6385" s="498"/>
      <c r="AS6385" s="498"/>
      <c r="AT6385" s="498"/>
      <c r="AU6385" s="498"/>
      <c r="AV6385" s="498"/>
      <c r="AW6385" s="498"/>
      <c r="AX6385" s="498"/>
      <c r="AY6385" s="498"/>
      <c r="AZ6385" s="498"/>
      <c r="BA6385" s="498"/>
    </row>
    <row r="6386" spans="1:53" s="499" customFormat="1" x14ac:dyDescent="0.25">
      <c r="A6386" s="500"/>
      <c r="B6386" s="501"/>
      <c r="C6386" s="502"/>
      <c r="D6386" s="497"/>
      <c r="E6386" s="497"/>
      <c r="F6386" s="502"/>
      <c r="G6386" s="497"/>
      <c r="H6386" s="497"/>
      <c r="I6386" s="497"/>
      <c r="J6386" s="497"/>
      <c r="K6386" s="500"/>
      <c r="L6386" s="497"/>
      <c r="M6386"/>
      <c r="N6386" s="498"/>
      <c r="O6386" s="498"/>
      <c r="P6386" s="498"/>
      <c r="Q6386" s="498"/>
      <c r="R6386" s="498"/>
      <c r="T6386" s="498"/>
      <c r="U6386" s="498"/>
      <c r="V6386" s="498"/>
      <c r="W6386" s="498"/>
      <c r="X6386" s="498"/>
      <c r="Y6386" s="498"/>
      <c r="Z6386" s="498"/>
      <c r="AA6386" s="498"/>
      <c r="AB6386" s="498"/>
      <c r="AC6386" s="498"/>
      <c r="AD6386" s="498"/>
      <c r="AE6386" s="498"/>
      <c r="AF6386" s="498"/>
      <c r="AG6386" s="498"/>
      <c r="AH6386" s="498"/>
      <c r="AI6386" s="498"/>
      <c r="AK6386" s="498"/>
      <c r="AL6386" s="498"/>
      <c r="AM6386" s="498"/>
      <c r="AN6386" s="498"/>
      <c r="AO6386" s="498"/>
      <c r="AP6386" s="498"/>
      <c r="AQ6386" s="498"/>
      <c r="AR6386" s="498"/>
      <c r="AS6386" s="498"/>
      <c r="AT6386" s="498"/>
      <c r="AU6386" s="498"/>
      <c r="AV6386" s="498"/>
      <c r="AW6386" s="498"/>
      <c r="AX6386" s="498"/>
      <c r="AY6386" s="498"/>
      <c r="AZ6386" s="498"/>
      <c r="BA6386" s="498"/>
    </row>
    <row r="6387" spans="1:53" s="499" customFormat="1" x14ac:dyDescent="0.25">
      <c r="A6387" s="500"/>
      <c r="B6387" s="501"/>
      <c r="C6387" s="502"/>
      <c r="D6387" s="497"/>
      <c r="E6387" s="497"/>
      <c r="F6387" s="502"/>
      <c r="G6387" s="497"/>
      <c r="H6387" s="497"/>
      <c r="I6387" s="497"/>
      <c r="J6387" s="497"/>
      <c r="K6387" s="500"/>
      <c r="L6387" s="497"/>
      <c r="M6387"/>
      <c r="N6387" s="498"/>
      <c r="O6387" s="498"/>
      <c r="P6387" s="498"/>
      <c r="Q6387" s="498"/>
      <c r="R6387" s="498"/>
      <c r="T6387" s="498"/>
      <c r="U6387" s="498"/>
      <c r="V6387" s="498"/>
      <c r="W6387" s="498"/>
      <c r="X6387" s="498"/>
      <c r="Y6387" s="498"/>
      <c r="Z6387" s="498"/>
      <c r="AA6387" s="498"/>
      <c r="AB6387" s="498"/>
      <c r="AC6387" s="498"/>
      <c r="AD6387" s="498"/>
      <c r="AE6387" s="498"/>
      <c r="AF6387" s="498"/>
      <c r="AG6387" s="498"/>
      <c r="AH6387" s="498"/>
      <c r="AI6387" s="498"/>
      <c r="AK6387" s="498"/>
      <c r="AL6387" s="498"/>
      <c r="AM6387" s="498"/>
      <c r="AN6387" s="498"/>
      <c r="AO6387" s="498"/>
      <c r="AP6387" s="498"/>
      <c r="AQ6387" s="498"/>
      <c r="AR6387" s="498"/>
      <c r="AS6387" s="498"/>
      <c r="AT6387" s="498"/>
      <c r="AU6387" s="498"/>
      <c r="AV6387" s="498"/>
      <c r="AW6387" s="498"/>
      <c r="AX6387" s="498"/>
      <c r="AY6387" s="498"/>
      <c r="AZ6387" s="498"/>
      <c r="BA6387" s="498"/>
    </row>
    <row r="6388" spans="1:53" s="499" customFormat="1" x14ac:dyDescent="0.25">
      <c r="A6388" s="500"/>
      <c r="B6388" s="501"/>
      <c r="C6388" s="502"/>
      <c r="D6388" s="497"/>
      <c r="E6388" s="497"/>
      <c r="F6388" s="502"/>
      <c r="G6388" s="497"/>
      <c r="H6388" s="497"/>
      <c r="I6388" s="497"/>
      <c r="J6388" s="497"/>
      <c r="K6388" s="500"/>
      <c r="L6388" s="497"/>
      <c r="M6388"/>
      <c r="N6388" s="498"/>
      <c r="O6388" s="498"/>
      <c r="P6388" s="498"/>
      <c r="Q6388" s="498"/>
      <c r="R6388" s="498"/>
      <c r="T6388" s="498"/>
      <c r="U6388" s="498"/>
      <c r="V6388" s="498"/>
      <c r="W6388" s="498"/>
      <c r="X6388" s="498"/>
      <c r="Y6388" s="498"/>
      <c r="Z6388" s="498"/>
      <c r="AA6388" s="498"/>
      <c r="AB6388" s="498"/>
      <c r="AC6388" s="498"/>
      <c r="AD6388" s="498"/>
      <c r="AE6388" s="498"/>
      <c r="AF6388" s="498"/>
      <c r="AG6388" s="498"/>
      <c r="AH6388" s="498"/>
      <c r="AI6388" s="498"/>
      <c r="AK6388" s="498"/>
      <c r="AL6388" s="498"/>
      <c r="AM6388" s="498"/>
      <c r="AN6388" s="498"/>
      <c r="AO6388" s="498"/>
      <c r="AP6388" s="498"/>
      <c r="AQ6388" s="498"/>
      <c r="AR6388" s="498"/>
      <c r="AS6388" s="498"/>
      <c r="AT6388" s="498"/>
      <c r="AU6388" s="498"/>
      <c r="AV6388" s="498"/>
      <c r="AW6388" s="498"/>
      <c r="AX6388" s="498"/>
      <c r="AY6388" s="498"/>
      <c r="AZ6388" s="498"/>
      <c r="BA6388" s="498"/>
    </row>
    <row r="6389" spans="1:53" s="499" customFormat="1" x14ac:dyDescent="0.25">
      <c r="A6389" s="500"/>
      <c r="B6389" s="501"/>
      <c r="C6389" s="502"/>
      <c r="D6389" s="497"/>
      <c r="E6389" s="497"/>
      <c r="F6389" s="502"/>
      <c r="G6389" s="497"/>
      <c r="H6389" s="497"/>
      <c r="I6389" s="497"/>
      <c r="J6389" s="497"/>
      <c r="K6389" s="500"/>
      <c r="L6389" s="497"/>
      <c r="M6389"/>
      <c r="N6389" s="498"/>
      <c r="O6389" s="498"/>
      <c r="P6389" s="498"/>
      <c r="Q6389" s="498"/>
      <c r="R6389" s="498"/>
      <c r="T6389" s="498"/>
      <c r="U6389" s="498"/>
      <c r="V6389" s="498"/>
      <c r="W6389" s="498"/>
      <c r="X6389" s="498"/>
      <c r="Y6389" s="498"/>
      <c r="Z6389" s="498"/>
      <c r="AA6389" s="498"/>
      <c r="AB6389" s="498"/>
      <c r="AC6389" s="498"/>
      <c r="AD6389" s="498"/>
      <c r="AE6389" s="498"/>
      <c r="AF6389" s="498"/>
      <c r="AG6389" s="498"/>
      <c r="AH6389" s="498"/>
      <c r="AI6389" s="498"/>
      <c r="AK6389" s="498"/>
      <c r="AL6389" s="498"/>
      <c r="AM6389" s="498"/>
      <c r="AN6389" s="498"/>
      <c r="AO6389" s="498"/>
      <c r="AP6389" s="498"/>
      <c r="AQ6389" s="498"/>
      <c r="AR6389" s="498"/>
      <c r="AS6389" s="498"/>
      <c r="AT6389" s="498"/>
      <c r="AU6389" s="498"/>
      <c r="AV6389" s="498"/>
      <c r="AW6389" s="498"/>
      <c r="AX6389" s="498"/>
      <c r="AY6389" s="498"/>
      <c r="AZ6389" s="498"/>
      <c r="BA6389" s="498"/>
    </row>
    <row r="6390" spans="1:53" s="499" customFormat="1" x14ac:dyDescent="0.25">
      <c r="A6390" s="500"/>
      <c r="B6390" s="501"/>
      <c r="C6390" s="502"/>
      <c r="D6390" s="497"/>
      <c r="E6390" s="497"/>
      <c r="F6390" s="502"/>
      <c r="G6390" s="497"/>
      <c r="H6390" s="497"/>
      <c r="I6390" s="497"/>
      <c r="J6390" s="497"/>
      <c r="K6390" s="500"/>
      <c r="L6390" s="497"/>
      <c r="M6390"/>
      <c r="N6390" s="498"/>
      <c r="O6390" s="498"/>
      <c r="P6390" s="498"/>
      <c r="Q6390" s="498"/>
      <c r="R6390" s="498"/>
      <c r="T6390" s="498"/>
      <c r="U6390" s="498"/>
      <c r="V6390" s="498"/>
      <c r="W6390" s="498"/>
      <c r="X6390" s="498"/>
      <c r="Y6390" s="498"/>
      <c r="Z6390" s="498"/>
      <c r="AA6390" s="498"/>
      <c r="AB6390" s="498"/>
      <c r="AC6390" s="498"/>
      <c r="AD6390" s="498"/>
      <c r="AE6390" s="498"/>
      <c r="AF6390" s="498"/>
      <c r="AG6390" s="498"/>
      <c r="AH6390" s="498"/>
      <c r="AI6390" s="498"/>
      <c r="AK6390" s="498"/>
      <c r="AL6390" s="498"/>
      <c r="AM6390" s="498"/>
      <c r="AN6390" s="498"/>
      <c r="AO6390" s="498"/>
      <c r="AP6390" s="498"/>
      <c r="AQ6390" s="498"/>
      <c r="AR6390" s="498"/>
      <c r="AS6390" s="498"/>
      <c r="AT6390" s="498"/>
      <c r="AU6390" s="498"/>
      <c r="AV6390" s="498"/>
      <c r="AW6390" s="498"/>
      <c r="AX6390" s="498"/>
      <c r="AY6390" s="498"/>
      <c r="AZ6390" s="498"/>
      <c r="BA6390" s="498"/>
    </row>
    <row r="6391" spans="1:53" s="499" customFormat="1" x14ac:dyDescent="0.25">
      <c r="A6391" s="500"/>
      <c r="B6391" s="501"/>
      <c r="C6391" s="502"/>
      <c r="D6391" s="497"/>
      <c r="E6391" s="497"/>
      <c r="F6391" s="502"/>
      <c r="G6391" s="497"/>
      <c r="H6391" s="497"/>
      <c r="I6391" s="497"/>
      <c r="J6391" s="497"/>
      <c r="K6391" s="500"/>
      <c r="L6391" s="497"/>
      <c r="M6391"/>
      <c r="N6391" s="498"/>
      <c r="O6391" s="498"/>
      <c r="P6391" s="498"/>
      <c r="Q6391" s="498"/>
      <c r="R6391" s="498"/>
      <c r="T6391" s="498"/>
      <c r="U6391" s="498"/>
      <c r="V6391" s="498"/>
      <c r="W6391" s="498"/>
      <c r="X6391" s="498"/>
      <c r="Y6391" s="498"/>
      <c r="Z6391" s="498"/>
      <c r="AA6391" s="498"/>
      <c r="AB6391" s="498"/>
      <c r="AC6391" s="498"/>
      <c r="AD6391" s="498"/>
      <c r="AE6391" s="498"/>
      <c r="AF6391" s="498"/>
      <c r="AG6391" s="498"/>
      <c r="AH6391" s="498"/>
      <c r="AI6391" s="498"/>
      <c r="AK6391" s="498"/>
      <c r="AL6391" s="498"/>
      <c r="AM6391" s="498"/>
      <c r="AN6391" s="498"/>
      <c r="AO6391" s="498"/>
      <c r="AP6391" s="498"/>
      <c r="AQ6391" s="498"/>
      <c r="AR6391" s="498"/>
      <c r="AS6391" s="498"/>
      <c r="AT6391" s="498"/>
      <c r="AU6391" s="498"/>
      <c r="AV6391" s="498"/>
      <c r="AW6391" s="498"/>
      <c r="AX6391" s="498"/>
      <c r="AY6391" s="498"/>
      <c r="AZ6391" s="498"/>
      <c r="BA6391" s="498"/>
    </row>
    <row r="6392" spans="1:53" s="499" customFormat="1" x14ac:dyDescent="0.25">
      <c r="A6392" s="500"/>
      <c r="B6392" s="501"/>
      <c r="C6392" s="502"/>
      <c r="D6392" s="497"/>
      <c r="E6392" s="497"/>
      <c r="F6392" s="502"/>
      <c r="G6392" s="497"/>
      <c r="H6392" s="497"/>
      <c r="I6392" s="497"/>
      <c r="J6392" s="497"/>
      <c r="K6392" s="500"/>
      <c r="L6392" s="497"/>
      <c r="M6392"/>
      <c r="N6392" s="498"/>
      <c r="O6392" s="498"/>
      <c r="P6392" s="498"/>
      <c r="Q6392" s="498"/>
      <c r="R6392" s="498"/>
      <c r="T6392" s="498"/>
      <c r="U6392" s="498"/>
      <c r="V6392" s="498"/>
      <c r="W6392" s="498"/>
      <c r="X6392" s="498"/>
      <c r="Y6392" s="498"/>
      <c r="Z6392" s="498"/>
      <c r="AA6392" s="498"/>
      <c r="AB6392" s="498"/>
      <c r="AC6392" s="498"/>
      <c r="AD6392" s="498"/>
      <c r="AE6392" s="498"/>
      <c r="AF6392" s="498"/>
      <c r="AG6392" s="498"/>
      <c r="AH6392" s="498"/>
      <c r="AI6392" s="498"/>
      <c r="AK6392" s="498"/>
      <c r="AL6392" s="498"/>
      <c r="AM6392" s="498"/>
      <c r="AN6392" s="498"/>
      <c r="AO6392" s="498"/>
      <c r="AP6392" s="498"/>
      <c r="AQ6392" s="498"/>
      <c r="AR6392" s="498"/>
      <c r="AS6392" s="498"/>
      <c r="AT6392" s="498"/>
      <c r="AU6392" s="498"/>
      <c r="AV6392" s="498"/>
      <c r="AW6392" s="498"/>
      <c r="AX6392" s="498"/>
      <c r="AY6392" s="498"/>
      <c r="AZ6392" s="498"/>
      <c r="BA6392" s="498"/>
    </row>
    <row r="6393" spans="1:53" s="499" customFormat="1" x14ac:dyDescent="0.25">
      <c r="A6393" s="500"/>
      <c r="B6393" s="501"/>
      <c r="C6393" s="502"/>
      <c r="D6393" s="497"/>
      <c r="E6393" s="497"/>
      <c r="F6393" s="502"/>
      <c r="G6393" s="497"/>
      <c r="H6393" s="497"/>
      <c r="I6393" s="497"/>
      <c r="J6393" s="497"/>
      <c r="K6393" s="500"/>
      <c r="L6393" s="497"/>
      <c r="M6393"/>
      <c r="N6393" s="498"/>
      <c r="O6393" s="498"/>
      <c r="P6393" s="498"/>
      <c r="Q6393" s="498"/>
      <c r="R6393" s="498"/>
      <c r="T6393" s="498"/>
      <c r="U6393" s="498"/>
      <c r="V6393" s="498"/>
      <c r="W6393" s="498"/>
      <c r="X6393" s="498"/>
      <c r="Y6393" s="498"/>
      <c r="Z6393" s="498"/>
      <c r="AA6393" s="498"/>
      <c r="AB6393" s="498"/>
      <c r="AC6393" s="498"/>
      <c r="AD6393" s="498"/>
      <c r="AE6393" s="498"/>
      <c r="AF6393" s="498"/>
      <c r="AG6393" s="498"/>
      <c r="AH6393" s="498"/>
      <c r="AI6393" s="498"/>
      <c r="AK6393" s="498"/>
      <c r="AL6393" s="498"/>
      <c r="AM6393" s="498"/>
      <c r="AN6393" s="498"/>
      <c r="AO6393" s="498"/>
      <c r="AP6393" s="498"/>
      <c r="AQ6393" s="498"/>
      <c r="AR6393" s="498"/>
      <c r="AS6393" s="498"/>
      <c r="AT6393" s="498"/>
      <c r="AU6393" s="498"/>
      <c r="AV6393" s="498"/>
      <c r="AW6393" s="498"/>
      <c r="AX6393" s="498"/>
      <c r="AY6393" s="498"/>
      <c r="AZ6393" s="498"/>
      <c r="BA6393" s="498"/>
    </row>
    <row r="6394" spans="1:53" s="499" customFormat="1" x14ac:dyDescent="0.25">
      <c r="A6394" s="500"/>
      <c r="B6394" s="501"/>
      <c r="C6394" s="502"/>
      <c r="D6394" s="497"/>
      <c r="E6394" s="497"/>
      <c r="F6394" s="502"/>
      <c r="G6394" s="497"/>
      <c r="H6394" s="497"/>
      <c r="I6394" s="497"/>
      <c r="J6394" s="497"/>
      <c r="K6394" s="500"/>
      <c r="L6394" s="497"/>
      <c r="M6394"/>
      <c r="N6394" s="498"/>
      <c r="O6394" s="498"/>
      <c r="P6394" s="498"/>
      <c r="Q6394" s="498"/>
      <c r="R6394" s="498"/>
      <c r="T6394" s="498"/>
      <c r="U6394" s="498"/>
      <c r="V6394" s="498"/>
      <c r="W6394" s="498"/>
      <c r="X6394" s="498"/>
      <c r="Y6394" s="498"/>
      <c r="Z6394" s="498"/>
      <c r="AA6394" s="498"/>
      <c r="AB6394" s="498"/>
      <c r="AC6394" s="498"/>
      <c r="AD6394" s="498"/>
      <c r="AE6394" s="498"/>
      <c r="AF6394" s="498"/>
      <c r="AG6394" s="498"/>
      <c r="AH6394" s="498"/>
      <c r="AI6394" s="498"/>
      <c r="AK6394" s="498"/>
      <c r="AL6394" s="498"/>
      <c r="AM6394" s="498"/>
      <c r="AN6394" s="498"/>
      <c r="AO6394" s="498"/>
      <c r="AP6394" s="498"/>
      <c r="AQ6394" s="498"/>
      <c r="AR6394" s="498"/>
      <c r="AS6394" s="498"/>
      <c r="AT6394" s="498"/>
      <c r="AU6394" s="498"/>
      <c r="AV6394" s="498"/>
      <c r="AW6394" s="498"/>
      <c r="AX6394" s="498"/>
      <c r="AY6394" s="498"/>
      <c r="AZ6394" s="498"/>
      <c r="BA6394" s="498"/>
    </row>
    <row r="6395" spans="1:53" s="499" customFormat="1" x14ac:dyDescent="0.25">
      <c r="A6395" s="500"/>
      <c r="B6395" s="501"/>
      <c r="C6395" s="502"/>
      <c r="D6395" s="497"/>
      <c r="E6395" s="497"/>
      <c r="F6395" s="502"/>
      <c r="G6395" s="497"/>
      <c r="H6395" s="497"/>
      <c r="I6395" s="497"/>
      <c r="J6395" s="497"/>
      <c r="K6395" s="500"/>
      <c r="L6395" s="497"/>
      <c r="M6395"/>
      <c r="N6395" s="498"/>
      <c r="O6395" s="498"/>
      <c r="P6395" s="498"/>
      <c r="Q6395" s="498"/>
      <c r="R6395" s="498"/>
      <c r="T6395" s="498"/>
      <c r="U6395" s="498"/>
      <c r="V6395" s="498"/>
      <c r="W6395" s="498"/>
      <c r="X6395" s="498"/>
      <c r="Y6395" s="498"/>
      <c r="Z6395" s="498"/>
      <c r="AA6395" s="498"/>
      <c r="AB6395" s="498"/>
      <c r="AC6395" s="498"/>
      <c r="AD6395" s="498"/>
      <c r="AE6395" s="498"/>
      <c r="AF6395" s="498"/>
      <c r="AG6395" s="498"/>
      <c r="AH6395" s="498"/>
      <c r="AI6395" s="498"/>
      <c r="AK6395" s="498"/>
      <c r="AL6395" s="498"/>
      <c r="AM6395" s="498"/>
      <c r="AN6395" s="498"/>
      <c r="AO6395" s="498"/>
      <c r="AP6395" s="498"/>
      <c r="AQ6395" s="498"/>
      <c r="AR6395" s="498"/>
      <c r="AS6395" s="498"/>
      <c r="AT6395" s="498"/>
      <c r="AU6395" s="498"/>
      <c r="AV6395" s="498"/>
      <c r="AW6395" s="498"/>
      <c r="AX6395" s="498"/>
      <c r="AY6395" s="498"/>
      <c r="AZ6395" s="498"/>
      <c r="BA6395" s="498"/>
    </row>
    <row r="6396" spans="1:53" s="499" customFormat="1" x14ac:dyDescent="0.25">
      <c r="A6396" s="500"/>
      <c r="B6396" s="501"/>
      <c r="C6396" s="502"/>
      <c r="D6396" s="497"/>
      <c r="E6396" s="497"/>
      <c r="F6396" s="502"/>
      <c r="G6396" s="497"/>
      <c r="H6396" s="497"/>
      <c r="I6396" s="497"/>
      <c r="J6396" s="497"/>
      <c r="K6396" s="500"/>
      <c r="L6396" s="497"/>
      <c r="M6396"/>
      <c r="N6396" s="498"/>
      <c r="O6396" s="498"/>
      <c r="P6396" s="498"/>
      <c r="Q6396" s="498"/>
      <c r="R6396" s="498"/>
      <c r="T6396" s="498"/>
      <c r="U6396" s="498"/>
      <c r="V6396" s="498"/>
      <c r="W6396" s="498"/>
      <c r="X6396" s="498"/>
      <c r="Y6396" s="498"/>
      <c r="Z6396" s="498"/>
      <c r="AA6396" s="498"/>
      <c r="AB6396" s="498"/>
      <c r="AC6396" s="498"/>
      <c r="AD6396" s="498"/>
      <c r="AE6396" s="498"/>
      <c r="AF6396" s="498"/>
      <c r="AG6396" s="498"/>
      <c r="AH6396" s="498"/>
      <c r="AI6396" s="498"/>
      <c r="AK6396" s="498"/>
      <c r="AL6396" s="498"/>
      <c r="AM6396" s="498"/>
      <c r="AN6396" s="498"/>
      <c r="AO6396" s="498"/>
      <c r="AP6396" s="498"/>
      <c r="AQ6396" s="498"/>
      <c r="AR6396" s="498"/>
      <c r="AS6396" s="498"/>
      <c r="AT6396" s="498"/>
      <c r="AU6396" s="498"/>
      <c r="AV6396" s="498"/>
      <c r="AW6396" s="498"/>
      <c r="AX6396" s="498"/>
      <c r="AY6396" s="498"/>
      <c r="AZ6396" s="498"/>
      <c r="BA6396" s="498"/>
    </row>
    <row r="6397" spans="1:53" s="499" customFormat="1" x14ac:dyDescent="0.25">
      <c r="A6397" s="500"/>
      <c r="B6397" s="501"/>
      <c r="C6397" s="502"/>
      <c r="D6397" s="497"/>
      <c r="E6397" s="497"/>
      <c r="F6397" s="502"/>
      <c r="G6397" s="497"/>
      <c r="H6397" s="497"/>
      <c r="I6397" s="497"/>
      <c r="J6397" s="497"/>
      <c r="K6397" s="500"/>
      <c r="L6397" s="497"/>
      <c r="M6397"/>
      <c r="N6397" s="498"/>
      <c r="O6397" s="498"/>
      <c r="P6397" s="498"/>
      <c r="Q6397" s="498"/>
      <c r="R6397" s="498"/>
      <c r="T6397" s="498"/>
      <c r="U6397" s="498"/>
      <c r="V6397" s="498"/>
      <c r="W6397" s="498"/>
      <c r="X6397" s="498"/>
      <c r="Y6397" s="498"/>
      <c r="Z6397" s="498"/>
      <c r="AA6397" s="498"/>
      <c r="AB6397" s="498"/>
      <c r="AC6397" s="498"/>
      <c r="AD6397" s="498"/>
      <c r="AE6397" s="498"/>
      <c r="AF6397" s="498"/>
      <c r="AG6397" s="498"/>
      <c r="AH6397" s="498"/>
      <c r="AI6397" s="498"/>
      <c r="AK6397" s="498"/>
      <c r="AL6397" s="498"/>
      <c r="AM6397" s="498"/>
      <c r="AN6397" s="498"/>
      <c r="AO6397" s="498"/>
      <c r="AP6397" s="498"/>
      <c r="AQ6397" s="498"/>
      <c r="AR6397" s="498"/>
      <c r="AS6397" s="498"/>
      <c r="AT6397" s="498"/>
      <c r="AU6397" s="498"/>
      <c r="AV6397" s="498"/>
      <c r="AW6397" s="498"/>
      <c r="AX6397" s="498"/>
      <c r="AY6397" s="498"/>
      <c r="AZ6397" s="498"/>
      <c r="BA6397" s="498"/>
    </row>
    <row r="6398" spans="1:53" s="499" customFormat="1" x14ac:dyDescent="0.25">
      <c r="A6398" s="500"/>
      <c r="B6398" s="501"/>
      <c r="C6398" s="502"/>
      <c r="D6398" s="497"/>
      <c r="E6398" s="497"/>
      <c r="F6398" s="502"/>
      <c r="G6398" s="497"/>
      <c r="H6398" s="497"/>
      <c r="I6398" s="497"/>
      <c r="J6398" s="497"/>
      <c r="K6398" s="500"/>
      <c r="L6398" s="497"/>
      <c r="M6398"/>
      <c r="N6398" s="498"/>
      <c r="O6398" s="498"/>
      <c r="P6398" s="498"/>
      <c r="Q6398" s="498"/>
      <c r="R6398" s="498"/>
      <c r="T6398" s="498"/>
      <c r="U6398" s="498"/>
      <c r="V6398" s="498"/>
      <c r="W6398" s="498"/>
      <c r="X6398" s="498"/>
      <c r="Y6398" s="498"/>
      <c r="Z6398" s="498"/>
      <c r="AA6398" s="498"/>
      <c r="AB6398" s="498"/>
      <c r="AC6398" s="498"/>
      <c r="AD6398" s="498"/>
      <c r="AE6398" s="498"/>
      <c r="AF6398" s="498"/>
      <c r="AG6398" s="498"/>
      <c r="AH6398" s="498"/>
      <c r="AI6398" s="498"/>
      <c r="AK6398" s="498"/>
      <c r="AL6398" s="498"/>
      <c r="AM6398" s="498"/>
      <c r="AN6398" s="498"/>
      <c r="AO6398" s="498"/>
      <c r="AP6398" s="498"/>
      <c r="AQ6398" s="498"/>
      <c r="AR6398" s="498"/>
      <c r="AS6398" s="498"/>
      <c r="AT6398" s="498"/>
      <c r="AU6398" s="498"/>
      <c r="AV6398" s="498"/>
      <c r="AW6398" s="498"/>
      <c r="AX6398" s="498"/>
      <c r="AY6398" s="498"/>
      <c r="AZ6398" s="498"/>
      <c r="BA6398" s="498"/>
    </row>
    <row r="6399" spans="1:53" s="499" customFormat="1" x14ac:dyDescent="0.25">
      <c r="A6399" s="500"/>
      <c r="B6399" s="501"/>
      <c r="C6399" s="502"/>
      <c r="D6399" s="497"/>
      <c r="E6399" s="497"/>
      <c r="F6399" s="502"/>
      <c r="G6399" s="497"/>
      <c r="H6399" s="497"/>
      <c r="I6399" s="497"/>
      <c r="J6399" s="497"/>
      <c r="K6399" s="500"/>
      <c r="L6399" s="497"/>
      <c r="M6399"/>
      <c r="N6399" s="498"/>
      <c r="O6399" s="498"/>
      <c r="P6399" s="498"/>
      <c r="Q6399" s="498"/>
      <c r="R6399" s="498"/>
      <c r="T6399" s="498"/>
      <c r="U6399" s="498"/>
      <c r="V6399" s="498"/>
      <c r="W6399" s="498"/>
      <c r="X6399" s="498"/>
      <c r="Y6399" s="498"/>
      <c r="Z6399" s="498"/>
      <c r="AA6399" s="498"/>
      <c r="AB6399" s="498"/>
      <c r="AC6399" s="498"/>
      <c r="AD6399" s="498"/>
      <c r="AE6399" s="498"/>
      <c r="AF6399" s="498"/>
      <c r="AG6399" s="498"/>
      <c r="AH6399" s="498"/>
      <c r="AI6399" s="498"/>
      <c r="AK6399" s="498"/>
      <c r="AL6399" s="498"/>
      <c r="AM6399" s="498"/>
      <c r="AN6399" s="498"/>
      <c r="AO6399" s="498"/>
      <c r="AP6399" s="498"/>
      <c r="AQ6399" s="498"/>
      <c r="AR6399" s="498"/>
      <c r="AS6399" s="498"/>
      <c r="AT6399" s="498"/>
      <c r="AU6399" s="498"/>
      <c r="AV6399" s="498"/>
      <c r="AW6399" s="498"/>
      <c r="AX6399" s="498"/>
      <c r="AY6399" s="498"/>
      <c r="AZ6399" s="498"/>
      <c r="BA6399" s="498"/>
    </row>
    <row r="6400" spans="1:53" s="499" customFormat="1" x14ac:dyDescent="0.25">
      <c r="A6400" s="500"/>
      <c r="B6400" s="501"/>
      <c r="C6400" s="502"/>
      <c r="D6400" s="497"/>
      <c r="E6400" s="497"/>
      <c r="F6400" s="502"/>
      <c r="G6400" s="497"/>
      <c r="H6400" s="497"/>
      <c r="I6400" s="497"/>
      <c r="J6400" s="497"/>
      <c r="K6400" s="500"/>
      <c r="L6400" s="497"/>
      <c r="M6400"/>
      <c r="N6400" s="498"/>
      <c r="O6400" s="498"/>
      <c r="P6400" s="498"/>
      <c r="Q6400" s="498"/>
      <c r="R6400" s="498"/>
      <c r="T6400" s="498"/>
      <c r="U6400" s="498"/>
      <c r="V6400" s="498"/>
      <c r="W6400" s="498"/>
      <c r="X6400" s="498"/>
      <c r="Y6400" s="498"/>
      <c r="Z6400" s="498"/>
      <c r="AA6400" s="498"/>
      <c r="AB6400" s="498"/>
      <c r="AC6400" s="498"/>
      <c r="AD6400" s="498"/>
      <c r="AE6400" s="498"/>
      <c r="AF6400" s="498"/>
      <c r="AG6400" s="498"/>
      <c r="AH6400" s="498"/>
      <c r="AI6400" s="498"/>
      <c r="AK6400" s="498"/>
      <c r="AL6400" s="498"/>
      <c r="AM6400" s="498"/>
      <c r="AN6400" s="498"/>
      <c r="AO6400" s="498"/>
      <c r="AP6400" s="498"/>
      <c r="AQ6400" s="498"/>
      <c r="AR6400" s="498"/>
      <c r="AS6400" s="498"/>
      <c r="AT6400" s="498"/>
      <c r="AU6400" s="498"/>
      <c r="AV6400" s="498"/>
      <c r="AW6400" s="498"/>
      <c r="AX6400" s="498"/>
      <c r="AY6400" s="498"/>
      <c r="AZ6400" s="498"/>
      <c r="BA6400" s="498"/>
    </row>
    <row r="6401" spans="1:53" s="499" customFormat="1" x14ac:dyDescent="0.25">
      <c r="A6401" s="500"/>
      <c r="B6401" s="501"/>
      <c r="C6401" s="502"/>
      <c r="D6401" s="497"/>
      <c r="E6401" s="497"/>
      <c r="F6401" s="502"/>
      <c r="G6401" s="497"/>
      <c r="H6401" s="497"/>
      <c r="I6401" s="497"/>
      <c r="J6401" s="497"/>
      <c r="K6401" s="500"/>
      <c r="L6401" s="497"/>
      <c r="M6401"/>
      <c r="N6401" s="498"/>
      <c r="O6401" s="498"/>
      <c r="P6401" s="498"/>
      <c r="Q6401" s="498"/>
      <c r="R6401" s="498"/>
      <c r="T6401" s="498"/>
      <c r="U6401" s="498"/>
      <c r="V6401" s="498"/>
      <c r="W6401" s="498"/>
      <c r="X6401" s="498"/>
      <c r="Y6401" s="498"/>
      <c r="Z6401" s="498"/>
      <c r="AA6401" s="498"/>
      <c r="AB6401" s="498"/>
      <c r="AC6401" s="498"/>
      <c r="AD6401" s="498"/>
      <c r="AE6401" s="498"/>
      <c r="AF6401" s="498"/>
      <c r="AG6401" s="498"/>
      <c r="AH6401" s="498"/>
      <c r="AI6401" s="498"/>
      <c r="AK6401" s="498"/>
      <c r="AL6401" s="498"/>
      <c r="AM6401" s="498"/>
      <c r="AN6401" s="498"/>
      <c r="AO6401" s="498"/>
      <c r="AP6401" s="498"/>
      <c r="AQ6401" s="498"/>
      <c r="AR6401" s="498"/>
      <c r="AS6401" s="498"/>
      <c r="AT6401" s="498"/>
      <c r="AU6401" s="498"/>
      <c r="AV6401" s="498"/>
      <c r="AW6401" s="498"/>
      <c r="AX6401" s="498"/>
      <c r="AY6401" s="498"/>
      <c r="AZ6401" s="498"/>
      <c r="BA6401" s="498"/>
    </row>
    <row r="6402" spans="1:53" s="499" customFormat="1" x14ac:dyDescent="0.25">
      <c r="A6402" s="500"/>
      <c r="B6402" s="501"/>
      <c r="C6402" s="502"/>
      <c r="D6402" s="497"/>
      <c r="E6402" s="497"/>
      <c r="F6402" s="502"/>
      <c r="G6402" s="497"/>
      <c r="H6402" s="497"/>
      <c r="I6402" s="497"/>
      <c r="J6402" s="497"/>
      <c r="K6402" s="500"/>
      <c r="L6402" s="497"/>
      <c r="M6402"/>
      <c r="N6402" s="498"/>
      <c r="O6402" s="498"/>
      <c r="P6402" s="498"/>
      <c r="Q6402" s="498"/>
      <c r="R6402" s="498"/>
      <c r="T6402" s="498"/>
      <c r="U6402" s="498"/>
      <c r="V6402" s="498"/>
      <c r="W6402" s="498"/>
      <c r="X6402" s="498"/>
      <c r="Y6402" s="498"/>
      <c r="Z6402" s="498"/>
      <c r="AA6402" s="498"/>
      <c r="AB6402" s="498"/>
      <c r="AC6402" s="498"/>
      <c r="AD6402" s="498"/>
      <c r="AE6402" s="498"/>
      <c r="AF6402" s="498"/>
      <c r="AG6402" s="498"/>
      <c r="AH6402" s="498"/>
      <c r="AI6402" s="498"/>
      <c r="AK6402" s="498"/>
      <c r="AL6402" s="498"/>
      <c r="AM6402" s="498"/>
      <c r="AN6402" s="498"/>
      <c r="AO6402" s="498"/>
      <c r="AP6402" s="498"/>
      <c r="AQ6402" s="498"/>
      <c r="AR6402" s="498"/>
      <c r="AS6402" s="498"/>
      <c r="AT6402" s="498"/>
      <c r="AU6402" s="498"/>
      <c r="AV6402" s="498"/>
      <c r="AW6402" s="498"/>
      <c r="AX6402" s="498"/>
      <c r="AY6402" s="498"/>
      <c r="AZ6402" s="498"/>
      <c r="BA6402" s="498"/>
    </row>
    <row r="6403" spans="1:53" s="499" customFormat="1" x14ac:dyDescent="0.25">
      <c r="A6403" s="500"/>
      <c r="B6403" s="501"/>
      <c r="C6403" s="502"/>
      <c r="D6403" s="497"/>
      <c r="E6403" s="497"/>
      <c r="F6403" s="502"/>
      <c r="G6403" s="497"/>
      <c r="H6403" s="497"/>
      <c r="I6403" s="497"/>
      <c r="J6403" s="497"/>
      <c r="K6403" s="500"/>
      <c r="L6403" s="497"/>
      <c r="M6403"/>
      <c r="N6403" s="498"/>
      <c r="O6403" s="498"/>
      <c r="P6403" s="498"/>
      <c r="Q6403" s="498"/>
      <c r="R6403" s="498"/>
      <c r="T6403" s="498"/>
      <c r="U6403" s="498"/>
      <c r="V6403" s="498"/>
      <c r="W6403" s="498"/>
      <c r="X6403" s="498"/>
      <c r="Y6403" s="498"/>
      <c r="Z6403" s="498"/>
      <c r="AA6403" s="498"/>
      <c r="AB6403" s="498"/>
      <c r="AC6403" s="498"/>
      <c r="AD6403" s="498"/>
      <c r="AE6403" s="498"/>
      <c r="AF6403" s="498"/>
      <c r="AG6403" s="498"/>
      <c r="AH6403" s="498"/>
      <c r="AI6403" s="498"/>
      <c r="AK6403" s="498"/>
      <c r="AL6403" s="498"/>
      <c r="AM6403" s="498"/>
      <c r="AN6403" s="498"/>
      <c r="AO6403" s="498"/>
      <c r="AP6403" s="498"/>
      <c r="AQ6403" s="498"/>
      <c r="AR6403" s="498"/>
      <c r="AS6403" s="498"/>
      <c r="AT6403" s="498"/>
      <c r="AU6403" s="498"/>
      <c r="AV6403" s="498"/>
      <c r="AW6403" s="498"/>
      <c r="AX6403" s="498"/>
      <c r="AY6403" s="498"/>
      <c r="AZ6403" s="498"/>
      <c r="BA6403" s="498"/>
    </row>
    <row r="6404" spans="1:53" s="499" customFormat="1" x14ac:dyDescent="0.25">
      <c r="A6404" s="500"/>
      <c r="B6404" s="501"/>
      <c r="C6404" s="502"/>
      <c r="D6404" s="497"/>
      <c r="E6404" s="497"/>
      <c r="F6404" s="502"/>
      <c r="G6404" s="497"/>
      <c r="H6404" s="497"/>
      <c r="I6404" s="497"/>
      <c r="J6404" s="497"/>
      <c r="K6404" s="500"/>
      <c r="L6404" s="497"/>
      <c r="M6404"/>
      <c r="N6404" s="498"/>
      <c r="O6404" s="498"/>
      <c r="P6404" s="498"/>
      <c r="Q6404" s="498"/>
      <c r="R6404" s="498"/>
      <c r="T6404" s="498"/>
      <c r="U6404" s="498"/>
      <c r="V6404" s="498"/>
      <c r="W6404" s="498"/>
      <c r="X6404" s="498"/>
      <c r="Y6404" s="498"/>
      <c r="Z6404" s="498"/>
      <c r="AA6404" s="498"/>
      <c r="AB6404" s="498"/>
      <c r="AC6404" s="498"/>
      <c r="AD6404" s="498"/>
      <c r="AE6404" s="498"/>
      <c r="AF6404" s="498"/>
      <c r="AG6404" s="498"/>
      <c r="AH6404" s="498"/>
      <c r="AI6404" s="498"/>
      <c r="AK6404" s="498"/>
      <c r="AL6404" s="498"/>
      <c r="AM6404" s="498"/>
      <c r="AN6404" s="498"/>
      <c r="AO6404" s="498"/>
      <c r="AP6404" s="498"/>
      <c r="AQ6404" s="498"/>
      <c r="AR6404" s="498"/>
      <c r="AS6404" s="498"/>
      <c r="AT6404" s="498"/>
      <c r="AU6404" s="498"/>
      <c r="AV6404" s="498"/>
      <c r="AW6404" s="498"/>
      <c r="AX6404" s="498"/>
      <c r="AY6404" s="498"/>
      <c r="AZ6404" s="498"/>
      <c r="BA6404" s="498"/>
    </row>
    <row r="6405" spans="1:53" s="499" customFormat="1" x14ac:dyDescent="0.25">
      <c r="A6405" s="500"/>
      <c r="B6405" s="501"/>
      <c r="C6405" s="502"/>
      <c r="D6405" s="497"/>
      <c r="E6405" s="497"/>
      <c r="F6405" s="502"/>
      <c r="G6405" s="497"/>
      <c r="H6405" s="497"/>
      <c r="I6405" s="497"/>
      <c r="J6405" s="497"/>
      <c r="K6405" s="500"/>
      <c r="L6405" s="497"/>
      <c r="M6405"/>
      <c r="N6405" s="498"/>
      <c r="O6405" s="498"/>
      <c r="P6405" s="498"/>
      <c r="Q6405" s="498"/>
      <c r="R6405" s="498"/>
      <c r="T6405" s="498"/>
      <c r="U6405" s="498"/>
      <c r="V6405" s="498"/>
      <c r="W6405" s="498"/>
      <c r="X6405" s="498"/>
      <c r="Y6405" s="498"/>
      <c r="Z6405" s="498"/>
      <c r="AA6405" s="498"/>
      <c r="AB6405" s="498"/>
      <c r="AC6405" s="498"/>
      <c r="AD6405" s="498"/>
      <c r="AE6405" s="498"/>
      <c r="AF6405" s="498"/>
      <c r="AG6405" s="498"/>
      <c r="AH6405" s="498"/>
      <c r="AI6405" s="498"/>
      <c r="AK6405" s="498"/>
      <c r="AL6405" s="498"/>
      <c r="AM6405" s="498"/>
      <c r="AN6405" s="498"/>
      <c r="AO6405" s="498"/>
      <c r="AP6405" s="498"/>
      <c r="AQ6405" s="498"/>
      <c r="AR6405" s="498"/>
      <c r="AS6405" s="498"/>
      <c r="AT6405" s="498"/>
      <c r="AU6405" s="498"/>
      <c r="AV6405" s="498"/>
      <c r="AW6405" s="498"/>
      <c r="AX6405" s="498"/>
      <c r="AY6405" s="498"/>
      <c r="AZ6405" s="498"/>
      <c r="BA6405" s="498"/>
    </row>
    <row r="6406" spans="1:53" s="499" customFormat="1" x14ac:dyDescent="0.25">
      <c r="A6406" s="500"/>
      <c r="B6406" s="501"/>
      <c r="C6406" s="502"/>
      <c r="D6406" s="497"/>
      <c r="E6406" s="497"/>
      <c r="F6406" s="502"/>
      <c r="G6406" s="497"/>
      <c r="H6406" s="497"/>
      <c r="I6406" s="497"/>
      <c r="J6406" s="497"/>
      <c r="K6406" s="500"/>
      <c r="L6406" s="497"/>
      <c r="M6406"/>
      <c r="N6406" s="498"/>
      <c r="O6406" s="498"/>
      <c r="P6406" s="498"/>
      <c r="Q6406" s="498"/>
      <c r="R6406" s="498"/>
      <c r="T6406" s="498"/>
      <c r="U6406" s="498"/>
      <c r="V6406" s="498"/>
      <c r="W6406" s="498"/>
      <c r="X6406" s="498"/>
      <c r="Y6406" s="498"/>
      <c r="Z6406" s="498"/>
      <c r="AA6406" s="498"/>
      <c r="AB6406" s="498"/>
      <c r="AC6406" s="498"/>
      <c r="AD6406" s="498"/>
      <c r="AE6406" s="498"/>
      <c r="AF6406" s="498"/>
      <c r="AG6406" s="498"/>
      <c r="AH6406" s="498"/>
      <c r="AI6406" s="498"/>
      <c r="AK6406" s="498"/>
      <c r="AL6406" s="498"/>
      <c r="AM6406" s="498"/>
      <c r="AN6406" s="498"/>
      <c r="AO6406" s="498"/>
      <c r="AP6406" s="498"/>
      <c r="AQ6406" s="498"/>
      <c r="AR6406" s="498"/>
      <c r="AS6406" s="498"/>
      <c r="AT6406" s="498"/>
      <c r="AU6406" s="498"/>
      <c r="AV6406" s="498"/>
      <c r="AW6406" s="498"/>
      <c r="AX6406" s="498"/>
      <c r="AY6406" s="498"/>
      <c r="AZ6406" s="498"/>
      <c r="BA6406" s="498"/>
    </row>
    <row r="6407" spans="1:53" s="499" customFormat="1" x14ac:dyDescent="0.25">
      <c r="A6407" s="500"/>
      <c r="B6407" s="501"/>
      <c r="C6407" s="502"/>
      <c r="D6407" s="497"/>
      <c r="E6407" s="497"/>
      <c r="F6407" s="502"/>
      <c r="G6407" s="497"/>
      <c r="H6407" s="497"/>
      <c r="I6407" s="497"/>
      <c r="J6407" s="497"/>
      <c r="K6407" s="500"/>
      <c r="L6407" s="497"/>
      <c r="M6407"/>
      <c r="N6407" s="498"/>
      <c r="O6407" s="498"/>
      <c r="P6407" s="498"/>
      <c r="Q6407" s="498"/>
      <c r="R6407" s="498"/>
      <c r="T6407" s="498"/>
      <c r="U6407" s="498"/>
      <c r="V6407" s="498"/>
      <c r="W6407" s="498"/>
      <c r="X6407" s="498"/>
      <c r="Y6407" s="498"/>
      <c r="Z6407" s="498"/>
      <c r="AA6407" s="498"/>
      <c r="AB6407" s="498"/>
      <c r="AC6407" s="498"/>
      <c r="AD6407" s="498"/>
      <c r="AE6407" s="498"/>
      <c r="AF6407" s="498"/>
      <c r="AG6407" s="498"/>
      <c r="AH6407" s="498"/>
      <c r="AI6407" s="498"/>
      <c r="AK6407" s="498"/>
      <c r="AL6407" s="498"/>
      <c r="AM6407" s="498"/>
      <c r="AN6407" s="498"/>
      <c r="AO6407" s="498"/>
      <c r="AP6407" s="498"/>
      <c r="AQ6407" s="498"/>
      <c r="AR6407" s="498"/>
      <c r="AS6407" s="498"/>
      <c r="AT6407" s="498"/>
      <c r="AU6407" s="498"/>
      <c r="AV6407" s="498"/>
      <c r="AW6407" s="498"/>
      <c r="AX6407" s="498"/>
      <c r="AY6407" s="498"/>
      <c r="AZ6407" s="498"/>
      <c r="BA6407" s="498"/>
    </row>
    <row r="6408" spans="1:53" s="499" customFormat="1" x14ac:dyDescent="0.25">
      <c r="A6408" s="500"/>
      <c r="B6408" s="501"/>
      <c r="C6408" s="502"/>
      <c r="D6408" s="497"/>
      <c r="E6408" s="497"/>
      <c r="F6408" s="502"/>
      <c r="G6408" s="497"/>
      <c r="H6408" s="497"/>
      <c r="I6408" s="497"/>
      <c r="J6408" s="497"/>
      <c r="K6408" s="500"/>
      <c r="L6408" s="497"/>
      <c r="M6408"/>
      <c r="N6408" s="498"/>
      <c r="O6408" s="498"/>
      <c r="P6408" s="498"/>
      <c r="Q6408" s="498"/>
      <c r="R6408" s="498"/>
      <c r="T6408" s="498"/>
      <c r="U6408" s="498"/>
      <c r="V6408" s="498"/>
      <c r="W6408" s="498"/>
      <c r="X6408" s="498"/>
      <c r="Y6408" s="498"/>
      <c r="Z6408" s="498"/>
      <c r="AA6408" s="498"/>
      <c r="AB6408" s="498"/>
      <c r="AC6408" s="498"/>
      <c r="AD6408" s="498"/>
      <c r="AE6408" s="498"/>
      <c r="AF6408" s="498"/>
      <c r="AG6408" s="498"/>
      <c r="AH6408" s="498"/>
      <c r="AI6408" s="498"/>
      <c r="AK6408" s="498"/>
      <c r="AL6408" s="498"/>
      <c r="AM6408" s="498"/>
      <c r="AN6408" s="498"/>
      <c r="AO6408" s="498"/>
      <c r="AP6408" s="498"/>
      <c r="AQ6408" s="498"/>
      <c r="AR6408" s="498"/>
      <c r="AS6408" s="498"/>
      <c r="AT6408" s="498"/>
      <c r="AU6408" s="498"/>
      <c r="AV6408" s="498"/>
      <c r="AW6408" s="498"/>
      <c r="AX6408" s="498"/>
      <c r="AY6408" s="498"/>
      <c r="AZ6408" s="498"/>
      <c r="BA6408" s="498"/>
    </row>
    <row r="6409" spans="1:53" s="499" customFormat="1" x14ac:dyDescent="0.25">
      <c r="A6409" s="500"/>
      <c r="B6409" s="501"/>
      <c r="C6409" s="502"/>
      <c r="D6409" s="497"/>
      <c r="E6409" s="497"/>
      <c r="F6409" s="502"/>
      <c r="G6409" s="497"/>
      <c r="H6409" s="497"/>
      <c r="I6409" s="497"/>
      <c r="J6409" s="497"/>
      <c r="K6409" s="500"/>
      <c r="L6409" s="497"/>
      <c r="M6409"/>
      <c r="N6409" s="498"/>
      <c r="O6409" s="498"/>
      <c r="P6409" s="498"/>
      <c r="Q6409" s="498"/>
      <c r="R6409" s="498"/>
      <c r="T6409" s="498"/>
      <c r="U6409" s="498"/>
      <c r="V6409" s="498"/>
      <c r="W6409" s="498"/>
      <c r="X6409" s="498"/>
      <c r="Y6409" s="498"/>
      <c r="Z6409" s="498"/>
      <c r="AA6409" s="498"/>
      <c r="AB6409" s="498"/>
      <c r="AC6409" s="498"/>
      <c r="AD6409" s="498"/>
      <c r="AE6409" s="498"/>
      <c r="AF6409" s="498"/>
      <c r="AG6409" s="498"/>
      <c r="AH6409" s="498"/>
      <c r="AI6409" s="498"/>
      <c r="AK6409" s="498"/>
      <c r="AL6409" s="498"/>
      <c r="AM6409" s="498"/>
      <c r="AN6409" s="498"/>
      <c r="AO6409" s="498"/>
      <c r="AP6409" s="498"/>
      <c r="AQ6409" s="498"/>
      <c r="AR6409" s="498"/>
      <c r="AS6409" s="498"/>
      <c r="AT6409" s="498"/>
      <c r="AU6409" s="498"/>
      <c r="AV6409" s="498"/>
      <c r="AW6409" s="498"/>
      <c r="AX6409" s="498"/>
      <c r="AY6409" s="498"/>
      <c r="AZ6409" s="498"/>
      <c r="BA6409" s="498"/>
    </row>
    <row r="6410" spans="1:53" s="499" customFormat="1" x14ac:dyDescent="0.25">
      <c r="A6410" s="500"/>
      <c r="B6410" s="501"/>
      <c r="C6410" s="502"/>
      <c r="D6410" s="497"/>
      <c r="E6410" s="497"/>
      <c r="F6410" s="502"/>
      <c r="G6410" s="497"/>
      <c r="H6410" s="497"/>
      <c r="I6410" s="497"/>
      <c r="J6410" s="497"/>
      <c r="K6410" s="500"/>
      <c r="L6410" s="497"/>
      <c r="M6410"/>
      <c r="N6410" s="498"/>
      <c r="O6410" s="498"/>
      <c r="P6410" s="498"/>
      <c r="Q6410" s="498"/>
      <c r="R6410" s="498"/>
      <c r="T6410" s="498"/>
      <c r="U6410" s="498"/>
      <c r="V6410" s="498"/>
      <c r="W6410" s="498"/>
      <c r="X6410" s="498"/>
      <c r="Y6410" s="498"/>
      <c r="Z6410" s="498"/>
      <c r="AA6410" s="498"/>
      <c r="AB6410" s="498"/>
      <c r="AC6410" s="498"/>
      <c r="AD6410" s="498"/>
      <c r="AE6410" s="498"/>
      <c r="AF6410" s="498"/>
      <c r="AG6410" s="498"/>
      <c r="AH6410" s="498"/>
      <c r="AI6410" s="498"/>
      <c r="AK6410" s="498"/>
      <c r="AL6410" s="498"/>
      <c r="AM6410" s="498"/>
      <c r="AN6410" s="498"/>
      <c r="AO6410" s="498"/>
      <c r="AP6410" s="498"/>
      <c r="AQ6410" s="498"/>
      <c r="AR6410" s="498"/>
      <c r="AS6410" s="498"/>
      <c r="AT6410" s="498"/>
      <c r="AU6410" s="498"/>
      <c r="AV6410" s="498"/>
      <c r="AW6410" s="498"/>
      <c r="AX6410" s="498"/>
      <c r="AY6410" s="498"/>
      <c r="AZ6410" s="498"/>
      <c r="BA6410" s="498"/>
    </row>
    <row r="6411" spans="1:53" s="499" customFormat="1" x14ac:dyDescent="0.25">
      <c r="A6411" s="500"/>
      <c r="B6411" s="501"/>
      <c r="C6411" s="502"/>
      <c r="D6411" s="497"/>
      <c r="E6411" s="497"/>
      <c r="F6411" s="502"/>
      <c r="G6411" s="497"/>
      <c r="H6411" s="497"/>
      <c r="I6411" s="497"/>
      <c r="J6411" s="497"/>
      <c r="K6411" s="500"/>
      <c r="L6411" s="497"/>
      <c r="M6411"/>
      <c r="N6411" s="498"/>
      <c r="O6411" s="498"/>
      <c r="P6411" s="498"/>
      <c r="Q6411" s="498"/>
      <c r="R6411" s="498"/>
      <c r="T6411" s="498"/>
      <c r="U6411" s="498"/>
      <c r="V6411" s="498"/>
      <c r="W6411" s="498"/>
      <c r="X6411" s="498"/>
      <c r="Y6411" s="498"/>
      <c r="Z6411" s="498"/>
      <c r="AA6411" s="498"/>
      <c r="AB6411" s="498"/>
      <c r="AC6411" s="498"/>
      <c r="AD6411" s="498"/>
      <c r="AE6411" s="498"/>
      <c r="AF6411" s="498"/>
      <c r="AG6411" s="498"/>
      <c r="AH6411" s="498"/>
      <c r="AI6411" s="498"/>
      <c r="AK6411" s="498"/>
      <c r="AL6411" s="498"/>
      <c r="AM6411" s="498"/>
      <c r="AN6411" s="498"/>
      <c r="AO6411" s="498"/>
      <c r="AP6411" s="498"/>
      <c r="AQ6411" s="498"/>
      <c r="AR6411" s="498"/>
      <c r="AS6411" s="498"/>
      <c r="AT6411" s="498"/>
      <c r="AU6411" s="498"/>
      <c r="AV6411" s="498"/>
      <c r="AW6411" s="498"/>
      <c r="AX6411" s="498"/>
      <c r="AY6411" s="498"/>
      <c r="AZ6411" s="498"/>
      <c r="BA6411" s="498"/>
    </row>
    <row r="6412" spans="1:53" s="499" customFormat="1" x14ac:dyDescent="0.25">
      <c r="A6412" s="500"/>
      <c r="B6412" s="501"/>
      <c r="C6412" s="502"/>
      <c r="D6412" s="497"/>
      <c r="E6412" s="497"/>
      <c r="F6412" s="502"/>
      <c r="G6412" s="497"/>
      <c r="H6412" s="497"/>
      <c r="I6412" s="497"/>
      <c r="J6412" s="497"/>
      <c r="K6412" s="500"/>
      <c r="L6412" s="497"/>
      <c r="M6412"/>
      <c r="N6412" s="498"/>
      <c r="O6412" s="498"/>
      <c r="P6412" s="498"/>
      <c r="Q6412" s="498"/>
      <c r="R6412" s="498"/>
      <c r="T6412" s="498"/>
      <c r="U6412" s="498"/>
      <c r="V6412" s="498"/>
      <c r="W6412" s="498"/>
      <c r="X6412" s="498"/>
      <c r="Y6412" s="498"/>
      <c r="Z6412" s="498"/>
      <c r="AA6412" s="498"/>
      <c r="AB6412" s="498"/>
      <c r="AC6412" s="498"/>
      <c r="AD6412" s="498"/>
      <c r="AE6412" s="498"/>
      <c r="AF6412" s="498"/>
      <c r="AG6412" s="498"/>
      <c r="AH6412" s="498"/>
      <c r="AI6412" s="498"/>
      <c r="AK6412" s="498"/>
      <c r="AL6412" s="498"/>
      <c r="AM6412" s="498"/>
      <c r="AN6412" s="498"/>
      <c r="AO6412" s="498"/>
      <c r="AP6412" s="498"/>
      <c r="AQ6412" s="498"/>
      <c r="AR6412" s="498"/>
      <c r="AS6412" s="498"/>
      <c r="AT6412" s="498"/>
      <c r="AU6412" s="498"/>
      <c r="AV6412" s="498"/>
      <c r="AW6412" s="498"/>
      <c r="AX6412" s="498"/>
      <c r="AY6412" s="498"/>
      <c r="AZ6412" s="498"/>
      <c r="BA6412" s="498"/>
    </row>
    <row r="6413" spans="1:53" s="499" customFormat="1" x14ac:dyDescent="0.25">
      <c r="A6413" s="500"/>
      <c r="B6413" s="501"/>
      <c r="C6413" s="502"/>
      <c r="D6413" s="497"/>
      <c r="E6413" s="497"/>
      <c r="F6413" s="502"/>
      <c r="G6413" s="497"/>
      <c r="H6413" s="497"/>
      <c r="I6413" s="497"/>
      <c r="J6413" s="497"/>
      <c r="K6413" s="500"/>
      <c r="L6413" s="497"/>
      <c r="M6413"/>
      <c r="N6413" s="498"/>
      <c r="O6413" s="498"/>
      <c r="P6413" s="498"/>
      <c r="Q6413" s="498"/>
      <c r="R6413" s="498"/>
      <c r="T6413" s="498"/>
      <c r="U6413" s="498"/>
      <c r="V6413" s="498"/>
      <c r="W6413" s="498"/>
      <c r="X6413" s="498"/>
      <c r="Y6413" s="498"/>
      <c r="Z6413" s="498"/>
      <c r="AA6413" s="498"/>
      <c r="AB6413" s="498"/>
      <c r="AC6413" s="498"/>
      <c r="AD6413" s="498"/>
      <c r="AE6413" s="498"/>
      <c r="AF6413" s="498"/>
      <c r="AG6413" s="498"/>
      <c r="AH6413" s="498"/>
      <c r="AI6413" s="498"/>
      <c r="AK6413" s="498"/>
      <c r="AL6413" s="498"/>
      <c r="AM6413" s="498"/>
      <c r="AN6413" s="498"/>
      <c r="AO6413" s="498"/>
      <c r="AP6413" s="498"/>
      <c r="AQ6413" s="498"/>
      <c r="AR6413" s="498"/>
      <c r="AS6413" s="498"/>
      <c r="AT6413" s="498"/>
      <c r="AU6413" s="498"/>
      <c r="AV6413" s="498"/>
      <c r="AW6413" s="498"/>
      <c r="AX6413" s="498"/>
      <c r="AY6413" s="498"/>
      <c r="AZ6413" s="498"/>
      <c r="BA6413" s="498"/>
    </row>
    <row r="6414" spans="1:53" s="499" customFormat="1" x14ac:dyDescent="0.25">
      <c r="A6414" s="500"/>
      <c r="B6414" s="501"/>
      <c r="C6414" s="502"/>
      <c r="D6414" s="497"/>
      <c r="E6414" s="497"/>
      <c r="F6414" s="502"/>
      <c r="G6414" s="497"/>
      <c r="H6414" s="497"/>
      <c r="I6414" s="497"/>
      <c r="J6414" s="497"/>
      <c r="K6414" s="500"/>
      <c r="L6414" s="497"/>
      <c r="M6414"/>
      <c r="N6414" s="498"/>
      <c r="O6414" s="498"/>
      <c r="P6414" s="498"/>
      <c r="Q6414" s="498"/>
      <c r="R6414" s="498"/>
      <c r="T6414" s="498"/>
      <c r="U6414" s="498"/>
      <c r="V6414" s="498"/>
      <c r="W6414" s="498"/>
      <c r="X6414" s="498"/>
      <c r="Y6414" s="498"/>
      <c r="Z6414" s="498"/>
      <c r="AA6414" s="498"/>
      <c r="AB6414" s="498"/>
      <c r="AC6414" s="498"/>
      <c r="AD6414" s="498"/>
      <c r="AE6414" s="498"/>
      <c r="AF6414" s="498"/>
      <c r="AG6414" s="498"/>
      <c r="AH6414" s="498"/>
      <c r="AI6414" s="498"/>
      <c r="AK6414" s="498"/>
      <c r="AL6414" s="498"/>
      <c r="AM6414" s="498"/>
      <c r="AN6414" s="498"/>
      <c r="AO6414" s="498"/>
      <c r="AP6414" s="498"/>
      <c r="AQ6414" s="498"/>
      <c r="AR6414" s="498"/>
      <c r="AS6414" s="498"/>
      <c r="AT6414" s="498"/>
      <c r="AU6414" s="498"/>
      <c r="AV6414" s="498"/>
      <c r="AW6414" s="498"/>
      <c r="AX6414" s="498"/>
      <c r="AY6414" s="498"/>
      <c r="AZ6414" s="498"/>
      <c r="BA6414" s="498"/>
    </row>
    <row r="6415" spans="1:53" s="499" customFormat="1" x14ac:dyDescent="0.25">
      <c r="A6415" s="500"/>
      <c r="B6415" s="501"/>
      <c r="C6415" s="502"/>
      <c r="D6415" s="497"/>
      <c r="E6415" s="497"/>
      <c r="F6415" s="502"/>
      <c r="G6415" s="497"/>
      <c r="H6415" s="497"/>
      <c r="I6415" s="497"/>
      <c r="J6415" s="497"/>
      <c r="K6415" s="500"/>
      <c r="L6415" s="497"/>
      <c r="M6415"/>
      <c r="N6415" s="498"/>
      <c r="O6415" s="498"/>
      <c r="P6415" s="498"/>
      <c r="Q6415" s="498"/>
      <c r="R6415" s="498"/>
      <c r="T6415" s="498"/>
      <c r="U6415" s="498"/>
      <c r="V6415" s="498"/>
      <c r="W6415" s="498"/>
      <c r="X6415" s="498"/>
      <c r="Y6415" s="498"/>
      <c r="Z6415" s="498"/>
      <c r="AA6415" s="498"/>
      <c r="AB6415" s="498"/>
      <c r="AC6415" s="498"/>
      <c r="AD6415" s="498"/>
      <c r="AE6415" s="498"/>
      <c r="AF6415" s="498"/>
      <c r="AG6415" s="498"/>
      <c r="AH6415" s="498"/>
      <c r="AI6415" s="498"/>
      <c r="AK6415" s="498"/>
      <c r="AL6415" s="498"/>
      <c r="AM6415" s="498"/>
      <c r="AN6415" s="498"/>
      <c r="AO6415" s="498"/>
      <c r="AP6415" s="498"/>
      <c r="AQ6415" s="498"/>
      <c r="AR6415" s="498"/>
      <c r="AS6415" s="498"/>
      <c r="AT6415" s="498"/>
      <c r="AU6415" s="498"/>
      <c r="AV6415" s="498"/>
      <c r="AW6415" s="498"/>
      <c r="AX6415" s="498"/>
      <c r="AY6415" s="498"/>
      <c r="AZ6415" s="498"/>
      <c r="BA6415" s="498"/>
    </row>
    <row r="6416" spans="1:53" s="499" customFormat="1" x14ac:dyDescent="0.25">
      <c r="A6416" s="500"/>
      <c r="B6416" s="501"/>
      <c r="C6416" s="502"/>
      <c r="D6416" s="497"/>
      <c r="E6416" s="497"/>
      <c r="F6416" s="502"/>
      <c r="G6416" s="497"/>
      <c r="H6416" s="497"/>
      <c r="I6416" s="497"/>
      <c r="J6416" s="497"/>
      <c r="K6416" s="500"/>
      <c r="L6416" s="497"/>
      <c r="M6416"/>
      <c r="N6416" s="498"/>
      <c r="O6416" s="498"/>
      <c r="P6416" s="498"/>
      <c r="Q6416" s="498"/>
      <c r="R6416" s="498"/>
      <c r="T6416" s="498"/>
      <c r="U6416" s="498"/>
      <c r="V6416" s="498"/>
      <c r="W6416" s="498"/>
      <c r="X6416" s="498"/>
      <c r="Y6416" s="498"/>
      <c r="Z6416" s="498"/>
      <c r="AA6416" s="498"/>
      <c r="AB6416" s="498"/>
      <c r="AC6416" s="498"/>
      <c r="AD6416" s="498"/>
      <c r="AE6416" s="498"/>
      <c r="AF6416" s="498"/>
      <c r="AG6416" s="498"/>
      <c r="AH6416" s="498"/>
      <c r="AI6416" s="498"/>
      <c r="AK6416" s="498"/>
      <c r="AL6416" s="498"/>
      <c r="AM6416" s="498"/>
      <c r="AN6416" s="498"/>
      <c r="AO6416" s="498"/>
      <c r="AP6416" s="498"/>
      <c r="AQ6416" s="498"/>
      <c r="AR6416" s="498"/>
      <c r="AS6416" s="498"/>
      <c r="AT6416" s="498"/>
      <c r="AU6416" s="498"/>
      <c r="AV6416" s="498"/>
      <c r="AW6416" s="498"/>
      <c r="AX6416" s="498"/>
      <c r="AY6416" s="498"/>
      <c r="AZ6416" s="498"/>
      <c r="BA6416" s="498"/>
    </row>
    <row r="6417" spans="1:53" s="499" customFormat="1" x14ac:dyDescent="0.25">
      <c r="A6417" s="500"/>
      <c r="B6417" s="501"/>
      <c r="C6417" s="502"/>
      <c r="D6417" s="497"/>
      <c r="E6417" s="497"/>
      <c r="F6417" s="502"/>
      <c r="G6417" s="497"/>
      <c r="H6417" s="497"/>
      <c r="I6417" s="497"/>
      <c r="J6417" s="497"/>
      <c r="K6417" s="500"/>
      <c r="L6417" s="497"/>
      <c r="M6417"/>
      <c r="N6417" s="498"/>
      <c r="O6417" s="498"/>
      <c r="P6417" s="498"/>
      <c r="Q6417" s="498"/>
      <c r="R6417" s="498"/>
      <c r="T6417" s="498"/>
      <c r="U6417" s="498"/>
      <c r="V6417" s="498"/>
      <c r="W6417" s="498"/>
      <c r="X6417" s="498"/>
      <c r="Y6417" s="498"/>
      <c r="Z6417" s="498"/>
      <c r="AA6417" s="498"/>
      <c r="AB6417" s="498"/>
      <c r="AC6417" s="498"/>
      <c r="AD6417" s="498"/>
      <c r="AE6417" s="498"/>
      <c r="AF6417" s="498"/>
      <c r="AG6417" s="498"/>
      <c r="AH6417" s="498"/>
      <c r="AI6417" s="498"/>
      <c r="AK6417" s="498"/>
      <c r="AL6417" s="498"/>
      <c r="AM6417" s="498"/>
      <c r="AN6417" s="498"/>
      <c r="AO6417" s="498"/>
      <c r="AP6417" s="498"/>
      <c r="AQ6417" s="498"/>
      <c r="AR6417" s="498"/>
      <c r="AS6417" s="498"/>
      <c r="AT6417" s="498"/>
      <c r="AU6417" s="498"/>
      <c r="AV6417" s="498"/>
      <c r="AW6417" s="498"/>
      <c r="AX6417" s="498"/>
      <c r="AY6417" s="498"/>
      <c r="AZ6417" s="498"/>
      <c r="BA6417" s="498"/>
    </row>
    <row r="6418" spans="1:53" s="499" customFormat="1" x14ac:dyDescent="0.25">
      <c r="A6418" s="500"/>
      <c r="B6418" s="501"/>
      <c r="C6418" s="502"/>
      <c r="D6418" s="497"/>
      <c r="E6418" s="497"/>
      <c r="F6418" s="502"/>
      <c r="G6418" s="497"/>
      <c r="H6418" s="497"/>
      <c r="I6418" s="497"/>
      <c r="J6418" s="497"/>
      <c r="K6418" s="500"/>
      <c r="L6418" s="497"/>
      <c r="M6418"/>
      <c r="N6418" s="498"/>
      <c r="O6418" s="498"/>
      <c r="P6418" s="498"/>
      <c r="Q6418" s="498"/>
      <c r="R6418" s="498"/>
      <c r="T6418" s="498"/>
      <c r="U6418" s="498"/>
      <c r="V6418" s="498"/>
      <c r="W6418" s="498"/>
      <c r="X6418" s="498"/>
      <c r="Y6418" s="498"/>
      <c r="Z6418" s="498"/>
      <c r="AA6418" s="498"/>
      <c r="AB6418" s="498"/>
      <c r="AC6418" s="498"/>
      <c r="AD6418" s="498"/>
      <c r="AE6418" s="498"/>
      <c r="AF6418" s="498"/>
      <c r="AG6418" s="498"/>
      <c r="AH6418" s="498"/>
      <c r="AI6418" s="498"/>
      <c r="AK6418" s="498"/>
      <c r="AL6418" s="498"/>
      <c r="AM6418" s="498"/>
      <c r="AN6418" s="498"/>
      <c r="AO6418" s="498"/>
      <c r="AP6418" s="498"/>
      <c r="AQ6418" s="498"/>
      <c r="AR6418" s="498"/>
      <c r="AS6418" s="498"/>
      <c r="AT6418" s="498"/>
      <c r="AU6418" s="498"/>
      <c r="AV6418" s="498"/>
      <c r="AW6418" s="498"/>
      <c r="AX6418" s="498"/>
      <c r="AY6418" s="498"/>
      <c r="AZ6418" s="498"/>
      <c r="BA6418" s="498"/>
    </row>
    <row r="6419" spans="1:53" s="499" customFormat="1" x14ac:dyDescent="0.25">
      <c r="A6419" s="500"/>
      <c r="B6419" s="501"/>
      <c r="C6419" s="502"/>
      <c r="D6419" s="497"/>
      <c r="E6419" s="497"/>
      <c r="F6419" s="502"/>
      <c r="G6419" s="497"/>
      <c r="H6419" s="497"/>
      <c r="I6419" s="497"/>
      <c r="J6419" s="497"/>
      <c r="K6419" s="500"/>
      <c r="L6419" s="497"/>
      <c r="M6419"/>
      <c r="N6419" s="498"/>
      <c r="O6419" s="498"/>
      <c r="P6419" s="498"/>
      <c r="Q6419" s="498"/>
      <c r="R6419" s="498"/>
      <c r="T6419" s="498"/>
      <c r="U6419" s="498"/>
      <c r="V6419" s="498"/>
      <c r="W6419" s="498"/>
      <c r="X6419" s="498"/>
      <c r="Y6419" s="498"/>
      <c r="Z6419" s="498"/>
      <c r="AA6419" s="498"/>
      <c r="AB6419" s="498"/>
      <c r="AC6419" s="498"/>
      <c r="AD6419" s="498"/>
      <c r="AE6419" s="498"/>
      <c r="AF6419" s="498"/>
      <c r="AG6419" s="498"/>
      <c r="AH6419" s="498"/>
      <c r="AI6419" s="498"/>
      <c r="AK6419" s="498"/>
      <c r="AL6419" s="498"/>
      <c r="AM6419" s="498"/>
      <c r="AN6419" s="498"/>
      <c r="AO6419" s="498"/>
      <c r="AP6419" s="498"/>
      <c r="AQ6419" s="498"/>
      <c r="AR6419" s="498"/>
      <c r="AS6419" s="498"/>
      <c r="AT6419" s="498"/>
      <c r="AU6419" s="498"/>
      <c r="AV6419" s="498"/>
      <c r="AW6419" s="498"/>
      <c r="AX6419" s="498"/>
      <c r="AY6419" s="498"/>
      <c r="AZ6419" s="498"/>
      <c r="BA6419" s="498"/>
    </row>
    <row r="6420" spans="1:53" s="499" customFormat="1" x14ac:dyDescent="0.25">
      <c r="A6420" s="500"/>
      <c r="B6420" s="501"/>
      <c r="C6420" s="502"/>
      <c r="D6420" s="497"/>
      <c r="E6420" s="497"/>
      <c r="F6420" s="502"/>
      <c r="G6420" s="497"/>
      <c r="H6420" s="497"/>
      <c r="I6420" s="497"/>
      <c r="J6420" s="497"/>
      <c r="K6420" s="500"/>
      <c r="L6420" s="497"/>
      <c r="M6420"/>
      <c r="N6420" s="498"/>
      <c r="O6420" s="498"/>
      <c r="P6420" s="498"/>
      <c r="Q6420" s="498"/>
      <c r="R6420" s="498"/>
      <c r="T6420" s="498"/>
      <c r="U6420" s="498"/>
      <c r="V6420" s="498"/>
      <c r="W6420" s="498"/>
      <c r="X6420" s="498"/>
      <c r="Y6420" s="498"/>
      <c r="Z6420" s="498"/>
      <c r="AA6420" s="498"/>
      <c r="AB6420" s="498"/>
      <c r="AC6420" s="498"/>
      <c r="AD6420" s="498"/>
      <c r="AE6420" s="498"/>
      <c r="AF6420" s="498"/>
      <c r="AG6420" s="498"/>
      <c r="AH6420" s="498"/>
      <c r="AI6420" s="498"/>
      <c r="AK6420" s="498"/>
      <c r="AL6420" s="498"/>
      <c r="AM6420" s="498"/>
      <c r="AN6420" s="498"/>
      <c r="AO6420" s="498"/>
      <c r="AP6420" s="498"/>
      <c r="AQ6420" s="498"/>
      <c r="AR6420" s="498"/>
      <c r="AS6420" s="498"/>
      <c r="AT6420" s="498"/>
      <c r="AU6420" s="498"/>
      <c r="AV6420" s="498"/>
      <c r="AW6420" s="498"/>
      <c r="AX6420" s="498"/>
      <c r="AY6420" s="498"/>
      <c r="AZ6420" s="498"/>
      <c r="BA6420" s="498"/>
    </row>
    <row r="6421" spans="1:53" s="499" customFormat="1" x14ac:dyDescent="0.25">
      <c r="A6421" s="500"/>
      <c r="B6421" s="501"/>
      <c r="C6421" s="502"/>
      <c r="D6421" s="497"/>
      <c r="E6421" s="497"/>
      <c r="F6421" s="502"/>
      <c r="G6421" s="497"/>
      <c r="H6421" s="497"/>
      <c r="I6421" s="497"/>
      <c r="J6421" s="497"/>
      <c r="K6421" s="500"/>
      <c r="L6421" s="497"/>
      <c r="M6421"/>
      <c r="N6421" s="498"/>
      <c r="O6421" s="498"/>
      <c r="P6421" s="498"/>
      <c r="Q6421" s="498"/>
      <c r="R6421" s="498"/>
      <c r="T6421" s="498"/>
      <c r="U6421" s="498"/>
      <c r="V6421" s="498"/>
      <c r="W6421" s="498"/>
      <c r="X6421" s="498"/>
      <c r="Y6421" s="498"/>
      <c r="Z6421" s="498"/>
      <c r="AA6421" s="498"/>
      <c r="AB6421" s="498"/>
      <c r="AC6421" s="498"/>
      <c r="AD6421" s="498"/>
      <c r="AE6421" s="498"/>
      <c r="AF6421" s="498"/>
      <c r="AG6421" s="498"/>
      <c r="AH6421" s="498"/>
      <c r="AI6421" s="498"/>
      <c r="AK6421" s="498"/>
      <c r="AL6421" s="498"/>
      <c r="AM6421" s="498"/>
      <c r="AN6421" s="498"/>
      <c r="AO6421" s="498"/>
      <c r="AP6421" s="498"/>
      <c r="AQ6421" s="498"/>
      <c r="AR6421" s="498"/>
      <c r="AS6421" s="498"/>
      <c r="AT6421" s="498"/>
      <c r="AU6421" s="498"/>
      <c r="AV6421" s="498"/>
      <c r="AW6421" s="498"/>
      <c r="AX6421" s="498"/>
      <c r="AY6421" s="498"/>
      <c r="AZ6421" s="498"/>
      <c r="BA6421" s="498"/>
    </row>
    <row r="6422" spans="1:53" s="499" customFormat="1" x14ac:dyDescent="0.25">
      <c r="A6422" s="500"/>
      <c r="B6422" s="501"/>
      <c r="C6422" s="502"/>
      <c r="D6422" s="497"/>
      <c r="E6422" s="497"/>
      <c r="F6422" s="502"/>
      <c r="G6422" s="497"/>
      <c r="H6422" s="497"/>
      <c r="I6422" s="497"/>
      <c r="J6422" s="497"/>
      <c r="K6422" s="500"/>
      <c r="L6422" s="497"/>
      <c r="M6422"/>
      <c r="N6422" s="498"/>
      <c r="O6422" s="498"/>
      <c r="P6422" s="498"/>
      <c r="Q6422" s="498"/>
      <c r="R6422" s="498"/>
      <c r="T6422" s="498"/>
      <c r="U6422" s="498"/>
      <c r="V6422" s="498"/>
      <c r="W6422" s="498"/>
      <c r="X6422" s="498"/>
      <c r="Y6422" s="498"/>
      <c r="Z6422" s="498"/>
      <c r="AA6422" s="498"/>
      <c r="AB6422" s="498"/>
      <c r="AC6422" s="498"/>
      <c r="AD6422" s="498"/>
      <c r="AE6422" s="498"/>
      <c r="AF6422" s="498"/>
      <c r="AG6422" s="498"/>
      <c r="AH6422" s="498"/>
      <c r="AI6422" s="498"/>
      <c r="AK6422" s="498"/>
      <c r="AL6422" s="498"/>
      <c r="AM6422" s="498"/>
      <c r="AN6422" s="498"/>
      <c r="AO6422" s="498"/>
      <c r="AP6422" s="498"/>
      <c r="AQ6422" s="498"/>
      <c r="AR6422" s="498"/>
      <c r="AS6422" s="498"/>
      <c r="AT6422" s="498"/>
      <c r="AU6422" s="498"/>
      <c r="AV6422" s="498"/>
      <c r="AW6422" s="498"/>
      <c r="AX6422" s="498"/>
      <c r="AY6422" s="498"/>
      <c r="AZ6422" s="498"/>
      <c r="BA6422" s="498"/>
    </row>
    <row r="6423" spans="1:53" s="499" customFormat="1" x14ac:dyDescent="0.25">
      <c r="A6423" s="500"/>
      <c r="B6423" s="501"/>
      <c r="C6423" s="502"/>
      <c r="D6423" s="497"/>
      <c r="E6423" s="497"/>
      <c r="F6423" s="502"/>
      <c r="G6423" s="497"/>
      <c r="H6423" s="497"/>
      <c r="I6423" s="497"/>
      <c r="J6423" s="497"/>
      <c r="K6423" s="500"/>
      <c r="L6423" s="497"/>
      <c r="M6423"/>
      <c r="N6423" s="498"/>
      <c r="O6423" s="498"/>
      <c r="P6423" s="498"/>
      <c r="Q6423" s="498"/>
      <c r="R6423" s="498"/>
      <c r="T6423" s="498"/>
      <c r="U6423" s="498"/>
      <c r="V6423" s="498"/>
      <c r="W6423" s="498"/>
      <c r="X6423" s="498"/>
      <c r="Y6423" s="498"/>
      <c r="Z6423" s="498"/>
      <c r="AA6423" s="498"/>
      <c r="AB6423" s="498"/>
      <c r="AC6423" s="498"/>
      <c r="AD6423" s="498"/>
      <c r="AE6423" s="498"/>
      <c r="AF6423" s="498"/>
      <c r="AG6423" s="498"/>
      <c r="AH6423" s="498"/>
      <c r="AI6423" s="498"/>
      <c r="AK6423" s="498"/>
      <c r="AL6423" s="498"/>
      <c r="AM6423" s="498"/>
      <c r="AN6423" s="498"/>
      <c r="AO6423" s="498"/>
      <c r="AP6423" s="498"/>
      <c r="AQ6423" s="498"/>
      <c r="AR6423" s="498"/>
      <c r="AS6423" s="498"/>
      <c r="AT6423" s="498"/>
      <c r="AU6423" s="498"/>
      <c r="AV6423" s="498"/>
      <c r="AW6423" s="498"/>
      <c r="AX6423" s="498"/>
      <c r="AY6423" s="498"/>
      <c r="AZ6423" s="498"/>
      <c r="BA6423" s="498"/>
    </row>
    <row r="6424" spans="1:53" s="499" customFormat="1" x14ac:dyDescent="0.25">
      <c r="A6424" s="500"/>
      <c r="B6424" s="501"/>
      <c r="C6424" s="502"/>
      <c r="D6424" s="497"/>
      <c r="E6424" s="497"/>
      <c r="F6424" s="502"/>
      <c r="G6424" s="497"/>
      <c r="H6424" s="497"/>
      <c r="I6424" s="497"/>
      <c r="J6424" s="497"/>
      <c r="K6424" s="500"/>
      <c r="L6424" s="497"/>
      <c r="M6424"/>
      <c r="N6424" s="498"/>
      <c r="O6424" s="498"/>
      <c r="P6424" s="498"/>
      <c r="Q6424" s="498"/>
      <c r="R6424" s="498"/>
      <c r="T6424" s="498"/>
      <c r="U6424" s="498"/>
      <c r="V6424" s="498"/>
      <c r="W6424" s="498"/>
      <c r="X6424" s="498"/>
      <c r="Y6424" s="498"/>
      <c r="Z6424" s="498"/>
      <c r="AA6424" s="498"/>
      <c r="AB6424" s="498"/>
      <c r="AC6424" s="498"/>
      <c r="AD6424" s="498"/>
      <c r="AE6424" s="498"/>
      <c r="AF6424" s="498"/>
      <c r="AG6424" s="498"/>
      <c r="AH6424" s="498"/>
      <c r="AI6424" s="498"/>
      <c r="AK6424" s="498"/>
      <c r="AL6424" s="498"/>
      <c r="AM6424" s="498"/>
      <c r="AN6424" s="498"/>
      <c r="AO6424" s="498"/>
      <c r="AP6424" s="498"/>
      <c r="AQ6424" s="498"/>
      <c r="AR6424" s="498"/>
      <c r="AS6424" s="498"/>
      <c r="AT6424" s="498"/>
      <c r="AU6424" s="498"/>
      <c r="AV6424" s="498"/>
      <c r="AW6424" s="498"/>
      <c r="AX6424" s="498"/>
      <c r="AY6424" s="498"/>
      <c r="AZ6424" s="498"/>
      <c r="BA6424" s="498"/>
    </row>
    <row r="6425" spans="1:53" s="499" customFormat="1" x14ac:dyDescent="0.25">
      <c r="A6425" s="500"/>
      <c r="B6425" s="501"/>
      <c r="C6425" s="502"/>
      <c r="D6425" s="497"/>
      <c r="E6425" s="497"/>
      <c r="F6425" s="502"/>
      <c r="G6425" s="497"/>
      <c r="H6425" s="497"/>
      <c r="I6425" s="497"/>
      <c r="J6425" s="497"/>
      <c r="K6425" s="500"/>
      <c r="L6425" s="497"/>
      <c r="M6425"/>
      <c r="N6425" s="498"/>
      <c r="O6425" s="498"/>
      <c r="P6425" s="498"/>
      <c r="Q6425" s="498"/>
      <c r="R6425" s="498"/>
      <c r="T6425" s="498"/>
      <c r="U6425" s="498"/>
      <c r="V6425" s="498"/>
      <c r="W6425" s="498"/>
      <c r="X6425" s="498"/>
      <c r="Y6425" s="498"/>
      <c r="Z6425" s="498"/>
      <c r="AA6425" s="498"/>
      <c r="AB6425" s="498"/>
      <c r="AC6425" s="498"/>
      <c r="AD6425" s="498"/>
      <c r="AE6425" s="498"/>
      <c r="AF6425" s="498"/>
      <c r="AG6425" s="498"/>
      <c r="AH6425" s="498"/>
      <c r="AI6425" s="498"/>
      <c r="AK6425" s="498"/>
      <c r="AL6425" s="498"/>
      <c r="AM6425" s="498"/>
      <c r="AN6425" s="498"/>
      <c r="AO6425" s="498"/>
      <c r="AP6425" s="498"/>
      <c r="AQ6425" s="498"/>
      <c r="AR6425" s="498"/>
      <c r="AS6425" s="498"/>
      <c r="AT6425" s="498"/>
      <c r="AU6425" s="498"/>
      <c r="AV6425" s="498"/>
      <c r="AW6425" s="498"/>
      <c r="AX6425" s="498"/>
      <c r="AY6425" s="498"/>
      <c r="AZ6425" s="498"/>
      <c r="BA6425" s="498"/>
    </row>
    <row r="6426" spans="1:53" s="499" customFormat="1" x14ac:dyDescent="0.25">
      <c r="A6426" s="500"/>
      <c r="B6426" s="501"/>
      <c r="C6426" s="502"/>
      <c r="D6426" s="497"/>
      <c r="E6426" s="497"/>
      <c r="F6426" s="502"/>
      <c r="G6426" s="497"/>
      <c r="H6426" s="497"/>
      <c r="I6426" s="497"/>
      <c r="J6426" s="497"/>
      <c r="K6426" s="500"/>
      <c r="L6426" s="497"/>
      <c r="M6426"/>
      <c r="N6426" s="498"/>
      <c r="O6426" s="498"/>
      <c r="P6426" s="498"/>
      <c r="Q6426" s="498"/>
      <c r="R6426" s="498"/>
      <c r="T6426" s="498"/>
      <c r="U6426" s="498"/>
      <c r="V6426" s="498"/>
      <c r="W6426" s="498"/>
      <c r="X6426" s="498"/>
      <c r="Y6426" s="498"/>
      <c r="Z6426" s="498"/>
      <c r="AA6426" s="498"/>
      <c r="AB6426" s="498"/>
      <c r="AC6426" s="498"/>
      <c r="AD6426" s="498"/>
      <c r="AE6426" s="498"/>
      <c r="AF6426" s="498"/>
      <c r="AG6426" s="498"/>
      <c r="AH6426" s="498"/>
      <c r="AI6426" s="498"/>
      <c r="AK6426" s="498"/>
      <c r="AL6426" s="498"/>
      <c r="AM6426" s="498"/>
      <c r="AN6426" s="498"/>
      <c r="AO6426" s="498"/>
      <c r="AP6426" s="498"/>
      <c r="AQ6426" s="498"/>
      <c r="AR6426" s="498"/>
      <c r="AS6426" s="498"/>
      <c r="AT6426" s="498"/>
      <c r="AU6426" s="498"/>
      <c r="AV6426" s="498"/>
      <c r="AW6426" s="498"/>
      <c r="AX6426" s="498"/>
      <c r="AY6426" s="498"/>
      <c r="AZ6426" s="498"/>
      <c r="BA6426" s="498"/>
    </row>
    <row r="6427" spans="1:53" s="499" customFormat="1" x14ac:dyDescent="0.25">
      <c r="A6427" s="500"/>
      <c r="B6427" s="501"/>
      <c r="C6427" s="502"/>
      <c r="D6427" s="497"/>
      <c r="E6427" s="497"/>
      <c r="F6427" s="502"/>
      <c r="G6427" s="497"/>
      <c r="H6427" s="497"/>
      <c r="I6427" s="497"/>
      <c r="J6427" s="497"/>
      <c r="K6427" s="500"/>
      <c r="L6427" s="497"/>
      <c r="M6427"/>
      <c r="N6427" s="498"/>
      <c r="O6427" s="498"/>
      <c r="P6427" s="498"/>
      <c r="Q6427" s="498"/>
      <c r="R6427" s="498"/>
      <c r="T6427" s="498"/>
      <c r="U6427" s="498"/>
      <c r="V6427" s="498"/>
      <c r="W6427" s="498"/>
      <c r="X6427" s="498"/>
      <c r="Y6427" s="498"/>
      <c r="Z6427" s="498"/>
      <c r="AA6427" s="498"/>
      <c r="AB6427" s="498"/>
      <c r="AC6427" s="498"/>
      <c r="AD6427" s="498"/>
      <c r="AE6427" s="498"/>
      <c r="AF6427" s="498"/>
      <c r="AG6427" s="498"/>
      <c r="AH6427" s="498"/>
      <c r="AI6427" s="498"/>
      <c r="AK6427" s="498"/>
      <c r="AL6427" s="498"/>
      <c r="AM6427" s="498"/>
      <c r="AN6427" s="498"/>
      <c r="AO6427" s="498"/>
      <c r="AP6427" s="498"/>
      <c r="AQ6427" s="498"/>
      <c r="AR6427" s="498"/>
      <c r="AS6427" s="498"/>
      <c r="AT6427" s="498"/>
      <c r="AU6427" s="498"/>
      <c r="AV6427" s="498"/>
      <c r="AW6427" s="498"/>
      <c r="AX6427" s="498"/>
      <c r="AY6427" s="498"/>
      <c r="AZ6427" s="498"/>
      <c r="BA6427" s="498"/>
    </row>
    <row r="6428" spans="1:53" s="499" customFormat="1" x14ac:dyDescent="0.25">
      <c r="A6428" s="500"/>
      <c r="B6428" s="501"/>
      <c r="C6428" s="502"/>
      <c r="D6428" s="497"/>
      <c r="E6428" s="497"/>
      <c r="F6428" s="502"/>
      <c r="G6428" s="497"/>
      <c r="H6428" s="497"/>
      <c r="I6428" s="497"/>
      <c r="J6428" s="497"/>
      <c r="K6428" s="500"/>
      <c r="L6428" s="497"/>
      <c r="M6428"/>
      <c r="N6428" s="498"/>
      <c r="O6428" s="498"/>
      <c r="P6428" s="498"/>
      <c r="Q6428" s="498"/>
      <c r="R6428" s="498"/>
      <c r="T6428" s="498"/>
      <c r="U6428" s="498"/>
      <c r="V6428" s="498"/>
      <c r="W6428" s="498"/>
      <c r="X6428" s="498"/>
      <c r="Y6428" s="498"/>
      <c r="Z6428" s="498"/>
      <c r="AA6428" s="498"/>
      <c r="AB6428" s="498"/>
      <c r="AC6428" s="498"/>
      <c r="AD6428" s="498"/>
      <c r="AE6428" s="498"/>
      <c r="AF6428" s="498"/>
      <c r="AG6428" s="498"/>
      <c r="AH6428" s="498"/>
      <c r="AI6428" s="498"/>
      <c r="AK6428" s="498"/>
      <c r="AL6428" s="498"/>
      <c r="AM6428" s="498"/>
      <c r="AN6428" s="498"/>
      <c r="AO6428" s="498"/>
      <c r="AP6428" s="498"/>
      <c r="AQ6428" s="498"/>
      <c r="AR6428" s="498"/>
      <c r="AS6428" s="498"/>
      <c r="AT6428" s="498"/>
      <c r="AU6428" s="498"/>
      <c r="AV6428" s="498"/>
      <c r="AW6428" s="498"/>
      <c r="AX6428" s="498"/>
      <c r="AY6428" s="498"/>
      <c r="AZ6428" s="498"/>
      <c r="BA6428" s="498"/>
    </row>
    <row r="6429" spans="1:53" s="499" customFormat="1" x14ac:dyDescent="0.25">
      <c r="A6429" s="500"/>
      <c r="B6429" s="501"/>
      <c r="C6429" s="502"/>
      <c r="D6429" s="497"/>
      <c r="E6429" s="497"/>
      <c r="F6429" s="502"/>
      <c r="G6429" s="497"/>
      <c r="H6429" s="497"/>
      <c r="I6429" s="497"/>
      <c r="J6429" s="497"/>
      <c r="K6429" s="500"/>
      <c r="L6429" s="497"/>
      <c r="M6429"/>
      <c r="N6429" s="498"/>
      <c r="O6429" s="498"/>
      <c r="P6429" s="498"/>
      <c r="Q6429" s="498"/>
      <c r="R6429" s="498"/>
      <c r="T6429" s="498"/>
      <c r="U6429" s="498"/>
      <c r="V6429" s="498"/>
      <c r="W6429" s="498"/>
      <c r="X6429" s="498"/>
      <c r="Y6429" s="498"/>
      <c r="Z6429" s="498"/>
      <c r="AA6429" s="498"/>
      <c r="AB6429" s="498"/>
      <c r="AC6429" s="498"/>
      <c r="AD6429" s="498"/>
      <c r="AE6429" s="498"/>
      <c r="AF6429" s="498"/>
      <c r="AG6429" s="498"/>
      <c r="AH6429" s="498"/>
      <c r="AI6429" s="498"/>
      <c r="AK6429" s="498"/>
      <c r="AL6429" s="498"/>
      <c r="AM6429" s="498"/>
      <c r="AN6429" s="498"/>
      <c r="AO6429" s="498"/>
      <c r="AP6429" s="498"/>
      <c r="AQ6429" s="498"/>
      <c r="AR6429" s="498"/>
      <c r="AS6429" s="498"/>
      <c r="AT6429" s="498"/>
      <c r="AU6429" s="498"/>
      <c r="AV6429" s="498"/>
      <c r="AW6429" s="498"/>
      <c r="AX6429" s="498"/>
      <c r="AY6429" s="498"/>
      <c r="AZ6429" s="498"/>
      <c r="BA6429" s="498"/>
    </row>
    <row r="6430" spans="1:53" s="499" customFormat="1" x14ac:dyDescent="0.25">
      <c r="A6430" s="500"/>
      <c r="B6430" s="501"/>
      <c r="C6430" s="502"/>
      <c r="D6430" s="497"/>
      <c r="E6430" s="497"/>
      <c r="F6430" s="502"/>
      <c r="G6430" s="497"/>
      <c r="H6430" s="497"/>
      <c r="I6430" s="497"/>
      <c r="J6430" s="497"/>
      <c r="K6430" s="500"/>
      <c r="L6430" s="497"/>
      <c r="M6430"/>
      <c r="N6430" s="498"/>
      <c r="O6430" s="498"/>
      <c r="P6430" s="498"/>
      <c r="Q6430" s="498"/>
      <c r="R6430" s="498"/>
      <c r="T6430" s="498"/>
      <c r="U6430" s="498"/>
      <c r="V6430" s="498"/>
      <c r="W6430" s="498"/>
      <c r="X6430" s="498"/>
      <c r="Y6430" s="498"/>
      <c r="Z6430" s="498"/>
      <c r="AA6430" s="498"/>
      <c r="AB6430" s="498"/>
      <c r="AC6430" s="498"/>
      <c r="AD6430" s="498"/>
      <c r="AE6430" s="498"/>
      <c r="AF6430" s="498"/>
      <c r="AG6430" s="498"/>
      <c r="AH6430" s="498"/>
      <c r="AI6430" s="498"/>
      <c r="AK6430" s="498"/>
      <c r="AL6430" s="498"/>
      <c r="AM6430" s="498"/>
      <c r="AN6430" s="498"/>
      <c r="AO6430" s="498"/>
      <c r="AP6430" s="498"/>
      <c r="AQ6430" s="498"/>
      <c r="AR6430" s="498"/>
      <c r="AS6430" s="498"/>
      <c r="AT6430" s="498"/>
      <c r="AU6430" s="498"/>
      <c r="AV6430" s="498"/>
      <c r="AW6430" s="498"/>
      <c r="AX6430" s="498"/>
      <c r="AY6430" s="498"/>
      <c r="AZ6430" s="498"/>
      <c r="BA6430" s="498"/>
    </row>
    <row r="6431" spans="1:53" s="499" customFormat="1" x14ac:dyDescent="0.25">
      <c r="A6431" s="500"/>
      <c r="B6431" s="501"/>
      <c r="C6431" s="502"/>
      <c r="D6431" s="497"/>
      <c r="E6431" s="497"/>
      <c r="F6431" s="502"/>
      <c r="G6431" s="497"/>
      <c r="H6431" s="497"/>
      <c r="I6431" s="497"/>
      <c r="J6431" s="497"/>
      <c r="K6431" s="500"/>
      <c r="L6431" s="497"/>
      <c r="M6431"/>
      <c r="N6431" s="498"/>
      <c r="O6431" s="498"/>
      <c r="P6431" s="498"/>
      <c r="Q6431" s="498"/>
      <c r="R6431" s="498"/>
      <c r="T6431" s="498"/>
      <c r="U6431" s="498"/>
      <c r="V6431" s="498"/>
      <c r="W6431" s="498"/>
      <c r="X6431" s="498"/>
      <c r="Y6431" s="498"/>
      <c r="Z6431" s="498"/>
      <c r="AA6431" s="498"/>
      <c r="AB6431" s="498"/>
      <c r="AC6431" s="498"/>
      <c r="AD6431" s="498"/>
      <c r="AE6431" s="498"/>
      <c r="AF6431" s="498"/>
      <c r="AG6431" s="498"/>
      <c r="AH6431" s="498"/>
      <c r="AI6431" s="498"/>
      <c r="AK6431" s="498"/>
      <c r="AL6431" s="498"/>
      <c r="AM6431" s="498"/>
      <c r="AN6431" s="498"/>
      <c r="AO6431" s="498"/>
      <c r="AP6431" s="498"/>
      <c r="AQ6431" s="498"/>
      <c r="AR6431" s="498"/>
      <c r="AS6431" s="498"/>
      <c r="AT6431" s="498"/>
      <c r="AU6431" s="498"/>
      <c r="AV6431" s="498"/>
      <c r="AW6431" s="498"/>
      <c r="AX6431" s="498"/>
      <c r="AY6431" s="498"/>
      <c r="AZ6431" s="498"/>
      <c r="BA6431" s="498"/>
    </row>
    <row r="6432" spans="1:53" s="499" customFormat="1" x14ac:dyDescent="0.25">
      <c r="A6432" s="500"/>
      <c r="B6432" s="501"/>
      <c r="C6432" s="502"/>
      <c r="D6432" s="497"/>
      <c r="E6432" s="497"/>
      <c r="F6432" s="502"/>
      <c r="G6432" s="497"/>
      <c r="H6432" s="497"/>
      <c r="I6432" s="497"/>
      <c r="J6432" s="497"/>
      <c r="K6432" s="500"/>
      <c r="L6432" s="497"/>
      <c r="M6432"/>
      <c r="N6432" s="498"/>
      <c r="O6432" s="498"/>
      <c r="P6432" s="498"/>
      <c r="Q6432" s="498"/>
      <c r="R6432" s="498"/>
      <c r="T6432" s="498"/>
      <c r="U6432" s="498"/>
      <c r="V6432" s="498"/>
      <c r="W6432" s="498"/>
      <c r="X6432" s="498"/>
      <c r="Y6432" s="498"/>
      <c r="Z6432" s="498"/>
      <c r="AA6432" s="498"/>
      <c r="AB6432" s="498"/>
      <c r="AC6432" s="498"/>
      <c r="AD6432" s="498"/>
      <c r="AE6432" s="498"/>
      <c r="AF6432" s="498"/>
      <c r="AG6432" s="498"/>
      <c r="AH6432" s="498"/>
      <c r="AI6432" s="498"/>
      <c r="AK6432" s="498"/>
      <c r="AL6432" s="498"/>
      <c r="AM6432" s="498"/>
      <c r="AN6432" s="498"/>
      <c r="AO6432" s="498"/>
      <c r="AP6432" s="498"/>
      <c r="AQ6432" s="498"/>
      <c r="AR6432" s="498"/>
      <c r="AS6432" s="498"/>
      <c r="AT6432" s="498"/>
      <c r="AU6432" s="498"/>
      <c r="AV6432" s="498"/>
      <c r="AW6432" s="498"/>
      <c r="AX6432" s="498"/>
      <c r="AY6432" s="498"/>
      <c r="AZ6432" s="498"/>
      <c r="BA6432" s="498"/>
    </row>
    <row r="6433" spans="1:53" s="499" customFormat="1" x14ac:dyDescent="0.25">
      <c r="A6433" s="500"/>
      <c r="B6433" s="501"/>
      <c r="C6433" s="502"/>
      <c r="D6433" s="497"/>
      <c r="E6433" s="497"/>
      <c r="F6433" s="502"/>
      <c r="G6433" s="497"/>
      <c r="H6433" s="497"/>
      <c r="I6433" s="497"/>
      <c r="J6433" s="497"/>
      <c r="K6433" s="500"/>
      <c r="L6433" s="497"/>
      <c r="M6433"/>
      <c r="N6433" s="498"/>
      <c r="O6433" s="498"/>
      <c r="P6433" s="498"/>
      <c r="Q6433" s="498"/>
      <c r="R6433" s="498"/>
      <c r="T6433" s="498"/>
      <c r="U6433" s="498"/>
      <c r="V6433" s="498"/>
      <c r="W6433" s="498"/>
      <c r="X6433" s="498"/>
      <c r="Y6433" s="498"/>
      <c r="Z6433" s="498"/>
      <c r="AA6433" s="498"/>
      <c r="AB6433" s="498"/>
      <c r="AC6433" s="498"/>
      <c r="AD6433" s="498"/>
      <c r="AE6433" s="498"/>
      <c r="AF6433" s="498"/>
      <c r="AG6433" s="498"/>
      <c r="AH6433" s="498"/>
      <c r="AI6433" s="498"/>
      <c r="AK6433" s="498"/>
      <c r="AL6433" s="498"/>
      <c r="AM6433" s="498"/>
      <c r="AN6433" s="498"/>
      <c r="AO6433" s="498"/>
      <c r="AP6433" s="498"/>
      <c r="AQ6433" s="498"/>
      <c r="AR6433" s="498"/>
      <c r="AS6433" s="498"/>
      <c r="AT6433" s="498"/>
      <c r="AU6433" s="498"/>
      <c r="AV6433" s="498"/>
      <c r="AW6433" s="498"/>
      <c r="AX6433" s="498"/>
      <c r="AY6433" s="498"/>
      <c r="AZ6433" s="498"/>
      <c r="BA6433" s="498"/>
    </row>
    <row r="6434" spans="1:53" s="499" customFormat="1" x14ac:dyDescent="0.25">
      <c r="A6434" s="500"/>
      <c r="B6434" s="501"/>
      <c r="C6434" s="502"/>
      <c r="D6434" s="497"/>
      <c r="E6434" s="497"/>
      <c r="F6434" s="502"/>
      <c r="G6434" s="497"/>
      <c r="H6434" s="497"/>
      <c r="I6434" s="497"/>
      <c r="J6434" s="497"/>
      <c r="K6434" s="500"/>
      <c r="L6434" s="497"/>
      <c r="M6434"/>
      <c r="N6434" s="498"/>
      <c r="O6434" s="498"/>
      <c r="P6434" s="498"/>
      <c r="Q6434" s="498"/>
      <c r="R6434" s="498"/>
      <c r="T6434" s="498"/>
      <c r="U6434" s="498"/>
      <c r="V6434" s="498"/>
      <c r="W6434" s="498"/>
      <c r="X6434" s="498"/>
      <c r="Y6434" s="498"/>
      <c r="Z6434" s="498"/>
      <c r="AA6434" s="498"/>
      <c r="AB6434" s="498"/>
      <c r="AC6434" s="498"/>
      <c r="AD6434" s="498"/>
      <c r="AE6434" s="498"/>
      <c r="AF6434" s="498"/>
      <c r="AG6434" s="498"/>
      <c r="AH6434" s="498"/>
      <c r="AI6434" s="498"/>
      <c r="AK6434" s="498"/>
      <c r="AL6434" s="498"/>
      <c r="AM6434" s="498"/>
      <c r="AN6434" s="498"/>
      <c r="AO6434" s="498"/>
      <c r="AP6434" s="498"/>
      <c r="AQ6434" s="498"/>
      <c r="AR6434" s="498"/>
      <c r="AS6434" s="498"/>
      <c r="AT6434" s="498"/>
      <c r="AU6434" s="498"/>
      <c r="AV6434" s="498"/>
      <c r="AW6434" s="498"/>
      <c r="AX6434" s="498"/>
      <c r="AY6434" s="498"/>
      <c r="AZ6434" s="498"/>
      <c r="BA6434" s="498"/>
    </row>
    <row r="6435" spans="1:53" s="499" customFormat="1" x14ac:dyDescent="0.25">
      <c r="A6435" s="500"/>
      <c r="B6435" s="501"/>
      <c r="C6435" s="502"/>
      <c r="D6435" s="497"/>
      <c r="E6435" s="497"/>
      <c r="F6435" s="502"/>
      <c r="G6435" s="497"/>
      <c r="H6435" s="497"/>
      <c r="I6435" s="497"/>
      <c r="J6435" s="497"/>
      <c r="K6435" s="500"/>
      <c r="L6435" s="497"/>
      <c r="M6435"/>
      <c r="N6435" s="498"/>
      <c r="O6435" s="498"/>
      <c r="P6435" s="498"/>
      <c r="Q6435" s="498"/>
      <c r="R6435" s="498"/>
      <c r="T6435" s="498"/>
      <c r="U6435" s="498"/>
      <c r="V6435" s="498"/>
      <c r="W6435" s="498"/>
      <c r="X6435" s="498"/>
      <c r="Y6435" s="498"/>
      <c r="Z6435" s="498"/>
      <c r="AA6435" s="498"/>
      <c r="AB6435" s="498"/>
      <c r="AC6435" s="498"/>
      <c r="AD6435" s="498"/>
      <c r="AE6435" s="498"/>
      <c r="AF6435" s="498"/>
      <c r="AG6435" s="498"/>
      <c r="AH6435" s="498"/>
      <c r="AI6435" s="498"/>
      <c r="AK6435" s="498"/>
      <c r="AL6435" s="498"/>
      <c r="AM6435" s="498"/>
      <c r="AN6435" s="498"/>
      <c r="AO6435" s="498"/>
      <c r="AP6435" s="498"/>
      <c r="AQ6435" s="498"/>
      <c r="AR6435" s="498"/>
      <c r="AS6435" s="498"/>
      <c r="AT6435" s="498"/>
      <c r="AU6435" s="498"/>
      <c r="AV6435" s="498"/>
      <c r="AW6435" s="498"/>
      <c r="AX6435" s="498"/>
      <c r="AY6435" s="498"/>
      <c r="AZ6435" s="498"/>
      <c r="BA6435" s="498"/>
    </row>
    <row r="6436" spans="1:53" s="499" customFormat="1" x14ac:dyDescent="0.25">
      <c r="A6436" s="500"/>
      <c r="B6436" s="501"/>
      <c r="C6436" s="502"/>
      <c r="D6436" s="497"/>
      <c r="E6436" s="497"/>
      <c r="F6436" s="502"/>
      <c r="G6436" s="497"/>
      <c r="H6436" s="497"/>
      <c r="I6436" s="497"/>
      <c r="J6436" s="497"/>
      <c r="K6436" s="500"/>
      <c r="L6436" s="497"/>
      <c r="M6436"/>
      <c r="N6436" s="498"/>
      <c r="O6436" s="498"/>
      <c r="P6436" s="498"/>
      <c r="Q6436" s="498"/>
      <c r="R6436" s="498"/>
      <c r="T6436" s="498"/>
      <c r="U6436" s="498"/>
      <c r="V6436" s="498"/>
      <c r="W6436" s="498"/>
      <c r="X6436" s="498"/>
      <c r="Y6436" s="498"/>
      <c r="Z6436" s="498"/>
      <c r="AA6436" s="498"/>
      <c r="AB6436" s="498"/>
      <c r="AC6436" s="498"/>
      <c r="AD6436" s="498"/>
      <c r="AE6436" s="498"/>
      <c r="AF6436" s="498"/>
      <c r="AG6436" s="498"/>
      <c r="AH6436" s="498"/>
      <c r="AI6436" s="498"/>
      <c r="AK6436" s="498"/>
      <c r="AL6436" s="498"/>
      <c r="AM6436" s="498"/>
      <c r="AN6436" s="498"/>
      <c r="AO6436" s="498"/>
      <c r="AP6436" s="498"/>
      <c r="AQ6436" s="498"/>
      <c r="AR6436" s="498"/>
      <c r="AS6436" s="498"/>
      <c r="AT6436" s="498"/>
      <c r="AU6436" s="498"/>
      <c r="AV6436" s="498"/>
      <c r="AW6436" s="498"/>
      <c r="AX6436" s="498"/>
      <c r="AY6436" s="498"/>
      <c r="AZ6436" s="498"/>
      <c r="BA6436" s="498"/>
    </row>
    <row r="6437" spans="1:53" s="499" customFormat="1" x14ac:dyDescent="0.25">
      <c r="A6437" s="500"/>
      <c r="B6437" s="501"/>
      <c r="C6437" s="502"/>
      <c r="D6437" s="497"/>
      <c r="E6437" s="497"/>
      <c r="F6437" s="502"/>
      <c r="G6437" s="497"/>
      <c r="H6437" s="497"/>
      <c r="I6437" s="497"/>
      <c r="J6437" s="497"/>
      <c r="K6437" s="500"/>
      <c r="L6437" s="497"/>
      <c r="M6437"/>
      <c r="N6437" s="498"/>
      <c r="O6437" s="498"/>
      <c r="P6437" s="498"/>
      <c r="Q6437" s="498"/>
      <c r="R6437" s="498"/>
      <c r="T6437" s="498"/>
      <c r="U6437" s="498"/>
      <c r="V6437" s="498"/>
      <c r="W6437" s="498"/>
      <c r="X6437" s="498"/>
      <c r="Y6437" s="498"/>
      <c r="Z6437" s="498"/>
      <c r="AA6437" s="498"/>
      <c r="AB6437" s="498"/>
      <c r="AC6437" s="498"/>
      <c r="AD6437" s="498"/>
      <c r="AE6437" s="498"/>
      <c r="AF6437" s="498"/>
      <c r="AG6437" s="498"/>
      <c r="AH6437" s="498"/>
      <c r="AI6437" s="498"/>
      <c r="AK6437" s="498"/>
      <c r="AL6437" s="498"/>
      <c r="AM6437" s="498"/>
      <c r="AN6437" s="498"/>
      <c r="AO6437" s="498"/>
      <c r="AP6437" s="498"/>
      <c r="AQ6437" s="498"/>
      <c r="AR6437" s="498"/>
      <c r="AS6437" s="498"/>
      <c r="AT6437" s="498"/>
      <c r="AU6437" s="498"/>
      <c r="AV6437" s="498"/>
      <c r="AW6437" s="498"/>
      <c r="AX6437" s="498"/>
      <c r="AY6437" s="498"/>
      <c r="AZ6437" s="498"/>
      <c r="BA6437" s="498"/>
    </row>
    <row r="6438" spans="1:53" s="499" customFormat="1" x14ac:dyDescent="0.25">
      <c r="A6438" s="500"/>
      <c r="B6438" s="501"/>
      <c r="C6438" s="502"/>
      <c r="D6438" s="497"/>
      <c r="E6438" s="497"/>
      <c r="F6438" s="502"/>
      <c r="G6438" s="497"/>
      <c r="H6438" s="497"/>
      <c r="I6438" s="497"/>
      <c r="J6438" s="497"/>
      <c r="K6438" s="500"/>
      <c r="L6438" s="497"/>
      <c r="M6438"/>
      <c r="N6438" s="498"/>
      <c r="O6438" s="498"/>
      <c r="P6438" s="498"/>
      <c r="Q6438" s="498"/>
      <c r="R6438" s="498"/>
      <c r="T6438" s="498"/>
      <c r="U6438" s="498"/>
      <c r="V6438" s="498"/>
      <c r="W6438" s="498"/>
      <c r="X6438" s="498"/>
      <c r="Y6438" s="498"/>
      <c r="Z6438" s="498"/>
      <c r="AA6438" s="498"/>
      <c r="AB6438" s="498"/>
      <c r="AC6438" s="498"/>
      <c r="AD6438" s="498"/>
      <c r="AE6438" s="498"/>
      <c r="AF6438" s="498"/>
      <c r="AG6438" s="498"/>
      <c r="AH6438" s="498"/>
      <c r="AI6438" s="498"/>
      <c r="AK6438" s="498"/>
      <c r="AL6438" s="498"/>
      <c r="AM6438" s="498"/>
      <c r="AN6438" s="498"/>
      <c r="AO6438" s="498"/>
      <c r="AP6438" s="498"/>
      <c r="AQ6438" s="498"/>
      <c r="AR6438" s="498"/>
      <c r="AS6438" s="498"/>
      <c r="AT6438" s="498"/>
      <c r="AU6438" s="498"/>
      <c r="AV6438" s="498"/>
      <c r="AW6438" s="498"/>
      <c r="AX6438" s="498"/>
      <c r="AY6438" s="498"/>
      <c r="AZ6438" s="498"/>
      <c r="BA6438" s="498"/>
    </row>
    <row r="6439" spans="1:53" s="499" customFormat="1" x14ac:dyDescent="0.25">
      <c r="A6439" s="500"/>
      <c r="B6439" s="501"/>
      <c r="C6439" s="502"/>
      <c r="D6439" s="497"/>
      <c r="E6439" s="497"/>
      <c r="F6439" s="502"/>
      <c r="G6439" s="497"/>
      <c r="H6439" s="497"/>
      <c r="I6439" s="497"/>
      <c r="J6439" s="497"/>
      <c r="K6439" s="500"/>
      <c r="L6439" s="497"/>
      <c r="M6439"/>
      <c r="N6439" s="498"/>
      <c r="O6439" s="498"/>
      <c r="P6439" s="498"/>
      <c r="Q6439" s="498"/>
      <c r="R6439" s="498"/>
      <c r="T6439" s="498"/>
      <c r="U6439" s="498"/>
      <c r="V6439" s="498"/>
      <c r="W6439" s="498"/>
      <c r="X6439" s="498"/>
      <c r="Y6439" s="498"/>
      <c r="Z6439" s="498"/>
      <c r="AA6439" s="498"/>
      <c r="AB6439" s="498"/>
      <c r="AC6439" s="498"/>
      <c r="AD6439" s="498"/>
      <c r="AE6439" s="498"/>
      <c r="AF6439" s="498"/>
      <c r="AG6439" s="498"/>
      <c r="AH6439" s="498"/>
      <c r="AI6439" s="498"/>
      <c r="AK6439" s="498"/>
      <c r="AL6439" s="498"/>
      <c r="AM6439" s="498"/>
      <c r="AN6439" s="498"/>
      <c r="AO6439" s="498"/>
      <c r="AP6439" s="498"/>
      <c r="AQ6439" s="498"/>
      <c r="AR6439" s="498"/>
      <c r="AS6439" s="498"/>
      <c r="AT6439" s="498"/>
      <c r="AU6439" s="498"/>
      <c r="AV6439" s="498"/>
      <c r="AW6439" s="498"/>
      <c r="AX6439" s="498"/>
      <c r="AY6439" s="498"/>
      <c r="AZ6439" s="498"/>
      <c r="BA6439" s="498"/>
    </row>
    <row r="6440" spans="1:53" s="499" customFormat="1" x14ac:dyDescent="0.25">
      <c r="A6440" s="500"/>
      <c r="B6440" s="501"/>
      <c r="C6440" s="502"/>
      <c r="D6440" s="497"/>
      <c r="E6440" s="497"/>
      <c r="F6440" s="502"/>
      <c r="G6440" s="497"/>
      <c r="H6440" s="497"/>
      <c r="I6440" s="497"/>
      <c r="J6440" s="497"/>
      <c r="K6440" s="500"/>
      <c r="L6440" s="497"/>
      <c r="M6440"/>
      <c r="N6440" s="498"/>
      <c r="O6440" s="498"/>
      <c r="P6440" s="498"/>
      <c r="Q6440" s="498"/>
      <c r="R6440" s="498"/>
      <c r="T6440" s="498"/>
      <c r="U6440" s="498"/>
      <c r="V6440" s="498"/>
      <c r="W6440" s="498"/>
      <c r="X6440" s="498"/>
      <c r="Y6440" s="498"/>
      <c r="Z6440" s="498"/>
      <c r="AA6440" s="498"/>
      <c r="AB6440" s="498"/>
      <c r="AC6440" s="498"/>
      <c r="AD6440" s="498"/>
      <c r="AE6440" s="498"/>
      <c r="AF6440" s="498"/>
      <c r="AG6440" s="498"/>
      <c r="AH6440" s="498"/>
      <c r="AI6440" s="498"/>
      <c r="AK6440" s="498"/>
      <c r="AL6440" s="498"/>
      <c r="AM6440" s="498"/>
      <c r="AN6440" s="498"/>
      <c r="AO6440" s="498"/>
      <c r="AP6440" s="498"/>
      <c r="AQ6440" s="498"/>
      <c r="AR6440" s="498"/>
      <c r="AS6440" s="498"/>
      <c r="AT6440" s="498"/>
      <c r="AU6440" s="498"/>
      <c r="AV6440" s="498"/>
      <c r="AW6440" s="498"/>
      <c r="AX6440" s="498"/>
      <c r="AY6440" s="498"/>
      <c r="AZ6440" s="498"/>
      <c r="BA6440" s="498"/>
    </row>
    <row r="6441" spans="1:53" s="499" customFormat="1" x14ac:dyDescent="0.25">
      <c r="A6441" s="500"/>
      <c r="B6441" s="501"/>
      <c r="C6441" s="502"/>
      <c r="D6441" s="497"/>
      <c r="E6441" s="497"/>
      <c r="F6441" s="502"/>
      <c r="G6441" s="497"/>
      <c r="H6441" s="497"/>
      <c r="I6441" s="497"/>
      <c r="J6441" s="497"/>
      <c r="K6441" s="500"/>
      <c r="L6441" s="497"/>
      <c r="M6441"/>
      <c r="N6441" s="498"/>
      <c r="O6441" s="498"/>
      <c r="P6441" s="498"/>
      <c r="Q6441" s="498"/>
      <c r="R6441" s="498"/>
      <c r="T6441" s="498"/>
      <c r="U6441" s="498"/>
      <c r="V6441" s="498"/>
      <c r="W6441" s="498"/>
      <c r="X6441" s="498"/>
      <c r="Y6441" s="498"/>
      <c r="Z6441" s="498"/>
      <c r="AA6441" s="498"/>
      <c r="AB6441" s="498"/>
      <c r="AC6441" s="498"/>
      <c r="AD6441" s="498"/>
      <c r="AE6441" s="498"/>
      <c r="AF6441" s="498"/>
      <c r="AG6441" s="498"/>
      <c r="AH6441" s="498"/>
      <c r="AI6441" s="498"/>
      <c r="AK6441" s="498"/>
      <c r="AL6441" s="498"/>
      <c r="AM6441" s="498"/>
      <c r="AN6441" s="498"/>
      <c r="AO6441" s="498"/>
      <c r="AP6441" s="498"/>
      <c r="AQ6441" s="498"/>
      <c r="AR6441" s="498"/>
      <c r="AS6441" s="498"/>
      <c r="AT6441" s="498"/>
      <c r="AU6441" s="498"/>
      <c r="AV6441" s="498"/>
      <c r="AW6441" s="498"/>
      <c r="AX6441" s="498"/>
      <c r="AY6441" s="498"/>
      <c r="AZ6441" s="498"/>
      <c r="BA6441" s="498"/>
    </row>
    <row r="6442" spans="1:53" s="499" customFormat="1" x14ac:dyDescent="0.25">
      <c r="A6442" s="500"/>
      <c r="B6442" s="501"/>
      <c r="C6442" s="502"/>
      <c r="D6442" s="497"/>
      <c r="E6442" s="497"/>
      <c r="F6442" s="502"/>
      <c r="G6442" s="497"/>
      <c r="H6442" s="497"/>
      <c r="I6442" s="497"/>
      <c r="J6442" s="497"/>
      <c r="K6442" s="500"/>
      <c r="L6442" s="497"/>
      <c r="M6442"/>
      <c r="N6442" s="498"/>
      <c r="O6442" s="498"/>
      <c r="P6442" s="498"/>
      <c r="Q6442" s="498"/>
      <c r="R6442" s="498"/>
      <c r="T6442" s="498"/>
      <c r="U6442" s="498"/>
      <c r="V6442" s="498"/>
      <c r="W6442" s="498"/>
      <c r="X6442" s="498"/>
      <c r="Y6442" s="498"/>
      <c r="Z6442" s="498"/>
      <c r="AA6442" s="498"/>
      <c r="AB6442" s="498"/>
      <c r="AC6442" s="498"/>
      <c r="AD6442" s="498"/>
      <c r="AE6442" s="498"/>
      <c r="AF6442" s="498"/>
      <c r="AG6442" s="498"/>
      <c r="AH6442" s="498"/>
      <c r="AI6442" s="498"/>
      <c r="AK6442" s="498"/>
      <c r="AL6442" s="498"/>
      <c r="AM6442" s="498"/>
      <c r="AN6442" s="498"/>
      <c r="AO6442" s="498"/>
      <c r="AP6442" s="498"/>
      <c r="AQ6442" s="498"/>
      <c r="AR6442" s="498"/>
      <c r="AS6442" s="498"/>
      <c r="AT6442" s="498"/>
      <c r="AU6442" s="498"/>
      <c r="AV6442" s="498"/>
      <c r="AW6442" s="498"/>
      <c r="AX6442" s="498"/>
      <c r="AY6442" s="498"/>
      <c r="AZ6442" s="498"/>
      <c r="BA6442" s="498"/>
    </row>
    <row r="6443" spans="1:53" s="499" customFormat="1" x14ac:dyDescent="0.25">
      <c r="A6443" s="500"/>
      <c r="B6443" s="501"/>
      <c r="C6443" s="502"/>
      <c r="D6443" s="497"/>
      <c r="E6443" s="497"/>
      <c r="F6443" s="502"/>
      <c r="G6443" s="497"/>
      <c r="H6443" s="497"/>
      <c r="I6443" s="497"/>
      <c r="J6443" s="497"/>
      <c r="K6443" s="500"/>
      <c r="L6443" s="497"/>
      <c r="M6443"/>
      <c r="N6443" s="498"/>
      <c r="O6443" s="498"/>
      <c r="P6443" s="498"/>
      <c r="Q6443" s="498"/>
      <c r="R6443" s="498"/>
      <c r="T6443" s="498"/>
      <c r="U6443" s="498"/>
      <c r="V6443" s="498"/>
      <c r="W6443" s="498"/>
      <c r="X6443" s="498"/>
      <c r="Y6443" s="498"/>
      <c r="Z6443" s="498"/>
      <c r="AA6443" s="498"/>
      <c r="AB6443" s="498"/>
      <c r="AC6443" s="498"/>
      <c r="AD6443" s="498"/>
      <c r="AE6443" s="498"/>
      <c r="AF6443" s="498"/>
      <c r="AG6443" s="498"/>
      <c r="AH6443" s="498"/>
      <c r="AI6443" s="498"/>
      <c r="AK6443" s="498"/>
      <c r="AL6443" s="498"/>
      <c r="AM6443" s="498"/>
      <c r="AN6443" s="498"/>
      <c r="AO6443" s="498"/>
      <c r="AP6443" s="498"/>
      <c r="AQ6443" s="498"/>
      <c r="AR6443" s="498"/>
      <c r="AS6443" s="498"/>
      <c r="AT6443" s="498"/>
      <c r="AU6443" s="498"/>
      <c r="AV6443" s="498"/>
      <c r="AW6443" s="498"/>
      <c r="AX6443" s="498"/>
      <c r="AY6443" s="498"/>
      <c r="AZ6443" s="498"/>
      <c r="BA6443" s="498"/>
    </row>
    <row r="6444" spans="1:53" s="499" customFormat="1" x14ac:dyDescent="0.25">
      <c r="A6444" s="500"/>
      <c r="B6444" s="501"/>
      <c r="C6444" s="502"/>
      <c r="D6444" s="497"/>
      <c r="E6444" s="497"/>
      <c r="F6444" s="502"/>
      <c r="G6444" s="497"/>
      <c r="H6444" s="497"/>
      <c r="I6444" s="497"/>
      <c r="J6444" s="497"/>
      <c r="K6444" s="500"/>
      <c r="L6444" s="497"/>
      <c r="M6444"/>
      <c r="N6444" s="498"/>
      <c r="O6444" s="498"/>
      <c r="P6444" s="498"/>
      <c r="Q6444" s="498"/>
      <c r="R6444" s="498"/>
      <c r="T6444" s="498"/>
      <c r="U6444" s="498"/>
      <c r="V6444" s="498"/>
      <c r="W6444" s="498"/>
      <c r="X6444" s="498"/>
      <c r="Y6444" s="498"/>
      <c r="Z6444" s="498"/>
      <c r="AA6444" s="498"/>
      <c r="AB6444" s="498"/>
      <c r="AC6444" s="498"/>
      <c r="AD6444" s="498"/>
      <c r="AE6444" s="498"/>
      <c r="AF6444" s="498"/>
      <c r="AG6444" s="498"/>
      <c r="AH6444" s="498"/>
      <c r="AI6444" s="498"/>
      <c r="AK6444" s="498"/>
      <c r="AL6444" s="498"/>
      <c r="AM6444" s="498"/>
      <c r="AN6444" s="498"/>
      <c r="AO6444" s="498"/>
      <c r="AP6444" s="498"/>
      <c r="AQ6444" s="498"/>
      <c r="AR6444" s="498"/>
      <c r="AS6444" s="498"/>
      <c r="AT6444" s="498"/>
      <c r="AU6444" s="498"/>
      <c r="AV6444" s="498"/>
      <c r="AW6444" s="498"/>
      <c r="AX6444" s="498"/>
      <c r="AY6444" s="498"/>
      <c r="AZ6444" s="498"/>
      <c r="BA6444" s="498"/>
    </row>
    <row r="6445" spans="1:53" s="499" customFormat="1" x14ac:dyDescent="0.25">
      <c r="A6445" s="500"/>
      <c r="B6445" s="501"/>
      <c r="C6445" s="502"/>
      <c r="D6445" s="497"/>
      <c r="E6445" s="497"/>
      <c r="F6445" s="502"/>
      <c r="G6445" s="497"/>
      <c r="H6445" s="497"/>
      <c r="I6445" s="497"/>
      <c r="J6445" s="497"/>
      <c r="K6445" s="500"/>
      <c r="L6445" s="497"/>
      <c r="M6445"/>
      <c r="N6445" s="498"/>
      <c r="O6445" s="498"/>
      <c r="P6445" s="498"/>
      <c r="Q6445" s="498"/>
      <c r="R6445" s="498"/>
      <c r="T6445" s="498"/>
      <c r="U6445" s="498"/>
      <c r="V6445" s="498"/>
      <c r="W6445" s="498"/>
      <c r="X6445" s="498"/>
      <c r="Y6445" s="498"/>
      <c r="Z6445" s="498"/>
      <c r="AA6445" s="498"/>
      <c r="AB6445" s="498"/>
      <c r="AC6445" s="498"/>
      <c r="AD6445" s="498"/>
      <c r="AE6445" s="498"/>
      <c r="AF6445" s="498"/>
      <c r="AG6445" s="498"/>
      <c r="AH6445" s="498"/>
      <c r="AI6445" s="498"/>
      <c r="AK6445" s="498"/>
      <c r="AL6445" s="498"/>
      <c r="AM6445" s="498"/>
      <c r="AN6445" s="498"/>
      <c r="AO6445" s="498"/>
      <c r="AP6445" s="498"/>
      <c r="AQ6445" s="498"/>
      <c r="AR6445" s="498"/>
      <c r="AS6445" s="498"/>
      <c r="AT6445" s="498"/>
      <c r="AU6445" s="498"/>
      <c r="AV6445" s="498"/>
      <c r="AW6445" s="498"/>
      <c r="AX6445" s="498"/>
      <c r="AY6445" s="498"/>
      <c r="AZ6445" s="498"/>
      <c r="BA6445" s="498"/>
    </row>
    <row r="6446" spans="1:53" s="499" customFormat="1" x14ac:dyDescent="0.25">
      <c r="A6446" s="500"/>
      <c r="B6446" s="501"/>
      <c r="C6446" s="502"/>
      <c r="D6446" s="497"/>
      <c r="E6446" s="497"/>
      <c r="F6446" s="502"/>
      <c r="G6446" s="497"/>
      <c r="H6446" s="497"/>
      <c r="I6446" s="497"/>
      <c r="J6446" s="497"/>
      <c r="K6446" s="500"/>
      <c r="L6446" s="497"/>
      <c r="M6446"/>
      <c r="N6446" s="498"/>
      <c r="O6446" s="498"/>
      <c r="P6446" s="498"/>
      <c r="Q6446" s="498"/>
      <c r="R6446" s="498"/>
      <c r="T6446" s="498"/>
      <c r="U6446" s="498"/>
      <c r="V6446" s="498"/>
      <c r="W6446" s="498"/>
      <c r="X6446" s="498"/>
      <c r="Y6446" s="498"/>
      <c r="Z6446" s="498"/>
      <c r="AA6446" s="498"/>
      <c r="AB6446" s="498"/>
      <c r="AC6446" s="498"/>
      <c r="AD6446" s="498"/>
      <c r="AE6446" s="498"/>
      <c r="AF6446" s="498"/>
      <c r="AG6446" s="498"/>
      <c r="AH6446" s="498"/>
      <c r="AI6446" s="498"/>
      <c r="AK6446" s="498"/>
      <c r="AL6446" s="498"/>
      <c r="AM6446" s="498"/>
      <c r="AN6446" s="498"/>
      <c r="AO6446" s="498"/>
      <c r="AP6446" s="498"/>
      <c r="AQ6446" s="498"/>
      <c r="AR6446" s="498"/>
      <c r="AS6446" s="498"/>
      <c r="AT6446" s="498"/>
      <c r="AU6446" s="498"/>
      <c r="AV6446" s="498"/>
      <c r="AW6446" s="498"/>
      <c r="AX6446" s="498"/>
      <c r="AY6446" s="498"/>
      <c r="AZ6446" s="498"/>
      <c r="BA6446" s="498"/>
    </row>
    <row r="6447" spans="1:53" s="499" customFormat="1" x14ac:dyDescent="0.25">
      <c r="A6447" s="500"/>
      <c r="B6447" s="501"/>
      <c r="C6447" s="502"/>
      <c r="D6447" s="497"/>
      <c r="E6447" s="497"/>
      <c r="F6447" s="502"/>
      <c r="G6447" s="497"/>
      <c r="H6447" s="497"/>
      <c r="I6447" s="497"/>
      <c r="J6447" s="497"/>
      <c r="K6447" s="500"/>
      <c r="L6447" s="497"/>
      <c r="M6447"/>
      <c r="N6447" s="498"/>
      <c r="O6447" s="498"/>
      <c r="P6447" s="498"/>
      <c r="Q6447" s="498"/>
      <c r="R6447" s="498"/>
      <c r="T6447" s="498"/>
      <c r="U6447" s="498"/>
      <c r="V6447" s="498"/>
      <c r="W6447" s="498"/>
      <c r="X6447" s="498"/>
      <c r="Y6447" s="498"/>
      <c r="Z6447" s="498"/>
      <c r="AA6447" s="498"/>
      <c r="AB6447" s="498"/>
      <c r="AC6447" s="498"/>
      <c r="AD6447" s="498"/>
      <c r="AE6447" s="498"/>
      <c r="AF6447" s="498"/>
      <c r="AG6447" s="498"/>
      <c r="AH6447" s="498"/>
      <c r="AI6447" s="498"/>
      <c r="AK6447" s="498"/>
      <c r="AL6447" s="498"/>
      <c r="AM6447" s="498"/>
      <c r="AN6447" s="498"/>
      <c r="AO6447" s="498"/>
      <c r="AP6447" s="498"/>
      <c r="AQ6447" s="498"/>
      <c r="AR6447" s="498"/>
      <c r="AS6447" s="498"/>
      <c r="AT6447" s="498"/>
      <c r="AU6447" s="498"/>
      <c r="AV6447" s="498"/>
      <c r="AW6447" s="498"/>
      <c r="AX6447" s="498"/>
      <c r="AY6447" s="498"/>
      <c r="AZ6447" s="498"/>
      <c r="BA6447" s="498"/>
    </row>
    <row r="6448" spans="1:53" s="499" customFormat="1" x14ac:dyDescent="0.25">
      <c r="A6448" s="500"/>
      <c r="B6448" s="501"/>
      <c r="C6448" s="502"/>
      <c r="D6448" s="497"/>
      <c r="E6448" s="497"/>
      <c r="F6448" s="502"/>
      <c r="G6448" s="497"/>
      <c r="H6448" s="497"/>
      <c r="I6448" s="497"/>
      <c r="J6448" s="497"/>
      <c r="K6448" s="500"/>
      <c r="L6448" s="497"/>
      <c r="M6448"/>
      <c r="N6448" s="498"/>
      <c r="O6448" s="498"/>
      <c r="P6448" s="498"/>
      <c r="Q6448" s="498"/>
      <c r="R6448" s="498"/>
      <c r="T6448" s="498"/>
      <c r="U6448" s="498"/>
      <c r="V6448" s="498"/>
      <c r="W6448" s="498"/>
      <c r="X6448" s="498"/>
      <c r="Y6448" s="498"/>
      <c r="Z6448" s="498"/>
      <c r="AA6448" s="498"/>
      <c r="AB6448" s="498"/>
      <c r="AC6448" s="498"/>
      <c r="AD6448" s="498"/>
      <c r="AE6448" s="498"/>
      <c r="AF6448" s="498"/>
      <c r="AG6448" s="498"/>
      <c r="AH6448" s="498"/>
      <c r="AI6448" s="498"/>
      <c r="AK6448" s="498"/>
      <c r="AL6448" s="498"/>
      <c r="AM6448" s="498"/>
      <c r="AN6448" s="498"/>
      <c r="AO6448" s="498"/>
      <c r="AP6448" s="498"/>
      <c r="AQ6448" s="498"/>
      <c r="AR6448" s="498"/>
      <c r="AS6448" s="498"/>
      <c r="AT6448" s="498"/>
      <c r="AU6448" s="498"/>
      <c r="AV6448" s="498"/>
      <c r="AW6448" s="498"/>
      <c r="AX6448" s="498"/>
      <c r="AY6448" s="498"/>
      <c r="AZ6448" s="498"/>
      <c r="BA6448" s="498"/>
    </row>
    <row r="6449" spans="1:53" s="499" customFormat="1" x14ac:dyDescent="0.25">
      <c r="A6449" s="500"/>
      <c r="B6449" s="501"/>
      <c r="C6449" s="502"/>
      <c r="D6449" s="497"/>
      <c r="E6449" s="497"/>
      <c r="F6449" s="502"/>
      <c r="G6449" s="497"/>
      <c r="H6449" s="497"/>
      <c r="I6449" s="497"/>
      <c r="J6449" s="497"/>
      <c r="K6449" s="500"/>
      <c r="L6449" s="497"/>
      <c r="M6449"/>
      <c r="N6449" s="498"/>
      <c r="O6449" s="498"/>
      <c r="P6449" s="498"/>
      <c r="Q6449" s="498"/>
      <c r="R6449" s="498"/>
      <c r="T6449" s="498"/>
      <c r="U6449" s="498"/>
      <c r="V6449" s="498"/>
      <c r="W6449" s="498"/>
      <c r="X6449" s="498"/>
      <c r="Y6449" s="498"/>
      <c r="Z6449" s="498"/>
      <c r="AA6449" s="498"/>
      <c r="AB6449" s="498"/>
      <c r="AC6449" s="498"/>
      <c r="AD6449" s="498"/>
      <c r="AE6449" s="498"/>
      <c r="AF6449" s="498"/>
      <c r="AG6449" s="498"/>
      <c r="AH6449" s="498"/>
      <c r="AI6449" s="498"/>
      <c r="AK6449" s="498"/>
      <c r="AL6449" s="498"/>
      <c r="AM6449" s="498"/>
      <c r="AN6449" s="498"/>
      <c r="AO6449" s="498"/>
      <c r="AP6449" s="498"/>
      <c r="AQ6449" s="498"/>
      <c r="AR6449" s="498"/>
      <c r="AS6449" s="498"/>
      <c r="AT6449" s="498"/>
      <c r="AU6449" s="498"/>
      <c r="AV6449" s="498"/>
      <c r="AW6449" s="498"/>
      <c r="AX6449" s="498"/>
      <c r="AY6449" s="498"/>
      <c r="AZ6449" s="498"/>
      <c r="BA6449" s="498"/>
    </row>
    <row r="6450" spans="1:53" s="499" customFormat="1" x14ac:dyDescent="0.25">
      <c r="A6450" s="500"/>
      <c r="B6450" s="501"/>
      <c r="C6450" s="502"/>
      <c r="D6450" s="497"/>
      <c r="E6450" s="497"/>
      <c r="F6450" s="502"/>
      <c r="G6450" s="497"/>
      <c r="H6450" s="497"/>
      <c r="I6450" s="497"/>
      <c r="J6450" s="497"/>
      <c r="K6450" s="500"/>
      <c r="L6450" s="497"/>
      <c r="M6450"/>
      <c r="N6450" s="498"/>
      <c r="O6450" s="498"/>
      <c r="P6450" s="498"/>
      <c r="Q6450" s="498"/>
      <c r="R6450" s="498"/>
      <c r="T6450" s="498"/>
      <c r="U6450" s="498"/>
      <c r="V6450" s="498"/>
      <c r="W6450" s="498"/>
      <c r="X6450" s="498"/>
      <c r="Y6450" s="498"/>
      <c r="Z6450" s="498"/>
      <c r="AA6450" s="498"/>
      <c r="AB6450" s="498"/>
      <c r="AC6450" s="498"/>
      <c r="AD6450" s="498"/>
      <c r="AE6450" s="498"/>
      <c r="AF6450" s="498"/>
      <c r="AG6450" s="498"/>
      <c r="AH6450" s="498"/>
      <c r="AI6450" s="498"/>
      <c r="AK6450" s="498"/>
      <c r="AL6450" s="498"/>
      <c r="AM6450" s="498"/>
      <c r="AN6450" s="498"/>
      <c r="AO6450" s="498"/>
      <c r="AP6450" s="498"/>
      <c r="AQ6450" s="498"/>
      <c r="AR6450" s="498"/>
      <c r="AS6450" s="498"/>
      <c r="AT6450" s="498"/>
      <c r="AU6450" s="498"/>
      <c r="AV6450" s="498"/>
      <c r="AW6450" s="498"/>
      <c r="AX6450" s="498"/>
      <c r="AY6450" s="498"/>
      <c r="AZ6450" s="498"/>
      <c r="BA6450" s="498"/>
    </row>
    <row r="6451" spans="1:53" s="499" customFormat="1" x14ac:dyDescent="0.25">
      <c r="A6451" s="500"/>
      <c r="B6451" s="501"/>
      <c r="C6451" s="502"/>
      <c r="D6451" s="497"/>
      <c r="E6451" s="497"/>
      <c r="F6451" s="502"/>
      <c r="G6451" s="497"/>
      <c r="H6451" s="497"/>
      <c r="I6451" s="497"/>
      <c r="J6451" s="497"/>
      <c r="K6451" s="500"/>
      <c r="L6451" s="497"/>
      <c r="M6451"/>
      <c r="N6451" s="498"/>
      <c r="O6451" s="498"/>
      <c r="P6451" s="498"/>
      <c r="Q6451" s="498"/>
      <c r="R6451" s="498"/>
      <c r="T6451" s="498"/>
      <c r="U6451" s="498"/>
      <c r="V6451" s="498"/>
      <c r="W6451" s="498"/>
      <c r="X6451" s="498"/>
      <c r="Y6451" s="498"/>
      <c r="Z6451" s="498"/>
      <c r="AA6451" s="498"/>
      <c r="AB6451" s="498"/>
      <c r="AC6451" s="498"/>
      <c r="AD6451" s="498"/>
      <c r="AE6451" s="498"/>
      <c r="AF6451" s="498"/>
      <c r="AG6451" s="498"/>
      <c r="AH6451" s="498"/>
      <c r="AI6451" s="498"/>
      <c r="AK6451" s="498"/>
      <c r="AL6451" s="498"/>
      <c r="AM6451" s="498"/>
      <c r="AN6451" s="498"/>
      <c r="AO6451" s="498"/>
      <c r="AP6451" s="498"/>
      <c r="AQ6451" s="498"/>
      <c r="AR6451" s="498"/>
      <c r="AS6451" s="498"/>
      <c r="AT6451" s="498"/>
      <c r="AU6451" s="498"/>
      <c r="AV6451" s="498"/>
      <c r="AW6451" s="498"/>
      <c r="AX6451" s="498"/>
      <c r="AY6451" s="498"/>
      <c r="AZ6451" s="498"/>
      <c r="BA6451" s="498"/>
    </row>
    <row r="6452" spans="1:53" s="499" customFormat="1" x14ac:dyDescent="0.25">
      <c r="A6452" s="500"/>
      <c r="B6452" s="501"/>
      <c r="C6452" s="502"/>
      <c r="D6452" s="497"/>
      <c r="E6452" s="497"/>
      <c r="F6452" s="502"/>
      <c r="G6452" s="497"/>
      <c r="H6452" s="497"/>
      <c r="I6452" s="497"/>
      <c r="J6452" s="497"/>
      <c r="K6452" s="500"/>
      <c r="L6452" s="497"/>
      <c r="M6452"/>
      <c r="N6452" s="498"/>
      <c r="O6452" s="498"/>
      <c r="P6452" s="498"/>
      <c r="Q6452" s="498"/>
      <c r="R6452" s="498"/>
      <c r="T6452" s="498"/>
      <c r="U6452" s="498"/>
      <c r="V6452" s="498"/>
      <c r="W6452" s="498"/>
      <c r="X6452" s="498"/>
      <c r="Y6452" s="498"/>
      <c r="Z6452" s="498"/>
      <c r="AA6452" s="498"/>
      <c r="AB6452" s="498"/>
      <c r="AC6452" s="498"/>
      <c r="AD6452" s="498"/>
      <c r="AE6452" s="498"/>
      <c r="AF6452" s="498"/>
      <c r="AG6452" s="498"/>
      <c r="AH6452" s="498"/>
      <c r="AI6452" s="498"/>
      <c r="AK6452" s="498"/>
      <c r="AL6452" s="498"/>
      <c r="AM6452" s="498"/>
      <c r="AN6452" s="498"/>
      <c r="AO6452" s="498"/>
      <c r="AP6452" s="498"/>
      <c r="AQ6452" s="498"/>
      <c r="AR6452" s="498"/>
      <c r="AS6452" s="498"/>
      <c r="AT6452" s="498"/>
      <c r="AU6452" s="498"/>
      <c r="AV6452" s="498"/>
      <c r="AW6452" s="498"/>
      <c r="AX6452" s="498"/>
      <c r="AY6452" s="498"/>
      <c r="AZ6452" s="498"/>
      <c r="BA6452" s="498"/>
    </row>
    <row r="6453" spans="1:53" s="499" customFormat="1" x14ac:dyDescent="0.25">
      <c r="A6453" s="500"/>
      <c r="B6453" s="501"/>
      <c r="C6453" s="502"/>
      <c r="D6453" s="497"/>
      <c r="E6453" s="497"/>
      <c r="F6453" s="502"/>
      <c r="G6453" s="497"/>
      <c r="H6453" s="497"/>
      <c r="I6453" s="497"/>
      <c r="J6453" s="497"/>
      <c r="K6453" s="500"/>
      <c r="L6453" s="497"/>
      <c r="M6453"/>
      <c r="N6453" s="498"/>
      <c r="O6453" s="498"/>
      <c r="P6453" s="498"/>
      <c r="Q6453" s="498"/>
      <c r="R6453" s="498"/>
      <c r="T6453" s="498"/>
      <c r="U6453" s="498"/>
      <c r="V6453" s="498"/>
      <c r="W6453" s="498"/>
      <c r="X6453" s="498"/>
      <c r="Y6453" s="498"/>
      <c r="Z6453" s="498"/>
      <c r="AA6453" s="498"/>
      <c r="AB6453" s="498"/>
      <c r="AC6453" s="498"/>
      <c r="AD6453" s="498"/>
      <c r="AE6453" s="498"/>
      <c r="AF6453" s="498"/>
      <c r="AG6453" s="498"/>
      <c r="AH6453" s="498"/>
      <c r="AI6453" s="498"/>
      <c r="AK6453" s="498"/>
      <c r="AL6453" s="498"/>
      <c r="AM6453" s="498"/>
      <c r="AN6453" s="498"/>
      <c r="AO6453" s="498"/>
      <c r="AP6453" s="498"/>
      <c r="AQ6453" s="498"/>
      <c r="AR6453" s="498"/>
      <c r="AS6453" s="498"/>
      <c r="AT6453" s="498"/>
      <c r="AU6453" s="498"/>
      <c r="AV6453" s="498"/>
      <c r="AW6453" s="498"/>
      <c r="AX6453" s="498"/>
      <c r="AY6453" s="498"/>
      <c r="AZ6453" s="498"/>
      <c r="BA6453" s="498"/>
    </row>
    <row r="6454" spans="1:53" s="499" customFormat="1" x14ac:dyDescent="0.25">
      <c r="A6454" s="500"/>
      <c r="B6454" s="501"/>
      <c r="C6454" s="502"/>
      <c r="D6454" s="497"/>
      <c r="E6454" s="497"/>
      <c r="F6454" s="502"/>
      <c r="G6454" s="497"/>
      <c r="H6454" s="497"/>
      <c r="I6454" s="497"/>
      <c r="J6454" s="497"/>
      <c r="K6454" s="500"/>
      <c r="L6454" s="497"/>
      <c r="M6454"/>
      <c r="N6454" s="498"/>
      <c r="O6454" s="498"/>
      <c r="P6454" s="498"/>
      <c r="Q6454" s="498"/>
      <c r="R6454" s="498"/>
      <c r="T6454" s="498"/>
      <c r="U6454" s="498"/>
      <c r="V6454" s="498"/>
      <c r="W6454" s="498"/>
      <c r="X6454" s="498"/>
      <c r="Y6454" s="498"/>
      <c r="Z6454" s="498"/>
      <c r="AA6454" s="498"/>
      <c r="AB6454" s="498"/>
      <c r="AC6454" s="498"/>
      <c r="AD6454" s="498"/>
      <c r="AE6454" s="498"/>
      <c r="AF6454" s="498"/>
      <c r="AG6454" s="498"/>
      <c r="AH6454" s="498"/>
      <c r="AI6454" s="498"/>
      <c r="AK6454" s="498"/>
      <c r="AL6454" s="498"/>
      <c r="AM6454" s="498"/>
      <c r="AN6454" s="498"/>
      <c r="AO6454" s="498"/>
      <c r="AP6454" s="498"/>
      <c r="AQ6454" s="498"/>
      <c r="AR6454" s="498"/>
      <c r="AS6454" s="498"/>
      <c r="AT6454" s="498"/>
      <c r="AU6454" s="498"/>
      <c r="AV6454" s="498"/>
      <c r="AW6454" s="498"/>
      <c r="AX6454" s="498"/>
      <c r="AY6454" s="498"/>
      <c r="AZ6454" s="498"/>
      <c r="BA6454" s="498"/>
    </row>
    <row r="6455" spans="1:53" s="499" customFormat="1" x14ac:dyDescent="0.25">
      <c r="A6455" s="500"/>
      <c r="B6455" s="501"/>
      <c r="C6455" s="502"/>
      <c r="D6455" s="497"/>
      <c r="E6455" s="497"/>
      <c r="F6455" s="502"/>
      <c r="G6455" s="497"/>
      <c r="H6455" s="497"/>
      <c r="I6455" s="497"/>
      <c r="J6455" s="497"/>
      <c r="K6455" s="500"/>
      <c r="L6455" s="497"/>
      <c r="M6455"/>
      <c r="N6455" s="498"/>
      <c r="O6455" s="498"/>
      <c r="P6455" s="498"/>
      <c r="Q6455" s="498"/>
      <c r="R6455" s="498"/>
      <c r="T6455" s="498"/>
      <c r="U6455" s="498"/>
      <c r="V6455" s="498"/>
      <c r="W6455" s="498"/>
      <c r="X6455" s="498"/>
      <c r="Y6455" s="498"/>
      <c r="Z6455" s="498"/>
      <c r="AA6455" s="498"/>
      <c r="AB6455" s="498"/>
      <c r="AC6455" s="498"/>
      <c r="AD6455" s="498"/>
      <c r="AE6455" s="498"/>
      <c r="AF6455" s="498"/>
      <c r="AG6455" s="498"/>
      <c r="AH6455" s="498"/>
      <c r="AI6455" s="498"/>
      <c r="AK6455" s="498"/>
      <c r="AL6455" s="498"/>
      <c r="AM6455" s="498"/>
      <c r="AN6455" s="498"/>
      <c r="AO6455" s="498"/>
      <c r="AP6455" s="498"/>
      <c r="AQ6455" s="498"/>
      <c r="AR6455" s="498"/>
      <c r="AS6455" s="498"/>
      <c r="AT6455" s="498"/>
      <c r="AU6455" s="498"/>
      <c r="AV6455" s="498"/>
      <c r="AW6455" s="498"/>
      <c r="AX6455" s="498"/>
      <c r="AY6455" s="498"/>
      <c r="AZ6455" s="498"/>
      <c r="BA6455" s="498"/>
    </row>
    <row r="6456" spans="1:53" s="499" customFormat="1" x14ac:dyDescent="0.25">
      <c r="A6456" s="500"/>
      <c r="B6456" s="501"/>
      <c r="C6456" s="502"/>
      <c r="D6456" s="497"/>
      <c r="E6456" s="497"/>
      <c r="F6456" s="502"/>
      <c r="G6456" s="497"/>
      <c r="H6456" s="497"/>
      <c r="I6456" s="497"/>
      <c r="J6456" s="497"/>
      <c r="K6456" s="500"/>
      <c r="L6456" s="497"/>
      <c r="M6456"/>
      <c r="N6456" s="498"/>
      <c r="O6456" s="498"/>
      <c r="P6456" s="498"/>
      <c r="Q6456" s="498"/>
      <c r="R6456" s="498"/>
      <c r="T6456" s="498"/>
      <c r="U6456" s="498"/>
      <c r="V6456" s="498"/>
      <c r="W6456" s="498"/>
      <c r="X6456" s="498"/>
      <c r="Y6456" s="498"/>
      <c r="Z6456" s="498"/>
      <c r="AA6456" s="498"/>
      <c r="AB6456" s="498"/>
      <c r="AC6456" s="498"/>
      <c r="AD6456" s="498"/>
      <c r="AE6456" s="498"/>
      <c r="AF6456" s="498"/>
      <c r="AG6456" s="498"/>
      <c r="AH6456" s="498"/>
      <c r="AI6456" s="498"/>
      <c r="AK6456" s="498"/>
      <c r="AL6456" s="498"/>
      <c r="AM6456" s="498"/>
      <c r="AN6456" s="498"/>
      <c r="AO6456" s="498"/>
      <c r="AP6456" s="498"/>
      <c r="AQ6456" s="498"/>
      <c r="AR6456" s="498"/>
      <c r="AS6456" s="498"/>
      <c r="AT6456" s="498"/>
      <c r="AU6456" s="498"/>
      <c r="AV6456" s="498"/>
      <c r="AW6456" s="498"/>
      <c r="AX6456" s="498"/>
      <c r="AY6456" s="498"/>
      <c r="AZ6456" s="498"/>
      <c r="BA6456" s="498"/>
    </row>
    <row r="6457" spans="1:53" s="499" customFormat="1" x14ac:dyDescent="0.25">
      <c r="A6457" s="500"/>
      <c r="B6457" s="501"/>
      <c r="C6457" s="502"/>
      <c r="D6457" s="497"/>
      <c r="E6457" s="497"/>
      <c r="F6457" s="502"/>
      <c r="G6457" s="497"/>
      <c r="H6457" s="497"/>
      <c r="I6457" s="497"/>
      <c r="J6457" s="497"/>
      <c r="K6457" s="500"/>
      <c r="L6457" s="497"/>
      <c r="M6457"/>
      <c r="N6457" s="498"/>
      <c r="O6457" s="498"/>
      <c r="P6457" s="498"/>
      <c r="Q6457" s="498"/>
      <c r="R6457" s="498"/>
      <c r="T6457" s="498"/>
      <c r="U6457" s="498"/>
      <c r="V6457" s="498"/>
      <c r="W6457" s="498"/>
      <c r="X6457" s="498"/>
      <c r="Y6457" s="498"/>
      <c r="Z6457" s="498"/>
      <c r="AA6457" s="498"/>
      <c r="AB6457" s="498"/>
      <c r="AC6457" s="498"/>
      <c r="AD6457" s="498"/>
      <c r="AE6457" s="498"/>
      <c r="AF6457" s="498"/>
      <c r="AG6457" s="498"/>
      <c r="AH6457" s="498"/>
      <c r="AI6457" s="498"/>
      <c r="AK6457" s="498"/>
      <c r="AL6457" s="498"/>
      <c r="AM6457" s="498"/>
      <c r="AN6457" s="498"/>
      <c r="AO6457" s="498"/>
      <c r="AP6457" s="498"/>
      <c r="AQ6457" s="498"/>
      <c r="AR6457" s="498"/>
      <c r="AS6457" s="498"/>
      <c r="AT6457" s="498"/>
      <c r="AU6457" s="498"/>
      <c r="AV6457" s="498"/>
      <c r="AW6457" s="498"/>
      <c r="AX6457" s="498"/>
      <c r="AY6457" s="498"/>
      <c r="AZ6457" s="498"/>
      <c r="BA6457" s="498"/>
    </row>
    <row r="6458" spans="1:53" s="499" customFormat="1" x14ac:dyDescent="0.25">
      <c r="A6458" s="500"/>
      <c r="B6458" s="501"/>
      <c r="C6458" s="502"/>
      <c r="D6458" s="497"/>
      <c r="E6458" s="497"/>
      <c r="F6458" s="502"/>
      <c r="G6458" s="497"/>
      <c r="H6458" s="497"/>
      <c r="I6458" s="497"/>
      <c r="J6458" s="497"/>
      <c r="K6458" s="500"/>
      <c r="L6458" s="497"/>
      <c r="M6458"/>
      <c r="N6458" s="498"/>
      <c r="O6458" s="498"/>
      <c r="P6458" s="498"/>
      <c r="Q6458" s="498"/>
      <c r="R6458" s="498"/>
      <c r="T6458" s="498"/>
      <c r="U6458" s="498"/>
      <c r="V6458" s="498"/>
      <c r="W6458" s="498"/>
      <c r="X6458" s="498"/>
      <c r="Y6458" s="498"/>
      <c r="Z6458" s="498"/>
      <c r="AA6458" s="498"/>
      <c r="AB6458" s="498"/>
      <c r="AC6458" s="498"/>
      <c r="AD6458" s="498"/>
      <c r="AE6458" s="498"/>
      <c r="AF6458" s="498"/>
      <c r="AG6458" s="498"/>
      <c r="AH6458" s="498"/>
      <c r="AI6458" s="498"/>
      <c r="AK6458" s="498"/>
      <c r="AL6458" s="498"/>
      <c r="AM6458" s="498"/>
      <c r="AN6458" s="498"/>
      <c r="AO6458" s="498"/>
      <c r="AP6458" s="498"/>
      <c r="AQ6458" s="498"/>
      <c r="AR6458" s="498"/>
      <c r="AS6458" s="498"/>
      <c r="AT6458" s="498"/>
      <c r="AU6458" s="498"/>
      <c r="AV6458" s="498"/>
      <c r="AW6458" s="498"/>
      <c r="AX6458" s="498"/>
      <c r="AY6458" s="498"/>
      <c r="AZ6458" s="498"/>
      <c r="BA6458" s="498"/>
    </row>
    <row r="6459" spans="1:53" s="499" customFormat="1" x14ac:dyDescent="0.25">
      <c r="A6459" s="500"/>
      <c r="B6459" s="501"/>
      <c r="C6459" s="502"/>
      <c r="D6459" s="497"/>
      <c r="E6459" s="497"/>
      <c r="F6459" s="502"/>
      <c r="G6459" s="497"/>
      <c r="H6459" s="497"/>
      <c r="I6459" s="497"/>
      <c r="J6459" s="497"/>
      <c r="K6459" s="500"/>
      <c r="L6459" s="497"/>
      <c r="M6459"/>
      <c r="N6459" s="498"/>
      <c r="O6459" s="498"/>
      <c r="P6459" s="498"/>
      <c r="Q6459" s="498"/>
      <c r="R6459" s="498"/>
      <c r="T6459" s="498"/>
      <c r="U6459" s="498"/>
      <c r="V6459" s="498"/>
      <c r="W6459" s="498"/>
      <c r="X6459" s="498"/>
      <c r="Y6459" s="498"/>
      <c r="Z6459" s="498"/>
      <c r="AA6459" s="498"/>
      <c r="AB6459" s="498"/>
      <c r="AC6459" s="498"/>
      <c r="AD6459" s="498"/>
      <c r="AE6459" s="498"/>
      <c r="AF6459" s="498"/>
      <c r="AG6459" s="498"/>
      <c r="AH6459" s="498"/>
      <c r="AI6459" s="498"/>
      <c r="AK6459" s="498"/>
      <c r="AL6459" s="498"/>
      <c r="AM6459" s="498"/>
      <c r="AN6459" s="498"/>
      <c r="AO6459" s="498"/>
      <c r="AP6459" s="498"/>
      <c r="AQ6459" s="498"/>
      <c r="AR6459" s="498"/>
      <c r="AS6459" s="498"/>
      <c r="AT6459" s="498"/>
      <c r="AU6459" s="498"/>
      <c r="AV6459" s="498"/>
      <c r="AW6459" s="498"/>
      <c r="AX6459" s="498"/>
      <c r="AY6459" s="498"/>
      <c r="AZ6459" s="498"/>
      <c r="BA6459" s="498"/>
    </row>
    <row r="6460" spans="1:53" s="499" customFormat="1" x14ac:dyDescent="0.25">
      <c r="A6460" s="500"/>
      <c r="B6460" s="501"/>
      <c r="C6460" s="502"/>
      <c r="D6460" s="497"/>
      <c r="E6460" s="497"/>
      <c r="F6460" s="502"/>
      <c r="G6460" s="497"/>
      <c r="H6460" s="497"/>
      <c r="I6460" s="497"/>
      <c r="J6460" s="497"/>
      <c r="K6460" s="500"/>
      <c r="L6460" s="497"/>
      <c r="M6460"/>
      <c r="N6460" s="498"/>
      <c r="O6460" s="498"/>
      <c r="P6460" s="498"/>
      <c r="Q6460" s="498"/>
      <c r="R6460" s="498"/>
      <c r="T6460" s="498"/>
      <c r="U6460" s="498"/>
      <c r="V6460" s="498"/>
      <c r="W6460" s="498"/>
      <c r="X6460" s="498"/>
      <c r="Y6460" s="498"/>
      <c r="Z6460" s="498"/>
      <c r="AA6460" s="498"/>
      <c r="AB6460" s="498"/>
      <c r="AC6460" s="498"/>
      <c r="AD6460" s="498"/>
      <c r="AE6460" s="498"/>
      <c r="AF6460" s="498"/>
      <c r="AG6460" s="498"/>
      <c r="AH6460" s="498"/>
      <c r="AI6460" s="498"/>
      <c r="AK6460" s="498"/>
      <c r="AL6460" s="498"/>
      <c r="AM6460" s="498"/>
      <c r="AN6460" s="498"/>
      <c r="AO6460" s="498"/>
      <c r="AP6460" s="498"/>
      <c r="AQ6460" s="498"/>
      <c r="AR6460" s="498"/>
      <c r="AS6460" s="498"/>
      <c r="AT6460" s="498"/>
      <c r="AU6460" s="498"/>
      <c r="AV6460" s="498"/>
      <c r="AW6460" s="498"/>
      <c r="AX6460" s="498"/>
      <c r="AY6460" s="498"/>
      <c r="AZ6460" s="498"/>
      <c r="BA6460" s="498"/>
    </row>
    <row r="6461" spans="1:53" s="499" customFormat="1" x14ac:dyDescent="0.25">
      <c r="A6461" s="500"/>
      <c r="B6461" s="501"/>
      <c r="C6461" s="502"/>
      <c r="D6461" s="497"/>
      <c r="E6461" s="497"/>
      <c r="F6461" s="502"/>
      <c r="G6461" s="497"/>
      <c r="H6461" s="497"/>
      <c r="I6461" s="497"/>
      <c r="J6461" s="497"/>
      <c r="K6461" s="500"/>
      <c r="L6461" s="497"/>
      <c r="M6461"/>
      <c r="N6461" s="498"/>
      <c r="O6461" s="498"/>
      <c r="P6461" s="498"/>
      <c r="Q6461" s="498"/>
      <c r="R6461" s="498"/>
      <c r="T6461" s="498"/>
      <c r="U6461" s="498"/>
      <c r="V6461" s="498"/>
      <c r="W6461" s="498"/>
      <c r="X6461" s="498"/>
      <c r="Y6461" s="498"/>
      <c r="Z6461" s="498"/>
      <c r="AA6461" s="498"/>
      <c r="AB6461" s="498"/>
      <c r="AC6461" s="498"/>
      <c r="AD6461" s="498"/>
      <c r="AE6461" s="498"/>
      <c r="AF6461" s="498"/>
      <c r="AG6461" s="498"/>
      <c r="AH6461" s="498"/>
      <c r="AI6461" s="498"/>
      <c r="AK6461" s="498"/>
      <c r="AL6461" s="498"/>
      <c r="AM6461" s="498"/>
      <c r="AN6461" s="498"/>
      <c r="AO6461" s="498"/>
      <c r="AP6461" s="498"/>
      <c r="AQ6461" s="498"/>
      <c r="AR6461" s="498"/>
      <c r="AS6461" s="498"/>
      <c r="AT6461" s="498"/>
      <c r="AU6461" s="498"/>
      <c r="AV6461" s="498"/>
      <c r="AW6461" s="498"/>
      <c r="AX6461" s="498"/>
      <c r="AY6461" s="498"/>
      <c r="AZ6461" s="498"/>
      <c r="BA6461" s="498"/>
    </row>
    <row r="6462" spans="1:53" s="499" customFormat="1" x14ac:dyDescent="0.25">
      <c r="A6462" s="500"/>
      <c r="B6462" s="501"/>
      <c r="C6462" s="502"/>
      <c r="D6462" s="497"/>
      <c r="E6462" s="497"/>
      <c r="F6462" s="502"/>
      <c r="G6462" s="497"/>
      <c r="H6462" s="497"/>
      <c r="I6462" s="497"/>
      <c r="J6462" s="497"/>
      <c r="K6462" s="500"/>
      <c r="L6462" s="497"/>
      <c r="M6462"/>
      <c r="N6462" s="498"/>
      <c r="O6462" s="498"/>
      <c r="P6462" s="498"/>
      <c r="Q6462" s="498"/>
      <c r="R6462" s="498"/>
      <c r="T6462" s="498"/>
      <c r="U6462" s="498"/>
      <c r="V6462" s="498"/>
      <c r="W6462" s="498"/>
      <c r="X6462" s="498"/>
      <c r="Y6462" s="498"/>
      <c r="Z6462" s="498"/>
      <c r="AA6462" s="498"/>
      <c r="AB6462" s="498"/>
      <c r="AC6462" s="498"/>
      <c r="AD6462" s="498"/>
      <c r="AE6462" s="498"/>
      <c r="AF6462" s="498"/>
      <c r="AG6462" s="498"/>
      <c r="AH6462" s="498"/>
      <c r="AI6462" s="498"/>
      <c r="AK6462" s="498"/>
      <c r="AL6462" s="498"/>
      <c r="AM6462" s="498"/>
      <c r="AN6462" s="498"/>
      <c r="AO6462" s="498"/>
      <c r="AP6462" s="498"/>
      <c r="AQ6462" s="498"/>
      <c r="AR6462" s="498"/>
      <c r="AS6462" s="498"/>
      <c r="AT6462" s="498"/>
      <c r="AU6462" s="498"/>
      <c r="AV6462" s="498"/>
      <c r="AW6462" s="498"/>
      <c r="AX6462" s="498"/>
      <c r="AY6462" s="498"/>
      <c r="AZ6462" s="498"/>
      <c r="BA6462" s="498"/>
    </row>
    <row r="6463" spans="1:53" s="499" customFormat="1" x14ac:dyDescent="0.25">
      <c r="A6463" s="500"/>
      <c r="B6463" s="501"/>
      <c r="C6463" s="502"/>
      <c r="D6463" s="497"/>
      <c r="E6463" s="497"/>
      <c r="F6463" s="502"/>
      <c r="G6463" s="497"/>
      <c r="H6463" s="497"/>
      <c r="I6463" s="497"/>
      <c r="J6463" s="497"/>
      <c r="K6463" s="500"/>
      <c r="L6463" s="497"/>
      <c r="M6463"/>
      <c r="N6463" s="498"/>
      <c r="O6463" s="498"/>
      <c r="P6463" s="498"/>
      <c r="Q6463" s="498"/>
      <c r="R6463" s="498"/>
      <c r="T6463" s="498"/>
      <c r="U6463" s="498"/>
      <c r="V6463" s="498"/>
      <c r="W6463" s="498"/>
      <c r="X6463" s="498"/>
      <c r="Y6463" s="498"/>
      <c r="Z6463" s="498"/>
      <c r="AA6463" s="498"/>
      <c r="AB6463" s="498"/>
      <c r="AC6463" s="498"/>
      <c r="AD6463" s="498"/>
      <c r="AE6463" s="498"/>
      <c r="AF6463" s="498"/>
      <c r="AG6463" s="498"/>
      <c r="AH6463" s="498"/>
      <c r="AI6463" s="498"/>
      <c r="AK6463" s="498"/>
      <c r="AL6463" s="498"/>
      <c r="AM6463" s="498"/>
      <c r="AN6463" s="498"/>
      <c r="AO6463" s="498"/>
      <c r="AP6463" s="498"/>
      <c r="AQ6463" s="498"/>
      <c r="AR6463" s="498"/>
      <c r="AS6463" s="498"/>
      <c r="AT6463" s="498"/>
      <c r="AU6463" s="498"/>
      <c r="AV6463" s="498"/>
      <c r="AW6463" s="498"/>
      <c r="AX6463" s="498"/>
      <c r="AY6463" s="498"/>
      <c r="AZ6463" s="498"/>
      <c r="BA6463" s="498"/>
    </row>
    <row r="6464" spans="1:53" s="499" customFormat="1" x14ac:dyDescent="0.25">
      <c r="A6464" s="500"/>
      <c r="B6464" s="501"/>
      <c r="C6464" s="502"/>
      <c r="D6464" s="497"/>
      <c r="E6464" s="497"/>
      <c r="F6464" s="502"/>
      <c r="G6464" s="497"/>
      <c r="H6464" s="497"/>
      <c r="I6464" s="497"/>
      <c r="J6464" s="497"/>
      <c r="K6464" s="500"/>
      <c r="L6464" s="497"/>
      <c r="M6464"/>
      <c r="N6464" s="498"/>
      <c r="O6464" s="498"/>
      <c r="P6464" s="498"/>
      <c r="Q6464" s="498"/>
      <c r="R6464" s="498"/>
      <c r="T6464" s="498"/>
      <c r="U6464" s="498"/>
      <c r="V6464" s="498"/>
      <c r="W6464" s="498"/>
      <c r="X6464" s="498"/>
      <c r="Y6464" s="498"/>
      <c r="Z6464" s="498"/>
      <c r="AA6464" s="498"/>
      <c r="AB6464" s="498"/>
      <c r="AC6464" s="498"/>
      <c r="AD6464" s="498"/>
      <c r="AE6464" s="498"/>
      <c r="AF6464" s="498"/>
      <c r="AG6464" s="498"/>
      <c r="AH6464" s="498"/>
      <c r="AI6464" s="498"/>
      <c r="AK6464" s="498"/>
      <c r="AL6464" s="498"/>
      <c r="AM6464" s="498"/>
      <c r="AN6464" s="498"/>
      <c r="AO6464" s="498"/>
      <c r="AP6464" s="498"/>
      <c r="AQ6464" s="498"/>
      <c r="AR6464" s="498"/>
      <c r="AS6464" s="498"/>
      <c r="AT6464" s="498"/>
      <c r="AU6464" s="498"/>
      <c r="AV6464" s="498"/>
      <c r="AW6464" s="498"/>
      <c r="AX6464" s="498"/>
      <c r="AY6464" s="498"/>
      <c r="AZ6464" s="498"/>
      <c r="BA6464" s="498"/>
    </row>
    <row r="6465" spans="1:53" s="499" customFormat="1" x14ac:dyDescent="0.25">
      <c r="A6465" s="500"/>
      <c r="B6465" s="501"/>
      <c r="C6465" s="502"/>
      <c r="D6465" s="497"/>
      <c r="E6465" s="497"/>
      <c r="F6465" s="502"/>
      <c r="G6465" s="497"/>
      <c r="H6465" s="497"/>
      <c r="I6465" s="497"/>
      <c r="J6465" s="497"/>
      <c r="K6465" s="500"/>
      <c r="L6465" s="497"/>
      <c r="M6465"/>
      <c r="N6465" s="498"/>
      <c r="O6465" s="498"/>
      <c r="P6465" s="498"/>
      <c r="Q6465" s="498"/>
      <c r="R6465" s="498"/>
      <c r="T6465" s="498"/>
      <c r="U6465" s="498"/>
      <c r="V6465" s="498"/>
      <c r="W6465" s="498"/>
      <c r="X6465" s="498"/>
      <c r="Y6465" s="498"/>
      <c r="Z6465" s="498"/>
      <c r="AA6465" s="498"/>
      <c r="AB6465" s="498"/>
      <c r="AC6465" s="498"/>
      <c r="AD6465" s="498"/>
      <c r="AE6465" s="498"/>
      <c r="AF6465" s="498"/>
      <c r="AG6465" s="498"/>
      <c r="AH6465" s="498"/>
      <c r="AI6465" s="498"/>
      <c r="AK6465" s="498"/>
      <c r="AL6465" s="498"/>
      <c r="AM6465" s="498"/>
      <c r="AN6465" s="498"/>
      <c r="AO6465" s="498"/>
      <c r="AP6465" s="498"/>
      <c r="AQ6465" s="498"/>
      <c r="AR6465" s="498"/>
      <c r="AS6465" s="498"/>
      <c r="AT6465" s="498"/>
      <c r="AU6465" s="498"/>
      <c r="AV6465" s="498"/>
      <c r="AW6465" s="498"/>
      <c r="AX6465" s="498"/>
      <c r="AY6465" s="498"/>
      <c r="AZ6465" s="498"/>
      <c r="BA6465" s="498"/>
    </row>
    <row r="6466" spans="1:53" s="499" customFormat="1" x14ac:dyDescent="0.25">
      <c r="A6466" s="500"/>
      <c r="B6466" s="501"/>
      <c r="C6466" s="502"/>
      <c r="D6466" s="497"/>
      <c r="E6466" s="497"/>
      <c r="F6466" s="502"/>
      <c r="G6466" s="497"/>
      <c r="H6466" s="497"/>
      <c r="I6466" s="497"/>
      <c r="J6466" s="497"/>
      <c r="K6466" s="500"/>
      <c r="L6466" s="497"/>
      <c r="M6466"/>
      <c r="N6466" s="498"/>
      <c r="O6466" s="498"/>
      <c r="P6466" s="498"/>
      <c r="Q6466" s="498"/>
      <c r="R6466" s="498"/>
      <c r="T6466" s="498"/>
      <c r="U6466" s="498"/>
      <c r="V6466" s="498"/>
      <c r="W6466" s="498"/>
      <c r="X6466" s="498"/>
      <c r="Y6466" s="498"/>
      <c r="Z6466" s="498"/>
      <c r="AA6466" s="498"/>
      <c r="AB6466" s="498"/>
      <c r="AC6466" s="498"/>
      <c r="AD6466" s="498"/>
      <c r="AE6466" s="498"/>
      <c r="AF6466" s="498"/>
      <c r="AG6466" s="498"/>
      <c r="AH6466" s="498"/>
      <c r="AI6466" s="498"/>
      <c r="AK6466" s="498"/>
      <c r="AL6466" s="498"/>
      <c r="AM6466" s="498"/>
      <c r="AN6466" s="498"/>
      <c r="AO6466" s="498"/>
      <c r="AP6466" s="498"/>
      <c r="AQ6466" s="498"/>
      <c r="AR6466" s="498"/>
      <c r="AS6466" s="498"/>
      <c r="AT6466" s="498"/>
      <c r="AU6466" s="498"/>
      <c r="AV6466" s="498"/>
      <c r="AW6466" s="498"/>
      <c r="AX6466" s="498"/>
      <c r="AY6466" s="498"/>
      <c r="AZ6466" s="498"/>
      <c r="BA6466" s="498"/>
    </row>
    <row r="6467" spans="1:53" s="499" customFormat="1" x14ac:dyDescent="0.25">
      <c r="A6467" s="500"/>
      <c r="B6467" s="501"/>
      <c r="C6467" s="502"/>
      <c r="D6467" s="497"/>
      <c r="E6467" s="497"/>
      <c r="F6467" s="502"/>
      <c r="G6467" s="497"/>
      <c r="H6467" s="497"/>
      <c r="I6467" s="497"/>
      <c r="J6467" s="497"/>
      <c r="K6467" s="500"/>
      <c r="L6467" s="497"/>
      <c r="M6467"/>
      <c r="N6467" s="498"/>
      <c r="O6467" s="498"/>
      <c r="P6467" s="498"/>
      <c r="Q6467" s="498"/>
      <c r="R6467" s="498"/>
      <c r="T6467" s="498"/>
      <c r="U6467" s="498"/>
      <c r="V6467" s="498"/>
      <c r="W6467" s="498"/>
      <c r="X6467" s="498"/>
      <c r="Y6467" s="498"/>
      <c r="Z6467" s="498"/>
      <c r="AA6467" s="498"/>
      <c r="AB6467" s="498"/>
      <c r="AC6467" s="498"/>
      <c r="AD6467" s="498"/>
      <c r="AE6467" s="498"/>
      <c r="AF6467" s="498"/>
      <c r="AG6467" s="498"/>
      <c r="AH6467" s="498"/>
      <c r="AI6467" s="498"/>
      <c r="AK6467" s="498"/>
      <c r="AL6467" s="498"/>
      <c r="AM6467" s="498"/>
      <c r="AN6467" s="498"/>
      <c r="AO6467" s="498"/>
      <c r="AP6467" s="498"/>
      <c r="AQ6467" s="498"/>
      <c r="AR6467" s="498"/>
      <c r="AS6467" s="498"/>
      <c r="AT6467" s="498"/>
      <c r="AU6467" s="498"/>
      <c r="AV6467" s="498"/>
      <c r="AW6467" s="498"/>
      <c r="AX6467" s="498"/>
      <c r="AY6467" s="498"/>
      <c r="AZ6467" s="498"/>
      <c r="BA6467" s="498"/>
    </row>
    <row r="6468" spans="1:53" s="499" customFormat="1" x14ac:dyDescent="0.25">
      <c r="A6468" s="500"/>
      <c r="B6468" s="501"/>
      <c r="C6468" s="502"/>
      <c r="D6468" s="497"/>
      <c r="E6468" s="497"/>
      <c r="F6468" s="502"/>
      <c r="G6468" s="497"/>
      <c r="H6468" s="497"/>
      <c r="I6468" s="497"/>
      <c r="J6468" s="497"/>
      <c r="K6468" s="500"/>
      <c r="L6468" s="497"/>
      <c r="M6468"/>
      <c r="N6468" s="498"/>
      <c r="O6468" s="498"/>
      <c r="P6468" s="498"/>
      <c r="Q6468" s="498"/>
      <c r="R6468" s="498"/>
      <c r="T6468" s="498"/>
      <c r="U6468" s="498"/>
      <c r="V6468" s="498"/>
      <c r="W6468" s="498"/>
      <c r="X6468" s="498"/>
      <c r="Y6468" s="498"/>
      <c r="Z6468" s="498"/>
      <c r="AA6468" s="498"/>
      <c r="AB6468" s="498"/>
      <c r="AC6468" s="498"/>
      <c r="AD6468" s="498"/>
      <c r="AE6468" s="498"/>
      <c r="AF6468" s="498"/>
      <c r="AG6468" s="498"/>
      <c r="AH6468" s="498"/>
      <c r="AI6468" s="498"/>
      <c r="AK6468" s="498"/>
      <c r="AL6468" s="498"/>
      <c r="AM6468" s="498"/>
      <c r="AN6468" s="498"/>
      <c r="AO6468" s="498"/>
      <c r="AP6468" s="498"/>
      <c r="AQ6468" s="498"/>
      <c r="AR6468" s="498"/>
      <c r="AS6468" s="498"/>
      <c r="AT6468" s="498"/>
      <c r="AU6468" s="498"/>
      <c r="AV6468" s="498"/>
      <c r="AW6468" s="498"/>
      <c r="AX6468" s="498"/>
      <c r="AY6468" s="498"/>
      <c r="AZ6468" s="498"/>
      <c r="BA6468" s="498"/>
    </row>
    <row r="6469" spans="1:53" s="499" customFormat="1" x14ac:dyDescent="0.25">
      <c r="A6469" s="500"/>
      <c r="B6469" s="501"/>
      <c r="C6469" s="502"/>
      <c r="D6469" s="497"/>
      <c r="E6469" s="497"/>
      <c r="F6469" s="502"/>
      <c r="G6469" s="497"/>
      <c r="H6469" s="497"/>
      <c r="I6469" s="497"/>
      <c r="J6469" s="497"/>
      <c r="K6469" s="500"/>
      <c r="L6469" s="497"/>
      <c r="M6469"/>
      <c r="N6469" s="498"/>
      <c r="O6469" s="498"/>
      <c r="P6469" s="498"/>
      <c r="Q6469" s="498"/>
      <c r="R6469" s="498"/>
      <c r="T6469" s="498"/>
      <c r="U6469" s="498"/>
      <c r="V6469" s="498"/>
      <c r="W6469" s="498"/>
      <c r="X6469" s="498"/>
      <c r="Y6469" s="498"/>
      <c r="Z6469" s="498"/>
      <c r="AA6469" s="498"/>
      <c r="AB6469" s="498"/>
      <c r="AC6469" s="498"/>
      <c r="AD6469" s="498"/>
      <c r="AE6469" s="498"/>
      <c r="AF6469" s="498"/>
      <c r="AG6469" s="498"/>
      <c r="AH6469" s="498"/>
      <c r="AI6469" s="498"/>
      <c r="AK6469" s="498"/>
      <c r="AL6469" s="498"/>
      <c r="AM6469" s="498"/>
      <c r="AN6469" s="498"/>
      <c r="AO6469" s="498"/>
      <c r="AP6469" s="498"/>
      <c r="AQ6469" s="498"/>
      <c r="AR6469" s="498"/>
      <c r="AS6469" s="498"/>
      <c r="AT6469" s="498"/>
      <c r="AU6469" s="498"/>
      <c r="AV6469" s="498"/>
      <c r="AW6469" s="498"/>
      <c r="AX6469" s="498"/>
      <c r="AY6469" s="498"/>
      <c r="AZ6469" s="498"/>
      <c r="BA6469" s="498"/>
    </row>
    <row r="6470" spans="1:53" s="499" customFormat="1" x14ac:dyDescent="0.25">
      <c r="A6470" s="500"/>
      <c r="B6470" s="501"/>
      <c r="C6470" s="502"/>
      <c r="D6470" s="497"/>
      <c r="E6470" s="497"/>
      <c r="F6470" s="502"/>
      <c r="G6470" s="497"/>
      <c r="H6470" s="497"/>
      <c r="I6470" s="497"/>
      <c r="J6470" s="497"/>
      <c r="K6470" s="500"/>
      <c r="L6470" s="497"/>
      <c r="M6470"/>
      <c r="N6470" s="498"/>
      <c r="O6470" s="498"/>
      <c r="P6470" s="498"/>
      <c r="Q6470" s="498"/>
      <c r="R6470" s="498"/>
      <c r="T6470" s="498"/>
      <c r="U6470" s="498"/>
      <c r="V6470" s="498"/>
      <c r="W6470" s="498"/>
      <c r="X6470" s="498"/>
      <c r="Y6470" s="498"/>
      <c r="Z6470" s="498"/>
      <c r="AA6470" s="498"/>
      <c r="AB6470" s="498"/>
      <c r="AC6470" s="498"/>
      <c r="AD6470" s="498"/>
      <c r="AE6470" s="498"/>
      <c r="AF6470" s="498"/>
      <c r="AG6470" s="498"/>
      <c r="AH6470" s="498"/>
      <c r="AI6470" s="498"/>
      <c r="AK6470" s="498"/>
      <c r="AL6470" s="498"/>
      <c r="AM6470" s="498"/>
      <c r="AN6470" s="498"/>
      <c r="AO6470" s="498"/>
      <c r="AP6470" s="498"/>
      <c r="AQ6470" s="498"/>
      <c r="AR6470" s="498"/>
      <c r="AS6470" s="498"/>
      <c r="AT6470" s="498"/>
      <c r="AU6470" s="498"/>
      <c r="AV6470" s="498"/>
      <c r="AW6470" s="498"/>
      <c r="AX6470" s="498"/>
      <c r="AY6470" s="498"/>
      <c r="AZ6470" s="498"/>
      <c r="BA6470" s="498"/>
    </row>
    <row r="6471" spans="1:53" s="499" customFormat="1" x14ac:dyDescent="0.25">
      <c r="A6471" s="500"/>
      <c r="B6471" s="501"/>
      <c r="C6471" s="502"/>
      <c r="D6471" s="497"/>
      <c r="E6471" s="497"/>
      <c r="F6471" s="502"/>
      <c r="G6471" s="497"/>
      <c r="H6471" s="497"/>
      <c r="I6471" s="497"/>
      <c r="J6471" s="497"/>
      <c r="K6471" s="500"/>
      <c r="L6471" s="497"/>
      <c r="M6471"/>
      <c r="N6471" s="498"/>
      <c r="O6471" s="498"/>
      <c r="P6471" s="498"/>
      <c r="Q6471" s="498"/>
      <c r="R6471" s="498"/>
      <c r="T6471" s="498"/>
      <c r="U6471" s="498"/>
      <c r="V6471" s="498"/>
      <c r="W6471" s="498"/>
      <c r="X6471" s="498"/>
      <c r="Y6471" s="498"/>
      <c r="Z6471" s="498"/>
      <c r="AA6471" s="498"/>
      <c r="AB6471" s="498"/>
      <c r="AC6471" s="498"/>
      <c r="AD6471" s="498"/>
      <c r="AE6471" s="498"/>
      <c r="AF6471" s="498"/>
      <c r="AG6471" s="498"/>
      <c r="AH6471" s="498"/>
      <c r="AI6471" s="498"/>
      <c r="AK6471" s="498"/>
      <c r="AL6471" s="498"/>
      <c r="AM6471" s="498"/>
      <c r="AN6471" s="498"/>
      <c r="AO6471" s="498"/>
      <c r="AP6471" s="498"/>
      <c r="AQ6471" s="498"/>
      <c r="AR6471" s="498"/>
      <c r="AS6471" s="498"/>
      <c r="AT6471" s="498"/>
      <c r="AU6471" s="498"/>
      <c r="AV6471" s="498"/>
      <c r="AW6471" s="498"/>
      <c r="AX6471" s="498"/>
      <c r="AY6471" s="498"/>
      <c r="AZ6471" s="498"/>
      <c r="BA6471" s="498"/>
    </row>
    <row r="6472" spans="1:53" s="499" customFormat="1" x14ac:dyDescent="0.25">
      <c r="A6472" s="500"/>
      <c r="B6472" s="501"/>
      <c r="C6472" s="502"/>
      <c r="D6472" s="497"/>
      <c r="E6472" s="497"/>
      <c r="F6472" s="502"/>
      <c r="G6472" s="497"/>
      <c r="H6472" s="497"/>
      <c r="I6472" s="497"/>
      <c r="J6472" s="497"/>
      <c r="K6472" s="500"/>
      <c r="L6472" s="497"/>
      <c r="M6472"/>
      <c r="N6472" s="498"/>
      <c r="O6472" s="498"/>
      <c r="P6472" s="498"/>
      <c r="Q6472" s="498"/>
      <c r="R6472" s="498"/>
      <c r="T6472" s="498"/>
      <c r="U6472" s="498"/>
      <c r="V6472" s="498"/>
      <c r="W6472" s="498"/>
      <c r="X6472" s="498"/>
      <c r="Y6472" s="498"/>
      <c r="Z6472" s="498"/>
      <c r="AA6472" s="498"/>
      <c r="AB6472" s="498"/>
      <c r="AC6472" s="498"/>
      <c r="AD6472" s="498"/>
      <c r="AE6472" s="498"/>
      <c r="AF6472" s="498"/>
      <c r="AG6472" s="498"/>
      <c r="AH6472" s="498"/>
      <c r="AI6472" s="498"/>
      <c r="AK6472" s="498"/>
      <c r="AL6472" s="498"/>
      <c r="AM6472" s="498"/>
      <c r="AN6472" s="498"/>
      <c r="AO6472" s="498"/>
      <c r="AP6472" s="498"/>
      <c r="AQ6472" s="498"/>
      <c r="AR6472" s="498"/>
      <c r="AS6472" s="498"/>
      <c r="AT6472" s="498"/>
      <c r="AU6472" s="498"/>
      <c r="AV6472" s="498"/>
      <c r="AW6472" s="498"/>
      <c r="AX6472" s="498"/>
      <c r="AY6472" s="498"/>
      <c r="AZ6472" s="498"/>
      <c r="BA6472" s="498"/>
    </row>
    <row r="6473" spans="1:53" s="499" customFormat="1" x14ac:dyDescent="0.25">
      <c r="A6473" s="500"/>
      <c r="B6473" s="501"/>
      <c r="C6473" s="502"/>
      <c r="D6473" s="497"/>
      <c r="E6473" s="497"/>
      <c r="F6473" s="502"/>
      <c r="G6473" s="497"/>
      <c r="H6473" s="497"/>
      <c r="I6473" s="497"/>
      <c r="J6473" s="497"/>
      <c r="K6473" s="500"/>
      <c r="L6473" s="497"/>
      <c r="M6473"/>
      <c r="N6473" s="498"/>
      <c r="O6473" s="498"/>
      <c r="P6473" s="498"/>
      <c r="Q6473" s="498"/>
      <c r="R6473" s="498"/>
      <c r="T6473" s="498"/>
      <c r="U6473" s="498"/>
      <c r="V6473" s="498"/>
      <c r="W6473" s="498"/>
      <c r="X6473" s="498"/>
      <c r="Y6473" s="498"/>
      <c r="Z6473" s="498"/>
      <c r="AA6473" s="498"/>
      <c r="AB6473" s="498"/>
      <c r="AC6473" s="498"/>
      <c r="AD6473" s="498"/>
      <c r="AE6473" s="498"/>
      <c r="AF6473" s="498"/>
      <c r="AG6473" s="498"/>
      <c r="AH6473" s="498"/>
      <c r="AI6473" s="498"/>
      <c r="AK6473" s="498"/>
      <c r="AL6473" s="498"/>
      <c r="AM6473" s="498"/>
      <c r="AN6473" s="498"/>
      <c r="AO6473" s="498"/>
      <c r="AP6473" s="498"/>
      <c r="AQ6473" s="498"/>
      <c r="AR6473" s="498"/>
      <c r="AS6473" s="498"/>
      <c r="AT6473" s="498"/>
      <c r="AU6473" s="498"/>
      <c r="AV6473" s="498"/>
      <c r="AW6473" s="498"/>
      <c r="AX6473" s="498"/>
      <c r="AY6473" s="498"/>
      <c r="AZ6473" s="498"/>
      <c r="BA6473" s="498"/>
    </row>
    <row r="6474" spans="1:53" s="499" customFormat="1" x14ac:dyDescent="0.25">
      <c r="A6474" s="500"/>
      <c r="B6474" s="501"/>
      <c r="C6474" s="502"/>
      <c r="D6474" s="497"/>
      <c r="E6474" s="497"/>
      <c r="F6474" s="502"/>
      <c r="G6474" s="497"/>
      <c r="H6474" s="497"/>
      <c r="I6474" s="497"/>
      <c r="J6474" s="497"/>
      <c r="K6474" s="500"/>
      <c r="L6474" s="497"/>
      <c r="M6474"/>
      <c r="N6474" s="498"/>
      <c r="O6474" s="498"/>
      <c r="P6474" s="498"/>
      <c r="Q6474" s="498"/>
      <c r="R6474" s="498"/>
      <c r="T6474" s="498"/>
      <c r="U6474" s="498"/>
      <c r="V6474" s="498"/>
      <c r="W6474" s="498"/>
      <c r="X6474" s="498"/>
      <c r="Y6474" s="498"/>
      <c r="Z6474" s="498"/>
      <c r="AA6474" s="498"/>
      <c r="AB6474" s="498"/>
      <c r="AC6474" s="498"/>
      <c r="AD6474" s="498"/>
      <c r="AE6474" s="498"/>
      <c r="AF6474" s="498"/>
      <c r="AG6474" s="498"/>
      <c r="AH6474" s="498"/>
      <c r="AI6474" s="498"/>
      <c r="AK6474" s="498"/>
      <c r="AL6474" s="498"/>
      <c r="AM6474" s="498"/>
      <c r="AN6474" s="498"/>
      <c r="AO6474" s="498"/>
      <c r="AP6474" s="498"/>
      <c r="AQ6474" s="498"/>
      <c r="AR6474" s="498"/>
      <c r="AS6474" s="498"/>
      <c r="AT6474" s="498"/>
      <c r="AU6474" s="498"/>
      <c r="AV6474" s="498"/>
      <c r="AW6474" s="498"/>
      <c r="AX6474" s="498"/>
      <c r="AY6474" s="498"/>
      <c r="AZ6474" s="498"/>
      <c r="BA6474" s="498"/>
    </row>
    <row r="6475" spans="1:53" s="499" customFormat="1" x14ac:dyDescent="0.25">
      <c r="A6475" s="500"/>
      <c r="B6475" s="501"/>
      <c r="C6475" s="502"/>
      <c r="D6475" s="497"/>
      <c r="E6475" s="497"/>
      <c r="F6475" s="502"/>
      <c r="G6475" s="497"/>
      <c r="H6475" s="497"/>
      <c r="I6475" s="497"/>
      <c r="J6475" s="497"/>
      <c r="K6475" s="500"/>
      <c r="L6475" s="497"/>
      <c r="M6475"/>
      <c r="N6475" s="498"/>
      <c r="O6475" s="498"/>
      <c r="P6475" s="498"/>
      <c r="Q6475" s="498"/>
      <c r="R6475" s="498"/>
      <c r="T6475" s="498"/>
      <c r="U6475" s="498"/>
      <c r="V6475" s="498"/>
      <c r="W6475" s="498"/>
      <c r="X6475" s="498"/>
      <c r="Y6475" s="498"/>
      <c r="Z6475" s="498"/>
      <c r="AA6475" s="498"/>
      <c r="AB6475" s="498"/>
      <c r="AC6475" s="498"/>
      <c r="AD6475" s="498"/>
      <c r="AE6475" s="498"/>
      <c r="AF6475" s="498"/>
      <c r="AG6475" s="498"/>
      <c r="AH6475" s="498"/>
      <c r="AI6475" s="498"/>
      <c r="AK6475" s="498"/>
      <c r="AL6475" s="498"/>
      <c r="AM6475" s="498"/>
      <c r="AN6475" s="498"/>
      <c r="AO6475" s="498"/>
      <c r="AP6475" s="498"/>
      <c r="AQ6475" s="498"/>
      <c r="AR6475" s="498"/>
      <c r="AS6475" s="498"/>
      <c r="AT6475" s="498"/>
      <c r="AU6475" s="498"/>
      <c r="AV6475" s="498"/>
      <c r="AW6475" s="498"/>
      <c r="AX6475" s="498"/>
      <c r="AY6475" s="498"/>
      <c r="AZ6475" s="498"/>
      <c r="BA6475" s="498"/>
    </row>
    <row r="6476" spans="1:53" s="499" customFormat="1" x14ac:dyDescent="0.25">
      <c r="A6476" s="500"/>
      <c r="B6476" s="501"/>
      <c r="C6476" s="502"/>
      <c r="D6476" s="497"/>
      <c r="E6476" s="497"/>
      <c r="F6476" s="502"/>
      <c r="G6476" s="497"/>
      <c r="H6476" s="497"/>
      <c r="I6476" s="497"/>
      <c r="J6476" s="497"/>
      <c r="K6476" s="500"/>
      <c r="L6476" s="497"/>
      <c r="M6476"/>
      <c r="N6476" s="498"/>
      <c r="O6476" s="498"/>
      <c r="P6476" s="498"/>
      <c r="Q6476" s="498"/>
      <c r="R6476" s="498"/>
      <c r="T6476" s="498"/>
      <c r="U6476" s="498"/>
      <c r="V6476" s="498"/>
      <c r="W6476" s="498"/>
      <c r="X6476" s="498"/>
      <c r="Y6476" s="498"/>
      <c r="Z6476" s="498"/>
      <c r="AA6476" s="498"/>
      <c r="AB6476" s="498"/>
      <c r="AC6476" s="498"/>
      <c r="AD6476" s="498"/>
      <c r="AE6476" s="498"/>
      <c r="AF6476" s="498"/>
      <c r="AG6476" s="498"/>
      <c r="AH6476" s="498"/>
      <c r="AI6476" s="498"/>
      <c r="AK6476" s="498"/>
      <c r="AL6476" s="498"/>
      <c r="AM6476" s="498"/>
      <c r="AN6476" s="498"/>
      <c r="AO6476" s="498"/>
      <c r="AP6476" s="498"/>
      <c r="AQ6476" s="498"/>
      <c r="AR6476" s="498"/>
      <c r="AS6476" s="498"/>
      <c r="AT6476" s="498"/>
      <c r="AU6476" s="498"/>
      <c r="AV6476" s="498"/>
      <c r="AW6476" s="498"/>
      <c r="AX6476" s="498"/>
      <c r="AY6476" s="498"/>
      <c r="AZ6476" s="498"/>
      <c r="BA6476" s="498"/>
    </row>
    <row r="6477" spans="1:53" s="499" customFormat="1" x14ac:dyDescent="0.25">
      <c r="A6477" s="500"/>
      <c r="B6477" s="501"/>
      <c r="C6477" s="502"/>
      <c r="D6477" s="497"/>
      <c r="E6477" s="497"/>
      <c r="F6477" s="502"/>
      <c r="G6477" s="497"/>
      <c r="H6477" s="497"/>
      <c r="I6477" s="497"/>
      <c r="J6477" s="497"/>
      <c r="K6477" s="500"/>
      <c r="L6477" s="497"/>
      <c r="M6477"/>
      <c r="N6477" s="498"/>
      <c r="O6477" s="498"/>
      <c r="P6477" s="498"/>
      <c r="Q6477" s="498"/>
      <c r="R6477" s="498"/>
      <c r="T6477" s="498"/>
      <c r="U6477" s="498"/>
      <c r="V6477" s="498"/>
      <c r="W6477" s="498"/>
      <c r="X6477" s="498"/>
      <c r="Y6477" s="498"/>
      <c r="Z6477" s="498"/>
      <c r="AA6477" s="498"/>
      <c r="AB6477" s="498"/>
      <c r="AC6477" s="498"/>
      <c r="AD6477" s="498"/>
      <c r="AE6477" s="498"/>
      <c r="AF6477" s="498"/>
      <c r="AG6477" s="498"/>
      <c r="AH6477" s="498"/>
      <c r="AI6477" s="498"/>
      <c r="AK6477" s="498"/>
      <c r="AL6477" s="498"/>
      <c r="AM6477" s="498"/>
      <c r="AN6477" s="498"/>
      <c r="AO6477" s="498"/>
      <c r="AP6477" s="498"/>
      <c r="AQ6477" s="498"/>
      <c r="AR6477" s="498"/>
      <c r="AS6477" s="498"/>
      <c r="AT6477" s="498"/>
      <c r="AU6477" s="498"/>
      <c r="AV6477" s="498"/>
      <c r="AW6477" s="498"/>
      <c r="AX6477" s="498"/>
      <c r="AY6477" s="498"/>
      <c r="AZ6477" s="498"/>
      <c r="BA6477" s="498"/>
    </row>
    <row r="6478" spans="1:53" s="499" customFormat="1" x14ac:dyDescent="0.25">
      <c r="A6478" s="500"/>
      <c r="B6478" s="501"/>
      <c r="C6478" s="502"/>
      <c r="D6478" s="497"/>
      <c r="E6478" s="497"/>
      <c r="F6478" s="502"/>
      <c r="G6478" s="497"/>
      <c r="H6478" s="497"/>
      <c r="I6478" s="497"/>
      <c r="J6478" s="497"/>
      <c r="K6478" s="500"/>
      <c r="L6478" s="497"/>
      <c r="M6478"/>
      <c r="N6478" s="498"/>
      <c r="O6478" s="498"/>
      <c r="P6478" s="498"/>
      <c r="Q6478" s="498"/>
      <c r="R6478" s="498"/>
      <c r="T6478" s="498"/>
      <c r="U6478" s="498"/>
      <c r="V6478" s="498"/>
      <c r="W6478" s="498"/>
      <c r="X6478" s="498"/>
      <c r="Y6478" s="498"/>
      <c r="Z6478" s="498"/>
      <c r="AA6478" s="498"/>
      <c r="AB6478" s="498"/>
      <c r="AC6478" s="498"/>
      <c r="AD6478" s="498"/>
      <c r="AE6478" s="498"/>
      <c r="AF6478" s="498"/>
      <c r="AG6478" s="498"/>
      <c r="AH6478" s="498"/>
      <c r="AI6478" s="498"/>
      <c r="AK6478" s="498"/>
      <c r="AL6478" s="498"/>
      <c r="AM6478" s="498"/>
      <c r="AN6478" s="498"/>
      <c r="AO6478" s="498"/>
      <c r="AP6478" s="498"/>
      <c r="AQ6478" s="498"/>
      <c r="AR6478" s="498"/>
      <c r="AS6478" s="498"/>
      <c r="AT6478" s="498"/>
      <c r="AU6478" s="498"/>
      <c r="AV6478" s="498"/>
      <c r="AW6478" s="498"/>
      <c r="AX6478" s="498"/>
      <c r="AY6478" s="498"/>
      <c r="AZ6478" s="498"/>
      <c r="BA6478" s="498"/>
    </row>
    <row r="6479" spans="1:53" s="499" customFormat="1" x14ac:dyDescent="0.25">
      <c r="A6479" s="500"/>
      <c r="B6479" s="501"/>
      <c r="C6479" s="502"/>
      <c r="D6479" s="497"/>
      <c r="E6479" s="497"/>
      <c r="F6479" s="502"/>
      <c r="G6479" s="497"/>
      <c r="H6479" s="497"/>
      <c r="I6479" s="497"/>
      <c r="J6479" s="497"/>
      <c r="K6479" s="500"/>
      <c r="L6479" s="497"/>
      <c r="M6479"/>
      <c r="N6479" s="498"/>
      <c r="O6479" s="498"/>
      <c r="P6479" s="498"/>
      <c r="Q6479" s="498"/>
      <c r="R6479" s="498"/>
      <c r="T6479" s="498"/>
      <c r="U6479" s="498"/>
      <c r="V6479" s="498"/>
      <c r="W6479" s="498"/>
      <c r="X6479" s="498"/>
      <c r="Y6479" s="498"/>
      <c r="Z6479" s="498"/>
      <c r="AA6479" s="498"/>
      <c r="AB6479" s="498"/>
      <c r="AC6479" s="498"/>
      <c r="AD6479" s="498"/>
      <c r="AE6479" s="498"/>
      <c r="AF6479" s="498"/>
      <c r="AG6479" s="498"/>
      <c r="AH6479" s="498"/>
      <c r="AI6479" s="498"/>
      <c r="AK6479" s="498"/>
      <c r="AL6479" s="498"/>
      <c r="AM6479" s="498"/>
      <c r="AN6479" s="498"/>
      <c r="AO6479" s="498"/>
      <c r="AP6479" s="498"/>
      <c r="AQ6479" s="498"/>
      <c r="AR6479" s="498"/>
      <c r="AS6479" s="498"/>
      <c r="AT6479" s="498"/>
      <c r="AU6479" s="498"/>
      <c r="AV6479" s="498"/>
      <c r="AW6479" s="498"/>
      <c r="AX6479" s="498"/>
      <c r="AY6479" s="498"/>
      <c r="AZ6479" s="498"/>
      <c r="BA6479" s="498"/>
    </row>
    <row r="6480" spans="1:53" s="499" customFormat="1" x14ac:dyDescent="0.25">
      <c r="A6480" s="500"/>
      <c r="B6480" s="501"/>
      <c r="C6480" s="502"/>
      <c r="D6480" s="497"/>
      <c r="E6480" s="497"/>
      <c r="F6480" s="502"/>
      <c r="G6480" s="497"/>
      <c r="H6480" s="497"/>
      <c r="I6480" s="497"/>
      <c r="J6480" s="497"/>
      <c r="K6480" s="500"/>
      <c r="L6480" s="497"/>
      <c r="M6480"/>
      <c r="N6480" s="498"/>
      <c r="O6480" s="498"/>
      <c r="P6480" s="498"/>
      <c r="Q6480" s="498"/>
      <c r="R6480" s="498"/>
      <c r="T6480" s="498"/>
      <c r="U6480" s="498"/>
      <c r="V6480" s="498"/>
      <c r="W6480" s="498"/>
      <c r="X6480" s="498"/>
      <c r="Y6480" s="498"/>
      <c r="Z6480" s="498"/>
      <c r="AA6480" s="498"/>
      <c r="AB6480" s="498"/>
      <c r="AC6480" s="498"/>
      <c r="AD6480" s="498"/>
      <c r="AE6480" s="498"/>
      <c r="AF6480" s="498"/>
      <c r="AG6480" s="498"/>
      <c r="AH6480" s="498"/>
      <c r="AI6480" s="498"/>
      <c r="AK6480" s="498"/>
      <c r="AL6480" s="498"/>
      <c r="AM6480" s="498"/>
      <c r="AN6480" s="498"/>
      <c r="AO6480" s="498"/>
      <c r="AP6480" s="498"/>
      <c r="AQ6480" s="498"/>
      <c r="AR6480" s="498"/>
      <c r="AS6480" s="498"/>
      <c r="AT6480" s="498"/>
      <c r="AU6480" s="498"/>
      <c r="AV6480" s="498"/>
      <c r="AW6480" s="498"/>
      <c r="AX6480" s="498"/>
      <c r="AY6480" s="498"/>
      <c r="AZ6480" s="498"/>
      <c r="BA6480" s="498"/>
    </row>
    <row r="6481" spans="1:53" s="499" customFormat="1" x14ac:dyDescent="0.25">
      <c r="A6481" s="500"/>
      <c r="B6481" s="501"/>
      <c r="C6481" s="502"/>
      <c r="D6481" s="497"/>
      <c r="E6481" s="497"/>
      <c r="F6481" s="502"/>
      <c r="G6481" s="497"/>
      <c r="H6481" s="497"/>
      <c r="I6481" s="497"/>
      <c r="J6481" s="497"/>
      <c r="K6481" s="500"/>
      <c r="L6481" s="497"/>
      <c r="M6481"/>
      <c r="N6481" s="498"/>
      <c r="O6481" s="498"/>
      <c r="P6481" s="498"/>
      <c r="Q6481" s="498"/>
      <c r="R6481" s="498"/>
      <c r="T6481" s="498"/>
      <c r="U6481" s="498"/>
      <c r="V6481" s="498"/>
      <c r="W6481" s="498"/>
      <c r="X6481" s="498"/>
      <c r="Y6481" s="498"/>
      <c r="Z6481" s="498"/>
      <c r="AA6481" s="498"/>
      <c r="AB6481" s="498"/>
      <c r="AC6481" s="498"/>
      <c r="AD6481" s="498"/>
      <c r="AE6481" s="498"/>
      <c r="AF6481" s="498"/>
      <c r="AG6481" s="498"/>
      <c r="AH6481" s="498"/>
      <c r="AI6481" s="498"/>
      <c r="AK6481" s="498"/>
      <c r="AL6481" s="498"/>
      <c r="AM6481" s="498"/>
      <c r="AN6481" s="498"/>
      <c r="AO6481" s="498"/>
      <c r="AP6481" s="498"/>
      <c r="AQ6481" s="498"/>
      <c r="AR6481" s="498"/>
      <c r="AS6481" s="498"/>
      <c r="AT6481" s="498"/>
      <c r="AU6481" s="498"/>
      <c r="AV6481" s="498"/>
      <c r="AW6481" s="498"/>
      <c r="AX6481" s="498"/>
      <c r="AY6481" s="498"/>
      <c r="AZ6481" s="498"/>
      <c r="BA6481" s="498"/>
    </row>
    <row r="6482" spans="1:53" s="499" customFormat="1" x14ac:dyDescent="0.25">
      <c r="A6482" s="500"/>
      <c r="B6482" s="501"/>
      <c r="C6482" s="502"/>
      <c r="D6482" s="497"/>
      <c r="E6482" s="497"/>
      <c r="F6482" s="502"/>
      <c r="G6482" s="497"/>
      <c r="H6482" s="497"/>
      <c r="I6482" s="497"/>
      <c r="J6482" s="497"/>
      <c r="K6482" s="500"/>
      <c r="L6482" s="497"/>
      <c r="M6482"/>
      <c r="N6482" s="498"/>
      <c r="O6482" s="498"/>
      <c r="P6482" s="498"/>
      <c r="Q6482" s="498"/>
      <c r="R6482" s="498"/>
      <c r="T6482" s="498"/>
      <c r="U6482" s="498"/>
      <c r="V6482" s="498"/>
      <c r="W6482" s="498"/>
      <c r="X6482" s="498"/>
      <c r="Y6482" s="498"/>
      <c r="Z6482" s="498"/>
      <c r="AA6482" s="498"/>
      <c r="AB6482" s="498"/>
      <c r="AC6482" s="498"/>
      <c r="AD6482" s="498"/>
      <c r="AE6482" s="498"/>
      <c r="AF6482" s="498"/>
      <c r="AG6482" s="498"/>
      <c r="AH6482" s="498"/>
      <c r="AI6482" s="498"/>
      <c r="AK6482" s="498"/>
      <c r="AL6482" s="498"/>
      <c r="AM6482" s="498"/>
      <c r="AN6482" s="498"/>
      <c r="AO6482" s="498"/>
      <c r="AP6482" s="498"/>
      <c r="AQ6482" s="498"/>
      <c r="AR6482" s="498"/>
      <c r="AS6482" s="498"/>
      <c r="AT6482" s="498"/>
      <c r="AU6482" s="498"/>
      <c r="AV6482" s="498"/>
      <c r="AW6482" s="498"/>
      <c r="AX6482" s="498"/>
      <c r="AY6482" s="498"/>
      <c r="AZ6482" s="498"/>
      <c r="BA6482" s="498"/>
    </row>
    <row r="6483" spans="1:53" s="499" customFormat="1" x14ac:dyDescent="0.25">
      <c r="A6483" s="500"/>
      <c r="B6483" s="501"/>
      <c r="C6483" s="502"/>
      <c r="D6483" s="497"/>
      <c r="E6483" s="497"/>
      <c r="F6483" s="502"/>
      <c r="G6483" s="497"/>
      <c r="H6483" s="497"/>
      <c r="I6483" s="497"/>
      <c r="J6483" s="497"/>
      <c r="K6483" s="500"/>
      <c r="L6483" s="497"/>
      <c r="M6483"/>
      <c r="N6483" s="498"/>
      <c r="O6483" s="498"/>
      <c r="P6483" s="498"/>
      <c r="Q6483" s="498"/>
      <c r="R6483" s="498"/>
      <c r="T6483" s="498"/>
      <c r="U6483" s="498"/>
      <c r="V6483" s="498"/>
      <c r="W6483" s="498"/>
      <c r="X6483" s="498"/>
      <c r="Y6483" s="498"/>
      <c r="Z6483" s="498"/>
      <c r="AA6483" s="498"/>
      <c r="AB6483" s="498"/>
      <c r="AC6483" s="498"/>
      <c r="AD6483" s="498"/>
      <c r="AE6483" s="498"/>
      <c r="AF6483" s="498"/>
      <c r="AG6483" s="498"/>
      <c r="AH6483" s="498"/>
      <c r="AI6483" s="498"/>
      <c r="AK6483" s="498"/>
      <c r="AL6483" s="498"/>
      <c r="AM6483" s="498"/>
      <c r="AN6483" s="498"/>
      <c r="AO6483" s="498"/>
      <c r="AP6483" s="498"/>
      <c r="AQ6483" s="498"/>
      <c r="AR6483" s="498"/>
      <c r="AS6483" s="498"/>
      <c r="AT6483" s="498"/>
      <c r="AU6483" s="498"/>
      <c r="AV6483" s="498"/>
      <c r="AW6483" s="498"/>
      <c r="AX6483" s="498"/>
      <c r="AY6483" s="498"/>
      <c r="AZ6483" s="498"/>
      <c r="BA6483" s="498"/>
    </row>
    <row r="6484" spans="1:53" s="499" customFormat="1" x14ac:dyDescent="0.25">
      <c r="A6484" s="500"/>
      <c r="B6484" s="501"/>
      <c r="C6484" s="502"/>
      <c r="D6484" s="497"/>
      <c r="E6484" s="497"/>
      <c r="F6484" s="502"/>
      <c r="G6484" s="497"/>
      <c r="H6484" s="497"/>
      <c r="I6484" s="497"/>
      <c r="J6484" s="497"/>
      <c r="K6484" s="500"/>
      <c r="L6484" s="497"/>
      <c r="M6484"/>
      <c r="N6484" s="498"/>
      <c r="O6484" s="498"/>
      <c r="P6484" s="498"/>
      <c r="Q6484" s="498"/>
      <c r="R6484" s="498"/>
      <c r="T6484" s="498"/>
      <c r="U6484" s="498"/>
      <c r="V6484" s="498"/>
      <c r="W6484" s="498"/>
      <c r="X6484" s="498"/>
      <c r="Y6484" s="498"/>
      <c r="Z6484" s="498"/>
      <c r="AA6484" s="498"/>
      <c r="AB6484" s="498"/>
      <c r="AC6484" s="498"/>
      <c r="AD6484" s="498"/>
      <c r="AE6484" s="498"/>
      <c r="AF6484" s="498"/>
      <c r="AG6484" s="498"/>
      <c r="AH6484" s="498"/>
      <c r="AI6484" s="498"/>
      <c r="AK6484" s="498"/>
      <c r="AL6484" s="498"/>
      <c r="AM6484" s="498"/>
      <c r="AN6484" s="498"/>
      <c r="AO6484" s="498"/>
      <c r="AP6484" s="498"/>
      <c r="AQ6484" s="498"/>
      <c r="AR6484" s="498"/>
      <c r="AS6484" s="498"/>
      <c r="AT6484" s="498"/>
      <c r="AU6484" s="498"/>
      <c r="AV6484" s="498"/>
      <c r="AW6484" s="498"/>
      <c r="AX6484" s="498"/>
      <c r="AY6484" s="498"/>
      <c r="AZ6484" s="498"/>
      <c r="BA6484" s="498"/>
    </row>
    <row r="6485" spans="1:53" s="499" customFormat="1" x14ac:dyDescent="0.25">
      <c r="A6485" s="500"/>
      <c r="B6485" s="501"/>
      <c r="C6485" s="502"/>
      <c r="D6485" s="497"/>
      <c r="E6485" s="497"/>
      <c r="F6485" s="502"/>
      <c r="G6485" s="497"/>
      <c r="H6485" s="497"/>
      <c r="I6485" s="497"/>
      <c r="J6485" s="497"/>
      <c r="K6485" s="500"/>
      <c r="L6485" s="497"/>
      <c r="M6485"/>
      <c r="N6485" s="498"/>
      <c r="O6485" s="498"/>
      <c r="P6485" s="498"/>
      <c r="Q6485" s="498"/>
      <c r="R6485" s="498"/>
      <c r="T6485" s="498"/>
      <c r="U6485" s="498"/>
      <c r="V6485" s="498"/>
      <c r="W6485" s="498"/>
      <c r="X6485" s="498"/>
      <c r="Y6485" s="498"/>
      <c r="Z6485" s="498"/>
      <c r="AA6485" s="498"/>
      <c r="AB6485" s="498"/>
      <c r="AC6485" s="498"/>
      <c r="AD6485" s="498"/>
      <c r="AE6485" s="498"/>
      <c r="AF6485" s="498"/>
      <c r="AG6485" s="498"/>
      <c r="AH6485" s="498"/>
      <c r="AI6485" s="498"/>
      <c r="AK6485" s="498"/>
      <c r="AL6485" s="498"/>
      <c r="AM6485" s="498"/>
      <c r="AN6485" s="498"/>
      <c r="AO6485" s="498"/>
      <c r="AP6485" s="498"/>
      <c r="AQ6485" s="498"/>
      <c r="AR6485" s="498"/>
      <c r="AS6485" s="498"/>
      <c r="AT6485" s="498"/>
      <c r="AU6485" s="498"/>
      <c r="AV6485" s="498"/>
      <c r="AW6485" s="498"/>
      <c r="AX6485" s="498"/>
      <c r="AY6485" s="498"/>
      <c r="AZ6485" s="498"/>
      <c r="BA6485" s="498"/>
    </row>
    <row r="6486" spans="1:53" s="499" customFormat="1" x14ac:dyDescent="0.25">
      <c r="A6486" s="500"/>
      <c r="B6486" s="501"/>
      <c r="C6486" s="502"/>
      <c r="D6486" s="497"/>
      <c r="E6486" s="497"/>
      <c r="F6486" s="502"/>
      <c r="G6486" s="497"/>
      <c r="H6486" s="497"/>
      <c r="I6486" s="497"/>
      <c r="J6486" s="497"/>
      <c r="K6486" s="500"/>
      <c r="L6486" s="497"/>
      <c r="M6486"/>
      <c r="N6486" s="498"/>
      <c r="O6486" s="498"/>
      <c r="P6486" s="498"/>
      <c r="Q6486" s="498"/>
      <c r="R6486" s="498"/>
      <c r="T6486" s="498"/>
      <c r="U6486" s="498"/>
      <c r="V6486" s="498"/>
      <c r="W6486" s="498"/>
      <c r="X6486" s="498"/>
      <c r="Y6486" s="498"/>
      <c r="Z6486" s="498"/>
      <c r="AA6486" s="498"/>
      <c r="AB6486" s="498"/>
      <c r="AC6486" s="498"/>
      <c r="AD6486" s="498"/>
      <c r="AE6486" s="498"/>
      <c r="AF6486" s="498"/>
      <c r="AG6486" s="498"/>
      <c r="AH6486" s="498"/>
      <c r="AI6486" s="498"/>
      <c r="AK6486" s="498"/>
      <c r="AL6486" s="498"/>
      <c r="AM6486" s="498"/>
      <c r="AN6486" s="498"/>
      <c r="AO6486" s="498"/>
      <c r="AP6486" s="498"/>
      <c r="AQ6486" s="498"/>
      <c r="AR6486" s="498"/>
      <c r="AS6486" s="498"/>
      <c r="AT6486" s="498"/>
      <c r="AU6486" s="498"/>
      <c r="AV6486" s="498"/>
      <c r="AW6486" s="498"/>
      <c r="AX6486" s="498"/>
      <c r="AY6486" s="498"/>
      <c r="AZ6486" s="498"/>
      <c r="BA6486" s="498"/>
    </row>
    <row r="6487" spans="1:53" s="499" customFormat="1" x14ac:dyDescent="0.25">
      <c r="A6487" s="500"/>
      <c r="B6487" s="501"/>
      <c r="C6487" s="502"/>
      <c r="D6487" s="497"/>
      <c r="E6487" s="497"/>
      <c r="F6487" s="502"/>
      <c r="G6487" s="497"/>
      <c r="H6487" s="497"/>
      <c r="I6487" s="497"/>
      <c r="J6487" s="497"/>
      <c r="K6487" s="500"/>
      <c r="L6487" s="497"/>
      <c r="M6487"/>
      <c r="N6487" s="498"/>
      <c r="O6487" s="498"/>
      <c r="P6487" s="498"/>
      <c r="Q6487" s="498"/>
      <c r="R6487" s="498"/>
      <c r="T6487" s="498"/>
      <c r="U6487" s="498"/>
      <c r="V6487" s="498"/>
      <c r="W6487" s="498"/>
      <c r="X6487" s="498"/>
      <c r="Y6487" s="498"/>
      <c r="Z6487" s="498"/>
      <c r="AA6487" s="498"/>
      <c r="AB6487" s="498"/>
      <c r="AC6487" s="498"/>
      <c r="AD6487" s="498"/>
      <c r="AE6487" s="498"/>
      <c r="AF6487" s="498"/>
      <c r="AG6487" s="498"/>
      <c r="AH6487" s="498"/>
      <c r="AI6487" s="498"/>
      <c r="AK6487" s="498"/>
      <c r="AL6487" s="498"/>
      <c r="AM6487" s="498"/>
      <c r="AN6487" s="498"/>
      <c r="AO6487" s="498"/>
      <c r="AP6487" s="498"/>
      <c r="AQ6487" s="498"/>
      <c r="AR6487" s="498"/>
      <c r="AS6487" s="498"/>
      <c r="AT6487" s="498"/>
      <c r="AU6487" s="498"/>
      <c r="AV6487" s="498"/>
      <c r="AW6487" s="498"/>
      <c r="AX6487" s="498"/>
      <c r="AY6487" s="498"/>
      <c r="AZ6487" s="498"/>
      <c r="BA6487" s="498"/>
    </row>
    <row r="6488" spans="1:53" s="499" customFormat="1" x14ac:dyDescent="0.25">
      <c r="A6488" s="500"/>
      <c r="B6488" s="501"/>
      <c r="C6488" s="502"/>
      <c r="D6488" s="497"/>
      <c r="E6488" s="497"/>
      <c r="F6488" s="502"/>
      <c r="G6488" s="497"/>
      <c r="H6488" s="497"/>
      <c r="I6488" s="497"/>
      <c r="J6488" s="497"/>
      <c r="K6488" s="500"/>
      <c r="L6488" s="497"/>
      <c r="M6488"/>
      <c r="N6488" s="498"/>
      <c r="O6488" s="498"/>
      <c r="P6488" s="498"/>
      <c r="Q6488" s="498"/>
      <c r="R6488" s="498"/>
      <c r="T6488" s="498"/>
      <c r="U6488" s="498"/>
      <c r="V6488" s="498"/>
      <c r="W6488" s="498"/>
      <c r="X6488" s="498"/>
      <c r="Y6488" s="498"/>
      <c r="Z6488" s="498"/>
      <c r="AA6488" s="498"/>
      <c r="AB6488" s="498"/>
      <c r="AC6488" s="498"/>
      <c r="AD6488" s="498"/>
      <c r="AE6488" s="498"/>
      <c r="AF6488" s="498"/>
      <c r="AG6488" s="498"/>
      <c r="AH6488" s="498"/>
      <c r="AI6488" s="498"/>
      <c r="AK6488" s="498"/>
      <c r="AL6488" s="498"/>
      <c r="AM6488" s="498"/>
      <c r="AN6488" s="498"/>
      <c r="AO6488" s="498"/>
      <c r="AP6488" s="498"/>
      <c r="AQ6488" s="498"/>
      <c r="AR6488" s="498"/>
      <c r="AS6488" s="498"/>
      <c r="AT6488" s="498"/>
      <c r="AU6488" s="498"/>
      <c r="AV6488" s="498"/>
      <c r="AW6488" s="498"/>
      <c r="AX6488" s="498"/>
      <c r="AY6488" s="498"/>
      <c r="AZ6488" s="498"/>
      <c r="BA6488" s="498"/>
    </row>
    <row r="6489" spans="1:53" s="499" customFormat="1" x14ac:dyDescent="0.25">
      <c r="A6489" s="500"/>
      <c r="B6489" s="501"/>
      <c r="C6489" s="502"/>
      <c r="D6489" s="497"/>
      <c r="E6489" s="497"/>
      <c r="F6489" s="502"/>
      <c r="G6489" s="497"/>
      <c r="H6489" s="497"/>
      <c r="I6489" s="497"/>
      <c r="J6489" s="497"/>
      <c r="K6489" s="500"/>
      <c r="L6489" s="497"/>
      <c r="M6489"/>
      <c r="N6489" s="498"/>
      <c r="O6489" s="498"/>
      <c r="P6489" s="498"/>
      <c r="Q6489" s="498"/>
      <c r="R6489" s="498"/>
      <c r="T6489" s="498"/>
      <c r="U6489" s="498"/>
      <c r="V6489" s="498"/>
      <c r="W6489" s="498"/>
      <c r="X6489" s="498"/>
      <c r="Y6489" s="498"/>
      <c r="Z6489" s="498"/>
      <c r="AA6489" s="498"/>
      <c r="AB6489" s="498"/>
      <c r="AC6489" s="498"/>
      <c r="AD6489" s="498"/>
      <c r="AE6489" s="498"/>
      <c r="AF6489" s="498"/>
      <c r="AG6489" s="498"/>
      <c r="AH6489" s="498"/>
      <c r="AI6489" s="498"/>
      <c r="AK6489" s="498"/>
      <c r="AL6489" s="498"/>
      <c r="AM6489" s="498"/>
      <c r="AN6489" s="498"/>
      <c r="AO6489" s="498"/>
      <c r="AP6489" s="498"/>
      <c r="AQ6489" s="498"/>
      <c r="AR6489" s="498"/>
      <c r="AS6489" s="498"/>
      <c r="AT6489" s="498"/>
      <c r="AU6489" s="498"/>
      <c r="AV6489" s="498"/>
      <c r="AW6489" s="498"/>
      <c r="AX6489" s="498"/>
      <c r="AY6489" s="498"/>
      <c r="AZ6489" s="498"/>
      <c r="BA6489" s="498"/>
    </row>
    <row r="6490" spans="1:53" s="499" customFormat="1" x14ac:dyDescent="0.25">
      <c r="A6490" s="500"/>
      <c r="B6490" s="501"/>
      <c r="C6490" s="502"/>
      <c r="D6490" s="497"/>
      <c r="E6490" s="497"/>
      <c r="F6490" s="502"/>
      <c r="G6490" s="497"/>
      <c r="H6490" s="497"/>
      <c r="I6490" s="497"/>
      <c r="J6490" s="497"/>
      <c r="K6490" s="500"/>
      <c r="L6490" s="497"/>
      <c r="M6490"/>
      <c r="N6490" s="498"/>
      <c r="O6490" s="498"/>
      <c r="P6490" s="498"/>
      <c r="Q6490" s="498"/>
      <c r="R6490" s="498"/>
      <c r="T6490" s="498"/>
      <c r="U6490" s="498"/>
      <c r="V6490" s="498"/>
      <c r="W6490" s="498"/>
      <c r="X6490" s="498"/>
      <c r="Y6490" s="498"/>
      <c r="Z6490" s="498"/>
      <c r="AA6490" s="498"/>
      <c r="AB6490" s="498"/>
      <c r="AC6490" s="498"/>
      <c r="AD6490" s="498"/>
      <c r="AE6490" s="498"/>
      <c r="AF6490" s="498"/>
      <c r="AG6490" s="498"/>
      <c r="AH6490" s="498"/>
      <c r="AI6490" s="498"/>
      <c r="AK6490" s="498"/>
      <c r="AL6490" s="498"/>
      <c r="AM6490" s="498"/>
      <c r="AN6490" s="498"/>
      <c r="AO6490" s="498"/>
      <c r="AP6490" s="498"/>
      <c r="AQ6490" s="498"/>
      <c r="AR6490" s="498"/>
      <c r="AS6490" s="498"/>
      <c r="AT6490" s="498"/>
      <c r="AU6490" s="498"/>
      <c r="AV6490" s="498"/>
      <c r="AW6490" s="498"/>
      <c r="AX6490" s="498"/>
      <c r="AY6490" s="498"/>
      <c r="AZ6490" s="498"/>
      <c r="BA6490" s="498"/>
    </row>
    <row r="6491" spans="1:53" s="499" customFormat="1" x14ac:dyDescent="0.25">
      <c r="A6491" s="500"/>
      <c r="B6491" s="501"/>
      <c r="C6491" s="502"/>
      <c r="D6491" s="497"/>
      <c r="E6491" s="497"/>
      <c r="F6491" s="502"/>
      <c r="G6491" s="497"/>
      <c r="H6491" s="497"/>
      <c r="I6491" s="497"/>
      <c r="J6491" s="497"/>
      <c r="K6491" s="500"/>
      <c r="L6491" s="497"/>
      <c r="M6491"/>
      <c r="N6491" s="498"/>
      <c r="O6491" s="498"/>
      <c r="P6491" s="498"/>
      <c r="Q6491" s="498"/>
      <c r="R6491" s="498"/>
      <c r="T6491" s="498"/>
      <c r="U6491" s="498"/>
      <c r="V6491" s="498"/>
      <c r="W6491" s="498"/>
      <c r="X6491" s="498"/>
      <c r="Y6491" s="498"/>
      <c r="Z6491" s="498"/>
      <c r="AA6491" s="498"/>
      <c r="AB6491" s="498"/>
      <c r="AC6491" s="498"/>
      <c r="AD6491" s="498"/>
      <c r="AE6491" s="498"/>
      <c r="AF6491" s="498"/>
      <c r="AG6491" s="498"/>
      <c r="AH6491" s="498"/>
      <c r="AI6491" s="498"/>
      <c r="AK6491" s="498"/>
      <c r="AL6491" s="498"/>
      <c r="AM6491" s="498"/>
      <c r="AN6491" s="498"/>
      <c r="AO6491" s="498"/>
      <c r="AP6491" s="498"/>
      <c r="AQ6491" s="498"/>
      <c r="AR6491" s="498"/>
      <c r="AS6491" s="498"/>
      <c r="AT6491" s="498"/>
      <c r="AU6491" s="498"/>
      <c r="AV6491" s="498"/>
      <c r="AW6491" s="498"/>
      <c r="AX6491" s="498"/>
      <c r="AY6491" s="498"/>
      <c r="AZ6491" s="498"/>
      <c r="BA6491" s="498"/>
    </row>
    <row r="6492" spans="1:53" s="499" customFormat="1" x14ac:dyDescent="0.25">
      <c r="A6492" s="500"/>
      <c r="B6492" s="501"/>
      <c r="C6492" s="502"/>
      <c r="D6492" s="497"/>
      <c r="E6492" s="497"/>
      <c r="F6492" s="502"/>
      <c r="G6492" s="497"/>
      <c r="H6492" s="497"/>
      <c r="I6492" s="497"/>
      <c r="J6492" s="497"/>
      <c r="K6492" s="500"/>
      <c r="L6492" s="497"/>
      <c r="M6492"/>
      <c r="N6492" s="498"/>
      <c r="O6492" s="498"/>
      <c r="P6492" s="498"/>
      <c r="Q6492" s="498"/>
      <c r="R6492" s="498"/>
      <c r="T6492" s="498"/>
      <c r="U6492" s="498"/>
      <c r="V6492" s="498"/>
      <c r="W6492" s="498"/>
      <c r="X6492" s="498"/>
      <c r="Y6492" s="498"/>
      <c r="Z6492" s="498"/>
      <c r="AA6492" s="498"/>
      <c r="AB6492" s="498"/>
      <c r="AC6492" s="498"/>
      <c r="AD6492" s="498"/>
      <c r="AE6492" s="498"/>
      <c r="AF6492" s="498"/>
      <c r="AG6492" s="498"/>
      <c r="AH6492" s="498"/>
      <c r="AI6492" s="498"/>
      <c r="AK6492" s="498"/>
      <c r="AL6492" s="498"/>
      <c r="AM6492" s="498"/>
      <c r="AN6492" s="498"/>
      <c r="AO6492" s="498"/>
      <c r="AP6492" s="498"/>
      <c r="AQ6492" s="498"/>
      <c r="AR6492" s="498"/>
      <c r="AS6492" s="498"/>
      <c r="AT6492" s="498"/>
      <c r="AU6492" s="498"/>
      <c r="AV6492" s="498"/>
      <c r="AW6492" s="498"/>
      <c r="AX6492" s="498"/>
      <c r="AY6492" s="498"/>
      <c r="AZ6492" s="498"/>
      <c r="BA6492" s="498"/>
    </row>
    <row r="6493" spans="1:53" s="499" customFormat="1" x14ac:dyDescent="0.25">
      <c r="A6493" s="500"/>
      <c r="B6493" s="501"/>
      <c r="C6493" s="502"/>
      <c r="D6493" s="497"/>
      <c r="E6493" s="497"/>
      <c r="F6493" s="502"/>
      <c r="G6493" s="497"/>
      <c r="H6493" s="497"/>
      <c r="I6493" s="497"/>
      <c r="J6493" s="497"/>
      <c r="K6493" s="500"/>
      <c r="L6493" s="497"/>
      <c r="M6493"/>
      <c r="N6493" s="498"/>
      <c r="O6493" s="498"/>
      <c r="P6493" s="498"/>
      <c r="Q6493" s="498"/>
      <c r="R6493" s="498"/>
      <c r="T6493" s="498"/>
      <c r="U6493" s="498"/>
      <c r="V6493" s="498"/>
      <c r="W6493" s="498"/>
      <c r="X6493" s="498"/>
      <c r="Y6493" s="498"/>
      <c r="Z6493" s="498"/>
      <c r="AA6493" s="498"/>
      <c r="AB6493" s="498"/>
      <c r="AC6493" s="498"/>
      <c r="AD6493" s="498"/>
      <c r="AE6493" s="498"/>
      <c r="AF6493" s="498"/>
      <c r="AG6493" s="498"/>
      <c r="AH6493" s="498"/>
      <c r="AI6493" s="498"/>
      <c r="AK6493" s="498"/>
      <c r="AL6493" s="498"/>
      <c r="AM6493" s="498"/>
      <c r="AN6493" s="498"/>
      <c r="AO6493" s="498"/>
      <c r="AP6493" s="498"/>
      <c r="AQ6493" s="498"/>
      <c r="AR6493" s="498"/>
      <c r="AS6493" s="498"/>
      <c r="AT6493" s="498"/>
      <c r="AU6493" s="498"/>
      <c r="AV6493" s="498"/>
      <c r="AW6493" s="498"/>
      <c r="AX6493" s="498"/>
      <c r="AY6493" s="498"/>
      <c r="AZ6493" s="498"/>
      <c r="BA6493" s="498"/>
    </row>
    <row r="6494" spans="1:53" s="499" customFormat="1" x14ac:dyDescent="0.25">
      <c r="A6494" s="500"/>
      <c r="B6494" s="501"/>
      <c r="C6494" s="502"/>
      <c r="D6494" s="497"/>
      <c r="E6494" s="497"/>
      <c r="F6494" s="502"/>
      <c r="G6494" s="497"/>
      <c r="H6494" s="497"/>
      <c r="I6494" s="497"/>
      <c r="J6494" s="497"/>
      <c r="K6494" s="500"/>
      <c r="L6494" s="497"/>
      <c r="M6494"/>
      <c r="N6494" s="498"/>
      <c r="O6494" s="498"/>
      <c r="P6494" s="498"/>
      <c r="Q6494" s="498"/>
      <c r="R6494" s="498"/>
      <c r="T6494" s="498"/>
      <c r="U6494" s="498"/>
      <c r="V6494" s="498"/>
      <c r="W6494" s="498"/>
      <c r="X6494" s="498"/>
      <c r="Y6494" s="498"/>
      <c r="Z6494" s="498"/>
      <c r="AA6494" s="498"/>
      <c r="AB6494" s="498"/>
      <c r="AC6494" s="498"/>
      <c r="AD6494" s="498"/>
      <c r="AE6494" s="498"/>
      <c r="AF6494" s="498"/>
      <c r="AG6494" s="498"/>
      <c r="AH6494" s="498"/>
      <c r="AI6494" s="498"/>
      <c r="AK6494" s="498"/>
      <c r="AL6494" s="498"/>
      <c r="AM6494" s="498"/>
      <c r="AN6494" s="498"/>
      <c r="AO6494" s="498"/>
      <c r="AP6494" s="498"/>
      <c r="AQ6494" s="498"/>
      <c r="AR6494" s="498"/>
      <c r="AS6494" s="498"/>
      <c r="AT6494" s="498"/>
      <c r="AU6494" s="498"/>
      <c r="AV6494" s="498"/>
      <c r="AW6494" s="498"/>
      <c r="AX6494" s="498"/>
      <c r="AY6494" s="498"/>
      <c r="AZ6494" s="498"/>
      <c r="BA6494" s="498"/>
    </row>
    <row r="6495" spans="1:53" s="499" customFormat="1" x14ac:dyDescent="0.25">
      <c r="A6495" s="500"/>
      <c r="B6495" s="501"/>
      <c r="C6495" s="502"/>
      <c r="D6495" s="497"/>
      <c r="E6495" s="497"/>
      <c r="F6495" s="502"/>
      <c r="G6495" s="497"/>
      <c r="H6495" s="497"/>
      <c r="I6495" s="497"/>
      <c r="J6495" s="497"/>
      <c r="K6495" s="500"/>
      <c r="L6495" s="497"/>
      <c r="M6495"/>
      <c r="N6495" s="498"/>
      <c r="O6495" s="498"/>
      <c r="P6495" s="498"/>
      <c r="Q6495" s="498"/>
      <c r="R6495" s="498"/>
      <c r="T6495" s="498"/>
      <c r="U6495" s="498"/>
      <c r="V6495" s="498"/>
      <c r="W6495" s="498"/>
      <c r="X6495" s="498"/>
      <c r="Y6495" s="498"/>
      <c r="Z6495" s="498"/>
      <c r="AA6495" s="498"/>
      <c r="AB6495" s="498"/>
      <c r="AC6495" s="498"/>
      <c r="AD6495" s="498"/>
      <c r="AE6495" s="498"/>
      <c r="AF6495" s="498"/>
      <c r="AG6495" s="498"/>
      <c r="AH6495" s="498"/>
      <c r="AI6495" s="498"/>
      <c r="AK6495" s="498"/>
      <c r="AL6495" s="498"/>
      <c r="AM6495" s="498"/>
      <c r="AN6495" s="498"/>
      <c r="AO6495" s="498"/>
      <c r="AP6495" s="498"/>
      <c r="AQ6495" s="498"/>
      <c r="AR6495" s="498"/>
      <c r="AS6495" s="498"/>
      <c r="AT6495" s="498"/>
      <c r="AU6495" s="498"/>
      <c r="AV6495" s="498"/>
      <c r="AW6495" s="498"/>
      <c r="AX6495" s="498"/>
      <c r="AY6495" s="498"/>
      <c r="AZ6495" s="498"/>
      <c r="BA6495" s="498"/>
    </row>
    <row r="6496" spans="1:53" s="499" customFormat="1" x14ac:dyDescent="0.25">
      <c r="A6496" s="500"/>
      <c r="B6496" s="501"/>
      <c r="C6496" s="502"/>
      <c r="D6496" s="497"/>
      <c r="E6496" s="497"/>
      <c r="F6496" s="502"/>
      <c r="G6496" s="497"/>
      <c r="H6496" s="497"/>
      <c r="I6496" s="497"/>
      <c r="J6496" s="497"/>
      <c r="K6496" s="500"/>
      <c r="L6496" s="497"/>
      <c r="M6496"/>
      <c r="N6496" s="498"/>
      <c r="O6496" s="498"/>
      <c r="P6496" s="498"/>
      <c r="Q6496" s="498"/>
      <c r="R6496" s="498"/>
      <c r="T6496" s="498"/>
      <c r="U6496" s="498"/>
      <c r="V6496" s="498"/>
      <c r="W6496" s="498"/>
      <c r="X6496" s="498"/>
      <c r="Y6496" s="498"/>
      <c r="Z6496" s="498"/>
      <c r="AA6496" s="498"/>
      <c r="AB6496" s="498"/>
      <c r="AC6496" s="498"/>
      <c r="AD6496" s="498"/>
      <c r="AE6496" s="498"/>
      <c r="AF6496" s="498"/>
      <c r="AG6496" s="498"/>
      <c r="AH6496" s="498"/>
      <c r="AI6496" s="498"/>
      <c r="AK6496" s="498"/>
      <c r="AL6496" s="498"/>
      <c r="AM6496" s="498"/>
      <c r="AN6496" s="498"/>
      <c r="AO6496" s="498"/>
      <c r="AP6496" s="498"/>
      <c r="AQ6496" s="498"/>
      <c r="AR6496" s="498"/>
      <c r="AS6496" s="498"/>
      <c r="AT6496" s="498"/>
      <c r="AU6496" s="498"/>
      <c r="AV6496" s="498"/>
      <c r="AW6496" s="498"/>
      <c r="AX6496" s="498"/>
      <c r="AY6496" s="498"/>
      <c r="AZ6496" s="498"/>
      <c r="BA6496" s="498"/>
    </row>
    <row r="6497" spans="1:53" s="499" customFormat="1" x14ac:dyDescent="0.25">
      <c r="A6497" s="500"/>
      <c r="B6497" s="501"/>
      <c r="C6497" s="502"/>
      <c r="D6497" s="497"/>
      <c r="E6497" s="497"/>
      <c r="F6497" s="502"/>
      <c r="G6497" s="497"/>
      <c r="H6497" s="497"/>
      <c r="I6497" s="497"/>
      <c r="J6497" s="497"/>
      <c r="K6497" s="500"/>
      <c r="L6497" s="497"/>
      <c r="M6497"/>
      <c r="N6497" s="498"/>
      <c r="O6497" s="498"/>
      <c r="P6497" s="498"/>
      <c r="Q6497" s="498"/>
      <c r="R6497" s="498"/>
      <c r="T6497" s="498"/>
      <c r="U6497" s="498"/>
      <c r="V6497" s="498"/>
      <c r="W6497" s="498"/>
      <c r="X6497" s="498"/>
      <c r="Y6497" s="498"/>
      <c r="Z6497" s="498"/>
      <c r="AA6497" s="498"/>
      <c r="AB6497" s="498"/>
      <c r="AC6497" s="498"/>
      <c r="AD6497" s="498"/>
      <c r="AE6497" s="498"/>
      <c r="AF6497" s="498"/>
      <c r="AG6497" s="498"/>
      <c r="AH6497" s="498"/>
      <c r="AI6497" s="498"/>
      <c r="AK6497" s="498"/>
      <c r="AL6497" s="498"/>
      <c r="AM6497" s="498"/>
      <c r="AN6497" s="498"/>
      <c r="AO6497" s="498"/>
      <c r="AP6497" s="498"/>
      <c r="AQ6497" s="498"/>
      <c r="AR6497" s="498"/>
      <c r="AS6497" s="498"/>
      <c r="AT6497" s="498"/>
      <c r="AU6497" s="498"/>
      <c r="AV6497" s="498"/>
      <c r="AW6497" s="498"/>
      <c r="AX6497" s="498"/>
      <c r="AY6497" s="498"/>
      <c r="AZ6497" s="498"/>
      <c r="BA6497" s="498"/>
    </row>
    <row r="6498" spans="1:53" s="499" customFormat="1" x14ac:dyDescent="0.25">
      <c r="A6498" s="500"/>
      <c r="B6498" s="501"/>
      <c r="C6498" s="502"/>
      <c r="D6498" s="497"/>
      <c r="E6498" s="497"/>
      <c r="F6498" s="502"/>
      <c r="G6498" s="497"/>
      <c r="H6498" s="497"/>
      <c r="I6498" s="497"/>
      <c r="J6498" s="497"/>
      <c r="K6498" s="500"/>
      <c r="L6498" s="497"/>
      <c r="M6498"/>
      <c r="N6498" s="498"/>
      <c r="O6498" s="498"/>
      <c r="P6498" s="498"/>
      <c r="Q6498" s="498"/>
      <c r="R6498" s="498"/>
      <c r="T6498" s="498"/>
      <c r="U6498" s="498"/>
      <c r="V6498" s="498"/>
      <c r="W6498" s="498"/>
      <c r="X6498" s="498"/>
      <c r="Y6498" s="498"/>
      <c r="Z6498" s="498"/>
      <c r="AA6498" s="498"/>
      <c r="AB6498" s="498"/>
      <c r="AC6498" s="498"/>
      <c r="AD6498" s="498"/>
      <c r="AE6498" s="498"/>
      <c r="AF6498" s="498"/>
      <c r="AG6498" s="498"/>
      <c r="AH6498" s="498"/>
      <c r="AI6498" s="498"/>
      <c r="AK6498" s="498"/>
      <c r="AL6498" s="498"/>
      <c r="AM6498" s="498"/>
      <c r="AN6498" s="498"/>
      <c r="AO6498" s="498"/>
      <c r="AP6498" s="498"/>
      <c r="AQ6498" s="498"/>
      <c r="AR6498" s="498"/>
      <c r="AS6498" s="498"/>
      <c r="AT6498" s="498"/>
      <c r="AU6498" s="498"/>
      <c r="AV6498" s="498"/>
      <c r="AW6498" s="498"/>
      <c r="AX6498" s="498"/>
      <c r="AY6498" s="498"/>
      <c r="AZ6498" s="498"/>
      <c r="BA6498" s="498"/>
    </row>
    <row r="6499" spans="1:53" s="499" customFormat="1" x14ac:dyDescent="0.25">
      <c r="A6499" s="500"/>
      <c r="B6499" s="501"/>
      <c r="C6499" s="502"/>
      <c r="D6499" s="497"/>
      <c r="E6499" s="497"/>
      <c r="F6499" s="502"/>
      <c r="G6499" s="497"/>
      <c r="H6499" s="497"/>
      <c r="I6499" s="497"/>
      <c r="J6499" s="497"/>
      <c r="K6499" s="500"/>
      <c r="L6499" s="497"/>
      <c r="M6499"/>
      <c r="N6499" s="498"/>
      <c r="O6499" s="498"/>
      <c r="P6499" s="498"/>
      <c r="Q6499" s="498"/>
      <c r="R6499" s="498"/>
      <c r="T6499" s="498"/>
      <c r="U6499" s="498"/>
      <c r="V6499" s="498"/>
      <c r="W6499" s="498"/>
      <c r="X6499" s="498"/>
      <c r="Y6499" s="498"/>
      <c r="Z6499" s="498"/>
      <c r="AA6499" s="498"/>
      <c r="AB6499" s="498"/>
      <c r="AC6499" s="498"/>
      <c r="AD6499" s="498"/>
      <c r="AE6499" s="498"/>
      <c r="AF6499" s="498"/>
      <c r="AG6499" s="498"/>
      <c r="AH6499" s="498"/>
      <c r="AI6499" s="498"/>
      <c r="AK6499" s="498"/>
      <c r="AL6499" s="498"/>
      <c r="AM6499" s="498"/>
      <c r="AN6499" s="498"/>
      <c r="AO6499" s="498"/>
      <c r="AP6499" s="498"/>
      <c r="AQ6499" s="498"/>
      <c r="AR6499" s="498"/>
      <c r="AS6499" s="498"/>
      <c r="AT6499" s="498"/>
      <c r="AU6499" s="498"/>
      <c r="AV6499" s="498"/>
      <c r="AW6499" s="498"/>
      <c r="AX6499" s="498"/>
      <c r="AY6499" s="498"/>
      <c r="AZ6499" s="498"/>
      <c r="BA6499" s="498"/>
    </row>
    <row r="6500" spans="1:53" s="499" customFormat="1" x14ac:dyDescent="0.25">
      <c r="A6500" s="500"/>
      <c r="B6500" s="501"/>
      <c r="C6500" s="502"/>
      <c r="D6500" s="497"/>
      <c r="E6500" s="497"/>
      <c r="F6500" s="502"/>
      <c r="G6500" s="497"/>
      <c r="H6500" s="497"/>
      <c r="I6500" s="497"/>
      <c r="J6500" s="497"/>
      <c r="K6500" s="500"/>
      <c r="L6500" s="497"/>
      <c r="M6500"/>
      <c r="N6500" s="498"/>
      <c r="O6500" s="498"/>
      <c r="P6500" s="498"/>
      <c r="Q6500" s="498"/>
      <c r="R6500" s="498"/>
      <c r="T6500" s="498"/>
      <c r="U6500" s="498"/>
      <c r="V6500" s="498"/>
      <c r="W6500" s="498"/>
      <c r="X6500" s="498"/>
      <c r="Y6500" s="498"/>
      <c r="Z6500" s="498"/>
      <c r="AA6500" s="498"/>
      <c r="AB6500" s="498"/>
      <c r="AC6500" s="498"/>
      <c r="AD6500" s="498"/>
      <c r="AE6500" s="498"/>
      <c r="AF6500" s="498"/>
      <c r="AG6500" s="498"/>
      <c r="AH6500" s="498"/>
      <c r="AI6500" s="498"/>
      <c r="AK6500" s="498"/>
      <c r="AL6500" s="498"/>
      <c r="AM6500" s="498"/>
      <c r="AN6500" s="498"/>
      <c r="AO6500" s="498"/>
      <c r="AP6500" s="498"/>
      <c r="AQ6500" s="498"/>
      <c r="AR6500" s="498"/>
      <c r="AS6500" s="498"/>
      <c r="AT6500" s="498"/>
      <c r="AU6500" s="498"/>
      <c r="AV6500" s="498"/>
      <c r="AW6500" s="498"/>
      <c r="AX6500" s="498"/>
      <c r="AY6500" s="498"/>
      <c r="AZ6500" s="498"/>
      <c r="BA6500" s="498"/>
    </row>
    <row r="6501" spans="1:53" s="499" customFormat="1" x14ac:dyDescent="0.25">
      <c r="A6501" s="500"/>
      <c r="B6501" s="501"/>
      <c r="C6501" s="502"/>
      <c r="D6501" s="497"/>
      <c r="E6501" s="497"/>
      <c r="F6501" s="502"/>
      <c r="G6501" s="497"/>
      <c r="H6501" s="497"/>
      <c r="I6501" s="497"/>
      <c r="J6501" s="497"/>
      <c r="K6501" s="500"/>
      <c r="L6501" s="497"/>
      <c r="M6501"/>
      <c r="N6501" s="498"/>
      <c r="O6501" s="498"/>
      <c r="P6501" s="498"/>
      <c r="Q6501" s="498"/>
      <c r="R6501" s="498"/>
      <c r="T6501" s="498"/>
      <c r="U6501" s="498"/>
      <c r="V6501" s="498"/>
      <c r="W6501" s="498"/>
      <c r="X6501" s="498"/>
      <c r="Y6501" s="498"/>
      <c r="Z6501" s="498"/>
      <c r="AA6501" s="498"/>
      <c r="AB6501" s="498"/>
      <c r="AC6501" s="498"/>
      <c r="AD6501" s="498"/>
      <c r="AE6501" s="498"/>
      <c r="AF6501" s="498"/>
      <c r="AG6501" s="498"/>
      <c r="AH6501" s="498"/>
      <c r="AI6501" s="498"/>
      <c r="AK6501" s="498"/>
      <c r="AL6501" s="498"/>
      <c r="AM6501" s="498"/>
      <c r="AN6501" s="498"/>
      <c r="AO6501" s="498"/>
      <c r="AP6501" s="498"/>
      <c r="AQ6501" s="498"/>
      <c r="AR6501" s="498"/>
      <c r="AS6501" s="498"/>
      <c r="AT6501" s="498"/>
      <c r="AU6501" s="498"/>
      <c r="AV6501" s="498"/>
      <c r="AW6501" s="498"/>
      <c r="AX6501" s="498"/>
      <c r="AY6501" s="498"/>
      <c r="AZ6501" s="498"/>
      <c r="BA6501" s="498"/>
    </row>
    <row r="6502" spans="1:53" s="499" customFormat="1" x14ac:dyDescent="0.25">
      <c r="A6502" s="500"/>
      <c r="B6502" s="501"/>
      <c r="C6502" s="502"/>
      <c r="D6502" s="497"/>
      <c r="E6502" s="497"/>
      <c r="F6502" s="502"/>
      <c r="G6502" s="497"/>
      <c r="H6502" s="497"/>
      <c r="I6502" s="497"/>
      <c r="J6502" s="497"/>
      <c r="K6502" s="500"/>
      <c r="L6502" s="497"/>
      <c r="M6502"/>
      <c r="N6502" s="498"/>
      <c r="O6502" s="498"/>
      <c r="P6502" s="498"/>
      <c r="Q6502" s="498"/>
      <c r="R6502" s="498"/>
      <c r="T6502" s="498"/>
      <c r="U6502" s="498"/>
      <c r="V6502" s="498"/>
      <c r="W6502" s="498"/>
      <c r="X6502" s="498"/>
      <c r="Y6502" s="498"/>
      <c r="Z6502" s="498"/>
      <c r="AA6502" s="498"/>
      <c r="AB6502" s="498"/>
      <c r="AC6502" s="498"/>
      <c r="AD6502" s="498"/>
      <c r="AE6502" s="498"/>
      <c r="AF6502" s="498"/>
      <c r="AG6502" s="498"/>
      <c r="AH6502" s="498"/>
      <c r="AI6502" s="498"/>
      <c r="AK6502" s="498"/>
      <c r="AL6502" s="498"/>
      <c r="AM6502" s="498"/>
      <c r="AN6502" s="498"/>
      <c r="AO6502" s="498"/>
      <c r="AP6502" s="498"/>
      <c r="AQ6502" s="498"/>
      <c r="AR6502" s="498"/>
      <c r="AS6502" s="498"/>
      <c r="AT6502" s="498"/>
      <c r="AU6502" s="498"/>
      <c r="AV6502" s="498"/>
      <c r="AW6502" s="498"/>
      <c r="AX6502" s="498"/>
      <c r="AY6502" s="498"/>
      <c r="AZ6502" s="498"/>
      <c r="BA6502" s="498"/>
    </row>
    <row r="6503" spans="1:53" s="499" customFormat="1" x14ac:dyDescent="0.25">
      <c r="A6503" s="500"/>
      <c r="B6503" s="501"/>
      <c r="C6503" s="502"/>
      <c r="D6503" s="497"/>
      <c r="E6503" s="497"/>
      <c r="F6503" s="502"/>
      <c r="G6503" s="497"/>
      <c r="H6503" s="497"/>
      <c r="I6503" s="497"/>
      <c r="J6503" s="497"/>
      <c r="K6503" s="500"/>
      <c r="L6503" s="497"/>
      <c r="M6503"/>
      <c r="N6503" s="498"/>
      <c r="O6503" s="498"/>
      <c r="P6503" s="498"/>
      <c r="Q6503" s="498"/>
      <c r="R6503" s="498"/>
      <c r="T6503" s="498"/>
      <c r="U6503" s="498"/>
      <c r="V6503" s="498"/>
      <c r="W6503" s="498"/>
      <c r="X6503" s="498"/>
      <c r="Y6503" s="498"/>
      <c r="Z6503" s="498"/>
      <c r="AA6503" s="498"/>
      <c r="AB6503" s="498"/>
      <c r="AC6503" s="498"/>
      <c r="AD6503" s="498"/>
      <c r="AE6503" s="498"/>
      <c r="AF6503" s="498"/>
      <c r="AG6503" s="498"/>
      <c r="AH6503" s="498"/>
      <c r="AI6503" s="498"/>
      <c r="AK6503" s="498"/>
      <c r="AL6503" s="498"/>
      <c r="AM6503" s="498"/>
      <c r="AN6503" s="498"/>
      <c r="AO6503" s="498"/>
      <c r="AP6503" s="498"/>
      <c r="AQ6503" s="498"/>
      <c r="AR6503" s="498"/>
      <c r="AS6503" s="498"/>
      <c r="AT6503" s="498"/>
      <c r="AU6503" s="498"/>
      <c r="AV6503" s="498"/>
      <c r="AW6503" s="498"/>
      <c r="AX6503" s="498"/>
      <c r="AY6503" s="498"/>
      <c r="AZ6503" s="498"/>
      <c r="BA6503" s="498"/>
    </row>
    <row r="6504" spans="1:53" s="499" customFormat="1" x14ac:dyDescent="0.25">
      <c r="A6504" s="500"/>
      <c r="B6504" s="501"/>
      <c r="C6504" s="502"/>
      <c r="D6504" s="497"/>
      <c r="E6504" s="497"/>
      <c r="F6504" s="502"/>
      <c r="G6504" s="497"/>
      <c r="H6504" s="497"/>
      <c r="I6504" s="497"/>
      <c r="J6504" s="497"/>
      <c r="K6504" s="500"/>
      <c r="L6504" s="497"/>
      <c r="M6504"/>
      <c r="N6504" s="498"/>
      <c r="O6504" s="498"/>
      <c r="P6504" s="498"/>
      <c r="Q6504" s="498"/>
      <c r="R6504" s="498"/>
      <c r="T6504" s="498"/>
      <c r="U6504" s="498"/>
      <c r="V6504" s="498"/>
      <c r="W6504" s="498"/>
      <c r="X6504" s="498"/>
      <c r="Y6504" s="498"/>
      <c r="Z6504" s="498"/>
      <c r="AA6504" s="498"/>
      <c r="AB6504" s="498"/>
      <c r="AC6504" s="498"/>
      <c r="AD6504" s="498"/>
      <c r="AE6504" s="498"/>
      <c r="AF6504" s="498"/>
      <c r="AG6504" s="498"/>
      <c r="AH6504" s="498"/>
      <c r="AI6504" s="498"/>
      <c r="AK6504" s="498"/>
      <c r="AL6504" s="498"/>
      <c r="AM6504" s="498"/>
      <c r="AN6504" s="498"/>
      <c r="AO6504" s="498"/>
      <c r="AP6504" s="498"/>
      <c r="AQ6504" s="498"/>
      <c r="AR6504" s="498"/>
      <c r="AS6504" s="498"/>
      <c r="AT6504" s="498"/>
      <c r="AU6504" s="498"/>
      <c r="AV6504" s="498"/>
      <c r="AW6504" s="498"/>
      <c r="AX6504" s="498"/>
      <c r="AY6504" s="498"/>
      <c r="AZ6504" s="498"/>
      <c r="BA6504" s="498"/>
    </row>
    <row r="6505" spans="1:53" s="499" customFormat="1" x14ac:dyDescent="0.25">
      <c r="A6505" s="500"/>
      <c r="B6505" s="501"/>
      <c r="C6505" s="502"/>
      <c r="D6505" s="497"/>
      <c r="E6505" s="497"/>
      <c r="F6505" s="502"/>
      <c r="G6505" s="497"/>
      <c r="H6505" s="497"/>
      <c r="I6505" s="497"/>
      <c r="J6505" s="497"/>
      <c r="K6505" s="500"/>
      <c r="L6505" s="497"/>
      <c r="M6505"/>
      <c r="N6505" s="498"/>
      <c r="O6505" s="498"/>
      <c r="P6505" s="498"/>
      <c r="Q6505" s="498"/>
      <c r="R6505" s="498"/>
      <c r="T6505" s="498"/>
      <c r="U6505" s="498"/>
      <c r="V6505" s="498"/>
      <c r="W6505" s="498"/>
      <c r="X6505" s="498"/>
      <c r="Y6505" s="498"/>
      <c r="Z6505" s="498"/>
      <c r="AA6505" s="498"/>
      <c r="AB6505" s="498"/>
      <c r="AC6505" s="498"/>
      <c r="AD6505" s="498"/>
      <c r="AE6505" s="498"/>
      <c r="AF6505" s="498"/>
      <c r="AG6505" s="498"/>
      <c r="AH6505" s="498"/>
      <c r="AI6505" s="498"/>
      <c r="AK6505" s="498"/>
      <c r="AL6505" s="498"/>
      <c r="AM6505" s="498"/>
      <c r="AN6505" s="498"/>
      <c r="AO6505" s="498"/>
      <c r="AP6505" s="498"/>
      <c r="AQ6505" s="498"/>
      <c r="AR6505" s="498"/>
      <c r="AS6505" s="498"/>
      <c r="AT6505" s="498"/>
      <c r="AU6505" s="498"/>
      <c r="AV6505" s="498"/>
      <c r="AW6505" s="498"/>
      <c r="AX6505" s="498"/>
      <c r="AY6505" s="498"/>
      <c r="AZ6505" s="498"/>
      <c r="BA6505" s="498"/>
    </row>
    <row r="6506" spans="1:53" s="499" customFormat="1" x14ac:dyDescent="0.25">
      <c r="A6506" s="500"/>
      <c r="B6506" s="501"/>
      <c r="C6506" s="502"/>
      <c r="D6506" s="497"/>
      <c r="E6506" s="497"/>
      <c r="F6506" s="502"/>
      <c r="G6506" s="497"/>
      <c r="H6506" s="497"/>
      <c r="I6506" s="497"/>
      <c r="J6506" s="497"/>
      <c r="K6506" s="500"/>
      <c r="L6506" s="497"/>
      <c r="M6506"/>
      <c r="N6506" s="498"/>
      <c r="O6506" s="498"/>
      <c r="P6506" s="498"/>
      <c r="Q6506" s="498"/>
      <c r="R6506" s="498"/>
      <c r="T6506" s="498"/>
      <c r="U6506" s="498"/>
      <c r="V6506" s="498"/>
      <c r="W6506" s="498"/>
      <c r="X6506" s="498"/>
      <c r="Y6506" s="498"/>
      <c r="Z6506" s="498"/>
      <c r="AA6506" s="498"/>
      <c r="AB6506" s="498"/>
      <c r="AC6506" s="498"/>
      <c r="AD6506" s="498"/>
      <c r="AE6506" s="498"/>
      <c r="AF6506" s="498"/>
      <c r="AG6506" s="498"/>
      <c r="AH6506" s="498"/>
      <c r="AI6506" s="498"/>
      <c r="AK6506" s="498"/>
      <c r="AL6506" s="498"/>
      <c r="AM6506" s="498"/>
      <c r="AN6506" s="498"/>
      <c r="AO6506" s="498"/>
      <c r="AP6506" s="498"/>
      <c r="AQ6506" s="498"/>
      <c r="AR6506" s="498"/>
      <c r="AS6506" s="498"/>
      <c r="AT6506" s="498"/>
      <c r="AU6506" s="498"/>
      <c r="AV6506" s="498"/>
      <c r="AW6506" s="498"/>
      <c r="AX6506" s="498"/>
      <c r="AY6506" s="498"/>
      <c r="AZ6506" s="498"/>
      <c r="BA6506" s="498"/>
    </row>
    <row r="6507" spans="1:53" s="499" customFormat="1" x14ac:dyDescent="0.25">
      <c r="A6507" s="500"/>
      <c r="B6507" s="501"/>
      <c r="C6507" s="502"/>
      <c r="D6507" s="497"/>
      <c r="E6507" s="497"/>
      <c r="F6507" s="502"/>
      <c r="G6507" s="497"/>
      <c r="H6507" s="497"/>
      <c r="I6507" s="497"/>
      <c r="J6507" s="497"/>
      <c r="K6507" s="500"/>
      <c r="L6507" s="497"/>
      <c r="M6507"/>
      <c r="N6507" s="498"/>
      <c r="O6507" s="498"/>
      <c r="P6507" s="498"/>
      <c r="Q6507" s="498"/>
      <c r="R6507" s="498"/>
      <c r="T6507" s="498"/>
      <c r="U6507" s="498"/>
      <c r="V6507" s="498"/>
      <c r="W6507" s="498"/>
      <c r="X6507" s="498"/>
      <c r="Y6507" s="498"/>
      <c r="Z6507" s="498"/>
      <c r="AA6507" s="498"/>
      <c r="AB6507" s="498"/>
      <c r="AC6507" s="498"/>
      <c r="AD6507" s="498"/>
      <c r="AE6507" s="498"/>
      <c r="AF6507" s="498"/>
      <c r="AG6507" s="498"/>
      <c r="AH6507" s="498"/>
      <c r="AI6507" s="498"/>
      <c r="AK6507" s="498"/>
      <c r="AL6507" s="498"/>
      <c r="AM6507" s="498"/>
      <c r="AN6507" s="498"/>
      <c r="AO6507" s="498"/>
      <c r="AP6507" s="498"/>
      <c r="AQ6507" s="498"/>
      <c r="AR6507" s="498"/>
      <c r="AS6507" s="498"/>
      <c r="AT6507" s="498"/>
      <c r="AU6507" s="498"/>
      <c r="AV6507" s="498"/>
      <c r="AW6507" s="498"/>
      <c r="AX6507" s="498"/>
      <c r="AY6507" s="498"/>
      <c r="AZ6507" s="498"/>
      <c r="BA6507" s="498"/>
    </row>
    <row r="6508" spans="1:53" s="499" customFormat="1" x14ac:dyDescent="0.25">
      <c r="A6508" s="500"/>
      <c r="B6508" s="501"/>
      <c r="C6508" s="502"/>
      <c r="D6508" s="497"/>
      <c r="E6508" s="497"/>
      <c r="F6508" s="502"/>
      <c r="G6508" s="497"/>
      <c r="H6508" s="497"/>
      <c r="I6508" s="497"/>
      <c r="J6508" s="497"/>
      <c r="K6508" s="500"/>
      <c r="L6508" s="497"/>
      <c r="M6508"/>
      <c r="N6508" s="498"/>
      <c r="O6508" s="498"/>
      <c r="P6508" s="498"/>
      <c r="Q6508" s="498"/>
      <c r="R6508" s="498"/>
      <c r="T6508" s="498"/>
      <c r="U6508" s="498"/>
      <c r="V6508" s="498"/>
      <c r="W6508" s="498"/>
      <c r="X6508" s="498"/>
      <c r="Y6508" s="498"/>
      <c r="Z6508" s="498"/>
      <c r="AA6508" s="498"/>
      <c r="AB6508" s="498"/>
      <c r="AC6508" s="498"/>
      <c r="AD6508" s="498"/>
      <c r="AE6508" s="498"/>
      <c r="AF6508" s="498"/>
      <c r="AG6508" s="498"/>
      <c r="AH6508" s="498"/>
      <c r="AI6508" s="498"/>
      <c r="AK6508" s="498"/>
      <c r="AL6508" s="498"/>
      <c r="AM6508" s="498"/>
      <c r="AN6508" s="498"/>
      <c r="AO6508" s="498"/>
      <c r="AP6508" s="498"/>
      <c r="AQ6508" s="498"/>
      <c r="AR6508" s="498"/>
      <c r="AS6508" s="498"/>
      <c r="AT6508" s="498"/>
      <c r="AU6508" s="498"/>
      <c r="AV6508" s="498"/>
      <c r="AW6508" s="498"/>
      <c r="AX6508" s="498"/>
      <c r="AY6508" s="498"/>
      <c r="AZ6508" s="498"/>
      <c r="BA6508" s="498"/>
    </row>
    <row r="6509" spans="1:53" s="499" customFormat="1" x14ac:dyDescent="0.25">
      <c r="A6509" s="500"/>
      <c r="B6509" s="501"/>
      <c r="C6509" s="502"/>
      <c r="D6509" s="497"/>
      <c r="E6509" s="497"/>
      <c r="F6509" s="502"/>
      <c r="G6509" s="497"/>
      <c r="H6509" s="497"/>
      <c r="I6509" s="497"/>
      <c r="J6509" s="497"/>
      <c r="K6509" s="500"/>
      <c r="L6509" s="497"/>
      <c r="M6509"/>
      <c r="N6509" s="498"/>
      <c r="O6509" s="498"/>
      <c r="P6509" s="498"/>
      <c r="Q6509" s="498"/>
      <c r="R6509" s="498"/>
      <c r="T6509" s="498"/>
      <c r="U6509" s="498"/>
      <c r="V6509" s="498"/>
      <c r="W6509" s="498"/>
      <c r="X6509" s="498"/>
      <c r="Y6509" s="498"/>
      <c r="Z6509" s="498"/>
      <c r="AA6509" s="498"/>
      <c r="AB6509" s="498"/>
      <c r="AC6509" s="498"/>
      <c r="AD6509" s="498"/>
      <c r="AE6509" s="498"/>
      <c r="AF6509" s="498"/>
      <c r="AG6509" s="498"/>
      <c r="AH6509" s="498"/>
      <c r="AI6509" s="498"/>
      <c r="AK6509" s="498"/>
      <c r="AL6509" s="498"/>
      <c r="AM6509" s="498"/>
      <c r="AN6509" s="498"/>
      <c r="AO6509" s="498"/>
      <c r="AP6509" s="498"/>
      <c r="AQ6509" s="498"/>
      <c r="AR6509" s="498"/>
      <c r="AS6509" s="498"/>
      <c r="AT6509" s="498"/>
      <c r="AU6509" s="498"/>
      <c r="AV6509" s="498"/>
      <c r="AW6509" s="498"/>
      <c r="AX6509" s="498"/>
      <c r="AY6509" s="498"/>
      <c r="AZ6509" s="498"/>
      <c r="BA6509" s="498"/>
    </row>
    <row r="6510" spans="1:53" s="499" customFormat="1" x14ac:dyDescent="0.25">
      <c r="A6510" s="500"/>
      <c r="B6510" s="501"/>
      <c r="C6510" s="502"/>
      <c r="D6510" s="497"/>
      <c r="E6510" s="497"/>
      <c r="F6510" s="502"/>
      <c r="G6510" s="497"/>
      <c r="H6510" s="497"/>
      <c r="I6510" s="497"/>
      <c r="J6510" s="497"/>
      <c r="K6510" s="500"/>
      <c r="L6510" s="497"/>
      <c r="M6510"/>
      <c r="N6510" s="498"/>
      <c r="O6510" s="498"/>
      <c r="P6510" s="498"/>
      <c r="Q6510" s="498"/>
      <c r="R6510" s="498"/>
      <c r="T6510" s="498"/>
      <c r="U6510" s="498"/>
      <c r="V6510" s="498"/>
      <c r="W6510" s="498"/>
      <c r="X6510" s="498"/>
      <c r="Y6510" s="498"/>
      <c r="Z6510" s="498"/>
      <c r="AA6510" s="498"/>
      <c r="AB6510" s="498"/>
      <c r="AC6510" s="498"/>
      <c r="AD6510" s="498"/>
      <c r="AE6510" s="498"/>
      <c r="AF6510" s="498"/>
      <c r="AG6510" s="498"/>
      <c r="AH6510" s="498"/>
      <c r="AI6510" s="498"/>
      <c r="AK6510" s="498"/>
      <c r="AL6510" s="498"/>
      <c r="AM6510" s="498"/>
      <c r="AN6510" s="498"/>
      <c r="AO6510" s="498"/>
      <c r="AP6510" s="498"/>
      <c r="AQ6510" s="498"/>
      <c r="AR6510" s="498"/>
      <c r="AS6510" s="498"/>
      <c r="AT6510" s="498"/>
      <c r="AU6510" s="498"/>
      <c r="AV6510" s="498"/>
      <c r="AW6510" s="498"/>
      <c r="AX6510" s="498"/>
      <c r="AY6510" s="498"/>
      <c r="AZ6510" s="498"/>
      <c r="BA6510" s="498"/>
    </row>
    <row r="6511" spans="1:53" s="499" customFormat="1" x14ac:dyDescent="0.25">
      <c r="A6511" s="500"/>
      <c r="B6511" s="501"/>
      <c r="C6511" s="502"/>
      <c r="D6511" s="497"/>
      <c r="E6511" s="497"/>
      <c r="F6511" s="502"/>
      <c r="G6511" s="497"/>
      <c r="H6511" s="497"/>
      <c r="I6511" s="497"/>
      <c r="J6511" s="497"/>
      <c r="K6511" s="500"/>
      <c r="L6511" s="497"/>
      <c r="M6511"/>
      <c r="N6511" s="498"/>
      <c r="O6511" s="498"/>
      <c r="P6511" s="498"/>
      <c r="Q6511" s="498"/>
      <c r="R6511" s="498"/>
      <c r="T6511" s="498"/>
      <c r="U6511" s="498"/>
      <c r="V6511" s="498"/>
      <c r="W6511" s="498"/>
      <c r="X6511" s="498"/>
      <c r="Y6511" s="498"/>
      <c r="Z6511" s="498"/>
      <c r="AA6511" s="498"/>
      <c r="AB6511" s="498"/>
      <c r="AC6511" s="498"/>
      <c r="AD6511" s="498"/>
      <c r="AE6511" s="498"/>
      <c r="AF6511" s="498"/>
      <c r="AG6511" s="498"/>
      <c r="AH6511" s="498"/>
      <c r="AI6511" s="498"/>
      <c r="AK6511" s="498"/>
      <c r="AL6511" s="498"/>
      <c r="AM6511" s="498"/>
      <c r="AN6511" s="498"/>
      <c r="AO6511" s="498"/>
      <c r="AP6511" s="498"/>
      <c r="AQ6511" s="498"/>
      <c r="AR6511" s="498"/>
      <c r="AS6511" s="498"/>
      <c r="AT6511" s="498"/>
      <c r="AU6511" s="498"/>
      <c r="AV6511" s="498"/>
      <c r="AW6511" s="498"/>
      <c r="AX6511" s="498"/>
      <c r="AY6511" s="498"/>
      <c r="AZ6511" s="498"/>
      <c r="BA6511" s="498"/>
    </row>
    <row r="6512" spans="1:53" s="499" customFormat="1" x14ac:dyDescent="0.25">
      <c r="A6512" s="500"/>
      <c r="B6512" s="501"/>
      <c r="C6512" s="502"/>
      <c r="D6512" s="497"/>
      <c r="E6512" s="497"/>
      <c r="F6512" s="502"/>
      <c r="G6512" s="497"/>
      <c r="H6512" s="497"/>
      <c r="I6512" s="497"/>
      <c r="J6512" s="497"/>
      <c r="K6512" s="500"/>
      <c r="L6512" s="497"/>
      <c r="M6512"/>
      <c r="N6512" s="498"/>
      <c r="O6512" s="498"/>
      <c r="P6512" s="498"/>
      <c r="Q6512" s="498"/>
      <c r="R6512" s="498"/>
      <c r="T6512" s="498"/>
      <c r="U6512" s="498"/>
      <c r="V6512" s="498"/>
      <c r="W6512" s="498"/>
      <c r="X6512" s="498"/>
      <c r="Y6512" s="498"/>
      <c r="Z6512" s="498"/>
      <c r="AA6512" s="498"/>
      <c r="AB6512" s="498"/>
      <c r="AC6512" s="498"/>
      <c r="AD6512" s="498"/>
      <c r="AE6512" s="498"/>
      <c r="AF6512" s="498"/>
      <c r="AG6512" s="498"/>
      <c r="AH6512" s="498"/>
      <c r="AI6512" s="498"/>
      <c r="AK6512" s="498"/>
      <c r="AL6512" s="498"/>
      <c r="AM6512" s="498"/>
      <c r="AN6512" s="498"/>
      <c r="AO6512" s="498"/>
      <c r="AP6512" s="498"/>
      <c r="AQ6512" s="498"/>
      <c r="AR6512" s="498"/>
      <c r="AS6512" s="498"/>
      <c r="AT6512" s="498"/>
      <c r="AU6512" s="498"/>
      <c r="AV6512" s="498"/>
      <c r="AW6512" s="498"/>
      <c r="AX6512" s="498"/>
      <c r="AY6512" s="498"/>
      <c r="AZ6512" s="498"/>
      <c r="BA6512" s="498"/>
    </row>
    <row r="6513" spans="1:53" s="499" customFormat="1" x14ac:dyDescent="0.25">
      <c r="A6513" s="500"/>
      <c r="B6513" s="501"/>
      <c r="C6513" s="502"/>
      <c r="D6513" s="497"/>
      <c r="E6513" s="497"/>
      <c r="F6513" s="502"/>
      <c r="G6513" s="497"/>
      <c r="H6513" s="497"/>
      <c r="I6513" s="497"/>
      <c r="J6513" s="497"/>
      <c r="K6513" s="500"/>
      <c r="L6513" s="497"/>
      <c r="M6513"/>
      <c r="N6513" s="498"/>
      <c r="O6513" s="498"/>
      <c r="P6513" s="498"/>
      <c r="Q6513" s="498"/>
      <c r="R6513" s="498"/>
      <c r="T6513" s="498"/>
      <c r="U6513" s="498"/>
      <c r="V6513" s="498"/>
      <c r="W6513" s="498"/>
      <c r="X6513" s="498"/>
      <c r="Y6513" s="498"/>
      <c r="Z6513" s="498"/>
      <c r="AA6513" s="498"/>
      <c r="AB6513" s="498"/>
      <c r="AC6513" s="498"/>
      <c r="AD6513" s="498"/>
      <c r="AE6513" s="498"/>
      <c r="AF6513" s="498"/>
      <c r="AG6513" s="498"/>
      <c r="AH6513" s="498"/>
      <c r="AI6513" s="498"/>
      <c r="AK6513" s="498"/>
      <c r="AL6513" s="498"/>
      <c r="AM6513" s="498"/>
      <c r="AN6513" s="498"/>
      <c r="AO6513" s="498"/>
      <c r="AP6513" s="498"/>
      <c r="AQ6513" s="498"/>
      <c r="AR6513" s="498"/>
      <c r="AS6513" s="498"/>
      <c r="AT6513" s="498"/>
      <c r="AU6513" s="498"/>
      <c r="AV6513" s="498"/>
      <c r="AW6513" s="498"/>
      <c r="AX6513" s="498"/>
      <c r="AY6513" s="498"/>
      <c r="AZ6513" s="498"/>
      <c r="BA6513" s="498"/>
    </row>
    <row r="6514" spans="1:53" s="499" customFormat="1" x14ac:dyDescent="0.25">
      <c r="A6514" s="500"/>
      <c r="B6514" s="501"/>
      <c r="C6514" s="502"/>
      <c r="D6514" s="497"/>
      <c r="E6514" s="497"/>
      <c r="F6514" s="502"/>
      <c r="G6514" s="497"/>
      <c r="H6514" s="497"/>
      <c r="I6514" s="497"/>
      <c r="J6514" s="497"/>
      <c r="K6514" s="500"/>
      <c r="L6514" s="497"/>
      <c r="M6514"/>
      <c r="N6514" s="498"/>
      <c r="O6514" s="498"/>
      <c r="P6514" s="498"/>
      <c r="Q6514" s="498"/>
      <c r="R6514" s="498"/>
      <c r="T6514" s="498"/>
      <c r="U6514" s="498"/>
      <c r="V6514" s="498"/>
      <c r="W6514" s="498"/>
      <c r="X6514" s="498"/>
      <c r="Y6514" s="498"/>
      <c r="Z6514" s="498"/>
      <c r="AA6514" s="498"/>
      <c r="AB6514" s="498"/>
      <c r="AC6514" s="498"/>
      <c r="AD6514" s="498"/>
      <c r="AE6514" s="498"/>
      <c r="AF6514" s="498"/>
      <c r="AG6514" s="498"/>
      <c r="AH6514" s="498"/>
      <c r="AI6514" s="498"/>
      <c r="AK6514" s="498"/>
      <c r="AL6514" s="498"/>
      <c r="AM6514" s="498"/>
      <c r="AN6514" s="498"/>
      <c r="AO6514" s="498"/>
      <c r="AP6514" s="498"/>
      <c r="AQ6514" s="498"/>
      <c r="AR6514" s="498"/>
      <c r="AS6514" s="498"/>
      <c r="AT6514" s="498"/>
      <c r="AU6514" s="498"/>
      <c r="AV6514" s="498"/>
      <c r="AW6514" s="498"/>
      <c r="AX6514" s="498"/>
      <c r="AY6514" s="498"/>
      <c r="AZ6514" s="498"/>
      <c r="BA6514" s="498"/>
    </row>
    <row r="6515" spans="1:53" s="499" customFormat="1" x14ac:dyDescent="0.25">
      <c r="A6515" s="500"/>
      <c r="B6515" s="501"/>
      <c r="C6515" s="502"/>
      <c r="D6515" s="497"/>
      <c r="E6515" s="497"/>
      <c r="F6515" s="502"/>
      <c r="G6515" s="497"/>
      <c r="H6515" s="497"/>
      <c r="I6515" s="497"/>
      <c r="J6515" s="497"/>
      <c r="K6515" s="500"/>
      <c r="L6515" s="497"/>
      <c r="M6515"/>
      <c r="N6515" s="498"/>
      <c r="O6515" s="498"/>
      <c r="P6515" s="498"/>
      <c r="Q6515" s="498"/>
      <c r="R6515" s="498"/>
      <c r="T6515" s="498"/>
      <c r="U6515" s="498"/>
      <c r="V6515" s="498"/>
      <c r="W6515" s="498"/>
      <c r="X6515" s="498"/>
      <c r="Y6515" s="498"/>
      <c r="Z6515" s="498"/>
      <c r="AA6515" s="498"/>
      <c r="AB6515" s="498"/>
      <c r="AC6515" s="498"/>
      <c r="AD6515" s="498"/>
      <c r="AE6515" s="498"/>
      <c r="AF6515" s="498"/>
      <c r="AG6515" s="498"/>
      <c r="AH6515" s="498"/>
      <c r="AI6515" s="498"/>
      <c r="AK6515" s="498"/>
      <c r="AL6515" s="498"/>
      <c r="AM6515" s="498"/>
      <c r="AN6515" s="498"/>
      <c r="AO6515" s="498"/>
      <c r="AP6515" s="498"/>
      <c r="AQ6515" s="498"/>
      <c r="AR6515" s="498"/>
      <c r="AS6515" s="498"/>
      <c r="AT6515" s="498"/>
      <c r="AU6515" s="498"/>
      <c r="AV6515" s="498"/>
      <c r="AW6515" s="498"/>
      <c r="AX6515" s="498"/>
      <c r="AY6515" s="498"/>
      <c r="AZ6515" s="498"/>
      <c r="BA6515" s="498"/>
    </row>
    <row r="6516" spans="1:53" s="499" customFormat="1" x14ac:dyDescent="0.25">
      <c r="A6516" s="500"/>
      <c r="B6516" s="501"/>
      <c r="C6516" s="502"/>
      <c r="D6516" s="497"/>
      <c r="E6516" s="497"/>
      <c r="F6516" s="502"/>
      <c r="G6516" s="497"/>
      <c r="H6516" s="497"/>
      <c r="I6516" s="497"/>
      <c r="J6516" s="497"/>
      <c r="K6516" s="500"/>
      <c r="L6516" s="497"/>
      <c r="M6516"/>
      <c r="N6516" s="498"/>
      <c r="O6516" s="498"/>
      <c r="P6516" s="498"/>
      <c r="Q6516" s="498"/>
      <c r="R6516" s="498"/>
      <c r="T6516" s="498"/>
      <c r="U6516" s="498"/>
      <c r="V6516" s="498"/>
      <c r="W6516" s="498"/>
      <c r="X6516" s="498"/>
      <c r="Y6516" s="498"/>
      <c r="Z6516" s="498"/>
      <c r="AA6516" s="498"/>
      <c r="AB6516" s="498"/>
      <c r="AC6516" s="498"/>
      <c r="AD6516" s="498"/>
      <c r="AE6516" s="498"/>
      <c r="AF6516" s="498"/>
      <c r="AG6516" s="498"/>
      <c r="AH6516" s="498"/>
      <c r="AI6516" s="498"/>
      <c r="AK6516" s="498"/>
      <c r="AL6516" s="498"/>
      <c r="AM6516" s="498"/>
      <c r="AN6516" s="498"/>
      <c r="AO6516" s="498"/>
      <c r="AP6516" s="498"/>
      <c r="AQ6516" s="498"/>
      <c r="AR6516" s="498"/>
      <c r="AS6516" s="498"/>
      <c r="AT6516" s="498"/>
      <c r="AU6516" s="498"/>
      <c r="AV6516" s="498"/>
      <c r="AW6516" s="498"/>
      <c r="AX6516" s="498"/>
      <c r="AY6516" s="498"/>
      <c r="AZ6516" s="498"/>
      <c r="BA6516" s="498"/>
    </row>
    <row r="6517" spans="1:53" s="499" customFormat="1" x14ac:dyDescent="0.25">
      <c r="A6517" s="500"/>
      <c r="B6517" s="501"/>
      <c r="C6517" s="502"/>
      <c r="D6517" s="497"/>
      <c r="E6517" s="497"/>
      <c r="F6517" s="502"/>
      <c r="G6517" s="497"/>
      <c r="H6517" s="497"/>
      <c r="I6517" s="497"/>
      <c r="J6517" s="497"/>
      <c r="K6517" s="500"/>
      <c r="L6517" s="497"/>
      <c r="M6517"/>
      <c r="N6517" s="498"/>
      <c r="O6517" s="498"/>
      <c r="P6517" s="498"/>
      <c r="Q6517" s="498"/>
      <c r="R6517" s="498"/>
      <c r="T6517" s="498"/>
      <c r="U6517" s="498"/>
      <c r="V6517" s="498"/>
      <c r="W6517" s="498"/>
      <c r="X6517" s="498"/>
      <c r="Y6517" s="498"/>
      <c r="Z6517" s="498"/>
      <c r="AA6517" s="498"/>
      <c r="AB6517" s="498"/>
      <c r="AC6517" s="498"/>
      <c r="AD6517" s="498"/>
      <c r="AE6517" s="498"/>
      <c r="AF6517" s="498"/>
      <c r="AG6517" s="498"/>
      <c r="AH6517" s="498"/>
      <c r="AI6517" s="498"/>
      <c r="AK6517" s="498"/>
      <c r="AL6517" s="498"/>
      <c r="AM6517" s="498"/>
      <c r="AN6517" s="498"/>
      <c r="AO6517" s="498"/>
      <c r="AP6517" s="498"/>
      <c r="AQ6517" s="498"/>
      <c r="AR6517" s="498"/>
      <c r="AS6517" s="498"/>
      <c r="AT6517" s="498"/>
      <c r="AU6517" s="498"/>
      <c r="AV6517" s="498"/>
      <c r="AW6517" s="498"/>
      <c r="AX6517" s="498"/>
      <c r="AY6517" s="498"/>
      <c r="AZ6517" s="498"/>
      <c r="BA6517" s="498"/>
    </row>
    <row r="6518" spans="1:53" s="499" customFormat="1" x14ac:dyDescent="0.25">
      <c r="A6518" s="500"/>
      <c r="B6518" s="501"/>
      <c r="C6518" s="502"/>
      <c r="D6518" s="497"/>
      <c r="E6518" s="497"/>
      <c r="F6518" s="502"/>
      <c r="G6518" s="497"/>
      <c r="H6518" s="497"/>
      <c r="I6518" s="497"/>
      <c r="J6518" s="497"/>
      <c r="K6518" s="500"/>
      <c r="L6518" s="497"/>
      <c r="M6518"/>
      <c r="N6518" s="498"/>
      <c r="O6518" s="498"/>
      <c r="P6518" s="498"/>
      <c r="Q6518" s="498"/>
      <c r="R6518" s="498"/>
      <c r="T6518" s="498"/>
      <c r="U6518" s="498"/>
      <c r="V6518" s="498"/>
      <c r="W6518" s="498"/>
      <c r="X6518" s="498"/>
      <c r="Y6518" s="498"/>
      <c r="Z6518" s="498"/>
      <c r="AA6518" s="498"/>
      <c r="AB6518" s="498"/>
      <c r="AC6518" s="498"/>
      <c r="AD6518" s="498"/>
      <c r="AE6518" s="498"/>
      <c r="AF6518" s="498"/>
      <c r="AG6518" s="498"/>
      <c r="AH6518" s="498"/>
      <c r="AI6518" s="498"/>
      <c r="AK6518" s="498"/>
      <c r="AL6518" s="498"/>
      <c r="AM6518" s="498"/>
      <c r="AN6518" s="498"/>
      <c r="AO6518" s="498"/>
      <c r="AP6518" s="498"/>
      <c r="AQ6518" s="498"/>
      <c r="AR6518" s="498"/>
      <c r="AS6518" s="498"/>
      <c r="AT6518" s="498"/>
      <c r="AU6518" s="498"/>
      <c r="AV6518" s="498"/>
      <c r="AW6518" s="498"/>
      <c r="AX6518" s="498"/>
      <c r="AY6518" s="498"/>
      <c r="AZ6518" s="498"/>
      <c r="BA6518" s="498"/>
    </row>
    <row r="6519" spans="1:53" s="499" customFormat="1" x14ac:dyDescent="0.25">
      <c r="A6519" s="500"/>
      <c r="B6519" s="501"/>
      <c r="C6519" s="502"/>
      <c r="D6519" s="497"/>
      <c r="E6519" s="497"/>
      <c r="F6519" s="502"/>
      <c r="G6519" s="497"/>
      <c r="H6519" s="497"/>
      <c r="I6519" s="497"/>
      <c r="J6519" s="497"/>
      <c r="K6519" s="500"/>
      <c r="L6519" s="497"/>
      <c r="M6519"/>
      <c r="N6519" s="498"/>
      <c r="O6519" s="498"/>
      <c r="P6519" s="498"/>
      <c r="Q6519" s="498"/>
      <c r="R6519" s="498"/>
      <c r="T6519" s="498"/>
      <c r="U6519" s="498"/>
      <c r="V6519" s="498"/>
      <c r="W6519" s="498"/>
      <c r="X6519" s="498"/>
      <c r="Y6519" s="498"/>
      <c r="Z6519" s="498"/>
      <c r="AA6519" s="498"/>
      <c r="AB6519" s="498"/>
      <c r="AC6519" s="498"/>
      <c r="AD6519" s="498"/>
      <c r="AE6519" s="498"/>
      <c r="AF6519" s="498"/>
      <c r="AG6519" s="498"/>
      <c r="AH6519" s="498"/>
      <c r="AI6519" s="498"/>
      <c r="AK6519" s="498"/>
      <c r="AL6519" s="498"/>
      <c r="AM6519" s="498"/>
      <c r="AN6519" s="498"/>
      <c r="AO6519" s="498"/>
      <c r="AP6519" s="498"/>
      <c r="AQ6519" s="498"/>
      <c r="AR6519" s="498"/>
      <c r="AS6519" s="498"/>
      <c r="AT6519" s="498"/>
      <c r="AU6519" s="498"/>
      <c r="AV6519" s="498"/>
      <c r="AW6519" s="498"/>
      <c r="AX6519" s="498"/>
      <c r="AY6519" s="498"/>
      <c r="AZ6519" s="498"/>
      <c r="BA6519" s="498"/>
    </row>
    <row r="6520" spans="1:53" s="499" customFormat="1" x14ac:dyDescent="0.25">
      <c r="A6520" s="500"/>
      <c r="B6520" s="501"/>
      <c r="C6520" s="502"/>
      <c r="D6520" s="497"/>
      <c r="E6520" s="497"/>
      <c r="F6520" s="502"/>
      <c r="G6520" s="497"/>
      <c r="H6520" s="497"/>
      <c r="I6520" s="497"/>
      <c r="J6520" s="497"/>
      <c r="K6520" s="500"/>
      <c r="L6520" s="497"/>
      <c r="M6520"/>
      <c r="N6520" s="498"/>
      <c r="O6520" s="498"/>
      <c r="P6520" s="498"/>
      <c r="Q6520" s="498"/>
      <c r="R6520" s="498"/>
      <c r="T6520" s="498"/>
      <c r="U6520" s="498"/>
      <c r="V6520" s="498"/>
      <c r="W6520" s="498"/>
      <c r="X6520" s="498"/>
      <c r="Y6520" s="498"/>
      <c r="Z6520" s="498"/>
      <c r="AA6520" s="498"/>
      <c r="AB6520" s="498"/>
      <c r="AC6520" s="498"/>
      <c r="AD6520" s="498"/>
      <c r="AE6520" s="498"/>
      <c r="AF6520" s="498"/>
      <c r="AG6520" s="498"/>
      <c r="AH6520" s="498"/>
      <c r="AI6520" s="498"/>
      <c r="AK6520" s="498"/>
      <c r="AL6520" s="498"/>
      <c r="AM6520" s="498"/>
      <c r="AN6520" s="498"/>
      <c r="AO6520" s="498"/>
      <c r="AP6520" s="498"/>
      <c r="AQ6520" s="498"/>
      <c r="AR6520" s="498"/>
      <c r="AS6520" s="498"/>
      <c r="AT6520" s="498"/>
      <c r="AU6520" s="498"/>
      <c r="AV6520" s="498"/>
      <c r="AW6520" s="498"/>
      <c r="AX6520" s="498"/>
      <c r="AY6520" s="498"/>
      <c r="AZ6520" s="498"/>
      <c r="BA6520" s="498"/>
    </row>
    <row r="6521" spans="1:53" s="499" customFormat="1" x14ac:dyDescent="0.25">
      <c r="A6521" s="500"/>
      <c r="B6521" s="501"/>
      <c r="C6521" s="502"/>
      <c r="D6521" s="497"/>
      <c r="E6521" s="497"/>
      <c r="F6521" s="502"/>
      <c r="G6521" s="497"/>
      <c r="H6521" s="497"/>
      <c r="I6521" s="497"/>
      <c r="J6521" s="497"/>
      <c r="K6521" s="500"/>
      <c r="L6521" s="497"/>
      <c r="M6521"/>
      <c r="N6521" s="498"/>
      <c r="O6521" s="498"/>
      <c r="P6521" s="498"/>
      <c r="Q6521" s="498"/>
      <c r="R6521" s="498"/>
      <c r="T6521" s="498"/>
      <c r="U6521" s="498"/>
      <c r="V6521" s="498"/>
      <c r="W6521" s="498"/>
      <c r="X6521" s="498"/>
      <c r="Y6521" s="498"/>
      <c r="Z6521" s="498"/>
      <c r="AA6521" s="498"/>
      <c r="AB6521" s="498"/>
      <c r="AC6521" s="498"/>
      <c r="AD6521" s="498"/>
      <c r="AE6521" s="498"/>
      <c r="AF6521" s="498"/>
      <c r="AG6521" s="498"/>
      <c r="AH6521" s="498"/>
      <c r="AI6521" s="498"/>
      <c r="AK6521" s="498"/>
      <c r="AL6521" s="498"/>
      <c r="AM6521" s="498"/>
      <c r="AN6521" s="498"/>
      <c r="AO6521" s="498"/>
      <c r="AP6521" s="498"/>
      <c r="AQ6521" s="498"/>
      <c r="AR6521" s="498"/>
      <c r="AS6521" s="498"/>
      <c r="AT6521" s="498"/>
      <c r="AU6521" s="498"/>
      <c r="AV6521" s="498"/>
      <c r="AW6521" s="498"/>
      <c r="AX6521" s="498"/>
      <c r="AY6521" s="498"/>
      <c r="AZ6521" s="498"/>
      <c r="BA6521" s="498"/>
    </row>
    <row r="6522" spans="1:53" s="499" customFormat="1" x14ac:dyDescent="0.25">
      <c r="A6522" s="500"/>
      <c r="B6522" s="501"/>
      <c r="C6522" s="502"/>
      <c r="D6522" s="497"/>
      <c r="E6522" s="497"/>
      <c r="F6522" s="502"/>
      <c r="G6522" s="497"/>
      <c r="H6522" s="497"/>
      <c r="I6522" s="497"/>
      <c r="J6522" s="497"/>
      <c r="K6522" s="500"/>
      <c r="L6522" s="497"/>
      <c r="M6522"/>
      <c r="N6522" s="498"/>
      <c r="O6522" s="498"/>
      <c r="P6522" s="498"/>
      <c r="Q6522" s="498"/>
      <c r="R6522" s="498"/>
      <c r="T6522" s="498"/>
      <c r="U6522" s="498"/>
      <c r="V6522" s="498"/>
      <c r="W6522" s="498"/>
      <c r="X6522" s="498"/>
      <c r="Y6522" s="498"/>
      <c r="Z6522" s="498"/>
      <c r="AA6522" s="498"/>
      <c r="AB6522" s="498"/>
      <c r="AC6522" s="498"/>
      <c r="AD6522" s="498"/>
      <c r="AE6522" s="498"/>
      <c r="AF6522" s="498"/>
      <c r="AG6522" s="498"/>
      <c r="AH6522" s="498"/>
      <c r="AI6522" s="498"/>
      <c r="AK6522" s="498"/>
      <c r="AL6522" s="498"/>
      <c r="AM6522" s="498"/>
      <c r="AN6522" s="498"/>
      <c r="AO6522" s="498"/>
      <c r="AP6522" s="498"/>
      <c r="AQ6522" s="498"/>
      <c r="AR6522" s="498"/>
      <c r="AS6522" s="498"/>
      <c r="AT6522" s="498"/>
      <c r="AU6522" s="498"/>
      <c r="AV6522" s="498"/>
      <c r="AW6522" s="498"/>
      <c r="AX6522" s="498"/>
      <c r="AY6522" s="498"/>
      <c r="AZ6522" s="498"/>
      <c r="BA6522" s="498"/>
    </row>
    <row r="6523" spans="1:53" s="499" customFormat="1" x14ac:dyDescent="0.25">
      <c r="A6523" s="500"/>
      <c r="B6523" s="501"/>
      <c r="C6523" s="502"/>
      <c r="D6523" s="497"/>
      <c r="E6523" s="497"/>
      <c r="F6523" s="502"/>
      <c r="G6523" s="497"/>
      <c r="H6523" s="497"/>
      <c r="I6523" s="497"/>
      <c r="J6523" s="497"/>
      <c r="K6523" s="500"/>
      <c r="L6523" s="497"/>
      <c r="M6523"/>
      <c r="N6523" s="498"/>
      <c r="O6523" s="498"/>
      <c r="P6523" s="498"/>
      <c r="Q6523" s="498"/>
      <c r="R6523" s="498"/>
      <c r="T6523" s="498"/>
      <c r="U6523" s="498"/>
      <c r="V6523" s="498"/>
      <c r="W6523" s="498"/>
      <c r="X6523" s="498"/>
      <c r="Y6523" s="498"/>
      <c r="Z6523" s="498"/>
      <c r="AA6523" s="498"/>
      <c r="AB6523" s="498"/>
      <c r="AC6523" s="498"/>
      <c r="AD6523" s="498"/>
      <c r="AE6523" s="498"/>
      <c r="AF6523" s="498"/>
      <c r="AG6523" s="498"/>
      <c r="AH6523" s="498"/>
      <c r="AI6523" s="498"/>
      <c r="AK6523" s="498"/>
      <c r="AL6523" s="498"/>
      <c r="AM6523" s="498"/>
      <c r="AN6523" s="498"/>
      <c r="AO6523" s="498"/>
      <c r="AP6523" s="498"/>
      <c r="AQ6523" s="498"/>
      <c r="AR6523" s="498"/>
      <c r="AS6523" s="498"/>
      <c r="AT6523" s="498"/>
      <c r="AU6523" s="498"/>
      <c r="AV6523" s="498"/>
      <c r="AW6523" s="498"/>
      <c r="AX6523" s="498"/>
      <c r="AY6523" s="498"/>
      <c r="AZ6523" s="498"/>
      <c r="BA6523" s="498"/>
    </row>
    <row r="6524" spans="1:53" s="499" customFormat="1" x14ac:dyDescent="0.25">
      <c r="A6524" s="500"/>
      <c r="B6524" s="501"/>
      <c r="C6524" s="502"/>
      <c r="D6524" s="497"/>
      <c r="E6524" s="497"/>
      <c r="F6524" s="502"/>
      <c r="G6524" s="497"/>
      <c r="H6524" s="497"/>
      <c r="I6524" s="497"/>
      <c r="J6524" s="497"/>
      <c r="K6524" s="500"/>
      <c r="L6524" s="497"/>
      <c r="M6524"/>
      <c r="N6524" s="498"/>
      <c r="O6524" s="498"/>
      <c r="P6524" s="498"/>
      <c r="Q6524" s="498"/>
      <c r="R6524" s="498"/>
      <c r="T6524" s="498"/>
      <c r="U6524" s="498"/>
      <c r="V6524" s="498"/>
      <c r="W6524" s="498"/>
      <c r="X6524" s="498"/>
      <c r="Y6524" s="498"/>
      <c r="Z6524" s="498"/>
      <c r="AA6524" s="498"/>
      <c r="AB6524" s="498"/>
      <c r="AC6524" s="498"/>
      <c r="AD6524" s="498"/>
      <c r="AE6524" s="498"/>
      <c r="AF6524" s="498"/>
      <c r="AG6524" s="498"/>
      <c r="AH6524" s="498"/>
      <c r="AI6524" s="498"/>
      <c r="AK6524" s="498"/>
      <c r="AL6524" s="498"/>
      <c r="AM6524" s="498"/>
      <c r="AN6524" s="498"/>
      <c r="AO6524" s="498"/>
      <c r="AP6524" s="498"/>
      <c r="AQ6524" s="498"/>
      <c r="AR6524" s="498"/>
      <c r="AS6524" s="498"/>
      <c r="AT6524" s="498"/>
      <c r="AU6524" s="498"/>
      <c r="AV6524" s="498"/>
      <c r="AW6524" s="498"/>
      <c r="AX6524" s="498"/>
      <c r="AY6524" s="498"/>
      <c r="AZ6524" s="498"/>
      <c r="BA6524" s="498"/>
    </row>
    <row r="6525" spans="1:53" s="499" customFormat="1" x14ac:dyDescent="0.25">
      <c r="A6525" s="500"/>
      <c r="B6525" s="501"/>
      <c r="C6525" s="502"/>
      <c r="D6525" s="497"/>
      <c r="E6525" s="497"/>
      <c r="F6525" s="502"/>
      <c r="G6525" s="497"/>
      <c r="H6525" s="497"/>
      <c r="I6525" s="497"/>
      <c r="J6525" s="497"/>
      <c r="K6525" s="500"/>
      <c r="L6525" s="497"/>
      <c r="M6525"/>
      <c r="N6525" s="498"/>
      <c r="O6525" s="498"/>
      <c r="P6525" s="498"/>
      <c r="Q6525" s="498"/>
      <c r="R6525" s="498"/>
      <c r="T6525" s="498"/>
      <c r="U6525" s="498"/>
      <c r="V6525" s="498"/>
      <c r="W6525" s="498"/>
      <c r="X6525" s="498"/>
      <c r="Y6525" s="498"/>
      <c r="Z6525" s="498"/>
      <c r="AA6525" s="498"/>
      <c r="AB6525" s="498"/>
      <c r="AC6525" s="498"/>
      <c r="AD6525" s="498"/>
      <c r="AE6525" s="498"/>
      <c r="AF6525" s="498"/>
      <c r="AG6525" s="498"/>
      <c r="AH6525" s="498"/>
      <c r="AI6525" s="498"/>
      <c r="AK6525" s="498"/>
      <c r="AL6525" s="498"/>
      <c r="AM6525" s="498"/>
      <c r="AN6525" s="498"/>
      <c r="AO6525" s="498"/>
      <c r="AP6525" s="498"/>
      <c r="AQ6525" s="498"/>
      <c r="AR6525" s="498"/>
      <c r="AS6525" s="498"/>
      <c r="AT6525" s="498"/>
      <c r="AU6525" s="498"/>
      <c r="AV6525" s="498"/>
      <c r="AW6525" s="498"/>
      <c r="AX6525" s="498"/>
      <c r="AY6525" s="498"/>
      <c r="AZ6525" s="498"/>
      <c r="BA6525" s="498"/>
    </row>
    <row r="6526" spans="1:53" s="499" customFormat="1" x14ac:dyDescent="0.25">
      <c r="A6526" s="500"/>
      <c r="B6526" s="501"/>
      <c r="C6526" s="502"/>
      <c r="D6526" s="497"/>
      <c r="E6526" s="497"/>
      <c r="F6526" s="502"/>
      <c r="G6526" s="497"/>
      <c r="H6526" s="497"/>
      <c r="I6526" s="497"/>
      <c r="J6526" s="497"/>
      <c r="K6526" s="500"/>
      <c r="L6526" s="497"/>
      <c r="M6526"/>
      <c r="N6526" s="498"/>
      <c r="O6526" s="498"/>
      <c r="P6526" s="498"/>
      <c r="Q6526" s="498"/>
      <c r="R6526" s="498"/>
      <c r="T6526" s="498"/>
      <c r="U6526" s="498"/>
      <c r="V6526" s="498"/>
      <c r="W6526" s="498"/>
      <c r="X6526" s="498"/>
      <c r="Y6526" s="498"/>
      <c r="Z6526" s="498"/>
      <c r="AA6526" s="498"/>
      <c r="AB6526" s="498"/>
      <c r="AC6526" s="498"/>
      <c r="AD6526" s="498"/>
      <c r="AE6526" s="498"/>
      <c r="AF6526" s="498"/>
      <c r="AG6526" s="498"/>
      <c r="AH6526" s="498"/>
      <c r="AI6526" s="498"/>
      <c r="AK6526" s="498"/>
      <c r="AL6526" s="498"/>
      <c r="AM6526" s="498"/>
      <c r="AN6526" s="498"/>
      <c r="AO6526" s="498"/>
      <c r="AP6526" s="498"/>
      <c r="AQ6526" s="498"/>
      <c r="AR6526" s="498"/>
      <c r="AS6526" s="498"/>
      <c r="AT6526" s="498"/>
      <c r="AU6526" s="498"/>
      <c r="AV6526" s="498"/>
      <c r="AW6526" s="498"/>
      <c r="AX6526" s="498"/>
      <c r="AY6526" s="498"/>
      <c r="AZ6526" s="498"/>
      <c r="BA6526" s="498"/>
    </row>
    <row r="6527" spans="1:53" s="499" customFormat="1" x14ac:dyDescent="0.25">
      <c r="A6527" s="500"/>
      <c r="B6527" s="501"/>
      <c r="C6527" s="502"/>
      <c r="D6527" s="497"/>
      <c r="E6527" s="497"/>
      <c r="F6527" s="502"/>
      <c r="G6527" s="497"/>
      <c r="H6527" s="497"/>
      <c r="I6527" s="497"/>
      <c r="J6527" s="497"/>
      <c r="K6527" s="500"/>
      <c r="L6527" s="497"/>
      <c r="M6527"/>
      <c r="N6527" s="498"/>
      <c r="O6527" s="498"/>
      <c r="P6527" s="498"/>
      <c r="Q6527" s="498"/>
      <c r="R6527" s="498"/>
      <c r="T6527" s="498"/>
      <c r="U6527" s="498"/>
      <c r="V6527" s="498"/>
      <c r="W6527" s="498"/>
      <c r="X6527" s="498"/>
      <c r="Y6527" s="498"/>
      <c r="Z6527" s="498"/>
      <c r="AA6527" s="498"/>
      <c r="AB6527" s="498"/>
      <c r="AC6527" s="498"/>
      <c r="AD6527" s="498"/>
      <c r="AE6527" s="498"/>
      <c r="AF6527" s="498"/>
      <c r="AG6527" s="498"/>
      <c r="AH6527" s="498"/>
      <c r="AI6527" s="498"/>
      <c r="AK6527" s="498"/>
      <c r="AL6527" s="498"/>
      <c r="AM6527" s="498"/>
      <c r="AN6527" s="498"/>
      <c r="AO6527" s="498"/>
      <c r="AP6527" s="498"/>
      <c r="AQ6527" s="498"/>
      <c r="AR6527" s="498"/>
      <c r="AS6527" s="498"/>
      <c r="AT6527" s="498"/>
      <c r="AU6527" s="498"/>
      <c r="AV6527" s="498"/>
      <c r="AW6527" s="498"/>
      <c r="AX6527" s="498"/>
      <c r="AY6527" s="498"/>
      <c r="AZ6527" s="498"/>
      <c r="BA6527" s="498"/>
    </row>
    <row r="6528" spans="1:53" s="499" customFormat="1" x14ac:dyDescent="0.25">
      <c r="A6528" s="500"/>
      <c r="B6528" s="501"/>
      <c r="C6528" s="502"/>
      <c r="D6528" s="497"/>
      <c r="E6528" s="497"/>
      <c r="F6528" s="502"/>
      <c r="G6528" s="497"/>
      <c r="H6528" s="497"/>
      <c r="I6528" s="497"/>
      <c r="J6528" s="497"/>
      <c r="K6528" s="500"/>
      <c r="L6528" s="497"/>
      <c r="M6528"/>
      <c r="N6528" s="498"/>
      <c r="O6528" s="498"/>
      <c r="P6528" s="498"/>
      <c r="Q6528" s="498"/>
      <c r="R6528" s="498"/>
      <c r="T6528" s="498"/>
      <c r="U6528" s="498"/>
      <c r="V6528" s="498"/>
      <c r="W6528" s="498"/>
      <c r="X6528" s="498"/>
      <c r="Y6528" s="498"/>
      <c r="Z6528" s="498"/>
      <c r="AA6528" s="498"/>
      <c r="AB6528" s="498"/>
      <c r="AC6528" s="498"/>
      <c r="AD6528" s="498"/>
      <c r="AE6528" s="498"/>
      <c r="AF6528" s="498"/>
      <c r="AG6528" s="498"/>
      <c r="AH6528" s="498"/>
      <c r="AI6528" s="498"/>
      <c r="AK6528" s="498"/>
      <c r="AL6528" s="498"/>
      <c r="AM6528" s="498"/>
      <c r="AN6528" s="498"/>
      <c r="AO6528" s="498"/>
      <c r="AP6528" s="498"/>
      <c r="AQ6528" s="498"/>
      <c r="AR6528" s="498"/>
      <c r="AS6528" s="498"/>
      <c r="AT6528" s="498"/>
      <c r="AU6528" s="498"/>
      <c r="AV6528" s="498"/>
      <c r="AW6528" s="498"/>
      <c r="AX6528" s="498"/>
      <c r="AY6528" s="498"/>
      <c r="AZ6528" s="498"/>
      <c r="BA6528" s="498"/>
    </row>
    <row r="6529" spans="1:53" s="499" customFormat="1" x14ac:dyDescent="0.25">
      <c r="A6529" s="500"/>
      <c r="B6529" s="501"/>
      <c r="C6529" s="502"/>
      <c r="D6529" s="497"/>
      <c r="E6529" s="497"/>
      <c r="F6529" s="502"/>
      <c r="G6529" s="497"/>
      <c r="H6529" s="497"/>
      <c r="I6529" s="497"/>
      <c r="J6529" s="497"/>
      <c r="K6529" s="500"/>
      <c r="L6529" s="497"/>
      <c r="M6529"/>
      <c r="N6529" s="498"/>
      <c r="O6529" s="498"/>
      <c r="P6529" s="498"/>
      <c r="Q6529" s="498"/>
      <c r="R6529" s="498"/>
      <c r="T6529" s="498"/>
      <c r="U6529" s="498"/>
      <c r="V6529" s="498"/>
      <c r="W6529" s="498"/>
      <c r="X6529" s="498"/>
      <c r="Y6529" s="498"/>
      <c r="Z6529" s="498"/>
      <c r="AA6529" s="498"/>
      <c r="AB6529" s="498"/>
      <c r="AC6529" s="498"/>
      <c r="AD6529" s="498"/>
      <c r="AE6529" s="498"/>
      <c r="AF6529" s="498"/>
      <c r="AG6529" s="498"/>
      <c r="AH6529" s="498"/>
      <c r="AI6529" s="498"/>
      <c r="AK6529" s="498"/>
      <c r="AL6529" s="498"/>
      <c r="AM6529" s="498"/>
      <c r="AN6529" s="498"/>
      <c r="AO6529" s="498"/>
      <c r="AP6529" s="498"/>
      <c r="AQ6529" s="498"/>
      <c r="AR6529" s="498"/>
      <c r="AS6529" s="498"/>
      <c r="AT6529" s="498"/>
      <c r="AU6529" s="498"/>
      <c r="AV6529" s="498"/>
      <c r="AW6529" s="498"/>
      <c r="AX6529" s="498"/>
      <c r="AY6529" s="498"/>
      <c r="AZ6529" s="498"/>
      <c r="BA6529" s="498"/>
    </row>
    <row r="6530" spans="1:53" s="499" customFormat="1" x14ac:dyDescent="0.25">
      <c r="A6530" s="500"/>
      <c r="B6530" s="501"/>
      <c r="C6530" s="502"/>
      <c r="D6530" s="497"/>
      <c r="E6530" s="497"/>
      <c r="F6530" s="502"/>
      <c r="G6530" s="497"/>
      <c r="H6530" s="497"/>
      <c r="I6530" s="497"/>
      <c r="J6530" s="497"/>
      <c r="K6530" s="500"/>
      <c r="L6530" s="497"/>
      <c r="M6530"/>
      <c r="N6530" s="498"/>
      <c r="O6530" s="498"/>
      <c r="P6530" s="498"/>
      <c r="Q6530" s="498"/>
      <c r="R6530" s="498"/>
      <c r="T6530" s="498"/>
      <c r="U6530" s="498"/>
      <c r="V6530" s="498"/>
      <c r="W6530" s="498"/>
      <c r="X6530" s="498"/>
      <c r="Y6530" s="498"/>
      <c r="Z6530" s="498"/>
      <c r="AA6530" s="498"/>
      <c r="AB6530" s="498"/>
      <c r="AC6530" s="498"/>
      <c r="AD6530" s="498"/>
      <c r="AE6530" s="498"/>
      <c r="AF6530" s="498"/>
      <c r="AG6530" s="498"/>
      <c r="AH6530" s="498"/>
      <c r="AI6530" s="498"/>
      <c r="AK6530" s="498"/>
      <c r="AL6530" s="498"/>
      <c r="AM6530" s="498"/>
      <c r="AN6530" s="498"/>
      <c r="AO6530" s="498"/>
      <c r="AP6530" s="498"/>
      <c r="AQ6530" s="498"/>
      <c r="AR6530" s="498"/>
      <c r="AS6530" s="498"/>
      <c r="AT6530" s="498"/>
      <c r="AU6530" s="498"/>
      <c r="AV6530" s="498"/>
      <c r="AW6530" s="498"/>
      <c r="AX6530" s="498"/>
      <c r="AY6530" s="498"/>
      <c r="AZ6530" s="498"/>
      <c r="BA6530" s="498"/>
    </row>
    <row r="6531" spans="1:53" s="499" customFormat="1" x14ac:dyDescent="0.25">
      <c r="A6531" s="500"/>
      <c r="B6531" s="501"/>
      <c r="C6531" s="502"/>
      <c r="D6531" s="497"/>
      <c r="E6531" s="497"/>
      <c r="F6531" s="502"/>
      <c r="G6531" s="497"/>
      <c r="H6531" s="497"/>
      <c r="I6531" s="497"/>
      <c r="J6531" s="497"/>
      <c r="K6531" s="500"/>
      <c r="L6531" s="497"/>
      <c r="M6531"/>
      <c r="N6531" s="498"/>
      <c r="O6531" s="498"/>
      <c r="P6531" s="498"/>
      <c r="Q6531" s="498"/>
      <c r="R6531" s="498"/>
      <c r="T6531" s="498"/>
      <c r="U6531" s="498"/>
      <c r="V6531" s="498"/>
      <c r="W6531" s="498"/>
      <c r="X6531" s="498"/>
      <c r="Y6531" s="498"/>
      <c r="Z6531" s="498"/>
      <c r="AA6531" s="498"/>
      <c r="AB6531" s="498"/>
      <c r="AC6531" s="498"/>
      <c r="AD6531" s="498"/>
      <c r="AE6531" s="498"/>
      <c r="AF6531" s="498"/>
      <c r="AG6531" s="498"/>
      <c r="AH6531" s="498"/>
      <c r="AI6531" s="498"/>
      <c r="AK6531" s="498"/>
      <c r="AL6531" s="498"/>
      <c r="AM6531" s="498"/>
      <c r="AN6531" s="498"/>
      <c r="AO6531" s="498"/>
      <c r="AP6531" s="498"/>
      <c r="AQ6531" s="498"/>
      <c r="AR6531" s="498"/>
      <c r="AS6531" s="498"/>
      <c r="AT6531" s="498"/>
      <c r="AU6531" s="498"/>
      <c r="AV6531" s="498"/>
      <c r="AW6531" s="498"/>
      <c r="AX6531" s="498"/>
      <c r="AY6531" s="498"/>
      <c r="AZ6531" s="498"/>
      <c r="BA6531" s="498"/>
    </row>
    <row r="6532" spans="1:53" s="499" customFormat="1" x14ac:dyDescent="0.25">
      <c r="A6532" s="500"/>
      <c r="B6532" s="501"/>
      <c r="C6532" s="502"/>
      <c r="D6532" s="497"/>
      <c r="E6532" s="497"/>
      <c r="F6532" s="502"/>
      <c r="G6532" s="497"/>
      <c r="H6532" s="497"/>
      <c r="I6532" s="497"/>
      <c r="J6532" s="497"/>
      <c r="K6532" s="500"/>
      <c r="L6532" s="497"/>
      <c r="M6532"/>
      <c r="N6532" s="498"/>
      <c r="O6532" s="498"/>
      <c r="P6532" s="498"/>
      <c r="Q6532" s="498"/>
      <c r="R6532" s="498"/>
      <c r="T6532" s="498"/>
      <c r="U6532" s="498"/>
      <c r="V6532" s="498"/>
      <c r="W6532" s="498"/>
      <c r="X6532" s="498"/>
      <c r="Y6532" s="498"/>
      <c r="Z6532" s="498"/>
      <c r="AA6532" s="498"/>
      <c r="AB6532" s="498"/>
      <c r="AC6532" s="498"/>
      <c r="AD6532" s="498"/>
      <c r="AE6532" s="498"/>
      <c r="AF6532" s="498"/>
      <c r="AG6532" s="498"/>
      <c r="AH6532" s="498"/>
      <c r="AI6532" s="498"/>
      <c r="AK6532" s="498"/>
      <c r="AL6532" s="498"/>
      <c r="AM6532" s="498"/>
      <c r="AN6532" s="498"/>
      <c r="AO6532" s="498"/>
      <c r="AP6532" s="498"/>
      <c r="AQ6532" s="498"/>
      <c r="AR6532" s="498"/>
      <c r="AS6532" s="498"/>
      <c r="AT6532" s="498"/>
      <c r="AU6532" s="498"/>
      <c r="AV6532" s="498"/>
      <c r="AW6532" s="498"/>
      <c r="AX6532" s="498"/>
      <c r="AY6532" s="498"/>
      <c r="AZ6532" s="498"/>
      <c r="BA6532" s="498"/>
    </row>
    <row r="6533" spans="1:53" s="499" customFormat="1" x14ac:dyDescent="0.25">
      <c r="A6533" s="500"/>
      <c r="B6533" s="501"/>
      <c r="C6533" s="502"/>
      <c r="D6533" s="497"/>
      <c r="E6533" s="497"/>
      <c r="F6533" s="502"/>
      <c r="G6533" s="497"/>
      <c r="H6533" s="497"/>
      <c r="I6533" s="497"/>
      <c r="J6533" s="497"/>
      <c r="K6533" s="500"/>
      <c r="L6533" s="497"/>
      <c r="M6533"/>
      <c r="N6533" s="498"/>
      <c r="O6533" s="498"/>
      <c r="P6533" s="498"/>
      <c r="Q6533" s="498"/>
      <c r="R6533" s="498"/>
      <c r="T6533" s="498"/>
      <c r="U6533" s="498"/>
      <c r="V6533" s="498"/>
      <c r="W6533" s="498"/>
      <c r="X6533" s="498"/>
      <c r="Y6533" s="498"/>
      <c r="Z6533" s="498"/>
      <c r="AA6533" s="498"/>
      <c r="AB6533" s="498"/>
      <c r="AC6533" s="498"/>
      <c r="AD6533" s="498"/>
      <c r="AE6533" s="498"/>
      <c r="AF6533" s="498"/>
      <c r="AG6533" s="498"/>
      <c r="AH6533" s="498"/>
      <c r="AI6533" s="498"/>
      <c r="AK6533" s="498"/>
      <c r="AL6533" s="498"/>
      <c r="AM6533" s="498"/>
      <c r="AN6533" s="498"/>
      <c r="AO6533" s="498"/>
      <c r="AP6533" s="498"/>
      <c r="AQ6533" s="498"/>
      <c r="AR6533" s="498"/>
      <c r="AS6533" s="498"/>
      <c r="AT6533" s="498"/>
      <c r="AU6533" s="498"/>
      <c r="AV6533" s="498"/>
      <c r="AW6533" s="498"/>
      <c r="AX6533" s="498"/>
      <c r="AY6533" s="498"/>
      <c r="AZ6533" s="498"/>
      <c r="BA6533" s="498"/>
    </row>
    <row r="6534" spans="1:53" s="499" customFormat="1" x14ac:dyDescent="0.25">
      <c r="A6534" s="500"/>
      <c r="B6534" s="501"/>
      <c r="C6534" s="502"/>
      <c r="D6534" s="497"/>
      <c r="E6534" s="497"/>
      <c r="F6534" s="502"/>
      <c r="G6534" s="497"/>
      <c r="H6534" s="497"/>
      <c r="I6534" s="497"/>
      <c r="J6534" s="497"/>
      <c r="K6534" s="500"/>
      <c r="L6534" s="497"/>
      <c r="M6534"/>
      <c r="N6534" s="498"/>
      <c r="O6534" s="498"/>
      <c r="P6534" s="498"/>
      <c r="Q6534" s="498"/>
      <c r="R6534" s="498"/>
      <c r="T6534" s="498"/>
      <c r="U6534" s="498"/>
      <c r="V6534" s="498"/>
      <c r="W6534" s="498"/>
      <c r="X6534" s="498"/>
      <c r="Y6534" s="498"/>
      <c r="Z6534" s="498"/>
      <c r="AA6534" s="498"/>
      <c r="AB6534" s="498"/>
      <c r="AC6534" s="498"/>
      <c r="AD6534" s="498"/>
      <c r="AE6534" s="498"/>
      <c r="AF6534" s="498"/>
      <c r="AG6534" s="498"/>
      <c r="AH6534" s="498"/>
      <c r="AI6534" s="498"/>
      <c r="AK6534" s="498"/>
      <c r="AL6534" s="498"/>
      <c r="AM6534" s="498"/>
      <c r="AN6534" s="498"/>
      <c r="AO6534" s="498"/>
      <c r="AP6534" s="498"/>
      <c r="AQ6534" s="498"/>
      <c r="AR6534" s="498"/>
      <c r="AS6534" s="498"/>
      <c r="AT6534" s="498"/>
      <c r="AU6534" s="498"/>
      <c r="AV6534" s="498"/>
      <c r="AW6534" s="498"/>
      <c r="AX6534" s="498"/>
      <c r="AY6534" s="498"/>
      <c r="AZ6534" s="498"/>
      <c r="BA6534" s="498"/>
    </row>
    <row r="6535" spans="1:53" s="499" customFormat="1" x14ac:dyDescent="0.25">
      <c r="A6535" s="500"/>
      <c r="B6535" s="501"/>
      <c r="C6535" s="502"/>
      <c r="D6535" s="497"/>
      <c r="E6535" s="497"/>
      <c r="F6535" s="502"/>
      <c r="G6535" s="497"/>
      <c r="H6535" s="497"/>
      <c r="I6535" s="497"/>
      <c r="J6535" s="497"/>
      <c r="K6535" s="500"/>
      <c r="L6535" s="497"/>
      <c r="M6535"/>
      <c r="N6535" s="498"/>
      <c r="O6535" s="498"/>
      <c r="P6535" s="498"/>
      <c r="Q6535" s="498"/>
      <c r="R6535" s="498"/>
      <c r="T6535" s="498"/>
      <c r="U6535" s="498"/>
      <c r="V6535" s="498"/>
      <c r="W6535" s="498"/>
      <c r="X6535" s="498"/>
      <c r="Y6535" s="498"/>
      <c r="Z6535" s="498"/>
      <c r="AA6535" s="498"/>
      <c r="AB6535" s="498"/>
      <c r="AC6535" s="498"/>
      <c r="AD6535" s="498"/>
      <c r="AE6535" s="498"/>
      <c r="AF6535" s="498"/>
      <c r="AG6535" s="498"/>
      <c r="AH6535" s="498"/>
      <c r="AI6535" s="498"/>
      <c r="AK6535" s="498"/>
      <c r="AL6535" s="498"/>
      <c r="AM6535" s="498"/>
      <c r="AN6535" s="498"/>
      <c r="AO6535" s="498"/>
      <c r="AP6535" s="498"/>
      <c r="AQ6535" s="498"/>
      <c r="AR6535" s="498"/>
      <c r="AS6535" s="498"/>
      <c r="AT6535" s="498"/>
      <c r="AU6535" s="498"/>
      <c r="AV6535" s="498"/>
      <c r="AW6535" s="498"/>
      <c r="AX6535" s="498"/>
      <c r="AY6535" s="498"/>
      <c r="AZ6535" s="498"/>
      <c r="BA6535" s="498"/>
    </row>
    <row r="6536" spans="1:53" s="499" customFormat="1" x14ac:dyDescent="0.25">
      <c r="A6536" s="500"/>
      <c r="B6536" s="501"/>
      <c r="C6536" s="502"/>
      <c r="D6536" s="497"/>
      <c r="E6536" s="497"/>
      <c r="F6536" s="502"/>
      <c r="G6536" s="497"/>
      <c r="H6536" s="497"/>
      <c r="I6536" s="497"/>
      <c r="J6536" s="497"/>
      <c r="K6536" s="500"/>
      <c r="L6536" s="497"/>
      <c r="M6536"/>
      <c r="N6536" s="498"/>
      <c r="O6536" s="498"/>
      <c r="P6536" s="498"/>
      <c r="Q6536" s="498"/>
      <c r="R6536" s="498"/>
      <c r="T6536" s="498"/>
      <c r="U6536" s="498"/>
      <c r="V6536" s="498"/>
      <c r="W6536" s="498"/>
      <c r="X6536" s="498"/>
      <c r="Y6536" s="498"/>
      <c r="Z6536" s="498"/>
      <c r="AA6536" s="498"/>
      <c r="AB6536" s="498"/>
      <c r="AC6536" s="498"/>
      <c r="AD6536" s="498"/>
      <c r="AE6536" s="498"/>
      <c r="AF6536" s="498"/>
      <c r="AG6536" s="498"/>
      <c r="AH6536" s="498"/>
      <c r="AI6536" s="498"/>
      <c r="AK6536" s="498"/>
      <c r="AL6536" s="498"/>
      <c r="AM6536" s="498"/>
      <c r="AN6536" s="498"/>
      <c r="AO6536" s="498"/>
      <c r="AP6536" s="498"/>
      <c r="AQ6536" s="498"/>
      <c r="AR6536" s="498"/>
      <c r="AS6536" s="498"/>
      <c r="AT6536" s="498"/>
      <c r="AU6536" s="498"/>
      <c r="AV6536" s="498"/>
      <c r="AW6536" s="498"/>
      <c r="AX6536" s="498"/>
      <c r="AY6536" s="498"/>
      <c r="AZ6536" s="498"/>
      <c r="BA6536" s="498"/>
    </row>
    <row r="6537" spans="1:53" s="499" customFormat="1" x14ac:dyDescent="0.25">
      <c r="A6537" s="500"/>
      <c r="B6537" s="501"/>
      <c r="C6537" s="502"/>
      <c r="D6537" s="497"/>
      <c r="E6537" s="497"/>
      <c r="F6537" s="502"/>
      <c r="G6537" s="497"/>
      <c r="H6537" s="497"/>
      <c r="I6537" s="497"/>
      <c r="J6537" s="497"/>
      <c r="K6537" s="500"/>
      <c r="L6537" s="497"/>
      <c r="M6537"/>
      <c r="N6537" s="498"/>
      <c r="O6537" s="498"/>
      <c r="P6537" s="498"/>
      <c r="Q6537" s="498"/>
      <c r="R6537" s="498"/>
      <c r="T6537" s="498"/>
      <c r="U6537" s="498"/>
      <c r="V6537" s="498"/>
      <c r="W6537" s="498"/>
      <c r="X6537" s="498"/>
      <c r="Y6537" s="498"/>
      <c r="Z6537" s="498"/>
      <c r="AA6537" s="498"/>
      <c r="AB6537" s="498"/>
      <c r="AC6537" s="498"/>
      <c r="AD6537" s="498"/>
      <c r="AE6537" s="498"/>
      <c r="AF6537" s="498"/>
      <c r="AG6537" s="498"/>
      <c r="AH6537" s="498"/>
      <c r="AI6537" s="498"/>
      <c r="AK6537" s="498"/>
      <c r="AL6537" s="498"/>
      <c r="AM6537" s="498"/>
      <c r="AN6537" s="498"/>
      <c r="AO6537" s="498"/>
      <c r="AP6537" s="498"/>
      <c r="AQ6537" s="498"/>
      <c r="AR6537" s="498"/>
      <c r="AS6537" s="498"/>
      <c r="AT6537" s="498"/>
      <c r="AU6537" s="498"/>
      <c r="AV6537" s="498"/>
      <c r="AW6537" s="498"/>
      <c r="AX6537" s="498"/>
      <c r="AY6537" s="498"/>
      <c r="AZ6537" s="498"/>
      <c r="BA6537" s="498"/>
    </row>
    <row r="6538" spans="1:53" s="499" customFormat="1" x14ac:dyDescent="0.25">
      <c r="A6538" s="500"/>
      <c r="B6538" s="501"/>
      <c r="C6538" s="502"/>
      <c r="D6538" s="497"/>
      <c r="E6538" s="497"/>
      <c r="F6538" s="502"/>
      <c r="G6538" s="497"/>
      <c r="H6538" s="497"/>
      <c r="I6538" s="497"/>
      <c r="J6538" s="497"/>
      <c r="K6538" s="500"/>
      <c r="L6538" s="497"/>
      <c r="M6538"/>
      <c r="N6538" s="498"/>
      <c r="O6538" s="498"/>
      <c r="P6538" s="498"/>
      <c r="Q6538" s="498"/>
      <c r="R6538" s="498"/>
      <c r="T6538" s="498"/>
      <c r="U6538" s="498"/>
      <c r="V6538" s="498"/>
      <c r="W6538" s="498"/>
      <c r="X6538" s="498"/>
      <c r="Y6538" s="498"/>
      <c r="Z6538" s="498"/>
      <c r="AA6538" s="498"/>
      <c r="AB6538" s="498"/>
      <c r="AC6538" s="498"/>
      <c r="AD6538" s="498"/>
      <c r="AE6538" s="498"/>
      <c r="AF6538" s="498"/>
      <c r="AG6538" s="498"/>
      <c r="AH6538" s="498"/>
      <c r="AI6538" s="498"/>
      <c r="AK6538" s="498"/>
      <c r="AL6538" s="498"/>
      <c r="AM6538" s="498"/>
      <c r="AN6538" s="498"/>
      <c r="AO6538" s="498"/>
      <c r="AP6538" s="498"/>
      <c r="AQ6538" s="498"/>
      <c r="AR6538" s="498"/>
      <c r="AS6538" s="498"/>
      <c r="AT6538" s="498"/>
      <c r="AU6538" s="498"/>
      <c r="AV6538" s="498"/>
      <c r="AW6538" s="498"/>
      <c r="AX6538" s="498"/>
      <c r="AY6538" s="498"/>
      <c r="AZ6538" s="498"/>
      <c r="BA6538" s="498"/>
    </row>
    <row r="6539" spans="1:53" s="499" customFormat="1" x14ac:dyDescent="0.25">
      <c r="A6539" s="500"/>
      <c r="B6539" s="501"/>
      <c r="C6539" s="502"/>
      <c r="D6539" s="497"/>
      <c r="E6539" s="497"/>
      <c r="F6539" s="502"/>
      <c r="G6539" s="497"/>
      <c r="H6539" s="497"/>
      <c r="I6539" s="497"/>
      <c r="J6539" s="497"/>
      <c r="K6539" s="500"/>
      <c r="L6539" s="497"/>
      <c r="M6539"/>
      <c r="N6539" s="498"/>
      <c r="O6539" s="498"/>
      <c r="P6539" s="498"/>
      <c r="Q6539" s="498"/>
      <c r="R6539" s="498"/>
      <c r="T6539" s="498"/>
      <c r="U6539" s="498"/>
      <c r="V6539" s="498"/>
      <c r="W6539" s="498"/>
      <c r="X6539" s="498"/>
      <c r="Y6539" s="498"/>
      <c r="Z6539" s="498"/>
      <c r="AA6539" s="498"/>
      <c r="AB6539" s="498"/>
      <c r="AC6539" s="498"/>
      <c r="AD6539" s="498"/>
      <c r="AE6539" s="498"/>
      <c r="AF6539" s="498"/>
      <c r="AG6539" s="498"/>
      <c r="AH6539" s="498"/>
      <c r="AI6539" s="498"/>
      <c r="AK6539" s="498"/>
      <c r="AL6539" s="498"/>
      <c r="AM6539" s="498"/>
      <c r="AN6539" s="498"/>
      <c r="AO6539" s="498"/>
      <c r="AP6539" s="498"/>
      <c r="AQ6539" s="498"/>
      <c r="AR6539" s="498"/>
      <c r="AS6539" s="498"/>
      <c r="AT6539" s="498"/>
      <c r="AU6539" s="498"/>
      <c r="AV6539" s="498"/>
      <c r="AW6539" s="498"/>
      <c r="AX6539" s="498"/>
      <c r="AY6539" s="498"/>
      <c r="AZ6539" s="498"/>
      <c r="BA6539" s="498"/>
    </row>
    <row r="6540" spans="1:53" s="499" customFormat="1" x14ac:dyDescent="0.25">
      <c r="A6540" s="500"/>
      <c r="B6540" s="501"/>
      <c r="C6540" s="502"/>
      <c r="D6540" s="497"/>
      <c r="E6540" s="497"/>
      <c r="F6540" s="502"/>
      <c r="G6540" s="497"/>
      <c r="H6540" s="497"/>
      <c r="I6540" s="497"/>
      <c r="J6540" s="497"/>
      <c r="K6540" s="500"/>
      <c r="L6540" s="497"/>
      <c r="M6540"/>
      <c r="N6540" s="498"/>
      <c r="O6540" s="498"/>
      <c r="P6540" s="498"/>
      <c r="Q6540" s="498"/>
      <c r="R6540" s="498"/>
      <c r="T6540" s="498"/>
      <c r="U6540" s="498"/>
      <c r="V6540" s="498"/>
      <c r="W6540" s="498"/>
      <c r="X6540" s="498"/>
      <c r="Y6540" s="498"/>
      <c r="Z6540" s="498"/>
      <c r="AA6540" s="498"/>
      <c r="AB6540" s="498"/>
      <c r="AC6540" s="498"/>
      <c r="AD6540" s="498"/>
      <c r="AE6540" s="498"/>
      <c r="AF6540" s="498"/>
      <c r="AG6540" s="498"/>
      <c r="AH6540" s="498"/>
      <c r="AI6540" s="498"/>
      <c r="AK6540" s="498"/>
      <c r="AL6540" s="498"/>
      <c r="AM6540" s="498"/>
      <c r="AN6540" s="498"/>
      <c r="AO6540" s="498"/>
      <c r="AP6540" s="498"/>
      <c r="AQ6540" s="498"/>
      <c r="AR6540" s="498"/>
      <c r="AS6540" s="498"/>
      <c r="AT6540" s="498"/>
      <c r="AU6540" s="498"/>
      <c r="AV6540" s="498"/>
      <c r="AW6540" s="498"/>
      <c r="AX6540" s="498"/>
      <c r="AY6540" s="498"/>
      <c r="AZ6540" s="498"/>
      <c r="BA6540" s="498"/>
    </row>
    <row r="6541" spans="1:53" s="499" customFormat="1" x14ac:dyDescent="0.25">
      <c r="A6541" s="500"/>
      <c r="B6541" s="501"/>
      <c r="C6541" s="502"/>
      <c r="D6541" s="497"/>
      <c r="E6541" s="497"/>
      <c r="F6541" s="502"/>
      <c r="G6541" s="497"/>
      <c r="H6541" s="497"/>
      <c r="I6541" s="497"/>
      <c r="J6541" s="497"/>
      <c r="K6541" s="500"/>
      <c r="L6541" s="497"/>
      <c r="M6541"/>
      <c r="N6541" s="498"/>
      <c r="O6541" s="498"/>
      <c r="P6541" s="498"/>
      <c r="Q6541" s="498"/>
      <c r="R6541" s="498"/>
      <c r="T6541" s="498"/>
      <c r="U6541" s="498"/>
      <c r="V6541" s="498"/>
      <c r="W6541" s="498"/>
      <c r="X6541" s="498"/>
      <c r="Y6541" s="498"/>
      <c r="Z6541" s="498"/>
      <c r="AA6541" s="498"/>
      <c r="AB6541" s="498"/>
      <c r="AC6541" s="498"/>
      <c r="AD6541" s="498"/>
      <c r="AE6541" s="498"/>
      <c r="AF6541" s="498"/>
      <c r="AG6541" s="498"/>
      <c r="AH6541" s="498"/>
      <c r="AI6541" s="498"/>
      <c r="AK6541" s="498"/>
      <c r="AL6541" s="498"/>
      <c r="AM6541" s="498"/>
      <c r="AN6541" s="498"/>
      <c r="AO6541" s="498"/>
      <c r="AP6541" s="498"/>
      <c r="AQ6541" s="498"/>
      <c r="AR6541" s="498"/>
      <c r="AS6541" s="498"/>
      <c r="AT6541" s="498"/>
      <c r="AU6541" s="498"/>
      <c r="AV6541" s="498"/>
      <c r="AW6541" s="498"/>
      <c r="AX6541" s="498"/>
      <c r="AY6541" s="498"/>
      <c r="AZ6541" s="498"/>
      <c r="BA6541" s="498"/>
    </row>
    <row r="6542" spans="1:53" s="499" customFormat="1" x14ac:dyDescent="0.25">
      <c r="A6542" s="500"/>
      <c r="B6542" s="501"/>
      <c r="C6542" s="502"/>
      <c r="D6542" s="497"/>
      <c r="E6542" s="497"/>
      <c r="F6542" s="502"/>
      <c r="G6542" s="497"/>
      <c r="H6542" s="497"/>
      <c r="I6542" s="497"/>
      <c r="J6542" s="497"/>
      <c r="K6542" s="500"/>
      <c r="L6542" s="497"/>
      <c r="M6542"/>
      <c r="N6542" s="498"/>
      <c r="O6542" s="498"/>
      <c r="P6542" s="498"/>
      <c r="Q6542" s="498"/>
      <c r="R6542" s="498"/>
      <c r="T6542" s="498"/>
      <c r="U6542" s="498"/>
      <c r="V6542" s="498"/>
      <c r="W6542" s="498"/>
      <c r="X6542" s="498"/>
      <c r="Y6542" s="498"/>
      <c r="Z6542" s="498"/>
      <c r="AA6542" s="498"/>
      <c r="AB6542" s="498"/>
      <c r="AC6542" s="498"/>
      <c r="AD6542" s="498"/>
      <c r="AE6542" s="498"/>
      <c r="AF6542" s="498"/>
      <c r="AG6542" s="498"/>
      <c r="AH6542" s="498"/>
      <c r="AI6542" s="498"/>
      <c r="AK6542" s="498"/>
      <c r="AL6542" s="498"/>
      <c r="AM6542" s="498"/>
      <c r="AN6542" s="498"/>
      <c r="AO6542" s="498"/>
      <c r="AP6542" s="498"/>
      <c r="AQ6542" s="498"/>
      <c r="AR6542" s="498"/>
      <c r="AS6542" s="498"/>
      <c r="AT6542" s="498"/>
      <c r="AU6542" s="498"/>
      <c r="AV6542" s="498"/>
      <c r="AW6542" s="498"/>
      <c r="AX6542" s="498"/>
      <c r="AY6542" s="498"/>
      <c r="AZ6542" s="498"/>
      <c r="BA6542" s="498"/>
    </row>
    <row r="6543" spans="1:53" s="499" customFormat="1" x14ac:dyDescent="0.25">
      <c r="A6543" s="500"/>
      <c r="B6543" s="501"/>
      <c r="C6543" s="502"/>
      <c r="D6543" s="497"/>
      <c r="E6543" s="497"/>
      <c r="F6543" s="502"/>
      <c r="G6543" s="497"/>
      <c r="H6543" s="497"/>
      <c r="I6543" s="497"/>
      <c r="J6543" s="497"/>
      <c r="K6543" s="500"/>
      <c r="L6543" s="497"/>
      <c r="M6543"/>
      <c r="N6543" s="498"/>
      <c r="O6543" s="498"/>
      <c r="P6543" s="498"/>
      <c r="Q6543" s="498"/>
      <c r="R6543" s="498"/>
      <c r="T6543" s="498"/>
      <c r="U6543" s="498"/>
      <c r="V6543" s="498"/>
      <c r="W6543" s="498"/>
      <c r="X6543" s="498"/>
      <c r="Y6543" s="498"/>
      <c r="Z6543" s="498"/>
      <c r="AA6543" s="498"/>
      <c r="AB6543" s="498"/>
      <c r="AC6543" s="498"/>
      <c r="AD6543" s="498"/>
      <c r="AE6543" s="498"/>
      <c r="AF6543" s="498"/>
      <c r="AG6543" s="498"/>
      <c r="AH6543" s="498"/>
      <c r="AI6543" s="498"/>
      <c r="AK6543" s="498"/>
      <c r="AL6543" s="498"/>
      <c r="AM6543" s="498"/>
      <c r="AN6543" s="498"/>
      <c r="AO6543" s="498"/>
      <c r="AP6543" s="498"/>
      <c r="AQ6543" s="498"/>
      <c r="AR6543" s="498"/>
      <c r="AS6543" s="498"/>
      <c r="AT6543" s="498"/>
      <c r="AU6543" s="498"/>
      <c r="AV6543" s="498"/>
      <c r="AW6543" s="498"/>
      <c r="AX6543" s="498"/>
      <c r="AY6543" s="498"/>
      <c r="AZ6543" s="498"/>
      <c r="BA6543" s="498"/>
    </row>
    <row r="6544" spans="1:53" s="499" customFormat="1" x14ac:dyDescent="0.25">
      <c r="A6544" s="500"/>
      <c r="B6544" s="501"/>
      <c r="C6544" s="502"/>
      <c r="D6544" s="497"/>
      <c r="E6544" s="497"/>
      <c r="F6544" s="502"/>
      <c r="G6544" s="497"/>
      <c r="H6544" s="497"/>
      <c r="I6544" s="497"/>
      <c r="J6544" s="497"/>
      <c r="K6544" s="500"/>
      <c r="L6544" s="497"/>
      <c r="M6544"/>
      <c r="N6544" s="498"/>
      <c r="O6544" s="498"/>
      <c r="P6544" s="498"/>
      <c r="Q6544" s="498"/>
      <c r="R6544" s="498"/>
      <c r="T6544" s="498"/>
      <c r="U6544" s="498"/>
      <c r="V6544" s="498"/>
      <c r="W6544" s="498"/>
      <c r="X6544" s="498"/>
      <c r="Y6544" s="498"/>
      <c r="Z6544" s="498"/>
      <c r="AA6544" s="498"/>
      <c r="AB6544" s="498"/>
      <c r="AC6544" s="498"/>
      <c r="AD6544" s="498"/>
      <c r="AE6544" s="498"/>
      <c r="AF6544" s="498"/>
      <c r="AG6544" s="498"/>
      <c r="AH6544" s="498"/>
      <c r="AI6544" s="498"/>
      <c r="AK6544" s="498"/>
      <c r="AL6544" s="498"/>
      <c r="AM6544" s="498"/>
      <c r="AN6544" s="498"/>
      <c r="AO6544" s="498"/>
      <c r="AP6544" s="498"/>
      <c r="AQ6544" s="498"/>
      <c r="AR6544" s="498"/>
      <c r="AS6544" s="498"/>
      <c r="AT6544" s="498"/>
      <c r="AU6544" s="498"/>
      <c r="AV6544" s="498"/>
      <c r="AW6544" s="498"/>
      <c r="AX6544" s="498"/>
      <c r="AY6544" s="498"/>
      <c r="AZ6544" s="498"/>
      <c r="BA6544" s="498"/>
    </row>
    <row r="6545" spans="1:53" s="499" customFormat="1" x14ac:dyDescent="0.25">
      <c r="A6545" s="500"/>
      <c r="B6545" s="501"/>
      <c r="C6545" s="502"/>
      <c r="D6545" s="497"/>
      <c r="E6545" s="497"/>
      <c r="F6545" s="502"/>
      <c r="G6545" s="497"/>
      <c r="H6545" s="497"/>
      <c r="I6545" s="497"/>
      <c r="J6545" s="497"/>
      <c r="K6545" s="500"/>
      <c r="L6545" s="497"/>
      <c r="M6545"/>
      <c r="N6545" s="498"/>
      <c r="O6545" s="498"/>
      <c r="P6545" s="498"/>
      <c r="Q6545" s="498"/>
      <c r="R6545" s="498"/>
      <c r="T6545" s="498"/>
      <c r="U6545" s="498"/>
      <c r="V6545" s="498"/>
      <c r="W6545" s="498"/>
      <c r="X6545" s="498"/>
      <c r="Y6545" s="498"/>
      <c r="Z6545" s="498"/>
      <c r="AA6545" s="498"/>
      <c r="AB6545" s="498"/>
      <c r="AC6545" s="498"/>
      <c r="AD6545" s="498"/>
      <c r="AE6545" s="498"/>
      <c r="AF6545" s="498"/>
      <c r="AG6545" s="498"/>
      <c r="AH6545" s="498"/>
      <c r="AI6545" s="498"/>
      <c r="AK6545" s="498"/>
      <c r="AL6545" s="498"/>
      <c r="AM6545" s="498"/>
      <c r="AN6545" s="498"/>
      <c r="AO6545" s="498"/>
      <c r="AP6545" s="498"/>
      <c r="AQ6545" s="498"/>
      <c r="AR6545" s="498"/>
      <c r="AS6545" s="498"/>
      <c r="AT6545" s="498"/>
      <c r="AU6545" s="498"/>
      <c r="AV6545" s="498"/>
      <c r="AW6545" s="498"/>
      <c r="AX6545" s="498"/>
      <c r="AY6545" s="498"/>
      <c r="AZ6545" s="498"/>
      <c r="BA6545" s="498"/>
    </row>
    <row r="6546" spans="1:53" s="499" customFormat="1" x14ac:dyDescent="0.25">
      <c r="A6546" s="500"/>
      <c r="B6546" s="501"/>
      <c r="C6546" s="502"/>
      <c r="D6546" s="497"/>
      <c r="E6546" s="497"/>
      <c r="F6546" s="502"/>
      <c r="G6546" s="497"/>
      <c r="H6546" s="497"/>
      <c r="I6546" s="497"/>
      <c r="J6546" s="497"/>
      <c r="K6546" s="500"/>
      <c r="L6546" s="497"/>
      <c r="M6546"/>
      <c r="N6546" s="498"/>
      <c r="O6546" s="498"/>
      <c r="P6546" s="498"/>
      <c r="Q6546" s="498"/>
      <c r="R6546" s="498"/>
      <c r="T6546" s="498"/>
      <c r="U6546" s="498"/>
      <c r="V6546" s="498"/>
      <c r="W6546" s="498"/>
      <c r="X6546" s="498"/>
      <c r="Y6546" s="498"/>
      <c r="Z6546" s="498"/>
      <c r="AA6546" s="498"/>
      <c r="AB6546" s="498"/>
      <c r="AC6546" s="498"/>
      <c r="AD6546" s="498"/>
      <c r="AE6546" s="498"/>
      <c r="AF6546" s="498"/>
      <c r="AG6546" s="498"/>
      <c r="AH6546" s="498"/>
      <c r="AI6546" s="498"/>
      <c r="AK6546" s="498"/>
      <c r="AL6546" s="498"/>
      <c r="AM6546" s="498"/>
      <c r="AN6546" s="498"/>
      <c r="AO6546" s="498"/>
      <c r="AP6546" s="498"/>
      <c r="AQ6546" s="498"/>
      <c r="AR6546" s="498"/>
      <c r="AS6546" s="498"/>
      <c r="AT6546" s="498"/>
      <c r="AU6546" s="498"/>
      <c r="AV6546" s="498"/>
      <c r="AW6546" s="498"/>
      <c r="AX6546" s="498"/>
      <c r="AY6546" s="498"/>
      <c r="AZ6546" s="498"/>
      <c r="BA6546" s="498"/>
    </row>
    <row r="6547" spans="1:53" s="499" customFormat="1" x14ac:dyDescent="0.25">
      <c r="A6547" s="500"/>
      <c r="B6547" s="501"/>
      <c r="C6547" s="502"/>
      <c r="D6547" s="497"/>
      <c r="E6547" s="497"/>
      <c r="F6547" s="502"/>
      <c r="G6547" s="497"/>
      <c r="H6547" s="497"/>
      <c r="I6547" s="497"/>
      <c r="J6547" s="497"/>
      <c r="K6547" s="500"/>
      <c r="L6547" s="497"/>
      <c r="M6547"/>
      <c r="N6547" s="498"/>
      <c r="O6547" s="498"/>
      <c r="P6547" s="498"/>
      <c r="Q6547" s="498"/>
      <c r="R6547" s="498"/>
      <c r="T6547" s="498"/>
      <c r="U6547" s="498"/>
      <c r="V6547" s="498"/>
      <c r="W6547" s="498"/>
      <c r="X6547" s="498"/>
      <c r="Y6547" s="498"/>
      <c r="Z6547" s="498"/>
      <c r="AA6547" s="498"/>
      <c r="AB6547" s="498"/>
      <c r="AC6547" s="498"/>
      <c r="AD6547" s="498"/>
      <c r="AE6547" s="498"/>
      <c r="AF6547" s="498"/>
      <c r="AG6547" s="498"/>
      <c r="AH6547" s="498"/>
      <c r="AI6547" s="498"/>
      <c r="AK6547" s="498"/>
      <c r="AL6547" s="498"/>
      <c r="AM6547" s="498"/>
      <c r="AN6547" s="498"/>
      <c r="AO6547" s="498"/>
      <c r="AP6547" s="498"/>
      <c r="AQ6547" s="498"/>
      <c r="AR6547" s="498"/>
      <c r="AS6547" s="498"/>
      <c r="AT6547" s="498"/>
      <c r="AU6547" s="498"/>
      <c r="AV6547" s="498"/>
      <c r="AW6547" s="498"/>
      <c r="AX6547" s="498"/>
      <c r="AY6547" s="498"/>
      <c r="AZ6547" s="498"/>
      <c r="BA6547" s="498"/>
    </row>
    <row r="6548" spans="1:53" s="499" customFormat="1" x14ac:dyDescent="0.25">
      <c r="A6548" s="500"/>
      <c r="B6548" s="501"/>
      <c r="C6548" s="502"/>
      <c r="D6548" s="497"/>
      <c r="E6548" s="497"/>
      <c r="F6548" s="502"/>
      <c r="G6548" s="497"/>
      <c r="H6548" s="497"/>
      <c r="I6548" s="497"/>
      <c r="J6548" s="497"/>
      <c r="K6548" s="500"/>
      <c r="L6548" s="497"/>
      <c r="M6548"/>
      <c r="N6548" s="498"/>
      <c r="O6548" s="498"/>
      <c r="P6548" s="498"/>
      <c r="Q6548" s="498"/>
      <c r="R6548" s="498"/>
      <c r="T6548" s="498"/>
      <c r="U6548" s="498"/>
      <c r="V6548" s="498"/>
      <c r="W6548" s="498"/>
      <c r="X6548" s="498"/>
      <c r="Y6548" s="498"/>
      <c r="Z6548" s="498"/>
      <c r="AA6548" s="498"/>
      <c r="AB6548" s="498"/>
      <c r="AC6548" s="498"/>
      <c r="AD6548" s="498"/>
      <c r="AE6548" s="498"/>
      <c r="AF6548" s="498"/>
      <c r="AG6548" s="498"/>
      <c r="AH6548" s="498"/>
      <c r="AI6548" s="498"/>
      <c r="AK6548" s="498"/>
      <c r="AL6548" s="498"/>
      <c r="AM6548" s="498"/>
      <c r="AN6548" s="498"/>
      <c r="AO6548" s="498"/>
      <c r="AP6548" s="498"/>
      <c r="AQ6548" s="498"/>
      <c r="AR6548" s="498"/>
      <c r="AS6548" s="498"/>
      <c r="AT6548" s="498"/>
      <c r="AU6548" s="498"/>
      <c r="AV6548" s="498"/>
      <c r="AW6548" s="498"/>
      <c r="AX6548" s="498"/>
      <c r="AY6548" s="498"/>
      <c r="AZ6548" s="498"/>
      <c r="BA6548" s="498"/>
    </row>
    <row r="6549" spans="1:53" s="499" customFormat="1" x14ac:dyDescent="0.25">
      <c r="A6549" s="500"/>
      <c r="B6549" s="501"/>
      <c r="C6549" s="502"/>
      <c r="D6549" s="497"/>
      <c r="E6549" s="497"/>
      <c r="F6549" s="502"/>
      <c r="G6549" s="497"/>
      <c r="H6549" s="497"/>
      <c r="I6549" s="497"/>
      <c r="J6549" s="497"/>
      <c r="K6549" s="500"/>
      <c r="L6549" s="497"/>
      <c r="M6549"/>
      <c r="N6549" s="498"/>
      <c r="O6549" s="498"/>
      <c r="P6549" s="498"/>
      <c r="Q6549" s="498"/>
      <c r="R6549" s="498"/>
      <c r="T6549" s="498"/>
      <c r="U6549" s="498"/>
      <c r="V6549" s="498"/>
      <c r="W6549" s="498"/>
      <c r="X6549" s="498"/>
      <c r="Y6549" s="498"/>
      <c r="Z6549" s="498"/>
      <c r="AA6549" s="498"/>
      <c r="AB6549" s="498"/>
      <c r="AC6549" s="498"/>
      <c r="AD6549" s="498"/>
      <c r="AE6549" s="498"/>
      <c r="AF6549" s="498"/>
      <c r="AG6549" s="498"/>
      <c r="AH6549" s="498"/>
      <c r="AI6549" s="498"/>
      <c r="AK6549" s="498"/>
      <c r="AL6549" s="498"/>
      <c r="AM6549" s="498"/>
      <c r="AN6549" s="498"/>
      <c r="AO6549" s="498"/>
      <c r="AP6549" s="498"/>
      <c r="AQ6549" s="498"/>
      <c r="AR6549" s="498"/>
      <c r="AS6549" s="498"/>
      <c r="AT6549" s="498"/>
      <c r="AU6549" s="498"/>
      <c r="AV6549" s="498"/>
      <c r="AW6549" s="498"/>
      <c r="AX6549" s="498"/>
      <c r="AY6549" s="498"/>
      <c r="AZ6549" s="498"/>
      <c r="BA6549" s="498"/>
    </row>
    <row r="6550" spans="1:53" s="499" customFormat="1" x14ac:dyDescent="0.25">
      <c r="A6550" s="500"/>
      <c r="B6550" s="501"/>
      <c r="C6550" s="502"/>
      <c r="D6550" s="497"/>
      <c r="E6550" s="497"/>
      <c r="F6550" s="502"/>
      <c r="G6550" s="497"/>
      <c r="H6550" s="497"/>
      <c r="I6550" s="497"/>
      <c r="J6550" s="497"/>
      <c r="K6550" s="500"/>
      <c r="L6550" s="497"/>
      <c r="M6550"/>
      <c r="N6550" s="498"/>
      <c r="O6550" s="498"/>
      <c r="P6550" s="498"/>
      <c r="Q6550" s="498"/>
      <c r="R6550" s="498"/>
      <c r="T6550" s="498"/>
      <c r="U6550" s="498"/>
      <c r="V6550" s="498"/>
      <c r="W6550" s="498"/>
      <c r="X6550" s="498"/>
      <c r="Y6550" s="498"/>
      <c r="Z6550" s="498"/>
      <c r="AA6550" s="498"/>
      <c r="AB6550" s="498"/>
      <c r="AC6550" s="498"/>
      <c r="AD6550" s="498"/>
      <c r="AE6550" s="498"/>
      <c r="AF6550" s="498"/>
      <c r="AG6550" s="498"/>
      <c r="AH6550" s="498"/>
      <c r="AI6550" s="498"/>
      <c r="AK6550" s="498"/>
      <c r="AL6550" s="498"/>
      <c r="AM6550" s="498"/>
      <c r="AN6550" s="498"/>
      <c r="AO6550" s="498"/>
      <c r="AP6550" s="498"/>
      <c r="AQ6550" s="498"/>
      <c r="AR6550" s="498"/>
      <c r="AS6550" s="498"/>
      <c r="AT6550" s="498"/>
      <c r="AU6550" s="498"/>
      <c r="AV6550" s="498"/>
      <c r="AW6550" s="498"/>
      <c r="AX6550" s="498"/>
      <c r="AY6550" s="498"/>
      <c r="AZ6550" s="498"/>
      <c r="BA6550" s="498"/>
    </row>
    <row r="6551" spans="1:53" s="499" customFormat="1" x14ac:dyDescent="0.25">
      <c r="A6551" s="500"/>
      <c r="B6551" s="501"/>
      <c r="C6551" s="502"/>
      <c r="D6551" s="497"/>
      <c r="E6551" s="497"/>
      <c r="F6551" s="502"/>
      <c r="G6551" s="497"/>
      <c r="H6551" s="497"/>
      <c r="I6551" s="497"/>
      <c r="J6551" s="497"/>
      <c r="K6551" s="500"/>
      <c r="L6551" s="497"/>
      <c r="M6551"/>
      <c r="N6551" s="498"/>
      <c r="O6551" s="498"/>
      <c r="P6551" s="498"/>
      <c r="Q6551" s="498"/>
      <c r="R6551" s="498"/>
      <c r="T6551" s="498"/>
      <c r="U6551" s="498"/>
      <c r="V6551" s="498"/>
      <c r="W6551" s="498"/>
      <c r="X6551" s="498"/>
      <c r="Y6551" s="498"/>
      <c r="Z6551" s="498"/>
      <c r="AA6551" s="498"/>
      <c r="AB6551" s="498"/>
      <c r="AC6551" s="498"/>
      <c r="AD6551" s="498"/>
      <c r="AE6551" s="498"/>
      <c r="AF6551" s="498"/>
      <c r="AG6551" s="498"/>
      <c r="AH6551" s="498"/>
      <c r="AI6551" s="498"/>
      <c r="AK6551" s="498"/>
      <c r="AL6551" s="498"/>
      <c r="AM6551" s="498"/>
      <c r="AN6551" s="498"/>
      <c r="AO6551" s="498"/>
      <c r="AP6551" s="498"/>
      <c r="AQ6551" s="498"/>
      <c r="AR6551" s="498"/>
      <c r="AS6551" s="498"/>
      <c r="AT6551" s="498"/>
      <c r="AU6551" s="498"/>
      <c r="AV6551" s="498"/>
      <c r="AW6551" s="498"/>
      <c r="AX6551" s="498"/>
      <c r="AY6551" s="498"/>
      <c r="AZ6551" s="498"/>
      <c r="BA6551" s="498"/>
    </row>
    <row r="6552" spans="1:53" s="499" customFormat="1" x14ac:dyDescent="0.25">
      <c r="A6552" s="500"/>
      <c r="B6552" s="501"/>
      <c r="C6552" s="502"/>
      <c r="D6552" s="497"/>
      <c r="E6552" s="497"/>
      <c r="F6552" s="502"/>
      <c r="G6552" s="497"/>
      <c r="H6552" s="497"/>
      <c r="I6552" s="497"/>
      <c r="J6552" s="497"/>
      <c r="K6552" s="500"/>
      <c r="L6552" s="497"/>
      <c r="M6552"/>
      <c r="N6552" s="498"/>
      <c r="O6552" s="498"/>
      <c r="P6552" s="498"/>
      <c r="Q6552" s="498"/>
      <c r="R6552" s="498"/>
      <c r="T6552" s="498"/>
      <c r="U6552" s="498"/>
      <c r="V6552" s="498"/>
      <c r="W6552" s="498"/>
      <c r="X6552" s="498"/>
      <c r="Y6552" s="498"/>
      <c r="Z6552" s="498"/>
      <c r="AA6552" s="498"/>
      <c r="AB6552" s="498"/>
      <c r="AC6552" s="498"/>
      <c r="AD6552" s="498"/>
      <c r="AE6552" s="498"/>
      <c r="AF6552" s="498"/>
      <c r="AG6552" s="498"/>
      <c r="AH6552" s="498"/>
      <c r="AI6552" s="498"/>
      <c r="AK6552" s="498"/>
      <c r="AL6552" s="498"/>
      <c r="AM6552" s="498"/>
      <c r="AN6552" s="498"/>
      <c r="AO6552" s="498"/>
      <c r="AP6552" s="498"/>
      <c r="AQ6552" s="498"/>
      <c r="AR6552" s="498"/>
      <c r="AS6552" s="498"/>
      <c r="AT6552" s="498"/>
      <c r="AU6552" s="498"/>
      <c r="AV6552" s="498"/>
      <c r="AW6552" s="498"/>
      <c r="AX6552" s="498"/>
      <c r="AY6552" s="498"/>
      <c r="AZ6552" s="498"/>
      <c r="BA6552" s="498"/>
    </row>
    <row r="6553" spans="1:53" s="499" customFormat="1" x14ac:dyDescent="0.25">
      <c r="A6553" s="500"/>
      <c r="B6553" s="501"/>
      <c r="C6553" s="502"/>
      <c r="D6553" s="497"/>
      <c r="E6553" s="497"/>
      <c r="F6553" s="502"/>
      <c r="G6553" s="497"/>
      <c r="H6553" s="497"/>
      <c r="I6553" s="497"/>
      <c r="J6553" s="497"/>
      <c r="K6553" s="500"/>
      <c r="L6553" s="497"/>
      <c r="M6553"/>
      <c r="N6553" s="498"/>
      <c r="O6553" s="498"/>
      <c r="P6553" s="498"/>
      <c r="Q6553" s="498"/>
      <c r="R6553" s="498"/>
      <c r="T6553" s="498"/>
      <c r="U6553" s="498"/>
      <c r="V6553" s="498"/>
      <c r="W6553" s="498"/>
      <c r="X6553" s="498"/>
      <c r="Y6553" s="498"/>
      <c r="Z6553" s="498"/>
      <c r="AA6553" s="498"/>
      <c r="AB6553" s="498"/>
      <c r="AC6553" s="498"/>
      <c r="AD6553" s="498"/>
      <c r="AE6553" s="498"/>
      <c r="AF6553" s="498"/>
      <c r="AG6553" s="498"/>
      <c r="AH6553" s="498"/>
      <c r="AI6553" s="498"/>
      <c r="AK6553" s="498"/>
      <c r="AL6553" s="498"/>
      <c r="AM6553" s="498"/>
      <c r="AN6553" s="498"/>
      <c r="AO6553" s="498"/>
      <c r="AP6553" s="498"/>
      <c r="AQ6553" s="498"/>
      <c r="AR6553" s="498"/>
      <c r="AS6553" s="498"/>
      <c r="AT6553" s="498"/>
      <c r="AU6553" s="498"/>
      <c r="AV6553" s="498"/>
      <c r="AW6553" s="498"/>
      <c r="AX6553" s="498"/>
      <c r="AY6553" s="498"/>
      <c r="AZ6553" s="498"/>
      <c r="BA6553" s="498"/>
    </row>
    <row r="6554" spans="1:53" s="499" customFormat="1" x14ac:dyDescent="0.25">
      <c r="A6554" s="500"/>
      <c r="B6554" s="501"/>
      <c r="C6554" s="502"/>
      <c r="D6554" s="497"/>
      <c r="E6554" s="497"/>
      <c r="F6554" s="502"/>
      <c r="G6554" s="497"/>
      <c r="H6554" s="497"/>
      <c r="I6554" s="497"/>
      <c r="J6554" s="497"/>
      <c r="K6554" s="500"/>
      <c r="L6554" s="497"/>
      <c r="M6554"/>
      <c r="N6554" s="498"/>
      <c r="O6554" s="498"/>
      <c r="P6554" s="498"/>
      <c r="Q6554" s="498"/>
      <c r="R6554" s="498"/>
      <c r="T6554" s="498"/>
      <c r="U6554" s="498"/>
      <c r="V6554" s="498"/>
      <c r="W6554" s="498"/>
      <c r="X6554" s="498"/>
      <c r="Y6554" s="498"/>
      <c r="Z6554" s="498"/>
      <c r="AA6554" s="498"/>
      <c r="AB6554" s="498"/>
      <c r="AC6554" s="498"/>
      <c r="AD6554" s="498"/>
      <c r="AE6554" s="498"/>
      <c r="AF6554" s="498"/>
      <c r="AG6554" s="498"/>
      <c r="AH6554" s="498"/>
      <c r="AI6554" s="498"/>
      <c r="AK6554" s="498"/>
      <c r="AL6554" s="498"/>
      <c r="AM6554" s="498"/>
      <c r="AN6554" s="498"/>
      <c r="AO6554" s="498"/>
      <c r="AP6554" s="498"/>
      <c r="AQ6554" s="498"/>
      <c r="AR6554" s="498"/>
      <c r="AS6554" s="498"/>
      <c r="AT6554" s="498"/>
      <c r="AU6554" s="498"/>
      <c r="AV6554" s="498"/>
      <c r="AW6554" s="498"/>
      <c r="AX6554" s="498"/>
      <c r="AY6554" s="498"/>
      <c r="AZ6554" s="498"/>
      <c r="BA6554" s="498"/>
    </row>
    <row r="6555" spans="1:53" s="499" customFormat="1" x14ac:dyDescent="0.25">
      <c r="A6555" s="500"/>
      <c r="B6555" s="501"/>
      <c r="C6555" s="502"/>
      <c r="D6555" s="497"/>
      <c r="E6555" s="497"/>
      <c r="F6555" s="502"/>
      <c r="G6555" s="497"/>
      <c r="H6555" s="497"/>
      <c r="I6555" s="497"/>
      <c r="J6555" s="497"/>
      <c r="K6555" s="500"/>
      <c r="L6555" s="497"/>
      <c r="M6555"/>
      <c r="N6555" s="498"/>
      <c r="O6555" s="498"/>
      <c r="P6555" s="498"/>
      <c r="Q6555" s="498"/>
      <c r="R6555" s="498"/>
      <c r="T6555" s="498"/>
      <c r="U6555" s="498"/>
      <c r="V6555" s="498"/>
      <c r="W6555" s="498"/>
      <c r="X6555" s="498"/>
      <c r="Y6555" s="498"/>
      <c r="Z6555" s="498"/>
      <c r="AA6555" s="498"/>
      <c r="AB6555" s="498"/>
      <c r="AC6555" s="498"/>
      <c r="AD6555" s="498"/>
      <c r="AE6555" s="498"/>
      <c r="AF6555" s="498"/>
      <c r="AG6555" s="498"/>
      <c r="AH6555" s="498"/>
      <c r="AI6555" s="498"/>
      <c r="AK6555" s="498"/>
      <c r="AL6555" s="498"/>
      <c r="AM6555" s="498"/>
      <c r="AN6555" s="498"/>
      <c r="AO6555" s="498"/>
      <c r="AP6555" s="498"/>
      <c r="AQ6555" s="498"/>
      <c r="AR6555" s="498"/>
      <c r="AS6555" s="498"/>
      <c r="AT6555" s="498"/>
      <c r="AU6555" s="498"/>
      <c r="AV6555" s="498"/>
      <c r="AW6555" s="498"/>
      <c r="AX6555" s="498"/>
      <c r="AY6555" s="498"/>
      <c r="AZ6555" s="498"/>
      <c r="BA6555" s="498"/>
    </row>
    <row r="6556" spans="1:53" s="499" customFormat="1" x14ac:dyDescent="0.25">
      <c r="A6556" s="500"/>
      <c r="B6556" s="501"/>
      <c r="C6556" s="502"/>
      <c r="D6556" s="497"/>
      <c r="E6556" s="497"/>
      <c r="F6556" s="502"/>
      <c r="G6556" s="497"/>
      <c r="H6556" s="497"/>
      <c r="I6556" s="497"/>
      <c r="J6556" s="497"/>
      <c r="K6556" s="500"/>
      <c r="L6556" s="497"/>
      <c r="M6556"/>
      <c r="N6556" s="498"/>
      <c r="O6556" s="498"/>
      <c r="P6556" s="498"/>
      <c r="Q6556" s="498"/>
      <c r="R6556" s="498"/>
      <c r="T6556" s="498"/>
      <c r="U6556" s="498"/>
      <c r="V6556" s="498"/>
      <c r="W6556" s="498"/>
      <c r="X6556" s="498"/>
      <c r="Y6556" s="498"/>
      <c r="Z6556" s="498"/>
      <c r="AA6556" s="498"/>
      <c r="AB6556" s="498"/>
      <c r="AC6556" s="498"/>
      <c r="AD6556" s="498"/>
      <c r="AE6556" s="498"/>
      <c r="AF6556" s="498"/>
      <c r="AG6556" s="498"/>
      <c r="AH6556" s="498"/>
      <c r="AI6556" s="498"/>
      <c r="AK6556" s="498"/>
      <c r="AL6556" s="498"/>
      <c r="AM6556" s="498"/>
      <c r="AN6556" s="498"/>
      <c r="AO6556" s="498"/>
      <c r="AP6556" s="498"/>
      <c r="AQ6556" s="498"/>
      <c r="AR6556" s="498"/>
      <c r="AS6556" s="498"/>
      <c r="AT6556" s="498"/>
      <c r="AU6556" s="498"/>
      <c r="AV6556" s="498"/>
      <c r="AW6556" s="498"/>
      <c r="AX6556" s="498"/>
      <c r="AY6556" s="498"/>
      <c r="AZ6556" s="498"/>
      <c r="BA6556" s="498"/>
    </row>
    <row r="6557" spans="1:53" s="499" customFormat="1" x14ac:dyDescent="0.25">
      <c r="A6557" s="500"/>
      <c r="B6557" s="501"/>
      <c r="C6557" s="502"/>
      <c r="D6557" s="497"/>
      <c r="E6557" s="497"/>
      <c r="F6557" s="502"/>
      <c r="G6557" s="497"/>
      <c r="H6557" s="497"/>
      <c r="I6557" s="497"/>
      <c r="J6557" s="497"/>
      <c r="K6557" s="500"/>
      <c r="L6557" s="497"/>
      <c r="M6557"/>
      <c r="N6557" s="498"/>
      <c r="O6557" s="498"/>
      <c r="P6557" s="498"/>
      <c r="Q6557" s="498"/>
      <c r="R6557" s="498"/>
      <c r="T6557" s="498"/>
      <c r="U6557" s="498"/>
      <c r="V6557" s="498"/>
      <c r="W6557" s="498"/>
      <c r="X6557" s="498"/>
      <c r="Y6557" s="498"/>
      <c r="Z6557" s="498"/>
      <c r="AA6557" s="498"/>
      <c r="AB6557" s="498"/>
      <c r="AC6557" s="498"/>
      <c r="AD6557" s="498"/>
      <c r="AE6557" s="498"/>
      <c r="AF6557" s="498"/>
      <c r="AG6557" s="498"/>
      <c r="AH6557" s="498"/>
      <c r="AI6557" s="498"/>
      <c r="AK6557" s="498"/>
      <c r="AL6557" s="498"/>
      <c r="AM6557" s="498"/>
      <c r="AN6557" s="498"/>
      <c r="AO6557" s="498"/>
      <c r="AP6557" s="498"/>
      <c r="AQ6557" s="498"/>
      <c r="AR6557" s="498"/>
      <c r="AS6557" s="498"/>
      <c r="AT6557" s="498"/>
      <c r="AU6557" s="498"/>
      <c r="AV6557" s="498"/>
      <c r="AW6557" s="498"/>
      <c r="AX6557" s="498"/>
      <c r="AY6557" s="498"/>
      <c r="AZ6557" s="498"/>
      <c r="BA6557" s="498"/>
    </row>
    <row r="6558" spans="1:53" s="499" customFormat="1" x14ac:dyDescent="0.25">
      <c r="A6558" s="500"/>
      <c r="B6558" s="501"/>
      <c r="C6558" s="502"/>
      <c r="D6558" s="497"/>
      <c r="E6558" s="497"/>
      <c r="F6558" s="502"/>
      <c r="G6558" s="497"/>
      <c r="H6558" s="497"/>
      <c r="I6558" s="497"/>
      <c r="J6558" s="497"/>
      <c r="K6558" s="500"/>
      <c r="L6558" s="497"/>
      <c r="M6558"/>
      <c r="N6558" s="498"/>
      <c r="O6558" s="498"/>
      <c r="P6558" s="498"/>
      <c r="Q6558" s="498"/>
      <c r="R6558" s="498"/>
      <c r="T6558" s="498"/>
      <c r="U6558" s="498"/>
      <c r="V6558" s="498"/>
      <c r="W6558" s="498"/>
      <c r="X6558" s="498"/>
      <c r="Y6558" s="498"/>
      <c r="Z6558" s="498"/>
      <c r="AA6558" s="498"/>
      <c r="AB6558" s="498"/>
      <c r="AC6558" s="498"/>
      <c r="AD6558" s="498"/>
      <c r="AE6558" s="498"/>
      <c r="AF6558" s="498"/>
      <c r="AG6558" s="498"/>
      <c r="AH6558" s="498"/>
      <c r="AI6558" s="498"/>
      <c r="AK6558" s="498"/>
      <c r="AL6558" s="498"/>
      <c r="AM6558" s="498"/>
      <c r="AN6558" s="498"/>
      <c r="AO6558" s="498"/>
      <c r="AP6558" s="498"/>
      <c r="AQ6558" s="498"/>
      <c r="AR6558" s="498"/>
      <c r="AS6558" s="498"/>
      <c r="AT6558" s="498"/>
      <c r="AU6558" s="498"/>
      <c r="AV6558" s="498"/>
      <c r="AW6558" s="498"/>
      <c r="AX6558" s="498"/>
      <c r="AY6558" s="498"/>
      <c r="AZ6558" s="498"/>
      <c r="BA6558" s="498"/>
    </row>
    <row r="6559" spans="1:53" s="499" customFormat="1" x14ac:dyDescent="0.25">
      <c r="A6559" s="500"/>
      <c r="B6559" s="501"/>
      <c r="C6559" s="502"/>
      <c r="D6559" s="497"/>
      <c r="E6559" s="497"/>
      <c r="F6559" s="502"/>
      <c r="G6559" s="497"/>
      <c r="H6559" s="497"/>
      <c r="I6559" s="497"/>
      <c r="J6559" s="497"/>
      <c r="K6559" s="500"/>
      <c r="L6559" s="497"/>
      <c r="M6559"/>
      <c r="N6559" s="498"/>
      <c r="O6559" s="498"/>
      <c r="P6559" s="498"/>
      <c r="Q6559" s="498"/>
      <c r="R6559" s="498"/>
      <c r="T6559" s="498"/>
      <c r="U6559" s="498"/>
      <c r="V6559" s="498"/>
      <c r="W6559" s="498"/>
      <c r="X6559" s="498"/>
      <c r="Y6559" s="498"/>
      <c r="Z6559" s="498"/>
      <c r="AA6559" s="498"/>
      <c r="AB6559" s="498"/>
      <c r="AC6559" s="498"/>
      <c r="AD6559" s="498"/>
      <c r="AE6559" s="498"/>
      <c r="AF6559" s="498"/>
      <c r="AG6559" s="498"/>
      <c r="AH6559" s="498"/>
      <c r="AI6559" s="498"/>
      <c r="AK6559" s="498"/>
      <c r="AL6559" s="498"/>
      <c r="AM6559" s="498"/>
      <c r="AN6559" s="498"/>
      <c r="AO6559" s="498"/>
      <c r="AP6559" s="498"/>
      <c r="AQ6559" s="498"/>
      <c r="AR6559" s="498"/>
      <c r="AS6559" s="498"/>
      <c r="AT6559" s="498"/>
      <c r="AU6559" s="498"/>
      <c r="AV6559" s="498"/>
      <c r="AW6559" s="498"/>
      <c r="AX6559" s="498"/>
      <c r="AY6559" s="498"/>
      <c r="AZ6559" s="498"/>
      <c r="BA6559" s="498"/>
    </row>
    <row r="6560" spans="1:53" s="499" customFormat="1" x14ac:dyDescent="0.25">
      <c r="A6560" s="500"/>
      <c r="B6560" s="501"/>
      <c r="C6560" s="502"/>
      <c r="D6560" s="497"/>
      <c r="E6560" s="497"/>
      <c r="F6560" s="502"/>
      <c r="G6560" s="497"/>
      <c r="H6560" s="497"/>
      <c r="I6560" s="497"/>
      <c r="J6560" s="497"/>
      <c r="K6560" s="500"/>
      <c r="L6560" s="497"/>
      <c r="M6560"/>
      <c r="N6560" s="498"/>
      <c r="O6560" s="498"/>
      <c r="P6560" s="498"/>
      <c r="Q6560" s="498"/>
      <c r="R6560" s="498"/>
      <c r="T6560" s="498"/>
      <c r="U6560" s="498"/>
      <c r="V6560" s="498"/>
      <c r="W6560" s="498"/>
      <c r="X6560" s="498"/>
      <c r="Y6560" s="498"/>
      <c r="Z6560" s="498"/>
      <c r="AA6560" s="498"/>
      <c r="AB6560" s="498"/>
      <c r="AC6560" s="498"/>
      <c r="AD6560" s="498"/>
      <c r="AE6560" s="498"/>
      <c r="AF6560" s="498"/>
      <c r="AG6560" s="498"/>
      <c r="AH6560" s="498"/>
      <c r="AI6560" s="498"/>
      <c r="AK6560" s="498"/>
      <c r="AL6560" s="498"/>
      <c r="AM6560" s="498"/>
      <c r="AN6560" s="498"/>
      <c r="AO6560" s="498"/>
      <c r="AP6560" s="498"/>
      <c r="AQ6560" s="498"/>
      <c r="AR6560" s="498"/>
      <c r="AS6560" s="498"/>
      <c r="AT6560" s="498"/>
      <c r="AU6560" s="498"/>
      <c r="AV6560" s="498"/>
      <c r="AW6560" s="498"/>
      <c r="AX6560" s="498"/>
      <c r="AY6560" s="498"/>
      <c r="AZ6560" s="498"/>
      <c r="BA6560" s="498"/>
    </row>
    <row r="6561" spans="1:53" s="499" customFormat="1" x14ac:dyDescent="0.25">
      <c r="A6561" s="500"/>
      <c r="B6561" s="501"/>
      <c r="C6561" s="502"/>
      <c r="D6561" s="497"/>
      <c r="E6561" s="497"/>
      <c r="F6561" s="502"/>
      <c r="G6561" s="497"/>
      <c r="H6561" s="497"/>
      <c r="I6561" s="497"/>
      <c r="J6561" s="497"/>
      <c r="K6561" s="500"/>
      <c r="L6561" s="497"/>
      <c r="M6561"/>
      <c r="N6561" s="498"/>
      <c r="O6561" s="498"/>
      <c r="P6561" s="498"/>
      <c r="Q6561" s="498"/>
      <c r="R6561" s="498"/>
      <c r="T6561" s="498"/>
      <c r="U6561" s="498"/>
      <c r="V6561" s="498"/>
      <c r="W6561" s="498"/>
      <c r="X6561" s="498"/>
      <c r="Y6561" s="498"/>
      <c r="Z6561" s="498"/>
      <c r="AA6561" s="498"/>
      <c r="AB6561" s="498"/>
      <c r="AC6561" s="498"/>
      <c r="AD6561" s="498"/>
      <c r="AE6561" s="498"/>
      <c r="AF6561" s="498"/>
      <c r="AG6561" s="498"/>
      <c r="AH6561" s="498"/>
      <c r="AI6561" s="498"/>
      <c r="AK6561" s="498"/>
      <c r="AL6561" s="498"/>
      <c r="AM6561" s="498"/>
      <c r="AN6561" s="498"/>
      <c r="AO6561" s="498"/>
      <c r="AP6561" s="498"/>
      <c r="AQ6561" s="498"/>
      <c r="AR6561" s="498"/>
      <c r="AS6561" s="498"/>
      <c r="AT6561" s="498"/>
      <c r="AU6561" s="498"/>
      <c r="AV6561" s="498"/>
      <c r="AW6561" s="498"/>
      <c r="AX6561" s="498"/>
      <c r="AY6561" s="498"/>
      <c r="AZ6561" s="498"/>
      <c r="BA6561" s="498"/>
    </row>
    <row r="6562" spans="1:53" s="499" customFormat="1" x14ac:dyDescent="0.25">
      <c r="A6562" s="500"/>
      <c r="B6562" s="501"/>
      <c r="C6562" s="502"/>
      <c r="D6562" s="497"/>
      <c r="E6562" s="497"/>
      <c r="F6562" s="502"/>
      <c r="G6562" s="497"/>
      <c r="H6562" s="497"/>
      <c r="I6562" s="497"/>
      <c r="J6562" s="497"/>
      <c r="K6562" s="500"/>
      <c r="L6562" s="497"/>
      <c r="M6562"/>
      <c r="N6562" s="498"/>
      <c r="O6562" s="498"/>
      <c r="P6562" s="498"/>
      <c r="Q6562" s="498"/>
      <c r="R6562" s="498"/>
      <c r="T6562" s="498"/>
      <c r="U6562" s="498"/>
      <c r="V6562" s="498"/>
      <c r="W6562" s="498"/>
      <c r="X6562" s="498"/>
      <c r="Y6562" s="498"/>
      <c r="Z6562" s="498"/>
      <c r="AA6562" s="498"/>
      <c r="AB6562" s="498"/>
      <c r="AC6562" s="498"/>
      <c r="AD6562" s="498"/>
      <c r="AE6562" s="498"/>
      <c r="AF6562" s="498"/>
      <c r="AG6562" s="498"/>
      <c r="AH6562" s="498"/>
      <c r="AI6562" s="498"/>
      <c r="AK6562" s="498"/>
      <c r="AL6562" s="498"/>
      <c r="AM6562" s="498"/>
      <c r="AN6562" s="498"/>
      <c r="AO6562" s="498"/>
      <c r="AP6562" s="498"/>
      <c r="AQ6562" s="498"/>
      <c r="AR6562" s="498"/>
      <c r="AS6562" s="498"/>
      <c r="AT6562" s="498"/>
      <c r="AU6562" s="498"/>
      <c r="AV6562" s="498"/>
      <c r="AW6562" s="498"/>
      <c r="AX6562" s="498"/>
      <c r="AY6562" s="498"/>
      <c r="AZ6562" s="498"/>
      <c r="BA6562" s="498"/>
    </row>
    <row r="6563" spans="1:53" s="499" customFormat="1" x14ac:dyDescent="0.25">
      <c r="A6563" s="500"/>
      <c r="B6563" s="501"/>
      <c r="C6563" s="502"/>
      <c r="D6563" s="497"/>
      <c r="E6563" s="497"/>
      <c r="F6563" s="502"/>
      <c r="G6563" s="497"/>
      <c r="H6563" s="497"/>
      <c r="I6563" s="497"/>
      <c r="J6563" s="497"/>
      <c r="K6563" s="500"/>
      <c r="L6563" s="497"/>
      <c r="M6563"/>
      <c r="N6563" s="498"/>
      <c r="O6563" s="498"/>
      <c r="P6563" s="498"/>
      <c r="Q6563" s="498"/>
      <c r="R6563" s="498"/>
      <c r="T6563" s="498"/>
      <c r="U6563" s="498"/>
      <c r="V6563" s="498"/>
      <c r="W6563" s="498"/>
      <c r="X6563" s="498"/>
      <c r="Y6563" s="498"/>
      <c r="Z6563" s="498"/>
      <c r="AA6563" s="498"/>
      <c r="AB6563" s="498"/>
      <c r="AC6563" s="498"/>
      <c r="AD6563" s="498"/>
      <c r="AE6563" s="498"/>
      <c r="AF6563" s="498"/>
      <c r="AG6563" s="498"/>
      <c r="AH6563" s="498"/>
      <c r="AI6563" s="498"/>
      <c r="AK6563" s="498"/>
      <c r="AL6563" s="498"/>
      <c r="AM6563" s="498"/>
      <c r="AN6563" s="498"/>
      <c r="AO6563" s="498"/>
      <c r="AP6563" s="498"/>
      <c r="AQ6563" s="498"/>
      <c r="AR6563" s="498"/>
      <c r="AS6563" s="498"/>
      <c r="AT6563" s="498"/>
      <c r="AU6563" s="498"/>
      <c r="AV6563" s="498"/>
      <c r="AW6563" s="498"/>
      <c r="AX6563" s="498"/>
      <c r="AY6563" s="498"/>
      <c r="AZ6563" s="498"/>
      <c r="BA6563" s="498"/>
    </row>
    <row r="6564" spans="1:53" s="499" customFormat="1" x14ac:dyDescent="0.25">
      <c r="A6564" s="500"/>
      <c r="B6564" s="501"/>
      <c r="C6564" s="502"/>
      <c r="D6564" s="497"/>
      <c r="E6564" s="497"/>
      <c r="F6564" s="502"/>
      <c r="G6564" s="497"/>
      <c r="H6564" s="497"/>
      <c r="I6564" s="497"/>
      <c r="J6564" s="497"/>
      <c r="K6564" s="500"/>
      <c r="L6564" s="497"/>
      <c r="M6564"/>
      <c r="N6564" s="498"/>
      <c r="O6564" s="498"/>
      <c r="P6564" s="498"/>
      <c r="Q6564" s="498"/>
      <c r="R6564" s="498"/>
      <c r="T6564" s="498"/>
      <c r="U6564" s="498"/>
      <c r="V6564" s="498"/>
      <c r="W6564" s="498"/>
      <c r="X6564" s="498"/>
      <c r="Y6564" s="498"/>
      <c r="Z6564" s="498"/>
      <c r="AA6564" s="498"/>
      <c r="AB6564" s="498"/>
      <c r="AC6564" s="498"/>
      <c r="AD6564" s="498"/>
      <c r="AE6564" s="498"/>
      <c r="AF6564" s="498"/>
      <c r="AG6564" s="498"/>
      <c r="AH6564" s="498"/>
      <c r="AI6564" s="498"/>
      <c r="AK6564" s="498"/>
      <c r="AL6564" s="498"/>
      <c r="AM6564" s="498"/>
      <c r="AN6564" s="498"/>
      <c r="AO6564" s="498"/>
      <c r="AP6564" s="498"/>
      <c r="AQ6564" s="498"/>
      <c r="AR6564" s="498"/>
      <c r="AS6564" s="498"/>
      <c r="AT6564" s="498"/>
      <c r="AU6564" s="498"/>
      <c r="AV6564" s="498"/>
      <c r="AW6564" s="498"/>
      <c r="AX6564" s="498"/>
      <c r="AY6564" s="498"/>
      <c r="AZ6564" s="498"/>
      <c r="BA6564" s="498"/>
    </row>
    <row r="6565" spans="1:53" s="499" customFormat="1" x14ac:dyDescent="0.25">
      <c r="A6565" s="500"/>
      <c r="B6565" s="501"/>
      <c r="C6565" s="502"/>
      <c r="D6565" s="497"/>
      <c r="E6565" s="497"/>
      <c r="F6565" s="502"/>
      <c r="G6565" s="497"/>
      <c r="H6565" s="497"/>
      <c r="I6565" s="497"/>
      <c r="J6565" s="497"/>
      <c r="K6565" s="500"/>
      <c r="L6565" s="497"/>
      <c r="M6565"/>
      <c r="N6565" s="498"/>
      <c r="O6565" s="498"/>
      <c r="P6565" s="498"/>
      <c r="Q6565" s="498"/>
      <c r="R6565" s="498"/>
      <c r="T6565" s="498"/>
      <c r="U6565" s="498"/>
      <c r="V6565" s="498"/>
      <c r="W6565" s="498"/>
      <c r="X6565" s="498"/>
      <c r="Y6565" s="498"/>
      <c r="Z6565" s="498"/>
      <c r="AA6565" s="498"/>
      <c r="AB6565" s="498"/>
      <c r="AC6565" s="498"/>
      <c r="AD6565" s="498"/>
      <c r="AE6565" s="498"/>
      <c r="AF6565" s="498"/>
      <c r="AG6565" s="498"/>
      <c r="AH6565" s="498"/>
      <c r="AI6565" s="498"/>
      <c r="AK6565" s="498"/>
      <c r="AL6565" s="498"/>
      <c r="AM6565" s="498"/>
      <c r="AN6565" s="498"/>
      <c r="AO6565" s="498"/>
      <c r="AP6565" s="498"/>
      <c r="AQ6565" s="498"/>
      <c r="AR6565" s="498"/>
      <c r="AS6565" s="498"/>
      <c r="AT6565" s="498"/>
      <c r="AU6565" s="498"/>
      <c r="AV6565" s="498"/>
      <c r="AW6565" s="498"/>
      <c r="AX6565" s="498"/>
      <c r="AY6565" s="498"/>
      <c r="AZ6565" s="498"/>
      <c r="BA6565" s="498"/>
    </row>
    <row r="6566" spans="1:53" s="499" customFormat="1" x14ac:dyDescent="0.25">
      <c r="A6566" s="500"/>
      <c r="B6566" s="501"/>
      <c r="C6566" s="502"/>
      <c r="D6566" s="497"/>
      <c r="E6566" s="497"/>
      <c r="F6566" s="502"/>
      <c r="G6566" s="497"/>
      <c r="H6566" s="497"/>
      <c r="I6566" s="497"/>
      <c r="J6566" s="497"/>
      <c r="K6566" s="500"/>
      <c r="L6566" s="497"/>
      <c r="M6566"/>
      <c r="N6566" s="498"/>
      <c r="O6566" s="498"/>
      <c r="P6566" s="498"/>
      <c r="Q6566" s="498"/>
      <c r="R6566" s="498"/>
      <c r="T6566" s="498"/>
      <c r="U6566" s="498"/>
      <c r="V6566" s="498"/>
      <c r="W6566" s="498"/>
      <c r="X6566" s="498"/>
      <c r="Y6566" s="498"/>
      <c r="Z6566" s="498"/>
      <c r="AA6566" s="498"/>
      <c r="AB6566" s="498"/>
      <c r="AC6566" s="498"/>
      <c r="AD6566" s="498"/>
      <c r="AE6566" s="498"/>
      <c r="AF6566" s="498"/>
      <c r="AG6566" s="498"/>
      <c r="AH6566" s="498"/>
      <c r="AI6566" s="498"/>
      <c r="AK6566" s="498"/>
      <c r="AL6566" s="498"/>
      <c r="AM6566" s="498"/>
      <c r="AN6566" s="498"/>
      <c r="AO6566" s="498"/>
      <c r="AP6566" s="498"/>
      <c r="AQ6566" s="498"/>
      <c r="AR6566" s="498"/>
      <c r="AS6566" s="498"/>
      <c r="AT6566" s="498"/>
      <c r="AU6566" s="498"/>
      <c r="AV6566" s="498"/>
      <c r="AW6566" s="498"/>
      <c r="AX6566" s="498"/>
      <c r="AY6566" s="498"/>
      <c r="AZ6566" s="498"/>
      <c r="BA6566" s="498"/>
    </row>
    <row r="6567" spans="1:53" s="499" customFormat="1" x14ac:dyDescent="0.25">
      <c r="A6567" s="500"/>
      <c r="B6567" s="501"/>
      <c r="C6567" s="502"/>
      <c r="D6567" s="497"/>
      <c r="E6567" s="497"/>
      <c r="F6567" s="502"/>
      <c r="G6567" s="497"/>
      <c r="H6567" s="497"/>
      <c r="I6567" s="497"/>
      <c r="J6567" s="497"/>
      <c r="K6567" s="500"/>
      <c r="L6567" s="497"/>
      <c r="M6567"/>
      <c r="N6567" s="498"/>
      <c r="O6567" s="498"/>
      <c r="P6567" s="498"/>
      <c r="Q6567" s="498"/>
      <c r="R6567" s="498"/>
      <c r="T6567" s="498"/>
      <c r="U6567" s="498"/>
      <c r="V6567" s="498"/>
      <c r="W6567" s="498"/>
      <c r="X6567" s="498"/>
      <c r="Y6567" s="498"/>
      <c r="Z6567" s="498"/>
      <c r="AA6567" s="498"/>
      <c r="AB6567" s="498"/>
      <c r="AC6567" s="498"/>
      <c r="AD6567" s="498"/>
      <c r="AE6567" s="498"/>
      <c r="AF6567" s="498"/>
      <c r="AG6567" s="498"/>
      <c r="AH6567" s="498"/>
      <c r="AI6567" s="498"/>
      <c r="AK6567" s="498"/>
      <c r="AL6567" s="498"/>
      <c r="AM6567" s="498"/>
      <c r="AN6567" s="498"/>
      <c r="AO6567" s="498"/>
      <c r="AP6567" s="498"/>
      <c r="AQ6567" s="498"/>
      <c r="AR6567" s="498"/>
      <c r="AS6567" s="498"/>
      <c r="AT6567" s="498"/>
      <c r="AU6567" s="498"/>
      <c r="AV6567" s="498"/>
      <c r="AW6567" s="498"/>
      <c r="AX6567" s="498"/>
      <c r="AY6567" s="498"/>
      <c r="AZ6567" s="498"/>
      <c r="BA6567" s="498"/>
    </row>
    <row r="6568" spans="1:53" s="499" customFormat="1" x14ac:dyDescent="0.25">
      <c r="A6568" s="500"/>
      <c r="B6568" s="501"/>
      <c r="C6568" s="502"/>
      <c r="D6568" s="497"/>
      <c r="E6568" s="497"/>
      <c r="F6568" s="502"/>
      <c r="G6568" s="497"/>
      <c r="H6568" s="497"/>
      <c r="I6568" s="497"/>
      <c r="J6568" s="497"/>
      <c r="K6568" s="500"/>
      <c r="L6568" s="497"/>
      <c r="M6568"/>
      <c r="N6568" s="498"/>
      <c r="O6568" s="498"/>
      <c r="P6568" s="498"/>
      <c r="Q6568" s="498"/>
      <c r="R6568" s="498"/>
      <c r="T6568" s="498"/>
      <c r="U6568" s="498"/>
      <c r="V6568" s="498"/>
      <c r="W6568" s="498"/>
      <c r="X6568" s="498"/>
      <c r="Y6568" s="498"/>
      <c r="Z6568" s="498"/>
      <c r="AA6568" s="498"/>
      <c r="AB6568" s="498"/>
      <c r="AC6568" s="498"/>
      <c r="AD6568" s="498"/>
      <c r="AE6568" s="498"/>
      <c r="AF6568" s="498"/>
      <c r="AG6568" s="498"/>
      <c r="AH6568" s="498"/>
      <c r="AI6568" s="498"/>
      <c r="AK6568" s="498"/>
      <c r="AL6568" s="498"/>
      <c r="AM6568" s="498"/>
      <c r="AN6568" s="498"/>
      <c r="AO6568" s="498"/>
      <c r="AP6568" s="498"/>
      <c r="AQ6568" s="498"/>
      <c r="AR6568" s="498"/>
      <c r="AS6568" s="498"/>
      <c r="AT6568" s="498"/>
      <c r="AU6568" s="498"/>
      <c r="AV6568" s="498"/>
      <c r="AW6568" s="498"/>
      <c r="AX6568" s="498"/>
      <c r="AY6568" s="498"/>
      <c r="AZ6568" s="498"/>
      <c r="BA6568" s="498"/>
    </row>
    <row r="6569" spans="1:53" s="499" customFormat="1" x14ac:dyDescent="0.25">
      <c r="A6569" s="500"/>
      <c r="B6569" s="501"/>
      <c r="C6569" s="502"/>
      <c r="D6569" s="497"/>
      <c r="E6569" s="497"/>
      <c r="F6569" s="502"/>
      <c r="G6569" s="497"/>
      <c r="H6569" s="497"/>
      <c r="I6569" s="497"/>
      <c r="J6569" s="497"/>
      <c r="K6569" s="500"/>
      <c r="L6569" s="497"/>
      <c r="M6569"/>
      <c r="N6569" s="498"/>
      <c r="O6569" s="498"/>
      <c r="P6569" s="498"/>
      <c r="Q6569" s="498"/>
      <c r="R6569" s="498"/>
      <c r="T6569" s="498"/>
      <c r="U6569" s="498"/>
      <c r="V6569" s="498"/>
      <c r="W6569" s="498"/>
      <c r="X6569" s="498"/>
      <c r="Y6569" s="498"/>
      <c r="Z6569" s="498"/>
      <c r="AA6569" s="498"/>
      <c r="AB6569" s="498"/>
      <c r="AC6569" s="498"/>
      <c r="AD6569" s="498"/>
      <c r="AE6569" s="498"/>
      <c r="AF6569" s="498"/>
      <c r="AG6569" s="498"/>
      <c r="AH6569" s="498"/>
      <c r="AI6569" s="498"/>
      <c r="AK6569" s="498"/>
      <c r="AL6569" s="498"/>
      <c r="AM6569" s="498"/>
      <c r="AN6569" s="498"/>
      <c r="AO6569" s="498"/>
      <c r="AP6569" s="498"/>
      <c r="AQ6569" s="498"/>
      <c r="AR6569" s="498"/>
      <c r="AS6569" s="498"/>
      <c r="AT6569" s="498"/>
      <c r="AU6569" s="498"/>
      <c r="AV6569" s="498"/>
      <c r="AW6569" s="498"/>
      <c r="AX6569" s="498"/>
      <c r="AY6569" s="498"/>
      <c r="AZ6569" s="498"/>
      <c r="BA6569" s="498"/>
    </row>
    <row r="6570" spans="1:53" s="499" customFormat="1" x14ac:dyDescent="0.25">
      <c r="A6570" s="500"/>
      <c r="B6570" s="501"/>
      <c r="C6570" s="502"/>
      <c r="D6570" s="497"/>
      <c r="E6570" s="497"/>
      <c r="F6570" s="502"/>
      <c r="G6570" s="497"/>
      <c r="H6570" s="497"/>
      <c r="I6570" s="497"/>
      <c r="J6570" s="497"/>
      <c r="K6570" s="500"/>
      <c r="L6570" s="497"/>
      <c r="M6570"/>
      <c r="N6570" s="498"/>
      <c r="O6570" s="498"/>
      <c r="P6570" s="498"/>
      <c r="Q6570" s="498"/>
      <c r="R6570" s="498"/>
      <c r="T6570" s="498"/>
      <c r="U6570" s="498"/>
      <c r="V6570" s="498"/>
      <c r="W6570" s="498"/>
      <c r="X6570" s="498"/>
      <c r="Y6570" s="498"/>
      <c r="Z6570" s="498"/>
      <c r="AA6570" s="498"/>
      <c r="AB6570" s="498"/>
      <c r="AC6570" s="498"/>
      <c r="AD6570" s="498"/>
      <c r="AE6570" s="498"/>
      <c r="AF6570" s="498"/>
      <c r="AG6570" s="498"/>
      <c r="AH6570" s="498"/>
      <c r="AI6570" s="498"/>
      <c r="AK6570" s="498"/>
      <c r="AL6570" s="498"/>
      <c r="AM6570" s="498"/>
      <c r="AN6570" s="498"/>
      <c r="AO6570" s="498"/>
      <c r="AP6570" s="498"/>
      <c r="AQ6570" s="498"/>
      <c r="AR6570" s="498"/>
      <c r="AS6570" s="498"/>
      <c r="AT6570" s="498"/>
      <c r="AU6570" s="498"/>
      <c r="AV6570" s="498"/>
      <c r="AW6570" s="498"/>
      <c r="AX6570" s="498"/>
      <c r="AY6570" s="498"/>
      <c r="AZ6570" s="498"/>
      <c r="BA6570" s="498"/>
    </row>
    <row r="6571" spans="1:53" s="499" customFormat="1" x14ac:dyDescent="0.25">
      <c r="A6571" s="500"/>
      <c r="B6571" s="501"/>
      <c r="C6571" s="502"/>
      <c r="D6571" s="497"/>
      <c r="E6571" s="497"/>
      <c r="F6571" s="502"/>
      <c r="G6571" s="497"/>
      <c r="H6571" s="497"/>
      <c r="I6571" s="497"/>
      <c r="J6571" s="497"/>
      <c r="K6571" s="500"/>
      <c r="L6571" s="497"/>
      <c r="M6571"/>
      <c r="N6571" s="498"/>
      <c r="O6571" s="498"/>
      <c r="P6571" s="498"/>
      <c r="Q6571" s="498"/>
      <c r="R6571" s="498"/>
      <c r="T6571" s="498"/>
      <c r="U6571" s="498"/>
      <c r="V6571" s="498"/>
      <c r="W6571" s="498"/>
      <c r="X6571" s="498"/>
      <c r="Y6571" s="498"/>
      <c r="Z6571" s="498"/>
      <c r="AA6571" s="498"/>
      <c r="AB6571" s="498"/>
      <c r="AC6571" s="498"/>
      <c r="AD6571" s="498"/>
      <c r="AE6571" s="498"/>
      <c r="AF6571" s="498"/>
      <c r="AG6571" s="498"/>
      <c r="AH6571" s="498"/>
      <c r="AI6571" s="498"/>
      <c r="AK6571" s="498"/>
      <c r="AL6571" s="498"/>
      <c r="AM6571" s="498"/>
      <c r="AN6571" s="498"/>
      <c r="AO6571" s="498"/>
      <c r="AP6571" s="498"/>
      <c r="AQ6571" s="498"/>
      <c r="AR6571" s="498"/>
      <c r="AS6571" s="498"/>
      <c r="AT6571" s="498"/>
      <c r="AU6571" s="498"/>
      <c r="AV6571" s="498"/>
      <c r="AW6571" s="498"/>
      <c r="AX6571" s="498"/>
      <c r="AY6571" s="498"/>
      <c r="AZ6571" s="498"/>
      <c r="BA6571" s="498"/>
    </row>
    <row r="6572" spans="1:53" s="499" customFormat="1" x14ac:dyDescent="0.25">
      <c r="A6572" s="500"/>
      <c r="B6572" s="501"/>
      <c r="C6572" s="502"/>
      <c r="D6572" s="497"/>
      <c r="E6572" s="497"/>
      <c r="F6572" s="502"/>
      <c r="G6572" s="497"/>
      <c r="H6572" s="497"/>
      <c r="I6572" s="497"/>
      <c r="J6572" s="497"/>
      <c r="K6572" s="500"/>
      <c r="L6572" s="497"/>
      <c r="M6572"/>
      <c r="N6572" s="498"/>
      <c r="O6572" s="498"/>
      <c r="P6572" s="498"/>
      <c r="Q6572" s="498"/>
      <c r="R6572" s="498"/>
      <c r="T6572" s="498"/>
      <c r="U6572" s="498"/>
      <c r="V6572" s="498"/>
      <c r="W6572" s="498"/>
      <c r="X6572" s="498"/>
      <c r="Y6572" s="498"/>
      <c r="Z6572" s="498"/>
      <c r="AA6572" s="498"/>
      <c r="AB6572" s="498"/>
      <c r="AC6572" s="498"/>
      <c r="AD6572" s="498"/>
      <c r="AE6572" s="498"/>
      <c r="AF6572" s="498"/>
      <c r="AG6572" s="498"/>
      <c r="AH6572" s="498"/>
      <c r="AI6572" s="498"/>
      <c r="AK6572" s="498"/>
      <c r="AL6572" s="498"/>
      <c r="AM6572" s="498"/>
      <c r="AN6572" s="498"/>
      <c r="AO6572" s="498"/>
      <c r="AP6572" s="498"/>
      <c r="AQ6572" s="498"/>
      <c r="AR6572" s="498"/>
      <c r="AS6572" s="498"/>
      <c r="AT6572" s="498"/>
      <c r="AU6572" s="498"/>
      <c r="AV6572" s="498"/>
      <c r="AW6572" s="498"/>
      <c r="AX6572" s="498"/>
      <c r="AY6572" s="498"/>
      <c r="AZ6572" s="498"/>
      <c r="BA6572" s="498"/>
    </row>
    <row r="6573" spans="1:53" s="499" customFormat="1" x14ac:dyDescent="0.25">
      <c r="A6573" s="500"/>
      <c r="B6573" s="501"/>
      <c r="C6573" s="502"/>
      <c r="D6573" s="497"/>
      <c r="E6573" s="497"/>
      <c r="F6573" s="502"/>
      <c r="G6573" s="497"/>
      <c r="H6573" s="497"/>
      <c r="I6573" s="497"/>
      <c r="J6573" s="497"/>
      <c r="K6573" s="500"/>
      <c r="L6573" s="497"/>
      <c r="M6573"/>
      <c r="N6573" s="498"/>
      <c r="O6573" s="498"/>
      <c r="P6573" s="498"/>
      <c r="Q6573" s="498"/>
      <c r="R6573" s="498"/>
      <c r="T6573" s="498"/>
      <c r="U6573" s="498"/>
      <c r="V6573" s="498"/>
      <c r="W6573" s="498"/>
      <c r="X6573" s="498"/>
      <c r="Y6573" s="498"/>
      <c r="Z6573" s="498"/>
      <c r="AA6573" s="498"/>
      <c r="AB6573" s="498"/>
      <c r="AC6573" s="498"/>
      <c r="AD6573" s="498"/>
      <c r="AE6573" s="498"/>
      <c r="AF6573" s="498"/>
      <c r="AG6573" s="498"/>
      <c r="AH6573" s="498"/>
      <c r="AI6573" s="498"/>
      <c r="AK6573" s="498"/>
      <c r="AL6573" s="498"/>
      <c r="AM6573" s="498"/>
      <c r="AN6573" s="498"/>
      <c r="AO6573" s="498"/>
      <c r="AP6573" s="498"/>
      <c r="AQ6573" s="498"/>
      <c r="AR6573" s="498"/>
      <c r="AS6573" s="498"/>
      <c r="AT6573" s="498"/>
      <c r="AU6573" s="498"/>
      <c r="AV6573" s="498"/>
      <c r="AW6573" s="498"/>
      <c r="AX6573" s="498"/>
      <c r="AY6573" s="498"/>
      <c r="AZ6573" s="498"/>
      <c r="BA6573" s="498"/>
    </row>
    <row r="6574" spans="1:53" s="499" customFormat="1" x14ac:dyDescent="0.25">
      <c r="A6574" s="500"/>
      <c r="B6574" s="501"/>
      <c r="C6574" s="502"/>
      <c r="D6574" s="497"/>
      <c r="E6574" s="497"/>
      <c r="F6574" s="502"/>
      <c r="G6574" s="497"/>
      <c r="H6574" s="497"/>
      <c r="I6574" s="497"/>
      <c r="J6574" s="497"/>
      <c r="K6574" s="500"/>
      <c r="L6574" s="497"/>
      <c r="M6574"/>
      <c r="N6574" s="498"/>
      <c r="O6574" s="498"/>
      <c r="P6574" s="498"/>
      <c r="Q6574" s="498"/>
      <c r="R6574" s="498"/>
      <c r="T6574" s="498"/>
      <c r="U6574" s="498"/>
      <c r="V6574" s="498"/>
      <c r="W6574" s="498"/>
      <c r="X6574" s="498"/>
      <c r="Y6574" s="498"/>
      <c r="Z6574" s="498"/>
      <c r="AA6574" s="498"/>
      <c r="AB6574" s="498"/>
      <c r="AC6574" s="498"/>
      <c r="AD6574" s="498"/>
      <c r="AE6574" s="498"/>
      <c r="AF6574" s="498"/>
      <c r="AG6574" s="498"/>
      <c r="AH6574" s="498"/>
      <c r="AI6574" s="498"/>
      <c r="AK6574" s="498"/>
      <c r="AL6574" s="498"/>
      <c r="AM6574" s="498"/>
      <c r="AN6574" s="498"/>
      <c r="AO6574" s="498"/>
      <c r="AP6574" s="498"/>
      <c r="AQ6574" s="498"/>
      <c r="AR6574" s="498"/>
      <c r="AS6574" s="498"/>
      <c r="AT6574" s="498"/>
      <c r="AU6574" s="498"/>
      <c r="AV6574" s="498"/>
      <c r="AW6574" s="498"/>
      <c r="AX6574" s="498"/>
      <c r="AY6574" s="498"/>
      <c r="AZ6574" s="498"/>
      <c r="BA6574" s="498"/>
    </row>
    <row r="6575" spans="1:53" s="499" customFormat="1" x14ac:dyDescent="0.25">
      <c r="A6575" s="500"/>
      <c r="B6575" s="501"/>
      <c r="C6575" s="502"/>
      <c r="D6575" s="497"/>
      <c r="E6575" s="497"/>
      <c r="F6575" s="502"/>
      <c r="G6575" s="497"/>
      <c r="H6575" s="497"/>
      <c r="I6575" s="497"/>
      <c r="J6575" s="497"/>
      <c r="K6575" s="500"/>
      <c r="L6575" s="497"/>
      <c r="M6575"/>
      <c r="N6575" s="498"/>
      <c r="O6575" s="498"/>
      <c r="P6575" s="498"/>
      <c r="Q6575" s="498"/>
      <c r="R6575" s="498"/>
      <c r="T6575" s="498"/>
      <c r="U6575" s="498"/>
      <c r="V6575" s="498"/>
      <c r="W6575" s="498"/>
      <c r="X6575" s="498"/>
      <c r="Y6575" s="498"/>
      <c r="Z6575" s="498"/>
      <c r="AA6575" s="498"/>
      <c r="AB6575" s="498"/>
      <c r="AC6575" s="498"/>
      <c r="AD6575" s="498"/>
      <c r="AE6575" s="498"/>
      <c r="AF6575" s="498"/>
      <c r="AG6575" s="498"/>
      <c r="AH6575" s="498"/>
      <c r="AI6575" s="498"/>
      <c r="AK6575" s="498"/>
      <c r="AL6575" s="498"/>
      <c r="AM6575" s="498"/>
      <c r="AN6575" s="498"/>
      <c r="AO6575" s="498"/>
      <c r="AP6575" s="498"/>
      <c r="AQ6575" s="498"/>
      <c r="AR6575" s="498"/>
      <c r="AS6575" s="498"/>
      <c r="AT6575" s="498"/>
      <c r="AU6575" s="498"/>
      <c r="AV6575" s="498"/>
      <c r="AW6575" s="498"/>
      <c r="AX6575" s="498"/>
      <c r="AY6575" s="498"/>
      <c r="AZ6575" s="498"/>
      <c r="BA6575" s="498"/>
    </row>
    <row r="6576" spans="1:53" s="499" customFormat="1" x14ac:dyDescent="0.25">
      <c r="A6576" s="500"/>
      <c r="B6576" s="501"/>
      <c r="C6576" s="502"/>
      <c r="D6576" s="497"/>
      <c r="E6576" s="497"/>
      <c r="F6576" s="502"/>
      <c r="G6576" s="497"/>
      <c r="H6576" s="497"/>
      <c r="I6576" s="497"/>
      <c r="J6576" s="497"/>
      <c r="K6576" s="500"/>
      <c r="L6576" s="497"/>
      <c r="M6576"/>
      <c r="N6576" s="498"/>
      <c r="O6576" s="498"/>
      <c r="P6576" s="498"/>
      <c r="Q6576" s="498"/>
      <c r="R6576" s="498"/>
      <c r="T6576" s="498"/>
      <c r="U6576" s="498"/>
      <c r="V6576" s="498"/>
      <c r="W6576" s="498"/>
      <c r="X6576" s="498"/>
      <c r="Y6576" s="498"/>
      <c r="Z6576" s="498"/>
      <c r="AA6576" s="498"/>
      <c r="AB6576" s="498"/>
      <c r="AC6576" s="498"/>
      <c r="AD6576" s="498"/>
      <c r="AE6576" s="498"/>
      <c r="AF6576" s="498"/>
      <c r="AG6576" s="498"/>
      <c r="AH6576" s="498"/>
      <c r="AI6576" s="498"/>
      <c r="AK6576" s="498"/>
      <c r="AL6576" s="498"/>
      <c r="AM6576" s="498"/>
      <c r="AN6576" s="498"/>
      <c r="AO6576" s="498"/>
      <c r="AP6576" s="498"/>
      <c r="AQ6576" s="498"/>
      <c r="AR6576" s="498"/>
      <c r="AS6576" s="498"/>
      <c r="AT6576" s="498"/>
      <c r="AU6576" s="498"/>
      <c r="AV6576" s="498"/>
      <c r="AW6576" s="498"/>
      <c r="AX6576" s="498"/>
      <c r="AY6576" s="498"/>
      <c r="AZ6576" s="498"/>
      <c r="BA6576" s="498"/>
    </row>
    <row r="6577" spans="1:53" s="499" customFormat="1" x14ac:dyDescent="0.25">
      <c r="A6577" s="500"/>
      <c r="B6577" s="501"/>
      <c r="C6577" s="502"/>
      <c r="D6577" s="497"/>
      <c r="E6577" s="497"/>
      <c r="F6577" s="502"/>
      <c r="G6577" s="497"/>
      <c r="H6577" s="497"/>
      <c r="I6577" s="497"/>
      <c r="J6577" s="497"/>
      <c r="K6577" s="500"/>
      <c r="L6577" s="497"/>
      <c r="M6577"/>
      <c r="N6577" s="498"/>
      <c r="O6577" s="498"/>
      <c r="P6577" s="498"/>
      <c r="Q6577" s="498"/>
      <c r="R6577" s="498"/>
      <c r="T6577" s="498"/>
      <c r="U6577" s="498"/>
      <c r="V6577" s="498"/>
      <c r="W6577" s="498"/>
      <c r="X6577" s="498"/>
      <c r="Y6577" s="498"/>
      <c r="Z6577" s="498"/>
      <c r="AA6577" s="498"/>
      <c r="AB6577" s="498"/>
      <c r="AC6577" s="498"/>
      <c r="AD6577" s="498"/>
      <c r="AE6577" s="498"/>
      <c r="AF6577" s="498"/>
      <c r="AG6577" s="498"/>
      <c r="AH6577" s="498"/>
      <c r="AI6577" s="498"/>
      <c r="AK6577" s="498"/>
      <c r="AL6577" s="498"/>
      <c r="AM6577" s="498"/>
      <c r="AN6577" s="498"/>
      <c r="AO6577" s="498"/>
      <c r="AP6577" s="498"/>
      <c r="AQ6577" s="498"/>
      <c r="AR6577" s="498"/>
      <c r="AS6577" s="498"/>
      <c r="AT6577" s="498"/>
      <c r="AU6577" s="498"/>
      <c r="AV6577" s="498"/>
      <c r="AW6577" s="498"/>
      <c r="AX6577" s="498"/>
      <c r="AY6577" s="498"/>
      <c r="AZ6577" s="498"/>
      <c r="BA6577" s="498"/>
    </row>
    <row r="6578" spans="1:53" s="499" customFormat="1" x14ac:dyDescent="0.25">
      <c r="A6578" s="500"/>
      <c r="B6578" s="501"/>
      <c r="C6578" s="502"/>
      <c r="D6578" s="497"/>
      <c r="E6578" s="497"/>
      <c r="F6578" s="502"/>
      <c r="G6578" s="497"/>
      <c r="H6578" s="497"/>
      <c r="I6578" s="497"/>
      <c r="J6578" s="497"/>
      <c r="K6578" s="500"/>
      <c r="L6578" s="497"/>
      <c r="M6578"/>
      <c r="N6578" s="498"/>
      <c r="O6578" s="498"/>
      <c r="P6578" s="498"/>
      <c r="Q6578" s="498"/>
      <c r="R6578" s="498"/>
      <c r="T6578" s="498"/>
      <c r="U6578" s="498"/>
      <c r="V6578" s="498"/>
      <c r="W6578" s="498"/>
      <c r="X6578" s="498"/>
      <c r="Y6578" s="498"/>
      <c r="Z6578" s="498"/>
      <c r="AA6578" s="498"/>
      <c r="AB6578" s="498"/>
      <c r="AC6578" s="498"/>
      <c r="AD6578" s="498"/>
      <c r="AE6578" s="498"/>
      <c r="AF6578" s="498"/>
      <c r="AG6578" s="498"/>
      <c r="AH6578" s="498"/>
      <c r="AI6578" s="498"/>
      <c r="AK6578" s="498"/>
      <c r="AL6578" s="498"/>
      <c r="AM6578" s="498"/>
      <c r="AN6578" s="498"/>
      <c r="AO6578" s="498"/>
      <c r="AP6578" s="498"/>
      <c r="AQ6578" s="498"/>
      <c r="AR6578" s="498"/>
      <c r="AS6578" s="498"/>
      <c r="AT6578" s="498"/>
      <c r="AU6578" s="498"/>
      <c r="AV6578" s="498"/>
      <c r="AW6578" s="498"/>
      <c r="AX6578" s="498"/>
      <c r="AY6578" s="498"/>
      <c r="AZ6578" s="498"/>
      <c r="BA6578" s="498"/>
    </row>
    <row r="6579" spans="1:53" s="499" customFormat="1" x14ac:dyDescent="0.25">
      <c r="A6579" s="500"/>
      <c r="B6579" s="501"/>
      <c r="C6579" s="502"/>
      <c r="D6579" s="497"/>
      <c r="E6579" s="497"/>
      <c r="F6579" s="502"/>
      <c r="G6579" s="497"/>
      <c r="H6579" s="497"/>
      <c r="I6579" s="497"/>
      <c r="J6579" s="497"/>
      <c r="K6579" s="500"/>
      <c r="L6579" s="497"/>
      <c r="M6579"/>
      <c r="N6579" s="498"/>
      <c r="O6579" s="498"/>
      <c r="P6579" s="498"/>
      <c r="Q6579" s="498"/>
      <c r="R6579" s="498"/>
      <c r="T6579" s="498"/>
      <c r="U6579" s="498"/>
      <c r="V6579" s="498"/>
      <c r="W6579" s="498"/>
      <c r="X6579" s="498"/>
      <c r="Y6579" s="498"/>
      <c r="Z6579" s="498"/>
      <c r="AA6579" s="498"/>
      <c r="AB6579" s="498"/>
      <c r="AC6579" s="498"/>
      <c r="AD6579" s="498"/>
      <c r="AE6579" s="498"/>
      <c r="AF6579" s="498"/>
      <c r="AG6579" s="498"/>
      <c r="AH6579" s="498"/>
      <c r="AI6579" s="498"/>
      <c r="AK6579" s="498"/>
      <c r="AL6579" s="498"/>
      <c r="AM6579" s="498"/>
      <c r="AN6579" s="498"/>
      <c r="AO6579" s="498"/>
      <c r="AP6579" s="498"/>
      <c r="AQ6579" s="498"/>
      <c r="AR6579" s="498"/>
      <c r="AS6579" s="498"/>
      <c r="AT6579" s="498"/>
      <c r="AU6579" s="498"/>
      <c r="AV6579" s="498"/>
      <c r="AW6579" s="498"/>
      <c r="AX6579" s="498"/>
      <c r="AY6579" s="498"/>
      <c r="AZ6579" s="498"/>
      <c r="BA6579" s="498"/>
    </row>
    <row r="6580" spans="1:53" s="499" customFormat="1" x14ac:dyDescent="0.25">
      <c r="A6580" s="500"/>
      <c r="B6580" s="501"/>
      <c r="C6580" s="502"/>
      <c r="D6580" s="497"/>
      <c r="E6580" s="497"/>
      <c r="F6580" s="502"/>
      <c r="G6580" s="497"/>
      <c r="H6580" s="497"/>
      <c r="I6580" s="497"/>
      <c r="J6580" s="497"/>
      <c r="K6580" s="500"/>
      <c r="L6580" s="497"/>
      <c r="M6580"/>
      <c r="N6580" s="498"/>
      <c r="O6580" s="498"/>
      <c r="P6580" s="498"/>
      <c r="Q6580" s="498"/>
      <c r="R6580" s="498"/>
      <c r="T6580" s="498"/>
      <c r="U6580" s="498"/>
      <c r="V6580" s="498"/>
      <c r="W6580" s="498"/>
      <c r="X6580" s="498"/>
      <c r="Y6580" s="498"/>
      <c r="Z6580" s="498"/>
      <c r="AA6580" s="498"/>
      <c r="AB6580" s="498"/>
      <c r="AC6580" s="498"/>
      <c r="AD6580" s="498"/>
      <c r="AE6580" s="498"/>
      <c r="AF6580" s="498"/>
      <c r="AG6580" s="498"/>
      <c r="AH6580" s="498"/>
      <c r="AI6580" s="498"/>
      <c r="AK6580" s="498"/>
      <c r="AL6580" s="498"/>
      <c r="AM6580" s="498"/>
      <c r="AN6580" s="498"/>
      <c r="AO6580" s="498"/>
      <c r="AP6580" s="498"/>
      <c r="AQ6580" s="498"/>
      <c r="AR6580" s="498"/>
      <c r="AS6580" s="498"/>
      <c r="AT6580" s="498"/>
      <c r="AU6580" s="498"/>
      <c r="AV6580" s="498"/>
      <c r="AW6580" s="498"/>
      <c r="AX6580" s="498"/>
      <c r="AY6580" s="498"/>
      <c r="AZ6580" s="498"/>
      <c r="BA6580" s="498"/>
    </row>
    <row r="6581" spans="1:53" s="499" customFormat="1" x14ac:dyDescent="0.25">
      <c r="A6581" s="500"/>
      <c r="B6581" s="501"/>
      <c r="C6581" s="502"/>
      <c r="D6581" s="497"/>
      <c r="E6581" s="497"/>
      <c r="F6581" s="502"/>
      <c r="G6581" s="497"/>
      <c r="H6581" s="497"/>
      <c r="I6581" s="497"/>
      <c r="J6581" s="497"/>
      <c r="K6581" s="500"/>
      <c r="L6581" s="497"/>
      <c r="M6581"/>
      <c r="N6581" s="498"/>
      <c r="O6581" s="498"/>
      <c r="P6581" s="498"/>
      <c r="Q6581" s="498"/>
      <c r="R6581" s="498"/>
      <c r="T6581" s="498"/>
      <c r="U6581" s="498"/>
      <c r="V6581" s="498"/>
      <c r="W6581" s="498"/>
      <c r="X6581" s="498"/>
      <c r="Y6581" s="498"/>
      <c r="Z6581" s="498"/>
      <c r="AA6581" s="498"/>
      <c r="AB6581" s="498"/>
      <c r="AC6581" s="498"/>
      <c r="AD6581" s="498"/>
      <c r="AE6581" s="498"/>
      <c r="AF6581" s="498"/>
      <c r="AG6581" s="498"/>
      <c r="AH6581" s="498"/>
      <c r="AI6581" s="498"/>
      <c r="AK6581" s="498"/>
      <c r="AL6581" s="498"/>
      <c r="AM6581" s="498"/>
      <c r="AN6581" s="498"/>
      <c r="AO6581" s="498"/>
      <c r="AP6581" s="498"/>
      <c r="AQ6581" s="498"/>
      <c r="AR6581" s="498"/>
      <c r="AS6581" s="498"/>
      <c r="AT6581" s="498"/>
      <c r="AU6581" s="498"/>
      <c r="AV6581" s="498"/>
      <c r="AW6581" s="498"/>
      <c r="AX6581" s="498"/>
      <c r="AY6581" s="498"/>
      <c r="AZ6581" s="498"/>
      <c r="BA6581" s="498"/>
    </row>
    <row r="6582" spans="1:53" s="499" customFormat="1" x14ac:dyDescent="0.25">
      <c r="A6582" s="500"/>
      <c r="B6582" s="501"/>
      <c r="C6582" s="502"/>
      <c r="D6582" s="497"/>
      <c r="E6582" s="497"/>
      <c r="F6582" s="502"/>
      <c r="G6582" s="497"/>
      <c r="H6582" s="497"/>
      <c r="I6582" s="497"/>
      <c r="J6582" s="497"/>
      <c r="K6582" s="500"/>
      <c r="L6582" s="497"/>
      <c r="M6582"/>
      <c r="N6582" s="498"/>
      <c r="O6582" s="498"/>
      <c r="P6582" s="498"/>
      <c r="Q6582" s="498"/>
      <c r="R6582" s="498"/>
      <c r="T6582" s="498"/>
      <c r="U6582" s="498"/>
      <c r="V6582" s="498"/>
      <c r="W6582" s="498"/>
      <c r="X6582" s="498"/>
      <c r="Y6582" s="498"/>
      <c r="Z6582" s="498"/>
      <c r="AA6582" s="498"/>
      <c r="AB6582" s="498"/>
      <c r="AC6582" s="498"/>
      <c r="AD6582" s="498"/>
      <c r="AE6582" s="498"/>
      <c r="AF6582" s="498"/>
      <c r="AG6582" s="498"/>
      <c r="AH6582" s="498"/>
      <c r="AI6582" s="498"/>
      <c r="AK6582" s="498"/>
      <c r="AL6582" s="498"/>
      <c r="AM6582" s="498"/>
      <c r="AN6582" s="498"/>
      <c r="AO6582" s="498"/>
      <c r="AP6582" s="498"/>
      <c r="AQ6582" s="498"/>
      <c r="AR6582" s="498"/>
      <c r="AS6582" s="498"/>
      <c r="AT6582" s="498"/>
      <c r="AU6582" s="498"/>
      <c r="AV6582" s="498"/>
      <c r="AW6582" s="498"/>
      <c r="AX6582" s="498"/>
      <c r="AY6582" s="498"/>
      <c r="AZ6582" s="498"/>
      <c r="BA6582" s="498"/>
    </row>
    <row r="6583" spans="1:53" s="499" customFormat="1" x14ac:dyDescent="0.25">
      <c r="A6583" s="500"/>
      <c r="B6583" s="501"/>
      <c r="C6583" s="502"/>
      <c r="D6583" s="497"/>
      <c r="E6583" s="497"/>
      <c r="F6583" s="502"/>
      <c r="G6583" s="497"/>
      <c r="H6583" s="497"/>
      <c r="I6583" s="497"/>
      <c r="J6583" s="497"/>
      <c r="K6583" s="500"/>
      <c r="L6583" s="497"/>
      <c r="M6583"/>
      <c r="N6583" s="498"/>
      <c r="O6583" s="498"/>
      <c r="P6583" s="498"/>
      <c r="Q6583" s="498"/>
      <c r="R6583" s="498"/>
      <c r="T6583" s="498"/>
      <c r="U6583" s="498"/>
      <c r="V6583" s="498"/>
      <c r="W6583" s="498"/>
      <c r="X6583" s="498"/>
      <c r="Y6583" s="498"/>
      <c r="Z6583" s="498"/>
      <c r="AA6583" s="498"/>
      <c r="AB6583" s="498"/>
      <c r="AC6583" s="498"/>
      <c r="AD6583" s="498"/>
      <c r="AE6583" s="498"/>
      <c r="AF6583" s="498"/>
      <c r="AG6583" s="498"/>
      <c r="AH6583" s="498"/>
      <c r="AI6583" s="498"/>
      <c r="AK6583" s="498"/>
      <c r="AL6583" s="498"/>
      <c r="AM6583" s="498"/>
      <c r="AN6583" s="498"/>
      <c r="AO6583" s="498"/>
      <c r="AP6583" s="498"/>
      <c r="AQ6583" s="498"/>
      <c r="AR6583" s="498"/>
      <c r="AS6583" s="498"/>
      <c r="AT6583" s="498"/>
      <c r="AU6583" s="498"/>
      <c r="AV6583" s="498"/>
      <c r="AW6583" s="498"/>
      <c r="AX6583" s="498"/>
      <c r="AY6583" s="498"/>
      <c r="AZ6583" s="498"/>
      <c r="BA6583" s="498"/>
    </row>
    <row r="6584" spans="1:53" s="499" customFormat="1" x14ac:dyDescent="0.25">
      <c r="A6584" s="500"/>
      <c r="B6584" s="501"/>
      <c r="C6584" s="502"/>
      <c r="D6584" s="497"/>
      <c r="E6584" s="497"/>
      <c r="F6584" s="502"/>
      <c r="G6584" s="497"/>
      <c r="H6584" s="497"/>
      <c r="I6584" s="497"/>
      <c r="J6584" s="497"/>
      <c r="K6584" s="500"/>
      <c r="L6584" s="497"/>
      <c r="M6584"/>
      <c r="N6584" s="498"/>
      <c r="O6584" s="498"/>
      <c r="P6584" s="498"/>
      <c r="Q6584" s="498"/>
      <c r="R6584" s="498"/>
      <c r="T6584" s="498"/>
      <c r="U6584" s="498"/>
      <c r="V6584" s="498"/>
      <c r="W6584" s="498"/>
      <c r="X6584" s="498"/>
      <c r="Y6584" s="498"/>
      <c r="Z6584" s="498"/>
      <c r="AA6584" s="498"/>
      <c r="AB6584" s="498"/>
      <c r="AC6584" s="498"/>
      <c r="AD6584" s="498"/>
      <c r="AE6584" s="498"/>
      <c r="AF6584" s="498"/>
      <c r="AG6584" s="498"/>
      <c r="AH6584" s="498"/>
      <c r="AI6584" s="498"/>
      <c r="AK6584" s="498"/>
      <c r="AL6584" s="498"/>
      <c r="AM6584" s="498"/>
      <c r="AN6584" s="498"/>
      <c r="AO6584" s="498"/>
      <c r="AP6584" s="498"/>
      <c r="AQ6584" s="498"/>
      <c r="AR6584" s="498"/>
      <c r="AS6584" s="498"/>
      <c r="AT6584" s="498"/>
      <c r="AU6584" s="498"/>
      <c r="AV6584" s="498"/>
      <c r="AW6584" s="498"/>
      <c r="AX6584" s="498"/>
      <c r="AY6584" s="498"/>
      <c r="AZ6584" s="498"/>
      <c r="BA6584" s="498"/>
    </row>
    <row r="6585" spans="1:53" s="499" customFormat="1" x14ac:dyDescent="0.25">
      <c r="A6585" s="500"/>
      <c r="B6585" s="501"/>
      <c r="C6585" s="502"/>
      <c r="D6585" s="497"/>
      <c r="E6585" s="497"/>
      <c r="F6585" s="502"/>
      <c r="G6585" s="497"/>
      <c r="H6585" s="497"/>
      <c r="I6585" s="497"/>
      <c r="J6585" s="497"/>
      <c r="K6585" s="500"/>
      <c r="L6585" s="497"/>
      <c r="M6585"/>
      <c r="N6585" s="498"/>
      <c r="O6585" s="498"/>
      <c r="P6585" s="498"/>
      <c r="Q6585" s="498"/>
      <c r="R6585" s="498"/>
      <c r="T6585" s="498"/>
      <c r="U6585" s="498"/>
      <c r="V6585" s="498"/>
      <c r="W6585" s="498"/>
      <c r="X6585" s="498"/>
      <c r="Y6585" s="498"/>
      <c r="Z6585" s="498"/>
      <c r="AA6585" s="498"/>
      <c r="AB6585" s="498"/>
      <c r="AC6585" s="498"/>
      <c r="AD6585" s="498"/>
      <c r="AE6585" s="498"/>
      <c r="AF6585" s="498"/>
      <c r="AG6585" s="498"/>
      <c r="AH6585" s="498"/>
      <c r="AI6585" s="498"/>
      <c r="AK6585" s="498"/>
      <c r="AL6585" s="498"/>
      <c r="AM6585" s="498"/>
      <c r="AN6585" s="498"/>
      <c r="AO6585" s="498"/>
      <c r="AP6585" s="498"/>
      <c r="AQ6585" s="498"/>
      <c r="AR6585" s="498"/>
      <c r="AS6585" s="498"/>
      <c r="AT6585" s="498"/>
      <c r="AU6585" s="498"/>
      <c r="AV6585" s="498"/>
      <c r="AW6585" s="498"/>
      <c r="AX6585" s="498"/>
      <c r="AY6585" s="498"/>
      <c r="AZ6585" s="498"/>
      <c r="BA6585" s="498"/>
    </row>
    <row r="6586" spans="1:53" s="499" customFormat="1" x14ac:dyDescent="0.25">
      <c r="A6586" s="500"/>
      <c r="B6586" s="501"/>
      <c r="C6586" s="502"/>
      <c r="D6586" s="497"/>
      <c r="E6586" s="497"/>
      <c r="F6586" s="502"/>
      <c r="G6586" s="497"/>
      <c r="H6586" s="497"/>
      <c r="I6586" s="497"/>
      <c r="J6586" s="497"/>
      <c r="K6586" s="500"/>
      <c r="L6586" s="497"/>
      <c r="M6586"/>
      <c r="N6586" s="498"/>
      <c r="O6586" s="498"/>
      <c r="P6586" s="498"/>
      <c r="Q6586" s="498"/>
      <c r="R6586" s="498"/>
      <c r="T6586" s="498"/>
      <c r="U6586" s="498"/>
      <c r="V6586" s="498"/>
      <c r="W6586" s="498"/>
      <c r="X6586" s="498"/>
      <c r="Y6586" s="498"/>
      <c r="Z6586" s="498"/>
      <c r="AA6586" s="498"/>
      <c r="AB6586" s="498"/>
      <c r="AC6586" s="498"/>
      <c r="AD6586" s="498"/>
      <c r="AE6586" s="498"/>
      <c r="AF6586" s="498"/>
      <c r="AG6586" s="498"/>
      <c r="AH6586" s="498"/>
      <c r="AI6586" s="498"/>
      <c r="AK6586" s="498"/>
      <c r="AL6586" s="498"/>
      <c r="AM6586" s="498"/>
      <c r="AN6586" s="498"/>
      <c r="AO6586" s="498"/>
      <c r="AP6586" s="498"/>
      <c r="AQ6586" s="498"/>
      <c r="AR6586" s="498"/>
      <c r="AS6586" s="498"/>
      <c r="AT6586" s="498"/>
      <c r="AU6586" s="498"/>
      <c r="AV6586" s="498"/>
      <c r="AW6586" s="498"/>
      <c r="AX6586" s="498"/>
      <c r="AY6586" s="498"/>
      <c r="AZ6586" s="498"/>
      <c r="BA6586" s="498"/>
    </row>
    <row r="6587" spans="1:53" s="499" customFormat="1" x14ac:dyDescent="0.25">
      <c r="A6587" s="500"/>
      <c r="B6587" s="501"/>
      <c r="C6587" s="502"/>
      <c r="D6587" s="497"/>
      <c r="E6587" s="497"/>
      <c r="F6587" s="502"/>
      <c r="G6587" s="497"/>
      <c r="H6587" s="497"/>
      <c r="I6587" s="497"/>
      <c r="J6587" s="497"/>
      <c r="K6587" s="500"/>
      <c r="L6587" s="497"/>
      <c r="M6587"/>
      <c r="N6587" s="498"/>
      <c r="O6587" s="498"/>
      <c r="P6587" s="498"/>
      <c r="Q6587" s="498"/>
      <c r="R6587" s="498"/>
      <c r="T6587" s="498"/>
      <c r="U6587" s="498"/>
      <c r="V6587" s="498"/>
      <c r="W6587" s="498"/>
      <c r="X6587" s="498"/>
      <c r="Y6587" s="498"/>
      <c r="Z6587" s="498"/>
      <c r="AA6587" s="498"/>
      <c r="AB6587" s="498"/>
      <c r="AC6587" s="498"/>
      <c r="AD6587" s="498"/>
      <c r="AE6587" s="498"/>
      <c r="AF6587" s="498"/>
      <c r="AG6587" s="498"/>
      <c r="AH6587" s="498"/>
      <c r="AI6587" s="498"/>
      <c r="AK6587" s="498"/>
      <c r="AL6587" s="498"/>
      <c r="AM6587" s="498"/>
      <c r="AN6587" s="498"/>
      <c r="AO6587" s="498"/>
      <c r="AP6587" s="498"/>
      <c r="AQ6587" s="498"/>
      <c r="AR6587" s="498"/>
      <c r="AS6587" s="498"/>
      <c r="AT6587" s="498"/>
      <c r="AU6587" s="498"/>
      <c r="AV6587" s="498"/>
      <c r="AW6587" s="498"/>
      <c r="AX6587" s="498"/>
      <c r="AY6587" s="498"/>
      <c r="AZ6587" s="498"/>
      <c r="BA6587" s="498"/>
    </row>
    <row r="6588" spans="1:53" s="499" customFormat="1" x14ac:dyDescent="0.25">
      <c r="A6588" s="500"/>
      <c r="B6588" s="501"/>
      <c r="C6588" s="502"/>
      <c r="D6588" s="497"/>
      <c r="E6588" s="497"/>
      <c r="F6588" s="502"/>
      <c r="G6588" s="497"/>
      <c r="H6588" s="497"/>
      <c r="I6588" s="497"/>
      <c r="J6588" s="497"/>
      <c r="K6588" s="500"/>
      <c r="L6588" s="497"/>
      <c r="M6588"/>
      <c r="N6588" s="498"/>
      <c r="O6588" s="498"/>
      <c r="P6588" s="498"/>
      <c r="Q6588" s="498"/>
      <c r="R6588" s="498"/>
      <c r="T6588" s="498"/>
      <c r="U6588" s="498"/>
      <c r="V6588" s="498"/>
      <c r="W6588" s="498"/>
      <c r="X6588" s="498"/>
      <c r="Y6588" s="498"/>
      <c r="Z6588" s="498"/>
      <c r="AA6588" s="498"/>
      <c r="AB6588" s="498"/>
      <c r="AC6588" s="498"/>
      <c r="AD6588" s="498"/>
      <c r="AE6588" s="498"/>
      <c r="AF6588" s="498"/>
      <c r="AG6588" s="498"/>
      <c r="AH6588" s="498"/>
      <c r="AI6588" s="498"/>
      <c r="AK6588" s="498"/>
      <c r="AL6588" s="498"/>
      <c r="AM6588" s="498"/>
      <c r="AN6588" s="498"/>
      <c r="AO6588" s="498"/>
      <c r="AP6588" s="498"/>
      <c r="AQ6588" s="498"/>
      <c r="AR6588" s="498"/>
      <c r="AS6588" s="498"/>
      <c r="AT6588" s="498"/>
      <c r="AU6588" s="498"/>
      <c r="AV6588" s="498"/>
      <c r="AW6588" s="498"/>
      <c r="AX6588" s="498"/>
      <c r="AY6588" s="498"/>
      <c r="AZ6588" s="498"/>
      <c r="BA6588" s="498"/>
    </row>
    <row r="6589" spans="1:53" s="499" customFormat="1" x14ac:dyDescent="0.25">
      <c r="A6589" s="500"/>
      <c r="B6589" s="501"/>
      <c r="C6589" s="502"/>
      <c r="D6589" s="497"/>
      <c r="E6589" s="497"/>
      <c r="F6589" s="502"/>
      <c r="G6589" s="497"/>
      <c r="H6589" s="497"/>
      <c r="I6589" s="497"/>
      <c r="J6589" s="497"/>
      <c r="K6589" s="500"/>
      <c r="L6589" s="497"/>
      <c r="M6589"/>
      <c r="N6589" s="498"/>
      <c r="O6589" s="498"/>
      <c r="P6589" s="498"/>
      <c r="Q6589" s="498"/>
      <c r="R6589" s="498"/>
      <c r="T6589" s="498"/>
      <c r="U6589" s="498"/>
      <c r="V6589" s="498"/>
      <c r="W6589" s="498"/>
      <c r="X6589" s="498"/>
      <c r="Y6589" s="498"/>
      <c r="Z6589" s="498"/>
      <c r="AA6589" s="498"/>
      <c r="AB6589" s="498"/>
      <c r="AC6589" s="498"/>
      <c r="AD6589" s="498"/>
      <c r="AE6589" s="498"/>
      <c r="AF6589" s="498"/>
      <c r="AG6589" s="498"/>
      <c r="AH6589" s="498"/>
      <c r="AI6589" s="498"/>
      <c r="AK6589" s="498"/>
      <c r="AL6589" s="498"/>
      <c r="AM6589" s="498"/>
      <c r="AN6589" s="498"/>
      <c r="AO6589" s="498"/>
      <c r="AP6589" s="498"/>
      <c r="AQ6589" s="498"/>
      <c r="AR6589" s="498"/>
      <c r="AS6589" s="498"/>
      <c r="AT6589" s="498"/>
      <c r="AU6589" s="498"/>
      <c r="AV6589" s="498"/>
      <c r="AW6589" s="498"/>
      <c r="AX6589" s="498"/>
      <c r="AY6589" s="498"/>
      <c r="AZ6589" s="498"/>
      <c r="BA6589" s="498"/>
    </row>
    <row r="6590" spans="1:53" s="499" customFormat="1" x14ac:dyDescent="0.25">
      <c r="A6590" s="500"/>
      <c r="B6590" s="501"/>
      <c r="C6590" s="502"/>
      <c r="D6590" s="497"/>
      <c r="E6590" s="497"/>
      <c r="F6590" s="502"/>
      <c r="G6590" s="497"/>
      <c r="H6590" s="497"/>
      <c r="I6590" s="497"/>
      <c r="J6590" s="497"/>
      <c r="K6590" s="500"/>
      <c r="L6590" s="497"/>
      <c r="M6590"/>
      <c r="N6590" s="498"/>
      <c r="O6590" s="498"/>
      <c r="P6590" s="498"/>
      <c r="Q6590" s="498"/>
      <c r="R6590" s="498"/>
      <c r="T6590" s="498"/>
      <c r="U6590" s="498"/>
      <c r="V6590" s="498"/>
      <c r="W6590" s="498"/>
      <c r="X6590" s="498"/>
      <c r="Y6590" s="498"/>
      <c r="Z6590" s="498"/>
      <c r="AA6590" s="498"/>
      <c r="AB6590" s="498"/>
      <c r="AC6590" s="498"/>
      <c r="AD6590" s="498"/>
      <c r="AE6590" s="498"/>
      <c r="AF6590" s="498"/>
      <c r="AG6590" s="498"/>
      <c r="AH6590" s="498"/>
      <c r="AI6590" s="498"/>
      <c r="AK6590" s="498"/>
      <c r="AL6590" s="498"/>
      <c r="AM6590" s="498"/>
      <c r="AN6590" s="498"/>
      <c r="AO6590" s="498"/>
      <c r="AP6590" s="498"/>
      <c r="AQ6590" s="498"/>
      <c r="AR6590" s="498"/>
      <c r="AS6590" s="498"/>
      <c r="AT6590" s="498"/>
      <c r="AU6590" s="498"/>
      <c r="AV6590" s="498"/>
      <c r="AW6590" s="498"/>
      <c r="AX6590" s="498"/>
      <c r="AY6590" s="498"/>
      <c r="AZ6590" s="498"/>
      <c r="BA6590" s="498"/>
    </row>
    <row r="6591" spans="1:53" s="499" customFormat="1" x14ac:dyDescent="0.25">
      <c r="A6591" s="500"/>
      <c r="B6591" s="501"/>
      <c r="C6591" s="502"/>
      <c r="D6591" s="497"/>
      <c r="E6591" s="497"/>
      <c r="F6591" s="502"/>
      <c r="G6591" s="497"/>
      <c r="H6591" s="497"/>
      <c r="I6591" s="497"/>
      <c r="J6591" s="497"/>
      <c r="K6591" s="500"/>
      <c r="L6591" s="497"/>
      <c r="M6591"/>
      <c r="N6591" s="498"/>
      <c r="O6591" s="498"/>
      <c r="P6591" s="498"/>
      <c r="Q6591" s="498"/>
      <c r="R6591" s="498"/>
      <c r="T6591" s="498"/>
      <c r="U6591" s="498"/>
      <c r="V6591" s="498"/>
      <c r="W6591" s="498"/>
      <c r="X6591" s="498"/>
      <c r="Y6591" s="498"/>
      <c r="Z6591" s="498"/>
      <c r="AA6591" s="498"/>
      <c r="AB6591" s="498"/>
      <c r="AC6591" s="498"/>
      <c r="AD6591" s="498"/>
      <c r="AE6591" s="498"/>
      <c r="AF6591" s="498"/>
      <c r="AG6591" s="498"/>
      <c r="AH6591" s="498"/>
      <c r="AI6591" s="498"/>
      <c r="AK6591" s="498"/>
      <c r="AL6591" s="498"/>
      <c r="AM6591" s="498"/>
      <c r="AN6591" s="498"/>
      <c r="AO6591" s="498"/>
      <c r="AP6591" s="498"/>
      <c r="AQ6591" s="498"/>
      <c r="AR6591" s="498"/>
      <c r="AS6591" s="498"/>
      <c r="AT6591" s="498"/>
      <c r="AU6591" s="498"/>
      <c r="AV6591" s="498"/>
      <c r="AW6591" s="498"/>
      <c r="AX6591" s="498"/>
      <c r="AY6591" s="498"/>
      <c r="AZ6591" s="498"/>
      <c r="BA6591" s="498"/>
    </row>
    <row r="6592" spans="1:53" s="499" customFormat="1" x14ac:dyDescent="0.25">
      <c r="A6592" s="500"/>
      <c r="B6592" s="501"/>
      <c r="C6592" s="502"/>
      <c r="D6592" s="497"/>
      <c r="E6592" s="497"/>
      <c r="F6592" s="502"/>
      <c r="G6592" s="497"/>
      <c r="H6592" s="497"/>
      <c r="I6592" s="497"/>
      <c r="J6592" s="497"/>
      <c r="K6592" s="500"/>
      <c r="L6592" s="497"/>
      <c r="M6592"/>
      <c r="N6592" s="498"/>
      <c r="O6592" s="498"/>
      <c r="P6592" s="498"/>
      <c r="Q6592" s="498"/>
      <c r="R6592" s="498"/>
      <c r="T6592" s="498"/>
      <c r="U6592" s="498"/>
      <c r="V6592" s="498"/>
      <c r="W6592" s="498"/>
      <c r="X6592" s="498"/>
      <c r="Y6592" s="498"/>
      <c r="Z6592" s="498"/>
      <c r="AA6592" s="498"/>
      <c r="AB6592" s="498"/>
      <c r="AC6592" s="498"/>
      <c r="AD6592" s="498"/>
      <c r="AE6592" s="498"/>
      <c r="AF6592" s="498"/>
      <c r="AG6592" s="498"/>
      <c r="AH6592" s="498"/>
      <c r="AI6592" s="498"/>
      <c r="AK6592" s="498"/>
      <c r="AL6592" s="498"/>
      <c r="AM6592" s="498"/>
      <c r="AN6592" s="498"/>
      <c r="AO6592" s="498"/>
      <c r="AP6592" s="498"/>
      <c r="AQ6592" s="498"/>
      <c r="AR6592" s="498"/>
      <c r="AS6592" s="498"/>
      <c r="AT6592" s="498"/>
      <c r="AU6592" s="498"/>
      <c r="AV6592" s="498"/>
      <c r="AW6592" s="498"/>
      <c r="AX6592" s="498"/>
      <c r="AY6592" s="498"/>
      <c r="AZ6592" s="498"/>
      <c r="BA6592" s="498"/>
    </row>
    <row r="6593" spans="1:53" s="499" customFormat="1" x14ac:dyDescent="0.25">
      <c r="A6593" s="500"/>
      <c r="B6593" s="501"/>
      <c r="C6593" s="502"/>
      <c r="D6593" s="497"/>
      <c r="E6593" s="497"/>
      <c r="F6593" s="502"/>
      <c r="G6593" s="497"/>
      <c r="H6593" s="497"/>
      <c r="I6593" s="497"/>
      <c r="J6593" s="497"/>
      <c r="K6593" s="500"/>
      <c r="L6593" s="497"/>
      <c r="M6593"/>
      <c r="N6593" s="498"/>
      <c r="O6593" s="498"/>
      <c r="P6593" s="498"/>
      <c r="Q6593" s="498"/>
      <c r="R6593" s="498"/>
      <c r="T6593" s="498"/>
      <c r="U6593" s="498"/>
      <c r="V6593" s="498"/>
      <c r="W6593" s="498"/>
      <c r="X6593" s="498"/>
      <c r="Y6593" s="498"/>
      <c r="Z6593" s="498"/>
      <c r="AA6593" s="498"/>
      <c r="AB6593" s="498"/>
      <c r="AC6593" s="498"/>
      <c r="AD6593" s="498"/>
      <c r="AE6593" s="498"/>
      <c r="AF6593" s="498"/>
      <c r="AG6593" s="498"/>
      <c r="AH6593" s="498"/>
      <c r="AI6593" s="498"/>
      <c r="AK6593" s="498"/>
      <c r="AL6593" s="498"/>
      <c r="AM6593" s="498"/>
      <c r="AN6593" s="498"/>
      <c r="AO6593" s="498"/>
      <c r="AP6593" s="498"/>
      <c r="AQ6593" s="498"/>
      <c r="AR6593" s="498"/>
      <c r="AS6593" s="498"/>
      <c r="AT6593" s="498"/>
      <c r="AU6593" s="498"/>
      <c r="AV6593" s="498"/>
      <c r="AW6593" s="498"/>
      <c r="AX6593" s="498"/>
      <c r="AY6593" s="498"/>
      <c r="AZ6593" s="498"/>
      <c r="BA6593" s="498"/>
    </row>
    <row r="6594" spans="1:53" s="499" customFormat="1" x14ac:dyDescent="0.25">
      <c r="A6594" s="500"/>
      <c r="B6594" s="501"/>
      <c r="C6594" s="502"/>
      <c r="D6594" s="497"/>
      <c r="E6594" s="497"/>
      <c r="F6594" s="502"/>
      <c r="G6594" s="497"/>
      <c r="H6594" s="497"/>
      <c r="I6594" s="497"/>
      <c r="J6594" s="497"/>
      <c r="K6594" s="500"/>
      <c r="L6594" s="497"/>
      <c r="M6594"/>
      <c r="N6594" s="498"/>
      <c r="O6594" s="498"/>
      <c r="P6594" s="498"/>
      <c r="Q6594" s="498"/>
      <c r="R6594" s="498"/>
      <c r="T6594" s="498"/>
      <c r="U6594" s="498"/>
      <c r="V6594" s="498"/>
      <c r="W6594" s="498"/>
      <c r="X6594" s="498"/>
      <c r="Y6594" s="498"/>
      <c r="Z6594" s="498"/>
      <c r="AA6594" s="498"/>
      <c r="AB6594" s="498"/>
      <c r="AC6594" s="498"/>
      <c r="AD6594" s="498"/>
      <c r="AE6594" s="498"/>
      <c r="AF6594" s="498"/>
      <c r="AG6594" s="498"/>
      <c r="AH6594" s="498"/>
      <c r="AI6594" s="498"/>
      <c r="AK6594" s="498"/>
      <c r="AL6594" s="498"/>
      <c r="AM6594" s="498"/>
      <c r="AN6594" s="498"/>
      <c r="AO6594" s="498"/>
      <c r="AP6594" s="498"/>
      <c r="AQ6594" s="498"/>
      <c r="AR6594" s="498"/>
      <c r="AS6594" s="498"/>
      <c r="AT6594" s="498"/>
      <c r="AU6594" s="498"/>
      <c r="AV6594" s="498"/>
      <c r="AW6594" s="498"/>
      <c r="AX6594" s="498"/>
      <c r="AY6594" s="498"/>
      <c r="AZ6594" s="498"/>
      <c r="BA6594" s="498"/>
    </row>
    <row r="6595" spans="1:53" s="499" customFormat="1" x14ac:dyDescent="0.25">
      <c r="A6595" s="500"/>
      <c r="B6595" s="501"/>
      <c r="C6595" s="502"/>
      <c r="D6595" s="497"/>
      <c r="E6595" s="497"/>
      <c r="F6595" s="502"/>
      <c r="G6595" s="497"/>
      <c r="H6595" s="497"/>
      <c r="I6595" s="497"/>
      <c r="J6595" s="497"/>
      <c r="K6595" s="500"/>
      <c r="L6595" s="497"/>
      <c r="M6595"/>
      <c r="N6595" s="498"/>
      <c r="O6595" s="498"/>
      <c r="P6595" s="498"/>
      <c r="Q6595" s="498"/>
      <c r="R6595" s="498"/>
      <c r="T6595" s="498"/>
      <c r="U6595" s="498"/>
      <c r="V6595" s="498"/>
      <c r="W6595" s="498"/>
      <c r="X6595" s="498"/>
      <c r="Y6595" s="498"/>
      <c r="Z6595" s="498"/>
      <c r="AA6595" s="498"/>
      <c r="AB6595" s="498"/>
      <c r="AC6595" s="498"/>
      <c r="AD6595" s="498"/>
      <c r="AE6595" s="498"/>
      <c r="AF6595" s="498"/>
      <c r="AG6595" s="498"/>
      <c r="AH6595" s="498"/>
      <c r="AI6595" s="498"/>
      <c r="AK6595" s="498"/>
      <c r="AL6595" s="498"/>
      <c r="AM6595" s="498"/>
      <c r="AN6595" s="498"/>
      <c r="AO6595" s="498"/>
      <c r="AP6595" s="498"/>
      <c r="AQ6595" s="498"/>
      <c r="AR6595" s="498"/>
      <c r="AS6595" s="498"/>
      <c r="AT6595" s="498"/>
      <c r="AU6595" s="498"/>
      <c r="AV6595" s="498"/>
      <c r="AW6595" s="498"/>
      <c r="AX6595" s="498"/>
      <c r="AY6595" s="498"/>
      <c r="AZ6595" s="498"/>
      <c r="BA6595" s="498"/>
    </row>
    <row r="6596" spans="1:53" s="499" customFormat="1" x14ac:dyDescent="0.25">
      <c r="A6596" s="500"/>
      <c r="B6596" s="501"/>
      <c r="C6596" s="502"/>
      <c r="D6596" s="497"/>
      <c r="E6596" s="497"/>
      <c r="F6596" s="502"/>
      <c r="G6596" s="497"/>
      <c r="H6596" s="497"/>
      <c r="I6596" s="497"/>
      <c r="J6596" s="497"/>
      <c r="K6596" s="500"/>
      <c r="L6596" s="497"/>
      <c r="M6596"/>
      <c r="N6596" s="498"/>
      <c r="O6596" s="498"/>
      <c r="P6596" s="498"/>
      <c r="Q6596" s="498"/>
      <c r="R6596" s="498"/>
      <c r="T6596" s="498"/>
      <c r="U6596" s="498"/>
      <c r="V6596" s="498"/>
      <c r="W6596" s="498"/>
      <c r="X6596" s="498"/>
      <c r="Y6596" s="498"/>
      <c r="Z6596" s="498"/>
      <c r="AA6596" s="498"/>
      <c r="AB6596" s="498"/>
      <c r="AC6596" s="498"/>
      <c r="AD6596" s="498"/>
      <c r="AE6596" s="498"/>
      <c r="AF6596" s="498"/>
      <c r="AG6596" s="498"/>
      <c r="AH6596" s="498"/>
      <c r="AI6596" s="498"/>
      <c r="AK6596" s="498"/>
      <c r="AL6596" s="498"/>
      <c r="AM6596" s="498"/>
      <c r="AN6596" s="498"/>
      <c r="AO6596" s="498"/>
      <c r="AP6596" s="498"/>
      <c r="AQ6596" s="498"/>
      <c r="AR6596" s="498"/>
      <c r="AS6596" s="498"/>
      <c r="AT6596" s="498"/>
      <c r="AU6596" s="498"/>
      <c r="AV6596" s="498"/>
      <c r="AW6596" s="498"/>
      <c r="AX6596" s="498"/>
      <c r="AY6596" s="498"/>
      <c r="AZ6596" s="498"/>
      <c r="BA6596" s="498"/>
    </row>
    <row r="6597" spans="1:53" s="499" customFormat="1" x14ac:dyDescent="0.25">
      <c r="A6597" s="500"/>
      <c r="B6597" s="501"/>
      <c r="C6597" s="502"/>
      <c r="D6597" s="497"/>
      <c r="E6597" s="497"/>
      <c r="F6597" s="502"/>
      <c r="G6597" s="497"/>
      <c r="H6597" s="497"/>
      <c r="I6597" s="497"/>
      <c r="J6597" s="497"/>
      <c r="K6597" s="500"/>
      <c r="L6597" s="497"/>
      <c r="M6597"/>
      <c r="N6597" s="498"/>
      <c r="O6597" s="498"/>
      <c r="P6597" s="498"/>
      <c r="Q6597" s="498"/>
      <c r="R6597" s="498"/>
      <c r="T6597" s="498"/>
      <c r="U6597" s="498"/>
      <c r="V6597" s="498"/>
      <c r="W6597" s="498"/>
      <c r="X6597" s="498"/>
      <c r="Y6597" s="498"/>
      <c r="Z6597" s="498"/>
      <c r="AA6597" s="498"/>
      <c r="AB6597" s="498"/>
      <c r="AC6597" s="498"/>
      <c r="AD6597" s="498"/>
      <c r="AE6597" s="498"/>
      <c r="AF6597" s="498"/>
      <c r="AG6597" s="498"/>
      <c r="AH6597" s="498"/>
      <c r="AI6597" s="498"/>
      <c r="AK6597" s="498"/>
      <c r="AL6597" s="498"/>
      <c r="AM6597" s="498"/>
      <c r="AN6597" s="498"/>
      <c r="AO6597" s="498"/>
      <c r="AP6597" s="498"/>
      <c r="AQ6597" s="498"/>
      <c r="AR6597" s="498"/>
      <c r="AS6597" s="498"/>
      <c r="AT6597" s="498"/>
      <c r="AU6597" s="498"/>
      <c r="AV6597" s="498"/>
      <c r="AW6597" s="498"/>
      <c r="AX6597" s="498"/>
      <c r="AY6597" s="498"/>
      <c r="AZ6597" s="498"/>
      <c r="BA6597" s="498"/>
    </row>
    <row r="6598" spans="1:53" s="499" customFormat="1" x14ac:dyDescent="0.25">
      <c r="A6598" s="500"/>
      <c r="B6598" s="501"/>
      <c r="C6598" s="502"/>
      <c r="D6598" s="497"/>
      <c r="E6598" s="497"/>
      <c r="F6598" s="502"/>
      <c r="G6598" s="497"/>
      <c r="H6598" s="497"/>
      <c r="I6598" s="497"/>
      <c r="J6598" s="497"/>
      <c r="K6598" s="500"/>
      <c r="L6598" s="497"/>
      <c r="M6598"/>
      <c r="N6598" s="498"/>
      <c r="O6598" s="498"/>
      <c r="P6598" s="498"/>
      <c r="Q6598" s="498"/>
      <c r="R6598" s="498"/>
      <c r="T6598" s="498"/>
      <c r="U6598" s="498"/>
      <c r="V6598" s="498"/>
      <c r="W6598" s="498"/>
      <c r="X6598" s="498"/>
      <c r="Y6598" s="498"/>
      <c r="Z6598" s="498"/>
      <c r="AA6598" s="498"/>
      <c r="AB6598" s="498"/>
      <c r="AC6598" s="498"/>
      <c r="AD6598" s="498"/>
      <c r="AE6598" s="498"/>
      <c r="AF6598" s="498"/>
      <c r="AG6598" s="498"/>
      <c r="AH6598" s="498"/>
      <c r="AI6598" s="498"/>
      <c r="AK6598" s="498"/>
      <c r="AL6598" s="498"/>
      <c r="AM6598" s="498"/>
      <c r="AN6598" s="498"/>
      <c r="AO6598" s="498"/>
      <c r="AP6598" s="498"/>
      <c r="AQ6598" s="498"/>
      <c r="AR6598" s="498"/>
      <c r="AS6598" s="498"/>
      <c r="AT6598" s="498"/>
      <c r="AU6598" s="498"/>
      <c r="AV6598" s="498"/>
      <c r="AW6598" s="498"/>
      <c r="AX6598" s="498"/>
      <c r="AY6598" s="498"/>
      <c r="AZ6598" s="498"/>
      <c r="BA6598" s="498"/>
    </row>
    <row r="6599" spans="1:53" s="499" customFormat="1" x14ac:dyDescent="0.25">
      <c r="A6599" s="500"/>
      <c r="B6599" s="501"/>
      <c r="C6599" s="502"/>
      <c r="D6599" s="497"/>
      <c r="E6599" s="497"/>
      <c r="F6599" s="502"/>
      <c r="G6599" s="497"/>
      <c r="H6599" s="497"/>
      <c r="I6599" s="497"/>
      <c r="J6599" s="497"/>
      <c r="K6599" s="500"/>
      <c r="L6599" s="497"/>
      <c r="M6599"/>
      <c r="N6599" s="498"/>
      <c r="O6599" s="498"/>
      <c r="P6599" s="498"/>
      <c r="Q6599" s="498"/>
      <c r="R6599" s="498"/>
      <c r="T6599" s="498"/>
      <c r="U6599" s="498"/>
      <c r="V6599" s="498"/>
      <c r="W6599" s="498"/>
      <c r="X6599" s="498"/>
      <c r="Y6599" s="498"/>
      <c r="Z6599" s="498"/>
      <c r="AA6599" s="498"/>
      <c r="AB6599" s="498"/>
      <c r="AC6599" s="498"/>
      <c r="AD6599" s="498"/>
      <c r="AE6599" s="498"/>
      <c r="AF6599" s="498"/>
      <c r="AG6599" s="498"/>
      <c r="AH6599" s="498"/>
      <c r="AI6599" s="498"/>
      <c r="AK6599" s="498"/>
      <c r="AL6599" s="498"/>
      <c r="AM6599" s="498"/>
      <c r="AN6599" s="498"/>
      <c r="AO6599" s="498"/>
      <c r="AP6599" s="498"/>
      <c r="AQ6599" s="498"/>
      <c r="AR6599" s="498"/>
      <c r="AS6599" s="498"/>
      <c r="AT6599" s="498"/>
      <c r="AU6599" s="498"/>
      <c r="AV6599" s="498"/>
      <c r="AW6599" s="498"/>
      <c r="AX6599" s="498"/>
      <c r="AY6599" s="498"/>
      <c r="AZ6599" s="498"/>
      <c r="BA6599" s="498"/>
    </row>
    <row r="6600" spans="1:53" s="499" customFormat="1" x14ac:dyDescent="0.25">
      <c r="A6600" s="500"/>
      <c r="B6600" s="501"/>
      <c r="C6600" s="502"/>
      <c r="D6600" s="497"/>
      <c r="E6600" s="497"/>
      <c r="F6600" s="502"/>
      <c r="G6600" s="497"/>
      <c r="H6600" s="497"/>
      <c r="I6600" s="497"/>
      <c r="J6600" s="497"/>
      <c r="K6600" s="500"/>
      <c r="L6600" s="497"/>
      <c r="M6600"/>
      <c r="N6600" s="498"/>
      <c r="O6600" s="498"/>
      <c r="P6600" s="498"/>
      <c r="Q6600" s="498"/>
      <c r="R6600" s="498"/>
      <c r="T6600" s="498"/>
      <c r="U6600" s="498"/>
      <c r="V6600" s="498"/>
      <c r="W6600" s="498"/>
      <c r="X6600" s="498"/>
      <c r="Y6600" s="498"/>
      <c r="Z6600" s="498"/>
      <c r="AA6600" s="498"/>
      <c r="AB6600" s="498"/>
      <c r="AC6600" s="498"/>
      <c r="AD6600" s="498"/>
      <c r="AE6600" s="498"/>
      <c r="AF6600" s="498"/>
      <c r="AG6600" s="498"/>
      <c r="AH6600" s="498"/>
      <c r="AI6600" s="498"/>
      <c r="AK6600" s="498"/>
      <c r="AL6600" s="498"/>
      <c r="AM6600" s="498"/>
      <c r="AN6600" s="498"/>
      <c r="AO6600" s="498"/>
      <c r="AP6600" s="498"/>
      <c r="AQ6600" s="498"/>
      <c r="AR6600" s="498"/>
      <c r="AS6600" s="498"/>
      <c r="AT6600" s="498"/>
      <c r="AU6600" s="498"/>
      <c r="AV6600" s="498"/>
      <c r="AW6600" s="498"/>
      <c r="AX6600" s="498"/>
      <c r="AY6600" s="498"/>
      <c r="AZ6600" s="498"/>
      <c r="BA6600" s="498"/>
    </row>
    <row r="6601" spans="1:53" s="499" customFormat="1" x14ac:dyDescent="0.25">
      <c r="A6601" s="500"/>
      <c r="B6601" s="501"/>
      <c r="C6601" s="502"/>
      <c r="D6601" s="497"/>
      <c r="E6601" s="497"/>
      <c r="F6601" s="502"/>
      <c r="G6601" s="497"/>
      <c r="H6601" s="497"/>
      <c r="I6601" s="497"/>
      <c r="J6601" s="497"/>
      <c r="K6601" s="500"/>
      <c r="L6601" s="497"/>
      <c r="M6601"/>
      <c r="N6601" s="498"/>
      <c r="O6601" s="498"/>
      <c r="P6601" s="498"/>
      <c r="Q6601" s="498"/>
      <c r="R6601" s="498"/>
      <c r="T6601" s="498"/>
      <c r="U6601" s="498"/>
      <c r="V6601" s="498"/>
      <c r="W6601" s="498"/>
      <c r="X6601" s="498"/>
      <c r="Y6601" s="498"/>
      <c r="Z6601" s="498"/>
      <c r="AA6601" s="498"/>
      <c r="AB6601" s="498"/>
      <c r="AC6601" s="498"/>
      <c r="AD6601" s="498"/>
      <c r="AE6601" s="498"/>
      <c r="AF6601" s="498"/>
      <c r="AG6601" s="498"/>
      <c r="AH6601" s="498"/>
      <c r="AI6601" s="498"/>
      <c r="AK6601" s="498"/>
      <c r="AL6601" s="498"/>
      <c r="AM6601" s="498"/>
      <c r="AN6601" s="498"/>
      <c r="AO6601" s="498"/>
      <c r="AP6601" s="498"/>
      <c r="AQ6601" s="498"/>
      <c r="AR6601" s="498"/>
      <c r="AS6601" s="498"/>
      <c r="AT6601" s="498"/>
      <c r="AU6601" s="498"/>
      <c r="AV6601" s="498"/>
      <c r="AW6601" s="498"/>
      <c r="AX6601" s="498"/>
      <c r="AY6601" s="498"/>
      <c r="AZ6601" s="498"/>
      <c r="BA6601" s="498"/>
    </row>
    <row r="6602" spans="1:53" s="499" customFormat="1" x14ac:dyDescent="0.25">
      <c r="A6602" s="500"/>
      <c r="B6602" s="501"/>
      <c r="C6602" s="502"/>
      <c r="D6602" s="497"/>
      <c r="E6602" s="497"/>
      <c r="F6602" s="502"/>
      <c r="G6602" s="497"/>
      <c r="H6602" s="497"/>
      <c r="I6602" s="497"/>
      <c r="J6602" s="497"/>
      <c r="K6602" s="500"/>
      <c r="L6602" s="497"/>
      <c r="M6602"/>
      <c r="N6602" s="498"/>
      <c r="O6602" s="498"/>
      <c r="P6602" s="498"/>
      <c r="Q6602" s="498"/>
      <c r="R6602" s="498"/>
      <c r="T6602" s="498"/>
      <c r="U6602" s="498"/>
      <c r="V6602" s="498"/>
      <c r="W6602" s="498"/>
      <c r="X6602" s="498"/>
      <c r="Y6602" s="498"/>
      <c r="Z6602" s="498"/>
      <c r="AA6602" s="498"/>
      <c r="AB6602" s="498"/>
      <c r="AC6602" s="498"/>
      <c r="AD6602" s="498"/>
      <c r="AE6602" s="498"/>
      <c r="AF6602" s="498"/>
      <c r="AG6602" s="498"/>
      <c r="AH6602" s="498"/>
      <c r="AI6602" s="498"/>
      <c r="AK6602" s="498"/>
      <c r="AL6602" s="498"/>
      <c r="AM6602" s="498"/>
      <c r="AN6602" s="498"/>
      <c r="AO6602" s="498"/>
      <c r="AP6602" s="498"/>
      <c r="AQ6602" s="498"/>
      <c r="AR6602" s="498"/>
      <c r="AS6602" s="498"/>
      <c r="AT6602" s="498"/>
      <c r="AU6602" s="498"/>
      <c r="AV6602" s="498"/>
      <c r="AW6602" s="498"/>
      <c r="AX6602" s="498"/>
      <c r="AY6602" s="498"/>
      <c r="AZ6602" s="498"/>
      <c r="BA6602" s="498"/>
    </row>
    <row r="6603" spans="1:53" s="499" customFormat="1" x14ac:dyDescent="0.25">
      <c r="A6603" s="500"/>
      <c r="B6603" s="501"/>
      <c r="C6603" s="502"/>
      <c r="D6603" s="497"/>
      <c r="E6603" s="497"/>
      <c r="F6603" s="502"/>
      <c r="G6603" s="497"/>
      <c r="H6603" s="497"/>
      <c r="I6603" s="497"/>
      <c r="J6603" s="497"/>
      <c r="K6603" s="500"/>
      <c r="L6603" s="497"/>
      <c r="M6603"/>
      <c r="N6603" s="498"/>
      <c r="O6603" s="498"/>
      <c r="P6603" s="498"/>
      <c r="Q6603" s="498"/>
      <c r="R6603" s="498"/>
      <c r="T6603" s="498"/>
      <c r="U6603" s="498"/>
      <c r="V6603" s="498"/>
      <c r="W6603" s="498"/>
      <c r="X6603" s="498"/>
      <c r="Y6603" s="498"/>
      <c r="Z6603" s="498"/>
      <c r="AA6603" s="498"/>
      <c r="AB6603" s="498"/>
      <c r="AC6603" s="498"/>
      <c r="AD6603" s="498"/>
      <c r="AE6603" s="498"/>
      <c r="AF6603" s="498"/>
      <c r="AG6603" s="498"/>
      <c r="AH6603" s="498"/>
      <c r="AI6603" s="498"/>
      <c r="AK6603" s="498"/>
      <c r="AL6603" s="498"/>
      <c r="AM6603" s="498"/>
      <c r="AN6603" s="498"/>
      <c r="AO6603" s="498"/>
      <c r="AP6603" s="498"/>
      <c r="AQ6603" s="498"/>
      <c r="AR6603" s="498"/>
      <c r="AS6603" s="498"/>
      <c r="AT6603" s="498"/>
      <c r="AU6603" s="498"/>
      <c r="AV6603" s="498"/>
      <c r="AW6603" s="498"/>
      <c r="AX6603" s="498"/>
      <c r="AY6603" s="498"/>
      <c r="AZ6603" s="498"/>
      <c r="BA6603" s="498"/>
    </row>
    <row r="6604" spans="1:53" s="499" customFormat="1" x14ac:dyDescent="0.25">
      <c r="A6604" s="500"/>
      <c r="B6604" s="501"/>
      <c r="C6604" s="502"/>
      <c r="D6604" s="497"/>
      <c r="E6604" s="497"/>
      <c r="F6604" s="502"/>
      <c r="G6604" s="497"/>
      <c r="H6604" s="497"/>
      <c r="I6604" s="497"/>
      <c r="J6604" s="497"/>
      <c r="K6604" s="500"/>
      <c r="L6604" s="497"/>
      <c r="M6604"/>
      <c r="N6604" s="498"/>
      <c r="O6604" s="498"/>
      <c r="P6604" s="498"/>
      <c r="Q6604" s="498"/>
      <c r="R6604" s="498"/>
      <c r="T6604" s="498"/>
      <c r="U6604" s="498"/>
      <c r="V6604" s="498"/>
      <c r="W6604" s="498"/>
      <c r="X6604" s="498"/>
      <c r="Y6604" s="498"/>
      <c r="Z6604" s="498"/>
      <c r="AA6604" s="498"/>
      <c r="AB6604" s="498"/>
      <c r="AC6604" s="498"/>
      <c r="AD6604" s="498"/>
      <c r="AE6604" s="498"/>
      <c r="AF6604" s="498"/>
      <c r="AG6604" s="498"/>
      <c r="AH6604" s="498"/>
      <c r="AI6604" s="498"/>
      <c r="AK6604" s="498"/>
      <c r="AL6604" s="498"/>
      <c r="AM6604" s="498"/>
      <c r="AN6604" s="498"/>
      <c r="AO6604" s="498"/>
      <c r="AP6604" s="498"/>
      <c r="AQ6604" s="498"/>
      <c r="AR6604" s="498"/>
      <c r="AS6604" s="498"/>
      <c r="AT6604" s="498"/>
      <c r="AU6604" s="498"/>
      <c r="AV6604" s="498"/>
      <c r="AW6604" s="498"/>
      <c r="AX6604" s="498"/>
      <c r="AY6604" s="498"/>
      <c r="AZ6604" s="498"/>
      <c r="BA6604" s="498"/>
    </row>
    <row r="6605" spans="1:53" s="499" customFormat="1" x14ac:dyDescent="0.25">
      <c r="A6605" s="500"/>
      <c r="B6605" s="501"/>
      <c r="C6605" s="502"/>
      <c r="D6605" s="497"/>
      <c r="E6605" s="497"/>
      <c r="F6605" s="502"/>
      <c r="G6605" s="497"/>
      <c r="H6605" s="497"/>
      <c r="I6605" s="497"/>
      <c r="J6605" s="497"/>
      <c r="K6605" s="500"/>
      <c r="L6605" s="497"/>
      <c r="M6605"/>
      <c r="N6605" s="498"/>
      <c r="O6605" s="498"/>
      <c r="P6605" s="498"/>
      <c r="Q6605" s="498"/>
      <c r="R6605" s="498"/>
      <c r="T6605" s="498"/>
      <c r="U6605" s="498"/>
      <c r="V6605" s="498"/>
      <c r="W6605" s="498"/>
      <c r="X6605" s="498"/>
      <c r="Y6605" s="498"/>
      <c r="Z6605" s="498"/>
      <c r="AA6605" s="498"/>
      <c r="AB6605" s="498"/>
      <c r="AC6605" s="498"/>
      <c r="AD6605" s="498"/>
      <c r="AE6605" s="498"/>
      <c r="AF6605" s="498"/>
      <c r="AG6605" s="498"/>
      <c r="AH6605" s="498"/>
      <c r="AI6605" s="498"/>
      <c r="AK6605" s="498"/>
      <c r="AL6605" s="498"/>
      <c r="AM6605" s="498"/>
      <c r="AN6605" s="498"/>
      <c r="AO6605" s="498"/>
      <c r="AP6605" s="498"/>
      <c r="AQ6605" s="498"/>
      <c r="AR6605" s="498"/>
      <c r="AS6605" s="498"/>
      <c r="AT6605" s="498"/>
      <c r="AU6605" s="498"/>
      <c r="AV6605" s="498"/>
      <c r="AW6605" s="498"/>
      <c r="AX6605" s="498"/>
      <c r="AY6605" s="498"/>
      <c r="AZ6605" s="498"/>
      <c r="BA6605" s="498"/>
    </row>
    <row r="6606" spans="1:53" s="499" customFormat="1" x14ac:dyDescent="0.25">
      <c r="A6606" s="500"/>
      <c r="B6606" s="501"/>
      <c r="C6606" s="502"/>
      <c r="D6606" s="497"/>
      <c r="E6606" s="497"/>
      <c r="F6606" s="502"/>
      <c r="G6606" s="497"/>
      <c r="H6606" s="497"/>
      <c r="I6606" s="497"/>
      <c r="J6606" s="497"/>
      <c r="K6606" s="500"/>
      <c r="L6606" s="497"/>
      <c r="M6606"/>
      <c r="N6606" s="498"/>
      <c r="O6606" s="498"/>
      <c r="P6606" s="498"/>
      <c r="Q6606" s="498"/>
      <c r="R6606" s="498"/>
      <c r="T6606" s="498"/>
      <c r="U6606" s="498"/>
      <c r="V6606" s="498"/>
      <c r="W6606" s="498"/>
      <c r="X6606" s="498"/>
      <c r="Y6606" s="498"/>
      <c r="Z6606" s="498"/>
      <c r="AA6606" s="498"/>
      <c r="AB6606" s="498"/>
      <c r="AC6606" s="498"/>
      <c r="AD6606" s="498"/>
      <c r="AE6606" s="498"/>
      <c r="AF6606" s="498"/>
      <c r="AG6606" s="498"/>
      <c r="AH6606" s="498"/>
      <c r="AI6606" s="498"/>
      <c r="AK6606" s="498"/>
      <c r="AL6606" s="498"/>
      <c r="AM6606" s="498"/>
      <c r="AN6606" s="498"/>
      <c r="AO6606" s="498"/>
      <c r="AP6606" s="498"/>
      <c r="AQ6606" s="498"/>
      <c r="AR6606" s="498"/>
      <c r="AS6606" s="498"/>
      <c r="AT6606" s="498"/>
      <c r="AU6606" s="498"/>
      <c r="AV6606" s="498"/>
      <c r="AW6606" s="498"/>
      <c r="AX6606" s="498"/>
      <c r="AY6606" s="498"/>
      <c r="AZ6606" s="498"/>
      <c r="BA6606" s="498"/>
    </row>
    <row r="6607" spans="1:53" s="499" customFormat="1" x14ac:dyDescent="0.25">
      <c r="A6607" s="500"/>
      <c r="B6607" s="501"/>
      <c r="C6607" s="502"/>
      <c r="D6607" s="497"/>
      <c r="E6607" s="497"/>
      <c r="F6607" s="502"/>
      <c r="G6607" s="497"/>
      <c r="H6607" s="497"/>
      <c r="I6607" s="497"/>
      <c r="J6607" s="497"/>
      <c r="K6607" s="500"/>
      <c r="L6607" s="497"/>
      <c r="M6607"/>
      <c r="N6607" s="498"/>
      <c r="O6607" s="498"/>
      <c r="P6607" s="498"/>
      <c r="Q6607" s="498"/>
      <c r="R6607" s="498"/>
      <c r="T6607" s="498"/>
      <c r="U6607" s="498"/>
      <c r="V6607" s="498"/>
      <c r="W6607" s="498"/>
      <c r="X6607" s="498"/>
      <c r="Y6607" s="498"/>
      <c r="Z6607" s="498"/>
      <c r="AA6607" s="498"/>
      <c r="AB6607" s="498"/>
      <c r="AC6607" s="498"/>
      <c r="AD6607" s="498"/>
      <c r="AE6607" s="498"/>
      <c r="AF6607" s="498"/>
      <c r="AG6607" s="498"/>
      <c r="AH6607" s="498"/>
      <c r="AI6607" s="498"/>
      <c r="AK6607" s="498"/>
      <c r="AL6607" s="498"/>
      <c r="AM6607" s="498"/>
      <c r="AN6607" s="498"/>
      <c r="AO6607" s="498"/>
      <c r="AP6607" s="498"/>
      <c r="AQ6607" s="498"/>
      <c r="AR6607" s="498"/>
      <c r="AS6607" s="498"/>
      <c r="AT6607" s="498"/>
      <c r="AU6607" s="498"/>
      <c r="AV6607" s="498"/>
      <c r="AW6607" s="498"/>
      <c r="AX6607" s="498"/>
      <c r="AY6607" s="498"/>
      <c r="AZ6607" s="498"/>
      <c r="BA6607" s="498"/>
    </row>
    <row r="6608" spans="1:53" s="499" customFormat="1" x14ac:dyDescent="0.25">
      <c r="A6608" s="500"/>
      <c r="B6608" s="501"/>
      <c r="C6608" s="502"/>
      <c r="D6608" s="497"/>
      <c r="E6608" s="497"/>
      <c r="F6608" s="502"/>
      <c r="G6608" s="497"/>
      <c r="H6608" s="497"/>
      <c r="I6608" s="497"/>
      <c r="J6608" s="497"/>
      <c r="K6608" s="500"/>
      <c r="L6608" s="497"/>
      <c r="M6608"/>
      <c r="N6608" s="498"/>
      <c r="O6608" s="498"/>
      <c r="P6608" s="498"/>
      <c r="Q6608" s="498"/>
      <c r="R6608" s="498"/>
      <c r="T6608" s="498"/>
      <c r="U6608" s="498"/>
      <c r="V6608" s="498"/>
      <c r="W6608" s="498"/>
      <c r="X6608" s="498"/>
      <c r="Y6608" s="498"/>
      <c r="Z6608" s="498"/>
      <c r="AA6608" s="498"/>
      <c r="AB6608" s="498"/>
      <c r="AC6608" s="498"/>
      <c r="AD6608" s="498"/>
      <c r="AE6608" s="498"/>
      <c r="AF6608" s="498"/>
      <c r="AG6608" s="498"/>
      <c r="AH6608" s="498"/>
      <c r="AI6608" s="498"/>
      <c r="AK6608" s="498"/>
      <c r="AL6608" s="498"/>
      <c r="AM6608" s="498"/>
      <c r="AN6608" s="498"/>
      <c r="AO6608" s="498"/>
      <c r="AP6608" s="498"/>
      <c r="AQ6608" s="498"/>
      <c r="AR6608" s="498"/>
      <c r="AS6608" s="498"/>
      <c r="AT6608" s="498"/>
      <c r="AU6608" s="498"/>
      <c r="AV6608" s="498"/>
      <c r="AW6608" s="498"/>
      <c r="AX6608" s="498"/>
      <c r="AY6608" s="498"/>
      <c r="AZ6608" s="498"/>
      <c r="BA6608" s="498"/>
    </row>
    <row r="6609" spans="1:53" s="499" customFormat="1" x14ac:dyDescent="0.25">
      <c r="A6609" s="500"/>
      <c r="B6609" s="501"/>
      <c r="C6609" s="502"/>
      <c r="D6609" s="497"/>
      <c r="E6609" s="497"/>
      <c r="F6609" s="502"/>
      <c r="G6609" s="497"/>
      <c r="H6609" s="497"/>
      <c r="I6609" s="497"/>
      <c r="J6609" s="497"/>
      <c r="K6609" s="500"/>
      <c r="L6609" s="497"/>
      <c r="M6609"/>
      <c r="N6609" s="498"/>
      <c r="O6609" s="498"/>
      <c r="P6609" s="498"/>
      <c r="Q6609" s="498"/>
      <c r="R6609" s="498"/>
      <c r="T6609" s="498"/>
      <c r="U6609" s="498"/>
      <c r="V6609" s="498"/>
      <c r="W6609" s="498"/>
      <c r="X6609" s="498"/>
      <c r="Y6609" s="498"/>
      <c r="Z6609" s="498"/>
      <c r="AA6609" s="498"/>
      <c r="AB6609" s="498"/>
      <c r="AC6609" s="498"/>
      <c r="AD6609" s="498"/>
      <c r="AE6609" s="498"/>
      <c r="AF6609" s="498"/>
      <c r="AG6609" s="498"/>
      <c r="AH6609" s="498"/>
      <c r="AI6609" s="498"/>
      <c r="AK6609" s="498"/>
      <c r="AL6609" s="498"/>
      <c r="AM6609" s="498"/>
      <c r="AN6609" s="498"/>
      <c r="AO6609" s="498"/>
      <c r="AP6609" s="498"/>
      <c r="AQ6609" s="498"/>
      <c r="AR6609" s="498"/>
      <c r="AS6609" s="498"/>
      <c r="AT6609" s="498"/>
      <c r="AU6609" s="498"/>
      <c r="AV6609" s="498"/>
      <c r="AW6609" s="498"/>
      <c r="AX6609" s="498"/>
      <c r="AY6609" s="498"/>
      <c r="AZ6609" s="498"/>
      <c r="BA6609" s="498"/>
    </row>
    <row r="6610" spans="1:53" s="499" customFormat="1" x14ac:dyDescent="0.25">
      <c r="A6610" s="500"/>
      <c r="B6610" s="501"/>
      <c r="C6610" s="502"/>
      <c r="D6610" s="497"/>
      <c r="E6610" s="497"/>
      <c r="F6610" s="502"/>
      <c r="G6610" s="497"/>
      <c r="H6610" s="497"/>
      <c r="I6610" s="497"/>
      <c r="J6610" s="497"/>
      <c r="K6610" s="500"/>
      <c r="L6610" s="497"/>
      <c r="M6610"/>
      <c r="N6610" s="498"/>
      <c r="O6610" s="498"/>
      <c r="P6610" s="498"/>
      <c r="Q6610" s="498"/>
      <c r="R6610" s="498"/>
      <c r="T6610" s="498"/>
      <c r="U6610" s="498"/>
      <c r="V6610" s="498"/>
      <c r="W6610" s="498"/>
      <c r="X6610" s="498"/>
      <c r="Y6610" s="498"/>
      <c r="Z6610" s="498"/>
      <c r="AA6610" s="498"/>
      <c r="AB6610" s="498"/>
      <c r="AC6610" s="498"/>
      <c r="AD6610" s="498"/>
      <c r="AE6610" s="498"/>
      <c r="AF6610" s="498"/>
      <c r="AG6610" s="498"/>
      <c r="AH6610" s="498"/>
      <c r="AI6610" s="498"/>
      <c r="AK6610" s="498"/>
      <c r="AL6610" s="498"/>
      <c r="AM6610" s="498"/>
      <c r="AN6610" s="498"/>
      <c r="AO6610" s="498"/>
      <c r="AP6610" s="498"/>
      <c r="AQ6610" s="498"/>
      <c r="AR6610" s="498"/>
      <c r="AS6610" s="498"/>
      <c r="AT6610" s="498"/>
      <c r="AU6610" s="498"/>
      <c r="AV6610" s="498"/>
      <c r="AW6610" s="498"/>
      <c r="AX6610" s="498"/>
      <c r="AY6610" s="498"/>
      <c r="AZ6610" s="498"/>
      <c r="BA6610" s="498"/>
    </row>
    <row r="6611" spans="1:53" s="499" customFormat="1" x14ac:dyDescent="0.25">
      <c r="A6611" s="500"/>
      <c r="B6611" s="501"/>
      <c r="C6611" s="502"/>
      <c r="D6611" s="497"/>
      <c r="E6611" s="497"/>
      <c r="F6611" s="502"/>
      <c r="G6611" s="497"/>
      <c r="H6611" s="497"/>
      <c r="I6611" s="497"/>
      <c r="J6611" s="497"/>
      <c r="K6611" s="500"/>
      <c r="L6611" s="497"/>
      <c r="M6611"/>
      <c r="N6611" s="498"/>
      <c r="O6611" s="498"/>
      <c r="P6611" s="498"/>
      <c r="Q6611" s="498"/>
      <c r="R6611" s="498"/>
      <c r="T6611" s="498"/>
      <c r="U6611" s="498"/>
      <c r="V6611" s="498"/>
      <c r="W6611" s="498"/>
      <c r="X6611" s="498"/>
      <c r="Y6611" s="498"/>
      <c r="Z6611" s="498"/>
      <c r="AA6611" s="498"/>
      <c r="AB6611" s="498"/>
      <c r="AC6611" s="498"/>
      <c r="AD6611" s="498"/>
      <c r="AE6611" s="498"/>
      <c r="AF6611" s="498"/>
      <c r="AG6611" s="498"/>
      <c r="AH6611" s="498"/>
      <c r="AI6611" s="498"/>
      <c r="AK6611" s="498"/>
      <c r="AL6611" s="498"/>
      <c r="AM6611" s="498"/>
      <c r="AN6611" s="498"/>
      <c r="AO6611" s="498"/>
      <c r="AP6611" s="498"/>
      <c r="AQ6611" s="498"/>
      <c r="AR6611" s="498"/>
      <c r="AS6611" s="498"/>
      <c r="AT6611" s="498"/>
      <c r="AU6611" s="498"/>
      <c r="AV6611" s="498"/>
      <c r="AW6611" s="498"/>
      <c r="AX6611" s="498"/>
      <c r="AY6611" s="498"/>
      <c r="AZ6611" s="498"/>
      <c r="BA6611" s="498"/>
    </row>
    <row r="6612" spans="1:53" s="499" customFormat="1" x14ac:dyDescent="0.25">
      <c r="A6612" s="500"/>
      <c r="B6612" s="501"/>
      <c r="C6612" s="502"/>
      <c r="D6612" s="497"/>
      <c r="E6612" s="497"/>
      <c r="F6612" s="502"/>
      <c r="G6612" s="497"/>
      <c r="H6612" s="497"/>
      <c r="I6612" s="497"/>
      <c r="J6612" s="497"/>
      <c r="K6612" s="500"/>
      <c r="L6612" s="497"/>
      <c r="M6612"/>
      <c r="N6612" s="498"/>
      <c r="O6612" s="498"/>
      <c r="P6612" s="498"/>
      <c r="Q6612" s="498"/>
      <c r="R6612" s="498"/>
      <c r="T6612" s="498"/>
      <c r="U6612" s="498"/>
      <c r="V6612" s="498"/>
      <c r="W6612" s="498"/>
      <c r="X6612" s="498"/>
      <c r="Y6612" s="498"/>
      <c r="Z6612" s="498"/>
      <c r="AA6612" s="498"/>
      <c r="AB6612" s="498"/>
      <c r="AC6612" s="498"/>
      <c r="AD6612" s="498"/>
      <c r="AE6612" s="498"/>
      <c r="AF6612" s="498"/>
      <c r="AG6612" s="498"/>
      <c r="AH6612" s="498"/>
      <c r="AI6612" s="498"/>
      <c r="AK6612" s="498"/>
      <c r="AL6612" s="498"/>
      <c r="AM6612" s="498"/>
      <c r="AN6612" s="498"/>
      <c r="AO6612" s="498"/>
      <c r="AP6612" s="498"/>
      <c r="AQ6612" s="498"/>
      <c r="AR6612" s="498"/>
      <c r="AS6612" s="498"/>
      <c r="AT6612" s="498"/>
      <c r="AU6612" s="498"/>
      <c r="AV6612" s="498"/>
      <c r="AW6612" s="498"/>
      <c r="AX6612" s="498"/>
      <c r="AY6612" s="498"/>
      <c r="AZ6612" s="498"/>
      <c r="BA6612" s="498"/>
    </row>
    <row r="6613" spans="1:53" s="499" customFormat="1" x14ac:dyDescent="0.25">
      <c r="A6613" s="500"/>
      <c r="B6613" s="501"/>
      <c r="C6613" s="502"/>
      <c r="D6613" s="497"/>
      <c r="E6613" s="497"/>
      <c r="F6613" s="502"/>
      <c r="G6613" s="497"/>
      <c r="H6613" s="497"/>
      <c r="I6613" s="497"/>
      <c r="J6613" s="497"/>
      <c r="K6613" s="500"/>
      <c r="L6613" s="497"/>
      <c r="M6613"/>
      <c r="N6613" s="498"/>
      <c r="O6613" s="498"/>
      <c r="P6613" s="498"/>
      <c r="Q6613" s="498"/>
      <c r="R6613" s="498"/>
      <c r="T6613" s="498"/>
      <c r="U6613" s="498"/>
      <c r="V6613" s="498"/>
      <c r="W6613" s="498"/>
      <c r="X6613" s="498"/>
      <c r="Y6613" s="498"/>
      <c r="Z6613" s="498"/>
      <c r="AA6613" s="498"/>
      <c r="AB6613" s="498"/>
      <c r="AC6613" s="498"/>
      <c r="AD6613" s="498"/>
      <c r="AE6613" s="498"/>
      <c r="AF6613" s="498"/>
      <c r="AG6613" s="498"/>
      <c r="AH6613" s="498"/>
      <c r="AI6613" s="498"/>
      <c r="AK6613" s="498"/>
      <c r="AL6613" s="498"/>
      <c r="AM6613" s="498"/>
      <c r="AN6613" s="498"/>
      <c r="AO6613" s="498"/>
      <c r="AP6613" s="498"/>
      <c r="AQ6613" s="498"/>
      <c r="AR6613" s="498"/>
      <c r="AS6613" s="498"/>
      <c r="AT6613" s="498"/>
      <c r="AU6613" s="498"/>
      <c r="AV6613" s="498"/>
      <c r="AW6613" s="498"/>
      <c r="AX6613" s="498"/>
      <c r="AY6613" s="498"/>
      <c r="AZ6613" s="498"/>
      <c r="BA6613" s="498"/>
    </row>
    <row r="6614" spans="1:53" s="499" customFormat="1" x14ac:dyDescent="0.25">
      <c r="A6614" s="500"/>
      <c r="B6614" s="501"/>
      <c r="C6614" s="502"/>
      <c r="D6614" s="497"/>
      <c r="E6614" s="497"/>
      <c r="F6614" s="502"/>
      <c r="G6614" s="497"/>
      <c r="H6614" s="497"/>
      <c r="I6614" s="497"/>
      <c r="J6614" s="497"/>
      <c r="K6614" s="500"/>
      <c r="L6614" s="497"/>
      <c r="M6614"/>
      <c r="N6614" s="498"/>
      <c r="O6614" s="498"/>
      <c r="P6614" s="498"/>
      <c r="Q6614" s="498"/>
      <c r="R6614" s="498"/>
      <c r="T6614" s="498"/>
      <c r="U6614" s="498"/>
      <c r="V6614" s="498"/>
      <c r="W6614" s="498"/>
      <c r="X6614" s="498"/>
      <c r="Y6614" s="498"/>
      <c r="Z6614" s="498"/>
      <c r="AA6614" s="498"/>
      <c r="AB6614" s="498"/>
      <c r="AC6614" s="498"/>
      <c r="AD6614" s="498"/>
      <c r="AE6614" s="498"/>
      <c r="AF6614" s="498"/>
      <c r="AG6614" s="498"/>
      <c r="AH6614" s="498"/>
      <c r="AI6614" s="498"/>
      <c r="AK6614" s="498"/>
      <c r="AL6614" s="498"/>
      <c r="AM6614" s="498"/>
      <c r="AN6614" s="498"/>
      <c r="AO6614" s="498"/>
      <c r="AP6614" s="498"/>
      <c r="AQ6614" s="498"/>
      <c r="AR6614" s="498"/>
      <c r="AS6614" s="498"/>
      <c r="AT6614" s="498"/>
      <c r="AU6614" s="498"/>
      <c r="AV6614" s="498"/>
      <c r="AW6614" s="498"/>
      <c r="AX6614" s="498"/>
      <c r="AY6614" s="498"/>
      <c r="AZ6614" s="498"/>
      <c r="BA6614" s="498"/>
    </row>
    <row r="6615" spans="1:53" s="499" customFormat="1" x14ac:dyDescent="0.25">
      <c r="A6615" s="500"/>
      <c r="B6615" s="501"/>
      <c r="C6615" s="502"/>
      <c r="D6615" s="497"/>
      <c r="E6615" s="497"/>
      <c r="F6615" s="502"/>
      <c r="G6615" s="497"/>
      <c r="H6615" s="497"/>
      <c r="I6615" s="497"/>
      <c r="J6615" s="497"/>
      <c r="K6615" s="500"/>
      <c r="L6615" s="497"/>
      <c r="M6615"/>
      <c r="N6615" s="498"/>
      <c r="O6615" s="498"/>
      <c r="P6615" s="498"/>
      <c r="Q6615" s="498"/>
      <c r="R6615" s="498"/>
      <c r="T6615" s="498"/>
      <c r="U6615" s="498"/>
      <c r="V6615" s="498"/>
      <c r="W6615" s="498"/>
      <c r="X6615" s="498"/>
      <c r="Y6615" s="498"/>
      <c r="Z6615" s="498"/>
      <c r="AA6615" s="498"/>
      <c r="AB6615" s="498"/>
      <c r="AC6615" s="498"/>
      <c r="AD6615" s="498"/>
      <c r="AE6615" s="498"/>
      <c r="AF6615" s="498"/>
      <c r="AG6615" s="498"/>
      <c r="AH6615" s="498"/>
      <c r="AI6615" s="498"/>
      <c r="AK6615" s="498"/>
      <c r="AL6615" s="498"/>
      <c r="AM6615" s="498"/>
      <c r="AN6615" s="498"/>
      <c r="AO6615" s="498"/>
      <c r="AP6615" s="498"/>
      <c r="AQ6615" s="498"/>
      <c r="AR6615" s="498"/>
      <c r="AS6615" s="498"/>
      <c r="AT6615" s="498"/>
      <c r="AU6615" s="498"/>
      <c r="AV6615" s="498"/>
      <c r="AW6615" s="498"/>
      <c r="AX6615" s="498"/>
      <c r="AY6615" s="498"/>
      <c r="AZ6615" s="498"/>
      <c r="BA6615" s="498"/>
    </row>
    <row r="6616" spans="1:53" s="499" customFormat="1" x14ac:dyDescent="0.25">
      <c r="A6616" s="500"/>
      <c r="B6616" s="501"/>
      <c r="C6616" s="502"/>
      <c r="D6616" s="497"/>
      <c r="E6616" s="497"/>
      <c r="F6616" s="502"/>
      <c r="G6616" s="497"/>
      <c r="H6616" s="497"/>
      <c r="I6616" s="497"/>
      <c r="J6616" s="497"/>
      <c r="K6616" s="500"/>
      <c r="L6616" s="497"/>
      <c r="M6616"/>
      <c r="N6616" s="498"/>
      <c r="O6616" s="498"/>
      <c r="P6616" s="498"/>
      <c r="Q6616" s="498"/>
      <c r="R6616" s="498"/>
      <c r="T6616" s="498"/>
      <c r="U6616" s="498"/>
      <c r="V6616" s="498"/>
      <c r="W6616" s="498"/>
      <c r="X6616" s="498"/>
      <c r="Y6616" s="498"/>
      <c r="Z6616" s="498"/>
      <c r="AA6616" s="498"/>
      <c r="AB6616" s="498"/>
      <c r="AC6616" s="498"/>
      <c r="AD6616" s="498"/>
      <c r="AE6616" s="498"/>
      <c r="AF6616" s="498"/>
      <c r="AG6616" s="498"/>
      <c r="AH6616" s="498"/>
      <c r="AI6616" s="498"/>
      <c r="AK6616" s="498"/>
      <c r="AL6616" s="498"/>
      <c r="AM6616" s="498"/>
      <c r="AN6616" s="498"/>
      <c r="AO6616" s="498"/>
      <c r="AP6616" s="498"/>
      <c r="AQ6616" s="498"/>
      <c r="AR6616" s="498"/>
      <c r="AS6616" s="498"/>
      <c r="AT6616" s="498"/>
      <c r="AU6616" s="498"/>
      <c r="AV6616" s="498"/>
      <c r="AW6616" s="498"/>
      <c r="AX6616" s="498"/>
      <c r="AY6616" s="498"/>
      <c r="AZ6616" s="498"/>
      <c r="BA6616" s="498"/>
    </row>
    <row r="6617" spans="1:53" s="499" customFormat="1" x14ac:dyDescent="0.25">
      <c r="A6617" s="500"/>
      <c r="B6617" s="501"/>
      <c r="C6617" s="502"/>
      <c r="D6617" s="497"/>
      <c r="E6617" s="497"/>
      <c r="F6617" s="502"/>
      <c r="G6617" s="497"/>
      <c r="H6617" s="497"/>
      <c r="I6617" s="497"/>
      <c r="J6617" s="497"/>
      <c r="K6617" s="500"/>
      <c r="L6617" s="497"/>
      <c r="M6617"/>
      <c r="N6617" s="498"/>
      <c r="O6617" s="498"/>
      <c r="P6617" s="498"/>
      <c r="Q6617" s="498"/>
      <c r="R6617" s="498"/>
      <c r="T6617" s="498"/>
      <c r="U6617" s="498"/>
      <c r="V6617" s="498"/>
      <c r="W6617" s="498"/>
      <c r="X6617" s="498"/>
      <c r="Y6617" s="498"/>
      <c r="Z6617" s="498"/>
      <c r="AA6617" s="498"/>
      <c r="AB6617" s="498"/>
      <c r="AC6617" s="498"/>
      <c r="AD6617" s="498"/>
      <c r="AE6617" s="498"/>
      <c r="AF6617" s="498"/>
      <c r="AG6617" s="498"/>
      <c r="AH6617" s="498"/>
      <c r="AI6617" s="498"/>
      <c r="AK6617" s="498"/>
      <c r="AL6617" s="498"/>
      <c r="AM6617" s="498"/>
      <c r="AN6617" s="498"/>
      <c r="AO6617" s="498"/>
      <c r="AP6617" s="498"/>
      <c r="AQ6617" s="498"/>
      <c r="AR6617" s="498"/>
      <c r="AS6617" s="498"/>
      <c r="AT6617" s="498"/>
      <c r="AU6617" s="498"/>
      <c r="AV6617" s="498"/>
      <c r="AW6617" s="498"/>
      <c r="AX6617" s="498"/>
      <c r="AY6617" s="498"/>
      <c r="AZ6617" s="498"/>
      <c r="BA6617" s="498"/>
    </row>
    <row r="6618" spans="1:53" s="499" customFormat="1" x14ac:dyDescent="0.25">
      <c r="A6618" s="500"/>
      <c r="B6618" s="501"/>
      <c r="C6618" s="502"/>
      <c r="D6618" s="497"/>
      <c r="E6618" s="497"/>
      <c r="F6618" s="502"/>
      <c r="G6618" s="497"/>
      <c r="H6618" s="497"/>
      <c r="I6618" s="497"/>
      <c r="J6618" s="497"/>
      <c r="K6618" s="500"/>
      <c r="L6618" s="497"/>
      <c r="M6618"/>
      <c r="N6618" s="498"/>
      <c r="O6618" s="498"/>
      <c r="P6618" s="498"/>
      <c r="Q6618" s="498"/>
      <c r="R6618" s="498"/>
      <c r="T6618" s="498"/>
      <c r="U6618" s="498"/>
      <c r="V6618" s="498"/>
      <c r="W6618" s="498"/>
      <c r="X6618" s="498"/>
      <c r="Y6618" s="498"/>
      <c r="Z6618" s="498"/>
      <c r="AA6618" s="498"/>
      <c r="AB6618" s="498"/>
      <c r="AC6618" s="498"/>
      <c r="AD6618" s="498"/>
      <c r="AE6618" s="498"/>
      <c r="AF6618" s="498"/>
      <c r="AG6618" s="498"/>
      <c r="AH6618" s="498"/>
      <c r="AI6618" s="498"/>
      <c r="AK6618" s="498"/>
      <c r="AL6618" s="498"/>
      <c r="AM6618" s="498"/>
      <c r="AN6618" s="498"/>
      <c r="AO6618" s="498"/>
      <c r="AP6618" s="498"/>
      <c r="AQ6618" s="498"/>
      <c r="AR6618" s="498"/>
      <c r="AS6618" s="498"/>
      <c r="AT6618" s="498"/>
      <c r="AU6618" s="498"/>
      <c r="AV6618" s="498"/>
      <c r="AW6618" s="498"/>
      <c r="AX6618" s="498"/>
      <c r="AY6618" s="498"/>
      <c r="AZ6618" s="498"/>
      <c r="BA6618" s="498"/>
    </row>
    <row r="6619" spans="1:53" s="499" customFormat="1" x14ac:dyDescent="0.25">
      <c r="A6619" s="500"/>
      <c r="B6619" s="501"/>
      <c r="C6619" s="502"/>
      <c r="D6619" s="497"/>
      <c r="E6619" s="497"/>
      <c r="F6619" s="502"/>
      <c r="G6619" s="497"/>
      <c r="H6619" s="497"/>
      <c r="I6619" s="497"/>
      <c r="J6619" s="497"/>
      <c r="K6619" s="500"/>
      <c r="L6619" s="497"/>
      <c r="M6619"/>
      <c r="N6619" s="498"/>
      <c r="O6619" s="498"/>
      <c r="P6619" s="498"/>
      <c r="Q6619" s="498"/>
      <c r="R6619" s="498"/>
      <c r="T6619" s="498"/>
      <c r="U6619" s="498"/>
      <c r="V6619" s="498"/>
      <c r="W6619" s="498"/>
      <c r="X6619" s="498"/>
      <c r="Y6619" s="498"/>
      <c r="Z6619" s="498"/>
      <c r="AA6619" s="498"/>
      <c r="AB6619" s="498"/>
      <c r="AC6619" s="498"/>
      <c r="AD6619" s="498"/>
      <c r="AE6619" s="498"/>
      <c r="AF6619" s="498"/>
      <c r="AG6619" s="498"/>
      <c r="AH6619" s="498"/>
      <c r="AI6619" s="498"/>
      <c r="AK6619" s="498"/>
      <c r="AL6619" s="498"/>
      <c r="AM6619" s="498"/>
      <c r="AN6619" s="498"/>
      <c r="AO6619" s="498"/>
      <c r="AP6619" s="498"/>
      <c r="AQ6619" s="498"/>
      <c r="AR6619" s="498"/>
      <c r="AS6619" s="498"/>
      <c r="AT6619" s="498"/>
      <c r="AU6619" s="498"/>
      <c r="AV6619" s="498"/>
      <c r="AW6619" s="498"/>
      <c r="AX6619" s="498"/>
      <c r="AY6619" s="498"/>
      <c r="AZ6619" s="498"/>
      <c r="BA6619" s="498"/>
    </row>
    <row r="6620" spans="1:53" s="499" customFormat="1" x14ac:dyDescent="0.25">
      <c r="A6620" s="500"/>
      <c r="B6620" s="501"/>
      <c r="C6620" s="502"/>
      <c r="D6620" s="497"/>
      <c r="E6620" s="497"/>
      <c r="F6620" s="502"/>
      <c r="G6620" s="497"/>
      <c r="H6620" s="497"/>
      <c r="I6620" s="497"/>
      <c r="J6620" s="497"/>
      <c r="K6620" s="500"/>
      <c r="L6620" s="497"/>
      <c r="M6620"/>
      <c r="N6620" s="498"/>
      <c r="O6620" s="498"/>
      <c r="P6620" s="498"/>
      <c r="Q6620" s="498"/>
      <c r="R6620" s="498"/>
      <c r="T6620" s="498"/>
      <c r="U6620" s="498"/>
      <c r="V6620" s="498"/>
      <c r="W6620" s="498"/>
      <c r="X6620" s="498"/>
      <c r="Y6620" s="498"/>
      <c r="Z6620" s="498"/>
      <c r="AA6620" s="498"/>
      <c r="AB6620" s="498"/>
      <c r="AC6620" s="498"/>
      <c r="AD6620" s="498"/>
      <c r="AE6620" s="498"/>
      <c r="AF6620" s="498"/>
      <c r="AG6620" s="498"/>
      <c r="AH6620" s="498"/>
      <c r="AI6620" s="498"/>
      <c r="AK6620" s="498"/>
      <c r="AL6620" s="498"/>
      <c r="AM6620" s="498"/>
      <c r="AN6620" s="498"/>
      <c r="AO6620" s="498"/>
      <c r="AP6620" s="498"/>
      <c r="AQ6620" s="498"/>
      <c r="AR6620" s="498"/>
      <c r="AS6620" s="498"/>
      <c r="AT6620" s="498"/>
      <c r="AU6620" s="498"/>
      <c r="AV6620" s="498"/>
      <c r="AW6620" s="498"/>
      <c r="AX6620" s="498"/>
      <c r="AY6620" s="498"/>
      <c r="AZ6620" s="498"/>
      <c r="BA6620" s="498"/>
    </row>
    <row r="6621" spans="1:53" s="499" customFormat="1" x14ac:dyDescent="0.25">
      <c r="A6621" s="500"/>
      <c r="B6621" s="501"/>
      <c r="C6621" s="502"/>
      <c r="D6621" s="497"/>
      <c r="E6621" s="497"/>
      <c r="F6621" s="502"/>
      <c r="G6621" s="497"/>
      <c r="H6621" s="497"/>
      <c r="I6621" s="497"/>
      <c r="J6621" s="497"/>
      <c r="K6621" s="500"/>
      <c r="L6621" s="497"/>
      <c r="M6621"/>
      <c r="N6621" s="498"/>
      <c r="O6621" s="498"/>
      <c r="P6621" s="498"/>
      <c r="Q6621" s="498"/>
      <c r="R6621" s="498"/>
      <c r="T6621" s="498"/>
      <c r="U6621" s="498"/>
      <c r="V6621" s="498"/>
      <c r="W6621" s="498"/>
      <c r="X6621" s="498"/>
      <c r="Y6621" s="498"/>
      <c r="Z6621" s="498"/>
      <c r="AA6621" s="498"/>
      <c r="AB6621" s="498"/>
      <c r="AC6621" s="498"/>
      <c r="AD6621" s="498"/>
      <c r="AE6621" s="498"/>
      <c r="AF6621" s="498"/>
      <c r="AG6621" s="498"/>
      <c r="AH6621" s="498"/>
      <c r="AI6621" s="498"/>
      <c r="AK6621" s="498"/>
      <c r="AL6621" s="498"/>
      <c r="AM6621" s="498"/>
      <c r="AN6621" s="498"/>
      <c r="AO6621" s="498"/>
      <c r="AP6621" s="498"/>
      <c r="AQ6621" s="498"/>
      <c r="AR6621" s="498"/>
      <c r="AS6621" s="498"/>
      <c r="AT6621" s="498"/>
      <c r="AU6621" s="498"/>
      <c r="AV6621" s="498"/>
      <c r="AW6621" s="498"/>
      <c r="AX6621" s="498"/>
      <c r="AY6621" s="498"/>
      <c r="AZ6621" s="498"/>
      <c r="BA6621" s="498"/>
    </row>
    <row r="6622" spans="1:53" s="499" customFormat="1" x14ac:dyDescent="0.25">
      <c r="A6622" s="500"/>
      <c r="B6622" s="501"/>
      <c r="C6622" s="502"/>
      <c r="D6622" s="497"/>
      <c r="E6622" s="497"/>
      <c r="F6622" s="502"/>
      <c r="G6622" s="497"/>
      <c r="H6622" s="497"/>
      <c r="I6622" s="497"/>
      <c r="J6622" s="497"/>
      <c r="K6622" s="500"/>
      <c r="L6622" s="497"/>
      <c r="M6622"/>
      <c r="N6622" s="498"/>
      <c r="O6622" s="498"/>
      <c r="P6622" s="498"/>
      <c r="Q6622" s="498"/>
      <c r="R6622" s="498"/>
      <c r="T6622" s="498"/>
      <c r="U6622" s="498"/>
      <c r="V6622" s="498"/>
      <c r="W6622" s="498"/>
      <c r="X6622" s="498"/>
      <c r="Y6622" s="498"/>
      <c r="Z6622" s="498"/>
      <c r="AA6622" s="498"/>
      <c r="AB6622" s="498"/>
      <c r="AC6622" s="498"/>
      <c r="AD6622" s="498"/>
      <c r="AE6622" s="498"/>
      <c r="AF6622" s="498"/>
      <c r="AG6622" s="498"/>
      <c r="AH6622" s="498"/>
      <c r="AI6622" s="498"/>
      <c r="AK6622" s="498"/>
      <c r="AL6622" s="498"/>
      <c r="AM6622" s="498"/>
      <c r="AN6622" s="498"/>
      <c r="AO6622" s="498"/>
      <c r="AP6622" s="498"/>
      <c r="AQ6622" s="498"/>
      <c r="AR6622" s="498"/>
      <c r="AS6622" s="498"/>
      <c r="AT6622" s="498"/>
      <c r="AU6622" s="498"/>
      <c r="AV6622" s="498"/>
      <c r="AW6622" s="498"/>
      <c r="AX6622" s="498"/>
      <c r="AY6622" s="498"/>
      <c r="AZ6622" s="498"/>
      <c r="BA6622" s="498"/>
    </row>
    <row r="6623" spans="1:53" s="499" customFormat="1" x14ac:dyDescent="0.25">
      <c r="A6623" s="500"/>
      <c r="B6623" s="501"/>
      <c r="C6623" s="502"/>
      <c r="D6623" s="497"/>
      <c r="E6623" s="497"/>
      <c r="F6623" s="502"/>
      <c r="G6623" s="497"/>
      <c r="H6623" s="497"/>
      <c r="I6623" s="497"/>
      <c r="J6623" s="497"/>
      <c r="K6623" s="500"/>
      <c r="L6623" s="497"/>
      <c r="M6623"/>
      <c r="N6623" s="498"/>
      <c r="O6623" s="498"/>
      <c r="P6623" s="498"/>
      <c r="Q6623" s="498"/>
      <c r="R6623" s="498"/>
      <c r="T6623" s="498"/>
      <c r="U6623" s="498"/>
      <c r="V6623" s="498"/>
      <c r="W6623" s="498"/>
      <c r="X6623" s="498"/>
      <c r="Y6623" s="498"/>
      <c r="Z6623" s="498"/>
      <c r="AA6623" s="498"/>
      <c r="AB6623" s="498"/>
      <c r="AC6623" s="498"/>
      <c r="AD6623" s="498"/>
      <c r="AE6623" s="498"/>
      <c r="AF6623" s="498"/>
      <c r="AG6623" s="498"/>
      <c r="AH6623" s="498"/>
      <c r="AI6623" s="498"/>
      <c r="AK6623" s="498"/>
      <c r="AL6623" s="498"/>
      <c r="AM6623" s="498"/>
      <c r="AN6623" s="498"/>
      <c r="AO6623" s="498"/>
      <c r="AP6623" s="498"/>
      <c r="AQ6623" s="498"/>
      <c r="AR6623" s="498"/>
      <c r="AS6623" s="498"/>
      <c r="AT6623" s="498"/>
      <c r="AU6623" s="498"/>
      <c r="AV6623" s="498"/>
      <c r="AW6623" s="498"/>
      <c r="AX6623" s="498"/>
      <c r="AY6623" s="498"/>
      <c r="AZ6623" s="498"/>
      <c r="BA6623" s="498"/>
    </row>
    <row r="6624" spans="1:53" s="499" customFormat="1" x14ac:dyDescent="0.25">
      <c r="A6624" s="500"/>
      <c r="B6624" s="501"/>
      <c r="C6624" s="502"/>
      <c r="D6624" s="497"/>
      <c r="E6624" s="497"/>
      <c r="F6624" s="502"/>
      <c r="G6624" s="497"/>
      <c r="H6624" s="497"/>
      <c r="I6624" s="497"/>
      <c r="J6624" s="497"/>
      <c r="K6624" s="500"/>
      <c r="L6624" s="497"/>
      <c r="M6624"/>
      <c r="N6624" s="498"/>
      <c r="O6624" s="498"/>
      <c r="P6624" s="498"/>
      <c r="Q6624" s="498"/>
      <c r="R6624" s="498"/>
      <c r="T6624" s="498"/>
      <c r="U6624" s="498"/>
      <c r="V6624" s="498"/>
      <c r="W6624" s="498"/>
      <c r="X6624" s="498"/>
      <c r="Y6624" s="498"/>
      <c r="Z6624" s="498"/>
      <c r="AA6624" s="498"/>
      <c r="AB6624" s="498"/>
      <c r="AC6624" s="498"/>
      <c r="AD6624" s="498"/>
      <c r="AE6624" s="498"/>
      <c r="AF6624" s="498"/>
      <c r="AG6624" s="498"/>
      <c r="AH6624" s="498"/>
      <c r="AI6624" s="498"/>
      <c r="AK6624" s="498"/>
      <c r="AL6624" s="498"/>
      <c r="AM6624" s="498"/>
      <c r="AN6624" s="498"/>
      <c r="AO6624" s="498"/>
      <c r="AP6624" s="498"/>
      <c r="AQ6624" s="498"/>
      <c r="AR6624" s="498"/>
      <c r="AS6624" s="498"/>
      <c r="AT6624" s="498"/>
      <c r="AU6624" s="498"/>
      <c r="AV6624" s="498"/>
      <c r="AW6624" s="498"/>
      <c r="AX6624" s="498"/>
      <c r="AY6624" s="498"/>
      <c r="AZ6624" s="498"/>
      <c r="BA6624" s="498"/>
    </row>
    <row r="6625" spans="1:53" s="499" customFormat="1" x14ac:dyDescent="0.25">
      <c r="A6625" s="500"/>
      <c r="B6625" s="501"/>
      <c r="C6625" s="502"/>
      <c r="D6625" s="497"/>
      <c r="E6625" s="497"/>
      <c r="F6625" s="502"/>
      <c r="G6625" s="497"/>
      <c r="H6625" s="497"/>
      <c r="I6625" s="497"/>
      <c r="J6625" s="497"/>
      <c r="K6625" s="500"/>
      <c r="L6625" s="497"/>
      <c r="M6625"/>
      <c r="N6625" s="498"/>
      <c r="O6625" s="498"/>
      <c r="P6625" s="498"/>
      <c r="Q6625" s="498"/>
      <c r="R6625" s="498"/>
      <c r="T6625" s="498"/>
      <c r="U6625" s="498"/>
      <c r="V6625" s="498"/>
      <c r="W6625" s="498"/>
      <c r="X6625" s="498"/>
      <c r="Y6625" s="498"/>
      <c r="Z6625" s="498"/>
      <c r="AA6625" s="498"/>
      <c r="AB6625" s="498"/>
      <c r="AC6625" s="498"/>
      <c r="AD6625" s="498"/>
      <c r="AE6625" s="498"/>
      <c r="AF6625" s="498"/>
      <c r="AG6625" s="498"/>
      <c r="AH6625" s="498"/>
      <c r="AI6625" s="498"/>
      <c r="AK6625" s="498"/>
      <c r="AL6625" s="498"/>
      <c r="AM6625" s="498"/>
      <c r="AN6625" s="498"/>
      <c r="AO6625" s="498"/>
      <c r="AP6625" s="498"/>
      <c r="AQ6625" s="498"/>
      <c r="AR6625" s="498"/>
      <c r="AS6625" s="498"/>
      <c r="AT6625" s="498"/>
      <c r="AU6625" s="498"/>
      <c r="AV6625" s="498"/>
      <c r="AW6625" s="498"/>
      <c r="AX6625" s="498"/>
      <c r="AY6625" s="498"/>
      <c r="AZ6625" s="498"/>
      <c r="BA6625" s="498"/>
    </row>
    <row r="6626" spans="1:53" s="499" customFormat="1" x14ac:dyDescent="0.25">
      <c r="A6626" s="500"/>
      <c r="B6626" s="501"/>
      <c r="C6626" s="502"/>
      <c r="D6626" s="497"/>
      <c r="E6626" s="497"/>
      <c r="F6626" s="502"/>
      <c r="G6626" s="497"/>
      <c r="H6626" s="497"/>
      <c r="I6626" s="497"/>
      <c r="J6626" s="497"/>
      <c r="K6626" s="500"/>
      <c r="L6626" s="497"/>
      <c r="M6626"/>
      <c r="N6626" s="498"/>
      <c r="O6626" s="498"/>
      <c r="P6626" s="498"/>
      <c r="Q6626" s="498"/>
      <c r="R6626" s="498"/>
      <c r="T6626" s="498"/>
      <c r="U6626" s="498"/>
      <c r="V6626" s="498"/>
      <c r="W6626" s="498"/>
      <c r="X6626" s="498"/>
      <c r="Y6626" s="498"/>
      <c r="Z6626" s="498"/>
      <c r="AA6626" s="498"/>
      <c r="AB6626" s="498"/>
      <c r="AC6626" s="498"/>
      <c r="AD6626" s="498"/>
      <c r="AE6626" s="498"/>
      <c r="AF6626" s="498"/>
      <c r="AG6626" s="498"/>
      <c r="AH6626" s="498"/>
      <c r="AI6626" s="498"/>
      <c r="AK6626" s="498"/>
      <c r="AL6626" s="498"/>
      <c r="AM6626" s="498"/>
      <c r="AN6626" s="498"/>
      <c r="AO6626" s="498"/>
      <c r="AP6626" s="498"/>
      <c r="AQ6626" s="498"/>
      <c r="AR6626" s="498"/>
      <c r="AS6626" s="498"/>
      <c r="AT6626" s="498"/>
      <c r="AU6626" s="498"/>
      <c r="AV6626" s="498"/>
      <c r="AW6626" s="498"/>
      <c r="AX6626" s="498"/>
      <c r="AY6626" s="498"/>
      <c r="AZ6626" s="498"/>
      <c r="BA6626" s="498"/>
    </row>
    <row r="6627" spans="1:53" s="499" customFormat="1" x14ac:dyDescent="0.25">
      <c r="A6627" s="500"/>
      <c r="B6627" s="501"/>
      <c r="C6627" s="502"/>
      <c r="D6627" s="497"/>
      <c r="E6627" s="497"/>
      <c r="F6627" s="502"/>
      <c r="G6627" s="497"/>
      <c r="H6627" s="497"/>
      <c r="I6627" s="497"/>
      <c r="J6627" s="497"/>
      <c r="K6627" s="500"/>
      <c r="L6627" s="497"/>
      <c r="M6627"/>
      <c r="N6627" s="498"/>
      <c r="O6627" s="498"/>
      <c r="P6627" s="498"/>
      <c r="Q6627" s="498"/>
      <c r="R6627" s="498"/>
      <c r="T6627" s="498"/>
      <c r="U6627" s="498"/>
      <c r="V6627" s="498"/>
      <c r="W6627" s="498"/>
      <c r="X6627" s="498"/>
      <c r="Y6627" s="498"/>
      <c r="Z6627" s="498"/>
      <c r="AA6627" s="498"/>
      <c r="AB6627" s="498"/>
      <c r="AC6627" s="498"/>
      <c r="AD6627" s="498"/>
      <c r="AE6627" s="498"/>
      <c r="AF6627" s="498"/>
      <c r="AG6627" s="498"/>
      <c r="AH6627" s="498"/>
      <c r="AI6627" s="498"/>
      <c r="AK6627" s="498"/>
      <c r="AL6627" s="498"/>
      <c r="AM6627" s="498"/>
      <c r="AN6627" s="498"/>
      <c r="AO6627" s="498"/>
      <c r="AP6627" s="498"/>
      <c r="AQ6627" s="498"/>
      <c r="AR6627" s="498"/>
      <c r="AS6627" s="498"/>
      <c r="AT6627" s="498"/>
      <c r="AU6627" s="498"/>
      <c r="AV6627" s="498"/>
      <c r="AW6627" s="498"/>
      <c r="AX6627" s="498"/>
      <c r="AY6627" s="498"/>
      <c r="AZ6627" s="498"/>
      <c r="BA6627" s="498"/>
    </row>
    <row r="6628" spans="1:53" s="499" customFormat="1" x14ac:dyDescent="0.25">
      <c r="A6628" s="500"/>
      <c r="B6628" s="501"/>
      <c r="C6628" s="502"/>
      <c r="D6628" s="497"/>
      <c r="E6628" s="497"/>
      <c r="F6628" s="502"/>
      <c r="G6628" s="497"/>
      <c r="H6628" s="497"/>
      <c r="I6628" s="497"/>
      <c r="J6628" s="497"/>
      <c r="K6628" s="500"/>
      <c r="L6628" s="497"/>
      <c r="M6628"/>
      <c r="N6628" s="498"/>
      <c r="O6628" s="498"/>
      <c r="P6628" s="498"/>
      <c r="Q6628" s="498"/>
      <c r="R6628" s="498"/>
      <c r="T6628" s="498"/>
      <c r="U6628" s="498"/>
      <c r="V6628" s="498"/>
      <c r="W6628" s="498"/>
      <c r="X6628" s="498"/>
      <c r="Y6628" s="498"/>
      <c r="Z6628" s="498"/>
      <c r="AA6628" s="498"/>
      <c r="AB6628" s="498"/>
      <c r="AC6628" s="498"/>
      <c r="AD6628" s="498"/>
      <c r="AE6628" s="498"/>
      <c r="AF6628" s="498"/>
      <c r="AG6628" s="498"/>
      <c r="AH6628" s="498"/>
      <c r="AI6628" s="498"/>
      <c r="AK6628" s="498"/>
      <c r="AL6628" s="498"/>
      <c r="AM6628" s="498"/>
      <c r="AN6628" s="498"/>
      <c r="AO6628" s="498"/>
      <c r="AP6628" s="498"/>
      <c r="AQ6628" s="498"/>
      <c r="AR6628" s="498"/>
      <c r="AS6628" s="498"/>
      <c r="AT6628" s="498"/>
      <c r="AU6628" s="498"/>
      <c r="AV6628" s="498"/>
      <c r="AW6628" s="498"/>
      <c r="AX6628" s="498"/>
      <c r="AY6628" s="498"/>
      <c r="AZ6628" s="498"/>
      <c r="BA6628" s="498"/>
    </row>
    <row r="6629" spans="1:53" s="499" customFormat="1" x14ac:dyDescent="0.25">
      <c r="A6629" s="500"/>
      <c r="B6629" s="501"/>
      <c r="C6629" s="502"/>
      <c r="D6629" s="497"/>
      <c r="E6629" s="497"/>
      <c r="F6629" s="502"/>
      <c r="G6629" s="497"/>
      <c r="H6629" s="497"/>
      <c r="I6629" s="497"/>
      <c r="J6629" s="497"/>
      <c r="K6629" s="500"/>
      <c r="L6629" s="497"/>
      <c r="M6629"/>
      <c r="N6629" s="498"/>
      <c r="O6629" s="498"/>
      <c r="P6629" s="498"/>
      <c r="Q6629" s="498"/>
      <c r="R6629" s="498"/>
      <c r="T6629" s="498"/>
      <c r="U6629" s="498"/>
      <c r="V6629" s="498"/>
      <c r="W6629" s="498"/>
      <c r="X6629" s="498"/>
      <c r="Y6629" s="498"/>
      <c r="Z6629" s="498"/>
      <c r="AA6629" s="498"/>
      <c r="AB6629" s="498"/>
      <c r="AC6629" s="498"/>
      <c r="AD6629" s="498"/>
      <c r="AE6629" s="498"/>
      <c r="AF6629" s="498"/>
      <c r="AG6629" s="498"/>
      <c r="AH6629" s="498"/>
      <c r="AI6629" s="498"/>
      <c r="AK6629" s="498"/>
      <c r="AL6629" s="498"/>
      <c r="AM6629" s="498"/>
      <c r="AN6629" s="498"/>
      <c r="AO6629" s="498"/>
      <c r="AP6629" s="498"/>
      <c r="AQ6629" s="498"/>
      <c r="AR6629" s="498"/>
      <c r="AS6629" s="498"/>
      <c r="AT6629" s="498"/>
      <c r="AU6629" s="498"/>
      <c r="AV6629" s="498"/>
      <c r="AW6629" s="498"/>
      <c r="AX6629" s="498"/>
      <c r="AY6629" s="498"/>
      <c r="AZ6629" s="498"/>
      <c r="BA6629" s="498"/>
    </row>
    <row r="6630" spans="1:53" s="499" customFormat="1" x14ac:dyDescent="0.25">
      <c r="A6630" s="500"/>
      <c r="B6630" s="501"/>
      <c r="C6630" s="502"/>
      <c r="D6630" s="497"/>
      <c r="E6630" s="497"/>
      <c r="F6630" s="502"/>
      <c r="G6630" s="497"/>
      <c r="H6630" s="497"/>
      <c r="I6630" s="497"/>
      <c r="J6630" s="497"/>
      <c r="K6630" s="500"/>
      <c r="L6630" s="497"/>
      <c r="M6630"/>
      <c r="N6630" s="498"/>
      <c r="O6630" s="498"/>
      <c r="P6630" s="498"/>
      <c r="Q6630" s="498"/>
      <c r="R6630" s="498"/>
      <c r="T6630" s="498"/>
      <c r="U6630" s="498"/>
      <c r="V6630" s="498"/>
      <c r="W6630" s="498"/>
      <c r="X6630" s="498"/>
      <c r="Y6630" s="498"/>
      <c r="Z6630" s="498"/>
      <c r="AA6630" s="498"/>
      <c r="AB6630" s="498"/>
      <c r="AC6630" s="498"/>
      <c r="AD6630" s="498"/>
      <c r="AE6630" s="498"/>
      <c r="AF6630" s="498"/>
      <c r="AG6630" s="498"/>
      <c r="AH6630" s="498"/>
      <c r="AI6630" s="498"/>
      <c r="AK6630" s="498"/>
      <c r="AL6630" s="498"/>
      <c r="AM6630" s="498"/>
      <c r="AN6630" s="498"/>
      <c r="AO6630" s="498"/>
      <c r="AP6630" s="498"/>
      <c r="AQ6630" s="498"/>
      <c r="AR6630" s="498"/>
      <c r="AS6630" s="498"/>
      <c r="AT6630" s="498"/>
      <c r="AU6630" s="498"/>
      <c r="AV6630" s="498"/>
      <c r="AW6630" s="498"/>
      <c r="AX6630" s="498"/>
      <c r="AY6630" s="498"/>
      <c r="AZ6630" s="498"/>
      <c r="BA6630" s="498"/>
    </row>
    <row r="6631" spans="1:53" s="499" customFormat="1" x14ac:dyDescent="0.25">
      <c r="A6631" s="500"/>
      <c r="B6631" s="501"/>
      <c r="C6631" s="502"/>
      <c r="D6631" s="497"/>
      <c r="E6631" s="497"/>
      <c r="F6631" s="502"/>
      <c r="G6631" s="497"/>
      <c r="H6631" s="497"/>
      <c r="I6631" s="497"/>
      <c r="J6631" s="497"/>
      <c r="K6631" s="500"/>
      <c r="L6631" s="497"/>
      <c r="M6631"/>
      <c r="N6631" s="498"/>
      <c r="O6631" s="498"/>
      <c r="P6631" s="498"/>
      <c r="Q6631" s="498"/>
      <c r="R6631" s="498"/>
      <c r="T6631" s="498"/>
      <c r="U6631" s="498"/>
      <c r="V6631" s="498"/>
      <c r="W6631" s="498"/>
      <c r="X6631" s="498"/>
      <c r="Y6631" s="498"/>
      <c r="Z6631" s="498"/>
      <c r="AA6631" s="498"/>
      <c r="AB6631" s="498"/>
      <c r="AC6631" s="498"/>
      <c r="AD6631" s="498"/>
      <c r="AE6631" s="498"/>
      <c r="AF6631" s="498"/>
      <c r="AG6631" s="498"/>
      <c r="AH6631" s="498"/>
      <c r="AI6631" s="498"/>
      <c r="AK6631" s="498"/>
      <c r="AL6631" s="498"/>
      <c r="AM6631" s="498"/>
      <c r="AN6631" s="498"/>
      <c r="AO6631" s="498"/>
      <c r="AP6631" s="498"/>
      <c r="AQ6631" s="498"/>
      <c r="AR6631" s="498"/>
      <c r="AS6631" s="498"/>
      <c r="AT6631" s="498"/>
      <c r="AU6631" s="498"/>
      <c r="AV6631" s="498"/>
      <c r="AW6631" s="498"/>
      <c r="AX6631" s="498"/>
      <c r="AY6631" s="498"/>
      <c r="AZ6631" s="498"/>
      <c r="BA6631" s="498"/>
    </row>
    <row r="6632" spans="1:53" s="499" customFormat="1" x14ac:dyDescent="0.25">
      <c r="A6632" s="500"/>
      <c r="B6632" s="501"/>
      <c r="C6632" s="502"/>
      <c r="D6632" s="497"/>
      <c r="E6632" s="497"/>
      <c r="F6632" s="502"/>
      <c r="G6632" s="497"/>
      <c r="H6632" s="497"/>
      <c r="I6632" s="497"/>
      <c r="J6632" s="497"/>
      <c r="K6632" s="500"/>
      <c r="L6632" s="497"/>
      <c r="M6632"/>
      <c r="N6632" s="498"/>
      <c r="O6632" s="498"/>
      <c r="P6632" s="498"/>
      <c r="Q6632" s="498"/>
      <c r="R6632" s="498"/>
      <c r="T6632" s="498"/>
      <c r="U6632" s="498"/>
      <c r="V6632" s="498"/>
      <c r="W6632" s="498"/>
      <c r="X6632" s="498"/>
      <c r="Y6632" s="498"/>
      <c r="Z6632" s="498"/>
      <c r="AA6632" s="498"/>
      <c r="AB6632" s="498"/>
      <c r="AC6632" s="498"/>
      <c r="AD6632" s="498"/>
      <c r="AE6632" s="498"/>
      <c r="AF6632" s="498"/>
      <c r="AG6632" s="498"/>
      <c r="AH6632" s="498"/>
      <c r="AI6632" s="498"/>
      <c r="AK6632" s="498"/>
      <c r="AL6632" s="498"/>
      <c r="AM6632" s="498"/>
      <c r="AN6632" s="498"/>
      <c r="AO6632" s="498"/>
      <c r="AP6632" s="498"/>
      <c r="AQ6632" s="498"/>
      <c r="AR6632" s="498"/>
      <c r="AS6632" s="498"/>
      <c r="AT6632" s="498"/>
      <c r="AU6632" s="498"/>
      <c r="AV6632" s="498"/>
      <c r="AW6632" s="498"/>
      <c r="AX6632" s="498"/>
      <c r="AY6632" s="498"/>
      <c r="AZ6632" s="498"/>
      <c r="BA6632" s="498"/>
    </row>
    <row r="6633" spans="1:53" s="499" customFormat="1" x14ac:dyDescent="0.25">
      <c r="A6633" s="500"/>
      <c r="B6633" s="501"/>
      <c r="C6633" s="502"/>
      <c r="D6633" s="497"/>
      <c r="E6633" s="497"/>
      <c r="F6633" s="502"/>
      <c r="G6633" s="497"/>
      <c r="H6633" s="497"/>
      <c r="I6633" s="497"/>
      <c r="J6633" s="497"/>
      <c r="K6633" s="500"/>
      <c r="L6633" s="497"/>
      <c r="M6633"/>
      <c r="N6633" s="498"/>
      <c r="O6633" s="498"/>
      <c r="P6633" s="498"/>
      <c r="Q6633" s="498"/>
      <c r="R6633" s="498"/>
      <c r="T6633" s="498"/>
      <c r="U6633" s="498"/>
      <c r="V6633" s="498"/>
      <c r="W6633" s="498"/>
      <c r="X6633" s="498"/>
      <c r="Y6633" s="498"/>
      <c r="Z6633" s="498"/>
      <c r="AA6633" s="498"/>
      <c r="AB6633" s="498"/>
      <c r="AC6633" s="498"/>
      <c r="AD6633" s="498"/>
      <c r="AE6633" s="498"/>
      <c r="AF6633" s="498"/>
      <c r="AG6633" s="498"/>
      <c r="AH6633" s="498"/>
      <c r="AI6633" s="498"/>
      <c r="AK6633" s="498"/>
      <c r="AL6633" s="498"/>
      <c r="AM6633" s="498"/>
      <c r="AN6633" s="498"/>
      <c r="AO6633" s="498"/>
      <c r="AP6633" s="498"/>
      <c r="AQ6633" s="498"/>
      <c r="AR6633" s="498"/>
      <c r="AS6633" s="498"/>
      <c r="AT6633" s="498"/>
      <c r="AU6633" s="498"/>
      <c r="AV6633" s="498"/>
      <c r="AW6633" s="498"/>
      <c r="AX6633" s="498"/>
      <c r="AY6633" s="498"/>
      <c r="AZ6633" s="498"/>
      <c r="BA6633" s="498"/>
    </row>
    <row r="6634" spans="1:53" s="499" customFormat="1" x14ac:dyDescent="0.25">
      <c r="A6634" s="500"/>
      <c r="B6634" s="501"/>
      <c r="C6634" s="502"/>
      <c r="D6634" s="497"/>
      <c r="E6634" s="497"/>
      <c r="F6634" s="502"/>
      <c r="G6634" s="497"/>
      <c r="H6634" s="497"/>
      <c r="I6634" s="497"/>
      <c r="J6634" s="497"/>
      <c r="K6634" s="500"/>
      <c r="L6634" s="497"/>
      <c r="M6634"/>
      <c r="N6634" s="498"/>
      <c r="O6634" s="498"/>
      <c r="P6634" s="498"/>
      <c r="Q6634" s="498"/>
      <c r="R6634" s="498"/>
      <c r="T6634" s="498"/>
      <c r="U6634" s="498"/>
      <c r="V6634" s="498"/>
      <c r="W6634" s="498"/>
      <c r="X6634" s="498"/>
      <c r="Y6634" s="498"/>
      <c r="Z6634" s="498"/>
      <c r="AA6634" s="498"/>
      <c r="AB6634" s="498"/>
      <c r="AC6634" s="498"/>
      <c r="AD6634" s="498"/>
      <c r="AE6634" s="498"/>
      <c r="AF6634" s="498"/>
      <c r="AG6634" s="498"/>
      <c r="AH6634" s="498"/>
      <c r="AI6634" s="498"/>
      <c r="AK6634" s="498"/>
      <c r="AL6634" s="498"/>
      <c r="AM6634" s="498"/>
      <c r="AN6634" s="498"/>
      <c r="AO6634" s="498"/>
      <c r="AP6634" s="498"/>
      <c r="AQ6634" s="498"/>
      <c r="AR6634" s="498"/>
      <c r="AS6634" s="498"/>
      <c r="AT6634" s="498"/>
      <c r="AU6634" s="498"/>
      <c r="AV6634" s="498"/>
      <c r="AW6634" s="498"/>
      <c r="AX6634" s="498"/>
      <c r="AY6634" s="498"/>
      <c r="AZ6634" s="498"/>
      <c r="BA6634" s="498"/>
    </row>
    <row r="6635" spans="1:53" s="499" customFormat="1" x14ac:dyDescent="0.25">
      <c r="A6635" s="500"/>
      <c r="B6635" s="501"/>
      <c r="C6635" s="502"/>
      <c r="D6635" s="497"/>
      <c r="E6635" s="497"/>
      <c r="F6635" s="502"/>
      <c r="G6635" s="497"/>
      <c r="H6635" s="497"/>
      <c r="I6635" s="497"/>
      <c r="J6635" s="497"/>
      <c r="K6635" s="500"/>
      <c r="L6635" s="497"/>
      <c r="M6635"/>
      <c r="N6635" s="498"/>
      <c r="O6635" s="498"/>
      <c r="P6635" s="498"/>
      <c r="Q6635" s="498"/>
      <c r="R6635" s="498"/>
      <c r="T6635" s="498"/>
      <c r="U6635" s="498"/>
      <c r="V6635" s="498"/>
      <c r="W6635" s="498"/>
      <c r="X6635" s="498"/>
      <c r="Y6635" s="498"/>
      <c r="Z6635" s="498"/>
      <c r="AA6635" s="498"/>
      <c r="AB6635" s="498"/>
      <c r="AC6635" s="498"/>
      <c r="AD6635" s="498"/>
      <c r="AE6635" s="498"/>
      <c r="AF6635" s="498"/>
      <c r="AG6635" s="498"/>
      <c r="AH6635" s="498"/>
      <c r="AI6635" s="498"/>
      <c r="AK6635" s="498"/>
      <c r="AL6635" s="498"/>
      <c r="AM6635" s="498"/>
      <c r="AN6635" s="498"/>
      <c r="AO6635" s="498"/>
      <c r="AP6635" s="498"/>
      <c r="AQ6635" s="498"/>
      <c r="AR6635" s="498"/>
      <c r="AS6635" s="498"/>
      <c r="AT6635" s="498"/>
      <c r="AU6635" s="498"/>
      <c r="AV6635" s="498"/>
      <c r="AW6635" s="498"/>
      <c r="AX6635" s="498"/>
      <c r="AY6635" s="498"/>
      <c r="AZ6635" s="498"/>
      <c r="BA6635" s="498"/>
    </row>
    <row r="6636" spans="1:53" s="499" customFormat="1" x14ac:dyDescent="0.25">
      <c r="A6636" s="500"/>
      <c r="B6636" s="501"/>
      <c r="C6636" s="502"/>
      <c r="D6636" s="497"/>
      <c r="E6636" s="497"/>
      <c r="F6636" s="502"/>
      <c r="G6636" s="497"/>
      <c r="H6636" s="497"/>
      <c r="I6636" s="497"/>
      <c r="J6636" s="497"/>
      <c r="K6636" s="500"/>
      <c r="L6636" s="497"/>
      <c r="M6636"/>
      <c r="N6636" s="498"/>
      <c r="O6636" s="498"/>
      <c r="P6636" s="498"/>
      <c r="Q6636" s="498"/>
      <c r="R6636" s="498"/>
      <c r="T6636" s="498"/>
      <c r="U6636" s="498"/>
      <c r="V6636" s="498"/>
      <c r="W6636" s="498"/>
      <c r="X6636" s="498"/>
      <c r="Y6636" s="498"/>
      <c r="Z6636" s="498"/>
      <c r="AA6636" s="498"/>
      <c r="AB6636" s="498"/>
      <c r="AC6636" s="498"/>
      <c r="AD6636" s="498"/>
      <c r="AE6636" s="498"/>
      <c r="AF6636" s="498"/>
      <c r="AG6636" s="498"/>
      <c r="AH6636" s="498"/>
      <c r="AI6636" s="498"/>
      <c r="AK6636" s="498"/>
      <c r="AL6636" s="498"/>
      <c r="AM6636" s="498"/>
      <c r="AN6636" s="498"/>
      <c r="AO6636" s="498"/>
      <c r="AP6636" s="498"/>
      <c r="AQ6636" s="498"/>
      <c r="AR6636" s="498"/>
      <c r="AS6636" s="498"/>
      <c r="AT6636" s="498"/>
      <c r="AU6636" s="498"/>
      <c r="AV6636" s="498"/>
      <c r="AW6636" s="498"/>
      <c r="AX6636" s="498"/>
      <c r="AY6636" s="498"/>
      <c r="AZ6636" s="498"/>
      <c r="BA6636" s="498"/>
    </row>
    <row r="6637" spans="1:53" s="499" customFormat="1" x14ac:dyDescent="0.25">
      <c r="A6637" s="500"/>
      <c r="B6637" s="501"/>
      <c r="C6637" s="502"/>
      <c r="D6637" s="497"/>
      <c r="E6637" s="497"/>
      <c r="F6637" s="502"/>
      <c r="G6637" s="497"/>
      <c r="H6637" s="497"/>
      <c r="I6637" s="497"/>
      <c r="J6637" s="497"/>
      <c r="K6637" s="500"/>
      <c r="L6637" s="497"/>
      <c r="M6637"/>
      <c r="N6637" s="498"/>
      <c r="O6637" s="498"/>
      <c r="P6637" s="498"/>
      <c r="Q6637" s="498"/>
      <c r="R6637" s="498"/>
      <c r="T6637" s="498"/>
      <c r="U6637" s="498"/>
      <c r="V6637" s="498"/>
      <c r="W6637" s="498"/>
      <c r="X6637" s="498"/>
      <c r="Y6637" s="498"/>
      <c r="Z6637" s="498"/>
      <c r="AA6637" s="498"/>
      <c r="AB6637" s="498"/>
      <c r="AC6637" s="498"/>
      <c r="AD6637" s="498"/>
      <c r="AE6637" s="498"/>
      <c r="AF6637" s="498"/>
      <c r="AG6637" s="498"/>
      <c r="AH6637" s="498"/>
      <c r="AI6637" s="498"/>
      <c r="AK6637" s="498"/>
      <c r="AL6637" s="498"/>
      <c r="AM6637" s="498"/>
      <c r="AN6637" s="498"/>
      <c r="AO6637" s="498"/>
      <c r="AP6637" s="498"/>
      <c r="AQ6637" s="498"/>
      <c r="AR6637" s="498"/>
      <c r="AS6637" s="498"/>
      <c r="AT6637" s="498"/>
      <c r="AU6637" s="498"/>
      <c r="AV6637" s="498"/>
      <c r="AW6637" s="498"/>
      <c r="AX6637" s="498"/>
      <c r="AY6637" s="498"/>
      <c r="AZ6637" s="498"/>
      <c r="BA6637" s="498"/>
    </row>
    <row r="6638" spans="1:53" s="499" customFormat="1" x14ac:dyDescent="0.25">
      <c r="A6638" s="500"/>
      <c r="B6638" s="501"/>
      <c r="C6638" s="502"/>
      <c r="D6638" s="497"/>
      <c r="E6638" s="497"/>
      <c r="F6638" s="502"/>
      <c r="G6638" s="497"/>
      <c r="H6638" s="497"/>
      <c r="I6638" s="497"/>
      <c r="J6638" s="497"/>
      <c r="K6638" s="500"/>
      <c r="L6638" s="497"/>
      <c r="M6638"/>
      <c r="N6638" s="498"/>
      <c r="O6638" s="498"/>
      <c r="P6638" s="498"/>
      <c r="Q6638" s="498"/>
      <c r="R6638" s="498"/>
      <c r="T6638" s="498"/>
      <c r="U6638" s="498"/>
      <c r="V6638" s="498"/>
      <c r="W6638" s="498"/>
      <c r="X6638" s="498"/>
      <c r="Y6638" s="498"/>
      <c r="Z6638" s="498"/>
      <c r="AA6638" s="498"/>
      <c r="AB6638" s="498"/>
      <c r="AC6638" s="498"/>
      <c r="AD6638" s="498"/>
      <c r="AE6638" s="498"/>
      <c r="AF6638" s="498"/>
      <c r="AG6638" s="498"/>
      <c r="AH6638" s="498"/>
      <c r="AI6638" s="498"/>
      <c r="AK6638" s="498"/>
      <c r="AL6638" s="498"/>
      <c r="AM6638" s="498"/>
      <c r="AN6638" s="498"/>
      <c r="AO6638" s="498"/>
      <c r="AP6638" s="498"/>
      <c r="AQ6638" s="498"/>
      <c r="AR6638" s="498"/>
      <c r="AS6638" s="498"/>
      <c r="AT6638" s="498"/>
      <c r="AU6638" s="498"/>
      <c r="AV6638" s="498"/>
      <c r="AW6638" s="498"/>
      <c r="AX6638" s="498"/>
      <c r="AY6638" s="498"/>
      <c r="AZ6638" s="498"/>
      <c r="BA6638" s="498"/>
    </row>
    <row r="6639" spans="1:53" s="499" customFormat="1" x14ac:dyDescent="0.25">
      <c r="A6639" s="500"/>
      <c r="B6639" s="501"/>
      <c r="C6639" s="502"/>
      <c r="D6639" s="497"/>
      <c r="E6639" s="497"/>
      <c r="F6639" s="502"/>
      <c r="G6639" s="497"/>
      <c r="H6639" s="497"/>
      <c r="I6639" s="497"/>
      <c r="J6639" s="497"/>
      <c r="K6639" s="500"/>
      <c r="L6639" s="497"/>
      <c r="M6639"/>
      <c r="N6639" s="498"/>
      <c r="O6639" s="498"/>
      <c r="P6639" s="498"/>
      <c r="Q6639" s="498"/>
      <c r="R6639" s="498"/>
      <c r="T6639" s="498"/>
      <c r="U6639" s="498"/>
      <c r="V6639" s="498"/>
      <c r="W6639" s="498"/>
      <c r="X6639" s="498"/>
      <c r="Y6639" s="498"/>
      <c r="Z6639" s="498"/>
      <c r="AA6639" s="498"/>
      <c r="AB6639" s="498"/>
      <c r="AC6639" s="498"/>
      <c r="AD6639" s="498"/>
      <c r="AE6639" s="498"/>
      <c r="AF6639" s="498"/>
      <c r="AG6639" s="498"/>
      <c r="AH6639" s="498"/>
      <c r="AI6639" s="498"/>
      <c r="AK6639" s="498"/>
      <c r="AL6639" s="498"/>
      <c r="AM6639" s="498"/>
      <c r="AN6639" s="498"/>
      <c r="AO6639" s="498"/>
      <c r="AP6639" s="498"/>
      <c r="AQ6639" s="498"/>
      <c r="AR6639" s="498"/>
      <c r="AS6639" s="498"/>
      <c r="AT6639" s="498"/>
      <c r="AU6639" s="498"/>
      <c r="AV6639" s="498"/>
      <c r="AW6639" s="498"/>
      <c r="AX6639" s="498"/>
      <c r="AY6639" s="498"/>
      <c r="AZ6639" s="498"/>
      <c r="BA6639" s="498"/>
    </row>
    <row r="6640" spans="1:53" s="499" customFormat="1" x14ac:dyDescent="0.25">
      <c r="A6640" s="500"/>
      <c r="B6640" s="501"/>
      <c r="C6640" s="502"/>
      <c r="D6640" s="497"/>
      <c r="E6640" s="497"/>
      <c r="F6640" s="502"/>
      <c r="G6640" s="497"/>
      <c r="H6640" s="497"/>
      <c r="I6640" s="497"/>
      <c r="J6640" s="497"/>
      <c r="K6640" s="500"/>
      <c r="L6640" s="497"/>
      <c r="M6640"/>
      <c r="N6640" s="498"/>
      <c r="O6640" s="498"/>
      <c r="P6640" s="498"/>
      <c r="Q6640" s="498"/>
      <c r="R6640" s="498"/>
      <c r="T6640" s="498"/>
      <c r="U6640" s="498"/>
      <c r="V6640" s="498"/>
      <c r="W6640" s="498"/>
      <c r="X6640" s="498"/>
      <c r="Y6640" s="498"/>
      <c r="Z6640" s="498"/>
      <c r="AA6640" s="498"/>
      <c r="AB6640" s="498"/>
      <c r="AC6640" s="498"/>
      <c r="AD6640" s="498"/>
      <c r="AE6640" s="498"/>
      <c r="AF6640" s="498"/>
      <c r="AG6640" s="498"/>
      <c r="AH6640" s="498"/>
      <c r="AI6640" s="498"/>
      <c r="AK6640" s="498"/>
      <c r="AL6640" s="498"/>
      <c r="AM6640" s="498"/>
      <c r="AN6640" s="498"/>
      <c r="AO6640" s="498"/>
      <c r="AP6640" s="498"/>
      <c r="AQ6640" s="498"/>
      <c r="AR6640" s="498"/>
      <c r="AS6640" s="498"/>
      <c r="AT6640" s="498"/>
      <c r="AU6640" s="498"/>
      <c r="AV6640" s="498"/>
      <c r="AW6640" s="498"/>
      <c r="AX6640" s="498"/>
      <c r="AY6640" s="498"/>
      <c r="AZ6640" s="498"/>
      <c r="BA6640" s="498"/>
    </row>
    <row r="6641" spans="1:53" s="499" customFormat="1" x14ac:dyDescent="0.25">
      <c r="A6641" s="500"/>
      <c r="B6641" s="501"/>
      <c r="C6641" s="502"/>
      <c r="D6641" s="497"/>
      <c r="E6641" s="497"/>
      <c r="F6641" s="502"/>
      <c r="G6641" s="497"/>
      <c r="H6641" s="497"/>
      <c r="I6641" s="497"/>
      <c r="J6641" s="497"/>
      <c r="K6641" s="500"/>
      <c r="L6641" s="497"/>
      <c r="M6641"/>
      <c r="N6641" s="498"/>
      <c r="O6641" s="498"/>
      <c r="P6641" s="498"/>
      <c r="Q6641" s="498"/>
      <c r="R6641" s="498"/>
      <c r="T6641" s="498"/>
      <c r="U6641" s="498"/>
      <c r="V6641" s="498"/>
      <c r="W6641" s="498"/>
      <c r="X6641" s="498"/>
      <c r="Y6641" s="498"/>
      <c r="Z6641" s="498"/>
      <c r="AA6641" s="498"/>
      <c r="AB6641" s="498"/>
      <c r="AC6641" s="498"/>
      <c r="AD6641" s="498"/>
      <c r="AE6641" s="498"/>
      <c r="AF6641" s="498"/>
      <c r="AG6641" s="498"/>
      <c r="AH6641" s="498"/>
      <c r="AI6641" s="498"/>
      <c r="AK6641" s="498"/>
      <c r="AL6641" s="498"/>
      <c r="AM6641" s="498"/>
      <c r="AN6641" s="498"/>
      <c r="AO6641" s="498"/>
      <c r="AP6641" s="498"/>
      <c r="AQ6641" s="498"/>
      <c r="AR6641" s="498"/>
      <c r="AS6641" s="498"/>
      <c r="AT6641" s="498"/>
      <c r="AU6641" s="498"/>
      <c r="AV6641" s="498"/>
      <c r="AW6641" s="498"/>
      <c r="AX6641" s="498"/>
      <c r="AY6641" s="498"/>
      <c r="AZ6641" s="498"/>
      <c r="BA6641" s="498"/>
    </row>
    <row r="6642" spans="1:53" s="499" customFormat="1" x14ac:dyDescent="0.25">
      <c r="A6642" s="500"/>
      <c r="B6642" s="501"/>
      <c r="C6642" s="502"/>
      <c r="D6642" s="497"/>
      <c r="E6642" s="497"/>
      <c r="F6642" s="502"/>
      <c r="G6642" s="497"/>
      <c r="H6642" s="497"/>
      <c r="I6642" s="497"/>
      <c r="J6642" s="497"/>
      <c r="K6642" s="500"/>
      <c r="L6642" s="497"/>
      <c r="M6642"/>
      <c r="N6642" s="498"/>
      <c r="O6642" s="498"/>
      <c r="P6642" s="498"/>
      <c r="Q6642" s="498"/>
      <c r="R6642" s="498"/>
      <c r="T6642" s="498"/>
      <c r="U6642" s="498"/>
      <c r="V6642" s="498"/>
      <c r="W6642" s="498"/>
      <c r="X6642" s="498"/>
      <c r="Y6642" s="498"/>
      <c r="Z6642" s="498"/>
      <c r="AA6642" s="498"/>
      <c r="AB6642" s="498"/>
      <c r="AC6642" s="498"/>
      <c r="AD6642" s="498"/>
      <c r="AE6642" s="498"/>
      <c r="AF6642" s="498"/>
      <c r="AG6642" s="498"/>
      <c r="AH6642" s="498"/>
      <c r="AI6642" s="498"/>
      <c r="AK6642" s="498"/>
      <c r="AL6642" s="498"/>
      <c r="AM6642" s="498"/>
      <c r="AN6642" s="498"/>
      <c r="AO6642" s="498"/>
      <c r="AP6642" s="498"/>
      <c r="AQ6642" s="498"/>
      <c r="AR6642" s="498"/>
      <c r="AS6642" s="498"/>
      <c r="AT6642" s="498"/>
      <c r="AU6642" s="498"/>
      <c r="AV6642" s="498"/>
      <c r="AW6642" s="498"/>
      <c r="AX6642" s="498"/>
      <c r="AY6642" s="498"/>
      <c r="AZ6642" s="498"/>
      <c r="BA6642" s="498"/>
    </row>
    <row r="6643" spans="1:53" s="499" customFormat="1" x14ac:dyDescent="0.25">
      <c r="A6643" s="500"/>
      <c r="B6643" s="501"/>
      <c r="C6643" s="502"/>
      <c r="D6643" s="497"/>
      <c r="E6643" s="497"/>
      <c r="F6643" s="502"/>
      <c r="G6643" s="497"/>
      <c r="H6643" s="497"/>
      <c r="I6643" s="497"/>
      <c r="J6643" s="497"/>
      <c r="K6643" s="500"/>
      <c r="L6643" s="497"/>
      <c r="M6643"/>
      <c r="N6643" s="498"/>
      <c r="O6643" s="498"/>
      <c r="P6643" s="498"/>
      <c r="Q6643" s="498"/>
      <c r="R6643" s="498"/>
      <c r="T6643" s="498"/>
      <c r="U6643" s="498"/>
      <c r="V6643" s="498"/>
      <c r="W6643" s="498"/>
      <c r="X6643" s="498"/>
      <c r="Y6643" s="498"/>
      <c r="Z6643" s="498"/>
      <c r="AA6643" s="498"/>
      <c r="AB6643" s="498"/>
      <c r="AC6643" s="498"/>
      <c r="AD6643" s="498"/>
      <c r="AE6643" s="498"/>
      <c r="AF6643" s="498"/>
      <c r="AG6643" s="498"/>
      <c r="AH6643" s="498"/>
      <c r="AI6643" s="498"/>
      <c r="AK6643" s="498"/>
      <c r="AL6643" s="498"/>
      <c r="AM6643" s="498"/>
      <c r="AN6643" s="498"/>
      <c r="AO6643" s="498"/>
      <c r="AP6643" s="498"/>
      <c r="AQ6643" s="498"/>
      <c r="AR6643" s="498"/>
      <c r="AS6643" s="498"/>
      <c r="AT6643" s="498"/>
      <c r="AU6643" s="498"/>
      <c r="AV6643" s="498"/>
      <c r="AW6643" s="498"/>
      <c r="AX6643" s="498"/>
      <c r="AY6643" s="498"/>
      <c r="AZ6643" s="498"/>
      <c r="BA6643" s="498"/>
    </row>
    <row r="6644" spans="1:53" s="499" customFormat="1" x14ac:dyDescent="0.25">
      <c r="A6644" s="500"/>
      <c r="B6644" s="501"/>
      <c r="C6644" s="502"/>
      <c r="D6644" s="497"/>
      <c r="E6644" s="497"/>
      <c r="F6644" s="502"/>
      <c r="G6644" s="497"/>
      <c r="H6644" s="497"/>
      <c r="I6644" s="497"/>
      <c r="J6644" s="497"/>
      <c r="K6644" s="500"/>
      <c r="L6644" s="497"/>
      <c r="M6644"/>
      <c r="N6644" s="498"/>
      <c r="O6644" s="498"/>
      <c r="P6644" s="498"/>
      <c r="Q6644" s="498"/>
      <c r="R6644" s="498"/>
      <c r="T6644" s="498"/>
      <c r="U6644" s="498"/>
      <c r="V6644" s="498"/>
      <c r="W6644" s="498"/>
      <c r="X6644" s="498"/>
      <c r="Y6644" s="498"/>
      <c r="Z6644" s="498"/>
      <c r="AA6644" s="498"/>
      <c r="AB6644" s="498"/>
      <c r="AC6644" s="498"/>
      <c r="AD6644" s="498"/>
      <c r="AE6644" s="498"/>
      <c r="AF6644" s="498"/>
      <c r="AG6644" s="498"/>
      <c r="AH6644" s="498"/>
      <c r="AI6644" s="498"/>
      <c r="AK6644" s="498"/>
      <c r="AL6644" s="498"/>
      <c r="AM6644" s="498"/>
      <c r="AN6644" s="498"/>
      <c r="AO6644" s="498"/>
      <c r="AP6644" s="498"/>
      <c r="AQ6644" s="498"/>
      <c r="AR6644" s="498"/>
      <c r="AS6644" s="498"/>
      <c r="AT6644" s="498"/>
      <c r="AU6644" s="498"/>
      <c r="AV6644" s="498"/>
      <c r="AW6644" s="498"/>
      <c r="AX6644" s="498"/>
      <c r="AY6644" s="498"/>
      <c r="AZ6644" s="498"/>
      <c r="BA6644" s="498"/>
    </row>
    <row r="6645" spans="1:53" s="499" customFormat="1" x14ac:dyDescent="0.25">
      <c r="A6645" s="500"/>
      <c r="B6645" s="501"/>
      <c r="C6645" s="502"/>
      <c r="D6645" s="497"/>
      <c r="E6645" s="497"/>
      <c r="F6645" s="502"/>
      <c r="G6645" s="497"/>
      <c r="H6645" s="497"/>
      <c r="I6645" s="497"/>
      <c r="J6645" s="497"/>
      <c r="K6645" s="500"/>
      <c r="L6645" s="497"/>
      <c r="M6645"/>
      <c r="N6645" s="498"/>
      <c r="O6645" s="498"/>
      <c r="P6645" s="498"/>
      <c r="Q6645" s="498"/>
      <c r="R6645" s="498"/>
      <c r="T6645" s="498"/>
      <c r="U6645" s="498"/>
      <c r="V6645" s="498"/>
      <c r="W6645" s="498"/>
      <c r="X6645" s="498"/>
      <c r="Y6645" s="498"/>
      <c r="Z6645" s="498"/>
      <c r="AA6645" s="498"/>
      <c r="AB6645" s="498"/>
      <c r="AC6645" s="498"/>
      <c r="AD6645" s="498"/>
      <c r="AE6645" s="498"/>
      <c r="AF6645" s="498"/>
      <c r="AG6645" s="498"/>
      <c r="AH6645" s="498"/>
      <c r="AI6645" s="498"/>
      <c r="AK6645" s="498"/>
      <c r="AL6645" s="498"/>
      <c r="AM6645" s="498"/>
      <c r="AN6645" s="498"/>
      <c r="AO6645" s="498"/>
      <c r="AP6645" s="498"/>
      <c r="AQ6645" s="498"/>
      <c r="AR6645" s="498"/>
      <c r="AS6645" s="498"/>
      <c r="AT6645" s="498"/>
      <c r="AU6645" s="498"/>
      <c r="AV6645" s="498"/>
      <c r="AW6645" s="498"/>
      <c r="AX6645" s="498"/>
      <c r="AY6645" s="498"/>
      <c r="AZ6645" s="498"/>
      <c r="BA6645" s="498"/>
    </row>
    <row r="6646" spans="1:53" s="499" customFormat="1" x14ac:dyDescent="0.25">
      <c r="A6646" s="500"/>
      <c r="B6646" s="501"/>
      <c r="C6646" s="502"/>
      <c r="D6646" s="497"/>
      <c r="E6646" s="497"/>
      <c r="F6646" s="502"/>
      <c r="G6646" s="497"/>
      <c r="H6646" s="497"/>
      <c r="I6646" s="497"/>
      <c r="J6646" s="497"/>
      <c r="K6646" s="500"/>
      <c r="L6646" s="497"/>
      <c r="M6646"/>
      <c r="N6646" s="498"/>
      <c r="O6646" s="498"/>
      <c r="P6646" s="498"/>
      <c r="Q6646" s="498"/>
      <c r="R6646" s="498"/>
      <c r="T6646" s="498"/>
      <c r="U6646" s="498"/>
      <c r="V6646" s="498"/>
      <c r="W6646" s="498"/>
      <c r="X6646" s="498"/>
      <c r="Y6646" s="498"/>
      <c r="Z6646" s="498"/>
      <c r="AA6646" s="498"/>
      <c r="AB6646" s="498"/>
      <c r="AC6646" s="498"/>
      <c r="AD6646" s="498"/>
      <c r="AE6646" s="498"/>
      <c r="AF6646" s="498"/>
      <c r="AG6646" s="498"/>
      <c r="AH6646" s="498"/>
      <c r="AI6646" s="498"/>
      <c r="AK6646" s="498"/>
      <c r="AL6646" s="498"/>
      <c r="AM6646" s="498"/>
      <c r="AN6646" s="498"/>
      <c r="AO6646" s="498"/>
      <c r="AP6646" s="498"/>
      <c r="AQ6646" s="498"/>
      <c r="AR6646" s="498"/>
      <c r="AS6646" s="498"/>
      <c r="AT6646" s="498"/>
      <c r="AU6646" s="498"/>
      <c r="AV6646" s="498"/>
      <c r="AW6646" s="498"/>
      <c r="AX6646" s="498"/>
      <c r="AY6646" s="498"/>
      <c r="AZ6646" s="498"/>
      <c r="BA6646" s="498"/>
    </row>
    <row r="6647" spans="1:53" s="499" customFormat="1" x14ac:dyDescent="0.25">
      <c r="A6647" s="500"/>
      <c r="B6647" s="501"/>
      <c r="C6647" s="502"/>
      <c r="D6647" s="497"/>
      <c r="E6647" s="497"/>
      <c r="F6647" s="502"/>
      <c r="G6647" s="497"/>
      <c r="H6647" s="497"/>
      <c r="I6647" s="497"/>
      <c r="J6647" s="497"/>
      <c r="K6647" s="500"/>
      <c r="L6647" s="497"/>
      <c r="M6647"/>
      <c r="N6647" s="498"/>
      <c r="O6647" s="498"/>
      <c r="P6647" s="498"/>
      <c r="Q6647" s="498"/>
      <c r="R6647" s="498"/>
      <c r="T6647" s="498"/>
      <c r="U6647" s="498"/>
      <c r="V6647" s="498"/>
      <c r="W6647" s="498"/>
      <c r="X6647" s="498"/>
      <c r="Y6647" s="498"/>
      <c r="Z6647" s="498"/>
      <c r="AA6647" s="498"/>
      <c r="AB6647" s="498"/>
      <c r="AC6647" s="498"/>
      <c r="AD6647" s="498"/>
      <c r="AE6647" s="498"/>
      <c r="AF6647" s="498"/>
      <c r="AG6647" s="498"/>
      <c r="AH6647" s="498"/>
      <c r="AI6647" s="498"/>
      <c r="AK6647" s="498"/>
      <c r="AL6647" s="498"/>
      <c r="AM6647" s="498"/>
      <c r="AN6647" s="498"/>
      <c r="AO6647" s="498"/>
      <c r="AP6647" s="498"/>
      <c r="AQ6647" s="498"/>
      <c r="AR6647" s="498"/>
      <c r="AS6647" s="498"/>
      <c r="AT6647" s="498"/>
      <c r="AU6647" s="498"/>
      <c r="AV6647" s="498"/>
      <c r="AW6647" s="498"/>
      <c r="AX6647" s="498"/>
      <c r="AY6647" s="498"/>
      <c r="AZ6647" s="498"/>
      <c r="BA6647" s="498"/>
    </row>
    <row r="6648" spans="1:53" s="499" customFormat="1" x14ac:dyDescent="0.25">
      <c r="A6648" s="500"/>
      <c r="B6648" s="501"/>
      <c r="C6648" s="502"/>
      <c r="D6648" s="497"/>
      <c r="E6648" s="497"/>
      <c r="F6648" s="502"/>
      <c r="G6648" s="497"/>
      <c r="H6648" s="497"/>
      <c r="I6648" s="497"/>
      <c r="J6648" s="497"/>
      <c r="K6648" s="500"/>
      <c r="L6648" s="497"/>
      <c r="M6648"/>
      <c r="N6648" s="498"/>
      <c r="O6648" s="498"/>
      <c r="P6648" s="498"/>
      <c r="Q6648" s="498"/>
      <c r="R6648" s="498"/>
      <c r="T6648" s="498"/>
      <c r="U6648" s="498"/>
      <c r="V6648" s="498"/>
      <c r="W6648" s="498"/>
      <c r="X6648" s="498"/>
      <c r="Y6648" s="498"/>
      <c r="Z6648" s="498"/>
      <c r="AA6648" s="498"/>
      <c r="AB6648" s="498"/>
      <c r="AC6648" s="498"/>
      <c r="AD6648" s="498"/>
      <c r="AE6648" s="498"/>
      <c r="AF6648" s="498"/>
      <c r="AG6648" s="498"/>
      <c r="AH6648" s="498"/>
      <c r="AI6648" s="498"/>
      <c r="AK6648" s="498"/>
      <c r="AL6648" s="498"/>
      <c r="AM6648" s="498"/>
      <c r="AN6648" s="498"/>
      <c r="AO6648" s="498"/>
      <c r="AP6648" s="498"/>
      <c r="AQ6648" s="498"/>
      <c r="AR6648" s="498"/>
      <c r="AS6648" s="498"/>
      <c r="AT6648" s="498"/>
      <c r="AU6648" s="498"/>
      <c r="AV6648" s="498"/>
      <c r="AW6648" s="498"/>
      <c r="AX6648" s="498"/>
      <c r="AY6648" s="498"/>
      <c r="AZ6648" s="498"/>
      <c r="BA6648" s="498"/>
    </row>
    <row r="6649" spans="1:53" s="499" customFormat="1" x14ac:dyDescent="0.25">
      <c r="A6649" s="500"/>
      <c r="B6649" s="501"/>
      <c r="C6649" s="502"/>
      <c r="D6649" s="497"/>
      <c r="E6649" s="497"/>
      <c r="F6649" s="502"/>
      <c r="G6649" s="497"/>
      <c r="H6649" s="497"/>
      <c r="I6649" s="497"/>
      <c r="J6649" s="497"/>
      <c r="K6649" s="500"/>
      <c r="L6649" s="497"/>
      <c r="M6649"/>
      <c r="N6649" s="498"/>
      <c r="O6649" s="498"/>
      <c r="P6649" s="498"/>
      <c r="Q6649" s="498"/>
      <c r="R6649" s="498"/>
      <c r="T6649" s="498"/>
      <c r="U6649" s="498"/>
      <c r="V6649" s="498"/>
      <c r="W6649" s="498"/>
      <c r="X6649" s="498"/>
      <c r="Y6649" s="498"/>
      <c r="Z6649" s="498"/>
      <c r="AA6649" s="498"/>
      <c r="AB6649" s="498"/>
      <c r="AC6649" s="498"/>
      <c r="AD6649" s="498"/>
      <c r="AE6649" s="498"/>
      <c r="AF6649" s="498"/>
      <c r="AG6649" s="498"/>
      <c r="AH6649" s="498"/>
      <c r="AI6649" s="498"/>
      <c r="AK6649" s="498"/>
      <c r="AL6649" s="498"/>
      <c r="AM6649" s="498"/>
      <c r="AN6649" s="498"/>
      <c r="AO6649" s="498"/>
      <c r="AP6649" s="498"/>
      <c r="AQ6649" s="498"/>
      <c r="AR6649" s="498"/>
      <c r="AS6649" s="498"/>
      <c r="AT6649" s="498"/>
      <c r="AU6649" s="498"/>
      <c r="AV6649" s="498"/>
      <c r="AW6649" s="498"/>
      <c r="AX6649" s="498"/>
      <c r="AY6649" s="498"/>
      <c r="AZ6649" s="498"/>
      <c r="BA6649" s="498"/>
    </row>
    <row r="6650" spans="1:53" s="499" customFormat="1" x14ac:dyDescent="0.25">
      <c r="A6650" s="500"/>
      <c r="B6650" s="501"/>
      <c r="C6650" s="502"/>
      <c r="D6650" s="497"/>
      <c r="E6650" s="497"/>
      <c r="F6650" s="502"/>
      <c r="G6650" s="497"/>
      <c r="H6650" s="497"/>
      <c r="I6650" s="497"/>
      <c r="J6650" s="497"/>
      <c r="K6650" s="500"/>
      <c r="L6650" s="497"/>
      <c r="M6650"/>
      <c r="N6650" s="498"/>
      <c r="O6650" s="498"/>
      <c r="P6650" s="498"/>
      <c r="Q6650" s="498"/>
      <c r="R6650" s="498"/>
      <c r="T6650" s="498"/>
      <c r="U6650" s="498"/>
      <c r="V6650" s="498"/>
      <c r="W6650" s="498"/>
      <c r="X6650" s="498"/>
      <c r="Y6650" s="498"/>
      <c r="Z6650" s="498"/>
      <c r="AA6650" s="498"/>
      <c r="AB6650" s="498"/>
      <c r="AC6650" s="498"/>
      <c r="AD6650" s="498"/>
      <c r="AE6650" s="498"/>
      <c r="AF6650" s="498"/>
      <c r="AG6650" s="498"/>
      <c r="AH6650" s="498"/>
      <c r="AI6650" s="498"/>
      <c r="AK6650" s="498"/>
      <c r="AL6650" s="498"/>
      <c r="AM6650" s="498"/>
      <c r="AN6650" s="498"/>
      <c r="AO6650" s="498"/>
      <c r="AP6650" s="498"/>
      <c r="AQ6650" s="498"/>
      <c r="AR6650" s="498"/>
      <c r="AS6650" s="498"/>
      <c r="AT6650" s="498"/>
      <c r="AU6650" s="498"/>
      <c r="AV6650" s="498"/>
      <c r="AW6650" s="498"/>
      <c r="AX6650" s="498"/>
      <c r="AY6650" s="498"/>
      <c r="AZ6650" s="498"/>
      <c r="BA6650" s="498"/>
    </row>
    <row r="6651" spans="1:53" s="499" customFormat="1" x14ac:dyDescent="0.25">
      <c r="A6651" s="500"/>
      <c r="B6651" s="501"/>
      <c r="C6651" s="502"/>
      <c r="D6651" s="497"/>
      <c r="E6651" s="497"/>
      <c r="F6651" s="502"/>
      <c r="G6651" s="497"/>
      <c r="H6651" s="497"/>
      <c r="I6651" s="497"/>
      <c r="J6651" s="497"/>
      <c r="K6651" s="500"/>
      <c r="L6651" s="497"/>
      <c r="M6651"/>
      <c r="N6651" s="498"/>
      <c r="O6651" s="498"/>
      <c r="P6651" s="498"/>
      <c r="Q6651" s="498"/>
      <c r="R6651" s="498"/>
      <c r="T6651" s="498"/>
      <c r="U6651" s="498"/>
      <c r="V6651" s="498"/>
      <c r="W6651" s="498"/>
      <c r="X6651" s="498"/>
      <c r="Y6651" s="498"/>
      <c r="Z6651" s="498"/>
      <c r="AA6651" s="498"/>
      <c r="AB6651" s="498"/>
      <c r="AC6651" s="498"/>
      <c r="AD6651" s="498"/>
      <c r="AE6651" s="498"/>
      <c r="AF6651" s="498"/>
      <c r="AG6651" s="498"/>
      <c r="AH6651" s="498"/>
      <c r="AI6651" s="498"/>
      <c r="AK6651" s="498"/>
      <c r="AL6651" s="498"/>
      <c r="AM6651" s="498"/>
      <c r="AN6651" s="498"/>
      <c r="AO6651" s="498"/>
      <c r="AP6651" s="498"/>
      <c r="AQ6651" s="498"/>
      <c r="AR6651" s="498"/>
      <c r="AS6651" s="498"/>
      <c r="AT6651" s="498"/>
      <c r="AU6651" s="498"/>
      <c r="AV6651" s="498"/>
      <c r="AW6651" s="498"/>
      <c r="AX6651" s="498"/>
      <c r="AY6651" s="498"/>
      <c r="AZ6651" s="498"/>
      <c r="BA6651" s="498"/>
    </row>
    <row r="6652" spans="1:53" s="499" customFormat="1" x14ac:dyDescent="0.25">
      <c r="A6652" s="500"/>
      <c r="B6652" s="501"/>
      <c r="C6652" s="502"/>
      <c r="D6652" s="497"/>
      <c r="E6652" s="497"/>
      <c r="F6652" s="502"/>
      <c r="G6652" s="497"/>
      <c r="H6652" s="497"/>
      <c r="I6652" s="497"/>
      <c r="J6652" s="497"/>
      <c r="K6652" s="500"/>
      <c r="L6652" s="497"/>
      <c r="M6652"/>
      <c r="N6652" s="498"/>
      <c r="O6652" s="498"/>
      <c r="P6652" s="498"/>
      <c r="Q6652" s="498"/>
      <c r="R6652" s="498"/>
      <c r="T6652" s="498"/>
      <c r="U6652" s="498"/>
      <c r="V6652" s="498"/>
      <c r="W6652" s="498"/>
      <c r="X6652" s="498"/>
      <c r="Y6652" s="498"/>
      <c r="Z6652" s="498"/>
      <c r="AA6652" s="498"/>
      <c r="AB6652" s="498"/>
      <c r="AC6652" s="498"/>
      <c r="AD6652" s="498"/>
      <c r="AE6652" s="498"/>
      <c r="AF6652" s="498"/>
      <c r="AG6652" s="498"/>
      <c r="AH6652" s="498"/>
      <c r="AI6652" s="498"/>
      <c r="AK6652" s="498"/>
      <c r="AL6652" s="498"/>
      <c r="AM6652" s="498"/>
      <c r="AN6652" s="498"/>
      <c r="AO6652" s="498"/>
      <c r="AP6652" s="498"/>
      <c r="AQ6652" s="498"/>
      <c r="AR6652" s="498"/>
      <c r="AS6652" s="498"/>
      <c r="AT6652" s="498"/>
      <c r="AU6652" s="498"/>
      <c r="AV6652" s="498"/>
      <c r="AW6652" s="498"/>
      <c r="AX6652" s="498"/>
      <c r="AY6652" s="498"/>
      <c r="AZ6652" s="498"/>
      <c r="BA6652" s="498"/>
    </row>
    <row r="6653" spans="1:53" s="499" customFormat="1" x14ac:dyDescent="0.25">
      <c r="A6653" s="500"/>
      <c r="B6653" s="501"/>
      <c r="C6653" s="502"/>
      <c r="D6653" s="497"/>
      <c r="E6653" s="497"/>
      <c r="F6653" s="502"/>
      <c r="G6653" s="497"/>
      <c r="H6653" s="497"/>
      <c r="I6653" s="497"/>
      <c r="J6653" s="497"/>
      <c r="K6653" s="500"/>
      <c r="L6653" s="497"/>
      <c r="M6653"/>
      <c r="N6653" s="498"/>
      <c r="O6653" s="498"/>
      <c r="P6653" s="498"/>
      <c r="Q6653" s="498"/>
      <c r="R6653" s="498"/>
      <c r="T6653" s="498"/>
      <c r="U6653" s="498"/>
      <c r="V6653" s="498"/>
      <c r="W6653" s="498"/>
      <c r="X6653" s="498"/>
      <c r="Y6653" s="498"/>
      <c r="Z6653" s="498"/>
      <c r="AA6653" s="498"/>
      <c r="AB6653" s="498"/>
      <c r="AC6653" s="498"/>
      <c r="AD6653" s="498"/>
      <c r="AE6653" s="498"/>
      <c r="AF6653" s="498"/>
      <c r="AG6653" s="498"/>
      <c r="AH6653" s="498"/>
      <c r="AI6653" s="498"/>
      <c r="AK6653" s="498"/>
      <c r="AL6653" s="498"/>
      <c r="AM6653" s="498"/>
      <c r="AN6653" s="498"/>
      <c r="AO6653" s="498"/>
      <c r="AP6653" s="498"/>
      <c r="AQ6653" s="498"/>
      <c r="AR6653" s="498"/>
      <c r="AS6653" s="498"/>
      <c r="AT6653" s="498"/>
      <c r="AU6653" s="498"/>
      <c r="AV6653" s="498"/>
      <c r="AW6653" s="498"/>
      <c r="AX6653" s="498"/>
      <c r="AY6653" s="498"/>
      <c r="AZ6653" s="498"/>
      <c r="BA6653" s="498"/>
    </row>
    <row r="6654" spans="1:53" s="499" customFormat="1" x14ac:dyDescent="0.25">
      <c r="A6654" s="500"/>
      <c r="B6654" s="501"/>
      <c r="C6654" s="502"/>
      <c r="D6654" s="497"/>
      <c r="E6654" s="497"/>
      <c r="F6654" s="502"/>
      <c r="G6654" s="497"/>
      <c r="H6654" s="497"/>
      <c r="I6654" s="497"/>
      <c r="J6654" s="497"/>
      <c r="K6654" s="500"/>
      <c r="L6654" s="497"/>
      <c r="M6654"/>
      <c r="N6654" s="498"/>
      <c r="O6654" s="498"/>
      <c r="P6654" s="498"/>
      <c r="Q6654" s="498"/>
      <c r="R6654" s="498"/>
      <c r="T6654" s="498"/>
      <c r="U6654" s="498"/>
      <c r="V6654" s="498"/>
      <c r="W6654" s="498"/>
      <c r="X6654" s="498"/>
      <c r="Y6654" s="498"/>
      <c r="Z6654" s="498"/>
      <c r="AA6654" s="498"/>
      <c r="AB6654" s="498"/>
      <c r="AC6654" s="498"/>
      <c r="AD6654" s="498"/>
      <c r="AE6654" s="498"/>
      <c r="AF6654" s="498"/>
      <c r="AG6654" s="498"/>
      <c r="AH6654" s="498"/>
      <c r="AI6654" s="498"/>
      <c r="AK6654" s="498"/>
      <c r="AL6654" s="498"/>
      <c r="AM6654" s="498"/>
      <c r="AN6654" s="498"/>
      <c r="AO6654" s="498"/>
      <c r="AP6654" s="498"/>
      <c r="AQ6654" s="498"/>
      <c r="AR6654" s="498"/>
      <c r="AS6654" s="498"/>
      <c r="AT6654" s="498"/>
      <c r="AU6654" s="498"/>
      <c r="AV6654" s="498"/>
      <c r="AW6654" s="498"/>
      <c r="AX6654" s="498"/>
      <c r="AY6654" s="498"/>
      <c r="AZ6654" s="498"/>
      <c r="BA6654" s="498"/>
    </row>
    <row r="6655" spans="1:53" s="499" customFormat="1" x14ac:dyDescent="0.25">
      <c r="A6655" s="500"/>
      <c r="B6655" s="501"/>
      <c r="C6655" s="502"/>
      <c r="D6655" s="497"/>
      <c r="E6655" s="497"/>
      <c r="F6655" s="502"/>
      <c r="G6655" s="497"/>
      <c r="H6655" s="497"/>
      <c r="I6655" s="497"/>
      <c r="J6655" s="497"/>
      <c r="K6655" s="500"/>
      <c r="L6655" s="497"/>
      <c r="M6655"/>
      <c r="N6655" s="498"/>
      <c r="O6655" s="498"/>
      <c r="P6655" s="498"/>
      <c r="Q6655" s="498"/>
      <c r="R6655" s="498"/>
      <c r="T6655" s="498"/>
      <c r="U6655" s="498"/>
      <c r="V6655" s="498"/>
      <c r="W6655" s="498"/>
      <c r="X6655" s="498"/>
      <c r="Y6655" s="498"/>
      <c r="Z6655" s="498"/>
      <c r="AA6655" s="498"/>
      <c r="AB6655" s="498"/>
      <c r="AC6655" s="498"/>
      <c r="AD6655" s="498"/>
      <c r="AE6655" s="498"/>
      <c r="AF6655" s="498"/>
      <c r="AG6655" s="498"/>
      <c r="AH6655" s="498"/>
      <c r="AI6655" s="498"/>
      <c r="AK6655" s="498"/>
      <c r="AL6655" s="498"/>
      <c r="AM6655" s="498"/>
      <c r="AN6655" s="498"/>
      <c r="AO6655" s="498"/>
      <c r="AP6655" s="498"/>
      <c r="AQ6655" s="498"/>
      <c r="AR6655" s="498"/>
      <c r="AS6655" s="498"/>
      <c r="AT6655" s="498"/>
      <c r="AU6655" s="498"/>
      <c r="AV6655" s="498"/>
      <c r="AW6655" s="498"/>
      <c r="AX6655" s="498"/>
      <c r="AY6655" s="498"/>
      <c r="AZ6655" s="498"/>
      <c r="BA6655" s="498"/>
    </row>
    <row r="6656" spans="1:53" s="499" customFormat="1" x14ac:dyDescent="0.25">
      <c r="A6656" s="500"/>
      <c r="B6656" s="501"/>
      <c r="C6656" s="502"/>
      <c r="D6656" s="497"/>
      <c r="E6656" s="497"/>
      <c r="F6656" s="502"/>
      <c r="G6656" s="497"/>
      <c r="H6656" s="497"/>
      <c r="I6656" s="497"/>
      <c r="J6656" s="497"/>
      <c r="K6656" s="500"/>
      <c r="L6656" s="497"/>
      <c r="M6656"/>
      <c r="N6656" s="498"/>
      <c r="O6656" s="498"/>
      <c r="P6656" s="498"/>
      <c r="Q6656" s="498"/>
      <c r="R6656" s="498"/>
      <c r="T6656" s="498"/>
      <c r="U6656" s="498"/>
      <c r="V6656" s="498"/>
      <c r="W6656" s="498"/>
      <c r="X6656" s="498"/>
      <c r="Y6656" s="498"/>
      <c r="Z6656" s="498"/>
      <c r="AA6656" s="498"/>
      <c r="AB6656" s="498"/>
      <c r="AC6656" s="498"/>
      <c r="AD6656" s="498"/>
      <c r="AE6656" s="498"/>
      <c r="AF6656" s="498"/>
      <c r="AG6656" s="498"/>
      <c r="AH6656" s="498"/>
      <c r="AI6656" s="498"/>
      <c r="AK6656" s="498"/>
      <c r="AL6656" s="498"/>
      <c r="AM6656" s="498"/>
      <c r="AN6656" s="498"/>
      <c r="AO6656" s="498"/>
      <c r="AP6656" s="498"/>
      <c r="AQ6656" s="498"/>
      <c r="AR6656" s="498"/>
      <c r="AS6656" s="498"/>
      <c r="AT6656" s="498"/>
      <c r="AU6656" s="498"/>
      <c r="AV6656" s="498"/>
      <c r="AW6656" s="498"/>
      <c r="AX6656" s="498"/>
      <c r="AY6656" s="498"/>
      <c r="AZ6656" s="498"/>
      <c r="BA6656" s="498"/>
    </row>
    <row r="6657" spans="1:53" s="499" customFormat="1" x14ac:dyDescent="0.25">
      <c r="A6657" s="500"/>
      <c r="B6657" s="501"/>
      <c r="C6657" s="502"/>
      <c r="D6657" s="497"/>
      <c r="E6657" s="497"/>
      <c r="F6657" s="502"/>
      <c r="G6657" s="497"/>
      <c r="H6657" s="497"/>
      <c r="I6657" s="497"/>
      <c r="J6657" s="497"/>
      <c r="K6657" s="500"/>
      <c r="L6657" s="497"/>
      <c r="M6657"/>
      <c r="N6657" s="498"/>
      <c r="O6657" s="498"/>
      <c r="P6657" s="498"/>
      <c r="Q6657" s="498"/>
      <c r="R6657" s="498"/>
      <c r="T6657" s="498"/>
      <c r="U6657" s="498"/>
      <c r="V6657" s="498"/>
      <c r="W6657" s="498"/>
      <c r="X6657" s="498"/>
      <c r="Y6657" s="498"/>
      <c r="Z6657" s="498"/>
      <c r="AA6657" s="498"/>
      <c r="AB6657" s="498"/>
      <c r="AC6657" s="498"/>
      <c r="AD6657" s="498"/>
      <c r="AE6657" s="498"/>
      <c r="AF6657" s="498"/>
      <c r="AG6657" s="498"/>
      <c r="AH6657" s="498"/>
      <c r="AI6657" s="498"/>
      <c r="AK6657" s="498"/>
      <c r="AL6657" s="498"/>
      <c r="AM6657" s="498"/>
      <c r="AN6657" s="498"/>
      <c r="AO6657" s="498"/>
      <c r="AP6657" s="498"/>
      <c r="AQ6657" s="498"/>
      <c r="AR6657" s="498"/>
      <c r="AS6657" s="498"/>
      <c r="AT6657" s="498"/>
      <c r="AU6657" s="498"/>
      <c r="AV6657" s="498"/>
      <c r="AW6657" s="498"/>
      <c r="AX6657" s="498"/>
      <c r="AY6657" s="498"/>
      <c r="AZ6657" s="498"/>
      <c r="BA6657" s="498"/>
    </row>
    <row r="6658" spans="1:53" s="499" customFormat="1" x14ac:dyDescent="0.25">
      <c r="A6658" s="500"/>
      <c r="B6658" s="501"/>
      <c r="C6658" s="502"/>
      <c r="D6658" s="497"/>
      <c r="E6658" s="497"/>
      <c r="F6658" s="502"/>
      <c r="G6658" s="497"/>
      <c r="H6658" s="497"/>
      <c r="I6658" s="497"/>
      <c r="J6658" s="497"/>
      <c r="K6658" s="500"/>
      <c r="L6658" s="497"/>
      <c r="M6658"/>
      <c r="N6658" s="498"/>
      <c r="O6658" s="498"/>
      <c r="P6658" s="498"/>
      <c r="Q6658" s="498"/>
      <c r="R6658" s="498"/>
      <c r="T6658" s="498"/>
      <c r="U6658" s="498"/>
      <c r="V6658" s="498"/>
      <c r="W6658" s="498"/>
      <c r="X6658" s="498"/>
      <c r="Y6658" s="498"/>
      <c r="Z6658" s="498"/>
      <c r="AA6658" s="498"/>
      <c r="AB6658" s="498"/>
      <c r="AC6658" s="498"/>
      <c r="AD6658" s="498"/>
      <c r="AE6658" s="498"/>
      <c r="AF6658" s="498"/>
      <c r="AG6658" s="498"/>
      <c r="AH6658" s="498"/>
      <c r="AI6658" s="498"/>
      <c r="AK6658" s="498"/>
      <c r="AL6658" s="498"/>
      <c r="AM6658" s="498"/>
      <c r="AN6658" s="498"/>
      <c r="AO6658" s="498"/>
      <c r="AP6658" s="498"/>
      <c r="AQ6658" s="498"/>
      <c r="AR6658" s="498"/>
      <c r="AS6658" s="498"/>
      <c r="AT6658" s="498"/>
      <c r="AU6658" s="498"/>
      <c r="AV6658" s="498"/>
      <c r="AW6658" s="498"/>
      <c r="AX6658" s="498"/>
      <c r="AY6658" s="498"/>
      <c r="AZ6658" s="498"/>
      <c r="BA6658" s="498"/>
    </row>
    <row r="6659" spans="1:53" s="499" customFormat="1" x14ac:dyDescent="0.25">
      <c r="A6659" s="500"/>
      <c r="B6659" s="501"/>
      <c r="C6659" s="502"/>
      <c r="D6659" s="497"/>
      <c r="E6659" s="497"/>
      <c r="F6659" s="502"/>
      <c r="G6659" s="497"/>
      <c r="H6659" s="497"/>
      <c r="I6659" s="497"/>
      <c r="J6659" s="497"/>
      <c r="K6659" s="500"/>
      <c r="L6659" s="497"/>
      <c r="M6659"/>
      <c r="N6659" s="498"/>
      <c r="O6659" s="498"/>
      <c r="P6659" s="498"/>
      <c r="Q6659" s="498"/>
      <c r="R6659" s="498"/>
      <c r="T6659" s="498"/>
      <c r="U6659" s="498"/>
      <c r="V6659" s="498"/>
      <c r="W6659" s="498"/>
      <c r="X6659" s="498"/>
      <c r="Y6659" s="498"/>
      <c r="Z6659" s="498"/>
      <c r="AA6659" s="498"/>
      <c r="AB6659" s="498"/>
      <c r="AC6659" s="498"/>
      <c r="AD6659" s="498"/>
      <c r="AE6659" s="498"/>
      <c r="AF6659" s="498"/>
      <c r="AG6659" s="498"/>
      <c r="AH6659" s="498"/>
      <c r="AI6659" s="498"/>
      <c r="AK6659" s="498"/>
      <c r="AL6659" s="498"/>
      <c r="AM6659" s="498"/>
      <c r="AN6659" s="498"/>
      <c r="AO6659" s="498"/>
      <c r="AP6659" s="498"/>
      <c r="AQ6659" s="498"/>
      <c r="AR6659" s="498"/>
      <c r="AS6659" s="498"/>
      <c r="AT6659" s="498"/>
      <c r="AU6659" s="498"/>
      <c r="AV6659" s="498"/>
      <c r="AW6659" s="498"/>
      <c r="AX6659" s="498"/>
      <c r="AY6659" s="498"/>
      <c r="AZ6659" s="498"/>
      <c r="BA6659" s="498"/>
    </row>
    <row r="6660" spans="1:53" s="499" customFormat="1" x14ac:dyDescent="0.25">
      <c r="A6660" s="500"/>
      <c r="B6660" s="501"/>
      <c r="C6660" s="502"/>
      <c r="D6660" s="497"/>
      <c r="E6660" s="497"/>
      <c r="F6660" s="502"/>
      <c r="G6660" s="497"/>
      <c r="H6660" s="497"/>
      <c r="I6660" s="497"/>
      <c r="J6660" s="497"/>
      <c r="K6660" s="500"/>
      <c r="L6660" s="497"/>
      <c r="M6660"/>
      <c r="N6660" s="498"/>
      <c r="O6660" s="498"/>
      <c r="P6660" s="498"/>
      <c r="Q6660" s="498"/>
      <c r="R6660" s="498"/>
      <c r="T6660" s="498"/>
      <c r="U6660" s="498"/>
      <c r="V6660" s="498"/>
      <c r="W6660" s="498"/>
      <c r="X6660" s="498"/>
      <c r="Y6660" s="498"/>
      <c r="Z6660" s="498"/>
      <c r="AA6660" s="498"/>
      <c r="AB6660" s="498"/>
      <c r="AC6660" s="498"/>
      <c r="AD6660" s="498"/>
      <c r="AE6660" s="498"/>
      <c r="AF6660" s="498"/>
      <c r="AG6660" s="498"/>
      <c r="AH6660" s="498"/>
      <c r="AI6660" s="498"/>
      <c r="AK6660" s="498"/>
      <c r="AL6660" s="498"/>
      <c r="AM6660" s="498"/>
      <c r="AN6660" s="498"/>
      <c r="AO6660" s="498"/>
      <c r="AP6660" s="498"/>
      <c r="AQ6660" s="498"/>
      <c r="AR6660" s="498"/>
      <c r="AS6660" s="498"/>
      <c r="AT6660" s="498"/>
      <c r="AU6660" s="498"/>
      <c r="AV6660" s="498"/>
      <c r="AW6660" s="498"/>
      <c r="AX6660" s="498"/>
      <c r="AY6660" s="498"/>
      <c r="AZ6660" s="498"/>
      <c r="BA6660" s="498"/>
    </row>
    <row r="6661" spans="1:53" s="499" customFormat="1" x14ac:dyDescent="0.25">
      <c r="A6661" s="500"/>
      <c r="B6661" s="501"/>
      <c r="C6661" s="502"/>
      <c r="D6661" s="497"/>
      <c r="E6661" s="497"/>
      <c r="F6661" s="502"/>
      <c r="G6661" s="497"/>
      <c r="H6661" s="497"/>
      <c r="I6661" s="497"/>
      <c r="J6661" s="497"/>
      <c r="K6661" s="500"/>
      <c r="L6661" s="497"/>
      <c r="M6661"/>
      <c r="N6661" s="498"/>
      <c r="O6661" s="498"/>
      <c r="P6661" s="498"/>
      <c r="Q6661" s="498"/>
      <c r="R6661" s="498"/>
      <c r="T6661" s="498"/>
      <c r="U6661" s="498"/>
      <c r="V6661" s="498"/>
      <c r="W6661" s="498"/>
      <c r="X6661" s="498"/>
      <c r="Y6661" s="498"/>
      <c r="Z6661" s="498"/>
      <c r="AA6661" s="498"/>
      <c r="AB6661" s="498"/>
      <c r="AC6661" s="498"/>
      <c r="AD6661" s="498"/>
      <c r="AE6661" s="498"/>
      <c r="AF6661" s="498"/>
      <c r="AG6661" s="498"/>
      <c r="AH6661" s="498"/>
      <c r="AI6661" s="498"/>
      <c r="AK6661" s="498"/>
      <c r="AL6661" s="498"/>
      <c r="AM6661" s="498"/>
      <c r="AN6661" s="498"/>
      <c r="AO6661" s="498"/>
      <c r="AP6661" s="498"/>
      <c r="AQ6661" s="498"/>
      <c r="AR6661" s="498"/>
      <c r="AS6661" s="498"/>
      <c r="AT6661" s="498"/>
      <c r="AU6661" s="498"/>
      <c r="AV6661" s="498"/>
      <c r="AW6661" s="498"/>
      <c r="AX6661" s="498"/>
      <c r="AY6661" s="498"/>
      <c r="AZ6661" s="498"/>
      <c r="BA6661" s="498"/>
    </row>
    <row r="6662" spans="1:53" s="499" customFormat="1" x14ac:dyDescent="0.25">
      <c r="A6662" s="500"/>
      <c r="B6662" s="501"/>
      <c r="C6662" s="502"/>
      <c r="D6662" s="497"/>
      <c r="E6662" s="497"/>
      <c r="F6662" s="502"/>
      <c r="G6662" s="497"/>
      <c r="H6662" s="497"/>
      <c r="I6662" s="497"/>
      <c r="J6662" s="497"/>
      <c r="K6662" s="500"/>
      <c r="L6662" s="497"/>
      <c r="M6662"/>
      <c r="N6662" s="498"/>
      <c r="O6662" s="498"/>
      <c r="P6662" s="498"/>
      <c r="Q6662" s="498"/>
      <c r="R6662" s="498"/>
      <c r="T6662" s="498"/>
      <c r="U6662" s="498"/>
      <c r="V6662" s="498"/>
      <c r="W6662" s="498"/>
      <c r="X6662" s="498"/>
      <c r="Y6662" s="498"/>
      <c r="Z6662" s="498"/>
      <c r="AA6662" s="498"/>
      <c r="AB6662" s="498"/>
      <c r="AC6662" s="498"/>
      <c r="AD6662" s="498"/>
      <c r="AE6662" s="498"/>
      <c r="AF6662" s="498"/>
      <c r="AG6662" s="498"/>
      <c r="AH6662" s="498"/>
      <c r="AI6662" s="498"/>
      <c r="AK6662" s="498"/>
      <c r="AL6662" s="498"/>
      <c r="AM6662" s="498"/>
      <c r="AN6662" s="498"/>
      <c r="AO6662" s="498"/>
      <c r="AP6662" s="498"/>
      <c r="AQ6662" s="498"/>
      <c r="AR6662" s="498"/>
      <c r="AS6662" s="498"/>
      <c r="AT6662" s="498"/>
      <c r="AU6662" s="498"/>
      <c r="AV6662" s="498"/>
      <c r="AW6662" s="498"/>
      <c r="AX6662" s="498"/>
      <c r="AY6662" s="498"/>
      <c r="AZ6662" s="498"/>
      <c r="BA6662" s="498"/>
    </row>
    <row r="6663" spans="1:53" s="499" customFormat="1" x14ac:dyDescent="0.25">
      <c r="A6663" s="500"/>
      <c r="B6663" s="501"/>
      <c r="C6663" s="502"/>
      <c r="D6663" s="497"/>
      <c r="E6663" s="497"/>
      <c r="F6663" s="502"/>
      <c r="G6663" s="497"/>
      <c r="H6663" s="497"/>
      <c r="I6663" s="497"/>
      <c r="J6663" s="497"/>
      <c r="K6663" s="500"/>
      <c r="L6663" s="497"/>
      <c r="M6663"/>
      <c r="N6663" s="498"/>
      <c r="O6663" s="498"/>
      <c r="P6663" s="498"/>
      <c r="Q6663" s="498"/>
      <c r="R6663" s="498"/>
      <c r="T6663" s="498"/>
      <c r="U6663" s="498"/>
      <c r="V6663" s="498"/>
      <c r="W6663" s="498"/>
      <c r="X6663" s="498"/>
      <c r="Y6663" s="498"/>
      <c r="Z6663" s="498"/>
      <c r="AA6663" s="498"/>
      <c r="AB6663" s="498"/>
      <c r="AC6663" s="498"/>
      <c r="AD6663" s="498"/>
      <c r="AE6663" s="498"/>
      <c r="AF6663" s="498"/>
      <c r="AG6663" s="498"/>
      <c r="AH6663" s="498"/>
      <c r="AI6663" s="498"/>
      <c r="AK6663" s="498"/>
      <c r="AL6663" s="498"/>
      <c r="AM6663" s="498"/>
      <c r="AN6663" s="498"/>
      <c r="AO6663" s="498"/>
      <c r="AP6663" s="498"/>
      <c r="AQ6663" s="498"/>
      <c r="AR6663" s="498"/>
      <c r="AS6663" s="498"/>
      <c r="AT6663" s="498"/>
      <c r="AU6663" s="498"/>
      <c r="AV6663" s="498"/>
      <c r="AW6663" s="498"/>
      <c r="AX6663" s="498"/>
      <c r="AY6663" s="498"/>
      <c r="AZ6663" s="498"/>
      <c r="BA6663" s="498"/>
    </row>
    <row r="6664" spans="1:53" s="499" customFormat="1" x14ac:dyDescent="0.25">
      <c r="A6664" s="500"/>
      <c r="B6664" s="501"/>
      <c r="C6664" s="502"/>
      <c r="D6664" s="497"/>
      <c r="E6664" s="497"/>
      <c r="F6664" s="502"/>
      <c r="G6664" s="497"/>
      <c r="H6664" s="497"/>
      <c r="I6664" s="497"/>
      <c r="J6664" s="497"/>
      <c r="K6664" s="500"/>
      <c r="L6664" s="497"/>
      <c r="M6664"/>
      <c r="N6664" s="498"/>
      <c r="O6664" s="498"/>
      <c r="P6664" s="498"/>
      <c r="Q6664" s="498"/>
      <c r="R6664" s="498"/>
      <c r="T6664" s="498"/>
      <c r="U6664" s="498"/>
      <c r="V6664" s="498"/>
      <c r="W6664" s="498"/>
      <c r="X6664" s="498"/>
      <c r="Y6664" s="498"/>
      <c r="Z6664" s="498"/>
      <c r="AA6664" s="498"/>
      <c r="AB6664" s="498"/>
      <c r="AC6664" s="498"/>
      <c r="AD6664" s="498"/>
      <c r="AE6664" s="498"/>
      <c r="AF6664" s="498"/>
      <c r="AG6664" s="498"/>
      <c r="AH6664" s="498"/>
      <c r="AI6664" s="498"/>
      <c r="AK6664" s="498"/>
      <c r="AL6664" s="498"/>
      <c r="AM6664" s="498"/>
      <c r="AN6664" s="498"/>
      <c r="AO6664" s="498"/>
      <c r="AP6664" s="498"/>
      <c r="AQ6664" s="498"/>
      <c r="AR6664" s="498"/>
      <c r="AS6664" s="498"/>
      <c r="AT6664" s="498"/>
      <c r="AU6664" s="498"/>
      <c r="AV6664" s="498"/>
      <c r="AW6664" s="498"/>
      <c r="AX6664" s="498"/>
      <c r="AY6664" s="498"/>
      <c r="AZ6664" s="498"/>
      <c r="BA6664" s="498"/>
    </row>
    <row r="6665" spans="1:53" s="499" customFormat="1" x14ac:dyDescent="0.25">
      <c r="A6665" s="500"/>
      <c r="B6665" s="501"/>
      <c r="C6665" s="502"/>
      <c r="D6665" s="497"/>
      <c r="E6665" s="497"/>
      <c r="F6665" s="502"/>
      <c r="G6665" s="497"/>
      <c r="H6665" s="497"/>
      <c r="I6665" s="497"/>
      <c r="J6665" s="497"/>
      <c r="K6665" s="500"/>
      <c r="L6665" s="497"/>
      <c r="M6665"/>
      <c r="N6665" s="498"/>
      <c r="O6665" s="498"/>
      <c r="P6665" s="498"/>
      <c r="Q6665" s="498"/>
      <c r="R6665" s="498"/>
      <c r="T6665" s="498"/>
      <c r="U6665" s="498"/>
      <c r="V6665" s="498"/>
      <c r="W6665" s="498"/>
      <c r="X6665" s="498"/>
      <c r="Y6665" s="498"/>
      <c r="Z6665" s="498"/>
      <c r="AA6665" s="498"/>
      <c r="AB6665" s="498"/>
      <c r="AC6665" s="498"/>
      <c r="AD6665" s="498"/>
      <c r="AE6665" s="498"/>
      <c r="AF6665" s="498"/>
      <c r="AG6665" s="498"/>
      <c r="AH6665" s="498"/>
      <c r="AI6665" s="498"/>
      <c r="AK6665" s="498"/>
      <c r="AL6665" s="498"/>
      <c r="AM6665" s="498"/>
      <c r="AN6665" s="498"/>
      <c r="AO6665" s="498"/>
      <c r="AP6665" s="498"/>
      <c r="AQ6665" s="498"/>
      <c r="AR6665" s="498"/>
      <c r="AS6665" s="498"/>
      <c r="AT6665" s="498"/>
      <c r="AU6665" s="498"/>
      <c r="AV6665" s="498"/>
      <c r="AW6665" s="498"/>
      <c r="AX6665" s="498"/>
      <c r="AY6665" s="498"/>
      <c r="AZ6665" s="498"/>
      <c r="BA6665" s="498"/>
    </row>
    <row r="6666" spans="1:53" s="499" customFormat="1" x14ac:dyDescent="0.25">
      <c r="A6666" s="500"/>
      <c r="B6666" s="501"/>
      <c r="C6666" s="502"/>
      <c r="D6666" s="497"/>
      <c r="E6666" s="497"/>
      <c r="F6666" s="502"/>
      <c r="G6666" s="497"/>
      <c r="H6666" s="497"/>
      <c r="I6666" s="497"/>
      <c r="J6666" s="497"/>
      <c r="K6666" s="500"/>
      <c r="L6666" s="497"/>
      <c r="M6666"/>
      <c r="N6666" s="498"/>
      <c r="O6666" s="498"/>
      <c r="P6666" s="498"/>
      <c r="Q6666" s="498"/>
      <c r="R6666" s="498"/>
      <c r="T6666" s="498"/>
      <c r="U6666" s="498"/>
      <c r="V6666" s="498"/>
      <c r="W6666" s="498"/>
      <c r="X6666" s="498"/>
      <c r="Y6666" s="498"/>
      <c r="Z6666" s="498"/>
      <c r="AA6666" s="498"/>
      <c r="AB6666" s="498"/>
      <c r="AC6666" s="498"/>
      <c r="AD6666" s="498"/>
      <c r="AE6666" s="498"/>
      <c r="AF6666" s="498"/>
      <c r="AG6666" s="498"/>
      <c r="AH6666" s="498"/>
      <c r="AI6666" s="498"/>
      <c r="AK6666" s="498"/>
      <c r="AL6666" s="498"/>
      <c r="AM6666" s="498"/>
      <c r="AN6666" s="498"/>
      <c r="AO6666" s="498"/>
      <c r="AP6666" s="498"/>
      <c r="AQ6666" s="498"/>
      <c r="AR6666" s="498"/>
      <c r="AS6666" s="498"/>
      <c r="AT6666" s="498"/>
      <c r="AU6666" s="498"/>
      <c r="AV6666" s="498"/>
      <c r="AW6666" s="498"/>
      <c r="AX6666" s="498"/>
      <c r="AY6666" s="498"/>
      <c r="AZ6666" s="498"/>
      <c r="BA6666" s="498"/>
    </row>
    <row r="6667" spans="1:53" s="499" customFormat="1" x14ac:dyDescent="0.25">
      <c r="A6667" s="500"/>
      <c r="B6667" s="501"/>
      <c r="C6667" s="502"/>
      <c r="D6667" s="497"/>
      <c r="E6667" s="497"/>
      <c r="F6667" s="502"/>
      <c r="G6667" s="497"/>
      <c r="H6667" s="497"/>
      <c r="I6667" s="497"/>
      <c r="J6667" s="497"/>
      <c r="K6667" s="500"/>
      <c r="L6667" s="497"/>
      <c r="M6667"/>
      <c r="N6667" s="498"/>
      <c r="O6667" s="498"/>
      <c r="P6667" s="498"/>
      <c r="Q6667" s="498"/>
      <c r="R6667" s="498"/>
      <c r="T6667" s="498"/>
      <c r="U6667" s="498"/>
      <c r="V6667" s="498"/>
      <c r="W6667" s="498"/>
      <c r="X6667" s="498"/>
      <c r="Y6667" s="498"/>
      <c r="Z6667" s="498"/>
      <c r="AA6667" s="498"/>
      <c r="AB6667" s="498"/>
      <c r="AC6667" s="498"/>
      <c r="AD6667" s="498"/>
      <c r="AE6667" s="498"/>
      <c r="AF6667" s="498"/>
      <c r="AG6667" s="498"/>
      <c r="AH6667" s="498"/>
      <c r="AI6667" s="498"/>
      <c r="AK6667" s="498"/>
      <c r="AL6667" s="498"/>
      <c r="AM6667" s="498"/>
      <c r="AN6667" s="498"/>
      <c r="AO6667" s="498"/>
      <c r="AP6667" s="498"/>
      <c r="AQ6667" s="498"/>
      <c r="AR6667" s="498"/>
      <c r="AS6667" s="498"/>
      <c r="AT6667" s="498"/>
      <c r="AU6667" s="498"/>
      <c r="AV6667" s="498"/>
      <c r="AW6667" s="498"/>
      <c r="AX6667" s="498"/>
      <c r="AY6667" s="498"/>
      <c r="AZ6667" s="498"/>
      <c r="BA6667" s="498"/>
    </row>
    <row r="6668" spans="1:53" s="499" customFormat="1" x14ac:dyDescent="0.25">
      <c r="A6668" s="500"/>
      <c r="B6668" s="501"/>
      <c r="C6668" s="502"/>
      <c r="D6668" s="497"/>
      <c r="E6668" s="497"/>
      <c r="F6668" s="502"/>
      <c r="G6668" s="497"/>
      <c r="H6668" s="497"/>
      <c r="I6668" s="497"/>
      <c r="J6668" s="497"/>
      <c r="K6668" s="500"/>
      <c r="L6668" s="497"/>
      <c r="M6668"/>
      <c r="N6668" s="498"/>
      <c r="O6668" s="498"/>
      <c r="P6668" s="498"/>
      <c r="Q6668" s="498"/>
      <c r="R6668" s="498"/>
      <c r="T6668" s="498"/>
      <c r="U6668" s="498"/>
      <c r="V6668" s="498"/>
      <c r="W6668" s="498"/>
      <c r="X6668" s="498"/>
      <c r="Y6668" s="498"/>
      <c r="Z6668" s="498"/>
      <c r="AA6668" s="498"/>
      <c r="AB6668" s="498"/>
      <c r="AC6668" s="498"/>
      <c r="AD6668" s="498"/>
      <c r="AE6668" s="498"/>
      <c r="AF6668" s="498"/>
      <c r="AG6668" s="498"/>
      <c r="AH6668" s="498"/>
      <c r="AI6668" s="498"/>
      <c r="AK6668" s="498"/>
      <c r="AL6668" s="498"/>
      <c r="AM6668" s="498"/>
      <c r="AN6668" s="498"/>
      <c r="AO6668" s="498"/>
      <c r="AP6668" s="498"/>
      <c r="AQ6668" s="498"/>
      <c r="AR6668" s="498"/>
      <c r="AS6668" s="498"/>
      <c r="AT6668" s="498"/>
      <c r="AU6668" s="498"/>
      <c r="AV6668" s="498"/>
      <c r="AW6668" s="498"/>
      <c r="AX6668" s="498"/>
      <c r="AY6668" s="498"/>
      <c r="AZ6668" s="498"/>
      <c r="BA6668" s="498"/>
    </row>
    <row r="6669" spans="1:53" s="499" customFormat="1" x14ac:dyDescent="0.25">
      <c r="A6669" s="500"/>
      <c r="B6669" s="501"/>
      <c r="C6669" s="502"/>
      <c r="D6669" s="497"/>
      <c r="E6669" s="497"/>
      <c r="F6669" s="502"/>
      <c r="G6669" s="497"/>
      <c r="H6669" s="497"/>
      <c r="I6669" s="497"/>
      <c r="J6669" s="497"/>
      <c r="K6669" s="500"/>
      <c r="L6669" s="497"/>
      <c r="M6669"/>
      <c r="N6669" s="498"/>
      <c r="O6669" s="498"/>
      <c r="P6669" s="498"/>
      <c r="Q6669" s="498"/>
      <c r="R6669" s="498"/>
      <c r="T6669" s="498"/>
      <c r="U6669" s="498"/>
      <c r="V6669" s="498"/>
      <c r="W6669" s="498"/>
      <c r="X6669" s="498"/>
      <c r="Y6669" s="498"/>
      <c r="Z6669" s="498"/>
      <c r="AA6669" s="498"/>
      <c r="AB6669" s="498"/>
      <c r="AC6669" s="498"/>
      <c r="AD6669" s="498"/>
      <c r="AE6669" s="498"/>
      <c r="AF6669" s="498"/>
      <c r="AG6669" s="498"/>
      <c r="AH6669" s="498"/>
      <c r="AI6669" s="498"/>
      <c r="AK6669" s="498"/>
      <c r="AL6669" s="498"/>
      <c r="AM6669" s="498"/>
      <c r="AN6669" s="498"/>
      <c r="AO6669" s="498"/>
      <c r="AP6669" s="498"/>
      <c r="AQ6669" s="498"/>
      <c r="AR6669" s="498"/>
      <c r="AS6669" s="498"/>
      <c r="AT6669" s="498"/>
      <c r="AU6669" s="498"/>
      <c r="AV6669" s="498"/>
      <c r="AW6669" s="498"/>
      <c r="AX6669" s="498"/>
      <c r="AY6669" s="498"/>
      <c r="AZ6669" s="498"/>
      <c r="BA6669" s="498"/>
    </row>
    <row r="6670" spans="1:53" s="499" customFormat="1" x14ac:dyDescent="0.25">
      <c r="A6670" s="500"/>
      <c r="B6670" s="501"/>
      <c r="C6670" s="502"/>
      <c r="D6670" s="497"/>
      <c r="E6670" s="497"/>
      <c r="F6670" s="502"/>
      <c r="G6670" s="497"/>
      <c r="H6670" s="497"/>
      <c r="I6670" s="497"/>
      <c r="J6670" s="497"/>
      <c r="K6670" s="500"/>
      <c r="L6670" s="497"/>
      <c r="M6670"/>
      <c r="N6670" s="498"/>
      <c r="O6670" s="498"/>
      <c r="P6670" s="498"/>
      <c r="Q6670" s="498"/>
      <c r="R6670" s="498"/>
      <c r="T6670" s="498"/>
      <c r="U6670" s="498"/>
      <c r="V6670" s="498"/>
      <c r="W6670" s="498"/>
      <c r="X6670" s="498"/>
      <c r="Y6670" s="498"/>
      <c r="Z6670" s="498"/>
      <c r="AA6670" s="498"/>
      <c r="AB6670" s="498"/>
      <c r="AC6670" s="498"/>
      <c r="AD6670" s="498"/>
      <c r="AE6670" s="498"/>
      <c r="AF6670" s="498"/>
      <c r="AG6670" s="498"/>
      <c r="AH6670" s="498"/>
      <c r="AI6670" s="498"/>
      <c r="AK6670" s="498"/>
      <c r="AL6670" s="498"/>
      <c r="AM6670" s="498"/>
      <c r="AN6670" s="498"/>
      <c r="AO6670" s="498"/>
      <c r="AP6670" s="498"/>
      <c r="AQ6670" s="498"/>
      <c r="AR6670" s="498"/>
      <c r="AS6670" s="498"/>
      <c r="AT6670" s="498"/>
      <c r="AU6670" s="498"/>
      <c r="AV6670" s="498"/>
      <c r="AW6670" s="498"/>
      <c r="AX6670" s="498"/>
      <c r="AY6670" s="498"/>
      <c r="AZ6670" s="498"/>
      <c r="BA6670" s="498"/>
    </row>
    <row r="6671" spans="1:53" s="499" customFormat="1" x14ac:dyDescent="0.25">
      <c r="A6671" s="500"/>
      <c r="B6671" s="501"/>
      <c r="C6671" s="502"/>
      <c r="D6671" s="497"/>
      <c r="E6671" s="497"/>
      <c r="F6671" s="502"/>
      <c r="G6671" s="497"/>
      <c r="H6671" s="497"/>
      <c r="I6671" s="497"/>
      <c r="J6671" s="497"/>
      <c r="K6671" s="500"/>
      <c r="L6671" s="497"/>
      <c r="M6671"/>
      <c r="N6671" s="498"/>
      <c r="O6671" s="498"/>
      <c r="P6671" s="498"/>
      <c r="Q6671" s="498"/>
      <c r="R6671" s="498"/>
      <c r="T6671" s="498"/>
      <c r="U6671" s="498"/>
      <c r="V6671" s="498"/>
      <c r="W6671" s="498"/>
      <c r="X6671" s="498"/>
      <c r="Y6671" s="498"/>
      <c r="Z6671" s="498"/>
      <c r="AA6671" s="498"/>
      <c r="AB6671" s="498"/>
      <c r="AC6671" s="498"/>
      <c r="AD6671" s="498"/>
      <c r="AE6671" s="498"/>
      <c r="AF6671" s="498"/>
      <c r="AG6671" s="498"/>
      <c r="AH6671" s="498"/>
      <c r="AI6671" s="498"/>
      <c r="AK6671" s="498"/>
      <c r="AL6671" s="498"/>
      <c r="AM6671" s="498"/>
      <c r="AN6671" s="498"/>
      <c r="AO6671" s="498"/>
      <c r="AP6671" s="498"/>
      <c r="AQ6671" s="498"/>
      <c r="AR6671" s="498"/>
      <c r="AS6671" s="498"/>
      <c r="AT6671" s="498"/>
      <c r="AU6671" s="498"/>
      <c r="AV6671" s="498"/>
      <c r="AW6671" s="498"/>
      <c r="AX6671" s="498"/>
      <c r="AY6671" s="498"/>
      <c r="AZ6671" s="498"/>
      <c r="BA6671" s="498"/>
    </row>
    <row r="6672" spans="1:53" s="499" customFormat="1" x14ac:dyDescent="0.25">
      <c r="A6672" s="500"/>
      <c r="B6672" s="501"/>
      <c r="C6672" s="502"/>
      <c r="D6672" s="497"/>
      <c r="E6672" s="497"/>
      <c r="F6672" s="502"/>
      <c r="G6672" s="497"/>
      <c r="H6672" s="497"/>
      <c r="I6672" s="497"/>
      <c r="J6672" s="497"/>
      <c r="K6672" s="500"/>
      <c r="L6672" s="497"/>
      <c r="M6672"/>
      <c r="N6672" s="498"/>
      <c r="O6672" s="498"/>
      <c r="P6672" s="498"/>
      <c r="Q6672" s="498"/>
      <c r="R6672" s="498"/>
      <c r="T6672" s="498"/>
      <c r="U6672" s="498"/>
      <c r="V6672" s="498"/>
      <c r="W6672" s="498"/>
      <c r="X6672" s="498"/>
      <c r="Y6672" s="498"/>
      <c r="Z6672" s="498"/>
      <c r="AA6672" s="498"/>
      <c r="AB6672" s="498"/>
      <c r="AC6672" s="498"/>
      <c r="AD6672" s="498"/>
      <c r="AE6672" s="498"/>
      <c r="AF6672" s="498"/>
      <c r="AG6672" s="498"/>
      <c r="AH6672" s="498"/>
      <c r="AI6672" s="498"/>
      <c r="AK6672" s="498"/>
      <c r="AL6672" s="498"/>
      <c r="AM6672" s="498"/>
      <c r="AN6672" s="498"/>
      <c r="AO6672" s="498"/>
      <c r="AP6672" s="498"/>
      <c r="AQ6672" s="498"/>
      <c r="AR6672" s="498"/>
      <c r="AS6672" s="498"/>
      <c r="AT6672" s="498"/>
      <c r="AU6672" s="498"/>
      <c r="AV6672" s="498"/>
      <c r="AW6672" s="498"/>
      <c r="AX6672" s="498"/>
      <c r="AY6672" s="498"/>
      <c r="AZ6672" s="498"/>
      <c r="BA6672" s="498"/>
    </row>
    <row r="6673" spans="1:53" s="499" customFormat="1" x14ac:dyDescent="0.25">
      <c r="A6673" s="500"/>
      <c r="B6673" s="501"/>
      <c r="C6673" s="502"/>
      <c r="D6673" s="497"/>
      <c r="E6673" s="497"/>
      <c r="F6673" s="502"/>
      <c r="G6673" s="497"/>
      <c r="H6673" s="497"/>
      <c r="I6673" s="497"/>
      <c r="J6673" s="497"/>
      <c r="K6673" s="500"/>
      <c r="L6673" s="497"/>
      <c r="M6673"/>
      <c r="N6673" s="498"/>
      <c r="O6673" s="498"/>
      <c r="P6673" s="498"/>
      <c r="Q6673" s="498"/>
      <c r="R6673" s="498"/>
      <c r="T6673" s="498"/>
      <c r="U6673" s="498"/>
      <c r="V6673" s="498"/>
      <c r="W6673" s="498"/>
      <c r="X6673" s="498"/>
      <c r="Y6673" s="498"/>
      <c r="Z6673" s="498"/>
      <c r="AA6673" s="498"/>
      <c r="AB6673" s="498"/>
      <c r="AC6673" s="498"/>
      <c r="AD6673" s="498"/>
      <c r="AE6673" s="498"/>
      <c r="AF6673" s="498"/>
      <c r="AG6673" s="498"/>
      <c r="AH6673" s="498"/>
      <c r="AI6673" s="498"/>
      <c r="AK6673" s="498"/>
      <c r="AL6673" s="498"/>
      <c r="AM6673" s="498"/>
      <c r="AN6673" s="498"/>
      <c r="AO6673" s="498"/>
      <c r="AP6673" s="498"/>
      <c r="AQ6673" s="498"/>
      <c r="AR6673" s="498"/>
      <c r="AS6673" s="498"/>
      <c r="AT6673" s="498"/>
      <c r="AU6673" s="498"/>
      <c r="AV6673" s="498"/>
      <c r="AW6673" s="498"/>
      <c r="AX6673" s="498"/>
      <c r="AY6673" s="498"/>
      <c r="AZ6673" s="498"/>
      <c r="BA6673" s="498"/>
    </row>
    <row r="6674" spans="1:53" s="499" customFormat="1" x14ac:dyDescent="0.25">
      <c r="A6674" s="500"/>
      <c r="B6674" s="501"/>
      <c r="C6674" s="502"/>
      <c r="D6674" s="497"/>
      <c r="E6674" s="497"/>
      <c r="F6674" s="502"/>
      <c r="G6674" s="497"/>
      <c r="H6674" s="497"/>
      <c r="I6674" s="497"/>
      <c r="J6674" s="497"/>
      <c r="K6674" s="500"/>
      <c r="L6674" s="497"/>
      <c r="M6674"/>
      <c r="N6674" s="498"/>
      <c r="O6674" s="498"/>
      <c r="P6674" s="498"/>
      <c r="Q6674" s="498"/>
      <c r="R6674" s="498"/>
      <c r="T6674" s="498"/>
      <c r="U6674" s="498"/>
      <c r="V6674" s="498"/>
      <c r="W6674" s="498"/>
      <c r="X6674" s="498"/>
      <c r="Y6674" s="498"/>
      <c r="Z6674" s="498"/>
      <c r="AA6674" s="498"/>
      <c r="AB6674" s="498"/>
      <c r="AC6674" s="498"/>
      <c r="AD6674" s="498"/>
      <c r="AE6674" s="498"/>
      <c r="AF6674" s="498"/>
      <c r="AG6674" s="498"/>
      <c r="AH6674" s="498"/>
      <c r="AI6674" s="498"/>
      <c r="AK6674" s="498"/>
      <c r="AL6674" s="498"/>
      <c r="AM6674" s="498"/>
      <c r="AN6674" s="498"/>
      <c r="AO6674" s="498"/>
      <c r="AP6674" s="498"/>
      <c r="AQ6674" s="498"/>
      <c r="AR6674" s="498"/>
      <c r="AS6674" s="498"/>
      <c r="AT6674" s="498"/>
      <c r="AU6674" s="498"/>
      <c r="AV6674" s="498"/>
      <c r="AW6674" s="498"/>
      <c r="AX6674" s="498"/>
      <c r="AY6674" s="498"/>
      <c r="AZ6674" s="498"/>
      <c r="BA6674" s="498"/>
    </row>
    <row r="6675" spans="1:53" s="499" customFormat="1" x14ac:dyDescent="0.25">
      <c r="A6675" s="500"/>
      <c r="B6675" s="501"/>
      <c r="C6675" s="502"/>
      <c r="D6675" s="497"/>
      <c r="E6675" s="497"/>
      <c r="F6675" s="502"/>
      <c r="G6675" s="497"/>
      <c r="H6675" s="497"/>
      <c r="I6675" s="497"/>
      <c r="J6675" s="497"/>
      <c r="K6675" s="500"/>
      <c r="L6675" s="497"/>
      <c r="M6675"/>
      <c r="N6675" s="498"/>
      <c r="O6675" s="498"/>
      <c r="P6675" s="498"/>
      <c r="Q6675" s="498"/>
      <c r="R6675" s="498"/>
      <c r="T6675" s="498"/>
      <c r="U6675" s="498"/>
      <c r="V6675" s="498"/>
      <c r="W6675" s="498"/>
      <c r="X6675" s="498"/>
      <c r="Y6675" s="498"/>
      <c r="Z6675" s="498"/>
      <c r="AA6675" s="498"/>
      <c r="AB6675" s="498"/>
      <c r="AC6675" s="498"/>
      <c r="AD6675" s="498"/>
      <c r="AE6675" s="498"/>
      <c r="AF6675" s="498"/>
      <c r="AG6675" s="498"/>
      <c r="AH6675" s="498"/>
      <c r="AI6675" s="498"/>
      <c r="AK6675" s="498"/>
      <c r="AL6675" s="498"/>
      <c r="AM6675" s="498"/>
      <c r="AN6675" s="498"/>
      <c r="AO6675" s="498"/>
      <c r="AP6675" s="498"/>
      <c r="AQ6675" s="498"/>
      <c r="AR6675" s="498"/>
      <c r="AS6675" s="498"/>
      <c r="AT6675" s="498"/>
      <c r="AU6675" s="498"/>
      <c r="AV6675" s="498"/>
      <c r="AW6675" s="498"/>
      <c r="AX6675" s="498"/>
      <c r="AY6675" s="498"/>
      <c r="AZ6675" s="498"/>
      <c r="BA6675" s="498"/>
    </row>
    <row r="6676" spans="1:53" s="499" customFormat="1" x14ac:dyDescent="0.25">
      <c r="A6676" s="500"/>
      <c r="B6676" s="501"/>
      <c r="C6676" s="502"/>
      <c r="D6676" s="497"/>
      <c r="E6676" s="497"/>
      <c r="F6676" s="502"/>
      <c r="G6676" s="497"/>
      <c r="H6676" s="497"/>
      <c r="I6676" s="497"/>
      <c r="J6676" s="497"/>
      <c r="K6676" s="500"/>
      <c r="L6676" s="497"/>
      <c r="M6676"/>
      <c r="N6676" s="498"/>
      <c r="O6676" s="498"/>
      <c r="P6676" s="498"/>
      <c r="Q6676" s="498"/>
      <c r="R6676" s="498"/>
      <c r="T6676" s="498"/>
      <c r="U6676" s="498"/>
      <c r="V6676" s="498"/>
      <c r="W6676" s="498"/>
      <c r="X6676" s="498"/>
      <c r="Y6676" s="498"/>
      <c r="Z6676" s="498"/>
      <c r="AA6676" s="498"/>
      <c r="AB6676" s="498"/>
      <c r="AC6676" s="498"/>
      <c r="AD6676" s="498"/>
      <c r="AE6676" s="498"/>
      <c r="AF6676" s="498"/>
      <c r="AG6676" s="498"/>
      <c r="AH6676" s="498"/>
      <c r="AI6676" s="498"/>
      <c r="AK6676" s="498"/>
      <c r="AL6676" s="498"/>
      <c r="AM6676" s="498"/>
      <c r="AN6676" s="498"/>
      <c r="AO6676" s="498"/>
      <c r="AP6676" s="498"/>
      <c r="AQ6676" s="498"/>
      <c r="AR6676" s="498"/>
      <c r="AS6676" s="498"/>
      <c r="AT6676" s="498"/>
      <c r="AU6676" s="498"/>
      <c r="AV6676" s="498"/>
      <c r="AW6676" s="498"/>
      <c r="AX6676" s="498"/>
      <c r="AY6676" s="498"/>
      <c r="AZ6676" s="498"/>
      <c r="BA6676" s="498"/>
    </row>
    <row r="6677" spans="1:53" s="499" customFormat="1" x14ac:dyDescent="0.25">
      <c r="A6677" s="500"/>
      <c r="B6677" s="501"/>
      <c r="C6677" s="502"/>
      <c r="D6677" s="497"/>
      <c r="E6677" s="497"/>
      <c r="F6677" s="502"/>
      <c r="G6677" s="497"/>
      <c r="H6677" s="497"/>
      <c r="I6677" s="497"/>
      <c r="J6677" s="497"/>
      <c r="K6677" s="500"/>
      <c r="L6677" s="497"/>
      <c r="M6677"/>
      <c r="N6677" s="498"/>
      <c r="O6677" s="498"/>
      <c r="P6677" s="498"/>
      <c r="Q6677" s="498"/>
      <c r="R6677" s="498"/>
      <c r="T6677" s="498"/>
      <c r="U6677" s="498"/>
      <c r="V6677" s="498"/>
      <c r="W6677" s="498"/>
      <c r="X6677" s="498"/>
      <c r="Y6677" s="498"/>
      <c r="Z6677" s="498"/>
      <c r="AA6677" s="498"/>
      <c r="AB6677" s="498"/>
      <c r="AC6677" s="498"/>
      <c r="AD6677" s="498"/>
      <c r="AE6677" s="498"/>
      <c r="AF6677" s="498"/>
      <c r="AG6677" s="498"/>
      <c r="AH6677" s="498"/>
      <c r="AI6677" s="498"/>
      <c r="AK6677" s="498"/>
      <c r="AL6677" s="498"/>
      <c r="AM6677" s="498"/>
      <c r="AN6677" s="498"/>
      <c r="AO6677" s="498"/>
      <c r="AP6677" s="498"/>
      <c r="AQ6677" s="498"/>
      <c r="AR6677" s="498"/>
      <c r="AS6677" s="498"/>
      <c r="AT6677" s="498"/>
      <c r="AU6677" s="498"/>
      <c r="AV6677" s="498"/>
      <c r="AW6677" s="498"/>
      <c r="AX6677" s="498"/>
      <c r="AY6677" s="498"/>
      <c r="AZ6677" s="498"/>
      <c r="BA6677" s="498"/>
    </row>
    <row r="6678" spans="1:53" s="499" customFormat="1" x14ac:dyDescent="0.25">
      <c r="A6678" s="500"/>
      <c r="B6678" s="501"/>
      <c r="C6678" s="502"/>
      <c r="D6678" s="497"/>
      <c r="E6678" s="497"/>
      <c r="F6678" s="502"/>
      <c r="G6678" s="497"/>
      <c r="H6678" s="497"/>
      <c r="I6678" s="497"/>
      <c r="J6678" s="497"/>
      <c r="K6678" s="500"/>
      <c r="L6678" s="497"/>
      <c r="M6678"/>
      <c r="N6678" s="498"/>
      <c r="O6678" s="498"/>
      <c r="P6678" s="498"/>
      <c r="Q6678" s="498"/>
      <c r="R6678" s="498"/>
      <c r="T6678" s="498"/>
      <c r="U6678" s="498"/>
      <c r="V6678" s="498"/>
      <c r="W6678" s="498"/>
      <c r="X6678" s="498"/>
      <c r="Y6678" s="498"/>
      <c r="Z6678" s="498"/>
      <c r="AA6678" s="498"/>
      <c r="AB6678" s="498"/>
      <c r="AC6678" s="498"/>
      <c r="AD6678" s="498"/>
      <c r="AE6678" s="498"/>
      <c r="AF6678" s="498"/>
      <c r="AG6678" s="498"/>
      <c r="AH6678" s="498"/>
      <c r="AI6678" s="498"/>
      <c r="AK6678" s="498"/>
      <c r="AL6678" s="498"/>
      <c r="AM6678" s="498"/>
      <c r="AN6678" s="498"/>
      <c r="AO6678" s="498"/>
      <c r="AP6678" s="498"/>
      <c r="AQ6678" s="498"/>
      <c r="AR6678" s="498"/>
      <c r="AS6678" s="498"/>
      <c r="AT6678" s="498"/>
      <c r="AU6678" s="498"/>
      <c r="AV6678" s="498"/>
      <c r="AW6678" s="498"/>
      <c r="AX6678" s="498"/>
      <c r="AY6678" s="498"/>
      <c r="AZ6678" s="498"/>
      <c r="BA6678" s="498"/>
    </row>
    <row r="6679" spans="1:53" s="499" customFormat="1" x14ac:dyDescent="0.25">
      <c r="A6679" s="500"/>
      <c r="B6679" s="501"/>
      <c r="C6679" s="502"/>
      <c r="D6679" s="497"/>
      <c r="E6679" s="497"/>
      <c r="F6679" s="502"/>
      <c r="G6679" s="497"/>
      <c r="H6679" s="497"/>
      <c r="I6679" s="497"/>
      <c r="J6679" s="497"/>
      <c r="K6679" s="500"/>
      <c r="L6679" s="497"/>
      <c r="M6679"/>
      <c r="N6679" s="498"/>
      <c r="O6679" s="498"/>
      <c r="P6679" s="498"/>
      <c r="Q6679" s="498"/>
      <c r="R6679" s="498"/>
      <c r="T6679" s="498"/>
      <c r="U6679" s="498"/>
      <c r="V6679" s="498"/>
      <c r="W6679" s="498"/>
      <c r="X6679" s="498"/>
      <c r="Y6679" s="498"/>
      <c r="Z6679" s="498"/>
      <c r="AA6679" s="498"/>
      <c r="AB6679" s="498"/>
      <c r="AC6679" s="498"/>
      <c r="AD6679" s="498"/>
      <c r="AE6679" s="498"/>
      <c r="AF6679" s="498"/>
      <c r="AG6679" s="498"/>
      <c r="AH6679" s="498"/>
      <c r="AI6679" s="498"/>
      <c r="AK6679" s="498"/>
      <c r="AL6679" s="498"/>
      <c r="AM6679" s="498"/>
      <c r="AN6679" s="498"/>
      <c r="AO6679" s="498"/>
      <c r="AP6679" s="498"/>
      <c r="AQ6679" s="498"/>
      <c r="AR6679" s="498"/>
      <c r="AS6679" s="498"/>
      <c r="AT6679" s="498"/>
      <c r="AU6679" s="498"/>
      <c r="AV6679" s="498"/>
      <c r="AW6679" s="498"/>
      <c r="AX6679" s="498"/>
      <c r="AY6679" s="498"/>
      <c r="AZ6679" s="498"/>
      <c r="BA6679" s="498"/>
    </row>
    <row r="6680" spans="1:53" s="499" customFormat="1" x14ac:dyDescent="0.25">
      <c r="A6680" s="500"/>
      <c r="B6680" s="501"/>
      <c r="C6680" s="502"/>
      <c r="D6680" s="497"/>
      <c r="E6680" s="497"/>
      <c r="F6680" s="502"/>
      <c r="G6680" s="497"/>
      <c r="H6680" s="497"/>
      <c r="I6680" s="497"/>
      <c r="J6680" s="497"/>
      <c r="K6680" s="500"/>
      <c r="L6680" s="497"/>
      <c r="M6680"/>
      <c r="N6680" s="498"/>
      <c r="O6680" s="498"/>
      <c r="P6680" s="498"/>
      <c r="Q6680" s="498"/>
      <c r="R6680" s="498"/>
      <c r="T6680" s="498"/>
      <c r="U6680" s="498"/>
      <c r="V6680" s="498"/>
      <c r="W6680" s="498"/>
      <c r="X6680" s="498"/>
      <c r="Y6680" s="498"/>
      <c r="Z6680" s="498"/>
      <c r="AA6680" s="498"/>
      <c r="AB6680" s="498"/>
      <c r="AC6680" s="498"/>
      <c r="AD6680" s="498"/>
      <c r="AE6680" s="498"/>
      <c r="AF6680" s="498"/>
      <c r="AG6680" s="498"/>
      <c r="AH6680" s="498"/>
      <c r="AI6680" s="498"/>
      <c r="AK6680" s="498"/>
      <c r="AL6680" s="498"/>
      <c r="AM6680" s="498"/>
      <c r="AN6680" s="498"/>
      <c r="AO6680" s="498"/>
      <c r="AP6680" s="498"/>
      <c r="AQ6680" s="498"/>
      <c r="AR6680" s="498"/>
      <c r="AS6680" s="498"/>
      <c r="AT6680" s="498"/>
      <c r="AU6680" s="498"/>
      <c r="AV6680" s="498"/>
      <c r="AW6680" s="498"/>
      <c r="AX6680" s="498"/>
      <c r="AY6680" s="498"/>
      <c r="AZ6680" s="498"/>
      <c r="BA6680" s="498"/>
    </row>
    <row r="6681" spans="1:53" s="499" customFormat="1" x14ac:dyDescent="0.25">
      <c r="A6681" s="500"/>
      <c r="B6681" s="501"/>
      <c r="C6681" s="502"/>
      <c r="D6681" s="497"/>
      <c r="E6681" s="497"/>
      <c r="F6681" s="502"/>
      <c r="G6681" s="497"/>
      <c r="H6681" s="497"/>
      <c r="I6681" s="497"/>
      <c r="J6681" s="497"/>
      <c r="K6681" s="500"/>
      <c r="L6681" s="497"/>
      <c r="M6681"/>
      <c r="N6681" s="498"/>
      <c r="O6681" s="498"/>
      <c r="P6681" s="498"/>
      <c r="Q6681" s="498"/>
      <c r="R6681" s="498"/>
      <c r="T6681" s="498"/>
      <c r="U6681" s="498"/>
      <c r="V6681" s="498"/>
      <c r="W6681" s="498"/>
      <c r="X6681" s="498"/>
      <c r="Y6681" s="498"/>
      <c r="Z6681" s="498"/>
      <c r="AA6681" s="498"/>
      <c r="AB6681" s="498"/>
      <c r="AC6681" s="498"/>
      <c r="AD6681" s="498"/>
      <c r="AE6681" s="498"/>
      <c r="AF6681" s="498"/>
      <c r="AG6681" s="498"/>
      <c r="AH6681" s="498"/>
      <c r="AI6681" s="498"/>
      <c r="AK6681" s="498"/>
      <c r="AL6681" s="498"/>
      <c r="AM6681" s="498"/>
      <c r="AN6681" s="498"/>
      <c r="AO6681" s="498"/>
      <c r="AP6681" s="498"/>
      <c r="AQ6681" s="498"/>
      <c r="AR6681" s="498"/>
      <c r="AS6681" s="498"/>
      <c r="AT6681" s="498"/>
      <c r="AU6681" s="498"/>
      <c r="AV6681" s="498"/>
      <c r="AW6681" s="498"/>
      <c r="AX6681" s="498"/>
      <c r="AY6681" s="498"/>
      <c r="AZ6681" s="498"/>
      <c r="BA6681" s="498"/>
    </row>
    <row r="6682" spans="1:53" s="499" customFormat="1" x14ac:dyDescent="0.25">
      <c r="A6682" s="500"/>
      <c r="B6682" s="501"/>
      <c r="C6682" s="502"/>
      <c r="D6682" s="497"/>
      <c r="E6682" s="497"/>
      <c r="F6682" s="502"/>
      <c r="G6682" s="497"/>
      <c r="H6682" s="497"/>
      <c r="I6682" s="497"/>
      <c r="J6682" s="497"/>
      <c r="K6682" s="500"/>
      <c r="L6682" s="497"/>
      <c r="M6682"/>
      <c r="N6682" s="498"/>
      <c r="O6682" s="498"/>
      <c r="P6682" s="498"/>
      <c r="Q6682" s="498"/>
      <c r="R6682" s="498"/>
      <c r="T6682" s="498"/>
      <c r="U6682" s="498"/>
      <c r="V6682" s="498"/>
      <c r="W6682" s="498"/>
      <c r="X6682" s="498"/>
      <c r="Y6682" s="498"/>
      <c r="Z6682" s="498"/>
      <c r="AA6682" s="498"/>
      <c r="AB6682" s="498"/>
      <c r="AC6682" s="498"/>
      <c r="AD6682" s="498"/>
      <c r="AE6682" s="498"/>
      <c r="AF6682" s="498"/>
      <c r="AG6682" s="498"/>
      <c r="AH6682" s="498"/>
      <c r="AI6682" s="498"/>
      <c r="AK6682" s="498"/>
      <c r="AL6682" s="498"/>
      <c r="AM6682" s="498"/>
      <c r="AN6682" s="498"/>
      <c r="AO6682" s="498"/>
      <c r="AP6682" s="498"/>
      <c r="AQ6682" s="498"/>
      <c r="AR6682" s="498"/>
      <c r="AS6682" s="498"/>
      <c r="AT6682" s="498"/>
      <c r="AU6682" s="498"/>
      <c r="AV6682" s="498"/>
      <c r="AW6682" s="498"/>
      <c r="AX6682" s="498"/>
      <c r="AY6682" s="498"/>
      <c r="AZ6682" s="498"/>
      <c r="BA6682" s="498"/>
    </row>
    <row r="6683" spans="1:53" s="499" customFormat="1" x14ac:dyDescent="0.25">
      <c r="A6683" s="500"/>
      <c r="B6683" s="501"/>
      <c r="C6683" s="502"/>
      <c r="D6683" s="497"/>
      <c r="E6683" s="497"/>
      <c r="F6683" s="502"/>
      <c r="G6683" s="497"/>
      <c r="H6683" s="497"/>
      <c r="I6683" s="497"/>
      <c r="J6683" s="497"/>
      <c r="K6683" s="500"/>
      <c r="L6683" s="497"/>
      <c r="M6683"/>
      <c r="N6683" s="498"/>
      <c r="O6683" s="498"/>
      <c r="P6683" s="498"/>
      <c r="Q6683" s="498"/>
      <c r="R6683" s="498"/>
      <c r="T6683" s="498"/>
      <c r="U6683" s="498"/>
      <c r="V6683" s="498"/>
      <c r="W6683" s="498"/>
      <c r="X6683" s="498"/>
      <c r="Y6683" s="498"/>
      <c r="Z6683" s="498"/>
      <c r="AA6683" s="498"/>
      <c r="AB6683" s="498"/>
      <c r="AC6683" s="498"/>
      <c r="AD6683" s="498"/>
      <c r="AE6683" s="498"/>
      <c r="AF6683" s="498"/>
      <c r="AG6683" s="498"/>
      <c r="AH6683" s="498"/>
      <c r="AI6683" s="498"/>
      <c r="AK6683" s="498"/>
      <c r="AL6683" s="498"/>
      <c r="AM6683" s="498"/>
      <c r="AN6683" s="498"/>
      <c r="AO6683" s="498"/>
      <c r="AP6683" s="498"/>
      <c r="AQ6683" s="498"/>
      <c r="AR6683" s="498"/>
      <c r="AS6683" s="498"/>
      <c r="AT6683" s="498"/>
      <c r="AU6683" s="498"/>
      <c r="AV6683" s="498"/>
      <c r="AW6683" s="498"/>
      <c r="AX6683" s="498"/>
      <c r="AY6683" s="498"/>
      <c r="AZ6683" s="498"/>
      <c r="BA6683" s="498"/>
    </row>
    <row r="6684" spans="1:53" s="499" customFormat="1" x14ac:dyDescent="0.25">
      <c r="A6684" s="500"/>
      <c r="B6684" s="501"/>
      <c r="C6684" s="502"/>
      <c r="D6684" s="497"/>
      <c r="E6684" s="497"/>
      <c r="F6684" s="502"/>
      <c r="G6684" s="497"/>
      <c r="H6684" s="497"/>
      <c r="I6684" s="497"/>
      <c r="J6684" s="497"/>
      <c r="K6684" s="500"/>
      <c r="L6684" s="497"/>
      <c r="M6684"/>
      <c r="N6684" s="498"/>
      <c r="O6684" s="498"/>
      <c r="P6684" s="498"/>
      <c r="Q6684" s="498"/>
      <c r="R6684" s="498"/>
      <c r="T6684" s="498"/>
      <c r="U6684" s="498"/>
      <c r="V6684" s="498"/>
      <c r="W6684" s="498"/>
      <c r="X6684" s="498"/>
      <c r="Y6684" s="498"/>
      <c r="Z6684" s="498"/>
      <c r="AA6684" s="498"/>
      <c r="AB6684" s="498"/>
      <c r="AC6684" s="498"/>
      <c r="AD6684" s="498"/>
      <c r="AE6684" s="498"/>
      <c r="AF6684" s="498"/>
      <c r="AG6684" s="498"/>
      <c r="AH6684" s="498"/>
      <c r="AI6684" s="498"/>
      <c r="AK6684" s="498"/>
      <c r="AL6684" s="498"/>
      <c r="AM6684" s="498"/>
      <c r="AN6684" s="498"/>
      <c r="AO6684" s="498"/>
      <c r="AP6684" s="498"/>
      <c r="AQ6684" s="498"/>
      <c r="AR6684" s="498"/>
      <c r="AS6684" s="498"/>
      <c r="AT6684" s="498"/>
      <c r="AU6684" s="498"/>
      <c r="AV6684" s="498"/>
      <c r="AW6684" s="498"/>
      <c r="AX6684" s="498"/>
      <c r="AY6684" s="498"/>
      <c r="AZ6684" s="498"/>
      <c r="BA6684" s="498"/>
    </row>
    <row r="6685" spans="1:53" s="499" customFormat="1" x14ac:dyDescent="0.25">
      <c r="A6685" s="500"/>
      <c r="B6685" s="501"/>
      <c r="C6685" s="502"/>
      <c r="D6685" s="497"/>
      <c r="E6685" s="497"/>
      <c r="F6685" s="502"/>
      <c r="G6685" s="497"/>
      <c r="H6685" s="497"/>
      <c r="I6685" s="497"/>
      <c r="J6685" s="497"/>
      <c r="K6685" s="500"/>
      <c r="L6685" s="497"/>
      <c r="M6685"/>
      <c r="N6685" s="498"/>
      <c r="O6685" s="498"/>
      <c r="P6685" s="498"/>
      <c r="Q6685" s="498"/>
      <c r="R6685" s="498"/>
      <c r="T6685" s="498"/>
      <c r="U6685" s="498"/>
      <c r="V6685" s="498"/>
      <c r="W6685" s="498"/>
      <c r="X6685" s="498"/>
      <c r="Y6685" s="498"/>
      <c r="Z6685" s="498"/>
      <c r="AA6685" s="498"/>
      <c r="AB6685" s="498"/>
      <c r="AC6685" s="498"/>
      <c r="AD6685" s="498"/>
      <c r="AE6685" s="498"/>
      <c r="AF6685" s="498"/>
      <c r="AG6685" s="498"/>
      <c r="AH6685" s="498"/>
      <c r="AI6685" s="498"/>
      <c r="AK6685" s="498"/>
      <c r="AL6685" s="498"/>
      <c r="AM6685" s="498"/>
      <c r="AN6685" s="498"/>
      <c r="AO6685" s="498"/>
      <c r="AP6685" s="498"/>
      <c r="AQ6685" s="498"/>
      <c r="AR6685" s="498"/>
      <c r="AS6685" s="498"/>
      <c r="AT6685" s="498"/>
      <c r="AU6685" s="498"/>
      <c r="AV6685" s="498"/>
      <c r="AW6685" s="498"/>
      <c r="AX6685" s="498"/>
      <c r="AY6685" s="498"/>
      <c r="AZ6685" s="498"/>
      <c r="BA6685" s="498"/>
    </row>
    <row r="6686" spans="1:53" s="499" customFormat="1" x14ac:dyDescent="0.25">
      <c r="A6686" s="500"/>
      <c r="B6686" s="501"/>
      <c r="C6686" s="502"/>
      <c r="D6686" s="497"/>
      <c r="E6686" s="497"/>
      <c r="F6686" s="502"/>
      <c r="G6686" s="497"/>
      <c r="H6686" s="497"/>
      <c r="I6686" s="497"/>
      <c r="J6686" s="497"/>
      <c r="K6686" s="500"/>
      <c r="L6686" s="497"/>
      <c r="M6686"/>
      <c r="N6686" s="498"/>
      <c r="O6686" s="498"/>
      <c r="P6686" s="498"/>
      <c r="Q6686" s="498"/>
      <c r="R6686" s="498"/>
      <c r="T6686" s="498"/>
      <c r="U6686" s="498"/>
      <c r="V6686" s="498"/>
      <c r="W6686" s="498"/>
      <c r="X6686" s="498"/>
      <c r="Y6686" s="498"/>
      <c r="Z6686" s="498"/>
      <c r="AA6686" s="498"/>
      <c r="AB6686" s="498"/>
      <c r="AC6686" s="498"/>
      <c r="AD6686" s="498"/>
      <c r="AE6686" s="498"/>
      <c r="AF6686" s="498"/>
      <c r="AG6686" s="498"/>
      <c r="AH6686" s="498"/>
      <c r="AI6686" s="498"/>
      <c r="AK6686" s="498"/>
      <c r="AL6686" s="498"/>
      <c r="AM6686" s="498"/>
      <c r="AN6686" s="498"/>
      <c r="AO6686" s="498"/>
      <c r="AP6686" s="498"/>
      <c r="AQ6686" s="498"/>
      <c r="AR6686" s="498"/>
      <c r="AS6686" s="498"/>
      <c r="AT6686" s="498"/>
      <c r="AU6686" s="498"/>
      <c r="AV6686" s="498"/>
      <c r="AW6686" s="498"/>
      <c r="AX6686" s="498"/>
      <c r="AY6686" s="498"/>
      <c r="AZ6686" s="498"/>
      <c r="BA6686" s="498"/>
    </row>
    <row r="6687" spans="1:53" s="499" customFormat="1" x14ac:dyDescent="0.25">
      <c r="A6687" s="500"/>
      <c r="B6687" s="501"/>
      <c r="C6687" s="502"/>
      <c r="D6687" s="497"/>
      <c r="E6687" s="497"/>
      <c r="F6687" s="502"/>
      <c r="G6687" s="497"/>
      <c r="H6687" s="497"/>
      <c r="I6687" s="497"/>
      <c r="J6687" s="497"/>
      <c r="K6687" s="500"/>
      <c r="L6687" s="497"/>
      <c r="M6687"/>
      <c r="N6687" s="498"/>
      <c r="O6687" s="498"/>
      <c r="P6687" s="498"/>
      <c r="Q6687" s="498"/>
      <c r="R6687" s="498"/>
      <c r="T6687" s="498"/>
      <c r="U6687" s="498"/>
      <c r="V6687" s="498"/>
      <c r="W6687" s="498"/>
      <c r="X6687" s="498"/>
      <c r="Y6687" s="498"/>
      <c r="Z6687" s="498"/>
      <c r="AA6687" s="498"/>
      <c r="AB6687" s="498"/>
      <c r="AC6687" s="498"/>
      <c r="AD6687" s="498"/>
      <c r="AE6687" s="498"/>
      <c r="AF6687" s="498"/>
      <c r="AG6687" s="498"/>
      <c r="AH6687" s="498"/>
      <c r="AI6687" s="498"/>
      <c r="AK6687" s="498"/>
      <c r="AL6687" s="498"/>
      <c r="AM6687" s="498"/>
      <c r="AN6687" s="498"/>
      <c r="AO6687" s="498"/>
      <c r="AP6687" s="498"/>
      <c r="AQ6687" s="498"/>
      <c r="AR6687" s="498"/>
      <c r="AS6687" s="498"/>
      <c r="AT6687" s="498"/>
      <c r="AU6687" s="498"/>
      <c r="AV6687" s="498"/>
      <c r="AW6687" s="498"/>
      <c r="AX6687" s="498"/>
      <c r="AY6687" s="498"/>
      <c r="AZ6687" s="498"/>
      <c r="BA6687" s="498"/>
    </row>
    <row r="6688" spans="1:53" s="499" customFormat="1" x14ac:dyDescent="0.25">
      <c r="A6688" s="500"/>
      <c r="B6688" s="501"/>
      <c r="C6688" s="502"/>
      <c r="D6688" s="497"/>
      <c r="E6688" s="497"/>
      <c r="F6688" s="502"/>
      <c r="G6688" s="497"/>
      <c r="H6688" s="497"/>
      <c r="I6688" s="497"/>
      <c r="J6688" s="497"/>
      <c r="K6688" s="500"/>
      <c r="L6688" s="497"/>
      <c r="M6688"/>
      <c r="N6688" s="498"/>
      <c r="O6688" s="498"/>
      <c r="P6688" s="498"/>
      <c r="Q6688" s="498"/>
      <c r="R6688" s="498"/>
      <c r="T6688" s="498"/>
      <c r="U6688" s="498"/>
      <c r="V6688" s="498"/>
      <c r="W6688" s="498"/>
      <c r="X6688" s="498"/>
      <c r="Y6688" s="498"/>
      <c r="Z6688" s="498"/>
      <c r="AA6688" s="498"/>
      <c r="AB6688" s="498"/>
      <c r="AC6688" s="498"/>
      <c r="AD6688" s="498"/>
      <c r="AE6688" s="498"/>
      <c r="AF6688" s="498"/>
      <c r="AG6688" s="498"/>
      <c r="AH6688" s="498"/>
      <c r="AI6688" s="498"/>
      <c r="AK6688" s="498"/>
      <c r="AL6688" s="498"/>
      <c r="AM6688" s="498"/>
      <c r="AN6688" s="498"/>
      <c r="AO6688" s="498"/>
      <c r="AP6688" s="498"/>
      <c r="AQ6688" s="498"/>
      <c r="AR6688" s="498"/>
      <c r="AS6688" s="498"/>
      <c r="AT6688" s="498"/>
      <c r="AU6688" s="498"/>
      <c r="AV6688" s="498"/>
      <c r="AW6688" s="498"/>
      <c r="AX6688" s="498"/>
      <c r="AY6688" s="498"/>
      <c r="AZ6688" s="498"/>
      <c r="BA6688" s="498"/>
    </row>
    <row r="6689" spans="1:53" s="499" customFormat="1" x14ac:dyDescent="0.25">
      <c r="A6689" s="500"/>
      <c r="B6689" s="501"/>
      <c r="C6689" s="502"/>
      <c r="D6689" s="497"/>
      <c r="E6689" s="497"/>
      <c r="F6689" s="502"/>
      <c r="G6689" s="497"/>
      <c r="H6689" s="497"/>
      <c r="I6689" s="497"/>
      <c r="J6689" s="497"/>
      <c r="K6689" s="500"/>
      <c r="L6689" s="497"/>
      <c r="M6689"/>
      <c r="N6689" s="498"/>
      <c r="O6689" s="498"/>
      <c r="P6689" s="498"/>
      <c r="Q6689" s="498"/>
      <c r="R6689" s="498"/>
      <c r="T6689" s="498"/>
      <c r="U6689" s="498"/>
      <c r="V6689" s="498"/>
      <c r="W6689" s="498"/>
      <c r="X6689" s="498"/>
      <c r="Y6689" s="498"/>
      <c r="Z6689" s="498"/>
      <c r="AA6689" s="498"/>
      <c r="AB6689" s="498"/>
      <c r="AC6689" s="498"/>
      <c r="AD6689" s="498"/>
      <c r="AE6689" s="498"/>
      <c r="AF6689" s="498"/>
      <c r="AG6689" s="498"/>
      <c r="AH6689" s="498"/>
      <c r="AI6689" s="498"/>
      <c r="AK6689" s="498"/>
      <c r="AL6689" s="498"/>
      <c r="AM6689" s="498"/>
      <c r="AN6689" s="498"/>
      <c r="AO6689" s="498"/>
      <c r="AP6689" s="498"/>
      <c r="AQ6689" s="498"/>
      <c r="AR6689" s="498"/>
      <c r="AS6689" s="498"/>
      <c r="AT6689" s="498"/>
      <c r="AU6689" s="498"/>
      <c r="AV6689" s="498"/>
      <c r="AW6689" s="498"/>
      <c r="AX6689" s="498"/>
      <c r="AY6689" s="498"/>
      <c r="AZ6689" s="498"/>
      <c r="BA6689" s="498"/>
    </row>
    <row r="6690" spans="1:53" s="499" customFormat="1" x14ac:dyDescent="0.25">
      <c r="A6690" s="500"/>
      <c r="B6690" s="501"/>
      <c r="C6690" s="502"/>
      <c r="D6690" s="497"/>
      <c r="E6690" s="497"/>
      <c r="F6690" s="502"/>
      <c r="G6690" s="497"/>
      <c r="H6690" s="497"/>
      <c r="I6690" s="497"/>
      <c r="J6690" s="497"/>
      <c r="K6690" s="500"/>
      <c r="L6690" s="497"/>
      <c r="M6690"/>
      <c r="N6690" s="498"/>
      <c r="O6690" s="498"/>
      <c r="P6690" s="498"/>
      <c r="Q6690" s="498"/>
      <c r="R6690" s="498"/>
      <c r="T6690" s="498"/>
      <c r="U6690" s="498"/>
      <c r="V6690" s="498"/>
      <c r="W6690" s="498"/>
      <c r="X6690" s="498"/>
      <c r="Y6690" s="498"/>
      <c r="Z6690" s="498"/>
      <c r="AA6690" s="498"/>
      <c r="AB6690" s="498"/>
      <c r="AC6690" s="498"/>
      <c r="AD6690" s="498"/>
      <c r="AE6690" s="498"/>
      <c r="AF6690" s="498"/>
      <c r="AG6690" s="498"/>
      <c r="AH6690" s="498"/>
      <c r="AI6690" s="498"/>
      <c r="AK6690" s="498"/>
      <c r="AL6690" s="498"/>
      <c r="AM6690" s="498"/>
      <c r="AN6690" s="498"/>
      <c r="AO6690" s="498"/>
      <c r="AP6690" s="498"/>
      <c r="AQ6690" s="498"/>
      <c r="AR6690" s="498"/>
      <c r="AS6690" s="498"/>
      <c r="AT6690" s="498"/>
      <c r="AU6690" s="498"/>
      <c r="AV6690" s="498"/>
      <c r="AW6690" s="498"/>
      <c r="AX6690" s="498"/>
      <c r="AY6690" s="498"/>
      <c r="AZ6690" s="498"/>
      <c r="BA6690" s="498"/>
    </row>
    <row r="6691" spans="1:53" s="499" customFormat="1" x14ac:dyDescent="0.25">
      <c r="A6691" s="500"/>
      <c r="B6691" s="501"/>
      <c r="C6691" s="502"/>
      <c r="D6691" s="497"/>
      <c r="E6691" s="497"/>
      <c r="F6691" s="502"/>
      <c r="G6691" s="497"/>
      <c r="H6691" s="497"/>
      <c r="I6691" s="497"/>
      <c r="J6691" s="497"/>
      <c r="K6691" s="500"/>
      <c r="L6691" s="497"/>
      <c r="M6691"/>
      <c r="N6691" s="498"/>
      <c r="O6691" s="498"/>
      <c r="P6691" s="498"/>
      <c r="Q6691" s="498"/>
      <c r="R6691" s="498"/>
      <c r="T6691" s="498"/>
      <c r="U6691" s="498"/>
      <c r="V6691" s="498"/>
      <c r="W6691" s="498"/>
      <c r="X6691" s="498"/>
      <c r="Y6691" s="498"/>
      <c r="Z6691" s="498"/>
      <c r="AA6691" s="498"/>
      <c r="AB6691" s="498"/>
      <c r="AC6691" s="498"/>
      <c r="AD6691" s="498"/>
      <c r="AE6691" s="498"/>
      <c r="AF6691" s="498"/>
      <c r="AG6691" s="498"/>
      <c r="AH6691" s="498"/>
      <c r="AI6691" s="498"/>
      <c r="AK6691" s="498"/>
      <c r="AL6691" s="498"/>
      <c r="AM6691" s="498"/>
      <c r="AN6691" s="498"/>
      <c r="AO6691" s="498"/>
      <c r="AP6691" s="498"/>
      <c r="AQ6691" s="498"/>
      <c r="AR6691" s="498"/>
      <c r="AS6691" s="498"/>
      <c r="AT6691" s="498"/>
      <c r="AU6691" s="498"/>
      <c r="AV6691" s="498"/>
      <c r="AW6691" s="498"/>
      <c r="AX6691" s="498"/>
      <c r="AY6691" s="498"/>
      <c r="AZ6691" s="498"/>
      <c r="BA6691" s="498"/>
    </row>
    <row r="6692" spans="1:53" s="499" customFormat="1" x14ac:dyDescent="0.25">
      <c r="A6692" s="500"/>
      <c r="B6692" s="501"/>
      <c r="C6692" s="502"/>
      <c r="D6692" s="497"/>
      <c r="E6692" s="497"/>
      <c r="F6692" s="502"/>
      <c r="G6692" s="497"/>
      <c r="H6692" s="497"/>
      <c r="I6692" s="497"/>
      <c r="J6692" s="497"/>
      <c r="K6692" s="500"/>
      <c r="L6692" s="497"/>
      <c r="M6692"/>
      <c r="N6692" s="498"/>
      <c r="O6692" s="498"/>
      <c r="P6692" s="498"/>
      <c r="Q6692" s="498"/>
      <c r="R6692" s="498"/>
      <c r="T6692" s="498"/>
      <c r="U6692" s="498"/>
      <c r="V6692" s="498"/>
      <c r="W6692" s="498"/>
      <c r="X6692" s="498"/>
      <c r="Y6692" s="498"/>
      <c r="Z6692" s="498"/>
      <c r="AA6692" s="498"/>
      <c r="AB6692" s="498"/>
      <c r="AC6692" s="498"/>
      <c r="AD6692" s="498"/>
      <c r="AE6692" s="498"/>
      <c r="AF6692" s="498"/>
      <c r="AG6692" s="498"/>
      <c r="AH6692" s="498"/>
      <c r="AI6692" s="498"/>
      <c r="AK6692" s="498"/>
      <c r="AL6692" s="498"/>
      <c r="AM6692" s="498"/>
      <c r="AN6692" s="498"/>
      <c r="AO6692" s="498"/>
      <c r="AP6692" s="498"/>
      <c r="AQ6692" s="498"/>
      <c r="AR6692" s="498"/>
      <c r="AS6692" s="498"/>
      <c r="AT6692" s="498"/>
      <c r="AU6692" s="498"/>
      <c r="AV6692" s="498"/>
      <c r="AW6692" s="498"/>
      <c r="AX6692" s="498"/>
      <c r="AY6692" s="498"/>
      <c r="AZ6692" s="498"/>
      <c r="BA6692" s="498"/>
    </row>
    <row r="6693" spans="1:53" s="499" customFormat="1" x14ac:dyDescent="0.25">
      <c r="A6693" s="500"/>
      <c r="B6693" s="501"/>
      <c r="C6693" s="502"/>
      <c r="D6693" s="497"/>
      <c r="E6693" s="497"/>
      <c r="F6693" s="502"/>
      <c r="G6693" s="497"/>
      <c r="H6693" s="497"/>
      <c r="I6693" s="497"/>
      <c r="J6693" s="497"/>
      <c r="K6693" s="500"/>
      <c r="L6693" s="497"/>
      <c r="M6693"/>
      <c r="N6693" s="498"/>
      <c r="O6693" s="498"/>
      <c r="P6693" s="498"/>
      <c r="Q6693" s="498"/>
      <c r="R6693" s="498"/>
      <c r="T6693" s="498"/>
      <c r="U6693" s="498"/>
      <c r="V6693" s="498"/>
      <c r="W6693" s="498"/>
      <c r="X6693" s="498"/>
      <c r="Y6693" s="498"/>
      <c r="Z6693" s="498"/>
      <c r="AA6693" s="498"/>
      <c r="AB6693" s="498"/>
      <c r="AC6693" s="498"/>
      <c r="AD6693" s="498"/>
      <c r="AE6693" s="498"/>
      <c r="AF6693" s="498"/>
      <c r="AG6693" s="498"/>
      <c r="AH6693" s="498"/>
      <c r="AI6693" s="498"/>
      <c r="AK6693" s="498"/>
      <c r="AL6693" s="498"/>
      <c r="AM6693" s="498"/>
      <c r="AN6693" s="498"/>
      <c r="AO6693" s="498"/>
      <c r="AP6693" s="498"/>
      <c r="AQ6693" s="498"/>
      <c r="AR6693" s="498"/>
      <c r="AS6693" s="498"/>
      <c r="AT6693" s="498"/>
      <c r="AU6693" s="498"/>
      <c r="AV6693" s="498"/>
      <c r="AW6693" s="498"/>
      <c r="AX6693" s="498"/>
      <c r="AY6693" s="498"/>
      <c r="AZ6693" s="498"/>
      <c r="BA6693" s="498"/>
    </row>
    <row r="6694" spans="1:53" s="499" customFormat="1" x14ac:dyDescent="0.25">
      <c r="A6694" s="500"/>
      <c r="B6694" s="501"/>
      <c r="C6694" s="502"/>
      <c r="D6694" s="497"/>
      <c r="E6694" s="497"/>
      <c r="F6694" s="502"/>
      <c r="G6694" s="497"/>
      <c r="H6694" s="497"/>
      <c r="I6694" s="497"/>
      <c r="J6694" s="497"/>
      <c r="K6694" s="500"/>
      <c r="L6694" s="497"/>
      <c r="M6694"/>
      <c r="N6694" s="498"/>
      <c r="O6694" s="498"/>
      <c r="P6694" s="498"/>
      <c r="Q6694" s="498"/>
      <c r="R6694" s="498"/>
      <c r="T6694" s="498"/>
      <c r="U6694" s="498"/>
      <c r="V6694" s="498"/>
      <c r="W6694" s="498"/>
      <c r="X6694" s="498"/>
      <c r="Y6694" s="498"/>
      <c r="Z6694" s="498"/>
      <c r="AA6694" s="498"/>
      <c r="AB6694" s="498"/>
      <c r="AC6694" s="498"/>
      <c r="AD6694" s="498"/>
      <c r="AE6694" s="498"/>
      <c r="AF6694" s="498"/>
      <c r="AG6694" s="498"/>
      <c r="AH6694" s="498"/>
      <c r="AI6694" s="498"/>
      <c r="AK6694" s="498"/>
      <c r="AL6694" s="498"/>
      <c r="AM6694" s="498"/>
      <c r="AN6694" s="498"/>
      <c r="AO6694" s="498"/>
      <c r="AP6694" s="498"/>
      <c r="AQ6694" s="498"/>
      <c r="AR6694" s="498"/>
      <c r="AS6694" s="498"/>
      <c r="AT6694" s="498"/>
      <c r="AU6694" s="498"/>
      <c r="AV6694" s="498"/>
      <c r="AW6694" s="498"/>
      <c r="AX6694" s="498"/>
      <c r="AY6694" s="498"/>
      <c r="AZ6694" s="498"/>
      <c r="BA6694" s="498"/>
    </row>
    <row r="6695" spans="1:53" s="499" customFormat="1" x14ac:dyDescent="0.25">
      <c r="A6695" s="500"/>
      <c r="B6695" s="501"/>
      <c r="C6695" s="502"/>
      <c r="D6695" s="497"/>
      <c r="E6695" s="497"/>
      <c r="F6695" s="502"/>
      <c r="G6695" s="497"/>
      <c r="H6695" s="497"/>
      <c r="I6695" s="497"/>
      <c r="J6695" s="497"/>
      <c r="K6695" s="500"/>
      <c r="L6695" s="497"/>
      <c r="M6695"/>
      <c r="N6695" s="498"/>
      <c r="O6695" s="498"/>
      <c r="P6695" s="498"/>
      <c r="Q6695" s="498"/>
      <c r="R6695" s="498"/>
      <c r="T6695" s="498"/>
      <c r="U6695" s="498"/>
      <c r="V6695" s="498"/>
      <c r="W6695" s="498"/>
      <c r="X6695" s="498"/>
      <c r="Y6695" s="498"/>
      <c r="Z6695" s="498"/>
      <c r="AA6695" s="498"/>
      <c r="AB6695" s="498"/>
      <c r="AC6695" s="498"/>
      <c r="AD6695" s="498"/>
      <c r="AE6695" s="498"/>
      <c r="AF6695" s="498"/>
      <c r="AG6695" s="498"/>
      <c r="AH6695" s="498"/>
      <c r="AI6695" s="498"/>
      <c r="AK6695" s="498"/>
      <c r="AL6695" s="498"/>
      <c r="AM6695" s="498"/>
      <c r="AN6695" s="498"/>
      <c r="AO6695" s="498"/>
      <c r="AP6695" s="498"/>
      <c r="AQ6695" s="498"/>
      <c r="AR6695" s="498"/>
      <c r="AS6695" s="498"/>
      <c r="AT6695" s="498"/>
      <c r="AU6695" s="498"/>
      <c r="AV6695" s="498"/>
      <c r="AW6695" s="498"/>
      <c r="AX6695" s="498"/>
      <c r="AY6695" s="498"/>
      <c r="AZ6695" s="498"/>
      <c r="BA6695" s="498"/>
    </row>
    <row r="6696" spans="1:53" s="499" customFormat="1" x14ac:dyDescent="0.25">
      <c r="A6696" s="500"/>
      <c r="B6696" s="501"/>
      <c r="C6696" s="502"/>
      <c r="D6696" s="497"/>
      <c r="E6696" s="497"/>
      <c r="F6696" s="502"/>
      <c r="G6696" s="497"/>
      <c r="H6696" s="497"/>
      <c r="I6696" s="497"/>
      <c r="J6696" s="497"/>
      <c r="K6696" s="500"/>
      <c r="L6696" s="497"/>
      <c r="M6696"/>
      <c r="N6696" s="498"/>
      <c r="O6696" s="498"/>
      <c r="P6696" s="498"/>
      <c r="Q6696" s="498"/>
      <c r="R6696" s="498"/>
      <c r="T6696" s="498"/>
      <c r="U6696" s="498"/>
      <c r="V6696" s="498"/>
      <c r="W6696" s="498"/>
      <c r="X6696" s="498"/>
      <c r="Y6696" s="498"/>
      <c r="Z6696" s="498"/>
      <c r="AA6696" s="498"/>
      <c r="AB6696" s="498"/>
      <c r="AC6696" s="498"/>
      <c r="AD6696" s="498"/>
      <c r="AE6696" s="498"/>
      <c r="AF6696" s="498"/>
      <c r="AG6696" s="498"/>
      <c r="AH6696" s="498"/>
      <c r="AI6696" s="498"/>
      <c r="AK6696" s="498"/>
      <c r="AL6696" s="498"/>
      <c r="AM6696" s="498"/>
      <c r="AN6696" s="498"/>
      <c r="AO6696" s="498"/>
      <c r="AP6696" s="498"/>
      <c r="AQ6696" s="498"/>
      <c r="AR6696" s="498"/>
      <c r="AS6696" s="498"/>
      <c r="AT6696" s="498"/>
      <c r="AU6696" s="498"/>
      <c r="AV6696" s="498"/>
      <c r="AW6696" s="498"/>
      <c r="AX6696" s="498"/>
      <c r="AY6696" s="498"/>
      <c r="AZ6696" s="498"/>
      <c r="BA6696" s="498"/>
    </row>
    <row r="6697" spans="1:53" s="499" customFormat="1" x14ac:dyDescent="0.25">
      <c r="A6697" s="500"/>
      <c r="B6697" s="501"/>
      <c r="C6697" s="502"/>
      <c r="D6697" s="497"/>
      <c r="E6697" s="497"/>
      <c r="F6697" s="502"/>
      <c r="G6697" s="497"/>
      <c r="H6697" s="497"/>
      <c r="I6697" s="497"/>
      <c r="J6697" s="497"/>
      <c r="K6697" s="500"/>
      <c r="L6697" s="497"/>
      <c r="M6697"/>
      <c r="N6697" s="498"/>
      <c r="O6697" s="498"/>
      <c r="P6697" s="498"/>
      <c r="Q6697" s="498"/>
      <c r="R6697" s="498"/>
      <c r="T6697" s="498"/>
      <c r="U6697" s="498"/>
      <c r="V6697" s="498"/>
      <c r="W6697" s="498"/>
      <c r="X6697" s="498"/>
      <c r="Y6697" s="498"/>
      <c r="Z6697" s="498"/>
      <c r="AA6697" s="498"/>
      <c r="AB6697" s="498"/>
      <c r="AC6697" s="498"/>
      <c r="AD6697" s="498"/>
      <c r="AE6697" s="498"/>
      <c r="AF6697" s="498"/>
      <c r="AG6697" s="498"/>
      <c r="AH6697" s="498"/>
      <c r="AI6697" s="498"/>
      <c r="AK6697" s="498"/>
      <c r="AL6697" s="498"/>
      <c r="AM6697" s="498"/>
      <c r="AN6697" s="498"/>
      <c r="AO6697" s="498"/>
      <c r="AP6697" s="498"/>
      <c r="AQ6697" s="498"/>
      <c r="AR6697" s="498"/>
      <c r="AS6697" s="498"/>
      <c r="AT6697" s="498"/>
      <c r="AU6697" s="498"/>
      <c r="AV6697" s="498"/>
      <c r="AW6697" s="498"/>
      <c r="AX6697" s="498"/>
      <c r="AY6697" s="498"/>
      <c r="AZ6697" s="498"/>
      <c r="BA6697" s="498"/>
    </row>
    <row r="6698" spans="1:53" s="499" customFormat="1" x14ac:dyDescent="0.25">
      <c r="A6698" s="500"/>
      <c r="B6698" s="501"/>
      <c r="C6698" s="502"/>
      <c r="D6698" s="497"/>
      <c r="E6698" s="497"/>
      <c r="F6698" s="502"/>
      <c r="G6698" s="497"/>
      <c r="H6698" s="497"/>
      <c r="I6698" s="497"/>
      <c r="J6698" s="497"/>
      <c r="K6698" s="500"/>
      <c r="L6698" s="497"/>
      <c r="M6698"/>
      <c r="N6698" s="498"/>
      <c r="O6698" s="498"/>
      <c r="P6698" s="498"/>
      <c r="Q6698" s="498"/>
      <c r="R6698" s="498"/>
      <c r="T6698" s="498"/>
      <c r="U6698" s="498"/>
      <c r="V6698" s="498"/>
      <c r="W6698" s="498"/>
      <c r="X6698" s="498"/>
      <c r="Y6698" s="498"/>
      <c r="Z6698" s="498"/>
      <c r="AA6698" s="498"/>
      <c r="AB6698" s="498"/>
      <c r="AC6698" s="498"/>
      <c r="AD6698" s="498"/>
      <c r="AE6698" s="498"/>
      <c r="AF6698" s="498"/>
      <c r="AG6698" s="498"/>
      <c r="AH6698" s="498"/>
      <c r="AI6698" s="498"/>
      <c r="AK6698" s="498"/>
      <c r="AL6698" s="498"/>
      <c r="AM6698" s="498"/>
      <c r="AN6698" s="498"/>
      <c r="AO6698" s="498"/>
      <c r="AP6698" s="498"/>
      <c r="AQ6698" s="498"/>
      <c r="AR6698" s="498"/>
      <c r="AS6698" s="498"/>
      <c r="AT6698" s="498"/>
      <c r="AU6698" s="498"/>
      <c r="AV6698" s="498"/>
      <c r="AW6698" s="498"/>
      <c r="AX6698" s="498"/>
      <c r="AY6698" s="498"/>
      <c r="AZ6698" s="498"/>
      <c r="BA6698" s="498"/>
    </row>
    <row r="6699" spans="1:53" s="499" customFormat="1" x14ac:dyDescent="0.25">
      <c r="A6699" s="500"/>
      <c r="B6699" s="501"/>
      <c r="C6699" s="502"/>
      <c r="D6699" s="497"/>
      <c r="E6699" s="497"/>
      <c r="F6699" s="502"/>
      <c r="G6699" s="497"/>
      <c r="H6699" s="497"/>
      <c r="I6699" s="497"/>
      <c r="J6699" s="497"/>
      <c r="K6699" s="500"/>
      <c r="L6699" s="497"/>
      <c r="M6699"/>
      <c r="N6699" s="498"/>
      <c r="O6699" s="498"/>
      <c r="P6699" s="498"/>
      <c r="Q6699" s="498"/>
      <c r="R6699" s="498"/>
      <c r="T6699" s="498"/>
      <c r="U6699" s="498"/>
      <c r="V6699" s="498"/>
      <c r="W6699" s="498"/>
      <c r="X6699" s="498"/>
      <c r="Y6699" s="498"/>
      <c r="Z6699" s="498"/>
      <c r="AA6699" s="498"/>
      <c r="AB6699" s="498"/>
      <c r="AC6699" s="498"/>
      <c r="AD6699" s="498"/>
      <c r="AE6699" s="498"/>
      <c r="AF6699" s="498"/>
      <c r="AG6699" s="498"/>
      <c r="AH6699" s="498"/>
      <c r="AI6699" s="498"/>
      <c r="AK6699" s="498"/>
      <c r="AL6699" s="498"/>
      <c r="AM6699" s="498"/>
      <c r="AN6699" s="498"/>
      <c r="AO6699" s="498"/>
      <c r="AP6699" s="498"/>
      <c r="AQ6699" s="498"/>
      <c r="AR6699" s="498"/>
      <c r="AS6699" s="498"/>
      <c r="AT6699" s="498"/>
      <c r="AU6699" s="498"/>
      <c r="AV6699" s="498"/>
      <c r="AW6699" s="498"/>
      <c r="AX6699" s="498"/>
      <c r="AY6699" s="498"/>
      <c r="AZ6699" s="498"/>
      <c r="BA6699" s="498"/>
    </row>
    <row r="6700" spans="1:53" s="499" customFormat="1" x14ac:dyDescent="0.25">
      <c r="A6700" s="500"/>
      <c r="B6700" s="501"/>
      <c r="C6700" s="502"/>
      <c r="D6700" s="497"/>
      <c r="E6700" s="497"/>
      <c r="F6700" s="502"/>
      <c r="G6700" s="497"/>
      <c r="H6700" s="497"/>
      <c r="I6700" s="497"/>
      <c r="J6700" s="497"/>
      <c r="K6700" s="500"/>
      <c r="L6700" s="497"/>
      <c r="M6700"/>
      <c r="N6700" s="498"/>
      <c r="O6700" s="498"/>
      <c r="P6700" s="498"/>
      <c r="Q6700" s="498"/>
      <c r="R6700" s="498"/>
      <c r="T6700" s="498"/>
      <c r="U6700" s="498"/>
      <c r="V6700" s="498"/>
      <c r="W6700" s="498"/>
      <c r="X6700" s="498"/>
      <c r="Y6700" s="498"/>
      <c r="Z6700" s="498"/>
      <c r="AA6700" s="498"/>
      <c r="AB6700" s="498"/>
      <c r="AC6700" s="498"/>
      <c r="AD6700" s="498"/>
      <c r="AE6700" s="498"/>
      <c r="AF6700" s="498"/>
      <c r="AG6700" s="498"/>
      <c r="AH6700" s="498"/>
      <c r="AI6700" s="498"/>
      <c r="AK6700" s="498"/>
      <c r="AL6700" s="498"/>
      <c r="AM6700" s="498"/>
      <c r="AN6700" s="498"/>
      <c r="AO6700" s="498"/>
      <c r="AP6700" s="498"/>
      <c r="AQ6700" s="498"/>
      <c r="AR6700" s="498"/>
      <c r="AS6700" s="498"/>
      <c r="AT6700" s="498"/>
      <c r="AU6700" s="498"/>
      <c r="AV6700" s="498"/>
      <c r="AW6700" s="498"/>
      <c r="AX6700" s="498"/>
      <c r="AY6700" s="498"/>
      <c r="AZ6700" s="498"/>
      <c r="BA6700" s="498"/>
    </row>
    <row r="6701" spans="1:53" s="499" customFormat="1" x14ac:dyDescent="0.25">
      <c r="A6701" s="500"/>
      <c r="B6701" s="501"/>
      <c r="C6701" s="502"/>
      <c r="D6701" s="497"/>
      <c r="E6701" s="497"/>
      <c r="F6701" s="502"/>
      <c r="G6701" s="497"/>
      <c r="H6701" s="497"/>
      <c r="I6701" s="497"/>
      <c r="J6701" s="497"/>
      <c r="K6701" s="500"/>
      <c r="L6701" s="497"/>
      <c r="M6701"/>
      <c r="N6701" s="498"/>
      <c r="O6701" s="498"/>
      <c r="P6701" s="498"/>
      <c r="Q6701" s="498"/>
      <c r="R6701" s="498"/>
      <c r="T6701" s="498"/>
      <c r="U6701" s="498"/>
      <c r="V6701" s="498"/>
      <c r="W6701" s="498"/>
      <c r="X6701" s="498"/>
      <c r="Y6701" s="498"/>
      <c r="Z6701" s="498"/>
      <c r="AA6701" s="498"/>
      <c r="AB6701" s="498"/>
      <c r="AC6701" s="498"/>
      <c r="AD6701" s="498"/>
      <c r="AE6701" s="498"/>
      <c r="AF6701" s="498"/>
      <c r="AG6701" s="498"/>
      <c r="AH6701" s="498"/>
      <c r="AI6701" s="498"/>
      <c r="AK6701" s="498"/>
      <c r="AL6701" s="498"/>
      <c r="AM6701" s="498"/>
      <c r="AN6701" s="498"/>
      <c r="AO6701" s="498"/>
      <c r="AP6701" s="498"/>
      <c r="AQ6701" s="498"/>
      <c r="AR6701" s="498"/>
      <c r="AS6701" s="498"/>
      <c r="AT6701" s="498"/>
      <c r="AU6701" s="498"/>
      <c r="AV6701" s="498"/>
      <c r="AW6701" s="498"/>
      <c r="AX6701" s="498"/>
      <c r="AY6701" s="498"/>
      <c r="AZ6701" s="498"/>
      <c r="BA6701" s="498"/>
    </row>
    <row r="6702" spans="1:53" s="499" customFormat="1" x14ac:dyDescent="0.25">
      <c r="A6702" s="500"/>
      <c r="B6702" s="501"/>
      <c r="C6702" s="502"/>
      <c r="D6702" s="497"/>
      <c r="E6702" s="497"/>
      <c r="F6702" s="502"/>
      <c r="G6702" s="497"/>
      <c r="H6702" s="497"/>
      <c r="I6702" s="497"/>
      <c r="J6702" s="497"/>
      <c r="K6702" s="500"/>
      <c r="L6702" s="497"/>
      <c r="M6702"/>
      <c r="N6702" s="498"/>
      <c r="O6702" s="498"/>
      <c r="P6702" s="498"/>
      <c r="Q6702" s="498"/>
      <c r="R6702" s="498"/>
      <c r="T6702" s="498"/>
      <c r="U6702" s="498"/>
      <c r="V6702" s="498"/>
      <c r="W6702" s="498"/>
      <c r="X6702" s="498"/>
      <c r="Y6702" s="498"/>
      <c r="Z6702" s="498"/>
      <c r="AA6702" s="498"/>
      <c r="AB6702" s="498"/>
      <c r="AC6702" s="498"/>
      <c r="AD6702" s="498"/>
      <c r="AE6702" s="498"/>
      <c r="AF6702" s="498"/>
      <c r="AG6702" s="498"/>
      <c r="AH6702" s="498"/>
      <c r="AI6702" s="498"/>
      <c r="AK6702" s="498"/>
      <c r="AL6702" s="498"/>
      <c r="AM6702" s="498"/>
      <c r="AN6702" s="498"/>
      <c r="AO6702" s="498"/>
      <c r="AP6702" s="498"/>
      <c r="AQ6702" s="498"/>
      <c r="AR6702" s="498"/>
      <c r="AS6702" s="498"/>
      <c r="AT6702" s="498"/>
      <c r="AU6702" s="498"/>
      <c r="AV6702" s="498"/>
      <c r="AW6702" s="498"/>
      <c r="AX6702" s="498"/>
      <c r="AY6702" s="498"/>
      <c r="AZ6702" s="498"/>
      <c r="BA6702" s="498"/>
    </row>
    <row r="6703" spans="1:53" s="499" customFormat="1" x14ac:dyDescent="0.25">
      <c r="A6703" s="500"/>
      <c r="B6703" s="501"/>
      <c r="C6703" s="502"/>
      <c r="D6703" s="497"/>
      <c r="E6703" s="497"/>
      <c r="F6703" s="502"/>
      <c r="G6703" s="497"/>
      <c r="H6703" s="497"/>
      <c r="I6703" s="497"/>
      <c r="J6703" s="497"/>
      <c r="K6703" s="500"/>
      <c r="L6703" s="497"/>
      <c r="M6703"/>
      <c r="N6703" s="498"/>
      <c r="O6703" s="498"/>
      <c r="P6703" s="498"/>
      <c r="Q6703" s="498"/>
      <c r="R6703" s="498"/>
      <c r="T6703" s="498"/>
      <c r="U6703" s="498"/>
      <c r="V6703" s="498"/>
      <c r="W6703" s="498"/>
      <c r="X6703" s="498"/>
      <c r="Y6703" s="498"/>
      <c r="Z6703" s="498"/>
      <c r="AA6703" s="498"/>
      <c r="AB6703" s="498"/>
      <c r="AC6703" s="498"/>
      <c r="AD6703" s="498"/>
      <c r="AE6703" s="498"/>
      <c r="AF6703" s="498"/>
      <c r="AG6703" s="498"/>
      <c r="AH6703" s="498"/>
      <c r="AI6703" s="498"/>
      <c r="AK6703" s="498"/>
      <c r="AL6703" s="498"/>
      <c r="AM6703" s="498"/>
      <c r="AN6703" s="498"/>
      <c r="AO6703" s="498"/>
      <c r="AP6703" s="498"/>
      <c r="AQ6703" s="498"/>
      <c r="AR6703" s="498"/>
      <c r="AS6703" s="498"/>
      <c r="AT6703" s="498"/>
      <c r="AU6703" s="498"/>
      <c r="AV6703" s="498"/>
      <c r="AW6703" s="498"/>
      <c r="AX6703" s="498"/>
      <c r="AY6703" s="498"/>
      <c r="AZ6703" s="498"/>
      <c r="BA6703" s="498"/>
    </row>
    <row r="6704" spans="1:53" s="499" customFormat="1" x14ac:dyDescent="0.25">
      <c r="A6704" s="500"/>
      <c r="B6704" s="501"/>
      <c r="C6704" s="502"/>
      <c r="D6704" s="497"/>
      <c r="E6704" s="497"/>
      <c r="F6704" s="502"/>
      <c r="G6704" s="497"/>
      <c r="H6704" s="497"/>
      <c r="I6704" s="497"/>
      <c r="J6704" s="497"/>
      <c r="K6704" s="500"/>
      <c r="L6704" s="497"/>
      <c r="M6704"/>
      <c r="N6704" s="498"/>
      <c r="O6704" s="498"/>
      <c r="P6704" s="498"/>
      <c r="Q6704" s="498"/>
      <c r="R6704" s="498"/>
      <c r="T6704" s="498"/>
      <c r="U6704" s="498"/>
      <c r="V6704" s="498"/>
      <c r="W6704" s="498"/>
      <c r="X6704" s="498"/>
      <c r="Y6704" s="498"/>
      <c r="Z6704" s="498"/>
      <c r="AA6704" s="498"/>
      <c r="AB6704" s="498"/>
      <c r="AC6704" s="498"/>
      <c r="AD6704" s="498"/>
      <c r="AE6704" s="498"/>
      <c r="AF6704" s="498"/>
      <c r="AG6704" s="498"/>
      <c r="AH6704" s="498"/>
      <c r="AI6704" s="498"/>
      <c r="AK6704" s="498"/>
      <c r="AL6704" s="498"/>
      <c r="AM6704" s="498"/>
      <c r="AN6704" s="498"/>
      <c r="AO6704" s="498"/>
      <c r="AP6704" s="498"/>
      <c r="AQ6704" s="498"/>
      <c r="AR6704" s="498"/>
      <c r="AS6704" s="498"/>
      <c r="AT6704" s="498"/>
      <c r="AU6704" s="498"/>
      <c r="AV6704" s="498"/>
      <c r="AW6704" s="498"/>
      <c r="AX6704" s="498"/>
      <c r="AY6704" s="498"/>
      <c r="AZ6704" s="498"/>
      <c r="BA6704" s="498"/>
    </row>
    <row r="6705" spans="1:53" s="499" customFormat="1" x14ac:dyDescent="0.25">
      <c r="A6705" s="500"/>
      <c r="B6705" s="501"/>
      <c r="C6705" s="502"/>
      <c r="D6705" s="497"/>
      <c r="E6705" s="497"/>
      <c r="F6705" s="502"/>
      <c r="G6705" s="497"/>
      <c r="H6705" s="497"/>
      <c r="I6705" s="497"/>
      <c r="J6705" s="497"/>
      <c r="K6705" s="500"/>
      <c r="L6705" s="497"/>
      <c r="M6705"/>
      <c r="N6705" s="498"/>
      <c r="O6705" s="498"/>
      <c r="P6705" s="498"/>
      <c r="Q6705" s="498"/>
      <c r="R6705" s="498"/>
      <c r="T6705" s="498"/>
      <c r="U6705" s="498"/>
      <c r="V6705" s="498"/>
      <c r="W6705" s="498"/>
      <c r="X6705" s="498"/>
      <c r="Y6705" s="498"/>
      <c r="Z6705" s="498"/>
      <c r="AA6705" s="498"/>
      <c r="AB6705" s="498"/>
      <c r="AC6705" s="498"/>
      <c r="AD6705" s="498"/>
      <c r="AE6705" s="498"/>
      <c r="AF6705" s="498"/>
      <c r="AG6705" s="498"/>
      <c r="AH6705" s="498"/>
      <c r="AI6705" s="498"/>
      <c r="AK6705" s="498"/>
      <c r="AL6705" s="498"/>
      <c r="AM6705" s="498"/>
      <c r="AN6705" s="498"/>
      <c r="AO6705" s="498"/>
      <c r="AP6705" s="498"/>
      <c r="AQ6705" s="498"/>
      <c r="AR6705" s="498"/>
      <c r="AS6705" s="498"/>
      <c r="AT6705" s="498"/>
      <c r="AU6705" s="498"/>
      <c r="AV6705" s="498"/>
      <c r="AW6705" s="498"/>
      <c r="AX6705" s="498"/>
      <c r="AY6705" s="498"/>
      <c r="AZ6705" s="498"/>
      <c r="BA6705" s="498"/>
    </row>
    <row r="6706" spans="1:53" s="499" customFormat="1" x14ac:dyDescent="0.25">
      <c r="A6706" s="500"/>
      <c r="B6706" s="501"/>
      <c r="C6706" s="502"/>
      <c r="D6706" s="497"/>
      <c r="E6706" s="497"/>
      <c r="F6706" s="502"/>
      <c r="G6706" s="497"/>
      <c r="H6706" s="497"/>
      <c r="I6706" s="497"/>
      <c r="J6706" s="497"/>
      <c r="K6706" s="500"/>
      <c r="L6706" s="497"/>
      <c r="M6706"/>
      <c r="N6706" s="498"/>
      <c r="O6706" s="498"/>
      <c r="P6706" s="498"/>
      <c r="Q6706" s="498"/>
      <c r="R6706" s="498"/>
      <c r="T6706" s="498"/>
      <c r="U6706" s="498"/>
      <c r="V6706" s="498"/>
      <c r="W6706" s="498"/>
      <c r="X6706" s="498"/>
      <c r="Y6706" s="498"/>
      <c r="Z6706" s="498"/>
      <c r="AA6706" s="498"/>
      <c r="AB6706" s="498"/>
      <c r="AC6706" s="498"/>
      <c r="AD6706" s="498"/>
      <c r="AE6706" s="498"/>
      <c r="AF6706" s="498"/>
      <c r="AG6706" s="498"/>
      <c r="AH6706" s="498"/>
      <c r="AI6706" s="498"/>
      <c r="AK6706" s="498"/>
      <c r="AL6706" s="498"/>
      <c r="AM6706" s="498"/>
      <c r="AN6706" s="498"/>
      <c r="AO6706" s="498"/>
      <c r="AP6706" s="498"/>
      <c r="AQ6706" s="498"/>
      <c r="AR6706" s="498"/>
      <c r="AS6706" s="498"/>
      <c r="AT6706" s="498"/>
      <c r="AU6706" s="498"/>
      <c r="AV6706" s="498"/>
      <c r="AW6706" s="498"/>
      <c r="AX6706" s="498"/>
      <c r="AY6706" s="498"/>
      <c r="AZ6706" s="498"/>
      <c r="BA6706" s="498"/>
    </row>
    <row r="6707" spans="1:53" s="499" customFormat="1" x14ac:dyDescent="0.25">
      <c r="A6707" s="500"/>
      <c r="B6707" s="501"/>
      <c r="C6707" s="502"/>
      <c r="D6707" s="497"/>
      <c r="E6707" s="497"/>
      <c r="F6707" s="502"/>
      <c r="G6707" s="497"/>
      <c r="H6707" s="497"/>
      <c r="I6707" s="497"/>
      <c r="J6707" s="497"/>
      <c r="K6707" s="500"/>
      <c r="L6707" s="497"/>
      <c r="M6707"/>
      <c r="N6707" s="498"/>
      <c r="O6707" s="498"/>
      <c r="P6707" s="498"/>
      <c r="Q6707" s="498"/>
      <c r="R6707" s="498"/>
      <c r="T6707" s="498"/>
      <c r="U6707" s="498"/>
      <c r="V6707" s="498"/>
      <c r="W6707" s="498"/>
      <c r="X6707" s="498"/>
      <c r="Y6707" s="498"/>
      <c r="Z6707" s="498"/>
      <c r="AA6707" s="498"/>
      <c r="AB6707" s="498"/>
      <c r="AC6707" s="498"/>
      <c r="AD6707" s="498"/>
      <c r="AE6707" s="498"/>
      <c r="AF6707" s="498"/>
      <c r="AG6707" s="498"/>
      <c r="AH6707" s="498"/>
      <c r="AI6707" s="498"/>
      <c r="AK6707" s="498"/>
      <c r="AL6707" s="498"/>
      <c r="AM6707" s="498"/>
      <c r="AN6707" s="498"/>
      <c r="AO6707" s="498"/>
      <c r="AP6707" s="498"/>
      <c r="AQ6707" s="498"/>
      <c r="AR6707" s="498"/>
      <c r="AS6707" s="498"/>
      <c r="AT6707" s="498"/>
      <c r="AU6707" s="498"/>
      <c r="AV6707" s="498"/>
      <c r="AW6707" s="498"/>
      <c r="AX6707" s="498"/>
      <c r="AY6707" s="498"/>
      <c r="AZ6707" s="498"/>
      <c r="BA6707" s="498"/>
    </row>
    <row r="6708" spans="1:53" s="499" customFormat="1" x14ac:dyDescent="0.25">
      <c r="A6708" s="500"/>
      <c r="B6708" s="501"/>
      <c r="C6708" s="502"/>
      <c r="D6708" s="497"/>
      <c r="E6708" s="497"/>
      <c r="F6708" s="502"/>
      <c r="G6708" s="497"/>
      <c r="H6708" s="497"/>
      <c r="I6708" s="497"/>
      <c r="J6708" s="497"/>
      <c r="K6708" s="500"/>
      <c r="L6708" s="497"/>
      <c r="M6708"/>
      <c r="N6708" s="498"/>
      <c r="O6708" s="498"/>
      <c r="P6708" s="498"/>
      <c r="Q6708" s="498"/>
      <c r="R6708" s="498"/>
      <c r="T6708" s="498"/>
      <c r="U6708" s="498"/>
      <c r="V6708" s="498"/>
      <c r="W6708" s="498"/>
      <c r="X6708" s="498"/>
      <c r="Y6708" s="498"/>
      <c r="Z6708" s="498"/>
      <c r="AA6708" s="498"/>
      <c r="AB6708" s="498"/>
      <c r="AC6708" s="498"/>
      <c r="AD6708" s="498"/>
      <c r="AE6708" s="498"/>
      <c r="AF6708" s="498"/>
      <c r="AG6708" s="498"/>
      <c r="AH6708" s="498"/>
      <c r="AI6708" s="498"/>
      <c r="AK6708" s="498"/>
      <c r="AL6708" s="498"/>
      <c r="AM6708" s="498"/>
      <c r="AN6708" s="498"/>
      <c r="AO6708" s="498"/>
      <c r="AP6708" s="498"/>
      <c r="AQ6708" s="498"/>
      <c r="AR6708" s="498"/>
      <c r="AS6708" s="498"/>
      <c r="AT6708" s="498"/>
      <c r="AU6708" s="498"/>
      <c r="AV6708" s="498"/>
      <c r="AW6708" s="498"/>
      <c r="AX6708" s="498"/>
      <c r="AY6708" s="498"/>
      <c r="AZ6708" s="498"/>
      <c r="BA6708" s="498"/>
    </row>
    <row r="6709" spans="1:53" s="499" customFormat="1" x14ac:dyDescent="0.25">
      <c r="A6709" s="500"/>
      <c r="B6709" s="501"/>
      <c r="C6709" s="502"/>
      <c r="D6709" s="497"/>
      <c r="E6709" s="497"/>
      <c r="F6709" s="502"/>
      <c r="G6709" s="497"/>
      <c r="H6709" s="497"/>
      <c r="I6709" s="497"/>
      <c r="J6709" s="497"/>
      <c r="K6709" s="500"/>
      <c r="L6709" s="497"/>
      <c r="M6709"/>
      <c r="N6709" s="498"/>
      <c r="O6709" s="498"/>
      <c r="P6709" s="498"/>
      <c r="Q6709" s="498"/>
      <c r="R6709" s="498"/>
      <c r="T6709" s="498"/>
      <c r="U6709" s="498"/>
      <c r="V6709" s="498"/>
      <c r="W6709" s="498"/>
      <c r="X6709" s="498"/>
      <c r="Y6709" s="498"/>
      <c r="Z6709" s="498"/>
      <c r="AA6709" s="498"/>
      <c r="AB6709" s="498"/>
      <c r="AC6709" s="498"/>
      <c r="AD6709" s="498"/>
      <c r="AE6709" s="498"/>
      <c r="AF6709" s="498"/>
      <c r="AG6709" s="498"/>
      <c r="AH6709" s="498"/>
      <c r="AI6709" s="498"/>
      <c r="AK6709" s="498"/>
      <c r="AL6709" s="498"/>
      <c r="AM6709" s="498"/>
      <c r="AN6709" s="498"/>
      <c r="AO6709" s="498"/>
      <c r="AP6709" s="498"/>
      <c r="AQ6709" s="498"/>
      <c r="AR6709" s="498"/>
      <c r="AS6709" s="498"/>
      <c r="AT6709" s="498"/>
      <c r="AU6709" s="498"/>
      <c r="AV6709" s="498"/>
      <c r="AW6709" s="498"/>
      <c r="AX6709" s="498"/>
      <c r="AY6709" s="498"/>
      <c r="AZ6709" s="498"/>
      <c r="BA6709" s="498"/>
    </row>
    <row r="6710" spans="1:53" s="499" customFormat="1" x14ac:dyDescent="0.25">
      <c r="A6710" s="500"/>
      <c r="B6710" s="501"/>
      <c r="C6710" s="502"/>
      <c r="D6710" s="497"/>
      <c r="E6710" s="497"/>
      <c r="F6710" s="502"/>
      <c r="G6710" s="497"/>
      <c r="H6710" s="497"/>
      <c r="I6710" s="497"/>
      <c r="J6710" s="497"/>
      <c r="K6710" s="500"/>
      <c r="L6710" s="497"/>
      <c r="M6710"/>
      <c r="N6710" s="498"/>
      <c r="O6710" s="498"/>
      <c r="P6710" s="498"/>
      <c r="Q6710" s="498"/>
      <c r="R6710" s="498"/>
      <c r="T6710" s="498"/>
      <c r="U6710" s="498"/>
      <c r="V6710" s="498"/>
      <c r="W6710" s="498"/>
      <c r="X6710" s="498"/>
      <c r="Y6710" s="498"/>
      <c r="Z6710" s="498"/>
      <c r="AA6710" s="498"/>
      <c r="AB6710" s="498"/>
      <c r="AC6710" s="498"/>
      <c r="AD6710" s="498"/>
      <c r="AE6710" s="498"/>
      <c r="AF6710" s="498"/>
      <c r="AG6710" s="498"/>
      <c r="AH6710" s="498"/>
      <c r="AI6710" s="498"/>
      <c r="AK6710" s="498"/>
      <c r="AL6710" s="498"/>
      <c r="AM6710" s="498"/>
      <c r="AN6710" s="498"/>
      <c r="AO6710" s="498"/>
      <c r="AP6710" s="498"/>
      <c r="AQ6710" s="498"/>
      <c r="AR6710" s="498"/>
      <c r="AS6710" s="498"/>
      <c r="AT6710" s="498"/>
      <c r="AU6710" s="498"/>
      <c r="AV6710" s="498"/>
      <c r="AW6710" s="498"/>
      <c r="AX6710" s="498"/>
      <c r="AY6710" s="498"/>
      <c r="AZ6710" s="498"/>
      <c r="BA6710" s="498"/>
    </row>
    <row r="6711" spans="1:53" s="499" customFormat="1" x14ac:dyDescent="0.25">
      <c r="A6711" s="500"/>
      <c r="B6711" s="501"/>
      <c r="C6711" s="502"/>
      <c r="D6711" s="497"/>
      <c r="E6711" s="497"/>
      <c r="F6711" s="502"/>
      <c r="G6711" s="497"/>
      <c r="H6711" s="497"/>
      <c r="I6711" s="497"/>
      <c r="J6711" s="497"/>
      <c r="K6711" s="500"/>
      <c r="L6711" s="497"/>
      <c r="M6711"/>
      <c r="N6711" s="498"/>
      <c r="O6711" s="498"/>
      <c r="P6711" s="498"/>
      <c r="Q6711" s="498"/>
      <c r="R6711" s="498"/>
      <c r="T6711" s="498"/>
      <c r="U6711" s="498"/>
      <c r="V6711" s="498"/>
      <c r="W6711" s="498"/>
      <c r="X6711" s="498"/>
      <c r="Y6711" s="498"/>
      <c r="Z6711" s="498"/>
      <c r="AA6711" s="498"/>
      <c r="AB6711" s="498"/>
      <c r="AC6711" s="498"/>
      <c r="AD6711" s="498"/>
      <c r="AE6711" s="498"/>
      <c r="AF6711" s="498"/>
      <c r="AG6711" s="498"/>
      <c r="AH6711" s="498"/>
      <c r="AI6711" s="498"/>
      <c r="AK6711" s="498"/>
      <c r="AL6711" s="498"/>
      <c r="AM6711" s="498"/>
      <c r="AN6711" s="498"/>
      <c r="AO6711" s="498"/>
      <c r="AP6711" s="498"/>
      <c r="AQ6711" s="498"/>
      <c r="AR6711" s="498"/>
      <c r="AS6711" s="498"/>
      <c r="AT6711" s="498"/>
      <c r="AU6711" s="498"/>
      <c r="AV6711" s="498"/>
      <c r="AW6711" s="498"/>
      <c r="AX6711" s="498"/>
      <c r="AY6711" s="498"/>
      <c r="AZ6711" s="498"/>
      <c r="BA6711" s="498"/>
    </row>
    <row r="6712" spans="1:53" s="499" customFormat="1" x14ac:dyDescent="0.25">
      <c r="A6712" s="500"/>
      <c r="B6712" s="501"/>
      <c r="C6712" s="502"/>
      <c r="D6712" s="497"/>
      <c r="E6712" s="497"/>
      <c r="F6712" s="502"/>
      <c r="G6712" s="497"/>
      <c r="H6712" s="497"/>
      <c r="I6712" s="497"/>
      <c r="J6712" s="497"/>
      <c r="K6712" s="500"/>
      <c r="L6712" s="497"/>
      <c r="M6712"/>
      <c r="N6712" s="498"/>
      <c r="O6712" s="498"/>
      <c r="P6712" s="498"/>
      <c r="Q6712" s="498"/>
      <c r="R6712" s="498"/>
      <c r="T6712" s="498"/>
      <c r="U6712" s="498"/>
      <c r="V6712" s="498"/>
      <c r="W6712" s="498"/>
      <c r="X6712" s="498"/>
      <c r="Y6712" s="498"/>
      <c r="Z6712" s="498"/>
      <c r="AA6712" s="498"/>
      <c r="AB6712" s="498"/>
      <c r="AC6712" s="498"/>
      <c r="AD6712" s="498"/>
      <c r="AE6712" s="498"/>
      <c r="AF6712" s="498"/>
      <c r="AG6712" s="498"/>
      <c r="AH6712" s="498"/>
      <c r="AI6712" s="498"/>
      <c r="AK6712" s="498"/>
      <c r="AL6712" s="498"/>
      <c r="AM6712" s="498"/>
      <c r="AN6712" s="498"/>
      <c r="AO6712" s="498"/>
      <c r="AP6712" s="498"/>
      <c r="AQ6712" s="498"/>
      <c r="AR6712" s="498"/>
      <c r="AS6712" s="498"/>
      <c r="AT6712" s="498"/>
      <c r="AU6712" s="498"/>
      <c r="AV6712" s="498"/>
      <c r="AW6712" s="498"/>
      <c r="AX6712" s="498"/>
      <c r="AY6712" s="498"/>
      <c r="AZ6712" s="498"/>
      <c r="BA6712" s="498"/>
    </row>
    <row r="6713" spans="1:53" s="499" customFormat="1" x14ac:dyDescent="0.25">
      <c r="A6713" s="500"/>
      <c r="B6713" s="501"/>
      <c r="C6713" s="502"/>
      <c r="D6713" s="497"/>
      <c r="E6713" s="497"/>
      <c r="F6713" s="502"/>
      <c r="G6713" s="497"/>
      <c r="H6713" s="497"/>
      <c r="I6713" s="497"/>
      <c r="J6713" s="497"/>
      <c r="K6713" s="500"/>
      <c r="L6713" s="497"/>
      <c r="M6713"/>
      <c r="N6713" s="498"/>
      <c r="O6713" s="498"/>
      <c r="P6713" s="498"/>
      <c r="Q6713" s="498"/>
      <c r="R6713" s="498"/>
      <c r="T6713" s="498"/>
      <c r="U6713" s="498"/>
      <c r="V6713" s="498"/>
      <c r="W6713" s="498"/>
      <c r="X6713" s="498"/>
      <c r="Y6713" s="498"/>
      <c r="Z6713" s="498"/>
      <c r="AA6713" s="498"/>
      <c r="AB6713" s="498"/>
      <c r="AC6713" s="498"/>
      <c r="AD6713" s="498"/>
      <c r="AE6713" s="498"/>
      <c r="AF6713" s="498"/>
      <c r="AG6713" s="498"/>
      <c r="AH6713" s="498"/>
      <c r="AI6713" s="498"/>
      <c r="AK6713" s="498"/>
      <c r="AL6713" s="498"/>
      <c r="AM6713" s="498"/>
      <c r="AN6713" s="498"/>
      <c r="AO6713" s="498"/>
      <c r="AP6713" s="498"/>
      <c r="AQ6713" s="498"/>
      <c r="AR6713" s="498"/>
      <c r="AS6713" s="498"/>
      <c r="AT6713" s="498"/>
      <c r="AU6713" s="498"/>
      <c r="AV6713" s="498"/>
      <c r="AW6713" s="498"/>
      <c r="AX6713" s="498"/>
      <c r="AY6713" s="498"/>
      <c r="AZ6713" s="498"/>
      <c r="BA6713" s="498"/>
    </row>
    <row r="6714" spans="1:53" s="499" customFormat="1" x14ac:dyDescent="0.25">
      <c r="A6714" s="500"/>
      <c r="B6714" s="501"/>
      <c r="C6714" s="502"/>
      <c r="D6714" s="497"/>
      <c r="E6714" s="497"/>
      <c r="F6714" s="502"/>
      <c r="G6714" s="497"/>
      <c r="H6714" s="497"/>
      <c r="I6714" s="497"/>
      <c r="J6714" s="497"/>
      <c r="K6714" s="500"/>
      <c r="L6714" s="497"/>
      <c r="M6714"/>
      <c r="N6714" s="498"/>
      <c r="O6714" s="498"/>
      <c r="P6714" s="498"/>
      <c r="Q6714" s="498"/>
      <c r="R6714" s="498"/>
      <c r="T6714" s="498"/>
      <c r="U6714" s="498"/>
      <c r="V6714" s="498"/>
      <c r="W6714" s="498"/>
      <c r="X6714" s="498"/>
      <c r="Y6714" s="498"/>
      <c r="Z6714" s="498"/>
      <c r="AA6714" s="498"/>
      <c r="AB6714" s="498"/>
      <c r="AC6714" s="498"/>
      <c r="AD6714" s="498"/>
      <c r="AE6714" s="498"/>
      <c r="AF6714" s="498"/>
      <c r="AG6714" s="498"/>
      <c r="AH6714" s="498"/>
      <c r="AI6714" s="498"/>
      <c r="AK6714" s="498"/>
      <c r="AL6714" s="498"/>
      <c r="AM6714" s="498"/>
      <c r="AN6714" s="498"/>
      <c r="AO6714" s="498"/>
      <c r="AP6714" s="498"/>
      <c r="AQ6714" s="498"/>
      <c r="AR6714" s="498"/>
      <c r="AS6714" s="498"/>
      <c r="AT6714" s="498"/>
      <c r="AU6714" s="498"/>
      <c r="AV6714" s="498"/>
      <c r="AW6714" s="498"/>
      <c r="AX6714" s="498"/>
      <c r="AY6714" s="498"/>
      <c r="AZ6714" s="498"/>
      <c r="BA6714" s="498"/>
    </row>
    <row r="6715" spans="1:53" s="499" customFormat="1" x14ac:dyDescent="0.25">
      <c r="A6715" s="500"/>
      <c r="B6715" s="501"/>
      <c r="C6715" s="502"/>
      <c r="D6715" s="497"/>
      <c r="E6715" s="497"/>
      <c r="F6715" s="502"/>
      <c r="G6715" s="497"/>
      <c r="H6715" s="497"/>
      <c r="I6715" s="497"/>
      <c r="J6715" s="497"/>
      <c r="K6715" s="500"/>
      <c r="L6715" s="497"/>
      <c r="M6715"/>
      <c r="N6715" s="498"/>
      <c r="O6715" s="498"/>
      <c r="P6715" s="498"/>
      <c r="Q6715" s="498"/>
      <c r="R6715" s="498"/>
      <c r="T6715" s="498"/>
      <c r="U6715" s="498"/>
      <c r="V6715" s="498"/>
      <c r="W6715" s="498"/>
      <c r="X6715" s="498"/>
      <c r="Y6715" s="498"/>
      <c r="Z6715" s="498"/>
      <c r="AA6715" s="498"/>
      <c r="AB6715" s="498"/>
      <c r="AC6715" s="498"/>
      <c r="AD6715" s="498"/>
      <c r="AE6715" s="498"/>
      <c r="AF6715" s="498"/>
      <c r="AG6715" s="498"/>
      <c r="AH6715" s="498"/>
      <c r="AI6715" s="498"/>
      <c r="AK6715" s="498"/>
      <c r="AL6715" s="498"/>
      <c r="AM6715" s="498"/>
      <c r="AN6715" s="498"/>
      <c r="AO6715" s="498"/>
      <c r="AP6715" s="498"/>
      <c r="AQ6715" s="498"/>
      <c r="AR6715" s="498"/>
      <c r="AS6715" s="498"/>
      <c r="AT6715" s="498"/>
      <c r="AU6715" s="498"/>
      <c r="AV6715" s="498"/>
      <c r="AW6715" s="498"/>
      <c r="AX6715" s="498"/>
      <c r="AY6715" s="498"/>
      <c r="AZ6715" s="498"/>
      <c r="BA6715" s="498"/>
    </row>
    <row r="6716" spans="1:53" s="499" customFormat="1" x14ac:dyDescent="0.25">
      <c r="A6716" s="500"/>
      <c r="B6716" s="501"/>
      <c r="C6716" s="502"/>
      <c r="D6716" s="497"/>
      <c r="E6716" s="497"/>
      <c r="F6716" s="502"/>
      <c r="G6716" s="497"/>
      <c r="H6716" s="497"/>
      <c r="I6716" s="497"/>
      <c r="J6716" s="497"/>
      <c r="K6716" s="500"/>
      <c r="L6716" s="497"/>
      <c r="M6716"/>
      <c r="N6716" s="498"/>
      <c r="O6716" s="498"/>
      <c r="P6716" s="498"/>
      <c r="Q6716" s="498"/>
      <c r="R6716" s="498"/>
      <c r="T6716" s="498"/>
      <c r="U6716" s="498"/>
      <c r="V6716" s="498"/>
      <c r="W6716" s="498"/>
      <c r="X6716" s="498"/>
      <c r="Y6716" s="498"/>
      <c r="Z6716" s="498"/>
      <c r="AA6716" s="498"/>
      <c r="AB6716" s="498"/>
      <c r="AC6716" s="498"/>
      <c r="AD6716" s="498"/>
      <c r="AE6716" s="498"/>
      <c r="AF6716" s="498"/>
      <c r="AG6716" s="498"/>
      <c r="AH6716" s="498"/>
      <c r="AI6716" s="498"/>
      <c r="AK6716" s="498"/>
      <c r="AL6716" s="498"/>
      <c r="AM6716" s="498"/>
      <c r="AN6716" s="498"/>
      <c r="AO6716" s="498"/>
      <c r="AP6716" s="498"/>
      <c r="AQ6716" s="498"/>
      <c r="AR6716" s="498"/>
      <c r="AS6716" s="498"/>
      <c r="AT6716" s="498"/>
      <c r="AU6716" s="498"/>
      <c r="AV6716" s="498"/>
      <c r="AW6716" s="498"/>
      <c r="AX6716" s="498"/>
      <c r="AY6716" s="498"/>
      <c r="AZ6716" s="498"/>
      <c r="BA6716" s="498"/>
    </row>
    <row r="6717" spans="1:53" s="499" customFormat="1" x14ac:dyDescent="0.25">
      <c r="A6717" s="500"/>
      <c r="B6717" s="501"/>
      <c r="C6717" s="502"/>
      <c r="D6717" s="497"/>
      <c r="E6717" s="497"/>
      <c r="F6717" s="502"/>
      <c r="G6717" s="497"/>
      <c r="H6717" s="497"/>
      <c r="I6717" s="497"/>
      <c r="J6717" s="497"/>
      <c r="K6717" s="500"/>
      <c r="L6717" s="497"/>
      <c r="M6717"/>
      <c r="N6717" s="498"/>
      <c r="O6717" s="498"/>
      <c r="P6717" s="498"/>
      <c r="Q6717" s="498"/>
      <c r="R6717" s="498"/>
      <c r="T6717" s="498"/>
      <c r="U6717" s="498"/>
      <c r="V6717" s="498"/>
      <c r="W6717" s="498"/>
      <c r="X6717" s="498"/>
      <c r="Y6717" s="498"/>
      <c r="Z6717" s="498"/>
      <c r="AA6717" s="498"/>
      <c r="AB6717" s="498"/>
      <c r="AC6717" s="498"/>
      <c r="AD6717" s="498"/>
      <c r="AE6717" s="498"/>
      <c r="AF6717" s="498"/>
      <c r="AG6717" s="498"/>
      <c r="AH6717" s="498"/>
      <c r="AI6717" s="498"/>
      <c r="AK6717" s="498"/>
      <c r="AL6717" s="498"/>
      <c r="AM6717" s="498"/>
      <c r="AN6717" s="498"/>
      <c r="AO6717" s="498"/>
      <c r="AP6717" s="498"/>
      <c r="AQ6717" s="498"/>
      <c r="AR6717" s="498"/>
      <c r="AS6717" s="498"/>
      <c r="AT6717" s="498"/>
      <c r="AU6717" s="498"/>
      <c r="AV6717" s="498"/>
      <c r="AW6717" s="498"/>
      <c r="AX6717" s="498"/>
      <c r="AY6717" s="498"/>
      <c r="AZ6717" s="498"/>
      <c r="BA6717" s="498"/>
    </row>
    <row r="6718" spans="1:53" s="499" customFormat="1" x14ac:dyDescent="0.25">
      <c r="A6718" s="500"/>
      <c r="B6718" s="501"/>
      <c r="C6718" s="502"/>
      <c r="D6718" s="497"/>
      <c r="E6718" s="497"/>
      <c r="F6718" s="502"/>
      <c r="G6718" s="497"/>
      <c r="H6718" s="497"/>
      <c r="I6718" s="497"/>
      <c r="J6718" s="497"/>
      <c r="K6718" s="500"/>
      <c r="L6718" s="497"/>
      <c r="M6718"/>
      <c r="N6718" s="498"/>
      <c r="O6718" s="498"/>
      <c r="P6718" s="498"/>
      <c r="Q6718" s="498"/>
      <c r="R6718" s="498"/>
      <c r="T6718" s="498"/>
      <c r="U6718" s="498"/>
      <c r="V6718" s="498"/>
      <c r="W6718" s="498"/>
      <c r="X6718" s="498"/>
      <c r="Y6718" s="498"/>
      <c r="Z6718" s="498"/>
      <c r="AA6718" s="498"/>
      <c r="AB6718" s="498"/>
      <c r="AC6718" s="498"/>
      <c r="AD6718" s="498"/>
      <c r="AE6718" s="498"/>
      <c r="AF6718" s="498"/>
      <c r="AG6718" s="498"/>
      <c r="AH6718" s="498"/>
      <c r="AI6718" s="498"/>
      <c r="AK6718" s="498"/>
      <c r="AL6718" s="498"/>
      <c r="AM6718" s="498"/>
      <c r="AN6718" s="498"/>
      <c r="AO6718" s="498"/>
      <c r="AP6718" s="498"/>
      <c r="AQ6718" s="498"/>
      <c r="AR6718" s="498"/>
      <c r="AS6718" s="498"/>
      <c r="AT6718" s="498"/>
      <c r="AU6718" s="498"/>
      <c r="AV6718" s="498"/>
      <c r="AW6718" s="498"/>
      <c r="AX6718" s="498"/>
      <c r="AY6718" s="498"/>
      <c r="AZ6718" s="498"/>
      <c r="BA6718" s="498"/>
    </row>
    <row r="6719" spans="1:53" s="499" customFormat="1" x14ac:dyDescent="0.25">
      <c r="A6719" s="500"/>
      <c r="B6719" s="501"/>
      <c r="C6719" s="502"/>
      <c r="D6719" s="497"/>
      <c r="E6719" s="497"/>
      <c r="F6719" s="502"/>
      <c r="G6719" s="497"/>
      <c r="H6719" s="497"/>
      <c r="I6719" s="497"/>
      <c r="J6719" s="497"/>
      <c r="K6719" s="500"/>
      <c r="L6719" s="497"/>
      <c r="M6719"/>
      <c r="N6719" s="498"/>
      <c r="O6719" s="498"/>
      <c r="P6719" s="498"/>
      <c r="Q6719" s="498"/>
      <c r="R6719" s="498"/>
      <c r="T6719" s="498"/>
      <c r="U6719" s="498"/>
      <c r="V6719" s="498"/>
      <c r="W6719" s="498"/>
      <c r="X6719" s="498"/>
      <c r="Y6719" s="498"/>
      <c r="Z6719" s="498"/>
      <c r="AA6719" s="498"/>
      <c r="AB6719" s="498"/>
      <c r="AC6719" s="498"/>
      <c r="AD6719" s="498"/>
      <c r="AE6719" s="498"/>
      <c r="AF6719" s="498"/>
      <c r="AG6719" s="498"/>
      <c r="AH6719" s="498"/>
      <c r="AI6719" s="498"/>
      <c r="AK6719" s="498"/>
      <c r="AL6719" s="498"/>
      <c r="AM6719" s="498"/>
      <c r="AN6719" s="498"/>
      <c r="AO6719" s="498"/>
      <c r="AP6719" s="498"/>
      <c r="AQ6719" s="498"/>
      <c r="AR6719" s="498"/>
      <c r="AS6719" s="498"/>
      <c r="AT6719" s="498"/>
      <c r="AU6719" s="498"/>
      <c r="AV6719" s="498"/>
      <c r="AW6719" s="498"/>
      <c r="AX6719" s="498"/>
      <c r="AY6719" s="498"/>
      <c r="AZ6719" s="498"/>
      <c r="BA6719" s="498"/>
    </row>
    <row r="6720" spans="1:53" s="499" customFormat="1" x14ac:dyDescent="0.25">
      <c r="A6720" s="500"/>
      <c r="B6720" s="501"/>
      <c r="C6720" s="502"/>
      <c r="D6720" s="497"/>
      <c r="E6720" s="497"/>
      <c r="F6720" s="502"/>
      <c r="G6720" s="497"/>
      <c r="H6720" s="497"/>
      <c r="I6720" s="497"/>
      <c r="J6720" s="497"/>
      <c r="K6720" s="500"/>
      <c r="L6720" s="497"/>
      <c r="M6720"/>
      <c r="N6720" s="498"/>
      <c r="O6720" s="498"/>
      <c r="P6720" s="498"/>
      <c r="Q6720" s="498"/>
      <c r="R6720" s="498"/>
      <c r="T6720" s="498"/>
      <c r="U6720" s="498"/>
      <c r="V6720" s="498"/>
      <c r="W6720" s="498"/>
      <c r="X6720" s="498"/>
      <c r="Y6720" s="498"/>
      <c r="Z6720" s="498"/>
      <c r="AA6720" s="498"/>
      <c r="AB6720" s="498"/>
      <c r="AC6720" s="498"/>
      <c r="AD6720" s="498"/>
      <c r="AE6720" s="498"/>
      <c r="AF6720" s="498"/>
      <c r="AG6720" s="498"/>
      <c r="AH6720" s="498"/>
      <c r="AI6720" s="498"/>
      <c r="AK6720" s="498"/>
      <c r="AL6720" s="498"/>
      <c r="AM6720" s="498"/>
      <c r="AN6720" s="498"/>
      <c r="AO6720" s="498"/>
      <c r="AP6720" s="498"/>
      <c r="AQ6720" s="498"/>
      <c r="AR6720" s="498"/>
      <c r="AS6720" s="498"/>
      <c r="AT6720" s="498"/>
      <c r="AU6720" s="498"/>
      <c r="AV6720" s="498"/>
      <c r="AW6720" s="498"/>
      <c r="AX6720" s="498"/>
      <c r="AY6720" s="498"/>
      <c r="AZ6720" s="498"/>
      <c r="BA6720" s="498"/>
    </row>
    <row r="6721" spans="1:53" s="499" customFormat="1" x14ac:dyDescent="0.25">
      <c r="A6721" s="500"/>
      <c r="B6721" s="501"/>
      <c r="C6721" s="502"/>
      <c r="D6721" s="497"/>
      <c r="E6721" s="497"/>
      <c r="F6721" s="502"/>
      <c r="G6721" s="497"/>
      <c r="H6721" s="497"/>
      <c r="I6721" s="497"/>
      <c r="J6721" s="497"/>
      <c r="K6721" s="500"/>
      <c r="L6721" s="497"/>
      <c r="M6721"/>
      <c r="N6721" s="498"/>
      <c r="O6721" s="498"/>
      <c r="P6721" s="498"/>
      <c r="Q6721" s="498"/>
      <c r="R6721" s="498"/>
      <c r="T6721" s="498"/>
      <c r="U6721" s="498"/>
      <c r="V6721" s="498"/>
      <c r="W6721" s="498"/>
      <c r="X6721" s="498"/>
      <c r="Y6721" s="498"/>
      <c r="Z6721" s="498"/>
      <c r="AA6721" s="498"/>
      <c r="AB6721" s="498"/>
      <c r="AC6721" s="498"/>
      <c r="AD6721" s="498"/>
      <c r="AE6721" s="498"/>
      <c r="AF6721" s="498"/>
      <c r="AG6721" s="498"/>
      <c r="AH6721" s="498"/>
      <c r="AI6721" s="498"/>
      <c r="AK6721" s="498"/>
      <c r="AL6721" s="498"/>
      <c r="AM6721" s="498"/>
      <c r="AN6721" s="498"/>
      <c r="AO6721" s="498"/>
      <c r="AP6721" s="498"/>
      <c r="AQ6721" s="498"/>
      <c r="AR6721" s="498"/>
      <c r="AS6721" s="498"/>
      <c r="AT6721" s="498"/>
      <c r="AU6721" s="498"/>
      <c r="AV6721" s="498"/>
      <c r="AW6721" s="498"/>
      <c r="AX6721" s="498"/>
      <c r="AY6721" s="498"/>
      <c r="AZ6721" s="498"/>
      <c r="BA6721" s="498"/>
    </row>
    <row r="6722" spans="1:53" s="499" customFormat="1" x14ac:dyDescent="0.25">
      <c r="A6722" s="500"/>
      <c r="B6722" s="501"/>
      <c r="C6722" s="502"/>
      <c r="D6722" s="497"/>
      <c r="E6722" s="497"/>
      <c r="F6722" s="502"/>
      <c r="G6722" s="497"/>
      <c r="H6722" s="497"/>
      <c r="I6722" s="497"/>
      <c r="J6722" s="497"/>
      <c r="K6722" s="500"/>
      <c r="L6722" s="497"/>
      <c r="M6722"/>
      <c r="N6722" s="498"/>
      <c r="O6722" s="498"/>
      <c r="P6722" s="498"/>
      <c r="Q6722" s="498"/>
      <c r="R6722" s="498"/>
      <c r="T6722" s="498"/>
      <c r="U6722" s="498"/>
      <c r="V6722" s="498"/>
      <c r="W6722" s="498"/>
      <c r="X6722" s="498"/>
      <c r="Y6722" s="498"/>
      <c r="Z6722" s="498"/>
      <c r="AA6722" s="498"/>
      <c r="AB6722" s="498"/>
      <c r="AC6722" s="498"/>
      <c r="AD6722" s="498"/>
      <c r="AE6722" s="498"/>
      <c r="AF6722" s="498"/>
      <c r="AG6722" s="498"/>
      <c r="AH6722" s="498"/>
      <c r="AI6722" s="498"/>
      <c r="AK6722" s="498"/>
      <c r="AL6722" s="498"/>
      <c r="AM6722" s="498"/>
      <c r="AN6722" s="498"/>
      <c r="AO6722" s="498"/>
      <c r="AP6722" s="498"/>
      <c r="AQ6722" s="498"/>
      <c r="AR6722" s="498"/>
      <c r="AS6722" s="498"/>
      <c r="AT6722" s="498"/>
      <c r="AU6722" s="498"/>
      <c r="AV6722" s="498"/>
      <c r="AW6722" s="498"/>
      <c r="AX6722" s="498"/>
      <c r="AY6722" s="498"/>
      <c r="AZ6722" s="498"/>
      <c r="BA6722" s="498"/>
    </row>
    <row r="6723" spans="1:53" s="499" customFormat="1" x14ac:dyDescent="0.25">
      <c r="A6723" s="500"/>
      <c r="B6723" s="501"/>
      <c r="C6723" s="502"/>
      <c r="D6723" s="497"/>
      <c r="E6723" s="497"/>
      <c r="F6723" s="502"/>
      <c r="G6723" s="497"/>
      <c r="H6723" s="497"/>
      <c r="I6723" s="497"/>
      <c r="J6723" s="497"/>
      <c r="K6723" s="500"/>
      <c r="L6723" s="497"/>
      <c r="M6723"/>
      <c r="N6723" s="498"/>
      <c r="O6723" s="498"/>
      <c r="P6723" s="498"/>
      <c r="Q6723" s="498"/>
      <c r="R6723" s="498"/>
      <c r="T6723" s="498"/>
      <c r="U6723" s="498"/>
      <c r="V6723" s="498"/>
      <c r="W6723" s="498"/>
      <c r="X6723" s="498"/>
      <c r="Y6723" s="498"/>
      <c r="Z6723" s="498"/>
      <c r="AA6723" s="498"/>
      <c r="AB6723" s="498"/>
      <c r="AC6723" s="498"/>
      <c r="AD6723" s="498"/>
      <c r="AE6723" s="498"/>
      <c r="AF6723" s="498"/>
      <c r="AG6723" s="498"/>
      <c r="AH6723" s="498"/>
      <c r="AI6723" s="498"/>
      <c r="AK6723" s="498"/>
      <c r="AL6723" s="498"/>
      <c r="AM6723" s="498"/>
      <c r="AN6723" s="498"/>
      <c r="AO6723" s="498"/>
      <c r="AP6723" s="498"/>
      <c r="AQ6723" s="498"/>
      <c r="AR6723" s="498"/>
      <c r="AS6723" s="498"/>
      <c r="AT6723" s="498"/>
      <c r="AU6723" s="498"/>
      <c r="AV6723" s="498"/>
      <c r="AW6723" s="498"/>
      <c r="AX6723" s="498"/>
      <c r="AY6723" s="498"/>
      <c r="AZ6723" s="498"/>
      <c r="BA6723" s="498"/>
    </row>
    <row r="6724" spans="1:53" s="499" customFormat="1" x14ac:dyDescent="0.25">
      <c r="A6724" s="500"/>
      <c r="B6724" s="501"/>
      <c r="C6724" s="502"/>
      <c r="D6724" s="497"/>
      <c r="E6724" s="497"/>
      <c r="F6724" s="502"/>
      <c r="G6724" s="497"/>
      <c r="H6724" s="497"/>
      <c r="I6724" s="497"/>
      <c r="J6724" s="497"/>
      <c r="K6724" s="500"/>
      <c r="L6724" s="497"/>
      <c r="M6724"/>
      <c r="N6724" s="498"/>
      <c r="O6724" s="498"/>
      <c r="P6724" s="498"/>
      <c r="Q6724" s="498"/>
      <c r="R6724" s="498"/>
      <c r="T6724" s="498"/>
      <c r="U6724" s="498"/>
      <c r="V6724" s="498"/>
      <c r="W6724" s="498"/>
      <c r="X6724" s="498"/>
      <c r="Y6724" s="498"/>
      <c r="Z6724" s="498"/>
      <c r="AA6724" s="498"/>
      <c r="AB6724" s="498"/>
      <c r="AC6724" s="498"/>
      <c r="AD6724" s="498"/>
      <c r="AE6724" s="498"/>
      <c r="AF6724" s="498"/>
      <c r="AG6724" s="498"/>
      <c r="AH6724" s="498"/>
      <c r="AI6724" s="498"/>
      <c r="AK6724" s="498"/>
      <c r="AL6724" s="498"/>
      <c r="AM6724" s="498"/>
      <c r="AN6724" s="498"/>
      <c r="AO6724" s="498"/>
      <c r="AP6724" s="498"/>
      <c r="AQ6724" s="498"/>
      <c r="AR6724" s="498"/>
      <c r="AS6724" s="498"/>
      <c r="AT6724" s="498"/>
      <c r="AU6724" s="498"/>
      <c r="AV6724" s="498"/>
      <c r="AW6724" s="498"/>
      <c r="AX6724" s="498"/>
      <c r="AY6724" s="498"/>
      <c r="AZ6724" s="498"/>
      <c r="BA6724" s="498"/>
    </row>
    <row r="6725" spans="1:53" s="499" customFormat="1" x14ac:dyDescent="0.25">
      <c r="A6725" s="500"/>
      <c r="B6725" s="501"/>
      <c r="C6725" s="502"/>
      <c r="D6725" s="497"/>
      <c r="E6725" s="497"/>
      <c r="F6725" s="502"/>
      <c r="G6725" s="497"/>
      <c r="H6725" s="497"/>
      <c r="I6725" s="497"/>
      <c r="J6725" s="497"/>
      <c r="K6725" s="500"/>
      <c r="L6725" s="497"/>
      <c r="M6725"/>
      <c r="N6725" s="498"/>
      <c r="O6725" s="498"/>
      <c r="P6725" s="498"/>
      <c r="Q6725" s="498"/>
      <c r="R6725" s="498"/>
      <c r="T6725" s="498"/>
      <c r="U6725" s="498"/>
      <c r="V6725" s="498"/>
      <c r="W6725" s="498"/>
      <c r="X6725" s="498"/>
      <c r="Y6725" s="498"/>
      <c r="Z6725" s="498"/>
      <c r="AA6725" s="498"/>
      <c r="AB6725" s="498"/>
      <c r="AC6725" s="498"/>
      <c r="AD6725" s="498"/>
      <c r="AE6725" s="498"/>
      <c r="AF6725" s="498"/>
      <c r="AG6725" s="498"/>
      <c r="AH6725" s="498"/>
      <c r="AI6725" s="498"/>
      <c r="AK6725" s="498"/>
      <c r="AL6725" s="498"/>
      <c r="AM6725" s="498"/>
      <c r="AN6725" s="498"/>
      <c r="AO6725" s="498"/>
      <c r="AP6725" s="498"/>
      <c r="AQ6725" s="498"/>
      <c r="AR6725" s="498"/>
      <c r="AS6725" s="498"/>
      <c r="AT6725" s="498"/>
      <c r="AU6725" s="498"/>
      <c r="AV6725" s="498"/>
      <c r="AW6725" s="498"/>
      <c r="AX6725" s="498"/>
      <c r="AY6725" s="498"/>
      <c r="AZ6725" s="498"/>
      <c r="BA6725" s="498"/>
    </row>
    <row r="6726" spans="1:53" s="499" customFormat="1" x14ac:dyDescent="0.25">
      <c r="A6726" s="500"/>
      <c r="B6726" s="501"/>
      <c r="C6726" s="502"/>
      <c r="D6726" s="497"/>
      <c r="E6726" s="497"/>
      <c r="F6726" s="502"/>
      <c r="G6726" s="497"/>
      <c r="H6726" s="497"/>
      <c r="I6726" s="497"/>
      <c r="J6726" s="497"/>
      <c r="K6726" s="500"/>
      <c r="L6726" s="497"/>
      <c r="M6726"/>
      <c r="N6726" s="498"/>
      <c r="O6726" s="498"/>
      <c r="P6726" s="498"/>
      <c r="Q6726" s="498"/>
      <c r="R6726" s="498"/>
      <c r="T6726" s="498"/>
      <c r="U6726" s="498"/>
      <c r="V6726" s="498"/>
      <c r="W6726" s="498"/>
      <c r="X6726" s="498"/>
      <c r="Y6726" s="498"/>
      <c r="Z6726" s="498"/>
      <c r="AA6726" s="498"/>
      <c r="AB6726" s="498"/>
      <c r="AC6726" s="498"/>
      <c r="AD6726" s="498"/>
      <c r="AE6726" s="498"/>
      <c r="AF6726" s="498"/>
      <c r="AG6726" s="498"/>
      <c r="AH6726" s="498"/>
      <c r="AI6726" s="498"/>
      <c r="AK6726" s="498"/>
      <c r="AL6726" s="498"/>
      <c r="AM6726" s="498"/>
      <c r="AN6726" s="498"/>
      <c r="AO6726" s="498"/>
      <c r="AP6726" s="498"/>
      <c r="AQ6726" s="498"/>
      <c r="AR6726" s="498"/>
      <c r="AS6726" s="498"/>
      <c r="AT6726" s="498"/>
      <c r="AU6726" s="498"/>
      <c r="AV6726" s="498"/>
      <c r="AW6726" s="498"/>
      <c r="AX6726" s="498"/>
      <c r="AY6726" s="498"/>
      <c r="AZ6726" s="498"/>
      <c r="BA6726" s="498"/>
    </row>
    <row r="6727" spans="1:53" s="499" customFormat="1" x14ac:dyDescent="0.25">
      <c r="A6727" s="500"/>
      <c r="B6727" s="501"/>
      <c r="C6727" s="502"/>
      <c r="D6727" s="497"/>
      <c r="E6727" s="497"/>
      <c r="F6727" s="502"/>
      <c r="G6727" s="497"/>
      <c r="H6727" s="497"/>
      <c r="I6727" s="497"/>
      <c r="J6727" s="497"/>
      <c r="K6727" s="500"/>
      <c r="L6727" s="497"/>
      <c r="M6727"/>
      <c r="N6727" s="498"/>
      <c r="O6727" s="498"/>
      <c r="P6727" s="498"/>
      <c r="Q6727" s="498"/>
      <c r="R6727" s="498"/>
      <c r="T6727" s="498"/>
      <c r="U6727" s="498"/>
      <c r="V6727" s="498"/>
      <c r="W6727" s="498"/>
      <c r="X6727" s="498"/>
      <c r="Y6727" s="498"/>
      <c r="Z6727" s="498"/>
      <c r="AA6727" s="498"/>
      <c r="AB6727" s="498"/>
      <c r="AC6727" s="498"/>
      <c r="AD6727" s="498"/>
      <c r="AE6727" s="498"/>
      <c r="AF6727" s="498"/>
      <c r="AG6727" s="498"/>
      <c r="AH6727" s="498"/>
      <c r="AI6727" s="498"/>
      <c r="AK6727" s="498"/>
      <c r="AL6727" s="498"/>
      <c r="AM6727" s="498"/>
      <c r="AN6727" s="498"/>
      <c r="AO6727" s="498"/>
      <c r="AP6727" s="498"/>
      <c r="AQ6727" s="498"/>
      <c r="AR6727" s="498"/>
      <c r="AS6727" s="498"/>
      <c r="AT6727" s="498"/>
      <c r="AU6727" s="498"/>
      <c r="AV6727" s="498"/>
      <c r="AW6727" s="498"/>
      <c r="AX6727" s="498"/>
      <c r="AY6727" s="498"/>
      <c r="AZ6727" s="498"/>
      <c r="BA6727" s="498"/>
    </row>
    <row r="6728" spans="1:53" s="499" customFormat="1" x14ac:dyDescent="0.25">
      <c r="A6728" s="500"/>
      <c r="B6728" s="501"/>
      <c r="C6728" s="502"/>
      <c r="D6728" s="497"/>
      <c r="E6728" s="497"/>
      <c r="F6728" s="502"/>
      <c r="G6728" s="497"/>
      <c r="H6728" s="497"/>
      <c r="I6728" s="497"/>
      <c r="J6728" s="497"/>
      <c r="K6728" s="500"/>
      <c r="L6728" s="497"/>
      <c r="M6728"/>
      <c r="N6728" s="498"/>
      <c r="O6728" s="498"/>
      <c r="P6728" s="498"/>
      <c r="Q6728" s="498"/>
      <c r="R6728" s="498"/>
      <c r="T6728" s="498"/>
      <c r="U6728" s="498"/>
      <c r="V6728" s="498"/>
      <c r="W6728" s="498"/>
      <c r="X6728" s="498"/>
      <c r="Y6728" s="498"/>
      <c r="Z6728" s="498"/>
      <c r="AA6728" s="498"/>
      <c r="AB6728" s="498"/>
      <c r="AC6728" s="498"/>
      <c r="AD6728" s="498"/>
      <c r="AE6728" s="498"/>
      <c r="AF6728" s="498"/>
      <c r="AG6728" s="498"/>
      <c r="AH6728" s="498"/>
      <c r="AI6728" s="498"/>
      <c r="AK6728" s="498"/>
      <c r="AL6728" s="498"/>
      <c r="AM6728" s="498"/>
      <c r="AN6728" s="498"/>
      <c r="AO6728" s="498"/>
      <c r="AP6728" s="498"/>
      <c r="AQ6728" s="498"/>
      <c r="AR6728" s="498"/>
      <c r="AS6728" s="498"/>
      <c r="AT6728" s="498"/>
      <c r="AU6728" s="498"/>
      <c r="AV6728" s="498"/>
      <c r="AW6728" s="498"/>
      <c r="AX6728" s="498"/>
      <c r="AY6728" s="498"/>
      <c r="AZ6728" s="498"/>
      <c r="BA6728" s="498"/>
    </row>
    <row r="6729" spans="1:53" s="499" customFormat="1" x14ac:dyDescent="0.25">
      <c r="A6729" s="500"/>
      <c r="B6729" s="501"/>
      <c r="C6729" s="502"/>
      <c r="D6729" s="497"/>
      <c r="E6729" s="497"/>
      <c r="F6729" s="502"/>
      <c r="G6729" s="497"/>
      <c r="H6729" s="497"/>
      <c r="I6729" s="497"/>
      <c r="J6729" s="497"/>
      <c r="K6729" s="500"/>
      <c r="L6729" s="497"/>
      <c r="M6729"/>
      <c r="N6729" s="498"/>
      <c r="O6729" s="498"/>
      <c r="P6729" s="498"/>
      <c r="Q6729" s="498"/>
      <c r="R6729" s="498"/>
      <c r="T6729" s="498"/>
      <c r="U6729" s="498"/>
      <c r="V6729" s="498"/>
      <c r="W6729" s="498"/>
      <c r="X6729" s="498"/>
      <c r="Y6729" s="498"/>
      <c r="Z6729" s="498"/>
      <c r="AA6729" s="498"/>
      <c r="AB6729" s="498"/>
      <c r="AC6729" s="498"/>
      <c r="AD6729" s="498"/>
      <c r="AE6729" s="498"/>
      <c r="AF6729" s="498"/>
      <c r="AG6729" s="498"/>
      <c r="AH6729" s="498"/>
      <c r="AI6729" s="498"/>
      <c r="AK6729" s="498"/>
      <c r="AL6729" s="498"/>
      <c r="AM6729" s="498"/>
      <c r="AN6729" s="498"/>
      <c r="AO6729" s="498"/>
      <c r="AP6729" s="498"/>
      <c r="AQ6729" s="498"/>
      <c r="AR6729" s="498"/>
      <c r="AS6729" s="498"/>
      <c r="AT6729" s="498"/>
      <c r="AU6729" s="498"/>
      <c r="AV6729" s="498"/>
      <c r="AW6729" s="498"/>
      <c r="AX6729" s="498"/>
      <c r="AY6729" s="498"/>
      <c r="AZ6729" s="498"/>
      <c r="BA6729" s="498"/>
    </row>
    <row r="6730" spans="1:53" s="499" customFormat="1" x14ac:dyDescent="0.25">
      <c r="A6730" s="500"/>
      <c r="B6730" s="501"/>
      <c r="C6730" s="502"/>
      <c r="D6730" s="497"/>
      <c r="E6730" s="497"/>
      <c r="F6730" s="502"/>
      <c r="G6730" s="497"/>
      <c r="H6730" s="497"/>
      <c r="I6730" s="497"/>
      <c r="J6730" s="497"/>
      <c r="K6730" s="500"/>
      <c r="L6730" s="497"/>
      <c r="M6730"/>
      <c r="N6730" s="498"/>
      <c r="O6730" s="498"/>
      <c r="P6730" s="498"/>
      <c r="Q6730" s="498"/>
      <c r="R6730" s="498"/>
      <c r="T6730" s="498"/>
      <c r="U6730" s="498"/>
      <c r="V6730" s="498"/>
      <c r="W6730" s="498"/>
      <c r="X6730" s="498"/>
      <c r="Y6730" s="498"/>
      <c r="Z6730" s="498"/>
      <c r="AA6730" s="498"/>
      <c r="AB6730" s="498"/>
      <c r="AC6730" s="498"/>
      <c r="AD6730" s="498"/>
      <c r="AE6730" s="498"/>
      <c r="AF6730" s="498"/>
      <c r="AG6730" s="498"/>
      <c r="AH6730" s="498"/>
      <c r="AI6730" s="498"/>
      <c r="AK6730" s="498"/>
      <c r="AL6730" s="498"/>
      <c r="AM6730" s="498"/>
      <c r="AN6730" s="498"/>
      <c r="AO6730" s="498"/>
      <c r="AP6730" s="498"/>
      <c r="AQ6730" s="498"/>
      <c r="AR6730" s="498"/>
      <c r="AS6730" s="498"/>
      <c r="AT6730" s="498"/>
      <c r="AU6730" s="498"/>
      <c r="AV6730" s="498"/>
      <c r="AW6730" s="498"/>
      <c r="AX6730" s="498"/>
      <c r="AY6730" s="498"/>
      <c r="AZ6730" s="498"/>
      <c r="BA6730" s="498"/>
    </row>
    <row r="6731" spans="1:53" s="499" customFormat="1" x14ac:dyDescent="0.25">
      <c r="A6731" s="500"/>
      <c r="B6731" s="501"/>
      <c r="C6731" s="502"/>
      <c r="D6731" s="497"/>
      <c r="E6731" s="497"/>
      <c r="F6731" s="502"/>
      <c r="G6731" s="497"/>
      <c r="H6731" s="497"/>
      <c r="I6731" s="497"/>
      <c r="J6731" s="497"/>
      <c r="K6731" s="500"/>
      <c r="L6731" s="497"/>
      <c r="M6731"/>
      <c r="N6731" s="498"/>
      <c r="O6731" s="498"/>
      <c r="P6731" s="498"/>
      <c r="Q6731" s="498"/>
      <c r="R6731" s="498"/>
      <c r="T6731" s="498"/>
      <c r="U6731" s="498"/>
      <c r="V6731" s="498"/>
      <c r="W6731" s="498"/>
      <c r="X6731" s="498"/>
      <c r="Y6731" s="498"/>
      <c r="Z6731" s="498"/>
      <c r="AA6731" s="498"/>
      <c r="AB6731" s="498"/>
      <c r="AC6731" s="498"/>
      <c r="AD6731" s="498"/>
      <c r="AE6731" s="498"/>
      <c r="AF6731" s="498"/>
      <c r="AG6731" s="498"/>
      <c r="AH6731" s="498"/>
      <c r="AI6731" s="498"/>
      <c r="AK6731" s="498"/>
      <c r="AL6731" s="498"/>
      <c r="AM6731" s="498"/>
      <c r="AN6731" s="498"/>
      <c r="AO6731" s="498"/>
      <c r="AP6731" s="498"/>
      <c r="AQ6731" s="498"/>
      <c r="AR6731" s="498"/>
      <c r="AS6731" s="498"/>
      <c r="AT6731" s="498"/>
      <c r="AU6731" s="498"/>
      <c r="AV6731" s="498"/>
      <c r="AW6731" s="498"/>
      <c r="AX6731" s="498"/>
      <c r="AY6731" s="498"/>
      <c r="AZ6731" s="498"/>
      <c r="BA6731" s="498"/>
    </row>
    <row r="6732" spans="1:53" s="499" customFormat="1" x14ac:dyDescent="0.25">
      <c r="A6732" s="500"/>
      <c r="B6732" s="501"/>
      <c r="C6732" s="502"/>
      <c r="D6732" s="497"/>
      <c r="E6732" s="497"/>
      <c r="F6732" s="502"/>
      <c r="G6732" s="497"/>
      <c r="H6732" s="497"/>
      <c r="I6732" s="497"/>
      <c r="J6732" s="497"/>
      <c r="K6732" s="500"/>
      <c r="L6732" s="497"/>
      <c r="M6732"/>
      <c r="N6732" s="498"/>
      <c r="O6732" s="498"/>
      <c r="P6732" s="498"/>
      <c r="Q6732" s="498"/>
      <c r="R6732" s="498"/>
      <c r="T6732" s="498"/>
      <c r="U6732" s="498"/>
      <c r="V6732" s="498"/>
      <c r="W6732" s="498"/>
      <c r="X6732" s="498"/>
      <c r="Y6732" s="498"/>
      <c r="Z6732" s="498"/>
      <c r="AA6732" s="498"/>
      <c r="AB6732" s="498"/>
      <c r="AC6732" s="498"/>
      <c r="AD6732" s="498"/>
      <c r="AE6732" s="498"/>
      <c r="AF6732" s="498"/>
      <c r="AG6732" s="498"/>
      <c r="AH6732" s="498"/>
      <c r="AI6732" s="498"/>
      <c r="AK6732" s="498"/>
      <c r="AL6732" s="498"/>
      <c r="AM6732" s="498"/>
      <c r="AN6732" s="498"/>
      <c r="AO6732" s="498"/>
      <c r="AP6732" s="498"/>
      <c r="AQ6732" s="498"/>
      <c r="AR6732" s="498"/>
      <c r="AS6732" s="498"/>
      <c r="AT6732" s="498"/>
      <c r="AU6732" s="498"/>
      <c r="AV6732" s="498"/>
      <c r="AW6732" s="498"/>
      <c r="AX6732" s="498"/>
      <c r="AY6732" s="498"/>
      <c r="AZ6732" s="498"/>
      <c r="BA6732" s="498"/>
    </row>
    <row r="6733" spans="1:53" s="499" customFormat="1" x14ac:dyDescent="0.25">
      <c r="A6733" s="500"/>
      <c r="B6733" s="501"/>
      <c r="C6733" s="502"/>
      <c r="D6733" s="497"/>
      <c r="E6733" s="497"/>
      <c r="F6733" s="502"/>
      <c r="G6733" s="497"/>
      <c r="H6733" s="497"/>
      <c r="I6733" s="497"/>
      <c r="J6733" s="497"/>
      <c r="K6733" s="500"/>
      <c r="L6733" s="497"/>
      <c r="M6733"/>
      <c r="N6733" s="498"/>
      <c r="O6733" s="498"/>
      <c r="P6733" s="498"/>
      <c r="Q6733" s="498"/>
      <c r="R6733" s="498"/>
      <c r="T6733" s="498"/>
      <c r="U6733" s="498"/>
      <c r="V6733" s="498"/>
      <c r="W6733" s="498"/>
      <c r="X6733" s="498"/>
      <c r="Y6733" s="498"/>
      <c r="Z6733" s="498"/>
      <c r="AA6733" s="498"/>
      <c r="AB6733" s="498"/>
      <c r="AC6733" s="498"/>
      <c r="AD6733" s="498"/>
      <c r="AE6733" s="498"/>
      <c r="AF6733" s="498"/>
      <c r="AG6733" s="498"/>
      <c r="AH6733" s="498"/>
      <c r="AI6733" s="498"/>
      <c r="AK6733" s="498"/>
      <c r="AL6733" s="498"/>
      <c r="AM6733" s="498"/>
      <c r="AN6733" s="498"/>
      <c r="AO6733" s="498"/>
      <c r="AP6733" s="498"/>
      <c r="AQ6733" s="498"/>
      <c r="AR6733" s="498"/>
      <c r="AS6733" s="498"/>
      <c r="AT6733" s="498"/>
      <c r="AU6733" s="498"/>
      <c r="AV6733" s="498"/>
      <c r="AW6733" s="498"/>
      <c r="AX6733" s="498"/>
      <c r="AY6733" s="498"/>
      <c r="AZ6733" s="498"/>
      <c r="BA6733" s="498"/>
    </row>
    <row r="6734" spans="1:53" s="499" customFormat="1" x14ac:dyDescent="0.25">
      <c r="A6734" s="500"/>
      <c r="B6734" s="501"/>
      <c r="C6734" s="502"/>
      <c r="D6734" s="497"/>
      <c r="E6734" s="497"/>
      <c r="F6734" s="502"/>
      <c r="G6734" s="497"/>
      <c r="H6734" s="497"/>
      <c r="I6734" s="497"/>
      <c r="J6734" s="497"/>
      <c r="K6734" s="500"/>
      <c r="L6734" s="497"/>
      <c r="M6734"/>
      <c r="N6734" s="498"/>
      <c r="O6734" s="498"/>
      <c r="P6734" s="498"/>
      <c r="Q6734" s="498"/>
      <c r="R6734" s="498"/>
      <c r="T6734" s="498"/>
      <c r="U6734" s="498"/>
      <c r="V6734" s="498"/>
      <c r="W6734" s="498"/>
      <c r="X6734" s="498"/>
      <c r="Y6734" s="498"/>
      <c r="Z6734" s="498"/>
      <c r="AA6734" s="498"/>
      <c r="AB6734" s="498"/>
      <c r="AC6734" s="498"/>
      <c r="AD6734" s="498"/>
      <c r="AE6734" s="498"/>
      <c r="AF6734" s="498"/>
      <c r="AG6734" s="498"/>
      <c r="AH6734" s="498"/>
      <c r="AI6734" s="498"/>
      <c r="AK6734" s="498"/>
      <c r="AL6734" s="498"/>
      <c r="AM6734" s="498"/>
      <c r="AN6734" s="498"/>
      <c r="AO6734" s="498"/>
      <c r="AP6734" s="498"/>
      <c r="AQ6734" s="498"/>
      <c r="AR6734" s="498"/>
      <c r="AS6734" s="498"/>
      <c r="AT6734" s="498"/>
      <c r="AU6734" s="498"/>
      <c r="AV6734" s="498"/>
      <c r="AW6734" s="498"/>
      <c r="AX6734" s="498"/>
      <c r="AY6734" s="498"/>
      <c r="AZ6734" s="498"/>
      <c r="BA6734" s="498"/>
    </row>
    <row r="6735" spans="1:53" s="499" customFormat="1" x14ac:dyDescent="0.25">
      <c r="A6735" s="500"/>
      <c r="B6735" s="501"/>
      <c r="C6735" s="502"/>
      <c r="D6735" s="497"/>
      <c r="E6735" s="497"/>
      <c r="F6735" s="502"/>
      <c r="G6735" s="497"/>
      <c r="H6735" s="497"/>
      <c r="I6735" s="497"/>
      <c r="J6735" s="497"/>
      <c r="K6735" s="500"/>
      <c r="L6735" s="497"/>
      <c r="M6735"/>
      <c r="N6735" s="498"/>
      <c r="O6735" s="498"/>
      <c r="P6735" s="498"/>
      <c r="Q6735" s="498"/>
      <c r="R6735" s="498"/>
      <c r="T6735" s="498"/>
      <c r="U6735" s="498"/>
      <c r="V6735" s="498"/>
      <c r="W6735" s="498"/>
      <c r="X6735" s="498"/>
      <c r="Y6735" s="498"/>
      <c r="Z6735" s="498"/>
      <c r="AA6735" s="498"/>
      <c r="AB6735" s="498"/>
      <c r="AC6735" s="498"/>
      <c r="AD6735" s="498"/>
      <c r="AE6735" s="498"/>
      <c r="AF6735" s="498"/>
      <c r="AG6735" s="498"/>
      <c r="AH6735" s="498"/>
      <c r="AI6735" s="498"/>
      <c r="AK6735" s="498"/>
      <c r="AL6735" s="498"/>
      <c r="AM6735" s="498"/>
      <c r="AN6735" s="498"/>
      <c r="AO6735" s="498"/>
      <c r="AP6735" s="498"/>
      <c r="AQ6735" s="498"/>
      <c r="AR6735" s="498"/>
      <c r="AS6735" s="498"/>
      <c r="AT6735" s="498"/>
      <c r="AU6735" s="498"/>
      <c r="AV6735" s="498"/>
      <c r="AW6735" s="498"/>
      <c r="AX6735" s="498"/>
      <c r="AY6735" s="498"/>
      <c r="AZ6735" s="498"/>
      <c r="BA6735" s="498"/>
    </row>
    <row r="6736" spans="1:53" s="499" customFormat="1" x14ac:dyDescent="0.25">
      <c r="A6736" s="500"/>
      <c r="B6736" s="501"/>
      <c r="C6736" s="502"/>
      <c r="D6736" s="497"/>
      <c r="E6736" s="497"/>
      <c r="F6736" s="502"/>
      <c r="G6736" s="497"/>
      <c r="H6736" s="497"/>
      <c r="I6736" s="497"/>
      <c r="J6736" s="497"/>
      <c r="K6736" s="500"/>
      <c r="L6736" s="497"/>
      <c r="M6736"/>
      <c r="N6736" s="498"/>
      <c r="O6736" s="498"/>
      <c r="P6736" s="498"/>
      <c r="Q6736" s="498"/>
      <c r="R6736" s="498"/>
      <c r="T6736" s="498"/>
      <c r="U6736" s="498"/>
      <c r="V6736" s="498"/>
      <c r="W6736" s="498"/>
      <c r="X6736" s="498"/>
      <c r="Y6736" s="498"/>
      <c r="Z6736" s="498"/>
      <c r="AA6736" s="498"/>
      <c r="AB6736" s="498"/>
      <c r="AC6736" s="498"/>
      <c r="AD6736" s="498"/>
      <c r="AE6736" s="498"/>
      <c r="AF6736" s="498"/>
      <c r="AG6736" s="498"/>
      <c r="AH6736" s="498"/>
      <c r="AI6736" s="498"/>
      <c r="AK6736" s="498"/>
      <c r="AL6736" s="498"/>
      <c r="AM6736" s="498"/>
      <c r="AN6736" s="498"/>
      <c r="AO6736" s="498"/>
      <c r="AP6736" s="498"/>
      <c r="AQ6736" s="498"/>
      <c r="AR6736" s="498"/>
      <c r="AS6736" s="498"/>
      <c r="AT6736" s="498"/>
      <c r="AU6736" s="498"/>
      <c r="AV6736" s="498"/>
      <c r="AW6736" s="498"/>
      <c r="AX6736" s="498"/>
      <c r="AY6736" s="498"/>
      <c r="AZ6736" s="498"/>
      <c r="BA6736" s="498"/>
    </row>
    <row r="6737" spans="1:53" s="499" customFormat="1" x14ac:dyDescent="0.25">
      <c r="A6737" s="500"/>
      <c r="B6737" s="501"/>
      <c r="C6737" s="502"/>
      <c r="D6737" s="497"/>
      <c r="E6737" s="497"/>
      <c r="F6737" s="502"/>
      <c r="G6737" s="497"/>
      <c r="H6737" s="497"/>
      <c r="I6737" s="497"/>
      <c r="J6737" s="497"/>
      <c r="K6737" s="500"/>
      <c r="L6737" s="497"/>
      <c r="M6737"/>
      <c r="N6737" s="498"/>
      <c r="O6737" s="498"/>
      <c r="P6737" s="498"/>
      <c r="Q6737" s="498"/>
      <c r="R6737" s="498"/>
      <c r="T6737" s="498"/>
      <c r="U6737" s="498"/>
      <c r="V6737" s="498"/>
      <c r="W6737" s="498"/>
      <c r="X6737" s="498"/>
      <c r="Y6737" s="498"/>
      <c r="Z6737" s="498"/>
      <c r="AA6737" s="498"/>
      <c r="AB6737" s="498"/>
      <c r="AC6737" s="498"/>
      <c r="AD6737" s="498"/>
      <c r="AE6737" s="498"/>
      <c r="AF6737" s="498"/>
      <c r="AG6737" s="498"/>
      <c r="AH6737" s="498"/>
      <c r="AI6737" s="498"/>
      <c r="AK6737" s="498"/>
      <c r="AL6737" s="498"/>
      <c r="AM6737" s="498"/>
      <c r="AN6737" s="498"/>
      <c r="AO6737" s="498"/>
      <c r="AP6737" s="498"/>
      <c r="AQ6737" s="498"/>
      <c r="AR6737" s="498"/>
      <c r="AS6737" s="498"/>
      <c r="AT6737" s="498"/>
      <c r="AU6737" s="498"/>
      <c r="AV6737" s="498"/>
      <c r="AW6737" s="498"/>
      <c r="AX6737" s="498"/>
      <c r="AY6737" s="498"/>
      <c r="AZ6737" s="498"/>
      <c r="BA6737" s="498"/>
    </row>
    <row r="6738" spans="1:53" s="499" customFormat="1" x14ac:dyDescent="0.25">
      <c r="A6738" s="500"/>
      <c r="B6738" s="501"/>
      <c r="C6738" s="502"/>
      <c r="D6738" s="497"/>
      <c r="E6738" s="497"/>
      <c r="F6738" s="502"/>
      <c r="G6738" s="497"/>
      <c r="H6738" s="497"/>
      <c r="I6738" s="497"/>
      <c r="J6738" s="497"/>
      <c r="K6738" s="500"/>
      <c r="L6738" s="497"/>
      <c r="M6738"/>
      <c r="N6738" s="498"/>
      <c r="O6738" s="498"/>
      <c r="P6738" s="498"/>
      <c r="Q6738" s="498"/>
      <c r="R6738" s="498"/>
      <c r="T6738" s="498"/>
      <c r="U6738" s="498"/>
      <c r="V6738" s="498"/>
      <c r="W6738" s="498"/>
      <c r="X6738" s="498"/>
      <c r="Y6738" s="498"/>
      <c r="Z6738" s="498"/>
      <c r="AA6738" s="498"/>
      <c r="AB6738" s="498"/>
      <c r="AC6738" s="498"/>
      <c r="AD6738" s="498"/>
      <c r="AE6738" s="498"/>
      <c r="AF6738" s="498"/>
      <c r="AG6738" s="498"/>
      <c r="AH6738" s="498"/>
      <c r="AI6738" s="498"/>
      <c r="AK6738" s="498"/>
      <c r="AL6738" s="498"/>
      <c r="AM6738" s="498"/>
      <c r="AN6738" s="498"/>
      <c r="AO6738" s="498"/>
      <c r="AP6738" s="498"/>
      <c r="AQ6738" s="498"/>
      <c r="AR6738" s="498"/>
      <c r="AS6738" s="498"/>
      <c r="AT6738" s="498"/>
      <c r="AU6738" s="498"/>
      <c r="AV6738" s="498"/>
      <c r="AW6738" s="498"/>
      <c r="AX6738" s="498"/>
      <c r="AY6738" s="498"/>
      <c r="AZ6738" s="498"/>
      <c r="BA6738" s="498"/>
    </row>
    <row r="6739" spans="1:53" s="499" customFormat="1" x14ac:dyDescent="0.25">
      <c r="A6739" s="500"/>
      <c r="B6739" s="501"/>
      <c r="C6739" s="502"/>
      <c r="D6739" s="497"/>
      <c r="E6739" s="497"/>
      <c r="F6739" s="502"/>
      <c r="G6739" s="497"/>
      <c r="H6739" s="497"/>
      <c r="I6739" s="497"/>
      <c r="J6739" s="497"/>
      <c r="K6739" s="500"/>
      <c r="L6739" s="497"/>
      <c r="M6739"/>
      <c r="N6739" s="498"/>
      <c r="O6739" s="498"/>
      <c r="P6739" s="498"/>
      <c r="Q6739" s="498"/>
      <c r="R6739" s="498"/>
      <c r="T6739" s="498"/>
      <c r="U6739" s="498"/>
      <c r="V6739" s="498"/>
      <c r="W6739" s="498"/>
      <c r="X6739" s="498"/>
      <c r="Y6739" s="498"/>
      <c r="Z6739" s="498"/>
      <c r="AA6739" s="498"/>
      <c r="AB6739" s="498"/>
      <c r="AC6739" s="498"/>
      <c r="AD6739" s="498"/>
      <c r="AE6739" s="498"/>
      <c r="AF6739" s="498"/>
      <c r="AG6739" s="498"/>
      <c r="AH6739" s="498"/>
      <c r="AI6739" s="498"/>
      <c r="AK6739" s="498"/>
      <c r="AL6739" s="498"/>
      <c r="AM6739" s="498"/>
      <c r="AN6739" s="498"/>
      <c r="AO6739" s="498"/>
      <c r="AP6739" s="498"/>
      <c r="AQ6739" s="498"/>
      <c r="AR6739" s="498"/>
      <c r="AS6739" s="498"/>
      <c r="AT6739" s="498"/>
      <c r="AU6739" s="498"/>
      <c r="AV6739" s="498"/>
      <c r="AW6739" s="498"/>
      <c r="AX6739" s="498"/>
      <c r="AY6739" s="498"/>
      <c r="AZ6739" s="498"/>
      <c r="BA6739" s="498"/>
    </row>
    <row r="6740" spans="1:53" s="499" customFormat="1" x14ac:dyDescent="0.25">
      <c r="A6740" s="500"/>
      <c r="B6740" s="501"/>
      <c r="C6740" s="502"/>
      <c r="D6740" s="497"/>
      <c r="E6740" s="497"/>
      <c r="F6740" s="502"/>
      <c r="G6740" s="497"/>
      <c r="H6740" s="497"/>
      <c r="I6740" s="497"/>
      <c r="J6740" s="497"/>
      <c r="K6740" s="500"/>
      <c r="L6740" s="497"/>
      <c r="M6740"/>
      <c r="N6740" s="498"/>
      <c r="O6740" s="498"/>
      <c r="P6740" s="498"/>
      <c r="Q6740" s="498"/>
      <c r="R6740" s="498"/>
      <c r="T6740" s="498"/>
      <c r="U6740" s="498"/>
      <c r="V6740" s="498"/>
      <c r="W6740" s="498"/>
      <c r="X6740" s="498"/>
      <c r="Y6740" s="498"/>
      <c r="Z6740" s="498"/>
      <c r="AA6740" s="498"/>
      <c r="AB6740" s="498"/>
      <c r="AC6740" s="498"/>
      <c r="AD6740" s="498"/>
      <c r="AE6740" s="498"/>
      <c r="AF6740" s="498"/>
      <c r="AG6740" s="498"/>
      <c r="AH6740" s="498"/>
      <c r="AI6740" s="498"/>
      <c r="AK6740" s="498"/>
      <c r="AL6740" s="498"/>
      <c r="AM6740" s="498"/>
      <c r="AN6740" s="498"/>
      <c r="AO6740" s="498"/>
      <c r="AP6740" s="498"/>
      <c r="AQ6740" s="498"/>
      <c r="AR6740" s="498"/>
      <c r="AS6740" s="498"/>
      <c r="AT6740" s="498"/>
      <c r="AU6740" s="498"/>
      <c r="AV6740" s="498"/>
      <c r="AW6740" s="498"/>
      <c r="AX6740" s="498"/>
      <c r="AY6740" s="498"/>
      <c r="AZ6740" s="498"/>
      <c r="BA6740" s="498"/>
    </row>
    <row r="6741" spans="1:53" s="499" customFormat="1" x14ac:dyDescent="0.25">
      <c r="A6741" s="500"/>
      <c r="B6741" s="501"/>
      <c r="C6741" s="502"/>
      <c r="D6741" s="497"/>
      <c r="E6741" s="497"/>
      <c r="F6741" s="502"/>
      <c r="G6741" s="497"/>
      <c r="H6741" s="497"/>
      <c r="I6741" s="497"/>
      <c r="J6741" s="497"/>
      <c r="K6741" s="500"/>
      <c r="L6741" s="497"/>
      <c r="M6741"/>
      <c r="N6741" s="498"/>
      <c r="O6741" s="498"/>
      <c r="P6741" s="498"/>
      <c r="Q6741" s="498"/>
      <c r="R6741" s="498"/>
      <c r="T6741" s="498"/>
      <c r="U6741" s="498"/>
      <c r="V6741" s="498"/>
      <c r="W6741" s="498"/>
      <c r="X6741" s="498"/>
      <c r="Y6741" s="498"/>
      <c r="Z6741" s="498"/>
      <c r="AA6741" s="498"/>
      <c r="AB6741" s="498"/>
      <c r="AC6741" s="498"/>
      <c r="AD6741" s="498"/>
      <c r="AE6741" s="498"/>
      <c r="AF6741" s="498"/>
      <c r="AG6741" s="498"/>
      <c r="AH6741" s="498"/>
      <c r="AI6741" s="498"/>
      <c r="AK6741" s="498"/>
      <c r="AL6741" s="498"/>
      <c r="AM6741" s="498"/>
      <c r="AN6741" s="498"/>
      <c r="AO6741" s="498"/>
      <c r="AP6741" s="498"/>
      <c r="AQ6741" s="498"/>
      <c r="AR6741" s="498"/>
      <c r="AS6741" s="498"/>
      <c r="AT6741" s="498"/>
      <c r="AU6741" s="498"/>
      <c r="AV6741" s="498"/>
      <c r="AW6741" s="498"/>
      <c r="AX6741" s="498"/>
      <c r="AY6741" s="498"/>
      <c r="AZ6741" s="498"/>
      <c r="BA6741" s="498"/>
    </row>
    <row r="6742" spans="1:53" s="499" customFormat="1" x14ac:dyDescent="0.25">
      <c r="A6742" s="500"/>
      <c r="B6742" s="501"/>
      <c r="C6742" s="502"/>
      <c r="D6742" s="497"/>
      <c r="E6742" s="497"/>
      <c r="F6742" s="502"/>
      <c r="G6742" s="497"/>
      <c r="H6742" s="497"/>
      <c r="I6742" s="497"/>
      <c r="J6742" s="497"/>
      <c r="K6742" s="500"/>
      <c r="L6742" s="497"/>
      <c r="M6742"/>
      <c r="N6742" s="498"/>
      <c r="O6742" s="498"/>
      <c r="P6742" s="498"/>
      <c r="Q6742" s="498"/>
      <c r="R6742" s="498"/>
      <c r="T6742" s="498"/>
      <c r="U6742" s="498"/>
      <c r="V6742" s="498"/>
      <c r="W6742" s="498"/>
      <c r="X6742" s="498"/>
      <c r="Y6742" s="498"/>
      <c r="Z6742" s="498"/>
      <c r="AA6742" s="498"/>
      <c r="AB6742" s="498"/>
      <c r="AC6742" s="498"/>
      <c r="AD6742" s="498"/>
      <c r="AE6742" s="498"/>
      <c r="AF6742" s="498"/>
      <c r="AG6742" s="498"/>
      <c r="AH6742" s="498"/>
      <c r="AI6742" s="498"/>
      <c r="AK6742" s="498"/>
      <c r="AL6742" s="498"/>
      <c r="AM6742" s="498"/>
      <c r="AN6742" s="498"/>
      <c r="AO6742" s="498"/>
      <c r="AP6742" s="498"/>
      <c r="AQ6742" s="498"/>
      <c r="AR6742" s="498"/>
      <c r="AS6742" s="498"/>
      <c r="AT6742" s="498"/>
      <c r="AU6742" s="498"/>
      <c r="AV6742" s="498"/>
      <c r="AW6742" s="498"/>
      <c r="AX6742" s="498"/>
      <c r="AY6742" s="498"/>
      <c r="AZ6742" s="498"/>
      <c r="BA6742" s="498"/>
    </row>
    <row r="6743" spans="1:53" s="499" customFormat="1" x14ac:dyDescent="0.25">
      <c r="A6743" s="500"/>
      <c r="B6743" s="501"/>
      <c r="C6743" s="502"/>
      <c r="D6743" s="497"/>
      <c r="E6743" s="497"/>
      <c r="F6743" s="502"/>
      <c r="G6743" s="497"/>
      <c r="H6743" s="497"/>
      <c r="I6743" s="497"/>
      <c r="J6743" s="497"/>
      <c r="K6743" s="500"/>
      <c r="L6743" s="497"/>
      <c r="M6743"/>
      <c r="N6743" s="498"/>
      <c r="O6743" s="498"/>
      <c r="P6743" s="498"/>
      <c r="Q6743" s="498"/>
      <c r="R6743" s="498"/>
      <c r="T6743" s="498"/>
      <c r="U6743" s="498"/>
      <c r="V6743" s="498"/>
      <c r="W6743" s="498"/>
      <c r="X6743" s="498"/>
      <c r="Y6743" s="498"/>
      <c r="Z6743" s="498"/>
      <c r="AA6743" s="498"/>
      <c r="AB6743" s="498"/>
      <c r="AC6743" s="498"/>
      <c r="AD6743" s="498"/>
      <c r="AE6743" s="498"/>
      <c r="AF6743" s="498"/>
      <c r="AG6743" s="498"/>
      <c r="AH6743" s="498"/>
      <c r="AI6743" s="498"/>
      <c r="AK6743" s="498"/>
      <c r="AL6743" s="498"/>
      <c r="AM6743" s="498"/>
      <c r="AN6743" s="498"/>
      <c r="AO6743" s="498"/>
      <c r="AP6743" s="498"/>
      <c r="AQ6743" s="498"/>
      <c r="AR6743" s="498"/>
      <c r="AS6743" s="498"/>
      <c r="AT6743" s="498"/>
      <c r="AU6743" s="498"/>
      <c r="AV6743" s="498"/>
      <c r="AW6743" s="498"/>
      <c r="AX6743" s="498"/>
      <c r="AY6743" s="498"/>
      <c r="AZ6743" s="498"/>
      <c r="BA6743" s="498"/>
    </row>
    <row r="6744" spans="1:53" s="499" customFormat="1" x14ac:dyDescent="0.25">
      <c r="A6744" s="500"/>
      <c r="B6744" s="501"/>
      <c r="C6744" s="502"/>
      <c r="D6744" s="497"/>
      <c r="E6744" s="497"/>
      <c r="F6744" s="502"/>
      <c r="G6744" s="497"/>
      <c r="H6744" s="497"/>
      <c r="I6744" s="497"/>
      <c r="J6744" s="497"/>
      <c r="K6744" s="500"/>
      <c r="L6744" s="497"/>
      <c r="M6744"/>
      <c r="N6744" s="498"/>
      <c r="O6744" s="498"/>
      <c r="P6744" s="498"/>
      <c r="Q6744" s="498"/>
      <c r="R6744" s="498"/>
      <c r="T6744" s="498"/>
      <c r="U6744" s="498"/>
      <c r="V6744" s="498"/>
      <c r="W6744" s="498"/>
      <c r="X6744" s="498"/>
      <c r="Y6744" s="498"/>
      <c r="Z6744" s="498"/>
      <c r="AA6744" s="498"/>
      <c r="AB6744" s="498"/>
      <c r="AC6744" s="498"/>
      <c r="AD6744" s="498"/>
      <c r="AE6744" s="498"/>
      <c r="AF6744" s="498"/>
      <c r="AG6744" s="498"/>
      <c r="AH6744" s="498"/>
      <c r="AI6744" s="498"/>
      <c r="AK6744" s="498"/>
      <c r="AL6744" s="498"/>
      <c r="AM6744" s="498"/>
      <c r="AN6744" s="498"/>
      <c r="AO6744" s="498"/>
      <c r="AP6744" s="498"/>
      <c r="AQ6744" s="498"/>
      <c r="AR6744" s="498"/>
      <c r="AS6744" s="498"/>
      <c r="AT6744" s="498"/>
      <c r="AU6744" s="498"/>
      <c r="AV6744" s="498"/>
      <c r="AW6744" s="498"/>
      <c r="AX6744" s="498"/>
      <c r="AY6744" s="498"/>
      <c r="AZ6744" s="498"/>
      <c r="BA6744" s="498"/>
    </row>
    <row r="6745" spans="1:53" s="499" customFormat="1" x14ac:dyDescent="0.25">
      <c r="A6745" s="500"/>
      <c r="B6745" s="501"/>
      <c r="C6745" s="502"/>
      <c r="D6745" s="497"/>
      <c r="E6745" s="497"/>
      <c r="F6745" s="502"/>
      <c r="G6745" s="497"/>
      <c r="H6745" s="497"/>
      <c r="I6745" s="497"/>
      <c r="J6745" s="497"/>
      <c r="K6745" s="500"/>
      <c r="L6745" s="497"/>
      <c r="M6745"/>
      <c r="N6745" s="498"/>
      <c r="O6745" s="498"/>
      <c r="P6745" s="498"/>
      <c r="Q6745" s="498"/>
      <c r="R6745" s="498"/>
      <c r="T6745" s="498"/>
      <c r="U6745" s="498"/>
      <c r="V6745" s="498"/>
      <c r="W6745" s="498"/>
      <c r="X6745" s="498"/>
      <c r="Y6745" s="498"/>
      <c r="Z6745" s="498"/>
      <c r="AA6745" s="498"/>
      <c r="AB6745" s="498"/>
      <c r="AC6745" s="498"/>
      <c r="AD6745" s="498"/>
      <c r="AE6745" s="498"/>
      <c r="AF6745" s="498"/>
      <c r="AG6745" s="498"/>
      <c r="AH6745" s="498"/>
      <c r="AI6745" s="498"/>
      <c r="AK6745" s="498"/>
      <c r="AL6745" s="498"/>
      <c r="AM6745" s="498"/>
      <c r="AN6745" s="498"/>
      <c r="AO6745" s="498"/>
      <c r="AP6745" s="498"/>
      <c r="AQ6745" s="498"/>
      <c r="AR6745" s="498"/>
      <c r="AS6745" s="498"/>
      <c r="AT6745" s="498"/>
      <c r="AU6745" s="498"/>
      <c r="AV6745" s="498"/>
      <c r="AW6745" s="498"/>
      <c r="AX6745" s="498"/>
      <c r="AY6745" s="498"/>
      <c r="AZ6745" s="498"/>
      <c r="BA6745" s="498"/>
    </row>
    <row r="6746" spans="1:53" s="499" customFormat="1" x14ac:dyDescent="0.25">
      <c r="A6746" s="500"/>
      <c r="B6746" s="501"/>
      <c r="C6746" s="502"/>
      <c r="D6746" s="497"/>
      <c r="E6746" s="497"/>
      <c r="F6746" s="502"/>
      <c r="G6746" s="497"/>
      <c r="H6746" s="497"/>
      <c r="I6746" s="497"/>
      <c r="J6746" s="497"/>
      <c r="K6746" s="500"/>
      <c r="L6746" s="497"/>
      <c r="M6746"/>
      <c r="N6746" s="498"/>
      <c r="O6746" s="498"/>
      <c r="P6746" s="498"/>
      <c r="Q6746" s="498"/>
      <c r="R6746" s="498"/>
      <c r="T6746" s="498"/>
      <c r="U6746" s="498"/>
      <c r="V6746" s="498"/>
      <c r="W6746" s="498"/>
      <c r="X6746" s="498"/>
      <c r="Y6746" s="498"/>
      <c r="Z6746" s="498"/>
      <c r="AA6746" s="498"/>
      <c r="AB6746" s="498"/>
      <c r="AC6746" s="498"/>
      <c r="AD6746" s="498"/>
      <c r="AE6746" s="498"/>
      <c r="AF6746" s="498"/>
      <c r="AG6746" s="498"/>
      <c r="AH6746" s="498"/>
      <c r="AI6746" s="498"/>
      <c r="AK6746" s="498"/>
      <c r="AL6746" s="498"/>
      <c r="AM6746" s="498"/>
      <c r="AN6746" s="498"/>
      <c r="AO6746" s="498"/>
      <c r="AP6746" s="498"/>
      <c r="AQ6746" s="498"/>
      <c r="AR6746" s="498"/>
      <c r="AS6746" s="498"/>
      <c r="AT6746" s="498"/>
      <c r="AU6746" s="498"/>
      <c r="AV6746" s="498"/>
      <c r="AW6746" s="498"/>
      <c r="AX6746" s="498"/>
      <c r="AY6746" s="498"/>
      <c r="AZ6746" s="498"/>
      <c r="BA6746" s="498"/>
    </row>
    <row r="6747" spans="1:53" s="499" customFormat="1" x14ac:dyDescent="0.25">
      <c r="A6747" s="500"/>
      <c r="B6747" s="501"/>
      <c r="C6747" s="502"/>
      <c r="D6747" s="497"/>
      <c r="E6747" s="497"/>
      <c r="F6747" s="502"/>
      <c r="G6747" s="497"/>
      <c r="H6747" s="497"/>
      <c r="I6747" s="497"/>
      <c r="J6747" s="497"/>
      <c r="K6747" s="500"/>
      <c r="L6747" s="497"/>
      <c r="M6747"/>
      <c r="N6747" s="498"/>
      <c r="O6747" s="498"/>
      <c r="P6747" s="498"/>
      <c r="Q6747" s="498"/>
      <c r="R6747" s="498"/>
      <c r="T6747" s="498"/>
      <c r="U6747" s="498"/>
      <c r="V6747" s="498"/>
      <c r="W6747" s="498"/>
      <c r="X6747" s="498"/>
      <c r="Y6747" s="498"/>
      <c r="Z6747" s="498"/>
      <c r="AA6747" s="498"/>
      <c r="AB6747" s="498"/>
      <c r="AC6747" s="498"/>
      <c r="AD6747" s="498"/>
      <c r="AE6747" s="498"/>
      <c r="AF6747" s="498"/>
      <c r="AG6747" s="498"/>
      <c r="AH6747" s="498"/>
      <c r="AI6747" s="498"/>
      <c r="AK6747" s="498"/>
      <c r="AL6747" s="498"/>
      <c r="AM6747" s="498"/>
      <c r="AN6747" s="498"/>
      <c r="AO6747" s="498"/>
      <c r="AP6747" s="498"/>
      <c r="AQ6747" s="498"/>
      <c r="AR6747" s="498"/>
      <c r="AS6747" s="498"/>
      <c r="AT6747" s="498"/>
      <c r="AU6747" s="498"/>
      <c r="AV6747" s="498"/>
      <c r="AW6747" s="498"/>
      <c r="AX6747" s="498"/>
      <c r="AY6747" s="498"/>
      <c r="AZ6747" s="498"/>
      <c r="BA6747" s="498"/>
    </row>
    <row r="6748" spans="1:53" s="499" customFormat="1" x14ac:dyDescent="0.25">
      <c r="A6748" s="500"/>
      <c r="B6748" s="501"/>
      <c r="C6748" s="502"/>
      <c r="D6748" s="497"/>
      <c r="E6748" s="497"/>
      <c r="F6748" s="502"/>
      <c r="G6748" s="497"/>
      <c r="H6748" s="497"/>
      <c r="I6748" s="497"/>
      <c r="J6748" s="497"/>
      <c r="K6748" s="500"/>
      <c r="L6748" s="497"/>
      <c r="M6748"/>
      <c r="N6748" s="498"/>
      <c r="O6748" s="498"/>
      <c r="P6748" s="498"/>
      <c r="Q6748" s="498"/>
      <c r="R6748" s="498"/>
      <c r="T6748" s="498"/>
      <c r="U6748" s="498"/>
      <c r="V6748" s="498"/>
      <c r="W6748" s="498"/>
      <c r="X6748" s="498"/>
      <c r="Y6748" s="498"/>
      <c r="Z6748" s="498"/>
      <c r="AA6748" s="498"/>
      <c r="AB6748" s="498"/>
      <c r="AC6748" s="498"/>
      <c r="AD6748" s="498"/>
      <c r="AE6748" s="498"/>
      <c r="AF6748" s="498"/>
      <c r="AG6748" s="498"/>
      <c r="AH6748" s="498"/>
      <c r="AI6748" s="498"/>
      <c r="AK6748" s="498"/>
      <c r="AL6748" s="498"/>
      <c r="AM6748" s="498"/>
      <c r="AN6748" s="498"/>
      <c r="AO6748" s="498"/>
      <c r="AP6748" s="498"/>
      <c r="AQ6748" s="498"/>
      <c r="AR6748" s="498"/>
      <c r="AS6748" s="498"/>
      <c r="AT6748" s="498"/>
      <c r="AU6748" s="498"/>
      <c r="AV6748" s="498"/>
      <c r="AW6748" s="498"/>
      <c r="AX6748" s="498"/>
      <c r="AY6748" s="498"/>
      <c r="AZ6748" s="498"/>
      <c r="BA6748" s="498"/>
    </row>
    <row r="6749" spans="1:53" s="499" customFormat="1" x14ac:dyDescent="0.25">
      <c r="A6749" s="500"/>
      <c r="B6749" s="501"/>
      <c r="C6749" s="502"/>
      <c r="D6749" s="497"/>
      <c r="E6749" s="497"/>
      <c r="F6749" s="502"/>
      <c r="G6749" s="497"/>
      <c r="H6749" s="497"/>
      <c r="I6749" s="497"/>
      <c r="J6749" s="497"/>
      <c r="K6749" s="500"/>
      <c r="L6749" s="497"/>
      <c r="M6749"/>
      <c r="N6749" s="498"/>
      <c r="O6749" s="498"/>
      <c r="P6749" s="498"/>
      <c r="Q6749" s="498"/>
      <c r="R6749" s="498"/>
      <c r="T6749" s="498"/>
      <c r="U6749" s="498"/>
      <c r="V6749" s="498"/>
      <c r="W6749" s="498"/>
      <c r="X6749" s="498"/>
      <c r="Y6749" s="498"/>
      <c r="Z6749" s="498"/>
      <c r="AA6749" s="498"/>
      <c r="AB6749" s="498"/>
      <c r="AC6749" s="498"/>
      <c r="AD6749" s="498"/>
      <c r="AE6749" s="498"/>
      <c r="AF6749" s="498"/>
      <c r="AG6749" s="498"/>
      <c r="AH6749" s="498"/>
      <c r="AI6749" s="498"/>
      <c r="AK6749" s="498"/>
      <c r="AL6749" s="498"/>
      <c r="AM6749" s="498"/>
      <c r="AN6749" s="498"/>
      <c r="AO6749" s="498"/>
      <c r="AP6749" s="498"/>
      <c r="AQ6749" s="498"/>
      <c r="AR6749" s="498"/>
      <c r="AS6749" s="498"/>
      <c r="AT6749" s="498"/>
      <c r="AU6749" s="498"/>
      <c r="AV6749" s="498"/>
      <c r="AW6749" s="498"/>
      <c r="AX6749" s="498"/>
      <c r="AY6749" s="498"/>
      <c r="AZ6749" s="498"/>
      <c r="BA6749" s="498"/>
    </row>
    <row r="6750" spans="1:53" s="499" customFormat="1" x14ac:dyDescent="0.25">
      <c r="A6750" s="500"/>
      <c r="B6750" s="501"/>
      <c r="C6750" s="502"/>
      <c r="D6750" s="497"/>
      <c r="E6750" s="497"/>
      <c r="F6750" s="502"/>
      <c r="G6750" s="497"/>
      <c r="H6750" s="497"/>
      <c r="I6750" s="497"/>
      <c r="J6750" s="497"/>
      <c r="K6750" s="500"/>
      <c r="L6750" s="497"/>
      <c r="M6750"/>
      <c r="N6750" s="498"/>
      <c r="O6750" s="498"/>
      <c r="P6750" s="498"/>
      <c r="Q6750" s="498"/>
      <c r="R6750" s="498"/>
      <c r="T6750" s="498"/>
      <c r="U6750" s="498"/>
      <c r="V6750" s="498"/>
      <c r="W6750" s="498"/>
      <c r="X6750" s="498"/>
      <c r="Y6750" s="498"/>
      <c r="Z6750" s="498"/>
      <c r="AA6750" s="498"/>
      <c r="AB6750" s="498"/>
      <c r="AC6750" s="498"/>
      <c r="AD6750" s="498"/>
      <c r="AE6750" s="498"/>
      <c r="AF6750" s="498"/>
      <c r="AG6750" s="498"/>
      <c r="AH6750" s="498"/>
      <c r="AI6750" s="498"/>
      <c r="AK6750" s="498"/>
      <c r="AL6750" s="498"/>
      <c r="AM6750" s="498"/>
      <c r="AN6750" s="498"/>
      <c r="AO6750" s="498"/>
      <c r="AP6750" s="498"/>
      <c r="AQ6750" s="498"/>
      <c r="AR6750" s="498"/>
      <c r="AS6750" s="498"/>
      <c r="AT6750" s="498"/>
      <c r="AU6750" s="498"/>
      <c r="AV6750" s="498"/>
      <c r="AW6750" s="498"/>
      <c r="AX6750" s="498"/>
      <c r="AY6750" s="498"/>
      <c r="AZ6750" s="498"/>
      <c r="BA6750" s="498"/>
    </row>
    <row r="6751" spans="1:53" s="499" customFormat="1" x14ac:dyDescent="0.25">
      <c r="A6751" s="500"/>
      <c r="B6751" s="501"/>
      <c r="C6751" s="502"/>
      <c r="D6751" s="497"/>
      <c r="E6751" s="497"/>
      <c r="F6751" s="502"/>
      <c r="G6751" s="497"/>
      <c r="H6751" s="497"/>
      <c r="I6751" s="497"/>
      <c r="J6751" s="497"/>
      <c r="K6751" s="500"/>
      <c r="L6751" s="497"/>
      <c r="M6751"/>
      <c r="N6751" s="498"/>
      <c r="O6751" s="498"/>
      <c r="P6751" s="498"/>
      <c r="Q6751" s="498"/>
      <c r="R6751" s="498"/>
      <c r="T6751" s="498"/>
      <c r="U6751" s="498"/>
      <c r="V6751" s="498"/>
      <c r="W6751" s="498"/>
      <c r="X6751" s="498"/>
      <c r="Y6751" s="498"/>
      <c r="Z6751" s="498"/>
      <c r="AA6751" s="498"/>
      <c r="AB6751" s="498"/>
      <c r="AC6751" s="498"/>
      <c r="AD6751" s="498"/>
      <c r="AE6751" s="498"/>
      <c r="AF6751" s="498"/>
      <c r="AG6751" s="498"/>
      <c r="AH6751" s="498"/>
      <c r="AI6751" s="498"/>
      <c r="AK6751" s="498"/>
      <c r="AL6751" s="498"/>
      <c r="AM6751" s="498"/>
      <c r="AN6751" s="498"/>
      <c r="AO6751" s="498"/>
      <c r="AP6751" s="498"/>
      <c r="AQ6751" s="498"/>
      <c r="AR6751" s="498"/>
      <c r="AS6751" s="498"/>
      <c r="AT6751" s="498"/>
      <c r="AU6751" s="498"/>
      <c r="AV6751" s="498"/>
      <c r="AW6751" s="498"/>
      <c r="AX6751" s="498"/>
      <c r="AY6751" s="498"/>
      <c r="AZ6751" s="498"/>
      <c r="BA6751" s="498"/>
    </row>
    <row r="6752" spans="1:53" s="499" customFormat="1" x14ac:dyDescent="0.25">
      <c r="A6752" s="500"/>
      <c r="B6752" s="501"/>
      <c r="C6752" s="502"/>
      <c r="D6752" s="497"/>
      <c r="E6752" s="497"/>
      <c r="F6752" s="502"/>
      <c r="G6752" s="497"/>
      <c r="H6752" s="497"/>
      <c r="I6752" s="497"/>
      <c r="J6752" s="497"/>
      <c r="K6752" s="500"/>
      <c r="L6752" s="497"/>
      <c r="M6752"/>
      <c r="N6752" s="498"/>
      <c r="O6752" s="498"/>
      <c r="P6752" s="498"/>
      <c r="Q6752" s="498"/>
      <c r="R6752" s="498"/>
      <c r="T6752" s="498"/>
      <c r="U6752" s="498"/>
      <c r="V6752" s="498"/>
      <c r="W6752" s="498"/>
      <c r="X6752" s="498"/>
      <c r="Y6752" s="498"/>
      <c r="Z6752" s="498"/>
      <c r="AA6752" s="498"/>
      <c r="AB6752" s="498"/>
      <c r="AC6752" s="498"/>
      <c r="AD6752" s="498"/>
      <c r="AE6752" s="498"/>
      <c r="AF6752" s="498"/>
      <c r="AG6752" s="498"/>
      <c r="AH6752" s="498"/>
      <c r="AI6752" s="498"/>
      <c r="AK6752" s="498"/>
      <c r="AL6752" s="498"/>
      <c r="AM6752" s="498"/>
      <c r="AN6752" s="498"/>
      <c r="AO6752" s="498"/>
      <c r="AP6752" s="498"/>
      <c r="AQ6752" s="498"/>
      <c r="AR6752" s="498"/>
      <c r="AS6752" s="498"/>
      <c r="AT6752" s="498"/>
      <c r="AU6752" s="498"/>
      <c r="AV6752" s="498"/>
      <c r="AW6752" s="498"/>
      <c r="AX6752" s="498"/>
      <c r="AY6752" s="498"/>
      <c r="AZ6752" s="498"/>
      <c r="BA6752" s="498"/>
    </row>
    <row r="6753" spans="1:53" s="499" customFormat="1" x14ac:dyDescent="0.25">
      <c r="A6753" s="500"/>
      <c r="B6753" s="501"/>
      <c r="C6753" s="502"/>
      <c r="D6753" s="497"/>
      <c r="E6753" s="497"/>
      <c r="F6753" s="502"/>
      <c r="G6753" s="497"/>
      <c r="H6753" s="497"/>
      <c r="I6753" s="497"/>
      <c r="J6753" s="497"/>
      <c r="K6753" s="500"/>
      <c r="L6753" s="497"/>
      <c r="M6753"/>
      <c r="N6753" s="498"/>
      <c r="O6753" s="498"/>
      <c r="P6753" s="498"/>
      <c r="Q6753" s="498"/>
      <c r="R6753" s="498"/>
      <c r="T6753" s="498"/>
      <c r="U6753" s="498"/>
      <c r="V6753" s="498"/>
      <c r="W6753" s="498"/>
      <c r="X6753" s="498"/>
      <c r="Y6753" s="498"/>
      <c r="Z6753" s="498"/>
      <c r="AA6753" s="498"/>
      <c r="AB6753" s="498"/>
      <c r="AC6753" s="498"/>
      <c r="AD6753" s="498"/>
      <c r="AE6753" s="498"/>
      <c r="AF6753" s="498"/>
      <c r="AG6753" s="498"/>
      <c r="AH6753" s="498"/>
      <c r="AI6753" s="498"/>
      <c r="AK6753" s="498"/>
      <c r="AL6753" s="498"/>
      <c r="AM6753" s="498"/>
      <c r="AN6753" s="498"/>
      <c r="AO6753" s="498"/>
      <c r="AP6753" s="498"/>
      <c r="AQ6753" s="498"/>
      <c r="AR6753" s="498"/>
      <c r="AS6753" s="498"/>
      <c r="AT6753" s="498"/>
      <c r="AU6753" s="498"/>
      <c r="AV6753" s="498"/>
      <c r="AW6753" s="498"/>
      <c r="AX6753" s="498"/>
      <c r="AY6753" s="498"/>
      <c r="AZ6753" s="498"/>
      <c r="BA6753" s="498"/>
    </row>
    <row r="6754" spans="1:53" s="499" customFormat="1" x14ac:dyDescent="0.25">
      <c r="A6754" s="500"/>
      <c r="B6754" s="501"/>
      <c r="C6754" s="502"/>
      <c r="D6754" s="497"/>
      <c r="E6754" s="497"/>
      <c r="F6754" s="502"/>
      <c r="G6754" s="497"/>
      <c r="H6754" s="497"/>
      <c r="I6754" s="497"/>
      <c r="J6754" s="497"/>
      <c r="K6754" s="500"/>
      <c r="L6754" s="497"/>
      <c r="M6754"/>
      <c r="N6754" s="498"/>
      <c r="O6754" s="498"/>
      <c r="P6754" s="498"/>
      <c r="Q6754" s="498"/>
      <c r="R6754" s="498"/>
      <c r="T6754" s="498"/>
      <c r="U6754" s="498"/>
      <c r="V6754" s="498"/>
      <c r="W6754" s="498"/>
      <c r="X6754" s="498"/>
      <c r="Y6754" s="498"/>
      <c r="Z6754" s="498"/>
      <c r="AA6754" s="498"/>
      <c r="AB6754" s="498"/>
      <c r="AC6754" s="498"/>
      <c r="AD6754" s="498"/>
      <c r="AE6754" s="498"/>
      <c r="AF6754" s="498"/>
      <c r="AG6754" s="498"/>
      <c r="AH6754" s="498"/>
      <c r="AI6754" s="498"/>
      <c r="AK6754" s="498"/>
      <c r="AL6754" s="498"/>
      <c r="AM6754" s="498"/>
      <c r="AN6754" s="498"/>
      <c r="AO6754" s="498"/>
      <c r="AP6754" s="498"/>
      <c r="AQ6754" s="498"/>
      <c r="AR6754" s="498"/>
      <c r="AS6754" s="498"/>
      <c r="AT6754" s="498"/>
      <c r="AU6754" s="498"/>
      <c r="AV6754" s="498"/>
      <c r="AW6754" s="498"/>
      <c r="AX6754" s="498"/>
      <c r="AY6754" s="498"/>
      <c r="AZ6754" s="498"/>
      <c r="BA6754" s="498"/>
    </row>
    <row r="6755" spans="1:53" s="499" customFormat="1" x14ac:dyDescent="0.25">
      <c r="A6755" s="500"/>
      <c r="B6755" s="501"/>
      <c r="C6755" s="502"/>
      <c r="D6755" s="497"/>
      <c r="E6755" s="497"/>
      <c r="F6755" s="502"/>
      <c r="G6755" s="497"/>
      <c r="H6755" s="497"/>
      <c r="I6755" s="497"/>
      <c r="J6755" s="497"/>
      <c r="K6755" s="500"/>
      <c r="L6755" s="497"/>
      <c r="M6755"/>
      <c r="N6755" s="498"/>
      <c r="O6755" s="498"/>
      <c r="P6755" s="498"/>
      <c r="Q6755" s="498"/>
      <c r="R6755" s="498"/>
      <c r="T6755" s="498"/>
      <c r="U6755" s="498"/>
      <c r="V6755" s="498"/>
      <c r="W6755" s="498"/>
      <c r="X6755" s="498"/>
      <c r="Y6755" s="498"/>
      <c r="Z6755" s="498"/>
      <c r="AA6755" s="498"/>
      <c r="AB6755" s="498"/>
      <c r="AC6755" s="498"/>
      <c r="AD6755" s="498"/>
      <c r="AE6755" s="498"/>
      <c r="AF6755" s="498"/>
      <c r="AG6755" s="498"/>
      <c r="AH6755" s="498"/>
      <c r="AI6755" s="498"/>
      <c r="AK6755" s="498"/>
      <c r="AL6755" s="498"/>
      <c r="AM6755" s="498"/>
      <c r="AN6755" s="498"/>
      <c r="AO6755" s="498"/>
      <c r="AP6755" s="498"/>
      <c r="AQ6755" s="498"/>
      <c r="AR6755" s="498"/>
      <c r="AS6755" s="498"/>
      <c r="AT6755" s="498"/>
      <c r="AU6755" s="498"/>
      <c r="AV6755" s="498"/>
      <c r="AW6755" s="498"/>
      <c r="AX6755" s="498"/>
      <c r="AY6755" s="498"/>
      <c r="AZ6755" s="498"/>
      <c r="BA6755" s="498"/>
    </row>
    <row r="6756" spans="1:53" s="499" customFormat="1" x14ac:dyDescent="0.25">
      <c r="A6756" s="500"/>
      <c r="B6756" s="501"/>
      <c r="C6756" s="502"/>
      <c r="D6756" s="497"/>
      <c r="E6756" s="497"/>
      <c r="F6756" s="502"/>
      <c r="G6756" s="497"/>
      <c r="H6756" s="497"/>
      <c r="I6756" s="497"/>
      <c r="J6756" s="497"/>
      <c r="K6756" s="500"/>
      <c r="L6756" s="497"/>
      <c r="M6756"/>
      <c r="N6756" s="498"/>
      <c r="O6756" s="498"/>
      <c r="P6756" s="498"/>
      <c r="Q6756" s="498"/>
      <c r="R6756" s="498"/>
      <c r="T6756" s="498"/>
      <c r="U6756" s="498"/>
      <c r="V6756" s="498"/>
      <c r="W6756" s="498"/>
      <c r="X6756" s="498"/>
      <c r="Y6756" s="498"/>
      <c r="Z6756" s="498"/>
      <c r="AA6756" s="498"/>
      <c r="AB6756" s="498"/>
      <c r="AC6756" s="498"/>
      <c r="AD6756" s="498"/>
      <c r="AE6756" s="498"/>
      <c r="AF6756" s="498"/>
      <c r="AG6756" s="498"/>
      <c r="AH6756" s="498"/>
      <c r="AI6756" s="498"/>
      <c r="AK6756" s="498"/>
      <c r="AL6756" s="498"/>
      <c r="AM6756" s="498"/>
      <c r="AN6756" s="498"/>
      <c r="AO6756" s="498"/>
      <c r="AP6756" s="498"/>
      <c r="AQ6756" s="498"/>
      <c r="AR6756" s="498"/>
      <c r="AS6756" s="498"/>
      <c r="AT6756" s="498"/>
      <c r="AU6756" s="498"/>
      <c r="AV6756" s="498"/>
      <c r="AW6756" s="498"/>
      <c r="AX6756" s="498"/>
      <c r="AY6756" s="498"/>
      <c r="AZ6756" s="498"/>
      <c r="BA6756" s="498"/>
    </row>
    <row r="6757" spans="1:53" s="499" customFormat="1" x14ac:dyDescent="0.25">
      <c r="A6757" s="500"/>
      <c r="B6757" s="501"/>
      <c r="C6757" s="502"/>
      <c r="D6757" s="497"/>
      <c r="E6757" s="497"/>
      <c r="F6757" s="502"/>
      <c r="G6757" s="497"/>
      <c r="H6757" s="497"/>
      <c r="I6757" s="497"/>
      <c r="J6757" s="497"/>
      <c r="K6757" s="500"/>
      <c r="L6757" s="497"/>
      <c r="M6757"/>
      <c r="N6757" s="498"/>
      <c r="O6757" s="498"/>
      <c r="P6757" s="498"/>
      <c r="Q6757" s="498"/>
      <c r="R6757" s="498"/>
      <c r="T6757" s="498"/>
      <c r="U6757" s="498"/>
      <c r="V6757" s="498"/>
      <c r="W6757" s="498"/>
      <c r="X6757" s="498"/>
      <c r="Y6757" s="498"/>
      <c r="Z6757" s="498"/>
      <c r="AA6757" s="498"/>
      <c r="AB6757" s="498"/>
      <c r="AC6757" s="498"/>
      <c r="AD6757" s="498"/>
      <c r="AE6757" s="498"/>
      <c r="AF6757" s="498"/>
      <c r="AG6757" s="498"/>
      <c r="AH6757" s="498"/>
      <c r="AI6757" s="498"/>
      <c r="AK6757" s="498"/>
      <c r="AL6757" s="498"/>
      <c r="AM6757" s="498"/>
      <c r="AN6757" s="498"/>
      <c r="AO6757" s="498"/>
      <c r="AP6757" s="498"/>
      <c r="AQ6757" s="498"/>
      <c r="AR6757" s="498"/>
      <c r="AS6757" s="498"/>
      <c r="AT6757" s="498"/>
      <c r="AU6757" s="498"/>
      <c r="AV6757" s="498"/>
      <c r="AW6757" s="498"/>
      <c r="AX6757" s="498"/>
      <c r="AY6757" s="498"/>
      <c r="AZ6757" s="498"/>
      <c r="BA6757" s="498"/>
    </row>
    <row r="6758" spans="1:53" s="499" customFormat="1" x14ac:dyDescent="0.25">
      <c r="A6758" s="500"/>
      <c r="B6758" s="501"/>
      <c r="C6758" s="502"/>
      <c r="D6758" s="497"/>
      <c r="E6758" s="497"/>
      <c r="F6758" s="502"/>
      <c r="G6758" s="497"/>
      <c r="H6758" s="497"/>
      <c r="I6758" s="497"/>
      <c r="J6758" s="497"/>
      <c r="K6758" s="500"/>
      <c r="L6758" s="497"/>
      <c r="M6758"/>
      <c r="N6758" s="498"/>
      <c r="O6758" s="498"/>
      <c r="P6758" s="498"/>
      <c r="Q6758" s="498"/>
      <c r="R6758" s="498"/>
      <c r="T6758" s="498"/>
      <c r="U6758" s="498"/>
      <c r="V6758" s="498"/>
      <c r="W6758" s="498"/>
      <c r="X6758" s="498"/>
      <c r="Y6758" s="498"/>
      <c r="Z6758" s="498"/>
      <c r="AA6758" s="498"/>
      <c r="AB6758" s="498"/>
      <c r="AC6758" s="498"/>
      <c r="AD6758" s="498"/>
      <c r="AE6758" s="498"/>
      <c r="AF6758" s="498"/>
      <c r="AG6758" s="498"/>
      <c r="AH6758" s="498"/>
      <c r="AI6758" s="498"/>
      <c r="AK6758" s="498"/>
      <c r="AL6758" s="498"/>
      <c r="AM6758" s="498"/>
      <c r="AN6758" s="498"/>
      <c r="AO6758" s="498"/>
      <c r="AP6758" s="498"/>
      <c r="AQ6758" s="498"/>
      <c r="AR6758" s="498"/>
      <c r="AS6758" s="498"/>
      <c r="AT6758" s="498"/>
      <c r="AU6758" s="498"/>
      <c r="AV6758" s="498"/>
      <c r="AW6758" s="498"/>
      <c r="AX6758" s="498"/>
      <c r="AY6758" s="498"/>
      <c r="AZ6758" s="498"/>
      <c r="BA6758" s="498"/>
    </row>
    <row r="6759" spans="1:53" s="499" customFormat="1" x14ac:dyDescent="0.25">
      <c r="A6759" s="500"/>
      <c r="B6759" s="501"/>
      <c r="C6759" s="502"/>
      <c r="D6759" s="497"/>
      <c r="E6759" s="497"/>
      <c r="F6759" s="502"/>
      <c r="G6759" s="497"/>
      <c r="H6759" s="497"/>
      <c r="I6759" s="497"/>
      <c r="J6759" s="497"/>
      <c r="K6759" s="500"/>
      <c r="L6759" s="497"/>
      <c r="M6759"/>
      <c r="N6759" s="498"/>
      <c r="O6759" s="498"/>
      <c r="P6759" s="498"/>
      <c r="Q6759" s="498"/>
      <c r="R6759" s="498"/>
      <c r="T6759" s="498"/>
      <c r="U6759" s="498"/>
      <c r="V6759" s="498"/>
      <c r="W6759" s="498"/>
      <c r="X6759" s="498"/>
      <c r="Y6759" s="498"/>
      <c r="Z6759" s="498"/>
      <c r="AA6759" s="498"/>
      <c r="AB6759" s="498"/>
      <c r="AC6759" s="498"/>
      <c r="AD6759" s="498"/>
      <c r="AE6759" s="498"/>
      <c r="AF6759" s="498"/>
      <c r="AG6759" s="498"/>
      <c r="AH6759" s="498"/>
      <c r="AI6759" s="498"/>
      <c r="AK6759" s="498"/>
      <c r="AL6759" s="498"/>
      <c r="AM6759" s="498"/>
      <c r="AN6759" s="498"/>
      <c r="AO6759" s="498"/>
      <c r="AP6759" s="498"/>
      <c r="AQ6759" s="498"/>
      <c r="AR6759" s="498"/>
      <c r="AS6759" s="498"/>
      <c r="AT6759" s="498"/>
      <c r="AU6759" s="498"/>
      <c r="AV6759" s="498"/>
      <c r="AW6759" s="498"/>
      <c r="AX6759" s="498"/>
      <c r="AY6759" s="498"/>
      <c r="AZ6759" s="498"/>
      <c r="BA6759" s="498"/>
    </row>
    <row r="6760" spans="1:53" s="499" customFormat="1" x14ac:dyDescent="0.25">
      <c r="A6760" s="500"/>
      <c r="B6760" s="501"/>
      <c r="C6760" s="502"/>
      <c r="D6760" s="497"/>
      <c r="E6760" s="497"/>
      <c r="F6760" s="502"/>
      <c r="G6760" s="497"/>
      <c r="H6760" s="497"/>
      <c r="I6760" s="497"/>
      <c r="J6760" s="497"/>
      <c r="K6760" s="500"/>
      <c r="L6760" s="497"/>
      <c r="M6760"/>
      <c r="N6760" s="498"/>
      <c r="O6760" s="498"/>
      <c r="P6760" s="498"/>
      <c r="Q6760" s="498"/>
      <c r="R6760" s="498"/>
      <c r="T6760" s="498"/>
      <c r="U6760" s="498"/>
      <c r="V6760" s="498"/>
      <c r="W6760" s="498"/>
      <c r="X6760" s="498"/>
      <c r="Y6760" s="498"/>
      <c r="Z6760" s="498"/>
      <c r="AA6760" s="498"/>
      <c r="AB6760" s="498"/>
      <c r="AC6760" s="498"/>
      <c r="AD6760" s="498"/>
      <c r="AE6760" s="498"/>
      <c r="AF6760" s="498"/>
      <c r="AG6760" s="498"/>
      <c r="AH6760" s="498"/>
      <c r="AI6760" s="498"/>
      <c r="AK6760" s="498"/>
      <c r="AL6760" s="498"/>
      <c r="AM6760" s="498"/>
      <c r="AN6760" s="498"/>
      <c r="AO6760" s="498"/>
      <c r="AP6760" s="498"/>
      <c r="AQ6760" s="498"/>
      <c r="AR6760" s="498"/>
      <c r="AS6760" s="498"/>
      <c r="AT6760" s="498"/>
      <c r="AU6760" s="498"/>
      <c r="AV6760" s="498"/>
      <c r="AW6760" s="498"/>
      <c r="AX6760" s="498"/>
      <c r="AY6760" s="498"/>
      <c r="AZ6760" s="498"/>
      <c r="BA6760" s="498"/>
    </row>
    <row r="6761" spans="1:53" s="499" customFormat="1" x14ac:dyDescent="0.25">
      <c r="A6761" s="500"/>
      <c r="B6761" s="501"/>
      <c r="C6761" s="502"/>
      <c r="D6761" s="497"/>
      <c r="E6761" s="497"/>
      <c r="F6761" s="502"/>
      <c r="G6761" s="497"/>
      <c r="H6761" s="497"/>
      <c r="I6761" s="497"/>
      <c r="J6761" s="497"/>
      <c r="K6761" s="500"/>
      <c r="L6761" s="497"/>
      <c r="M6761"/>
      <c r="N6761" s="498"/>
      <c r="O6761" s="498"/>
      <c r="P6761" s="498"/>
      <c r="Q6761" s="498"/>
      <c r="R6761" s="498"/>
      <c r="T6761" s="498"/>
      <c r="U6761" s="498"/>
      <c r="V6761" s="498"/>
      <c r="W6761" s="498"/>
      <c r="X6761" s="498"/>
      <c r="Y6761" s="498"/>
      <c r="Z6761" s="498"/>
      <c r="AA6761" s="498"/>
      <c r="AB6761" s="498"/>
      <c r="AC6761" s="498"/>
      <c r="AD6761" s="498"/>
      <c r="AE6761" s="498"/>
      <c r="AF6761" s="498"/>
      <c r="AG6761" s="498"/>
      <c r="AH6761" s="498"/>
      <c r="AI6761" s="498"/>
      <c r="AK6761" s="498"/>
      <c r="AL6761" s="498"/>
      <c r="AM6761" s="498"/>
      <c r="AN6761" s="498"/>
      <c r="AO6761" s="498"/>
      <c r="AP6761" s="498"/>
      <c r="AQ6761" s="498"/>
      <c r="AR6761" s="498"/>
      <c r="AS6761" s="498"/>
      <c r="AT6761" s="498"/>
      <c r="AU6761" s="498"/>
      <c r="AV6761" s="498"/>
      <c r="AW6761" s="498"/>
      <c r="AX6761" s="498"/>
      <c r="AY6761" s="498"/>
      <c r="AZ6761" s="498"/>
      <c r="BA6761" s="498"/>
    </row>
    <row r="6762" spans="1:53" s="499" customFormat="1" x14ac:dyDescent="0.25">
      <c r="A6762" s="500"/>
      <c r="B6762" s="501"/>
      <c r="C6762" s="502"/>
      <c r="D6762" s="497"/>
      <c r="E6762" s="497"/>
      <c r="F6762" s="502"/>
      <c r="G6762" s="497"/>
      <c r="H6762" s="497"/>
      <c r="I6762" s="497"/>
      <c r="J6762" s="497"/>
      <c r="K6762" s="500"/>
      <c r="L6762" s="497"/>
      <c r="M6762"/>
      <c r="N6762" s="498"/>
      <c r="O6762" s="498"/>
      <c r="P6762" s="498"/>
      <c r="Q6762" s="498"/>
      <c r="R6762" s="498"/>
      <c r="T6762" s="498"/>
      <c r="U6762" s="498"/>
      <c r="V6762" s="498"/>
      <c r="W6762" s="498"/>
      <c r="X6762" s="498"/>
      <c r="Y6762" s="498"/>
      <c r="Z6762" s="498"/>
      <c r="AA6762" s="498"/>
      <c r="AB6762" s="498"/>
      <c r="AC6762" s="498"/>
      <c r="AD6762" s="498"/>
      <c r="AE6762" s="498"/>
      <c r="AF6762" s="498"/>
      <c r="AG6762" s="498"/>
      <c r="AH6762" s="498"/>
      <c r="AI6762" s="498"/>
      <c r="AK6762" s="498"/>
      <c r="AL6762" s="498"/>
      <c r="AM6762" s="498"/>
      <c r="AN6762" s="498"/>
      <c r="AO6762" s="498"/>
      <c r="AP6762" s="498"/>
      <c r="AQ6762" s="498"/>
      <c r="AR6762" s="498"/>
      <c r="AS6762" s="498"/>
      <c r="AT6762" s="498"/>
      <c r="AU6762" s="498"/>
      <c r="AV6762" s="498"/>
      <c r="AW6762" s="498"/>
      <c r="AX6762" s="498"/>
      <c r="AY6762" s="498"/>
      <c r="AZ6762" s="498"/>
      <c r="BA6762" s="498"/>
    </row>
    <row r="6763" spans="1:53" s="499" customFormat="1" x14ac:dyDescent="0.25">
      <c r="A6763" s="500"/>
      <c r="B6763" s="501"/>
      <c r="C6763" s="502"/>
      <c r="D6763" s="497"/>
      <c r="E6763" s="497"/>
      <c r="F6763" s="502"/>
      <c r="G6763" s="497"/>
      <c r="H6763" s="497"/>
      <c r="I6763" s="497"/>
      <c r="J6763" s="497"/>
      <c r="K6763" s="500"/>
      <c r="L6763" s="497"/>
      <c r="M6763"/>
      <c r="N6763" s="498"/>
      <c r="O6763" s="498"/>
      <c r="P6763" s="498"/>
      <c r="Q6763" s="498"/>
      <c r="R6763" s="498"/>
      <c r="T6763" s="498"/>
      <c r="U6763" s="498"/>
      <c r="V6763" s="498"/>
      <c r="W6763" s="498"/>
      <c r="X6763" s="498"/>
      <c r="Y6763" s="498"/>
      <c r="Z6763" s="498"/>
      <c r="AA6763" s="498"/>
      <c r="AB6763" s="498"/>
      <c r="AC6763" s="498"/>
      <c r="AD6763" s="498"/>
      <c r="AE6763" s="498"/>
      <c r="AF6763" s="498"/>
      <c r="AG6763" s="498"/>
      <c r="AH6763" s="498"/>
      <c r="AI6763" s="498"/>
      <c r="AK6763" s="498"/>
      <c r="AL6763" s="498"/>
      <c r="AM6763" s="498"/>
      <c r="AN6763" s="498"/>
      <c r="AO6763" s="498"/>
      <c r="AP6763" s="498"/>
      <c r="AQ6763" s="498"/>
      <c r="AR6763" s="498"/>
      <c r="AS6763" s="498"/>
      <c r="AT6763" s="498"/>
      <c r="AU6763" s="498"/>
      <c r="AV6763" s="498"/>
      <c r="AW6763" s="498"/>
      <c r="AX6763" s="498"/>
      <c r="AY6763" s="498"/>
      <c r="AZ6763" s="498"/>
      <c r="BA6763" s="498"/>
    </row>
    <row r="6764" spans="1:53" s="499" customFormat="1" x14ac:dyDescent="0.25">
      <c r="A6764" s="500"/>
      <c r="B6764" s="501"/>
      <c r="C6764" s="502"/>
      <c r="D6764" s="497"/>
      <c r="E6764" s="497"/>
      <c r="F6764" s="502"/>
      <c r="G6764" s="497"/>
      <c r="H6764" s="497"/>
      <c r="I6764" s="497"/>
      <c r="J6764" s="497"/>
      <c r="K6764" s="500"/>
      <c r="L6764" s="497"/>
      <c r="M6764"/>
      <c r="N6764" s="498"/>
      <c r="O6764" s="498"/>
      <c r="P6764" s="498"/>
      <c r="Q6764" s="498"/>
      <c r="R6764" s="498"/>
      <c r="T6764" s="498"/>
      <c r="U6764" s="498"/>
      <c r="V6764" s="498"/>
      <c r="W6764" s="498"/>
      <c r="X6764" s="498"/>
      <c r="Y6764" s="498"/>
      <c r="Z6764" s="498"/>
      <c r="AA6764" s="498"/>
      <c r="AB6764" s="498"/>
      <c r="AC6764" s="498"/>
      <c r="AD6764" s="498"/>
      <c r="AE6764" s="498"/>
      <c r="AF6764" s="498"/>
      <c r="AG6764" s="498"/>
      <c r="AH6764" s="498"/>
      <c r="AI6764" s="498"/>
      <c r="AK6764" s="498"/>
      <c r="AL6764" s="498"/>
      <c r="AM6764" s="498"/>
      <c r="AN6764" s="498"/>
      <c r="AO6764" s="498"/>
      <c r="AP6764" s="498"/>
      <c r="AQ6764" s="498"/>
      <c r="AR6764" s="498"/>
      <c r="AS6764" s="498"/>
      <c r="AT6764" s="498"/>
      <c r="AU6764" s="498"/>
      <c r="AV6764" s="498"/>
      <c r="AW6764" s="498"/>
      <c r="AX6764" s="498"/>
      <c r="AY6764" s="498"/>
      <c r="AZ6764" s="498"/>
      <c r="BA6764" s="498"/>
    </row>
    <row r="6765" spans="1:53" s="499" customFormat="1" x14ac:dyDescent="0.25">
      <c r="A6765" s="500"/>
      <c r="B6765" s="501"/>
      <c r="C6765" s="502"/>
      <c r="D6765" s="497"/>
      <c r="E6765" s="497"/>
      <c r="F6765" s="502"/>
      <c r="G6765" s="497"/>
      <c r="H6765" s="497"/>
      <c r="I6765" s="497"/>
      <c r="J6765" s="497"/>
      <c r="K6765" s="500"/>
      <c r="L6765" s="497"/>
      <c r="M6765"/>
      <c r="N6765" s="498"/>
      <c r="O6765" s="498"/>
      <c r="P6765" s="498"/>
      <c r="Q6765" s="498"/>
      <c r="R6765" s="498"/>
      <c r="T6765" s="498"/>
      <c r="U6765" s="498"/>
      <c r="V6765" s="498"/>
      <c r="W6765" s="498"/>
      <c r="X6765" s="498"/>
      <c r="Y6765" s="498"/>
      <c r="Z6765" s="498"/>
      <c r="AA6765" s="498"/>
      <c r="AB6765" s="498"/>
      <c r="AC6765" s="498"/>
      <c r="AD6765" s="498"/>
      <c r="AE6765" s="498"/>
      <c r="AF6765" s="498"/>
      <c r="AG6765" s="498"/>
      <c r="AH6765" s="498"/>
      <c r="AI6765" s="498"/>
      <c r="AK6765" s="498"/>
      <c r="AL6765" s="498"/>
      <c r="AM6765" s="498"/>
      <c r="AN6765" s="498"/>
      <c r="AO6765" s="498"/>
      <c r="AP6765" s="498"/>
      <c r="AQ6765" s="498"/>
      <c r="AR6765" s="498"/>
      <c r="AS6765" s="498"/>
      <c r="AT6765" s="498"/>
      <c r="AU6765" s="498"/>
      <c r="AV6765" s="498"/>
      <c r="AW6765" s="498"/>
      <c r="AX6765" s="498"/>
      <c r="AY6765" s="498"/>
      <c r="AZ6765" s="498"/>
      <c r="BA6765" s="498"/>
    </row>
    <row r="6766" spans="1:53" s="499" customFormat="1" x14ac:dyDescent="0.25">
      <c r="A6766" s="500"/>
      <c r="B6766" s="501"/>
      <c r="C6766" s="502"/>
      <c r="D6766" s="497"/>
      <c r="E6766" s="497"/>
      <c r="F6766" s="502"/>
      <c r="G6766" s="497"/>
      <c r="H6766" s="497"/>
      <c r="I6766" s="497"/>
      <c r="J6766" s="497"/>
      <c r="K6766" s="500"/>
      <c r="L6766" s="497"/>
      <c r="M6766"/>
      <c r="N6766" s="498"/>
      <c r="O6766" s="498"/>
      <c r="P6766" s="498"/>
      <c r="Q6766" s="498"/>
      <c r="R6766" s="498"/>
      <c r="T6766" s="498"/>
      <c r="U6766" s="498"/>
      <c r="V6766" s="498"/>
      <c r="W6766" s="498"/>
      <c r="X6766" s="498"/>
      <c r="Y6766" s="498"/>
      <c r="Z6766" s="498"/>
      <c r="AA6766" s="498"/>
      <c r="AB6766" s="498"/>
      <c r="AC6766" s="498"/>
      <c r="AD6766" s="498"/>
      <c r="AE6766" s="498"/>
      <c r="AF6766" s="498"/>
      <c r="AG6766" s="498"/>
      <c r="AH6766" s="498"/>
      <c r="AI6766" s="498"/>
      <c r="AK6766" s="498"/>
      <c r="AL6766" s="498"/>
      <c r="AM6766" s="498"/>
      <c r="AN6766" s="498"/>
      <c r="AO6766" s="498"/>
      <c r="AP6766" s="498"/>
      <c r="AQ6766" s="498"/>
      <c r="AR6766" s="498"/>
      <c r="AS6766" s="498"/>
      <c r="AT6766" s="498"/>
      <c r="AU6766" s="498"/>
      <c r="AV6766" s="498"/>
      <c r="AW6766" s="498"/>
      <c r="AX6766" s="498"/>
      <c r="AY6766" s="498"/>
      <c r="AZ6766" s="498"/>
      <c r="BA6766" s="498"/>
    </row>
    <row r="6767" spans="1:53" s="499" customFormat="1" x14ac:dyDescent="0.25">
      <c r="A6767" s="500"/>
      <c r="B6767" s="501"/>
      <c r="C6767" s="502"/>
      <c r="D6767" s="497"/>
      <c r="E6767" s="497"/>
      <c r="F6767" s="502"/>
      <c r="G6767" s="497"/>
      <c r="H6767" s="497"/>
      <c r="I6767" s="497"/>
      <c r="J6767" s="497"/>
      <c r="K6767" s="500"/>
      <c r="L6767" s="497"/>
      <c r="M6767"/>
      <c r="N6767" s="498"/>
      <c r="O6767" s="498"/>
      <c r="P6767" s="498"/>
      <c r="Q6767" s="498"/>
      <c r="R6767" s="498"/>
      <c r="T6767" s="498"/>
      <c r="U6767" s="498"/>
      <c r="V6767" s="498"/>
      <c r="W6767" s="498"/>
      <c r="X6767" s="498"/>
      <c r="Y6767" s="498"/>
      <c r="Z6767" s="498"/>
      <c r="AA6767" s="498"/>
      <c r="AB6767" s="498"/>
      <c r="AC6767" s="498"/>
      <c r="AD6767" s="498"/>
      <c r="AE6767" s="498"/>
      <c r="AF6767" s="498"/>
      <c r="AG6767" s="498"/>
      <c r="AH6767" s="498"/>
      <c r="AI6767" s="498"/>
      <c r="AK6767" s="498"/>
      <c r="AL6767" s="498"/>
      <c r="AM6767" s="498"/>
      <c r="AN6767" s="498"/>
      <c r="AO6767" s="498"/>
      <c r="AP6767" s="498"/>
      <c r="AQ6767" s="498"/>
      <c r="AR6767" s="498"/>
      <c r="AS6767" s="498"/>
      <c r="AT6767" s="498"/>
      <c r="AU6767" s="498"/>
      <c r="AV6767" s="498"/>
      <c r="AW6767" s="498"/>
      <c r="AX6767" s="498"/>
      <c r="AY6767" s="498"/>
      <c r="AZ6767" s="498"/>
      <c r="BA6767" s="498"/>
    </row>
    <row r="6768" spans="1:53" s="499" customFormat="1" x14ac:dyDescent="0.25">
      <c r="A6768" s="500"/>
      <c r="B6768" s="501"/>
      <c r="C6768" s="502"/>
      <c r="D6768" s="497"/>
      <c r="E6768" s="497"/>
      <c r="F6768" s="502"/>
      <c r="G6768" s="497"/>
      <c r="H6768" s="497"/>
      <c r="I6768" s="497"/>
      <c r="J6768" s="497"/>
      <c r="K6768" s="500"/>
      <c r="L6768" s="497"/>
      <c r="M6768"/>
      <c r="N6768" s="498"/>
      <c r="O6768" s="498"/>
      <c r="P6768" s="498"/>
      <c r="Q6768" s="498"/>
      <c r="R6768" s="498"/>
      <c r="T6768" s="498"/>
      <c r="U6768" s="498"/>
      <c r="V6768" s="498"/>
      <c r="W6768" s="498"/>
      <c r="X6768" s="498"/>
      <c r="Y6768" s="498"/>
      <c r="Z6768" s="498"/>
      <c r="AA6768" s="498"/>
      <c r="AB6768" s="498"/>
      <c r="AC6768" s="498"/>
      <c r="AD6768" s="498"/>
      <c r="AE6768" s="498"/>
      <c r="AF6768" s="498"/>
      <c r="AG6768" s="498"/>
      <c r="AH6768" s="498"/>
      <c r="AI6768" s="498"/>
      <c r="AK6768" s="498"/>
      <c r="AL6768" s="498"/>
      <c r="AM6768" s="498"/>
      <c r="AN6768" s="498"/>
      <c r="AO6768" s="498"/>
      <c r="AP6768" s="498"/>
      <c r="AQ6768" s="498"/>
      <c r="AR6768" s="498"/>
      <c r="AS6768" s="498"/>
      <c r="AT6768" s="498"/>
      <c r="AU6768" s="498"/>
      <c r="AV6768" s="498"/>
      <c r="AW6768" s="498"/>
      <c r="AX6768" s="498"/>
      <c r="AY6768" s="498"/>
      <c r="AZ6768" s="498"/>
      <c r="BA6768" s="498"/>
    </row>
    <row r="6769" spans="1:53" s="499" customFormat="1" x14ac:dyDescent="0.25">
      <c r="A6769" s="500"/>
      <c r="B6769" s="501"/>
      <c r="C6769" s="502"/>
      <c r="D6769" s="497"/>
      <c r="E6769" s="497"/>
      <c r="F6769" s="502"/>
      <c r="G6769" s="497"/>
      <c r="H6769" s="497"/>
      <c r="I6769" s="497"/>
      <c r="J6769" s="497"/>
      <c r="K6769" s="500"/>
      <c r="L6769" s="497"/>
      <c r="M6769"/>
      <c r="N6769" s="498"/>
      <c r="O6769" s="498"/>
      <c r="P6769" s="498"/>
      <c r="Q6769" s="498"/>
      <c r="R6769" s="498"/>
      <c r="T6769" s="498"/>
      <c r="U6769" s="498"/>
      <c r="V6769" s="498"/>
      <c r="W6769" s="498"/>
      <c r="X6769" s="498"/>
      <c r="Y6769" s="498"/>
      <c r="Z6769" s="498"/>
      <c r="AA6769" s="498"/>
      <c r="AB6769" s="498"/>
      <c r="AC6769" s="498"/>
      <c r="AD6769" s="498"/>
      <c r="AE6769" s="498"/>
      <c r="AF6769" s="498"/>
      <c r="AG6769" s="498"/>
      <c r="AH6769" s="498"/>
      <c r="AI6769" s="498"/>
      <c r="AK6769" s="498"/>
      <c r="AL6769" s="498"/>
      <c r="AM6769" s="498"/>
      <c r="AN6769" s="498"/>
      <c r="AO6769" s="498"/>
      <c r="AP6769" s="498"/>
      <c r="AQ6769" s="498"/>
      <c r="AR6769" s="498"/>
      <c r="AS6769" s="498"/>
      <c r="AT6769" s="498"/>
      <c r="AU6769" s="498"/>
      <c r="AV6769" s="498"/>
      <c r="AW6769" s="498"/>
      <c r="AX6769" s="498"/>
      <c r="AY6769" s="498"/>
      <c r="AZ6769" s="498"/>
      <c r="BA6769" s="498"/>
    </row>
    <row r="6770" spans="1:53" s="499" customFormat="1" x14ac:dyDescent="0.25">
      <c r="A6770" s="500"/>
      <c r="B6770" s="501"/>
      <c r="C6770" s="502"/>
      <c r="D6770" s="497"/>
      <c r="E6770" s="497"/>
      <c r="F6770" s="502"/>
      <c r="G6770" s="497"/>
      <c r="H6770" s="497"/>
      <c r="I6770" s="497"/>
      <c r="J6770" s="497"/>
      <c r="K6770" s="500"/>
      <c r="L6770" s="497"/>
      <c r="M6770"/>
      <c r="N6770" s="498"/>
      <c r="O6770" s="498"/>
      <c r="P6770" s="498"/>
      <c r="Q6770" s="498"/>
      <c r="R6770" s="498"/>
      <c r="T6770" s="498"/>
      <c r="U6770" s="498"/>
      <c r="V6770" s="498"/>
      <c r="W6770" s="498"/>
      <c r="X6770" s="498"/>
      <c r="Y6770" s="498"/>
      <c r="Z6770" s="498"/>
      <c r="AA6770" s="498"/>
      <c r="AB6770" s="498"/>
      <c r="AC6770" s="498"/>
      <c r="AD6770" s="498"/>
      <c r="AE6770" s="498"/>
      <c r="AF6770" s="498"/>
      <c r="AG6770" s="498"/>
      <c r="AH6770" s="498"/>
      <c r="AI6770" s="498"/>
      <c r="AK6770" s="498"/>
      <c r="AL6770" s="498"/>
      <c r="AM6770" s="498"/>
      <c r="AN6770" s="498"/>
      <c r="AO6770" s="498"/>
      <c r="AP6770" s="498"/>
      <c r="AQ6770" s="498"/>
      <c r="AR6770" s="498"/>
      <c r="AS6770" s="498"/>
      <c r="AT6770" s="498"/>
      <c r="AU6770" s="498"/>
      <c r="AV6770" s="498"/>
      <c r="AW6770" s="498"/>
      <c r="AX6770" s="498"/>
      <c r="AY6770" s="498"/>
      <c r="AZ6770" s="498"/>
      <c r="BA6770" s="498"/>
    </row>
    <row r="6771" spans="1:53" s="499" customFormat="1" x14ac:dyDescent="0.25">
      <c r="A6771" s="500"/>
      <c r="B6771" s="501"/>
      <c r="C6771" s="502"/>
      <c r="D6771" s="497"/>
      <c r="E6771" s="497"/>
      <c r="F6771" s="502"/>
      <c r="G6771" s="497"/>
      <c r="H6771" s="497"/>
      <c r="I6771" s="497"/>
      <c r="J6771" s="497"/>
      <c r="K6771" s="500"/>
      <c r="L6771" s="497"/>
      <c r="M6771"/>
      <c r="N6771" s="498"/>
      <c r="O6771" s="498"/>
      <c r="P6771" s="498"/>
      <c r="Q6771" s="498"/>
      <c r="R6771" s="498"/>
      <c r="T6771" s="498"/>
      <c r="U6771" s="498"/>
      <c r="V6771" s="498"/>
      <c r="W6771" s="498"/>
      <c r="X6771" s="498"/>
      <c r="Y6771" s="498"/>
      <c r="Z6771" s="498"/>
      <c r="AA6771" s="498"/>
      <c r="AB6771" s="498"/>
      <c r="AC6771" s="498"/>
      <c r="AD6771" s="498"/>
      <c r="AE6771" s="498"/>
      <c r="AF6771" s="498"/>
      <c r="AG6771" s="498"/>
      <c r="AH6771" s="498"/>
      <c r="AI6771" s="498"/>
      <c r="AK6771" s="498"/>
      <c r="AL6771" s="498"/>
      <c r="AM6771" s="498"/>
      <c r="AN6771" s="498"/>
      <c r="AO6771" s="498"/>
      <c r="AP6771" s="498"/>
      <c r="AQ6771" s="498"/>
      <c r="AR6771" s="498"/>
      <c r="AS6771" s="498"/>
      <c r="AT6771" s="498"/>
      <c r="AU6771" s="498"/>
      <c r="AV6771" s="498"/>
      <c r="AW6771" s="498"/>
      <c r="AX6771" s="498"/>
      <c r="AY6771" s="498"/>
      <c r="AZ6771" s="498"/>
      <c r="BA6771" s="498"/>
    </row>
    <row r="6772" spans="1:53" s="499" customFormat="1" x14ac:dyDescent="0.25">
      <c r="A6772" s="500"/>
      <c r="B6772" s="501"/>
      <c r="C6772" s="502"/>
      <c r="D6772" s="497"/>
      <c r="E6772" s="497"/>
      <c r="F6772" s="502"/>
      <c r="G6772" s="497"/>
      <c r="H6772" s="497"/>
      <c r="I6772" s="497"/>
      <c r="J6772" s="497"/>
      <c r="K6772" s="500"/>
      <c r="L6772" s="497"/>
      <c r="M6772"/>
      <c r="N6772" s="498"/>
      <c r="O6772" s="498"/>
      <c r="P6772" s="498"/>
      <c r="Q6772" s="498"/>
      <c r="R6772" s="498"/>
      <c r="T6772" s="498"/>
      <c r="U6772" s="498"/>
      <c r="V6772" s="498"/>
      <c r="W6772" s="498"/>
      <c r="X6772" s="498"/>
      <c r="Y6772" s="498"/>
      <c r="Z6772" s="498"/>
      <c r="AA6772" s="498"/>
      <c r="AB6772" s="498"/>
      <c r="AC6772" s="498"/>
      <c r="AD6772" s="498"/>
      <c r="AE6772" s="498"/>
      <c r="AF6772" s="498"/>
      <c r="AG6772" s="498"/>
      <c r="AH6772" s="498"/>
      <c r="AI6772" s="498"/>
      <c r="AK6772" s="498"/>
      <c r="AL6772" s="498"/>
      <c r="AM6772" s="498"/>
      <c r="AN6772" s="498"/>
      <c r="AO6772" s="498"/>
      <c r="AP6772" s="498"/>
      <c r="AQ6772" s="498"/>
      <c r="AR6772" s="498"/>
      <c r="AS6772" s="498"/>
      <c r="AT6772" s="498"/>
      <c r="AU6772" s="498"/>
      <c r="AV6772" s="498"/>
      <c r="AW6772" s="498"/>
      <c r="AX6772" s="498"/>
      <c r="AY6772" s="498"/>
      <c r="AZ6772" s="498"/>
      <c r="BA6772" s="498"/>
    </row>
    <row r="6773" spans="1:53" s="499" customFormat="1" x14ac:dyDescent="0.25">
      <c r="A6773" s="500"/>
      <c r="B6773" s="501"/>
      <c r="C6773" s="502"/>
      <c r="D6773" s="497"/>
      <c r="E6773" s="497"/>
      <c r="F6773" s="502"/>
      <c r="G6773" s="497"/>
      <c r="H6773" s="497"/>
      <c r="I6773" s="497"/>
      <c r="J6773" s="497"/>
      <c r="K6773" s="500"/>
      <c r="L6773" s="497"/>
      <c r="M6773"/>
      <c r="N6773" s="498"/>
      <c r="O6773" s="498"/>
      <c r="P6773" s="498"/>
      <c r="Q6773" s="498"/>
      <c r="R6773" s="498"/>
      <c r="T6773" s="498"/>
      <c r="U6773" s="498"/>
      <c r="V6773" s="498"/>
      <c r="W6773" s="498"/>
      <c r="X6773" s="498"/>
      <c r="Y6773" s="498"/>
      <c r="Z6773" s="498"/>
      <c r="AA6773" s="498"/>
      <c r="AB6773" s="498"/>
      <c r="AC6773" s="498"/>
      <c r="AD6773" s="498"/>
      <c r="AE6773" s="498"/>
      <c r="AF6773" s="498"/>
      <c r="AG6773" s="498"/>
      <c r="AH6773" s="498"/>
      <c r="AI6773" s="498"/>
      <c r="AK6773" s="498"/>
      <c r="AL6773" s="498"/>
      <c r="AM6773" s="498"/>
      <c r="AN6773" s="498"/>
      <c r="AO6773" s="498"/>
      <c r="AP6773" s="498"/>
      <c r="AQ6773" s="498"/>
      <c r="AR6773" s="498"/>
      <c r="AS6773" s="498"/>
      <c r="AT6773" s="498"/>
      <c r="AU6773" s="498"/>
      <c r="AV6773" s="498"/>
      <c r="AW6773" s="498"/>
      <c r="AX6773" s="498"/>
      <c r="AY6773" s="498"/>
      <c r="AZ6773" s="498"/>
      <c r="BA6773" s="498"/>
    </row>
    <row r="6774" spans="1:53" s="499" customFormat="1" x14ac:dyDescent="0.25">
      <c r="A6774" s="500"/>
      <c r="B6774" s="501"/>
      <c r="C6774" s="502"/>
      <c r="D6774" s="497"/>
      <c r="E6774" s="497"/>
      <c r="F6774" s="502"/>
      <c r="G6774" s="497"/>
      <c r="H6774" s="497"/>
      <c r="I6774" s="497"/>
      <c r="J6774" s="497"/>
      <c r="K6774" s="500"/>
      <c r="L6774" s="497"/>
      <c r="M6774"/>
      <c r="N6774" s="498"/>
      <c r="O6774" s="498"/>
      <c r="P6774" s="498"/>
      <c r="Q6774" s="498"/>
      <c r="R6774" s="498"/>
      <c r="T6774" s="498"/>
      <c r="U6774" s="498"/>
      <c r="V6774" s="498"/>
      <c r="W6774" s="498"/>
      <c r="X6774" s="498"/>
      <c r="Y6774" s="498"/>
      <c r="Z6774" s="498"/>
      <c r="AA6774" s="498"/>
      <c r="AB6774" s="498"/>
      <c r="AC6774" s="498"/>
      <c r="AD6774" s="498"/>
      <c r="AE6774" s="498"/>
      <c r="AF6774" s="498"/>
      <c r="AG6774" s="498"/>
      <c r="AH6774" s="498"/>
      <c r="AI6774" s="498"/>
      <c r="AK6774" s="498"/>
      <c r="AL6774" s="498"/>
      <c r="AM6774" s="498"/>
      <c r="AN6774" s="498"/>
      <c r="AO6774" s="498"/>
      <c r="AP6774" s="498"/>
      <c r="AQ6774" s="498"/>
      <c r="AR6774" s="498"/>
      <c r="AS6774" s="498"/>
      <c r="AT6774" s="498"/>
      <c r="AU6774" s="498"/>
      <c r="AV6774" s="498"/>
      <c r="AW6774" s="498"/>
      <c r="AX6774" s="498"/>
      <c r="AY6774" s="498"/>
      <c r="AZ6774" s="498"/>
      <c r="BA6774" s="498"/>
    </row>
    <row r="6775" spans="1:53" s="499" customFormat="1" x14ac:dyDescent="0.25">
      <c r="A6775" s="500"/>
      <c r="B6775" s="501"/>
      <c r="C6775" s="502"/>
      <c r="D6775" s="497"/>
      <c r="E6775" s="497"/>
      <c r="F6775" s="502"/>
      <c r="G6775" s="497"/>
      <c r="H6775" s="497"/>
      <c r="I6775" s="497"/>
      <c r="J6775" s="497"/>
      <c r="K6775" s="500"/>
      <c r="L6775" s="497"/>
      <c r="M6775"/>
      <c r="N6775" s="498"/>
      <c r="O6775" s="498"/>
      <c r="P6775" s="498"/>
      <c r="Q6775" s="498"/>
      <c r="R6775" s="498"/>
      <c r="T6775" s="498"/>
      <c r="U6775" s="498"/>
      <c r="V6775" s="498"/>
      <c r="W6775" s="498"/>
      <c r="X6775" s="498"/>
      <c r="Y6775" s="498"/>
      <c r="Z6775" s="498"/>
      <c r="AA6775" s="498"/>
      <c r="AB6775" s="498"/>
      <c r="AC6775" s="498"/>
      <c r="AD6775" s="498"/>
      <c r="AE6775" s="498"/>
      <c r="AF6775" s="498"/>
      <c r="AG6775" s="498"/>
      <c r="AH6775" s="498"/>
      <c r="AI6775" s="498"/>
      <c r="AK6775" s="498"/>
      <c r="AL6775" s="498"/>
      <c r="AM6775" s="498"/>
      <c r="AN6775" s="498"/>
      <c r="AO6775" s="498"/>
      <c r="AP6775" s="498"/>
      <c r="AQ6775" s="498"/>
      <c r="AR6775" s="498"/>
      <c r="AS6775" s="498"/>
      <c r="AT6775" s="498"/>
      <c r="AU6775" s="498"/>
      <c r="AV6775" s="498"/>
      <c r="AW6775" s="498"/>
      <c r="AX6775" s="498"/>
      <c r="AY6775" s="498"/>
      <c r="AZ6775" s="498"/>
      <c r="BA6775" s="498"/>
    </row>
    <row r="6776" spans="1:53" s="499" customFormat="1" x14ac:dyDescent="0.25">
      <c r="A6776" s="500"/>
      <c r="B6776" s="501"/>
      <c r="C6776" s="502"/>
      <c r="D6776" s="497"/>
      <c r="E6776" s="497"/>
      <c r="F6776" s="502"/>
      <c r="G6776" s="497"/>
      <c r="H6776" s="497"/>
      <c r="I6776" s="497"/>
      <c r="J6776" s="497"/>
      <c r="K6776" s="500"/>
      <c r="L6776" s="497"/>
      <c r="M6776"/>
      <c r="N6776" s="498"/>
      <c r="O6776" s="498"/>
      <c r="P6776" s="498"/>
      <c r="Q6776" s="498"/>
      <c r="R6776" s="498"/>
      <c r="T6776" s="498"/>
      <c r="U6776" s="498"/>
      <c r="V6776" s="498"/>
      <c r="W6776" s="498"/>
      <c r="X6776" s="498"/>
      <c r="Y6776" s="498"/>
      <c r="Z6776" s="498"/>
      <c r="AA6776" s="498"/>
      <c r="AB6776" s="498"/>
      <c r="AC6776" s="498"/>
      <c r="AD6776" s="498"/>
      <c r="AE6776" s="498"/>
      <c r="AF6776" s="498"/>
      <c r="AG6776" s="498"/>
      <c r="AH6776" s="498"/>
      <c r="AI6776" s="498"/>
      <c r="AK6776" s="498"/>
      <c r="AL6776" s="498"/>
      <c r="AM6776" s="498"/>
      <c r="AN6776" s="498"/>
      <c r="AO6776" s="498"/>
      <c r="AP6776" s="498"/>
      <c r="AQ6776" s="498"/>
      <c r="AR6776" s="498"/>
      <c r="AS6776" s="498"/>
      <c r="AT6776" s="498"/>
      <c r="AU6776" s="498"/>
      <c r="AV6776" s="498"/>
      <c r="AW6776" s="498"/>
      <c r="AX6776" s="498"/>
      <c r="AY6776" s="498"/>
      <c r="AZ6776" s="498"/>
      <c r="BA6776" s="498"/>
    </row>
    <row r="6777" spans="1:53" s="499" customFormat="1" x14ac:dyDescent="0.25">
      <c r="A6777" s="500"/>
      <c r="B6777" s="501"/>
      <c r="C6777" s="502"/>
      <c r="D6777" s="497"/>
      <c r="E6777" s="497"/>
      <c r="F6777" s="502"/>
      <c r="G6777" s="497"/>
      <c r="H6777" s="497"/>
      <c r="I6777" s="497"/>
      <c r="J6777" s="497"/>
      <c r="K6777" s="500"/>
      <c r="L6777" s="497"/>
      <c r="M6777"/>
      <c r="N6777" s="498"/>
      <c r="O6777" s="498"/>
      <c r="P6777" s="498"/>
      <c r="Q6777" s="498"/>
      <c r="R6777" s="498"/>
      <c r="T6777" s="498"/>
      <c r="U6777" s="498"/>
      <c r="V6777" s="498"/>
      <c r="W6777" s="498"/>
      <c r="X6777" s="498"/>
      <c r="Y6777" s="498"/>
      <c r="Z6777" s="498"/>
      <c r="AA6777" s="498"/>
      <c r="AB6777" s="498"/>
      <c r="AC6777" s="498"/>
      <c r="AD6777" s="498"/>
      <c r="AE6777" s="498"/>
      <c r="AF6777" s="498"/>
      <c r="AG6777" s="498"/>
      <c r="AH6777" s="498"/>
      <c r="AI6777" s="498"/>
      <c r="AK6777" s="498"/>
      <c r="AL6777" s="498"/>
      <c r="AM6777" s="498"/>
      <c r="AN6777" s="498"/>
      <c r="AO6777" s="498"/>
      <c r="AP6777" s="498"/>
      <c r="AQ6777" s="498"/>
      <c r="AR6777" s="498"/>
      <c r="AS6777" s="498"/>
      <c r="AT6777" s="498"/>
      <c r="AU6777" s="498"/>
      <c r="AV6777" s="498"/>
      <c r="AW6777" s="498"/>
      <c r="AX6777" s="498"/>
      <c r="AY6777" s="498"/>
      <c r="AZ6777" s="498"/>
      <c r="BA6777" s="498"/>
    </row>
    <row r="6778" spans="1:53" s="499" customFormat="1" x14ac:dyDescent="0.25">
      <c r="A6778" s="500"/>
      <c r="B6778" s="501"/>
      <c r="C6778" s="502"/>
      <c r="D6778" s="497"/>
      <c r="E6778" s="497"/>
      <c r="F6778" s="502"/>
      <c r="G6778" s="497"/>
      <c r="H6778" s="497"/>
      <c r="I6778" s="497"/>
      <c r="J6778" s="497"/>
      <c r="K6778" s="500"/>
      <c r="L6778" s="497"/>
      <c r="M6778"/>
      <c r="N6778" s="498"/>
      <c r="O6778" s="498"/>
      <c r="P6778" s="498"/>
      <c r="Q6778" s="498"/>
      <c r="R6778" s="498"/>
      <c r="T6778" s="498"/>
      <c r="U6778" s="498"/>
      <c r="V6778" s="498"/>
      <c r="W6778" s="498"/>
      <c r="X6778" s="498"/>
      <c r="Y6778" s="498"/>
      <c r="Z6778" s="498"/>
      <c r="AA6778" s="498"/>
      <c r="AB6778" s="498"/>
      <c r="AC6778" s="498"/>
      <c r="AD6778" s="498"/>
      <c r="AE6778" s="498"/>
      <c r="AF6778" s="498"/>
      <c r="AG6778" s="498"/>
      <c r="AH6778" s="498"/>
      <c r="AI6778" s="498"/>
      <c r="AK6778" s="498"/>
      <c r="AL6778" s="498"/>
      <c r="AM6778" s="498"/>
      <c r="AN6778" s="498"/>
      <c r="AO6778" s="498"/>
      <c r="AP6778" s="498"/>
      <c r="AQ6778" s="498"/>
      <c r="AR6778" s="498"/>
      <c r="AS6778" s="498"/>
      <c r="AT6778" s="498"/>
      <c r="AU6778" s="498"/>
      <c r="AV6778" s="498"/>
      <c r="AW6778" s="498"/>
      <c r="AX6778" s="498"/>
      <c r="AY6778" s="498"/>
      <c r="AZ6778" s="498"/>
      <c r="BA6778" s="498"/>
    </row>
    <row r="6779" spans="1:53" s="499" customFormat="1" x14ac:dyDescent="0.25">
      <c r="A6779" s="500"/>
      <c r="B6779" s="501"/>
      <c r="C6779" s="502"/>
      <c r="D6779" s="497"/>
      <c r="E6779" s="497"/>
      <c r="F6779" s="502"/>
      <c r="G6779" s="497"/>
      <c r="H6779" s="497"/>
      <c r="I6779" s="497"/>
      <c r="J6779" s="497"/>
      <c r="K6779" s="500"/>
      <c r="L6779" s="497"/>
      <c r="M6779"/>
      <c r="N6779" s="498"/>
      <c r="O6779" s="498"/>
      <c r="P6779" s="498"/>
      <c r="Q6779" s="498"/>
      <c r="R6779" s="498"/>
      <c r="T6779" s="498"/>
      <c r="U6779" s="498"/>
      <c r="V6779" s="498"/>
      <c r="W6779" s="498"/>
      <c r="X6779" s="498"/>
      <c r="Y6779" s="498"/>
      <c r="Z6779" s="498"/>
      <c r="AA6779" s="498"/>
      <c r="AB6779" s="498"/>
      <c r="AC6779" s="498"/>
      <c r="AD6779" s="498"/>
      <c r="AE6779" s="498"/>
      <c r="AF6779" s="498"/>
      <c r="AG6779" s="498"/>
      <c r="AH6779" s="498"/>
      <c r="AI6779" s="498"/>
      <c r="AK6779" s="498"/>
      <c r="AL6779" s="498"/>
      <c r="AM6779" s="498"/>
      <c r="AN6779" s="498"/>
      <c r="AO6779" s="498"/>
      <c r="AP6779" s="498"/>
      <c r="AQ6779" s="498"/>
      <c r="AR6779" s="498"/>
      <c r="AS6779" s="498"/>
      <c r="AT6779" s="498"/>
      <c r="AU6779" s="498"/>
      <c r="AV6779" s="498"/>
      <c r="AW6779" s="498"/>
      <c r="AX6779" s="498"/>
      <c r="AY6779" s="498"/>
      <c r="AZ6779" s="498"/>
      <c r="BA6779" s="498"/>
    </row>
    <row r="6780" spans="1:53" s="499" customFormat="1" x14ac:dyDescent="0.25">
      <c r="A6780" s="500"/>
      <c r="B6780" s="501"/>
      <c r="C6780" s="502"/>
      <c r="D6780" s="497"/>
      <c r="E6780" s="497"/>
      <c r="F6780" s="502"/>
      <c r="G6780" s="497"/>
      <c r="H6780" s="497"/>
      <c r="I6780" s="497"/>
      <c r="J6780" s="497"/>
      <c r="K6780" s="500"/>
      <c r="L6780" s="497"/>
      <c r="M6780"/>
      <c r="N6780" s="498"/>
      <c r="O6780" s="498"/>
      <c r="P6780" s="498"/>
      <c r="Q6780" s="498"/>
      <c r="R6780" s="498"/>
      <c r="T6780" s="498"/>
      <c r="U6780" s="498"/>
      <c r="V6780" s="498"/>
      <c r="W6780" s="498"/>
      <c r="X6780" s="498"/>
      <c r="Y6780" s="498"/>
      <c r="Z6780" s="498"/>
      <c r="AA6780" s="498"/>
      <c r="AB6780" s="498"/>
      <c r="AC6780" s="498"/>
      <c r="AD6780" s="498"/>
      <c r="AE6780" s="498"/>
      <c r="AF6780" s="498"/>
      <c r="AG6780" s="498"/>
      <c r="AH6780" s="498"/>
      <c r="AI6780" s="498"/>
      <c r="AK6780" s="498"/>
      <c r="AL6780" s="498"/>
      <c r="AM6780" s="498"/>
      <c r="AN6780" s="498"/>
      <c r="AO6780" s="498"/>
      <c r="AP6780" s="498"/>
      <c r="AQ6780" s="498"/>
      <c r="AR6780" s="498"/>
      <c r="AS6780" s="498"/>
      <c r="AT6780" s="498"/>
      <c r="AU6780" s="498"/>
      <c r="AV6780" s="498"/>
      <c r="AW6780" s="498"/>
      <c r="AX6780" s="498"/>
      <c r="AY6780" s="498"/>
      <c r="AZ6780" s="498"/>
      <c r="BA6780" s="498"/>
    </row>
    <row r="6781" spans="1:53" s="499" customFormat="1" x14ac:dyDescent="0.25">
      <c r="A6781" s="500"/>
      <c r="B6781" s="501"/>
      <c r="C6781" s="502"/>
      <c r="D6781" s="497"/>
      <c r="E6781" s="497"/>
      <c r="F6781" s="502"/>
      <c r="G6781" s="497"/>
      <c r="H6781" s="497"/>
      <c r="I6781" s="497"/>
      <c r="J6781" s="497"/>
      <c r="K6781" s="500"/>
      <c r="L6781" s="497"/>
      <c r="M6781"/>
      <c r="N6781" s="498"/>
      <c r="O6781" s="498"/>
      <c r="P6781" s="498"/>
      <c r="Q6781" s="498"/>
      <c r="R6781" s="498"/>
      <c r="T6781" s="498"/>
      <c r="U6781" s="498"/>
      <c r="V6781" s="498"/>
      <c r="W6781" s="498"/>
      <c r="X6781" s="498"/>
      <c r="Y6781" s="498"/>
      <c r="Z6781" s="498"/>
      <c r="AA6781" s="498"/>
      <c r="AB6781" s="498"/>
      <c r="AC6781" s="498"/>
      <c r="AD6781" s="498"/>
      <c r="AE6781" s="498"/>
      <c r="AF6781" s="498"/>
      <c r="AG6781" s="498"/>
      <c r="AH6781" s="498"/>
      <c r="AI6781" s="498"/>
      <c r="AK6781" s="498"/>
      <c r="AL6781" s="498"/>
      <c r="AM6781" s="498"/>
      <c r="AN6781" s="498"/>
      <c r="AO6781" s="498"/>
      <c r="AP6781" s="498"/>
      <c r="AQ6781" s="498"/>
      <c r="AR6781" s="498"/>
      <c r="AS6781" s="498"/>
      <c r="AT6781" s="498"/>
      <c r="AU6781" s="498"/>
      <c r="AV6781" s="498"/>
      <c r="AW6781" s="498"/>
      <c r="AX6781" s="498"/>
      <c r="AY6781" s="498"/>
      <c r="AZ6781" s="498"/>
      <c r="BA6781" s="498"/>
    </row>
    <row r="6782" spans="1:53" s="499" customFormat="1" x14ac:dyDescent="0.25">
      <c r="A6782" s="500"/>
      <c r="B6782" s="501"/>
      <c r="C6782" s="502"/>
      <c r="D6782" s="497"/>
      <c r="E6782" s="497"/>
      <c r="F6782" s="502"/>
      <c r="G6782" s="497"/>
      <c r="H6782" s="497"/>
      <c r="I6782" s="497"/>
      <c r="J6782" s="497"/>
      <c r="K6782" s="500"/>
      <c r="L6782" s="497"/>
      <c r="M6782"/>
      <c r="N6782" s="498"/>
      <c r="O6782" s="498"/>
      <c r="P6782" s="498"/>
      <c r="Q6782" s="498"/>
      <c r="R6782" s="498"/>
      <c r="T6782" s="498"/>
      <c r="U6782" s="498"/>
      <c r="V6782" s="498"/>
      <c r="W6782" s="498"/>
      <c r="X6782" s="498"/>
      <c r="Y6782" s="498"/>
      <c r="Z6782" s="498"/>
      <c r="AA6782" s="498"/>
      <c r="AB6782" s="498"/>
      <c r="AC6782" s="498"/>
      <c r="AD6782" s="498"/>
      <c r="AE6782" s="498"/>
      <c r="AF6782" s="498"/>
      <c r="AG6782" s="498"/>
      <c r="AH6782" s="498"/>
      <c r="AI6782" s="498"/>
      <c r="AK6782" s="498"/>
      <c r="AL6782" s="498"/>
      <c r="AM6782" s="498"/>
      <c r="AN6782" s="498"/>
      <c r="AO6782" s="498"/>
      <c r="AP6782" s="498"/>
      <c r="AQ6782" s="498"/>
      <c r="AR6782" s="498"/>
      <c r="AS6782" s="498"/>
      <c r="AT6782" s="498"/>
      <c r="AU6782" s="498"/>
      <c r="AV6782" s="498"/>
      <c r="AW6782" s="498"/>
      <c r="AX6782" s="498"/>
      <c r="AY6782" s="498"/>
      <c r="AZ6782" s="498"/>
      <c r="BA6782" s="498"/>
    </row>
    <row r="6783" spans="1:53" s="499" customFormat="1" x14ac:dyDescent="0.25">
      <c r="A6783" s="500"/>
      <c r="B6783" s="501"/>
      <c r="C6783" s="502"/>
      <c r="D6783" s="497"/>
      <c r="E6783" s="497"/>
      <c r="F6783" s="502"/>
      <c r="G6783" s="497"/>
      <c r="H6783" s="497"/>
      <c r="I6783" s="497"/>
      <c r="J6783" s="497"/>
      <c r="K6783" s="500"/>
      <c r="L6783" s="497"/>
      <c r="M6783"/>
      <c r="N6783" s="498"/>
      <c r="O6783" s="498"/>
      <c r="P6783" s="498"/>
      <c r="Q6783" s="498"/>
      <c r="R6783" s="498"/>
      <c r="T6783" s="498"/>
      <c r="U6783" s="498"/>
      <c r="V6783" s="498"/>
      <c r="W6783" s="498"/>
      <c r="X6783" s="498"/>
      <c r="Y6783" s="498"/>
      <c r="Z6783" s="498"/>
      <c r="AA6783" s="498"/>
      <c r="AB6783" s="498"/>
      <c r="AC6783" s="498"/>
      <c r="AD6783" s="498"/>
      <c r="AE6783" s="498"/>
      <c r="AF6783" s="498"/>
      <c r="AG6783" s="498"/>
      <c r="AH6783" s="498"/>
      <c r="AI6783" s="498"/>
      <c r="AK6783" s="498"/>
      <c r="AL6783" s="498"/>
      <c r="AM6783" s="498"/>
      <c r="AN6783" s="498"/>
      <c r="AO6783" s="498"/>
      <c r="AP6783" s="498"/>
      <c r="AQ6783" s="498"/>
      <c r="AR6783" s="498"/>
      <c r="AS6783" s="498"/>
      <c r="AT6783" s="498"/>
      <c r="AU6783" s="498"/>
      <c r="AV6783" s="498"/>
      <c r="AW6783" s="498"/>
      <c r="AX6783" s="498"/>
      <c r="AY6783" s="498"/>
      <c r="AZ6783" s="498"/>
      <c r="BA6783" s="498"/>
    </row>
    <row r="6784" spans="1:53" s="499" customFormat="1" x14ac:dyDescent="0.25">
      <c r="A6784" s="500"/>
      <c r="B6784" s="501"/>
      <c r="C6784" s="502"/>
      <c r="D6784" s="497"/>
      <c r="E6784" s="497"/>
      <c r="F6784" s="502"/>
      <c r="G6784" s="497"/>
      <c r="H6784" s="497"/>
      <c r="I6784" s="497"/>
      <c r="J6784" s="497"/>
      <c r="K6784" s="500"/>
      <c r="L6784" s="497"/>
      <c r="M6784"/>
      <c r="N6784" s="498"/>
      <c r="O6784" s="498"/>
      <c r="P6784" s="498"/>
      <c r="Q6784" s="498"/>
      <c r="R6784" s="498"/>
      <c r="T6784" s="498"/>
      <c r="U6784" s="498"/>
      <c r="V6784" s="498"/>
      <c r="W6784" s="498"/>
      <c r="X6784" s="498"/>
      <c r="Y6784" s="498"/>
      <c r="Z6784" s="498"/>
      <c r="AA6784" s="498"/>
      <c r="AB6784" s="498"/>
      <c r="AC6784" s="498"/>
      <c r="AD6784" s="498"/>
      <c r="AE6784" s="498"/>
      <c r="AF6784" s="498"/>
      <c r="AG6784" s="498"/>
      <c r="AH6784" s="498"/>
      <c r="AI6784" s="498"/>
      <c r="AK6784" s="498"/>
      <c r="AL6784" s="498"/>
      <c r="AM6784" s="498"/>
      <c r="AN6784" s="498"/>
      <c r="AO6784" s="498"/>
      <c r="AP6784" s="498"/>
      <c r="AQ6784" s="498"/>
      <c r="AR6784" s="498"/>
      <c r="AS6784" s="498"/>
      <c r="AT6784" s="498"/>
      <c r="AU6784" s="498"/>
      <c r="AV6784" s="498"/>
      <c r="AW6784" s="498"/>
      <c r="AX6784" s="498"/>
      <c r="AY6784" s="498"/>
      <c r="AZ6784" s="498"/>
      <c r="BA6784" s="498"/>
    </row>
    <row r="6785" spans="1:53" s="499" customFormat="1" x14ac:dyDescent="0.25">
      <c r="A6785" s="500"/>
      <c r="B6785" s="501"/>
      <c r="C6785" s="502"/>
      <c r="D6785" s="497"/>
      <c r="E6785" s="497"/>
      <c r="F6785" s="502"/>
      <c r="G6785" s="497"/>
      <c r="H6785" s="497"/>
      <c r="I6785" s="497"/>
      <c r="J6785" s="497"/>
      <c r="K6785" s="500"/>
      <c r="L6785" s="497"/>
      <c r="M6785"/>
      <c r="N6785" s="498"/>
      <c r="O6785" s="498"/>
      <c r="P6785" s="498"/>
      <c r="Q6785" s="498"/>
      <c r="R6785" s="498"/>
      <c r="T6785" s="498"/>
      <c r="U6785" s="498"/>
      <c r="V6785" s="498"/>
      <c r="W6785" s="498"/>
      <c r="X6785" s="498"/>
      <c r="Y6785" s="498"/>
      <c r="Z6785" s="498"/>
      <c r="AA6785" s="498"/>
      <c r="AB6785" s="498"/>
      <c r="AC6785" s="498"/>
      <c r="AD6785" s="498"/>
      <c r="AE6785" s="498"/>
      <c r="AF6785" s="498"/>
      <c r="AG6785" s="498"/>
      <c r="AH6785" s="498"/>
      <c r="AI6785" s="498"/>
      <c r="AK6785" s="498"/>
      <c r="AL6785" s="498"/>
      <c r="AM6785" s="498"/>
      <c r="AN6785" s="498"/>
      <c r="AO6785" s="498"/>
      <c r="AP6785" s="498"/>
      <c r="AQ6785" s="498"/>
      <c r="AR6785" s="498"/>
      <c r="AS6785" s="498"/>
      <c r="AT6785" s="498"/>
      <c r="AU6785" s="498"/>
      <c r="AV6785" s="498"/>
      <c r="AW6785" s="498"/>
      <c r="AX6785" s="498"/>
      <c r="AY6785" s="498"/>
      <c r="AZ6785" s="498"/>
      <c r="BA6785" s="498"/>
    </row>
    <row r="6786" spans="1:53" s="499" customFormat="1" x14ac:dyDescent="0.25">
      <c r="A6786" s="500"/>
      <c r="B6786" s="501"/>
      <c r="C6786" s="502"/>
      <c r="D6786" s="497"/>
      <c r="E6786" s="497"/>
      <c r="F6786" s="502"/>
      <c r="G6786" s="497"/>
      <c r="H6786" s="497"/>
      <c r="I6786" s="497"/>
      <c r="J6786" s="497"/>
      <c r="K6786" s="500"/>
      <c r="L6786" s="497"/>
      <c r="M6786"/>
      <c r="N6786" s="498"/>
      <c r="O6786" s="498"/>
      <c r="P6786" s="498"/>
      <c r="Q6786" s="498"/>
      <c r="R6786" s="498"/>
      <c r="T6786" s="498"/>
      <c r="U6786" s="498"/>
      <c r="V6786" s="498"/>
      <c r="W6786" s="498"/>
      <c r="X6786" s="498"/>
      <c r="Y6786" s="498"/>
      <c r="Z6786" s="498"/>
      <c r="AA6786" s="498"/>
      <c r="AB6786" s="498"/>
      <c r="AC6786" s="498"/>
      <c r="AD6786" s="498"/>
      <c r="AE6786" s="498"/>
      <c r="AF6786" s="498"/>
      <c r="AG6786" s="498"/>
      <c r="AH6786" s="498"/>
      <c r="AI6786" s="498"/>
      <c r="AK6786" s="498"/>
      <c r="AL6786" s="498"/>
      <c r="AM6786" s="498"/>
      <c r="AN6786" s="498"/>
      <c r="AO6786" s="498"/>
      <c r="AP6786" s="498"/>
      <c r="AQ6786" s="498"/>
      <c r="AR6786" s="498"/>
      <c r="AS6786" s="498"/>
      <c r="AT6786" s="498"/>
      <c r="AU6786" s="498"/>
      <c r="AV6786" s="498"/>
      <c r="AW6786" s="498"/>
      <c r="AX6786" s="498"/>
      <c r="AY6786" s="498"/>
      <c r="AZ6786" s="498"/>
      <c r="BA6786" s="498"/>
    </row>
    <row r="6787" spans="1:53" s="499" customFormat="1" x14ac:dyDescent="0.25">
      <c r="A6787" s="500"/>
      <c r="B6787" s="501"/>
      <c r="C6787" s="502"/>
      <c r="D6787" s="497"/>
      <c r="E6787" s="497"/>
      <c r="F6787" s="502"/>
      <c r="G6787" s="497"/>
      <c r="H6787" s="497"/>
      <c r="I6787" s="497"/>
      <c r="J6787" s="497"/>
      <c r="K6787" s="500"/>
      <c r="L6787" s="497"/>
      <c r="M6787"/>
      <c r="N6787" s="498"/>
      <c r="O6787" s="498"/>
      <c r="P6787" s="498"/>
      <c r="Q6787" s="498"/>
      <c r="R6787" s="498"/>
      <c r="T6787" s="498"/>
      <c r="U6787" s="498"/>
      <c r="V6787" s="498"/>
      <c r="W6787" s="498"/>
      <c r="X6787" s="498"/>
      <c r="Y6787" s="498"/>
      <c r="Z6787" s="498"/>
      <c r="AA6787" s="498"/>
      <c r="AB6787" s="498"/>
      <c r="AC6787" s="498"/>
      <c r="AD6787" s="498"/>
      <c r="AE6787" s="498"/>
      <c r="AF6787" s="498"/>
      <c r="AG6787" s="498"/>
      <c r="AH6787" s="498"/>
      <c r="AI6787" s="498"/>
      <c r="AK6787" s="498"/>
      <c r="AL6787" s="498"/>
      <c r="AM6787" s="498"/>
      <c r="AN6787" s="498"/>
      <c r="AO6787" s="498"/>
      <c r="AP6787" s="498"/>
      <c r="AQ6787" s="498"/>
      <c r="AR6787" s="498"/>
      <c r="AS6787" s="498"/>
      <c r="AT6787" s="498"/>
      <c r="AU6787" s="498"/>
      <c r="AV6787" s="498"/>
      <c r="AW6787" s="498"/>
      <c r="AX6787" s="498"/>
      <c r="AY6787" s="498"/>
      <c r="AZ6787" s="498"/>
      <c r="BA6787" s="498"/>
    </row>
    <row r="6788" spans="1:53" s="499" customFormat="1" x14ac:dyDescent="0.25">
      <c r="A6788" s="500"/>
      <c r="B6788" s="501"/>
      <c r="C6788" s="502"/>
      <c r="D6788" s="497"/>
      <c r="E6788" s="497"/>
      <c r="F6788" s="502"/>
      <c r="G6788" s="497"/>
      <c r="H6788" s="497"/>
      <c r="I6788" s="497"/>
      <c r="J6788" s="497"/>
      <c r="K6788" s="500"/>
      <c r="L6788" s="497"/>
      <c r="M6788"/>
      <c r="N6788" s="498"/>
      <c r="O6788" s="498"/>
      <c r="P6788" s="498"/>
      <c r="Q6788" s="498"/>
      <c r="R6788" s="498"/>
      <c r="T6788" s="498"/>
      <c r="U6788" s="498"/>
      <c r="V6788" s="498"/>
      <c r="W6788" s="498"/>
      <c r="X6788" s="498"/>
      <c r="Y6788" s="498"/>
      <c r="Z6788" s="498"/>
      <c r="AA6788" s="498"/>
      <c r="AB6788" s="498"/>
      <c r="AC6788" s="498"/>
      <c r="AD6788" s="498"/>
      <c r="AE6788" s="498"/>
      <c r="AF6788" s="498"/>
      <c r="AG6788" s="498"/>
      <c r="AH6788" s="498"/>
      <c r="AI6788" s="498"/>
      <c r="AK6788" s="498"/>
      <c r="AL6788" s="498"/>
      <c r="AM6788" s="498"/>
      <c r="AN6788" s="498"/>
      <c r="AO6788" s="498"/>
      <c r="AP6788" s="498"/>
      <c r="AQ6788" s="498"/>
      <c r="AR6788" s="498"/>
      <c r="AS6788" s="498"/>
      <c r="AT6788" s="498"/>
      <c r="AU6788" s="498"/>
      <c r="AV6788" s="498"/>
      <c r="AW6788" s="498"/>
      <c r="AX6788" s="498"/>
      <c r="AY6788" s="498"/>
      <c r="AZ6788" s="498"/>
      <c r="BA6788" s="498"/>
    </row>
    <row r="6789" spans="1:53" s="499" customFormat="1" x14ac:dyDescent="0.25">
      <c r="A6789" s="500"/>
      <c r="B6789" s="501"/>
      <c r="C6789" s="502"/>
      <c r="D6789" s="497"/>
      <c r="E6789" s="497"/>
      <c r="F6789" s="502"/>
      <c r="G6789" s="497"/>
      <c r="H6789" s="497"/>
      <c r="I6789" s="497"/>
      <c r="J6789" s="497"/>
      <c r="K6789" s="500"/>
      <c r="L6789" s="497"/>
      <c r="M6789"/>
      <c r="N6789" s="498"/>
      <c r="O6789" s="498"/>
      <c r="P6789" s="498"/>
      <c r="Q6789" s="498"/>
      <c r="R6789" s="498"/>
      <c r="T6789" s="498"/>
      <c r="U6789" s="498"/>
      <c r="V6789" s="498"/>
      <c r="W6789" s="498"/>
      <c r="X6789" s="498"/>
      <c r="Y6789" s="498"/>
      <c r="Z6789" s="498"/>
      <c r="AA6789" s="498"/>
      <c r="AB6789" s="498"/>
      <c r="AC6789" s="498"/>
      <c r="AD6789" s="498"/>
      <c r="AE6789" s="498"/>
      <c r="AF6789" s="498"/>
      <c r="AG6789" s="498"/>
      <c r="AH6789" s="498"/>
      <c r="AI6789" s="498"/>
      <c r="AK6789" s="498"/>
      <c r="AL6789" s="498"/>
      <c r="AM6789" s="498"/>
      <c r="AN6789" s="498"/>
      <c r="AO6789" s="498"/>
      <c r="AP6789" s="498"/>
      <c r="AQ6789" s="498"/>
      <c r="AR6789" s="498"/>
      <c r="AS6789" s="498"/>
      <c r="AT6789" s="498"/>
      <c r="AU6789" s="498"/>
      <c r="AV6789" s="498"/>
      <c r="AW6789" s="498"/>
      <c r="AX6789" s="498"/>
      <c r="AY6789" s="498"/>
      <c r="AZ6789" s="498"/>
      <c r="BA6789" s="498"/>
    </row>
    <row r="6790" spans="1:53" s="499" customFormat="1" x14ac:dyDescent="0.25">
      <c r="A6790" s="500"/>
      <c r="B6790" s="501"/>
      <c r="C6790" s="502"/>
      <c r="D6790" s="497"/>
      <c r="E6790" s="497"/>
      <c r="F6790" s="502"/>
      <c r="G6790" s="497"/>
      <c r="H6790" s="497"/>
      <c r="I6790" s="497"/>
      <c r="J6790" s="497"/>
      <c r="K6790" s="500"/>
      <c r="L6790" s="497"/>
      <c r="M6790"/>
      <c r="N6790" s="498"/>
      <c r="O6790" s="498"/>
      <c r="P6790" s="498"/>
      <c r="Q6790" s="498"/>
      <c r="R6790" s="498"/>
      <c r="T6790" s="498"/>
      <c r="U6790" s="498"/>
      <c r="V6790" s="498"/>
      <c r="W6790" s="498"/>
      <c r="X6790" s="498"/>
      <c r="Y6790" s="498"/>
      <c r="Z6790" s="498"/>
      <c r="AA6790" s="498"/>
      <c r="AB6790" s="498"/>
      <c r="AC6790" s="498"/>
      <c r="AD6790" s="498"/>
      <c r="AE6790" s="498"/>
      <c r="AF6790" s="498"/>
      <c r="AG6790" s="498"/>
      <c r="AH6790" s="498"/>
      <c r="AI6790" s="498"/>
      <c r="AK6790" s="498"/>
      <c r="AL6790" s="498"/>
      <c r="AM6790" s="498"/>
      <c r="AN6790" s="498"/>
      <c r="AO6790" s="498"/>
      <c r="AP6790" s="498"/>
      <c r="AQ6790" s="498"/>
      <c r="AR6790" s="498"/>
      <c r="AS6790" s="498"/>
      <c r="AT6790" s="498"/>
      <c r="AU6790" s="498"/>
      <c r="AV6790" s="498"/>
      <c r="AW6790" s="498"/>
      <c r="AX6790" s="498"/>
      <c r="AY6790" s="498"/>
      <c r="AZ6790" s="498"/>
      <c r="BA6790" s="498"/>
    </row>
    <row r="6791" spans="1:53" s="499" customFormat="1" x14ac:dyDescent="0.25">
      <c r="A6791" s="500"/>
      <c r="B6791" s="501"/>
      <c r="C6791" s="502"/>
      <c r="D6791" s="497"/>
      <c r="E6791" s="497"/>
      <c r="F6791" s="502"/>
      <c r="G6791" s="497"/>
      <c r="H6791" s="497"/>
      <c r="I6791" s="497"/>
      <c r="J6791" s="497"/>
      <c r="K6791" s="500"/>
      <c r="L6791" s="497"/>
      <c r="M6791"/>
      <c r="N6791" s="498"/>
      <c r="O6791" s="498"/>
      <c r="P6791" s="498"/>
      <c r="Q6791" s="498"/>
      <c r="R6791" s="498"/>
      <c r="T6791" s="498"/>
      <c r="U6791" s="498"/>
      <c r="V6791" s="498"/>
      <c r="W6791" s="498"/>
      <c r="X6791" s="498"/>
      <c r="Y6791" s="498"/>
      <c r="Z6791" s="498"/>
      <c r="AA6791" s="498"/>
      <c r="AB6791" s="498"/>
      <c r="AC6791" s="498"/>
      <c r="AD6791" s="498"/>
      <c r="AE6791" s="498"/>
      <c r="AF6791" s="498"/>
      <c r="AG6791" s="498"/>
      <c r="AH6791" s="498"/>
      <c r="AI6791" s="498"/>
      <c r="AK6791" s="498"/>
      <c r="AL6791" s="498"/>
      <c r="AM6791" s="498"/>
      <c r="AN6791" s="498"/>
      <c r="AO6791" s="498"/>
      <c r="AP6791" s="498"/>
      <c r="AQ6791" s="498"/>
      <c r="AR6791" s="498"/>
      <c r="AS6791" s="498"/>
      <c r="AT6791" s="498"/>
      <c r="AU6791" s="498"/>
      <c r="AV6791" s="498"/>
      <c r="AW6791" s="498"/>
      <c r="AX6791" s="498"/>
      <c r="AY6791" s="498"/>
      <c r="AZ6791" s="498"/>
      <c r="BA6791" s="498"/>
    </row>
    <row r="6792" spans="1:53" s="499" customFormat="1" x14ac:dyDescent="0.25">
      <c r="A6792" s="500"/>
      <c r="B6792" s="501"/>
      <c r="C6792" s="502"/>
      <c r="D6792" s="497"/>
      <c r="E6792" s="497"/>
      <c r="F6792" s="502"/>
      <c r="G6792" s="497"/>
      <c r="H6792" s="497"/>
      <c r="I6792" s="497"/>
      <c r="J6792" s="497"/>
      <c r="K6792" s="500"/>
      <c r="L6792" s="497"/>
      <c r="M6792"/>
      <c r="N6792" s="498"/>
      <c r="O6792" s="498"/>
      <c r="P6792" s="498"/>
      <c r="Q6792" s="498"/>
      <c r="R6792" s="498"/>
      <c r="T6792" s="498"/>
      <c r="U6792" s="498"/>
      <c r="V6792" s="498"/>
      <c r="W6792" s="498"/>
      <c r="X6792" s="498"/>
      <c r="Y6792" s="498"/>
      <c r="Z6792" s="498"/>
      <c r="AA6792" s="498"/>
      <c r="AB6792" s="498"/>
      <c r="AC6792" s="498"/>
      <c r="AD6792" s="498"/>
      <c r="AE6792" s="498"/>
      <c r="AF6792" s="498"/>
      <c r="AG6792" s="498"/>
      <c r="AH6792" s="498"/>
      <c r="AI6792" s="498"/>
      <c r="AK6792" s="498"/>
      <c r="AL6792" s="498"/>
      <c r="AM6792" s="498"/>
      <c r="AN6792" s="498"/>
      <c r="AO6792" s="498"/>
      <c r="AP6792" s="498"/>
      <c r="AQ6792" s="498"/>
      <c r="AR6792" s="498"/>
      <c r="AS6792" s="498"/>
      <c r="AT6792" s="498"/>
      <c r="AU6792" s="498"/>
      <c r="AV6792" s="498"/>
      <c r="AW6792" s="498"/>
      <c r="AX6792" s="498"/>
      <c r="AY6792" s="498"/>
      <c r="AZ6792" s="498"/>
      <c r="BA6792" s="498"/>
    </row>
    <row r="6793" spans="1:53" s="499" customFormat="1" x14ac:dyDescent="0.25">
      <c r="A6793" s="500"/>
      <c r="B6793" s="501"/>
      <c r="C6793" s="502"/>
      <c r="D6793" s="497"/>
      <c r="E6793" s="497"/>
      <c r="F6793" s="502"/>
      <c r="G6793" s="497"/>
      <c r="H6793" s="497"/>
      <c r="I6793" s="497"/>
      <c r="J6793" s="497"/>
      <c r="K6793" s="500"/>
      <c r="L6793" s="497"/>
      <c r="M6793"/>
      <c r="N6793" s="498"/>
      <c r="O6793" s="498"/>
      <c r="P6793" s="498"/>
      <c r="Q6793" s="498"/>
      <c r="R6793" s="498"/>
      <c r="T6793" s="498"/>
      <c r="U6793" s="498"/>
      <c r="V6793" s="498"/>
      <c r="W6793" s="498"/>
      <c r="X6793" s="498"/>
      <c r="Y6793" s="498"/>
      <c r="Z6793" s="498"/>
      <c r="AA6793" s="498"/>
      <c r="AB6793" s="498"/>
      <c r="AC6793" s="498"/>
      <c r="AD6793" s="498"/>
      <c r="AE6793" s="498"/>
      <c r="AF6793" s="498"/>
      <c r="AG6793" s="498"/>
      <c r="AH6793" s="498"/>
      <c r="AI6793" s="498"/>
      <c r="AK6793" s="498"/>
      <c r="AL6793" s="498"/>
      <c r="AM6793" s="498"/>
      <c r="AN6793" s="498"/>
      <c r="AO6793" s="498"/>
      <c r="AP6793" s="498"/>
      <c r="AQ6793" s="498"/>
      <c r="AR6793" s="498"/>
      <c r="AS6793" s="498"/>
      <c r="AT6793" s="498"/>
      <c r="AU6793" s="498"/>
      <c r="AV6793" s="498"/>
      <c r="AW6793" s="498"/>
      <c r="AX6793" s="498"/>
      <c r="AY6793" s="498"/>
      <c r="AZ6793" s="498"/>
      <c r="BA6793" s="498"/>
    </row>
    <row r="6794" spans="1:53" s="499" customFormat="1" x14ac:dyDescent="0.25">
      <c r="A6794" s="500"/>
      <c r="B6794" s="501"/>
      <c r="C6794" s="502"/>
      <c r="D6794" s="497"/>
      <c r="E6794" s="497"/>
      <c r="F6794" s="502"/>
      <c r="G6794" s="497"/>
      <c r="H6794" s="497"/>
      <c r="I6794" s="497"/>
      <c r="J6794" s="497"/>
      <c r="K6794" s="500"/>
      <c r="L6794" s="497"/>
      <c r="M6794"/>
      <c r="N6794" s="498"/>
      <c r="O6794" s="498"/>
      <c r="P6794" s="498"/>
      <c r="Q6794" s="498"/>
      <c r="R6794" s="498"/>
      <c r="T6794" s="498"/>
      <c r="U6794" s="498"/>
      <c r="V6794" s="498"/>
      <c r="W6794" s="498"/>
      <c r="X6794" s="498"/>
      <c r="Y6794" s="498"/>
      <c r="Z6794" s="498"/>
      <c r="AA6794" s="498"/>
      <c r="AB6794" s="498"/>
      <c r="AC6794" s="498"/>
      <c r="AD6794" s="498"/>
      <c r="AE6794" s="498"/>
      <c r="AF6794" s="498"/>
      <c r="AG6794" s="498"/>
      <c r="AH6794" s="498"/>
      <c r="AI6794" s="498"/>
      <c r="AK6794" s="498"/>
      <c r="AL6794" s="498"/>
      <c r="AM6794" s="498"/>
      <c r="AN6794" s="498"/>
      <c r="AO6794" s="498"/>
      <c r="AP6794" s="498"/>
      <c r="AQ6794" s="498"/>
      <c r="AR6794" s="498"/>
      <c r="AS6794" s="498"/>
      <c r="AT6794" s="498"/>
      <c r="AU6794" s="498"/>
      <c r="AV6794" s="498"/>
      <c r="AW6794" s="498"/>
      <c r="AX6794" s="498"/>
      <c r="AY6794" s="498"/>
      <c r="AZ6794" s="498"/>
      <c r="BA6794" s="498"/>
    </row>
    <row r="6795" spans="1:53" s="499" customFormat="1" x14ac:dyDescent="0.25">
      <c r="A6795" s="500"/>
      <c r="B6795" s="501"/>
      <c r="C6795" s="502"/>
      <c r="D6795" s="497"/>
      <c r="E6795" s="497"/>
      <c r="F6795" s="502"/>
      <c r="G6795" s="497"/>
      <c r="H6795" s="497"/>
      <c r="I6795" s="497"/>
      <c r="J6795" s="497"/>
      <c r="K6795" s="500"/>
      <c r="L6795" s="497"/>
      <c r="M6795"/>
      <c r="N6795" s="498"/>
      <c r="O6795" s="498"/>
      <c r="P6795" s="498"/>
      <c r="Q6795" s="498"/>
      <c r="R6795" s="498"/>
      <c r="T6795" s="498"/>
      <c r="U6795" s="498"/>
      <c r="V6795" s="498"/>
      <c r="W6795" s="498"/>
      <c r="X6795" s="498"/>
      <c r="Y6795" s="498"/>
      <c r="Z6795" s="498"/>
      <c r="AA6795" s="498"/>
      <c r="AB6795" s="498"/>
      <c r="AC6795" s="498"/>
      <c r="AD6795" s="498"/>
      <c r="AE6795" s="498"/>
      <c r="AF6795" s="498"/>
      <c r="AG6795" s="498"/>
      <c r="AH6795" s="498"/>
      <c r="AI6795" s="498"/>
      <c r="AK6795" s="498"/>
      <c r="AL6795" s="498"/>
      <c r="AM6795" s="498"/>
      <c r="AN6795" s="498"/>
      <c r="AO6795" s="498"/>
      <c r="AP6795" s="498"/>
      <c r="AQ6795" s="498"/>
      <c r="AR6795" s="498"/>
      <c r="AS6795" s="498"/>
      <c r="AT6795" s="498"/>
      <c r="AU6795" s="498"/>
      <c r="AV6795" s="498"/>
      <c r="AW6795" s="498"/>
      <c r="AX6795" s="498"/>
      <c r="AY6795" s="498"/>
      <c r="AZ6795" s="498"/>
      <c r="BA6795" s="498"/>
    </row>
    <row r="6796" spans="1:53" s="499" customFormat="1" x14ac:dyDescent="0.25">
      <c r="A6796" s="500"/>
      <c r="B6796" s="501"/>
      <c r="C6796" s="502"/>
      <c r="D6796" s="497"/>
      <c r="E6796" s="497"/>
      <c r="F6796" s="502"/>
      <c r="G6796" s="497"/>
      <c r="H6796" s="497"/>
      <c r="I6796" s="497"/>
      <c r="J6796" s="497"/>
      <c r="K6796" s="500"/>
      <c r="L6796" s="497"/>
      <c r="M6796"/>
      <c r="N6796" s="498"/>
      <c r="O6796" s="498"/>
      <c r="P6796" s="498"/>
      <c r="Q6796" s="498"/>
      <c r="R6796" s="498"/>
      <c r="T6796" s="498"/>
      <c r="U6796" s="498"/>
      <c r="V6796" s="498"/>
      <c r="W6796" s="498"/>
      <c r="X6796" s="498"/>
      <c r="Y6796" s="498"/>
      <c r="Z6796" s="498"/>
      <c r="AA6796" s="498"/>
      <c r="AB6796" s="498"/>
      <c r="AC6796" s="498"/>
      <c r="AD6796" s="498"/>
      <c r="AE6796" s="498"/>
      <c r="AF6796" s="498"/>
      <c r="AG6796" s="498"/>
      <c r="AH6796" s="498"/>
      <c r="AI6796" s="498"/>
      <c r="AK6796" s="498"/>
      <c r="AL6796" s="498"/>
      <c r="AM6796" s="498"/>
      <c r="AN6796" s="498"/>
      <c r="AO6796" s="498"/>
      <c r="AP6796" s="498"/>
      <c r="AQ6796" s="498"/>
      <c r="AR6796" s="498"/>
      <c r="AS6796" s="498"/>
      <c r="AT6796" s="498"/>
      <c r="AU6796" s="498"/>
      <c r="AV6796" s="498"/>
      <c r="AW6796" s="498"/>
      <c r="AX6796" s="498"/>
      <c r="AY6796" s="498"/>
      <c r="AZ6796" s="498"/>
      <c r="BA6796" s="498"/>
    </row>
    <row r="6797" spans="1:53" s="499" customFormat="1" x14ac:dyDescent="0.25">
      <c r="A6797" s="500"/>
      <c r="B6797" s="501"/>
      <c r="C6797" s="502"/>
      <c r="D6797" s="497"/>
      <c r="E6797" s="497"/>
      <c r="F6797" s="502"/>
      <c r="G6797" s="497"/>
      <c r="H6797" s="497"/>
      <c r="I6797" s="497"/>
      <c r="J6797" s="497"/>
      <c r="K6797" s="500"/>
      <c r="L6797" s="497"/>
      <c r="M6797"/>
      <c r="N6797" s="498"/>
      <c r="O6797" s="498"/>
      <c r="P6797" s="498"/>
      <c r="Q6797" s="498"/>
      <c r="R6797" s="498"/>
      <c r="T6797" s="498"/>
      <c r="U6797" s="498"/>
      <c r="V6797" s="498"/>
      <c r="W6797" s="498"/>
      <c r="X6797" s="498"/>
      <c r="Y6797" s="498"/>
      <c r="Z6797" s="498"/>
      <c r="AA6797" s="498"/>
      <c r="AB6797" s="498"/>
      <c r="AC6797" s="498"/>
      <c r="AD6797" s="498"/>
      <c r="AE6797" s="498"/>
      <c r="AF6797" s="498"/>
      <c r="AG6797" s="498"/>
      <c r="AH6797" s="498"/>
      <c r="AI6797" s="498"/>
      <c r="AK6797" s="498"/>
      <c r="AL6797" s="498"/>
      <c r="AM6797" s="498"/>
      <c r="AN6797" s="498"/>
      <c r="AO6797" s="498"/>
      <c r="AP6797" s="498"/>
      <c r="AQ6797" s="498"/>
      <c r="AR6797" s="498"/>
      <c r="AS6797" s="498"/>
      <c r="AT6797" s="498"/>
      <c r="AU6797" s="498"/>
      <c r="AV6797" s="498"/>
      <c r="AW6797" s="498"/>
      <c r="AX6797" s="498"/>
      <c r="AY6797" s="498"/>
      <c r="AZ6797" s="498"/>
      <c r="BA6797" s="498"/>
    </row>
    <row r="6798" spans="1:53" s="499" customFormat="1" x14ac:dyDescent="0.25">
      <c r="A6798" s="500"/>
      <c r="B6798" s="501"/>
      <c r="C6798" s="502"/>
      <c r="D6798" s="497"/>
      <c r="E6798" s="497"/>
      <c r="F6798" s="502"/>
      <c r="G6798" s="497"/>
      <c r="H6798" s="497"/>
      <c r="I6798" s="497"/>
      <c r="J6798" s="497"/>
      <c r="K6798" s="500"/>
      <c r="L6798" s="497"/>
      <c r="M6798"/>
      <c r="N6798" s="498"/>
      <c r="O6798" s="498"/>
      <c r="P6798" s="498"/>
      <c r="Q6798" s="498"/>
      <c r="R6798" s="498"/>
      <c r="T6798" s="498"/>
      <c r="U6798" s="498"/>
      <c r="V6798" s="498"/>
      <c r="W6798" s="498"/>
      <c r="X6798" s="498"/>
      <c r="Y6798" s="498"/>
      <c r="Z6798" s="498"/>
      <c r="AA6798" s="498"/>
      <c r="AB6798" s="498"/>
      <c r="AC6798" s="498"/>
      <c r="AD6798" s="498"/>
      <c r="AE6798" s="498"/>
      <c r="AF6798" s="498"/>
      <c r="AG6798" s="498"/>
      <c r="AH6798" s="498"/>
      <c r="AI6798" s="498"/>
      <c r="AK6798" s="498"/>
      <c r="AL6798" s="498"/>
      <c r="AM6798" s="498"/>
      <c r="AN6798" s="498"/>
      <c r="AO6798" s="498"/>
      <c r="AP6798" s="498"/>
      <c r="AQ6798" s="498"/>
      <c r="AR6798" s="498"/>
      <c r="AS6798" s="498"/>
      <c r="AT6798" s="498"/>
      <c r="AU6798" s="498"/>
      <c r="AV6798" s="498"/>
      <c r="AW6798" s="498"/>
      <c r="AX6798" s="498"/>
      <c r="AY6798" s="498"/>
      <c r="AZ6798" s="498"/>
      <c r="BA6798" s="498"/>
    </row>
    <row r="6799" spans="1:53" s="499" customFormat="1" x14ac:dyDescent="0.25">
      <c r="A6799" s="500"/>
      <c r="B6799" s="501"/>
      <c r="C6799" s="502"/>
      <c r="D6799" s="497"/>
      <c r="E6799" s="497"/>
      <c r="F6799" s="502"/>
      <c r="G6799" s="497"/>
      <c r="H6799" s="497"/>
      <c r="I6799" s="497"/>
      <c r="J6799" s="497"/>
      <c r="K6799" s="500"/>
      <c r="L6799" s="497"/>
      <c r="M6799"/>
      <c r="N6799" s="498"/>
      <c r="O6799" s="498"/>
      <c r="P6799" s="498"/>
      <c r="Q6799" s="498"/>
      <c r="R6799" s="498"/>
      <c r="T6799" s="498"/>
      <c r="U6799" s="498"/>
      <c r="V6799" s="498"/>
      <c r="W6799" s="498"/>
      <c r="X6799" s="498"/>
      <c r="Y6799" s="498"/>
      <c r="Z6799" s="498"/>
      <c r="AA6799" s="498"/>
      <c r="AB6799" s="498"/>
      <c r="AC6799" s="498"/>
      <c r="AD6799" s="498"/>
      <c r="AE6799" s="498"/>
      <c r="AF6799" s="498"/>
      <c r="AG6799" s="498"/>
      <c r="AH6799" s="498"/>
      <c r="AI6799" s="498"/>
      <c r="AK6799" s="498"/>
      <c r="AL6799" s="498"/>
      <c r="AM6799" s="498"/>
      <c r="AN6799" s="498"/>
      <c r="AO6799" s="498"/>
      <c r="AP6799" s="498"/>
      <c r="AQ6799" s="498"/>
      <c r="AR6799" s="498"/>
      <c r="AS6799" s="498"/>
      <c r="AT6799" s="498"/>
      <c r="AU6799" s="498"/>
      <c r="AV6799" s="498"/>
      <c r="AW6799" s="498"/>
      <c r="AX6799" s="498"/>
      <c r="AY6799" s="498"/>
      <c r="AZ6799" s="498"/>
      <c r="BA6799" s="498"/>
    </row>
    <row r="6800" spans="1:53" s="499" customFormat="1" x14ac:dyDescent="0.25">
      <c r="A6800" s="500"/>
      <c r="B6800" s="501"/>
      <c r="C6800" s="502"/>
      <c r="D6800" s="497"/>
      <c r="E6800" s="497"/>
      <c r="F6800" s="502"/>
      <c r="G6800" s="497"/>
      <c r="H6800" s="497"/>
      <c r="I6800" s="497"/>
      <c r="J6800" s="497"/>
      <c r="K6800" s="500"/>
      <c r="L6800" s="497"/>
      <c r="M6800"/>
      <c r="N6800" s="498"/>
      <c r="O6800" s="498"/>
      <c r="P6800" s="498"/>
      <c r="Q6800" s="498"/>
      <c r="R6800" s="498"/>
      <c r="T6800" s="498"/>
      <c r="U6800" s="498"/>
      <c r="V6800" s="498"/>
      <c r="W6800" s="498"/>
      <c r="X6800" s="498"/>
      <c r="Y6800" s="498"/>
      <c r="Z6800" s="498"/>
      <c r="AA6800" s="498"/>
      <c r="AB6800" s="498"/>
      <c r="AC6800" s="498"/>
      <c r="AD6800" s="498"/>
      <c r="AE6800" s="498"/>
      <c r="AF6800" s="498"/>
      <c r="AG6800" s="498"/>
      <c r="AH6800" s="498"/>
      <c r="AI6800" s="498"/>
      <c r="AK6800" s="498"/>
      <c r="AL6800" s="498"/>
      <c r="AM6800" s="498"/>
      <c r="AN6800" s="498"/>
      <c r="AO6800" s="498"/>
      <c r="AP6800" s="498"/>
      <c r="AQ6800" s="498"/>
      <c r="AR6800" s="498"/>
      <c r="AS6800" s="498"/>
      <c r="AT6800" s="498"/>
      <c r="AU6800" s="498"/>
      <c r="AV6800" s="498"/>
      <c r="AW6800" s="498"/>
      <c r="AX6800" s="498"/>
      <c r="AY6800" s="498"/>
      <c r="AZ6800" s="498"/>
      <c r="BA6800" s="498"/>
    </row>
    <row r="6801" spans="1:53" s="499" customFormat="1" x14ac:dyDescent="0.25">
      <c r="A6801" s="500"/>
      <c r="B6801" s="501"/>
      <c r="C6801" s="502"/>
      <c r="D6801" s="497"/>
      <c r="E6801" s="497"/>
      <c r="F6801" s="502"/>
      <c r="G6801" s="497"/>
      <c r="H6801" s="497"/>
      <c r="I6801" s="497"/>
      <c r="J6801" s="497"/>
      <c r="K6801" s="500"/>
      <c r="L6801" s="497"/>
      <c r="M6801"/>
      <c r="N6801" s="498"/>
      <c r="O6801" s="498"/>
      <c r="P6801" s="498"/>
      <c r="Q6801" s="498"/>
      <c r="R6801" s="498"/>
      <c r="T6801" s="498"/>
      <c r="U6801" s="498"/>
      <c r="V6801" s="498"/>
      <c r="W6801" s="498"/>
      <c r="X6801" s="498"/>
      <c r="Y6801" s="498"/>
      <c r="Z6801" s="498"/>
      <c r="AA6801" s="498"/>
      <c r="AB6801" s="498"/>
      <c r="AC6801" s="498"/>
      <c r="AD6801" s="498"/>
      <c r="AE6801" s="498"/>
      <c r="AF6801" s="498"/>
      <c r="AG6801" s="498"/>
      <c r="AH6801" s="498"/>
      <c r="AI6801" s="498"/>
      <c r="AK6801" s="498"/>
      <c r="AL6801" s="498"/>
      <c r="AM6801" s="498"/>
      <c r="AN6801" s="498"/>
      <c r="AO6801" s="498"/>
      <c r="AP6801" s="498"/>
      <c r="AQ6801" s="498"/>
      <c r="AR6801" s="498"/>
      <c r="AS6801" s="498"/>
      <c r="AT6801" s="498"/>
      <c r="AU6801" s="498"/>
      <c r="AV6801" s="498"/>
      <c r="AW6801" s="498"/>
      <c r="AX6801" s="498"/>
      <c r="AY6801" s="498"/>
      <c r="AZ6801" s="498"/>
      <c r="BA6801" s="498"/>
    </row>
    <row r="6802" spans="1:53" s="499" customFormat="1" x14ac:dyDescent="0.25">
      <c r="A6802" s="500"/>
      <c r="B6802" s="501"/>
      <c r="C6802" s="502"/>
      <c r="D6802" s="497"/>
      <c r="E6802" s="497"/>
      <c r="F6802" s="502"/>
      <c r="G6802" s="497"/>
      <c r="H6802" s="497"/>
      <c r="I6802" s="497"/>
      <c r="J6802" s="497"/>
      <c r="K6802" s="500"/>
      <c r="L6802" s="497"/>
      <c r="M6802"/>
      <c r="N6802" s="498"/>
      <c r="O6802" s="498"/>
      <c r="P6802" s="498"/>
      <c r="Q6802" s="498"/>
      <c r="R6802" s="498"/>
      <c r="T6802" s="498"/>
      <c r="U6802" s="498"/>
      <c r="V6802" s="498"/>
      <c r="W6802" s="498"/>
      <c r="X6802" s="498"/>
      <c r="Y6802" s="498"/>
      <c r="Z6802" s="498"/>
      <c r="AA6802" s="498"/>
      <c r="AB6802" s="498"/>
      <c r="AC6802" s="498"/>
      <c r="AD6802" s="498"/>
      <c r="AE6802" s="498"/>
      <c r="AF6802" s="498"/>
      <c r="AG6802" s="498"/>
      <c r="AH6802" s="498"/>
      <c r="AI6802" s="498"/>
      <c r="AK6802" s="498"/>
      <c r="AL6802" s="498"/>
      <c r="AM6802" s="498"/>
      <c r="AN6802" s="498"/>
      <c r="AO6802" s="498"/>
      <c r="AP6802" s="498"/>
      <c r="AQ6802" s="498"/>
      <c r="AR6802" s="498"/>
      <c r="AS6802" s="498"/>
      <c r="AT6802" s="498"/>
      <c r="AU6802" s="498"/>
      <c r="AV6802" s="498"/>
      <c r="AW6802" s="498"/>
      <c r="AX6802" s="498"/>
      <c r="AY6802" s="498"/>
      <c r="AZ6802" s="498"/>
      <c r="BA6802" s="498"/>
    </row>
    <row r="6803" spans="1:53" s="499" customFormat="1" x14ac:dyDescent="0.25">
      <c r="A6803" s="500"/>
      <c r="B6803" s="501"/>
      <c r="C6803" s="502"/>
      <c r="D6803" s="497"/>
      <c r="E6803" s="497"/>
      <c r="F6803" s="502"/>
      <c r="G6803" s="497"/>
      <c r="H6803" s="497"/>
      <c r="I6803" s="497"/>
      <c r="J6803" s="497"/>
      <c r="K6803" s="500"/>
      <c r="L6803" s="497"/>
      <c r="M6803"/>
      <c r="N6803" s="498"/>
      <c r="O6803" s="498"/>
      <c r="P6803" s="498"/>
      <c r="Q6803" s="498"/>
      <c r="R6803" s="498"/>
      <c r="T6803" s="498"/>
      <c r="U6803" s="498"/>
      <c r="V6803" s="498"/>
      <c r="W6803" s="498"/>
      <c r="X6803" s="498"/>
      <c r="Y6803" s="498"/>
      <c r="Z6803" s="498"/>
      <c r="AA6803" s="498"/>
      <c r="AB6803" s="498"/>
      <c r="AC6803" s="498"/>
      <c r="AD6803" s="498"/>
      <c r="AE6803" s="498"/>
      <c r="AF6803" s="498"/>
      <c r="AG6803" s="498"/>
      <c r="AH6803" s="498"/>
      <c r="AI6803" s="498"/>
      <c r="AK6803" s="498"/>
      <c r="AL6803" s="498"/>
      <c r="AM6803" s="498"/>
      <c r="AN6803" s="498"/>
      <c r="AO6803" s="498"/>
      <c r="AP6803" s="498"/>
      <c r="AQ6803" s="498"/>
      <c r="AR6803" s="498"/>
      <c r="AS6803" s="498"/>
      <c r="AT6803" s="498"/>
      <c r="AU6803" s="498"/>
      <c r="AV6803" s="498"/>
      <c r="AW6803" s="498"/>
      <c r="AX6803" s="498"/>
      <c r="AY6803" s="498"/>
      <c r="AZ6803" s="498"/>
      <c r="BA6803" s="498"/>
    </row>
    <row r="6804" spans="1:53" s="499" customFormat="1" x14ac:dyDescent="0.25">
      <c r="A6804" s="500"/>
      <c r="B6804" s="501"/>
      <c r="C6804" s="502"/>
      <c r="D6804" s="497"/>
      <c r="E6804" s="497"/>
      <c r="F6804" s="502"/>
      <c r="G6804" s="497"/>
      <c r="H6804" s="497"/>
      <c r="I6804" s="497"/>
      <c r="J6804" s="497"/>
      <c r="K6804" s="500"/>
      <c r="L6804" s="497"/>
      <c r="M6804"/>
      <c r="N6804" s="498"/>
      <c r="O6804" s="498"/>
      <c r="P6804" s="498"/>
      <c r="Q6804" s="498"/>
      <c r="R6804" s="498"/>
      <c r="T6804" s="498"/>
      <c r="U6804" s="498"/>
      <c r="V6804" s="498"/>
      <c r="W6804" s="498"/>
      <c r="X6804" s="498"/>
      <c r="Y6804" s="498"/>
      <c r="Z6804" s="498"/>
      <c r="AA6804" s="498"/>
      <c r="AB6804" s="498"/>
      <c r="AC6804" s="498"/>
      <c r="AD6804" s="498"/>
      <c r="AE6804" s="498"/>
      <c r="AF6804" s="498"/>
      <c r="AG6804" s="498"/>
      <c r="AH6804" s="498"/>
      <c r="AI6804" s="498"/>
      <c r="AK6804" s="498"/>
      <c r="AL6804" s="498"/>
      <c r="AM6804" s="498"/>
      <c r="AN6804" s="498"/>
      <c r="AO6804" s="498"/>
      <c r="AP6804" s="498"/>
      <c r="AQ6804" s="498"/>
      <c r="AR6804" s="498"/>
      <c r="AS6804" s="498"/>
      <c r="AT6804" s="498"/>
      <c r="AU6804" s="498"/>
      <c r="AV6804" s="498"/>
      <c r="AW6804" s="498"/>
      <c r="AX6804" s="498"/>
      <c r="AY6804" s="498"/>
      <c r="AZ6804" s="498"/>
      <c r="BA6804" s="498"/>
    </row>
    <row r="6805" spans="1:53" s="499" customFormat="1" x14ac:dyDescent="0.25">
      <c r="A6805" s="500"/>
      <c r="B6805" s="501"/>
      <c r="C6805" s="502"/>
      <c r="D6805" s="497"/>
      <c r="E6805" s="497"/>
      <c r="F6805" s="502"/>
      <c r="G6805" s="497"/>
      <c r="H6805" s="497"/>
      <c r="I6805" s="497"/>
      <c r="J6805" s="497"/>
      <c r="K6805" s="500"/>
      <c r="L6805" s="497"/>
      <c r="M6805"/>
      <c r="N6805" s="498"/>
      <c r="O6805" s="498"/>
      <c r="P6805" s="498"/>
      <c r="Q6805" s="498"/>
      <c r="R6805" s="498"/>
      <c r="T6805" s="498"/>
      <c r="U6805" s="498"/>
      <c r="V6805" s="498"/>
      <c r="W6805" s="498"/>
      <c r="X6805" s="498"/>
      <c r="Y6805" s="498"/>
      <c r="Z6805" s="498"/>
      <c r="AA6805" s="498"/>
      <c r="AB6805" s="498"/>
      <c r="AC6805" s="498"/>
      <c r="AD6805" s="498"/>
      <c r="AE6805" s="498"/>
      <c r="AF6805" s="498"/>
      <c r="AG6805" s="498"/>
      <c r="AH6805" s="498"/>
      <c r="AI6805" s="498"/>
      <c r="AK6805" s="498"/>
      <c r="AL6805" s="498"/>
      <c r="AM6805" s="498"/>
      <c r="AN6805" s="498"/>
      <c r="AO6805" s="498"/>
      <c r="AP6805" s="498"/>
      <c r="AQ6805" s="498"/>
      <c r="AR6805" s="498"/>
      <c r="AS6805" s="498"/>
      <c r="AT6805" s="498"/>
      <c r="AU6805" s="498"/>
      <c r="AV6805" s="498"/>
      <c r="AW6805" s="498"/>
      <c r="AX6805" s="498"/>
      <c r="AY6805" s="498"/>
      <c r="AZ6805" s="498"/>
      <c r="BA6805" s="498"/>
    </row>
    <row r="6806" spans="1:53" s="499" customFormat="1" x14ac:dyDescent="0.25">
      <c r="A6806" s="500"/>
      <c r="B6806" s="501"/>
      <c r="C6806" s="502"/>
      <c r="D6806" s="497"/>
      <c r="E6806" s="497"/>
      <c r="F6806" s="502"/>
      <c r="G6806" s="497"/>
      <c r="H6806" s="497"/>
      <c r="I6806" s="497"/>
      <c r="J6806" s="497"/>
      <c r="K6806" s="500"/>
      <c r="L6806" s="497"/>
      <c r="M6806"/>
      <c r="N6806" s="498"/>
      <c r="O6806" s="498"/>
      <c r="P6806" s="498"/>
      <c r="Q6806" s="498"/>
      <c r="R6806" s="498"/>
      <c r="T6806" s="498"/>
      <c r="U6806" s="498"/>
      <c r="V6806" s="498"/>
      <c r="W6806" s="498"/>
      <c r="X6806" s="498"/>
      <c r="Y6806" s="498"/>
      <c r="Z6806" s="498"/>
      <c r="AA6806" s="498"/>
      <c r="AB6806" s="498"/>
      <c r="AC6806" s="498"/>
      <c r="AD6806" s="498"/>
      <c r="AE6806" s="498"/>
      <c r="AF6806" s="498"/>
      <c r="AG6806" s="498"/>
      <c r="AH6806" s="498"/>
      <c r="AI6806" s="498"/>
      <c r="AK6806" s="498"/>
      <c r="AL6806" s="498"/>
      <c r="AM6806" s="498"/>
      <c r="AN6806" s="498"/>
      <c r="AO6806" s="498"/>
      <c r="AP6806" s="498"/>
      <c r="AQ6806" s="498"/>
      <c r="AR6806" s="498"/>
      <c r="AS6806" s="498"/>
      <c r="AT6806" s="498"/>
      <c r="AU6806" s="498"/>
      <c r="AV6806" s="498"/>
      <c r="AW6806" s="498"/>
      <c r="AX6806" s="498"/>
      <c r="AY6806" s="498"/>
      <c r="AZ6806" s="498"/>
      <c r="BA6806" s="498"/>
    </row>
    <row r="6807" spans="1:53" s="499" customFormat="1" x14ac:dyDescent="0.25">
      <c r="A6807" s="500"/>
      <c r="B6807" s="501"/>
      <c r="C6807" s="502"/>
      <c r="D6807" s="497"/>
      <c r="E6807" s="497"/>
      <c r="F6807" s="502"/>
      <c r="G6807" s="497"/>
      <c r="H6807" s="497"/>
      <c r="I6807" s="497"/>
      <c r="J6807" s="497"/>
      <c r="K6807" s="500"/>
      <c r="L6807" s="497"/>
      <c r="M6807"/>
      <c r="N6807" s="498"/>
      <c r="O6807" s="498"/>
      <c r="P6807" s="498"/>
      <c r="Q6807" s="498"/>
      <c r="R6807" s="498"/>
      <c r="T6807" s="498"/>
      <c r="U6807" s="498"/>
      <c r="V6807" s="498"/>
      <c r="W6807" s="498"/>
      <c r="X6807" s="498"/>
      <c r="Y6807" s="498"/>
      <c r="Z6807" s="498"/>
      <c r="AA6807" s="498"/>
      <c r="AB6807" s="498"/>
      <c r="AC6807" s="498"/>
      <c r="AD6807" s="498"/>
      <c r="AE6807" s="498"/>
      <c r="AF6807" s="498"/>
      <c r="AG6807" s="498"/>
      <c r="AH6807" s="498"/>
      <c r="AI6807" s="498"/>
      <c r="AK6807" s="498"/>
      <c r="AL6807" s="498"/>
      <c r="AM6807" s="498"/>
      <c r="AN6807" s="498"/>
      <c r="AO6807" s="498"/>
      <c r="AP6807" s="498"/>
      <c r="AQ6807" s="498"/>
      <c r="AR6807" s="498"/>
      <c r="AS6807" s="498"/>
      <c r="AT6807" s="498"/>
      <c r="AU6807" s="498"/>
      <c r="AV6807" s="498"/>
      <c r="AW6807" s="498"/>
      <c r="AX6807" s="498"/>
      <c r="AY6807" s="498"/>
      <c r="AZ6807" s="498"/>
      <c r="BA6807" s="498"/>
    </row>
    <row r="6808" spans="1:53" s="499" customFormat="1" x14ac:dyDescent="0.25">
      <c r="A6808" s="500"/>
      <c r="B6808" s="501"/>
      <c r="C6808" s="502"/>
      <c r="D6808" s="497"/>
      <c r="E6808" s="497"/>
      <c r="F6808" s="502"/>
      <c r="G6808" s="497"/>
      <c r="H6808" s="497"/>
      <c r="I6808" s="497"/>
      <c r="J6808" s="497"/>
      <c r="K6808" s="500"/>
      <c r="L6808" s="497"/>
      <c r="M6808"/>
      <c r="N6808" s="498"/>
      <c r="O6808" s="498"/>
      <c r="P6808" s="498"/>
      <c r="Q6808" s="498"/>
      <c r="R6808" s="498"/>
      <c r="T6808" s="498"/>
      <c r="U6808" s="498"/>
      <c r="V6808" s="498"/>
      <c r="W6808" s="498"/>
      <c r="X6808" s="498"/>
      <c r="Y6808" s="498"/>
      <c r="Z6808" s="498"/>
      <c r="AA6808" s="498"/>
      <c r="AB6808" s="498"/>
      <c r="AC6808" s="498"/>
      <c r="AD6808" s="498"/>
      <c r="AE6808" s="498"/>
      <c r="AF6808" s="498"/>
      <c r="AG6808" s="498"/>
      <c r="AH6808" s="498"/>
      <c r="AI6808" s="498"/>
      <c r="AK6808" s="498"/>
      <c r="AL6808" s="498"/>
      <c r="AM6808" s="498"/>
      <c r="AN6808" s="498"/>
      <c r="AO6808" s="498"/>
      <c r="AP6808" s="498"/>
      <c r="AQ6808" s="498"/>
      <c r="AR6808" s="498"/>
      <c r="AS6808" s="498"/>
      <c r="AT6808" s="498"/>
      <c r="AU6808" s="498"/>
      <c r="AV6808" s="498"/>
      <c r="AW6808" s="498"/>
      <c r="AX6808" s="498"/>
      <c r="AY6808" s="498"/>
      <c r="AZ6808" s="498"/>
      <c r="BA6808" s="498"/>
    </row>
    <row r="6809" spans="1:53" s="499" customFormat="1" x14ac:dyDescent="0.25">
      <c r="A6809" s="500"/>
      <c r="B6809" s="501"/>
      <c r="C6809" s="502"/>
      <c r="D6809" s="497"/>
      <c r="E6809" s="497"/>
      <c r="F6809" s="502"/>
      <c r="G6809" s="497"/>
      <c r="H6809" s="497"/>
      <c r="I6809" s="497"/>
      <c r="J6809" s="497"/>
      <c r="K6809" s="500"/>
      <c r="L6809" s="497"/>
      <c r="M6809"/>
      <c r="N6809" s="498"/>
      <c r="O6809" s="498"/>
      <c r="P6809" s="498"/>
      <c r="Q6809" s="498"/>
      <c r="R6809" s="498"/>
      <c r="T6809" s="498"/>
      <c r="U6809" s="498"/>
      <c r="V6809" s="498"/>
      <c r="W6809" s="498"/>
      <c r="X6809" s="498"/>
      <c r="Y6809" s="498"/>
      <c r="Z6809" s="498"/>
      <c r="AA6809" s="498"/>
      <c r="AB6809" s="498"/>
      <c r="AC6809" s="498"/>
      <c r="AD6809" s="498"/>
      <c r="AE6809" s="498"/>
      <c r="AF6809" s="498"/>
      <c r="AG6809" s="498"/>
      <c r="AH6809" s="498"/>
      <c r="AI6809" s="498"/>
      <c r="AK6809" s="498"/>
      <c r="AL6809" s="498"/>
      <c r="AM6809" s="498"/>
      <c r="AN6809" s="498"/>
      <c r="AO6809" s="498"/>
      <c r="AP6809" s="498"/>
      <c r="AQ6809" s="498"/>
      <c r="AR6809" s="498"/>
      <c r="AS6809" s="498"/>
      <c r="AT6809" s="498"/>
      <c r="AU6809" s="498"/>
      <c r="AV6809" s="498"/>
      <c r="AW6809" s="498"/>
      <c r="AX6809" s="498"/>
      <c r="AY6809" s="498"/>
      <c r="AZ6809" s="498"/>
      <c r="BA6809" s="498"/>
    </row>
    <row r="6810" spans="1:53" s="499" customFormat="1" x14ac:dyDescent="0.25">
      <c r="A6810" s="500"/>
      <c r="B6810" s="501"/>
      <c r="C6810" s="502"/>
      <c r="D6810" s="497"/>
      <c r="E6810" s="497"/>
      <c r="F6810" s="502"/>
      <c r="G6810" s="497"/>
      <c r="H6810" s="497"/>
      <c r="I6810" s="497"/>
      <c r="J6810" s="497"/>
      <c r="K6810" s="500"/>
      <c r="L6810" s="497"/>
      <c r="M6810"/>
      <c r="N6810" s="498"/>
      <c r="O6810" s="498"/>
      <c r="P6810" s="498"/>
      <c r="Q6810" s="498"/>
      <c r="R6810" s="498"/>
      <c r="T6810" s="498"/>
      <c r="U6810" s="498"/>
      <c r="V6810" s="498"/>
      <c r="W6810" s="498"/>
      <c r="X6810" s="498"/>
      <c r="Y6810" s="498"/>
      <c r="Z6810" s="498"/>
      <c r="AA6810" s="498"/>
      <c r="AB6810" s="498"/>
      <c r="AC6810" s="498"/>
      <c r="AD6810" s="498"/>
      <c r="AE6810" s="498"/>
      <c r="AF6810" s="498"/>
      <c r="AG6810" s="498"/>
      <c r="AH6810" s="498"/>
      <c r="AI6810" s="498"/>
      <c r="AK6810" s="498"/>
      <c r="AL6810" s="498"/>
      <c r="AM6810" s="498"/>
      <c r="AN6810" s="498"/>
      <c r="AO6810" s="498"/>
      <c r="AP6810" s="498"/>
      <c r="AQ6810" s="498"/>
      <c r="AR6810" s="498"/>
      <c r="AS6810" s="498"/>
      <c r="AT6810" s="498"/>
      <c r="AU6810" s="498"/>
      <c r="AV6810" s="498"/>
      <c r="AW6810" s="498"/>
      <c r="AX6810" s="498"/>
      <c r="AY6810" s="498"/>
      <c r="AZ6810" s="498"/>
      <c r="BA6810" s="498"/>
    </row>
    <row r="6811" spans="1:53" s="499" customFormat="1" x14ac:dyDescent="0.25">
      <c r="A6811" s="500"/>
      <c r="B6811" s="501"/>
      <c r="C6811" s="502"/>
      <c r="D6811" s="497"/>
      <c r="E6811" s="497"/>
      <c r="F6811" s="502"/>
      <c r="G6811" s="497"/>
      <c r="H6811" s="497"/>
      <c r="I6811" s="497"/>
      <c r="J6811" s="497"/>
      <c r="K6811" s="500"/>
      <c r="L6811" s="497"/>
      <c r="M6811"/>
      <c r="N6811" s="498"/>
      <c r="O6811" s="498"/>
      <c r="P6811" s="498"/>
      <c r="Q6811" s="498"/>
      <c r="R6811" s="498"/>
      <c r="T6811" s="498"/>
      <c r="U6811" s="498"/>
      <c r="V6811" s="498"/>
      <c r="W6811" s="498"/>
      <c r="X6811" s="498"/>
      <c r="Y6811" s="498"/>
      <c r="Z6811" s="498"/>
      <c r="AA6811" s="498"/>
      <c r="AB6811" s="498"/>
      <c r="AC6811" s="498"/>
      <c r="AD6811" s="498"/>
      <c r="AE6811" s="498"/>
      <c r="AF6811" s="498"/>
      <c r="AG6811" s="498"/>
      <c r="AH6811" s="498"/>
      <c r="AI6811" s="498"/>
      <c r="AK6811" s="498"/>
      <c r="AL6811" s="498"/>
      <c r="AM6811" s="498"/>
      <c r="AN6811" s="498"/>
      <c r="AO6811" s="498"/>
      <c r="AP6811" s="498"/>
      <c r="AQ6811" s="498"/>
      <c r="AR6811" s="498"/>
      <c r="AS6811" s="498"/>
      <c r="AT6811" s="498"/>
      <c r="AU6811" s="498"/>
      <c r="AV6811" s="498"/>
      <c r="AW6811" s="498"/>
      <c r="AX6811" s="498"/>
      <c r="AY6811" s="498"/>
      <c r="AZ6811" s="498"/>
      <c r="BA6811" s="498"/>
    </row>
    <row r="6812" spans="1:53" s="499" customFormat="1" x14ac:dyDescent="0.25">
      <c r="A6812" s="500"/>
      <c r="B6812" s="501"/>
      <c r="C6812" s="502"/>
      <c r="D6812" s="497"/>
      <c r="E6812" s="497"/>
      <c r="F6812" s="502"/>
      <c r="G6812" s="497"/>
      <c r="H6812" s="497"/>
      <c r="I6812" s="497"/>
      <c r="J6812" s="497"/>
      <c r="K6812" s="500"/>
      <c r="L6812" s="497"/>
      <c r="M6812"/>
      <c r="N6812" s="498"/>
      <c r="O6812" s="498"/>
      <c r="P6812" s="498"/>
      <c r="Q6812" s="498"/>
      <c r="R6812" s="498"/>
      <c r="T6812" s="498"/>
      <c r="U6812" s="498"/>
      <c r="V6812" s="498"/>
      <c r="W6812" s="498"/>
      <c r="X6812" s="498"/>
      <c r="Y6812" s="498"/>
      <c r="Z6812" s="498"/>
      <c r="AA6812" s="498"/>
      <c r="AB6812" s="498"/>
      <c r="AC6812" s="498"/>
      <c r="AD6812" s="498"/>
      <c r="AE6812" s="498"/>
      <c r="AF6812" s="498"/>
      <c r="AG6812" s="498"/>
      <c r="AH6812" s="498"/>
      <c r="AI6812" s="498"/>
      <c r="AK6812" s="498"/>
      <c r="AL6812" s="498"/>
      <c r="AM6812" s="498"/>
      <c r="AN6812" s="498"/>
      <c r="AO6812" s="498"/>
      <c r="AP6812" s="498"/>
      <c r="AQ6812" s="498"/>
      <c r="AR6812" s="498"/>
      <c r="AS6812" s="498"/>
      <c r="AT6812" s="498"/>
      <c r="AU6812" s="498"/>
      <c r="AV6812" s="498"/>
      <c r="AW6812" s="498"/>
      <c r="AX6812" s="498"/>
      <c r="AY6812" s="498"/>
      <c r="AZ6812" s="498"/>
      <c r="BA6812" s="498"/>
    </row>
    <row r="6813" spans="1:53" s="499" customFormat="1" x14ac:dyDescent="0.25">
      <c r="A6813" s="500"/>
      <c r="B6813" s="501"/>
      <c r="C6813" s="502"/>
      <c r="D6813" s="497"/>
      <c r="E6813" s="497"/>
      <c r="F6813" s="502"/>
      <c r="G6813" s="497"/>
      <c r="H6813" s="497"/>
      <c r="I6813" s="497"/>
      <c r="J6813" s="497"/>
      <c r="K6813" s="500"/>
      <c r="L6813" s="497"/>
      <c r="M6813"/>
      <c r="N6813" s="498"/>
      <c r="O6813" s="498"/>
      <c r="P6813" s="498"/>
      <c r="Q6813" s="498"/>
      <c r="R6813" s="498"/>
      <c r="T6813" s="498"/>
      <c r="U6813" s="498"/>
      <c r="V6813" s="498"/>
      <c r="W6813" s="498"/>
      <c r="X6813" s="498"/>
      <c r="Y6813" s="498"/>
      <c r="Z6813" s="498"/>
      <c r="AA6813" s="498"/>
      <c r="AB6813" s="498"/>
      <c r="AC6813" s="498"/>
      <c r="AD6813" s="498"/>
      <c r="AE6813" s="498"/>
      <c r="AF6813" s="498"/>
      <c r="AG6813" s="498"/>
      <c r="AH6813" s="498"/>
      <c r="AI6813" s="498"/>
      <c r="AK6813" s="498"/>
      <c r="AL6813" s="498"/>
      <c r="AM6813" s="498"/>
      <c r="AN6813" s="498"/>
      <c r="AO6813" s="498"/>
      <c r="AP6813" s="498"/>
      <c r="AQ6813" s="498"/>
      <c r="AR6813" s="498"/>
      <c r="AS6813" s="498"/>
      <c r="AT6813" s="498"/>
      <c r="AU6813" s="498"/>
      <c r="AV6813" s="498"/>
      <c r="AW6813" s="498"/>
      <c r="AX6813" s="498"/>
      <c r="AY6813" s="498"/>
      <c r="AZ6813" s="498"/>
      <c r="BA6813" s="498"/>
    </row>
    <row r="6814" spans="1:53" s="499" customFormat="1" x14ac:dyDescent="0.25">
      <c r="A6814" s="500"/>
      <c r="B6814" s="501"/>
      <c r="C6814" s="502"/>
      <c r="D6814" s="497"/>
      <c r="E6814" s="497"/>
      <c r="F6814" s="502"/>
      <c r="G6814" s="497"/>
      <c r="H6814" s="497"/>
      <c r="I6814" s="497"/>
      <c r="J6814" s="497"/>
      <c r="K6814" s="500"/>
      <c r="L6814" s="497"/>
      <c r="M6814"/>
      <c r="N6814" s="498"/>
      <c r="O6814" s="498"/>
      <c r="P6814" s="498"/>
      <c r="Q6814" s="498"/>
      <c r="R6814" s="498"/>
      <c r="T6814" s="498"/>
      <c r="U6814" s="498"/>
      <c r="V6814" s="498"/>
      <c r="W6814" s="498"/>
      <c r="X6814" s="498"/>
      <c r="Y6814" s="498"/>
      <c r="Z6814" s="498"/>
      <c r="AA6814" s="498"/>
      <c r="AB6814" s="498"/>
      <c r="AC6814" s="498"/>
      <c r="AD6814" s="498"/>
      <c r="AE6814" s="498"/>
      <c r="AF6814" s="498"/>
      <c r="AG6814" s="498"/>
      <c r="AH6814" s="498"/>
      <c r="AI6814" s="498"/>
      <c r="AK6814" s="498"/>
      <c r="AL6814" s="498"/>
      <c r="AM6814" s="498"/>
      <c r="AN6814" s="498"/>
      <c r="AO6814" s="498"/>
      <c r="AP6814" s="498"/>
      <c r="AQ6814" s="498"/>
      <c r="AR6814" s="498"/>
      <c r="AS6814" s="498"/>
      <c r="AT6814" s="498"/>
      <c r="AU6814" s="498"/>
      <c r="AV6814" s="498"/>
      <c r="AW6814" s="498"/>
      <c r="AX6814" s="498"/>
      <c r="AY6814" s="498"/>
      <c r="AZ6814" s="498"/>
      <c r="BA6814" s="498"/>
    </row>
    <row r="6815" spans="1:53" s="499" customFormat="1" x14ac:dyDescent="0.25">
      <c r="A6815" s="500"/>
      <c r="B6815" s="501"/>
      <c r="C6815" s="502"/>
      <c r="D6815" s="497"/>
      <c r="E6815" s="497"/>
      <c r="F6815" s="502"/>
      <c r="G6815" s="497"/>
      <c r="H6815" s="497"/>
      <c r="I6815" s="497"/>
      <c r="J6815" s="497"/>
      <c r="K6815" s="500"/>
      <c r="L6815" s="497"/>
      <c r="M6815"/>
      <c r="N6815" s="498"/>
      <c r="O6815" s="498"/>
      <c r="P6815" s="498"/>
      <c r="Q6815" s="498"/>
      <c r="R6815" s="498"/>
      <c r="T6815" s="498"/>
      <c r="U6815" s="498"/>
      <c r="V6815" s="498"/>
      <c r="W6815" s="498"/>
      <c r="X6815" s="498"/>
      <c r="Y6815" s="498"/>
      <c r="Z6815" s="498"/>
      <c r="AA6815" s="498"/>
      <c r="AB6815" s="498"/>
      <c r="AC6815" s="498"/>
      <c r="AD6815" s="498"/>
      <c r="AE6815" s="498"/>
      <c r="AF6815" s="498"/>
      <c r="AG6815" s="498"/>
      <c r="AH6815" s="498"/>
      <c r="AI6815" s="498"/>
      <c r="AK6815" s="498"/>
      <c r="AL6815" s="498"/>
      <c r="AM6815" s="498"/>
      <c r="AN6815" s="498"/>
      <c r="AO6815" s="498"/>
      <c r="AP6815" s="498"/>
      <c r="AQ6815" s="498"/>
      <c r="AR6815" s="498"/>
      <c r="AS6815" s="498"/>
      <c r="AT6815" s="498"/>
      <c r="AU6815" s="498"/>
      <c r="AV6815" s="498"/>
      <c r="AW6815" s="498"/>
      <c r="AX6815" s="498"/>
      <c r="AY6815" s="498"/>
      <c r="AZ6815" s="498"/>
      <c r="BA6815" s="498"/>
    </row>
    <row r="6816" spans="1:53" s="499" customFormat="1" x14ac:dyDescent="0.25">
      <c r="A6816" s="500"/>
      <c r="B6816" s="501"/>
      <c r="C6816" s="502"/>
      <c r="D6816" s="497"/>
      <c r="E6816" s="497"/>
      <c r="F6816" s="502"/>
      <c r="G6816" s="497"/>
      <c r="H6816" s="497"/>
      <c r="I6816" s="497"/>
      <c r="J6816" s="497"/>
      <c r="K6816" s="500"/>
      <c r="L6816" s="497"/>
      <c r="M6816"/>
      <c r="N6816" s="498"/>
      <c r="O6816" s="498"/>
      <c r="P6816" s="498"/>
      <c r="Q6816" s="498"/>
      <c r="R6816" s="498"/>
      <c r="T6816" s="498"/>
      <c r="U6816" s="498"/>
      <c r="V6816" s="498"/>
      <c r="W6816" s="498"/>
      <c r="X6816" s="498"/>
      <c r="Y6816" s="498"/>
      <c r="Z6816" s="498"/>
      <c r="AA6816" s="498"/>
      <c r="AB6816" s="498"/>
      <c r="AC6816" s="498"/>
      <c r="AD6816" s="498"/>
      <c r="AE6816" s="498"/>
      <c r="AF6816" s="498"/>
      <c r="AG6816" s="498"/>
      <c r="AH6816" s="498"/>
      <c r="AI6816" s="498"/>
      <c r="AK6816" s="498"/>
      <c r="AL6816" s="498"/>
      <c r="AM6816" s="498"/>
      <c r="AN6816" s="498"/>
      <c r="AO6816" s="498"/>
      <c r="AP6816" s="498"/>
      <c r="AQ6816" s="498"/>
      <c r="AR6816" s="498"/>
      <c r="AS6816" s="498"/>
      <c r="AT6816" s="498"/>
      <c r="AU6816" s="498"/>
      <c r="AV6816" s="498"/>
      <c r="AW6816" s="498"/>
      <c r="AX6816" s="498"/>
      <c r="AY6816" s="498"/>
      <c r="AZ6816" s="498"/>
      <c r="BA6816" s="498"/>
    </row>
    <row r="6817" spans="1:53" s="499" customFormat="1" x14ac:dyDescent="0.25">
      <c r="A6817" s="500"/>
      <c r="B6817" s="501"/>
      <c r="C6817" s="502"/>
      <c r="D6817" s="497"/>
      <c r="E6817" s="497"/>
      <c r="F6817" s="502"/>
      <c r="G6817" s="497"/>
      <c r="H6817" s="497"/>
      <c r="I6817" s="497"/>
      <c r="J6817" s="497"/>
      <c r="K6817" s="500"/>
      <c r="L6817" s="497"/>
      <c r="M6817"/>
      <c r="N6817" s="498"/>
      <c r="O6817" s="498"/>
      <c r="P6817" s="498"/>
      <c r="Q6817" s="498"/>
      <c r="R6817" s="498"/>
      <c r="T6817" s="498"/>
      <c r="U6817" s="498"/>
      <c r="V6817" s="498"/>
      <c r="W6817" s="498"/>
      <c r="X6817" s="498"/>
      <c r="Y6817" s="498"/>
      <c r="Z6817" s="498"/>
      <c r="AA6817" s="498"/>
      <c r="AB6817" s="498"/>
      <c r="AC6817" s="498"/>
      <c r="AD6817" s="498"/>
      <c r="AE6817" s="498"/>
      <c r="AF6817" s="498"/>
      <c r="AG6817" s="498"/>
      <c r="AH6817" s="498"/>
      <c r="AI6817" s="498"/>
      <c r="AK6817" s="498"/>
      <c r="AL6817" s="498"/>
      <c r="AM6817" s="498"/>
      <c r="AN6817" s="498"/>
      <c r="AO6817" s="498"/>
      <c r="AP6817" s="498"/>
      <c r="AQ6817" s="498"/>
      <c r="AR6817" s="498"/>
      <c r="AS6817" s="498"/>
      <c r="AT6817" s="498"/>
      <c r="AU6817" s="498"/>
      <c r="AV6817" s="498"/>
      <c r="AW6817" s="498"/>
      <c r="AX6817" s="498"/>
      <c r="AY6817" s="498"/>
      <c r="AZ6817" s="498"/>
      <c r="BA6817" s="498"/>
    </row>
    <row r="6818" spans="1:53" s="499" customFormat="1" x14ac:dyDescent="0.25">
      <c r="A6818" s="500"/>
      <c r="B6818" s="501"/>
      <c r="C6818" s="502"/>
      <c r="D6818" s="497"/>
      <c r="E6818" s="497"/>
      <c r="F6818" s="502"/>
      <c r="G6818" s="497"/>
      <c r="H6818" s="497"/>
      <c r="I6818" s="497"/>
      <c r="J6818" s="497"/>
      <c r="K6818" s="500"/>
      <c r="L6818" s="497"/>
      <c r="M6818"/>
      <c r="N6818" s="498"/>
      <c r="O6818" s="498"/>
      <c r="P6818" s="498"/>
      <c r="Q6818" s="498"/>
      <c r="R6818" s="498"/>
      <c r="T6818" s="498"/>
      <c r="U6818" s="498"/>
      <c r="V6818" s="498"/>
      <c r="W6818" s="498"/>
      <c r="X6818" s="498"/>
      <c r="Y6818" s="498"/>
      <c r="Z6818" s="498"/>
      <c r="AA6818" s="498"/>
      <c r="AB6818" s="498"/>
      <c r="AC6818" s="498"/>
      <c r="AD6818" s="498"/>
      <c r="AE6818" s="498"/>
      <c r="AF6818" s="498"/>
      <c r="AG6818" s="498"/>
      <c r="AH6818" s="498"/>
      <c r="AI6818" s="498"/>
      <c r="AK6818" s="498"/>
      <c r="AL6818" s="498"/>
      <c r="AM6818" s="498"/>
      <c r="AN6818" s="498"/>
      <c r="AO6818" s="498"/>
      <c r="AP6818" s="498"/>
      <c r="AQ6818" s="498"/>
      <c r="AR6818" s="498"/>
      <c r="AS6818" s="498"/>
      <c r="AT6818" s="498"/>
      <c r="AU6818" s="498"/>
      <c r="AV6818" s="498"/>
      <c r="AW6818" s="498"/>
      <c r="AX6818" s="498"/>
      <c r="AY6818" s="498"/>
      <c r="AZ6818" s="498"/>
      <c r="BA6818" s="498"/>
    </row>
    <row r="6819" spans="1:53" s="499" customFormat="1" x14ac:dyDescent="0.25">
      <c r="A6819" s="500"/>
      <c r="B6819" s="501"/>
      <c r="C6819" s="502"/>
      <c r="D6819" s="497"/>
      <c r="E6819" s="497"/>
      <c r="F6819" s="502"/>
      <c r="G6819" s="497"/>
      <c r="H6819" s="497"/>
      <c r="I6819" s="497"/>
      <c r="J6819" s="497"/>
      <c r="K6819" s="500"/>
      <c r="L6819" s="497"/>
      <c r="M6819"/>
      <c r="N6819" s="498"/>
      <c r="O6819" s="498"/>
      <c r="P6819" s="498"/>
      <c r="Q6819" s="498"/>
      <c r="R6819" s="498"/>
      <c r="T6819" s="498"/>
      <c r="U6819" s="498"/>
      <c r="V6819" s="498"/>
      <c r="W6819" s="498"/>
      <c r="X6819" s="498"/>
      <c r="Y6819" s="498"/>
      <c r="Z6819" s="498"/>
      <c r="AA6819" s="498"/>
      <c r="AB6819" s="498"/>
      <c r="AC6819" s="498"/>
      <c r="AD6819" s="498"/>
      <c r="AE6819" s="498"/>
      <c r="AF6819" s="498"/>
      <c r="AG6819" s="498"/>
      <c r="AH6819" s="498"/>
      <c r="AI6819" s="498"/>
      <c r="AK6819" s="498"/>
      <c r="AL6819" s="498"/>
      <c r="AM6819" s="498"/>
      <c r="AN6819" s="498"/>
      <c r="AO6819" s="498"/>
      <c r="AP6819" s="498"/>
      <c r="AQ6819" s="498"/>
      <c r="AR6819" s="498"/>
      <c r="AS6819" s="498"/>
      <c r="AT6819" s="498"/>
      <c r="AU6819" s="498"/>
      <c r="AV6819" s="498"/>
      <c r="AW6819" s="498"/>
      <c r="AX6819" s="498"/>
      <c r="AY6819" s="498"/>
      <c r="AZ6819" s="498"/>
      <c r="BA6819" s="498"/>
    </row>
    <row r="6820" spans="1:53" s="499" customFormat="1" x14ac:dyDescent="0.25">
      <c r="A6820" s="500"/>
      <c r="B6820" s="501"/>
      <c r="C6820" s="502"/>
      <c r="D6820" s="497"/>
      <c r="E6820" s="497"/>
      <c r="F6820" s="502"/>
      <c r="G6820" s="497"/>
      <c r="H6820" s="497"/>
      <c r="I6820" s="497"/>
      <c r="J6820" s="497"/>
      <c r="K6820" s="500"/>
      <c r="L6820" s="497"/>
      <c r="M6820"/>
      <c r="N6820" s="498"/>
      <c r="O6820" s="498"/>
      <c r="P6820" s="498"/>
      <c r="Q6820" s="498"/>
      <c r="R6820" s="498"/>
      <c r="T6820" s="498"/>
      <c r="U6820" s="498"/>
      <c r="V6820" s="498"/>
      <c r="W6820" s="498"/>
      <c r="X6820" s="498"/>
      <c r="Y6820" s="498"/>
      <c r="Z6820" s="498"/>
      <c r="AA6820" s="498"/>
      <c r="AB6820" s="498"/>
      <c r="AC6820" s="498"/>
      <c r="AD6820" s="498"/>
      <c r="AE6820" s="498"/>
      <c r="AF6820" s="498"/>
      <c r="AG6820" s="498"/>
      <c r="AH6820" s="498"/>
      <c r="AI6820" s="498"/>
      <c r="AK6820" s="498"/>
      <c r="AL6820" s="498"/>
      <c r="AM6820" s="498"/>
      <c r="AN6820" s="498"/>
      <c r="AO6820" s="498"/>
      <c r="AP6820" s="498"/>
      <c r="AQ6820" s="498"/>
      <c r="AR6820" s="498"/>
      <c r="AS6820" s="498"/>
      <c r="AT6820" s="498"/>
      <c r="AU6820" s="498"/>
      <c r="AV6820" s="498"/>
      <c r="AW6820" s="498"/>
      <c r="AX6820" s="498"/>
      <c r="AY6820" s="498"/>
      <c r="AZ6820" s="498"/>
      <c r="BA6820" s="498"/>
    </row>
    <row r="6821" spans="1:53" s="499" customFormat="1" x14ac:dyDescent="0.25">
      <c r="A6821" s="500"/>
      <c r="B6821" s="501"/>
      <c r="C6821" s="502"/>
      <c r="D6821" s="497"/>
      <c r="E6821" s="497"/>
      <c r="F6821" s="502"/>
      <c r="G6821" s="497"/>
      <c r="H6821" s="497"/>
      <c r="I6821" s="497"/>
      <c r="J6821" s="497"/>
      <c r="K6821" s="500"/>
      <c r="L6821" s="497"/>
      <c r="M6821"/>
      <c r="N6821" s="498"/>
      <c r="O6821" s="498"/>
      <c r="P6821" s="498"/>
      <c r="Q6821" s="498"/>
      <c r="R6821" s="498"/>
      <c r="T6821" s="498"/>
      <c r="U6821" s="498"/>
      <c r="V6821" s="498"/>
      <c r="W6821" s="498"/>
      <c r="X6821" s="498"/>
      <c r="Y6821" s="498"/>
      <c r="Z6821" s="498"/>
      <c r="AA6821" s="498"/>
      <c r="AB6821" s="498"/>
      <c r="AC6821" s="498"/>
      <c r="AD6821" s="498"/>
      <c r="AE6821" s="498"/>
      <c r="AF6821" s="498"/>
      <c r="AG6821" s="498"/>
      <c r="AH6821" s="498"/>
      <c r="AI6821" s="498"/>
      <c r="AK6821" s="498"/>
      <c r="AL6821" s="498"/>
      <c r="AM6821" s="498"/>
      <c r="AN6821" s="498"/>
      <c r="AO6821" s="498"/>
      <c r="AP6821" s="498"/>
      <c r="AQ6821" s="498"/>
      <c r="AR6821" s="498"/>
      <c r="AS6821" s="498"/>
      <c r="AT6821" s="498"/>
      <c r="AU6821" s="498"/>
      <c r="AV6821" s="498"/>
      <c r="AW6821" s="498"/>
      <c r="AX6821" s="498"/>
      <c r="AY6821" s="498"/>
      <c r="AZ6821" s="498"/>
      <c r="BA6821" s="498"/>
    </row>
    <row r="6822" spans="1:53" s="499" customFormat="1" x14ac:dyDescent="0.25">
      <c r="A6822" s="500"/>
      <c r="B6822" s="501"/>
      <c r="C6822" s="502"/>
      <c r="D6822" s="497"/>
      <c r="E6822" s="497"/>
      <c r="F6822" s="502"/>
      <c r="G6822" s="497"/>
      <c r="H6822" s="497"/>
      <c r="I6822" s="497"/>
      <c r="J6822" s="497"/>
      <c r="K6822" s="500"/>
      <c r="L6822" s="497"/>
      <c r="M6822"/>
      <c r="N6822" s="498"/>
      <c r="O6822" s="498"/>
      <c r="P6822" s="498"/>
      <c r="Q6822" s="498"/>
      <c r="R6822" s="498"/>
      <c r="T6822" s="498"/>
      <c r="U6822" s="498"/>
      <c r="V6822" s="498"/>
      <c r="W6822" s="498"/>
      <c r="X6822" s="498"/>
      <c r="Y6822" s="498"/>
      <c r="Z6822" s="498"/>
      <c r="AA6822" s="498"/>
      <c r="AB6822" s="498"/>
      <c r="AC6822" s="498"/>
      <c r="AD6822" s="498"/>
      <c r="AE6822" s="498"/>
      <c r="AF6822" s="498"/>
      <c r="AG6822" s="498"/>
      <c r="AH6822" s="498"/>
      <c r="AI6822" s="498"/>
      <c r="AK6822" s="498"/>
      <c r="AL6822" s="498"/>
      <c r="AM6822" s="498"/>
      <c r="AN6822" s="498"/>
      <c r="AO6822" s="498"/>
      <c r="AP6822" s="498"/>
      <c r="AQ6822" s="498"/>
      <c r="AR6822" s="498"/>
      <c r="AS6822" s="498"/>
      <c r="AT6822" s="498"/>
      <c r="AU6822" s="498"/>
      <c r="AV6822" s="498"/>
      <c r="AW6822" s="498"/>
      <c r="AX6822" s="498"/>
      <c r="AY6822" s="498"/>
      <c r="AZ6822" s="498"/>
      <c r="BA6822" s="498"/>
    </row>
    <row r="6823" spans="1:53" s="499" customFormat="1" x14ac:dyDescent="0.25">
      <c r="A6823" s="500"/>
      <c r="B6823" s="501"/>
      <c r="C6823" s="502"/>
      <c r="D6823" s="497"/>
      <c r="E6823" s="497"/>
      <c r="F6823" s="502"/>
      <c r="G6823" s="497"/>
      <c r="H6823" s="497"/>
      <c r="I6823" s="497"/>
      <c r="J6823" s="497"/>
      <c r="K6823" s="500"/>
      <c r="L6823" s="497"/>
      <c r="M6823"/>
      <c r="N6823" s="498"/>
      <c r="O6823" s="498"/>
      <c r="P6823" s="498"/>
      <c r="Q6823" s="498"/>
      <c r="R6823" s="498"/>
      <c r="T6823" s="498"/>
      <c r="U6823" s="498"/>
      <c r="V6823" s="498"/>
      <c r="W6823" s="498"/>
      <c r="X6823" s="498"/>
      <c r="Y6823" s="498"/>
      <c r="Z6823" s="498"/>
      <c r="AA6823" s="498"/>
      <c r="AB6823" s="498"/>
      <c r="AC6823" s="498"/>
      <c r="AD6823" s="498"/>
      <c r="AE6823" s="498"/>
      <c r="AF6823" s="498"/>
      <c r="AG6823" s="498"/>
      <c r="AH6823" s="498"/>
      <c r="AI6823" s="498"/>
      <c r="AK6823" s="498"/>
      <c r="AL6823" s="498"/>
      <c r="AM6823" s="498"/>
      <c r="AN6823" s="498"/>
      <c r="AO6823" s="498"/>
      <c r="AP6823" s="498"/>
      <c r="AQ6823" s="498"/>
      <c r="AR6823" s="498"/>
      <c r="AS6823" s="498"/>
      <c r="AT6823" s="498"/>
      <c r="AU6823" s="498"/>
      <c r="AV6823" s="498"/>
      <c r="AW6823" s="498"/>
      <c r="AX6823" s="498"/>
      <c r="AY6823" s="498"/>
      <c r="AZ6823" s="498"/>
      <c r="BA6823" s="498"/>
    </row>
    <row r="6824" spans="1:53" s="499" customFormat="1" x14ac:dyDescent="0.25">
      <c r="A6824" s="500"/>
      <c r="B6824" s="501"/>
      <c r="C6824" s="502"/>
      <c r="D6824" s="497"/>
      <c r="E6824" s="497"/>
      <c r="F6824" s="502"/>
      <c r="G6824" s="497"/>
      <c r="H6824" s="497"/>
      <c r="I6824" s="497"/>
      <c r="J6824" s="497"/>
      <c r="K6824" s="500"/>
      <c r="L6824" s="497"/>
      <c r="M6824"/>
      <c r="N6824" s="498"/>
      <c r="O6824" s="498"/>
      <c r="P6824" s="498"/>
      <c r="Q6824" s="498"/>
      <c r="R6824" s="498"/>
      <c r="T6824" s="498"/>
      <c r="U6824" s="498"/>
      <c r="V6824" s="498"/>
      <c r="W6824" s="498"/>
      <c r="X6824" s="498"/>
      <c r="Y6824" s="498"/>
      <c r="Z6824" s="498"/>
      <c r="AA6824" s="498"/>
      <c r="AB6824" s="498"/>
      <c r="AC6824" s="498"/>
      <c r="AD6824" s="498"/>
      <c r="AE6824" s="498"/>
      <c r="AF6824" s="498"/>
      <c r="AG6824" s="498"/>
      <c r="AH6824" s="498"/>
      <c r="AI6824" s="498"/>
      <c r="AK6824" s="498"/>
      <c r="AL6824" s="498"/>
      <c r="AM6824" s="498"/>
      <c r="AN6824" s="498"/>
      <c r="AO6824" s="498"/>
      <c r="AP6824" s="498"/>
      <c r="AQ6824" s="498"/>
      <c r="AR6824" s="498"/>
      <c r="AS6824" s="498"/>
      <c r="AT6824" s="498"/>
      <c r="AU6824" s="498"/>
      <c r="AV6824" s="498"/>
      <c r="AW6824" s="498"/>
      <c r="AX6824" s="498"/>
      <c r="AY6824" s="498"/>
      <c r="AZ6824" s="498"/>
      <c r="BA6824" s="498"/>
    </row>
    <row r="6825" spans="1:53" s="499" customFormat="1" x14ac:dyDescent="0.25">
      <c r="A6825" s="500"/>
      <c r="B6825" s="501"/>
      <c r="C6825" s="502"/>
      <c r="D6825" s="497"/>
      <c r="E6825" s="497"/>
      <c r="F6825" s="502"/>
      <c r="G6825" s="497"/>
      <c r="H6825" s="497"/>
      <c r="I6825" s="497"/>
      <c r="J6825" s="497"/>
      <c r="K6825" s="500"/>
      <c r="L6825" s="497"/>
      <c r="M6825"/>
      <c r="N6825" s="498"/>
      <c r="O6825" s="498"/>
      <c r="P6825" s="498"/>
      <c r="Q6825" s="498"/>
      <c r="R6825" s="498"/>
      <c r="T6825" s="498"/>
      <c r="U6825" s="498"/>
      <c r="V6825" s="498"/>
      <c r="W6825" s="498"/>
      <c r="X6825" s="498"/>
      <c r="Y6825" s="498"/>
      <c r="Z6825" s="498"/>
      <c r="AA6825" s="498"/>
      <c r="AB6825" s="498"/>
      <c r="AC6825" s="498"/>
      <c r="AD6825" s="498"/>
      <c r="AE6825" s="498"/>
      <c r="AF6825" s="498"/>
      <c r="AG6825" s="498"/>
      <c r="AH6825" s="498"/>
      <c r="AI6825" s="498"/>
      <c r="AK6825" s="498"/>
      <c r="AL6825" s="498"/>
      <c r="AM6825" s="498"/>
      <c r="AN6825" s="498"/>
      <c r="AO6825" s="498"/>
      <c r="AP6825" s="498"/>
      <c r="AQ6825" s="498"/>
      <c r="AR6825" s="498"/>
      <c r="AS6825" s="498"/>
      <c r="AT6825" s="498"/>
      <c r="AU6825" s="498"/>
      <c r="AV6825" s="498"/>
      <c r="AW6825" s="498"/>
      <c r="AX6825" s="498"/>
      <c r="AY6825" s="498"/>
      <c r="AZ6825" s="498"/>
      <c r="BA6825" s="498"/>
    </row>
    <row r="6826" spans="1:53" s="499" customFormat="1" x14ac:dyDescent="0.25">
      <c r="A6826" s="500"/>
      <c r="B6826" s="501"/>
      <c r="C6826" s="502"/>
      <c r="D6826" s="497"/>
      <c r="E6826" s="497"/>
      <c r="F6826" s="502"/>
      <c r="G6826" s="497"/>
      <c r="H6826" s="497"/>
      <c r="I6826" s="497"/>
      <c r="J6826" s="497"/>
      <c r="K6826" s="500"/>
      <c r="L6826" s="497"/>
      <c r="M6826"/>
      <c r="N6826" s="498"/>
      <c r="O6826" s="498"/>
      <c r="P6826" s="498"/>
      <c r="Q6826" s="498"/>
      <c r="R6826" s="498"/>
      <c r="T6826" s="498"/>
      <c r="U6826" s="498"/>
      <c r="V6826" s="498"/>
      <c r="W6826" s="498"/>
      <c r="X6826" s="498"/>
      <c r="Y6826" s="498"/>
      <c r="Z6826" s="498"/>
      <c r="AA6826" s="498"/>
      <c r="AB6826" s="498"/>
      <c r="AC6826" s="498"/>
      <c r="AD6826" s="498"/>
      <c r="AE6826" s="498"/>
      <c r="AF6826" s="498"/>
      <c r="AG6826" s="498"/>
      <c r="AH6826" s="498"/>
      <c r="AI6826" s="498"/>
      <c r="AK6826" s="498"/>
      <c r="AL6826" s="498"/>
      <c r="AM6826" s="498"/>
      <c r="AN6826" s="498"/>
      <c r="AO6826" s="498"/>
      <c r="AP6826" s="498"/>
      <c r="AQ6826" s="498"/>
      <c r="AR6826" s="498"/>
      <c r="AS6826" s="498"/>
      <c r="AT6826" s="498"/>
      <c r="AU6826" s="498"/>
      <c r="AV6826" s="498"/>
      <c r="AW6826" s="498"/>
      <c r="AX6826" s="498"/>
      <c r="AY6826" s="498"/>
      <c r="AZ6826" s="498"/>
      <c r="BA6826" s="498"/>
    </row>
    <row r="6827" spans="1:53" s="499" customFormat="1" x14ac:dyDescent="0.25">
      <c r="A6827" s="500"/>
      <c r="B6827" s="501"/>
      <c r="C6827" s="502"/>
      <c r="D6827" s="497"/>
      <c r="E6827" s="497"/>
      <c r="F6827" s="502"/>
      <c r="G6827" s="497"/>
      <c r="H6827" s="497"/>
      <c r="I6827" s="497"/>
      <c r="J6827" s="497"/>
      <c r="K6827" s="500"/>
      <c r="L6827" s="497"/>
      <c r="M6827"/>
      <c r="N6827" s="498"/>
      <c r="O6827" s="498"/>
      <c r="P6827" s="498"/>
      <c r="Q6827" s="498"/>
      <c r="R6827" s="498"/>
      <c r="T6827" s="498"/>
      <c r="U6827" s="498"/>
      <c r="V6827" s="498"/>
      <c r="W6827" s="498"/>
      <c r="X6827" s="498"/>
      <c r="Y6827" s="498"/>
      <c r="Z6827" s="498"/>
      <c r="AA6827" s="498"/>
      <c r="AB6827" s="498"/>
      <c r="AC6827" s="498"/>
      <c r="AD6827" s="498"/>
      <c r="AE6827" s="498"/>
      <c r="AF6827" s="498"/>
      <c r="AG6827" s="498"/>
      <c r="AH6827" s="498"/>
      <c r="AI6827" s="498"/>
      <c r="AK6827" s="498"/>
      <c r="AL6827" s="498"/>
      <c r="AM6827" s="498"/>
      <c r="AN6827" s="498"/>
      <c r="AO6827" s="498"/>
      <c r="AP6827" s="498"/>
      <c r="AQ6827" s="498"/>
      <c r="AR6827" s="498"/>
      <c r="AS6827" s="498"/>
      <c r="AT6827" s="498"/>
      <c r="AU6827" s="498"/>
      <c r="AV6827" s="498"/>
      <c r="AW6827" s="498"/>
      <c r="AX6827" s="498"/>
      <c r="AY6827" s="498"/>
      <c r="AZ6827" s="498"/>
      <c r="BA6827" s="498"/>
    </row>
    <row r="6828" spans="1:53" s="499" customFormat="1" x14ac:dyDescent="0.25">
      <c r="A6828" s="500"/>
      <c r="B6828" s="501"/>
      <c r="C6828" s="502"/>
      <c r="D6828" s="497"/>
      <c r="E6828" s="497"/>
      <c r="F6828" s="502"/>
      <c r="G6828" s="497"/>
      <c r="H6828" s="497"/>
      <c r="I6828" s="497"/>
      <c r="J6828" s="497"/>
      <c r="K6828" s="500"/>
      <c r="L6828" s="497"/>
      <c r="M6828"/>
      <c r="N6828" s="498"/>
      <c r="O6828" s="498"/>
      <c r="P6828" s="498"/>
      <c r="Q6828" s="498"/>
      <c r="R6828" s="498"/>
      <c r="T6828" s="498"/>
      <c r="U6828" s="498"/>
      <c r="V6828" s="498"/>
      <c r="W6828" s="498"/>
      <c r="X6828" s="498"/>
      <c r="Y6828" s="498"/>
      <c r="Z6828" s="498"/>
      <c r="AA6828" s="498"/>
      <c r="AB6828" s="498"/>
      <c r="AC6828" s="498"/>
      <c r="AD6828" s="498"/>
      <c r="AE6828" s="498"/>
      <c r="AF6828" s="498"/>
      <c r="AG6828" s="498"/>
      <c r="AH6828" s="498"/>
      <c r="AI6828" s="498"/>
      <c r="AK6828" s="498"/>
      <c r="AL6828" s="498"/>
      <c r="AM6828" s="498"/>
      <c r="AN6828" s="498"/>
      <c r="AO6828" s="498"/>
      <c r="AP6828" s="498"/>
      <c r="AQ6828" s="498"/>
      <c r="AR6828" s="498"/>
      <c r="AS6828" s="498"/>
      <c r="AT6828" s="498"/>
      <c r="AU6828" s="498"/>
      <c r="AV6828" s="498"/>
      <c r="AW6828" s="498"/>
      <c r="AX6828" s="498"/>
      <c r="AY6828" s="498"/>
      <c r="AZ6828" s="498"/>
      <c r="BA6828" s="498"/>
    </row>
    <row r="6829" spans="1:53" s="499" customFormat="1" x14ac:dyDescent="0.25">
      <c r="A6829" s="500"/>
      <c r="B6829" s="501"/>
      <c r="C6829" s="502"/>
      <c r="D6829" s="497"/>
      <c r="E6829" s="497"/>
      <c r="F6829" s="502"/>
      <c r="G6829" s="497"/>
      <c r="H6829" s="497"/>
      <c r="I6829" s="497"/>
      <c r="J6829" s="497"/>
      <c r="K6829" s="500"/>
      <c r="L6829" s="497"/>
      <c r="M6829"/>
      <c r="N6829" s="498"/>
      <c r="O6829" s="498"/>
      <c r="P6829" s="498"/>
      <c r="Q6829" s="498"/>
      <c r="R6829" s="498"/>
      <c r="T6829" s="498"/>
      <c r="U6829" s="498"/>
      <c r="V6829" s="498"/>
      <c r="W6829" s="498"/>
      <c r="X6829" s="498"/>
      <c r="Y6829" s="498"/>
      <c r="Z6829" s="498"/>
      <c r="AA6829" s="498"/>
      <c r="AB6829" s="498"/>
      <c r="AC6829" s="498"/>
      <c r="AD6829" s="498"/>
      <c r="AE6829" s="498"/>
      <c r="AF6829" s="498"/>
      <c r="AG6829" s="498"/>
      <c r="AH6829" s="498"/>
      <c r="AI6829" s="498"/>
      <c r="AK6829" s="498"/>
      <c r="AL6829" s="498"/>
      <c r="AM6829" s="498"/>
      <c r="AN6829" s="498"/>
      <c r="AO6829" s="498"/>
      <c r="AP6829" s="498"/>
      <c r="AQ6829" s="498"/>
      <c r="AR6829" s="498"/>
      <c r="AS6829" s="498"/>
      <c r="AT6829" s="498"/>
      <c r="AU6829" s="498"/>
      <c r="AV6829" s="498"/>
      <c r="AW6829" s="498"/>
      <c r="AX6829" s="498"/>
      <c r="AY6829" s="498"/>
      <c r="AZ6829" s="498"/>
      <c r="BA6829" s="498"/>
    </row>
    <row r="6830" spans="1:53" s="499" customFormat="1" x14ac:dyDescent="0.25">
      <c r="A6830" s="500"/>
      <c r="B6830" s="501"/>
      <c r="C6830" s="502"/>
      <c r="D6830" s="497"/>
      <c r="E6830" s="497"/>
      <c r="F6830" s="502"/>
      <c r="G6830" s="497"/>
      <c r="H6830" s="497"/>
      <c r="I6830" s="497"/>
      <c r="J6830" s="497"/>
      <c r="K6830" s="500"/>
      <c r="L6830" s="497"/>
      <c r="M6830"/>
      <c r="N6830" s="498"/>
      <c r="O6830" s="498"/>
      <c r="P6830" s="498"/>
      <c r="Q6830" s="498"/>
      <c r="R6830" s="498"/>
      <c r="T6830" s="498"/>
      <c r="U6830" s="498"/>
      <c r="V6830" s="498"/>
      <c r="W6830" s="498"/>
      <c r="X6830" s="498"/>
      <c r="Y6830" s="498"/>
      <c r="Z6830" s="498"/>
      <c r="AA6830" s="498"/>
      <c r="AB6830" s="498"/>
      <c r="AC6830" s="498"/>
      <c r="AD6830" s="498"/>
      <c r="AE6830" s="498"/>
      <c r="AF6830" s="498"/>
      <c r="AG6830" s="498"/>
      <c r="AH6830" s="498"/>
      <c r="AI6830" s="498"/>
      <c r="AK6830" s="498"/>
      <c r="AL6830" s="498"/>
      <c r="AM6830" s="498"/>
      <c r="AN6830" s="498"/>
      <c r="AO6830" s="498"/>
      <c r="AP6830" s="498"/>
      <c r="AQ6830" s="498"/>
      <c r="AR6830" s="498"/>
      <c r="AS6830" s="498"/>
      <c r="AT6830" s="498"/>
      <c r="AU6830" s="498"/>
      <c r="AV6830" s="498"/>
      <c r="AW6830" s="498"/>
      <c r="AX6830" s="498"/>
      <c r="AY6830" s="498"/>
      <c r="AZ6830" s="498"/>
      <c r="BA6830" s="498"/>
    </row>
    <row r="6831" spans="1:53" s="499" customFormat="1" x14ac:dyDescent="0.25">
      <c r="A6831" s="500"/>
      <c r="B6831" s="501"/>
      <c r="C6831" s="502"/>
      <c r="D6831" s="497"/>
      <c r="E6831" s="497"/>
      <c r="F6831" s="502"/>
      <c r="G6831" s="497"/>
      <c r="H6831" s="497"/>
      <c r="I6831" s="497"/>
      <c r="J6831" s="497"/>
      <c r="K6831" s="500"/>
      <c r="L6831" s="497"/>
      <c r="M6831"/>
      <c r="N6831" s="498"/>
      <c r="O6831" s="498"/>
      <c r="P6831" s="498"/>
      <c r="Q6831" s="498"/>
      <c r="R6831" s="498"/>
      <c r="T6831" s="498"/>
      <c r="U6831" s="498"/>
      <c r="V6831" s="498"/>
      <c r="W6831" s="498"/>
      <c r="X6831" s="498"/>
      <c r="Y6831" s="498"/>
      <c r="Z6831" s="498"/>
      <c r="AA6831" s="498"/>
      <c r="AB6831" s="498"/>
      <c r="AC6831" s="498"/>
      <c r="AD6831" s="498"/>
      <c r="AE6831" s="498"/>
      <c r="AF6831" s="498"/>
      <c r="AG6831" s="498"/>
      <c r="AH6831" s="498"/>
      <c r="AI6831" s="498"/>
      <c r="AK6831" s="498"/>
      <c r="AL6831" s="498"/>
      <c r="AM6831" s="498"/>
      <c r="AN6831" s="498"/>
      <c r="AO6831" s="498"/>
      <c r="AP6831" s="498"/>
      <c r="AQ6831" s="498"/>
      <c r="AR6831" s="498"/>
      <c r="AS6831" s="498"/>
      <c r="AT6831" s="498"/>
      <c r="AU6831" s="498"/>
      <c r="AV6831" s="498"/>
      <c r="AW6831" s="498"/>
      <c r="AX6831" s="498"/>
      <c r="AY6831" s="498"/>
      <c r="AZ6831" s="498"/>
      <c r="BA6831" s="498"/>
    </row>
    <row r="6832" spans="1:53" s="499" customFormat="1" x14ac:dyDescent="0.25">
      <c r="A6832" s="500"/>
      <c r="B6832" s="501"/>
      <c r="C6832" s="502"/>
      <c r="D6832" s="497"/>
      <c r="E6832" s="497"/>
      <c r="F6832" s="502"/>
      <c r="G6832" s="497"/>
      <c r="H6832" s="497"/>
      <c r="I6832" s="497"/>
      <c r="J6832" s="497"/>
      <c r="K6832" s="500"/>
      <c r="L6832" s="497"/>
      <c r="M6832"/>
      <c r="N6832" s="498"/>
      <c r="O6832" s="498"/>
      <c r="P6832" s="498"/>
      <c r="Q6832" s="498"/>
      <c r="R6832" s="498"/>
      <c r="T6832" s="498"/>
      <c r="U6832" s="498"/>
      <c r="V6832" s="498"/>
      <c r="W6832" s="498"/>
      <c r="X6832" s="498"/>
      <c r="Y6832" s="498"/>
      <c r="Z6832" s="498"/>
      <c r="AA6832" s="498"/>
      <c r="AB6832" s="498"/>
      <c r="AC6832" s="498"/>
      <c r="AD6832" s="498"/>
      <c r="AE6832" s="498"/>
      <c r="AF6832" s="498"/>
      <c r="AG6832" s="498"/>
      <c r="AH6832" s="498"/>
      <c r="AI6832" s="498"/>
      <c r="AK6832" s="498"/>
      <c r="AL6832" s="498"/>
      <c r="AM6832" s="498"/>
      <c r="AN6832" s="498"/>
      <c r="AO6832" s="498"/>
      <c r="AP6832" s="498"/>
      <c r="AQ6832" s="498"/>
      <c r="AR6832" s="498"/>
      <c r="AS6832" s="498"/>
      <c r="AT6832" s="498"/>
      <c r="AU6832" s="498"/>
      <c r="AV6832" s="498"/>
      <c r="AW6832" s="498"/>
      <c r="AX6832" s="498"/>
      <c r="AY6832" s="498"/>
      <c r="AZ6832" s="498"/>
      <c r="BA6832" s="498"/>
    </row>
    <row r="6833" spans="1:53" s="499" customFormat="1" x14ac:dyDescent="0.25">
      <c r="A6833" s="500"/>
      <c r="B6833" s="501"/>
      <c r="C6833" s="502"/>
      <c r="D6833" s="497"/>
      <c r="E6833" s="497"/>
      <c r="F6833" s="502"/>
      <c r="G6833" s="497"/>
      <c r="H6833" s="497"/>
      <c r="I6833" s="497"/>
      <c r="J6833" s="497"/>
      <c r="K6833" s="500"/>
      <c r="L6833" s="497"/>
      <c r="M6833"/>
      <c r="N6833" s="498"/>
      <c r="O6833" s="498"/>
      <c r="P6833" s="498"/>
      <c r="Q6833" s="498"/>
      <c r="R6833" s="498"/>
      <c r="T6833" s="498"/>
      <c r="U6833" s="498"/>
      <c r="V6833" s="498"/>
      <c r="W6833" s="498"/>
      <c r="X6833" s="498"/>
      <c r="Y6833" s="498"/>
      <c r="Z6833" s="498"/>
      <c r="AA6833" s="498"/>
      <c r="AB6833" s="498"/>
      <c r="AC6833" s="498"/>
      <c r="AD6833" s="498"/>
      <c r="AE6833" s="498"/>
      <c r="AF6833" s="498"/>
      <c r="AG6833" s="498"/>
      <c r="AH6833" s="498"/>
      <c r="AI6833" s="498"/>
      <c r="AK6833" s="498"/>
      <c r="AL6833" s="498"/>
      <c r="AM6833" s="498"/>
      <c r="AN6833" s="498"/>
      <c r="AO6833" s="498"/>
      <c r="AP6833" s="498"/>
      <c r="AQ6833" s="498"/>
      <c r="AR6833" s="498"/>
      <c r="AS6833" s="498"/>
      <c r="AT6833" s="498"/>
      <c r="AU6833" s="498"/>
      <c r="AV6833" s="498"/>
      <c r="AW6833" s="498"/>
      <c r="AX6833" s="498"/>
      <c r="AY6833" s="498"/>
      <c r="AZ6833" s="498"/>
      <c r="BA6833" s="498"/>
    </row>
    <row r="6834" spans="1:53" s="499" customFormat="1" x14ac:dyDescent="0.25">
      <c r="A6834" s="500"/>
      <c r="B6834" s="501"/>
      <c r="C6834" s="502"/>
      <c r="D6834" s="497"/>
      <c r="E6834" s="497"/>
      <c r="F6834" s="502"/>
      <c r="G6834" s="497"/>
      <c r="H6834" s="497"/>
      <c r="I6834" s="497"/>
      <c r="J6834" s="497"/>
      <c r="K6834" s="500"/>
      <c r="L6834" s="497"/>
      <c r="M6834"/>
      <c r="N6834" s="498"/>
      <c r="O6834" s="498"/>
      <c r="P6834" s="498"/>
      <c r="Q6834" s="498"/>
      <c r="R6834" s="498"/>
      <c r="T6834" s="498"/>
      <c r="U6834" s="498"/>
      <c r="V6834" s="498"/>
      <c r="W6834" s="498"/>
      <c r="X6834" s="498"/>
      <c r="Y6834" s="498"/>
      <c r="Z6834" s="498"/>
      <c r="AA6834" s="498"/>
      <c r="AB6834" s="498"/>
      <c r="AC6834" s="498"/>
      <c r="AD6834" s="498"/>
      <c r="AE6834" s="498"/>
      <c r="AF6834" s="498"/>
      <c r="AG6834" s="498"/>
      <c r="AH6834" s="498"/>
      <c r="AI6834" s="498"/>
      <c r="AK6834" s="498"/>
      <c r="AL6834" s="498"/>
      <c r="AM6834" s="498"/>
      <c r="AN6834" s="498"/>
      <c r="AO6834" s="498"/>
      <c r="AP6834" s="498"/>
      <c r="AQ6834" s="498"/>
      <c r="AR6834" s="498"/>
      <c r="AS6834" s="498"/>
      <c r="AT6834" s="498"/>
      <c r="AU6834" s="498"/>
      <c r="AV6834" s="498"/>
      <c r="AW6834" s="498"/>
      <c r="AX6834" s="498"/>
      <c r="AY6834" s="498"/>
      <c r="AZ6834" s="498"/>
      <c r="BA6834" s="498"/>
    </row>
    <row r="6835" spans="1:53" s="499" customFormat="1" x14ac:dyDescent="0.25">
      <c r="A6835" s="500"/>
      <c r="B6835" s="501"/>
      <c r="C6835" s="502"/>
      <c r="D6835" s="497"/>
      <c r="E6835" s="497"/>
      <c r="F6835" s="502"/>
      <c r="G6835" s="497"/>
      <c r="H6835" s="497"/>
      <c r="I6835" s="497"/>
      <c r="J6835" s="497"/>
      <c r="K6835" s="500"/>
      <c r="L6835" s="497"/>
      <c r="M6835"/>
      <c r="N6835" s="498"/>
      <c r="O6835" s="498"/>
      <c r="P6835" s="498"/>
      <c r="Q6835" s="498"/>
      <c r="R6835" s="498"/>
      <c r="T6835" s="498"/>
      <c r="U6835" s="498"/>
      <c r="V6835" s="498"/>
      <c r="W6835" s="498"/>
      <c r="X6835" s="498"/>
      <c r="Y6835" s="498"/>
      <c r="Z6835" s="498"/>
      <c r="AA6835" s="498"/>
      <c r="AB6835" s="498"/>
      <c r="AC6835" s="498"/>
      <c r="AD6835" s="498"/>
      <c r="AE6835" s="498"/>
      <c r="AF6835" s="498"/>
      <c r="AG6835" s="498"/>
      <c r="AH6835" s="498"/>
      <c r="AI6835" s="498"/>
      <c r="AK6835" s="498"/>
      <c r="AL6835" s="498"/>
      <c r="AM6835" s="498"/>
      <c r="AN6835" s="498"/>
      <c r="AO6835" s="498"/>
      <c r="AP6835" s="498"/>
      <c r="AQ6835" s="498"/>
      <c r="AR6835" s="498"/>
      <c r="AS6835" s="498"/>
      <c r="AT6835" s="498"/>
      <c r="AU6835" s="498"/>
      <c r="AV6835" s="498"/>
      <c r="AW6835" s="498"/>
      <c r="AX6835" s="498"/>
      <c r="AY6835" s="498"/>
      <c r="AZ6835" s="498"/>
      <c r="BA6835" s="498"/>
    </row>
    <row r="6836" spans="1:53" s="499" customFormat="1" x14ac:dyDescent="0.25">
      <c r="A6836" s="500"/>
      <c r="B6836" s="501"/>
      <c r="C6836" s="502"/>
      <c r="D6836" s="497"/>
      <c r="E6836" s="497"/>
      <c r="F6836" s="502"/>
      <c r="G6836" s="497"/>
      <c r="H6836" s="497"/>
      <c r="I6836" s="497"/>
      <c r="J6836" s="497"/>
      <c r="K6836" s="500"/>
      <c r="L6836" s="497"/>
      <c r="M6836"/>
      <c r="N6836" s="498"/>
      <c r="O6836" s="498"/>
      <c r="P6836" s="498"/>
      <c r="Q6836" s="498"/>
      <c r="R6836" s="498"/>
      <c r="T6836" s="498"/>
      <c r="U6836" s="498"/>
      <c r="V6836" s="498"/>
      <c r="W6836" s="498"/>
      <c r="X6836" s="498"/>
      <c r="Y6836" s="498"/>
      <c r="Z6836" s="498"/>
      <c r="AA6836" s="498"/>
      <c r="AB6836" s="498"/>
      <c r="AC6836" s="498"/>
      <c r="AD6836" s="498"/>
      <c r="AE6836" s="498"/>
      <c r="AF6836" s="498"/>
      <c r="AG6836" s="498"/>
      <c r="AH6836" s="498"/>
      <c r="AI6836" s="498"/>
      <c r="AK6836" s="498"/>
      <c r="AL6836" s="498"/>
      <c r="AM6836" s="498"/>
      <c r="AN6836" s="498"/>
      <c r="AO6836" s="498"/>
      <c r="AP6836" s="498"/>
      <c r="AQ6836" s="498"/>
      <c r="AR6836" s="498"/>
      <c r="AS6836" s="498"/>
      <c r="AT6836" s="498"/>
      <c r="AU6836" s="498"/>
      <c r="AV6836" s="498"/>
      <c r="AW6836" s="498"/>
      <c r="AX6836" s="498"/>
      <c r="AY6836" s="498"/>
      <c r="AZ6836" s="498"/>
      <c r="BA6836" s="498"/>
    </row>
    <row r="6837" spans="1:53" s="499" customFormat="1" x14ac:dyDescent="0.25">
      <c r="A6837" s="500"/>
      <c r="B6837" s="501"/>
      <c r="C6837" s="502"/>
      <c r="D6837" s="497"/>
      <c r="E6837" s="497"/>
      <c r="F6837" s="502"/>
      <c r="G6837" s="497"/>
      <c r="H6837" s="497"/>
      <c r="I6837" s="497"/>
      <c r="J6837" s="497"/>
      <c r="K6837" s="500"/>
      <c r="L6837" s="497"/>
      <c r="M6837"/>
      <c r="N6837" s="498"/>
      <c r="O6837" s="498"/>
      <c r="P6837" s="498"/>
      <c r="Q6837" s="498"/>
      <c r="R6837" s="498"/>
      <c r="T6837" s="498"/>
      <c r="U6837" s="498"/>
      <c r="V6837" s="498"/>
      <c r="W6837" s="498"/>
      <c r="X6837" s="498"/>
      <c r="Y6837" s="498"/>
      <c r="Z6837" s="498"/>
      <c r="AA6837" s="498"/>
      <c r="AB6837" s="498"/>
      <c r="AC6837" s="498"/>
      <c r="AD6837" s="498"/>
      <c r="AE6837" s="498"/>
      <c r="AF6837" s="498"/>
      <c r="AG6837" s="498"/>
      <c r="AH6837" s="498"/>
      <c r="AI6837" s="498"/>
      <c r="AK6837" s="498"/>
      <c r="AL6837" s="498"/>
      <c r="AM6837" s="498"/>
      <c r="AN6837" s="498"/>
      <c r="AO6837" s="498"/>
      <c r="AP6837" s="498"/>
      <c r="AQ6837" s="498"/>
      <c r="AR6837" s="498"/>
      <c r="AS6837" s="498"/>
      <c r="AT6837" s="498"/>
      <c r="AU6837" s="498"/>
      <c r="AV6837" s="498"/>
      <c r="AW6837" s="498"/>
      <c r="AX6837" s="498"/>
      <c r="AY6837" s="498"/>
      <c r="AZ6837" s="498"/>
      <c r="BA6837" s="498"/>
    </row>
    <row r="6838" spans="1:53" s="499" customFormat="1" x14ac:dyDescent="0.25">
      <c r="A6838" s="500"/>
      <c r="B6838" s="501"/>
      <c r="C6838" s="502"/>
      <c r="D6838" s="497"/>
      <c r="E6838" s="497"/>
      <c r="F6838" s="502"/>
      <c r="G6838" s="497"/>
      <c r="H6838" s="497"/>
      <c r="I6838" s="497"/>
      <c r="J6838" s="497"/>
      <c r="K6838" s="500"/>
      <c r="L6838" s="497"/>
      <c r="M6838"/>
      <c r="N6838" s="498"/>
      <c r="O6838" s="498"/>
      <c r="P6838" s="498"/>
      <c r="Q6838" s="498"/>
      <c r="R6838" s="498"/>
      <c r="T6838" s="498"/>
      <c r="U6838" s="498"/>
      <c r="V6838" s="498"/>
      <c r="W6838" s="498"/>
      <c r="X6838" s="498"/>
      <c r="Y6838" s="498"/>
      <c r="Z6838" s="498"/>
      <c r="AA6838" s="498"/>
      <c r="AB6838" s="498"/>
      <c r="AC6838" s="498"/>
      <c r="AD6838" s="498"/>
      <c r="AE6838" s="498"/>
      <c r="AF6838" s="498"/>
      <c r="AG6838" s="498"/>
      <c r="AH6838" s="498"/>
      <c r="AI6838" s="498"/>
      <c r="AK6838" s="498"/>
      <c r="AL6838" s="498"/>
      <c r="AM6838" s="498"/>
      <c r="AN6838" s="498"/>
      <c r="AO6838" s="498"/>
      <c r="AP6838" s="498"/>
      <c r="AQ6838" s="498"/>
      <c r="AR6838" s="498"/>
      <c r="AS6838" s="498"/>
      <c r="AT6838" s="498"/>
      <c r="AU6838" s="498"/>
      <c r="AV6838" s="498"/>
      <c r="AW6838" s="498"/>
      <c r="AX6838" s="498"/>
      <c r="AY6838" s="498"/>
      <c r="AZ6838" s="498"/>
      <c r="BA6838" s="498"/>
    </row>
    <row r="6839" spans="1:53" s="499" customFormat="1" x14ac:dyDescent="0.25">
      <c r="A6839" s="500"/>
      <c r="B6839" s="501"/>
      <c r="C6839" s="502"/>
      <c r="D6839" s="497"/>
      <c r="E6839" s="497"/>
      <c r="F6839" s="502"/>
      <c r="G6839" s="497"/>
      <c r="H6839" s="497"/>
      <c r="I6839" s="497"/>
      <c r="J6839" s="497"/>
      <c r="K6839" s="500"/>
      <c r="L6839" s="497"/>
      <c r="M6839"/>
      <c r="N6839" s="498"/>
      <c r="O6839" s="498"/>
      <c r="P6839" s="498"/>
      <c r="Q6839" s="498"/>
      <c r="R6839" s="498"/>
      <c r="T6839" s="498"/>
      <c r="U6839" s="498"/>
      <c r="V6839" s="498"/>
      <c r="W6839" s="498"/>
      <c r="X6839" s="498"/>
      <c r="Y6839" s="498"/>
      <c r="Z6839" s="498"/>
      <c r="AA6839" s="498"/>
      <c r="AB6839" s="498"/>
      <c r="AC6839" s="498"/>
      <c r="AD6839" s="498"/>
      <c r="AE6839" s="498"/>
      <c r="AF6839" s="498"/>
      <c r="AG6839" s="498"/>
      <c r="AH6839" s="498"/>
      <c r="AI6839" s="498"/>
      <c r="AK6839" s="498"/>
      <c r="AL6839" s="498"/>
      <c r="AM6839" s="498"/>
      <c r="AN6839" s="498"/>
      <c r="AO6839" s="498"/>
      <c r="AP6839" s="498"/>
      <c r="AQ6839" s="498"/>
      <c r="AR6839" s="498"/>
      <c r="AS6839" s="498"/>
      <c r="AT6839" s="498"/>
      <c r="AU6839" s="498"/>
      <c r="AV6839" s="498"/>
      <c r="AW6839" s="498"/>
      <c r="AX6839" s="498"/>
      <c r="AY6839" s="498"/>
      <c r="AZ6839" s="498"/>
      <c r="BA6839" s="498"/>
    </row>
    <row r="6840" spans="1:53" s="499" customFormat="1" x14ac:dyDescent="0.25">
      <c r="A6840" s="500"/>
      <c r="B6840" s="501"/>
      <c r="C6840" s="502"/>
      <c r="D6840" s="497"/>
      <c r="E6840" s="497"/>
      <c r="F6840" s="502"/>
      <c r="G6840" s="497"/>
      <c r="H6840" s="497"/>
      <c r="I6840" s="497"/>
      <c r="J6840" s="497"/>
      <c r="K6840" s="500"/>
      <c r="L6840" s="497"/>
      <c r="M6840"/>
      <c r="N6840" s="498"/>
      <c r="O6840" s="498"/>
      <c r="P6840" s="498"/>
      <c r="Q6840" s="498"/>
      <c r="R6840" s="498"/>
      <c r="T6840" s="498"/>
      <c r="U6840" s="498"/>
      <c r="V6840" s="498"/>
      <c r="W6840" s="498"/>
      <c r="X6840" s="498"/>
      <c r="Y6840" s="498"/>
      <c r="Z6840" s="498"/>
      <c r="AA6840" s="498"/>
      <c r="AB6840" s="498"/>
      <c r="AC6840" s="498"/>
      <c r="AD6840" s="498"/>
      <c r="AE6840" s="498"/>
      <c r="AF6840" s="498"/>
      <c r="AG6840" s="498"/>
      <c r="AH6840" s="498"/>
      <c r="AI6840" s="498"/>
      <c r="AK6840" s="498"/>
      <c r="AL6840" s="498"/>
      <c r="AM6840" s="498"/>
      <c r="AN6840" s="498"/>
      <c r="AO6840" s="498"/>
      <c r="AP6840" s="498"/>
      <c r="AQ6840" s="498"/>
      <c r="AR6840" s="498"/>
      <c r="AS6840" s="498"/>
      <c r="AT6840" s="498"/>
      <c r="AU6840" s="498"/>
      <c r="AV6840" s="498"/>
      <c r="AW6840" s="498"/>
      <c r="AX6840" s="498"/>
      <c r="AY6840" s="498"/>
      <c r="AZ6840" s="498"/>
      <c r="BA6840" s="498"/>
    </row>
    <row r="6841" spans="1:53" s="499" customFormat="1" x14ac:dyDescent="0.25">
      <c r="A6841" s="500"/>
      <c r="B6841" s="501"/>
      <c r="C6841" s="502"/>
      <c r="D6841" s="497"/>
      <c r="E6841" s="497"/>
      <c r="F6841" s="502"/>
      <c r="G6841" s="497"/>
      <c r="H6841" s="497"/>
      <c r="I6841" s="497"/>
      <c r="J6841" s="497"/>
      <c r="K6841" s="500"/>
      <c r="L6841" s="497"/>
      <c r="M6841"/>
      <c r="N6841" s="498"/>
      <c r="O6841" s="498"/>
      <c r="P6841" s="498"/>
      <c r="Q6841" s="498"/>
      <c r="R6841" s="498"/>
      <c r="T6841" s="498"/>
      <c r="U6841" s="498"/>
      <c r="V6841" s="498"/>
      <c r="W6841" s="498"/>
      <c r="X6841" s="498"/>
      <c r="Y6841" s="498"/>
      <c r="Z6841" s="498"/>
      <c r="AA6841" s="498"/>
      <c r="AB6841" s="498"/>
      <c r="AC6841" s="498"/>
      <c r="AD6841" s="498"/>
      <c r="AE6841" s="498"/>
      <c r="AF6841" s="498"/>
      <c r="AG6841" s="498"/>
      <c r="AH6841" s="498"/>
      <c r="AI6841" s="498"/>
      <c r="AK6841" s="498"/>
      <c r="AL6841" s="498"/>
      <c r="AM6841" s="498"/>
      <c r="AN6841" s="498"/>
      <c r="AO6841" s="498"/>
      <c r="AP6841" s="498"/>
      <c r="AQ6841" s="498"/>
      <c r="AR6841" s="498"/>
      <c r="AS6841" s="498"/>
      <c r="AT6841" s="498"/>
      <c r="AU6841" s="498"/>
      <c r="AV6841" s="498"/>
      <c r="AW6841" s="498"/>
      <c r="AX6841" s="498"/>
      <c r="AY6841" s="498"/>
      <c r="AZ6841" s="498"/>
      <c r="BA6841" s="498"/>
    </row>
    <row r="6842" spans="1:53" s="499" customFormat="1" x14ac:dyDescent="0.25">
      <c r="A6842" s="500"/>
      <c r="B6842" s="501"/>
      <c r="C6842" s="502"/>
      <c r="D6842" s="497"/>
      <c r="E6842" s="497"/>
      <c r="F6842" s="502"/>
      <c r="G6842" s="497"/>
      <c r="H6842" s="497"/>
      <c r="I6842" s="497"/>
      <c r="J6842" s="497"/>
      <c r="K6842" s="500"/>
      <c r="L6842" s="497"/>
      <c r="M6842"/>
      <c r="N6842" s="498"/>
      <c r="O6842" s="498"/>
      <c r="P6842" s="498"/>
      <c r="Q6842" s="498"/>
      <c r="R6842" s="498"/>
      <c r="T6842" s="498"/>
      <c r="U6842" s="498"/>
      <c r="V6842" s="498"/>
      <c r="W6842" s="498"/>
      <c r="X6842" s="498"/>
      <c r="Y6842" s="498"/>
      <c r="Z6842" s="498"/>
      <c r="AA6842" s="498"/>
      <c r="AB6842" s="498"/>
      <c r="AC6842" s="498"/>
      <c r="AD6842" s="498"/>
      <c r="AE6842" s="498"/>
      <c r="AF6842" s="498"/>
      <c r="AG6842" s="498"/>
      <c r="AH6842" s="498"/>
      <c r="AI6842" s="498"/>
      <c r="AK6842" s="498"/>
      <c r="AL6842" s="498"/>
      <c r="AM6842" s="498"/>
      <c r="AN6842" s="498"/>
      <c r="AO6842" s="498"/>
      <c r="AP6842" s="498"/>
      <c r="AQ6842" s="498"/>
      <c r="AR6842" s="498"/>
      <c r="AS6842" s="498"/>
      <c r="AT6842" s="498"/>
      <c r="AU6842" s="498"/>
      <c r="AV6842" s="498"/>
      <c r="AW6842" s="498"/>
      <c r="AX6842" s="498"/>
      <c r="AY6842" s="498"/>
      <c r="AZ6842" s="498"/>
      <c r="BA6842" s="498"/>
    </row>
    <row r="6843" spans="1:53" s="499" customFormat="1" x14ac:dyDescent="0.25">
      <c r="A6843" s="500"/>
      <c r="B6843" s="501"/>
      <c r="C6843" s="502"/>
      <c r="D6843" s="497"/>
      <c r="E6843" s="497"/>
      <c r="F6843" s="502"/>
      <c r="G6843" s="497"/>
      <c r="H6843" s="497"/>
      <c r="I6843" s="497"/>
      <c r="J6843" s="497"/>
      <c r="K6843" s="500"/>
      <c r="L6843" s="497"/>
      <c r="M6843"/>
      <c r="N6843" s="498"/>
      <c r="O6843" s="498"/>
      <c r="P6843" s="498"/>
      <c r="Q6843" s="498"/>
      <c r="R6843" s="498"/>
      <c r="T6843" s="498"/>
      <c r="U6843" s="498"/>
      <c r="V6843" s="498"/>
      <c r="W6843" s="498"/>
      <c r="X6843" s="498"/>
      <c r="Y6843" s="498"/>
      <c r="Z6843" s="498"/>
      <c r="AA6843" s="498"/>
      <c r="AB6843" s="498"/>
      <c r="AC6843" s="498"/>
      <c r="AD6843" s="498"/>
      <c r="AE6843" s="498"/>
      <c r="AF6843" s="498"/>
      <c r="AG6843" s="498"/>
      <c r="AH6843" s="498"/>
      <c r="AI6843" s="498"/>
      <c r="AK6843" s="498"/>
      <c r="AL6843" s="498"/>
      <c r="AM6843" s="498"/>
      <c r="AN6843" s="498"/>
      <c r="AO6843" s="498"/>
      <c r="AP6843" s="498"/>
      <c r="AQ6843" s="498"/>
      <c r="AR6843" s="498"/>
      <c r="AS6843" s="498"/>
      <c r="AT6843" s="498"/>
      <c r="AU6843" s="498"/>
      <c r="AV6843" s="498"/>
      <c r="AW6843" s="498"/>
      <c r="AX6843" s="498"/>
      <c r="AY6843" s="498"/>
      <c r="AZ6843" s="498"/>
      <c r="BA6843" s="498"/>
    </row>
    <row r="6844" spans="1:53" s="499" customFormat="1" x14ac:dyDescent="0.25">
      <c r="A6844" s="500"/>
      <c r="B6844" s="501"/>
      <c r="C6844" s="502"/>
      <c r="D6844" s="497"/>
      <c r="E6844" s="497"/>
      <c r="F6844" s="502"/>
      <c r="G6844" s="497"/>
      <c r="H6844" s="497"/>
      <c r="I6844" s="497"/>
      <c r="J6844" s="497"/>
      <c r="K6844" s="500"/>
      <c r="L6844" s="497"/>
      <c r="M6844"/>
      <c r="N6844" s="498"/>
      <c r="O6844" s="498"/>
      <c r="P6844" s="498"/>
      <c r="Q6844" s="498"/>
      <c r="R6844" s="498"/>
      <c r="T6844" s="498"/>
      <c r="U6844" s="498"/>
      <c r="V6844" s="498"/>
      <c r="W6844" s="498"/>
      <c r="X6844" s="498"/>
      <c r="Y6844" s="498"/>
      <c r="Z6844" s="498"/>
      <c r="AA6844" s="498"/>
      <c r="AB6844" s="498"/>
      <c r="AC6844" s="498"/>
      <c r="AD6844" s="498"/>
      <c r="AE6844" s="498"/>
      <c r="AF6844" s="498"/>
      <c r="AG6844" s="498"/>
      <c r="AH6844" s="498"/>
      <c r="AI6844" s="498"/>
      <c r="AK6844" s="498"/>
      <c r="AL6844" s="498"/>
      <c r="AM6844" s="498"/>
      <c r="AN6844" s="498"/>
      <c r="AO6844" s="498"/>
      <c r="AP6844" s="498"/>
      <c r="AQ6844" s="498"/>
      <c r="AR6844" s="498"/>
      <c r="AS6844" s="498"/>
      <c r="AT6844" s="498"/>
      <c r="AU6844" s="498"/>
      <c r="AV6844" s="498"/>
      <c r="AW6844" s="498"/>
      <c r="AX6844" s="498"/>
      <c r="AY6844" s="498"/>
      <c r="AZ6844" s="498"/>
      <c r="BA6844" s="498"/>
    </row>
    <row r="6845" spans="1:53" s="499" customFormat="1" x14ac:dyDescent="0.25">
      <c r="A6845" s="500"/>
      <c r="B6845" s="501"/>
      <c r="C6845" s="502"/>
      <c r="D6845" s="497"/>
      <c r="E6845" s="497"/>
      <c r="F6845" s="502"/>
      <c r="G6845" s="497"/>
      <c r="H6845" s="497"/>
      <c r="I6845" s="497"/>
      <c r="J6845" s="497"/>
      <c r="K6845" s="500"/>
      <c r="L6845" s="497"/>
      <c r="M6845"/>
      <c r="N6845" s="498"/>
      <c r="O6845" s="498"/>
      <c r="P6845" s="498"/>
      <c r="Q6845" s="498"/>
      <c r="R6845" s="498"/>
      <c r="T6845" s="498"/>
      <c r="U6845" s="498"/>
      <c r="V6845" s="498"/>
      <c r="W6845" s="498"/>
      <c r="X6845" s="498"/>
      <c r="Y6845" s="498"/>
      <c r="Z6845" s="498"/>
      <c r="AA6845" s="498"/>
      <c r="AB6845" s="498"/>
      <c r="AC6845" s="498"/>
      <c r="AD6845" s="498"/>
      <c r="AE6845" s="498"/>
      <c r="AF6845" s="498"/>
      <c r="AG6845" s="498"/>
      <c r="AH6845" s="498"/>
      <c r="AI6845" s="498"/>
      <c r="AK6845" s="498"/>
      <c r="AL6845" s="498"/>
      <c r="AM6845" s="498"/>
      <c r="AN6845" s="498"/>
      <c r="AO6845" s="498"/>
      <c r="AP6845" s="498"/>
      <c r="AQ6845" s="498"/>
      <c r="AR6845" s="498"/>
      <c r="AS6845" s="498"/>
      <c r="AT6845" s="498"/>
      <c r="AU6845" s="498"/>
      <c r="AV6845" s="498"/>
      <c r="AW6845" s="498"/>
      <c r="AX6845" s="498"/>
      <c r="AY6845" s="498"/>
      <c r="AZ6845" s="498"/>
      <c r="BA6845" s="498"/>
    </row>
    <row r="6846" spans="1:53" s="499" customFormat="1" x14ac:dyDescent="0.25">
      <c r="A6846" s="500"/>
      <c r="B6846" s="501"/>
      <c r="C6846" s="502"/>
      <c r="D6846" s="497"/>
      <c r="E6846" s="497"/>
      <c r="F6846" s="502"/>
      <c r="G6846" s="497"/>
      <c r="H6846" s="497"/>
      <c r="I6846" s="497"/>
      <c r="J6846" s="497"/>
      <c r="K6846" s="500"/>
      <c r="L6846" s="497"/>
      <c r="M6846"/>
      <c r="N6846" s="498"/>
      <c r="O6846" s="498"/>
      <c r="P6846" s="498"/>
      <c r="Q6846" s="498"/>
      <c r="R6846" s="498"/>
      <c r="T6846" s="498"/>
      <c r="U6846" s="498"/>
      <c r="V6846" s="498"/>
      <c r="W6846" s="498"/>
      <c r="X6846" s="498"/>
      <c r="Y6846" s="498"/>
      <c r="Z6846" s="498"/>
      <c r="AA6846" s="498"/>
      <c r="AB6846" s="498"/>
      <c r="AC6846" s="498"/>
      <c r="AD6846" s="498"/>
      <c r="AE6846" s="498"/>
      <c r="AF6846" s="498"/>
      <c r="AG6846" s="498"/>
      <c r="AH6846" s="498"/>
      <c r="AI6846" s="498"/>
      <c r="AK6846" s="498"/>
      <c r="AL6846" s="498"/>
      <c r="AM6846" s="498"/>
      <c r="AN6846" s="498"/>
      <c r="AO6846" s="498"/>
      <c r="AP6846" s="498"/>
      <c r="AQ6846" s="498"/>
      <c r="AR6846" s="498"/>
      <c r="AS6846" s="498"/>
      <c r="AT6846" s="498"/>
      <c r="AU6846" s="498"/>
      <c r="AV6846" s="498"/>
      <c r="AW6846" s="498"/>
      <c r="AX6846" s="498"/>
      <c r="AY6846" s="498"/>
      <c r="AZ6846" s="498"/>
      <c r="BA6846" s="498"/>
    </row>
    <row r="6847" spans="1:53" s="499" customFormat="1" x14ac:dyDescent="0.25">
      <c r="A6847" s="500"/>
      <c r="B6847" s="501"/>
      <c r="C6847" s="502"/>
      <c r="D6847" s="497"/>
      <c r="E6847" s="497"/>
      <c r="F6847" s="502"/>
      <c r="G6847" s="497"/>
      <c r="H6847" s="497"/>
      <c r="I6847" s="497"/>
      <c r="J6847" s="497"/>
      <c r="K6847" s="500"/>
      <c r="L6847" s="497"/>
      <c r="M6847"/>
      <c r="N6847" s="498"/>
      <c r="O6847" s="498"/>
      <c r="P6847" s="498"/>
      <c r="Q6847" s="498"/>
      <c r="R6847" s="498"/>
      <c r="T6847" s="498"/>
      <c r="U6847" s="498"/>
      <c r="V6847" s="498"/>
      <c r="W6847" s="498"/>
      <c r="X6847" s="498"/>
      <c r="Y6847" s="498"/>
      <c r="Z6847" s="498"/>
      <c r="AA6847" s="498"/>
      <c r="AB6847" s="498"/>
      <c r="AC6847" s="498"/>
      <c r="AD6847" s="498"/>
      <c r="AE6847" s="498"/>
      <c r="AF6847" s="498"/>
      <c r="AG6847" s="498"/>
      <c r="AH6847" s="498"/>
      <c r="AI6847" s="498"/>
      <c r="AK6847" s="498"/>
      <c r="AL6847" s="498"/>
      <c r="AM6847" s="498"/>
      <c r="AN6847" s="498"/>
      <c r="AO6847" s="498"/>
      <c r="AP6847" s="498"/>
      <c r="AQ6847" s="498"/>
      <c r="AR6847" s="498"/>
      <c r="AS6847" s="498"/>
      <c r="AT6847" s="498"/>
      <c r="AU6847" s="498"/>
      <c r="AV6847" s="498"/>
      <c r="AW6847" s="498"/>
      <c r="AX6847" s="498"/>
      <c r="AY6847" s="498"/>
      <c r="AZ6847" s="498"/>
      <c r="BA6847" s="498"/>
    </row>
    <row r="6848" spans="1:53" s="499" customFormat="1" x14ac:dyDescent="0.25">
      <c r="A6848" s="500"/>
      <c r="B6848" s="501"/>
      <c r="C6848" s="502"/>
      <c r="D6848" s="497"/>
      <c r="E6848" s="497"/>
      <c r="F6848" s="502"/>
      <c r="G6848" s="497"/>
      <c r="H6848" s="497"/>
      <c r="I6848" s="497"/>
      <c r="J6848" s="497"/>
      <c r="K6848" s="500"/>
      <c r="L6848" s="497"/>
      <c r="M6848"/>
      <c r="N6848" s="498"/>
      <c r="O6848" s="498"/>
      <c r="P6848" s="498"/>
      <c r="Q6848" s="498"/>
      <c r="R6848" s="498"/>
      <c r="T6848" s="498"/>
      <c r="U6848" s="498"/>
      <c r="V6848" s="498"/>
      <c r="W6848" s="498"/>
      <c r="X6848" s="498"/>
      <c r="Y6848" s="498"/>
      <c r="Z6848" s="498"/>
      <c r="AA6848" s="498"/>
      <c r="AB6848" s="498"/>
      <c r="AC6848" s="498"/>
      <c r="AD6848" s="498"/>
      <c r="AE6848" s="498"/>
      <c r="AF6848" s="498"/>
      <c r="AG6848" s="498"/>
      <c r="AH6848" s="498"/>
      <c r="AI6848" s="498"/>
      <c r="AK6848" s="498"/>
      <c r="AL6848" s="498"/>
      <c r="AM6848" s="498"/>
      <c r="AN6848" s="498"/>
      <c r="AO6848" s="498"/>
      <c r="AP6848" s="498"/>
      <c r="AQ6848" s="498"/>
      <c r="AR6848" s="498"/>
      <c r="AS6848" s="498"/>
      <c r="AT6848" s="498"/>
      <c r="AU6848" s="498"/>
      <c r="AV6848" s="498"/>
      <c r="AW6848" s="498"/>
      <c r="AX6848" s="498"/>
      <c r="AY6848" s="498"/>
      <c r="AZ6848" s="498"/>
      <c r="BA6848" s="498"/>
    </row>
    <row r="6849" spans="1:53" s="499" customFormat="1" x14ac:dyDescent="0.25">
      <c r="A6849" s="500"/>
      <c r="B6849" s="501"/>
      <c r="C6849" s="502"/>
      <c r="D6849" s="497"/>
      <c r="E6849" s="497"/>
      <c r="F6849" s="502"/>
      <c r="G6849" s="497"/>
      <c r="H6849" s="497"/>
      <c r="I6849" s="497"/>
      <c r="J6849" s="497"/>
      <c r="K6849" s="500"/>
      <c r="L6849" s="497"/>
      <c r="M6849"/>
      <c r="N6849" s="498"/>
      <c r="O6849" s="498"/>
      <c r="P6849" s="498"/>
      <c r="Q6849" s="498"/>
      <c r="R6849" s="498"/>
      <c r="T6849" s="498"/>
      <c r="U6849" s="498"/>
      <c r="V6849" s="498"/>
      <c r="W6849" s="498"/>
      <c r="X6849" s="498"/>
      <c r="Y6849" s="498"/>
      <c r="Z6849" s="498"/>
      <c r="AA6849" s="498"/>
      <c r="AB6849" s="498"/>
      <c r="AC6849" s="498"/>
      <c r="AD6849" s="498"/>
      <c r="AE6849" s="498"/>
      <c r="AF6849" s="498"/>
      <c r="AG6849" s="498"/>
      <c r="AH6849" s="498"/>
      <c r="AI6849" s="498"/>
      <c r="AK6849" s="498"/>
      <c r="AL6849" s="498"/>
      <c r="AM6849" s="498"/>
      <c r="AN6849" s="498"/>
      <c r="AO6849" s="498"/>
      <c r="AP6849" s="498"/>
      <c r="AQ6849" s="498"/>
      <c r="AR6849" s="498"/>
      <c r="AS6849" s="498"/>
      <c r="AT6849" s="498"/>
      <c r="AU6849" s="498"/>
      <c r="AV6849" s="498"/>
      <c r="AW6849" s="498"/>
      <c r="AX6849" s="498"/>
      <c r="AY6849" s="498"/>
      <c r="AZ6849" s="498"/>
      <c r="BA6849" s="498"/>
    </row>
    <row r="6850" spans="1:53" s="499" customFormat="1" x14ac:dyDescent="0.25">
      <c r="A6850" s="500"/>
      <c r="B6850" s="501"/>
      <c r="C6850" s="502"/>
      <c r="D6850" s="497"/>
      <c r="E6850" s="497"/>
      <c r="F6850" s="502"/>
      <c r="G6850" s="497"/>
      <c r="H6850" s="497"/>
      <c r="I6850" s="497"/>
      <c r="J6850" s="497"/>
      <c r="K6850" s="500"/>
      <c r="L6850" s="497"/>
      <c r="M6850"/>
      <c r="N6850" s="498"/>
      <c r="O6850" s="498"/>
      <c r="P6850" s="498"/>
      <c r="Q6850" s="498"/>
      <c r="R6850" s="498"/>
      <c r="T6850" s="498"/>
      <c r="U6850" s="498"/>
      <c r="V6850" s="498"/>
      <c r="W6850" s="498"/>
      <c r="X6850" s="498"/>
      <c r="Y6850" s="498"/>
      <c r="Z6850" s="498"/>
      <c r="AA6850" s="498"/>
      <c r="AB6850" s="498"/>
      <c r="AC6850" s="498"/>
      <c r="AD6850" s="498"/>
      <c r="AE6850" s="498"/>
      <c r="AF6850" s="498"/>
      <c r="AG6850" s="498"/>
      <c r="AH6850" s="498"/>
      <c r="AI6850" s="498"/>
      <c r="AK6850" s="498"/>
      <c r="AL6850" s="498"/>
      <c r="AM6850" s="498"/>
      <c r="AN6850" s="498"/>
      <c r="AO6850" s="498"/>
      <c r="AP6850" s="498"/>
      <c r="AQ6850" s="498"/>
      <c r="AR6850" s="498"/>
      <c r="AS6850" s="498"/>
      <c r="AT6850" s="498"/>
      <c r="AU6850" s="498"/>
      <c r="AV6850" s="498"/>
      <c r="AW6850" s="498"/>
      <c r="AX6850" s="498"/>
      <c r="AY6850" s="498"/>
      <c r="AZ6850" s="498"/>
      <c r="BA6850" s="498"/>
    </row>
    <row r="6851" spans="1:53" s="499" customFormat="1" x14ac:dyDescent="0.25">
      <c r="A6851" s="500"/>
      <c r="B6851" s="501"/>
      <c r="C6851" s="502"/>
      <c r="D6851" s="497"/>
      <c r="E6851" s="497"/>
      <c r="F6851" s="502"/>
      <c r="G6851" s="497"/>
      <c r="H6851" s="497"/>
      <c r="I6851" s="497"/>
      <c r="J6851" s="497"/>
      <c r="K6851" s="500"/>
      <c r="L6851" s="497"/>
      <c r="M6851"/>
      <c r="N6851" s="498"/>
      <c r="O6851" s="498"/>
      <c r="P6851" s="498"/>
      <c r="Q6851" s="498"/>
      <c r="R6851" s="498"/>
      <c r="T6851" s="498"/>
      <c r="U6851" s="498"/>
      <c r="V6851" s="498"/>
      <c r="W6851" s="498"/>
      <c r="X6851" s="498"/>
      <c r="Y6851" s="498"/>
      <c r="Z6851" s="498"/>
      <c r="AA6851" s="498"/>
      <c r="AB6851" s="498"/>
      <c r="AC6851" s="498"/>
      <c r="AD6851" s="498"/>
      <c r="AE6851" s="498"/>
      <c r="AF6851" s="498"/>
      <c r="AG6851" s="498"/>
      <c r="AH6851" s="498"/>
      <c r="AI6851" s="498"/>
      <c r="AK6851" s="498"/>
      <c r="AL6851" s="498"/>
      <c r="AM6851" s="498"/>
      <c r="AN6851" s="498"/>
      <c r="AO6851" s="498"/>
      <c r="AP6851" s="498"/>
      <c r="AQ6851" s="498"/>
      <c r="AR6851" s="498"/>
      <c r="AS6851" s="498"/>
      <c r="AT6851" s="498"/>
      <c r="AU6851" s="498"/>
      <c r="AV6851" s="498"/>
      <c r="AW6851" s="498"/>
      <c r="AX6851" s="498"/>
      <c r="AY6851" s="498"/>
      <c r="AZ6851" s="498"/>
      <c r="BA6851" s="498"/>
    </row>
    <row r="6852" spans="1:53" s="499" customFormat="1" x14ac:dyDescent="0.25">
      <c r="A6852" s="500"/>
      <c r="B6852" s="501"/>
      <c r="C6852" s="502"/>
      <c r="D6852" s="497"/>
      <c r="E6852" s="497"/>
      <c r="F6852" s="502"/>
      <c r="G6852" s="497"/>
      <c r="H6852" s="497"/>
      <c r="I6852" s="497"/>
      <c r="J6852" s="497"/>
      <c r="K6852" s="500"/>
      <c r="L6852" s="497"/>
      <c r="M6852"/>
      <c r="N6852" s="498"/>
      <c r="O6852" s="498"/>
      <c r="P6852" s="498"/>
      <c r="Q6852" s="498"/>
      <c r="R6852" s="498"/>
      <c r="T6852" s="498"/>
      <c r="U6852" s="498"/>
      <c r="V6852" s="498"/>
      <c r="W6852" s="498"/>
      <c r="X6852" s="498"/>
      <c r="Y6852" s="498"/>
      <c r="Z6852" s="498"/>
      <c r="AA6852" s="498"/>
      <c r="AB6852" s="498"/>
      <c r="AC6852" s="498"/>
      <c r="AD6852" s="498"/>
      <c r="AE6852" s="498"/>
      <c r="AF6852" s="498"/>
      <c r="AG6852" s="498"/>
      <c r="AH6852" s="498"/>
      <c r="AI6852" s="498"/>
      <c r="AK6852" s="498"/>
      <c r="AL6852" s="498"/>
      <c r="AM6852" s="498"/>
      <c r="AN6852" s="498"/>
      <c r="AO6852" s="498"/>
      <c r="AP6852" s="498"/>
      <c r="AQ6852" s="498"/>
      <c r="AR6852" s="498"/>
      <c r="AS6852" s="498"/>
      <c r="AT6852" s="498"/>
      <c r="AU6852" s="498"/>
      <c r="AV6852" s="498"/>
      <c r="AW6852" s="498"/>
      <c r="AX6852" s="498"/>
      <c r="AY6852" s="498"/>
      <c r="AZ6852" s="498"/>
      <c r="BA6852" s="498"/>
    </row>
    <row r="6853" spans="1:53" s="499" customFormat="1" x14ac:dyDescent="0.25">
      <c r="A6853" s="500"/>
      <c r="B6853" s="501"/>
      <c r="C6853" s="502"/>
      <c r="D6853" s="497"/>
      <c r="E6853" s="497"/>
      <c r="F6853" s="502"/>
      <c r="G6853" s="497"/>
      <c r="H6853" s="497"/>
      <c r="I6853" s="497"/>
      <c r="J6853" s="497"/>
      <c r="K6853" s="500"/>
      <c r="L6853" s="497"/>
      <c r="M6853"/>
      <c r="N6853" s="498"/>
      <c r="O6853" s="498"/>
      <c r="P6853" s="498"/>
      <c r="Q6853" s="498"/>
      <c r="R6853" s="498"/>
      <c r="T6853" s="498"/>
      <c r="U6853" s="498"/>
      <c r="V6853" s="498"/>
      <c r="W6853" s="498"/>
      <c r="X6853" s="498"/>
      <c r="Y6853" s="498"/>
      <c r="Z6853" s="498"/>
      <c r="AA6853" s="498"/>
      <c r="AB6853" s="498"/>
      <c r="AC6853" s="498"/>
      <c r="AD6853" s="498"/>
      <c r="AE6853" s="498"/>
      <c r="AF6853" s="498"/>
      <c r="AG6853" s="498"/>
      <c r="AH6853" s="498"/>
      <c r="AI6853" s="498"/>
      <c r="AK6853" s="498"/>
      <c r="AL6853" s="498"/>
      <c r="AM6853" s="498"/>
      <c r="AN6853" s="498"/>
      <c r="AO6853" s="498"/>
      <c r="AP6853" s="498"/>
      <c r="AQ6853" s="498"/>
      <c r="AR6853" s="498"/>
      <c r="AS6853" s="498"/>
      <c r="AT6853" s="498"/>
      <c r="AU6853" s="498"/>
      <c r="AV6853" s="498"/>
      <c r="AW6853" s="498"/>
      <c r="AX6853" s="498"/>
      <c r="AY6853" s="498"/>
      <c r="AZ6853" s="498"/>
      <c r="BA6853" s="498"/>
    </row>
    <row r="6854" spans="1:53" s="499" customFormat="1" x14ac:dyDescent="0.25">
      <c r="A6854" s="500"/>
      <c r="B6854" s="501"/>
      <c r="C6854" s="502"/>
      <c r="D6854" s="497"/>
      <c r="E6854" s="497"/>
      <c r="F6854" s="502"/>
      <c r="G6854" s="497"/>
      <c r="H6854" s="497"/>
      <c r="I6854" s="497"/>
      <c r="J6854" s="497"/>
      <c r="K6854" s="500"/>
      <c r="L6854" s="497"/>
      <c r="M6854"/>
      <c r="N6854" s="498"/>
      <c r="O6854" s="498"/>
      <c r="P6854" s="498"/>
      <c r="Q6854" s="498"/>
      <c r="R6854" s="498"/>
      <c r="T6854" s="498"/>
      <c r="U6854" s="498"/>
      <c r="V6854" s="498"/>
      <c r="W6854" s="498"/>
      <c r="X6854" s="498"/>
      <c r="Y6854" s="498"/>
      <c r="Z6854" s="498"/>
      <c r="AA6854" s="498"/>
      <c r="AB6854" s="498"/>
      <c r="AC6854" s="498"/>
      <c r="AD6854" s="498"/>
      <c r="AE6854" s="498"/>
      <c r="AF6854" s="498"/>
      <c r="AG6854" s="498"/>
      <c r="AH6854" s="498"/>
      <c r="AI6854" s="498"/>
      <c r="AK6854" s="498"/>
      <c r="AL6854" s="498"/>
      <c r="AM6854" s="498"/>
      <c r="AN6854" s="498"/>
      <c r="AO6854" s="498"/>
      <c r="AP6854" s="498"/>
      <c r="AQ6854" s="498"/>
      <c r="AR6854" s="498"/>
      <c r="AS6854" s="498"/>
      <c r="AT6854" s="498"/>
      <c r="AU6854" s="498"/>
      <c r="AV6854" s="498"/>
      <c r="AW6854" s="498"/>
      <c r="AX6854" s="498"/>
      <c r="AY6854" s="498"/>
      <c r="AZ6854" s="498"/>
      <c r="BA6854" s="498"/>
    </row>
    <row r="6855" spans="1:53" s="499" customFormat="1" x14ac:dyDescent="0.25">
      <c r="A6855" s="500"/>
      <c r="B6855" s="501"/>
      <c r="C6855" s="502"/>
      <c r="D6855" s="497"/>
      <c r="E6855" s="497"/>
      <c r="F6855" s="502"/>
      <c r="G6855" s="497"/>
      <c r="H6855" s="497"/>
      <c r="I6855" s="497"/>
      <c r="J6855" s="497"/>
      <c r="K6855" s="500"/>
      <c r="L6855" s="497"/>
      <c r="M6855"/>
      <c r="N6855" s="498"/>
      <c r="O6855" s="498"/>
      <c r="P6855" s="498"/>
      <c r="Q6855" s="498"/>
      <c r="R6855" s="498"/>
      <c r="T6855" s="498"/>
      <c r="U6855" s="498"/>
      <c r="V6855" s="498"/>
      <c r="W6855" s="498"/>
      <c r="X6855" s="498"/>
      <c r="Y6855" s="498"/>
      <c r="Z6855" s="498"/>
      <c r="AA6855" s="498"/>
      <c r="AB6855" s="498"/>
      <c r="AC6855" s="498"/>
      <c r="AD6855" s="498"/>
      <c r="AE6855" s="498"/>
      <c r="AF6855" s="498"/>
      <c r="AG6855" s="498"/>
      <c r="AH6855" s="498"/>
      <c r="AI6855" s="498"/>
      <c r="AK6855" s="498"/>
      <c r="AL6855" s="498"/>
      <c r="AM6855" s="498"/>
      <c r="AN6855" s="498"/>
      <c r="AO6855" s="498"/>
      <c r="AP6855" s="498"/>
      <c r="AQ6855" s="498"/>
      <c r="AR6855" s="498"/>
      <c r="AS6855" s="498"/>
      <c r="AT6855" s="498"/>
      <c r="AU6855" s="498"/>
      <c r="AV6855" s="498"/>
      <c r="AW6855" s="498"/>
      <c r="AX6855" s="498"/>
      <c r="AY6855" s="498"/>
      <c r="AZ6855" s="498"/>
      <c r="BA6855" s="498"/>
    </row>
    <row r="6856" spans="1:53" s="499" customFormat="1" x14ac:dyDescent="0.25">
      <c r="A6856" s="500"/>
      <c r="B6856" s="501"/>
      <c r="C6856" s="502"/>
      <c r="D6856" s="497"/>
      <c r="E6856" s="497"/>
      <c r="F6856" s="502"/>
      <c r="G6856" s="497"/>
      <c r="H6856" s="497"/>
      <c r="I6856" s="497"/>
      <c r="J6856" s="497"/>
      <c r="K6856" s="500"/>
      <c r="L6856" s="497"/>
      <c r="M6856"/>
      <c r="N6856" s="498"/>
      <c r="O6856" s="498"/>
      <c r="P6856" s="498"/>
      <c r="Q6856" s="498"/>
      <c r="R6856" s="498"/>
      <c r="T6856" s="498"/>
      <c r="U6856" s="498"/>
      <c r="V6856" s="498"/>
      <c r="W6856" s="498"/>
      <c r="X6856" s="498"/>
      <c r="Y6856" s="498"/>
      <c r="Z6856" s="498"/>
      <c r="AA6856" s="498"/>
      <c r="AB6856" s="498"/>
      <c r="AC6856" s="498"/>
      <c r="AD6856" s="498"/>
      <c r="AE6856" s="498"/>
      <c r="AF6856" s="498"/>
      <c r="AG6856" s="498"/>
      <c r="AH6856" s="498"/>
      <c r="AI6856" s="498"/>
      <c r="AK6856" s="498"/>
      <c r="AL6856" s="498"/>
      <c r="AM6856" s="498"/>
      <c r="AN6856" s="498"/>
      <c r="AO6856" s="498"/>
      <c r="AP6856" s="498"/>
      <c r="AQ6856" s="498"/>
      <c r="AR6856" s="498"/>
      <c r="AS6856" s="498"/>
      <c r="AT6856" s="498"/>
      <c r="AU6856" s="498"/>
      <c r="AV6856" s="498"/>
      <c r="AW6856" s="498"/>
      <c r="AX6856" s="498"/>
      <c r="AY6856" s="498"/>
      <c r="AZ6856" s="498"/>
      <c r="BA6856" s="498"/>
    </row>
    <row r="6857" spans="1:53" s="499" customFormat="1" x14ac:dyDescent="0.25">
      <c r="A6857" s="500"/>
      <c r="B6857" s="501"/>
      <c r="C6857" s="502"/>
      <c r="D6857" s="497"/>
      <c r="E6857" s="497"/>
      <c r="F6857" s="502"/>
      <c r="G6857" s="497"/>
      <c r="H6857" s="497"/>
      <c r="I6857" s="497"/>
      <c r="J6857" s="497"/>
      <c r="K6857" s="500"/>
      <c r="L6857" s="497"/>
      <c r="M6857"/>
      <c r="N6857" s="498"/>
      <c r="O6857" s="498"/>
      <c r="P6857" s="498"/>
      <c r="Q6857" s="498"/>
      <c r="R6857" s="498"/>
      <c r="T6857" s="498"/>
      <c r="U6857" s="498"/>
      <c r="V6857" s="498"/>
      <c r="W6857" s="498"/>
      <c r="X6857" s="498"/>
      <c r="Y6857" s="498"/>
      <c r="Z6857" s="498"/>
      <c r="AA6857" s="498"/>
      <c r="AB6857" s="498"/>
      <c r="AC6857" s="498"/>
      <c r="AD6857" s="498"/>
      <c r="AE6857" s="498"/>
      <c r="AF6857" s="498"/>
      <c r="AG6857" s="498"/>
      <c r="AH6857" s="498"/>
      <c r="AI6857" s="498"/>
      <c r="AK6857" s="498"/>
      <c r="AL6857" s="498"/>
      <c r="AM6857" s="498"/>
      <c r="AN6857" s="498"/>
      <c r="AO6857" s="498"/>
      <c r="AP6857" s="498"/>
      <c r="AQ6857" s="498"/>
      <c r="AR6857" s="498"/>
      <c r="AS6857" s="498"/>
      <c r="AT6857" s="498"/>
      <c r="AU6857" s="498"/>
      <c r="AV6857" s="498"/>
      <c r="AW6857" s="498"/>
      <c r="AX6857" s="498"/>
      <c r="AY6857" s="498"/>
      <c r="AZ6857" s="498"/>
      <c r="BA6857" s="498"/>
    </row>
    <row r="6858" spans="1:53" s="499" customFormat="1" x14ac:dyDescent="0.25">
      <c r="A6858" s="500"/>
      <c r="B6858" s="501"/>
      <c r="C6858" s="502"/>
      <c r="D6858" s="497"/>
      <c r="E6858" s="497"/>
      <c r="F6858" s="502"/>
      <c r="G6858" s="497"/>
      <c r="H6858" s="497"/>
      <c r="I6858" s="497"/>
      <c r="J6858" s="497"/>
      <c r="K6858" s="500"/>
      <c r="L6858" s="497"/>
      <c r="M6858"/>
      <c r="N6858" s="498"/>
      <c r="O6858" s="498"/>
      <c r="P6858" s="498"/>
      <c r="Q6858" s="498"/>
      <c r="R6858" s="498"/>
      <c r="T6858" s="498"/>
      <c r="U6858" s="498"/>
      <c r="V6858" s="498"/>
      <c r="W6858" s="498"/>
      <c r="X6858" s="498"/>
      <c r="Y6858" s="498"/>
      <c r="Z6858" s="498"/>
      <c r="AA6858" s="498"/>
      <c r="AB6858" s="498"/>
      <c r="AC6858" s="498"/>
      <c r="AD6858" s="498"/>
      <c r="AE6858" s="498"/>
      <c r="AF6858" s="498"/>
      <c r="AG6858" s="498"/>
      <c r="AH6858" s="498"/>
      <c r="AI6858" s="498"/>
      <c r="AK6858" s="498"/>
      <c r="AL6858" s="498"/>
      <c r="AM6858" s="498"/>
      <c r="AN6858" s="498"/>
      <c r="AO6858" s="498"/>
      <c r="AP6858" s="498"/>
      <c r="AQ6858" s="498"/>
      <c r="AR6858" s="498"/>
      <c r="AS6858" s="498"/>
      <c r="AT6858" s="498"/>
      <c r="AU6858" s="498"/>
      <c r="AV6858" s="498"/>
      <c r="AW6858" s="498"/>
      <c r="AX6858" s="498"/>
      <c r="AY6858" s="498"/>
      <c r="AZ6858" s="498"/>
      <c r="BA6858" s="498"/>
    </row>
    <row r="6859" spans="1:53" s="499" customFormat="1" x14ac:dyDescent="0.25">
      <c r="A6859" s="500"/>
      <c r="B6859" s="501"/>
      <c r="C6859" s="502"/>
      <c r="D6859" s="497"/>
      <c r="E6859" s="497"/>
      <c r="F6859" s="502"/>
      <c r="G6859" s="497"/>
      <c r="H6859" s="497"/>
      <c r="I6859" s="497"/>
      <c r="J6859" s="497"/>
      <c r="K6859" s="500"/>
      <c r="L6859" s="497"/>
      <c r="M6859"/>
      <c r="N6859" s="498"/>
      <c r="O6859" s="498"/>
      <c r="P6859" s="498"/>
      <c r="Q6859" s="498"/>
      <c r="R6859" s="498"/>
      <c r="T6859" s="498"/>
      <c r="U6859" s="498"/>
      <c r="V6859" s="498"/>
      <c r="W6859" s="498"/>
      <c r="X6859" s="498"/>
      <c r="Y6859" s="498"/>
      <c r="Z6859" s="498"/>
      <c r="AA6859" s="498"/>
      <c r="AB6859" s="498"/>
      <c r="AC6859" s="498"/>
      <c r="AD6859" s="498"/>
      <c r="AE6859" s="498"/>
      <c r="AF6859" s="498"/>
      <c r="AG6859" s="498"/>
      <c r="AH6859" s="498"/>
      <c r="AI6859" s="498"/>
      <c r="AK6859" s="498"/>
      <c r="AL6859" s="498"/>
      <c r="AM6859" s="498"/>
      <c r="AN6859" s="498"/>
      <c r="AO6859" s="498"/>
      <c r="AP6859" s="498"/>
      <c r="AQ6859" s="498"/>
      <c r="AR6859" s="498"/>
      <c r="AS6859" s="498"/>
      <c r="AT6859" s="498"/>
      <c r="AU6859" s="498"/>
      <c r="AV6859" s="498"/>
      <c r="AW6859" s="498"/>
      <c r="AX6859" s="498"/>
      <c r="AY6859" s="498"/>
      <c r="AZ6859" s="498"/>
      <c r="BA6859" s="498"/>
    </row>
    <row r="6860" spans="1:53" s="499" customFormat="1" x14ac:dyDescent="0.25">
      <c r="A6860" s="500"/>
      <c r="B6860" s="501"/>
      <c r="C6860" s="502"/>
      <c r="D6860" s="497"/>
      <c r="E6860" s="497"/>
      <c r="F6860" s="502"/>
      <c r="G6860" s="497"/>
      <c r="H6860" s="497"/>
      <c r="I6860" s="497"/>
      <c r="J6860" s="497"/>
      <c r="K6860" s="500"/>
      <c r="L6860" s="497"/>
      <c r="M6860"/>
      <c r="N6860" s="498"/>
      <c r="O6860" s="498"/>
      <c r="P6860" s="498"/>
      <c r="Q6860" s="498"/>
      <c r="R6860" s="498"/>
      <c r="T6860" s="498"/>
      <c r="U6860" s="498"/>
      <c r="V6860" s="498"/>
      <c r="W6860" s="498"/>
      <c r="X6860" s="498"/>
      <c r="Y6860" s="498"/>
      <c r="Z6860" s="498"/>
      <c r="AA6860" s="498"/>
      <c r="AB6860" s="498"/>
      <c r="AC6860" s="498"/>
      <c r="AD6860" s="498"/>
      <c r="AE6860" s="498"/>
      <c r="AF6860" s="498"/>
      <c r="AG6860" s="498"/>
      <c r="AH6860" s="498"/>
      <c r="AI6860" s="498"/>
      <c r="AK6860" s="498"/>
      <c r="AL6860" s="498"/>
      <c r="AM6860" s="498"/>
      <c r="AN6860" s="498"/>
      <c r="AO6860" s="498"/>
      <c r="AP6860" s="498"/>
      <c r="AQ6860" s="498"/>
      <c r="AR6860" s="498"/>
      <c r="AS6860" s="498"/>
      <c r="AT6860" s="498"/>
      <c r="AU6860" s="498"/>
      <c r="AV6860" s="498"/>
      <c r="AW6860" s="498"/>
      <c r="AX6860" s="498"/>
      <c r="AY6860" s="498"/>
      <c r="AZ6860" s="498"/>
      <c r="BA6860" s="498"/>
    </row>
    <row r="6861" spans="1:53" s="499" customFormat="1" x14ac:dyDescent="0.25">
      <c r="A6861" s="500"/>
      <c r="B6861" s="501"/>
      <c r="C6861" s="502"/>
      <c r="D6861" s="497"/>
      <c r="E6861" s="497"/>
      <c r="F6861" s="502"/>
      <c r="G6861" s="497"/>
      <c r="H6861" s="497"/>
      <c r="I6861" s="497"/>
      <c r="J6861" s="497"/>
      <c r="K6861" s="500"/>
      <c r="L6861" s="497"/>
      <c r="M6861"/>
      <c r="N6861" s="498"/>
      <c r="O6861" s="498"/>
      <c r="P6861" s="498"/>
      <c r="Q6861" s="498"/>
      <c r="R6861" s="498"/>
      <c r="T6861" s="498"/>
      <c r="U6861" s="498"/>
      <c r="V6861" s="498"/>
      <c r="W6861" s="498"/>
      <c r="X6861" s="498"/>
      <c r="Y6861" s="498"/>
      <c r="Z6861" s="498"/>
      <c r="AA6861" s="498"/>
      <c r="AB6861" s="498"/>
      <c r="AC6861" s="498"/>
      <c r="AD6861" s="498"/>
      <c r="AE6861" s="498"/>
      <c r="AF6861" s="498"/>
      <c r="AG6861" s="498"/>
      <c r="AH6861" s="498"/>
      <c r="AI6861" s="498"/>
      <c r="AK6861" s="498"/>
      <c r="AL6861" s="498"/>
      <c r="AM6861" s="498"/>
      <c r="AN6861" s="498"/>
      <c r="AO6861" s="498"/>
      <c r="AP6861" s="498"/>
      <c r="AQ6861" s="498"/>
      <c r="AR6861" s="498"/>
      <c r="AS6861" s="498"/>
      <c r="AT6861" s="498"/>
      <c r="AU6861" s="498"/>
      <c r="AV6861" s="498"/>
      <c r="AW6861" s="498"/>
      <c r="AX6861" s="498"/>
      <c r="AY6861" s="498"/>
      <c r="AZ6861" s="498"/>
      <c r="BA6861" s="498"/>
    </row>
    <row r="6862" spans="1:53" s="499" customFormat="1" x14ac:dyDescent="0.25">
      <c r="A6862" s="500"/>
      <c r="B6862" s="501"/>
      <c r="C6862" s="502"/>
      <c r="D6862" s="497"/>
      <c r="E6862" s="497"/>
      <c r="F6862" s="502"/>
      <c r="G6862" s="497"/>
      <c r="H6862" s="497"/>
      <c r="I6862" s="497"/>
      <c r="J6862" s="497"/>
      <c r="K6862" s="500"/>
      <c r="L6862" s="497"/>
      <c r="M6862"/>
      <c r="N6862" s="498"/>
      <c r="O6862" s="498"/>
      <c r="P6862" s="498"/>
      <c r="Q6862" s="498"/>
      <c r="R6862" s="498"/>
      <c r="T6862" s="498"/>
      <c r="U6862" s="498"/>
      <c r="V6862" s="498"/>
      <c r="W6862" s="498"/>
      <c r="X6862" s="498"/>
      <c r="Y6862" s="498"/>
      <c r="Z6862" s="498"/>
      <c r="AA6862" s="498"/>
      <c r="AB6862" s="498"/>
      <c r="AC6862" s="498"/>
      <c r="AD6862" s="498"/>
      <c r="AE6862" s="498"/>
      <c r="AF6862" s="498"/>
      <c r="AG6862" s="498"/>
      <c r="AH6862" s="498"/>
      <c r="AI6862" s="498"/>
      <c r="AK6862" s="498"/>
      <c r="AL6862" s="498"/>
      <c r="AM6862" s="498"/>
      <c r="AN6862" s="498"/>
      <c r="AO6862" s="498"/>
      <c r="AP6862" s="498"/>
      <c r="AQ6862" s="498"/>
      <c r="AR6862" s="498"/>
      <c r="AS6862" s="498"/>
      <c r="AT6862" s="498"/>
      <c r="AU6862" s="498"/>
      <c r="AV6862" s="498"/>
      <c r="AW6862" s="498"/>
      <c r="AX6862" s="498"/>
      <c r="AY6862" s="498"/>
      <c r="AZ6862" s="498"/>
      <c r="BA6862" s="498"/>
    </row>
    <row r="6863" spans="1:53" s="499" customFormat="1" x14ac:dyDescent="0.25">
      <c r="A6863" s="500"/>
      <c r="B6863" s="501"/>
      <c r="C6863" s="502"/>
      <c r="D6863" s="497"/>
      <c r="E6863" s="497"/>
      <c r="F6863" s="502"/>
      <c r="G6863" s="497"/>
      <c r="H6863" s="497"/>
      <c r="I6863" s="497"/>
      <c r="J6863" s="497"/>
      <c r="K6863" s="500"/>
      <c r="L6863" s="497"/>
      <c r="M6863"/>
      <c r="N6863" s="498"/>
      <c r="O6863" s="498"/>
      <c r="P6863" s="498"/>
      <c r="Q6863" s="498"/>
      <c r="R6863" s="498"/>
      <c r="T6863" s="498"/>
      <c r="U6863" s="498"/>
      <c r="V6863" s="498"/>
      <c r="W6863" s="498"/>
      <c r="X6863" s="498"/>
      <c r="Y6863" s="498"/>
      <c r="Z6863" s="498"/>
      <c r="AA6863" s="498"/>
      <c r="AB6863" s="498"/>
      <c r="AC6863" s="498"/>
      <c r="AD6863" s="498"/>
      <c r="AE6863" s="498"/>
      <c r="AF6863" s="498"/>
      <c r="AG6863" s="498"/>
      <c r="AH6863" s="498"/>
      <c r="AI6863" s="498"/>
      <c r="AK6863" s="498"/>
      <c r="AL6863" s="498"/>
      <c r="AM6863" s="498"/>
      <c r="AN6863" s="498"/>
      <c r="AO6863" s="498"/>
      <c r="AP6863" s="498"/>
      <c r="AQ6863" s="498"/>
      <c r="AR6863" s="498"/>
      <c r="AS6863" s="498"/>
      <c r="AT6863" s="498"/>
      <c r="AU6863" s="498"/>
      <c r="AV6863" s="498"/>
      <c r="AW6863" s="498"/>
      <c r="AX6863" s="498"/>
      <c r="AY6863" s="498"/>
      <c r="AZ6863" s="498"/>
      <c r="BA6863" s="498"/>
    </row>
    <row r="6864" spans="1:53" s="499" customFormat="1" x14ac:dyDescent="0.25">
      <c r="A6864" s="500"/>
      <c r="B6864" s="501"/>
      <c r="C6864" s="502"/>
      <c r="D6864" s="497"/>
      <c r="E6864" s="497"/>
      <c r="F6864" s="502"/>
      <c r="G6864" s="497"/>
      <c r="H6864" s="497"/>
      <c r="I6864" s="497"/>
      <c r="J6864" s="497"/>
      <c r="K6864" s="500"/>
      <c r="L6864" s="497"/>
      <c r="M6864"/>
      <c r="N6864" s="498"/>
      <c r="O6864" s="498"/>
      <c r="P6864" s="498"/>
      <c r="Q6864" s="498"/>
      <c r="R6864" s="498"/>
      <c r="T6864" s="498"/>
      <c r="U6864" s="498"/>
      <c r="V6864" s="498"/>
      <c r="W6864" s="498"/>
      <c r="X6864" s="498"/>
      <c r="Y6864" s="498"/>
      <c r="Z6864" s="498"/>
      <c r="AA6864" s="498"/>
      <c r="AB6864" s="498"/>
      <c r="AC6864" s="498"/>
      <c r="AD6864" s="498"/>
      <c r="AE6864" s="498"/>
      <c r="AF6864" s="498"/>
      <c r="AG6864" s="498"/>
      <c r="AH6864" s="498"/>
      <c r="AI6864" s="498"/>
      <c r="AK6864" s="498"/>
      <c r="AL6864" s="498"/>
      <c r="AM6864" s="498"/>
      <c r="AN6864" s="498"/>
      <c r="AO6864" s="498"/>
      <c r="AP6864" s="498"/>
      <c r="AQ6864" s="498"/>
      <c r="AR6864" s="498"/>
      <c r="AS6864" s="498"/>
      <c r="AT6864" s="498"/>
      <c r="AU6864" s="498"/>
      <c r="AV6864" s="498"/>
      <c r="AW6864" s="498"/>
      <c r="AX6864" s="498"/>
      <c r="AY6864" s="498"/>
      <c r="AZ6864" s="498"/>
      <c r="BA6864" s="498"/>
    </row>
    <row r="6865" spans="1:53" s="499" customFormat="1" x14ac:dyDescent="0.25">
      <c r="A6865" s="500"/>
      <c r="B6865" s="501"/>
      <c r="C6865" s="502"/>
      <c r="D6865" s="497"/>
      <c r="E6865" s="497"/>
      <c r="F6865" s="502"/>
      <c r="G6865" s="497"/>
      <c r="H6865" s="497"/>
      <c r="I6865" s="497"/>
      <c r="J6865" s="497"/>
      <c r="K6865" s="500"/>
      <c r="L6865" s="497"/>
      <c r="M6865"/>
      <c r="N6865" s="498"/>
      <c r="O6865" s="498"/>
      <c r="P6865" s="498"/>
      <c r="Q6865" s="498"/>
      <c r="R6865" s="498"/>
      <c r="T6865" s="498"/>
      <c r="U6865" s="498"/>
      <c r="V6865" s="498"/>
      <c r="W6865" s="498"/>
      <c r="X6865" s="498"/>
      <c r="Y6865" s="498"/>
      <c r="Z6865" s="498"/>
      <c r="AA6865" s="498"/>
      <c r="AB6865" s="498"/>
      <c r="AC6865" s="498"/>
      <c r="AD6865" s="498"/>
      <c r="AE6865" s="498"/>
      <c r="AF6865" s="498"/>
      <c r="AG6865" s="498"/>
      <c r="AH6865" s="498"/>
      <c r="AI6865" s="498"/>
      <c r="AK6865" s="498"/>
      <c r="AL6865" s="498"/>
      <c r="AM6865" s="498"/>
      <c r="AN6865" s="498"/>
      <c r="AO6865" s="498"/>
      <c r="AP6865" s="498"/>
      <c r="AQ6865" s="498"/>
      <c r="AR6865" s="498"/>
      <c r="AS6865" s="498"/>
      <c r="AT6865" s="498"/>
      <c r="AU6865" s="498"/>
      <c r="AV6865" s="498"/>
      <c r="AW6865" s="498"/>
      <c r="AX6865" s="498"/>
      <c r="AY6865" s="498"/>
      <c r="AZ6865" s="498"/>
      <c r="BA6865" s="498"/>
    </row>
    <row r="6866" spans="1:53" s="499" customFormat="1" x14ac:dyDescent="0.25">
      <c r="A6866" s="500"/>
      <c r="B6866" s="501"/>
      <c r="C6866" s="502"/>
      <c r="D6866" s="497"/>
      <c r="E6866" s="497"/>
      <c r="F6866" s="502"/>
      <c r="G6866" s="497"/>
      <c r="H6866" s="497"/>
      <c r="I6866" s="497"/>
      <c r="J6866" s="497"/>
      <c r="K6866" s="500"/>
      <c r="L6866" s="497"/>
      <c r="M6866"/>
      <c r="N6866" s="498"/>
      <c r="O6866" s="498"/>
      <c r="P6866" s="498"/>
      <c r="Q6866" s="498"/>
      <c r="R6866" s="498"/>
      <c r="T6866" s="498"/>
      <c r="U6866" s="498"/>
      <c r="V6866" s="498"/>
      <c r="W6866" s="498"/>
      <c r="X6866" s="498"/>
      <c r="Y6866" s="498"/>
      <c r="Z6866" s="498"/>
      <c r="AA6866" s="498"/>
      <c r="AB6866" s="498"/>
      <c r="AC6866" s="498"/>
      <c r="AD6866" s="498"/>
      <c r="AE6866" s="498"/>
      <c r="AF6866" s="498"/>
      <c r="AG6866" s="498"/>
      <c r="AH6866" s="498"/>
      <c r="AI6866" s="498"/>
      <c r="AK6866" s="498"/>
      <c r="AL6866" s="498"/>
      <c r="AM6866" s="498"/>
      <c r="AN6866" s="498"/>
      <c r="AO6866" s="498"/>
      <c r="AP6866" s="498"/>
      <c r="AQ6866" s="498"/>
      <c r="AR6866" s="498"/>
      <c r="AS6866" s="498"/>
      <c r="AT6866" s="498"/>
      <c r="AU6866" s="498"/>
      <c r="AV6866" s="498"/>
      <c r="AW6866" s="498"/>
      <c r="AX6866" s="498"/>
      <c r="AY6866" s="498"/>
      <c r="AZ6866" s="498"/>
      <c r="BA6866" s="498"/>
    </row>
    <row r="6867" spans="1:53" s="499" customFormat="1" x14ac:dyDescent="0.25">
      <c r="A6867" s="500"/>
      <c r="B6867" s="501"/>
      <c r="C6867" s="502"/>
      <c r="D6867" s="497"/>
      <c r="E6867" s="497"/>
      <c r="F6867" s="502"/>
      <c r="G6867" s="497"/>
      <c r="H6867" s="497"/>
      <c r="I6867" s="497"/>
      <c r="J6867" s="497"/>
      <c r="K6867" s="500"/>
      <c r="L6867" s="497"/>
      <c r="M6867"/>
      <c r="N6867" s="498"/>
      <c r="O6867" s="498"/>
      <c r="P6867" s="498"/>
      <c r="Q6867" s="498"/>
      <c r="R6867" s="498"/>
      <c r="T6867" s="498"/>
      <c r="U6867" s="498"/>
      <c r="V6867" s="498"/>
      <c r="W6867" s="498"/>
      <c r="X6867" s="498"/>
      <c r="Y6867" s="498"/>
      <c r="Z6867" s="498"/>
      <c r="AA6867" s="498"/>
      <c r="AB6867" s="498"/>
      <c r="AC6867" s="498"/>
      <c r="AD6867" s="498"/>
      <c r="AE6867" s="498"/>
      <c r="AF6867" s="498"/>
      <c r="AG6867" s="498"/>
      <c r="AH6867" s="498"/>
      <c r="AI6867" s="498"/>
      <c r="AK6867" s="498"/>
      <c r="AL6867" s="498"/>
      <c r="AM6867" s="498"/>
      <c r="AN6867" s="498"/>
      <c r="AO6867" s="498"/>
      <c r="AP6867" s="498"/>
      <c r="AQ6867" s="498"/>
      <c r="AR6867" s="498"/>
      <c r="AS6867" s="498"/>
      <c r="AT6867" s="498"/>
      <c r="AU6867" s="498"/>
      <c r="AV6867" s="498"/>
      <c r="AW6867" s="498"/>
      <c r="AX6867" s="498"/>
      <c r="AY6867" s="498"/>
      <c r="AZ6867" s="498"/>
      <c r="BA6867" s="498"/>
    </row>
    <row r="6868" spans="1:53" s="499" customFormat="1" x14ac:dyDescent="0.25">
      <c r="A6868" s="500"/>
      <c r="B6868" s="501"/>
      <c r="C6868" s="502"/>
      <c r="D6868" s="497"/>
      <c r="E6868" s="497"/>
      <c r="F6868" s="502"/>
      <c r="G6868" s="497"/>
      <c r="H6868" s="497"/>
      <c r="I6868" s="497"/>
      <c r="J6868" s="497"/>
      <c r="K6868" s="500"/>
      <c r="L6868" s="497"/>
      <c r="M6868"/>
      <c r="N6868" s="498"/>
      <c r="O6868" s="498"/>
      <c r="P6868" s="498"/>
      <c r="Q6868" s="498"/>
      <c r="R6868" s="498"/>
      <c r="T6868" s="498"/>
      <c r="U6868" s="498"/>
      <c r="V6868" s="498"/>
      <c r="W6868" s="498"/>
      <c r="X6868" s="498"/>
      <c r="Y6868" s="498"/>
      <c r="Z6868" s="498"/>
      <c r="AA6868" s="498"/>
      <c r="AB6868" s="498"/>
      <c r="AC6868" s="498"/>
      <c r="AD6868" s="498"/>
      <c r="AE6868" s="498"/>
      <c r="AF6868" s="498"/>
      <c r="AG6868" s="498"/>
      <c r="AH6868" s="498"/>
      <c r="AI6868" s="498"/>
      <c r="AK6868" s="498"/>
      <c r="AL6868" s="498"/>
      <c r="AM6868" s="498"/>
      <c r="AN6868" s="498"/>
      <c r="AO6868" s="498"/>
      <c r="AP6868" s="498"/>
      <c r="AQ6868" s="498"/>
      <c r="AR6868" s="498"/>
      <c r="AS6868" s="498"/>
      <c r="AT6868" s="498"/>
      <c r="AU6868" s="498"/>
      <c r="AV6868" s="498"/>
      <c r="AW6868" s="498"/>
      <c r="AX6868" s="498"/>
      <c r="AY6868" s="498"/>
      <c r="AZ6868" s="498"/>
      <c r="BA6868" s="498"/>
    </row>
    <row r="6869" spans="1:53" s="499" customFormat="1" x14ac:dyDescent="0.25">
      <c r="A6869" s="500"/>
      <c r="B6869" s="501"/>
      <c r="C6869" s="502"/>
      <c r="D6869" s="497"/>
      <c r="E6869" s="497"/>
      <c r="F6869" s="502"/>
      <c r="G6869" s="497"/>
      <c r="H6869" s="497"/>
      <c r="I6869" s="497"/>
      <c r="J6869" s="497"/>
      <c r="K6869" s="500"/>
      <c r="L6869" s="497"/>
      <c r="M6869"/>
      <c r="N6869" s="498"/>
      <c r="O6869" s="498"/>
      <c r="P6869" s="498"/>
      <c r="Q6869" s="498"/>
      <c r="R6869" s="498"/>
      <c r="T6869" s="498"/>
      <c r="U6869" s="498"/>
      <c r="V6869" s="498"/>
      <c r="W6869" s="498"/>
      <c r="X6869" s="498"/>
      <c r="Y6869" s="498"/>
      <c r="Z6869" s="498"/>
      <c r="AA6869" s="498"/>
      <c r="AB6869" s="498"/>
      <c r="AC6869" s="498"/>
      <c r="AD6869" s="498"/>
      <c r="AE6869" s="498"/>
      <c r="AF6869" s="498"/>
      <c r="AG6869" s="498"/>
      <c r="AH6869" s="498"/>
      <c r="AI6869" s="498"/>
      <c r="AK6869" s="498"/>
      <c r="AL6869" s="498"/>
      <c r="AM6869" s="498"/>
      <c r="AN6869" s="498"/>
      <c r="AO6869" s="498"/>
      <c r="AP6869" s="498"/>
      <c r="AQ6869" s="498"/>
      <c r="AR6869" s="498"/>
      <c r="AS6869" s="498"/>
      <c r="AT6869" s="498"/>
      <c r="AU6869" s="498"/>
      <c r="AV6869" s="498"/>
      <c r="AW6869" s="498"/>
      <c r="AX6869" s="498"/>
      <c r="AY6869" s="498"/>
      <c r="AZ6869" s="498"/>
      <c r="BA6869" s="498"/>
    </row>
    <row r="6870" spans="1:53" s="499" customFormat="1" x14ac:dyDescent="0.25">
      <c r="A6870" s="500"/>
      <c r="B6870" s="501"/>
      <c r="C6870" s="502"/>
      <c r="D6870" s="497"/>
      <c r="E6870" s="497"/>
      <c r="F6870" s="502"/>
      <c r="G6870" s="497"/>
      <c r="H6870" s="497"/>
      <c r="I6870" s="497"/>
      <c r="J6870" s="497"/>
      <c r="K6870" s="500"/>
      <c r="L6870" s="497"/>
      <c r="M6870"/>
      <c r="N6870" s="498"/>
      <c r="O6870" s="498"/>
      <c r="P6870" s="498"/>
      <c r="Q6870" s="498"/>
      <c r="R6870" s="498"/>
      <c r="T6870" s="498"/>
      <c r="U6870" s="498"/>
      <c r="V6870" s="498"/>
      <c r="W6870" s="498"/>
      <c r="X6870" s="498"/>
      <c r="Y6870" s="498"/>
      <c r="Z6870" s="498"/>
      <c r="AA6870" s="498"/>
      <c r="AB6870" s="498"/>
      <c r="AC6870" s="498"/>
      <c r="AD6870" s="498"/>
      <c r="AE6870" s="498"/>
      <c r="AF6870" s="498"/>
      <c r="AG6870" s="498"/>
      <c r="AH6870" s="498"/>
      <c r="AI6870" s="498"/>
      <c r="AK6870" s="498"/>
      <c r="AL6870" s="498"/>
      <c r="AM6870" s="498"/>
      <c r="AN6870" s="498"/>
      <c r="AO6870" s="498"/>
      <c r="AP6870" s="498"/>
      <c r="AQ6870" s="498"/>
      <c r="AR6870" s="498"/>
      <c r="AS6870" s="498"/>
      <c r="AT6870" s="498"/>
      <c r="AU6870" s="498"/>
      <c r="AV6870" s="498"/>
      <c r="AW6870" s="498"/>
      <c r="AX6870" s="498"/>
      <c r="AY6870" s="498"/>
      <c r="AZ6870" s="498"/>
      <c r="BA6870" s="498"/>
    </row>
    <row r="6871" spans="1:53" s="499" customFormat="1" x14ac:dyDescent="0.25">
      <c r="A6871" s="500"/>
      <c r="B6871" s="501"/>
      <c r="C6871" s="502"/>
      <c r="D6871" s="497"/>
      <c r="E6871" s="497"/>
      <c r="F6871" s="502"/>
      <c r="G6871" s="497"/>
      <c r="H6871" s="497"/>
      <c r="I6871" s="497"/>
      <c r="J6871" s="497"/>
      <c r="K6871" s="500"/>
      <c r="L6871" s="497"/>
      <c r="M6871"/>
      <c r="N6871" s="498"/>
      <c r="O6871" s="498"/>
      <c r="P6871" s="498"/>
      <c r="Q6871" s="498"/>
      <c r="R6871" s="498"/>
      <c r="T6871" s="498"/>
      <c r="U6871" s="498"/>
      <c r="V6871" s="498"/>
      <c r="W6871" s="498"/>
      <c r="X6871" s="498"/>
      <c r="Y6871" s="498"/>
      <c r="Z6871" s="498"/>
      <c r="AA6871" s="498"/>
      <c r="AB6871" s="498"/>
      <c r="AC6871" s="498"/>
      <c r="AD6871" s="498"/>
      <c r="AE6871" s="498"/>
      <c r="AF6871" s="498"/>
      <c r="AG6871" s="498"/>
      <c r="AH6871" s="498"/>
      <c r="AI6871" s="498"/>
      <c r="AK6871" s="498"/>
      <c r="AL6871" s="498"/>
      <c r="AM6871" s="498"/>
      <c r="AN6871" s="498"/>
      <c r="AO6871" s="498"/>
      <c r="AP6871" s="498"/>
      <c r="AQ6871" s="498"/>
      <c r="AR6871" s="498"/>
      <c r="AS6871" s="498"/>
      <c r="AT6871" s="498"/>
      <c r="AU6871" s="498"/>
      <c r="AV6871" s="498"/>
      <c r="AW6871" s="498"/>
      <c r="AX6871" s="498"/>
      <c r="AY6871" s="498"/>
      <c r="AZ6871" s="498"/>
      <c r="BA6871" s="498"/>
    </row>
    <row r="6872" spans="1:53" s="499" customFormat="1" x14ac:dyDescent="0.25">
      <c r="A6872" s="500"/>
      <c r="B6872" s="501"/>
      <c r="C6872" s="502"/>
      <c r="D6872" s="497"/>
      <c r="E6872" s="497"/>
      <c r="F6872" s="502"/>
      <c r="G6872" s="497"/>
      <c r="H6872" s="497"/>
      <c r="I6872" s="497"/>
      <c r="J6872" s="497"/>
      <c r="K6872" s="500"/>
      <c r="L6872" s="497"/>
      <c r="M6872"/>
      <c r="N6872" s="498"/>
      <c r="O6872" s="498"/>
      <c r="P6872" s="498"/>
      <c r="Q6872" s="498"/>
      <c r="R6872" s="498"/>
      <c r="T6872" s="498"/>
      <c r="U6872" s="498"/>
      <c r="V6872" s="498"/>
      <c r="W6872" s="498"/>
      <c r="X6872" s="498"/>
      <c r="Y6872" s="498"/>
      <c r="Z6872" s="498"/>
      <c r="AA6872" s="498"/>
      <c r="AB6872" s="498"/>
      <c r="AC6872" s="498"/>
      <c r="AD6872" s="498"/>
      <c r="AE6872" s="498"/>
      <c r="AF6872" s="498"/>
      <c r="AG6872" s="498"/>
      <c r="AH6872" s="498"/>
      <c r="AI6872" s="498"/>
      <c r="AK6872" s="498"/>
      <c r="AL6872" s="498"/>
      <c r="AM6872" s="498"/>
      <c r="AN6872" s="498"/>
      <c r="AO6872" s="498"/>
      <c r="AP6872" s="498"/>
      <c r="AQ6872" s="498"/>
      <c r="AR6872" s="498"/>
      <c r="AS6872" s="498"/>
      <c r="AT6872" s="498"/>
      <c r="AU6872" s="498"/>
      <c r="AV6872" s="498"/>
      <c r="AW6872" s="498"/>
      <c r="AX6872" s="498"/>
      <c r="AY6872" s="498"/>
      <c r="AZ6872" s="498"/>
      <c r="BA6872" s="498"/>
    </row>
    <row r="6873" spans="1:53" s="499" customFormat="1" x14ac:dyDescent="0.25">
      <c r="A6873" s="500"/>
      <c r="B6873" s="501"/>
      <c r="C6873" s="502"/>
      <c r="D6873" s="497"/>
      <c r="E6873" s="497"/>
      <c r="F6873" s="502"/>
      <c r="G6873" s="497"/>
      <c r="H6873" s="497"/>
      <c r="I6873" s="497"/>
      <c r="J6873" s="497"/>
      <c r="K6873" s="500"/>
      <c r="L6873" s="497"/>
      <c r="M6873"/>
      <c r="N6873" s="498"/>
      <c r="O6873" s="498"/>
      <c r="P6873" s="498"/>
      <c r="Q6873" s="498"/>
      <c r="R6873" s="498"/>
      <c r="T6873" s="498"/>
      <c r="U6873" s="498"/>
      <c r="V6873" s="498"/>
      <c r="W6873" s="498"/>
      <c r="X6873" s="498"/>
      <c r="Y6873" s="498"/>
      <c r="Z6873" s="498"/>
      <c r="AA6873" s="498"/>
      <c r="AB6873" s="498"/>
      <c r="AC6873" s="498"/>
      <c r="AD6873" s="498"/>
      <c r="AE6873" s="498"/>
      <c r="AF6873" s="498"/>
      <c r="AG6873" s="498"/>
      <c r="AH6873" s="498"/>
      <c r="AI6873" s="498"/>
      <c r="AK6873" s="498"/>
      <c r="AL6873" s="498"/>
      <c r="AM6873" s="498"/>
      <c r="AN6873" s="498"/>
      <c r="AO6873" s="498"/>
      <c r="AP6873" s="498"/>
      <c r="AQ6873" s="498"/>
      <c r="AR6873" s="498"/>
      <c r="AS6873" s="498"/>
      <c r="AT6873" s="498"/>
      <c r="AU6873" s="498"/>
      <c r="AV6873" s="498"/>
      <c r="AW6873" s="498"/>
      <c r="AX6873" s="498"/>
      <c r="AY6873" s="498"/>
      <c r="AZ6873" s="498"/>
      <c r="BA6873" s="498"/>
    </row>
    <row r="6874" spans="1:53" s="499" customFormat="1" x14ac:dyDescent="0.25">
      <c r="A6874" s="500"/>
      <c r="B6874" s="501"/>
      <c r="C6874" s="502"/>
      <c r="D6874" s="497"/>
      <c r="E6874" s="497"/>
      <c r="F6874" s="502"/>
      <c r="G6874" s="497"/>
      <c r="H6874" s="497"/>
      <c r="I6874" s="497"/>
      <c r="J6874" s="497"/>
      <c r="K6874" s="500"/>
      <c r="L6874" s="497"/>
      <c r="M6874"/>
      <c r="N6874" s="498"/>
      <c r="O6874" s="498"/>
      <c r="P6874" s="498"/>
      <c r="Q6874" s="498"/>
      <c r="R6874" s="498"/>
      <c r="T6874" s="498"/>
      <c r="U6874" s="498"/>
      <c r="V6874" s="498"/>
      <c r="W6874" s="498"/>
      <c r="X6874" s="498"/>
      <c r="Y6874" s="498"/>
      <c r="Z6874" s="498"/>
      <c r="AA6874" s="498"/>
      <c r="AB6874" s="498"/>
      <c r="AC6874" s="498"/>
      <c r="AD6874" s="498"/>
      <c r="AE6874" s="498"/>
      <c r="AF6874" s="498"/>
      <c r="AG6874" s="498"/>
      <c r="AH6874" s="498"/>
      <c r="AI6874" s="498"/>
      <c r="AK6874" s="498"/>
      <c r="AL6874" s="498"/>
      <c r="AM6874" s="498"/>
      <c r="AN6874" s="498"/>
      <c r="AO6874" s="498"/>
      <c r="AP6874" s="498"/>
      <c r="AQ6874" s="498"/>
      <c r="AR6874" s="498"/>
      <c r="AS6874" s="498"/>
      <c r="AT6874" s="498"/>
      <c r="AU6874" s="498"/>
      <c r="AV6874" s="498"/>
      <c r="AW6874" s="498"/>
      <c r="AX6874" s="498"/>
      <c r="AY6874" s="498"/>
      <c r="AZ6874" s="498"/>
      <c r="BA6874" s="498"/>
    </row>
    <row r="6875" spans="1:53" s="499" customFormat="1" x14ac:dyDescent="0.25">
      <c r="A6875" s="500"/>
      <c r="B6875" s="501"/>
      <c r="C6875" s="502"/>
      <c r="D6875" s="497"/>
      <c r="E6875" s="497"/>
      <c r="F6875" s="502"/>
      <c r="G6875" s="497"/>
      <c r="H6875" s="497"/>
      <c r="I6875" s="497"/>
      <c r="J6875" s="497"/>
      <c r="K6875" s="500"/>
      <c r="L6875" s="497"/>
      <c r="M6875"/>
      <c r="N6875" s="498"/>
      <c r="O6875" s="498"/>
      <c r="P6875" s="498"/>
      <c r="Q6875" s="498"/>
      <c r="R6875" s="498"/>
      <c r="T6875" s="498"/>
      <c r="U6875" s="498"/>
      <c r="V6875" s="498"/>
      <c r="W6875" s="498"/>
      <c r="X6875" s="498"/>
      <c r="Y6875" s="498"/>
      <c r="Z6875" s="498"/>
      <c r="AA6875" s="498"/>
      <c r="AB6875" s="498"/>
      <c r="AC6875" s="498"/>
      <c r="AD6875" s="498"/>
      <c r="AE6875" s="498"/>
      <c r="AF6875" s="498"/>
      <c r="AG6875" s="498"/>
      <c r="AH6875" s="498"/>
      <c r="AI6875" s="498"/>
      <c r="AK6875" s="498"/>
      <c r="AL6875" s="498"/>
      <c r="AM6875" s="498"/>
      <c r="AN6875" s="498"/>
      <c r="AO6875" s="498"/>
      <c r="AP6875" s="498"/>
      <c r="AQ6875" s="498"/>
      <c r="AR6875" s="498"/>
      <c r="AS6875" s="498"/>
      <c r="AT6875" s="498"/>
      <c r="AU6875" s="498"/>
      <c r="AV6875" s="498"/>
      <c r="AW6875" s="498"/>
      <c r="AX6875" s="498"/>
      <c r="AY6875" s="498"/>
      <c r="AZ6875" s="498"/>
      <c r="BA6875" s="498"/>
    </row>
    <row r="6876" spans="1:53" s="499" customFormat="1" x14ac:dyDescent="0.25">
      <c r="A6876" s="500"/>
      <c r="B6876" s="501"/>
      <c r="C6876" s="502"/>
      <c r="D6876" s="497"/>
      <c r="E6876" s="497"/>
      <c r="F6876" s="502"/>
      <c r="G6876" s="497"/>
      <c r="H6876" s="497"/>
      <c r="I6876" s="497"/>
      <c r="J6876" s="497"/>
      <c r="K6876" s="500"/>
      <c r="L6876" s="497"/>
      <c r="M6876"/>
      <c r="N6876" s="498"/>
      <c r="O6876" s="498"/>
      <c r="P6876" s="498"/>
      <c r="Q6876" s="498"/>
      <c r="R6876" s="498"/>
      <c r="T6876" s="498"/>
      <c r="U6876" s="498"/>
      <c r="V6876" s="498"/>
      <c r="W6876" s="498"/>
      <c r="X6876" s="498"/>
      <c r="Y6876" s="498"/>
      <c r="Z6876" s="498"/>
      <c r="AA6876" s="498"/>
      <c r="AB6876" s="498"/>
      <c r="AC6876" s="498"/>
      <c r="AD6876" s="498"/>
      <c r="AE6876" s="498"/>
      <c r="AF6876" s="498"/>
      <c r="AG6876" s="498"/>
      <c r="AH6876" s="498"/>
      <c r="AI6876" s="498"/>
      <c r="AK6876" s="498"/>
      <c r="AL6876" s="498"/>
      <c r="AM6876" s="498"/>
      <c r="AN6876" s="498"/>
      <c r="AO6876" s="498"/>
      <c r="AP6876" s="498"/>
      <c r="AQ6876" s="498"/>
      <c r="AR6876" s="498"/>
      <c r="AS6876" s="498"/>
      <c r="AT6876" s="498"/>
      <c r="AU6876" s="498"/>
      <c r="AV6876" s="498"/>
      <c r="AW6876" s="498"/>
      <c r="AX6876" s="498"/>
      <c r="AY6876" s="498"/>
      <c r="AZ6876" s="498"/>
      <c r="BA6876" s="498"/>
    </row>
    <row r="6877" spans="1:53" s="499" customFormat="1" x14ac:dyDescent="0.25">
      <c r="A6877" s="500"/>
      <c r="B6877" s="501"/>
      <c r="C6877" s="502"/>
      <c r="D6877" s="497"/>
      <c r="E6877" s="497"/>
      <c r="F6877" s="502"/>
      <c r="G6877" s="497"/>
      <c r="H6877" s="497"/>
      <c r="I6877" s="497"/>
      <c r="J6877" s="497"/>
      <c r="K6877" s="500"/>
      <c r="L6877" s="497"/>
      <c r="M6877"/>
      <c r="N6877" s="498"/>
      <c r="O6877" s="498"/>
      <c r="P6877" s="498"/>
      <c r="Q6877" s="498"/>
      <c r="R6877" s="498"/>
      <c r="T6877" s="498"/>
      <c r="U6877" s="498"/>
      <c r="V6877" s="498"/>
      <c r="W6877" s="498"/>
      <c r="X6877" s="498"/>
      <c r="Y6877" s="498"/>
      <c r="Z6877" s="498"/>
      <c r="AA6877" s="498"/>
      <c r="AB6877" s="498"/>
      <c r="AC6877" s="498"/>
      <c r="AD6877" s="498"/>
      <c r="AE6877" s="498"/>
      <c r="AF6877" s="498"/>
      <c r="AG6877" s="498"/>
      <c r="AH6877" s="498"/>
      <c r="AI6877" s="498"/>
      <c r="AK6877" s="498"/>
      <c r="AL6877" s="498"/>
      <c r="AM6877" s="498"/>
      <c r="AN6877" s="498"/>
      <c r="AO6877" s="498"/>
      <c r="AP6877" s="498"/>
      <c r="AQ6877" s="498"/>
      <c r="AR6877" s="498"/>
      <c r="AS6877" s="498"/>
      <c r="AT6877" s="498"/>
      <c r="AU6877" s="498"/>
      <c r="AV6877" s="498"/>
      <c r="AW6877" s="498"/>
      <c r="AX6877" s="498"/>
      <c r="AY6877" s="498"/>
      <c r="AZ6877" s="498"/>
      <c r="BA6877" s="498"/>
    </row>
    <row r="6878" spans="1:53" s="499" customFormat="1" x14ac:dyDescent="0.25">
      <c r="A6878" s="500"/>
      <c r="B6878" s="501"/>
      <c r="C6878" s="502"/>
      <c r="D6878" s="497"/>
      <c r="E6878" s="497"/>
      <c r="F6878" s="502"/>
      <c r="G6878" s="497"/>
      <c r="H6878" s="497"/>
      <c r="I6878" s="497"/>
      <c r="J6878" s="497"/>
      <c r="K6878" s="500"/>
      <c r="L6878" s="497"/>
      <c r="M6878"/>
      <c r="N6878" s="498"/>
      <c r="O6878" s="498"/>
      <c r="P6878" s="498"/>
      <c r="Q6878" s="498"/>
      <c r="R6878" s="498"/>
      <c r="T6878" s="498"/>
      <c r="U6878" s="498"/>
      <c r="V6878" s="498"/>
      <c r="W6878" s="498"/>
      <c r="X6878" s="498"/>
      <c r="Y6878" s="498"/>
      <c r="Z6878" s="498"/>
      <c r="AA6878" s="498"/>
      <c r="AB6878" s="498"/>
      <c r="AC6878" s="498"/>
      <c r="AD6878" s="498"/>
      <c r="AE6878" s="498"/>
      <c r="AF6878" s="498"/>
      <c r="AG6878" s="498"/>
      <c r="AH6878" s="498"/>
      <c r="AI6878" s="498"/>
      <c r="AK6878" s="498"/>
      <c r="AL6878" s="498"/>
      <c r="AM6878" s="498"/>
      <c r="AN6878" s="498"/>
      <c r="AO6878" s="498"/>
      <c r="AP6878" s="498"/>
      <c r="AQ6878" s="498"/>
      <c r="AR6878" s="498"/>
      <c r="AS6878" s="498"/>
      <c r="AT6878" s="498"/>
      <c r="AU6878" s="498"/>
      <c r="AV6878" s="498"/>
      <c r="AW6878" s="498"/>
      <c r="AX6878" s="498"/>
      <c r="AY6878" s="498"/>
      <c r="AZ6878" s="498"/>
      <c r="BA6878" s="498"/>
    </row>
    <row r="6879" spans="1:53" s="499" customFormat="1" x14ac:dyDescent="0.25">
      <c r="A6879" s="500"/>
      <c r="B6879" s="501"/>
      <c r="C6879" s="502"/>
      <c r="D6879" s="497"/>
      <c r="E6879" s="497"/>
      <c r="F6879" s="502"/>
      <c r="G6879" s="497"/>
      <c r="H6879" s="497"/>
      <c r="I6879" s="497"/>
      <c r="J6879" s="497"/>
      <c r="K6879" s="500"/>
      <c r="L6879" s="497"/>
      <c r="M6879"/>
      <c r="N6879" s="498"/>
      <c r="O6879" s="498"/>
      <c r="P6879" s="498"/>
      <c r="Q6879" s="498"/>
      <c r="R6879" s="498"/>
      <c r="T6879" s="498"/>
      <c r="U6879" s="498"/>
      <c r="V6879" s="498"/>
      <c r="W6879" s="498"/>
      <c r="X6879" s="498"/>
      <c r="Y6879" s="498"/>
      <c r="Z6879" s="498"/>
      <c r="AA6879" s="498"/>
      <c r="AB6879" s="498"/>
      <c r="AC6879" s="498"/>
      <c r="AD6879" s="498"/>
      <c r="AE6879" s="498"/>
      <c r="AF6879" s="498"/>
      <c r="AG6879" s="498"/>
      <c r="AH6879" s="498"/>
      <c r="AI6879" s="498"/>
      <c r="AK6879" s="498"/>
      <c r="AL6879" s="498"/>
      <c r="AM6879" s="498"/>
      <c r="AN6879" s="498"/>
      <c r="AO6879" s="498"/>
      <c r="AP6879" s="498"/>
      <c r="AQ6879" s="498"/>
      <c r="AR6879" s="498"/>
      <c r="AS6879" s="498"/>
      <c r="AT6879" s="498"/>
      <c r="AU6879" s="498"/>
      <c r="AV6879" s="498"/>
      <c r="AW6879" s="498"/>
      <c r="AX6879" s="498"/>
      <c r="AY6879" s="498"/>
      <c r="AZ6879" s="498"/>
      <c r="BA6879" s="498"/>
    </row>
    <row r="6880" spans="1:53" s="499" customFormat="1" x14ac:dyDescent="0.25">
      <c r="A6880" s="500"/>
      <c r="B6880" s="501"/>
      <c r="C6880" s="502"/>
      <c r="D6880" s="497"/>
      <c r="E6880" s="497"/>
      <c r="F6880" s="502"/>
      <c r="G6880" s="497"/>
      <c r="H6880" s="497"/>
      <c r="I6880" s="497"/>
      <c r="J6880" s="497"/>
      <c r="K6880" s="500"/>
      <c r="L6880" s="497"/>
      <c r="M6880"/>
      <c r="N6880" s="498"/>
      <c r="O6880" s="498"/>
      <c r="P6880" s="498"/>
      <c r="Q6880" s="498"/>
      <c r="R6880" s="498"/>
      <c r="T6880" s="498"/>
      <c r="U6880" s="498"/>
      <c r="V6880" s="498"/>
      <c r="W6880" s="498"/>
      <c r="X6880" s="498"/>
      <c r="Y6880" s="498"/>
      <c r="Z6880" s="498"/>
      <c r="AA6880" s="498"/>
      <c r="AB6880" s="498"/>
      <c r="AC6880" s="498"/>
      <c r="AD6880" s="498"/>
      <c r="AE6880" s="498"/>
      <c r="AF6880" s="498"/>
      <c r="AG6880" s="498"/>
      <c r="AH6880" s="498"/>
      <c r="AI6880" s="498"/>
      <c r="AK6880" s="498"/>
      <c r="AL6880" s="498"/>
      <c r="AM6880" s="498"/>
      <c r="AN6880" s="498"/>
      <c r="AO6880" s="498"/>
      <c r="AP6880" s="498"/>
      <c r="AQ6880" s="498"/>
      <c r="AR6880" s="498"/>
      <c r="AS6880" s="498"/>
      <c r="AT6880" s="498"/>
      <c r="AU6880" s="498"/>
      <c r="AV6880" s="498"/>
      <c r="AW6880" s="498"/>
      <c r="AX6880" s="498"/>
      <c r="AY6880" s="498"/>
      <c r="AZ6880" s="498"/>
      <c r="BA6880" s="498"/>
    </row>
    <row r="6881" spans="1:53" s="499" customFormat="1" x14ac:dyDescent="0.25">
      <c r="A6881" s="500"/>
      <c r="B6881" s="501"/>
      <c r="C6881" s="502"/>
      <c r="D6881" s="497"/>
      <c r="E6881" s="497"/>
      <c r="F6881" s="502"/>
      <c r="G6881" s="497"/>
      <c r="H6881" s="497"/>
      <c r="I6881" s="497"/>
      <c r="J6881" s="497"/>
      <c r="K6881" s="500"/>
      <c r="L6881" s="497"/>
      <c r="M6881"/>
      <c r="N6881" s="498"/>
      <c r="O6881" s="498"/>
      <c r="P6881" s="498"/>
      <c r="Q6881" s="498"/>
      <c r="R6881" s="498"/>
      <c r="T6881" s="498"/>
      <c r="U6881" s="498"/>
      <c r="V6881" s="498"/>
      <c r="W6881" s="498"/>
      <c r="X6881" s="498"/>
      <c r="Y6881" s="498"/>
      <c r="Z6881" s="498"/>
      <c r="AA6881" s="498"/>
      <c r="AB6881" s="498"/>
      <c r="AC6881" s="498"/>
      <c r="AD6881" s="498"/>
      <c r="AE6881" s="498"/>
      <c r="AF6881" s="498"/>
      <c r="AG6881" s="498"/>
      <c r="AH6881" s="498"/>
      <c r="AI6881" s="498"/>
      <c r="AK6881" s="498"/>
      <c r="AL6881" s="498"/>
      <c r="AM6881" s="498"/>
      <c r="AN6881" s="498"/>
      <c r="AO6881" s="498"/>
      <c r="AP6881" s="498"/>
      <c r="AQ6881" s="498"/>
      <c r="AR6881" s="498"/>
      <c r="AS6881" s="498"/>
      <c r="AT6881" s="498"/>
      <c r="AU6881" s="498"/>
      <c r="AV6881" s="498"/>
      <c r="AW6881" s="498"/>
      <c r="AX6881" s="498"/>
      <c r="AY6881" s="498"/>
      <c r="AZ6881" s="498"/>
      <c r="BA6881" s="498"/>
    </row>
    <row r="6882" spans="1:53" s="499" customFormat="1" x14ac:dyDescent="0.25">
      <c r="A6882" s="500"/>
      <c r="B6882" s="501"/>
      <c r="C6882" s="502"/>
      <c r="D6882" s="497"/>
      <c r="E6882" s="497"/>
      <c r="F6882" s="502"/>
      <c r="G6882" s="497"/>
      <c r="H6882" s="497"/>
      <c r="I6882" s="497"/>
      <c r="J6882" s="497"/>
      <c r="K6882" s="500"/>
      <c r="L6882" s="497"/>
      <c r="M6882"/>
      <c r="N6882" s="498"/>
      <c r="O6882" s="498"/>
      <c r="P6882" s="498"/>
      <c r="Q6882" s="498"/>
      <c r="R6882" s="498"/>
      <c r="T6882" s="498"/>
      <c r="U6882" s="498"/>
      <c r="V6882" s="498"/>
      <c r="W6882" s="498"/>
      <c r="X6882" s="498"/>
      <c r="Y6882" s="498"/>
      <c r="Z6882" s="498"/>
      <c r="AA6882" s="498"/>
      <c r="AB6882" s="498"/>
      <c r="AC6882" s="498"/>
      <c r="AD6882" s="498"/>
      <c r="AE6882" s="498"/>
      <c r="AF6882" s="498"/>
      <c r="AG6882" s="498"/>
      <c r="AH6882" s="498"/>
      <c r="AI6882" s="498"/>
      <c r="AK6882" s="498"/>
      <c r="AL6882" s="498"/>
      <c r="AM6882" s="498"/>
      <c r="AN6882" s="498"/>
      <c r="AO6882" s="498"/>
      <c r="AP6882" s="498"/>
      <c r="AQ6882" s="498"/>
      <c r="AR6882" s="498"/>
      <c r="AS6882" s="498"/>
      <c r="AT6882" s="498"/>
      <c r="AU6882" s="498"/>
      <c r="AV6882" s="498"/>
      <c r="AW6882" s="498"/>
      <c r="AX6882" s="498"/>
      <c r="AY6882" s="498"/>
      <c r="AZ6882" s="498"/>
      <c r="BA6882" s="498"/>
    </row>
    <row r="6883" spans="1:53" s="499" customFormat="1" x14ac:dyDescent="0.25">
      <c r="A6883" s="500"/>
      <c r="B6883" s="501"/>
      <c r="C6883" s="502"/>
      <c r="D6883" s="497"/>
      <c r="E6883" s="497"/>
      <c r="F6883" s="502"/>
      <c r="G6883" s="497"/>
      <c r="H6883" s="497"/>
      <c r="I6883" s="497"/>
      <c r="J6883" s="497"/>
      <c r="K6883" s="500"/>
      <c r="L6883" s="497"/>
      <c r="M6883"/>
      <c r="N6883" s="498"/>
      <c r="O6883" s="498"/>
      <c r="P6883" s="498"/>
      <c r="Q6883" s="498"/>
      <c r="R6883" s="498"/>
      <c r="T6883" s="498"/>
      <c r="U6883" s="498"/>
      <c r="V6883" s="498"/>
      <c r="W6883" s="498"/>
      <c r="X6883" s="498"/>
      <c r="Y6883" s="498"/>
      <c r="Z6883" s="498"/>
      <c r="AA6883" s="498"/>
      <c r="AB6883" s="498"/>
      <c r="AC6883" s="498"/>
      <c r="AD6883" s="498"/>
      <c r="AE6883" s="498"/>
      <c r="AF6883" s="498"/>
      <c r="AG6883" s="498"/>
      <c r="AH6883" s="498"/>
      <c r="AI6883" s="498"/>
      <c r="AK6883" s="498"/>
      <c r="AL6883" s="498"/>
      <c r="AM6883" s="498"/>
      <c r="AN6883" s="498"/>
      <c r="AO6883" s="498"/>
      <c r="AP6883" s="498"/>
      <c r="AQ6883" s="498"/>
      <c r="AR6883" s="498"/>
      <c r="AS6883" s="498"/>
      <c r="AT6883" s="498"/>
      <c r="AU6883" s="498"/>
      <c r="AV6883" s="498"/>
      <c r="AW6883" s="498"/>
      <c r="AX6883" s="498"/>
      <c r="AY6883" s="498"/>
      <c r="AZ6883" s="498"/>
      <c r="BA6883" s="498"/>
    </row>
    <row r="6884" spans="1:53" s="499" customFormat="1" x14ac:dyDescent="0.25">
      <c r="A6884" s="500"/>
      <c r="B6884" s="501"/>
      <c r="C6884" s="502"/>
      <c r="D6884" s="497"/>
      <c r="E6884" s="497"/>
      <c r="F6884" s="502"/>
      <c r="G6884" s="497"/>
      <c r="H6884" s="497"/>
      <c r="I6884" s="497"/>
      <c r="J6884" s="497"/>
      <c r="K6884" s="500"/>
      <c r="L6884" s="497"/>
      <c r="M6884"/>
      <c r="N6884" s="498"/>
      <c r="O6884" s="498"/>
      <c r="P6884" s="498"/>
      <c r="Q6884" s="498"/>
      <c r="R6884" s="498"/>
      <c r="T6884" s="498"/>
      <c r="U6884" s="498"/>
      <c r="V6884" s="498"/>
      <c r="W6884" s="498"/>
      <c r="X6884" s="498"/>
      <c r="Y6884" s="498"/>
      <c r="Z6884" s="498"/>
      <c r="AA6884" s="498"/>
      <c r="AB6884" s="498"/>
      <c r="AC6884" s="498"/>
      <c r="AD6884" s="498"/>
      <c r="AE6884" s="498"/>
      <c r="AF6884" s="498"/>
      <c r="AG6884" s="498"/>
      <c r="AH6884" s="498"/>
      <c r="AI6884" s="498"/>
      <c r="AK6884" s="498"/>
      <c r="AL6884" s="498"/>
      <c r="AM6884" s="498"/>
      <c r="AN6884" s="498"/>
      <c r="AO6884" s="498"/>
      <c r="AP6884" s="498"/>
      <c r="AQ6884" s="498"/>
      <c r="AR6884" s="498"/>
      <c r="AS6884" s="498"/>
      <c r="AT6884" s="498"/>
      <c r="AU6884" s="498"/>
      <c r="AV6884" s="498"/>
      <c r="AW6884" s="498"/>
      <c r="AX6884" s="498"/>
      <c r="AY6884" s="498"/>
      <c r="AZ6884" s="498"/>
      <c r="BA6884" s="498"/>
    </row>
    <row r="6885" spans="1:53" s="499" customFormat="1" x14ac:dyDescent="0.25">
      <c r="A6885" s="500"/>
      <c r="B6885" s="501"/>
      <c r="C6885" s="502"/>
      <c r="D6885" s="497"/>
      <c r="E6885" s="497"/>
      <c r="F6885" s="502"/>
      <c r="G6885" s="497"/>
      <c r="H6885" s="497"/>
      <c r="I6885" s="497"/>
      <c r="J6885" s="497"/>
      <c r="K6885" s="500"/>
      <c r="L6885" s="497"/>
      <c r="M6885"/>
      <c r="N6885" s="498"/>
      <c r="O6885" s="498"/>
      <c r="P6885" s="498"/>
      <c r="Q6885" s="498"/>
      <c r="R6885" s="498"/>
      <c r="T6885" s="498"/>
      <c r="U6885" s="498"/>
      <c r="V6885" s="498"/>
      <c r="W6885" s="498"/>
      <c r="X6885" s="498"/>
      <c r="Y6885" s="498"/>
      <c r="Z6885" s="498"/>
      <c r="AA6885" s="498"/>
      <c r="AB6885" s="498"/>
      <c r="AC6885" s="498"/>
      <c r="AD6885" s="498"/>
      <c r="AE6885" s="498"/>
      <c r="AF6885" s="498"/>
      <c r="AG6885" s="498"/>
      <c r="AH6885" s="498"/>
      <c r="AI6885" s="498"/>
      <c r="AK6885" s="498"/>
      <c r="AL6885" s="498"/>
      <c r="AM6885" s="498"/>
      <c r="AN6885" s="498"/>
      <c r="AO6885" s="498"/>
      <c r="AP6885" s="498"/>
      <c r="AQ6885" s="498"/>
      <c r="AR6885" s="498"/>
      <c r="AS6885" s="498"/>
      <c r="AT6885" s="498"/>
      <c r="AU6885" s="498"/>
      <c r="AV6885" s="498"/>
      <c r="AW6885" s="498"/>
      <c r="AX6885" s="498"/>
      <c r="AY6885" s="498"/>
      <c r="AZ6885" s="498"/>
      <c r="BA6885" s="498"/>
    </row>
    <row r="6886" spans="1:53" s="499" customFormat="1" x14ac:dyDescent="0.25">
      <c r="A6886" s="500"/>
      <c r="B6886" s="501"/>
      <c r="C6886" s="502"/>
      <c r="D6886" s="497"/>
      <c r="E6886" s="497"/>
      <c r="F6886" s="502"/>
      <c r="G6886" s="497"/>
      <c r="H6886" s="497"/>
      <c r="I6886" s="497"/>
      <c r="J6886" s="497"/>
      <c r="K6886" s="500"/>
      <c r="L6886" s="497"/>
      <c r="M6886"/>
      <c r="N6886" s="498"/>
      <c r="O6886" s="498"/>
      <c r="P6886" s="498"/>
      <c r="Q6886" s="498"/>
      <c r="R6886" s="498"/>
      <c r="T6886" s="498"/>
      <c r="U6886" s="498"/>
      <c r="V6886" s="498"/>
      <c r="W6886" s="498"/>
      <c r="X6886" s="498"/>
      <c r="Y6886" s="498"/>
      <c r="Z6886" s="498"/>
      <c r="AA6886" s="498"/>
      <c r="AB6886" s="498"/>
      <c r="AC6886" s="498"/>
      <c r="AD6886" s="498"/>
      <c r="AE6886" s="498"/>
      <c r="AF6886" s="498"/>
      <c r="AG6886" s="498"/>
      <c r="AH6886" s="498"/>
      <c r="AI6886" s="498"/>
      <c r="AK6886" s="498"/>
      <c r="AL6886" s="498"/>
      <c r="AM6886" s="498"/>
      <c r="AN6886" s="498"/>
      <c r="AO6886" s="498"/>
      <c r="AP6886" s="498"/>
      <c r="AQ6886" s="498"/>
      <c r="AR6886" s="498"/>
      <c r="AS6886" s="498"/>
      <c r="AT6886" s="498"/>
      <c r="AU6886" s="498"/>
      <c r="AV6886" s="498"/>
      <c r="AW6886" s="498"/>
      <c r="AX6886" s="498"/>
      <c r="AY6886" s="498"/>
      <c r="AZ6886" s="498"/>
      <c r="BA6886" s="498"/>
    </row>
    <row r="6887" spans="1:53" s="499" customFormat="1" x14ac:dyDescent="0.25">
      <c r="A6887" s="500"/>
      <c r="B6887" s="501"/>
      <c r="C6887" s="502"/>
      <c r="D6887" s="497"/>
      <c r="E6887" s="497"/>
      <c r="F6887" s="502"/>
      <c r="G6887" s="497"/>
      <c r="H6887" s="497"/>
      <c r="I6887" s="497"/>
      <c r="J6887" s="497"/>
      <c r="K6887" s="500"/>
      <c r="L6887" s="497"/>
      <c r="M6887"/>
      <c r="N6887" s="498"/>
      <c r="O6887" s="498"/>
      <c r="P6887" s="498"/>
      <c r="Q6887" s="498"/>
      <c r="R6887" s="498"/>
      <c r="T6887" s="498"/>
      <c r="U6887" s="498"/>
      <c r="V6887" s="498"/>
      <c r="W6887" s="498"/>
      <c r="X6887" s="498"/>
      <c r="Y6887" s="498"/>
      <c r="Z6887" s="498"/>
      <c r="AA6887" s="498"/>
      <c r="AB6887" s="498"/>
      <c r="AC6887" s="498"/>
      <c r="AD6887" s="498"/>
      <c r="AE6887" s="498"/>
      <c r="AF6887" s="498"/>
      <c r="AG6887" s="498"/>
      <c r="AH6887" s="498"/>
      <c r="AI6887" s="498"/>
      <c r="AK6887" s="498"/>
      <c r="AL6887" s="498"/>
      <c r="AM6887" s="498"/>
      <c r="AN6887" s="498"/>
      <c r="AO6887" s="498"/>
      <c r="AP6887" s="498"/>
      <c r="AQ6887" s="498"/>
      <c r="AR6887" s="498"/>
      <c r="AS6887" s="498"/>
      <c r="AT6887" s="498"/>
      <c r="AU6887" s="498"/>
      <c r="AV6887" s="498"/>
      <c r="AW6887" s="498"/>
      <c r="AX6887" s="498"/>
      <c r="AY6887" s="498"/>
      <c r="AZ6887" s="498"/>
      <c r="BA6887" s="498"/>
    </row>
    <row r="6888" spans="1:53" s="499" customFormat="1" x14ac:dyDescent="0.25">
      <c r="A6888" s="500"/>
      <c r="B6888" s="501"/>
      <c r="C6888" s="502"/>
      <c r="D6888" s="497"/>
      <c r="E6888" s="497"/>
      <c r="F6888" s="502"/>
      <c r="G6888" s="497"/>
      <c r="H6888" s="497"/>
      <c r="I6888" s="497"/>
      <c r="J6888" s="497"/>
      <c r="K6888" s="500"/>
      <c r="L6888" s="497"/>
      <c r="M6888"/>
      <c r="N6888" s="498"/>
      <c r="O6888" s="498"/>
      <c r="P6888" s="498"/>
      <c r="Q6888" s="498"/>
      <c r="R6888" s="498"/>
      <c r="T6888" s="498"/>
      <c r="U6888" s="498"/>
      <c r="V6888" s="498"/>
      <c r="W6888" s="498"/>
      <c r="X6888" s="498"/>
      <c r="Y6888" s="498"/>
      <c r="Z6888" s="498"/>
      <c r="AA6888" s="498"/>
      <c r="AB6888" s="498"/>
      <c r="AC6888" s="498"/>
      <c r="AD6888" s="498"/>
      <c r="AE6888" s="498"/>
      <c r="AF6888" s="498"/>
      <c r="AG6888" s="498"/>
      <c r="AH6888" s="498"/>
      <c r="AI6888" s="498"/>
      <c r="AK6888" s="498"/>
      <c r="AL6888" s="498"/>
      <c r="AM6888" s="498"/>
      <c r="AN6888" s="498"/>
      <c r="AO6888" s="498"/>
      <c r="AP6888" s="498"/>
      <c r="AQ6888" s="498"/>
      <c r="AR6888" s="498"/>
      <c r="AS6888" s="498"/>
      <c r="AT6888" s="498"/>
      <c r="AU6888" s="498"/>
      <c r="AV6888" s="498"/>
      <c r="AW6888" s="498"/>
      <c r="AX6888" s="498"/>
      <c r="AY6888" s="498"/>
      <c r="AZ6888" s="498"/>
      <c r="BA6888" s="498"/>
    </row>
    <row r="6889" spans="1:53" s="499" customFormat="1" x14ac:dyDescent="0.25">
      <c r="A6889" s="500"/>
      <c r="B6889" s="501"/>
      <c r="C6889" s="502"/>
      <c r="D6889" s="497"/>
      <c r="E6889" s="497"/>
      <c r="F6889" s="502"/>
      <c r="G6889" s="497"/>
      <c r="H6889" s="497"/>
      <c r="I6889" s="497"/>
      <c r="J6889" s="497"/>
      <c r="K6889" s="500"/>
      <c r="L6889" s="497"/>
      <c r="M6889"/>
      <c r="N6889" s="498"/>
      <c r="O6889" s="498"/>
      <c r="P6889" s="498"/>
      <c r="Q6889" s="498"/>
      <c r="R6889" s="498"/>
      <c r="T6889" s="498"/>
      <c r="U6889" s="498"/>
      <c r="V6889" s="498"/>
      <c r="W6889" s="498"/>
      <c r="X6889" s="498"/>
      <c r="Y6889" s="498"/>
      <c r="Z6889" s="498"/>
      <c r="AA6889" s="498"/>
      <c r="AB6889" s="498"/>
      <c r="AC6889" s="498"/>
      <c r="AD6889" s="498"/>
      <c r="AE6889" s="498"/>
      <c r="AF6889" s="498"/>
      <c r="AG6889" s="498"/>
      <c r="AH6889" s="498"/>
      <c r="AI6889" s="498"/>
      <c r="AK6889" s="498"/>
      <c r="AL6889" s="498"/>
      <c r="AM6889" s="498"/>
      <c r="AN6889" s="498"/>
      <c r="AO6889" s="498"/>
      <c r="AP6889" s="498"/>
      <c r="AQ6889" s="498"/>
      <c r="AR6889" s="498"/>
      <c r="AS6889" s="498"/>
      <c r="AT6889" s="498"/>
      <c r="AU6889" s="498"/>
      <c r="AV6889" s="498"/>
      <c r="AW6889" s="498"/>
      <c r="AX6889" s="498"/>
      <c r="AY6889" s="498"/>
      <c r="AZ6889" s="498"/>
      <c r="BA6889" s="498"/>
    </row>
    <row r="6890" spans="1:53" s="499" customFormat="1" x14ac:dyDescent="0.25">
      <c r="A6890" s="500"/>
      <c r="B6890" s="501"/>
      <c r="C6890" s="502"/>
      <c r="D6890" s="497"/>
      <c r="E6890" s="497"/>
      <c r="F6890" s="502"/>
      <c r="G6890" s="497"/>
      <c r="H6890" s="497"/>
      <c r="I6890" s="497"/>
      <c r="J6890" s="497"/>
      <c r="K6890" s="500"/>
      <c r="L6890" s="497"/>
      <c r="M6890"/>
      <c r="N6890" s="498"/>
      <c r="O6890" s="498"/>
      <c r="P6890" s="498"/>
      <c r="Q6890" s="498"/>
      <c r="R6890" s="498"/>
      <c r="T6890" s="498"/>
      <c r="U6890" s="498"/>
      <c r="V6890" s="498"/>
      <c r="W6890" s="498"/>
      <c r="X6890" s="498"/>
      <c r="Y6890" s="498"/>
      <c r="Z6890" s="498"/>
      <c r="AA6890" s="498"/>
      <c r="AB6890" s="498"/>
      <c r="AC6890" s="498"/>
      <c r="AD6890" s="498"/>
      <c r="AE6890" s="498"/>
      <c r="AF6890" s="498"/>
      <c r="AG6890" s="498"/>
      <c r="AH6890" s="498"/>
      <c r="AI6890" s="498"/>
      <c r="AK6890" s="498"/>
      <c r="AL6890" s="498"/>
      <c r="AM6890" s="498"/>
      <c r="AN6890" s="498"/>
      <c r="AO6890" s="498"/>
      <c r="AP6890" s="498"/>
      <c r="AQ6890" s="498"/>
      <c r="AR6890" s="498"/>
      <c r="AS6890" s="498"/>
      <c r="AT6890" s="498"/>
      <c r="AU6890" s="498"/>
      <c r="AV6890" s="498"/>
      <c r="AW6890" s="498"/>
      <c r="AX6890" s="498"/>
      <c r="AY6890" s="498"/>
      <c r="AZ6890" s="498"/>
      <c r="BA6890" s="498"/>
    </row>
    <row r="6891" spans="1:53" s="499" customFormat="1" x14ac:dyDescent="0.25">
      <c r="A6891" s="500"/>
      <c r="B6891" s="501"/>
      <c r="C6891" s="502"/>
      <c r="D6891" s="497"/>
      <c r="E6891" s="497"/>
      <c r="F6891" s="502"/>
      <c r="G6891" s="497"/>
      <c r="H6891" s="497"/>
      <c r="I6891" s="497"/>
      <c r="J6891" s="497"/>
      <c r="K6891" s="500"/>
      <c r="L6891" s="497"/>
      <c r="M6891"/>
      <c r="N6891" s="498"/>
      <c r="O6891" s="498"/>
      <c r="P6891" s="498"/>
      <c r="Q6891" s="498"/>
      <c r="R6891" s="498"/>
      <c r="T6891" s="498"/>
      <c r="U6891" s="498"/>
      <c r="V6891" s="498"/>
      <c r="W6891" s="498"/>
      <c r="X6891" s="498"/>
      <c r="Y6891" s="498"/>
      <c r="Z6891" s="498"/>
      <c r="AA6891" s="498"/>
      <c r="AB6891" s="498"/>
      <c r="AC6891" s="498"/>
      <c r="AD6891" s="498"/>
      <c r="AE6891" s="498"/>
      <c r="AF6891" s="498"/>
      <c r="AG6891" s="498"/>
      <c r="AH6891" s="498"/>
      <c r="AI6891" s="498"/>
      <c r="AK6891" s="498"/>
      <c r="AL6891" s="498"/>
      <c r="AM6891" s="498"/>
      <c r="AN6891" s="498"/>
      <c r="AO6891" s="498"/>
      <c r="AP6891" s="498"/>
      <c r="AQ6891" s="498"/>
      <c r="AR6891" s="498"/>
      <c r="AS6891" s="498"/>
      <c r="AT6891" s="498"/>
      <c r="AU6891" s="498"/>
      <c r="AV6891" s="498"/>
      <c r="AW6891" s="498"/>
      <c r="AX6891" s="498"/>
      <c r="AY6891" s="498"/>
      <c r="AZ6891" s="498"/>
      <c r="BA6891" s="498"/>
    </row>
    <row r="6892" spans="1:53" s="499" customFormat="1" x14ac:dyDescent="0.25">
      <c r="A6892" s="500"/>
      <c r="B6892" s="501"/>
      <c r="C6892" s="502"/>
      <c r="D6892" s="497"/>
      <c r="E6892" s="497"/>
      <c r="F6892" s="502"/>
      <c r="G6892" s="497"/>
      <c r="H6892" s="497"/>
      <c r="I6892" s="497"/>
      <c r="J6892" s="497"/>
      <c r="K6892" s="500"/>
      <c r="L6892" s="497"/>
      <c r="M6892"/>
      <c r="N6892" s="498"/>
      <c r="O6892" s="498"/>
      <c r="P6892" s="498"/>
      <c r="Q6892" s="498"/>
      <c r="R6892" s="498"/>
      <c r="T6892" s="498"/>
      <c r="U6892" s="498"/>
      <c r="V6892" s="498"/>
      <c r="W6892" s="498"/>
      <c r="X6892" s="498"/>
      <c r="Y6892" s="498"/>
      <c r="Z6892" s="498"/>
      <c r="AA6892" s="498"/>
      <c r="AB6892" s="498"/>
      <c r="AC6892" s="498"/>
      <c r="AD6892" s="498"/>
      <c r="AE6892" s="498"/>
      <c r="AF6892" s="498"/>
      <c r="AG6892" s="498"/>
      <c r="AH6892" s="498"/>
      <c r="AI6892" s="498"/>
      <c r="AK6892" s="498"/>
      <c r="AL6892" s="498"/>
      <c r="AM6892" s="498"/>
      <c r="AN6892" s="498"/>
      <c r="AO6892" s="498"/>
      <c r="AP6892" s="498"/>
      <c r="AQ6892" s="498"/>
      <c r="AR6892" s="498"/>
      <c r="AS6892" s="498"/>
      <c r="AT6892" s="498"/>
      <c r="AU6892" s="498"/>
      <c r="AV6892" s="498"/>
      <c r="AW6892" s="498"/>
      <c r="AX6892" s="498"/>
      <c r="AY6892" s="498"/>
      <c r="AZ6892" s="498"/>
      <c r="BA6892" s="498"/>
    </row>
    <row r="6893" spans="1:53" s="499" customFormat="1" x14ac:dyDescent="0.25">
      <c r="A6893" s="500"/>
      <c r="B6893" s="501"/>
      <c r="C6893" s="502"/>
      <c r="D6893" s="497"/>
      <c r="E6893" s="497"/>
      <c r="F6893" s="502"/>
      <c r="G6893" s="497"/>
      <c r="H6893" s="497"/>
      <c r="I6893" s="497"/>
      <c r="J6893" s="497"/>
      <c r="K6893" s="500"/>
      <c r="L6893" s="497"/>
      <c r="M6893"/>
      <c r="N6893" s="498"/>
      <c r="O6893" s="498"/>
      <c r="P6893" s="498"/>
      <c r="Q6893" s="498"/>
      <c r="R6893" s="498"/>
      <c r="T6893" s="498"/>
      <c r="U6893" s="498"/>
      <c r="V6893" s="498"/>
      <c r="W6893" s="498"/>
      <c r="X6893" s="498"/>
      <c r="Y6893" s="498"/>
      <c r="Z6893" s="498"/>
      <c r="AA6893" s="498"/>
      <c r="AB6893" s="498"/>
      <c r="AC6893" s="498"/>
      <c r="AD6893" s="498"/>
      <c r="AE6893" s="498"/>
      <c r="AF6893" s="498"/>
      <c r="AG6893" s="498"/>
      <c r="AH6893" s="498"/>
      <c r="AI6893" s="498"/>
      <c r="AK6893" s="498"/>
      <c r="AL6893" s="498"/>
      <c r="AM6893" s="498"/>
      <c r="AN6893" s="498"/>
      <c r="AO6893" s="498"/>
      <c r="AP6893" s="498"/>
      <c r="AQ6893" s="498"/>
      <c r="AR6893" s="498"/>
      <c r="AS6893" s="498"/>
      <c r="AT6893" s="498"/>
      <c r="AU6893" s="498"/>
      <c r="AV6893" s="498"/>
      <c r="AW6893" s="498"/>
      <c r="AX6893" s="498"/>
      <c r="AY6893" s="498"/>
      <c r="AZ6893" s="498"/>
      <c r="BA6893" s="498"/>
    </row>
    <row r="6894" spans="1:53" s="499" customFormat="1" x14ac:dyDescent="0.25">
      <c r="A6894" s="500"/>
      <c r="B6894" s="501"/>
      <c r="C6894" s="502"/>
      <c r="D6894" s="497"/>
      <c r="E6894" s="497"/>
      <c r="F6894" s="502"/>
      <c r="G6894" s="497"/>
      <c r="H6894" s="497"/>
      <c r="I6894" s="497"/>
      <c r="J6894" s="497"/>
      <c r="K6894" s="500"/>
      <c r="L6894" s="497"/>
      <c r="M6894"/>
      <c r="N6894" s="498"/>
      <c r="O6894" s="498"/>
      <c r="P6894" s="498"/>
      <c r="Q6894" s="498"/>
      <c r="R6894" s="498"/>
      <c r="T6894" s="498"/>
      <c r="U6894" s="498"/>
      <c r="V6894" s="498"/>
      <c r="W6894" s="498"/>
      <c r="X6894" s="498"/>
      <c r="Y6894" s="498"/>
      <c r="Z6894" s="498"/>
      <c r="AA6894" s="498"/>
      <c r="AB6894" s="498"/>
      <c r="AC6894" s="498"/>
      <c r="AD6894" s="498"/>
      <c r="AE6894" s="498"/>
      <c r="AF6894" s="498"/>
      <c r="AG6894" s="498"/>
      <c r="AH6894" s="498"/>
      <c r="AI6894" s="498"/>
      <c r="AK6894" s="498"/>
      <c r="AL6894" s="498"/>
      <c r="AM6894" s="498"/>
      <c r="AN6894" s="498"/>
      <c r="AO6894" s="498"/>
      <c r="AP6894" s="498"/>
      <c r="AQ6894" s="498"/>
      <c r="AR6894" s="498"/>
      <c r="AS6894" s="498"/>
      <c r="AT6894" s="498"/>
      <c r="AU6894" s="498"/>
      <c r="AV6894" s="498"/>
      <c r="AW6894" s="498"/>
      <c r="AX6894" s="498"/>
      <c r="AY6894" s="498"/>
      <c r="AZ6894" s="498"/>
      <c r="BA6894" s="498"/>
    </row>
    <row r="6895" spans="1:53" s="499" customFormat="1" x14ac:dyDescent="0.25">
      <c r="A6895" s="500"/>
      <c r="B6895" s="501"/>
      <c r="C6895" s="502"/>
      <c r="D6895" s="497"/>
      <c r="E6895" s="497"/>
      <c r="F6895" s="502"/>
      <c r="G6895" s="497"/>
      <c r="H6895" s="497"/>
      <c r="I6895" s="497"/>
      <c r="J6895" s="497"/>
      <c r="K6895" s="500"/>
      <c r="L6895" s="497"/>
      <c r="M6895"/>
      <c r="N6895" s="498"/>
      <c r="O6895" s="498"/>
      <c r="P6895" s="498"/>
      <c r="Q6895" s="498"/>
      <c r="R6895" s="498"/>
      <c r="T6895" s="498"/>
      <c r="U6895" s="498"/>
      <c r="V6895" s="498"/>
      <c r="W6895" s="498"/>
      <c r="X6895" s="498"/>
      <c r="Y6895" s="498"/>
      <c r="Z6895" s="498"/>
      <c r="AA6895" s="498"/>
      <c r="AB6895" s="498"/>
      <c r="AC6895" s="498"/>
      <c r="AD6895" s="498"/>
      <c r="AE6895" s="498"/>
      <c r="AF6895" s="498"/>
      <c r="AG6895" s="498"/>
      <c r="AH6895" s="498"/>
      <c r="AI6895" s="498"/>
      <c r="AK6895" s="498"/>
      <c r="AL6895" s="498"/>
      <c r="AM6895" s="498"/>
      <c r="AN6895" s="498"/>
      <c r="AO6895" s="498"/>
      <c r="AP6895" s="498"/>
      <c r="AQ6895" s="498"/>
      <c r="AR6895" s="498"/>
      <c r="AS6895" s="498"/>
      <c r="AT6895" s="498"/>
      <c r="AU6895" s="498"/>
      <c r="AV6895" s="498"/>
      <c r="AW6895" s="498"/>
      <c r="AX6895" s="498"/>
      <c r="AY6895" s="498"/>
      <c r="AZ6895" s="498"/>
      <c r="BA6895" s="498"/>
    </row>
    <row r="6896" spans="1:53" s="499" customFormat="1" x14ac:dyDescent="0.25">
      <c r="A6896" s="500"/>
      <c r="B6896" s="501"/>
      <c r="C6896" s="502"/>
      <c r="D6896" s="497"/>
      <c r="E6896" s="497"/>
      <c r="F6896" s="502"/>
      <c r="G6896" s="497"/>
      <c r="H6896" s="497"/>
      <c r="I6896" s="497"/>
      <c r="J6896" s="497"/>
      <c r="K6896" s="500"/>
      <c r="L6896" s="497"/>
      <c r="M6896"/>
      <c r="N6896" s="498"/>
      <c r="O6896" s="498"/>
      <c r="P6896" s="498"/>
      <c r="Q6896" s="498"/>
      <c r="R6896" s="498"/>
      <c r="T6896" s="498"/>
      <c r="U6896" s="498"/>
      <c r="V6896" s="498"/>
      <c r="W6896" s="498"/>
      <c r="X6896" s="498"/>
      <c r="Y6896" s="498"/>
      <c r="Z6896" s="498"/>
      <c r="AA6896" s="498"/>
      <c r="AB6896" s="498"/>
      <c r="AC6896" s="498"/>
      <c r="AD6896" s="498"/>
      <c r="AE6896" s="498"/>
      <c r="AF6896" s="498"/>
      <c r="AG6896" s="498"/>
      <c r="AH6896" s="498"/>
      <c r="AI6896" s="498"/>
      <c r="AK6896" s="498"/>
      <c r="AL6896" s="498"/>
      <c r="AM6896" s="498"/>
      <c r="AN6896" s="498"/>
      <c r="AO6896" s="498"/>
      <c r="AP6896" s="498"/>
      <c r="AQ6896" s="498"/>
      <c r="AR6896" s="498"/>
      <c r="AS6896" s="498"/>
      <c r="AT6896" s="498"/>
      <c r="AU6896" s="498"/>
      <c r="AV6896" s="498"/>
      <c r="AW6896" s="498"/>
      <c r="AX6896" s="498"/>
      <c r="AY6896" s="498"/>
      <c r="AZ6896" s="498"/>
      <c r="BA6896" s="498"/>
    </row>
    <row r="6897" spans="1:53" s="499" customFormat="1" x14ac:dyDescent="0.25">
      <c r="A6897" s="500"/>
      <c r="B6897" s="501"/>
      <c r="C6897" s="502"/>
      <c r="D6897" s="497"/>
      <c r="E6897" s="497"/>
      <c r="F6897" s="502"/>
      <c r="G6897" s="497"/>
      <c r="H6897" s="497"/>
      <c r="I6897" s="497"/>
      <c r="J6897" s="497"/>
      <c r="K6897" s="500"/>
      <c r="L6897" s="497"/>
      <c r="M6897"/>
      <c r="N6897" s="498"/>
      <c r="O6897" s="498"/>
      <c r="P6897" s="498"/>
      <c r="Q6897" s="498"/>
      <c r="R6897" s="498"/>
      <c r="T6897" s="498"/>
      <c r="U6897" s="498"/>
      <c r="V6897" s="498"/>
      <c r="W6897" s="498"/>
      <c r="X6897" s="498"/>
      <c r="Y6897" s="498"/>
      <c r="Z6897" s="498"/>
      <c r="AA6897" s="498"/>
      <c r="AB6897" s="498"/>
      <c r="AC6897" s="498"/>
      <c r="AD6897" s="498"/>
      <c r="AE6897" s="498"/>
      <c r="AF6897" s="498"/>
      <c r="AG6897" s="498"/>
      <c r="AH6897" s="498"/>
      <c r="AI6897" s="498"/>
      <c r="AK6897" s="498"/>
      <c r="AL6897" s="498"/>
      <c r="AM6897" s="498"/>
      <c r="AN6897" s="498"/>
      <c r="AO6897" s="498"/>
      <c r="AP6897" s="498"/>
      <c r="AQ6897" s="498"/>
      <c r="AR6897" s="498"/>
      <c r="AS6897" s="498"/>
      <c r="AT6897" s="498"/>
      <c r="AU6897" s="498"/>
      <c r="AV6897" s="498"/>
      <c r="AW6897" s="498"/>
      <c r="AX6897" s="498"/>
      <c r="AY6897" s="498"/>
      <c r="AZ6897" s="498"/>
      <c r="BA6897" s="498"/>
    </row>
    <row r="6898" spans="1:53" s="499" customFormat="1" x14ac:dyDescent="0.25">
      <c r="A6898" s="500"/>
      <c r="B6898" s="501"/>
      <c r="C6898" s="502"/>
      <c r="D6898" s="497"/>
      <c r="E6898" s="497"/>
      <c r="F6898" s="502"/>
      <c r="G6898" s="497"/>
      <c r="H6898" s="497"/>
      <c r="I6898" s="497"/>
      <c r="J6898" s="497"/>
      <c r="K6898" s="500"/>
      <c r="L6898" s="497"/>
      <c r="M6898"/>
      <c r="N6898" s="498"/>
      <c r="O6898" s="498"/>
      <c r="P6898" s="498"/>
      <c r="Q6898" s="498"/>
      <c r="R6898" s="498"/>
      <c r="T6898" s="498"/>
      <c r="U6898" s="498"/>
      <c r="V6898" s="498"/>
      <c r="W6898" s="498"/>
      <c r="X6898" s="498"/>
      <c r="Y6898" s="498"/>
      <c r="Z6898" s="498"/>
      <c r="AA6898" s="498"/>
      <c r="AB6898" s="498"/>
      <c r="AC6898" s="498"/>
      <c r="AD6898" s="498"/>
      <c r="AE6898" s="498"/>
      <c r="AF6898" s="498"/>
      <c r="AG6898" s="498"/>
      <c r="AH6898" s="498"/>
      <c r="AI6898" s="498"/>
      <c r="AK6898" s="498"/>
      <c r="AL6898" s="498"/>
      <c r="AM6898" s="498"/>
      <c r="AN6898" s="498"/>
      <c r="AO6898" s="498"/>
      <c r="AP6898" s="498"/>
      <c r="AQ6898" s="498"/>
      <c r="AR6898" s="498"/>
      <c r="AS6898" s="498"/>
      <c r="AT6898" s="498"/>
      <c r="AU6898" s="498"/>
      <c r="AV6898" s="498"/>
      <c r="AW6898" s="498"/>
      <c r="AX6898" s="498"/>
      <c r="AY6898" s="498"/>
      <c r="AZ6898" s="498"/>
      <c r="BA6898" s="498"/>
    </row>
    <row r="6899" spans="1:53" s="499" customFormat="1" x14ac:dyDescent="0.25">
      <c r="A6899" s="500"/>
      <c r="B6899" s="501"/>
      <c r="C6899" s="502"/>
      <c r="D6899" s="497"/>
      <c r="E6899" s="497"/>
      <c r="F6899" s="502"/>
      <c r="G6899" s="497"/>
      <c r="H6899" s="497"/>
      <c r="I6899" s="497"/>
      <c r="J6899" s="497"/>
      <c r="K6899" s="500"/>
      <c r="L6899" s="497"/>
      <c r="M6899"/>
      <c r="N6899" s="498"/>
      <c r="O6899" s="498"/>
      <c r="P6899" s="498"/>
      <c r="Q6899" s="498"/>
      <c r="R6899" s="498"/>
      <c r="T6899" s="498"/>
      <c r="U6899" s="498"/>
      <c r="V6899" s="498"/>
      <c r="W6899" s="498"/>
      <c r="X6899" s="498"/>
      <c r="Y6899" s="498"/>
      <c r="Z6899" s="498"/>
      <c r="AA6899" s="498"/>
      <c r="AB6899" s="498"/>
      <c r="AC6899" s="498"/>
      <c r="AD6899" s="498"/>
      <c r="AE6899" s="498"/>
      <c r="AF6899" s="498"/>
      <c r="AG6899" s="498"/>
      <c r="AH6899" s="498"/>
      <c r="AI6899" s="498"/>
      <c r="AK6899" s="498"/>
      <c r="AL6899" s="498"/>
      <c r="AM6899" s="498"/>
      <c r="AN6899" s="498"/>
      <c r="AO6899" s="498"/>
      <c r="AP6899" s="498"/>
      <c r="AQ6899" s="498"/>
      <c r="AR6899" s="498"/>
      <c r="AS6899" s="498"/>
      <c r="AT6899" s="498"/>
      <c r="AU6899" s="498"/>
      <c r="AV6899" s="498"/>
      <c r="AW6899" s="498"/>
      <c r="AX6899" s="498"/>
      <c r="AY6899" s="498"/>
      <c r="AZ6899" s="498"/>
      <c r="BA6899" s="498"/>
    </row>
    <row r="6900" spans="1:53" s="499" customFormat="1" x14ac:dyDescent="0.25">
      <c r="A6900" s="500"/>
      <c r="B6900" s="501"/>
      <c r="C6900" s="502"/>
      <c r="D6900" s="497"/>
      <c r="E6900" s="497"/>
      <c r="F6900" s="502"/>
      <c r="G6900" s="497"/>
      <c r="H6900" s="497"/>
      <c r="I6900" s="497"/>
      <c r="J6900" s="497"/>
      <c r="K6900" s="500"/>
      <c r="L6900" s="497"/>
      <c r="M6900"/>
      <c r="N6900" s="498"/>
      <c r="O6900" s="498"/>
      <c r="P6900" s="498"/>
      <c r="Q6900" s="498"/>
      <c r="R6900" s="498"/>
      <c r="T6900" s="498"/>
      <c r="U6900" s="498"/>
      <c r="V6900" s="498"/>
      <c r="W6900" s="498"/>
      <c r="X6900" s="498"/>
      <c r="Y6900" s="498"/>
      <c r="Z6900" s="498"/>
      <c r="AA6900" s="498"/>
      <c r="AB6900" s="498"/>
      <c r="AC6900" s="498"/>
      <c r="AD6900" s="498"/>
      <c r="AE6900" s="498"/>
      <c r="AF6900" s="498"/>
      <c r="AG6900" s="498"/>
      <c r="AH6900" s="498"/>
      <c r="AI6900" s="498"/>
      <c r="AK6900" s="498"/>
      <c r="AL6900" s="498"/>
      <c r="AM6900" s="498"/>
      <c r="AN6900" s="498"/>
      <c r="AO6900" s="498"/>
      <c r="AP6900" s="498"/>
      <c r="AQ6900" s="498"/>
      <c r="AR6900" s="498"/>
      <c r="AS6900" s="498"/>
      <c r="AT6900" s="498"/>
      <c r="AU6900" s="498"/>
      <c r="AV6900" s="498"/>
      <c r="AW6900" s="498"/>
      <c r="AX6900" s="498"/>
      <c r="AY6900" s="498"/>
      <c r="AZ6900" s="498"/>
      <c r="BA6900" s="498"/>
    </row>
    <row r="6901" spans="1:53" s="499" customFormat="1" x14ac:dyDescent="0.25">
      <c r="A6901" s="500"/>
      <c r="B6901" s="501"/>
      <c r="C6901" s="502"/>
      <c r="D6901" s="497"/>
      <c r="E6901" s="497"/>
      <c r="F6901" s="502"/>
      <c r="G6901" s="497"/>
      <c r="H6901" s="497"/>
      <c r="I6901" s="497"/>
      <c r="J6901" s="497"/>
      <c r="K6901" s="500"/>
      <c r="L6901" s="497"/>
      <c r="M6901"/>
      <c r="N6901" s="498"/>
      <c r="O6901" s="498"/>
      <c r="P6901" s="498"/>
      <c r="Q6901" s="498"/>
      <c r="R6901" s="498"/>
      <c r="T6901" s="498"/>
      <c r="U6901" s="498"/>
      <c r="V6901" s="498"/>
      <c r="W6901" s="498"/>
      <c r="X6901" s="498"/>
      <c r="Y6901" s="498"/>
      <c r="Z6901" s="498"/>
      <c r="AA6901" s="498"/>
      <c r="AB6901" s="498"/>
      <c r="AC6901" s="498"/>
      <c r="AD6901" s="498"/>
      <c r="AE6901" s="498"/>
      <c r="AF6901" s="498"/>
      <c r="AG6901" s="498"/>
      <c r="AH6901" s="498"/>
      <c r="AI6901" s="498"/>
      <c r="AK6901" s="498"/>
      <c r="AL6901" s="498"/>
      <c r="AM6901" s="498"/>
      <c r="AN6901" s="498"/>
      <c r="AO6901" s="498"/>
      <c r="AP6901" s="498"/>
      <c r="AQ6901" s="498"/>
      <c r="AR6901" s="498"/>
      <c r="AS6901" s="498"/>
      <c r="AT6901" s="498"/>
      <c r="AU6901" s="498"/>
      <c r="AV6901" s="498"/>
      <c r="AW6901" s="498"/>
      <c r="AX6901" s="498"/>
      <c r="AY6901" s="498"/>
      <c r="AZ6901" s="498"/>
      <c r="BA6901" s="498"/>
    </row>
    <row r="6902" spans="1:53" s="499" customFormat="1" x14ac:dyDescent="0.25">
      <c r="A6902" s="500"/>
      <c r="B6902" s="501"/>
      <c r="C6902" s="502"/>
      <c r="D6902" s="497"/>
      <c r="E6902" s="497"/>
      <c r="F6902" s="502"/>
      <c r="G6902" s="497"/>
      <c r="H6902" s="497"/>
      <c r="I6902" s="497"/>
      <c r="J6902" s="497"/>
      <c r="K6902" s="500"/>
      <c r="L6902" s="497"/>
      <c r="M6902"/>
      <c r="N6902" s="498"/>
      <c r="O6902" s="498"/>
      <c r="P6902" s="498"/>
      <c r="Q6902" s="498"/>
      <c r="R6902" s="498"/>
      <c r="T6902" s="498"/>
      <c r="U6902" s="498"/>
      <c r="V6902" s="498"/>
      <c r="W6902" s="498"/>
      <c r="X6902" s="498"/>
      <c r="Y6902" s="498"/>
      <c r="Z6902" s="498"/>
      <c r="AA6902" s="498"/>
      <c r="AB6902" s="498"/>
      <c r="AC6902" s="498"/>
      <c r="AD6902" s="498"/>
      <c r="AE6902" s="498"/>
      <c r="AF6902" s="498"/>
      <c r="AG6902" s="498"/>
      <c r="AH6902" s="498"/>
      <c r="AI6902" s="498"/>
      <c r="AK6902" s="498"/>
      <c r="AL6902" s="498"/>
      <c r="AM6902" s="498"/>
      <c r="AN6902" s="498"/>
      <c r="AO6902" s="498"/>
      <c r="AP6902" s="498"/>
      <c r="AQ6902" s="498"/>
      <c r="AR6902" s="498"/>
      <c r="AS6902" s="498"/>
      <c r="AT6902" s="498"/>
      <c r="AU6902" s="498"/>
      <c r="AV6902" s="498"/>
      <c r="AW6902" s="498"/>
      <c r="AX6902" s="498"/>
      <c r="AY6902" s="498"/>
      <c r="AZ6902" s="498"/>
      <c r="BA6902" s="498"/>
    </row>
    <row r="6903" spans="1:53" s="499" customFormat="1" x14ac:dyDescent="0.25">
      <c r="A6903" s="500"/>
      <c r="B6903" s="501"/>
      <c r="C6903" s="502"/>
      <c r="D6903" s="497"/>
      <c r="E6903" s="497"/>
      <c r="F6903" s="502"/>
      <c r="G6903" s="497"/>
      <c r="H6903" s="497"/>
      <c r="I6903" s="497"/>
      <c r="J6903" s="497"/>
      <c r="K6903" s="500"/>
      <c r="L6903" s="497"/>
      <c r="M6903"/>
      <c r="N6903" s="498"/>
      <c r="O6903" s="498"/>
      <c r="P6903" s="498"/>
      <c r="Q6903" s="498"/>
      <c r="R6903" s="498"/>
      <c r="T6903" s="498"/>
      <c r="U6903" s="498"/>
      <c r="V6903" s="498"/>
      <c r="W6903" s="498"/>
      <c r="X6903" s="498"/>
      <c r="Y6903" s="498"/>
      <c r="Z6903" s="498"/>
      <c r="AA6903" s="498"/>
      <c r="AB6903" s="498"/>
      <c r="AC6903" s="498"/>
      <c r="AD6903" s="498"/>
      <c r="AE6903" s="498"/>
      <c r="AF6903" s="498"/>
      <c r="AG6903" s="498"/>
      <c r="AH6903" s="498"/>
      <c r="AI6903" s="498"/>
      <c r="AK6903" s="498"/>
      <c r="AL6903" s="498"/>
      <c r="AM6903" s="498"/>
      <c r="AN6903" s="498"/>
      <c r="AO6903" s="498"/>
      <c r="AP6903" s="498"/>
      <c r="AQ6903" s="498"/>
      <c r="AR6903" s="498"/>
      <c r="AS6903" s="498"/>
      <c r="AT6903" s="498"/>
      <c r="AU6903" s="498"/>
      <c r="AV6903" s="498"/>
      <c r="AW6903" s="498"/>
      <c r="AX6903" s="498"/>
      <c r="AY6903" s="498"/>
      <c r="AZ6903" s="498"/>
      <c r="BA6903" s="498"/>
    </row>
    <row r="6904" spans="1:53" s="499" customFormat="1" x14ac:dyDescent="0.25">
      <c r="A6904" s="500"/>
      <c r="B6904" s="501"/>
      <c r="C6904" s="502"/>
      <c r="D6904" s="497"/>
      <c r="E6904" s="497"/>
      <c r="F6904" s="502"/>
      <c r="G6904" s="497"/>
      <c r="H6904" s="497"/>
      <c r="I6904" s="497"/>
      <c r="J6904" s="497"/>
      <c r="K6904" s="500"/>
      <c r="L6904" s="497"/>
      <c r="M6904"/>
      <c r="N6904" s="498"/>
      <c r="O6904" s="498"/>
      <c r="P6904" s="498"/>
      <c r="Q6904" s="498"/>
      <c r="R6904" s="498"/>
      <c r="T6904" s="498"/>
      <c r="U6904" s="498"/>
      <c r="V6904" s="498"/>
      <c r="W6904" s="498"/>
      <c r="X6904" s="498"/>
      <c r="Y6904" s="498"/>
      <c r="Z6904" s="498"/>
      <c r="AA6904" s="498"/>
      <c r="AB6904" s="498"/>
      <c r="AC6904" s="498"/>
      <c r="AD6904" s="498"/>
      <c r="AE6904" s="498"/>
      <c r="AF6904" s="498"/>
      <c r="AG6904" s="498"/>
      <c r="AH6904" s="498"/>
      <c r="AI6904" s="498"/>
      <c r="AK6904" s="498"/>
      <c r="AL6904" s="498"/>
      <c r="AM6904" s="498"/>
      <c r="AN6904" s="498"/>
      <c r="AO6904" s="498"/>
      <c r="AP6904" s="498"/>
      <c r="AQ6904" s="498"/>
      <c r="AR6904" s="498"/>
      <c r="AS6904" s="498"/>
      <c r="AT6904" s="498"/>
      <c r="AU6904" s="498"/>
      <c r="AV6904" s="498"/>
      <c r="AW6904" s="498"/>
      <c r="AX6904" s="498"/>
      <c r="AY6904" s="498"/>
      <c r="AZ6904" s="498"/>
      <c r="BA6904" s="498"/>
    </row>
    <row r="6905" spans="1:53" s="499" customFormat="1" x14ac:dyDescent="0.25">
      <c r="A6905" s="500"/>
      <c r="B6905" s="501"/>
      <c r="C6905" s="502"/>
      <c r="D6905" s="497"/>
      <c r="E6905" s="497"/>
      <c r="F6905" s="502"/>
      <c r="G6905" s="497"/>
      <c r="H6905" s="497"/>
      <c r="I6905" s="497"/>
      <c r="J6905" s="497"/>
      <c r="K6905" s="500"/>
      <c r="L6905" s="497"/>
      <c r="M6905"/>
      <c r="N6905" s="498"/>
      <c r="O6905" s="498"/>
      <c r="P6905" s="498"/>
      <c r="Q6905" s="498"/>
      <c r="R6905" s="498"/>
      <c r="T6905" s="498"/>
      <c r="U6905" s="498"/>
      <c r="V6905" s="498"/>
      <c r="W6905" s="498"/>
      <c r="X6905" s="498"/>
      <c r="Y6905" s="498"/>
      <c r="Z6905" s="498"/>
      <c r="AA6905" s="498"/>
      <c r="AB6905" s="498"/>
      <c r="AC6905" s="498"/>
      <c r="AD6905" s="498"/>
      <c r="AE6905" s="498"/>
      <c r="AF6905" s="498"/>
      <c r="AG6905" s="498"/>
      <c r="AH6905" s="498"/>
      <c r="AI6905" s="498"/>
      <c r="AK6905" s="498"/>
      <c r="AL6905" s="498"/>
      <c r="AM6905" s="498"/>
      <c r="AN6905" s="498"/>
      <c r="AO6905" s="498"/>
      <c r="AP6905" s="498"/>
      <c r="AQ6905" s="498"/>
      <c r="AR6905" s="498"/>
      <c r="AS6905" s="498"/>
      <c r="AT6905" s="498"/>
      <c r="AU6905" s="498"/>
      <c r="AV6905" s="498"/>
      <c r="AW6905" s="498"/>
      <c r="AX6905" s="498"/>
      <c r="AY6905" s="498"/>
      <c r="AZ6905" s="498"/>
      <c r="BA6905" s="498"/>
    </row>
    <row r="6906" spans="1:53" s="499" customFormat="1" x14ac:dyDescent="0.25">
      <c r="A6906" s="500"/>
      <c r="B6906" s="501"/>
      <c r="C6906" s="502"/>
      <c r="D6906" s="497"/>
      <c r="E6906" s="497"/>
      <c r="F6906" s="502"/>
      <c r="G6906" s="497"/>
      <c r="H6906" s="497"/>
      <c r="I6906" s="497"/>
      <c r="J6906" s="497"/>
      <c r="K6906" s="500"/>
      <c r="L6906" s="497"/>
      <c r="M6906"/>
      <c r="N6906" s="498"/>
      <c r="O6906" s="498"/>
      <c r="P6906" s="498"/>
      <c r="Q6906" s="498"/>
      <c r="R6906" s="498"/>
      <c r="T6906" s="498"/>
      <c r="U6906" s="498"/>
      <c r="V6906" s="498"/>
      <c r="W6906" s="498"/>
      <c r="X6906" s="498"/>
      <c r="Y6906" s="498"/>
      <c r="Z6906" s="498"/>
      <c r="AA6906" s="498"/>
      <c r="AB6906" s="498"/>
      <c r="AC6906" s="498"/>
      <c r="AD6906" s="498"/>
      <c r="AE6906" s="498"/>
      <c r="AF6906" s="498"/>
      <c r="AG6906" s="498"/>
      <c r="AH6906" s="498"/>
      <c r="AI6906" s="498"/>
      <c r="AK6906" s="498"/>
      <c r="AL6906" s="498"/>
      <c r="AM6906" s="498"/>
      <c r="AN6906" s="498"/>
      <c r="AO6906" s="498"/>
      <c r="AP6906" s="498"/>
      <c r="AQ6906" s="498"/>
      <c r="AR6906" s="498"/>
      <c r="AS6906" s="498"/>
      <c r="AT6906" s="498"/>
      <c r="AU6906" s="498"/>
      <c r="AV6906" s="498"/>
      <c r="AW6906" s="498"/>
      <c r="AX6906" s="498"/>
      <c r="AY6906" s="498"/>
      <c r="AZ6906" s="498"/>
      <c r="BA6906" s="498"/>
    </row>
    <row r="6907" spans="1:53" s="499" customFormat="1" x14ac:dyDescent="0.25">
      <c r="A6907" s="500"/>
      <c r="B6907" s="501"/>
      <c r="C6907" s="502"/>
      <c r="D6907" s="497"/>
      <c r="E6907" s="497"/>
      <c r="F6907" s="502"/>
      <c r="G6907" s="497"/>
      <c r="H6907" s="497"/>
      <c r="I6907" s="497"/>
      <c r="J6907" s="497"/>
      <c r="K6907" s="500"/>
      <c r="L6907" s="497"/>
      <c r="M6907"/>
      <c r="N6907" s="498"/>
      <c r="O6907" s="498"/>
      <c r="P6907" s="498"/>
      <c r="Q6907" s="498"/>
      <c r="R6907" s="498"/>
      <c r="T6907" s="498"/>
      <c r="U6907" s="498"/>
      <c r="V6907" s="498"/>
      <c r="W6907" s="498"/>
      <c r="X6907" s="498"/>
      <c r="Y6907" s="498"/>
      <c r="Z6907" s="498"/>
      <c r="AA6907" s="498"/>
      <c r="AB6907" s="498"/>
      <c r="AC6907" s="498"/>
      <c r="AD6907" s="498"/>
      <c r="AE6907" s="498"/>
      <c r="AF6907" s="498"/>
      <c r="AG6907" s="498"/>
      <c r="AH6907" s="498"/>
      <c r="AI6907" s="498"/>
      <c r="AK6907" s="498"/>
      <c r="AL6907" s="498"/>
      <c r="AM6907" s="498"/>
      <c r="AN6907" s="498"/>
      <c r="AO6907" s="498"/>
      <c r="AP6907" s="498"/>
      <c r="AQ6907" s="498"/>
      <c r="AR6907" s="498"/>
      <c r="AS6907" s="498"/>
      <c r="AT6907" s="498"/>
      <c r="AU6907" s="498"/>
      <c r="AV6907" s="498"/>
      <c r="AW6907" s="498"/>
      <c r="AX6907" s="498"/>
      <c r="AY6907" s="498"/>
      <c r="AZ6907" s="498"/>
      <c r="BA6907" s="498"/>
    </row>
    <row r="6908" spans="1:53" s="499" customFormat="1" x14ac:dyDescent="0.25">
      <c r="A6908" s="500"/>
      <c r="B6908" s="501"/>
      <c r="C6908" s="502"/>
      <c r="D6908" s="497"/>
      <c r="E6908" s="497"/>
      <c r="F6908" s="502"/>
      <c r="G6908" s="497"/>
      <c r="H6908" s="497"/>
      <c r="I6908" s="497"/>
      <c r="J6908" s="497"/>
      <c r="K6908" s="500"/>
      <c r="L6908" s="497"/>
      <c r="M6908"/>
      <c r="N6908" s="498"/>
      <c r="O6908" s="498"/>
      <c r="P6908" s="498"/>
      <c r="Q6908" s="498"/>
      <c r="R6908" s="498"/>
      <c r="T6908" s="498"/>
      <c r="U6908" s="498"/>
      <c r="V6908" s="498"/>
      <c r="W6908" s="498"/>
      <c r="X6908" s="498"/>
      <c r="Y6908" s="498"/>
      <c r="Z6908" s="498"/>
      <c r="AA6908" s="498"/>
      <c r="AB6908" s="498"/>
      <c r="AC6908" s="498"/>
      <c r="AD6908" s="498"/>
      <c r="AE6908" s="498"/>
      <c r="AF6908" s="498"/>
      <c r="AG6908" s="498"/>
      <c r="AH6908" s="498"/>
      <c r="AI6908" s="498"/>
      <c r="AK6908" s="498"/>
      <c r="AL6908" s="498"/>
      <c r="AM6908" s="498"/>
      <c r="AN6908" s="498"/>
      <c r="AO6908" s="498"/>
      <c r="AP6908" s="498"/>
      <c r="AQ6908" s="498"/>
      <c r="AR6908" s="498"/>
      <c r="AS6908" s="498"/>
      <c r="AT6908" s="498"/>
      <c r="AU6908" s="498"/>
      <c r="AV6908" s="498"/>
      <c r="AW6908" s="498"/>
      <c r="AX6908" s="498"/>
      <c r="AY6908" s="498"/>
      <c r="AZ6908" s="498"/>
      <c r="BA6908" s="498"/>
    </row>
    <row r="6909" spans="1:53" s="499" customFormat="1" x14ac:dyDescent="0.25">
      <c r="A6909" s="500"/>
      <c r="B6909" s="501"/>
      <c r="C6909" s="502"/>
      <c r="D6909" s="497"/>
      <c r="E6909" s="497"/>
      <c r="F6909" s="502"/>
      <c r="G6909" s="497"/>
      <c r="H6909" s="497"/>
      <c r="I6909" s="497"/>
      <c r="J6909" s="497"/>
      <c r="K6909" s="500"/>
      <c r="L6909" s="497"/>
      <c r="M6909"/>
      <c r="N6909" s="498"/>
      <c r="O6909" s="498"/>
      <c r="P6909" s="498"/>
      <c r="Q6909" s="498"/>
      <c r="R6909" s="498"/>
      <c r="T6909" s="498"/>
      <c r="U6909" s="498"/>
      <c r="V6909" s="498"/>
      <c r="W6909" s="498"/>
      <c r="X6909" s="498"/>
      <c r="Y6909" s="498"/>
      <c r="Z6909" s="498"/>
      <c r="AA6909" s="498"/>
      <c r="AB6909" s="498"/>
      <c r="AC6909" s="498"/>
      <c r="AD6909" s="498"/>
      <c r="AE6909" s="498"/>
      <c r="AF6909" s="498"/>
      <c r="AG6909" s="498"/>
      <c r="AH6909" s="498"/>
      <c r="AI6909" s="498"/>
      <c r="AK6909" s="498"/>
      <c r="AL6909" s="498"/>
      <c r="AM6909" s="498"/>
      <c r="AN6909" s="498"/>
      <c r="AO6909" s="498"/>
      <c r="AP6909" s="498"/>
      <c r="AQ6909" s="498"/>
      <c r="AR6909" s="498"/>
      <c r="AS6909" s="498"/>
      <c r="AT6909" s="498"/>
      <c r="AU6909" s="498"/>
      <c r="AV6909" s="498"/>
      <c r="AW6909" s="498"/>
      <c r="AX6909" s="498"/>
      <c r="AY6909" s="498"/>
      <c r="AZ6909" s="498"/>
      <c r="BA6909" s="498"/>
    </row>
    <row r="6910" spans="1:53" s="499" customFormat="1" x14ac:dyDescent="0.25">
      <c r="A6910" s="500"/>
      <c r="B6910" s="501"/>
      <c r="C6910" s="502"/>
      <c r="D6910" s="497"/>
      <c r="E6910" s="497"/>
      <c r="F6910" s="502"/>
      <c r="G6910" s="497"/>
      <c r="H6910" s="497"/>
      <c r="I6910" s="497"/>
      <c r="J6910" s="497"/>
      <c r="K6910" s="500"/>
      <c r="L6910" s="497"/>
      <c r="M6910"/>
      <c r="N6910" s="498"/>
      <c r="O6910" s="498"/>
      <c r="P6910" s="498"/>
      <c r="Q6910" s="498"/>
      <c r="R6910" s="498"/>
      <c r="T6910" s="498"/>
      <c r="U6910" s="498"/>
      <c r="V6910" s="498"/>
      <c r="W6910" s="498"/>
      <c r="X6910" s="498"/>
      <c r="Y6910" s="498"/>
      <c r="Z6910" s="498"/>
      <c r="AA6910" s="498"/>
      <c r="AB6910" s="498"/>
      <c r="AC6910" s="498"/>
      <c r="AD6910" s="498"/>
      <c r="AE6910" s="498"/>
      <c r="AF6910" s="498"/>
      <c r="AG6910" s="498"/>
      <c r="AH6910" s="498"/>
      <c r="AI6910" s="498"/>
      <c r="AK6910" s="498"/>
      <c r="AL6910" s="498"/>
      <c r="AM6910" s="498"/>
      <c r="AN6910" s="498"/>
      <c r="AO6910" s="498"/>
      <c r="AP6910" s="498"/>
      <c r="AQ6910" s="498"/>
      <c r="AR6910" s="498"/>
      <c r="AS6910" s="498"/>
      <c r="AT6910" s="498"/>
      <c r="AU6910" s="498"/>
      <c r="AV6910" s="498"/>
      <c r="AW6910" s="498"/>
      <c r="AX6910" s="498"/>
      <c r="AY6910" s="498"/>
      <c r="AZ6910" s="498"/>
      <c r="BA6910" s="498"/>
    </row>
    <row r="6911" spans="1:53" s="499" customFormat="1" x14ac:dyDescent="0.25">
      <c r="A6911" s="500"/>
      <c r="B6911" s="501"/>
      <c r="C6911" s="502"/>
      <c r="D6911" s="497"/>
      <c r="E6911" s="497"/>
      <c r="F6911" s="502"/>
      <c r="G6911" s="497"/>
      <c r="H6911" s="497"/>
      <c r="I6911" s="497"/>
      <c r="J6911" s="497"/>
      <c r="K6911" s="500"/>
      <c r="L6911" s="497"/>
      <c r="M6911"/>
      <c r="N6911" s="498"/>
      <c r="O6911" s="498"/>
      <c r="P6911" s="498"/>
      <c r="Q6911" s="498"/>
      <c r="R6911" s="498"/>
      <c r="T6911" s="498"/>
      <c r="U6911" s="498"/>
      <c r="V6911" s="498"/>
      <c r="W6911" s="498"/>
      <c r="X6911" s="498"/>
      <c r="Y6911" s="498"/>
      <c r="Z6911" s="498"/>
      <c r="AA6911" s="498"/>
      <c r="AB6911" s="498"/>
      <c r="AC6911" s="498"/>
      <c r="AD6911" s="498"/>
      <c r="AE6911" s="498"/>
      <c r="AF6911" s="498"/>
      <c r="AG6911" s="498"/>
      <c r="AH6911" s="498"/>
      <c r="AI6911" s="498"/>
      <c r="AK6911" s="498"/>
      <c r="AL6911" s="498"/>
      <c r="AM6911" s="498"/>
      <c r="AN6911" s="498"/>
      <c r="AO6911" s="498"/>
      <c r="AP6911" s="498"/>
      <c r="AQ6911" s="498"/>
      <c r="AR6911" s="498"/>
      <c r="AS6911" s="498"/>
      <c r="AT6911" s="498"/>
      <c r="AU6911" s="498"/>
      <c r="AV6911" s="498"/>
      <c r="AW6911" s="498"/>
      <c r="AX6911" s="498"/>
      <c r="AY6911" s="498"/>
      <c r="AZ6911" s="498"/>
      <c r="BA6911" s="498"/>
    </row>
    <row r="6912" spans="1:53" s="499" customFormat="1" x14ac:dyDescent="0.25">
      <c r="A6912" s="500"/>
      <c r="B6912" s="501"/>
      <c r="C6912" s="502"/>
      <c r="D6912" s="497"/>
      <c r="E6912" s="497"/>
      <c r="F6912" s="502"/>
      <c r="G6912" s="497"/>
      <c r="H6912" s="497"/>
      <c r="I6912" s="497"/>
      <c r="J6912" s="497"/>
      <c r="K6912" s="500"/>
      <c r="L6912" s="497"/>
      <c r="M6912"/>
      <c r="N6912" s="498"/>
      <c r="O6912" s="498"/>
      <c r="P6912" s="498"/>
      <c r="Q6912" s="498"/>
      <c r="R6912" s="498"/>
      <c r="T6912" s="498"/>
      <c r="U6912" s="498"/>
      <c r="V6912" s="498"/>
      <c r="W6912" s="498"/>
      <c r="X6912" s="498"/>
      <c r="Y6912" s="498"/>
      <c r="Z6912" s="498"/>
      <c r="AA6912" s="498"/>
      <c r="AB6912" s="498"/>
      <c r="AC6912" s="498"/>
      <c r="AD6912" s="498"/>
      <c r="AE6912" s="498"/>
      <c r="AF6912" s="498"/>
      <c r="AG6912" s="498"/>
      <c r="AH6912" s="498"/>
      <c r="AI6912" s="498"/>
      <c r="AK6912" s="498"/>
      <c r="AL6912" s="498"/>
      <c r="AM6912" s="498"/>
      <c r="AN6912" s="498"/>
      <c r="AO6912" s="498"/>
      <c r="AP6912" s="498"/>
      <c r="AQ6912" s="498"/>
      <c r="AR6912" s="498"/>
      <c r="AS6912" s="498"/>
      <c r="AT6912" s="498"/>
      <c r="AU6912" s="498"/>
      <c r="AV6912" s="498"/>
      <c r="AW6912" s="498"/>
      <c r="AX6912" s="498"/>
      <c r="AY6912" s="498"/>
      <c r="AZ6912" s="498"/>
      <c r="BA6912" s="498"/>
    </row>
    <row r="6913" spans="1:53" s="499" customFormat="1" x14ac:dyDescent="0.25">
      <c r="A6913" s="500"/>
      <c r="B6913" s="501"/>
      <c r="C6913" s="502"/>
      <c r="D6913" s="497"/>
      <c r="E6913" s="497"/>
      <c r="F6913" s="502"/>
      <c r="G6913" s="497"/>
      <c r="H6913" s="497"/>
      <c r="I6913" s="497"/>
      <c r="J6913" s="497"/>
      <c r="K6913" s="500"/>
      <c r="L6913" s="497"/>
      <c r="M6913"/>
      <c r="N6913" s="498"/>
      <c r="O6913" s="498"/>
      <c r="P6913" s="498"/>
      <c r="Q6913" s="498"/>
      <c r="R6913" s="498"/>
      <c r="T6913" s="498"/>
      <c r="U6913" s="498"/>
      <c r="V6913" s="498"/>
      <c r="W6913" s="498"/>
      <c r="X6913" s="498"/>
      <c r="Y6913" s="498"/>
      <c r="Z6913" s="498"/>
      <c r="AA6913" s="498"/>
      <c r="AB6913" s="498"/>
      <c r="AC6913" s="498"/>
      <c r="AD6913" s="498"/>
      <c r="AE6913" s="498"/>
      <c r="AF6913" s="498"/>
      <c r="AG6913" s="498"/>
      <c r="AH6913" s="498"/>
      <c r="AI6913" s="498"/>
      <c r="AK6913" s="498"/>
      <c r="AL6913" s="498"/>
      <c r="AM6913" s="498"/>
      <c r="AN6913" s="498"/>
      <c r="AO6913" s="498"/>
      <c r="AP6913" s="498"/>
      <c r="AQ6913" s="498"/>
      <c r="AR6913" s="498"/>
      <c r="AS6913" s="498"/>
      <c r="AT6913" s="498"/>
      <c r="AU6913" s="498"/>
      <c r="AV6913" s="498"/>
      <c r="AW6913" s="498"/>
      <c r="AX6913" s="498"/>
      <c r="AY6913" s="498"/>
      <c r="AZ6913" s="498"/>
      <c r="BA6913" s="498"/>
    </row>
    <row r="6914" spans="1:53" s="499" customFormat="1" x14ac:dyDescent="0.25">
      <c r="A6914" s="500"/>
      <c r="B6914" s="501"/>
      <c r="C6914" s="502"/>
      <c r="D6914" s="497"/>
      <c r="E6914" s="497"/>
      <c r="F6914" s="502"/>
      <c r="G6914" s="497"/>
      <c r="H6914" s="497"/>
      <c r="I6914" s="497"/>
      <c r="J6914" s="497"/>
      <c r="K6914" s="500"/>
      <c r="L6914" s="497"/>
      <c r="M6914"/>
      <c r="N6914" s="498"/>
      <c r="O6914" s="498"/>
      <c r="P6914" s="498"/>
      <c r="Q6914" s="498"/>
      <c r="R6914" s="498"/>
      <c r="T6914" s="498"/>
      <c r="U6914" s="498"/>
      <c r="V6914" s="498"/>
      <c r="W6914" s="498"/>
      <c r="X6914" s="498"/>
      <c r="Y6914" s="498"/>
      <c r="Z6914" s="498"/>
      <c r="AA6914" s="498"/>
      <c r="AB6914" s="498"/>
      <c r="AC6914" s="498"/>
      <c r="AD6914" s="498"/>
      <c r="AE6914" s="498"/>
      <c r="AF6914" s="498"/>
      <c r="AG6914" s="498"/>
      <c r="AH6914" s="498"/>
      <c r="AI6914" s="498"/>
      <c r="AK6914" s="498"/>
      <c r="AL6914" s="498"/>
      <c r="AM6914" s="498"/>
      <c r="AN6914" s="498"/>
      <c r="AO6914" s="498"/>
      <c r="AP6914" s="498"/>
      <c r="AQ6914" s="498"/>
      <c r="AR6914" s="498"/>
      <c r="AS6914" s="498"/>
      <c r="AT6914" s="498"/>
      <c r="AU6914" s="498"/>
      <c r="AV6914" s="498"/>
      <c r="AW6914" s="498"/>
      <c r="AX6914" s="498"/>
      <c r="AY6914" s="498"/>
      <c r="AZ6914" s="498"/>
      <c r="BA6914" s="498"/>
    </row>
    <row r="6915" spans="1:53" s="499" customFormat="1" x14ac:dyDescent="0.25">
      <c r="A6915" s="500"/>
      <c r="B6915" s="501"/>
      <c r="C6915" s="502"/>
      <c r="D6915" s="497"/>
      <c r="E6915" s="497"/>
      <c r="F6915" s="502"/>
      <c r="G6915" s="497"/>
      <c r="H6915" s="497"/>
      <c r="I6915" s="497"/>
      <c r="J6915" s="497"/>
      <c r="K6915" s="500"/>
      <c r="L6915" s="497"/>
      <c r="M6915"/>
      <c r="N6915" s="498"/>
      <c r="O6915" s="498"/>
      <c r="P6915" s="498"/>
      <c r="Q6915" s="498"/>
      <c r="R6915" s="498"/>
      <c r="T6915" s="498"/>
      <c r="U6915" s="498"/>
      <c r="V6915" s="498"/>
      <c r="W6915" s="498"/>
      <c r="X6915" s="498"/>
      <c r="Y6915" s="498"/>
      <c r="Z6915" s="498"/>
      <c r="AA6915" s="498"/>
      <c r="AB6915" s="498"/>
      <c r="AC6915" s="498"/>
      <c r="AD6915" s="498"/>
      <c r="AE6915" s="498"/>
      <c r="AF6915" s="498"/>
      <c r="AG6915" s="498"/>
      <c r="AH6915" s="498"/>
      <c r="AI6915" s="498"/>
      <c r="AK6915" s="498"/>
      <c r="AL6915" s="498"/>
      <c r="AM6915" s="498"/>
      <c r="AN6915" s="498"/>
      <c r="AO6915" s="498"/>
      <c r="AP6915" s="498"/>
      <c r="AQ6915" s="498"/>
      <c r="AR6915" s="498"/>
      <c r="AS6915" s="498"/>
      <c r="AT6915" s="498"/>
      <c r="AU6915" s="498"/>
      <c r="AV6915" s="498"/>
      <c r="AW6915" s="498"/>
      <c r="AX6915" s="498"/>
      <c r="AY6915" s="498"/>
      <c r="AZ6915" s="498"/>
      <c r="BA6915" s="498"/>
    </row>
    <row r="6916" spans="1:53" s="499" customFormat="1" x14ac:dyDescent="0.25">
      <c r="A6916" s="500"/>
      <c r="B6916" s="501"/>
      <c r="C6916" s="502"/>
      <c r="D6916" s="497"/>
      <c r="E6916" s="497"/>
      <c r="F6916" s="502"/>
      <c r="G6916" s="497"/>
      <c r="H6916" s="497"/>
      <c r="I6916" s="497"/>
      <c r="J6916" s="497"/>
      <c r="K6916" s="500"/>
      <c r="L6916" s="497"/>
      <c r="M6916"/>
      <c r="N6916" s="498"/>
      <c r="O6916" s="498"/>
      <c r="P6916" s="498"/>
      <c r="Q6916" s="498"/>
      <c r="R6916" s="498"/>
      <c r="T6916" s="498"/>
      <c r="U6916" s="498"/>
      <c r="V6916" s="498"/>
      <c r="W6916" s="498"/>
      <c r="X6916" s="498"/>
      <c r="Y6916" s="498"/>
      <c r="Z6916" s="498"/>
      <c r="AA6916" s="498"/>
      <c r="AB6916" s="498"/>
      <c r="AC6916" s="498"/>
      <c r="AD6916" s="498"/>
      <c r="AE6916" s="498"/>
      <c r="AF6916" s="498"/>
      <c r="AG6916" s="498"/>
      <c r="AH6916" s="498"/>
      <c r="AI6916" s="498"/>
      <c r="AK6916" s="498"/>
      <c r="AL6916" s="498"/>
      <c r="AM6916" s="498"/>
      <c r="AN6916" s="498"/>
      <c r="AO6916" s="498"/>
      <c r="AP6916" s="498"/>
      <c r="AQ6916" s="498"/>
      <c r="AR6916" s="498"/>
      <c r="AS6916" s="498"/>
      <c r="AT6916" s="498"/>
      <c r="AU6916" s="498"/>
      <c r="AV6916" s="498"/>
      <c r="AW6916" s="498"/>
      <c r="AX6916" s="498"/>
      <c r="AY6916" s="498"/>
      <c r="AZ6916" s="498"/>
      <c r="BA6916" s="498"/>
    </row>
    <row r="6917" spans="1:53" s="499" customFormat="1" x14ac:dyDescent="0.25">
      <c r="A6917" s="500"/>
      <c r="B6917" s="501"/>
      <c r="C6917" s="502"/>
      <c r="D6917" s="497"/>
      <c r="E6917" s="497"/>
      <c r="F6917" s="502"/>
      <c r="G6917" s="497"/>
      <c r="H6917" s="497"/>
      <c r="I6917" s="497"/>
      <c r="J6917" s="497"/>
      <c r="K6917" s="500"/>
      <c r="L6917" s="497"/>
      <c r="M6917"/>
      <c r="N6917" s="498"/>
      <c r="O6917" s="498"/>
      <c r="P6917" s="498"/>
      <c r="Q6917" s="498"/>
      <c r="R6917" s="498"/>
      <c r="T6917" s="498"/>
      <c r="U6917" s="498"/>
      <c r="V6917" s="498"/>
      <c r="W6917" s="498"/>
      <c r="X6917" s="498"/>
      <c r="Y6917" s="498"/>
      <c r="Z6917" s="498"/>
      <c r="AA6917" s="498"/>
      <c r="AB6917" s="498"/>
      <c r="AC6917" s="498"/>
      <c r="AD6917" s="498"/>
      <c r="AE6917" s="498"/>
      <c r="AF6917" s="498"/>
      <c r="AG6917" s="498"/>
      <c r="AH6917" s="498"/>
      <c r="AI6917" s="498"/>
      <c r="AK6917" s="498"/>
      <c r="AL6917" s="498"/>
      <c r="AM6917" s="498"/>
      <c r="AN6917" s="498"/>
      <c r="AO6917" s="498"/>
      <c r="AP6917" s="498"/>
      <c r="AQ6917" s="498"/>
      <c r="AR6917" s="498"/>
      <c r="AS6917" s="498"/>
      <c r="AT6917" s="498"/>
      <c r="AU6917" s="498"/>
      <c r="AV6917" s="498"/>
      <c r="AW6917" s="498"/>
      <c r="AX6917" s="498"/>
      <c r="AY6917" s="498"/>
      <c r="AZ6917" s="498"/>
      <c r="BA6917" s="498"/>
    </row>
    <row r="6918" spans="1:53" s="499" customFormat="1" x14ac:dyDescent="0.25">
      <c r="A6918" s="500"/>
      <c r="B6918" s="501"/>
      <c r="C6918" s="502"/>
      <c r="D6918" s="497"/>
      <c r="E6918" s="497"/>
      <c r="F6918" s="502"/>
      <c r="G6918" s="497"/>
      <c r="H6918" s="497"/>
      <c r="I6918" s="497"/>
      <c r="J6918" s="497"/>
      <c r="K6918" s="500"/>
      <c r="L6918" s="497"/>
      <c r="M6918"/>
      <c r="N6918" s="498"/>
      <c r="O6918" s="498"/>
      <c r="P6918" s="498"/>
      <c r="Q6918" s="498"/>
      <c r="R6918" s="498"/>
      <c r="T6918" s="498"/>
      <c r="U6918" s="498"/>
      <c r="V6918" s="498"/>
      <c r="W6918" s="498"/>
      <c r="X6918" s="498"/>
      <c r="Y6918" s="498"/>
      <c r="Z6918" s="498"/>
      <c r="AA6918" s="498"/>
      <c r="AB6918" s="498"/>
      <c r="AC6918" s="498"/>
      <c r="AD6918" s="498"/>
      <c r="AE6918" s="498"/>
      <c r="AF6918" s="498"/>
      <c r="AG6918" s="498"/>
      <c r="AH6918" s="498"/>
      <c r="AI6918" s="498"/>
      <c r="AK6918" s="498"/>
      <c r="AL6918" s="498"/>
      <c r="AM6918" s="498"/>
      <c r="AN6918" s="498"/>
      <c r="AO6918" s="498"/>
      <c r="AP6918" s="498"/>
      <c r="AQ6918" s="498"/>
      <c r="AR6918" s="498"/>
      <c r="AS6918" s="498"/>
      <c r="AT6918" s="498"/>
      <c r="AU6918" s="498"/>
      <c r="AV6918" s="498"/>
      <c r="AW6918" s="498"/>
      <c r="AX6918" s="498"/>
      <c r="AY6918" s="498"/>
      <c r="AZ6918" s="498"/>
      <c r="BA6918" s="498"/>
    </row>
    <row r="6919" spans="1:53" s="499" customFormat="1" x14ac:dyDescent="0.25">
      <c r="A6919" s="500"/>
      <c r="B6919" s="501"/>
      <c r="C6919" s="502"/>
      <c r="D6919" s="497"/>
      <c r="E6919" s="497"/>
      <c r="F6919" s="502"/>
      <c r="G6919" s="497"/>
      <c r="H6919" s="497"/>
      <c r="I6919" s="497"/>
      <c r="J6919" s="497"/>
      <c r="K6919" s="500"/>
      <c r="L6919" s="497"/>
      <c r="M6919"/>
      <c r="N6919" s="498"/>
      <c r="O6919" s="498"/>
      <c r="P6919" s="498"/>
      <c r="Q6919" s="498"/>
      <c r="R6919" s="498"/>
      <c r="T6919" s="498"/>
      <c r="U6919" s="498"/>
      <c r="V6919" s="498"/>
      <c r="W6919" s="498"/>
      <c r="X6919" s="498"/>
      <c r="Y6919" s="498"/>
      <c r="Z6919" s="498"/>
      <c r="AA6919" s="498"/>
      <c r="AB6919" s="498"/>
      <c r="AC6919" s="498"/>
      <c r="AD6919" s="498"/>
      <c r="AE6919" s="498"/>
      <c r="AF6919" s="498"/>
      <c r="AG6919" s="498"/>
      <c r="AH6919" s="498"/>
      <c r="AI6919" s="498"/>
      <c r="AK6919" s="498"/>
      <c r="AL6919" s="498"/>
      <c r="AM6919" s="498"/>
      <c r="AN6919" s="498"/>
      <c r="AO6919" s="498"/>
      <c r="AP6919" s="498"/>
      <c r="AQ6919" s="498"/>
      <c r="AR6919" s="498"/>
      <c r="AS6919" s="498"/>
      <c r="AT6919" s="498"/>
      <c r="AU6919" s="498"/>
      <c r="AV6919" s="498"/>
      <c r="AW6919" s="498"/>
      <c r="AX6919" s="498"/>
      <c r="AY6919" s="498"/>
      <c r="AZ6919" s="498"/>
      <c r="BA6919" s="498"/>
    </row>
    <row r="6920" spans="1:53" s="499" customFormat="1" x14ac:dyDescent="0.25">
      <c r="A6920" s="500"/>
      <c r="B6920" s="501"/>
      <c r="C6920" s="502"/>
      <c r="D6920" s="497"/>
      <c r="E6920" s="497"/>
      <c r="F6920" s="502"/>
      <c r="G6920" s="497"/>
      <c r="H6920" s="497"/>
      <c r="I6920" s="497"/>
      <c r="J6920" s="497"/>
      <c r="K6920" s="500"/>
      <c r="L6920" s="497"/>
      <c r="M6920"/>
      <c r="N6920" s="498"/>
      <c r="O6920" s="498"/>
      <c r="P6920" s="498"/>
      <c r="Q6920" s="498"/>
      <c r="R6920" s="498"/>
      <c r="T6920" s="498"/>
      <c r="U6920" s="498"/>
      <c r="V6920" s="498"/>
      <c r="W6920" s="498"/>
      <c r="X6920" s="498"/>
      <c r="Y6920" s="498"/>
      <c r="Z6920" s="498"/>
      <c r="AA6920" s="498"/>
      <c r="AB6920" s="498"/>
      <c r="AC6920" s="498"/>
      <c r="AD6920" s="498"/>
      <c r="AE6920" s="498"/>
      <c r="AF6920" s="498"/>
      <c r="AG6920" s="498"/>
      <c r="AH6920" s="498"/>
      <c r="AI6920" s="498"/>
      <c r="AK6920" s="498"/>
      <c r="AL6920" s="498"/>
      <c r="AM6920" s="498"/>
      <c r="AN6920" s="498"/>
      <c r="AO6920" s="498"/>
      <c r="AP6920" s="498"/>
      <c r="AQ6920" s="498"/>
      <c r="AR6920" s="498"/>
      <c r="AS6920" s="498"/>
      <c r="AT6920" s="498"/>
      <c r="AU6920" s="498"/>
      <c r="AV6920" s="498"/>
      <c r="AW6920" s="498"/>
      <c r="AX6920" s="498"/>
      <c r="AY6920" s="498"/>
      <c r="AZ6920" s="498"/>
      <c r="BA6920" s="498"/>
    </row>
    <row r="6921" spans="1:53" s="499" customFormat="1" x14ac:dyDescent="0.25">
      <c r="A6921" s="500"/>
      <c r="B6921" s="501"/>
      <c r="C6921" s="502"/>
      <c r="D6921" s="497"/>
      <c r="E6921" s="497"/>
      <c r="F6921" s="502"/>
      <c r="G6921" s="497"/>
      <c r="H6921" s="497"/>
      <c r="I6921" s="497"/>
      <c r="J6921" s="497"/>
      <c r="K6921" s="500"/>
      <c r="L6921" s="497"/>
      <c r="M6921"/>
      <c r="N6921" s="498"/>
      <c r="O6921" s="498"/>
      <c r="P6921" s="498"/>
      <c r="Q6921" s="498"/>
      <c r="R6921" s="498"/>
      <c r="T6921" s="498"/>
      <c r="U6921" s="498"/>
      <c r="V6921" s="498"/>
      <c r="W6921" s="498"/>
      <c r="X6921" s="498"/>
      <c r="Y6921" s="498"/>
      <c r="Z6921" s="498"/>
      <c r="AA6921" s="498"/>
      <c r="AB6921" s="498"/>
      <c r="AC6921" s="498"/>
      <c r="AD6921" s="498"/>
      <c r="AE6921" s="498"/>
      <c r="AF6921" s="498"/>
      <c r="AG6921" s="498"/>
      <c r="AH6921" s="498"/>
      <c r="AI6921" s="498"/>
      <c r="AK6921" s="498"/>
      <c r="AL6921" s="498"/>
      <c r="AM6921" s="498"/>
      <c r="AN6921" s="498"/>
      <c r="AO6921" s="498"/>
      <c r="AP6921" s="498"/>
      <c r="AQ6921" s="498"/>
      <c r="AR6921" s="498"/>
      <c r="AS6921" s="498"/>
      <c r="AT6921" s="498"/>
      <c r="AU6921" s="498"/>
      <c r="AV6921" s="498"/>
      <c r="AW6921" s="498"/>
      <c r="AX6921" s="498"/>
      <c r="AY6921" s="498"/>
      <c r="AZ6921" s="498"/>
      <c r="BA6921" s="498"/>
    </row>
    <row r="6922" spans="1:53" s="499" customFormat="1" x14ac:dyDescent="0.25">
      <c r="A6922" s="500"/>
      <c r="B6922" s="501"/>
      <c r="C6922" s="502"/>
      <c r="D6922" s="497"/>
      <c r="E6922" s="497"/>
      <c r="F6922" s="502"/>
      <c r="G6922" s="497"/>
      <c r="H6922" s="497"/>
      <c r="I6922" s="497"/>
      <c r="J6922" s="497"/>
      <c r="K6922" s="500"/>
      <c r="L6922" s="497"/>
      <c r="M6922"/>
      <c r="N6922" s="498"/>
      <c r="O6922" s="498"/>
      <c r="P6922" s="498"/>
      <c r="Q6922" s="498"/>
      <c r="R6922" s="498"/>
      <c r="T6922" s="498"/>
      <c r="U6922" s="498"/>
      <c r="V6922" s="498"/>
      <c r="W6922" s="498"/>
      <c r="X6922" s="498"/>
      <c r="Y6922" s="498"/>
      <c r="Z6922" s="498"/>
      <c r="AA6922" s="498"/>
      <c r="AB6922" s="498"/>
      <c r="AC6922" s="498"/>
      <c r="AD6922" s="498"/>
      <c r="AE6922" s="498"/>
      <c r="AF6922" s="498"/>
      <c r="AG6922" s="498"/>
      <c r="AH6922" s="498"/>
      <c r="AI6922" s="498"/>
      <c r="AK6922" s="498"/>
      <c r="AL6922" s="498"/>
      <c r="AM6922" s="498"/>
      <c r="AN6922" s="498"/>
      <c r="AO6922" s="498"/>
      <c r="AP6922" s="498"/>
      <c r="AQ6922" s="498"/>
      <c r="AR6922" s="498"/>
      <c r="AS6922" s="498"/>
      <c r="AT6922" s="498"/>
      <c r="AU6922" s="498"/>
      <c r="AV6922" s="498"/>
      <c r="AW6922" s="498"/>
      <c r="AX6922" s="498"/>
      <c r="AY6922" s="498"/>
      <c r="AZ6922" s="498"/>
      <c r="BA6922" s="498"/>
    </row>
    <row r="6923" spans="1:53" s="499" customFormat="1" x14ac:dyDescent="0.25">
      <c r="A6923" s="500"/>
      <c r="B6923" s="501"/>
      <c r="C6923" s="502"/>
      <c r="D6923" s="497"/>
      <c r="E6923" s="497"/>
      <c r="F6923" s="502"/>
      <c r="G6923" s="497"/>
      <c r="H6923" s="497"/>
      <c r="I6923" s="497"/>
      <c r="J6923" s="497"/>
      <c r="K6923" s="500"/>
      <c r="L6923" s="497"/>
      <c r="M6923"/>
      <c r="N6923" s="498"/>
      <c r="O6923" s="498"/>
      <c r="P6923" s="498"/>
      <c r="Q6923" s="498"/>
      <c r="R6923" s="498"/>
      <c r="T6923" s="498"/>
      <c r="U6923" s="498"/>
      <c r="V6923" s="498"/>
      <c r="W6923" s="498"/>
      <c r="X6923" s="498"/>
      <c r="Y6923" s="498"/>
      <c r="Z6923" s="498"/>
      <c r="AA6923" s="498"/>
      <c r="AB6923" s="498"/>
      <c r="AC6923" s="498"/>
      <c r="AD6923" s="498"/>
      <c r="AE6923" s="498"/>
      <c r="AF6923" s="498"/>
      <c r="AG6923" s="498"/>
      <c r="AH6923" s="498"/>
      <c r="AI6923" s="498"/>
      <c r="AK6923" s="498"/>
      <c r="AL6923" s="498"/>
      <c r="AM6923" s="498"/>
      <c r="AN6923" s="498"/>
      <c r="AO6923" s="498"/>
      <c r="AP6923" s="498"/>
      <c r="AQ6923" s="498"/>
      <c r="AR6923" s="498"/>
      <c r="AS6923" s="498"/>
      <c r="AT6923" s="498"/>
      <c r="AU6923" s="498"/>
      <c r="AV6923" s="498"/>
      <c r="AW6923" s="498"/>
      <c r="AX6923" s="498"/>
      <c r="AY6923" s="498"/>
      <c r="AZ6923" s="498"/>
      <c r="BA6923" s="498"/>
    </row>
    <row r="6924" spans="1:53" s="499" customFormat="1" x14ac:dyDescent="0.25">
      <c r="A6924" s="500"/>
      <c r="B6924" s="501"/>
      <c r="C6924" s="502"/>
      <c r="D6924" s="497"/>
      <c r="E6924" s="497"/>
      <c r="F6924" s="502"/>
      <c r="G6924" s="497"/>
      <c r="H6924" s="497"/>
      <c r="I6924" s="497"/>
      <c r="J6924" s="497"/>
      <c r="K6924" s="500"/>
      <c r="L6924" s="497"/>
      <c r="M6924"/>
      <c r="N6924" s="498"/>
      <c r="O6924" s="498"/>
      <c r="P6924" s="498"/>
      <c r="Q6924" s="498"/>
      <c r="R6924" s="498"/>
      <c r="T6924" s="498"/>
      <c r="U6924" s="498"/>
      <c r="V6924" s="498"/>
      <c r="W6924" s="498"/>
      <c r="X6924" s="498"/>
      <c r="Y6924" s="498"/>
      <c r="Z6924" s="498"/>
      <c r="AA6924" s="498"/>
      <c r="AB6924" s="498"/>
      <c r="AC6924" s="498"/>
      <c r="AD6924" s="498"/>
      <c r="AE6924" s="498"/>
      <c r="AF6924" s="498"/>
      <c r="AG6924" s="498"/>
      <c r="AH6924" s="498"/>
      <c r="AI6924" s="498"/>
      <c r="AK6924" s="498"/>
      <c r="AL6924" s="498"/>
      <c r="AM6924" s="498"/>
      <c r="AN6924" s="498"/>
      <c r="AO6924" s="498"/>
      <c r="AP6924" s="498"/>
      <c r="AQ6924" s="498"/>
      <c r="AR6924" s="498"/>
      <c r="AS6924" s="498"/>
      <c r="AT6924" s="498"/>
      <c r="AU6924" s="498"/>
      <c r="AV6924" s="498"/>
      <c r="AW6924" s="498"/>
      <c r="AX6924" s="498"/>
      <c r="AY6924" s="498"/>
      <c r="AZ6924" s="498"/>
      <c r="BA6924" s="498"/>
    </row>
    <row r="6925" spans="1:53" s="499" customFormat="1" x14ac:dyDescent="0.25">
      <c r="A6925" s="500"/>
      <c r="B6925" s="501"/>
      <c r="C6925" s="502"/>
      <c r="D6925" s="497"/>
      <c r="E6925" s="497"/>
      <c r="F6925" s="502"/>
      <c r="G6925" s="497"/>
      <c r="H6925" s="497"/>
      <c r="I6925" s="497"/>
      <c r="J6925" s="497"/>
      <c r="K6925" s="500"/>
      <c r="L6925" s="497"/>
      <c r="M6925"/>
      <c r="N6925" s="498"/>
      <c r="O6925" s="498"/>
      <c r="P6925" s="498"/>
      <c r="Q6925" s="498"/>
      <c r="R6925" s="498"/>
      <c r="T6925" s="498"/>
      <c r="U6925" s="498"/>
      <c r="V6925" s="498"/>
      <c r="W6925" s="498"/>
      <c r="X6925" s="498"/>
      <c r="Y6925" s="498"/>
      <c r="Z6925" s="498"/>
      <c r="AA6925" s="498"/>
      <c r="AB6925" s="498"/>
      <c r="AC6925" s="498"/>
      <c r="AD6925" s="498"/>
      <c r="AE6925" s="498"/>
      <c r="AF6925" s="498"/>
      <c r="AG6925" s="498"/>
      <c r="AH6925" s="498"/>
      <c r="AI6925" s="498"/>
      <c r="AK6925" s="498"/>
      <c r="AL6925" s="498"/>
      <c r="AM6925" s="498"/>
      <c r="AN6925" s="498"/>
      <c r="AO6925" s="498"/>
      <c r="AP6925" s="498"/>
      <c r="AQ6925" s="498"/>
      <c r="AR6925" s="498"/>
      <c r="AS6925" s="498"/>
      <c r="AT6925" s="498"/>
      <c r="AU6925" s="498"/>
      <c r="AV6925" s="498"/>
      <c r="AW6925" s="498"/>
      <c r="AX6925" s="498"/>
      <c r="AY6925" s="498"/>
      <c r="AZ6925" s="498"/>
      <c r="BA6925" s="498"/>
    </row>
    <row r="6926" spans="1:53" s="499" customFormat="1" x14ac:dyDescent="0.25">
      <c r="A6926" s="500"/>
      <c r="B6926" s="501"/>
      <c r="C6926" s="502"/>
      <c r="D6926" s="497"/>
      <c r="E6926" s="497"/>
      <c r="F6926" s="502"/>
      <c r="G6926" s="497"/>
      <c r="H6926" s="497"/>
      <c r="I6926" s="497"/>
      <c r="J6926" s="497"/>
      <c r="K6926" s="500"/>
      <c r="L6926" s="497"/>
      <c r="M6926"/>
      <c r="N6926" s="498"/>
      <c r="O6926" s="498"/>
      <c r="P6926" s="498"/>
      <c r="Q6926" s="498"/>
      <c r="R6926" s="498"/>
      <c r="T6926" s="498"/>
      <c r="U6926" s="498"/>
      <c r="V6926" s="498"/>
      <c r="W6926" s="498"/>
      <c r="X6926" s="498"/>
      <c r="Y6926" s="498"/>
      <c r="Z6926" s="498"/>
      <c r="AA6926" s="498"/>
      <c r="AB6926" s="498"/>
      <c r="AC6926" s="498"/>
      <c r="AD6926" s="498"/>
      <c r="AE6926" s="498"/>
      <c r="AF6926" s="498"/>
      <c r="AG6926" s="498"/>
      <c r="AH6926" s="498"/>
      <c r="AI6926" s="498"/>
      <c r="AK6926" s="498"/>
      <c r="AL6926" s="498"/>
      <c r="AM6926" s="498"/>
      <c r="AN6926" s="498"/>
      <c r="AO6926" s="498"/>
      <c r="AP6926" s="498"/>
      <c r="AQ6926" s="498"/>
      <c r="AR6926" s="498"/>
      <c r="AS6926" s="498"/>
      <c r="AT6926" s="498"/>
      <c r="AU6926" s="498"/>
      <c r="AV6926" s="498"/>
      <c r="AW6926" s="498"/>
      <c r="AX6926" s="498"/>
      <c r="AY6926" s="498"/>
      <c r="AZ6926" s="498"/>
      <c r="BA6926" s="498"/>
    </row>
    <row r="6927" spans="1:53" s="499" customFormat="1" x14ac:dyDescent="0.25">
      <c r="A6927" s="500"/>
      <c r="B6927" s="501"/>
      <c r="C6927" s="502"/>
      <c r="D6927" s="497"/>
      <c r="E6927" s="497"/>
      <c r="F6927" s="502"/>
      <c r="G6927" s="497"/>
      <c r="H6927" s="497"/>
      <c r="I6927" s="497"/>
      <c r="J6927" s="497"/>
      <c r="K6927" s="500"/>
      <c r="L6927" s="497"/>
      <c r="M6927"/>
      <c r="N6927" s="498"/>
      <c r="O6927" s="498"/>
      <c r="P6927" s="498"/>
      <c r="Q6927" s="498"/>
      <c r="R6927" s="498"/>
      <c r="T6927" s="498"/>
      <c r="U6927" s="498"/>
      <c r="V6927" s="498"/>
      <c r="W6927" s="498"/>
      <c r="X6927" s="498"/>
      <c r="Y6927" s="498"/>
      <c r="Z6927" s="498"/>
      <c r="AA6927" s="498"/>
      <c r="AB6927" s="498"/>
      <c r="AC6927" s="498"/>
      <c r="AD6927" s="498"/>
      <c r="AE6927" s="498"/>
      <c r="AF6927" s="498"/>
      <c r="AG6927" s="498"/>
      <c r="AH6927" s="498"/>
      <c r="AI6927" s="498"/>
      <c r="AK6927" s="498"/>
      <c r="AL6927" s="498"/>
      <c r="AM6927" s="498"/>
      <c r="AN6927" s="498"/>
      <c r="AO6927" s="498"/>
      <c r="AP6927" s="498"/>
      <c r="AQ6927" s="498"/>
      <c r="AR6927" s="498"/>
      <c r="AS6927" s="498"/>
      <c r="AT6927" s="498"/>
      <c r="AU6927" s="498"/>
      <c r="AV6927" s="498"/>
      <c r="AW6927" s="498"/>
      <c r="AX6927" s="498"/>
      <c r="AY6927" s="498"/>
      <c r="AZ6927" s="498"/>
      <c r="BA6927" s="498"/>
    </row>
    <row r="6928" spans="1:53" s="499" customFormat="1" x14ac:dyDescent="0.25">
      <c r="A6928" s="500"/>
      <c r="B6928" s="501"/>
      <c r="C6928" s="502"/>
      <c r="D6928" s="497"/>
      <c r="E6928" s="497"/>
      <c r="F6928" s="502"/>
      <c r="G6928" s="497"/>
      <c r="H6928" s="497"/>
      <c r="I6928" s="497"/>
      <c r="J6928" s="497"/>
      <c r="K6928" s="500"/>
      <c r="L6928" s="497"/>
      <c r="M6928"/>
      <c r="N6928" s="498"/>
      <c r="O6928" s="498"/>
      <c r="P6928" s="498"/>
      <c r="Q6928" s="498"/>
      <c r="R6928" s="498"/>
      <c r="T6928" s="498"/>
      <c r="U6928" s="498"/>
      <c r="V6928" s="498"/>
      <c r="W6928" s="498"/>
      <c r="X6928" s="498"/>
      <c r="Y6928" s="498"/>
      <c r="Z6928" s="498"/>
      <c r="AA6928" s="498"/>
      <c r="AB6928" s="498"/>
      <c r="AC6928" s="498"/>
      <c r="AD6928" s="498"/>
      <c r="AE6928" s="498"/>
      <c r="AF6928" s="498"/>
      <c r="AG6928" s="498"/>
      <c r="AH6928" s="498"/>
      <c r="AI6928" s="498"/>
      <c r="AK6928" s="498"/>
      <c r="AL6928" s="498"/>
      <c r="AM6928" s="498"/>
      <c r="AN6928" s="498"/>
      <c r="AO6928" s="498"/>
      <c r="AP6928" s="498"/>
      <c r="AQ6928" s="498"/>
      <c r="AR6928" s="498"/>
      <c r="AS6928" s="498"/>
      <c r="AT6928" s="498"/>
      <c r="AU6928" s="498"/>
      <c r="AV6928" s="498"/>
      <c r="AW6928" s="498"/>
      <c r="AX6928" s="498"/>
      <c r="AY6928" s="498"/>
      <c r="AZ6928" s="498"/>
      <c r="BA6928" s="498"/>
    </row>
    <row r="6929" spans="1:53" s="499" customFormat="1" x14ac:dyDescent="0.25">
      <c r="A6929" s="500"/>
      <c r="B6929" s="501"/>
      <c r="C6929" s="502"/>
      <c r="D6929" s="497"/>
      <c r="E6929" s="497"/>
      <c r="F6929" s="502"/>
      <c r="G6929" s="497"/>
      <c r="H6929" s="497"/>
      <c r="I6929" s="497"/>
      <c r="J6929" s="497"/>
      <c r="K6929" s="500"/>
      <c r="L6929" s="497"/>
      <c r="M6929"/>
      <c r="N6929" s="498"/>
      <c r="O6929" s="498"/>
      <c r="P6929" s="498"/>
      <c r="Q6929" s="498"/>
      <c r="R6929" s="498"/>
      <c r="T6929" s="498"/>
      <c r="U6929" s="498"/>
      <c r="V6929" s="498"/>
      <c r="W6929" s="498"/>
      <c r="X6929" s="498"/>
      <c r="Y6929" s="498"/>
      <c r="Z6929" s="498"/>
      <c r="AA6929" s="498"/>
      <c r="AB6929" s="498"/>
      <c r="AC6929" s="498"/>
      <c r="AD6929" s="498"/>
      <c r="AE6929" s="498"/>
      <c r="AF6929" s="498"/>
      <c r="AG6929" s="498"/>
      <c r="AH6929" s="498"/>
      <c r="AI6929" s="498"/>
      <c r="AK6929" s="498"/>
      <c r="AL6929" s="498"/>
      <c r="AM6929" s="498"/>
      <c r="AN6929" s="498"/>
      <c r="AO6929" s="498"/>
      <c r="AP6929" s="498"/>
      <c r="AQ6929" s="498"/>
      <c r="AR6929" s="498"/>
      <c r="AS6929" s="498"/>
      <c r="AT6929" s="498"/>
      <c r="AU6929" s="498"/>
      <c r="AV6929" s="498"/>
      <c r="AW6929" s="498"/>
      <c r="AX6929" s="498"/>
      <c r="AY6929" s="498"/>
      <c r="AZ6929" s="498"/>
      <c r="BA6929" s="498"/>
    </row>
    <row r="6930" spans="1:53" s="499" customFormat="1" x14ac:dyDescent="0.25">
      <c r="A6930" s="500"/>
      <c r="B6930" s="501"/>
      <c r="C6930" s="502"/>
      <c r="D6930" s="497"/>
      <c r="E6930" s="497"/>
      <c r="F6930" s="502"/>
      <c r="G6930" s="497"/>
      <c r="H6930" s="497"/>
      <c r="I6930" s="497"/>
      <c r="J6930" s="497"/>
      <c r="K6930" s="500"/>
      <c r="L6930" s="497"/>
      <c r="M6930"/>
      <c r="N6930" s="498"/>
      <c r="O6930" s="498"/>
      <c r="P6930" s="498"/>
      <c r="Q6930" s="498"/>
      <c r="R6930" s="498"/>
      <c r="T6930" s="498"/>
      <c r="U6930" s="498"/>
      <c r="V6930" s="498"/>
      <c r="W6930" s="498"/>
      <c r="X6930" s="498"/>
      <c r="Y6930" s="498"/>
      <c r="Z6930" s="498"/>
      <c r="AA6930" s="498"/>
      <c r="AB6930" s="498"/>
      <c r="AC6930" s="498"/>
      <c r="AD6930" s="498"/>
      <c r="AE6930" s="498"/>
      <c r="AF6930" s="498"/>
      <c r="AG6930" s="498"/>
      <c r="AH6930" s="498"/>
      <c r="AI6930" s="498"/>
      <c r="AK6930" s="498"/>
      <c r="AL6930" s="498"/>
      <c r="AM6930" s="498"/>
      <c r="AN6930" s="498"/>
      <c r="AO6930" s="498"/>
      <c r="AP6930" s="498"/>
      <c r="AQ6930" s="498"/>
      <c r="AR6930" s="498"/>
      <c r="AS6930" s="498"/>
      <c r="AT6930" s="498"/>
      <c r="AU6930" s="498"/>
      <c r="AV6930" s="498"/>
      <c r="AW6930" s="498"/>
      <c r="AX6930" s="498"/>
      <c r="AY6930" s="498"/>
      <c r="AZ6930" s="498"/>
      <c r="BA6930" s="498"/>
    </row>
    <row r="6931" spans="1:53" s="499" customFormat="1" x14ac:dyDescent="0.25">
      <c r="A6931" s="500"/>
      <c r="B6931" s="501"/>
      <c r="C6931" s="502"/>
      <c r="D6931" s="497"/>
      <c r="E6931" s="497"/>
      <c r="F6931" s="502"/>
      <c r="G6931" s="497"/>
      <c r="H6931" s="497"/>
      <c r="I6931" s="497"/>
      <c r="J6931" s="497"/>
      <c r="K6931" s="500"/>
      <c r="L6931" s="497"/>
      <c r="M6931"/>
      <c r="N6931" s="498"/>
      <c r="O6931" s="498"/>
      <c r="P6931" s="498"/>
      <c r="Q6931" s="498"/>
      <c r="R6931" s="498"/>
      <c r="T6931" s="498"/>
      <c r="U6931" s="498"/>
      <c r="V6931" s="498"/>
      <c r="W6931" s="498"/>
      <c r="X6931" s="498"/>
      <c r="Y6931" s="498"/>
      <c r="Z6931" s="498"/>
      <c r="AA6931" s="498"/>
      <c r="AB6931" s="498"/>
      <c r="AC6931" s="498"/>
      <c r="AD6931" s="498"/>
      <c r="AE6931" s="498"/>
      <c r="AF6931" s="498"/>
      <c r="AG6931" s="498"/>
      <c r="AH6931" s="498"/>
      <c r="AI6931" s="498"/>
      <c r="AK6931" s="498"/>
      <c r="AL6931" s="498"/>
      <c r="AM6931" s="498"/>
      <c r="AN6931" s="498"/>
      <c r="AO6931" s="498"/>
      <c r="AP6931" s="498"/>
      <c r="AQ6931" s="498"/>
      <c r="AR6931" s="498"/>
      <c r="AS6931" s="498"/>
      <c r="AT6931" s="498"/>
      <c r="AU6931" s="498"/>
      <c r="AV6931" s="498"/>
      <c r="AW6931" s="498"/>
      <c r="AX6931" s="498"/>
      <c r="AY6931" s="498"/>
      <c r="AZ6931" s="498"/>
      <c r="BA6931" s="498"/>
    </row>
    <row r="6932" spans="1:53" s="499" customFormat="1" x14ac:dyDescent="0.25">
      <c r="A6932" s="500"/>
      <c r="B6932" s="501"/>
      <c r="C6932" s="502"/>
      <c r="D6932" s="497"/>
      <c r="E6932" s="497"/>
      <c r="F6932" s="502"/>
      <c r="G6932" s="497"/>
      <c r="H6932" s="497"/>
      <c r="I6932" s="497"/>
      <c r="J6932" s="497"/>
      <c r="K6932" s="500"/>
      <c r="L6932" s="497"/>
      <c r="M6932"/>
      <c r="N6932" s="498"/>
      <c r="O6932" s="498"/>
      <c r="P6932" s="498"/>
      <c r="Q6932" s="498"/>
      <c r="R6932" s="498"/>
      <c r="T6932" s="498"/>
      <c r="U6932" s="498"/>
      <c r="V6932" s="498"/>
      <c r="W6932" s="498"/>
      <c r="X6932" s="498"/>
      <c r="Y6932" s="498"/>
      <c r="Z6932" s="498"/>
      <c r="AA6932" s="498"/>
      <c r="AB6932" s="498"/>
      <c r="AC6932" s="498"/>
      <c r="AD6932" s="498"/>
      <c r="AE6932" s="498"/>
      <c r="AF6932" s="498"/>
      <c r="AG6932" s="498"/>
      <c r="AH6932" s="498"/>
      <c r="AI6932" s="498"/>
      <c r="AK6932" s="498"/>
      <c r="AL6932" s="498"/>
      <c r="AM6932" s="498"/>
      <c r="AN6932" s="498"/>
      <c r="AO6932" s="498"/>
      <c r="AP6932" s="498"/>
      <c r="AQ6932" s="498"/>
      <c r="AR6932" s="498"/>
      <c r="AS6932" s="498"/>
      <c r="AT6932" s="498"/>
      <c r="AU6932" s="498"/>
      <c r="AV6932" s="498"/>
      <c r="AW6932" s="498"/>
      <c r="AX6932" s="498"/>
      <c r="AY6932" s="498"/>
      <c r="AZ6932" s="498"/>
      <c r="BA6932" s="498"/>
    </row>
    <row r="6933" spans="1:53" s="499" customFormat="1" x14ac:dyDescent="0.25">
      <c r="A6933" s="500"/>
      <c r="B6933" s="501"/>
      <c r="C6933" s="502"/>
      <c r="D6933" s="497"/>
      <c r="E6933" s="497"/>
      <c r="F6933" s="502"/>
      <c r="G6933" s="497"/>
      <c r="H6933" s="497"/>
      <c r="I6933" s="497"/>
      <c r="J6933" s="497"/>
      <c r="K6933" s="500"/>
      <c r="L6933" s="497"/>
      <c r="M6933"/>
      <c r="N6933" s="498"/>
      <c r="O6933" s="498"/>
      <c r="P6933" s="498"/>
      <c r="Q6933" s="498"/>
      <c r="R6933" s="498"/>
      <c r="T6933" s="498"/>
      <c r="U6933" s="498"/>
      <c r="V6933" s="498"/>
      <c r="W6933" s="498"/>
      <c r="X6933" s="498"/>
      <c r="Y6933" s="498"/>
      <c r="Z6933" s="498"/>
      <c r="AA6933" s="498"/>
      <c r="AB6933" s="498"/>
      <c r="AC6933" s="498"/>
      <c r="AD6933" s="498"/>
      <c r="AE6933" s="498"/>
      <c r="AF6933" s="498"/>
      <c r="AG6933" s="498"/>
      <c r="AH6933" s="498"/>
      <c r="AI6933" s="498"/>
      <c r="AK6933" s="498"/>
      <c r="AL6933" s="498"/>
      <c r="AM6933" s="498"/>
      <c r="AN6933" s="498"/>
      <c r="AO6933" s="498"/>
      <c r="AP6933" s="498"/>
      <c r="AQ6933" s="498"/>
      <c r="AR6933" s="498"/>
      <c r="AS6933" s="498"/>
      <c r="AT6933" s="498"/>
      <c r="AU6933" s="498"/>
      <c r="AV6933" s="498"/>
      <c r="AW6933" s="498"/>
      <c r="AX6933" s="498"/>
      <c r="AY6933" s="498"/>
      <c r="AZ6933" s="498"/>
      <c r="BA6933" s="498"/>
    </row>
    <row r="6934" spans="1:53" s="499" customFormat="1" x14ac:dyDescent="0.25">
      <c r="A6934" s="500"/>
      <c r="B6934" s="501"/>
      <c r="C6934" s="502"/>
      <c r="D6934" s="497"/>
      <c r="E6934" s="497"/>
      <c r="F6934" s="502"/>
      <c r="G6934" s="497"/>
      <c r="H6934" s="497"/>
      <c r="I6934" s="497"/>
      <c r="J6934" s="497"/>
      <c r="K6934" s="500"/>
      <c r="L6934" s="497"/>
      <c r="M6934"/>
      <c r="N6934" s="498"/>
      <c r="O6934" s="498"/>
      <c r="P6934" s="498"/>
      <c r="Q6934" s="498"/>
      <c r="R6934" s="498"/>
      <c r="T6934" s="498"/>
      <c r="U6934" s="498"/>
      <c r="V6934" s="498"/>
      <c r="W6934" s="498"/>
      <c r="X6934" s="498"/>
      <c r="Y6934" s="498"/>
      <c r="Z6934" s="498"/>
      <c r="AA6934" s="498"/>
      <c r="AB6934" s="498"/>
      <c r="AC6934" s="498"/>
      <c r="AD6934" s="498"/>
      <c r="AE6934" s="498"/>
      <c r="AF6934" s="498"/>
      <c r="AG6934" s="498"/>
      <c r="AH6934" s="498"/>
      <c r="AI6934" s="498"/>
      <c r="AK6934" s="498"/>
      <c r="AL6934" s="498"/>
      <c r="AM6934" s="498"/>
      <c r="AN6934" s="498"/>
      <c r="AO6934" s="498"/>
      <c r="AP6934" s="498"/>
      <c r="AQ6934" s="498"/>
      <c r="AR6934" s="498"/>
      <c r="AS6934" s="498"/>
      <c r="AT6934" s="498"/>
      <c r="AU6934" s="498"/>
      <c r="AV6934" s="498"/>
      <c r="AW6934" s="498"/>
      <c r="AX6934" s="498"/>
      <c r="AY6934" s="498"/>
      <c r="AZ6934" s="498"/>
      <c r="BA6934" s="498"/>
    </row>
    <row r="6935" spans="1:53" s="499" customFormat="1" x14ac:dyDescent="0.25">
      <c r="A6935" s="500"/>
      <c r="B6935" s="501"/>
      <c r="C6935" s="502"/>
      <c r="D6935" s="497"/>
      <c r="E6935" s="497"/>
      <c r="F6935" s="502"/>
      <c r="G6935" s="497"/>
      <c r="H6935" s="497"/>
      <c r="I6935" s="497"/>
      <c r="J6935" s="497"/>
      <c r="K6935" s="500"/>
      <c r="L6935" s="497"/>
      <c r="M6935"/>
      <c r="N6935" s="498"/>
      <c r="O6935" s="498"/>
      <c r="P6935" s="498"/>
      <c r="Q6935" s="498"/>
      <c r="R6935" s="498"/>
      <c r="T6935" s="498"/>
      <c r="U6935" s="498"/>
      <c r="V6935" s="498"/>
      <c r="W6935" s="498"/>
      <c r="X6935" s="498"/>
      <c r="Y6935" s="498"/>
      <c r="Z6935" s="498"/>
      <c r="AA6935" s="498"/>
      <c r="AB6935" s="498"/>
      <c r="AC6935" s="498"/>
      <c r="AD6935" s="498"/>
      <c r="AE6935" s="498"/>
      <c r="AF6935" s="498"/>
      <c r="AG6935" s="498"/>
      <c r="AH6935" s="498"/>
      <c r="AI6935" s="498"/>
      <c r="AK6935" s="498"/>
      <c r="AL6935" s="498"/>
      <c r="AM6935" s="498"/>
      <c r="AN6935" s="498"/>
      <c r="AO6935" s="498"/>
      <c r="AP6935" s="498"/>
      <c r="AQ6935" s="498"/>
      <c r="AR6935" s="498"/>
      <c r="AS6935" s="498"/>
      <c r="AT6935" s="498"/>
      <c r="AU6935" s="498"/>
      <c r="AV6935" s="498"/>
      <c r="AW6935" s="498"/>
      <c r="AX6935" s="498"/>
      <c r="AY6935" s="498"/>
      <c r="AZ6935" s="498"/>
      <c r="BA6935" s="498"/>
    </row>
    <row r="6936" spans="1:53" s="499" customFormat="1" x14ac:dyDescent="0.25">
      <c r="A6936" s="500"/>
      <c r="B6936" s="501"/>
      <c r="C6936" s="502"/>
      <c r="D6936" s="497"/>
      <c r="E6936" s="497"/>
      <c r="F6936" s="502"/>
      <c r="G6936" s="497"/>
      <c r="H6936" s="497"/>
      <c r="I6936" s="497"/>
      <c r="J6936" s="497"/>
      <c r="K6936" s="500"/>
      <c r="L6936" s="497"/>
      <c r="M6936"/>
      <c r="N6936" s="498"/>
      <c r="O6936" s="498"/>
      <c r="P6936" s="498"/>
      <c r="Q6936" s="498"/>
      <c r="R6936" s="498"/>
      <c r="T6936" s="498"/>
      <c r="U6936" s="498"/>
      <c r="V6936" s="498"/>
      <c r="W6936" s="498"/>
      <c r="X6936" s="498"/>
      <c r="Y6936" s="498"/>
      <c r="Z6936" s="498"/>
      <c r="AA6936" s="498"/>
      <c r="AB6936" s="498"/>
      <c r="AC6936" s="498"/>
      <c r="AD6936" s="498"/>
      <c r="AE6936" s="498"/>
      <c r="AF6936" s="498"/>
      <c r="AG6936" s="498"/>
      <c r="AH6936" s="498"/>
      <c r="AI6936" s="498"/>
      <c r="AK6936" s="498"/>
      <c r="AL6936" s="498"/>
      <c r="AM6936" s="498"/>
      <c r="AN6936" s="498"/>
      <c r="AO6936" s="498"/>
      <c r="AP6936" s="498"/>
      <c r="AQ6936" s="498"/>
      <c r="AR6936" s="498"/>
      <c r="AS6936" s="498"/>
      <c r="AT6936" s="498"/>
      <c r="AU6936" s="498"/>
      <c r="AV6936" s="498"/>
      <c r="AW6936" s="498"/>
      <c r="AX6936" s="498"/>
      <c r="AY6936" s="498"/>
      <c r="AZ6936" s="498"/>
      <c r="BA6936" s="498"/>
    </row>
    <row r="6937" spans="1:53" s="499" customFormat="1" x14ac:dyDescent="0.25">
      <c r="A6937" s="500"/>
      <c r="B6937" s="501"/>
      <c r="C6937" s="502"/>
      <c r="D6937" s="497"/>
      <c r="E6937" s="497"/>
      <c r="F6937" s="502"/>
      <c r="G6937" s="497"/>
      <c r="H6937" s="497"/>
      <c r="I6937" s="497"/>
      <c r="J6937" s="497"/>
      <c r="K6937" s="500"/>
      <c r="L6937" s="497"/>
      <c r="M6937"/>
      <c r="N6937" s="498"/>
      <c r="O6937" s="498"/>
      <c r="P6937" s="498"/>
      <c r="Q6937" s="498"/>
      <c r="R6937" s="498"/>
      <c r="T6937" s="498"/>
      <c r="U6937" s="498"/>
      <c r="V6937" s="498"/>
      <c r="W6937" s="498"/>
      <c r="X6937" s="498"/>
      <c r="Y6937" s="498"/>
      <c r="Z6937" s="498"/>
      <c r="AA6937" s="498"/>
      <c r="AB6937" s="498"/>
      <c r="AC6937" s="498"/>
      <c r="AD6937" s="498"/>
      <c r="AE6937" s="498"/>
      <c r="AF6937" s="498"/>
      <c r="AG6937" s="498"/>
      <c r="AH6937" s="498"/>
      <c r="AI6937" s="498"/>
      <c r="AK6937" s="498"/>
      <c r="AL6937" s="498"/>
      <c r="AM6937" s="498"/>
      <c r="AN6937" s="498"/>
      <c r="AO6937" s="498"/>
      <c r="AP6937" s="498"/>
      <c r="AQ6937" s="498"/>
      <c r="AR6937" s="498"/>
      <c r="AS6937" s="498"/>
      <c r="AT6937" s="498"/>
      <c r="AU6937" s="498"/>
      <c r="AV6937" s="498"/>
      <c r="AW6937" s="498"/>
      <c r="AX6937" s="498"/>
      <c r="AY6937" s="498"/>
      <c r="AZ6937" s="498"/>
      <c r="BA6937" s="498"/>
    </row>
    <row r="6938" spans="1:53" s="499" customFormat="1" x14ac:dyDescent="0.25">
      <c r="A6938" s="500"/>
      <c r="B6938" s="501"/>
      <c r="C6938" s="502"/>
      <c r="D6938" s="497"/>
      <c r="E6938" s="497"/>
      <c r="F6938" s="502"/>
      <c r="G6938" s="497"/>
      <c r="H6938" s="497"/>
      <c r="I6938" s="497"/>
      <c r="J6938" s="497"/>
      <c r="K6938" s="500"/>
      <c r="L6938" s="497"/>
      <c r="M6938"/>
      <c r="N6938" s="498"/>
      <c r="O6938" s="498"/>
      <c r="P6938" s="498"/>
      <c r="Q6938" s="498"/>
      <c r="R6938" s="498"/>
      <c r="T6938" s="498"/>
      <c r="U6938" s="498"/>
      <c r="V6938" s="498"/>
      <c r="W6938" s="498"/>
      <c r="X6938" s="498"/>
      <c r="Y6938" s="498"/>
      <c r="Z6938" s="498"/>
      <c r="AA6938" s="498"/>
      <c r="AB6938" s="498"/>
      <c r="AC6938" s="498"/>
      <c r="AD6938" s="498"/>
      <c r="AE6938" s="498"/>
      <c r="AF6938" s="498"/>
      <c r="AG6938" s="498"/>
      <c r="AH6938" s="498"/>
      <c r="AI6938" s="498"/>
      <c r="AK6938" s="498"/>
      <c r="AL6938" s="498"/>
      <c r="AM6938" s="498"/>
      <c r="AN6938" s="498"/>
      <c r="AO6938" s="498"/>
      <c r="AP6938" s="498"/>
      <c r="AQ6938" s="498"/>
      <c r="AR6938" s="498"/>
      <c r="AS6938" s="498"/>
      <c r="AT6938" s="498"/>
      <c r="AU6938" s="498"/>
      <c r="AV6938" s="498"/>
      <c r="AW6938" s="498"/>
      <c r="AX6938" s="498"/>
      <c r="AY6938" s="498"/>
      <c r="AZ6938" s="498"/>
      <c r="BA6938" s="498"/>
    </row>
    <row r="6939" spans="1:53" s="499" customFormat="1" x14ac:dyDescent="0.25">
      <c r="A6939" s="500"/>
      <c r="B6939" s="501"/>
      <c r="C6939" s="502"/>
      <c r="D6939" s="497"/>
      <c r="E6939" s="497"/>
      <c r="F6939" s="502"/>
      <c r="G6939" s="497"/>
      <c r="H6939" s="497"/>
      <c r="I6939" s="497"/>
      <c r="J6939" s="497"/>
      <c r="K6939" s="500"/>
      <c r="L6939" s="497"/>
      <c r="M6939"/>
      <c r="N6939" s="498"/>
      <c r="O6939" s="498"/>
      <c r="P6939" s="498"/>
      <c r="Q6939" s="498"/>
      <c r="R6939" s="498"/>
      <c r="T6939" s="498"/>
      <c r="U6939" s="498"/>
      <c r="V6939" s="498"/>
      <c r="W6939" s="498"/>
      <c r="X6939" s="498"/>
      <c r="Y6939" s="498"/>
      <c r="Z6939" s="498"/>
      <c r="AA6939" s="498"/>
      <c r="AB6939" s="498"/>
      <c r="AC6939" s="498"/>
      <c r="AD6939" s="498"/>
      <c r="AE6939" s="498"/>
      <c r="AF6939" s="498"/>
      <c r="AG6939" s="498"/>
      <c r="AH6939" s="498"/>
      <c r="AI6939" s="498"/>
      <c r="AK6939" s="498"/>
      <c r="AL6939" s="498"/>
      <c r="AM6939" s="498"/>
      <c r="AN6939" s="498"/>
      <c r="AO6939" s="498"/>
      <c r="AP6939" s="498"/>
      <c r="AQ6939" s="498"/>
      <c r="AR6939" s="498"/>
      <c r="AS6939" s="498"/>
      <c r="AT6939" s="498"/>
      <c r="AU6939" s="498"/>
      <c r="AV6939" s="498"/>
      <c r="AW6939" s="498"/>
      <c r="AX6939" s="498"/>
      <c r="AY6939" s="498"/>
      <c r="AZ6939" s="498"/>
      <c r="BA6939" s="498"/>
    </row>
    <row r="6940" spans="1:53" s="499" customFormat="1" x14ac:dyDescent="0.25">
      <c r="A6940" s="500"/>
      <c r="B6940" s="501"/>
      <c r="C6940" s="502"/>
      <c r="D6940" s="497"/>
      <c r="E6940" s="497"/>
      <c r="F6940" s="502"/>
      <c r="G6940" s="497"/>
      <c r="H6940" s="497"/>
      <c r="I6940" s="497"/>
      <c r="J6940" s="497"/>
      <c r="K6940" s="500"/>
      <c r="L6940" s="497"/>
      <c r="M6940"/>
      <c r="N6940" s="498"/>
      <c r="O6940" s="498"/>
      <c r="P6940" s="498"/>
      <c r="Q6940" s="498"/>
      <c r="R6940" s="498"/>
      <c r="T6940" s="498"/>
      <c r="U6940" s="498"/>
      <c r="V6940" s="498"/>
      <c r="W6940" s="498"/>
      <c r="X6940" s="498"/>
      <c r="Y6940" s="498"/>
      <c r="Z6940" s="498"/>
      <c r="AA6940" s="498"/>
      <c r="AB6940" s="498"/>
      <c r="AC6940" s="498"/>
      <c r="AD6940" s="498"/>
      <c r="AE6940" s="498"/>
      <c r="AF6940" s="498"/>
      <c r="AG6940" s="498"/>
      <c r="AH6940" s="498"/>
      <c r="AI6940" s="498"/>
      <c r="AK6940" s="498"/>
      <c r="AL6940" s="498"/>
      <c r="AM6940" s="498"/>
      <c r="AN6940" s="498"/>
      <c r="AO6940" s="498"/>
      <c r="AP6940" s="498"/>
      <c r="AQ6940" s="498"/>
      <c r="AR6940" s="498"/>
      <c r="AS6940" s="498"/>
      <c r="AT6940" s="498"/>
      <c r="AU6940" s="498"/>
      <c r="AV6940" s="498"/>
      <c r="AW6940" s="498"/>
      <c r="AX6940" s="498"/>
      <c r="AY6940" s="498"/>
      <c r="AZ6940" s="498"/>
      <c r="BA6940" s="498"/>
    </row>
    <row r="6941" spans="1:53" s="499" customFormat="1" x14ac:dyDescent="0.25">
      <c r="A6941" s="500"/>
      <c r="B6941" s="501"/>
      <c r="C6941" s="502"/>
      <c r="D6941" s="497"/>
      <c r="E6941" s="497"/>
      <c r="F6941" s="502"/>
      <c r="G6941" s="497"/>
      <c r="H6941" s="497"/>
      <c r="I6941" s="497"/>
      <c r="J6941" s="497"/>
      <c r="K6941" s="500"/>
      <c r="L6941" s="497"/>
      <c r="M6941"/>
      <c r="N6941" s="498"/>
      <c r="O6941" s="498"/>
      <c r="P6941" s="498"/>
      <c r="Q6941" s="498"/>
      <c r="R6941" s="498"/>
      <c r="T6941" s="498"/>
      <c r="U6941" s="498"/>
      <c r="V6941" s="498"/>
      <c r="W6941" s="498"/>
      <c r="X6941" s="498"/>
      <c r="Y6941" s="498"/>
      <c r="Z6941" s="498"/>
      <c r="AA6941" s="498"/>
      <c r="AB6941" s="498"/>
      <c r="AC6941" s="498"/>
      <c r="AD6941" s="498"/>
      <c r="AE6941" s="498"/>
      <c r="AF6941" s="498"/>
      <c r="AG6941" s="498"/>
      <c r="AH6941" s="498"/>
      <c r="AI6941" s="498"/>
      <c r="AK6941" s="498"/>
      <c r="AL6941" s="498"/>
      <c r="AM6941" s="498"/>
      <c r="AN6941" s="498"/>
      <c r="AO6941" s="498"/>
      <c r="AP6941" s="498"/>
      <c r="AQ6941" s="498"/>
      <c r="AR6941" s="498"/>
      <c r="AS6941" s="498"/>
      <c r="AT6941" s="498"/>
      <c r="AU6941" s="498"/>
      <c r="AV6941" s="498"/>
      <c r="AW6941" s="498"/>
      <c r="AX6941" s="498"/>
      <c r="AY6941" s="498"/>
      <c r="AZ6941" s="498"/>
      <c r="BA6941" s="498"/>
    </row>
    <row r="6942" spans="1:53" s="499" customFormat="1" x14ac:dyDescent="0.25">
      <c r="A6942" s="500"/>
      <c r="B6942" s="501"/>
      <c r="C6942" s="502"/>
      <c r="D6942" s="497"/>
      <c r="E6942" s="497"/>
      <c r="F6942" s="502"/>
      <c r="G6942" s="497"/>
      <c r="H6942" s="497"/>
      <c r="I6942" s="497"/>
      <c r="J6942" s="497"/>
      <c r="K6942" s="500"/>
      <c r="L6942" s="497"/>
      <c r="M6942"/>
      <c r="N6942" s="498"/>
      <c r="O6942" s="498"/>
      <c r="P6942" s="498"/>
      <c r="Q6942" s="498"/>
      <c r="R6942" s="498"/>
      <c r="T6942" s="498"/>
      <c r="U6942" s="498"/>
      <c r="V6942" s="498"/>
      <c r="W6942" s="498"/>
      <c r="X6942" s="498"/>
      <c r="Y6942" s="498"/>
      <c r="Z6942" s="498"/>
      <c r="AA6942" s="498"/>
      <c r="AB6942" s="498"/>
      <c r="AC6942" s="498"/>
      <c r="AD6942" s="498"/>
      <c r="AE6942" s="498"/>
      <c r="AF6942" s="498"/>
      <c r="AG6942" s="498"/>
      <c r="AH6942" s="498"/>
      <c r="AI6942" s="498"/>
      <c r="AK6942" s="498"/>
      <c r="AL6942" s="498"/>
      <c r="AM6942" s="498"/>
      <c r="AN6942" s="498"/>
      <c r="AO6942" s="498"/>
      <c r="AP6942" s="498"/>
      <c r="AQ6942" s="498"/>
      <c r="AR6942" s="498"/>
      <c r="AS6942" s="498"/>
      <c r="AT6942" s="498"/>
      <c r="AU6942" s="498"/>
      <c r="AV6942" s="498"/>
      <c r="AW6942" s="498"/>
      <c r="AX6942" s="498"/>
      <c r="AY6942" s="498"/>
      <c r="AZ6942" s="498"/>
      <c r="BA6942" s="498"/>
    </row>
    <row r="6943" spans="1:53" s="499" customFormat="1" x14ac:dyDescent="0.25">
      <c r="A6943" s="500"/>
      <c r="B6943" s="501"/>
      <c r="C6943" s="502"/>
      <c r="D6943" s="497"/>
      <c r="E6943" s="497"/>
      <c r="F6943" s="502"/>
      <c r="G6943" s="497"/>
      <c r="H6943" s="497"/>
      <c r="I6943" s="497"/>
      <c r="J6943" s="497"/>
      <c r="K6943" s="500"/>
      <c r="L6943" s="497"/>
      <c r="M6943"/>
      <c r="N6943" s="498"/>
      <c r="O6943" s="498"/>
      <c r="P6943" s="498"/>
      <c r="Q6943" s="498"/>
      <c r="R6943" s="498"/>
      <c r="T6943" s="498"/>
      <c r="U6943" s="498"/>
      <c r="V6943" s="498"/>
      <c r="W6943" s="498"/>
      <c r="X6943" s="498"/>
      <c r="Y6943" s="498"/>
      <c r="Z6943" s="498"/>
      <c r="AA6943" s="498"/>
      <c r="AB6943" s="498"/>
      <c r="AC6943" s="498"/>
      <c r="AD6943" s="498"/>
      <c r="AE6943" s="498"/>
      <c r="AF6943" s="498"/>
      <c r="AG6943" s="498"/>
      <c r="AH6943" s="498"/>
      <c r="AI6943" s="498"/>
      <c r="AK6943" s="498"/>
      <c r="AL6943" s="498"/>
      <c r="AM6943" s="498"/>
      <c r="AN6943" s="498"/>
      <c r="AO6943" s="498"/>
      <c r="AP6943" s="498"/>
      <c r="AQ6943" s="498"/>
      <c r="AR6943" s="498"/>
      <c r="AS6943" s="498"/>
      <c r="AT6943" s="498"/>
      <c r="AU6943" s="498"/>
      <c r="AV6943" s="498"/>
      <c r="AW6943" s="498"/>
      <c r="AX6943" s="498"/>
      <c r="AY6943" s="498"/>
      <c r="AZ6943" s="498"/>
      <c r="BA6943" s="498"/>
    </row>
    <row r="6944" spans="1:53" s="499" customFormat="1" x14ac:dyDescent="0.25">
      <c r="A6944" s="500"/>
      <c r="B6944" s="501"/>
      <c r="C6944" s="502"/>
      <c r="D6944" s="497"/>
      <c r="E6944" s="497"/>
      <c r="F6944" s="502"/>
      <c r="G6944" s="497"/>
      <c r="H6944" s="497"/>
      <c r="I6944" s="497"/>
      <c r="J6944" s="497"/>
      <c r="K6944" s="500"/>
      <c r="L6944" s="497"/>
      <c r="M6944"/>
      <c r="N6944" s="498"/>
      <c r="O6944" s="498"/>
      <c r="P6944" s="498"/>
      <c r="Q6944" s="498"/>
      <c r="R6944" s="498"/>
      <c r="T6944" s="498"/>
      <c r="U6944" s="498"/>
      <c r="V6944" s="498"/>
      <c r="W6944" s="498"/>
      <c r="X6944" s="498"/>
      <c r="Y6944" s="498"/>
      <c r="Z6944" s="498"/>
      <c r="AA6944" s="498"/>
      <c r="AB6944" s="498"/>
      <c r="AC6944" s="498"/>
      <c r="AD6944" s="498"/>
      <c r="AE6944" s="498"/>
      <c r="AF6944" s="498"/>
      <c r="AG6944" s="498"/>
      <c r="AH6944" s="498"/>
      <c r="AI6944" s="498"/>
      <c r="AK6944" s="498"/>
      <c r="AL6944" s="498"/>
      <c r="AM6944" s="498"/>
      <c r="AN6944" s="498"/>
      <c r="AO6944" s="498"/>
      <c r="AP6944" s="498"/>
      <c r="AQ6944" s="498"/>
      <c r="AR6944" s="498"/>
      <c r="AS6944" s="498"/>
      <c r="AT6944" s="498"/>
      <c r="AU6944" s="498"/>
      <c r="AV6944" s="498"/>
      <c r="AW6944" s="498"/>
      <c r="AX6944" s="498"/>
      <c r="AY6944" s="498"/>
      <c r="AZ6944" s="498"/>
      <c r="BA6944" s="498"/>
    </row>
    <row r="6945" spans="1:53" s="499" customFormat="1" x14ac:dyDescent="0.25">
      <c r="A6945" s="500"/>
      <c r="B6945" s="501"/>
      <c r="C6945" s="502"/>
      <c r="D6945" s="497"/>
      <c r="E6945" s="497"/>
      <c r="F6945" s="502"/>
      <c r="G6945" s="497"/>
      <c r="H6945" s="497"/>
      <c r="I6945" s="497"/>
      <c r="J6945" s="497"/>
      <c r="K6945" s="500"/>
      <c r="L6945" s="497"/>
      <c r="M6945"/>
      <c r="N6945" s="498"/>
      <c r="O6945" s="498"/>
      <c r="P6945" s="498"/>
      <c r="Q6945" s="498"/>
      <c r="R6945" s="498"/>
      <c r="T6945" s="498"/>
      <c r="U6945" s="498"/>
      <c r="V6945" s="498"/>
      <c r="W6945" s="498"/>
      <c r="X6945" s="498"/>
      <c r="Y6945" s="498"/>
      <c r="Z6945" s="498"/>
      <c r="AA6945" s="498"/>
      <c r="AB6945" s="498"/>
      <c r="AC6945" s="498"/>
      <c r="AD6945" s="498"/>
      <c r="AE6945" s="498"/>
      <c r="AF6945" s="498"/>
      <c r="AG6945" s="498"/>
      <c r="AH6945" s="498"/>
      <c r="AI6945" s="498"/>
      <c r="AK6945" s="498"/>
      <c r="AL6945" s="498"/>
      <c r="AM6945" s="498"/>
      <c r="AN6945" s="498"/>
      <c r="AO6945" s="498"/>
      <c r="AP6945" s="498"/>
      <c r="AQ6945" s="498"/>
      <c r="AR6945" s="498"/>
      <c r="AS6945" s="498"/>
      <c r="AT6945" s="498"/>
      <c r="AU6945" s="498"/>
      <c r="AV6945" s="498"/>
      <c r="AW6945" s="498"/>
      <c r="AX6945" s="498"/>
      <c r="AY6945" s="498"/>
      <c r="AZ6945" s="498"/>
      <c r="BA6945" s="498"/>
    </row>
    <row r="6946" spans="1:53" s="499" customFormat="1" x14ac:dyDescent="0.25">
      <c r="A6946" s="500"/>
      <c r="B6946" s="501"/>
      <c r="C6946" s="502"/>
      <c r="D6946" s="497"/>
      <c r="E6946" s="497"/>
      <c r="F6946" s="502"/>
      <c r="G6946" s="497"/>
      <c r="H6946" s="497"/>
      <c r="I6946" s="497"/>
      <c r="J6946" s="497"/>
      <c r="K6946" s="500"/>
      <c r="L6946" s="497"/>
      <c r="M6946"/>
      <c r="N6946" s="498"/>
      <c r="O6946" s="498"/>
      <c r="P6946" s="498"/>
      <c r="Q6946" s="498"/>
      <c r="R6946" s="498"/>
      <c r="T6946" s="498"/>
      <c r="U6946" s="498"/>
      <c r="V6946" s="498"/>
      <c r="W6946" s="498"/>
      <c r="X6946" s="498"/>
      <c r="Y6946" s="498"/>
      <c r="Z6946" s="498"/>
      <c r="AA6946" s="498"/>
      <c r="AB6946" s="498"/>
      <c r="AC6946" s="498"/>
      <c r="AD6946" s="498"/>
      <c r="AE6946" s="498"/>
      <c r="AF6946" s="498"/>
      <c r="AG6946" s="498"/>
      <c r="AH6946" s="498"/>
      <c r="AI6946" s="498"/>
      <c r="AK6946" s="498"/>
      <c r="AL6946" s="498"/>
      <c r="AM6946" s="498"/>
      <c r="AN6946" s="498"/>
      <c r="AO6946" s="498"/>
      <c r="AP6946" s="498"/>
      <c r="AQ6946" s="498"/>
      <c r="AR6946" s="498"/>
      <c r="AS6946" s="498"/>
      <c r="AT6946" s="498"/>
      <c r="AU6946" s="498"/>
      <c r="AV6946" s="498"/>
      <c r="AW6946" s="498"/>
      <c r="AX6946" s="498"/>
      <c r="AY6946" s="498"/>
      <c r="AZ6946" s="498"/>
      <c r="BA6946" s="498"/>
    </row>
    <row r="6947" spans="1:53" s="499" customFormat="1" x14ac:dyDescent="0.25">
      <c r="A6947" s="500"/>
      <c r="B6947" s="501"/>
      <c r="C6947" s="502"/>
      <c r="D6947" s="497"/>
      <c r="E6947" s="497"/>
      <c r="F6947" s="502"/>
      <c r="G6947" s="497"/>
      <c r="H6947" s="497"/>
      <c r="I6947" s="497"/>
      <c r="J6947" s="497"/>
      <c r="K6947" s="500"/>
      <c r="L6947" s="497"/>
      <c r="M6947"/>
      <c r="N6947" s="498"/>
      <c r="O6947" s="498"/>
      <c r="P6947" s="498"/>
      <c r="Q6947" s="498"/>
      <c r="R6947" s="498"/>
      <c r="T6947" s="498"/>
      <c r="U6947" s="498"/>
      <c r="V6947" s="498"/>
      <c r="W6947" s="498"/>
      <c r="X6947" s="498"/>
      <c r="Y6947" s="498"/>
      <c r="Z6947" s="498"/>
      <c r="AA6947" s="498"/>
      <c r="AB6947" s="498"/>
      <c r="AC6947" s="498"/>
      <c r="AD6947" s="498"/>
      <c r="AE6947" s="498"/>
      <c r="AF6947" s="498"/>
      <c r="AG6947" s="498"/>
      <c r="AH6947" s="498"/>
      <c r="AI6947" s="498"/>
      <c r="AK6947" s="498"/>
      <c r="AL6947" s="498"/>
      <c r="AM6947" s="498"/>
      <c r="AN6947" s="498"/>
      <c r="AO6947" s="498"/>
      <c r="AP6947" s="498"/>
      <c r="AQ6947" s="498"/>
      <c r="AR6947" s="498"/>
      <c r="AS6947" s="498"/>
      <c r="AT6947" s="498"/>
      <c r="AU6947" s="498"/>
      <c r="AV6947" s="498"/>
      <c r="AW6947" s="498"/>
      <c r="AX6947" s="498"/>
      <c r="AY6947" s="498"/>
      <c r="AZ6947" s="498"/>
      <c r="BA6947" s="498"/>
    </row>
    <row r="6948" spans="1:53" s="499" customFormat="1" x14ac:dyDescent="0.25">
      <c r="A6948" s="500"/>
      <c r="B6948" s="501"/>
      <c r="C6948" s="502"/>
      <c r="D6948" s="497"/>
      <c r="E6948" s="497"/>
      <c r="F6948" s="502"/>
      <c r="G6948" s="497"/>
      <c r="H6948" s="497"/>
      <c r="I6948" s="497"/>
      <c r="J6948" s="497"/>
      <c r="K6948" s="500"/>
      <c r="L6948" s="497"/>
      <c r="M6948"/>
      <c r="N6948" s="498"/>
      <c r="O6948" s="498"/>
      <c r="P6948" s="498"/>
      <c r="Q6948" s="498"/>
      <c r="R6948" s="498"/>
      <c r="T6948" s="498"/>
      <c r="U6948" s="498"/>
      <c r="V6948" s="498"/>
      <c r="W6948" s="498"/>
      <c r="X6948" s="498"/>
      <c r="Y6948" s="498"/>
      <c r="Z6948" s="498"/>
      <c r="AA6948" s="498"/>
      <c r="AB6948" s="498"/>
      <c r="AC6948" s="498"/>
      <c r="AD6948" s="498"/>
      <c r="AE6948" s="498"/>
      <c r="AF6948" s="498"/>
      <c r="AG6948" s="498"/>
      <c r="AH6948" s="498"/>
      <c r="AI6948" s="498"/>
      <c r="AK6948" s="498"/>
      <c r="AL6948" s="498"/>
      <c r="AM6948" s="498"/>
      <c r="AN6948" s="498"/>
      <c r="AO6948" s="498"/>
      <c r="AP6948" s="498"/>
      <c r="AQ6948" s="498"/>
      <c r="AR6948" s="498"/>
      <c r="AS6948" s="498"/>
      <c r="AT6948" s="498"/>
      <c r="AU6948" s="498"/>
      <c r="AV6948" s="498"/>
      <c r="AW6948" s="498"/>
      <c r="AX6948" s="498"/>
      <c r="AY6948" s="498"/>
      <c r="AZ6948" s="498"/>
      <c r="BA6948" s="498"/>
    </row>
    <row r="6949" spans="1:53" s="499" customFormat="1" x14ac:dyDescent="0.25">
      <c r="A6949" s="500"/>
      <c r="B6949" s="501"/>
      <c r="C6949" s="502"/>
      <c r="D6949" s="497"/>
      <c r="E6949" s="497"/>
      <c r="F6949" s="502"/>
      <c r="G6949" s="497"/>
      <c r="H6949" s="497"/>
      <c r="I6949" s="497"/>
      <c r="J6949" s="497"/>
      <c r="K6949" s="500"/>
      <c r="L6949" s="497"/>
      <c r="M6949"/>
      <c r="N6949" s="498"/>
      <c r="O6949" s="498"/>
      <c r="P6949" s="498"/>
      <c r="Q6949" s="498"/>
      <c r="R6949" s="498"/>
      <c r="T6949" s="498"/>
      <c r="U6949" s="498"/>
      <c r="V6949" s="498"/>
      <c r="W6949" s="498"/>
      <c r="X6949" s="498"/>
      <c r="Y6949" s="498"/>
      <c r="Z6949" s="498"/>
      <c r="AA6949" s="498"/>
      <c r="AB6949" s="498"/>
      <c r="AC6949" s="498"/>
      <c r="AD6949" s="498"/>
      <c r="AE6949" s="498"/>
      <c r="AF6949" s="498"/>
      <c r="AG6949" s="498"/>
      <c r="AH6949" s="498"/>
      <c r="AI6949" s="498"/>
      <c r="AK6949" s="498"/>
      <c r="AL6949" s="498"/>
      <c r="AM6949" s="498"/>
      <c r="AN6949" s="498"/>
      <c r="AO6949" s="498"/>
      <c r="AP6949" s="498"/>
      <c r="AQ6949" s="498"/>
      <c r="AR6949" s="498"/>
      <c r="AS6949" s="498"/>
      <c r="AT6949" s="498"/>
      <c r="AU6949" s="498"/>
      <c r="AV6949" s="498"/>
      <c r="AW6949" s="498"/>
      <c r="AX6949" s="498"/>
      <c r="AY6949" s="498"/>
      <c r="AZ6949" s="498"/>
      <c r="BA6949" s="498"/>
    </row>
    <row r="6950" spans="1:53" s="499" customFormat="1" x14ac:dyDescent="0.25">
      <c r="A6950" s="500"/>
      <c r="B6950" s="501"/>
      <c r="C6950" s="502"/>
      <c r="D6950" s="497"/>
      <c r="E6950" s="497"/>
      <c r="F6950" s="502"/>
      <c r="G6950" s="497"/>
      <c r="H6950" s="497"/>
      <c r="I6950" s="497"/>
      <c r="J6950" s="497"/>
      <c r="K6950" s="500"/>
      <c r="L6950" s="497"/>
      <c r="M6950"/>
      <c r="N6950" s="498"/>
      <c r="O6950" s="498"/>
      <c r="P6950" s="498"/>
      <c r="Q6950" s="498"/>
      <c r="R6950" s="498"/>
      <c r="T6950" s="498"/>
      <c r="U6950" s="498"/>
      <c r="V6950" s="498"/>
      <c r="W6950" s="498"/>
      <c r="X6950" s="498"/>
      <c r="Y6950" s="498"/>
      <c r="Z6950" s="498"/>
      <c r="AA6950" s="498"/>
      <c r="AB6950" s="498"/>
      <c r="AC6950" s="498"/>
      <c r="AD6950" s="498"/>
      <c r="AE6950" s="498"/>
      <c r="AF6950" s="498"/>
      <c r="AG6950" s="498"/>
      <c r="AH6950" s="498"/>
      <c r="AI6950" s="498"/>
      <c r="AK6950" s="498"/>
      <c r="AL6950" s="498"/>
      <c r="AM6950" s="498"/>
      <c r="AN6950" s="498"/>
      <c r="AO6950" s="498"/>
      <c r="AP6950" s="498"/>
      <c r="AQ6950" s="498"/>
      <c r="AR6950" s="498"/>
      <c r="AS6950" s="498"/>
      <c r="AT6950" s="498"/>
      <c r="AU6950" s="498"/>
      <c r="AV6950" s="498"/>
      <c r="AW6950" s="498"/>
      <c r="AX6950" s="498"/>
      <c r="AY6950" s="498"/>
      <c r="AZ6950" s="498"/>
      <c r="BA6950" s="498"/>
    </row>
    <row r="6951" spans="1:53" s="499" customFormat="1" x14ac:dyDescent="0.25">
      <c r="A6951" s="500"/>
      <c r="B6951" s="501"/>
      <c r="C6951" s="502"/>
      <c r="D6951" s="497"/>
      <c r="E6951" s="497"/>
      <c r="F6951" s="502"/>
      <c r="G6951" s="497"/>
      <c r="H6951" s="497"/>
      <c r="I6951" s="497"/>
      <c r="J6951" s="497"/>
      <c r="K6951" s="500"/>
      <c r="L6951" s="497"/>
      <c r="M6951"/>
      <c r="N6951" s="498"/>
      <c r="O6951" s="498"/>
      <c r="P6951" s="498"/>
      <c r="Q6951" s="498"/>
      <c r="R6951" s="498"/>
      <c r="T6951" s="498"/>
      <c r="U6951" s="498"/>
      <c r="V6951" s="498"/>
      <c r="W6951" s="498"/>
      <c r="X6951" s="498"/>
      <c r="Y6951" s="498"/>
      <c r="Z6951" s="498"/>
      <c r="AA6951" s="498"/>
      <c r="AB6951" s="498"/>
      <c r="AC6951" s="498"/>
      <c r="AD6951" s="498"/>
      <c r="AE6951" s="498"/>
      <c r="AF6951" s="498"/>
      <c r="AG6951" s="498"/>
      <c r="AH6951" s="498"/>
      <c r="AI6951" s="498"/>
      <c r="AK6951" s="498"/>
      <c r="AL6951" s="498"/>
      <c r="AM6951" s="498"/>
      <c r="AN6951" s="498"/>
      <c r="AO6951" s="498"/>
      <c r="AP6951" s="498"/>
      <c r="AQ6951" s="498"/>
      <c r="AR6951" s="498"/>
      <c r="AS6951" s="498"/>
      <c r="AT6951" s="498"/>
      <c r="AU6951" s="498"/>
      <c r="AV6951" s="498"/>
      <c r="AW6951" s="498"/>
      <c r="AX6951" s="498"/>
      <c r="AY6951" s="498"/>
      <c r="AZ6951" s="498"/>
      <c r="BA6951" s="498"/>
    </row>
    <row r="6952" spans="1:53" s="499" customFormat="1" x14ac:dyDescent="0.25">
      <c r="A6952" s="500"/>
      <c r="B6952" s="501"/>
      <c r="C6952" s="502"/>
      <c r="D6952" s="497"/>
      <c r="E6952" s="497"/>
      <c r="F6952" s="502"/>
      <c r="G6952" s="497"/>
      <c r="H6952" s="497"/>
      <c r="I6952" s="497"/>
      <c r="J6952" s="497"/>
      <c r="K6952" s="500"/>
      <c r="L6952" s="497"/>
      <c r="M6952"/>
      <c r="N6952" s="498"/>
      <c r="O6952" s="498"/>
      <c r="P6952" s="498"/>
      <c r="Q6952" s="498"/>
      <c r="R6952" s="498"/>
      <c r="T6952" s="498"/>
      <c r="U6952" s="498"/>
      <c r="V6952" s="498"/>
      <c r="W6952" s="498"/>
      <c r="X6952" s="498"/>
      <c r="Y6952" s="498"/>
      <c r="Z6952" s="498"/>
      <c r="AA6952" s="498"/>
      <c r="AB6952" s="498"/>
      <c r="AC6952" s="498"/>
      <c r="AD6952" s="498"/>
      <c r="AE6952" s="498"/>
      <c r="AF6952" s="498"/>
      <c r="AG6952" s="498"/>
      <c r="AH6952" s="498"/>
      <c r="AI6952" s="498"/>
      <c r="AK6952" s="498"/>
      <c r="AL6952" s="498"/>
      <c r="AM6952" s="498"/>
      <c r="AN6952" s="498"/>
      <c r="AO6952" s="498"/>
      <c r="AP6952" s="498"/>
      <c r="AQ6952" s="498"/>
      <c r="AR6952" s="498"/>
      <c r="AS6952" s="498"/>
      <c r="AT6952" s="498"/>
      <c r="AU6952" s="498"/>
      <c r="AV6952" s="498"/>
      <c r="AW6952" s="498"/>
      <c r="AX6952" s="498"/>
      <c r="AY6952" s="498"/>
      <c r="AZ6952" s="498"/>
      <c r="BA6952" s="498"/>
    </row>
    <row r="6953" spans="1:53" s="499" customFormat="1" x14ac:dyDescent="0.25">
      <c r="A6953" s="500"/>
      <c r="B6953" s="501"/>
      <c r="C6953" s="502"/>
      <c r="D6953" s="497"/>
      <c r="E6953" s="497"/>
      <c r="F6953" s="502"/>
      <c r="G6953" s="497"/>
      <c r="H6953" s="497"/>
      <c r="I6953" s="497"/>
      <c r="J6953" s="497"/>
      <c r="K6953" s="500"/>
      <c r="L6953" s="497"/>
      <c r="M6953"/>
      <c r="N6953" s="498"/>
      <c r="O6953" s="498"/>
      <c r="P6953" s="498"/>
      <c r="Q6953" s="498"/>
      <c r="R6953" s="498"/>
      <c r="T6953" s="498"/>
      <c r="U6953" s="498"/>
      <c r="V6953" s="498"/>
      <c r="W6953" s="498"/>
      <c r="X6953" s="498"/>
      <c r="Y6953" s="498"/>
      <c r="Z6953" s="498"/>
      <c r="AA6953" s="498"/>
      <c r="AB6953" s="498"/>
      <c r="AC6953" s="498"/>
      <c r="AD6953" s="498"/>
      <c r="AE6953" s="498"/>
      <c r="AF6953" s="498"/>
      <c r="AG6953" s="498"/>
      <c r="AH6953" s="498"/>
      <c r="AI6953" s="498"/>
      <c r="AK6953" s="498"/>
      <c r="AL6953" s="498"/>
      <c r="AM6953" s="498"/>
      <c r="AN6953" s="498"/>
      <c r="AO6953" s="498"/>
      <c r="AP6953" s="498"/>
      <c r="AQ6953" s="498"/>
      <c r="AR6953" s="498"/>
      <c r="AS6953" s="498"/>
      <c r="AT6953" s="498"/>
      <c r="AU6953" s="498"/>
      <c r="AV6953" s="498"/>
      <c r="AW6953" s="498"/>
      <c r="AX6953" s="498"/>
      <c r="AY6953" s="498"/>
      <c r="AZ6953" s="498"/>
      <c r="BA6953" s="498"/>
    </row>
    <row r="6954" spans="1:53" s="499" customFormat="1" x14ac:dyDescent="0.25">
      <c r="A6954" s="500"/>
      <c r="B6954" s="501"/>
      <c r="C6954" s="502"/>
      <c r="D6954" s="497"/>
      <c r="E6954" s="497"/>
      <c r="F6954" s="502"/>
      <c r="G6954" s="497"/>
      <c r="H6954" s="497"/>
      <c r="I6954" s="497"/>
      <c r="J6954" s="497"/>
      <c r="K6954" s="500"/>
      <c r="L6954" s="497"/>
      <c r="M6954"/>
      <c r="N6954" s="498"/>
      <c r="O6954" s="498"/>
      <c r="P6954" s="498"/>
      <c r="Q6954" s="498"/>
      <c r="R6954" s="498"/>
      <c r="T6954" s="498"/>
      <c r="U6954" s="498"/>
      <c r="V6954" s="498"/>
      <c r="W6954" s="498"/>
      <c r="X6954" s="498"/>
      <c r="Y6954" s="498"/>
      <c r="Z6954" s="498"/>
      <c r="AA6954" s="498"/>
      <c r="AB6954" s="498"/>
      <c r="AC6954" s="498"/>
      <c r="AD6954" s="498"/>
      <c r="AE6954" s="498"/>
      <c r="AF6954" s="498"/>
      <c r="AG6954" s="498"/>
      <c r="AH6954" s="498"/>
      <c r="AI6954" s="498"/>
      <c r="AK6954" s="498"/>
      <c r="AL6954" s="498"/>
      <c r="AM6954" s="498"/>
      <c r="AN6954" s="498"/>
      <c r="AO6954" s="498"/>
      <c r="AP6954" s="498"/>
      <c r="AQ6954" s="498"/>
      <c r="AR6954" s="498"/>
      <c r="AS6954" s="498"/>
      <c r="AT6954" s="498"/>
      <c r="AU6954" s="498"/>
      <c r="AV6954" s="498"/>
      <c r="AW6954" s="498"/>
      <c r="AX6954" s="498"/>
      <c r="AY6954" s="498"/>
      <c r="AZ6954" s="498"/>
      <c r="BA6954" s="498"/>
    </row>
    <row r="6955" spans="1:53" s="499" customFormat="1" x14ac:dyDescent="0.25">
      <c r="A6955" s="500"/>
      <c r="B6955" s="501"/>
      <c r="C6955" s="502"/>
      <c r="D6955" s="497"/>
      <c r="E6955" s="497"/>
      <c r="F6955" s="502"/>
      <c r="G6955" s="497"/>
      <c r="H6955" s="497"/>
      <c r="I6955" s="497"/>
      <c r="J6955" s="497"/>
      <c r="K6955" s="500"/>
      <c r="L6955" s="497"/>
      <c r="M6955"/>
      <c r="N6955" s="498"/>
      <c r="O6955" s="498"/>
      <c r="P6955" s="498"/>
      <c r="Q6955" s="498"/>
      <c r="R6955" s="498"/>
      <c r="T6955" s="498"/>
      <c r="U6955" s="498"/>
      <c r="V6955" s="498"/>
      <c r="W6955" s="498"/>
      <c r="X6955" s="498"/>
      <c r="Y6955" s="498"/>
      <c r="Z6955" s="498"/>
      <c r="AA6955" s="498"/>
      <c r="AB6955" s="498"/>
      <c r="AC6955" s="498"/>
      <c r="AD6955" s="498"/>
      <c r="AE6955" s="498"/>
      <c r="AF6955" s="498"/>
      <c r="AG6955" s="498"/>
      <c r="AH6955" s="498"/>
      <c r="AI6955" s="498"/>
      <c r="AK6955" s="498"/>
      <c r="AL6955" s="498"/>
      <c r="AM6955" s="498"/>
      <c r="AN6955" s="498"/>
      <c r="AO6955" s="498"/>
      <c r="AP6955" s="498"/>
      <c r="AQ6955" s="498"/>
      <c r="AR6955" s="498"/>
      <c r="AS6955" s="498"/>
      <c r="AT6955" s="498"/>
      <c r="AU6955" s="498"/>
      <c r="AV6955" s="498"/>
      <c r="AW6955" s="498"/>
      <c r="AX6955" s="498"/>
      <c r="AY6955" s="498"/>
      <c r="AZ6955" s="498"/>
      <c r="BA6955" s="498"/>
    </row>
    <row r="6956" spans="1:53" s="499" customFormat="1" x14ac:dyDescent="0.25">
      <c r="A6956" s="500"/>
      <c r="B6956" s="501"/>
      <c r="C6956" s="502"/>
      <c r="D6956" s="497"/>
      <c r="E6956" s="497"/>
      <c r="F6956" s="502"/>
      <c r="G6956" s="497"/>
      <c r="H6956" s="497"/>
      <c r="I6956" s="497"/>
      <c r="J6956" s="497"/>
      <c r="K6956" s="500"/>
      <c r="L6956" s="497"/>
      <c r="M6956"/>
      <c r="N6956" s="498"/>
      <c r="O6956" s="498"/>
      <c r="P6956" s="498"/>
      <c r="Q6956" s="498"/>
      <c r="R6956" s="498"/>
      <c r="T6956" s="498"/>
      <c r="U6956" s="498"/>
      <c r="V6956" s="498"/>
      <c r="W6956" s="498"/>
      <c r="X6956" s="498"/>
      <c r="Y6956" s="498"/>
      <c r="Z6956" s="498"/>
      <c r="AA6956" s="498"/>
      <c r="AB6956" s="498"/>
      <c r="AC6956" s="498"/>
      <c r="AD6956" s="498"/>
      <c r="AE6956" s="498"/>
      <c r="AF6956" s="498"/>
      <c r="AG6956" s="498"/>
      <c r="AH6956" s="498"/>
      <c r="AI6956" s="498"/>
      <c r="AK6956" s="498"/>
      <c r="AL6956" s="498"/>
      <c r="AM6956" s="498"/>
      <c r="AN6956" s="498"/>
      <c r="AO6956" s="498"/>
      <c r="AP6956" s="498"/>
      <c r="AQ6956" s="498"/>
      <c r="AR6956" s="498"/>
      <c r="AS6956" s="498"/>
      <c r="AT6956" s="498"/>
      <c r="AU6956" s="498"/>
      <c r="AV6956" s="498"/>
      <c r="AW6956" s="498"/>
      <c r="AX6956" s="498"/>
      <c r="AY6956" s="498"/>
      <c r="AZ6956" s="498"/>
      <c r="BA6956" s="498"/>
    </row>
    <row r="6957" spans="1:53" s="499" customFormat="1" x14ac:dyDescent="0.25">
      <c r="A6957" s="500"/>
      <c r="B6957" s="501"/>
      <c r="C6957" s="502"/>
      <c r="D6957" s="497"/>
      <c r="E6957" s="497"/>
      <c r="F6957" s="502"/>
      <c r="G6957" s="497"/>
      <c r="H6957" s="497"/>
      <c r="I6957" s="497"/>
      <c r="J6957" s="497"/>
      <c r="K6957" s="500"/>
      <c r="L6957" s="497"/>
      <c r="M6957"/>
      <c r="N6957" s="498"/>
      <c r="O6957" s="498"/>
      <c r="P6957" s="498"/>
      <c r="Q6957" s="498"/>
      <c r="R6957" s="498"/>
      <c r="T6957" s="498"/>
      <c r="U6957" s="498"/>
      <c r="V6957" s="498"/>
      <c r="W6957" s="498"/>
      <c r="X6957" s="498"/>
      <c r="Y6957" s="498"/>
      <c r="Z6957" s="498"/>
      <c r="AA6957" s="498"/>
      <c r="AB6957" s="498"/>
      <c r="AC6957" s="498"/>
      <c r="AD6957" s="498"/>
      <c r="AE6957" s="498"/>
      <c r="AF6957" s="498"/>
      <c r="AG6957" s="498"/>
      <c r="AH6957" s="498"/>
      <c r="AI6957" s="498"/>
      <c r="AK6957" s="498"/>
      <c r="AL6957" s="498"/>
      <c r="AM6957" s="498"/>
      <c r="AN6957" s="498"/>
      <c r="AO6957" s="498"/>
      <c r="AP6957" s="498"/>
      <c r="AQ6957" s="498"/>
      <c r="AR6957" s="498"/>
      <c r="AS6957" s="498"/>
      <c r="AT6957" s="498"/>
      <c r="AU6957" s="498"/>
      <c r="AV6957" s="498"/>
      <c r="AW6957" s="498"/>
      <c r="AX6957" s="498"/>
      <c r="AY6957" s="498"/>
      <c r="AZ6957" s="498"/>
      <c r="BA6957" s="498"/>
    </row>
    <row r="6958" spans="1:53" s="499" customFormat="1" x14ac:dyDescent="0.25">
      <c r="A6958" s="500"/>
      <c r="B6958" s="501"/>
      <c r="C6958" s="502"/>
      <c r="D6958" s="497"/>
      <c r="E6958" s="497"/>
      <c r="F6958" s="502"/>
      <c r="G6958" s="497"/>
      <c r="H6958" s="497"/>
      <c r="I6958" s="497"/>
      <c r="J6958" s="497"/>
      <c r="K6958" s="500"/>
      <c r="L6958" s="497"/>
      <c r="M6958"/>
      <c r="N6958" s="498"/>
      <c r="O6958" s="498"/>
      <c r="P6958" s="498"/>
      <c r="Q6958" s="498"/>
      <c r="R6958" s="498"/>
      <c r="T6958" s="498"/>
      <c r="U6958" s="498"/>
      <c r="V6958" s="498"/>
      <c r="W6958" s="498"/>
      <c r="X6958" s="498"/>
      <c r="Y6958" s="498"/>
      <c r="Z6958" s="498"/>
      <c r="AA6958" s="498"/>
      <c r="AB6958" s="498"/>
      <c r="AC6958" s="498"/>
      <c r="AD6958" s="498"/>
      <c r="AE6958" s="498"/>
      <c r="AF6958" s="498"/>
      <c r="AG6958" s="498"/>
      <c r="AH6958" s="498"/>
      <c r="AI6958" s="498"/>
      <c r="AK6958" s="498"/>
      <c r="AL6958" s="498"/>
      <c r="AM6958" s="498"/>
      <c r="AN6958" s="498"/>
      <c r="AO6958" s="498"/>
      <c r="AP6958" s="498"/>
      <c r="AQ6958" s="498"/>
      <c r="AR6958" s="498"/>
      <c r="AS6958" s="498"/>
      <c r="AT6958" s="498"/>
      <c r="AU6958" s="498"/>
      <c r="AV6958" s="498"/>
      <c r="AW6958" s="498"/>
      <c r="AX6958" s="498"/>
      <c r="AY6958" s="498"/>
      <c r="AZ6958" s="498"/>
      <c r="BA6958" s="498"/>
    </row>
    <row r="6959" spans="1:53" s="499" customFormat="1" x14ac:dyDescent="0.25">
      <c r="A6959" s="500"/>
      <c r="B6959" s="501"/>
      <c r="C6959" s="502"/>
      <c r="D6959" s="497"/>
      <c r="E6959" s="497"/>
      <c r="F6959" s="502"/>
      <c r="G6959" s="497"/>
      <c r="H6959" s="497"/>
      <c r="I6959" s="497"/>
      <c r="J6959" s="497"/>
      <c r="K6959" s="500"/>
      <c r="L6959" s="497"/>
      <c r="M6959"/>
      <c r="N6959" s="498"/>
      <c r="O6959" s="498"/>
      <c r="P6959" s="498"/>
      <c r="Q6959" s="498"/>
      <c r="R6959" s="498"/>
      <c r="T6959" s="498"/>
      <c r="U6959" s="498"/>
      <c r="V6959" s="498"/>
      <c r="W6959" s="498"/>
      <c r="X6959" s="498"/>
      <c r="Y6959" s="498"/>
      <c r="Z6959" s="498"/>
      <c r="AA6959" s="498"/>
      <c r="AB6959" s="498"/>
      <c r="AC6959" s="498"/>
      <c r="AD6959" s="498"/>
      <c r="AE6959" s="498"/>
      <c r="AF6959" s="498"/>
      <c r="AG6959" s="498"/>
      <c r="AH6959" s="498"/>
      <c r="AI6959" s="498"/>
      <c r="AK6959" s="498"/>
      <c r="AL6959" s="498"/>
      <c r="AM6959" s="498"/>
      <c r="AN6959" s="498"/>
      <c r="AO6959" s="498"/>
      <c r="AP6959" s="498"/>
      <c r="AQ6959" s="498"/>
      <c r="AR6959" s="498"/>
      <c r="AS6959" s="498"/>
      <c r="AT6959" s="498"/>
      <c r="AU6959" s="498"/>
      <c r="AV6959" s="498"/>
      <c r="AW6959" s="498"/>
      <c r="AX6959" s="498"/>
      <c r="AY6959" s="498"/>
      <c r="AZ6959" s="498"/>
      <c r="BA6959" s="498"/>
    </row>
    <row r="6960" spans="1:53" s="499" customFormat="1" x14ac:dyDescent="0.25">
      <c r="A6960" s="500"/>
      <c r="B6960" s="501"/>
      <c r="C6960" s="502"/>
      <c r="D6960" s="497"/>
      <c r="E6960" s="497"/>
      <c r="F6960" s="502"/>
      <c r="G6960" s="497"/>
      <c r="H6960" s="497"/>
      <c r="I6960" s="497"/>
      <c r="J6960" s="497"/>
      <c r="K6960" s="500"/>
      <c r="L6960" s="497"/>
      <c r="M6960"/>
      <c r="N6960" s="498"/>
      <c r="O6960" s="498"/>
      <c r="P6960" s="498"/>
      <c r="Q6960" s="498"/>
      <c r="R6960" s="498"/>
      <c r="T6960" s="498"/>
      <c r="U6960" s="498"/>
      <c r="V6960" s="498"/>
      <c r="W6960" s="498"/>
      <c r="X6960" s="498"/>
      <c r="Y6960" s="498"/>
      <c r="Z6960" s="498"/>
      <c r="AA6960" s="498"/>
      <c r="AB6960" s="498"/>
      <c r="AC6960" s="498"/>
      <c r="AD6960" s="498"/>
      <c r="AE6960" s="498"/>
      <c r="AF6960" s="498"/>
      <c r="AG6960" s="498"/>
      <c r="AH6960" s="498"/>
      <c r="AI6960" s="498"/>
      <c r="AK6960" s="498"/>
      <c r="AL6960" s="498"/>
      <c r="AM6960" s="498"/>
      <c r="AN6960" s="498"/>
      <c r="AO6960" s="498"/>
      <c r="AP6960" s="498"/>
      <c r="AQ6960" s="498"/>
      <c r="AR6960" s="498"/>
      <c r="AS6960" s="498"/>
      <c r="AT6960" s="498"/>
      <c r="AU6960" s="498"/>
      <c r="AV6960" s="498"/>
      <c r="AW6960" s="498"/>
      <c r="AX6960" s="498"/>
      <c r="AY6960" s="498"/>
      <c r="AZ6960" s="498"/>
      <c r="BA6960" s="498"/>
    </row>
    <row r="6961" spans="1:53" s="499" customFormat="1" x14ac:dyDescent="0.25">
      <c r="A6961" s="500"/>
      <c r="B6961" s="501"/>
      <c r="C6961" s="502"/>
      <c r="D6961" s="497"/>
      <c r="E6961" s="497"/>
      <c r="F6961" s="502"/>
      <c r="G6961" s="497"/>
      <c r="H6961" s="497"/>
      <c r="I6961" s="497"/>
      <c r="J6961" s="497"/>
      <c r="K6961" s="500"/>
      <c r="L6961" s="497"/>
      <c r="M6961"/>
      <c r="N6961" s="498"/>
      <c r="O6961" s="498"/>
      <c r="P6961" s="498"/>
      <c r="Q6961" s="498"/>
      <c r="R6961" s="498"/>
      <c r="T6961" s="498"/>
      <c r="U6961" s="498"/>
      <c r="V6961" s="498"/>
      <c r="W6961" s="498"/>
      <c r="X6961" s="498"/>
      <c r="Y6961" s="498"/>
      <c r="Z6961" s="498"/>
      <c r="AA6961" s="498"/>
      <c r="AB6961" s="498"/>
      <c r="AC6961" s="498"/>
      <c r="AD6961" s="498"/>
      <c r="AE6961" s="498"/>
      <c r="AF6961" s="498"/>
      <c r="AG6961" s="498"/>
      <c r="AH6961" s="498"/>
      <c r="AI6961" s="498"/>
      <c r="AK6961" s="498"/>
      <c r="AL6961" s="498"/>
      <c r="AM6961" s="498"/>
      <c r="AN6961" s="498"/>
      <c r="AO6961" s="498"/>
      <c r="AP6961" s="498"/>
      <c r="AQ6961" s="498"/>
      <c r="AR6961" s="498"/>
      <c r="AS6961" s="498"/>
      <c r="AT6961" s="498"/>
      <c r="AU6961" s="498"/>
      <c r="AV6961" s="498"/>
      <c r="AW6961" s="498"/>
      <c r="AX6961" s="498"/>
      <c r="AY6961" s="498"/>
      <c r="AZ6961" s="498"/>
      <c r="BA6961" s="498"/>
    </row>
    <row r="6962" spans="1:53" s="499" customFormat="1" x14ac:dyDescent="0.25">
      <c r="A6962" s="500"/>
      <c r="B6962" s="501"/>
      <c r="C6962" s="502"/>
      <c r="D6962" s="497"/>
      <c r="E6962" s="497"/>
      <c r="F6962" s="502"/>
      <c r="G6962" s="497"/>
      <c r="H6962" s="497"/>
      <c r="I6962" s="497"/>
      <c r="J6962" s="497"/>
      <c r="K6962" s="500"/>
      <c r="L6962" s="497"/>
      <c r="M6962"/>
      <c r="N6962" s="498"/>
      <c r="O6962" s="498"/>
      <c r="P6962" s="498"/>
      <c r="Q6962" s="498"/>
      <c r="R6962" s="498"/>
      <c r="T6962" s="498"/>
      <c r="U6962" s="498"/>
      <c r="V6962" s="498"/>
      <c r="W6962" s="498"/>
      <c r="X6962" s="498"/>
      <c r="Y6962" s="498"/>
      <c r="Z6962" s="498"/>
      <c r="AA6962" s="498"/>
      <c r="AB6962" s="498"/>
      <c r="AC6962" s="498"/>
      <c r="AD6962" s="498"/>
      <c r="AE6962" s="498"/>
      <c r="AF6962" s="498"/>
      <c r="AG6962" s="498"/>
      <c r="AH6962" s="498"/>
      <c r="AI6962" s="498"/>
      <c r="AK6962" s="498"/>
      <c r="AL6962" s="498"/>
      <c r="AM6962" s="498"/>
      <c r="AN6962" s="498"/>
      <c r="AO6962" s="498"/>
      <c r="AP6962" s="498"/>
      <c r="AQ6962" s="498"/>
      <c r="AR6962" s="498"/>
      <c r="AS6962" s="498"/>
      <c r="AT6962" s="498"/>
      <c r="AU6962" s="498"/>
      <c r="AV6962" s="498"/>
      <c r="AW6962" s="498"/>
      <c r="AX6962" s="498"/>
      <c r="AY6962" s="498"/>
      <c r="AZ6962" s="498"/>
      <c r="BA6962" s="498"/>
    </row>
    <row r="6963" spans="1:53" s="499" customFormat="1" x14ac:dyDescent="0.25">
      <c r="A6963" s="500"/>
      <c r="B6963" s="501"/>
      <c r="C6963" s="502"/>
      <c r="D6963" s="497"/>
      <c r="E6963" s="497"/>
      <c r="F6963" s="502"/>
      <c r="G6963" s="497"/>
      <c r="H6963" s="497"/>
      <c r="I6963" s="497"/>
      <c r="J6963" s="497"/>
      <c r="K6963" s="500"/>
      <c r="L6963" s="497"/>
      <c r="M6963"/>
      <c r="N6963" s="498"/>
      <c r="O6963" s="498"/>
      <c r="P6963" s="498"/>
      <c r="Q6963" s="498"/>
      <c r="R6963" s="498"/>
      <c r="T6963" s="498"/>
      <c r="U6963" s="498"/>
      <c r="V6963" s="498"/>
      <c r="W6963" s="498"/>
      <c r="X6963" s="498"/>
      <c r="Y6963" s="498"/>
      <c r="Z6963" s="498"/>
      <c r="AA6963" s="498"/>
      <c r="AB6963" s="498"/>
      <c r="AC6963" s="498"/>
      <c r="AD6963" s="498"/>
      <c r="AE6963" s="498"/>
      <c r="AF6963" s="498"/>
      <c r="AG6963" s="498"/>
      <c r="AH6963" s="498"/>
      <c r="AI6963" s="498"/>
      <c r="AK6963" s="498"/>
      <c r="AL6963" s="498"/>
      <c r="AM6963" s="498"/>
      <c r="AN6963" s="498"/>
      <c r="AO6963" s="498"/>
      <c r="AP6963" s="498"/>
      <c r="AQ6963" s="498"/>
      <c r="AR6963" s="498"/>
      <c r="AS6963" s="498"/>
      <c r="AT6963" s="498"/>
      <c r="AU6963" s="498"/>
      <c r="AV6963" s="498"/>
      <c r="AW6963" s="498"/>
      <c r="AX6963" s="498"/>
      <c r="AY6963" s="498"/>
      <c r="AZ6963" s="498"/>
      <c r="BA6963" s="498"/>
    </row>
    <row r="6964" spans="1:53" s="499" customFormat="1" x14ac:dyDescent="0.25">
      <c r="A6964" s="500"/>
      <c r="B6964" s="501"/>
      <c r="C6964" s="502"/>
      <c r="D6964" s="497"/>
      <c r="E6964" s="497"/>
      <c r="F6964" s="502"/>
      <c r="G6964" s="497"/>
      <c r="H6964" s="497"/>
      <c r="I6964" s="497"/>
      <c r="J6964" s="497"/>
      <c r="K6964" s="500"/>
      <c r="L6964" s="497"/>
      <c r="M6964"/>
      <c r="N6964" s="498"/>
      <c r="O6964" s="498"/>
      <c r="P6964" s="498"/>
      <c r="Q6964" s="498"/>
      <c r="R6964" s="498"/>
      <c r="T6964" s="498"/>
      <c r="U6964" s="498"/>
      <c r="V6964" s="498"/>
      <c r="W6964" s="498"/>
      <c r="X6964" s="498"/>
      <c r="Y6964" s="498"/>
      <c r="Z6964" s="498"/>
      <c r="AA6964" s="498"/>
      <c r="AB6964" s="498"/>
      <c r="AC6964" s="498"/>
      <c r="AD6964" s="498"/>
      <c r="AE6964" s="498"/>
      <c r="AF6964" s="498"/>
      <c r="AG6964" s="498"/>
      <c r="AH6964" s="498"/>
      <c r="AI6964" s="498"/>
      <c r="AK6964" s="498"/>
      <c r="AL6964" s="498"/>
      <c r="AM6964" s="498"/>
      <c r="AN6964" s="498"/>
      <c r="AO6964" s="498"/>
      <c r="AP6964" s="498"/>
      <c r="AQ6964" s="498"/>
      <c r="AR6964" s="498"/>
      <c r="AS6964" s="498"/>
      <c r="AT6964" s="498"/>
      <c r="AU6964" s="498"/>
      <c r="AV6964" s="498"/>
      <c r="AW6964" s="498"/>
      <c r="AX6964" s="498"/>
      <c r="AY6964" s="498"/>
      <c r="AZ6964" s="498"/>
      <c r="BA6964" s="498"/>
    </row>
    <row r="6965" spans="1:53" s="499" customFormat="1" x14ac:dyDescent="0.25">
      <c r="A6965" s="500"/>
      <c r="B6965" s="501"/>
      <c r="C6965" s="502"/>
      <c r="D6965" s="497"/>
      <c r="E6965" s="497"/>
      <c r="F6965" s="502"/>
      <c r="G6965" s="497"/>
      <c r="H6965" s="497"/>
      <c r="I6965" s="497"/>
      <c r="J6965" s="497"/>
      <c r="K6965" s="500"/>
      <c r="L6965" s="497"/>
      <c r="M6965"/>
      <c r="N6965" s="498"/>
      <c r="O6965" s="498"/>
      <c r="P6965" s="498"/>
      <c r="Q6965" s="498"/>
      <c r="R6965" s="498"/>
      <c r="T6965" s="498"/>
      <c r="U6965" s="498"/>
      <c r="V6965" s="498"/>
      <c r="W6965" s="498"/>
      <c r="X6965" s="498"/>
      <c r="Y6965" s="498"/>
      <c r="Z6965" s="498"/>
      <c r="AA6965" s="498"/>
      <c r="AB6965" s="498"/>
      <c r="AC6965" s="498"/>
      <c r="AD6965" s="498"/>
      <c r="AE6965" s="498"/>
      <c r="AF6965" s="498"/>
      <c r="AG6965" s="498"/>
      <c r="AH6965" s="498"/>
      <c r="AI6965" s="498"/>
      <c r="AK6965" s="498"/>
      <c r="AL6965" s="498"/>
      <c r="AM6965" s="498"/>
      <c r="AN6965" s="498"/>
      <c r="AO6965" s="498"/>
      <c r="AP6965" s="498"/>
      <c r="AQ6965" s="498"/>
      <c r="AR6965" s="498"/>
      <c r="AS6965" s="498"/>
      <c r="AT6965" s="498"/>
      <c r="AU6965" s="498"/>
      <c r="AV6965" s="498"/>
      <c r="AW6965" s="498"/>
      <c r="AX6965" s="498"/>
      <c r="AY6965" s="498"/>
      <c r="AZ6965" s="498"/>
      <c r="BA6965" s="498"/>
    </row>
    <row r="6966" spans="1:53" s="499" customFormat="1" x14ac:dyDescent="0.25">
      <c r="A6966" s="500"/>
      <c r="B6966" s="501"/>
      <c r="C6966" s="502"/>
      <c r="D6966" s="497"/>
      <c r="E6966" s="497"/>
      <c r="F6966" s="502"/>
      <c r="G6966" s="497"/>
      <c r="H6966" s="497"/>
      <c r="I6966" s="497"/>
      <c r="J6966" s="497"/>
      <c r="K6966" s="500"/>
      <c r="L6966" s="497"/>
      <c r="M6966"/>
      <c r="N6966" s="498"/>
      <c r="O6966" s="498"/>
      <c r="P6966" s="498"/>
      <c r="Q6966" s="498"/>
      <c r="R6966" s="498"/>
      <c r="T6966" s="498"/>
      <c r="U6966" s="498"/>
      <c r="V6966" s="498"/>
      <c r="W6966" s="498"/>
      <c r="X6966" s="498"/>
      <c r="Y6966" s="498"/>
      <c r="Z6966" s="498"/>
      <c r="AA6966" s="498"/>
      <c r="AB6966" s="498"/>
      <c r="AC6966" s="498"/>
      <c r="AD6966" s="498"/>
      <c r="AE6966" s="498"/>
      <c r="AF6966" s="498"/>
      <c r="AG6966" s="498"/>
      <c r="AH6966" s="498"/>
      <c r="AI6966" s="498"/>
      <c r="AK6966" s="498"/>
      <c r="AL6966" s="498"/>
      <c r="AM6966" s="498"/>
      <c r="AN6966" s="498"/>
      <c r="AO6966" s="498"/>
      <c r="AP6966" s="498"/>
      <c r="AQ6966" s="498"/>
      <c r="AR6966" s="498"/>
      <c r="AS6966" s="498"/>
      <c r="AT6966" s="498"/>
      <c r="AU6966" s="498"/>
      <c r="AV6966" s="498"/>
      <c r="AW6966" s="498"/>
      <c r="AX6966" s="498"/>
      <c r="AY6966" s="498"/>
      <c r="AZ6966" s="498"/>
      <c r="BA6966" s="498"/>
    </row>
    <row r="6967" spans="1:53" s="499" customFormat="1" x14ac:dyDescent="0.25">
      <c r="A6967" s="500"/>
      <c r="B6967" s="501"/>
      <c r="C6967" s="502"/>
      <c r="D6967" s="497"/>
      <c r="E6967" s="497"/>
      <c r="F6967" s="502"/>
      <c r="G6967" s="497"/>
      <c r="H6967" s="497"/>
      <c r="I6967" s="497"/>
      <c r="J6967" s="497"/>
      <c r="K6967" s="500"/>
      <c r="L6967" s="497"/>
      <c r="M6967"/>
      <c r="N6967" s="498"/>
      <c r="O6967" s="498"/>
      <c r="P6967" s="498"/>
      <c r="Q6967" s="498"/>
      <c r="R6967" s="498"/>
      <c r="T6967" s="498"/>
      <c r="U6967" s="498"/>
      <c r="V6967" s="498"/>
      <c r="W6967" s="498"/>
      <c r="X6967" s="498"/>
      <c r="Y6967" s="498"/>
      <c r="Z6967" s="498"/>
      <c r="AA6967" s="498"/>
      <c r="AB6967" s="498"/>
      <c r="AC6967" s="498"/>
      <c r="AD6967" s="498"/>
      <c r="AE6967" s="498"/>
      <c r="AF6967" s="498"/>
      <c r="AG6967" s="498"/>
      <c r="AH6967" s="498"/>
      <c r="AI6967" s="498"/>
      <c r="AK6967" s="498"/>
      <c r="AL6967" s="498"/>
      <c r="AM6967" s="498"/>
      <c r="AN6967" s="498"/>
      <c r="AO6967" s="498"/>
      <c r="AP6967" s="498"/>
      <c r="AQ6967" s="498"/>
      <c r="AR6967" s="498"/>
      <c r="AS6967" s="498"/>
      <c r="AT6967" s="498"/>
      <c r="AU6967" s="498"/>
      <c r="AV6967" s="498"/>
      <c r="AW6967" s="498"/>
      <c r="AX6967" s="498"/>
      <c r="AY6967" s="498"/>
      <c r="AZ6967" s="498"/>
      <c r="BA6967" s="498"/>
    </row>
    <row r="6968" spans="1:53" s="499" customFormat="1" x14ac:dyDescent="0.25">
      <c r="A6968" s="500"/>
      <c r="B6968" s="501"/>
      <c r="C6968" s="502"/>
      <c r="D6968" s="497"/>
      <c r="E6968" s="497"/>
      <c r="F6968" s="502"/>
      <c r="G6968" s="497"/>
      <c r="H6968" s="497"/>
      <c r="I6968" s="497"/>
      <c r="J6968" s="497"/>
      <c r="K6968" s="500"/>
      <c r="L6968" s="497"/>
      <c r="M6968"/>
      <c r="N6968" s="498"/>
      <c r="O6968" s="498"/>
      <c r="P6968" s="498"/>
      <c r="Q6968" s="498"/>
      <c r="R6968" s="498"/>
      <c r="T6968" s="498"/>
      <c r="U6968" s="498"/>
      <c r="V6968" s="498"/>
      <c r="W6968" s="498"/>
      <c r="X6968" s="498"/>
      <c r="Y6968" s="498"/>
      <c r="Z6968" s="498"/>
      <c r="AA6968" s="498"/>
      <c r="AB6968" s="498"/>
      <c r="AC6968" s="498"/>
      <c r="AD6968" s="498"/>
      <c r="AE6968" s="498"/>
      <c r="AF6968" s="498"/>
      <c r="AG6968" s="498"/>
      <c r="AH6968" s="498"/>
      <c r="AI6968" s="498"/>
      <c r="AK6968" s="498"/>
      <c r="AL6968" s="498"/>
      <c r="AM6968" s="498"/>
      <c r="AN6968" s="498"/>
      <c r="AO6968" s="498"/>
      <c r="AP6968" s="498"/>
      <c r="AQ6968" s="498"/>
      <c r="AR6968" s="498"/>
      <c r="AS6968" s="498"/>
      <c r="AT6968" s="498"/>
      <c r="AU6968" s="498"/>
      <c r="AV6968" s="498"/>
      <c r="AW6968" s="498"/>
      <c r="AX6968" s="498"/>
      <c r="AY6968" s="498"/>
      <c r="AZ6968" s="498"/>
      <c r="BA6968" s="498"/>
    </row>
    <row r="6969" spans="1:53" s="499" customFormat="1" x14ac:dyDescent="0.25">
      <c r="A6969" s="500"/>
      <c r="B6969" s="501"/>
      <c r="C6969" s="502"/>
      <c r="D6969" s="497"/>
      <c r="E6969" s="497"/>
      <c r="F6969" s="502"/>
      <c r="G6969" s="497"/>
      <c r="H6969" s="497"/>
      <c r="I6969" s="497"/>
      <c r="J6969" s="497"/>
      <c r="K6969" s="500"/>
      <c r="L6969" s="497"/>
      <c r="M6969"/>
      <c r="N6969" s="498"/>
      <c r="O6969" s="498"/>
      <c r="P6969" s="498"/>
      <c r="Q6969" s="498"/>
      <c r="R6969" s="498"/>
      <c r="T6969" s="498"/>
      <c r="U6969" s="498"/>
      <c r="V6969" s="498"/>
      <c r="W6969" s="498"/>
      <c r="X6969" s="498"/>
      <c r="Y6969" s="498"/>
      <c r="Z6969" s="498"/>
      <c r="AA6969" s="498"/>
      <c r="AB6969" s="498"/>
      <c r="AC6969" s="498"/>
      <c r="AD6969" s="498"/>
      <c r="AE6969" s="498"/>
      <c r="AF6969" s="498"/>
      <c r="AG6969" s="498"/>
      <c r="AH6969" s="498"/>
      <c r="AI6969" s="498"/>
      <c r="AK6969" s="498"/>
      <c r="AL6969" s="498"/>
      <c r="AM6969" s="498"/>
      <c r="AN6969" s="498"/>
      <c r="AO6969" s="498"/>
      <c r="AP6969" s="498"/>
      <c r="AQ6969" s="498"/>
      <c r="AR6969" s="498"/>
      <c r="AS6969" s="498"/>
      <c r="AT6969" s="498"/>
      <c r="AU6969" s="498"/>
      <c r="AV6969" s="498"/>
      <c r="AW6969" s="498"/>
      <c r="AX6969" s="498"/>
      <c r="AY6969" s="498"/>
      <c r="AZ6969" s="498"/>
      <c r="BA6969" s="498"/>
    </row>
    <row r="6970" spans="1:53" s="499" customFormat="1" x14ac:dyDescent="0.25">
      <c r="A6970" s="500"/>
      <c r="B6970" s="501"/>
      <c r="C6970" s="502"/>
      <c r="D6970" s="497"/>
      <c r="E6970" s="497"/>
      <c r="F6970" s="502"/>
      <c r="G6970" s="497"/>
      <c r="H6970" s="497"/>
      <c r="I6970" s="497"/>
      <c r="J6970" s="497"/>
      <c r="K6970" s="500"/>
      <c r="L6970" s="497"/>
      <c r="M6970"/>
      <c r="N6970" s="498"/>
      <c r="O6970" s="498"/>
      <c r="P6970" s="498"/>
      <c r="Q6970" s="498"/>
      <c r="R6970" s="498"/>
      <c r="T6970" s="498"/>
      <c r="U6970" s="498"/>
      <c r="V6970" s="498"/>
      <c r="W6970" s="498"/>
      <c r="X6970" s="498"/>
      <c r="Y6970" s="498"/>
      <c r="Z6970" s="498"/>
      <c r="AA6970" s="498"/>
      <c r="AB6970" s="498"/>
      <c r="AC6970" s="498"/>
      <c r="AD6970" s="498"/>
      <c r="AE6970" s="498"/>
      <c r="AF6970" s="498"/>
      <c r="AG6970" s="498"/>
      <c r="AH6970" s="498"/>
      <c r="AI6970" s="498"/>
      <c r="AK6970" s="498"/>
      <c r="AL6970" s="498"/>
      <c r="AM6970" s="498"/>
      <c r="AN6970" s="498"/>
      <c r="AO6970" s="498"/>
      <c r="AP6970" s="498"/>
      <c r="AQ6970" s="498"/>
      <c r="AR6970" s="498"/>
      <c r="AS6970" s="498"/>
      <c r="AT6970" s="498"/>
      <c r="AU6970" s="498"/>
      <c r="AV6970" s="498"/>
      <c r="AW6970" s="498"/>
      <c r="AX6970" s="498"/>
      <c r="AY6970" s="498"/>
      <c r="AZ6970" s="498"/>
      <c r="BA6970" s="498"/>
    </row>
    <row r="6971" spans="1:53" s="499" customFormat="1" x14ac:dyDescent="0.25">
      <c r="A6971" s="500"/>
      <c r="B6971" s="501"/>
      <c r="C6971" s="502"/>
      <c r="D6971" s="497"/>
      <c r="E6971" s="497"/>
      <c r="F6971" s="502"/>
      <c r="G6971" s="497"/>
      <c r="H6971" s="497"/>
      <c r="I6971" s="497"/>
      <c r="J6971" s="497"/>
      <c r="K6971" s="500"/>
      <c r="L6971" s="497"/>
      <c r="M6971"/>
      <c r="N6971" s="498"/>
      <c r="O6971" s="498"/>
      <c r="P6971" s="498"/>
      <c r="Q6971" s="498"/>
      <c r="R6971" s="498"/>
      <c r="T6971" s="498"/>
      <c r="U6971" s="498"/>
      <c r="V6971" s="498"/>
      <c r="W6971" s="498"/>
      <c r="X6971" s="498"/>
      <c r="Y6971" s="498"/>
      <c r="Z6971" s="498"/>
      <c r="AA6971" s="498"/>
      <c r="AB6971" s="498"/>
      <c r="AC6971" s="498"/>
      <c r="AD6971" s="498"/>
      <c r="AE6971" s="498"/>
      <c r="AF6971" s="498"/>
      <c r="AG6971" s="498"/>
      <c r="AH6971" s="498"/>
      <c r="AI6971" s="498"/>
      <c r="AK6971" s="498"/>
      <c r="AL6971" s="498"/>
      <c r="AM6971" s="498"/>
      <c r="AN6971" s="498"/>
      <c r="AO6971" s="498"/>
      <c r="AP6971" s="498"/>
      <c r="AQ6971" s="498"/>
      <c r="AR6971" s="498"/>
      <c r="AS6971" s="498"/>
      <c r="AT6971" s="498"/>
      <c r="AU6971" s="498"/>
      <c r="AV6971" s="498"/>
      <c r="AW6971" s="498"/>
      <c r="AX6971" s="498"/>
      <c r="AY6971" s="498"/>
      <c r="AZ6971" s="498"/>
      <c r="BA6971" s="498"/>
    </row>
    <row r="6972" spans="1:53" s="499" customFormat="1" x14ac:dyDescent="0.25">
      <c r="A6972" s="500"/>
      <c r="B6972" s="501"/>
      <c r="C6972" s="502"/>
      <c r="D6972" s="497"/>
      <c r="E6972" s="497"/>
      <c r="F6972" s="502"/>
      <c r="G6972" s="497"/>
      <c r="H6972" s="497"/>
      <c r="I6972" s="497"/>
      <c r="J6972" s="497"/>
      <c r="K6972" s="500"/>
      <c r="L6972" s="497"/>
      <c r="M6972"/>
      <c r="N6972" s="498"/>
      <c r="O6972" s="498"/>
      <c r="P6972" s="498"/>
      <c r="Q6972" s="498"/>
      <c r="R6972" s="498"/>
      <c r="T6972" s="498"/>
      <c r="U6972" s="498"/>
      <c r="V6972" s="498"/>
      <c r="W6972" s="498"/>
      <c r="X6972" s="498"/>
      <c r="Y6972" s="498"/>
      <c r="Z6972" s="498"/>
      <c r="AA6972" s="498"/>
      <c r="AB6972" s="498"/>
      <c r="AC6972" s="498"/>
      <c r="AD6972" s="498"/>
      <c r="AE6972" s="498"/>
      <c r="AF6972" s="498"/>
      <c r="AG6972" s="498"/>
      <c r="AH6972" s="498"/>
      <c r="AI6972" s="498"/>
      <c r="AK6972" s="498"/>
      <c r="AL6972" s="498"/>
      <c r="AM6972" s="498"/>
      <c r="AN6972" s="498"/>
      <c r="AO6972" s="498"/>
      <c r="AP6972" s="498"/>
      <c r="AQ6972" s="498"/>
      <c r="AR6972" s="498"/>
      <c r="AS6972" s="498"/>
      <c r="AT6972" s="498"/>
      <c r="AU6972" s="498"/>
      <c r="AV6972" s="498"/>
      <c r="AW6972" s="498"/>
      <c r="AX6972" s="498"/>
      <c r="AY6972" s="498"/>
      <c r="AZ6972" s="498"/>
      <c r="BA6972" s="498"/>
    </row>
    <row r="6973" spans="1:53" s="499" customFormat="1" x14ac:dyDescent="0.25">
      <c r="A6973" s="500"/>
      <c r="B6973" s="501"/>
      <c r="C6973" s="502"/>
      <c r="D6973" s="497"/>
      <c r="E6973" s="497"/>
      <c r="F6973" s="502"/>
      <c r="G6973" s="497"/>
      <c r="H6973" s="497"/>
      <c r="I6973" s="497"/>
      <c r="J6973" s="497"/>
      <c r="K6973" s="500"/>
      <c r="L6973" s="497"/>
      <c r="M6973"/>
      <c r="N6973" s="498"/>
      <c r="O6973" s="498"/>
      <c r="P6973" s="498"/>
      <c r="Q6973" s="498"/>
      <c r="R6973" s="498"/>
      <c r="T6973" s="498"/>
      <c r="U6973" s="498"/>
      <c r="V6973" s="498"/>
      <c r="W6973" s="498"/>
      <c r="X6973" s="498"/>
      <c r="Y6973" s="498"/>
      <c r="Z6973" s="498"/>
      <c r="AA6973" s="498"/>
      <c r="AB6973" s="498"/>
      <c r="AC6973" s="498"/>
      <c r="AD6973" s="498"/>
      <c r="AE6973" s="498"/>
      <c r="AF6973" s="498"/>
      <c r="AG6973" s="498"/>
      <c r="AH6973" s="498"/>
      <c r="AI6973" s="498"/>
      <c r="AK6973" s="498"/>
      <c r="AL6973" s="498"/>
      <c r="AM6973" s="498"/>
      <c r="AN6973" s="498"/>
      <c r="AO6973" s="498"/>
      <c r="AP6973" s="498"/>
      <c r="AQ6973" s="498"/>
      <c r="AR6973" s="498"/>
      <c r="AS6973" s="498"/>
      <c r="AT6973" s="498"/>
      <c r="AU6973" s="498"/>
      <c r="AV6973" s="498"/>
      <c r="AW6973" s="498"/>
      <c r="AX6973" s="498"/>
      <c r="AY6973" s="498"/>
      <c r="AZ6973" s="498"/>
      <c r="BA6973" s="498"/>
    </row>
    <row r="6974" spans="1:53" s="499" customFormat="1" x14ac:dyDescent="0.25">
      <c r="A6974" s="500"/>
      <c r="B6974" s="501"/>
      <c r="C6974" s="502"/>
      <c r="D6974" s="497"/>
      <c r="E6974" s="497"/>
      <c r="F6974" s="502"/>
      <c r="G6974" s="497"/>
      <c r="H6974" s="497"/>
      <c r="I6974" s="497"/>
      <c r="J6974" s="497"/>
      <c r="K6974" s="500"/>
      <c r="L6974" s="497"/>
      <c r="M6974"/>
      <c r="N6974" s="498"/>
      <c r="O6974" s="498"/>
      <c r="P6974" s="498"/>
      <c r="Q6974" s="498"/>
      <c r="R6974" s="498"/>
      <c r="T6974" s="498"/>
      <c r="U6974" s="498"/>
      <c r="V6974" s="498"/>
      <c r="W6974" s="498"/>
      <c r="X6974" s="498"/>
      <c r="Y6974" s="498"/>
      <c r="Z6974" s="498"/>
      <c r="AA6974" s="498"/>
      <c r="AB6974" s="498"/>
      <c r="AC6974" s="498"/>
      <c r="AD6974" s="498"/>
      <c r="AE6974" s="498"/>
      <c r="AF6974" s="498"/>
      <c r="AG6974" s="498"/>
      <c r="AH6974" s="498"/>
      <c r="AI6974" s="498"/>
      <c r="AK6974" s="498"/>
      <c r="AL6974" s="498"/>
      <c r="AM6974" s="498"/>
      <c r="AN6974" s="498"/>
      <c r="AO6974" s="498"/>
      <c r="AP6974" s="498"/>
      <c r="AQ6974" s="498"/>
      <c r="AR6974" s="498"/>
      <c r="AS6974" s="498"/>
      <c r="AT6974" s="498"/>
      <c r="AU6974" s="498"/>
      <c r="AV6974" s="498"/>
      <c r="AW6974" s="498"/>
      <c r="AX6974" s="498"/>
      <c r="AY6974" s="498"/>
      <c r="AZ6974" s="498"/>
      <c r="BA6974" s="498"/>
    </row>
    <row r="6975" spans="1:53" s="499" customFormat="1" x14ac:dyDescent="0.25">
      <c r="A6975" s="500"/>
      <c r="B6975" s="501"/>
      <c r="C6975" s="502"/>
      <c r="D6975" s="497"/>
      <c r="E6975" s="497"/>
      <c r="F6975" s="502"/>
      <c r="G6975" s="497"/>
      <c r="H6975" s="497"/>
      <c r="I6975" s="497"/>
      <c r="J6975" s="497"/>
      <c r="K6975" s="500"/>
      <c r="L6975" s="497"/>
      <c r="M6975"/>
      <c r="N6975" s="498"/>
      <c r="O6975" s="498"/>
      <c r="P6975" s="498"/>
      <c r="Q6975" s="498"/>
      <c r="R6975" s="498"/>
      <c r="T6975" s="498"/>
      <c r="U6975" s="498"/>
      <c r="V6975" s="498"/>
      <c r="W6975" s="498"/>
      <c r="X6975" s="498"/>
      <c r="Y6975" s="498"/>
      <c r="Z6975" s="498"/>
      <c r="AA6975" s="498"/>
      <c r="AB6975" s="498"/>
      <c r="AC6975" s="498"/>
      <c r="AD6975" s="498"/>
      <c r="AE6975" s="498"/>
      <c r="AF6975" s="498"/>
      <c r="AG6975" s="498"/>
      <c r="AH6975" s="498"/>
      <c r="AI6975" s="498"/>
      <c r="AK6975" s="498"/>
      <c r="AL6975" s="498"/>
      <c r="AM6975" s="498"/>
      <c r="AN6975" s="498"/>
      <c r="AO6975" s="498"/>
      <c r="AP6975" s="498"/>
      <c r="AQ6975" s="498"/>
      <c r="AR6975" s="498"/>
      <c r="AS6975" s="498"/>
      <c r="AT6975" s="498"/>
      <c r="AU6975" s="498"/>
      <c r="AV6975" s="498"/>
      <c r="AW6975" s="498"/>
      <c r="AX6975" s="498"/>
      <c r="AY6975" s="498"/>
      <c r="AZ6975" s="498"/>
      <c r="BA6975" s="498"/>
    </row>
    <row r="6976" spans="1:53" s="499" customFormat="1" x14ac:dyDescent="0.25">
      <c r="A6976" s="500"/>
      <c r="B6976" s="501"/>
      <c r="C6976" s="502"/>
      <c r="D6976" s="497"/>
      <c r="E6976" s="497"/>
      <c r="F6976" s="502"/>
      <c r="G6976" s="497"/>
      <c r="H6976" s="497"/>
      <c r="I6976" s="497"/>
      <c r="J6976" s="497"/>
      <c r="K6976" s="500"/>
      <c r="L6976" s="497"/>
      <c r="M6976"/>
      <c r="N6976" s="498"/>
      <c r="O6976" s="498"/>
      <c r="P6976" s="498"/>
      <c r="Q6976" s="498"/>
      <c r="R6976" s="498"/>
      <c r="T6976" s="498"/>
      <c r="U6976" s="498"/>
      <c r="V6976" s="498"/>
      <c r="W6976" s="498"/>
      <c r="X6976" s="498"/>
      <c r="Y6976" s="498"/>
      <c r="Z6976" s="498"/>
      <c r="AA6976" s="498"/>
      <c r="AB6976" s="498"/>
      <c r="AC6976" s="498"/>
      <c r="AD6976" s="498"/>
      <c r="AE6976" s="498"/>
      <c r="AF6976" s="498"/>
      <c r="AG6976" s="498"/>
      <c r="AH6976" s="498"/>
      <c r="AI6976" s="498"/>
      <c r="AK6976" s="498"/>
      <c r="AL6976" s="498"/>
      <c r="AM6976" s="498"/>
      <c r="AN6976" s="498"/>
      <c r="AO6976" s="498"/>
      <c r="AP6976" s="498"/>
      <c r="AQ6976" s="498"/>
      <c r="AR6976" s="498"/>
      <c r="AS6976" s="498"/>
      <c r="AT6976" s="498"/>
      <c r="AU6976" s="498"/>
      <c r="AV6976" s="498"/>
      <c r="AW6976" s="498"/>
      <c r="AX6976" s="498"/>
      <c r="AY6976" s="498"/>
      <c r="AZ6976" s="498"/>
      <c r="BA6976" s="498"/>
    </row>
    <row r="6977" spans="1:53" s="499" customFormat="1" x14ac:dyDescent="0.25">
      <c r="A6977" s="500"/>
      <c r="B6977" s="501"/>
      <c r="C6977" s="502"/>
      <c r="D6977" s="497"/>
      <c r="E6977" s="497"/>
      <c r="F6977" s="502"/>
      <c r="G6977" s="497"/>
      <c r="H6977" s="497"/>
      <c r="I6977" s="497"/>
      <c r="J6977" s="497"/>
      <c r="K6977" s="500"/>
      <c r="L6977" s="497"/>
      <c r="M6977"/>
      <c r="N6977" s="498"/>
      <c r="O6977" s="498"/>
      <c r="P6977" s="498"/>
      <c r="Q6977" s="498"/>
      <c r="R6977" s="498"/>
      <c r="T6977" s="498"/>
      <c r="U6977" s="498"/>
      <c r="V6977" s="498"/>
      <c r="W6977" s="498"/>
      <c r="X6977" s="498"/>
      <c r="Y6977" s="498"/>
      <c r="Z6977" s="498"/>
      <c r="AA6977" s="498"/>
      <c r="AB6977" s="498"/>
      <c r="AC6977" s="498"/>
      <c r="AD6977" s="498"/>
      <c r="AE6977" s="498"/>
      <c r="AF6977" s="498"/>
      <c r="AG6977" s="498"/>
      <c r="AH6977" s="498"/>
      <c r="AI6977" s="498"/>
      <c r="AK6977" s="498"/>
      <c r="AL6977" s="498"/>
      <c r="AM6977" s="498"/>
      <c r="AN6977" s="498"/>
      <c r="AO6977" s="498"/>
      <c r="AP6977" s="498"/>
      <c r="AQ6977" s="498"/>
      <c r="AR6977" s="498"/>
      <c r="AS6977" s="498"/>
      <c r="AT6977" s="498"/>
      <c r="AU6977" s="498"/>
      <c r="AV6977" s="498"/>
      <c r="AW6977" s="498"/>
      <c r="AX6977" s="498"/>
      <c r="AY6977" s="498"/>
      <c r="AZ6977" s="498"/>
      <c r="BA6977" s="498"/>
    </row>
    <row r="6978" spans="1:53" s="499" customFormat="1" x14ac:dyDescent="0.25">
      <c r="A6978" s="500"/>
      <c r="B6978" s="501"/>
      <c r="C6978" s="502"/>
      <c r="D6978" s="497"/>
      <c r="E6978" s="497"/>
      <c r="F6978" s="502"/>
      <c r="G6978" s="497"/>
      <c r="H6978" s="497"/>
      <c r="I6978" s="497"/>
      <c r="J6978" s="497"/>
      <c r="K6978" s="500"/>
      <c r="L6978" s="497"/>
      <c r="M6978"/>
      <c r="N6978" s="498"/>
      <c r="O6978" s="498"/>
      <c r="P6978" s="498"/>
      <c r="Q6978" s="498"/>
      <c r="R6978" s="498"/>
      <c r="T6978" s="498"/>
      <c r="U6978" s="498"/>
      <c r="V6978" s="498"/>
      <c r="W6978" s="498"/>
      <c r="X6978" s="498"/>
      <c r="Y6978" s="498"/>
      <c r="Z6978" s="498"/>
      <c r="AA6978" s="498"/>
      <c r="AB6978" s="498"/>
      <c r="AC6978" s="498"/>
      <c r="AD6978" s="498"/>
      <c r="AE6978" s="498"/>
      <c r="AF6978" s="498"/>
      <c r="AG6978" s="498"/>
      <c r="AH6978" s="498"/>
      <c r="AI6978" s="498"/>
      <c r="AK6978" s="498"/>
      <c r="AL6978" s="498"/>
      <c r="AM6978" s="498"/>
      <c r="AN6978" s="498"/>
      <c r="AO6978" s="498"/>
      <c r="AP6978" s="498"/>
      <c r="AQ6978" s="498"/>
      <c r="AR6978" s="498"/>
      <c r="AS6978" s="498"/>
      <c r="AT6978" s="498"/>
      <c r="AU6978" s="498"/>
      <c r="AV6978" s="498"/>
      <c r="AW6978" s="498"/>
      <c r="AX6978" s="498"/>
      <c r="AY6978" s="498"/>
      <c r="AZ6978" s="498"/>
      <c r="BA6978" s="498"/>
    </row>
    <row r="6979" spans="1:53" s="499" customFormat="1" x14ac:dyDescent="0.25">
      <c r="A6979" s="500"/>
      <c r="B6979" s="501"/>
      <c r="C6979" s="502"/>
      <c r="D6979" s="497"/>
      <c r="E6979" s="497"/>
      <c r="F6979" s="502"/>
      <c r="G6979" s="497"/>
      <c r="H6979" s="497"/>
      <c r="I6979" s="497"/>
      <c r="J6979" s="497"/>
      <c r="K6979" s="500"/>
      <c r="L6979" s="497"/>
      <c r="M6979"/>
      <c r="N6979" s="498"/>
      <c r="O6979" s="498"/>
      <c r="P6979" s="498"/>
      <c r="Q6979" s="498"/>
      <c r="R6979" s="498"/>
      <c r="T6979" s="498"/>
      <c r="U6979" s="498"/>
      <c r="V6979" s="498"/>
      <c r="W6979" s="498"/>
      <c r="X6979" s="498"/>
      <c r="Y6979" s="498"/>
      <c r="Z6979" s="498"/>
      <c r="AA6979" s="498"/>
      <c r="AB6979" s="498"/>
      <c r="AC6979" s="498"/>
      <c r="AD6979" s="498"/>
      <c r="AE6979" s="498"/>
      <c r="AF6979" s="498"/>
      <c r="AG6979" s="498"/>
      <c r="AH6979" s="498"/>
      <c r="AI6979" s="498"/>
      <c r="AK6979" s="498"/>
      <c r="AL6979" s="498"/>
      <c r="AM6979" s="498"/>
      <c r="AN6979" s="498"/>
      <c r="AO6979" s="498"/>
      <c r="AP6979" s="498"/>
      <c r="AQ6979" s="498"/>
      <c r="AR6979" s="498"/>
      <c r="AS6979" s="498"/>
      <c r="AT6979" s="498"/>
      <c r="AU6979" s="498"/>
      <c r="AV6979" s="498"/>
      <c r="AW6979" s="498"/>
      <c r="AX6979" s="498"/>
      <c r="AY6979" s="498"/>
      <c r="AZ6979" s="498"/>
      <c r="BA6979" s="498"/>
    </row>
    <row r="6980" spans="1:53" s="499" customFormat="1" x14ac:dyDescent="0.25">
      <c r="A6980" s="500"/>
      <c r="B6980" s="501"/>
      <c r="C6980" s="502"/>
      <c r="D6980" s="497"/>
      <c r="E6980" s="497"/>
      <c r="F6980" s="502"/>
      <c r="G6980" s="497"/>
      <c r="H6980" s="497"/>
      <c r="I6980" s="497"/>
      <c r="J6980" s="497"/>
      <c r="K6980" s="500"/>
      <c r="L6980" s="497"/>
      <c r="M6980"/>
      <c r="N6980" s="498"/>
      <c r="O6980" s="498"/>
      <c r="P6980" s="498"/>
      <c r="Q6980" s="498"/>
      <c r="R6980" s="498"/>
      <c r="T6980" s="498"/>
      <c r="U6980" s="498"/>
      <c r="V6980" s="498"/>
      <c r="W6980" s="498"/>
      <c r="X6980" s="498"/>
      <c r="Y6980" s="498"/>
      <c r="Z6980" s="498"/>
      <c r="AA6980" s="498"/>
      <c r="AB6980" s="498"/>
      <c r="AC6980" s="498"/>
      <c r="AD6980" s="498"/>
      <c r="AE6980" s="498"/>
      <c r="AF6980" s="498"/>
      <c r="AG6980" s="498"/>
      <c r="AH6980" s="498"/>
      <c r="AI6980" s="498"/>
      <c r="AK6980" s="498"/>
      <c r="AL6980" s="498"/>
      <c r="AM6980" s="498"/>
      <c r="AN6980" s="498"/>
      <c r="AO6980" s="498"/>
      <c r="AP6980" s="498"/>
      <c r="AQ6980" s="498"/>
      <c r="AR6980" s="498"/>
      <c r="AS6980" s="498"/>
      <c r="AT6980" s="498"/>
      <c r="AU6980" s="498"/>
      <c r="AV6980" s="498"/>
      <c r="AW6980" s="498"/>
      <c r="AX6980" s="498"/>
      <c r="AY6980" s="498"/>
      <c r="AZ6980" s="498"/>
      <c r="BA6980" s="498"/>
    </row>
    <row r="6981" spans="1:53" s="499" customFormat="1" x14ac:dyDescent="0.25">
      <c r="A6981" s="500"/>
      <c r="B6981" s="501"/>
      <c r="C6981" s="502"/>
      <c r="D6981" s="497"/>
      <c r="E6981" s="497"/>
      <c r="F6981" s="502"/>
      <c r="G6981" s="497"/>
      <c r="H6981" s="497"/>
      <c r="I6981" s="497"/>
      <c r="J6981" s="497"/>
      <c r="K6981" s="500"/>
      <c r="L6981" s="497"/>
      <c r="M6981"/>
      <c r="N6981" s="498"/>
      <c r="O6981" s="498"/>
      <c r="P6981" s="498"/>
      <c r="Q6981" s="498"/>
      <c r="R6981" s="498"/>
      <c r="T6981" s="498"/>
      <c r="U6981" s="498"/>
      <c r="V6981" s="498"/>
      <c r="W6981" s="498"/>
      <c r="X6981" s="498"/>
      <c r="Y6981" s="498"/>
      <c r="Z6981" s="498"/>
      <c r="AA6981" s="498"/>
      <c r="AB6981" s="498"/>
      <c r="AC6981" s="498"/>
      <c r="AD6981" s="498"/>
      <c r="AE6981" s="498"/>
      <c r="AF6981" s="498"/>
      <c r="AG6981" s="498"/>
      <c r="AH6981" s="498"/>
      <c r="AI6981" s="498"/>
      <c r="AK6981" s="498"/>
      <c r="AL6981" s="498"/>
      <c r="AM6981" s="498"/>
      <c r="AN6981" s="498"/>
      <c r="AO6981" s="498"/>
      <c r="AP6981" s="498"/>
      <c r="AQ6981" s="498"/>
      <c r="AR6981" s="498"/>
      <c r="AS6981" s="498"/>
      <c r="AT6981" s="498"/>
      <c r="AU6981" s="498"/>
      <c r="AV6981" s="498"/>
      <c r="AW6981" s="498"/>
      <c r="AX6981" s="498"/>
      <c r="AY6981" s="498"/>
      <c r="AZ6981" s="498"/>
      <c r="BA6981" s="498"/>
    </row>
    <row r="6982" spans="1:53" s="499" customFormat="1" x14ac:dyDescent="0.25">
      <c r="A6982" s="500"/>
      <c r="B6982" s="501"/>
      <c r="C6982" s="502"/>
      <c r="D6982" s="497"/>
      <c r="E6982" s="497"/>
      <c r="F6982" s="502"/>
      <c r="G6982" s="497"/>
      <c r="H6982" s="497"/>
      <c r="I6982" s="497"/>
      <c r="J6982" s="497"/>
      <c r="K6982" s="500"/>
      <c r="L6982" s="497"/>
      <c r="M6982"/>
      <c r="N6982" s="498"/>
      <c r="O6982" s="498"/>
      <c r="P6982" s="498"/>
      <c r="Q6982" s="498"/>
      <c r="R6982" s="498"/>
      <c r="T6982" s="498"/>
      <c r="U6982" s="498"/>
      <c r="V6982" s="498"/>
      <c r="W6982" s="498"/>
      <c r="X6982" s="498"/>
      <c r="Y6982" s="498"/>
      <c r="Z6982" s="498"/>
      <c r="AA6982" s="498"/>
      <c r="AB6982" s="498"/>
      <c r="AC6982" s="498"/>
      <c r="AD6982" s="498"/>
      <c r="AE6982" s="498"/>
      <c r="AF6982" s="498"/>
      <c r="AG6982" s="498"/>
      <c r="AH6982" s="498"/>
      <c r="AI6982" s="498"/>
      <c r="AK6982" s="498"/>
      <c r="AL6982" s="498"/>
      <c r="AM6982" s="498"/>
      <c r="AN6982" s="498"/>
      <c r="AO6982" s="498"/>
      <c r="AP6982" s="498"/>
      <c r="AQ6982" s="498"/>
      <c r="AR6982" s="498"/>
      <c r="AS6982" s="498"/>
      <c r="AT6982" s="498"/>
      <c r="AU6982" s="498"/>
      <c r="AV6982" s="498"/>
      <c r="AW6982" s="498"/>
      <c r="AX6982" s="498"/>
      <c r="AY6982" s="498"/>
      <c r="AZ6982" s="498"/>
      <c r="BA6982" s="498"/>
    </row>
    <row r="6983" spans="1:53" s="499" customFormat="1" x14ac:dyDescent="0.25">
      <c r="A6983" s="500"/>
      <c r="B6983" s="501"/>
      <c r="C6983" s="502"/>
      <c r="D6983" s="497"/>
      <c r="E6983" s="497"/>
      <c r="F6983" s="502"/>
      <c r="G6983" s="497"/>
      <c r="H6983" s="497"/>
      <c r="I6983" s="497"/>
      <c r="J6983" s="497"/>
      <c r="K6983" s="500"/>
      <c r="L6983" s="497"/>
      <c r="M6983"/>
      <c r="N6983" s="498"/>
      <c r="O6983" s="498"/>
      <c r="P6983" s="498"/>
      <c r="Q6983" s="498"/>
      <c r="R6983" s="498"/>
      <c r="T6983" s="498"/>
      <c r="U6983" s="498"/>
      <c r="V6983" s="498"/>
      <c r="W6983" s="498"/>
      <c r="X6983" s="498"/>
      <c r="Y6983" s="498"/>
      <c r="Z6983" s="498"/>
      <c r="AA6983" s="498"/>
      <c r="AB6983" s="498"/>
      <c r="AC6983" s="498"/>
      <c r="AD6983" s="498"/>
      <c r="AE6983" s="498"/>
      <c r="AF6983" s="498"/>
      <c r="AG6983" s="498"/>
      <c r="AH6983" s="498"/>
      <c r="AI6983" s="498"/>
      <c r="AK6983" s="498"/>
      <c r="AL6983" s="498"/>
      <c r="AM6983" s="498"/>
      <c r="AN6983" s="498"/>
      <c r="AO6983" s="498"/>
      <c r="AP6983" s="498"/>
      <c r="AQ6983" s="498"/>
      <c r="AR6983" s="498"/>
      <c r="AS6983" s="498"/>
      <c r="AT6983" s="498"/>
      <c r="AU6983" s="498"/>
      <c r="AV6983" s="498"/>
      <c r="AW6983" s="498"/>
      <c r="AX6983" s="498"/>
      <c r="AY6983" s="498"/>
      <c r="AZ6983" s="498"/>
      <c r="BA6983" s="498"/>
    </row>
    <row r="6984" spans="1:53" s="499" customFormat="1" x14ac:dyDescent="0.25">
      <c r="A6984" s="500"/>
      <c r="B6984" s="501"/>
      <c r="C6984" s="502"/>
      <c r="D6984" s="497"/>
      <c r="E6984" s="497"/>
      <c r="F6984" s="502"/>
      <c r="G6984" s="497"/>
      <c r="H6984" s="497"/>
      <c r="I6984" s="497"/>
      <c r="J6984" s="497"/>
      <c r="K6984" s="500"/>
      <c r="L6984" s="497"/>
      <c r="M6984"/>
      <c r="N6984" s="498"/>
      <c r="O6984" s="498"/>
      <c r="P6984" s="498"/>
      <c r="Q6984" s="498"/>
      <c r="R6984" s="498"/>
      <c r="T6984" s="498"/>
      <c r="U6984" s="498"/>
      <c r="V6984" s="498"/>
      <c r="W6984" s="498"/>
      <c r="X6984" s="498"/>
      <c r="Y6984" s="498"/>
      <c r="Z6984" s="498"/>
      <c r="AA6984" s="498"/>
      <c r="AB6984" s="498"/>
      <c r="AC6984" s="498"/>
      <c r="AD6984" s="498"/>
      <c r="AE6984" s="498"/>
      <c r="AF6984" s="498"/>
      <c r="AG6984" s="498"/>
      <c r="AH6984" s="498"/>
      <c r="AI6984" s="498"/>
      <c r="AK6984" s="498"/>
      <c r="AL6984" s="498"/>
      <c r="AM6984" s="498"/>
      <c r="AN6984" s="498"/>
      <c r="AO6984" s="498"/>
      <c r="AP6984" s="498"/>
      <c r="AQ6984" s="498"/>
      <c r="AR6984" s="498"/>
      <c r="AS6984" s="498"/>
      <c r="AT6984" s="498"/>
      <c r="AU6984" s="498"/>
      <c r="AV6984" s="498"/>
      <c r="AW6984" s="498"/>
      <c r="AX6984" s="498"/>
      <c r="AY6984" s="498"/>
      <c r="AZ6984" s="498"/>
      <c r="BA6984" s="498"/>
    </row>
    <row r="6985" spans="1:53" s="499" customFormat="1" x14ac:dyDescent="0.25">
      <c r="A6985" s="500"/>
      <c r="B6985" s="501"/>
      <c r="C6985" s="502"/>
      <c r="D6985" s="497"/>
      <c r="E6985" s="497"/>
      <c r="F6985" s="502"/>
      <c r="G6985" s="497"/>
      <c r="H6985" s="497"/>
      <c r="I6985" s="497"/>
      <c r="J6985" s="497"/>
      <c r="K6985" s="500"/>
      <c r="L6985" s="497"/>
      <c r="M6985"/>
      <c r="N6985" s="498"/>
      <c r="O6985" s="498"/>
      <c r="P6985" s="498"/>
      <c r="Q6985" s="498"/>
      <c r="R6985" s="498"/>
      <c r="T6985" s="498"/>
      <c r="U6985" s="498"/>
      <c r="V6985" s="498"/>
      <c r="W6985" s="498"/>
      <c r="X6985" s="498"/>
      <c r="Y6985" s="498"/>
      <c r="Z6985" s="498"/>
      <c r="AA6985" s="498"/>
      <c r="AB6985" s="498"/>
      <c r="AC6985" s="498"/>
      <c r="AD6985" s="498"/>
      <c r="AE6985" s="498"/>
      <c r="AF6985" s="498"/>
      <c r="AG6985" s="498"/>
      <c r="AH6985" s="498"/>
      <c r="AI6985" s="498"/>
      <c r="AK6985" s="498"/>
      <c r="AL6985" s="498"/>
      <c r="AM6985" s="498"/>
      <c r="AN6985" s="498"/>
      <c r="AO6985" s="498"/>
      <c r="AP6985" s="498"/>
      <c r="AQ6985" s="498"/>
      <c r="AR6985" s="498"/>
      <c r="AS6985" s="498"/>
      <c r="AT6985" s="498"/>
      <c r="AU6985" s="498"/>
      <c r="AV6985" s="498"/>
      <c r="AW6985" s="498"/>
      <c r="AX6985" s="498"/>
      <c r="AY6985" s="498"/>
      <c r="AZ6985" s="498"/>
      <c r="BA6985" s="498"/>
    </row>
    <row r="6986" spans="1:53" s="499" customFormat="1" x14ac:dyDescent="0.25">
      <c r="A6986" s="500"/>
      <c r="B6986" s="501"/>
      <c r="C6986" s="502"/>
      <c r="D6986" s="497"/>
      <c r="E6986" s="497"/>
      <c r="F6986" s="502"/>
      <c r="G6986" s="497"/>
      <c r="H6986" s="497"/>
      <c r="I6986" s="497"/>
      <c r="J6986" s="497"/>
      <c r="K6986" s="500"/>
      <c r="L6986" s="497"/>
      <c r="M6986"/>
      <c r="N6986" s="498"/>
      <c r="O6986" s="498"/>
      <c r="P6986" s="498"/>
      <c r="Q6986" s="498"/>
      <c r="R6986" s="498"/>
      <c r="T6986" s="498"/>
      <c r="U6986" s="498"/>
      <c r="V6986" s="498"/>
      <c r="W6986" s="498"/>
      <c r="X6986" s="498"/>
      <c r="Y6986" s="498"/>
      <c r="Z6986" s="498"/>
      <c r="AA6986" s="498"/>
      <c r="AB6986" s="498"/>
      <c r="AC6986" s="498"/>
      <c r="AD6986" s="498"/>
      <c r="AE6986" s="498"/>
      <c r="AF6986" s="498"/>
      <c r="AG6986" s="498"/>
      <c r="AH6986" s="498"/>
      <c r="AI6986" s="498"/>
      <c r="AK6986" s="498"/>
      <c r="AL6986" s="498"/>
      <c r="AM6986" s="498"/>
      <c r="AN6986" s="498"/>
      <c r="AO6986" s="498"/>
      <c r="AP6986" s="498"/>
      <c r="AQ6986" s="498"/>
      <c r="AR6986" s="498"/>
      <c r="AS6986" s="498"/>
      <c r="AT6986" s="498"/>
      <c r="AU6986" s="498"/>
      <c r="AV6986" s="498"/>
      <c r="AW6986" s="498"/>
      <c r="AX6986" s="498"/>
      <c r="AY6986" s="498"/>
      <c r="AZ6986" s="498"/>
      <c r="BA6986" s="498"/>
    </row>
    <row r="6987" spans="1:53" s="499" customFormat="1" x14ac:dyDescent="0.25">
      <c r="A6987" s="500"/>
      <c r="B6987" s="501"/>
      <c r="C6987" s="502"/>
      <c r="D6987" s="497"/>
      <c r="E6987" s="497"/>
      <c r="F6987" s="502"/>
      <c r="G6987" s="497"/>
      <c r="H6987" s="497"/>
      <c r="I6987" s="497"/>
      <c r="J6987" s="497"/>
      <c r="K6987" s="500"/>
      <c r="L6987" s="497"/>
      <c r="M6987"/>
      <c r="N6987" s="498"/>
      <c r="O6987" s="498"/>
      <c r="P6987" s="498"/>
      <c r="Q6987" s="498"/>
      <c r="R6987" s="498"/>
      <c r="T6987" s="498"/>
      <c r="U6987" s="498"/>
      <c r="V6987" s="498"/>
      <c r="W6987" s="498"/>
      <c r="X6987" s="498"/>
      <c r="Y6987" s="498"/>
      <c r="Z6987" s="498"/>
      <c r="AA6987" s="498"/>
      <c r="AB6987" s="498"/>
      <c r="AC6987" s="498"/>
      <c r="AD6987" s="498"/>
      <c r="AE6987" s="498"/>
      <c r="AF6987" s="498"/>
      <c r="AG6987" s="498"/>
      <c r="AH6987" s="498"/>
      <c r="AI6987" s="498"/>
      <c r="AK6987" s="498"/>
      <c r="AL6987" s="498"/>
      <c r="AM6987" s="498"/>
      <c r="AN6987" s="498"/>
      <c r="AO6987" s="498"/>
      <c r="AP6987" s="498"/>
      <c r="AQ6987" s="498"/>
      <c r="AR6987" s="498"/>
      <c r="AS6987" s="498"/>
      <c r="AT6987" s="498"/>
      <c r="AU6987" s="498"/>
      <c r="AV6987" s="498"/>
      <c r="AW6987" s="498"/>
      <c r="AX6987" s="498"/>
      <c r="AY6987" s="498"/>
      <c r="AZ6987" s="498"/>
      <c r="BA6987" s="498"/>
    </row>
    <row r="6988" spans="1:53" s="499" customFormat="1" x14ac:dyDescent="0.25">
      <c r="A6988" s="500"/>
      <c r="B6988" s="501"/>
      <c r="C6988" s="502"/>
      <c r="D6988" s="497"/>
      <c r="E6988" s="497"/>
      <c r="F6988" s="502"/>
      <c r="G6988" s="497"/>
      <c r="H6988" s="497"/>
      <c r="I6988" s="497"/>
      <c r="J6988" s="497"/>
      <c r="K6988" s="500"/>
      <c r="L6988" s="497"/>
      <c r="M6988"/>
      <c r="N6988" s="498"/>
      <c r="O6988" s="498"/>
      <c r="P6988" s="498"/>
      <c r="Q6988" s="498"/>
      <c r="R6988" s="498"/>
      <c r="T6988" s="498"/>
      <c r="U6988" s="498"/>
      <c r="V6988" s="498"/>
      <c r="W6988" s="498"/>
      <c r="X6988" s="498"/>
      <c r="Y6988" s="498"/>
      <c r="Z6988" s="498"/>
      <c r="AA6988" s="498"/>
      <c r="AB6988" s="498"/>
      <c r="AC6988" s="498"/>
      <c r="AD6988" s="498"/>
      <c r="AE6988" s="498"/>
      <c r="AF6988" s="498"/>
      <c r="AG6988" s="498"/>
      <c r="AH6988" s="498"/>
      <c r="AI6988" s="498"/>
      <c r="AK6988" s="498"/>
      <c r="AL6988" s="498"/>
      <c r="AM6988" s="498"/>
      <c r="AN6988" s="498"/>
      <c r="AO6988" s="498"/>
      <c r="AP6988" s="498"/>
      <c r="AQ6988" s="498"/>
      <c r="AR6988" s="498"/>
      <c r="AS6988" s="498"/>
      <c r="AT6988" s="498"/>
      <c r="AU6988" s="498"/>
      <c r="AV6988" s="498"/>
      <c r="AW6988" s="498"/>
      <c r="AX6988" s="498"/>
      <c r="AY6988" s="498"/>
      <c r="AZ6988" s="498"/>
      <c r="BA6988" s="498"/>
    </row>
    <row r="6989" spans="1:53" s="499" customFormat="1" x14ac:dyDescent="0.25">
      <c r="A6989" s="500"/>
      <c r="B6989" s="501"/>
      <c r="C6989" s="502"/>
      <c r="D6989" s="497"/>
      <c r="E6989" s="497"/>
      <c r="F6989" s="502"/>
      <c r="G6989" s="497"/>
      <c r="H6989" s="497"/>
      <c r="I6989" s="497"/>
      <c r="J6989" s="497"/>
      <c r="K6989" s="500"/>
      <c r="L6989" s="497"/>
      <c r="M6989"/>
      <c r="N6989" s="498"/>
      <c r="O6989" s="498"/>
      <c r="P6989" s="498"/>
      <c r="Q6989" s="498"/>
      <c r="R6989" s="498"/>
      <c r="T6989" s="498"/>
      <c r="U6989" s="498"/>
      <c r="V6989" s="498"/>
      <c r="W6989" s="498"/>
      <c r="X6989" s="498"/>
      <c r="Y6989" s="498"/>
      <c r="Z6989" s="498"/>
      <c r="AA6989" s="498"/>
      <c r="AB6989" s="498"/>
      <c r="AC6989" s="498"/>
      <c r="AD6989" s="498"/>
      <c r="AE6989" s="498"/>
      <c r="AF6989" s="498"/>
      <c r="AG6989" s="498"/>
      <c r="AH6989" s="498"/>
      <c r="AI6989" s="498"/>
      <c r="AK6989" s="498"/>
      <c r="AL6989" s="498"/>
      <c r="AM6989" s="498"/>
      <c r="AN6989" s="498"/>
      <c r="AO6989" s="498"/>
      <c r="AP6989" s="498"/>
      <c r="AQ6989" s="498"/>
      <c r="AR6989" s="498"/>
      <c r="AS6989" s="498"/>
      <c r="AT6989" s="498"/>
      <c r="AU6989" s="498"/>
      <c r="AV6989" s="498"/>
      <c r="AW6989" s="498"/>
      <c r="AX6989" s="498"/>
      <c r="AY6989" s="498"/>
      <c r="AZ6989" s="498"/>
      <c r="BA6989" s="498"/>
    </row>
    <row r="6990" spans="1:53" s="499" customFormat="1" x14ac:dyDescent="0.25">
      <c r="A6990" s="500"/>
      <c r="B6990" s="501"/>
      <c r="C6990" s="502"/>
      <c r="D6990" s="497"/>
      <c r="E6990" s="497"/>
      <c r="F6990" s="502"/>
      <c r="G6990" s="497"/>
      <c r="H6990" s="497"/>
      <c r="I6990" s="497"/>
      <c r="J6990" s="497"/>
      <c r="K6990" s="500"/>
      <c r="L6990" s="497"/>
      <c r="M6990"/>
      <c r="N6990" s="498"/>
      <c r="O6990" s="498"/>
      <c r="P6990" s="498"/>
      <c r="Q6990" s="498"/>
      <c r="R6990" s="498"/>
      <c r="T6990" s="498"/>
      <c r="U6990" s="498"/>
      <c r="V6990" s="498"/>
      <c r="W6990" s="498"/>
      <c r="X6990" s="498"/>
      <c r="Y6990" s="498"/>
      <c r="Z6990" s="498"/>
      <c r="AA6990" s="498"/>
      <c r="AB6990" s="498"/>
      <c r="AC6990" s="498"/>
      <c r="AD6990" s="498"/>
      <c r="AE6990" s="498"/>
      <c r="AF6990" s="498"/>
      <c r="AG6990" s="498"/>
      <c r="AH6990" s="498"/>
      <c r="AI6990" s="498"/>
      <c r="AK6990" s="498"/>
      <c r="AL6990" s="498"/>
      <c r="AM6990" s="498"/>
      <c r="AN6990" s="498"/>
      <c r="AO6990" s="498"/>
      <c r="AP6990" s="498"/>
      <c r="AQ6990" s="498"/>
      <c r="AR6990" s="498"/>
      <c r="AS6990" s="498"/>
      <c r="AT6990" s="498"/>
      <c r="AU6990" s="498"/>
      <c r="AV6990" s="498"/>
      <c r="AW6990" s="498"/>
      <c r="AX6990" s="498"/>
      <c r="AY6990" s="498"/>
      <c r="AZ6990" s="498"/>
      <c r="BA6990" s="498"/>
    </row>
    <row r="6991" spans="1:53" s="499" customFormat="1" x14ac:dyDescent="0.25">
      <c r="A6991" s="500"/>
      <c r="B6991" s="501"/>
      <c r="C6991" s="502"/>
      <c r="D6991" s="497"/>
      <c r="E6991" s="497"/>
      <c r="F6991" s="502"/>
      <c r="G6991" s="497"/>
      <c r="H6991" s="497"/>
      <c r="I6991" s="497"/>
      <c r="J6991" s="497"/>
      <c r="K6991" s="500"/>
      <c r="L6991" s="497"/>
      <c r="M6991"/>
      <c r="N6991" s="498"/>
      <c r="O6991" s="498"/>
      <c r="P6991" s="498"/>
      <c r="Q6991" s="498"/>
      <c r="R6991" s="498"/>
      <c r="T6991" s="498"/>
      <c r="U6991" s="498"/>
      <c r="V6991" s="498"/>
      <c r="W6991" s="498"/>
      <c r="X6991" s="498"/>
      <c r="Y6991" s="498"/>
      <c r="Z6991" s="498"/>
      <c r="AA6991" s="498"/>
      <c r="AB6991" s="498"/>
      <c r="AC6991" s="498"/>
      <c r="AD6991" s="498"/>
      <c r="AE6991" s="498"/>
      <c r="AF6991" s="498"/>
      <c r="AG6991" s="498"/>
      <c r="AH6991" s="498"/>
      <c r="AI6991" s="498"/>
      <c r="AK6991" s="498"/>
      <c r="AL6991" s="498"/>
      <c r="AM6991" s="498"/>
      <c r="AN6991" s="498"/>
      <c r="AO6991" s="498"/>
      <c r="AP6991" s="498"/>
      <c r="AQ6991" s="498"/>
      <c r="AR6991" s="498"/>
      <c r="AS6991" s="498"/>
      <c r="AT6991" s="498"/>
      <c r="AU6991" s="498"/>
      <c r="AV6991" s="498"/>
      <c r="AW6991" s="498"/>
      <c r="AX6991" s="498"/>
      <c r="AY6991" s="498"/>
      <c r="AZ6991" s="498"/>
      <c r="BA6991" s="498"/>
    </row>
    <row r="6992" spans="1:53" s="499" customFormat="1" x14ac:dyDescent="0.25">
      <c r="A6992" s="500"/>
      <c r="B6992" s="501"/>
      <c r="C6992" s="502"/>
      <c r="D6992" s="497"/>
      <c r="E6992" s="497"/>
      <c r="F6992" s="502"/>
      <c r="G6992" s="497"/>
      <c r="H6992" s="497"/>
      <c r="I6992" s="497"/>
      <c r="J6992" s="497"/>
      <c r="K6992" s="500"/>
      <c r="L6992" s="497"/>
      <c r="M6992"/>
      <c r="N6992" s="498"/>
      <c r="O6992" s="498"/>
      <c r="P6992" s="498"/>
      <c r="Q6992" s="498"/>
      <c r="R6992" s="498"/>
      <c r="T6992" s="498"/>
      <c r="U6992" s="498"/>
      <c r="V6992" s="498"/>
      <c r="W6992" s="498"/>
      <c r="X6992" s="498"/>
      <c r="Y6992" s="498"/>
      <c r="Z6992" s="498"/>
      <c r="AA6992" s="498"/>
      <c r="AB6992" s="498"/>
      <c r="AC6992" s="498"/>
      <c r="AD6992" s="498"/>
      <c r="AE6992" s="498"/>
      <c r="AF6992" s="498"/>
      <c r="AG6992" s="498"/>
      <c r="AH6992" s="498"/>
      <c r="AI6992" s="498"/>
      <c r="AK6992" s="498"/>
      <c r="AL6992" s="498"/>
      <c r="AM6992" s="498"/>
      <c r="AN6992" s="498"/>
      <c r="AO6992" s="498"/>
      <c r="AP6992" s="498"/>
      <c r="AQ6992" s="498"/>
      <c r="AR6992" s="498"/>
      <c r="AS6992" s="498"/>
      <c r="AT6992" s="498"/>
      <c r="AU6992" s="498"/>
      <c r="AV6992" s="498"/>
      <c r="AW6992" s="498"/>
      <c r="AX6992" s="498"/>
      <c r="AY6992" s="498"/>
      <c r="AZ6992" s="498"/>
      <c r="BA6992" s="498"/>
    </row>
    <row r="6993" spans="1:53" s="499" customFormat="1" x14ac:dyDescent="0.25">
      <c r="A6993" s="500"/>
      <c r="B6993" s="501"/>
      <c r="C6993" s="502"/>
      <c r="D6993" s="497"/>
      <c r="E6993" s="497"/>
      <c r="F6993" s="502"/>
      <c r="G6993" s="497"/>
      <c r="H6993" s="497"/>
      <c r="I6993" s="497"/>
      <c r="J6993" s="497"/>
      <c r="K6993" s="500"/>
      <c r="L6993" s="497"/>
      <c r="M6993"/>
      <c r="N6993" s="498"/>
      <c r="O6993" s="498"/>
      <c r="P6993" s="498"/>
      <c r="Q6993" s="498"/>
      <c r="R6993" s="498"/>
      <c r="T6993" s="498"/>
      <c r="U6993" s="498"/>
      <c r="V6993" s="498"/>
      <c r="W6993" s="498"/>
      <c r="X6993" s="498"/>
      <c r="Y6993" s="498"/>
      <c r="Z6993" s="498"/>
      <c r="AA6993" s="498"/>
      <c r="AB6993" s="498"/>
      <c r="AC6993" s="498"/>
      <c r="AD6993" s="498"/>
      <c r="AE6993" s="498"/>
      <c r="AF6993" s="498"/>
      <c r="AG6993" s="498"/>
      <c r="AH6993" s="498"/>
      <c r="AI6993" s="498"/>
      <c r="AK6993" s="498"/>
      <c r="AL6993" s="498"/>
      <c r="AM6993" s="498"/>
      <c r="AN6993" s="498"/>
      <c r="AO6993" s="498"/>
      <c r="AP6993" s="498"/>
      <c r="AQ6993" s="498"/>
      <c r="AR6993" s="498"/>
      <c r="AS6993" s="498"/>
      <c r="AT6993" s="498"/>
      <c r="AU6993" s="498"/>
      <c r="AV6993" s="498"/>
      <c r="AW6993" s="498"/>
      <c r="AX6993" s="498"/>
      <c r="AY6993" s="498"/>
      <c r="AZ6993" s="498"/>
      <c r="BA6993" s="498"/>
    </row>
    <row r="6994" spans="1:53" s="499" customFormat="1" x14ac:dyDescent="0.25">
      <c r="A6994" s="500"/>
      <c r="B6994" s="501"/>
      <c r="C6994" s="502"/>
      <c r="D6994" s="497"/>
      <c r="E6994" s="497"/>
      <c r="F6994" s="502"/>
      <c r="G6994" s="497"/>
      <c r="H6994" s="497"/>
      <c r="I6994" s="497"/>
      <c r="J6994" s="497"/>
      <c r="K6994" s="500"/>
      <c r="L6994" s="497"/>
      <c r="M6994"/>
      <c r="N6994" s="498"/>
      <c r="O6994" s="498"/>
      <c r="P6994" s="498"/>
      <c r="Q6994" s="498"/>
      <c r="R6994" s="498"/>
      <c r="T6994" s="498"/>
      <c r="U6994" s="498"/>
      <c r="V6994" s="498"/>
      <c r="W6994" s="498"/>
      <c r="X6994" s="498"/>
      <c r="Y6994" s="498"/>
      <c r="Z6994" s="498"/>
      <c r="AA6994" s="498"/>
      <c r="AB6994" s="498"/>
      <c r="AC6994" s="498"/>
      <c r="AD6994" s="498"/>
      <c r="AE6994" s="498"/>
      <c r="AF6994" s="498"/>
      <c r="AG6994" s="498"/>
      <c r="AH6994" s="498"/>
      <c r="AI6994" s="498"/>
      <c r="AK6994" s="498"/>
      <c r="AL6994" s="498"/>
      <c r="AM6994" s="498"/>
      <c r="AN6994" s="498"/>
      <c r="AO6994" s="498"/>
      <c r="AP6994" s="498"/>
      <c r="AQ6994" s="498"/>
      <c r="AR6994" s="498"/>
      <c r="AS6994" s="498"/>
      <c r="AT6994" s="498"/>
      <c r="AU6994" s="498"/>
      <c r="AV6994" s="498"/>
      <c r="AW6994" s="498"/>
      <c r="AX6994" s="498"/>
      <c r="AY6994" s="498"/>
      <c r="AZ6994" s="498"/>
      <c r="BA6994" s="498"/>
    </row>
    <row r="6995" spans="1:53" s="499" customFormat="1" x14ac:dyDescent="0.25">
      <c r="A6995" s="500"/>
      <c r="B6995" s="501"/>
      <c r="C6995" s="502"/>
      <c r="D6995" s="497"/>
      <c r="E6995" s="497"/>
      <c r="F6995" s="502"/>
      <c r="G6995" s="497"/>
      <c r="H6995" s="497"/>
      <c r="I6995" s="497"/>
      <c r="J6995" s="497"/>
      <c r="K6995" s="500"/>
      <c r="L6995" s="497"/>
      <c r="M6995"/>
      <c r="N6995" s="498"/>
      <c r="O6995" s="498"/>
      <c r="P6995" s="498"/>
      <c r="Q6995" s="498"/>
      <c r="R6995" s="498"/>
      <c r="T6995" s="498"/>
      <c r="U6995" s="498"/>
      <c r="V6995" s="498"/>
      <c r="W6995" s="498"/>
      <c r="X6995" s="498"/>
      <c r="Y6995" s="498"/>
      <c r="Z6995" s="498"/>
      <c r="AA6995" s="498"/>
      <c r="AB6995" s="498"/>
      <c r="AC6995" s="498"/>
      <c r="AD6995" s="498"/>
      <c r="AE6995" s="498"/>
      <c r="AF6995" s="498"/>
      <c r="AG6995" s="498"/>
      <c r="AH6995" s="498"/>
      <c r="AI6995" s="498"/>
      <c r="AK6995" s="498"/>
      <c r="AL6995" s="498"/>
      <c r="AM6995" s="498"/>
      <c r="AN6995" s="498"/>
      <c r="AO6995" s="498"/>
      <c r="AP6995" s="498"/>
      <c r="AQ6995" s="498"/>
      <c r="AR6995" s="498"/>
      <c r="AS6995" s="498"/>
      <c r="AT6995" s="498"/>
      <c r="AU6995" s="498"/>
      <c r="AV6995" s="498"/>
      <c r="AW6995" s="498"/>
      <c r="AX6995" s="498"/>
      <c r="AY6995" s="498"/>
      <c r="AZ6995" s="498"/>
      <c r="BA6995" s="498"/>
    </row>
    <row r="6996" spans="1:53" s="499" customFormat="1" x14ac:dyDescent="0.25">
      <c r="A6996" s="500"/>
      <c r="B6996" s="501"/>
      <c r="C6996" s="502"/>
      <c r="D6996" s="497"/>
      <c r="E6996" s="497"/>
      <c r="F6996" s="502"/>
      <c r="G6996" s="497"/>
      <c r="H6996" s="497"/>
      <c r="I6996" s="497"/>
      <c r="J6996" s="497"/>
      <c r="K6996" s="500"/>
      <c r="L6996" s="497"/>
      <c r="M6996"/>
      <c r="N6996" s="498"/>
      <c r="O6996" s="498"/>
      <c r="P6996" s="498"/>
      <c r="Q6996" s="498"/>
      <c r="R6996" s="498"/>
      <c r="T6996" s="498"/>
      <c r="U6996" s="498"/>
      <c r="V6996" s="498"/>
      <c r="W6996" s="498"/>
      <c r="X6996" s="498"/>
      <c r="Y6996" s="498"/>
      <c r="Z6996" s="498"/>
      <c r="AA6996" s="498"/>
      <c r="AB6996" s="498"/>
      <c r="AC6996" s="498"/>
      <c r="AD6996" s="498"/>
      <c r="AE6996" s="498"/>
      <c r="AF6996" s="498"/>
      <c r="AG6996" s="498"/>
      <c r="AH6996" s="498"/>
      <c r="AI6996" s="498"/>
      <c r="AK6996" s="498"/>
      <c r="AL6996" s="498"/>
      <c r="AM6996" s="498"/>
      <c r="AN6996" s="498"/>
      <c r="AO6996" s="498"/>
      <c r="AP6996" s="498"/>
      <c r="AQ6996" s="498"/>
      <c r="AR6996" s="498"/>
      <c r="AS6996" s="498"/>
      <c r="AT6996" s="498"/>
      <c r="AU6996" s="498"/>
      <c r="AV6996" s="498"/>
      <c r="AW6996" s="498"/>
      <c r="AX6996" s="498"/>
      <c r="AY6996" s="498"/>
      <c r="AZ6996" s="498"/>
      <c r="BA6996" s="498"/>
    </row>
    <row r="6997" spans="1:53" s="499" customFormat="1" x14ac:dyDescent="0.25">
      <c r="A6997" s="500"/>
      <c r="B6997" s="501"/>
      <c r="C6997" s="502"/>
      <c r="D6997" s="497"/>
      <c r="E6997" s="497"/>
      <c r="F6997" s="502"/>
      <c r="G6997" s="497"/>
      <c r="H6997" s="497"/>
      <c r="I6997" s="497"/>
      <c r="J6997" s="497"/>
      <c r="K6997" s="500"/>
      <c r="L6997" s="497"/>
      <c r="M6997"/>
      <c r="N6997" s="498"/>
      <c r="O6997" s="498"/>
      <c r="P6997" s="498"/>
      <c r="Q6997" s="498"/>
      <c r="R6997" s="498"/>
      <c r="T6997" s="498"/>
      <c r="U6997" s="498"/>
      <c r="V6997" s="498"/>
      <c r="W6997" s="498"/>
      <c r="X6997" s="498"/>
      <c r="Y6997" s="498"/>
      <c r="Z6997" s="498"/>
      <c r="AA6997" s="498"/>
      <c r="AB6997" s="498"/>
      <c r="AC6997" s="498"/>
      <c r="AD6997" s="498"/>
      <c r="AE6997" s="498"/>
      <c r="AF6997" s="498"/>
      <c r="AG6997" s="498"/>
      <c r="AH6997" s="498"/>
      <c r="AI6997" s="498"/>
      <c r="AK6997" s="498"/>
      <c r="AL6997" s="498"/>
      <c r="AM6997" s="498"/>
      <c r="AN6997" s="498"/>
      <c r="AO6997" s="498"/>
      <c r="AP6997" s="498"/>
      <c r="AQ6997" s="498"/>
      <c r="AR6997" s="498"/>
      <c r="AS6997" s="498"/>
      <c r="AT6997" s="498"/>
      <c r="AU6997" s="498"/>
      <c r="AV6997" s="498"/>
      <c r="AW6997" s="498"/>
      <c r="AX6997" s="498"/>
      <c r="AY6997" s="498"/>
      <c r="AZ6997" s="498"/>
      <c r="BA6997" s="498"/>
    </row>
    <row r="6998" spans="1:53" s="499" customFormat="1" x14ac:dyDescent="0.25">
      <c r="A6998" s="500"/>
      <c r="B6998" s="501"/>
      <c r="C6998" s="502"/>
      <c r="D6998" s="497"/>
      <c r="E6998" s="497"/>
      <c r="F6998" s="502"/>
      <c r="G6998" s="497"/>
      <c r="H6998" s="497"/>
      <c r="I6998" s="497"/>
      <c r="J6998" s="497"/>
      <c r="K6998" s="500"/>
      <c r="L6998" s="497"/>
      <c r="M6998"/>
      <c r="N6998" s="498"/>
      <c r="O6998" s="498"/>
      <c r="P6998" s="498"/>
      <c r="Q6998" s="498"/>
      <c r="R6998" s="498"/>
      <c r="T6998" s="498"/>
      <c r="U6998" s="498"/>
      <c r="V6998" s="498"/>
      <c r="W6998" s="498"/>
      <c r="X6998" s="498"/>
      <c r="Y6998" s="498"/>
      <c r="Z6998" s="498"/>
      <c r="AA6998" s="498"/>
      <c r="AB6998" s="498"/>
      <c r="AC6998" s="498"/>
      <c r="AD6998" s="498"/>
      <c r="AE6998" s="498"/>
      <c r="AF6998" s="498"/>
      <c r="AG6998" s="498"/>
      <c r="AH6998" s="498"/>
      <c r="AI6998" s="498"/>
      <c r="AK6998" s="498"/>
      <c r="AL6998" s="498"/>
      <c r="AM6998" s="498"/>
      <c r="AN6998" s="498"/>
      <c r="AO6998" s="498"/>
      <c r="AP6998" s="498"/>
      <c r="AQ6998" s="498"/>
      <c r="AR6998" s="498"/>
      <c r="AS6998" s="498"/>
      <c r="AT6998" s="498"/>
      <c r="AU6998" s="498"/>
      <c r="AV6998" s="498"/>
      <c r="AW6998" s="498"/>
      <c r="AX6998" s="498"/>
      <c r="AY6998" s="498"/>
      <c r="AZ6998" s="498"/>
      <c r="BA6998" s="498"/>
    </row>
    <row r="6999" spans="1:53" s="499" customFormat="1" x14ac:dyDescent="0.25">
      <c r="A6999" s="500"/>
      <c r="B6999" s="501"/>
      <c r="C6999" s="502"/>
      <c r="D6999" s="497"/>
      <c r="E6999" s="497"/>
      <c r="F6999" s="502"/>
      <c r="G6999" s="497"/>
      <c r="H6999" s="497"/>
      <c r="I6999" s="497"/>
      <c r="J6999" s="497"/>
      <c r="K6999" s="500"/>
      <c r="L6999" s="497"/>
      <c r="M6999"/>
      <c r="N6999" s="498"/>
      <c r="O6999" s="498"/>
      <c r="P6999" s="498"/>
      <c r="Q6999" s="498"/>
      <c r="R6999" s="498"/>
      <c r="T6999" s="498"/>
      <c r="U6999" s="498"/>
      <c r="V6999" s="498"/>
      <c r="W6999" s="498"/>
      <c r="X6999" s="498"/>
      <c r="Y6999" s="498"/>
      <c r="Z6999" s="498"/>
      <c r="AA6999" s="498"/>
      <c r="AB6999" s="498"/>
      <c r="AC6999" s="498"/>
      <c r="AD6999" s="498"/>
      <c r="AE6999" s="498"/>
      <c r="AF6999" s="498"/>
      <c r="AG6999" s="498"/>
      <c r="AH6999" s="498"/>
      <c r="AI6999" s="498"/>
      <c r="AK6999" s="498"/>
      <c r="AL6999" s="498"/>
      <c r="AM6999" s="498"/>
      <c r="AN6999" s="498"/>
      <c r="AO6999" s="498"/>
      <c r="AP6999" s="498"/>
      <c r="AQ6999" s="498"/>
      <c r="AR6999" s="498"/>
      <c r="AS6999" s="498"/>
      <c r="AT6999" s="498"/>
      <c r="AU6999" s="498"/>
      <c r="AV6999" s="498"/>
      <c r="AW6999" s="498"/>
      <c r="AX6999" s="498"/>
      <c r="AY6999" s="498"/>
      <c r="AZ6999" s="498"/>
      <c r="BA6999" s="498"/>
    </row>
    <row r="7000" spans="1:53" s="499" customFormat="1" x14ac:dyDescent="0.25">
      <c r="A7000" s="500"/>
      <c r="B7000" s="501"/>
      <c r="C7000" s="502"/>
      <c r="D7000" s="497"/>
      <c r="E7000" s="497"/>
      <c r="F7000" s="502"/>
      <c r="G7000" s="497"/>
      <c r="H7000" s="497"/>
      <c r="I7000" s="497"/>
      <c r="J7000" s="497"/>
      <c r="K7000" s="500"/>
      <c r="L7000" s="497"/>
      <c r="M7000"/>
      <c r="N7000" s="498"/>
      <c r="O7000" s="498"/>
      <c r="P7000" s="498"/>
      <c r="Q7000" s="498"/>
      <c r="R7000" s="498"/>
      <c r="T7000" s="498"/>
      <c r="U7000" s="498"/>
      <c r="V7000" s="498"/>
      <c r="W7000" s="498"/>
      <c r="X7000" s="498"/>
      <c r="Y7000" s="498"/>
      <c r="Z7000" s="498"/>
      <c r="AA7000" s="498"/>
      <c r="AB7000" s="498"/>
      <c r="AC7000" s="498"/>
      <c r="AD7000" s="498"/>
      <c r="AE7000" s="498"/>
      <c r="AF7000" s="498"/>
      <c r="AG7000" s="498"/>
      <c r="AH7000" s="498"/>
      <c r="AI7000" s="498"/>
      <c r="AK7000" s="498"/>
      <c r="AL7000" s="498"/>
      <c r="AM7000" s="498"/>
      <c r="AN7000" s="498"/>
      <c r="AO7000" s="498"/>
      <c r="AP7000" s="498"/>
      <c r="AQ7000" s="498"/>
      <c r="AR7000" s="498"/>
      <c r="AS7000" s="498"/>
      <c r="AT7000" s="498"/>
      <c r="AU7000" s="498"/>
      <c r="AV7000" s="498"/>
      <c r="AW7000" s="498"/>
      <c r="AX7000" s="498"/>
      <c r="AY7000" s="498"/>
      <c r="AZ7000" s="498"/>
      <c r="BA7000" s="498"/>
    </row>
    <row r="7001" spans="1:53" s="499" customFormat="1" x14ac:dyDescent="0.25">
      <c r="A7001" s="500"/>
      <c r="B7001" s="501"/>
      <c r="C7001" s="502"/>
      <c r="D7001" s="497"/>
      <c r="E7001" s="497"/>
      <c r="F7001" s="502"/>
      <c r="G7001" s="497"/>
      <c r="H7001" s="497"/>
      <c r="I7001" s="497"/>
      <c r="J7001" s="497"/>
      <c r="K7001" s="500"/>
      <c r="L7001" s="497"/>
      <c r="M7001"/>
      <c r="N7001" s="498"/>
      <c r="O7001" s="498"/>
      <c r="P7001" s="498"/>
      <c r="Q7001" s="498"/>
      <c r="R7001" s="498"/>
      <c r="T7001" s="498"/>
      <c r="U7001" s="498"/>
      <c r="V7001" s="498"/>
      <c r="W7001" s="498"/>
      <c r="X7001" s="498"/>
      <c r="Y7001" s="498"/>
      <c r="Z7001" s="498"/>
      <c r="AA7001" s="498"/>
      <c r="AB7001" s="498"/>
      <c r="AC7001" s="498"/>
      <c r="AD7001" s="498"/>
      <c r="AE7001" s="498"/>
      <c r="AF7001" s="498"/>
      <c r="AG7001" s="498"/>
      <c r="AH7001" s="498"/>
      <c r="AI7001" s="498"/>
      <c r="AK7001" s="498"/>
      <c r="AL7001" s="498"/>
      <c r="AM7001" s="498"/>
      <c r="AN7001" s="498"/>
      <c r="AO7001" s="498"/>
      <c r="AP7001" s="498"/>
      <c r="AQ7001" s="498"/>
      <c r="AR7001" s="498"/>
      <c r="AS7001" s="498"/>
      <c r="AT7001" s="498"/>
      <c r="AU7001" s="498"/>
      <c r="AV7001" s="498"/>
      <c r="AW7001" s="498"/>
      <c r="AX7001" s="498"/>
      <c r="AY7001" s="498"/>
      <c r="AZ7001" s="498"/>
      <c r="BA7001" s="498"/>
    </row>
    <row r="7002" spans="1:53" s="499" customFormat="1" x14ac:dyDescent="0.25">
      <c r="A7002" s="500"/>
      <c r="B7002" s="501"/>
      <c r="C7002" s="502"/>
      <c r="D7002" s="497"/>
      <c r="E7002" s="497"/>
      <c r="F7002" s="502"/>
      <c r="G7002" s="497"/>
      <c r="H7002" s="497"/>
      <c r="I7002" s="497"/>
      <c r="J7002" s="497"/>
      <c r="K7002" s="500"/>
      <c r="L7002" s="497"/>
      <c r="M7002"/>
      <c r="N7002" s="498"/>
      <c r="O7002" s="498"/>
      <c r="P7002" s="498"/>
      <c r="Q7002" s="498"/>
      <c r="R7002" s="498"/>
      <c r="T7002" s="498"/>
      <c r="U7002" s="498"/>
      <c r="V7002" s="498"/>
      <c r="W7002" s="498"/>
      <c r="X7002" s="498"/>
      <c r="Y7002" s="498"/>
      <c r="Z7002" s="498"/>
      <c r="AA7002" s="498"/>
      <c r="AB7002" s="498"/>
      <c r="AC7002" s="498"/>
      <c r="AD7002" s="498"/>
      <c r="AE7002" s="498"/>
      <c r="AF7002" s="498"/>
      <c r="AG7002" s="498"/>
      <c r="AH7002" s="498"/>
      <c r="AI7002" s="498"/>
      <c r="AK7002" s="498"/>
      <c r="AL7002" s="498"/>
      <c r="AM7002" s="498"/>
      <c r="AN7002" s="498"/>
      <c r="AO7002" s="498"/>
      <c r="AP7002" s="498"/>
      <c r="AQ7002" s="498"/>
      <c r="AR7002" s="498"/>
      <c r="AS7002" s="498"/>
      <c r="AT7002" s="498"/>
      <c r="AU7002" s="498"/>
      <c r="AV7002" s="498"/>
      <c r="AW7002" s="498"/>
      <c r="AX7002" s="498"/>
      <c r="AY7002" s="498"/>
      <c r="AZ7002" s="498"/>
      <c r="BA7002" s="498"/>
    </row>
    <row r="7003" spans="1:53" s="499" customFormat="1" x14ac:dyDescent="0.25">
      <c r="A7003" s="500"/>
      <c r="B7003" s="501"/>
      <c r="C7003" s="502"/>
      <c r="D7003" s="497"/>
      <c r="E7003" s="497"/>
      <c r="F7003" s="502"/>
      <c r="G7003" s="497"/>
      <c r="H7003" s="497"/>
      <c r="I7003" s="497"/>
      <c r="J7003" s="497"/>
      <c r="K7003" s="500"/>
      <c r="L7003" s="497"/>
      <c r="M7003"/>
      <c r="N7003" s="498"/>
      <c r="O7003" s="498"/>
      <c r="P7003" s="498"/>
      <c r="Q7003" s="498"/>
      <c r="R7003" s="498"/>
      <c r="T7003" s="498"/>
      <c r="U7003" s="498"/>
      <c r="V7003" s="498"/>
      <c r="W7003" s="498"/>
      <c r="X7003" s="498"/>
      <c r="Y7003" s="498"/>
      <c r="Z7003" s="498"/>
      <c r="AA7003" s="498"/>
      <c r="AB7003" s="498"/>
      <c r="AC7003" s="498"/>
      <c r="AD7003" s="498"/>
      <c r="AE7003" s="498"/>
      <c r="AF7003" s="498"/>
      <c r="AG7003" s="498"/>
      <c r="AH7003" s="498"/>
      <c r="AI7003" s="498"/>
      <c r="AK7003" s="498"/>
      <c r="AL7003" s="498"/>
      <c r="AM7003" s="498"/>
      <c r="AN7003" s="498"/>
      <c r="AO7003" s="498"/>
      <c r="AP7003" s="498"/>
      <c r="AQ7003" s="498"/>
      <c r="AR7003" s="498"/>
      <c r="AS7003" s="498"/>
      <c r="AT7003" s="498"/>
      <c r="AU7003" s="498"/>
      <c r="AV7003" s="498"/>
      <c r="AW7003" s="498"/>
      <c r="AX7003" s="498"/>
      <c r="AY7003" s="498"/>
      <c r="AZ7003" s="498"/>
      <c r="BA7003" s="498"/>
    </row>
    <row r="7004" spans="1:53" s="499" customFormat="1" x14ac:dyDescent="0.25">
      <c r="A7004" s="500"/>
      <c r="B7004" s="501"/>
      <c r="C7004" s="502"/>
      <c r="D7004" s="497"/>
      <c r="E7004" s="497"/>
      <c r="F7004" s="502"/>
      <c r="G7004" s="497"/>
      <c r="H7004" s="497"/>
      <c r="I7004" s="497"/>
      <c r="J7004" s="497"/>
      <c r="K7004" s="500"/>
      <c r="L7004" s="497"/>
      <c r="M7004"/>
      <c r="N7004" s="498"/>
      <c r="O7004" s="498"/>
      <c r="P7004" s="498"/>
      <c r="Q7004" s="498"/>
      <c r="R7004" s="498"/>
      <c r="T7004" s="498"/>
      <c r="U7004" s="498"/>
      <c r="V7004" s="498"/>
      <c r="W7004" s="498"/>
      <c r="X7004" s="498"/>
      <c r="Y7004" s="498"/>
      <c r="Z7004" s="498"/>
      <c r="AA7004" s="498"/>
      <c r="AB7004" s="498"/>
      <c r="AC7004" s="498"/>
      <c r="AD7004" s="498"/>
      <c r="AE7004" s="498"/>
      <c r="AF7004" s="498"/>
      <c r="AG7004" s="498"/>
      <c r="AH7004" s="498"/>
      <c r="AI7004" s="498"/>
      <c r="AK7004" s="498"/>
      <c r="AL7004" s="498"/>
      <c r="AM7004" s="498"/>
      <c r="AN7004" s="498"/>
      <c r="AO7004" s="498"/>
      <c r="AP7004" s="498"/>
      <c r="AQ7004" s="498"/>
      <c r="AR7004" s="498"/>
      <c r="AS7004" s="498"/>
      <c r="AT7004" s="498"/>
      <c r="AU7004" s="498"/>
      <c r="AV7004" s="498"/>
      <c r="AW7004" s="498"/>
      <c r="AX7004" s="498"/>
      <c r="AY7004" s="498"/>
      <c r="AZ7004" s="498"/>
      <c r="BA7004" s="498"/>
    </row>
    <row r="7005" spans="1:53" s="499" customFormat="1" x14ac:dyDescent="0.25">
      <c r="A7005" s="500"/>
      <c r="B7005" s="501"/>
      <c r="C7005" s="502"/>
      <c r="D7005" s="497"/>
      <c r="E7005" s="497"/>
      <c r="F7005" s="502"/>
      <c r="G7005" s="497"/>
      <c r="H7005" s="497"/>
      <c r="I7005" s="497"/>
      <c r="J7005" s="497"/>
      <c r="K7005" s="500"/>
      <c r="L7005" s="497"/>
      <c r="M7005"/>
      <c r="N7005" s="498"/>
      <c r="O7005" s="498"/>
      <c r="P7005" s="498"/>
      <c r="Q7005" s="498"/>
      <c r="R7005" s="498"/>
      <c r="T7005" s="498"/>
      <c r="U7005" s="498"/>
      <c r="V7005" s="498"/>
      <c r="W7005" s="498"/>
      <c r="X7005" s="498"/>
      <c r="Y7005" s="498"/>
      <c r="Z7005" s="498"/>
      <c r="AA7005" s="498"/>
      <c r="AB7005" s="498"/>
      <c r="AC7005" s="498"/>
      <c r="AD7005" s="498"/>
      <c r="AE7005" s="498"/>
      <c r="AF7005" s="498"/>
      <c r="AG7005" s="498"/>
      <c r="AH7005" s="498"/>
      <c r="AI7005" s="498"/>
      <c r="AK7005" s="498"/>
      <c r="AL7005" s="498"/>
      <c r="AM7005" s="498"/>
      <c r="AN7005" s="498"/>
      <c r="AO7005" s="498"/>
      <c r="AP7005" s="498"/>
      <c r="AQ7005" s="498"/>
      <c r="AR7005" s="498"/>
      <c r="AS7005" s="498"/>
      <c r="AT7005" s="498"/>
      <c r="AU7005" s="498"/>
      <c r="AV7005" s="498"/>
      <c r="AW7005" s="498"/>
      <c r="AX7005" s="498"/>
      <c r="AY7005" s="498"/>
      <c r="AZ7005" s="498"/>
      <c r="BA7005" s="498"/>
    </row>
    <row r="7006" spans="1:53" s="499" customFormat="1" x14ac:dyDescent="0.25">
      <c r="A7006" s="500"/>
      <c r="B7006" s="501"/>
      <c r="C7006" s="502"/>
      <c r="D7006" s="497"/>
      <c r="E7006" s="497"/>
      <c r="F7006" s="502"/>
      <c r="G7006" s="497"/>
      <c r="H7006" s="497"/>
      <c r="I7006" s="497"/>
      <c r="J7006" s="497"/>
      <c r="K7006" s="500"/>
      <c r="L7006" s="497"/>
      <c r="M7006"/>
      <c r="N7006" s="498"/>
      <c r="O7006" s="498"/>
      <c r="P7006" s="498"/>
      <c r="Q7006" s="498"/>
      <c r="R7006" s="498"/>
      <c r="T7006" s="498"/>
      <c r="U7006" s="498"/>
      <c r="V7006" s="498"/>
      <c r="W7006" s="498"/>
      <c r="X7006" s="498"/>
      <c r="Y7006" s="498"/>
      <c r="Z7006" s="498"/>
      <c r="AA7006" s="498"/>
      <c r="AB7006" s="498"/>
      <c r="AC7006" s="498"/>
      <c r="AD7006" s="498"/>
      <c r="AE7006" s="498"/>
      <c r="AF7006" s="498"/>
      <c r="AG7006" s="498"/>
      <c r="AH7006" s="498"/>
      <c r="AI7006" s="498"/>
      <c r="AK7006" s="498"/>
      <c r="AL7006" s="498"/>
      <c r="AM7006" s="498"/>
      <c r="AN7006" s="498"/>
      <c r="AO7006" s="498"/>
      <c r="AP7006" s="498"/>
      <c r="AQ7006" s="498"/>
      <c r="AR7006" s="498"/>
      <c r="AS7006" s="498"/>
      <c r="AT7006" s="498"/>
      <c r="AU7006" s="498"/>
      <c r="AV7006" s="498"/>
      <c r="AW7006" s="498"/>
      <c r="AX7006" s="498"/>
      <c r="AY7006" s="498"/>
      <c r="AZ7006" s="498"/>
      <c r="BA7006" s="498"/>
    </row>
    <row r="7007" spans="1:53" s="499" customFormat="1" x14ac:dyDescent="0.25">
      <c r="A7007" s="500"/>
      <c r="B7007" s="501"/>
      <c r="C7007" s="502"/>
      <c r="D7007" s="497"/>
      <c r="E7007" s="497"/>
      <c r="F7007" s="502"/>
      <c r="G7007" s="497"/>
      <c r="H7007" s="497"/>
      <c r="I7007" s="497"/>
      <c r="J7007" s="497"/>
      <c r="K7007" s="500"/>
      <c r="L7007" s="497"/>
      <c r="M7007"/>
      <c r="N7007" s="498"/>
      <c r="O7007" s="498"/>
      <c r="P7007" s="498"/>
      <c r="Q7007" s="498"/>
      <c r="R7007" s="498"/>
      <c r="T7007" s="498"/>
      <c r="U7007" s="498"/>
      <c r="V7007" s="498"/>
      <c r="W7007" s="498"/>
      <c r="X7007" s="498"/>
      <c r="Y7007" s="498"/>
      <c r="Z7007" s="498"/>
      <c r="AA7007" s="498"/>
      <c r="AB7007" s="498"/>
      <c r="AC7007" s="498"/>
      <c r="AD7007" s="498"/>
      <c r="AE7007" s="498"/>
      <c r="AF7007" s="498"/>
      <c r="AG7007" s="498"/>
      <c r="AH7007" s="498"/>
      <c r="AI7007" s="498"/>
      <c r="AK7007" s="498"/>
      <c r="AL7007" s="498"/>
      <c r="AM7007" s="498"/>
      <c r="AN7007" s="498"/>
      <c r="AO7007" s="498"/>
      <c r="AP7007" s="498"/>
      <c r="AQ7007" s="498"/>
      <c r="AR7007" s="498"/>
      <c r="AS7007" s="498"/>
      <c r="AT7007" s="498"/>
      <c r="AU7007" s="498"/>
      <c r="AV7007" s="498"/>
      <c r="AW7007" s="498"/>
      <c r="AX7007" s="498"/>
      <c r="AY7007" s="498"/>
      <c r="AZ7007" s="498"/>
      <c r="BA7007" s="498"/>
    </row>
    <row r="7008" spans="1:53" s="499" customFormat="1" x14ac:dyDescent="0.25">
      <c r="A7008" s="500"/>
      <c r="B7008" s="501"/>
      <c r="C7008" s="502"/>
      <c r="D7008" s="497"/>
      <c r="E7008" s="497"/>
      <c r="F7008" s="502"/>
      <c r="G7008" s="497"/>
      <c r="H7008" s="497"/>
      <c r="I7008" s="497"/>
      <c r="J7008" s="497"/>
      <c r="K7008" s="500"/>
      <c r="L7008" s="497"/>
      <c r="M7008"/>
      <c r="N7008" s="498"/>
      <c r="O7008" s="498"/>
      <c r="P7008" s="498"/>
      <c r="Q7008" s="498"/>
      <c r="R7008" s="498"/>
      <c r="T7008" s="498"/>
      <c r="U7008" s="498"/>
      <c r="V7008" s="498"/>
      <c r="W7008" s="498"/>
      <c r="X7008" s="498"/>
      <c r="Y7008" s="498"/>
      <c r="Z7008" s="498"/>
      <c r="AA7008" s="498"/>
      <c r="AB7008" s="498"/>
      <c r="AC7008" s="498"/>
      <c r="AD7008" s="498"/>
      <c r="AE7008" s="498"/>
      <c r="AF7008" s="498"/>
      <c r="AG7008" s="498"/>
      <c r="AH7008" s="498"/>
      <c r="AI7008" s="498"/>
      <c r="AK7008" s="498"/>
      <c r="AL7008" s="498"/>
      <c r="AM7008" s="498"/>
      <c r="AN7008" s="498"/>
      <c r="AO7008" s="498"/>
      <c r="AP7008" s="498"/>
      <c r="AQ7008" s="498"/>
      <c r="AR7008" s="498"/>
      <c r="AS7008" s="498"/>
      <c r="AT7008" s="498"/>
      <c r="AU7008" s="498"/>
      <c r="AV7008" s="498"/>
      <c r="AW7008" s="498"/>
      <c r="AX7008" s="498"/>
      <c r="AY7008" s="498"/>
      <c r="AZ7008" s="498"/>
      <c r="BA7008" s="498"/>
    </row>
    <row r="7009" spans="1:53" s="499" customFormat="1" x14ac:dyDescent="0.25">
      <c r="A7009" s="500"/>
      <c r="B7009" s="501"/>
      <c r="C7009" s="502"/>
      <c r="D7009" s="497"/>
      <c r="E7009" s="497"/>
      <c r="F7009" s="502"/>
      <c r="G7009" s="497"/>
      <c r="H7009" s="497"/>
      <c r="I7009" s="497"/>
      <c r="J7009" s="497"/>
      <c r="K7009" s="500"/>
      <c r="L7009" s="497"/>
      <c r="M7009"/>
      <c r="N7009" s="498"/>
      <c r="O7009" s="498"/>
      <c r="P7009" s="498"/>
      <c r="Q7009" s="498"/>
      <c r="R7009" s="498"/>
      <c r="T7009" s="498"/>
      <c r="U7009" s="498"/>
      <c r="V7009" s="498"/>
      <c r="W7009" s="498"/>
      <c r="X7009" s="498"/>
      <c r="Y7009" s="498"/>
      <c r="Z7009" s="498"/>
      <c r="AA7009" s="498"/>
      <c r="AB7009" s="498"/>
      <c r="AC7009" s="498"/>
      <c r="AD7009" s="498"/>
      <c r="AE7009" s="498"/>
      <c r="AF7009" s="498"/>
      <c r="AG7009" s="498"/>
      <c r="AH7009" s="498"/>
      <c r="AI7009" s="498"/>
      <c r="AK7009" s="498"/>
      <c r="AL7009" s="498"/>
      <c r="AM7009" s="498"/>
      <c r="AN7009" s="498"/>
      <c r="AO7009" s="498"/>
      <c r="AP7009" s="498"/>
      <c r="AQ7009" s="498"/>
      <c r="AR7009" s="498"/>
      <c r="AS7009" s="498"/>
      <c r="AT7009" s="498"/>
      <c r="AU7009" s="498"/>
      <c r="AV7009" s="498"/>
      <c r="AW7009" s="498"/>
      <c r="AX7009" s="498"/>
      <c r="AY7009" s="498"/>
      <c r="AZ7009" s="498"/>
      <c r="BA7009" s="498"/>
    </row>
    <row r="7010" spans="1:53" s="499" customFormat="1" x14ac:dyDescent="0.25">
      <c r="A7010" s="500"/>
      <c r="B7010" s="501"/>
      <c r="C7010" s="502"/>
      <c r="D7010" s="497"/>
      <c r="E7010" s="497"/>
      <c r="F7010" s="502"/>
      <c r="G7010" s="497"/>
      <c r="H7010" s="497"/>
      <c r="I7010" s="497"/>
      <c r="J7010" s="497"/>
      <c r="K7010" s="500"/>
      <c r="L7010" s="497"/>
      <c r="M7010"/>
      <c r="N7010" s="498"/>
      <c r="O7010" s="498"/>
      <c r="P7010" s="498"/>
      <c r="Q7010" s="498"/>
      <c r="R7010" s="498"/>
      <c r="T7010" s="498"/>
      <c r="U7010" s="498"/>
      <c r="V7010" s="498"/>
      <c r="W7010" s="498"/>
      <c r="X7010" s="498"/>
      <c r="Y7010" s="498"/>
      <c r="Z7010" s="498"/>
      <c r="AA7010" s="498"/>
      <c r="AB7010" s="498"/>
      <c r="AC7010" s="498"/>
      <c r="AD7010" s="498"/>
      <c r="AE7010" s="498"/>
      <c r="AF7010" s="498"/>
      <c r="AG7010" s="498"/>
      <c r="AH7010" s="498"/>
      <c r="AI7010" s="498"/>
      <c r="AK7010" s="498"/>
      <c r="AL7010" s="498"/>
      <c r="AM7010" s="498"/>
      <c r="AN7010" s="498"/>
      <c r="AO7010" s="498"/>
      <c r="AP7010" s="498"/>
      <c r="AQ7010" s="498"/>
      <c r="AR7010" s="498"/>
      <c r="AS7010" s="498"/>
      <c r="AT7010" s="498"/>
      <c r="AU7010" s="498"/>
      <c r="AV7010" s="498"/>
      <c r="AW7010" s="498"/>
      <c r="AX7010" s="498"/>
      <c r="AY7010" s="498"/>
      <c r="AZ7010" s="498"/>
      <c r="BA7010" s="498"/>
    </row>
    <row r="7011" spans="1:53" s="499" customFormat="1" x14ac:dyDescent="0.25">
      <c r="A7011" s="500"/>
      <c r="B7011" s="501"/>
      <c r="C7011" s="502"/>
      <c r="D7011" s="497"/>
      <c r="E7011" s="497"/>
      <c r="F7011" s="502"/>
      <c r="G7011" s="497"/>
      <c r="H7011" s="497"/>
      <c r="I7011" s="497"/>
      <c r="J7011" s="497"/>
      <c r="K7011" s="500"/>
      <c r="L7011" s="497"/>
      <c r="M7011"/>
      <c r="N7011" s="498"/>
      <c r="O7011" s="498"/>
      <c r="P7011" s="498"/>
      <c r="Q7011" s="498"/>
      <c r="R7011" s="498"/>
      <c r="T7011" s="498"/>
      <c r="U7011" s="498"/>
      <c r="V7011" s="498"/>
      <c r="W7011" s="498"/>
      <c r="X7011" s="498"/>
      <c r="Y7011" s="498"/>
      <c r="Z7011" s="498"/>
      <c r="AA7011" s="498"/>
      <c r="AB7011" s="498"/>
      <c r="AC7011" s="498"/>
      <c r="AD7011" s="498"/>
      <c r="AE7011" s="498"/>
      <c r="AF7011" s="498"/>
      <c r="AG7011" s="498"/>
      <c r="AH7011" s="498"/>
      <c r="AI7011" s="498"/>
      <c r="AK7011" s="498"/>
      <c r="AL7011" s="498"/>
      <c r="AM7011" s="498"/>
      <c r="AN7011" s="498"/>
      <c r="AO7011" s="498"/>
      <c r="AP7011" s="498"/>
      <c r="AQ7011" s="498"/>
      <c r="AR7011" s="498"/>
      <c r="AS7011" s="498"/>
      <c r="AT7011" s="498"/>
      <c r="AU7011" s="498"/>
      <c r="AV7011" s="498"/>
      <c r="AW7011" s="498"/>
      <c r="AX7011" s="498"/>
      <c r="AY7011" s="498"/>
      <c r="AZ7011" s="498"/>
      <c r="BA7011" s="498"/>
    </row>
    <row r="7012" spans="1:53" s="499" customFormat="1" x14ac:dyDescent="0.25">
      <c r="A7012" s="500"/>
      <c r="B7012" s="501"/>
      <c r="C7012" s="502"/>
      <c r="D7012" s="497"/>
      <c r="E7012" s="497"/>
      <c r="F7012" s="502"/>
      <c r="G7012" s="497"/>
      <c r="H7012" s="497"/>
      <c r="I7012" s="497"/>
      <c r="J7012" s="497"/>
      <c r="K7012" s="500"/>
      <c r="L7012" s="497"/>
      <c r="M7012"/>
      <c r="N7012" s="498"/>
      <c r="O7012" s="498"/>
      <c r="P7012" s="498"/>
      <c r="Q7012" s="498"/>
      <c r="R7012" s="498"/>
      <c r="T7012" s="498"/>
      <c r="U7012" s="498"/>
      <c r="V7012" s="498"/>
      <c r="W7012" s="498"/>
      <c r="X7012" s="498"/>
      <c r="Y7012" s="498"/>
      <c r="Z7012" s="498"/>
      <c r="AA7012" s="498"/>
      <c r="AB7012" s="498"/>
      <c r="AC7012" s="498"/>
      <c r="AD7012" s="498"/>
      <c r="AE7012" s="498"/>
      <c r="AF7012" s="498"/>
      <c r="AG7012" s="498"/>
      <c r="AH7012" s="498"/>
      <c r="AI7012" s="498"/>
      <c r="AK7012" s="498"/>
      <c r="AL7012" s="498"/>
      <c r="AM7012" s="498"/>
      <c r="AN7012" s="498"/>
      <c r="AO7012" s="498"/>
      <c r="AP7012" s="498"/>
      <c r="AQ7012" s="498"/>
      <c r="AR7012" s="498"/>
      <c r="AS7012" s="498"/>
      <c r="AT7012" s="498"/>
      <c r="AU7012" s="498"/>
      <c r="AV7012" s="498"/>
      <c r="AW7012" s="498"/>
      <c r="AX7012" s="498"/>
      <c r="AY7012" s="498"/>
      <c r="AZ7012" s="498"/>
      <c r="BA7012" s="498"/>
    </row>
    <row r="7013" spans="1:53" s="499" customFormat="1" x14ac:dyDescent="0.25">
      <c r="A7013" s="500"/>
      <c r="B7013" s="501"/>
      <c r="C7013" s="502"/>
      <c r="D7013" s="497"/>
      <c r="E7013" s="497"/>
      <c r="F7013" s="502"/>
      <c r="G7013" s="497"/>
      <c r="H7013" s="497"/>
      <c r="I7013" s="497"/>
      <c r="J7013" s="497"/>
      <c r="K7013" s="500"/>
      <c r="L7013" s="497"/>
      <c r="M7013"/>
      <c r="N7013" s="498"/>
      <c r="O7013" s="498"/>
      <c r="P7013" s="498"/>
      <c r="Q7013" s="498"/>
      <c r="R7013" s="498"/>
      <c r="T7013" s="498"/>
      <c r="U7013" s="498"/>
      <c r="V7013" s="498"/>
      <c r="W7013" s="498"/>
      <c r="X7013" s="498"/>
      <c r="Y7013" s="498"/>
      <c r="Z7013" s="498"/>
      <c r="AA7013" s="498"/>
      <c r="AB7013" s="498"/>
      <c r="AC7013" s="498"/>
      <c r="AD7013" s="498"/>
      <c r="AE7013" s="498"/>
      <c r="AF7013" s="498"/>
      <c r="AG7013" s="498"/>
      <c r="AH7013" s="498"/>
      <c r="AI7013" s="498"/>
      <c r="AK7013" s="498"/>
      <c r="AL7013" s="498"/>
      <c r="AM7013" s="498"/>
      <c r="AN7013" s="498"/>
      <c r="AO7013" s="498"/>
      <c r="AP7013" s="498"/>
      <c r="AQ7013" s="498"/>
      <c r="AR7013" s="498"/>
      <c r="AS7013" s="498"/>
      <c r="AT7013" s="498"/>
      <c r="AU7013" s="498"/>
      <c r="AV7013" s="498"/>
      <c r="AW7013" s="498"/>
      <c r="AX7013" s="498"/>
      <c r="AY7013" s="498"/>
      <c r="AZ7013" s="498"/>
      <c r="BA7013" s="498"/>
    </row>
    <row r="7014" spans="1:53" s="499" customFormat="1" x14ac:dyDescent="0.25">
      <c r="A7014" s="500"/>
      <c r="B7014" s="501"/>
      <c r="C7014" s="502"/>
      <c r="D7014" s="497"/>
      <c r="E7014" s="497"/>
      <c r="F7014" s="502"/>
      <c r="G7014" s="497"/>
      <c r="H7014" s="497"/>
      <c r="I7014" s="497"/>
      <c r="J7014" s="497"/>
      <c r="K7014" s="500"/>
      <c r="L7014" s="497"/>
      <c r="M7014"/>
      <c r="N7014" s="498"/>
      <c r="O7014" s="498"/>
      <c r="P7014" s="498"/>
      <c r="Q7014" s="498"/>
      <c r="R7014" s="498"/>
      <c r="T7014" s="498"/>
      <c r="U7014" s="498"/>
      <c r="V7014" s="498"/>
      <c r="W7014" s="498"/>
      <c r="X7014" s="498"/>
      <c r="Y7014" s="498"/>
      <c r="Z7014" s="498"/>
      <c r="AA7014" s="498"/>
      <c r="AB7014" s="498"/>
      <c r="AC7014" s="498"/>
      <c r="AD7014" s="498"/>
      <c r="AE7014" s="498"/>
      <c r="AF7014" s="498"/>
      <c r="AG7014" s="498"/>
      <c r="AH7014" s="498"/>
      <c r="AI7014" s="498"/>
      <c r="AK7014" s="498"/>
      <c r="AL7014" s="498"/>
      <c r="AM7014" s="498"/>
      <c r="AN7014" s="498"/>
      <c r="AO7014" s="498"/>
      <c r="AP7014" s="498"/>
      <c r="AQ7014" s="498"/>
      <c r="AR7014" s="498"/>
      <c r="AS7014" s="498"/>
      <c r="AT7014" s="498"/>
      <c r="AU7014" s="498"/>
      <c r="AV7014" s="498"/>
      <c r="AW7014" s="498"/>
      <c r="AX7014" s="498"/>
      <c r="AY7014" s="498"/>
      <c r="AZ7014" s="498"/>
      <c r="BA7014" s="498"/>
    </row>
    <row r="7015" spans="1:53" s="499" customFormat="1" x14ac:dyDescent="0.25">
      <c r="A7015" s="500"/>
      <c r="B7015" s="501"/>
      <c r="C7015" s="502"/>
      <c r="D7015" s="497"/>
      <c r="E7015" s="497"/>
      <c r="F7015" s="502"/>
      <c r="G7015" s="497"/>
      <c r="H7015" s="497"/>
      <c r="I7015" s="497"/>
      <c r="J7015" s="497"/>
      <c r="K7015" s="500"/>
      <c r="L7015" s="497"/>
      <c r="M7015"/>
      <c r="N7015" s="498"/>
      <c r="O7015" s="498"/>
      <c r="P7015" s="498"/>
      <c r="Q7015" s="498"/>
      <c r="R7015" s="498"/>
      <c r="T7015" s="498"/>
      <c r="U7015" s="498"/>
      <c r="V7015" s="498"/>
      <c r="W7015" s="498"/>
      <c r="X7015" s="498"/>
      <c r="Y7015" s="498"/>
      <c r="Z7015" s="498"/>
      <c r="AA7015" s="498"/>
      <c r="AB7015" s="498"/>
      <c r="AC7015" s="498"/>
      <c r="AD7015" s="498"/>
      <c r="AE7015" s="498"/>
      <c r="AF7015" s="498"/>
      <c r="AG7015" s="498"/>
      <c r="AH7015" s="498"/>
      <c r="AI7015" s="498"/>
      <c r="AK7015" s="498"/>
      <c r="AL7015" s="498"/>
      <c r="AM7015" s="498"/>
      <c r="AN7015" s="498"/>
      <c r="AO7015" s="498"/>
      <c r="AP7015" s="498"/>
      <c r="AQ7015" s="498"/>
      <c r="AR7015" s="498"/>
      <c r="AS7015" s="498"/>
      <c r="AT7015" s="498"/>
      <c r="AU7015" s="498"/>
      <c r="AV7015" s="498"/>
      <c r="AW7015" s="498"/>
      <c r="AX7015" s="498"/>
      <c r="AY7015" s="498"/>
      <c r="AZ7015" s="498"/>
      <c r="BA7015" s="498"/>
    </row>
    <row r="7016" spans="1:53" s="499" customFormat="1" x14ac:dyDescent="0.25">
      <c r="A7016" s="500"/>
      <c r="B7016" s="501"/>
      <c r="C7016" s="502"/>
      <c r="D7016" s="497"/>
      <c r="E7016" s="497"/>
      <c r="F7016" s="502"/>
      <c r="G7016" s="497"/>
      <c r="H7016" s="497"/>
      <c r="I7016" s="497"/>
      <c r="J7016" s="497"/>
      <c r="K7016" s="500"/>
      <c r="L7016" s="497"/>
      <c r="M7016"/>
      <c r="N7016" s="498"/>
      <c r="O7016" s="498"/>
      <c r="P7016" s="498"/>
      <c r="Q7016" s="498"/>
      <c r="R7016" s="498"/>
      <c r="T7016" s="498"/>
      <c r="U7016" s="498"/>
      <c r="V7016" s="498"/>
      <c r="W7016" s="498"/>
      <c r="X7016" s="498"/>
      <c r="Y7016" s="498"/>
      <c r="Z7016" s="498"/>
      <c r="AA7016" s="498"/>
      <c r="AB7016" s="498"/>
      <c r="AC7016" s="498"/>
      <c r="AD7016" s="498"/>
      <c r="AE7016" s="498"/>
      <c r="AF7016" s="498"/>
      <c r="AG7016" s="498"/>
      <c r="AH7016" s="498"/>
      <c r="AI7016" s="498"/>
      <c r="AK7016" s="498"/>
      <c r="AL7016" s="498"/>
      <c r="AM7016" s="498"/>
      <c r="AN7016" s="498"/>
      <c r="AO7016" s="498"/>
      <c r="AP7016" s="498"/>
      <c r="AQ7016" s="498"/>
      <c r="AR7016" s="498"/>
      <c r="AS7016" s="498"/>
      <c r="AT7016" s="498"/>
      <c r="AU7016" s="498"/>
      <c r="AV7016" s="498"/>
      <c r="AW7016" s="498"/>
      <c r="AX7016" s="498"/>
      <c r="AY7016" s="498"/>
      <c r="AZ7016" s="498"/>
      <c r="BA7016" s="498"/>
    </row>
    <row r="7017" spans="1:53" s="499" customFormat="1" x14ac:dyDescent="0.25">
      <c r="A7017" s="500"/>
      <c r="B7017" s="501"/>
      <c r="C7017" s="502"/>
      <c r="D7017" s="497"/>
      <c r="E7017" s="497"/>
      <c r="F7017" s="502"/>
      <c r="G7017" s="497"/>
      <c r="H7017" s="497"/>
      <c r="I7017" s="497"/>
      <c r="J7017" s="497"/>
      <c r="K7017" s="500"/>
      <c r="L7017" s="497"/>
      <c r="M7017"/>
      <c r="N7017" s="498"/>
      <c r="O7017" s="498"/>
      <c r="P7017" s="498"/>
      <c r="Q7017" s="498"/>
      <c r="R7017" s="498"/>
      <c r="T7017" s="498"/>
      <c r="U7017" s="498"/>
      <c r="V7017" s="498"/>
      <c r="W7017" s="498"/>
      <c r="X7017" s="498"/>
      <c r="Y7017" s="498"/>
      <c r="Z7017" s="498"/>
      <c r="AA7017" s="498"/>
      <c r="AB7017" s="498"/>
      <c r="AC7017" s="498"/>
      <c r="AD7017" s="498"/>
      <c r="AE7017" s="498"/>
      <c r="AF7017" s="498"/>
      <c r="AG7017" s="498"/>
      <c r="AH7017" s="498"/>
      <c r="AI7017" s="498"/>
      <c r="AK7017" s="498"/>
      <c r="AL7017" s="498"/>
      <c r="AM7017" s="498"/>
      <c r="AN7017" s="498"/>
      <c r="AO7017" s="498"/>
      <c r="AP7017" s="498"/>
      <c r="AQ7017" s="498"/>
      <c r="AR7017" s="498"/>
      <c r="AS7017" s="498"/>
      <c r="AT7017" s="498"/>
      <c r="AU7017" s="498"/>
      <c r="AV7017" s="498"/>
      <c r="AW7017" s="498"/>
      <c r="AX7017" s="498"/>
      <c r="AY7017" s="498"/>
      <c r="AZ7017" s="498"/>
      <c r="BA7017" s="498"/>
    </row>
    <row r="7018" spans="1:53" s="499" customFormat="1" x14ac:dyDescent="0.25">
      <c r="A7018" s="500"/>
      <c r="B7018" s="501"/>
      <c r="C7018" s="502"/>
      <c r="D7018" s="497"/>
      <c r="E7018" s="497"/>
      <c r="F7018" s="502"/>
      <c r="G7018" s="497"/>
      <c r="H7018" s="497"/>
      <c r="I7018" s="497"/>
      <c r="J7018" s="497"/>
      <c r="K7018" s="500"/>
      <c r="L7018" s="497"/>
      <c r="M7018"/>
      <c r="N7018" s="498"/>
      <c r="O7018" s="498"/>
      <c r="P7018" s="498"/>
      <c r="Q7018" s="498"/>
      <c r="R7018" s="498"/>
      <c r="T7018" s="498"/>
      <c r="U7018" s="498"/>
      <c r="V7018" s="498"/>
      <c r="W7018" s="498"/>
      <c r="X7018" s="498"/>
      <c r="Y7018" s="498"/>
      <c r="Z7018" s="498"/>
      <c r="AA7018" s="498"/>
      <c r="AB7018" s="498"/>
      <c r="AC7018" s="498"/>
      <c r="AD7018" s="498"/>
      <c r="AE7018" s="498"/>
      <c r="AF7018" s="498"/>
      <c r="AG7018" s="498"/>
      <c r="AH7018" s="498"/>
      <c r="AI7018" s="498"/>
      <c r="AK7018" s="498"/>
      <c r="AL7018" s="498"/>
      <c r="AM7018" s="498"/>
      <c r="AN7018" s="498"/>
      <c r="AO7018" s="498"/>
      <c r="AP7018" s="498"/>
      <c r="AQ7018" s="498"/>
      <c r="AR7018" s="498"/>
      <c r="AS7018" s="498"/>
      <c r="AT7018" s="498"/>
      <c r="AU7018" s="498"/>
      <c r="AV7018" s="498"/>
      <c r="AW7018" s="498"/>
      <c r="AX7018" s="498"/>
      <c r="AY7018" s="498"/>
      <c r="AZ7018" s="498"/>
      <c r="BA7018" s="498"/>
    </row>
    <row r="7019" spans="1:53" s="499" customFormat="1" x14ac:dyDescent="0.25">
      <c r="A7019" s="500"/>
      <c r="B7019" s="501"/>
      <c r="C7019" s="502"/>
      <c r="D7019" s="497"/>
      <c r="E7019" s="497"/>
      <c r="F7019" s="502"/>
      <c r="G7019" s="497"/>
      <c r="H7019" s="497"/>
      <c r="I7019" s="497"/>
      <c r="J7019" s="497"/>
      <c r="K7019" s="500"/>
      <c r="L7019" s="497"/>
      <c r="M7019"/>
      <c r="N7019" s="498"/>
      <c r="O7019" s="498"/>
      <c r="P7019" s="498"/>
      <c r="Q7019" s="498"/>
      <c r="R7019" s="498"/>
      <c r="T7019" s="498"/>
      <c r="U7019" s="498"/>
      <c r="V7019" s="498"/>
      <c r="W7019" s="498"/>
      <c r="X7019" s="498"/>
      <c r="Y7019" s="498"/>
      <c r="Z7019" s="498"/>
      <c r="AA7019" s="498"/>
      <c r="AB7019" s="498"/>
      <c r="AC7019" s="498"/>
      <c r="AD7019" s="498"/>
      <c r="AE7019" s="498"/>
      <c r="AF7019" s="498"/>
      <c r="AG7019" s="498"/>
      <c r="AH7019" s="498"/>
      <c r="AI7019" s="498"/>
      <c r="AK7019" s="498"/>
      <c r="AL7019" s="498"/>
      <c r="AM7019" s="498"/>
      <c r="AN7019" s="498"/>
      <c r="AO7019" s="498"/>
      <c r="AP7019" s="498"/>
      <c r="AQ7019" s="498"/>
      <c r="AR7019" s="498"/>
      <c r="AS7019" s="498"/>
      <c r="AT7019" s="498"/>
      <c r="AU7019" s="498"/>
      <c r="AV7019" s="498"/>
      <c r="AW7019" s="498"/>
      <c r="AX7019" s="498"/>
      <c r="AY7019" s="498"/>
      <c r="AZ7019" s="498"/>
      <c r="BA7019" s="498"/>
    </row>
    <row r="7020" spans="1:53" s="499" customFormat="1" x14ac:dyDescent="0.25">
      <c r="A7020" s="500"/>
      <c r="B7020" s="501"/>
      <c r="C7020" s="502"/>
      <c r="D7020" s="497"/>
      <c r="E7020" s="497"/>
      <c r="F7020" s="502"/>
      <c r="G7020" s="497"/>
      <c r="H7020" s="497"/>
      <c r="I7020" s="497"/>
      <c r="J7020" s="497"/>
      <c r="K7020" s="500"/>
      <c r="L7020" s="497"/>
      <c r="M7020"/>
      <c r="N7020" s="498"/>
      <c r="O7020" s="498"/>
      <c r="P7020" s="498"/>
      <c r="Q7020" s="498"/>
      <c r="R7020" s="498"/>
      <c r="T7020" s="498"/>
      <c r="U7020" s="498"/>
      <c r="V7020" s="498"/>
      <c r="W7020" s="498"/>
      <c r="X7020" s="498"/>
      <c r="Y7020" s="498"/>
      <c r="Z7020" s="498"/>
      <c r="AA7020" s="498"/>
      <c r="AB7020" s="498"/>
      <c r="AC7020" s="498"/>
      <c r="AD7020" s="498"/>
      <c r="AE7020" s="498"/>
      <c r="AF7020" s="498"/>
      <c r="AG7020" s="498"/>
      <c r="AH7020" s="498"/>
      <c r="AI7020" s="498"/>
      <c r="AK7020" s="498"/>
      <c r="AL7020" s="498"/>
      <c r="AM7020" s="498"/>
      <c r="AN7020" s="498"/>
      <c r="AO7020" s="498"/>
      <c r="AP7020" s="498"/>
      <c r="AQ7020" s="498"/>
      <c r="AR7020" s="498"/>
      <c r="AS7020" s="498"/>
      <c r="AT7020" s="498"/>
      <c r="AU7020" s="498"/>
      <c r="AV7020" s="498"/>
      <c r="AW7020" s="498"/>
      <c r="AX7020" s="498"/>
      <c r="AY7020" s="498"/>
      <c r="AZ7020" s="498"/>
      <c r="BA7020" s="498"/>
    </row>
    <row r="7021" spans="1:53" s="499" customFormat="1" x14ac:dyDescent="0.25">
      <c r="A7021" s="500"/>
      <c r="B7021" s="501"/>
      <c r="C7021" s="502"/>
      <c r="D7021" s="497"/>
      <c r="E7021" s="497"/>
      <c r="F7021" s="502"/>
      <c r="G7021" s="497"/>
      <c r="H7021" s="497"/>
      <c r="I7021" s="497"/>
      <c r="J7021" s="497"/>
      <c r="K7021" s="500"/>
      <c r="L7021" s="497"/>
      <c r="M7021"/>
      <c r="N7021" s="498"/>
      <c r="O7021" s="498"/>
      <c r="P7021" s="498"/>
      <c r="Q7021" s="498"/>
      <c r="R7021" s="498"/>
      <c r="T7021" s="498"/>
      <c r="U7021" s="498"/>
      <c r="V7021" s="498"/>
      <c r="W7021" s="498"/>
      <c r="X7021" s="498"/>
      <c r="Y7021" s="498"/>
      <c r="Z7021" s="498"/>
      <c r="AA7021" s="498"/>
      <c r="AB7021" s="498"/>
      <c r="AC7021" s="498"/>
      <c r="AD7021" s="498"/>
      <c r="AE7021" s="498"/>
      <c r="AF7021" s="498"/>
      <c r="AG7021" s="498"/>
      <c r="AH7021" s="498"/>
      <c r="AI7021" s="498"/>
      <c r="AK7021" s="498"/>
      <c r="AL7021" s="498"/>
      <c r="AM7021" s="498"/>
      <c r="AN7021" s="498"/>
      <c r="AO7021" s="498"/>
      <c r="AP7021" s="498"/>
      <c r="AQ7021" s="498"/>
      <c r="AR7021" s="498"/>
      <c r="AS7021" s="498"/>
      <c r="AT7021" s="498"/>
      <c r="AU7021" s="498"/>
      <c r="AV7021" s="498"/>
      <c r="AW7021" s="498"/>
      <c r="AX7021" s="498"/>
      <c r="AY7021" s="498"/>
      <c r="AZ7021" s="498"/>
      <c r="BA7021" s="498"/>
    </row>
    <row r="7022" spans="1:53" s="499" customFormat="1" x14ac:dyDescent="0.25">
      <c r="A7022" s="500"/>
      <c r="B7022" s="501"/>
      <c r="C7022" s="502"/>
      <c r="D7022" s="497"/>
      <c r="E7022" s="497"/>
      <c r="F7022" s="502"/>
      <c r="G7022" s="497"/>
      <c r="H7022" s="497"/>
      <c r="I7022" s="497"/>
      <c r="J7022" s="497"/>
      <c r="K7022" s="500"/>
      <c r="L7022" s="497"/>
      <c r="M7022"/>
      <c r="N7022" s="498"/>
      <c r="O7022" s="498"/>
      <c r="P7022" s="498"/>
      <c r="Q7022" s="498"/>
      <c r="R7022" s="498"/>
      <c r="T7022" s="498"/>
      <c r="U7022" s="498"/>
      <c r="V7022" s="498"/>
      <c r="W7022" s="498"/>
      <c r="X7022" s="498"/>
      <c r="Y7022" s="498"/>
      <c r="Z7022" s="498"/>
      <c r="AA7022" s="498"/>
      <c r="AB7022" s="498"/>
      <c r="AC7022" s="498"/>
      <c r="AD7022" s="498"/>
      <c r="AE7022" s="498"/>
      <c r="AF7022" s="498"/>
      <c r="AG7022" s="498"/>
      <c r="AH7022" s="498"/>
      <c r="AI7022" s="498"/>
      <c r="AK7022" s="498"/>
      <c r="AL7022" s="498"/>
      <c r="AM7022" s="498"/>
      <c r="AN7022" s="498"/>
      <c r="AO7022" s="498"/>
      <c r="AP7022" s="498"/>
      <c r="AQ7022" s="498"/>
      <c r="AR7022" s="498"/>
      <c r="AS7022" s="498"/>
      <c r="AT7022" s="498"/>
      <c r="AU7022" s="498"/>
      <c r="AV7022" s="498"/>
      <c r="AW7022" s="498"/>
      <c r="AX7022" s="498"/>
      <c r="AY7022" s="498"/>
      <c r="AZ7022" s="498"/>
      <c r="BA7022" s="498"/>
    </row>
    <row r="7023" spans="1:53" s="499" customFormat="1" x14ac:dyDescent="0.25">
      <c r="A7023" s="500"/>
      <c r="B7023" s="501"/>
      <c r="C7023" s="502"/>
      <c r="D7023" s="497"/>
      <c r="E7023" s="497"/>
      <c r="F7023" s="502"/>
      <c r="G7023" s="497"/>
      <c r="H7023" s="497"/>
      <c r="I7023" s="497"/>
      <c r="J7023" s="497"/>
      <c r="K7023" s="500"/>
      <c r="L7023" s="497"/>
      <c r="M7023"/>
      <c r="N7023" s="498"/>
      <c r="O7023" s="498"/>
      <c r="P7023" s="498"/>
      <c r="Q7023" s="498"/>
      <c r="R7023" s="498"/>
      <c r="T7023" s="498"/>
      <c r="U7023" s="498"/>
      <c r="V7023" s="498"/>
      <c r="W7023" s="498"/>
      <c r="X7023" s="498"/>
      <c r="Y7023" s="498"/>
      <c r="Z7023" s="498"/>
      <c r="AA7023" s="498"/>
      <c r="AB7023" s="498"/>
      <c r="AC7023" s="498"/>
      <c r="AD7023" s="498"/>
      <c r="AE7023" s="498"/>
      <c r="AF7023" s="498"/>
      <c r="AG7023" s="498"/>
      <c r="AH7023" s="498"/>
      <c r="AI7023" s="498"/>
      <c r="AK7023" s="498"/>
      <c r="AL7023" s="498"/>
      <c r="AM7023" s="498"/>
      <c r="AN7023" s="498"/>
      <c r="AO7023" s="498"/>
      <c r="AP7023" s="498"/>
      <c r="AQ7023" s="498"/>
      <c r="AR7023" s="498"/>
      <c r="AS7023" s="498"/>
      <c r="AT7023" s="498"/>
      <c r="AU7023" s="498"/>
      <c r="AV7023" s="498"/>
      <c r="AW7023" s="498"/>
      <c r="AX7023" s="498"/>
      <c r="AY7023" s="498"/>
      <c r="AZ7023" s="498"/>
      <c r="BA7023" s="498"/>
    </row>
    <row r="7024" spans="1:53" s="499" customFormat="1" x14ac:dyDescent="0.25">
      <c r="A7024" s="500"/>
      <c r="B7024" s="501"/>
      <c r="C7024" s="502"/>
      <c r="D7024" s="497"/>
      <c r="E7024" s="497"/>
      <c r="F7024" s="502"/>
      <c r="G7024" s="497"/>
      <c r="H7024" s="497"/>
      <c r="I7024" s="497"/>
      <c r="J7024" s="497"/>
      <c r="K7024" s="500"/>
      <c r="L7024" s="497"/>
      <c r="M7024"/>
      <c r="N7024" s="498"/>
      <c r="O7024" s="498"/>
      <c r="P7024" s="498"/>
      <c r="Q7024" s="498"/>
      <c r="R7024" s="498"/>
      <c r="T7024" s="498"/>
      <c r="U7024" s="498"/>
      <c r="V7024" s="498"/>
      <c r="W7024" s="498"/>
      <c r="X7024" s="498"/>
      <c r="Y7024" s="498"/>
      <c r="Z7024" s="498"/>
      <c r="AA7024" s="498"/>
      <c r="AB7024" s="498"/>
      <c r="AC7024" s="498"/>
      <c r="AD7024" s="498"/>
      <c r="AE7024" s="498"/>
      <c r="AF7024" s="498"/>
      <c r="AG7024" s="498"/>
      <c r="AH7024" s="498"/>
      <c r="AI7024" s="498"/>
      <c r="AK7024" s="498"/>
      <c r="AL7024" s="498"/>
      <c r="AM7024" s="498"/>
      <c r="AN7024" s="498"/>
      <c r="AO7024" s="498"/>
      <c r="AP7024" s="498"/>
      <c r="AQ7024" s="498"/>
      <c r="AR7024" s="498"/>
      <c r="AS7024" s="498"/>
      <c r="AT7024" s="498"/>
      <c r="AU7024" s="498"/>
      <c r="AV7024" s="498"/>
      <c r="AW7024" s="498"/>
      <c r="AX7024" s="498"/>
      <c r="AY7024" s="498"/>
      <c r="AZ7024" s="498"/>
      <c r="BA7024" s="498"/>
    </row>
    <row r="7025" spans="1:53" s="499" customFormat="1" x14ac:dyDescent="0.25">
      <c r="A7025" s="500"/>
      <c r="B7025" s="501"/>
      <c r="C7025" s="502"/>
      <c r="D7025" s="497"/>
      <c r="E7025" s="497"/>
      <c r="F7025" s="502"/>
      <c r="G7025" s="497"/>
      <c r="H7025" s="497"/>
      <c r="I7025" s="497"/>
      <c r="J7025" s="497"/>
      <c r="K7025" s="500"/>
      <c r="L7025" s="497"/>
      <c r="M7025"/>
      <c r="N7025" s="498"/>
      <c r="O7025" s="498"/>
      <c r="P7025" s="498"/>
      <c r="Q7025" s="498"/>
      <c r="R7025" s="498"/>
      <c r="T7025" s="498"/>
      <c r="U7025" s="498"/>
      <c r="V7025" s="498"/>
      <c r="W7025" s="498"/>
      <c r="X7025" s="498"/>
      <c r="Y7025" s="498"/>
      <c r="Z7025" s="498"/>
      <c r="AA7025" s="498"/>
      <c r="AB7025" s="498"/>
      <c r="AC7025" s="498"/>
      <c r="AD7025" s="498"/>
      <c r="AE7025" s="498"/>
      <c r="AF7025" s="498"/>
      <c r="AG7025" s="498"/>
      <c r="AH7025" s="498"/>
      <c r="AI7025" s="498"/>
      <c r="AK7025" s="498"/>
      <c r="AL7025" s="498"/>
      <c r="AM7025" s="498"/>
      <c r="AN7025" s="498"/>
      <c r="AO7025" s="498"/>
      <c r="AP7025" s="498"/>
      <c r="AQ7025" s="498"/>
      <c r="AR7025" s="498"/>
      <c r="AS7025" s="498"/>
      <c r="AT7025" s="498"/>
      <c r="AU7025" s="498"/>
      <c r="AV7025" s="498"/>
      <c r="AW7025" s="498"/>
      <c r="AX7025" s="498"/>
      <c r="AY7025" s="498"/>
      <c r="AZ7025" s="498"/>
      <c r="BA7025" s="498"/>
    </row>
    <row r="7026" spans="1:53" s="499" customFormat="1" x14ac:dyDescent="0.25">
      <c r="A7026" s="500"/>
      <c r="B7026" s="501"/>
      <c r="C7026" s="502"/>
      <c r="D7026" s="497"/>
      <c r="E7026" s="497"/>
      <c r="F7026" s="502"/>
      <c r="G7026" s="497"/>
      <c r="H7026" s="497"/>
      <c r="I7026" s="497"/>
      <c r="J7026" s="497"/>
      <c r="K7026" s="500"/>
      <c r="L7026" s="497"/>
      <c r="M7026"/>
      <c r="N7026" s="498"/>
      <c r="O7026" s="498"/>
      <c r="P7026" s="498"/>
      <c r="Q7026" s="498"/>
      <c r="R7026" s="498"/>
      <c r="T7026" s="498"/>
      <c r="U7026" s="498"/>
      <c r="V7026" s="498"/>
      <c r="W7026" s="498"/>
      <c r="X7026" s="498"/>
      <c r="Y7026" s="498"/>
      <c r="Z7026" s="498"/>
      <c r="AA7026" s="498"/>
      <c r="AB7026" s="498"/>
      <c r="AC7026" s="498"/>
      <c r="AD7026" s="498"/>
      <c r="AE7026" s="498"/>
      <c r="AF7026" s="498"/>
      <c r="AG7026" s="498"/>
      <c r="AH7026" s="498"/>
      <c r="AI7026" s="498"/>
      <c r="AK7026" s="498"/>
      <c r="AL7026" s="498"/>
      <c r="AM7026" s="498"/>
      <c r="AN7026" s="498"/>
      <c r="AO7026" s="498"/>
      <c r="AP7026" s="498"/>
      <c r="AQ7026" s="498"/>
      <c r="AR7026" s="498"/>
      <c r="AS7026" s="498"/>
      <c r="AT7026" s="498"/>
      <c r="AU7026" s="498"/>
      <c r="AV7026" s="498"/>
      <c r="AW7026" s="498"/>
      <c r="AX7026" s="498"/>
      <c r="AY7026" s="498"/>
      <c r="AZ7026" s="498"/>
      <c r="BA7026" s="498"/>
    </row>
    <row r="7027" spans="1:53" s="499" customFormat="1" x14ac:dyDescent="0.25">
      <c r="A7027" s="500"/>
      <c r="B7027" s="501"/>
      <c r="C7027" s="502"/>
      <c r="D7027" s="497"/>
      <c r="E7027" s="497"/>
      <c r="F7027" s="502"/>
      <c r="G7027" s="497"/>
      <c r="H7027" s="497"/>
      <c r="I7027" s="497"/>
      <c r="J7027" s="497"/>
      <c r="K7027" s="500"/>
      <c r="L7027" s="497"/>
      <c r="M7027"/>
      <c r="N7027" s="498"/>
      <c r="O7027" s="498"/>
      <c r="P7027" s="498"/>
      <c r="Q7027" s="498"/>
      <c r="R7027" s="498"/>
      <c r="T7027" s="498"/>
      <c r="U7027" s="498"/>
      <c r="V7027" s="498"/>
      <c r="W7027" s="498"/>
      <c r="X7027" s="498"/>
      <c r="Y7027" s="498"/>
      <c r="Z7027" s="498"/>
      <c r="AA7027" s="498"/>
      <c r="AB7027" s="498"/>
      <c r="AC7027" s="498"/>
      <c r="AD7027" s="498"/>
      <c r="AE7027" s="498"/>
      <c r="AF7027" s="498"/>
      <c r="AG7027" s="498"/>
      <c r="AH7027" s="498"/>
      <c r="AI7027" s="498"/>
      <c r="AK7027" s="498"/>
      <c r="AL7027" s="498"/>
      <c r="AM7027" s="498"/>
      <c r="AN7027" s="498"/>
      <c r="AO7027" s="498"/>
      <c r="AP7027" s="498"/>
      <c r="AQ7027" s="498"/>
      <c r="AR7027" s="498"/>
      <c r="AS7027" s="498"/>
      <c r="AT7027" s="498"/>
      <c r="AU7027" s="498"/>
      <c r="AV7027" s="498"/>
      <c r="AW7027" s="498"/>
      <c r="AX7027" s="498"/>
      <c r="AY7027" s="498"/>
      <c r="AZ7027" s="498"/>
      <c r="BA7027" s="498"/>
    </row>
    <row r="7028" spans="1:53" s="499" customFormat="1" x14ac:dyDescent="0.25">
      <c r="A7028" s="500"/>
      <c r="B7028" s="501"/>
      <c r="C7028" s="502"/>
      <c r="D7028" s="497"/>
      <c r="E7028" s="497"/>
      <c r="F7028" s="502"/>
      <c r="G7028" s="497"/>
      <c r="H7028" s="497"/>
      <c r="I7028" s="497"/>
      <c r="J7028" s="497"/>
      <c r="K7028" s="500"/>
      <c r="L7028" s="497"/>
      <c r="M7028"/>
      <c r="N7028" s="498"/>
      <c r="O7028" s="498"/>
      <c r="P7028" s="498"/>
      <c r="Q7028" s="498"/>
      <c r="R7028" s="498"/>
      <c r="T7028" s="498"/>
      <c r="U7028" s="498"/>
      <c r="V7028" s="498"/>
      <c r="W7028" s="498"/>
      <c r="X7028" s="498"/>
      <c r="Y7028" s="498"/>
      <c r="Z7028" s="498"/>
      <c r="AA7028" s="498"/>
      <c r="AB7028" s="498"/>
      <c r="AC7028" s="498"/>
      <c r="AD7028" s="498"/>
      <c r="AE7028" s="498"/>
      <c r="AF7028" s="498"/>
      <c r="AG7028" s="498"/>
      <c r="AH7028" s="498"/>
      <c r="AI7028" s="498"/>
      <c r="AK7028" s="498"/>
      <c r="AL7028" s="498"/>
      <c r="AM7028" s="498"/>
      <c r="AN7028" s="498"/>
      <c r="AO7028" s="498"/>
      <c r="AP7028" s="498"/>
      <c r="AQ7028" s="498"/>
      <c r="AR7028" s="498"/>
      <c r="AS7028" s="498"/>
      <c r="AT7028" s="498"/>
      <c r="AU7028" s="498"/>
      <c r="AV7028" s="498"/>
      <c r="AW7028" s="498"/>
      <c r="AX7028" s="498"/>
      <c r="AY7028" s="498"/>
      <c r="AZ7028" s="498"/>
      <c r="BA7028" s="498"/>
    </row>
    <row r="7029" spans="1:53" s="499" customFormat="1" x14ac:dyDescent="0.25">
      <c r="A7029" s="500"/>
      <c r="B7029" s="501"/>
      <c r="C7029" s="502"/>
      <c r="D7029" s="497"/>
      <c r="E7029" s="497"/>
      <c r="F7029" s="502"/>
      <c r="G7029" s="497"/>
      <c r="H7029" s="497"/>
      <c r="I7029" s="497"/>
      <c r="J7029" s="497"/>
      <c r="K7029" s="500"/>
      <c r="L7029" s="497"/>
      <c r="M7029"/>
      <c r="N7029" s="498"/>
      <c r="O7029" s="498"/>
      <c r="P7029" s="498"/>
      <c r="Q7029" s="498"/>
      <c r="R7029" s="498"/>
      <c r="T7029" s="498"/>
      <c r="U7029" s="498"/>
      <c r="V7029" s="498"/>
      <c r="W7029" s="498"/>
      <c r="X7029" s="498"/>
      <c r="Y7029" s="498"/>
      <c r="Z7029" s="498"/>
      <c r="AA7029" s="498"/>
      <c r="AB7029" s="498"/>
      <c r="AC7029" s="498"/>
      <c r="AD7029" s="498"/>
      <c r="AE7029" s="498"/>
      <c r="AF7029" s="498"/>
      <c r="AG7029" s="498"/>
      <c r="AH7029" s="498"/>
      <c r="AI7029" s="498"/>
      <c r="AK7029" s="498"/>
      <c r="AL7029" s="498"/>
      <c r="AM7029" s="498"/>
      <c r="AN7029" s="498"/>
      <c r="AO7029" s="498"/>
      <c r="AP7029" s="498"/>
      <c r="AQ7029" s="498"/>
      <c r="AR7029" s="498"/>
      <c r="AS7029" s="498"/>
      <c r="AT7029" s="498"/>
      <c r="AU7029" s="498"/>
      <c r="AV7029" s="498"/>
      <c r="AW7029" s="498"/>
      <c r="AX7029" s="498"/>
      <c r="AY7029" s="498"/>
      <c r="AZ7029" s="498"/>
      <c r="BA7029" s="498"/>
    </row>
    <row r="7030" spans="1:53" s="499" customFormat="1" x14ac:dyDescent="0.25">
      <c r="A7030" s="500"/>
      <c r="B7030" s="501"/>
      <c r="C7030" s="502"/>
      <c r="D7030" s="497"/>
      <c r="E7030" s="497"/>
      <c r="F7030" s="502"/>
      <c r="G7030" s="497"/>
      <c r="H7030" s="497"/>
      <c r="I7030" s="497"/>
      <c r="J7030" s="497"/>
      <c r="K7030" s="500"/>
      <c r="L7030" s="497"/>
      <c r="M7030"/>
      <c r="N7030" s="498"/>
      <c r="O7030" s="498"/>
      <c r="P7030" s="498"/>
      <c r="Q7030" s="498"/>
      <c r="R7030" s="498"/>
      <c r="T7030" s="498"/>
      <c r="U7030" s="498"/>
      <c r="V7030" s="498"/>
      <c r="W7030" s="498"/>
      <c r="X7030" s="498"/>
      <c r="Y7030" s="498"/>
      <c r="Z7030" s="498"/>
      <c r="AA7030" s="498"/>
      <c r="AB7030" s="498"/>
      <c r="AC7030" s="498"/>
      <c r="AD7030" s="498"/>
      <c r="AE7030" s="498"/>
      <c r="AF7030" s="498"/>
      <c r="AG7030" s="498"/>
      <c r="AH7030" s="498"/>
      <c r="AI7030" s="498"/>
      <c r="AK7030" s="498"/>
      <c r="AL7030" s="498"/>
      <c r="AM7030" s="498"/>
      <c r="AN7030" s="498"/>
      <c r="AO7030" s="498"/>
      <c r="AP7030" s="498"/>
      <c r="AQ7030" s="498"/>
      <c r="AR7030" s="498"/>
      <c r="AS7030" s="498"/>
      <c r="AT7030" s="498"/>
      <c r="AU7030" s="498"/>
      <c r="AV7030" s="498"/>
      <c r="AW7030" s="498"/>
      <c r="AX7030" s="498"/>
      <c r="AY7030" s="498"/>
      <c r="AZ7030" s="498"/>
      <c r="BA7030" s="498"/>
    </row>
    <row r="7031" spans="1:53" s="499" customFormat="1" x14ac:dyDescent="0.25">
      <c r="A7031" s="500"/>
      <c r="B7031" s="501"/>
      <c r="C7031" s="502"/>
      <c r="D7031" s="497"/>
      <c r="E7031" s="497"/>
      <c r="F7031" s="502"/>
      <c r="G7031" s="497"/>
      <c r="H7031" s="497"/>
      <c r="I7031" s="497"/>
      <c r="J7031" s="497"/>
      <c r="K7031" s="500"/>
      <c r="L7031" s="497"/>
      <c r="M7031"/>
      <c r="N7031" s="498"/>
      <c r="O7031" s="498"/>
      <c r="P7031" s="498"/>
      <c r="Q7031" s="498"/>
      <c r="R7031" s="498"/>
      <c r="T7031" s="498"/>
      <c r="U7031" s="498"/>
      <c r="V7031" s="498"/>
      <c r="W7031" s="498"/>
      <c r="X7031" s="498"/>
      <c r="Y7031" s="498"/>
      <c r="Z7031" s="498"/>
      <c r="AA7031" s="498"/>
      <c r="AB7031" s="498"/>
      <c r="AC7031" s="498"/>
      <c r="AD7031" s="498"/>
      <c r="AE7031" s="498"/>
      <c r="AF7031" s="498"/>
      <c r="AG7031" s="498"/>
      <c r="AH7031" s="498"/>
      <c r="AI7031" s="498"/>
      <c r="AK7031" s="498"/>
      <c r="AL7031" s="498"/>
      <c r="AM7031" s="498"/>
      <c r="AN7031" s="498"/>
      <c r="AO7031" s="498"/>
      <c r="AP7031" s="498"/>
      <c r="AQ7031" s="498"/>
      <c r="AR7031" s="498"/>
      <c r="AS7031" s="498"/>
      <c r="AT7031" s="498"/>
      <c r="AU7031" s="498"/>
      <c r="AV7031" s="498"/>
      <c r="AW7031" s="498"/>
      <c r="AX7031" s="498"/>
      <c r="AY7031" s="498"/>
      <c r="AZ7031" s="498"/>
      <c r="BA7031" s="498"/>
    </row>
    <row r="7032" spans="1:53" s="499" customFormat="1" x14ac:dyDescent="0.25">
      <c r="A7032" s="500"/>
      <c r="B7032" s="501"/>
      <c r="C7032" s="502"/>
      <c r="D7032" s="497"/>
      <c r="E7032" s="497"/>
      <c r="F7032" s="502"/>
      <c r="G7032" s="497"/>
      <c r="H7032" s="497"/>
      <c r="I7032" s="497"/>
      <c r="J7032" s="497"/>
      <c r="K7032" s="500"/>
      <c r="L7032" s="497"/>
      <c r="M7032"/>
      <c r="N7032" s="498"/>
      <c r="O7032" s="498"/>
      <c r="P7032" s="498"/>
      <c r="Q7032" s="498"/>
      <c r="R7032" s="498"/>
      <c r="T7032" s="498"/>
      <c r="U7032" s="498"/>
      <c r="V7032" s="498"/>
      <c r="W7032" s="498"/>
      <c r="X7032" s="498"/>
      <c r="Y7032" s="498"/>
      <c r="Z7032" s="498"/>
      <c r="AA7032" s="498"/>
      <c r="AB7032" s="498"/>
      <c r="AC7032" s="498"/>
      <c r="AD7032" s="498"/>
      <c r="AE7032" s="498"/>
      <c r="AF7032" s="498"/>
      <c r="AG7032" s="498"/>
      <c r="AH7032" s="498"/>
      <c r="AI7032" s="498"/>
      <c r="AK7032" s="498"/>
      <c r="AL7032" s="498"/>
      <c r="AM7032" s="498"/>
      <c r="AN7032" s="498"/>
      <c r="AO7032" s="498"/>
      <c r="AP7032" s="498"/>
      <c r="AQ7032" s="498"/>
      <c r="AR7032" s="498"/>
      <c r="AS7032" s="498"/>
      <c r="AT7032" s="498"/>
      <c r="AU7032" s="498"/>
      <c r="AV7032" s="498"/>
      <c r="AW7032" s="498"/>
      <c r="AX7032" s="498"/>
      <c r="AY7032" s="498"/>
      <c r="AZ7032" s="498"/>
      <c r="BA7032" s="498"/>
    </row>
    <row r="7033" spans="1:53" s="499" customFormat="1" x14ac:dyDescent="0.25">
      <c r="A7033" s="500"/>
      <c r="B7033" s="501"/>
      <c r="C7033" s="502"/>
      <c r="D7033" s="497"/>
      <c r="E7033" s="497"/>
      <c r="F7033" s="502"/>
      <c r="G7033" s="497"/>
      <c r="H7033" s="497"/>
      <c r="I7033" s="497"/>
      <c r="J7033" s="497"/>
      <c r="K7033" s="500"/>
      <c r="L7033" s="497"/>
      <c r="M7033"/>
      <c r="N7033" s="498"/>
      <c r="O7033" s="498"/>
      <c r="P7033" s="498"/>
      <c r="Q7033" s="498"/>
      <c r="R7033" s="498"/>
      <c r="T7033" s="498"/>
      <c r="U7033" s="498"/>
      <c r="V7033" s="498"/>
      <c r="W7033" s="498"/>
      <c r="X7033" s="498"/>
      <c r="Y7033" s="498"/>
      <c r="Z7033" s="498"/>
      <c r="AA7033" s="498"/>
      <c r="AB7033" s="498"/>
      <c r="AC7033" s="498"/>
      <c r="AD7033" s="498"/>
      <c r="AE7033" s="498"/>
      <c r="AF7033" s="498"/>
      <c r="AG7033" s="498"/>
      <c r="AH7033" s="498"/>
      <c r="AI7033" s="498"/>
      <c r="AK7033" s="498"/>
      <c r="AL7033" s="498"/>
      <c r="AM7033" s="498"/>
      <c r="AN7033" s="498"/>
      <c r="AO7033" s="498"/>
      <c r="AP7033" s="498"/>
      <c r="AQ7033" s="498"/>
      <c r="AR7033" s="498"/>
      <c r="AS7033" s="498"/>
      <c r="AT7033" s="498"/>
      <c r="AU7033" s="498"/>
      <c r="AV7033" s="498"/>
      <c r="AW7033" s="498"/>
      <c r="AX7033" s="498"/>
      <c r="AY7033" s="498"/>
      <c r="AZ7033" s="498"/>
      <c r="BA7033" s="498"/>
    </row>
    <row r="7034" spans="1:53" s="499" customFormat="1" x14ac:dyDescent="0.25">
      <c r="A7034" s="500"/>
      <c r="B7034" s="501"/>
      <c r="C7034" s="502"/>
      <c r="D7034" s="497"/>
      <c r="E7034" s="497"/>
      <c r="F7034" s="502"/>
      <c r="G7034" s="497"/>
      <c r="H7034" s="497"/>
      <c r="I7034" s="497"/>
      <c r="J7034" s="497"/>
      <c r="K7034" s="500"/>
      <c r="L7034" s="497"/>
      <c r="M7034"/>
      <c r="N7034" s="498"/>
      <c r="O7034" s="498"/>
      <c r="P7034" s="498"/>
      <c r="Q7034" s="498"/>
      <c r="R7034" s="498"/>
      <c r="T7034" s="498"/>
      <c r="U7034" s="498"/>
      <c r="V7034" s="498"/>
      <c r="W7034" s="498"/>
      <c r="X7034" s="498"/>
      <c r="Y7034" s="498"/>
      <c r="Z7034" s="498"/>
      <c r="AA7034" s="498"/>
      <c r="AB7034" s="498"/>
      <c r="AC7034" s="498"/>
      <c r="AD7034" s="498"/>
      <c r="AE7034" s="498"/>
      <c r="AF7034" s="498"/>
      <c r="AG7034" s="498"/>
      <c r="AH7034" s="498"/>
      <c r="AI7034" s="498"/>
      <c r="AK7034" s="498"/>
      <c r="AL7034" s="498"/>
      <c r="AM7034" s="498"/>
      <c r="AN7034" s="498"/>
      <c r="AO7034" s="498"/>
      <c r="AP7034" s="498"/>
      <c r="AQ7034" s="498"/>
      <c r="AR7034" s="498"/>
      <c r="AS7034" s="498"/>
      <c r="AT7034" s="498"/>
      <c r="AU7034" s="498"/>
      <c r="AV7034" s="498"/>
      <c r="AW7034" s="498"/>
      <c r="AX7034" s="498"/>
      <c r="AY7034" s="498"/>
      <c r="AZ7034" s="498"/>
      <c r="BA7034" s="498"/>
    </row>
    <row r="7035" spans="1:53" s="499" customFormat="1" x14ac:dyDescent="0.25">
      <c r="A7035" s="500"/>
      <c r="B7035" s="501"/>
      <c r="C7035" s="502"/>
      <c r="D7035" s="497"/>
      <c r="E7035" s="497"/>
      <c r="F7035" s="502"/>
      <c r="G7035" s="497"/>
      <c r="H7035" s="497"/>
      <c r="I7035" s="497"/>
      <c r="J7035" s="497"/>
      <c r="K7035" s="500"/>
      <c r="L7035" s="497"/>
      <c r="M7035"/>
      <c r="N7035" s="498"/>
      <c r="O7035" s="498"/>
      <c r="P7035" s="498"/>
      <c r="Q7035" s="498"/>
      <c r="R7035" s="498"/>
      <c r="T7035" s="498"/>
      <c r="U7035" s="498"/>
      <c r="V7035" s="498"/>
      <c r="W7035" s="498"/>
      <c r="X7035" s="498"/>
      <c r="Y7035" s="498"/>
      <c r="Z7035" s="498"/>
      <c r="AA7035" s="498"/>
      <c r="AB7035" s="498"/>
      <c r="AC7035" s="498"/>
      <c r="AD7035" s="498"/>
      <c r="AE7035" s="498"/>
      <c r="AF7035" s="498"/>
      <c r="AG7035" s="498"/>
      <c r="AH7035" s="498"/>
      <c r="AI7035" s="498"/>
      <c r="AK7035" s="498"/>
      <c r="AL7035" s="498"/>
      <c r="AM7035" s="498"/>
      <c r="AN7035" s="498"/>
      <c r="AO7035" s="498"/>
      <c r="AP7035" s="498"/>
      <c r="AQ7035" s="498"/>
      <c r="AR7035" s="498"/>
      <c r="AS7035" s="498"/>
      <c r="AT7035" s="498"/>
      <c r="AU7035" s="498"/>
      <c r="AV7035" s="498"/>
      <c r="AW7035" s="498"/>
      <c r="AX7035" s="498"/>
      <c r="AY7035" s="498"/>
      <c r="AZ7035" s="498"/>
      <c r="BA7035" s="498"/>
    </row>
    <row r="7036" spans="1:53" s="499" customFormat="1" x14ac:dyDescent="0.25">
      <c r="A7036" s="500"/>
      <c r="B7036" s="501"/>
      <c r="C7036" s="502"/>
      <c r="D7036" s="497"/>
      <c r="E7036" s="497"/>
      <c r="F7036" s="502"/>
      <c r="G7036" s="497"/>
      <c r="H7036" s="497"/>
      <c r="I7036" s="497"/>
      <c r="J7036" s="497"/>
      <c r="K7036" s="500"/>
      <c r="L7036" s="497"/>
      <c r="M7036"/>
      <c r="N7036" s="498"/>
      <c r="O7036" s="498"/>
      <c r="P7036" s="498"/>
      <c r="Q7036" s="498"/>
      <c r="R7036" s="498"/>
      <c r="T7036" s="498"/>
      <c r="U7036" s="498"/>
      <c r="V7036" s="498"/>
      <c r="W7036" s="498"/>
      <c r="X7036" s="498"/>
      <c r="Y7036" s="498"/>
      <c r="Z7036" s="498"/>
      <c r="AA7036" s="498"/>
      <c r="AB7036" s="498"/>
      <c r="AC7036" s="498"/>
      <c r="AD7036" s="498"/>
      <c r="AE7036" s="498"/>
      <c r="AF7036" s="498"/>
      <c r="AG7036" s="498"/>
      <c r="AH7036" s="498"/>
      <c r="AI7036" s="498"/>
      <c r="AK7036" s="498"/>
      <c r="AL7036" s="498"/>
      <c r="AM7036" s="498"/>
      <c r="AN7036" s="498"/>
      <c r="AO7036" s="498"/>
      <c r="AP7036" s="498"/>
      <c r="AQ7036" s="498"/>
      <c r="AR7036" s="498"/>
      <c r="AS7036" s="498"/>
      <c r="AT7036" s="498"/>
      <c r="AU7036" s="498"/>
      <c r="AV7036" s="498"/>
      <c r="AW7036" s="498"/>
      <c r="AX7036" s="498"/>
      <c r="AY7036" s="498"/>
      <c r="AZ7036" s="498"/>
      <c r="BA7036" s="498"/>
    </row>
    <row r="7037" spans="1:53" s="499" customFormat="1" x14ac:dyDescent="0.25">
      <c r="A7037" s="500"/>
      <c r="B7037" s="501"/>
      <c r="C7037" s="502"/>
      <c r="D7037" s="497"/>
      <c r="E7037" s="497"/>
      <c r="F7037" s="502"/>
      <c r="G7037" s="497"/>
      <c r="H7037" s="497"/>
      <c r="I7037" s="497"/>
      <c r="J7037" s="497"/>
      <c r="K7037" s="500"/>
      <c r="L7037" s="497"/>
      <c r="M7037"/>
      <c r="N7037" s="498"/>
      <c r="O7037" s="498"/>
      <c r="P7037" s="498"/>
      <c r="Q7037" s="498"/>
      <c r="R7037" s="498"/>
      <c r="T7037" s="498"/>
      <c r="U7037" s="498"/>
      <c r="V7037" s="498"/>
      <c r="W7037" s="498"/>
      <c r="X7037" s="498"/>
      <c r="Y7037" s="498"/>
      <c r="Z7037" s="498"/>
      <c r="AA7037" s="498"/>
      <c r="AB7037" s="498"/>
      <c r="AC7037" s="498"/>
      <c r="AD7037" s="498"/>
      <c r="AE7037" s="498"/>
      <c r="AF7037" s="498"/>
      <c r="AG7037" s="498"/>
      <c r="AH7037" s="498"/>
      <c r="AI7037" s="498"/>
      <c r="AK7037" s="498"/>
      <c r="AL7037" s="498"/>
      <c r="AM7037" s="498"/>
      <c r="AN7037" s="498"/>
      <c r="AO7037" s="498"/>
      <c r="AP7037" s="498"/>
      <c r="AQ7037" s="498"/>
      <c r="AR7037" s="498"/>
      <c r="AS7037" s="498"/>
      <c r="AT7037" s="498"/>
      <c r="AU7037" s="498"/>
      <c r="AV7037" s="498"/>
      <c r="AW7037" s="498"/>
      <c r="AX7037" s="498"/>
      <c r="AY7037" s="498"/>
      <c r="AZ7037" s="498"/>
      <c r="BA7037" s="498"/>
    </row>
    <row r="7038" spans="1:53" s="499" customFormat="1" x14ac:dyDescent="0.25">
      <c r="A7038" s="500"/>
      <c r="B7038" s="501"/>
      <c r="C7038" s="502"/>
      <c r="D7038" s="497"/>
      <c r="E7038" s="497"/>
      <c r="F7038" s="502"/>
      <c r="G7038" s="497"/>
      <c r="H7038" s="497"/>
      <c r="I7038" s="497"/>
      <c r="J7038" s="497"/>
      <c r="K7038" s="500"/>
      <c r="L7038" s="497"/>
      <c r="M7038"/>
      <c r="N7038" s="498"/>
      <c r="O7038" s="498"/>
      <c r="P7038" s="498"/>
      <c r="Q7038" s="498"/>
      <c r="R7038" s="498"/>
      <c r="T7038" s="498"/>
      <c r="U7038" s="498"/>
      <c r="V7038" s="498"/>
      <c r="W7038" s="498"/>
      <c r="X7038" s="498"/>
      <c r="Y7038" s="498"/>
      <c r="Z7038" s="498"/>
      <c r="AA7038" s="498"/>
      <c r="AB7038" s="498"/>
      <c r="AC7038" s="498"/>
      <c r="AD7038" s="498"/>
      <c r="AE7038" s="498"/>
      <c r="AF7038" s="498"/>
      <c r="AG7038" s="498"/>
      <c r="AH7038" s="498"/>
      <c r="AI7038" s="498"/>
      <c r="AK7038" s="498"/>
      <c r="AL7038" s="498"/>
      <c r="AM7038" s="498"/>
      <c r="AN7038" s="498"/>
      <c r="AO7038" s="498"/>
      <c r="AP7038" s="498"/>
      <c r="AQ7038" s="498"/>
      <c r="AR7038" s="498"/>
      <c r="AS7038" s="498"/>
      <c r="AT7038" s="498"/>
      <c r="AU7038" s="498"/>
      <c r="AV7038" s="498"/>
      <c r="AW7038" s="498"/>
      <c r="AX7038" s="498"/>
      <c r="AY7038" s="498"/>
      <c r="AZ7038" s="498"/>
      <c r="BA7038" s="498"/>
    </row>
    <row r="7039" spans="1:53" s="499" customFormat="1" x14ac:dyDescent="0.25">
      <c r="A7039" s="500"/>
      <c r="B7039" s="501"/>
      <c r="C7039" s="502"/>
      <c r="D7039" s="497"/>
      <c r="E7039" s="497"/>
      <c r="F7039" s="502"/>
      <c r="G7039" s="497"/>
      <c r="H7039" s="497"/>
      <c r="I7039" s="497"/>
      <c r="J7039" s="497"/>
      <c r="K7039" s="500"/>
      <c r="L7039" s="497"/>
      <c r="M7039"/>
      <c r="N7039" s="498"/>
      <c r="O7039" s="498"/>
      <c r="P7039" s="498"/>
      <c r="Q7039" s="498"/>
      <c r="R7039" s="498"/>
      <c r="T7039" s="498"/>
      <c r="U7039" s="498"/>
      <c r="V7039" s="498"/>
      <c r="W7039" s="498"/>
      <c r="X7039" s="498"/>
      <c r="Y7039" s="498"/>
      <c r="Z7039" s="498"/>
      <c r="AA7039" s="498"/>
      <c r="AB7039" s="498"/>
      <c r="AC7039" s="498"/>
      <c r="AD7039" s="498"/>
      <c r="AE7039" s="498"/>
      <c r="AF7039" s="498"/>
      <c r="AG7039" s="498"/>
      <c r="AH7039" s="498"/>
      <c r="AI7039" s="498"/>
      <c r="AK7039" s="498"/>
      <c r="AL7039" s="498"/>
      <c r="AM7039" s="498"/>
      <c r="AN7039" s="498"/>
      <c r="AO7039" s="498"/>
      <c r="AP7039" s="498"/>
      <c r="AQ7039" s="498"/>
      <c r="AR7039" s="498"/>
      <c r="AS7039" s="498"/>
      <c r="AT7039" s="498"/>
      <c r="AU7039" s="498"/>
      <c r="AV7039" s="498"/>
      <c r="AW7039" s="498"/>
      <c r="AX7039" s="498"/>
      <c r="AY7039" s="498"/>
      <c r="AZ7039" s="498"/>
      <c r="BA7039" s="498"/>
    </row>
    <row r="7040" spans="1:53" s="499" customFormat="1" x14ac:dyDescent="0.25">
      <c r="A7040" s="500"/>
      <c r="B7040" s="501"/>
      <c r="C7040" s="502"/>
      <c r="D7040" s="497"/>
      <c r="E7040" s="497"/>
      <c r="F7040" s="502"/>
      <c r="G7040" s="497"/>
      <c r="H7040" s="497"/>
      <c r="I7040" s="497"/>
      <c r="J7040" s="497"/>
      <c r="K7040" s="500"/>
      <c r="L7040" s="497"/>
      <c r="M7040"/>
      <c r="N7040" s="498"/>
      <c r="O7040" s="498"/>
      <c r="P7040" s="498"/>
      <c r="Q7040" s="498"/>
      <c r="R7040" s="498"/>
      <c r="T7040" s="498"/>
      <c r="U7040" s="498"/>
      <c r="V7040" s="498"/>
      <c r="W7040" s="498"/>
      <c r="X7040" s="498"/>
      <c r="Y7040" s="498"/>
      <c r="Z7040" s="498"/>
      <c r="AA7040" s="498"/>
      <c r="AB7040" s="498"/>
      <c r="AC7040" s="498"/>
      <c r="AD7040" s="498"/>
      <c r="AE7040" s="498"/>
      <c r="AF7040" s="498"/>
      <c r="AG7040" s="498"/>
      <c r="AH7040" s="498"/>
      <c r="AI7040" s="498"/>
      <c r="AK7040" s="498"/>
      <c r="AL7040" s="498"/>
      <c r="AM7040" s="498"/>
      <c r="AN7040" s="498"/>
      <c r="AO7040" s="498"/>
      <c r="AP7040" s="498"/>
      <c r="AQ7040" s="498"/>
      <c r="AR7040" s="498"/>
      <c r="AS7040" s="498"/>
      <c r="AT7040" s="498"/>
      <c r="AU7040" s="498"/>
      <c r="AV7040" s="498"/>
      <c r="AW7040" s="498"/>
      <c r="AX7040" s="498"/>
      <c r="AY7040" s="498"/>
      <c r="AZ7040" s="498"/>
      <c r="BA7040" s="498"/>
    </row>
    <row r="7041" spans="1:53" s="499" customFormat="1" x14ac:dyDescent="0.25">
      <c r="A7041" s="500"/>
      <c r="B7041" s="501"/>
      <c r="C7041" s="502"/>
      <c r="D7041" s="497"/>
      <c r="E7041" s="497"/>
      <c r="F7041" s="502"/>
      <c r="G7041" s="497"/>
      <c r="H7041" s="497"/>
      <c r="I7041" s="497"/>
      <c r="J7041" s="497"/>
      <c r="K7041" s="500"/>
      <c r="L7041" s="497"/>
      <c r="M7041"/>
      <c r="N7041" s="498"/>
      <c r="O7041" s="498"/>
      <c r="P7041" s="498"/>
      <c r="Q7041" s="498"/>
      <c r="R7041" s="498"/>
      <c r="T7041" s="498"/>
      <c r="U7041" s="498"/>
      <c r="V7041" s="498"/>
      <c r="W7041" s="498"/>
      <c r="X7041" s="498"/>
      <c r="Y7041" s="498"/>
      <c r="Z7041" s="498"/>
      <c r="AA7041" s="498"/>
      <c r="AB7041" s="498"/>
      <c r="AC7041" s="498"/>
      <c r="AD7041" s="498"/>
      <c r="AE7041" s="498"/>
      <c r="AF7041" s="498"/>
      <c r="AG7041" s="498"/>
      <c r="AH7041" s="498"/>
      <c r="AI7041" s="498"/>
      <c r="AK7041" s="498"/>
      <c r="AL7041" s="498"/>
      <c r="AM7041" s="498"/>
      <c r="AN7041" s="498"/>
      <c r="AO7041" s="498"/>
      <c r="AP7041" s="498"/>
      <c r="AQ7041" s="498"/>
      <c r="AR7041" s="498"/>
      <c r="AS7041" s="498"/>
      <c r="AT7041" s="498"/>
      <c r="AU7041" s="498"/>
      <c r="AV7041" s="498"/>
      <c r="AW7041" s="498"/>
      <c r="AX7041" s="498"/>
      <c r="AY7041" s="498"/>
      <c r="AZ7041" s="498"/>
      <c r="BA7041" s="498"/>
    </row>
    <row r="7042" spans="1:53" s="499" customFormat="1" x14ac:dyDescent="0.25">
      <c r="A7042" s="500"/>
      <c r="B7042" s="501"/>
      <c r="C7042" s="502"/>
      <c r="D7042" s="497"/>
      <c r="E7042" s="497"/>
      <c r="F7042" s="502"/>
      <c r="G7042" s="497"/>
      <c r="H7042" s="497"/>
      <c r="I7042" s="497"/>
      <c r="J7042" s="497"/>
      <c r="K7042" s="500"/>
      <c r="L7042" s="497"/>
      <c r="M7042"/>
      <c r="N7042" s="498"/>
      <c r="O7042" s="498"/>
      <c r="P7042" s="498"/>
      <c r="Q7042" s="498"/>
      <c r="R7042" s="498"/>
      <c r="T7042" s="498"/>
      <c r="U7042" s="498"/>
      <c r="V7042" s="498"/>
      <c r="W7042" s="498"/>
      <c r="X7042" s="498"/>
      <c r="Y7042" s="498"/>
      <c r="Z7042" s="498"/>
      <c r="AA7042" s="498"/>
      <c r="AB7042" s="498"/>
      <c r="AC7042" s="498"/>
      <c r="AD7042" s="498"/>
      <c r="AE7042" s="498"/>
      <c r="AF7042" s="498"/>
      <c r="AG7042" s="498"/>
      <c r="AH7042" s="498"/>
      <c r="AI7042" s="498"/>
      <c r="AK7042" s="498"/>
      <c r="AL7042" s="498"/>
      <c r="AM7042" s="498"/>
      <c r="AN7042" s="498"/>
      <c r="AO7042" s="498"/>
      <c r="AP7042" s="498"/>
      <c r="AQ7042" s="498"/>
      <c r="AR7042" s="498"/>
      <c r="AS7042" s="498"/>
      <c r="AT7042" s="498"/>
      <c r="AU7042" s="498"/>
      <c r="AV7042" s="498"/>
      <c r="AW7042" s="498"/>
      <c r="AX7042" s="498"/>
      <c r="AY7042" s="498"/>
      <c r="AZ7042" s="498"/>
      <c r="BA7042" s="498"/>
    </row>
    <row r="7043" spans="1:53" s="499" customFormat="1" x14ac:dyDescent="0.25">
      <c r="A7043" s="500"/>
      <c r="B7043" s="501"/>
      <c r="C7043" s="502"/>
      <c r="D7043" s="497"/>
      <c r="E7043" s="497"/>
      <c r="F7043" s="502"/>
      <c r="G7043" s="497"/>
      <c r="H7043" s="497"/>
      <c r="I7043" s="497"/>
      <c r="J7043" s="497"/>
      <c r="K7043" s="500"/>
      <c r="L7043" s="497"/>
      <c r="M7043"/>
      <c r="N7043" s="498"/>
      <c r="O7043" s="498"/>
      <c r="P7043" s="498"/>
      <c r="Q7043" s="498"/>
      <c r="R7043" s="498"/>
      <c r="T7043" s="498"/>
      <c r="U7043" s="498"/>
      <c r="V7043" s="498"/>
      <c r="W7043" s="498"/>
      <c r="X7043" s="498"/>
      <c r="Y7043" s="498"/>
      <c r="Z7043" s="498"/>
      <c r="AA7043" s="498"/>
      <c r="AB7043" s="498"/>
      <c r="AC7043" s="498"/>
      <c r="AD7043" s="498"/>
      <c r="AE7043" s="498"/>
      <c r="AF7043" s="498"/>
      <c r="AG7043" s="498"/>
      <c r="AH7043" s="498"/>
      <c r="AI7043" s="498"/>
      <c r="AK7043" s="498"/>
      <c r="AL7043" s="498"/>
      <c r="AM7043" s="498"/>
      <c r="AN7043" s="498"/>
      <c r="AO7043" s="498"/>
      <c r="AP7043" s="498"/>
      <c r="AQ7043" s="498"/>
      <c r="AR7043" s="498"/>
      <c r="AS7043" s="498"/>
      <c r="AT7043" s="498"/>
      <c r="AU7043" s="498"/>
      <c r="AV7043" s="498"/>
      <c r="AW7043" s="498"/>
      <c r="AX7043" s="498"/>
      <c r="AY7043" s="498"/>
      <c r="AZ7043" s="498"/>
      <c r="BA7043" s="498"/>
    </row>
    <row r="7044" spans="1:53" s="499" customFormat="1" x14ac:dyDescent="0.25">
      <c r="A7044" s="500"/>
      <c r="B7044" s="501"/>
      <c r="C7044" s="502"/>
      <c r="D7044" s="497"/>
      <c r="E7044" s="497"/>
      <c r="F7044" s="502"/>
      <c r="G7044" s="497"/>
      <c r="H7044" s="497"/>
      <c r="I7044" s="497"/>
      <c r="J7044" s="497"/>
      <c r="K7044" s="500"/>
      <c r="L7044" s="497"/>
      <c r="M7044"/>
      <c r="N7044" s="498"/>
      <c r="O7044" s="498"/>
      <c r="P7044" s="498"/>
      <c r="Q7044" s="498"/>
      <c r="R7044" s="498"/>
      <c r="T7044" s="498"/>
      <c r="U7044" s="498"/>
      <c r="V7044" s="498"/>
      <c r="W7044" s="498"/>
      <c r="X7044" s="498"/>
      <c r="Y7044" s="498"/>
      <c r="Z7044" s="498"/>
      <c r="AA7044" s="498"/>
      <c r="AB7044" s="498"/>
      <c r="AC7044" s="498"/>
      <c r="AD7044" s="498"/>
      <c r="AE7044" s="498"/>
      <c r="AF7044" s="498"/>
      <c r="AG7044" s="498"/>
      <c r="AH7044" s="498"/>
      <c r="AI7044" s="498"/>
      <c r="AK7044" s="498"/>
      <c r="AL7044" s="498"/>
      <c r="AM7044" s="498"/>
      <c r="AN7044" s="498"/>
      <c r="AO7044" s="498"/>
      <c r="AP7044" s="498"/>
      <c r="AQ7044" s="498"/>
      <c r="AR7044" s="498"/>
      <c r="AS7044" s="498"/>
      <c r="AT7044" s="498"/>
      <c r="AU7044" s="498"/>
      <c r="AV7044" s="498"/>
      <c r="AW7044" s="498"/>
      <c r="AX7044" s="498"/>
      <c r="AY7044" s="498"/>
      <c r="AZ7044" s="498"/>
      <c r="BA7044" s="498"/>
    </row>
    <row r="7045" spans="1:53" s="499" customFormat="1" x14ac:dyDescent="0.25">
      <c r="A7045" s="500"/>
      <c r="B7045" s="501"/>
      <c r="C7045" s="502"/>
      <c r="D7045" s="497"/>
      <c r="E7045" s="497"/>
      <c r="F7045" s="502"/>
      <c r="G7045" s="497"/>
      <c r="H7045" s="497"/>
      <c r="I7045" s="497"/>
      <c r="J7045" s="497"/>
      <c r="K7045" s="500"/>
      <c r="L7045" s="497"/>
      <c r="M7045"/>
      <c r="N7045" s="498"/>
      <c r="O7045" s="498"/>
      <c r="P7045" s="498"/>
      <c r="Q7045" s="498"/>
      <c r="R7045" s="498"/>
      <c r="T7045" s="498"/>
      <c r="U7045" s="498"/>
      <c r="V7045" s="498"/>
      <c r="W7045" s="498"/>
      <c r="X7045" s="498"/>
      <c r="Y7045" s="498"/>
      <c r="Z7045" s="498"/>
      <c r="AA7045" s="498"/>
      <c r="AB7045" s="498"/>
      <c r="AC7045" s="498"/>
      <c r="AD7045" s="498"/>
      <c r="AE7045" s="498"/>
      <c r="AF7045" s="498"/>
      <c r="AG7045" s="498"/>
      <c r="AH7045" s="498"/>
      <c r="AI7045" s="498"/>
      <c r="AK7045" s="498"/>
      <c r="AL7045" s="498"/>
      <c r="AM7045" s="498"/>
      <c r="AN7045" s="498"/>
      <c r="AO7045" s="498"/>
      <c r="AP7045" s="498"/>
      <c r="AQ7045" s="498"/>
      <c r="AR7045" s="498"/>
      <c r="AS7045" s="498"/>
      <c r="AT7045" s="498"/>
      <c r="AU7045" s="498"/>
      <c r="AV7045" s="498"/>
      <c r="AW7045" s="498"/>
      <c r="AX7045" s="498"/>
      <c r="AY7045" s="498"/>
      <c r="AZ7045" s="498"/>
      <c r="BA7045" s="498"/>
    </row>
    <row r="7046" spans="1:53" s="499" customFormat="1" x14ac:dyDescent="0.25">
      <c r="A7046" s="500"/>
      <c r="B7046" s="501"/>
      <c r="C7046" s="502"/>
      <c r="D7046" s="497"/>
      <c r="E7046" s="497"/>
      <c r="F7046" s="502"/>
      <c r="G7046" s="497"/>
      <c r="H7046" s="497"/>
      <c r="I7046" s="497"/>
      <c r="J7046" s="497"/>
      <c r="K7046" s="500"/>
      <c r="L7046" s="497"/>
      <c r="M7046"/>
      <c r="N7046" s="498"/>
      <c r="O7046" s="498"/>
      <c r="P7046" s="498"/>
      <c r="Q7046" s="498"/>
      <c r="R7046" s="498"/>
      <c r="T7046" s="498"/>
      <c r="U7046" s="498"/>
      <c r="V7046" s="498"/>
      <c r="W7046" s="498"/>
      <c r="X7046" s="498"/>
      <c r="Y7046" s="498"/>
      <c r="Z7046" s="498"/>
      <c r="AA7046" s="498"/>
      <c r="AB7046" s="498"/>
      <c r="AC7046" s="498"/>
      <c r="AD7046" s="498"/>
      <c r="AE7046" s="498"/>
      <c r="AF7046" s="498"/>
      <c r="AG7046" s="498"/>
      <c r="AH7046" s="498"/>
      <c r="AI7046" s="498"/>
      <c r="AK7046" s="498"/>
      <c r="AL7046" s="498"/>
      <c r="AM7046" s="498"/>
      <c r="AN7046" s="498"/>
      <c r="AO7046" s="498"/>
      <c r="AP7046" s="498"/>
      <c r="AQ7046" s="498"/>
      <c r="AR7046" s="498"/>
      <c r="AS7046" s="498"/>
      <c r="AT7046" s="498"/>
      <c r="AU7046" s="498"/>
      <c r="AV7046" s="498"/>
      <c r="AW7046" s="498"/>
      <c r="AX7046" s="498"/>
      <c r="AY7046" s="498"/>
      <c r="AZ7046" s="498"/>
      <c r="BA7046" s="498"/>
    </row>
    <row r="7047" spans="1:53" s="499" customFormat="1" x14ac:dyDescent="0.25">
      <c r="A7047" s="500"/>
      <c r="B7047" s="501"/>
      <c r="C7047" s="502"/>
      <c r="D7047" s="497"/>
      <c r="E7047" s="497"/>
      <c r="F7047" s="502"/>
      <c r="G7047" s="497"/>
      <c r="H7047" s="497"/>
      <c r="I7047" s="497"/>
      <c r="J7047" s="497"/>
      <c r="K7047" s="500"/>
      <c r="L7047" s="497"/>
      <c r="M7047"/>
      <c r="N7047" s="498"/>
      <c r="O7047" s="498"/>
      <c r="P7047" s="498"/>
      <c r="Q7047" s="498"/>
      <c r="R7047" s="498"/>
      <c r="T7047" s="498"/>
      <c r="U7047" s="498"/>
      <c r="V7047" s="498"/>
      <c r="W7047" s="498"/>
      <c r="X7047" s="498"/>
      <c r="Y7047" s="498"/>
      <c r="Z7047" s="498"/>
      <c r="AA7047" s="498"/>
      <c r="AB7047" s="498"/>
      <c r="AC7047" s="498"/>
      <c r="AD7047" s="498"/>
      <c r="AE7047" s="498"/>
      <c r="AF7047" s="498"/>
      <c r="AG7047" s="498"/>
      <c r="AH7047" s="498"/>
      <c r="AI7047" s="498"/>
      <c r="AK7047" s="498"/>
      <c r="AL7047" s="498"/>
      <c r="AM7047" s="498"/>
      <c r="AN7047" s="498"/>
      <c r="AO7047" s="498"/>
      <c r="AP7047" s="498"/>
      <c r="AQ7047" s="498"/>
      <c r="AR7047" s="498"/>
      <c r="AS7047" s="498"/>
      <c r="AT7047" s="498"/>
      <c r="AU7047" s="498"/>
      <c r="AV7047" s="498"/>
      <c r="AW7047" s="498"/>
      <c r="AX7047" s="498"/>
      <c r="AY7047" s="498"/>
      <c r="AZ7047" s="498"/>
      <c r="BA7047" s="498"/>
    </row>
    <row r="7048" spans="1:53" s="499" customFormat="1" x14ac:dyDescent="0.25">
      <c r="A7048" s="500"/>
      <c r="B7048" s="501"/>
      <c r="C7048" s="502"/>
      <c r="D7048" s="497"/>
      <c r="E7048" s="497"/>
      <c r="F7048" s="502"/>
      <c r="G7048" s="497"/>
      <c r="H7048" s="497"/>
      <c r="I7048" s="497"/>
      <c r="J7048" s="497"/>
      <c r="K7048" s="500"/>
      <c r="L7048" s="497"/>
      <c r="M7048"/>
      <c r="N7048" s="498"/>
      <c r="O7048" s="498"/>
      <c r="P7048" s="498"/>
      <c r="Q7048" s="498"/>
      <c r="R7048" s="498"/>
      <c r="T7048" s="498"/>
      <c r="U7048" s="498"/>
      <c r="V7048" s="498"/>
      <c r="W7048" s="498"/>
      <c r="X7048" s="498"/>
      <c r="Y7048" s="498"/>
      <c r="Z7048" s="498"/>
      <c r="AA7048" s="498"/>
      <c r="AB7048" s="498"/>
      <c r="AC7048" s="498"/>
      <c r="AD7048" s="498"/>
      <c r="AE7048" s="498"/>
      <c r="AF7048" s="498"/>
      <c r="AG7048" s="498"/>
      <c r="AH7048" s="498"/>
      <c r="AI7048" s="498"/>
      <c r="AK7048" s="498"/>
      <c r="AL7048" s="498"/>
      <c r="AM7048" s="498"/>
      <c r="AN7048" s="498"/>
      <c r="AO7048" s="498"/>
      <c r="AP7048" s="498"/>
      <c r="AQ7048" s="498"/>
      <c r="AR7048" s="498"/>
      <c r="AS7048" s="498"/>
      <c r="AT7048" s="498"/>
      <c r="AU7048" s="498"/>
      <c r="AV7048" s="498"/>
      <c r="AW7048" s="498"/>
      <c r="AX7048" s="498"/>
      <c r="AY7048" s="498"/>
      <c r="AZ7048" s="498"/>
      <c r="BA7048" s="498"/>
    </row>
    <row r="7049" spans="1:53" s="499" customFormat="1" x14ac:dyDescent="0.25">
      <c r="A7049" s="500"/>
      <c r="B7049" s="501"/>
      <c r="C7049" s="502"/>
      <c r="D7049" s="497"/>
      <c r="E7049" s="497"/>
      <c r="F7049" s="502"/>
      <c r="G7049" s="497"/>
      <c r="H7049" s="497"/>
      <c r="I7049" s="497"/>
      <c r="J7049" s="497"/>
      <c r="K7049" s="500"/>
      <c r="L7049" s="497"/>
      <c r="M7049"/>
      <c r="N7049" s="498"/>
      <c r="O7049" s="498"/>
      <c r="P7049" s="498"/>
      <c r="Q7049" s="498"/>
      <c r="R7049" s="498"/>
      <c r="T7049" s="498"/>
      <c r="U7049" s="498"/>
      <c r="V7049" s="498"/>
      <c r="W7049" s="498"/>
      <c r="X7049" s="498"/>
      <c r="Y7049" s="498"/>
      <c r="Z7049" s="498"/>
      <c r="AA7049" s="498"/>
      <c r="AB7049" s="498"/>
      <c r="AC7049" s="498"/>
      <c r="AD7049" s="498"/>
      <c r="AE7049" s="498"/>
      <c r="AF7049" s="498"/>
      <c r="AG7049" s="498"/>
      <c r="AH7049" s="498"/>
      <c r="AI7049" s="498"/>
      <c r="AK7049" s="498"/>
      <c r="AL7049" s="498"/>
      <c r="AM7049" s="498"/>
      <c r="AN7049" s="498"/>
      <c r="AO7049" s="498"/>
      <c r="AP7049" s="498"/>
      <c r="AQ7049" s="498"/>
      <c r="AR7049" s="498"/>
      <c r="AS7049" s="498"/>
      <c r="AT7049" s="498"/>
      <c r="AU7049" s="498"/>
      <c r="AV7049" s="498"/>
      <c r="AW7049" s="498"/>
      <c r="AX7049" s="498"/>
      <c r="AY7049" s="498"/>
      <c r="AZ7049" s="498"/>
      <c r="BA7049" s="498"/>
    </row>
    <row r="7050" spans="1:53" s="499" customFormat="1" x14ac:dyDescent="0.25">
      <c r="A7050" s="500"/>
      <c r="B7050" s="501"/>
      <c r="C7050" s="502"/>
      <c r="D7050" s="497"/>
      <c r="E7050" s="497"/>
      <c r="F7050" s="502"/>
      <c r="G7050" s="497"/>
      <c r="H7050" s="497"/>
      <c r="I7050" s="497"/>
      <c r="J7050" s="497"/>
      <c r="K7050" s="500"/>
      <c r="L7050" s="497"/>
      <c r="M7050"/>
      <c r="N7050" s="498"/>
      <c r="O7050" s="498"/>
      <c r="P7050" s="498"/>
      <c r="Q7050" s="498"/>
      <c r="R7050" s="498"/>
      <c r="T7050" s="498"/>
      <c r="U7050" s="498"/>
      <c r="V7050" s="498"/>
      <c r="W7050" s="498"/>
      <c r="X7050" s="498"/>
      <c r="Y7050" s="498"/>
      <c r="Z7050" s="498"/>
      <c r="AA7050" s="498"/>
      <c r="AB7050" s="498"/>
      <c r="AC7050" s="498"/>
      <c r="AD7050" s="498"/>
      <c r="AE7050" s="498"/>
      <c r="AF7050" s="498"/>
      <c r="AG7050" s="498"/>
      <c r="AH7050" s="498"/>
      <c r="AI7050" s="498"/>
      <c r="AK7050" s="498"/>
      <c r="AL7050" s="498"/>
      <c r="AM7050" s="498"/>
      <c r="AN7050" s="498"/>
      <c r="AO7050" s="498"/>
      <c r="AP7050" s="498"/>
      <c r="AQ7050" s="498"/>
      <c r="AR7050" s="498"/>
      <c r="AS7050" s="498"/>
      <c r="AT7050" s="498"/>
      <c r="AU7050" s="498"/>
      <c r="AV7050" s="498"/>
      <c r="AW7050" s="498"/>
      <c r="AX7050" s="498"/>
      <c r="AY7050" s="498"/>
      <c r="AZ7050" s="498"/>
      <c r="BA7050" s="498"/>
    </row>
    <row r="7051" spans="1:53" s="499" customFormat="1" x14ac:dyDescent="0.25">
      <c r="A7051" s="500"/>
      <c r="B7051" s="501"/>
      <c r="C7051" s="502"/>
      <c r="D7051" s="497"/>
      <c r="E7051" s="497"/>
      <c r="F7051" s="502"/>
      <c r="G7051" s="497"/>
      <c r="H7051" s="497"/>
      <c r="I7051" s="497"/>
      <c r="J7051" s="497"/>
      <c r="K7051" s="500"/>
      <c r="L7051" s="497"/>
      <c r="M7051"/>
      <c r="N7051" s="498"/>
      <c r="O7051" s="498"/>
      <c r="P7051" s="498"/>
      <c r="Q7051" s="498"/>
      <c r="R7051" s="498"/>
      <c r="T7051" s="498"/>
      <c r="U7051" s="498"/>
      <c r="V7051" s="498"/>
      <c r="W7051" s="498"/>
      <c r="X7051" s="498"/>
      <c r="Y7051" s="498"/>
      <c r="Z7051" s="498"/>
      <c r="AA7051" s="498"/>
      <c r="AB7051" s="498"/>
      <c r="AC7051" s="498"/>
      <c r="AD7051" s="498"/>
      <c r="AE7051" s="498"/>
      <c r="AF7051" s="498"/>
      <c r="AG7051" s="498"/>
      <c r="AH7051" s="498"/>
      <c r="AI7051" s="498"/>
      <c r="AK7051" s="498"/>
      <c r="AL7051" s="498"/>
      <c r="AM7051" s="498"/>
      <c r="AN7051" s="498"/>
      <c r="AO7051" s="498"/>
      <c r="AP7051" s="498"/>
      <c r="AQ7051" s="498"/>
      <c r="AR7051" s="498"/>
      <c r="AS7051" s="498"/>
      <c r="AT7051" s="498"/>
      <c r="AU7051" s="498"/>
      <c r="AV7051" s="498"/>
      <c r="AW7051" s="498"/>
      <c r="AX7051" s="498"/>
      <c r="AY7051" s="498"/>
      <c r="AZ7051" s="498"/>
      <c r="BA7051" s="498"/>
    </row>
    <row r="7052" spans="1:53" s="499" customFormat="1" x14ac:dyDescent="0.25">
      <c r="A7052" s="500"/>
      <c r="B7052" s="501"/>
      <c r="C7052" s="502"/>
      <c r="D7052" s="497"/>
      <c r="E7052" s="497"/>
      <c r="F7052" s="502"/>
      <c r="G7052" s="497"/>
      <c r="H7052" s="497"/>
      <c r="I7052" s="497"/>
      <c r="J7052" s="497"/>
      <c r="K7052" s="500"/>
      <c r="L7052" s="497"/>
      <c r="M7052"/>
      <c r="N7052" s="498"/>
      <c r="O7052" s="498"/>
      <c r="P7052" s="498"/>
      <c r="Q7052" s="498"/>
      <c r="R7052" s="498"/>
      <c r="T7052" s="498"/>
      <c r="U7052" s="498"/>
      <c r="V7052" s="498"/>
      <c r="W7052" s="498"/>
      <c r="X7052" s="498"/>
      <c r="Y7052" s="498"/>
      <c r="Z7052" s="498"/>
      <c r="AA7052" s="498"/>
      <c r="AB7052" s="498"/>
      <c r="AC7052" s="498"/>
      <c r="AD7052" s="498"/>
      <c r="AE7052" s="498"/>
      <c r="AF7052" s="498"/>
      <c r="AG7052" s="498"/>
      <c r="AH7052" s="498"/>
      <c r="AI7052" s="498"/>
      <c r="AK7052" s="498"/>
      <c r="AL7052" s="498"/>
      <c r="AM7052" s="498"/>
      <c r="AN7052" s="498"/>
      <c r="AO7052" s="498"/>
      <c r="AP7052" s="498"/>
      <c r="AQ7052" s="498"/>
      <c r="AR7052" s="498"/>
      <c r="AS7052" s="498"/>
      <c r="AT7052" s="498"/>
      <c r="AU7052" s="498"/>
      <c r="AV7052" s="498"/>
      <c r="AW7052" s="498"/>
      <c r="AX7052" s="498"/>
      <c r="AY7052" s="498"/>
      <c r="AZ7052" s="498"/>
      <c r="BA7052" s="498"/>
    </row>
    <row r="7053" spans="1:53" s="499" customFormat="1" x14ac:dyDescent="0.25">
      <c r="A7053" s="500"/>
      <c r="B7053" s="501"/>
      <c r="C7053" s="502"/>
      <c r="D7053" s="497"/>
      <c r="E7053" s="497"/>
      <c r="F7053" s="502"/>
      <c r="G7053" s="497"/>
      <c r="H7053" s="497"/>
      <c r="I7053" s="497"/>
      <c r="J7053" s="497"/>
      <c r="K7053" s="500"/>
      <c r="L7053" s="497"/>
      <c r="M7053"/>
      <c r="N7053" s="498"/>
      <c r="O7053" s="498"/>
      <c r="P7053" s="498"/>
      <c r="Q7053" s="498"/>
      <c r="R7053" s="498"/>
      <c r="T7053" s="498"/>
      <c r="U7053" s="498"/>
      <c r="V7053" s="498"/>
      <c r="W7053" s="498"/>
      <c r="X7053" s="498"/>
      <c r="Y7053" s="498"/>
      <c r="Z7053" s="498"/>
      <c r="AA7053" s="498"/>
      <c r="AB7053" s="498"/>
      <c r="AC7053" s="498"/>
      <c r="AD7053" s="498"/>
      <c r="AE7053" s="498"/>
      <c r="AF7053" s="498"/>
      <c r="AG7053" s="498"/>
      <c r="AH7053" s="498"/>
      <c r="AI7053" s="498"/>
      <c r="AK7053" s="498"/>
      <c r="AL7053" s="498"/>
      <c r="AM7053" s="498"/>
      <c r="AN7053" s="498"/>
      <c r="AO7053" s="498"/>
      <c r="AP7053" s="498"/>
      <c r="AQ7053" s="498"/>
      <c r="AR7053" s="498"/>
      <c r="AS7053" s="498"/>
      <c r="AT7053" s="498"/>
      <c r="AU7053" s="498"/>
      <c r="AV7053" s="498"/>
      <c r="AW7053" s="498"/>
      <c r="AX7053" s="498"/>
      <c r="AY7053" s="498"/>
      <c r="AZ7053" s="498"/>
      <c r="BA7053" s="498"/>
    </row>
    <row r="7054" spans="1:53" s="499" customFormat="1" x14ac:dyDescent="0.25">
      <c r="A7054" s="500"/>
      <c r="B7054" s="501"/>
      <c r="C7054" s="502"/>
      <c r="D7054" s="497"/>
      <c r="E7054" s="497"/>
      <c r="F7054" s="502"/>
      <c r="G7054" s="497"/>
      <c r="H7054" s="497"/>
      <c r="I7054" s="497"/>
      <c r="J7054" s="497"/>
      <c r="K7054" s="500"/>
      <c r="L7054" s="497"/>
      <c r="M7054"/>
      <c r="N7054" s="498"/>
      <c r="O7054" s="498"/>
      <c r="P7054" s="498"/>
      <c r="Q7054" s="498"/>
      <c r="R7054" s="498"/>
      <c r="T7054" s="498"/>
      <c r="U7054" s="498"/>
      <c r="V7054" s="498"/>
      <c r="W7054" s="498"/>
      <c r="X7054" s="498"/>
      <c r="Y7054" s="498"/>
      <c r="Z7054" s="498"/>
      <c r="AA7054" s="498"/>
      <c r="AB7054" s="498"/>
      <c r="AC7054" s="498"/>
      <c r="AD7054" s="498"/>
      <c r="AE7054" s="498"/>
      <c r="AF7054" s="498"/>
      <c r="AG7054" s="498"/>
      <c r="AH7054" s="498"/>
      <c r="AI7054" s="498"/>
      <c r="AK7054" s="498"/>
      <c r="AL7054" s="498"/>
      <c r="AM7054" s="498"/>
      <c r="AN7054" s="498"/>
      <c r="AO7054" s="498"/>
      <c r="AP7054" s="498"/>
      <c r="AQ7054" s="498"/>
      <c r="AR7054" s="498"/>
      <c r="AS7054" s="498"/>
      <c r="AT7054" s="498"/>
      <c r="AU7054" s="498"/>
      <c r="AV7054" s="498"/>
      <c r="AW7054" s="498"/>
      <c r="AX7054" s="498"/>
      <c r="AY7054" s="498"/>
      <c r="AZ7054" s="498"/>
      <c r="BA7054" s="498"/>
    </row>
    <row r="7055" spans="1:53" s="499" customFormat="1" x14ac:dyDescent="0.25">
      <c r="A7055" s="500"/>
      <c r="B7055" s="501"/>
      <c r="C7055" s="502"/>
      <c r="D7055" s="497"/>
      <c r="E7055" s="497"/>
      <c r="F7055" s="502"/>
      <c r="G7055" s="497"/>
      <c r="H7055" s="497"/>
      <c r="I7055" s="497"/>
      <c r="J7055" s="497"/>
      <c r="K7055" s="500"/>
      <c r="L7055" s="497"/>
      <c r="M7055"/>
      <c r="N7055" s="498"/>
      <c r="O7055" s="498"/>
      <c r="P7055" s="498"/>
      <c r="Q7055" s="498"/>
      <c r="R7055" s="498"/>
      <c r="T7055" s="498"/>
      <c r="U7055" s="498"/>
      <c r="V7055" s="498"/>
      <c r="W7055" s="498"/>
      <c r="X7055" s="498"/>
      <c r="Y7055" s="498"/>
      <c r="Z7055" s="498"/>
      <c r="AA7055" s="498"/>
      <c r="AB7055" s="498"/>
      <c r="AC7055" s="498"/>
      <c r="AD7055" s="498"/>
      <c r="AE7055" s="498"/>
      <c r="AF7055" s="498"/>
      <c r="AG7055" s="498"/>
      <c r="AH7055" s="498"/>
      <c r="AI7055" s="498"/>
      <c r="AK7055" s="498"/>
      <c r="AL7055" s="498"/>
      <c r="AM7055" s="498"/>
      <c r="AN7055" s="498"/>
      <c r="AO7055" s="498"/>
      <c r="AP7055" s="498"/>
      <c r="AQ7055" s="498"/>
      <c r="AR7055" s="498"/>
      <c r="AS7055" s="498"/>
      <c r="AT7055" s="498"/>
      <c r="AU7055" s="498"/>
      <c r="AV7055" s="498"/>
      <c r="AW7055" s="498"/>
      <c r="AX7055" s="498"/>
      <c r="AY7055" s="498"/>
      <c r="AZ7055" s="498"/>
      <c r="BA7055" s="498"/>
    </row>
    <row r="7056" spans="1:53" s="499" customFormat="1" x14ac:dyDescent="0.25">
      <c r="A7056" s="500"/>
      <c r="B7056" s="501"/>
      <c r="C7056" s="502"/>
      <c r="D7056" s="497"/>
      <c r="E7056" s="497"/>
      <c r="F7056" s="502"/>
      <c r="G7056" s="497"/>
      <c r="H7056" s="497"/>
      <c r="I7056" s="497"/>
      <c r="J7056" s="497"/>
      <c r="K7056" s="500"/>
      <c r="L7056" s="497"/>
      <c r="M7056"/>
      <c r="N7056" s="498"/>
      <c r="O7056" s="498"/>
      <c r="P7056" s="498"/>
      <c r="Q7056" s="498"/>
      <c r="R7056" s="498"/>
      <c r="T7056" s="498"/>
      <c r="U7056" s="498"/>
      <c r="V7056" s="498"/>
      <c r="W7056" s="498"/>
      <c r="X7056" s="498"/>
      <c r="Y7056" s="498"/>
      <c r="Z7056" s="498"/>
      <c r="AA7056" s="498"/>
      <c r="AB7056" s="498"/>
      <c r="AC7056" s="498"/>
      <c r="AD7056" s="498"/>
      <c r="AE7056" s="498"/>
      <c r="AF7056" s="498"/>
      <c r="AG7056" s="498"/>
      <c r="AH7056" s="498"/>
      <c r="AI7056" s="498"/>
      <c r="AK7056" s="498"/>
      <c r="AL7056" s="498"/>
      <c r="AM7056" s="498"/>
      <c r="AN7056" s="498"/>
      <c r="AO7056" s="498"/>
      <c r="AP7056" s="498"/>
      <c r="AQ7056" s="498"/>
      <c r="AR7056" s="498"/>
      <c r="AS7056" s="498"/>
      <c r="AT7056" s="498"/>
      <c r="AU7056" s="498"/>
      <c r="AV7056" s="498"/>
      <c r="AW7056" s="498"/>
      <c r="AX7056" s="498"/>
      <c r="AY7056" s="498"/>
      <c r="AZ7056" s="498"/>
      <c r="BA7056" s="498"/>
    </row>
    <row r="7057" spans="1:53" s="499" customFormat="1" x14ac:dyDescent="0.25">
      <c r="A7057" s="500"/>
      <c r="B7057" s="501"/>
      <c r="C7057" s="502"/>
      <c r="D7057" s="497"/>
      <c r="E7057" s="497"/>
      <c r="F7057" s="502"/>
      <c r="G7057" s="497"/>
      <c r="H7057" s="497"/>
      <c r="I7057" s="497"/>
      <c r="J7057" s="497"/>
      <c r="K7057" s="500"/>
      <c r="L7057" s="497"/>
      <c r="M7057"/>
      <c r="N7057" s="498"/>
      <c r="O7057" s="498"/>
      <c r="P7057" s="498"/>
      <c r="Q7057" s="498"/>
      <c r="R7057" s="498"/>
      <c r="T7057" s="498"/>
      <c r="U7057" s="498"/>
      <c r="V7057" s="498"/>
      <c r="W7057" s="498"/>
      <c r="X7057" s="498"/>
      <c r="Y7057" s="498"/>
      <c r="Z7057" s="498"/>
      <c r="AA7057" s="498"/>
      <c r="AB7057" s="498"/>
      <c r="AC7057" s="498"/>
      <c r="AD7057" s="498"/>
      <c r="AE7057" s="498"/>
      <c r="AF7057" s="498"/>
      <c r="AG7057" s="498"/>
      <c r="AH7057" s="498"/>
      <c r="AI7057" s="498"/>
      <c r="AK7057" s="498"/>
      <c r="AL7057" s="498"/>
      <c r="AM7057" s="498"/>
      <c r="AN7057" s="498"/>
      <c r="AO7057" s="498"/>
      <c r="AP7057" s="498"/>
      <c r="AQ7057" s="498"/>
      <c r="AR7057" s="498"/>
      <c r="AS7057" s="498"/>
      <c r="AT7057" s="498"/>
      <c r="AU7057" s="498"/>
      <c r="AV7057" s="498"/>
      <c r="AW7057" s="498"/>
      <c r="AX7057" s="498"/>
      <c r="AY7057" s="498"/>
      <c r="AZ7057" s="498"/>
      <c r="BA7057" s="498"/>
    </row>
    <row r="7058" spans="1:53" s="499" customFormat="1" x14ac:dyDescent="0.25">
      <c r="A7058" s="500"/>
      <c r="B7058" s="501"/>
      <c r="C7058" s="502"/>
      <c r="D7058" s="497"/>
      <c r="E7058" s="497"/>
      <c r="F7058" s="502"/>
      <c r="G7058" s="497"/>
      <c r="H7058" s="497"/>
      <c r="I7058" s="497"/>
      <c r="J7058" s="497"/>
      <c r="K7058" s="500"/>
      <c r="L7058" s="497"/>
      <c r="M7058"/>
      <c r="N7058" s="498"/>
      <c r="O7058" s="498"/>
      <c r="P7058" s="498"/>
      <c r="Q7058" s="498"/>
      <c r="R7058" s="498"/>
      <c r="T7058" s="498"/>
      <c r="U7058" s="498"/>
      <c r="V7058" s="498"/>
      <c r="W7058" s="498"/>
      <c r="X7058" s="498"/>
      <c r="Y7058" s="498"/>
      <c r="Z7058" s="498"/>
      <c r="AA7058" s="498"/>
      <c r="AB7058" s="498"/>
      <c r="AC7058" s="498"/>
      <c r="AD7058" s="498"/>
      <c r="AE7058" s="498"/>
      <c r="AF7058" s="498"/>
      <c r="AG7058" s="498"/>
      <c r="AH7058" s="498"/>
      <c r="AI7058" s="498"/>
      <c r="AK7058" s="498"/>
      <c r="AL7058" s="498"/>
      <c r="AM7058" s="498"/>
      <c r="AN7058" s="498"/>
      <c r="AO7058" s="498"/>
      <c r="AP7058" s="498"/>
      <c r="AQ7058" s="498"/>
      <c r="AR7058" s="498"/>
      <c r="AS7058" s="498"/>
      <c r="AT7058" s="498"/>
      <c r="AU7058" s="498"/>
      <c r="AV7058" s="498"/>
      <c r="AW7058" s="498"/>
      <c r="AX7058" s="498"/>
      <c r="AY7058" s="498"/>
      <c r="AZ7058" s="498"/>
      <c r="BA7058" s="498"/>
    </row>
    <row r="7059" spans="1:53" s="499" customFormat="1" x14ac:dyDescent="0.25">
      <c r="A7059" s="500"/>
      <c r="B7059" s="501"/>
      <c r="C7059" s="502"/>
      <c r="D7059" s="497"/>
      <c r="E7059" s="497"/>
      <c r="F7059" s="502"/>
      <c r="G7059" s="497"/>
      <c r="H7059" s="497"/>
      <c r="I7059" s="497"/>
      <c r="J7059" s="497"/>
      <c r="K7059" s="500"/>
      <c r="L7059" s="497"/>
      <c r="M7059"/>
      <c r="N7059" s="498"/>
      <c r="O7059" s="498"/>
      <c r="P7059" s="498"/>
      <c r="Q7059" s="498"/>
      <c r="R7059" s="498"/>
      <c r="T7059" s="498"/>
      <c r="U7059" s="498"/>
      <c r="V7059" s="498"/>
      <c r="W7059" s="498"/>
      <c r="X7059" s="498"/>
      <c r="Y7059" s="498"/>
      <c r="Z7059" s="498"/>
      <c r="AA7059" s="498"/>
      <c r="AB7059" s="498"/>
      <c r="AC7059" s="498"/>
      <c r="AD7059" s="498"/>
      <c r="AE7059" s="498"/>
      <c r="AF7059" s="498"/>
      <c r="AG7059" s="498"/>
      <c r="AH7059" s="498"/>
      <c r="AI7059" s="498"/>
      <c r="AK7059" s="498"/>
      <c r="AL7059" s="498"/>
      <c r="AM7059" s="498"/>
      <c r="AN7059" s="498"/>
      <c r="AO7059" s="498"/>
      <c r="AP7059" s="498"/>
      <c r="AQ7059" s="498"/>
      <c r="AR7059" s="498"/>
      <c r="AS7059" s="498"/>
      <c r="AT7059" s="498"/>
      <c r="AU7059" s="498"/>
      <c r="AV7059" s="498"/>
      <c r="AW7059" s="498"/>
      <c r="AX7059" s="498"/>
      <c r="AY7059" s="498"/>
      <c r="AZ7059" s="498"/>
      <c r="BA7059" s="498"/>
    </row>
    <row r="7060" spans="1:53" s="499" customFormat="1" x14ac:dyDescent="0.25">
      <c r="A7060" s="500"/>
      <c r="B7060" s="501"/>
      <c r="C7060" s="502"/>
      <c r="D7060" s="497"/>
      <c r="E7060" s="497"/>
      <c r="F7060" s="502"/>
      <c r="G7060" s="497"/>
      <c r="H7060" s="497"/>
      <c r="I7060" s="497"/>
      <c r="J7060" s="497"/>
      <c r="K7060" s="500"/>
      <c r="L7060" s="497"/>
      <c r="M7060"/>
      <c r="N7060" s="498"/>
      <c r="O7060" s="498"/>
      <c r="P7060" s="498"/>
      <c r="Q7060" s="498"/>
      <c r="R7060" s="498"/>
      <c r="T7060" s="498"/>
      <c r="U7060" s="498"/>
      <c r="V7060" s="498"/>
      <c r="W7060" s="498"/>
      <c r="X7060" s="498"/>
      <c r="Y7060" s="498"/>
      <c r="Z7060" s="498"/>
      <c r="AA7060" s="498"/>
      <c r="AB7060" s="498"/>
      <c r="AC7060" s="498"/>
      <c r="AD7060" s="498"/>
      <c r="AE7060" s="498"/>
      <c r="AF7060" s="498"/>
      <c r="AG7060" s="498"/>
      <c r="AH7060" s="498"/>
      <c r="AI7060" s="498"/>
      <c r="AK7060" s="498"/>
      <c r="AL7060" s="498"/>
      <c r="AM7060" s="498"/>
      <c r="AN7060" s="498"/>
      <c r="AO7060" s="498"/>
      <c r="AP7060" s="498"/>
      <c r="AQ7060" s="498"/>
      <c r="AR7060" s="498"/>
      <c r="AS7060" s="498"/>
      <c r="AT7060" s="498"/>
      <c r="AU7060" s="498"/>
      <c r="AV7060" s="498"/>
      <c r="AW7060" s="498"/>
      <c r="AX7060" s="498"/>
      <c r="AY7060" s="498"/>
      <c r="AZ7060" s="498"/>
      <c r="BA7060" s="498"/>
    </row>
    <row r="7061" spans="1:53" s="499" customFormat="1" x14ac:dyDescent="0.25">
      <c r="A7061" s="500"/>
      <c r="B7061" s="501"/>
      <c r="C7061" s="502"/>
      <c r="D7061" s="497"/>
      <c r="E7061" s="497"/>
      <c r="F7061" s="502"/>
      <c r="G7061" s="497"/>
      <c r="H7061" s="497"/>
      <c r="I7061" s="497"/>
      <c r="J7061" s="497"/>
      <c r="K7061" s="500"/>
      <c r="L7061" s="497"/>
      <c r="M7061"/>
      <c r="N7061" s="498"/>
      <c r="O7061" s="498"/>
      <c r="P7061" s="498"/>
      <c r="Q7061" s="498"/>
      <c r="R7061" s="498"/>
      <c r="T7061" s="498"/>
      <c r="U7061" s="498"/>
      <c r="V7061" s="498"/>
      <c r="W7061" s="498"/>
      <c r="X7061" s="498"/>
      <c r="Y7061" s="498"/>
      <c r="Z7061" s="498"/>
      <c r="AA7061" s="498"/>
      <c r="AB7061" s="498"/>
      <c r="AC7061" s="498"/>
      <c r="AD7061" s="498"/>
      <c r="AE7061" s="498"/>
      <c r="AF7061" s="498"/>
      <c r="AG7061" s="498"/>
      <c r="AH7061" s="498"/>
      <c r="AI7061" s="498"/>
      <c r="AK7061" s="498"/>
      <c r="AL7061" s="498"/>
      <c r="AM7061" s="498"/>
      <c r="AN7061" s="498"/>
      <c r="AO7061" s="498"/>
      <c r="AP7061" s="498"/>
      <c r="AQ7061" s="498"/>
      <c r="AR7061" s="498"/>
      <c r="AS7061" s="498"/>
      <c r="AT7061" s="498"/>
      <c r="AU7061" s="498"/>
      <c r="AV7061" s="498"/>
      <c r="AW7061" s="498"/>
      <c r="AX7061" s="498"/>
      <c r="AY7061" s="498"/>
      <c r="AZ7061" s="498"/>
      <c r="BA7061" s="498"/>
    </row>
    <row r="7062" spans="1:53" s="499" customFormat="1" x14ac:dyDescent="0.25">
      <c r="A7062" s="500"/>
      <c r="B7062" s="501"/>
      <c r="C7062" s="502"/>
      <c r="D7062" s="497"/>
      <c r="E7062" s="497"/>
      <c r="F7062" s="502"/>
      <c r="G7062" s="497"/>
      <c r="H7062" s="497"/>
      <c r="I7062" s="497"/>
      <c r="J7062" s="497"/>
      <c r="K7062" s="500"/>
      <c r="L7062" s="497"/>
      <c r="M7062"/>
      <c r="N7062" s="498"/>
      <c r="O7062" s="498"/>
      <c r="P7062" s="498"/>
      <c r="Q7062" s="498"/>
      <c r="R7062" s="498"/>
      <c r="T7062" s="498"/>
      <c r="U7062" s="498"/>
      <c r="V7062" s="498"/>
      <c r="W7062" s="498"/>
      <c r="X7062" s="498"/>
      <c r="Y7062" s="498"/>
      <c r="Z7062" s="498"/>
      <c r="AA7062" s="498"/>
      <c r="AB7062" s="498"/>
      <c r="AC7062" s="498"/>
      <c r="AD7062" s="498"/>
      <c r="AE7062" s="498"/>
      <c r="AF7062" s="498"/>
      <c r="AG7062" s="498"/>
      <c r="AH7062" s="498"/>
      <c r="AI7062" s="498"/>
      <c r="AK7062" s="498"/>
      <c r="AL7062" s="498"/>
      <c r="AM7062" s="498"/>
      <c r="AN7062" s="498"/>
      <c r="AO7062" s="498"/>
      <c r="AP7062" s="498"/>
      <c r="AQ7062" s="498"/>
      <c r="AR7062" s="498"/>
      <c r="AS7062" s="498"/>
      <c r="AT7062" s="498"/>
      <c r="AU7062" s="498"/>
      <c r="AV7062" s="498"/>
      <c r="AW7062" s="498"/>
      <c r="AX7062" s="498"/>
      <c r="AY7062" s="498"/>
      <c r="AZ7062" s="498"/>
      <c r="BA7062" s="498"/>
    </row>
    <row r="7063" spans="1:53" s="499" customFormat="1" x14ac:dyDescent="0.25">
      <c r="A7063" s="500"/>
      <c r="B7063" s="501"/>
      <c r="C7063" s="502"/>
      <c r="D7063" s="497"/>
      <c r="E7063" s="497"/>
      <c r="F7063" s="502"/>
      <c r="G7063" s="497"/>
      <c r="H7063" s="497"/>
      <c r="I7063" s="497"/>
      <c r="J7063" s="497"/>
      <c r="K7063" s="500"/>
      <c r="L7063" s="497"/>
      <c r="M7063"/>
      <c r="N7063" s="498"/>
      <c r="O7063" s="498"/>
      <c r="P7063" s="498"/>
      <c r="Q7063" s="498"/>
      <c r="R7063" s="498"/>
      <c r="T7063" s="498"/>
      <c r="U7063" s="498"/>
      <c r="V7063" s="498"/>
      <c r="W7063" s="498"/>
      <c r="X7063" s="498"/>
      <c r="Y7063" s="498"/>
      <c r="Z7063" s="498"/>
      <c r="AA7063" s="498"/>
      <c r="AB7063" s="498"/>
      <c r="AC7063" s="498"/>
      <c r="AD7063" s="498"/>
      <c r="AE7063" s="498"/>
      <c r="AF7063" s="498"/>
      <c r="AG7063" s="498"/>
      <c r="AH7063" s="498"/>
      <c r="AI7063" s="498"/>
      <c r="AK7063" s="498"/>
      <c r="AL7063" s="498"/>
      <c r="AM7063" s="498"/>
      <c r="AN7063" s="498"/>
      <c r="AO7063" s="498"/>
      <c r="AP7063" s="498"/>
      <c r="AQ7063" s="498"/>
      <c r="AR7063" s="498"/>
      <c r="AS7063" s="498"/>
      <c r="AT7063" s="498"/>
      <c r="AU7063" s="498"/>
      <c r="AV7063" s="498"/>
      <c r="AW7063" s="498"/>
      <c r="AX7063" s="498"/>
      <c r="AY7063" s="498"/>
      <c r="AZ7063" s="498"/>
      <c r="BA7063" s="498"/>
    </row>
    <row r="7064" spans="1:53" s="499" customFormat="1" x14ac:dyDescent="0.25">
      <c r="A7064" s="500"/>
      <c r="B7064" s="501"/>
      <c r="C7064" s="502"/>
      <c r="D7064" s="497"/>
      <c r="E7064" s="497"/>
      <c r="F7064" s="502"/>
      <c r="G7064" s="497"/>
      <c r="H7064" s="497"/>
      <c r="I7064" s="497"/>
      <c r="J7064" s="497"/>
      <c r="K7064" s="500"/>
      <c r="L7064" s="497"/>
      <c r="M7064"/>
      <c r="N7064" s="498"/>
      <c r="O7064" s="498"/>
      <c r="P7064" s="498"/>
      <c r="Q7064" s="498"/>
      <c r="R7064" s="498"/>
      <c r="T7064" s="498"/>
      <c r="U7064" s="498"/>
      <c r="V7064" s="498"/>
      <c r="W7064" s="498"/>
      <c r="X7064" s="498"/>
      <c r="Y7064" s="498"/>
      <c r="Z7064" s="498"/>
      <c r="AA7064" s="498"/>
      <c r="AB7064" s="498"/>
      <c r="AC7064" s="498"/>
      <c r="AD7064" s="498"/>
      <c r="AE7064" s="498"/>
      <c r="AF7064" s="498"/>
      <c r="AG7064" s="498"/>
      <c r="AH7064" s="498"/>
      <c r="AI7064" s="498"/>
      <c r="AK7064" s="498"/>
      <c r="AL7064" s="498"/>
      <c r="AM7064" s="498"/>
      <c r="AN7064" s="498"/>
      <c r="AO7064" s="498"/>
      <c r="AP7064" s="498"/>
      <c r="AQ7064" s="498"/>
      <c r="AR7064" s="498"/>
      <c r="AS7064" s="498"/>
      <c r="AT7064" s="498"/>
      <c r="AU7064" s="498"/>
      <c r="AV7064" s="498"/>
      <c r="AW7064" s="498"/>
      <c r="AX7064" s="498"/>
      <c r="AY7064" s="498"/>
      <c r="AZ7064" s="498"/>
      <c r="BA7064" s="498"/>
    </row>
    <row r="7065" spans="1:53" s="499" customFormat="1" x14ac:dyDescent="0.25">
      <c r="A7065" s="500"/>
      <c r="B7065" s="501"/>
      <c r="C7065" s="502"/>
      <c r="D7065" s="497"/>
      <c r="E7065" s="497"/>
      <c r="F7065" s="502"/>
      <c r="G7065" s="497"/>
      <c r="H7065" s="497"/>
      <c r="I7065" s="497"/>
      <c r="J7065" s="497"/>
      <c r="K7065" s="500"/>
      <c r="L7065" s="497"/>
      <c r="M7065"/>
      <c r="N7065" s="498"/>
      <c r="O7065" s="498"/>
      <c r="P7065" s="498"/>
      <c r="Q7065" s="498"/>
      <c r="R7065" s="498"/>
      <c r="T7065" s="498"/>
      <c r="U7065" s="498"/>
      <c r="V7065" s="498"/>
      <c r="W7065" s="498"/>
      <c r="X7065" s="498"/>
      <c r="Y7065" s="498"/>
      <c r="Z7065" s="498"/>
      <c r="AA7065" s="498"/>
      <c r="AB7065" s="498"/>
      <c r="AC7065" s="498"/>
      <c r="AD7065" s="498"/>
      <c r="AE7065" s="498"/>
      <c r="AF7065" s="498"/>
      <c r="AG7065" s="498"/>
      <c r="AH7065" s="498"/>
      <c r="AI7065" s="498"/>
      <c r="AK7065" s="498"/>
      <c r="AL7065" s="498"/>
      <c r="AM7065" s="498"/>
      <c r="AN7065" s="498"/>
      <c r="AO7065" s="498"/>
      <c r="AP7065" s="498"/>
      <c r="AQ7065" s="498"/>
      <c r="AR7065" s="498"/>
      <c r="AS7065" s="498"/>
      <c r="AT7065" s="498"/>
      <c r="AU7065" s="498"/>
      <c r="AV7065" s="498"/>
      <c r="AW7065" s="498"/>
      <c r="AX7065" s="498"/>
      <c r="AY7065" s="498"/>
      <c r="AZ7065" s="498"/>
      <c r="BA7065" s="498"/>
    </row>
    <row r="7066" spans="1:53" s="499" customFormat="1" x14ac:dyDescent="0.25">
      <c r="A7066" s="500"/>
      <c r="B7066" s="501"/>
      <c r="C7066" s="502"/>
      <c r="D7066" s="497"/>
      <c r="E7066" s="497"/>
      <c r="F7066" s="502"/>
      <c r="G7066" s="497"/>
      <c r="H7066" s="497"/>
      <c r="I7066" s="497"/>
      <c r="J7066" s="497"/>
      <c r="K7066" s="500"/>
      <c r="L7066" s="497"/>
      <c r="M7066"/>
      <c r="N7066" s="498"/>
      <c r="O7066" s="498"/>
      <c r="P7066" s="498"/>
      <c r="Q7066" s="498"/>
      <c r="R7066" s="498"/>
      <c r="T7066" s="498"/>
      <c r="U7066" s="498"/>
      <c r="V7066" s="498"/>
      <c r="W7066" s="498"/>
      <c r="X7066" s="498"/>
      <c r="Y7066" s="498"/>
      <c r="Z7066" s="498"/>
      <c r="AA7066" s="498"/>
      <c r="AB7066" s="498"/>
      <c r="AC7066" s="498"/>
      <c r="AD7066" s="498"/>
      <c r="AE7066" s="498"/>
      <c r="AF7066" s="498"/>
      <c r="AG7066" s="498"/>
      <c r="AH7066" s="498"/>
      <c r="AI7066" s="498"/>
      <c r="AK7066" s="498"/>
      <c r="AL7066" s="498"/>
      <c r="AM7066" s="498"/>
      <c r="AN7066" s="498"/>
      <c r="AO7066" s="498"/>
      <c r="AP7066" s="498"/>
      <c r="AQ7066" s="498"/>
      <c r="AR7066" s="498"/>
      <c r="AS7066" s="498"/>
      <c r="AT7066" s="498"/>
      <c r="AU7066" s="498"/>
      <c r="AV7066" s="498"/>
      <c r="AW7066" s="498"/>
      <c r="AX7066" s="498"/>
      <c r="AY7066" s="498"/>
      <c r="AZ7066" s="498"/>
      <c r="BA7066" s="498"/>
    </row>
    <row r="7067" spans="1:53" s="499" customFormat="1" x14ac:dyDescent="0.25">
      <c r="A7067" s="500"/>
      <c r="B7067" s="501"/>
      <c r="C7067" s="502"/>
      <c r="D7067" s="497"/>
      <c r="E7067" s="497"/>
      <c r="F7067" s="502"/>
      <c r="G7067" s="497"/>
      <c r="H7067" s="497"/>
      <c r="I7067" s="497"/>
      <c r="J7067" s="497"/>
      <c r="K7067" s="500"/>
      <c r="L7067" s="497"/>
      <c r="M7067"/>
      <c r="N7067" s="498"/>
      <c r="O7067" s="498"/>
      <c r="P7067" s="498"/>
      <c r="Q7067" s="498"/>
      <c r="R7067" s="498"/>
      <c r="T7067" s="498"/>
      <c r="U7067" s="498"/>
      <c r="V7067" s="498"/>
      <c r="W7067" s="498"/>
      <c r="X7067" s="498"/>
      <c r="Y7067" s="498"/>
      <c r="Z7067" s="498"/>
      <c r="AA7067" s="498"/>
      <c r="AB7067" s="498"/>
      <c r="AC7067" s="498"/>
      <c r="AD7067" s="498"/>
      <c r="AE7067" s="498"/>
      <c r="AF7067" s="498"/>
      <c r="AG7067" s="498"/>
      <c r="AH7067" s="498"/>
      <c r="AI7067" s="498"/>
      <c r="AK7067" s="498"/>
      <c r="AL7067" s="498"/>
      <c r="AM7067" s="498"/>
      <c r="AN7067" s="498"/>
      <c r="AO7067" s="498"/>
      <c r="AP7067" s="498"/>
      <c r="AQ7067" s="498"/>
      <c r="AR7067" s="498"/>
      <c r="AS7067" s="498"/>
      <c r="AT7067" s="498"/>
      <c r="AU7067" s="498"/>
      <c r="AV7067" s="498"/>
      <c r="AW7067" s="498"/>
      <c r="AX7067" s="498"/>
      <c r="AY7067" s="498"/>
      <c r="AZ7067" s="498"/>
      <c r="BA7067" s="498"/>
    </row>
    <row r="7068" spans="1:53" s="499" customFormat="1" x14ac:dyDescent="0.25">
      <c r="A7068" s="500"/>
      <c r="B7068" s="501"/>
      <c r="C7068" s="502"/>
      <c r="D7068" s="497"/>
      <c r="E7068" s="497"/>
      <c r="F7068" s="502"/>
      <c r="G7068" s="497"/>
      <c r="H7068" s="497"/>
      <c r="I7068" s="497"/>
      <c r="J7068" s="497"/>
      <c r="K7068" s="500"/>
      <c r="L7068" s="497"/>
      <c r="M7068"/>
      <c r="N7068" s="498"/>
      <c r="O7068" s="498"/>
      <c r="P7068" s="498"/>
      <c r="Q7068" s="498"/>
      <c r="R7068" s="498"/>
      <c r="T7068" s="498"/>
      <c r="U7068" s="498"/>
      <c r="V7068" s="498"/>
      <c r="W7068" s="498"/>
      <c r="X7068" s="498"/>
      <c r="Y7068" s="498"/>
      <c r="Z7068" s="498"/>
      <c r="AA7068" s="498"/>
      <c r="AB7068" s="498"/>
      <c r="AC7068" s="498"/>
      <c r="AD7068" s="498"/>
      <c r="AE7068" s="498"/>
      <c r="AF7068" s="498"/>
      <c r="AG7068" s="498"/>
      <c r="AH7068" s="498"/>
      <c r="AI7068" s="498"/>
      <c r="AK7068" s="498"/>
      <c r="AL7068" s="498"/>
      <c r="AM7068" s="498"/>
      <c r="AN7068" s="498"/>
      <c r="AO7068" s="498"/>
      <c r="AP7068" s="498"/>
      <c r="AQ7068" s="498"/>
      <c r="AR7068" s="498"/>
      <c r="AS7068" s="498"/>
      <c r="AT7068" s="498"/>
      <c r="AU7068" s="498"/>
      <c r="AV7068" s="498"/>
      <c r="AW7068" s="498"/>
      <c r="AX7068" s="498"/>
      <c r="AY7068" s="498"/>
      <c r="AZ7068" s="498"/>
      <c r="BA7068" s="498"/>
    </row>
    <row r="7069" spans="1:53" s="499" customFormat="1" x14ac:dyDescent="0.25">
      <c r="A7069" s="500"/>
      <c r="B7069" s="501"/>
      <c r="C7069" s="502"/>
      <c r="D7069" s="497"/>
      <c r="E7069" s="497"/>
      <c r="F7069" s="502"/>
      <c r="G7069" s="497"/>
      <c r="H7069" s="497"/>
      <c r="I7069" s="497"/>
      <c r="J7069" s="497"/>
      <c r="K7069" s="500"/>
      <c r="L7069" s="497"/>
      <c r="M7069"/>
      <c r="N7069" s="498"/>
      <c r="O7069" s="498"/>
      <c r="P7069" s="498"/>
      <c r="Q7069" s="498"/>
      <c r="R7069" s="498"/>
      <c r="T7069" s="498"/>
      <c r="U7069" s="498"/>
      <c r="V7069" s="498"/>
      <c r="W7069" s="498"/>
      <c r="X7069" s="498"/>
      <c r="Y7069" s="498"/>
      <c r="Z7069" s="498"/>
      <c r="AA7069" s="498"/>
      <c r="AB7069" s="498"/>
      <c r="AC7069" s="498"/>
      <c r="AD7069" s="498"/>
      <c r="AE7069" s="498"/>
      <c r="AF7069" s="498"/>
      <c r="AG7069" s="498"/>
      <c r="AH7069" s="498"/>
      <c r="AI7069" s="498"/>
      <c r="AK7069" s="498"/>
      <c r="AL7069" s="498"/>
      <c r="AM7069" s="498"/>
      <c r="AN7069" s="498"/>
      <c r="AO7069" s="498"/>
      <c r="AP7069" s="498"/>
      <c r="AQ7069" s="498"/>
      <c r="AR7069" s="498"/>
      <c r="AS7069" s="498"/>
      <c r="AT7069" s="498"/>
      <c r="AU7069" s="498"/>
      <c r="AV7069" s="498"/>
      <c r="AW7069" s="498"/>
      <c r="AX7069" s="498"/>
      <c r="AY7069" s="498"/>
      <c r="AZ7069" s="498"/>
      <c r="BA7069" s="498"/>
    </row>
    <row r="7070" spans="1:53" s="499" customFormat="1" x14ac:dyDescent="0.25">
      <c r="A7070" s="500"/>
      <c r="B7070" s="501"/>
      <c r="C7070" s="502"/>
      <c r="D7070" s="497"/>
      <c r="E7070" s="497"/>
      <c r="F7070" s="502"/>
      <c r="G7070" s="497"/>
      <c r="H7070" s="497"/>
      <c r="I7070" s="497"/>
      <c r="J7070" s="497"/>
      <c r="K7070" s="500"/>
      <c r="L7070" s="497"/>
      <c r="M7070"/>
      <c r="N7070" s="498"/>
      <c r="O7070" s="498"/>
      <c r="P7070" s="498"/>
      <c r="Q7070" s="498"/>
      <c r="R7070" s="498"/>
      <c r="T7070" s="498"/>
      <c r="U7070" s="498"/>
      <c r="V7070" s="498"/>
      <c r="W7070" s="498"/>
      <c r="X7070" s="498"/>
      <c r="Y7070" s="498"/>
      <c r="Z7070" s="498"/>
      <c r="AA7070" s="498"/>
      <c r="AB7070" s="498"/>
      <c r="AC7070" s="498"/>
      <c r="AD7070" s="498"/>
      <c r="AE7070" s="498"/>
      <c r="AF7070" s="498"/>
      <c r="AG7070" s="498"/>
      <c r="AH7070" s="498"/>
      <c r="AI7070" s="498"/>
      <c r="AK7070" s="498"/>
      <c r="AL7070" s="498"/>
      <c r="AM7070" s="498"/>
      <c r="AN7070" s="498"/>
      <c r="AO7070" s="498"/>
      <c r="AP7070" s="498"/>
      <c r="AQ7070" s="498"/>
      <c r="AR7070" s="498"/>
      <c r="AS7070" s="498"/>
      <c r="AT7070" s="498"/>
      <c r="AU7070" s="498"/>
      <c r="AV7070" s="498"/>
      <c r="AW7070" s="498"/>
      <c r="AX7070" s="498"/>
      <c r="AY7070" s="498"/>
      <c r="AZ7070" s="498"/>
      <c r="BA7070" s="498"/>
    </row>
    <row r="7071" spans="1:53" s="499" customFormat="1" x14ac:dyDescent="0.25">
      <c r="A7071" s="500"/>
      <c r="B7071" s="501"/>
      <c r="C7071" s="502"/>
      <c r="D7071" s="497"/>
      <c r="E7071" s="497"/>
      <c r="F7071" s="502"/>
      <c r="G7071" s="497"/>
      <c r="H7071" s="497"/>
      <c r="I7071" s="497"/>
      <c r="J7071" s="497"/>
      <c r="K7071" s="500"/>
      <c r="L7071" s="497"/>
      <c r="M7071"/>
      <c r="N7071" s="498"/>
      <c r="O7071" s="498"/>
      <c r="P7071" s="498"/>
      <c r="Q7071" s="498"/>
      <c r="R7071" s="498"/>
      <c r="T7071" s="498"/>
      <c r="U7071" s="498"/>
      <c r="V7071" s="498"/>
      <c r="W7071" s="498"/>
      <c r="X7071" s="498"/>
      <c r="Y7071" s="498"/>
      <c r="Z7071" s="498"/>
      <c r="AA7071" s="498"/>
      <c r="AB7071" s="498"/>
      <c r="AC7071" s="498"/>
      <c r="AD7071" s="498"/>
      <c r="AE7071" s="498"/>
      <c r="AF7071" s="498"/>
      <c r="AG7071" s="498"/>
      <c r="AH7071" s="498"/>
      <c r="AI7071" s="498"/>
      <c r="AK7071" s="498"/>
      <c r="AL7071" s="498"/>
      <c r="AM7071" s="498"/>
      <c r="AN7071" s="498"/>
      <c r="AO7071" s="498"/>
      <c r="AP7071" s="498"/>
      <c r="AQ7071" s="498"/>
      <c r="AR7071" s="498"/>
      <c r="AS7071" s="498"/>
      <c r="AT7071" s="498"/>
      <c r="AU7071" s="498"/>
      <c r="AV7071" s="498"/>
      <c r="AW7071" s="498"/>
      <c r="AX7071" s="498"/>
      <c r="AY7071" s="498"/>
      <c r="AZ7071" s="498"/>
      <c r="BA7071" s="498"/>
    </row>
    <row r="7072" spans="1:53" s="499" customFormat="1" x14ac:dyDescent="0.25">
      <c r="A7072" s="500"/>
      <c r="B7072" s="501"/>
      <c r="C7072" s="502"/>
      <c r="D7072" s="497"/>
      <c r="E7072" s="497"/>
      <c r="F7072" s="502"/>
      <c r="G7072" s="497"/>
      <c r="H7072" s="497"/>
      <c r="I7072" s="497"/>
      <c r="J7072" s="497"/>
      <c r="K7072" s="500"/>
      <c r="L7072" s="497"/>
      <c r="M7072"/>
      <c r="N7072" s="498"/>
      <c r="O7072" s="498"/>
      <c r="P7072" s="498"/>
      <c r="Q7072" s="498"/>
      <c r="R7072" s="498"/>
      <c r="T7072" s="498"/>
      <c r="U7072" s="498"/>
      <c r="V7072" s="498"/>
      <c r="W7072" s="498"/>
      <c r="X7072" s="498"/>
      <c r="Y7072" s="498"/>
      <c r="Z7072" s="498"/>
      <c r="AA7072" s="498"/>
      <c r="AB7072" s="498"/>
      <c r="AC7072" s="498"/>
      <c r="AD7072" s="498"/>
      <c r="AE7072" s="498"/>
      <c r="AF7072" s="498"/>
      <c r="AG7072" s="498"/>
      <c r="AH7072" s="498"/>
      <c r="AI7072" s="498"/>
      <c r="AK7072" s="498"/>
      <c r="AL7072" s="498"/>
      <c r="AM7072" s="498"/>
      <c r="AN7072" s="498"/>
      <c r="AO7072" s="498"/>
      <c r="AP7072" s="498"/>
      <c r="AQ7072" s="498"/>
      <c r="AR7072" s="498"/>
      <c r="AS7072" s="498"/>
      <c r="AT7072" s="498"/>
      <c r="AU7072" s="498"/>
      <c r="AV7072" s="498"/>
      <c r="AW7072" s="498"/>
      <c r="AX7072" s="498"/>
      <c r="AY7072" s="498"/>
      <c r="AZ7072" s="498"/>
      <c r="BA7072" s="498"/>
    </row>
    <row r="7073" spans="1:53" s="499" customFormat="1" x14ac:dyDescent="0.25">
      <c r="A7073" s="500"/>
      <c r="B7073" s="501"/>
      <c r="C7073" s="502"/>
      <c r="D7073" s="497"/>
      <c r="E7073" s="497"/>
      <c r="F7073" s="502"/>
      <c r="G7073" s="497"/>
      <c r="H7073" s="497"/>
      <c r="I7073" s="497"/>
      <c r="J7073" s="497"/>
      <c r="K7073" s="500"/>
      <c r="L7073" s="497"/>
      <c r="M7073"/>
      <c r="N7073" s="498"/>
      <c r="O7073" s="498"/>
      <c r="P7073" s="498"/>
      <c r="Q7073" s="498"/>
      <c r="R7073" s="498"/>
      <c r="T7073" s="498"/>
      <c r="U7073" s="498"/>
      <c r="V7073" s="498"/>
      <c r="W7073" s="498"/>
      <c r="X7073" s="498"/>
      <c r="Y7073" s="498"/>
      <c r="Z7073" s="498"/>
      <c r="AA7073" s="498"/>
      <c r="AB7073" s="498"/>
      <c r="AC7073" s="498"/>
      <c r="AD7073" s="498"/>
      <c r="AE7073" s="498"/>
      <c r="AF7073" s="498"/>
      <c r="AG7073" s="498"/>
      <c r="AH7073" s="498"/>
      <c r="AI7073" s="498"/>
      <c r="AK7073" s="498"/>
      <c r="AL7073" s="498"/>
      <c r="AM7073" s="498"/>
      <c r="AN7073" s="498"/>
      <c r="AO7073" s="498"/>
      <c r="AP7073" s="498"/>
      <c r="AQ7073" s="498"/>
      <c r="AR7073" s="498"/>
      <c r="AS7073" s="498"/>
      <c r="AT7073" s="498"/>
      <c r="AU7073" s="498"/>
      <c r="AV7073" s="498"/>
      <c r="AW7073" s="498"/>
      <c r="AX7073" s="498"/>
      <c r="AY7073" s="498"/>
      <c r="AZ7073" s="498"/>
      <c r="BA7073" s="498"/>
    </row>
    <row r="7074" spans="1:53" s="499" customFormat="1" x14ac:dyDescent="0.25">
      <c r="A7074" s="500"/>
      <c r="B7074" s="501"/>
      <c r="C7074" s="502"/>
      <c r="D7074" s="497"/>
      <c r="E7074" s="497"/>
      <c r="F7074" s="502"/>
      <c r="G7074" s="497"/>
      <c r="H7074" s="497"/>
      <c r="I7074" s="497"/>
      <c r="J7074" s="497"/>
      <c r="K7074" s="500"/>
      <c r="L7074" s="497"/>
      <c r="M7074"/>
      <c r="N7074" s="498"/>
      <c r="O7074" s="498"/>
      <c r="P7074" s="498"/>
      <c r="Q7074" s="498"/>
      <c r="R7074" s="498"/>
      <c r="T7074" s="498"/>
      <c r="U7074" s="498"/>
      <c r="V7074" s="498"/>
      <c r="W7074" s="498"/>
      <c r="X7074" s="498"/>
      <c r="Y7074" s="498"/>
      <c r="Z7074" s="498"/>
      <c r="AA7074" s="498"/>
      <c r="AB7074" s="498"/>
      <c r="AC7074" s="498"/>
      <c r="AD7074" s="498"/>
      <c r="AE7074" s="498"/>
      <c r="AF7074" s="498"/>
      <c r="AG7074" s="498"/>
      <c r="AH7074" s="498"/>
      <c r="AI7074" s="498"/>
      <c r="AK7074" s="498"/>
      <c r="AL7074" s="498"/>
      <c r="AM7074" s="498"/>
      <c r="AN7074" s="498"/>
      <c r="AO7074" s="498"/>
      <c r="AP7074" s="498"/>
      <c r="AQ7074" s="498"/>
      <c r="AR7074" s="498"/>
      <c r="AS7074" s="498"/>
      <c r="AT7074" s="498"/>
      <c r="AU7074" s="498"/>
      <c r="AV7074" s="498"/>
      <c r="AW7074" s="498"/>
      <c r="AX7074" s="498"/>
      <c r="AY7074" s="498"/>
      <c r="AZ7074" s="498"/>
      <c r="BA7074" s="498"/>
    </row>
    <row r="7075" spans="1:53" s="499" customFormat="1" x14ac:dyDescent="0.25">
      <c r="A7075" s="500"/>
      <c r="B7075" s="501"/>
      <c r="C7075" s="502"/>
      <c r="D7075" s="497"/>
      <c r="E7075" s="497"/>
      <c r="F7075" s="502"/>
      <c r="G7075" s="497"/>
      <c r="H7075" s="497"/>
      <c r="I7075" s="497"/>
      <c r="J7075" s="497"/>
      <c r="K7075" s="500"/>
      <c r="L7075" s="497"/>
      <c r="M7075"/>
      <c r="N7075" s="498"/>
      <c r="O7075" s="498"/>
      <c r="P7075" s="498"/>
      <c r="Q7075" s="498"/>
      <c r="R7075" s="498"/>
      <c r="T7075" s="498"/>
      <c r="U7075" s="498"/>
      <c r="V7075" s="498"/>
      <c r="W7075" s="498"/>
      <c r="X7075" s="498"/>
      <c r="Y7075" s="498"/>
      <c r="Z7075" s="498"/>
      <c r="AA7075" s="498"/>
      <c r="AB7075" s="498"/>
      <c r="AC7075" s="498"/>
      <c r="AD7075" s="498"/>
      <c r="AE7075" s="498"/>
      <c r="AF7075" s="498"/>
      <c r="AG7075" s="498"/>
      <c r="AH7075" s="498"/>
      <c r="AI7075" s="498"/>
      <c r="AK7075" s="498"/>
      <c r="AL7075" s="498"/>
      <c r="AM7075" s="498"/>
      <c r="AN7075" s="498"/>
      <c r="AO7075" s="498"/>
      <c r="AP7075" s="498"/>
      <c r="AQ7075" s="498"/>
      <c r="AR7075" s="498"/>
      <c r="AS7075" s="498"/>
      <c r="AT7075" s="498"/>
      <c r="AU7075" s="498"/>
      <c r="AV7075" s="498"/>
      <c r="AW7075" s="498"/>
      <c r="AX7075" s="498"/>
      <c r="AY7075" s="498"/>
      <c r="AZ7075" s="498"/>
      <c r="BA7075" s="498"/>
    </row>
    <row r="7076" spans="1:53" s="499" customFormat="1" x14ac:dyDescent="0.25">
      <c r="A7076" s="500"/>
      <c r="B7076" s="501"/>
      <c r="C7076" s="502"/>
      <c r="D7076" s="497"/>
      <c r="E7076" s="497"/>
      <c r="F7076" s="502"/>
      <c r="G7076" s="497"/>
      <c r="H7076" s="497"/>
      <c r="I7076" s="497"/>
      <c r="J7076" s="497"/>
      <c r="K7076" s="500"/>
      <c r="L7076" s="497"/>
      <c r="M7076"/>
      <c r="N7076" s="498"/>
      <c r="O7076" s="498"/>
      <c r="P7076" s="498"/>
      <c r="Q7076" s="498"/>
      <c r="R7076" s="498"/>
      <c r="T7076" s="498"/>
      <c r="U7076" s="498"/>
      <c r="V7076" s="498"/>
      <c r="W7076" s="498"/>
      <c r="X7076" s="498"/>
      <c r="Y7076" s="498"/>
      <c r="Z7076" s="498"/>
      <c r="AA7076" s="498"/>
      <c r="AB7076" s="498"/>
      <c r="AC7076" s="498"/>
      <c r="AD7076" s="498"/>
      <c r="AE7076" s="498"/>
      <c r="AF7076" s="498"/>
      <c r="AG7076" s="498"/>
      <c r="AH7076" s="498"/>
      <c r="AI7076" s="498"/>
      <c r="AK7076" s="498"/>
      <c r="AL7076" s="498"/>
      <c r="AM7076" s="498"/>
      <c r="AN7076" s="498"/>
      <c r="AO7076" s="498"/>
      <c r="AP7076" s="498"/>
      <c r="AQ7076" s="498"/>
      <c r="AR7076" s="498"/>
      <c r="AS7076" s="498"/>
      <c r="AT7076" s="498"/>
      <c r="AU7076" s="498"/>
      <c r="AV7076" s="498"/>
      <c r="AW7076" s="498"/>
      <c r="AX7076" s="498"/>
      <c r="AY7076" s="498"/>
      <c r="AZ7076" s="498"/>
      <c r="BA7076" s="498"/>
    </row>
    <row r="7077" spans="1:53" s="499" customFormat="1" x14ac:dyDescent="0.25">
      <c r="A7077" s="500"/>
      <c r="B7077" s="501"/>
      <c r="C7077" s="502"/>
      <c r="D7077" s="497"/>
      <c r="E7077" s="497"/>
      <c r="F7077" s="502"/>
      <c r="G7077" s="497"/>
      <c r="H7077" s="497"/>
      <c r="I7077" s="497"/>
      <c r="J7077" s="497"/>
      <c r="K7077" s="500"/>
      <c r="L7077" s="497"/>
      <c r="M7077"/>
      <c r="N7077" s="498"/>
      <c r="O7077" s="498"/>
      <c r="P7077" s="498"/>
      <c r="Q7077" s="498"/>
      <c r="R7077" s="498"/>
      <c r="T7077" s="498"/>
      <c r="U7077" s="498"/>
      <c r="V7077" s="498"/>
      <c r="W7077" s="498"/>
      <c r="X7077" s="498"/>
      <c r="Y7077" s="498"/>
      <c r="Z7077" s="498"/>
      <c r="AA7077" s="498"/>
      <c r="AB7077" s="498"/>
      <c r="AC7077" s="498"/>
      <c r="AD7077" s="498"/>
      <c r="AE7077" s="498"/>
      <c r="AF7077" s="498"/>
      <c r="AG7077" s="498"/>
      <c r="AH7077" s="498"/>
      <c r="AI7077" s="498"/>
      <c r="AK7077" s="498"/>
      <c r="AL7077" s="498"/>
      <c r="AM7077" s="498"/>
      <c r="AN7077" s="498"/>
      <c r="AO7077" s="498"/>
      <c r="AP7077" s="498"/>
      <c r="AQ7077" s="498"/>
      <c r="AR7077" s="498"/>
      <c r="AS7077" s="498"/>
      <c r="AT7077" s="498"/>
      <c r="AU7077" s="498"/>
      <c r="AV7077" s="498"/>
      <c r="AW7077" s="498"/>
      <c r="AX7077" s="498"/>
      <c r="AY7077" s="498"/>
      <c r="AZ7077" s="498"/>
      <c r="BA7077" s="498"/>
    </row>
    <row r="7078" spans="1:53" s="499" customFormat="1" x14ac:dyDescent="0.25">
      <c r="A7078" s="500"/>
      <c r="B7078" s="501"/>
      <c r="C7078" s="502"/>
      <c r="D7078" s="497"/>
      <c r="E7078" s="497"/>
      <c r="F7078" s="502"/>
      <c r="G7078" s="497"/>
      <c r="H7078" s="497"/>
      <c r="I7078" s="497"/>
      <c r="J7078" s="497"/>
      <c r="K7078" s="500"/>
      <c r="L7078" s="497"/>
      <c r="M7078"/>
      <c r="N7078" s="498"/>
      <c r="O7078" s="498"/>
      <c r="P7078" s="498"/>
      <c r="Q7078" s="498"/>
      <c r="R7078" s="498"/>
      <c r="T7078" s="498"/>
      <c r="U7078" s="498"/>
      <c r="V7078" s="498"/>
      <c r="W7078" s="498"/>
      <c r="X7078" s="498"/>
      <c r="Y7078" s="498"/>
      <c r="Z7078" s="498"/>
      <c r="AA7078" s="498"/>
      <c r="AB7078" s="498"/>
      <c r="AC7078" s="498"/>
      <c r="AD7078" s="498"/>
      <c r="AE7078" s="498"/>
      <c r="AF7078" s="498"/>
      <c r="AG7078" s="498"/>
      <c r="AH7078" s="498"/>
      <c r="AI7078" s="498"/>
      <c r="AK7078" s="498"/>
      <c r="AL7078" s="498"/>
      <c r="AM7078" s="498"/>
      <c r="AN7078" s="498"/>
      <c r="AO7078" s="498"/>
      <c r="AP7078" s="498"/>
      <c r="AQ7078" s="498"/>
      <c r="AR7078" s="498"/>
      <c r="AS7078" s="498"/>
      <c r="AT7078" s="498"/>
      <c r="AU7078" s="498"/>
      <c r="AV7078" s="498"/>
      <c r="AW7078" s="498"/>
      <c r="AX7078" s="498"/>
      <c r="AY7078" s="498"/>
      <c r="AZ7078" s="498"/>
      <c r="BA7078" s="498"/>
    </row>
    <row r="7079" spans="1:53" s="499" customFormat="1" x14ac:dyDescent="0.25">
      <c r="A7079" s="500"/>
      <c r="B7079" s="501"/>
      <c r="C7079" s="502"/>
      <c r="D7079" s="497"/>
      <c r="E7079" s="497"/>
      <c r="F7079" s="502"/>
      <c r="G7079" s="497"/>
      <c r="H7079" s="497"/>
      <c r="I7079" s="497"/>
      <c r="J7079" s="497"/>
      <c r="K7079" s="500"/>
      <c r="L7079" s="497"/>
      <c r="M7079"/>
      <c r="N7079" s="498"/>
      <c r="O7079" s="498"/>
      <c r="P7079" s="498"/>
      <c r="Q7079" s="498"/>
      <c r="R7079" s="498"/>
      <c r="T7079" s="498"/>
      <c r="U7079" s="498"/>
      <c r="V7079" s="498"/>
      <c r="W7079" s="498"/>
      <c r="X7079" s="498"/>
      <c r="Y7079" s="498"/>
      <c r="Z7079" s="498"/>
      <c r="AA7079" s="498"/>
      <c r="AB7079" s="498"/>
      <c r="AC7079" s="498"/>
      <c r="AD7079" s="498"/>
      <c r="AE7079" s="498"/>
      <c r="AF7079" s="498"/>
      <c r="AG7079" s="498"/>
      <c r="AH7079" s="498"/>
      <c r="AI7079" s="498"/>
      <c r="AK7079" s="498"/>
      <c r="AL7079" s="498"/>
      <c r="AM7079" s="498"/>
      <c r="AN7079" s="498"/>
      <c r="AO7079" s="498"/>
      <c r="AP7079" s="498"/>
      <c r="AQ7079" s="498"/>
      <c r="AR7079" s="498"/>
      <c r="AS7079" s="498"/>
      <c r="AT7079" s="498"/>
      <c r="AU7079" s="498"/>
      <c r="AV7079" s="498"/>
      <c r="AW7079" s="498"/>
      <c r="AX7079" s="498"/>
      <c r="AY7079" s="498"/>
      <c r="AZ7079" s="498"/>
      <c r="BA7079" s="498"/>
    </row>
    <row r="7080" spans="1:53" s="499" customFormat="1" x14ac:dyDescent="0.25">
      <c r="A7080" s="500"/>
      <c r="B7080" s="501"/>
      <c r="C7080" s="502"/>
      <c r="D7080" s="497"/>
      <c r="E7080" s="497"/>
      <c r="F7080" s="502"/>
      <c r="G7080" s="497"/>
      <c r="H7080" s="497"/>
      <c r="I7080" s="497"/>
      <c r="J7080" s="497"/>
      <c r="K7080" s="500"/>
      <c r="L7080" s="497"/>
      <c r="M7080"/>
      <c r="N7080" s="498"/>
      <c r="O7080" s="498"/>
      <c r="P7080" s="498"/>
      <c r="Q7080" s="498"/>
      <c r="R7080" s="498"/>
      <c r="T7080" s="498"/>
      <c r="U7080" s="498"/>
      <c r="V7080" s="498"/>
      <c r="W7080" s="498"/>
      <c r="X7080" s="498"/>
      <c r="Y7080" s="498"/>
      <c r="Z7080" s="498"/>
      <c r="AA7080" s="498"/>
      <c r="AB7080" s="498"/>
      <c r="AC7080" s="498"/>
      <c r="AD7080" s="498"/>
      <c r="AE7080" s="498"/>
      <c r="AF7080" s="498"/>
      <c r="AG7080" s="498"/>
      <c r="AH7080" s="498"/>
      <c r="AI7080" s="498"/>
      <c r="AK7080" s="498"/>
      <c r="AL7080" s="498"/>
      <c r="AM7080" s="498"/>
      <c r="AN7080" s="498"/>
      <c r="AO7080" s="498"/>
      <c r="AP7080" s="498"/>
      <c r="AQ7080" s="498"/>
      <c r="AR7080" s="498"/>
      <c r="AS7080" s="498"/>
      <c r="AT7080" s="498"/>
      <c r="AU7080" s="498"/>
      <c r="AV7080" s="498"/>
      <c r="AW7080" s="498"/>
      <c r="AX7080" s="498"/>
      <c r="AY7080" s="498"/>
      <c r="AZ7080" s="498"/>
      <c r="BA7080" s="498"/>
    </row>
    <row r="7081" spans="1:53" s="499" customFormat="1" x14ac:dyDescent="0.25">
      <c r="A7081" s="500"/>
      <c r="B7081" s="501"/>
      <c r="C7081" s="502"/>
      <c r="D7081" s="497"/>
      <c r="E7081" s="497"/>
      <c r="F7081" s="502"/>
      <c r="G7081" s="497"/>
      <c r="H7081" s="497"/>
      <c r="I7081" s="497"/>
      <c r="J7081" s="497"/>
      <c r="K7081" s="500"/>
      <c r="L7081" s="497"/>
      <c r="M7081"/>
      <c r="N7081" s="498"/>
      <c r="O7081" s="498"/>
      <c r="P7081" s="498"/>
      <c r="Q7081" s="498"/>
      <c r="R7081" s="498"/>
      <c r="T7081" s="498"/>
      <c r="U7081" s="498"/>
      <c r="V7081" s="498"/>
      <c r="W7081" s="498"/>
      <c r="X7081" s="498"/>
      <c r="Y7081" s="498"/>
      <c r="Z7081" s="498"/>
      <c r="AA7081" s="498"/>
      <c r="AB7081" s="498"/>
      <c r="AC7081" s="498"/>
      <c r="AD7081" s="498"/>
      <c r="AE7081" s="498"/>
      <c r="AF7081" s="498"/>
      <c r="AG7081" s="498"/>
      <c r="AH7081" s="498"/>
      <c r="AI7081" s="498"/>
      <c r="AK7081" s="498"/>
      <c r="AL7081" s="498"/>
      <c r="AM7081" s="498"/>
      <c r="AN7081" s="498"/>
      <c r="AO7081" s="498"/>
      <c r="AP7081" s="498"/>
      <c r="AQ7081" s="498"/>
      <c r="AR7081" s="498"/>
      <c r="AS7081" s="498"/>
      <c r="AT7081" s="498"/>
      <c r="AU7081" s="498"/>
      <c r="AV7081" s="498"/>
      <c r="AW7081" s="498"/>
      <c r="AX7081" s="498"/>
      <c r="AY7081" s="498"/>
      <c r="AZ7081" s="498"/>
      <c r="BA7081" s="498"/>
    </row>
    <row r="7082" spans="1:53" s="499" customFormat="1" x14ac:dyDescent="0.25">
      <c r="A7082" s="500"/>
      <c r="B7082" s="501"/>
      <c r="C7082" s="502"/>
      <c r="D7082" s="497"/>
      <c r="E7082" s="497"/>
      <c r="F7082" s="502"/>
      <c r="G7082" s="497"/>
      <c r="H7082" s="497"/>
      <c r="I7082" s="497"/>
      <c r="J7082" s="497"/>
      <c r="K7082" s="500"/>
      <c r="L7082" s="497"/>
      <c r="M7082"/>
      <c r="N7082" s="498"/>
      <c r="O7082" s="498"/>
      <c r="P7082" s="498"/>
      <c r="Q7082" s="498"/>
      <c r="R7082" s="498"/>
      <c r="T7082" s="498"/>
      <c r="U7082" s="498"/>
      <c r="V7082" s="498"/>
      <c r="W7082" s="498"/>
      <c r="X7082" s="498"/>
      <c r="Y7082" s="498"/>
      <c r="Z7082" s="498"/>
      <c r="AA7082" s="498"/>
      <c r="AB7082" s="498"/>
      <c r="AC7082" s="498"/>
      <c r="AD7082" s="498"/>
      <c r="AE7082" s="498"/>
      <c r="AF7082" s="498"/>
      <c r="AG7082" s="498"/>
      <c r="AH7082" s="498"/>
      <c r="AI7082" s="498"/>
      <c r="AK7082" s="498"/>
      <c r="AL7082" s="498"/>
      <c r="AM7082" s="498"/>
      <c r="AN7082" s="498"/>
      <c r="AO7082" s="498"/>
      <c r="AP7082" s="498"/>
      <c r="AQ7082" s="498"/>
      <c r="AR7082" s="498"/>
      <c r="AS7082" s="498"/>
      <c r="AT7082" s="498"/>
      <c r="AU7082" s="498"/>
      <c r="AV7082" s="498"/>
      <c r="AW7082" s="498"/>
      <c r="AX7082" s="498"/>
      <c r="AY7082" s="498"/>
      <c r="AZ7082" s="498"/>
      <c r="BA7082" s="498"/>
    </row>
    <row r="7083" spans="1:53" s="499" customFormat="1" x14ac:dyDescent="0.25">
      <c r="A7083" s="500"/>
      <c r="B7083" s="501"/>
      <c r="C7083" s="502"/>
      <c r="D7083" s="497"/>
      <c r="E7083" s="497"/>
      <c r="F7083" s="502"/>
      <c r="G7083" s="497"/>
      <c r="H7083" s="497"/>
      <c r="I7083" s="497"/>
      <c r="J7083" s="497"/>
      <c r="K7083" s="500"/>
      <c r="L7083" s="497"/>
      <c r="M7083"/>
      <c r="N7083" s="498"/>
      <c r="O7083" s="498"/>
      <c r="P7083" s="498"/>
      <c r="Q7083" s="498"/>
      <c r="R7083" s="498"/>
      <c r="T7083" s="498"/>
      <c r="U7083" s="498"/>
      <c r="V7083" s="498"/>
      <c r="W7083" s="498"/>
      <c r="X7083" s="498"/>
      <c r="Y7083" s="498"/>
      <c r="Z7083" s="498"/>
      <c r="AA7083" s="498"/>
      <c r="AB7083" s="498"/>
      <c r="AC7083" s="498"/>
      <c r="AD7083" s="498"/>
      <c r="AE7083" s="498"/>
      <c r="AF7083" s="498"/>
      <c r="AG7083" s="498"/>
      <c r="AH7083" s="498"/>
      <c r="AI7083" s="498"/>
      <c r="AK7083" s="498"/>
      <c r="AL7083" s="498"/>
      <c r="AM7083" s="498"/>
      <c r="AN7083" s="498"/>
      <c r="AO7083" s="498"/>
      <c r="AP7083" s="498"/>
      <c r="AQ7083" s="498"/>
      <c r="AR7083" s="498"/>
      <c r="AS7083" s="498"/>
      <c r="AT7083" s="498"/>
      <c r="AU7083" s="498"/>
      <c r="AV7083" s="498"/>
      <c r="AW7083" s="498"/>
      <c r="AX7083" s="498"/>
      <c r="AY7083" s="498"/>
      <c r="AZ7083" s="498"/>
      <c r="BA7083" s="498"/>
    </row>
    <row r="7084" spans="1:53" s="499" customFormat="1" x14ac:dyDescent="0.25">
      <c r="A7084" s="500"/>
      <c r="B7084" s="501"/>
      <c r="C7084" s="502"/>
      <c r="D7084" s="497"/>
      <c r="E7084" s="497"/>
      <c r="F7084" s="502"/>
      <c r="G7084" s="497"/>
      <c r="H7084" s="497"/>
      <c r="I7084" s="497"/>
      <c r="J7084" s="497"/>
      <c r="K7084" s="500"/>
      <c r="L7084" s="497"/>
      <c r="M7084"/>
      <c r="N7084" s="498"/>
      <c r="O7084" s="498"/>
      <c r="P7084" s="498"/>
      <c r="Q7084" s="498"/>
      <c r="R7084" s="498"/>
      <c r="T7084" s="498"/>
      <c r="U7084" s="498"/>
      <c r="V7084" s="498"/>
      <c r="W7084" s="498"/>
      <c r="X7084" s="498"/>
      <c r="Y7084" s="498"/>
      <c r="Z7084" s="498"/>
      <c r="AA7084" s="498"/>
      <c r="AB7084" s="498"/>
      <c r="AC7084" s="498"/>
      <c r="AD7084" s="498"/>
      <c r="AE7084" s="498"/>
      <c r="AF7084" s="498"/>
      <c r="AG7084" s="498"/>
      <c r="AH7084" s="498"/>
      <c r="AI7084" s="498"/>
      <c r="AK7084" s="498"/>
      <c r="AL7084" s="498"/>
      <c r="AM7084" s="498"/>
      <c r="AN7084" s="498"/>
      <c r="AO7084" s="498"/>
      <c r="AP7084" s="498"/>
      <c r="AQ7084" s="498"/>
      <c r="AR7084" s="498"/>
      <c r="AS7084" s="498"/>
      <c r="AT7084" s="498"/>
      <c r="AU7084" s="498"/>
      <c r="AV7084" s="498"/>
      <c r="AW7084" s="498"/>
      <c r="AX7084" s="498"/>
      <c r="AY7084" s="498"/>
      <c r="AZ7084" s="498"/>
      <c r="BA7084" s="498"/>
    </row>
    <row r="7085" spans="1:53" s="499" customFormat="1" x14ac:dyDescent="0.25">
      <c r="A7085" s="500"/>
      <c r="B7085" s="501"/>
      <c r="C7085" s="502"/>
      <c r="D7085" s="497"/>
      <c r="E7085" s="497"/>
      <c r="F7085" s="502"/>
      <c r="G7085" s="497"/>
      <c r="H7085" s="497"/>
      <c r="I7085" s="497"/>
      <c r="J7085" s="497"/>
      <c r="K7085" s="500"/>
      <c r="L7085" s="497"/>
      <c r="M7085"/>
      <c r="N7085" s="498"/>
      <c r="O7085" s="498"/>
      <c r="P7085" s="498"/>
      <c r="Q7085" s="498"/>
      <c r="R7085" s="498"/>
      <c r="T7085" s="498"/>
      <c r="U7085" s="498"/>
      <c r="V7085" s="498"/>
      <c r="W7085" s="498"/>
      <c r="X7085" s="498"/>
      <c r="Y7085" s="498"/>
      <c r="Z7085" s="498"/>
      <c r="AA7085" s="498"/>
      <c r="AB7085" s="498"/>
      <c r="AC7085" s="498"/>
      <c r="AD7085" s="498"/>
      <c r="AE7085" s="498"/>
      <c r="AF7085" s="498"/>
      <c r="AG7085" s="498"/>
      <c r="AH7085" s="498"/>
      <c r="AI7085" s="498"/>
      <c r="AK7085" s="498"/>
      <c r="AL7085" s="498"/>
      <c r="AM7085" s="498"/>
      <c r="AN7085" s="498"/>
      <c r="AO7085" s="498"/>
      <c r="AP7085" s="498"/>
      <c r="AQ7085" s="498"/>
      <c r="AR7085" s="498"/>
      <c r="AS7085" s="498"/>
      <c r="AT7085" s="498"/>
      <c r="AU7085" s="498"/>
      <c r="AV7085" s="498"/>
      <c r="AW7085" s="498"/>
      <c r="AX7085" s="498"/>
      <c r="AY7085" s="498"/>
      <c r="AZ7085" s="498"/>
      <c r="BA7085" s="498"/>
    </row>
    <row r="7086" spans="1:53" s="499" customFormat="1" x14ac:dyDescent="0.25">
      <c r="A7086" s="500"/>
      <c r="B7086" s="501"/>
      <c r="C7086" s="502"/>
      <c r="D7086" s="497"/>
      <c r="E7086" s="497"/>
      <c r="F7086" s="502"/>
      <c r="G7086" s="497"/>
      <c r="H7086" s="497"/>
      <c r="I7086" s="497"/>
      <c r="J7086" s="497"/>
      <c r="K7086" s="500"/>
      <c r="L7086" s="497"/>
      <c r="M7086"/>
      <c r="N7086" s="498"/>
      <c r="O7086" s="498"/>
      <c r="P7086" s="498"/>
      <c r="Q7086" s="498"/>
      <c r="R7086" s="498"/>
      <c r="T7086" s="498"/>
      <c r="U7086" s="498"/>
      <c r="V7086" s="498"/>
      <c r="W7086" s="498"/>
      <c r="X7086" s="498"/>
      <c r="Y7086" s="498"/>
      <c r="Z7086" s="498"/>
      <c r="AA7086" s="498"/>
      <c r="AB7086" s="498"/>
      <c r="AC7086" s="498"/>
      <c r="AD7086" s="498"/>
      <c r="AE7086" s="498"/>
      <c r="AF7086" s="498"/>
      <c r="AG7086" s="498"/>
      <c r="AH7086" s="498"/>
      <c r="AI7086" s="498"/>
      <c r="AK7086" s="498"/>
      <c r="AL7086" s="498"/>
      <c r="AM7086" s="498"/>
      <c r="AN7086" s="498"/>
      <c r="AO7086" s="498"/>
      <c r="AP7086" s="498"/>
      <c r="AQ7086" s="498"/>
      <c r="AR7086" s="498"/>
      <c r="AS7086" s="498"/>
      <c r="AT7086" s="498"/>
      <c r="AU7086" s="498"/>
      <c r="AV7086" s="498"/>
      <c r="AW7086" s="498"/>
      <c r="AX7086" s="498"/>
      <c r="AY7086" s="498"/>
      <c r="AZ7086" s="498"/>
      <c r="BA7086" s="498"/>
    </row>
    <row r="7087" spans="1:53" s="499" customFormat="1" x14ac:dyDescent="0.25">
      <c r="A7087" s="500"/>
      <c r="B7087" s="501"/>
      <c r="C7087" s="502"/>
      <c r="D7087" s="497"/>
      <c r="E7087" s="497"/>
      <c r="F7087" s="502"/>
      <c r="G7087" s="497"/>
      <c r="H7087" s="497"/>
      <c r="I7087" s="497"/>
      <c r="J7087" s="497"/>
      <c r="K7087" s="500"/>
      <c r="L7087" s="497"/>
      <c r="M7087"/>
      <c r="N7087" s="498"/>
      <c r="O7087" s="498"/>
      <c r="P7087" s="498"/>
      <c r="Q7087" s="498"/>
      <c r="R7087" s="498"/>
      <c r="T7087" s="498"/>
      <c r="U7087" s="498"/>
      <c r="V7087" s="498"/>
      <c r="W7087" s="498"/>
      <c r="X7087" s="498"/>
      <c r="Y7087" s="498"/>
      <c r="Z7087" s="498"/>
      <c r="AA7087" s="498"/>
      <c r="AB7087" s="498"/>
      <c r="AC7087" s="498"/>
      <c r="AD7087" s="498"/>
      <c r="AE7087" s="498"/>
      <c r="AF7087" s="498"/>
      <c r="AG7087" s="498"/>
      <c r="AH7087" s="498"/>
      <c r="AI7087" s="498"/>
      <c r="AK7087" s="498"/>
      <c r="AL7087" s="498"/>
      <c r="AM7087" s="498"/>
      <c r="AN7087" s="498"/>
      <c r="AO7087" s="498"/>
      <c r="AP7087" s="498"/>
      <c r="AQ7087" s="498"/>
      <c r="AR7087" s="498"/>
      <c r="AS7087" s="498"/>
      <c r="AT7087" s="498"/>
      <c r="AU7087" s="498"/>
      <c r="AV7087" s="498"/>
      <c r="AW7087" s="498"/>
      <c r="AX7087" s="498"/>
      <c r="AY7087" s="498"/>
      <c r="AZ7087" s="498"/>
      <c r="BA7087" s="498"/>
    </row>
    <row r="7088" spans="1:53" s="499" customFormat="1" x14ac:dyDescent="0.25">
      <c r="A7088" s="500"/>
      <c r="B7088" s="501"/>
      <c r="C7088" s="502"/>
      <c r="D7088" s="497"/>
      <c r="E7088" s="497"/>
      <c r="F7088" s="502"/>
      <c r="G7088" s="497"/>
      <c r="H7088" s="497"/>
      <c r="I7088" s="497"/>
      <c r="J7088" s="497"/>
      <c r="K7088" s="500"/>
      <c r="L7088" s="497"/>
      <c r="M7088"/>
      <c r="N7088" s="498"/>
      <c r="O7088" s="498"/>
      <c r="P7088" s="498"/>
      <c r="Q7088" s="498"/>
      <c r="R7088" s="498"/>
      <c r="T7088" s="498"/>
      <c r="U7088" s="498"/>
      <c r="V7088" s="498"/>
      <c r="W7088" s="498"/>
      <c r="X7088" s="498"/>
      <c r="Y7088" s="498"/>
      <c r="Z7088" s="498"/>
      <c r="AA7088" s="498"/>
      <c r="AB7088" s="498"/>
      <c r="AC7088" s="498"/>
      <c r="AD7088" s="498"/>
      <c r="AE7088" s="498"/>
      <c r="AF7088" s="498"/>
      <c r="AG7088" s="498"/>
      <c r="AH7088" s="498"/>
      <c r="AI7088" s="498"/>
      <c r="AK7088" s="498"/>
      <c r="AL7088" s="498"/>
      <c r="AM7088" s="498"/>
      <c r="AN7088" s="498"/>
      <c r="AO7088" s="498"/>
      <c r="AP7088" s="498"/>
      <c r="AQ7088" s="498"/>
      <c r="AR7088" s="498"/>
      <c r="AS7088" s="498"/>
      <c r="AT7088" s="498"/>
      <c r="AU7088" s="498"/>
      <c r="AV7088" s="498"/>
      <c r="AW7088" s="498"/>
      <c r="AX7088" s="498"/>
      <c r="AY7088" s="498"/>
      <c r="AZ7088" s="498"/>
      <c r="BA7088" s="498"/>
    </row>
    <row r="7089" spans="1:53" s="499" customFormat="1" x14ac:dyDescent="0.25">
      <c r="A7089" s="500"/>
      <c r="B7089" s="501"/>
      <c r="C7089" s="502"/>
      <c r="D7089" s="497"/>
      <c r="E7089" s="497"/>
      <c r="F7089" s="502"/>
      <c r="G7089" s="497"/>
      <c r="H7089" s="497"/>
      <c r="I7089" s="497"/>
      <c r="J7089" s="497"/>
      <c r="K7089" s="500"/>
      <c r="L7089" s="497"/>
      <c r="M7089"/>
      <c r="N7089" s="498"/>
      <c r="O7089" s="498"/>
      <c r="P7089" s="498"/>
      <c r="Q7089" s="498"/>
      <c r="R7089" s="498"/>
      <c r="T7089" s="498"/>
      <c r="U7089" s="498"/>
      <c r="V7089" s="498"/>
      <c r="W7089" s="498"/>
      <c r="X7089" s="498"/>
      <c r="Y7089" s="498"/>
      <c r="Z7089" s="498"/>
      <c r="AA7089" s="498"/>
      <c r="AB7089" s="498"/>
      <c r="AC7089" s="498"/>
      <c r="AD7089" s="498"/>
      <c r="AE7089" s="498"/>
      <c r="AF7089" s="498"/>
      <c r="AG7089" s="498"/>
      <c r="AH7089" s="498"/>
      <c r="AI7089" s="498"/>
      <c r="AK7089" s="498"/>
      <c r="AL7089" s="498"/>
      <c r="AM7089" s="498"/>
      <c r="AN7089" s="498"/>
      <c r="AO7089" s="498"/>
      <c r="AP7089" s="498"/>
      <c r="AQ7089" s="498"/>
      <c r="AR7089" s="498"/>
      <c r="AS7089" s="498"/>
      <c r="AT7089" s="498"/>
      <c r="AU7089" s="498"/>
      <c r="AV7089" s="498"/>
      <c r="AW7089" s="498"/>
      <c r="AX7089" s="498"/>
      <c r="AY7089" s="498"/>
      <c r="AZ7089" s="498"/>
      <c r="BA7089" s="498"/>
    </row>
    <row r="7090" spans="1:53" s="499" customFormat="1" x14ac:dyDescent="0.25">
      <c r="A7090" s="500"/>
      <c r="B7090" s="501"/>
      <c r="C7090" s="502"/>
      <c r="D7090" s="497"/>
      <c r="E7090" s="497"/>
      <c r="F7090" s="502"/>
      <c r="G7090" s="497"/>
      <c r="H7090" s="497"/>
      <c r="I7090" s="497"/>
      <c r="J7090" s="497"/>
      <c r="K7090" s="500"/>
      <c r="L7090" s="497"/>
      <c r="M7090"/>
      <c r="N7090" s="498"/>
      <c r="O7090" s="498"/>
      <c r="P7090" s="498"/>
      <c r="Q7090" s="498"/>
      <c r="R7090" s="498"/>
      <c r="T7090" s="498"/>
      <c r="U7090" s="498"/>
      <c r="V7090" s="498"/>
      <c r="W7090" s="498"/>
      <c r="X7090" s="498"/>
      <c r="Y7090" s="498"/>
      <c r="Z7090" s="498"/>
      <c r="AA7090" s="498"/>
      <c r="AB7090" s="498"/>
      <c r="AC7090" s="498"/>
      <c r="AD7090" s="498"/>
      <c r="AE7090" s="498"/>
      <c r="AF7090" s="498"/>
      <c r="AG7090" s="498"/>
      <c r="AH7090" s="498"/>
      <c r="AI7090" s="498"/>
      <c r="AK7090" s="498"/>
      <c r="AL7090" s="498"/>
      <c r="AM7090" s="498"/>
      <c r="AN7090" s="498"/>
      <c r="AO7090" s="498"/>
      <c r="AP7090" s="498"/>
      <c r="AQ7090" s="498"/>
      <c r="AR7090" s="498"/>
      <c r="AS7090" s="498"/>
      <c r="AT7090" s="498"/>
      <c r="AU7090" s="498"/>
      <c r="AV7090" s="498"/>
      <c r="AW7090" s="498"/>
      <c r="AX7090" s="498"/>
      <c r="AY7090" s="498"/>
      <c r="AZ7090" s="498"/>
      <c r="BA7090" s="498"/>
    </row>
    <row r="7091" spans="1:53" s="499" customFormat="1" x14ac:dyDescent="0.25">
      <c r="A7091" s="500"/>
      <c r="B7091" s="501"/>
      <c r="C7091" s="502"/>
      <c r="D7091" s="497"/>
      <c r="E7091" s="497"/>
      <c r="F7091" s="502"/>
      <c r="G7091" s="497"/>
      <c r="H7091" s="497"/>
      <c r="I7091" s="497"/>
      <c r="J7091" s="497"/>
      <c r="K7091" s="500"/>
      <c r="L7091" s="497"/>
      <c r="M7091"/>
      <c r="N7091" s="498"/>
      <c r="O7091" s="498"/>
      <c r="P7091" s="498"/>
      <c r="Q7091" s="498"/>
      <c r="R7091" s="498"/>
      <c r="T7091" s="498"/>
      <c r="U7091" s="498"/>
      <c r="V7091" s="498"/>
      <c r="W7091" s="498"/>
      <c r="X7091" s="498"/>
      <c r="Y7091" s="498"/>
      <c r="Z7091" s="498"/>
      <c r="AA7091" s="498"/>
      <c r="AB7091" s="498"/>
      <c r="AC7091" s="498"/>
      <c r="AD7091" s="498"/>
      <c r="AE7091" s="498"/>
      <c r="AF7091" s="498"/>
      <c r="AG7091" s="498"/>
      <c r="AH7091" s="498"/>
      <c r="AI7091" s="498"/>
      <c r="AK7091" s="498"/>
      <c r="AL7091" s="498"/>
      <c r="AM7091" s="498"/>
      <c r="AN7091" s="498"/>
      <c r="AO7091" s="498"/>
      <c r="AP7091" s="498"/>
      <c r="AQ7091" s="498"/>
      <c r="AR7091" s="498"/>
      <c r="AS7091" s="498"/>
      <c r="AT7091" s="498"/>
      <c r="AU7091" s="498"/>
      <c r="AV7091" s="498"/>
      <c r="AW7091" s="498"/>
      <c r="AX7091" s="498"/>
      <c r="AY7091" s="498"/>
      <c r="AZ7091" s="498"/>
      <c r="BA7091" s="498"/>
    </row>
    <row r="7092" spans="1:53" s="499" customFormat="1" x14ac:dyDescent="0.25">
      <c r="A7092" s="500"/>
      <c r="B7092" s="501"/>
      <c r="C7092" s="502"/>
      <c r="D7092" s="497"/>
      <c r="E7092" s="497"/>
      <c r="F7092" s="502"/>
      <c r="G7092" s="497"/>
      <c r="H7092" s="497"/>
      <c r="I7092" s="497"/>
      <c r="J7092" s="497"/>
      <c r="K7092" s="500"/>
      <c r="L7092" s="497"/>
      <c r="M7092"/>
      <c r="N7092" s="498"/>
      <c r="O7092" s="498"/>
      <c r="P7092" s="498"/>
      <c r="Q7092" s="498"/>
      <c r="R7092" s="498"/>
      <c r="T7092" s="498"/>
      <c r="U7092" s="498"/>
      <c r="V7092" s="498"/>
      <c r="W7092" s="498"/>
      <c r="X7092" s="498"/>
      <c r="Y7092" s="498"/>
      <c r="Z7092" s="498"/>
      <c r="AA7092" s="498"/>
      <c r="AB7092" s="498"/>
      <c r="AC7092" s="498"/>
      <c r="AD7092" s="498"/>
      <c r="AE7092" s="498"/>
      <c r="AF7092" s="498"/>
      <c r="AG7092" s="498"/>
      <c r="AH7092" s="498"/>
      <c r="AI7092" s="498"/>
      <c r="AK7092" s="498"/>
      <c r="AL7092" s="498"/>
      <c r="AM7092" s="498"/>
      <c r="AN7092" s="498"/>
      <c r="AO7092" s="498"/>
      <c r="AP7092" s="498"/>
      <c r="AQ7092" s="498"/>
      <c r="AR7092" s="498"/>
      <c r="AS7092" s="498"/>
      <c r="AT7092" s="498"/>
      <c r="AU7092" s="498"/>
      <c r="AV7092" s="498"/>
      <c r="AW7092" s="498"/>
      <c r="AX7092" s="498"/>
      <c r="AY7092" s="498"/>
      <c r="AZ7092" s="498"/>
      <c r="BA7092" s="498"/>
    </row>
    <row r="7093" spans="1:53" s="499" customFormat="1" x14ac:dyDescent="0.25">
      <c r="A7093" s="500"/>
      <c r="B7093" s="501"/>
      <c r="C7093" s="502"/>
      <c r="D7093" s="497"/>
      <c r="E7093" s="497"/>
      <c r="F7093" s="502"/>
      <c r="G7093" s="497"/>
      <c r="H7093" s="497"/>
      <c r="I7093" s="497"/>
      <c r="J7093" s="497"/>
      <c r="K7093" s="500"/>
      <c r="L7093" s="497"/>
      <c r="M7093"/>
      <c r="N7093" s="498"/>
      <c r="O7093" s="498"/>
      <c r="P7093" s="498"/>
      <c r="Q7093" s="498"/>
      <c r="R7093" s="498"/>
      <c r="T7093" s="498"/>
      <c r="U7093" s="498"/>
      <c r="V7093" s="498"/>
      <c r="W7093" s="498"/>
      <c r="X7093" s="498"/>
      <c r="Y7093" s="498"/>
      <c r="Z7093" s="498"/>
      <c r="AA7093" s="498"/>
      <c r="AB7093" s="498"/>
      <c r="AC7093" s="498"/>
      <c r="AD7093" s="498"/>
      <c r="AE7093" s="498"/>
      <c r="AF7093" s="498"/>
      <c r="AG7093" s="498"/>
      <c r="AH7093" s="498"/>
      <c r="AI7093" s="498"/>
      <c r="AK7093" s="498"/>
      <c r="AL7093" s="498"/>
      <c r="AM7093" s="498"/>
      <c r="AN7093" s="498"/>
      <c r="AO7093" s="498"/>
      <c r="AP7093" s="498"/>
      <c r="AQ7093" s="498"/>
      <c r="AR7093" s="498"/>
      <c r="AS7093" s="498"/>
      <c r="AT7093" s="498"/>
      <c r="AU7093" s="498"/>
      <c r="AV7093" s="498"/>
      <c r="AW7093" s="498"/>
      <c r="AX7093" s="498"/>
      <c r="AY7093" s="498"/>
      <c r="AZ7093" s="498"/>
      <c r="BA7093" s="498"/>
    </row>
    <row r="7094" spans="1:53" s="499" customFormat="1" x14ac:dyDescent="0.25">
      <c r="A7094" s="500"/>
      <c r="B7094" s="501"/>
      <c r="C7094" s="502"/>
      <c r="D7094" s="497"/>
      <c r="E7094" s="497"/>
      <c r="F7094" s="502"/>
      <c r="G7094" s="497"/>
      <c r="H7094" s="497"/>
      <c r="I7094" s="497"/>
      <c r="J7094" s="497"/>
      <c r="K7094" s="500"/>
      <c r="L7094" s="497"/>
      <c r="M7094"/>
      <c r="N7094" s="498"/>
      <c r="O7094" s="498"/>
      <c r="P7094" s="498"/>
      <c r="Q7094" s="498"/>
      <c r="R7094" s="498"/>
      <c r="T7094" s="498"/>
      <c r="U7094" s="498"/>
      <c r="V7094" s="498"/>
      <c r="W7094" s="498"/>
      <c r="X7094" s="498"/>
      <c r="Y7094" s="498"/>
      <c r="Z7094" s="498"/>
      <c r="AA7094" s="498"/>
      <c r="AB7094" s="498"/>
      <c r="AC7094" s="498"/>
      <c r="AD7094" s="498"/>
      <c r="AE7094" s="498"/>
      <c r="AF7094" s="498"/>
      <c r="AG7094" s="498"/>
      <c r="AH7094" s="498"/>
      <c r="AI7094" s="498"/>
      <c r="AK7094" s="498"/>
      <c r="AL7094" s="498"/>
      <c r="AM7094" s="498"/>
      <c r="AN7094" s="498"/>
      <c r="AO7094" s="498"/>
      <c r="AP7094" s="498"/>
      <c r="AQ7094" s="498"/>
      <c r="AR7094" s="498"/>
      <c r="AS7094" s="498"/>
      <c r="AT7094" s="498"/>
      <c r="AU7094" s="498"/>
      <c r="AV7094" s="498"/>
      <c r="AW7094" s="498"/>
      <c r="AX7094" s="498"/>
      <c r="AY7094" s="498"/>
      <c r="AZ7094" s="498"/>
      <c r="BA7094" s="498"/>
    </row>
    <row r="7095" spans="1:53" s="499" customFormat="1" x14ac:dyDescent="0.25">
      <c r="A7095" s="500"/>
      <c r="B7095" s="501"/>
      <c r="C7095" s="502"/>
      <c r="D7095" s="497"/>
      <c r="E7095" s="497"/>
      <c r="F7095" s="502"/>
      <c r="G7095" s="497"/>
      <c r="H7095" s="497"/>
      <c r="I7095" s="497"/>
      <c r="J7095" s="497"/>
      <c r="K7095" s="500"/>
      <c r="L7095" s="497"/>
      <c r="M7095"/>
      <c r="N7095" s="498"/>
      <c r="O7095" s="498"/>
      <c r="P7095" s="498"/>
      <c r="Q7095" s="498"/>
      <c r="R7095" s="498"/>
      <c r="T7095" s="498"/>
      <c r="U7095" s="498"/>
      <c r="V7095" s="498"/>
      <c r="W7095" s="498"/>
      <c r="X7095" s="498"/>
      <c r="Y7095" s="498"/>
      <c r="Z7095" s="498"/>
      <c r="AA7095" s="498"/>
      <c r="AB7095" s="498"/>
      <c r="AC7095" s="498"/>
      <c r="AD7095" s="498"/>
      <c r="AE7095" s="498"/>
      <c r="AF7095" s="498"/>
      <c r="AG7095" s="498"/>
      <c r="AH7095" s="498"/>
      <c r="AI7095" s="498"/>
      <c r="AK7095" s="498"/>
      <c r="AL7095" s="498"/>
      <c r="AM7095" s="498"/>
      <c r="AN7095" s="498"/>
      <c r="AO7095" s="498"/>
      <c r="AP7095" s="498"/>
      <c r="AQ7095" s="498"/>
      <c r="AR7095" s="498"/>
      <c r="AS7095" s="498"/>
      <c r="AT7095" s="498"/>
      <c r="AU7095" s="498"/>
      <c r="AV7095" s="498"/>
      <c r="AW7095" s="498"/>
      <c r="AX7095" s="498"/>
      <c r="AY7095" s="498"/>
      <c r="AZ7095" s="498"/>
      <c r="BA7095" s="498"/>
    </row>
    <row r="7096" spans="1:53" s="499" customFormat="1" x14ac:dyDescent="0.25">
      <c r="A7096" s="500"/>
      <c r="B7096" s="501"/>
      <c r="C7096" s="502"/>
      <c r="D7096" s="497"/>
      <c r="E7096" s="497"/>
      <c r="F7096" s="502"/>
      <c r="G7096" s="497"/>
      <c r="H7096" s="497"/>
      <c r="I7096" s="497"/>
      <c r="J7096" s="497"/>
      <c r="K7096" s="500"/>
      <c r="L7096" s="497"/>
      <c r="M7096"/>
      <c r="N7096" s="498"/>
      <c r="O7096" s="498"/>
      <c r="P7096" s="498"/>
      <c r="Q7096" s="498"/>
      <c r="R7096" s="498"/>
      <c r="T7096" s="498"/>
      <c r="U7096" s="498"/>
      <c r="V7096" s="498"/>
      <c r="W7096" s="498"/>
      <c r="X7096" s="498"/>
      <c r="Y7096" s="498"/>
      <c r="Z7096" s="498"/>
      <c r="AA7096" s="498"/>
      <c r="AB7096" s="498"/>
      <c r="AC7096" s="498"/>
      <c r="AD7096" s="498"/>
      <c r="AE7096" s="498"/>
      <c r="AF7096" s="498"/>
      <c r="AG7096" s="498"/>
      <c r="AH7096" s="498"/>
      <c r="AI7096" s="498"/>
      <c r="AK7096" s="498"/>
      <c r="AL7096" s="498"/>
      <c r="AM7096" s="498"/>
      <c r="AN7096" s="498"/>
      <c r="AO7096" s="498"/>
      <c r="AP7096" s="498"/>
      <c r="AQ7096" s="498"/>
      <c r="AR7096" s="498"/>
      <c r="AS7096" s="498"/>
      <c r="AT7096" s="498"/>
      <c r="AU7096" s="498"/>
      <c r="AV7096" s="498"/>
      <c r="AW7096" s="498"/>
      <c r="AX7096" s="498"/>
      <c r="AY7096" s="498"/>
      <c r="AZ7096" s="498"/>
      <c r="BA7096" s="498"/>
    </row>
    <row r="7097" spans="1:53" s="499" customFormat="1" x14ac:dyDescent="0.25">
      <c r="A7097" s="500"/>
      <c r="B7097" s="501"/>
      <c r="C7097" s="502"/>
      <c r="D7097" s="497"/>
      <c r="E7097" s="497"/>
      <c r="F7097" s="502"/>
      <c r="G7097" s="497"/>
      <c r="H7097" s="497"/>
      <c r="I7097" s="497"/>
      <c r="J7097" s="497"/>
      <c r="K7097" s="500"/>
      <c r="L7097" s="497"/>
      <c r="M7097"/>
      <c r="N7097" s="498"/>
      <c r="O7097" s="498"/>
      <c r="P7097" s="498"/>
      <c r="Q7097" s="498"/>
      <c r="R7097" s="498"/>
      <c r="T7097" s="498"/>
      <c r="U7097" s="498"/>
      <c r="V7097" s="498"/>
      <c r="W7097" s="498"/>
      <c r="X7097" s="498"/>
      <c r="Y7097" s="498"/>
      <c r="Z7097" s="498"/>
      <c r="AA7097" s="498"/>
      <c r="AB7097" s="498"/>
      <c r="AC7097" s="498"/>
      <c r="AD7097" s="498"/>
      <c r="AE7097" s="498"/>
      <c r="AF7097" s="498"/>
      <c r="AG7097" s="498"/>
      <c r="AH7097" s="498"/>
      <c r="AI7097" s="498"/>
      <c r="AK7097" s="498"/>
      <c r="AL7097" s="498"/>
      <c r="AM7097" s="498"/>
      <c r="AN7097" s="498"/>
      <c r="AO7097" s="498"/>
      <c r="AP7097" s="498"/>
      <c r="AQ7097" s="498"/>
      <c r="AR7097" s="498"/>
      <c r="AS7097" s="498"/>
      <c r="AT7097" s="498"/>
      <c r="AU7097" s="498"/>
      <c r="AV7097" s="498"/>
      <c r="AW7097" s="498"/>
      <c r="AX7097" s="498"/>
      <c r="AY7097" s="498"/>
      <c r="AZ7097" s="498"/>
      <c r="BA7097" s="498"/>
    </row>
    <row r="7098" spans="1:53" s="499" customFormat="1" x14ac:dyDescent="0.25">
      <c r="A7098" s="500"/>
      <c r="B7098" s="501"/>
      <c r="C7098" s="502"/>
      <c r="D7098" s="497"/>
      <c r="E7098" s="497"/>
      <c r="F7098" s="502"/>
      <c r="G7098" s="497"/>
      <c r="H7098" s="497"/>
      <c r="I7098" s="497"/>
      <c r="J7098" s="497"/>
      <c r="K7098" s="500"/>
      <c r="L7098" s="497"/>
      <c r="M7098"/>
      <c r="N7098" s="498"/>
      <c r="O7098" s="498"/>
      <c r="P7098" s="498"/>
      <c r="Q7098" s="498"/>
      <c r="R7098" s="498"/>
      <c r="T7098" s="498"/>
      <c r="U7098" s="498"/>
      <c r="V7098" s="498"/>
      <c r="W7098" s="498"/>
      <c r="X7098" s="498"/>
      <c r="Y7098" s="498"/>
      <c r="Z7098" s="498"/>
      <c r="AA7098" s="498"/>
      <c r="AB7098" s="498"/>
      <c r="AC7098" s="498"/>
      <c r="AD7098" s="498"/>
      <c r="AE7098" s="498"/>
      <c r="AF7098" s="498"/>
      <c r="AG7098" s="498"/>
      <c r="AH7098" s="498"/>
      <c r="AI7098" s="498"/>
      <c r="AK7098" s="498"/>
      <c r="AL7098" s="498"/>
      <c r="AM7098" s="498"/>
      <c r="AN7098" s="498"/>
      <c r="AO7098" s="498"/>
      <c r="AP7098" s="498"/>
      <c r="AQ7098" s="498"/>
      <c r="AR7098" s="498"/>
      <c r="AS7098" s="498"/>
      <c r="AT7098" s="498"/>
      <c r="AU7098" s="498"/>
      <c r="AV7098" s="498"/>
      <c r="AW7098" s="498"/>
      <c r="AX7098" s="498"/>
      <c r="AY7098" s="498"/>
      <c r="AZ7098" s="498"/>
      <c r="BA7098" s="498"/>
    </row>
    <row r="7099" spans="1:53" s="499" customFormat="1" x14ac:dyDescent="0.25">
      <c r="A7099" s="500"/>
      <c r="B7099" s="501"/>
      <c r="C7099" s="502"/>
      <c r="D7099" s="497"/>
      <c r="E7099" s="497"/>
      <c r="F7099" s="502"/>
      <c r="G7099" s="497"/>
      <c r="H7099" s="497"/>
      <c r="I7099" s="497"/>
      <c r="J7099" s="497"/>
      <c r="K7099" s="500"/>
      <c r="L7099" s="497"/>
      <c r="M7099"/>
      <c r="N7099" s="498"/>
      <c r="O7099" s="498"/>
      <c r="P7099" s="498"/>
      <c r="Q7099" s="498"/>
      <c r="R7099" s="498"/>
      <c r="T7099" s="498"/>
      <c r="U7099" s="498"/>
      <c r="V7099" s="498"/>
      <c r="W7099" s="498"/>
      <c r="X7099" s="498"/>
      <c r="Y7099" s="498"/>
      <c r="Z7099" s="498"/>
      <c r="AA7099" s="498"/>
      <c r="AB7099" s="498"/>
      <c r="AC7099" s="498"/>
      <c r="AD7099" s="498"/>
      <c r="AE7099" s="498"/>
      <c r="AF7099" s="498"/>
      <c r="AG7099" s="498"/>
      <c r="AH7099" s="498"/>
      <c r="AI7099" s="498"/>
      <c r="AK7099" s="498"/>
      <c r="AL7099" s="498"/>
      <c r="AM7099" s="498"/>
      <c r="AN7099" s="498"/>
      <c r="AO7099" s="498"/>
      <c r="AP7099" s="498"/>
      <c r="AQ7099" s="498"/>
      <c r="AR7099" s="498"/>
      <c r="AS7099" s="498"/>
      <c r="AT7099" s="498"/>
      <c r="AU7099" s="498"/>
      <c r="AV7099" s="498"/>
      <c r="AW7099" s="498"/>
      <c r="AX7099" s="498"/>
      <c r="AY7099" s="498"/>
      <c r="AZ7099" s="498"/>
      <c r="BA7099" s="498"/>
    </row>
    <row r="7100" spans="1:53" s="499" customFormat="1" x14ac:dyDescent="0.25">
      <c r="A7100" s="500"/>
      <c r="B7100" s="501"/>
      <c r="C7100" s="502"/>
      <c r="D7100" s="497"/>
      <c r="E7100" s="497"/>
      <c r="F7100" s="502"/>
      <c r="G7100" s="497"/>
      <c r="H7100" s="497"/>
      <c r="I7100" s="497"/>
      <c r="J7100" s="497"/>
      <c r="K7100" s="500"/>
      <c r="L7100" s="497"/>
      <c r="M7100"/>
      <c r="N7100" s="498"/>
      <c r="O7100" s="498"/>
      <c r="P7100" s="498"/>
      <c r="Q7100" s="498"/>
      <c r="R7100" s="498"/>
      <c r="T7100" s="498"/>
      <c r="U7100" s="498"/>
      <c r="V7100" s="498"/>
      <c r="W7100" s="498"/>
      <c r="X7100" s="498"/>
      <c r="Y7100" s="498"/>
      <c r="Z7100" s="498"/>
      <c r="AA7100" s="498"/>
      <c r="AB7100" s="498"/>
      <c r="AC7100" s="498"/>
      <c r="AD7100" s="498"/>
      <c r="AE7100" s="498"/>
      <c r="AF7100" s="498"/>
      <c r="AG7100" s="498"/>
      <c r="AH7100" s="498"/>
      <c r="AI7100" s="498"/>
      <c r="AK7100" s="498"/>
      <c r="AL7100" s="498"/>
      <c r="AM7100" s="498"/>
      <c r="AN7100" s="498"/>
      <c r="AO7100" s="498"/>
      <c r="AP7100" s="498"/>
      <c r="AQ7100" s="498"/>
      <c r="AR7100" s="498"/>
      <c r="AS7100" s="498"/>
      <c r="AT7100" s="498"/>
      <c r="AU7100" s="498"/>
      <c r="AV7100" s="498"/>
      <c r="AW7100" s="498"/>
      <c r="AX7100" s="498"/>
      <c r="AY7100" s="498"/>
      <c r="AZ7100" s="498"/>
      <c r="BA7100" s="498"/>
    </row>
    <row r="7101" spans="1:53" s="499" customFormat="1" x14ac:dyDescent="0.25">
      <c r="A7101" s="500"/>
      <c r="B7101" s="501"/>
      <c r="C7101" s="502"/>
      <c r="D7101" s="497"/>
      <c r="E7101" s="497"/>
      <c r="F7101" s="502"/>
      <c r="G7101" s="497"/>
      <c r="H7101" s="497"/>
      <c r="I7101" s="497"/>
      <c r="J7101" s="497"/>
      <c r="K7101" s="500"/>
      <c r="L7101" s="497"/>
      <c r="M7101"/>
      <c r="N7101" s="498"/>
      <c r="O7101" s="498"/>
      <c r="P7101" s="498"/>
      <c r="Q7101" s="498"/>
      <c r="R7101" s="498"/>
      <c r="T7101" s="498"/>
      <c r="U7101" s="498"/>
      <c r="V7101" s="498"/>
      <c r="W7101" s="498"/>
      <c r="X7101" s="498"/>
      <c r="Y7101" s="498"/>
      <c r="Z7101" s="498"/>
      <c r="AA7101" s="498"/>
      <c r="AB7101" s="498"/>
      <c r="AC7101" s="498"/>
      <c r="AD7101" s="498"/>
      <c r="AE7101" s="498"/>
      <c r="AF7101" s="498"/>
      <c r="AG7101" s="498"/>
      <c r="AH7101" s="498"/>
      <c r="AI7101" s="498"/>
      <c r="AK7101" s="498"/>
      <c r="AL7101" s="498"/>
      <c r="AM7101" s="498"/>
      <c r="AN7101" s="498"/>
      <c r="AO7101" s="498"/>
      <c r="AP7101" s="498"/>
      <c r="AQ7101" s="498"/>
      <c r="AR7101" s="498"/>
      <c r="AS7101" s="498"/>
      <c r="AT7101" s="498"/>
      <c r="AU7101" s="498"/>
      <c r="AV7101" s="498"/>
      <c r="AW7101" s="498"/>
      <c r="AX7101" s="498"/>
      <c r="AY7101" s="498"/>
      <c r="AZ7101" s="498"/>
      <c r="BA7101" s="498"/>
    </row>
    <row r="7102" spans="1:53" s="499" customFormat="1" x14ac:dyDescent="0.25">
      <c r="A7102" s="500"/>
      <c r="B7102" s="501"/>
      <c r="C7102" s="502"/>
      <c r="D7102" s="497"/>
      <c r="E7102" s="497"/>
      <c r="F7102" s="502"/>
      <c r="G7102" s="497"/>
      <c r="H7102" s="497"/>
      <c r="I7102" s="497"/>
      <c r="J7102" s="497"/>
      <c r="K7102" s="500"/>
      <c r="L7102" s="497"/>
      <c r="M7102"/>
      <c r="N7102" s="498"/>
      <c r="O7102" s="498"/>
      <c r="P7102" s="498"/>
      <c r="Q7102" s="498"/>
      <c r="R7102" s="498"/>
      <c r="T7102" s="498"/>
      <c r="U7102" s="498"/>
      <c r="V7102" s="498"/>
      <c r="W7102" s="498"/>
      <c r="X7102" s="498"/>
      <c r="Y7102" s="498"/>
      <c r="Z7102" s="498"/>
      <c r="AA7102" s="498"/>
      <c r="AB7102" s="498"/>
      <c r="AC7102" s="498"/>
      <c r="AD7102" s="498"/>
      <c r="AE7102" s="498"/>
      <c r="AF7102" s="498"/>
      <c r="AG7102" s="498"/>
      <c r="AH7102" s="498"/>
      <c r="AI7102" s="498"/>
      <c r="AK7102" s="498"/>
      <c r="AL7102" s="498"/>
      <c r="AM7102" s="498"/>
      <c r="AN7102" s="498"/>
      <c r="AO7102" s="498"/>
      <c r="AP7102" s="498"/>
      <c r="AQ7102" s="498"/>
      <c r="AR7102" s="498"/>
      <c r="AS7102" s="498"/>
      <c r="AT7102" s="498"/>
      <c r="AU7102" s="498"/>
      <c r="AV7102" s="498"/>
      <c r="AW7102" s="498"/>
      <c r="AX7102" s="498"/>
      <c r="AY7102" s="498"/>
      <c r="AZ7102" s="498"/>
      <c r="BA7102" s="498"/>
    </row>
    <row r="7103" spans="1:53" s="499" customFormat="1" x14ac:dyDescent="0.25">
      <c r="A7103" s="500"/>
      <c r="B7103" s="501"/>
      <c r="C7103" s="502"/>
      <c r="D7103" s="497"/>
      <c r="E7103" s="497"/>
      <c r="F7103" s="502"/>
      <c r="G7103" s="497"/>
      <c r="H7103" s="497"/>
      <c r="I7103" s="497"/>
      <c r="J7103" s="497"/>
      <c r="K7103" s="500"/>
      <c r="L7103" s="497"/>
      <c r="M7103"/>
      <c r="N7103" s="498"/>
      <c r="O7103" s="498"/>
      <c r="P7103" s="498"/>
      <c r="Q7103" s="498"/>
      <c r="R7103" s="498"/>
      <c r="T7103" s="498"/>
      <c r="U7103" s="498"/>
      <c r="V7103" s="498"/>
      <c r="W7103" s="498"/>
      <c r="X7103" s="498"/>
      <c r="Y7103" s="498"/>
      <c r="Z7103" s="498"/>
      <c r="AA7103" s="498"/>
      <c r="AB7103" s="498"/>
      <c r="AC7103" s="498"/>
      <c r="AD7103" s="498"/>
      <c r="AE7103" s="498"/>
      <c r="AF7103" s="498"/>
      <c r="AG7103" s="498"/>
      <c r="AH7103" s="498"/>
      <c r="AI7103" s="498"/>
      <c r="AK7103" s="498"/>
      <c r="AL7103" s="498"/>
      <c r="AM7103" s="498"/>
      <c r="AN7103" s="498"/>
      <c r="AO7103" s="498"/>
      <c r="AP7103" s="498"/>
      <c r="AQ7103" s="498"/>
      <c r="AR7103" s="498"/>
      <c r="AS7103" s="498"/>
      <c r="AT7103" s="498"/>
      <c r="AU7103" s="498"/>
      <c r="AV7103" s="498"/>
      <c r="AW7103" s="498"/>
      <c r="AX7103" s="498"/>
      <c r="AY7103" s="498"/>
      <c r="AZ7103" s="498"/>
      <c r="BA7103" s="498"/>
    </row>
    <row r="7104" spans="1:53" s="499" customFormat="1" x14ac:dyDescent="0.25">
      <c r="A7104" s="500"/>
      <c r="B7104" s="501"/>
      <c r="C7104" s="502"/>
      <c r="D7104" s="497"/>
      <c r="E7104" s="497"/>
      <c r="F7104" s="502"/>
      <c r="G7104" s="497"/>
      <c r="H7104" s="497"/>
      <c r="I7104" s="497"/>
      <c r="J7104" s="497"/>
      <c r="K7104" s="500"/>
      <c r="L7104" s="497"/>
      <c r="M7104"/>
      <c r="N7104" s="498"/>
      <c r="O7104" s="498"/>
      <c r="P7104" s="498"/>
      <c r="Q7104" s="498"/>
      <c r="R7104" s="498"/>
      <c r="T7104" s="498"/>
      <c r="U7104" s="498"/>
      <c r="V7104" s="498"/>
      <c r="W7104" s="498"/>
      <c r="X7104" s="498"/>
      <c r="Y7104" s="498"/>
      <c r="Z7104" s="498"/>
      <c r="AA7104" s="498"/>
      <c r="AB7104" s="498"/>
      <c r="AC7104" s="498"/>
      <c r="AD7104" s="498"/>
      <c r="AE7104" s="498"/>
      <c r="AF7104" s="498"/>
      <c r="AG7104" s="498"/>
      <c r="AH7104" s="498"/>
      <c r="AI7104" s="498"/>
      <c r="AK7104" s="498"/>
      <c r="AL7104" s="498"/>
      <c r="AM7104" s="498"/>
      <c r="AN7104" s="498"/>
      <c r="AO7104" s="498"/>
      <c r="AP7104" s="498"/>
      <c r="AQ7104" s="498"/>
      <c r="AR7104" s="498"/>
      <c r="AS7104" s="498"/>
      <c r="AT7104" s="498"/>
      <c r="AU7104" s="498"/>
      <c r="AV7104" s="498"/>
      <c r="AW7104" s="498"/>
      <c r="AX7104" s="498"/>
      <c r="AY7104" s="498"/>
      <c r="AZ7104" s="498"/>
      <c r="BA7104" s="498"/>
    </row>
    <row r="7105" spans="1:53" s="499" customFormat="1" x14ac:dyDescent="0.25">
      <c r="A7105" s="500"/>
      <c r="B7105" s="501"/>
      <c r="C7105" s="502"/>
      <c r="D7105" s="497"/>
      <c r="E7105" s="497"/>
      <c r="F7105" s="502"/>
      <c r="G7105" s="497"/>
      <c r="H7105" s="497"/>
      <c r="I7105" s="497"/>
      <c r="J7105" s="497"/>
      <c r="K7105" s="500"/>
      <c r="L7105" s="497"/>
      <c r="M7105"/>
      <c r="N7105" s="498"/>
      <c r="O7105" s="498"/>
      <c r="P7105" s="498"/>
      <c r="Q7105" s="498"/>
      <c r="R7105" s="498"/>
      <c r="T7105" s="498"/>
      <c r="U7105" s="498"/>
      <c r="V7105" s="498"/>
      <c r="W7105" s="498"/>
      <c r="X7105" s="498"/>
      <c r="Y7105" s="498"/>
      <c r="Z7105" s="498"/>
      <c r="AA7105" s="498"/>
      <c r="AB7105" s="498"/>
      <c r="AC7105" s="498"/>
      <c r="AD7105" s="498"/>
      <c r="AE7105" s="498"/>
      <c r="AF7105" s="498"/>
      <c r="AG7105" s="498"/>
      <c r="AH7105" s="498"/>
      <c r="AI7105" s="498"/>
      <c r="AK7105" s="498"/>
      <c r="AL7105" s="498"/>
      <c r="AM7105" s="498"/>
      <c r="AN7105" s="498"/>
      <c r="AO7105" s="498"/>
      <c r="AP7105" s="498"/>
      <c r="AQ7105" s="498"/>
      <c r="AR7105" s="498"/>
      <c r="AS7105" s="498"/>
      <c r="AT7105" s="498"/>
      <c r="AU7105" s="498"/>
      <c r="AV7105" s="498"/>
      <c r="AW7105" s="498"/>
      <c r="AX7105" s="498"/>
      <c r="AY7105" s="498"/>
      <c r="AZ7105" s="498"/>
      <c r="BA7105" s="498"/>
    </row>
    <row r="7106" spans="1:53" s="499" customFormat="1" x14ac:dyDescent="0.25">
      <c r="A7106" s="500"/>
      <c r="B7106" s="501"/>
      <c r="C7106" s="502"/>
      <c r="D7106" s="497"/>
      <c r="E7106" s="497"/>
      <c r="F7106" s="502"/>
      <c r="G7106" s="497"/>
      <c r="H7106" s="497"/>
      <c r="I7106" s="497"/>
      <c r="J7106" s="497"/>
      <c r="K7106" s="500"/>
      <c r="L7106" s="497"/>
      <c r="M7106"/>
      <c r="N7106" s="498"/>
      <c r="O7106" s="498"/>
      <c r="P7106" s="498"/>
      <c r="Q7106" s="498"/>
      <c r="R7106" s="498"/>
      <c r="T7106" s="498"/>
      <c r="U7106" s="498"/>
      <c r="V7106" s="498"/>
      <c r="W7106" s="498"/>
      <c r="X7106" s="498"/>
      <c r="Y7106" s="498"/>
      <c r="Z7106" s="498"/>
      <c r="AA7106" s="498"/>
      <c r="AB7106" s="498"/>
      <c r="AC7106" s="498"/>
      <c r="AD7106" s="498"/>
      <c r="AE7106" s="498"/>
      <c r="AF7106" s="498"/>
      <c r="AG7106" s="498"/>
      <c r="AH7106" s="498"/>
      <c r="AI7106" s="498"/>
      <c r="AK7106" s="498"/>
      <c r="AL7106" s="498"/>
      <c r="AM7106" s="498"/>
      <c r="AN7106" s="498"/>
      <c r="AO7106" s="498"/>
      <c r="AP7106" s="498"/>
      <c r="AQ7106" s="498"/>
      <c r="AR7106" s="498"/>
      <c r="AS7106" s="498"/>
      <c r="AT7106" s="498"/>
      <c r="AU7106" s="498"/>
      <c r="AV7106" s="498"/>
      <c r="AW7106" s="498"/>
      <c r="AX7106" s="498"/>
      <c r="AY7106" s="498"/>
      <c r="AZ7106" s="498"/>
      <c r="BA7106" s="498"/>
    </row>
    <row r="7107" spans="1:53" s="499" customFormat="1" x14ac:dyDescent="0.25">
      <c r="A7107" s="500"/>
      <c r="B7107" s="501"/>
      <c r="C7107" s="502"/>
      <c r="D7107" s="497"/>
      <c r="E7107" s="497"/>
      <c r="F7107" s="502"/>
      <c r="G7107" s="497"/>
      <c r="H7107" s="497"/>
      <c r="I7107" s="497"/>
      <c r="J7107" s="497"/>
      <c r="K7107" s="500"/>
      <c r="L7107" s="497"/>
      <c r="M7107"/>
      <c r="N7107" s="498"/>
      <c r="O7107" s="498"/>
      <c r="P7107" s="498"/>
      <c r="Q7107" s="498"/>
      <c r="R7107" s="498"/>
      <c r="T7107" s="498"/>
      <c r="U7107" s="498"/>
      <c r="V7107" s="498"/>
      <c r="W7107" s="498"/>
      <c r="X7107" s="498"/>
      <c r="Y7107" s="498"/>
      <c r="Z7107" s="498"/>
      <c r="AA7107" s="498"/>
      <c r="AB7107" s="498"/>
      <c r="AC7107" s="498"/>
      <c r="AD7107" s="498"/>
      <c r="AE7107" s="498"/>
      <c r="AF7107" s="498"/>
      <c r="AG7107" s="498"/>
      <c r="AH7107" s="498"/>
      <c r="AI7107" s="498"/>
      <c r="AK7107" s="498"/>
      <c r="AL7107" s="498"/>
      <c r="AM7107" s="498"/>
      <c r="AN7107" s="498"/>
      <c r="AO7107" s="498"/>
      <c r="AP7107" s="498"/>
      <c r="AQ7107" s="498"/>
      <c r="AR7107" s="498"/>
      <c r="AS7107" s="498"/>
      <c r="AT7107" s="498"/>
      <c r="AU7107" s="498"/>
      <c r="AV7107" s="498"/>
      <c r="AW7107" s="498"/>
      <c r="AX7107" s="498"/>
      <c r="AY7107" s="498"/>
      <c r="AZ7107" s="498"/>
      <c r="BA7107" s="498"/>
    </row>
    <row r="7108" spans="1:53" s="499" customFormat="1" x14ac:dyDescent="0.25">
      <c r="A7108" s="500"/>
      <c r="B7108" s="501"/>
      <c r="C7108" s="502"/>
      <c r="D7108" s="497"/>
      <c r="E7108" s="497"/>
      <c r="F7108" s="502"/>
      <c r="G7108" s="497"/>
      <c r="H7108" s="497"/>
      <c r="I7108" s="497"/>
      <c r="J7108" s="497"/>
      <c r="K7108" s="500"/>
      <c r="L7108" s="497"/>
      <c r="M7108"/>
      <c r="N7108" s="498"/>
      <c r="O7108" s="498"/>
      <c r="P7108" s="498"/>
      <c r="Q7108" s="498"/>
      <c r="R7108" s="498"/>
      <c r="T7108" s="498"/>
      <c r="U7108" s="498"/>
      <c r="V7108" s="498"/>
      <c r="W7108" s="498"/>
      <c r="X7108" s="498"/>
      <c r="Y7108" s="498"/>
      <c r="Z7108" s="498"/>
      <c r="AA7108" s="498"/>
      <c r="AB7108" s="498"/>
      <c r="AC7108" s="498"/>
      <c r="AD7108" s="498"/>
      <c r="AE7108" s="498"/>
      <c r="AF7108" s="498"/>
      <c r="AG7108" s="498"/>
      <c r="AH7108" s="498"/>
      <c r="AI7108" s="498"/>
      <c r="AK7108" s="498"/>
      <c r="AL7108" s="498"/>
      <c r="AM7108" s="498"/>
      <c r="AN7108" s="498"/>
      <c r="AO7108" s="498"/>
      <c r="AP7108" s="498"/>
      <c r="AQ7108" s="498"/>
      <c r="AR7108" s="498"/>
      <c r="AS7108" s="498"/>
      <c r="AT7108" s="498"/>
      <c r="AU7108" s="498"/>
      <c r="AV7108" s="498"/>
      <c r="AW7108" s="498"/>
      <c r="AX7108" s="498"/>
      <c r="AY7108" s="498"/>
      <c r="AZ7108" s="498"/>
      <c r="BA7108" s="498"/>
    </row>
    <row r="7109" spans="1:53" s="499" customFormat="1" x14ac:dyDescent="0.25">
      <c r="A7109" s="500"/>
      <c r="B7109" s="501"/>
      <c r="C7109" s="502"/>
      <c r="D7109" s="497"/>
      <c r="E7109" s="497"/>
      <c r="F7109" s="502"/>
      <c r="G7109" s="497"/>
      <c r="H7109" s="497"/>
      <c r="I7109" s="497"/>
      <c r="J7109" s="497"/>
      <c r="K7109" s="500"/>
      <c r="L7109" s="497"/>
      <c r="M7109"/>
      <c r="N7109" s="498"/>
      <c r="O7109" s="498"/>
      <c r="P7109" s="498"/>
      <c r="Q7109" s="498"/>
      <c r="R7109" s="498"/>
      <c r="T7109" s="498"/>
      <c r="U7109" s="498"/>
      <c r="V7109" s="498"/>
      <c r="W7109" s="498"/>
      <c r="X7109" s="498"/>
      <c r="Y7109" s="498"/>
      <c r="Z7109" s="498"/>
      <c r="AA7109" s="498"/>
      <c r="AB7109" s="498"/>
      <c r="AC7109" s="498"/>
      <c r="AD7109" s="498"/>
      <c r="AE7109" s="498"/>
      <c r="AF7109" s="498"/>
      <c r="AG7109" s="498"/>
      <c r="AH7109" s="498"/>
      <c r="AI7109" s="498"/>
      <c r="AK7109" s="498"/>
      <c r="AL7109" s="498"/>
      <c r="AM7109" s="498"/>
      <c r="AN7109" s="498"/>
      <c r="AO7109" s="498"/>
      <c r="AP7109" s="498"/>
      <c r="AQ7109" s="498"/>
      <c r="AR7109" s="498"/>
      <c r="AS7109" s="498"/>
      <c r="AT7109" s="498"/>
      <c r="AU7109" s="498"/>
      <c r="AV7109" s="498"/>
      <c r="AW7109" s="498"/>
      <c r="AX7109" s="498"/>
      <c r="AY7109" s="498"/>
      <c r="AZ7109" s="498"/>
      <c r="BA7109" s="498"/>
    </row>
    <row r="7110" spans="1:53" s="499" customFormat="1" x14ac:dyDescent="0.25">
      <c r="A7110" s="500"/>
      <c r="B7110" s="501"/>
      <c r="C7110" s="502"/>
      <c r="D7110" s="497"/>
      <c r="E7110" s="497"/>
      <c r="F7110" s="502"/>
      <c r="G7110" s="497"/>
      <c r="H7110" s="497"/>
      <c r="I7110" s="497"/>
      <c r="J7110" s="497"/>
      <c r="K7110" s="500"/>
      <c r="L7110" s="497"/>
      <c r="M7110"/>
      <c r="N7110" s="498"/>
      <c r="O7110" s="498"/>
      <c r="P7110" s="498"/>
      <c r="Q7110" s="498"/>
      <c r="R7110" s="498"/>
      <c r="T7110" s="498"/>
      <c r="U7110" s="498"/>
      <c r="V7110" s="498"/>
      <c r="W7110" s="498"/>
      <c r="X7110" s="498"/>
      <c r="Y7110" s="498"/>
      <c r="Z7110" s="498"/>
      <c r="AA7110" s="498"/>
      <c r="AB7110" s="498"/>
      <c r="AC7110" s="498"/>
      <c r="AD7110" s="498"/>
      <c r="AE7110" s="498"/>
      <c r="AF7110" s="498"/>
      <c r="AG7110" s="498"/>
      <c r="AH7110" s="498"/>
      <c r="AI7110" s="498"/>
      <c r="AK7110" s="498"/>
      <c r="AL7110" s="498"/>
      <c r="AM7110" s="498"/>
      <c r="AN7110" s="498"/>
      <c r="AO7110" s="498"/>
      <c r="AP7110" s="498"/>
      <c r="AQ7110" s="498"/>
      <c r="AR7110" s="498"/>
      <c r="AS7110" s="498"/>
      <c r="AT7110" s="498"/>
      <c r="AU7110" s="498"/>
      <c r="AV7110" s="498"/>
      <c r="AW7110" s="498"/>
      <c r="AX7110" s="498"/>
      <c r="AY7110" s="498"/>
      <c r="AZ7110" s="498"/>
      <c r="BA7110" s="498"/>
    </row>
    <row r="7111" spans="1:53" s="499" customFormat="1" x14ac:dyDescent="0.25">
      <c r="A7111" s="500"/>
      <c r="B7111" s="501"/>
      <c r="C7111" s="502"/>
      <c r="D7111" s="497"/>
      <c r="E7111" s="497"/>
      <c r="F7111" s="502"/>
      <c r="G7111" s="497"/>
      <c r="H7111" s="497"/>
      <c r="I7111" s="497"/>
      <c r="J7111" s="497"/>
      <c r="K7111" s="500"/>
      <c r="L7111" s="497"/>
      <c r="M7111"/>
      <c r="N7111" s="498"/>
      <c r="O7111" s="498"/>
      <c r="P7111" s="498"/>
      <c r="Q7111" s="498"/>
      <c r="R7111" s="498"/>
      <c r="T7111" s="498"/>
      <c r="U7111" s="498"/>
      <c r="V7111" s="498"/>
      <c r="W7111" s="498"/>
      <c r="X7111" s="498"/>
      <c r="Y7111" s="498"/>
      <c r="Z7111" s="498"/>
      <c r="AA7111" s="498"/>
      <c r="AB7111" s="498"/>
      <c r="AC7111" s="498"/>
      <c r="AD7111" s="498"/>
      <c r="AE7111" s="498"/>
      <c r="AF7111" s="498"/>
      <c r="AG7111" s="498"/>
      <c r="AH7111" s="498"/>
      <c r="AI7111" s="498"/>
      <c r="AK7111" s="498"/>
      <c r="AL7111" s="498"/>
      <c r="AM7111" s="498"/>
      <c r="AN7111" s="498"/>
      <c r="AO7111" s="498"/>
      <c r="AP7111" s="498"/>
      <c r="AQ7111" s="498"/>
      <c r="AR7111" s="498"/>
      <c r="AS7111" s="498"/>
      <c r="AT7111" s="498"/>
      <c r="AU7111" s="498"/>
      <c r="AV7111" s="498"/>
      <c r="AW7111" s="498"/>
      <c r="AX7111" s="498"/>
      <c r="AY7111" s="498"/>
      <c r="AZ7111" s="498"/>
      <c r="BA7111" s="498"/>
    </row>
    <row r="7112" spans="1:53" s="499" customFormat="1" x14ac:dyDescent="0.25">
      <c r="A7112" s="500"/>
      <c r="B7112" s="501"/>
      <c r="C7112" s="502"/>
      <c r="D7112" s="497"/>
      <c r="E7112" s="497"/>
      <c r="F7112" s="502"/>
      <c r="G7112" s="497"/>
      <c r="H7112" s="497"/>
      <c r="I7112" s="497"/>
      <c r="J7112" s="497"/>
      <c r="K7112" s="500"/>
      <c r="L7112" s="497"/>
      <c r="M7112"/>
      <c r="N7112" s="498"/>
      <c r="O7112" s="498"/>
      <c r="P7112" s="498"/>
      <c r="Q7112" s="498"/>
      <c r="R7112" s="498"/>
      <c r="T7112" s="498"/>
      <c r="U7112" s="498"/>
      <c r="V7112" s="498"/>
      <c r="W7112" s="498"/>
      <c r="X7112" s="498"/>
      <c r="Y7112" s="498"/>
      <c r="Z7112" s="498"/>
      <c r="AA7112" s="498"/>
      <c r="AB7112" s="498"/>
      <c r="AC7112" s="498"/>
      <c r="AD7112" s="498"/>
      <c r="AE7112" s="498"/>
      <c r="AF7112" s="498"/>
      <c r="AG7112" s="498"/>
      <c r="AH7112" s="498"/>
      <c r="AI7112" s="498"/>
      <c r="AK7112" s="498"/>
      <c r="AL7112" s="498"/>
      <c r="AM7112" s="498"/>
      <c r="AN7112" s="498"/>
      <c r="AO7112" s="498"/>
      <c r="AP7112" s="498"/>
      <c r="AQ7112" s="498"/>
      <c r="AR7112" s="498"/>
      <c r="AS7112" s="498"/>
      <c r="AT7112" s="498"/>
      <c r="AU7112" s="498"/>
      <c r="AV7112" s="498"/>
      <c r="AW7112" s="498"/>
      <c r="AX7112" s="498"/>
      <c r="AY7112" s="498"/>
      <c r="AZ7112" s="498"/>
      <c r="BA7112" s="498"/>
    </row>
    <row r="7113" spans="1:53" s="499" customFormat="1" x14ac:dyDescent="0.25">
      <c r="A7113" s="500"/>
      <c r="B7113" s="501"/>
      <c r="C7113" s="502"/>
      <c r="D7113" s="497"/>
      <c r="E7113" s="497"/>
      <c r="F7113" s="502"/>
      <c r="G7113" s="497"/>
      <c r="H7113" s="497"/>
      <c r="I7113" s="497"/>
      <c r="J7113" s="497"/>
      <c r="K7113" s="500"/>
      <c r="L7113" s="497"/>
      <c r="M7113"/>
      <c r="N7113" s="498"/>
      <c r="O7113" s="498"/>
      <c r="P7113" s="498"/>
      <c r="Q7113" s="498"/>
      <c r="R7113" s="498"/>
      <c r="T7113" s="498"/>
      <c r="U7113" s="498"/>
      <c r="V7113" s="498"/>
      <c r="W7113" s="498"/>
      <c r="X7113" s="498"/>
      <c r="Y7113" s="498"/>
      <c r="Z7113" s="498"/>
      <c r="AA7113" s="498"/>
      <c r="AB7113" s="498"/>
      <c r="AC7113" s="498"/>
      <c r="AD7113" s="498"/>
      <c r="AE7113" s="498"/>
      <c r="AF7113" s="498"/>
      <c r="AG7113" s="498"/>
      <c r="AH7113" s="498"/>
      <c r="AI7113" s="498"/>
      <c r="AK7113" s="498"/>
      <c r="AL7113" s="498"/>
      <c r="AM7113" s="498"/>
      <c r="AN7113" s="498"/>
      <c r="AO7113" s="498"/>
      <c r="AP7113" s="498"/>
      <c r="AQ7113" s="498"/>
      <c r="AR7113" s="498"/>
      <c r="AS7113" s="498"/>
      <c r="AT7113" s="498"/>
      <c r="AU7113" s="498"/>
      <c r="AV7113" s="498"/>
      <c r="AW7113" s="498"/>
      <c r="AX7113" s="498"/>
      <c r="AY7113" s="498"/>
      <c r="AZ7113" s="498"/>
      <c r="BA7113" s="498"/>
    </row>
    <row r="7114" spans="1:53" s="499" customFormat="1" x14ac:dyDescent="0.25">
      <c r="A7114" s="500"/>
      <c r="B7114" s="501"/>
      <c r="C7114" s="502"/>
      <c r="D7114" s="497"/>
      <c r="E7114" s="497"/>
      <c r="F7114" s="502"/>
      <c r="G7114" s="497"/>
      <c r="H7114" s="497"/>
      <c r="I7114" s="497"/>
      <c r="J7114" s="497"/>
      <c r="K7114" s="500"/>
      <c r="L7114" s="497"/>
      <c r="M7114"/>
      <c r="N7114" s="498"/>
      <c r="O7114" s="498"/>
      <c r="P7114" s="498"/>
      <c r="Q7114" s="498"/>
      <c r="R7114" s="498"/>
      <c r="T7114" s="498"/>
      <c r="U7114" s="498"/>
      <c r="V7114" s="498"/>
      <c r="W7114" s="498"/>
      <c r="X7114" s="498"/>
      <c r="Y7114" s="498"/>
      <c r="Z7114" s="498"/>
      <c r="AA7114" s="498"/>
      <c r="AB7114" s="498"/>
      <c r="AC7114" s="498"/>
      <c r="AD7114" s="498"/>
      <c r="AE7114" s="498"/>
      <c r="AF7114" s="498"/>
      <c r="AG7114" s="498"/>
      <c r="AH7114" s="498"/>
      <c r="AI7114" s="498"/>
      <c r="AK7114" s="498"/>
      <c r="AL7114" s="498"/>
      <c r="AM7114" s="498"/>
      <c r="AN7114" s="498"/>
      <c r="AO7114" s="498"/>
      <c r="AP7114" s="498"/>
      <c r="AQ7114" s="498"/>
      <c r="AR7114" s="498"/>
      <c r="AS7114" s="498"/>
      <c r="AT7114" s="498"/>
      <c r="AU7114" s="498"/>
      <c r="AV7114" s="498"/>
      <c r="AW7114" s="498"/>
      <c r="AX7114" s="498"/>
      <c r="AY7114" s="498"/>
      <c r="AZ7114" s="498"/>
      <c r="BA7114" s="498"/>
    </row>
    <row r="7115" spans="1:53" s="499" customFormat="1" x14ac:dyDescent="0.25">
      <c r="A7115" s="500"/>
      <c r="B7115" s="501"/>
      <c r="C7115" s="502"/>
      <c r="D7115" s="497"/>
      <c r="E7115" s="497"/>
      <c r="F7115" s="502"/>
      <c r="G7115" s="497"/>
      <c r="H7115" s="497"/>
      <c r="I7115" s="497"/>
      <c r="J7115" s="497"/>
      <c r="K7115" s="500"/>
      <c r="L7115" s="497"/>
      <c r="M7115"/>
      <c r="N7115" s="498"/>
      <c r="O7115" s="498"/>
      <c r="P7115" s="498"/>
      <c r="Q7115" s="498"/>
      <c r="R7115" s="498"/>
      <c r="T7115" s="498"/>
      <c r="U7115" s="498"/>
      <c r="V7115" s="498"/>
      <c r="W7115" s="498"/>
      <c r="X7115" s="498"/>
      <c r="Y7115" s="498"/>
      <c r="Z7115" s="498"/>
      <c r="AA7115" s="498"/>
      <c r="AB7115" s="498"/>
      <c r="AC7115" s="498"/>
      <c r="AD7115" s="498"/>
      <c r="AE7115" s="498"/>
      <c r="AF7115" s="498"/>
      <c r="AG7115" s="498"/>
      <c r="AH7115" s="498"/>
      <c r="AI7115" s="498"/>
      <c r="AK7115" s="498"/>
      <c r="AL7115" s="498"/>
      <c r="AM7115" s="498"/>
      <c r="AN7115" s="498"/>
      <c r="AO7115" s="498"/>
      <c r="AP7115" s="498"/>
      <c r="AQ7115" s="498"/>
      <c r="AR7115" s="498"/>
      <c r="AS7115" s="498"/>
      <c r="AT7115" s="498"/>
      <c r="AU7115" s="498"/>
      <c r="AV7115" s="498"/>
      <c r="AW7115" s="498"/>
      <c r="AX7115" s="498"/>
      <c r="AY7115" s="498"/>
      <c r="AZ7115" s="498"/>
      <c r="BA7115" s="498"/>
    </row>
    <row r="7116" spans="1:53" s="499" customFormat="1" x14ac:dyDescent="0.25">
      <c r="A7116" s="500"/>
      <c r="B7116" s="501"/>
      <c r="C7116" s="502"/>
      <c r="D7116" s="497"/>
      <c r="E7116" s="497"/>
      <c r="F7116" s="502"/>
      <c r="G7116" s="497"/>
      <c r="H7116" s="497"/>
      <c r="I7116" s="497"/>
      <c r="J7116" s="497"/>
      <c r="K7116" s="500"/>
      <c r="L7116" s="497"/>
      <c r="M7116"/>
      <c r="N7116" s="498"/>
      <c r="O7116" s="498"/>
      <c r="P7116" s="498"/>
      <c r="Q7116" s="498"/>
      <c r="R7116" s="498"/>
      <c r="T7116" s="498"/>
      <c r="U7116" s="498"/>
      <c r="V7116" s="498"/>
      <c r="W7116" s="498"/>
      <c r="X7116" s="498"/>
      <c r="Y7116" s="498"/>
      <c r="Z7116" s="498"/>
      <c r="AA7116" s="498"/>
      <c r="AB7116" s="498"/>
      <c r="AC7116" s="498"/>
      <c r="AD7116" s="498"/>
      <c r="AE7116" s="498"/>
      <c r="AF7116" s="498"/>
      <c r="AG7116" s="498"/>
      <c r="AH7116" s="498"/>
      <c r="AI7116" s="498"/>
      <c r="AK7116" s="498"/>
      <c r="AL7116" s="498"/>
      <c r="AM7116" s="498"/>
      <c r="AN7116" s="498"/>
      <c r="AO7116" s="498"/>
      <c r="AP7116" s="498"/>
      <c r="AQ7116" s="498"/>
      <c r="AR7116" s="498"/>
      <c r="AS7116" s="498"/>
      <c r="AT7116" s="498"/>
      <c r="AU7116" s="498"/>
      <c r="AV7116" s="498"/>
      <c r="AW7116" s="498"/>
      <c r="AX7116" s="498"/>
      <c r="AY7116" s="498"/>
      <c r="AZ7116" s="498"/>
      <c r="BA7116" s="498"/>
    </row>
  </sheetData>
  <sheetProtection algorithmName="SHA-512" hashValue="ZPqVgmd4f1H9NJMmeLvSx0/pRCXoehwla/8eeycFRv6Lwykcg7bBHcVupRlo3HsGCnJEzYW2FkS2ilpzszzbwg==" saltValue="V4fkVynR8jgAZeD407Pz3Q==" spinCount="100000" sheet="1" objects="1" scenarios="1" selectLockedCells="1" autoFilter="0"/>
  <autoFilter ref="A5:L5332" xr:uid="{00000000-0001-0000-0200-000000000000}"/>
  <mergeCells count="37">
    <mergeCell ref="N36:N37"/>
    <mergeCell ref="O36:V36"/>
    <mergeCell ref="W36:W37"/>
    <mergeCell ref="X5:Y5"/>
    <mergeCell ref="AB2:AC2"/>
    <mergeCell ref="AD2:AE2"/>
    <mergeCell ref="P2:Q2"/>
    <mergeCell ref="R2:S2"/>
    <mergeCell ref="T2:U2"/>
    <mergeCell ref="V2:W2"/>
    <mergeCell ref="X2:Y2"/>
    <mergeCell ref="Z2:AA2"/>
    <mergeCell ref="F2:G2"/>
    <mergeCell ref="N26:N27"/>
    <mergeCell ref="N31:N32"/>
    <mergeCell ref="T5:U5"/>
    <mergeCell ref="V5:W5"/>
    <mergeCell ref="O26:V26"/>
    <mergeCell ref="O31:V31"/>
    <mergeCell ref="W26:W27"/>
    <mergeCell ref="W31:W32"/>
    <mergeCell ref="N46:N47"/>
    <mergeCell ref="O46:V46"/>
    <mergeCell ref="W46:W47"/>
    <mergeCell ref="N41:N42"/>
    <mergeCell ref="O41:V41"/>
    <mergeCell ref="W41:W42"/>
    <mergeCell ref="AF5:AG5"/>
    <mergeCell ref="N23:O23"/>
    <mergeCell ref="Z5:AA5"/>
    <mergeCell ref="AB5:AC5"/>
    <mergeCell ref="AD5:AE5"/>
    <mergeCell ref="A3:D3"/>
    <mergeCell ref="F3:G3"/>
    <mergeCell ref="N5:O5"/>
    <mergeCell ref="P5:Q5"/>
    <mergeCell ref="R5:S5"/>
  </mergeCells>
  <conditionalFormatting sqref="C8:C11 C813:C5331 C190:C194 C203:C210 C223 C170:C173 C196:C197 C200 C213 C226:C236 C239 C176:C184 C242:C245 C268:C272 C281:C288 C301 C248:C251 C274:C275 C278 C291 C304:C314 C317:C699 C254:C262 C19:C22 C28:C31 C39:C42 C48:C51 C59:C62 C65 C68:C71 C74:C76 C79:C82 C85 C88:C91 C94:C96 C99:C102 C105 C108:C111 C114:C116 C119:C122 C125 C128:C131 C134:C136 C139:C142 C145 C148:C151 C154:C156 C159:C162 C165:C167 C14:C16 C25 C34:C36 C45 C54:C56">
    <cfRule type="containsText" dxfId="114" priority="72" operator="containsText" text="ale">
      <formula>NOT(ISERROR(SEARCH("ale",C8)))</formula>
    </cfRule>
  </conditionalFormatting>
  <conditionalFormatting sqref="C12">
    <cfRule type="containsText" dxfId="113" priority="67" operator="containsText" text="ale">
      <formula>NOT(ISERROR(SEARCH("ale",C12)))</formula>
    </cfRule>
  </conditionalFormatting>
  <conditionalFormatting sqref="C13">
    <cfRule type="containsText" dxfId="112" priority="66" operator="containsText" text="ale">
      <formula>NOT(ISERROR(SEARCH("ale",C13)))</formula>
    </cfRule>
  </conditionalFormatting>
  <conditionalFormatting sqref="C237:C238 C224:C225 C214:C222 C211:C212 C201:C202 C198:C199 C195 C185:C189">
    <cfRule type="containsText" dxfId="111" priority="52" operator="containsText" text="ale">
      <formula>NOT(ISERROR(SEARCH("ale",C185)))</formula>
    </cfRule>
  </conditionalFormatting>
  <conditionalFormatting sqref="C6:C5331">
    <cfRule type="containsText" dxfId="110" priority="51" operator="containsText" text="ale">
      <formula>NOT(ISERROR(SEARCH("ale",C6)))</formula>
    </cfRule>
  </conditionalFormatting>
  <conditionalFormatting sqref="C700:C812">
    <cfRule type="containsText" dxfId="109" priority="49" operator="containsText" text="ale">
      <formula>NOT(ISERROR(SEARCH("ale",C700)))</formula>
    </cfRule>
  </conditionalFormatting>
  <conditionalFormatting sqref="O43:V44">
    <cfRule type="cellIs" dxfId="108" priority="46" operator="greaterThan">
      <formula>0</formula>
    </cfRule>
  </conditionalFormatting>
  <conditionalFormatting sqref="O38:V39">
    <cfRule type="cellIs" dxfId="107" priority="45" operator="greaterThan">
      <formula>0</formula>
    </cfRule>
  </conditionalFormatting>
  <conditionalFormatting sqref="O33:V34">
    <cfRule type="cellIs" dxfId="106" priority="44" operator="greaterThan">
      <formula>0</formula>
    </cfRule>
  </conditionalFormatting>
  <conditionalFormatting sqref="O28:V29">
    <cfRule type="cellIs" dxfId="105" priority="43" operator="greaterThan">
      <formula>0</formula>
    </cfRule>
  </conditionalFormatting>
  <conditionalFormatting sqref="C168">
    <cfRule type="containsText" dxfId="104" priority="39" operator="containsText" text="ale">
      <formula>NOT(ISERROR(SEARCH("ale",C168)))</formula>
    </cfRule>
  </conditionalFormatting>
  <conditionalFormatting sqref="C169">
    <cfRule type="containsText" dxfId="103" priority="38" operator="containsText" text="ale">
      <formula>NOT(ISERROR(SEARCH("ale",C169)))</formula>
    </cfRule>
  </conditionalFormatting>
  <conditionalFormatting sqref="C174:C175">
    <cfRule type="containsText" dxfId="102" priority="37" operator="containsText" text="ale">
      <formula>NOT(ISERROR(SEARCH("ale",C174)))</formula>
    </cfRule>
  </conditionalFormatting>
  <conditionalFormatting sqref="C246">
    <cfRule type="containsText" dxfId="101" priority="36" operator="containsText" text="ale">
      <formula>NOT(ISERROR(SEARCH("ale",C246)))</formula>
    </cfRule>
  </conditionalFormatting>
  <conditionalFormatting sqref="C247">
    <cfRule type="containsText" dxfId="100" priority="35" operator="containsText" text="ale">
      <formula>NOT(ISERROR(SEARCH("ale",C247)))</formula>
    </cfRule>
  </conditionalFormatting>
  <conditionalFormatting sqref="C315:C316 C302:C303 C292:C300 C289:C290 C279:C280 C276:C277 C273 C263:C267">
    <cfRule type="containsText" dxfId="99" priority="34" operator="containsText" text="ale">
      <formula>NOT(ISERROR(SEARCH("ale",C263)))</formula>
    </cfRule>
  </conditionalFormatting>
  <conditionalFormatting sqref="C252:C253">
    <cfRule type="containsText" dxfId="98" priority="33" operator="containsText" text="ale">
      <formula>NOT(ISERROR(SEARCH("ale",C252)))</formula>
    </cfRule>
  </conditionalFormatting>
  <conditionalFormatting sqref="C23">
    <cfRule type="containsText" dxfId="97" priority="30" operator="containsText" text="ale">
      <formula>NOT(ISERROR(SEARCH("ale",C23)))</formula>
    </cfRule>
  </conditionalFormatting>
  <conditionalFormatting sqref="C24">
    <cfRule type="containsText" dxfId="96" priority="29" operator="containsText" text="ale">
      <formula>NOT(ISERROR(SEARCH("ale",C24)))</formula>
    </cfRule>
  </conditionalFormatting>
  <conditionalFormatting sqref="C32">
    <cfRule type="containsText" dxfId="95" priority="28" operator="containsText" text="ale">
      <formula>NOT(ISERROR(SEARCH("ale",C32)))</formula>
    </cfRule>
  </conditionalFormatting>
  <conditionalFormatting sqref="C33">
    <cfRule type="containsText" dxfId="94" priority="27" operator="containsText" text="ale">
      <formula>NOT(ISERROR(SEARCH("ale",C33)))</formula>
    </cfRule>
  </conditionalFormatting>
  <conditionalFormatting sqref="C43">
    <cfRule type="containsText" dxfId="93" priority="26" operator="containsText" text="ale">
      <formula>NOT(ISERROR(SEARCH("ale",C43)))</formula>
    </cfRule>
  </conditionalFormatting>
  <conditionalFormatting sqref="C44">
    <cfRule type="containsText" dxfId="92" priority="25" operator="containsText" text="ale">
      <formula>NOT(ISERROR(SEARCH("ale",C44)))</formula>
    </cfRule>
  </conditionalFormatting>
  <conditionalFormatting sqref="C52">
    <cfRule type="containsText" dxfId="91" priority="24" operator="containsText" text="ale">
      <formula>NOT(ISERROR(SEARCH("ale",C52)))</formula>
    </cfRule>
  </conditionalFormatting>
  <conditionalFormatting sqref="C53">
    <cfRule type="containsText" dxfId="90" priority="23" operator="containsText" text="ale">
      <formula>NOT(ISERROR(SEARCH("ale",C53)))</formula>
    </cfRule>
  </conditionalFormatting>
  <conditionalFormatting sqref="C63">
    <cfRule type="containsText" dxfId="89" priority="22" operator="containsText" text="ale">
      <formula>NOT(ISERROR(SEARCH("ale",C63)))</formula>
    </cfRule>
  </conditionalFormatting>
  <conditionalFormatting sqref="C64">
    <cfRule type="containsText" dxfId="88" priority="21" operator="containsText" text="ale">
      <formula>NOT(ISERROR(SEARCH("ale",C64)))</formula>
    </cfRule>
  </conditionalFormatting>
  <conditionalFormatting sqref="C72">
    <cfRule type="containsText" dxfId="87" priority="20" operator="containsText" text="ale">
      <formula>NOT(ISERROR(SEARCH("ale",C72)))</formula>
    </cfRule>
  </conditionalFormatting>
  <conditionalFormatting sqref="C73">
    <cfRule type="containsText" dxfId="86" priority="19" operator="containsText" text="ale">
      <formula>NOT(ISERROR(SEARCH("ale",C73)))</formula>
    </cfRule>
  </conditionalFormatting>
  <conditionalFormatting sqref="C83">
    <cfRule type="containsText" dxfId="85" priority="18" operator="containsText" text="ale">
      <formula>NOT(ISERROR(SEARCH("ale",C83)))</formula>
    </cfRule>
  </conditionalFormatting>
  <conditionalFormatting sqref="C84">
    <cfRule type="containsText" dxfId="84" priority="17" operator="containsText" text="ale">
      <formula>NOT(ISERROR(SEARCH("ale",C84)))</formula>
    </cfRule>
  </conditionalFormatting>
  <conditionalFormatting sqref="C92">
    <cfRule type="containsText" dxfId="83" priority="16" operator="containsText" text="ale">
      <formula>NOT(ISERROR(SEARCH("ale",C92)))</formula>
    </cfRule>
  </conditionalFormatting>
  <conditionalFormatting sqref="C93">
    <cfRule type="containsText" dxfId="82" priority="15" operator="containsText" text="ale">
      <formula>NOT(ISERROR(SEARCH("ale",C93)))</formula>
    </cfRule>
  </conditionalFormatting>
  <conditionalFormatting sqref="C103">
    <cfRule type="containsText" dxfId="81" priority="14" operator="containsText" text="ale">
      <formula>NOT(ISERROR(SEARCH("ale",C103)))</formula>
    </cfRule>
  </conditionalFormatting>
  <conditionalFormatting sqref="C104">
    <cfRule type="containsText" dxfId="80" priority="13" operator="containsText" text="ale">
      <formula>NOT(ISERROR(SEARCH("ale",C104)))</formula>
    </cfRule>
  </conditionalFormatting>
  <conditionalFormatting sqref="C112">
    <cfRule type="containsText" dxfId="79" priority="12" operator="containsText" text="ale">
      <formula>NOT(ISERROR(SEARCH("ale",C112)))</formula>
    </cfRule>
  </conditionalFormatting>
  <conditionalFormatting sqref="C113">
    <cfRule type="containsText" dxfId="78" priority="11" operator="containsText" text="ale">
      <formula>NOT(ISERROR(SEARCH("ale",C113)))</formula>
    </cfRule>
  </conditionalFormatting>
  <conditionalFormatting sqref="C123">
    <cfRule type="containsText" dxfId="77" priority="10" operator="containsText" text="ale">
      <formula>NOT(ISERROR(SEARCH("ale",C123)))</formula>
    </cfRule>
  </conditionalFormatting>
  <conditionalFormatting sqref="C124">
    <cfRule type="containsText" dxfId="76" priority="9" operator="containsText" text="ale">
      <formula>NOT(ISERROR(SEARCH("ale",C124)))</formula>
    </cfRule>
  </conditionalFormatting>
  <conditionalFormatting sqref="C132">
    <cfRule type="containsText" dxfId="75" priority="8" operator="containsText" text="ale">
      <formula>NOT(ISERROR(SEARCH("ale",C132)))</formula>
    </cfRule>
  </conditionalFormatting>
  <conditionalFormatting sqref="C133">
    <cfRule type="containsText" dxfId="74" priority="7" operator="containsText" text="ale">
      <formula>NOT(ISERROR(SEARCH("ale",C133)))</formula>
    </cfRule>
  </conditionalFormatting>
  <conditionalFormatting sqref="C143">
    <cfRule type="containsText" dxfId="73" priority="6" operator="containsText" text="ale">
      <formula>NOT(ISERROR(SEARCH("ale",C143)))</formula>
    </cfRule>
  </conditionalFormatting>
  <conditionalFormatting sqref="C144">
    <cfRule type="containsText" dxfId="72" priority="5" operator="containsText" text="ale">
      <formula>NOT(ISERROR(SEARCH("ale",C144)))</formula>
    </cfRule>
  </conditionalFormatting>
  <conditionalFormatting sqref="C152">
    <cfRule type="containsText" dxfId="71" priority="4" operator="containsText" text="ale">
      <formula>NOT(ISERROR(SEARCH("ale",C152)))</formula>
    </cfRule>
  </conditionalFormatting>
  <conditionalFormatting sqref="C153">
    <cfRule type="containsText" dxfId="70" priority="3" operator="containsText" text="ale">
      <formula>NOT(ISERROR(SEARCH("ale",C153)))</formula>
    </cfRule>
  </conditionalFormatting>
  <conditionalFormatting sqref="C163">
    <cfRule type="containsText" dxfId="69" priority="2" operator="containsText" text="ale">
      <formula>NOT(ISERROR(SEARCH("ale",C163)))</formula>
    </cfRule>
  </conditionalFormatting>
  <conditionalFormatting sqref="C164">
    <cfRule type="containsText" dxfId="68" priority="1" operator="containsText" text="ale">
      <formula>NOT(ISERROR(SEARCH("ale",C164)))</formula>
    </cfRule>
  </conditionalFormatting>
  <dataValidations count="4">
    <dataValidation type="list" allowBlank="1" showInputMessage="1" showErrorMessage="1" sqref="H6:H5331" xr:uid="{00000000-0002-0000-0200-000000000000}">
      <formula1>"Single,Married"</formula1>
    </dataValidation>
    <dataValidation type="list" allowBlank="1" showInputMessage="1" showErrorMessage="1" sqref="E6:E5331" xr:uid="{00000000-0002-0000-0200-000001000000}">
      <formula1>"Principal, Spouse, Child"</formula1>
    </dataValidation>
    <dataValidation type="list" allowBlank="1" showInputMessage="1" showErrorMessage="1" error="Input is restricted to &quot;M&quot; for males and &quot;F&quot; for females" sqref="C6:C5331" xr:uid="{00000000-0002-0000-0200-000002000000}">
      <formula1>"M, F"</formula1>
    </dataValidation>
    <dataValidation type="list" allowBlank="1" showInputMessage="1" showErrorMessage="1" sqref="D6:D5331" xr:uid="{00000000-0002-0000-0200-000003000000}">
      <formula1>"A, B, C, D, E, F, G, H"</formula1>
    </dataValidation>
  </dataValidations>
  <pageMargins left="0.75" right="0.75" top="1" bottom="1" header="0.5" footer="0.5"/>
  <pageSetup paperSize="9" scale="28"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O115"/>
  <sheetViews>
    <sheetView showGridLines="0" tabSelected="1" zoomScale="80" zoomScaleNormal="80" workbookViewId="0">
      <pane xSplit="1" ySplit="4" topLeftCell="B96" activePane="bottomRight" state="frozen"/>
      <selection pane="topRight" activeCell="B1" sqref="B1"/>
      <selection pane="bottomLeft" activeCell="A5" sqref="A5"/>
      <selection pane="bottomRight" activeCell="F103" sqref="F103"/>
    </sheetView>
  </sheetViews>
  <sheetFormatPr defaultColWidth="0" defaultRowHeight="15" zeroHeight="1" outlineLevelRow="1" x14ac:dyDescent="0.25"/>
  <cols>
    <col min="1" max="1" width="49.42578125" style="433" customWidth="1"/>
    <col min="2" max="2" width="16.7109375" style="433" customWidth="1"/>
    <col min="3" max="3" width="17.42578125" style="433" customWidth="1"/>
    <col min="4" max="4" width="14.140625" style="433" customWidth="1"/>
    <col min="5" max="5" width="12.28515625" style="433" customWidth="1"/>
    <col min="6" max="6" width="10.28515625" style="433" bestFit="1" customWidth="1"/>
    <col min="7" max="7" width="16.7109375" style="433" customWidth="1"/>
    <col min="8" max="8" width="17.42578125" style="433" customWidth="1"/>
    <col min="9" max="9" width="12.140625" style="433" bestFit="1" customWidth="1"/>
    <col min="10" max="10" width="13.42578125" style="433" customWidth="1"/>
    <col min="11" max="11" width="9.140625" style="433" customWidth="1"/>
    <col min="12" max="12" width="16.7109375" style="433" customWidth="1"/>
    <col min="13" max="13" width="17.42578125" style="433" customWidth="1"/>
    <col min="14" max="14" width="12.42578125" style="433" customWidth="1"/>
    <col min="15" max="15" width="10.42578125" style="433" bestFit="1" customWidth="1"/>
    <col min="16" max="16" width="9.140625" style="433" customWidth="1"/>
    <col min="17" max="17" width="16.7109375" style="433" customWidth="1"/>
    <col min="18" max="18" width="17.42578125" style="433" customWidth="1"/>
    <col min="19" max="19" width="12.42578125" style="433" customWidth="1"/>
    <col min="20" max="20" width="10.42578125" style="433" bestFit="1" customWidth="1"/>
    <col min="21" max="21" width="9.140625" style="433" customWidth="1"/>
    <col min="22" max="22" width="16.7109375" style="433" customWidth="1"/>
    <col min="23" max="23" width="17.42578125" style="433" customWidth="1"/>
    <col min="24" max="24" width="12.42578125" style="433" customWidth="1"/>
    <col min="25" max="25" width="10.42578125" style="433" bestFit="1" customWidth="1"/>
    <col min="26" max="26" width="9.140625" style="433" customWidth="1"/>
    <col min="27" max="27" width="16.7109375" style="433" customWidth="1"/>
    <col min="28" max="28" width="17.42578125" style="433" customWidth="1"/>
    <col min="29" max="29" width="12.42578125" style="433" customWidth="1"/>
    <col min="30" max="30" width="10.42578125" style="433" bestFit="1" customWidth="1"/>
    <col min="31" max="31" width="9.140625" style="433" customWidth="1"/>
    <col min="32" max="32" width="16.7109375" style="433" customWidth="1"/>
    <col min="33" max="33" width="17.42578125" style="433" customWidth="1"/>
    <col min="34" max="34" width="12.42578125" style="433" customWidth="1"/>
    <col min="35" max="35" width="10.42578125" style="433" bestFit="1" customWidth="1"/>
    <col min="36" max="36" width="9.140625" style="433" customWidth="1"/>
    <col min="37" max="37" width="16.7109375" style="433" customWidth="1"/>
    <col min="38" max="38" width="17.42578125" style="433" customWidth="1"/>
    <col min="39" max="39" width="12.42578125" style="433" customWidth="1"/>
    <col min="40" max="40" width="10.42578125" style="433" bestFit="1" customWidth="1"/>
    <col min="41" max="41" width="9.140625" style="433" customWidth="1"/>
    <col min="42" max="16384" width="9.140625" style="433" hidden="1"/>
  </cols>
  <sheetData>
    <row r="1" spans="1:40" x14ac:dyDescent="0.25"/>
    <row r="2" spans="1:40" ht="15.75" thickBot="1" x14ac:dyDescent="0.3"/>
    <row r="3" spans="1:40" ht="15" customHeight="1" x14ac:dyDescent="0.25">
      <c r="A3" s="1362" t="str">
        <f>IF('General Basis'!$H$8=1,"MEDNET ","NAS")</f>
        <v>NAS</v>
      </c>
      <c r="B3" s="1355" t="str">
        <f>IF(AND('General Basis'!D3=1,'General Basis'!$D$8&gt;=1),"Category A","Category A")</f>
        <v>Category A</v>
      </c>
      <c r="C3" s="1356"/>
      <c r="D3" s="1356"/>
      <c r="E3" s="1357"/>
      <c r="G3" s="1355" t="str">
        <f>IF(AND('General Basis'!D3=1,'General Basis'!$D$8&gt;=2),"Category B","")</f>
        <v/>
      </c>
      <c r="H3" s="1356"/>
      <c r="I3" s="1356"/>
      <c r="J3" s="1357"/>
      <c r="L3" s="1355" t="str">
        <f>IF(AND('General Basis'!D3=1,'General Basis'!$D$8&gt;=3),"Category C","")</f>
        <v/>
      </c>
      <c r="M3" s="1356"/>
      <c r="N3" s="1356"/>
      <c r="O3" s="1357"/>
      <c r="Q3" s="1355" t="str">
        <f>IF(AND('General Basis'!$D$3=1,'General Basis'!$D$8&gt;=4),"Category D","")</f>
        <v/>
      </c>
      <c r="R3" s="1356"/>
      <c r="S3" s="1356"/>
      <c r="T3" s="1357"/>
      <c r="V3" s="1355" t="str">
        <f>IF(AND('General Basis'!$D$3=1,'General Basis'!$D$8&gt;=5),"Category E","")</f>
        <v/>
      </c>
      <c r="W3" s="1356"/>
      <c r="X3" s="1356"/>
      <c r="Y3" s="1357"/>
      <c r="AA3" s="1355" t="str">
        <f>IF(AND('General Basis'!$D$3=1,'General Basis'!$D$8&gt;=6),"Category F","")</f>
        <v/>
      </c>
      <c r="AB3" s="1356"/>
      <c r="AC3" s="1356"/>
      <c r="AD3" s="1357"/>
      <c r="AF3" s="1355" t="str">
        <f>IF(AND('General Basis'!$D$3=1,'General Basis'!$D$8&gt;=7),"Category G","")</f>
        <v/>
      </c>
      <c r="AG3" s="1356"/>
      <c r="AH3" s="1356"/>
      <c r="AI3" s="1357"/>
      <c r="AK3" s="1355" t="str">
        <f>IF(AND('General Basis'!$D$3=1,'General Basis'!$D$8&gt;=8),"Category H","")</f>
        <v/>
      </c>
      <c r="AL3" s="1356"/>
      <c r="AM3" s="1356"/>
      <c r="AN3" s="1357"/>
    </row>
    <row r="4" spans="1:40" ht="15.75" customHeight="1" thickBot="1" x14ac:dyDescent="0.3">
      <c r="A4" s="1362"/>
      <c r="B4" s="1358"/>
      <c r="C4" s="1359"/>
      <c r="D4" s="1359"/>
      <c r="E4" s="1360"/>
      <c r="G4" s="1358"/>
      <c r="H4" s="1359"/>
      <c r="I4" s="1359"/>
      <c r="J4" s="1360"/>
      <c r="L4" s="1358"/>
      <c r="M4" s="1359"/>
      <c r="N4" s="1359"/>
      <c r="O4" s="1360"/>
      <c r="Q4" s="1358"/>
      <c r="R4" s="1359"/>
      <c r="S4" s="1359"/>
      <c r="T4" s="1360"/>
      <c r="V4" s="1358"/>
      <c r="W4" s="1359"/>
      <c r="X4" s="1359"/>
      <c r="Y4" s="1360"/>
      <c r="AA4" s="1358"/>
      <c r="AB4" s="1359"/>
      <c r="AC4" s="1359"/>
      <c r="AD4" s="1360"/>
      <c r="AF4" s="1358"/>
      <c r="AG4" s="1359"/>
      <c r="AH4" s="1359"/>
      <c r="AI4" s="1360"/>
      <c r="AK4" s="1358"/>
      <c r="AL4" s="1359"/>
      <c r="AM4" s="1359"/>
      <c r="AN4" s="1360"/>
    </row>
    <row r="5" spans="1:40" ht="15.75" thickBot="1" x14ac:dyDescent="0.3"/>
    <row r="6" spans="1:40" ht="26.25" thickBot="1" x14ac:dyDescent="0.3">
      <c r="E6" s="241" t="s">
        <v>90</v>
      </c>
      <c r="J6" s="241" t="s">
        <v>90</v>
      </c>
      <c r="O6" s="241" t="s">
        <v>90</v>
      </c>
      <c r="T6" s="241" t="s">
        <v>90</v>
      </c>
      <c r="Y6" s="241" t="s">
        <v>90</v>
      </c>
      <c r="AD6" s="241" t="s">
        <v>90</v>
      </c>
      <c r="AI6" s="241" t="s">
        <v>90</v>
      </c>
      <c r="AN6" s="241" t="s">
        <v>90</v>
      </c>
    </row>
    <row r="7" spans="1:40" x14ac:dyDescent="0.25"/>
    <row r="8" spans="1:40" ht="15.75" hidden="1" x14ac:dyDescent="0.25">
      <c r="A8" s="531" t="s">
        <v>276</v>
      </c>
      <c r="B8" s="915" t="str">
        <f>IF(B9="Abu dhabi","Abu Dhabi","Dubai")</f>
        <v>Dubai</v>
      </c>
      <c r="C8" s="717"/>
      <c r="G8" s="915" t="str">
        <f>IF(G9="Abu dhabi","Abu Dhabi","Dubai")</f>
        <v>Dubai</v>
      </c>
      <c r="H8" s="717"/>
      <c r="L8" s="915" t="str">
        <f>IF(L9="Abu dhabi","Abu Dhabi","Dubai")</f>
        <v>Dubai</v>
      </c>
      <c r="M8" s="717"/>
      <c r="Q8" s="915" t="str">
        <f>IF(Q9="Abu dhabi","Abu Dhabi","Dubai")</f>
        <v>Dubai</v>
      </c>
      <c r="R8" s="717"/>
      <c r="V8" s="915" t="str">
        <f>IF(V9="Abu dhabi","Abu Dhabi","Dubai")</f>
        <v>Dubai</v>
      </c>
      <c r="W8" s="717"/>
      <c r="AA8" s="915" t="str">
        <f>IF(AA9="Abu dhabi","Abu Dhabi","Dubai")</f>
        <v>Dubai</v>
      </c>
      <c r="AB8" s="717"/>
      <c r="AF8" s="915" t="str">
        <f>IF(AF9="Abu dhabi","Abu Dhabi","Dubai")</f>
        <v>Dubai</v>
      </c>
      <c r="AG8" s="717"/>
      <c r="AK8" s="915" t="str">
        <f>IF(AK9="Abu dhabi","Abu Dhabi","Dubai")</f>
        <v>Dubai</v>
      </c>
      <c r="AL8" s="717"/>
    </row>
    <row r="9" spans="1:40" ht="15.75" x14ac:dyDescent="0.25">
      <c r="A9" s="531" t="s">
        <v>940</v>
      </c>
      <c r="B9" s="1350" t="s">
        <v>279</v>
      </c>
      <c r="C9" s="1350"/>
      <c r="G9" s="1350" t="s">
        <v>279</v>
      </c>
      <c r="H9" s="1350"/>
      <c r="L9" s="1350" t="s">
        <v>279</v>
      </c>
      <c r="M9" s="1350"/>
      <c r="Q9" s="1350" t="s">
        <v>279</v>
      </c>
      <c r="R9" s="1350"/>
      <c r="V9" s="1350" t="s">
        <v>279</v>
      </c>
      <c r="W9" s="1350"/>
      <c r="AA9" s="1350" t="s">
        <v>279</v>
      </c>
      <c r="AB9" s="1350"/>
      <c r="AF9" s="1350" t="s">
        <v>279</v>
      </c>
      <c r="AG9" s="1350"/>
      <c r="AK9" s="1350" t="s">
        <v>279</v>
      </c>
      <c r="AL9" s="1350"/>
    </row>
    <row r="10" spans="1:40" ht="56.25" x14ac:dyDescent="0.25">
      <c r="A10" s="531" t="s">
        <v>96</v>
      </c>
      <c r="B10" s="1350" t="s">
        <v>1040</v>
      </c>
      <c r="C10" s="1350"/>
      <c r="D10" s="1000" t="str">
        <f>IF($A$3="NAS",VLOOKUP(B10,'General Basis'!$J$53:$M$60,4,0),VLOOKUP(B10,'General Basis'!$K$53:$M$60,3,0))</f>
        <v>( Direct Access to Network Hospital/ Clinics for OP Treatment )</v>
      </c>
      <c r="G10" s="1350" t="s">
        <v>1038</v>
      </c>
      <c r="H10" s="1350"/>
      <c r="I10" s="1000" t="str">
        <f>IF($A$3="NAS",VLOOKUP(G10,'General Basis'!$J$53:$M$60,4,0),VLOOKUP(G10,'General Basis'!$K$53:$M$60,3,0))</f>
        <v>( Direct Access to Network Hospital/ Clinics for OP Treatment )</v>
      </c>
      <c r="L10" s="1350" t="s">
        <v>1039</v>
      </c>
      <c r="M10" s="1350"/>
      <c r="N10" s="1000" t="str">
        <f>IF($A$3="NAS",VLOOKUP(L10,'General Basis'!$J$53:$M$60,4,0),VLOOKUP(L10,'General Basis'!$K$53:$M$60,3,0))</f>
        <v>( Direct Access to Network Hospital/ Clinics for OP Treatment )</v>
      </c>
      <c r="Q10" s="1350" t="s">
        <v>1039</v>
      </c>
      <c r="R10" s="1350"/>
      <c r="S10" s="1000" t="str">
        <f>IF($A$3="NAS",VLOOKUP(Q10,'General Basis'!$J$53:$M$60,4,0),VLOOKUP(Q10,'General Basis'!$K$53:$M$60,3,0))</f>
        <v>( Direct Access to Network Hospital/ Clinics for OP Treatment )</v>
      </c>
      <c r="V10" s="1350" t="s">
        <v>1040</v>
      </c>
      <c r="W10" s="1350"/>
      <c r="X10" s="1000" t="str">
        <f>IF($A$3="NAS",VLOOKUP(V10,'General Basis'!$J$53:$M$60,4,0),VLOOKUP(V10,'General Basis'!$K$53:$M$60,3,0))</f>
        <v>( Direct Access to Network Hospital/ Clinics for OP Treatment )</v>
      </c>
      <c r="AA10" s="1350" t="s">
        <v>1040</v>
      </c>
      <c r="AB10" s="1350"/>
      <c r="AC10" s="1000" t="str">
        <f>IF($A$3="NAS",VLOOKUP(AA10,'General Basis'!$J$53:$M$60,4,0),VLOOKUP(AA10,'General Basis'!$K$53:$M$60,3,0))</f>
        <v>( Direct Access to Network Hospital/ Clinics for OP Treatment )</v>
      </c>
      <c r="AF10" s="1350" t="s">
        <v>1040</v>
      </c>
      <c r="AG10" s="1350"/>
      <c r="AH10" s="1000" t="str">
        <f>IF($A$3="NAS",VLOOKUP(AF10,'General Basis'!$J$53:$M$60,4,0),VLOOKUP(AF10,'General Basis'!$K$53:$M$60,3,0))</f>
        <v>( Direct Access to Network Hospital/ Clinics for OP Treatment )</v>
      </c>
      <c r="AK10" s="1350" t="s">
        <v>1040</v>
      </c>
      <c r="AL10" s="1350"/>
      <c r="AM10" s="1000" t="str">
        <f>IF($A$3="NAS",VLOOKUP(AK10,'General Basis'!$J$53:$M$60,4,0),VLOOKUP(AK10,'General Basis'!$K$53:$M$60,3,0))</f>
        <v>( Direct Access to Network Hospital/ Clinics for OP Treatment )</v>
      </c>
    </row>
    <row r="11" spans="1:40" x14ac:dyDescent="0.25">
      <c r="B11" s="763" t="str">
        <f>IF(AND(B8="Abu Dhabi",B14="VN"),"Value Network NOT offered to AUH Plan","")</f>
        <v/>
      </c>
      <c r="G11" s="763" t="str">
        <f>IF(AND(G8="Abu Dhabi",G14="VN"),"Value Network NOT offered to AUH Plan","")</f>
        <v/>
      </c>
      <c r="L11" s="763" t="str">
        <f>IF(AND(L8="Abu Dhabi",L14="VN"),"Value Network NOT offered to AUH Plan","")</f>
        <v/>
      </c>
      <c r="Q11" s="763" t="str">
        <f>IF(AND(Q8="Abu Dhabi",Q14="VN"),"Value Network NOT offered to AUH Plan","")</f>
        <v/>
      </c>
      <c r="V11" s="763" t="str">
        <f>IF(AND(V8="Abu Dhabi",V14="VN"),"Value Network NOT offered to AUH Plan","")</f>
        <v/>
      </c>
      <c r="AA11" s="763" t="str">
        <f>IF(AND(AA8="Abu Dhabi",AA14="VN"),"Value Network NOT offered to AUH Plan","")</f>
        <v/>
      </c>
      <c r="AF11" s="763" t="str">
        <f>IF(AND(AF8="Abu Dhabi",AF14="VN"),"Value Network NOT offered to AUH Plan","")</f>
        <v/>
      </c>
      <c r="AK11" s="763" t="str">
        <f>IF(AND(AK8="Abu Dhabi",AK14="VN"),"Value Network NOT offered to AUH Plan","")</f>
        <v/>
      </c>
    </row>
    <row r="12" spans="1:40" ht="15" hidden="1" customHeight="1" outlineLevel="1" x14ac:dyDescent="0.25">
      <c r="A12" s="451" t="s">
        <v>31</v>
      </c>
      <c r="B12" s="1361" t="str">
        <f>IF('Group Engine'!D6=1,"Dubai","Abu Dhabi")</f>
        <v>Abu Dhabi</v>
      </c>
      <c r="C12" s="1361"/>
      <c r="G12" s="1361" t="str">
        <f>IF('Group Engine'!G6=1,"Dubai","Abu Dhabi")</f>
        <v>Abu Dhabi</v>
      </c>
      <c r="H12" s="1361"/>
      <c r="L12" s="1361" t="str">
        <f>IF('Group Engine'!J6=1,"Dubai","Abu Dhabi")</f>
        <v>Abu Dhabi</v>
      </c>
      <c r="M12" s="1361"/>
      <c r="Q12" s="1361" t="str">
        <f>IF('Group Engine'!M6=1,"Dubai","Abu Dhabi")</f>
        <v>Abu Dhabi</v>
      </c>
      <c r="R12" s="1361"/>
      <c r="V12" s="1361" t="str">
        <f>IF('Group Engine'!P6=1,"Dubai","Abu Dhabi")</f>
        <v>Abu Dhabi</v>
      </c>
      <c r="W12" s="1361"/>
      <c r="AA12" s="1361" t="str">
        <f>IF('Group Engine'!S6=1,"Dubai","Abu Dhabi")</f>
        <v>Abu Dhabi</v>
      </c>
      <c r="AB12" s="1361"/>
      <c r="AF12" s="1361" t="str">
        <f>IF('Group Engine'!V6=1,"Dubai","Abu Dhabi")</f>
        <v>Abu Dhabi</v>
      </c>
      <c r="AG12" s="1361"/>
      <c r="AK12" s="1361" t="str">
        <f>IF('Group Engine'!Y6=1,"Dubai","Abu Dhabi")</f>
        <v>Abu Dhabi</v>
      </c>
      <c r="AL12" s="1361"/>
    </row>
    <row r="13" spans="1:40" ht="15" hidden="1" customHeight="1" outlineLevel="1" x14ac:dyDescent="0.25"/>
    <row r="14" spans="1:40" hidden="1" outlineLevel="1" x14ac:dyDescent="0.25">
      <c r="A14" s="451" t="s">
        <v>33</v>
      </c>
      <c r="B14" s="1353" t="str">
        <f>VLOOKUP(B$10,'General Basis'!$I$64:$J$71,2,0)</f>
        <v>RN3</v>
      </c>
      <c r="C14" s="1354"/>
      <c r="G14" s="1353" t="str">
        <f>VLOOKUP(G$10,'General Basis'!$I$64:$J$71,2,0)</f>
        <v>RN</v>
      </c>
      <c r="H14" s="1354"/>
      <c r="L14" s="1353" t="str">
        <f>VLOOKUP(L$10,'General Basis'!$I$64:$J$71,2,0)</f>
        <v>RN2</v>
      </c>
      <c r="M14" s="1354"/>
      <c r="Q14" s="1353" t="str">
        <f>VLOOKUP(Q$10,'General Basis'!$I$64:$J$71,2,0)</f>
        <v>RN2</v>
      </c>
      <c r="R14" s="1354"/>
      <c r="V14" s="1353" t="str">
        <f>VLOOKUP(V$10,'General Basis'!$I$64:$J$71,2,0)</f>
        <v>RN3</v>
      </c>
      <c r="W14" s="1354"/>
      <c r="AA14" s="1353" t="str">
        <f>VLOOKUP(AA$10,'General Basis'!$I$64:$J$71,2,0)</f>
        <v>RN3</v>
      </c>
      <c r="AB14" s="1354"/>
      <c r="AF14" s="1353" t="str">
        <f>VLOOKUP(AF$10,'General Basis'!$I$64:$J$71,2,0)</f>
        <v>RN3</v>
      </c>
      <c r="AG14" s="1354"/>
      <c r="AK14" s="1353" t="str">
        <f>VLOOKUP(AK$10,'General Basis'!$I$64:$J$71,2,0)</f>
        <v>RN3</v>
      </c>
      <c r="AL14" s="1354"/>
    </row>
    <row r="15" spans="1:40" hidden="1" outlineLevel="1" x14ac:dyDescent="0.25">
      <c r="B15" s="763" t="str">
        <f>IF(AND(B8="Abu Dhabi",B16&lt;250000),"Minimum Cover for AUH Plan is AED 250K","")</f>
        <v/>
      </c>
      <c r="G15" s="763" t="str">
        <f>IF(AND(G8="Abu Dhabi",G16&lt;250000),"Minimum Cover for AUH Plan is AED 250K","")</f>
        <v/>
      </c>
      <c r="L15" s="763" t="str">
        <f>IF(AND(L8="Abu Dhabi",L16&lt;250000),"Minimum Cover for AUH Plan is AED 250K","")</f>
        <v/>
      </c>
      <c r="Q15" s="763" t="str">
        <f>IF(AND(Q8="Abu Dhabi",Q16&lt;250000),"Minimum Cover for AUH Plan is AED 250K","")</f>
        <v/>
      </c>
      <c r="V15" s="763" t="str">
        <f>IF(AND(V8="Abu Dhabi",V16&lt;250000),"Minimum Cover for AUH Plan is AED 250K","")</f>
        <v/>
      </c>
      <c r="AA15" s="763" t="str">
        <f>IF(AND(AA8="Abu Dhabi",AA16&lt;250000),"Minimum Cover for AUH Plan is AED 250K","")</f>
        <v/>
      </c>
      <c r="AF15" s="763" t="str">
        <f>IF(AND(AF8="Abu Dhabi",AF16&lt;250000),"Minimum Cover for AUH Plan is AED 250K","")</f>
        <v/>
      </c>
      <c r="AK15" s="763" t="str">
        <f>IF(AND(AK8="Abu Dhabi",AK16&lt;250000),"Minimum Cover for AUH Plan is AED 250K","")</f>
        <v/>
      </c>
    </row>
    <row r="16" spans="1:40" ht="15.75" customHeight="1" collapsed="1" x14ac:dyDescent="0.25">
      <c r="A16" s="451" t="s">
        <v>104</v>
      </c>
      <c r="B16" s="1349">
        <v>150000</v>
      </c>
      <c r="C16" s="1349"/>
      <c r="E16" s="588">
        <f>IF(B3="",0,VLOOKUP(B16,'Group Engine'!$C$229:$D$238,2,0))</f>
        <v>0.98</v>
      </c>
      <c r="G16" s="1349">
        <v>1000000</v>
      </c>
      <c r="H16" s="1349"/>
      <c r="J16" s="588">
        <f>IF(G3="",0,VLOOKUP(G16,'Group Engine'!$F$229:$G$238,2,0))</f>
        <v>0</v>
      </c>
      <c r="L16" s="1349">
        <v>250000</v>
      </c>
      <c r="M16" s="1349"/>
      <c r="O16" s="588">
        <f>IF(L3="",0,VLOOKUP(L16,'Group Engine'!$I$229:$J$238,2,0))</f>
        <v>0</v>
      </c>
      <c r="Q16" s="1349">
        <v>250000</v>
      </c>
      <c r="R16" s="1349"/>
      <c r="T16" s="588">
        <f>IF(Q3="",0,VLOOKUP(Q16,'Group Engine'!$L$229:$M$238,2,0))</f>
        <v>0</v>
      </c>
      <c r="V16" s="1349">
        <v>250000</v>
      </c>
      <c r="W16" s="1349"/>
      <c r="Y16" s="588">
        <f>IF(V3="",0,VLOOKUP(V16,'Group Engine'!$O$229:$P$238,2,0))</f>
        <v>0</v>
      </c>
      <c r="AA16" s="1349">
        <v>250000</v>
      </c>
      <c r="AB16" s="1349"/>
      <c r="AD16" s="588">
        <f>IF(AA3="",0,VLOOKUP(AA16,'Group Engine'!$R$229:$S$238,2,0))</f>
        <v>0</v>
      </c>
      <c r="AF16" s="1349">
        <v>250000</v>
      </c>
      <c r="AG16" s="1349"/>
      <c r="AI16" s="588">
        <f>IF(AF3="",0,VLOOKUP(AF16,'Group Engine'!$U$229:$V$238,2,0))</f>
        <v>0</v>
      </c>
      <c r="AK16" s="1349">
        <v>250000</v>
      </c>
      <c r="AL16" s="1349"/>
      <c r="AN16" s="588">
        <f>IF(AK3="",0,VLOOKUP(AK16,'Group Engine'!$X$229:$Y$238,2,0))</f>
        <v>0</v>
      </c>
    </row>
    <row r="17" spans="1:40" x14ac:dyDescent="0.25">
      <c r="B17" s="763"/>
      <c r="G17" s="763"/>
      <c r="L17" s="763"/>
      <c r="Q17" s="763"/>
      <c r="V17" s="763"/>
      <c r="AA17" s="763"/>
      <c r="AF17" s="763"/>
      <c r="AK17" s="763"/>
    </row>
    <row r="18" spans="1:40" ht="15.75" customHeight="1" x14ac:dyDescent="0.25">
      <c r="A18" s="451" t="s">
        <v>106</v>
      </c>
      <c r="B18" s="1350" t="s">
        <v>25</v>
      </c>
      <c r="C18" s="1350"/>
      <c r="E18" s="588">
        <f>VLOOKUP(B18,'Group Engine'!$C$82:$D$84,2,0)</f>
        <v>1.0810810810810809</v>
      </c>
      <c r="G18" s="1350" t="s">
        <v>25</v>
      </c>
      <c r="H18" s="1350"/>
      <c r="J18" s="588">
        <f>VLOOKUP(G18,'Group Engine'!$F$82:$G$84,2,0)</f>
        <v>1</v>
      </c>
      <c r="L18" s="1351" t="s">
        <v>25</v>
      </c>
      <c r="M18" s="1352"/>
      <c r="O18" s="588">
        <f>VLOOKUP(L18,'Group Engine'!$I$82:$J$84,2,0)</f>
        <v>1.0526315789473684</v>
      </c>
      <c r="Q18" s="1350" t="s">
        <v>25</v>
      </c>
      <c r="R18" s="1350"/>
      <c r="T18" s="588">
        <f>VLOOKUP(Q18,'Group Engine'!$L$82:$M$84,2,0)</f>
        <v>1.0526315789473684</v>
      </c>
      <c r="V18" s="1350" t="s">
        <v>867</v>
      </c>
      <c r="W18" s="1350"/>
      <c r="Y18" s="588">
        <f>VLOOKUP(V18,'Group Engine'!$O$82:$P$84,2,0)</f>
        <v>1.027027027027027</v>
      </c>
      <c r="AA18" s="1350" t="s">
        <v>867</v>
      </c>
      <c r="AB18" s="1350"/>
      <c r="AD18" s="588">
        <f>VLOOKUP(AA18,'Group Engine'!$R$82:$S$84,2,0)</f>
        <v>1.027027027027027</v>
      </c>
      <c r="AF18" s="1350" t="s">
        <v>867</v>
      </c>
      <c r="AG18" s="1350"/>
      <c r="AI18" s="588">
        <f>VLOOKUP(AF18,'Group Engine'!$U$82:$V$84,2,0)</f>
        <v>1.027027027027027</v>
      </c>
      <c r="AK18" s="1350" t="s">
        <v>867</v>
      </c>
      <c r="AL18" s="1350"/>
      <c r="AN18" s="588">
        <f>VLOOKUP(AK18,'Group Engine'!$X$82:$Y$84,2,0)</f>
        <v>1.027027027027027</v>
      </c>
    </row>
    <row r="19" spans="1:40" x14ac:dyDescent="0.25"/>
    <row r="20" spans="1:40" ht="82.5" customHeight="1" x14ac:dyDescent="0.25">
      <c r="A20" s="721" t="s">
        <v>865</v>
      </c>
      <c r="B20" s="1344">
        <v>0</v>
      </c>
      <c r="C20" s="1344"/>
      <c r="E20" s="588">
        <f>VLOOKUP(B20,'Group Basis'!$A$187:$B$191,2,0)</f>
        <v>1</v>
      </c>
      <c r="G20" s="1344">
        <v>0</v>
      </c>
      <c r="H20" s="1344"/>
      <c r="J20" s="588">
        <f>VLOOKUP(G20,'Group Basis'!$A$187:$B$191,2,0)</f>
        <v>1</v>
      </c>
      <c r="L20" s="1344">
        <v>0</v>
      </c>
      <c r="M20" s="1344"/>
      <c r="O20" s="588">
        <f>VLOOKUP(L20,'Group Basis'!$A$187:$B$191,2,0)</f>
        <v>1</v>
      </c>
      <c r="Q20" s="1344">
        <v>0</v>
      </c>
      <c r="R20" s="1344"/>
      <c r="T20" s="588">
        <f>VLOOKUP(Q20,'Group Basis'!$A$187:$B$191,2,0)</f>
        <v>1</v>
      </c>
      <c r="V20" s="1344">
        <v>0</v>
      </c>
      <c r="W20" s="1344"/>
      <c r="Y20" s="588">
        <f>VLOOKUP(V20,'Group Basis'!$A$187:$B$191,2,0)</f>
        <v>1</v>
      </c>
      <c r="AA20" s="1344">
        <v>0</v>
      </c>
      <c r="AB20" s="1344"/>
      <c r="AD20" s="588">
        <f>VLOOKUP(AA20,'Group Basis'!$A$187:$B$191,2,0)</f>
        <v>1</v>
      </c>
      <c r="AF20" s="1344">
        <v>0</v>
      </c>
      <c r="AG20" s="1344"/>
      <c r="AI20" s="588">
        <f>VLOOKUP(AF20,'Group Basis'!$A$187:$B$191,2,0)</f>
        <v>1</v>
      </c>
      <c r="AK20" s="1344">
        <v>0</v>
      </c>
      <c r="AL20" s="1344"/>
      <c r="AN20" s="588">
        <f>VLOOKUP(AK20,'Group Basis'!$A$187:$B$191,2,0)</f>
        <v>1</v>
      </c>
    </row>
    <row r="21" spans="1:40" x14ac:dyDescent="0.25"/>
    <row r="22" spans="1:40" ht="15.75" customHeight="1" x14ac:dyDescent="0.25">
      <c r="A22" s="451" t="s">
        <v>924</v>
      </c>
      <c r="B22" s="1348" t="s">
        <v>347</v>
      </c>
      <c r="C22" s="1348"/>
      <c r="E22" s="589">
        <f>IF(B3="",0,VLOOKUP(B$22,'Group Basis'!$D$169:$E$190,2,0))</f>
        <v>1</v>
      </c>
      <c r="G22" s="1348" t="s">
        <v>347</v>
      </c>
      <c r="H22" s="1348"/>
      <c r="J22" s="589">
        <f>IF(G3="",0,VLOOKUP(G$22,'Group Basis'!$D$169:$E$190,2,0))</f>
        <v>0</v>
      </c>
      <c r="L22" s="1348" t="s">
        <v>347</v>
      </c>
      <c r="M22" s="1348"/>
      <c r="O22" s="589">
        <f>IF(L3="",0,VLOOKUP(L$22,'Group Basis'!$D$169:$E$190,2,0))</f>
        <v>0</v>
      </c>
      <c r="Q22" s="1348" t="s">
        <v>347</v>
      </c>
      <c r="R22" s="1348"/>
      <c r="T22" s="589">
        <f>IF(Q3="",0,VLOOKUP(Q$22,'Group Basis'!$D$169:$E$190,2,0))</f>
        <v>0</v>
      </c>
      <c r="V22" s="1348" t="s">
        <v>107</v>
      </c>
      <c r="W22" s="1348"/>
      <c r="Y22" s="589">
        <f>IF(V3="",0,VLOOKUP(V$22,'Group Basis'!$D$169:$E$190,2,0))</f>
        <v>0</v>
      </c>
      <c r="AA22" s="1348" t="s">
        <v>345</v>
      </c>
      <c r="AB22" s="1348"/>
      <c r="AD22" s="589">
        <f>IF(AA3="",0,VLOOKUP(AA$22,'Group Basis'!$D$169:$E$190,2,0))</f>
        <v>0</v>
      </c>
      <c r="AF22" s="1348" t="s">
        <v>347</v>
      </c>
      <c r="AG22" s="1348"/>
      <c r="AI22" s="589">
        <f>IF(AF3="",0,VLOOKUP(AF$22,'Group Basis'!$D$169:$E$190,2,0))</f>
        <v>0</v>
      </c>
      <c r="AK22" s="1348" t="s">
        <v>348</v>
      </c>
      <c r="AL22" s="1348"/>
      <c r="AN22" s="589">
        <f>IF(AK3="",0,VLOOKUP(AK$22,'Group Basis'!$D$169:$E$190,2,0))</f>
        <v>0</v>
      </c>
    </row>
    <row r="23" spans="1:40" x14ac:dyDescent="0.25"/>
    <row r="24" spans="1:40" ht="15.75" customHeight="1" x14ac:dyDescent="0.25">
      <c r="A24" s="451" t="s">
        <v>930</v>
      </c>
      <c r="B24" s="1348" t="s">
        <v>342</v>
      </c>
      <c r="C24" s="1348"/>
      <c r="E24" s="589">
        <f>IF(B3="",0,VLOOKUP(B$24,'Group Engine'!$C$217:$D$222,2,0))</f>
        <v>1</v>
      </c>
      <c r="G24" s="1348" t="s">
        <v>342</v>
      </c>
      <c r="H24" s="1348"/>
      <c r="J24" s="589">
        <f>IF(G3="",0,VLOOKUP(G$24,'Group Engine'!$F$217:$G$222,2,0))</f>
        <v>0</v>
      </c>
      <c r="L24" s="1348" t="s">
        <v>342</v>
      </c>
      <c r="M24" s="1348"/>
      <c r="O24" s="589">
        <f>IF(L3="",0,VLOOKUP(L$24,'Group Engine'!$I$217:$J$222,2,0))</f>
        <v>0</v>
      </c>
      <c r="Q24" s="1348" t="s">
        <v>342</v>
      </c>
      <c r="R24" s="1348"/>
      <c r="T24" s="589">
        <f>IF(Q3="",0,VLOOKUP(Q$24,'Group Engine'!$L$217:$M$222,2,0))</f>
        <v>0</v>
      </c>
      <c r="V24" s="1348" t="s">
        <v>342</v>
      </c>
      <c r="W24" s="1348"/>
      <c r="Y24" s="589">
        <f>IF(V3="",0,VLOOKUP(V$24,'Group Engine'!$O$217:$P$222,2,0))</f>
        <v>0</v>
      </c>
      <c r="AA24" s="1348" t="s">
        <v>342</v>
      </c>
      <c r="AB24" s="1348"/>
      <c r="AD24" s="589">
        <f>IF(AA3="",0,VLOOKUP(AA$24,'Group Engine'!$R$217:$S$222,2,0))</f>
        <v>0</v>
      </c>
      <c r="AF24" s="1348" t="s">
        <v>342</v>
      </c>
      <c r="AG24" s="1348"/>
      <c r="AI24" s="589">
        <f>IF(AF3="",0,VLOOKUP(AF$24,'Group Engine'!$U$217:$V$222,2,0))</f>
        <v>0</v>
      </c>
      <c r="AK24" s="1348" t="s">
        <v>342</v>
      </c>
      <c r="AL24" s="1348"/>
      <c r="AN24" s="589">
        <f>IF(AK3="",0,VLOOKUP(AK$24,'Group Engine'!$X$217:$Y$222,2,0))</f>
        <v>0</v>
      </c>
    </row>
    <row r="25" spans="1:40" x14ac:dyDescent="0.25"/>
    <row r="26" spans="1:40" ht="32.25" customHeight="1" x14ac:dyDescent="0.25">
      <c r="A26" s="721" t="s">
        <v>1024</v>
      </c>
      <c r="B26" s="1348" t="s">
        <v>925</v>
      </c>
      <c r="C26" s="1348"/>
      <c r="E26" s="589">
        <f>IF(B3="",0,VLOOKUP(B$26,'Group Basis'!$A$169:$B$184,2,0))</f>
        <v>1</v>
      </c>
      <c r="G26" s="1348" t="s">
        <v>925</v>
      </c>
      <c r="H26" s="1348"/>
      <c r="J26" s="589">
        <f>IF(G3="",0,VLOOKUP(G$26,'Group Basis'!$A$169:$B$184,2,0))</f>
        <v>0</v>
      </c>
      <c r="L26" s="1348" t="s">
        <v>925</v>
      </c>
      <c r="M26" s="1348"/>
      <c r="O26" s="589">
        <f>IF(L3="",0,VLOOKUP(L$26,'Group Basis'!$A$169:$B$184,2,0))</f>
        <v>0</v>
      </c>
      <c r="Q26" s="1348" t="s">
        <v>925</v>
      </c>
      <c r="R26" s="1348"/>
      <c r="T26" s="589">
        <f>IF(Q3="",0,VLOOKUP(Q$26,'Group Basis'!$A$169:$B$184,2,0))</f>
        <v>0</v>
      </c>
      <c r="V26" s="1348" t="s">
        <v>929</v>
      </c>
      <c r="W26" s="1348"/>
      <c r="Y26" s="589">
        <f>IF(V3="",0,VLOOKUP(V$26,'Group Basis'!$A$169:$B$184,2,0))</f>
        <v>0</v>
      </c>
      <c r="AA26" s="1348" t="s">
        <v>925</v>
      </c>
      <c r="AB26" s="1348"/>
      <c r="AD26" s="589">
        <f>IF(AA3="",0,VLOOKUP(AA$26,'Group Basis'!$A$169:$B$184,2,0))</f>
        <v>0</v>
      </c>
      <c r="AF26" s="1348" t="s">
        <v>927</v>
      </c>
      <c r="AG26" s="1348"/>
      <c r="AI26" s="589">
        <f>IF(AF3="",0,VLOOKUP(AF$26,'Group Basis'!$A$169:$B$184,2,0))</f>
        <v>0</v>
      </c>
      <c r="AK26" s="1348" t="s">
        <v>929</v>
      </c>
      <c r="AL26" s="1348"/>
      <c r="AN26" s="589">
        <f>IF(AK3="",0,VLOOKUP(AK$26,'Group Basis'!$A$169:$B$184,2,0))</f>
        <v>0</v>
      </c>
    </row>
    <row r="27" spans="1:40" x14ac:dyDescent="0.25"/>
    <row r="28" spans="1:40" x14ac:dyDescent="0.25">
      <c r="A28" s="451" t="s">
        <v>108</v>
      </c>
      <c r="B28" s="1344">
        <v>0</v>
      </c>
      <c r="C28" s="1344"/>
      <c r="E28" s="589">
        <f>IF(B3="",0,VLOOKUP(B$28,'Group Basis'!$G$179:$H$185,2,0))</f>
        <v>1</v>
      </c>
      <c r="G28" s="1344">
        <v>0</v>
      </c>
      <c r="H28" s="1344"/>
      <c r="J28" s="589">
        <f>IF(G3="",0,VLOOKUP(G$28,'Group Basis'!$G$179:$H$185,2,0))</f>
        <v>0</v>
      </c>
      <c r="L28" s="1344">
        <v>0</v>
      </c>
      <c r="M28" s="1344"/>
      <c r="O28" s="589">
        <f>IF(L3="",0,VLOOKUP(L$28,'Group Basis'!$G$179:$H$185,2,0))</f>
        <v>0</v>
      </c>
      <c r="Q28" s="1344">
        <v>0</v>
      </c>
      <c r="R28" s="1344"/>
      <c r="T28" s="589">
        <f>IF(Q3="",0,VLOOKUP(Q$28,'Group Basis'!$G$179:$H$185,2,0))</f>
        <v>0</v>
      </c>
      <c r="V28" s="1344">
        <v>0.2</v>
      </c>
      <c r="W28" s="1344"/>
      <c r="Y28" s="589">
        <f>IF(V3="",0,VLOOKUP(V$28,'Group Basis'!$G$179:$H$185,2,0))</f>
        <v>0</v>
      </c>
      <c r="AA28" s="1344">
        <v>0</v>
      </c>
      <c r="AB28" s="1344"/>
      <c r="AD28" s="589">
        <f>IF(AA3="",0,VLOOKUP(AA$28,'Group Basis'!$G$179:$H$185,2,0))</f>
        <v>0</v>
      </c>
      <c r="AF28" s="1344">
        <v>0.05</v>
      </c>
      <c r="AG28" s="1344"/>
      <c r="AI28" s="589">
        <f>IF(AF3="",0,VLOOKUP(AF$28,'Group Basis'!$G$179:$H$185,2,0))</f>
        <v>0</v>
      </c>
      <c r="AK28" s="1344">
        <v>0.3</v>
      </c>
      <c r="AL28" s="1344"/>
      <c r="AN28" s="589">
        <f>IF(AK3="",0,VLOOKUP(AK$28,'Group Basis'!$G$179:$H$185,2,0))</f>
        <v>0</v>
      </c>
    </row>
    <row r="29" spans="1:40" x14ac:dyDescent="0.25"/>
    <row r="30" spans="1:40" x14ac:dyDescent="0.25">
      <c r="A30" s="451" t="s">
        <v>658</v>
      </c>
      <c r="B30" s="1344" t="s">
        <v>781</v>
      </c>
      <c r="C30" s="1344"/>
      <c r="E30" s="589">
        <f>IF(B3="",0,VLOOKUP(B$30,'Group Basis'!$G$169:$H$176,2,0))</f>
        <v>1</v>
      </c>
      <c r="G30" s="1344" t="s">
        <v>781</v>
      </c>
      <c r="H30" s="1344"/>
      <c r="J30" s="589">
        <f>IF(G3="",0,VLOOKUP(G$30,'Group Basis'!$G$169:$H$176,2,0))</f>
        <v>0</v>
      </c>
      <c r="L30" s="1344" t="s">
        <v>781</v>
      </c>
      <c r="M30" s="1344"/>
      <c r="O30" s="589">
        <f>IF(L3="",0,VLOOKUP(L$30,'Group Basis'!$G$169:$H$176,2,0))</f>
        <v>0</v>
      </c>
      <c r="Q30" s="1344" t="s">
        <v>781</v>
      </c>
      <c r="R30" s="1344"/>
      <c r="T30" s="589">
        <f>IF(Q3="",0,VLOOKUP(Q$30,'Group Basis'!$G$169:$H$176,2,0))</f>
        <v>0</v>
      </c>
      <c r="V30" s="1344" t="s">
        <v>781</v>
      </c>
      <c r="W30" s="1344"/>
      <c r="Y30" s="589">
        <f>IF(V3="",0,VLOOKUP(V$30,'Group Basis'!$G$169:$H$176,2,0))</f>
        <v>0</v>
      </c>
      <c r="AA30" s="1344" t="s">
        <v>781</v>
      </c>
      <c r="AB30" s="1344"/>
      <c r="AD30" s="589">
        <f>IF(AA3="",0,VLOOKUP(AA$30,'Group Basis'!$G$169:$H$176,2,0))</f>
        <v>0</v>
      </c>
      <c r="AF30" s="1344" t="s">
        <v>781</v>
      </c>
      <c r="AG30" s="1344"/>
      <c r="AI30" s="589">
        <f>IF(AF3="",0,VLOOKUP(AF$30,'Group Basis'!$G$169:$H$176,2,0))</f>
        <v>0</v>
      </c>
      <c r="AK30" s="1344" t="s">
        <v>781</v>
      </c>
      <c r="AL30" s="1344"/>
      <c r="AN30" s="589">
        <f>IF(AK3="",0,VLOOKUP(AK$30,'Group Basis'!$G$169:$H$176,2,0))</f>
        <v>0</v>
      </c>
    </row>
    <row r="31" spans="1:40" x14ac:dyDescent="0.25"/>
    <row r="32" spans="1:40" x14ac:dyDescent="0.25">
      <c r="A32" s="451" t="s">
        <v>1025</v>
      </c>
      <c r="B32" s="1348" t="s">
        <v>1027</v>
      </c>
      <c r="C32" s="1348"/>
      <c r="E32" s="589">
        <f>IF(B32="Generic",96.5%,100%)</f>
        <v>1</v>
      </c>
      <c r="G32" s="1348" t="s">
        <v>1027</v>
      </c>
      <c r="H32" s="1348"/>
      <c r="J32" s="589">
        <f>IF(G32="Generic",96.5%,100%)</f>
        <v>1</v>
      </c>
      <c r="L32" s="1348" t="s">
        <v>1027</v>
      </c>
      <c r="M32" s="1348"/>
      <c r="O32" s="589">
        <f>IF(L32="Generic",96.5%,100%)</f>
        <v>1</v>
      </c>
      <c r="Q32" s="1348" t="s">
        <v>1027</v>
      </c>
      <c r="R32" s="1348"/>
      <c r="T32" s="589">
        <f>IF(Q32="Generic",96.5%,100%)</f>
        <v>1</v>
      </c>
      <c r="V32" s="1348" t="s">
        <v>1026</v>
      </c>
      <c r="W32" s="1348"/>
      <c r="Y32" s="589">
        <f>IF(V32="Generic",96.5%,100%)</f>
        <v>0.96499999999999997</v>
      </c>
      <c r="AA32" s="1348" t="s">
        <v>1026</v>
      </c>
      <c r="AB32" s="1348"/>
      <c r="AD32" s="589">
        <f>IF(AA32="Generic",96.5%,100%)</f>
        <v>0.96499999999999997</v>
      </c>
      <c r="AF32" s="1348" t="s">
        <v>1026</v>
      </c>
      <c r="AG32" s="1348"/>
      <c r="AI32" s="589">
        <f>IF(AF32="Generic",96.5%,100%)</f>
        <v>0.96499999999999997</v>
      </c>
      <c r="AK32" s="1348" t="s">
        <v>1026</v>
      </c>
      <c r="AL32" s="1348"/>
      <c r="AN32" s="589">
        <f>IF(AK32="Generic",96.5%,100%)</f>
        <v>0.96499999999999997</v>
      </c>
    </row>
    <row r="33" spans="1:40" x14ac:dyDescent="0.25"/>
    <row r="34" spans="1:40" x14ac:dyDescent="0.25">
      <c r="A34" s="1363" t="s">
        <v>734</v>
      </c>
      <c r="B34" s="1343" t="s">
        <v>781</v>
      </c>
      <c r="C34" s="1343"/>
      <c r="E34" s="589">
        <f>IF('Age Banded Rating'!C273=0%,IF(B14=GN_Plus,VLOOKUP(B34,PEC_Adjt_Table,2,0),IF(B14=GN,VLOOKUP(B34,PEC_Adjt_Table,3,0),IF(B14=RN_Plus,VLOOKUP(B34,PEC_Adjt_Table,4,0),IF(B14=RN,VLOOKUP(B34,PEC_Adjt_Table,5,0),IF(B14=RN_2,VLOOKUP(B34,PEC_Adjt_Table,6,0),IF(B14=RN2_minus,VLOOKUP(B34,PEC_Adjt_Table,7,0),IF(B14=RN_3,VLOOKUP(B34,PEC_Adjt_Table,8,0),IF(B14=VN,VLOOKUP(B34,PEC_Adjt_Table,9,0),0)))))))),'Age Banded Rating'!C273)</f>
        <v>1</v>
      </c>
      <c r="G34" s="1343" t="s">
        <v>781</v>
      </c>
      <c r="H34" s="1343"/>
      <c r="J34" s="589">
        <f>IF('Age Banded Rating'!D273=0%,IF(G14=GN_Plus,VLOOKUP(G34,PEC_Adjt_Table,2,0),IF(G14=GN,VLOOKUP(G34,PEC_Adjt_Table,3,0),IF(G14=RN_Plus,VLOOKUP(G34,PEC_Adjt_Table,4,0),IF(G14=RN,VLOOKUP(G34,PEC_Adjt_Table,5,0),IF(G14=RN_2,VLOOKUP(G34,PEC_Adjt_Table,6,0),IF(G14=RN2_minus,VLOOKUP(G34,PEC_Adjt_Table,7,0),IF(G14=RN_3,VLOOKUP(G34,PEC_Adjt_Table,8,0),IF(G14=VN,VLOOKUP(G34,PEC_Adjt_Table,9,0),0)))))))),'Age Banded Rating'!D273)</f>
        <v>1</v>
      </c>
      <c r="L34" s="1343" t="s">
        <v>781</v>
      </c>
      <c r="M34" s="1343"/>
      <c r="O34" s="589">
        <f>IF('Age Banded Rating'!E273=0%,IF(L14=GN_Plus,VLOOKUP(L34,PEC_Adjt_Table,2,0),IF(L14=GN,VLOOKUP(L34,PEC_Adjt_Table,3,0),IF(L14=RN_Plus,VLOOKUP(L34,PEC_Adjt_Table,4,0),IF(L14=RN,VLOOKUP(L34,PEC_Adjt_Table,5,0),IF(L14=RN_2,VLOOKUP(L34,PEC_Adjt_Table,6,0),IF(L14=RN2_minus,VLOOKUP(L34,PEC_Adjt_Table,7,0),IF(L14=RN_3,VLOOKUP(L34,PEC_Adjt_Table,8,0),IF(L14=VN,VLOOKUP(L34,PEC_Adjt_Table,9,0),0)))))))),'Age Banded Rating'!E273)</f>
        <v>1</v>
      </c>
      <c r="Q34" s="1343" t="s">
        <v>781</v>
      </c>
      <c r="R34" s="1343"/>
      <c r="T34" s="589">
        <f>IF('Age Banded Rating'!F273=0%,IF(Q14=GN_Plus,VLOOKUP(Q34,PEC_Adjt_Table,2,0),IF(Q14=GN,VLOOKUP(Q34,PEC_Adjt_Table,3,0),IF(Q14=RN_Plus,VLOOKUP(Q34,PEC_Adjt_Table,4,0),IF(Q14=RN,VLOOKUP(Q34,PEC_Adjt_Table,5,0),IF(Q14=RN_2,VLOOKUP(Q34,PEC_Adjt_Table,6,0),IF(Q14=RN2_minus,VLOOKUP(Q34,PEC_Adjt_Table,7,0),IF(Q14=RN_3,VLOOKUP(Q34,PEC_Adjt_Table,8,0),IF(Q14=VN,VLOOKUP(Q34,PEC_Adjt_Table,9,0),0)))))))),'Age Banded Rating'!F273)</f>
        <v>1</v>
      </c>
      <c r="V34" s="1343" t="s">
        <v>781</v>
      </c>
      <c r="W34" s="1343"/>
      <c r="Y34" s="589">
        <f>IF('Age Banded Rating'!G273=0%,IF(V14=GN_Plus,VLOOKUP(V34,PEC_Adjt_Table,2,0),IF(V14=GN,VLOOKUP(V34,PEC_Adjt_Table,3,0),IF(V14=RN_Plus,VLOOKUP(V34,PEC_Adjt_Table,4,0),IF(V14=RN,VLOOKUP(V34,PEC_Adjt_Table,5,0),IF(V14=RN_2,VLOOKUP(V34,PEC_Adjt_Table,6,0),IF(V14=RN2_minus,VLOOKUP(V34,PEC_Adjt_Table,7,0),IF(V14=RN_3,VLOOKUP(V34,PEC_Adjt_Table,8,0),IF(V14=VN,VLOOKUP(V34,PEC_Adjt_Table,9,0),0)))))))),'Age Banded Rating'!G273)</f>
        <v>1</v>
      </c>
      <c r="AA34" s="1343">
        <v>150000</v>
      </c>
      <c r="AB34" s="1343"/>
      <c r="AD34" s="589">
        <f>IF('Age Banded Rating'!H273=0%,IF(AA14=GN_Plus,VLOOKUP(AA34,PEC_Adjt_Table,2,0),IF(AA14=GN,VLOOKUP(AA34,PEC_Adjt_Table,3,0),IF(AA14=RN_Plus,VLOOKUP(AA34,PEC_Adjt_Table,4,0),IF(AA14=RN,VLOOKUP(AA34,PEC_Adjt_Table,5,0),IF(AA14=RN_2,VLOOKUP(AA34,PEC_Adjt_Table,6,0),IF(AA14=RN2_minus,VLOOKUP(AA34,PEC_Adjt_Table,7,0),IF(AA14=RN_3,VLOOKUP(AA34,PEC_Adjt_Table,8,0),IF(AA14=VN,VLOOKUP(AA34,PEC_Adjt_Table,9,0),0)))))))),'Age Banded Rating'!H273)</f>
        <v>0.98969072164948457</v>
      </c>
      <c r="AF34" s="1343">
        <v>150000</v>
      </c>
      <c r="AG34" s="1343"/>
      <c r="AI34" s="589">
        <f>IF('Age Banded Rating'!I273=0%,IF(AF14=GN_Plus,VLOOKUP(AF34,PEC_Adjt_Table,2,0),IF(AF14=GN,VLOOKUP(AF34,PEC_Adjt_Table,3,0),IF(AF14=RN_Plus,VLOOKUP(AF34,PEC_Adjt_Table,4,0),IF(AF14=RN,VLOOKUP(AF34,PEC_Adjt_Table,5,0),IF(AF14=RN_2,VLOOKUP(AF34,PEC_Adjt_Table,6,0),IF(AF14=RN2_minus,VLOOKUP(AF34,PEC_Adjt_Table,7,0),IF(AF14=RN_3,VLOOKUP(AF34,PEC_Adjt_Table,8,0),IF(AF14=VN,VLOOKUP(AF34,PEC_Adjt_Table,9,0),0)))))))),'Age Banded Rating'!I273)</f>
        <v>0.98969072164948457</v>
      </c>
      <c r="AK34" s="1343">
        <v>150000</v>
      </c>
      <c r="AL34" s="1343"/>
      <c r="AN34" s="589">
        <f>IF('Age Banded Rating'!J273=0%,IF(AK14=GN_Plus,VLOOKUP(AK34,PEC_Adjt_Table,2,0),IF(AK14=GN,VLOOKUP(AK34,PEC_Adjt_Table,3,0),IF(AK14=RN_Plus,VLOOKUP(AK34,PEC_Adjt_Table,4,0),IF(AK14=RN,VLOOKUP(AK34,PEC_Adjt_Table,5,0),IF(AK14=RN_2,VLOOKUP(AK34,PEC_Adjt_Table,6,0),IF(AK14=RN2_minus,VLOOKUP(AK34,PEC_Adjt_Table,7,0),IF(AK14=RN_3,VLOOKUP(AK34,PEC_Adjt_Table,8,0),IF(AK14=VN,VLOOKUP(AK34,PEC_Adjt_Table,9,0),0)))))))),'Age Banded Rating'!J273)</f>
        <v>0.98969072164948457</v>
      </c>
    </row>
    <row r="35" spans="1:40" ht="38.25" customHeight="1" x14ac:dyDescent="0.25">
      <c r="A35" s="1363"/>
      <c r="B35" s="1364" t="str">
        <f>IF(AND(IF(B9="Abu Dhabi",B16=250000,B16=150000),B34="Upto AML"),"",IF(OR(B34="Upto AML",AND(B16=B34,IF(B9="Abu Dhabi",B16&gt;250000,B16&gt;150000))),". AML applies if evidence of continuity of coverage (COC) in UAE is provided; otherwise, PEC will be restricted to AED "&amp;IF(B9="Abu Dhabi",250000,150000),""))</f>
        <v/>
      </c>
      <c r="C35" s="1364"/>
      <c r="G35" s="1364" t="str">
        <f>IF(AND(IF(G9="Abu Dhabi",G16=250000,G16=150000),G34="Upto AML"),"",IF(OR(G34="Upto AML",AND(G16=G34,IF(G9="Abu Dhabi",G16&gt;250000,G16&gt;150000))),". AML applies if evidence of continuity of coverage (COC) in UAE is provided; otherwise, PEC will be restricted to AED "&amp;IF(G9="Abu Dhabi",250000,150000),""))</f>
        <v>. AML applies if evidence of continuity of coverage (COC) in UAE is provided; otherwise, PEC will be restricted to AED 150000</v>
      </c>
      <c r="H35" s="1364"/>
      <c r="L35" s="1364" t="str">
        <f>IF(AND(IF(L9="Abu Dhabi",L16=250000,L16=150000),L34="Upto AML"),"",IF(OR(L34="Upto AML",AND(L16=L34,IF(L9="Abu Dhabi",L16&gt;250000,L16&gt;150000))),". AML applies if evidence of continuity of coverage (COC) in UAE is provided; otherwise, PEC will be restricted to AED "&amp;IF(L9="Abu Dhabi",250000,150000),""))</f>
        <v>. AML applies if evidence of continuity of coverage (COC) in UAE is provided; otherwise, PEC will be restricted to AED 150000</v>
      </c>
      <c r="M35" s="1364"/>
      <c r="Q35" s="1364" t="str">
        <f>IF(AND(IF(Q9="Abu Dhabi",Q16=250000,Q16=150000),Q34="Upto AML"),"",IF(OR(Q34="Upto AML",AND(Q16=Q34,IF(Q9="Abu Dhabi",Q16&gt;250000,Q16&gt;150000))),". AML applies if evidence of continuity of coverage (COC) in UAE is provided; otherwise, PEC will be restricted to AED "&amp;IF(Q9="Abu Dhabi",250000,150000),""))</f>
        <v>. AML applies if evidence of continuity of coverage (COC) in UAE is provided; otherwise, PEC will be restricted to AED 150000</v>
      </c>
      <c r="R35" s="1364"/>
      <c r="V35" s="1364" t="str">
        <f>IF(AND(IF(V9="Abu Dhabi",V16=250000,V16=150000),V34="Upto AML"),"",IF(OR(V34="Upto AML",AND(V16=V34,IF(V9="Abu Dhabi",V16&gt;250000,V16&gt;150000))),". AML applies if evidence of continuity of coverage (COC) in UAE is provided; otherwise, PEC will be restricted to AED "&amp;IF(V9="Abu Dhabi",250000,150000),""))</f>
        <v>. AML applies if evidence of continuity of coverage (COC) in UAE is provided; otherwise, PEC will be restricted to AED 150000</v>
      </c>
      <c r="W35" s="1364"/>
      <c r="AA35" s="1364" t="str">
        <f>IF(AND(IF(AA9="Abu Dhabi",AA16=250000,AA16=150000),AA34="Upto AML"),"",IF(OR(AA34="Upto AML",AND(AA16=AA34,IF(AA9="Abu Dhabi",AA16&gt;250000,AA16&gt;150000))),". AML applies if evidence of continuity of coverage (COC) in UAE is provided; otherwise, PEC will be restricted to AED "&amp;IF(AA9="Abu Dhabi",250000,150000),""))</f>
        <v/>
      </c>
      <c r="AB35" s="1364"/>
      <c r="AF35" s="1364" t="str">
        <f>IF(AND(IF(AF9="Abu Dhabi",AF16=250000,AF16=150000),AF34="Upto AML"),"",IF(OR(AF34="Upto AML",AND(AF16=AF34,IF(AF9="Abu Dhabi",AF16&gt;250000,AF16&gt;150000))),". AML applies if evidence of continuity of coverage (COC) in UAE is provided; otherwise, PEC will be restricted to AED "&amp;IF(AF9="Abu Dhabi",250000,150000),""))</f>
        <v/>
      </c>
      <c r="AG35" s="1364"/>
      <c r="AI35" s="763"/>
      <c r="AK35" s="1364" t="str">
        <f>IF(AND(IF(AK9="Abu Dhabi",AK16=250000,AK16=150000),AK34="Upto AML"),"",IF(OR(AK34="Upto AML",AND(AK16=AK34,IF(AK9="Abu Dhabi",AK16&gt;250000,AK16&gt;150000))),". AML applies if evidence of continuity of coverage (COC) in UAE is provided; otherwise, PEC will be restricted to AED "&amp;IF(AK9="Abu Dhabi",250000,150000),""))</f>
        <v/>
      </c>
      <c r="AL35" s="1364"/>
    </row>
    <row r="36" spans="1:40" x14ac:dyDescent="0.25">
      <c r="A36" s="545" t="s">
        <v>116</v>
      </c>
    </row>
    <row r="37" spans="1:40" x14ac:dyDescent="0.25">
      <c r="B37" s="763" t="str">
        <f>IF(AND(B8="Dubai",B38="Up to AML"),"Reselect the Maternity Limit",IF(AND(B8="Dubai",B38&gt;0),"",IF(B38="Not Covered","",IF(AND(B8="Abu Dhabi",B38="Up to AML"),"","Reselect the Maternity Limit"))))</f>
        <v/>
      </c>
      <c r="G37" s="763" t="str">
        <f>IF(AND(G8="Dubai",G38="Up to AML"),"Reselect the Maternity Limit",IF(AND(G8="Dubai",G38&gt;0),"",IF(G38="Not Covered","",IF(AND(G8="Abu Dhabi",G38="Up to AML"),"","Reselect the Maternity Limit"))))</f>
        <v/>
      </c>
      <c r="L37" s="763" t="str">
        <f>IF(AND(L8="Dubai",L38="Up to AML"),"Reselect the Maternity Limit",IF(AND(L8="Dubai",L38&gt;0),"",IF(L38="Not Covered","",IF(AND(L8="Abu Dhabi",L38="Up to AML"),"","Reselect the Maternity Limit"))))</f>
        <v/>
      </c>
      <c r="Q37" s="763" t="str">
        <f>IF(AND(Q8="Dubai",Q38="Up to AML"),"Reselect the Maternity Limit",IF(AND(Q8="Dubai",Q38&gt;0),"",IF(Q38="Not Covered","",IF(AND(Q8="Abu Dhabi",Q38="Up to AML"),"","Reselect the Maternity Limit"))))</f>
        <v/>
      </c>
      <c r="V37" s="763" t="str">
        <f>IF(AND(V8="Dubai",V38="Up to AML"),"Reselect the Maternity Limit",IF(AND(V8="Dubai",V38&gt;0),"",IF(V38="Not Covered","",IF(AND(V8="Abu Dhabi",V38="Up to AML"),"","Reselect the Maternity Limit"))))</f>
        <v>Reselect the Maternity Limit</v>
      </c>
      <c r="AA37" s="763" t="str">
        <f>IF(AND(AA8="Dubai",AA38="Up to AML"),"Reselect the Maternity Limit",IF(AND(AA8="Dubai",AA38&gt;0),"",IF(AA38="Not Covered","",IF(AND(AA8="Abu Dhabi",AA38="Up to AML"),"","Reselect the Maternity Limit"))))</f>
        <v>Reselect the Maternity Limit</v>
      </c>
      <c r="AF37" s="763" t="str">
        <f>IF(AND(AF8="Dubai",AF38="Up to AML"),"Reselect the Maternity Limit",IF(AND(AF8="Dubai",AF38&gt;0),"",IF(AF38="Not Covered","",IF(AND(AF8="Abu Dhabi",AF38="Up to AML"),"","Reselect the Maternity Limit"))))</f>
        <v>Reselect the Maternity Limit</v>
      </c>
      <c r="AK37" s="763" t="str">
        <f>IF(AND(AK8="Dubai",AK38="Up to AML"),"Reselect the Maternity Limit",IF(AND(AK8="Dubai",AK38&gt;0),"",IF(AK38="Not Covered","",IF(AND(AK8="Abu Dhabi",AK38="Up to AML"),"","Reselect the Maternity Limit"))))</f>
        <v>Reselect the Maternity Limit</v>
      </c>
    </row>
    <row r="38" spans="1:40" ht="15.75" customHeight="1" x14ac:dyDescent="0.25">
      <c r="A38" s="451" t="s">
        <v>117</v>
      </c>
      <c r="B38" s="1343">
        <v>10000</v>
      </c>
      <c r="C38" s="1343"/>
      <c r="G38" s="1343">
        <v>10000</v>
      </c>
      <c r="H38" s="1343"/>
      <c r="L38" s="1343">
        <v>10000</v>
      </c>
      <c r="M38" s="1343"/>
      <c r="Q38" s="1343">
        <v>10000</v>
      </c>
      <c r="R38" s="1343"/>
      <c r="V38" s="1343" t="s">
        <v>139</v>
      </c>
      <c r="W38" s="1343"/>
      <c r="AA38" s="1343" t="s">
        <v>139</v>
      </c>
      <c r="AB38" s="1343"/>
      <c r="AF38" s="1343" t="s">
        <v>139</v>
      </c>
      <c r="AG38" s="1343"/>
      <c r="AK38" s="1343" t="s">
        <v>139</v>
      </c>
      <c r="AL38" s="1343"/>
    </row>
    <row r="39" spans="1:40" ht="15.75" customHeight="1" x14ac:dyDescent="0.25">
      <c r="A39" s="451" t="s">
        <v>264</v>
      </c>
      <c r="B39" s="1344">
        <v>0.1</v>
      </c>
      <c r="C39" s="1344"/>
      <c r="G39" s="1344">
        <v>0.1</v>
      </c>
      <c r="H39" s="1344"/>
      <c r="L39" s="1344">
        <v>0.1</v>
      </c>
      <c r="M39" s="1344"/>
      <c r="Q39" s="1344">
        <v>0.1</v>
      </c>
      <c r="R39" s="1344"/>
      <c r="V39" s="1344">
        <v>0</v>
      </c>
      <c r="W39" s="1344"/>
      <c r="AA39" s="1344" t="s">
        <v>1094</v>
      </c>
      <c r="AB39" s="1344"/>
      <c r="AF39" s="1344">
        <v>0</v>
      </c>
      <c r="AG39" s="1344"/>
      <c r="AK39" s="1344">
        <v>0</v>
      </c>
      <c r="AL39" s="1344"/>
    </row>
    <row r="40" spans="1:40" s="718" customFormat="1" x14ac:dyDescent="0.25">
      <c r="A40" s="463" t="s">
        <v>118</v>
      </c>
      <c r="B40" s="716"/>
      <c r="C40" s="717">
        <f>IF(B$3&lt;&gt;"",IF(B8="Abu Dhabi",SUM('General Basis'!N15:N16),SUM('Member Data'!O28:O29)),0)</f>
        <v>0</v>
      </c>
      <c r="D40" s="433"/>
      <c r="E40" s="433"/>
      <c r="G40" s="716"/>
      <c r="H40" s="717">
        <f>IF(G$3&lt;&gt;"",IF(G8="Abu Dhabi",SUM('General Basis'!O15:O16),SUM('Member Data'!P28:P29)),0)</f>
        <v>0</v>
      </c>
      <c r="I40" s="433"/>
      <c r="J40" s="433"/>
      <c r="L40" s="716"/>
      <c r="M40" s="717">
        <f>IF(L$3&lt;&gt;"",IF(L8="Abu Dhabi",SUM('General Basis'!P15:P16),SUM('Member Data'!Q28:Q29)),0)</f>
        <v>0</v>
      </c>
      <c r="N40" s="433"/>
      <c r="O40" s="433"/>
      <c r="Q40" s="716"/>
      <c r="R40" s="717">
        <f>IF(Q$3&lt;&gt;"",IF(Q8="Abu Dhabi",SUM('General Basis'!Q15:Q16),SUM('Member Data'!R28:R29)),0)</f>
        <v>0</v>
      </c>
      <c r="S40" s="433"/>
      <c r="T40" s="433"/>
      <c r="V40" s="716"/>
      <c r="W40" s="717">
        <f>IF(V$3&lt;&gt;"",IF(V8="Abu Dhabi",SUM('General Basis'!R15:R16),SUM('Member Data'!S28:S29)),0)</f>
        <v>0</v>
      </c>
      <c r="X40" s="433"/>
      <c r="Y40" s="433"/>
      <c r="AA40" s="716"/>
      <c r="AB40" s="717">
        <f>IF(AA$3&lt;&gt;"",IF(AA8="Abu Dhabi",SUM('General Basis'!S15:S16),SUM('Member Data'!T28:T29)),0)</f>
        <v>0</v>
      </c>
      <c r="AC40" s="433"/>
      <c r="AD40" s="433"/>
      <c r="AF40" s="716"/>
      <c r="AG40" s="717">
        <f>IF(AF$3&lt;&gt;"",IF(AF8="Abu Dhabi",SUM('General Basis'!T15:T16),SUM('Member Data'!U28:U29)),0)</f>
        <v>0</v>
      </c>
      <c r="AH40" s="433"/>
      <c r="AI40" s="433"/>
      <c r="AK40" s="716"/>
      <c r="AL40" s="717">
        <f>IF(AK$3&lt;&gt;"",IF(AK8="Abu Dhabi",SUM('General Basis'!U15:U16),SUM('Member Data'!V28:V29)),0)</f>
        <v>0</v>
      </c>
      <c r="AM40" s="433"/>
      <c r="AN40" s="433"/>
    </row>
    <row r="41" spans="1:40" x14ac:dyDescent="0.25">
      <c r="A41" s="451" t="s">
        <v>119</v>
      </c>
      <c r="B41" s="590"/>
      <c r="C41" s="715">
        <f>C40*IF(B14='Group Basis'!$B$62,VLOOKUP(B38,Maternity_Net_Rate,2,0),IF(B14='Group Basis'!$C$62,VLOOKUP(B38,Maternity_Net_Rate,3,0),IF(B14='Group Basis'!$D$62,VLOOKUP(B38,Maternity_Net_Rate,4,0),IF(B14='Group Basis'!$E$62,VLOOKUP(B38,Maternity_Net_Rate,5,0),IF(B14='Group Basis'!$F$62,VLOOKUP(B38,Maternity_Net_Rate,6,0),IF(B14='Group Basis'!$G$62,VLOOKUP(B38,Maternity_Net_Rate,7,0),IF(B14='Group Basis'!$H$62,VLOOKUP(B38,Maternity_Net_Rate,8,0),IF(B14='Group Basis'!$I$62,VLOOKUP(B38,Maternity_Net_Rate,9,0),0))))))))*(1-VLOOKUP(B39,'Group Engine'!$C$107:$E$108,3,0))</f>
        <v>0</v>
      </c>
      <c r="G41" s="590"/>
      <c r="H41" s="715">
        <f>H40*IF(G14='Group Basis'!$B$62,VLOOKUP(G38,Maternity_Net_Rate,2,0),IF(G14='Group Basis'!$C$62,VLOOKUP(G38,Maternity_Net_Rate,3,0),IF(G14='Group Basis'!$D$62,VLOOKUP(G38,Maternity_Net_Rate,4,0),IF(G14='Group Basis'!$E$62,VLOOKUP(G38,Maternity_Net_Rate,5,0),IF(G14='Group Basis'!$F$62,VLOOKUP(G38,Maternity_Net_Rate,6,0),IF(G14='Group Basis'!$G$62,VLOOKUP(G38,Maternity_Net_Rate,7,0),IF(G14='Group Basis'!$H$62,VLOOKUP(G38,Maternity_Net_Rate,8,0),IF(G14='Group Basis'!$I$62,VLOOKUP(G38,Maternity_Net_Rate,9,0),0))))))))*(1-VLOOKUP(G39,'Group Engine'!$F$107:$H$108,3,0))</f>
        <v>0</v>
      </c>
      <c r="L41" s="590"/>
      <c r="M41" s="715">
        <f>M40*IF(L14='Group Basis'!$B$62,VLOOKUP(L38,Maternity_Net_Rate,2,0),IF(L14='Group Basis'!$C$62,VLOOKUP(L38,Maternity_Net_Rate,3,0),IF(L14='Group Basis'!$D$62,VLOOKUP(L38,Maternity_Net_Rate,4,0),IF(L14='Group Basis'!$E$62,VLOOKUP(L38,Maternity_Net_Rate,5,0),IF(L14='Group Basis'!$F$62,VLOOKUP(L38,Maternity_Net_Rate,6,0),IF(L14='Group Basis'!$G$62,VLOOKUP(L38,Maternity_Net_Rate,7,0),IF(L14='Group Basis'!$H$62,VLOOKUP(L38,Maternity_Net_Rate,8,0),IF(L14='Group Basis'!$I$62,VLOOKUP(L38,Maternity_Net_Rate,9,0),0))))))))*(1-VLOOKUP(L39,'Group Engine'!$I$107:$K$108,3,0))</f>
        <v>0</v>
      </c>
      <c r="Q41" s="590"/>
      <c r="R41" s="715">
        <f>R40*IF(Q14='Group Basis'!$B$62,VLOOKUP(Q38,Maternity_Net_Rate,2,0),IF(Q14='Group Basis'!$C$62,VLOOKUP(Q38,Maternity_Net_Rate,3,0),IF(Q14='Group Basis'!$D$62,VLOOKUP(Q38,Maternity_Net_Rate,4,0),IF(Q14='Group Basis'!$E$62,VLOOKUP(Q38,Maternity_Net_Rate,5,0),IF(Q14='Group Basis'!$F$62,VLOOKUP(Q38,Maternity_Net_Rate,6,0),IF(Q14='Group Basis'!$G$62,VLOOKUP(Q38,Maternity_Net_Rate,7,0),IF(Q14='Group Basis'!$H$62,VLOOKUP(Q38,Maternity_Net_Rate,8,0),IF(Q14='Group Basis'!$I$62,VLOOKUP(Q38,Maternity_Net_Rate,9,0),0))))))))*(1-VLOOKUP(Q39,'Group Engine'!$L$107:$N$108,3,0))</f>
        <v>0</v>
      </c>
      <c r="V41" s="590"/>
      <c r="W41" s="715">
        <f>W40*IF(V14='Group Basis'!$B$62,VLOOKUP(V38,Maternity_Net_Rate,2,0),IF(V14='Group Basis'!$C$62,VLOOKUP(V38,Maternity_Net_Rate,3,0),IF(V14='Group Basis'!$D$62,VLOOKUP(V38,Maternity_Net_Rate,4,0),IF(V14='Group Basis'!$E$62,VLOOKUP(V38,Maternity_Net_Rate,5,0),IF(V14='Group Basis'!$F$62,VLOOKUP(V38,Maternity_Net_Rate,6,0),IF(V14='Group Basis'!$G$62,VLOOKUP(V38,Maternity_Net_Rate,7,0),IF(V14='Group Basis'!$H$62,VLOOKUP(V38,Maternity_Net_Rate,8,0),IF(V14='Group Basis'!$I$62,VLOOKUP(V38,Maternity_Net_Rate,9,0),0))))))))*(1-VLOOKUP(V39,'Group Engine'!$O$107:$Q$108,3,0))</f>
        <v>0</v>
      </c>
      <c r="AA41" s="590"/>
      <c r="AB41" s="715" t="e">
        <f>AB40*IF(AA14='Group Basis'!$B$62,VLOOKUP(AA38,Maternity_Net_Rate,2,0),IF(AA14='Group Basis'!$C$62,VLOOKUP(AA38,Maternity_Net_Rate,3,0),IF(AA14='Group Basis'!$D$62,VLOOKUP(AA38,Maternity_Net_Rate,4,0),IF(AA14='Group Basis'!$E$62,VLOOKUP(AA38,Maternity_Net_Rate,5,0),IF(AA14='Group Basis'!$F$62,VLOOKUP(AA38,Maternity_Net_Rate,6,0),IF(AA14='Group Basis'!$G$62,VLOOKUP(AA38,Maternity_Net_Rate,7,0),IF(AA14='Group Basis'!$H$62,VLOOKUP(AA38,Maternity_Net_Rate,8,0),IF(AA14='Group Basis'!$I$62,VLOOKUP(AA38,Maternity_Net_Rate,9,0),0))))))))*(1-VLOOKUP(AA39,'Group Engine'!$R$107:$T$108,3,0))</f>
        <v>#N/A</v>
      </c>
      <c r="AF41" s="590"/>
      <c r="AG41" s="715">
        <f>AG40*IF(AF14='Group Basis'!$B$62,VLOOKUP(AF38,Maternity_Net_Rate,2,0),IF(AF14='Group Basis'!$C$62,VLOOKUP(AF38,Maternity_Net_Rate,3,0),IF(AF14='Group Basis'!$D$62,VLOOKUP(AF38,Maternity_Net_Rate,4,0),IF(AF14='Group Basis'!$E$62,VLOOKUP(AF38,Maternity_Net_Rate,5,0),IF(AF14='Group Basis'!$F$62,VLOOKUP(AF38,Maternity_Net_Rate,6,0),IF(AF14='Group Basis'!$G$62,VLOOKUP(AF38,Maternity_Net_Rate,7,0),IF(AF14='Group Basis'!$H$62,VLOOKUP(AF38,Maternity_Net_Rate,8,0),IF(AF14='Group Basis'!$I$62,VLOOKUP(AF38,Maternity_Net_Rate,9,0),0))))))))*(1-VLOOKUP(AF39,'Group Engine'!$U$107:$W$108,3,0))</f>
        <v>0</v>
      </c>
      <c r="AK41" s="590"/>
      <c r="AL41" s="715">
        <f>AL40*IF(AK14='Group Basis'!$B$62,VLOOKUP(AK38,Maternity_Net_Rate,2,0),IF(AK14='Group Basis'!$C$62,VLOOKUP(AK38,Maternity_Net_Rate,3,0),IF(AK14='Group Basis'!$D$62,VLOOKUP(AK38,Maternity_Net_Rate,4,0),IF(AK14='Group Basis'!$E$62,VLOOKUP(AK38,Maternity_Net_Rate,5,0),IF(AK14='Group Basis'!$F$62,VLOOKUP(AK38,Maternity_Net_Rate,6,0),IF(AK14='Group Basis'!$G$62,VLOOKUP(AK38,Maternity_Net_Rate,7,0),IF(AK14='Group Basis'!$H$62,VLOOKUP(AK38,Maternity_Net_Rate,8,0),IF(AK14='Group Basis'!$I$62,VLOOKUP(AK38,Maternity_Net_Rate,9,0),0))))))))*(1-VLOOKUP(AK39,'Group Engine'!$X$107:$Z$108,3,0))</f>
        <v>0</v>
      </c>
    </row>
    <row r="42" spans="1:40" x14ac:dyDescent="0.25">
      <c r="E42" s="592"/>
      <c r="J42" s="592"/>
    </row>
    <row r="43" spans="1:40" ht="15" customHeight="1" x14ac:dyDescent="0.25">
      <c r="A43" s="451" t="s">
        <v>120</v>
      </c>
      <c r="B43" s="1343">
        <v>500</v>
      </c>
      <c r="C43" s="1343"/>
      <c r="D43" s="1336" t="str">
        <f>IF(AND(B$9="Dubai",B43="Not Covered",C45&gt;0),"Min. Limit to be offered for DHA Compliant Policy is AED 500 with 30% Co-Payment","NA")</f>
        <v>NA</v>
      </c>
      <c r="E43" s="1337"/>
      <c r="G43" s="1343">
        <v>500</v>
      </c>
      <c r="H43" s="1343"/>
      <c r="I43" s="1336" t="str">
        <f>IF(AND(G$9="Dubai",G43="Not Covered",H45&gt;0),"Min. Limit to be offered for DHA Compliant Policy is AED 500 with 30% Co-Payment","NA")</f>
        <v>NA</v>
      </c>
      <c r="J43" s="1337"/>
      <c r="L43" s="1343">
        <v>500</v>
      </c>
      <c r="M43" s="1343"/>
      <c r="N43" s="1336" t="str">
        <f>IF(AND(L$9="Dubai",L43="Not Covered",M45&gt;0),"Min. Limit to be offered for DHA Compliant Policy is AED 500 with 30% Co-Payment","NA")</f>
        <v>NA</v>
      </c>
      <c r="O43" s="1337"/>
      <c r="Q43" s="1343">
        <v>500</v>
      </c>
      <c r="R43" s="1343"/>
      <c r="S43" s="1336" t="str">
        <f>IF(AND(Q$9="Dubai",Q43="Not Covered",R45&gt;0),"Min. Limit to be offered for DHA Compliant Policy is AED 500 with 30% Co-Payment","NA")</f>
        <v>NA</v>
      </c>
      <c r="T43" s="1337"/>
      <c r="V43" s="1343">
        <v>2500</v>
      </c>
      <c r="W43" s="1343"/>
      <c r="X43" s="1336" t="str">
        <f>IF(AND(V$9="Dubai",V43="Not Covered",W45&gt;0),"Min. Limit to be offered for DHA Compliant Policy is AED 500 with 30% Co-Payment","NA")</f>
        <v>NA</v>
      </c>
      <c r="Y43" s="1337"/>
      <c r="AA43" s="1343">
        <v>1000</v>
      </c>
      <c r="AB43" s="1343"/>
      <c r="AC43" s="1336" t="str">
        <f>IF(AND(AA$9="Dubai",AA43="Not Covered",AB45&gt;0),"Min. Limit to be offered for DHA Compliant Policy is AED 500 with 30% Co-Payment","NA")</f>
        <v>NA</v>
      </c>
      <c r="AD43" s="1337"/>
      <c r="AF43" s="1343">
        <v>1000</v>
      </c>
      <c r="AG43" s="1343"/>
      <c r="AH43" s="1336" t="str">
        <f>IF(AND(AF$9="Dubai",AF43="Not Covered",AG45&gt;0),"Min. Limit to be offered for DHA Compliant Policy is AED 500 with 30% Co-Payment","NA")</f>
        <v>NA</v>
      </c>
      <c r="AI43" s="1337"/>
      <c r="AK43" s="1343" t="s">
        <v>130</v>
      </c>
      <c r="AL43" s="1343"/>
      <c r="AM43" s="1336" t="str">
        <f>IF(AND(AK$9="Dubai",AK43="Not Covered",AL45&gt;0),"Min. Limit to be offered for DHA Compliant Policy is AED 500 with 30% Co-Payment","NA")</f>
        <v>NA</v>
      </c>
      <c r="AN43" s="1337"/>
    </row>
    <row r="44" spans="1:40" ht="16.5" customHeight="1" x14ac:dyDescent="0.25">
      <c r="A44" s="451" t="s">
        <v>266</v>
      </c>
      <c r="B44" s="1344">
        <v>0.3</v>
      </c>
      <c r="C44" s="1344"/>
      <c r="D44" s="1338"/>
      <c r="E44" s="1339"/>
      <c r="G44" s="1344">
        <v>0.3</v>
      </c>
      <c r="H44" s="1344"/>
      <c r="I44" s="1338"/>
      <c r="J44" s="1339"/>
      <c r="L44" s="1344">
        <v>0.3</v>
      </c>
      <c r="M44" s="1344"/>
      <c r="N44" s="1338"/>
      <c r="O44" s="1339"/>
      <c r="Q44" s="1344">
        <v>0.3</v>
      </c>
      <c r="R44" s="1344"/>
      <c r="S44" s="1338"/>
      <c r="T44" s="1339"/>
      <c r="V44" s="1344">
        <v>0.2</v>
      </c>
      <c r="W44" s="1344"/>
      <c r="X44" s="1338"/>
      <c r="Y44" s="1339"/>
      <c r="AA44" s="1344">
        <v>0.1</v>
      </c>
      <c r="AB44" s="1344"/>
      <c r="AC44" s="1338"/>
      <c r="AD44" s="1339"/>
      <c r="AF44" s="1344">
        <v>0.1</v>
      </c>
      <c r="AG44" s="1344"/>
      <c r="AH44" s="1338"/>
      <c r="AI44" s="1339"/>
      <c r="AK44" s="1344">
        <v>0.1</v>
      </c>
      <c r="AL44" s="1344"/>
      <c r="AM44" s="1338"/>
      <c r="AN44" s="1339"/>
    </row>
    <row r="45" spans="1:40" x14ac:dyDescent="0.25">
      <c r="A45" s="451" t="s">
        <v>118</v>
      </c>
      <c r="B45" s="590"/>
      <c r="C45" s="591">
        <f>IF(B$3&lt;&gt;"",'Member Data'!$O$33+'Member Data'!$O$34,0)</f>
        <v>11</v>
      </c>
      <c r="D45" s="1338"/>
      <c r="E45" s="1339"/>
      <c r="G45" s="590"/>
      <c r="H45" s="591">
        <f>IF(G$3&lt;&gt;"",'Member Data'!$P$33+'Member Data'!$P$34,0)</f>
        <v>0</v>
      </c>
      <c r="I45" s="1338"/>
      <c r="J45" s="1339"/>
      <c r="L45" s="590"/>
      <c r="M45" s="591">
        <f>IF(L$3&lt;&gt;"",'Member Data'!$Q$33+'Member Data'!$Q$34,0)</f>
        <v>0</v>
      </c>
      <c r="N45" s="1338"/>
      <c r="O45" s="1339"/>
      <c r="Q45" s="590"/>
      <c r="R45" s="591">
        <f>IF(Q$3&lt;&gt;"",'Member Data'!$R$33+'Member Data'!$R$34,0)</f>
        <v>0</v>
      </c>
      <c r="S45" s="1338"/>
      <c r="T45" s="1339"/>
      <c r="V45" s="590"/>
      <c r="W45" s="591">
        <f>IF(V$3&lt;&gt;"",'Member Data'!S$33+'Member Data'!S$34,0)</f>
        <v>0</v>
      </c>
      <c r="X45" s="1338"/>
      <c r="Y45" s="1339"/>
      <c r="AA45" s="590"/>
      <c r="AB45" s="591">
        <f>IF(AA$3&lt;&gt;"",'Member Data'!T$33+'Member Data'!T$34,0)</f>
        <v>0</v>
      </c>
      <c r="AC45" s="1338"/>
      <c r="AD45" s="1339"/>
      <c r="AF45" s="590"/>
      <c r="AG45" s="591">
        <f>IF(AF$3&lt;&gt;"",'Member Data'!U$33+'Member Data'!U$34,0)</f>
        <v>0</v>
      </c>
      <c r="AH45" s="1338"/>
      <c r="AI45" s="1339"/>
      <c r="AK45" s="590"/>
      <c r="AL45" s="591">
        <f>IF(AK$3&lt;&gt;"",'Member Data'!V$33+'Member Data'!V$34,0)</f>
        <v>0</v>
      </c>
      <c r="AM45" s="1338"/>
      <c r="AN45" s="1339"/>
    </row>
    <row r="46" spans="1:40" x14ac:dyDescent="0.25">
      <c r="A46" s="451" t="s">
        <v>119</v>
      </c>
      <c r="B46" s="590"/>
      <c r="C46" s="715">
        <f>C45*IF(B14='Group Basis'!$B$62,VLOOKUP(B43,Dental_Net_Rate,2,0),IF(B14='Group Basis'!$C$62,VLOOKUP(B43,Dental_Net_Rate,3,0),IF(B14='Group Basis'!$D$62,VLOOKUP(B43,Dental_Net_Rate,4,0),IF(B14='Group Basis'!$E$62,VLOOKUP(B43,Dental_Net_Rate,5,0),IF(B14='Group Basis'!$F$62,VLOOKUP(B43,Dental_Net_Rate,6,0),IF(B14='Group Basis'!$G$62,VLOOKUP(B43,Dental_Net_Rate,7,0),IF(B14='Group Basis'!$H$62,VLOOKUP(B43,Dental_Net_Rate,8,0),IF(B14='Group Basis'!$I$62,VLOOKUP(B43,Dental_Net_Rate,9,0),0))))))))*(1-B44)</f>
        <v>1193.5</v>
      </c>
      <c r="D46" s="1340"/>
      <c r="E46" s="1341"/>
      <c r="G46" s="590"/>
      <c r="H46" s="715">
        <f>H45*IF(G14='Group Basis'!$B$62,VLOOKUP(G43,Dental_Net_Rate,2,0),IF(G14='Group Basis'!$C$62,VLOOKUP(G43,Dental_Net_Rate,3,0),IF(G14='Group Basis'!$D$62,VLOOKUP(G43,Dental_Net_Rate,4,0),IF(G14='Group Basis'!$E$62,VLOOKUP(G43,Dental_Net_Rate,5,0),IF(G14='Group Basis'!$F$62,VLOOKUP(G43,Dental_Net_Rate,6,0),IF(G14='Group Basis'!$G$62,VLOOKUP(G43,Dental_Net_Rate,7,0),IF(G14='Group Basis'!$H$62,VLOOKUP(G43,Dental_Net_Rate,8,0),IF(G14='Group Basis'!$I$62,VLOOKUP(G43,Dental_Net_Rate,9,0),0))))))))*(1-G44)</f>
        <v>0</v>
      </c>
      <c r="I46" s="1340"/>
      <c r="J46" s="1341"/>
      <c r="L46" s="590"/>
      <c r="M46" s="715">
        <f>M45*IF(L14='Group Basis'!$B$62,VLOOKUP(L43,Dental_Net_Rate,2,0),IF(L14='Group Basis'!$C$62,VLOOKUP(L43,Dental_Net_Rate,3,0),IF(L14='Group Basis'!$D$62,VLOOKUP(L43,Dental_Net_Rate,4,0),IF(L14='Group Basis'!$E$62,VLOOKUP(L43,Dental_Net_Rate,5,0),IF(L14='Group Basis'!$F$62,VLOOKUP(L43,Dental_Net_Rate,6,0),IF(L14='Group Basis'!$G$62,VLOOKUP(L43,Dental_Net_Rate,7,0),IF(L14='Group Basis'!$H$62,VLOOKUP(L43,Dental_Net_Rate,8,0),IF(L14='Group Basis'!$I$62,VLOOKUP(L43,Dental_Net_Rate,9,0),0))))))))*(1-L44)</f>
        <v>0</v>
      </c>
      <c r="N46" s="1340"/>
      <c r="O46" s="1341"/>
      <c r="Q46" s="590"/>
      <c r="R46" s="715">
        <f>R45*IF(Q14='Group Basis'!$B$62,VLOOKUP(Q43,Dental_Net_Rate,2,0),IF(Q14='Group Basis'!$C$62,VLOOKUP(Q43,Dental_Net_Rate,3,0),IF(Q14='Group Basis'!$D$62,VLOOKUP(Q43,Dental_Net_Rate,4,0),IF(Q14='Group Basis'!$E$62,VLOOKUP(Q43,Dental_Net_Rate,5,0),IF(Q14='Group Basis'!$F$62,VLOOKUP(Q43,Dental_Net_Rate,6,0),IF(Q14='Group Basis'!$G$62,VLOOKUP(Q43,Dental_Net_Rate,7,0),IF(Q14='Group Basis'!$H$62,VLOOKUP(Q43,Dental_Net_Rate,8,0),IF(Q14='Group Basis'!$I$62,VLOOKUP(Q43,Dental_Net_Rate,9,0),0))))))))*(1-Q44)</f>
        <v>0</v>
      </c>
      <c r="S46" s="1340"/>
      <c r="T46" s="1341"/>
      <c r="V46" s="590"/>
      <c r="W46" s="715">
        <f>W45*IF(V14='Group Basis'!$B$62,VLOOKUP(V43,Dental_Net_Rate,2,0),IF(V14='Group Basis'!$C$62,VLOOKUP(V43,Dental_Net_Rate,3,0),IF(V14='Group Basis'!$D$62,VLOOKUP(V43,Dental_Net_Rate,4,0),IF(V14='Group Basis'!$E$62,VLOOKUP(V43,Dental_Net_Rate,5,0),IF(V14='Group Basis'!$F$62,VLOOKUP(V43,Dental_Net_Rate,6,0),IF(V14='Group Basis'!$G$62,VLOOKUP(V43,Dental_Net_Rate,7,0),IF(V14='Group Basis'!$H$62,VLOOKUP(V43,Dental_Net_Rate,8,0),IF(V14='Group Basis'!$I$62,VLOOKUP(V43,Dental_Net_Rate,9,0),0))))))))*(1-V44)</f>
        <v>0</v>
      </c>
      <c r="X46" s="1340"/>
      <c r="Y46" s="1341"/>
      <c r="AA46" s="590"/>
      <c r="AB46" s="715">
        <f>AB45*IF(AA14='Group Basis'!$B$62,VLOOKUP(AA43,Dental_Net_Rate,2,0),IF(AA14='Group Basis'!$C$62,VLOOKUP(AA43,Dental_Net_Rate,3,0),IF(AA14='Group Basis'!$D$62,VLOOKUP(AA43,Dental_Net_Rate,4,0),IF(AA14='Group Basis'!$E$62,VLOOKUP(AA43,Dental_Net_Rate,5,0),IF(AA14='Group Basis'!$F$62,VLOOKUP(AA43,Dental_Net_Rate,6,0),IF(AA14='Group Basis'!$G$62,VLOOKUP(AA43,Dental_Net_Rate,7,0),IF(AA14='Group Basis'!$H$62,VLOOKUP(AA43,Dental_Net_Rate,8,0),IF(AA14='Group Basis'!$I$62,VLOOKUP(AA43,Dental_Net_Rate,9,0),0))))))))*(1-AA44)</f>
        <v>0</v>
      </c>
      <c r="AC46" s="1340"/>
      <c r="AD46" s="1341"/>
      <c r="AF46" s="590"/>
      <c r="AG46" s="715">
        <f>AG45*IF(AF14='Group Basis'!$B$62,VLOOKUP(AF43,Dental_Net_Rate,2,0),IF(AF14='Group Basis'!$C$62,VLOOKUP(AF43,Dental_Net_Rate,3,0),IF(AF14='Group Basis'!$D$62,VLOOKUP(AF43,Dental_Net_Rate,4,0),IF(AF14='Group Basis'!$E$62,VLOOKUP(AF43,Dental_Net_Rate,5,0),IF(AF14='Group Basis'!$F$62,VLOOKUP(AF43,Dental_Net_Rate,6,0),IF(AF14='Group Basis'!$G$62,VLOOKUP(AF43,Dental_Net_Rate,7,0),IF(AF14='Group Basis'!$H$62,VLOOKUP(AF43,Dental_Net_Rate,8,0),IF(AF14='Group Basis'!$I$62,VLOOKUP(AF43,Dental_Net_Rate,9,0),0))))))))*(1-AF44)</f>
        <v>0</v>
      </c>
      <c r="AH46" s="1340"/>
      <c r="AI46" s="1341"/>
      <c r="AK46" s="590"/>
      <c r="AL46" s="715">
        <f>AL45*IF(AK14='Group Basis'!$B$62,VLOOKUP(AK43,Dental_Net_Rate,2,0),IF(AK14='Group Basis'!$C$62,VLOOKUP(AK43,Dental_Net_Rate,3,0),IF(AK14='Group Basis'!$D$62,VLOOKUP(AK43,Dental_Net_Rate,4,0),IF(AK14='Group Basis'!$E$62,VLOOKUP(AK43,Dental_Net_Rate,5,0),IF(AK14='Group Basis'!$F$62,VLOOKUP(AK43,Dental_Net_Rate,6,0),IF(AK14='Group Basis'!$G$62,VLOOKUP(AK43,Dental_Net_Rate,7,0),IF(AK14='Group Basis'!$H$62,VLOOKUP(AK43,Dental_Net_Rate,8,0),IF(AK14='Group Basis'!$I$62,VLOOKUP(AK43,Dental_Net_Rate,9,0),0))))))))*(1-AK44)</f>
        <v>0</v>
      </c>
      <c r="AM46" s="1340"/>
      <c r="AN46" s="1341"/>
    </row>
    <row r="47" spans="1:40" x14ac:dyDescent="0.25">
      <c r="D47" s="592"/>
    </row>
    <row r="48" spans="1:40" ht="16.5" customHeight="1" x14ac:dyDescent="0.25">
      <c r="A48" s="451" t="s">
        <v>121</v>
      </c>
      <c r="B48" s="1343" t="s">
        <v>130</v>
      </c>
      <c r="C48" s="1343"/>
      <c r="D48" s="592"/>
      <c r="G48" s="1343" t="s">
        <v>130</v>
      </c>
      <c r="H48" s="1343"/>
      <c r="L48" s="1343" t="s">
        <v>130</v>
      </c>
      <c r="M48" s="1343"/>
      <c r="Q48" s="1343" t="s">
        <v>130</v>
      </c>
      <c r="R48" s="1343"/>
      <c r="V48" s="1343">
        <v>500</v>
      </c>
      <c r="W48" s="1343"/>
      <c r="AA48" s="1343">
        <v>300</v>
      </c>
      <c r="AB48" s="1343"/>
      <c r="AF48" s="1343">
        <v>300</v>
      </c>
      <c r="AG48" s="1343"/>
      <c r="AK48" s="1343" t="s">
        <v>130</v>
      </c>
      <c r="AL48" s="1343"/>
    </row>
    <row r="49" spans="1:40" ht="16.5" customHeight="1" x14ac:dyDescent="0.25">
      <c r="A49" s="451" t="s">
        <v>268</v>
      </c>
      <c r="B49" s="1344">
        <v>0.2</v>
      </c>
      <c r="C49" s="1344"/>
      <c r="D49" s="592"/>
      <c r="G49" s="1344">
        <v>0.2</v>
      </c>
      <c r="H49" s="1344"/>
      <c r="L49" s="1344">
        <v>0.2</v>
      </c>
      <c r="M49" s="1344"/>
      <c r="Q49" s="1344">
        <v>0.2</v>
      </c>
      <c r="R49" s="1344"/>
      <c r="V49" s="1344">
        <v>0.2</v>
      </c>
      <c r="W49" s="1344"/>
      <c r="AA49" s="1344">
        <v>0.2</v>
      </c>
      <c r="AB49" s="1344"/>
      <c r="AF49" s="1344">
        <v>0.2</v>
      </c>
      <c r="AG49" s="1344"/>
      <c r="AK49" s="1344">
        <v>0.2</v>
      </c>
      <c r="AL49" s="1344"/>
    </row>
    <row r="50" spans="1:40" x14ac:dyDescent="0.25">
      <c r="A50" s="451" t="s">
        <v>118</v>
      </c>
      <c r="B50" s="590"/>
      <c r="C50" s="591">
        <f>IF(B$3&lt;&gt;"",'Member Data'!$O$33+'Member Data'!$O$34,0)</f>
        <v>11</v>
      </c>
      <c r="D50" s="592"/>
      <c r="G50" s="590"/>
      <c r="H50" s="591">
        <f>IF(G$3&lt;&gt;"",'Member Data'!$P$33+'Member Data'!$P$34,0)</f>
        <v>0</v>
      </c>
      <c r="L50" s="590"/>
      <c r="M50" s="591">
        <f>IF(L$3&lt;&gt;"",'Member Data'!$Q$33+'Member Data'!$Q$34,0)</f>
        <v>0</v>
      </c>
      <c r="Q50" s="590"/>
      <c r="R50" s="591">
        <f>IF(Q$3&lt;&gt;"",'Member Data'!$R$33+'Member Data'!$R$34,0)</f>
        <v>0</v>
      </c>
      <c r="V50" s="590"/>
      <c r="W50" s="591">
        <f>IF(V$3&lt;&gt;"",'Member Data'!S$33+'Member Data'!S$34,0)</f>
        <v>0</v>
      </c>
      <c r="AA50" s="590"/>
      <c r="AB50" s="591">
        <f>IF(AA$3&lt;&gt;"",'Member Data'!T$33+'Member Data'!T$34,0)</f>
        <v>0</v>
      </c>
      <c r="AF50" s="590"/>
      <c r="AG50" s="591">
        <f>IF(AF$3&lt;&gt;"",'Member Data'!U$33+'Member Data'!U$34,0)</f>
        <v>0</v>
      </c>
      <c r="AK50" s="590"/>
      <c r="AL50" s="591">
        <f>IF(AK$3&lt;&gt;"",'Member Data'!V$33+'Member Data'!V$34,0)</f>
        <v>0</v>
      </c>
    </row>
    <row r="51" spans="1:40" x14ac:dyDescent="0.25">
      <c r="A51" s="451" t="s">
        <v>119</v>
      </c>
      <c r="B51" s="590"/>
      <c r="C51" s="715">
        <f>C50*IF(B14='Group Basis'!$B$62,VLOOKUP(B48,Optical_Net_Rate,2,0),IF(B14='Group Basis'!$C$62,VLOOKUP(B48,Optical_Net_Rate,3,0),IF(B14='Group Basis'!$D$62,VLOOKUP(B48,Optical_Net_Rate,4,0),IF(B14='Group Basis'!$E$62,VLOOKUP(B48,Optical_Net_Rate,5,0),IF(B14='Group Basis'!$F$62,VLOOKUP(B48,Optical_Net_Rate,6,0),IF(B14='Group Basis'!$G$62,VLOOKUP(B48,Optical_Net_Rate,7,0),IF(B14='Group Basis'!$H$62,VLOOKUP(B48,Optical_Net_Rate,8,0),IF(B14='Group Basis'!$I$62,VLOOKUP(B48,Optical_Net_Rate,9,0),0))))))))*(1-B49)</f>
        <v>0</v>
      </c>
      <c r="D51" s="592"/>
      <c r="G51" s="590"/>
      <c r="H51" s="715">
        <f>H50*IF(G14='Group Basis'!$B$62,VLOOKUP(G48,Optical_Net_Rate,2,0),IF(G14='Group Basis'!$C$62,VLOOKUP(G48,Optical_Net_Rate,3,0),IF(G14='Group Basis'!$D$62,VLOOKUP(G48,Optical_Net_Rate,4,0),IF(G14='Group Basis'!$E$62,VLOOKUP(G48,Optical_Net_Rate,5,0),IF(G14='Group Basis'!$F$62,VLOOKUP(G48,Optical_Net_Rate,6,0),IF(G14='Group Basis'!$G$62,VLOOKUP(G48,Optical_Net_Rate,7,0),IF(G14='Group Basis'!$H$62,VLOOKUP(G48,Optical_Net_Rate,8,0),IF(G14='Group Basis'!$I$62,VLOOKUP(G48,Optical_Net_Rate,9,0),0))))))))*(1-G49)</f>
        <v>0</v>
      </c>
      <c r="L51" s="590"/>
      <c r="M51" s="715">
        <f>M50*IF(L14='Group Basis'!$B$62,VLOOKUP(L48,Optical_Net_Rate,2,0),IF(L14='Group Basis'!$C$62,VLOOKUP(L48,Optical_Net_Rate,3,0),IF(L14='Group Basis'!$D$62,VLOOKUP(L48,Optical_Net_Rate,4,0),IF(L14='Group Basis'!$E$62,VLOOKUP(L48,Optical_Net_Rate,5,0),IF(L14='Group Basis'!$F$62,VLOOKUP(L48,Optical_Net_Rate,6,0),IF(L14='Group Basis'!$G$62,VLOOKUP(L48,Optical_Net_Rate,7,0),IF(L14='Group Basis'!$H$62,VLOOKUP(L48,Optical_Net_Rate,8,0),IF(L14='Group Basis'!$I$62,VLOOKUP(L48,Optical_Net_Rate,9,0),0))))))))*(1-L49)</f>
        <v>0</v>
      </c>
      <c r="Q51" s="590"/>
      <c r="R51" s="715">
        <f>R50*IF(Q14='Group Basis'!$B$62,VLOOKUP(Q48,Optical_Net_Rate,2,0),IF(Q14='Group Basis'!$C$62,VLOOKUP(Q48,Optical_Net_Rate,3,0),IF(Q14='Group Basis'!$D$62,VLOOKUP(Q48,Optical_Net_Rate,4,0),IF(Q14='Group Basis'!$E$62,VLOOKUP(Q48,Optical_Net_Rate,5,0),IF(Q14='Group Basis'!$F$62,VLOOKUP(Q48,Optical_Net_Rate,6,0),IF(Q14='Group Basis'!$G$62,VLOOKUP(Q48,Optical_Net_Rate,7,0),IF(Q14='Group Basis'!$H$62,VLOOKUP(Q48,Optical_Net_Rate,8,0),IF(Q14='Group Basis'!$I$62,VLOOKUP(Q48,Optical_Net_Rate,9,0),0))))))))*(1-Q49)</f>
        <v>0</v>
      </c>
      <c r="V51" s="590"/>
      <c r="W51" s="715">
        <f>W50*IF(V14='Group Basis'!$B$62,VLOOKUP(V48,Optical_Net_Rate,2,0),IF(V14='Group Basis'!$C$62,VLOOKUP(V48,Optical_Net_Rate,3,0),IF(V14='Group Basis'!$D$62,VLOOKUP(V48,Optical_Net_Rate,4,0),IF(V14='Group Basis'!$E$62,VLOOKUP(V48,Optical_Net_Rate,5,0),IF(V14='Group Basis'!$F$62,VLOOKUP(V48,Optical_Net_Rate,6,0),IF(V14='Group Basis'!$G$62,VLOOKUP(V48,Optical_Net_Rate,7,0),IF(V14='Group Basis'!$H$62,VLOOKUP(V48,Optical_Net_Rate,8,0),IF(V14='Group Basis'!$I$62,VLOOKUP(V48,Optical_Net_Rate,9,0),0))))))))*(1-V49)</f>
        <v>0</v>
      </c>
      <c r="AA51" s="590"/>
      <c r="AB51" s="715">
        <f>AB50*IF(AA14='Group Basis'!$B$62,VLOOKUP(AA48,Optical_Net_Rate,2,0),IF(AA14='Group Basis'!$C$62,VLOOKUP(AA48,Optical_Net_Rate,3,0),IF(AA14='Group Basis'!$D$62,VLOOKUP(AA48,Optical_Net_Rate,4,0),IF(AA14='Group Basis'!$E$62,VLOOKUP(AA48,Optical_Net_Rate,5,0),IF(AA14='Group Basis'!$F$62,VLOOKUP(AA48,Optical_Net_Rate,6,0),IF(AA14='Group Basis'!$G$62,VLOOKUP(AA48,Optical_Net_Rate,7,0),IF(AA14='Group Basis'!$H$62,VLOOKUP(AA48,Optical_Net_Rate,8,0),IF(AA14='Group Basis'!$I$62,VLOOKUP(AA48,Optical_Net_Rate,9,0),0))))))))*(1-AA49)</f>
        <v>0</v>
      </c>
      <c r="AF51" s="590"/>
      <c r="AG51" s="715">
        <f>AG50*IF(AF14='Group Basis'!$B$62,VLOOKUP(AF48,Optical_Net_Rate,2,0),IF(AF14='Group Basis'!$C$62,VLOOKUP(AF48,Optical_Net_Rate,3,0),IF(AF14='Group Basis'!$D$62,VLOOKUP(AF48,Optical_Net_Rate,4,0),IF(AF14='Group Basis'!$E$62,VLOOKUP(AF48,Optical_Net_Rate,5,0),IF(AF14='Group Basis'!$F$62,VLOOKUP(AF48,Optical_Net_Rate,6,0),IF(AF14='Group Basis'!$G$62,VLOOKUP(AF48,Optical_Net_Rate,7,0),IF(AF14='Group Basis'!$H$62,VLOOKUP(AF48,Optical_Net_Rate,8,0),IF(AF14='Group Basis'!$I$62,VLOOKUP(AF48,Optical_Net_Rate,9,0),0))))))))*(1-AF49)</f>
        <v>0</v>
      </c>
      <c r="AK51" s="590"/>
      <c r="AL51" s="715">
        <f>AL50*IF(AK14='Group Basis'!$B$62,VLOOKUP(AK48,Optical_Net_Rate,2,0),IF(AK14='Group Basis'!$C$62,VLOOKUP(AK48,Optical_Net_Rate,3,0),IF(AK14='Group Basis'!$D$62,VLOOKUP(AK48,Optical_Net_Rate,4,0),IF(AK14='Group Basis'!$E$62,VLOOKUP(AK48,Optical_Net_Rate,5,0),IF(AK14='Group Basis'!$F$62,VLOOKUP(AK48,Optical_Net_Rate,6,0),IF(AK14='Group Basis'!$G$62,VLOOKUP(AK48,Optical_Net_Rate,7,0),IF(AK14='Group Basis'!$H$62,VLOOKUP(AK48,Optical_Net_Rate,8,0),IF(AK14='Group Basis'!$I$62,VLOOKUP(AK48,Optical_Net_Rate,9,0),0))))))))*(1-AK49)</f>
        <v>0</v>
      </c>
    </row>
    <row r="52" spans="1:40" x14ac:dyDescent="0.25">
      <c r="D52" s="592"/>
    </row>
    <row r="53" spans="1:40" ht="65.25" customHeight="1" x14ac:dyDescent="0.25">
      <c r="A53" s="721" t="s">
        <v>1019</v>
      </c>
      <c r="B53" s="1342">
        <v>10000</v>
      </c>
      <c r="C53" s="1342"/>
      <c r="D53" s="1330" t="str">
        <f>IF(AND(B$9="Dubai",B53="Not Covered",C54&gt;0),"Min. Limit to be offered for DHA Compliant Policy is AED 5000","NA")</f>
        <v>NA</v>
      </c>
      <c r="E53" s="1331"/>
      <c r="G53" s="1342">
        <v>5000</v>
      </c>
      <c r="H53" s="1342"/>
      <c r="I53" s="1330" t="str">
        <f>IF(AND(G$9="Dubai",G53="Not Covered",H54&gt;0),"Min. Limit to be offered for DHA Compliant Policy is AED 5000","NA")</f>
        <v>NA</v>
      </c>
      <c r="J53" s="1331"/>
      <c r="L53" s="1342">
        <v>5000</v>
      </c>
      <c r="M53" s="1342"/>
      <c r="N53" s="1330" t="str">
        <f>IF(AND(L$9="Dubai",L53="Not Covered",M54&gt;0),"Min. Limit to be offered for DHA Compliant Policy is AED 5000","NA")</f>
        <v>NA</v>
      </c>
      <c r="O53" s="1331"/>
      <c r="Q53" s="1342">
        <v>5000</v>
      </c>
      <c r="R53" s="1342"/>
      <c r="S53" s="1330" t="str">
        <f>IF(AND(Q$9="Dubai",Q53="Not Covered",R54&gt;0),"Min. Limit to be offered for DHA Compliant Policy is AED 5000","NA")</f>
        <v>NA</v>
      </c>
      <c r="T53" s="1331"/>
      <c r="V53" s="1342">
        <v>10000</v>
      </c>
      <c r="W53" s="1342"/>
      <c r="X53" s="1330" t="str">
        <f>IF(AND(V$9="Dubai",V53="Not Covered",W54&gt;0),"Min. Limit to be offered for DHA Compliant Policy is AED 5000","NA")</f>
        <v>NA</v>
      </c>
      <c r="Y53" s="1331"/>
      <c r="AA53" s="1342">
        <v>5000</v>
      </c>
      <c r="AB53" s="1342"/>
      <c r="AC53" s="1330" t="str">
        <f>IF(AND(AA$9="Dubai",AA53="Not Covered",AB54&gt;0),"Min. Limit to be offered for DHA Compliant Policy is AED 5000","NA")</f>
        <v>NA</v>
      </c>
      <c r="AD53" s="1331"/>
      <c r="AF53" s="1342">
        <v>7500</v>
      </c>
      <c r="AG53" s="1342"/>
      <c r="AH53" s="1330" t="str">
        <f>IF(AND(AF$9="Dubai",AF53="Not Covered",AG54&gt;0),"Min. Limit to be offered for DHA Compliant Policy is AED 5000","NA")</f>
        <v>NA</v>
      </c>
      <c r="AI53" s="1331"/>
      <c r="AK53" s="1342">
        <v>5000</v>
      </c>
      <c r="AL53" s="1342"/>
      <c r="AM53" s="1330" t="str">
        <f>IF(AND(AK$9="Dubai",AK53="Not Covered",AL54&gt;0),"Min. Limit to be offered for DHA Compliant Policy is AED 5000","NA")</f>
        <v>NA</v>
      </c>
      <c r="AN53" s="1331"/>
    </row>
    <row r="54" spans="1:40" x14ac:dyDescent="0.25">
      <c r="A54" s="451" t="s">
        <v>118</v>
      </c>
      <c r="B54" s="590"/>
      <c r="C54" s="591">
        <f>IF(B$3&lt;&gt;"",C$88,0)</f>
        <v>11</v>
      </c>
      <c r="D54" s="1332"/>
      <c r="E54" s="1333"/>
      <c r="G54" s="590"/>
      <c r="H54" s="591">
        <f>IF(G$3&lt;&gt;"",H$88,0)</f>
        <v>0</v>
      </c>
      <c r="I54" s="1332"/>
      <c r="J54" s="1333"/>
      <c r="L54" s="590"/>
      <c r="M54" s="591">
        <f>IF(L$3&lt;&gt;"",M$88,0)</f>
        <v>0</v>
      </c>
      <c r="N54" s="1332"/>
      <c r="O54" s="1333"/>
      <c r="Q54" s="590"/>
      <c r="R54" s="591">
        <f>IF(Q$3&lt;&gt;"",R$88,0)</f>
        <v>0</v>
      </c>
      <c r="S54" s="1332"/>
      <c r="T54" s="1333"/>
      <c r="V54" s="590"/>
      <c r="W54" s="591">
        <f>IF(V$3&lt;&gt;"",W$88,0)</f>
        <v>0</v>
      </c>
      <c r="X54" s="1332"/>
      <c r="Y54" s="1333"/>
      <c r="AA54" s="590"/>
      <c r="AB54" s="591">
        <f>IF(AA$3&lt;&gt;"",AB$88,0)</f>
        <v>0</v>
      </c>
      <c r="AC54" s="1332"/>
      <c r="AD54" s="1333"/>
      <c r="AF54" s="590"/>
      <c r="AG54" s="591">
        <f>IF(AF$3&lt;&gt;"",AG$88,0)</f>
        <v>0</v>
      </c>
      <c r="AH54" s="1332"/>
      <c r="AI54" s="1333"/>
      <c r="AK54" s="590"/>
      <c r="AL54" s="591">
        <f>IF(AK$3&lt;&gt;"",AL$88,0)</f>
        <v>0</v>
      </c>
      <c r="AM54" s="1332"/>
      <c r="AN54" s="1333"/>
    </row>
    <row r="55" spans="1:40" x14ac:dyDescent="0.25">
      <c r="A55" s="451" t="s">
        <v>119</v>
      </c>
      <c r="B55" s="590"/>
      <c r="C55" s="715">
        <f>VLOOKUP(B$53,'Group Basis'!$A$208:$B$214,2,0)*C54</f>
        <v>202.95</v>
      </c>
      <c r="D55" s="1334"/>
      <c r="E55" s="1335"/>
      <c r="G55" s="590"/>
      <c r="H55" s="715">
        <f>VLOOKUP(G$53,'Group Basis'!$A$208:$B$214,2,0)*H54</f>
        <v>0</v>
      </c>
      <c r="I55" s="1334"/>
      <c r="J55" s="1335"/>
      <c r="L55" s="590"/>
      <c r="M55" s="715">
        <f>VLOOKUP(L$53,'Group Basis'!$A$208:$B$214,2,0)*M54</f>
        <v>0</v>
      </c>
      <c r="N55" s="1334"/>
      <c r="O55" s="1335"/>
      <c r="Q55" s="590"/>
      <c r="R55" s="715">
        <f>VLOOKUP(Q$53,'Group Basis'!$A$208:$B$214,2,0)*R54</f>
        <v>0</v>
      </c>
      <c r="S55" s="1334"/>
      <c r="T55" s="1335"/>
      <c r="V55" s="590"/>
      <c r="W55" s="715">
        <f>VLOOKUP(V$53,'Group Basis'!$A$208:$B$214,2,0)*W54</f>
        <v>0</v>
      </c>
      <c r="X55" s="1334"/>
      <c r="Y55" s="1335"/>
      <c r="AA55" s="590"/>
      <c r="AB55" s="715">
        <f>VLOOKUP(AA$53,'Group Basis'!$A$208:$B$214,2,0)*AB54</f>
        <v>0</v>
      </c>
      <c r="AC55" s="1334"/>
      <c r="AD55" s="1335"/>
      <c r="AF55" s="590"/>
      <c r="AG55" s="715">
        <f>VLOOKUP(AF$53,'Group Basis'!$A$208:$B$214,2,0)*AG54</f>
        <v>0</v>
      </c>
      <c r="AH55" s="1334"/>
      <c r="AI55" s="1335"/>
      <c r="AK55" s="590"/>
      <c r="AL55" s="715">
        <f>VLOOKUP(AK$53,'Group Basis'!$A$208:$B$214,2,0)*AL54</f>
        <v>0</v>
      </c>
      <c r="AM55" s="1334"/>
      <c r="AN55" s="1335"/>
    </row>
    <row r="56" spans="1:40" x14ac:dyDescent="0.25">
      <c r="A56" s="722"/>
      <c r="D56" s="592"/>
    </row>
    <row r="57" spans="1:40" ht="64.5" customHeight="1" x14ac:dyDescent="0.25">
      <c r="A57" s="721" t="s">
        <v>1020</v>
      </c>
      <c r="B57" s="1342">
        <v>5000</v>
      </c>
      <c r="C57" s="1342"/>
      <c r="D57" s="592"/>
      <c r="G57" s="1342" t="s">
        <v>130</v>
      </c>
      <c r="H57" s="1342"/>
      <c r="L57" s="1342" t="s">
        <v>130</v>
      </c>
      <c r="M57" s="1342"/>
      <c r="Q57" s="1342" t="s">
        <v>130</v>
      </c>
      <c r="R57" s="1342"/>
      <c r="V57" s="1342">
        <v>1000</v>
      </c>
      <c r="W57" s="1342"/>
      <c r="AA57" s="1342">
        <v>1000</v>
      </c>
      <c r="AB57" s="1342"/>
      <c r="AF57" s="1342">
        <v>1000</v>
      </c>
      <c r="AG57" s="1342"/>
      <c r="AK57" s="1342" t="s">
        <v>130</v>
      </c>
      <c r="AL57" s="1342"/>
    </row>
    <row r="58" spans="1:40" x14ac:dyDescent="0.25">
      <c r="A58" s="451" t="s">
        <v>118</v>
      </c>
      <c r="B58" s="590"/>
      <c r="C58" s="591">
        <f>IF(B$3&lt;&gt;"",C$88,0)</f>
        <v>11</v>
      </c>
      <c r="D58" s="592"/>
      <c r="G58" s="590"/>
      <c r="H58" s="591">
        <f>IF(G$3&lt;&gt;"",H$88,0)</f>
        <v>0</v>
      </c>
      <c r="L58" s="590"/>
      <c r="M58" s="591">
        <f>IF(L$3&lt;&gt;"",M$88,0)</f>
        <v>0</v>
      </c>
      <c r="Q58" s="590"/>
      <c r="R58" s="591">
        <f>IF(Q$3&lt;&gt;"",R$88,0)</f>
        <v>0</v>
      </c>
      <c r="V58" s="590"/>
      <c r="W58" s="591">
        <f>IF(V$3&lt;&gt;"",W$88,0)</f>
        <v>0</v>
      </c>
      <c r="AA58" s="590"/>
      <c r="AB58" s="591">
        <f>IF(AA$3&lt;&gt;"",AB$88,0)</f>
        <v>0</v>
      </c>
      <c r="AF58" s="590"/>
      <c r="AG58" s="591">
        <f>IF(AF$3&lt;&gt;"",AG$88,0)</f>
        <v>0</v>
      </c>
      <c r="AK58" s="590"/>
      <c r="AL58" s="591">
        <f>IF(AK$3&lt;&gt;"",AL$88,0)</f>
        <v>0</v>
      </c>
    </row>
    <row r="59" spans="1:40" x14ac:dyDescent="0.25">
      <c r="A59" s="451" t="s">
        <v>119</v>
      </c>
      <c r="B59" s="590"/>
      <c r="C59" s="715">
        <f>IF(B$3&lt;&gt;"",IF(B$14=GN_Plus,VLOOKUP(B57,Nursing_Rate_Table,2,0),IF(B$14=GN,VLOOKUP(B57,Nursing_Rate_Table,3,0),IF(B$14=RN_Plus,VLOOKUP(B57,Nursing_Rate_Table,4,0),IF(B$14=RN,VLOOKUP(B57,Nursing_Rate_Table,5,0),IF(B$14=RN_2,VLOOKUP(B57,Nursing_Rate_Table,6,0),IF(B$14=RN2_minus,VLOOKUP(B57,Nursing_Rate_Table,7,0),IF(B$14=RN_3,VLOOKUP(B57,Nursing_Rate_Table,8,0),IF(B$14=VN,VLOOKUP(B57,Nursing_Rate_Table,9,0),"Error"))))))))*C58,0)</f>
        <v>143.22</v>
      </c>
      <c r="G59" s="590"/>
      <c r="H59" s="715">
        <f>IF(G$3&lt;&gt;"",IF(G$14=GN_Plus,VLOOKUP(G57,Nursing_Rate_Table,2,0),IF(G$14=GN,VLOOKUP(G57,Nursing_Rate_Table,3,0),IF(G$14=RN_Plus,VLOOKUP(G57,Nursing_Rate_Table,4,0),IF(G$14=RN,VLOOKUP(G57,Nursing_Rate_Table,5,0),IF(G$14=RN_2,VLOOKUP(G57,Nursing_Rate_Table,6,0),IF(G$14=RN2_minus,VLOOKUP(G57,Nursing_Rate_Table,7,0),IF(G$14=RN_3,VLOOKUP(G57,Nursing_Rate_Table,8,0),IF(G$14=VN,VLOOKUP(G57,Nursing_Rate_Table,9,0),"Error"))))))))*H58,0)</f>
        <v>0</v>
      </c>
      <c r="L59" s="590"/>
      <c r="M59" s="715">
        <f>IF(L$3&lt;&gt;"",IF(L$14=GN_Plus,VLOOKUP(L57,Nursing_Rate_Table,2,0),IF(L$14=GN,VLOOKUP(L57,Nursing_Rate_Table,3,0),IF(L$14=RN_Plus,VLOOKUP(L57,Nursing_Rate_Table,4,0),IF(L$14=RN,VLOOKUP(L57,Nursing_Rate_Table,5,0),IF(L$14=RN_2,VLOOKUP(L57,Nursing_Rate_Table,6,0),IF(L$14=RN2_minus,VLOOKUP(L57,Nursing_Rate_Table,7,0),IF(L$14=RN_3,VLOOKUP(L57,Nursing_Rate_Table,8,0),IF(L$14=VN,VLOOKUP(L57,Nursing_Rate_Table,9,0),"Error"))))))))*M58,0)</f>
        <v>0</v>
      </c>
      <c r="Q59" s="590"/>
      <c r="R59" s="715">
        <f>IF(Q$3&lt;&gt;"",IF(Q$14=GN_Plus,VLOOKUP(Q57,Nursing_Rate_Table,2,0),IF(Q$14=GN,VLOOKUP(Q57,Nursing_Rate_Table,3,0),IF(Q$14=RN_Plus,VLOOKUP(Q57,Nursing_Rate_Table,4,0),IF(Q$14=RN,VLOOKUP(Q57,Nursing_Rate_Table,5,0),IF(Q$14=RN_2,VLOOKUP(Q57,Nursing_Rate_Table,6,0),IF(Q$14=RN2_minus,VLOOKUP(Q57,Nursing_Rate_Table,7,0),IF(Q$14=RN_3,VLOOKUP(Q57,Nursing_Rate_Table,8,0),IF(Q$14=VN,VLOOKUP(Q57,Nursing_Rate_Table,9,0),"Error"))))))))*R58,0)</f>
        <v>0</v>
      </c>
      <c r="V59" s="590"/>
      <c r="W59" s="715">
        <f>IF(V$3&lt;&gt;"",IF(V$14=GN_Plus,VLOOKUP(V57,Nursing_Rate_Table,2,0),IF(V$14=GN,VLOOKUP(V57,Nursing_Rate_Table,3,0),IF(V$14=RN_Plus,VLOOKUP(V57,Nursing_Rate_Table,4,0),IF(V$14=RN,VLOOKUP(V57,Nursing_Rate_Table,5,0),IF(V$14=RN_2,VLOOKUP(V57,Nursing_Rate_Table,6,0),IF(V$14=RN2_minus,VLOOKUP(V57,Nursing_Rate_Table,7,0),IF(V$14=RN_3,VLOOKUP(V57,Nursing_Rate_Table,8,0),IF(V$14=VN,VLOOKUP(V57,Nursing_Rate_Table,9,0),"Error"))))))))*W58,0)</f>
        <v>0</v>
      </c>
      <c r="AA59" s="590"/>
      <c r="AB59" s="715">
        <f>IF(AA$3&lt;&gt;"",IF(AA$14=GN_Plus,VLOOKUP(AA57,Nursing_Rate_Table,2,0),IF(AA$14=GN,VLOOKUP(AA57,Nursing_Rate_Table,3,0),IF(AA$14=RN_Plus,VLOOKUP(AA57,Nursing_Rate_Table,4,0),IF(AA$14=RN,VLOOKUP(AA57,Nursing_Rate_Table,5,0),IF(AA$14=RN_2,VLOOKUP(AA57,Nursing_Rate_Table,6,0),IF(AA$14=RN2_minus,VLOOKUP(AA57,Nursing_Rate_Table,7,0),IF(AA$14=RN_3,VLOOKUP(AA57,Nursing_Rate_Table,8,0),IF(AA$14=VN,VLOOKUP(AA57,Nursing_Rate_Table,9,0),"Error"))))))))*AB58,0)</f>
        <v>0</v>
      </c>
      <c r="AF59" s="590"/>
      <c r="AG59" s="715">
        <f>IF(AF$3&lt;&gt;"",IF(AF$14=GN_Plus,VLOOKUP(AF57,Nursing_Rate_Table,2,0),IF(AF$14=GN,VLOOKUP(AF57,Nursing_Rate_Table,3,0),IF(AF$14=RN_Plus,VLOOKUP(AF57,Nursing_Rate_Table,4,0),IF(AF$14=RN,VLOOKUP(AF57,Nursing_Rate_Table,5,0),IF(AF$14=RN_2,VLOOKUP(AF57,Nursing_Rate_Table,6,0),IF(AF$14=RN2_minus,VLOOKUP(AF57,Nursing_Rate_Table,7,0),IF(AF$14=RN_3,VLOOKUP(AF57,Nursing_Rate_Table,8,0),IF(AF$14=VN,VLOOKUP(AF57,Nursing_Rate_Table,9,0),"Error"))))))))*AG58,0)</f>
        <v>0</v>
      </c>
      <c r="AK59" s="590"/>
      <c r="AL59" s="715">
        <f>IF(AK$3&lt;&gt;"",IF(AK$14=GN_Plus,VLOOKUP(AK57,Nursing_Rate_Table,2,0),IF(AK$14=GN,VLOOKUP(AK57,Nursing_Rate_Table,3,0),IF(AK$14=RN_Plus,VLOOKUP(AK57,Nursing_Rate_Table,4,0),IF(AK$14=RN,VLOOKUP(AK57,Nursing_Rate_Table,5,0),IF(AK$14=RN_2,VLOOKUP(AK57,Nursing_Rate_Table,6,0),IF(AK$14=RN2_minus,VLOOKUP(AK57,Nursing_Rate_Table,7,0),IF(AK$14=RN_3,VLOOKUP(AK57,Nursing_Rate_Table,8,0),IF(AK$14=VN,VLOOKUP(AK57,Nursing_Rate_Table,9,0),"Error"))))))))*AL58,0)</f>
        <v>0</v>
      </c>
    </row>
    <row r="60" spans="1:40" x14ac:dyDescent="0.25">
      <c r="A60" s="722"/>
      <c r="D60" s="592"/>
    </row>
    <row r="61" spans="1:40" x14ac:dyDescent="0.25">
      <c r="A61" s="721" t="s">
        <v>916</v>
      </c>
      <c r="B61" s="1342">
        <v>1000</v>
      </c>
      <c r="C61" s="1342"/>
      <c r="D61" s="1336" t="str">
        <f>IF(AND(B$9="Dubai",B61="Not Covered",C63&gt;0),"Min. Limit to be offered for DHA Compliant Policy is AED 800 with 30% Co-Payment","NA")</f>
        <v>NA</v>
      </c>
      <c r="E61" s="1337"/>
      <c r="G61" s="1342">
        <v>800</v>
      </c>
      <c r="H61" s="1342"/>
      <c r="I61" s="1336" t="str">
        <f>IF(AND(G$9="Dubai",G61="Not Covered",H63&gt;0),"Min. Limit to be offered for DHA Compliant Policy is AED 800 with 30% Co-Payment","NA")</f>
        <v>NA</v>
      </c>
      <c r="J61" s="1337"/>
      <c r="L61" s="1342">
        <v>800</v>
      </c>
      <c r="M61" s="1342"/>
      <c r="N61" s="1336" t="str">
        <f>IF(AND(L$9="Dubai",L61="Not Covered",M63&gt;0),"Min. Limit to be offered for DHA Compliant Policy is AED 800 with 30% Co-Payment","NA")</f>
        <v>NA</v>
      </c>
      <c r="O61" s="1337"/>
      <c r="Q61" s="1342">
        <v>800</v>
      </c>
      <c r="R61" s="1342"/>
      <c r="S61" s="1336" t="str">
        <f>IF(AND(Q$9="Dubai",Q61="Not Covered",R63&gt;0),"Min. Limit to be offered for DHA Compliant Policy is AED 800 with 30% Co-Payment","NA")</f>
        <v>NA</v>
      </c>
      <c r="T61" s="1337"/>
      <c r="V61" s="1342">
        <v>1500</v>
      </c>
      <c r="W61" s="1342"/>
      <c r="X61" s="1336" t="str">
        <f>IF(AND(V$9="Dubai",V61="Not Covered",W63&gt;0),"Min. Limit to be offered for DHA Compliant Policy is AED 800 with 30% Co-Payment","NA")</f>
        <v>NA</v>
      </c>
      <c r="Y61" s="1337"/>
      <c r="AA61" s="1342">
        <v>1500</v>
      </c>
      <c r="AB61" s="1342"/>
      <c r="AC61" s="1336" t="str">
        <f>IF(AND(AA$9="Dubai",AA61="Not Covered",AB63&gt;0),"Min. Limit to be offered for DHA Compliant Policy is AED 800 with 30% Co-Payment","NA")</f>
        <v>NA</v>
      </c>
      <c r="AD61" s="1337"/>
      <c r="AF61" s="1342" t="s">
        <v>130</v>
      </c>
      <c r="AG61" s="1342"/>
      <c r="AH61" s="1336" t="str">
        <f>IF(AND(AF$9="Dubai",AF61="Not Covered",AG63&gt;0),"Min. Limit to be offered for DHA Compliant Policy is AED 800 with 30% Co-Payment","NA")</f>
        <v>NA</v>
      </c>
      <c r="AI61" s="1337"/>
      <c r="AK61" s="1342" t="s">
        <v>130</v>
      </c>
      <c r="AL61" s="1342"/>
      <c r="AM61" s="1336" t="str">
        <f>IF(AND(AK$9="Dubai",AK61="Not Covered",AL63&gt;0),"Min. Limit to be offered for DHA Compliant Policy is AED 800 with 30% Co-Payment","NA")</f>
        <v>NA</v>
      </c>
      <c r="AN61" s="1337"/>
    </row>
    <row r="62" spans="1:40" ht="15.75" customHeight="1" x14ac:dyDescent="0.25">
      <c r="A62" s="451" t="s">
        <v>1018</v>
      </c>
      <c r="B62" s="1344">
        <v>0.2</v>
      </c>
      <c r="C62" s="1344"/>
      <c r="D62" s="1338"/>
      <c r="E62" s="1339"/>
      <c r="G62" s="1344">
        <v>0.2</v>
      </c>
      <c r="H62" s="1344"/>
      <c r="I62" s="1338"/>
      <c r="J62" s="1339"/>
      <c r="L62" s="1344">
        <v>0.2</v>
      </c>
      <c r="M62" s="1344"/>
      <c r="N62" s="1338"/>
      <c r="O62" s="1339"/>
      <c r="Q62" s="1344">
        <v>0.2</v>
      </c>
      <c r="R62" s="1344"/>
      <c r="S62" s="1338"/>
      <c r="T62" s="1339"/>
      <c r="V62" s="1344">
        <v>0.2</v>
      </c>
      <c r="W62" s="1344"/>
      <c r="X62" s="1338"/>
      <c r="Y62" s="1339"/>
      <c r="AA62" s="1344">
        <v>0.2</v>
      </c>
      <c r="AB62" s="1344"/>
      <c r="AC62" s="1338"/>
      <c r="AD62" s="1339"/>
      <c r="AF62" s="1344">
        <v>0</v>
      </c>
      <c r="AG62" s="1344"/>
      <c r="AH62" s="1338"/>
      <c r="AI62" s="1339"/>
      <c r="AK62" s="1344">
        <v>0</v>
      </c>
      <c r="AL62" s="1344"/>
      <c r="AM62" s="1338"/>
      <c r="AN62" s="1339"/>
    </row>
    <row r="63" spans="1:40" x14ac:dyDescent="0.25">
      <c r="A63" s="451" t="s">
        <v>118</v>
      </c>
      <c r="B63" s="590"/>
      <c r="C63" s="591">
        <f>IF(B$3&lt;&gt;"",C$88,0)</f>
        <v>11</v>
      </c>
      <c r="D63" s="1338"/>
      <c r="E63" s="1339"/>
      <c r="G63" s="590"/>
      <c r="H63" s="591">
        <f>IF(G$3&lt;&gt;"",H$88,0)</f>
        <v>0</v>
      </c>
      <c r="I63" s="1338"/>
      <c r="J63" s="1339"/>
      <c r="L63" s="590"/>
      <c r="M63" s="591">
        <f>IF(L$3&lt;&gt;"",M$88,0)</f>
        <v>0</v>
      </c>
      <c r="N63" s="1338"/>
      <c r="O63" s="1339"/>
      <c r="Q63" s="590"/>
      <c r="R63" s="591">
        <f>IF(Q$3&lt;&gt;"",R$88,0)</f>
        <v>0</v>
      </c>
      <c r="S63" s="1338"/>
      <c r="T63" s="1339"/>
      <c r="V63" s="590"/>
      <c r="W63" s="591">
        <f>IF(V$3&lt;&gt;"",W$88,0)</f>
        <v>0</v>
      </c>
      <c r="X63" s="1338"/>
      <c r="Y63" s="1339"/>
      <c r="AA63" s="590"/>
      <c r="AB63" s="591">
        <f>IF(AA$3&lt;&gt;"",AB$88,0)</f>
        <v>0</v>
      </c>
      <c r="AC63" s="1338"/>
      <c r="AD63" s="1339"/>
      <c r="AF63" s="590"/>
      <c r="AG63" s="591">
        <f>IF(AF$3&lt;&gt;"",AG$88,0)</f>
        <v>0</v>
      </c>
      <c r="AH63" s="1338"/>
      <c r="AI63" s="1339"/>
      <c r="AK63" s="590"/>
      <c r="AL63" s="591">
        <f>IF(AK$3&lt;&gt;"",AL$88,0)</f>
        <v>0</v>
      </c>
      <c r="AM63" s="1338"/>
      <c r="AN63" s="1339"/>
    </row>
    <row r="64" spans="1:40" x14ac:dyDescent="0.25">
      <c r="A64" s="451" t="s">
        <v>119</v>
      </c>
      <c r="B64" s="590"/>
      <c r="C64" s="715">
        <f>IF(B62=0%,IF(B$14=GN_Plus,VLOOKUP(B61,OP_Psychiatric_Rate_Table_0_perc,2,0),IF(B$14=GN,VLOOKUP(B61,OP_Psychiatric_Rate_Table_0_perc,3,0),IF(B$14=RN_Plus,VLOOKUP(B61,OP_Psychiatric_Rate_Table_0_perc,4,0),IF(B$14=RN,VLOOKUP(B61,OP_Psychiatric_Rate_Table_0_perc,5,0),IF(B$14=RN_2,VLOOKUP(B61,OP_Psychiatric_Rate_Table_0_perc,6,0),IF(B$14=RN2_minus,VLOOKUP(B61,OP_Psychiatric_Rate_Table_0_perc,7,0),IF(B$14=RN_3,VLOOKUP(B61,OP_Psychiatric_Rate_Table_0_perc,8,0),IF(B$14=VN,VLOOKUP(B61,OP_Psychiatric_Rate_Table_0_perc,9,0),"Error")))))))),IF(B62=10%,IF(B$14=GN_Plus,VLOOKUP(B61,OP_Psychiatric_Rate_Table_10_perc,2,0),IF(B$14=GN,VLOOKUP(B61,OP_Psychiatric_Rate_Table_10_perc,3,0),IF(B$14=RN_Plus,VLOOKUP(B61,OP_Psychiatric_Rate_Table_10_perc,4,0),IF(B$14=RN,VLOOKUP(B61,OP_Psychiatric_Rate_Table_10_perc,5,0),IF(B$14=RN_2,VLOOKUP(B61,OP_Psychiatric_Rate_Table_10_perc,6,0),IF(B$14=RN2_minus,VLOOKUP(B61,OP_Psychiatric_Rate_Table_10_perc,7,0),IF(B$14=RN_3,VLOOKUP(B61,OP_Psychiatric_Rate_Table_10_perc,8,0),IF(B$14=VN,VLOOKUP(B61,OP_Psychiatric_Rate_Table_10_perc,9,0),"Error")))))))),IF(B62=20%,IF(B$14=GN_Plus,VLOOKUP(B61,OP_Psychiatric_Rate_Table_20_perc,2,0),IF(B$14=GN,VLOOKUP(B61,OP_Psychiatric_Rate_Table_20_perc,3,0),IF(B$14=RN_Plus,VLOOKUP(B61,OP_Psychiatric_Rate_Table_20_perc,4,0),IF(B$14=RN,VLOOKUP(B61,OP_Psychiatric_Rate_Table_20_perc,5,0),IF(B$14=RN_2,VLOOKUP(B61,OP_Psychiatric_Rate_Table_20_perc,6,0),IF(B$14=RN2_minus,VLOOKUP(B61,OP_Psychiatric_Rate_Table_20_perc,7,0),IF(B$14=RN_3,VLOOKUP(B61,OP_Psychiatric_Rate_Table_20_perc,8,0),IF(B$14=VN,VLOOKUP(B61,OP_Psychiatric_Rate_Table_20_perc,9,0),"Error")))))))),"Error")))*C63</f>
        <v>286.44</v>
      </c>
      <c r="D64" s="1340"/>
      <c r="E64" s="1341"/>
      <c r="G64" s="590"/>
      <c r="H64" s="715">
        <f>IF(G62=0%,IF(G$14=GN_Plus,VLOOKUP(G61,OP_Psychiatric_Rate_Table_0_perc,2,0),IF(G$14=GN,VLOOKUP(G61,OP_Psychiatric_Rate_Table_0_perc,3,0),IF(G$14=RN_Plus,VLOOKUP(G61,OP_Psychiatric_Rate_Table_0_perc,4,0),IF(G$14=RN,VLOOKUP(G61,OP_Psychiatric_Rate_Table_0_perc,5,0),IF(G$14=RN_2,VLOOKUP(G61,OP_Psychiatric_Rate_Table_0_perc,6,0),IF(G$14=RN2_minus,VLOOKUP(G61,OP_Psychiatric_Rate_Table_0_perc,7,0),IF(G$14=RN_3,VLOOKUP(G61,OP_Psychiatric_Rate_Table_0_perc,8,0),IF(G$14=VN,VLOOKUP(G61,OP_Psychiatric_Rate_Table_0_perc,9,0),"Error")))))))),IF(G62=10%,IF(G$14=GN_Plus,VLOOKUP(G61,OP_Psychiatric_Rate_Table_10_perc,2,0),IF(G$14=GN,VLOOKUP(G61,OP_Psychiatric_Rate_Table_10_perc,3,0),IF(G$14=RN_Plus,VLOOKUP(G61,OP_Psychiatric_Rate_Table_10_perc,4,0),IF(G$14=RN,VLOOKUP(G61,OP_Psychiatric_Rate_Table_10_perc,5,0),IF(G$14=RN_2,VLOOKUP(G61,OP_Psychiatric_Rate_Table_10_perc,6,0),IF(G$14=RN2_minus,VLOOKUP(G61,OP_Psychiatric_Rate_Table_10_perc,7,0),IF(G$14=RN_3,VLOOKUP(G61,OP_Psychiatric_Rate_Table_10_perc,8,0),IF(G$14=VN,VLOOKUP(G61,OP_Psychiatric_Rate_Table_10_perc,9,0),"Error")))))))),IF(G62=20%,IF(G$14=GN_Plus,VLOOKUP(G61,OP_Psychiatric_Rate_Table_20_perc,2,0),IF(G$14=GN,VLOOKUP(G61,OP_Psychiatric_Rate_Table_20_perc,3,0),IF(G$14=RN_Plus,VLOOKUP(G61,OP_Psychiatric_Rate_Table_20_perc,4,0),IF(G$14=RN,VLOOKUP(G61,OP_Psychiatric_Rate_Table_20_perc,5,0),IF(G$14=RN_2,VLOOKUP(G61,OP_Psychiatric_Rate_Table_20_perc,6,0),IF(G$14=RN2_minus,VLOOKUP(G61,OP_Psychiatric_Rate_Table_20_perc,7,0),IF(G$14=RN_3,VLOOKUP(G61,OP_Psychiatric_Rate_Table_20_perc,8,0),IF(G$14=VN,VLOOKUP(G61,OP_Psychiatric_Rate_Table_20_perc,9,0),"Error")))))))),"Error")))*H63</f>
        <v>0</v>
      </c>
      <c r="I64" s="1340"/>
      <c r="J64" s="1341"/>
      <c r="L64" s="590"/>
      <c r="M64" s="715">
        <f>IF(L62=0%,IF(L$14=GN_Plus,VLOOKUP(L61,OP_Psychiatric_Rate_Table_0_perc,2,0),IF(L$14=GN,VLOOKUP(L61,OP_Psychiatric_Rate_Table_0_perc,3,0),IF(L$14=RN_Plus,VLOOKUP(L61,OP_Psychiatric_Rate_Table_0_perc,4,0),IF(L$14=RN,VLOOKUP(L61,OP_Psychiatric_Rate_Table_0_perc,5,0),IF(L$14=RN_2,VLOOKUP(L61,OP_Psychiatric_Rate_Table_0_perc,6,0),IF(L$14=RN2_minus,VLOOKUP(L61,OP_Psychiatric_Rate_Table_0_perc,7,0),IF(L$14=RN_3,VLOOKUP(L61,OP_Psychiatric_Rate_Table_0_perc,8,0),IF(L$14=VN,VLOOKUP(L61,OP_Psychiatric_Rate_Table_0_perc,9,0),"Error")))))))),IF(L62=10%,IF(L$14=GN_Plus,VLOOKUP(L61,OP_Psychiatric_Rate_Table_10_perc,2,0),IF(L$14=GN,VLOOKUP(L61,OP_Psychiatric_Rate_Table_10_perc,3,0),IF(L$14=RN_Plus,VLOOKUP(L61,OP_Psychiatric_Rate_Table_10_perc,4,0),IF(L$14=RN,VLOOKUP(L61,OP_Psychiatric_Rate_Table_10_perc,5,0),IF(L$14=RN_2,VLOOKUP(L61,OP_Psychiatric_Rate_Table_10_perc,6,0),IF(L$14=RN2_minus,VLOOKUP(L61,OP_Psychiatric_Rate_Table_10_perc,7,0),IF(L$14=RN_3,VLOOKUP(L61,OP_Psychiatric_Rate_Table_10_perc,8,0),IF(L$14=VN,VLOOKUP(L61,OP_Psychiatric_Rate_Table_10_perc,9,0),"Error")))))))),IF(L62=20%,IF(L$14=GN_Plus,VLOOKUP(L61,OP_Psychiatric_Rate_Table_20_perc,2,0),IF(L$14=GN,VLOOKUP(L61,OP_Psychiatric_Rate_Table_20_perc,3,0),IF(L$14=RN_Plus,VLOOKUP(L61,OP_Psychiatric_Rate_Table_20_perc,4,0),IF(L$14=RN,VLOOKUP(L61,OP_Psychiatric_Rate_Table_20_perc,5,0),IF(L$14=RN_2,VLOOKUP(L61,OP_Psychiatric_Rate_Table_20_perc,6,0),IF(L$14=RN2_minus,VLOOKUP(L61,OP_Psychiatric_Rate_Table_20_perc,7,0),IF(L$14=RN_3,VLOOKUP(L61,OP_Psychiatric_Rate_Table_20_perc,8,0),IF(L$14=VN,VLOOKUP(L61,OP_Psychiatric_Rate_Table_20_perc,9,0),"Error")))))))),"Error")))*M63</f>
        <v>0</v>
      </c>
      <c r="N64" s="1340"/>
      <c r="O64" s="1341"/>
      <c r="Q64" s="590"/>
      <c r="R64" s="715">
        <f>IF(Q62=0%,IF(Q$14=GN_Plus,VLOOKUP(Q61,OP_Psychiatric_Rate_Table_0_perc,2,0),IF(Q$14=GN,VLOOKUP(Q61,OP_Psychiatric_Rate_Table_0_perc,3,0),IF(Q$14=RN_Plus,VLOOKUP(Q61,OP_Psychiatric_Rate_Table_0_perc,4,0),IF(Q$14=RN,VLOOKUP(Q61,OP_Psychiatric_Rate_Table_0_perc,5,0),IF(Q$14=RN_2,VLOOKUP(Q61,OP_Psychiatric_Rate_Table_0_perc,6,0),IF(Q$14=RN2_minus,VLOOKUP(Q61,OP_Psychiatric_Rate_Table_0_perc,7,0),IF(Q$14=RN_3,VLOOKUP(Q61,OP_Psychiatric_Rate_Table_0_perc,8,0),IF(Q$14=VN,VLOOKUP(Q61,OP_Psychiatric_Rate_Table_0_perc,9,0),"Error")))))))),IF(Q62=10%,IF(Q$14=GN_Plus,VLOOKUP(Q61,OP_Psychiatric_Rate_Table_10_perc,2,0),IF(Q$14=GN,VLOOKUP(Q61,OP_Psychiatric_Rate_Table_10_perc,3,0),IF(Q$14=RN_Plus,VLOOKUP(Q61,OP_Psychiatric_Rate_Table_10_perc,4,0),IF(Q$14=RN,VLOOKUP(Q61,OP_Psychiatric_Rate_Table_10_perc,5,0),IF(Q$14=RN_2,VLOOKUP(Q61,OP_Psychiatric_Rate_Table_10_perc,6,0),IF(Q$14=RN2_minus,VLOOKUP(Q61,OP_Psychiatric_Rate_Table_10_perc,7,0),IF(Q$14=RN_3,VLOOKUP(Q61,OP_Psychiatric_Rate_Table_10_perc,8,0),IF(Q$14=VN,VLOOKUP(Q61,OP_Psychiatric_Rate_Table_10_perc,9,0),"Error")))))))),IF(Q62=20%,IF(Q$14=GN_Plus,VLOOKUP(Q61,OP_Psychiatric_Rate_Table_20_perc,2,0),IF(Q$14=GN,VLOOKUP(Q61,OP_Psychiatric_Rate_Table_20_perc,3,0),IF(Q$14=RN_Plus,VLOOKUP(Q61,OP_Psychiatric_Rate_Table_20_perc,4,0),IF(Q$14=RN,VLOOKUP(Q61,OP_Psychiatric_Rate_Table_20_perc,5,0),IF(Q$14=RN_2,VLOOKUP(Q61,OP_Psychiatric_Rate_Table_20_perc,6,0),IF(Q$14=RN2_minus,VLOOKUP(Q61,OP_Psychiatric_Rate_Table_20_perc,7,0),IF(Q$14=RN_3,VLOOKUP(Q61,OP_Psychiatric_Rate_Table_20_perc,8,0),IF(Q$14=VN,VLOOKUP(Q61,OP_Psychiatric_Rate_Table_20_perc,9,0),"Error")))))))),"Error")))*R63</f>
        <v>0</v>
      </c>
      <c r="S64" s="1340"/>
      <c r="T64" s="1341"/>
      <c r="V64" s="590"/>
      <c r="W64" s="715">
        <f>IF(V62=0%,IF(V$14=GN_Plus,VLOOKUP(V61,OP_Psychiatric_Rate_Table_0_perc,2,0),IF(V$14=GN,VLOOKUP(V61,OP_Psychiatric_Rate_Table_0_perc,3,0),IF(V$14=RN_Plus,VLOOKUP(V61,OP_Psychiatric_Rate_Table_0_perc,4,0),IF(V$14=RN,VLOOKUP(V61,OP_Psychiatric_Rate_Table_0_perc,5,0),IF(V$14=RN_2,VLOOKUP(V61,OP_Psychiatric_Rate_Table_0_perc,6,0),IF(V$14=RN2_minus,VLOOKUP(V61,OP_Psychiatric_Rate_Table_0_perc,7,0),IF(V$14=RN_3,VLOOKUP(V61,OP_Psychiatric_Rate_Table_0_perc,8,0),IF(V$14=VN,VLOOKUP(V61,OP_Psychiatric_Rate_Table_0_perc,9,0),"Error")))))))),IF(V62=10%,IF(V$14=GN_Plus,VLOOKUP(V61,OP_Psychiatric_Rate_Table_10_perc,2,0),IF(V$14=GN,VLOOKUP(V61,OP_Psychiatric_Rate_Table_10_perc,3,0),IF(V$14=RN_Plus,VLOOKUP(V61,OP_Psychiatric_Rate_Table_10_perc,4,0),IF(V$14=RN,VLOOKUP(V61,OP_Psychiatric_Rate_Table_10_perc,5,0),IF(V$14=RN_2,VLOOKUP(V61,OP_Psychiatric_Rate_Table_10_perc,6,0),IF(V$14=RN2_minus,VLOOKUP(V61,OP_Psychiatric_Rate_Table_10_perc,7,0),IF(V$14=RN_3,VLOOKUP(V61,OP_Psychiatric_Rate_Table_10_perc,8,0),IF(V$14=VN,VLOOKUP(V61,OP_Psychiatric_Rate_Table_10_perc,9,0),"Error")))))))),IF(V62=20%,IF(V$14=GN_Plus,VLOOKUP(V61,OP_Psychiatric_Rate_Table_20_perc,2,0),IF(V$14=GN,VLOOKUP(V61,OP_Psychiatric_Rate_Table_20_perc,3,0),IF(V$14=RN_Plus,VLOOKUP(V61,OP_Psychiatric_Rate_Table_20_perc,4,0),IF(V$14=RN,VLOOKUP(V61,OP_Psychiatric_Rate_Table_20_perc,5,0),IF(V$14=RN_2,VLOOKUP(V61,OP_Psychiatric_Rate_Table_20_perc,6,0),IF(V$14=RN2_minus,VLOOKUP(V61,OP_Psychiatric_Rate_Table_20_perc,7,0),IF(V$14=RN_3,VLOOKUP(V61,OP_Psychiatric_Rate_Table_20_perc,8,0),IF(V$14=VN,VLOOKUP(V61,OP_Psychiatric_Rate_Table_20_perc,9,0),"Error")))))))),"Error")))*W63</f>
        <v>0</v>
      </c>
      <c r="X64" s="1340"/>
      <c r="Y64" s="1341"/>
      <c r="AA64" s="590"/>
      <c r="AB64" s="715">
        <f>IF(AA62=0%,IF(AA$14=GN_Plus,VLOOKUP(AA61,OP_Psychiatric_Rate_Table_0_perc,2,0),IF(AA$14=GN,VLOOKUP(AA61,OP_Psychiatric_Rate_Table_0_perc,3,0),IF(AA$14=RN_Plus,VLOOKUP(AA61,OP_Psychiatric_Rate_Table_0_perc,4,0),IF(AA$14=RN,VLOOKUP(AA61,OP_Psychiatric_Rate_Table_0_perc,5,0),IF(AA$14=RN_2,VLOOKUP(AA61,OP_Psychiatric_Rate_Table_0_perc,6,0),IF(AA$14=RN2_minus,VLOOKUP(AA61,OP_Psychiatric_Rate_Table_0_perc,7,0),IF(AA$14=RN_3,VLOOKUP(AA61,OP_Psychiatric_Rate_Table_0_perc,8,0),IF(AA$14=VN,VLOOKUP(AA61,OP_Psychiatric_Rate_Table_0_perc,9,0),"Error")))))))),IF(AA62=10%,IF(AA$14=GN_Plus,VLOOKUP(AA61,OP_Psychiatric_Rate_Table_10_perc,2,0),IF(AA$14=GN,VLOOKUP(AA61,OP_Psychiatric_Rate_Table_10_perc,3,0),IF(AA$14=RN_Plus,VLOOKUP(AA61,OP_Psychiatric_Rate_Table_10_perc,4,0),IF(AA$14=RN,VLOOKUP(AA61,OP_Psychiatric_Rate_Table_10_perc,5,0),IF(AA$14=RN_2,VLOOKUP(AA61,OP_Psychiatric_Rate_Table_10_perc,6,0),IF(AA$14=RN2_minus,VLOOKUP(AA61,OP_Psychiatric_Rate_Table_10_perc,7,0),IF(AA$14=RN_3,VLOOKUP(AA61,OP_Psychiatric_Rate_Table_10_perc,8,0),IF(AA$14=VN,VLOOKUP(AA61,OP_Psychiatric_Rate_Table_10_perc,9,0),"Error")))))))),IF(AA62=20%,IF(AA$14=GN_Plus,VLOOKUP(AA61,OP_Psychiatric_Rate_Table_20_perc,2,0),IF(AA$14=GN,VLOOKUP(AA61,OP_Psychiatric_Rate_Table_20_perc,3,0),IF(AA$14=RN_Plus,VLOOKUP(AA61,OP_Psychiatric_Rate_Table_20_perc,4,0),IF(AA$14=RN,VLOOKUP(AA61,OP_Psychiatric_Rate_Table_20_perc,5,0),IF(AA$14=RN_2,VLOOKUP(AA61,OP_Psychiatric_Rate_Table_20_perc,6,0),IF(AA$14=RN2_minus,VLOOKUP(AA61,OP_Psychiatric_Rate_Table_20_perc,7,0),IF(AA$14=RN_3,VLOOKUP(AA61,OP_Psychiatric_Rate_Table_20_perc,8,0),IF(AA$14=VN,VLOOKUP(AA61,OP_Psychiatric_Rate_Table_20_perc,9,0),"Error")))))))),"Error")))*AB63</f>
        <v>0</v>
      </c>
      <c r="AC64" s="1340"/>
      <c r="AD64" s="1341"/>
      <c r="AF64" s="590"/>
      <c r="AG64" s="715">
        <f>IF(AF62=0%,IF(AF$14=GN_Plus,VLOOKUP(AF61,OP_Psychiatric_Rate_Table_0_perc,2,0),IF(AF$14=GN,VLOOKUP(AF61,OP_Psychiatric_Rate_Table_0_perc,3,0),IF(AF$14=RN_Plus,VLOOKUP(AF61,OP_Psychiatric_Rate_Table_0_perc,4,0),IF(AF$14=RN,VLOOKUP(AF61,OP_Psychiatric_Rate_Table_0_perc,5,0),IF(AF$14=RN_2,VLOOKUP(AF61,OP_Psychiatric_Rate_Table_0_perc,6,0),IF(AF$14=RN2_minus,VLOOKUP(AF61,OP_Psychiatric_Rate_Table_0_perc,7,0),IF(AF$14=RN_3,VLOOKUP(AF61,OP_Psychiatric_Rate_Table_0_perc,8,0),IF(AF$14=VN,VLOOKUP(AF61,OP_Psychiatric_Rate_Table_0_perc,9,0),"Error")))))))),IF(AF62=10%,IF(AF$14=GN_Plus,VLOOKUP(AF61,OP_Psychiatric_Rate_Table_10_perc,2,0),IF(AF$14=GN,VLOOKUP(AF61,OP_Psychiatric_Rate_Table_10_perc,3,0),IF(AF$14=RN_Plus,VLOOKUP(AF61,OP_Psychiatric_Rate_Table_10_perc,4,0),IF(AF$14=RN,VLOOKUP(AF61,OP_Psychiatric_Rate_Table_10_perc,5,0),IF(AF$14=RN_2,VLOOKUP(AF61,OP_Psychiatric_Rate_Table_10_perc,6,0),IF(AF$14=RN2_minus,VLOOKUP(AF61,OP_Psychiatric_Rate_Table_10_perc,7,0),IF(AF$14=RN_3,VLOOKUP(AF61,OP_Psychiatric_Rate_Table_10_perc,8,0),IF(AF$14=VN,VLOOKUP(AF61,OP_Psychiatric_Rate_Table_10_perc,9,0),"Error")))))))),IF(AF62=20%,IF(AF$14=GN_Plus,VLOOKUP(AF61,OP_Psychiatric_Rate_Table_20_perc,2,0),IF(AF$14=GN,VLOOKUP(AF61,OP_Psychiatric_Rate_Table_20_perc,3,0),IF(AF$14=RN_Plus,VLOOKUP(AF61,OP_Psychiatric_Rate_Table_20_perc,4,0),IF(AF$14=RN,VLOOKUP(AF61,OP_Psychiatric_Rate_Table_20_perc,5,0),IF(AF$14=RN_2,VLOOKUP(AF61,OP_Psychiatric_Rate_Table_20_perc,6,0),IF(AF$14=RN2_minus,VLOOKUP(AF61,OP_Psychiatric_Rate_Table_20_perc,7,0),IF(AF$14=RN_3,VLOOKUP(AF61,OP_Psychiatric_Rate_Table_20_perc,8,0),IF(AF$14=VN,VLOOKUP(AF61,OP_Psychiatric_Rate_Table_20_perc,9,0),"Error")))))))),"Error")))*AG63</f>
        <v>0</v>
      </c>
      <c r="AH64" s="1340"/>
      <c r="AI64" s="1341"/>
      <c r="AK64" s="590"/>
      <c r="AL64" s="715">
        <f>IF(AK62=0%,IF(AK$14=GN_Plus,VLOOKUP(AK61,OP_Psychiatric_Rate_Table_0_perc,2,0),IF(AK$14=GN,VLOOKUP(AK61,OP_Psychiatric_Rate_Table_0_perc,3,0),IF(AK$14=RN_Plus,VLOOKUP(AK61,OP_Psychiatric_Rate_Table_0_perc,4,0),IF(AK$14=RN,VLOOKUP(AK61,OP_Psychiatric_Rate_Table_0_perc,5,0),IF(AK$14=RN_2,VLOOKUP(AK61,OP_Psychiatric_Rate_Table_0_perc,6,0),IF(AK$14=RN2_minus,VLOOKUP(AK61,OP_Psychiatric_Rate_Table_0_perc,7,0),IF(AK$14=RN_3,VLOOKUP(AK61,OP_Psychiatric_Rate_Table_0_perc,8,0),IF(AK$14=VN,VLOOKUP(AK61,OP_Psychiatric_Rate_Table_0_perc,9,0),"Error")))))))),IF(AK62=10%,IF(AK$14=GN_Plus,VLOOKUP(AK61,OP_Psychiatric_Rate_Table_10_perc,2,0),IF(AK$14=GN,VLOOKUP(AK61,OP_Psychiatric_Rate_Table_10_perc,3,0),IF(AK$14=RN_Plus,VLOOKUP(AK61,OP_Psychiatric_Rate_Table_10_perc,4,0),IF(AK$14=RN,VLOOKUP(AK61,OP_Psychiatric_Rate_Table_10_perc,5,0),IF(AK$14=RN_2,VLOOKUP(AK61,OP_Psychiatric_Rate_Table_10_perc,6,0),IF(AK$14=RN2_minus,VLOOKUP(AK61,OP_Psychiatric_Rate_Table_10_perc,7,0),IF(AK$14=RN_3,VLOOKUP(AK61,OP_Psychiatric_Rate_Table_10_perc,8,0),IF(AK$14=VN,VLOOKUP(AK61,OP_Psychiatric_Rate_Table_10_perc,9,0),"Error")))))))),IF(AK62=20%,IF(AK$14=GN_Plus,VLOOKUP(AK61,OP_Psychiatric_Rate_Table_20_perc,2,0),IF(AK$14=GN,VLOOKUP(AK61,OP_Psychiatric_Rate_Table_20_perc,3,0),IF(AK$14=RN_Plus,VLOOKUP(AK61,OP_Psychiatric_Rate_Table_20_perc,4,0),IF(AK$14=RN,VLOOKUP(AK61,OP_Psychiatric_Rate_Table_20_perc,5,0),IF(AK$14=RN_2,VLOOKUP(AK61,OP_Psychiatric_Rate_Table_20_perc,6,0),IF(AK$14=RN2_minus,VLOOKUP(AK61,OP_Psychiatric_Rate_Table_20_perc,7,0),IF(AK$14=RN_3,VLOOKUP(AK61,OP_Psychiatric_Rate_Table_20_perc,8,0),IF(AK$14=VN,VLOOKUP(AK61,OP_Psychiatric_Rate_Table_20_perc,9,0),"Error")))))))),"Error")))*AL63</f>
        <v>0</v>
      </c>
      <c r="AM64" s="1340"/>
      <c r="AN64" s="1341"/>
    </row>
    <row r="65" spans="1:38" x14ac:dyDescent="0.25">
      <c r="A65" s="722"/>
      <c r="D65" s="592"/>
    </row>
    <row r="66" spans="1:38" ht="36" customHeight="1" x14ac:dyDescent="0.25">
      <c r="A66" s="721" t="s">
        <v>914</v>
      </c>
      <c r="B66" s="1342" t="s">
        <v>130</v>
      </c>
      <c r="C66" s="1342"/>
      <c r="G66" s="1342" t="s">
        <v>130</v>
      </c>
      <c r="H66" s="1342"/>
      <c r="L66" s="1342" t="s">
        <v>130</v>
      </c>
      <c r="M66" s="1342"/>
      <c r="Q66" s="1342" t="s">
        <v>130</v>
      </c>
      <c r="R66" s="1342"/>
      <c r="V66" s="1342">
        <v>2000</v>
      </c>
      <c r="W66" s="1342"/>
      <c r="AA66" s="1342">
        <v>2500</v>
      </c>
      <c r="AB66" s="1342"/>
      <c r="AF66" s="1342">
        <v>2500</v>
      </c>
      <c r="AG66" s="1342"/>
      <c r="AK66" s="1342" t="s">
        <v>130</v>
      </c>
      <c r="AL66" s="1342"/>
    </row>
    <row r="67" spans="1:38" ht="15.75" customHeight="1" x14ac:dyDescent="0.25">
      <c r="A67" s="451" t="s">
        <v>1018</v>
      </c>
      <c r="B67" s="1344">
        <v>0.2</v>
      </c>
      <c r="C67" s="1344"/>
      <c r="G67" s="1344">
        <v>0.2</v>
      </c>
      <c r="H67" s="1344"/>
      <c r="L67" s="1344">
        <v>0.2</v>
      </c>
      <c r="M67" s="1344"/>
      <c r="Q67" s="1344">
        <v>0.2</v>
      </c>
      <c r="R67" s="1344"/>
      <c r="V67" s="1344">
        <v>0.2</v>
      </c>
      <c r="W67" s="1344"/>
      <c r="AA67" s="1344">
        <v>0.1</v>
      </c>
      <c r="AB67" s="1344"/>
      <c r="AF67" s="1344">
        <v>0.1</v>
      </c>
      <c r="AG67" s="1344"/>
      <c r="AK67" s="1344">
        <v>0.1</v>
      </c>
      <c r="AL67" s="1344"/>
    </row>
    <row r="68" spans="1:38" x14ac:dyDescent="0.25">
      <c r="A68" s="451" t="s">
        <v>118</v>
      </c>
      <c r="B68" s="590"/>
      <c r="C68" s="591">
        <f>IF(B$3&lt;&gt;"",C$88,0)</f>
        <v>11</v>
      </c>
      <c r="D68" s="592"/>
      <c r="G68" s="590"/>
      <c r="H68" s="591">
        <f>IF(G$3&lt;&gt;"",H$88,0)</f>
        <v>0</v>
      </c>
      <c r="L68" s="590"/>
      <c r="M68" s="591">
        <f>IF(L$3&lt;&gt;"",M$88,0)</f>
        <v>0</v>
      </c>
      <c r="Q68" s="590"/>
      <c r="R68" s="591">
        <f>IF(Q$3&lt;&gt;"",R$88,0)</f>
        <v>0</v>
      </c>
      <c r="V68" s="590"/>
      <c r="W68" s="591">
        <f>IF(V$3&lt;&gt;"",W$88,0)</f>
        <v>0</v>
      </c>
      <c r="AA68" s="590"/>
      <c r="AB68" s="591">
        <f>IF(AA$3&lt;&gt;"",AB$88,0)</f>
        <v>0</v>
      </c>
      <c r="AF68" s="590"/>
      <c r="AG68" s="591">
        <f>IF(AF$3&lt;&gt;"",AG$88,0)</f>
        <v>0</v>
      </c>
      <c r="AK68" s="590"/>
      <c r="AL68" s="591">
        <f>IF(AK$3&lt;&gt;"",AL$88,0)</f>
        <v>0</v>
      </c>
    </row>
    <row r="69" spans="1:38" x14ac:dyDescent="0.25">
      <c r="A69" s="451" t="s">
        <v>119</v>
      </c>
      <c r="B69" s="590"/>
      <c r="C69" s="715">
        <f>IF(B67=0%,IF(B$3&lt;&gt;"",IF(B$14=GN_Plus,VLOOKUP(B66,Alternative_Medicine__Rate_Table_0_perc,2,0),IF(B$14=GN,VLOOKUP(B66,Alternative_Medicine__Rate_Table_0_perc,3,0),IF(B$14=RN_Plus,VLOOKUP(B66,Alternative_Medicine__Rate_Table_0_perc,4,0),IF(B$14=RN,VLOOKUP(B66,Alternative_Medicine__Rate_Table_0_perc,5,0),IF(B$14=RN_2,VLOOKUP(B66,Alternative_Medicine__Rate_Table_0_perc,6,0),IF(B$14=RN2_minus,VLOOKUP(B66,Alternative_Medicine__Rate_Table_0_perc,7,0),IF(B$14=RN_3,VLOOKUP(B66,Alternative_Medicine__Rate_Table_0_perc,8,0),IF(B$14=VN,VLOOKUP(B66,Alternative_Medicine__Rate_Table_0_perc,9,0),"Error"))))))))*C68,0),IF(B67=10%,IF(B$3&lt;&gt;"",IF(B$14=GN_Plus,VLOOKUP(B66,Alternative_Medicine__Rate_Table_10_perc,2,0),IF(B$14=GN,VLOOKUP(B66,Alternative_Medicine__Rate_Table_10_perc,3,0),IF(B$14=RN_Plus,VLOOKUP(B66,Alternative_Medicine__Rate_Table_10_perc,4,0),IF(B$14=RN,VLOOKUP(B66,Alternative_Medicine__Rate_Table_10_perc,5,0),IF(B$14=RN_2,VLOOKUP(B66,Alternative_Medicine__Rate_Table_10_perc,6,0),IF(B$14=RN2_minus,VLOOKUP(B66,Alternative_Medicine__Rate_Table_10_perc,7,0),IF(B$14=RN_3,VLOOKUP(B66,Alternative_Medicine__Rate_Table_10_perc,8,0),IF(B$14=VN,VLOOKUP(B66,Alternative_Medicine__Rate_Table_10_perc,9,0),"Error"))))))))*C68,0),IF(B67=20%,IF(B$3&lt;&gt;"",IF(B$14=GN_Plus,VLOOKUP(B66,Alternative_Medicine__Rate_Table_20_perc,2,0),IF(B$14=GN,VLOOKUP(B66,Alternative_Medicine__Rate_Table_20_perc,3,0),IF(B$14=RN_Plus,VLOOKUP(B66,Alternative_Medicine__Rate_Table_20_perc,4,0),IF(B$14=RN,VLOOKUP(B66,Alternative_Medicine__Rate_Table_20_perc,5,0),IF(B$14=RN_2,VLOOKUP(B66,Alternative_Medicine__Rate_Table_20_perc,6,0),IF(B$14=RN2_minus,VLOOKUP(B66,Alternative_Medicine__Rate_Table_20_perc,7,0),IF(B$14=RN_3,VLOOKUP(B66,Alternative_Medicine__Rate_Table_20_perc,8,0),IF(B$14=VN,VLOOKUP(B66,Alternative_Medicine__Rate_Table_20_perc,9,0),"Error"))))))))*C68,0),IF(B67=30%,IF(B$3&lt;&gt;"",IF(B$14=GN_Plus,VLOOKUP(B66,Alternative_Medicine__Rate_Table_30_perc,2,0),IF(B$14=GN,VLOOKUP(B66,Alternative_Medicine__Rate_Table_30_perc,3,0),IF(B$14=RN_Plus,VLOOKUP(B66,Alternative_Medicine__Rate_Table_30_perc,4,0),IF(B$14=RN,VLOOKUP(B66,Alternative_Medicine__Rate_Table_30_perc,5,0),IF(B$14=RN_2,VLOOKUP(B66,Alternative_Medicine__Rate_Table_30_perc,6,0),IF(B$14=RN2_minus,VLOOKUP(B66,Alternative_Medicine__Rate_Table_30_perc,7,0),IF(B$14=RN_3,VLOOKUP(B66,Alternative_Medicine__Rate_Table_30_perc,8,0),IF(B$14=VN,VLOOKUP(B66,Alternative_Medicine__Rate_Table_30_perc,9,0),"Error"))))))))*C68,0),"Error"))))</f>
        <v>0</v>
      </c>
      <c r="D69" s="592"/>
      <c r="G69" s="590"/>
      <c r="H69" s="715">
        <f>IF(G67=0%,IF(G$3&lt;&gt;"",IF(G$14=GN_Plus,VLOOKUP(G66,Alternative_Medicine__Rate_Table_0_perc,2,0),IF(G$14=GN,VLOOKUP(G66,Alternative_Medicine__Rate_Table_0_perc,3,0),IF(G$14=RN_Plus,VLOOKUP(G66,Alternative_Medicine__Rate_Table_0_perc,4,0),IF(G$14=RN,VLOOKUP(G66,Alternative_Medicine__Rate_Table_0_perc,5,0),IF(G$14=RN_2,VLOOKUP(G66,Alternative_Medicine__Rate_Table_0_perc,6,0),IF(G$14=RN2_minus,VLOOKUP(G66,Alternative_Medicine__Rate_Table_0_perc,7,0),IF(G$14=RN_3,VLOOKUP(G66,Alternative_Medicine__Rate_Table_0_perc,8,0),IF(G$14=VN,VLOOKUP(G66,Alternative_Medicine__Rate_Table_0_perc,9,0),"Error"))))))))*H68,0),IF(G67=10%,IF(G$3&lt;&gt;"",IF(G$14=GN_Plus,VLOOKUP(G66,Alternative_Medicine__Rate_Table_10_perc,2,0),IF(G$14=GN,VLOOKUP(G66,Alternative_Medicine__Rate_Table_10_perc,3,0),IF(G$14=RN_Plus,VLOOKUP(G66,Alternative_Medicine__Rate_Table_10_perc,4,0),IF(G$14=RN,VLOOKUP(G66,Alternative_Medicine__Rate_Table_10_perc,5,0),IF(G$14=RN_2,VLOOKUP(G66,Alternative_Medicine__Rate_Table_10_perc,6,0),IF(G$14=RN2_minus,VLOOKUP(G66,Alternative_Medicine__Rate_Table_10_perc,7,0),IF(G$14=RN_3,VLOOKUP(G66,Alternative_Medicine__Rate_Table_10_perc,8,0),IF(G$14=VN,VLOOKUP(G66,Alternative_Medicine__Rate_Table_10_perc,9,0),"Error"))))))))*H68,0),IF(G67=20%,IF(G$3&lt;&gt;"",IF(G$14=GN_Plus,VLOOKUP(G66,Alternative_Medicine__Rate_Table_20_perc,2,0),IF(G$14=GN,VLOOKUP(G66,Alternative_Medicine__Rate_Table_20_perc,3,0),IF(G$14=RN_Plus,VLOOKUP(G66,Alternative_Medicine__Rate_Table_20_perc,4,0),IF(G$14=RN,VLOOKUP(G66,Alternative_Medicine__Rate_Table_20_perc,5,0),IF(G$14=RN_2,VLOOKUP(G66,Alternative_Medicine__Rate_Table_20_perc,6,0),IF(G$14=RN2_minus,VLOOKUP(G66,Alternative_Medicine__Rate_Table_20_perc,7,0),IF(G$14=RN_3,VLOOKUP(G66,Alternative_Medicine__Rate_Table_20_perc,8,0),IF(G$14=VN,VLOOKUP(G66,Alternative_Medicine__Rate_Table_20_perc,9,0),"Error"))))))))*H68,0),IF(G67=30%,IF(G$3&lt;&gt;"",IF(G$14=GN_Plus,VLOOKUP(G66,Alternative_Medicine__Rate_Table_30_perc,2,0),IF(G$14=GN,VLOOKUP(G66,Alternative_Medicine__Rate_Table_30_perc,3,0),IF(G$14=RN_Plus,VLOOKUP(G66,Alternative_Medicine__Rate_Table_30_perc,4,0),IF(G$14=RN,VLOOKUP(G66,Alternative_Medicine__Rate_Table_30_perc,5,0),IF(G$14=RN_2,VLOOKUP(G66,Alternative_Medicine__Rate_Table_30_perc,6,0),IF(G$14=RN2_minus,VLOOKUP(G66,Alternative_Medicine__Rate_Table_30_perc,7,0),IF(G$14=RN_3,VLOOKUP(G66,Alternative_Medicine__Rate_Table_30_perc,8,0),IF(G$14=VN,VLOOKUP(G66,Alternative_Medicine__Rate_Table_30_perc,9,0),"Error"))))))))*H68,0),"Error"))))</f>
        <v>0</v>
      </c>
      <c r="L69" s="590"/>
      <c r="M69" s="715">
        <f>IF(L67=0%,IF(L$3&lt;&gt;"",IF(L$14=GN_Plus,VLOOKUP(L66,Alternative_Medicine__Rate_Table_0_perc,2,0),IF(L$14=GN,VLOOKUP(L66,Alternative_Medicine__Rate_Table_0_perc,3,0),IF(L$14=RN_Plus,VLOOKUP(L66,Alternative_Medicine__Rate_Table_0_perc,4,0),IF(L$14=RN,VLOOKUP(L66,Alternative_Medicine__Rate_Table_0_perc,5,0),IF(L$14=RN_2,VLOOKUP(L66,Alternative_Medicine__Rate_Table_0_perc,6,0),IF(L$14=RN2_minus,VLOOKUP(L66,Alternative_Medicine__Rate_Table_0_perc,7,0),IF(L$14=RN_3,VLOOKUP(L66,Alternative_Medicine__Rate_Table_0_perc,8,0),IF(L$14=VN,VLOOKUP(L66,Alternative_Medicine__Rate_Table_0_perc,9,0),"Error"))))))))*M68,0),IF(L67=10%,IF(L$3&lt;&gt;"",IF(L$14=GN_Plus,VLOOKUP(L66,Alternative_Medicine__Rate_Table_10_perc,2,0),IF(L$14=GN,VLOOKUP(L66,Alternative_Medicine__Rate_Table_10_perc,3,0),IF(L$14=RN_Plus,VLOOKUP(L66,Alternative_Medicine__Rate_Table_10_perc,4,0),IF(L$14=RN,VLOOKUP(L66,Alternative_Medicine__Rate_Table_10_perc,5,0),IF(L$14=RN_2,VLOOKUP(L66,Alternative_Medicine__Rate_Table_10_perc,6,0),IF(L$14=RN2_minus,VLOOKUP(L66,Alternative_Medicine__Rate_Table_10_perc,7,0),IF(L$14=RN_3,VLOOKUP(L66,Alternative_Medicine__Rate_Table_10_perc,8,0),IF(L$14=VN,VLOOKUP(L66,Alternative_Medicine__Rate_Table_10_perc,9,0),"Error"))))))))*M68,0),IF(L67=20%,IF(L$3&lt;&gt;"",IF(L$14=GN_Plus,VLOOKUP(L66,Alternative_Medicine__Rate_Table_20_perc,2,0),IF(L$14=GN,VLOOKUP(L66,Alternative_Medicine__Rate_Table_20_perc,3,0),IF(L$14=RN_Plus,VLOOKUP(L66,Alternative_Medicine__Rate_Table_20_perc,4,0),IF(L$14=RN,VLOOKUP(L66,Alternative_Medicine__Rate_Table_20_perc,5,0),IF(L$14=RN_2,VLOOKUP(L66,Alternative_Medicine__Rate_Table_20_perc,6,0),IF(L$14=RN2_minus,VLOOKUP(L66,Alternative_Medicine__Rate_Table_20_perc,7,0),IF(L$14=RN_3,VLOOKUP(L66,Alternative_Medicine__Rate_Table_20_perc,8,0),IF(L$14=VN,VLOOKUP(L66,Alternative_Medicine__Rate_Table_20_perc,9,0),"Error"))))))))*M68,0),IF(L67=30%,IF(L$3&lt;&gt;"",IF(L$14=GN_Plus,VLOOKUP(L66,Alternative_Medicine__Rate_Table_30_perc,2,0),IF(L$14=GN,VLOOKUP(L66,Alternative_Medicine__Rate_Table_30_perc,3,0),IF(L$14=RN_Plus,VLOOKUP(L66,Alternative_Medicine__Rate_Table_30_perc,4,0),IF(L$14=RN,VLOOKUP(L66,Alternative_Medicine__Rate_Table_30_perc,5,0),IF(L$14=RN_2,VLOOKUP(L66,Alternative_Medicine__Rate_Table_30_perc,6,0),IF(L$14=RN2_minus,VLOOKUP(L66,Alternative_Medicine__Rate_Table_30_perc,7,0),IF(L$14=RN_3,VLOOKUP(L66,Alternative_Medicine__Rate_Table_30_perc,8,0),IF(L$14=VN,VLOOKUP(L66,Alternative_Medicine__Rate_Table_30_perc,9,0),"Error"))))))))*M68,0),"Error"))))</f>
        <v>0</v>
      </c>
      <c r="Q69" s="590"/>
      <c r="R69" s="715">
        <f>IF(Q67=0%,IF(Q$3&lt;&gt;"",IF(Q$14=GN_Plus,VLOOKUP(Q66,Alternative_Medicine__Rate_Table_0_perc,2,0),IF(Q$14=GN,VLOOKUP(Q66,Alternative_Medicine__Rate_Table_0_perc,3,0),IF(Q$14=RN_Plus,VLOOKUP(Q66,Alternative_Medicine__Rate_Table_0_perc,4,0),IF(Q$14=RN,VLOOKUP(Q66,Alternative_Medicine__Rate_Table_0_perc,5,0),IF(Q$14=RN_2,VLOOKUP(Q66,Alternative_Medicine__Rate_Table_0_perc,6,0),IF(Q$14=RN2_minus,VLOOKUP(Q66,Alternative_Medicine__Rate_Table_0_perc,7,0),IF(Q$14=RN_3,VLOOKUP(Q66,Alternative_Medicine__Rate_Table_0_perc,8,0),IF(Q$14=VN,VLOOKUP(Q66,Alternative_Medicine__Rate_Table_0_perc,9,0),"Error"))))))))*R68,0),IF(Q67=10%,IF(Q$3&lt;&gt;"",IF(Q$14=GN_Plus,VLOOKUP(Q66,Alternative_Medicine__Rate_Table_10_perc,2,0),IF(Q$14=GN,VLOOKUP(Q66,Alternative_Medicine__Rate_Table_10_perc,3,0),IF(Q$14=RN_Plus,VLOOKUP(Q66,Alternative_Medicine__Rate_Table_10_perc,4,0),IF(Q$14=RN,VLOOKUP(Q66,Alternative_Medicine__Rate_Table_10_perc,5,0),IF(Q$14=RN_2,VLOOKUP(Q66,Alternative_Medicine__Rate_Table_10_perc,6,0),IF(Q$14=RN2_minus,VLOOKUP(Q66,Alternative_Medicine__Rate_Table_10_perc,7,0),IF(Q$14=RN_3,VLOOKUP(Q66,Alternative_Medicine__Rate_Table_10_perc,8,0),IF(Q$14=VN,VLOOKUP(Q66,Alternative_Medicine__Rate_Table_10_perc,9,0),"Error"))))))))*R68,0),IF(Q67=20%,IF(Q$3&lt;&gt;"",IF(Q$14=GN_Plus,VLOOKUP(Q66,Alternative_Medicine__Rate_Table_20_perc,2,0),IF(Q$14=GN,VLOOKUP(Q66,Alternative_Medicine__Rate_Table_20_perc,3,0),IF(Q$14=RN_Plus,VLOOKUP(Q66,Alternative_Medicine__Rate_Table_20_perc,4,0),IF(Q$14=RN,VLOOKUP(Q66,Alternative_Medicine__Rate_Table_20_perc,5,0),IF(Q$14=RN_2,VLOOKUP(Q66,Alternative_Medicine__Rate_Table_20_perc,6,0),IF(Q$14=RN2_minus,VLOOKUP(Q66,Alternative_Medicine__Rate_Table_20_perc,7,0),IF(Q$14=RN_3,VLOOKUP(Q66,Alternative_Medicine__Rate_Table_20_perc,8,0),IF(Q$14=VN,VLOOKUP(Q66,Alternative_Medicine__Rate_Table_20_perc,9,0),"Error"))))))))*R68,0),IF(Q67=30%,IF(Q$3&lt;&gt;"",IF(Q$14=GN_Plus,VLOOKUP(Q66,Alternative_Medicine__Rate_Table_30_perc,2,0),IF(Q$14=GN,VLOOKUP(Q66,Alternative_Medicine__Rate_Table_30_perc,3,0),IF(Q$14=RN_Plus,VLOOKUP(Q66,Alternative_Medicine__Rate_Table_30_perc,4,0),IF(Q$14=RN,VLOOKUP(Q66,Alternative_Medicine__Rate_Table_30_perc,5,0),IF(Q$14=RN_2,VLOOKUP(Q66,Alternative_Medicine__Rate_Table_30_perc,6,0),IF(Q$14=RN2_minus,VLOOKUP(Q66,Alternative_Medicine__Rate_Table_30_perc,7,0),IF(Q$14=RN_3,VLOOKUP(Q66,Alternative_Medicine__Rate_Table_30_perc,8,0),IF(Q$14=VN,VLOOKUP(Q66,Alternative_Medicine__Rate_Table_30_perc,9,0),"Error"))))))))*R68,0),"Error"))))</f>
        <v>0</v>
      </c>
      <c r="V69" s="590"/>
      <c r="W69" s="715">
        <f>IF(V67=0%,IF(V$3&lt;&gt;"",IF(V$14=GN_Plus,VLOOKUP(V66,Alternative_Medicine__Rate_Table_0_perc,2,0),IF(V$14=GN,VLOOKUP(V66,Alternative_Medicine__Rate_Table_0_perc,3,0),IF(V$14=RN_Plus,VLOOKUP(V66,Alternative_Medicine__Rate_Table_0_perc,4,0),IF(V$14=RN,VLOOKUP(V66,Alternative_Medicine__Rate_Table_0_perc,5,0),IF(V$14=RN_2,VLOOKUP(V66,Alternative_Medicine__Rate_Table_0_perc,6,0),IF(V$14=RN2_minus,VLOOKUP(V66,Alternative_Medicine__Rate_Table_0_perc,7,0),IF(V$14=RN_3,VLOOKUP(V66,Alternative_Medicine__Rate_Table_0_perc,8,0),IF(V$14=VN,VLOOKUP(V66,Alternative_Medicine__Rate_Table_0_perc,9,0),"Error"))))))))*W68,0),IF(V67=10%,IF(V$3&lt;&gt;"",IF(V$14=GN_Plus,VLOOKUP(V66,Alternative_Medicine__Rate_Table_10_perc,2,0),IF(V$14=GN,VLOOKUP(V66,Alternative_Medicine__Rate_Table_10_perc,3,0),IF(V$14=RN_Plus,VLOOKUP(V66,Alternative_Medicine__Rate_Table_10_perc,4,0),IF(V$14=RN,VLOOKUP(V66,Alternative_Medicine__Rate_Table_10_perc,5,0),IF(V$14=RN_2,VLOOKUP(V66,Alternative_Medicine__Rate_Table_10_perc,6,0),IF(V$14=RN2_minus,VLOOKUP(V66,Alternative_Medicine__Rate_Table_10_perc,7,0),IF(V$14=RN_3,VLOOKUP(V66,Alternative_Medicine__Rate_Table_10_perc,8,0),IF(V$14=VN,VLOOKUP(V66,Alternative_Medicine__Rate_Table_10_perc,9,0),"Error"))))))))*W68,0),IF(V67=20%,IF(V$3&lt;&gt;"",IF(V$14=GN_Plus,VLOOKUP(V66,Alternative_Medicine__Rate_Table_20_perc,2,0),IF(V$14=GN,VLOOKUP(V66,Alternative_Medicine__Rate_Table_20_perc,3,0),IF(V$14=RN_Plus,VLOOKUP(V66,Alternative_Medicine__Rate_Table_20_perc,4,0),IF(V$14=RN,VLOOKUP(V66,Alternative_Medicine__Rate_Table_20_perc,5,0),IF(V$14=RN_2,VLOOKUP(V66,Alternative_Medicine__Rate_Table_20_perc,6,0),IF(V$14=RN2_minus,VLOOKUP(V66,Alternative_Medicine__Rate_Table_20_perc,7,0),IF(V$14=RN_3,VLOOKUP(V66,Alternative_Medicine__Rate_Table_20_perc,8,0),IF(V$14=VN,VLOOKUP(V66,Alternative_Medicine__Rate_Table_20_perc,9,0),"Error"))))))))*W68,0),IF(V67=30%,IF(V$3&lt;&gt;"",IF(V$14=GN_Plus,VLOOKUP(V66,Alternative_Medicine__Rate_Table_30_perc,2,0),IF(V$14=GN,VLOOKUP(V66,Alternative_Medicine__Rate_Table_30_perc,3,0),IF(V$14=RN_Plus,VLOOKUP(V66,Alternative_Medicine__Rate_Table_30_perc,4,0),IF(V$14=RN,VLOOKUP(V66,Alternative_Medicine__Rate_Table_30_perc,5,0),IF(V$14=RN_2,VLOOKUP(V66,Alternative_Medicine__Rate_Table_30_perc,6,0),IF(V$14=RN2_minus,VLOOKUP(V66,Alternative_Medicine__Rate_Table_30_perc,7,0),IF(V$14=RN_3,VLOOKUP(V66,Alternative_Medicine__Rate_Table_30_perc,8,0),IF(V$14=VN,VLOOKUP(V66,Alternative_Medicine__Rate_Table_30_perc,9,0),"Error"))))))))*W68,0),"Error"))))</f>
        <v>0</v>
      </c>
      <c r="AA69" s="590"/>
      <c r="AB69" s="715">
        <f>IF(AA67=0%,IF(AA$3&lt;&gt;"",IF(AA$14=GN_Plus,VLOOKUP(AA66,Alternative_Medicine__Rate_Table_0_perc,2,0),IF(AA$14=GN,VLOOKUP(AA66,Alternative_Medicine__Rate_Table_0_perc,3,0),IF(AA$14=RN_Plus,VLOOKUP(AA66,Alternative_Medicine__Rate_Table_0_perc,4,0),IF(AA$14=RN,VLOOKUP(AA66,Alternative_Medicine__Rate_Table_0_perc,5,0),IF(AA$14=RN_2,VLOOKUP(AA66,Alternative_Medicine__Rate_Table_0_perc,6,0),IF(AA$14=RN2_minus,VLOOKUP(AA66,Alternative_Medicine__Rate_Table_0_perc,7,0),IF(AA$14=RN_3,VLOOKUP(AA66,Alternative_Medicine__Rate_Table_0_perc,8,0),IF(AA$14=VN,VLOOKUP(AA66,Alternative_Medicine__Rate_Table_0_perc,9,0),"Error"))))))))*AB68,0),IF(AA67=10%,IF(AA$3&lt;&gt;"",IF(AA$14=GN_Plus,VLOOKUP(AA66,Alternative_Medicine__Rate_Table_10_perc,2,0),IF(AA$14=GN,VLOOKUP(AA66,Alternative_Medicine__Rate_Table_10_perc,3,0),IF(AA$14=RN_Plus,VLOOKUP(AA66,Alternative_Medicine__Rate_Table_10_perc,4,0),IF(AA$14=RN,VLOOKUP(AA66,Alternative_Medicine__Rate_Table_10_perc,5,0),IF(AA$14=RN_2,VLOOKUP(AA66,Alternative_Medicine__Rate_Table_10_perc,6,0),IF(AA$14=RN2_minus,VLOOKUP(AA66,Alternative_Medicine__Rate_Table_10_perc,7,0),IF(AA$14=RN_3,VLOOKUP(AA66,Alternative_Medicine__Rate_Table_10_perc,8,0),IF(AA$14=VN,VLOOKUP(AA66,Alternative_Medicine__Rate_Table_10_perc,9,0),"Error"))))))))*AB68,0),IF(AA67=20%,IF(AA$3&lt;&gt;"",IF(AA$14=GN_Plus,VLOOKUP(AA66,Alternative_Medicine__Rate_Table_20_perc,2,0),IF(AA$14=GN,VLOOKUP(AA66,Alternative_Medicine__Rate_Table_20_perc,3,0),IF(AA$14=RN_Plus,VLOOKUP(AA66,Alternative_Medicine__Rate_Table_20_perc,4,0),IF(AA$14=RN,VLOOKUP(AA66,Alternative_Medicine__Rate_Table_20_perc,5,0),IF(AA$14=RN_2,VLOOKUP(AA66,Alternative_Medicine__Rate_Table_20_perc,6,0),IF(AA$14=RN2_minus,VLOOKUP(AA66,Alternative_Medicine__Rate_Table_20_perc,7,0),IF(AA$14=RN_3,VLOOKUP(AA66,Alternative_Medicine__Rate_Table_20_perc,8,0),IF(AA$14=VN,VLOOKUP(AA66,Alternative_Medicine__Rate_Table_20_perc,9,0),"Error"))))))))*AB68,0),IF(AA67=30%,IF(AA$3&lt;&gt;"",IF(AA$14=GN_Plus,VLOOKUP(AA66,Alternative_Medicine__Rate_Table_30_perc,2,0),IF(AA$14=GN,VLOOKUP(AA66,Alternative_Medicine__Rate_Table_30_perc,3,0),IF(AA$14=RN_Plus,VLOOKUP(AA66,Alternative_Medicine__Rate_Table_30_perc,4,0),IF(AA$14=RN,VLOOKUP(AA66,Alternative_Medicine__Rate_Table_30_perc,5,0),IF(AA$14=RN_2,VLOOKUP(AA66,Alternative_Medicine__Rate_Table_30_perc,6,0),IF(AA$14=RN2_minus,VLOOKUP(AA66,Alternative_Medicine__Rate_Table_30_perc,7,0),IF(AA$14=RN_3,VLOOKUP(AA66,Alternative_Medicine__Rate_Table_30_perc,8,0),IF(AA$14=VN,VLOOKUP(AA66,Alternative_Medicine__Rate_Table_30_perc,9,0),"Error"))))))))*AB68,0),"Error"))))</f>
        <v>0</v>
      </c>
      <c r="AF69" s="590"/>
      <c r="AG69" s="715">
        <f>IF(AF67=0%,IF(AF$3&lt;&gt;"",IF(AF$14=GN_Plus,VLOOKUP(AF66,Alternative_Medicine__Rate_Table_0_perc,2,0),IF(AF$14=GN,VLOOKUP(AF66,Alternative_Medicine__Rate_Table_0_perc,3,0),IF(AF$14=RN_Plus,VLOOKUP(AF66,Alternative_Medicine__Rate_Table_0_perc,4,0),IF(AF$14=RN,VLOOKUP(AF66,Alternative_Medicine__Rate_Table_0_perc,5,0),IF(AF$14=RN_2,VLOOKUP(AF66,Alternative_Medicine__Rate_Table_0_perc,6,0),IF(AF$14=RN2_minus,VLOOKUP(AF66,Alternative_Medicine__Rate_Table_0_perc,7,0),IF(AF$14=RN_3,VLOOKUP(AF66,Alternative_Medicine__Rate_Table_0_perc,8,0),IF(AF$14=VN,VLOOKUP(AF66,Alternative_Medicine__Rate_Table_0_perc,9,0),"Error"))))))))*AG68,0),IF(AF67=10%,IF(AF$3&lt;&gt;"",IF(AF$14=GN_Plus,VLOOKUP(AF66,Alternative_Medicine__Rate_Table_10_perc,2,0),IF(AF$14=GN,VLOOKUP(AF66,Alternative_Medicine__Rate_Table_10_perc,3,0),IF(AF$14=RN_Plus,VLOOKUP(AF66,Alternative_Medicine__Rate_Table_10_perc,4,0),IF(AF$14=RN,VLOOKUP(AF66,Alternative_Medicine__Rate_Table_10_perc,5,0),IF(AF$14=RN_2,VLOOKUP(AF66,Alternative_Medicine__Rate_Table_10_perc,6,0),IF(AF$14=RN2_minus,VLOOKUP(AF66,Alternative_Medicine__Rate_Table_10_perc,7,0),IF(AF$14=RN_3,VLOOKUP(AF66,Alternative_Medicine__Rate_Table_10_perc,8,0),IF(AF$14=VN,VLOOKUP(AF66,Alternative_Medicine__Rate_Table_10_perc,9,0),"Error"))))))))*AG68,0),IF(AF67=20%,IF(AF$3&lt;&gt;"",IF(AF$14=GN_Plus,VLOOKUP(AF66,Alternative_Medicine__Rate_Table_20_perc,2,0),IF(AF$14=GN,VLOOKUP(AF66,Alternative_Medicine__Rate_Table_20_perc,3,0),IF(AF$14=RN_Plus,VLOOKUP(AF66,Alternative_Medicine__Rate_Table_20_perc,4,0),IF(AF$14=RN,VLOOKUP(AF66,Alternative_Medicine__Rate_Table_20_perc,5,0),IF(AF$14=RN_2,VLOOKUP(AF66,Alternative_Medicine__Rate_Table_20_perc,6,0),IF(AF$14=RN2_minus,VLOOKUP(AF66,Alternative_Medicine__Rate_Table_20_perc,7,0),IF(AF$14=RN_3,VLOOKUP(AF66,Alternative_Medicine__Rate_Table_20_perc,8,0),IF(AF$14=VN,VLOOKUP(AF66,Alternative_Medicine__Rate_Table_20_perc,9,0),"Error"))))))))*AG68,0),IF(AF67=30%,IF(AF$3&lt;&gt;"",IF(AF$14=GN_Plus,VLOOKUP(AF66,Alternative_Medicine__Rate_Table_30_perc,2,0),IF(AF$14=GN,VLOOKUP(AF66,Alternative_Medicine__Rate_Table_30_perc,3,0),IF(AF$14=RN_Plus,VLOOKUP(AF66,Alternative_Medicine__Rate_Table_30_perc,4,0),IF(AF$14=RN,VLOOKUP(AF66,Alternative_Medicine__Rate_Table_30_perc,5,0),IF(AF$14=RN_2,VLOOKUP(AF66,Alternative_Medicine__Rate_Table_30_perc,6,0),IF(AF$14=RN2_minus,VLOOKUP(AF66,Alternative_Medicine__Rate_Table_30_perc,7,0),IF(AF$14=RN_3,VLOOKUP(AF66,Alternative_Medicine__Rate_Table_30_perc,8,0),IF(AF$14=VN,VLOOKUP(AF66,Alternative_Medicine__Rate_Table_30_perc,9,0),"Error"))))))))*AG68,0),"Error"))))</f>
        <v>0</v>
      </c>
      <c r="AK69" s="590"/>
      <c r="AL69" s="715">
        <f>IF(AK67=0%,IF(AK$3&lt;&gt;"",IF(AK$14=GN_Plus,VLOOKUP(AK66,Alternative_Medicine__Rate_Table_0_perc,2,0),IF(AK$14=GN,VLOOKUP(AK66,Alternative_Medicine__Rate_Table_0_perc,3,0),IF(AK$14=RN_Plus,VLOOKUP(AK66,Alternative_Medicine__Rate_Table_0_perc,4,0),IF(AK$14=RN,VLOOKUP(AK66,Alternative_Medicine__Rate_Table_0_perc,5,0),IF(AK$14=RN_2,VLOOKUP(AK66,Alternative_Medicine__Rate_Table_0_perc,6,0),IF(AK$14=RN2_minus,VLOOKUP(AK66,Alternative_Medicine__Rate_Table_0_perc,7,0),IF(AK$14=RN_3,VLOOKUP(AK66,Alternative_Medicine__Rate_Table_0_perc,8,0),IF(AK$14=VN,VLOOKUP(AK66,Alternative_Medicine__Rate_Table_0_perc,9,0),"Error"))))))))*AL68,0),IF(AK67=10%,IF(AK$3&lt;&gt;"",IF(AK$14=GN_Plus,VLOOKUP(AK66,Alternative_Medicine__Rate_Table_10_perc,2,0),IF(AK$14=GN,VLOOKUP(AK66,Alternative_Medicine__Rate_Table_10_perc,3,0),IF(AK$14=RN_Plus,VLOOKUP(AK66,Alternative_Medicine__Rate_Table_10_perc,4,0),IF(AK$14=RN,VLOOKUP(AK66,Alternative_Medicine__Rate_Table_10_perc,5,0),IF(AK$14=RN_2,VLOOKUP(AK66,Alternative_Medicine__Rate_Table_10_perc,6,0),IF(AK$14=RN2_minus,VLOOKUP(AK66,Alternative_Medicine__Rate_Table_10_perc,7,0),IF(AK$14=RN_3,VLOOKUP(AK66,Alternative_Medicine__Rate_Table_10_perc,8,0),IF(AK$14=VN,VLOOKUP(AK66,Alternative_Medicine__Rate_Table_10_perc,9,0),"Error"))))))))*AL68,0),IF(AK67=20%,IF(AK$3&lt;&gt;"",IF(AK$14=GN_Plus,VLOOKUP(AK66,Alternative_Medicine__Rate_Table_20_perc,2,0),IF(AK$14=GN,VLOOKUP(AK66,Alternative_Medicine__Rate_Table_20_perc,3,0),IF(AK$14=RN_Plus,VLOOKUP(AK66,Alternative_Medicine__Rate_Table_20_perc,4,0),IF(AK$14=RN,VLOOKUP(AK66,Alternative_Medicine__Rate_Table_20_perc,5,0),IF(AK$14=RN_2,VLOOKUP(AK66,Alternative_Medicine__Rate_Table_20_perc,6,0),IF(AK$14=RN2_minus,VLOOKUP(AK66,Alternative_Medicine__Rate_Table_20_perc,7,0),IF(AK$14=RN_3,VLOOKUP(AK66,Alternative_Medicine__Rate_Table_20_perc,8,0),IF(AK$14=VN,VLOOKUP(AK66,Alternative_Medicine__Rate_Table_20_perc,9,0),"Error"))))))))*AL68,0),IF(AK67=30%,IF(AK$3&lt;&gt;"",IF(AK$14=GN_Plus,VLOOKUP(AK66,Alternative_Medicine__Rate_Table_30_perc,2,0),IF(AK$14=GN,VLOOKUP(AK66,Alternative_Medicine__Rate_Table_30_perc,3,0),IF(AK$14=RN_Plus,VLOOKUP(AK66,Alternative_Medicine__Rate_Table_30_perc,4,0),IF(AK$14=RN,VLOOKUP(AK66,Alternative_Medicine__Rate_Table_30_perc,5,0),IF(AK$14=RN_2,VLOOKUP(AK66,Alternative_Medicine__Rate_Table_30_perc,6,0),IF(AK$14=RN2_minus,VLOOKUP(AK66,Alternative_Medicine__Rate_Table_30_perc,7,0),IF(AK$14=RN_3,VLOOKUP(AK66,Alternative_Medicine__Rate_Table_30_perc,8,0),IF(AK$14=VN,VLOOKUP(AK66,Alternative_Medicine__Rate_Table_30_perc,9,0),"Error"))))))))*AL68,0),"Error"))))</f>
        <v>0</v>
      </c>
    </row>
    <row r="70" spans="1:38" x14ac:dyDescent="0.25">
      <c r="A70" s="722"/>
      <c r="D70" s="592"/>
    </row>
    <row r="71" spans="1:38" x14ac:dyDescent="0.25">
      <c r="A71" s="721" t="s">
        <v>350</v>
      </c>
      <c r="B71" s="1342" t="s">
        <v>130</v>
      </c>
      <c r="C71" s="1342"/>
      <c r="G71" s="1342" t="s">
        <v>130</v>
      </c>
      <c r="H71" s="1342"/>
      <c r="L71" s="1342" t="s">
        <v>130</v>
      </c>
      <c r="M71" s="1342"/>
      <c r="Q71" s="1342" t="s">
        <v>130</v>
      </c>
      <c r="R71" s="1342"/>
      <c r="V71" s="1342">
        <v>1000</v>
      </c>
      <c r="W71" s="1342"/>
      <c r="AA71" s="1342" t="s">
        <v>130</v>
      </c>
      <c r="AB71" s="1342"/>
      <c r="AF71" s="1342" t="s">
        <v>130</v>
      </c>
      <c r="AG71" s="1342"/>
      <c r="AK71" s="1342" t="s">
        <v>130</v>
      </c>
      <c r="AL71" s="1342"/>
    </row>
    <row r="72" spans="1:38" x14ac:dyDescent="0.25">
      <c r="A72" s="451" t="s">
        <v>118</v>
      </c>
      <c r="B72" s="590"/>
      <c r="C72" s="591">
        <f>IF(B$3&lt;&gt;"",C$88,0)</f>
        <v>11</v>
      </c>
      <c r="D72" s="592"/>
      <c r="G72" s="590"/>
      <c r="H72" s="591">
        <f>IF(G$3&lt;&gt;"",H$88,0)</f>
        <v>0</v>
      </c>
      <c r="L72" s="590"/>
      <c r="M72" s="591">
        <f>IF(L$3&lt;&gt;"",M$88,0)</f>
        <v>0</v>
      </c>
      <c r="Q72" s="590"/>
      <c r="R72" s="591">
        <f>IF(Q$3&lt;&gt;"",R$88,0)</f>
        <v>0</v>
      </c>
      <c r="V72" s="590"/>
      <c r="W72" s="591">
        <f>IF(V$3&lt;&gt;"",W$88,0)</f>
        <v>0</v>
      </c>
      <c r="AA72" s="590"/>
      <c r="AB72" s="591">
        <f>IF(AA$3&lt;&gt;"",AB$88,0)</f>
        <v>0</v>
      </c>
      <c r="AF72" s="590"/>
      <c r="AG72" s="591">
        <f>IF(AF$3&lt;&gt;"",AG$88,0)</f>
        <v>0</v>
      </c>
      <c r="AK72" s="590"/>
      <c r="AL72" s="591">
        <f>IF(AK$3&lt;&gt;"",AL$88,0)</f>
        <v>0</v>
      </c>
    </row>
    <row r="73" spans="1:38" x14ac:dyDescent="0.25">
      <c r="A73" s="451" t="s">
        <v>119</v>
      </c>
      <c r="B73" s="590"/>
      <c r="C73" s="715">
        <f>IF(B$3&lt;&gt;"",IF(B$14=GN_Plus,VLOOKUP(B71,Routine_Health_Rate_Table,2,0),IF(B$14=GN,VLOOKUP(B71,Routine_Health_Rate_Table,3,0),IF(B$14=RN_Plus,VLOOKUP(B71,Routine_Health_Rate_Table,4,0),IF(B$14=RN,VLOOKUP(B71,Routine_Health_Rate_Table,5,0),IF(B$14=RN_2,VLOOKUP(B71,Routine_Health_Rate_Table,6,0),IF(B$14=RN2_minus,VLOOKUP(B71,Routine_Health_Rate_Table,7,0),IF(B$14=RN_3,VLOOKUP(B71,Routine_Health_Rate_Table,8,0),IF(B$14=VN,VLOOKUP(B71,Routine_Health_Rate_Table,9,0),"Error"))))))))*C72,0)</f>
        <v>0</v>
      </c>
      <c r="G73" s="590"/>
      <c r="H73" s="715">
        <f>IF(G$3&lt;&gt;"",IF(G$14=GN_Plus,VLOOKUP(G71,Routine_Health_Rate_Table,2,0),IF(G$14=GN,VLOOKUP(G71,Routine_Health_Rate_Table,3,0),IF(G$14=RN_Plus,VLOOKUP(G71,Routine_Health_Rate_Table,4,0),IF(G$14=RN,VLOOKUP(G71,Routine_Health_Rate_Table,5,0),IF(G$14=RN_2,VLOOKUP(G71,Routine_Health_Rate_Table,6,0),IF(G$14=RN2_minus,VLOOKUP(G71,Routine_Health_Rate_Table,7,0),IF(G$14=RN_3,VLOOKUP(G71,Routine_Health_Rate_Table,8,0),IF(G$14=VN,VLOOKUP(G71,Routine_Health_Rate_Table,9,0),"Error"))))))))*H72,0)</f>
        <v>0</v>
      </c>
      <c r="L73" s="590"/>
      <c r="M73" s="715">
        <f>IF(L$3&lt;&gt;"",IF(L$14=GN_Plus,VLOOKUP(L71,Routine_Health_Rate_Table,2,0),IF(L$14=GN,VLOOKUP(L71,Routine_Health_Rate_Table,3,0),IF(L$14=RN_Plus,VLOOKUP(L71,Routine_Health_Rate_Table,4,0),IF(L$14=RN,VLOOKUP(L71,Routine_Health_Rate_Table,5,0),IF(L$14=RN_2,VLOOKUP(L71,Routine_Health_Rate_Table,6,0),IF(L$14=RN2_minus,VLOOKUP(L71,Routine_Health_Rate_Table,7,0),IF(L$14=RN_3,VLOOKUP(L71,Routine_Health_Rate_Table,8,0),IF(L$14=VN,VLOOKUP(L71,Routine_Health_Rate_Table,9,0),"Error"))))))))*M72,0)</f>
        <v>0</v>
      </c>
      <c r="Q73" s="590"/>
      <c r="R73" s="715">
        <f>IF(Q$3&lt;&gt;"",IF(Q$14=GN_Plus,VLOOKUP(Q71,Routine_Health_Rate_Table,2,0),IF(Q$14=GN,VLOOKUP(Q71,Routine_Health_Rate_Table,3,0),IF(Q$14=RN_Plus,VLOOKUP(Q71,Routine_Health_Rate_Table,4,0),IF(Q$14=RN,VLOOKUP(Q71,Routine_Health_Rate_Table,5,0),IF(Q$14=RN_2,VLOOKUP(Q71,Routine_Health_Rate_Table,6,0),IF(Q$14=RN2_minus,VLOOKUP(Q71,Routine_Health_Rate_Table,7,0),IF(Q$14=RN_3,VLOOKUP(Q71,Routine_Health_Rate_Table,8,0),IF(Q$14=VN,VLOOKUP(Q71,Routine_Health_Rate_Table,9,0),"Error"))))))))*R72,0)</f>
        <v>0</v>
      </c>
      <c r="V73" s="590"/>
      <c r="W73" s="715">
        <f>IF(V$3&lt;&gt;"",IF(V$14=GN_Plus,VLOOKUP(V71,Routine_Health_Rate_Table,2,0),IF(V$14=GN,VLOOKUP(V71,Routine_Health_Rate_Table,3,0),IF(V$14=RN_Plus,VLOOKUP(V71,Routine_Health_Rate_Table,4,0),IF(V$14=RN,VLOOKUP(V71,Routine_Health_Rate_Table,5,0),IF(V$14=RN_2,VLOOKUP(V71,Routine_Health_Rate_Table,6,0),IF(V$14=RN2_minus,VLOOKUP(V71,Routine_Health_Rate_Table,7,0),IF(V$14=RN_3,VLOOKUP(V71,Routine_Health_Rate_Table,8,0),IF(V$14=VN,VLOOKUP(V71,Routine_Health_Rate_Table,9,0),"Error"))))))))*W72,0)</f>
        <v>0</v>
      </c>
      <c r="AA73" s="590"/>
      <c r="AB73" s="715">
        <f>IF(AA$3&lt;&gt;"",IF(AA$14=GN_Plus,VLOOKUP(AA71,Routine_Health_Rate_Table,2,0),IF(AA$14=GN,VLOOKUP(AA71,Routine_Health_Rate_Table,3,0),IF(AA$14=RN_Plus,VLOOKUP(AA71,Routine_Health_Rate_Table,4,0),IF(AA$14=RN,VLOOKUP(AA71,Routine_Health_Rate_Table,5,0),IF(AA$14=RN_2,VLOOKUP(AA71,Routine_Health_Rate_Table,6,0),IF(AA$14=RN2_minus,VLOOKUP(AA71,Routine_Health_Rate_Table,7,0),IF(AA$14=RN_3,VLOOKUP(AA71,Routine_Health_Rate_Table,8,0),IF(AA$14=VN,VLOOKUP(AA71,Routine_Health_Rate_Table,9,0),"Error"))))))))*AB72,0)</f>
        <v>0</v>
      </c>
      <c r="AF73" s="590"/>
      <c r="AG73" s="715">
        <f>IF(AF$3&lt;&gt;"",IF(AF$14=GN_Plus,VLOOKUP(AF71,Routine_Health_Rate_Table,2,0),IF(AF$14=GN,VLOOKUP(AF71,Routine_Health_Rate_Table,3,0),IF(AF$14=RN_Plus,VLOOKUP(AF71,Routine_Health_Rate_Table,4,0),IF(AF$14=RN,VLOOKUP(AF71,Routine_Health_Rate_Table,5,0),IF(AF$14=RN_2,VLOOKUP(AF71,Routine_Health_Rate_Table,6,0),IF(AF$14=RN2_minus,VLOOKUP(AF71,Routine_Health_Rate_Table,7,0),IF(AF$14=RN_3,VLOOKUP(AF71,Routine_Health_Rate_Table,8,0),IF(AF$14=VN,VLOOKUP(AF71,Routine_Health_Rate_Table,9,0),"Error"))))))))*AG72,0)</f>
        <v>0</v>
      </c>
      <c r="AK73" s="590"/>
      <c r="AL73" s="715">
        <f>IF(AK$3&lt;&gt;"",IF(AK$14=GN_Plus,VLOOKUP(AK71,Routine_Health_Rate_Table,2,0),IF(AK$14=GN,VLOOKUP(AK71,Routine_Health_Rate_Table,3,0),IF(AK$14=RN_Plus,VLOOKUP(AK71,Routine_Health_Rate_Table,4,0),IF(AK$14=RN,VLOOKUP(AK71,Routine_Health_Rate_Table,5,0),IF(AK$14=RN_2,VLOOKUP(AK71,Routine_Health_Rate_Table,6,0),IF(AK$14=RN2_minus,VLOOKUP(AK71,Routine_Health_Rate_Table,7,0),IF(AK$14=RN_3,VLOOKUP(AK71,Routine_Health_Rate_Table,8,0),IF(AK$14=VN,VLOOKUP(AK71,Routine_Health_Rate_Table,9,0),"Error"))))))))*AL72,0)</f>
        <v>0</v>
      </c>
    </row>
    <row r="74" spans="1:38" x14ac:dyDescent="0.25">
      <c r="A74" s="722"/>
    </row>
    <row r="75" spans="1:38" x14ac:dyDescent="0.25">
      <c r="A75" s="721" t="s">
        <v>933</v>
      </c>
      <c r="B75" s="1345">
        <v>6</v>
      </c>
      <c r="C75" s="1346"/>
      <c r="D75" s="592"/>
      <c r="G75" s="1345">
        <v>6</v>
      </c>
      <c r="H75" s="1346"/>
      <c r="L75" s="1345">
        <v>6</v>
      </c>
      <c r="M75" s="1346"/>
      <c r="Q75" s="1345">
        <v>6</v>
      </c>
      <c r="R75" s="1346"/>
      <c r="V75" s="1345" t="s">
        <v>781</v>
      </c>
      <c r="W75" s="1346"/>
      <c r="AA75" s="1345" t="s">
        <v>781</v>
      </c>
      <c r="AB75" s="1346"/>
      <c r="AF75" s="1345" t="s">
        <v>781</v>
      </c>
      <c r="AG75" s="1346"/>
      <c r="AK75" s="1345" t="s">
        <v>781</v>
      </c>
      <c r="AL75" s="1346"/>
    </row>
    <row r="76" spans="1:38" ht="15.75" customHeight="1" x14ac:dyDescent="0.25">
      <c r="A76" s="451" t="s">
        <v>1021</v>
      </c>
      <c r="B76" s="1344">
        <v>0</v>
      </c>
      <c r="C76" s="1344"/>
      <c r="G76" s="1344">
        <v>0</v>
      </c>
      <c r="H76" s="1344"/>
      <c r="L76" s="1344">
        <v>0</v>
      </c>
      <c r="M76" s="1344"/>
      <c r="Q76" s="1344">
        <v>0</v>
      </c>
      <c r="R76" s="1344"/>
      <c r="V76" s="1344">
        <v>0.2</v>
      </c>
      <c r="W76" s="1344"/>
      <c r="AA76" s="1344">
        <v>0.2</v>
      </c>
      <c r="AB76" s="1344"/>
      <c r="AF76" s="1344">
        <v>0.2</v>
      </c>
      <c r="AG76" s="1344"/>
      <c r="AK76" s="1344">
        <v>0.2</v>
      </c>
      <c r="AL76" s="1344"/>
    </row>
    <row r="77" spans="1:38" x14ac:dyDescent="0.25">
      <c r="A77" s="451" t="s">
        <v>118</v>
      </c>
      <c r="B77" s="590"/>
      <c r="C77" s="591">
        <f>IF(B$3&lt;&gt;"",C$88,0)</f>
        <v>11</v>
      </c>
      <c r="D77" s="592"/>
      <c r="G77" s="590"/>
      <c r="H77" s="591">
        <f>IF(G$3&lt;&gt;"",H$88,0)</f>
        <v>0</v>
      </c>
      <c r="L77" s="590"/>
      <c r="M77" s="591">
        <f>IF(L$3&lt;&gt;"",M$88,0)</f>
        <v>0</v>
      </c>
      <c r="Q77" s="590"/>
      <c r="R77" s="591">
        <f>IF(Q$3&lt;&gt;"",R$88,0)</f>
        <v>0</v>
      </c>
      <c r="V77" s="590"/>
      <c r="W77" s="591">
        <f>IF(V$3&lt;&gt;"",W$88,0)</f>
        <v>0</v>
      </c>
      <c r="AA77" s="590"/>
      <c r="AB77" s="591">
        <f>IF(AA$3&lt;&gt;"",AB$88,0)</f>
        <v>0</v>
      </c>
      <c r="AF77" s="590"/>
      <c r="AG77" s="591">
        <f>IF(AF$3&lt;&gt;"",AG$88,0)</f>
        <v>0</v>
      </c>
      <c r="AK77" s="590"/>
      <c r="AL77" s="591">
        <f>IF(AK$3&lt;&gt;"",AL$88,0)</f>
        <v>0</v>
      </c>
    </row>
    <row r="78" spans="1:38" x14ac:dyDescent="0.25">
      <c r="A78" s="451" t="s">
        <v>119</v>
      </c>
      <c r="B78" s="590"/>
      <c r="C78" s="715">
        <f>IF(B76=0%,IF(B$3&lt;&gt;"",IF(B$14=GN_Plus,VLOOKUP(B75,Physiotherapy_Rate_Table_0_perc,2,0),IF(B$14=GN,VLOOKUP(B75,Physiotherapy_Rate_Table_0_perc,3,0),IF(B$14=RN_Plus,VLOOKUP(B75,Physiotherapy_Rate_Table_0_perc,4,0),IF(B$14=RN,VLOOKUP(B75,Physiotherapy_Rate_Table_0_perc,5,0),IF(B$14=RN_2,VLOOKUP(B75,Physiotherapy_Rate_Table_0_perc,6,0),IF(B$14=RN2_minus,VLOOKUP(B75,Physiotherapy_Rate_Table_0_perc,7,0),IF(B$14=RN_3,VLOOKUP(B75,Physiotherapy_Rate_Table_0_perc,8,0),IF(B$14=VN,VLOOKUP(B75,Physiotherapy_Rate_Table_0_perc,9,0),"Error"))))))))*C77,0),IF(B76=10%,IF(B$3&lt;&gt;"",IF(B$14=GN_Plus,VLOOKUP(B75,Physiotherapy_Rate_Table_10_perc,2,0),IF(B$14=GN,VLOOKUP(B75,Physiotherapy_Rate_Table_10_perc,3,0),IF(B$14=RN_Plus,VLOOKUP(B75,Physiotherapy_Rate_Table_10_perc,4,0),IF(B$14=RN,VLOOKUP(B75,Physiotherapy_Rate_Table_10_perc,5,0),IF(B$14=RN_2,VLOOKUP(B75,Physiotherapy_Rate_Table_10_perc,6,0),IF(B$14=RN2_minus,VLOOKUP(B75,Physiotherapy_Rate_Table_10_perc,7,0),IF(B$14=RN_3,VLOOKUP(B75,Physiotherapy_Rate_Table_10_perc,8,0),IF(B$14=VN,VLOOKUP(B75,Physiotherapy_Rate_Table_10_perc,9,0),"Error"))))))))*C77,0),IF(B76=20%,IF(B$3&lt;&gt;"",IF(B$14=GN_Plus,VLOOKUP(B75,Physiotherapy_Rate_Table_20_perc,2,0),IF(B$14=GN,VLOOKUP(B75,Physiotherapy_Rate_Table_20_perc,3,0),IF(B$14=RN_Plus,VLOOKUP(B75,Physiotherapy_Rate_Table_20_perc,4,0),IF(B$14=RN,VLOOKUP(B75,Physiotherapy_Rate_Table_20_perc,5,0),IF(B$14=RN_2,VLOOKUP(B75,Physiotherapy_Rate_Table_20_perc,6,0),IF(B$14=RN2_minus,VLOOKUP(B75,Physiotherapy_Rate_Table_20_perc,7,0),IF(B$14=RN_3,VLOOKUP(B75,Physiotherapy_Rate_Table_20_perc,8,0),IF(B$14=VN,VLOOKUP(B75,Physiotherapy_Rate_Table_20_perc,9,0),"Error"))))))))*C77,0),"Error")))</f>
        <v>298.375</v>
      </c>
      <c r="D78" s="592"/>
      <c r="G78" s="590"/>
      <c r="H78" s="715">
        <f>IF(G76=0%,IF(G$3&lt;&gt;"",IF(G$14=GN_Plus,VLOOKUP(G75,Physiotherapy_Rate_Table_0_perc,2,0),IF(G$14=GN,VLOOKUP(G75,Physiotherapy_Rate_Table_0_perc,3,0),IF(G$14=RN_Plus,VLOOKUP(G75,Physiotherapy_Rate_Table_0_perc,4,0),IF(G$14=RN,VLOOKUP(G75,Physiotherapy_Rate_Table_0_perc,5,0),IF(G$14=RN_2,VLOOKUP(G75,Physiotherapy_Rate_Table_0_perc,6,0),IF(G$14=RN2_minus,VLOOKUP(G75,Physiotherapy_Rate_Table_0_perc,7,0),IF(G$14=RN_3,VLOOKUP(G75,Physiotherapy_Rate_Table_0_perc,8,0),IF(G$14=VN,VLOOKUP(G75,Physiotherapy_Rate_Table_0_perc,9,0),"Error"))))))))*H77,0),IF(G76=10%,IF(G$3&lt;&gt;"",IF(G$14=GN_Plus,VLOOKUP(G75,Physiotherapy_Rate_Table_10_perc,2,0),IF(G$14=GN,VLOOKUP(G75,Physiotherapy_Rate_Table_10_perc,3,0),IF(G$14=RN_Plus,VLOOKUP(G75,Physiotherapy_Rate_Table_10_perc,4,0),IF(G$14=RN,VLOOKUP(G75,Physiotherapy_Rate_Table_10_perc,5,0),IF(G$14=RN_2,VLOOKUP(G75,Physiotherapy_Rate_Table_10_perc,6,0),IF(G$14=RN2_minus,VLOOKUP(G75,Physiotherapy_Rate_Table_10_perc,7,0),IF(G$14=RN_3,VLOOKUP(G75,Physiotherapy_Rate_Table_10_perc,8,0),IF(G$14=VN,VLOOKUP(G75,Physiotherapy_Rate_Table_10_perc,9,0),"Error"))))))))*H77,0),IF(G76=20%,IF(G$3&lt;&gt;"",IF(G$14=GN_Plus,VLOOKUP(G75,Physiotherapy_Rate_Table_20_perc,2,0),IF(G$14=GN,VLOOKUP(G75,Physiotherapy_Rate_Table_20_perc,3,0),IF(G$14=RN_Plus,VLOOKUP(G75,Physiotherapy_Rate_Table_20_perc,4,0),IF(G$14=RN,VLOOKUP(G75,Physiotherapy_Rate_Table_20_perc,5,0),IF(G$14=RN_2,VLOOKUP(G75,Physiotherapy_Rate_Table_20_perc,6,0),IF(G$14=RN2_minus,VLOOKUP(G75,Physiotherapy_Rate_Table_20_perc,7,0),IF(G$14=RN_3,VLOOKUP(G75,Physiotherapy_Rate_Table_20_perc,8,0),IF(G$14=VN,VLOOKUP(G75,Physiotherapy_Rate_Table_20_perc,9,0),"Error"))))))))*H77,0),"Error")))</f>
        <v>0</v>
      </c>
      <c r="L78" s="590"/>
      <c r="M78" s="715">
        <f>IF(L76=0%,IF(L$3&lt;&gt;"",IF(L$14=GN_Plus,VLOOKUP(L75,Physiotherapy_Rate_Table_0_perc,2,0),IF(L$14=GN,VLOOKUP(L75,Physiotherapy_Rate_Table_0_perc,3,0),IF(L$14=RN_Plus,VLOOKUP(L75,Physiotherapy_Rate_Table_0_perc,4,0),IF(L$14=RN,VLOOKUP(L75,Physiotherapy_Rate_Table_0_perc,5,0),IF(L$14=RN_2,VLOOKUP(L75,Physiotherapy_Rate_Table_0_perc,6,0),IF(L$14=RN2_minus,VLOOKUP(L75,Physiotherapy_Rate_Table_0_perc,7,0),IF(L$14=RN_3,VLOOKUP(L75,Physiotherapy_Rate_Table_0_perc,8,0),IF(L$14=VN,VLOOKUP(L75,Physiotherapy_Rate_Table_0_perc,9,0),"Error"))))))))*M77,0),IF(L76=10%,IF(L$3&lt;&gt;"",IF(L$14=GN_Plus,VLOOKUP(L75,Physiotherapy_Rate_Table_10_perc,2,0),IF(L$14=GN,VLOOKUP(L75,Physiotherapy_Rate_Table_10_perc,3,0),IF(L$14=RN_Plus,VLOOKUP(L75,Physiotherapy_Rate_Table_10_perc,4,0),IF(L$14=RN,VLOOKUP(L75,Physiotherapy_Rate_Table_10_perc,5,0),IF(L$14=RN_2,VLOOKUP(L75,Physiotherapy_Rate_Table_10_perc,6,0),IF(L$14=RN2_minus,VLOOKUP(L75,Physiotherapy_Rate_Table_10_perc,7,0),IF(L$14=RN_3,VLOOKUP(L75,Physiotherapy_Rate_Table_10_perc,8,0),IF(L$14=VN,VLOOKUP(L75,Physiotherapy_Rate_Table_10_perc,9,0),"Error"))))))))*M77,0),IF(L76=20%,IF(L$3&lt;&gt;"",IF(L$14=GN_Plus,VLOOKUP(L75,Physiotherapy_Rate_Table_20_perc,2,0),IF(L$14=GN,VLOOKUP(L75,Physiotherapy_Rate_Table_20_perc,3,0),IF(L$14=RN_Plus,VLOOKUP(L75,Physiotherapy_Rate_Table_20_perc,4,0),IF(L$14=RN,VLOOKUP(L75,Physiotherapy_Rate_Table_20_perc,5,0),IF(L$14=RN_2,VLOOKUP(L75,Physiotherapy_Rate_Table_20_perc,6,0),IF(L$14=RN2_minus,VLOOKUP(L75,Physiotherapy_Rate_Table_20_perc,7,0),IF(L$14=RN_3,VLOOKUP(L75,Physiotherapy_Rate_Table_20_perc,8,0),IF(L$14=VN,VLOOKUP(L75,Physiotherapy_Rate_Table_20_perc,9,0),"Error"))))))))*M77,0),"Error")))</f>
        <v>0</v>
      </c>
      <c r="Q78" s="590"/>
      <c r="R78" s="715">
        <f>IF(Q76=0%,IF(Q$3&lt;&gt;"",IF(Q$14=GN_Plus,VLOOKUP(Q75,Physiotherapy_Rate_Table_0_perc,2,0),IF(Q$14=GN,VLOOKUP(Q75,Physiotherapy_Rate_Table_0_perc,3,0),IF(Q$14=RN_Plus,VLOOKUP(Q75,Physiotherapy_Rate_Table_0_perc,4,0),IF(Q$14=RN,VLOOKUP(Q75,Physiotherapy_Rate_Table_0_perc,5,0),IF(Q$14=RN_2,VLOOKUP(Q75,Physiotherapy_Rate_Table_0_perc,6,0),IF(Q$14=RN2_minus,VLOOKUP(Q75,Physiotherapy_Rate_Table_0_perc,7,0),IF(Q$14=RN_3,VLOOKUP(Q75,Physiotherapy_Rate_Table_0_perc,8,0),IF(Q$14=VN,VLOOKUP(Q75,Physiotherapy_Rate_Table_0_perc,9,0),"Error"))))))))*R77,0),IF(Q76=10%,IF(Q$3&lt;&gt;"",IF(Q$14=GN_Plus,VLOOKUP(Q75,Physiotherapy_Rate_Table_10_perc,2,0),IF(Q$14=GN,VLOOKUP(Q75,Physiotherapy_Rate_Table_10_perc,3,0),IF(Q$14=RN_Plus,VLOOKUP(Q75,Physiotherapy_Rate_Table_10_perc,4,0),IF(Q$14=RN,VLOOKUP(Q75,Physiotherapy_Rate_Table_10_perc,5,0),IF(Q$14=RN_2,VLOOKUP(Q75,Physiotherapy_Rate_Table_10_perc,6,0),IF(Q$14=RN2_minus,VLOOKUP(Q75,Physiotherapy_Rate_Table_10_perc,7,0),IF(Q$14=RN_3,VLOOKUP(Q75,Physiotherapy_Rate_Table_10_perc,8,0),IF(Q$14=VN,VLOOKUP(Q75,Physiotherapy_Rate_Table_10_perc,9,0),"Error"))))))))*R77,0),IF(Q76=20%,IF(Q$3&lt;&gt;"",IF(Q$14=GN_Plus,VLOOKUP(Q75,Physiotherapy_Rate_Table_20_perc,2,0),IF(Q$14=GN,VLOOKUP(Q75,Physiotherapy_Rate_Table_20_perc,3,0),IF(Q$14=RN_Plus,VLOOKUP(Q75,Physiotherapy_Rate_Table_20_perc,4,0),IF(Q$14=RN,VLOOKUP(Q75,Physiotherapy_Rate_Table_20_perc,5,0),IF(Q$14=RN_2,VLOOKUP(Q75,Physiotherapy_Rate_Table_20_perc,6,0),IF(Q$14=RN2_minus,VLOOKUP(Q75,Physiotherapy_Rate_Table_20_perc,7,0),IF(Q$14=RN_3,VLOOKUP(Q75,Physiotherapy_Rate_Table_20_perc,8,0),IF(Q$14=VN,VLOOKUP(Q75,Physiotherapy_Rate_Table_20_perc,9,0),"Error"))))))))*R77,0),"Error")))</f>
        <v>0</v>
      </c>
      <c r="V78" s="590"/>
      <c r="W78" s="715">
        <f>IF(V76=0%,IF(V$3&lt;&gt;"",IF(V$14=GN_Plus,VLOOKUP(V75,Physiotherapy_Rate_Table_0_perc,2,0),IF(V$14=GN,VLOOKUP(V75,Physiotherapy_Rate_Table_0_perc,3,0),IF(V$14=RN_Plus,VLOOKUP(V75,Physiotherapy_Rate_Table_0_perc,4,0),IF(V$14=RN,VLOOKUP(V75,Physiotherapy_Rate_Table_0_perc,5,0),IF(V$14=RN_2,VLOOKUP(V75,Physiotherapy_Rate_Table_0_perc,6,0),IF(V$14=RN2_minus,VLOOKUP(V75,Physiotherapy_Rate_Table_0_perc,7,0),IF(V$14=RN_3,VLOOKUP(V75,Physiotherapy_Rate_Table_0_perc,8,0),IF(V$14=VN,VLOOKUP(V75,Physiotherapy_Rate_Table_0_perc,9,0),"Error"))))))))*W77,0),IF(V76=10%,IF(V$3&lt;&gt;"",IF(V$14=GN_Plus,VLOOKUP(V75,Physiotherapy_Rate_Table_10_perc,2,0),IF(V$14=GN,VLOOKUP(V75,Physiotherapy_Rate_Table_10_perc,3,0),IF(V$14=RN_Plus,VLOOKUP(V75,Physiotherapy_Rate_Table_10_perc,4,0),IF(V$14=RN,VLOOKUP(V75,Physiotherapy_Rate_Table_10_perc,5,0),IF(V$14=RN_2,VLOOKUP(V75,Physiotherapy_Rate_Table_10_perc,6,0),IF(V$14=RN2_minus,VLOOKUP(V75,Physiotherapy_Rate_Table_10_perc,7,0),IF(V$14=RN_3,VLOOKUP(V75,Physiotherapy_Rate_Table_10_perc,8,0),IF(V$14=VN,VLOOKUP(V75,Physiotherapy_Rate_Table_10_perc,9,0),"Error"))))))))*W77,0),IF(V76=20%,IF(V$3&lt;&gt;"",IF(V$14=GN_Plus,VLOOKUP(V75,Physiotherapy_Rate_Table_20_perc,2,0),IF(V$14=GN,VLOOKUP(V75,Physiotherapy_Rate_Table_20_perc,3,0),IF(V$14=RN_Plus,VLOOKUP(V75,Physiotherapy_Rate_Table_20_perc,4,0),IF(V$14=RN,VLOOKUP(V75,Physiotherapy_Rate_Table_20_perc,5,0),IF(V$14=RN_2,VLOOKUP(V75,Physiotherapy_Rate_Table_20_perc,6,0),IF(V$14=RN2_minus,VLOOKUP(V75,Physiotherapy_Rate_Table_20_perc,7,0),IF(V$14=RN_3,VLOOKUP(V75,Physiotherapy_Rate_Table_20_perc,8,0),IF(V$14=VN,VLOOKUP(V75,Physiotherapy_Rate_Table_20_perc,9,0),"Error"))))))))*W77,0),"Error")))</f>
        <v>0</v>
      </c>
      <c r="AA78" s="590"/>
      <c r="AB78" s="715">
        <f>IF(AA76=0%,IF(AA$3&lt;&gt;"",IF(AA$14=GN_Plus,VLOOKUP(AA75,Physiotherapy_Rate_Table_0_perc,2,0),IF(AA$14=GN,VLOOKUP(AA75,Physiotherapy_Rate_Table_0_perc,3,0),IF(AA$14=RN_Plus,VLOOKUP(AA75,Physiotherapy_Rate_Table_0_perc,4,0),IF(AA$14=RN,VLOOKUP(AA75,Physiotherapy_Rate_Table_0_perc,5,0),IF(AA$14=RN_2,VLOOKUP(AA75,Physiotherapy_Rate_Table_0_perc,6,0),IF(AA$14=RN2_minus,VLOOKUP(AA75,Physiotherapy_Rate_Table_0_perc,7,0),IF(AA$14=RN_3,VLOOKUP(AA75,Physiotherapy_Rate_Table_0_perc,8,0),IF(AA$14=VN,VLOOKUP(AA75,Physiotherapy_Rate_Table_0_perc,9,0),"Error"))))))))*AB77,0),IF(AA76=10%,IF(AA$3&lt;&gt;"",IF(AA$14=GN_Plus,VLOOKUP(AA75,Physiotherapy_Rate_Table_10_perc,2,0),IF(AA$14=GN,VLOOKUP(AA75,Physiotherapy_Rate_Table_10_perc,3,0),IF(AA$14=RN_Plus,VLOOKUP(AA75,Physiotherapy_Rate_Table_10_perc,4,0),IF(AA$14=RN,VLOOKUP(AA75,Physiotherapy_Rate_Table_10_perc,5,0),IF(AA$14=RN_2,VLOOKUP(AA75,Physiotherapy_Rate_Table_10_perc,6,0),IF(AA$14=RN2_minus,VLOOKUP(AA75,Physiotherapy_Rate_Table_10_perc,7,0),IF(AA$14=RN_3,VLOOKUP(AA75,Physiotherapy_Rate_Table_10_perc,8,0),IF(AA$14=VN,VLOOKUP(AA75,Physiotherapy_Rate_Table_10_perc,9,0),"Error"))))))))*AB77,0),IF(AA76=20%,IF(AA$3&lt;&gt;"",IF(AA$14=GN_Plus,VLOOKUP(AA75,Physiotherapy_Rate_Table_20_perc,2,0),IF(AA$14=GN,VLOOKUP(AA75,Physiotherapy_Rate_Table_20_perc,3,0),IF(AA$14=RN_Plus,VLOOKUP(AA75,Physiotherapy_Rate_Table_20_perc,4,0),IF(AA$14=RN,VLOOKUP(AA75,Physiotherapy_Rate_Table_20_perc,5,0),IF(AA$14=RN_2,VLOOKUP(AA75,Physiotherapy_Rate_Table_20_perc,6,0),IF(AA$14=RN2_minus,VLOOKUP(AA75,Physiotherapy_Rate_Table_20_perc,7,0),IF(AA$14=RN_3,VLOOKUP(AA75,Physiotherapy_Rate_Table_20_perc,8,0),IF(AA$14=VN,VLOOKUP(AA75,Physiotherapy_Rate_Table_20_perc,9,0),"Error"))))))))*AB77,0),"Error")))</f>
        <v>0</v>
      </c>
      <c r="AF78" s="590"/>
      <c r="AG78" s="715">
        <f>IF(AF76=0%,IF(AF$3&lt;&gt;"",IF(AF$14=GN_Plus,VLOOKUP(AF75,Physiotherapy_Rate_Table_0_perc,2,0),IF(AF$14=GN,VLOOKUP(AF75,Physiotherapy_Rate_Table_0_perc,3,0),IF(AF$14=RN_Plus,VLOOKUP(AF75,Physiotherapy_Rate_Table_0_perc,4,0),IF(AF$14=RN,VLOOKUP(AF75,Physiotherapy_Rate_Table_0_perc,5,0),IF(AF$14=RN_2,VLOOKUP(AF75,Physiotherapy_Rate_Table_0_perc,6,0),IF(AF$14=RN2_minus,VLOOKUP(AF75,Physiotherapy_Rate_Table_0_perc,7,0),IF(AF$14=RN_3,VLOOKUP(AF75,Physiotherapy_Rate_Table_0_perc,8,0),IF(AF$14=VN,VLOOKUP(AF75,Physiotherapy_Rate_Table_0_perc,9,0),"Error"))))))))*AG77,0),IF(AF76=10%,IF(AF$3&lt;&gt;"",IF(AF$14=GN_Plus,VLOOKUP(AF75,Physiotherapy_Rate_Table_10_perc,2,0),IF(AF$14=GN,VLOOKUP(AF75,Physiotherapy_Rate_Table_10_perc,3,0),IF(AF$14=RN_Plus,VLOOKUP(AF75,Physiotherapy_Rate_Table_10_perc,4,0),IF(AF$14=RN,VLOOKUP(AF75,Physiotherapy_Rate_Table_10_perc,5,0),IF(AF$14=RN_2,VLOOKUP(AF75,Physiotherapy_Rate_Table_10_perc,6,0),IF(AF$14=RN2_minus,VLOOKUP(AF75,Physiotherapy_Rate_Table_10_perc,7,0),IF(AF$14=RN_3,VLOOKUP(AF75,Physiotherapy_Rate_Table_10_perc,8,0),IF(AF$14=VN,VLOOKUP(AF75,Physiotherapy_Rate_Table_10_perc,9,0),"Error"))))))))*AG77,0),IF(AF76=20%,IF(AF$3&lt;&gt;"",IF(AF$14=GN_Plus,VLOOKUP(AF75,Physiotherapy_Rate_Table_20_perc,2,0),IF(AF$14=GN,VLOOKUP(AF75,Physiotherapy_Rate_Table_20_perc,3,0),IF(AF$14=RN_Plus,VLOOKUP(AF75,Physiotherapy_Rate_Table_20_perc,4,0),IF(AF$14=RN,VLOOKUP(AF75,Physiotherapy_Rate_Table_20_perc,5,0),IF(AF$14=RN_2,VLOOKUP(AF75,Physiotherapy_Rate_Table_20_perc,6,0),IF(AF$14=RN2_minus,VLOOKUP(AF75,Physiotherapy_Rate_Table_20_perc,7,0),IF(AF$14=RN_3,VLOOKUP(AF75,Physiotherapy_Rate_Table_20_perc,8,0),IF(AF$14=VN,VLOOKUP(AF75,Physiotherapy_Rate_Table_20_perc,9,0),"Error"))))))))*AG77,0),"Error")))</f>
        <v>0</v>
      </c>
      <c r="AK78" s="590"/>
      <c r="AL78" s="715">
        <f>IF(AK76=0%,IF(AK$3&lt;&gt;"",IF(AK$14=GN_Plus,VLOOKUP(AK75,Physiotherapy_Rate_Table_0_perc,2,0),IF(AK$14=GN,VLOOKUP(AK75,Physiotherapy_Rate_Table_0_perc,3,0),IF(AK$14=RN_Plus,VLOOKUP(AK75,Physiotherapy_Rate_Table_0_perc,4,0),IF(AK$14=RN,VLOOKUP(AK75,Physiotherapy_Rate_Table_0_perc,5,0),IF(AK$14=RN_2,VLOOKUP(AK75,Physiotherapy_Rate_Table_0_perc,6,0),IF(AK$14=RN2_minus,VLOOKUP(AK75,Physiotherapy_Rate_Table_0_perc,7,0),IF(AK$14=RN_3,VLOOKUP(AK75,Physiotherapy_Rate_Table_0_perc,8,0),IF(AK$14=VN,VLOOKUP(AK75,Physiotherapy_Rate_Table_0_perc,9,0),"Error"))))))))*AL77,0),IF(AK76=10%,IF(AK$3&lt;&gt;"",IF(AK$14=GN_Plus,VLOOKUP(AK75,Physiotherapy_Rate_Table_10_perc,2,0),IF(AK$14=GN,VLOOKUP(AK75,Physiotherapy_Rate_Table_10_perc,3,0),IF(AK$14=RN_Plus,VLOOKUP(AK75,Physiotherapy_Rate_Table_10_perc,4,0),IF(AK$14=RN,VLOOKUP(AK75,Physiotherapy_Rate_Table_10_perc,5,0),IF(AK$14=RN_2,VLOOKUP(AK75,Physiotherapy_Rate_Table_10_perc,6,0),IF(AK$14=RN2_minus,VLOOKUP(AK75,Physiotherapy_Rate_Table_10_perc,7,0),IF(AK$14=RN_3,VLOOKUP(AK75,Physiotherapy_Rate_Table_10_perc,8,0),IF(AK$14=VN,VLOOKUP(AK75,Physiotherapy_Rate_Table_10_perc,9,0),"Error"))))))))*AL77,0),IF(AK76=20%,IF(AK$3&lt;&gt;"",IF(AK$14=GN_Plus,VLOOKUP(AK75,Physiotherapy_Rate_Table_20_perc,2,0),IF(AK$14=GN,VLOOKUP(AK75,Physiotherapy_Rate_Table_20_perc,3,0),IF(AK$14=RN_Plus,VLOOKUP(AK75,Physiotherapy_Rate_Table_20_perc,4,0),IF(AK$14=RN,VLOOKUP(AK75,Physiotherapy_Rate_Table_20_perc,5,0),IF(AK$14=RN_2,VLOOKUP(AK75,Physiotherapy_Rate_Table_20_perc,6,0),IF(AK$14=RN2_minus,VLOOKUP(AK75,Physiotherapy_Rate_Table_20_perc,7,0),IF(AK$14=RN_3,VLOOKUP(AK75,Physiotherapy_Rate_Table_20_perc,8,0),IF(AK$14=VN,VLOOKUP(AK75,Physiotherapy_Rate_Table_20_perc,9,0),"Error"))))))))*AL77,0),"Error")))</f>
        <v>0</v>
      </c>
    </row>
    <row r="79" spans="1:38" s="723" customFormat="1" ht="17.25" customHeight="1" x14ac:dyDescent="0.25">
      <c r="A79" s="722"/>
    </row>
    <row r="80" spans="1:38" hidden="1" x14ac:dyDescent="0.25">
      <c r="A80" s="721" t="s">
        <v>1003</v>
      </c>
      <c r="B80" s="1347" t="s">
        <v>130</v>
      </c>
      <c r="C80" s="1347"/>
      <c r="D80" s="592"/>
      <c r="G80" s="1347" t="s">
        <v>130</v>
      </c>
      <c r="H80" s="1347"/>
      <c r="L80" s="1347" t="s">
        <v>130</v>
      </c>
      <c r="M80" s="1347"/>
      <c r="Q80" s="1347" t="s">
        <v>130</v>
      </c>
      <c r="R80" s="1347"/>
      <c r="V80" s="1347" t="s">
        <v>130</v>
      </c>
      <c r="W80" s="1347"/>
      <c r="AA80" s="1347" t="s">
        <v>130</v>
      </c>
      <c r="AB80" s="1347"/>
      <c r="AF80" s="1347" t="s">
        <v>130</v>
      </c>
      <c r="AG80" s="1347"/>
      <c r="AK80" s="1347" t="s">
        <v>130</v>
      </c>
      <c r="AL80" s="1347"/>
    </row>
    <row r="81" spans="1:39" hidden="1" x14ac:dyDescent="0.25">
      <c r="A81" s="451" t="s">
        <v>118</v>
      </c>
      <c r="B81" s="590"/>
      <c r="C81" s="591">
        <f>C50</f>
        <v>11</v>
      </c>
      <c r="D81" s="592"/>
      <c r="G81" s="590"/>
      <c r="H81" s="591">
        <f>H50</f>
        <v>0</v>
      </c>
      <c r="L81" s="590"/>
      <c r="M81" s="591">
        <f>M50</f>
        <v>0</v>
      </c>
      <c r="Q81" s="590"/>
      <c r="R81" s="591">
        <f>R50</f>
        <v>0</v>
      </c>
      <c r="V81" s="590"/>
      <c r="W81" s="591">
        <f>W50</f>
        <v>0</v>
      </c>
      <c r="AA81" s="590"/>
      <c r="AB81" s="591">
        <f>AB50</f>
        <v>0</v>
      </c>
      <c r="AF81" s="590"/>
      <c r="AG81" s="591">
        <f>AG50</f>
        <v>0</v>
      </c>
      <c r="AK81" s="590"/>
      <c r="AL81" s="591">
        <f>AL50</f>
        <v>0</v>
      </c>
    </row>
    <row r="82" spans="1:39" hidden="1" x14ac:dyDescent="0.25">
      <c r="A82" s="451" t="s">
        <v>119</v>
      </c>
      <c r="B82" s="590"/>
      <c r="C82" s="715">
        <f>VLOOKUP(B80,'Group Basis'!$L$105:$M$107,2,0)*C81</f>
        <v>0</v>
      </c>
      <c r="D82" s="592"/>
      <c r="G82" s="590"/>
      <c r="H82" s="715">
        <f>VLOOKUP(G80,'Group Basis'!$L$105:$M$107,2,0)*H81</f>
        <v>0</v>
      </c>
      <c r="L82" s="590"/>
      <c r="M82" s="715">
        <f>VLOOKUP(L80,'Group Basis'!$L$105:$M$107,2,0)*M81</f>
        <v>0</v>
      </c>
      <c r="Q82" s="590"/>
      <c r="R82" s="715">
        <f>VLOOKUP(Q80,'Group Basis'!$L$105:$M$107,2,0)*R81</f>
        <v>0</v>
      </c>
      <c r="V82" s="590"/>
      <c r="W82" s="715">
        <f>VLOOKUP(V80,'Group Basis'!$L$105:$M$107,2,0)*W81</f>
        <v>0</v>
      </c>
      <c r="AA82" s="590"/>
      <c r="AB82" s="715">
        <f>VLOOKUP(AA80,'Group Basis'!$L$105:$M$107,2,0)*AB81</f>
        <v>0</v>
      </c>
      <c r="AF82" s="590"/>
      <c r="AG82" s="715">
        <f>VLOOKUP(AF80,'Group Basis'!$L$105:$M$107,2,0)*AG81</f>
        <v>0</v>
      </c>
      <c r="AK82" s="590"/>
      <c r="AL82" s="715">
        <f>VLOOKUP(AK80,'Group Basis'!$L$105:$M$107,2,0)*AL81</f>
        <v>0</v>
      </c>
    </row>
    <row r="83" spans="1:39" hidden="1" x14ac:dyDescent="0.25">
      <c r="D83" s="592"/>
    </row>
    <row r="85" spans="1:39" x14ac:dyDescent="0.25"/>
    <row r="86" spans="1:39" x14ac:dyDescent="0.25">
      <c r="A86" s="995" t="s">
        <v>1146</v>
      </c>
      <c r="B86" s="954">
        <f ca="1">IFERROR(B93+B94+B95,Refer)</f>
        <v>28804.852567567563</v>
      </c>
      <c r="G86" s="954">
        <f ca="1">IFERROR(G93+G94+G95,Refer)</f>
        <v>0</v>
      </c>
      <c r="L86" s="954">
        <f ca="1">IFERROR(L93+L94+L95,Refer)</f>
        <v>0</v>
      </c>
      <c r="Q86" s="954">
        <f ca="1">IFERROR(Q93+Q94+Q95,Refer)</f>
        <v>0</v>
      </c>
      <c r="V86" s="954">
        <f ca="1">IFERROR(V93+V94+V95,Refer)</f>
        <v>0</v>
      </c>
      <c r="AA86" s="954">
        <f ca="1">IFERROR(AA93+AA94+AA95,Refer)</f>
        <v>0</v>
      </c>
      <c r="AF86" s="954">
        <f ca="1">IFERROR(AF93+AF94+AF95,Refer)</f>
        <v>0</v>
      </c>
      <c r="AK86" s="954">
        <f ca="1">IFERROR(AK93+AK94+AK95,Refer)</f>
        <v>0</v>
      </c>
    </row>
    <row r="87" spans="1:39" x14ac:dyDescent="0.25">
      <c r="B87" s="456" t="s">
        <v>133</v>
      </c>
      <c r="C87" s="456" t="s">
        <v>118</v>
      </c>
      <c r="D87" s="456" t="s">
        <v>134</v>
      </c>
      <c r="G87" s="456" t="s">
        <v>133</v>
      </c>
      <c r="H87" s="456" t="s">
        <v>118</v>
      </c>
      <c r="I87" s="456" t="s">
        <v>134</v>
      </c>
      <c r="L87" s="456" t="s">
        <v>133</v>
      </c>
      <c r="M87" s="456" t="s">
        <v>118</v>
      </c>
      <c r="N87" s="456" t="s">
        <v>134</v>
      </c>
      <c r="Q87" s="456" t="s">
        <v>133</v>
      </c>
      <c r="R87" s="456" t="s">
        <v>118</v>
      </c>
      <c r="S87" s="456" t="s">
        <v>134</v>
      </c>
      <c r="V87" s="456" t="s">
        <v>133</v>
      </c>
      <c r="W87" s="456" t="s">
        <v>118</v>
      </c>
      <c r="X87" s="456" t="s">
        <v>134</v>
      </c>
      <c r="AA87" s="456" t="s">
        <v>133</v>
      </c>
      <c r="AB87" s="456" t="s">
        <v>118</v>
      </c>
      <c r="AC87" s="456" t="s">
        <v>134</v>
      </c>
      <c r="AF87" s="456" t="s">
        <v>133</v>
      </c>
      <c r="AG87" s="456" t="s">
        <v>118</v>
      </c>
      <c r="AH87" s="456" t="s">
        <v>134</v>
      </c>
      <c r="AK87" s="456" t="s">
        <v>133</v>
      </c>
      <c r="AL87" s="456" t="s">
        <v>118</v>
      </c>
      <c r="AM87" s="456" t="s">
        <v>134</v>
      </c>
    </row>
    <row r="88" spans="1:39" x14ac:dyDescent="0.25">
      <c r="A88" s="451" t="s">
        <v>138</v>
      </c>
      <c r="B88" s="952">
        <f ca="1">IF(Referral_Error="",IF(B$3="",0,SUM('Group Engine'!C33:D44)*PRODUCT(E16,E18,E20,E22,E24,E26,E28,E30,E32,E34)*'Group Engine'!$D$188),Refer)</f>
        <v>26680.367567567562</v>
      </c>
      <c r="C88" s="953">
        <f>IF(B$3&lt;&gt;"",'Member Data'!Q23,0)</f>
        <v>11</v>
      </c>
      <c r="D88" s="952">
        <f ca="1">IF(B3&lt;&gt;"",IF(AND(B$88=0,B$3&lt;&gt;""),"Error",IFERROR(B88/C88,0)),0)</f>
        <v>2425.4879606879604</v>
      </c>
      <c r="E88" s="813"/>
      <c r="F88" s="813"/>
      <c r="G88" s="952">
        <f ca="1">IF(Referral_Error="",IF(G$3="",0,SUM('Group Engine'!F33:G44)*PRODUCT(J16,J18,J20,J22,J24,J26,J28,J30,J32,J34)*'Group Engine'!$D$188),Refer)</f>
        <v>0</v>
      </c>
      <c r="H88" s="953">
        <f>IF(G$3&lt;&gt;"",'Member Data'!S23,0)</f>
        <v>0</v>
      </c>
      <c r="I88" s="952">
        <f>IF($G$3&lt;&gt;"",IF(AND(G88=0,G3&lt;&gt;""),"Error",G88/H88),0)</f>
        <v>0</v>
      </c>
      <c r="J88" s="813"/>
      <c r="K88" s="813"/>
      <c r="L88" s="952">
        <f ca="1">IF(Referral_Error="",IF(L$3="",0,SUM('Group Engine'!I33:J44)*PRODUCT(O16,O18,O20,O22,O24,O26,O28,O30,O32,O34)*'Group Engine'!$D$188),Refer)</f>
        <v>0</v>
      </c>
      <c r="M88" s="953">
        <f>IF(L$3&lt;&gt;"",'Member Data'!U23,0)</f>
        <v>0</v>
      </c>
      <c r="N88" s="952">
        <f>IF($L$3&lt;&gt;"",IF(AND(L88=0,L3&lt;&gt;""),"Error",L88/M88),0)</f>
        <v>0</v>
      </c>
      <c r="O88" s="813"/>
      <c r="P88" s="813"/>
      <c r="Q88" s="952">
        <f ca="1">IF(Referral_Error="",IF(Q$3="",0,SUM('Group Engine'!L33:M44)*PRODUCT(T16,T18,T20,T22,T24,T26,T28,T30,T32,T34)*'Group Engine'!$D$188),Refer)</f>
        <v>0</v>
      </c>
      <c r="R88" s="953">
        <f>IF(Q$3&lt;&gt;"",'Member Data'!W23,0)</f>
        <v>0</v>
      </c>
      <c r="S88" s="952">
        <f>IF($Q$3&lt;&gt;"",IF(AND(Q88=0,Q3&lt;&gt;""),"Error",Q88/R88),0)</f>
        <v>0</v>
      </c>
      <c r="T88" s="813"/>
      <c r="U88" s="813"/>
      <c r="V88" s="952">
        <f ca="1">IF(Referral_Error="",IF(V$3="",0,SUM('Group Engine'!O33:P44)*PRODUCT(Y16,Y18,Y20,Y22,Y24,Y26,Y28,Y30,Y32,Y34)*'Group Engine'!$D$188),Refer)</f>
        <v>0</v>
      </c>
      <c r="W88" s="953">
        <f>IF(V$3&lt;&gt;"",'Member Data'!Y23,0)</f>
        <v>0</v>
      </c>
      <c r="X88" s="952">
        <f>IF($V$3&lt;&gt;"",IF(AND(V88=0,V3&lt;&gt;""),"Error",V88/W88),0)</f>
        <v>0</v>
      </c>
      <c r="Y88" s="813"/>
      <c r="Z88" s="813"/>
      <c r="AA88" s="952">
        <f ca="1">IF(Referral_Error="",IF(AA$3="",0,SUM('Group Engine'!R33:S44)*PRODUCT(AD16,AD18,AD20,AD22,AD24,AD26,AD28,AD30,AD32,AD34)*'Group Engine'!$D$188),Refer)</f>
        <v>0</v>
      </c>
      <c r="AB88" s="953">
        <f>IF(AA$3&lt;&gt;"",'Member Data'!AA23,0)</f>
        <v>0</v>
      </c>
      <c r="AC88" s="952">
        <f>IF($AA$3&lt;&gt;"",IF(AND(AA88=0,AA3&lt;&gt;""),"Error",AA88/AB88),0)</f>
        <v>0</v>
      </c>
      <c r="AD88" s="813"/>
      <c r="AE88" s="813"/>
      <c r="AF88" s="952">
        <f ca="1">IF(Referral_Error="",IF(AF$3="",0,SUM('Group Engine'!U33:V44)*PRODUCT(AI16,AI18,AI20,AI22,AI24,AI26,AI28,AI30,AI32,AI34)*'Group Engine'!$D$188),Refer)</f>
        <v>0</v>
      </c>
      <c r="AG88" s="953">
        <f>IF(AF$3&lt;&gt;"",'Member Data'!AC23,0)</f>
        <v>0</v>
      </c>
      <c r="AH88" s="952">
        <f>IF($AF$3&lt;&gt;"",IF(AND(AF88=0,AF3&lt;&gt;""),"Error",AF88/AG88),0)</f>
        <v>0</v>
      </c>
      <c r="AI88" s="813"/>
      <c r="AJ88" s="813"/>
      <c r="AK88" s="952">
        <f ca="1">IF(Referral_Error="",IF(AK$3="",0,SUM('Group Engine'!X33:Y44)*PRODUCT(AN16,AN18,AN20,AN22,AN24,AN26,AN28,AN30,AN32,AN34)*'Group Engine'!$D$188),Refer)</f>
        <v>0</v>
      </c>
      <c r="AL88" s="953">
        <f>IF(AK$3&lt;&gt;"",'Member Data'!AE23,0)</f>
        <v>0</v>
      </c>
      <c r="AM88" s="952">
        <f>IF($AK$3&lt;&gt;"",IF(AND(AK88=0,AK3&lt;&gt;""),"Error",AK88/AL88),0)</f>
        <v>0</v>
      </c>
    </row>
    <row r="89" spans="1:39" x14ac:dyDescent="0.25">
      <c r="A89" s="451" t="s">
        <v>136</v>
      </c>
      <c r="B89" s="952">
        <f ca="1">IF(B$88=Refer,Refer,IF(Referral_Error="",C46*'Group Engine'!$D$188,Refer))</f>
        <v>1193.5</v>
      </c>
      <c r="C89" s="953">
        <f>C$88</f>
        <v>11</v>
      </c>
      <c r="D89" s="952">
        <f ca="1">IF(B$3&lt;&gt;"",IFERROR(B89/C89,""),0)</f>
        <v>108.5</v>
      </c>
      <c r="E89" s="813"/>
      <c r="F89" s="813"/>
      <c r="G89" s="952">
        <f ca="1">IF(G$88=Refer,Refer,IF(Referral_Error="",H46*'Group Engine'!$D$188,Refer))</f>
        <v>0</v>
      </c>
      <c r="H89" s="953">
        <f>H$88</f>
        <v>0</v>
      </c>
      <c r="I89" s="952">
        <f>IF(G$3&lt;&gt;"",IFERROR(G89/H89,""),0)</f>
        <v>0</v>
      </c>
      <c r="J89" s="813"/>
      <c r="K89" s="813"/>
      <c r="L89" s="952">
        <f ca="1">IF(L$88=Refer,Refer,IF(Referral_Error="",M46*'Group Engine'!$D$188,Refer))</f>
        <v>0</v>
      </c>
      <c r="M89" s="953">
        <f>M$88</f>
        <v>0</v>
      </c>
      <c r="N89" s="952">
        <f t="shared" ref="N89:N91" si="0">IF(L$3&lt;&gt;"",IFERROR(L89/M89,""),0)</f>
        <v>0</v>
      </c>
      <c r="O89" s="813"/>
      <c r="P89" s="813"/>
      <c r="Q89" s="952">
        <f ca="1">IF(Q$88=Refer,Refer,IF(Referral_Error="",R46*'Group Engine'!$D$188,Refer))</f>
        <v>0</v>
      </c>
      <c r="R89" s="953">
        <f>R$88</f>
        <v>0</v>
      </c>
      <c r="S89" s="952">
        <f t="shared" ref="S89:S91" si="1">IF(Q$3&lt;&gt;"",IFERROR(Q89/R89,""),0)</f>
        <v>0</v>
      </c>
      <c r="T89" s="813"/>
      <c r="U89" s="813"/>
      <c r="V89" s="952">
        <f ca="1">IF(V$88=Refer,Refer,IF(Referral_Error="",W46*'Group Engine'!$D$188,Refer))</f>
        <v>0</v>
      </c>
      <c r="W89" s="953">
        <f t="shared" ref="W89:W91" si="2">W$88</f>
        <v>0</v>
      </c>
      <c r="X89" s="952">
        <f t="shared" ref="X89:X91" si="3">IF(V$3&lt;&gt;"",IFERROR(V89/W89,""),0)</f>
        <v>0</v>
      </c>
      <c r="Y89" s="813"/>
      <c r="Z89" s="813"/>
      <c r="AA89" s="952">
        <f ca="1">IF(AA$88=Refer,Refer,IF(Referral_Error="",AB46*'Group Engine'!$D$188,Refer))</f>
        <v>0</v>
      </c>
      <c r="AB89" s="953">
        <f t="shared" ref="AB89:AB91" si="4">AB$88</f>
        <v>0</v>
      </c>
      <c r="AC89" s="952">
        <f t="shared" ref="AC89:AC91" si="5">IF(AA$3&lt;&gt;"",IFERROR(AA89/AB89,""),0)</f>
        <v>0</v>
      </c>
      <c r="AD89" s="813"/>
      <c r="AE89" s="813"/>
      <c r="AF89" s="952">
        <f ca="1">IF(AF$88=Refer,Refer,IF(Referral_Error="",AG46*'Group Engine'!$D$188,Refer))</f>
        <v>0</v>
      </c>
      <c r="AG89" s="953">
        <f t="shared" ref="AG89:AG91" si="6">AG$88</f>
        <v>0</v>
      </c>
      <c r="AH89" s="952">
        <f t="shared" ref="AH89:AH91" si="7">IF(AF$3&lt;&gt;"",IFERROR(AF89/AG89,""),0)</f>
        <v>0</v>
      </c>
      <c r="AI89" s="813"/>
      <c r="AJ89" s="813"/>
      <c r="AK89" s="952">
        <f ca="1">IF(AK$88=Refer,Refer,IF(Referral_Error="",AL46*'Group Engine'!$D$188,Refer))</f>
        <v>0</v>
      </c>
      <c r="AL89" s="953">
        <f t="shared" ref="AL89:AL91" si="8">AL$88</f>
        <v>0</v>
      </c>
      <c r="AM89" s="952">
        <f t="shared" ref="AM89:AM91" si="9">IF(AK$3&lt;&gt;"",IFERROR(AK89/AL89,""),0)</f>
        <v>0</v>
      </c>
    </row>
    <row r="90" spans="1:39" x14ac:dyDescent="0.25">
      <c r="A90" s="451" t="s">
        <v>131</v>
      </c>
      <c r="B90" s="952">
        <f ca="1">IF(B$88=Refer,Refer,IF(Referral_Error="",C51*'Group Engine'!$D$188,Refer))</f>
        <v>0</v>
      </c>
      <c r="C90" s="953">
        <f>C$88</f>
        <v>11</v>
      </c>
      <c r="D90" s="952">
        <f ca="1">IF(B$3&lt;&gt;"",IFERROR(B90/C90,""),0)</f>
        <v>0</v>
      </c>
      <c r="E90" s="813"/>
      <c r="F90" s="813"/>
      <c r="G90" s="952">
        <f ca="1">IF(G$88=Refer,Refer,IF(Referral_Error="",H51*'Group Engine'!$D$188,Refer))</f>
        <v>0</v>
      </c>
      <c r="H90" s="953">
        <f>H$88</f>
        <v>0</v>
      </c>
      <c r="I90" s="952">
        <f>IF(G$3&lt;&gt;"",IFERROR(G90/H90,""),0)</f>
        <v>0</v>
      </c>
      <c r="J90" s="813"/>
      <c r="K90" s="813"/>
      <c r="L90" s="952">
        <f ca="1">IF(L$88=Refer,Refer,IF(Referral_Error="",M51*'Group Engine'!$D$188,Refer))</f>
        <v>0</v>
      </c>
      <c r="M90" s="953">
        <f>M$88</f>
        <v>0</v>
      </c>
      <c r="N90" s="952">
        <f t="shared" si="0"/>
        <v>0</v>
      </c>
      <c r="O90" s="813"/>
      <c r="P90" s="813"/>
      <c r="Q90" s="952">
        <f ca="1">IF(Q$88=Refer,Refer,IF(Referral_Error="",R51*'Group Engine'!$D$188,Refer))</f>
        <v>0</v>
      </c>
      <c r="R90" s="953">
        <f>R$88</f>
        <v>0</v>
      </c>
      <c r="S90" s="952">
        <f t="shared" si="1"/>
        <v>0</v>
      </c>
      <c r="T90" s="813"/>
      <c r="U90" s="813"/>
      <c r="V90" s="952">
        <f ca="1">IF(V$88=Refer,Refer,IF(Referral_Error="",W51*'Group Engine'!$D$188,Refer))</f>
        <v>0</v>
      </c>
      <c r="W90" s="953">
        <f t="shared" si="2"/>
        <v>0</v>
      </c>
      <c r="X90" s="952">
        <f t="shared" si="3"/>
        <v>0</v>
      </c>
      <c r="Y90" s="813"/>
      <c r="Z90" s="813"/>
      <c r="AA90" s="952">
        <f ca="1">IF(AA$88=Refer,Refer,IF(Referral_Error="",AB51*'Group Engine'!$D$188,Refer))</f>
        <v>0</v>
      </c>
      <c r="AB90" s="953">
        <f t="shared" si="4"/>
        <v>0</v>
      </c>
      <c r="AC90" s="952">
        <f t="shared" si="5"/>
        <v>0</v>
      </c>
      <c r="AD90" s="813"/>
      <c r="AE90" s="813"/>
      <c r="AF90" s="952">
        <f ca="1">IF(AF$88=Refer,Refer,IF(Referral_Error="",AG51*'Group Engine'!$D$188,Refer))</f>
        <v>0</v>
      </c>
      <c r="AG90" s="953">
        <f t="shared" si="6"/>
        <v>0</v>
      </c>
      <c r="AH90" s="952">
        <f t="shared" si="7"/>
        <v>0</v>
      </c>
      <c r="AI90" s="813"/>
      <c r="AJ90" s="813"/>
      <c r="AK90" s="952">
        <f ca="1">IF(AK$88=Refer,Refer,IF(Referral_Error="",AL51*'Group Engine'!$D$188,Refer))</f>
        <v>0</v>
      </c>
      <c r="AL90" s="953">
        <f t="shared" si="8"/>
        <v>0</v>
      </c>
      <c r="AM90" s="952">
        <f t="shared" si="9"/>
        <v>0</v>
      </c>
    </row>
    <row r="91" spans="1:39" x14ac:dyDescent="0.25">
      <c r="A91" s="457" t="s">
        <v>135</v>
      </c>
      <c r="B91" s="952">
        <f ca="1">IF(B$88=Refer,Refer,IF(Referral_Error="",C82+C55+C59+C64+C69+C73+C78,Refer))</f>
        <v>930.9849999999999</v>
      </c>
      <c r="C91" s="953">
        <f>C$88</f>
        <v>11</v>
      </c>
      <c r="D91" s="952">
        <f ca="1">IF(B$3&lt;&gt;"",IFERROR(B91/C91,""),0)</f>
        <v>84.634999999999991</v>
      </c>
      <c r="E91" s="813"/>
      <c r="F91" s="813"/>
      <c r="G91" s="952">
        <f ca="1">IF(G$88=Refer,Refer,IF(Referral_Error="",H82+H55+H59+H64+H69+H73+H78,Refer))</f>
        <v>0</v>
      </c>
      <c r="H91" s="953">
        <f>H$88</f>
        <v>0</v>
      </c>
      <c r="I91" s="952">
        <f>IF(G$3&lt;&gt;"",IFERROR(G91/H91,""),0)</f>
        <v>0</v>
      </c>
      <c r="J91" s="813"/>
      <c r="K91" s="813"/>
      <c r="L91" s="952">
        <f ca="1">IF(L$88=Refer,Refer,IF(Referral_Error="",M82+M55+M59+M64+M69+M73+M78,Refer))</f>
        <v>0</v>
      </c>
      <c r="M91" s="953">
        <f>M$88</f>
        <v>0</v>
      </c>
      <c r="N91" s="952">
        <f t="shared" si="0"/>
        <v>0</v>
      </c>
      <c r="O91" s="813"/>
      <c r="P91" s="813"/>
      <c r="Q91" s="952">
        <f ca="1">IF(Q$88=Refer,Refer,IF(Referral_Error="",R82+R55+R59+R64+R69+R73+R78,Refer))</f>
        <v>0</v>
      </c>
      <c r="R91" s="953">
        <f>R$88</f>
        <v>0</v>
      </c>
      <c r="S91" s="952">
        <f t="shared" si="1"/>
        <v>0</v>
      </c>
      <c r="T91" s="813"/>
      <c r="U91" s="813"/>
      <c r="V91" s="952">
        <f ca="1">IF(V$88=Refer,Refer,IF(Referral_Error="",W82+W55+W59+W64+W69+W73+W78,Refer))</f>
        <v>0</v>
      </c>
      <c r="W91" s="953">
        <f t="shared" si="2"/>
        <v>0</v>
      </c>
      <c r="X91" s="952">
        <f t="shared" si="3"/>
        <v>0</v>
      </c>
      <c r="Y91" s="813"/>
      <c r="Z91" s="813"/>
      <c r="AA91" s="952">
        <f ca="1">IF(AA$88=Refer,Refer,IF(Referral_Error="",AB82+AB55+AB59+AB64+AB69+AB73+AB78,Refer))</f>
        <v>0</v>
      </c>
      <c r="AB91" s="953">
        <f t="shared" si="4"/>
        <v>0</v>
      </c>
      <c r="AC91" s="952">
        <f t="shared" si="5"/>
        <v>0</v>
      </c>
      <c r="AD91" s="813"/>
      <c r="AE91" s="813"/>
      <c r="AF91" s="952">
        <f ca="1">IF(AF$88=Refer,Refer,IF(Referral_Error="",AG82+AG55+AG59+AG64+AG69+AG73+AG78,Refer))</f>
        <v>0</v>
      </c>
      <c r="AG91" s="953">
        <f t="shared" si="6"/>
        <v>0</v>
      </c>
      <c r="AH91" s="952">
        <f t="shared" si="7"/>
        <v>0</v>
      </c>
      <c r="AI91" s="813"/>
      <c r="AJ91" s="813"/>
      <c r="AK91" s="952">
        <f ca="1">IF(AK$88=Refer,Refer,IF(Referral_Error="",AL82+AL55+AL59+AL64+AL69+AL73+AL78,Refer))</f>
        <v>0</v>
      </c>
      <c r="AL91" s="953">
        <f t="shared" si="8"/>
        <v>0</v>
      </c>
      <c r="AM91" s="952">
        <f t="shared" si="9"/>
        <v>0</v>
      </c>
    </row>
    <row r="92" spans="1:39" x14ac:dyDescent="0.25">
      <c r="B92" s="813"/>
      <c r="C92" s="813"/>
      <c r="D92" s="813"/>
      <c r="E92" s="813"/>
      <c r="F92" s="813"/>
      <c r="G92" s="813"/>
      <c r="H92" s="813"/>
      <c r="I92" s="813"/>
      <c r="J92" s="813"/>
      <c r="K92" s="813"/>
      <c r="L92" s="813"/>
      <c r="M92" s="813"/>
      <c r="N92" s="813"/>
      <c r="O92" s="813"/>
      <c r="P92" s="813"/>
      <c r="Q92" s="813"/>
      <c r="R92" s="813"/>
      <c r="S92" s="813"/>
      <c r="T92" s="813"/>
      <c r="U92" s="813"/>
      <c r="V92" s="813"/>
      <c r="W92" s="813"/>
      <c r="X92" s="813"/>
      <c r="Y92" s="813"/>
      <c r="Z92" s="813"/>
      <c r="AA92" s="813"/>
      <c r="AB92" s="813"/>
      <c r="AC92" s="813"/>
      <c r="AD92" s="813"/>
      <c r="AE92" s="813"/>
      <c r="AF92" s="813"/>
      <c r="AG92" s="813"/>
      <c r="AH92" s="813"/>
      <c r="AI92" s="813"/>
      <c r="AJ92" s="813"/>
      <c r="AK92" s="813"/>
      <c r="AL92" s="813"/>
      <c r="AM92" s="813"/>
    </row>
    <row r="93" spans="1:39" x14ac:dyDescent="0.25">
      <c r="A93" s="451" t="s">
        <v>1238</v>
      </c>
      <c r="B93" s="954">
        <f ca="1">IF(B$88=Refer,Refer,IF(Referral_Error="",IF(AND(B$88=0,B$3&lt;&gt;""),"Error",SUM(B88:B91)),Refer))</f>
        <v>28804.852567567563</v>
      </c>
      <c r="C93" s="955">
        <f>C88</f>
        <v>11</v>
      </c>
      <c r="D93" s="954">
        <f ca="1">IFERROR(B93/C93,"")</f>
        <v>2618.6229606879601</v>
      </c>
      <c r="E93" s="840"/>
      <c r="F93" s="840"/>
      <c r="G93" s="954">
        <f ca="1">IF(G$88=Refer,Refer,IF(Referral_Error="",IF(AND(G$88=0,G$3&lt;&gt;""),"Error",SUM(G88:G91)),Refer))</f>
        <v>0</v>
      </c>
      <c r="H93" s="955">
        <f>H88</f>
        <v>0</v>
      </c>
      <c r="I93" s="954" t="str">
        <f ca="1">IFERROR(G93/H93,"")</f>
        <v/>
      </c>
      <c r="J93" s="840"/>
      <c r="K93" s="840"/>
      <c r="L93" s="954">
        <f ca="1">IF(L$88=Refer,Refer,IF(Referral_Error="",IF(AND(L$88=0,L$3&lt;&gt;""),"Error",SUM(L88:L91)),Refer))</f>
        <v>0</v>
      </c>
      <c r="M93" s="955">
        <f>M88</f>
        <v>0</v>
      </c>
      <c r="N93" s="954" t="str">
        <f ca="1">IFERROR(L93/M93,"")</f>
        <v/>
      </c>
      <c r="O93" s="840"/>
      <c r="P93" s="840"/>
      <c r="Q93" s="954">
        <f ca="1">IF(Q$88=Refer,Refer,IF(Referral_Error="",IF(AND(Q$88=0,Q$3&lt;&gt;""),"Error",SUM(Q88:Q91)),Refer))</f>
        <v>0</v>
      </c>
      <c r="R93" s="955">
        <f>R88</f>
        <v>0</v>
      </c>
      <c r="S93" s="954" t="str">
        <f ca="1">IFERROR(Q93/R93,"")</f>
        <v/>
      </c>
      <c r="T93" s="813"/>
      <c r="U93" s="813"/>
      <c r="V93" s="954">
        <f ca="1">IF(V$88=Refer,Refer,IF(Referral_Error="",IF(AND(V$88=0,V$3&lt;&gt;""),"Error",SUM(V88:V91)),Refer))</f>
        <v>0</v>
      </c>
      <c r="W93" s="955">
        <f>W88</f>
        <v>0</v>
      </c>
      <c r="X93" s="954" t="str">
        <f ca="1">IFERROR(V93/W93,"")</f>
        <v/>
      </c>
      <c r="Y93" s="813"/>
      <c r="Z93" s="813"/>
      <c r="AA93" s="954">
        <f ca="1">IF(AA$88=Refer,Refer,IF(Referral_Error="",IF(AND(AA$88=0,AA$3&lt;&gt;""),"Error",SUM(AA88:AA91)),Refer))</f>
        <v>0</v>
      </c>
      <c r="AB93" s="955">
        <f>AB88</f>
        <v>0</v>
      </c>
      <c r="AC93" s="954" t="str">
        <f ca="1">IFERROR(AA93/AB93,"")</f>
        <v/>
      </c>
      <c r="AD93" s="813"/>
      <c r="AE93" s="813"/>
      <c r="AF93" s="954">
        <f ca="1">IF(AF$88=Refer,Refer,IF(Referral_Error="",IF(AND(AF$88=0,AF$3&lt;&gt;""),"Error",SUM(AF88:AF91)),Refer))</f>
        <v>0</v>
      </c>
      <c r="AG93" s="955">
        <f>AG88</f>
        <v>0</v>
      </c>
      <c r="AH93" s="954" t="str">
        <f ca="1">IFERROR(AF93/AG93,"")</f>
        <v/>
      </c>
      <c r="AI93" s="813"/>
      <c r="AJ93" s="813"/>
      <c r="AK93" s="954">
        <f ca="1">IF(AK$88=Refer,Refer,IF(Referral_Error="",IF(AND(AK$88=0,AK$3&lt;&gt;""),"Error",SUM(AK88:AK91)),Refer))</f>
        <v>0</v>
      </c>
      <c r="AL93" s="955">
        <f>AL88</f>
        <v>0</v>
      </c>
      <c r="AM93" s="954" t="str">
        <f ca="1">IFERROR(AK93/AL93,"")</f>
        <v/>
      </c>
    </row>
    <row r="94" spans="1:39" x14ac:dyDescent="0.25">
      <c r="A94" s="922" t="s">
        <v>137</v>
      </c>
      <c r="B94" s="952">
        <f ca="1">IF(B$88=Refer,Refer,IF(Referral_Error="",C94*D94,Refer))</f>
        <v>0</v>
      </c>
      <c r="C94" s="953">
        <f>C40</f>
        <v>0</v>
      </c>
      <c r="D94" s="952">
        <f>IF(B$3&lt;&gt;"",IFERROR('Age Banded Rating'!C236,""),0)</f>
        <v>1575.9</v>
      </c>
      <c r="E94" s="813"/>
      <c r="F94" s="813"/>
      <c r="G94" s="952">
        <f ca="1">IF(G$88=Refer,Refer,IF(Referral_Error="",H94*I94,Refer))</f>
        <v>0</v>
      </c>
      <c r="H94" s="953">
        <f>H40</f>
        <v>0</v>
      </c>
      <c r="I94" s="952">
        <f>IF(G$3&lt;&gt;"",IFERROR('Age Banded Rating'!D236,""),0)</f>
        <v>0</v>
      </c>
      <c r="J94" s="813"/>
      <c r="K94" s="813"/>
      <c r="L94" s="952">
        <f ca="1">IF(L$88=Refer,Refer,IF(Referral_Error="",M94*N94,Refer))</f>
        <v>0</v>
      </c>
      <c r="M94" s="953">
        <f>M40</f>
        <v>0</v>
      </c>
      <c r="N94" s="952">
        <f>IF(L$3&lt;&gt;"",IFERROR('Age Banded Rating'!E236,""),0)</f>
        <v>0</v>
      </c>
      <c r="O94" s="813"/>
      <c r="P94" s="813"/>
      <c r="Q94" s="952">
        <f ca="1">IF(Q$88=Refer,Refer,IF(Referral_Error="",R94*S94,Refer))</f>
        <v>0</v>
      </c>
      <c r="R94" s="953">
        <f>R40</f>
        <v>0</v>
      </c>
      <c r="S94" s="952">
        <f>IF(Q$3&lt;&gt;"",IFERROR('Age Banded Rating'!F236,""),0)</f>
        <v>0</v>
      </c>
      <c r="T94" s="813"/>
      <c r="U94" s="813"/>
      <c r="V94" s="952">
        <f ca="1">IF(V$88=Refer,Refer,IF(Referral_Error="",W94*X94,Refer))</f>
        <v>0</v>
      </c>
      <c r="W94" s="953">
        <f>W40</f>
        <v>0</v>
      </c>
      <c r="X94" s="952">
        <f>IF(V$3&lt;&gt;"",IFERROR('Age Banded Rating'!G236,""),0)</f>
        <v>0</v>
      </c>
      <c r="Y94" s="813"/>
      <c r="Z94" s="813"/>
      <c r="AA94" s="952">
        <f ca="1">IF(AA$88=Refer,Refer,IF(Referral_Error="",AB94*AC94,Refer))</f>
        <v>0</v>
      </c>
      <c r="AB94" s="953">
        <f>AB40</f>
        <v>0</v>
      </c>
      <c r="AC94" s="952">
        <f>IF(AA$3&lt;&gt;"",IFERROR('Age Banded Rating'!H236,""),0)</f>
        <v>0</v>
      </c>
      <c r="AD94" s="813"/>
      <c r="AE94" s="813"/>
      <c r="AF94" s="952">
        <f ca="1">IF(AF$88=Refer,Refer,IF(Referral_Error="",AG94*AH94,Refer))</f>
        <v>0</v>
      </c>
      <c r="AG94" s="953">
        <f>AG40</f>
        <v>0</v>
      </c>
      <c r="AH94" s="952">
        <f>IF(AF$3&lt;&gt;"",IFERROR('Age Banded Rating'!I236,""),0)</f>
        <v>0</v>
      </c>
      <c r="AI94" s="813"/>
      <c r="AJ94" s="813"/>
      <c r="AK94" s="952">
        <f ca="1">IF(AK$88=Refer,Refer,IF(Referral_Error="",AL94*AM94,Refer))</f>
        <v>0</v>
      </c>
      <c r="AL94" s="953">
        <f>AL40</f>
        <v>0</v>
      </c>
      <c r="AM94" s="952">
        <f>IF(AK$3&lt;&gt;"",IFERROR('Age Banded Rating'!J236,""),0)</f>
        <v>0</v>
      </c>
    </row>
    <row r="95" spans="1:39" x14ac:dyDescent="0.25">
      <c r="A95" s="1046" t="s">
        <v>1195</v>
      </c>
      <c r="B95" s="1047">
        <f>'Member Data'!O48</f>
        <v>0</v>
      </c>
      <c r="C95" s="953"/>
      <c r="D95" s="952"/>
      <c r="G95" s="1047">
        <f>'Member Data'!P48</f>
        <v>0</v>
      </c>
      <c r="L95" s="1047">
        <f>'Member Data'!Q48</f>
        <v>0</v>
      </c>
      <c r="Q95" s="1047">
        <f>'Member Data'!R48</f>
        <v>0</v>
      </c>
      <c r="V95" s="1047">
        <f>'Member Data'!S48</f>
        <v>0</v>
      </c>
      <c r="AA95" s="1047">
        <f>'Member Data'!T48</f>
        <v>0</v>
      </c>
      <c r="AF95" s="1047">
        <f>'Member Data'!U48</f>
        <v>0</v>
      </c>
      <c r="AK95" s="1047">
        <f>'Member Data'!V48</f>
        <v>0</v>
      </c>
    </row>
    <row r="96" spans="1:39" x14ac:dyDescent="0.25"/>
    <row r="97" spans="1:39" x14ac:dyDescent="0.25">
      <c r="A97" s="995" t="s">
        <v>1147</v>
      </c>
      <c r="B97" s="954">
        <f ca="1">IFERROR(B104+B105+B106,Refer)</f>
        <v>41149.789382239382</v>
      </c>
      <c r="G97" s="954">
        <f ca="1">IFERROR(G104+G105+G106,Refer)</f>
        <v>0</v>
      </c>
      <c r="L97" s="954">
        <f ca="1">IFERROR(L104+L105+L106,Refer)</f>
        <v>0</v>
      </c>
      <c r="Q97" s="954">
        <f ca="1">IFERROR(Q104+Q105+Q106,Refer)</f>
        <v>0</v>
      </c>
      <c r="V97" s="954">
        <f ca="1">IFERROR(V104+V105+V106,Refer)</f>
        <v>0</v>
      </c>
      <c r="AA97" s="954">
        <f ca="1">IFERROR(AA104+AA105+AA106,Refer)</f>
        <v>0</v>
      </c>
      <c r="AF97" s="954">
        <f ca="1">IFERROR(AF104+AF105+AF106,Refer)</f>
        <v>0</v>
      </c>
      <c r="AK97" s="954">
        <f ca="1">IFERROR(AK104+AK105+AK106,Refer)</f>
        <v>0</v>
      </c>
    </row>
    <row r="98" spans="1:39" x14ac:dyDescent="0.25">
      <c r="B98" s="456" t="s">
        <v>133</v>
      </c>
      <c r="C98" s="456" t="s">
        <v>118</v>
      </c>
      <c r="D98" s="456" t="s">
        <v>134</v>
      </c>
      <c r="G98" s="456" t="s">
        <v>133</v>
      </c>
      <c r="H98" s="456" t="s">
        <v>118</v>
      </c>
      <c r="I98" s="456" t="s">
        <v>134</v>
      </c>
      <c r="L98" s="456" t="s">
        <v>133</v>
      </c>
      <c r="M98" s="456" t="s">
        <v>118</v>
      </c>
      <c r="N98" s="456" t="s">
        <v>134</v>
      </c>
      <c r="Q98" s="456" t="s">
        <v>133</v>
      </c>
      <c r="R98" s="456" t="s">
        <v>118</v>
      </c>
      <c r="S98" s="456" t="s">
        <v>134</v>
      </c>
      <c r="V98" s="456" t="s">
        <v>133</v>
      </c>
      <c r="W98" s="456" t="s">
        <v>118</v>
      </c>
      <c r="X98" s="456" t="s">
        <v>134</v>
      </c>
      <c r="AA98" s="456" t="s">
        <v>133</v>
      </c>
      <c r="AB98" s="456" t="s">
        <v>118</v>
      </c>
      <c r="AC98" s="456" t="s">
        <v>134</v>
      </c>
      <c r="AF98" s="456" t="s">
        <v>133</v>
      </c>
      <c r="AG98" s="456" t="s">
        <v>118</v>
      </c>
      <c r="AH98" s="456" t="s">
        <v>134</v>
      </c>
      <c r="AK98" s="456" t="s">
        <v>133</v>
      </c>
      <c r="AL98" s="456" t="s">
        <v>118</v>
      </c>
      <c r="AM98" s="456" t="s">
        <v>134</v>
      </c>
    </row>
    <row r="99" spans="1:39" x14ac:dyDescent="0.25">
      <c r="A99" s="451" t="s">
        <v>140</v>
      </c>
      <c r="B99" s="952">
        <f ca="1">IFERROR(B88/(1-Gross_Loading),Refer)</f>
        <v>38114.810810810806</v>
      </c>
      <c r="C99" s="953">
        <f>C$88</f>
        <v>11</v>
      </c>
      <c r="D99" s="952">
        <f ca="1">IFERROR(D88/(1-Gross_Loading),Refer)</f>
        <v>3464.9828009828007</v>
      </c>
      <c r="E99" s="813"/>
      <c r="F99" s="813"/>
      <c r="G99" s="952">
        <f ca="1">IFERROR(G88/(1-Gross_Loading),Refer)</f>
        <v>0</v>
      </c>
      <c r="H99" s="953">
        <f>H$88</f>
        <v>0</v>
      </c>
      <c r="I99" s="952">
        <f>IFERROR(I88/(1-Gross_Loading),Refer)</f>
        <v>0</v>
      </c>
      <c r="J99" s="813"/>
      <c r="K99" s="813"/>
      <c r="L99" s="952">
        <f ca="1">IFERROR(L88/(1-Gross_Loading),Refer)</f>
        <v>0</v>
      </c>
      <c r="M99" s="953">
        <f>M$88</f>
        <v>0</v>
      </c>
      <c r="N99" s="952">
        <f>IFERROR(N88/(1-Gross_Loading),Refer)</f>
        <v>0</v>
      </c>
      <c r="O99" s="813"/>
      <c r="P99" s="813"/>
      <c r="Q99" s="952">
        <f ca="1">IFERROR(Q88/(1-Gross_Loading),Refer)</f>
        <v>0</v>
      </c>
      <c r="R99" s="953">
        <f>R$88</f>
        <v>0</v>
      </c>
      <c r="S99" s="952">
        <f>IFERROR(S88/(1-Gross_Loading),Refer)</f>
        <v>0</v>
      </c>
      <c r="T99" s="813"/>
      <c r="U99" s="813"/>
      <c r="V99" s="952">
        <f ca="1">IFERROR(V88/(1-Gross_Loading),Refer)</f>
        <v>0</v>
      </c>
      <c r="W99" s="953">
        <f>W$88</f>
        <v>0</v>
      </c>
      <c r="X99" s="952">
        <f>IFERROR(X88/(1-Gross_Loading),Refer)</f>
        <v>0</v>
      </c>
      <c r="Y99" s="813"/>
      <c r="Z99" s="813"/>
      <c r="AA99" s="952">
        <f ca="1">IFERROR(AA88/(1-Gross_Loading),Refer)</f>
        <v>0</v>
      </c>
      <c r="AB99" s="953">
        <f>AB$88</f>
        <v>0</v>
      </c>
      <c r="AC99" s="952">
        <f>IFERROR(AC88/(1-Gross_Loading),Refer)</f>
        <v>0</v>
      </c>
      <c r="AD99" s="813"/>
      <c r="AE99" s="813"/>
      <c r="AF99" s="952">
        <f ca="1">IFERROR(AF88/(1-Gross_Loading),Refer)</f>
        <v>0</v>
      </c>
      <c r="AG99" s="953">
        <f>AG$88</f>
        <v>0</v>
      </c>
      <c r="AH99" s="952">
        <f>IFERROR(AH88/(1-Gross_Loading),Refer)</f>
        <v>0</v>
      </c>
      <c r="AI99" s="813"/>
      <c r="AJ99" s="813"/>
      <c r="AK99" s="952">
        <f ca="1">IFERROR(AK88/(1-Gross_Loading),Refer)</f>
        <v>0</v>
      </c>
      <c r="AL99" s="953">
        <f>AL$88</f>
        <v>0</v>
      </c>
      <c r="AM99" s="952">
        <f>IFERROR(AM88/(1-Gross_Loading),Refer)</f>
        <v>0</v>
      </c>
    </row>
    <row r="100" spans="1:39" x14ac:dyDescent="0.25">
      <c r="A100" s="451" t="s">
        <v>142</v>
      </c>
      <c r="B100" s="952">
        <f ca="1">IFERROR(B89/(1-Gross_Loading),Refer)</f>
        <v>1705</v>
      </c>
      <c r="C100" s="953">
        <f>C$88</f>
        <v>11</v>
      </c>
      <c r="D100" s="952">
        <f ca="1">IFERROR(D89/(1-Gross_Loading),Refer)</f>
        <v>155</v>
      </c>
      <c r="E100" s="813"/>
      <c r="F100" s="813"/>
      <c r="G100" s="952">
        <f ca="1">IFERROR(G89/(1-Gross_Loading),Refer)</f>
        <v>0</v>
      </c>
      <c r="H100" s="953">
        <f>H$88</f>
        <v>0</v>
      </c>
      <c r="I100" s="952">
        <f>IFERROR(I89/(1-Gross_Loading),Refer)</f>
        <v>0</v>
      </c>
      <c r="J100" s="813"/>
      <c r="K100" s="813"/>
      <c r="L100" s="952">
        <f ca="1">IFERROR(L89/(1-Gross_Loading),Refer)</f>
        <v>0</v>
      </c>
      <c r="M100" s="953">
        <f>M$88</f>
        <v>0</v>
      </c>
      <c r="N100" s="952">
        <f>IFERROR(N89/(1-Gross_Loading),Refer)</f>
        <v>0</v>
      </c>
      <c r="O100" s="813"/>
      <c r="P100" s="813"/>
      <c r="Q100" s="952">
        <f ca="1">IFERROR(Q89/(1-Gross_Loading),Refer)</f>
        <v>0</v>
      </c>
      <c r="R100" s="953">
        <f t="shared" ref="R100:R102" si="10">R$88</f>
        <v>0</v>
      </c>
      <c r="S100" s="952">
        <f>IFERROR(S89/(1-Gross_Loading),Refer)</f>
        <v>0</v>
      </c>
      <c r="T100" s="813"/>
      <c r="U100" s="813"/>
      <c r="V100" s="952">
        <f ca="1">IFERROR(V89/(1-Gross_Loading),Refer)</f>
        <v>0</v>
      </c>
      <c r="W100" s="953">
        <f t="shared" ref="W100:W102" si="11">W$88</f>
        <v>0</v>
      </c>
      <c r="X100" s="952">
        <f>IFERROR(X89/(1-Gross_Loading),Refer)</f>
        <v>0</v>
      </c>
      <c r="Y100" s="813"/>
      <c r="Z100" s="813"/>
      <c r="AA100" s="952">
        <f ca="1">IFERROR(AA89/(1-Gross_Loading),Refer)</f>
        <v>0</v>
      </c>
      <c r="AB100" s="953">
        <f t="shared" ref="AB100:AB102" si="12">AB$88</f>
        <v>0</v>
      </c>
      <c r="AC100" s="952">
        <f>IFERROR(AC89/(1-Gross_Loading),Refer)</f>
        <v>0</v>
      </c>
      <c r="AD100" s="813"/>
      <c r="AE100" s="813"/>
      <c r="AF100" s="952">
        <f ca="1">IFERROR(AF89/(1-Gross_Loading),Refer)</f>
        <v>0</v>
      </c>
      <c r="AG100" s="953">
        <f t="shared" ref="AG100:AG102" si="13">AG$88</f>
        <v>0</v>
      </c>
      <c r="AH100" s="952">
        <f>IFERROR(AH89/(1-Gross_Loading),Refer)</f>
        <v>0</v>
      </c>
      <c r="AI100" s="813"/>
      <c r="AJ100" s="813"/>
      <c r="AK100" s="952">
        <f ca="1">IFERROR(AK89/(1-Gross_Loading),Refer)</f>
        <v>0</v>
      </c>
      <c r="AL100" s="953">
        <f t="shared" ref="AL100:AL102" si="14">AL$88</f>
        <v>0</v>
      </c>
      <c r="AM100" s="952">
        <f>IFERROR(AM89/(1-Gross_Loading),Refer)</f>
        <v>0</v>
      </c>
    </row>
    <row r="101" spans="1:39" x14ac:dyDescent="0.25">
      <c r="A101" s="451" t="s">
        <v>143</v>
      </c>
      <c r="B101" s="952">
        <f ca="1">IFERROR(B90/(1-Gross_Loading),Refer)</f>
        <v>0</v>
      </c>
      <c r="C101" s="953">
        <f>C$88</f>
        <v>11</v>
      </c>
      <c r="D101" s="952">
        <f ca="1">IFERROR(D90/(1-Gross_Loading),Refer)</f>
        <v>0</v>
      </c>
      <c r="E101" s="813"/>
      <c r="F101" s="813"/>
      <c r="G101" s="952">
        <f ca="1">IFERROR(G90/(1-Gross_Loading),Refer)</f>
        <v>0</v>
      </c>
      <c r="H101" s="953">
        <f>H$88</f>
        <v>0</v>
      </c>
      <c r="I101" s="952">
        <f>IFERROR(I90/(1-Gross_Loading),Refer)</f>
        <v>0</v>
      </c>
      <c r="J101" s="813"/>
      <c r="K101" s="813"/>
      <c r="L101" s="952">
        <f ca="1">IFERROR(L90/(1-Gross_Loading),Refer)</f>
        <v>0</v>
      </c>
      <c r="M101" s="953">
        <f>M$88</f>
        <v>0</v>
      </c>
      <c r="N101" s="952">
        <f>IFERROR(N90/(1-Gross_Loading),Refer)</f>
        <v>0</v>
      </c>
      <c r="O101" s="813"/>
      <c r="P101" s="813"/>
      <c r="Q101" s="952">
        <f ca="1">IFERROR(Q90/(1-Gross_Loading),Refer)</f>
        <v>0</v>
      </c>
      <c r="R101" s="953">
        <f t="shared" si="10"/>
        <v>0</v>
      </c>
      <c r="S101" s="952">
        <f>IFERROR(S90/(1-Gross_Loading),Refer)</f>
        <v>0</v>
      </c>
      <c r="T101" s="813"/>
      <c r="U101" s="813"/>
      <c r="V101" s="952">
        <f ca="1">IFERROR(V90/(1-Gross_Loading),Refer)</f>
        <v>0</v>
      </c>
      <c r="W101" s="953">
        <f t="shared" si="11"/>
        <v>0</v>
      </c>
      <c r="X101" s="952">
        <f>IFERROR(X90/(1-Gross_Loading),Refer)</f>
        <v>0</v>
      </c>
      <c r="Y101" s="813"/>
      <c r="Z101" s="813"/>
      <c r="AA101" s="952">
        <f ca="1">IFERROR(AA90/(1-Gross_Loading),Refer)</f>
        <v>0</v>
      </c>
      <c r="AB101" s="953">
        <f t="shared" si="12"/>
        <v>0</v>
      </c>
      <c r="AC101" s="952">
        <f>IFERROR(AC90/(1-Gross_Loading),Refer)</f>
        <v>0</v>
      </c>
      <c r="AD101" s="813"/>
      <c r="AE101" s="813"/>
      <c r="AF101" s="952">
        <f ca="1">IFERROR(AF90/(1-Gross_Loading),Refer)</f>
        <v>0</v>
      </c>
      <c r="AG101" s="953">
        <f t="shared" si="13"/>
        <v>0</v>
      </c>
      <c r="AH101" s="952">
        <f>IFERROR(AH90/(1-Gross_Loading),Refer)</f>
        <v>0</v>
      </c>
      <c r="AI101" s="813"/>
      <c r="AJ101" s="813"/>
      <c r="AK101" s="952">
        <f ca="1">IFERROR(AK90/(1-Gross_Loading),Refer)</f>
        <v>0</v>
      </c>
      <c r="AL101" s="953">
        <f t="shared" si="14"/>
        <v>0</v>
      </c>
      <c r="AM101" s="952">
        <f>IFERROR(AM90/(1-Gross_Loading),Refer)</f>
        <v>0</v>
      </c>
    </row>
    <row r="102" spans="1:39" x14ac:dyDescent="0.25">
      <c r="A102" s="457" t="s">
        <v>144</v>
      </c>
      <c r="B102" s="952">
        <f ca="1">IFERROR(B91/(1-Gross_Loading),Refer)</f>
        <v>1329.9785714285713</v>
      </c>
      <c r="C102" s="953">
        <f>C$88</f>
        <v>11</v>
      </c>
      <c r="D102" s="952">
        <f ca="1">IFERROR(D91/(1-Gross_Loading),Refer)</f>
        <v>120.90714285714286</v>
      </c>
      <c r="E102" s="813"/>
      <c r="F102" s="813"/>
      <c r="G102" s="952">
        <f ca="1">IFERROR(G91/(1-Gross_Loading),Refer)</f>
        <v>0</v>
      </c>
      <c r="H102" s="953">
        <f>H$88</f>
        <v>0</v>
      </c>
      <c r="I102" s="952">
        <f>IFERROR(I91/(1-Gross_Loading),Refer)</f>
        <v>0</v>
      </c>
      <c r="J102" s="813"/>
      <c r="K102" s="813"/>
      <c r="L102" s="952">
        <f ca="1">IFERROR(L91/(1-Gross_Loading),Refer)</f>
        <v>0</v>
      </c>
      <c r="M102" s="953">
        <f>M$88</f>
        <v>0</v>
      </c>
      <c r="N102" s="952">
        <f>IFERROR(N91/(1-Gross_Loading),Refer)</f>
        <v>0</v>
      </c>
      <c r="O102" s="813"/>
      <c r="P102" s="813"/>
      <c r="Q102" s="952">
        <f ca="1">IFERROR(Q91/(1-Gross_Loading),Refer)</f>
        <v>0</v>
      </c>
      <c r="R102" s="953">
        <f t="shared" si="10"/>
        <v>0</v>
      </c>
      <c r="S102" s="952">
        <f>IFERROR(S91/(1-Gross_Loading),Refer)</f>
        <v>0</v>
      </c>
      <c r="T102" s="813"/>
      <c r="U102" s="813"/>
      <c r="V102" s="952">
        <f ca="1">IFERROR(V91/(1-Gross_Loading),Refer)</f>
        <v>0</v>
      </c>
      <c r="W102" s="953">
        <f t="shared" si="11"/>
        <v>0</v>
      </c>
      <c r="X102" s="952">
        <f>IFERROR(X91/(1-Gross_Loading),Refer)</f>
        <v>0</v>
      </c>
      <c r="Y102" s="813"/>
      <c r="Z102" s="813"/>
      <c r="AA102" s="952">
        <f ca="1">IFERROR(AA91/(1-Gross_Loading),Refer)</f>
        <v>0</v>
      </c>
      <c r="AB102" s="953">
        <f t="shared" si="12"/>
        <v>0</v>
      </c>
      <c r="AC102" s="952">
        <f>IFERROR(AC91/(1-Gross_Loading),Refer)</f>
        <v>0</v>
      </c>
      <c r="AD102" s="813"/>
      <c r="AE102" s="813"/>
      <c r="AF102" s="952">
        <f ca="1">IFERROR(AF91/(1-Gross_Loading),Refer)</f>
        <v>0</v>
      </c>
      <c r="AG102" s="953">
        <f t="shared" si="13"/>
        <v>0</v>
      </c>
      <c r="AH102" s="952">
        <f>IFERROR(AH91/(1-Gross_Loading),Refer)</f>
        <v>0</v>
      </c>
      <c r="AI102" s="813"/>
      <c r="AJ102" s="813"/>
      <c r="AK102" s="952">
        <f ca="1">IFERROR(AK91/(1-Gross_Loading),Refer)</f>
        <v>0</v>
      </c>
      <c r="AL102" s="953">
        <f t="shared" si="14"/>
        <v>0</v>
      </c>
      <c r="AM102" s="952">
        <f>IFERROR(AM91/(1-Gross_Loading),Refer)</f>
        <v>0</v>
      </c>
    </row>
    <row r="103" spans="1:39" x14ac:dyDescent="0.25">
      <c r="B103" s="813"/>
      <c r="C103" s="813"/>
      <c r="D103" s="813"/>
      <c r="E103" s="813"/>
      <c r="F103" s="813"/>
      <c r="G103" s="813"/>
      <c r="H103" s="813"/>
      <c r="I103" s="813"/>
      <c r="J103" s="813"/>
      <c r="K103" s="813"/>
      <c r="L103" s="813"/>
      <c r="M103" s="813"/>
      <c r="N103" s="813"/>
      <c r="O103" s="813"/>
      <c r="P103" s="813"/>
      <c r="Q103" s="813"/>
      <c r="R103" s="813"/>
      <c r="S103" s="813"/>
      <c r="T103" s="813"/>
      <c r="U103" s="813"/>
      <c r="V103" s="813"/>
      <c r="W103" s="813"/>
      <c r="X103" s="813"/>
      <c r="Y103" s="813"/>
      <c r="Z103" s="813"/>
      <c r="AA103" s="813"/>
      <c r="AB103" s="813"/>
      <c r="AC103" s="813"/>
      <c r="AD103" s="813"/>
      <c r="AE103" s="813"/>
      <c r="AF103" s="813"/>
      <c r="AG103" s="813"/>
      <c r="AH103" s="813"/>
      <c r="AI103" s="813"/>
      <c r="AJ103" s="813"/>
      <c r="AK103" s="813"/>
      <c r="AL103" s="813"/>
      <c r="AM103" s="813"/>
    </row>
    <row r="104" spans="1:39" x14ac:dyDescent="0.25">
      <c r="A104" s="451" t="s">
        <v>1239</v>
      </c>
      <c r="B104" s="954">
        <f ca="1">IFERROR(B93/(1-Gross_Loading),Refer)</f>
        <v>41149.789382239382</v>
      </c>
      <c r="C104" s="955">
        <f>C$88</f>
        <v>11</v>
      </c>
      <c r="D104" s="954">
        <f ca="1">IFERROR(D93/(1-Gross_Loading),Refer)</f>
        <v>3740.8899438399435</v>
      </c>
      <c r="E104" s="840"/>
      <c r="F104" s="840"/>
      <c r="G104" s="954">
        <f ca="1">IFERROR(G93/(1-Gross_Loading),Refer)</f>
        <v>0</v>
      </c>
      <c r="H104" s="955">
        <f>H$88</f>
        <v>0</v>
      </c>
      <c r="I104" s="954" t="str">
        <f ca="1">IFERROR(I93/(1-Gross_Loading),Refer)</f>
        <v>Refer to UW</v>
      </c>
      <c r="J104" s="840"/>
      <c r="K104" s="840"/>
      <c r="L104" s="954">
        <f ca="1">IFERROR(L93/(1-Gross_Loading),Refer)</f>
        <v>0</v>
      </c>
      <c r="M104" s="955">
        <f>M$88</f>
        <v>0</v>
      </c>
      <c r="N104" s="954" t="str">
        <f ca="1">IFERROR(N93/(1-Gross_Loading),Refer)</f>
        <v>Refer to UW</v>
      </c>
      <c r="O104" s="840"/>
      <c r="P104" s="840"/>
      <c r="Q104" s="954">
        <f ca="1">IFERROR(Q93/(1-Gross_Loading),Refer)</f>
        <v>0</v>
      </c>
      <c r="R104" s="955">
        <f>R$88</f>
        <v>0</v>
      </c>
      <c r="S104" s="954" t="str">
        <f ca="1">IFERROR(S93/(1-Gross_Loading),Refer)</f>
        <v>Refer to UW</v>
      </c>
      <c r="T104" s="813"/>
      <c r="U104" s="813"/>
      <c r="V104" s="954">
        <f ca="1">IFERROR(V93/(1-Gross_Loading),Refer)</f>
        <v>0</v>
      </c>
      <c r="W104" s="955">
        <f>W$88</f>
        <v>0</v>
      </c>
      <c r="X104" s="954" t="str">
        <f ca="1">IFERROR(X93/(1-Gross_Loading),Refer)</f>
        <v>Refer to UW</v>
      </c>
      <c r="Y104" s="813"/>
      <c r="Z104" s="813"/>
      <c r="AA104" s="954">
        <f ca="1">IFERROR(AA93/(1-Gross_Loading),Refer)</f>
        <v>0</v>
      </c>
      <c r="AB104" s="955">
        <f>AB$88</f>
        <v>0</v>
      </c>
      <c r="AC104" s="954" t="str">
        <f ca="1">IFERROR(AC93/(1-Gross_Loading),Refer)</f>
        <v>Refer to UW</v>
      </c>
      <c r="AD104" s="813"/>
      <c r="AE104" s="813"/>
      <c r="AF104" s="954">
        <f ca="1">IFERROR(AF93/(1-Gross_Loading),Refer)</f>
        <v>0</v>
      </c>
      <c r="AG104" s="955">
        <f>AG$88</f>
        <v>0</v>
      </c>
      <c r="AH104" s="954" t="str">
        <f ca="1">IFERROR(AH93/(1-Gross_Loading),Refer)</f>
        <v>Refer to UW</v>
      </c>
      <c r="AI104" s="813"/>
      <c r="AJ104" s="813"/>
      <c r="AK104" s="954">
        <f ca="1">IFERROR(AK93/(1-Gross_Loading),Refer)</f>
        <v>0</v>
      </c>
      <c r="AL104" s="955">
        <f>AL$88</f>
        <v>0</v>
      </c>
      <c r="AM104" s="954" t="str">
        <f ca="1">IFERROR(AM93/(1-Gross_Loading),Refer)</f>
        <v>Refer to UW</v>
      </c>
    </row>
    <row r="105" spans="1:39" x14ac:dyDescent="0.25">
      <c r="A105" s="922" t="s">
        <v>141</v>
      </c>
      <c r="B105" s="952">
        <f ca="1">IFERROR(B94/(1-Gross_Loading),Refer)</f>
        <v>0</v>
      </c>
      <c r="C105" s="953">
        <f>C94</f>
        <v>0</v>
      </c>
      <c r="D105" s="952">
        <f>IFERROR(D94/(1-Gross_Loading),Refer)</f>
        <v>2251.2857142857147</v>
      </c>
      <c r="E105" s="813"/>
      <c r="F105" s="813"/>
      <c r="G105" s="952">
        <f ca="1">IFERROR(G94/(1-Gross_Loading),Refer)</f>
        <v>0</v>
      </c>
      <c r="H105" s="953">
        <f>H94</f>
        <v>0</v>
      </c>
      <c r="I105" s="952">
        <f>IFERROR(I94/(1-Gross_Loading),Refer)</f>
        <v>0</v>
      </c>
      <c r="J105" s="813"/>
      <c r="K105" s="813"/>
      <c r="L105" s="952">
        <f ca="1">IFERROR(L94/(1-Gross_Loading),Refer)</f>
        <v>0</v>
      </c>
      <c r="M105" s="953">
        <f>M94</f>
        <v>0</v>
      </c>
      <c r="N105" s="952">
        <f>IFERROR(N94/(1-Gross_Loading),Refer)</f>
        <v>0</v>
      </c>
      <c r="O105" s="813"/>
      <c r="P105" s="813"/>
      <c r="Q105" s="952">
        <f ca="1">IFERROR(Q94/(1-Gross_Loading),Refer)</f>
        <v>0</v>
      </c>
      <c r="R105" s="953">
        <f>R94</f>
        <v>0</v>
      </c>
      <c r="S105" s="952">
        <f>IFERROR(S94/(1-Gross_Loading),Refer)</f>
        <v>0</v>
      </c>
      <c r="T105" s="813"/>
      <c r="U105" s="813"/>
      <c r="V105" s="952">
        <f ca="1">IFERROR(V94/(1-Gross_Loading),Refer)</f>
        <v>0</v>
      </c>
      <c r="W105" s="953">
        <f>W94</f>
        <v>0</v>
      </c>
      <c r="X105" s="952">
        <f>IFERROR(X94/(1-Gross_Loading),Refer)</f>
        <v>0</v>
      </c>
      <c r="Y105" s="813"/>
      <c r="Z105" s="813"/>
      <c r="AA105" s="952">
        <f ca="1">IFERROR(AA94/(1-Gross_Loading),Refer)</f>
        <v>0</v>
      </c>
      <c r="AB105" s="953">
        <f>AB94</f>
        <v>0</v>
      </c>
      <c r="AC105" s="952">
        <f>IFERROR(AC94/(1-Gross_Loading),Refer)</f>
        <v>0</v>
      </c>
      <c r="AD105" s="813"/>
      <c r="AE105" s="813"/>
      <c r="AF105" s="952">
        <f ca="1">IFERROR(AF94/(1-Gross_Loading),Refer)</f>
        <v>0</v>
      </c>
      <c r="AG105" s="953">
        <f>AG94</f>
        <v>0</v>
      </c>
      <c r="AH105" s="952">
        <f>IFERROR(AH94/(1-Gross_Loading),Refer)</f>
        <v>0</v>
      </c>
      <c r="AI105" s="813"/>
      <c r="AJ105" s="813"/>
      <c r="AK105" s="952">
        <f ca="1">IFERROR(AK94/(1-Gross_Loading),Refer)</f>
        <v>0</v>
      </c>
      <c r="AL105" s="953">
        <f>AL94</f>
        <v>0</v>
      </c>
      <c r="AM105" s="952">
        <f>IFERROR(AM94/(1-Gross_Loading),Refer)</f>
        <v>0</v>
      </c>
    </row>
    <row r="106" spans="1:39" customFormat="1" x14ac:dyDescent="0.25">
      <c r="A106" s="1046" t="s">
        <v>1195</v>
      </c>
      <c r="B106" s="1047">
        <f>IFERROR(B95/(1-Gross_Loading),Refer)</f>
        <v>0</v>
      </c>
      <c r="G106" s="1047">
        <f>IFERROR(G95/(1-Gross_Loading),Refer)</f>
        <v>0</v>
      </c>
      <c r="L106" s="1047">
        <f>IFERROR(L95/(1-Gross_Loading),Refer)</f>
        <v>0</v>
      </c>
      <c r="Q106" s="1047">
        <f>IFERROR(Q95/(1-Gross_Loading),Refer)</f>
        <v>0</v>
      </c>
      <c r="V106" s="1047">
        <f>IFERROR(V95/(1-Gross_Loading),Refer)</f>
        <v>0</v>
      </c>
      <c r="AA106" s="1047">
        <f>IFERROR(AA95/(1-Gross_Loading),Refer)</f>
        <v>0</v>
      </c>
      <c r="AF106" s="1047">
        <f>IFERROR(AF95/(1-Gross_Loading),Refer)</f>
        <v>0</v>
      </c>
      <c r="AK106" s="1047">
        <f>IFERROR(AK95/(1-Gross_Loading),Refer)</f>
        <v>0</v>
      </c>
    </row>
    <row r="107" spans="1:39" customFormat="1" x14ac:dyDescent="0.25"/>
    <row r="108" spans="1:39" x14ac:dyDescent="0.25">
      <c r="A108" s="995" t="s">
        <v>1148</v>
      </c>
      <c r="B108" s="954">
        <f ca="1">IFERROR(B93+B94+B95+G93+G94+G95+L93+L94+L95+Q93+Q94+Q95+V93+V94+V95+AA93+AA94+AA95+AF93+AF94+AF95+AK93+AK94+AK95,Refer)</f>
        <v>28804.852567567563</v>
      </c>
      <c r="C108" s="1048"/>
    </row>
    <row r="109" spans="1:39" x14ac:dyDescent="0.25">
      <c r="A109" s="995" t="s">
        <v>1149</v>
      </c>
      <c r="B109" s="954">
        <f ca="1">IFERROR(B108/(1-Gross_Loading),Refer)</f>
        <v>41149.789382239382</v>
      </c>
      <c r="C109" s="1048"/>
    </row>
    <row r="110" spans="1:39" x14ac:dyDescent="0.25"/>
    <row r="111" spans="1:39" x14ac:dyDescent="0.25">
      <c r="A111" s="1064" t="s">
        <v>1226</v>
      </c>
      <c r="B111" s="1065" t="str">
        <f>IF(A112="","","PLEASE ENTER DETAILS TO GENERATE THE RATES")</f>
        <v/>
      </c>
    </row>
    <row r="112" spans="1:39" x14ac:dyDescent="0.25">
      <c r="A112" s="463" t="str">
        <f>IF(AND('Experience Rating'!$H$4=1,'Experience Rating'!$H$8=2),"EXPIRING CATEGORY WISE FLAT RATE - "&amp;'Experience Rating'!$D$24,"")</f>
        <v/>
      </c>
      <c r="B112" s="456" t="str">
        <f>IF(AND('Experience Rating'!$H$4=1,'Experience Rating'!$H$8=2),'Benefit Selection - Group'!$B$3,"")</f>
        <v/>
      </c>
      <c r="C112" s="456" t="str">
        <f>IF(AND('Experience Rating'!$H$4=1,'Experience Rating'!$H$8=2),'Benefit Selection - Group'!$G$3,"")</f>
        <v/>
      </c>
      <c r="D112" s="456" t="str">
        <f>IF(AND('Experience Rating'!$H$4=1,'Experience Rating'!$H$8=2),'Benefit Selection - Group'!$L$3,"")</f>
        <v/>
      </c>
      <c r="E112" s="456" t="str">
        <f>IF(AND('Experience Rating'!$H$4=1,'Experience Rating'!$H$8=2),'Benefit Selection - Group'!$Q$3,"")</f>
        <v/>
      </c>
      <c r="F112" s="456" t="str">
        <f>IF(AND('Experience Rating'!$H$4=1,'Experience Rating'!$H$8=2),'Benefit Selection - Group'!$V$3,"")</f>
        <v/>
      </c>
      <c r="G112" s="456" t="str">
        <f>IF(AND('Experience Rating'!$H$4=1,'Experience Rating'!$H$8=2),'Benefit Selection - Group'!$AA$3,"")</f>
        <v/>
      </c>
      <c r="H112" s="456" t="str">
        <f>IF(AND('Experience Rating'!$H$4=1,'Experience Rating'!$H$8=2),'Benefit Selection - Group'!$AF$3,"")</f>
        <v/>
      </c>
      <c r="I112" s="456" t="str">
        <f>IF(AND('Experience Rating'!$H$4=1,'Experience Rating'!$H$8=2),'Benefit Selection - Group'!$AK$3,"")</f>
        <v/>
      </c>
    </row>
    <row r="113" spans="1:9" x14ac:dyDescent="0.25">
      <c r="A113" s="1052" t="str">
        <f>IF(AND('Experience Rating'!$H$4=1,'Experience Rating'!$H$8=2),"- NET RATE (EXCLUDING MATERNITY) per Member ","")</f>
        <v/>
      </c>
      <c r="B113" s="1187"/>
      <c r="C113" s="1187"/>
      <c r="D113" s="1187"/>
      <c r="E113" s="1187"/>
      <c r="F113" s="1187"/>
      <c r="G113" s="1187"/>
      <c r="H113" s="1187"/>
      <c r="I113" s="1187"/>
    </row>
    <row r="114" spans="1:9" x14ac:dyDescent="0.25">
      <c r="A114" s="1052" t="str">
        <f>IF(AND('Experience Rating'!$H$4=1,'Experience Rating'!$H$8=2),"- MATERNITY RATE (NET) per Member ","")</f>
        <v/>
      </c>
      <c r="B114" s="1187"/>
      <c r="C114" s="1187"/>
      <c r="D114" s="1187"/>
      <c r="E114" s="1187"/>
      <c r="F114" s="1187"/>
      <c r="G114" s="1187"/>
      <c r="H114" s="1187"/>
      <c r="I114" s="1187"/>
    </row>
    <row r="115" spans="1:9" x14ac:dyDescent="0.25"/>
  </sheetData>
  <sheetProtection algorithmName="SHA-512" hashValue="gVQJ3rvmJavQp7EPQjTlt6CjUUxSX+ArY9ZJTIrm4Kb4oa9B9r5+vjnNkEswe979OibvTp/5Zseoa7OZZHOrjw==" saltValue="8QP79mvHIs82nmUYe8UBXw==" spinCount="100000" sheet="1" objects="1" scenarios="1"/>
  <mergeCells count="282">
    <mergeCell ref="A34:A35"/>
    <mergeCell ref="B35:C35"/>
    <mergeCell ref="G35:H35"/>
    <mergeCell ref="L35:M35"/>
    <mergeCell ref="Q35:R35"/>
    <mergeCell ref="V35:W35"/>
    <mergeCell ref="AA35:AB35"/>
    <mergeCell ref="AF35:AG35"/>
    <mergeCell ref="AK35:AL35"/>
    <mergeCell ref="A3:A4"/>
    <mergeCell ref="B20:C20"/>
    <mergeCell ref="G20:H20"/>
    <mergeCell ref="L20:M20"/>
    <mergeCell ref="Q20:R20"/>
    <mergeCell ref="V20:W20"/>
    <mergeCell ref="AA20:AB20"/>
    <mergeCell ref="AF20:AG20"/>
    <mergeCell ref="AK20:AL20"/>
    <mergeCell ref="Q14:R14"/>
    <mergeCell ref="B3:E4"/>
    <mergeCell ref="G3:J4"/>
    <mergeCell ref="L3:O4"/>
    <mergeCell ref="Q3:T4"/>
    <mergeCell ref="B12:C12"/>
    <mergeCell ref="B14:C14"/>
    <mergeCell ref="G12:H12"/>
    <mergeCell ref="L12:M12"/>
    <mergeCell ref="B10:C10"/>
    <mergeCell ref="G10:H10"/>
    <mergeCell ref="L10:M10"/>
    <mergeCell ref="Q10:R10"/>
    <mergeCell ref="Q12:R12"/>
    <mergeCell ref="G14:H14"/>
    <mergeCell ref="AK38:AL38"/>
    <mergeCell ref="AA24:AB24"/>
    <mergeCell ref="AF24:AG24"/>
    <mergeCell ref="AK24:AL24"/>
    <mergeCell ref="B26:C26"/>
    <mergeCell ref="G26:H26"/>
    <mergeCell ref="L26:M26"/>
    <mergeCell ref="Q26:R26"/>
    <mergeCell ref="V26:W26"/>
    <mergeCell ref="AA26:AB26"/>
    <mergeCell ref="AF26:AG26"/>
    <mergeCell ref="AK26:AL26"/>
    <mergeCell ref="B24:C24"/>
    <mergeCell ref="G24:H24"/>
    <mergeCell ref="L24:M24"/>
    <mergeCell ref="Q24:R24"/>
    <mergeCell ref="V24:W24"/>
    <mergeCell ref="AA28:AB28"/>
    <mergeCell ref="AF28:AG28"/>
    <mergeCell ref="AK28:AL28"/>
    <mergeCell ref="B30:C30"/>
    <mergeCell ref="G30:H30"/>
    <mergeCell ref="L30:M30"/>
    <mergeCell ref="Q30:R30"/>
    <mergeCell ref="L14:M14"/>
    <mergeCell ref="B9:C9"/>
    <mergeCell ref="G9:H9"/>
    <mergeCell ref="L9:M9"/>
    <mergeCell ref="Q9:R9"/>
    <mergeCell ref="V14:W14"/>
    <mergeCell ref="AA14:AB14"/>
    <mergeCell ref="AF14:AG14"/>
    <mergeCell ref="V3:Y4"/>
    <mergeCell ref="AK14:AL14"/>
    <mergeCell ref="AA3:AD4"/>
    <mergeCell ref="AF3:AI4"/>
    <mergeCell ref="AK3:AN4"/>
    <mergeCell ref="AA12:AB12"/>
    <mergeCell ref="AF12:AG12"/>
    <mergeCell ref="AK12:AL12"/>
    <mergeCell ref="V12:W12"/>
    <mergeCell ref="V10:W10"/>
    <mergeCell ref="AA10:AB10"/>
    <mergeCell ref="AF10:AG10"/>
    <mergeCell ref="AK10:AL10"/>
    <mergeCell ref="V9:W9"/>
    <mergeCell ref="AA9:AB9"/>
    <mergeCell ref="AF9:AG9"/>
    <mergeCell ref="AK9:AL9"/>
    <mergeCell ref="AA16:AB16"/>
    <mergeCell ref="AF16:AG16"/>
    <mergeCell ref="AK16:AL16"/>
    <mergeCell ref="B22:C22"/>
    <mergeCell ref="G22:H22"/>
    <mergeCell ref="L22:M22"/>
    <mergeCell ref="Q22:R22"/>
    <mergeCell ref="V22:W22"/>
    <mergeCell ref="AA22:AB22"/>
    <mergeCell ref="AF22:AG22"/>
    <mergeCell ref="AK22:AL22"/>
    <mergeCell ref="B16:C16"/>
    <mergeCell ref="G16:H16"/>
    <mergeCell ref="L16:M16"/>
    <mergeCell ref="Q16:R16"/>
    <mergeCell ref="V16:W16"/>
    <mergeCell ref="AA18:AB18"/>
    <mergeCell ref="AF18:AG18"/>
    <mergeCell ref="AK18:AL18"/>
    <mergeCell ref="B18:C18"/>
    <mergeCell ref="G18:H18"/>
    <mergeCell ref="L18:M18"/>
    <mergeCell ref="Q18:R18"/>
    <mergeCell ref="V18:W18"/>
    <mergeCell ref="V30:W30"/>
    <mergeCell ref="AA30:AB30"/>
    <mergeCell ref="AF30:AG30"/>
    <mergeCell ref="AK30:AL30"/>
    <mergeCell ref="B28:C28"/>
    <mergeCell ref="G28:H28"/>
    <mergeCell ref="L28:M28"/>
    <mergeCell ref="Q28:R28"/>
    <mergeCell ref="V28:W28"/>
    <mergeCell ref="AK32:AL32"/>
    <mergeCell ref="B32:C32"/>
    <mergeCell ref="G32:H32"/>
    <mergeCell ref="L32:M32"/>
    <mergeCell ref="Q32:R32"/>
    <mergeCell ref="V32:W32"/>
    <mergeCell ref="G39:H39"/>
    <mergeCell ref="L39:M39"/>
    <mergeCell ref="Q39:R39"/>
    <mergeCell ref="V39:W39"/>
    <mergeCell ref="AA39:AB39"/>
    <mergeCell ref="AF39:AG39"/>
    <mergeCell ref="AK39:AL39"/>
    <mergeCell ref="B34:C34"/>
    <mergeCell ref="G34:H34"/>
    <mergeCell ref="L34:M34"/>
    <mergeCell ref="Q34:R34"/>
    <mergeCell ref="V34:W34"/>
    <mergeCell ref="B39:C39"/>
    <mergeCell ref="AA34:AB34"/>
    <mergeCell ref="AF34:AG34"/>
    <mergeCell ref="AK34:AL34"/>
    <mergeCell ref="B38:C38"/>
    <mergeCell ref="AF38:AG38"/>
    <mergeCell ref="AA32:AB32"/>
    <mergeCell ref="G38:H38"/>
    <mergeCell ref="L38:M38"/>
    <mergeCell ref="Q38:R38"/>
    <mergeCell ref="V38:W38"/>
    <mergeCell ref="AA38:AB38"/>
    <mergeCell ref="AA43:AB43"/>
    <mergeCell ref="AA44:AB44"/>
    <mergeCell ref="AF32:AG32"/>
    <mergeCell ref="X43:Y46"/>
    <mergeCell ref="AC43:AD46"/>
    <mergeCell ref="B43:C43"/>
    <mergeCell ref="B44:C44"/>
    <mergeCell ref="G43:H43"/>
    <mergeCell ref="G44:H44"/>
    <mergeCell ref="L43:M43"/>
    <mergeCell ref="L44:M44"/>
    <mergeCell ref="Q43:R43"/>
    <mergeCell ref="Q44:R44"/>
    <mergeCell ref="V43:W43"/>
    <mergeCell ref="V44:W44"/>
    <mergeCell ref="D43:E46"/>
    <mergeCell ref="I43:J46"/>
    <mergeCell ref="N43:O46"/>
    <mergeCell ref="S43:T46"/>
    <mergeCell ref="B48:C48"/>
    <mergeCell ref="B49:C49"/>
    <mergeCell ref="G48:H48"/>
    <mergeCell ref="G49:H49"/>
    <mergeCell ref="L48:M48"/>
    <mergeCell ref="L49:M49"/>
    <mergeCell ref="Q48:R48"/>
    <mergeCell ref="Q49:R49"/>
    <mergeCell ref="V48:W48"/>
    <mergeCell ref="V49:W49"/>
    <mergeCell ref="B53:C53"/>
    <mergeCell ref="B57:C57"/>
    <mergeCell ref="B61:C61"/>
    <mergeCell ref="B66:C66"/>
    <mergeCell ref="B71:C71"/>
    <mergeCell ref="B75:C75"/>
    <mergeCell ref="B80:C80"/>
    <mergeCell ref="G53:H53"/>
    <mergeCell ref="G57:H57"/>
    <mergeCell ref="G61:H61"/>
    <mergeCell ref="G66:H66"/>
    <mergeCell ref="G71:H71"/>
    <mergeCell ref="G75:H75"/>
    <mergeCell ref="G80:H80"/>
    <mergeCell ref="B62:C62"/>
    <mergeCell ref="G62:H62"/>
    <mergeCell ref="B67:C67"/>
    <mergeCell ref="G67:H67"/>
    <mergeCell ref="B76:C76"/>
    <mergeCell ref="G76:H76"/>
    <mergeCell ref="D53:E55"/>
    <mergeCell ref="L66:M66"/>
    <mergeCell ref="L71:M71"/>
    <mergeCell ref="L75:M75"/>
    <mergeCell ref="L80:M80"/>
    <mergeCell ref="Q53:R53"/>
    <mergeCell ref="Q57:R57"/>
    <mergeCell ref="Q61:R61"/>
    <mergeCell ref="Q66:R66"/>
    <mergeCell ref="Q71:R71"/>
    <mergeCell ref="Q75:R75"/>
    <mergeCell ref="Q80:R80"/>
    <mergeCell ref="L62:M62"/>
    <mergeCell ref="Q62:R62"/>
    <mergeCell ref="L67:M67"/>
    <mergeCell ref="Q67:R67"/>
    <mergeCell ref="L76:M76"/>
    <mergeCell ref="Q76:R76"/>
    <mergeCell ref="V66:W66"/>
    <mergeCell ref="V71:W71"/>
    <mergeCell ref="V75:W75"/>
    <mergeCell ref="V80:W80"/>
    <mergeCell ref="AA53:AB53"/>
    <mergeCell ref="AA57:AB57"/>
    <mergeCell ref="AA61:AB61"/>
    <mergeCell ref="AA66:AB66"/>
    <mergeCell ref="AA71:AB71"/>
    <mergeCell ref="AA75:AB75"/>
    <mergeCell ref="AA80:AB80"/>
    <mergeCell ref="V62:W62"/>
    <mergeCell ref="AA62:AB62"/>
    <mergeCell ref="V67:W67"/>
    <mergeCell ref="AA67:AB67"/>
    <mergeCell ref="V76:W76"/>
    <mergeCell ref="AA76:AB76"/>
    <mergeCell ref="AF66:AG66"/>
    <mergeCell ref="AF71:AG71"/>
    <mergeCell ref="AF75:AG75"/>
    <mergeCell ref="AF80:AG80"/>
    <mergeCell ref="AK53:AL53"/>
    <mergeCell ref="AK57:AL57"/>
    <mergeCell ref="AK61:AL61"/>
    <mergeCell ref="AK66:AL66"/>
    <mergeCell ref="AK71:AL71"/>
    <mergeCell ref="AK75:AL75"/>
    <mergeCell ref="AK80:AL80"/>
    <mergeCell ref="AF62:AG62"/>
    <mergeCell ref="AK62:AL62"/>
    <mergeCell ref="AF67:AG67"/>
    <mergeCell ref="AK67:AL67"/>
    <mergeCell ref="AF76:AG76"/>
    <mergeCell ref="AK76:AL76"/>
    <mergeCell ref="AH43:AI46"/>
    <mergeCell ref="AM43:AN46"/>
    <mergeCell ref="AF53:AG53"/>
    <mergeCell ref="V53:W53"/>
    <mergeCell ref="L53:M53"/>
    <mergeCell ref="AF43:AG43"/>
    <mergeCell ref="AF44:AG44"/>
    <mergeCell ref="AK43:AL43"/>
    <mergeCell ref="AK44:AL44"/>
    <mergeCell ref="AA48:AB48"/>
    <mergeCell ref="AA49:AB49"/>
    <mergeCell ref="AF48:AG48"/>
    <mergeCell ref="AF49:AG49"/>
    <mergeCell ref="AK48:AL48"/>
    <mergeCell ref="AK49:AL49"/>
    <mergeCell ref="I53:J55"/>
    <mergeCell ref="N53:O55"/>
    <mergeCell ref="S53:T55"/>
    <mergeCell ref="X53:Y55"/>
    <mergeCell ref="AC53:AD55"/>
    <mergeCell ref="AH53:AI55"/>
    <mergeCell ref="AM53:AN55"/>
    <mergeCell ref="D61:E64"/>
    <mergeCell ref="I61:J64"/>
    <mergeCell ref="N61:O64"/>
    <mergeCell ref="S61:T64"/>
    <mergeCell ref="X61:Y64"/>
    <mergeCell ref="AC61:AD64"/>
    <mergeCell ref="AH61:AI64"/>
    <mergeCell ref="AM61:AN64"/>
    <mergeCell ref="AF57:AG57"/>
    <mergeCell ref="AF61:AG61"/>
    <mergeCell ref="V57:W57"/>
    <mergeCell ref="V61:W61"/>
    <mergeCell ref="L57:M57"/>
    <mergeCell ref="L61:M61"/>
  </mergeCells>
  <conditionalFormatting sqref="D43:E46">
    <cfRule type="containsText" dxfId="67" priority="24" operator="containsText" text="DHA">
      <formula>NOT(ISERROR(SEARCH("DHA",D43)))</formula>
    </cfRule>
  </conditionalFormatting>
  <conditionalFormatting sqref="I43:J46">
    <cfRule type="containsText" dxfId="66" priority="23" operator="containsText" text="DHA">
      <formula>NOT(ISERROR(SEARCH("DHA",I43)))</formula>
    </cfRule>
  </conditionalFormatting>
  <conditionalFormatting sqref="N43:O46">
    <cfRule type="containsText" dxfId="65" priority="22" operator="containsText" text="DHA">
      <formula>NOT(ISERROR(SEARCH("DHA",N43)))</formula>
    </cfRule>
  </conditionalFormatting>
  <conditionalFormatting sqref="S43:T46">
    <cfRule type="containsText" dxfId="64" priority="21" operator="containsText" text="DHA">
      <formula>NOT(ISERROR(SEARCH("DHA",S43)))</formula>
    </cfRule>
  </conditionalFormatting>
  <conditionalFormatting sqref="X43:Y46">
    <cfRule type="containsText" dxfId="63" priority="20" operator="containsText" text="DHA">
      <formula>NOT(ISERROR(SEARCH("DHA",X43)))</formula>
    </cfRule>
  </conditionalFormatting>
  <conditionalFormatting sqref="AC43:AD46">
    <cfRule type="containsText" dxfId="62" priority="19" operator="containsText" text="DHA">
      <formula>NOT(ISERROR(SEARCH("DHA",AC43)))</formula>
    </cfRule>
  </conditionalFormatting>
  <conditionalFormatting sqref="AH43:AI46">
    <cfRule type="containsText" dxfId="61" priority="18" operator="containsText" text="DHA">
      <formula>NOT(ISERROR(SEARCH("DHA",AH43)))</formula>
    </cfRule>
  </conditionalFormatting>
  <conditionalFormatting sqref="AM43:AN46">
    <cfRule type="containsText" dxfId="60" priority="17" operator="containsText" text="DHA">
      <formula>NOT(ISERROR(SEARCH("DHA",AM43)))</formula>
    </cfRule>
  </conditionalFormatting>
  <conditionalFormatting sqref="D53">
    <cfRule type="containsText" dxfId="59" priority="16" operator="containsText" text="DHA">
      <formula>NOT(ISERROR(SEARCH("DHA",D53)))</formula>
    </cfRule>
  </conditionalFormatting>
  <conditionalFormatting sqref="I53">
    <cfRule type="containsText" dxfId="58" priority="15" operator="containsText" text="DHA">
      <formula>NOT(ISERROR(SEARCH("DHA",I53)))</formula>
    </cfRule>
  </conditionalFormatting>
  <conditionalFormatting sqref="N53">
    <cfRule type="containsText" dxfId="57" priority="14" operator="containsText" text="DHA">
      <formula>NOT(ISERROR(SEARCH("DHA",N53)))</formula>
    </cfRule>
  </conditionalFormatting>
  <conditionalFormatting sqref="S53">
    <cfRule type="containsText" dxfId="56" priority="13" operator="containsText" text="DHA">
      <formula>NOT(ISERROR(SEARCH("DHA",S53)))</formula>
    </cfRule>
  </conditionalFormatting>
  <conditionalFormatting sqref="X53">
    <cfRule type="containsText" dxfId="55" priority="12" operator="containsText" text="DHA">
      <formula>NOT(ISERROR(SEARCH("DHA",X53)))</formula>
    </cfRule>
  </conditionalFormatting>
  <conditionalFormatting sqref="AC53">
    <cfRule type="containsText" dxfId="54" priority="11" operator="containsText" text="DHA">
      <formula>NOT(ISERROR(SEARCH("DHA",AC53)))</formula>
    </cfRule>
  </conditionalFormatting>
  <conditionalFormatting sqref="AH53">
    <cfRule type="containsText" dxfId="53" priority="10" operator="containsText" text="DHA">
      <formula>NOT(ISERROR(SEARCH("DHA",AH53)))</formula>
    </cfRule>
  </conditionalFormatting>
  <conditionalFormatting sqref="AM53">
    <cfRule type="containsText" dxfId="52" priority="9" operator="containsText" text="DHA">
      <formula>NOT(ISERROR(SEARCH("DHA",AM53)))</formula>
    </cfRule>
  </conditionalFormatting>
  <conditionalFormatting sqref="D61:E64">
    <cfRule type="containsText" dxfId="51" priority="8" operator="containsText" text="DHA">
      <formula>NOT(ISERROR(SEARCH("DHA",D61)))</formula>
    </cfRule>
  </conditionalFormatting>
  <conditionalFormatting sqref="I61:J64">
    <cfRule type="containsText" dxfId="50" priority="7" operator="containsText" text="DHA">
      <formula>NOT(ISERROR(SEARCH("DHA",I61)))</formula>
    </cfRule>
  </conditionalFormatting>
  <conditionalFormatting sqref="N61:O64">
    <cfRule type="containsText" dxfId="49" priority="6" operator="containsText" text="DHA">
      <formula>NOT(ISERROR(SEARCH("DHA",N61)))</formula>
    </cfRule>
  </conditionalFormatting>
  <conditionalFormatting sqref="S61:T64">
    <cfRule type="containsText" dxfId="48" priority="5" operator="containsText" text="DHA">
      <formula>NOT(ISERROR(SEARCH("DHA",S61)))</formula>
    </cfRule>
  </conditionalFormatting>
  <conditionalFormatting sqref="X61:Y64">
    <cfRule type="containsText" dxfId="47" priority="4" operator="containsText" text="DHA">
      <formula>NOT(ISERROR(SEARCH("DHA",X61)))</formula>
    </cfRule>
  </conditionalFormatting>
  <conditionalFormatting sqref="AC61:AD64">
    <cfRule type="containsText" dxfId="46" priority="3" operator="containsText" text="DHA">
      <formula>NOT(ISERROR(SEARCH("DHA",AC61)))</formula>
    </cfRule>
  </conditionalFormatting>
  <conditionalFormatting sqref="AH61:AI64">
    <cfRule type="containsText" dxfId="45" priority="2" operator="containsText" text="DHA">
      <formula>NOT(ISERROR(SEARCH("DHA",AH61)))</formula>
    </cfRule>
  </conditionalFormatting>
  <conditionalFormatting sqref="AM61:AN64">
    <cfRule type="containsText" dxfId="44" priority="1" operator="containsText" text="DHA">
      <formula>NOT(ISERROR(SEARCH("DHA",AM61)))</formula>
    </cfRule>
  </conditionalFormatting>
  <dataValidations count="4">
    <dataValidation type="whole" operator="greaterThanOrEqual" allowBlank="1" showInputMessage="1" showErrorMessage="1" errorTitle="Input Error" error="Value must be a whole number and greater than or equal to 0." sqref="B113:I114" xr:uid="{294E9852-35D8-4DB6-9E07-C424C933D7AF}">
      <formula1>0</formula1>
    </dataValidation>
    <dataValidation type="list" allowBlank="1" showInputMessage="1" showErrorMessage="1" sqref="B62:C62 G62:H62 L62:M62 Q62:R62 V62:W62 AA62:AB62 AF62:AG62 AK62:AL62 AK76:AL76 AF76:AG76 AA76:AB76 V76:W76 Q76:R76 L76:M76 G76:H76 B76:C76" xr:uid="{DC0CB261-0A47-4686-962A-260E716F337A}">
      <formula1>"0%,10%,20%"</formula1>
    </dataValidation>
    <dataValidation type="list" allowBlank="1" showInputMessage="1" showErrorMessage="1" sqref="B67:C67 G67:H67 L67:M67 Q67:R67 V67:W67 AA67:AB67 AF67:AG67 AK67:AL67" xr:uid="{DAAA8576-13A7-44DC-A22B-59703D6AB651}">
      <formula1>"0%,10%,20%,30%"</formula1>
    </dataValidation>
    <dataValidation type="list" allowBlank="1" showInputMessage="1" showErrorMessage="1" sqref="B9:C9 G9:H9 L9:M9 Q9:R9 V9:W9 AA9:AB9 AF9:AG9 AK9:AL9" xr:uid="{B7537809-2F54-4CEE-9B20-BC4A26D808CA}">
      <formula1>"Northern Emirates,Dubai,Abu Dhabi"</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15">
        <x14:dataValidation type="list" allowBlank="1" showInputMessage="1" showErrorMessage="1" xr:uid="{CEDDEE69-C190-447D-A4EC-7B095CF1C9FC}">
          <x14:formula1>
            <xm:f>'Group Engine'!$C$82:$C$84</xm:f>
          </x14:formula1>
          <xm:sqref>B18:C18</xm:sqref>
        </x14:dataValidation>
        <x14:dataValidation type="list" allowBlank="1" showInputMessage="1" showErrorMessage="1" xr:uid="{AB128B78-A8D1-4444-BCEB-51E7ACE086F0}">
          <x14:formula1>
            <xm:f>'Group Engine'!$F$82:$F$84</xm:f>
          </x14:formula1>
          <xm:sqref>G18:H18</xm:sqref>
        </x14:dataValidation>
        <x14:dataValidation type="list" allowBlank="1" showInputMessage="1" showErrorMessage="1" xr:uid="{3B49A20A-ACB0-4CAF-95BF-591126CC06AB}">
          <x14:formula1>
            <xm:f>'Group Engine'!$I$82:$I$84</xm:f>
          </x14:formula1>
          <xm:sqref>L18:M18</xm:sqref>
        </x14:dataValidation>
        <x14:dataValidation type="list" allowBlank="1" showInputMessage="1" showErrorMessage="1" xr:uid="{A6920FDD-C445-4D2E-9247-923174F5230F}">
          <x14:formula1>
            <xm:f>'Group Engine'!$L$82:$L$84</xm:f>
          </x14:formula1>
          <xm:sqref>Q18:R18</xm:sqref>
        </x14:dataValidation>
        <x14:dataValidation type="list" allowBlank="1" showInputMessage="1" showErrorMessage="1" xr:uid="{2A25D5A7-5E46-42F3-81EA-17DABF977ED5}">
          <x14:formula1>
            <xm:f>'Group Engine'!$O$82:$O$84</xm:f>
          </x14:formula1>
          <xm:sqref>V18:W18</xm:sqref>
        </x14:dataValidation>
        <x14:dataValidation type="list" allowBlank="1" showInputMessage="1" showErrorMessage="1" xr:uid="{2540D473-3BA2-493E-9A6A-A9DF9A2D305A}">
          <x14:formula1>
            <xm:f>'Group Engine'!$R$82:$R$84</xm:f>
          </x14:formula1>
          <xm:sqref>AA18:AB18</xm:sqref>
        </x14:dataValidation>
        <x14:dataValidation type="list" allowBlank="1" showInputMessage="1" showErrorMessage="1" xr:uid="{AEC8813D-6D68-4C03-9CDB-1DCD0B547553}">
          <x14:formula1>
            <xm:f>'Group Engine'!$U$82:$U$84</xm:f>
          </x14:formula1>
          <xm:sqref>AF18:AG18</xm:sqref>
        </x14:dataValidation>
        <x14:dataValidation type="list" allowBlank="1" showInputMessage="1" showErrorMessage="1" xr:uid="{258076BE-998C-4E94-933B-1DABE4D42E23}">
          <x14:formula1>
            <xm:f>'Group Engine'!$X$82:$X$84</xm:f>
          </x14:formula1>
          <xm:sqref>AK18:AL18</xm:sqref>
        </x14:dataValidation>
        <x14:dataValidation type="list" allowBlank="1" showInputMessage="1" showErrorMessage="1" xr:uid="{3BA403A9-499A-452D-8659-2DC457ECCA7C}">
          <x14:formula1>
            <xm:f>'Group Engine'!$C$6:$C$8</xm:f>
          </x14:formula1>
          <xm:sqref>B34:C34</xm:sqref>
        </x14:dataValidation>
        <x14:dataValidation type="list" allowBlank="1" showInputMessage="1" showErrorMessage="1" xr:uid="{E2E92D92-7D9D-45CF-A37F-2CA92B5663F3}">
          <x14:formula1>
            <xm:f>'Group Engine'!$F$6:$F$8</xm:f>
          </x14:formula1>
          <xm:sqref>G34:H34</xm:sqref>
        </x14:dataValidation>
        <x14:dataValidation type="list" allowBlank="1" showInputMessage="1" showErrorMessage="1" xr:uid="{DF45C429-185D-4319-AD37-7A3DB6A6BE2B}">
          <x14:formula1>
            <xm:f>'Group Engine'!$I$6:$I$8</xm:f>
          </x14:formula1>
          <xm:sqref>L34:M34</xm:sqref>
        </x14:dataValidation>
        <x14:dataValidation type="list" allowBlank="1" showInputMessage="1" showErrorMessage="1" xr:uid="{32E76353-D9B9-43B8-985A-89604834BA4F}">
          <x14:formula1>
            <xm:f>'Group Engine'!$L$6:$L$8</xm:f>
          </x14:formula1>
          <xm:sqref>Q34:R34</xm:sqref>
        </x14:dataValidation>
        <x14:dataValidation type="list" allowBlank="1" showInputMessage="1" showErrorMessage="1" xr:uid="{6508FEC4-E13C-4DB0-8302-6B5845042A4F}">
          <x14:formula1>
            <xm:f>'Group Engine'!$O$6:$O$8</xm:f>
          </x14:formula1>
          <xm:sqref>V34:W34</xm:sqref>
        </x14:dataValidation>
        <x14:dataValidation type="list" allowBlank="1" showInputMessage="1" showErrorMessage="1" xr:uid="{888B0B4F-9E05-4ADD-9CD7-FAA125770052}">
          <x14:formula1>
            <xm:f>'Group Engine'!$R$6:$R$8</xm:f>
          </x14:formula1>
          <xm:sqref>AA34:AB34</xm:sqref>
        </x14:dataValidation>
        <x14:dataValidation type="list" allowBlank="1" showInputMessage="1" showErrorMessage="1" xr:uid="{4EBFDB50-633B-4CF6-825D-4B1B6CC25781}">
          <x14:formula1>
            <xm:f>'Group Engine'!$U$6:$U$8</xm:f>
          </x14:formula1>
          <xm:sqref>AF34:AG34</xm:sqref>
        </x14:dataValidation>
        <x14:dataValidation type="list" allowBlank="1" showInputMessage="1" showErrorMessage="1" xr:uid="{E44B3AB5-CF81-4591-A334-61101239027D}">
          <x14:formula1>
            <xm:f>'Group Engine'!$X$6:$X$8</xm:f>
          </x14:formula1>
          <xm:sqref>AK34:AL34</xm:sqref>
        </x14:dataValidation>
        <x14:dataValidation type="list" allowBlank="1" showInputMessage="1" showErrorMessage="1" xr:uid="{0AE4845D-B661-48E5-A251-87083EFF1868}">
          <x14:formula1>
            <xm:f>'Group Engine'!$O$92:$O$100</xm:f>
          </x14:formula1>
          <xm:sqref>V38:W38</xm:sqref>
        </x14:dataValidation>
        <x14:dataValidation type="list" allowBlank="1" showInputMessage="1" showErrorMessage="1" xr:uid="{DB7D03CF-7D0C-40BB-AAFA-B47F2C3BA19C}">
          <x14:formula1>
            <xm:f>'Group Engine'!$R$92:$R$100</xm:f>
          </x14:formula1>
          <xm:sqref>AA38:AB38</xm:sqref>
        </x14:dataValidation>
        <x14:dataValidation type="list" allowBlank="1" showInputMessage="1" showErrorMessage="1" xr:uid="{3BE67757-67C9-4FB1-9034-96B01BFACB74}">
          <x14:formula1>
            <xm:f>'Group Engine'!$U$92:$U$100</xm:f>
          </x14:formula1>
          <xm:sqref>AF38:AG38</xm:sqref>
        </x14:dataValidation>
        <x14:dataValidation type="list" allowBlank="1" showInputMessage="1" showErrorMessage="1" xr:uid="{235A4769-8F52-4EAA-BB88-C331887FB8F2}">
          <x14:formula1>
            <xm:f>'Group Engine'!$X$92:$X$100</xm:f>
          </x14:formula1>
          <xm:sqref>AK38:AL38</xm:sqref>
        </x14:dataValidation>
        <x14:dataValidation type="list" allowBlank="1" showInputMessage="1" showErrorMessage="1" xr:uid="{F918DB09-CC71-4E83-94A6-FBB20502E1EE}">
          <x14:formula1>
            <xm:f>'Group Engine'!$C$107:$C$108</xm:f>
          </x14:formula1>
          <xm:sqref>B39:C39</xm:sqref>
        </x14:dataValidation>
        <x14:dataValidation type="list" allowBlank="1" showInputMessage="1" showErrorMessage="1" xr:uid="{3890A17F-9402-4BF8-867D-54ABC958D1AB}">
          <x14:formula1>
            <xm:f>'Group Engine'!$F$107:$F$108</xm:f>
          </x14:formula1>
          <xm:sqref>G39:H39</xm:sqref>
        </x14:dataValidation>
        <x14:dataValidation type="list" allowBlank="1" showInputMessage="1" showErrorMessage="1" xr:uid="{FBD7D659-B27F-48C9-9172-B1FEE6E8B5DD}">
          <x14:formula1>
            <xm:f>'Group Engine'!$I$107:$I$108</xm:f>
          </x14:formula1>
          <xm:sqref>L39:M39</xm:sqref>
        </x14:dataValidation>
        <x14:dataValidation type="list" allowBlank="1" showInputMessage="1" showErrorMessage="1" xr:uid="{CED3C142-ABEA-4A7A-A8B7-7C4A7A2F54C4}">
          <x14:formula1>
            <xm:f>'Group Engine'!$L$107:$L$108</xm:f>
          </x14:formula1>
          <xm:sqref>Q39:R39</xm:sqref>
        </x14:dataValidation>
        <x14:dataValidation type="list" allowBlank="1" showInputMessage="1" showErrorMessage="1" xr:uid="{D71724D0-D7FD-4960-82F1-32EBA0BB8B6B}">
          <x14:formula1>
            <xm:f>'Group Engine'!$C$139:$C$148</xm:f>
          </x14:formula1>
          <xm:sqref>B43:C43</xm:sqref>
        </x14:dataValidation>
        <x14:dataValidation type="list" allowBlank="1" showInputMessage="1" showErrorMessage="1" xr:uid="{D80A108E-817D-4F13-95D0-957E489649CD}">
          <x14:formula1>
            <xm:f>'Group Engine'!$F$139:$F$148</xm:f>
          </x14:formula1>
          <xm:sqref>G43:H43</xm:sqref>
        </x14:dataValidation>
        <x14:dataValidation type="list" allowBlank="1" showInputMessage="1" showErrorMessage="1" xr:uid="{6F7CD5D9-C9C1-4425-8357-3C07847F0428}">
          <x14:formula1>
            <xm:f>'Group Engine'!$I$139:$I$148</xm:f>
          </x14:formula1>
          <xm:sqref>L43:M43</xm:sqref>
        </x14:dataValidation>
        <x14:dataValidation type="list" allowBlank="1" showInputMessage="1" showErrorMessage="1" xr:uid="{87C2C83F-4551-4205-B929-C5A64E2E9C64}">
          <x14:formula1>
            <xm:f>'Group Engine'!$L$139:$L$148</xm:f>
          </x14:formula1>
          <xm:sqref>Q43:R43</xm:sqref>
        </x14:dataValidation>
        <x14:dataValidation type="list" allowBlank="1" showInputMessage="1" showErrorMessage="1" xr:uid="{D287943B-9675-4F67-98B0-5009A2788DB2}">
          <x14:formula1>
            <xm:f>'Group Engine'!$O$139:$O$148</xm:f>
          </x14:formula1>
          <xm:sqref>V43:W43</xm:sqref>
        </x14:dataValidation>
        <x14:dataValidation type="list" allowBlank="1" showInputMessage="1" showErrorMessage="1" xr:uid="{1DDC62AA-C9B9-454E-9966-E6CA0CC1699E}">
          <x14:formula1>
            <xm:f>'Group Engine'!$R$139:$R$148</xm:f>
          </x14:formula1>
          <xm:sqref>AA43:AB43</xm:sqref>
        </x14:dataValidation>
        <x14:dataValidation type="list" allowBlank="1" showInputMessage="1" showErrorMessage="1" xr:uid="{44BF9EBC-53FE-4D2F-8A6F-3AB3A711B2D6}">
          <x14:formula1>
            <xm:f>'Group Engine'!$U$139:$U$148</xm:f>
          </x14:formula1>
          <xm:sqref>AF43:AG43</xm:sqref>
        </x14:dataValidation>
        <x14:dataValidation type="list" allowBlank="1" showInputMessage="1" showErrorMessage="1" xr:uid="{C8F05623-D51F-4515-BB74-FB2055B3963C}">
          <x14:formula1>
            <xm:f>'Group Engine'!$X$139:$X$148</xm:f>
          </x14:formula1>
          <xm:sqref>AK43:AL43</xm:sqref>
        </x14:dataValidation>
        <x14:dataValidation type="list" allowBlank="1" showInputMessage="1" showErrorMessage="1" xr:uid="{839F91F8-BEC9-429F-A5EE-7C5463912F08}">
          <x14:formula1>
            <xm:f>'Group Engine'!$F$92:$F$100</xm:f>
          </x14:formula1>
          <xm:sqref>G38:H38</xm:sqref>
        </x14:dataValidation>
        <x14:dataValidation type="list" allowBlank="1" showInputMessage="1" showErrorMessage="1" xr:uid="{18AF6E6A-22D8-4851-A70B-B74A256C0D04}">
          <x14:formula1>
            <xm:f>'Group Engine'!$I$92:$I$100</xm:f>
          </x14:formula1>
          <xm:sqref>L38:M38</xm:sqref>
        </x14:dataValidation>
        <x14:dataValidation type="list" allowBlank="1" showInputMessage="1" showErrorMessage="1" xr:uid="{EF34BABD-9CFF-460C-85D5-82E479376EB5}">
          <x14:formula1>
            <xm:f>'Group Engine'!$L$92:$L$100</xm:f>
          </x14:formula1>
          <xm:sqref>Q38:R38</xm:sqref>
        </x14:dataValidation>
        <x14:dataValidation type="list" allowBlank="1" showInputMessage="1" showErrorMessage="1" xr:uid="{24B1ADA3-594F-40F2-8379-76D575708032}">
          <x14:formula1>
            <xm:f>'Group Engine'!$C$164:$C$171</xm:f>
          </x14:formula1>
          <xm:sqref>B48:C48</xm:sqref>
        </x14:dataValidation>
        <x14:dataValidation type="list" allowBlank="1" showInputMessage="1" showErrorMessage="1" xr:uid="{1E400019-7101-4779-AC40-AF5F6A08EBE3}">
          <x14:formula1>
            <xm:f>'Group Engine'!$F$164:$F$171</xm:f>
          </x14:formula1>
          <xm:sqref>G48:H48</xm:sqref>
        </x14:dataValidation>
        <x14:dataValidation type="list" allowBlank="1" showInputMessage="1" showErrorMessage="1" xr:uid="{9CCC322B-B4AF-4D2E-9C7B-A3988E8FDEDE}">
          <x14:formula1>
            <xm:f>'Group Engine'!$I$164:$I$171</xm:f>
          </x14:formula1>
          <xm:sqref>L48:M48</xm:sqref>
        </x14:dataValidation>
        <x14:dataValidation type="list" allowBlank="1" showInputMessage="1" showErrorMessage="1" xr:uid="{91DBE8CA-B6F7-49FD-99F7-28480ADB3AE2}">
          <x14:formula1>
            <xm:f>'Group Engine'!$L$164:$L$171</xm:f>
          </x14:formula1>
          <xm:sqref>Q48:R48</xm:sqref>
        </x14:dataValidation>
        <x14:dataValidation type="list" allowBlank="1" showInputMessage="1" showErrorMessage="1" xr:uid="{8E0DE7BC-1B7A-4B9D-B246-FEE761AEFB74}">
          <x14:formula1>
            <xm:f>'Group Engine'!$O$164:$O$171</xm:f>
          </x14:formula1>
          <xm:sqref>V48:W48</xm:sqref>
        </x14:dataValidation>
        <x14:dataValidation type="list" allowBlank="1" showInputMessage="1" showErrorMessage="1" xr:uid="{5B3FBA5B-89BF-4B5B-8600-6257250FF30C}">
          <x14:formula1>
            <xm:f>'Group Engine'!$R$164:$R$171</xm:f>
          </x14:formula1>
          <xm:sqref>AA48:AB48</xm:sqref>
        </x14:dataValidation>
        <x14:dataValidation type="list" allowBlank="1" showInputMessage="1" showErrorMessage="1" xr:uid="{C266F0F8-3943-42DC-8646-CCFD2B59EEF8}">
          <x14:formula1>
            <xm:f>'Group Engine'!$U$164:$U$171</xm:f>
          </x14:formula1>
          <xm:sqref>AF48:AG48</xm:sqref>
        </x14:dataValidation>
        <x14:dataValidation type="list" allowBlank="1" showInputMessage="1" showErrorMessage="1" xr:uid="{4AACF123-1A0A-4846-B869-BE4E1D5E0B17}">
          <x14:formula1>
            <xm:f>'Group Engine'!$X$164:$X$171</xm:f>
          </x14:formula1>
          <xm:sqref>AK48:AL48</xm:sqref>
        </x14:dataValidation>
        <x14:dataValidation type="list" allowBlank="1" showInputMessage="1" showErrorMessage="1" xr:uid="{ABC23A62-A997-4022-8E82-AC209599BC26}">
          <x14:formula1>
            <xm:f>'Group Engine'!$O$107:$O$108</xm:f>
          </x14:formula1>
          <xm:sqref>V39:W39</xm:sqref>
        </x14:dataValidation>
        <x14:dataValidation type="list" allowBlank="1" showInputMessage="1" showErrorMessage="1" xr:uid="{02EA8409-23B2-49E5-93A7-20ADE37D9A27}">
          <x14:formula1>
            <xm:f>'Group Engine'!$R$107:$R$108</xm:f>
          </x14:formula1>
          <xm:sqref>AA39:AB39</xm:sqref>
        </x14:dataValidation>
        <x14:dataValidation type="list" allowBlank="1" showInputMessage="1" showErrorMessage="1" xr:uid="{6F37C55F-DEC3-4AD6-8390-FEDCE5F82A49}">
          <x14:formula1>
            <xm:f>'Group Engine'!$U$107:$U$108</xm:f>
          </x14:formula1>
          <xm:sqref>AF39:AG39</xm:sqref>
        </x14:dataValidation>
        <x14:dataValidation type="list" allowBlank="1" showInputMessage="1" showErrorMessage="1" xr:uid="{442BBE4A-FE40-47CD-9F0D-DBB82F6F852C}">
          <x14:formula1>
            <xm:f>'Group Engine'!$X$107:$X$108</xm:f>
          </x14:formula1>
          <xm:sqref>AK39:AL39</xm:sqref>
        </x14:dataValidation>
        <x14:dataValidation type="list" allowBlank="1" showInputMessage="1" showErrorMessage="1" xr:uid="{CE39A448-73D9-438C-8BAF-ADE3563D8B03}">
          <x14:formula1>
            <xm:f>'Group Engine'!$X$115:$X$130</xm:f>
          </x14:formula1>
          <xm:sqref>AK22:AL22</xm:sqref>
        </x14:dataValidation>
        <x14:dataValidation type="list" allowBlank="1" showInputMessage="1" showErrorMessage="1" xr:uid="{ED267EE8-9880-4265-BA03-89054D1D9600}">
          <x14:formula1>
            <xm:f>'Group Engine'!$C$115:$C$130</xm:f>
          </x14:formula1>
          <xm:sqref>B22:C22</xm:sqref>
        </x14:dataValidation>
        <x14:dataValidation type="list" allowBlank="1" showInputMessage="1" showErrorMessage="1" xr:uid="{DA22E346-3626-484F-8A64-2DE793461910}">
          <x14:formula1>
            <xm:f>'Group Engine'!$F$115:$F$130</xm:f>
          </x14:formula1>
          <xm:sqref>G22:H22</xm:sqref>
        </x14:dataValidation>
        <x14:dataValidation type="list" allowBlank="1" showInputMessage="1" showErrorMessage="1" xr:uid="{3B68B39F-9E04-412E-B3B3-F6D7975B2E75}">
          <x14:formula1>
            <xm:f>'Group Engine'!$I$115:$I$130</xm:f>
          </x14:formula1>
          <xm:sqref>L22:M22</xm:sqref>
        </x14:dataValidation>
        <x14:dataValidation type="list" allowBlank="1" showInputMessage="1" showErrorMessage="1" xr:uid="{A6BCA001-F343-4A9B-956D-7AB81152D2FE}">
          <x14:formula1>
            <xm:f>'Group Engine'!$L$115:$L$130</xm:f>
          </x14:formula1>
          <xm:sqref>Q22:R22</xm:sqref>
        </x14:dataValidation>
        <x14:dataValidation type="list" allowBlank="1" showInputMessage="1" showErrorMessage="1" xr:uid="{FA7B3B72-8ED2-4046-A1CD-D4637E80CBC6}">
          <x14:formula1>
            <xm:f>'Group Engine'!$O$115:$O$130</xm:f>
          </x14:formula1>
          <xm:sqref>V22:W22</xm:sqref>
        </x14:dataValidation>
        <x14:dataValidation type="list" allowBlank="1" showInputMessage="1" showErrorMessage="1" xr:uid="{5760A484-55D7-406B-AEBB-191CD9DBF04A}">
          <x14:formula1>
            <xm:f>'Group Engine'!$R$115:$R$130</xm:f>
          </x14:formula1>
          <xm:sqref>AA22:AB22</xm:sqref>
        </x14:dataValidation>
        <x14:dataValidation type="list" allowBlank="1" showInputMessage="1" showErrorMessage="1" xr:uid="{77AC4BE7-7727-48E1-9A83-68838C2C3FDE}">
          <x14:formula1>
            <xm:f>'Group Engine'!$U$115:$U$130</xm:f>
          </x14:formula1>
          <xm:sqref>AF22:AG22</xm:sqref>
        </x14:dataValidation>
        <x14:dataValidation type="list" allowBlank="1" showInputMessage="1" showErrorMessage="1" xr:uid="{53D16E89-0E27-4363-8AD2-07EB5484FC9F}">
          <x14:formula1>
            <xm:f>'General Basis'!$I$64:$I$71</xm:f>
          </x14:formula1>
          <xm:sqref>B10:C10 AK10:AL10 AF10:AG10 AA10:AB10 V10:W10 Q10:R10 L10:M10 G10:H10</xm:sqref>
        </x14:dataValidation>
        <x14:dataValidation type="list" allowBlank="1" showInputMessage="1" showErrorMessage="1" xr:uid="{5903E3E7-2A9F-446C-93C3-E8ED7217CDB7}">
          <x14:formula1>
            <xm:f>'Group Engine'!$C$202:$C$210</xm:f>
          </x14:formula1>
          <xm:sqref>B75:C75</xm:sqref>
        </x14:dataValidation>
        <x14:dataValidation type="list" allowBlank="1" showInputMessage="1" showErrorMessage="1" xr:uid="{3540F962-BAEF-4D1E-869C-5415D75D6E36}">
          <x14:formula1>
            <xm:f>'Group Engine'!$F$202:$F$210</xm:f>
          </x14:formula1>
          <xm:sqref>G75:H75</xm:sqref>
        </x14:dataValidation>
        <x14:dataValidation type="list" allowBlank="1" showInputMessage="1" showErrorMessage="1" xr:uid="{EFFF652E-C9A0-4F4F-B5FC-CF4D20188B54}">
          <x14:formula1>
            <xm:f>'Group Engine'!$I$202:$I$210</xm:f>
          </x14:formula1>
          <xm:sqref>L75:M75</xm:sqref>
        </x14:dataValidation>
        <x14:dataValidation type="list" allowBlank="1" showInputMessage="1" showErrorMessage="1" xr:uid="{8D970E68-0617-4639-B7A1-352D354D040A}">
          <x14:formula1>
            <xm:f>'Group Engine'!$L$202:$L$210</xm:f>
          </x14:formula1>
          <xm:sqref>Q75:R75</xm:sqref>
        </x14:dataValidation>
        <x14:dataValidation type="list" allowBlank="1" showInputMessage="1" showErrorMessage="1" xr:uid="{7CF753CD-51C5-4147-BFF3-992E075BDA07}">
          <x14:formula1>
            <xm:f>'Group Engine'!$O$202:$O$210</xm:f>
          </x14:formula1>
          <xm:sqref>V75:W75</xm:sqref>
        </x14:dataValidation>
        <x14:dataValidation type="list" allowBlank="1" showInputMessage="1" showErrorMessage="1" xr:uid="{ED164E81-62BF-4E79-B372-5DED7ABBA7FB}">
          <x14:formula1>
            <xm:f>'Group Engine'!$R$202:$R$210</xm:f>
          </x14:formula1>
          <xm:sqref>AA75:AB75</xm:sqref>
        </x14:dataValidation>
        <x14:dataValidation type="list" allowBlank="1" showInputMessage="1" showErrorMessage="1" xr:uid="{E63A43EB-0923-4EFD-8707-CD675CAB1098}">
          <x14:formula1>
            <xm:f>'Group Engine'!$U$202:$U$210</xm:f>
          </x14:formula1>
          <xm:sqref>AF75:AG75</xm:sqref>
        </x14:dataValidation>
        <x14:dataValidation type="list" allowBlank="1" showInputMessage="1" showErrorMessage="1" xr:uid="{A94DCD99-F829-4810-8642-146EDFD9637B}">
          <x14:formula1>
            <xm:f>'Group Engine'!$X$202:$X$210</xm:f>
          </x14:formula1>
          <xm:sqref>AK75:AL75</xm:sqref>
        </x14:dataValidation>
        <x14:dataValidation type="list" allowBlank="1" showInputMessage="1" showErrorMessage="1" xr:uid="{A1375A61-6DAF-4B1D-8E91-BE283CDCBDF7}">
          <x14:formula1>
            <xm:f>'Group Basis'!$A$169:$A$184</xm:f>
          </x14:formula1>
          <xm:sqref>B26:C26 G26:H26 L26:M26 Q26:R26 V26:W26 AA26:AB26 AF26:AG26 AK26:AL26</xm:sqref>
        </x14:dataValidation>
        <x14:dataValidation type="list" allowBlank="1" showInputMessage="1" showErrorMessage="1" xr:uid="{5958A7B5-A25A-47A6-ABB6-74DE31348320}">
          <x14:formula1>
            <xm:f>'Group Basis'!$A$187:$A$191</xm:f>
          </x14:formula1>
          <xm:sqref>B20:C20 G20:H20 L20:M20 Q20:R20 V20:W20 AA20:AB20 AF20:AG20 AK20:AL20</xm:sqref>
        </x14:dataValidation>
        <x14:dataValidation type="list" allowBlank="1" showInputMessage="1" showErrorMessage="1" xr:uid="{84DC72C1-B270-49A7-8205-684DBD1C7E6D}">
          <x14:formula1>
            <xm:f>'Group Basis'!$G$179:$G$185</xm:f>
          </x14:formula1>
          <xm:sqref>B28:C28 G28:H28 L28:M28 Q28:R28 V28:W28 AA28:AB28 AF28:AG28 AK28:AL28</xm:sqref>
        </x14:dataValidation>
        <x14:dataValidation type="list" allowBlank="1" showInputMessage="1" showErrorMessage="1" xr:uid="{920C2E06-97C8-45FC-954B-68E0B3468278}">
          <x14:formula1>
            <xm:f>'Group Basis'!$A$208:$A$214</xm:f>
          </x14:formula1>
          <xm:sqref>B53:C53 AK53:AL53 AF53:AG53 AA53:AB53 V53:W53 Q53:R53 L53:M53 G53:H53</xm:sqref>
        </x14:dataValidation>
        <x14:dataValidation type="list" allowBlank="1" showInputMessage="1" showErrorMessage="1" xr:uid="{782F8FC7-5B68-4CAD-9DC4-FBC128C9A9C0}">
          <x14:formula1>
            <xm:f>'Group Basis'!$A$218:$A$229</xm:f>
          </x14:formula1>
          <xm:sqref>B57:C57 AK57:AL57 AF57:AG57 AA57:AB57 V57:W57 Q57:R57 L57:M57 G57:H57</xm:sqref>
        </x14:dataValidation>
        <x14:dataValidation type="list" allowBlank="1" showInputMessage="1" showErrorMessage="1" xr:uid="{476A7873-0889-45F6-ABBB-EB6F0619A361}">
          <x14:formula1>
            <xm:f>'Group Basis'!$A$234:$A$245</xm:f>
          </x14:formula1>
          <xm:sqref>B61:C61 G61:H61 L61:M61 Q61:R61 V61:W61 AA61:AB61 AF61:AG61 AK61:AL61</xm:sqref>
        </x14:dataValidation>
        <x14:dataValidation type="list" allowBlank="1" showInputMessage="1" showErrorMessage="1" xr:uid="{D82926B7-0F5E-4643-A7BB-36E56C760D8C}">
          <x14:formula1>
            <xm:f>'Group Basis'!$A$297:$A$307</xm:f>
          </x14:formula1>
          <xm:sqref>B66:C66 G66:H66 L66:M66 Q66:R66 V66:W66 AA66:AB66 AF66:AG66 AK66:AL66</xm:sqref>
        </x14:dataValidation>
        <x14:dataValidation type="list" allowBlank="1" showInputMessage="1" showErrorMessage="1" xr:uid="{2560B591-5404-4690-A502-AC4352978315}">
          <x14:formula1>
            <xm:f>'Group Basis'!$A$353:$A$358</xm:f>
          </x14:formula1>
          <xm:sqref>B71:C71 G71:H71 L71:M71 Q71:R71 V71:W71 AA71:AB71 AF71:AG71 AK71:AL71</xm:sqref>
        </x14:dataValidation>
        <x14:dataValidation type="list" allowBlank="1" showInputMessage="1" showErrorMessage="1" xr:uid="{C3BCE4C8-675F-4F35-9BE5-6096EB5050CE}">
          <x14:formula1>
            <xm:f>'Group Basis'!$L$105:$L$107</xm:f>
          </x14:formula1>
          <xm:sqref>B80:C80 AK80:AL80 AA80:AB80 V80:W80 Q80:R80 L80:M80 G80:H80 AF80:AG80</xm:sqref>
        </x14:dataValidation>
        <x14:dataValidation type="list" allowBlank="1" showInputMessage="1" showErrorMessage="1" xr:uid="{47646048-9B78-4EAD-ABB1-A79458BCF184}">
          <x14:formula1>
            <xm:f>'Group Engine'!$C$217:$C$222</xm:f>
          </x14:formula1>
          <xm:sqref>B24:C24</xm:sqref>
        </x14:dataValidation>
        <x14:dataValidation type="list" allowBlank="1" showInputMessage="1" showErrorMessage="1" xr:uid="{281545BC-2954-4930-B682-699031D689D1}">
          <x14:formula1>
            <xm:f>'Group Engine'!$F$217:$F$222</xm:f>
          </x14:formula1>
          <xm:sqref>G24:H24</xm:sqref>
        </x14:dataValidation>
        <x14:dataValidation type="list" allowBlank="1" showInputMessage="1" showErrorMessage="1" xr:uid="{7AF6DC37-203D-4F76-8ADA-5034D2F85AA1}">
          <x14:formula1>
            <xm:f>'Group Engine'!$I$217:$I$222</xm:f>
          </x14:formula1>
          <xm:sqref>L24:M24</xm:sqref>
        </x14:dataValidation>
        <x14:dataValidation type="list" allowBlank="1" showInputMessage="1" showErrorMessage="1" xr:uid="{290701CD-5649-4FF1-A794-61D580ECAAE4}">
          <x14:formula1>
            <xm:f>'Group Engine'!$L$217:$L$222</xm:f>
          </x14:formula1>
          <xm:sqref>Q24:R24</xm:sqref>
        </x14:dataValidation>
        <x14:dataValidation type="list" allowBlank="1" showInputMessage="1" showErrorMessage="1" xr:uid="{19FADF36-8C9B-4544-95DF-F0353F376E90}">
          <x14:formula1>
            <xm:f>'Group Engine'!$O$217:$O$222</xm:f>
          </x14:formula1>
          <xm:sqref>V24:W24</xm:sqref>
        </x14:dataValidation>
        <x14:dataValidation type="list" allowBlank="1" showInputMessage="1" showErrorMessage="1" xr:uid="{EE2EF02D-3C78-4076-ABBD-B1B0B6B9D797}">
          <x14:formula1>
            <xm:f>'Group Engine'!$R$217:$R$222</xm:f>
          </x14:formula1>
          <xm:sqref>AA24:AB24</xm:sqref>
        </x14:dataValidation>
        <x14:dataValidation type="list" allowBlank="1" showInputMessage="1" showErrorMessage="1" xr:uid="{EFE1F9FD-FFCE-4005-9534-3453A95060EE}">
          <x14:formula1>
            <xm:f>'Group Engine'!$U$217:$U$222</xm:f>
          </x14:formula1>
          <xm:sqref>AF24:AG24</xm:sqref>
        </x14:dataValidation>
        <x14:dataValidation type="list" allowBlank="1" showInputMessage="1" showErrorMessage="1" xr:uid="{A1BC5D63-A938-440E-ABE5-D55615E3C60C}">
          <x14:formula1>
            <xm:f>'Group Engine'!$X$217:$X$222</xm:f>
          </x14:formula1>
          <xm:sqref>AK24:AL24</xm:sqref>
        </x14:dataValidation>
        <x14:dataValidation type="list" allowBlank="1" showInputMessage="1" showErrorMessage="1" xr:uid="{1028DDA4-0D56-429E-B1C5-55F21A85F8B5}">
          <x14:formula1>
            <xm:f>'Group Basis'!$G$169:$G$176</xm:f>
          </x14:formula1>
          <xm:sqref>B30:C30 G30:H30 L30:M30 Q30:R30 V30:W30 AA30:AB30 AF30:AG30 AK30:AL30</xm:sqref>
        </x14:dataValidation>
        <x14:dataValidation type="list" allowBlank="1" showInputMessage="1" showErrorMessage="1" xr:uid="{3F13CA89-7F2A-4C9B-80DF-C01940871C32}">
          <x14:formula1>
            <xm:f>'Group Engine'!$C$229:$C$238</xm:f>
          </x14:formula1>
          <xm:sqref>B16:C16</xm:sqref>
        </x14:dataValidation>
        <x14:dataValidation type="list" allowBlank="1" showInputMessage="1" showErrorMessage="1" xr:uid="{3B57B90F-7CEC-4C58-9AC7-A7BE16C2D6CD}">
          <x14:formula1>
            <xm:f>'Group Engine'!$F$229:$F$238</xm:f>
          </x14:formula1>
          <xm:sqref>G16:H16</xm:sqref>
        </x14:dataValidation>
        <x14:dataValidation type="list" allowBlank="1" showInputMessage="1" showErrorMessage="1" xr:uid="{9643B3BA-E6A5-440B-8608-4CF7ACCE305C}">
          <x14:formula1>
            <xm:f>'Group Engine'!$I$229:$I$238</xm:f>
          </x14:formula1>
          <xm:sqref>L16:M16</xm:sqref>
        </x14:dataValidation>
        <x14:dataValidation type="list" allowBlank="1" showInputMessage="1" showErrorMessage="1" xr:uid="{112F46E6-4538-4302-9EFC-3F23A5976B37}">
          <x14:formula1>
            <xm:f>'Group Engine'!$L$229:$L$238</xm:f>
          </x14:formula1>
          <xm:sqref>Q16:R16</xm:sqref>
        </x14:dataValidation>
        <x14:dataValidation type="list" allowBlank="1" showInputMessage="1" showErrorMessage="1" xr:uid="{E02BDC15-C21A-498E-A958-BE6F37991B30}">
          <x14:formula1>
            <xm:f>'Group Engine'!$O$229:$O$238</xm:f>
          </x14:formula1>
          <xm:sqref>V16:W16</xm:sqref>
        </x14:dataValidation>
        <x14:dataValidation type="list" allowBlank="1" showInputMessage="1" showErrorMessage="1" xr:uid="{E9EE708B-8596-45AC-9A0F-EC88AE31A1A3}">
          <x14:formula1>
            <xm:f>'Group Engine'!$R$229:$R$238</xm:f>
          </x14:formula1>
          <xm:sqref>AA16:AB16</xm:sqref>
        </x14:dataValidation>
        <x14:dataValidation type="list" allowBlank="1" showInputMessage="1" showErrorMessage="1" xr:uid="{6E78BFB0-CC1D-434A-ADB2-6A19D01F8AC9}">
          <x14:formula1>
            <xm:f>'Group Engine'!$U$229:$U$238</xm:f>
          </x14:formula1>
          <xm:sqref>AF16:AG16</xm:sqref>
        </x14:dataValidation>
        <x14:dataValidation type="list" allowBlank="1" showInputMessage="1" showErrorMessage="1" xr:uid="{8FFA2B5C-105D-4644-A26E-835A141B378C}">
          <x14:formula1>
            <xm:f>'Group Engine'!$X$229:$X$238</xm:f>
          </x14:formula1>
          <xm:sqref>AK16:AL16</xm:sqref>
        </x14:dataValidation>
        <x14:dataValidation type="list" allowBlank="1" showInputMessage="1" showErrorMessage="1" xr:uid="{6355523F-A434-4920-9320-26F56EA898F1}">
          <x14:formula1>
            <xm:f>'Group Engine'!$C$245:$C$246</xm:f>
          </x14:formula1>
          <xm:sqref>B32:C32</xm:sqref>
        </x14:dataValidation>
        <x14:dataValidation type="list" allowBlank="1" showInputMessage="1" showErrorMessage="1" xr:uid="{7EDEA2A0-3E77-4DDE-8059-B353FC032914}">
          <x14:formula1>
            <xm:f>'Group Engine'!$F$245:$F$246</xm:f>
          </x14:formula1>
          <xm:sqref>G32:H32</xm:sqref>
        </x14:dataValidation>
        <x14:dataValidation type="list" allowBlank="1" showInputMessage="1" showErrorMessage="1" xr:uid="{DAA6E84C-FEA3-4B1D-AB11-85CA542E336D}">
          <x14:formula1>
            <xm:f>'Group Engine'!$I$245:$I$246</xm:f>
          </x14:formula1>
          <xm:sqref>L32:M32</xm:sqref>
        </x14:dataValidation>
        <x14:dataValidation type="list" allowBlank="1" showInputMessage="1" showErrorMessage="1" xr:uid="{2D079F60-DDEB-41B5-93CF-5B5F82857B71}">
          <x14:formula1>
            <xm:f>'Group Engine'!$L$245:$L$246</xm:f>
          </x14:formula1>
          <xm:sqref>Q32:R32</xm:sqref>
        </x14:dataValidation>
        <x14:dataValidation type="list" allowBlank="1" showInputMessage="1" showErrorMessage="1" xr:uid="{CE5F8F23-2065-40CD-BCAB-1DBE1507287E}">
          <x14:formula1>
            <xm:f>'Group Engine'!$O$245:$O$246</xm:f>
          </x14:formula1>
          <xm:sqref>V32:W32</xm:sqref>
        </x14:dataValidation>
        <x14:dataValidation type="list" allowBlank="1" showInputMessage="1" showErrorMessage="1" xr:uid="{E759FC4D-AD5B-4B3D-8C97-B3F008EBE911}">
          <x14:formula1>
            <xm:f>'Group Engine'!$R$245:$R$246</xm:f>
          </x14:formula1>
          <xm:sqref>AA32:AB32</xm:sqref>
        </x14:dataValidation>
        <x14:dataValidation type="list" allowBlank="1" showInputMessage="1" showErrorMessage="1" xr:uid="{1062E009-3348-4B6C-862C-F66CBFDDB336}">
          <x14:formula1>
            <xm:f>'Group Engine'!$U$245:$U$246</xm:f>
          </x14:formula1>
          <xm:sqref>AF32:AG32</xm:sqref>
        </x14:dataValidation>
        <x14:dataValidation type="list" allowBlank="1" showInputMessage="1" showErrorMessage="1" xr:uid="{FBBE6E99-99D9-493D-B40E-858707EDDE46}">
          <x14:formula1>
            <xm:f>'Group Engine'!$X$245:$X$246</xm:f>
          </x14:formula1>
          <xm:sqref>AK32:AL32</xm:sqref>
        </x14:dataValidation>
        <x14:dataValidation type="list" allowBlank="1" showInputMessage="1" showErrorMessage="1" xr:uid="{63E69739-FBC0-4509-B64E-F1A7EB5D5012}">
          <x14:formula1>
            <xm:f>'Group Engine'!$C$155:$C$157</xm:f>
          </x14:formula1>
          <xm:sqref>B44:C44</xm:sqref>
        </x14:dataValidation>
        <x14:dataValidation type="list" allowBlank="1" showInputMessage="1" showErrorMessage="1" xr:uid="{B617C11F-1DFB-44D0-ACFF-5915B762C3F0}">
          <x14:formula1>
            <xm:f>'Group Engine'!$F$155:$F$157</xm:f>
          </x14:formula1>
          <xm:sqref>G44:H44</xm:sqref>
        </x14:dataValidation>
        <x14:dataValidation type="list" allowBlank="1" showInputMessage="1" showErrorMessage="1" xr:uid="{413E5038-7234-4350-9F73-2E2E37FCC5D9}">
          <x14:formula1>
            <xm:f>'Group Engine'!$I$155:$I$157</xm:f>
          </x14:formula1>
          <xm:sqref>L44:M44</xm:sqref>
        </x14:dataValidation>
        <x14:dataValidation type="list" allowBlank="1" showInputMessage="1" showErrorMessage="1" xr:uid="{DE48554B-D76C-4A2D-95A3-3583DB05F8F0}">
          <x14:formula1>
            <xm:f>'Group Engine'!$L$155:$L$157</xm:f>
          </x14:formula1>
          <xm:sqref>Q44:R44</xm:sqref>
        </x14:dataValidation>
        <x14:dataValidation type="list" allowBlank="1" showInputMessage="1" showErrorMessage="1" xr:uid="{2D0EB0AE-62AD-42A5-885E-140850EE087F}">
          <x14:formula1>
            <xm:f>'Group Engine'!$O$155:$O$157</xm:f>
          </x14:formula1>
          <xm:sqref>V44:W44</xm:sqref>
        </x14:dataValidation>
        <x14:dataValidation type="list" allowBlank="1" showInputMessage="1" showErrorMessage="1" xr:uid="{2E12DE5F-B346-42FF-BE17-DC95FB08DDE3}">
          <x14:formula1>
            <xm:f>'Group Engine'!$R$155:$R$157</xm:f>
          </x14:formula1>
          <xm:sqref>AA44:AB44</xm:sqref>
        </x14:dataValidation>
        <x14:dataValidation type="list" allowBlank="1" showInputMessage="1" showErrorMessage="1" xr:uid="{52C110B6-F698-45F2-AF6A-42C46B7EAF21}">
          <x14:formula1>
            <xm:f>'Group Engine'!$U$155:$U$157</xm:f>
          </x14:formula1>
          <xm:sqref>AF44:AG44</xm:sqref>
        </x14:dataValidation>
        <x14:dataValidation type="list" allowBlank="1" showInputMessage="1" showErrorMessage="1" xr:uid="{4459AED2-7628-48EA-8AC8-74324D014017}">
          <x14:formula1>
            <xm:f>'Group Engine'!$X$155:$X$157</xm:f>
          </x14:formula1>
          <xm:sqref>AK44:AL44</xm:sqref>
        </x14:dataValidation>
        <x14:dataValidation type="list" allowBlank="1" showInputMessage="1" showErrorMessage="1" xr:uid="{35817413-0D1D-4223-8AF6-630F61B71A1B}">
          <x14:formula1>
            <xm:f>'Group Engine'!$C$179:$C$181</xm:f>
          </x14:formula1>
          <xm:sqref>B49:C49</xm:sqref>
        </x14:dataValidation>
        <x14:dataValidation type="list" allowBlank="1" showInputMessage="1" showErrorMessage="1" xr:uid="{FE6A200A-076B-498D-A281-FE00E1026D81}">
          <x14:formula1>
            <xm:f>'Group Engine'!$F$179:$F$181</xm:f>
          </x14:formula1>
          <xm:sqref>G49:H49</xm:sqref>
        </x14:dataValidation>
        <x14:dataValidation type="list" allowBlank="1" showInputMessage="1" showErrorMessage="1" xr:uid="{E1DF8FEC-9532-43D1-8286-30FA6D217892}">
          <x14:formula1>
            <xm:f>'Group Engine'!$I$179:$I$181</xm:f>
          </x14:formula1>
          <xm:sqref>L49:M49</xm:sqref>
        </x14:dataValidation>
        <x14:dataValidation type="list" allowBlank="1" showInputMessage="1" showErrorMessage="1" xr:uid="{768B59DA-65DE-4C0E-AC20-54D9BD012BB9}">
          <x14:formula1>
            <xm:f>'Group Engine'!$L$179:$L$181</xm:f>
          </x14:formula1>
          <xm:sqref>Q49:R49</xm:sqref>
        </x14:dataValidation>
        <x14:dataValidation type="list" allowBlank="1" showInputMessage="1" showErrorMessage="1" xr:uid="{DA5B555D-706E-4B17-AF0A-3220B5E22DD2}">
          <x14:formula1>
            <xm:f>'Group Engine'!$O$179:$O$181</xm:f>
          </x14:formula1>
          <xm:sqref>V49:W49</xm:sqref>
        </x14:dataValidation>
        <x14:dataValidation type="list" allowBlank="1" showInputMessage="1" showErrorMessage="1" xr:uid="{278640BA-02C9-41B7-B884-B3BE8ED955C5}">
          <x14:formula1>
            <xm:f>'Group Engine'!$R$179:$R$181</xm:f>
          </x14:formula1>
          <xm:sqref>AA49:AB49</xm:sqref>
        </x14:dataValidation>
        <x14:dataValidation type="list" allowBlank="1" showInputMessage="1" showErrorMessage="1" xr:uid="{4868F9DB-8685-43B5-A818-6C0E86082FDC}">
          <x14:formula1>
            <xm:f>'Group Engine'!$U$179:$U$181</xm:f>
          </x14:formula1>
          <xm:sqref>AF49:AG49</xm:sqref>
        </x14:dataValidation>
        <x14:dataValidation type="list" allowBlank="1" showInputMessage="1" showErrorMessage="1" xr:uid="{965C6BA0-90C8-494C-AC70-4DD46AD88B32}">
          <x14:formula1>
            <xm:f>'Group Engine'!$X$179:$X$181</xm:f>
          </x14:formula1>
          <xm:sqref>AK49:AL49</xm:sqref>
        </x14:dataValidation>
        <x14:dataValidation type="list" allowBlank="1" showInputMessage="1" showErrorMessage="1" xr:uid="{319D0381-2AB4-46D8-ABC1-DDA410A52E85}">
          <x14:formula1>
            <xm:f>'Group Engine'!C$92:C$100</xm:f>
          </x14:formula1>
          <xm:sqref>B38:C38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P125"/>
  <sheetViews>
    <sheetView showGridLines="0" topLeftCell="A57" zoomScaleNormal="100" workbookViewId="0">
      <selection activeCell="B25" sqref="B25:C26"/>
    </sheetView>
  </sheetViews>
  <sheetFormatPr defaultColWidth="0" defaultRowHeight="15" zeroHeight="1" outlineLevelRow="1" x14ac:dyDescent="0.25"/>
  <cols>
    <col min="1" max="1" width="57" style="433" customWidth="1"/>
    <col min="2" max="2" width="29.42578125" style="433" customWidth="1"/>
    <col min="3" max="3" width="29.28515625" style="433" customWidth="1"/>
    <col min="4" max="4" width="21.42578125" style="433" customWidth="1"/>
    <col min="5" max="16" width="12.28515625" style="433" hidden="1" customWidth="1"/>
    <col min="17" max="16384" width="9.140625" style="433" hidden="1"/>
  </cols>
  <sheetData>
    <row r="1" spans="1:4" ht="15.75" thickBot="1" x14ac:dyDescent="0.3"/>
    <row r="2" spans="1:4" x14ac:dyDescent="0.25">
      <c r="A2" s="1365" t="str">
        <f>IF(OR('General Information'!C26&lt;&gt;"",'General Information'!C33&lt;&gt;"",'General Information'!C38&lt;&gt;""),"Claims input error - see 'General Information' sheet",IF(OR(AND(D89="Y",B89="Y",C89="N"),AND(D89="N",B89="Y",C89="Y")),"Refer to RGA",""))</f>
        <v/>
      </c>
      <c r="B2" s="1366"/>
      <c r="C2" s="1367"/>
    </row>
    <row r="3" spans="1:4" ht="15.75" thickBot="1" x14ac:dyDescent="0.3">
      <c r="A3" s="1368"/>
      <c r="B3" s="1369"/>
      <c r="C3" s="1370"/>
    </row>
    <row r="4" spans="1:4" x14ac:dyDescent="0.25"/>
    <row r="5" spans="1:4" ht="15.75" customHeight="1" x14ac:dyDescent="0.25">
      <c r="A5" s="451" t="s">
        <v>81</v>
      </c>
      <c r="B5" s="1383" t="str">
        <f>VLOOKUP('Experience Rating'!H8,'Experience Rating'!$F$7:$G$9,2,0)</f>
        <v>Non-QIC Renewal</v>
      </c>
      <c r="C5" s="1383"/>
      <c r="D5" s="452"/>
    </row>
    <row r="6" spans="1:4" x14ac:dyDescent="0.25">
      <c r="A6" s="451" t="s">
        <v>703</v>
      </c>
      <c r="B6" s="1383" t="str">
        <f>YEAR('General Information'!D12)&amp;" - "&amp;YEAR('General Information'!D12)+1</f>
        <v>1900 - 1901</v>
      </c>
      <c r="C6" s="1383"/>
    </row>
    <row r="7" spans="1:4" x14ac:dyDescent="0.25">
      <c r="A7" s="451" t="s">
        <v>745</v>
      </c>
      <c r="B7" s="1372">
        <f>B9*B21/12</f>
        <v>0</v>
      </c>
      <c r="C7" s="1372"/>
    </row>
    <row r="8" spans="1:4" x14ac:dyDescent="0.25">
      <c r="A8" s="451" t="str">
        <f>"Grp Average Expiring Net Rate Per Member - "&amp;'Experience Rating'!G8</f>
        <v>Grp Average Expiring Net Rate Per Member - QIC Renewal</v>
      </c>
      <c r="B8" s="1385">
        <f>B7/B38</f>
        <v>0</v>
      </c>
      <c r="C8" s="1385"/>
    </row>
    <row r="9" spans="1:4" x14ac:dyDescent="0.25">
      <c r="A9" s="451" t="s">
        <v>744</v>
      </c>
      <c r="B9" s="1372"/>
      <c r="C9" s="1372"/>
    </row>
    <row r="10" spans="1:4" x14ac:dyDescent="0.25">
      <c r="A10" s="451" t="s">
        <v>702</v>
      </c>
      <c r="B10" s="1384">
        <f>B52</f>
        <v>0</v>
      </c>
      <c r="C10" s="1384"/>
    </row>
    <row r="11" spans="1:4" x14ac:dyDescent="0.25">
      <c r="A11" s="451" t="str">
        <f>"Expiring Year NLR - "&amp;'Experience Rating'!G8</f>
        <v>Expiring Year NLR - QIC Renewal</v>
      </c>
      <c r="B11" s="1387" t="str">
        <f>IF('Experience Rating'!H8=1,"This is a New Scheme",IFERROR((B25+B26+B44+B49)/B7,"Not Available"))</f>
        <v>Not Available</v>
      </c>
      <c r="C11" s="1387"/>
    </row>
    <row r="12" spans="1:4" x14ac:dyDescent="0.25"/>
    <row r="13" spans="1:4" x14ac:dyDescent="0.25">
      <c r="A13" s="516" t="s">
        <v>723</v>
      </c>
      <c r="B13" s="1378">
        <v>1</v>
      </c>
      <c r="C13" s="1379"/>
    </row>
    <row r="14" spans="1:4" ht="30" x14ac:dyDescent="0.25">
      <c r="A14" s="515" t="s">
        <v>720</v>
      </c>
      <c r="B14" s="1380" t="s">
        <v>126</v>
      </c>
      <c r="C14" s="1381"/>
    </row>
    <row r="15" spans="1:4" x14ac:dyDescent="0.25"/>
    <row r="16" spans="1:4" x14ac:dyDescent="0.25">
      <c r="A16" s="1371" t="s">
        <v>708</v>
      </c>
      <c r="B16" s="1371"/>
      <c r="C16" s="1371"/>
    </row>
    <row r="17" spans="1:3" x14ac:dyDescent="0.25">
      <c r="A17" s="451" t="s">
        <v>709</v>
      </c>
      <c r="B17" s="1382" t="s">
        <v>707</v>
      </c>
      <c r="C17" s="1382"/>
    </row>
    <row r="18" spans="1:3" x14ac:dyDescent="0.25">
      <c r="A18" s="451" t="s">
        <v>705</v>
      </c>
      <c r="B18" s="1382"/>
      <c r="C18" s="1382"/>
    </row>
    <row r="19" spans="1:3" x14ac:dyDescent="0.25">
      <c r="A19" s="451" t="s">
        <v>706</v>
      </c>
      <c r="B19" s="1388">
        <f>1-B18</f>
        <v>1</v>
      </c>
      <c r="C19" s="1388"/>
    </row>
    <row r="20" spans="1:3" x14ac:dyDescent="0.25"/>
    <row r="21" spans="1:3" x14ac:dyDescent="0.25">
      <c r="A21" s="451" t="s">
        <v>356</v>
      </c>
      <c r="B21" s="1386">
        <f>'General Information'!D31</f>
        <v>0</v>
      </c>
      <c r="C21" s="1386"/>
    </row>
    <row r="22" spans="1:3" x14ac:dyDescent="0.25">
      <c r="A22" s="451" t="s">
        <v>183</v>
      </c>
      <c r="B22" s="1375" t="s">
        <v>185</v>
      </c>
      <c r="C22" s="1375"/>
    </row>
    <row r="23" spans="1:3" x14ac:dyDescent="0.25">
      <c r="A23" s="451" t="s">
        <v>374</v>
      </c>
      <c r="B23" s="1375" t="s">
        <v>127</v>
      </c>
      <c r="C23" s="1375"/>
    </row>
    <row r="24" spans="1:3" x14ac:dyDescent="0.25">
      <c r="B24" s="452"/>
      <c r="C24" s="452"/>
    </row>
    <row r="25" spans="1:3" x14ac:dyDescent="0.25">
      <c r="A25" s="451" t="str">
        <f>IF(AND('Experience Rating'!$B$15=1,'Experience Rating'!$B$20=1),"Claims Settled + OS + IBNR",IF(AND('Experience Rating'!$B$15=1,'Experience Rating'!$B$20=2),"Claims Settled + OS","Claims Settled only"))</f>
        <v>Claims Settled only</v>
      </c>
      <c r="B25" s="1372"/>
      <c r="C25" s="1372"/>
    </row>
    <row r="26" spans="1:3" x14ac:dyDescent="0.25">
      <c r="A26" s="451" t="str">
        <f>IF(AND('Experience Rating'!$B$15=2,'Experience Rating'!$B$20=1),"Outstanding + IBNR",IF(AND('Experience Rating'!$B$15=2,'Experience Rating'!$B$20=2),"Outstanding Claims",""))</f>
        <v>Outstanding Claims</v>
      </c>
      <c r="B26" s="1372"/>
      <c r="C26" s="1372"/>
    </row>
    <row r="27" spans="1:3" x14ac:dyDescent="0.25">
      <c r="A27" s="451" t="str">
        <f>IF('Experience Rating'!$B$20=1,"","IBNR")</f>
        <v>IBNR</v>
      </c>
      <c r="B27" s="1372"/>
      <c r="C27" s="1372"/>
    </row>
    <row r="28" spans="1:3" x14ac:dyDescent="0.25">
      <c r="B28" s="452"/>
      <c r="C28" s="452"/>
    </row>
    <row r="29" spans="1:3" x14ac:dyDescent="0.25">
      <c r="A29" s="451" t="str">
        <f>IF(AND('Experience Rating'!$B$15=1,'Experience Rating'!$B$20=1),"IP Settled + OS + IBNR",IF(AND('Experience Rating'!$B$15=1,'Experience Rating'!$B$20=2),"IP Settled + OS","IP Settled only"))</f>
        <v>IP Settled only</v>
      </c>
      <c r="B29" s="1373">
        <f>$B$18*B25</f>
        <v>0</v>
      </c>
      <c r="C29" s="1373"/>
    </row>
    <row r="30" spans="1:3" x14ac:dyDescent="0.25">
      <c r="A30" s="451" t="str">
        <f>IF(AND('Experience Rating'!$B$15=2,'Experience Rating'!$B$20=1),"IP Outstanding + IBNR",IF(AND('Experience Rating'!$B$15=2,'Experience Rating'!$B$20=2),"IP Outstanding Claims",""))</f>
        <v>IP Outstanding Claims</v>
      </c>
      <c r="B30" s="1373">
        <f>$B$18*B26</f>
        <v>0</v>
      </c>
      <c r="C30" s="1373"/>
    </row>
    <row r="31" spans="1:3" x14ac:dyDescent="0.25">
      <c r="A31" s="526"/>
      <c r="B31" s="1377"/>
      <c r="C31" s="1377"/>
    </row>
    <row r="32" spans="1:3" x14ac:dyDescent="0.25">
      <c r="A32" s="451" t="str">
        <f>IF(AND('Experience Rating'!$B$15=1,'Experience Rating'!$B$20=1),"OP Settled + OS + IBNR",IF(AND('Experience Rating'!$B$15=1,'Experience Rating'!$B$20=2),"OP Settled + OS","OP Settled only"))</f>
        <v>OP Settled only</v>
      </c>
      <c r="B32" s="1373">
        <f>B25-B29</f>
        <v>0</v>
      </c>
      <c r="C32" s="1373"/>
    </row>
    <row r="33" spans="1:3" x14ac:dyDescent="0.25">
      <c r="A33" s="451" t="str">
        <f>IF(AND('Experience Rating'!$B$15=2,'Experience Rating'!$B$20=1),"OP Outstanding + IBNR",IF(AND('Experience Rating'!$B$15=2,'Experience Rating'!$B$20=2),"OP Outstanding Claims",""))</f>
        <v>OP Outstanding Claims</v>
      </c>
      <c r="B33" s="1373">
        <f>B26-B30</f>
        <v>0</v>
      </c>
      <c r="C33" s="1373"/>
    </row>
    <row r="34" spans="1:3" x14ac:dyDescent="0.25">
      <c r="A34" s="526"/>
      <c r="B34" s="1374"/>
      <c r="C34" s="1374"/>
    </row>
    <row r="35" spans="1:3" x14ac:dyDescent="0.25"/>
    <row r="36" spans="1:3" x14ac:dyDescent="0.25">
      <c r="A36" s="451" t="s">
        <v>180</v>
      </c>
      <c r="B36" s="1375">
        <f>90%*n_lives</f>
        <v>9.9</v>
      </c>
      <c r="C36" s="1375"/>
    </row>
    <row r="37" spans="1:3" x14ac:dyDescent="0.25">
      <c r="A37" s="451" t="s">
        <v>181</v>
      </c>
      <c r="B37" s="1375">
        <f>n_lives</f>
        <v>11</v>
      </c>
      <c r="C37" s="1375"/>
    </row>
    <row r="38" spans="1:3" x14ac:dyDescent="0.25">
      <c r="A38" s="451" t="s">
        <v>710</v>
      </c>
      <c r="B38" s="1376">
        <f>AVERAGE(B36:C37)</f>
        <v>10.45</v>
      </c>
      <c r="C38" s="1376"/>
    </row>
    <row r="39" spans="1:3" x14ac:dyDescent="0.25">
      <c r="A39" s="1391" t="str">
        <f>IF(AND('Experience Rating'!H8=2,'Experience Rating'!H4=1),"Please use TRR to calculate : Annualized Exposure = Exposed Population X 12/(Months of claims experience)","")</f>
        <v/>
      </c>
      <c r="B39" s="1391"/>
      <c r="C39" s="1391"/>
    </row>
    <row r="40" spans="1:3" x14ac:dyDescent="0.25">
      <c r="A40" s="1371" t="s">
        <v>711</v>
      </c>
      <c r="B40" s="1371"/>
      <c r="C40" s="1371"/>
    </row>
    <row r="41" spans="1:3" x14ac:dyDescent="0.25">
      <c r="A41" s="453" t="s">
        <v>188</v>
      </c>
    </row>
    <row r="42" spans="1:3" x14ac:dyDescent="0.25">
      <c r="A42" s="451" t="str">
        <f>IF(AND('Experience Rating'!$B$15=1,'Experience Rating'!$B$20=1),"IP Settled + OS + IBNR",IF(AND('Experience Rating'!$B$15=1,'Experience Rating'!$B$20=2),"IP Settled + OS","IP Settled only"))</f>
        <v>IP Settled only</v>
      </c>
      <c r="B42" s="525">
        <f>(B29-SUM(B65:B71))*(1-C42)+SUM(D65:D71)</f>
        <v>0</v>
      </c>
      <c r="C42" s="533">
        <v>0</v>
      </c>
    </row>
    <row r="43" spans="1:3" x14ac:dyDescent="0.25">
      <c r="A43" s="451" t="str">
        <f>IF(AND('Experience Rating'!$B$15=2,'Experience Rating'!$B$20=1),"IP Outstanding + IBNR",IF(AND('Experience Rating'!$B$15=2,'Experience Rating'!$B$20=2),"IP Outstanding Claims",""))</f>
        <v>IP Outstanding Claims</v>
      </c>
      <c r="B43" s="525">
        <f>B30*(1-C43)</f>
        <v>0</v>
      </c>
      <c r="C43" s="533">
        <v>0</v>
      </c>
    </row>
    <row r="44" spans="1:3" x14ac:dyDescent="0.25">
      <c r="A44" s="451" t="s">
        <v>186</v>
      </c>
      <c r="B44" s="525">
        <f>IF('Experience Rating'!H4=2,0,SUM(B42:B43)*IBNR_IP/Elapsed_Period__days)*IF('Experience Rating'!$B$20=1,0.5,1)</f>
        <v>0</v>
      </c>
      <c r="C44" s="459"/>
    </row>
    <row r="45" spans="1:3" x14ac:dyDescent="0.25">
      <c r="B45" s="493"/>
      <c r="C45" s="459"/>
    </row>
    <row r="46" spans="1:3" x14ac:dyDescent="0.25">
      <c r="A46" s="453" t="s">
        <v>187</v>
      </c>
      <c r="B46" s="493"/>
      <c r="C46" s="459"/>
    </row>
    <row r="47" spans="1:3" x14ac:dyDescent="0.25">
      <c r="A47" s="451" t="str">
        <f>IF(AND('Experience Rating'!$B$15=1,'Experience Rating'!$B$20=1),"OP Settled + OS + IBNR",IF(AND('Experience Rating'!$B$15=1,'Experience Rating'!$B$20=2),"OP Settled + OS","OP Settled only"))</f>
        <v>OP Settled only</v>
      </c>
      <c r="B47" s="525">
        <f>B32*(1-C47)</f>
        <v>0</v>
      </c>
      <c r="C47" s="533">
        <v>0</v>
      </c>
    </row>
    <row r="48" spans="1:3" x14ac:dyDescent="0.25">
      <c r="A48" s="451" t="str">
        <f>IF(AND('Experience Rating'!$B$15=2,'Experience Rating'!$B$20=1),"OP Outstanding + IBNR",IF(AND('Experience Rating'!$B$15=2,'Experience Rating'!$B$20=2),"OP Outstanding Claims",""))</f>
        <v>OP Outstanding Claims</v>
      </c>
      <c r="B48" s="525">
        <f>B33*(1-C48)</f>
        <v>0</v>
      </c>
      <c r="C48" s="533">
        <v>0</v>
      </c>
    </row>
    <row r="49" spans="1:4" x14ac:dyDescent="0.25">
      <c r="A49" s="451" t="s">
        <v>186</v>
      </c>
      <c r="B49" s="525">
        <f>IF('Experience Rating'!H4=2,0,SUM(B47:B48)*IBNR_OP/Elapsed_Period__days)*IF('Experience Rating'!$B$20=1,0.5,1)</f>
        <v>0</v>
      </c>
    </row>
    <row r="50" spans="1:4" x14ac:dyDescent="0.25">
      <c r="B50" s="493"/>
    </row>
    <row r="51" spans="1:4" x14ac:dyDescent="0.25">
      <c r="A51" s="453" t="s">
        <v>189</v>
      </c>
      <c r="B51" s="493"/>
    </row>
    <row r="52" spans="1:4" x14ac:dyDescent="0.25">
      <c r="A52" s="451" t="s">
        <v>190</v>
      </c>
      <c r="B52" s="494">
        <f>IFERROR(SUM(B47:B49,B42:B44)*365/'General Information'!$D$30,0)</f>
        <v>0</v>
      </c>
    </row>
    <row r="53" spans="1:4" x14ac:dyDescent="0.25">
      <c r="A53" s="451" t="s">
        <v>199</v>
      </c>
      <c r="B53" s="540">
        <f>1</f>
        <v>1</v>
      </c>
    </row>
    <row r="54" spans="1:4" x14ac:dyDescent="0.25">
      <c r="A54" s="451" t="s">
        <v>761</v>
      </c>
      <c r="B54" s="494">
        <f>B52*Covid_Factor*Inflation_Factor^B53</f>
        <v>0</v>
      </c>
    </row>
    <row r="55" spans="1:4" x14ac:dyDescent="0.25">
      <c r="B55" s="493"/>
    </row>
    <row r="56" spans="1:4" x14ac:dyDescent="0.25">
      <c r="A56" s="451" t="s">
        <v>704</v>
      </c>
      <c r="B56" s="462">
        <f>'Member Data'!AG23</f>
        <v>11</v>
      </c>
    </row>
    <row r="57" spans="1:4" x14ac:dyDescent="0.25">
      <c r="B57" s="493"/>
    </row>
    <row r="58" spans="1:4" x14ac:dyDescent="0.25">
      <c r="A58" s="451" t="s">
        <v>770</v>
      </c>
      <c r="B58" s="494">
        <f>IFERROR(B52/B38,0)</f>
        <v>0</v>
      </c>
    </row>
    <row r="59" spans="1:4" x14ac:dyDescent="0.25">
      <c r="A59" s="451" t="s">
        <v>771</v>
      </c>
      <c r="B59" s="524">
        <f>IFERROR(B54/B38,0)</f>
        <v>0</v>
      </c>
    </row>
    <row r="60" spans="1:4" x14ac:dyDescent="0.25">
      <c r="A60" s="451" t="s">
        <v>765</v>
      </c>
      <c r="B60" s="524">
        <f>IFERROR(IF('Experience Rating'!$H$4=2,0,((SUM(B42:B44,B47:B49)*Covid_Factor*Inflation_Factor^B53)/TNLR)/(B38*B21/12)),0)</f>
        <v>0</v>
      </c>
    </row>
    <row r="61" spans="1:4" x14ac:dyDescent="0.25"/>
    <row r="62" spans="1:4" x14ac:dyDescent="0.25">
      <c r="A62" s="1371" t="str">
        <f>"Adjustment or Load to High Value / Potential Claim of "&amp;B6</f>
        <v>Adjustment or Load to High Value / Potential Claim of 1900 - 1901</v>
      </c>
      <c r="B62" s="1371"/>
      <c r="C62" s="1371"/>
    </row>
    <row r="63" spans="1:4" x14ac:dyDescent="0.25"/>
    <row r="64" spans="1:4" s="461" customFormat="1" ht="30" x14ac:dyDescent="0.25">
      <c r="A64" s="624" t="s">
        <v>715</v>
      </c>
      <c r="B64" s="624" t="s">
        <v>713</v>
      </c>
      <c r="C64" s="624" t="s">
        <v>716</v>
      </c>
      <c r="D64" s="624" t="s">
        <v>714</v>
      </c>
    </row>
    <row r="65" spans="1:4" x14ac:dyDescent="0.25">
      <c r="A65" s="471"/>
      <c r="B65" s="534"/>
      <c r="C65" s="535"/>
      <c r="D65" s="462">
        <f>(B65*(1-$C$42))*(1-C65)</f>
        <v>0</v>
      </c>
    </row>
    <row r="66" spans="1:4" x14ac:dyDescent="0.25">
      <c r="A66" s="471"/>
      <c r="B66" s="534"/>
      <c r="C66" s="535"/>
      <c r="D66" s="462">
        <f t="shared" ref="D66:D71" si="0">(B66*(1-$C$42))*(1-C66)</f>
        <v>0</v>
      </c>
    </row>
    <row r="67" spans="1:4" x14ac:dyDescent="0.25">
      <c r="A67" s="471"/>
      <c r="B67" s="534"/>
      <c r="C67" s="535"/>
      <c r="D67" s="462">
        <f t="shared" si="0"/>
        <v>0</v>
      </c>
    </row>
    <row r="68" spans="1:4" x14ac:dyDescent="0.25">
      <c r="A68" s="471"/>
      <c r="B68" s="534"/>
      <c r="C68" s="535"/>
      <c r="D68" s="462">
        <f t="shared" si="0"/>
        <v>0</v>
      </c>
    </row>
    <row r="69" spans="1:4" x14ac:dyDescent="0.25">
      <c r="A69" s="471"/>
      <c r="B69" s="534"/>
      <c r="C69" s="535"/>
      <c r="D69" s="462">
        <f t="shared" si="0"/>
        <v>0</v>
      </c>
    </row>
    <row r="70" spans="1:4" x14ac:dyDescent="0.25">
      <c r="A70" s="471"/>
      <c r="B70" s="534"/>
      <c r="C70" s="535"/>
      <c r="D70" s="462">
        <f t="shared" si="0"/>
        <v>0</v>
      </c>
    </row>
    <row r="71" spans="1:4" x14ac:dyDescent="0.25">
      <c r="A71" s="471"/>
      <c r="B71" s="534"/>
      <c r="C71" s="535"/>
      <c r="D71" s="462">
        <f t="shared" si="0"/>
        <v>0</v>
      </c>
    </row>
    <row r="72" spans="1:4" x14ac:dyDescent="0.25"/>
    <row r="73" spans="1:4" x14ac:dyDescent="0.25">
      <c r="A73" s="453" t="s">
        <v>353</v>
      </c>
    </row>
    <row r="74" spans="1:4" x14ac:dyDescent="0.25">
      <c r="A74" s="451" t="s">
        <v>354</v>
      </c>
      <c r="B74" s="495">
        <f>B60*n_lives</f>
        <v>0</v>
      </c>
      <c r="C74" s="1389" t="str">
        <f>IF(AND(B11&lt;=85%,'Experience Rating'!H8=2),"If the Loss Ratio for the whole original policy is 85% or less, renewal at expiring terms is approved.","")</f>
        <v/>
      </c>
      <c r="D74" s="1390"/>
    </row>
    <row r="75" spans="1:4" x14ac:dyDescent="0.25">
      <c r="A75" s="451" t="s">
        <v>355</v>
      </c>
      <c r="B75" s="495">
        <f ca="1">'Benefit Selection - Group'!B108</f>
        <v>28804.852567567563</v>
      </c>
    </row>
    <row r="76" spans="1:4" x14ac:dyDescent="0.25"/>
    <row r="77" spans="1:4" x14ac:dyDescent="0.25">
      <c r="A77" s="451" t="s">
        <v>353</v>
      </c>
      <c r="B77" s="595" t="str">
        <f>IF(B74=0,"100% Book Rated ",IFERROR(IF(B74/B75&gt;=1,ROUNDUP(((B74/B75)-1),2)*100&amp;"%"&amp;" higher than treaty rates",ROUNDUP((1-(B74/B75)),2)*100&amp;"%"&amp;" lower than treaty rates"),0))</f>
        <v xml:space="preserve">100% Book Rated </v>
      </c>
    </row>
    <row r="78" spans="1:4" x14ac:dyDescent="0.25"/>
    <row r="79" spans="1:4" x14ac:dyDescent="0.25">
      <c r="A79" s="453" t="s">
        <v>648</v>
      </c>
    </row>
    <row r="80" spans="1:4" x14ac:dyDescent="0.25"/>
    <row r="81" spans="1:5" x14ac:dyDescent="0.25">
      <c r="A81" s="451" t="s">
        <v>649</v>
      </c>
      <c r="B81" s="496" t="str">
        <f>IFERROR(IF('Experience Rating'!B8=2,('Experience Rating'!#REF!/(B9/B38))-1,0),"Not Calculated")</f>
        <v>Not Calculated</v>
      </c>
    </row>
    <row r="82" spans="1:5" x14ac:dyDescent="0.25"/>
    <row r="83" spans="1:5" hidden="1" outlineLevel="1" x14ac:dyDescent="0.25">
      <c r="A83" s="1371" t="s">
        <v>717</v>
      </c>
      <c r="B83" s="1371"/>
      <c r="C83" s="1371"/>
      <c r="D83" s="1371"/>
    </row>
    <row r="84" spans="1:5" hidden="1" outlineLevel="1" x14ac:dyDescent="0.25"/>
    <row r="85" spans="1:5" hidden="1" outlineLevel="1" x14ac:dyDescent="0.25">
      <c r="A85" s="463" t="s">
        <v>719</v>
      </c>
      <c r="B85" s="456" t="str">
        <f>(YEAR('General Information'!$D$14)-3)&amp;" - "&amp;(YEAR('General Information'!$D$14)-2)</f>
        <v>2022 - 2023</v>
      </c>
      <c r="C85" s="456" t="str">
        <f>(YEAR('General Information'!$D$14)-2)&amp;" - "&amp;(YEAR('General Information'!$D$14)-1)</f>
        <v>2023 - 2024</v>
      </c>
      <c r="D85" s="456" t="str">
        <f>(YEAR('General Information'!$D$14)-1)&amp;" - "&amp;(YEAR('General Information'!$D$14))</f>
        <v>2024 - 2025</v>
      </c>
    </row>
    <row r="86" spans="1:5" hidden="1" outlineLevel="1" x14ac:dyDescent="0.25">
      <c r="A86" s="463" t="s">
        <v>718</v>
      </c>
      <c r="B86" s="471"/>
      <c r="C86" s="471"/>
      <c r="D86" s="536">
        <f>B9</f>
        <v>0</v>
      </c>
    </row>
    <row r="87" spans="1:5" hidden="1" outlineLevel="1" x14ac:dyDescent="0.25"/>
    <row r="88" spans="1:5" hidden="1" outlineLevel="1" x14ac:dyDescent="0.25">
      <c r="A88" s="463" t="s">
        <v>719</v>
      </c>
      <c r="B88" s="456" t="str">
        <f>(YEAR('General Information'!$D$14)-3)&amp;" - "&amp;(YEAR('General Information'!$D$14)-2)</f>
        <v>2022 - 2023</v>
      </c>
      <c r="C88" s="456" t="str">
        <f>(YEAR('General Information'!$D$14)-2)&amp;" - "&amp;(YEAR('General Information'!$D$14)-1)</f>
        <v>2023 - 2024</v>
      </c>
      <c r="D88" s="456" t="str">
        <f>(YEAR('General Information'!$D$14)-1)&amp;" - "&amp;(YEAR('General Information'!$D$14))</f>
        <v>2024 - 2025</v>
      </c>
    </row>
    <row r="89" spans="1:5" hidden="1" outlineLevel="1" x14ac:dyDescent="0.25">
      <c r="A89" s="457" t="s">
        <v>191</v>
      </c>
      <c r="B89" s="527" t="str">
        <f>IF('Experience Rating'!H8=1,"N",IF($B$13=3,"Y","N"))</f>
        <v>N</v>
      </c>
      <c r="C89" s="527" t="str">
        <f>IF('Experience Rating'!H8=1,"N",IF($B$13&gt;=2,"Y","N"))</f>
        <v>N</v>
      </c>
      <c r="D89" s="527" t="str">
        <f>IF('Experience Rating'!H8=1,"N",IF($B$13&gt;=1,"Y","N"))</f>
        <v>Y</v>
      </c>
      <c r="E89" s="458"/>
    </row>
    <row r="90" spans="1:5" hidden="1" outlineLevel="1" x14ac:dyDescent="0.25">
      <c r="A90" s="463" t="s">
        <v>721</v>
      </c>
      <c r="B90" s="528">
        <f>DATE((YEAR('General Information'!$D$14)-3),MONTH(D90),DAY(D90))</f>
        <v>44561</v>
      </c>
      <c r="C90" s="528">
        <f>DATE((YEAR('General Information'!$D$14)-2),MONTH(D90),DAY(D90))</f>
        <v>44926</v>
      </c>
      <c r="D90" s="528">
        <f>'General Information'!D12</f>
        <v>0</v>
      </c>
    </row>
    <row r="91" spans="1:5" hidden="1" outlineLevel="1" x14ac:dyDescent="0.25">
      <c r="A91" s="463" t="s">
        <v>722</v>
      </c>
      <c r="B91" s="465">
        <f>B90+350</f>
        <v>44911</v>
      </c>
      <c r="C91" s="465">
        <f>C90+350</f>
        <v>45276</v>
      </c>
      <c r="D91" s="528">
        <f>'General Information'!D28</f>
        <v>0</v>
      </c>
    </row>
    <row r="92" spans="1:5" hidden="1" outlineLevel="1" x14ac:dyDescent="0.25"/>
    <row r="93" spans="1:5" hidden="1" outlineLevel="1" x14ac:dyDescent="0.25">
      <c r="A93" s="451" t="s">
        <v>180</v>
      </c>
      <c r="B93" s="537"/>
      <c r="C93" s="537"/>
      <c r="D93" s="529">
        <f>IF(D89="N","",B36)</f>
        <v>9.9</v>
      </c>
    </row>
    <row r="94" spans="1:5" hidden="1" outlineLevel="1" x14ac:dyDescent="0.25">
      <c r="A94" s="451" t="s">
        <v>181</v>
      </c>
      <c r="B94" s="537"/>
      <c r="C94" s="537"/>
      <c r="D94" s="529">
        <f>IF(D89="N","",B37)</f>
        <v>11</v>
      </c>
    </row>
    <row r="95" spans="1:5" hidden="1" outlineLevel="1" x14ac:dyDescent="0.25">
      <c r="A95" s="451" t="s">
        <v>767</v>
      </c>
      <c r="B95" s="538">
        <f>IFERROR(AVERAGE(B93:B94),0)</f>
        <v>0</v>
      </c>
      <c r="C95" s="538">
        <f>IFERROR(AVERAGE(C93:C94),0)</f>
        <v>0</v>
      </c>
      <c r="D95" s="464">
        <f>IFERROR(ROUND(AVERAGE(D93:D94),0),0)</f>
        <v>10</v>
      </c>
    </row>
    <row r="96" spans="1:5" hidden="1" outlineLevel="1" x14ac:dyDescent="0.25"/>
    <row r="97" spans="1:4" hidden="1" outlineLevel="1" x14ac:dyDescent="0.25">
      <c r="A97" s="451" t="s">
        <v>183</v>
      </c>
      <c r="B97" s="539" t="s">
        <v>185</v>
      </c>
      <c r="C97" s="539" t="s">
        <v>185</v>
      </c>
      <c r="D97" s="530" t="str">
        <f>B22</f>
        <v>Claims Settled &amp; OS seperately</v>
      </c>
    </row>
    <row r="98" spans="1:4" hidden="1" outlineLevel="1" x14ac:dyDescent="0.25">
      <c r="A98" s="457" t="s">
        <v>726</v>
      </c>
      <c r="B98" s="539" t="s">
        <v>127</v>
      </c>
      <c r="C98" s="539" t="s">
        <v>127</v>
      </c>
      <c r="D98" s="530" t="str">
        <f>IF('Experience Rating'!B20=2,"No","Yes")</f>
        <v>No</v>
      </c>
    </row>
    <row r="99" spans="1:4" hidden="1" outlineLevel="1" x14ac:dyDescent="0.25"/>
    <row r="100" spans="1:4" hidden="1" outlineLevel="1" x14ac:dyDescent="0.25">
      <c r="A100" s="453" t="s">
        <v>187</v>
      </c>
    </row>
    <row r="101" spans="1:4" hidden="1" outlineLevel="1" x14ac:dyDescent="0.25">
      <c r="A101" s="451" t="s">
        <v>729</v>
      </c>
      <c r="B101" s="454"/>
      <c r="C101" s="454"/>
      <c r="D101" s="530">
        <f>IF(D89="N","",B47)</f>
        <v>0</v>
      </c>
    </row>
    <row r="102" spans="1:4" hidden="1" outlineLevel="1" x14ac:dyDescent="0.25">
      <c r="A102" s="451" t="s">
        <v>730</v>
      </c>
      <c r="B102" s="454"/>
      <c r="C102" s="454"/>
      <c r="D102" s="530">
        <f>IF(D89="N","",B48)</f>
        <v>0</v>
      </c>
    </row>
    <row r="103" spans="1:4" hidden="1" outlineLevel="1" x14ac:dyDescent="0.25">
      <c r="A103" s="451" t="s">
        <v>186</v>
      </c>
      <c r="B103" s="455">
        <f>IF(B89="N",0,IF((B91-B90+1)&gt;364,0,SUM(B101:B102)*20/(B91-B90+1)*IF(B98="No",1,0.5)))</f>
        <v>0</v>
      </c>
      <c r="C103" s="455">
        <f>IF(C89="N",0,IF((C91-C90+1)&gt;364,0,SUM(C101:C102)*20/(C91-C90+1)*IF(C98="No",1,0.5)))</f>
        <v>0</v>
      </c>
      <c r="D103" s="530">
        <f>B49</f>
        <v>0</v>
      </c>
    </row>
    <row r="104" spans="1:4" hidden="1" outlineLevel="1" x14ac:dyDescent="0.25"/>
    <row r="105" spans="1:4" hidden="1" outlineLevel="1" x14ac:dyDescent="0.25">
      <c r="A105" s="453" t="s">
        <v>188</v>
      </c>
    </row>
    <row r="106" spans="1:4" hidden="1" outlineLevel="1" x14ac:dyDescent="0.25">
      <c r="A106" s="451" t="s">
        <v>728</v>
      </c>
      <c r="B106" s="454"/>
      <c r="C106" s="454"/>
      <c r="D106" s="530">
        <f>IF(D89="N","",B42)</f>
        <v>0</v>
      </c>
    </row>
    <row r="107" spans="1:4" hidden="1" outlineLevel="1" x14ac:dyDescent="0.25">
      <c r="A107" s="451" t="s">
        <v>727</v>
      </c>
      <c r="B107" s="454"/>
      <c r="C107" s="454"/>
      <c r="D107" s="530">
        <f>IF(D89="N","",B43)</f>
        <v>0</v>
      </c>
    </row>
    <row r="108" spans="1:4" hidden="1" outlineLevel="1" x14ac:dyDescent="0.25">
      <c r="A108" s="451" t="s">
        <v>186</v>
      </c>
      <c r="B108" s="455">
        <f>IF(B89="N",0,IF((B91-B90+1)&gt;364,0,SUM(B106:B107)*7/(B91-B90+1)*IF(B98="No",1,0.5)))</f>
        <v>0</v>
      </c>
      <c r="C108" s="455">
        <f>IF(C89="N",0,IF((C91-C90+1)&gt;364,0,SUM(C106:C107)*7/(C91-C90+1)*IF(C98="No",1,0.5)))</f>
        <v>0</v>
      </c>
      <c r="D108" s="530">
        <f>IF(D89="N","",B44)</f>
        <v>0</v>
      </c>
    </row>
    <row r="109" spans="1:4" hidden="1" outlineLevel="1" x14ac:dyDescent="0.25"/>
    <row r="110" spans="1:4" hidden="1" outlineLevel="1" x14ac:dyDescent="0.25">
      <c r="A110" s="453" t="s">
        <v>189</v>
      </c>
    </row>
    <row r="111" spans="1:4" ht="15.75" hidden="1" outlineLevel="1" x14ac:dyDescent="0.25">
      <c r="A111" s="531" t="s">
        <v>357</v>
      </c>
      <c r="B111" s="532" t="str">
        <f>IF(B89="Y",IF(((B91-B90+1)/365*12)&lt;0,0,((B91-B90+1)/365*12)),"")</f>
        <v/>
      </c>
      <c r="C111" s="532" t="str">
        <f>IF(C89="Y",IF(((C91-C90+1)/365*12)&lt;0,0,((C91-C90+1)/365*12)),"")</f>
        <v/>
      </c>
      <c r="D111" s="532">
        <f>IF(D89="Y",B21,"")</f>
        <v>0</v>
      </c>
    </row>
    <row r="112" spans="1:4" hidden="1" outlineLevel="1" x14ac:dyDescent="0.25">
      <c r="A112" s="451" t="s">
        <v>190</v>
      </c>
      <c r="B112" s="455">
        <f>IF(B89="Y",IFERROR(SUM(B101:B103,B106:B108)*12/B111,0),0)</f>
        <v>0</v>
      </c>
      <c r="C112" s="455" t="str">
        <f>IF(C89="Y",IFERROR(SUM(C101:C103,C106:C108)*12/C111,0),"")</f>
        <v/>
      </c>
      <c r="D112" s="455">
        <f>B52</f>
        <v>0</v>
      </c>
    </row>
    <row r="113" spans="1:4" hidden="1" outlineLevel="1" x14ac:dyDescent="0.25">
      <c r="A113" s="451" t="s">
        <v>199</v>
      </c>
      <c r="B113" s="514">
        <f>IF($B$89="Y",3,0)</f>
        <v>0</v>
      </c>
      <c r="C113" s="514">
        <f>IF($C$89="Y",2,0)</f>
        <v>0</v>
      </c>
      <c r="D113" s="541">
        <f>IF($D$89="Y",B53,0)</f>
        <v>1</v>
      </c>
    </row>
    <row r="114" spans="1:4" hidden="1" outlineLevel="1" x14ac:dyDescent="0.25">
      <c r="A114" s="451" t="s">
        <v>766</v>
      </c>
      <c r="B114" s="517">
        <f>IF(B89="Y",(B112*Covid_Factor*Inflation_Factor^B113),0)</f>
        <v>0</v>
      </c>
      <c r="C114" s="517">
        <f>IF(C89="Y",(C112*Covid_Factor*Inflation_Factor^C113),0)</f>
        <v>0</v>
      </c>
      <c r="D114" s="517">
        <f>IF(D89="Y",(B54),0)</f>
        <v>0</v>
      </c>
    </row>
    <row r="115" spans="1:4" hidden="1" outlineLevel="1" x14ac:dyDescent="0.25">
      <c r="A115" s="451" t="s">
        <v>768</v>
      </c>
      <c r="B115" s="455">
        <f>IFERROR(B112/B95,0)</f>
        <v>0</v>
      </c>
      <c r="C115" s="455">
        <f>IFERROR(C112/C95,0)</f>
        <v>0</v>
      </c>
      <c r="D115" s="455">
        <f>IFERROR(B58,0)</f>
        <v>0</v>
      </c>
    </row>
    <row r="116" spans="1:4" hidden="1" outlineLevel="1" x14ac:dyDescent="0.25">
      <c r="A116" s="451" t="s">
        <v>769</v>
      </c>
      <c r="B116" s="517">
        <f>IFERROR(B114/B95,0)</f>
        <v>0</v>
      </c>
      <c r="C116" s="517">
        <f>IFERROR(C114/C95,0)</f>
        <v>0</v>
      </c>
      <c r="D116" s="517">
        <f>IFERROR(B59,0)</f>
        <v>0</v>
      </c>
    </row>
    <row r="117" spans="1:4" hidden="1" outlineLevel="1" x14ac:dyDescent="0.25">
      <c r="A117" s="451" t="s">
        <v>765</v>
      </c>
      <c r="B117" s="517">
        <f>IFERROR(IF('Experience Rating'!$H$4=2,0,B116/(TNLR*99.4%)),0)</f>
        <v>0</v>
      </c>
      <c r="C117" s="517">
        <f>IFERROR(IF('Experience Rating'!$H$4=2,0,C116/(TNLR*99.4%)),0)</f>
        <v>0</v>
      </c>
      <c r="D117" s="517">
        <f>IFERROR(B60,0)</f>
        <v>0</v>
      </c>
    </row>
    <row r="118" spans="1:4" hidden="1" collapsed="1" x14ac:dyDescent="0.25">
      <c r="B118" s="592"/>
    </row>
    <row r="124" spans="1:4" ht="29.25" hidden="1" customHeight="1" x14ac:dyDescent="0.25"/>
    <row r="125" spans="1:4" ht="32.25" hidden="1" customHeight="1" x14ac:dyDescent="0.25"/>
  </sheetData>
  <sheetProtection algorithmName="SHA-512" hashValue="xU6e83qzT1tOVYUwBYMi7Mqcly7RagGTauOMYXTO348N6ad50c1xg/iKJpl/TmmAw27agRst9EkucStqSIggvQ==" saltValue="CWMmuEdoDJd6vIOudX686w==" spinCount="100000" sheet="1" objects="1" scenarios="1"/>
  <mergeCells count="34">
    <mergeCell ref="C74:D74"/>
    <mergeCell ref="A83:D83"/>
    <mergeCell ref="A40:C40"/>
    <mergeCell ref="A39:C39"/>
    <mergeCell ref="B23:C23"/>
    <mergeCell ref="B25:C25"/>
    <mergeCell ref="B26:C26"/>
    <mergeCell ref="B5:C5"/>
    <mergeCell ref="B6:C6"/>
    <mergeCell ref="B9:C9"/>
    <mergeCell ref="B10:C10"/>
    <mergeCell ref="B22:C22"/>
    <mergeCell ref="B8:C8"/>
    <mergeCell ref="B21:C21"/>
    <mergeCell ref="B11:C11"/>
    <mergeCell ref="A16:C16"/>
    <mergeCell ref="B18:C18"/>
    <mergeCell ref="B19:C19"/>
    <mergeCell ref="A2:C3"/>
    <mergeCell ref="A62:C62"/>
    <mergeCell ref="B7:C7"/>
    <mergeCell ref="B33:C33"/>
    <mergeCell ref="B34:C34"/>
    <mergeCell ref="B36:C36"/>
    <mergeCell ref="B37:C37"/>
    <mergeCell ref="B38:C38"/>
    <mergeCell ref="B27:C27"/>
    <mergeCell ref="B29:C29"/>
    <mergeCell ref="B30:C30"/>
    <mergeCell ref="B31:C31"/>
    <mergeCell ref="B32:C32"/>
    <mergeCell ref="B13:C13"/>
    <mergeCell ref="B14:C14"/>
    <mergeCell ref="B17:C17"/>
  </mergeCells>
  <dataValidations count="4">
    <dataValidation type="list" allowBlank="1" showInputMessage="1" showErrorMessage="1" sqref="B17" xr:uid="{E9AE596E-7594-42B0-ABEC-83035C839531}">
      <formula1>"Actual IP:OP Mix,Estimated IP:OP Mix"</formula1>
    </dataValidation>
    <dataValidation type="list" allowBlank="1" showInputMessage="1" showErrorMessage="1" sqref="B14" xr:uid="{47B31F61-9ABB-466B-9E6A-66884F137B99}">
      <formula1>"Yes,No"</formula1>
    </dataValidation>
    <dataValidation type="list" allowBlank="1" showInputMessage="1" showErrorMessage="1" sqref="B13:C13" xr:uid="{03BC253C-B757-49F8-A6CF-A179DD28888F}">
      <formula1>"1"</formula1>
    </dataValidation>
    <dataValidation type="decimal" allowBlank="1" showInputMessage="1" showErrorMessage="1" sqref="C47:C48 C42 C43" xr:uid="{9E3D54C1-6BCD-4D10-939D-03AA254447A2}">
      <formula1>0</formula1>
      <formula2>0.2</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DE17170A-8153-4347-8B93-F5A711870246}">
          <x14:formula1>
            <xm:f>'Experience Rating'!$A$15:$A$16</xm:f>
          </x14:formula1>
          <xm:sqref>B22 B97:C97</xm:sqref>
        </x14:dataValidation>
        <x14:dataValidation type="list" allowBlank="1" showInputMessage="1" showErrorMessage="1" xr:uid="{6BB981A0-7793-4CEB-8FB5-81B07C6C7B9C}">
          <x14:formula1>
            <xm:f>'Experience Rating'!$A$19:$A$20</xm:f>
          </x14:formula1>
          <xm:sqref>B23:B24 B98:C98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38C4-EB93-4E58-8899-36DB9C38DD50}">
  <sheetPr codeName="Sheet22">
    <tabColor rgb="FF92D050"/>
  </sheetPr>
  <dimension ref="A1:K90"/>
  <sheetViews>
    <sheetView topLeftCell="A48" zoomScale="70" zoomScaleNormal="70" workbookViewId="0">
      <selection activeCell="J51" sqref="J51"/>
    </sheetView>
  </sheetViews>
  <sheetFormatPr defaultColWidth="0" defaultRowHeight="16.5" x14ac:dyDescent="0.25"/>
  <cols>
    <col min="1" max="1" width="8.7109375" style="674" customWidth="1"/>
    <col min="2" max="2" width="74.85546875" style="672" customWidth="1"/>
    <col min="3" max="3" width="35.7109375" style="673" customWidth="1"/>
    <col min="4" max="5" width="34.42578125" style="673" customWidth="1"/>
    <col min="6" max="6" width="31.7109375" style="673" customWidth="1"/>
    <col min="7" max="8" width="33.140625" style="673" customWidth="1"/>
    <col min="9" max="10" width="33.28515625" style="673" customWidth="1"/>
    <col min="11" max="11" width="17.42578125" style="674" customWidth="1"/>
    <col min="12" max="16384" width="8.7109375" style="674" hidden="1"/>
  </cols>
  <sheetData>
    <row r="1" spans="2:10" ht="23.25" customHeight="1" x14ac:dyDescent="0.25">
      <c r="B1" s="719" t="s">
        <v>932</v>
      </c>
      <c r="C1" s="1091" t="s">
        <v>7</v>
      </c>
      <c r="D1" s="1091" t="s">
        <v>21</v>
      </c>
      <c r="E1" s="1091" t="s">
        <v>1045</v>
      </c>
      <c r="F1" s="1091" t="s">
        <v>28</v>
      </c>
      <c r="G1" s="1091" t="s">
        <v>29</v>
      </c>
      <c r="H1" s="1091" t="s">
        <v>1073</v>
      </c>
      <c r="I1" s="1091" t="s">
        <v>34</v>
      </c>
      <c r="J1" s="1091" t="s">
        <v>813</v>
      </c>
    </row>
    <row r="2" spans="2:10" ht="35.25" customHeight="1" x14ac:dyDescent="0.25">
      <c r="B2" s="719" t="s">
        <v>6</v>
      </c>
      <c r="C2" s="1091" t="str">
        <f>IF('General Basis'!$H$8=2,'General Basis'!J53,'General Basis'!K53)</f>
        <v>Comprehensive Network</v>
      </c>
      <c r="D2" s="1091" t="str">
        <f>IF('General Basis'!$H$8=2,'General Basis'!J54,'General Basis'!K54)</f>
        <v>General Network</v>
      </c>
      <c r="E2" s="1091" t="str">
        <f>IF('General Basis'!$H$8=2,'General Basis'!J55,'General Basis'!K55)</f>
        <v>Restricted Network Plus</v>
      </c>
      <c r="F2" s="1091" t="str">
        <f>IF('General Basis'!$H$8=2,'General Basis'!J56,'General Basis'!K56)</f>
        <v>Restricted Network</v>
      </c>
      <c r="G2" s="1091" t="str">
        <f>IF('General Basis'!$H$8=2,'General Basis'!J57,'General Basis'!K57)</f>
        <v>Super-Restricted Network</v>
      </c>
      <c r="H2" s="1091" t="str">
        <f>IF('General Basis'!$H$8=2,'General Basis'!J58,'General Basis'!K58)</f>
        <v>Super-Restricted Network minus</v>
      </c>
      <c r="I2" s="1091" t="str">
        <f>IF('General Basis'!$H$8=2,'General Basis'!J59,'General Basis'!K59)</f>
        <v>Workers Network</v>
      </c>
      <c r="J2" s="1091" t="str">
        <f>IF('General Basis'!$H$8=2,'General Basis'!J60,'General Basis'!K60)</f>
        <v>Value Network</v>
      </c>
    </row>
    <row r="3" spans="2:10" x14ac:dyDescent="0.25">
      <c r="B3" s="675" t="s">
        <v>847</v>
      </c>
      <c r="C3" s="676" t="s">
        <v>848</v>
      </c>
      <c r="D3" s="676" t="s">
        <v>848</v>
      </c>
      <c r="E3" s="949" t="str">
        <f t="shared" ref="E3:E9" si="0">F3</f>
        <v xml:space="preserve">DHA &amp; HAAD </v>
      </c>
      <c r="F3" s="676" t="s">
        <v>848</v>
      </c>
      <c r="G3" s="676" t="s">
        <v>848</v>
      </c>
      <c r="H3" s="949" t="str">
        <f t="shared" ref="H3:H9" si="1">G3</f>
        <v xml:space="preserve">DHA &amp; HAAD </v>
      </c>
      <c r="I3" s="676" t="s">
        <v>848</v>
      </c>
      <c r="J3" s="676" t="s">
        <v>848</v>
      </c>
    </row>
    <row r="4" spans="2:10" x14ac:dyDescent="0.25">
      <c r="B4" s="675" t="s">
        <v>849</v>
      </c>
      <c r="C4" s="677">
        <v>1500000</v>
      </c>
      <c r="D4" s="677">
        <v>1000000</v>
      </c>
      <c r="E4" s="949">
        <f t="shared" si="0"/>
        <v>500000</v>
      </c>
      <c r="F4" s="677">
        <v>500000</v>
      </c>
      <c r="G4" s="677">
        <v>250000</v>
      </c>
      <c r="H4" s="949">
        <f t="shared" si="1"/>
        <v>250000</v>
      </c>
      <c r="I4" s="677">
        <v>250000</v>
      </c>
      <c r="J4" s="677">
        <v>250000</v>
      </c>
    </row>
    <row r="5" spans="2:10" x14ac:dyDescent="0.25">
      <c r="B5" s="675" t="s">
        <v>850</v>
      </c>
      <c r="C5" s="676" t="s">
        <v>851</v>
      </c>
      <c r="D5" s="676" t="s">
        <v>851</v>
      </c>
      <c r="E5" s="949" t="str">
        <f t="shared" si="0"/>
        <v>IP + OP</v>
      </c>
      <c r="F5" s="676" t="s">
        <v>851</v>
      </c>
      <c r="G5" s="676" t="s">
        <v>851</v>
      </c>
      <c r="H5" s="949" t="str">
        <f t="shared" si="1"/>
        <v>IP + OP</v>
      </c>
      <c r="I5" s="676" t="s">
        <v>851</v>
      </c>
      <c r="J5" s="676" t="s">
        <v>851</v>
      </c>
    </row>
    <row r="6" spans="2:10" ht="71.25" x14ac:dyDescent="0.25">
      <c r="B6" s="675" t="s">
        <v>852</v>
      </c>
      <c r="C6" s="676" t="s">
        <v>1320</v>
      </c>
      <c r="D6" s="676" t="s">
        <v>1320</v>
      </c>
      <c r="E6" s="949" t="str">
        <f t="shared" si="0"/>
        <v>upto AML if evidence of continuity of coverage (COC) in UAE is provided; otherwise, the limit will be restricted to AED 150000</v>
      </c>
      <c r="F6" s="676" t="s">
        <v>1320</v>
      </c>
      <c r="G6" s="676" t="s">
        <v>1320</v>
      </c>
      <c r="H6" s="949" t="str">
        <f t="shared" si="1"/>
        <v>upto AML if evidence of continuity of coverage (COC) in UAE is provided; otherwise, the limit will be restricted to AED 150000</v>
      </c>
      <c r="I6" s="676" t="s">
        <v>1320</v>
      </c>
      <c r="J6" s="676" t="s">
        <v>1320</v>
      </c>
    </row>
    <row r="7" spans="2:10" ht="71.25" x14ac:dyDescent="0.25">
      <c r="B7" s="675"/>
      <c r="C7" s="676" t="s">
        <v>853</v>
      </c>
      <c r="D7" s="676" t="s">
        <v>854</v>
      </c>
      <c r="E7" s="949" t="str">
        <f t="shared" si="0"/>
        <v>Treatment for chronic and pre-existing conditions excluded for first 6 months of first scheme membership, included thereafter</v>
      </c>
      <c r="F7" s="676" t="s">
        <v>854</v>
      </c>
      <c r="G7" s="676" t="s">
        <v>854</v>
      </c>
      <c r="H7" s="949" t="str">
        <f t="shared" si="1"/>
        <v>Treatment for chronic and pre-existing conditions excluded for first 6 months of first scheme membership, included thereafter</v>
      </c>
      <c r="I7" s="676" t="s">
        <v>854</v>
      </c>
      <c r="J7" s="676" t="s">
        <v>854</v>
      </c>
    </row>
    <row r="8" spans="2:10" ht="57" x14ac:dyDescent="0.25">
      <c r="B8" s="678"/>
      <c r="C8" s="676" t="s">
        <v>855</v>
      </c>
      <c r="D8" s="676" t="s">
        <v>855</v>
      </c>
      <c r="E8" s="949" t="str">
        <f t="shared" si="0"/>
        <v>This requirement is waived in the event that there is an emergency case where the cover is up to AML</v>
      </c>
      <c r="F8" s="676" t="s">
        <v>855</v>
      </c>
      <c r="G8" s="676" t="s">
        <v>855</v>
      </c>
      <c r="H8" s="949" t="str">
        <f t="shared" si="1"/>
        <v>This requirement is waived in the event that there is an emergency case where the cover is up to AML</v>
      </c>
      <c r="I8" s="676" t="s">
        <v>855</v>
      </c>
      <c r="J8" s="676" t="s">
        <v>855</v>
      </c>
    </row>
    <row r="9" spans="2:10" ht="28.5" x14ac:dyDescent="0.25">
      <c r="B9" s="678"/>
      <c r="C9" s="676"/>
      <c r="D9" s="676"/>
      <c r="E9" s="949" t="str">
        <f t="shared" si="0"/>
        <v>If HAAD, then, coverage as per HAAD  limit</v>
      </c>
      <c r="F9" s="676" t="s">
        <v>856</v>
      </c>
      <c r="G9" s="676" t="s">
        <v>856</v>
      </c>
      <c r="H9" s="949" t="str">
        <f t="shared" si="1"/>
        <v>If HAAD, then, coverage as per HAAD  limit</v>
      </c>
      <c r="I9" s="676" t="s">
        <v>856</v>
      </c>
      <c r="J9" s="676" t="s">
        <v>856</v>
      </c>
    </row>
    <row r="10" spans="2:10" ht="21.75" customHeight="1" x14ac:dyDescent="0.25">
      <c r="B10" s="719" t="s">
        <v>857</v>
      </c>
      <c r="C10" s="1158"/>
      <c r="D10" s="1158"/>
      <c r="E10" s="1158"/>
      <c r="F10" s="1158"/>
      <c r="G10" s="1158"/>
      <c r="H10" s="1158"/>
      <c r="I10" s="1158"/>
      <c r="J10" s="1158"/>
    </row>
    <row r="11" spans="2:10" ht="36.950000000000003" customHeight="1" x14ac:dyDescent="0.25">
      <c r="B11" s="679" t="s">
        <v>858</v>
      </c>
      <c r="C11" s="676" t="s">
        <v>859</v>
      </c>
      <c r="D11" s="676" t="s">
        <v>859</v>
      </c>
      <c r="E11" s="949" t="str">
        <f>F11</f>
        <v>GCC, ISC and South East Asia</v>
      </c>
      <c r="F11" s="676" t="s">
        <v>860</v>
      </c>
      <c r="G11" s="676" t="s">
        <v>861</v>
      </c>
      <c r="H11" s="949" t="str">
        <f>G11</f>
        <v>UAE Only</v>
      </c>
      <c r="I11" s="676" t="s">
        <v>861</v>
      </c>
      <c r="J11" s="676" t="s">
        <v>861</v>
      </c>
    </row>
    <row r="12" spans="2:10" ht="66" x14ac:dyDescent="0.25">
      <c r="B12" s="679" t="s">
        <v>862</v>
      </c>
      <c r="C12" s="676" t="s">
        <v>1321</v>
      </c>
      <c r="D12" s="676" t="s">
        <v>1321</v>
      </c>
      <c r="E12" s="949" t="str">
        <f>F12</f>
        <v>Actuals subject to a cap of 100% UAE Equivalent Cost</v>
      </c>
      <c r="F12" s="676" t="s">
        <v>1321</v>
      </c>
      <c r="G12" s="676" t="s">
        <v>1321</v>
      </c>
      <c r="H12" s="949" t="str">
        <f>G12</f>
        <v>Actuals subject to a cap of 100% UAE Equivalent Cost</v>
      </c>
      <c r="I12" s="676" t="s">
        <v>1321</v>
      </c>
      <c r="J12" s="676" t="s">
        <v>1321</v>
      </c>
    </row>
    <row r="13" spans="2:10" ht="59.1" customHeight="1" x14ac:dyDescent="0.25">
      <c r="B13" s="679" t="s">
        <v>863</v>
      </c>
      <c r="C13" s="676" t="s">
        <v>1322</v>
      </c>
      <c r="D13" s="676" t="s">
        <v>1322</v>
      </c>
      <c r="E13" s="949" t="str">
        <f>F13</f>
        <v>At 80% R&amp;C rates of UAE Equivalent Network</v>
      </c>
      <c r="F13" s="676" t="s">
        <v>1322</v>
      </c>
      <c r="G13" s="676" t="s">
        <v>1322</v>
      </c>
      <c r="H13" s="949" t="str">
        <f>G13</f>
        <v>At 80% R&amp;C rates of UAE Equivalent Network</v>
      </c>
      <c r="I13" s="676" t="s">
        <v>1322</v>
      </c>
      <c r="J13" s="676" t="s">
        <v>1322</v>
      </c>
    </row>
    <row r="14" spans="2:10" x14ac:dyDescent="0.25">
      <c r="B14" s="679"/>
      <c r="C14" s="676"/>
      <c r="D14" s="676"/>
      <c r="E14" s="676"/>
      <c r="F14" s="676"/>
      <c r="G14" s="676"/>
      <c r="H14" s="676"/>
      <c r="I14" s="676"/>
      <c r="J14" s="676"/>
    </row>
    <row r="15" spans="2:10" ht="22.5" customHeight="1" x14ac:dyDescent="0.25">
      <c r="B15" s="719" t="s">
        <v>864</v>
      </c>
      <c r="C15" s="1158"/>
      <c r="D15" s="1158"/>
      <c r="E15" s="1158"/>
      <c r="F15" s="1158"/>
      <c r="G15" s="1158"/>
      <c r="H15" s="1158"/>
      <c r="I15" s="1158"/>
      <c r="J15" s="1158"/>
    </row>
    <row r="16" spans="2:10" ht="66" x14ac:dyDescent="0.25">
      <c r="B16" s="680" t="s">
        <v>865</v>
      </c>
      <c r="C16" s="1156" t="s">
        <v>1022</v>
      </c>
      <c r="D16" s="1156" t="s">
        <v>1022</v>
      </c>
      <c r="E16" s="950" t="str">
        <f t="shared" ref="E16:E31" si="2">F16</f>
        <v>Options</v>
      </c>
      <c r="F16" s="1156" t="s">
        <v>1022</v>
      </c>
      <c r="G16" s="1156" t="s">
        <v>1022</v>
      </c>
      <c r="H16" s="949" t="str">
        <f t="shared" ref="H16:H31" si="3">G16</f>
        <v>Options</v>
      </c>
      <c r="I16" s="1156" t="s">
        <v>1022</v>
      </c>
      <c r="J16" s="1156" t="s">
        <v>1022</v>
      </c>
    </row>
    <row r="17" spans="2:10" x14ac:dyDescent="0.25">
      <c r="B17" s="680" t="s">
        <v>866</v>
      </c>
      <c r="C17" s="682" t="s">
        <v>25</v>
      </c>
      <c r="D17" s="682" t="s">
        <v>25</v>
      </c>
      <c r="E17" s="949" t="str">
        <f t="shared" si="2"/>
        <v>Private</v>
      </c>
      <c r="F17" s="682" t="s">
        <v>25</v>
      </c>
      <c r="G17" s="682" t="s">
        <v>867</v>
      </c>
      <c r="H17" s="949" t="str">
        <f t="shared" si="3"/>
        <v>Semi Private</v>
      </c>
      <c r="I17" s="682" t="s">
        <v>27</v>
      </c>
      <c r="J17" s="682" t="s">
        <v>27</v>
      </c>
    </row>
    <row r="18" spans="2:10" ht="33" x14ac:dyDescent="0.25">
      <c r="B18" s="680" t="s">
        <v>868</v>
      </c>
      <c r="C18" s="682" t="s">
        <v>869</v>
      </c>
      <c r="D18" s="682" t="s">
        <v>869</v>
      </c>
      <c r="E18" s="949" t="str">
        <f t="shared" si="2"/>
        <v>Covered up to the AML</v>
      </c>
      <c r="F18" s="682" t="s">
        <v>869</v>
      </c>
      <c r="G18" s="682" t="s">
        <v>869</v>
      </c>
      <c r="H18" s="949" t="str">
        <f t="shared" si="3"/>
        <v>Covered up to the AML</v>
      </c>
      <c r="I18" s="682" t="s">
        <v>869</v>
      </c>
      <c r="J18" s="682" t="s">
        <v>869</v>
      </c>
    </row>
    <row r="19" spans="2:10" x14ac:dyDescent="0.25">
      <c r="B19" s="680" t="s">
        <v>870</v>
      </c>
      <c r="C19" s="682" t="s">
        <v>869</v>
      </c>
      <c r="D19" s="682" t="s">
        <v>869</v>
      </c>
      <c r="E19" s="949" t="str">
        <f t="shared" si="2"/>
        <v>Covered up to the AML</v>
      </c>
      <c r="F19" s="682" t="s">
        <v>869</v>
      </c>
      <c r="G19" s="682" t="s">
        <v>869</v>
      </c>
      <c r="H19" s="949" t="str">
        <f t="shared" si="3"/>
        <v>Covered up to the AML</v>
      </c>
      <c r="I19" s="682" t="s">
        <v>869</v>
      </c>
      <c r="J19" s="682" t="s">
        <v>869</v>
      </c>
    </row>
    <row r="20" spans="2:10" x14ac:dyDescent="0.25">
      <c r="B20" s="680" t="s">
        <v>871</v>
      </c>
      <c r="C20" s="682" t="s">
        <v>869</v>
      </c>
      <c r="D20" s="682" t="s">
        <v>869</v>
      </c>
      <c r="E20" s="949" t="str">
        <f t="shared" si="2"/>
        <v>Covered up to the AML</v>
      </c>
      <c r="F20" s="682" t="s">
        <v>869</v>
      </c>
      <c r="G20" s="682" t="s">
        <v>869</v>
      </c>
      <c r="H20" s="949" t="str">
        <f t="shared" si="3"/>
        <v>Covered up to the AML</v>
      </c>
      <c r="I20" s="682" t="s">
        <v>869</v>
      </c>
      <c r="J20" s="682" t="s">
        <v>869</v>
      </c>
    </row>
    <row r="21" spans="2:10" x14ac:dyDescent="0.25">
      <c r="B21" s="680" t="s">
        <v>872</v>
      </c>
      <c r="C21" s="682" t="s">
        <v>869</v>
      </c>
      <c r="D21" s="682" t="s">
        <v>869</v>
      </c>
      <c r="E21" s="949" t="str">
        <f t="shared" si="2"/>
        <v>Covered up to the AML</v>
      </c>
      <c r="F21" s="682" t="s">
        <v>869</v>
      </c>
      <c r="G21" s="682" t="s">
        <v>869</v>
      </c>
      <c r="H21" s="949" t="str">
        <f t="shared" si="3"/>
        <v>Covered up to the AML</v>
      </c>
      <c r="I21" s="682" t="s">
        <v>869</v>
      </c>
      <c r="J21" s="682" t="s">
        <v>869</v>
      </c>
    </row>
    <row r="22" spans="2:10" x14ac:dyDescent="0.25">
      <c r="B22" s="680" t="s">
        <v>873</v>
      </c>
      <c r="C22" s="682" t="s">
        <v>869</v>
      </c>
      <c r="D22" s="682" t="s">
        <v>869</v>
      </c>
      <c r="E22" s="949" t="str">
        <f t="shared" si="2"/>
        <v>Covered up to the AML</v>
      </c>
      <c r="F22" s="682" t="s">
        <v>869</v>
      </c>
      <c r="G22" s="682" t="s">
        <v>869</v>
      </c>
      <c r="H22" s="949" t="str">
        <f t="shared" si="3"/>
        <v>Covered up to the AML</v>
      </c>
      <c r="I22" s="682" t="s">
        <v>869</v>
      </c>
      <c r="J22" s="682" t="s">
        <v>869</v>
      </c>
    </row>
    <row r="23" spans="2:10" x14ac:dyDescent="0.25">
      <c r="B23" s="680" t="s">
        <v>874</v>
      </c>
      <c r="C23" s="682" t="s">
        <v>869</v>
      </c>
      <c r="D23" s="682" t="s">
        <v>869</v>
      </c>
      <c r="E23" s="949" t="str">
        <f t="shared" si="2"/>
        <v>Covered up to the AML</v>
      </c>
      <c r="F23" s="682" t="s">
        <v>869</v>
      </c>
      <c r="G23" s="682" t="s">
        <v>869</v>
      </c>
      <c r="H23" s="949" t="str">
        <f t="shared" si="3"/>
        <v>Covered up to the AML</v>
      </c>
      <c r="I23" s="682" t="s">
        <v>869</v>
      </c>
      <c r="J23" s="682" t="s">
        <v>869</v>
      </c>
    </row>
    <row r="24" spans="2:10" x14ac:dyDescent="0.25">
      <c r="B24" s="680" t="s">
        <v>875</v>
      </c>
      <c r="C24" s="682" t="s">
        <v>869</v>
      </c>
      <c r="D24" s="682" t="s">
        <v>869</v>
      </c>
      <c r="E24" s="949" t="str">
        <f t="shared" si="2"/>
        <v>Covered up to the AML</v>
      </c>
      <c r="F24" s="682" t="s">
        <v>869</v>
      </c>
      <c r="G24" s="682" t="s">
        <v>869</v>
      </c>
      <c r="H24" s="949" t="str">
        <f t="shared" si="3"/>
        <v>Covered up to the AML</v>
      </c>
      <c r="I24" s="682" t="s">
        <v>869</v>
      </c>
      <c r="J24" s="682" t="s">
        <v>869</v>
      </c>
    </row>
    <row r="25" spans="2:10" x14ac:dyDescent="0.25">
      <c r="B25" s="680" t="s">
        <v>876</v>
      </c>
      <c r="C25" s="682" t="s">
        <v>869</v>
      </c>
      <c r="D25" s="682" t="s">
        <v>869</v>
      </c>
      <c r="E25" s="949" t="str">
        <f t="shared" si="2"/>
        <v>Covered up to the AML</v>
      </c>
      <c r="F25" s="682" t="s">
        <v>869</v>
      </c>
      <c r="G25" s="682" t="s">
        <v>869</v>
      </c>
      <c r="H25" s="949" t="str">
        <f t="shared" si="3"/>
        <v>Covered up to the AML</v>
      </c>
      <c r="I25" s="682" t="s">
        <v>869</v>
      </c>
      <c r="J25" s="682" t="s">
        <v>869</v>
      </c>
    </row>
    <row r="26" spans="2:10" ht="33" x14ac:dyDescent="0.25">
      <c r="B26" s="680" t="s">
        <v>877</v>
      </c>
      <c r="C26" s="682" t="s">
        <v>869</v>
      </c>
      <c r="D26" s="682" t="s">
        <v>869</v>
      </c>
      <c r="E26" s="949" t="str">
        <f t="shared" si="2"/>
        <v>Covered up to the AML</v>
      </c>
      <c r="F26" s="682" t="s">
        <v>869</v>
      </c>
      <c r="G26" s="682" t="s">
        <v>869</v>
      </c>
      <c r="H26" s="949" t="str">
        <f t="shared" si="3"/>
        <v>Covered up to the AML</v>
      </c>
      <c r="I26" s="682" t="s">
        <v>869</v>
      </c>
      <c r="J26" s="682" t="s">
        <v>869</v>
      </c>
    </row>
    <row r="27" spans="2:10" ht="49.5" x14ac:dyDescent="0.25">
      <c r="B27" s="680" t="s">
        <v>986</v>
      </c>
      <c r="C27" s="682" t="s">
        <v>1349</v>
      </c>
      <c r="D27" s="682" t="s">
        <v>1350</v>
      </c>
      <c r="E27" s="949" t="str">
        <f t="shared" si="2"/>
        <v xml:space="preserve">Maximum of 6 sessions per year. </v>
      </c>
      <c r="F27" s="682" t="s">
        <v>1351</v>
      </c>
      <c r="G27" s="682" t="s">
        <v>1351</v>
      </c>
      <c r="H27" s="949" t="str">
        <f t="shared" si="3"/>
        <v xml:space="preserve">Maximum of 6 sessions per year. </v>
      </c>
      <c r="I27" s="682" t="s">
        <v>1351</v>
      </c>
      <c r="J27" s="682" t="s">
        <v>1351</v>
      </c>
    </row>
    <row r="28" spans="2:10" ht="33" x14ac:dyDescent="0.25">
      <c r="B28" s="680" t="s">
        <v>878</v>
      </c>
      <c r="C28" s="682" t="s">
        <v>879</v>
      </c>
      <c r="D28" s="682" t="s">
        <v>879</v>
      </c>
      <c r="E28" s="949" t="str">
        <f t="shared" si="2"/>
        <v>Covered up to 300 AED per day</v>
      </c>
      <c r="F28" s="682" t="s">
        <v>880</v>
      </c>
      <c r="G28" s="682" t="s">
        <v>881</v>
      </c>
      <c r="H28" s="949" t="str">
        <f t="shared" si="3"/>
        <v>Covered up to 250 AED per day</v>
      </c>
      <c r="I28" s="682" t="s">
        <v>881</v>
      </c>
      <c r="J28" s="682" t="s">
        <v>881</v>
      </c>
    </row>
    <row r="29" spans="2:10" ht="49.5" x14ac:dyDescent="0.25">
      <c r="B29" s="680" t="s">
        <v>882</v>
      </c>
      <c r="C29" s="682" t="s">
        <v>879</v>
      </c>
      <c r="D29" s="682" t="s">
        <v>879</v>
      </c>
      <c r="E29" s="949" t="str">
        <f t="shared" si="2"/>
        <v>Covered up to 300 AED per day</v>
      </c>
      <c r="F29" s="682" t="s">
        <v>880</v>
      </c>
      <c r="G29" s="682" t="s">
        <v>881</v>
      </c>
      <c r="H29" s="949" t="str">
        <f t="shared" si="3"/>
        <v>Covered up to 250 AED per day</v>
      </c>
      <c r="I29" s="682" t="s">
        <v>881</v>
      </c>
      <c r="J29" s="682" t="s">
        <v>881</v>
      </c>
    </row>
    <row r="30" spans="2:10" ht="57" x14ac:dyDescent="0.25">
      <c r="B30" s="680" t="s">
        <v>883</v>
      </c>
      <c r="C30" s="682" t="s">
        <v>884</v>
      </c>
      <c r="D30" s="682" t="s">
        <v>884</v>
      </c>
      <c r="E30" s="949" t="str">
        <f t="shared" si="2"/>
        <v>AED 100 per night applicable to all inpatient hospitalizations that are not submitted to the Insurance Company</v>
      </c>
      <c r="F30" s="682" t="s">
        <v>1023</v>
      </c>
      <c r="G30" s="682" t="s">
        <v>1023</v>
      </c>
      <c r="H30" s="949" t="str">
        <f t="shared" si="3"/>
        <v>AED 100 per night applicable to all inpatient hospitalizations that are not submitted to the Insurance Company</v>
      </c>
      <c r="I30" s="682" t="s">
        <v>1023</v>
      </c>
      <c r="J30" s="682" t="s">
        <v>130</v>
      </c>
    </row>
    <row r="31" spans="2:10" ht="57" x14ac:dyDescent="0.25">
      <c r="B31" s="680" t="s">
        <v>1323</v>
      </c>
      <c r="C31" s="682" t="s">
        <v>1324</v>
      </c>
      <c r="D31" s="682" t="s">
        <v>1324</v>
      </c>
      <c r="E31" s="949" t="str">
        <f t="shared" si="2"/>
        <v>Covered subject to it is medically necessary and pre-approval is obtained from the Insurance Company</v>
      </c>
      <c r="F31" s="682" t="s">
        <v>1324</v>
      </c>
      <c r="G31" s="682" t="s">
        <v>1324</v>
      </c>
      <c r="H31" s="949" t="str">
        <f t="shared" si="3"/>
        <v>Covered subject to it is medically necessary and pre-approval is obtained from the Insurance Company</v>
      </c>
      <c r="I31" s="682" t="s">
        <v>1324</v>
      </c>
      <c r="J31" s="682" t="s">
        <v>1324</v>
      </c>
    </row>
    <row r="32" spans="2:10" ht="21.75" customHeight="1" x14ac:dyDescent="0.25">
      <c r="B32" s="719" t="s">
        <v>885</v>
      </c>
      <c r="C32" s="1158"/>
      <c r="D32" s="1158"/>
      <c r="E32" s="1158"/>
      <c r="F32" s="1158"/>
      <c r="G32" s="1158"/>
      <c r="H32" s="1158"/>
      <c r="I32" s="1158"/>
      <c r="J32" s="1158"/>
    </row>
    <row r="33" spans="2:10" ht="66" x14ac:dyDescent="0.25">
      <c r="B33" s="675" t="s">
        <v>886</v>
      </c>
      <c r="C33" s="1156" t="s">
        <v>887</v>
      </c>
      <c r="D33" s="1156" t="s">
        <v>887</v>
      </c>
      <c r="E33" s="949" t="str">
        <f t="shared" ref="E33:E42" si="4">F33</f>
        <v xml:space="preserve">Options </v>
      </c>
      <c r="F33" s="1156" t="s">
        <v>887</v>
      </c>
      <c r="G33" s="1156" t="s">
        <v>887</v>
      </c>
      <c r="H33" s="949" t="str">
        <f t="shared" ref="H33:H42" si="5">G33</f>
        <v xml:space="preserve">Options </v>
      </c>
      <c r="I33" s="1156" t="s">
        <v>887</v>
      </c>
      <c r="J33" s="1156" t="s">
        <v>887</v>
      </c>
    </row>
    <row r="34" spans="2:10" ht="42.75" x14ac:dyDescent="0.25">
      <c r="B34" s="675" t="s">
        <v>888</v>
      </c>
      <c r="C34" s="682" t="s">
        <v>1158</v>
      </c>
      <c r="D34" s="682" t="s">
        <v>1158</v>
      </c>
      <c r="E34" s="949" t="str">
        <f t="shared" si="4"/>
        <v>( Direct Access to Network Hospital/ Clinics for OP Treatment )</v>
      </c>
      <c r="F34" s="682" t="s">
        <v>1158</v>
      </c>
      <c r="G34" s="682" t="s">
        <v>1158</v>
      </c>
      <c r="H34" s="949" t="str">
        <f t="shared" si="5"/>
        <v>( Direct Access to Network Hospital/ Clinics for OP Treatment )</v>
      </c>
      <c r="I34" s="682" t="s">
        <v>1158</v>
      </c>
      <c r="J34" s="682" t="s">
        <v>1159</v>
      </c>
    </row>
    <row r="35" spans="2:10" ht="26.45" customHeight="1" x14ac:dyDescent="0.25">
      <c r="B35" s="675" t="s">
        <v>889</v>
      </c>
      <c r="C35" s="1156" t="s">
        <v>887</v>
      </c>
      <c r="D35" s="1156" t="s">
        <v>887</v>
      </c>
      <c r="E35" s="949" t="str">
        <f t="shared" si="4"/>
        <v xml:space="preserve">Options </v>
      </c>
      <c r="F35" s="1156" t="s">
        <v>887</v>
      </c>
      <c r="G35" s="1156" t="s">
        <v>887</v>
      </c>
      <c r="H35" s="949" t="str">
        <f t="shared" si="5"/>
        <v xml:space="preserve">Options </v>
      </c>
      <c r="I35" s="1156" t="s">
        <v>887</v>
      </c>
      <c r="J35" s="1156" t="s">
        <v>887</v>
      </c>
    </row>
    <row r="36" spans="2:10" x14ac:dyDescent="0.25">
      <c r="B36" s="675" t="s">
        <v>890</v>
      </c>
      <c r="C36" s="1156" t="s">
        <v>887</v>
      </c>
      <c r="D36" s="1156" t="s">
        <v>887</v>
      </c>
      <c r="E36" s="949" t="str">
        <f t="shared" si="4"/>
        <v xml:space="preserve">Options </v>
      </c>
      <c r="F36" s="1156" t="s">
        <v>887</v>
      </c>
      <c r="G36" s="1156" t="s">
        <v>887</v>
      </c>
      <c r="H36" s="949" t="str">
        <f t="shared" si="5"/>
        <v xml:space="preserve">Options </v>
      </c>
      <c r="I36" s="1156" t="s">
        <v>887</v>
      </c>
      <c r="J36" s="1156" t="s">
        <v>887</v>
      </c>
    </row>
    <row r="37" spans="2:10" x14ac:dyDescent="0.25">
      <c r="B37" s="675" t="s">
        <v>891</v>
      </c>
      <c r="C37" s="1156" t="s">
        <v>887</v>
      </c>
      <c r="D37" s="1156" t="s">
        <v>887</v>
      </c>
      <c r="E37" s="949" t="str">
        <f t="shared" si="4"/>
        <v xml:space="preserve">Options </v>
      </c>
      <c r="F37" s="1156" t="s">
        <v>887</v>
      </c>
      <c r="G37" s="1156" t="s">
        <v>887</v>
      </c>
      <c r="H37" s="949" t="str">
        <f t="shared" si="5"/>
        <v xml:space="preserve">Options </v>
      </c>
      <c r="I37" s="1156" t="s">
        <v>887</v>
      </c>
      <c r="J37" s="1156" t="s">
        <v>887</v>
      </c>
    </row>
    <row r="38" spans="2:10" ht="47.45" customHeight="1" x14ac:dyDescent="0.25">
      <c r="B38" s="675" t="s">
        <v>892</v>
      </c>
      <c r="C38" s="1156" t="s">
        <v>887</v>
      </c>
      <c r="D38" s="1156" t="s">
        <v>887</v>
      </c>
      <c r="E38" s="949" t="str">
        <f t="shared" si="4"/>
        <v xml:space="preserve">Options </v>
      </c>
      <c r="F38" s="1156" t="s">
        <v>887</v>
      </c>
      <c r="G38" s="1156" t="s">
        <v>887</v>
      </c>
      <c r="H38" s="949" t="str">
        <f t="shared" si="5"/>
        <v xml:space="preserve">Options </v>
      </c>
      <c r="I38" s="1156" t="s">
        <v>887</v>
      </c>
      <c r="J38" s="1157" t="s">
        <v>1327</v>
      </c>
    </row>
    <row r="39" spans="2:10" ht="42.75" x14ac:dyDescent="0.25">
      <c r="B39" s="675" t="s">
        <v>1325</v>
      </c>
      <c r="C39" s="1156" t="s">
        <v>1326</v>
      </c>
      <c r="D39" s="1156" t="s">
        <v>1326</v>
      </c>
      <c r="E39" s="949" t="str">
        <f t="shared" si="4"/>
        <v>Options 
(For AUH, this limit is upto AML with Nil Co-Pay)</v>
      </c>
      <c r="F39" s="1156" t="s">
        <v>1326</v>
      </c>
      <c r="G39" s="1156" t="s">
        <v>1326</v>
      </c>
      <c r="H39" s="949" t="str">
        <f t="shared" si="5"/>
        <v>Options 
(For AUH, this limit is upto AML with Nil Co-Pay)</v>
      </c>
      <c r="I39" s="1156" t="s">
        <v>1326</v>
      </c>
      <c r="J39" s="1156" t="s">
        <v>1326</v>
      </c>
    </row>
    <row r="40" spans="2:10" x14ac:dyDescent="0.25">
      <c r="B40" s="675" t="s">
        <v>893</v>
      </c>
      <c r="C40" s="682" t="s">
        <v>869</v>
      </c>
      <c r="D40" s="682" t="s">
        <v>869</v>
      </c>
      <c r="E40" s="949" t="str">
        <f t="shared" si="4"/>
        <v>Covered up to the AML</v>
      </c>
      <c r="F40" s="682" t="s">
        <v>869</v>
      </c>
      <c r="G40" s="682" t="s">
        <v>869</v>
      </c>
      <c r="H40" s="949" t="str">
        <f t="shared" si="5"/>
        <v>Covered up to the AML</v>
      </c>
      <c r="I40" s="682" t="s">
        <v>869</v>
      </c>
      <c r="J40" s="682" t="s">
        <v>869</v>
      </c>
    </row>
    <row r="41" spans="2:10" x14ac:dyDescent="0.25">
      <c r="B41" s="675" t="s">
        <v>873</v>
      </c>
      <c r="C41" s="682" t="s">
        <v>894</v>
      </c>
      <c r="D41" s="682" t="s">
        <v>894</v>
      </c>
      <c r="E41" s="949" t="str">
        <f t="shared" si="4"/>
        <v xml:space="preserve">Covered up to the AML  </v>
      </c>
      <c r="F41" s="682" t="s">
        <v>894</v>
      </c>
      <c r="G41" s="682" t="s">
        <v>894</v>
      </c>
      <c r="H41" s="949" t="str">
        <f t="shared" si="5"/>
        <v xml:space="preserve">Covered up to the AML  </v>
      </c>
      <c r="I41" s="682" t="s">
        <v>894</v>
      </c>
      <c r="J41" s="682" t="s">
        <v>894</v>
      </c>
    </row>
    <row r="42" spans="2:10" ht="33" x14ac:dyDescent="0.25">
      <c r="B42" s="675" t="s">
        <v>895</v>
      </c>
      <c r="C42" s="682" t="s">
        <v>894</v>
      </c>
      <c r="D42" s="682" t="s">
        <v>894</v>
      </c>
      <c r="E42" s="949" t="str">
        <f t="shared" si="4"/>
        <v xml:space="preserve">Covered up to the AML  </v>
      </c>
      <c r="F42" s="682" t="s">
        <v>894</v>
      </c>
      <c r="G42" s="682" t="s">
        <v>894</v>
      </c>
      <c r="H42" s="949" t="str">
        <f t="shared" si="5"/>
        <v xml:space="preserve">Covered up to the AML  </v>
      </c>
      <c r="I42" s="682" t="s">
        <v>894</v>
      </c>
      <c r="J42" s="682" t="s">
        <v>894</v>
      </c>
    </row>
    <row r="43" spans="2:10" x14ac:dyDescent="0.25">
      <c r="B43" s="675"/>
      <c r="C43" s="676"/>
      <c r="D43" s="676"/>
      <c r="E43" s="949"/>
      <c r="F43" s="676"/>
      <c r="G43" s="676"/>
      <c r="H43" s="949"/>
      <c r="I43" s="676"/>
      <c r="J43" s="676"/>
    </row>
    <row r="44" spans="2:10" x14ac:dyDescent="0.25">
      <c r="B44" s="719" t="s">
        <v>896</v>
      </c>
      <c r="C44" s="1158"/>
      <c r="D44" s="1158"/>
      <c r="E44" s="1158"/>
      <c r="F44" s="1158"/>
      <c r="G44" s="1158"/>
      <c r="H44" s="1158"/>
      <c r="I44" s="1158"/>
      <c r="J44" s="1158"/>
    </row>
    <row r="45" spans="2:10" ht="33" x14ac:dyDescent="0.25">
      <c r="B45" s="675" t="s">
        <v>897</v>
      </c>
      <c r="C45" s="682" t="s">
        <v>869</v>
      </c>
      <c r="D45" s="682" t="s">
        <v>869</v>
      </c>
      <c r="E45" s="949" t="str">
        <f t="shared" ref="E45:E60" si="6">F45</f>
        <v>Covered up to the AML</v>
      </c>
      <c r="F45" s="682" t="s">
        <v>869</v>
      </c>
      <c r="G45" s="682" t="s">
        <v>869</v>
      </c>
      <c r="H45" s="949" t="str">
        <f t="shared" ref="H45:H60" si="7">G45</f>
        <v>Covered up to the AML</v>
      </c>
      <c r="I45" s="682" t="s">
        <v>869</v>
      </c>
      <c r="J45" s="682" t="s">
        <v>869</v>
      </c>
    </row>
    <row r="46" spans="2:10" ht="33" x14ac:dyDescent="0.25">
      <c r="B46" s="675" t="s">
        <v>898</v>
      </c>
      <c r="C46" s="682" t="s">
        <v>869</v>
      </c>
      <c r="D46" s="682" t="s">
        <v>869</v>
      </c>
      <c r="E46" s="949" t="str">
        <f t="shared" si="6"/>
        <v>Covered up to the AML</v>
      </c>
      <c r="F46" s="682" t="s">
        <v>869</v>
      </c>
      <c r="G46" s="682" t="s">
        <v>869</v>
      </c>
      <c r="H46" s="949" t="str">
        <f t="shared" si="7"/>
        <v>Covered up to the AML</v>
      </c>
      <c r="I46" s="682" t="s">
        <v>869</v>
      </c>
      <c r="J46" s="682" t="s">
        <v>869</v>
      </c>
    </row>
    <row r="47" spans="2:10" ht="33" x14ac:dyDescent="0.25">
      <c r="B47" s="675" t="s">
        <v>899</v>
      </c>
      <c r="C47" s="1156" t="s">
        <v>887</v>
      </c>
      <c r="D47" s="1156" t="s">
        <v>887</v>
      </c>
      <c r="E47" s="949" t="str">
        <f t="shared" si="6"/>
        <v xml:space="preserve">Options </v>
      </c>
      <c r="F47" s="1156" t="s">
        <v>887</v>
      </c>
      <c r="G47" s="1156" t="s">
        <v>887</v>
      </c>
      <c r="H47" s="949" t="str">
        <f t="shared" si="7"/>
        <v xml:space="preserve">Options </v>
      </c>
      <c r="I47" s="1156" t="s">
        <v>887</v>
      </c>
      <c r="J47" s="1156" t="s">
        <v>887</v>
      </c>
    </row>
    <row r="48" spans="2:10" ht="57" x14ac:dyDescent="0.25">
      <c r="B48" s="675" t="s">
        <v>900</v>
      </c>
      <c r="C48" s="682" t="s">
        <v>1332</v>
      </c>
      <c r="D48" s="682" t="s">
        <v>1332</v>
      </c>
      <c r="E48" s="949" t="str">
        <f t="shared" si="6"/>
        <v>Covered up to maximum AED 100,000 per person per annum with 20% Co-Pay subject to prior apporval.</v>
      </c>
      <c r="F48" s="682" t="s">
        <v>1332</v>
      </c>
      <c r="G48" s="682" t="s">
        <v>1332</v>
      </c>
      <c r="H48" s="949" t="str">
        <f t="shared" si="7"/>
        <v>Covered up to maximum AED 100,000 per person per annum with 20% Co-Pay subject to prior apporval.</v>
      </c>
      <c r="I48" s="682" t="s">
        <v>1332</v>
      </c>
      <c r="J48" s="682" t="s">
        <v>1332</v>
      </c>
    </row>
    <row r="49" spans="2:11" ht="57" x14ac:dyDescent="0.25">
      <c r="B49" s="675" t="s">
        <v>1328</v>
      </c>
      <c r="C49" s="682" t="s">
        <v>1333</v>
      </c>
      <c r="D49" s="682" t="s">
        <v>1333</v>
      </c>
      <c r="E49" s="949" t="str">
        <f t="shared" si="6"/>
        <v>Covered up to maximum AED 60,000 per person per annum with 20% Co-Pay subject to prior apporval.</v>
      </c>
      <c r="F49" s="682" t="s">
        <v>1333</v>
      </c>
      <c r="G49" s="682" t="s">
        <v>1333</v>
      </c>
      <c r="H49" s="949" t="str">
        <f t="shared" si="7"/>
        <v>Covered up to maximum AED 60,000 per person per annum with 20% Co-Pay subject to prior apporval.</v>
      </c>
      <c r="I49" s="682" t="s">
        <v>1333</v>
      </c>
      <c r="J49" s="682" t="s">
        <v>1333</v>
      </c>
    </row>
    <row r="50" spans="2:11" ht="71.25" x14ac:dyDescent="0.25">
      <c r="B50" s="675" t="s">
        <v>901</v>
      </c>
      <c r="C50" s="682" t="s">
        <v>902</v>
      </c>
      <c r="D50" s="682" t="s">
        <v>902</v>
      </c>
      <c r="E50" s="949" t="str">
        <f t="shared" si="6"/>
        <v>Cover for 30 days from the date of birth or until addition as a member, whichever is earlier. New born covered under the mother’s annual limit.</v>
      </c>
      <c r="F50" s="682" t="s">
        <v>902</v>
      </c>
      <c r="G50" s="682" t="s">
        <v>902</v>
      </c>
      <c r="H50" s="949" t="str">
        <f t="shared" si="7"/>
        <v>Cover for 30 days from the date of birth or until addition as a member, whichever is earlier. New born covered under the mother’s annual limit.</v>
      </c>
      <c r="I50" s="682" t="s">
        <v>902</v>
      </c>
      <c r="J50" s="682" t="s">
        <v>902</v>
      </c>
    </row>
    <row r="51" spans="2:11" ht="57" x14ac:dyDescent="0.25">
      <c r="B51" s="675" t="s">
        <v>1352</v>
      </c>
      <c r="C51" s="682" t="s">
        <v>903</v>
      </c>
      <c r="D51" s="682" t="s">
        <v>904</v>
      </c>
      <c r="E51" s="949" t="str">
        <f t="shared" si="6"/>
        <v>Covered up to lifetime maximum of AED 10,000 per person per annum within UAE only</v>
      </c>
      <c r="F51" s="1266" t="s">
        <v>1393</v>
      </c>
      <c r="G51" s="1266" t="s">
        <v>1394</v>
      </c>
      <c r="H51" s="949" t="str">
        <f t="shared" si="7"/>
        <v>Covered up to lifetime maximum of AED 7,500 per person per annum within UAE only</v>
      </c>
      <c r="I51" s="1266" t="s">
        <v>1394</v>
      </c>
      <c r="J51" s="1266" t="s">
        <v>1394</v>
      </c>
    </row>
    <row r="52" spans="2:11" ht="33" x14ac:dyDescent="0.25">
      <c r="B52" s="675" t="s">
        <v>988</v>
      </c>
      <c r="C52" s="682" t="s">
        <v>905</v>
      </c>
      <c r="D52" s="682" t="s">
        <v>906</v>
      </c>
      <c r="E52" s="949" t="str">
        <f t="shared" si="6"/>
        <v>Not Covered</v>
      </c>
      <c r="F52" s="682" t="s">
        <v>130</v>
      </c>
      <c r="G52" s="682" t="s">
        <v>130</v>
      </c>
      <c r="H52" s="949" t="str">
        <f t="shared" si="7"/>
        <v>Not Covered</v>
      </c>
      <c r="I52" s="682" t="s">
        <v>130</v>
      </c>
      <c r="J52" s="682" t="s">
        <v>130</v>
      </c>
    </row>
    <row r="53" spans="2:11" ht="114" x14ac:dyDescent="0.25">
      <c r="B53" s="675" t="s">
        <v>907</v>
      </c>
      <c r="C53" s="682" t="s">
        <v>908</v>
      </c>
      <c r="D53" s="682" t="s">
        <v>908</v>
      </c>
      <c r="E53" s="949" t="str">
        <f t="shared" si="6"/>
        <v>Essential vaccinations and inoculations for new born and children up to 6 as stipulated in regulator’s policies and its updates (Currently the same as federal MOH), Benefit is covered on reimbursement basis.</v>
      </c>
      <c r="F53" s="682" t="s">
        <v>908</v>
      </c>
      <c r="G53" s="682" t="s">
        <v>908</v>
      </c>
      <c r="H53" s="949" t="str">
        <f t="shared" si="7"/>
        <v>Essential vaccinations and inoculations for new born and children up to 6 as stipulated in regulator’s policies and its updates (Currently the same as federal MOH), Benefit is covered on reimbursement basis.</v>
      </c>
      <c r="I53" s="682" t="s">
        <v>908</v>
      </c>
      <c r="J53" s="682" t="s">
        <v>908</v>
      </c>
    </row>
    <row r="54" spans="2:11" ht="201" customHeight="1" x14ac:dyDescent="0.25">
      <c r="B54" s="675" t="s">
        <v>909</v>
      </c>
      <c r="C54" s="1262" t="s">
        <v>1390</v>
      </c>
      <c r="D54" s="1262" t="s">
        <v>1390</v>
      </c>
      <c r="E54" s="1262" t="s">
        <v>1390</v>
      </c>
      <c r="F54" s="1262" t="s">
        <v>1390</v>
      </c>
      <c r="G54" s="1262" t="s">
        <v>1390</v>
      </c>
      <c r="H54" s="1262" t="s">
        <v>1390</v>
      </c>
      <c r="I54" s="1262" t="s">
        <v>1390</v>
      </c>
      <c r="J54" s="1262" t="s">
        <v>1390</v>
      </c>
      <c r="K54" s="674" t="s">
        <v>1389</v>
      </c>
    </row>
    <row r="55" spans="2:11" x14ac:dyDescent="0.25">
      <c r="B55" s="675" t="s">
        <v>910</v>
      </c>
      <c r="C55" s="682" t="s">
        <v>911</v>
      </c>
      <c r="D55" s="682" t="s">
        <v>911</v>
      </c>
      <c r="E55" s="949" t="str">
        <f t="shared" si="6"/>
        <v xml:space="preserve">Once </v>
      </c>
      <c r="F55" s="682" t="s">
        <v>911</v>
      </c>
      <c r="G55" s="682" t="s">
        <v>911</v>
      </c>
      <c r="H55" s="949" t="str">
        <f t="shared" si="7"/>
        <v xml:space="preserve">Once </v>
      </c>
      <c r="I55" s="682" t="s">
        <v>912</v>
      </c>
      <c r="J55" s="682" t="s">
        <v>912</v>
      </c>
    </row>
    <row r="56" spans="2:11" x14ac:dyDescent="0.25">
      <c r="B56" s="675" t="s">
        <v>913</v>
      </c>
      <c r="C56" s="1156" t="s">
        <v>887</v>
      </c>
      <c r="D56" s="1156" t="s">
        <v>887</v>
      </c>
      <c r="E56" s="949" t="str">
        <f t="shared" si="6"/>
        <v xml:space="preserve">Options </v>
      </c>
      <c r="F56" s="1156" t="s">
        <v>887</v>
      </c>
      <c r="G56" s="1156" t="s">
        <v>887</v>
      </c>
      <c r="H56" s="949" t="str">
        <f t="shared" si="7"/>
        <v xml:space="preserve">Options </v>
      </c>
      <c r="I56" s="1156" t="s">
        <v>887</v>
      </c>
      <c r="J56" s="1156" t="s">
        <v>887</v>
      </c>
    </row>
    <row r="57" spans="2:11" ht="33" x14ac:dyDescent="0.25">
      <c r="B57" s="675" t="s">
        <v>1329</v>
      </c>
      <c r="C57" s="1156" t="s">
        <v>887</v>
      </c>
      <c r="D57" s="1156" t="s">
        <v>887</v>
      </c>
      <c r="E57" s="949" t="str">
        <f t="shared" si="6"/>
        <v xml:space="preserve">Options </v>
      </c>
      <c r="F57" s="1156" t="s">
        <v>887</v>
      </c>
      <c r="G57" s="1156" t="s">
        <v>887</v>
      </c>
      <c r="H57" s="949" t="str">
        <f t="shared" si="7"/>
        <v xml:space="preserve">Options </v>
      </c>
      <c r="I57" s="1156" t="s">
        <v>887</v>
      </c>
      <c r="J57" s="1156" t="s">
        <v>887</v>
      </c>
    </row>
    <row r="58" spans="2:11" ht="49.5" x14ac:dyDescent="0.25">
      <c r="B58" s="675" t="s">
        <v>915</v>
      </c>
      <c r="C58" s="682" t="s">
        <v>454</v>
      </c>
      <c r="D58" s="682" t="s">
        <v>454</v>
      </c>
      <c r="E58" s="949" t="str">
        <f t="shared" si="6"/>
        <v>Covered</v>
      </c>
      <c r="F58" s="682" t="s">
        <v>454</v>
      </c>
      <c r="G58" s="682" t="s">
        <v>454</v>
      </c>
      <c r="H58" s="949" t="str">
        <f t="shared" si="7"/>
        <v>Covered</v>
      </c>
      <c r="I58" s="682" t="s">
        <v>454</v>
      </c>
      <c r="J58" s="682" t="s">
        <v>454</v>
      </c>
    </row>
    <row r="59" spans="2:11" ht="30" customHeight="1" x14ac:dyDescent="0.25">
      <c r="B59" s="675" t="s">
        <v>1330</v>
      </c>
      <c r="C59" s="1156" t="s">
        <v>1334</v>
      </c>
      <c r="D59" s="1156" t="s">
        <v>1334</v>
      </c>
      <c r="E59" s="949" t="str">
        <f t="shared" si="6"/>
        <v>Options 
(For AUH, this limit is upto AML)</v>
      </c>
      <c r="F59" s="1156" t="s">
        <v>1334</v>
      </c>
      <c r="G59" s="1156" t="s">
        <v>1334</v>
      </c>
      <c r="H59" s="949" t="str">
        <f t="shared" si="7"/>
        <v>Options 
(For AUH, this limit is upto AML)</v>
      </c>
      <c r="I59" s="1156" t="s">
        <v>1334</v>
      </c>
      <c r="J59" s="1156" t="s">
        <v>1334</v>
      </c>
    </row>
    <row r="60" spans="2:11" ht="30" customHeight="1" x14ac:dyDescent="0.25">
      <c r="B60" s="675" t="s">
        <v>1331</v>
      </c>
      <c r="C60" s="682" t="s">
        <v>1335</v>
      </c>
      <c r="D60" s="682" t="s">
        <v>1335</v>
      </c>
      <c r="E60" s="949" t="str">
        <f t="shared" si="6"/>
        <v>Covered upto a maximum limit of AED 2500 round trip</v>
      </c>
      <c r="F60" s="682" t="s">
        <v>1335</v>
      </c>
      <c r="G60" s="682" t="s">
        <v>1335</v>
      </c>
      <c r="H60" s="949" t="str">
        <f t="shared" si="7"/>
        <v>Covered upto a maximum limit of AED 2500 round trip</v>
      </c>
      <c r="I60" s="682" t="s">
        <v>1335</v>
      </c>
      <c r="J60" s="682" t="s">
        <v>1335</v>
      </c>
    </row>
    <row r="61" spans="2:11" x14ac:dyDescent="0.25">
      <c r="B61" s="720"/>
      <c r="C61" s="676"/>
      <c r="D61" s="676"/>
      <c r="E61" s="949"/>
      <c r="F61" s="676"/>
      <c r="G61" s="676"/>
      <c r="H61" s="949"/>
      <c r="I61" s="676"/>
      <c r="J61" s="676"/>
    </row>
    <row r="62" spans="2:11" x14ac:dyDescent="0.25">
      <c r="B62" s="719" t="s">
        <v>917</v>
      </c>
      <c r="C62" s="1158"/>
      <c r="D62" s="1158"/>
      <c r="E62" s="1158"/>
      <c r="F62" s="1158"/>
      <c r="G62" s="1158"/>
      <c r="H62" s="1158"/>
      <c r="I62" s="1158"/>
      <c r="J62" s="1158"/>
    </row>
    <row r="63" spans="2:11" ht="313.5" x14ac:dyDescent="0.25">
      <c r="B63" s="1159" t="s">
        <v>1336</v>
      </c>
      <c r="C63" s="1156" t="s">
        <v>887</v>
      </c>
      <c r="D63" s="1156" t="s">
        <v>887</v>
      </c>
      <c r="E63" s="1156" t="s">
        <v>887</v>
      </c>
      <c r="F63" s="1156" t="s">
        <v>887</v>
      </c>
      <c r="G63" s="1156" t="s">
        <v>887</v>
      </c>
      <c r="H63" s="1156" t="s">
        <v>887</v>
      </c>
      <c r="I63" s="1156" t="s">
        <v>887</v>
      </c>
      <c r="J63" s="1156" t="s">
        <v>887</v>
      </c>
    </row>
    <row r="64" spans="2:11" ht="14.25" x14ac:dyDescent="0.25">
      <c r="B64" s="1160" t="s">
        <v>1337</v>
      </c>
      <c r="C64" s="676" t="s">
        <v>918</v>
      </c>
      <c r="D64" s="676" t="s">
        <v>918</v>
      </c>
      <c r="E64" s="676" t="s">
        <v>918</v>
      </c>
      <c r="F64" s="676" t="s">
        <v>918</v>
      </c>
      <c r="G64" s="676" t="s">
        <v>918</v>
      </c>
      <c r="H64" s="676" t="s">
        <v>918</v>
      </c>
      <c r="I64" s="676" t="s">
        <v>918</v>
      </c>
      <c r="J64" s="676" t="s">
        <v>918</v>
      </c>
    </row>
    <row r="65" spans="2:10" ht="42.75" x14ac:dyDescent="0.25">
      <c r="B65" s="675" t="s">
        <v>919</v>
      </c>
      <c r="C65" s="682" t="s">
        <v>920</v>
      </c>
      <c r="D65" s="682" t="s">
        <v>920</v>
      </c>
      <c r="E65" s="682" t="s">
        <v>920</v>
      </c>
      <c r="F65" s="682" t="s">
        <v>920</v>
      </c>
      <c r="G65" s="682" t="s">
        <v>920</v>
      </c>
      <c r="H65" s="682" t="s">
        <v>920</v>
      </c>
      <c r="I65" s="682" t="s">
        <v>920</v>
      </c>
      <c r="J65" s="682" t="s">
        <v>920</v>
      </c>
    </row>
    <row r="66" spans="2:10" ht="15.95" customHeight="1" x14ac:dyDescent="0.25">
      <c r="B66" s="675" t="s">
        <v>1353</v>
      </c>
      <c r="C66" s="1156" t="s">
        <v>887</v>
      </c>
      <c r="D66" s="1156" t="s">
        <v>887</v>
      </c>
      <c r="E66" s="1156" t="s">
        <v>887</v>
      </c>
      <c r="F66" s="1156" t="s">
        <v>887</v>
      </c>
      <c r="G66" s="1156" t="s">
        <v>887</v>
      </c>
      <c r="H66" s="1156" t="s">
        <v>887</v>
      </c>
      <c r="I66" s="1156" t="s">
        <v>887</v>
      </c>
      <c r="J66" s="1156" t="s">
        <v>887</v>
      </c>
    </row>
    <row r="67" spans="2:10" ht="15.95" customHeight="1" x14ac:dyDescent="0.25">
      <c r="B67" s="1119" t="s">
        <v>1338</v>
      </c>
      <c r="C67" s="436"/>
      <c r="D67" s="436"/>
      <c r="E67" s="436"/>
      <c r="F67" s="436"/>
      <c r="G67" s="436"/>
      <c r="H67" s="436"/>
      <c r="I67" s="436"/>
      <c r="J67" s="436"/>
    </row>
    <row r="68" spans="2:10" ht="15.95" customHeight="1" x14ac:dyDescent="0.25">
      <c r="B68" s="1161" t="s">
        <v>1339</v>
      </c>
      <c r="C68" s="1392" t="s">
        <v>1204</v>
      </c>
      <c r="D68" s="1392"/>
      <c r="E68" s="1392"/>
      <c r="F68" s="1392"/>
      <c r="G68" s="1392"/>
      <c r="H68" s="1392"/>
      <c r="I68" s="1392"/>
      <c r="J68" s="1392"/>
    </row>
    <row r="69" spans="2:10" ht="15.95" customHeight="1" x14ac:dyDescent="0.25">
      <c r="B69" s="1161" t="s">
        <v>1340</v>
      </c>
      <c r="C69" s="1392" t="s">
        <v>1203</v>
      </c>
      <c r="D69" s="1392"/>
      <c r="E69" s="1392"/>
      <c r="F69" s="1392"/>
      <c r="G69" s="1392"/>
      <c r="H69" s="1392"/>
      <c r="I69" s="1392"/>
      <c r="J69" s="1392"/>
    </row>
    <row r="70" spans="2:10" ht="15.95" customHeight="1" x14ac:dyDescent="0.25">
      <c r="B70" s="675"/>
      <c r="C70" s="681"/>
      <c r="D70" s="681"/>
      <c r="E70" s="951">
        <f>F70</f>
        <v>0</v>
      </c>
      <c r="F70" s="681"/>
      <c r="G70" s="681"/>
      <c r="H70" s="949"/>
      <c r="I70" s="681"/>
      <c r="J70" s="681"/>
    </row>
    <row r="71" spans="2:10" ht="15.95" customHeight="1" x14ac:dyDescent="0.25">
      <c r="B71" s="719" t="s">
        <v>921</v>
      </c>
      <c r="C71" s="1158"/>
      <c r="D71" s="1158"/>
      <c r="E71" s="1158"/>
      <c r="F71" s="1158"/>
      <c r="G71" s="1158"/>
      <c r="H71" s="1158"/>
      <c r="I71" s="1158"/>
      <c r="J71" s="1158"/>
    </row>
    <row r="72" spans="2:10" ht="165.75" customHeight="1" x14ac:dyDescent="0.25">
      <c r="B72" s="675" t="s">
        <v>1354</v>
      </c>
      <c r="C72" s="1156" t="s">
        <v>887</v>
      </c>
      <c r="D72" s="1156" t="s">
        <v>887</v>
      </c>
      <c r="E72" s="1156" t="s">
        <v>887</v>
      </c>
      <c r="F72" s="1156" t="s">
        <v>887</v>
      </c>
      <c r="G72" s="1156" t="s">
        <v>887</v>
      </c>
      <c r="H72" s="1156" t="s">
        <v>887</v>
      </c>
      <c r="I72" s="1156" t="s">
        <v>887</v>
      </c>
      <c r="J72" s="1156" t="s">
        <v>887</v>
      </c>
    </row>
    <row r="73" spans="2:10" x14ac:dyDescent="0.25">
      <c r="B73" s="675" t="s">
        <v>1021</v>
      </c>
      <c r="C73" s="1156" t="s">
        <v>887</v>
      </c>
      <c r="D73" s="1156" t="s">
        <v>887</v>
      </c>
      <c r="E73" s="1156" t="s">
        <v>887</v>
      </c>
      <c r="F73" s="1156" t="s">
        <v>887</v>
      </c>
      <c r="G73" s="1156" t="s">
        <v>887</v>
      </c>
      <c r="H73" s="1156" t="s">
        <v>887</v>
      </c>
      <c r="I73" s="1156" t="s">
        <v>887</v>
      </c>
      <c r="J73" s="1156" t="s">
        <v>887</v>
      </c>
    </row>
    <row r="74" spans="2:10" ht="14.25" x14ac:dyDescent="0.25">
      <c r="B74" s="1162" t="s">
        <v>1341</v>
      </c>
      <c r="C74" s="681"/>
      <c r="D74" s="681"/>
      <c r="E74" s="681"/>
      <c r="F74" s="681"/>
      <c r="G74" s="681"/>
      <c r="H74" s="681"/>
      <c r="I74" s="681"/>
      <c r="J74" s="681"/>
    </row>
    <row r="75" spans="2:10" x14ac:dyDescent="0.25">
      <c r="B75" s="719" t="s">
        <v>922</v>
      </c>
      <c r="C75" s="1158"/>
      <c r="D75" s="1158"/>
      <c r="E75" s="1158">
        <f>F75</f>
        <v>0</v>
      </c>
      <c r="F75" s="1158"/>
      <c r="G75" s="1158"/>
      <c r="H75" s="1158"/>
      <c r="I75" s="1158"/>
      <c r="J75" s="1158"/>
    </row>
    <row r="76" spans="2:10" ht="49.5" x14ac:dyDescent="0.25">
      <c r="B76" s="675" t="s">
        <v>989</v>
      </c>
      <c r="C76" s="1156" t="s">
        <v>887</v>
      </c>
      <c r="D76" s="1156" t="s">
        <v>887</v>
      </c>
      <c r="E76" s="1156" t="s">
        <v>887</v>
      </c>
      <c r="F76" s="1156" t="s">
        <v>887</v>
      </c>
      <c r="G76" s="1156" t="s">
        <v>887</v>
      </c>
      <c r="H76" s="1156" t="s">
        <v>887</v>
      </c>
      <c r="I76" s="1156" t="s">
        <v>887</v>
      </c>
      <c r="J76" s="1156" t="s">
        <v>887</v>
      </c>
    </row>
    <row r="77" spans="2:10" x14ac:dyDescent="0.25">
      <c r="B77" s="675" t="s">
        <v>1021</v>
      </c>
      <c r="C77" s="1156" t="s">
        <v>887</v>
      </c>
      <c r="D77" s="1156" t="s">
        <v>887</v>
      </c>
      <c r="E77" s="1156" t="s">
        <v>887</v>
      </c>
      <c r="F77" s="1156" t="s">
        <v>887</v>
      </c>
      <c r="G77" s="1156" t="s">
        <v>887</v>
      </c>
      <c r="H77" s="1156" t="s">
        <v>887</v>
      </c>
      <c r="I77" s="1156" t="s">
        <v>887</v>
      </c>
      <c r="J77" s="1156" t="s">
        <v>887</v>
      </c>
    </row>
    <row r="78" spans="2:10" x14ac:dyDescent="0.25">
      <c r="B78" s="675" t="s">
        <v>923</v>
      </c>
      <c r="C78" s="682" t="s">
        <v>130</v>
      </c>
      <c r="D78" s="682" t="s">
        <v>130</v>
      </c>
      <c r="E78" s="682" t="s">
        <v>130</v>
      </c>
      <c r="F78" s="682" t="s">
        <v>130</v>
      </c>
      <c r="G78" s="682" t="s">
        <v>130</v>
      </c>
      <c r="H78" s="682" t="s">
        <v>130</v>
      </c>
      <c r="I78" s="682" t="s">
        <v>130</v>
      </c>
      <c r="J78" s="682" t="s">
        <v>130</v>
      </c>
    </row>
    <row r="79" spans="2:10" x14ac:dyDescent="0.25">
      <c r="B79" s="720"/>
      <c r="C79" s="676"/>
      <c r="D79" s="676"/>
      <c r="E79" s="676"/>
      <c r="F79" s="676"/>
      <c r="G79" s="676"/>
      <c r="H79" s="676"/>
      <c r="I79" s="676"/>
      <c r="J79" s="676"/>
    </row>
    <row r="80" spans="2:10" x14ac:dyDescent="0.25">
      <c r="B80" s="719" t="s">
        <v>350</v>
      </c>
      <c r="C80" s="1158"/>
      <c r="D80" s="1158"/>
      <c r="E80" s="1158"/>
      <c r="F80" s="1158"/>
      <c r="G80" s="1158"/>
      <c r="H80" s="1158"/>
      <c r="I80" s="1158"/>
      <c r="J80" s="1158"/>
    </row>
    <row r="81" spans="2:10" ht="49.5" x14ac:dyDescent="0.25">
      <c r="B81" s="1159" t="s">
        <v>1342</v>
      </c>
      <c r="C81" s="1156" t="s">
        <v>887</v>
      </c>
      <c r="D81" s="1156" t="s">
        <v>887</v>
      </c>
      <c r="E81" s="1156" t="s">
        <v>887</v>
      </c>
      <c r="F81" s="1156" t="s">
        <v>887</v>
      </c>
      <c r="G81" s="1156" t="s">
        <v>887</v>
      </c>
      <c r="H81" s="1156" t="s">
        <v>887</v>
      </c>
      <c r="I81" s="1156" t="s">
        <v>887</v>
      </c>
      <c r="J81" s="1156" t="s">
        <v>887</v>
      </c>
    </row>
    <row r="82" spans="2:10" x14ac:dyDescent="0.25">
      <c r="B82" s="719" t="s">
        <v>1343</v>
      </c>
      <c r="C82" s="1158"/>
      <c r="D82" s="1158"/>
      <c r="E82" s="1158"/>
      <c r="F82" s="1158"/>
      <c r="G82" s="1158"/>
      <c r="H82" s="1158"/>
      <c r="I82" s="1158"/>
      <c r="J82" s="1158"/>
    </row>
    <row r="83" spans="2:10" x14ac:dyDescent="0.25">
      <c r="B83" s="1159" t="s">
        <v>1344</v>
      </c>
      <c r="C83" s="682" t="s">
        <v>454</v>
      </c>
      <c r="D83" s="682" t="s">
        <v>454</v>
      </c>
      <c r="E83" s="682" t="s">
        <v>454</v>
      </c>
      <c r="F83" s="682" t="s">
        <v>454</v>
      </c>
      <c r="G83" s="682" t="s">
        <v>454</v>
      </c>
      <c r="H83" s="682" t="s">
        <v>454</v>
      </c>
      <c r="I83" s="682" t="s">
        <v>454</v>
      </c>
      <c r="J83" s="682" t="s">
        <v>454</v>
      </c>
    </row>
    <row r="86" spans="2:10" ht="15" x14ac:dyDescent="0.25">
      <c r="B86" s="899" t="s">
        <v>1256</v>
      </c>
    </row>
    <row r="87" spans="2:10" ht="15" x14ac:dyDescent="0.25">
      <c r="B87" s="436" t="s">
        <v>1257</v>
      </c>
    </row>
    <row r="88" spans="2:10" ht="15" x14ac:dyDescent="0.25">
      <c r="B88" s="436" t="s">
        <v>1260</v>
      </c>
    </row>
    <row r="89" spans="2:10" ht="15" x14ac:dyDescent="0.25">
      <c r="B89" s="436" t="s">
        <v>1263</v>
      </c>
    </row>
    <row r="90" spans="2:10" ht="15" x14ac:dyDescent="0.25">
      <c r="B90" s="1097" t="s">
        <v>1264</v>
      </c>
    </row>
  </sheetData>
  <sheetProtection algorithmName="SHA-512" hashValue="9J9zBeRIXXy0wiVNxNMxQyksU15QD3P6h2jrEBHlXgBvnhUmWvCzwDlIArSdx2C5pzwgJNteev5b7Bfbhtb2QQ==" saltValue="8hcYMhcbca/eteAdYx3EjA==" spinCount="100000" sheet="1" objects="1" scenarios="1"/>
  <mergeCells count="2">
    <mergeCell ref="C68:J68"/>
    <mergeCell ref="C69:J6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30"/>
  <sheetViews>
    <sheetView workbookViewId="0">
      <selection activeCell="B20" sqref="B20"/>
    </sheetView>
  </sheetViews>
  <sheetFormatPr defaultColWidth="0" defaultRowHeight="15" zeroHeight="1" x14ac:dyDescent="0.25"/>
  <cols>
    <col min="1" max="1" width="57.42578125" style="433" customWidth="1"/>
    <col min="2" max="2" width="79" style="433" customWidth="1"/>
    <col min="3" max="16384" width="9.140625" style="433" hidden="1"/>
  </cols>
  <sheetData>
    <row r="1" spans="1:2" ht="15.75" x14ac:dyDescent="0.25">
      <c r="A1" s="221" t="s">
        <v>246</v>
      </c>
    </row>
    <row r="2" spans="1:2" x14ac:dyDescent="0.25"/>
    <row r="3" spans="1:2" ht="15.75" x14ac:dyDescent="0.25">
      <c r="A3" s="222" t="s">
        <v>270</v>
      </c>
      <c r="B3" s="1169" t="str">
        <f>IF(AND('General Information'!C18&lt;&gt;"",'General Information'!C26&lt;&gt;"",'General Information'!C33&lt;&gt;"",'General Information'!C38&lt;&gt;""),"Check General Information sheet","Ok")</f>
        <v>Ok</v>
      </c>
    </row>
    <row r="4" spans="1:2" ht="15.75" x14ac:dyDescent="0.25">
      <c r="A4" s="222" t="s">
        <v>247</v>
      </c>
      <c r="B4" s="1169" t="str">
        <f ca="1">IF('Member Data'!A3&lt;&gt;"","Check member data sheet","Ok")</f>
        <v>Ok</v>
      </c>
    </row>
    <row r="5" spans="1:2" ht="15.75" x14ac:dyDescent="0.25">
      <c r="A5" s="450" t="s">
        <v>1150</v>
      </c>
      <c r="B5" s="1170" t="str">
        <f>'Age Banded Rating'!C293</f>
        <v>Ok</v>
      </c>
    </row>
    <row r="6" spans="1:2" ht="41.25" customHeight="1" x14ac:dyDescent="0.25">
      <c r="A6" s="450" t="s">
        <v>1051</v>
      </c>
      <c r="B6" s="1170" t="str">
        <f>IF(OR('General Basis'!Q39="Check the Plan Name for the selected TPA",'General Basis'!Q40="Check the Plan Name for the selected TPA",'General Basis'!Q41="Check the Plan Name for the selected TPA",'General Basis'!Q42="Check the Plan Name for the selected TPA",'General Basis'!Q43="Check the Plan Name for the selected TPA",'General Basis'!Q44="Check the Plan Name for the selected TPA",'General Basis'!Q45="Check the Plan Name for the selected TPA",'General Basis'!Q46="Check the Plan Name for the selected TPA"),"Select the correct Plan under Benefit Selection Group Sheet for the Opted TPA","Ok")</f>
        <v>Ok</v>
      </c>
    </row>
    <row r="7" spans="1:2" ht="15.75" x14ac:dyDescent="0.25">
      <c r="A7" s="450" t="s">
        <v>1113</v>
      </c>
      <c r="B7" s="1169" t="str">
        <f>IF(n_lives&gt;=3,"Ok","Refer to RGA")</f>
        <v>Ok</v>
      </c>
    </row>
    <row r="8" spans="1:2" ht="15.75" x14ac:dyDescent="0.25">
      <c r="A8" s="764" t="s">
        <v>944</v>
      </c>
      <c r="B8" s="1171" t="str">
        <f>IF('Member Data'!BJ4&gt;0,"Ok","Refer to RGA")</f>
        <v>Ok</v>
      </c>
    </row>
    <row r="9" spans="1:2" ht="32.25" customHeight="1" x14ac:dyDescent="0.25">
      <c r="A9" s="764" t="s">
        <v>1056</v>
      </c>
      <c r="B9" s="1171" t="str">
        <f>IF('Member Data'!BJ3="Ok","Ok","Refer to RGA")</f>
        <v>Ok</v>
      </c>
    </row>
    <row r="10" spans="1:2" ht="15.75" x14ac:dyDescent="0.25">
      <c r="A10" s="764" t="s">
        <v>1011</v>
      </c>
      <c r="B10" s="843" t="str">
        <f>IF('General Basis'!O47=FALSE,"Value Network NOT offered to AUH Plan","Ok")</f>
        <v>Ok</v>
      </c>
    </row>
    <row r="11" spans="1:2" ht="15.75" x14ac:dyDescent="0.25">
      <c r="A11" s="450" t="s">
        <v>949</v>
      </c>
      <c r="B11" s="843" t="str">
        <f>IF('General Basis'!M47='General Basis'!N47=TRUE,"Ok","Check the AML or Maternity Limit")</f>
        <v>Ok</v>
      </c>
    </row>
    <row r="12" spans="1:2" ht="15.75" x14ac:dyDescent="0.25">
      <c r="A12" s="450" t="s">
        <v>666</v>
      </c>
      <c r="B12" s="1169" t="str">
        <f>IF('Group Engine'!D187&gt;1,"Refer to RGA","Ok")</f>
        <v>Ok</v>
      </c>
    </row>
    <row r="13" spans="1:2" ht="15.75" x14ac:dyDescent="0.25">
      <c r="A13" s="450" t="s">
        <v>1093</v>
      </c>
      <c r="B13" s="1169" t="str">
        <f>IF(OR(AND('Experience Rating'!$H$4=1,'General Information'!$D$30/365*12&lt;8.5),'Claims Module'!$B$14="No"),"Refer to RGA","Ok")</f>
        <v>Ok</v>
      </c>
    </row>
    <row r="14" spans="1:2" ht="24.75" customHeight="1" x14ac:dyDescent="0.25">
      <c r="A14" s="450" t="s">
        <v>1114</v>
      </c>
      <c r="B14" s="1169" t="str">
        <f ca="1">IF(AND(Expiry_Date_Tool&gt;TODAY(),n_lives&lt;=1500),"Ok","Refer to RGA")</f>
        <v>Ok</v>
      </c>
    </row>
    <row r="15" spans="1:2" ht="15.75" x14ac:dyDescent="0.25">
      <c r="A15" s="450" t="s">
        <v>955</v>
      </c>
      <c r="B15" s="1169" t="str">
        <f>IF('Claims Module'!B14="Yes","Ok","Refer to RGA")</f>
        <v>Ok</v>
      </c>
    </row>
    <row r="16" spans="1:2" ht="15.75" x14ac:dyDescent="0.25">
      <c r="A16" s="450" t="s">
        <v>1161</v>
      </c>
      <c r="B16" s="1169" t="str">
        <f>IF(Gross_Loading&lt;=30%,"Ok","Refer to RGA")</f>
        <v>Ok</v>
      </c>
    </row>
    <row r="17" spans="1:2" ht="15.75" x14ac:dyDescent="0.25">
      <c r="A17" s="450" t="s">
        <v>1346</v>
      </c>
      <c r="B17" s="1169" t="str">
        <f>'General Basis'!J97</f>
        <v>Ok</v>
      </c>
    </row>
    <row r="18" spans="1:2" ht="15.75" x14ac:dyDescent="0.25">
      <c r="A18" s="450" t="s">
        <v>1348</v>
      </c>
      <c r="B18" s="1169" t="str">
        <f>'General Basis'!J99</f>
        <v>Ok</v>
      </c>
    </row>
    <row r="19" spans="1:2" ht="15.75" x14ac:dyDescent="0.25">
      <c r="A19" s="450" t="s">
        <v>1347</v>
      </c>
      <c r="B19" s="1169" t="str">
        <f>'General Basis'!J98</f>
        <v>Ok</v>
      </c>
    </row>
    <row r="20" spans="1:2" ht="15.75" x14ac:dyDescent="0.25">
      <c r="A20" s="450" t="s">
        <v>1163</v>
      </c>
      <c r="B20" s="1169" t="str">
        <f>IF('Benefit Selection - Group'!A3="NAS","Ok","Refer to RGA")</f>
        <v>Ok</v>
      </c>
    </row>
    <row r="21" spans="1:2" ht="15.75" x14ac:dyDescent="0.25">
      <c r="A21" s="450" t="s">
        <v>1213</v>
      </c>
      <c r="B21" s="1170" t="str">
        <f>'Age Banded Rating'!C295</f>
        <v>Ok</v>
      </c>
    </row>
    <row r="22" spans="1:2" ht="15.75" x14ac:dyDescent="0.25">
      <c r="A22" s="450" t="s">
        <v>1215</v>
      </c>
      <c r="B22" s="1169" t="str">
        <f>'Age Banded Rating'!C296</f>
        <v>Ok</v>
      </c>
    </row>
    <row r="23" spans="1:2" ht="15.75" x14ac:dyDescent="0.25">
      <c r="A23" s="222" t="s">
        <v>248</v>
      </c>
      <c r="B23" s="1169" t="str">
        <f>IF('Claims Module'!A2&lt;&gt;"","Check Claims Module","Ok")</f>
        <v>Ok</v>
      </c>
    </row>
    <row r="24" spans="1:2" x14ac:dyDescent="0.25">
      <c r="A24" s="545" t="str">
        <f t="array" aca="1" ref="A24" ca="1">IF(AND($B$3:$B$23="ok"),"","Please see issues above")</f>
        <v/>
      </c>
    </row>
    <row r="25" spans="1:2" x14ac:dyDescent="0.25"/>
    <row r="30" spans="1:2" hidden="1" x14ac:dyDescent="0.25">
      <c r="B30" s="546"/>
    </row>
  </sheetData>
  <sheetProtection algorithmName="SHA-512" hashValue="O+3aTeI5ZTv2veBQXSUSNqL4P1jILFvG9DHTNYrzalbBwWMajrsgQI0pSEcvUw0DLUQ8gMoSPzjHc8C4vvfQ/Q==" saltValue="8iwJgrN4+6I7rjkdtrx5Eg==" spinCount="100000"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R402"/>
  <sheetViews>
    <sheetView showGridLines="0" topLeftCell="A69" zoomScale="55" zoomScaleNormal="55" zoomScaleSheetLayoutView="40" workbookViewId="0">
      <selection activeCell="G89" sqref="G89"/>
    </sheetView>
  </sheetViews>
  <sheetFormatPr defaultColWidth="0" defaultRowHeight="15" zeroHeight="1" outlineLevelRow="1" x14ac:dyDescent="0.25"/>
  <cols>
    <col min="1" max="1" width="9.140625" style="433" customWidth="1"/>
    <col min="2" max="2" width="66.42578125" style="433" customWidth="1"/>
    <col min="3" max="6" width="28.7109375" style="433" customWidth="1"/>
    <col min="7" max="7" width="39.85546875" style="433" customWidth="1"/>
    <col min="8" max="8" width="37.7109375" style="433" customWidth="1"/>
    <col min="9" max="9" width="37.42578125" style="433" customWidth="1"/>
    <col min="10" max="10" width="37.28515625" style="433" customWidth="1"/>
    <col min="11" max="11" width="38.42578125" style="433" customWidth="1"/>
    <col min="12" max="12" width="39" style="433" customWidth="1"/>
    <col min="13" max="13" width="38.28515625" style="867" customWidth="1"/>
    <col min="14" max="14" width="38.7109375" style="433" customWidth="1"/>
    <col min="15" max="15" width="9.140625" style="433" customWidth="1"/>
    <col min="16" max="18" width="9.140625" style="433" hidden="1" customWidth="1"/>
    <col min="19" max="16384" width="9.140625" style="723" hidden="1"/>
  </cols>
  <sheetData>
    <row r="1" spans="2:14" x14ac:dyDescent="0.25"/>
    <row r="2" spans="2:14" ht="15.75" x14ac:dyDescent="0.25">
      <c r="B2" s="801" t="s">
        <v>375</v>
      </c>
      <c r="C2" s="1437" t="str">
        <f>'General Information'!D8</f>
        <v>Al Mizan Realty Developers LLC</v>
      </c>
      <c r="D2" s="1437"/>
      <c r="E2" s="1437"/>
      <c r="F2" s="1437"/>
      <c r="G2" s="1437"/>
      <c r="H2" s="798"/>
      <c r="I2" s="799"/>
      <c r="J2" s="799"/>
      <c r="K2" s="799"/>
      <c r="L2" s="799"/>
      <c r="M2" s="868"/>
      <c r="N2" s="869"/>
    </row>
    <row r="3" spans="2:14" ht="15.75" x14ac:dyDescent="0.25">
      <c r="B3" s="802" t="s">
        <v>377</v>
      </c>
      <c r="C3" s="1444">
        <f>'General Information'!D14</f>
        <v>45742</v>
      </c>
      <c r="D3" s="1444"/>
      <c r="E3" s="1444"/>
      <c r="F3" s="1444"/>
      <c r="G3" s="1444"/>
      <c r="H3" s="861"/>
      <c r="N3" s="870"/>
    </row>
    <row r="4" spans="2:14" ht="15.75" x14ac:dyDescent="0.25">
      <c r="B4" s="802" t="s">
        <v>378</v>
      </c>
      <c r="C4" s="1438" t="s">
        <v>379</v>
      </c>
      <c r="D4" s="1438"/>
      <c r="E4" s="1438"/>
      <c r="F4" s="1438"/>
      <c r="G4" s="1438"/>
      <c r="H4" s="861"/>
      <c r="N4" s="870"/>
    </row>
    <row r="5" spans="2:14" ht="15.75" x14ac:dyDescent="0.25">
      <c r="B5" s="802" t="s">
        <v>380</v>
      </c>
      <c r="C5" s="1438" t="s">
        <v>381</v>
      </c>
      <c r="D5" s="1438"/>
      <c r="E5" s="1438"/>
      <c r="F5" s="1438"/>
      <c r="G5" s="1438"/>
      <c r="H5" s="861"/>
      <c r="N5" s="870"/>
    </row>
    <row r="6" spans="2:14" ht="15.75" x14ac:dyDescent="0.25">
      <c r="B6" s="802" t="s">
        <v>382</v>
      </c>
      <c r="C6" s="1439" t="str">
        <f ca="1">"Direct Billing - "&amp;OFFSET('General Basis'!F7,'General Basis'!H8,0)</f>
        <v>Direct Billing - NAS</v>
      </c>
      <c r="D6" s="1439"/>
      <c r="E6" s="1439"/>
      <c r="F6" s="1439"/>
      <c r="G6" s="1439"/>
      <c r="H6" s="864"/>
      <c r="N6" s="870"/>
    </row>
    <row r="7" spans="2:14" ht="15.75" x14ac:dyDescent="0.25">
      <c r="B7" s="802" t="s">
        <v>384</v>
      </c>
      <c r="C7" s="1438" t="s">
        <v>385</v>
      </c>
      <c r="D7" s="1438"/>
      <c r="E7" s="1438"/>
      <c r="F7" s="1438"/>
      <c r="G7" s="1438"/>
      <c r="H7" s="861"/>
      <c r="N7" s="870"/>
    </row>
    <row r="8" spans="2:14" ht="15.75" x14ac:dyDescent="0.25">
      <c r="B8" s="802" t="s">
        <v>386</v>
      </c>
      <c r="C8" s="1438" t="s">
        <v>387</v>
      </c>
      <c r="D8" s="1438"/>
      <c r="E8" s="1438"/>
      <c r="F8" s="1438"/>
      <c r="G8" s="1438"/>
      <c r="H8" s="861"/>
      <c r="N8" s="870"/>
    </row>
    <row r="9" spans="2:14" ht="15.75" x14ac:dyDescent="0.25">
      <c r="B9" s="802" t="s">
        <v>388</v>
      </c>
      <c r="C9" s="1440" t="str">
        <f>'General Information'!D42</f>
        <v>Al Nabooda</v>
      </c>
      <c r="D9" s="1440"/>
      <c r="E9" s="1440"/>
      <c r="F9" s="1440"/>
      <c r="G9" s="1440"/>
      <c r="H9" s="797"/>
      <c r="N9" s="870"/>
    </row>
    <row r="10" spans="2:14" ht="17.25" customHeight="1" x14ac:dyDescent="0.25">
      <c r="B10" s="803"/>
      <c r="C10" s="1443"/>
      <c r="D10" s="1443"/>
      <c r="E10" s="1443"/>
      <c r="F10" s="1443"/>
      <c r="G10" s="1443"/>
      <c r="H10" s="871"/>
      <c r="I10" s="800"/>
      <c r="J10" s="800"/>
      <c r="K10" s="800"/>
      <c r="L10" s="800"/>
      <c r="M10" s="872"/>
      <c r="N10" s="873"/>
    </row>
    <row r="11" spans="2:14" x14ac:dyDescent="0.25"/>
    <row r="12" spans="2:14" ht="15.75" x14ac:dyDescent="0.25">
      <c r="B12" s="531" t="s">
        <v>391</v>
      </c>
    </row>
    <row r="13" spans="2:14" ht="18.75" customHeight="1" x14ac:dyDescent="0.25">
      <c r="B13" s="1413" t="s">
        <v>392</v>
      </c>
      <c r="C13" s="799" t="s">
        <v>971</v>
      </c>
      <c r="D13" s="799"/>
      <c r="E13" s="799"/>
      <c r="F13" s="799"/>
      <c r="G13" s="799"/>
      <c r="H13" s="804"/>
      <c r="I13" s="799"/>
      <c r="J13" s="799"/>
      <c r="K13" s="799"/>
      <c r="L13" s="799"/>
      <c r="M13" s="868"/>
      <c r="N13" s="869"/>
    </row>
    <row r="14" spans="2:14" x14ac:dyDescent="0.25">
      <c r="B14" s="1414"/>
      <c r="C14" s="1441" t="s">
        <v>607</v>
      </c>
      <c r="D14" s="1442"/>
      <c r="E14" s="1442"/>
      <c r="F14" s="1442"/>
      <c r="G14" s="1442"/>
      <c r="H14" s="874"/>
      <c r="N14" s="870"/>
    </row>
    <row r="15" spans="2:14" x14ac:dyDescent="0.25">
      <c r="B15" s="1414"/>
      <c r="C15" s="875" t="s">
        <v>972</v>
      </c>
      <c r="D15" s="875"/>
      <c r="E15" s="875"/>
      <c r="F15" s="875"/>
      <c r="G15" s="875"/>
      <c r="H15" s="874"/>
      <c r="N15" s="870"/>
    </row>
    <row r="16" spans="2:14" x14ac:dyDescent="0.25">
      <c r="B16" s="1414"/>
      <c r="C16" s="876" t="s">
        <v>970</v>
      </c>
      <c r="D16" s="875"/>
      <c r="E16" s="875"/>
      <c r="F16" s="875"/>
      <c r="G16" s="875"/>
      <c r="H16" s="874"/>
      <c r="N16" s="870"/>
    </row>
    <row r="17" spans="2:14" x14ac:dyDescent="0.25">
      <c r="B17" s="1414"/>
      <c r="C17" s="875" t="s">
        <v>603</v>
      </c>
      <c r="D17" s="875"/>
      <c r="E17" s="875"/>
      <c r="F17" s="875"/>
      <c r="G17" s="875"/>
      <c r="H17" s="874"/>
      <c r="N17" s="870"/>
    </row>
    <row r="18" spans="2:14" x14ac:dyDescent="0.25">
      <c r="B18" s="1414"/>
      <c r="C18" s="875" t="s">
        <v>604</v>
      </c>
      <c r="D18" s="875"/>
      <c r="E18" s="875"/>
      <c r="F18" s="875"/>
      <c r="G18" s="875"/>
      <c r="H18" s="874"/>
      <c r="N18" s="870"/>
    </row>
    <row r="19" spans="2:14" x14ac:dyDescent="0.25">
      <c r="B19" s="1414"/>
      <c r="C19" s="875" t="s">
        <v>605</v>
      </c>
      <c r="D19" s="875"/>
      <c r="E19" s="875"/>
      <c r="F19" s="875"/>
      <c r="G19" s="875"/>
      <c r="H19" s="874"/>
      <c r="N19" s="870"/>
    </row>
    <row r="20" spans="2:14" ht="18.75" customHeight="1" x14ac:dyDescent="0.25">
      <c r="B20" s="1415"/>
      <c r="C20" s="875" t="s">
        <v>606</v>
      </c>
      <c r="D20" s="875"/>
      <c r="E20" s="875"/>
      <c r="F20" s="875"/>
      <c r="G20" s="875"/>
      <c r="H20" s="874"/>
      <c r="N20" s="870"/>
    </row>
    <row r="21" spans="2:14" ht="22.5" customHeight="1" x14ac:dyDescent="0.25">
      <c r="B21" s="531" t="s">
        <v>402</v>
      </c>
      <c r="C21" s="807" t="s">
        <v>973</v>
      </c>
      <c r="D21" s="799"/>
      <c r="E21" s="799"/>
      <c r="F21" s="799"/>
      <c r="G21" s="799"/>
      <c r="H21" s="804"/>
      <c r="I21" s="799"/>
      <c r="J21" s="799"/>
      <c r="K21" s="799"/>
      <c r="L21" s="799"/>
      <c r="M21" s="868"/>
      <c r="N21" s="869"/>
    </row>
    <row r="22" spans="2:14" ht="22.5" customHeight="1" x14ac:dyDescent="0.25">
      <c r="B22" s="531" t="s">
        <v>404</v>
      </c>
      <c r="C22" s="805" t="s">
        <v>974</v>
      </c>
      <c r="D22" s="806"/>
      <c r="E22" s="806"/>
      <c r="F22" s="806"/>
      <c r="G22" s="806"/>
      <c r="H22" s="863"/>
      <c r="I22" s="806"/>
      <c r="J22" s="806"/>
      <c r="K22" s="806"/>
      <c r="L22" s="806"/>
      <c r="M22" s="877"/>
      <c r="N22" s="878"/>
    </row>
    <row r="23" spans="2:14" ht="30.75" customHeight="1" x14ac:dyDescent="0.25">
      <c r="B23" s="531" t="s">
        <v>406</v>
      </c>
      <c r="C23" s="805" t="s">
        <v>975</v>
      </c>
      <c r="D23" s="806"/>
      <c r="E23" s="806"/>
      <c r="F23" s="806"/>
      <c r="G23" s="806"/>
      <c r="H23" s="863"/>
      <c r="I23" s="806"/>
      <c r="J23" s="806"/>
      <c r="K23" s="806"/>
      <c r="L23" s="806"/>
      <c r="M23" s="877"/>
      <c r="N23" s="878"/>
    </row>
    <row r="24" spans="2:14" ht="33.75" customHeight="1" x14ac:dyDescent="0.25">
      <c r="B24" s="531" t="s">
        <v>408</v>
      </c>
      <c r="C24" s="805" t="s">
        <v>976</v>
      </c>
      <c r="D24" s="806"/>
      <c r="E24" s="806"/>
      <c r="F24" s="806"/>
      <c r="G24" s="806"/>
      <c r="H24" s="863"/>
      <c r="I24" s="806"/>
      <c r="J24" s="806"/>
      <c r="K24" s="806"/>
      <c r="L24" s="806"/>
      <c r="M24" s="877"/>
      <c r="N24" s="878"/>
    </row>
    <row r="25" spans="2:14" ht="17.25" customHeight="1" x14ac:dyDescent="0.25">
      <c r="B25" s="1420" t="s">
        <v>410</v>
      </c>
      <c r="C25" s="807" t="s">
        <v>977</v>
      </c>
      <c r="D25" s="799"/>
      <c r="E25" s="799"/>
      <c r="F25" s="799"/>
      <c r="G25" s="799"/>
      <c r="H25" s="804"/>
      <c r="I25" s="799"/>
      <c r="J25" s="799"/>
      <c r="K25" s="799"/>
      <c r="L25" s="799"/>
      <c r="M25" s="868"/>
      <c r="N25" s="869"/>
    </row>
    <row r="26" spans="2:14" ht="35.25" customHeight="1" x14ac:dyDescent="0.25">
      <c r="B26" s="1420"/>
      <c r="C26" s="1421" t="s">
        <v>608</v>
      </c>
      <c r="D26" s="1422"/>
      <c r="E26" s="1422"/>
      <c r="F26" s="1422"/>
      <c r="G26" s="1422"/>
      <c r="H26" s="1422"/>
      <c r="I26" s="1422"/>
      <c r="J26" s="1422"/>
      <c r="K26" s="1422"/>
      <c r="L26" s="1422"/>
      <c r="M26" s="1422"/>
      <c r="N26" s="1423"/>
    </row>
    <row r="27" spans="2:14" ht="24" customHeight="1" x14ac:dyDescent="0.25">
      <c r="B27" s="1420" t="s">
        <v>413</v>
      </c>
      <c r="C27" s="807" t="s">
        <v>978</v>
      </c>
      <c r="D27" s="799"/>
      <c r="E27" s="799"/>
      <c r="F27" s="799"/>
      <c r="G27" s="799"/>
      <c r="H27" s="804"/>
      <c r="I27" s="799"/>
      <c r="J27" s="799"/>
      <c r="K27" s="799"/>
      <c r="L27" s="799"/>
      <c r="M27" s="868"/>
      <c r="N27" s="869"/>
    </row>
    <row r="28" spans="2:14" ht="27.75" customHeight="1" x14ac:dyDescent="0.25">
      <c r="B28" s="1420"/>
      <c r="C28" s="809" t="s">
        <v>979</v>
      </c>
      <c r="D28" s="800"/>
      <c r="E28" s="800"/>
      <c r="F28" s="800"/>
      <c r="G28" s="800"/>
      <c r="H28" s="862"/>
      <c r="I28" s="800"/>
      <c r="J28" s="800"/>
      <c r="K28" s="800"/>
      <c r="L28" s="800"/>
      <c r="M28" s="872"/>
      <c r="N28" s="873"/>
    </row>
    <row r="29" spans="2:14" ht="31.5" customHeight="1" x14ac:dyDescent="0.25">
      <c r="B29" s="1413" t="s">
        <v>752</v>
      </c>
      <c r="C29" s="865" t="str">
        <f>IF(SUM('Member Data'!O39:V39)&gt;0,"There are "&amp;SUM('Member Data'!O39:V39)&amp;" dependent child(ren). Dependent Children are covered from DOB up to age 18 years. This may be extended to age 25 year provided they are enrolled as a full time student at an accredited school or college and is not employed on a full time basis","")</f>
        <v>There are 2 dependent child(ren). Dependent Children are covered from DOB up to age 18 years. This may be extended to age 25 year provided they are enrolled as a full time student at an accredited school or college and is not employed on a full time basis</v>
      </c>
      <c r="D29" s="810"/>
      <c r="E29" s="810"/>
      <c r="F29" s="810"/>
      <c r="G29" s="810"/>
      <c r="H29" s="811"/>
      <c r="I29" s="799"/>
      <c r="J29" s="799"/>
      <c r="K29" s="799"/>
      <c r="L29" s="799"/>
      <c r="M29" s="868"/>
      <c r="N29" s="869"/>
    </row>
    <row r="30" spans="2:14" ht="27" customHeight="1" x14ac:dyDescent="0.25">
      <c r="B30" s="1415"/>
      <c r="C30" s="879" t="str">
        <f>IF(C29&lt;&gt; ""," Written proof may be required from the educational institution where they are enrolled) or up to age 30 year for unmarried females. If Otherwise, the member cannot be covered as Dependent Child. ","")</f>
        <v xml:space="preserve"> Written proof may be required from the educational institution where they are enrolled) or up to age 30 year for unmarried females. If Otherwise, the member cannot be covered as Dependent Child. </v>
      </c>
      <c r="D30" s="880"/>
      <c r="E30" s="880"/>
      <c r="F30" s="880"/>
      <c r="G30" s="880"/>
      <c r="H30" s="881"/>
      <c r="I30" s="800"/>
      <c r="J30" s="800"/>
      <c r="K30" s="800"/>
      <c r="L30" s="800"/>
      <c r="M30" s="872"/>
      <c r="N30" s="873"/>
    </row>
    <row r="31" spans="2:14" ht="67.5" customHeight="1" x14ac:dyDescent="0.25">
      <c r="B31" s="531" t="s">
        <v>762</v>
      </c>
      <c r="C31" s="1393" t="s">
        <v>764</v>
      </c>
      <c r="D31" s="1393"/>
      <c r="E31" s="1393"/>
      <c r="F31" s="1393"/>
      <c r="G31" s="1393"/>
      <c r="H31" s="1393"/>
      <c r="I31" s="1393"/>
      <c r="J31" s="1393"/>
      <c r="K31" s="1393"/>
      <c r="L31" s="1393"/>
      <c r="M31" s="1393"/>
      <c r="N31" s="1394"/>
    </row>
    <row r="32" spans="2:14" ht="99" customHeight="1" x14ac:dyDescent="0.25">
      <c r="B32" s="531" t="s">
        <v>763</v>
      </c>
      <c r="C32" s="1395" t="s">
        <v>778</v>
      </c>
      <c r="D32" s="1395"/>
      <c r="E32" s="1395"/>
      <c r="F32" s="1395"/>
      <c r="G32" s="1395"/>
      <c r="H32" s="1395"/>
      <c r="I32" s="1395"/>
      <c r="J32" s="1395"/>
      <c r="K32" s="1395"/>
      <c r="L32" s="1395"/>
      <c r="M32" s="1395"/>
      <c r="N32" s="1396"/>
    </row>
    <row r="33" spans="1:18" ht="15.75" x14ac:dyDescent="0.25">
      <c r="B33" s="531" t="s">
        <v>991</v>
      </c>
      <c r="C33" s="1395" t="s">
        <v>990</v>
      </c>
      <c r="D33" s="1395"/>
      <c r="E33" s="1395"/>
      <c r="F33" s="1395"/>
      <c r="G33" s="1395"/>
      <c r="H33" s="1395"/>
      <c r="I33" s="1395"/>
      <c r="J33" s="1395"/>
      <c r="K33" s="1395"/>
      <c r="L33" s="1395"/>
      <c r="M33" s="1395"/>
      <c r="N33" s="1396"/>
    </row>
    <row r="34" spans="1:18" ht="24.75" customHeight="1" x14ac:dyDescent="0.25">
      <c r="B34" s="1417" t="s">
        <v>288</v>
      </c>
      <c r="C34" s="1424" t="str">
        <f>IF('Experience Rating'!$H$4=2,"Group Declaration Form (GDF) is to be provided if the group is priced without the claim experience.")</f>
        <v>Group Declaration Form (GDF) is to be provided if the group is priced without the claim experience.</v>
      </c>
      <c r="D34" s="1424"/>
      <c r="E34" s="1424"/>
      <c r="F34" s="1424"/>
      <c r="G34" s="1424"/>
      <c r="H34" s="1424"/>
      <c r="I34" s="1424"/>
      <c r="J34" s="1424"/>
      <c r="K34" s="1424"/>
      <c r="L34" s="1424"/>
      <c r="M34" s="1424"/>
      <c r="N34" s="869"/>
    </row>
    <row r="35" spans="1:18" ht="11.25" customHeight="1" x14ac:dyDescent="0.25">
      <c r="B35" s="1418"/>
      <c r="C35" s="997" t="str">
        <f>IF('General Basis'!D3=2,"- Individual Policy - Rates are indicative and subject to receipt and review of the medical application form","")</f>
        <v/>
      </c>
      <c r="D35" s="997"/>
      <c r="E35" s="997"/>
      <c r="F35" s="997"/>
      <c r="G35" s="997"/>
      <c r="H35" s="997"/>
      <c r="I35" s="997"/>
      <c r="J35" s="997"/>
      <c r="K35" s="997"/>
      <c r="L35" s="997"/>
      <c r="M35" s="997"/>
      <c r="N35" s="870"/>
    </row>
    <row r="36" spans="1:18" ht="26.25" customHeight="1" x14ac:dyDescent="0.25">
      <c r="B36" s="1418"/>
      <c r="C36" s="866" t="str">
        <f>IF('Member Data'!AS9&gt;0,"- There are members over 64.  Rates below are indicative and may be subject to change after review of medical application form","")</f>
        <v/>
      </c>
      <c r="D36" s="808"/>
      <c r="E36" s="808"/>
      <c r="F36" s="808"/>
      <c r="G36" s="808"/>
      <c r="H36" s="808"/>
      <c r="I36" s="808"/>
      <c r="J36" s="808"/>
      <c r="K36" s="808"/>
      <c r="L36" s="808"/>
      <c r="M36" s="808"/>
      <c r="N36" s="870"/>
    </row>
    <row r="37" spans="1:18" ht="28.5" customHeight="1" x14ac:dyDescent="0.25">
      <c r="B37" s="1419"/>
      <c r="C37" s="1397" t="str">
        <f>IF(AND(SUM('Member Data'!O38:V38)&gt;0,'Experience Rating'!H8&gt;1), "There are "&amp;SUM('Member Data'!O38:V38)&amp;" Adult(s) above 64 Years. We assume that this/these member(s) joined the group prior to attaining the age of 65 yrs. If otherwise these member rates are indicative and may be subject to change after review of medical application form.","")</f>
        <v/>
      </c>
      <c r="D37" s="1397"/>
      <c r="E37" s="1397"/>
      <c r="F37" s="1397"/>
      <c r="G37" s="1397"/>
      <c r="H37" s="1397"/>
      <c r="I37" s="1397"/>
      <c r="J37" s="1397"/>
      <c r="K37" s="1397"/>
      <c r="L37" s="1397"/>
      <c r="M37" s="1397"/>
      <c r="N37" s="1398"/>
    </row>
    <row r="38" spans="1:18" x14ac:dyDescent="0.25"/>
    <row r="39" spans="1:18" s="883" customFormat="1" ht="26.25" x14ac:dyDescent="0.4">
      <c r="A39" s="882"/>
      <c r="B39" s="1416" t="s">
        <v>981</v>
      </c>
      <c r="C39" s="1416"/>
      <c r="D39" s="1416"/>
      <c r="E39" s="1416"/>
      <c r="F39" s="1416"/>
      <c r="G39" s="812" t="str">
        <f>IF('General Basis'!$D$8&gt;=1,"Category A","")</f>
        <v>Category A</v>
      </c>
      <c r="H39" s="812" t="str">
        <f>IF('General Basis'!$D$8&gt;=2,"Category B","")</f>
        <v/>
      </c>
      <c r="I39" s="812" t="str">
        <f>IF('General Basis'!$D$8&gt;=3,"Category C","")</f>
        <v/>
      </c>
      <c r="J39" s="812" t="str">
        <f>IF('General Basis'!$D$8&gt;=4,"Category D","")</f>
        <v/>
      </c>
      <c r="K39" s="812" t="str">
        <f>IF('General Basis'!$D$8&gt;=5,"Category E","")</f>
        <v/>
      </c>
      <c r="L39" s="812" t="str">
        <f>IF('General Basis'!$D$8&gt;=6,"Category F","")</f>
        <v/>
      </c>
      <c r="M39" s="812" t="str">
        <f>IF('General Basis'!$D$8&gt;=7,"Category G","")</f>
        <v/>
      </c>
      <c r="N39" s="812" t="str">
        <f>IF('General Basis'!$D$8&gt;=8,"Category H","")</f>
        <v/>
      </c>
      <c r="O39" s="882"/>
      <c r="P39" s="882"/>
      <c r="Q39" s="882"/>
      <c r="R39" s="882"/>
    </row>
    <row r="40" spans="1:18" x14ac:dyDescent="0.25">
      <c r="B40" s="1411" t="s">
        <v>628</v>
      </c>
      <c r="C40" s="1411"/>
      <c r="D40" s="1411"/>
      <c r="E40" s="1411"/>
      <c r="F40" s="1411"/>
      <c r="G40" s="435" t="str">
        <f t="shared" ref="G40:N40" si="0">IF(G$39&lt;&gt;"","IP + OP","")</f>
        <v>IP + OP</v>
      </c>
      <c r="H40" s="435" t="str">
        <f t="shared" si="0"/>
        <v/>
      </c>
      <c r="I40" s="435" t="str">
        <f t="shared" si="0"/>
        <v/>
      </c>
      <c r="J40" s="435" t="str">
        <f t="shared" si="0"/>
        <v/>
      </c>
      <c r="K40" s="435" t="str">
        <f t="shared" si="0"/>
        <v/>
      </c>
      <c r="L40" s="435" t="str">
        <f t="shared" si="0"/>
        <v/>
      </c>
      <c r="M40" s="435" t="str">
        <f t="shared" si="0"/>
        <v/>
      </c>
      <c r="N40" s="435" t="str">
        <f t="shared" si="0"/>
        <v/>
      </c>
    </row>
    <row r="41" spans="1:18" x14ac:dyDescent="0.25">
      <c r="B41" s="1411" t="s">
        <v>30</v>
      </c>
      <c r="C41" s="1411"/>
      <c r="D41" s="1411"/>
      <c r="E41" s="1411"/>
      <c r="F41" s="1411"/>
      <c r="G41" s="435" t="str">
        <f>IF(G$39&lt;&gt;"",'Benefit Selection - Group'!B10,"")</f>
        <v>Workers Network</v>
      </c>
      <c r="H41" s="435" t="str">
        <f>IF(H$39&lt;&gt;"",'Benefit Selection - Group'!G10,"")</f>
        <v/>
      </c>
      <c r="I41" s="435" t="str">
        <f>IF(I$39&lt;&gt;"",'Benefit Selection - Group'!L10,"")</f>
        <v/>
      </c>
      <c r="J41" s="435" t="str">
        <f>IF(J$39&lt;&gt;"",'Benefit Selection - Group'!Q10,"")</f>
        <v/>
      </c>
      <c r="K41" s="435" t="str">
        <f>IF(K$39&lt;&gt;"",'Benefit Selection - Group'!V10,"")</f>
        <v/>
      </c>
      <c r="L41" s="435" t="str">
        <f>IF(L$39&lt;&gt;"",'Benefit Selection - Group'!AA10,"")</f>
        <v/>
      </c>
      <c r="M41" s="435" t="str">
        <f>IF(M$39&lt;&gt;"",'Benefit Selection - Group'!AF10,"")</f>
        <v/>
      </c>
      <c r="N41" s="435" t="str">
        <f>IF(N$39&lt;&gt;"",'Benefit Selection - Group'!AK10,"")</f>
        <v/>
      </c>
    </row>
    <row r="42" spans="1:18" hidden="1" x14ac:dyDescent="0.25">
      <c r="B42" s="1411" t="s">
        <v>33</v>
      </c>
      <c r="C42" s="1411"/>
      <c r="D42" s="1411"/>
      <c r="E42" s="1411"/>
      <c r="F42" s="1411"/>
      <c r="G42" s="435" t="str">
        <f>IF(G$39&lt;&gt;"",'Benefit Selection - Group'!B14,"")</f>
        <v>RN3</v>
      </c>
      <c r="H42" s="435" t="str">
        <f>IF(H$39&lt;&gt;"",'Benefit Selection - Group'!G14,"")</f>
        <v/>
      </c>
      <c r="I42" s="435" t="str">
        <f>IF(I$39&lt;&gt;"",'Benefit Selection - Group'!L14,"")</f>
        <v/>
      </c>
      <c r="J42" s="435" t="str">
        <f>IF(J$39&lt;&gt;"",'Benefit Selection - Group'!Q14,"")</f>
        <v/>
      </c>
      <c r="K42" s="435" t="str">
        <f>IF(K$39&lt;&gt;"",'Benefit Selection - Group'!V14,"")</f>
        <v/>
      </c>
      <c r="L42" s="435" t="str">
        <f>IF(L$39&lt;&gt;"",'Benefit Selection - Group'!AA14,"")</f>
        <v/>
      </c>
      <c r="M42" s="435" t="str">
        <f>IF(M$39&lt;&gt;"",'Benefit Selection - Group'!AF14,"")</f>
        <v/>
      </c>
      <c r="N42" s="435" t="str">
        <f>IF(N$39&lt;&gt;"",'Benefit Selection - Group'!AK14,"")</f>
        <v/>
      </c>
    </row>
    <row r="43" spans="1:18" x14ac:dyDescent="0.25">
      <c r="B43" s="1411" t="s">
        <v>940</v>
      </c>
      <c r="C43" s="1411"/>
      <c r="D43" s="1411"/>
      <c r="E43" s="1411"/>
      <c r="F43" s="1411"/>
      <c r="G43" s="435" t="str">
        <f>IF(G$39&lt;&gt;"",'Benefit Selection - Group'!B9,"")</f>
        <v>Dubai</v>
      </c>
      <c r="H43" s="435" t="str">
        <f>IF(H$39&lt;&gt;"",'Benefit Selection - Group'!G9,"")</f>
        <v/>
      </c>
      <c r="I43" s="435" t="str">
        <f>IF(I$39&lt;&gt;"",'Benefit Selection - Group'!L9,"")</f>
        <v/>
      </c>
      <c r="J43" s="435" t="str">
        <f>IF(J$39&lt;&gt;"",'Benefit Selection - Group'!Q9,"")</f>
        <v/>
      </c>
      <c r="K43" s="435" t="str">
        <f>IF(K$39&lt;&gt;"",'Benefit Selection - Group'!V9,"")</f>
        <v/>
      </c>
      <c r="L43" s="435" t="str">
        <f>IF(L$39&lt;&gt;"",'Benefit Selection - Group'!AA9,"")</f>
        <v/>
      </c>
      <c r="M43" s="435" t="str">
        <f>IF(M$39&lt;&gt;"",'Benefit Selection - Group'!AF9,"")</f>
        <v/>
      </c>
      <c r="N43" s="435" t="str">
        <f>IF(N$39&lt;&gt;"",'Benefit Selection - Group'!AK9,"")</f>
        <v/>
      </c>
    </row>
    <row r="44" spans="1:18" x14ac:dyDescent="0.25">
      <c r="B44" s="1411" t="s">
        <v>982</v>
      </c>
      <c r="C44" s="1411"/>
      <c r="D44" s="1411"/>
      <c r="E44" s="1411"/>
      <c r="F44" s="1411"/>
      <c r="G44" s="264">
        <f>IF(G$39&lt;&gt;"",'Benefit Selection - Group'!B16,"")</f>
        <v>150000</v>
      </c>
      <c r="H44" s="264" t="str">
        <f>IF(H$39&lt;&gt;"",'Benefit Selection - Group'!G16,"")</f>
        <v/>
      </c>
      <c r="I44" s="264" t="str">
        <f>IF(I$39&lt;&gt;"",'Benefit Selection - Group'!L16,"")</f>
        <v/>
      </c>
      <c r="J44" s="264" t="str">
        <f>IF(J$39&lt;&gt;"",'Benefit Selection - Group'!Q16,"")</f>
        <v/>
      </c>
      <c r="K44" s="264" t="str">
        <f>IF(K$39&lt;&gt;"",'Benefit Selection - Group'!V16,"")</f>
        <v/>
      </c>
      <c r="L44" s="264" t="str">
        <f>IF(L$39&lt;&gt;"",'Benefit Selection - Group'!AA16,"")</f>
        <v/>
      </c>
      <c r="M44" s="264" t="str">
        <f>IF(M$39&lt;&gt;"",'Benefit Selection - Group'!AF16,"")</f>
        <v/>
      </c>
      <c r="N44" s="264" t="str">
        <f>IF(N$39&lt;&gt;"",'Benefit Selection - Group'!AK16,"")</f>
        <v/>
      </c>
    </row>
    <row r="45" spans="1:18" ht="53.25" customHeight="1" x14ac:dyDescent="0.25">
      <c r="B45" s="1411" t="s">
        <v>429</v>
      </c>
      <c r="C45" s="1411"/>
      <c r="D45" s="1411"/>
      <c r="E45" s="1411"/>
      <c r="F45" s="1411"/>
      <c r="G45" s="440" t="str">
        <f>IF(G$39&lt;&gt;"",'Benefit Selection - Group'!B24,"")</f>
        <v>Worldwide at R&amp;C of UAE</v>
      </c>
      <c r="H45" s="440" t="str">
        <f>IF(H$39&lt;&gt;"",'Benefit Selection - Group'!G24,"")</f>
        <v/>
      </c>
      <c r="I45" s="440" t="str">
        <f>IF(I$39&lt;&gt;"",'Benefit Selection - Group'!L24,"")</f>
        <v/>
      </c>
      <c r="J45" s="440" t="str">
        <f>IF(J$39&lt;&gt;"",'Benefit Selection - Group'!Q24,"")</f>
        <v/>
      </c>
      <c r="K45" s="440" t="str">
        <f>IF(K$39&lt;&gt;"",'Benefit Selection - Group'!V24,"")</f>
        <v/>
      </c>
      <c r="L45" s="440" t="str">
        <f>IF(L$39&lt;&gt;"",'Benefit Selection - Group'!AA24,"")</f>
        <v/>
      </c>
      <c r="M45" s="440" t="str">
        <f>IF(M$39&lt;&gt;"",'Benefit Selection - Group'!AF24,"")</f>
        <v/>
      </c>
      <c r="N45" s="440" t="str">
        <f>IF(N$39&lt;&gt;"",'Benefit Selection - Group'!AK24,"")</f>
        <v/>
      </c>
    </row>
    <row r="46" spans="1:18" ht="98.25" customHeight="1" x14ac:dyDescent="0.25">
      <c r="B46" s="1411" t="s">
        <v>629</v>
      </c>
      <c r="C46" s="1411"/>
      <c r="D46" s="1411"/>
      <c r="E46" s="1411"/>
      <c r="F46" s="1411"/>
      <c r="G46" s="440" t="str">
        <f>IF(G$39&lt;&gt;"",'Benefit Selection - Group'!B34&amp;'Benefit Selection - Group'!B35,"")</f>
        <v>Upto AML</v>
      </c>
      <c r="H46" s="440" t="str">
        <f>IF(H$39&lt;&gt;"",'Benefit Selection - Group'!G34&amp;'Benefit Selection - Group'!G35,"")</f>
        <v/>
      </c>
      <c r="I46" s="440" t="str">
        <f>IF(I$39&lt;&gt;"",'Benefit Selection - Group'!L34&amp;'Benefit Selection - Group'!L35,"")</f>
        <v/>
      </c>
      <c r="J46" s="440" t="str">
        <f>IF(J$39&lt;&gt;"",'Benefit Selection - Group'!Q34&amp;'Benefit Selection - Group'!Q35,"")</f>
        <v/>
      </c>
      <c r="K46" s="440" t="str">
        <f>IF(K$39&lt;&gt;"",'Benefit Selection - Group'!V34&amp;'Benefit Selection - Group'!V35,"")</f>
        <v/>
      </c>
      <c r="L46" s="440" t="str">
        <f>IF(L$39&lt;&gt;"",'Benefit Selection - Group'!AA34&amp;'Benefit Selection - Group'!AA35,"")</f>
        <v/>
      </c>
      <c r="M46" s="440" t="str">
        <f>IF(M$39&lt;&gt;"",'Benefit Selection - Group'!AF34&amp;'Benefit Selection - Group'!AF35,"")</f>
        <v/>
      </c>
      <c r="N46" s="440" t="str">
        <f>IF(N$39&lt;&gt;"",'Benefit Selection - Group'!AK34&amp;'Benefit Selection - Group'!AK35,"")</f>
        <v/>
      </c>
      <c r="P46" s="433" t="e">
        <f>+#REF!+1</f>
        <v>#REF!</v>
      </c>
    </row>
    <row r="47" spans="1:18" ht="84.75" hidden="1" customHeight="1" x14ac:dyDescent="0.25">
      <c r="B47" s="1410" t="s">
        <v>983</v>
      </c>
      <c r="C47" s="1411"/>
      <c r="D47" s="1411"/>
      <c r="E47" s="1411"/>
      <c r="F47" s="1411"/>
      <c r="G47" s="440" t="str">
        <f>IF(G$39&lt;&gt;"",HLOOKUP(G$41,'Local Plans TOB'!$B$2:$J$13,11,0),"")</f>
        <v>Actuals subject to a cap of 100% UAE Equivalent Cost</v>
      </c>
      <c r="H47" s="440" t="str">
        <f>IF(H$39&lt;&gt;"",HLOOKUP(H$41,'Local Plans TOB'!$B$2:$J$13,11,0),"")</f>
        <v/>
      </c>
      <c r="I47" s="440" t="str">
        <f>IF(I$39&lt;&gt;"",HLOOKUP(I$41,'Local Plans TOB'!$B$2:$J$13,11,0),"")</f>
        <v/>
      </c>
      <c r="J47" s="440" t="str">
        <f>IF(J$39&lt;&gt;"",HLOOKUP(J$41,'Local Plans TOB'!$B$2:$J$13,11,0),"")</f>
        <v/>
      </c>
      <c r="K47" s="440" t="str">
        <f>IF(K$39&lt;&gt;"",HLOOKUP(K$41,'Local Plans TOB'!$B$2:$J$13,11,0),"")</f>
        <v/>
      </c>
      <c r="L47" s="440" t="str">
        <f>IF(L$39&lt;&gt;"",HLOOKUP(L$41,'Local Plans TOB'!$B$2:$J$13,11,0),"")</f>
        <v/>
      </c>
      <c r="M47" s="440" t="str">
        <f>IF(M$39&lt;&gt;"",HLOOKUP(M$41,'Local Plans TOB'!$B$2:$J$13,11,0),"")</f>
        <v/>
      </c>
      <c r="N47" s="440" t="str">
        <f>IF(N$39&lt;&gt;"",HLOOKUP(N$41,'Local Plans TOB'!$B$2:$J$13,11,0),"")</f>
        <v/>
      </c>
      <c r="P47" s="433">
        <v>10</v>
      </c>
    </row>
    <row r="48" spans="1:18" ht="63" hidden="1" customHeight="1" x14ac:dyDescent="0.25">
      <c r="B48" s="1410" t="s">
        <v>984</v>
      </c>
      <c r="C48" s="1411"/>
      <c r="D48" s="1411"/>
      <c r="E48" s="1411"/>
      <c r="F48" s="1411"/>
      <c r="G48" s="440" t="str">
        <f>IF(G$39&lt;&gt;"",HLOOKUP(G$41,'Local Plans TOB'!$B$2:$J$13,12,0),"")</f>
        <v>At 80% R&amp;C rates of UAE Equivalent Network</v>
      </c>
      <c r="H48" s="440" t="str">
        <f>IF(H$39&lt;&gt;"",HLOOKUP(H$41,'Local Plans TOB'!$B$2:$J$13,12,0),"")</f>
        <v/>
      </c>
      <c r="I48" s="440" t="str">
        <f>IF(I$39&lt;&gt;"",HLOOKUP(I$41,'Local Plans TOB'!$B$2:$J$13,12,0),"")</f>
        <v/>
      </c>
      <c r="J48" s="440" t="str">
        <f>IF(J$39&lt;&gt;"",HLOOKUP(J$41,'Local Plans TOB'!$B$2:$J$13,12,0),"")</f>
        <v/>
      </c>
      <c r="K48" s="440" t="str">
        <f>IF(K$39&lt;&gt;"",HLOOKUP(K$41,'Local Plans TOB'!$B$2:$J$13,12,0),"")</f>
        <v/>
      </c>
      <c r="L48" s="440" t="str">
        <f>IF(L$39&lt;&gt;"",HLOOKUP(L$41,'Local Plans TOB'!$B$2:$J$13,12,0),"")</f>
        <v/>
      </c>
      <c r="M48" s="440" t="str">
        <f>IF(M$39&lt;&gt;"",HLOOKUP(M$41,'Local Plans TOB'!$B$2:$J$13,12,0),"")</f>
        <v/>
      </c>
      <c r="N48" s="440" t="str">
        <f>IF(N$39&lt;&gt;"",HLOOKUP(N$41,'Local Plans TOB'!$B$2:$J$13,12,0),"")</f>
        <v/>
      </c>
      <c r="P48" s="433">
        <f>+P47+1</f>
        <v>11</v>
      </c>
    </row>
    <row r="49" spans="2:16" x14ac:dyDescent="0.25"/>
    <row r="50" spans="2:16" ht="26.25" x14ac:dyDescent="0.25">
      <c r="B50" s="815" t="s">
        <v>985</v>
      </c>
      <c r="C50" s="816"/>
      <c r="D50" s="816"/>
      <c r="E50" s="816"/>
      <c r="F50" s="816"/>
      <c r="G50" s="816"/>
      <c r="H50" s="816"/>
      <c r="I50" s="816"/>
      <c r="J50" s="816"/>
      <c r="K50" s="816"/>
      <c r="L50" s="816"/>
      <c r="M50" s="816"/>
      <c r="N50" s="817"/>
    </row>
    <row r="51" spans="2:16" ht="72.75" customHeight="1" x14ac:dyDescent="0.25">
      <c r="B51" s="1408" t="str">
        <f>'Local Plans TOB'!B16</f>
        <v>Coinsurance.  
Cap of 500 AED payable per encounter and an annual aggregate cap of 1000 AED (for insured).
Above these caps the insurer will cover 100% of treatment.</v>
      </c>
      <c r="C51" s="1408"/>
      <c r="D51" s="1408"/>
      <c r="E51" s="1408"/>
      <c r="F51" s="1408"/>
      <c r="G51" s="265" t="str">
        <f>IF(G$39&lt;&gt;"",IF('Benefit Selection - Group'!B20=0,"0%","Covered subject to "&amp;'Benefit Selection - Group'!B20*100&amp;"% coinurance with cap of 500 AED payable per encounter and an annual aggregate cap of 1000 AED"),"")</f>
        <v>0%</v>
      </c>
      <c r="H51" s="265" t="str">
        <f>IF(H$39&lt;&gt;"",IF('Benefit Selection - Group'!G20=0,"0%","Covered subject to "&amp;'Benefit Selection - Group'!G20*100&amp;"% coinurance with cap of 500 AED payable per encounter and an annual aggregate cap of 1000 AED"),"")</f>
        <v/>
      </c>
      <c r="I51" s="265" t="str">
        <f>IF(I$39&lt;&gt;"",IF('Benefit Selection - Group'!L20=0,"0%","Covered subject to "&amp;'Benefit Selection - Group'!L20*100&amp;"% coinurance with cap of 500 AED payable per encounter and an annual aggregate cap of 1000 AED"),"")</f>
        <v/>
      </c>
      <c r="J51" s="265" t="str">
        <f>IF(J$39&lt;&gt;"",IF('Benefit Selection - Group'!Q20=0,"0%","Covered subject to "&amp;'Benefit Selection - Group'!Q20*100&amp;"% coinurance with cap of 500 AED payable per encounter and an annual aggregate cap of 1000 AED"),"")</f>
        <v/>
      </c>
      <c r="K51" s="265" t="str">
        <f>IF(K$39&lt;&gt;"",IF('Benefit Selection - Group'!V20=0,"0%","Covered subject to "&amp;'Benefit Selection - Group'!V20*100&amp;"% coinurance with cap of 500 AED payable per encounter and an annual aggregate cap of 1000 AED"),"")</f>
        <v/>
      </c>
      <c r="L51" s="265" t="str">
        <f>IF(L$39&lt;&gt;"",IF('Benefit Selection - Group'!AA20=0,"0%","Covered subject to "&amp;'Benefit Selection - Group'!AA20*100&amp;"% coinurance with cap of 500 AED payable per encounter and an annual aggregate cap of 1000 AED"),"")</f>
        <v/>
      </c>
      <c r="M51" s="265" t="str">
        <f>IF(M$39&lt;&gt;"",IF('Benefit Selection - Group'!AF20=0,"0%","Covered subject to "&amp;'Benefit Selection - Group'!AF20*100&amp;"% coinurance with cap of 500 AED payable per encounter and an annual aggregate cap of 1000 AED"),"")</f>
        <v/>
      </c>
      <c r="N51" s="265" t="str">
        <f>IF(N$39&lt;&gt;"",IF('Benefit Selection - Group'!AK20=0,"0%","Covered subject to "&amp;'Benefit Selection - Group'!AK20*100&amp;"% coinurance with cap of 500 AED payable per encounter and an annual aggregate cap of 1000 AED"),"")</f>
        <v/>
      </c>
    </row>
    <row r="52" spans="2:16" ht="19.5" x14ac:dyDescent="0.25">
      <c r="B52" s="1408" t="str">
        <f>'Local Plans TOB'!B17</f>
        <v>In-patient Room Type</v>
      </c>
      <c r="C52" s="1408"/>
      <c r="D52" s="1408"/>
      <c r="E52" s="1408"/>
      <c r="F52" s="1408"/>
      <c r="G52" s="264" t="str">
        <f>IF(G$39&lt;&gt;"",'Benefit Selection - Group'!B18,"")</f>
        <v>Private</v>
      </c>
      <c r="H52" s="264" t="str">
        <f>IF(H$39&lt;&gt;"",'Benefit Selection - Group'!G18,"")</f>
        <v/>
      </c>
      <c r="I52" s="264" t="str">
        <f>IF(I$39&lt;&gt;"",'Benefit Selection - Group'!L18,"")</f>
        <v/>
      </c>
      <c r="J52" s="264" t="str">
        <f>IF(J$39&lt;&gt;"",'Benefit Selection - Group'!Q18,"")</f>
        <v/>
      </c>
      <c r="K52" s="264" t="str">
        <f>IF(K$39&lt;&gt;"",'Benefit Selection - Group'!V18,"")</f>
        <v/>
      </c>
      <c r="L52" s="264" t="str">
        <f>IF(L$39&lt;&gt;"",'Benefit Selection - Group'!AA18,"")</f>
        <v/>
      </c>
      <c r="M52" s="264" t="str">
        <f>IF(M$39&lt;&gt;"",'Benefit Selection - Group'!AF18,"")</f>
        <v/>
      </c>
      <c r="N52" s="264" t="str">
        <f>IF(N$39&lt;&gt;"",'Benefit Selection - Group'!AK18,"")</f>
        <v/>
      </c>
      <c r="P52" s="433">
        <v>13</v>
      </c>
    </row>
    <row r="53" spans="2:16" ht="44.25" customHeight="1" x14ac:dyDescent="0.25">
      <c r="B53" s="1408" t="str">
        <f>'Local Plans TOB'!B18</f>
        <v>In-patient Healthcare Services
(Including Pre &amp; Post In-Hospital Treatment)</v>
      </c>
      <c r="C53" s="1408"/>
      <c r="D53" s="1408"/>
      <c r="E53" s="1408"/>
      <c r="F53" s="1408"/>
      <c r="G53" s="265" t="str">
        <f>IF(G$39&lt;&gt;"","Covered up to the AML","")</f>
        <v>Covered up to the AML</v>
      </c>
      <c r="H53" s="265" t="str">
        <f t="shared" ref="H53:N61" si="1">IF(H$39&lt;&gt;"","Covered up to the AML","")</f>
        <v/>
      </c>
      <c r="I53" s="265" t="str">
        <f t="shared" si="1"/>
        <v/>
      </c>
      <c r="J53" s="265" t="str">
        <f t="shared" si="1"/>
        <v/>
      </c>
      <c r="K53" s="265" t="str">
        <f t="shared" si="1"/>
        <v/>
      </c>
      <c r="L53" s="265" t="str">
        <f t="shared" si="1"/>
        <v/>
      </c>
      <c r="M53" s="265" t="str">
        <f t="shared" si="1"/>
        <v/>
      </c>
      <c r="N53" s="265" t="str">
        <f t="shared" si="1"/>
        <v/>
      </c>
      <c r="P53" s="433">
        <f>P52+1</f>
        <v>14</v>
      </c>
    </row>
    <row r="54" spans="2:16" ht="19.5" x14ac:dyDescent="0.25">
      <c r="B54" s="1408" t="str">
        <f>'Local Plans TOB'!B19</f>
        <v>Day Care Treatment</v>
      </c>
      <c r="C54" s="1408"/>
      <c r="D54" s="1408"/>
      <c r="E54" s="1408"/>
      <c r="F54" s="1408"/>
      <c r="G54" s="265" t="str">
        <f t="shared" ref="G54:G61" si="2">IF(G$39&lt;&gt;"","Covered up to the AML","")</f>
        <v>Covered up to the AML</v>
      </c>
      <c r="H54" s="265" t="str">
        <f t="shared" si="1"/>
        <v/>
      </c>
      <c r="I54" s="265" t="str">
        <f t="shared" si="1"/>
        <v/>
      </c>
      <c r="J54" s="265" t="str">
        <f t="shared" si="1"/>
        <v/>
      </c>
      <c r="K54" s="265" t="str">
        <f t="shared" si="1"/>
        <v/>
      </c>
      <c r="L54" s="265" t="str">
        <f t="shared" si="1"/>
        <v/>
      </c>
      <c r="M54" s="265" t="str">
        <f t="shared" si="1"/>
        <v/>
      </c>
      <c r="N54" s="265" t="str">
        <f t="shared" si="1"/>
        <v/>
      </c>
      <c r="P54" s="433">
        <f t="shared" ref="P54:P65" si="3">P53+1</f>
        <v>15</v>
      </c>
    </row>
    <row r="55" spans="2:16" ht="19.5" x14ac:dyDescent="0.25">
      <c r="B55" s="1408" t="str">
        <f>'Local Plans TOB'!B20</f>
        <v>Hospital Accommodation &amp; Services</v>
      </c>
      <c r="C55" s="1408"/>
      <c r="D55" s="1408"/>
      <c r="E55" s="1408"/>
      <c r="F55" s="1408"/>
      <c r="G55" s="265" t="str">
        <f t="shared" si="2"/>
        <v>Covered up to the AML</v>
      </c>
      <c r="H55" s="265" t="str">
        <f t="shared" si="1"/>
        <v/>
      </c>
      <c r="I55" s="265" t="str">
        <f t="shared" si="1"/>
        <v/>
      </c>
      <c r="J55" s="265" t="str">
        <f t="shared" si="1"/>
        <v/>
      </c>
      <c r="K55" s="265" t="str">
        <f t="shared" si="1"/>
        <v/>
      </c>
      <c r="L55" s="265" t="str">
        <f t="shared" si="1"/>
        <v/>
      </c>
      <c r="M55" s="265" t="str">
        <f t="shared" si="1"/>
        <v/>
      </c>
      <c r="N55" s="265" t="str">
        <f t="shared" si="1"/>
        <v/>
      </c>
      <c r="P55" s="433">
        <f t="shared" si="3"/>
        <v>16</v>
      </c>
    </row>
    <row r="56" spans="2:16" ht="19.5" x14ac:dyDescent="0.25">
      <c r="B56" s="1408" t="str">
        <f>'Local Plans TOB'!B21</f>
        <v>Hospital services, Surgery, Operation Theatre, Anesthesia.</v>
      </c>
      <c r="C56" s="1408"/>
      <c r="D56" s="1408"/>
      <c r="E56" s="1408"/>
      <c r="F56" s="1408"/>
      <c r="G56" s="265" t="str">
        <f t="shared" si="2"/>
        <v>Covered up to the AML</v>
      </c>
      <c r="H56" s="265" t="str">
        <f t="shared" si="1"/>
        <v/>
      </c>
      <c r="I56" s="265" t="str">
        <f t="shared" si="1"/>
        <v/>
      </c>
      <c r="J56" s="265" t="str">
        <f t="shared" si="1"/>
        <v/>
      </c>
      <c r="K56" s="265" t="str">
        <f t="shared" si="1"/>
        <v/>
      </c>
      <c r="L56" s="265" t="str">
        <f t="shared" si="1"/>
        <v/>
      </c>
      <c r="M56" s="265" t="str">
        <f t="shared" si="1"/>
        <v/>
      </c>
      <c r="N56" s="265" t="str">
        <f t="shared" si="1"/>
        <v/>
      </c>
      <c r="P56" s="433">
        <f t="shared" si="3"/>
        <v>17</v>
      </c>
    </row>
    <row r="57" spans="2:16" ht="19.5" x14ac:dyDescent="0.25">
      <c r="B57" s="1408" t="str">
        <f>'Local Plans TOB'!B22</f>
        <v>Laboratory , Radiology , Pathology and Diagnostic services.</v>
      </c>
      <c r="C57" s="1408"/>
      <c r="D57" s="1408"/>
      <c r="E57" s="1408"/>
      <c r="F57" s="1408"/>
      <c r="G57" s="265" t="str">
        <f t="shared" si="2"/>
        <v>Covered up to the AML</v>
      </c>
      <c r="H57" s="265" t="str">
        <f t="shared" si="1"/>
        <v/>
      </c>
      <c r="I57" s="265" t="str">
        <f t="shared" si="1"/>
        <v/>
      </c>
      <c r="J57" s="265" t="str">
        <f t="shared" si="1"/>
        <v/>
      </c>
      <c r="K57" s="265" t="str">
        <f t="shared" si="1"/>
        <v/>
      </c>
      <c r="L57" s="265" t="str">
        <f t="shared" si="1"/>
        <v/>
      </c>
      <c r="M57" s="265" t="str">
        <f t="shared" si="1"/>
        <v/>
      </c>
      <c r="N57" s="265" t="str">
        <f t="shared" si="1"/>
        <v/>
      </c>
      <c r="P57" s="433">
        <f t="shared" si="3"/>
        <v>18</v>
      </c>
    </row>
    <row r="58" spans="2:16" ht="19.5" x14ac:dyDescent="0.25">
      <c r="B58" s="1408" t="str">
        <f>'Local Plans TOB'!B23</f>
        <v>X-ray, MRI, CT-scan, Ultra Sound, Endoscopy.</v>
      </c>
      <c r="C58" s="1408"/>
      <c r="D58" s="1408"/>
      <c r="E58" s="1408"/>
      <c r="F58" s="1408"/>
      <c r="G58" s="265" t="str">
        <f t="shared" si="2"/>
        <v>Covered up to the AML</v>
      </c>
      <c r="H58" s="265" t="str">
        <f t="shared" si="1"/>
        <v/>
      </c>
      <c r="I58" s="265" t="str">
        <f t="shared" si="1"/>
        <v/>
      </c>
      <c r="J58" s="265" t="str">
        <f t="shared" si="1"/>
        <v/>
      </c>
      <c r="K58" s="265" t="str">
        <f t="shared" si="1"/>
        <v/>
      </c>
      <c r="L58" s="265" t="str">
        <f t="shared" si="1"/>
        <v/>
      </c>
      <c r="M58" s="265" t="str">
        <f t="shared" si="1"/>
        <v/>
      </c>
      <c r="N58" s="265" t="str">
        <f t="shared" si="1"/>
        <v/>
      </c>
      <c r="P58" s="433">
        <f t="shared" si="3"/>
        <v>19</v>
      </c>
    </row>
    <row r="59" spans="2:16" ht="19.5" x14ac:dyDescent="0.25">
      <c r="B59" s="1408" t="str">
        <f>'Local Plans TOB'!B24</f>
        <v>Intensive care unit,Emergency Ward Services</v>
      </c>
      <c r="C59" s="1408"/>
      <c r="D59" s="1408"/>
      <c r="E59" s="1408"/>
      <c r="F59" s="1408"/>
      <c r="G59" s="265" t="str">
        <f t="shared" si="2"/>
        <v>Covered up to the AML</v>
      </c>
      <c r="H59" s="265" t="str">
        <f t="shared" si="1"/>
        <v/>
      </c>
      <c r="I59" s="265" t="str">
        <f t="shared" si="1"/>
        <v/>
      </c>
      <c r="J59" s="265" t="str">
        <f t="shared" si="1"/>
        <v/>
      </c>
      <c r="K59" s="265" t="str">
        <f t="shared" si="1"/>
        <v/>
      </c>
      <c r="L59" s="265" t="str">
        <f t="shared" si="1"/>
        <v/>
      </c>
      <c r="M59" s="265" t="str">
        <f t="shared" si="1"/>
        <v/>
      </c>
      <c r="N59" s="265" t="str">
        <f t="shared" si="1"/>
        <v/>
      </c>
      <c r="P59" s="433">
        <v>21</v>
      </c>
    </row>
    <row r="60" spans="2:16" ht="19.5" x14ac:dyDescent="0.25">
      <c r="B60" s="1408" t="str">
        <f>'Local Plans TOB'!B25</f>
        <v>Internal Surgical Appliances &amp; Prosthesis (If surgically required)</v>
      </c>
      <c r="C60" s="1408"/>
      <c r="D60" s="1408"/>
      <c r="E60" s="1408"/>
      <c r="F60" s="1408"/>
      <c r="G60" s="265" t="str">
        <f t="shared" si="2"/>
        <v>Covered up to the AML</v>
      </c>
      <c r="H60" s="265" t="str">
        <f t="shared" si="1"/>
        <v/>
      </c>
      <c r="I60" s="265" t="str">
        <f t="shared" si="1"/>
        <v/>
      </c>
      <c r="J60" s="265" t="str">
        <f t="shared" si="1"/>
        <v/>
      </c>
      <c r="K60" s="265" t="str">
        <f t="shared" si="1"/>
        <v/>
      </c>
      <c r="L60" s="265" t="str">
        <f t="shared" si="1"/>
        <v/>
      </c>
      <c r="M60" s="265" t="str">
        <f t="shared" si="1"/>
        <v/>
      </c>
      <c r="N60" s="265" t="str">
        <f t="shared" si="1"/>
        <v/>
      </c>
      <c r="P60" s="433">
        <f t="shared" si="3"/>
        <v>22</v>
      </c>
    </row>
    <row r="61" spans="2:16" ht="19.5" x14ac:dyDescent="0.25">
      <c r="B61" s="1408" t="str">
        <f>'Local Plans TOB'!B26</f>
        <v>Minor surgical procedures performed by a general practitioner at a Medical facility or Private Hospital.</v>
      </c>
      <c r="C61" s="1408"/>
      <c r="D61" s="1408"/>
      <c r="E61" s="1408"/>
      <c r="F61" s="1408"/>
      <c r="G61" s="265" t="str">
        <f t="shared" si="2"/>
        <v>Covered up to the AML</v>
      </c>
      <c r="H61" s="265" t="str">
        <f t="shared" si="1"/>
        <v/>
      </c>
      <c r="I61" s="265" t="str">
        <f t="shared" si="1"/>
        <v/>
      </c>
      <c r="J61" s="265" t="str">
        <f t="shared" si="1"/>
        <v/>
      </c>
      <c r="K61" s="265" t="str">
        <f t="shared" si="1"/>
        <v/>
      </c>
      <c r="L61" s="265" t="str">
        <f t="shared" si="1"/>
        <v/>
      </c>
      <c r="M61" s="265" t="str">
        <f t="shared" si="1"/>
        <v/>
      </c>
      <c r="N61" s="265" t="str">
        <f t="shared" si="1"/>
        <v/>
      </c>
      <c r="P61" s="433">
        <f t="shared" si="3"/>
        <v>23</v>
      </c>
    </row>
    <row r="62" spans="2:16" ht="41.25" customHeight="1" x14ac:dyDescent="0.25">
      <c r="B62" s="1408" t="str">
        <f>'Local Plans TOB'!B27</f>
        <v>Physiotherapy 
Following an IP or Day-care procedure and recommended by Medical Practioner</v>
      </c>
      <c r="C62" s="1408"/>
      <c r="D62" s="1408"/>
      <c r="E62" s="1408"/>
      <c r="F62" s="1408"/>
      <c r="G62" s="440" t="str">
        <f>IF(G$39&lt;&gt;"",IF(G43="Abu Dhabi","Upto AML",HLOOKUP(G$41,'Local Plans TOB'!$B$2:$J$30,26,0)),"")</f>
        <v xml:space="preserve">Maximum of 6 sessions per year. </v>
      </c>
      <c r="H62" s="440" t="str">
        <f>IF(H$39&lt;&gt;"",IF(H43="Abu Dhabi","Upto AML",HLOOKUP(H$41,'Local Plans TOB'!$B$2:$J$30,26,0)),"")</f>
        <v/>
      </c>
      <c r="I62" s="440" t="str">
        <f>IF(I$39&lt;&gt;"",IF(I43="Abu Dhabi","Upto AML",HLOOKUP(I$41,'Local Plans TOB'!$B$2:$J$30,26,0)),"")</f>
        <v/>
      </c>
      <c r="J62" s="440" t="str">
        <f>IF(J$39&lt;&gt;"",IF(J43="Abu Dhabi","Upto AML",HLOOKUP(J$41,'Local Plans TOB'!$B$2:$J$30,26,0)),"")</f>
        <v/>
      </c>
      <c r="K62" s="440" t="str">
        <f>IF(K$39&lt;&gt;"",IF(K43="Abu Dhabi","Upto AML",HLOOKUP(K$41,'Local Plans TOB'!$B$2:$J$30,26,0)),"")</f>
        <v/>
      </c>
      <c r="L62" s="440" t="str">
        <f>IF(L$39&lt;&gt;"",IF(L43="Abu Dhabi","Upto AML",HLOOKUP(L$41,'Local Plans TOB'!$B$2:$J$30,26,0)),"")</f>
        <v/>
      </c>
      <c r="M62" s="440" t="str">
        <f>IF(M$39&lt;&gt;"",IF(M43="Abu Dhabi","Upto AML",HLOOKUP(M$41,'Local Plans TOB'!$B$2:$J$30,26,0)),"")</f>
        <v/>
      </c>
      <c r="N62" s="440" t="str">
        <f>IF(N$39&lt;&gt;"",IF(N43="Abu Dhabi","Upto AML",HLOOKUP(N$41,'Local Plans TOB'!$B$2:$J$30,26,0)),"")</f>
        <v/>
      </c>
      <c r="P62" s="433">
        <f t="shared" si="3"/>
        <v>24</v>
      </c>
    </row>
    <row r="63" spans="2:16" ht="19.5" x14ac:dyDescent="0.25">
      <c r="B63" s="1408" t="str">
        <f>'Local Plans TOB'!B28</f>
        <v>Accommodation for a person accompanying an insured child below 16 years of age.</v>
      </c>
      <c r="C63" s="1408"/>
      <c r="D63" s="1408"/>
      <c r="E63" s="1408"/>
      <c r="F63" s="1408"/>
      <c r="G63" s="440" t="str">
        <f>IF(G$39&lt;&gt;"",HLOOKUP(G$41,'Local Plans TOB'!$B$2:$J$30,27,0),"")</f>
        <v>Covered up to 250 AED per day</v>
      </c>
      <c r="H63" s="440" t="str">
        <f>IF(H$39&lt;&gt;"",HLOOKUP(H$41,'Local Plans TOB'!$B$2:$J$30,27,0),"")</f>
        <v/>
      </c>
      <c r="I63" s="440" t="str">
        <f>IF(I$39&lt;&gt;"",HLOOKUP(I$41,'Local Plans TOB'!$B$2:$J$30,27,0),"")</f>
        <v/>
      </c>
      <c r="J63" s="440" t="str">
        <f>IF(J$39&lt;&gt;"",HLOOKUP(J$41,'Local Plans TOB'!$B$2:$J$30,27,0),"")</f>
        <v/>
      </c>
      <c r="K63" s="440" t="str">
        <f>IF(K$39&lt;&gt;"",HLOOKUP(K$41,'Local Plans TOB'!$B$2:$J$30,27,0),"")</f>
        <v/>
      </c>
      <c r="L63" s="440" t="str">
        <f>IF(L$39&lt;&gt;"",HLOOKUP(L$41,'Local Plans TOB'!$B$2:$J$30,27,0),"")</f>
        <v/>
      </c>
      <c r="M63" s="440" t="str">
        <f>IF(M$39&lt;&gt;"",HLOOKUP(M$41,'Local Plans TOB'!$B$2:$J$30,27,0),"")</f>
        <v/>
      </c>
      <c r="N63" s="440" t="str">
        <f>IF(N$39&lt;&gt;"",HLOOKUP(N$41,'Local Plans TOB'!$B$2:$J$30,27,0),"")</f>
        <v/>
      </c>
      <c r="P63" s="433">
        <f t="shared" si="3"/>
        <v>25</v>
      </c>
    </row>
    <row r="64" spans="2:16" ht="44.25" customHeight="1" x14ac:dyDescent="0.25">
      <c r="B64" s="1408" t="str">
        <f>'Local Plans TOB'!B29</f>
        <v>Accommodation of an accompanying person in the same room in cases of critical conditions and as per recommendation of attending physician.</v>
      </c>
      <c r="C64" s="1408"/>
      <c r="D64" s="1408"/>
      <c r="E64" s="1408"/>
      <c r="F64" s="1408"/>
      <c r="G64" s="440" t="str">
        <f>IF(G$39&lt;&gt;"",HLOOKUP(G$41,'Local Plans TOB'!$B$2:$J$30,28,0),"")</f>
        <v>Covered up to 250 AED per day</v>
      </c>
      <c r="H64" s="440" t="str">
        <f>IF(H$39&lt;&gt;"",HLOOKUP(H$41,'Local Plans TOB'!$B$2:$J$30,28,0),"")</f>
        <v/>
      </c>
      <c r="I64" s="440" t="str">
        <f>IF(I$39&lt;&gt;"",HLOOKUP(I$41,'Local Plans TOB'!$B$2:$J$30,28,0),"")</f>
        <v/>
      </c>
      <c r="J64" s="440" t="str">
        <f>IF(J$39&lt;&gt;"",HLOOKUP(J$41,'Local Plans TOB'!$B$2:$J$30,28,0),"")</f>
        <v/>
      </c>
      <c r="K64" s="440" t="str">
        <f>IF(K$39&lt;&gt;"",HLOOKUP(K$41,'Local Plans TOB'!$B$2:$J$30,28,0),"")</f>
        <v/>
      </c>
      <c r="L64" s="440" t="str">
        <f>IF(L$39&lt;&gt;"",HLOOKUP(L$41,'Local Plans TOB'!$B$2:$J$30,28,0),"")</f>
        <v/>
      </c>
      <c r="M64" s="440" t="str">
        <f>IF(M$39&lt;&gt;"",HLOOKUP(M$41,'Local Plans TOB'!$B$2:$J$30,28,0),"")</f>
        <v/>
      </c>
      <c r="N64" s="440" t="str">
        <f>IF(N$39&lt;&gt;"",HLOOKUP(N$41,'Local Plans TOB'!$B$2:$J$30,28,0),"")</f>
        <v/>
      </c>
      <c r="P64" s="433">
        <f t="shared" si="3"/>
        <v>26</v>
      </c>
    </row>
    <row r="65" spans="1:18" ht="84" customHeight="1" x14ac:dyDescent="0.25">
      <c r="B65" s="1408" t="str">
        <f>'Local Plans TOB'!B30</f>
        <v>Cash Indemnity for In-Patient Treatment post hospitalization up to max of 10 days, subject to providing discharge summary or proof of hospitalization.</v>
      </c>
      <c r="C65" s="1408"/>
      <c r="D65" s="1408"/>
      <c r="E65" s="1408"/>
      <c r="F65" s="1408"/>
      <c r="G65" s="440" t="str">
        <f>IF(G$39&lt;&gt;"",HLOOKUP(G$41,'Local Plans TOB'!$B$2:$J$30,29,0),"")</f>
        <v>AED 100 per night applicable to all inpatient hospitalizations that are not submitted to the Insurance Company</v>
      </c>
      <c r="H65" s="440" t="str">
        <f>IF(H$39&lt;&gt;"",HLOOKUP(H$41,'Local Plans TOB'!$B$2:$J$30,29,0),"")</f>
        <v/>
      </c>
      <c r="I65" s="440" t="str">
        <f>IF(I$39&lt;&gt;"",HLOOKUP(I$41,'Local Plans TOB'!$B$2:$J$30,29,0),"")</f>
        <v/>
      </c>
      <c r="J65" s="440" t="str">
        <f>IF(J$39&lt;&gt;"",HLOOKUP(J$41,'Local Plans TOB'!$B$2:$J$30,29,0),"")</f>
        <v/>
      </c>
      <c r="K65" s="440" t="str">
        <f>IF(K$39&lt;&gt;"",HLOOKUP(K$41,'Local Plans TOB'!$B$2:$J$30,29,0),"")</f>
        <v/>
      </c>
      <c r="L65" s="440" t="str">
        <f>IF(L$39&lt;&gt;"",HLOOKUP(L$41,'Local Plans TOB'!$B$2:$J$30,29,0),"")</f>
        <v/>
      </c>
      <c r="M65" s="440" t="str">
        <f>IF(M$39&lt;&gt;"",HLOOKUP(M$41,'Local Plans TOB'!$B$2:$J$30,29,0),"")</f>
        <v/>
      </c>
      <c r="N65" s="440" t="str">
        <f>IF(N$39&lt;&gt;"",HLOOKUP(N$41,'Local Plans TOB'!$B$2:$J$30,29,0),"")</f>
        <v/>
      </c>
      <c r="P65" s="433">
        <f t="shared" si="3"/>
        <v>27</v>
      </c>
    </row>
    <row r="66" spans="1:18" ht="45" x14ac:dyDescent="0.25">
      <c r="B66" s="1408" t="str">
        <f>'Local Plans TOB'!B31</f>
        <v xml:space="preserve">Psychiatric Benefits  under IP </v>
      </c>
      <c r="C66" s="1408"/>
      <c r="D66" s="1408"/>
      <c r="E66" s="1408"/>
      <c r="F66" s="1408"/>
      <c r="G66" s="440" t="str">
        <f>IF(G$39&lt;&gt;"","Covered subject to it is medically necessary and pre-approval is obtained from the Insurance Company","")</f>
        <v>Covered subject to it is medically necessary and pre-approval is obtained from the Insurance Company</v>
      </c>
      <c r="H66" s="440" t="str">
        <f t="shared" ref="H66:N66" si="4">IF(H$39&lt;&gt;"","Covered subject to it is medically necessary and pre-approval is obtained from the Insurance Company","")</f>
        <v/>
      </c>
      <c r="I66" s="440" t="str">
        <f t="shared" si="4"/>
        <v/>
      </c>
      <c r="J66" s="440" t="str">
        <f t="shared" si="4"/>
        <v/>
      </c>
      <c r="K66" s="440" t="str">
        <f t="shared" si="4"/>
        <v/>
      </c>
      <c r="L66" s="440" t="str">
        <f t="shared" si="4"/>
        <v/>
      </c>
      <c r="M66" s="440" t="str">
        <f t="shared" si="4"/>
        <v/>
      </c>
      <c r="N66" s="440" t="str">
        <f t="shared" si="4"/>
        <v/>
      </c>
    </row>
    <row r="67" spans="1:18" ht="26.25" x14ac:dyDescent="0.25">
      <c r="B67" s="815" t="s">
        <v>987</v>
      </c>
      <c r="C67" s="816"/>
      <c r="D67" s="816"/>
      <c r="E67" s="816"/>
      <c r="F67" s="816"/>
      <c r="G67" s="816"/>
      <c r="H67" s="816"/>
      <c r="I67" s="816"/>
      <c r="J67" s="816"/>
      <c r="K67" s="816"/>
      <c r="L67" s="816"/>
      <c r="M67" s="816"/>
      <c r="N67" s="817"/>
    </row>
    <row r="68" spans="1:18" ht="75.75" customHeight="1" x14ac:dyDescent="0.25">
      <c r="A68" s="723"/>
      <c r="B68" s="1409" t="str">
        <f>'Local Plans TOB'!B33</f>
        <v>Applicable deductible for consultation.
** Deductible for follow up visits witth the same doctor for the same medical condition within network within 7 days from the date of first visit is not applicable.</v>
      </c>
      <c r="C68" s="1409"/>
      <c r="D68" s="1409"/>
      <c r="E68" s="1409"/>
      <c r="F68" s="1409"/>
      <c r="G68" s="917" t="str">
        <f>IF(G$39&lt;&gt;"",'Benefit Selection - Group'!B22,"")</f>
        <v>20% up to AED 50</v>
      </c>
      <c r="H68" s="917" t="str">
        <f>IF(H$39&lt;&gt;"",'Benefit Selection - Group'!G22,"")</f>
        <v/>
      </c>
      <c r="I68" s="917" t="str">
        <f>IF(I$39&lt;&gt;"",'Benefit Selection - Group'!L22,"")</f>
        <v/>
      </c>
      <c r="J68" s="917" t="str">
        <f>IF(J$39&lt;&gt;"",'Benefit Selection - Group'!Q22,"")</f>
        <v/>
      </c>
      <c r="K68" s="917" t="str">
        <f>IF(K$39&lt;&gt;"",'Benefit Selection - Group'!V22,"")</f>
        <v/>
      </c>
      <c r="L68" s="917" t="str">
        <f>IF(L$39&lt;&gt;"",'Benefit Selection - Group'!AA22,"")</f>
        <v/>
      </c>
      <c r="M68" s="917" t="str">
        <f>IF(M$39&lt;&gt;"",'Benefit Selection - Group'!AF22,"")</f>
        <v/>
      </c>
      <c r="N68" s="917" t="str">
        <f>IF(N$39&lt;&gt;"",'Benefit Selection - Group'!AK22,"")</f>
        <v/>
      </c>
      <c r="O68" s="723"/>
      <c r="P68" s="723"/>
      <c r="Q68" s="723"/>
      <c r="R68" s="723"/>
    </row>
    <row r="69" spans="1:18" ht="30" x14ac:dyDescent="0.25">
      <c r="A69" s="723"/>
      <c r="B69" s="1409" t="str">
        <f>'Local Plans TOB'!B34</f>
        <v>Specialist or Consultants  for  OP practices</v>
      </c>
      <c r="C69" s="1409"/>
      <c r="D69" s="1409"/>
      <c r="E69" s="1409"/>
      <c r="F69" s="1409"/>
      <c r="G69" s="917" t="str">
        <f>IF(G$39&lt;&gt;"",HLOOKUP(G$41,'Local Plans TOB'!$B$2:$J$78,33,0),"")</f>
        <v>( Direct Access to Network Hospital/ Clinics for OP Treatment )</v>
      </c>
      <c r="H69" s="917" t="str">
        <f>IF(H$39&lt;&gt;"",HLOOKUP(H$41,'Local Plans TOB'!$B$2:$J$78,33,0),"")</f>
        <v/>
      </c>
      <c r="I69" s="917" t="str">
        <f>IF(I$39&lt;&gt;"",HLOOKUP(I$41,'Local Plans TOB'!$B$2:$J$78,33,0),"")</f>
        <v/>
      </c>
      <c r="J69" s="917" t="str">
        <f>IF(J$39&lt;&gt;"",HLOOKUP(J$41,'Local Plans TOB'!$B$2:$J$78,33,0),"")</f>
        <v/>
      </c>
      <c r="K69" s="917" t="str">
        <f>IF(K$39&lt;&gt;"",HLOOKUP(K$41,'Local Plans TOB'!$B$2:$J$78,33,0),"")</f>
        <v/>
      </c>
      <c r="L69" s="917" t="str">
        <f>IF(L$39&lt;&gt;"",HLOOKUP(L$41,'Local Plans TOB'!$B$2:$J$78,33,0),"")</f>
        <v/>
      </c>
      <c r="M69" s="917" t="str">
        <f>IF(M$39&lt;&gt;"",HLOOKUP(M$41,'Local Plans TOB'!$B$2:$J$78,33,0),"")</f>
        <v/>
      </c>
      <c r="N69" s="917" t="str">
        <f>IF(N$39&lt;&gt;"",HLOOKUP(N$41,'Local Plans TOB'!$B$2:$J$78,33,0),"")</f>
        <v/>
      </c>
      <c r="O69" s="723"/>
      <c r="P69" s="723"/>
      <c r="Q69" s="723"/>
      <c r="R69" s="723"/>
    </row>
    <row r="70" spans="1:18" ht="34.5" customHeight="1" x14ac:dyDescent="0.25">
      <c r="A70" s="723"/>
      <c r="B70" s="1409" t="str">
        <f>'Local Plans TOB'!B35</f>
        <v>Coinsurance on Other OP services (Laboratory, Radiology etc)</v>
      </c>
      <c r="C70" s="1409"/>
      <c r="D70" s="1409"/>
      <c r="E70" s="1409"/>
      <c r="F70" s="1409"/>
      <c r="G70" s="917" t="str">
        <f>IF(G$39&lt;&gt;"",'Benefit Selection - Group'!B26,"")</f>
        <v>0%</v>
      </c>
      <c r="H70" s="917" t="str">
        <f>IF(H$39&lt;&gt;"",'Benefit Selection - Group'!G26,"")</f>
        <v/>
      </c>
      <c r="I70" s="917" t="str">
        <f>IF(I$39&lt;&gt;"",'Benefit Selection - Group'!L26,"")</f>
        <v/>
      </c>
      <c r="J70" s="917" t="str">
        <f>IF(J$39&lt;&gt;"",'Benefit Selection - Group'!Q26,"")</f>
        <v/>
      </c>
      <c r="K70" s="917" t="str">
        <f>IF(K$39&lt;&gt;"",'Benefit Selection - Group'!V26,"")</f>
        <v/>
      </c>
      <c r="L70" s="917" t="str">
        <f>IF(L$39&lt;&gt;"",'Benefit Selection - Group'!AA26,"")</f>
        <v/>
      </c>
      <c r="M70" s="917" t="str">
        <f>IF(M$39&lt;&gt;"",'Benefit Selection - Group'!AF26,"")</f>
        <v/>
      </c>
      <c r="N70" s="917" t="str">
        <f>IF(N$39&lt;&gt;"",'Benefit Selection - Group'!AK26,"")</f>
        <v/>
      </c>
      <c r="O70" s="723"/>
      <c r="P70" s="723"/>
      <c r="Q70" s="723"/>
      <c r="R70" s="723"/>
    </row>
    <row r="71" spans="1:18" ht="34.5" customHeight="1" x14ac:dyDescent="0.25">
      <c r="A71" s="723"/>
      <c r="B71" s="1409" t="str">
        <f>'Local Plans TOB'!B36</f>
        <v>Prescribed Medicines - Limit</v>
      </c>
      <c r="C71" s="1409"/>
      <c r="D71" s="1409"/>
      <c r="E71" s="1409"/>
      <c r="F71" s="1409"/>
      <c r="G71" s="917" t="str">
        <f>IF(G$39&lt;&gt;"",'Benefit Selection - Group'!B30,"")</f>
        <v>Upto AML</v>
      </c>
      <c r="H71" s="917" t="str">
        <f>IF(H$39&lt;&gt;"",'Benefit Selection - Group'!G30,"")</f>
        <v/>
      </c>
      <c r="I71" s="917" t="str">
        <f>IF(I$39&lt;&gt;"",'Benefit Selection - Group'!L30,"")</f>
        <v/>
      </c>
      <c r="J71" s="917" t="str">
        <f>IF(J$39&lt;&gt;"",'Benefit Selection - Group'!Q30,"")</f>
        <v/>
      </c>
      <c r="K71" s="917" t="str">
        <f>IF(K$39&lt;&gt;"",'Benefit Selection - Group'!V30,"")</f>
        <v/>
      </c>
      <c r="L71" s="917" t="str">
        <f>IF(L$39&lt;&gt;"",'Benefit Selection - Group'!AA30,"")</f>
        <v/>
      </c>
      <c r="M71" s="917" t="str">
        <f>IF(M$39&lt;&gt;"",'Benefit Selection - Group'!AF30,"")</f>
        <v/>
      </c>
      <c r="N71" s="917" t="str">
        <f>IF(N$39&lt;&gt;"",'Benefit Selection - Group'!AK30,"")</f>
        <v/>
      </c>
      <c r="O71" s="723"/>
      <c r="P71" s="723"/>
      <c r="Q71" s="723"/>
      <c r="R71" s="723"/>
    </row>
    <row r="72" spans="1:18" ht="34.5" customHeight="1" x14ac:dyDescent="0.25">
      <c r="A72" s="723"/>
      <c r="B72" s="1409" t="str">
        <f>'Local Plans TOB'!B37</f>
        <v>Prescribed Medicines - Coinsurance</v>
      </c>
      <c r="C72" s="1409"/>
      <c r="D72" s="1409"/>
      <c r="E72" s="1409"/>
      <c r="F72" s="1409"/>
      <c r="G72" s="1172">
        <f>IF(G$39&lt;&gt;"",'Benefit Selection - Group'!B28,"")</f>
        <v>0</v>
      </c>
      <c r="H72" s="1172" t="str">
        <f>IF(H$39&lt;&gt;"",'Benefit Selection - Group'!G28,"")</f>
        <v/>
      </c>
      <c r="I72" s="1172" t="str">
        <f>IF(I$39&lt;&gt;"",'Benefit Selection - Group'!L28,"")</f>
        <v/>
      </c>
      <c r="J72" s="1172" t="str">
        <f>IF(J$39&lt;&gt;"",'Benefit Selection - Group'!Q28,"")</f>
        <v/>
      </c>
      <c r="K72" s="1172" t="str">
        <f>IF(K$39&lt;&gt;"",'Benefit Selection - Group'!V28,"")</f>
        <v/>
      </c>
      <c r="L72" s="1172" t="str">
        <f>IF(L$39&lt;&gt;"",'Benefit Selection - Group'!AA28,"")</f>
        <v/>
      </c>
      <c r="M72" s="1172" t="str">
        <f>IF(M$39&lt;&gt;"",'Benefit Selection - Group'!AF28,"")</f>
        <v/>
      </c>
      <c r="N72" s="1172" t="str">
        <f>IF(N$39&lt;&gt;"",'Benefit Selection - Group'!AK28,"")</f>
        <v/>
      </c>
      <c r="O72" s="723"/>
      <c r="P72" s="723"/>
      <c r="Q72" s="723"/>
      <c r="R72" s="723"/>
    </row>
    <row r="73" spans="1:18" ht="61.5" customHeight="1" x14ac:dyDescent="0.25">
      <c r="A73" s="723"/>
      <c r="B73" s="1409" t="str">
        <f>'Local Plans TOB'!B38</f>
        <v>Prescribed Medicine Type</v>
      </c>
      <c r="C73" s="1409"/>
      <c r="D73" s="1409"/>
      <c r="E73" s="1409"/>
      <c r="F73" s="1409"/>
      <c r="G73" s="917" t="str">
        <f>IF(G$39&lt;&gt;"",IF('Benefit Selection - Group'!B32="Branded","Branded or Generic",IF(G41='Local Plans TOB'!$J$2,"Generic Only 
(Restricted to formulary list of medicines)","Generic Only")),"")</f>
        <v>Branded or Generic</v>
      </c>
      <c r="H73" s="917" t="str">
        <f>IF(H$39&lt;&gt;"",IF('Benefit Selection - Group'!G32="Branded","Branded or Generic",IF(H41='Local Plans TOB'!$J$2,"Generic Only 
(Restricted to formulary list of medicines)","Generic Only")),"")</f>
        <v/>
      </c>
      <c r="I73" s="917" t="str">
        <f>IF(I$39&lt;&gt;"",IF('Benefit Selection - Group'!L32="Branded","Branded or Generic",IF(I41='Local Plans TOB'!$J$2,"Generic Only 
(Restricted to formulary list of medicines)","Generic Only")),"")</f>
        <v/>
      </c>
      <c r="J73" s="917" t="str">
        <f>IF(J$39&lt;&gt;"",IF('Benefit Selection - Group'!Q32="Branded","Branded or Generic",IF(J41='Local Plans TOB'!$J$2,"Generic Only 
(Restricted to formulary list of medicines)","Generic Only")),"")</f>
        <v/>
      </c>
      <c r="K73" s="917" t="str">
        <f>IF(K$39&lt;&gt;"",IF('Benefit Selection - Group'!V32="Branded","Branded or Generic",IF(K41='Local Plans TOB'!$J$2,"Generic Only 
(Restricted to formulary list of medicines)","Generic Only")),"")</f>
        <v/>
      </c>
      <c r="L73" s="917" t="str">
        <f>IF(L$39&lt;&gt;"",IF('Benefit Selection - Group'!AA32="Branded","Branded or Generic",IF(L41='Local Plans TOB'!$J$2,"Generic Only 
(Restricted to formulary list of medicines)","Generic Only")),"")</f>
        <v/>
      </c>
      <c r="M73" s="917" t="str">
        <f>IF(M$39&lt;&gt;"",IF('Benefit Selection - Group'!AF32="Branded","Branded or Generic",IF(M41='Local Plans TOB'!$J$2,"Generic Only 
(Restricted to formulary list of medicines)","Generic Only")),"")</f>
        <v/>
      </c>
      <c r="N73" s="917" t="str">
        <f>IF(N$39&lt;&gt;"",IF('Benefit Selection - Group'!AK32="Branded","Branded or Generic",IF(N41='Local Plans TOB'!$J$2,"Generic Only 
(Restricted to formulary list of medicines)","Generic Only")),"")</f>
        <v/>
      </c>
      <c r="O73" s="723"/>
      <c r="P73" s="723"/>
      <c r="Q73" s="723"/>
      <c r="R73" s="723"/>
    </row>
    <row r="74" spans="1:18" ht="63" customHeight="1" x14ac:dyDescent="0.25">
      <c r="A74" s="723"/>
      <c r="B74" s="1409" t="str">
        <f>'Local Plans TOB'!B39</f>
        <v>Physiotherapy under OP</v>
      </c>
      <c r="C74" s="1409"/>
      <c r="D74" s="1409"/>
      <c r="E74" s="1409"/>
      <c r="F74" s="1409"/>
      <c r="G74" s="917" t="str">
        <f>IF(G$39&lt;&gt;"",IF('Benefit Selection - Group'!B75="Not Covered","Not Covered","Covered up to "&amp;IF(G43="Abu Dhabi","AML subject to "&amp;'Benefit Selection - Group'!B76*100&amp;"% coinsurance",'Benefit Selection - Group'!B75&amp;" Sessions PMPA &amp; subject to "&amp;'Benefit Selection - Group'!B76*100&amp;"% coinsurance")),"")</f>
        <v>Covered up to 6 Sessions PMPA &amp; subject to 0% coinsurance</v>
      </c>
      <c r="H74" s="917" t="str">
        <f>IF(H$39&lt;&gt;"",IF('Benefit Selection - Group'!G75="Not Covered","Not Covered","Covered up to "&amp;IF(H43="Abu Dhabi","AML subject to "&amp;'Benefit Selection - Group'!G76*100&amp;"% coinsurance",'Benefit Selection - Group'!G75&amp;" Sessions PMPA &amp; subject to "&amp;'Benefit Selection - Group'!G76*100&amp;"% coinsurance")),"")</f>
        <v/>
      </c>
      <c r="I74" s="917" t="str">
        <f>IF(I$39&lt;&gt;"",IF('Benefit Selection - Group'!L75="Not Covered","Not Covered","Covered up to "&amp;IF(I43="Abu Dhabi","AML subject to "&amp;'Benefit Selection - Group'!L76*100&amp;"% coinsurance",'Benefit Selection - Group'!L75&amp;" Sessions PMPA &amp; subject to "&amp;'Benefit Selection - Group'!L76*100&amp;"% coinsurance")),"")</f>
        <v/>
      </c>
      <c r="J74" s="917" t="str">
        <f>IF(J$39&lt;&gt;"",IF('Benefit Selection - Group'!Q75="Not Covered","Not Covered","Covered up to "&amp;IF(J43="Abu Dhabi","AML subject to "&amp;'Benefit Selection - Group'!Q76*100&amp;"% coinsurance",'Benefit Selection - Group'!Q75&amp;" Sessions PMPA &amp; subject to "&amp;'Benefit Selection - Group'!Q76*100&amp;"% coinsurance")),"")</f>
        <v/>
      </c>
      <c r="K74" s="917" t="str">
        <f>IF(K$39&lt;&gt;"",IF('Benefit Selection - Group'!V75="Not Covered","Not Covered","Covered up to "&amp;IF(K43="Abu Dhabi","AML subject to "&amp;'Benefit Selection - Group'!V76*100&amp;"% coinsurance",'Benefit Selection - Group'!V75&amp;" Sessions PMPA &amp; subject to "&amp;'Benefit Selection - Group'!V76*100&amp;"% coinsurance")),"")</f>
        <v/>
      </c>
      <c r="L74" s="917" t="str">
        <f>IF(L$39&lt;&gt;"",IF('Benefit Selection - Group'!AA75="Not Covered","Not Covered","Covered up to "&amp;IF(L43="Abu Dhabi","AML subject to "&amp;'Benefit Selection - Group'!AA76*100&amp;"% coinsurance",'Benefit Selection - Group'!AA75&amp;" Sessions PMPA &amp; subject to "&amp;'Benefit Selection - Group'!AA76*100&amp;"% coinsurance")),"")</f>
        <v/>
      </c>
      <c r="M74" s="917" t="str">
        <f>IF(M$39&lt;&gt;"",IF('Benefit Selection - Group'!AF75="Not Covered","Not Covered","Covered up to "&amp;IF(M43="Abu Dhabi","AML subject to "&amp;'Benefit Selection - Group'!AF76*100&amp;"% coinsurance",'Benefit Selection - Group'!AF75&amp;" Sessions PMPA &amp; subject to "&amp;'Benefit Selection - Group'!AF76*100&amp;"% coinsurance")),"")</f>
        <v/>
      </c>
      <c r="N74" s="917" t="str">
        <f>IF(N$39&lt;&gt;"",IF('Benefit Selection - Group'!AK75="Not Covered","Not Covered","Covered up to "&amp;IF(N43="Abu Dhabi","AML subject to "&amp;'Benefit Selection - Group'!AK76*100&amp;"% coinsurance",'Benefit Selection - Group'!AK75&amp;" Sessions PMPA &amp; subject to "&amp;'Benefit Selection - Group'!AK76*100&amp;"% coinsurance")),"")</f>
        <v/>
      </c>
      <c r="O74" s="723"/>
      <c r="P74" s="723"/>
      <c r="Q74" s="723"/>
      <c r="R74" s="723"/>
    </row>
    <row r="75" spans="1:18" ht="34.5" customHeight="1" x14ac:dyDescent="0.25">
      <c r="A75" s="723"/>
      <c r="B75" s="1408" t="str">
        <f>'Local Plans TOB'!B40</f>
        <v xml:space="preserve">Outpatient Surgerical procedure </v>
      </c>
      <c r="C75" s="1408"/>
      <c r="D75" s="1408"/>
      <c r="E75" s="1408"/>
      <c r="F75" s="1408"/>
      <c r="G75" s="440" t="str">
        <f>IF(G$39&lt;&gt;"",HLOOKUP(G$41,'Local Plans TOB'!$B$2:$J$78,39,0),"")</f>
        <v>Covered up to the AML</v>
      </c>
      <c r="H75" s="440" t="str">
        <f>IF(H$39&lt;&gt;"",HLOOKUP(H$41,'Local Plans TOB'!$B$2:$J$78,39,0),"")</f>
        <v/>
      </c>
      <c r="I75" s="440" t="str">
        <f>IF(I$39&lt;&gt;"",HLOOKUP(I$41,'Local Plans TOB'!$B$2:$J$78,39,0),"")</f>
        <v/>
      </c>
      <c r="J75" s="440" t="str">
        <f>IF(J$39&lt;&gt;"",HLOOKUP(J$41,'Local Plans TOB'!$B$2:$J$78,39,0),"")</f>
        <v/>
      </c>
      <c r="K75" s="440" t="str">
        <f>IF(K$39&lt;&gt;"",HLOOKUP(K$41,'Local Plans TOB'!$B$2:$J$78,39,0),"")</f>
        <v/>
      </c>
      <c r="L75" s="440" t="str">
        <f>IF(L$39&lt;&gt;"",HLOOKUP(L$41,'Local Plans TOB'!$B$2:$J$78,39,0),"")</f>
        <v/>
      </c>
      <c r="M75" s="440" t="str">
        <f>IF(M$39&lt;&gt;"",HLOOKUP(M$41,'Local Plans TOB'!$B$2:$J$78,39,0),"")</f>
        <v/>
      </c>
      <c r="N75" s="440" t="str">
        <f>IF(N$39&lt;&gt;"",HLOOKUP(N$41,'Local Plans TOB'!$B$2:$J$78,39,0),"")</f>
        <v/>
      </c>
      <c r="O75" s="723"/>
      <c r="P75" s="723"/>
      <c r="Q75" s="723"/>
      <c r="R75" s="723"/>
    </row>
    <row r="76" spans="1:18" ht="34.5" customHeight="1" x14ac:dyDescent="0.25">
      <c r="A76" s="723"/>
      <c r="B76" s="1408" t="str">
        <f>'Local Plans TOB'!B41</f>
        <v>Laboratory , Radiology , Pathology and Diagnostic services.</v>
      </c>
      <c r="C76" s="1408"/>
      <c r="D76" s="1408"/>
      <c r="E76" s="1408"/>
      <c r="F76" s="1408"/>
      <c r="G76" s="440" t="str">
        <f>IF(G$39&lt;&gt;"",HLOOKUP(G$41,'Local Plans TOB'!$B$2:$J$78,40,0),"")</f>
        <v xml:space="preserve">Covered up to the AML  </v>
      </c>
      <c r="H76" s="440" t="str">
        <f>IF(H$39&lt;&gt;"",HLOOKUP(H$41,'Local Plans TOB'!$B$2:$J$78,40,0),"")</f>
        <v/>
      </c>
      <c r="I76" s="440" t="str">
        <f>IF(I$39&lt;&gt;"",HLOOKUP(I$41,'Local Plans TOB'!$B$2:$J$78,40,0),"")</f>
        <v/>
      </c>
      <c r="J76" s="440" t="str">
        <f>IF(J$39&lt;&gt;"",HLOOKUP(J$41,'Local Plans TOB'!$B$2:$J$78,40,0),"")</f>
        <v/>
      </c>
      <c r="K76" s="440" t="str">
        <f>IF(K$39&lt;&gt;"",HLOOKUP(K$41,'Local Plans TOB'!$B$2:$J$78,40,0),"")</f>
        <v/>
      </c>
      <c r="L76" s="440" t="str">
        <f>IF(L$39&lt;&gt;"",HLOOKUP(L$41,'Local Plans TOB'!$B$2:$J$78,40,0),"")</f>
        <v/>
      </c>
      <c r="M76" s="440" t="str">
        <f>IF(M$39&lt;&gt;"",HLOOKUP(M$41,'Local Plans TOB'!$B$2:$J$78,40,0),"")</f>
        <v/>
      </c>
      <c r="N76" s="440" t="str">
        <f>IF(N$39&lt;&gt;"",HLOOKUP(N$41,'Local Plans TOB'!$B$2:$J$78,40,0),"")</f>
        <v/>
      </c>
      <c r="O76" s="723"/>
      <c r="P76" s="723"/>
      <c r="Q76" s="723"/>
      <c r="R76" s="723"/>
    </row>
    <row r="77" spans="1:18" ht="34.5" customHeight="1" x14ac:dyDescent="0.25">
      <c r="A77" s="723"/>
      <c r="B77" s="1408" t="str">
        <f>'Local Plans TOB'!B42</f>
        <v>X-ray, MRI, CT-scan, Ultra Sound and Endoscopy diagnostic services.</v>
      </c>
      <c r="C77" s="1408"/>
      <c r="D77" s="1408"/>
      <c r="E77" s="1408"/>
      <c r="F77" s="1408"/>
      <c r="G77" s="440" t="str">
        <f>IF(G$39&lt;&gt;"",HLOOKUP(G$41,'Local Plans TOB'!$B$2:$J$78,41,0),"")</f>
        <v xml:space="preserve">Covered up to the AML  </v>
      </c>
      <c r="H77" s="440" t="str">
        <f>IF(H$39&lt;&gt;"",HLOOKUP(H$41,'Local Plans TOB'!$B$2:$J$78,41,0),"")</f>
        <v/>
      </c>
      <c r="I77" s="440" t="str">
        <f>IF(I$39&lt;&gt;"",HLOOKUP(I$41,'Local Plans TOB'!$B$2:$J$78,41,0),"")</f>
        <v/>
      </c>
      <c r="J77" s="440" t="str">
        <f>IF(J$39&lt;&gt;"",HLOOKUP(J$41,'Local Plans TOB'!$B$2:$J$78,41,0),"")</f>
        <v/>
      </c>
      <c r="K77" s="440" t="str">
        <f>IF(K$39&lt;&gt;"",HLOOKUP(K$41,'Local Plans TOB'!$B$2:$J$78,41,0),"")</f>
        <v/>
      </c>
      <c r="L77" s="440" t="str">
        <f>IF(L$39&lt;&gt;"",HLOOKUP(L$41,'Local Plans TOB'!$B$2:$J$78,41,0),"")</f>
        <v/>
      </c>
      <c r="M77" s="440" t="str">
        <f>IF(M$39&lt;&gt;"",HLOOKUP(M$41,'Local Plans TOB'!$B$2:$J$78,41,0),"")</f>
        <v/>
      </c>
      <c r="N77" s="440" t="str">
        <f>IF(N$39&lt;&gt;"",HLOOKUP(N$41,'Local Plans TOB'!$B$2:$J$78,41,0),"")</f>
        <v/>
      </c>
      <c r="O77" s="723"/>
      <c r="P77" s="723"/>
      <c r="Q77" s="723"/>
      <c r="R77" s="723"/>
    </row>
    <row r="78" spans="1:18" x14ac:dyDescent="0.25">
      <c r="A78" s="723"/>
      <c r="B78" s="723"/>
      <c r="C78" s="723"/>
      <c r="D78" s="723"/>
      <c r="E78" s="723"/>
      <c r="F78" s="723"/>
      <c r="G78" s="723"/>
      <c r="H78" s="723"/>
      <c r="I78" s="813"/>
      <c r="J78" s="813"/>
      <c r="K78" s="813"/>
      <c r="L78" s="813"/>
      <c r="M78" s="813"/>
      <c r="N78" s="813"/>
      <c r="O78" s="723"/>
      <c r="P78" s="723"/>
      <c r="Q78" s="723"/>
      <c r="R78" s="723"/>
    </row>
    <row r="79" spans="1:18" ht="26.25" x14ac:dyDescent="0.25">
      <c r="B79" s="815" t="str">
        <f>'Local Plans TOB'!B44</f>
        <v xml:space="preserve">Other Benefits </v>
      </c>
      <c r="C79" s="816"/>
      <c r="D79" s="816"/>
      <c r="E79" s="816"/>
      <c r="F79" s="816"/>
      <c r="G79" s="816"/>
      <c r="H79" s="816"/>
      <c r="I79" s="816"/>
      <c r="J79" s="816"/>
      <c r="K79" s="816"/>
      <c r="L79" s="816"/>
      <c r="M79" s="816"/>
      <c r="N79" s="817"/>
    </row>
    <row r="80" spans="1:18" ht="75.75" customHeight="1" x14ac:dyDescent="0.25">
      <c r="A80" s="723"/>
      <c r="B80" s="1408" t="str">
        <f>'Local Plans TOB'!B45</f>
        <v>Diagnostic and treatment services for dental and gum treatments , in case of emergency only</v>
      </c>
      <c r="C80" s="1408"/>
      <c r="D80" s="1408"/>
      <c r="E80" s="1408"/>
      <c r="F80" s="1408"/>
      <c r="G80" s="440" t="str">
        <f>IF(G$39&lt;&gt;"",HLOOKUP(G$41,'Local Plans TOB'!$B$2:$J$78,44,0),"")</f>
        <v>Covered up to the AML</v>
      </c>
      <c r="H80" s="440" t="str">
        <f>IF(H$39&lt;&gt;"",HLOOKUP(H$41,'Local Plans TOB'!$B$2:$J$78,44,0),"")</f>
        <v/>
      </c>
      <c r="I80" s="440" t="str">
        <f>IF(I$39&lt;&gt;"",HLOOKUP(I$41,'Local Plans TOB'!$B$2:$J$78,44,0),"")</f>
        <v/>
      </c>
      <c r="J80" s="440" t="str">
        <f>IF(J$39&lt;&gt;"",HLOOKUP(J$41,'Local Plans TOB'!$B$2:$J$78,44,0),"")</f>
        <v/>
      </c>
      <c r="K80" s="440" t="str">
        <f>IF(K$39&lt;&gt;"",HLOOKUP(K$41,'Local Plans TOB'!$B$2:$J$78,44,0),"")</f>
        <v/>
      </c>
      <c r="L80" s="440" t="str">
        <f>IF(L$39&lt;&gt;"",HLOOKUP(L$41,'Local Plans TOB'!$B$2:$J$78,44,0),"")</f>
        <v/>
      </c>
      <c r="M80" s="440" t="str">
        <f>IF(M$39&lt;&gt;"",HLOOKUP(M$41,'Local Plans TOB'!$B$2:$J$78,44,0),"")</f>
        <v/>
      </c>
      <c r="N80" s="440" t="str">
        <f>IF(N$39&lt;&gt;"",HLOOKUP(N$41,'Local Plans TOB'!$B$2:$J$78,44,0),"")</f>
        <v/>
      </c>
      <c r="O80" s="723"/>
      <c r="P80" s="723"/>
      <c r="Q80" s="723"/>
      <c r="R80" s="723"/>
    </row>
    <row r="81" spans="1:18" ht="75.75" customHeight="1" x14ac:dyDescent="0.25">
      <c r="A81" s="723"/>
      <c r="B81" s="1408" t="str">
        <f>'Local Plans TOB'!B46</f>
        <v xml:space="preserve">Hearing and vision aids and vision correction by surgeries and laser , in case of emergency only  </v>
      </c>
      <c r="C81" s="1408"/>
      <c r="D81" s="1408"/>
      <c r="E81" s="1408"/>
      <c r="F81" s="1408"/>
      <c r="G81" s="440" t="str">
        <f>IF(G$39&lt;&gt;"",HLOOKUP(G$41,'Local Plans TOB'!$B$2:$J$78,45,0),"")</f>
        <v>Covered up to the AML</v>
      </c>
      <c r="H81" s="440" t="str">
        <f>IF(H$39&lt;&gt;"",HLOOKUP(H$41,'Local Plans TOB'!$B$2:$J$78,45,0),"")</f>
        <v/>
      </c>
      <c r="I81" s="440" t="str">
        <f>IF(I$39&lt;&gt;"",HLOOKUP(I$41,'Local Plans TOB'!$B$2:$J$78,45,0),"")</f>
        <v/>
      </c>
      <c r="J81" s="440" t="str">
        <f>IF(J$39&lt;&gt;"",HLOOKUP(J$41,'Local Plans TOB'!$B$2:$J$78,45,0),"")</f>
        <v/>
      </c>
      <c r="K81" s="440" t="str">
        <f>IF(K$39&lt;&gt;"",HLOOKUP(K$41,'Local Plans TOB'!$B$2:$J$78,45,0),"")</f>
        <v/>
      </c>
      <c r="L81" s="440" t="str">
        <f>IF(L$39&lt;&gt;"",HLOOKUP(L$41,'Local Plans TOB'!$B$2:$J$78,45,0),"")</f>
        <v/>
      </c>
      <c r="M81" s="440" t="str">
        <f>IF(M$39&lt;&gt;"",HLOOKUP(M$41,'Local Plans TOB'!$B$2:$J$78,45,0),"")</f>
        <v/>
      </c>
      <c r="N81" s="440" t="str">
        <f>IF(N$39&lt;&gt;"",HLOOKUP(N$41,'Local Plans TOB'!$B$2:$J$78,45,0),"")</f>
        <v/>
      </c>
      <c r="O81" s="723"/>
      <c r="P81" s="723"/>
      <c r="Q81" s="723"/>
      <c r="R81" s="723"/>
    </row>
    <row r="82" spans="1:18" ht="75.75" customHeight="1" x14ac:dyDescent="0.25">
      <c r="A82" s="723"/>
      <c r="B82" s="1409" t="str">
        <f>'Local Plans TOB'!B47</f>
        <v xml:space="preserve">Nursing at home by a registered nurse (following an immediate Inpatient treatment) </v>
      </c>
      <c r="C82" s="1409"/>
      <c r="D82" s="1409"/>
      <c r="E82" s="1409"/>
      <c r="F82" s="1409"/>
      <c r="G82" s="917" t="str">
        <f>IF(G$39&lt;&gt;"",IF('Benefit Selection - Group'!B57="Not Covered","Not Covered","Covered up to maximum AED "&amp;'Benefit Selection - Group'!B57&amp;" per person per annum subject to prior approval."),"")</f>
        <v>Covered up to maximum AED 5000 per person per annum subject to prior approval.</v>
      </c>
      <c r="H82" s="917" t="str">
        <f>IF(H$39&lt;&gt;"",IF('Benefit Selection - Group'!G57="Not Covered","Not Covered","Covered up to maximum AED "&amp;'Benefit Selection - Group'!G57&amp;" per person per annum subject to prior approval."),"")</f>
        <v/>
      </c>
      <c r="I82" s="917" t="str">
        <f>IF(I$39&lt;&gt;"",IF('Benefit Selection - Group'!L57="Not Covered","Not Covered","Covered up to maximum AED "&amp;'Benefit Selection - Group'!L57&amp;" per person per annum subject to prior approval."),"")</f>
        <v/>
      </c>
      <c r="J82" s="917" t="str">
        <f>IF(J$39&lt;&gt;"",IF('Benefit Selection - Group'!Q57="Not Covered","Not Covered","Covered up to maximum AED "&amp;'Benefit Selection - Group'!Q57&amp;" per person per annum subject to prior approval."),"")</f>
        <v/>
      </c>
      <c r="K82" s="917" t="str">
        <f>IF(K$39&lt;&gt;"",IF('Benefit Selection - Group'!V57="Not Covered","Not Covered","Covered up to maximum AED "&amp;'Benefit Selection - Group'!V57&amp;" per person per annum subject to prior approval."),"")</f>
        <v/>
      </c>
      <c r="L82" s="917" t="str">
        <f>IF(L$39&lt;&gt;"",IF('Benefit Selection - Group'!AA57="Not Covered","Not Covered","Covered up to maximum AED "&amp;'Benefit Selection - Group'!AA57&amp;" per person per annum subject to prior approval."),"")</f>
        <v/>
      </c>
      <c r="M82" s="917" t="str">
        <f>IF(M$39&lt;&gt;"",IF('Benefit Selection - Group'!AF57="Not Covered","Not Covered","Covered up to maximum AED "&amp;'Benefit Selection - Group'!AF57&amp;" per person per annum subject to prior approval."),"")</f>
        <v/>
      </c>
      <c r="N82" s="917" t="str">
        <f>IF(N$39&lt;&gt;"",IF('Benefit Selection - Group'!AK57="Not Covered","Not Covered","Covered up to maximum AED "&amp;'Benefit Selection - Group'!AK57&amp;" per person per annum subject to prior approval."),"")</f>
        <v/>
      </c>
      <c r="O82" s="723"/>
      <c r="P82" s="723"/>
      <c r="Q82" s="723"/>
      <c r="R82" s="723"/>
    </row>
    <row r="83" spans="1:18" ht="75.75" customHeight="1" x14ac:dyDescent="0.25">
      <c r="A83" s="723"/>
      <c r="B83" s="1408" t="str">
        <f>'Local Plans TOB'!B48</f>
        <v>Organ Transplantation (recIpient only excluding cost organ)</v>
      </c>
      <c r="C83" s="1408"/>
      <c r="D83" s="1408"/>
      <c r="E83" s="1408"/>
      <c r="F83" s="1408"/>
      <c r="G83" s="440" t="str">
        <f>IF(G$39&lt;&gt;"",HLOOKUP(G$41,'Local Plans TOB'!$B$2:$J$78,47,0),"")</f>
        <v>Covered up to maximum AED 100,000 per person per annum with 20% Co-Pay subject to prior apporval.</v>
      </c>
      <c r="H83" s="440" t="str">
        <f>IF(H$39&lt;&gt;"",HLOOKUP(H$41,'Local Plans TOB'!$B$2:$J$78,47,0),"")</f>
        <v/>
      </c>
      <c r="I83" s="440" t="str">
        <f>IF(I$39&lt;&gt;"",HLOOKUP(I$41,'Local Plans TOB'!$B$2:$J$78,47,0),"")</f>
        <v/>
      </c>
      <c r="J83" s="440" t="str">
        <f>IF(J$39&lt;&gt;"",HLOOKUP(J$41,'Local Plans TOB'!$B$2:$J$78,47,0),"")</f>
        <v/>
      </c>
      <c r="K83" s="440" t="str">
        <f>IF(K$39&lt;&gt;"",HLOOKUP(K$41,'Local Plans TOB'!$B$2:$J$78,47,0),"")</f>
        <v/>
      </c>
      <c r="L83" s="440" t="str">
        <f>IF(L$39&lt;&gt;"",HLOOKUP(L$41,'Local Plans TOB'!$B$2:$J$78,47,0),"")</f>
        <v/>
      </c>
      <c r="M83" s="440" t="str">
        <f>IF(M$39&lt;&gt;"",HLOOKUP(M$41,'Local Plans TOB'!$B$2:$J$78,47,0),"")</f>
        <v/>
      </c>
      <c r="N83" s="440" t="str">
        <f>IF(N$39&lt;&gt;"",HLOOKUP(N$41,'Local Plans TOB'!$B$2:$J$78,47,0),"")</f>
        <v/>
      </c>
      <c r="O83" s="723"/>
      <c r="P83" s="723"/>
      <c r="Q83" s="723"/>
      <c r="R83" s="723"/>
    </row>
    <row r="84" spans="1:18" ht="75.75" customHeight="1" x14ac:dyDescent="0.25">
      <c r="A84" s="723"/>
      <c r="B84" s="1408" t="str">
        <f>'Local Plans TOB'!B49</f>
        <v>Dialysis</v>
      </c>
      <c r="C84" s="1408"/>
      <c r="D84" s="1408"/>
      <c r="E84" s="1408"/>
      <c r="F84" s="1408"/>
      <c r="G84" s="440" t="str">
        <f>IF(G$39&lt;&gt;"",HLOOKUP(G$41,'Local Plans TOB'!$B$2:$J$78,48,0),"")</f>
        <v>Covered up to maximum AED 60,000 per person per annum with 20% Co-Pay subject to prior apporval.</v>
      </c>
      <c r="H84" s="440" t="str">
        <f>IF(H$39&lt;&gt;"",HLOOKUP(H$41,'Local Plans TOB'!$B$2:$J$78,48,0),"")</f>
        <v/>
      </c>
      <c r="I84" s="440" t="str">
        <f>IF(I$39&lt;&gt;"",HLOOKUP(I$41,'Local Plans TOB'!$B$2:$J$78,48,0),"")</f>
        <v/>
      </c>
      <c r="J84" s="440" t="str">
        <f>IF(J$39&lt;&gt;"",HLOOKUP(J$41,'Local Plans TOB'!$B$2:$J$78,48,0),"")</f>
        <v/>
      </c>
      <c r="K84" s="440" t="str">
        <f>IF(K$39&lt;&gt;"",HLOOKUP(K$41,'Local Plans TOB'!$B$2:$J$78,48,0),"")</f>
        <v/>
      </c>
      <c r="L84" s="440" t="str">
        <f>IF(L$39&lt;&gt;"",HLOOKUP(L$41,'Local Plans TOB'!$B$2:$J$78,48,0),"")</f>
        <v/>
      </c>
      <c r="M84" s="440" t="str">
        <f>IF(M$39&lt;&gt;"",HLOOKUP(M$41,'Local Plans TOB'!$B$2:$J$78,48,0),"")</f>
        <v/>
      </c>
      <c r="N84" s="440" t="str">
        <f>IF(N$39&lt;&gt;"",HLOOKUP(N$41,'Local Plans TOB'!$B$2:$J$78,48,0),"")</f>
        <v/>
      </c>
      <c r="O84" s="723"/>
      <c r="P84" s="723"/>
      <c r="Q84" s="723"/>
      <c r="R84" s="723"/>
    </row>
    <row r="85" spans="1:18" ht="75.75" customHeight="1" x14ac:dyDescent="0.25">
      <c r="A85" s="723"/>
      <c r="B85" s="1408" t="str">
        <f>'Local Plans TOB'!B50</f>
        <v xml:space="preserve">New Born Cover </v>
      </c>
      <c r="C85" s="1408"/>
      <c r="D85" s="1408"/>
      <c r="E85" s="1408"/>
      <c r="F85" s="1408"/>
      <c r="G85" s="440" t="str">
        <f>IF(G$39&lt;&gt;"",HLOOKUP(G$41,'Local Plans TOB'!$B$2:$J$78,49,0),"")</f>
        <v>Cover for 30 days from the date of birth or until addition as a member, whichever is earlier. New born covered under the mother’s annual limit.</v>
      </c>
      <c r="H85" s="440" t="str">
        <f>IF(H$39&lt;&gt;"",HLOOKUP(H$41,'Local Plans TOB'!$B$2:$J$78,49,0),"")</f>
        <v/>
      </c>
      <c r="I85" s="440" t="str">
        <f>IF(I$39&lt;&gt;"",HLOOKUP(I$41,'Local Plans TOB'!$B$2:$J$78,49,0),"")</f>
        <v/>
      </c>
      <c r="J85" s="440" t="str">
        <f>IF(J$39&lt;&gt;"",HLOOKUP(J$41,'Local Plans TOB'!$B$2:$J$78,49,0),"")</f>
        <v/>
      </c>
      <c r="K85" s="440" t="str">
        <f>IF(K$39&lt;&gt;"",HLOOKUP(K$41,'Local Plans TOB'!$B$2:$J$78,49,0),"")</f>
        <v/>
      </c>
      <c r="L85" s="440" t="str">
        <f>IF(L$39&lt;&gt;"",HLOOKUP(L$41,'Local Plans TOB'!$B$2:$J$78,49,0),"")</f>
        <v/>
      </c>
      <c r="M85" s="440" t="str">
        <f>IF(M$39&lt;&gt;"",HLOOKUP(M$41,'Local Plans TOB'!$B$2:$J$78,49,0),"")</f>
        <v/>
      </c>
      <c r="N85" s="440" t="str">
        <f>IF(N$39&lt;&gt;"",HLOOKUP(N$41,'Local Plans TOB'!$B$2:$J$78,49,0),"")</f>
        <v/>
      </c>
      <c r="O85" s="723"/>
      <c r="P85" s="723"/>
      <c r="Q85" s="723"/>
      <c r="R85" s="723"/>
    </row>
    <row r="86" spans="1:18" ht="75.75" customHeight="1" x14ac:dyDescent="0.25">
      <c r="A86" s="723"/>
      <c r="B86" s="1408" t="str">
        <f>'Local Plans TOB'!B51</f>
        <v>Birth Defects &amp; Congenital Disorders for newborn &amp;/or Deformities</v>
      </c>
      <c r="C86" s="1408"/>
      <c r="D86" s="1408"/>
      <c r="E86" s="1408"/>
      <c r="F86" s="1408"/>
      <c r="G86" s="440" t="str">
        <f>IF(G$39&lt;&gt;"",IF(G43="Abu Dhabi", "Birth defects and congenital conditions is covered 100% upto the annual limit for adults and life threatening cases for newborns. Covered within UAE only ",HLOOKUP(G$41,'Local Plans TOB'!$B$2:$J$78,50,0)),"")</f>
        <v>Covered up to lifetime maximum of AED 7,500 per person per annum within UAE only</v>
      </c>
      <c r="H86" s="440" t="str">
        <f>IF(H$39&lt;&gt;"",IF(H43="Abu Dhabi", "Birth defects and congenital conditions is covered 100% upto the annual limit for adults and life threatening cases for newborns. Covered within UAE only ",HLOOKUP(H$41,'Local Plans TOB'!$B$2:$J$78,50,0)),"")</f>
        <v/>
      </c>
      <c r="I86" s="440" t="str">
        <f>IF(I$39&lt;&gt;"",IF(I43="Abu Dhabi", "Birth defects and congenital conditions is covered 100% upto the annual limit for adults and life threatening cases for newborns. Covered within UAE only ",HLOOKUP(I$41,'Local Plans TOB'!$B$2:$J$78,50,0)),"")</f>
        <v/>
      </c>
      <c r="J86" s="440" t="str">
        <f>IF(J$39&lt;&gt;"",IF(J43="Abu Dhabi", "Birth defects and congenital conditions is covered 100% upto the annual limit for adults and life threatening cases for newborns. Covered within UAE only ",HLOOKUP(J$41,'Local Plans TOB'!$B$2:$J$78,50,0)),"")</f>
        <v/>
      </c>
      <c r="K86" s="440" t="str">
        <f>IF(K$39&lt;&gt;"",IF(K43="Abu Dhabi", "Birth defects and congenital conditions is covered 100% upto the annual limit for adults and life threatening cases for newborns. Covered within UAE only ",HLOOKUP(K$41,'Local Plans TOB'!$B$2:$J$78,50,0)),"")</f>
        <v/>
      </c>
      <c r="L86" s="440" t="str">
        <f>IF(L$39&lt;&gt;"",IF(L43="Abu Dhabi", "Birth defects and congenital conditions is covered 100% upto the annual limit for adults and life threatening cases for newborns. Covered within UAE only ",HLOOKUP(L$41,'Local Plans TOB'!$B$2:$J$78,50,0)),"")</f>
        <v/>
      </c>
      <c r="M86" s="440" t="str">
        <f>IF(M$39&lt;&gt;"",IF(M43="Abu Dhabi", "Birth defects and congenital conditions is covered 100% upto the annual limit for adults and life threatening cases for newborns. Covered within UAE only ",HLOOKUP(M$41,'Local Plans TOB'!$B$2:$J$78,50,0)),"")</f>
        <v/>
      </c>
      <c r="N86" s="440" t="str">
        <f>IF(N$39&lt;&gt;"",IF(N43="Abu Dhabi", "Birth defects and congenital conditions is covered 100% upto the annual limit for adults and life threatening cases for newborns. Covered within UAE only ",HLOOKUP(N$41,'Local Plans TOB'!$B$2:$J$78,50,0)),"")</f>
        <v/>
      </c>
      <c r="O86" s="723"/>
      <c r="P86" s="723"/>
      <c r="Q86" s="723"/>
      <c r="R86" s="723"/>
    </row>
    <row r="87" spans="1:18" ht="53.25" customHeight="1" x14ac:dyDescent="0.25">
      <c r="A87" s="723"/>
      <c r="B87" s="1408" t="str">
        <f>'Local Plans TOB'!B52</f>
        <v>Circumcision 
(subject to 10% coinsurance)</v>
      </c>
      <c r="C87" s="1408"/>
      <c r="D87" s="1408"/>
      <c r="E87" s="1408"/>
      <c r="F87" s="1408"/>
      <c r="G87" s="440" t="str">
        <f>IF(G$39&lt;&gt;"",HLOOKUP(G$41,'Local Plans TOB'!$B$2:$J$78,51,0),"")</f>
        <v>Not Covered</v>
      </c>
      <c r="H87" s="440" t="str">
        <f>IF(H$39&lt;&gt;"",HLOOKUP(H$41,'Local Plans TOB'!$B$2:$J$78,51,0),"")</f>
        <v/>
      </c>
      <c r="I87" s="440" t="str">
        <f>IF(I$39&lt;&gt;"",HLOOKUP(I$41,'Local Plans TOB'!$B$2:$J$78,51,0),"")</f>
        <v/>
      </c>
      <c r="J87" s="440" t="str">
        <f>IF(J$39&lt;&gt;"",HLOOKUP(J$41,'Local Plans TOB'!$B$2:$J$78,51,0),"")</f>
        <v/>
      </c>
      <c r="K87" s="440" t="str">
        <f>IF(K$39&lt;&gt;"",HLOOKUP(K$41,'Local Plans TOB'!$B$2:$J$78,51,0),"")</f>
        <v/>
      </c>
      <c r="L87" s="440" t="str">
        <f>IF(L$39&lt;&gt;"",HLOOKUP(L$41,'Local Plans TOB'!$B$2:$J$78,51,0),"")</f>
        <v/>
      </c>
      <c r="M87" s="440" t="str">
        <f>IF(M$39&lt;&gt;"",HLOOKUP(M$41,'Local Plans TOB'!$B$2:$J$78,51,0),"")</f>
        <v/>
      </c>
      <c r="N87" s="440" t="str">
        <f>IF(N$39&lt;&gt;"",HLOOKUP(N$41,'Local Plans TOB'!$B$2:$J$78,51,0),"")</f>
        <v/>
      </c>
      <c r="O87" s="723"/>
      <c r="P87" s="723"/>
      <c r="Q87" s="723"/>
      <c r="R87" s="723"/>
    </row>
    <row r="88" spans="1:18" ht="138.75" customHeight="1" x14ac:dyDescent="0.25">
      <c r="A88" s="723"/>
      <c r="B88" s="1408" t="str">
        <f>'Local Plans TOB'!B53</f>
        <v>Preventive services, vaccines and immunizations For New Born and children</v>
      </c>
      <c r="C88" s="1408"/>
      <c r="D88" s="1408"/>
      <c r="E88" s="1408"/>
      <c r="F88" s="1408"/>
      <c r="G88" s="440" t="str">
        <f>IF(G$39&lt;&gt;"",HLOOKUP(G$41,'Local Plans TOB'!$B$2:$J$78,52,0),"")</f>
        <v>Essential vaccinations and inoculations for new born and children up to 6 as stipulated in regulator’s policies and its updates (Currently the same as federal MOH), Benefit is covered on reimbursement basis.</v>
      </c>
      <c r="H88" s="440" t="str">
        <f>IF(H$39&lt;&gt;"",HLOOKUP(H$41,'Local Plans TOB'!$B$2:$J$78,52,0),"")</f>
        <v/>
      </c>
      <c r="I88" s="440" t="str">
        <f>IF(I$39&lt;&gt;"",HLOOKUP(I$41,'Local Plans TOB'!$B$2:$J$78,52,0),"")</f>
        <v/>
      </c>
      <c r="J88" s="440" t="str">
        <f>IF(J$39&lt;&gt;"",HLOOKUP(J$41,'Local Plans TOB'!$B$2:$J$78,52,0),"")</f>
        <v/>
      </c>
      <c r="K88" s="440" t="str">
        <f>IF(K$39&lt;&gt;"",HLOOKUP(K$41,'Local Plans TOB'!$B$2:$J$78,52,0),"")</f>
        <v/>
      </c>
      <c r="L88" s="440" t="str">
        <f>IF(L$39&lt;&gt;"",HLOOKUP(L$41,'Local Plans TOB'!$B$2:$J$78,52,0),"")</f>
        <v/>
      </c>
      <c r="M88" s="440" t="str">
        <f>IF(M$39&lt;&gt;"",HLOOKUP(M$41,'Local Plans TOB'!$B$2:$J$78,52,0),"")</f>
        <v/>
      </c>
      <c r="N88" s="440" t="str">
        <f>IF(N$39&lt;&gt;"",HLOOKUP(N$41,'Local Plans TOB'!$B$2:$J$78,52,0),"")</f>
        <v/>
      </c>
      <c r="O88" s="723"/>
      <c r="P88" s="723"/>
      <c r="Q88" s="723"/>
      <c r="R88" s="723"/>
    </row>
    <row r="89" spans="1:18" ht="331.5" customHeight="1" x14ac:dyDescent="0.25">
      <c r="A89" s="723"/>
      <c r="B89" s="1408" t="str">
        <f>'Local Plans TOB'!B54</f>
        <v>Preventive services, vaccines and immunizations For Adults.</v>
      </c>
      <c r="C89" s="1408"/>
      <c r="D89" s="1408"/>
      <c r="E89" s="1408"/>
      <c r="F89" s="1408"/>
      <c r="G89" s="440" t="str">
        <f>IF(G$39&lt;&gt;"",HLOOKUP(G$41,'Local Plans TOB'!$B$2:$J$78,53,0)&amp;'General Basis'!R39,"")</f>
        <v>Diabetes Screening.
– Normal Risk: Every 3 years from age 30
– High risk individuals annually from age 18
Preventive services as mandated by DHA periodically. (including Adult Pneumococcal Conjugate Vaccine)
Benefit is covered on reimbursement basis.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c r="H89" s="440" t="str">
        <f>IF(H$39&lt;&gt;"",HLOOKUP(H$41,'Local Plans TOB'!$B$2:$J$78,53,0)&amp;'General Basis'!R40,"")</f>
        <v/>
      </c>
      <c r="I89" s="440" t="str">
        <f>IF(I$39&lt;&gt;"",HLOOKUP(I$41,'Local Plans TOB'!$B$2:$J$78,53,0)&amp;'General Basis'!R41,"")</f>
        <v/>
      </c>
      <c r="J89" s="440" t="str">
        <f>IF(J$39&lt;&gt;"",HLOOKUP(J$41,'Local Plans TOB'!$B$2:$J$78,53,0)&amp;'General Basis'!R42,"")</f>
        <v/>
      </c>
      <c r="K89" s="440" t="str">
        <f>IF(K$39&lt;&gt;"",HLOOKUP(K$41,'Local Plans TOB'!$B$2:$J$78,53,0)&amp;'General Basis'!R43,"")</f>
        <v/>
      </c>
      <c r="L89" s="440" t="str">
        <f>IF(L$39&lt;&gt;"",HLOOKUP(L$41,'Local Plans TOB'!$B$2:$J$78,53,0)&amp;'General Basis'!R44,"")</f>
        <v/>
      </c>
      <c r="M89" s="440" t="str">
        <f>IF(M$39&lt;&gt;"",HLOOKUP(M$41,'Local Plans TOB'!$B$2:$J$78,53,0)&amp;'General Basis'!R45,"")</f>
        <v/>
      </c>
      <c r="N89" s="440" t="str">
        <f>IF(N$39&lt;&gt;"",HLOOKUP(N$41,'Local Plans TOB'!$B$2:$J$78,53,0)&amp;'General Basis'!R46,"")</f>
        <v/>
      </c>
      <c r="O89" s="723"/>
      <c r="P89" s="723"/>
      <c r="Q89" s="723"/>
      <c r="R89" s="723"/>
    </row>
    <row r="90" spans="1:18" ht="19.5" x14ac:dyDescent="0.25">
      <c r="A90" s="723"/>
      <c r="B90" s="1408" t="str">
        <f>'Local Plans TOB'!B55</f>
        <v>Influenza vaccine</v>
      </c>
      <c r="C90" s="1408"/>
      <c r="D90" s="1408"/>
      <c r="E90" s="1408"/>
      <c r="F90" s="1408"/>
      <c r="G90" s="440" t="str">
        <f>IF(G$39&lt;&gt;"",HLOOKUP(G$41,'Local Plans TOB'!$B$2:$J$78,54,0),"")</f>
        <v>Once</v>
      </c>
      <c r="H90" s="440" t="str">
        <f>IF(H$39&lt;&gt;"",HLOOKUP(H$41,'Local Plans TOB'!$B$2:$J$78,54,0),"")</f>
        <v/>
      </c>
      <c r="I90" s="440" t="str">
        <f>IF(I$39&lt;&gt;"",HLOOKUP(I$41,'Local Plans TOB'!$B$2:$J$78,54,0),"")</f>
        <v/>
      </c>
      <c r="J90" s="440" t="str">
        <f>IF(J$39&lt;&gt;"",HLOOKUP(J$41,'Local Plans TOB'!$B$2:$J$78,54,0),"")</f>
        <v/>
      </c>
      <c r="K90" s="440" t="str">
        <f>IF(K$39&lt;&gt;"",HLOOKUP(K$41,'Local Plans TOB'!$B$2:$J$78,54,0),"")</f>
        <v/>
      </c>
      <c r="L90" s="440" t="str">
        <f>IF(L$39&lt;&gt;"",HLOOKUP(L$41,'Local Plans TOB'!$B$2:$J$78,54,0),"")</f>
        <v/>
      </c>
      <c r="M90" s="440" t="str">
        <f>IF(M$39&lt;&gt;"",HLOOKUP(M$41,'Local Plans TOB'!$B$2:$J$78,54,0),"")</f>
        <v/>
      </c>
      <c r="N90" s="440" t="str">
        <f>IF(N$39&lt;&gt;"",HLOOKUP(N$41,'Local Plans TOB'!$B$2:$J$78,54,0),"")</f>
        <v/>
      </c>
      <c r="O90" s="723"/>
      <c r="P90" s="723"/>
      <c r="Q90" s="723"/>
      <c r="R90" s="723"/>
    </row>
    <row r="91" spans="1:18" ht="45" x14ac:dyDescent="0.25">
      <c r="A91" s="723"/>
      <c r="B91" s="1409" t="str">
        <f>'Local Plans TOB'!B56</f>
        <v>Repatriation of Mortal Remains to the Country of Domicile</v>
      </c>
      <c r="C91" s="1409"/>
      <c r="D91" s="1409"/>
      <c r="E91" s="1409"/>
      <c r="F91" s="1409"/>
      <c r="G91" s="917" t="str">
        <f>IF(G$39&lt;&gt;"",IF('Benefit Selection - Group'!B53="Not Covered","Not Covered","Covered up to Maximum AED "&amp;'Benefit Selection - Group'!B53&amp;" per person per annum covered on reimbursement basis."),"")</f>
        <v>Covered up to Maximum AED 10000 per person per annum covered on reimbursement basis.</v>
      </c>
      <c r="H91" s="917" t="str">
        <f>IF(H$39&lt;&gt;"",IF('Benefit Selection - Group'!G53="Not Covered","Not Covered","Covered up to Maximum AED "&amp;'Benefit Selection - Group'!G53&amp;" per person per annum covered on reimbursement basis."),"")</f>
        <v/>
      </c>
      <c r="I91" s="917" t="str">
        <f>IF(I$39&lt;&gt;"",IF('Benefit Selection - Group'!L53="Not Covered","Not Covered","Covered up to Maximum AED "&amp;'Benefit Selection - Group'!L53&amp;" per person per annum covered on reimbursement basis."),"")</f>
        <v/>
      </c>
      <c r="J91" s="917" t="str">
        <f>IF(J$39&lt;&gt;"",IF('Benefit Selection - Group'!Q53="Not Covered","Not Covered","Covered up to Maximum AED "&amp;'Benefit Selection - Group'!Q53&amp;" per person per annum covered on reimbursement basis."),"")</f>
        <v/>
      </c>
      <c r="K91" s="917" t="str">
        <f>IF(K$39&lt;&gt;"",IF('Benefit Selection - Group'!V53="Not Covered","Not Covered","Covered up to Maximum AED "&amp;'Benefit Selection - Group'!V53&amp;" per person per annum covered on reimbursement basis."),"")</f>
        <v/>
      </c>
      <c r="L91" s="917" t="str">
        <f>IF(L$39&lt;&gt;"",IF('Benefit Selection - Group'!AA53="Not Covered","Not Covered","Covered up to Maximum AED "&amp;'Benefit Selection - Group'!AA53&amp;" per person per annum covered on reimbursement basis."),"")</f>
        <v/>
      </c>
      <c r="M91" s="917" t="str">
        <f>IF(M$39&lt;&gt;"",IF('Benefit Selection - Group'!AF53="Not Covered","Not Covered","Covered up to Maximum AED "&amp;'Benefit Selection - Group'!AF53&amp;" per person per annum covered on reimbursement basis."),"")</f>
        <v/>
      </c>
      <c r="N91" s="917" t="str">
        <f>IF(N$39&lt;&gt;"",IF('Benefit Selection - Group'!AK53="Not Covered","Not Covered","Covered up to Maximum AED "&amp;'Benefit Selection - Group'!AK53&amp;" per person per annum covered on reimbursement basis."),"")</f>
        <v/>
      </c>
      <c r="O91" s="723"/>
      <c r="P91" s="723"/>
      <c r="Q91" s="723"/>
      <c r="R91" s="723"/>
    </row>
    <row r="92" spans="1:18" ht="19.5" x14ac:dyDescent="0.25">
      <c r="A92" s="723"/>
      <c r="B92" s="1409" t="str">
        <f>'Local Plans TOB'!B57</f>
        <v>Alternative Medicine (Ayurvedic, Chiropractic, Osteopathy, Herbal, Acupuncture, Acupressure &amp; Homeopathy)</v>
      </c>
      <c r="C92" s="1409"/>
      <c r="D92" s="1409"/>
      <c r="E92" s="1409"/>
      <c r="F92" s="1409"/>
      <c r="G92" s="917" t="str">
        <f>IF(G$39&lt;&gt;"",IF('Benefit Selection - Group'!B66="Not Covered","Not Covered","Covered up to AED "&amp;'Benefit Selection - Group'!B66&amp;" with "&amp;'Benefit Selection - Group'!B67*100&amp;"% coinsurance "),"")</f>
        <v>Not Covered</v>
      </c>
      <c r="H92" s="917" t="str">
        <f>IF(H$39&lt;&gt;"",IF('Benefit Selection - Group'!G66="Not Covered","Not Covered","Covered up to AED "&amp;'Benefit Selection - Group'!G66&amp;" with "&amp;'Benefit Selection - Group'!G67*100&amp;"% coinsurance "),"")</f>
        <v/>
      </c>
      <c r="I92" s="917" t="str">
        <f>IF(I$39&lt;&gt;"",IF('Benefit Selection - Group'!L66="Not Covered","Not Covered","Covered up to AED "&amp;'Benefit Selection - Group'!L66&amp;" with "&amp;'Benefit Selection - Group'!L67*100&amp;"% coinsurance "),"")</f>
        <v/>
      </c>
      <c r="J92" s="917" t="str">
        <f>IF(J$39&lt;&gt;"",IF('Benefit Selection - Group'!Q66="Not Covered","Not Covered","Covered up to AED "&amp;'Benefit Selection - Group'!Q66&amp;" with "&amp;'Benefit Selection - Group'!Q67*100&amp;"% coinsurance "),"")</f>
        <v/>
      </c>
      <c r="K92" s="917" t="str">
        <f>IF(K$39&lt;&gt;"",IF('Benefit Selection - Group'!V66="Not Covered","Not Covered","Covered up to AED "&amp;'Benefit Selection - Group'!V66&amp;" with "&amp;'Benefit Selection - Group'!V67*100&amp;"% coinsurance "),"")</f>
        <v/>
      </c>
      <c r="L92" s="917" t="str">
        <f>IF(L$39&lt;&gt;"",IF('Benefit Selection - Group'!AA66="Not Covered","Not Covered","Covered up to AED "&amp;'Benefit Selection - Group'!AA66&amp;" with "&amp;'Benefit Selection - Group'!AA67*100&amp;"% coinsurance "),"")</f>
        <v/>
      </c>
      <c r="M92" s="917" t="str">
        <f>IF(M$39&lt;&gt;"",IF('Benefit Selection - Group'!AF66="Not Covered","Not Covered","Covered up to AED "&amp;'Benefit Selection - Group'!AF66&amp;" with "&amp;'Benefit Selection - Group'!AF67*100&amp;"% coinsurance "),"")</f>
        <v/>
      </c>
      <c r="N92" s="917" t="str">
        <f>IF(N$39&lt;&gt;"",IF('Benefit Selection - Group'!AK66="Not Covered","Not Covered","Covered up to AED "&amp;'Benefit Selection - Group'!AK66&amp;" with "&amp;'Benefit Selection - Group'!AK67*100&amp;"% coinsurance "),"")</f>
        <v/>
      </c>
      <c r="O92" s="723"/>
      <c r="P92" s="723"/>
      <c r="Q92" s="723"/>
      <c r="R92" s="723"/>
    </row>
    <row r="93" spans="1:18" ht="46.5" customHeight="1" x14ac:dyDescent="0.25">
      <c r="A93" s="723"/>
      <c r="B93" s="1408" t="str">
        <f>'Local Plans TOB'!B58</f>
        <v xml:space="preserve">Healthcare services for work related injuries &amp; illness are covered as per Federal Law No. (8) of 1980 regarding work relations, its amendments &amp; the applicable laws &amp; resolutions in this regard. </v>
      </c>
      <c r="C93" s="1408"/>
      <c r="D93" s="1408"/>
      <c r="E93" s="1408"/>
      <c r="F93" s="1408"/>
      <c r="G93" s="440" t="str">
        <f>IF(G$39&lt;&gt;"",HLOOKUP(G$41,'Local Plans TOB'!$B$2:$J$78,57,0),"")</f>
        <v>Covered</v>
      </c>
      <c r="H93" s="440" t="str">
        <f>IF(H$39&lt;&gt;"",HLOOKUP(H$41,'Local Plans TOB'!$B$2:$J$78,57,0),"")</f>
        <v/>
      </c>
      <c r="I93" s="440" t="str">
        <f>IF(I$39&lt;&gt;"",HLOOKUP(I$41,'Local Plans TOB'!$B$2:$J$78,57,0),"")</f>
        <v/>
      </c>
      <c r="J93" s="440" t="str">
        <f>IF(J$39&lt;&gt;"",HLOOKUP(J$41,'Local Plans TOB'!$B$2:$J$78,57,0),"")</f>
        <v/>
      </c>
      <c r="K93" s="440" t="str">
        <f>IF(K$39&lt;&gt;"",HLOOKUP(K$41,'Local Plans TOB'!$B$2:$J$78,57,0),"")</f>
        <v/>
      </c>
      <c r="L93" s="440" t="str">
        <f>IF(L$39&lt;&gt;"",HLOOKUP(L$41,'Local Plans TOB'!$B$2:$J$78,57,0),"")</f>
        <v/>
      </c>
      <c r="M93" s="440" t="str">
        <f>IF(M$39&lt;&gt;"",HLOOKUP(M$41,'Local Plans TOB'!$B$2:$J$78,57,0),"")</f>
        <v/>
      </c>
      <c r="N93" s="440" t="str">
        <f>IF(N$39&lt;&gt;"",HLOOKUP(N$41,'Local Plans TOB'!$B$2:$J$78,57,0),"")</f>
        <v/>
      </c>
      <c r="O93" s="723"/>
      <c r="P93" s="723"/>
      <c r="Q93" s="723"/>
      <c r="R93" s="723"/>
    </row>
    <row r="94" spans="1:18" ht="30" x14ac:dyDescent="0.25">
      <c r="A94" s="723"/>
      <c r="B94" s="1409" t="str">
        <f>'Local Plans TOB'!B59</f>
        <v>Psychiatric Benefits  under OP (for transient mental disorder or an acute reaction to stress )</v>
      </c>
      <c r="C94" s="1409"/>
      <c r="D94" s="1409"/>
      <c r="E94" s="1409"/>
      <c r="F94" s="1409"/>
      <c r="G94" s="917" t="str">
        <f>IF(G$39&lt;&gt;"",IF('Benefit Selection - Group'!B61="Not Covered","Not Covered","Covered up to AED "&amp;'Benefit Selection - Group'!B61&amp;" with "&amp;'Benefit Selection - Group'!B62*100&amp;"% coinsurance "),"")</f>
        <v xml:space="preserve">Covered up to AED 1000 with 20% coinsurance </v>
      </c>
      <c r="H94" s="917" t="str">
        <f>IF(H$39&lt;&gt;"",IF('Benefit Selection - Group'!G61="Not Covered","Not Covered","Covered up to AED "&amp;'Benefit Selection - Group'!G61&amp;" with "&amp;'Benefit Selection - Group'!G62*100&amp;"% coinsurance "),"")</f>
        <v/>
      </c>
      <c r="I94" s="917" t="str">
        <f>IF(I$39&lt;&gt;"",IF('Benefit Selection - Group'!L61="Not Covered","Not Covered","Covered up to AED "&amp;'Benefit Selection - Group'!L61&amp;" with "&amp;'Benefit Selection - Group'!L62*100&amp;"% coinsurance "),"")</f>
        <v/>
      </c>
      <c r="J94" s="917" t="str">
        <f>IF(J$39&lt;&gt;"",IF('Benefit Selection - Group'!Q61="Not Covered","Not Covered","Covered up to AED "&amp;'Benefit Selection - Group'!Q61&amp;" with "&amp;'Benefit Selection - Group'!Q62*100&amp;"% coinsurance "),"")</f>
        <v/>
      </c>
      <c r="K94" s="917" t="str">
        <f>IF(K$39&lt;&gt;"",IF('Benefit Selection - Group'!V61="Not Covered","Not Covered","Covered up to AED "&amp;'Benefit Selection - Group'!V61&amp;" with "&amp;'Benefit Selection - Group'!V62*100&amp;"% coinsurance "),"")</f>
        <v/>
      </c>
      <c r="L94" s="917" t="str">
        <f>IF(L$39&lt;&gt;"",IF('Benefit Selection - Group'!AA61="Not Covered","Not Covered","Covered up to AED "&amp;'Benefit Selection - Group'!AA61&amp;" with "&amp;'Benefit Selection - Group'!AA62*100&amp;"% coinsurance "),"")</f>
        <v/>
      </c>
      <c r="M94" s="917" t="str">
        <f>IF(M$39&lt;&gt;"",IF('Benefit Selection - Group'!AF61="Not Covered","Not Covered","Covered up to AED "&amp;'Benefit Selection - Group'!AF61&amp;" with "&amp;'Benefit Selection - Group'!AF62*100&amp;"% coinsurance "),"")</f>
        <v/>
      </c>
      <c r="N94" s="917" t="str">
        <f>IF(N$39&lt;&gt;"",IF('Benefit Selection - Group'!AK61="Not Covered","Not Covered","Covered up to AED "&amp;'Benefit Selection - Group'!AK61&amp;" with "&amp;'Benefit Selection - Group'!AK62*100&amp;"% coinsurance "),"")</f>
        <v/>
      </c>
      <c r="O94" s="723"/>
      <c r="P94" s="723"/>
      <c r="Q94" s="723"/>
      <c r="R94" s="723"/>
    </row>
    <row r="95" spans="1:18" ht="19.5" x14ac:dyDescent="0.25">
      <c r="A95" s="723"/>
      <c r="B95" s="1409" t="s">
        <v>350</v>
      </c>
      <c r="C95" s="1409"/>
      <c r="D95" s="1409"/>
      <c r="E95" s="1409"/>
      <c r="F95" s="1409"/>
      <c r="G95" s="917" t="str">
        <f>IF(G$39&lt;&gt;"",'Benefit Selection - Group'!B71,"")</f>
        <v>Not Covered</v>
      </c>
      <c r="H95" s="917" t="str">
        <f>IF(H$39&lt;&gt;"",'Benefit Selection - Group'!G71,"")</f>
        <v/>
      </c>
      <c r="I95" s="917" t="str">
        <f>IF(I$39&lt;&gt;"",'Benefit Selection - Group'!L71,"")</f>
        <v/>
      </c>
      <c r="J95" s="917" t="str">
        <f>IF(J$39&lt;&gt;"",'Benefit Selection - Group'!Q71,"")</f>
        <v/>
      </c>
      <c r="K95" s="917" t="str">
        <f>IF(K$39&lt;&gt;"",'Benefit Selection - Group'!V71,"")</f>
        <v/>
      </c>
      <c r="L95" s="917" t="str">
        <f>IF(L$39&lt;&gt;"",'Benefit Selection - Group'!AA71,"")</f>
        <v/>
      </c>
      <c r="M95" s="917" t="str">
        <f>IF(M$39&lt;&gt;"",'Benefit Selection - Group'!AF71,"")</f>
        <v/>
      </c>
      <c r="N95" s="917" t="str">
        <f>IF(N$39&lt;&gt;"",'Benefit Selection - Group'!AK71,"")</f>
        <v/>
      </c>
      <c r="O95" s="723"/>
      <c r="P95" s="723"/>
      <c r="Q95" s="723"/>
      <c r="R95" s="723"/>
    </row>
    <row r="96" spans="1:18" ht="41.25" customHeight="1" x14ac:dyDescent="0.25">
      <c r="A96" s="723"/>
      <c r="B96" s="1409" t="s">
        <v>1151</v>
      </c>
      <c r="C96" s="1409"/>
      <c r="D96" s="1409"/>
      <c r="E96" s="1409"/>
      <c r="F96" s="1409"/>
      <c r="G96" s="917" t="str">
        <f>IF(G$39&lt;&gt;"","Covered upto a maximum limit of AED 2500 round trip","")</f>
        <v>Covered upto a maximum limit of AED 2500 round trip</v>
      </c>
      <c r="H96" s="917" t="str">
        <f t="shared" ref="H96:N96" si="5">IF(H$39&lt;&gt;"","Covered upto a maximum limit of AED 2500 round trip","")</f>
        <v/>
      </c>
      <c r="I96" s="917" t="str">
        <f t="shared" si="5"/>
        <v/>
      </c>
      <c r="J96" s="917" t="str">
        <f t="shared" si="5"/>
        <v/>
      </c>
      <c r="K96" s="917" t="str">
        <f t="shared" si="5"/>
        <v/>
      </c>
      <c r="L96" s="917" t="str">
        <f t="shared" si="5"/>
        <v/>
      </c>
      <c r="M96" s="917" t="str">
        <f t="shared" si="5"/>
        <v/>
      </c>
      <c r="N96" s="917" t="str">
        <f t="shared" si="5"/>
        <v/>
      </c>
      <c r="O96" s="723"/>
      <c r="P96" s="723"/>
      <c r="Q96" s="723"/>
      <c r="R96" s="723"/>
    </row>
    <row r="97" spans="1:18" ht="45" x14ac:dyDescent="0.25">
      <c r="B97" s="1409" t="s">
        <v>1174</v>
      </c>
      <c r="C97" s="1409"/>
      <c r="D97" s="1409"/>
      <c r="E97" s="1409"/>
      <c r="F97" s="1409"/>
      <c r="G97" s="917" t="str">
        <f>IF(G$39&lt;&gt;"","Covered subject to it is medically necessary and pre-approval is obtained from the Insurance Company","")</f>
        <v>Covered subject to it is medically necessary and pre-approval is obtained from the Insurance Company</v>
      </c>
      <c r="H97" s="917" t="str">
        <f t="shared" ref="H97:N97" si="6">IF(H$39&lt;&gt;"","Covered subject to it is medically necessary and pre-approval is obtained from the Insurance Company","")</f>
        <v/>
      </c>
      <c r="I97" s="917" t="str">
        <f t="shared" si="6"/>
        <v/>
      </c>
      <c r="J97" s="917" t="str">
        <f t="shared" si="6"/>
        <v/>
      </c>
      <c r="K97" s="917" t="str">
        <f t="shared" si="6"/>
        <v/>
      </c>
      <c r="L97" s="917" t="str">
        <f t="shared" si="6"/>
        <v/>
      </c>
      <c r="M97" s="917" t="str">
        <f t="shared" si="6"/>
        <v/>
      </c>
      <c r="N97" s="917" t="str">
        <f t="shared" si="6"/>
        <v/>
      </c>
    </row>
    <row r="98" spans="1:18" ht="47.25" customHeight="1" x14ac:dyDescent="0.25">
      <c r="A98" s="723"/>
      <c r="B98" s="815" t="str">
        <f>'Local Plans TOB'!B62</f>
        <v>Maternity benefit:</v>
      </c>
      <c r="C98" s="816"/>
      <c r="D98" s="816"/>
      <c r="E98" s="816"/>
      <c r="F98" s="816"/>
      <c r="G98" s="816"/>
      <c r="H98" s="816"/>
      <c r="I98" s="816"/>
      <c r="J98" s="816"/>
      <c r="K98" s="816"/>
      <c r="L98" s="816"/>
      <c r="M98" s="816"/>
      <c r="N98" s="817"/>
      <c r="O98" s="723"/>
      <c r="P98" s="723"/>
      <c r="Q98" s="723"/>
      <c r="R98" s="723"/>
    </row>
    <row r="99" spans="1:18" ht="226.5" customHeight="1" x14ac:dyDescent="0.25">
      <c r="A99" s="723"/>
      <c r="B99" s="1402" t="str">
        <f>'Local Plans TOB'!B63</f>
        <v>Inpatient services for all married female employees or spouses.  Inpatient services cover normal delivery, medically necessary c-section &amp; and medically necessary termination
In-Patient - Inside Abu Dhabi - Covered Up to AML Outside Abu Dhabi - AED XX,000 per married eligible female employee &amp; spouse. Where any condition develops which becomes an emergency, the medically necessary expenses will be covered up to the annual medical limit.
Out-Patient - Cover includes 8 visits to PHC; All care provided by PHC obstetrician for low risk or specialist obstetrician for high risk referrals Initial investigations to include: FBC and Platelets Blood group, Rhesus status and antibodies VDRL MSU &amp; urinalysis Rubella serology HIV Hep C offered to high risk patients GTT if high risk.
FBS, Random blood sugar OR HbA1C for all due to high prevalence of diabetes in UAE
Visits to include reviews, checks and tests in accordance with DHA Antenatal Care Protocols 3 ante-natal ultrasound scans</v>
      </c>
      <c r="C99" s="1403"/>
      <c r="D99" s="1403"/>
      <c r="E99" s="1403"/>
      <c r="F99" s="1404"/>
      <c r="G99" s="1173">
        <f>IF(G$39&lt;&gt;"",'Benefit Selection - Group'!B38,"")</f>
        <v>10000</v>
      </c>
      <c r="H99" s="1173" t="str">
        <f>IF(H$39&lt;&gt;"",'Benefit Selection - Group'!G38,"")</f>
        <v/>
      </c>
      <c r="I99" s="1173" t="str">
        <f>IF(I$39&lt;&gt;"",'Benefit Selection - Group'!L38,"")</f>
        <v/>
      </c>
      <c r="J99" s="1173" t="str">
        <f>IF(J$39&lt;&gt;"",'Benefit Selection - Group'!Q38,"")</f>
        <v/>
      </c>
      <c r="K99" s="1173" t="str">
        <f>IF(K$39&lt;&gt;"",'Benefit Selection - Group'!V38,"")</f>
        <v/>
      </c>
      <c r="L99" s="1173" t="str">
        <f>IF(L$39&lt;&gt;"",'Benefit Selection - Group'!AA38,"")</f>
        <v/>
      </c>
      <c r="M99" s="1173" t="str">
        <f>IF(M$39&lt;&gt;"",'Benefit Selection - Group'!AF38,"")</f>
        <v/>
      </c>
      <c r="N99" s="1173" t="str">
        <f>IF(N$39&lt;&gt;"",'Benefit Selection - Group'!AK38,"")</f>
        <v/>
      </c>
      <c r="O99" s="723"/>
      <c r="P99" s="723"/>
      <c r="Q99" s="723"/>
      <c r="R99" s="723"/>
    </row>
    <row r="100" spans="1:18" ht="143.25" customHeight="1" x14ac:dyDescent="0.25">
      <c r="A100" s="723"/>
      <c r="B100" s="1431" t="str">
        <f>'Local Plans TOB'!B65</f>
        <v>waiting period</v>
      </c>
      <c r="C100" s="1432"/>
      <c r="D100" s="1432"/>
      <c r="E100" s="1432"/>
      <c r="F100" s="1433"/>
      <c r="G100" s="917" t="str">
        <f>IF(G$39&lt;&gt;"",'Age Banded Rating'!$C$291,"")</f>
        <v>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v>
      </c>
      <c r="H100" s="917" t="str">
        <f>IF(H$39&lt;&gt;"",'Age Banded Rating'!$C$291,"")</f>
        <v/>
      </c>
      <c r="I100" s="917" t="str">
        <f>IF(I$39&lt;&gt;"",'Age Banded Rating'!$C$291,"")</f>
        <v/>
      </c>
      <c r="J100" s="917" t="str">
        <f>IF(J$39&lt;&gt;"",'Age Banded Rating'!$C$291,"")</f>
        <v/>
      </c>
      <c r="K100" s="917" t="str">
        <f>IF(K$39&lt;&gt;"",'Age Banded Rating'!$C$291,"")</f>
        <v/>
      </c>
      <c r="L100" s="917" t="str">
        <f>IF(L$39&lt;&gt;"",'Age Banded Rating'!$C$291,"")</f>
        <v/>
      </c>
      <c r="M100" s="917" t="str">
        <f>IF(M$39&lt;&gt;"",'Age Banded Rating'!$C$291,"")</f>
        <v/>
      </c>
      <c r="N100" s="917" t="str">
        <f>IF(N$39&lt;&gt;"",'Age Banded Rating'!$C$291,"")</f>
        <v/>
      </c>
      <c r="O100" s="723"/>
      <c r="P100" s="723"/>
      <c r="Q100" s="723"/>
      <c r="R100" s="723"/>
    </row>
    <row r="101" spans="1:18" ht="19.5" x14ac:dyDescent="0.25">
      <c r="A101" s="723"/>
      <c r="B101" s="1402" t="str">
        <f>'Local Plans TOB'!B66</f>
        <v>Coinsurance/ Deductible</v>
      </c>
      <c r="C101" s="1403"/>
      <c r="D101" s="1403"/>
      <c r="E101" s="1403"/>
      <c r="F101" s="1404"/>
      <c r="G101" s="1174">
        <f>IF(G$39&lt;&gt;"",'Benefit Selection - Group'!B39,"")</f>
        <v>0.1</v>
      </c>
      <c r="H101" s="1174" t="str">
        <f>IF(H$39&lt;&gt;"",'Benefit Selection - Group'!G39,"")</f>
        <v/>
      </c>
      <c r="I101" s="1174" t="str">
        <f>IF(I$39&lt;&gt;"",'Benefit Selection - Group'!L39,"")</f>
        <v/>
      </c>
      <c r="J101" s="1174" t="str">
        <f>IF(J$39&lt;&gt;"",'Benefit Selection - Group'!Q39,"")</f>
        <v/>
      </c>
      <c r="K101" s="1174" t="str">
        <f>IF(K$39&lt;&gt;"",'Benefit Selection - Group'!V39,"")</f>
        <v/>
      </c>
      <c r="L101" s="1174" t="str">
        <f>IF(L$39&lt;&gt;"",'Benefit Selection - Group'!AA39,"")</f>
        <v/>
      </c>
      <c r="M101" s="1174" t="str">
        <f>IF(M$39&lt;&gt;"",'Benefit Selection - Group'!AF39,"")</f>
        <v/>
      </c>
      <c r="N101" s="1174" t="str">
        <f>IF(N$39&lt;&gt;"",'Benefit Selection - Group'!AK39,"")</f>
        <v/>
      </c>
      <c r="O101" s="723"/>
      <c r="P101" s="723"/>
      <c r="Q101" s="723"/>
      <c r="R101" s="723"/>
    </row>
    <row r="102" spans="1:18" ht="19.5" x14ac:dyDescent="0.25">
      <c r="A102" s="723"/>
      <c r="B102" s="1451"/>
      <c r="C102" s="1452"/>
      <c r="D102" s="1452"/>
      <c r="E102" s="1452"/>
      <c r="F102" s="1453"/>
      <c r="G102" s="440"/>
      <c r="H102" s="440"/>
      <c r="I102" s="440"/>
      <c r="J102" s="440"/>
      <c r="K102" s="440"/>
      <c r="L102" s="440"/>
      <c r="M102" s="440"/>
      <c r="N102" s="440"/>
      <c r="O102" s="723"/>
      <c r="P102" s="723"/>
      <c r="Q102" s="723"/>
      <c r="R102" s="723"/>
    </row>
    <row r="103" spans="1:18" ht="26.25" x14ac:dyDescent="0.25">
      <c r="B103" s="815" t="str">
        <f>'Local Plans TOB'!B71</f>
        <v>Dental benefit</v>
      </c>
      <c r="C103" s="816"/>
      <c r="D103" s="816"/>
      <c r="E103" s="816"/>
      <c r="F103" s="816"/>
      <c r="G103" s="816"/>
      <c r="H103" s="816"/>
      <c r="I103" s="816"/>
      <c r="J103" s="816"/>
      <c r="K103" s="816"/>
      <c r="L103" s="816"/>
      <c r="M103" s="816"/>
      <c r="N103" s="817"/>
    </row>
    <row r="104" spans="1:18" ht="205.5" customHeight="1" x14ac:dyDescent="0.25">
      <c r="A104" s="723"/>
      <c r="B104" s="1402" t="str">
        <f>'Local Plans TOB'!B72</f>
        <v>Covered services include:
1. Dental consultation
2. Tooth extraction
3. Amalgam/composite fillings
4. Root canal treatment (R.C.T)
5. Prescribed drugs
6. Surgical interventions
7. X-rays
8. Anaesthesia
9. Scaling / Dental Prophylaxis</v>
      </c>
      <c r="C104" s="1403"/>
      <c r="D104" s="1403"/>
      <c r="E104" s="1403"/>
      <c r="F104" s="1404"/>
      <c r="G104" s="1173">
        <f>IF(G$39&lt;&gt;"",'Benefit Selection - Group'!B43,"")</f>
        <v>500</v>
      </c>
      <c r="H104" s="1173" t="str">
        <f>IF(H$39&lt;&gt;"",'Benefit Selection - Group'!G43,"")</f>
        <v/>
      </c>
      <c r="I104" s="1173" t="str">
        <f>IF(I$39&lt;&gt;"",'Benefit Selection - Group'!L43,"")</f>
        <v/>
      </c>
      <c r="J104" s="1173" t="str">
        <f>IF(J$39&lt;&gt;"",'Benefit Selection - Group'!Q43,"")</f>
        <v/>
      </c>
      <c r="K104" s="1173" t="str">
        <f>IF(K$39&lt;&gt;"",'Benefit Selection - Group'!V43,"")</f>
        <v/>
      </c>
      <c r="L104" s="1173" t="str">
        <f>IF(L$39&lt;&gt;"",'Benefit Selection - Group'!AA43,"")</f>
        <v/>
      </c>
      <c r="M104" s="1173" t="str">
        <f>IF(M$39&lt;&gt;"",'Benefit Selection - Group'!AF43,"")</f>
        <v/>
      </c>
      <c r="N104" s="1173" t="str">
        <f>IF(N$39&lt;&gt;"",'Benefit Selection - Group'!AK43,"")</f>
        <v/>
      </c>
      <c r="O104" s="723"/>
      <c r="P104" s="723"/>
      <c r="Q104" s="723"/>
      <c r="R104" s="723"/>
    </row>
    <row r="105" spans="1:18" ht="29.25" customHeight="1" x14ac:dyDescent="0.25">
      <c r="A105" s="723"/>
      <c r="B105" s="1402" t="str">
        <f>'Local Plans TOB'!B73</f>
        <v>Coinsurance</v>
      </c>
      <c r="C105" s="1403"/>
      <c r="D105" s="1403"/>
      <c r="E105" s="1403"/>
      <c r="F105" s="1404"/>
      <c r="G105" s="1174">
        <f>IF(G$39&lt;&gt;"",'Benefit Selection - Group'!B44,"")</f>
        <v>0.3</v>
      </c>
      <c r="H105" s="1174" t="str">
        <f>IF(H$39&lt;&gt;"",'Benefit Selection - Group'!G44,"")</f>
        <v/>
      </c>
      <c r="I105" s="1174" t="str">
        <f>IF(I$39&lt;&gt;"",'Benefit Selection - Group'!L44,"")</f>
        <v/>
      </c>
      <c r="J105" s="1174" t="str">
        <f>IF(J$39&lt;&gt;"",'Benefit Selection - Group'!Q44,"")</f>
        <v/>
      </c>
      <c r="K105" s="1174" t="str">
        <f>IF(K$39&lt;&gt;"",'Benefit Selection - Group'!V44,"")</f>
        <v/>
      </c>
      <c r="L105" s="1174" t="str">
        <f>IF(L$39&lt;&gt;"",'Benefit Selection - Group'!AA44,"")</f>
        <v/>
      </c>
      <c r="M105" s="1174" t="str">
        <f>IF(M$39&lt;&gt;"",'Benefit Selection - Group'!AF44,"")</f>
        <v/>
      </c>
      <c r="N105" s="1174" t="str">
        <f>IF(N$39&lt;&gt;"",'Benefit Selection - Group'!AK44,"")</f>
        <v/>
      </c>
      <c r="O105" s="723"/>
      <c r="P105" s="723"/>
      <c r="Q105" s="723"/>
      <c r="R105" s="723"/>
    </row>
    <row r="106" spans="1:18" ht="19.5" x14ac:dyDescent="0.25">
      <c r="A106" s="723"/>
      <c r="B106" s="1451"/>
      <c r="C106" s="1452"/>
      <c r="D106" s="1452"/>
      <c r="E106" s="1452"/>
      <c r="F106" s="1453"/>
      <c r="G106" s="440"/>
      <c r="H106" s="440"/>
      <c r="I106" s="440"/>
      <c r="J106" s="440"/>
      <c r="K106" s="440"/>
      <c r="L106" s="440"/>
      <c r="M106" s="440"/>
      <c r="N106" s="440"/>
      <c r="O106" s="723"/>
      <c r="P106" s="723"/>
      <c r="Q106" s="723"/>
      <c r="R106" s="723"/>
    </row>
    <row r="107" spans="1:18" ht="26.25" x14ac:dyDescent="0.25">
      <c r="B107" s="815" t="str">
        <f>'Local Plans TOB'!B75</f>
        <v>Optical benefit</v>
      </c>
      <c r="C107" s="816"/>
      <c r="D107" s="816"/>
      <c r="E107" s="816"/>
      <c r="F107" s="816"/>
      <c r="G107" s="816"/>
      <c r="H107" s="816"/>
      <c r="I107" s="816"/>
      <c r="J107" s="816"/>
      <c r="K107" s="816"/>
      <c r="L107" s="816"/>
      <c r="M107" s="816"/>
      <c r="N107" s="817"/>
    </row>
    <row r="108" spans="1:18" ht="65.25" customHeight="1" x14ac:dyDescent="0.25">
      <c r="B108" s="1402" t="str">
        <f>'Local Plans TOB'!B76</f>
        <v>Covered services includes:
1. Optical examination for errors of refraction.
2. One pair of prescribed lenses &amp;/or contact lenses</v>
      </c>
      <c r="C108" s="1403"/>
      <c r="D108" s="1403"/>
      <c r="E108" s="1403"/>
      <c r="F108" s="1404"/>
      <c r="G108" s="1173" t="str">
        <f>IF(G$39&lt;&gt;"",'Benefit Selection - Group'!B48,"")</f>
        <v>Not Covered</v>
      </c>
      <c r="H108" s="1173" t="str">
        <f>IF(H$39&lt;&gt;"",'Benefit Selection - Group'!G48,"")</f>
        <v/>
      </c>
      <c r="I108" s="1173" t="str">
        <f>IF(I$39&lt;&gt;"",'Benefit Selection - Group'!L48,"")</f>
        <v/>
      </c>
      <c r="J108" s="1173" t="str">
        <f>IF(J$39&lt;&gt;"",'Benefit Selection - Group'!Q48,"")</f>
        <v/>
      </c>
      <c r="K108" s="1173" t="str">
        <f>IF(K$39&lt;&gt;"",'Benefit Selection - Group'!V48,"")</f>
        <v/>
      </c>
      <c r="L108" s="1173" t="str">
        <f>IF(L$39&lt;&gt;"",'Benefit Selection - Group'!AA48,"")</f>
        <v/>
      </c>
      <c r="M108" s="1173" t="str">
        <f>IF(M$39&lt;&gt;"",'Benefit Selection - Group'!AF48,"")</f>
        <v/>
      </c>
      <c r="N108" s="1173" t="str">
        <f>IF(N$39&lt;&gt;"",'Benefit Selection - Group'!AK48,"")</f>
        <v/>
      </c>
    </row>
    <row r="109" spans="1:18" ht="19.5" x14ac:dyDescent="0.25">
      <c r="B109" s="1402" t="str">
        <f>'Local Plans TOB'!B77</f>
        <v>Coinsurance</v>
      </c>
      <c r="C109" s="1403"/>
      <c r="D109" s="1403"/>
      <c r="E109" s="1403"/>
      <c r="F109" s="1404"/>
      <c r="G109" s="1174">
        <f>IF(G$39&lt;&gt;"",'Benefit Selection - Group'!B49,"")</f>
        <v>0.2</v>
      </c>
      <c r="H109" s="1174" t="str">
        <f>IF(H$39&lt;&gt;"",'Benefit Selection - Group'!G49,"")</f>
        <v/>
      </c>
      <c r="I109" s="1174" t="str">
        <f>IF(I$39&lt;&gt;"",'Benefit Selection - Group'!L49,"")</f>
        <v/>
      </c>
      <c r="J109" s="1174" t="str">
        <f>IF(J$39&lt;&gt;"",'Benefit Selection - Group'!Q49,"")</f>
        <v/>
      </c>
      <c r="K109" s="1174" t="str">
        <f>IF(K$39&lt;&gt;"",'Benefit Selection - Group'!V49,"")</f>
        <v/>
      </c>
      <c r="L109" s="1174" t="str">
        <f>IF(L$39&lt;&gt;"",'Benefit Selection - Group'!AA49,"")</f>
        <v/>
      </c>
      <c r="M109" s="1174" t="str">
        <f>IF(M$39&lt;&gt;"",'Benefit Selection - Group'!AF49,"")</f>
        <v/>
      </c>
      <c r="N109" s="1174" t="str">
        <f>IF(N$39&lt;&gt;"",'Benefit Selection - Group'!AK49,"")</f>
        <v/>
      </c>
    </row>
    <row r="110" spans="1:18" ht="31.5" customHeight="1" x14ac:dyDescent="0.25">
      <c r="B110" s="858" t="str">
        <f>'Local Plans TOB'!B78</f>
        <v>Frames</v>
      </c>
      <c r="C110" s="859"/>
      <c r="D110" s="859"/>
      <c r="E110" s="859"/>
      <c r="F110" s="860"/>
      <c r="G110" s="814" t="str">
        <f t="shared" ref="G110:N110" si="7">IF(G$39&lt;&gt;"","Not Covered","")</f>
        <v>Not Covered</v>
      </c>
      <c r="H110" s="814" t="str">
        <f t="shared" si="7"/>
        <v/>
      </c>
      <c r="I110" s="814" t="str">
        <f t="shared" si="7"/>
        <v/>
      </c>
      <c r="J110" s="814" t="str">
        <f t="shared" si="7"/>
        <v/>
      </c>
      <c r="K110" s="814" t="str">
        <f t="shared" si="7"/>
        <v/>
      </c>
      <c r="L110" s="814" t="str">
        <f t="shared" si="7"/>
        <v/>
      </c>
      <c r="M110" s="814" t="str">
        <f t="shared" si="7"/>
        <v/>
      </c>
      <c r="N110" s="814" t="str">
        <f t="shared" si="7"/>
        <v/>
      </c>
    </row>
    <row r="111" spans="1:18" x14ac:dyDescent="0.25"/>
    <row r="112" spans="1:18" ht="26.25" hidden="1" x14ac:dyDescent="0.25">
      <c r="B112" s="815" t="str">
        <f>'Benefit Selection - Group'!A80</f>
        <v>Accidental Death Benefit Limit</v>
      </c>
      <c r="C112" s="816"/>
      <c r="D112" s="816"/>
      <c r="E112" s="816"/>
      <c r="F112" s="816"/>
      <c r="G112" s="816"/>
      <c r="H112" s="816"/>
      <c r="I112" s="816"/>
      <c r="J112" s="816"/>
      <c r="K112" s="816"/>
      <c r="L112" s="816"/>
      <c r="M112" s="816"/>
      <c r="N112" s="817"/>
    </row>
    <row r="113" spans="1:18" ht="19.5" hidden="1" x14ac:dyDescent="0.25">
      <c r="B113" s="1431" t="s">
        <v>1004</v>
      </c>
      <c r="C113" s="1432"/>
      <c r="D113" s="1432"/>
      <c r="E113" s="1432"/>
      <c r="F113" s="1433"/>
      <c r="G113" s="435" t="str">
        <f>IF(G$39&lt;&gt;"",'Benefit Selection - Group'!B80,"")</f>
        <v>Not Covered</v>
      </c>
      <c r="H113" s="435" t="str">
        <f>IF(H$39&lt;&gt;"",'Benefit Selection - Group'!G80,"")</f>
        <v/>
      </c>
      <c r="I113" s="435" t="str">
        <f>IF(I$39&lt;&gt;"",'Benefit Selection - Group'!L80,"")</f>
        <v/>
      </c>
      <c r="J113" s="435" t="str">
        <f>IF(J$39&lt;&gt;"",'Benefit Selection - Group'!Q80,"")</f>
        <v/>
      </c>
      <c r="K113" s="435" t="str">
        <f>IF(K$39&lt;&gt;"",'Benefit Selection - Group'!V80,"")</f>
        <v/>
      </c>
      <c r="L113" s="435" t="str">
        <f>IF(L$39&lt;&gt;"",'Benefit Selection - Group'!AA80,"")</f>
        <v/>
      </c>
      <c r="M113" s="435" t="str">
        <f>IF(M$39&lt;&gt;"",'Benefit Selection - Group'!AF80,"")</f>
        <v/>
      </c>
      <c r="N113" s="435" t="str">
        <f>IF(N$39&lt;&gt;"",'Benefit Selection - Group'!AK80,"")</f>
        <v/>
      </c>
    </row>
    <row r="114" spans="1:18" x14ac:dyDescent="0.25"/>
    <row r="115" spans="1:18" ht="13.5" hidden="1" customHeight="1" x14ac:dyDescent="0.25">
      <c r="C115" s="818"/>
      <c r="D115" s="818"/>
      <c r="E115" s="818"/>
      <c r="F115" s="818"/>
      <c r="G115" s="818"/>
      <c r="H115" s="818"/>
      <c r="I115" s="818"/>
      <c r="J115" s="818"/>
      <c r="K115" s="818"/>
      <c r="L115" s="818"/>
      <c r="M115" s="818"/>
      <c r="N115" s="818"/>
    </row>
    <row r="116" spans="1:18" hidden="1" x14ac:dyDescent="0.25">
      <c r="B116" s="437"/>
      <c r="C116" s="437"/>
      <c r="D116" s="437"/>
      <c r="E116" s="437"/>
      <c r="F116" s="437"/>
      <c r="G116" s="437"/>
      <c r="H116" s="437"/>
      <c r="I116" s="437"/>
    </row>
    <row r="117" spans="1:18" ht="26.25" x14ac:dyDescent="0.25">
      <c r="B117" s="1405" t="s">
        <v>249</v>
      </c>
      <c r="C117" s="1406"/>
      <c r="D117" s="1406"/>
      <c r="E117" s="1407"/>
      <c r="F117" s="812" t="str">
        <f>IF('General Basis'!$D$8&gt;=1,"Category A","")</f>
        <v>Category A</v>
      </c>
      <c r="G117" s="812" t="str">
        <f>IF('General Basis'!$D$8&gt;=2,"Category B","")</f>
        <v/>
      </c>
      <c r="H117" s="812" t="str">
        <f>IF('General Basis'!$D$8&gt;=3,"Category C","")</f>
        <v/>
      </c>
      <c r="I117" s="812" t="str">
        <f>IF('General Basis'!$D$8&gt;=4,"Category D","")</f>
        <v/>
      </c>
      <c r="J117" s="812" t="str">
        <f>IF('General Basis'!$D$8&gt;=5,"Category E","")</f>
        <v/>
      </c>
      <c r="K117" s="812" t="str">
        <f>IF('General Basis'!$D$8&gt;=6,"Category F","")</f>
        <v/>
      </c>
      <c r="L117" s="812" t="str">
        <f>IF('General Basis'!$D$8&gt;=7,"Category G","")</f>
        <v/>
      </c>
      <c r="M117" s="812" t="str">
        <f>IF('General Basis'!$D$8&gt;=8,"Category H","")</f>
        <v/>
      </c>
      <c r="N117" s="812" t="s">
        <v>250</v>
      </c>
    </row>
    <row r="118" spans="1:18" x14ac:dyDescent="0.25">
      <c r="B118" s="1425" t="s">
        <v>251</v>
      </c>
      <c r="C118" s="1426"/>
      <c r="D118" s="1426"/>
      <c r="E118" s="1427"/>
      <c r="F118" s="438">
        <f ca="1">IF(F117&lt;&gt;"",IF('Referral to RGA'!$A$24="",'Benefit Selection - Group'!C93,"Check 'Referral to RGA"),"")</f>
        <v>11</v>
      </c>
      <c r="G118" s="438" t="str">
        <f>IF(G117&lt;&gt;"",IF('Referral to RGA'!$A$24="",'Benefit Selection - Group'!H93,"Check 'Referral to RGA"),"")</f>
        <v/>
      </c>
      <c r="H118" s="438" t="str">
        <f>IF(H117&lt;&gt;"",IF('Referral to RGA'!$A$24="",'Benefit Selection - Group'!M93,"Check 'Referral to RGA"),"")</f>
        <v/>
      </c>
      <c r="I118" s="438" t="str">
        <f>IF(I$117&lt;&gt;"",IF('Referral to RGA'!$A$24="",'Benefit Selection - Group'!R93,"Check 'Referral to RGA"),"")</f>
        <v/>
      </c>
      <c r="J118" s="438" t="str">
        <f>IF(J$117&lt;&gt;"",IF('Referral to RGA'!$A$24="",'Benefit Selection - Group'!W93,"Check 'Referral to RGA"),"")</f>
        <v/>
      </c>
      <c r="K118" s="438" t="str">
        <f>IF(K$117&lt;&gt;"",IF('Referral to RGA'!$A$24="",'Benefit Selection - Group'!AB93,"Check 'Referral to RGA"),"")</f>
        <v/>
      </c>
      <c r="L118" s="438" t="str">
        <f>IF(L$117&lt;&gt;"",IF('Referral to RGA'!$A$24="",'Benefit Selection - Group'!AG93,"Check 'Referral to RGA"),"")</f>
        <v/>
      </c>
      <c r="M118" s="438" t="str">
        <f>IF(M$117&lt;&gt;"",IF('Referral to RGA'!$A$24="",'Benefit Selection - Group'!AL93,"Check 'Referral to RGA"),"")</f>
        <v/>
      </c>
      <c r="N118" s="438">
        <f ca="1">SUM(E118:M118)</f>
        <v>11</v>
      </c>
    </row>
    <row r="119" spans="1:18" x14ac:dyDescent="0.25">
      <c r="B119" s="1425" t="s">
        <v>1060</v>
      </c>
      <c r="C119" s="1426"/>
      <c r="D119" s="1426"/>
      <c r="E119" s="1427"/>
      <c r="F119" s="438">
        <f ca="1">IF(F$117&lt;&gt;"",IF(AND(Referral_Error="",'General Basis'!J106=""),'Experience Rating'!B57,"Check 'Referral to RGA"),"")</f>
        <v>28804.852567567563</v>
      </c>
      <c r="G119" s="438" t="str">
        <f>IF(G$117&lt;&gt;"",IF(AND(Referral_Error="",'General Basis'!J106=""),'Experience Rating'!C57,"Check 'Referral to RGA"),"")</f>
        <v/>
      </c>
      <c r="H119" s="438" t="str">
        <f>IF(H$117&lt;&gt;"",IF(AND(Referral_Error="",'General Basis'!J106=""),'Experience Rating'!D57,"Check 'Referral to RGA"),"")</f>
        <v/>
      </c>
      <c r="I119" s="438" t="str">
        <f>IF(I$117&lt;&gt;"",IF(AND(Referral_Error="",'General Basis'!J106=""),'Experience Rating'!E57,"Check 'Referral to RGA"),"")</f>
        <v/>
      </c>
      <c r="J119" s="438" t="str">
        <f>IF(J$117&lt;&gt;"",IF(AND(Referral_Error="",'General Basis'!J106=""),'Experience Rating'!F57,"Check 'Referral to RGA"),"")</f>
        <v/>
      </c>
      <c r="K119" s="438" t="str">
        <f>IF(K$117&lt;&gt;"",IF(AND(Referral_Error="",'General Basis'!J106=""),'Experience Rating'!G57,"Check 'Referral to RGA"),"")</f>
        <v/>
      </c>
      <c r="L119" s="438" t="str">
        <f>IF(L$117&lt;&gt;"",IF(AND(Referral_Error="",'General Basis'!J106=""),'Experience Rating'!H57,"Check 'Referral to RGA"),"")</f>
        <v/>
      </c>
      <c r="M119" s="438" t="str">
        <f>IF(M$117&lt;&gt;"",IF(AND(Referral_Error="",'General Basis'!J106=""),'Experience Rating'!I57,"Check 'Referral to RGA"),"")</f>
        <v/>
      </c>
      <c r="N119" s="438">
        <f ca="1">SUM(F119:M119)</f>
        <v>28804.852567567563</v>
      </c>
    </row>
    <row r="120" spans="1:18" x14ac:dyDescent="0.25">
      <c r="B120" s="1425" t="s">
        <v>1067</v>
      </c>
      <c r="C120" s="1426"/>
      <c r="D120" s="1426"/>
      <c r="E120" s="1427"/>
      <c r="F120" s="438">
        <f ca="1">IF(F$117&lt;&gt;"",IF(AND(Referral_Error="",'General Basis'!J106=""),IFERROR(F119/F118,0),"Refer to RGA"),"")</f>
        <v>2618.6229606879601</v>
      </c>
      <c r="G120" s="438" t="str">
        <f>IF(G$117&lt;&gt;"",IF(AND(Referral_Error="",'General Basis'!J106=""),IFERROR(G119/G118,0),"Refer to RGA"),"")</f>
        <v/>
      </c>
      <c r="H120" s="438" t="str">
        <f>IF(H$117&lt;&gt;"",IF(AND(Referral_Error="",'General Basis'!J106=""),IFERROR(H119/H118,0),"Refer to RGA"),"")</f>
        <v/>
      </c>
      <c r="I120" s="438" t="str">
        <f>IF(I$117&lt;&gt;"",IF(AND(Referral_Error="",'General Basis'!J106=""),IFERROR(I119/I118,0),"Refer to RGA"),"")</f>
        <v/>
      </c>
      <c r="J120" s="438" t="str">
        <f>IF(J$117&lt;&gt;"",IF(AND(Referral_Error="",'General Basis'!J106=""),IFERROR(J119/J118,0),"Refer to RGA"),"")</f>
        <v/>
      </c>
      <c r="K120" s="438" t="str">
        <f>IF(K$117&lt;&gt;"",IF(AND(Referral_Error="",'General Basis'!J106=""),IFERROR(K119/K118,0),"Refer to RGA"),"")</f>
        <v/>
      </c>
      <c r="L120" s="438" t="str">
        <f>IF(L$117&lt;&gt;"",IF(AND(Referral_Error="",'General Basis'!J106=""),IFERROR(L119/L118,0),"Refer to RGA"),"")</f>
        <v/>
      </c>
      <c r="M120" s="438" t="str">
        <f>IF(M$117&lt;&gt;"",IF(AND(Referral_Error="",'General Basis'!J106=""),IFERROR(M119/M118,0),"Refer to RGA"),"")</f>
        <v/>
      </c>
      <c r="N120" s="438">
        <f ca="1">ROUND(N119/N118,0)</f>
        <v>2619</v>
      </c>
    </row>
    <row r="121" spans="1:18" s="940" customFormat="1" x14ac:dyDescent="0.25">
      <c r="A121" s="938"/>
      <c r="B121" s="1428" t="s">
        <v>1065</v>
      </c>
      <c r="C121" s="1429"/>
      <c r="D121" s="1429"/>
      <c r="E121" s="1430"/>
      <c r="F121" s="939">
        <f ca="1">IF(F$117&lt;&gt;"",IF(AND(Referral_Error="",'General Basis'!J106=""),'Benefit Selection - Group'!B94,"Check 'Referral to RGA"),"")</f>
        <v>0</v>
      </c>
      <c r="G121" s="939" t="str">
        <f>IF(G$117&lt;&gt;"",IF(AND(Referral_Error="",'General Basis'!J106=""),'Benefit Selection - Group'!G94,"Check 'Referral to RGA"),"")</f>
        <v/>
      </c>
      <c r="H121" s="939" t="str">
        <f>IF(H$117&lt;&gt;"",IF(AND(Referral_Error="",'General Basis'!J106=""),'Benefit Selection - Group'!L94,"Check 'Referral to RGA"),"")</f>
        <v/>
      </c>
      <c r="I121" s="939" t="str">
        <f>IF(I$117&lt;&gt;"",IF(AND(Referral_Error="",'General Basis'!J106=""),'Benefit Selection - Group'!Q94,"Check 'Referral to RGA"),"")</f>
        <v/>
      </c>
      <c r="J121" s="939" t="str">
        <f>IF(J$117&lt;&gt;"",IF(AND(Referral_Error="",'General Basis'!J106=""),'Benefit Selection - Group'!V94,"Check 'Referral to RGA"),"")</f>
        <v/>
      </c>
      <c r="K121" s="939" t="str">
        <f>IF(K$117&lt;&gt;"",IF(AND(Referral_Error="",'General Basis'!J106=""),'Benefit Selection - Group'!AA94,"Check 'Referral to RGA"),"")</f>
        <v/>
      </c>
      <c r="L121" s="939" t="str">
        <f>IF(L$117&lt;&gt;"",IF(AND(Referral_Error="",'General Basis'!J106=""),'Benefit Selection - Group'!AF94,"Check 'Referral to RGA"),"")</f>
        <v/>
      </c>
      <c r="M121" s="939" t="str">
        <f>IF(M$117&lt;&gt;"",IF(AND(Referral_Error="",'General Basis'!J106=""),'Benefit Selection - Group'!AK94,"Check 'Referral to RGA"),"")</f>
        <v/>
      </c>
      <c r="N121" s="939">
        <f ca="1">SUM(E121:M121)</f>
        <v>0</v>
      </c>
      <c r="O121" s="938"/>
      <c r="P121" s="938"/>
      <c r="Q121" s="938"/>
      <c r="R121" s="938"/>
    </row>
    <row r="122" spans="1:18" x14ac:dyDescent="0.25">
      <c r="B122" s="1448" t="s">
        <v>1164</v>
      </c>
      <c r="C122" s="1449"/>
      <c r="D122" s="1449"/>
      <c r="E122" s="1450"/>
      <c r="F122" s="996">
        <f ca="1">IFERROR(F119+F121,"")</f>
        <v>28804.852567567563</v>
      </c>
      <c r="G122" s="996" t="str">
        <f t="shared" ref="G122:M122" si="8">IFERROR(G119+G121,"")</f>
        <v/>
      </c>
      <c r="H122" s="996" t="str">
        <f t="shared" si="8"/>
        <v/>
      </c>
      <c r="I122" s="996" t="str">
        <f t="shared" si="8"/>
        <v/>
      </c>
      <c r="J122" s="996" t="str">
        <f t="shared" si="8"/>
        <v/>
      </c>
      <c r="K122" s="996" t="str">
        <f t="shared" si="8"/>
        <v/>
      </c>
      <c r="L122" s="996" t="str">
        <f t="shared" si="8"/>
        <v/>
      </c>
      <c r="M122" s="996" t="str">
        <f t="shared" si="8"/>
        <v/>
      </c>
      <c r="N122" s="996">
        <f ca="1">SUM(F122:M122)</f>
        <v>28804.852567567563</v>
      </c>
    </row>
    <row r="123" spans="1:18" x14ac:dyDescent="0.25">
      <c r="B123" s="1425" t="s">
        <v>255</v>
      </c>
      <c r="C123" s="1426"/>
      <c r="D123" s="1426"/>
      <c r="E123" s="1427"/>
      <c r="F123" s="438">
        <f ca="1">IF(F$117&lt;&gt;"",IF(AND(Referral_Error="",'General Basis'!J106=""),SUM(F124:F126),"Refer to RGA"),"")</f>
        <v>2124.4849999999997</v>
      </c>
      <c r="G123" s="438" t="str">
        <f>IF(G$117&lt;&gt;"",IF(AND(Referral_Error="",'General Basis'!J106=""),SUM(G124:G126),"Refer to RGA"),"")</f>
        <v/>
      </c>
      <c r="H123" s="438" t="str">
        <f>IF(H$117&lt;&gt;"",IF(AND(Referral_Error="",'General Basis'!J106=""),SUM(H124:H126),"Refer to RGA"),"")</f>
        <v/>
      </c>
      <c r="I123" s="438" t="str">
        <f>IF(I$117&lt;&gt;"",IF(AND(Referral_Error="",'General Basis'!J106=""),SUM(I124:I126),"Refer to RGA"),"")</f>
        <v/>
      </c>
      <c r="J123" s="438" t="str">
        <f>IF(J$117&lt;&gt;"",IF(AND(Referral_Error="",'General Basis'!J106=""),SUM(J124:J126),"Refer to RGA"),"")</f>
        <v/>
      </c>
      <c r="K123" s="438" t="str">
        <f>IF(K$117&lt;&gt;"",IF(AND(Referral_Error="",'General Basis'!J106=""),SUM(K124:K126),"Refer to RGA"),"")</f>
        <v/>
      </c>
      <c r="L123" s="438" t="str">
        <f>IF(L$117&lt;&gt;"",IF(AND(Referral_Error="",'General Basis'!J106=""),SUM(L124:L126),"Refer to RGA"),"")</f>
        <v/>
      </c>
      <c r="M123" s="438" t="str">
        <f>IF(M$117&lt;&gt;"",IF(AND(Referral_Error="",'General Basis'!J106=""),SUM(M124:M126),"Refer to RGA"),"")</f>
        <v/>
      </c>
      <c r="N123" s="438">
        <f ca="1">SUM(E123:M123)</f>
        <v>2124.4849999999997</v>
      </c>
    </row>
    <row r="124" spans="1:18" x14ac:dyDescent="0.25">
      <c r="B124" s="1399" t="s">
        <v>257</v>
      </c>
      <c r="C124" s="1400"/>
      <c r="D124" s="1400"/>
      <c r="E124" s="1401"/>
      <c r="F124" s="820">
        <f ca="1">IF(F$117&lt;&gt;"",IF(AND(Referral_Error="",'General Basis'!J106=""),F$119*'Age Banded Rating'!D82,"Check 'Referral to RGA"),"")</f>
        <v>1193.5</v>
      </c>
      <c r="G124" s="820" t="str">
        <f>IF(G$117&lt;&gt;"",IF(AND(Referral_Error="",'General Basis'!J106=""),G$119*'Age Banded Rating'!G82,"Check 'Referral to RGA"),"")</f>
        <v/>
      </c>
      <c r="H124" s="820" t="str">
        <f>IF(H$117&lt;&gt;"",IF(AND(Referral_Error="",'General Basis'!J106=""),H$119*'Age Banded Rating'!J82,"Check 'Referral to RGA"),"")</f>
        <v/>
      </c>
      <c r="I124" s="820" t="str">
        <f>IF(I$117&lt;&gt;"",IF(AND(Referral_Error="",'General Basis'!J106=""),I$119*'Age Banded Rating'!M82,"Check 'Referral to RGA"),"")</f>
        <v/>
      </c>
      <c r="J124" s="820" t="str">
        <f>IF(J$117&lt;&gt;"",IF(AND(Referral_Error="",'General Basis'!J106=""),J$119*'Age Banded Rating'!P82,"Check 'Referral to RGA"),"")</f>
        <v/>
      </c>
      <c r="K124" s="820" t="str">
        <f>IF(K$117&lt;&gt;"",IF(AND(Referral_Error="",'General Basis'!J106=""),K$119*'Age Banded Rating'!S82,"Check 'Referral to RGA"),"")</f>
        <v/>
      </c>
      <c r="L124" s="820" t="str">
        <f>IF(L$117&lt;&gt;"",IF(AND(Referral_Error="",'General Basis'!J106=""),L$119*'Age Banded Rating'!V82,"Check 'Referral to RGA"),"")</f>
        <v/>
      </c>
      <c r="M124" s="820" t="str">
        <f>IF(M$117&lt;&gt;"",IF(AND(Referral_Error="",'General Basis'!J106=""),M$119*'Age Banded Rating'!Y82,"Check 'Referral to RGA"),"")</f>
        <v/>
      </c>
      <c r="N124" s="820">
        <f ca="1">SUM(E124:M124)</f>
        <v>1193.5</v>
      </c>
    </row>
    <row r="125" spans="1:18" x14ac:dyDescent="0.25">
      <c r="B125" s="1399" t="s">
        <v>258</v>
      </c>
      <c r="C125" s="1400"/>
      <c r="D125" s="1400"/>
      <c r="E125" s="1401"/>
      <c r="F125" s="820">
        <f ca="1">IF(F$117&lt;&gt;"",IF(AND(Referral_Error="",'General Basis'!J106=""),F$119*'Age Banded Rating'!D83,"Check 'Referral to RGA"),"")</f>
        <v>0</v>
      </c>
      <c r="G125" s="820" t="str">
        <f>IF(G$117&lt;&gt;"",IF(AND(Referral_Error="",'General Basis'!J106=""),G$119*'Age Banded Rating'!G83,"Check 'Referral to RGA"),"")</f>
        <v/>
      </c>
      <c r="H125" s="820" t="str">
        <f>IF(H$117&lt;&gt;"",IF(AND(Referral_Error="",'General Basis'!J106=""),H$119*'Age Banded Rating'!J83,"Check 'Referral to RGA"),"")</f>
        <v/>
      </c>
      <c r="I125" s="820" t="str">
        <f>IF(I$117&lt;&gt;"",IF(AND(Referral_Error="",'General Basis'!J106=""),I$119*'Age Banded Rating'!M83,"Check 'Referral to RGA"),"")</f>
        <v/>
      </c>
      <c r="J125" s="820" t="str">
        <f>IF(J$117&lt;&gt;"",IF(AND(Referral_Error="",'General Basis'!J106=""),J$119*'Age Banded Rating'!P83,"Check 'Referral to RGA"),"")</f>
        <v/>
      </c>
      <c r="K125" s="820" t="str">
        <f>IF(K$117&lt;&gt;"",IF(AND(Referral_Error="",'General Basis'!J106=""),K$119*'Age Banded Rating'!S83,"Check 'Referral to RGA"),"")</f>
        <v/>
      </c>
      <c r="L125" s="820" t="str">
        <f>IF(L$117&lt;&gt;"",IF(AND(Referral_Error="",'General Basis'!J106=""),L$119*'Age Banded Rating'!V83,"Check 'Referral to RGA"),"")</f>
        <v/>
      </c>
      <c r="M125" s="820" t="str">
        <f>IF(M$117&lt;&gt;"",IF(AND(Referral_Error="",'General Basis'!J106=""),M$119*'Age Banded Rating'!Y83,"Check 'Referral to RGA"),"")</f>
        <v/>
      </c>
      <c r="N125" s="820">
        <f ca="1">SUM(E125:M125)</f>
        <v>0</v>
      </c>
    </row>
    <row r="126" spans="1:18" x14ac:dyDescent="0.25">
      <c r="B126" s="1399" t="s">
        <v>261</v>
      </c>
      <c r="C126" s="1400"/>
      <c r="D126" s="1400"/>
      <c r="E126" s="1401"/>
      <c r="F126" s="820">
        <f ca="1">IF(F$117&lt;&gt;"",IF(AND(Referral_Error="",'General Basis'!J106=""),F$119*'Age Banded Rating'!D84,"Check 'Referral to RGA"),"")</f>
        <v>930.9849999999999</v>
      </c>
      <c r="G126" s="820" t="str">
        <f>IF(G$117&lt;&gt;"",IF(AND(Referral_Error="",'General Basis'!J106=""),G$119*'Age Banded Rating'!G84,"Check 'Referral to RGA"),"")</f>
        <v/>
      </c>
      <c r="H126" s="820" t="str">
        <f>IF(H$117&lt;&gt;"",IF(AND(Referral_Error="",'General Basis'!J106=""),H$119*'Age Banded Rating'!J84,"Check 'Referral to RGA"),"")</f>
        <v/>
      </c>
      <c r="I126" s="820" t="str">
        <f>IF(I$117&lt;&gt;"",IF(AND(Referral_Error="",'General Basis'!J106=""),I$119*'Age Banded Rating'!M84,"Check 'Referral to RGA"),"")</f>
        <v/>
      </c>
      <c r="J126" s="820" t="str">
        <f>IF(J$117&lt;&gt;"",IF(AND(Referral_Error="",'General Basis'!J106=""),J$119*'Age Banded Rating'!P84,"Check 'Referral to RGA"),"")</f>
        <v/>
      </c>
      <c r="K126" s="820" t="str">
        <f>IF(K$117&lt;&gt;"",IF(AND(Referral_Error="",'General Basis'!J106=""),K$119*'Age Banded Rating'!S84,"Check 'Referral to RGA"),"")</f>
        <v/>
      </c>
      <c r="L126" s="820" t="str">
        <f>IF(L$117&lt;&gt;"",IF(AND(Referral_Error="",'General Basis'!J106=""),L$119*'Age Banded Rating'!V84,"Check 'Referral to RGA"),"")</f>
        <v/>
      </c>
      <c r="M126" s="820" t="str">
        <f>IF(M$117&lt;&gt;"",IF(AND(Referral_Error="",'General Basis'!J106=""),M$119*'Age Banded Rating'!Y84,"Check 'Referral to RGA"),"")</f>
        <v/>
      </c>
      <c r="N126" s="820">
        <f ca="1">SUM(E126:M126)</f>
        <v>930.9849999999999</v>
      </c>
    </row>
    <row r="127" spans="1:18" x14ac:dyDescent="0.25">
      <c r="B127" s="1434"/>
      <c r="C127" s="1435"/>
      <c r="D127" s="1435"/>
      <c r="E127" s="1436"/>
      <c r="F127" s="819"/>
      <c r="G127" s="819"/>
      <c r="H127" s="819"/>
      <c r="I127" s="819"/>
      <c r="J127" s="819"/>
      <c r="K127" s="460"/>
      <c r="L127" s="460"/>
      <c r="M127" s="435"/>
      <c r="N127" s="460"/>
    </row>
    <row r="128" spans="1:18" x14ac:dyDescent="0.25">
      <c r="B128" s="1425" t="s">
        <v>256</v>
      </c>
      <c r="C128" s="1426"/>
      <c r="D128" s="1426"/>
      <c r="E128" s="1427"/>
      <c r="F128" s="438">
        <f ca="1">IF(F$117&lt;&gt;"",IF(AND(Referral_Error="",'General Basis'!J106=""),IFERROR(F123/F$118,0),"Refer to RGA"),"")</f>
        <v>193.13499999999996</v>
      </c>
      <c r="G128" s="438" t="str">
        <f>IF(G$117&lt;&gt;"",IF(AND(Referral_Error="",'General Basis'!J106=""),IFERROR(G123/G$118,0),"Refer to RGA"),"")</f>
        <v/>
      </c>
      <c r="H128" s="438" t="str">
        <f>IF(H$117&lt;&gt;"",IF(AND(Referral_Error="",'General Basis'!J106=""),IFERROR(H123/H$118,0),"Refer to RGA"),"")</f>
        <v/>
      </c>
      <c r="I128" s="438" t="str">
        <f>IF(I$117&lt;&gt;"",IF(AND(Referral_Error="",'General Basis'!J106=""),IFERROR(I123/I$118,0),"Refer to RGA"),"")</f>
        <v/>
      </c>
      <c r="J128" s="438" t="str">
        <f>IF(J$117&lt;&gt;"",IF(AND(Referral_Error="",'General Basis'!J106=""),IFERROR(J123/J$118,0),"Refer to RGA"),"")</f>
        <v/>
      </c>
      <c r="K128" s="438" t="str">
        <f>IF(K$117&lt;&gt;"",IF(AND(Referral_Error="",'General Basis'!J106=""),IFERROR(K123/K$118,0),"Refer to RGA"),"")</f>
        <v/>
      </c>
      <c r="L128" s="438" t="str">
        <f>IF(L$117&lt;&gt;"",IF(AND(Referral_Error="",'General Basis'!J106=""),IFERROR(L123/L$118,0),"Refer to RGA"),"")</f>
        <v/>
      </c>
      <c r="M128" s="438" t="str">
        <f>IF(M$117&lt;&gt;"",IF(AND(Referral_Error="",'General Basis'!J106=""),IFERROR(M123/M$118,0),"Refer to RGA"),"")</f>
        <v/>
      </c>
      <c r="N128" s="438">
        <f ca="1">IF(N$117&lt;&gt;"",IF('Referral to RGA'!$A$24="",IFERROR(N123/N$118,0),"Refer to RGA"),"")</f>
        <v>193.13499999999996</v>
      </c>
    </row>
    <row r="129" spans="1:18" x14ac:dyDescent="0.25">
      <c r="B129" s="1399" t="s">
        <v>257</v>
      </c>
      <c r="C129" s="1400"/>
      <c r="D129" s="1400"/>
      <c r="E129" s="1401"/>
      <c r="F129" s="820">
        <f ca="1">IF(F$117&lt;&gt;"",IF(AND(Referral_Error="",'General Basis'!J106=""),IFERROR(F124/F$118,0),"Refer to RGA"),"")</f>
        <v>108.5</v>
      </c>
      <c r="G129" s="820" t="str">
        <f>IF(G$117&lt;&gt;"",IF(AND(Referral_Error="",'General Basis'!J106=""),IFERROR(G124/G$118,0),"Refer to RGA"),"")</f>
        <v/>
      </c>
      <c r="H129" s="820" t="str">
        <f>IF(H$117&lt;&gt;"",IF(AND(Referral_Error="",'General Basis'!J106=""),IFERROR(H124/H$118,0),"Refer to RGA"),"")</f>
        <v/>
      </c>
      <c r="I129" s="820" t="str">
        <f>IF(I$117&lt;&gt;"",IF(AND(Referral_Error="",'General Basis'!J106=""),IFERROR(I124/I$118,0),"Refer to RGA"),"")</f>
        <v/>
      </c>
      <c r="J129" s="820" t="str">
        <f>IF(J$117&lt;&gt;"",IF(AND(Referral_Error="",'General Basis'!J106=""),IFERROR(J124/J$118,0),"Refer to RGA"),"")</f>
        <v/>
      </c>
      <c r="K129" s="820" t="str">
        <f>IF(K$117&lt;&gt;"",IF(AND(Referral_Error="",'General Basis'!J106=""),IFERROR(K124/K$118,0),"Refer to RGA"),"")</f>
        <v/>
      </c>
      <c r="L129" s="820" t="str">
        <f>IF(L$117&lt;&gt;"",IF(AND(Referral_Error="",'General Basis'!J106=""),IFERROR(L124/L$118,0),"Refer to RGA"),"")</f>
        <v/>
      </c>
      <c r="M129" s="820" t="str">
        <f>IF(M$117&lt;&gt;"",IF(AND(Referral_Error="",'General Basis'!J106=""),IFERROR(M124/M$118,0),"Refer to RGA"),"")</f>
        <v/>
      </c>
      <c r="N129" s="820">
        <f ca="1">IF(N$117&lt;&gt;"",IF('Referral to RGA'!$A$24="",IFERROR(N124/N$118,0),"Refer to RGA"),"")</f>
        <v>108.5</v>
      </c>
    </row>
    <row r="130" spans="1:18" x14ac:dyDescent="0.25">
      <c r="B130" s="1399" t="s">
        <v>258</v>
      </c>
      <c r="C130" s="1400"/>
      <c r="D130" s="1400"/>
      <c r="E130" s="1401"/>
      <c r="F130" s="820">
        <f ca="1">IF(F$117&lt;&gt;"",IF(AND(Referral_Error="",'General Basis'!J106=""),IFERROR(F125/F$118,0),"Refer to RGA"),"")</f>
        <v>0</v>
      </c>
      <c r="G130" s="820" t="str">
        <f>IF(G$117&lt;&gt;"",IF(AND(Referral_Error="",'General Basis'!J106=""),IFERROR(G125/G$118,0),"Refer to RGA"),"")</f>
        <v/>
      </c>
      <c r="H130" s="820" t="str">
        <f>IF(H$117&lt;&gt;"",IF(AND(Referral_Error="",'General Basis'!J106=""),IFERROR(H125/H$118,0),"Refer to RGA"),"")</f>
        <v/>
      </c>
      <c r="I130" s="820" t="str">
        <f>IF(I$117&lt;&gt;"",IF(AND(Referral_Error="",'General Basis'!J106=""),IFERROR(I125/I$118,0),"Refer to RGA"),"")</f>
        <v/>
      </c>
      <c r="J130" s="820" t="str">
        <f>IF(J$117&lt;&gt;"",IF(AND(Referral_Error="",'General Basis'!J106=""),IFERROR(J125/J$118,0),"Refer to RGA"),"")</f>
        <v/>
      </c>
      <c r="K130" s="820" t="str">
        <f>IF(K$117&lt;&gt;"",IF(AND(Referral_Error="",'General Basis'!J106=""),IFERROR(K125/K$118,0),"Refer to RGA"),"")</f>
        <v/>
      </c>
      <c r="L130" s="820" t="str">
        <f>IF(L$117&lt;&gt;"",IF(AND(Referral_Error="",'General Basis'!J106=""),IFERROR(L125/L$118,0),"Refer to RGA"),"")</f>
        <v/>
      </c>
      <c r="M130" s="820" t="str">
        <f>IF(M$117&lt;&gt;"",IF(AND(Referral_Error="",'General Basis'!J106=""),IFERROR(M125/M$118,0),"Refer to RGA"),"")</f>
        <v/>
      </c>
      <c r="N130" s="820">
        <f ca="1">IF(N$117&lt;&gt;"",IF('Referral to RGA'!$A$24="",IFERROR(N125/N$118,0),"Refer to RGA"),"")</f>
        <v>0</v>
      </c>
    </row>
    <row r="131" spans="1:18" x14ac:dyDescent="0.25">
      <c r="B131" s="1399" t="s">
        <v>261</v>
      </c>
      <c r="C131" s="1400"/>
      <c r="D131" s="1400"/>
      <c r="E131" s="1401"/>
      <c r="F131" s="828">
        <f ca="1">IF(F$117&lt;&gt;"",IF(AND(Referral_Error="",'General Basis'!J106=""),IFERROR(F126/F$118,0),"Refer to RGA"),"")</f>
        <v>84.634999999999991</v>
      </c>
      <c r="G131" s="828" t="str">
        <f>IF(G$117&lt;&gt;"",IF(AND(Referral_Error="",'General Basis'!J106=""),IFERROR(G126/G$118,0),"Refer to RGA"),"")</f>
        <v/>
      </c>
      <c r="H131" s="828" t="str">
        <f>IF(H$117&lt;&gt;"",IF(AND(Referral_Error="",'General Basis'!J106=""),IFERROR(H126/H$118,0),"Refer to RGA"),"")</f>
        <v/>
      </c>
      <c r="I131" s="828" t="str">
        <f>IF(I$117&lt;&gt;"",IF(AND(Referral_Error="",'General Basis'!J106=""),IFERROR(I126/I$118,0),"Refer to RGA"),"")</f>
        <v/>
      </c>
      <c r="J131" s="828" t="str">
        <f>IF(J$117&lt;&gt;"",IF(AND(Referral_Error="",'General Basis'!J106=""),IFERROR(J126/J$118,0),"Refer to RGA"),"")</f>
        <v/>
      </c>
      <c r="K131" s="828" t="str">
        <f>IF(K$117&lt;&gt;"",IF(AND(Referral_Error="",'General Basis'!J106=""),IFERROR(K126/K$118,0),"Refer to RGA"),"")</f>
        <v/>
      </c>
      <c r="L131" s="828" t="str">
        <f>IF(L$117&lt;&gt;"",IF(AND(Referral_Error="",'General Basis'!J106=""),IFERROR(L126/L$118,0),"Refer to RGA"),"")</f>
        <v/>
      </c>
      <c r="M131" s="828" t="str">
        <f>IF(M$117&lt;&gt;"",IF(AND(Referral_Error="",'General Basis'!J106=""),IFERROR(M126/M$118,0),"Refer to RGA"),"")</f>
        <v/>
      </c>
      <c r="N131" s="828">
        <f ca="1">IF(N$117&lt;&gt;"",IF('Referral to RGA'!$A$24="",IFERROR(N126/N$118,0),"Refer to RGA"),"")</f>
        <v>84.634999999999991</v>
      </c>
    </row>
    <row r="132" spans="1:18" x14ac:dyDescent="0.25">
      <c r="B132" s="821" t="s">
        <v>252</v>
      </c>
      <c r="C132" s="439"/>
      <c r="D132" s="439"/>
      <c r="E132" s="439"/>
      <c r="F132" s="439"/>
      <c r="G132" s="439"/>
      <c r="H132" s="439"/>
      <c r="I132" s="439"/>
      <c r="J132" s="799"/>
      <c r="K132" s="799"/>
      <c r="L132" s="799"/>
      <c r="M132" s="868"/>
      <c r="N132" s="869"/>
    </row>
    <row r="133" spans="1:18" x14ac:dyDescent="0.25">
      <c r="B133" s="822" t="s">
        <v>253</v>
      </c>
      <c r="C133" s="437"/>
      <c r="D133" s="437"/>
      <c r="E133" s="437"/>
      <c r="F133" s="437"/>
      <c r="G133" s="437"/>
      <c r="H133" s="437"/>
      <c r="I133" s="437"/>
      <c r="N133" s="870"/>
    </row>
    <row r="134" spans="1:18" x14ac:dyDescent="0.25">
      <c r="B134" s="823"/>
      <c r="C134" s="824"/>
      <c r="D134" s="824"/>
      <c r="E134" s="824"/>
      <c r="F134" s="824"/>
      <c r="G134" s="824"/>
      <c r="H134" s="824"/>
      <c r="I134" s="824"/>
      <c r="J134" s="800"/>
      <c r="K134" s="800"/>
      <c r="L134" s="800"/>
      <c r="M134" s="872"/>
      <c r="N134" s="873"/>
    </row>
    <row r="135" spans="1:18" s="940" customFormat="1" x14ac:dyDescent="0.25">
      <c r="A135" s="938"/>
      <c r="B135" s="1412" t="s">
        <v>1062</v>
      </c>
      <c r="C135" s="1412"/>
      <c r="D135" s="1412"/>
      <c r="E135" s="1412"/>
      <c r="F135" s="939">
        <f ca="1">IF(F$117&lt;&gt;"",IF(AND(Referral_Error="",'General Basis'!J106=""),'Age Banded Rating'!C236,"Refer to RGA"),"")</f>
        <v>1575.9</v>
      </c>
      <c r="G135" s="939" t="str">
        <f>IF(G$117&lt;&gt;"",IF(AND(Referral_Error="",'General Basis'!J106=""),'Age Banded Rating'!D236,"Refer to RGA"),"")</f>
        <v/>
      </c>
      <c r="H135" s="939" t="str">
        <f>IF(H$117&lt;&gt;"",IF(AND(Referral_Error="",'General Basis'!J106=""),'Age Banded Rating'!E236,"Refer to RGA"),"")</f>
        <v/>
      </c>
      <c r="I135" s="939" t="str">
        <f>IF(I$117&lt;&gt;"",IF(AND(Referral_Error="",'General Basis'!J106=""),'Age Banded Rating'!F236,"Refer to RGA"),"")</f>
        <v/>
      </c>
      <c r="J135" s="939" t="str">
        <f>IF(J$117&lt;&gt;"",IF(AND(Referral_Error="",'General Basis'!J106=""),'Age Banded Rating'!G236,"Refer to RGA"),"")</f>
        <v/>
      </c>
      <c r="K135" s="939" t="str">
        <f>IF(K$117&lt;&gt;"",IF(AND(Referral_Error="",'General Basis'!J106=""),'Age Banded Rating'!H236,"Refer to RGA"),"")</f>
        <v/>
      </c>
      <c r="L135" s="939" t="str">
        <f>IF(L$117&lt;&gt;"",IF(AND(Referral_Error="",'General Basis'!J106=""),'Age Banded Rating'!I236,"Refer to RGA"),"")</f>
        <v/>
      </c>
      <c r="M135" s="939" t="str">
        <f>IF(M$117&lt;&gt;"",IF(AND(Referral_Error="",'General Basis'!J106=""),'Age Banded Rating'!J236,"Refer to RGA"),"")</f>
        <v/>
      </c>
      <c r="N135" s="939"/>
      <c r="O135" s="938"/>
      <c r="P135" s="938"/>
      <c r="Q135" s="938"/>
      <c r="R135" s="938"/>
    </row>
    <row r="136" spans="1:18" x14ac:dyDescent="0.25">
      <c r="B136" s="1412" t="s">
        <v>1063</v>
      </c>
      <c r="C136" s="1412"/>
      <c r="D136" s="1412"/>
      <c r="E136" s="1412"/>
      <c r="F136" s="939">
        <f ca="1">IF(F$117&lt;&gt;"",IF('Referral to RGA'!$A$24="",'Benefit Selection - Group'!C40,"Refer to RGA"),"")</f>
        <v>0</v>
      </c>
      <c r="G136" s="939" t="str">
        <f>IF(G$117&lt;&gt;"",IF('Referral to RGA'!$A$24="",'Benefit Selection - Group'!H40,"Refer to RGA"),"")</f>
        <v/>
      </c>
      <c r="H136" s="939" t="str">
        <f>IF(H$117&lt;&gt;"",IF('Referral to RGA'!$A$24="",'Benefit Selection - Group'!M40,"Refer to RGA"),"")</f>
        <v/>
      </c>
      <c r="I136" s="939" t="str">
        <f>IF(I$117&lt;&gt;"",IF('Referral to RGA'!$A$24="",'Benefit Selection - Group'!R40,"Refer to RGA"),"")</f>
        <v/>
      </c>
      <c r="J136" s="939" t="str">
        <f>IF(J$117&lt;&gt;"",IF('Referral to RGA'!$A$24="",'Benefit Selection - Group'!W40,"Refer to RGA"),"")</f>
        <v/>
      </c>
      <c r="K136" s="939" t="str">
        <f>IF(K$117&lt;&gt;"",IF('Referral to RGA'!$A$24="",'Benefit Selection - Group'!AB40,"Refer to RGA"),"")</f>
        <v/>
      </c>
      <c r="L136" s="939" t="str">
        <f>IF(L$117&lt;&gt;"",IF('Referral to RGA'!$A$24="",'Benefit Selection - Group'!AG40,"Refer to RGA"),"")</f>
        <v/>
      </c>
      <c r="M136" s="939" t="str">
        <f>IF(M$117&lt;&gt;"",IF('Referral to RGA'!$A$24="",'Benefit Selection - Group'!AL40,"Refer to RGA"),"")</f>
        <v/>
      </c>
      <c r="N136" s="939">
        <f ca="1">SUM(F136:M136)</f>
        <v>0</v>
      </c>
    </row>
    <row r="137" spans="1:18" x14ac:dyDescent="0.25">
      <c r="B137" s="825"/>
      <c r="C137" s="437"/>
      <c r="D137" s="437"/>
      <c r="E137" s="437"/>
      <c r="F137" s="437"/>
      <c r="G137" s="437"/>
      <c r="H137" s="437"/>
      <c r="I137" s="437"/>
      <c r="N137" s="870"/>
    </row>
    <row r="138" spans="1:18" ht="26.25" x14ac:dyDescent="0.25">
      <c r="B138" s="1405" t="s">
        <v>254</v>
      </c>
      <c r="C138" s="1406"/>
      <c r="D138" s="1406"/>
      <c r="E138" s="1407"/>
      <c r="F138" s="812" t="str">
        <f t="shared" ref="F138:I139" si="9">F117</f>
        <v>Category A</v>
      </c>
      <c r="G138" s="812" t="str">
        <f t="shared" si="9"/>
        <v/>
      </c>
      <c r="H138" s="812" t="str">
        <f t="shared" si="9"/>
        <v/>
      </c>
      <c r="I138" s="812" t="str">
        <f t="shared" si="9"/>
        <v/>
      </c>
      <c r="J138" s="812" t="str">
        <f>IF('General Basis'!$D$8&gt;=5,"Category E","")</f>
        <v/>
      </c>
      <c r="K138" s="812" t="str">
        <f>IF('General Basis'!$D$8&gt;=6,"Category F","")</f>
        <v/>
      </c>
      <c r="L138" s="812" t="str">
        <f>IF('General Basis'!$D$8&gt;=7,"Category G","")</f>
        <v/>
      </c>
      <c r="M138" s="812" t="str">
        <f>IF('General Basis'!$D$8&gt;=8,"Category H","")</f>
        <v/>
      </c>
      <c r="N138" s="812" t="s">
        <v>250</v>
      </c>
    </row>
    <row r="139" spans="1:18" x14ac:dyDescent="0.25">
      <c r="B139" s="1425" t="s">
        <v>251</v>
      </c>
      <c r="C139" s="1426"/>
      <c r="D139" s="1426"/>
      <c r="E139" s="1427"/>
      <c r="F139" s="438">
        <f t="shared" ca="1" si="9"/>
        <v>11</v>
      </c>
      <c r="G139" s="438" t="str">
        <f t="shared" si="9"/>
        <v/>
      </c>
      <c r="H139" s="438" t="str">
        <f t="shared" si="9"/>
        <v/>
      </c>
      <c r="I139" s="438" t="str">
        <f t="shared" si="9"/>
        <v/>
      </c>
      <c r="J139" s="438" t="str">
        <f>J118</f>
        <v/>
      </c>
      <c r="K139" s="438" t="str">
        <f>K118</f>
        <v/>
      </c>
      <c r="L139" s="438" t="str">
        <f>L118</f>
        <v/>
      </c>
      <c r="M139" s="438" t="str">
        <f>M118</f>
        <v/>
      </c>
      <c r="N139" s="438">
        <f ca="1">SUM(E139:M139)</f>
        <v>11</v>
      </c>
    </row>
    <row r="140" spans="1:18" x14ac:dyDescent="0.25">
      <c r="B140" s="1425" t="s">
        <v>1061</v>
      </c>
      <c r="C140" s="1426"/>
      <c r="D140" s="1426"/>
      <c r="E140" s="1427"/>
      <c r="F140" s="438">
        <f ca="1">IF(F$117&lt;&gt;"",IF(AND(Referral_Error="",'General Basis'!J106=""),F119/(1-Gross_Loading),"Refer to RGA"),"")</f>
        <v>41149.789382239382</v>
      </c>
      <c r="G140" s="438" t="str">
        <f>IF(G$117&lt;&gt;"",IF(AND(Referral_Error="",'General Basis'!J106=""),G119/(1-Gross_Loading),"Refer to RGA"),"")</f>
        <v/>
      </c>
      <c r="H140" s="438" t="str">
        <f>IF(H$117&lt;&gt;"",IF(AND(Referral_Error="",'General Basis'!J106=""),H119/(1-Gross_Loading),"Refer to RGA"),"")</f>
        <v/>
      </c>
      <c r="I140" s="438" t="str">
        <f>IF(I$117&lt;&gt;"",IF(AND(Referral_Error="",'General Basis'!J106=""),I119/(1-Gross_Loading),"Refer to RGA"),"")</f>
        <v/>
      </c>
      <c r="J140" s="438" t="str">
        <f>IF(J$117&lt;&gt;"",IF(AND(Referral_Error="",'General Basis'!J106=""),J119/(1-Gross_Loading),"Refer to RGA"),"")</f>
        <v/>
      </c>
      <c r="K140" s="438" t="str">
        <f>IF(K$117&lt;&gt;"",IF(AND(Referral_Error="",'General Basis'!J106=""),K119/(1-Gross_Loading),"Refer to RGA"),"")</f>
        <v/>
      </c>
      <c r="L140" s="438" t="str">
        <f>IF(L$117&lt;&gt;"",IF(AND(Referral_Error="",'General Basis'!J106=""),L119/(1-Gross_Loading),"Refer to RGA"),"")</f>
        <v/>
      </c>
      <c r="M140" s="438" t="str">
        <f>IF(M$117&lt;&gt;"",IF(AND(Referral_Error="",'General Basis'!J106=""),M119/(1-Gross_Loading),"Refer to RGA"),"")</f>
        <v/>
      </c>
      <c r="N140" s="438">
        <f ca="1">SUM(E140:M140)</f>
        <v>41149.789382239382</v>
      </c>
    </row>
    <row r="141" spans="1:18" x14ac:dyDescent="0.25">
      <c r="B141" s="1425" t="s">
        <v>1068</v>
      </c>
      <c r="C141" s="1426"/>
      <c r="D141" s="1426"/>
      <c r="E141" s="1427"/>
      <c r="F141" s="438">
        <f ca="1">IF(F$117&lt;&gt;"",IF(AND(Referral_Error="",'General Basis'!J106=""),IFERROR(F140/F139,0),"Refer to RGA"),"")</f>
        <v>3740.889943839944</v>
      </c>
      <c r="G141" s="438" t="str">
        <f>IF(G$117&lt;&gt;"",IF(AND(Referral_Error="",'General Basis'!J106=""),IFERROR(G140/G139,0),"Refer to RGA"),"")</f>
        <v/>
      </c>
      <c r="H141" s="438" t="str">
        <f>IF(H$117&lt;&gt;"",IF(AND(Referral_Error="",'General Basis'!J106=""),IFERROR(H140/H139,0),"Refer to RGA"),"")</f>
        <v/>
      </c>
      <c r="I141" s="438" t="str">
        <f>IF(I$117&lt;&gt;"",IF(AND(Referral_Error="",'General Basis'!J106=""),IFERROR(I140/I139,0),"Refer to RGA"),"")</f>
        <v/>
      </c>
      <c r="J141" s="438" t="str">
        <f>IF(J$117&lt;&gt;"",IF(AND(Referral_Error="",'General Basis'!J106=""),IFERROR(J140/J139,0),"Refer to RGA"),"")</f>
        <v/>
      </c>
      <c r="K141" s="438" t="str">
        <f>IF(K$117&lt;&gt;"",IF(AND(Referral_Error="",'General Basis'!J106=""),IFERROR(K140/K139,0),"Refer to RGA"),"")</f>
        <v/>
      </c>
      <c r="L141" s="438" t="str">
        <f>IF(L$117&lt;&gt;"",IF(AND(Referral_Error="",'General Basis'!J106=""),IFERROR(L140/L139,0),"Refer to RGA"),"")</f>
        <v/>
      </c>
      <c r="M141" s="438" t="str">
        <f>IF(M$117&lt;&gt;"",IF(AND(Referral_Error="",'General Basis'!J106=""),IFERROR(M140/M139,0),"Refer to RGA"),"")</f>
        <v/>
      </c>
      <c r="N141" s="438">
        <f ca="1">ROUND(N140/N139,0)</f>
        <v>3741</v>
      </c>
    </row>
    <row r="142" spans="1:18" s="940" customFormat="1" x14ac:dyDescent="0.25">
      <c r="A142" s="938"/>
      <c r="B142" s="1428" t="s">
        <v>1065</v>
      </c>
      <c r="C142" s="1429"/>
      <c r="D142" s="1429"/>
      <c r="E142" s="1430"/>
      <c r="F142" s="939">
        <f ca="1">IF(F$117&lt;&gt;"",IF(AND(Referral_Error="",'General Basis'!J106=""),F121/(1-Gross_Loading),"Refer to RGA"),"")</f>
        <v>0</v>
      </c>
      <c r="G142" s="939" t="str">
        <f>IF(G$117&lt;&gt;"",IF(AND(Referral_Error="",'General Basis'!J106=""),G121/(1-Gross_Loading),"Refer to RGA"),"")</f>
        <v/>
      </c>
      <c r="H142" s="939" t="str">
        <f>IF(H$117&lt;&gt;"",IF(AND(Referral_Error="",'General Basis'!J106=""),H121/(1-Gross_Loading),"Refer to RGA"),"")</f>
        <v/>
      </c>
      <c r="I142" s="939" t="str">
        <f>IF(I$117&lt;&gt;"",IF(AND(Referral_Error="",'General Basis'!J106=""),I121/(1-Gross_Loading),"Refer to RGA"),"")</f>
        <v/>
      </c>
      <c r="J142" s="939" t="str">
        <f>IF(J$117&lt;&gt;"",IF(AND(Referral_Error="",'General Basis'!J106=""),J121/(1-Gross_Loading),"Refer to RGA"),"")</f>
        <v/>
      </c>
      <c r="K142" s="939" t="str">
        <f>IF(K$117&lt;&gt;"",IF(AND(Referral_Error="",'General Basis'!J106=""),K121/(1-Gross_Loading),"Refer to RGA"),"")</f>
        <v/>
      </c>
      <c r="L142" s="939" t="str">
        <f>IF(L$117&lt;&gt;"",IF(AND(Referral_Error="",'General Basis'!J106=""),L121/(1-Gross_Loading),"Refer to RGA"),"")</f>
        <v/>
      </c>
      <c r="M142" s="939" t="str">
        <f>IF(M$117&lt;&gt;"",IF(AND(Referral_Error="",'General Basis'!J106=""),M121/(1-Gross_Loading),"Refer to RGA"),"")</f>
        <v/>
      </c>
      <c r="N142" s="939">
        <f ca="1">SUM(E142:M142)</f>
        <v>0</v>
      </c>
      <c r="O142" s="938"/>
      <c r="P142" s="938"/>
      <c r="Q142" s="938"/>
      <c r="R142" s="938"/>
    </row>
    <row r="143" spans="1:18" x14ac:dyDescent="0.25">
      <c r="B143" s="1448" t="s">
        <v>1165</v>
      </c>
      <c r="C143" s="1449"/>
      <c r="D143" s="1449"/>
      <c r="E143" s="1450"/>
      <c r="F143" s="996">
        <f ca="1">IFERROR(F140+F142,"")</f>
        <v>41149.789382239382</v>
      </c>
      <c r="G143" s="996" t="str">
        <f t="shared" ref="G143" si="10">IFERROR(G140+G142,"")</f>
        <v/>
      </c>
      <c r="H143" s="996" t="str">
        <f t="shared" ref="H143" si="11">IFERROR(H140+H142,"")</f>
        <v/>
      </c>
      <c r="I143" s="996" t="str">
        <f t="shared" ref="I143" si="12">IFERROR(I140+I142,"")</f>
        <v/>
      </c>
      <c r="J143" s="996" t="str">
        <f t="shared" ref="J143" si="13">IFERROR(J140+J142,"")</f>
        <v/>
      </c>
      <c r="K143" s="996" t="str">
        <f t="shared" ref="K143" si="14">IFERROR(K140+K142,"")</f>
        <v/>
      </c>
      <c r="L143" s="996" t="str">
        <f t="shared" ref="L143" si="15">IFERROR(L140+L142,"")</f>
        <v/>
      </c>
      <c r="M143" s="996" t="str">
        <f t="shared" ref="M143" si="16">IFERROR(M140+M142,"")</f>
        <v/>
      </c>
      <c r="N143" s="996">
        <f ca="1">SUM(F143:M143)</f>
        <v>41149.789382239382</v>
      </c>
    </row>
    <row r="144" spans="1:18" ht="15" customHeight="1" x14ac:dyDescent="0.25">
      <c r="B144" s="1425" t="s">
        <v>259</v>
      </c>
      <c r="C144" s="1426"/>
      <c r="D144" s="1426"/>
      <c r="E144" s="1427"/>
      <c r="F144" s="438">
        <f ca="1">IF(F$117&lt;&gt;"",IF(AND(Referral_Error="",'General Basis'!J106=""),SUM(F145:F147),"Refer to RGA"),"")</f>
        <v>3034.9785714285713</v>
      </c>
      <c r="G144" s="438" t="str">
        <f>IF(G$117&lt;&gt;"",IF(AND(Referral_Error="",'General Basis'!J106=""),SUM(G145:G147),"Refer to RGA"),"")</f>
        <v/>
      </c>
      <c r="H144" s="438" t="str">
        <f>IF(H$117&lt;&gt;"",IF(AND(Referral_Error="",'General Basis'!J106=""),SUM(H145:H147),"Refer to RGA"),"")</f>
        <v/>
      </c>
      <c r="I144" s="438" t="str">
        <f>IF(I$117&lt;&gt;"",IF(AND(Referral_Error="",'General Basis'!J106=""),SUM(I145:I147),"Refer to RGA"),"")</f>
        <v/>
      </c>
      <c r="J144" s="438" t="str">
        <f>IF(J$117&lt;&gt;"",IF(AND(Referral_Error="",'General Basis'!J106=""),SUM(J145:J147),"Refer to RGA"),"")</f>
        <v/>
      </c>
      <c r="K144" s="438" t="str">
        <f>IF(K$117&lt;&gt;"",IF(AND(Referral_Error="",'General Basis'!J106=""),SUM(K145:K147),"Refer to RGA"),"")</f>
        <v/>
      </c>
      <c r="L144" s="438" t="str">
        <f>IF(L$117&lt;&gt;"",IF(AND(Referral_Error="",'General Basis'!J106=""),SUM(L145:L147),"Refer to RGA"),"")</f>
        <v/>
      </c>
      <c r="M144" s="438" t="str">
        <f>IF(M$117&lt;&gt;"",IF(AND(Referral_Error="",'General Basis'!J106=""),SUM(M145:M147),"Refer to RGA"),"")</f>
        <v/>
      </c>
      <c r="N144" s="438">
        <f ca="1">SUM(E144:M144)</f>
        <v>3034.9785714285713</v>
      </c>
    </row>
    <row r="145" spans="1:18" x14ac:dyDescent="0.25">
      <c r="B145" s="1399" t="s">
        <v>257</v>
      </c>
      <c r="C145" s="1400"/>
      <c r="D145" s="1400"/>
      <c r="E145" s="1401"/>
      <c r="F145" s="820">
        <f ca="1">IF(F$117&lt;&gt;"",IF(AND(Referral_Error="",'General Basis'!J106=""),F124/(1-Gross_Loading),"Refer to RGA"),"")</f>
        <v>1705</v>
      </c>
      <c r="G145" s="820" t="str">
        <f>IF(G$117&lt;&gt;"",IF(AND(Referral_Error="",'General Basis'!J106=""),G124/(1-Gross_Loading),"Refer to RGA"),"")</f>
        <v/>
      </c>
      <c r="H145" s="820" t="str">
        <f>IF(H$117&lt;&gt;"",IF(AND(Referral_Error="",'General Basis'!J106=""),H124/(1-Gross_Loading),"Refer to RGA"),"")</f>
        <v/>
      </c>
      <c r="I145" s="820" t="str">
        <f>IF(I$117&lt;&gt;"",IF(AND(Referral_Error="",'General Basis'!J106=""),I124/(1-Gross_Loading),"Refer to RGA"),"")</f>
        <v/>
      </c>
      <c r="J145" s="820" t="str">
        <f>IF(J$117&lt;&gt;"",IF(AND(Referral_Error="",'General Basis'!J106=""),J124/(1-Gross_Loading),"Refer to RGA"),"")</f>
        <v/>
      </c>
      <c r="K145" s="820" t="str">
        <f>IF(K$117&lt;&gt;"",IF(AND(Referral_Error="",'General Basis'!J106=""),K124/(1-Gross_Loading),"Refer to RGA"),"")</f>
        <v/>
      </c>
      <c r="L145" s="820" t="str">
        <f>IF(L$117&lt;&gt;"",IF(AND(Referral_Error="",'General Basis'!J106=""),L124/(1-Gross_Loading),"Refer to RGA"),"")</f>
        <v/>
      </c>
      <c r="M145" s="820" t="str">
        <f>IF(M$117&lt;&gt;"",IF(AND(Referral_Error="",'General Basis'!J106=""),M124/(1-Gross_Loading),"Refer to RGA"),"")</f>
        <v/>
      </c>
      <c r="N145" s="820">
        <f ca="1">SUM(E145:M145)</f>
        <v>1705</v>
      </c>
    </row>
    <row r="146" spans="1:18" x14ac:dyDescent="0.25">
      <c r="B146" s="1399" t="s">
        <v>258</v>
      </c>
      <c r="C146" s="1400"/>
      <c r="D146" s="1400"/>
      <c r="E146" s="1401"/>
      <c r="F146" s="820">
        <f ca="1">IF(F$117&lt;&gt;"",IF(AND(Referral_Error="",'General Basis'!J106=""),F125/(1-Gross_Loading),"Refer to RGA"),"")</f>
        <v>0</v>
      </c>
      <c r="G146" s="820" t="str">
        <f>IF(G$117&lt;&gt;"",IF(AND(Referral_Error="",'General Basis'!J106=""),G125/(1-Gross_Loading),"Refer to RGA"),"")</f>
        <v/>
      </c>
      <c r="H146" s="820" t="str">
        <f>IF(H$117&lt;&gt;"",IF(AND(Referral_Error="",'General Basis'!J106=""),H125/(1-Gross_Loading),"Refer to RGA"),"")</f>
        <v/>
      </c>
      <c r="I146" s="820" t="str">
        <f>IF(I$117&lt;&gt;"",IF(AND(Referral_Error="",'General Basis'!J106=""),I125/(1-Gross_Loading),"Refer to RGA"),"")</f>
        <v/>
      </c>
      <c r="J146" s="820" t="str">
        <f>IF(J$117&lt;&gt;"",IF(AND(Referral_Error="",'General Basis'!J106=""),J125/(1-Gross_Loading),"Refer to RGA"),"")</f>
        <v/>
      </c>
      <c r="K146" s="820" t="str">
        <f>IF(K$117&lt;&gt;"",IF(AND(Referral_Error="",'General Basis'!J106=""),K125/(1-Gross_Loading),"Refer to RGA"),"")</f>
        <v/>
      </c>
      <c r="L146" s="820" t="str">
        <f>IF(L$117&lt;&gt;"",IF(AND(Referral_Error="",'General Basis'!J106=""),L125/(1-Gross_Loading),"Refer to RGA"),"")</f>
        <v/>
      </c>
      <c r="M146" s="820" t="str">
        <f>IF(M$117&lt;&gt;"",IF(AND(Referral_Error="",'General Basis'!J106=""),M125/(1-Gross_Loading),"Refer to RGA"),"")</f>
        <v/>
      </c>
      <c r="N146" s="820">
        <f ca="1">SUM(E146:M146)</f>
        <v>0</v>
      </c>
    </row>
    <row r="147" spans="1:18" x14ac:dyDescent="0.25">
      <c r="B147" s="1399" t="s">
        <v>261</v>
      </c>
      <c r="C147" s="1400"/>
      <c r="D147" s="1400"/>
      <c r="E147" s="1401"/>
      <c r="F147" s="820">
        <f ca="1">IF(F$117&lt;&gt;"",IF(AND(Referral_Error="",'General Basis'!J106=""),F126/(1-Gross_Loading),"Refer to RGA"),"")</f>
        <v>1329.9785714285713</v>
      </c>
      <c r="G147" s="820" t="str">
        <f>IF(G$117&lt;&gt;"",IF(AND(Referral_Error="",'General Basis'!J106=""),G126/(1-Gross_Loading),"Refer to RGA"),"")</f>
        <v/>
      </c>
      <c r="H147" s="820" t="str">
        <f>IF(H$117&lt;&gt;"",IF(AND(Referral_Error="",'General Basis'!J106=""),H126/(1-Gross_Loading),"Refer to RGA"),"")</f>
        <v/>
      </c>
      <c r="I147" s="820" t="str">
        <f>IF(I$117&lt;&gt;"",IF(AND(Referral_Error="",'General Basis'!J106=""),I126/(1-Gross_Loading),"Refer to RGA"),"")</f>
        <v/>
      </c>
      <c r="J147" s="820" t="str">
        <f>IF(J$117&lt;&gt;"",IF(AND(Referral_Error="",'General Basis'!J106=""),J126/(1-Gross_Loading),"Refer to RGA"),"")</f>
        <v/>
      </c>
      <c r="K147" s="820" t="str">
        <f>IF(K$117&lt;&gt;"",IF(AND(Referral_Error="",'General Basis'!J106=""),K126/(1-Gross_Loading),"Refer to RGA"),"")</f>
        <v/>
      </c>
      <c r="L147" s="820" t="str">
        <f>IF(L$117&lt;&gt;"",IF(AND(Referral_Error="",'General Basis'!J106=""),L126/(1-Gross_Loading),"Refer to RGA"),"")</f>
        <v/>
      </c>
      <c r="M147" s="820" t="str">
        <f>IF(M$117&lt;&gt;"",IF(AND(Referral_Error="",'General Basis'!J106=""),M126/(1-Gross_Loading),"Refer to RGA"),"")</f>
        <v/>
      </c>
      <c r="N147" s="820">
        <f ca="1">SUM(E147:M147)</f>
        <v>1329.9785714285713</v>
      </c>
    </row>
    <row r="148" spans="1:18" x14ac:dyDescent="0.25">
      <c r="B148" s="1434"/>
      <c r="C148" s="1435"/>
      <c r="D148" s="1435"/>
      <c r="E148" s="1436"/>
      <c r="F148" s="819"/>
      <c r="G148" s="819"/>
      <c r="H148" s="819"/>
      <c r="I148" s="819"/>
      <c r="J148" s="819"/>
      <c r="K148" s="460"/>
      <c r="L148" s="460"/>
      <c r="M148" s="435"/>
      <c r="N148" s="460"/>
    </row>
    <row r="149" spans="1:18" ht="15" customHeight="1" x14ac:dyDescent="0.25">
      <c r="B149" s="1425" t="s">
        <v>260</v>
      </c>
      <c r="C149" s="1426"/>
      <c r="D149" s="1426"/>
      <c r="E149" s="1427"/>
      <c r="F149" s="438">
        <f ca="1">IF(F$117&lt;&gt;"",IF(AND(Referral_Error="",'General Basis'!J106=""),F128/(1-Gross_Loading),"Refer to RGA"),"")</f>
        <v>275.90714285714284</v>
      </c>
      <c r="G149" s="438" t="str">
        <f>IF(G$117&lt;&gt;"",IF(AND(Referral_Error="",'General Basis'!J106=""),G128/(1-Gross_Loading),"Refer to RGA"),"")</f>
        <v/>
      </c>
      <c r="H149" s="438" t="str">
        <f>IF(H$117&lt;&gt;"",IF(AND(Referral_Error="",'General Basis'!J106=""),H128/(1-Gross_Loading),"Refer to RGA"),"")</f>
        <v/>
      </c>
      <c r="I149" s="438" t="str">
        <f>IF(I$117&lt;&gt;"",IF(AND(Referral_Error="",'General Basis'!J106=""),I128/(1-Gross_Loading),"Refer to RGA"),"")</f>
        <v/>
      </c>
      <c r="J149" s="438" t="str">
        <f>IF(J$117&lt;&gt;"",IF(AND(Referral_Error="",'General Basis'!J106=""),J128/(1-Gross_Loading),"Refer to RGA"),"")</f>
        <v/>
      </c>
      <c r="K149" s="438" t="str">
        <f>IF(K$117&lt;&gt;"",IF(AND(Referral_Error="",'General Basis'!J106=""),K128/(1-Gross_Loading),"Refer to RGA"),"")</f>
        <v/>
      </c>
      <c r="L149" s="438" t="str">
        <f>IF(L$117&lt;&gt;"",IF(AND(Referral_Error="",'General Basis'!J106=""),L128/(1-Gross_Loading),"Refer to RGA"),"")</f>
        <v/>
      </c>
      <c r="M149" s="438" t="str">
        <f>IF(M$117&lt;&gt;"",IF(AND(Referral_Error="",'General Basis'!J106=""),M128/(1-Gross_Loading),"Refer to RGA"),"")</f>
        <v/>
      </c>
      <c r="N149" s="438">
        <f ca="1">IF(N$117&lt;&gt;"",IF(AND(Referral_Error="",'General Basis'!J106=""),N128/(1-Gross_Loading),"Refer to RGA"),"")</f>
        <v>275.90714285714284</v>
      </c>
    </row>
    <row r="150" spans="1:18" x14ac:dyDescent="0.25">
      <c r="B150" s="1399" t="s">
        <v>257</v>
      </c>
      <c r="C150" s="1400"/>
      <c r="D150" s="1400"/>
      <c r="E150" s="1401"/>
      <c r="F150" s="820">
        <f ca="1">IF(F$117&lt;&gt;"",IF(AND(Referral_Error="",'General Basis'!J106=""),F129/(1-Gross_Loading),"Refer to RGA"),"")</f>
        <v>155</v>
      </c>
      <c r="G150" s="820" t="str">
        <f>IF(G$117&lt;&gt;"",IF(AND(Referral_Error="",'General Basis'!J106=""),G129/(1-Gross_Loading),"Refer to RGA"),"")</f>
        <v/>
      </c>
      <c r="H150" s="820" t="str">
        <f>IF(H$117&lt;&gt;"",IF(AND(Referral_Error="",'General Basis'!J106=""),H129/(1-Gross_Loading),"Refer to RGA"),"")</f>
        <v/>
      </c>
      <c r="I150" s="820" t="str">
        <f>IF(I$117&lt;&gt;"",IF(AND(Referral_Error="",'General Basis'!J106=""),I129/(1-Gross_Loading),"Refer to RGA"),"")</f>
        <v/>
      </c>
      <c r="J150" s="820" t="str">
        <f>IF(J$117&lt;&gt;"",IF(AND(Referral_Error="",'General Basis'!J106=""),J129/(1-Gross_Loading),"Refer to RGA"),"")</f>
        <v/>
      </c>
      <c r="K150" s="820" t="str">
        <f>IF(K$117&lt;&gt;"",IF(AND(Referral_Error="",'General Basis'!J106=""),K129/(1-Gross_Loading),"Refer to RGA"),"")</f>
        <v/>
      </c>
      <c r="L150" s="820" t="str">
        <f>IF(L$117&lt;&gt;"",IF(AND(Referral_Error="",'General Basis'!J106=""),L129/(1-Gross_Loading),"Refer to RGA"),"")</f>
        <v/>
      </c>
      <c r="M150" s="820" t="str">
        <f>IF(M$117&lt;&gt;"",IF(AND(Referral_Error="",'General Basis'!J106=""),M129/(1-Gross_Loading),"Refer to RGA"),"")</f>
        <v/>
      </c>
      <c r="N150" s="820">
        <f ca="1">IF(N$117&lt;&gt;"",IF(AND(Referral_Error="",'General Basis'!J106=""),N129/(1-Gross_Loading),"Refer to RGA"),"")</f>
        <v>155</v>
      </c>
    </row>
    <row r="151" spans="1:18" x14ac:dyDescent="0.25">
      <c r="B151" s="1399" t="s">
        <v>258</v>
      </c>
      <c r="C151" s="1400"/>
      <c r="D151" s="1400"/>
      <c r="E151" s="1401"/>
      <c r="F151" s="820">
        <f ca="1">IF(F$117&lt;&gt;"",IF(AND(Referral_Error="",'General Basis'!J106=""),F130/(1-Gross_Loading),"Refer to RGA"),"")</f>
        <v>0</v>
      </c>
      <c r="G151" s="820" t="str">
        <f>IF(G$117&lt;&gt;"",IF(AND(Referral_Error="",'General Basis'!J106=""),G130/(1-Gross_Loading),"Refer to RGA"),"")</f>
        <v/>
      </c>
      <c r="H151" s="820" t="str">
        <f>IF(H$117&lt;&gt;"",IF(AND(Referral_Error="",'General Basis'!J106=""),H130/(1-Gross_Loading),"Refer to RGA"),"")</f>
        <v/>
      </c>
      <c r="I151" s="820" t="str">
        <f>IF(I$117&lt;&gt;"",IF(AND(Referral_Error="",'General Basis'!J106=""),I130/(1-Gross_Loading),"Refer to RGA"),"")</f>
        <v/>
      </c>
      <c r="J151" s="820" t="str">
        <f>IF(J$117&lt;&gt;"",IF(AND(Referral_Error="",'General Basis'!J106=""),J130/(1-Gross_Loading),"Refer to RGA"),"")</f>
        <v/>
      </c>
      <c r="K151" s="820" t="str">
        <f>IF(K$117&lt;&gt;"",IF(AND(Referral_Error="",'General Basis'!J106=""),K130/(1-Gross_Loading),"Refer to RGA"),"")</f>
        <v/>
      </c>
      <c r="L151" s="820" t="str">
        <f>IF(L$117&lt;&gt;"",IF(AND(Referral_Error="",'General Basis'!J106=""),L130/(1-Gross_Loading),"Refer to RGA"),"")</f>
        <v/>
      </c>
      <c r="M151" s="820" t="str">
        <f>IF(M$117&lt;&gt;"",IF(AND(Referral_Error="",'General Basis'!J106=""),M130/(1-Gross_Loading),"Refer to RGA"),"")</f>
        <v/>
      </c>
      <c r="N151" s="820">
        <f ca="1">IF(N$117&lt;&gt;"",IF(AND(Referral_Error="",'General Basis'!J106=""),N130/(1-Gross_Loading),"Refer to RGA"),"")</f>
        <v>0</v>
      </c>
    </row>
    <row r="152" spans="1:18" x14ac:dyDescent="0.25">
      <c r="B152" s="1399" t="s">
        <v>261</v>
      </c>
      <c r="C152" s="1400"/>
      <c r="D152" s="1400"/>
      <c r="E152" s="1401"/>
      <c r="F152" s="828">
        <f ca="1">IF(F$117&lt;&gt;"",IF(AND(Referral_Error="",'General Basis'!J106=""),F131/(1-Gross_Loading),"Refer to RGA"),"")</f>
        <v>120.90714285714286</v>
      </c>
      <c r="G152" s="828" t="str">
        <f>IF(G$117&lt;&gt;"",IF(AND(Referral_Error="",'General Basis'!J106=""),G131/(1-Gross_Loading),"Refer to RGA"),"")</f>
        <v/>
      </c>
      <c r="H152" s="828" t="str">
        <f>IF(H$117&lt;&gt;"",IF(AND(Referral_Error="",'General Basis'!J106=""),H131/(1-Gross_Loading),"Refer to RGA"),"")</f>
        <v/>
      </c>
      <c r="I152" s="828" t="str">
        <f>IF(I$117&lt;&gt;"",IF(AND(Referral_Error="",'General Basis'!J106=""),I131/(1-Gross_Loading),"Refer to RGA"),"")</f>
        <v/>
      </c>
      <c r="J152" s="828" t="str">
        <f>IF(J$117&lt;&gt;"",IF(AND(Referral_Error="",'General Basis'!J106=""),J131/(1-Gross_Loading),"Refer to RGA"),"")</f>
        <v/>
      </c>
      <c r="K152" s="828" t="str">
        <f>IF(K$117&lt;&gt;"",IF(AND(Referral_Error="",'General Basis'!J106=""),K131/(1-Gross_Loading),"Refer to RGA"),"")</f>
        <v/>
      </c>
      <c r="L152" s="828" t="str">
        <f>IF(L$117&lt;&gt;"",IF(AND(Referral_Error="",'General Basis'!J106=""),L131/(1-Gross_Loading),"Refer to RGA"),"")</f>
        <v/>
      </c>
      <c r="M152" s="828" t="str">
        <f>IF(M$117&lt;&gt;"",IF(AND(Referral_Error="",'General Basis'!J106=""),M131/(1-Gross_Loading),"Refer to RGA"),"")</f>
        <v/>
      </c>
      <c r="N152" s="828">
        <f ca="1">IF(N$117&lt;&gt;"",IF(AND(Referral_Error="",'General Basis'!J106=""),N131/(1-Gross_Loading),"Refer to RGA"),"")</f>
        <v>120.90714285714286</v>
      </c>
    </row>
    <row r="153" spans="1:18" x14ac:dyDescent="0.25">
      <c r="B153" s="821" t="s">
        <v>252</v>
      </c>
      <c r="C153" s="439"/>
      <c r="D153" s="439"/>
      <c r="E153" s="439"/>
      <c r="F153" s="439"/>
      <c r="G153" s="439"/>
      <c r="H153" s="439"/>
      <c r="I153" s="439"/>
      <c r="J153" s="799"/>
      <c r="K153" s="799"/>
      <c r="L153" s="799"/>
      <c r="M153" s="868"/>
      <c r="N153" s="869"/>
    </row>
    <row r="154" spans="1:18" x14ac:dyDescent="0.25">
      <c r="B154" s="823" t="s">
        <v>253</v>
      </c>
      <c r="C154" s="824"/>
      <c r="D154" s="824"/>
      <c r="E154" s="824"/>
      <c r="F154" s="824"/>
      <c r="G154" s="824"/>
      <c r="H154" s="824"/>
      <c r="I154" s="824"/>
      <c r="J154" s="800"/>
      <c r="K154" s="800"/>
      <c r="L154" s="800"/>
      <c r="M154" s="872"/>
      <c r="N154" s="873"/>
    </row>
    <row r="155" spans="1:18" s="940" customFormat="1" x14ac:dyDescent="0.25">
      <c r="A155" s="938"/>
      <c r="B155" s="1412" t="s">
        <v>1062</v>
      </c>
      <c r="C155" s="1412"/>
      <c r="D155" s="1412"/>
      <c r="E155" s="1412"/>
      <c r="F155" s="939">
        <f ca="1">IF(F$117&lt;&gt;"",IF(AND(Referral_Error="",'General Basis'!J106=""),IFERROR(F135/(1-Gross_Loading),"Not Covered"),"Refer to RGA"),"")</f>
        <v>2251.2857142857147</v>
      </c>
      <c r="G155" s="939" t="str">
        <f>IF(G$117&lt;&gt;"",IF(AND(Referral_Error="",'General Basis'!J106=""),IFERROR(G135/(1-Gross_Loading),"Not Covered"),"Refer to RGA"),"")</f>
        <v/>
      </c>
      <c r="H155" s="939" t="str">
        <f>IF(H$117&lt;&gt;"",IF(AND(Referral_Error="",'General Basis'!J106=""),IFERROR(H135/(1-Gross_Loading),"Not Covered"),"Refer to RGA"),"")</f>
        <v/>
      </c>
      <c r="I155" s="939" t="str">
        <f>IF(I$117&lt;&gt;"",IF(AND(Referral_Error="",'General Basis'!J106=""),IFERROR(I135/(1-Gross_Loading),"Not Covered"),"Refer to RGA"),"")</f>
        <v/>
      </c>
      <c r="J155" s="939" t="str">
        <f>IF(J$117&lt;&gt;"",IF(AND(Referral_Error="",'General Basis'!J106=""),IFERROR(J135/(1-Gross_Loading),"Not Covered"),"Refer to RGA"),"")</f>
        <v/>
      </c>
      <c r="K155" s="939" t="str">
        <f>IF(K$117&lt;&gt;"",IF(AND(Referral_Error="",'General Basis'!J106=""),IFERROR(K135/(1-Gross_Loading),"Not Covered"),"Refer to RGA"),"")</f>
        <v/>
      </c>
      <c r="L155" s="939" t="str">
        <f>IF(L$117&lt;&gt;"",IF(AND(Referral_Error="",'General Basis'!J106=""),IFERROR(L135/(1-Gross_Loading),"Not Covered"),"Refer to RGA"),"")</f>
        <v/>
      </c>
      <c r="M155" s="939" t="str">
        <f>IF(M$117&lt;&gt;"",IF(AND(Referral_Error="",'General Basis'!J106=""),IFERROR(M135/(1-Gross_Loading),"Not Covered"),"Refer to RGA"),"")</f>
        <v/>
      </c>
      <c r="N155" s="939"/>
      <c r="O155" s="938"/>
      <c r="P155" s="938"/>
      <c r="Q155" s="938"/>
      <c r="R155" s="938"/>
    </row>
    <row r="156" spans="1:18" s="940" customFormat="1" x14ac:dyDescent="0.25">
      <c r="A156" s="938"/>
      <c r="B156" s="1412" t="s">
        <v>1063</v>
      </c>
      <c r="C156" s="1412"/>
      <c r="D156" s="1412"/>
      <c r="E156" s="1412"/>
      <c r="F156" s="939">
        <f t="shared" ref="F156:M156" ca="1" si="17">F136</f>
        <v>0</v>
      </c>
      <c r="G156" s="939" t="str">
        <f t="shared" si="17"/>
        <v/>
      </c>
      <c r="H156" s="939" t="str">
        <f t="shared" si="17"/>
        <v/>
      </c>
      <c r="I156" s="939" t="str">
        <f t="shared" si="17"/>
        <v/>
      </c>
      <c r="J156" s="939" t="str">
        <f t="shared" si="17"/>
        <v/>
      </c>
      <c r="K156" s="939" t="str">
        <f t="shared" si="17"/>
        <v/>
      </c>
      <c r="L156" s="939" t="str">
        <f t="shared" si="17"/>
        <v/>
      </c>
      <c r="M156" s="939" t="str">
        <f t="shared" si="17"/>
        <v/>
      </c>
      <c r="N156" s="939">
        <f ca="1">SUM(F156:M156)</f>
        <v>0</v>
      </c>
      <c r="O156" s="938"/>
      <c r="P156" s="938"/>
      <c r="Q156" s="938"/>
      <c r="R156" s="938"/>
    </row>
    <row r="157" spans="1:18" ht="35.25" customHeight="1" x14ac:dyDescent="0.25">
      <c r="B157" s="823"/>
      <c r="C157" s="824"/>
      <c r="D157" s="824"/>
      <c r="E157" s="824"/>
      <c r="F157" s="824"/>
      <c r="G157" s="824"/>
      <c r="H157" s="824"/>
      <c r="I157" s="824"/>
      <c r="J157" s="800"/>
      <c r="K157" s="800"/>
      <c r="L157" s="800"/>
      <c r="M157" s="872"/>
      <c r="N157" s="873"/>
    </row>
    <row r="158" spans="1:18" customFormat="1" ht="35.25" customHeight="1" x14ac:dyDescent="0.25"/>
    <row r="159" spans="1:18" customFormat="1" hidden="1" x14ac:dyDescent="0.25"/>
    <row r="160" spans="1:18" customFormat="1" hidden="1" x14ac:dyDescent="0.25"/>
    <row r="161" spans="2:14" customFormat="1" hidden="1" x14ac:dyDescent="0.25"/>
    <row r="162" spans="2:14" customFormat="1" hidden="1" x14ac:dyDescent="0.25"/>
    <row r="163" spans="2:14" customFormat="1" hidden="1" x14ac:dyDescent="0.25"/>
    <row r="164" spans="2:14" customFormat="1" hidden="1" x14ac:dyDescent="0.25"/>
    <row r="165" spans="2:14" customFormat="1" hidden="1" x14ac:dyDescent="0.25"/>
    <row r="166" spans="2:14" customFormat="1" hidden="1" x14ac:dyDescent="0.25"/>
    <row r="167" spans="2:14" customFormat="1" hidden="1" x14ac:dyDescent="0.25"/>
    <row r="168" spans="2:14" customFormat="1" hidden="1" x14ac:dyDescent="0.25"/>
    <row r="169" spans="2:14" customFormat="1" hidden="1" x14ac:dyDescent="0.25"/>
    <row r="170" spans="2:14" customFormat="1" hidden="1" x14ac:dyDescent="0.25"/>
    <row r="171" spans="2:14" customFormat="1" hidden="1" x14ac:dyDescent="0.25"/>
    <row r="172" spans="2:14" customFormat="1" hidden="1" x14ac:dyDescent="0.25"/>
    <row r="173" spans="2:14" customFormat="1" hidden="1" x14ac:dyDescent="0.25"/>
    <row r="174" spans="2:14" customFormat="1" hidden="1" x14ac:dyDescent="0.25"/>
    <row r="175" spans="2:14" ht="39" x14ac:dyDescent="0.25">
      <c r="B175" s="1454" t="s">
        <v>994</v>
      </c>
      <c r="C175" s="1455"/>
      <c r="D175" s="1455"/>
      <c r="E175" s="1455"/>
      <c r="F175" s="1455"/>
      <c r="G175" s="1455"/>
      <c r="H175" s="1455"/>
      <c r="I175" s="1455"/>
      <c r="J175" s="1455"/>
      <c r="K175" s="1455"/>
      <c r="L175" s="1455"/>
      <c r="M175" s="1455"/>
      <c r="N175" s="1456"/>
    </row>
    <row r="176" spans="2:14" x14ac:dyDescent="0.25">
      <c r="B176" s="807"/>
      <c r="C176" s="799"/>
      <c r="D176" s="799"/>
      <c r="E176" s="799"/>
      <c r="F176" s="799"/>
      <c r="G176" s="799"/>
      <c r="H176" s="799"/>
      <c r="I176" s="799"/>
      <c r="J176" s="799"/>
      <c r="K176" s="799"/>
      <c r="L176" s="799"/>
      <c r="M176" s="868"/>
      <c r="N176" s="869"/>
    </row>
    <row r="177" spans="2:14" x14ac:dyDescent="0.25">
      <c r="B177" s="830"/>
      <c r="N177" s="870"/>
    </row>
    <row r="178" spans="2:14" ht="23.25" x14ac:dyDescent="0.25">
      <c r="B178" s="1445" t="s">
        <v>957</v>
      </c>
      <c r="C178" s="884" t="str">
        <f>IFERROR(VLOOKUP(D178,'General Basis'!$I$39:$L$46,4,0),"")</f>
        <v>Dubai</v>
      </c>
      <c r="D178" s="884" t="s">
        <v>735</v>
      </c>
      <c r="E178" s="884" t="s">
        <v>735</v>
      </c>
      <c r="F178" s="884" t="str">
        <f>IFERROR(VLOOKUP(G178,'General Basis'!$I$39:$L$46,4,0),"")</f>
        <v/>
      </c>
      <c r="G178" s="884" t="s">
        <v>736</v>
      </c>
      <c r="H178" s="884" t="s">
        <v>736</v>
      </c>
      <c r="I178" s="884" t="str">
        <f>IFERROR(VLOOKUP(J178,'General Basis'!$I$39:$L$46,4,0),"")</f>
        <v/>
      </c>
      <c r="J178" s="884" t="s">
        <v>737</v>
      </c>
      <c r="K178" s="884" t="s">
        <v>737</v>
      </c>
      <c r="L178" s="884" t="str">
        <f>IFERROR(VLOOKUP(M178,'General Basis'!$I$39:$L$46,4,0),"")</f>
        <v/>
      </c>
      <c r="M178" s="884" t="s">
        <v>738</v>
      </c>
      <c r="N178" s="884" t="s">
        <v>738</v>
      </c>
    </row>
    <row r="179" spans="2:14" ht="23.25" x14ac:dyDescent="0.25">
      <c r="B179" s="1446"/>
      <c r="C179" s="829" t="s">
        <v>286</v>
      </c>
      <c r="D179" s="884" t="s">
        <v>65</v>
      </c>
      <c r="E179" s="884" t="s">
        <v>66</v>
      </c>
      <c r="F179" s="829" t="s">
        <v>286</v>
      </c>
      <c r="G179" s="884" t="s">
        <v>65</v>
      </c>
      <c r="H179" s="884" t="s">
        <v>66</v>
      </c>
      <c r="I179" s="829" t="s">
        <v>286</v>
      </c>
      <c r="J179" s="884" t="s">
        <v>65</v>
      </c>
      <c r="K179" s="884" t="s">
        <v>66</v>
      </c>
      <c r="L179" s="829" t="s">
        <v>286</v>
      </c>
      <c r="M179" s="884" t="s">
        <v>65</v>
      </c>
      <c r="N179" s="884" t="s">
        <v>66</v>
      </c>
    </row>
    <row r="180" spans="2:14" x14ac:dyDescent="0.25">
      <c r="B180" s="1446"/>
      <c r="C180" s="885" t="str">
        <f>C255</f>
        <v>0 - 10</v>
      </c>
      <c r="D180" s="886">
        <f ca="1">IF(AND(Referral_Error="",'General Basis'!J106=""),'Age Banded Rating'!C6,"Refer to RGA")</f>
        <v>0</v>
      </c>
      <c r="E180" s="886">
        <f ca="1">IF(AND(Referral_Error="",'General Basis'!J106=""),'Age Banded Rating'!D6,"Refer to RGA")</f>
        <v>0</v>
      </c>
      <c r="F180" s="885" t="str">
        <f>F255</f>
        <v/>
      </c>
      <c r="G180" s="886">
        <f ca="1">IF(AND(Referral_Error="",'General Basis'!J106=""),'Age Banded Rating'!F6,"Refer to RGA")</f>
        <v>0</v>
      </c>
      <c r="H180" s="886">
        <f ca="1">IF(AND(Referral_Error="",'General Basis'!J106=""),'Age Banded Rating'!G6,"Refer to RGA")</f>
        <v>0</v>
      </c>
      <c r="I180" s="885" t="str">
        <f>I255</f>
        <v/>
      </c>
      <c r="J180" s="886">
        <f ca="1">IF(AND(Referral_Error="",'General Basis'!J106=""),'Age Banded Rating'!I6,"Refer to RGA")</f>
        <v>0</v>
      </c>
      <c r="K180" s="886">
        <f ca="1">IF(AND(Referral_Error="",'General Basis'!J106=""),'Age Banded Rating'!J6,"Refer to RGA")</f>
        <v>0</v>
      </c>
      <c r="L180" s="885" t="str">
        <f>L255</f>
        <v/>
      </c>
      <c r="M180" s="886">
        <f ca="1">IF(AND(Referral_Error="",'General Basis'!J106=""),'Age Banded Rating'!L6,"Refer to RGA")</f>
        <v>0</v>
      </c>
      <c r="N180" s="886">
        <f ca="1">IF(AND(Referral_Error="",'General Basis'!J106=""),'Age Banded Rating'!M6,"Refer to RGA")</f>
        <v>0</v>
      </c>
    </row>
    <row r="181" spans="2:14" x14ac:dyDescent="0.25">
      <c r="B181" s="1446"/>
      <c r="C181" s="885" t="str">
        <f t="shared" ref="C181:C191" si="18">C256</f>
        <v>11 - 17</v>
      </c>
      <c r="D181" s="886">
        <f ca="1">IF(AND(Referral_Error="",'General Basis'!J106=""),'Age Banded Rating'!C7,"Refer to RGA")</f>
        <v>0</v>
      </c>
      <c r="E181" s="886">
        <f ca="1">IF(AND(Referral_Error="",'General Basis'!J106=""),'Age Banded Rating'!D7,"Refer to RGA")</f>
        <v>0</v>
      </c>
      <c r="F181" s="885" t="str">
        <f t="shared" ref="F181:F191" si="19">F256</f>
        <v/>
      </c>
      <c r="G181" s="886">
        <f ca="1">IF(AND(Referral_Error="",'General Basis'!J106=""),'Age Banded Rating'!F7,"Refer to RGA")</f>
        <v>0</v>
      </c>
      <c r="H181" s="886">
        <f ca="1">IF(AND(Referral_Error="",'General Basis'!J106=""),'Age Banded Rating'!G7,"Refer to RGA")</f>
        <v>0</v>
      </c>
      <c r="I181" s="885" t="str">
        <f t="shared" ref="I181:I191" si="20">I256</f>
        <v/>
      </c>
      <c r="J181" s="886">
        <f ca="1">IF(AND(Referral_Error="",'General Basis'!J106=""),'Age Banded Rating'!I7,"Refer to RGA")</f>
        <v>0</v>
      </c>
      <c r="K181" s="886">
        <f ca="1">IF(AND(Referral_Error="",'General Basis'!J106=""),'Age Banded Rating'!J7,"Refer to RGA")</f>
        <v>0</v>
      </c>
      <c r="L181" s="885" t="str">
        <f t="shared" ref="L181:L191" si="21">L256</f>
        <v/>
      </c>
      <c r="M181" s="886">
        <f ca="1">IF(AND(Referral_Error="",'General Basis'!J106=""),'Age Banded Rating'!L7,"Refer to RGA")</f>
        <v>0</v>
      </c>
      <c r="N181" s="886">
        <f ca="1">IF(AND(Referral_Error="",'General Basis'!J106=""),'Age Banded Rating'!M7,"Refer to RGA")</f>
        <v>0</v>
      </c>
    </row>
    <row r="182" spans="2:14" x14ac:dyDescent="0.25">
      <c r="B182" s="1446"/>
      <c r="C182" s="885" t="str">
        <f t="shared" si="18"/>
        <v>18 - 25</v>
      </c>
      <c r="D182" s="886">
        <f ca="1">IF(AND(Referral_Error="",'General Basis'!J106=""),'Age Banded Rating'!C8,"Refer to RGA")</f>
        <v>0</v>
      </c>
      <c r="E182" s="886">
        <f ca="1">IF(AND(Referral_Error="",'General Basis'!J106=""),'Age Banded Rating'!D8,"Refer to RGA")</f>
        <v>0</v>
      </c>
      <c r="F182" s="885" t="str">
        <f t="shared" si="19"/>
        <v/>
      </c>
      <c r="G182" s="886">
        <f ca="1">IF(AND(Referral_Error="",'General Basis'!J106=""),'Age Banded Rating'!F8,"Refer to RGA")</f>
        <v>0</v>
      </c>
      <c r="H182" s="886">
        <f ca="1">IF(AND(Referral_Error="",'General Basis'!J106=""),'Age Banded Rating'!G8,"Refer to RGA")</f>
        <v>0</v>
      </c>
      <c r="I182" s="885" t="str">
        <f t="shared" si="20"/>
        <v/>
      </c>
      <c r="J182" s="886">
        <f ca="1">IF(AND(Referral_Error="",'General Basis'!J106=""),'Age Banded Rating'!I8,"Refer to RGA")</f>
        <v>0</v>
      </c>
      <c r="K182" s="886">
        <f ca="1">IF(AND(Referral_Error="",'General Basis'!J106=""),'Age Banded Rating'!J8,"Refer to RGA")</f>
        <v>0</v>
      </c>
      <c r="L182" s="885" t="str">
        <f t="shared" si="21"/>
        <v/>
      </c>
      <c r="M182" s="886">
        <f ca="1">IF(AND(Referral_Error="",'General Basis'!J106=""),'Age Banded Rating'!L8,"Refer to RGA")</f>
        <v>0</v>
      </c>
      <c r="N182" s="886">
        <f ca="1">IF(AND(Referral_Error="",'General Basis'!J106=""),'Age Banded Rating'!M8,"Refer to RGA")</f>
        <v>0</v>
      </c>
    </row>
    <row r="183" spans="2:14" x14ac:dyDescent="0.25">
      <c r="B183" s="1446"/>
      <c r="C183" s="885" t="str">
        <f t="shared" si="18"/>
        <v>26 - 30</v>
      </c>
      <c r="D183" s="886">
        <f ca="1">IF(AND(Referral_Error="",'General Basis'!J106=""),'Age Banded Rating'!C9,"Refer to RGA")</f>
        <v>0</v>
      </c>
      <c r="E183" s="886">
        <f ca="1">IF(AND(Referral_Error="",'General Basis'!J106=""),'Age Banded Rating'!D9,"Refer to RGA")</f>
        <v>0</v>
      </c>
      <c r="F183" s="885" t="str">
        <f t="shared" si="19"/>
        <v/>
      </c>
      <c r="G183" s="886">
        <f ca="1">IF(AND(Referral_Error="",'General Basis'!J106=""),'Age Banded Rating'!F9,"Refer to RGA")</f>
        <v>0</v>
      </c>
      <c r="H183" s="886">
        <f ca="1">IF(AND(Referral_Error="",'General Basis'!J106=""),'Age Banded Rating'!G9,"Refer to RGA")</f>
        <v>0</v>
      </c>
      <c r="I183" s="885" t="str">
        <f t="shared" si="20"/>
        <v/>
      </c>
      <c r="J183" s="886">
        <f ca="1">IF(AND(Referral_Error="",'General Basis'!J106=""),'Age Banded Rating'!I9,"Refer to RGA")</f>
        <v>0</v>
      </c>
      <c r="K183" s="886">
        <f ca="1">IF(AND(Referral_Error="",'General Basis'!J106=""),'Age Banded Rating'!J9,"Refer to RGA")</f>
        <v>0</v>
      </c>
      <c r="L183" s="885" t="str">
        <f t="shared" si="21"/>
        <v/>
      </c>
      <c r="M183" s="886">
        <f ca="1">IF(AND(Referral_Error="",'General Basis'!J106=""),'Age Banded Rating'!L9,"Refer to RGA")</f>
        <v>0</v>
      </c>
      <c r="N183" s="886">
        <f ca="1">IF(AND(Referral_Error="",'General Basis'!J106=""),'Age Banded Rating'!M9,"Refer to RGA")</f>
        <v>0</v>
      </c>
    </row>
    <row r="184" spans="2:14" x14ac:dyDescent="0.25">
      <c r="B184" s="1446"/>
      <c r="C184" s="885" t="str">
        <f t="shared" si="18"/>
        <v>31 - 35</v>
      </c>
      <c r="D184" s="886">
        <f ca="1">IF(AND(Referral_Error="",'General Basis'!J106=""),'Age Banded Rating'!C10,"Refer to RGA")</f>
        <v>1</v>
      </c>
      <c r="E184" s="886">
        <f ca="1">IF(AND(Referral_Error="",'General Basis'!J106=""),'Age Banded Rating'!D10,"Refer to RGA")</f>
        <v>0</v>
      </c>
      <c r="F184" s="885" t="str">
        <f t="shared" si="19"/>
        <v/>
      </c>
      <c r="G184" s="886">
        <f ca="1">IF(AND(Referral_Error="",'General Basis'!J106=""),'Age Banded Rating'!F10,"Refer to RGA")</f>
        <v>0</v>
      </c>
      <c r="H184" s="886">
        <f ca="1">IF(AND(Referral_Error="",'General Basis'!J106=""),'Age Banded Rating'!G10,"Refer to RGA")</f>
        <v>0</v>
      </c>
      <c r="I184" s="885" t="str">
        <f t="shared" si="20"/>
        <v/>
      </c>
      <c r="J184" s="886">
        <f ca="1">IF(AND(Referral_Error="",'General Basis'!J106=""),'Age Banded Rating'!I10,"Refer to RGA")</f>
        <v>0</v>
      </c>
      <c r="K184" s="886">
        <f ca="1">IF(AND(Referral_Error="",'General Basis'!J106=""),'Age Banded Rating'!J10,"Refer to RGA")</f>
        <v>0</v>
      </c>
      <c r="L184" s="885" t="str">
        <f t="shared" si="21"/>
        <v/>
      </c>
      <c r="M184" s="886">
        <f ca="1">IF(AND(Referral_Error="",'General Basis'!J106=""),'Age Banded Rating'!L10,"Refer to RGA")</f>
        <v>0</v>
      </c>
      <c r="N184" s="886">
        <f ca="1">IF(AND(Referral_Error="",'General Basis'!J106=""),'Age Banded Rating'!M10,"Refer to RGA")</f>
        <v>0</v>
      </c>
    </row>
    <row r="185" spans="2:14" x14ac:dyDescent="0.25">
      <c r="B185" s="1446"/>
      <c r="C185" s="885" t="str">
        <f t="shared" si="18"/>
        <v>36 - 40</v>
      </c>
      <c r="D185" s="886">
        <f ca="1">IF(AND(Referral_Error="",'General Basis'!J106=""),'Age Banded Rating'!C11,"Refer to RGA")</f>
        <v>0</v>
      </c>
      <c r="E185" s="886">
        <f ca="1">IF(AND(Referral_Error="",'General Basis'!J106=""),'Age Banded Rating'!D11,"Refer to RGA")</f>
        <v>0</v>
      </c>
      <c r="F185" s="885" t="str">
        <f t="shared" si="19"/>
        <v/>
      </c>
      <c r="G185" s="886">
        <f ca="1">IF(AND(Referral_Error="",'General Basis'!J106=""),'Age Banded Rating'!F11,"Refer to RGA")</f>
        <v>0</v>
      </c>
      <c r="H185" s="886">
        <f ca="1">IF(AND(Referral_Error="",'General Basis'!J106=""),'Age Banded Rating'!G11,"Refer to RGA")</f>
        <v>0</v>
      </c>
      <c r="I185" s="885" t="str">
        <f t="shared" si="20"/>
        <v/>
      </c>
      <c r="J185" s="886">
        <f ca="1">IF(AND(Referral_Error="",'General Basis'!J106=""),'Age Banded Rating'!I11,"Refer to RGA")</f>
        <v>0</v>
      </c>
      <c r="K185" s="886">
        <f ca="1">IF(AND(Referral_Error="",'General Basis'!J106=""),'Age Banded Rating'!J11,"Refer to RGA")</f>
        <v>0</v>
      </c>
      <c r="L185" s="885" t="str">
        <f t="shared" si="21"/>
        <v/>
      </c>
      <c r="M185" s="886">
        <f ca="1">IF(AND(Referral_Error="",'General Basis'!J106=""),'Age Banded Rating'!L11,"Refer to RGA")</f>
        <v>0</v>
      </c>
      <c r="N185" s="886">
        <f ca="1">IF(AND(Referral_Error="",'General Basis'!J106=""),'Age Banded Rating'!M11,"Refer to RGA")</f>
        <v>0</v>
      </c>
    </row>
    <row r="186" spans="2:14" x14ac:dyDescent="0.25">
      <c r="B186" s="1446"/>
      <c r="C186" s="885" t="str">
        <f t="shared" si="18"/>
        <v>41 - 45</v>
      </c>
      <c r="D186" s="886">
        <f ca="1">IF(AND(Referral_Error="",'General Basis'!J106=""),'Age Banded Rating'!C12,"Refer to RGA")</f>
        <v>0</v>
      </c>
      <c r="E186" s="886">
        <f ca="1">IF(AND(Referral_Error="",'General Basis'!J106=""),'Age Banded Rating'!D12,"Refer to RGA")</f>
        <v>0</v>
      </c>
      <c r="F186" s="885" t="str">
        <f t="shared" si="19"/>
        <v/>
      </c>
      <c r="G186" s="886">
        <f ca="1">IF(AND(Referral_Error="",'General Basis'!J106=""),'Age Banded Rating'!F12,"Refer to RGA")</f>
        <v>0</v>
      </c>
      <c r="H186" s="886">
        <f ca="1">IF(AND(Referral_Error="",'General Basis'!J106=""),'Age Banded Rating'!G12,"Refer to RGA")</f>
        <v>0</v>
      </c>
      <c r="I186" s="885" t="str">
        <f t="shared" si="20"/>
        <v/>
      </c>
      <c r="J186" s="886">
        <f ca="1">IF(AND(Referral_Error="",'General Basis'!J106=""),'Age Banded Rating'!I12,"Refer to RGA")</f>
        <v>0</v>
      </c>
      <c r="K186" s="886">
        <f ca="1">IF(AND(Referral_Error="",'General Basis'!J106=""),'Age Banded Rating'!J12,"Refer to RGA")</f>
        <v>0</v>
      </c>
      <c r="L186" s="885" t="str">
        <f t="shared" si="21"/>
        <v/>
      </c>
      <c r="M186" s="886">
        <f ca="1">IF(AND(Referral_Error="",'General Basis'!J106=""),'Age Banded Rating'!L12,"Refer to RGA")</f>
        <v>0</v>
      </c>
      <c r="N186" s="886">
        <f ca="1">IF(AND(Referral_Error="",'General Basis'!J106=""),'Age Banded Rating'!M12,"Refer to RGA")</f>
        <v>0</v>
      </c>
    </row>
    <row r="187" spans="2:14" x14ac:dyDescent="0.25">
      <c r="B187" s="1446"/>
      <c r="C187" s="885" t="str">
        <f t="shared" si="18"/>
        <v>46 - 50</v>
      </c>
      <c r="D187" s="886">
        <f ca="1">IF(AND(Referral_Error="",'General Basis'!J106=""),'Age Banded Rating'!C13,"Refer to RGA")</f>
        <v>1</v>
      </c>
      <c r="E187" s="886">
        <f ca="1">IF(AND(Referral_Error="",'General Basis'!J106=""),'Age Banded Rating'!D13,"Refer to RGA")</f>
        <v>0</v>
      </c>
      <c r="F187" s="885" t="str">
        <f t="shared" si="19"/>
        <v/>
      </c>
      <c r="G187" s="886">
        <f ca="1">IF(AND(Referral_Error="",'General Basis'!J106=""),'Age Banded Rating'!F13,"Refer to RGA")</f>
        <v>0</v>
      </c>
      <c r="H187" s="886">
        <f ca="1">IF(AND(Referral_Error="",'General Basis'!J106=""),'Age Banded Rating'!G13,"Refer to RGA")</f>
        <v>0</v>
      </c>
      <c r="I187" s="885" t="str">
        <f t="shared" si="20"/>
        <v/>
      </c>
      <c r="J187" s="886">
        <f ca="1">IF(AND(Referral_Error="",'General Basis'!J106=""),'Age Banded Rating'!I13,"Refer to RGA")</f>
        <v>0</v>
      </c>
      <c r="K187" s="886">
        <f ca="1">IF(AND(Referral_Error="",'General Basis'!J106=""),'Age Banded Rating'!J13,"Refer to RGA")</f>
        <v>0</v>
      </c>
      <c r="L187" s="885" t="str">
        <f t="shared" si="21"/>
        <v/>
      </c>
      <c r="M187" s="886">
        <f ca="1">IF(AND(Referral_Error="",'General Basis'!J106=""),'Age Banded Rating'!L13,"Refer to RGA")</f>
        <v>0</v>
      </c>
      <c r="N187" s="886">
        <f ca="1">IF(AND(Referral_Error="",'General Basis'!J106=""),'Age Banded Rating'!M13,"Refer to RGA")</f>
        <v>0</v>
      </c>
    </row>
    <row r="188" spans="2:14" x14ac:dyDescent="0.25">
      <c r="B188" s="1446"/>
      <c r="C188" s="885" t="str">
        <f t="shared" si="18"/>
        <v>51 - 55</v>
      </c>
      <c r="D188" s="886">
        <f ca="1">IF(AND(Referral_Error="",'General Basis'!J106=""),'Age Banded Rating'!C14,"Refer to RGA")</f>
        <v>1</v>
      </c>
      <c r="E188" s="886">
        <f ca="1">IF(AND(Referral_Error="",'General Basis'!J106=""),'Age Banded Rating'!D14,"Refer to RGA")</f>
        <v>0</v>
      </c>
      <c r="F188" s="885" t="str">
        <f t="shared" si="19"/>
        <v/>
      </c>
      <c r="G188" s="886">
        <f ca="1">IF(AND(Referral_Error="",'General Basis'!J106=""),'Age Banded Rating'!F14,"Refer to RGA")</f>
        <v>0</v>
      </c>
      <c r="H188" s="886">
        <f ca="1">IF(AND(Referral_Error="",'General Basis'!J106=""),'Age Banded Rating'!G14,"Refer to RGA")</f>
        <v>0</v>
      </c>
      <c r="I188" s="885" t="str">
        <f t="shared" si="20"/>
        <v/>
      </c>
      <c r="J188" s="886">
        <f ca="1">IF(AND(Referral_Error="",'General Basis'!J106=""),'Age Banded Rating'!I14,"Refer to RGA")</f>
        <v>0</v>
      </c>
      <c r="K188" s="886">
        <f ca="1">IF(AND(Referral_Error="",'General Basis'!J106=""),'Age Banded Rating'!J14,"Refer to RGA")</f>
        <v>0</v>
      </c>
      <c r="L188" s="885" t="str">
        <f t="shared" si="21"/>
        <v/>
      </c>
      <c r="M188" s="886">
        <f ca="1">IF(AND(Referral_Error="",'General Basis'!J106=""),'Age Banded Rating'!L14,"Refer to RGA")</f>
        <v>0</v>
      </c>
      <c r="N188" s="886">
        <f ca="1">IF(AND(Referral_Error="",'General Basis'!J106=""),'Age Banded Rating'!M14,"Refer to RGA")</f>
        <v>0</v>
      </c>
    </row>
    <row r="189" spans="2:14" x14ac:dyDescent="0.25">
      <c r="B189" s="1446"/>
      <c r="C189" s="885" t="str">
        <f t="shared" si="18"/>
        <v>56 - 59</v>
      </c>
      <c r="D189" s="886">
        <f ca="1">IF(AND(Referral_Error="",'General Basis'!J106=""),'Age Banded Rating'!C15,"Refer to RGA")</f>
        <v>0</v>
      </c>
      <c r="E189" s="886">
        <f ca="1">IF(AND(Referral_Error="",'General Basis'!J106=""),'Age Banded Rating'!D15,"Refer to RGA")</f>
        <v>0</v>
      </c>
      <c r="F189" s="885" t="str">
        <f t="shared" si="19"/>
        <v/>
      </c>
      <c r="G189" s="886">
        <f ca="1">IF(AND(Referral_Error="",'General Basis'!J106=""),'Age Banded Rating'!F15,"Refer to RGA")</f>
        <v>0</v>
      </c>
      <c r="H189" s="886">
        <f ca="1">IF(AND(Referral_Error="",'General Basis'!J106=""),'Age Banded Rating'!G15,"Refer to RGA")</f>
        <v>0</v>
      </c>
      <c r="I189" s="885" t="str">
        <f t="shared" si="20"/>
        <v/>
      </c>
      <c r="J189" s="886">
        <f ca="1">IF(AND(Referral_Error="",'General Basis'!J106=""),'Age Banded Rating'!I15,"Refer to RGA")</f>
        <v>0</v>
      </c>
      <c r="K189" s="886">
        <f ca="1">IF(AND(Referral_Error="",'General Basis'!J106=""),'Age Banded Rating'!J15,"Refer to RGA")</f>
        <v>0</v>
      </c>
      <c r="L189" s="885" t="str">
        <f t="shared" si="21"/>
        <v/>
      </c>
      <c r="M189" s="886">
        <f ca="1">IF(AND(Referral_Error="",'General Basis'!J106=""),'Age Banded Rating'!L15,"Refer to RGA")</f>
        <v>0</v>
      </c>
      <c r="N189" s="886">
        <f ca="1">IF(AND(Referral_Error="",'General Basis'!J106=""),'Age Banded Rating'!M15,"Refer to RGA")</f>
        <v>0</v>
      </c>
    </row>
    <row r="190" spans="2:14" x14ac:dyDescent="0.25">
      <c r="B190" s="1446"/>
      <c r="C190" s="885" t="str">
        <f t="shared" si="18"/>
        <v>60 - 64</v>
      </c>
      <c r="D190" s="886">
        <f ca="1">IF(AND(Referral_Error="",'General Basis'!J106=""),'Age Banded Rating'!C16,"Refer to RGA")</f>
        <v>0</v>
      </c>
      <c r="E190" s="886">
        <f ca="1">IF(AND(Referral_Error="",'General Basis'!J106=""),'Age Banded Rating'!D16,"Refer to RGA")</f>
        <v>0</v>
      </c>
      <c r="F190" s="885" t="str">
        <f t="shared" si="19"/>
        <v/>
      </c>
      <c r="G190" s="886">
        <f ca="1">IF(AND(Referral_Error="",'General Basis'!J106=""),'Age Banded Rating'!F16,"Refer to RGA")</f>
        <v>0</v>
      </c>
      <c r="H190" s="886">
        <f ca="1">IF(AND(Referral_Error="",'General Basis'!J106=""),'Age Banded Rating'!G16,"Refer to RGA")</f>
        <v>0</v>
      </c>
      <c r="I190" s="885" t="str">
        <f t="shared" si="20"/>
        <v/>
      </c>
      <c r="J190" s="886">
        <f ca="1">IF(AND(Referral_Error="",'General Basis'!J106=""),'Age Banded Rating'!I16,"Refer to RGA")</f>
        <v>0</v>
      </c>
      <c r="K190" s="886">
        <f ca="1">IF(AND(Referral_Error="",'General Basis'!J106=""),'Age Banded Rating'!J16,"Refer to RGA")</f>
        <v>0</v>
      </c>
      <c r="L190" s="885" t="str">
        <f t="shared" si="21"/>
        <v/>
      </c>
      <c r="M190" s="886">
        <f ca="1">IF(AND(Referral_Error="",'General Basis'!J106=""),'Age Banded Rating'!L16,"Refer to RGA")</f>
        <v>0</v>
      </c>
      <c r="N190" s="886">
        <f ca="1">IF(AND(Referral_Error="",'General Basis'!J106=""),'Age Banded Rating'!M16,"Refer to RGA")</f>
        <v>0</v>
      </c>
    </row>
    <row r="191" spans="2:14" x14ac:dyDescent="0.25">
      <c r="B191" s="1447"/>
      <c r="C191" s="885" t="str">
        <f t="shared" si="18"/>
        <v>65 - 99</v>
      </c>
      <c r="D191" s="886">
        <f ca="1">IF(AND(Referral_Error="",'General Basis'!J106=""),'Age Banded Rating'!C17,"Refer to RGA")</f>
        <v>0</v>
      </c>
      <c r="E191" s="886">
        <f ca="1">IF(AND(Referral_Error="",'General Basis'!J106=""),'Age Banded Rating'!D17,"Refer to RGA")</f>
        <v>0</v>
      </c>
      <c r="F191" s="885" t="str">
        <f t="shared" si="19"/>
        <v/>
      </c>
      <c r="G191" s="886">
        <f ca="1">IF(AND(Referral_Error="",'General Basis'!J106=""),'Age Banded Rating'!F17,"Refer to RGA")</f>
        <v>0</v>
      </c>
      <c r="H191" s="886">
        <f ca="1">IF(AND(Referral_Error="",'General Basis'!J106=""),'Age Banded Rating'!G17,"Refer to RGA")</f>
        <v>0</v>
      </c>
      <c r="I191" s="885" t="str">
        <f t="shared" si="20"/>
        <v/>
      </c>
      <c r="J191" s="886">
        <f ca="1">IF(AND(Referral_Error="",'General Basis'!J106=""),'Age Banded Rating'!I17,"Refer to RGA")</f>
        <v>0</v>
      </c>
      <c r="K191" s="886">
        <f ca="1">IF(AND(Referral_Error="",'General Basis'!J106=""),'Age Banded Rating'!J17,"Refer to RGA")</f>
        <v>0</v>
      </c>
      <c r="L191" s="885" t="str">
        <f t="shared" si="21"/>
        <v/>
      </c>
      <c r="M191" s="886">
        <f ca="1">IF(AND(Referral_Error="",'General Basis'!J106=""),'Age Banded Rating'!L17,"Refer to RGA")</f>
        <v>0</v>
      </c>
      <c r="N191" s="886">
        <f ca="1">IF(AND(Referral_Error="",'General Basis'!J106=""),'Age Banded Rating'!M17,"Refer to RGA")</f>
        <v>0</v>
      </c>
    </row>
    <row r="192" spans="2:14" ht="32.25" x14ac:dyDescent="0.25">
      <c r="B192" s="887" t="s">
        <v>992</v>
      </c>
      <c r="C192" s="836">
        <f ca="1">SUM(D180:E191)</f>
        <v>3</v>
      </c>
      <c r="D192" s="837">
        <f ca="1">SUM(D180:D191)</f>
        <v>3</v>
      </c>
      <c r="E192" s="837">
        <f ca="1">SUM(E180:E191)</f>
        <v>0</v>
      </c>
      <c r="F192" s="836">
        <f ca="1">SUM(G180:H191)</f>
        <v>0</v>
      </c>
      <c r="G192" s="837">
        <f ca="1">SUM(G180:G191)</f>
        <v>0</v>
      </c>
      <c r="H192" s="837">
        <f ca="1">SUM(H180:H191)</f>
        <v>0</v>
      </c>
      <c r="I192" s="836">
        <f ca="1">SUM(J180:K191)</f>
        <v>0</v>
      </c>
      <c r="J192" s="837">
        <f ca="1">SUM(J180:J191)</f>
        <v>0</v>
      </c>
      <c r="K192" s="837">
        <f ca="1">SUM(K180:K191)</f>
        <v>0</v>
      </c>
      <c r="L192" s="836">
        <f ca="1">SUM(M180:N191)</f>
        <v>0</v>
      </c>
      <c r="M192" s="837">
        <f ca="1">SUM(M180:M191)</f>
        <v>0</v>
      </c>
      <c r="N192" s="837">
        <f ca="1">SUM(N180:N191)</f>
        <v>0</v>
      </c>
    </row>
    <row r="193" spans="2:14" x14ac:dyDescent="0.25">
      <c r="B193" s="830"/>
      <c r="N193" s="870"/>
    </row>
    <row r="194" spans="2:14" ht="23.25" x14ac:dyDescent="0.25">
      <c r="B194" s="1445" t="s">
        <v>957</v>
      </c>
      <c r="C194" s="884" t="str">
        <f>IFERROR(VLOOKUP(D194,'General Basis'!$I$39:$L$46,4,0),"")</f>
        <v/>
      </c>
      <c r="D194" s="884" t="s">
        <v>739</v>
      </c>
      <c r="E194" s="884" t="s">
        <v>739</v>
      </c>
      <c r="F194" s="884" t="str">
        <f>IFERROR(VLOOKUP(G194,'General Basis'!$I$39:$L$46,4,0),"")</f>
        <v/>
      </c>
      <c r="G194" s="884" t="s">
        <v>740</v>
      </c>
      <c r="H194" s="884" t="s">
        <v>740</v>
      </c>
      <c r="I194" s="884" t="str">
        <f>IFERROR(VLOOKUP(J194,'General Basis'!$I$39:$L$46,4,0),"")</f>
        <v/>
      </c>
      <c r="J194" s="884" t="s">
        <v>742</v>
      </c>
      <c r="K194" s="884" t="s">
        <v>742</v>
      </c>
      <c r="L194" s="884" t="str">
        <f>IFERROR(VLOOKUP(M194,'General Basis'!$I$39:$L$46,4,0),"")</f>
        <v/>
      </c>
      <c r="M194" s="884" t="s">
        <v>741</v>
      </c>
      <c r="N194" s="884" t="s">
        <v>741</v>
      </c>
    </row>
    <row r="195" spans="2:14" ht="23.25" x14ac:dyDescent="0.25">
      <c r="B195" s="1446"/>
      <c r="C195" s="829" t="s">
        <v>286</v>
      </c>
      <c r="D195" s="829" t="s">
        <v>65</v>
      </c>
      <c r="E195" s="884" t="s">
        <v>66</v>
      </c>
      <c r="F195" s="829" t="s">
        <v>286</v>
      </c>
      <c r="G195" s="829" t="s">
        <v>65</v>
      </c>
      <c r="H195" s="884" t="s">
        <v>66</v>
      </c>
      <c r="I195" s="829" t="s">
        <v>286</v>
      </c>
      <c r="J195" s="829" t="s">
        <v>65</v>
      </c>
      <c r="K195" s="884" t="s">
        <v>66</v>
      </c>
      <c r="L195" s="829" t="s">
        <v>286</v>
      </c>
      <c r="M195" s="829" t="s">
        <v>65</v>
      </c>
      <c r="N195" s="884" t="s">
        <v>66</v>
      </c>
    </row>
    <row r="196" spans="2:14" x14ac:dyDescent="0.25">
      <c r="B196" s="1446"/>
      <c r="C196" s="885" t="str">
        <f>C272</f>
        <v/>
      </c>
      <c r="D196" s="886">
        <f ca="1">IF(AND(Referral_Error="",'General Basis'!J106=""),'Age Banded Rating'!O6,"Refer to RGA")</f>
        <v>0</v>
      </c>
      <c r="E196" s="886">
        <f ca="1">IF(AND(Referral_Error="",'General Basis'!J106=""),'Age Banded Rating'!P6,"Refer to RGA")</f>
        <v>0</v>
      </c>
      <c r="F196" s="885" t="str">
        <f>F272</f>
        <v/>
      </c>
      <c r="G196" s="886">
        <f ca="1">IF(AND(Referral_Error="",'General Basis'!J106=""),'Age Banded Rating'!R6,"Refer to RGA")</f>
        <v>0</v>
      </c>
      <c r="H196" s="886">
        <f ca="1">IF(AND(Referral_Error="",'General Basis'!J106=""),'Age Banded Rating'!S6,"Refer to RGA")</f>
        <v>0</v>
      </c>
      <c r="I196" s="885" t="str">
        <f>I272</f>
        <v/>
      </c>
      <c r="J196" s="886">
        <f ca="1">IF(AND(Referral_Error="",'General Basis'!J106=""),'Age Banded Rating'!U6,"Refer to RGA")</f>
        <v>0</v>
      </c>
      <c r="K196" s="886">
        <f ca="1">IF(AND(Referral_Error="",'General Basis'!J106=""),'Age Banded Rating'!V6,"Refer to RGA")</f>
        <v>0</v>
      </c>
      <c r="L196" s="885" t="str">
        <f>L272</f>
        <v/>
      </c>
      <c r="M196" s="886">
        <f ca="1">IF(AND(Referral_Error="",'General Basis'!J106=""),'Age Banded Rating'!X6,"Refer to RGA")</f>
        <v>0</v>
      </c>
      <c r="N196" s="886">
        <f ca="1">IF(AND(Referral_Error="",'General Basis'!J106=""),'Age Banded Rating'!Y6,"Refer to RGA")</f>
        <v>0</v>
      </c>
    </row>
    <row r="197" spans="2:14" x14ac:dyDescent="0.25">
      <c r="B197" s="1446"/>
      <c r="C197" s="885" t="str">
        <f t="shared" ref="C197:C207" si="22">C273</f>
        <v/>
      </c>
      <c r="D197" s="886">
        <f ca="1">IF(AND(Referral_Error="",'General Basis'!J106=""),'Age Banded Rating'!O7,"Refer to RGA")</f>
        <v>0</v>
      </c>
      <c r="E197" s="886">
        <f ca="1">IF(AND(Referral_Error="",'General Basis'!J106=""),'Age Banded Rating'!P7,"Refer to RGA")</f>
        <v>0</v>
      </c>
      <c r="F197" s="885" t="str">
        <f t="shared" ref="F197:F207" si="23">F273</f>
        <v/>
      </c>
      <c r="G197" s="886">
        <f ca="1">IF(AND(Referral_Error="",'General Basis'!J106=""),'Age Banded Rating'!R7,"Refer to RGA")</f>
        <v>0</v>
      </c>
      <c r="H197" s="886">
        <f ca="1">IF(AND(Referral_Error="",'General Basis'!J106=""),'Age Banded Rating'!S7,"Refer to RGA")</f>
        <v>0</v>
      </c>
      <c r="I197" s="885" t="str">
        <f t="shared" ref="I197:I207" si="24">I273</f>
        <v/>
      </c>
      <c r="J197" s="886">
        <f ca="1">IF(AND(Referral_Error="",'General Basis'!J106=""),'Age Banded Rating'!U7,"Refer to RGA")</f>
        <v>0</v>
      </c>
      <c r="K197" s="886">
        <f ca="1">IF(AND(Referral_Error="",'General Basis'!J106=""),'Age Banded Rating'!V7,"Refer to RGA")</f>
        <v>0</v>
      </c>
      <c r="L197" s="885" t="str">
        <f t="shared" ref="L197:L207" si="25">L273</f>
        <v/>
      </c>
      <c r="M197" s="886">
        <f ca="1">IF(AND(Referral_Error="",'General Basis'!J106=""),'Age Banded Rating'!X7,"Refer to RGA")</f>
        <v>0</v>
      </c>
      <c r="N197" s="886">
        <f ca="1">IF(AND(Referral_Error="",'General Basis'!J106=""),'Age Banded Rating'!Y7,"Refer to RGA")</f>
        <v>0</v>
      </c>
    </row>
    <row r="198" spans="2:14" x14ac:dyDescent="0.25">
      <c r="B198" s="1446"/>
      <c r="C198" s="885" t="str">
        <f t="shared" si="22"/>
        <v/>
      </c>
      <c r="D198" s="886">
        <f ca="1">IF(AND(Referral_Error="",'General Basis'!J106=""),'Age Banded Rating'!O8,"Refer to RGA")</f>
        <v>0</v>
      </c>
      <c r="E198" s="886">
        <f ca="1">IF(AND(Referral_Error="",'General Basis'!J106=""),'Age Banded Rating'!P8,"Refer to RGA")</f>
        <v>0</v>
      </c>
      <c r="F198" s="885" t="str">
        <f t="shared" si="23"/>
        <v/>
      </c>
      <c r="G198" s="886">
        <f ca="1">IF(AND(Referral_Error="",'General Basis'!J106=""),'Age Banded Rating'!R8,"Refer to RGA")</f>
        <v>0</v>
      </c>
      <c r="H198" s="886">
        <f ca="1">IF(AND(Referral_Error="",'General Basis'!J106=""),'Age Banded Rating'!S8,"Refer to RGA")</f>
        <v>0</v>
      </c>
      <c r="I198" s="885" t="str">
        <f t="shared" si="24"/>
        <v/>
      </c>
      <c r="J198" s="886">
        <f ca="1">IF(AND(Referral_Error="",'General Basis'!J106=""),'Age Banded Rating'!U8,"Refer to RGA")</f>
        <v>0</v>
      </c>
      <c r="K198" s="886">
        <f ca="1">IF(AND(Referral_Error="",'General Basis'!J106=""),'Age Banded Rating'!V8,"Refer to RGA")</f>
        <v>0</v>
      </c>
      <c r="L198" s="885" t="str">
        <f t="shared" si="25"/>
        <v/>
      </c>
      <c r="M198" s="886">
        <f ca="1">IF(AND(Referral_Error="",'General Basis'!J106=""),'Age Banded Rating'!X8,"Refer to RGA")</f>
        <v>0</v>
      </c>
      <c r="N198" s="886">
        <f ca="1">IF(AND(Referral_Error="",'General Basis'!J106=""),'Age Banded Rating'!Y8,"Refer to RGA")</f>
        <v>0</v>
      </c>
    </row>
    <row r="199" spans="2:14" x14ac:dyDescent="0.25">
      <c r="B199" s="1446"/>
      <c r="C199" s="885" t="str">
        <f t="shared" si="22"/>
        <v/>
      </c>
      <c r="D199" s="886">
        <f ca="1">IF(AND(Referral_Error="",'General Basis'!J106=""),'Age Banded Rating'!O9,"Refer to RGA")</f>
        <v>0</v>
      </c>
      <c r="E199" s="886">
        <f ca="1">IF(AND(Referral_Error="",'General Basis'!J106=""),'Age Banded Rating'!P9,"Refer to RGA")</f>
        <v>0</v>
      </c>
      <c r="F199" s="885" t="str">
        <f t="shared" si="23"/>
        <v/>
      </c>
      <c r="G199" s="886">
        <f ca="1">IF(AND(Referral_Error="",'General Basis'!J106=""),'Age Banded Rating'!R9,"Refer to RGA")</f>
        <v>0</v>
      </c>
      <c r="H199" s="886">
        <f ca="1">IF(AND(Referral_Error="",'General Basis'!J106=""),'Age Banded Rating'!S9,"Refer to RGA")</f>
        <v>0</v>
      </c>
      <c r="I199" s="885" t="str">
        <f t="shared" si="24"/>
        <v/>
      </c>
      <c r="J199" s="886">
        <f ca="1">IF(AND(Referral_Error="",'General Basis'!J106=""),'Age Banded Rating'!U9,"Refer to RGA")</f>
        <v>0</v>
      </c>
      <c r="K199" s="886">
        <f ca="1">IF(AND(Referral_Error="",'General Basis'!J106=""),'Age Banded Rating'!V9,"Refer to RGA")</f>
        <v>0</v>
      </c>
      <c r="L199" s="885" t="str">
        <f t="shared" si="25"/>
        <v/>
      </c>
      <c r="M199" s="886">
        <f ca="1">IF(AND(Referral_Error="",'General Basis'!J106=""),'Age Banded Rating'!X9,"Refer to RGA")</f>
        <v>0</v>
      </c>
      <c r="N199" s="886">
        <f ca="1">IF(AND(Referral_Error="",'General Basis'!J106=""),'Age Banded Rating'!Y9,"Refer to RGA")</f>
        <v>0</v>
      </c>
    </row>
    <row r="200" spans="2:14" x14ac:dyDescent="0.25">
      <c r="B200" s="1446"/>
      <c r="C200" s="885" t="str">
        <f t="shared" si="22"/>
        <v/>
      </c>
      <c r="D200" s="886">
        <f ca="1">IF(AND(Referral_Error="",'General Basis'!J106=""),'Age Banded Rating'!O10,"Refer to RGA")</f>
        <v>0</v>
      </c>
      <c r="E200" s="886">
        <f ca="1">IF(AND(Referral_Error="",'General Basis'!J106=""),'Age Banded Rating'!P10,"Refer to RGA")</f>
        <v>0</v>
      </c>
      <c r="F200" s="885" t="str">
        <f t="shared" si="23"/>
        <v/>
      </c>
      <c r="G200" s="886">
        <f ca="1">IF(AND(Referral_Error="",'General Basis'!J106=""),'Age Banded Rating'!R10,"Refer to RGA")</f>
        <v>0</v>
      </c>
      <c r="H200" s="886">
        <f ca="1">IF(AND(Referral_Error="",'General Basis'!J106=""),'Age Banded Rating'!S10,"Refer to RGA")</f>
        <v>0</v>
      </c>
      <c r="I200" s="885" t="str">
        <f t="shared" si="24"/>
        <v/>
      </c>
      <c r="J200" s="886">
        <f ca="1">IF(AND(Referral_Error="",'General Basis'!J106=""),'Age Banded Rating'!U10,"Refer to RGA")</f>
        <v>0</v>
      </c>
      <c r="K200" s="886">
        <f ca="1">IF(AND(Referral_Error="",'General Basis'!J106=""),'Age Banded Rating'!V10,"Refer to RGA")</f>
        <v>0</v>
      </c>
      <c r="L200" s="885" t="str">
        <f t="shared" si="25"/>
        <v/>
      </c>
      <c r="M200" s="886">
        <f ca="1">IF(AND(Referral_Error="",'General Basis'!J106=""),'Age Banded Rating'!X10,"Refer to RGA")</f>
        <v>0</v>
      </c>
      <c r="N200" s="886">
        <f ca="1">IF(AND(Referral_Error="",'General Basis'!J106=""),'Age Banded Rating'!Y10,"Refer to RGA")</f>
        <v>0</v>
      </c>
    </row>
    <row r="201" spans="2:14" x14ac:dyDescent="0.25">
      <c r="B201" s="1446"/>
      <c r="C201" s="885" t="str">
        <f t="shared" si="22"/>
        <v/>
      </c>
      <c r="D201" s="886">
        <f ca="1">IF(AND(Referral_Error="",'General Basis'!J106=""),'Age Banded Rating'!O11,"Refer to RGA")</f>
        <v>0</v>
      </c>
      <c r="E201" s="886">
        <f ca="1">IF(AND(Referral_Error="",'General Basis'!J106=""),'Age Banded Rating'!P11,"Refer to RGA")</f>
        <v>0</v>
      </c>
      <c r="F201" s="885" t="str">
        <f t="shared" si="23"/>
        <v/>
      </c>
      <c r="G201" s="886">
        <f ca="1">IF(AND(Referral_Error="",'General Basis'!J106=""),'Age Banded Rating'!R11,"Refer to RGA")</f>
        <v>0</v>
      </c>
      <c r="H201" s="886">
        <f ca="1">IF(AND(Referral_Error="",'General Basis'!J106=""),'Age Banded Rating'!S11,"Refer to RGA")</f>
        <v>0</v>
      </c>
      <c r="I201" s="885" t="str">
        <f t="shared" si="24"/>
        <v/>
      </c>
      <c r="J201" s="886">
        <f ca="1">IF(AND(Referral_Error="",'General Basis'!J106=""),'Age Banded Rating'!U11,"Refer to RGA")</f>
        <v>0</v>
      </c>
      <c r="K201" s="886">
        <f ca="1">IF(AND(Referral_Error="",'General Basis'!J106=""),'Age Banded Rating'!V11,"Refer to RGA")</f>
        <v>0</v>
      </c>
      <c r="L201" s="885" t="str">
        <f t="shared" si="25"/>
        <v/>
      </c>
      <c r="M201" s="886">
        <f ca="1">IF(AND(Referral_Error="",'General Basis'!J106=""),'Age Banded Rating'!X11,"Refer to RGA")</f>
        <v>0</v>
      </c>
      <c r="N201" s="886">
        <f ca="1">IF(AND(Referral_Error="",'General Basis'!J106=""),'Age Banded Rating'!Y11,"Refer to RGA")</f>
        <v>0</v>
      </c>
    </row>
    <row r="202" spans="2:14" x14ac:dyDescent="0.25">
      <c r="B202" s="1446"/>
      <c r="C202" s="885" t="str">
        <f t="shared" si="22"/>
        <v/>
      </c>
      <c r="D202" s="886">
        <f ca="1">IF(AND(Referral_Error="",'General Basis'!J106=""),'Age Banded Rating'!O12,"Refer to RGA")</f>
        <v>0</v>
      </c>
      <c r="E202" s="886">
        <f ca="1">IF(AND(Referral_Error="",'General Basis'!J106=""),'Age Banded Rating'!P12,"Refer to RGA")</f>
        <v>0</v>
      </c>
      <c r="F202" s="885" t="str">
        <f t="shared" si="23"/>
        <v/>
      </c>
      <c r="G202" s="886">
        <f ca="1">IF(AND(Referral_Error="",'General Basis'!J106=""),'Age Banded Rating'!R12,"Refer to RGA")</f>
        <v>0</v>
      </c>
      <c r="H202" s="886">
        <f ca="1">IF(AND(Referral_Error="",'General Basis'!J106=""),'Age Banded Rating'!S12,"Refer to RGA")</f>
        <v>0</v>
      </c>
      <c r="I202" s="885" t="str">
        <f t="shared" si="24"/>
        <v/>
      </c>
      <c r="J202" s="886">
        <f ca="1">IF(AND(Referral_Error="",'General Basis'!J106=""),'Age Banded Rating'!U12,"Refer to RGA")</f>
        <v>0</v>
      </c>
      <c r="K202" s="886">
        <f ca="1">IF(AND(Referral_Error="",'General Basis'!J106=""),'Age Banded Rating'!V12,"Refer to RGA")</f>
        <v>0</v>
      </c>
      <c r="L202" s="885" t="str">
        <f t="shared" si="25"/>
        <v/>
      </c>
      <c r="M202" s="886">
        <f ca="1">IF(AND(Referral_Error="",'General Basis'!J106=""),'Age Banded Rating'!X12,"Refer to RGA")</f>
        <v>0</v>
      </c>
      <c r="N202" s="886">
        <f ca="1">IF(AND(Referral_Error="",'General Basis'!J106=""),'Age Banded Rating'!Y12,"Refer to RGA")</f>
        <v>0</v>
      </c>
    </row>
    <row r="203" spans="2:14" x14ac:dyDescent="0.25">
      <c r="B203" s="1446"/>
      <c r="C203" s="885" t="str">
        <f t="shared" si="22"/>
        <v/>
      </c>
      <c r="D203" s="886">
        <f ca="1">IF(AND(Referral_Error="",'General Basis'!J106=""),'Age Banded Rating'!O13,"Refer to RGA")</f>
        <v>0</v>
      </c>
      <c r="E203" s="886">
        <f ca="1">IF(AND(Referral_Error="",'General Basis'!J106=""),'Age Banded Rating'!P13,"Refer to RGA")</f>
        <v>0</v>
      </c>
      <c r="F203" s="885" t="str">
        <f t="shared" si="23"/>
        <v/>
      </c>
      <c r="G203" s="886">
        <f ca="1">IF(AND(Referral_Error="",'General Basis'!J106=""),'Age Banded Rating'!R13,"Refer to RGA")</f>
        <v>0</v>
      </c>
      <c r="H203" s="886">
        <f ca="1">IF(AND(Referral_Error="",'General Basis'!J106=""),'Age Banded Rating'!S13,"Refer to RGA")</f>
        <v>0</v>
      </c>
      <c r="I203" s="885" t="str">
        <f t="shared" si="24"/>
        <v/>
      </c>
      <c r="J203" s="886">
        <f ca="1">IF(AND(Referral_Error="",'General Basis'!J106=""),'Age Banded Rating'!U13,"Refer to RGA")</f>
        <v>0</v>
      </c>
      <c r="K203" s="886">
        <f ca="1">IF(AND(Referral_Error="",'General Basis'!J106=""),'Age Banded Rating'!V13,"Refer to RGA")</f>
        <v>0</v>
      </c>
      <c r="L203" s="885" t="str">
        <f t="shared" si="25"/>
        <v/>
      </c>
      <c r="M203" s="886">
        <f ca="1">IF(AND(Referral_Error="",'General Basis'!J106=""),'Age Banded Rating'!X13,"Refer to RGA")</f>
        <v>0</v>
      </c>
      <c r="N203" s="886">
        <f ca="1">IF(AND(Referral_Error="",'General Basis'!J106=""),'Age Banded Rating'!Y13,"Refer to RGA")</f>
        <v>0</v>
      </c>
    </row>
    <row r="204" spans="2:14" x14ac:dyDescent="0.25">
      <c r="B204" s="1446"/>
      <c r="C204" s="885" t="str">
        <f t="shared" si="22"/>
        <v/>
      </c>
      <c r="D204" s="886">
        <f ca="1">IF(AND(Referral_Error="",'General Basis'!J106=""),'Age Banded Rating'!O14,"Refer to RGA")</f>
        <v>0</v>
      </c>
      <c r="E204" s="886">
        <f ca="1">IF(AND(Referral_Error="",'General Basis'!J106=""),'Age Banded Rating'!P14,"Refer to RGA")</f>
        <v>0</v>
      </c>
      <c r="F204" s="885" t="str">
        <f t="shared" si="23"/>
        <v/>
      </c>
      <c r="G204" s="886">
        <f ca="1">IF(AND(Referral_Error="",'General Basis'!J106=""),'Age Banded Rating'!R14,"Refer to RGA")</f>
        <v>0</v>
      </c>
      <c r="H204" s="886">
        <f ca="1">IF(AND(Referral_Error="",'General Basis'!J106=""),'Age Banded Rating'!S14,"Refer to RGA")</f>
        <v>0</v>
      </c>
      <c r="I204" s="885" t="str">
        <f t="shared" si="24"/>
        <v/>
      </c>
      <c r="J204" s="886">
        <f ca="1">IF(AND(Referral_Error="",'General Basis'!J106=""),'Age Banded Rating'!U14,"Refer to RGA")</f>
        <v>0</v>
      </c>
      <c r="K204" s="886">
        <f ca="1">IF(AND(Referral_Error="",'General Basis'!J106=""),'Age Banded Rating'!V14,"Refer to RGA")</f>
        <v>0</v>
      </c>
      <c r="L204" s="885" t="str">
        <f t="shared" si="25"/>
        <v/>
      </c>
      <c r="M204" s="886">
        <f ca="1">IF(AND(Referral_Error="",'General Basis'!J106=""),'Age Banded Rating'!X14,"Refer to RGA")</f>
        <v>0</v>
      </c>
      <c r="N204" s="886">
        <f ca="1">IF(AND(Referral_Error="",'General Basis'!J106=""),'Age Banded Rating'!Y14,"Refer to RGA")</f>
        <v>0</v>
      </c>
    </row>
    <row r="205" spans="2:14" x14ac:dyDescent="0.25">
      <c r="B205" s="1446"/>
      <c r="C205" s="885" t="str">
        <f t="shared" si="22"/>
        <v/>
      </c>
      <c r="D205" s="886">
        <f ca="1">IF(AND(Referral_Error="",'General Basis'!J106=""),'Age Banded Rating'!O15,"Refer to RGA")</f>
        <v>0</v>
      </c>
      <c r="E205" s="886">
        <f ca="1">IF(AND(Referral_Error="",'General Basis'!J106=""),'Age Banded Rating'!P15,"Refer to RGA")</f>
        <v>0</v>
      </c>
      <c r="F205" s="885" t="str">
        <f t="shared" si="23"/>
        <v/>
      </c>
      <c r="G205" s="886">
        <f ca="1">IF(AND(Referral_Error="",'General Basis'!J106=""),'Age Banded Rating'!R15,"Refer to RGA")</f>
        <v>0</v>
      </c>
      <c r="H205" s="886">
        <f ca="1">IF(AND(Referral_Error="",'General Basis'!J106=""),'Age Banded Rating'!S15,"Refer to RGA")</f>
        <v>0</v>
      </c>
      <c r="I205" s="885" t="str">
        <f t="shared" si="24"/>
        <v/>
      </c>
      <c r="J205" s="886">
        <f ca="1">IF(AND(Referral_Error="",'General Basis'!J106=""),'Age Banded Rating'!U15,"Refer to RGA")</f>
        <v>0</v>
      </c>
      <c r="K205" s="886">
        <f ca="1">IF(AND(Referral_Error="",'General Basis'!J106=""),'Age Banded Rating'!V15,"Refer to RGA")</f>
        <v>0</v>
      </c>
      <c r="L205" s="885" t="str">
        <f t="shared" si="25"/>
        <v/>
      </c>
      <c r="M205" s="886">
        <f ca="1">IF(AND(Referral_Error="",'General Basis'!J106=""),'Age Banded Rating'!X15,"Refer to RGA")</f>
        <v>0</v>
      </c>
      <c r="N205" s="886">
        <f ca="1">IF(AND(Referral_Error="",'General Basis'!J106=""),'Age Banded Rating'!Y15,"Refer to RGA")</f>
        <v>0</v>
      </c>
    </row>
    <row r="206" spans="2:14" x14ac:dyDescent="0.25">
      <c r="B206" s="1446"/>
      <c r="C206" s="885" t="str">
        <f t="shared" si="22"/>
        <v/>
      </c>
      <c r="D206" s="886">
        <f ca="1">IF(AND(Referral_Error="",'General Basis'!J106=""),'Age Banded Rating'!O16,"Refer to RGA")</f>
        <v>0</v>
      </c>
      <c r="E206" s="886">
        <f ca="1">IF(AND(Referral_Error="",'General Basis'!J106=""),'Age Banded Rating'!P16,"Refer to RGA")</f>
        <v>0</v>
      </c>
      <c r="F206" s="885" t="str">
        <f t="shared" si="23"/>
        <v/>
      </c>
      <c r="G206" s="886">
        <f ca="1">IF(AND(Referral_Error="",'General Basis'!J106=""),'Age Banded Rating'!R16,"Refer to RGA")</f>
        <v>0</v>
      </c>
      <c r="H206" s="886">
        <f ca="1">IF(AND(Referral_Error="",'General Basis'!J106=""),'Age Banded Rating'!S16,"Refer to RGA")</f>
        <v>0</v>
      </c>
      <c r="I206" s="885" t="str">
        <f t="shared" si="24"/>
        <v/>
      </c>
      <c r="J206" s="886">
        <f ca="1">IF(AND(Referral_Error="",'General Basis'!J106=""),'Age Banded Rating'!U16,"Refer to RGA")</f>
        <v>0</v>
      </c>
      <c r="K206" s="886">
        <f ca="1">IF(AND(Referral_Error="",'General Basis'!J106=""),'Age Banded Rating'!V16,"Refer to RGA")</f>
        <v>0</v>
      </c>
      <c r="L206" s="885" t="str">
        <f t="shared" si="25"/>
        <v/>
      </c>
      <c r="M206" s="886">
        <f ca="1">IF(AND(Referral_Error="",'General Basis'!J106=""),'Age Banded Rating'!X16,"Refer to RGA")</f>
        <v>0</v>
      </c>
      <c r="N206" s="886">
        <f ca="1">IF(AND(Referral_Error="",'General Basis'!J106=""),'Age Banded Rating'!Y16,"Refer to RGA")</f>
        <v>0</v>
      </c>
    </row>
    <row r="207" spans="2:14" x14ac:dyDescent="0.25">
      <c r="B207" s="1447"/>
      <c r="C207" s="885" t="str">
        <f t="shared" si="22"/>
        <v/>
      </c>
      <c r="D207" s="886">
        <f ca="1">IF(AND(Referral_Error="",'General Basis'!J106=""),'Age Banded Rating'!O17,"Refer to RGA")</f>
        <v>0</v>
      </c>
      <c r="E207" s="886">
        <f ca="1">IF(AND(Referral_Error="",'General Basis'!J106=""),'Age Banded Rating'!P17,"Refer to RGA")</f>
        <v>0</v>
      </c>
      <c r="F207" s="885" t="str">
        <f t="shared" si="23"/>
        <v/>
      </c>
      <c r="G207" s="886">
        <f ca="1">IF(AND(Referral_Error="",'General Basis'!J106=""),'Age Banded Rating'!R17,"Refer to RGA")</f>
        <v>0</v>
      </c>
      <c r="H207" s="886">
        <f ca="1">IF(AND(Referral_Error="",'General Basis'!J106=""),'Age Banded Rating'!S17,"Refer to RGA")</f>
        <v>0</v>
      </c>
      <c r="I207" s="885" t="str">
        <f t="shared" si="24"/>
        <v/>
      </c>
      <c r="J207" s="886">
        <f ca="1">IF(AND(Referral_Error="",'General Basis'!J106=""),'Age Banded Rating'!U17,"Refer to RGA")</f>
        <v>0</v>
      </c>
      <c r="K207" s="886">
        <f ca="1">IF(AND(Referral_Error="",'General Basis'!J106=""),'Age Banded Rating'!V17,"Refer to RGA")</f>
        <v>0</v>
      </c>
      <c r="L207" s="885" t="str">
        <f t="shared" si="25"/>
        <v/>
      </c>
      <c r="M207" s="886">
        <f ca="1">IF(AND(Referral_Error="",'General Basis'!J106=""),'Age Banded Rating'!X17,"Refer to RGA")</f>
        <v>0</v>
      </c>
      <c r="N207" s="886">
        <f ca="1">IF(AND(Referral_Error="",'General Basis'!J106=""),'Age Banded Rating'!Y17,"Refer to RGA")</f>
        <v>0</v>
      </c>
    </row>
    <row r="208" spans="2:14" ht="32.25" x14ac:dyDescent="0.25">
      <c r="B208" s="887" t="s">
        <v>992</v>
      </c>
      <c r="C208" s="836">
        <f ca="1">SUM(D196:E207)</f>
        <v>0</v>
      </c>
      <c r="D208" s="837">
        <f ca="1">SUM(D196:D207)</f>
        <v>0</v>
      </c>
      <c r="E208" s="837">
        <f ca="1">SUM(E196:E207)</f>
        <v>0</v>
      </c>
      <c r="F208" s="836">
        <f ca="1">SUM(G196:H207)</f>
        <v>0</v>
      </c>
      <c r="G208" s="837">
        <f ca="1">SUM(G196:G207)</f>
        <v>0</v>
      </c>
      <c r="H208" s="837">
        <f ca="1">SUM(H196:H207)</f>
        <v>0</v>
      </c>
      <c r="I208" s="836">
        <f ca="1">SUM(J196:K207)</f>
        <v>0</v>
      </c>
      <c r="J208" s="837">
        <f ca="1">SUM(J196:J207)</f>
        <v>0</v>
      </c>
      <c r="K208" s="837">
        <f ca="1">SUM(K196:K207)</f>
        <v>0</v>
      </c>
      <c r="L208" s="836">
        <f ca="1">SUM(M196:N207)</f>
        <v>0</v>
      </c>
      <c r="M208" s="837">
        <f ca="1">SUM(M196:M207)</f>
        <v>0</v>
      </c>
      <c r="N208" s="837">
        <f ca="1">SUM(N196:N207)</f>
        <v>0</v>
      </c>
    </row>
    <row r="209" spans="2:14" ht="30.75" customHeight="1" x14ac:dyDescent="0.25">
      <c r="M209" s="433"/>
    </row>
    <row r="210" spans="2:14" ht="23.25" x14ac:dyDescent="0.25">
      <c r="B210" s="1445" t="s">
        <v>958</v>
      </c>
      <c r="C210" s="884" t="str">
        <f>IFERROR(VLOOKUP(D210,'General Basis'!$I$39:$L$46,4,0),"")</f>
        <v>Dubai</v>
      </c>
      <c r="D210" s="884" t="str">
        <f>D178</f>
        <v>Category A</v>
      </c>
      <c r="E210" s="884" t="str">
        <f>E178</f>
        <v>Category A</v>
      </c>
      <c r="F210" s="884" t="str">
        <f>IFERROR(VLOOKUP(G210,'General Basis'!$I$39:$L$46,4,0),"")</f>
        <v/>
      </c>
      <c r="G210" s="884" t="str">
        <f>G178</f>
        <v>Category B</v>
      </c>
      <c r="H210" s="884" t="str">
        <f>H178</f>
        <v>Category B</v>
      </c>
      <c r="I210" s="884" t="str">
        <f>IFERROR(VLOOKUP(J210,'General Basis'!$I$39:$L$46,4,0),"")</f>
        <v/>
      </c>
      <c r="J210" s="884" t="str">
        <f>J178</f>
        <v>Category C</v>
      </c>
      <c r="K210" s="884" t="str">
        <f>K178</f>
        <v>Category C</v>
      </c>
      <c r="L210" s="884" t="str">
        <f>IFERROR(VLOOKUP(M210,'General Basis'!$I$39:$L$46,4,0),"")</f>
        <v/>
      </c>
      <c r="M210" s="884" t="str">
        <f>M178</f>
        <v>Category D</v>
      </c>
      <c r="N210" s="884" t="str">
        <f>N178</f>
        <v>Category D</v>
      </c>
    </row>
    <row r="211" spans="2:14" ht="23.25" x14ac:dyDescent="0.25">
      <c r="B211" s="1446" t="s">
        <v>286</v>
      </c>
      <c r="C211" s="829" t="s">
        <v>286</v>
      </c>
      <c r="D211" s="884" t="s">
        <v>65</v>
      </c>
      <c r="E211" s="884" t="s">
        <v>66</v>
      </c>
      <c r="F211" s="829" t="s">
        <v>286</v>
      </c>
      <c r="G211" s="884" t="s">
        <v>65</v>
      </c>
      <c r="H211" s="884" t="s">
        <v>66</v>
      </c>
      <c r="I211" s="829" t="s">
        <v>286</v>
      </c>
      <c r="J211" s="884" t="s">
        <v>65</v>
      </c>
      <c r="K211" s="884" t="s">
        <v>66</v>
      </c>
      <c r="L211" s="829" t="s">
        <v>286</v>
      </c>
      <c r="M211" s="884" t="s">
        <v>65</v>
      </c>
      <c r="N211" s="884" t="s">
        <v>66</v>
      </c>
    </row>
    <row r="212" spans="2:14" x14ac:dyDescent="0.25">
      <c r="B212" s="1446"/>
      <c r="C212" s="885" t="str">
        <f t="shared" ref="C212:C223" si="26">C180</f>
        <v>0 - 10</v>
      </c>
      <c r="D212" s="886">
        <f ca="1">IF(AND(Referral_Error="",'General Basis'!J106=""),'Age Banded Rating'!C25,"Refer to RGA")</f>
        <v>1</v>
      </c>
      <c r="E212" s="886">
        <f ca="1">IF(AND(Referral_Error="",'General Basis'!J106=""),'Age Banded Rating'!D25,"Refer to RGA")</f>
        <v>1</v>
      </c>
      <c r="F212" s="885" t="str">
        <f t="shared" ref="F212:F223" si="27">F180</f>
        <v/>
      </c>
      <c r="G212" s="886">
        <f ca="1">IF(AND(Referral_Error="",'General Basis'!J106=""),'Age Banded Rating'!F25,"Refer to RGA")</f>
        <v>0</v>
      </c>
      <c r="H212" s="886">
        <f ca="1">IF(AND(Referral_Error="",'General Basis'!J106=""),'Age Banded Rating'!G25,"Refer to RGA")</f>
        <v>0</v>
      </c>
      <c r="I212" s="885" t="str">
        <f t="shared" ref="I212:I223" si="28">I180</f>
        <v/>
      </c>
      <c r="J212" s="886">
        <f ca="1">IF(AND(Referral_Error="",'General Basis'!J106=""),'Age Banded Rating'!I25,"Refer to RGA")</f>
        <v>0</v>
      </c>
      <c r="K212" s="886">
        <f ca="1">IF(AND(Referral_Error="",'General Basis'!J106=""),'Age Banded Rating'!J25,"Refer to RGA")</f>
        <v>0</v>
      </c>
      <c r="L212" s="885" t="str">
        <f t="shared" ref="L212:L223" si="29">L180</f>
        <v/>
      </c>
      <c r="M212" s="886">
        <f ca="1">IF(AND(Referral_Error="",'General Basis'!J106=""),'Age Banded Rating'!L25,"Refer to RGA")</f>
        <v>0</v>
      </c>
      <c r="N212" s="886">
        <f ca="1">IF(AND(Referral_Error="",'General Basis'!J106=""),'Age Banded Rating'!M25,"Refer to RGA")</f>
        <v>0</v>
      </c>
    </row>
    <row r="213" spans="2:14" x14ac:dyDescent="0.25">
      <c r="B213" s="1446"/>
      <c r="C213" s="885" t="str">
        <f t="shared" si="26"/>
        <v>11 - 17</v>
      </c>
      <c r="D213" s="886">
        <f ca="1">IF(AND(Referral_Error="",'General Basis'!J106=""),'Age Banded Rating'!C26,"Refer to RGA")</f>
        <v>1</v>
      </c>
      <c r="E213" s="886">
        <f ca="1">IF(AND(Referral_Error="",'General Basis'!J106=""),'Age Banded Rating'!D26,"Refer to RGA")</f>
        <v>0</v>
      </c>
      <c r="F213" s="885" t="str">
        <f t="shared" si="27"/>
        <v/>
      </c>
      <c r="G213" s="886">
        <f ca="1">IF(AND(Referral_Error="",'General Basis'!J106=""),'Age Banded Rating'!F26,"Refer to RGA")</f>
        <v>0</v>
      </c>
      <c r="H213" s="886">
        <f ca="1">IF(AND(Referral_Error="",'General Basis'!J106=""),'Age Banded Rating'!G26,"Refer to RGA")</f>
        <v>0</v>
      </c>
      <c r="I213" s="885" t="str">
        <f t="shared" si="28"/>
        <v/>
      </c>
      <c r="J213" s="886">
        <f ca="1">IF(AND(Referral_Error="",'General Basis'!J106=""),'Age Banded Rating'!I26,"Refer to RGA")</f>
        <v>0</v>
      </c>
      <c r="K213" s="886">
        <f ca="1">IF(AND(Referral_Error="",'General Basis'!J106=""),'Age Banded Rating'!J26,"Refer to RGA")</f>
        <v>0</v>
      </c>
      <c r="L213" s="885" t="str">
        <f t="shared" si="29"/>
        <v/>
      </c>
      <c r="M213" s="886">
        <f ca="1">IF(AND(Referral_Error="",'General Basis'!J106=""),'Age Banded Rating'!L26,"Refer to RGA")</f>
        <v>0</v>
      </c>
      <c r="N213" s="886">
        <f ca="1">IF(AND(Referral_Error="",'General Basis'!J106=""),'Age Banded Rating'!M26,"Refer to RGA")</f>
        <v>0</v>
      </c>
    </row>
    <row r="214" spans="2:14" x14ac:dyDescent="0.25">
      <c r="B214" s="1446"/>
      <c r="C214" s="885" t="str">
        <f t="shared" si="26"/>
        <v>18 - 25</v>
      </c>
      <c r="D214" s="886">
        <f ca="1">IF(AND(Referral_Error="",'General Basis'!J106=""),'Age Banded Rating'!C27,"Refer to RGA")</f>
        <v>1</v>
      </c>
      <c r="E214" s="886">
        <f ca="1">IF(AND(Referral_Error="",'General Basis'!J106=""),'Age Banded Rating'!D27,"Refer to RGA")</f>
        <v>2</v>
      </c>
      <c r="F214" s="885" t="str">
        <f t="shared" si="27"/>
        <v/>
      </c>
      <c r="G214" s="886">
        <f ca="1">IF(AND(Referral_Error="",'General Basis'!J106=""),'Age Banded Rating'!F27,"Refer to RGA")</f>
        <v>0</v>
      </c>
      <c r="H214" s="886">
        <f ca="1">IF(AND(Referral_Error="",'General Basis'!J106=""),'Age Banded Rating'!G27,"Refer to RGA")</f>
        <v>0</v>
      </c>
      <c r="I214" s="885" t="str">
        <f t="shared" si="28"/>
        <v/>
      </c>
      <c r="J214" s="886">
        <f ca="1">IF(AND(Referral_Error="",'General Basis'!J106=""),'Age Banded Rating'!I27,"Refer to RGA")</f>
        <v>0</v>
      </c>
      <c r="K214" s="886">
        <f ca="1">IF(AND(Referral_Error="",'General Basis'!J106=""),'Age Banded Rating'!J27,"Refer to RGA")</f>
        <v>0</v>
      </c>
      <c r="L214" s="885" t="str">
        <f t="shared" si="29"/>
        <v/>
      </c>
      <c r="M214" s="886">
        <f ca="1">IF(AND(Referral_Error="",'General Basis'!J106=""),'Age Banded Rating'!L27,"Refer to RGA")</f>
        <v>0</v>
      </c>
      <c r="N214" s="886">
        <f ca="1">IF(AND(Referral_Error="",'General Basis'!J106=""),'Age Banded Rating'!M27,"Refer to RGA")</f>
        <v>0</v>
      </c>
    </row>
    <row r="215" spans="2:14" x14ac:dyDescent="0.25">
      <c r="B215" s="1446"/>
      <c r="C215" s="885" t="str">
        <f t="shared" si="26"/>
        <v>26 - 30</v>
      </c>
      <c r="D215" s="886">
        <f ca="1">IF(AND(Referral_Error="",'General Basis'!J106=""),'Age Banded Rating'!C28,"Refer to RGA")</f>
        <v>0</v>
      </c>
      <c r="E215" s="886">
        <f ca="1">IF(AND(Referral_Error="",'General Basis'!J106=""),'Age Banded Rating'!D28,"Refer to RGA")</f>
        <v>0</v>
      </c>
      <c r="F215" s="885" t="str">
        <f t="shared" si="27"/>
        <v/>
      </c>
      <c r="G215" s="886">
        <f ca="1">IF(AND(Referral_Error="",'General Basis'!J106=""),'Age Banded Rating'!F28,"Refer to RGA")</f>
        <v>0</v>
      </c>
      <c r="H215" s="886">
        <f ca="1">IF(AND(Referral_Error="",'General Basis'!J106=""),'Age Banded Rating'!G28,"Refer to RGA")</f>
        <v>0</v>
      </c>
      <c r="I215" s="885" t="str">
        <f t="shared" si="28"/>
        <v/>
      </c>
      <c r="J215" s="886">
        <f ca="1">IF(AND(Referral_Error="",'General Basis'!J106=""),'Age Banded Rating'!I28,"Refer to RGA")</f>
        <v>0</v>
      </c>
      <c r="K215" s="886">
        <f ca="1">IF(AND(Referral_Error="",'General Basis'!J106=""),'Age Banded Rating'!J28,"Refer to RGA")</f>
        <v>0</v>
      </c>
      <c r="L215" s="885" t="str">
        <f t="shared" si="29"/>
        <v/>
      </c>
      <c r="M215" s="886">
        <f ca="1">IF(AND(Referral_Error="",'General Basis'!J106=""),'Age Banded Rating'!L28,"Refer to RGA")</f>
        <v>0</v>
      </c>
      <c r="N215" s="886">
        <f ca="1">IF(AND(Referral_Error="",'General Basis'!J106=""),'Age Banded Rating'!M28,"Refer to RGA")</f>
        <v>0</v>
      </c>
    </row>
    <row r="216" spans="2:14" x14ac:dyDescent="0.25">
      <c r="B216" s="1446"/>
      <c r="C216" s="885" t="str">
        <f t="shared" si="26"/>
        <v>31 - 35</v>
      </c>
      <c r="D216" s="886">
        <f ca="1">IF(AND(Referral_Error="",'General Basis'!J106=""),'Age Banded Rating'!C29,"Refer to RGA")</f>
        <v>0</v>
      </c>
      <c r="E216" s="886">
        <f ca="1">IF(AND(Referral_Error="",'General Basis'!J106=""),'Age Banded Rating'!D29,"Refer to RGA")</f>
        <v>0</v>
      </c>
      <c r="F216" s="885" t="str">
        <f t="shared" si="27"/>
        <v/>
      </c>
      <c r="G216" s="886">
        <f ca="1">IF(AND(Referral_Error="",'General Basis'!J106=""),'Age Banded Rating'!F29,"Refer to RGA")</f>
        <v>0</v>
      </c>
      <c r="H216" s="886">
        <f ca="1">IF(AND(Referral_Error="",'General Basis'!J106=""),'Age Banded Rating'!G29,"Refer to RGA")</f>
        <v>0</v>
      </c>
      <c r="I216" s="885" t="str">
        <f t="shared" si="28"/>
        <v/>
      </c>
      <c r="J216" s="886">
        <f ca="1">IF(AND(Referral_Error="",'General Basis'!J106=""),'Age Banded Rating'!I29,"Refer to RGA")</f>
        <v>0</v>
      </c>
      <c r="K216" s="886">
        <f ca="1">IF(AND(Referral_Error="",'General Basis'!J106=""),'Age Banded Rating'!J29,"Refer to RGA")</f>
        <v>0</v>
      </c>
      <c r="L216" s="885" t="str">
        <f t="shared" si="29"/>
        <v/>
      </c>
      <c r="M216" s="886">
        <f ca="1">IF(AND(Referral_Error="",'General Basis'!J106=""),'Age Banded Rating'!L29,"Refer to RGA")</f>
        <v>0</v>
      </c>
      <c r="N216" s="886">
        <f ca="1">IF(AND(Referral_Error="",'General Basis'!J106=""),'Age Banded Rating'!M29,"Refer to RGA")</f>
        <v>0</v>
      </c>
    </row>
    <row r="217" spans="2:14" x14ac:dyDescent="0.25">
      <c r="B217" s="1446"/>
      <c r="C217" s="885" t="str">
        <f t="shared" si="26"/>
        <v>36 - 40</v>
      </c>
      <c r="D217" s="886">
        <f ca="1">IF(AND(Referral_Error="",'General Basis'!J106=""),'Age Banded Rating'!C30,"Refer to RGA")</f>
        <v>0</v>
      </c>
      <c r="E217" s="886">
        <f ca="1">IF(AND(Referral_Error="",'General Basis'!J106=""),'Age Banded Rating'!D30,"Refer to RGA")</f>
        <v>0</v>
      </c>
      <c r="F217" s="885" t="str">
        <f t="shared" si="27"/>
        <v/>
      </c>
      <c r="G217" s="886">
        <f ca="1">IF(AND(Referral_Error="",'General Basis'!J106=""),'Age Banded Rating'!F30,"Refer to RGA")</f>
        <v>0</v>
      </c>
      <c r="H217" s="886">
        <f ca="1">IF(AND(Referral_Error="",'General Basis'!J106=""),'Age Banded Rating'!G30,"Refer to RGA")</f>
        <v>0</v>
      </c>
      <c r="I217" s="885" t="str">
        <f t="shared" si="28"/>
        <v/>
      </c>
      <c r="J217" s="886">
        <f ca="1">IF(AND(Referral_Error="",'General Basis'!J106=""),'Age Banded Rating'!I30,"Refer to RGA")</f>
        <v>0</v>
      </c>
      <c r="K217" s="886">
        <f ca="1">IF(AND(Referral_Error="",'General Basis'!J106=""),'Age Banded Rating'!J30,"Refer to RGA")</f>
        <v>0</v>
      </c>
      <c r="L217" s="885" t="str">
        <f t="shared" si="29"/>
        <v/>
      </c>
      <c r="M217" s="886">
        <f ca="1">IF(AND(Referral_Error="",'General Basis'!J106=""),'Age Banded Rating'!L30,"Refer to RGA")</f>
        <v>0</v>
      </c>
      <c r="N217" s="886">
        <f ca="1">IF(AND(Referral_Error="",'General Basis'!J106=""),'Age Banded Rating'!M30,"Refer to RGA")</f>
        <v>0</v>
      </c>
    </row>
    <row r="218" spans="2:14" x14ac:dyDescent="0.25">
      <c r="B218" s="1446"/>
      <c r="C218" s="885" t="str">
        <f t="shared" si="26"/>
        <v>41 - 45</v>
      </c>
      <c r="D218" s="886">
        <f ca="1">IF(AND(Referral_Error="",'General Basis'!J106=""),'Age Banded Rating'!C31,"Refer to RGA")</f>
        <v>0</v>
      </c>
      <c r="E218" s="886">
        <f ca="1">IF(AND(Referral_Error="",'General Basis'!J106=""),'Age Banded Rating'!D31,"Refer to RGA")</f>
        <v>0</v>
      </c>
      <c r="F218" s="885" t="str">
        <f t="shared" si="27"/>
        <v/>
      </c>
      <c r="G218" s="886">
        <f ca="1">IF(AND(Referral_Error="",'General Basis'!J106=""),'Age Banded Rating'!F31,"Refer to RGA")</f>
        <v>0</v>
      </c>
      <c r="H218" s="886">
        <f ca="1">IF(AND(Referral_Error="",'General Basis'!J106=""),'Age Banded Rating'!G31,"Refer to RGA")</f>
        <v>0</v>
      </c>
      <c r="I218" s="885" t="str">
        <f t="shared" si="28"/>
        <v/>
      </c>
      <c r="J218" s="886">
        <f ca="1">IF(AND(Referral_Error="",'General Basis'!J106=""),'Age Banded Rating'!I31,"Refer to RGA")</f>
        <v>0</v>
      </c>
      <c r="K218" s="886">
        <f ca="1">IF(AND(Referral_Error="",'General Basis'!J106=""),'Age Banded Rating'!J31,"Refer to RGA")</f>
        <v>0</v>
      </c>
      <c r="L218" s="885" t="str">
        <f t="shared" si="29"/>
        <v/>
      </c>
      <c r="M218" s="886">
        <f ca="1">IF(AND(Referral_Error="",'General Basis'!J106=""),'Age Banded Rating'!L31,"Refer to RGA")</f>
        <v>0</v>
      </c>
      <c r="N218" s="886">
        <f ca="1">IF(AND(Referral_Error="",'General Basis'!J106=""),'Age Banded Rating'!M31,"Refer to RGA")</f>
        <v>0</v>
      </c>
    </row>
    <row r="219" spans="2:14" x14ac:dyDescent="0.25">
      <c r="B219" s="1446"/>
      <c r="C219" s="885" t="str">
        <f t="shared" si="26"/>
        <v>46 - 50</v>
      </c>
      <c r="D219" s="886">
        <f ca="1">IF(AND(Referral_Error="",'General Basis'!J106=""),'Age Banded Rating'!C32,"Refer to RGA")</f>
        <v>0</v>
      </c>
      <c r="E219" s="886">
        <f ca="1">IF(AND(Referral_Error="",'General Basis'!J106=""),'Age Banded Rating'!D32,"Refer to RGA")</f>
        <v>2</v>
      </c>
      <c r="F219" s="885" t="str">
        <f t="shared" si="27"/>
        <v/>
      </c>
      <c r="G219" s="886">
        <f ca="1">IF(AND(Referral_Error="",'General Basis'!J106=""),'Age Banded Rating'!F32,"Refer to RGA")</f>
        <v>0</v>
      </c>
      <c r="H219" s="886">
        <f ca="1">IF(AND(Referral_Error="",'General Basis'!J106=""),'Age Banded Rating'!G32,"Refer to RGA")</f>
        <v>0</v>
      </c>
      <c r="I219" s="885" t="str">
        <f t="shared" si="28"/>
        <v/>
      </c>
      <c r="J219" s="886">
        <f ca="1">IF(AND(Referral_Error="",'General Basis'!J106=""),'Age Banded Rating'!I32,"Refer to RGA")</f>
        <v>0</v>
      </c>
      <c r="K219" s="886">
        <f ca="1">IF(AND(Referral_Error="",'General Basis'!J106=""),'Age Banded Rating'!J32,"Refer to RGA")</f>
        <v>0</v>
      </c>
      <c r="L219" s="885" t="str">
        <f t="shared" si="29"/>
        <v/>
      </c>
      <c r="M219" s="886">
        <f ca="1">IF(AND(Referral_Error="",'General Basis'!J106=""),'Age Banded Rating'!L32,"Refer to RGA")</f>
        <v>0</v>
      </c>
      <c r="N219" s="886">
        <f ca="1">IF(AND(Referral_Error="",'General Basis'!J106=""),'Age Banded Rating'!M32,"Refer to RGA")</f>
        <v>0</v>
      </c>
    </row>
    <row r="220" spans="2:14" x14ac:dyDescent="0.25">
      <c r="B220" s="1446"/>
      <c r="C220" s="885" t="str">
        <f t="shared" si="26"/>
        <v>51 - 55</v>
      </c>
      <c r="D220" s="886">
        <f ca="1">IF(AND(Referral_Error="",'General Basis'!J106=""),'Age Banded Rating'!C33,"Refer to RGA")</f>
        <v>0</v>
      </c>
      <c r="E220" s="886">
        <f ca="1">IF(AND(Referral_Error="",'General Basis'!J106=""),'Age Banded Rating'!D33,"Refer to RGA")</f>
        <v>0</v>
      </c>
      <c r="F220" s="885" t="str">
        <f t="shared" si="27"/>
        <v/>
      </c>
      <c r="G220" s="886">
        <f ca="1">IF(AND(Referral_Error="",'General Basis'!J106=""),'Age Banded Rating'!F33,"Refer to RGA")</f>
        <v>0</v>
      </c>
      <c r="H220" s="886">
        <f ca="1">IF(AND(Referral_Error="",'General Basis'!J106=""),'Age Banded Rating'!G33,"Refer to RGA")</f>
        <v>0</v>
      </c>
      <c r="I220" s="885" t="str">
        <f t="shared" si="28"/>
        <v/>
      </c>
      <c r="J220" s="886">
        <f ca="1">IF(AND(Referral_Error="",'General Basis'!J106=""),'Age Banded Rating'!I33,"Refer to RGA")</f>
        <v>0</v>
      </c>
      <c r="K220" s="886">
        <f ca="1">IF(AND(Referral_Error="",'General Basis'!J106=""),'Age Banded Rating'!J33,"Refer to RGA")</f>
        <v>0</v>
      </c>
      <c r="L220" s="885" t="str">
        <f t="shared" si="29"/>
        <v/>
      </c>
      <c r="M220" s="886">
        <f ca="1">IF(AND(Referral_Error="",'General Basis'!J106=""),'Age Banded Rating'!L33,"Refer to RGA")</f>
        <v>0</v>
      </c>
      <c r="N220" s="886">
        <f ca="1">IF(AND(Referral_Error="",'General Basis'!J106=""),'Age Banded Rating'!M33,"Refer to RGA")</f>
        <v>0</v>
      </c>
    </row>
    <row r="221" spans="2:14" x14ac:dyDescent="0.25">
      <c r="B221" s="1446"/>
      <c r="C221" s="885" t="str">
        <f t="shared" si="26"/>
        <v>56 - 59</v>
      </c>
      <c r="D221" s="886">
        <f ca="1">IF(AND(Referral_Error="",'General Basis'!J106=""),'Age Banded Rating'!C34,"Refer to RGA")</f>
        <v>0</v>
      </c>
      <c r="E221" s="886">
        <f ca="1">IF(AND(Referral_Error="",'General Basis'!J106=""),'Age Banded Rating'!D34,"Refer to RGA")</f>
        <v>0</v>
      </c>
      <c r="F221" s="885" t="str">
        <f t="shared" si="27"/>
        <v/>
      </c>
      <c r="G221" s="886">
        <f ca="1">IF(AND(Referral_Error="",'General Basis'!J106=""),'Age Banded Rating'!F34,"Refer to RGA")</f>
        <v>0</v>
      </c>
      <c r="H221" s="886">
        <f ca="1">IF(AND(Referral_Error="",'General Basis'!J106=""),'Age Banded Rating'!G34,"Refer to RGA")</f>
        <v>0</v>
      </c>
      <c r="I221" s="885" t="str">
        <f t="shared" si="28"/>
        <v/>
      </c>
      <c r="J221" s="886">
        <f ca="1">IF(AND(Referral_Error="",'General Basis'!J106=""),'Age Banded Rating'!I34,"Refer to RGA")</f>
        <v>0</v>
      </c>
      <c r="K221" s="886">
        <f ca="1">IF(AND(Referral_Error="",'General Basis'!J106=""),'Age Banded Rating'!J34,"Refer to RGA")</f>
        <v>0</v>
      </c>
      <c r="L221" s="885" t="str">
        <f t="shared" si="29"/>
        <v/>
      </c>
      <c r="M221" s="886">
        <f ca="1">IF(AND(Referral_Error="",'General Basis'!J106=""),'Age Banded Rating'!L34,"Refer to RGA")</f>
        <v>0</v>
      </c>
      <c r="N221" s="886">
        <f ca="1">IF(AND(Referral_Error="",'General Basis'!J106=""),'Age Banded Rating'!M34,"Refer to RGA")</f>
        <v>0</v>
      </c>
    </row>
    <row r="222" spans="2:14" x14ac:dyDescent="0.25">
      <c r="B222" s="1446"/>
      <c r="C222" s="885" t="str">
        <f t="shared" si="26"/>
        <v>60 - 64</v>
      </c>
      <c r="D222" s="886">
        <f ca="1">IF(AND(Referral_Error="",'General Basis'!J106=""),'Age Banded Rating'!C35,"Refer to RGA")</f>
        <v>0</v>
      </c>
      <c r="E222" s="886">
        <f ca="1">IF(AND(Referral_Error="",'General Basis'!J106=""),'Age Banded Rating'!D35,"Refer to RGA")</f>
        <v>0</v>
      </c>
      <c r="F222" s="885" t="str">
        <f t="shared" si="27"/>
        <v/>
      </c>
      <c r="G222" s="886">
        <f ca="1">IF(AND(Referral_Error="",'General Basis'!J106=""),'Age Banded Rating'!F35,"Refer to RGA")</f>
        <v>0</v>
      </c>
      <c r="H222" s="886">
        <f ca="1">IF(AND(Referral_Error="",'General Basis'!J106=""),'Age Banded Rating'!G35,"Refer to RGA")</f>
        <v>0</v>
      </c>
      <c r="I222" s="885" t="str">
        <f t="shared" si="28"/>
        <v/>
      </c>
      <c r="J222" s="886">
        <f ca="1">IF(AND(Referral_Error="",'General Basis'!J106=""),'Age Banded Rating'!I35,"Refer to RGA")</f>
        <v>0</v>
      </c>
      <c r="K222" s="886">
        <f ca="1">IF(AND(Referral_Error="",'General Basis'!J106=""),'Age Banded Rating'!J35,"Refer to RGA")</f>
        <v>0</v>
      </c>
      <c r="L222" s="885" t="str">
        <f t="shared" si="29"/>
        <v/>
      </c>
      <c r="M222" s="886">
        <f ca="1">IF(AND(Referral_Error="",'General Basis'!J106=""),'Age Banded Rating'!L35,"Refer to RGA")</f>
        <v>0</v>
      </c>
      <c r="N222" s="886">
        <f ca="1">IF(AND(Referral_Error="",'General Basis'!J106=""),'Age Banded Rating'!M35,"Refer to RGA")</f>
        <v>0</v>
      </c>
    </row>
    <row r="223" spans="2:14" x14ac:dyDescent="0.25">
      <c r="B223" s="1447"/>
      <c r="C223" s="885" t="str">
        <f t="shared" si="26"/>
        <v>65 - 99</v>
      </c>
      <c r="D223" s="886">
        <f ca="1">IF(AND(Referral_Error="",'General Basis'!J106=""),'Age Banded Rating'!C36,"Refer to RGA")</f>
        <v>0</v>
      </c>
      <c r="E223" s="886">
        <f ca="1">IF(AND(Referral_Error="",'General Basis'!J106=""),'Age Banded Rating'!D36,"Refer to RGA")</f>
        <v>0</v>
      </c>
      <c r="F223" s="885" t="str">
        <f t="shared" si="27"/>
        <v/>
      </c>
      <c r="G223" s="886">
        <f ca="1">IF(AND(Referral_Error="",'General Basis'!J106=""),'Age Banded Rating'!F36,"Refer to RGA")</f>
        <v>0</v>
      </c>
      <c r="H223" s="886">
        <f ca="1">IF(AND(Referral_Error="",'General Basis'!J106=""),'Age Banded Rating'!G36,"Refer to RGA")</f>
        <v>0</v>
      </c>
      <c r="I223" s="885" t="str">
        <f t="shared" si="28"/>
        <v/>
      </c>
      <c r="J223" s="886">
        <f ca="1">IF(AND(Referral_Error="",'General Basis'!J106=""),'Age Banded Rating'!I36,"Refer to RGA")</f>
        <v>0</v>
      </c>
      <c r="K223" s="886">
        <f ca="1">IF(AND(Referral_Error="",'General Basis'!J106=""),'Age Banded Rating'!J36,"Refer to RGA")</f>
        <v>0</v>
      </c>
      <c r="L223" s="885" t="str">
        <f t="shared" si="29"/>
        <v/>
      </c>
      <c r="M223" s="886">
        <f ca="1">IF(AND(Referral_Error="",'General Basis'!J106=""),'Age Banded Rating'!L36,"Refer to RGA")</f>
        <v>0</v>
      </c>
      <c r="N223" s="886">
        <f ca="1">IF(AND(Referral_Error="",'General Basis'!J106=""),'Age Banded Rating'!M36,"Refer to RGA")</f>
        <v>0</v>
      </c>
    </row>
    <row r="224" spans="2:14" ht="32.25" x14ac:dyDescent="0.25">
      <c r="B224" s="887" t="s">
        <v>992</v>
      </c>
      <c r="C224" s="836">
        <f ca="1">SUM(D212:E223)</f>
        <v>8</v>
      </c>
      <c r="D224" s="837">
        <f ca="1">SUM(D212:D223)</f>
        <v>3</v>
      </c>
      <c r="E224" s="837">
        <f ca="1">SUM(E212:E223)</f>
        <v>5</v>
      </c>
      <c r="F224" s="836">
        <f ca="1">SUM(G212:H223)</f>
        <v>0</v>
      </c>
      <c r="G224" s="837">
        <f ca="1">SUM(G212:G223)</f>
        <v>0</v>
      </c>
      <c r="H224" s="837">
        <f ca="1">SUM(H212:H223)</f>
        <v>0</v>
      </c>
      <c r="I224" s="836">
        <f ca="1">SUM(J212:K223)</f>
        <v>0</v>
      </c>
      <c r="J224" s="837">
        <f ca="1">SUM(J212:J223)</f>
        <v>0</v>
      </c>
      <c r="K224" s="837">
        <f ca="1">SUM(K212:K223)</f>
        <v>0</v>
      </c>
      <c r="L224" s="836">
        <f ca="1">SUM(M212:N223)</f>
        <v>0</v>
      </c>
      <c r="M224" s="837">
        <f ca="1">SUM(M212:M223)</f>
        <v>0</v>
      </c>
      <c r="N224" s="837">
        <f ca="1">SUM(N212:N223)</f>
        <v>0</v>
      </c>
    </row>
    <row r="225" spans="2:14" x14ac:dyDescent="0.25">
      <c r="B225" s="830"/>
      <c r="N225" s="870"/>
    </row>
    <row r="226" spans="2:14" ht="23.25" x14ac:dyDescent="0.25">
      <c r="B226" s="1445" t="s">
        <v>958</v>
      </c>
      <c r="C226" s="884" t="str">
        <f>IFERROR(VLOOKUP(D226,'General Basis'!$I$39:$L$46,4,0),"")</f>
        <v/>
      </c>
      <c r="D226" s="884" t="str">
        <f>D194</f>
        <v>Category E</v>
      </c>
      <c r="E226" s="884" t="str">
        <f>E194</f>
        <v>Category E</v>
      </c>
      <c r="F226" s="884" t="str">
        <f>IFERROR(VLOOKUP(G226,'General Basis'!$I$39:$L$46,4,0),"")</f>
        <v/>
      </c>
      <c r="G226" s="884" t="str">
        <f>G194</f>
        <v>Category F</v>
      </c>
      <c r="H226" s="884" t="str">
        <f>H194</f>
        <v>Category F</v>
      </c>
      <c r="I226" s="884" t="str">
        <f>IFERROR(VLOOKUP(J226,'General Basis'!$I$39:$L$46,4,0),"")</f>
        <v/>
      </c>
      <c r="J226" s="884" t="str">
        <f>J194</f>
        <v>Category G</v>
      </c>
      <c r="K226" s="884" t="str">
        <f>K194</f>
        <v>Category G</v>
      </c>
      <c r="L226" s="884" t="str">
        <f>IFERROR(VLOOKUP(M226,'General Basis'!$I$39:$L$46,4,0),"")</f>
        <v/>
      </c>
      <c r="M226" s="884" t="str">
        <f>M194</f>
        <v>Category H</v>
      </c>
      <c r="N226" s="884" t="str">
        <f>N194</f>
        <v>Category H</v>
      </c>
    </row>
    <row r="227" spans="2:14" ht="23.25" x14ac:dyDescent="0.25">
      <c r="B227" s="1446" t="s">
        <v>286</v>
      </c>
      <c r="C227" s="829" t="s">
        <v>286</v>
      </c>
      <c r="D227" s="829" t="s">
        <v>65</v>
      </c>
      <c r="E227" s="884" t="s">
        <v>66</v>
      </c>
      <c r="F227" s="829" t="s">
        <v>286</v>
      </c>
      <c r="G227" s="829" t="s">
        <v>65</v>
      </c>
      <c r="H227" s="884" t="s">
        <v>66</v>
      </c>
      <c r="I227" s="829" t="s">
        <v>286</v>
      </c>
      <c r="J227" s="829" t="s">
        <v>65</v>
      </c>
      <c r="K227" s="884" t="s">
        <v>66</v>
      </c>
      <c r="L227" s="829" t="s">
        <v>286</v>
      </c>
      <c r="M227" s="829" t="s">
        <v>65</v>
      </c>
      <c r="N227" s="884" t="s">
        <v>66</v>
      </c>
    </row>
    <row r="228" spans="2:14" x14ac:dyDescent="0.25">
      <c r="B228" s="1446"/>
      <c r="C228" s="885" t="str">
        <f t="shared" ref="C228:C239" si="30">C196</f>
        <v/>
      </c>
      <c r="D228" s="886">
        <f ca="1">IF(AND(Referral_Error="",'General Basis'!J106=""),'Age Banded Rating'!O25,"Refer to RGA")</f>
        <v>0</v>
      </c>
      <c r="E228" s="886">
        <f ca="1">IF(AND(Referral_Error="",'General Basis'!J106=""),'Age Banded Rating'!P25,"Refer to RGA")</f>
        <v>0</v>
      </c>
      <c r="F228" s="885" t="str">
        <f t="shared" ref="F228:F239" si="31">F196</f>
        <v/>
      </c>
      <c r="G228" s="886">
        <f ca="1">IF(AND(Referral_Error="",'General Basis'!J106=""),'Age Banded Rating'!R25,"Refer to RGA")</f>
        <v>0</v>
      </c>
      <c r="H228" s="886">
        <f ca="1">IF(AND(Referral_Error="",'General Basis'!J106=""),'Age Banded Rating'!S25,"Refer to RGA")</f>
        <v>0</v>
      </c>
      <c r="I228" s="885" t="str">
        <f t="shared" ref="I228:I239" si="32">I196</f>
        <v/>
      </c>
      <c r="J228" s="886">
        <f ca="1">IF(AND(Referral_Error="",'General Basis'!J106=""),'Age Banded Rating'!U25,"Refer to RGA")</f>
        <v>0</v>
      </c>
      <c r="K228" s="886">
        <f ca="1">IF(AND(Referral_Error="",'General Basis'!J106=""),'Age Banded Rating'!V25,"Refer to RGA")</f>
        <v>0</v>
      </c>
      <c r="L228" s="885" t="str">
        <f t="shared" ref="L228:L239" si="33">L196</f>
        <v/>
      </c>
      <c r="M228" s="886">
        <f ca="1">IF(AND(Referral_Error="",'General Basis'!J106=""),'Age Banded Rating'!X25,"Refer to RGA")</f>
        <v>0</v>
      </c>
      <c r="N228" s="886">
        <f ca="1">IF(AND(Referral_Error="",'General Basis'!J106=""),'Age Banded Rating'!Y25,"Refer to RGA")</f>
        <v>0</v>
      </c>
    </row>
    <row r="229" spans="2:14" x14ac:dyDescent="0.25">
      <c r="B229" s="1446"/>
      <c r="C229" s="885" t="str">
        <f t="shared" si="30"/>
        <v/>
      </c>
      <c r="D229" s="886">
        <f ca="1">IF(AND(Referral_Error="",'General Basis'!J106=""),'Age Banded Rating'!O26,"Refer to RGA")</f>
        <v>0</v>
      </c>
      <c r="E229" s="886">
        <f ca="1">IF(AND(Referral_Error="",'General Basis'!J106=""),'Age Banded Rating'!P26,"Refer to RGA")</f>
        <v>0</v>
      </c>
      <c r="F229" s="885" t="str">
        <f t="shared" si="31"/>
        <v/>
      </c>
      <c r="G229" s="886">
        <f ca="1">IF(AND(Referral_Error="",'General Basis'!J106=""),'Age Banded Rating'!R26,"Refer to RGA")</f>
        <v>0</v>
      </c>
      <c r="H229" s="886">
        <f ca="1">IF(AND(Referral_Error="",'General Basis'!J106=""),'Age Banded Rating'!S26,"Refer to RGA")</f>
        <v>0</v>
      </c>
      <c r="I229" s="885" t="str">
        <f t="shared" si="32"/>
        <v/>
      </c>
      <c r="J229" s="886">
        <f ca="1">IF(AND(Referral_Error="",'General Basis'!J106=""),'Age Banded Rating'!U26,"Refer to RGA")</f>
        <v>0</v>
      </c>
      <c r="K229" s="886">
        <f ca="1">IF(AND(Referral_Error="",'General Basis'!J106=""),'Age Banded Rating'!V26,"Refer to RGA")</f>
        <v>0</v>
      </c>
      <c r="L229" s="885" t="str">
        <f t="shared" si="33"/>
        <v/>
      </c>
      <c r="M229" s="886">
        <f ca="1">IF(AND(Referral_Error="",'General Basis'!J106=""),'Age Banded Rating'!X26,"Refer to RGA")</f>
        <v>0</v>
      </c>
      <c r="N229" s="886">
        <f ca="1">IF(AND(Referral_Error="",'General Basis'!J106=""),'Age Banded Rating'!Y26,"Refer to RGA")</f>
        <v>0</v>
      </c>
    </row>
    <row r="230" spans="2:14" x14ac:dyDescent="0.25">
      <c r="B230" s="1446"/>
      <c r="C230" s="885" t="str">
        <f t="shared" si="30"/>
        <v/>
      </c>
      <c r="D230" s="886">
        <f ca="1">IF(AND(Referral_Error="",'General Basis'!J106=""),'Age Banded Rating'!O27,"Refer to RGA")</f>
        <v>0</v>
      </c>
      <c r="E230" s="886">
        <f ca="1">IF(AND(Referral_Error="",'General Basis'!J106=""),'Age Banded Rating'!P27,"Refer to RGA")</f>
        <v>0</v>
      </c>
      <c r="F230" s="885" t="str">
        <f t="shared" si="31"/>
        <v/>
      </c>
      <c r="G230" s="886">
        <f ca="1">IF(AND(Referral_Error="",'General Basis'!J106=""),'Age Banded Rating'!R27,"Refer to RGA")</f>
        <v>0</v>
      </c>
      <c r="H230" s="886">
        <f ca="1">IF(AND(Referral_Error="",'General Basis'!J106=""),'Age Banded Rating'!S27,"Refer to RGA")</f>
        <v>0</v>
      </c>
      <c r="I230" s="885" t="str">
        <f t="shared" si="32"/>
        <v/>
      </c>
      <c r="J230" s="886">
        <f ca="1">IF(AND(Referral_Error="",'General Basis'!J106=""),'Age Banded Rating'!U27,"Refer to RGA")</f>
        <v>0</v>
      </c>
      <c r="K230" s="886">
        <f ca="1">IF(AND(Referral_Error="",'General Basis'!J106=""),'Age Banded Rating'!V27,"Refer to RGA")</f>
        <v>0</v>
      </c>
      <c r="L230" s="885" t="str">
        <f t="shared" si="33"/>
        <v/>
      </c>
      <c r="M230" s="886">
        <f ca="1">IF(AND(Referral_Error="",'General Basis'!J106=""),'Age Banded Rating'!X27,"Refer to RGA")</f>
        <v>0</v>
      </c>
      <c r="N230" s="886">
        <f ca="1">IF(AND(Referral_Error="",'General Basis'!J106=""),'Age Banded Rating'!Y27,"Refer to RGA")</f>
        <v>0</v>
      </c>
    </row>
    <row r="231" spans="2:14" x14ac:dyDescent="0.25">
      <c r="B231" s="1446"/>
      <c r="C231" s="885" t="str">
        <f t="shared" si="30"/>
        <v/>
      </c>
      <c r="D231" s="886">
        <f ca="1">IF(AND(Referral_Error="",'General Basis'!J106=""),'Age Banded Rating'!O28,"Refer to RGA")</f>
        <v>0</v>
      </c>
      <c r="E231" s="886">
        <f ca="1">IF(AND(Referral_Error="",'General Basis'!J106=""),'Age Banded Rating'!P28,"Refer to RGA")</f>
        <v>0</v>
      </c>
      <c r="F231" s="885" t="str">
        <f t="shared" si="31"/>
        <v/>
      </c>
      <c r="G231" s="886">
        <f ca="1">IF(AND(Referral_Error="",'General Basis'!J106=""),'Age Banded Rating'!R28,"Refer to RGA")</f>
        <v>0</v>
      </c>
      <c r="H231" s="886">
        <f ca="1">IF(AND(Referral_Error="",'General Basis'!J106=""),'Age Banded Rating'!S28,"Refer to RGA")</f>
        <v>0</v>
      </c>
      <c r="I231" s="885" t="str">
        <f t="shared" si="32"/>
        <v/>
      </c>
      <c r="J231" s="886">
        <f ca="1">IF(AND(Referral_Error="",'General Basis'!J106=""),'Age Banded Rating'!U28,"Refer to RGA")</f>
        <v>0</v>
      </c>
      <c r="K231" s="886">
        <f ca="1">IF(AND(Referral_Error="",'General Basis'!J106=""),'Age Banded Rating'!V28,"Refer to RGA")</f>
        <v>0</v>
      </c>
      <c r="L231" s="885" t="str">
        <f t="shared" si="33"/>
        <v/>
      </c>
      <c r="M231" s="886">
        <f ca="1">IF(AND(Referral_Error="",'General Basis'!J106=""),'Age Banded Rating'!X28,"Refer to RGA")</f>
        <v>0</v>
      </c>
      <c r="N231" s="886">
        <f ca="1">IF(AND(Referral_Error="",'General Basis'!J106=""),'Age Banded Rating'!Y28,"Refer to RGA")</f>
        <v>0</v>
      </c>
    </row>
    <row r="232" spans="2:14" x14ac:dyDescent="0.25">
      <c r="B232" s="1446"/>
      <c r="C232" s="885" t="str">
        <f t="shared" si="30"/>
        <v/>
      </c>
      <c r="D232" s="886">
        <f ca="1">IF(AND(Referral_Error="",'General Basis'!J106=""),'Age Banded Rating'!O29,"Refer to RGA")</f>
        <v>0</v>
      </c>
      <c r="E232" s="886">
        <f ca="1">IF(AND(Referral_Error="",'General Basis'!J106=""),'Age Banded Rating'!P29,"Refer to RGA")</f>
        <v>0</v>
      </c>
      <c r="F232" s="885" t="str">
        <f t="shared" si="31"/>
        <v/>
      </c>
      <c r="G232" s="886">
        <f ca="1">IF(AND(Referral_Error="",'General Basis'!J106=""),'Age Banded Rating'!R29,"Refer to RGA")</f>
        <v>0</v>
      </c>
      <c r="H232" s="886">
        <f ca="1">IF(AND(Referral_Error="",'General Basis'!J106=""),'Age Banded Rating'!S29,"Refer to RGA")</f>
        <v>0</v>
      </c>
      <c r="I232" s="885" t="str">
        <f t="shared" si="32"/>
        <v/>
      </c>
      <c r="J232" s="886">
        <f ca="1">IF(AND(Referral_Error="",'General Basis'!J106=""),'Age Banded Rating'!U29,"Refer to RGA")</f>
        <v>0</v>
      </c>
      <c r="K232" s="886">
        <f ca="1">IF(AND(Referral_Error="",'General Basis'!J106=""),'Age Banded Rating'!V29,"Refer to RGA")</f>
        <v>0</v>
      </c>
      <c r="L232" s="885" t="str">
        <f t="shared" si="33"/>
        <v/>
      </c>
      <c r="M232" s="886">
        <f ca="1">IF(AND(Referral_Error="",'General Basis'!J106=""),'Age Banded Rating'!X29,"Refer to RGA")</f>
        <v>0</v>
      </c>
      <c r="N232" s="886">
        <f ca="1">IF(AND(Referral_Error="",'General Basis'!J106=""),'Age Banded Rating'!Y29,"Refer to RGA")</f>
        <v>0</v>
      </c>
    </row>
    <row r="233" spans="2:14" x14ac:dyDescent="0.25">
      <c r="B233" s="1446"/>
      <c r="C233" s="885" t="str">
        <f t="shared" si="30"/>
        <v/>
      </c>
      <c r="D233" s="886">
        <f ca="1">IF(AND(Referral_Error="",'General Basis'!J106=""),'Age Banded Rating'!O30,"Refer to RGA")</f>
        <v>0</v>
      </c>
      <c r="E233" s="886">
        <f ca="1">IF(AND(Referral_Error="",'General Basis'!J106=""),'Age Banded Rating'!P30,"Refer to RGA")</f>
        <v>0</v>
      </c>
      <c r="F233" s="885" t="str">
        <f t="shared" si="31"/>
        <v/>
      </c>
      <c r="G233" s="886">
        <f ca="1">IF(AND(Referral_Error="",'General Basis'!J106=""),'Age Banded Rating'!R30,"Refer to RGA")</f>
        <v>0</v>
      </c>
      <c r="H233" s="886">
        <f ca="1">IF(AND(Referral_Error="",'General Basis'!J106=""),'Age Banded Rating'!S30,"Refer to RGA")</f>
        <v>0</v>
      </c>
      <c r="I233" s="885" t="str">
        <f t="shared" si="32"/>
        <v/>
      </c>
      <c r="J233" s="886">
        <f ca="1">IF(AND(Referral_Error="",'General Basis'!J106=""),'Age Banded Rating'!U30,"Refer to RGA")</f>
        <v>0</v>
      </c>
      <c r="K233" s="886">
        <f ca="1">IF(AND(Referral_Error="",'General Basis'!J106=""),'Age Banded Rating'!V30,"Refer to RGA")</f>
        <v>0</v>
      </c>
      <c r="L233" s="885" t="str">
        <f t="shared" si="33"/>
        <v/>
      </c>
      <c r="M233" s="886">
        <f ca="1">IF(AND(Referral_Error="",'General Basis'!J106=""),'Age Banded Rating'!X30,"Refer to RGA")</f>
        <v>0</v>
      </c>
      <c r="N233" s="886">
        <f ca="1">IF(AND(Referral_Error="",'General Basis'!J106=""),'Age Banded Rating'!Y30,"Refer to RGA")</f>
        <v>0</v>
      </c>
    </row>
    <row r="234" spans="2:14" x14ac:dyDescent="0.25">
      <c r="B234" s="1446"/>
      <c r="C234" s="885" t="str">
        <f t="shared" si="30"/>
        <v/>
      </c>
      <c r="D234" s="886">
        <f ca="1">IF(AND(Referral_Error="",'General Basis'!J106=""),'Age Banded Rating'!O31,"Refer to RGA")</f>
        <v>0</v>
      </c>
      <c r="E234" s="886">
        <f ca="1">IF(AND(Referral_Error="",'General Basis'!J106=""),'Age Banded Rating'!P31,"Refer to RGA")</f>
        <v>0</v>
      </c>
      <c r="F234" s="885" t="str">
        <f t="shared" si="31"/>
        <v/>
      </c>
      <c r="G234" s="886">
        <f ca="1">IF(AND(Referral_Error="",'General Basis'!J106=""),'Age Banded Rating'!R31,"Refer to RGA")</f>
        <v>0</v>
      </c>
      <c r="H234" s="886">
        <f ca="1">IF(AND(Referral_Error="",'General Basis'!J106=""),'Age Banded Rating'!S31,"Refer to RGA")</f>
        <v>0</v>
      </c>
      <c r="I234" s="885" t="str">
        <f t="shared" si="32"/>
        <v/>
      </c>
      <c r="J234" s="886">
        <f ca="1">IF(AND(Referral_Error="",'General Basis'!J106=""),'Age Banded Rating'!U31,"Refer to RGA")</f>
        <v>0</v>
      </c>
      <c r="K234" s="886">
        <f ca="1">IF(AND(Referral_Error="",'General Basis'!J106=""),'Age Banded Rating'!V31,"Refer to RGA")</f>
        <v>0</v>
      </c>
      <c r="L234" s="885" t="str">
        <f t="shared" si="33"/>
        <v/>
      </c>
      <c r="M234" s="886">
        <f ca="1">IF(AND(Referral_Error="",'General Basis'!J106=""),'Age Banded Rating'!X31,"Refer to RGA")</f>
        <v>0</v>
      </c>
      <c r="N234" s="886">
        <f ca="1">IF(AND(Referral_Error="",'General Basis'!J106=""),'Age Banded Rating'!Y31,"Refer to RGA")</f>
        <v>0</v>
      </c>
    </row>
    <row r="235" spans="2:14" x14ac:dyDescent="0.25">
      <c r="B235" s="1446"/>
      <c r="C235" s="885" t="str">
        <f t="shared" si="30"/>
        <v/>
      </c>
      <c r="D235" s="886">
        <f ca="1">IF(AND(Referral_Error="",'General Basis'!J106=""),'Age Banded Rating'!O32,"Refer to RGA")</f>
        <v>0</v>
      </c>
      <c r="E235" s="886">
        <f ca="1">IF(AND(Referral_Error="",'General Basis'!J106=""),'Age Banded Rating'!P32,"Refer to RGA")</f>
        <v>0</v>
      </c>
      <c r="F235" s="885" t="str">
        <f t="shared" si="31"/>
        <v/>
      </c>
      <c r="G235" s="886">
        <f ca="1">IF(AND(Referral_Error="",'General Basis'!J106=""),'Age Banded Rating'!R32,"Refer to RGA")</f>
        <v>0</v>
      </c>
      <c r="H235" s="886">
        <f ca="1">IF(AND(Referral_Error="",'General Basis'!J106=""),'Age Banded Rating'!S32,"Refer to RGA")</f>
        <v>0</v>
      </c>
      <c r="I235" s="885" t="str">
        <f t="shared" si="32"/>
        <v/>
      </c>
      <c r="J235" s="886">
        <f ca="1">IF(AND(Referral_Error="",'General Basis'!J106=""),'Age Banded Rating'!U32,"Refer to RGA")</f>
        <v>0</v>
      </c>
      <c r="K235" s="886">
        <f ca="1">IF(AND(Referral_Error="",'General Basis'!J106=""),'Age Banded Rating'!V32,"Refer to RGA")</f>
        <v>0</v>
      </c>
      <c r="L235" s="885" t="str">
        <f t="shared" si="33"/>
        <v/>
      </c>
      <c r="M235" s="886">
        <f ca="1">IF(AND(Referral_Error="",'General Basis'!J106=""),'Age Banded Rating'!X32,"Refer to RGA")</f>
        <v>0</v>
      </c>
      <c r="N235" s="886">
        <f ca="1">IF(AND(Referral_Error="",'General Basis'!J106=""),'Age Banded Rating'!Y32,"Refer to RGA")</f>
        <v>0</v>
      </c>
    </row>
    <row r="236" spans="2:14" x14ac:dyDescent="0.25">
      <c r="B236" s="1446"/>
      <c r="C236" s="885" t="str">
        <f t="shared" si="30"/>
        <v/>
      </c>
      <c r="D236" s="886">
        <f ca="1">IF(AND(Referral_Error="",'General Basis'!J106=""),'Age Banded Rating'!O33,"Refer to RGA")</f>
        <v>0</v>
      </c>
      <c r="E236" s="886">
        <f ca="1">IF(AND(Referral_Error="",'General Basis'!J106=""),'Age Banded Rating'!P33,"Refer to RGA")</f>
        <v>0</v>
      </c>
      <c r="F236" s="885" t="str">
        <f t="shared" si="31"/>
        <v/>
      </c>
      <c r="G236" s="886">
        <f ca="1">IF(AND(Referral_Error="",'General Basis'!J106=""),'Age Banded Rating'!R33,"Refer to RGA")</f>
        <v>0</v>
      </c>
      <c r="H236" s="886">
        <f ca="1">IF(AND(Referral_Error="",'General Basis'!J106=""),'Age Banded Rating'!S33,"Refer to RGA")</f>
        <v>0</v>
      </c>
      <c r="I236" s="885" t="str">
        <f t="shared" si="32"/>
        <v/>
      </c>
      <c r="J236" s="886">
        <f ca="1">IF(AND(Referral_Error="",'General Basis'!J106=""),'Age Banded Rating'!U33,"Refer to RGA")</f>
        <v>0</v>
      </c>
      <c r="K236" s="886">
        <f ca="1">IF(AND(Referral_Error="",'General Basis'!J106=""),'Age Banded Rating'!V33,"Refer to RGA")</f>
        <v>0</v>
      </c>
      <c r="L236" s="885" t="str">
        <f t="shared" si="33"/>
        <v/>
      </c>
      <c r="M236" s="886">
        <f ca="1">IF(AND(Referral_Error="",'General Basis'!J106=""),'Age Banded Rating'!X33,"Refer to RGA")</f>
        <v>0</v>
      </c>
      <c r="N236" s="886">
        <f ca="1">IF(AND(Referral_Error="",'General Basis'!J106=""),'Age Banded Rating'!Y33,"Refer to RGA")</f>
        <v>0</v>
      </c>
    </row>
    <row r="237" spans="2:14" x14ac:dyDescent="0.25">
      <c r="B237" s="1446"/>
      <c r="C237" s="885" t="str">
        <f t="shared" si="30"/>
        <v/>
      </c>
      <c r="D237" s="886">
        <f ca="1">IF(AND(Referral_Error="",'General Basis'!J106=""),'Age Banded Rating'!O34,"Refer to RGA")</f>
        <v>0</v>
      </c>
      <c r="E237" s="886">
        <f ca="1">IF(AND(Referral_Error="",'General Basis'!J106=""),'Age Banded Rating'!P34,"Refer to RGA")</f>
        <v>0</v>
      </c>
      <c r="F237" s="885" t="str">
        <f t="shared" si="31"/>
        <v/>
      </c>
      <c r="G237" s="886">
        <f ca="1">IF(AND(Referral_Error="",'General Basis'!J106=""),'Age Banded Rating'!R34,"Refer to RGA")</f>
        <v>0</v>
      </c>
      <c r="H237" s="886">
        <f ca="1">IF(AND(Referral_Error="",'General Basis'!J106=""),'Age Banded Rating'!S34,"Refer to RGA")</f>
        <v>0</v>
      </c>
      <c r="I237" s="885" t="str">
        <f t="shared" si="32"/>
        <v/>
      </c>
      <c r="J237" s="886">
        <f ca="1">IF(AND(Referral_Error="",'General Basis'!J106=""),'Age Banded Rating'!U34,"Refer to RGA")</f>
        <v>0</v>
      </c>
      <c r="K237" s="886">
        <f ca="1">IF(AND(Referral_Error="",'General Basis'!J106=""),'Age Banded Rating'!V34,"Refer to RGA")</f>
        <v>0</v>
      </c>
      <c r="L237" s="885" t="str">
        <f t="shared" si="33"/>
        <v/>
      </c>
      <c r="M237" s="886">
        <f ca="1">IF(AND(Referral_Error="",'General Basis'!J106=""),'Age Banded Rating'!X34,"Refer to RGA")</f>
        <v>0</v>
      </c>
      <c r="N237" s="886">
        <f ca="1">IF(AND(Referral_Error="",'General Basis'!J106=""),'Age Banded Rating'!Y34,"Refer to RGA")</f>
        <v>0</v>
      </c>
    </row>
    <row r="238" spans="2:14" x14ac:dyDescent="0.25">
      <c r="B238" s="1446"/>
      <c r="C238" s="885" t="str">
        <f t="shared" si="30"/>
        <v/>
      </c>
      <c r="D238" s="886">
        <f ca="1">IF(AND(Referral_Error="",'General Basis'!J106=""),'Age Banded Rating'!O35,"Refer to RGA")</f>
        <v>0</v>
      </c>
      <c r="E238" s="886">
        <f ca="1">IF(AND(Referral_Error="",'General Basis'!J106=""),'Age Banded Rating'!P35,"Refer to RGA")</f>
        <v>0</v>
      </c>
      <c r="F238" s="885" t="str">
        <f t="shared" si="31"/>
        <v/>
      </c>
      <c r="G238" s="886">
        <f ca="1">IF(AND(Referral_Error="",'General Basis'!J106=""),'Age Banded Rating'!R35,"Refer to RGA")</f>
        <v>0</v>
      </c>
      <c r="H238" s="886">
        <f ca="1">IF(AND(Referral_Error="",'General Basis'!J106=""),'Age Banded Rating'!S35,"Refer to RGA")</f>
        <v>0</v>
      </c>
      <c r="I238" s="885" t="str">
        <f t="shared" si="32"/>
        <v/>
      </c>
      <c r="J238" s="886">
        <f ca="1">IF(AND(Referral_Error="",'General Basis'!J106=""),'Age Banded Rating'!U35,"Refer to RGA")</f>
        <v>0</v>
      </c>
      <c r="K238" s="886">
        <f ca="1">IF(AND(Referral_Error="",'General Basis'!J106=""),'Age Banded Rating'!V35,"Refer to RGA")</f>
        <v>0</v>
      </c>
      <c r="L238" s="885" t="str">
        <f t="shared" si="33"/>
        <v/>
      </c>
      <c r="M238" s="886">
        <f ca="1">IF(AND(Referral_Error="",'General Basis'!J106=""),'Age Banded Rating'!X35,"Refer to RGA")</f>
        <v>0</v>
      </c>
      <c r="N238" s="886">
        <f ca="1">IF(AND(Referral_Error="",'General Basis'!J106=""),'Age Banded Rating'!Y35,"Refer to RGA")</f>
        <v>0</v>
      </c>
    </row>
    <row r="239" spans="2:14" x14ac:dyDescent="0.25">
      <c r="B239" s="1447"/>
      <c r="C239" s="885" t="str">
        <f t="shared" si="30"/>
        <v/>
      </c>
      <c r="D239" s="886">
        <f ca="1">IF(AND(Referral_Error="",'General Basis'!J106=""),'Age Banded Rating'!O36,"Refer to RGA")</f>
        <v>0</v>
      </c>
      <c r="E239" s="886">
        <f ca="1">IF(AND(Referral_Error="",'General Basis'!J106=""),'Age Banded Rating'!P36,"Refer to RGA")</f>
        <v>0</v>
      </c>
      <c r="F239" s="885" t="str">
        <f t="shared" si="31"/>
        <v/>
      </c>
      <c r="G239" s="886">
        <f ca="1">IF(AND(Referral_Error="",'General Basis'!J106=""),'Age Banded Rating'!R36,"Refer to RGA")</f>
        <v>0</v>
      </c>
      <c r="H239" s="886">
        <f ca="1">IF(AND(Referral_Error="",'General Basis'!J106=""),'Age Banded Rating'!S36,"Refer to RGA")</f>
        <v>0</v>
      </c>
      <c r="I239" s="885" t="str">
        <f t="shared" si="32"/>
        <v/>
      </c>
      <c r="J239" s="886">
        <f ca="1">IF(AND(Referral_Error="",'General Basis'!J106=""),'Age Banded Rating'!U36,"Refer to RGA")</f>
        <v>0</v>
      </c>
      <c r="K239" s="886">
        <f ca="1">IF(AND(Referral_Error="",'General Basis'!J106=""),'Age Banded Rating'!V36,"Refer to RGA")</f>
        <v>0</v>
      </c>
      <c r="L239" s="885" t="str">
        <f t="shared" si="33"/>
        <v/>
      </c>
      <c r="M239" s="886">
        <f ca="1">IF(AND(Referral_Error="",'General Basis'!J106=""),'Age Banded Rating'!X36,"Refer to RGA")</f>
        <v>0</v>
      </c>
      <c r="N239" s="886">
        <f ca="1">IF(AND(Referral_Error="",'General Basis'!J106=""),'Age Banded Rating'!Y36,"Refer to RGA")</f>
        <v>0</v>
      </c>
    </row>
    <row r="240" spans="2:14" ht="32.25" x14ac:dyDescent="0.25">
      <c r="B240" s="887" t="s">
        <v>992</v>
      </c>
      <c r="C240" s="836">
        <f ca="1">SUM(D228:E239)</f>
        <v>0</v>
      </c>
      <c r="D240" s="837">
        <f ca="1">SUM(D228:D239)</f>
        <v>0</v>
      </c>
      <c r="E240" s="837">
        <f ca="1">SUM(E228:E239)</f>
        <v>0</v>
      </c>
      <c r="F240" s="836">
        <f ca="1">SUM(G228:H239)</f>
        <v>0</v>
      </c>
      <c r="G240" s="837">
        <f ca="1">SUM(G228:G239)</f>
        <v>0</v>
      </c>
      <c r="H240" s="837">
        <f ca="1">SUM(H228:H239)</f>
        <v>0</v>
      </c>
      <c r="I240" s="836">
        <f ca="1">SUM(J228:K239)</f>
        <v>0</v>
      </c>
      <c r="J240" s="837">
        <f ca="1">SUM(J228:J239)</f>
        <v>0</v>
      </c>
      <c r="K240" s="837">
        <f ca="1">SUM(K228:K239)</f>
        <v>0</v>
      </c>
      <c r="L240" s="836">
        <f ca="1">SUM(M228:N239)</f>
        <v>0</v>
      </c>
      <c r="M240" s="837">
        <f ca="1">SUM(M228:M239)</f>
        <v>0</v>
      </c>
      <c r="N240" s="837">
        <f ca="1">SUM(N228:N239)</f>
        <v>0</v>
      </c>
    </row>
    <row r="241" spans="1:18" x14ac:dyDescent="0.25"/>
    <row r="242" spans="1:18" ht="23.25" customHeight="1" x14ac:dyDescent="0.25">
      <c r="B242" s="1457" t="s">
        <v>998</v>
      </c>
      <c r="C242" s="888" t="str">
        <f>C210</f>
        <v>Dubai</v>
      </c>
      <c r="D242" s="884" t="str">
        <f t="shared" ref="D242:N242" si="34">D210</f>
        <v>Category A</v>
      </c>
      <c r="E242" s="884" t="s">
        <v>832</v>
      </c>
      <c r="F242" s="884" t="str">
        <f t="shared" si="34"/>
        <v/>
      </c>
      <c r="G242" s="884" t="str">
        <f t="shared" si="34"/>
        <v>Category B</v>
      </c>
      <c r="H242" s="884" t="str">
        <f t="shared" si="34"/>
        <v>Category B</v>
      </c>
      <c r="I242" s="884" t="str">
        <f t="shared" si="34"/>
        <v/>
      </c>
      <c r="J242" s="884" t="str">
        <f t="shared" si="34"/>
        <v>Category C</v>
      </c>
      <c r="K242" s="884" t="str">
        <f t="shared" si="34"/>
        <v>Category C</v>
      </c>
      <c r="L242" s="884" t="str">
        <f t="shared" si="34"/>
        <v/>
      </c>
      <c r="M242" s="884" t="str">
        <f t="shared" si="34"/>
        <v>Category D</v>
      </c>
      <c r="N242" s="884" t="str">
        <f t="shared" si="34"/>
        <v>Category D</v>
      </c>
    </row>
    <row r="243" spans="1:18" s="892" customFormat="1" x14ac:dyDescent="0.25">
      <c r="A243" s="593"/>
      <c r="B243" s="1457"/>
      <c r="C243" s="981" t="s">
        <v>957</v>
      </c>
      <c r="D243" s="982">
        <f>'Member Data'!O43</f>
        <v>0</v>
      </c>
      <c r="E243" s="889" t="str">
        <f>C267</f>
        <v>18-45</v>
      </c>
      <c r="F243" s="981" t="s">
        <v>957</v>
      </c>
      <c r="G243" s="982">
        <f>'Member Data'!P43</f>
        <v>0</v>
      </c>
      <c r="H243" s="891" t="str">
        <f>F267</f>
        <v/>
      </c>
      <c r="I243" s="981" t="s">
        <v>957</v>
      </c>
      <c r="J243" s="982">
        <f>'Member Data'!Q43</f>
        <v>0</v>
      </c>
      <c r="K243" s="891" t="str">
        <f>I267</f>
        <v/>
      </c>
      <c r="L243" s="981" t="s">
        <v>957</v>
      </c>
      <c r="M243" s="982">
        <f>'Member Data'!R43</f>
        <v>0</v>
      </c>
      <c r="N243" s="891" t="str">
        <f>L267</f>
        <v/>
      </c>
      <c r="O243" s="593"/>
      <c r="P243" s="593"/>
      <c r="Q243" s="593"/>
      <c r="R243" s="593"/>
    </row>
    <row r="244" spans="1:18" x14ac:dyDescent="0.25">
      <c r="B244" s="1457"/>
      <c r="C244" s="981" t="s">
        <v>958</v>
      </c>
      <c r="D244" s="982">
        <f>'Member Data'!O44</f>
        <v>0</v>
      </c>
      <c r="E244" s="889" t="str">
        <f>E243</f>
        <v>18-45</v>
      </c>
      <c r="F244" s="981" t="s">
        <v>958</v>
      </c>
      <c r="G244" s="982">
        <f>'Member Data'!P44</f>
        <v>0</v>
      </c>
      <c r="H244" s="889" t="str">
        <f>H243</f>
        <v/>
      </c>
      <c r="I244" s="981" t="s">
        <v>958</v>
      </c>
      <c r="J244" s="982">
        <f>'Member Data'!Q44</f>
        <v>0</v>
      </c>
      <c r="K244" s="889" t="str">
        <f>K243</f>
        <v/>
      </c>
      <c r="L244" s="981" t="s">
        <v>958</v>
      </c>
      <c r="M244" s="982">
        <f>'Member Data'!R44</f>
        <v>0</v>
      </c>
      <c r="N244" s="889" t="str">
        <f>N243</f>
        <v/>
      </c>
    </row>
    <row r="245" spans="1:18" ht="23.25" x14ac:dyDescent="0.25">
      <c r="B245" s="1457"/>
      <c r="C245" s="888" t="str">
        <f>C226</f>
        <v/>
      </c>
      <c r="D245" s="884" t="str">
        <f t="shared" ref="D245:N245" si="35">D226</f>
        <v>Category E</v>
      </c>
      <c r="E245" s="884" t="str">
        <f t="shared" si="35"/>
        <v>Category E</v>
      </c>
      <c r="F245" s="884" t="str">
        <f t="shared" si="35"/>
        <v/>
      </c>
      <c r="G245" s="884" t="str">
        <f t="shared" si="35"/>
        <v>Category F</v>
      </c>
      <c r="H245" s="884" t="str">
        <f t="shared" si="35"/>
        <v>Category F</v>
      </c>
      <c r="I245" s="884" t="str">
        <f t="shared" si="35"/>
        <v/>
      </c>
      <c r="J245" s="884" t="str">
        <f t="shared" si="35"/>
        <v>Category G</v>
      </c>
      <c r="K245" s="884" t="str">
        <f t="shared" si="35"/>
        <v>Category G</v>
      </c>
      <c r="L245" s="884" t="str">
        <f t="shared" si="35"/>
        <v/>
      </c>
      <c r="M245" s="884" t="str">
        <f t="shared" si="35"/>
        <v>Category H</v>
      </c>
      <c r="N245" s="884" t="str">
        <f t="shared" si="35"/>
        <v>Category H</v>
      </c>
    </row>
    <row r="246" spans="1:18" s="892" customFormat="1" x14ac:dyDescent="0.25">
      <c r="A246" s="593"/>
      <c r="B246" s="1457"/>
      <c r="C246" s="981" t="s">
        <v>957</v>
      </c>
      <c r="D246" s="982">
        <f>'Member Data'!S43</f>
        <v>0</v>
      </c>
      <c r="E246" s="889" t="str">
        <f>C284</f>
        <v/>
      </c>
      <c r="F246" s="981" t="s">
        <v>957</v>
      </c>
      <c r="G246" s="982">
        <f>'Member Data'!T43</f>
        <v>0</v>
      </c>
      <c r="H246" s="891" t="str">
        <f>F284</f>
        <v/>
      </c>
      <c r="I246" s="981" t="s">
        <v>957</v>
      </c>
      <c r="J246" s="982">
        <f>'Member Data'!U43</f>
        <v>0</v>
      </c>
      <c r="K246" s="891" t="str">
        <f>I284</f>
        <v/>
      </c>
      <c r="L246" s="981" t="s">
        <v>957</v>
      </c>
      <c r="M246" s="982">
        <f>'Member Data'!V43</f>
        <v>0</v>
      </c>
      <c r="N246" s="891" t="str">
        <f>L284</f>
        <v/>
      </c>
      <c r="O246" s="593"/>
      <c r="P246" s="593"/>
      <c r="Q246" s="593"/>
      <c r="R246" s="593"/>
    </row>
    <row r="247" spans="1:18" x14ac:dyDescent="0.25">
      <c r="B247" s="1457"/>
      <c r="C247" s="981" t="s">
        <v>958</v>
      </c>
      <c r="D247" s="982">
        <f>'Member Data'!S44</f>
        <v>0</v>
      </c>
      <c r="E247" s="889" t="str">
        <f>E246</f>
        <v/>
      </c>
      <c r="F247" s="981" t="s">
        <v>958</v>
      </c>
      <c r="G247" s="982">
        <f>'Member Data'!T44</f>
        <v>0</v>
      </c>
      <c r="H247" s="889" t="str">
        <f>H246</f>
        <v/>
      </c>
      <c r="I247" s="981" t="s">
        <v>958</v>
      </c>
      <c r="J247" s="982">
        <f>'Member Data'!U44</f>
        <v>0</v>
      </c>
      <c r="K247" s="889" t="str">
        <f>K246</f>
        <v/>
      </c>
      <c r="L247" s="981" t="s">
        <v>958</v>
      </c>
      <c r="M247" s="982">
        <f>'Member Data'!V44</f>
        <v>0</v>
      </c>
      <c r="N247" s="889" t="str">
        <f>N246</f>
        <v/>
      </c>
    </row>
    <row r="248" spans="1:18" x14ac:dyDescent="0.25">
      <c r="B248" s="838"/>
    </row>
    <row r="249" spans="1:18" x14ac:dyDescent="0.25"/>
    <row r="250" spans="1:18" ht="39" x14ac:dyDescent="0.25">
      <c r="B250" s="1454" t="s">
        <v>993</v>
      </c>
      <c r="C250" s="1455"/>
      <c r="D250" s="1455"/>
      <c r="E250" s="1455"/>
      <c r="F250" s="1455"/>
      <c r="G250" s="1455"/>
      <c r="H250" s="1455"/>
      <c r="I250" s="1455"/>
      <c r="J250" s="1455"/>
      <c r="K250" s="1455"/>
      <c r="L250" s="1455"/>
      <c r="M250" s="1455"/>
      <c r="N250" s="1456"/>
    </row>
    <row r="251" spans="1:18" x14ac:dyDescent="0.25">
      <c r="B251" s="807"/>
      <c r="C251" s="799"/>
      <c r="D251" s="799"/>
      <c r="E251" s="799"/>
      <c r="F251" s="799"/>
      <c r="G251" s="799"/>
      <c r="H251" s="799"/>
      <c r="I251" s="799"/>
      <c r="J251" s="799"/>
      <c r="K251" s="799"/>
      <c r="L251" s="799"/>
      <c r="M251" s="868"/>
      <c r="N251" s="869"/>
    </row>
    <row r="252" spans="1:18" x14ac:dyDescent="0.25">
      <c r="B252" s="830"/>
      <c r="N252" s="870"/>
    </row>
    <row r="253" spans="1:18" ht="23.25" x14ac:dyDescent="0.25">
      <c r="B253" s="1445" t="s">
        <v>957</v>
      </c>
      <c r="C253" s="884" t="str">
        <f>IFERROR(VLOOKUP(D253,'General Basis'!$I$39:$L$46,4,0),"")</f>
        <v>Dubai</v>
      </c>
      <c r="D253" s="884" t="s">
        <v>735</v>
      </c>
      <c r="E253" s="884" t="s">
        <v>735</v>
      </c>
      <c r="F253" s="884" t="str">
        <f>IFERROR(VLOOKUP(G253,'General Basis'!$I$39:$L$46,4,0),"")</f>
        <v/>
      </c>
      <c r="G253" s="884" t="s">
        <v>736</v>
      </c>
      <c r="H253" s="884" t="s">
        <v>736</v>
      </c>
      <c r="I253" s="884" t="str">
        <f>IFERROR(VLOOKUP(J253,'General Basis'!$I$39:$L$46,4,0),"")</f>
        <v/>
      </c>
      <c r="J253" s="884" t="s">
        <v>737</v>
      </c>
      <c r="K253" s="884" t="s">
        <v>737</v>
      </c>
      <c r="L253" s="884" t="str">
        <f>IFERROR(VLOOKUP(M253,'General Basis'!$I$39:$L$46,4,0),"")</f>
        <v/>
      </c>
      <c r="M253" s="884" t="s">
        <v>738</v>
      </c>
      <c r="N253" s="884" t="s">
        <v>738</v>
      </c>
    </row>
    <row r="254" spans="1:18" ht="23.25" x14ac:dyDescent="0.25">
      <c r="B254" s="1446"/>
      <c r="C254" s="829" t="s">
        <v>286</v>
      </c>
      <c r="D254" s="884" t="s">
        <v>65</v>
      </c>
      <c r="E254" s="884" t="s">
        <v>66</v>
      </c>
      <c r="F254" s="829" t="s">
        <v>286</v>
      </c>
      <c r="G254" s="884" t="s">
        <v>65</v>
      </c>
      <c r="H254" s="884" t="s">
        <v>66</v>
      </c>
      <c r="I254" s="829" t="s">
        <v>286</v>
      </c>
      <c r="J254" s="884" t="s">
        <v>65</v>
      </c>
      <c r="K254" s="884" t="s">
        <v>66</v>
      </c>
      <c r="L254" s="829" t="s">
        <v>286</v>
      </c>
      <c r="M254" s="884" t="s">
        <v>65</v>
      </c>
      <c r="N254" s="884" t="s">
        <v>66</v>
      </c>
    </row>
    <row r="255" spans="1:18" x14ac:dyDescent="0.25">
      <c r="B255" s="1446"/>
      <c r="C255" s="885" t="str">
        <f>IF(C$253="","",IFERROR(IF(C$253="Abu Dhabi",'General Basis'!$C39,'General Basis'!$B39),""))</f>
        <v>0 - 10</v>
      </c>
      <c r="D255" s="886" t="str">
        <f ca="1">IF(AND(Referral_Error="",'General Basis'!J106=""),IF('Age Banded Rating'!C148=0,"NA",'Age Banded Rating'!C148),"Refer to RGA")</f>
        <v>NA</v>
      </c>
      <c r="E255" s="886" t="str">
        <f ca="1">IF(AND(Referral_Error="",'General Basis'!J106=""),IF('Age Banded Rating'!D148=0,"NA",'Age Banded Rating'!D148),"Refer to RGA")</f>
        <v>NA</v>
      </c>
      <c r="F255" s="885" t="str">
        <f>IF(F$253="","",IFERROR(IF(F$253="Abu Dhabi",'General Basis'!$C39,'General Basis'!$B39),""))</f>
        <v/>
      </c>
      <c r="G255" s="886" t="str">
        <f ca="1">IF(AND(Referral_Error="",'General Basis'!J106=""),IF('Age Banded Rating'!F148=0,"NA",'Age Banded Rating'!F148),"Refer to RGA")</f>
        <v>NA</v>
      </c>
      <c r="H255" s="886" t="str">
        <f ca="1">IF(AND(Referral_Error="",'General Basis'!J106=""),IF('Age Banded Rating'!G148=0,"NA",'Age Banded Rating'!G148),"Refer to RGA")</f>
        <v>NA</v>
      </c>
      <c r="I255" s="885" t="str">
        <f>IF(I$253="","",IFERROR(IF(I$253="Abu Dhabi",'General Basis'!$C39,'General Basis'!$B39),""))</f>
        <v/>
      </c>
      <c r="J255" s="886" t="str">
        <f ca="1">IF(AND(Referral_Error="",'General Basis'!J106=""),IF('Age Banded Rating'!I148=0,"NA",'Age Banded Rating'!I148),"Refer to RGA")</f>
        <v>NA</v>
      </c>
      <c r="K255" s="886" t="str">
        <f ca="1">IF(AND(Referral_Error="",'General Basis'!J106=""),IF('Age Banded Rating'!J148=0,"NA",'Age Banded Rating'!J148),"Refer to RGA")</f>
        <v>NA</v>
      </c>
      <c r="L255" s="885" t="str">
        <f>IF(L$253="","",IFERROR(IF(L$253="Abu Dhabi",'General Basis'!$C39,'General Basis'!$B39),""))</f>
        <v/>
      </c>
      <c r="M255" s="886" t="str">
        <f ca="1">IF(AND(Referral_Error="",'General Basis'!J106=""),IF('Age Banded Rating'!L148=0,"NA",'Age Banded Rating'!L148),"Refer to RGA")</f>
        <v>NA</v>
      </c>
      <c r="N255" s="886" t="str">
        <f ca="1">IF(AND(Referral_Error="",'General Basis'!J106=""),IF('Age Banded Rating'!M148=0,"NA",'Age Banded Rating'!M148),"Refer to RGA")</f>
        <v>NA</v>
      </c>
    </row>
    <row r="256" spans="1:18" x14ac:dyDescent="0.25">
      <c r="B256" s="1446"/>
      <c r="C256" s="885" t="str">
        <f>IF(C$253="","",IFERROR(IF(C$253="Abu Dhabi",'General Basis'!$C40,'General Basis'!$B40),""))</f>
        <v>11 - 17</v>
      </c>
      <c r="D256" s="886" t="str">
        <f ca="1">IF(AND(Referral_Error="",'General Basis'!J106=""),IF('Age Banded Rating'!C149=0,"NA",'Age Banded Rating'!C149),"Refer to RGA")</f>
        <v>NA</v>
      </c>
      <c r="E256" s="886" t="str">
        <f ca="1">IF(AND(Referral_Error="",'General Basis'!J106=""),IF('Age Banded Rating'!D149=0,"NA",'Age Banded Rating'!D149),"Refer to RGA")</f>
        <v>NA</v>
      </c>
      <c r="F256" s="885" t="str">
        <f>IF(F$253="","",IFERROR(IF(F$253="Abu Dhabi",'General Basis'!$C40,'General Basis'!$B40),""))</f>
        <v/>
      </c>
      <c r="G256" s="886" t="str">
        <f ca="1">IF(AND(Referral_Error="",'General Basis'!J106=""),IF('Age Banded Rating'!F149=0,"NA",'Age Banded Rating'!F149),"Refer to RGA")</f>
        <v>NA</v>
      </c>
      <c r="H256" s="886" t="str">
        <f ca="1">IF(AND(Referral_Error="",'General Basis'!J106=""),IF('Age Banded Rating'!G149=0,"NA",'Age Banded Rating'!G149),"Refer to RGA")</f>
        <v>NA</v>
      </c>
      <c r="I256" s="885" t="str">
        <f>IF(I$253="","",IFERROR(IF(I$253="Abu Dhabi",'General Basis'!$C40,'General Basis'!$B40),""))</f>
        <v/>
      </c>
      <c r="J256" s="886" t="str">
        <f ca="1">IF(AND(Referral_Error="",'General Basis'!J106=""),IF('Age Banded Rating'!I149=0,"NA",'Age Banded Rating'!I149),"Refer to RGA")</f>
        <v>NA</v>
      </c>
      <c r="K256" s="886" t="str">
        <f ca="1">IF(AND(Referral_Error="",'General Basis'!J106=""),IF('Age Banded Rating'!J149=0,"NA",'Age Banded Rating'!J149),"Refer to RGA")</f>
        <v>NA</v>
      </c>
      <c r="L256" s="885" t="str">
        <f>IF(L$253="","",IFERROR(IF(L$253="Abu Dhabi",'General Basis'!$C40,'General Basis'!$B40),""))</f>
        <v/>
      </c>
      <c r="M256" s="886" t="str">
        <f ca="1">IF(AND(Referral_Error="",'General Basis'!J106=""),IF('Age Banded Rating'!L149=0,"NA",'Age Banded Rating'!L149),"Refer to RGA")</f>
        <v>NA</v>
      </c>
      <c r="N256" s="886" t="str">
        <f ca="1">IF(AND(Referral_Error="",'General Basis'!J106=""),IF('Age Banded Rating'!M149=0,"NA",'Age Banded Rating'!M149),"Refer to RGA")</f>
        <v>NA</v>
      </c>
    </row>
    <row r="257" spans="1:18" x14ac:dyDescent="0.25">
      <c r="B257" s="1446"/>
      <c r="C257" s="885" t="str">
        <f>IF(C$253="","",IFERROR(IF(C$253="Abu Dhabi",'General Basis'!$C41,'General Basis'!$B41),""))</f>
        <v>18 - 25</v>
      </c>
      <c r="D257" s="886">
        <f ca="1">IF(AND(Referral_Error="",'General Basis'!J106=""),IF('Age Banded Rating'!C150=0,"NA",'Age Banded Rating'!C150),"Refer to RGA")</f>
        <v>1350.852991394881</v>
      </c>
      <c r="E257" s="886">
        <f ca="1">IF(AND(Referral_Error="",'General Basis'!J106=""),IF('Age Banded Rating'!D150=0,"NA",'Age Banded Rating'!D150),"Refer to RGA")</f>
        <v>1150.6842585463594</v>
      </c>
      <c r="F257" s="885" t="str">
        <f>IF(F$253="","",IFERROR(IF(F$253="Abu Dhabi",'General Basis'!$C41,'General Basis'!$B41),""))</f>
        <v/>
      </c>
      <c r="G257" s="886" t="str">
        <f ca="1">IF(AND(Referral_Error="",'General Basis'!J106=""),IF('Age Banded Rating'!F150=0,"NA",'Age Banded Rating'!F150),"Refer to RGA")</f>
        <v>NA</v>
      </c>
      <c r="H257" s="886" t="str">
        <f ca="1">IF(AND(Referral_Error="",'General Basis'!J106=""),IF('Age Banded Rating'!G150=0,"NA",'Age Banded Rating'!G150),"Refer to RGA")</f>
        <v>NA</v>
      </c>
      <c r="I257" s="885" t="str">
        <f>IF(I$253="","",IFERROR(IF(I$253="Abu Dhabi",'General Basis'!$C41,'General Basis'!$B41),""))</f>
        <v/>
      </c>
      <c r="J257" s="886" t="str">
        <f ca="1">IF(AND(Referral_Error="",'General Basis'!J106=""),IF('Age Banded Rating'!I150=0,"NA",'Age Banded Rating'!I150),"Refer to RGA")</f>
        <v>NA</v>
      </c>
      <c r="K257" s="886" t="str">
        <f ca="1">IF(AND(Referral_Error="",'General Basis'!J106=""),IF('Age Banded Rating'!J150=0,"NA",'Age Banded Rating'!J150),"Refer to RGA")</f>
        <v>NA</v>
      </c>
      <c r="L257" s="885" t="str">
        <f>IF(L$253="","",IFERROR(IF(L$253="Abu Dhabi",'General Basis'!$C41,'General Basis'!$B41),""))</f>
        <v/>
      </c>
      <c r="M257" s="886" t="str">
        <f ca="1">IF(AND(Referral_Error="",'General Basis'!J106=""),IF('Age Banded Rating'!L150=0,"NA",'Age Banded Rating'!L150),"Refer to RGA")</f>
        <v>NA</v>
      </c>
      <c r="N257" s="886" t="str">
        <f ca="1">IF(AND(Referral_Error="",'General Basis'!J106=""),IF('Age Banded Rating'!M150=0,"NA",'Age Banded Rating'!M150),"Refer to RGA")</f>
        <v>NA</v>
      </c>
    </row>
    <row r="258" spans="1:18" x14ac:dyDescent="0.25">
      <c r="B258" s="1446"/>
      <c r="C258" s="885" t="str">
        <f>IF(C$253="","",IFERROR(IF(C$253="Abu Dhabi",'General Basis'!$C42,'General Basis'!$B42),""))</f>
        <v>26 - 30</v>
      </c>
      <c r="D258" s="886">
        <f ca="1">IF(AND(Referral_Error="",'General Basis'!J106=""),IF('Age Banded Rating'!C151=0,"NA",'Age Banded Rating'!C151),"Refer to RGA")</f>
        <v>1468.666588442868</v>
      </c>
      <c r="E258" s="886">
        <f ca="1">IF(AND(Referral_Error="",'General Basis'!J106=""),IF('Age Banded Rating'!D151=0,"NA",'Age Banded Rating'!D151),"Refer to RGA")</f>
        <v>1437.7834125176676</v>
      </c>
      <c r="F258" s="885" t="str">
        <f>IF(F$253="","",IFERROR(IF(F$253="Abu Dhabi",'General Basis'!$C42,'General Basis'!$B42),""))</f>
        <v/>
      </c>
      <c r="G258" s="886" t="str">
        <f ca="1">IF(AND(Referral_Error="",'General Basis'!J106=""),IF('Age Banded Rating'!F151=0,"NA",'Age Banded Rating'!F151),"Refer to RGA")</f>
        <v>NA</v>
      </c>
      <c r="H258" s="886" t="str">
        <f ca="1">IF(AND(Referral_Error="",'General Basis'!J106=""),IF('Age Banded Rating'!G151=0,"NA",'Age Banded Rating'!G151),"Refer to RGA")</f>
        <v>NA</v>
      </c>
      <c r="I258" s="885" t="str">
        <f>IF(I$253="","",IFERROR(IF(I$253="Abu Dhabi",'General Basis'!$C42,'General Basis'!$B42),""))</f>
        <v/>
      </c>
      <c r="J258" s="886" t="str">
        <f ca="1">IF(AND(Referral_Error="",'General Basis'!J106=""),IF('Age Banded Rating'!I151=0,"NA",'Age Banded Rating'!I151),"Refer to RGA")</f>
        <v>NA</v>
      </c>
      <c r="K258" s="886" t="str">
        <f ca="1">IF(AND(Referral_Error="",'General Basis'!J106=""),IF('Age Banded Rating'!J151=0,"NA",'Age Banded Rating'!J151),"Refer to RGA")</f>
        <v>NA</v>
      </c>
      <c r="L258" s="885" t="str">
        <f>IF(L$253="","",IFERROR(IF(L$253="Abu Dhabi",'General Basis'!$C42,'General Basis'!$B42),""))</f>
        <v/>
      </c>
      <c r="M258" s="886" t="str">
        <f ca="1">IF(AND(Referral_Error="",'General Basis'!J106=""),IF('Age Banded Rating'!L151=0,"NA",'Age Banded Rating'!L151),"Refer to RGA")</f>
        <v>NA</v>
      </c>
      <c r="N258" s="886" t="str">
        <f ca="1">IF(AND(Referral_Error="",'General Basis'!J106=""),IF('Age Banded Rating'!M151=0,"NA",'Age Banded Rating'!M151),"Refer to RGA")</f>
        <v>NA</v>
      </c>
    </row>
    <row r="259" spans="1:18" x14ac:dyDescent="0.25">
      <c r="B259" s="1446"/>
      <c r="C259" s="885" t="str">
        <f>IF(C$253="","",IFERROR(IF(C$253="Abu Dhabi",'General Basis'!$C43,'General Basis'!$B43),""))</f>
        <v>31 - 35</v>
      </c>
      <c r="D259" s="886">
        <f ca="1">IF(AND(Referral_Error="",'General Basis'!J106=""),IF('Age Banded Rating'!C152=0,"NA",'Age Banded Rating'!C152),"Refer to RGA")</f>
        <v>1774.0668837031842</v>
      </c>
      <c r="E259" s="886">
        <f ca="1">IF(AND(Referral_Error="",'General Basis'!J106=""),IF('Age Banded Rating'!D152=0,"NA",'Age Banded Rating'!D152),"Refer to RGA")</f>
        <v>1723.7387451584129</v>
      </c>
      <c r="F259" s="885" t="str">
        <f>IF(F$253="","",IFERROR(IF(F$253="Abu Dhabi",'General Basis'!$C43,'General Basis'!$B43),""))</f>
        <v/>
      </c>
      <c r="G259" s="886" t="str">
        <f ca="1">IF(AND(Referral_Error="",'General Basis'!J106=""),IF('Age Banded Rating'!F152=0,"NA",'Age Banded Rating'!F152),"Refer to RGA")</f>
        <v>NA</v>
      </c>
      <c r="H259" s="886" t="str">
        <f ca="1">IF(AND(Referral_Error="",'General Basis'!J106=""),IF('Age Banded Rating'!G152=0,"NA",'Age Banded Rating'!G152),"Refer to RGA")</f>
        <v>NA</v>
      </c>
      <c r="I259" s="885" t="str">
        <f>IF(I$253="","",IFERROR(IF(I$253="Abu Dhabi",'General Basis'!$C43,'General Basis'!$B43),""))</f>
        <v/>
      </c>
      <c r="J259" s="886" t="str">
        <f ca="1">IF(AND(Referral_Error="",'General Basis'!J106=""),IF('Age Banded Rating'!I152=0,"NA",'Age Banded Rating'!I152),"Refer to RGA")</f>
        <v>NA</v>
      </c>
      <c r="K259" s="886" t="str">
        <f ca="1">IF(AND(Referral_Error="",'General Basis'!J106=""),IF('Age Banded Rating'!J152=0,"NA",'Age Banded Rating'!J152),"Refer to RGA")</f>
        <v>NA</v>
      </c>
      <c r="L259" s="885" t="str">
        <f>IF(L$253="","",IFERROR(IF(L$253="Abu Dhabi",'General Basis'!$C43,'General Basis'!$B43),""))</f>
        <v/>
      </c>
      <c r="M259" s="886" t="str">
        <f ca="1">IF(AND(Referral_Error="",'General Basis'!J106=""),IF('Age Banded Rating'!L152=0,"NA",'Age Banded Rating'!L152),"Refer to RGA")</f>
        <v>NA</v>
      </c>
      <c r="N259" s="886" t="str">
        <f ca="1">IF(AND(Referral_Error="",'General Basis'!J106=""),IF('Age Banded Rating'!M152=0,"NA",'Age Banded Rating'!M152),"Refer to RGA")</f>
        <v>NA</v>
      </c>
    </row>
    <row r="260" spans="1:18" x14ac:dyDescent="0.25">
      <c r="B260" s="1446"/>
      <c r="C260" s="885" t="str">
        <f>IF(C$253="","",IFERROR(IF(C$253="Abu Dhabi",'General Basis'!$C44,'General Basis'!$B44),""))</f>
        <v>36 - 40</v>
      </c>
      <c r="D260" s="886">
        <f ca="1">IF(AND(Referral_Error="",'General Basis'!J106=""),IF('Age Banded Rating'!C153=0,"NA",'Age Banded Rating'!C153),"Refer to RGA")</f>
        <v>2191.5616693586726</v>
      </c>
      <c r="E260" s="886">
        <f ca="1">IF(AND(Referral_Error="",'General Basis'!J106=""),IF('Age Banded Rating'!D153=0,"NA",'Age Banded Rating'!D153),"Refer to RGA")</f>
        <v>2158.3908507723459</v>
      </c>
      <c r="F260" s="885" t="str">
        <f>IF(F$253="","",IFERROR(IF(F$253="Abu Dhabi",'General Basis'!$C44,'General Basis'!$B44),""))</f>
        <v/>
      </c>
      <c r="G260" s="886" t="str">
        <f ca="1">IF(AND(Referral_Error="",'General Basis'!J106=""),IF('Age Banded Rating'!F153=0,"NA",'Age Banded Rating'!F153),"Refer to RGA")</f>
        <v>NA</v>
      </c>
      <c r="H260" s="886" t="str">
        <f ca="1">IF(AND(Referral_Error="",'General Basis'!J106=""),IF('Age Banded Rating'!G153=0,"NA",'Age Banded Rating'!G153),"Refer to RGA")</f>
        <v>NA</v>
      </c>
      <c r="I260" s="885" t="str">
        <f>IF(I$253="","",IFERROR(IF(I$253="Abu Dhabi",'General Basis'!$C44,'General Basis'!$B44),""))</f>
        <v/>
      </c>
      <c r="J260" s="886" t="str">
        <f ca="1">IF(AND(Referral_Error="",'General Basis'!J106=""),IF('Age Banded Rating'!I153=0,"NA",'Age Banded Rating'!I153),"Refer to RGA")</f>
        <v>NA</v>
      </c>
      <c r="K260" s="886" t="str">
        <f ca="1">IF(AND(Referral_Error="",'General Basis'!J106=""),IF('Age Banded Rating'!J153=0,"NA",'Age Banded Rating'!J153),"Refer to RGA")</f>
        <v>NA</v>
      </c>
      <c r="L260" s="885" t="str">
        <f>IF(L$253="","",IFERROR(IF(L$253="Abu Dhabi",'General Basis'!$C44,'General Basis'!$B44),""))</f>
        <v/>
      </c>
      <c r="M260" s="886" t="str">
        <f ca="1">IF(AND(Referral_Error="",'General Basis'!J106=""),IF('Age Banded Rating'!L153=0,"NA",'Age Banded Rating'!L153),"Refer to RGA")</f>
        <v>NA</v>
      </c>
      <c r="N260" s="886" t="str">
        <f ca="1">IF(AND(Referral_Error="",'General Basis'!J106=""),IF('Age Banded Rating'!M153=0,"NA",'Age Banded Rating'!M153),"Refer to RGA")</f>
        <v>NA</v>
      </c>
    </row>
    <row r="261" spans="1:18" x14ac:dyDescent="0.25">
      <c r="B261" s="1446"/>
      <c r="C261" s="885" t="str">
        <f>IF(C$253="","",IFERROR(IF(C$253="Abu Dhabi",'General Basis'!$C45,'General Basis'!$B45),""))</f>
        <v>41 - 45</v>
      </c>
      <c r="D261" s="886">
        <f ca="1">IF(AND(Referral_Error="",'General Basis'!J106=""),IF('Age Banded Rating'!C154=0,"NA",'Age Banded Rating'!C154),"Refer to RGA")</f>
        <v>2571.3103511055824</v>
      </c>
      <c r="E261" s="886">
        <f ca="1">IF(AND(Referral_Error="",'General Basis'!J106=""),IF('Age Banded Rating'!D154=0,"NA",'Age Banded Rating'!D154),"Refer to RGA")</f>
        <v>2774.910547945793</v>
      </c>
      <c r="F261" s="885" t="str">
        <f>IF(F$253="","",IFERROR(IF(F$253="Abu Dhabi",'General Basis'!$C45,'General Basis'!$B45),""))</f>
        <v/>
      </c>
      <c r="G261" s="886" t="str">
        <f ca="1">IF(AND(Referral_Error="",'General Basis'!J106=""),IF('Age Banded Rating'!F154=0,"NA",'Age Banded Rating'!F154),"Refer to RGA")</f>
        <v>NA</v>
      </c>
      <c r="H261" s="886" t="str">
        <f ca="1">IF(AND(Referral_Error="",'General Basis'!J106=""),IF('Age Banded Rating'!G154=0,"NA",'Age Banded Rating'!G154),"Refer to RGA")</f>
        <v>NA</v>
      </c>
      <c r="I261" s="885" t="str">
        <f>IF(I$253="","",IFERROR(IF(I$253="Abu Dhabi",'General Basis'!$C45,'General Basis'!$B45),""))</f>
        <v/>
      </c>
      <c r="J261" s="886" t="str">
        <f ca="1">IF(AND(Referral_Error="",'General Basis'!J106=""),IF('Age Banded Rating'!I154=0,"NA",'Age Banded Rating'!I154),"Refer to RGA")</f>
        <v>NA</v>
      </c>
      <c r="K261" s="886" t="str">
        <f ca="1">IF(AND(Referral_Error="",'General Basis'!J106=""),IF('Age Banded Rating'!J154=0,"NA",'Age Banded Rating'!J154),"Refer to RGA")</f>
        <v>NA</v>
      </c>
      <c r="L261" s="885" t="str">
        <f>IF(L$253="","",IFERROR(IF(L$253="Abu Dhabi",'General Basis'!$C45,'General Basis'!$B45),""))</f>
        <v/>
      </c>
      <c r="M261" s="886" t="str">
        <f ca="1">IF(AND(Referral_Error="",'General Basis'!J106=""),IF('Age Banded Rating'!L154=0,"NA",'Age Banded Rating'!L154),"Refer to RGA")</f>
        <v>NA</v>
      </c>
      <c r="N261" s="886" t="str">
        <f ca="1">IF(AND(Referral_Error="",'General Basis'!J106=""),IF('Age Banded Rating'!M154=0,"NA",'Age Banded Rating'!M154),"Refer to RGA")</f>
        <v>NA</v>
      </c>
    </row>
    <row r="262" spans="1:18" x14ac:dyDescent="0.25">
      <c r="B262" s="1446"/>
      <c r="C262" s="885" t="str">
        <f>IF(C$253="","",IFERROR(IF(C$253="Abu Dhabi",'General Basis'!$C46,'General Basis'!$B46),""))</f>
        <v>46 - 50</v>
      </c>
      <c r="D262" s="886">
        <f ca="1">IF(AND(Referral_Error="",'General Basis'!J106=""),IF('Age Banded Rating'!C155=0,"NA",'Age Banded Rating'!C155),"Refer to RGA")</f>
        <v>3361.6908905246023</v>
      </c>
      <c r="E262" s="886">
        <f ca="1">IF(AND(Referral_Error="",'General Basis'!J106=""),IF('Age Banded Rating'!D155=0,"NA",'Age Banded Rating'!D155),"Refer to RGA")</f>
        <v>3477.2168449114633</v>
      </c>
      <c r="F262" s="885" t="str">
        <f>IF(F$253="","",IFERROR(IF(F$253="Abu Dhabi",'General Basis'!$C46,'General Basis'!$B46),""))</f>
        <v/>
      </c>
      <c r="G262" s="886" t="str">
        <f ca="1">IF(AND(Referral_Error="",'General Basis'!J106=""),IF('Age Banded Rating'!F155=0,"NA",'Age Banded Rating'!F155),"Refer to RGA")</f>
        <v>NA</v>
      </c>
      <c r="H262" s="886" t="str">
        <f ca="1">IF(AND(Referral_Error="",'General Basis'!J106=""),IF('Age Banded Rating'!G155=0,"NA",'Age Banded Rating'!G155),"Refer to RGA")</f>
        <v>NA</v>
      </c>
      <c r="I262" s="885" t="str">
        <f>IF(I$253="","",IFERROR(IF(I$253="Abu Dhabi",'General Basis'!$C46,'General Basis'!$B46),""))</f>
        <v/>
      </c>
      <c r="J262" s="886" t="str">
        <f ca="1">IF(AND(Referral_Error="",'General Basis'!J106=""),IF('Age Banded Rating'!I155=0,"NA",'Age Banded Rating'!I155),"Refer to RGA")</f>
        <v>NA</v>
      </c>
      <c r="K262" s="886" t="str">
        <f ca="1">IF(AND(Referral_Error="",'General Basis'!J106=""),IF('Age Banded Rating'!J155=0,"NA",'Age Banded Rating'!J155),"Refer to RGA")</f>
        <v>NA</v>
      </c>
      <c r="L262" s="885" t="str">
        <f>IF(L$253="","",IFERROR(IF(L$253="Abu Dhabi",'General Basis'!$C46,'General Basis'!$B46),""))</f>
        <v/>
      </c>
      <c r="M262" s="886" t="str">
        <f ca="1">IF(AND(Referral_Error="",'General Basis'!J106=""),IF('Age Banded Rating'!L155=0,"NA",'Age Banded Rating'!L155),"Refer to RGA")</f>
        <v>NA</v>
      </c>
      <c r="N262" s="886" t="str">
        <f ca="1">IF(AND(Referral_Error="",'General Basis'!J106=""),IF('Age Banded Rating'!M155=0,"NA",'Age Banded Rating'!M155),"Refer to RGA")</f>
        <v>NA</v>
      </c>
    </row>
    <row r="263" spans="1:18" x14ac:dyDescent="0.25">
      <c r="B263" s="1446"/>
      <c r="C263" s="885" t="str">
        <f>IF(C$253="","",IFERROR(IF(C$253="Abu Dhabi",'General Basis'!$C47,'General Basis'!$B47),""))</f>
        <v>51 - 55</v>
      </c>
      <c r="D263" s="886">
        <f ca="1">IF(AND(Referral_Error="",'General Basis'!J106=""),IF('Age Banded Rating'!C156=0,"NA",'Age Banded Rating'!C156),"Refer to RGA")</f>
        <v>4505.5122210875834</v>
      </c>
      <c r="E263" s="886">
        <f ca="1">IF(AND(Referral_Error="",'General Basis'!J106=""),IF('Age Banded Rating'!D156=0,"NA",'Age Banded Rating'!D156),"Refer to RGA")</f>
        <v>4591.298820879807</v>
      </c>
      <c r="F263" s="885" t="str">
        <f>IF(F$253="","",IFERROR(IF(F$253="Abu Dhabi",'General Basis'!$C47,'General Basis'!$B47),""))</f>
        <v/>
      </c>
      <c r="G263" s="886" t="str">
        <f ca="1">IF(AND(Referral_Error="",'General Basis'!J106=""),IF('Age Banded Rating'!F156=0,"NA",'Age Banded Rating'!F156),"Refer to RGA")</f>
        <v>NA</v>
      </c>
      <c r="H263" s="886" t="str">
        <f ca="1">IF(AND(Referral_Error="",'General Basis'!J106=""),IF('Age Banded Rating'!G156=0,"NA",'Age Banded Rating'!G156),"Refer to RGA")</f>
        <v>NA</v>
      </c>
      <c r="I263" s="885" t="str">
        <f>IF(I$253="","",IFERROR(IF(I$253="Abu Dhabi",'General Basis'!$C47,'General Basis'!$B47),""))</f>
        <v/>
      </c>
      <c r="J263" s="886" t="str">
        <f ca="1">IF(AND(Referral_Error="",'General Basis'!J106=""),IF('Age Banded Rating'!I156=0,"NA",'Age Banded Rating'!I156),"Refer to RGA")</f>
        <v>NA</v>
      </c>
      <c r="K263" s="886" t="str">
        <f ca="1">IF(AND(Referral_Error="",'General Basis'!J106=""),IF('Age Banded Rating'!J156=0,"NA",'Age Banded Rating'!J156),"Refer to RGA")</f>
        <v>NA</v>
      </c>
      <c r="L263" s="885" t="str">
        <f>IF(L$253="","",IFERROR(IF(L$253="Abu Dhabi",'General Basis'!$C47,'General Basis'!$B47),""))</f>
        <v/>
      </c>
      <c r="M263" s="886" t="str">
        <f ca="1">IF(AND(Referral_Error="",'General Basis'!J106=""),IF('Age Banded Rating'!L156=0,"NA",'Age Banded Rating'!L156),"Refer to RGA")</f>
        <v>NA</v>
      </c>
      <c r="N263" s="886" t="str">
        <f ca="1">IF(AND(Referral_Error="",'General Basis'!J106=""),IF('Age Banded Rating'!M156=0,"NA",'Age Banded Rating'!M156),"Refer to RGA")</f>
        <v>NA</v>
      </c>
    </row>
    <row r="264" spans="1:18" x14ac:dyDescent="0.25">
      <c r="B264" s="1446"/>
      <c r="C264" s="885" t="str">
        <f>IF(C$253="","",IFERROR(IF(C$253="Abu Dhabi",'General Basis'!$C48,'General Basis'!$B48),""))</f>
        <v>56 - 59</v>
      </c>
      <c r="D264" s="886">
        <f ca="1">IF(AND(Referral_Error="",'General Basis'!J106=""),IF('Age Banded Rating'!C157=0,"NA",'Age Banded Rating'!C157),"Refer to RGA")</f>
        <v>6130.8823318175801</v>
      </c>
      <c r="E264" s="886">
        <f ca="1">IF(AND(Referral_Error="",'General Basis'!J106=""),IF('Age Banded Rating'!D157=0,"NA",'Age Banded Rating'!D157),"Refer to RGA")</f>
        <v>5620.7380183864907</v>
      </c>
      <c r="F264" s="885" t="str">
        <f>IF(F$253="","",IFERROR(IF(F$253="Abu Dhabi",'General Basis'!$C48,'General Basis'!$B48),""))</f>
        <v/>
      </c>
      <c r="G264" s="886" t="str">
        <f ca="1">IF(AND(Referral_Error="",'General Basis'!J106=""),IF('Age Banded Rating'!F157=0,"NA",'Age Banded Rating'!F157),"Refer to RGA")</f>
        <v>NA</v>
      </c>
      <c r="H264" s="886" t="str">
        <f ca="1">IF(AND(Referral_Error="",'General Basis'!J106=""),IF('Age Banded Rating'!G157=0,"NA",'Age Banded Rating'!G157),"Refer to RGA")</f>
        <v>NA</v>
      </c>
      <c r="I264" s="885" t="str">
        <f>IF(I$253="","",IFERROR(IF(I$253="Abu Dhabi",'General Basis'!$C48,'General Basis'!$B48),""))</f>
        <v/>
      </c>
      <c r="J264" s="886" t="str">
        <f ca="1">IF(AND(Referral_Error="",'General Basis'!J106=""),IF('Age Banded Rating'!I157=0,"NA",'Age Banded Rating'!I157),"Refer to RGA")</f>
        <v>NA</v>
      </c>
      <c r="K264" s="886" t="str">
        <f ca="1">IF(AND(Referral_Error="",'General Basis'!J106=""),IF('Age Banded Rating'!J157=0,"NA",'Age Banded Rating'!J157),"Refer to RGA")</f>
        <v>NA</v>
      </c>
      <c r="L264" s="885" t="str">
        <f>IF(L$253="","",IFERROR(IF(L$253="Abu Dhabi",'General Basis'!$C48,'General Basis'!$B48),""))</f>
        <v/>
      </c>
      <c r="M264" s="886" t="str">
        <f ca="1">IF(AND(Referral_Error="",'General Basis'!J106=""),IF('Age Banded Rating'!L157=0,"NA",'Age Banded Rating'!L157),"Refer to RGA")</f>
        <v>NA</v>
      </c>
      <c r="N264" s="886" t="str">
        <f ca="1">IF(AND(Referral_Error="",'General Basis'!J106=""),IF('Age Banded Rating'!M157=0,"NA",'Age Banded Rating'!M157),"Refer to RGA")</f>
        <v>NA</v>
      </c>
    </row>
    <row r="265" spans="1:18" x14ac:dyDescent="0.25">
      <c r="B265" s="1446"/>
      <c r="C265" s="885" t="str">
        <f>IF(C$253="","",IFERROR(IF(C$253="Abu Dhabi",'General Basis'!$C49,'General Basis'!$B49),""))</f>
        <v>60 - 64</v>
      </c>
      <c r="D265" s="886">
        <f ca="1">IF(AND(Referral_Error="",'General Basis'!J106=""),IF('Age Banded Rating'!C158=0,"NA",'Age Banded Rating'!C158),"Refer to RGA")</f>
        <v>7542.3578537322992</v>
      </c>
      <c r="E265" s="886">
        <f ca="1">IF(AND(Referral_Error="",'General Basis'!J106=""),IF('Age Banded Rating'!D158=0,"NA",'Age Banded Rating'!D158),"Refer to RGA")</f>
        <v>6681.0603918183742</v>
      </c>
      <c r="F265" s="885" t="str">
        <f>IF(F$253="","",IFERROR(IF(F$253="Abu Dhabi",'General Basis'!$C49,'General Basis'!$B49),""))</f>
        <v/>
      </c>
      <c r="G265" s="886" t="str">
        <f ca="1">IF(AND(Referral_Error="",'General Basis'!J106=""),IF('Age Banded Rating'!F158=0,"NA",'Age Banded Rating'!F158),"Refer to RGA")</f>
        <v>NA</v>
      </c>
      <c r="H265" s="886" t="str">
        <f ca="1">IF(AND(Referral_Error="",'General Basis'!J106=""),IF('Age Banded Rating'!G158=0,"NA",'Age Banded Rating'!G158),"Refer to RGA")</f>
        <v>NA</v>
      </c>
      <c r="I265" s="885" t="str">
        <f>IF(I$253="","",IFERROR(IF(I$253="Abu Dhabi",'General Basis'!$C49,'General Basis'!$B49),""))</f>
        <v/>
      </c>
      <c r="J265" s="886" t="str">
        <f ca="1">IF(AND(Referral_Error="",'General Basis'!J106=""),IF('Age Banded Rating'!I158=0,"NA",'Age Banded Rating'!I158),"Refer to RGA")</f>
        <v>NA</v>
      </c>
      <c r="K265" s="886" t="str">
        <f ca="1">IF(AND(Referral_Error="",'General Basis'!J106=""),IF('Age Banded Rating'!J158=0,"NA",'Age Banded Rating'!J158),"Refer to RGA")</f>
        <v>NA</v>
      </c>
      <c r="L265" s="885" t="str">
        <f>IF(L$253="","",IFERROR(IF(L$253="Abu Dhabi",'General Basis'!$C49,'General Basis'!$B49),""))</f>
        <v/>
      </c>
      <c r="M265" s="886" t="str">
        <f ca="1">IF(AND(Referral_Error="",'General Basis'!J106=""),IF('Age Banded Rating'!L158=0,"NA",'Age Banded Rating'!L158),"Refer to RGA")</f>
        <v>NA</v>
      </c>
      <c r="N265" s="886" t="str">
        <f ca="1">IF(AND(Referral_Error="",'General Basis'!J106=""),IF('Age Banded Rating'!M158=0,"NA",'Age Banded Rating'!M158),"Refer to RGA")</f>
        <v>NA</v>
      </c>
    </row>
    <row r="266" spans="1:18" x14ac:dyDescent="0.25">
      <c r="B266" s="1447"/>
      <c r="C266" s="885" t="str">
        <f>IF(C$253="","",IFERROR(IF(C$253="Abu Dhabi",'General Basis'!$C50,'General Basis'!$B50),""))</f>
        <v>65 - 99</v>
      </c>
      <c r="D266" s="886">
        <f ca="1">IF(AND(Referral_Error="",'General Basis'!J106=""),IF('Age Banded Rating'!C159=0,"NA",'Age Banded Rating'!C159),"Refer to RGA")</f>
        <v>13576.24413671814</v>
      </c>
      <c r="E266" s="886">
        <f ca="1">IF(AND(Referral_Error="",'General Basis'!J106=""),IF('Age Banded Rating'!D159=0,"NA",'Age Banded Rating'!D159),"Refer to RGA")</f>
        <v>12025.908705273076</v>
      </c>
      <c r="F266" s="885" t="str">
        <f>IF(F$253="","",IFERROR(IF(F$253="Abu Dhabi",'General Basis'!$C50,'General Basis'!$B50),""))</f>
        <v/>
      </c>
      <c r="G266" s="886" t="str">
        <f ca="1">IF(AND(Referral_Error="",'General Basis'!J106=""),IF('Age Banded Rating'!F159=0,"NA",'Age Banded Rating'!F159),"Refer to RGA")</f>
        <v>NA</v>
      </c>
      <c r="H266" s="886" t="str">
        <f ca="1">IF(AND(Referral_Error="",'General Basis'!J106=""),IF('Age Banded Rating'!G159=0,"NA",'Age Banded Rating'!G159),"Refer to RGA")</f>
        <v>NA</v>
      </c>
      <c r="I266" s="885" t="str">
        <f>IF(I$253="","",IFERROR(IF(I$253="Abu Dhabi",'General Basis'!$C50,'General Basis'!$B50),""))</f>
        <v/>
      </c>
      <c r="J266" s="886" t="str">
        <f ca="1">IF(AND(Referral_Error="",'General Basis'!J106=""),IF('Age Banded Rating'!I159=0,"NA",'Age Banded Rating'!I159),"Refer to RGA")</f>
        <v>NA</v>
      </c>
      <c r="K266" s="886" t="str">
        <f ca="1">IF(AND(Referral_Error="",'General Basis'!J106=""),IF('Age Banded Rating'!J159=0,"NA",'Age Banded Rating'!J159),"Refer to RGA")</f>
        <v>NA</v>
      </c>
      <c r="L266" s="885" t="str">
        <f>IF(L$253="","",IFERROR(IF(L$253="Abu Dhabi",'General Basis'!$C50,'General Basis'!$B50),""))</f>
        <v/>
      </c>
      <c r="M266" s="886" t="str">
        <f ca="1">IF(AND(Referral_Error="",'General Basis'!J106=""),IF('Age Banded Rating'!L159=0,"NA",'Age Banded Rating'!L159),"Refer to RGA")</f>
        <v>NA</v>
      </c>
      <c r="N266" s="886" t="str">
        <f ca="1">IF(AND(Referral_Error="",'General Basis'!J106=""),IF('Age Banded Rating'!M159=0,"NA",'Age Banded Rating'!M159),"Refer to RGA")</f>
        <v>NA</v>
      </c>
    </row>
    <row r="267" spans="1:18" s="892" customFormat="1" x14ac:dyDescent="0.25">
      <c r="A267" s="593"/>
      <c r="B267" s="941" t="s">
        <v>1066</v>
      </c>
      <c r="C267" s="832" t="str">
        <f>IF(C253="","",IF(C253="Abu Dhabi","18-50","18-45"))</f>
        <v>18-45</v>
      </c>
      <c r="D267" s="833" t="s">
        <v>995</v>
      </c>
      <c r="E267" s="890">
        <f>IF(C253="","",'Age Banded Rating'!C236)</f>
        <v>1575.9</v>
      </c>
      <c r="F267" s="832" t="str">
        <f>IF(F253="","",IF(F253="Abu Dhabi","18-50","18-45"))</f>
        <v/>
      </c>
      <c r="G267" s="833" t="s">
        <v>995</v>
      </c>
      <c r="H267" s="890" t="str">
        <f>IF(F253="","",'Age Banded Rating'!D236)</f>
        <v/>
      </c>
      <c r="I267" s="832" t="str">
        <f>IF(I253="","",IF(I253="Abu Dhabi","18-50","18-45"))</f>
        <v/>
      </c>
      <c r="J267" s="833" t="s">
        <v>995</v>
      </c>
      <c r="K267" s="890" t="str">
        <f>IF(I253="","",'Age Banded Rating'!E236)</f>
        <v/>
      </c>
      <c r="L267" s="832" t="str">
        <f>IF(L253="","",IF(L253="Abu Dhabi","18-50","18-45"))</f>
        <v/>
      </c>
      <c r="M267" s="833" t="s">
        <v>995</v>
      </c>
      <c r="N267" s="890" t="str">
        <f>IF(L253="","",'Age Banded Rating'!F236)</f>
        <v/>
      </c>
      <c r="O267" s="593"/>
      <c r="P267" s="593"/>
      <c r="Q267" s="593"/>
      <c r="R267" s="593"/>
    </row>
    <row r="268" spans="1:18" ht="32.25" x14ac:dyDescent="0.25">
      <c r="B268" s="887" t="s">
        <v>289</v>
      </c>
      <c r="C268" s="983">
        <f ca="1">SUMPRODUCT(D180:E191,D255:E266)</f>
        <v>9641.2699953153697</v>
      </c>
      <c r="D268" s="984" t="s">
        <v>1098</v>
      </c>
      <c r="E268" s="983">
        <f>IFERROR(E267*D243,"NA")</f>
        <v>0</v>
      </c>
      <c r="F268" s="983">
        <f ca="1">SUMPRODUCT(G180:H191,G255:H266)</f>
        <v>0</v>
      </c>
      <c r="G268" s="984" t="s">
        <v>1098</v>
      </c>
      <c r="H268" s="983" t="str">
        <f>IFERROR(H267*G243,"NA")</f>
        <v>NA</v>
      </c>
      <c r="I268" s="983">
        <f ca="1">SUMPRODUCT(J180:K191,J255:K266)</f>
        <v>0</v>
      </c>
      <c r="J268" s="984" t="s">
        <v>1098</v>
      </c>
      <c r="K268" s="983" t="str">
        <f>IFERROR(K267*J243,"NA")</f>
        <v>NA</v>
      </c>
      <c r="L268" s="983">
        <f ca="1">SUMPRODUCT(M180:N191,M255:N266)</f>
        <v>0</v>
      </c>
      <c r="M268" s="984" t="s">
        <v>1098</v>
      </c>
      <c r="N268" s="983" t="str">
        <f>IFERROR(N267*M243,"NA")</f>
        <v>NA</v>
      </c>
    </row>
    <row r="269" spans="1:18" x14ac:dyDescent="0.25">
      <c r="B269" s="830"/>
      <c r="N269" s="870"/>
    </row>
    <row r="270" spans="1:18" ht="23.25" x14ac:dyDescent="0.25">
      <c r="B270" s="1445" t="s">
        <v>957</v>
      </c>
      <c r="C270" s="884" t="str">
        <f>IFERROR(VLOOKUP(D270,'General Basis'!$I$39:$L$46,4,0),"")</f>
        <v/>
      </c>
      <c r="D270" s="884" t="s">
        <v>739</v>
      </c>
      <c r="E270" s="884" t="s">
        <v>739</v>
      </c>
      <c r="F270" s="884" t="str">
        <f>IFERROR(VLOOKUP(G270,'General Basis'!$I$39:$L$46,4,0),"")</f>
        <v/>
      </c>
      <c r="G270" s="884" t="s">
        <v>740</v>
      </c>
      <c r="H270" s="884" t="s">
        <v>740</v>
      </c>
      <c r="I270" s="884" t="str">
        <f>IFERROR(VLOOKUP(J270,'General Basis'!$I$39:$L$46,4,0),"")</f>
        <v/>
      </c>
      <c r="J270" s="884" t="s">
        <v>742</v>
      </c>
      <c r="K270" s="884" t="s">
        <v>742</v>
      </c>
      <c r="L270" s="884" t="str">
        <f>IFERROR(VLOOKUP(M270,'General Basis'!$I$39:$L$46,4,0),"")</f>
        <v/>
      </c>
      <c r="M270" s="884" t="s">
        <v>741</v>
      </c>
      <c r="N270" s="884" t="s">
        <v>741</v>
      </c>
    </row>
    <row r="271" spans="1:18" ht="23.25" x14ac:dyDescent="0.25">
      <c r="B271" s="1446"/>
      <c r="C271" s="829" t="s">
        <v>286</v>
      </c>
      <c r="D271" s="829" t="s">
        <v>65</v>
      </c>
      <c r="E271" s="884" t="s">
        <v>66</v>
      </c>
      <c r="F271" s="829" t="s">
        <v>286</v>
      </c>
      <c r="G271" s="829" t="s">
        <v>65</v>
      </c>
      <c r="H271" s="884" t="s">
        <v>66</v>
      </c>
      <c r="I271" s="829" t="s">
        <v>286</v>
      </c>
      <c r="J271" s="829" t="s">
        <v>65</v>
      </c>
      <c r="K271" s="884" t="s">
        <v>66</v>
      </c>
      <c r="L271" s="829" t="s">
        <v>286</v>
      </c>
      <c r="M271" s="829" t="s">
        <v>65</v>
      </c>
      <c r="N271" s="884" t="s">
        <v>66</v>
      </c>
    </row>
    <row r="272" spans="1:18" x14ac:dyDescent="0.25">
      <c r="B272" s="1446"/>
      <c r="C272" s="885" t="str">
        <f>IF(C$270="","",IFERROR(IF(C$270="Abu Dhabi",'General Basis'!$C39,'General Basis'!$B39),""))</f>
        <v/>
      </c>
      <c r="D272" s="886" t="str">
        <f ca="1">IF(AND(Referral_Error="",'General Basis'!J106=""),IF('Age Banded Rating'!O148=0,"NA",'Age Banded Rating'!O148),"Refer to RGA")</f>
        <v>NA</v>
      </c>
      <c r="E272" s="886" t="str">
        <f ca="1">IF(AND(Referral_Error="",'General Basis'!J106=""),IF('Age Banded Rating'!P148=0,"NA",'Age Banded Rating'!P148),"Refer to RGA")</f>
        <v>NA</v>
      </c>
      <c r="F272" s="885" t="str">
        <f>IF(F$270="","",IFERROR(IF(F$270="Abu Dhabi",'General Basis'!$C39,'General Basis'!$B39),""))</f>
        <v/>
      </c>
      <c r="G272" s="886" t="str">
        <f ca="1">IF(AND(Referral_Error="",'General Basis'!J106=""),IF('Age Banded Rating'!R148=0,"NA",'Age Banded Rating'!R148),"Refer to RGA")</f>
        <v>NA</v>
      </c>
      <c r="H272" s="886" t="str">
        <f ca="1">IF(AND(Referral_Error="",'General Basis'!J106=""),IF('Age Banded Rating'!S148=0,"NA",'Age Banded Rating'!S148),"Refer to RGA")</f>
        <v>NA</v>
      </c>
      <c r="I272" s="885" t="str">
        <f>IF(I$270="","",IFERROR(IF(I$270="Abu Dhabi",'General Basis'!$C39,'General Basis'!$B39),""))</f>
        <v/>
      </c>
      <c r="J272" s="886" t="str">
        <f ca="1">IF(AND(Referral_Error="",'General Basis'!J106=""),IF('Age Banded Rating'!U148=0,"NA",'Age Banded Rating'!U148),"Refer to RGA")</f>
        <v>NA</v>
      </c>
      <c r="K272" s="886" t="str">
        <f ca="1">IF(AND(Referral_Error="",'General Basis'!J106=""),IF('Age Banded Rating'!V148=0,"NA",'Age Banded Rating'!V148),"Refer to RGA")</f>
        <v>NA</v>
      </c>
      <c r="L272" s="885" t="str">
        <f>IF(L$270="","",IFERROR(IF(L$270="Abu Dhabi",'General Basis'!$C39,'General Basis'!$B39),""))</f>
        <v/>
      </c>
      <c r="M272" s="886" t="str">
        <f ca="1">IF(AND(Referral_Error="",'General Basis'!J106=""),IF('Age Banded Rating'!X148=0,"NA",'Age Banded Rating'!X148),"Refer to RGA")</f>
        <v>NA</v>
      </c>
      <c r="N272" s="886" t="str">
        <f ca="1">IF(AND(Referral_Error="",'General Basis'!J106=""),IF('Age Banded Rating'!Y148=0,"NA",'Age Banded Rating'!Y148),"Refer to RGA")</f>
        <v>NA</v>
      </c>
    </row>
    <row r="273" spans="1:18" x14ac:dyDescent="0.25">
      <c r="B273" s="1446"/>
      <c r="C273" s="885" t="str">
        <f>IF(C$270="","",IFERROR(IF(C$270="Abu Dhabi",'General Basis'!$C40,'General Basis'!$B40),""))</f>
        <v/>
      </c>
      <c r="D273" s="886" t="str">
        <f ca="1">IF(AND(Referral_Error="",'General Basis'!J106=""),IF('Age Banded Rating'!O149=0,"NA",'Age Banded Rating'!O149),"Refer to RGA")</f>
        <v>NA</v>
      </c>
      <c r="E273" s="886" t="str">
        <f ca="1">IF(AND(Referral_Error="",'General Basis'!J106=""),IF('Age Banded Rating'!P149=0,"NA",'Age Banded Rating'!P149),"Refer to RGA")</f>
        <v>NA</v>
      </c>
      <c r="F273" s="885" t="str">
        <f>IF(F$270="","",IFERROR(IF(F$270="Abu Dhabi",'General Basis'!$C40,'General Basis'!$B40),""))</f>
        <v/>
      </c>
      <c r="G273" s="886" t="str">
        <f ca="1">IF(AND(Referral_Error="",'General Basis'!J106=""),IF('Age Banded Rating'!R149=0,"NA",'Age Banded Rating'!R149),"Refer to RGA")</f>
        <v>NA</v>
      </c>
      <c r="H273" s="886" t="str">
        <f ca="1">IF(AND(Referral_Error="",'General Basis'!J106=""),IF('Age Banded Rating'!S149=0,"NA",'Age Banded Rating'!S149),"Refer to RGA")</f>
        <v>NA</v>
      </c>
      <c r="I273" s="885" t="str">
        <f>IF(I$270="","",IFERROR(IF(I$270="Abu Dhabi",'General Basis'!$C40,'General Basis'!$B40),""))</f>
        <v/>
      </c>
      <c r="J273" s="886" t="str">
        <f ca="1">IF(AND(Referral_Error="",'General Basis'!J106=""),IF('Age Banded Rating'!U149=0,"NA",'Age Banded Rating'!U149),"Refer to RGA")</f>
        <v>NA</v>
      </c>
      <c r="K273" s="886" t="str">
        <f ca="1">IF(AND(Referral_Error="",'General Basis'!J106=""),IF('Age Banded Rating'!V149=0,"NA",'Age Banded Rating'!V149),"Refer to RGA")</f>
        <v>NA</v>
      </c>
      <c r="L273" s="885" t="str">
        <f>IF(L$270="","",IFERROR(IF(L$270="Abu Dhabi",'General Basis'!$C40,'General Basis'!$B40),""))</f>
        <v/>
      </c>
      <c r="M273" s="886" t="str">
        <f ca="1">IF(AND(Referral_Error="",'General Basis'!J106=""),IF('Age Banded Rating'!X149=0,"NA",'Age Banded Rating'!X149),"Refer to RGA")</f>
        <v>NA</v>
      </c>
      <c r="N273" s="886" t="str">
        <f ca="1">IF(AND(Referral_Error="",'General Basis'!J106=""),IF('Age Banded Rating'!Y149=0,"NA",'Age Banded Rating'!Y149),"Refer to RGA")</f>
        <v>NA</v>
      </c>
    </row>
    <row r="274" spans="1:18" x14ac:dyDescent="0.25">
      <c r="B274" s="1446"/>
      <c r="C274" s="885" t="str">
        <f>IF(C$270="","",IFERROR(IF(C$270="Abu Dhabi",'General Basis'!$C41,'General Basis'!$B41),""))</f>
        <v/>
      </c>
      <c r="D274" s="886" t="str">
        <f ca="1">IF(AND(Referral_Error="",'General Basis'!J106=""),IF('Age Banded Rating'!O150=0,"NA",'Age Banded Rating'!O150),"Refer to RGA")</f>
        <v>NA</v>
      </c>
      <c r="E274" s="886" t="str">
        <f ca="1">IF(AND(Referral_Error="",'General Basis'!J106=""),IF('Age Banded Rating'!P150=0,"NA",'Age Banded Rating'!P150),"Refer to RGA")</f>
        <v>NA</v>
      </c>
      <c r="F274" s="885" t="str">
        <f>IF(F$270="","",IFERROR(IF(F$270="Abu Dhabi",'General Basis'!$C41,'General Basis'!$B41),""))</f>
        <v/>
      </c>
      <c r="G274" s="886" t="str">
        <f ca="1">IF(AND(Referral_Error="",'General Basis'!J106=""),IF('Age Banded Rating'!R150=0,"NA",'Age Banded Rating'!R150),"Refer to RGA")</f>
        <v>NA</v>
      </c>
      <c r="H274" s="886" t="str">
        <f ca="1">IF(AND(Referral_Error="",'General Basis'!J106=""),IF('Age Banded Rating'!S150=0,"NA",'Age Banded Rating'!S150),"Refer to RGA")</f>
        <v>NA</v>
      </c>
      <c r="I274" s="885" t="str">
        <f>IF(I$270="","",IFERROR(IF(I$270="Abu Dhabi",'General Basis'!$C41,'General Basis'!$B41),""))</f>
        <v/>
      </c>
      <c r="J274" s="886" t="str">
        <f ca="1">IF(AND(Referral_Error="",'General Basis'!J106=""),IF('Age Banded Rating'!U150=0,"NA",'Age Banded Rating'!U150),"Refer to RGA")</f>
        <v>NA</v>
      </c>
      <c r="K274" s="886" t="str">
        <f ca="1">IF(AND(Referral_Error="",'General Basis'!J106=""),IF('Age Banded Rating'!V150=0,"NA",'Age Banded Rating'!V150),"Refer to RGA")</f>
        <v>NA</v>
      </c>
      <c r="L274" s="885" t="str">
        <f>IF(L$270="","",IFERROR(IF(L$270="Abu Dhabi",'General Basis'!$C41,'General Basis'!$B41),""))</f>
        <v/>
      </c>
      <c r="M274" s="886" t="str">
        <f ca="1">IF(AND(Referral_Error="",'General Basis'!J106=""),IF('Age Banded Rating'!X150=0,"NA",'Age Banded Rating'!X150),"Refer to RGA")</f>
        <v>NA</v>
      </c>
      <c r="N274" s="886" t="str">
        <f ca="1">IF(AND(Referral_Error="",'General Basis'!J106=""),IF('Age Banded Rating'!Y150=0,"NA",'Age Banded Rating'!Y150),"Refer to RGA")</f>
        <v>NA</v>
      </c>
    </row>
    <row r="275" spans="1:18" x14ac:dyDescent="0.25">
      <c r="B275" s="1446"/>
      <c r="C275" s="885" t="str">
        <f>IF(C$270="","",IFERROR(IF(C$270="Abu Dhabi",'General Basis'!$C42,'General Basis'!$B42),""))</f>
        <v/>
      </c>
      <c r="D275" s="886" t="str">
        <f ca="1">IF(AND(Referral_Error="",'General Basis'!J106=""),IF('Age Banded Rating'!O151=0,"NA",'Age Banded Rating'!O151),"Refer to RGA")</f>
        <v>NA</v>
      </c>
      <c r="E275" s="886" t="str">
        <f ca="1">IF(AND(Referral_Error="",'General Basis'!J106=""),IF('Age Banded Rating'!P151=0,"NA",'Age Banded Rating'!P151),"Refer to RGA")</f>
        <v>NA</v>
      </c>
      <c r="F275" s="885" t="str">
        <f>IF(F$270="","",IFERROR(IF(F$270="Abu Dhabi",'General Basis'!$C42,'General Basis'!$B42),""))</f>
        <v/>
      </c>
      <c r="G275" s="886" t="str">
        <f ca="1">IF(AND(Referral_Error="",'General Basis'!J106=""),IF('Age Banded Rating'!R151=0,"NA",'Age Banded Rating'!R151),"Refer to RGA")</f>
        <v>NA</v>
      </c>
      <c r="H275" s="886" t="str">
        <f ca="1">IF(AND(Referral_Error="",'General Basis'!J106=""),IF('Age Banded Rating'!S151=0,"NA",'Age Banded Rating'!S151),"Refer to RGA")</f>
        <v>NA</v>
      </c>
      <c r="I275" s="885" t="str">
        <f>IF(I$270="","",IFERROR(IF(I$270="Abu Dhabi",'General Basis'!$C42,'General Basis'!$B42),""))</f>
        <v/>
      </c>
      <c r="J275" s="886" t="str">
        <f ca="1">IF(AND(Referral_Error="",'General Basis'!J106=""),IF('Age Banded Rating'!U151=0,"NA",'Age Banded Rating'!U151),"Refer to RGA")</f>
        <v>NA</v>
      </c>
      <c r="K275" s="886" t="str">
        <f ca="1">IF(AND(Referral_Error="",'General Basis'!J106=""),IF('Age Banded Rating'!V151=0,"NA",'Age Banded Rating'!V151),"Refer to RGA")</f>
        <v>NA</v>
      </c>
      <c r="L275" s="885" t="str">
        <f>IF(L$270="","",IFERROR(IF(L$270="Abu Dhabi",'General Basis'!$C42,'General Basis'!$B42),""))</f>
        <v/>
      </c>
      <c r="M275" s="886" t="str">
        <f ca="1">IF(AND(Referral_Error="",'General Basis'!J106=""),IF('Age Banded Rating'!X151=0,"NA",'Age Banded Rating'!X151),"Refer to RGA")</f>
        <v>NA</v>
      </c>
      <c r="N275" s="886" t="str">
        <f ca="1">IF(AND(Referral_Error="",'General Basis'!J106=""),IF('Age Banded Rating'!Y151=0,"NA",'Age Banded Rating'!Y151),"Refer to RGA")</f>
        <v>NA</v>
      </c>
    </row>
    <row r="276" spans="1:18" x14ac:dyDescent="0.25">
      <c r="B276" s="1446"/>
      <c r="C276" s="885" t="str">
        <f>IF(C$270="","",IFERROR(IF(C$270="Abu Dhabi",'General Basis'!$C43,'General Basis'!$B43),""))</f>
        <v/>
      </c>
      <c r="D276" s="886" t="str">
        <f ca="1">IF(AND(Referral_Error="",'General Basis'!J106=""),IF('Age Banded Rating'!O152=0,"NA",'Age Banded Rating'!O152),"Refer to RGA")</f>
        <v>NA</v>
      </c>
      <c r="E276" s="886" t="str">
        <f ca="1">IF(AND(Referral_Error="",'General Basis'!J106=""),IF('Age Banded Rating'!P152=0,"NA",'Age Banded Rating'!P152),"Refer to RGA")</f>
        <v>NA</v>
      </c>
      <c r="F276" s="885" t="str">
        <f>IF(F$270="","",IFERROR(IF(F$270="Abu Dhabi",'General Basis'!$C43,'General Basis'!$B43),""))</f>
        <v/>
      </c>
      <c r="G276" s="886" t="str">
        <f ca="1">IF(AND(Referral_Error="",'General Basis'!J106=""),IF('Age Banded Rating'!R152=0,"NA",'Age Banded Rating'!R152),"Refer to RGA")</f>
        <v>NA</v>
      </c>
      <c r="H276" s="886" t="str">
        <f ca="1">IF(AND(Referral_Error="",'General Basis'!J106=""),IF('Age Banded Rating'!S152=0,"NA",'Age Banded Rating'!S152),"Refer to RGA")</f>
        <v>NA</v>
      </c>
      <c r="I276" s="885" t="str">
        <f>IF(I$270="","",IFERROR(IF(I$270="Abu Dhabi",'General Basis'!$C43,'General Basis'!$B43),""))</f>
        <v/>
      </c>
      <c r="J276" s="886" t="str">
        <f ca="1">IF(AND(Referral_Error="",'General Basis'!J106=""),IF('Age Banded Rating'!U152=0,"NA",'Age Banded Rating'!U152),"Refer to RGA")</f>
        <v>NA</v>
      </c>
      <c r="K276" s="886" t="str">
        <f ca="1">IF(AND(Referral_Error="",'General Basis'!J106=""),IF('Age Banded Rating'!V152=0,"NA",'Age Banded Rating'!V152),"Refer to RGA")</f>
        <v>NA</v>
      </c>
      <c r="L276" s="885" t="str">
        <f>IF(L$270="","",IFERROR(IF(L$270="Abu Dhabi",'General Basis'!$C43,'General Basis'!$B43),""))</f>
        <v/>
      </c>
      <c r="M276" s="886" t="str">
        <f ca="1">IF(AND(Referral_Error="",'General Basis'!J106=""),IF('Age Banded Rating'!X152=0,"NA",'Age Banded Rating'!X152),"Refer to RGA")</f>
        <v>NA</v>
      </c>
      <c r="N276" s="886" t="str">
        <f ca="1">IF(AND(Referral_Error="",'General Basis'!J106=""),IF('Age Banded Rating'!Y152=0,"NA",'Age Banded Rating'!Y152),"Refer to RGA")</f>
        <v>NA</v>
      </c>
    </row>
    <row r="277" spans="1:18" x14ac:dyDescent="0.25">
      <c r="B277" s="1446"/>
      <c r="C277" s="885" t="str">
        <f>IF(C$270="","",IFERROR(IF(C$270="Abu Dhabi",'General Basis'!$C44,'General Basis'!$B44),""))</f>
        <v/>
      </c>
      <c r="D277" s="886" t="str">
        <f ca="1">IF(AND(Referral_Error="",'General Basis'!J106=""),IF('Age Banded Rating'!O153=0,"NA",'Age Banded Rating'!O153),"Refer to RGA")</f>
        <v>NA</v>
      </c>
      <c r="E277" s="886" t="str">
        <f ca="1">IF(AND(Referral_Error="",'General Basis'!J106=""),IF('Age Banded Rating'!P153=0,"NA",'Age Banded Rating'!P153),"Refer to RGA")</f>
        <v>NA</v>
      </c>
      <c r="F277" s="885" t="str">
        <f>IF(F$270="","",IFERROR(IF(F$270="Abu Dhabi",'General Basis'!$C44,'General Basis'!$B44),""))</f>
        <v/>
      </c>
      <c r="G277" s="886" t="str">
        <f ca="1">IF(AND(Referral_Error="",'General Basis'!J106=""),IF('Age Banded Rating'!R153=0,"NA",'Age Banded Rating'!R153),"Refer to RGA")</f>
        <v>NA</v>
      </c>
      <c r="H277" s="886" t="str">
        <f ca="1">IF(AND(Referral_Error="",'General Basis'!J106=""),IF('Age Banded Rating'!S153=0,"NA",'Age Banded Rating'!S153),"Refer to RGA")</f>
        <v>NA</v>
      </c>
      <c r="I277" s="885" t="str">
        <f>IF(I$270="","",IFERROR(IF(I$270="Abu Dhabi",'General Basis'!$C44,'General Basis'!$B44),""))</f>
        <v/>
      </c>
      <c r="J277" s="886" t="str">
        <f ca="1">IF(AND(Referral_Error="",'General Basis'!J106=""),IF('Age Banded Rating'!U153=0,"NA",'Age Banded Rating'!U153),"Refer to RGA")</f>
        <v>NA</v>
      </c>
      <c r="K277" s="886" t="str">
        <f ca="1">IF(AND(Referral_Error="",'General Basis'!J106=""),IF('Age Banded Rating'!V153=0,"NA",'Age Banded Rating'!V153),"Refer to RGA")</f>
        <v>NA</v>
      </c>
      <c r="L277" s="885" t="str">
        <f>IF(L$270="","",IFERROR(IF(L$270="Abu Dhabi",'General Basis'!$C44,'General Basis'!$B44),""))</f>
        <v/>
      </c>
      <c r="M277" s="886" t="str">
        <f ca="1">IF(AND(Referral_Error="",'General Basis'!J106=""),IF('Age Banded Rating'!X153=0,"NA",'Age Banded Rating'!X153),"Refer to RGA")</f>
        <v>NA</v>
      </c>
      <c r="N277" s="886" t="str">
        <f ca="1">IF(AND(Referral_Error="",'General Basis'!J106=""),IF('Age Banded Rating'!Y153=0,"NA",'Age Banded Rating'!Y153),"Refer to RGA")</f>
        <v>NA</v>
      </c>
    </row>
    <row r="278" spans="1:18" x14ac:dyDescent="0.25">
      <c r="B278" s="1446"/>
      <c r="C278" s="885" t="str">
        <f>IF(C$270="","",IFERROR(IF(C$270="Abu Dhabi",'General Basis'!$C45,'General Basis'!$B45),""))</f>
        <v/>
      </c>
      <c r="D278" s="886" t="str">
        <f ca="1">IF(AND(Referral_Error="",'General Basis'!J106=""),IF('Age Banded Rating'!O154=0,"NA",'Age Banded Rating'!O154),"Refer to RGA")</f>
        <v>NA</v>
      </c>
      <c r="E278" s="886" t="str">
        <f ca="1">IF(AND(Referral_Error="",'General Basis'!J106=""),IF('Age Banded Rating'!P154=0,"NA",'Age Banded Rating'!P154),"Refer to RGA")</f>
        <v>NA</v>
      </c>
      <c r="F278" s="885" t="str">
        <f>IF(F$270="","",IFERROR(IF(F$270="Abu Dhabi",'General Basis'!$C45,'General Basis'!$B45),""))</f>
        <v/>
      </c>
      <c r="G278" s="886" t="str">
        <f ca="1">IF(AND(Referral_Error="",'General Basis'!J106=""),IF('Age Banded Rating'!R154=0,"NA",'Age Banded Rating'!R154),"Refer to RGA")</f>
        <v>NA</v>
      </c>
      <c r="H278" s="886" t="str">
        <f ca="1">IF(AND(Referral_Error="",'General Basis'!J106=""),IF('Age Banded Rating'!S154=0,"NA",'Age Banded Rating'!S154),"Refer to RGA")</f>
        <v>NA</v>
      </c>
      <c r="I278" s="885" t="str">
        <f>IF(I$270="","",IFERROR(IF(I$270="Abu Dhabi",'General Basis'!$C45,'General Basis'!$B45),""))</f>
        <v/>
      </c>
      <c r="J278" s="886" t="str">
        <f ca="1">IF(AND(Referral_Error="",'General Basis'!J106=""),IF('Age Banded Rating'!U154=0,"NA",'Age Banded Rating'!U154),"Refer to RGA")</f>
        <v>NA</v>
      </c>
      <c r="K278" s="886" t="str">
        <f ca="1">IF(AND(Referral_Error="",'General Basis'!J106=""),IF('Age Banded Rating'!V154=0,"NA",'Age Banded Rating'!V154),"Refer to RGA")</f>
        <v>NA</v>
      </c>
      <c r="L278" s="885" t="str">
        <f>IF(L$270="","",IFERROR(IF(L$270="Abu Dhabi",'General Basis'!$C45,'General Basis'!$B45),""))</f>
        <v/>
      </c>
      <c r="M278" s="886" t="str">
        <f ca="1">IF(AND(Referral_Error="",'General Basis'!J106=""),IF('Age Banded Rating'!X154=0,"NA",'Age Banded Rating'!X154),"Refer to RGA")</f>
        <v>NA</v>
      </c>
      <c r="N278" s="886" t="str">
        <f ca="1">IF(AND(Referral_Error="",'General Basis'!J106=""),IF('Age Banded Rating'!Y154=0,"NA",'Age Banded Rating'!Y154),"Refer to RGA")</f>
        <v>NA</v>
      </c>
    </row>
    <row r="279" spans="1:18" x14ac:dyDescent="0.25">
      <c r="B279" s="1446"/>
      <c r="C279" s="885" t="str">
        <f>IF(C$270="","",IFERROR(IF(C$270="Abu Dhabi",'General Basis'!$C46,'General Basis'!$B46),""))</f>
        <v/>
      </c>
      <c r="D279" s="886" t="str">
        <f ca="1">IF(AND(Referral_Error="",'General Basis'!J106=""),IF('Age Banded Rating'!O155=0,"NA",'Age Banded Rating'!O155),"Refer to RGA")</f>
        <v>NA</v>
      </c>
      <c r="E279" s="886" t="str">
        <f ca="1">IF(AND(Referral_Error="",'General Basis'!J106=""),IF('Age Banded Rating'!P155=0,"NA",'Age Banded Rating'!P155),"Refer to RGA")</f>
        <v>NA</v>
      </c>
      <c r="F279" s="885" t="str">
        <f>IF(F$270="","",IFERROR(IF(F$270="Abu Dhabi",'General Basis'!$C46,'General Basis'!$B46),""))</f>
        <v/>
      </c>
      <c r="G279" s="886" t="str">
        <f ca="1">IF(AND(Referral_Error="",'General Basis'!J106=""),IF('Age Banded Rating'!R155=0,"NA",'Age Banded Rating'!R155),"Refer to RGA")</f>
        <v>NA</v>
      </c>
      <c r="H279" s="886" t="str">
        <f ca="1">IF(AND(Referral_Error="",'General Basis'!J106=""),IF('Age Banded Rating'!S155=0,"NA",'Age Banded Rating'!S155),"Refer to RGA")</f>
        <v>NA</v>
      </c>
      <c r="I279" s="885" t="str">
        <f>IF(I$270="","",IFERROR(IF(I$270="Abu Dhabi",'General Basis'!$C46,'General Basis'!$B46),""))</f>
        <v/>
      </c>
      <c r="J279" s="886" t="str">
        <f ca="1">IF(AND(Referral_Error="",'General Basis'!J106=""),IF('Age Banded Rating'!U155=0,"NA",'Age Banded Rating'!U155),"Refer to RGA")</f>
        <v>NA</v>
      </c>
      <c r="K279" s="886" t="str">
        <f ca="1">IF(AND(Referral_Error="",'General Basis'!J106=""),IF('Age Banded Rating'!V155=0,"NA",'Age Banded Rating'!V155),"Refer to RGA")</f>
        <v>NA</v>
      </c>
      <c r="L279" s="885" t="str">
        <f>IF(L$270="","",IFERROR(IF(L$270="Abu Dhabi",'General Basis'!$C46,'General Basis'!$B46),""))</f>
        <v/>
      </c>
      <c r="M279" s="886" t="str">
        <f ca="1">IF(AND(Referral_Error="",'General Basis'!J106=""),IF('Age Banded Rating'!X155=0,"NA",'Age Banded Rating'!X155),"Refer to RGA")</f>
        <v>NA</v>
      </c>
      <c r="N279" s="886" t="str">
        <f ca="1">IF(AND(Referral_Error="",'General Basis'!J106=""),IF('Age Banded Rating'!Y155=0,"NA",'Age Banded Rating'!Y155),"Refer to RGA")</f>
        <v>NA</v>
      </c>
    </row>
    <row r="280" spans="1:18" x14ac:dyDescent="0.25">
      <c r="B280" s="1446"/>
      <c r="C280" s="885" t="str">
        <f>IF(C$270="","",IFERROR(IF(C$270="Abu Dhabi",'General Basis'!$C47,'General Basis'!$B47),""))</f>
        <v/>
      </c>
      <c r="D280" s="886" t="str">
        <f ca="1">IF(AND(Referral_Error="",'General Basis'!J106=""),IF('Age Banded Rating'!O156=0,"NA",'Age Banded Rating'!O156),"Refer to RGA")</f>
        <v>NA</v>
      </c>
      <c r="E280" s="886" t="str">
        <f ca="1">IF(AND(Referral_Error="",'General Basis'!J106=""),IF('Age Banded Rating'!P156=0,"NA",'Age Banded Rating'!P156),"Refer to RGA")</f>
        <v>NA</v>
      </c>
      <c r="F280" s="885" t="str">
        <f>IF(F$270="","",IFERROR(IF(F$270="Abu Dhabi",'General Basis'!$C47,'General Basis'!$B47),""))</f>
        <v/>
      </c>
      <c r="G280" s="886" t="str">
        <f ca="1">IF(AND(Referral_Error="",'General Basis'!J106=""),IF('Age Banded Rating'!R156=0,"NA",'Age Banded Rating'!R156),"Refer to RGA")</f>
        <v>NA</v>
      </c>
      <c r="H280" s="886" t="str">
        <f ca="1">IF(AND(Referral_Error="",'General Basis'!J106=""),IF('Age Banded Rating'!S156=0,"NA",'Age Banded Rating'!S156),"Refer to RGA")</f>
        <v>NA</v>
      </c>
      <c r="I280" s="885" t="str">
        <f>IF(I$270="","",IFERROR(IF(I$270="Abu Dhabi",'General Basis'!$C47,'General Basis'!$B47),""))</f>
        <v/>
      </c>
      <c r="J280" s="886" t="str">
        <f ca="1">IF(AND(Referral_Error="",'General Basis'!J106=""),IF('Age Banded Rating'!U156=0,"NA",'Age Banded Rating'!U156),"Refer to RGA")</f>
        <v>NA</v>
      </c>
      <c r="K280" s="886" t="str">
        <f ca="1">IF(AND(Referral_Error="",'General Basis'!J106=""),IF('Age Banded Rating'!V156=0,"NA",'Age Banded Rating'!V156),"Refer to RGA")</f>
        <v>NA</v>
      </c>
      <c r="L280" s="885" t="str">
        <f>IF(L$270="","",IFERROR(IF(L$270="Abu Dhabi",'General Basis'!$C47,'General Basis'!$B47),""))</f>
        <v/>
      </c>
      <c r="M280" s="886" t="str">
        <f ca="1">IF(AND(Referral_Error="",'General Basis'!J106=""),IF('Age Banded Rating'!X156=0,"NA",'Age Banded Rating'!X156),"Refer to RGA")</f>
        <v>NA</v>
      </c>
      <c r="N280" s="886" t="str">
        <f ca="1">IF(AND(Referral_Error="",'General Basis'!J106=""),IF('Age Banded Rating'!Y156=0,"NA",'Age Banded Rating'!Y156),"Refer to RGA")</f>
        <v>NA</v>
      </c>
    </row>
    <row r="281" spans="1:18" x14ac:dyDescent="0.25">
      <c r="B281" s="1446"/>
      <c r="C281" s="885" t="str">
        <f>IF(C$270="","",IFERROR(IF(C$270="Abu Dhabi",'General Basis'!$C48,'General Basis'!$B48),""))</f>
        <v/>
      </c>
      <c r="D281" s="886" t="str">
        <f ca="1">IF(AND(Referral_Error="",'General Basis'!J106=""),IF('Age Banded Rating'!O157=0,"NA",'Age Banded Rating'!O157),"Refer to RGA")</f>
        <v>NA</v>
      </c>
      <c r="E281" s="886" t="str">
        <f ca="1">IF(AND(Referral_Error="",'General Basis'!J106=""),IF('Age Banded Rating'!P157=0,"NA",'Age Banded Rating'!P157),"Refer to RGA")</f>
        <v>NA</v>
      </c>
      <c r="F281" s="885" t="str">
        <f>IF(F$270="","",IFERROR(IF(F$270="Abu Dhabi",'General Basis'!$C48,'General Basis'!$B48),""))</f>
        <v/>
      </c>
      <c r="G281" s="886" t="str">
        <f ca="1">IF(AND(Referral_Error="",'General Basis'!J106=""),IF('Age Banded Rating'!R157=0,"NA",'Age Banded Rating'!R157),"Refer to RGA")</f>
        <v>NA</v>
      </c>
      <c r="H281" s="886" t="str">
        <f ca="1">IF(AND(Referral_Error="",'General Basis'!J106=""),IF('Age Banded Rating'!S157=0,"NA",'Age Banded Rating'!S157),"Refer to RGA")</f>
        <v>NA</v>
      </c>
      <c r="I281" s="885" t="str">
        <f>IF(I$270="","",IFERROR(IF(I$270="Abu Dhabi",'General Basis'!$C48,'General Basis'!$B48),""))</f>
        <v/>
      </c>
      <c r="J281" s="886" t="str">
        <f ca="1">IF(AND(Referral_Error="",'General Basis'!J106=""),IF('Age Banded Rating'!U157=0,"NA",'Age Banded Rating'!U157),"Refer to RGA")</f>
        <v>NA</v>
      </c>
      <c r="K281" s="886" t="str">
        <f ca="1">IF(AND(Referral_Error="",'General Basis'!J106=""),IF('Age Banded Rating'!V157=0,"NA",'Age Banded Rating'!V157),"Refer to RGA")</f>
        <v>NA</v>
      </c>
      <c r="L281" s="885" t="str">
        <f>IF(L$270="","",IFERROR(IF(L$270="Abu Dhabi",'General Basis'!$C48,'General Basis'!$B48),""))</f>
        <v/>
      </c>
      <c r="M281" s="886" t="str">
        <f ca="1">IF(AND(Referral_Error="",'General Basis'!J106=""),IF('Age Banded Rating'!X157=0,"NA",'Age Banded Rating'!X157),"Refer to RGA")</f>
        <v>NA</v>
      </c>
      <c r="N281" s="886" t="str">
        <f ca="1">IF(AND(Referral_Error="",'General Basis'!J106=""),IF('Age Banded Rating'!Y157=0,"NA",'Age Banded Rating'!Y157),"Refer to RGA")</f>
        <v>NA</v>
      </c>
    </row>
    <row r="282" spans="1:18" x14ac:dyDescent="0.25">
      <c r="B282" s="1446"/>
      <c r="C282" s="885" t="str">
        <f>IF(C$270="","",IFERROR(IF(C$270="Abu Dhabi",'General Basis'!$C49,'General Basis'!$B49),""))</f>
        <v/>
      </c>
      <c r="D282" s="886" t="str">
        <f ca="1">IF(AND(Referral_Error="",'General Basis'!J106=""),IF('Age Banded Rating'!O158=0,"NA",'Age Banded Rating'!O158),"Refer to RGA")</f>
        <v>NA</v>
      </c>
      <c r="E282" s="886" t="str">
        <f ca="1">IF(AND(Referral_Error="",'General Basis'!J106=""),IF('Age Banded Rating'!P158=0,"NA",'Age Banded Rating'!P158),"Refer to RGA")</f>
        <v>NA</v>
      </c>
      <c r="F282" s="885" t="str">
        <f>IF(F$270="","",IFERROR(IF(F$270="Abu Dhabi",'General Basis'!$C49,'General Basis'!$B49),""))</f>
        <v/>
      </c>
      <c r="G282" s="886" t="str">
        <f ca="1">IF(AND(Referral_Error="",'General Basis'!J106=""),IF('Age Banded Rating'!R158=0,"NA",'Age Banded Rating'!R158),"Refer to RGA")</f>
        <v>NA</v>
      </c>
      <c r="H282" s="886" t="str">
        <f ca="1">IF(AND(Referral_Error="",'General Basis'!J106=""),IF('Age Banded Rating'!S158=0,"NA",'Age Banded Rating'!S158),"Refer to RGA")</f>
        <v>NA</v>
      </c>
      <c r="I282" s="885" t="str">
        <f>IF(I$270="","",IFERROR(IF(I$270="Abu Dhabi",'General Basis'!$C49,'General Basis'!$B49),""))</f>
        <v/>
      </c>
      <c r="J282" s="886" t="str">
        <f ca="1">IF(AND(Referral_Error="",'General Basis'!J106=""),IF('Age Banded Rating'!U158=0,"NA",'Age Banded Rating'!U158),"Refer to RGA")</f>
        <v>NA</v>
      </c>
      <c r="K282" s="886" t="str">
        <f ca="1">IF(AND(Referral_Error="",'General Basis'!J106=""),IF('Age Banded Rating'!V158=0,"NA",'Age Banded Rating'!V158),"Refer to RGA")</f>
        <v>NA</v>
      </c>
      <c r="L282" s="885" t="str">
        <f>IF(L$270="","",IFERROR(IF(L$270="Abu Dhabi",'General Basis'!$C49,'General Basis'!$B49),""))</f>
        <v/>
      </c>
      <c r="M282" s="886" t="str">
        <f ca="1">IF(AND(Referral_Error="",'General Basis'!J106=""),IF('Age Banded Rating'!X158=0,"NA",'Age Banded Rating'!X158),"Refer to RGA")</f>
        <v>NA</v>
      </c>
      <c r="N282" s="886" t="str">
        <f ca="1">IF(AND(Referral_Error="",'General Basis'!J106=""),IF('Age Banded Rating'!Y158=0,"NA",'Age Banded Rating'!Y158),"Refer to RGA")</f>
        <v>NA</v>
      </c>
    </row>
    <row r="283" spans="1:18" x14ac:dyDescent="0.25">
      <c r="B283" s="1447"/>
      <c r="C283" s="885" t="str">
        <f>IF(C$270="","",IFERROR(IF(C$270="Abu Dhabi",'General Basis'!$C50,'General Basis'!$B50),""))</f>
        <v/>
      </c>
      <c r="D283" s="886" t="str">
        <f ca="1">IF(AND(Referral_Error="",'General Basis'!J106=""),IF('Age Banded Rating'!O159=0,"NA",'Age Banded Rating'!O159),"Refer to RGA")</f>
        <v>NA</v>
      </c>
      <c r="E283" s="886" t="str">
        <f ca="1">IF(AND(Referral_Error="",'General Basis'!J106=""),IF('Age Banded Rating'!P159=0,"NA",'Age Banded Rating'!P159),"Refer to RGA")</f>
        <v>NA</v>
      </c>
      <c r="F283" s="885" t="str">
        <f>IF(F$270="","",IFERROR(IF(F$270="Abu Dhabi",'General Basis'!$C50,'General Basis'!$B50),""))</f>
        <v/>
      </c>
      <c r="G283" s="886" t="str">
        <f ca="1">IF(AND(Referral_Error="",'General Basis'!J106=""),IF('Age Banded Rating'!R159=0,"NA",'Age Banded Rating'!R159),"Refer to RGA")</f>
        <v>NA</v>
      </c>
      <c r="H283" s="886" t="str">
        <f ca="1">IF(AND(Referral_Error="",'General Basis'!J106=""),IF('Age Banded Rating'!S159=0,"NA",'Age Banded Rating'!S159),"Refer to RGA")</f>
        <v>NA</v>
      </c>
      <c r="I283" s="885" t="str">
        <f>IF(I$270="","",IFERROR(IF(I$270="Abu Dhabi",'General Basis'!$C50,'General Basis'!$B50),""))</f>
        <v/>
      </c>
      <c r="J283" s="886" t="str">
        <f ca="1">IF(AND(Referral_Error="",'General Basis'!J106=""),IF('Age Banded Rating'!U159=0,"NA",'Age Banded Rating'!U159),"Refer to RGA")</f>
        <v>NA</v>
      </c>
      <c r="K283" s="886" t="str">
        <f ca="1">IF(AND(Referral_Error="",'General Basis'!J106=""),IF('Age Banded Rating'!V159=0,"NA",'Age Banded Rating'!V159),"Refer to RGA")</f>
        <v>NA</v>
      </c>
      <c r="L283" s="885" t="str">
        <f>IF(L$270="","",IFERROR(IF(L$270="Abu Dhabi",'General Basis'!$C50,'General Basis'!$B50),""))</f>
        <v/>
      </c>
      <c r="M283" s="886" t="str">
        <f ca="1">IF(AND(Referral_Error="",'General Basis'!J106=""),IF('Age Banded Rating'!X159=0,"NA",'Age Banded Rating'!X159),"Refer to RGA")</f>
        <v>NA</v>
      </c>
      <c r="N283" s="886" t="str">
        <f ca="1">IF(AND(Referral_Error="",'General Basis'!J106=""),IF('Age Banded Rating'!Y159=0,"NA",'Age Banded Rating'!Y159),"Refer to RGA")</f>
        <v>NA</v>
      </c>
    </row>
    <row r="284" spans="1:18" s="892" customFormat="1" x14ac:dyDescent="0.25">
      <c r="A284" s="593"/>
      <c r="B284" s="941" t="s">
        <v>1066</v>
      </c>
      <c r="C284" s="832" t="str">
        <f>IF(C270="","",IF(C270="Abu Dhabi","18-50","18-45"))</f>
        <v/>
      </c>
      <c r="D284" s="833" t="s">
        <v>995</v>
      </c>
      <c r="E284" s="890" t="str">
        <f>IF(C270="","",'Age Banded Rating'!G236)</f>
        <v/>
      </c>
      <c r="F284" s="832" t="str">
        <f>IF(F270="","",IF(F270="Abu Dhabi","18-50","18-45"))</f>
        <v/>
      </c>
      <c r="G284" s="833" t="s">
        <v>995</v>
      </c>
      <c r="H284" s="890" t="str">
        <f>IF(F270="","",'Age Banded Rating'!H236)</f>
        <v/>
      </c>
      <c r="I284" s="832" t="str">
        <f>IF(I270="","",IF(I270="Abu Dhabi","18-50","18-45"))</f>
        <v/>
      </c>
      <c r="J284" s="833" t="s">
        <v>995</v>
      </c>
      <c r="K284" s="890" t="str">
        <f>IF(I270="","",'Age Banded Rating'!I236)</f>
        <v/>
      </c>
      <c r="L284" s="832" t="str">
        <f>IF(L270="","",IF(L270="Abu Dhabi","18-50","18-45"))</f>
        <v/>
      </c>
      <c r="M284" s="833" t="s">
        <v>995</v>
      </c>
      <c r="N284" s="890" t="str">
        <f>IF(L270="","",'Age Banded Rating'!J236)</f>
        <v/>
      </c>
      <c r="O284" s="593"/>
      <c r="P284" s="593"/>
      <c r="Q284" s="593"/>
      <c r="R284" s="593"/>
    </row>
    <row r="285" spans="1:18" ht="32.25" x14ac:dyDescent="0.25">
      <c r="B285" s="887" t="s">
        <v>289</v>
      </c>
      <c r="C285" s="983">
        <f ca="1">SUMPRODUCT(D196:E207,D272:E283)</f>
        <v>0</v>
      </c>
      <c r="D285" s="984" t="s">
        <v>1098</v>
      </c>
      <c r="E285" s="983" t="str">
        <f>IFERROR(E284*D246,"NA")</f>
        <v>NA</v>
      </c>
      <c r="F285" s="983">
        <f ca="1">SUMPRODUCT(G196:H207,G272:H283)</f>
        <v>0</v>
      </c>
      <c r="G285" s="984" t="s">
        <v>1098</v>
      </c>
      <c r="H285" s="983" t="str">
        <f>IFERROR(H284*G246,"NA")</f>
        <v>NA</v>
      </c>
      <c r="I285" s="983">
        <f ca="1">SUMPRODUCT(J196:K207,J272:K283)</f>
        <v>0</v>
      </c>
      <c r="J285" s="984" t="s">
        <v>1098</v>
      </c>
      <c r="K285" s="983" t="str">
        <f>IFERROR(K284*J246,"NA")</f>
        <v>NA</v>
      </c>
      <c r="L285" s="983">
        <f ca="1">SUMPRODUCT(M196:N207,M272:N283)</f>
        <v>0</v>
      </c>
      <c r="M285" s="984" t="s">
        <v>1098</v>
      </c>
      <c r="N285" s="983" t="str">
        <f>IFERROR(N284*M246,"NA")</f>
        <v>NA</v>
      </c>
    </row>
    <row r="286" spans="1:18" ht="30.75" customHeight="1" x14ac:dyDescent="0.25">
      <c r="M286" s="433"/>
    </row>
    <row r="287" spans="1:18" ht="23.25" x14ac:dyDescent="0.25">
      <c r="B287" s="1445" t="s">
        <v>958</v>
      </c>
      <c r="C287" s="884" t="str">
        <f>IFERROR(VLOOKUP(D287,'General Basis'!$I$39:$L$46,4,0),"")</f>
        <v>Dubai</v>
      </c>
      <c r="D287" s="884" t="str">
        <f>D253</f>
        <v>Category A</v>
      </c>
      <c r="E287" s="884" t="str">
        <f>E253</f>
        <v>Category A</v>
      </c>
      <c r="F287" s="884" t="str">
        <f>IFERROR(VLOOKUP(G287,'General Basis'!$I$39:$L$46,4,0),"")</f>
        <v/>
      </c>
      <c r="G287" s="884" t="str">
        <f>G253</f>
        <v>Category B</v>
      </c>
      <c r="H287" s="884" t="str">
        <f>H253</f>
        <v>Category B</v>
      </c>
      <c r="I287" s="884" t="str">
        <f>IFERROR(VLOOKUP(J287,'General Basis'!$I$39:$L$46,4,0),"")</f>
        <v/>
      </c>
      <c r="J287" s="884" t="str">
        <f>J253</f>
        <v>Category C</v>
      </c>
      <c r="K287" s="884" t="str">
        <f>K253</f>
        <v>Category C</v>
      </c>
      <c r="L287" s="884" t="str">
        <f>IFERROR(VLOOKUP(M287,'General Basis'!$I$39:$L$46,4,0),"")</f>
        <v/>
      </c>
      <c r="M287" s="884" t="str">
        <f>M253</f>
        <v>Category D</v>
      </c>
      <c r="N287" s="884" t="str">
        <f>N253</f>
        <v>Category D</v>
      </c>
    </row>
    <row r="288" spans="1:18" ht="23.25" x14ac:dyDescent="0.25">
      <c r="B288" s="1446" t="s">
        <v>286</v>
      </c>
      <c r="C288" s="829" t="s">
        <v>286</v>
      </c>
      <c r="D288" s="884" t="s">
        <v>65</v>
      </c>
      <c r="E288" s="884" t="s">
        <v>66</v>
      </c>
      <c r="F288" s="829" t="s">
        <v>286</v>
      </c>
      <c r="G288" s="884" t="s">
        <v>65</v>
      </c>
      <c r="H288" s="884" t="s">
        <v>66</v>
      </c>
      <c r="I288" s="829" t="s">
        <v>286</v>
      </c>
      <c r="J288" s="884" t="s">
        <v>65</v>
      </c>
      <c r="K288" s="884" t="s">
        <v>66</v>
      </c>
      <c r="L288" s="829" t="s">
        <v>286</v>
      </c>
      <c r="M288" s="884" t="s">
        <v>65</v>
      </c>
      <c r="N288" s="884" t="s">
        <v>66</v>
      </c>
    </row>
    <row r="289" spans="1:18" x14ac:dyDescent="0.25">
      <c r="B289" s="1446"/>
      <c r="C289" s="885" t="str">
        <f>C255</f>
        <v>0 - 10</v>
      </c>
      <c r="D289" s="886">
        <f ca="1">IF(AND(Referral_Error="",'General Basis'!J106=""),IF('Age Banded Rating'!C167=0,"NA",'Age Banded Rating'!C167),"Refer to RGA")</f>
        <v>2520.9822125608111</v>
      </c>
      <c r="E289" s="886">
        <f ca="1">IF(AND(Referral_Error="",'General Basis'!J106=""),IF('Age Banded Rating'!D167=0,"NA",'Age Banded Rating'!D167),"Refer to RGA")</f>
        <v>2379.1483675710015</v>
      </c>
      <c r="F289" s="885" t="str">
        <f>F255</f>
        <v/>
      </c>
      <c r="G289" s="886" t="str">
        <f ca="1">IF(AND(Referral_Error="",'General Basis'!J106=""),IF('Age Banded Rating'!F167=0,"NA",'Age Banded Rating'!F167),"Refer to RGA")</f>
        <v>NA</v>
      </c>
      <c r="H289" s="886" t="str">
        <f ca="1">IF(AND(Referral_Error="",'General Basis'!J106=""),IF('Age Banded Rating'!G167=0,"NA",'Age Banded Rating'!G167),"Refer to RGA")</f>
        <v>NA</v>
      </c>
      <c r="I289" s="885" t="str">
        <f>I255</f>
        <v/>
      </c>
      <c r="J289" s="886" t="str">
        <f ca="1">IF(AND(Referral_Error="",'General Basis'!J106=""),IF('Age Banded Rating'!I167=0,"NA",'Age Banded Rating'!I167),"Refer to RGA")</f>
        <v>NA</v>
      </c>
      <c r="K289" s="886" t="str">
        <f ca="1">IF(AND(Referral_Error="",'General Basis'!J106=""),IF('Age Banded Rating'!J167=0,"NA",'Age Banded Rating'!J167),"Refer to RGA")</f>
        <v>NA</v>
      </c>
      <c r="L289" s="885" t="str">
        <f>L255</f>
        <v/>
      </c>
      <c r="M289" s="886" t="str">
        <f ca="1">IF(AND(Referral_Error="",'General Basis'!J106=""),IF('Age Banded Rating'!L167=0,"NA",'Age Banded Rating'!L167),"Refer to RGA")</f>
        <v>NA</v>
      </c>
      <c r="N289" s="886" t="str">
        <f ca="1">IF(AND(Referral_Error="",'General Basis'!J106=""),IF('Age Banded Rating'!M167=0,"NA",'Age Banded Rating'!M167),"Refer to RGA")</f>
        <v>NA</v>
      </c>
    </row>
    <row r="290" spans="1:18" x14ac:dyDescent="0.25">
      <c r="B290" s="1446"/>
      <c r="C290" s="885" t="str">
        <f t="shared" ref="C290:C300" si="36">C256</f>
        <v>11 - 17</v>
      </c>
      <c r="D290" s="886">
        <f ca="1">IF(AND(Referral_Error="",'General Basis'!J106=""),IF('Age Banded Rating'!C168=0,"NA",'Age Banded Rating'!C168),"Refer to RGA")</f>
        <v>1190.7180051160638</v>
      </c>
      <c r="E290" s="886">
        <f ca="1">IF(AND(Referral_Error="",'General Basis'!J106=""),IF('Age Banded Rating'!D168=0,"NA",'Age Banded Rating'!D168),"Refer to RGA")</f>
        <v>1459.5160177983644</v>
      </c>
      <c r="F290" s="885" t="str">
        <f t="shared" ref="F290:F300" si="37">F256</f>
        <v/>
      </c>
      <c r="G290" s="886" t="str">
        <f ca="1">IF(AND(Referral_Error="",'General Basis'!J106=""),IF('Age Banded Rating'!F168=0,"NA",'Age Banded Rating'!F168),"Refer to RGA")</f>
        <v>NA</v>
      </c>
      <c r="H290" s="886" t="str">
        <f ca="1">IF(AND(Referral_Error="",'General Basis'!J106=""),IF('Age Banded Rating'!G168=0,"NA",'Age Banded Rating'!G168),"Refer to RGA")</f>
        <v>NA</v>
      </c>
      <c r="I290" s="885" t="str">
        <f t="shared" ref="I290:I300" si="38">I256</f>
        <v/>
      </c>
      <c r="J290" s="886" t="str">
        <f ca="1">IF(AND(Referral_Error="",'General Basis'!J106=""),IF('Age Banded Rating'!I168=0,"NA",'Age Banded Rating'!I168),"Refer to RGA")</f>
        <v>NA</v>
      </c>
      <c r="K290" s="886" t="str">
        <f ca="1">IF(AND(Referral_Error="",'General Basis'!J106=""),IF('Age Banded Rating'!J168=0,"NA",'Age Banded Rating'!J168),"Refer to RGA")</f>
        <v>NA</v>
      </c>
      <c r="L290" s="885" t="str">
        <f t="shared" ref="L290:L300" si="39">L256</f>
        <v/>
      </c>
      <c r="M290" s="886" t="str">
        <f ca="1">IF(AND(Referral_Error="",'General Basis'!J106=""),IF('Age Banded Rating'!L168=0,"NA",'Age Banded Rating'!L168),"Refer to RGA")</f>
        <v>NA</v>
      </c>
      <c r="N290" s="886" t="str">
        <f ca="1">IF(AND(Referral_Error="",'General Basis'!J106=""),IF('Age Banded Rating'!M168=0,"NA",'Age Banded Rating'!M168),"Refer to RGA")</f>
        <v>NA</v>
      </c>
    </row>
    <row r="291" spans="1:18" x14ac:dyDescent="0.25">
      <c r="B291" s="1446"/>
      <c r="C291" s="885" t="str">
        <f t="shared" si="36"/>
        <v>18 - 25</v>
      </c>
      <c r="D291" s="886">
        <f ca="1">IF(AND(Referral_Error="",'General Basis'!J106=""),IF('Age Banded Rating'!C169=0,"NA",'Age Banded Rating'!C169),"Refer to RGA")</f>
        <v>1490.3991937235648</v>
      </c>
      <c r="E291" s="886">
        <f ca="1">IF(AND(Referral_Error="",'General Basis'!J106=""),IF('Age Banded Rating'!D169=0,"NA",'Age Banded Rating'!D169),"Refer to RGA")</f>
        <v>1454.9407324761123</v>
      </c>
      <c r="F291" s="885" t="str">
        <f t="shared" si="37"/>
        <v/>
      </c>
      <c r="G291" s="886" t="str">
        <f ca="1">IF(AND(Referral_Error="",'General Basis'!J106=""),IF('Age Banded Rating'!F169=0,"NA",'Age Banded Rating'!F169),"Refer to RGA")</f>
        <v>NA</v>
      </c>
      <c r="H291" s="886" t="str">
        <f ca="1">IF(AND(Referral_Error="",'General Basis'!J106=""),IF('Age Banded Rating'!G169=0,"NA",'Age Banded Rating'!G169),"Refer to RGA")</f>
        <v>NA</v>
      </c>
      <c r="I291" s="885" t="str">
        <f t="shared" si="38"/>
        <v/>
      </c>
      <c r="J291" s="886" t="str">
        <f ca="1">IF(AND(Referral_Error="",'General Basis'!J106=""),IF('Age Banded Rating'!I169=0,"NA",'Age Banded Rating'!I169),"Refer to RGA")</f>
        <v>NA</v>
      </c>
      <c r="K291" s="886" t="str">
        <f ca="1">IF(AND(Referral_Error="",'General Basis'!J106=""),IF('Age Banded Rating'!J169=0,"NA",'Age Banded Rating'!J169),"Refer to RGA")</f>
        <v>NA</v>
      </c>
      <c r="L291" s="885" t="str">
        <f t="shared" si="39"/>
        <v/>
      </c>
      <c r="M291" s="886" t="str">
        <f ca="1">IF(AND(Referral_Error="",'General Basis'!J106=""),IF('Age Banded Rating'!L169=0,"NA",'Age Banded Rating'!L169),"Refer to RGA")</f>
        <v>NA</v>
      </c>
      <c r="N291" s="886" t="str">
        <f ca="1">IF(AND(Referral_Error="",'General Basis'!J106=""),IF('Age Banded Rating'!M169=0,"NA",'Age Banded Rating'!M169),"Refer to RGA")</f>
        <v>NA</v>
      </c>
    </row>
    <row r="292" spans="1:18" x14ac:dyDescent="0.25">
      <c r="B292" s="1446"/>
      <c r="C292" s="885" t="str">
        <f t="shared" si="36"/>
        <v>26 - 30</v>
      </c>
      <c r="D292" s="886">
        <f ca="1">IF(AND(Referral_Error="",'General Basis'!J106=""),IF('Age Banded Rating'!C170=0,"NA",'Age Banded Rating'!C170),"Refer to RGA")</f>
        <v>1620.7948254077446</v>
      </c>
      <c r="E292" s="886">
        <f ca="1">IF(AND(Referral_Error="",'General Basis'!J106=""),IF('Age Banded Rating'!D170=0,"NA",'Age Banded Rating'!D170),"Refer to RGA")</f>
        <v>1810.6691662811995</v>
      </c>
      <c r="F292" s="885" t="str">
        <f t="shared" si="37"/>
        <v/>
      </c>
      <c r="G292" s="886" t="str">
        <f ca="1">IF(AND(Referral_Error="",'General Basis'!J106=""),IF('Age Banded Rating'!F170=0,"NA",'Age Banded Rating'!F170),"Refer to RGA")</f>
        <v>NA</v>
      </c>
      <c r="H292" s="886" t="str">
        <f ca="1">IF(AND(Referral_Error="",'General Basis'!J106=""),IF('Age Banded Rating'!G170=0,"NA",'Age Banded Rating'!G170),"Refer to RGA")</f>
        <v>NA</v>
      </c>
      <c r="I292" s="885" t="str">
        <f t="shared" si="38"/>
        <v/>
      </c>
      <c r="J292" s="886" t="str">
        <f ca="1">IF(AND(Referral_Error="",'General Basis'!J106=""),IF('Age Banded Rating'!I170=0,"NA",'Age Banded Rating'!I170),"Refer to RGA")</f>
        <v>NA</v>
      </c>
      <c r="K292" s="886" t="str">
        <f ca="1">IF(AND(Referral_Error="",'General Basis'!J106=""),IF('Age Banded Rating'!J170=0,"NA",'Age Banded Rating'!J170),"Refer to RGA")</f>
        <v>NA</v>
      </c>
      <c r="L292" s="885" t="str">
        <f t="shared" si="39"/>
        <v/>
      </c>
      <c r="M292" s="886" t="str">
        <f ca="1">IF(AND(Referral_Error="",'General Basis'!J106=""),IF('Age Banded Rating'!L170=0,"NA",'Age Banded Rating'!L170),"Refer to RGA")</f>
        <v>NA</v>
      </c>
      <c r="N292" s="886" t="str">
        <f ca="1">IF(AND(Referral_Error="",'General Basis'!J106=""),IF('Age Banded Rating'!M170=0,"NA",'Age Banded Rating'!M170),"Refer to RGA")</f>
        <v>NA</v>
      </c>
    </row>
    <row r="293" spans="1:18" x14ac:dyDescent="0.25">
      <c r="B293" s="1446"/>
      <c r="C293" s="885" t="str">
        <f t="shared" si="36"/>
        <v>31 - 35</v>
      </c>
      <c r="D293" s="886">
        <f ca="1">IF(AND(Referral_Error="",'General Basis'!J106=""),IF('Age Banded Rating'!C171=0,"NA",'Age Banded Rating'!C171),"Refer to RGA")</f>
        <v>1954.7906539321352</v>
      </c>
      <c r="E293" s="886">
        <f ca="1">IF(AND(Referral_Error="",'General Basis'!J106=""),IF('Age Banded Rating'!D171=0,"NA",'Age Banded Rating'!D171),"Refer to RGA")</f>
        <v>2164.1099574251607</v>
      </c>
      <c r="F293" s="885" t="str">
        <f t="shared" si="37"/>
        <v/>
      </c>
      <c r="G293" s="886" t="str">
        <f ca="1">IF(AND(Referral_Error="",'General Basis'!J106=""),IF('Age Banded Rating'!F171=0,"NA",'Age Banded Rating'!F171),"Refer to RGA")</f>
        <v>NA</v>
      </c>
      <c r="H293" s="886" t="str">
        <f ca="1">IF(AND(Referral_Error="",'General Basis'!J106=""),IF('Age Banded Rating'!G171=0,"NA",'Age Banded Rating'!G171),"Refer to RGA")</f>
        <v>NA</v>
      </c>
      <c r="I293" s="885" t="str">
        <f t="shared" si="38"/>
        <v/>
      </c>
      <c r="J293" s="886" t="str">
        <f ca="1">IF(AND(Referral_Error="",'General Basis'!J106=""),IF('Age Banded Rating'!I171=0,"NA",'Age Banded Rating'!I171),"Refer to RGA")</f>
        <v>NA</v>
      </c>
      <c r="K293" s="886" t="str">
        <f ca="1">IF(AND(Referral_Error="",'General Basis'!J106=""),IF('Age Banded Rating'!J171=0,"NA",'Age Banded Rating'!J171),"Refer to RGA")</f>
        <v>NA</v>
      </c>
      <c r="L293" s="885" t="str">
        <f t="shared" si="39"/>
        <v/>
      </c>
      <c r="M293" s="886" t="str">
        <f ca="1">IF(AND(Referral_Error="",'General Basis'!J106=""),IF('Age Banded Rating'!L171=0,"NA",'Age Banded Rating'!L171),"Refer to RGA")</f>
        <v>NA</v>
      </c>
      <c r="N293" s="886" t="str">
        <f ca="1">IF(AND(Referral_Error="",'General Basis'!J106=""),IF('Age Banded Rating'!M171=0,"NA",'Age Banded Rating'!M171),"Refer to RGA")</f>
        <v>NA</v>
      </c>
    </row>
    <row r="294" spans="1:18" x14ac:dyDescent="0.25">
      <c r="B294" s="1446"/>
      <c r="C294" s="885" t="str">
        <f t="shared" si="36"/>
        <v>36 - 40</v>
      </c>
      <c r="D294" s="886">
        <f ca="1">IF(AND(Referral_Error="",'General Basis'!J106=""),IF('Age Banded Rating'!C172=0,"NA",'Age Banded Rating'!C172),"Refer to RGA")</f>
        <v>2413.463007487891</v>
      </c>
      <c r="E294" s="886">
        <f ca="1">IF(AND(Referral_Error="",'General Basis'!J106=""),IF('Age Banded Rating'!D172=0,"NA",'Age Banded Rating'!D172),"Refer to RGA")</f>
        <v>2702.8498041203252</v>
      </c>
      <c r="F294" s="885" t="str">
        <f t="shared" si="37"/>
        <v/>
      </c>
      <c r="G294" s="886" t="str">
        <f ca="1">IF(AND(Referral_Error="",'General Basis'!J106=""),IF('Age Banded Rating'!F172=0,"NA",'Age Banded Rating'!F172),"Refer to RGA")</f>
        <v>NA</v>
      </c>
      <c r="H294" s="886" t="str">
        <f ca="1">IF(AND(Referral_Error="",'General Basis'!J106=""),IF('Age Banded Rating'!G172=0,"NA",'Age Banded Rating'!G172),"Refer to RGA")</f>
        <v>NA</v>
      </c>
      <c r="I294" s="885" t="str">
        <f t="shared" si="38"/>
        <v/>
      </c>
      <c r="J294" s="886" t="str">
        <f ca="1">IF(AND(Referral_Error="",'General Basis'!J106=""),IF('Age Banded Rating'!I172=0,"NA",'Age Banded Rating'!I172),"Refer to RGA")</f>
        <v>NA</v>
      </c>
      <c r="K294" s="886" t="str">
        <f ca="1">IF(AND(Referral_Error="",'General Basis'!J106=""),IF('Age Banded Rating'!J172=0,"NA",'Age Banded Rating'!J172),"Refer to RGA")</f>
        <v>NA</v>
      </c>
      <c r="L294" s="885" t="str">
        <f t="shared" si="39"/>
        <v/>
      </c>
      <c r="M294" s="886" t="str">
        <f ca="1">IF(AND(Referral_Error="",'General Basis'!J106=""),IF('Age Banded Rating'!L172=0,"NA",'Age Banded Rating'!L172),"Refer to RGA")</f>
        <v>NA</v>
      </c>
      <c r="N294" s="886" t="str">
        <f ca="1">IF(AND(Referral_Error="",'General Basis'!J106=""),IF('Age Banded Rating'!M172=0,"NA",'Age Banded Rating'!M172),"Refer to RGA")</f>
        <v>NA</v>
      </c>
    </row>
    <row r="295" spans="1:18" x14ac:dyDescent="0.25">
      <c r="B295" s="1446"/>
      <c r="C295" s="885" t="str">
        <f t="shared" si="36"/>
        <v>41 - 45</v>
      </c>
      <c r="D295" s="886">
        <f ca="1">IF(AND(Referral_Error="",'General Basis'!J106=""),IF('Age Banded Rating'!C173=0,"NA",'Age Banded Rating'!C173),"Refer to RGA")</f>
        <v>2828.6701504822531</v>
      </c>
      <c r="E295" s="886">
        <f ca="1">IF(AND(Referral_Error="",'General Basis'!J106=""),IF('Age Banded Rating'!D173=0,"NA",'Age Banded Rating'!D173),"Refer to RGA")</f>
        <v>3464.6348102752709</v>
      </c>
      <c r="F295" s="885" t="str">
        <f t="shared" si="37"/>
        <v/>
      </c>
      <c r="G295" s="886" t="str">
        <f ca="1">IF(AND(Referral_Error="",'General Basis'!J106=""),IF('Age Banded Rating'!F173=0,"NA",'Age Banded Rating'!F173),"Refer to RGA")</f>
        <v>NA</v>
      </c>
      <c r="H295" s="886" t="str">
        <f ca="1">IF(AND(Referral_Error="",'General Basis'!J106=""),IF('Age Banded Rating'!G173=0,"NA",'Age Banded Rating'!G173),"Refer to RGA")</f>
        <v>NA</v>
      </c>
      <c r="I295" s="885" t="str">
        <f t="shared" si="38"/>
        <v/>
      </c>
      <c r="J295" s="886" t="str">
        <f ca="1">IF(AND(Referral_Error="",'General Basis'!J106=""),IF('Age Banded Rating'!I173=0,"NA",'Age Banded Rating'!I173),"Refer to RGA")</f>
        <v>NA</v>
      </c>
      <c r="K295" s="886" t="str">
        <f ca="1">IF(AND(Referral_Error="",'General Basis'!J106=""),IF('Age Banded Rating'!J173=0,"NA",'Age Banded Rating'!J173),"Refer to RGA")</f>
        <v>NA</v>
      </c>
      <c r="L295" s="885" t="str">
        <f t="shared" si="39"/>
        <v/>
      </c>
      <c r="M295" s="886" t="str">
        <f ca="1">IF(AND(Referral_Error="",'General Basis'!J106=""),IF('Age Banded Rating'!L173=0,"NA",'Age Banded Rating'!L173),"Refer to RGA")</f>
        <v>NA</v>
      </c>
      <c r="N295" s="886" t="str">
        <f ca="1">IF(AND(Referral_Error="",'General Basis'!J106=""),IF('Age Banded Rating'!M173=0,"NA",'Age Banded Rating'!M173),"Refer to RGA")</f>
        <v>NA</v>
      </c>
    </row>
    <row r="296" spans="1:18" x14ac:dyDescent="0.25">
      <c r="B296" s="1446"/>
      <c r="C296" s="885" t="str">
        <f t="shared" si="36"/>
        <v>46 - 50</v>
      </c>
      <c r="D296" s="886">
        <f ca="1">IF(AND(Referral_Error="",'General Basis'!J106=""),IF('Age Banded Rating'!C174=0,"NA",'Age Banded Rating'!C174),"Refer to RGA")</f>
        <v>3693.3990763878669</v>
      </c>
      <c r="E296" s="886">
        <f ca="1">IF(AND(Referral_Error="",'General Basis'!J106=""),IF('Age Banded Rating'!D174=0,"NA",'Age Banded Rating'!D174),"Refer to RGA")</f>
        <v>4336.2266641642627</v>
      </c>
      <c r="F296" s="885" t="str">
        <f t="shared" si="37"/>
        <v/>
      </c>
      <c r="G296" s="886" t="str">
        <f ca="1">IF(AND(Referral_Error="",'General Basis'!J106=""),IF('Age Banded Rating'!F174=0,"NA",'Age Banded Rating'!F174),"Refer to RGA")</f>
        <v>NA</v>
      </c>
      <c r="H296" s="886" t="str">
        <f ca="1">IF(AND(Referral_Error="",'General Basis'!J106=""),IF('Age Banded Rating'!G174=0,"NA",'Age Banded Rating'!G174),"Refer to RGA")</f>
        <v>NA</v>
      </c>
      <c r="I296" s="885" t="str">
        <f t="shared" si="38"/>
        <v/>
      </c>
      <c r="J296" s="886" t="str">
        <f ca="1">IF(AND(Referral_Error="",'General Basis'!J106=""),IF('Age Banded Rating'!I174=0,"NA",'Age Banded Rating'!I174),"Refer to RGA")</f>
        <v>NA</v>
      </c>
      <c r="K296" s="886" t="str">
        <f ca="1">IF(AND(Referral_Error="",'General Basis'!J106=""),IF('Age Banded Rating'!J174=0,"NA",'Age Banded Rating'!J174),"Refer to RGA")</f>
        <v>NA</v>
      </c>
      <c r="L296" s="885" t="str">
        <f t="shared" si="39"/>
        <v/>
      </c>
      <c r="M296" s="886" t="str">
        <f ca="1">IF(AND(Referral_Error="",'General Basis'!J106=""),IF('Age Banded Rating'!L174=0,"NA",'Age Banded Rating'!L174),"Refer to RGA")</f>
        <v>NA</v>
      </c>
      <c r="N296" s="886" t="str">
        <f ca="1">IF(AND(Referral_Error="",'General Basis'!J106=""),IF('Age Banded Rating'!M174=0,"NA",'Age Banded Rating'!M174),"Refer to RGA")</f>
        <v>NA</v>
      </c>
    </row>
    <row r="297" spans="1:18" x14ac:dyDescent="0.25">
      <c r="B297" s="1446"/>
      <c r="C297" s="885" t="str">
        <f t="shared" si="36"/>
        <v>51 - 55</v>
      </c>
      <c r="D297" s="886">
        <f ca="1">IF(AND(Referral_Error="",'General Basis'!J106=""),IF('Age Banded Rating'!C175=0,"NA",'Age Banded Rating'!C175),"Refer to RGA")</f>
        <v>4945.8834333543318</v>
      </c>
      <c r="E297" s="886">
        <f ca="1">IF(AND(Referral_Error="",'General Basis'!J106=""),IF('Age Banded Rating'!D175=0,"NA",'Age Banded Rating'!D175),"Refer to RGA")</f>
        <v>5712.2437248315291</v>
      </c>
      <c r="F297" s="885" t="str">
        <f t="shared" si="37"/>
        <v/>
      </c>
      <c r="G297" s="886" t="str">
        <f ca="1">IF(AND(Referral_Error="",'General Basis'!J106=""),IF('Age Banded Rating'!F175=0,"NA",'Age Banded Rating'!F175),"Refer to RGA")</f>
        <v>NA</v>
      </c>
      <c r="H297" s="886" t="str">
        <f ca="1">IF(AND(Referral_Error="",'General Basis'!J106=""),IF('Age Banded Rating'!G175=0,"NA",'Age Banded Rating'!G175),"Refer to RGA")</f>
        <v>NA</v>
      </c>
      <c r="I297" s="885" t="str">
        <f t="shared" si="38"/>
        <v/>
      </c>
      <c r="J297" s="886" t="str">
        <f ca="1">IF(AND(Referral_Error="",'General Basis'!J106=""),IF('Age Banded Rating'!I175=0,"NA",'Age Banded Rating'!I175),"Refer to RGA")</f>
        <v>NA</v>
      </c>
      <c r="K297" s="886" t="str">
        <f ca="1">IF(AND(Referral_Error="",'General Basis'!J106=""),IF('Age Banded Rating'!J175=0,"NA",'Age Banded Rating'!J175),"Refer to RGA")</f>
        <v>NA</v>
      </c>
      <c r="L297" s="885" t="str">
        <f t="shared" si="39"/>
        <v/>
      </c>
      <c r="M297" s="886" t="str">
        <f ca="1">IF(AND(Referral_Error="",'General Basis'!J106=""),IF('Age Banded Rating'!L175=0,"NA",'Age Banded Rating'!L175),"Refer to RGA")</f>
        <v>NA</v>
      </c>
      <c r="N297" s="886" t="str">
        <f ca="1">IF(AND(Referral_Error="",'General Basis'!J106=""),IF('Age Banded Rating'!M175=0,"NA",'Age Banded Rating'!M175),"Refer to RGA")</f>
        <v>NA</v>
      </c>
    </row>
    <row r="298" spans="1:18" x14ac:dyDescent="0.25">
      <c r="B298" s="1446"/>
      <c r="C298" s="885" t="str">
        <f t="shared" si="36"/>
        <v>56 - 59</v>
      </c>
      <c r="D298" s="886">
        <f ca="1">IF(AND(Referral_Error="",'General Basis'!J106=""),IF('Age Banded Rating'!C176=0,"NA",'Age Banded Rating'!C176),"Refer to RGA")</f>
        <v>6726.8132450408939</v>
      </c>
      <c r="E298" s="886">
        <f ca="1">IF(AND(Referral_Error="",'General Basis'!J106=""),IF('Age Banded Rating'!D176=0,"NA",'Age Banded Rating'!D176),"Refer to RGA")</f>
        <v>6989.8921510703794</v>
      </c>
      <c r="F298" s="885" t="str">
        <f t="shared" si="37"/>
        <v/>
      </c>
      <c r="G298" s="886" t="str">
        <f ca="1">IF(AND(Referral_Error="",'General Basis'!J106=""),IF('Age Banded Rating'!F176=0,"NA",'Age Banded Rating'!F176),"Refer to RGA")</f>
        <v>NA</v>
      </c>
      <c r="H298" s="886" t="str">
        <f ca="1">IF(AND(Referral_Error="",'General Basis'!J106=""),IF('Age Banded Rating'!G176=0,"NA",'Age Banded Rating'!G176),"Refer to RGA")</f>
        <v>NA</v>
      </c>
      <c r="I298" s="885" t="str">
        <f t="shared" si="38"/>
        <v/>
      </c>
      <c r="J298" s="886" t="str">
        <f ca="1">IF(AND(Referral_Error="",'General Basis'!J106=""),IF('Age Banded Rating'!I176=0,"NA",'Age Banded Rating'!I176),"Refer to RGA")</f>
        <v>NA</v>
      </c>
      <c r="K298" s="886" t="str">
        <f ca="1">IF(AND(Referral_Error="",'General Basis'!J106=""),IF('Age Banded Rating'!J176=0,"NA",'Age Banded Rating'!J176),"Refer to RGA")</f>
        <v>NA</v>
      </c>
      <c r="L298" s="885" t="str">
        <f t="shared" si="39"/>
        <v/>
      </c>
      <c r="M298" s="886" t="str">
        <f ca="1">IF(AND(Referral_Error="",'General Basis'!J106=""),IF('Age Banded Rating'!L176=0,"NA",'Age Banded Rating'!L176),"Refer to RGA")</f>
        <v>NA</v>
      </c>
      <c r="N298" s="886" t="str">
        <f ca="1">IF(AND(Referral_Error="",'General Basis'!J106=""),IF('Age Banded Rating'!M176=0,"NA",'Age Banded Rating'!M176),"Refer to RGA")</f>
        <v>NA</v>
      </c>
    </row>
    <row r="299" spans="1:18" x14ac:dyDescent="0.25">
      <c r="B299" s="1446"/>
      <c r="C299" s="885" t="str">
        <f t="shared" si="36"/>
        <v>60 - 64</v>
      </c>
      <c r="D299" s="886">
        <f ca="1">IF(AND(Referral_Error="",'General Basis'!J106=""),IF('Age Banded Rating'!C177=0,"NA",'Age Banded Rating'!C177),"Refer to RGA")</f>
        <v>8273.2596839620437</v>
      </c>
      <c r="E299" s="886">
        <f ca="1">IF(AND(Referral_Error="",'General Basis'!J106=""),IF('Age Banded Rating'!D177=0,"NA",'Age Banded Rating'!D177),"Refer to RGA")</f>
        <v>8301.8552172261188</v>
      </c>
      <c r="F299" s="885" t="str">
        <f t="shared" si="37"/>
        <v/>
      </c>
      <c r="G299" s="886" t="str">
        <f ca="1">IF(AND(Referral_Error="",'General Basis'!J106=""),IF('Age Banded Rating'!F177=0,"NA",'Age Banded Rating'!F177),"Refer to RGA")</f>
        <v>NA</v>
      </c>
      <c r="H299" s="886" t="str">
        <f ca="1">IF(AND(Referral_Error="",'General Basis'!J106=""),IF('Age Banded Rating'!G177=0,"NA",'Age Banded Rating'!G177),"Refer to RGA")</f>
        <v>NA</v>
      </c>
      <c r="I299" s="885" t="str">
        <f t="shared" si="38"/>
        <v/>
      </c>
      <c r="J299" s="886" t="str">
        <f ca="1">IF(AND(Referral_Error="",'General Basis'!J106=""),IF('Age Banded Rating'!I177=0,"NA",'Age Banded Rating'!I177),"Refer to RGA")</f>
        <v>NA</v>
      </c>
      <c r="K299" s="886" t="str">
        <f ca="1">IF(AND(Referral_Error="",'General Basis'!J106=""),IF('Age Banded Rating'!J177=0,"NA",'Age Banded Rating'!J177),"Refer to RGA")</f>
        <v>NA</v>
      </c>
      <c r="L299" s="885" t="str">
        <f t="shared" si="39"/>
        <v/>
      </c>
      <c r="M299" s="886" t="str">
        <f ca="1">IF(AND(Referral_Error="",'General Basis'!J106=""),IF('Age Banded Rating'!L177=0,"NA",'Age Banded Rating'!L177),"Refer to RGA")</f>
        <v>NA</v>
      </c>
      <c r="N299" s="886" t="str">
        <f ca="1">IF(AND(Referral_Error="",'General Basis'!J106=""),IF('Age Banded Rating'!M177=0,"NA",'Age Banded Rating'!M177),"Refer to RGA")</f>
        <v>NA</v>
      </c>
    </row>
    <row r="300" spans="1:18" x14ac:dyDescent="0.25">
      <c r="B300" s="1447"/>
      <c r="C300" s="885" t="str">
        <f t="shared" si="36"/>
        <v>65 - 99</v>
      </c>
      <c r="D300" s="886">
        <f ca="1">IF(AND(Referral_Error="",'General Basis'!J106=""),IF('Age Banded Rating'!C178=0,"NA",'Age Banded Rating'!C178),"Refer to RGA")</f>
        <v>14891.867431131679</v>
      </c>
      <c r="E300" s="886">
        <f ca="1">IF(AND(Referral_Error="",'General Basis'!J106=""),IF('Age Banded Rating'!D178=0,"NA",'Age Banded Rating'!D178),"Refer to RGA")</f>
        <v>14943.339391007014</v>
      </c>
      <c r="F300" s="885" t="str">
        <f t="shared" si="37"/>
        <v/>
      </c>
      <c r="G300" s="886" t="str">
        <f ca="1">IF(AND(Referral_Error="",'General Basis'!J106=""),IF('Age Banded Rating'!F178=0,"NA",'Age Banded Rating'!F178),"Refer to RGA")</f>
        <v>NA</v>
      </c>
      <c r="H300" s="886" t="str">
        <f ca="1">IF(AND(Referral_Error="",'General Basis'!J106=""),IF('Age Banded Rating'!G178=0,"NA",'Age Banded Rating'!G178),"Refer to RGA")</f>
        <v>NA</v>
      </c>
      <c r="I300" s="885" t="str">
        <f t="shared" si="38"/>
        <v/>
      </c>
      <c r="J300" s="886" t="str">
        <f ca="1">IF(AND(Referral_Error="",'General Basis'!J106=""),IF('Age Banded Rating'!I178=0,"NA",'Age Banded Rating'!I178),"Refer to RGA")</f>
        <v>NA</v>
      </c>
      <c r="K300" s="886" t="str">
        <f ca="1">IF(AND(Referral_Error="",'General Basis'!J106=""),IF('Age Banded Rating'!J178=0,"NA",'Age Banded Rating'!J178),"Refer to RGA")</f>
        <v>NA</v>
      </c>
      <c r="L300" s="885" t="str">
        <f t="shared" si="39"/>
        <v/>
      </c>
      <c r="M300" s="886" t="str">
        <f ca="1">IF(AND(Referral_Error="",'General Basis'!J106=""),IF('Age Banded Rating'!L178=0,"NA",'Age Banded Rating'!L178),"Refer to RGA")</f>
        <v>NA</v>
      </c>
      <c r="N300" s="886" t="str">
        <f ca="1">IF(AND(Referral_Error="",'General Basis'!J106=""),IF('Age Banded Rating'!M178=0,"NA",'Age Banded Rating'!M178),"Refer to RGA")</f>
        <v>NA</v>
      </c>
    </row>
    <row r="301" spans="1:18" s="892" customFormat="1" x14ac:dyDescent="0.25">
      <c r="A301" s="593"/>
      <c r="B301" s="941" t="s">
        <v>1066</v>
      </c>
      <c r="C301" s="832" t="str">
        <f>IF(C287="","",IF(C287="Abu Dhabi","18-50","18-45"))</f>
        <v>18-45</v>
      </c>
      <c r="D301" s="833" t="str">
        <f>D267</f>
        <v>NA</v>
      </c>
      <c r="E301" s="1008">
        <f>E267</f>
        <v>1575.9</v>
      </c>
      <c r="F301" s="832" t="str">
        <f>IF(F287="","",IF(F287="Abu Dhabi","18-50","18-45"))</f>
        <v/>
      </c>
      <c r="G301" s="833" t="str">
        <f>G267</f>
        <v>NA</v>
      </c>
      <c r="H301" s="1008" t="str">
        <f>H267</f>
        <v/>
      </c>
      <c r="I301" s="832" t="str">
        <f>IF(I287="","",IF(I287="Abu Dhabi","18-50","18-45"))</f>
        <v/>
      </c>
      <c r="J301" s="833" t="str">
        <f>J267</f>
        <v>NA</v>
      </c>
      <c r="K301" s="1008" t="str">
        <f>K267</f>
        <v/>
      </c>
      <c r="L301" s="832" t="str">
        <f>IF(L287="","",IF(L287="Abu Dhabi","18-50","18-45"))</f>
        <v/>
      </c>
      <c r="M301" s="833" t="str">
        <f>M267</f>
        <v>NA</v>
      </c>
      <c r="N301" s="1008" t="str">
        <f>N267</f>
        <v/>
      </c>
      <c r="O301" s="593"/>
      <c r="P301" s="593"/>
      <c r="Q301" s="593"/>
      <c r="R301" s="593"/>
    </row>
    <row r="302" spans="1:18" ht="32.25" x14ac:dyDescent="0.25">
      <c r="B302" s="887" t="s">
        <v>289</v>
      </c>
      <c r="C302" s="983">
        <f ca="1">SUMPRODUCT(D212:E223,D289:E300)</f>
        <v>19163.582572252191</v>
      </c>
      <c r="D302" s="984" t="s">
        <v>1098</v>
      </c>
      <c r="E302" s="983">
        <f>IFERROR(E301*D244,"NA")</f>
        <v>0</v>
      </c>
      <c r="F302" s="983">
        <f ca="1">SUMPRODUCT(G212:H223,G289:H300)</f>
        <v>0</v>
      </c>
      <c r="G302" s="984" t="s">
        <v>1098</v>
      </c>
      <c r="H302" s="983" t="str">
        <f>IFERROR(H301*G244,"NA")</f>
        <v>NA</v>
      </c>
      <c r="I302" s="983">
        <f ca="1">SUMPRODUCT(J212:K223,J289:K300)</f>
        <v>0</v>
      </c>
      <c r="J302" s="984" t="s">
        <v>1098</v>
      </c>
      <c r="K302" s="983" t="str">
        <f>IFERROR(K301*J244,"NA")</f>
        <v>NA</v>
      </c>
      <c r="L302" s="983">
        <f ca="1">SUMPRODUCT(M212:N223,M289:N300)</f>
        <v>0</v>
      </c>
      <c r="M302" s="984" t="s">
        <v>1098</v>
      </c>
      <c r="N302" s="983" t="str">
        <f>IFERROR(N301*M244,"NA")</f>
        <v>NA</v>
      </c>
    </row>
    <row r="303" spans="1:18" x14ac:dyDescent="0.25">
      <c r="B303" s="830"/>
      <c r="N303" s="870"/>
    </row>
    <row r="304" spans="1:18" ht="23.25" x14ac:dyDescent="0.25">
      <c r="B304" s="1445" t="s">
        <v>958</v>
      </c>
      <c r="C304" s="884" t="str">
        <f>IFERROR(VLOOKUP(D304,'General Basis'!$I$39:$L$46,4,0),"")</f>
        <v/>
      </c>
      <c r="D304" s="884" t="str">
        <f>D270</f>
        <v>Category E</v>
      </c>
      <c r="E304" s="884" t="str">
        <f>E270</f>
        <v>Category E</v>
      </c>
      <c r="F304" s="884" t="str">
        <f>IFERROR(VLOOKUP(G304,'General Basis'!$I$39:$L$46,4,0),"")</f>
        <v/>
      </c>
      <c r="G304" s="884" t="str">
        <f>G270</f>
        <v>Category F</v>
      </c>
      <c r="H304" s="884" t="str">
        <f>H270</f>
        <v>Category F</v>
      </c>
      <c r="I304" s="884" t="str">
        <f>IFERROR(VLOOKUP(J304,'General Basis'!$I$39:$L$46,4,0),"")</f>
        <v/>
      </c>
      <c r="J304" s="884" t="str">
        <f>J270</f>
        <v>Category G</v>
      </c>
      <c r="K304" s="884" t="str">
        <f>K270</f>
        <v>Category G</v>
      </c>
      <c r="L304" s="884" t="str">
        <f>IFERROR(VLOOKUP(M304,'General Basis'!$I$39:$L$46,4,0),"")</f>
        <v/>
      </c>
      <c r="M304" s="884" t="str">
        <f>M270</f>
        <v>Category H</v>
      </c>
      <c r="N304" s="884" t="str">
        <f>N270</f>
        <v>Category H</v>
      </c>
    </row>
    <row r="305" spans="1:18" ht="23.25" x14ac:dyDescent="0.25">
      <c r="B305" s="1446" t="s">
        <v>286</v>
      </c>
      <c r="C305" s="829" t="s">
        <v>286</v>
      </c>
      <c r="D305" s="829" t="s">
        <v>65</v>
      </c>
      <c r="E305" s="884" t="s">
        <v>66</v>
      </c>
      <c r="F305" s="829" t="s">
        <v>286</v>
      </c>
      <c r="G305" s="829" t="s">
        <v>65</v>
      </c>
      <c r="H305" s="884" t="s">
        <v>66</v>
      </c>
      <c r="I305" s="829" t="s">
        <v>286</v>
      </c>
      <c r="J305" s="829" t="s">
        <v>65</v>
      </c>
      <c r="K305" s="884" t="s">
        <v>66</v>
      </c>
      <c r="L305" s="829" t="s">
        <v>286</v>
      </c>
      <c r="M305" s="829" t="s">
        <v>65</v>
      </c>
      <c r="N305" s="884" t="s">
        <v>66</v>
      </c>
    </row>
    <row r="306" spans="1:18" x14ac:dyDescent="0.25">
      <c r="B306" s="1446"/>
      <c r="C306" s="885" t="str">
        <f>C272</f>
        <v/>
      </c>
      <c r="D306" s="886" t="str">
        <f ca="1">IF(AND(Referral_Error="",'General Basis'!J106=""),IF('Age Banded Rating'!O167=0,"NA",'Age Banded Rating'!O167),"Refer to RGA")</f>
        <v>NA</v>
      </c>
      <c r="E306" s="886" t="str">
        <f ca="1">IF(AND(Referral_Error="",'General Basis'!J106=""),IF('Age Banded Rating'!P167=0,"NA",'Age Banded Rating'!P167),"Refer to RGA")</f>
        <v>NA</v>
      </c>
      <c r="F306" s="885" t="str">
        <f>F272</f>
        <v/>
      </c>
      <c r="G306" s="886" t="str">
        <f ca="1">IF(AND(Referral_Error="",'General Basis'!J106=""),IF('Age Banded Rating'!R167=0,"NA",'Age Banded Rating'!R167),"Refer to RGA")</f>
        <v>NA</v>
      </c>
      <c r="H306" s="886" t="str">
        <f ca="1">IF(AND(Referral_Error="",'General Basis'!J106=""),IF('Age Banded Rating'!S167=0,"NA",'Age Banded Rating'!S167),"Refer to RGA")</f>
        <v>NA</v>
      </c>
      <c r="I306" s="885" t="str">
        <f>I272</f>
        <v/>
      </c>
      <c r="J306" s="886" t="str">
        <f ca="1">IF(AND(Referral_Error="",'General Basis'!J106=""),IF('Age Banded Rating'!U167=0,"NA",'Age Banded Rating'!U167),"Refer to RGA")</f>
        <v>NA</v>
      </c>
      <c r="K306" s="886" t="str">
        <f ca="1">IF(AND(Referral_Error="",'General Basis'!J106=""),IF('Age Banded Rating'!V167=0,"NA",'Age Banded Rating'!V167),"Refer to RGA")</f>
        <v>NA</v>
      </c>
      <c r="L306" s="885" t="str">
        <f>L272</f>
        <v/>
      </c>
      <c r="M306" s="886" t="str">
        <f ca="1">IF(AND(Referral_Error="",'General Basis'!J106=""),IF('Age Banded Rating'!X167=0,"NA",'Age Banded Rating'!X167),"Refer to RGA")</f>
        <v>NA</v>
      </c>
      <c r="N306" s="886" t="str">
        <f ca="1">IF(AND(Referral_Error="",'General Basis'!J106=""),IF('Age Banded Rating'!Y167=0,"NA",'Age Banded Rating'!Y167),"Refer to RGA")</f>
        <v>NA</v>
      </c>
    </row>
    <row r="307" spans="1:18" x14ac:dyDescent="0.25">
      <c r="B307" s="1446"/>
      <c r="C307" s="885" t="str">
        <f t="shared" ref="C307:C317" si="40">C273</f>
        <v/>
      </c>
      <c r="D307" s="886" t="str">
        <f ca="1">IF(AND(Referral_Error="",'General Basis'!J106=""),IF('Age Banded Rating'!O168=0,"NA",'Age Banded Rating'!O168),"Refer to RGA")</f>
        <v>NA</v>
      </c>
      <c r="E307" s="886" t="str">
        <f ca="1">IF(AND(Referral_Error="",'General Basis'!J106=""),IF('Age Banded Rating'!P168=0,"NA",'Age Banded Rating'!P168),"Refer to RGA")</f>
        <v>NA</v>
      </c>
      <c r="F307" s="885" t="str">
        <f t="shared" ref="F307:F317" si="41">F273</f>
        <v/>
      </c>
      <c r="G307" s="886" t="str">
        <f ca="1">IF(AND(Referral_Error="",'General Basis'!J106=""),IF('Age Banded Rating'!R168=0,"NA",'Age Banded Rating'!R168),"Refer to RGA")</f>
        <v>NA</v>
      </c>
      <c r="H307" s="886" t="str">
        <f ca="1">IF(AND(Referral_Error="",'General Basis'!J106=""),IF('Age Banded Rating'!S168=0,"NA",'Age Banded Rating'!S168),"Refer to RGA")</f>
        <v>NA</v>
      </c>
      <c r="I307" s="885" t="str">
        <f t="shared" ref="I307:I317" si="42">I273</f>
        <v/>
      </c>
      <c r="J307" s="886" t="str">
        <f ca="1">IF(AND(Referral_Error="",'General Basis'!J106=""),IF('Age Banded Rating'!U168=0,"NA",'Age Banded Rating'!U168),"Refer to RGA")</f>
        <v>NA</v>
      </c>
      <c r="K307" s="886" t="str">
        <f ca="1">IF(AND(Referral_Error="",'General Basis'!J106=""),IF('Age Banded Rating'!V168=0,"NA",'Age Banded Rating'!V168),"Refer to RGA")</f>
        <v>NA</v>
      </c>
      <c r="L307" s="885" t="str">
        <f t="shared" ref="L307:L317" si="43">L273</f>
        <v/>
      </c>
      <c r="M307" s="886" t="str">
        <f ca="1">IF(AND(Referral_Error="",'General Basis'!J106=""),IF('Age Banded Rating'!X168=0,"NA",'Age Banded Rating'!X168),"Refer to RGA")</f>
        <v>NA</v>
      </c>
      <c r="N307" s="886" t="str">
        <f ca="1">IF(AND(Referral_Error="",'General Basis'!J106=""),IF('Age Banded Rating'!Y168=0,"NA",'Age Banded Rating'!Y168),"Refer to RGA")</f>
        <v>NA</v>
      </c>
    </row>
    <row r="308" spans="1:18" x14ac:dyDescent="0.25">
      <c r="B308" s="1446"/>
      <c r="C308" s="885" t="str">
        <f t="shared" si="40"/>
        <v/>
      </c>
      <c r="D308" s="886" t="str">
        <f ca="1">IF(AND(Referral_Error="",'General Basis'!J106=""),IF('Age Banded Rating'!O169=0,"NA",'Age Banded Rating'!O169),"Refer to RGA")</f>
        <v>NA</v>
      </c>
      <c r="E308" s="886" t="str">
        <f ca="1">IF(AND(Referral_Error="",'General Basis'!J106=""),IF('Age Banded Rating'!P169=0,"NA",'Age Banded Rating'!P169),"Refer to RGA")</f>
        <v>NA</v>
      </c>
      <c r="F308" s="885" t="str">
        <f t="shared" si="41"/>
        <v/>
      </c>
      <c r="G308" s="886" t="str">
        <f ca="1">IF(AND(Referral_Error="",'General Basis'!J106=""),IF('Age Banded Rating'!R169=0,"NA",'Age Banded Rating'!R169),"Refer to RGA")</f>
        <v>NA</v>
      </c>
      <c r="H308" s="886" t="str">
        <f ca="1">IF(AND(Referral_Error="",'General Basis'!J106=""),IF('Age Banded Rating'!S169=0,"NA",'Age Banded Rating'!S169),"Refer to RGA")</f>
        <v>NA</v>
      </c>
      <c r="I308" s="885" t="str">
        <f t="shared" si="42"/>
        <v/>
      </c>
      <c r="J308" s="886" t="str">
        <f ca="1">IF(AND(Referral_Error="",'General Basis'!J106=""),IF('Age Banded Rating'!U169=0,"NA",'Age Banded Rating'!U169),"Refer to RGA")</f>
        <v>NA</v>
      </c>
      <c r="K308" s="886" t="str">
        <f ca="1">IF(AND(Referral_Error="",'General Basis'!J106=""),IF('Age Banded Rating'!V169=0,"NA",'Age Banded Rating'!V169),"Refer to RGA")</f>
        <v>NA</v>
      </c>
      <c r="L308" s="885" t="str">
        <f t="shared" si="43"/>
        <v/>
      </c>
      <c r="M308" s="886" t="str">
        <f ca="1">IF(AND(Referral_Error="",'General Basis'!J106=""),IF('Age Banded Rating'!X169=0,"NA",'Age Banded Rating'!X169),"Refer to RGA")</f>
        <v>NA</v>
      </c>
      <c r="N308" s="886" t="str">
        <f ca="1">IF(AND(Referral_Error="",'General Basis'!J106=""),IF('Age Banded Rating'!Y169=0,"NA",'Age Banded Rating'!Y169),"Refer to RGA")</f>
        <v>NA</v>
      </c>
    </row>
    <row r="309" spans="1:18" x14ac:dyDescent="0.25">
      <c r="B309" s="1446"/>
      <c r="C309" s="885" t="str">
        <f t="shared" si="40"/>
        <v/>
      </c>
      <c r="D309" s="886" t="str">
        <f ca="1">IF(AND(Referral_Error="",'General Basis'!J106=""),IF('Age Banded Rating'!O170=0,"NA",'Age Banded Rating'!O170),"Refer to RGA")</f>
        <v>NA</v>
      </c>
      <c r="E309" s="886" t="str">
        <f ca="1">IF(AND(Referral_Error="",'General Basis'!J106=""),IF('Age Banded Rating'!P170=0,"NA",'Age Banded Rating'!P170),"Refer to RGA")</f>
        <v>NA</v>
      </c>
      <c r="F309" s="885" t="str">
        <f t="shared" si="41"/>
        <v/>
      </c>
      <c r="G309" s="886" t="str">
        <f ca="1">IF(AND(Referral_Error="",'General Basis'!J106=""),IF('Age Banded Rating'!R170=0,"NA",'Age Banded Rating'!R170),"Refer to RGA")</f>
        <v>NA</v>
      </c>
      <c r="H309" s="886" t="str">
        <f ca="1">IF(AND(Referral_Error="",'General Basis'!J106=""),IF('Age Banded Rating'!S170=0,"NA",'Age Banded Rating'!S170),"Refer to RGA")</f>
        <v>NA</v>
      </c>
      <c r="I309" s="885" t="str">
        <f t="shared" si="42"/>
        <v/>
      </c>
      <c r="J309" s="886" t="str">
        <f ca="1">IF(AND(Referral_Error="",'General Basis'!J106=""),IF('Age Banded Rating'!U170=0,"NA",'Age Banded Rating'!U170),"Refer to RGA")</f>
        <v>NA</v>
      </c>
      <c r="K309" s="886" t="str">
        <f ca="1">IF(AND(Referral_Error="",'General Basis'!J106=""),IF('Age Banded Rating'!V170=0,"NA",'Age Banded Rating'!V170),"Refer to RGA")</f>
        <v>NA</v>
      </c>
      <c r="L309" s="885" t="str">
        <f t="shared" si="43"/>
        <v/>
      </c>
      <c r="M309" s="886" t="str">
        <f ca="1">IF(AND(Referral_Error="",'General Basis'!J106=""),IF('Age Banded Rating'!X170=0,"NA",'Age Banded Rating'!X170),"Refer to RGA")</f>
        <v>NA</v>
      </c>
      <c r="N309" s="886" t="str">
        <f ca="1">IF(AND(Referral_Error="",'General Basis'!J106=""),IF('Age Banded Rating'!Y170=0,"NA",'Age Banded Rating'!Y170),"Refer to RGA")</f>
        <v>NA</v>
      </c>
    </row>
    <row r="310" spans="1:18" x14ac:dyDescent="0.25">
      <c r="B310" s="1446"/>
      <c r="C310" s="885" t="str">
        <f t="shared" si="40"/>
        <v/>
      </c>
      <c r="D310" s="886" t="str">
        <f ca="1">IF(AND(Referral_Error="",'General Basis'!J106=""),IF('Age Banded Rating'!O171=0,"NA",'Age Banded Rating'!O171),"Refer to RGA")</f>
        <v>NA</v>
      </c>
      <c r="E310" s="886" t="str">
        <f ca="1">IF(AND(Referral_Error="",'General Basis'!J106=""),IF('Age Banded Rating'!P171=0,"NA",'Age Banded Rating'!P171),"Refer to RGA")</f>
        <v>NA</v>
      </c>
      <c r="F310" s="885" t="str">
        <f t="shared" si="41"/>
        <v/>
      </c>
      <c r="G310" s="886" t="str">
        <f ca="1">IF(AND(Referral_Error="",'General Basis'!J106=""),IF('Age Banded Rating'!R171=0,"NA",'Age Banded Rating'!R171),"Refer to RGA")</f>
        <v>NA</v>
      </c>
      <c r="H310" s="886" t="str">
        <f ca="1">IF(AND(Referral_Error="",'General Basis'!J106=""),IF('Age Banded Rating'!S171=0,"NA",'Age Banded Rating'!S171),"Refer to RGA")</f>
        <v>NA</v>
      </c>
      <c r="I310" s="885" t="str">
        <f t="shared" si="42"/>
        <v/>
      </c>
      <c r="J310" s="886" t="str">
        <f ca="1">IF(AND(Referral_Error="",'General Basis'!J106=""),IF('Age Banded Rating'!U171=0,"NA",'Age Banded Rating'!U171),"Refer to RGA")</f>
        <v>NA</v>
      </c>
      <c r="K310" s="886" t="str">
        <f ca="1">IF(AND(Referral_Error="",'General Basis'!J106=""),IF('Age Banded Rating'!V171=0,"NA",'Age Banded Rating'!V171),"Refer to RGA")</f>
        <v>NA</v>
      </c>
      <c r="L310" s="885" t="str">
        <f t="shared" si="43"/>
        <v/>
      </c>
      <c r="M310" s="886" t="str">
        <f ca="1">IF(AND(Referral_Error="",'General Basis'!J106=""),IF('Age Banded Rating'!X171=0,"NA",'Age Banded Rating'!X171),"Refer to RGA")</f>
        <v>NA</v>
      </c>
      <c r="N310" s="886" t="str">
        <f ca="1">IF(AND(Referral_Error="",'General Basis'!J106=""),IF('Age Banded Rating'!Y171=0,"NA",'Age Banded Rating'!Y171),"Refer to RGA")</f>
        <v>NA</v>
      </c>
    </row>
    <row r="311" spans="1:18" x14ac:dyDescent="0.25">
      <c r="B311" s="1446"/>
      <c r="C311" s="885" t="str">
        <f t="shared" si="40"/>
        <v/>
      </c>
      <c r="D311" s="886" t="str">
        <f ca="1">IF(AND(Referral_Error="",'General Basis'!J106=""),IF('Age Banded Rating'!O172=0,"NA",'Age Banded Rating'!O172),"Refer to RGA")</f>
        <v>NA</v>
      </c>
      <c r="E311" s="886" t="str">
        <f ca="1">IF(AND(Referral_Error="",'General Basis'!J106=""),IF('Age Banded Rating'!P172=0,"NA",'Age Banded Rating'!P172),"Refer to RGA")</f>
        <v>NA</v>
      </c>
      <c r="F311" s="885" t="str">
        <f t="shared" si="41"/>
        <v/>
      </c>
      <c r="G311" s="886" t="str">
        <f ca="1">IF(AND(Referral_Error="",'General Basis'!J106=""),IF('Age Banded Rating'!R172=0,"NA",'Age Banded Rating'!R172),"Refer to RGA")</f>
        <v>NA</v>
      </c>
      <c r="H311" s="886" t="str">
        <f ca="1">IF(AND(Referral_Error="",'General Basis'!J106=""),IF('Age Banded Rating'!S172=0,"NA",'Age Banded Rating'!S172),"Refer to RGA")</f>
        <v>NA</v>
      </c>
      <c r="I311" s="885" t="str">
        <f t="shared" si="42"/>
        <v/>
      </c>
      <c r="J311" s="886" t="str">
        <f ca="1">IF(AND(Referral_Error="",'General Basis'!J106=""),IF('Age Banded Rating'!U172=0,"NA",'Age Banded Rating'!U172),"Refer to RGA")</f>
        <v>NA</v>
      </c>
      <c r="K311" s="886" t="str">
        <f ca="1">IF(AND(Referral_Error="",'General Basis'!J106=""),IF('Age Banded Rating'!V172=0,"NA",'Age Banded Rating'!V172),"Refer to RGA")</f>
        <v>NA</v>
      </c>
      <c r="L311" s="885" t="str">
        <f t="shared" si="43"/>
        <v/>
      </c>
      <c r="M311" s="886" t="str">
        <f ca="1">IF(AND(Referral_Error="",'General Basis'!J106=""),IF('Age Banded Rating'!X172=0,"NA",'Age Banded Rating'!X172),"Refer to RGA")</f>
        <v>NA</v>
      </c>
      <c r="N311" s="886" t="str">
        <f ca="1">IF(AND(Referral_Error="",'General Basis'!J106=""),IF('Age Banded Rating'!Y172=0,"NA",'Age Banded Rating'!Y172),"Refer to RGA")</f>
        <v>NA</v>
      </c>
    </row>
    <row r="312" spans="1:18" x14ac:dyDescent="0.25">
      <c r="B312" s="1446"/>
      <c r="C312" s="885" t="str">
        <f t="shared" si="40"/>
        <v/>
      </c>
      <c r="D312" s="886" t="str">
        <f ca="1">IF(AND(Referral_Error="",'General Basis'!J106=""),IF('Age Banded Rating'!O173=0,"NA",'Age Banded Rating'!O173),"Refer to RGA")</f>
        <v>NA</v>
      </c>
      <c r="E312" s="886" t="str">
        <f ca="1">IF(AND(Referral_Error="",'General Basis'!J106=""),IF('Age Banded Rating'!P173=0,"NA",'Age Banded Rating'!P173),"Refer to RGA")</f>
        <v>NA</v>
      </c>
      <c r="F312" s="885" t="str">
        <f t="shared" si="41"/>
        <v/>
      </c>
      <c r="G312" s="886" t="str">
        <f ca="1">IF(AND(Referral_Error="",'General Basis'!J106=""),IF('Age Banded Rating'!R173=0,"NA",'Age Banded Rating'!R173),"Refer to RGA")</f>
        <v>NA</v>
      </c>
      <c r="H312" s="886" t="str">
        <f ca="1">IF(AND(Referral_Error="",'General Basis'!J106=""),IF('Age Banded Rating'!S173=0,"NA",'Age Banded Rating'!S173),"Refer to RGA")</f>
        <v>NA</v>
      </c>
      <c r="I312" s="885" t="str">
        <f t="shared" si="42"/>
        <v/>
      </c>
      <c r="J312" s="886" t="str">
        <f ca="1">IF(AND(Referral_Error="",'General Basis'!J106=""),IF('Age Banded Rating'!U173=0,"NA",'Age Banded Rating'!U173),"Refer to RGA")</f>
        <v>NA</v>
      </c>
      <c r="K312" s="886" t="str">
        <f ca="1">IF(AND(Referral_Error="",'General Basis'!J106=""),IF('Age Banded Rating'!V173=0,"NA",'Age Banded Rating'!V173),"Refer to RGA")</f>
        <v>NA</v>
      </c>
      <c r="L312" s="885" t="str">
        <f t="shared" si="43"/>
        <v/>
      </c>
      <c r="M312" s="886" t="str">
        <f ca="1">IF(AND(Referral_Error="",'General Basis'!J106=""),IF('Age Banded Rating'!X173=0,"NA",'Age Banded Rating'!X173),"Refer to RGA")</f>
        <v>NA</v>
      </c>
      <c r="N312" s="886" t="str">
        <f ca="1">IF(AND(Referral_Error="",'General Basis'!J106=""),IF('Age Banded Rating'!Y173=0,"NA",'Age Banded Rating'!Y173),"Refer to RGA")</f>
        <v>NA</v>
      </c>
    </row>
    <row r="313" spans="1:18" x14ac:dyDescent="0.25">
      <c r="B313" s="1446"/>
      <c r="C313" s="885" t="str">
        <f t="shared" si="40"/>
        <v/>
      </c>
      <c r="D313" s="886" t="str">
        <f ca="1">IF(AND(Referral_Error="",'General Basis'!J106=""),IF('Age Banded Rating'!O174=0,"NA",'Age Banded Rating'!O174),"Refer to RGA")</f>
        <v>NA</v>
      </c>
      <c r="E313" s="886" t="str">
        <f ca="1">IF(AND(Referral_Error="",'General Basis'!J106=""),IF('Age Banded Rating'!P174=0,"NA",'Age Banded Rating'!P174),"Refer to RGA")</f>
        <v>NA</v>
      </c>
      <c r="F313" s="885" t="str">
        <f t="shared" si="41"/>
        <v/>
      </c>
      <c r="G313" s="886" t="str">
        <f ca="1">IF(AND(Referral_Error="",'General Basis'!J106=""),IF('Age Banded Rating'!R174=0,"NA",'Age Banded Rating'!R174),"Refer to RGA")</f>
        <v>NA</v>
      </c>
      <c r="H313" s="886" t="str">
        <f ca="1">IF(AND(Referral_Error="",'General Basis'!J106=""),IF('Age Banded Rating'!S174=0,"NA",'Age Banded Rating'!S174),"Refer to RGA")</f>
        <v>NA</v>
      </c>
      <c r="I313" s="885" t="str">
        <f t="shared" si="42"/>
        <v/>
      </c>
      <c r="J313" s="886" t="str">
        <f ca="1">IF(AND(Referral_Error="",'General Basis'!J106=""),IF('Age Banded Rating'!U174=0,"NA",'Age Banded Rating'!U174),"Refer to RGA")</f>
        <v>NA</v>
      </c>
      <c r="K313" s="886" t="str">
        <f ca="1">IF(AND(Referral_Error="",'General Basis'!J106=""),IF('Age Banded Rating'!V174=0,"NA",'Age Banded Rating'!V174),"Refer to RGA")</f>
        <v>NA</v>
      </c>
      <c r="L313" s="885" t="str">
        <f t="shared" si="43"/>
        <v/>
      </c>
      <c r="M313" s="886" t="str">
        <f ca="1">IF(AND(Referral_Error="",'General Basis'!J106=""),IF('Age Banded Rating'!X174=0,"NA",'Age Banded Rating'!X174),"Refer to RGA")</f>
        <v>NA</v>
      </c>
      <c r="N313" s="886" t="str">
        <f ca="1">IF(AND(Referral_Error="",'General Basis'!J106=""),IF('Age Banded Rating'!Y174=0,"NA",'Age Banded Rating'!Y174),"Refer to RGA")</f>
        <v>NA</v>
      </c>
    </row>
    <row r="314" spans="1:18" x14ac:dyDescent="0.25">
      <c r="B314" s="1446"/>
      <c r="C314" s="885" t="str">
        <f t="shared" si="40"/>
        <v/>
      </c>
      <c r="D314" s="886" t="str">
        <f ca="1">IF(AND(Referral_Error="",'General Basis'!J106=""),IF('Age Banded Rating'!O175=0,"NA",'Age Banded Rating'!O175),"Refer to RGA")</f>
        <v>NA</v>
      </c>
      <c r="E314" s="886" t="str">
        <f ca="1">IF(AND(Referral_Error="",'General Basis'!J106=""),IF('Age Banded Rating'!P175=0,"NA",'Age Banded Rating'!P175),"Refer to RGA")</f>
        <v>NA</v>
      </c>
      <c r="F314" s="885" t="str">
        <f t="shared" si="41"/>
        <v/>
      </c>
      <c r="G314" s="886" t="str">
        <f ca="1">IF(AND(Referral_Error="",'General Basis'!J106=""),IF('Age Banded Rating'!R175=0,"NA",'Age Banded Rating'!R175),"Refer to RGA")</f>
        <v>NA</v>
      </c>
      <c r="H314" s="886" t="str">
        <f ca="1">IF(AND(Referral_Error="",'General Basis'!J106=""),IF('Age Banded Rating'!S175=0,"NA",'Age Banded Rating'!S175),"Refer to RGA")</f>
        <v>NA</v>
      </c>
      <c r="I314" s="885" t="str">
        <f t="shared" si="42"/>
        <v/>
      </c>
      <c r="J314" s="886" t="str">
        <f ca="1">IF(AND(Referral_Error="",'General Basis'!J106=""),IF('Age Banded Rating'!U175=0,"NA",'Age Banded Rating'!U175),"Refer to RGA")</f>
        <v>NA</v>
      </c>
      <c r="K314" s="886" t="str">
        <f ca="1">IF(AND(Referral_Error="",'General Basis'!J106=""),IF('Age Banded Rating'!V175=0,"NA",'Age Banded Rating'!V175),"Refer to RGA")</f>
        <v>NA</v>
      </c>
      <c r="L314" s="885" t="str">
        <f t="shared" si="43"/>
        <v/>
      </c>
      <c r="M314" s="886" t="str">
        <f ca="1">IF(AND(Referral_Error="",'General Basis'!J106=""),IF('Age Banded Rating'!X175=0,"NA",'Age Banded Rating'!X175),"Refer to RGA")</f>
        <v>NA</v>
      </c>
      <c r="N314" s="886" t="str">
        <f ca="1">IF(AND(Referral_Error="",'General Basis'!J106=""),IF('Age Banded Rating'!Y175=0,"NA",'Age Banded Rating'!Y175),"Refer to RGA")</f>
        <v>NA</v>
      </c>
    </row>
    <row r="315" spans="1:18" x14ac:dyDescent="0.25">
      <c r="B315" s="1446"/>
      <c r="C315" s="885" t="str">
        <f t="shared" si="40"/>
        <v/>
      </c>
      <c r="D315" s="886" t="str">
        <f ca="1">IF(AND(Referral_Error="",'General Basis'!J106=""),IF('Age Banded Rating'!O176=0,"NA",'Age Banded Rating'!O176),"Refer to RGA")</f>
        <v>NA</v>
      </c>
      <c r="E315" s="886" t="str">
        <f ca="1">IF(AND(Referral_Error="",'General Basis'!J106=""),IF('Age Banded Rating'!P176=0,"NA",'Age Banded Rating'!P176),"Refer to RGA")</f>
        <v>NA</v>
      </c>
      <c r="F315" s="885" t="str">
        <f t="shared" si="41"/>
        <v/>
      </c>
      <c r="G315" s="886" t="str">
        <f ca="1">IF(AND(Referral_Error="",'General Basis'!J106=""),IF('Age Banded Rating'!R176=0,"NA",'Age Banded Rating'!R176),"Refer to RGA")</f>
        <v>NA</v>
      </c>
      <c r="H315" s="886" t="str">
        <f ca="1">IF(AND(Referral_Error="",'General Basis'!J106=""),IF('Age Banded Rating'!S176=0,"NA",'Age Banded Rating'!S176),"Refer to RGA")</f>
        <v>NA</v>
      </c>
      <c r="I315" s="885" t="str">
        <f t="shared" si="42"/>
        <v/>
      </c>
      <c r="J315" s="886" t="str">
        <f ca="1">IF(AND(Referral_Error="",'General Basis'!J106=""),IF('Age Banded Rating'!U176=0,"NA",'Age Banded Rating'!U176),"Refer to RGA")</f>
        <v>NA</v>
      </c>
      <c r="K315" s="886" t="str">
        <f ca="1">IF(AND(Referral_Error="",'General Basis'!J106=""),IF('Age Banded Rating'!V176=0,"NA",'Age Banded Rating'!V176),"Refer to RGA")</f>
        <v>NA</v>
      </c>
      <c r="L315" s="885" t="str">
        <f t="shared" si="43"/>
        <v/>
      </c>
      <c r="M315" s="886" t="str">
        <f ca="1">IF(AND(Referral_Error="",'General Basis'!J106=""),IF('Age Banded Rating'!X176=0,"NA",'Age Banded Rating'!X176),"Refer to RGA")</f>
        <v>NA</v>
      </c>
      <c r="N315" s="886" t="str">
        <f ca="1">IF(AND(Referral_Error="",'General Basis'!J106=""),IF('Age Banded Rating'!Y176=0,"NA",'Age Banded Rating'!Y176),"Refer to RGA")</f>
        <v>NA</v>
      </c>
    </row>
    <row r="316" spans="1:18" x14ac:dyDescent="0.25">
      <c r="B316" s="1446"/>
      <c r="C316" s="885" t="str">
        <f t="shared" si="40"/>
        <v/>
      </c>
      <c r="D316" s="886" t="str">
        <f ca="1">IF(AND(Referral_Error="",'General Basis'!J106=""),IF('Age Banded Rating'!O177=0,"NA",'Age Banded Rating'!O177),"Refer to RGA")</f>
        <v>NA</v>
      </c>
      <c r="E316" s="886" t="str">
        <f ca="1">IF(AND(Referral_Error="",'General Basis'!J106=""),IF('Age Banded Rating'!P177=0,"NA",'Age Banded Rating'!P177),"Refer to RGA")</f>
        <v>NA</v>
      </c>
      <c r="F316" s="885" t="str">
        <f t="shared" si="41"/>
        <v/>
      </c>
      <c r="G316" s="886" t="str">
        <f ca="1">IF(AND(Referral_Error="",'General Basis'!J106=""),IF('Age Banded Rating'!R177=0,"NA",'Age Banded Rating'!R177),"Refer to RGA")</f>
        <v>NA</v>
      </c>
      <c r="H316" s="886" t="str">
        <f ca="1">IF(AND(Referral_Error="",'General Basis'!J106=""),IF('Age Banded Rating'!S177=0,"NA",'Age Banded Rating'!S177),"Refer to RGA")</f>
        <v>NA</v>
      </c>
      <c r="I316" s="885" t="str">
        <f t="shared" si="42"/>
        <v/>
      </c>
      <c r="J316" s="886" t="str">
        <f ca="1">IF(AND(Referral_Error="",'General Basis'!J106=""),IF('Age Banded Rating'!U177=0,"NA",'Age Banded Rating'!U177),"Refer to RGA")</f>
        <v>NA</v>
      </c>
      <c r="K316" s="886" t="str">
        <f ca="1">IF(AND(Referral_Error="",'General Basis'!J106=""),IF('Age Banded Rating'!V177=0,"NA",'Age Banded Rating'!V177),"Refer to RGA")</f>
        <v>NA</v>
      </c>
      <c r="L316" s="885" t="str">
        <f t="shared" si="43"/>
        <v/>
      </c>
      <c r="M316" s="886" t="str">
        <f ca="1">IF(AND(Referral_Error="",'General Basis'!J106=""),IF('Age Banded Rating'!X177=0,"NA",'Age Banded Rating'!X177),"Refer to RGA")</f>
        <v>NA</v>
      </c>
      <c r="N316" s="886" t="str">
        <f ca="1">IF(AND(Referral_Error="",'General Basis'!J106=""),IF('Age Banded Rating'!Y177=0,"NA",'Age Banded Rating'!Y177),"Refer to RGA")</f>
        <v>NA</v>
      </c>
    </row>
    <row r="317" spans="1:18" x14ac:dyDescent="0.25">
      <c r="B317" s="1447"/>
      <c r="C317" s="885" t="str">
        <f t="shared" si="40"/>
        <v/>
      </c>
      <c r="D317" s="886" t="str">
        <f ca="1">IF(AND(Referral_Error="",'General Basis'!J106=""),IF('Age Banded Rating'!O178=0,"NA",'Age Banded Rating'!O178),"Refer to RGA")</f>
        <v>NA</v>
      </c>
      <c r="E317" s="886" t="str">
        <f ca="1">IF(AND(Referral_Error="",'General Basis'!J106=""),IF('Age Banded Rating'!P178=0,"NA",'Age Banded Rating'!P178),"Refer to RGA")</f>
        <v>NA</v>
      </c>
      <c r="F317" s="885" t="str">
        <f t="shared" si="41"/>
        <v/>
      </c>
      <c r="G317" s="886" t="str">
        <f ca="1">IF(AND(Referral_Error="",'General Basis'!J106=""),IF('Age Banded Rating'!R178=0,"NA",'Age Banded Rating'!R178),"Refer to RGA")</f>
        <v>NA</v>
      </c>
      <c r="H317" s="886" t="str">
        <f ca="1">IF(AND(Referral_Error="",'General Basis'!J106=""),IF('Age Banded Rating'!S178=0,"NA",'Age Banded Rating'!S178),"Refer to RGA")</f>
        <v>NA</v>
      </c>
      <c r="I317" s="885" t="str">
        <f t="shared" si="42"/>
        <v/>
      </c>
      <c r="J317" s="886" t="str">
        <f ca="1">IF(AND(Referral_Error="",'General Basis'!J106=""),IF('Age Banded Rating'!U178=0,"NA",'Age Banded Rating'!U178),"Refer to RGA")</f>
        <v>NA</v>
      </c>
      <c r="K317" s="886" t="str">
        <f ca="1">IF(AND(Referral_Error="",'General Basis'!J106=""),IF('Age Banded Rating'!V178=0,"NA",'Age Banded Rating'!V178),"Refer to RGA")</f>
        <v>NA</v>
      </c>
      <c r="L317" s="885" t="str">
        <f t="shared" si="43"/>
        <v/>
      </c>
      <c r="M317" s="886" t="str">
        <f ca="1">IF(AND(Referral_Error="",'General Basis'!J106=""),IF('Age Banded Rating'!X178=0,"NA",'Age Banded Rating'!X178),"Refer to RGA")</f>
        <v>NA</v>
      </c>
      <c r="N317" s="886" t="str">
        <f ca="1">IF(AND(Referral_Error="",'General Basis'!J106=""),IF('Age Banded Rating'!Y178=0,"NA",'Age Banded Rating'!Y178),"Refer to RGA")</f>
        <v>NA</v>
      </c>
    </row>
    <row r="318" spans="1:18" s="892" customFormat="1" x14ac:dyDescent="0.25">
      <c r="A318" s="593"/>
      <c r="B318" s="941" t="s">
        <v>1066</v>
      </c>
      <c r="C318" s="832" t="str">
        <f>IF(C304="","",IF(C304="Abu Dhabi","18-50","18-45"))</f>
        <v/>
      </c>
      <c r="D318" s="833" t="str">
        <f>D284</f>
        <v>NA</v>
      </c>
      <c r="E318" s="1008" t="str">
        <f>E284</f>
        <v/>
      </c>
      <c r="F318" s="832" t="str">
        <f>IF(F304="","",IF(F304="Abu Dhabi","18-50","18-45"))</f>
        <v/>
      </c>
      <c r="G318" s="833" t="str">
        <f>G284</f>
        <v>NA</v>
      </c>
      <c r="H318" s="1008" t="str">
        <f>H284</f>
        <v/>
      </c>
      <c r="I318" s="832" t="str">
        <f>IF(I304="","",IF(I304="Abu Dhabi","18-50","18-45"))</f>
        <v/>
      </c>
      <c r="J318" s="833" t="str">
        <f>J284</f>
        <v>NA</v>
      </c>
      <c r="K318" s="1008" t="str">
        <f>K284</f>
        <v/>
      </c>
      <c r="L318" s="832" t="str">
        <f>IF(L304="","",IF(L304="Abu Dhabi","18-50","18-45"))</f>
        <v/>
      </c>
      <c r="M318" s="833" t="str">
        <f>M284</f>
        <v>NA</v>
      </c>
      <c r="N318" s="1008" t="str">
        <f>N284</f>
        <v/>
      </c>
      <c r="O318" s="593"/>
      <c r="P318" s="593"/>
      <c r="Q318" s="593"/>
      <c r="R318" s="593"/>
    </row>
    <row r="319" spans="1:18" ht="32.25" x14ac:dyDescent="0.25">
      <c r="B319" s="887" t="s">
        <v>289</v>
      </c>
      <c r="C319" s="983">
        <f ca="1">SUMPRODUCT(D228:E239,D306:E317)</f>
        <v>0</v>
      </c>
      <c r="D319" s="984" t="s">
        <v>1098</v>
      </c>
      <c r="E319" s="983" t="str">
        <f>IFERROR(E318*D247,"NA")</f>
        <v>NA</v>
      </c>
      <c r="F319" s="983">
        <f ca="1">SUMPRODUCT(G228:H239,G306:H317)</f>
        <v>0</v>
      </c>
      <c r="G319" s="984" t="s">
        <v>1098</v>
      </c>
      <c r="H319" s="983" t="str">
        <f>IFERROR(H318*G247,"NA")</f>
        <v>NA</v>
      </c>
      <c r="I319" s="983">
        <f ca="1">SUMPRODUCT(J228:K239,J306:K317)</f>
        <v>0</v>
      </c>
      <c r="J319" s="984" t="s">
        <v>1098</v>
      </c>
      <c r="K319" s="983" t="str">
        <f>IFERROR(K318*J247,"NA")</f>
        <v>NA</v>
      </c>
      <c r="L319" s="983">
        <f ca="1">SUMPRODUCT(M228:N239,M306:N317)</f>
        <v>0</v>
      </c>
      <c r="M319" s="984" t="s">
        <v>1098</v>
      </c>
      <c r="N319" s="983" t="str">
        <f>IFERROR(N318*M247,"NA")</f>
        <v>NA</v>
      </c>
    </row>
    <row r="320" spans="1:18" ht="33.75" customHeight="1" x14ac:dyDescent="0.25">
      <c r="B320" s="841" t="s">
        <v>1008</v>
      </c>
    </row>
    <row r="321" spans="2:14" x14ac:dyDescent="0.25"/>
    <row r="322" spans="2:14" hidden="1" outlineLevel="1" x14ac:dyDescent="0.25"/>
    <row r="323" spans="2:14" hidden="1" outlineLevel="1" x14ac:dyDescent="0.25">
      <c r="B323" s="593" t="s">
        <v>999</v>
      </c>
      <c r="F323" s="840">
        <f ca="1">C268+C302</f>
        <v>28804.852567567563</v>
      </c>
      <c r="G323" s="840">
        <f ca="1">F268+F302</f>
        <v>0</v>
      </c>
      <c r="H323" s="840">
        <f ca="1">I268+I302</f>
        <v>0</v>
      </c>
      <c r="I323" s="840">
        <f ca="1">L268+L302</f>
        <v>0</v>
      </c>
      <c r="J323" s="840">
        <f ca="1">C285+C319</f>
        <v>0</v>
      </c>
      <c r="K323" s="840">
        <f ca="1">F285+F319</f>
        <v>0</v>
      </c>
      <c r="L323" s="840">
        <f ca="1">I285+I319</f>
        <v>0</v>
      </c>
      <c r="M323" s="840">
        <f ca="1">L285+L319</f>
        <v>0</v>
      </c>
      <c r="N323" s="840">
        <f ca="1">SUM(F323:M323)</f>
        <v>28804.852567567563</v>
      </c>
    </row>
    <row r="324" spans="2:14" hidden="1" outlineLevel="1" x14ac:dyDescent="0.25">
      <c r="B324" s="433" t="s">
        <v>1000</v>
      </c>
      <c r="F324" s="813">
        <f t="shared" ref="F324:N324" ca="1" si="44">F119-F323</f>
        <v>0</v>
      </c>
      <c r="G324" s="813" t="e">
        <f t="shared" ca="1" si="44"/>
        <v>#VALUE!</v>
      </c>
      <c r="H324" s="813" t="e">
        <f t="shared" ca="1" si="44"/>
        <v>#VALUE!</v>
      </c>
      <c r="I324" s="813" t="e">
        <f t="shared" ca="1" si="44"/>
        <v>#VALUE!</v>
      </c>
      <c r="J324" s="813" t="e">
        <f t="shared" ca="1" si="44"/>
        <v>#VALUE!</v>
      </c>
      <c r="K324" s="813" t="e">
        <f t="shared" ca="1" si="44"/>
        <v>#VALUE!</v>
      </c>
      <c r="L324" s="813" t="e">
        <f t="shared" ca="1" si="44"/>
        <v>#VALUE!</v>
      </c>
      <c r="M324" s="813" t="e">
        <f t="shared" ca="1" si="44"/>
        <v>#VALUE!</v>
      </c>
      <c r="N324" s="813">
        <f t="shared" ca="1" si="44"/>
        <v>0</v>
      </c>
    </row>
    <row r="325" spans="2:14" collapsed="1" x14ac:dyDescent="0.25"/>
    <row r="326" spans="2:14" x14ac:dyDescent="0.25"/>
    <row r="327" spans="2:14" ht="39" x14ac:dyDescent="0.25">
      <c r="B327" s="1454" t="s">
        <v>1001</v>
      </c>
      <c r="C327" s="1455"/>
      <c r="D327" s="1455"/>
      <c r="E327" s="1455"/>
      <c r="F327" s="1455"/>
      <c r="G327" s="1455"/>
      <c r="H327" s="1455"/>
      <c r="I327" s="1455"/>
      <c r="J327" s="1455"/>
      <c r="K327" s="1455"/>
      <c r="L327" s="1455"/>
      <c r="M327" s="1455"/>
      <c r="N327" s="1456"/>
    </row>
    <row r="328" spans="2:14" x14ac:dyDescent="0.25">
      <c r="B328" s="807"/>
      <c r="C328" s="799"/>
      <c r="D328" s="799"/>
      <c r="E328" s="799"/>
      <c r="F328" s="799"/>
      <c r="G328" s="799"/>
      <c r="H328" s="799"/>
      <c r="I328" s="799"/>
      <c r="J328" s="799"/>
      <c r="K328" s="799"/>
      <c r="L328" s="799"/>
      <c r="M328" s="868"/>
      <c r="N328" s="869"/>
    </row>
    <row r="329" spans="2:14" x14ac:dyDescent="0.25">
      <c r="B329" s="830"/>
      <c r="N329" s="870"/>
    </row>
    <row r="330" spans="2:14" ht="23.25" x14ac:dyDescent="0.25">
      <c r="B330" s="1445" t="s">
        <v>957</v>
      </c>
      <c r="C330" s="884" t="str">
        <f>IFERROR(VLOOKUP(D330,'General Basis'!$I$39:$L$46,4,0),"")</f>
        <v>Dubai</v>
      </c>
      <c r="D330" s="884" t="s">
        <v>735</v>
      </c>
      <c r="E330" s="884" t="s">
        <v>735</v>
      </c>
      <c r="F330" s="884" t="str">
        <f>IFERROR(VLOOKUP(G330,'General Basis'!$I$39:$L$46,4,0),"")</f>
        <v/>
      </c>
      <c r="G330" s="884" t="s">
        <v>736</v>
      </c>
      <c r="H330" s="884" t="s">
        <v>736</v>
      </c>
      <c r="I330" s="884" t="str">
        <f>IFERROR(VLOOKUP(J330,'General Basis'!$I$39:$L$46,4,0),"")</f>
        <v/>
      </c>
      <c r="J330" s="884" t="s">
        <v>737</v>
      </c>
      <c r="K330" s="884" t="s">
        <v>737</v>
      </c>
      <c r="L330" s="884" t="str">
        <f>IFERROR(VLOOKUP(M330,'General Basis'!$I$39:$L$46,4,0),"")</f>
        <v/>
      </c>
      <c r="M330" s="884" t="s">
        <v>738</v>
      </c>
      <c r="N330" s="884" t="s">
        <v>738</v>
      </c>
    </row>
    <row r="331" spans="2:14" ht="23.25" x14ac:dyDescent="0.25">
      <c r="B331" s="1446"/>
      <c r="C331" s="829" t="s">
        <v>286</v>
      </c>
      <c r="D331" s="884" t="s">
        <v>65</v>
      </c>
      <c r="E331" s="884" t="s">
        <v>66</v>
      </c>
      <c r="F331" s="829" t="s">
        <v>286</v>
      </c>
      <c r="G331" s="884" t="s">
        <v>65</v>
      </c>
      <c r="H331" s="884" t="s">
        <v>66</v>
      </c>
      <c r="I331" s="829" t="s">
        <v>286</v>
      </c>
      <c r="J331" s="884" t="s">
        <v>65</v>
      </c>
      <c r="K331" s="884" t="s">
        <v>66</v>
      </c>
      <c r="L331" s="829" t="s">
        <v>286</v>
      </c>
      <c r="M331" s="884" t="s">
        <v>65</v>
      </c>
      <c r="N331" s="884" t="s">
        <v>66</v>
      </c>
    </row>
    <row r="332" spans="2:14" x14ac:dyDescent="0.25">
      <c r="B332" s="1446"/>
      <c r="C332" s="885" t="str">
        <f>C255</f>
        <v>0 - 10</v>
      </c>
      <c r="D332" s="886" t="str">
        <f ca="1">IF(AND(Referral_Error="",'General Basis'!J106=""),IFERROR(D255/(1-Gross_Loading),"NA"),"Refer to RGA")</f>
        <v>NA</v>
      </c>
      <c r="E332" s="886" t="str">
        <f ca="1">IF(AND(Referral_Error="",'General Basis'!J106=""),IFERROR(E255/(1-Gross_Loading),"NA"),"Refer to RGA")</f>
        <v>NA</v>
      </c>
      <c r="F332" s="885" t="str">
        <f>F255</f>
        <v/>
      </c>
      <c r="G332" s="886" t="str">
        <f ca="1">IF(AND(Referral_Error="",'General Basis'!J106=""),IFERROR(G255/(1-Gross_Loading),"NA"),"Refer to RGA")</f>
        <v>NA</v>
      </c>
      <c r="H332" s="886" t="str">
        <f ca="1">IF(AND(Referral_Error="",'General Basis'!J106=""),IFERROR(H255/(1-Gross_Loading),"NA"),"Refer to RGA")</f>
        <v>NA</v>
      </c>
      <c r="I332" s="885" t="str">
        <f>I255</f>
        <v/>
      </c>
      <c r="J332" s="886" t="str">
        <f ca="1">IF(AND(Referral_Error="",'General Basis'!J106=""),IFERROR(J255/(1-Gross_Loading),"NA"),"Refer to RGA")</f>
        <v>NA</v>
      </c>
      <c r="K332" s="886" t="str">
        <f ca="1">IF(AND(Referral_Error="",'General Basis'!J106=""),IFERROR(K255/(1-Gross_Loading),"NA"),"Refer to RGA")</f>
        <v>NA</v>
      </c>
      <c r="L332" s="885" t="str">
        <f>L255</f>
        <v/>
      </c>
      <c r="M332" s="886" t="str">
        <f ca="1">IF(AND(Referral_Error="",'General Basis'!J106=""),IFERROR(M255/(1-Gross_Loading),"NA"),"Refer to RGA")</f>
        <v>NA</v>
      </c>
      <c r="N332" s="886" t="str">
        <f ca="1">IF(AND(Referral_Error="",'General Basis'!J106=""),IFERROR(N255/(1-Gross_Loading),"NA"),"Refer to RGA")</f>
        <v>NA</v>
      </c>
    </row>
    <row r="333" spans="2:14" x14ac:dyDescent="0.25">
      <c r="B333" s="1446"/>
      <c r="C333" s="885" t="str">
        <f t="shared" ref="C333:C344" si="45">C256</f>
        <v>11 - 17</v>
      </c>
      <c r="D333" s="886" t="str">
        <f ca="1">IF(AND(Referral_Error="",'General Basis'!J106=""),IFERROR(D256/(1-Gross_Loading),"NA"),"Refer to RGA")</f>
        <v>NA</v>
      </c>
      <c r="E333" s="886" t="str">
        <f ca="1">IF(AND(Referral_Error="",'General Basis'!J106=""),IFERROR(E256/(1-Gross_Loading),"NA"),"Refer to RGA")</f>
        <v>NA</v>
      </c>
      <c r="F333" s="885" t="str">
        <f t="shared" ref="F333:F344" si="46">F256</f>
        <v/>
      </c>
      <c r="G333" s="886" t="str">
        <f ca="1">IF(AND(Referral_Error="",'General Basis'!J106=""),IFERROR(G256/(1-Gross_Loading),"NA"),"Refer to RGA")</f>
        <v>NA</v>
      </c>
      <c r="H333" s="886" t="str">
        <f ca="1">IF(AND(Referral_Error="",'General Basis'!J106=""),IFERROR(H256/(1-Gross_Loading),"NA"),"Refer to RGA")</f>
        <v>NA</v>
      </c>
      <c r="I333" s="885" t="str">
        <f t="shared" ref="I333:I344" si="47">I256</f>
        <v/>
      </c>
      <c r="J333" s="886" t="str">
        <f ca="1">IF(AND(Referral_Error="",'General Basis'!J106=""),IFERROR(J256/(1-Gross_Loading),"NA"),"Refer to RGA")</f>
        <v>NA</v>
      </c>
      <c r="K333" s="886" t="str">
        <f ca="1">IF(AND(Referral_Error="",'General Basis'!J106=""),IFERROR(K256/(1-Gross_Loading),"NA"),"Refer to RGA")</f>
        <v>NA</v>
      </c>
      <c r="L333" s="885" t="str">
        <f t="shared" ref="L333:L344" si="48">L256</f>
        <v/>
      </c>
      <c r="M333" s="886" t="str">
        <f ca="1">IF(AND(Referral_Error="",'General Basis'!J106=""),IFERROR(M256/(1-Gross_Loading),"NA"),"Refer to RGA")</f>
        <v>NA</v>
      </c>
      <c r="N333" s="886" t="str">
        <f ca="1">IF(AND(Referral_Error="",'General Basis'!J106=""),IFERROR(N256/(1-Gross_Loading),"NA"),"Refer to RGA")</f>
        <v>NA</v>
      </c>
    </row>
    <row r="334" spans="2:14" x14ac:dyDescent="0.25">
      <c r="B334" s="1446"/>
      <c r="C334" s="885" t="str">
        <f t="shared" si="45"/>
        <v>18 - 25</v>
      </c>
      <c r="D334" s="886">
        <f ca="1">IF(AND(Referral_Error="",'General Basis'!J106=""),IFERROR(D257/(1-Gross_Loading),"NA"),"Refer to RGA")</f>
        <v>1929.7899877069729</v>
      </c>
      <c r="E334" s="886">
        <f ca="1">IF(AND(Referral_Error="",'General Basis'!J106=""),IFERROR(E257/(1-Gross_Loading),"NA"),"Refer to RGA")</f>
        <v>1643.8346550662277</v>
      </c>
      <c r="F334" s="885" t="str">
        <f t="shared" si="46"/>
        <v/>
      </c>
      <c r="G334" s="886" t="str">
        <f ca="1">IF(AND(Referral_Error="",'General Basis'!J106=""),IFERROR(G257/(1-Gross_Loading),"NA"),"Refer to RGA")</f>
        <v>NA</v>
      </c>
      <c r="H334" s="886" t="str">
        <f ca="1">IF(AND(Referral_Error="",'General Basis'!J106=""),IFERROR(H257/(1-Gross_Loading),"NA"),"Refer to RGA")</f>
        <v>NA</v>
      </c>
      <c r="I334" s="885" t="str">
        <f t="shared" si="47"/>
        <v/>
      </c>
      <c r="J334" s="886" t="str">
        <f ca="1">IF(AND(Referral_Error="",'General Basis'!J106=""),IFERROR(J257/(1-Gross_Loading),"NA"),"Refer to RGA")</f>
        <v>NA</v>
      </c>
      <c r="K334" s="886" t="str">
        <f ca="1">IF(AND(Referral_Error="",'General Basis'!J106=""),IFERROR(K257/(1-Gross_Loading),"NA"),"Refer to RGA")</f>
        <v>NA</v>
      </c>
      <c r="L334" s="885" t="str">
        <f t="shared" si="48"/>
        <v/>
      </c>
      <c r="M334" s="886" t="str">
        <f ca="1">IF(AND(Referral_Error="",'General Basis'!J106=""),IFERROR(M257/(1-Gross_Loading),"NA"),"Refer to RGA")</f>
        <v>NA</v>
      </c>
      <c r="N334" s="886" t="str">
        <f ca="1">IF(AND(Referral_Error="",'General Basis'!J106=""),IFERROR(N257/(1-Gross_Loading),"NA"),"Refer to RGA")</f>
        <v>NA</v>
      </c>
    </row>
    <row r="335" spans="2:14" x14ac:dyDescent="0.25">
      <c r="B335" s="1446"/>
      <c r="C335" s="885" t="str">
        <f t="shared" si="45"/>
        <v>26 - 30</v>
      </c>
      <c r="D335" s="886">
        <f ca="1">IF(AND(Referral_Error="",'General Basis'!J106=""),IFERROR(D258/(1-Gross_Loading),"NA"),"Refer to RGA")</f>
        <v>2098.0951263469547</v>
      </c>
      <c r="E335" s="886">
        <f ca="1">IF(AND(Referral_Error="",'General Basis'!J106=""),IFERROR(E258/(1-Gross_Loading),"NA"),"Refer to RGA")</f>
        <v>2053.976303596668</v>
      </c>
      <c r="F335" s="885" t="str">
        <f t="shared" si="46"/>
        <v/>
      </c>
      <c r="G335" s="886" t="str">
        <f ca="1">IF(AND(Referral_Error="",'General Basis'!J106=""),IFERROR(G258/(1-Gross_Loading),"NA"),"Refer to RGA")</f>
        <v>NA</v>
      </c>
      <c r="H335" s="886" t="str">
        <f ca="1">IF(AND(Referral_Error="",'General Basis'!J106=""),IFERROR(H258/(1-Gross_Loading),"NA"),"Refer to RGA")</f>
        <v>NA</v>
      </c>
      <c r="I335" s="885" t="str">
        <f t="shared" si="47"/>
        <v/>
      </c>
      <c r="J335" s="886" t="str">
        <f ca="1">IF(AND(Referral_Error="",'General Basis'!J106=""),IFERROR(J258/(1-Gross_Loading),"NA"),"Refer to RGA")</f>
        <v>NA</v>
      </c>
      <c r="K335" s="886" t="str">
        <f ca="1">IF(AND(Referral_Error="",'General Basis'!J106=""),IFERROR(K258/(1-Gross_Loading),"NA"),"Refer to RGA")</f>
        <v>NA</v>
      </c>
      <c r="L335" s="885" t="str">
        <f t="shared" si="48"/>
        <v/>
      </c>
      <c r="M335" s="886" t="str">
        <f ca="1">IF(AND(Referral_Error="",'General Basis'!J106=""),IFERROR(M258/(1-Gross_Loading),"NA"),"Refer to RGA")</f>
        <v>NA</v>
      </c>
      <c r="N335" s="886" t="str">
        <f ca="1">IF(AND(Referral_Error="",'General Basis'!J106=""),IFERROR(N258/(1-Gross_Loading),"NA"),"Refer to RGA")</f>
        <v>NA</v>
      </c>
    </row>
    <row r="336" spans="2:14" x14ac:dyDescent="0.25">
      <c r="B336" s="1446"/>
      <c r="C336" s="885" t="str">
        <f t="shared" si="45"/>
        <v>31 - 35</v>
      </c>
      <c r="D336" s="886">
        <f ca="1">IF(AND(Referral_Error="",'General Basis'!J106=""),IFERROR(D259/(1-Gross_Loading),"NA"),"Refer to RGA")</f>
        <v>2534.3812624331204</v>
      </c>
      <c r="E336" s="886">
        <f ca="1">IF(AND(Referral_Error="",'General Basis'!J106=""),IFERROR(E259/(1-Gross_Loading),"NA"),"Refer to RGA")</f>
        <v>2462.4839216548758</v>
      </c>
      <c r="F336" s="885" t="str">
        <f t="shared" si="46"/>
        <v/>
      </c>
      <c r="G336" s="886" t="str">
        <f ca="1">IF(AND(Referral_Error="",'General Basis'!J106=""),IFERROR(G259/(1-Gross_Loading),"NA"),"Refer to RGA")</f>
        <v>NA</v>
      </c>
      <c r="H336" s="886" t="str">
        <f ca="1">IF(AND(Referral_Error="",'General Basis'!J106=""),IFERROR(H259/(1-Gross_Loading),"NA"),"Refer to RGA")</f>
        <v>NA</v>
      </c>
      <c r="I336" s="885" t="str">
        <f t="shared" si="47"/>
        <v/>
      </c>
      <c r="J336" s="886" t="str">
        <f ca="1">IF(AND(Referral_Error="",'General Basis'!J106=""),IFERROR(J259/(1-Gross_Loading),"NA"),"Refer to RGA")</f>
        <v>NA</v>
      </c>
      <c r="K336" s="886" t="str">
        <f ca="1">IF(AND(Referral_Error="",'General Basis'!J106=""),IFERROR(K259/(1-Gross_Loading),"NA"),"Refer to RGA")</f>
        <v>NA</v>
      </c>
      <c r="L336" s="885" t="str">
        <f t="shared" si="48"/>
        <v/>
      </c>
      <c r="M336" s="886" t="str">
        <f ca="1">IF(AND(Referral_Error="",'General Basis'!J106=""),IFERROR(M259/(1-Gross_Loading),"NA"),"Refer to RGA")</f>
        <v>NA</v>
      </c>
      <c r="N336" s="886" t="str">
        <f ca="1">IF(AND(Referral_Error="",'General Basis'!J106=""),IFERROR(N259/(1-Gross_Loading),"NA"),"Refer to RGA")</f>
        <v>NA</v>
      </c>
    </row>
    <row r="337" spans="2:14" x14ac:dyDescent="0.25">
      <c r="B337" s="1446"/>
      <c r="C337" s="885" t="str">
        <f t="shared" si="45"/>
        <v>36 - 40</v>
      </c>
      <c r="D337" s="886">
        <f ca="1">IF(AND(Referral_Error="",'General Basis'!J106=""),IFERROR(D260/(1-Gross_Loading),"NA"),"Refer to RGA")</f>
        <v>3130.802384798104</v>
      </c>
      <c r="E337" s="886">
        <f ca="1">IF(AND(Referral_Error="",'General Basis'!J106=""),IFERROR(E260/(1-Gross_Loading),"NA"),"Refer to RGA")</f>
        <v>3083.4155011033513</v>
      </c>
      <c r="F337" s="885" t="str">
        <f t="shared" si="46"/>
        <v/>
      </c>
      <c r="G337" s="886" t="str">
        <f ca="1">IF(AND(Referral_Error="",'General Basis'!J106=""),IFERROR(G260/(1-Gross_Loading),"NA"),"Refer to RGA")</f>
        <v>NA</v>
      </c>
      <c r="H337" s="886" t="str">
        <f ca="1">IF(AND(Referral_Error="",'General Basis'!J106=""),IFERROR(H260/(1-Gross_Loading),"NA"),"Refer to RGA")</f>
        <v>NA</v>
      </c>
      <c r="I337" s="885" t="str">
        <f t="shared" si="47"/>
        <v/>
      </c>
      <c r="J337" s="886" t="str">
        <f ca="1">IF(AND(Referral_Error="",'General Basis'!J106=""),IFERROR(J260/(1-Gross_Loading),"NA"),"Refer to RGA")</f>
        <v>NA</v>
      </c>
      <c r="K337" s="886" t="str">
        <f ca="1">IF(AND(Referral_Error="",'General Basis'!J106=""),IFERROR(K260/(1-Gross_Loading),"NA"),"Refer to RGA")</f>
        <v>NA</v>
      </c>
      <c r="L337" s="885" t="str">
        <f t="shared" si="48"/>
        <v/>
      </c>
      <c r="M337" s="886" t="str">
        <f ca="1">IF(AND(Referral_Error="",'General Basis'!J106=""),IFERROR(M260/(1-Gross_Loading),"NA"),"Refer to RGA")</f>
        <v>NA</v>
      </c>
      <c r="N337" s="886" t="str">
        <f ca="1">IF(AND(Referral_Error="",'General Basis'!J106=""),IFERROR(N260/(1-Gross_Loading),"NA"),"Refer to RGA")</f>
        <v>NA</v>
      </c>
    </row>
    <row r="338" spans="2:14" x14ac:dyDescent="0.25">
      <c r="B338" s="1446"/>
      <c r="C338" s="885" t="str">
        <f t="shared" si="45"/>
        <v>41 - 45</v>
      </c>
      <c r="D338" s="886">
        <f ca="1">IF(AND(Referral_Error="",'General Basis'!J106=""),IFERROR(D261/(1-Gross_Loading),"NA"),"Refer to RGA")</f>
        <v>3673.3005015794038</v>
      </c>
      <c r="E338" s="886">
        <f ca="1">IF(AND(Referral_Error="",'General Basis'!J106=""),IFERROR(E261/(1-Gross_Loading),"NA"),"Refer to RGA")</f>
        <v>3964.1579256368473</v>
      </c>
      <c r="F338" s="885" t="str">
        <f t="shared" si="46"/>
        <v/>
      </c>
      <c r="G338" s="886" t="str">
        <f ca="1">IF(AND(Referral_Error="",'General Basis'!J106=""),IFERROR(G261/(1-Gross_Loading),"NA"),"Refer to RGA")</f>
        <v>NA</v>
      </c>
      <c r="H338" s="886" t="str">
        <f ca="1">IF(AND(Referral_Error="",'General Basis'!J106=""),IFERROR(H261/(1-Gross_Loading),"NA"),"Refer to RGA")</f>
        <v>NA</v>
      </c>
      <c r="I338" s="885" t="str">
        <f t="shared" si="47"/>
        <v/>
      </c>
      <c r="J338" s="886" t="str">
        <f ca="1">IF(AND(Referral_Error="",'General Basis'!J106=""),IFERROR(J261/(1-Gross_Loading),"NA"),"Refer to RGA")</f>
        <v>NA</v>
      </c>
      <c r="K338" s="886" t="str">
        <f ca="1">IF(AND(Referral_Error="",'General Basis'!J106=""),IFERROR(K261/(1-Gross_Loading),"NA"),"Refer to RGA")</f>
        <v>NA</v>
      </c>
      <c r="L338" s="885" t="str">
        <f t="shared" si="48"/>
        <v/>
      </c>
      <c r="M338" s="886" t="str">
        <f ca="1">IF(AND(Referral_Error="",'General Basis'!J106=""),IFERROR(M261/(1-Gross_Loading),"NA"),"Refer to RGA")</f>
        <v>NA</v>
      </c>
      <c r="N338" s="886" t="str">
        <f ca="1">IF(AND(Referral_Error="",'General Basis'!J106=""),IFERROR(N261/(1-Gross_Loading),"NA"),"Refer to RGA")</f>
        <v>NA</v>
      </c>
    </row>
    <row r="339" spans="2:14" x14ac:dyDescent="0.25">
      <c r="B339" s="1446"/>
      <c r="C339" s="885" t="str">
        <f t="shared" si="45"/>
        <v>46 - 50</v>
      </c>
      <c r="D339" s="886">
        <f ca="1">IF(AND(Referral_Error="",'General Basis'!J106=""),IFERROR(D262/(1-Gross_Loading),"NA"),"Refer to RGA")</f>
        <v>4802.4155578922891</v>
      </c>
      <c r="E339" s="886">
        <f ca="1">IF(AND(Referral_Error="",'General Basis'!J106=""),IFERROR(E262/(1-Gross_Loading),"NA"),"Refer to RGA")</f>
        <v>4967.4526355878052</v>
      </c>
      <c r="F339" s="885" t="str">
        <f t="shared" si="46"/>
        <v/>
      </c>
      <c r="G339" s="886" t="str">
        <f ca="1">IF(AND(Referral_Error="",'General Basis'!J106=""),IFERROR(G262/(1-Gross_Loading),"NA"),"Refer to RGA")</f>
        <v>NA</v>
      </c>
      <c r="H339" s="886" t="str">
        <f ca="1">IF(AND(Referral_Error="",'General Basis'!J106=""),IFERROR(H262/(1-Gross_Loading),"NA"),"Refer to RGA")</f>
        <v>NA</v>
      </c>
      <c r="I339" s="885" t="str">
        <f t="shared" si="47"/>
        <v/>
      </c>
      <c r="J339" s="886" t="str">
        <f ca="1">IF(AND(Referral_Error="",'General Basis'!J106=""),IFERROR(J262/(1-Gross_Loading),"NA"),"Refer to RGA")</f>
        <v>NA</v>
      </c>
      <c r="K339" s="886" t="str">
        <f ca="1">IF(AND(Referral_Error="",'General Basis'!J106=""),IFERROR(K262/(1-Gross_Loading),"NA"),"Refer to RGA")</f>
        <v>NA</v>
      </c>
      <c r="L339" s="885" t="str">
        <f t="shared" si="48"/>
        <v/>
      </c>
      <c r="M339" s="886" t="str">
        <f ca="1">IF(AND(Referral_Error="",'General Basis'!J106=""),IFERROR(M262/(1-Gross_Loading),"NA"),"Refer to RGA")</f>
        <v>NA</v>
      </c>
      <c r="N339" s="886" t="str">
        <f ca="1">IF(AND(Referral_Error="",'General Basis'!J106=""),IFERROR(N262/(1-Gross_Loading),"NA"),"Refer to RGA")</f>
        <v>NA</v>
      </c>
    </row>
    <row r="340" spans="2:14" x14ac:dyDescent="0.25">
      <c r="B340" s="1446"/>
      <c r="C340" s="885" t="str">
        <f t="shared" si="45"/>
        <v>51 - 55</v>
      </c>
      <c r="D340" s="886">
        <f ca="1">IF(AND(Referral_Error="",'General Basis'!J106=""),IFERROR(D263/(1-Gross_Loading),"NA"),"Refer to RGA")</f>
        <v>6436.4460301251193</v>
      </c>
      <c r="E340" s="886">
        <f ca="1">IF(AND(Referral_Error="",'General Basis'!J106=""),IFERROR(E263/(1-Gross_Loading),"NA"),"Refer to RGA")</f>
        <v>6558.9983155425816</v>
      </c>
      <c r="F340" s="885" t="str">
        <f t="shared" si="46"/>
        <v/>
      </c>
      <c r="G340" s="886" t="str">
        <f ca="1">IF(AND(Referral_Error="",'General Basis'!J106=""),IFERROR(G263/(1-Gross_Loading),"NA"),"Refer to RGA")</f>
        <v>NA</v>
      </c>
      <c r="H340" s="886" t="str">
        <f ca="1">IF(AND(Referral_Error="",'General Basis'!J106=""),IFERROR(H263/(1-Gross_Loading),"NA"),"Refer to RGA")</f>
        <v>NA</v>
      </c>
      <c r="I340" s="885" t="str">
        <f t="shared" si="47"/>
        <v/>
      </c>
      <c r="J340" s="886" t="str">
        <f ca="1">IF(AND(Referral_Error="",'General Basis'!J106=""),IFERROR(J263/(1-Gross_Loading),"NA"),"Refer to RGA")</f>
        <v>NA</v>
      </c>
      <c r="K340" s="886" t="str">
        <f ca="1">IF(AND(Referral_Error="",'General Basis'!J106=""),IFERROR(K263/(1-Gross_Loading),"NA"),"Refer to RGA")</f>
        <v>NA</v>
      </c>
      <c r="L340" s="885" t="str">
        <f t="shared" si="48"/>
        <v/>
      </c>
      <c r="M340" s="886" t="str">
        <f ca="1">IF(AND(Referral_Error="",'General Basis'!J106=""),IFERROR(M263/(1-Gross_Loading),"NA"),"Refer to RGA")</f>
        <v>NA</v>
      </c>
      <c r="N340" s="886" t="str">
        <f ca="1">IF(AND(Referral_Error="",'General Basis'!J106=""),IFERROR(N263/(1-Gross_Loading),"NA"),"Refer to RGA")</f>
        <v>NA</v>
      </c>
    </row>
    <row r="341" spans="2:14" x14ac:dyDescent="0.25">
      <c r="B341" s="1446"/>
      <c r="C341" s="885" t="str">
        <f t="shared" si="45"/>
        <v>56 - 59</v>
      </c>
      <c r="D341" s="886">
        <f ca="1">IF(AND(Referral_Error="",'General Basis'!J106=""),IFERROR(D264/(1-Gross_Loading),"NA"),"Refer to RGA")</f>
        <v>8758.4033311679723</v>
      </c>
      <c r="E341" s="886">
        <f ca="1">IF(AND(Referral_Error="",'General Basis'!J106=""),IFERROR(E264/(1-Gross_Loading),"NA"),"Refer to RGA")</f>
        <v>8029.6257405521301</v>
      </c>
      <c r="F341" s="885" t="str">
        <f t="shared" si="46"/>
        <v/>
      </c>
      <c r="G341" s="886" t="str">
        <f ca="1">IF(AND(Referral_Error="",'General Basis'!J106=""),IFERROR(G264/(1-Gross_Loading),"NA"),"Refer to RGA")</f>
        <v>NA</v>
      </c>
      <c r="H341" s="886" t="str">
        <f ca="1">IF(AND(Referral_Error="",'General Basis'!J106=""),IFERROR(H264/(1-Gross_Loading),"NA"),"Refer to RGA")</f>
        <v>NA</v>
      </c>
      <c r="I341" s="885" t="str">
        <f t="shared" si="47"/>
        <v/>
      </c>
      <c r="J341" s="886" t="str">
        <f ca="1">IF(AND(Referral_Error="",'General Basis'!J106=""),IFERROR(J264/(1-Gross_Loading),"NA"),"Refer to RGA")</f>
        <v>NA</v>
      </c>
      <c r="K341" s="886" t="str">
        <f ca="1">IF(AND(Referral_Error="",'General Basis'!J106=""),IFERROR(K264/(1-Gross_Loading),"NA"),"Refer to RGA")</f>
        <v>NA</v>
      </c>
      <c r="L341" s="885" t="str">
        <f t="shared" si="48"/>
        <v/>
      </c>
      <c r="M341" s="886" t="str">
        <f ca="1">IF(AND(Referral_Error="",'General Basis'!J106=""),IFERROR(M264/(1-Gross_Loading),"NA"),"Refer to RGA")</f>
        <v>NA</v>
      </c>
      <c r="N341" s="886" t="str">
        <f ca="1">IF(AND(Referral_Error="",'General Basis'!J106=""),IFERROR(N264/(1-Gross_Loading),"NA"),"Refer to RGA")</f>
        <v>NA</v>
      </c>
    </row>
    <row r="342" spans="2:14" x14ac:dyDescent="0.25">
      <c r="B342" s="1446"/>
      <c r="C342" s="885" t="str">
        <f t="shared" si="45"/>
        <v>60 - 64</v>
      </c>
      <c r="D342" s="886">
        <f ca="1">IF(AND(Referral_Error="",'General Basis'!J106=""),IFERROR(D265/(1-Gross_Loading),"NA"),"Refer to RGA")</f>
        <v>10774.796933903286</v>
      </c>
      <c r="E342" s="886">
        <f ca="1">IF(AND(Referral_Error="",'General Basis'!J106=""),IFERROR(E265/(1-Gross_Loading),"NA"),"Refer to RGA")</f>
        <v>9544.3719883119629</v>
      </c>
      <c r="F342" s="885" t="str">
        <f t="shared" si="46"/>
        <v/>
      </c>
      <c r="G342" s="886" t="str">
        <f ca="1">IF(AND(Referral_Error="",'General Basis'!J106=""),IFERROR(G265/(1-Gross_Loading),"NA"),"Refer to RGA")</f>
        <v>NA</v>
      </c>
      <c r="H342" s="886" t="str">
        <f ca="1">IF(AND(Referral_Error="",'General Basis'!J106=""),IFERROR(H265/(1-Gross_Loading),"NA"),"Refer to RGA")</f>
        <v>NA</v>
      </c>
      <c r="I342" s="885" t="str">
        <f t="shared" si="47"/>
        <v/>
      </c>
      <c r="J342" s="886" t="str">
        <f ca="1">IF(AND(Referral_Error="",'General Basis'!J106=""),IFERROR(J265/(1-Gross_Loading),"NA"),"Refer to RGA")</f>
        <v>NA</v>
      </c>
      <c r="K342" s="886" t="str">
        <f ca="1">IF(AND(Referral_Error="",'General Basis'!J106=""),IFERROR(K265/(1-Gross_Loading),"NA"),"Refer to RGA")</f>
        <v>NA</v>
      </c>
      <c r="L342" s="885" t="str">
        <f t="shared" si="48"/>
        <v/>
      </c>
      <c r="M342" s="886" t="str">
        <f ca="1">IF(AND(Referral_Error="",'General Basis'!J106=""),IFERROR(M265/(1-Gross_Loading),"NA"),"Refer to RGA")</f>
        <v>NA</v>
      </c>
      <c r="N342" s="886" t="str">
        <f ca="1">IF(AND(Referral_Error="",'General Basis'!J106=""),IFERROR(N265/(1-Gross_Loading),"NA"),"Refer to RGA")</f>
        <v>NA</v>
      </c>
    </row>
    <row r="343" spans="2:14" x14ac:dyDescent="0.25">
      <c r="B343" s="1447"/>
      <c r="C343" s="885" t="str">
        <f t="shared" si="45"/>
        <v>65 - 99</v>
      </c>
      <c r="D343" s="886">
        <f ca="1">IF(AND(Referral_Error="",'General Basis'!J106=""),IFERROR(D266/(1-Gross_Loading),"NA"),"Refer to RGA")</f>
        <v>19394.634481025914</v>
      </c>
      <c r="E343" s="886">
        <f ca="1">IF(AND(Referral_Error="",'General Basis'!J106=""),IFERROR(E266/(1-Gross_Loading),"NA"),"Refer to RGA")</f>
        <v>17179.869578961538</v>
      </c>
      <c r="F343" s="885" t="str">
        <f t="shared" si="46"/>
        <v/>
      </c>
      <c r="G343" s="886" t="str">
        <f ca="1">IF(AND(Referral_Error="",'General Basis'!J106=""),IFERROR(G266/(1-Gross_Loading),"NA"),"Refer to RGA")</f>
        <v>NA</v>
      </c>
      <c r="H343" s="886" t="str">
        <f ca="1">IF(AND(Referral_Error="",'General Basis'!J106=""),IFERROR(H266/(1-Gross_Loading),"NA"),"Refer to RGA")</f>
        <v>NA</v>
      </c>
      <c r="I343" s="885" t="str">
        <f t="shared" si="47"/>
        <v/>
      </c>
      <c r="J343" s="886" t="str">
        <f ca="1">IF(AND(Referral_Error="",'General Basis'!J106=""),IFERROR(J266/(1-Gross_Loading),"NA"),"Refer to RGA")</f>
        <v>NA</v>
      </c>
      <c r="K343" s="886" t="str">
        <f ca="1">IF(AND(Referral_Error="",'General Basis'!J106=""),IFERROR(K266/(1-Gross_Loading),"NA"),"Refer to RGA")</f>
        <v>NA</v>
      </c>
      <c r="L343" s="885" t="str">
        <f t="shared" si="48"/>
        <v/>
      </c>
      <c r="M343" s="886" t="str">
        <f ca="1">IF(AND(Referral_Error="",'General Basis'!J106=""),IFERROR(M266/(1-Gross_Loading),"NA"),"Refer to RGA")</f>
        <v>NA</v>
      </c>
      <c r="N343" s="886" t="str">
        <f ca="1">IF(AND(Referral_Error="",'General Basis'!J106=""),IFERROR(N266/(1-Gross_Loading),"NA"),"Refer to RGA")</f>
        <v>NA</v>
      </c>
    </row>
    <row r="344" spans="2:14" x14ac:dyDescent="0.25">
      <c r="B344" s="941" t="s">
        <v>1064</v>
      </c>
      <c r="C344" s="832" t="str">
        <f t="shared" si="45"/>
        <v>18-45</v>
      </c>
      <c r="D344" s="833" t="str">
        <f ca="1">IF(AND(Referral_Error="",'General Basis'!J106=""),IFERROR(D267/(1-Gross_Loading),"NA"),"Refer to RGA")</f>
        <v>NA</v>
      </c>
      <c r="E344" s="890">
        <f ca="1">IF(AND(Referral_Error="",'General Basis'!J106=""),IFERROR(E267/(1-Gross_Loading),"NA"),"Refer to RGA")</f>
        <v>2251.2857142857147</v>
      </c>
      <c r="F344" s="832" t="str">
        <f t="shared" si="46"/>
        <v/>
      </c>
      <c r="G344" s="833" t="str">
        <f ca="1">IF(AND(Referral_Error="",'General Basis'!J106=""),IFERROR(G267/(1-Gross_Loading),"NA"),"Refer to RGA")</f>
        <v>NA</v>
      </c>
      <c r="H344" s="890" t="str">
        <f ca="1">IF(AND(Referral_Error="",'General Basis'!J106=""),IFERROR(H267/(1-Gross_Loading),"NA"),"Refer to RGA")</f>
        <v>NA</v>
      </c>
      <c r="I344" s="832" t="str">
        <f t="shared" si="47"/>
        <v/>
      </c>
      <c r="J344" s="833" t="str">
        <f ca="1">IF(AND(Referral_Error="",'General Basis'!J106=""),IFERROR(J267/(1-Gross_Loading),"NA"),"Refer to RGA")</f>
        <v>NA</v>
      </c>
      <c r="K344" s="890" t="str">
        <f ca="1">IF(AND(Referral_Error="",'General Basis'!J106=""),IFERROR(K267/(1-Gross_Loading),"NA"),"Refer to RGA")</f>
        <v>NA</v>
      </c>
      <c r="L344" s="832" t="str">
        <f t="shared" si="48"/>
        <v/>
      </c>
      <c r="M344" s="833" t="str">
        <f ca="1">IF(AND(Referral_Error="",'General Basis'!J106=""),IFERROR(M267/(1-Gross_Loading),"NA"),"Refer to RGA")</f>
        <v>NA</v>
      </c>
      <c r="N344" s="890" t="str">
        <f ca="1">IF(AND(Referral_Error="",'General Basis'!J106=""),IFERROR(N267/(1-Gross_Loading),"NA"),"Refer to RGA")</f>
        <v>NA</v>
      </c>
    </row>
    <row r="345" spans="2:14" ht="32.25" x14ac:dyDescent="0.25">
      <c r="B345" s="887" t="s">
        <v>1002</v>
      </c>
      <c r="C345" s="983">
        <f ca="1">SUMPRODUCT(D180:E191,D332:E343)</f>
        <v>13773.24285045053</v>
      </c>
      <c r="D345" s="984" t="s">
        <v>1098</v>
      </c>
      <c r="E345" s="985">
        <f>IFERROR(E268/(1-Gross_Loading),0)</f>
        <v>0</v>
      </c>
      <c r="F345" s="983">
        <f ca="1">SUMPRODUCT(G180:H191,G332:H343)</f>
        <v>0</v>
      </c>
      <c r="G345" s="984" t="s">
        <v>1098</v>
      </c>
      <c r="H345" s="985">
        <f>IFERROR(H268/(1-Gross_Loading),0)</f>
        <v>0</v>
      </c>
      <c r="I345" s="983">
        <f ca="1">SUMPRODUCT(J180:K191,J332:K343)</f>
        <v>0</v>
      </c>
      <c r="J345" s="984" t="s">
        <v>1098</v>
      </c>
      <c r="K345" s="985">
        <f>IFERROR(K268/(1-Gross_Loading),0)</f>
        <v>0</v>
      </c>
      <c r="L345" s="983">
        <f ca="1">SUMPRODUCT(M180:N191,M332:N343)</f>
        <v>0</v>
      </c>
      <c r="M345" s="984" t="s">
        <v>1098</v>
      </c>
      <c r="N345" s="985">
        <f>IFERROR(N268/(1-Gross_Loading),0)</f>
        <v>0</v>
      </c>
    </row>
    <row r="346" spans="2:14" x14ac:dyDescent="0.25">
      <c r="B346" s="830"/>
      <c r="N346" s="870"/>
    </row>
    <row r="347" spans="2:14" ht="23.25" x14ac:dyDescent="0.25">
      <c r="B347" s="1445" t="s">
        <v>957</v>
      </c>
      <c r="C347" s="884" t="str">
        <f>IFERROR(VLOOKUP(D347,'General Basis'!$I$39:$L$46,4,0),"")</f>
        <v/>
      </c>
      <c r="D347" s="884" t="s">
        <v>739</v>
      </c>
      <c r="E347" s="884" t="s">
        <v>739</v>
      </c>
      <c r="F347" s="884" t="str">
        <f>IFERROR(VLOOKUP(G347,'General Basis'!$I$39:$L$46,4,0),"")</f>
        <v/>
      </c>
      <c r="G347" s="884" t="s">
        <v>740</v>
      </c>
      <c r="H347" s="884" t="s">
        <v>740</v>
      </c>
      <c r="I347" s="884" t="str">
        <f>IFERROR(VLOOKUP(J347,'General Basis'!$I$39:$L$46,4,0),"")</f>
        <v/>
      </c>
      <c r="J347" s="884" t="s">
        <v>742</v>
      </c>
      <c r="K347" s="884" t="s">
        <v>742</v>
      </c>
      <c r="L347" s="884" t="str">
        <f>IFERROR(VLOOKUP(M347,'General Basis'!$I$39:$L$46,4,0),"")</f>
        <v/>
      </c>
      <c r="M347" s="884" t="s">
        <v>741</v>
      </c>
      <c r="N347" s="884" t="s">
        <v>741</v>
      </c>
    </row>
    <row r="348" spans="2:14" ht="23.25" x14ac:dyDescent="0.25">
      <c r="B348" s="1446"/>
      <c r="C348" s="829" t="s">
        <v>286</v>
      </c>
      <c r="D348" s="829" t="s">
        <v>65</v>
      </c>
      <c r="E348" s="884" t="s">
        <v>66</v>
      </c>
      <c r="F348" s="829" t="s">
        <v>286</v>
      </c>
      <c r="G348" s="829" t="s">
        <v>65</v>
      </c>
      <c r="H348" s="884" t="s">
        <v>66</v>
      </c>
      <c r="I348" s="829" t="s">
        <v>286</v>
      </c>
      <c r="J348" s="829" t="s">
        <v>65</v>
      </c>
      <c r="K348" s="884" t="s">
        <v>66</v>
      </c>
      <c r="L348" s="829" t="s">
        <v>286</v>
      </c>
      <c r="M348" s="829" t="s">
        <v>65</v>
      </c>
      <c r="N348" s="884" t="s">
        <v>66</v>
      </c>
    </row>
    <row r="349" spans="2:14" x14ac:dyDescent="0.25">
      <c r="B349" s="1446"/>
      <c r="C349" s="885" t="str">
        <f>C272</f>
        <v/>
      </c>
      <c r="D349" s="886" t="str">
        <f ca="1">IF(AND(Referral_Error="",'General Basis'!J106=""),IFERROR(D272/(1-Gross_Loading),"NA"),"Refer to RGA")</f>
        <v>NA</v>
      </c>
      <c r="E349" s="886" t="str">
        <f ca="1">IF(AND(Referral_Error="",'General Basis'!J106=""),IFERROR(E272/(1-Gross_Loading),"NA"),"Refer to RGA")</f>
        <v>NA</v>
      </c>
      <c r="F349" s="885" t="str">
        <f>F272</f>
        <v/>
      </c>
      <c r="G349" s="886" t="str">
        <f ca="1">IF(AND(Referral_Error="",'General Basis'!J106=""),IFERROR(G272/(1-Gross_Loading),"NA"),"Refer to RGA")</f>
        <v>NA</v>
      </c>
      <c r="H349" s="886" t="str">
        <f ca="1">IF(AND(Referral_Error="",'General Basis'!J106=""),IFERROR(H272/(1-Gross_Loading),"NA"),"Refer to RGA")</f>
        <v>NA</v>
      </c>
      <c r="I349" s="885" t="str">
        <f>I272</f>
        <v/>
      </c>
      <c r="J349" s="886" t="str">
        <f ca="1">IF(AND(Referral_Error="",'General Basis'!J106=""),IFERROR(J272/(1-Gross_Loading),"NA"),"Refer to RGA")</f>
        <v>NA</v>
      </c>
      <c r="K349" s="886" t="str">
        <f ca="1">IF(AND(Referral_Error="",'General Basis'!J106=""),IFERROR(K272/(1-Gross_Loading),"NA"),"Refer to RGA")</f>
        <v>NA</v>
      </c>
      <c r="L349" s="885" t="str">
        <f>L272</f>
        <v/>
      </c>
      <c r="M349" s="886" t="str">
        <f ca="1">IF(AND(Referral_Error="",'General Basis'!J106=""),IFERROR(M272/(1-Gross_Loading),"NA"),"Refer to RGA")</f>
        <v>NA</v>
      </c>
      <c r="N349" s="886" t="str">
        <f ca="1">IF(AND(Referral_Error="",'General Basis'!J106=""),IFERROR(N272/(1-Gross_Loading),"NA"),"Refer to RGA")</f>
        <v>NA</v>
      </c>
    </row>
    <row r="350" spans="2:14" x14ac:dyDescent="0.25">
      <c r="B350" s="1446"/>
      <c r="C350" s="885" t="str">
        <f t="shared" ref="C350:C361" si="49">C273</f>
        <v/>
      </c>
      <c r="D350" s="886" t="str">
        <f ca="1">IF(AND(Referral_Error="",'General Basis'!J106=""),IFERROR(D273/(1-Gross_Loading),"NA"),"Refer to RGA")</f>
        <v>NA</v>
      </c>
      <c r="E350" s="886" t="str">
        <f ca="1">IF(AND(Referral_Error="",'General Basis'!J106=""),IFERROR(E273/(1-Gross_Loading),"NA"),"Refer to RGA")</f>
        <v>NA</v>
      </c>
      <c r="F350" s="885" t="str">
        <f t="shared" ref="F350:F361" si="50">F273</f>
        <v/>
      </c>
      <c r="G350" s="886" t="str">
        <f ca="1">IF(AND(Referral_Error="",'General Basis'!J106=""),IFERROR(G273/(1-Gross_Loading),"NA"),"Refer to RGA")</f>
        <v>NA</v>
      </c>
      <c r="H350" s="886" t="str">
        <f ca="1">IF(AND(Referral_Error="",'General Basis'!J106=""),IFERROR(H273/(1-Gross_Loading),"NA"),"Refer to RGA")</f>
        <v>NA</v>
      </c>
      <c r="I350" s="885" t="str">
        <f t="shared" ref="I350:I361" si="51">I273</f>
        <v/>
      </c>
      <c r="J350" s="886" t="str">
        <f ca="1">IF(AND(Referral_Error="",'General Basis'!J106=""),IFERROR(J273/(1-Gross_Loading),"NA"),"Refer to RGA")</f>
        <v>NA</v>
      </c>
      <c r="K350" s="886" t="str">
        <f ca="1">IF(AND(Referral_Error="",'General Basis'!J106=""),IFERROR(K273/(1-Gross_Loading),"NA"),"Refer to RGA")</f>
        <v>NA</v>
      </c>
      <c r="L350" s="885" t="str">
        <f t="shared" ref="L350:L361" si="52">L273</f>
        <v/>
      </c>
      <c r="M350" s="886" t="str">
        <f ca="1">IF(AND(Referral_Error="",'General Basis'!J106=""),IFERROR(M273/(1-Gross_Loading),"NA"),"Refer to RGA")</f>
        <v>NA</v>
      </c>
      <c r="N350" s="886" t="str">
        <f ca="1">IF(AND(Referral_Error="",'General Basis'!J106=""),IFERROR(N273/(1-Gross_Loading),"NA"),"Refer to RGA")</f>
        <v>NA</v>
      </c>
    </row>
    <row r="351" spans="2:14" x14ac:dyDescent="0.25">
      <c r="B351" s="1446"/>
      <c r="C351" s="885" t="str">
        <f t="shared" si="49"/>
        <v/>
      </c>
      <c r="D351" s="886" t="str">
        <f ca="1">IF(AND(Referral_Error="",'General Basis'!J106=""),IFERROR(D274/(1-Gross_Loading),"NA"),"Refer to RGA")</f>
        <v>NA</v>
      </c>
      <c r="E351" s="886" t="str">
        <f ca="1">IF(AND(Referral_Error="",'General Basis'!J106=""),IFERROR(E274/(1-Gross_Loading),"NA"),"Refer to RGA")</f>
        <v>NA</v>
      </c>
      <c r="F351" s="885" t="str">
        <f t="shared" si="50"/>
        <v/>
      </c>
      <c r="G351" s="886" t="str">
        <f ca="1">IF(AND(Referral_Error="",'General Basis'!J106=""),IFERROR(G274/(1-Gross_Loading),"NA"),"Refer to RGA")</f>
        <v>NA</v>
      </c>
      <c r="H351" s="886" t="str">
        <f ca="1">IF(AND(Referral_Error="",'General Basis'!J106=""),IFERROR(H274/(1-Gross_Loading),"NA"),"Refer to RGA")</f>
        <v>NA</v>
      </c>
      <c r="I351" s="885" t="str">
        <f t="shared" si="51"/>
        <v/>
      </c>
      <c r="J351" s="886" t="str">
        <f ca="1">IF(AND(Referral_Error="",'General Basis'!J106=""),IFERROR(J274/(1-Gross_Loading),"NA"),"Refer to RGA")</f>
        <v>NA</v>
      </c>
      <c r="K351" s="886" t="str">
        <f ca="1">IF(AND(Referral_Error="",'General Basis'!J106=""),IFERROR(K274/(1-Gross_Loading),"NA"),"Refer to RGA")</f>
        <v>NA</v>
      </c>
      <c r="L351" s="885" t="str">
        <f t="shared" si="52"/>
        <v/>
      </c>
      <c r="M351" s="886" t="str">
        <f ca="1">IF(AND(Referral_Error="",'General Basis'!J106=""),IFERROR(M274/(1-Gross_Loading),"NA"),"Refer to RGA")</f>
        <v>NA</v>
      </c>
      <c r="N351" s="886" t="str">
        <f ca="1">IF(AND(Referral_Error="",'General Basis'!J106=""),IFERROR(N274/(1-Gross_Loading),"NA"),"Refer to RGA")</f>
        <v>NA</v>
      </c>
    </row>
    <row r="352" spans="2:14" x14ac:dyDescent="0.25">
      <c r="B352" s="1446"/>
      <c r="C352" s="885" t="str">
        <f t="shared" si="49"/>
        <v/>
      </c>
      <c r="D352" s="886" t="str">
        <f ca="1">IF(AND(Referral_Error="",'General Basis'!J106=""),IFERROR(D275/(1-Gross_Loading),"NA"),"Refer to RGA")</f>
        <v>NA</v>
      </c>
      <c r="E352" s="886" t="str">
        <f ca="1">IF(AND(Referral_Error="",'General Basis'!J106=""),IFERROR(E275/(1-Gross_Loading),"NA"),"Refer to RGA")</f>
        <v>NA</v>
      </c>
      <c r="F352" s="885" t="str">
        <f t="shared" si="50"/>
        <v/>
      </c>
      <c r="G352" s="886" t="str">
        <f ca="1">IF(AND(Referral_Error="",'General Basis'!J106=""),IFERROR(G275/(1-Gross_Loading),"NA"),"Refer to RGA")</f>
        <v>NA</v>
      </c>
      <c r="H352" s="886" t="str">
        <f ca="1">IF(AND(Referral_Error="",'General Basis'!J106=""),IFERROR(H275/(1-Gross_Loading),"NA"),"Refer to RGA")</f>
        <v>NA</v>
      </c>
      <c r="I352" s="885" t="str">
        <f t="shared" si="51"/>
        <v/>
      </c>
      <c r="J352" s="886" t="str">
        <f ca="1">IF(AND(Referral_Error="",'General Basis'!J106=""),IFERROR(J275/(1-Gross_Loading),"NA"),"Refer to RGA")</f>
        <v>NA</v>
      </c>
      <c r="K352" s="886" t="str">
        <f ca="1">IF(AND(Referral_Error="",'General Basis'!J106=""),IFERROR(K275/(1-Gross_Loading),"NA"),"Refer to RGA")</f>
        <v>NA</v>
      </c>
      <c r="L352" s="885" t="str">
        <f t="shared" si="52"/>
        <v/>
      </c>
      <c r="M352" s="886" t="str">
        <f ca="1">IF(AND(Referral_Error="",'General Basis'!J106=""),IFERROR(M275/(1-Gross_Loading),"NA"),"Refer to RGA")</f>
        <v>NA</v>
      </c>
      <c r="N352" s="886" t="str">
        <f ca="1">IF(AND(Referral_Error="",'General Basis'!J106=""),IFERROR(N275/(1-Gross_Loading),"NA"),"Refer to RGA")</f>
        <v>NA</v>
      </c>
    </row>
    <row r="353" spans="2:14" x14ac:dyDescent="0.25">
      <c r="B353" s="1446"/>
      <c r="C353" s="885" t="str">
        <f t="shared" si="49"/>
        <v/>
      </c>
      <c r="D353" s="886" t="str">
        <f ca="1">IF(AND(Referral_Error="",'General Basis'!J106=""),IFERROR(D276/(1-Gross_Loading),"NA"),"Refer to RGA")</f>
        <v>NA</v>
      </c>
      <c r="E353" s="886" t="str">
        <f ca="1">IF(AND(Referral_Error="",'General Basis'!J106=""),IFERROR(E276/(1-Gross_Loading),"NA"),"Refer to RGA")</f>
        <v>NA</v>
      </c>
      <c r="F353" s="885" t="str">
        <f t="shared" si="50"/>
        <v/>
      </c>
      <c r="G353" s="886" t="str">
        <f ca="1">IF(AND(Referral_Error="",'General Basis'!J106=""),IFERROR(G276/(1-Gross_Loading),"NA"),"Refer to RGA")</f>
        <v>NA</v>
      </c>
      <c r="H353" s="886" t="str">
        <f ca="1">IF(AND(Referral_Error="",'General Basis'!J106=""),IFERROR(H276/(1-Gross_Loading),"NA"),"Refer to RGA")</f>
        <v>NA</v>
      </c>
      <c r="I353" s="885" t="str">
        <f t="shared" si="51"/>
        <v/>
      </c>
      <c r="J353" s="886" t="str">
        <f ca="1">IF(AND(Referral_Error="",'General Basis'!J106=""),IFERROR(J276/(1-Gross_Loading),"NA"),"Refer to RGA")</f>
        <v>NA</v>
      </c>
      <c r="K353" s="886" t="str">
        <f ca="1">IF(AND(Referral_Error="",'General Basis'!J106=""),IFERROR(K276/(1-Gross_Loading),"NA"),"Refer to RGA")</f>
        <v>NA</v>
      </c>
      <c r="L353" s="885" t="str">
        <f t="shared" si="52"/>
        <v/>
      </c>
      <c r="M353" s="886" t="str">
        <f ca="1">IF(AND(Referral_Error="",'General Basis'!J106=""),IFERROR(M276/(1-Gross_Loading),"NA"),"Refer to RGA")</f>
        <v>NA</v>
      </c>
      <c r="N353" s="886" t="str">
        <f ca="1">IF(AND(Referral_Error="",'General Basis'!J106=""),IFERROR(N276/(1-Gross_Loading),"NA"),"Refer to RGA")</f>
        <v>NA</v>
      </c>
    </row>
    <row r="354" spans="2:14" x14ac:dyDescent="0.25">
      <c r="B354" s="1446"/>
      <c r="C354" s="885" t="str">
        <f t="shared" si="49"/>
        <v/>
      </c>
      <c r="D354" s="886" t="str">
        <f ca="1">IF(AND(Referral_Error="",'General Basis'!J106=""),IFERROR(D277/(1-Gross_Loading),"NA"),"Refer to RGA")</f>
        <v>NA</v>
      </c>
      <c r="E354" s="886" t="str">
        <f ca="1">IF(AND(Referral_Error="",'General Basis'!J106=""),IFERROR(E277/(1-Gross_Loading),"NA"),"Refer to RGA")</f>
        <v>NA</v>
      </c>
      <c r="F354" s="885" t="str">
        <f t="shared" si="50"/>
        <v/>
      </c>
      <c r="G354" s="886" t="str">
        <f ca="1">IF(AND(Referral_Error="",'General Basis'!J106=""),IFERROR(G277/(1-Gross_Loading),"NA"),"Refer to RGA")</f>
        <v>NA</v>
      </c>
      <c r="H354" s="886" t="str">
        <f ca="1">IF(AND(Referral_Error="",'General Basis'!J106=""),IFERROR(H277/(1-Gross_Loading),"NA"),"Refer to RGA")</f>
        <v>NA</v>
      </c>
      <c r="I354" s="885" t="str">
        <f t="shared" si="51"/>
        <v/>
      </c>
      <c r="J354" s="886" t="str">
        <f ca="1">IF(AND(Referral_Error="",'General Basis'!J106=""),IFERROR(J277/(1-Gross_Loading),"NA"),"Refer to RGA")</f>
        <v>NA</v>
      </c>
      <c r="K354" s="886" t="str">
        <f ca="1">IF(AND(Referral_Error="",'General Basis'!J106=""),IFERROR(K277/(1-Gross_Loading),"NA"),"Refer to RGA")</f>
        <v>NA</v>
      </c>
      <c r="L354" s="885" t="str">
        <f t="shared" si="52"/>
        <v/>
      </c>
      <c r="M354" s="886" t="str">
        <f ca="1">IF(AND(Referral_Error="",'General Basis'!J106=""),IFERROR(M277/(1-Gross_Loading),"NA"),"Refer to RGA")</f>
        <v>NA</v>
      </c>
      <c r="N354" s="886" t="str">
        <f ca="1">IF(AND(Referral_Error="",'General Basis'!J106=""),IFERROR(N277/(1-Gross_Loading),"NA"),"Refer to RGA")</f>
        <v>NA</v>
      </c>
    </row>
    <row r="355" spans="2:14" x14ac:dyDescent="0.25">
      <c r="B355" s="1446"/>
      <c r="C355" s="885" t="str">
        <f t="shared" si="49"/>
        <v/>
      </c>
      <c r="D355" s="886" t="str">
        <f ca="1">IF(AND(Referral_Error="",'General Basis'!J106=""),IFERROR(D278/(1-Gross_Loading),"NA"),"Refer to RGA")</f>
        <v>NA</v>
      </c>
      <c r="E355" s="886" t="str">
        <f ca="1">IF(AND(Referral_Error="",'General Basis'!J106=""),IFERROR(E278/(1-Gross_Loading),"NA"),"Refer to RGA")</f>
        <v>NA</v>
      </c>
      <c r="F355" s="885" t="str">
        <f t="shared" si="50"/>
        <v/>
      </c>
      <c r="G355" s="886" t="str">
        <f ca="1">IF(AND(Referral_Error="",'General Basis'!J106=""),IFERROR(G278/(1-Gross_Loading),"NA"),"Refer to RGA")</f>
        <v>NA</v>
      </c>
      <c r="H355" s="886" t="str">
        <f ca="1">IF(AND(Referral_Error="",'General Basis'!J106=""),IFERROR(H278/(1-Gross_Loading),"NA"),"Refer to RGA")</f>
        <v>NA</v>
      </c>
      <c r="I355" s="885" t="str">
        <f t="shared" si="51"/>
        <v/>
      </c>
      <c r="J355" s="886" t="str">
        <f ca="1">IF(AND(Referral_Error="",'General Basis'!J106=""),IFERROR(J278/(1-Gross_Loading),"NA"),"Refer to RGA")</f>
        <v>NA</v>
      </c>
      <c r="K355" s="886" t="str">
        <f ca="1">IF(AND(Referral_Error="",'General Basis'!J106=""),IFERROR(K278/(1-Gross_Loading),"NA"),"Refer to RGA")</f>
        <v>NA</v>
      </c>
      <c r="L355" s="885" t="str">
        <f t="shared" si="52"/>
        <v/>
      </c>
      <c r="M355" s="886" t="str">
        <f ca="1">IF(AND(Referral_Error="",'General Basis'!J106=""),IFERROR(M278/(1-Gross_Loading),"NA"),"Refer to RGA")</f>
        <v>NA</v>
      </c>
      <c r="N355" s="886" t="str">
        <f ca="1">IF(AND(Referral_Error="",'General Basis'!J106=""),IFERROR(N278/(1-Gross_Loading),"NA"),"Refer to RGA")</f>
        <v>NA</v>
      </c>
    </row>
    <row r="356" spans="2:14" x14ac:dyDescent="0.25">
      <c r="B356" s="1446"/>
      <c r="C356" s="885" t="str">
        <f t="shared" si="49"/>
        <v/>
      </c>
      <c r="D356" s="886" t="str">
        <f ca="1">IF(AND(Referral_Error="",'General Basis'!J106=""),IFERROR(D279/(1-Gross_Loading),"NA"),"Refer to RGA")</f>
        <v>NA</v>
      </c>
      <c r="E356" s="886" t="str">
        <f ca="1">IF(AND(Referral_Error="",'General Basis'!J106=""),IFERROR(E279/(1-Gross_Loading),"NA"),"Refer to RGA")</f>
        <v>NA</v>
      </c>
      <c r="F356" s="885" t="str">
        <f t="shared" si="50"/>
        <v/>
      </c>
      <c r="G356" s="886" t="str">
        <f ca="1">IF(AND(Referral_Error="",'General Basis'!J106=""),IFERROR(G279/(1-Gross_Loading),"NA"),"Refer to RGA")</f>
        <v>NA</v>
      </c>
      <c r="H356" s="886" t="str">
        <f ca="1">IF(AND(Referral_Error="",'General Basis'!J106=""),IFERROR(H279/(1-Gross_Loading),"NA"),"Refer to RGA")</f>
        <v>NA</v>
      </c>
      <c r="I356" s="885" t="str">
        <f t="shared" si="51"/>
        <v/>
      </c>
      <c r="J356" s="886" t="str">
        <f ca="1">IF(AND(Referral_Error="",'General Basis'!J106=""),IFERROR(J279/(1-Gross_Loading),"NA"),"Refer to RGA")</f>
        <v>NA</v>
      </c>
      <c r="K356" s="886" t="str">
        <f ca="1">IF(AND(Referral_Error="",'General Basis'!J106=""),IFERROR(K279/(1-Gross_Loading),"NA"),"Refer to RGA")</f>
        <v>NA</v>
      </c>
      <c r="L356" s="885" t="str">
        <f t="shared" si="52"/>
        <v/>
      </c>
      <c r="M356" s="886" t="str">
        <f ca="1">IF(AND(Referral_Error="",'General Basis'!J106=""),IFERROR(M279/(1-Gross_Loading),"NA"),"Refer to RGA")</f>
        <v>NA</v>
      </c>
      <c r="N356" s="886" t="str">
        <f ca="1">IF(AND(Referral_Error="",'General Basis'!J106=""),IFERROR(N279/(1-Gross_Loading),"NA"),"Refer to RGA")</f>
        <v>NA</v>
      </c>
    </row>
    <row r="357" spans="2:14" x14ac:dyDescent="0.25">
      <c r="B357" s="1446"/>
      <c r="C357" s="885" t="str">
        <f t="shared" si="49"/>
        <v/>
      </c>
      <c r="D357" s="886" t="str">
        <f ca="1">IF(AND(Referral_Error="",'General Basis'!J106=""),IFERROR(D280/(1-Gross_Loading),"NA"),"Refer to RGA")</f>
        <v>NA</v>
      </c>
      <c r="E357" s="886" t="str">
        <f ca="1">IF(AND(Referral_Error="",'General Basis'!J106=""),IFERROR(E280/(1-Gross_Loading),"NA"),"Refer to RGA")</f>
        <v>NA</v>
      </c>
      <c r="F357" s="885" t="str">
        <f t="shared" si="50"/>
        <v/>
      </c>
      <c r="G357" s="886" t="str">
        <f ca="1">IF(AND(Referral_Error="",'General Basis'!J106=""),IFERROR(G280/(1-Gross_Loading),"NA"),"Refer to RGA")</f>
        <v>NA</v>
      </c>
      <c r="H357" s="886" t="str">
        <f ca="1">IF(AND(Referral_Error="",'General Basis'!J106=""),IFERROR(H280/(1-Gross_Loading),"NA"),"Refer to RGA")</f>
        <v>NA</v>
      </c>
      <c r="I357" s="885" t="str">
        <f t="shared" si="51"/>
        <v/>
      </c>
      <c r="J357" s="886" t="str">
        <f ca="1">IF(AND(Referral_Error="",'General Basis'!J106=""),IFERROR(J280/(1-Gross_Loading),"NA"),"Refer to RGA")</f>
        <v>NA</v>
      </c>
      <c r="K357" s="886" t="str">
        <f ca="1">IF(AND(Referral_Error="",'General Basis'!J106=""),IFERROR(K280/(1-Gross_Loading),"NA"),"Refer to RGA")</f>
        <v>NA</v>
      </c>
      <c r="L357" s="885" t="str">
        <f t="shared" si="52"/>
        <v/>
      </c>
      <c r="M357" s="886" t="str">
        <f ca="1">IF(AND(Referral_Error="",'General Basis'!J106=""),IFERROR(M280/(1-Gross_Loading),"NA"),"Refer to RGA")</f>
        <v>NA</v>
      </c>
      <c r="N357" s="886" t="str">
        <f ca="1">IF(AND(Referral_Error="",'General Basis'!J106=""),IFERROR(N280/(1-Gross_Loading),"NA"),"Refer to RGA")</f>
        <v>NA</v>
      </c>
    </row>
    <row r="358" spans="2:14" x14ac:dyDescent="0.25">
      <c r="B358" s="1446"/>
      <c r="C358" s="885" t="str">
        <f t="shared" si="49"/>
        <v/>
      </c>
      <c r="D358" s="886" t="str">
        <f ca="1">IF(AND(Referral_Error="",'General Basis'!J106=""),IFERROR(D281/(1-Gross_Loading),"NA"),"Refer to RGA")</f>
        <v>NA</v>
      </c>
      <c r="E358" s="886" t="str">
        <f ca="1">IF(AND(Referral_Error="",'General Basis'!J106=""),IFERROR(E281/(1-Gross_Loading),"NA"),"Refer to RGA")</f>
        <v>NA</v>
      </c>
      <c r="F358" s="885" t="str">
        <f t="shared" si="50"/>
        <v/>
      </c>
      <c r="G358" s="886" t="str">
        <f ca="1">IF(AND(Referral_Error="",'General Basis'!J106=""),IFERROR(G281/(1-Gross_Loading),"NA"),"Refer to RGA")</f>
        <v>NA</v>
      </c>
      <c r="H358" s="886" t="str">
        <f ca="1">IF(AND(Referral_Error="",'General Basis'!J106=""),IFERROR(H281/(1-Gross_Loading),"NA"),"Refer to RGA")</f>
        <v>NA</v>
      </c>
      <c r="I358" s="885" t="str">
        <f t="shared" si="51"/>
        <v/>
      </c>
      <c r="J358" s="886" t="str">
        <f ca="1">IF(AND(Referral_Error="",'General Basis'!J106=""),IFERROR(J281/(1-Gross_Loading),"NA"),"Refer to RGA")</f>
        <v>NA</v>
      </c>
      <c r="K358" s="886" t="str">
        <f ca="1">IF(AND(Referral_Error="",'General Basis'!J106=""),IFERROR(K281/(1-Gross_Loading),"NA"),"Refer to RGA")</f>
        <v>NA</v>
      </c>
      <c r="L358" s="885" t="str">
        <f t="shared" si="52"/>
        <v/>
      </c>
      <c r="M358" s="886" t="str">
        <f ca="1">IF(AND(Referral_Error="",'General Basis'!J106=""),IFERROR(M281/(1-Gross_Loading),"NA"),"Refer to RGA")</f>
        <v>NA</v>
      </c>
      <c r="N358" s="886" t="str">
        <f ca="1">IF(AND(Referral_Error="",'General Basis'!J106=""),IFERROR(N281/(1-Gross_Loading),"NA"),"Refer to RGA")</f>
        <v>NA</v>
      </c>
    </row>
    <row r="359" spans="2:14" x14ac:dyDescent="0.25">
      <c r="B359" s="1446"/>
      <c r="C359" s="885" t="str">
        <f t="shared" si="49"/>
        <v/>
      </c>
      <c r="D359" s="886" t="str">
        <f ca="1">IF(AND(Referral_Error="",'General Basis'!J106=""),IFERROR(D282/(1-Gross_Loading),"NA"),"Refer to RGA")</f>
        <v>NA</v>
      </c>
      <c r="E359" s="886" t="str">
        <f ca="1">IF(AND(Referral_Error="",'General Basis'!J106=""),IFERROR(E282/(1-Gross_Loading),"NA"),"Refer to RGA")</f>
        <v>NA</v>
      </c>
      <c r="F359" s="885" t="str">
        <f t="shared" si="50"/>
        <v/>
      </c>
      <c r="G359" s="886" t="str">
        <f ca="1">IF(AND(Referral_Error="",'General Basis'!J106=""),IFERROR(G282/(1-Gross_Loading),"NA"),"Refer to RGA")</f>
        <v>NA</v>
      </c>
      <c r="H359" s="886" t="str">
        <f ca="1">IF(AND(Referral_Error="",'General Basis'!J106=""),IFERROR(H282/(1-Gross_Loading),"NA"),"Refer to RGA")</f>
        <v>NA</v>
      </c>
      <c r="I359" s="885" t="str">
        <f t="shared" si="51"/>
        <v/>
      </c>
      <c r="J359" s="886" t="str">
        <f ca="1">IF(AND(Referral_Error="",'General Basis'!J106=""),IFERROR(J282/(1-Gross_Loading),"NA"),"Refer to RGA")</f>
        <v>NA</v>
      </c>
      <c r="K359" s="886" t="str">
        <f ca="1">IF(AND(Referral_Error="",'General Basis'!J106=""),IFERROR(K282/(1-Gross_Loading),"NA"),"Refer to RGA")</f>
        <v>NA</v>
      </c>
      <c r="L359" s="885" t="str">
        <f t="shared" si="52"/>
        <v/>
      </c>
      <c r="M359" s="886" t="str">
        <f ca="1">IF(AND(Referral_Error="",'General Basis'!J106=""),IFERROR(M282/(1-Gross_Loading),"NA"),"Refer to RGA")</f>
        <v>NA</v>
      </c>
      <c r="N359" s="886" t="str">
        <f ca="1">IF(AND(Referral_Error="",'General Basis'!J106=""),IFERROR(N282/(1-Gross_Loading),"NA"),"Refer to RGA")</f>
        <v>NA</v>
      </c>
    </row>
    <row r="360" spans="2:14" x14ac:dyDescent="0.25">
      <c r="B360" s="1447"/>
      <c r="C360" s="885" t="str">
        <f t="shared" si="49"/>
        <v/>
      </c>
      <c r="D360" s="886" t="str">
        <f ca="1">IF(AND(Referral_Error="",'General Basis'!J106=""),IFERROR(D283/(1-Gross_Loading),"NA"),"Refer to RGA")</f>
        <v>NA</v>
      </c>
      <c r="E360" s="886" t="str">
        <f ca="1">IF(AND(Referral_Error="",'General Basis'!J106=""),IFERROR(E283/(1-Gross_Loading),"NA"),"Refer to RGA")</f>
        <v>NA</v>
      </c>
      <c r="F360" s="885" t="str">
        <f t="shared" si="50"/>
        <v/>
      </c>
      <c r="G360" s="886" t="str">
        <f ca="1">IF(AND(Referral_Error="",'General Basis'!J106=""),IFERROR(G283/(1-Gross_Loading),"NA"),"Refer to RGA")</f>
        <v>NA</v>
      </c>
      <c r="H360" s="886" t="str">
        <f ca="1">IF(AND(Referral_Error="",'General Basis'!J106=""),IFERROR(H283/(1-Gross_Loading),"NA"),"Refer to RGA")</f>
        <v>NA</v>
      </c>
      <c r="I360" s="885" t="str">
        <f t="shared" si="51"/>
        <v/>
      </c>
      <c r="J360" s="886" t="str">
        <f ca="1">IF(AND(Referral_Error="",'General Basis'!J106=""),IFERROR(J283/(1-Gross_Loading),"NA"),"Refer to RGA")</f>
        <v>NA</v>
      </c>
      <c r="K360" s="886" t="str">
        <f ca="1">IF(AND(Referral_Error="",'General Basis'!J106=""),IFERROR(K283/(1-Gross_Loading),"NA"),"Refer to RGA")</f>
        <v>NA</v>
      </c>
      <c r="L360" s="885" t="str">
        <f t="shared" si="52"/>
        <v/>
      </c>
      <c r="M360" s="886" t="str">
        <f ca="1">IF(AND(Referral_Error="",'General Basis'!J106=""),IFERROR(M283/(1-Gross_Loading),"NA"),"Refer to RGA")</f>
        <v>NA</v>
      </c>
      <c r="N360" s="886" t="str">
        <f ca="1">IF(AND(Referral_Error="",'General Basis'!J106=""),IFERROR(N283/(1-Gross_Loading),"NA"),"Refer to RGA")</f>
        <v>NA</v>
      </c>
    </row>
    <row r="361" spans="2:14" x14ac:dyDescent="0.25">
      <c r="B361" s="941" t="s">
        <v>1064</v>
      </c>
      <c r="C361" s="832" t="str">
        <f t="shared" si="49"/>
        <v/>
      </c>
      <c r="D361" s="833" t="str">
        <f ca="1">IF(AND(Referral_Error="",'General Basis'!J106=""),IFERROR(D284/(1-Gross_Loading),"NA"),"Refer to RGA")</f>
        <v>NA</v>
      </c>
      <c r="E361" s="890" t="str">
        <f ca="1">IF(AND(Referral_Error="",'General Basis'!J106=""),IFERROR(E284/(1-Gross_Loading),"NA"),"Refer to RGA")</f>
        <v>NA</v>
      </c>
      <c r="F361" s="832" t="str">
        <f t="shared" si="50"/>
        <v/>
      </c>
      <c r="G361" s="833" t="str">
        <f ca="1">IF(AND(Referral_Error="",'General Basis'!J106=""),IFERROR(G284/(1-Gross_Loading),"NA"),"Refer to RGA")</f>
        <v>NA</v>
      </c>
      <c r="H361" s="890" t="str">
        <f ca="1">IF(AND(Referral_Error="",'General Basis'!J106=""),IFERROR(H284/(1-Gross_Loading),"NA"),"Refer to RGA")</f>
        <v>NA</v>
      </c>
      <c r="I361" s="832" t="str">
        <f t="shared" si="51"/>
        <v/>
      </c>
      <c r="J361" s="833" t="str">
        <f ca="1">IF(AND(Referral_Error="",'General Basis'!J106=""),IFERROR(J284/(1-Gross_Loading),"NA"),"Refer to RGA")</f>
        <v>NA</v>
      </c>
      <c r="K361" s="890" t="str">
        <f ca="1">IF(AND(Referral_Error="",'General Basis'!J106=""),IFERROR(K284/(1-Gross_Loading),"NA"),"Refer to RGA")</f>
        <v>NA</v>
      </c>
      <c r="L361" s="832" t="str">
        <f t="shared" si="52"/>
        <v/>
      </c>
      <c r="M361" s="833" t="str">
        <f ca="1">IF(AND(Referral_Error="",'General Basis'!J106=""),IFERROR(M284/(1-Gross_Loading),"NA"),"Refer to RGA")</f>
        <v>NA</v>
      </c>
      <c r="N361" s="890" t="str">
        <f ca="1">IF(AND(Referral_Error="",'General Basis'!J106=""),IFERROR(N284/(1-Gross_Loading),"NA"),"Refer to RGA")</f>
        <v>NA</v>
      </c>
    </row>
    <row r="362" spans="2:14" ht="32.25" x14ac:dyDescent="0.25">
      <c r="B362" s="887" t="s">
        <v>1002</v>
      </c>
      <c r="C362" s="983">
        <f ca="1">SUMPRODUCT(D196:E207,D349:E360)</f>
        <v>0</v>
      </c>
      <c r="D362" s="984" t="s">
        <v>1098</v>
      </c>
      <c r="E362" s="985">
        <f>IFERROR(E285/(1-Gross_Loading),0)</f>
        <v>0</v>
      </c>
      <c r="F362" s="983">
        <f ca="1">SUMPRODUCT(G196:H207,G349:H360)</f>
        <v>0</v>
      </c>
      <c r="G362" s="984" t="s">
        <v>1098</v>
      </c>
      <c r="H362" s="985">
        <f>IFERROR(H285/(1-Gross_Loading),0)</f>
        <v>0</v>
      </c>
      <c r="I362" s="983">
        <f ca="1">SUMPRODUCT(J196:K207,J349:K360)</f>
        <v>0</v>
      </c>
      <c r="J362" s="984" t="s">
        <v>1098</v>
      </c>
      <c r="K362" s="985">
        <f>IFERROR(K285/(1-Gross_Loading),0)</f>
        <v>0</v>
      </c>
      <c r="L362" s="983">
        <f ca="1">SUMPRODUCT(M196:N207,M349:N360)</f>
        <v>0</v>
      </c>
      <c r="M362" s="984" t="s">
        <v>1098</v>
      </c>
      <c r="N362" s="985">
        <f>IFERROR(N285/(1-Gross_Loading),0)</f>
        <v>0</v>
      </c>
    </row>
    <row r="363" spans="2:14" x14ac:dyDescent="0.25">
      <c r="M363" s="433"/>
    </row>
    <row r="364" spans="2:14" ht="23.25" x14ac:dyDescent="0.25">
      <c r="B364" s="1445" t="s">
        <v>958</v>
      </c>
      <c r="C364" s="884" t="str">
        <f>IFERROR(VLOOKUP(D364,'General Basis'!$I$39:$L$46,4,0),"")</f>
        <v>Dubai</v>
      </c>
      <c r="D364" s="884" t="str">
        <f>D330</f>
        <v>Category A</v>
      </c>
      <c r="E364" s="884" t="str">
        <f>E330</f>
        <v>Category A</v>
      </c>
      <c r="F364" s="884" t="str">
        <f>IFERROR(VLOOKUP(G364,'General Basis'!$I$39:$L$46,4,0),"")</f>
        <v/>
      </c>
      <c r="G364" s="884" t="str">
        <f>G330</f>
        <v>Category B</v>
      </c>
      <c r="H364" s="884" t="str">
        <f>H330</f>
        <v>Category B</v>
      </c>
      <c r="I364" s="884" t="str">
        <f>IFERROR(VLOOKUP(J364,'General Basis'!$I$39:$L$46,4,0),"")</f>
        <v/>
      </c>
      <c r="J364" s="884" t="str">
        <f>J330</f>
        <v>Category C</v>
      </c>
      <c r="K364" s="884" t="str">
        <f>K330</f>
        <v>Category C</v>
      </c>
      <c r="L364" s="884" t="str">
        <f>IFERROR(VLOOKUP(M364,'General Basis'!$I$39:$L$46,4,0),"")</f>
        <v/>
      </c>
      <c r="M364" s="884" t="str">
        <f>M330</f>
        <v>Category D</v>
      </c>
      <c r="N364" s="884" t="str">
        <f>N330</f>
        <v>Category D</v>
      </c>
    </row>
    <row r="365" spans="2:14" ht="23.25" x14ac:dyDescent="0.25">
      <c r="B365" s="1446" t="s">
        <v>286</v>
      </c>
      <c r="C365" s="829" t="s">
        <v>286</v>
      </c>
      <c r="D365" s="884" t="s">
        <v>65</v>
      </c>
      <c r="E365" s="884" t="s">
        <v>66</v>
      </c>
      <c r="F365" s="829" t="s">
        <v>286</v>
      </c>
      <c r="G365" s="884" t="s">
        <v>65</v>
      </c>
      <c r="H365" s="884" t="s">
        <v>66</v>
      </c>
      <c r="I365" s="829" t="s">
        <v>286</v>
      </c>
      <c r="J365" s="884" t="s">
        <v>65</v>
      </c>
      <c r="K365" s="884" t="s">
        <v>66</v>
      </c>
      <c r="L365" s="829" t="s">
        <v>286</v>
      </c>
      <c r="M365" s="884" t="s">
        <v>65</v>
      </c>
      <c r="N365" s="884" t="s">
        <v>66</v>
      </c>
    </row>
    <row r="366" spans="2:14" x14ac:dyDescent="0.25">
      <c r="B366" s="1446"/>
      <c r="C366" s="885" t="str">
        <f>C332</f>
        <v>0 - 10</v>
      </c>
      <c r="D366" s="886">
        <f ca="1">IF(AND(Referral_Error="",'General Basis'!J106=""),IFERROR(D289/(1-Gross_Loading),"NA"),"Refer to RGA")</f>
        <v>3601.4031608011592</v>
      </c>
      <c r="E366" s="886">
        <f ca="1">IF(AND(Referral_Error="",'General Basis'!J106=""),IFERROR(E289/(1-Gross_Loading),"NA"),"Refer to RGA")</f>
        <v>3398.7833822442881</v>
      </c>
      <c r="F366" s="885" t="str">
        <f>F332</f>
        <v/>
      </c>
      <c r="G366" s="886" t="str">
        <f ca="1">IF(AND(Referral_Error="",'General Basis'!J106=""),IFERROR(G289/(1-Gross_Loading),"NA"),"Refer to RGA")</f>
        <v>NA</v>
      </c>
      <c r="H366" s="886" t="str">
        <f ca="1">IF(AND(Referral_Error="",'General Basis'!J106=""),IFERROR(H289/(1-Gross_Loading),"NA"),"Refer to RGA")</f>
        <v>NA</v>
      </c>
      <c r="I366" s="885" t="str">
        <f>I332</f>
        <v/>
      </c>
      <c r="J366" s="886" t="str">
        <f ca="1">IF(AND(Referral_Error="",'General Basis'!J106=""),IFERROR(J289/(1-Gross_Loading),"NA"),"Refer to RGA")</f>
        <v>NA</v>
      </c>
      <c r="K366" s="886" t="str">
        <f ca="1">IF(AND(Referral_Error="",'General Basis'!J106=""),IFERROR(K289/(1-Gross_Loading),"NA"),"Refer to RGA")</f>
        <v>NA</v>
      </c>
      <c r="L366" s="885" t="str">
        <f>L332</f>
        <v/>
      </c>
      <c r="M366" s="886" t="str">
        <f ca="1">IF(AND(Referral_Error="",'General Basis'!J106=""),IFERROR(M289/(1-Gross_Loading),"NA"),"Refer to RGA")</f>
        <v>NA</v>
      </c>
      <c r="N366" s="886" t="str">
        <f ca="1">IF(AND(Referral_Error="",'General Basis'!J106=""),IFERROR(N289/(1-Gross_Loading),"NA"),"Refer to RGA")</f>
        <v>NA</v>
      </c>
    </row>
    <row r="367" spans="2:14" x14ac:dyDescent="0.25">
      <c r="B367" s="1446"/>
      <c r="C367" s="885" t="str">
        <f t="shared" ref="C367:C377" si="53">C333</f>
        <v>11 - 17</v>
      </c>
      <c r="D367" s="886">
        <f ca="1">IF(AND(Referral_Error="",'General Basis'!J106=""),IFERROR(D290/(1-Gross_Loading),"NA"),"Refer to RGA")</f>
        <v>1701.0257215943768</v>
      </c>
      <c r="E367" s="886">
        <f ca="1">IF(AND(Referral_Error="",'General Basis'!J106=""),IFERROR(E290/(1-Gross_Loading),"NA"),"Refer to RGA")</f>
        <v>2085.022882569092</v>
      </c>
      <c r="F367" s="885" t="str">
        <f t="shared" ref="F367:F377" si="54">F333</f>
        <v/>
      </c>
      <c r="G367" s="886" t="str">
        <f ca="1">IF(AND(Referral_Error="",'General Basis'!J106=""),IFERROR(G290/(1-Gross_Loading),"NA"),"Refer to RGA")</f>
        <v>NA</v>
      </c>
      <c r="H367" s="886" t="str">
        <f ca="1">IF(AND(Referral_Error="",'General Basis'!J106=""),IFERROR(H290/(1-Gross_Loading),"NA"),"Refer to RGA")</f>
        <v>NA</v>
      </c>
      <c r="I367" s="885" t="str">
        <f t="shared" ref="I367:I377" si="55">I333</f>
        <v/>
      </c>
      <c r="J367" s="886" t="str">
        <f ca="1">IF(AND(Referral_Error="",'General Basis'!J106=""),IFERROR(J290/(1-Gross_Loading),"NA"),"Refer to RGA")</f>
        <v>NA</v>
      </c>
      <c r="K367" s="886" t="str">
        <f ca="1">IF(AND(Referral_Error="",'General Basis'!J106=""),IFERROR(K290/(1-Gross_Loading),"NA"),"Refer to RGA")</f>
        <v>NA</v>
      </c>
      <c r="L367" s="885" t="str">
        <f t="shared" ref="L367:L377" si="56">L333</f>
        <v/>
      </c>
      <c r="M367" s="886" t="str">
        <f ca="1">IF(AND(Referral_Error="",'General Basis'!J106=""),IFERROR(M290/(1-Gross_Loading),"NA"),"Refer to RGA")</f>
        <v>NA</v>
      </c>
      <c r="N367" s="886" t="str">
        <f ca="1">IF(AND(Referral_Error="",'General Basis'!J106=""),IFERROR(N290/(1-Gross_Loading),"NA"),"Refer to RGA")</f>
        <v>NA</v>
      </c>
    </row>
    <row r="368" spans="2:14" x14ac:dyDescent="0.25">
      <c r="B368" s="1446"/>
      <c r="C368" s="885" t="str">
        <f t="shared" si="53"/>
        <v>18 - 25</v>
      </c>
      <c r="D368" s="886">
        <f ca="1">IF(AND(Referral_Error="",'General Basis'!J106=""),IFERROR(D291/(1-Gross_Loading),"NA"),"Refer to RGA")</f>
        <v>2129.1417053193786</v>
      </c>
      <c r="E368" s="886">
        <f ca="1">IF(AND(Referral_Error="",'General Basis'!J106=""),IFERROR(E291/(1-Gross_Loading),"NA"),"Refer to RGA")</f>
        <v>2078.4867606801604</v>
      </c>
      <c r="F368" s="885" t="str">
        <f t="shared" si="54"/>
        <v/>
      </c>
      <c r="G368" s="886" t="str">
        <f ca="1">IF(AND(Referral_Error="",'General Basis'!J106=""),IFERROR(G291/(1-Gross_Loading),"NA"),"Refer to RGA")</f>
        <v>NA</v>
      </c>
      <c r="H368" s="886" t="str">
        <f ca="1">IF(AND(Referral_Error="",'General Basis'!J106=""),IFERROR(H291/(1-Gross_Loading),"NA"),"Refer to RGA")</f>
        <v>NA</v>
      </c>
      <c r="I368" s="885" t="str">
        <f t="shared" si="55"/>
        <v/>
      </c>
      <c r="J368" s="886" t="str">
        <f ca="1">IF(AND(Referral_Error="",'General Basis'!J106=""),IFERROR(J291/(1-Gross_Loading),"NA"),"Refer to RGA")</f>
        <v>NA</v>
      </c>
      <c r="K368" s="886" t="str">
        <f ca="1">IF(AND(Referral_Error="",'General Basis'!J106=""),IFERROR(K291/(1-Gross_Loading),"NA"),"Refer to RGA")</f>
        <v>NA</v>
      </c>
      <c r="L368" s="885" t="str">
        <f t="shared" si="56"/>
        <v/>
      </c>
      <c r="M368" s="886" t="str">
        <f ca="1">IF(AND(Referral_Error="",'General Basis'!J106=""),IFERROR(M291/(1-Gross_Loading),"NA"),"Refer to RGA")</f>
        <v>NA</v>
      </c>
      <c r="N368" s="886" t="str">
        <f ca="1">IF(AND(Referral_Error="",'General Basis'!J106=""),IFERROR(N291/(1-Gross_Loading),"NA"),"Refer to RGA")</f>
        <v>NA</v>
      </c>
    </row>
    <row r="369" spans="2:14" x14ac:dyDescent="0.25">
      <c r="B369" s="1446"/>
      <c r="C369" s="885" t="str">
        <f t="shared" si="53"/>
        <v>26 - 30</v>
      </c>
      <c r="D369" s="886">
        <f ca="1">IF(AND(Referral_Error="",'General Basis'!J106=""),IFERROR(D292/(1-Gross_Loading),"NA"),"Refer to RGA")</f>
        <v>2315.421179153921</v>
      </c>
      <c r="E369" s="886">
        <f ca="1">IF(AND(Referral_Error="",'General Basis'!J106=""),IFERROR(E292/(1-Gross_Loading),"NA"),"Refer to RGA")</f>
        <v>2586.6702375445711</v>
      </c>
      <c r="F369" s="885" t="str">
        <f t="shared" si="54"/>
        <v/>
      </c>
      <c r="G369" s="886" t="str">
        <f ca="1">IF(AND(Referral_Error="",'General Basis'!J106=""),IFERROR(G292/(1-Gross_Loading),"NA"),"Refer to RGA")</f>
        <v>NA</v>
      </c>
      <c r="H369" s="886" t="str">
        <f ca="1">IF(AND(Referral_Error="",'General Basis'!J106=""),IFERROR(H292/(1-Gross_Loading),"NA"),"Refer to RGA")</f>
        <v>NA</v>
      </c>
      <c r="I369" s="885" t="str">
        <f t="shared" si="55"/>
        <v/>
      </c>
      <c r="J369" s="886" t="str">
        <f ca="1">IF(AND(Referral_Error="",'General Basis'!J106=""),IFERROR(J292/(1-Gross_Loading),"NA"),"Refer to RGA")</f>
        <v>NA</v>
      </c>
      <c r="K369" s="886" t="str">
        <f ca="1">IF(AND(Referral_Error="",'General Basis'!J106=""),IFERROR(K292/(1-Gross_Loading),"NA"),"Refer to RGA")</f>
        <v>NA</v>
      </c>
      <c r="L369" s="885" t="str">
        <f t="shared" si="56"/>
        <v/>
      </c>
      <c r="M369" s="886" t="str">
        <f ca="1">IF(AND(Referral_Error="",'General Basis'!J106=""),IFERROR(M292/(1-Gross_Loading),"NA"),"Refer to RGA")</f>
        <v>NA</v>
      </c>
      <c r="N369" s="886" t="str">
        <f ca="1">IF(AND(Referral_Error="",'General Basis'!J106=""),IFERROR(N292/(1-Gross_Loading),"NA"),"Refer to RGA")</f>
        <v>NA</v>
      </c>
    </row>
    <row r="370" spans="2:14" x14ac:dyDescent="0.25">
      <c r="B370" s="1446"/>
      <c r="C370" s="885" t="str">
        <f t="shared" si="53"/>
        <v>31 - 35</v>
      </c>
      <c r="D370" s="886">
        <f ca="1">IF(AND(Referral_Error="",'General Basis'!J106=""),IFERROR(D293/(1-Gross_Loading),"NA"),"Refer to RGA")</f>
        <v>2792.5580770459078</v>
      </c>
      <c r="E370" s="886">
        <f ca="1">IF(AND(Referral_Error="",'General Basis'!J106=""),IFERROR(E293/(1-Gross_Loading),"NA"),"Refer to RGA")</f>
        <v>3091.5856534645154</v>
      </c>
      <c r="F370" s="885" t="str">
        <f t="shared" si="54"/>
        <v/>
      </c>
      <c r="G370" s="886" t="str">
        <f ca="1">IF(AND(Referral_Error="",'General Basis'!J106=""),IFERROR(G293/(1-Gross_Loading),"NA"),"Refer to RGA")</f>
        <v>NA</v>
      </c>
      <c r="H370" s="886" t="str">
        <f ca="1">IF(AND(Referral_Error="",'General Basis'!J106=""),IFERROR(H293/(1-Gross_Loading),"NA"),"Refer to RGA")</f>
        <v>NA</v>
      </c>
      <c r="I370" s="885" t="str">
        <f t="shared" si="55"/>
        <v/>
      </c>
      <c r="J370" s="886" t="str">
        <f ca="1">IF(AND(Referral_Error="",'General Basis'!J106=""),IFERROR(J293/(1-Gross_Loading),"NA"),"Refer to RGA")</f>
        <v>NA</v>
      </c>
      <c r="K370" s="886" t="str">
        <f ca="1">IF(AND(Referral_Error="",'General Basis'!J106=""),IFERROR(K293/(1-Gross_Loading),"NA"),"Refer to RGA")</f>
        <v>NA</v>
      </c>
      <c r="L370" s="885" t="str">
        <f t="shared" si="56"/>
        <v/>
      </c>
      <c r="M370" s="886" t="str">
        <f ca="1">IF(AND(Referral_Error="",'General Basis'!J106=""),IFERROR(M293/(1-Gross_Loading),"NA"),"Refer to RGA")</f>
        <v>NA</v>
      </c>
      <c r="N370" s="886" t="str">
        <f ca="1">IF(AND(Referral_Error="",'General Basis'!J106=""),IFERROR(N293/(1-Gross_Loading),"NA"),"Refer to RGA")</f>
        <v>NA</v>
      </c>
    </row>
    <row r="371" spans="2:14" x14ac:dyDescent="0.25">
      <c r="B371" s="1446"/>
      <c r="C371" s="885" t="str">
        <f t="shared" si="53"/>
        <v>36 - 40</v>
      </c>
      <c r="D371" s="886">
        <f ca="1">IF(AND(Referral_Error="",'General Basis'!J106=""),IFERROR(D294/(1-Gross_Loading),"NA"),"Refer to RGA")</f>
        <v>3447.8042964112728</v>
      </c>
      <c r="E371" s="886">
        <f ca="1">IF(AND(Referral_Error="",'General Basis'!J106=""),IFERROR(E294/(1-Gross_Loading),"NA"),"Refer to RGA")</f>
        <v>3861.2140058861792</v>
      </c>
      <c r="F371" s="885" t="str">
        <f t="shared" si="54"/>
        <v/>
      </c>
      <c r="G371" s="886" t="str">
        <f ca="1">IF(AND(Referral_Error="",'General Basis'!J106=""),IFERROR(G294/(1-Gross_Loading),"NA"),"Refer to RGA")</f>
        <v>NA</v>
      </c>
      <c r="H371" s="886" t="str">
        <f ca="1">IF(AND(Referral_Error="",'General Basis'!J106=""),IFERROR(H294/(1-Gross_Loading),"NA"),"Refer to RGA")</f>
        <v>NA</v>
      </c>
      <c r="I371" s="885" t="str">
        <f t="shared" si="55"/>
        <v/>
      </c>
      <c r="J371" s="886" t="str">
        <f ca="1">IF(AND(Referral_Error="",'General Basis'!J106=""),IFERROR(J294/(1-Gross_Loading),"NA"),"Refer to RGA")</f>
        <v>NA</v>
      </c>
      <c r="K371" s="886" t="str">
        <f ca="1">IF(AND(Referral_Error="",'General Basis'!J106=""),IFERROR(K294/(1-Gross_Loading),"NA"),"Refer to RGA")</f>
        <v>NA</v>
      </c>
      <c r="L371" s="885" t="str">
        <f t="shared" si="56"/>
        <v/>
      </c>
      <c r="M371" s="886" t="str">
        <f ca="1">IF(AND(Referral_Error="",'General Basis'!J106=""),IFERROR(M294/(1-Gross_Loading),"NA"),"Refer to RGA")</f>
        <v>NA</v>
      </c>
      <c r="N371" s="886" t="str">
        <f ca="1">IF(AND(Referral_Error="",'General Basis'!J106=""),IFERROR(N294/(1-Gross_Loading),"NA"),"Refer to RGA")</f>
        <v>NA</v>
      </c>
    </row>
    <row r="372" spans="2:14" x14ac:dyDescent="0.25">
      <c r="B372" s="1446"/>
      <c r="C372" s="885" t="str">
        <f t="shared" si="53"/>
        <v>41 - 45</v>
      </c>
      <c r="D372" s="886">
        <f ca="1">IF(AND(Referral_Error="",'General Basis'!J106=""),IFERROR(D295/(1-Gross_Loading),"NA"),"Refer to RGA")</f>
        <v>4040.9573578317904</v>
      </c>
      <c r="E372" s="886">
        <f ca="1">IF(AND(Referral_Error="",'General Basis'!J106=""),IFERROR(E295/(1-Gross_Loading),"NA"),"Refer to RGA")</f>
        <v>4949.4783003932444</v>
      </c>
      <c r="F372" s="885" t="str">
        <f t="shared" si="54"/>
        <v/>
      </c>
      <c r="G372" s="886" t="str">
        <f ca="1">IF(AND(Referral_Error="",'General Basis'!J106=""),IFERROR(G295/(1-Gross_Loading),"NA"),"Refer to RGA")</f>
        <v>NA</v>
      </c>
      <c r="H372" s="886" t="str">
        <f ca="1">IF(AND(Referral_Error="",'General Basis'!J106=""),IFERROR(H295/(1-Gross_Loading),"NA"),"Refer to RGA")</f>
        <v>NA</v>
      </c>
      <c r="I372" s="885" t="str">
        <f t="shared" si="55"/>
        <v/>
      </c>
      <c r="J372" s="886" t="str">
        <f ca="1">IF(AND(Referral_Error="",'General Basis'!J106=""),IFERROR(J295/(1-Gross_Loading),"NA"),"Refer to RGA")</f>
        <v>NA</v>
      </c>
      <c r="K372" s="886" t="str">
        <f ca="1">IF(AND(Referral_Error="",'General Basis'!J106=""),IFERROR(K295/(1-Gross_Loading),"NA"),"Refer to RGA")</f>
        <v>NA</v>
      </c>
      <c r="L372" s="885" t="str">
        <f t="shared" si="56"/>
        <v/>
      </c>
      <c r="M372" s="886" t="str">
        <f ca="1">IF(AND(Referral_Error="",'General Basis'!J106=""),IFERROR(M295/(1-Gross_Loading),"NA"),"Refer to RGA")</f>
        <v>NA</v>
      </c>
      <c r="N372" s="886" t="str">
        <f ca="1">IF(AND(Referral_Error="",'General Basis'!J106=""),IFERROR(N295/(1-Gross_Loading),"NA"),"Refer to RGA")</f>
        <v>NA</v>
      </c>
    </row>
    <row r="373" spans="2:14" x14ac:dyDescent="0.25">
      <c r="B373" s="1446"/>
      <c r="C373" s="885" t="str">
        <f t="shared" si="53"/>
        <v>46 - 50</v>
      </c>
      <c r="D373" s="886">
        <f ca="1">IF(AND(Referral_Error="",'General Basis'!J106=""),IFERROR(D296/(1-Gross_Loading),"NA"),"Refer to RGA")</f>
        <v>5276.2843948398104</v>
      </c>
      <c r="E373" s="886">
        <f ca="1">IF(AND(Referral_Error="",'General Basis'!J106=""),IFERROR(E296/(1-Gross_Loading),"NA"),"Refer to RGA")</f>
        <v>6194.6095202346614</v>
      </c>
      <c r="F373" s="885" t="str">
        <f t="shared" si="54"/>
        <v/>
      </c>
      <c r="G373" s="886" t="str">
        <f ca="1">IF(AND(Referral_Error="",'General Basis'!J106=""),IFERROR(G296/(1-Gross_Loading),"NA"),"Refer to RGA")</f>
        <v>NA</v>
      </c>
      <c r="H373" s="886" t="str">
        <f ca="1">IF(AND(Referral_Error="",'General Basis'!J106=""),IFERROR(H296/(1-Gross_Loading),"NA"),"Refer to RGA")</f>
        <v>NA</v>
      </c>
      <c r="I373" s="885" t="str">
        <f t="shared" si="55"/>
        <v/>
      </c>
      <c r="J373" s="886" t="str">
        <f ca="1">IF(AND(Referral_Error="",'General Basis'!J106=""),IFERROR(J296/(1-Gross_Loading),"NA"),"Refer to RGA")</f>
        <v>NA</v>
      </c>
      <c r="K373" s="886" t="str">
        <f ca="1">IF(AND(Referral_Error="",'General Basis'!J106=""),IFERROR(K296/(1-Gross_Loading),"NA"),"Refer to RGA")</f>
        <v>NA</v>
      </c>
      <c r="L373" s="885" t="str">
        <f t="shared" si="56"/>
        <v/>
      </c>
      <c r="M373" s="886" t="str">
        <f ca="1">IF(AND(Referral_Error="",'General Basis'!J106=""),IFERROR(M296/(1-Gross_Loading),"NA"),"Refer to RGA")</f>
        <v>NA</v>
      </c>
      <c r="N373" s="886" t="str">
        <f ca="1">IF(AND(Referral_Error="",'General Basis'!J106=""),IFERROR(N296/(1-Gross_Loading),"NA"),"Refer to RGA")</f>
        <v>NA</v>
      </c>
    </row>
    <row r="374" spans="2:14" x14ac:dyDescent="0.25">
      <c r="B374" s="1446"/>
      <c r="C374" s="885" t="str">
        <f t="shared" si="53"/>
        <v>51 - 55</v>
      </c>
      <c r="D374" s="886">
        <f ca="1">IF(AND(Referral_Error="",'General Basis'!J106=""),IFERROR(D297/(1-Gross_Loading),"NA"),"Refer to RGA")</f>
        <v>7065.5477619347603</v>
      </c>
      <c r="E374" s="886">
        <f ca="1">IF(AND(Referral_Error="",'General Basis'!J106=""),IFERROR(E297/(1-Gross_Loading),"NA"),"Refer to RGA")</f>
        <v>8160.3481783307561</v>
      </c>
      <c r="F374" s="885" t="str">
        <f t="shared" si="54"/>
        <v/>
      </c>
      <c r="G374" s="886" t="str">
        <f ca="1">IF(AND(Referral_Error="",'General Basis'!J106=""),IFERROR(G297/(1-Gross_Loading),"NA"),"Refer to RGA")</f>
        <v>NA</v>
      </c>
      <c r="H374" s="886" t="str">
        <f ca="1">IF(AND(Referral_Error="",'General Basis'!J106=""),IFERROR(H297/(1-Gross_Loading),"NA"),"Refer to RGA")</f>
        <v>NA</v>
      </c>
      <c r="I374" s="885" t="str">
        <f t="shared" si="55"/>
        <v/>
      </c>
      <c r="J374" s="886" t="str">
        <f ca="1">IF(AND(Referral_Error="",'General Basis'!J106=""),IFERROR(J297/(1-Gross_Loading),"NA"),"Refer to RGA")</f>
        <v>NA</v>
      </c>
      <c r="K374" s="886" t="str">
        <f ca="1">IF(AND(Referral_Error="",'General Basis'!J106=""),IFERROR(K297/(1-Gross_Loading),"NA"),"Refer to RGA")</f>
        <v>NA</v>
      </c>
      <c r="L374" s="885" t="str">
        <f t="shared" si="56"/>
        <v/>
      </c>
      <c r="M374" s="886" t="str">
        <f ca="1">IF(AND(Referral_Error="",'General Basis'!J106=""),IFERROR(M297/(1-Gross_Loading),"NA"),"Refer to RGA")</f>
        <v>NA</v>
      </c>
      <c r="N374" s="886" t="str">
        <f ca="1">IF(AND(Referral_Error="",'General Basis'!J106=""),IFERROR(N297/(1-Gross_Loading),"NA"),"Refer to RGA")</f>
        <v>NA</v>
      </c>
    </row>
    <row r="375" spans="2:14" x14ac:dyDescent="0.25">
      <c r="B375" s="1446"/>
      <c r="C375" s="885" t="str">
        <f t="shared" si="53"/>
        <v>56 - 59</v>
      </c>
      <c r="D375" s="886">
        <f ca="1">IF(AND(Referral_Error="",'General Basis'!J106=""),IFERROR(D298/(1-Gross_Loading),"NA"),"Refer to RGA")</f>
        <v>9609.7332072012778</v>
      </c>
      <c r="E375" s="886">
        <f ca="1">IF(AND(Referral_Error="",'General Basis'!J106=""),IFERROR(E298/(1-Gross_Loading),"NA"),"Refer to RGA")</f>
        <v>9985.5602158148286</v>
      </c>
      <c r="F375" s="885" t="str">
        <f t="shared" si="54"/>
        <v/>
      </c>
      <c r="G375" s="886" t="str">
        <f ca="1">IF(AND(Referral_Error="",'General Basis'!J106=""),IFERROR(G298/(1-Gross_Loading),"NA"),"Refer to RGA")</f>
        <v>NA</v>
      </c>
      <c r="H375" s="886" t="str">
        <f ca="1">IF(AND(Referral_Error="",'General Basis'!J106=""),IFERROR(H298/(1-Gross_Loading),"NA"),"Refer to RGA")</f>
        <v>NA</v>
      </c>
      <c r="I375" s="885" t="str">
        <f t="shared" si="55"/>
        <v/>
      </c>
      <c r="J375" s="886" t="str">
        <f ca="1">IF(AND(Referral_Error="",'General Basis'!J106=""),IFERROR(J298/(1-Gross_Loading),"NA"),"Refer to RGA")</f>
        <v>NA</v>
      </c>
      <c r="K375" s="886" t="str">
        <f ca="1">IF(AND(Referral_Error="",'General Basis'!J106=""),IFERROR(K298/(1-Gross_Loading),"NA"),"Refer to RGA")</f>
        <v>NA</v>
      </c>
      <c r="L375" s="885" t="str">
        <f t="shared" si="56"/>
        <v/>
      </c>
      <c r="M375" s="886" t="str">
        <f ca="1">IF(AND(Referral_Error="",'General Basis'!J106=""),IFERROR(M298/(1-Gross_Loading),"NA"),"Refer to RGA")</f>
        <v>NA</v>
      </c>
      <c r="N375" s="886" t="str">
        <f ca="1">IF(AND(Referral_Error="",'General Basis'!J106=""),IFERROR(N298/(1-Gross_Loading),"NA"),"Refer to RGA")</f>
        <v>NA</v>
      </c>
    </row>
    <row r="376" spans="2:14" x14ac:dyDescent="0.25">
      <c r="B376" s="1446"/>
      <c r="C376" s="885" t="str">
        <f t="shared" si="53"/>
        <v>60 - 64</v>
      </c>
      <c r="D376" s="886">
        <f ca="1">IF(AND(Referral_Error="",'General Basis'!J106=""),IFERROR(D299/(1-Gross_Loading),"NA"),"Refer to RGA")</f>
        <v>11818.942405660064</v>
      </c>
      <c r="E376" s="886">
        <f ca="1">IF(AND(Referral_Error="",'General Basis'!J106=""),IFERROR(E299/(1-Gross_Loading),"NA"),"Refer to RGA")</f>
        <v>11859.793167465885</v>
      </c>
      <c r="F376" s="885" t="str">
        <f t="shared" si="54"/>
        <v/>
      </c>
      <c r="G376" s="886" t="str">
        <f ca="1">IF(AND(Referral_Error="",'General Basis'!J106=""),IFERROR(G299/(1-Gross_Loading),"NA"),"Refer to RGA")</f>
        <v>NA</v>
      </c>
      <c r="H376" s="886" t="str">
        <f ca="1">IF(AND(Referral_Error="",'General Basis'!J106=""),IFERROR(H299/(1-Gross_Loading),"NA"),"Refer to RGA")</f>
        <v>NA</v>
      </c>
      <c r="I376" s="885" t="str">
        <f t="shared" si="55"/>
        <v/>
      </c>
      <c r="J376" s="886" t="str">
        <f ca="1">IF(AND(Referral_Error="",'General Basis'!J106=""),IFERROR(J299/(1-Gross_Loading),"NA"),"Refer to RGA")</f>
        <v>NA</v>
      </c>
      <c r="K376" s="886" t="str">
        <f ca="1">IF(AND(Referral_Error="",'General Basis'!J106=""),IFERROR(K299/(1-Gross_Loading),"NA"),"Refer to RGA")</f>
        <v>NA</v>
      </c>
      <c r="L376" s="885" t="str">
        <f t="shared" si="56"/>
        <v/>
      </c>
      <c r="M376" s="886" t="str">
        <f ca="1">IF(AND(Referral_Error="",'General Basis'!J106=""),IFERROR(M299/(1-Gross_Loading),"NA"),"Refer to RGA")</f>
        <v>NA</v>
      </c>
      <c r="N376" s="886" t="str">
        <f ca="1">IF(AND(Referral_Error="",'General Basis'!J106=""),IFERROR(N299/(1-Gross_Loading),"NA"),"Refer to RGA")</f>
        <v>NA</v>
      </c>
    </row>
    <row r="377" spans="2:14" x14ac:dyDescent="0.25">
      <c r="B377" s="1447"/>
      <c r="C377" s="885" t="str">
        <f t="shared" si="53"/>
        <v>65 - 99</v>
      </c>
      <c r="D377" s="886">
        <f ca="1">IF(AND(Referral_Error="",'General Basis'!J106=""),IFERROR(D300/(1-Gross_Loading),"NA"),"Refer to RGA")</f>
        <v>21274.096330188113</v>
      </c>
      <c r="E377" s="886">
        <f ca="1">IF(AND(Referral_Error="",'General Basis'!J106=""),IFERROR(E300/(1-Gross_Loading),"NA"),"Refer to RGA")</f>
        <v>21347.627701438592</v>
      </c>
      <c r="F377" s="885" t="str">
        <f t="shared" si="54"/>
        <v/>
      </c>
      <c r="G377" s="886" t="str">
        <f ca="1">IF(AND(Referral_Error="",'General Basis'!J106=""),IFERROR(G300/(1-Gross_Loading),"NA"),"Refer to RGA")</f>
        <v>NA</v>
      </c>
      <c r="H377" s="886" t="str">
        <f ca="1">IF(AND(Referral_Error="",'General Basis'!J106=""),IFERROR(H300/(1-Gross_Loading),"NA"),"Refer to RGA")</f>
        <v>NA</v>
      </c>
      <c r="I377" s="885" t="str">
        <f t="shared" si="55"/>
        <v/>
      </c>
      <c r="J377" s="886" t="str">
        <f ca="1">IF(AND(Referral_Error="",'General Basis'!J106=""),IFERROR(J300/(1-Gross_Loading),"NA"),"Refer to RGA")</f>
        <v>NA</v>
      </c>
      <c r="K377" s="886" t="str">
        <f ca="1">IF(AND(Referral_Error="",'General Basis'!J106=""),IFERROR(K300/(1-Gross_Loading),"NA"),"Refer to RGA")</f>
        <v>NA</v>
      </c>
      <c r="L377" s="885" t="str">
        <f t="shared" si="56"/>
        <v/>
      </c>
      <c r="M377" s="886" t="str">
        <f ca="1">IF(AND(Referral_Error="",'General Basis'!J106=""),IFERROR(M300/(1-Gross_Loading),"NA"),"Refer to RGA")</f>
        <v>NA</v>
      </c>
      <c r="N377" s="886" t="str">
        <f ca="1">IF(AND(Referral_Error="",'General Basis'!J106=""),IFERROR(N300/(1-Gross_Loading),"NA"),"Refer to RGA")</f>
        <v>NA</v>
      </c>
    </row>
    <row r="378" spans="2:14" x14ac:dyDescent="0.25">
      <c r="B378" s="941" t="s">
        <v>1064</v>
      </c>
      <c r="C378" s="832" t="str">
        <f>IF(C364="","",IF(C364="Abu Dhabi","18-50","18-45"))</f>
        <v>18-45</v>
      </c>
      <c r="D378" s="833" t="str">
        <f ca="1">IF(AND(Referral_Error="",'General Basis'!J106=""),IFERROR(D301/(1-Gross_Loading),"NA"),"Refer to RGA")</f>
        <v>NA</v>
      </c>
      <c r="E378" s="890">
        <f ca="1">IF(AND(Referral_Error="",'General Basis'!J106=""),IFERROR(E301/(1-Gross_Loading),"NA"),"Refer to RGA")</f>
        <v>2251.2857142857147</v>
      </c>
      <c r="F378" s="832" t="str">
        <f>IF(F364="","",IF(F364="Abu Dhabi","18-50","18-45"))</f>
        <v/>
      </c>
      <c r="G378" s="833" t="str">
        <f ca="1">IF(AND(Referral_Error="",'General Basis'!J106=""),IFERROR(G301/(1-Gross_Loading),"NA"),"Refer to RGA")</f>
        <v>NA</v>
      </c>
      <c r="H378" s="890" t="str">
        <f ca="1">IF(AND(Referral_Error="",'General Basis'!J106=""),IFERROR(H301/(1-Gross_Loading),"NA"),"Refer to RGA")</f>
        <v>NA</v>
      </c>
      <c r="I378" s="832" t="str">
        <f>IF(I364="","",IF(I364="Abu Dhabi","18-50","18-45"))</f>
        <v/>
      </c>
      <c r="J378" s="833" t="str">
        <f ca="1">IF(AND(Referral_Error="",'General Basis'!J106=""),IFERROR(J301/(1-Gross_Loading),"NA"),"Refer to RGA")</f>
        <v>NA</v>
      </c>
      <c r="K378" s="890" t="str">
        <f ca="1">IF(AND(Referral_Error="",'General Basis'!J106=""),IFERROR(K301/(1-Gross_Loading),"NA"),"Refer to RGA")</f>
        <v>NA</v>
      </c>
      <c r="L378" s="832" t="str">
        <f>IF(L364="","",IF(L364="Abu Dhabi","18-50","18-45"))</f>
        <v/>
      </c>
      <c r="M378" s="833" t="str">
        <f ca="1">IF(AND(Referral_Error="",'General Basis'!J106=""),IFERROR(M301/(1-Gross_Loading),"NA"),"Refer to RGA")</f>
        <v>NA</v>
      </c>
      <c r="N378" s="890" t="str">
        <f ca="1">IF(AND(Referral_Error="",'General Basis'!J106=""),IFERROR(N301/(1-Gross_Loading),"NA"),"Refer to RGA")</f>
        <v>NA</v>
      </c>
    </row>
    <row r="379" spans="2:14" ht="32.25" x14ac:dyDescent="0.25">
      <c r="B379" s="887" t="s">
        <v>1002</v>
      </c>
      <c r="C379" s="983">
        <f ca="1">SUMPRODUCT(D212:E223,D366:E377)</f>
        <v>27376.546531788845</v>
      </c>
      <c r="D379" s="984" t="s">
        <v>1098</v>
      </c>
      <c r="E379" s="985">
        <f>IFERROR(E302/(1-Gross_Loading),0)</f>
        <v>0</v>
      </c>
      <c r="F379" s="983">
        <f ca="1">SUMPRODUCT(G212:H223,G366:H377)</f>
        <v>0</v>
      </c>
      <c r="G379" s="984" t="s">
        <v>1098</v>
      </c>
      <c r="H379" s="985">
        <f>IFERROR(H302/(1-Gross_Loading),0)</f>
        <v>0</v>
      </c>
      <c r="I379" s="983">
        <f ca="1">SUMPRODUCT(J212:K223,J366:K377)</f>
        <v>0</v>
      </c>
      <c r="J379" s="984" t="s">
        <v>1098</v>
      </c>
      <c r="K379" s="985">
        <f>IFERROR(K302/(1-Gross_Loading),0)</f>
        <v>0</v>
      </c>
      <c r="L379" s="983">
        <f ca="1">SUMPRODUCT(M212:N223,M366:N377)</f>
        <v>0</v>
      </c>
      <c r="M379" s="984" t="s">
        <v>1098</v>
      </c>
      <c r="N379" s="985">
        <f>IFERROR(N302/(1-Gross_Loading),0)</f>
        <v>0</v>
      </c>
    </row>
    <row r="380" spans="2:14" x14ac:dyDescent="0.25">
      <c r="B380" s="830"/>
      <c r="N380" s="870"/>
    </row>
    <row r="381" spans="2:14" ht="23.25" x14ac:dyDescent="0.25">
      <c r="B381" s="1445" t="s">
        <v>958</v>
      </c>
      <c r="C381" s="884" t="str">
        <f>IFERROR(VLOOKUP(D381,'General Basis'!$I$39:$L$46,4,0),"")</f>
        <v/>
      </c>
      <c r="D381" s="884" t="str">
        <f>D347</f>
        <v>Category E</v>
      </c>
      <c r="E381" s="884" t="str">
        <f>E347</f>
        <v>Category E</v>
      </c>
      <c r="F381" s="884" t="str">
        <f>IFERROR(VLOOKUP(G381,'General Basis'!$I$39:$L$46,4,0),"")</f>
        <v/>
      </c>
      <c r="G381" s="884" t="str">
        <f>G347</f>
        <v>Category F</v>
      </c>
      <c r="H381" s="884" t="str">
        <f>H347</f>
        <v>Category F</v>
      </c>
      <c r="I381" s="884" t="str">
        <f>IFERROR(VLOOKUP(J381,'General Basis'!$I$39:$L$46,4,0),"")</f>
        <v/>
      </c>
      <c r="J381" s="884" t="str">
        <f>J347</f>
        <v>Category G</v>
      </c>
      <c r="K381" s="884" t="str">
        <f>K347</f>
        <v>Category G</v>
      </c>
      <c r="L381" s="884" t="str">
        <f>IFERROR(VLOOKUP(M381,'General Basis'!$I$39:$L$46,4,0),"")</f>
        <v/>
      </c>
      <c r="M381" s="884" t="str">
        <f>M347</f>
        <v>Category H</v>
      </c>
      <c r="N381" s="884" t="str">
        <f>N347</f>
        <v>Category H</v>
      </c>
    </row>
    <row r="382" spans="2:14" ht="23.25" x14ac:dyDescent="0.25">
      <c r="B382" s="1446" t="s">
        <v>286</v>
      </c>
      <c r="C382" s="829" t="s">
        <v>286</v>
      </c>
      <c r="D382" s="829" t="s">
        <v>65</v>
      </c>
      <c r="E382" s="884" t="s">
        <v>66</v>
      </c>
      <c r="F382" s="829" t="s">
        <v>286</v>
      </c>
      <c r="G382" s="829" t="s">
        <v>65</v>
      </c>
      <c r="H382" s="884" t="s">
        <v>66</v>
      </c>
      <c r="I382" s="829" t="s">
        <v>286</v>
      </c>
      <c r="J382" s="829" t="s">
        <v>65</v>
      </c>
      <c r="K382" s="884" t="s">
        <v>66</v>
      </c>
      <c r="L382" s="829" t="s">
        <v>286</v>
      </c>
      <c r="M382" s="829" t="s">
        <v>65</v>
      </c>
      <c r="N382" s="884" t="s">
        <v>66</v>
      </c>
    </row>
    <row r="383" spans="2:14" x14ac:dyDescent="0.25">
      <c r="B383" s="1446"/>
      <c r="C383" s="885" t="str">
        <f>C349</f>
        <v/>
      </c>
      <c r="D383" s="886" t="str">
        <f ca="1">IF(AND(Referral_Error="",'General Basis'!J106=""),IFERROR(D306/(1-Gross_Loading),"NA"),"Refer to RGA")</f>
        <v>NA</v>
      </c>
      <c r="E383" s="886" t="str">
        <f ca="1">IF(AND(Referral_Error="",'General Basis'!J106=""),IFERROR(E306/(1-Gross_Loading),"NA"),"Refer to RGA")</f>
        <v>NA</v>
      </c>
      <c r="F383" s="885" t="str">
        <f>F349</f>
        <v/>
      </c>
      <c r="G383" s="886" t="str">
        <f ca="1">IF(AND(Referral_Error="",'General Basis'!J106=""),IFERROR(G306/(1-Gross_Loading),"NA"),"Refer to RGA")</f>
        <v>NA</v>
      </c>
      <c r="H383" s="886" t="str">
        <f ca="1">IF(AND(Referral_Error="",'General Basis'!J106=""),IFERROR(H306/(1-Gross_Loading),"NA"),"Refer to RGA")</f>
        <v>NA</v>
      </c>
      <c r="I383" s="885" t="str">
        <f>I349</f>
        <v/>
      </c>
      <c r="J383" s="886" t="str">
        <f ca="1">IF(AND(Referral_Error="",'General Basis'!J106=""),IFERROR(J306/(1-Gross_Loading),"NA"),"Refer to RGA")</f>
        <v>NA</v>
      </c>
      <c r="K383" s="886" t="str">
        <f ca="1">IF(AND(Referral_Error="",'General Basis'!J106=""),IFERROR(K306/(1-Gross_Loading),"NA"),"Refer to RGA")</f>
        <v>NA</v>
      </c>
      <c r="L383" s="885" t="str">
        <f>L349</f>
        <v/>
      </c>
      <c r="M383" s="886" t="str">
        <f ca="1">IF(AND(Referral_Error="",'General Basis'!J106=""),IFERROR(M306/(1-Gross_Loading),"NA"),"Refer to RGA")</f>
        <v>NA</v>
      </c>
      <c r="N383" s="886" t="str">
        <f ca="1">IF(AND(Referral_Error="",'General Basis'!J106=""),IFERROR(N306/(1-Gross_Loading),"NA"),"Refer to RGA")</f>
        <v>NA</v>
      </c>
    </row>
    <row r="384" spans="2:14" x14ac:dyDescent="0.25">
      <c r="B384" s="1446"/>
      <c r="C384" s="885" t="str">
        <f t="shared" ref="C384:C394" si="57">C350</f>
        <v/>
      </c>
      <c r="D384" s="886" t="str">
        <f ca="1">IF(AND(Referral_Error="",'General Basis'!J106=""),IFERROR(D307/(1-Gross_Loading),"NA"),"Refer to RGA")</f>
        <v>NA</v>
      </c>
      <c r="E384" s="886" t="str">
        <f ca="1">IF(AND(Referral_Error="",'General Basis'!J106=""),IFERROR(E307/(1-Gross_Loading),"NA"),"Refer to RGA")</f>
        <v>NA</v>
      </c>
      <c r="F384" s="885" t="str">
        <f t="shared" ref="F384:F394" si="58">F350</f>
        <v/>
      </c>
      <c r="G384" s="886" t="str">
        <f ca="1">IF(AND(Referral_Error="",'General Basis'!J106=""),IFERROR(G307/(1-Gross_Loading),"NA"),"Refer to RGA")</f>
        <v>NA</v>
      </c>
      <c r="H384" s="886" t="str">
        <f ca="1">IF(AND(Referral_Error="",'General Basis'!J106=""),IFERROR(H307/(1-Gross_Loading),"NA"),"Refer to RGA")</f>
        <v>NA</v>
      </c>
      <c r="I384" s="885" t="str">
        <f t="shared" ref="I384:I394" si="59">I350</f>
        <v/>
      </c>
      <c r="J384" s="886" t="str">
        <f ca="1">IF(AND(Referral_Error="",'General Basis'!J106=""),IFERROR(J307/(1-Gross_Loading),"NA"),"Refer to RGA")</f>
        <v>NA</v>
      </c>
      <c r="K384" s="886" t="str">
        <f ca="1">IF(AND(Referral_Error="",'General Basis'!J106=""),IFERROR(K307/(1-Gross_Loading),"NA"),"Refer to RGA")</f>
        <v>NA</v>
      </c>
      <c r="L384" s="885" t="str">
        <f t="shared" ref="L384:L394" si="60">L350</f>
        <v/>
      </c>
      <c r="M384" s="886" t="str">
        <f ca="1">IF(AND(Referral_Error="",'General Basis'!J106=""),IFERROR(M307/(1-Gross_Loading),"NA"),"Refer to RGA")</f>
        <v>NA</v>
      </c>
      <c r="N384" s="886" t="str">
        <f ca="1">IF(AND(Referral_Error="",'General Basis'!J106=""),IFERROR(N307/(1-Gross_Loading),"NA"),"Refer to RGA")</f>
        <v>NA</v>
      </c>
    </row>
    <row r="385" spans="2:14" x14ac:dyDescent="0.25">
      <c r="B385" s="1446"/>
      <c r="C385" s="885" t="str">
        <f t="shared" si="57"/>
        <v/>
      </c>
      <c r="D385" s="886" t="str">
        <f ca="1">IF(AND(Referral_Error="",'General Basis'!J106=""),IFERROR(D308/(1-Gross_Loading),"NA"),"Refer to RGA")</f>
        <v>NA</v>
      </c>
      <c r="E385" s="886" t="str">
        <f ca="1">IF(AND(Referral_Error="",'General Basis'!J106=""),IFERROR(E308/(1-Gross_Loading),"NA"),"Refer to RGA")</f>
        <v>NA</v>
      </c>
      <c r="F385" s="885" t="str">
        <f t="shared" si="58"/>
        <v/>
      </c>
      <c r="G385" s="886" t="str">
        <f ca="1">IF(AND(Referral_Error="",'General Basis'!J106=""),IFERROR(G308/(1-Gross_Loading),"NA"),"Refer to RGA")</f>
        <v>NA</v>
      </c>
      <c r="H385" s="886" t="str">
        <f ca="1">IF(AND(Referral_Error="",'General Basis'!J106=""),IFERROR(H308/(1-Gross_Loading),"NA"),"Refer to RGA")</f>
        <v>NA</v>
      </c>
      <c r="I385" s="885" t="str">
        <f t="shared" si="59"/>
        <v/>
      </c>
      <c r="J385" s="886" t="str">
        <f ca="1">IF(AND(Referral_Error="",'General Basis'!J106=""),IFERROR(J308/(1-Gross_Loading),"NA"),"Refer to RGA")</f>
        <v>NA</v>
      </c>
      <c r="K385" s="886" t="str">
        <f ca="1">IF(AND(Referral_Error="",'General Basis'!J106=""),IFERROR(K308/(1-Gross_Loading),"NA"),"Refer to RGA")</f>
        <v>NA</v>
      </c>
      <c r="L385" s="885" t="str">
        <f t="shared" si="60"/>
        <v/>
      </c>
      <c r="M385" s="886" t="str">
        <f ca="1">IF(AND(Referral_Error="",'General Basis'!J106=""),IFERROR(M308/(1-Gross_Loading),"NA"),"Refer to RGA")</f>
        <v>NA</v>
      </c>
      <c r="N385" s="886" t="str">
        <f ca="1">IF(AND(Referral_Error="",'General Basis'!J106=""),IFERROR(N308/(1-Gross_Loading),"NA"),"Refer to RGA")</f>
        <v>NA</v>
      </c>
    </row>
    <row r="386" spans="2:14" x14ac:dyDescent="0.25">
      <c r="B386" s="1446"/>
      <c r="C386" s="885" t="str">
        <f t="shared" si="57"/>
        <v/>
      </c>
      <c r="D386" s="886" t="str">
        <f ca="1">IF(AND(Referral_Error="",'General Basis'!J106=""),IFERROR(D309/(1-Gross_Loading),"NA"),"Refer to RGA")</f>
        <v>NA</v>
      </c>
      <c r="E386" s="886" t="str">
        <f ca="1">IF(AND(Referral_Error="",'General Basis'!J106=""),IFERROR(E309/(1-Gross_Loading),"NA"),"Refer to RGA")</f>
        <v>NA</v>
      </c>
      <c r="F386" s="885" t="str">
        <f t="shared" si="58"/>
        <v/>
      </c>
      <c r="G386" s="886" t="str">
        <f ca="1">IF(AND(Referral_Error="",'General Basis'!J106=""),IFERROR(G309/(1-Gross_Loading),"NA"),"Refer to RGA")</f>
        <v>NA</v>
      </c>
      <c r="H386" s="886" t="str">
        <f ca="1">IF(AND(Referral_Error="",'General Basis'!J106=""),IFERROR(H309/(1-Gross_Loading),"NA"),"Refer to RGA")</f>
        <v>NA</v>
      </c>
      <c r="I386" s="885" t="str">
        <f t="shared" si="59"/>
        <v/>
      </c>
      <c r="J386" s="886" t="str">
        <f ca="1">IF(AND(Referral_Error="",'General Basis'!J106=""),IFERROR(J309/(1-Gross_Loading),"NA"),"Refer to RGA")</f>
        <v>NA</v>
      </c>
      <c r="K386" s="886" t="str">
        <f ca="1">IF(AND(Referral_Error="",'General Basis'!J106=""),IFERROR(K309/(1-Gross_Loading),"NA"),"Refer to RGA")</f>
        <v>NA</v>
      </c>
      <c r="L386" s="885" t="str">
        <f t="shared" si="60"/>
        <v/>
      </c>
      <c r="M386" s="886" t="str">
        <f ca="1">IF(AND(Referral_Error="",'General Basis'!J106=""),IFERROR(M309/(1-Gross_Loading),"NA"),"Refer to RGA")</f>
        <v>NA</v>
      </c>
      <c r="N386" s="886" t="str">
        <f ca="1">IF(AND(Referral_Error="",'General Basis'!J106=""),IFERROR(N309/(1-Gross_Loading),"NA"),"Refer to RGA")</f>
        <v>NA</v>
      </c>
    </row>
    <row r="387" spans="2:14" x14ac:dyDescent="0.25">
      <c r="B387" s="1446"/>
      <c r="C387" s="885" t="str">
        <f t="shared" si="57"/>
        <v/>
      </c>
      <c r="D387" s="886" t="str">
        <f ca="1">IF(AND(Referral_Error="",'General Basis'!J106=""),IFERROR(D310/(1-Gross_Loading),"NA"),"Refer to RGA")</f>
        <v>NA</v>
      </c>
      <c r="E387" s="886" t="str">
        <f ca="1">IF(AND(Referral_Error="",'General Basis'!J106=""),IFERROR(E310/(1-Gross_Loading),"NA"),"Refer to RGA")</f>
        <v>NA</v>
      </c>
      <c r="F387" s="885" t="str">
        <f t="shared" si="58"/>
        <v/>
      </c>
      <c r="G387" s="886" t="str">
        <f ca="1">IF(AND(Referral_Error="",'General Basis'!J106=""),IFERROR(G310/(1-Gross_Loading),"NA"),"Refer to RGA")</f>
        <v>NA</v>
      </c>
      <c r="H387" s="886" t="str">
        <f ca="1">IF(AND(Referral_Error="",'General Basis'!J106=""),IFERROR(H310/(1-Gross_Loading),"NA"),"Refer to RGA")</f>
        <v>NA</v>
      </c>
      <c r="I387" s="885" t="str">
        <f t="shared" si="59"/>
        <v/>
      </c>
      <c r="J387" s="886" t="str">
        <f ca="1">IF(AND(Referral_Error="",'General Basis'!J106=""),IFERROR(J310/(1-Gross_Loading),"NA"),"Refer to RGA")</f>
        <v>NA</v>
      </c>
      <c r="K387" s="886" t="str">
        <f ca="1">IF(AND(Referral_Error="",'General Basis'!J106=""),IFERROR(K310/(1-Gross_Loading),"NA"),"Refer to RGA")</f>
        <v>NA</v>
      </c>
      <c r="L387" s="885" t="str">
        <f t="shared" si="60"/>
        <v/>
      </c>
      <c r="M387" s="886" t="str">
        <f ca="1">IF(AND(Referral_Error="",'General Basis'!J106=""),IFERROR(M310/(1-Gross_Loading),"NA"),"Refer to RGA")</f>
        <v>NA</v>
      </c>
      <c r="N387" s="886" t="str">
        <f ca="1">IF(AND(Referral_Error="",'General Basis'!J106=""),IFERROR(N310/(1-Gross_Loading),"NA"),"Refer to RGA")</f>
        <v>NA</v>
      </c>
    </row>
    <row r="388" spans="2:14" x14ac:dyDescent="0.25">
      <c r="B388" s="1446"/>
      <c r="C388" s="885" t="str">
        <f t="shared" si="57"/>
        <v/>
      </c>
      <c r="D388" s="886" t="str">
        <f ca="1">IF(AND(Referral_Error="",'General Basis'!J106=""),IFERROR(D311/(1-Gross_Loading),"NA"),"Refer to RGA")</f>
        <v>NA</v>
      </c>
      <c r="E388" s="886" t="str">
        <f ca="1">IF(AND(Referral_Error="",'General Basis'!J106=""),IFERROR(E311/(1-Gross_Loading),"NA"),"Refer to RGA")</f>
        <v>NA</v>
      </c>
      <c r="F388" s="885" t="str">
        <f t="shared" si="58"/>
        <v/>
      </c>
      <c r="G388" s="886" t="str">
        <f ca="1">IF(AND(Referral_Error="",'General Basis'!J106=""),IFERROR(G311/(1-Gross_Loading),"NA"),"Refer to RGA")</f>
        <v>NA</v>
      </c>
      <c r="H388" s="886" t="str">
        <f ca="1">IF(AND(Referral_Error="",'General Basis'!J106=""),IFERROR(H311/(1-Gross_Loading),"NA"),"Refer to RGA")</f>
        <v>NA</v>
      </c>
      <c r="I388" s="885" t="str">
        <f t="shared" si="59"/>
        <v/>
      </c>
      <c r="J388" s="886" t="str">
        <f ca="1">IF(AND(Referral_Error="",'General Basis'!J106=""),IFERROR(J311/(1-Gross_Loading),"NA"),"Refer to RGA")</f>
        <v>NA</v>
      </c>
      <c r="K388" s="886" t="str">
        <f ca="1">IF(AND(Referral_Error="",'General Basis'!J106=""),IFERROR(K311/(1-Gross_Loading),"NA"),"Refer to RGA")</f>
        <v>NA</v>
      </c>
      <c r="L388" s="885" t="str">
        <f t="shared" si="60"/>
        <v/>
      </c>
      <c r="M388" s="886" t="str">
        <f ca="1">IF(AND(Referral_Error="",'General Basis'!J106=""),IFERROR(M311/(1-Gross_Loading),"NA"),"Refer to RGA")</f>
        <v>NA</v>
      </c>
      <c r="N388" s="886" t="str">
        <f ca="1">IF(AND(Referral_Error="",'General Basis'!J106=""),IFERROR(N311/(1-Gross_Loading),"NA"),"Refer to RGA")</f>
        <v>NA</v>
      </c>
    </row>
    <row r="389" spans="2:14" x14ac:dyDescent="0.25">
      <c r="B389" s="1446"/>
      <c r="C389" s="885" t="str">
        <f t="shared" si="57"/>
        <v/>
      </c>
      <c r="D389" s="886" t="str">
        <f ca="1">IF(AND(Referral_Error="",'General Basis'!J106=""),IFERROR(D312/(1-Gross_Loading),"NA"),"Refer to RGA")</f>
        <v>NA</v>
      </c>
      <c r="E389" s="886" t="str">
        <f ca="1">IF(AND(Referral_Error="",'General Basis'!J106=""),IFERROR(E312/(1-Gross_Loading),"NA"),"Refer to RGA")</f>
        <v>NA</v>
      </c>
      <c r="F389" s="885" t="str">
        <f t="shared" si="58"/>
        <v/>
      </c>
      <c r="G389" s="886" t="str">
        <f ca="1">IF(AND(Referral_Error="",'General Basis'!J106=""),IFERROR(G312/(1-Gross_Loading),"NA"),"Refer to RGA")</f>
        <v>NA</v>
      </c>
      <c r="H389" s="886" t="str">
        <f ca="1">IF(AND(Referral_Error="",'General Basis'!J106=""),IFERROR(H312/(1-Gross_Loading),"NA"),"Refer to RGA")</f>
        <v>NA</v>
      </c>
      <c r="I389" s="885" t="str">
        <f t="shared" si="59"/>
        <v/>
      </c>
      <c r="J389" s="886" t="str">
        <f ca="1">IF(AND(Referral_Error="",'General Basis'!J106=""),IFERROR(J312/(1-Gross_Loading),"NA"),"Refer to RGA")</f>
        <v>NA</v>
      </c>
      <c r="K389" s="886" t="str">
        <f ca="1">IF(AND(Referral_Error="",'General Basis'!J106=""),IFERROR(K312/(1-Gross_Loading),"NA"),"Refer to RGA")</f>
        <v>NA</v>
      </c>
      <c r="L389" s="885" t="str">
        <f t="shared" si="60"/>
        <v/>
      </c>
      <c r="M389" s="886" t="str">
        <f ca="1">IF(AND(Referral_Error="",'General Basis'!J106=""),IFERROR(M312/(1-Gross_Loading),"NA"),"Refer to RGA")</f>
        <v>NA</v>
      </c>
      <c r="N389" s="886" t="str">
        <f ca="1">IF(AND(Referral_Error="",'General Basis'!J106=""),IFERROR(N312/(1-Gross_Loading),"NA"),"Refer to RGA")</f>
        <v>NA</v>
      </c>
    </row>
    <row r="390" spans="2:14" x14ac:dyDescent="0.25">
      <c r="B390" s="1446"/>
      <c r="C390" s="885" t="str">
        <f t="shared" si="57"/>
        <v/>
      </c>
      <c r="D390" s="886" t="str">
        <f ca="1">IF(AND(Referral_Error="",'General Basis'!J106=""),IFERROR(D313/(1-Gross_Loading),"NA"),"Refer to RGA")</f>
        <v>NA</v>
      </c>
      <c r="E390" s="886" t="str">
        <f ca="1">IF(AND(Referral_Error="",'General Basis'!J106=""),IFERROR(E313/(1-Gross_Loading),"NA"),"Refer to RGA")</f>
        <v>NA</v>
      </c>
      <c r="F390" s="885" t="str">
        <f t="shared" si="58"/>
        <v/>
      </c>
      <c r="G390" s="886" t="str">
        <f ca="1">IF(AND(Referral_Error="",'General Basis'!J106=""),IFERROR(G313/(1-Gross_Loading),"NA"),"Refer to RGA")</f>
        <v>NA</v>
      </c>
      <c r="H390" s="886" t="str">
        <f ca="1">IF(AND(Referral_Error="",'General Basis'!J106=""),IFERROR(H313/(1-Gross_Loading),"NA"),"Refer to RGA")</f>
        <v>NA</v>
      </c>
      <c r="I390" s="885" t="str">
        <f t="shared" si="59"/>
        <v/>
      </c>
      <c r="J390" s="886" t="str">
        <f ca="1">IF(AND(Referral_Error="",'General Basis'!J106=""),IFERROR(J313/(1-Gross_Loading),"NA"),"Refer to RGA")</f>
        <v>NA</v>
      </c>
      <c r="K390" s="886" t="str">
        <f ca="1">IF(AND(Referral_Error="",'General Basis'!J106=""),IFERROR(K313/(1-Gross_Loading),"NA"),"Refer to RGA")</f>
        <v>NA</v>
      </c>
      <c r="L390" s="885" t="str">
        <f t="shared" si="60"/>
        <v/>
      </c>
      <c r="M390" s="886" t="str">
        <f ca="1">IF(AND(Referral_Error="",'General Basis'!J106=""),IFERROR(M313/(1-Gross_Loading),"NA"),"Refer to RGA")</f>
        <v>NA</v>
      </c>
      <c r="N390" s="886" t="str">
        <f ca="1">IF(AND(Referral_Error="",'General Basis'!J106=""),IFERROR(N313/(1-Gross_Loading),"NA"),"Refer to RGA")</f>
        <v>NA</v>
      </c>
    </row>
    <row r="391" spans="2:14" x14ac:dyDescent="0.25">
      <c r="B391" s="1446"/>
      <c r="C391" s="885" t="str">
        <f t="shared" si="57"/>
        <v/>
      </c>
      <c r="D391" s="886" t="str">
        <f ca="1">IF(AND(Referral_Error="",'General Basis'!J106=""),IFERROR(D314/(1-Gross_Loading),"NA"),"Refer to RGA")</f>
        <v>NA</v>
      </c>
      <c r="E391" s="886" t="str">
        <f ca="1">IF(AND(Referral_Error="",'General Basis'!J106=""),IFERROR(E314/(1-Gross_Loading),"NA"),"Refer to RGA")</f>
        <v>NA</v>
      </c>
      <c r="F391" s="885" t="str">
        <f t="shared" si="58"/>
        <v/>
      </c>
      <c r="G391" s="886" t="str">
        <f ca="1">IF(AND(Referral_Error="",'General Basis'!J106=""),IFERROR(G314/(1-Gross_Loading),"NA"),"Refer to RGA")</f>
        <v>NA</v>
      </c>
      <c r="H391" s="886" t="str">
        <f ca="1">IF(AND(Referral_Error="",'General Basis'!J106=""),IFERROR(H314/(1-Gross_Loading),"NA"),"Refer to RGA")</f>
        <v>NA</v>
      </c>
      <c r="I391" s="885" t="str">
        <f t="shared" si="59"/>
        <v/>
      </c>
      <c r="J391" s="886" t="str">
        <f ca="1">IF(AND(Referral_Error="",'General Basis'!J106=""),IFERROR(J314/(1-Gross_Loading),"NA"),"Refer to RGA")</f>
        <v>NA</v>
      </c>
      <c r="K391" s="886" t="str">
        <f ca="1">IF(AND(Referral_Error="",'General Basis'!J106=""),IFERROR(K314/(1-Gross_Loading),"NA"),"Refer to RGA")</f>
        <v>NA</v>
      </c>
      <c r="L391" s="885" t="str">
        <f t="shared" si="60"/>
        <v/>
      </c>
      <c r="M391" s="886" t="str">
        <f ca="1">IF(AND(Referral_Error="",'General Basis'!J106=""),IFERROR(M314/(1-Gross_Loading),"NA"),"Refer to RGA")</f>
        <v>NA</v>
      </c>
      <c r="N391" s="886" t="str">
        <f ca="1">IF(AND(Referral_Error="",'General Basis'!J106=""),IFERROR(N314/(1-Gross_Loading),"NA"),"Refer to RGA")</f>
        <v>NA</v>
      </c>
    </row>
    <row r="392" spans="2:14" x14ac:dyDescent="0.25">
      <c r="B392" s="1446"/>
      <c r="C392" s="885" t="str">
        <f t="shared" si="57"/>
        <v/>
      </c>
      <c r="D392" s="886" t="str">
        <f ca="1">IF(AND(Referral_Error="",'General Basis'!J106=""),IFERROR(D315/(1-Gross_Loading),"NA"),"Refer to RGA")</f>
        <v>NA</v>
      </c>
      <c r="E392" s="886" t="str">
        <f ca="1">IF(AND(Referral_Error="",'General Basis'!J106=""),IFERROR(E315/(1-Gross_Loading),"NA"),"Refer to RGA")</f>
        <v>NA</v>
      </c>
      <c r="F392" s="885" t="str">
        <f t="shared" si="58"/>
        <v/>
      </c>
      <c r="G392" s="886" t="str">
        <f ca="1">IF(AND(Referral_Error="",'General Basis'!J106=""),IFERROR(G315/(1-Gross_Loading),"NA"),"Refer to RGA")</f>
        <v>NA</v>
      </c>
      <c r="H392" s="886" t="str">
        <f ca="1">IF(AND(Referral_Error="",'General Basis'!J106=""),IFERROR(H315/(1-Gross_Loading),"NA"),"Refer to RGA")</f>
        <v>NA</v>
      </c>
      <c r="I392" s="885" t="str">
        <f t="shared" si="59"/>
        <v/>
      </c>
      <c r="J392" s="886" t="str">
        <f ca="1">IF(AND(Referral_Error="",'General Basis'!J106=""),IFERROR(J315/(1-Gross_Loading),"NA"),"Refer to RGA")</f>
        <v>NA</v>
      </c>
      <c r="K392" s="886" t="str">
        <f ca="1">IF(AND(Referral_Error="",'General Basis'!J106=""),IFERROR(K315/(1-Gross_Loading),"NA"),"Refer to RGA")</f>
        <v>NA</v>
      </c>
      <c r="L392" s="885" t="str">
        <f t="shared" si="60"/>
        <v/>
      </c>
      <c r="M392" s="886" t="str">
        <f ca="1">IF(AND(Referral_Error="",'General Basis'!J106=""),IFERROR(M315/(1-Gross_Loading),"NA"),"Refer to RGA")</f>
        <v>NA</v>
      </c>
      <c r="N392" s="886" t="str">
        <f ca="1">IF(AND(Referral_Error="",'General Basis'!J106=""),IFERROR(N315/(1-Gross_Loading),"NA"),"Refer to RGA")</f>
        <v>NA</v>
      </c>
    </row>
    <row r="393" spans="2:14" x14ac:dyDescent="0.25">
      <c r="B393" s="1446"/>
      <c r="C393" s="885" t="str">
        <f t="shared" si="57"/>
        <v/>
      </c>
      <c r="D393" s="886" t="str">
        <f ca="1">IF(AND(Referral_Error="",'General Basis'!J106=""),IFERROR(D316/(1-Gross_Loading),"NA"),"Refer to RGA")</f>
        <v>NA</v>
      </c>
      <c r="E393" s="886" t="str">
        <f ca="1">IF(AND(Referral_Error="",'General Basis'!J106=""),IFERROR(E316/(1-Gross_Loading),"NA"),"Refer to RGA")</f>
        <v>NA</v>
      </c>
      <c r="F393" s="885" t="str">
        <f t="shared" si="58"/>
        <v/>
      </c>
      <c r="G393" s="886" t="str">
        <f ca="1">IF(AND(Referral_Error="",'General Basis'!J106=""),IFERROR(G316/(1-Gross_Loading),"NA"),"Refer to RGA")</f>
        <v>NA</v>
      </c>
      <c r="H393" s="886" t="str">
        <f ca="1">IF(AND(Referral_Error="",'General Basis'!J106=""),IFERROR(H316/(1-Gross_Loading),"NA"),"Refer to RGA")</f>
        <v>NA</v>
      </c>
      <c r="I393" s="885" t="str">
        <f t="shared" si="59"/>
        <v/>
      </c>
      <c r="J393" s="886" t="str">
        <f ca="1">IF(AND(Referral_Error="",'General Basis'!J106=""),IFERROR(J316/(1-Gross_Loading),"NA"),"Refer to RGA")</f>
        <v>NA</v>
      </c>
      <c r="K393" s="886" t="str">
        <f ca="1">IF(AND(Referral_Error="",'General Basis'!J106=""),IFERROR(K316/(1-Gross_Loading),"NA"),"Refer to RGA")</f>
        <v>NA</v>
      </c>
      <c r="L393" s="885" t="str">
        <f t="shared" si="60"/>
        <v/>
      </c>
      <c r="M393" s="886" t="str">
        <f ca="1">IF(AND(Referral_Error="",'General Basis'!J106=""),IFERROR(M316/(1-Gross_Loading),"NA"),"Refer to RGA")</f>
        <v>NA</v>
      </c>
      <c r="N393" s="886" t="str">
        <f ca="1">IF(AND(Referral_Error="",'General Basis'!J106=""),IFERROR(N316/(1-Gross_Loading),"NA"),"Refer to RGA")</f>
        <v>NA</v>
      </c>
    </row>
    <row r="394" spans="2:14" x14ac:dyDescent="0.25">
      <c r="B394" s="1447"/>
      <c r="C394" s="885" t="str">
        <f t="shared" si="57"/>
        <v/>
      </c>
      <c r="D394" s="886" t="str">
        <f ca="1">IF(AND(Referral_Error="",'General Basis'!J106=""),IFERROR(D317/(1-Gross_Loading),"NA"),"Refer to RGA")</f>
        <v>NA</v>
      </c>
      <c r="E394" s="886" t="str">
        <f ca="1">IF(AND(Referral_Error="",'General Basis'!J106=""),IFERROR(E317/(1-Gross_Loading),"NA"),"Refer to RGA")</f>
        <v>NA</v>
      </c>
      <c r="F394" s="885" t="str">
        <f t="shared" si="58"/>
        <v/>
      </c>
      <c r="G394" s="886" t="str">
        <f ca="1">IF(AND(Referral_Error="",'General Basis'!J106=""),IFERROR(G317/(1-Gross_Loading),"NA"),"Refer to RGA")</f>
        <v>NA</v>
      </c>
      <c r="H394" s="886" t="str">
        <f ca="1">IF(AND(Referral_Error="",'General Basis'!J106=""),IFERROR(H317/(1-Gross_Loading),"NA"),"Refer to RGA")</f>
        <v>NA</v>
      </c>
      <c r="I394" s="885" t="str">
        <f t="shared" si="59"/>
        <v/>
      </c>
      <c r="J394" s="886" t="str">
        <f ca="1">IF(AND(Referral_Error="",'General Basis'!J106=""),IFERROR(J317/(1-Gross_Loading),"NA"),"Refer to RGA")</f>
        <v>NA</v>
      </c>
      <c r="K394" s="886" t="str">
        <f ca="1">IF(AND(Referral_Error="",'General Basis'!J106=""),IFERROR(K317/(1-Gross_Loading),"NA"),"Refer to RGA")</f>
        <v>NA</v>
      </c>
      <c r="L394" s="885" t="str">
        <f t="shared" si="60"/>
        <v/>
      </c>
      <c r="M394" s="886" t="str">
        <f ca="1">IF(AND(Referral_Error="",'General Basis'!J106=""),IFERROR(M317/(1-Gross_Loading),"NA"),"Refer to RGA")</f>
        <v>NA</v>
      </c>
      <c r="N394" s="886" t="str">
        <f ca="1">IF(AND(Referral_Error="",'General Basis'!J106=""),IFERROR(N317/(1-Gross_Loading),"NA"),"Refer to RGA")</f>
        <v>NA</v>
      </c>
    </row>
    <row r="395" spans="2:14" x14ac:dyDescent="0.25">
      <c r="B395" s="941" t="s">
        <v>1064</v>
      </c>
      <c r="C395" s="832" t="str">
        <f>IF(C381="","",IF(C381="Abu Dhabi","18-50","18-45"))</f>
        <v/>
      </c>
      <c r="D395" s="833" t="str">
        <f ca="1">IF(AND(Referral_Error="",'General Basis'!J106=""),IFERROR(D318/(1-Gross_Loading),"NA"),"Refer to RGA")</f>
        <v>NA</v>
      </c>
      <c r="E395" s="890" t="str">
        <f ca="1">IF(AND(Referral_Error="",'General Basis'!J106=""),IFERROR(E318/(1-Gross_Loading),"NA"),"Refer to RGA")</f>
        <v>NA</v>
      </c>
      <c r="F395" s="832" t="str">
        <f>IF(F381="","",IF(F381="Abu Dhabi","18-50","18-45"))</f>
        <v/>
      </c>
      <c r="G395" s="833" t="str">
        <f ca="1">IF(AND(Referral_Error="",'General Basis'!J106=""),IFERROR(G318/(1-Gross_Loading),"NA"),"Refer to RGA")</f>
        <v>NA</v>
      </c>
      <c r="H395" s="890" t="str">
        <f ca="1">IF(AND(Referral_Error="",'General Basis'!J106=""),IFERROR(H318/(1-Gross_Loading),"NA"),"Refer to RGA")</f>
        <v>NA</v>
      </c>
      <c r="I395" s="832" t="str">
        <f>IF(I381="","",IF(I381="Abu Dhabi","18-50","18-45"))</f>
        <v/>
      </c>
      <c r="J395" s="833" t="str">
        <f ca="1">IF(AND(Referral_Error="",'General Basis'!J106=""),IFERROR(J318/(1-Gross_Loading),"NA"),"Refer to RGA")</f>
        <v>NA</v>
      </c>
      <c r="K395" s="890" t="str">
        <f ca="1">IF(AND(Referral_Error="",'General Basis'!J106=""),IFERROR(K318/(1-Gross_Loading),"NA"),"Refer to RGA")</f>
        <v>NA</v>
      </c>
      <c r="L395" s="832" t="str">
        <f>IF(L381="","",IF(L381="Abu Dhabi","18-50","18-45"))</f>
        <v/>
      </c>
      <c r="M395" s="833" t="str">
        <f ca="1">IF(AND(Referral_Error="",'General Basis'!J106=""),IFERROR(M318/(1-Gross_Loading),"NA"),"Refer to RGA")</f>
        <v>NA</v>
      </c>
      <c r="N395" s="890" t="str">
        <f ca="1">IF(AND(Referral_Error="",'General Basis'!J106=""),IFERROR(N318/(1-Gross_Loading),"NA"),"Refer to RGA")</f>
        <v>NA</v>
      </c>
    </row>
    <row r="396" spans="2:14" ht="32.25" x14ac:dyDescent="0.25">
      <c r="B396" s="887" t="s">
        <v>1002</v>
      </c>
      <c r="C396" s="983">
        <f ca="1">SUMPRODUCT(D228:E239,D383:E394)</f>
        <v>0</v>
      </c>
      <c r="D396" s="984" t="s">
        <v>1098</v>
      </c>
      <c r="E396" s="985">
        <f>IFERROR(E319/(1-Gross_Loading),0)</f>
        <v>0</v>
      </c>
      <c r="F396" s="983">
        <f ca="1">SUMPRODUCT(G228:H239,G383:H394)</f>
        <v>0</v>
      </c>
      <c r="G396" s="984" t="s">
        <v>1098</v>
      </c>
      <c r="H396" s="985">
        <f>IFERROR(H319/(1-Gross_Loading),0)</f>
        <v>0</v>
      </c>
      <c r="I396" s="983">
        <f ca="1">SUMPRODUCT(J228:K239,J383:K394)</f>
        <v>0</v>
      </c>
      <c r="J396" s="984" t="s">
        <v>1098</v>
      </c>
      <c r="K396" s="985">
        <f>IFERROR(K319/(1-Gross_Loading),0)</f>
        <v>0</v>
      </c>
      <c r="L396" s="983">
        <f ca="1">SUMPRODUCT(M228:N239,M383:N394)</f>
        <v>0</v>
      </c>
      <c r="M396" s="984" t="s">
        <v>1098</v>
      </c>
      <c r="N396" s="985">
        <f>IFERROR(N319/(1-Gross_Loading),0)</f>
        <v>0</v>
      </c>
    </row>
    <row r="397" spans="2:14" ht="19.5" x14ac:dyDescent="0.25">
      <c r="B397" s="841" t="s">
        <v>1008</v>
      </c>
    </row>
    <row r="398" spans="2:14" ht="19.5" x14ac:dyDescent="0.25">
      <c r="B398" s="841"/>
    </row>
    <row r="399" spans="2:14" x14ac:dyDescent="0.25">
      <c r="B399" s="593"/>
      <c r="F399" s="840"/>
      <c r="G399" s="840"/>
      <c r="H399" s="840"/>
      <c r="I399" s="840"/>
      <c r="J399" s="840"/>
      <c r="K399" s="840"/>
      <c r="L399" s="840"/>
      <c r="M399" s="840"/>
      <c r="N399" s="840"/>
    </row>
    <row r="400" spans="2:14" hidden="1" outlineLevel="1" x14ac:dyDescent="0.25">
      <c r="B400" s="593" t="s">
        <v>999</v>
      </c>
      <c r="F400" s="840">
        <f ca="1">C345+C379</f>
        <v>41149.789382239374</v>
      </c>
      <c r="G400" s="840">
        <f ca="1">F345+F379</f>
        <v>0</v>
      </c>
      <c r="H400" s="840">
        <f ca="1">I345+I379</f>
        <v>0</v>
      </c>
      <c r="I400" s="840">
        <f ca="1">L345+L379</f>
        <v>0</v>
      </c>
      <c r="J400" s="840">
        <f ca="1">C362+C396</f>
        <v>0</v>
      </c>
      <c r="K400" s="840">
        <f ca="1">F362+F396</f>
        <v>0</v>
      </c>
      <c r="L400" s="840">
        <f ca="1">I362+I396</f>
        <v>0</v>
      </c>
      <c r="M400" s="840">
        <f ca="1">L362+L396</f>
        <v>0</v>
      </c>
      <c r="N400" s="840">
        <f ca="1">SUM(F400:M400)</f>
        <v>41149.789382239374</v>
      </c>
    </row>
    <row r="401" spans="2:14" hidden="1" outlineLevel="1" x14ac:dyDescent="0.25">
      <c r="B401" s="433" t="s">
        <v>1000</v>
      </c>
      <c r="F401" s="813">
        <f t="shared" ref="F401:N401" ca="1" si="61">F140-F400</f>
        <v>0</v>
      </c>
      <c r="G401" s="813" t="e">
        <f t="shared" ca="1" si="61"/>
        <v>#VALUE!</v>
      </c>
      <c r="H401" s="813" t="e">
        <f t="shared" ca="1" si="61"/>
        <v>#VALUE!</v>
      </c>
      <c r="I401" s="813" t="e">
        <f t="shared" ca="1" si="61"/>
        <v>#VALUE!</v>
      </c>
      <c r="J401" s="813" t="e">
        <f t="shared" ca="1" si="61"/>
        <v>#VALUE!</v>
      </c>
      <c r="K401" s="813" t="e">
        <f t="shared" ca="1" si="61"/>
        <v>#VALUE!</v>
      </c>
      <c r="L401" s="813" t="e">
        <f t="shared" ca="1" si="61"/>
        <v>#VALUE!</v>
      </c>
      <c r="M401" s="813" t="e">
        <f t="shared" ca="1" si="61"/>
        <v>#VALUE!</v>
      </c>
      <c r="N401" s="813">
        <f t="shared" ca="1" si="61"/>
        <v>0</v>
      </c>
    </row>
    <row r="402" spans="2:14" hidden="1" collapsed="1" x14ac:dyDescent="0.25"/>
  </sheetData>
  <sheetProtection algorithmName="SHA-512" hashValue="Zcpup8nTvnRm2UiVNkdafOatwKATuvSaKx/stmr4K6V/+pOSXry1rZWmZKmSyfc6NL0o0FsDEG9vZM81Jb17uw==" saltValue="+FBDVPo5demJR6TjWM0GNg==" spinCount="100000" sheet="1" objects="1" scenarios="1"/>
  <mergeCells count="135">
    <mergeCell ref="B144:E144"/>
    <mergeCell ref="B142:E142"/>
    <mergeCell ref="B145:E145"/>
    <mergeCell ref="B118:E118"/>
    <mergeCell ref="B119:E119"/>
    <mergeCell ref="B138:E138"/>
    <mergeCell ref="B139:E139"/>
    <mergeCell ref="B140:E140"/>
    <mergeCell ref="B381:B394"/>
    <mergeCell ref="B152:E152"/>
    <mergeCell ref="B250:N250"/>
    <mergeCell ref="B175:N175"/>
    <mergeCell ref="B178:B191"/>
    <mergeCell ref="B194:B207"/>
    <mergeCell ref="B210:B223"/>
    <mergeCell ref="B226:B239"/>
    <mergeCell ref="B253:B266"/>
    <mergeCell ref="B155:E155"/>
    <mergeCell ref="B304:B317"/>
    <mergeCell ref="B327:N327"/>
    <mergeCell ref="B330:B343"/>
    <mergeCell ref="B242:B247"/>
    <mergeCell ref="B347:B360"/>
    <mergeCell ref="B364:B377"/>
    <mergeCell ref="B156:E156"/>
    <mergeCell ref="B270:B283"/>
    <mergeCell ref="B287:B300"/>
    <mergeCell ref="B80:F80"/>
    <mergeCell ref="B150:E150"/>
    <mergeCell ref="B151:E151"/>
    <mergeCell ref="B128:E128"/>
    <mergeCell ref="B141:E141"/>
    <mergeCell ref="B143:E143"/>
    <mergeCell ref="B136:E136"/>
    <mergeCell ref="B147:E147"/>
    <mergeCell ref="B148:E148"/>
    <mergeCell ref="B149:E149"/>
    <mergeCell ref="B124:E124"/>
    <mergeCell ref="B125:E125"/>
    <mergeCell ref="B126:E126"/>
    <mergeCell ref="B120:E120"/>
    <mergeCell ref="B122:E122"/>
    <mergeCell ref="B106:F106"/>
    <mergeCell ref="B108:F108"/>
    <mergeCell ref="B100:F100"/>
    <mergeCell ref="B101:F101"/>
    <mergeCell ref="B102:F102"/>
    <mergeCell ref="B99:F99"/>
    <mergeCell ref="B62:F62"/>
    <mergeCell ref="B63:F63"/>
    <mergeCell ref="B64:F64"/>
    <mergeCell ref="B81:F81"/>
    <mergeCell ref="B72:F72"/>
    <mergeCell ref="B76:F76"/>
    <mergeCell ref="B68:F68"/>
    <mergeCell ref="B69:F69"/>
    <mergeCell ref="B95:F95"/>
    <mergeCell ref="B93:F93"/>
    <mergeCell ref="B94:F94"/>
    <mergeCell ref="B91:F91"/>
    <mergeCell ref="B92:F92"/>
    <mergeCell ref="B65:F65"/>
    <mergeCell ref="B77:F77"/>
    <mergeCell ref="B123:E123"/>
    <mergeCell ref="B121:E121"/>
    <mergeCell ref="B96:F96"/>
    <mergeCell ref="B97:F97"/>
    <mergeCell ref="B66:F66"/>
    <mergeCell ref="B84:F84"/>
    <mergeCell ref="B113:F113"/>
    <mergeCell ref="B127:E127"/>
    <mergeCell ref="C2:G2"/>
    <mergeCell ref="C5:G5"/>
    <mergeCell ref="C6:G6"/>
    <mergeCell ref="C7:G7"/>
    <mergeCell ref="C8:G8"/>
    <mergeCell ref="C9:G9"/>
    <mergeCell ref="C14:G14"/>
    <mergeCell ref="C10:G10"/>
    <mergeCell ref="C4:G4"/>
    <mergeCell ref="C3:G3"/>
    <mergeCell ref="B58:F58"/>
    <mergeCell ref="B55:F55"/>
    <mergeCell ref="B74:F74"/>
    <mergeCell ref="B88:F88"/>
    <mergeCell ref="B89:F89"/>
    <mergeCell ref="B90:F90"/>
    <mergeCell ref="B13:B20"/>
    <mergeCell ref="B87:F87"/>
    <mergeCell ref="B42:F42"/>
    <mergeCell ref="B39:F39"/>
    <mergeCell ref="B51:F51"/>
    <mergeCell ref="B40:F40"/>
    <mergeCell ref="B41:F41"/>
    <mergeCell ref="B43:F43"/>
    <mergeCell ref="B44:F44"/>
    <mergeCell ref="B45:F45"/>
    <mergeCell ref="B46:F46"/>
    <mergeCell ref="B47:F47"/>
    <mergeCell ref="B86:F86"/>
    <mergeCell ref="B75:F75"/>
    <mergeCell ref="B73:F73"/>
    <mergeCell ref="B34:B37"/>
    <mergeCell ref="B29:B30"/>
    <mergeCell ref="B25:B26"/>
    <mergeCell ref="B59:F59"/>
    <mergeCell ref="B60:F60"/>
    <mergeCell ref="B61:F61"/>
    <mergeCell ref="C26:N26"/>
    <mergeCell ref="B27:B28"/>
    <mergeCell ref="C34:M34"/>
    <mergeCell ref="C31:N31"/>
    <mergeCell ref="C32:N32"/>
    <mergeCell ref="C37:N37"/>
    <mergeCell ref="B146:E146"/>
    <mergeCell ref="B109:F109"/>
    <mergeCell ref="C33:N33"/>
    <mergeCell ref="B117:E117"/>
    <mergeCell ref="B104:F104"/>
    <mergeCell ref="B105:F105"/>
    <mergeCell ref="B85:F85"/>
    <mergeCell ref="B70:F70"/>
    <mergeCell ref="B71:F71"/>
    <mergeCell ref="B52:F52"/>
    <mergeCell ref="B53:F53"/>
    <mergeCell ref="B54:F54"/>
    <mergeCell ref="B56:F56"/>
    <mergeCell ref="B57:F57"/>
    <mergeCell ref="B48:F48"/>
    <mergeCell ref="B82:F82"/>
    <mergeCell ref="B83:F83"/>
    <mergeCell ref="B135:E135"/>
    <mergeCell ref="B129:E129"/>
    <mergeCell ref="B130:E130"/>
    <mergeCell ref="B131:E131"/>
  </mergeCells>
  <pageMargins left="0.25" right="0.25" top="0.75" bottom="0.75" header="0.3" footer="0.3"/>
  <pageSetup paperSize="9" scale="29" orientation="landscape" r:id="rId1"/>
  <rowBreaks count="5" manualBreakCount="5">
    <brk id="48" max="10" man="1"/>
    <brk id="88" max="13" man="1"/>
    <brk id="174" max="16383" man="1"/>
    <brk id="249" max="16383" man="1"/>
    <brk id="326"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FF0000"/>
  </sheetPr>
  <dimension ref="A1:S351"/>
  <sheetViews>
    <sheetView topLeftCell="C1" zoomScale="60" zoomScaleNormal="60" workbookViewId="0">
      <selection activeCell="N38" sqref="N38"/>
    </sheetView>
  </sheetViews>
  <sheetFormatPr defaultColWidth="9.140625" defaultRowHeight="15" zeroHeight="1" x14ac:dyDescent="0.25"/>
  <cols>
    <col min="1" max="1" width="36.140625" style="467" customWidth="1"/>
    <col min="2" max="2" width="24.85546875" style="467" bestFit="1" customWidth="1"/>
    <col min="3" max="3" width="31.28515625" style="467" customWidth="1"/>
    <col min="4" max="4" width="30.7109375" style="467" customWidth="1"/>
    <col min="5" max="5" width="23.28515625" style="467" customWidth="1"/>
    <col min="6" max="6" width="20.28515625" style="467" customWidth="1"/>
    <col min="7" max="7" width="32.140625" style="467" customWidth="1"/>
    <col min="8" max="8" width="20.42578125" style="467" customWidth="1"/>
    <col min="9" max="9" width="23.28515625" style="467" customWidth="1"/>
    <col min="10" max="10" width="23" style="467" customWidth="1"/>
    <col min="11" max="11" width="22.7109375" style="467" customWidth="1"/>
    <col min="12" max="12" width="25.42578125" style="467" customWidth="1"/>
    <col min="13" max="13" width="26.85546875" style="467" bestFit="1" customWidth="1"/>
    <col min="14" max="14" width="14.7109375" style="467" bestFit="1" customWidth="1"/>
    <col min="15" max="15" width="31.42578125" style="467" customWidth="1"/>
    <col min="16" max="17" width="26.28515625" style="467" customWidth="1"/>
    <col min="18" max="18" width="43.42578125" style="467" customWidth="1"/>
    <col min="19" max="19" width="12" style="467" customWidth="1"/>
    <col min="20" max="20" width="15.28515625" style="467" bestFit="1" customWidth="1"/>
    <col min="21" max="21" width="10.7109375" style="467" bestFit="1" customWidth="1"/>
    <col min="22" max="22" width="28.42578125" style="467" bestFit="1" customWidth="1"/>
    <col min="23" max="23" width="21" style="467" bestFit="1" customWidth="1"/>
    <col min="24" max="24" width="11.85546875" style="467" bestFit="1" customWidth="1"/>
    <col min="25" max="25" width="12" style="467" customWidth="1"/>
    <col min="26" max="26" width="15.85546875" style="467" bestFit="1" customWidth="1"/>
    <col min="27" max="27" width="11.85546875" style="467" bestFit="1" customWidth="1"/>
    <col min="28" max="28" width="12" style="467" customWidth="1"/>
    <col min="29" max="29" width="15.85546875" style="467" bestFit="1" customWidth="1"/>
    <col min="30" max="30" width="11.85546875" style="467" bestFit="1" customWidth="1"/>
    <col min="31" max="31" width="12" style="467" customWidth="1"/>
    <col min="32" max="32" width="15.85546875" style="467" bestFit="1" customWidth="1"/>
    <col min="33" max="33" width="11.85546875" style="467" bestFit="1" customWidth="1"/>
    <col min="34" max="34" width="12" style="467" customWidth="1"/>
    <col min="35" max="35" width="15.85546875" style="467" bestFit="1" customWidth="1"/>
    <col min="36" max="36" width="11.85546875" style="467" bestFit="1" customWidth="1"/>
    <col min="37" max="16384" width="9.140625" style="467"/>
  </cols>
  <sheetData>
    <row r="1" spans="1:19" x14ac:dyDescent="0.25">
      <c r="A1" s="866" t="s">
        <v>1090</v>
      </c>
      <c r="B1" s="866" t="s">
        <v>1091</v>
      </c>
      <c r="C1" s="433" t="str">
        <f>" QIC-HEALTHX- UAE - QS - "&amp;IF('Experience Rating'!H4=1,"NON-SME","SME ")&amp;" - "&amp;'General Information'!D8&amp;" - UW Review"</f>
        <v xml:space="preserve"> QIC-HEALTHX- UAE - QS - SME  - Al Mizan Realty Developers LLC - UW Review</v>
      </c>
      <c r="D1" s="433"/>
      <c r="E1" s="433"/>
      <c r="F1" s="433"/>
      <c r="G1" s="433"/>
      <c r="H1" s="593" t="s">
        <v>1385</v>
      </c>
      <c r="I1" s="1188">
        <f ca="1">65%*'TOB &amp; Rates'!$N$122/3.672</f>
        <v>5098.8981941500315</v>
      </c>
      <c r="J1" s="433"/>
      <c r="K1" s="433"/>
      <c r="L1" s="433"/>
      <c r="M1" s="433"/>
      <c r="N1" s="433"/>
      <c r="O1" s="433"/>
      <c r="P1" s="433"/>
      <c r="Q1" s="433"/>
      <c r="R1" s="433"/>
      <c r="S1" s="433"/>
    </row>
    <row r="2" spans="1:19" x14ac:dyDescent="0.25">
      <c r="A2" s="433"/>
      <c r="B2" s="866" t="s">
        <v>1092</v>
      </c>
      <c r="C2" s="433" t="str">
        <f>" QIC-HEALTHX- UAE - QS - "&amp;IF('Experience Rating'!H4=1,"NON-SME","SME ")&amp;" - "&amp;'General Information'!D8&amp;" - Pricing Review"</f>
        <v xml:space="preserve"> QIC-HEALTHX- UAE - QS - SME  - Al Mizan Realty Developers LLC - Pricing Review</v>
      </c>
      <c r="D2" s="433"/>
      <c r="E2" s="433"/>
      <c r="F2" s="433"/>
      <c r="G2" s="433"/>
      <c r="H2" s="433"/>
      <c r="I2" s="433"/>
      <c r="J2" s="433"/>
      <c r="K2" s="433"/>
      <c r="L2" s="433"/>
      <c r="M2" s="433"/>
      <c r="N2" s="433"/>
      <c r="O2" s="433"/>
      <c r="P2" s="433"/>
      <c r="Q2" s="433"/>
      <c r="R2" s="433"/>
      <c r="S2" s="433"/>
    </row>
    <row r="3" spans="1:19" x14ac:dyDescent="0.25">
      <c r="A3" s="593" t="s">
        <v>1216</v>
      </c>
      <c r="B3" s="433"/>
      <c r="C3" s="433"/>
      <c r="D3" s="433"/>
      <c r="E3" s="433"/>
      <c r="F3" s="866"/>
      <c r="G3" s="433"/>
      <c r="H3" s="433"/>
      <c r="I3" s="433"/>
      <c r="J3" s="433"/>
      <c r="K3" s="433"/>
      <c r="L3" s="433"/>
      <c r="M3" s="433"/>
      <c r="N3" s="433"/>
      <c r="O3" s="433"/>
      <c r="P3" s="433"/>
      <c r="Q3" s="433"/>
      <c r="R3" s="433"/>
      <c r="S3" s="433"/>
    </row>
    <row r="4" spans="1:19" x14ac:dyDescent="0.25">
      <c r="A4" s="1061" t="s">
        <v>942</v>
      </c>
      <c r="B4" s="1061" t="s">
        <v>942</v>
      </c>
      <c r="C4" s="1061" t="s">
        <v>942</v>
      </c>
      <c r="D4" s="1061" t="s">
        <v>942</v>
      </c>
      <c r="E4" s="1061" t="s">
        <v>942</v>
      </c>
      <c r="F4" s="1061" t="s">
        <v>942</v>
      </c>
      <c r="G4" s="1061" t="s">
        <v>942</v>
      </c>
      <c r="H4" s="1061" t="s">
        <v>942</v>
      </c>
      <c r="I4" s="1058" t="s">
        <v>1222</v>
      </c>
      <c r="J4" s="1058" t="s">
        <v>1222</v>
      </c>
      <c r="K4" s="1058" t="s">
        <v>1222</v>
      </c>
      <c r="L4" s="1058" t="s">
        <v>1222</v>
      </c>
      <c r="M4" s="1058" t="s">
        <v>1222</v>
      </c>
      <c r="N4" s="1058" t="s">
        <v>1222</v>
      </c>
      <c r="O4" s="1058" t="s">
        <v>1222</v>
      </c>
      <c r="P4" s="1058" t="s">
        <v>1222</v>
      </c>
      <c r="Q4" s="1058" t="s">
        <v>1222</v>
      </c>
      <c r="R4" s="1061" t="s">
        <v>942</v>
      </c>
      <c r="S4" s="433"/>
    </row>
    <row r="5" spans="1:19" ht="31.5" x14ac:dyDescent="0.25">
      <c r="A5" s="1056" t="s">
        <v>44</v>
      </c>
      <c r="B5" s="1057" t="s">
        <v>45</v>
      </c>
      <c r="C5" s="1056" t="s">
        <v>1221</v>
      </c>
      <c r="D5" s="1056" t="s">
        <v>47</v>
      </c>
      <c r="E5" s="1056" t="s">
        <v>50</v>
      </c>
      <c r="F5" s="1056" t="s">
        <v>1181</v>
      </c>
      <c r="G5" s="1056" t="s">
        <v>1193</v>
      </c>
      <c r="H5" s="1056" t="s">
        <v>1194</v>
      </c>
      <c r="I5" s="1056" t="s">
        <v>49</v>
      </c>
      <c r="J5" s="1056" t="s">
        <v>1191</v>
      </c>
      <c r="K5" s="1056" t="s">
        <v>1217</v>
      </c>
      <c r="L5" s="1056" t="s">
        <v>941</v>
      </c>
      <c r="M5" s="1056" t="s">
        <v>33</v>
      </c>
      <c r="N5" s="1056" t="s">
        <v>104</v>
      </c>
      <c r="O5" s="1056" t="s">
        <v>1224</v>
      </c>
      <c r="P5" s="1056" t="s">
        <v>1223</v>
      </c>
      <c r="Q5" s="1056" t="s">
        <v>285</v>
      </c>
      <c r="R5" s="1056" t="s">
        <v>1225</v>
      </c>
      <c r="S5" s="433"/>
    </row>
    <row r="6" spans="1:19" x14ac:dyDescent="0.25">
      <c r="A6" s="1055"/>
      <c r="B6" s="544"/>
      <c r="C6" s="1062"/>
      <c r="D6" s="544"/>
      <c r="E6" s="544"/>
      <c r="F6" s="471"/>
      <c r="G6" s="1080"/>
      <c r="H6" s="1081"/>
      <c r="I6" s="1059" t="str">
        <f>IF(C6="","",MAX(0,ROUNDUP(IF($A6="","",((YEAR('Member Data'!$F$3)-YEAR($A6))+(MONTH('Member Data'!$F$3)-MONTH($A6))/12+(DAY('Member Data'!$F$3)-DAY($A6))/(DATE(YEAR('Member Data'!$F$3),12,31)-DATE(YEAR('Member Data'!$F$3),1,1)+1))),0)))</f>
        <v/>
      </c>
      <c r="J6" s="1059" t="str">
        <f t="shared" ref="J6:J20" si="0">IF(C6="","",IFERROR(ROUND(H6*100*100/G6^2,0),0))</f>
        <v/>
      </c>
      <c r="K6" s="1059" t="str">
        <f>IF(C6="","",VLOOKUP($C6,'Age Banded Rating'!$A$303:$D$310,4,0))</f>
        <v/>
      </c>
      <c r="L6" s="1059" t="str" cm="1">
        <f t="array" ref="L6">IF(C6="","",IF(K6="Abu Dhabi",_xlfn.IFS(I6&lt;18,'General Basis'!$C$39,I6&lt;41,'General Basis'!$C$40,I6&lt;60,'General Basis'!$C$41,I6&lt;65,'General Basis'!$C$42,I6&lt;100,'General Basis'!$C$43),_xlfn.IFS(I6&lt;11,'General Basis'!$B$39,I6&lt;18,'General Basis'!$B$40,I6&lt;26,'General Basis'!$B$41,I6&lt;31,'General Basis'!$B$42,I6&lt;36,'General Basis'!$B$43,I6&lt;41,'General Basis'!$B$44,I6&lt;46,'General Basis'!$B$45,I6&lt;51,'General Basis'!$B$46,I6&lt;56,'General Basis'!$B$47,I6&lt;60,'General Basis'!$B$48,I6&lt;65,'General Basis'!$B$49,I6&lt;100,'General Basis'!$B$50)))</f>
        <v/>
      </c>
      <c r="M6" s="1059" t="str">
        <f>IF(C6="","",VLOOKUP($C6,'Age Banded Rating'!$A$303:$D$310,3,0))</f>
        <v/>
      </c>
      <c r="N6" s="1060" t="str">
        <f>IF(C6="","",VLOOKUP($C6,'Age Banded Rating'!$A$303:$D$310,2,0))</f>
        <v/>
      </c>
      <c r="O6" s="1079" t="str">
        <f t="shared" ref="O6:O20" si="1">IF(C6="","",IF(AND(D6="Principal",C6="A"),VLOOKUP(L6,Age_Band_NRP_Emp_CatA,IF(B6="M",2,3),0),IF(AND(D6="Principal",C6="B"),VLOOKUP(L6,Age_Band_NRP_Emp_CatB,IF(B6="M",2,3),0),IF(AND(D6="Principal",C6="C"),VLOOKUP(L6,Age_Band_NRP_Emp_CatC,IF(B6="M",2,3),0),IF(AND(D6="Principal",C6="D"),VLOOKUP(L6,Age_Band_NRP_Emp_CatD,IF(B6="M",2,3),0),IF(AND(D6="Principal",C6="E"),VLOOKUP(L6,Age_Band_NRP_Emp_CatE,IF(B6="M",2,3),0),IF(AND(D6="Principal",C6="F"),VLOOKUP(L6,Age_Band_NRP_Emp_CatF,IF(B6="M",2,3),0),IF(AND(D6="Principal",C6="G"),VLOOKUP(L6,Age_Band_NRP_Emp_CatG,IF(B6="M",2,3),0),IF(AND(D6="Principal",C6="H"),VLOOKUP(L6,Age_Band_NRP_Emp_CatH,IF(B6="M",2,3),0),IF(C6="A",VLOOKUP(L6,Age_Band_NRP_Dep_CatA,IF(B6="M",2,3),0),IF(C6="B",VLOOKUP(L6,Age_Band_NRP_Dep_CatB,IF(B6="M",2,3),0),IF(C6="C",VLOOKUP(L6,Age_Band_NRP_Dep_CatC,IF(B6="M",2,3),0),IF(C6="D",VLOOKUP(L6,Age_Band_NRP_Dep_CatD,IF(B6="M",2,3),0),IF(C6="E",VLOOKUP(L6,Age_Band_NRP_Dep_CatE,IF(B6="M",2,3),0),IF(C6="F",VLOOKUP(L6,Age_Band_NRP_Dep_CatF,IF(B6="M",2,3),0),IF(C6="G",VLOOKUP(L6,Age_Band_NRP_Dep_CatG,IF(B6="M",2,3),0),IF(C6="H",VLOOKUP(L6,Age_Band_NRP_Dep_CatH,IF(B6="M",2,3),0),Refer)))))))))))))))))</f>
        <v/>
      </c>
      <c r="P6" s="1079" t="str">
        <f>IF(C6="","",IF(AND(B6="F",E6="Married",IF(K6="Abu Dhabi",I6&lt;=50,I6&lt;=45),I6&gt;=18),VLOOKUP(C6,'Age Banded Rating'!$A$303:$F$310,5,0),""))</f>
        <v/>
      </c>
      <c r="Q6" s="1079" t="str">
        <f>IF(C6="","",O6+IFERROR(P6,0))</f>
        <v/>
      </c>
      <c r="R6" s="544"/>
      <c r="S6" s="433"/>
    </row>
    <row r="7" spans="1:19" x14ac:dyDescent="0.25">
      <c r="A7" s="1055"/>
      <c r="B7" s="544"/>
      <c r="C7" s="1062"/>
      <c r="D7" s="544"/>
      <c r="E7" s="544"/>
      <c r="F7" s="471"/>
      <c r="G7" s="1080"/>
      <c r="H7" s="1081"/>
      <c r="I7" s="1059" t="str">
        <f>IF(C7="","",MAX(0,ROUNDUP(IF($A7="","",((YEAR('Member Data'!$F$3)-YEAR($A7))+(MONTH('Member Data'!$F$3)-MONTH($A7))/12+(DAY('Member Data'!$F$3)-DAY($A7))/(DATE(YEAR('Member Data'!$F$3),12,31)-DATE(YEAR('Member Data'!$F$3),1,1)+1))),0)))</f>
        <v/>
      </c>
      <c r="J7" s="1059" t="str">
        <f t="shared" si="0"/>
        <v/>
      </c>
      <c r="K7" s="1059" t="str">
        <f>IF(C7="","",VLOOKUP($C7,'Age Banded Rating'!$A$303:$D$310,4,0))</f>
        <v/>
      </c>
      <c r="L7" s="1059" t="str" cm="1">
        <f t="array" ref="L7">IF(C7="","",IF(K7="Abu Dhabi",_xlfn.IFS(I7&lt;18,'General Basis'!$C$39,I7&lt;41,'General Basis'!$C$40,I7&lt;60,'General Basis'!$C$41,I7&lt;65,'General Basis'!$C$42,I7&lt;100,'General Basis'!$C$43),_xlfn.IFS(I7&lt;11,'General Basis'!$B$39,I7&lt;18,'General Basis'!$B$40,I7&lt;26,'General Basis'!$B$41,I7&lt;31,'General Basis'!$B$42,I7&lt;36,'General Basis'!$B$43,I7&lt;41,'General Basis'!$B$44,I7&lt;46,'General Basis'!$B$45,I7&lt;51,'General Basis'!$B$46,I7&lt;56,'General Basis'!$B$47,I7&lt;60,'General Basis'!$B$48,I7&lt;65,'General Basis'!$B$49,I7&lt;100,'General Basis'!$B$50)))</f>
        <v/>
      </c>
      <c r="M7" s="1059" t="str">
        <f>IF(C7="","",VLOOKUP($C7,'Age Banded Rating'!$A$303:$D$310,3,0))</f>
        <v/>
      </c>
      <c r="N7" s="1060" t="str">
        <f>IF(C7="","",VLOOKUP($C7,'Age Banded Rating'!$A$303:$D$310,2,0))</f>
        <v/>
      </c>
      <c r="O7" s="1079" t="str">
        <f t="shared" si="1"/>
        <v/>
      </c>
      <c r="P7" s="1079" t="str">
        <f>IF(C7="","",IF(AND(B7="F",E7="Married",IF(K7="Abu Dhabi",I7&lt;=50,I7&lt;=45),I7&gt;=18),VLOOKUP(C7,'Age Banded Rating'!$A$303:$F$310,5,0),""))</f>
        <v/>
      </c>
      <c r="Q7" s="1079" t="str">
        <f t="shared" ref="Q7:Q20" si="2">IF(C7="","",O7+IFERROR(P7,0))</f>
        <v/>
      </c>
      <c r="R7" s="544"/>
      <c r="S7" s="433"/>
    </row>
    <row r="8" spans="1:19" x14ac:dyDescent="0.25">
      <c r="A8" s="1055"/>
      <c r="B8" s="544"/>
      <c r="C8" s="1062"/>
      <c r="D8" s="544"/>
      <c r="E8" s="544"/>
      <c r="F8" s="471"/>
      <c r="G8" s="1080"/>
      <c r="H8" s="1081"/>
      <c r="I8" s="1059" t="str">
        <f>IF(C8="","",MAX(0,ROUNDUP(IF($A8="","",((YEAR('Member Data'!$F$3)-YEAR($A8))+(MONTH('Member Data'!$F$3)-MONTH($A8))/12+(DAY('Member Data'!$F$3)-DAY($A8))/(DATE(YEAR('Member Data'!$F$3),12,31)-DATE(YEAR('Member Data'!$F$3),1,1)+1))),0)))</f>
        <v/>
      </c>
      <c r="J8" s="1059" t="str">
        <f t="shared" si="0"/>
        <v/>
      </c>
      <c r="K8" s="1059" t="str">
        <f>IF(C8="","",VLOOKUP($C8,'Age Banded Rating'!$A$303:$D$310,4,0))</f>
        <v/>
      </c>
      <c r="L8" s="1059" t="str" cm="1">
        <f t="array" ref="L8">IF(C8="","",IF(K8="Abu Dhabi",_xlfn.IFS(I8&lt;18,'General Basis'!$C$39,I8&lt;41,'General Basis'!$C$40,I8&lt;60,'General Basis'!$C$41,I8&lt;65,'General Basis'!$C$42,I8&lt;100,'General Basis'!$C$43),_xlfn.IFS(I8&lt;11,'General Basis'!$B$39,I8&lt;18,'General Basis'!$B$40,I8&lt;26,'General Basis'!$B$41,I8&lt;31,'General Basis'!$B$42,I8&lt;36,'General Basis'!$B$43,I8&lt;41,'General Basis'!$B$44,I8&lt;46,'General Basis'!$B$45,I8&lt;51,'General Basis'!$B$46,I8&lt;56,'General Basis'!$B$47,I8&lt;60,'General Basis'!$B$48,I8&lt;65,'General Basis'!$B$49,I8&lt;100,'General Basis'!$B$50)))</f>
        <v/>
      </c>
      <c r="M8" s="1059" t="str">
        <f>IF(C8="","",VLOOKUP($C8,'Age Banded Rating'!$A$303:$D$310,3,0))</f>
        <v/>
      </c>
      <c r="N8" s="1060" t="str">
        <f>IF(C8="","",VLOOKUP($C8,'Age Banded Rating'!$A$303:$D$310,2,0))</f>
        <v/>
      </c>
      <c r="O8" s="1079" t="str">
        <f t="shared" si="1"/>
        <v/>
      </c>
      <c r="P8" s="1079" t="str">
        <f>IF(C8="","",IF(AND(B8="F",E8="Married",IF(K8="Abu Dhabi",I8&lt;=50,I8&lt;=45),I8&gt;=18),VLOOKUP(C8,'Age Banded Rating'!$A$303:$F$310,5,0),""))</f>
        <v/>
      </c>
      <c r="Q8" s="1079" t="str">
        <f t="shared" si="2"/>
        <v/>
      </c>
      <c r="R8" s="544"/>
      <c r="S8" s="433"/>
    </row>
    <row r="9" spans="1:19" x14ac:dyDescent="0.25">
      <c r="A9" s="1055"/>
      <c r="B9" s="544"/>
      <c r="C9" s="1062"/>
      <c r="D9" s="544"/>
      <c r="E9" s="544"/>
      <c r="F9" s="471"/>
      <c r="G9" s="1080"/>
      <c r="H9" s="1081"/>
      <c r="I9" s="1059" t="str">
        <f>IF(C9="","",MAX(0,ROUNDUP(IF($A9="","",((YEAR('Member Data'!$F$3)-YEAR($A9))+(MONTH('Member Data'!$F$3)-MONTH($A9))/12+(DAY('Member Data'!$F$3)-DAY($A9))/(DATE(YEAR('Member Data'!$F$3),12,31)-DATE(YEAR('Member Data'!$F$3),1,1)+1))),0)))</f>
        <v/>
      </c>
      <c r="J9" s="1059" t="str">
        <f t="shared" si="0"/>
        <v/>
      </c>
      <c r="K9" s="1059" t="str">
        <f>IF(C9="","",VLOOKUP($C9,'Age Banded Rating'!$A$303:$D$310,4,0))</f>
        <v/>
      </c>
      <c r="L9" s="1059" t="str" cm="1">
        <f t="array" ref="L9">IF(C9="","",IF(K9="Abu Dhabi",_xlfn.IFS(I9&lt;18,'General Basis'!$C$39,I9&lt;41,'General Basis'!$C$40,I9&lt;60,'General Basis'!$C$41,I9&lt;65,'General Basis'!$C$42,I9&lt;100,'General Basis'!$C$43),_xlfn.IFS(I9&lt;11,'General Basis'!$B$39,I9&lt;18,'General Basis'!$B$40,I9&lt;26,'General Basis'!$B$41,I9&lt;31,'General Basis'!$B$42,I9&lt;36,'General Basis'!$B$43,I9&lt;41,'General Basis'!$B$44,I9&lt;46,'General Basis'!$B$45,I9&lt;51,'General Basis'!$B$46,I9&lt;56,'General Basis'!$B$47,I9&lt;60,'General Basis'!$B$48,I9&lt;65,'General Basis'!$B$49,I9&lt;100,'General Basis'!$B$50)))</f>
        <v/>
      </c>
      <c r="M9" s="1059" t="str">
        <f>IF(C9="","",VLOOKUP($C9,'Age Banded Rating'!$A$303:$D$310,3,0))</f>
        <v/>
      </c>
      <c r="N9" s="1060" t="str">
        <f>IF(C9="","",VLOOKUP($C9,'Age Banded Rating'!$A$303:$D$310,2,0))</f>
        <v/>
      </c>
      <c r="O9" s="1079" t="str">
        <f t="shared" si="1"/>
        <v/>
      </c>
      <c r="P9" s="1079" t="str">
        <f>IF(C9="","",IF(AND(B9="F",E9="Married",IF(K9="Abu Dhabi",I9&lt;=50,I9&lt;=45),I9&gt;=18),VLOOKUP(C9,'Age Banded Rating'!$A$303:$F$310,5,0),""))</f>
        <v/>
      </c>
      <c r="Q9" s="1079" t="str">
        <f t="shared" si="2"/>
        <v/>
      </c>
      <c r="R9" s="544"/>
      <c r="S9" s="433"/>
    </row>
    <row r="10" spans="1:19" x14ac:dyDescent="0.25">
      <c r="A10" s="1055"/>
      <c r="B10" s="544"/>
      <c r="C10" s="1062"/>
      <c r="D10" s="544"/>
      <c r="E10" s="544"/>
      <c r="F10" s="471"/>
      <c r="G10" s="1080"/>
      <c r="H10" s="1081"/>
      <c r="I10" s="1059" t="str">
        <f>IF(C10="","",MAX(0,ROUNDUP(IF($A10="","",((YEAR('Member Data'!$F$3)-YEAR($A10))+(MONTH('Member Data'!$F$3)-MONTH($A10))/12+(DAY('Member Data'!$F$3)-DAY($A10))/(DATE(YEAR('Member Data'!$F$3),12,31)-DATE(YEAR('Member Data'!$F$3),1,1)+1))),0)))</f>
        <v/>
      </c>
      <c r="J10" s="1059" t="str">
        <f t="shared" si="0"/>
        <v/>
      </c>
      <c r="K10" s="1059" t="str">
        <f>IF(C10="","",VLOOKUP($C10,'Age Banded Rating'!$A$303:$D$310,4,0))</f>
        <v/>
      </c>
      <c r="L10" s="1059" t="str" cm="1">
        <f t="array" ref="L10">IF(C10="","",IF(K10="Abu Dhabi",_xlfn.IFS(I10&lt;18,'General Basis'!$C$39,I10&lt;41,'General Basis'!$C$40,I10&lt;60,'General Basis'!$C$41,I10&lt;65,'General Basis'!$C$42,I10&lt;100,'General Basis'!$C$43),_xlfn.IFS(I10&lt;11,'General Basis'!$B$39,I10&lt;18,'General Basis'!$B$40,I10&lt;26,'General Basis'!$B$41,I10&lt;31,'General Basis'!$B$42,I10&lt;36,'General Basis'!$B$43,I10&lt;41,'General Basis'!$B$44,I10&lt;46,'General Basis'!$B$45,I10&lt;51,'General Basis'!$B$46,I10&lt;56,'General Basis'!$B$47,I10&lt;60,'General Basis'!$B$48,I10&lt;65,'General Basis'!$B$49,I10&lt;100,'General Basis'!$B$50)))</f>
        <v/>
      </c>
      <c r="M10" s="1059" t="str">
        <f>IF(C10="","",VLOOKUP($C10,'Age Banded Rating'!$A$303:$D$310,3,0))</f>
        <v/>
      </c>
      <c r="N10" s="1060" t="str">
        <f>IF(C10="","",VLOOKUP($C10,'Age Banded Rating'!$A$303:$D$310,2,0))</f>
        <v/>
      </c>
      <c r="O10" s="1079" t="str">
        <f t="shared" si="1"/>
        <v/>
      </c>
      <c r="P10" s="1079" t="str">
        <f>IF(C10="","",IF(AND(B10="F",E10="Married",IF(K10="Abu Dhabi",I10&lt;=50,I10&lt;=45),I10&gt;=18),VLOOKUP(C10,'Age Banded Rating'!$A$303:$F$310,5,0),""))</f>
        <v/>
      </c>
      <c r="Q10" s="1079" t="str">
        <f t="shared" si="2"/>
        <v/>
      </c>
      <c r="R10" s="544"/>
      <c r="S10" s="433"/>
    </row>
    <row r="11" spans="1:19" x14ac:dyDescent="0.25">
      <c r="A11" s="1055"/>
      <c r="B11" s="544"/>
      <c r="C11" s="1062"/>
      <c r="D11" s="544"/>
      <c r="E11" s="544"/>
      <c r="F11" s="471"/>
      <c r="G11" s="1080"/>
      <c r="H11" s="1081"/>
      <c r="I11" s="1059" t="str">
        <f>IF(C11="","",MAX(0,ROUNDUP(IF($A11="","",((YEAR('Member Data'!$F$3)-YEAR($A11))+(MONTH('Member Data'!$F$3)-MONTH($A11))/12+(DAY('Member Data'!$F$3)-DAY($A11))/(DATE(YEAR('Member Data'!$F$3),12,31)-DATE(YEAR('Member Data'!$F$3),1,1)+1))),0)))</f>
        <v/>
      </c>
      <c r="J11" s="1059" t="str">
        <f t="shared" si="0"/>
        <v/>
      </c>
      <c r="K11" s="1059" t="str">
        <f>IF(C11="","",VLOOKUP($C11,'Age Banded Rating'!$A$303:$D$310,4,0))</f>
        <v/>
      </c>
      <c r="L11" s="1059" t="str" cm="1">
        <f t="array" ref="L11">IF(C11="","",IF(K11="Abu Dhabi",_xlfn.IFS(I11&lt;18,'General Basis'!$C$39,I11&lt;41,'General Basis'!$C$40,I11&lt;60,'General Basis'!$C$41,I11&lt;65,'General Basis'!$C$42,I11&lt;100,'General Basis'!$C$43),_xlfn.IFS(I11&lt;11,'General Basis'!$B$39,I11&lt;18,'General Basis'!$B$40,I11&lt;26,'General Basis'!$B$41,I11&lt;31,'General Basis'!$B$42,I11&lt;36,'General Basis'!$B$43,I11&lt;41,'General Basis'!$B$44,I11&lt;46,'General Basis'!$B$45,I11&lt;51,'General Basis'!$B$46,I11&lt;56,'General Basis'!$B$47,I11&lt;60,'General Basis'!$B$48,I11&lt;65,'General Basis'!$B$49,I11&lt;100,'General Basis'!$B$50)))</f>
        <v/>
      </c>
      <c r="M11" s="1059" t="str">
        <f>IF(C11="","",VLOOKUP($C11,'Age Banded Rating'!$A$303:$D$310,3,0))</f>
        <v/>
      </c>
      <c r="N11" s="1060" t="str">
        <f>IF(C11="","",VLOOKUP($C11,'Age Banded Rating'!$A$303:$D$310,2,0))</f>
        <v/>
      </c>
      <c r="O11" s="1079" t="str">
        <f t="shared" si="1"/>
        <v/>
      </c>
      <c r="P11" s="1079" t="str">
        <f>IF(C11="","",IF(AND(B11="F",E11="Married",IF(K11="Abu Dhabi",I11&lt;=50,I11&lt;=45),I11&gt;=18),VLOOKUP(C11,'Age Banded Rating'!$A$303:$F$310,5,0),""))</f>
        <v/>
      </c>
      <c r="Q11" s="1079" t="str">
        <f t="shared" si="2"/>
        <v/>
      </c>
      <c r="R11" s="544"/>
      <c r="S11" s="433"/>
    </row>
    <row r="12" spans="1:19" x14ac:dyDescent="0.25">
      <c r="A12" s="1055"/>
      <c r="B12" s="544"/>
      <c r="C12" s="1062"/>
      <c r="D12" s="544"/>
      <c r="E12" s="544"/>
      <c r="F12" s="471"/>
      <c r="G12" s="1080"/>
      <c r="H12" s="1081"/>
      <c r="I12" s="1059" t="str">
        <f>IF(C12="","",MAX(0,ROUNDUP(IF($A12="","",((YEAR('Member Data'!$F$3)-YEAR($A12))+(MONTH('Member Data'!$F$3)-MONTH($A12))/12+(DAY('Member Data'!$F$3)-DAY($A12))/(DATE(YEAR('Member Data'!$F$3),12,31)-DATE(YEAR('Member Data'!$F$3),1,1)+1))),0)))</f>
        <v/>
      </c>
      <c r="J12" s="1059" t="str">
        <f t="shared" si="0"/>
        <v/>
      </c>
      <c r="K12" s="1059" t="str">
        <f>IF(C12="","",VLOOKUP($C12,'Age Banded Rating'!$A$303:$D$310,4,0))</f>
        <v/>
      </c>
      <c r="L12" s="1059" t="str" cm="1">
        <f t="array" ref="L12">IF(C12="","",IF(K12="Abu Dhabi",_xlfn.IFS(I12&lt;18,'General Basis'!$C$39,I12&lt;41,'General Basis'!$C$40,I12&lt;60,'General Basis'!$C$41,I12&lt;65,'General Basis'!$C$42,I12&lt;100,'General Basis'!$C$43),_xlfn.IFS(I12&lt;11,'General Basis'!$B$39,I12&lt;18,'General Basis'!$B$40,I12&lt;26,'General Basis'!$B$41,I12&lt;31,'General Basis'!$B$42,I12&lt;36,'General Basis'!$B$43,I12&lt;41,'General Basis'!$B$44,I12&lt;46,'General Basis'!$B$45,I12&lt;51,'General Basis'!$B$46,I12&lt;56,'General Basis'!$B$47,I12&lt;60,'General Basis'!$B$48,I12&lt;65,'General Basis'!$B$49,I12&lt;100,'General Basis'!$B$50)))</f>
        <v/>
      </c>
      <c r="M12" s="1059" t="str">
        <f>IF(C12="","",VLOOKUP($C12,'Age Banded Rating'!$A$303:$D$310,3,0))</f>
        <v/>
      </c>
      <c r="N12" s="1060" t="str">
        <f>IF(C12="","",VLOOKUP($C12,'Age Banded Rating'!$A$303:$D$310,2,0))</f>
        <v/>
      </c>
      <c r="O12" s="1079" t="str">
        <f t="shared" si="1"/>
        <v/>
      </c>
      <c r="P12" s="1079" t="str">
        <f>IF(C12="","",IF(AND(B12="F",E12="Married",IF(K12="Abu Dhabi",I12&lt;=50,I12&lt;=45),I12&gt;=18),VLOOKUP(C12,'Age Banded Rating'!$A$303:$F$310,5,0),""))</f>
        <v/>
      </c>
      <c r="Q12" s="1079" t="str">
        <f t="shared" si="2"/>
        <v/>
      </c>
      <c r="R12" s="544"/>
      <c r="S12" s="433"/>
    </row>
    <row r="13" spans="1:19" x14ac:dyDescent="0.25">
      <c r="A13" s="1055"/>
      <c r="B13" s="544"/>
      <c r="C13" s="1062"/>
      <c r="D13" s="544"/>
      <c r="E13" s="544"/>
      <c r="F13" s="471"/>
      <c r="G13" s="1080"/>
      <c r="H13" s="1081"/>
      <c r="I13" s="1059" t="str">
        <f>IF(C13="","",MAX(0,ROUNDUP(IF($A13="","",((YEAR('Member Data'!$F$3)-YEAR($A13))+(MONTH('Member Data'!$F$3)-MONTH($A13))/12+(DAY('Member Data'!$F$3)-DAY($A13))/(DATE(YEAR('Member Data'!$F$3),12,31)-DATE(YEAR('Member Data'!$F$3),1,1)+1))),0)))</f>
        <v/>
      </c>
      <c r="J13" s="1059" t="str">
        <f t="shared" si="0"/>
        <v/>
      </c>
      <c r="K13" s="1059" t="str">
        <f>IF(C13="","",VLOOKUP($C13,'Age Banded Rating'!$A$303:$D$310,4,0))</f>
        <v/>
      </c>
      <c r="L13" s="1059" t="str" cm="1">
        <f t="array" ref="L13">IF(C13="","",IF(K13="Abu Dhabi",_xlfn.IFS(I13&lt;18,'General Basis'!$C$39,I13&lt;41,'General Basis'!$C$40,I13&lt;60,'General Basis'!$C$41,I13&lt;65,'General Basis'!$C$42,I13&lt;100,'General Basis'!$C$43),_xlfn.IFS(I13&lt;11,'General Basis'!$B$39,I13&lt;18,'General Basis'!$B$40,I13&lt;26,'General Basis'!$B$41,I13&lt;31,'General Basis'!$B$42,I13&lt;36,'General Basis'!$B$43,I13&lt;41,'General Basis'!$B$44,I13&lt;46,'General Basis'!$B$45,I13&lt;51,'General Basis'!$B$46,I13&lt;56,'General Basis'!$B$47,I13&lt;60,'General Basis'!$B$48,I13&lt;65,'General Basis'!$B$49,I13&lt;100,'General Basis'!$B$50)))</f>
        <v/>
      </c>
      <c r="M13" s="1059" t="str">
        <f>IF(C13="","",VLOOKUP($C13,'Age Banded Rating'!$A$303:$D$310,3,0))</f>
        <v/>
      </c>
      <c r="N13" s="1060" t="str">
        <f>IF(C13="","",VLOOKUP($C13,'Age Banded Rating'!$A$303:$D$310,2,0))</f>
        <v/>
      </c>
      <c r="O13" s="1079" t="str">
        <f t="shared" si="1"/>
        <v/>
      </c>
      <c r="P13" s="1079" t="str">
        <f>IF(C13="","",IF(AND(B13="F",E13="Married",IF(K13="Abu Dhabi",I13&lt;=50,I13&lt;=45),I13&gt;=18),VLOOKUP(C13,'Age Banded Rating'!$A$303:$F$310,5,0),""))</f>
        <v/>
      </c>
      <c r="Q13" s="1079" t="str">
        <f t="shared" si="2"/>
        <v/>
      </c>
      <c r="R13" s="544"/>
      <c r="S13" s="433"/>
    </row>
    <row r="14" spans="1:19" x14ac:dyDescent="0.25">
      <c r="A14" s="1055"/>
      <c r="B14" s="544"/>
      <c r="C14" s="1062"/>
      <c r="D14" s="544"/>
      <c r="E14" s="544"/>
      <c r="F14" s="471"/>
      <c r="G14" s="1080"/>
      <c r="H14" s="1081"/>
      <c r="I14" s="1059" t="str">
        <f>IF(C14="","",MAX(0,ROUNDUP(IF($A14="","",((YEAR('Member Data'!$F$3)-YEAR($A14))+(MONTH('Member Data'!$F$3)-MONTH($A14))/12+(DAY('Member Data'!$F$3)-DAY($A14))/(DATE(YEAR('Member Data'!$F$3),12,31)-DATE(YEAR('Member Data'!$F$3),1,1)+1))),0)))</f>
        <v/>
      </c>
      <c r="J14" s="1059" t="str">
        <f t="shared" si="0"/>
        <v/>
      </c>
      <c r="K14" s="1059" t="str">
        <f>IF(C14="","",VLOOKUP($C14,'Age Banded Rating'!$A$303:$D$310,4,0))</f>
        <v/>
      </c>
      <c r="L14" s="1059" t="str" cm="1">
        <f t="array" ref="L14">IF(C14="","",IF(K14="Abu Dhabi",_xlfn.IFS(I14&lt;18,'General Basis'!$C$39,I14&lt;41,'General Basis'!$C$40,I14&lt;60,'General Basis'!$C$41,I14&lt;65,'General Basis'!$C$42,I14&lt;100,'General Basis'!$C$43),_xlfn.IFS(I14&lt;11,'General Basis'!$B$39,I14&lt;18,'General Basis'!$B$40,I14&lt;26,'General Basis'!$B$41,I14&lt;31,'General Basis'!$B$42,I14&lt;36,'General Basis'!$B$43,I14&lt;41,'General Basis'!$B$44,I14&lt;46,'General Basis'!$B$45,I14&lt;51,'General Basis'!$B$46,I14&lt;56,'General Basis'!$B$47,I14&lt;60,'General Basis'!$B$48,I14&lt;65,'General Basis'!$B$49,I14&lt;100,'General Basis'!$B$50)))</f>
        <v/>
      </c>
      <c r="M14" s="1059" t="str">
        <f>IF(C14="","",VLOOKUP($C14,'Age Banded Rating'!$A$303:$D$310,3,0))</f>
        <v/>
      </c>
      <c r="N14" s="1060" t="str">
        <f>IF(C14="","",VLOOKUP($C14,'Age Banded Rating'!$A$303:$D$310,2,0))</f>
        <v/>
      </c>
      <c r="O14" s="1079" t="str">
        <f t="shared" si="1"/>
        <v/>
      </c>
      <c r="P14" s="1079" t="str">
        <f>IF(C14="","",IF(AND(B14="F",E14="Married",IF(K14="Abu Dhabi",I14&lt;=50,I14&lt;=45),I14&gt;=18),VLOOKUP(C14,'Age Banded Rating'!$A$303:$F$310,5,0),""))</f>
        <v/>
      </c>
      <c r="Q14" s="1079" t="str">
        <f t="shared" si="2"/>
        <v/>
      </c>
      <c r="R14" s="544"/>
      <c r="S14" s="433"/>
    </row>
    <row r="15" spans="1:19" x14ac:dyDescent="0.25">
      <c r="A15" s="1055"/>
      <c r="B15" s="544"/>
      <c r="C15" s="1062"/>
      <c r="D15" s="544"/>
      <c r="E15" s="544"/>
      <c r="F15" s="471"/>
      <c r="G15" s="1080"/>
      <c r="H15" s="1081"/>
      <c r="I15" s="1059" t="str">
        <f>IF(C15="","",MAX(0,ROUNDUP(IF($A15="","",((YEAR('Member Data'!$F$3)-YEAR($A15))+(MONTH('Member Data'!$F$3)-MONTH($A15))/12+(DAY('Member Data'!$F$3)-DAY($A15))/(DATE(YEAR('Member Data'!$F$3),12,31)-DATE(YEAR('Member Data'!$F$3),1,1)+1))),0)))</f>
        <v/>
      </c>
      <c r="J15" s="1059" t="str">
        <f t="shared" si="0"/>
        <v/>
      </c>
      <c r="K15" s="1059" t="str">
        <f>IF(C15="","",VLOOKUP($C15,'Age Banded Rating'!$A$303:$D$310,4,0))</f>
        <v/>
      </c>
      <c r="L15" s="1059" t="str" cm="1">
        <f t="array" ref="L15">IF(C15="","",IF(K15="Abu Dhabi",_xlfn.IFS(I15&lt;18,'General Basis'!$C$39,I15&lt;41,'General Basis'!$C$40,I15&lt;60,'General Basis'!$C$41,I15&lt;65,'General Basis'!$C$42,I15&lt;100,'General Basis'!$C$43),_xlfn.IFS(I15&lt;11,'General Basis'!$B$39,I15&lt;18,'General Basis'!$B$40,I15&lt;26,'General Basis'!$B$41,I15&lt;31,'General Basis'!$B$42,I15&lt;36,'General Basis'!$B$43,I15&lt;41,'General Basis'!$B$44,I15&lt;46,'General Basis'!$B$45,I15&lt;51,'General Basis'!$B$46,I15&lt;56,'General Basis'!$B$47,I15&lt;60,'General Basis'!$B$48,I15&lt;65,'General Basis'!$B$49,I15&lt;100,'General Basis'!$B$50)))</f>
        <v/>
      </c>
      <c r="M15" s="1059" t="str">
        <f>IF(C15="","",VLOOKUP($C15,'Age Banded Rating'!$A$303:$D$310,3,0))</f>
        <v/>
      </c>
      <c r="N15" s="1060" t="str">
        <f>IF(C15="","",VLOOKUP($C15,'Age Banded Rating'!$A$303:$D$310,2,0))</f>
        <v/>
      </c>
      <c r="O15" s="1079" t="str">
        <f t="shared" si="1"/>
        <v/>
      </c>
      <c r="P15" s="1079" t="str">
        <f>IF(C15="","",IF(AND(B15="F",E15="Married",IF(K15="Abu Dhabi",I15&lt;=50,I15&lt;=45),I15&gt;=18),VLOOKUP(C15,'Age Banded Rating'!$A$303:$F$310,5,0),""))</f>
        <v/>
      </c>
      <c r="Q15" s="1079" t="str">
        <f t="shared" si="2"/>
        <v/>
      </c>
      <c r="R15" s="544"/>
      <c r="S15" s="433"/>
    </row>
    <row r="16" spans="1:19" x14ac:dyDescent="0.25">
      <c r="A16" s="1055"/>
      <c r="B16" s="544"/>
      <c r="C16" s="1062"/>
      <c r="D16" s="544"/>
      <c r="E16" s="544"/>
      <c r="F16" s="471"/>
      <c r="G16" s="1080"/>
      <c r="H16" s="1081"/>
      <c r="I16" s="1059" t="str">
        <f>IF(C16="","",MAX(0,ROUNDUP(IF($A16="","",((YEAR('Member Data'!$F$3)-YEAR($A16))+(MONTH('Member Data'!$F$3)-MONTH($A16))/12+(DAY('Member Data'!$F$3)-DAY($A16))/(DATE(YEAR('Member Data'!$F$3),12,31)-DATE(YEAR('Member Data'!$F$3),1,1)+1))),0)))</f>
        <v/>
      </c>
      <c r="J16" s="1059" t="str">
        <f t="shared" si="0"/>
        <v/>
      </c>
      <c r="K16" s="1059" t="str">
        <f>IF(C16="","",VLOOKUP($C16,'Age Banded Rating'!$A$303:$D$310,4,0))</f>
        <v/>
      </c>
      <c r="L16" s="1059" t="str" cm="1">
        <f t="array" ref="L16">IF(C16="","",IF(K16="Abu Dhabi",_xlfn.IFS(I16&lt;18,'General Basis'!$C$39,I16&lt;41,'General Basis'!$C$40,I16&lt;60,'General Basis'!$C$41,I16&lt;65,'General Basis'!$C$42,I16&lt;100,'General Basis'!$C$43),_xlfn.IFS(I16&lt;11,'General Basis'!$B$39,I16&lt;18,'General Basis'!$B$40,I16&lt;26,'General Basis'!$B$41,I16&lt;31,'General Basis'!$B$42,I16&lt;36,'General Basis'!$B$43,I16&lt;41,'General Basis'!$B$44,I16&lt;46,'General Basis'!$B$45,I16&lt;51,'General Basis'!$B$46,I16&lt;56,'General Basis'!$B$47,I16&lt;60,'General Basis'!$B$48,I16&lt;65,'General Basis'!$B$49,I16&lt;100,'General Basis'!$B$50)))</f>
        <v/>
      </c>
      <c r="M16" s="1059" t="str">
        <f>IF(C16="","",VLOOKUP($C16,'Age Banded Rating'!$A$303:$D$310,3,0))</f>
        <v/>
      </c>
      <c r="N16" s="1060" t="str">
        <f>IF(C16="","",VLOOKUP($C16,'Age Banded Rating'!$A$303:$D$310,2,0))</f>
        <v/>
      </c>
      <c r="O16" s="1079" t="str">
        <f t="shared" si="1"/>
        <v/>
      </c>
      <c r="P16" s="1079" t="str">
        <f>IF(C16="","",IF(AND(B16="F",E16="Married",IF(K16="Abu Dhabi",I16&lt;=50,I16&lt;=45),I16&gt;=18),VLOOKUP(C16,'Age Banded Rating'!$A$303:$F$310,5,0),""))</f>
        <v/>
      </c>
      <c r="Q16" s="1079" t="str">
        <f t="shared" si="2"/>
        <v/>
      </c>
      <c r="R16" s="544"/>
      <c r="S16" s="433"/>
    </row>
    <row r="17" spans="1:19" x14ac:dyDescent="0.25">
      <c r="A17" s="1055"/>
      <c r="B17" s="544"/>
      <c r="C17" s="1062"/>
      <c r="D17" s="544"/>
      <c r="E17" s="544"/>
      <c r="F17" s="471"/>
      <c r="G17" s="1080"/>
      <c r="H17" s="1081"/>
      <c r="I17" s="1059" t="str">
        <f>IF(C17="","",MAX(0,ROUNDUP(IF($A17="","",((YEAR('Member Data'!$F$3)-YEAR($A17))+(MONTH('Member Data'!$F$3)-MONTH($A17))/12+(DAY('Member Data'!$F$3)-DAY($A17))/(DATE(YEAR('Member Data'!$F$3),12,31)-DATE(YEAR('Member Data'!$F$3),1,1)+1))),0)))</f>
        <v/>
      </c>
      <c r="J17" s="1059" t="str">
        <f t="shared" si="0"/>
        <v/>
      </c>
      <c r="K17" s="1059" t="str">
        <f>IF(C17="","",VLOOKUP($C17,'Age Banded Rating'!$A$303:$D$310,4,0))</f>
        <v/>
      </c>
      <c r="L17" s="1059" t="str" cm="1">
        <f t="array" ref="L17">IF(C17="","",IF(K17="Abu Dhabi",_xlfn.IFS(I17&lt;18,'General Basis'!$C$39,I17&lt;41,'General Basis'!$C$40,I17&lt;60,'General Basis'!$C$41,I17&lt;65,'General Basis'!$C$42,I17&lt;100,'General Basis'!$C$43),_xlfn.IFS(I17&lt;11,'General Basis'!$B$39,I17&lt;18,'General Basis'!$B$40,I17&lt;26,'General Basis'!$B$41,I17&lt;31,'General Basis'!$B$42,I17&lt;36,'General Basis'!$B$43,I17&lt;41,'General Basis'!$B$44,I17&lt;46,'General Basis'!$B$45,I17&lt;51,'General Basis'!$B$46,I17&lt;56,'General Basis'!$B$47,I17&lt;60,'General Basis'!$B$48,I17&lt;65,'General Basis'!$B$49,I17&lt;100,'General Basis'!$B$50)))</f>
        <v/>
      </c>
      <c r="M17" s="1059" t="str">
        <f>IF(C17="","",VLOOKUP($C17,'Age Banded Rating'!$A$303:$D$310,3,0))</f>
        <v/>
      </c>
      <c r="N17" s="1060" t="str">
        <f>IF(C17="","",VLOOKUP($C17,'Age Banded Rating'!$A$303:$D$310,2,0))</f>
        <v/>
      </c>
      <c r="O17" s="1079" t="str">
        <f t="shared" si="1"/>
        <v/>
      </c>
      <c r="P17" s="1079" t="str">
        <f>IF(C17="","",IF(AND(B17="F",E17="Married",IF(K17="Abu Dhabi",I17&lt;=50,I17&lt;=45),I17&gt;=18),VLOOKUP(C17,'Age Banded Rating'!$A$303:$F$310,5,0),""))</f>
        <v/>
      </c>
      <c r="Q17" s="1079" t="str">
        <f t="shared" si="2"/>
        <v/>
      </c>
      <c r="R17" s="544"/>
      <c r="S17" s="433"/>
    </row>
    <row r="18" spans="1:19" x14ac:dyDescent="0.25">
      <c r="A18" s="1055"/>
      <c r="B18" s="544"/>
      <c r="C18" s="1062"/>
      <c r="D18" s="544"/>
      <c r="E18" s="544"/>
      <c r="F18" s="471"/>
      <c r="G18" s="1080"/>
      <c r="H18" s="1081"/>
      <c r="I18" s="1059" t="str">
        <f>IF(C18="","",MAX(0,ROUNDUP(IF($A18="","",((YEAR('Member Data'!$F$3)-YEAR($A18))+(MONTH('Member Data'!$F$3)-MONTH($A18))/12+(DAY('Member Data'!$F$3)-DAY($A18))/(DATE(YEAR('Member Data'!$F$3),12,31)-DATE(YEAR('Member Data'!$F$3),1,1)+1))),0)))</f>
        <v/>
      </c>
      <c r="J18" s="1059" t="str">
        <f t="shared" si="0"/>
        <v/>
      </c>
      <c r="K18" s="1059" t="str">
        <f>IF(C18="","",VLOOKUP($C18,'Age Banded Rating'!$A$303:$D$310,4,0))</f>
        <v/>
      </c>
      <c r="L18" s="1059" t="str" cm="1">
        <f t="array" ref="L18">IF(C18="","",IF(K18="Abu Dhabi",_xlfn.IFS(I18&lt;18,'General Basis'!$C$39,I18&lt;41,'General Basis'!$C$40,I18&lt;60,'General Basis'!$C$41,I18&lt;65,'General Basis'!$C$42,I18&lt;100,'General Basis'!$C$43),_xlfn.IFS(I18&lt;11,'General Basis'!$B$39,I18&lt;18,'General Basis'!$B$40,I18&lt;26,'General Basis'!$B$41,I18&lt;31,'General Basis'!$B$42,I18&lt;36,'General Basis'!$B$43,I18&lt;41,'General Basis'!$B$44,I18&lt;46,'General Basis'!$B$45,I18&lt;51,'General Basis'!$B$46,I18&lt;56,'General Basis'!$B$47,I18&lt;60,'General Basis'!$B$48,I18&lt;65,'General Basis'!$B$49,I18&lt;100,'General Basis'!$B$50)))</f>
        <v/>
      </c>
      <c r="M18" s="1059" t="str">
        <f>IF(C18="","",VLOOKUP($C18,'Age Banded Rating'!$A$303:$D$310,3,0))</f>
        <v/>
      </c>
      <c r="N18" s="1060" t="str">
        <f>IF(C18="","",VLOOKUP($C18,'Age Banded Rating'!$A$303:$D$310,2,0))</f>
        <v/>
      </c>
      <c r="O18" s="1079" t="str">
        <f t="shared" si="1"/>
        <v/>
      </c>
      <c r="P18" s="1079" t="str">
        <f>IF(C18="","",IF(AND(B18="F",E18="Married",IF(K18="Abu Dhabi",I18&lt;=50,I18&lt;=45),I18&gt;=18),VLOOKUP(C18,'Age Banded Rating'!$A$303:$F$310,5,0),""))</f>
        <v/>
      </c>
      <c r="Q18" s="1079" t="str">
        <f t="shared" si="2"/>
        <v/>
      </c>
      <c r="R18" s="544"/>
      <c r="S18" s="433"/>
    </row>
    <row r="19" spans="1:19" x14ac:dyDescent="0.25">
      <c r="A19" s="1055"/>
      <c r="B19" s="544"/>
      <c r="C19" s="1062"/>
      <c r="D19" s="544"/>
      <c r="E19" s="544"/>
      <c r="F19" s="471"/>
      <c r="G19" s="1080"/>
      <c r="H19" s="1081"/>
      <c r="I19" s="1059" t="str">
        <f>IF(C19="","",MAX(0,ROUNDUP(IF($A19="","",((YEAR('Member Data'!$F$3)-YEAR($A19))+(MONTH('Member Data'!$F$3)-MONTH($A19))/12+(DAY('Member Data'!$F$3)-DAY($A19))/(DATE(YEAR('Member Data'!$F$3),12,31)-DATE(YEAR('Member Data'!$F$3),1,1)+1))),0)))</f>
        <v/>
      </c>
      <c r="J19" s="1059" t="str">
        <f t="shared" si="0"/>
        <v/>
      </c>
      <c r="K19" s="1059" t="str">
        <f>IF(C19="","",VLOOKUP($C19,'Age Banded Rating'!$A$303:$D$310,4,0))</f>
        <v/>
      </c>
      <c r="L19" s="1059" t="str" cm="1">
        <f t="array" ref="L19">IF(C19="","",IF(K19="Abu Dhabi",_xlfn.IFS(I19&lt;18,'General Basis'!$C$39,I19&lt;41,'General Basis'!$C$40,I19&lt;60,'General Basis'!$C$41,I19&lt;65,'General Basis'!$C$42,I19&lt;100,'General Basis'!$C$43),_xlfn.IFS(I19&lt;11,'General Basis'!$B$39,I19&lt;18,'General Basis'!$B$40,I19&lt;26,'General Basis'!$B$41,I19&lt;31,'General Basis'!$B$42,I19&lt;36,'General Basis'!$B$43,I19&lt;41,'General Basis'!$B$44,I19&lt;46,'General Basis'!$B$45,I19&lt;51,'General Basis'!$B$46,I19&lt;56,'General Basis'!$B$47,I19&lt;60,'General Basis'!$B$48,I19&lt;65,'General Basis'!$B$49,I19&lt;100,'General Basis'!$B$50)))</f>
        <v/>
      </c>
      <c r="M19" s="1059" t="str">
        <f>IF(C19="","",VLOOKUP($C19,'Age Banded Rating'!$A$303:$D$310,3,0))</f>
        <v/>
      </c>
      <c r="N19" s="1060" t="str">
        <f>IF(C19="","",VLOOKUP($C19,'Age Banded Rating'!$A$303:$D$310,2,0))</f>
        <v/>
      </c>
      <c r="O19" s="1079" t="str">
        <f t="shared" si="1"/>
        <v/>
      </c>
      <c r="P19" s="1079" t="str">
        <f>IF(C19="","",IF(AND(B19="F",E19="Married",IF(K19="Abu Dhabi",I19&lt;=50,I19&lt;=45),I19&gt;=18),VLOOKUP(C19,'Age Banded Rating'!$A$303:$F$310,5,0),""))</f>
        <v/>
      </c>
      <c r="Q19" s="1079" t="str">
        <f t="shared" si="2"/>
        <v/>
      </c>
      <c r="R19" s="544"/>
      <c r="S19" s="433"/>
    </row>
    <row r="20" spans="1:19" x14ac:dyDescent="0.25">
      <c r="A20" s="1055"/>
      <c r="B20" s="544"/>
      <c r="C20" s="1062"/>
      <c r="D20" s="544"/>
      <c r="E20" s="544"/>
      <c r="F20" s="471"/>
      <c r="G20" s="1080"/>
      <c r="H20" s="1081"/>
      <c r="I20" s="1059" t="str">
        <f>IF(C20="","",MAX(0,ROUNDUP(IF($A20="","",((YEAR('Member Data'!$F$3)-YEAR($A20))+(MONTH('Member Data'!$F$3)-MONTH($A20))/12+(DAY('Member Data'!$F$3)-DAY($A20))/(DATE(YEAR('Member Data'!$F$3),12,31)-DATE(YEAR('Member Data'!$F$3),1,1)+1))),0)))</f>
        <v/>
      </c>
      <c r="J20" s="1059" t="str">
        <f t="shared" si="0"/>
        <v/>
      </c>
      <c r="K20" s="1059" t="str">
        <f>IF(C20="","",VLOOKUP($C20,'Age Banded Rating'!$A$303:$D$310,4,0))</f>
        <v/>
      </c>
      <c r="L20" s="1059" t="str" cm="1">
        <f t="array" ref="L20">IF(C20="","",IF(K20="Abu Dhabi",_xlfn.IFS(I20&lt;18,'General Basis'!$C$39,I20&lt;41,'General Basis'!$C$40,I20&lt;60,'General Basis'!$C$41,I20&lt;65,'General Basis'!$C$42,I20&lt;100,'General Basis'!$C$43),_xlfn.IFS(I20&lt;11,'General Basis'!$B$39,I20&lt;18,'General Basis'!$B$40,I20&lt;26,'General Basis'!$B$41,I20&lt;31,'General Basis'!$B$42,I20&lt;36,'General Basis'!$B$43,I20&lt;41,'General Basis'!$B$44,I20&lt;46,'General Basis'!$B$45,I20&lt;51,'General Basis'!$B$46,I20&lt;56,'General Basis'!$B$47,I20&lt;60,'General Basis'!$B$48,I20&lt;65,'General Basis'!$B$49,I20&lt;100,'General Basis'!$B$50)))</f>
        <v/>
      </c>
      <c r="M20" s="1059" t="str">
        <f>IF(C20="","",VLOOKUP($C20,'Age Banded Rating'!$A$303:$D$310,3,0))</f>
        <v/>
      </c>
      <c r="N20" s="1060" t="str">
        <f>IF(C20="","",VLOOKUP($C20,'Age Banded Rating'!$A$303:$D$310,2,0))</f>
        <v/>
      </c>
      <c r="O20" s="1079" t="str">
        <f t="shared" si="1"/>
        <v/>
      </c>
      <c r="P20" s="1079" t="str">
        <f>IF(C20="","",IF(AND(B20="F",E20="Married",IF(K20="Abu Dhabi",I20&lt;=50,I20&lt;=45),I20&gt;=18),VLOOKUP(C20,'Age Banded Rating'!$A$303:$F$310,5,0),""))</f>
        <v/>
      </c>
      <c r="Q20" s="1079" t="str">
        <f t="shared" si="2"/>
        <v/>
      </c>
      <c r="R20" s="544"/>
      <c r="S20" s="433"/>
    </row>
    <row r="21" spans="1:19" x14ac:dyDescent="0.25">
      <c r="A21" s="433"/>
      <c r="B21" s="433"/>
      <c r="C21" s="433"/>
      <c r="D21" s="433"/>
      <c r="E21" s="433"/>
      <c r="F21" s="433"/>
      <c r="G21" s="433"/>
      <c r="H21" s="433"/>
      <c r="I21" s="433"/>
      <c r="J21" s="433"/>
      <c r="K21" s="433"/>
      <c r="L21" s="433"/>
      <c r="M21" s="433"/>
      <c r="N21" s="433"/>
      <c r="O21" s="433"/>
      <c r="P21" s="433"/>
      <c r="Q21" s="433"/>
      <c r="R21" s="433"/>
      <c r="S21" s="433"/>
    </row>
    <row r="22" spans="1:19" x14ac:dyDescent="0.25">
      <c r="A22" s="866" t="s">
        <v>1244</v>
      </c>
      <c r="B22" s="433"/>
      <c r="C22" s="433"/>
      <c r="D22" s="433"/>
      <c r="E22" s="433"/>
      <c r="F22" s="433"/>
      <c r="G22" s="433"/>
      <c r="H22" s="433"/>
      <c r="I22" s="433"/>
      <c r="J22" s="433"/>
      <c r="K22" s="433"/>
      <c r="L22" s="433"/>
      <c r="M22" s="433"/>
      <c r="N22" s="433"/>
      <c r="O22" s="433"/>
      <c r="P22" s="433"/>
      <c r="Q22" s="433"/>
      <c r="R22" s="433"/>
      <c r="S22" s="433"/>
    </row>
    <row r="23" spans="1:19" x14ac:dyDescent="0.25">
      <c r="A23" s="593" t="s">
        <v>1254</v>
      </c>
      <c r="B23" s="433"/>
      <c r="C23" s="433"/>
      <c r="D23" s="433"/>
      <c r="E23" s="433"/>
      <c r="F23" s="433"/>
      <c r="G23" s="433"/>
      <c r="H23" s="433"/>
      <c r="I23" s="433"/>
      <c r="J23" s="433"/>
      <c r="K23" s="433"/>
      <c r="L23" s="433"/>
      <c r="M23" s="433"/>
      <c r="N23" s="433"/>
      <c r="O23" s="433"/>
      <c r="P23" s="433"/>
      <c r="Q23" s="433"/>
      <c r="R23" s="433"/>
      <c r="S23" s="433"/>
    </row>
    <row r="24" spans="1:19" x14ac:dyDescent="0.25">
      <c r="A24" s="1090" t="s">
        <v>1250</v>
      </c>
      <c r="B24" s="433"/>
      <c r="C24" s="433"/>
      <c r="D24" s="433"/>
      <c r="E24" s="433"/>
      <c r="S24" s="433"/>
    </row>
    <row r="25" spans="1:19" x14ac:dyDescent="0.25">
      <c r="A25" s="1090" t="s">
        <v>1251</v>
      </c>
      <c r="B25" s="433"/>
      <c r="C25" s="433"/>
      <c r="D25" s="433"/>
      <c r="E25" s="433"/>
      <c r="S25" s="433"/>
    </row>
    <row r="26" spans="1:19" x14ac:dyDescent="0.25">
      <c r="A26" s="1090" t="s">
        <v>1252</v>
      </c>
      <c r="B26" s="433"/>
      <c r="C26" s="433"/>
      <c r="D26" s="433"/>
      <c r="E26" s="433"/>
      <c r="S26" s="433"/>
    </row>
    <row r="27" spans="1:19" x14ac:dyDescent="0.25">
      <c r="A27" s="1090" t="s">
        <v>1253</v>
      </c>
      <c r="B27" s="433"/>
      <c r="C27" s="433"/>
      <c r="D27" s="433"/>
      <c r="E27" s="433"/>
      <c r="S27" s="433"/>
    </row>
    <row r="28" spans="1:19" x14ac:dyDescent="0.25">
      <c r="A28" s="1063" t="s">
        <v>1255</v>
      </c>
      <c r="B28" s="433"/>
      <c r="C28" s="433"/>
      <c r="D28" s="433"/>
      <c r="E28" s="433"/>
      <c r="S28" s="433"/>
    </row>
    <row r="29" spans="1:19" x14ac:dyDescent="0.25">
      <c r="A29" s="433"/>
      <c r="B29" s="433"/>
      <c r="C29" s="433"/>
      <c r="D29" s="433"/>
      <c r="E29" s="433"/>
      <c r="S29" s="433"/>
    </row>
    <row r="30" spans="1:19" x14ac:dyDescent="0.25"/>
    <row r="31" spans="1:19" x14ac:dyDescent="0.25"/>
    <row r="32" spans="1:19" x14ac:dyDescent="0.25"/>
    <row r="33" ht="39" customHeight="1" x14ac:dyDescent="0.25"/>
    <row r="34" ht="28.5" customHeight="1"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ht="35.25" customHeight="1" x14ac:dyDescent="0.25"/>
    <row r="79" ht="35.25" customHeight="1" x14ac:dyDescent="0.25"/>
    <row r="80" ht="35.25" customHeight="1" x14ac:dyDescent="0.25"/>
    <row r="81" ht="35.25" customHeight="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spans="1:9" x14ac:dyDescent="0.25"/>
    <row r="114" spans="1:9" x14ac:dyDescent="0.25"/>
    <row r="115" spans="1:9" x14ac:dyDescent="0.25"/>
    <row r="116" spans="1:9" x14ac:dyDescent="0.25"/>
    <row r="117" spans="1:9" x14ac:dyDescent="0.25"/>
    <row r="118" spans="1:9" x14ac:dyDescent="0.25"/>
    <row r="119" spans="1:9" x14ac:dyDescent="0.25"/>
    <row r="120" spans="1:9" x14ac:dyDescent="0.25"/>
    <row r="121" spans="1:9" x14ac:dyDescent="0.25"/>
    <row r="122" spans="1:9" x14ac:dyDescent="0.25"/>
    <row r="123" spans="1:9" x14ac:dyDescent="0.25"/>
    <row r="124" spans="1:9" ht="29.25" customHeight="1" x14ac:dyDescent="0.25"/>
    <row r="125" spans="1:9" s="28" customFormat="1" ht="29.25" customHeight="1" x14ac:dyDescent="0.25">
      <c r="A125" s="467"/>
      <c r="B125" s="467"/>
      <c r="C125" s="467"/>
      <c r="D125" s="467"/>
      <c r="E125" s="467"/>
      <c r="F125" s="467"/>
      <c r="G125" s="467"/>
      <c r="H125" s="467"/>
      <c r="I125" s="467"/>
    </row>
    <row r="126" spans="1:9" ht="33.75" customHeight="1" x14ac:dyDescent="0.25"/>
    <row r="127" spans="1:9" x14ac:dyDescent="0.25"/>
    <row r="128" spans="1:9"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ht="27" customHeight="1"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ht="27" customHeight="1"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spans="1:4" x14ac:dyDescent="0.25"/>
    <row r="194" spans="1:4" x14ac:dyDescent="0.25"/>
    <row r="195" spans="1:4" x14ac:dyDescent="0.25"/>
    <row r="196" spans="1:4" x14ac:dyDescent="0.25"/>
    <row r="197" spans="1:4" x14ac:dyDescent="0.25"/>
    <row r="198" spans="1:4" x14ac:dyDescent="0.25"/>
    <row r="199" spans="1:4" x14ac:dyDescent="0.25"/>
    <row r="200" spans="1:4" x14ac:dyDescent="0.25"/>
    <row r="201" spans="1:4" x14ac:dyDescent="0.25"/>
    <row r="202" spans="1:4" x14ac:dyDescent="0.25"/>
    <row r="203" spans="1:4" x14ac:dyDescent="0.25"/>
    <row r="204" spans="1:4" x14ac:dyDescent="0.25"/>
    <row r="205" spans="1:4" x14ac:dyDescent="0.25"/>
    <row r="206" spans="1:4" x14ac:dyDescent="0.25"/>
    <row r="207" spans="1:4" x14ac:dyDescent="0.25"/>
    <row r="208" spans="1:4" hidden="1" x14ac:dyDescent="0.25">
      <c r="A208" s="1458" t="s">
        <v>1111</v>
      </c>
      <c r="B208" s="1458"/>
      <c r="C208" s="1458"/>
      <c r="D208" s="1458"/>
    </row>
    <row r="209" spans="1:4" hidden="1" x14ac:dyDescent="0.25">
      <c r="A209" s="904" t="s">
        <v>1110</v>
      </c>
      <c r="B209" s="1175" t="s">
        <v>735</v>
      </c>
      <c r="C209" s="740" t="str">
        <f>'TOB &amp; Rates'!G43</f>
        <v>Dubai</v>
      </c>
      <c r="D209" s="1176" t="s">
        <v>957</v>
      </c>
    </row>
    <row r="210" spans="1:4" ht="15.75" hidden="1" x14ac:dyDescent="0.25">
      <c r="A210" s="1177" t="s">
        <v>1103</v>
      </c>
      <c r="B210" s="1177" t="s">
        <v>1106</v>
      </c>
      <c r="C210" s="1178" t="s">
        <v>1107</v>
      </c>
      <c r="D210" s="1178" t="s">
        <v>1108</v>
      </c>
    </row>
    <row r="211" spans="1:4" hidden="1" x14ac:dyDescent="0.25">
      <c r="A211" s="1179" t="s">
        <v>287</v>
      </c>
      <c r="B211" s="1180" t="str">
        <f>IF($C$209="Abu Dhabi",'TOB &amp; Rates'!D181+'TOB &amp; Rates'!E181,"NA")</f>
        <v>NA</v>
      </c>
      <c r="C211" s="1181" t="str">
        <f>IF($C$209="Abu Dhabi",'TOB &amp; Rates'!D256,"NA")</f>
        <v>NA</v>
      </c>
      <c r="D211" s="1181" t="str">
        <f>IFERROR(C211*B211,"NA")</f>
        <v>NA</v>
      </c>
    </row>
    <row r="212" spans="1:4" hidden="1" x14ac:dyDescent="0.25">
      <c r="A212" s="1179" t="s">
        <v>833</v>
      </c>
      <c r="B212" s="1180" t="str">
        <f>IF($C$209="Abu Dhabi",'TOB &amp; Rates'!D182+'TOB &amp; Rates'!E182,"NA")</f>
        <v>NA</v>
      </c>
      <c r="C212" s="1181" t="str">
        <f>IF($C$209="Abu Dhabi",'TOB &amp; Rates'!D257,"NA")</f>
        <v>NA</v>
      </c>
      <c r="D212" s="1181" t="str">
        <f t="shared" ref="D212:D215" si="3">IFERROR(C212*B212,"NA")</f>
        <v>NA</v>
      </c>
    </row>
    <row r="213" spans="1:4" hidden="1" x14ac:dyDescent="0.25">
      <c r="A213" s="1179" t="s">
        <v>934</v>
      </c>
      <c r="B213" s="1180" t="str">
        <f>IF($C$209="Abu Dhabi",'TOB &amp; Rates'!D183+'TOB &amp; Rates'!E183,"NA")</f>
        <v>NA</v>
      </c>
      <c r="C213" s="1181" t="str">
        <f>IF($C$209="Abu Dhabi",'TOB &amp; Rates'!D258,"NA")</f>
        <v>NA</v>
      </c>
      <c r="D213" s="1181" t="str">
        <f t="shared" si="3"/>
        <v>NA</v>
      </c>
    </row>
    <row r="214" spans="1:4" hidden="1" x14ac:dyDescent="0.25">
      <c r="A214" s="1179" t="s">
        <v>1109</v>
      </c>
      <c r="B214" s="1180" t="str">
        <f>IF($C$209="Abu Dhabi",'TOB &amp; Rates'!D184+'TOB &amp; Rates'!E184,"NA")</f>
        <v>NA</v>
      </c>
      <c r="C214" s="1181" t="str">
        <f>IF($C$209="Abu Dhabi",'TOB &amp; Rates'!D259,"NA")</f>
        <v>NA</v>
      </c>
      <c r="D214" s="1181" t="str">
        <f t="shared" si="3"/>
        <v>NA</v>
      </c>
    </row>
    <row r="215" spans="1:4" hidden="1" x14ac:dyDescent="0.25">
      <c r="A215" s="1179" t="s">
        <v>1104</v>
      </c>
      <c r="B215" s="1182" t="str">
        <f>IF($C$209="Abu Dhabi",'TOB &amp; Rates'!D243,"NA")</f>
        <v>NA</v>
      </c>
      <c r="C215" s="1181" t="str">
        <f>IF($C$209="Abu Dhabi",'TOB &amp; Rates'!E267,"NA")</f>
        <v>NA</v>
      </c>
      <c r="D215" s="1181" t="str">
        <f t="shared" si="3"/>
        <v>NA</v>
      </c>
    </row>
    <row r="216" spans="1:4" ht="15.75" hidden="1" x14ac:dyDescent="0.25">
      <c r="A216" s="1183" t="s">
        <v>201</v>
      </c>
      <c r="B216" s="1184">
        <f>IFERROR(SUM(B211:B214),"NA")</f>
        <v>0</v>
      </c>
      <c r="C216" s="1183"/>
      <c r="D216" s="1185">
        <f>IFERROR(SUM(D211:D215),"NA")</f>
        <v>0</v>
      </c>
    </row>
    <row r="217" spans="1:4" hidden="1" x14ac:dyDescent="0.25">
      <c r="A217" s="904" t="s">
        <v>1110</v>
      </c>
      <c r="B217" s="1175" t="str">
        <f>B209</f>
        <v>Category A</v>
      </c>
      <c r="C217" s="740" t="str">
        <f>C209</f>
        <v>Dubai</v>
      </c>
      <c r="D217" s="1176" t="s">
        <v>1105</v>
      </c>
    </row>
    <row r="218" spans="1:4" ht="15.75" hidden="1" x14ac:dyDescent="0.25">
      <c r="A218" s="1177" t="s">
        <v>1103</v>
      </c>
      <c r="B218" s="1177" t="s">
        <v>1106</v>
      </c>
      <c r="C218" s="1178" t="s">
        <v>1107</v>
      </c>
      <c r="D218" s="1178" t="s">
        <v>1108</v>
      </c>
    </row>
    <row r="219" spans="1:4" hidden="1" x14ac:dyDescent="0.25">
      <c r="A219" s="1179" t="s">
        <v>290</v>
      </c>
      <c r="B219" s="1180" t="str">
        <f>IF($C$209="Abu Dhabi",'TOB &amp; Rates'!D212+'TOB &amp; Rates'!E212,"NA")</f>
        <v>NA</v>
      </c>
      <c r="C219" s="1181" t="str">
        <f>IF($C$209="Abu Dhabi",'TOB &amp; Rates'!D289,"NA")</f>
        <v>NA</v>
      </c>
      <c r="D219" s="1181" t="str">
        <f t="shared" ref="D219:D224" si="4">IFERROR(C219*B219,"NA")</f>
        <v>NA</v>
      </c>
    </row>
    <row r="220" spans="1:4" hidden="1" x14ac:dyDescent="0.25">
      <c r="A220" s="1179" t="s">
        <v>287</v>
      </c>
      <c r="B220" s="1180" t="str">
        <f>IF($C$209="Abu Dhabi",'TOB &amp; Rates'!D213+'TOB &amp; Rates'!E213,"NA")</f>
        <v>NA</v>
      </c>
      <c r="C220" s="1181" t="str">
        <f>IF($C$209="Abu Dhabi",'TOB &amp; Rates'!D290,"NA")</f>
        <v>NA</v>
      </c>
      <c r="D220" s="1181" t="str">
        <f t="shared" si="4"/>
        <v>NA</v>
      </c>
    </row>
    <row r="221" spans="1:4" hidden="1" x14ac:dyDescent="0.25">
      <c r="A221" s="1179" t="s">
        <v>833</v>
      </c>
      <c r="B221" s="1180" t="str">
        <f>IF($C$209="Abu Dhabi",'TOB &amp; Rates'!D214+'TOB &amp; Rates'!E214,"NA")</f>
        <v>NA</v>
      </c>
      <c r="C221" s="1181" t="str">
        <f>IF($C$209="Abu Dhabi",'TOB &amp; Rates'!D291,"NA")</f>
        <v>NA</v>
      </c>
      <c r="D221" s="1181" t="str">
        <f t="shared" si="4"/>
        <v>NA</v>
      </c>
    </row>
    <row r="222" spans="1:4" hidden="1" x14ac:dyDescent="0.25">
      <c r="A222" s="1179" t="s">
        <v>934</v>
      </c>
      <c r="B222" s="1180" t="str">
        <f>IF($C$209="Abu Dhabi",'TOB &amp; Rates'!D215+'TOB &amp; Rates'!E215,"NA")</f>
        <v>NA</v>
      </c>
      <c r="C222" s="1181" t="str">
        <f>IF($C$209="Abu Dhabi",'TOB &amp; Rates'!D292,"NA")</f>
        <v>NA</v>
      </c>
      <c r="D222" s="1181" t="str">
        <f t="shared" si="4"/>
        <v>NA</v>
      </c>
    </row>
    <row r="223" spans="1:4" hidden="1" x14ac:dyDescent="0.25">
      <c r="A223" s="1179" t="s">
        <v>1109</v>
      </c>
      <c r="B223" s="1180" t="str">
        <f>IF($C$209="Abu Dhabi",'TOB &amp; Rates'!D216+'TOB &amp; Rates'!E216,"NA")</f>
        <v>NA</v>
      </c>
      <c r="C223" s="1181" t="str">
        <f>IF($C$209="Abu Dhabi",'TOB &amp; Rates'!D293,"NA")</f>
        <v>NA</v>
      </c>
      <c r="D223" s="1181" t="str">
        <f t="shared" si="4"/>
        <v>NA</v>
      </c>
    </row>
    <row r="224" spans="1:4" hidden="1" x14ac:dyDescent="0.25">
      <c r="A224" s="1179" t="s">
        <v>1104</v>
      </c>
      <c r="B224" s="1182" t="str">
        <f>IF($C$209="Abu Dhabi",'TOB &amp; Rates'!D244,"NA")</f>
        <v>NA</v>
      </c>
      <c r="C224" s="1181" t="str">
        <f>IF($C$209="Abu Dhabi",'TOB &amp; Rates'!E301,"NA")</f>
        <v>NA</v>
      </c>
      <c r="D224" s="1181" t="str">
        <f t="shared" si="4"/>
        <v>NA</v>
      </c>
    </row>
    <row r="225" spans="1:4" ht="15.75" hidden="1" x14ac:dyDescent="0.25">
      <c r="A225" s="1183" t="s">
        <v>201</v>
      </c>
      <c r="B225" s="1184">
        <f>IFERROR(SUM(B219:B223),"NA")</f>
        <v>0</v>
      </c>
      <c r="C225" s="1183"/>
      <c r="D225" s="1185">
        <f>IFERROR(SUM(D219:D224),"NA")</f>
        <v>0</v>
      </c>
    </row>
    <row r="227" spans="1:4" hidden="1" x14ac:dyDescent="0.25">
      <c r="A227" s="904" t="s">
        <v>1110</v>
      </c>
      <c r="B227" s="1186" t="s">
        <v>736</v>
      </c>
      <c r="C227" s="740" t="str">
        <f>'TOB &amp; Rates'!H43</f>
        <v/>
      </c>
      <c r="D227" s="1176" t="s">
        <v>957</v>
      </c>
    </row>
    <row r="228" spans="1:4" ht="15.75" hidden="1" x14ac:dyDescent="0.25">
      <c r="A228" s="1177" t="s">
        <v>1103</v>
      </c>
      <c r="B228" s="1177" t="s">
        <v>1106</v>
      </c>
      <c r="C228" s="1178" t="s">
        <v>1107</v>
      </c>
      <c r="D228" s="1178" t="s">
        <v>1108</v>
      </c>
    </row>
    <row r="229" spans="1:4" hidden="1" x14ac:dyDescent="0.25">
      <c r="A229" s="1179" t="s">
        <v>287</v>
      </c>
      <c r="B229" s="1180" t="str">
        <f>IF($C$227="Abu Dhabi",'TOB &amp; Rates'!G181+'TOB &amp; Rates'!H181,"NA")</f>
        <v>NA</v>
      </c>
      <c r="C229" s="1181" t="str">
        <f>IF($C$227="Abu Dhabi",'TOB &amp; Rates'!G256,"NA")</f>
        <v>NA</v>
      </c>
      <c r="D229" s="1181" t="str">
        <f>IFERROR(C229*B229,"NA")</f>
        <v>NA</v>
      </c>
    </row>
    <row r="230" spans="1:4" hidden="1" x14ac:dyDescent="0.25">
      <c r="A230" s="1179" t="s">
        <v>833</v>
      </c>
      <c r="B230" s="1180" t="str">
        <f>IF($C$227="Abu Dhabi",'TOB &amp; Rates'!G182+'TOB &amp; Rates'!H182,"NA")</f>
        <v>NA</v>
      </c>
      <c r="C230" s="1181" t="str">
        <f>IF($C$227="Abu Dhabi",'TOB &amp; Rates'!G257,"NA")</f>
        <v>NA</v>
      </c>
      <c r="D230" s="1181" t="str">
        <f t="shared" ref="D230:D233" si="5">IFERROR(C230*B230,"NA")</f>
        <v>NA</v>
      </c>
    </row>
    <row r="231" spans="1:4" hidden="1" x14ac:dyDescent="0.25">
      <c r="A231" s="1179" t="s">
        <v>934</v>
      </c>
      <c r="B231" s="1180" t="str">
        <f>IF($C$227="Abu Dhabi",'TOB &amp; Rates'!G183+'TOB &amp; Rates'!H183,"NA")</f>
        <v>NA</v>
      </c>
      <c r="C231" s="1181" t="str">
        <f>IF($C$227="Abu Dhabi",'TOB &amp; Rates'!G258,"NA")</f>
        <v>NA</v>
      </c>
      <c r="D231" s="1181" t="str">
        <f t="shared" si="5"/>
        <v>NA</v>
      </c>
    </row>
    <row r="232" spans="1:4" hidden="1" x14ac:dyDescent="0.25">
      <c r="A232" s="1179" t="s">
        <v>1109</v>
      </c>
      <c r="B232" s="1180" t="str">
        <f>IF($C$227="Abu Dhabi",'TOB &amp; Rates'!G184+'TOB &amp; Rates'!H184,"NA")</f>
        <v>NA</v>
      </c>
      <c r="C232" s="1181" t="str">
        <f>IF($C$227="Abu Dhabi",'TOB &amp; Rates'!G259,"NA")</f>
        <v>NA</v>
      </c>
      <c r="D232" s="1181" t="str">
        <f t="shared" si="5"/>
        <v>NA</v>
      </c>
    </row>
    <row r="233" spans="1:4" hidden="1" x14ac:dyDescent="0.25">
      <c r="A233" s="1179" t="s">
        <v>1104</v>
      </c>
      <c r="B233" s="1182" t="str">
        <f>IF($C$227="Abu Dhabi",'TOB &amp; Rates'!G243,"NA")</f>
        <v>NA</v>
      </c>
      <c r="C233" s="1181" t="str">
        <f>IF($C$227="Abu Dhabi",'TOB &amp; Rates'!H267,"NA")</f>
        <v>NA</v>
      </c>
      <c r="D233" s="1181" t="str">
        <f t="shared" si="5"/>
        <v>NA</v>
      </c>
    </row>
    <row r="234" spans="1:4" ht="15.75" hidden="1" x14ac:dyDescent="0.25">
      <c r="A234" s="1183" t="s">
        <v>201</v>
      </c>
      <c r="B234" s="1184">
        <f>IFERROR(SUM(B229:B232),"NA")</f>
        <v>0</v>
      </c>
      <c r="C234" s="1183"/>
      <c r="D234" s="1185">
        <f>IFERROR(SUM(D229:D233),"NA")</f>
        <v>0</v>
      </c>
    </row>
    <row r="235" spans="1:4" hidden="1" x14ac:dyDescent="0.25">
      <c r="A235" s="904" t="s">
        <v>1110</v>
      </c>
      <c r="B235" s="1186" t="str">
        <f>B227</f>
        <v>Category B</v>
      </c>
      <c r="C235" s="740" t="str">
        <f>C227</f>
        <v/>
      </c>
      <c r="D235" s="1176" t="s">
        <v>1105</v>
      </c>
    </row>
    <row r="236" spans="1:4" ht="15.75" hidden="1" x14ac:dyDescent="0.25">
      <c r="A236" s="1177" t="s">
        <v>1103</v>
      </c>
      <c r="B236" s="1177" t="s">
        <v>1106</v>
      </c>
      <c r="C236" s="1178" t="s">
        <v>1107</v>
      </c>
      <c r="D236" s="1178" t="s">
        <v>1108</v>
      </c>
    </row>
    <row r="237" spans="1:4" hidden="1" x14ac:dyDescent="0.25">
      <c r="A237" s="1179" t="s">
        <v>290</v>
      </c>
      <c r="B237" s="1180" t="str">
        <f>IF($C$227="Abu Dhabi",'TOB &amp; Rates'!G212+'TOB &amp; Rates'!H212,"NA")</f>
        <v>NA</v>
      </c>
      <c r="C237" s="1181" t="str">
        <f>IF($C$227="Abu Dhabi",'TOB &amp; Rates'!G289,"NA")</f>
        <v>NA</v>
      </c>
      <c r="D237" s="1181" t="str">
        <f t="shared" ref="D237:D242" si="6">IFERROR(C237*B237,"NA")</f>
        <v>NA</v>
      </c>
    </row>
    <row r="238" spans="1:4" hidden="1" x14ac:dyDescent="0.25">
      <c r="A238" s="1179" t="s">
        <v>287</v>
      </c>
      <c r="B238" s="1180" t="str">
        <f>IF($C$227="Abu Dhabi",'TOB &amp; Rates'!G213+'TOB &amp; Rates'!H213,"NA")</f>
        <v>NA</v>
      </c>
      <c r="C238" s="1181" t="str">
        <f>IF($C$227="Abu Dhabi",'TOB &amp; Rates'!G290,"NA")</f>
        <v>NA</v>
      </c>
      <c r="D238" s="1181" t="str">
        <f t="shared" si="6"/>
        <v>NA</v>
      </c>
    </row>
    <row r="239" spans="1:4" hidden="1" x14ac:dyDescent="0.25">
      <c r="A239" s="1179" t="s">
        <v>833</v>
      </c>
      <c r="B239" s="1180" t="str">
        <f>IF($C$227="Abu Dhabi",'TOB &amp; Rates'!G214+'TOB &amp; Rates'!H214,"NA")</f>
        <v>NA</v>
      </c>
      <c r="C239" s="1181" t="str">
        <f>IF($C$227="Abu Dhabi",'TOB &amp; Rates'!G291,"NA")</f>
        <v>NA</v>
      </c>
      <c r="D239" s="1181" t="str">
        <f t="shared" si="6"/>
        <v>NA</v>
      </c>
    </row>
    <row r="240" spans="1:4" hidden="1" x14ac:dyDescent="0.25">
      <c r="A240" s="1179" t="s">
        <v>934</v>
      </c>
      <c r="B240" s="1180" t="str">
        <f>IF($C$227="Abu Dhabi",'TOB &amp; Rates'!G215+'TOB &amp; Rates'!H215,"NA")</f>
        <v>NA</v>
      </c>
      <c r="C240" s="1181" t="str">
        <f>IF($C$227="Abu Dhabi",'TOB &amp; Rates'!G292,"NA")</f>
        <v>NA</v>
      </c>
      <c r="D240" s="1181" t="str">
        <f t="shared" si="6"/>
        <v>NA</v>
      </c>
    </row>
    <row r="241" spans="1:4" hidden="1" x14ac:dyDescent="0.25">
      <c r="A241" s="1179" t="s">
        <v>1109</v>
      </c>
      <c r="B241" s="1180" t="str">
        <f>IF($C$227="Abu Dhabi",'TOB &amp; Rates'!G216+'TOB &amp; Rates'!H216,"NA")</f>
        <v>NA</v>
      </c>
      <c r="C241" s="1181" t="str">
        <f>IF($C$227="Abu Dhabi",'TOB &amp; Rates'!G293,"NA")</f>
        <v>NA</v>
      </c>
      <c r="D241" s="1181" t="str">
        <f t="shared" si="6"/>
        <v>NA</v>
      </c>
    </row>
    <row r="242" spans="1:4" hidden="1" x14ac:dyDescent="0.25">
      <c r="A242" s="1179" t="s">
        <v>1104</v>
      </c>
      <c r="B242" s="1182" t="str">
        <f>IF($C$227="Abu Dhabi",'TOB &amp; Rates'!G244,"NA")</f>
        <v>NA</v>
      </c>
      <c r="C242" s="1181" t="str">
        <f>IF($C$227="Abu Dhabi",'TOB &amp; Rates'!H301,"NA")</f>
        <v>NA</v>
      </c>
      <c r="D242" s="1181" t="str">
        <f t="shared" si="6"/>
        <v>NA</v>
      </c>
    </row>
    <row r="243" spans="1:4" ht="15.75" hidden="1" x14ac:dyDescent="0.25">
      <c r="A243" s="1183" t="s">
        <v>201</v>
      </c>
      <c r="B243" s="1184">
        <f>IFERROR(SUM(B237:B241),"NA")</f>
        <v>0</v>
      </c>
      <c r="C243" s="1183"/>
      <c r="D243" s="1185">
        <f>IFERROR(SUM(D237:D242),"NA")</f>
        <v>0</v>
      </c>
    </row>
    <row r="245" spans="1:4" hidden="1" x14ac:dyDescent="0.25">
      <c r="A245" s="904" t="s">
        <v>1110</v>
      </c>
      <c r="B245" s="1175" t="s">
        <v>737</v>
      </c>
      <c r="C245" s="740" t="str">
        <f>'TOB &amp; Rates'!I43</f>
        <v/>
      </c>
      <c r="D245" s="1176" t="s">
        <v>957</v>
      </c>
    </row>
    <row r="246" spans="1:4" ht="15.75" hidden="1" x14ac:dyDescent="0.25">
      <c r="A246" s="1177" t="s">
        <v>1103</v>
      </c>
      <c r="B246" s="1177" t="s">
        <v>1106</v>
      </c>
      <c r="C246" s="1178" t="s">
        <v>1107</v>
      </c>
      <c r="D246" s="1178" t="s">
        <v>1108</v>
      </c>
    </row>
    <row r="247" spans="1:4" hidden="1" x14ac:dyDescent="0.25">
      <c r="A247" s="1179" t="s">
        <v>287</v>
      </c>
      <c r="B247" s="1180" t="str">
        <f>IF($C$245="Abu Dhabi",'TOB &amp; Rates'!J181+'TOB &amp; Rates'!K181,"NA")</f>
        <v>NA</v>
      </c>
      <c r="C247" s="1181" t="str">
        <f>IF($C$245="Abu Dhabi",'TOB &amp; Rates'!J256,"NA")</f>
        <v>NA</v>
      </c>
      <c r="D247" s="1181" t="str">
        <f>IFERROR(C247*B247,"NA")</f>
        <v>NA</v>
      </c>
    </row>
    <row r="248" spans="1:4" hidden="1" x14ac:dyDescent="0.25">
      <c r="A248" s="1179" t="s">
        <v>833</v>
      </c>
      <c r="B248" s="1180" t="str">
        <f>IF($C$245="Abu Dhabi",'TOB &amp; Rates'!J182+'TOB &amp; Rates'!K182,"NA")</f>
        <v>NA</v>
      </c>
      <c r="C248" s="1181" t="str">
        <f>IF($C$245="Abu Dhabi",'TOB &amp; Rates'!J257,"NA")</f>
        <v>NA</v>
      </c>
      <c r="D248" s="1181" t="str">
        <f t="shared" ref="D248:D251" si="7">IFERROR(C248*B248,"NA")</f>
        <v>NA</v>
      </c>
    </row>
    <row r="249" spans="1:4" hidden="1" x14ac:dyDescent="0.25">
      <c r="A249" s="1179" t="s">
        <v>934</v>
      </c>
      <c r="B249" s="1180" t="str">
        <f>IF($C$245="Abu Dhabi",'TOB &amp; Rates'!J183+'TOB &amp; Rates'!K183,"NA")</f>
        <v>NA</v>
      </c>
      <c r="C249" s="1181" t="str">
        <f>IF($C$245="Abu Dhabi",'TOB &amp; Rates'!J258,"NA")</f>
        <v>NA</v>
      </c>
      <c r="D249" s="1181" t="str">
        <f t="shared" si="7"/>
        <v>NA</v>
      </c>
    </row>
    <row r="250" spans="1:4" hidden="1" x14ac:dyDescent="0.25">
      <c r="A250" s="1179" t="s">
        <v>1109</v>
      </c>
      <c r="B250" s="1180" t="str">
        <f>IF($C$245="Abu Dhabi",'TOB &amp; Rates'!J184+'TOB &amp; Rates'!K184,"NA")</f>
        <v>NA</v>
      </c>
      <c r="C250" s="1181" t="str">
        <f>IF($C$245="Abu Dhabi",'TOB &amp; Rates'!J259,"NA")</f>
        <v>NA</v>
      </c>
      <c r="D250" s="1181" t="str">
        <f t="shared" si="7"/>
        <v>NA</v>
      </c>
    </row>
    <row r="251" spans="1:4" hidden="1" x14ac:dyDescent="0.25">
      <c r="A251" s="1179" t="s">
        <v>1104</v>
      </c>
      <c r="B251" s="1182" t="str">
        <f>IF($C$245="Abu Dhabi",'TOB &amp; Rates'!J243,"NA")</f>
        <v>NA</v>
      </c>
      <c r="C251" s="1181" t="str">
        <f>IF($C$245="Abu Dhabi",'TOB &amp; Rates'!K267,"NA")</f>
        <v>NA</v>
      </c>
      <c r="D251" s="1181" t="str">
        <f t="shared" si="7"/>
        <v>NA</v>
      </c>
    </row>
    <row r="252" spans="1:4" ht="15.75" hidden="1" x14ac:dyDescent="0.25">
      <c r="A252" s="1183" t="s">
        <v>201</v>
      </c>
      <c r="B252" s="1184">
        <f>IFERROR(SUM(B247:B250),"NA")</f>
        <v>0</v>
      </c>
      <c r="C252" s="1183"/>
      <c r="D252" s="1185">
        <f>IFERROR(SUM(D247:D251),"NA")</f>
        <v>0</v>
      </c>
    </row>
    <row r="253" spans="1:4" hidden="1" x14ac:dyDescent="0.25">
      <c r="A253" s="904" t="s">
        <v>1110</v>
      </c>
      <c r="B253" s="1175" t="str">
        <f>B245</f>
        <v>Category C</v>
      </c>
      <c r="C253" s="740" t="str">
        <f>C245</f>
        <v/>
      </c>
      <c r="D253" s="1176" t="s">
        <v>1105</v>
      </c>
    </row>
    <row r="254" spans="1:4" ht="15.75" hidden="1" x14ac:dyDescent="0.25">
      <c r="A254" s="1177" t="s">
        <v>1103</v>
      </c>
      <c r="B254" s="1177" t="s">
        <v>1106</v>
      </c>
      <c r="C254" s="1178" t="s">
        <v>1107</v>
      </c>
      <c r="D254" s="1178" t="s">
        <v>1108</v>
      </c>
    </row>
    <row r="255" spans="1:4" hidden="1" x14ac:dyDescent="0.25">
      <c r="A255" s="1179" t="s">
        <v>290</v>
      </c>
      <c r="B255" s="1180" t="str">
        <f>IF($C$245="Abu Dhabi",'TOB &amp; Rates'!J212+'TOB &amp; Rates'!K212,"NA")</f>
        <v>NA</v>
      </c>
      <c r="C255" s="1181" t="str">
        <f>IF($C$245="Abu Dhabi",'TOB &amp; Rates'!J289,"NA")</f>
        <v>NA</v>
      </c>
      <c r="D255" s="1181" t="str">
        <f t="shared" ref="D255:D260" si="8">IFERROR(C255*B255,"NA")</f>
        <v>NA</v>
      </c>
    </row>
    <row r="256" spans="1:4" hidden="1" x14ac:dyDescent="0.25">
      <c r="A256" s="1179" t="s">
        <v>287</v>
      </c>
      <c r="B256" s="1180" t="str">
        <f>IF($C$245="Abu Dhabi",'TOB &amp; Rates'!J213+'TOB &amp; Rates'!K213,"NA")</f>
        <v>NA</v>
      </c>
      <c r="C256" s="1181" t="str">
        <f>IF($C$245="Abu Dhabi",'TOB &amp; Rates'!J290,"NA")</f>
        <v>NA</v>
      </c>
      <c r="D256" s="1181" t="str">
        <f t="shared" si="8"/>
        <v>NA</v>
      </c>
    </row>
    <row r="257" spans="1:4" hidden="1" x14ac:dyDescent="0.25">
      <c r="A257" s="1179" t="s">
        <v>833</v>
      </c>
      <c r="B257" s="1180" t="str">
        <f>IF($C$245="Abu Dhabi",'TOB &amp; Rates'!J214+'TOB &amp; Rates'!K214,"NA")</f>
        <v>NA</v>
      </c>
      <c r="C257" s="1181" t="str">
        <f>IF($C$245="Abu Dhabi",'TOB &amp; Rates'!J291,"NA")</f>
        <v>NA</v>
      </c>
      <c r="D257" s="1181" t="str">
        <f t="shared" si="8"/>
        <v>NA</v>
      </c>
    </row>
    <row r="258" spans="1:4" hidden="1" x14ac:dyDescent="0.25">
      <c r="A258" s="1179" t="s">
        <v>934</v>
      </c>
      <c r="B258" s="1180" t="str">
        <f>IF($C$245="Abu Dhabi",'TOB &amp; Rates'!J215+'TOB &amp; Rates'!K215,"NA")</f>
        <v>NA</v>
      </c>
      <c r="C258" s="1181" t="str">
        <f>IF($C$245="Abu Dhabi",'TOB &amp; Rates'!J292,"NA")</f>
        <v>NA</v>
      </c>
      <c r="D258" s="1181" t="str">
        <f t="shared" si="8"/>
        <v>NA</v>
      </c>
    </row>
    <row r="259" spans="1:4" hidden="1" x14ac:dyDescent="0.25">
      <c r="A259" s="1179" t="s">
        <v>1109</v>
      </c>
      <c r="B259" s="1180" t="str">
        <f>IF($C$245="Abu Dhabi",'TOB &amp; Rates'!J216+'TOB &amp; Rates'!K216,"NA")</f>
        <v>NA</v>
      </c>
      <c r="C259" s="1181" t="str">
        <f>IF($C$245="Abu Dhabi",'TOB &amp; Rates'!J293,"NA")</f>
        <v>NA</v>
      </c>
      <c r="D259" s="1181" t="str">
        <f t="shared" si="8"/>
        <v>NA</v>
      </c>
    </row>
    <row r="260" spans="1:4" hidden="1" x14ac:dyDescent="0.25">
      <c r="A260" s="1179" t="s">
        <v>1104</v>
      </c>
      <c r="B260" s="1182" t="str">
        <f>IF($C$245="Abu Dhabi",'TOB &amp; Rates'!J244,"NA")</f>
        <v>NA</v>
      </c>
      <c r="C260" s="1181" t="str">
        <f>IF($C$245="Abu Dhabi",'TOB &amp; Rates'!K301,"NA")</f>
        <v>NA</v>
      </c>
      <c r="D260" s="1181" t="str">
        <f t="shared" si="8"/>
        <v>NA</v>
      </c>
    </row>
    <row r="261" spans="1:4" ht="15.75" hidden="1" x14ac:dyDescent="0.25">
      <c r="A261" s="1183" t="s">
        <v>201</v>
      </c>
      <c r="B261" s="1184">
        <f>IFERROR(SUM(B255:B259),"NA")</f>
        <v>0</v>
      </c>
      <c r="C261" s="1183"/>
      <c r="D261" s="1185">
        <f>IFERROR(SUM(D255:D260),"NA")</f>
        <v>0</v>
      </c>
    </row>
    <row r="263" spans="1:4" hidden="1" x14ac:dyDescent="0.25">
      <c r="A263" s="904" t="s">
        <v>1110</v>
      </c>
      <c r="B263" s="1186" t="s">
        <v>738</v>
      </c>
      <c r="C263" s="740" t="str">
        <f>'TOB &amp; Rates'!J43</f>
        <v/>
      </c>
      <c r="D263" s="1176" t="s">
        <v>957</v>
      </c>
    </row>
    <row r="264" spans="1:4" ht="15.75" hidden="1" x14ac:dyDescent="0.25">
      <c r="A264" s="1177" t="s">
        <v>1103</v>
      </c>
      <c r="B264" s="1177" t="s">
        <v>1106</v>
      </c>
      <c r="C264" s="1178" t="s">
        <v>1107</v>
      </c>
      <c r="D264" s="1178" t="s">
        <v>1108</v>
      </c>
    </row>
    <row r="265" spans="1:4" hidden="1" x14ac:dyDescent="0.25">
      <c r="A265" s="1179" t="s">
        <v>287</v>
      </c>
      <c r="B265" s="1180" t="str">
        <f>IF($C$263="Abu Dhabi",'TOB &amp; Rates'!M181+'TOB &amp; Rates'!N181,"NA")</f>
        <v>NA</v>
      </c>
      <c r="C265" s="1181" t="str">
        <f>IF($C$263="Abu Dhabi",'TOB &amp; Rates'!M256,"NA")</f>
        <v>NA</v>
      </c>
      <c r="D265" s="1181" t="str">
        <f>IFERROR(C265*B265,"NA")</f>
        <v>NA</v>
      </c>
    </row>
    <row r="266" spans="1:4" hidden="1" x14ac:dyDescent="0.25">
      <c r="A266" s="1179" t="s">
        <v>833</v>
      </c>
      <c r="B266" s="1180" t="str">
        <f>IF($C$263="Abu Dhabi",'TOB &amp; Rates'!M182+'TOB &amp; Rates'!N182,"NA")</f>
        <v>NA</v>
      </c>
      <c r="C266" s="1181" t="str">
        <f>IF($C$263="Abu Dhabi",'TOB &amp; Rates'!M257,"NA")</f>
        <v>NA</v>
      </c>
      <c r="D266" s="1181" t="str">
        <f>IFERROR(C266*B266,"NA")</f>
        <v>NA</v>
      </c>
    </row>
    <row r="267" spans="1:4" hidden="1" x14ac:dyDescent="0.25">
      <c r="A267" s="1179" t="s">
        <v>934</v>
      </c>
      <c r="B267" s="1180" t="str">
        <f>IF($C$263="Abu Dhabi",'TOB &amp; Rates'!M183+'TOB &amp; Rates'!N183,"NA")</f>
        <v>NA</v>
      </c>
      <c r="C267" s="1181" t="str">
        <f>IF($C$263="Abu Dhabi",'TOB &amp; Rates'!M258,"NA")</f>
        <v>NA</v>
      </c>
      <c r="D267" s="1181" t="str">
        <f>IFERROR(C267*B267,"NA")</f>
        <v>NA</v>
      </c>
    </row>
    <row r="268" spans="1:4" hidden="1" x14ac:dyDescent="0.25">
      <c r="A268" s="1179" t="s">
        <v>1109</v>
      </c>
      <c r="B268" s="1180" t="str">
        <f>IF($C$263="Abu Dhabi",'TOB &amp; Rates'!M184+'TOB &amp; Rates'!N184,"NA")</f>
        <v>NA</v>
      </c>
      <c r="C268" s="1181" t="str">
        <f>IF($C$263="Abu Dhabi",'TOB &amp; Rates'!M259,"NA")</f>
        <v>NA</v>
      </c>
      <c r="D268" s="1181" t="str">
        <f>IFERROR(C268*B268,"NA")</f>
        <v>NA</v>
      </c>
    </row>
    <row r="269" spans="1:4" hidden="1" x14ac:dyDescent="0.25">
      <c r="A269" s="1179" t="s">
        <v>1104</v>
      </c>
      <c r="B269" s="1182" t="str">
        <f>IF($C$263="Abu Dhabi",'TOB &amp; Rates'!M243,"NA")</f>
        <v>NA</v>
      </c>
      <c r="C269" s="1181" t="str">
        <f>IF($C$263="Abu Dhabi",'TOB &amp; Rates'!N267,"NA")</f>
        <v>NA</v>
      </c>
      <c r="D269" s="1181" t="str">
        <f t="shared" ref="D269" si="9">IFERROR(C269*B269,"NA")</f>
        <v>NA</v>
      </c>
    </row>
    <row r="270" spans="1:4" ht="15.75" hidden="1" x14ac:dyDescent="0.25">
      <c r="A270" s="1183" t="s">
        <v>201</v>
      </c>
      <c r="B270" s="1184">
        <f>IFERROR(SUM(B265:B268),"NA")</f>
        <v>0</v>
      </c>
      <c r="C270" s="1183"/>
      <c r="D270" s="1185">
        <f>IFERROR(SUM(D265:D269),"NA")</f>
        <v>0</v>
      </c>
    </row>
    <row r="271" spans="1:4" hidden="1" x14ac:dyDescent="0.25">
      <c r="A271" s="904" t="s">
        <v>1110</v>
      </c>
      <c r="B271" s="1186" t="str">
        <f>B263</f>
        <v>Category D</v>
      </c>
      <c r="C271" s="740" t="str">
        <f>C263</f>
        <v/>
      </c>
      <c r="D271" s="1176" t="s">
        <v>1105</v>
      </c>
    </row>
    <row r="272" spans="1:4" ht="15.75" hidden="1" x14ac:dyDescent="0.25">
      <c r="A272" s="1177" t="s">
        <v>1103</v>
      </c>
      <c r="B272" s="1177" t="s">
        <v>1106</v>
      </c>
      <c r="C272" s="1178" t="s">
        <v>1107</v>
      </c>
      <c r="D272" s="1178" t="s">
        <v>1108</v>
      </c>
    </row>
    <row r="273" spans="1:4" hidden="1" x14ac:dyDescent="0.25">
      <c r="A273" s="1179" t="s">
        <v>290</v>
      </c>
      <c r="B273" s="1180" t="str">
        <f>IF($C$263="Abu Dhabi",'TOB &amp; Rates'!M212+'TOB &amp; Rates'!N212,"NA")</f>
        <v>NA</v>
      </c>
      <c r="C273" s="1181" t="str">
        <f>IF($C$263="Abu Dhabi",'TOB &amp; Rates'!M289,"NA")</f>
        <v>NA</v>
      </c>
      <c r="D273" s="1181" t="str">
        <f>IFERROR(C273*B273,"NA")</f>
        <v>NA</v>
      </c>
    </row>
    <row r="274" spans="1:4" hidden="1" x14ac:dyDescent="0.25">
      <c r="A274" s="1179" t="s">
        <v>287</v>
      </c>
      <c r="B274" s="1180" t="str">
        <f>IF($C$263="Abu Dhabi",'TOB &amp; Rates'!M213+'TOB &amp; Rates'!N213,"NA")</f>
        <v>NA</v>
      </c>
      <c r="C274" s="1181" t="str">
        <f>IF($C$263="Abu Dhabi",'TOB &amp; Rates'!M290,"NA")</f>
        <v>NA</v>
      </c>
      <c r="D274" s="1181" t="str">
        <f>IFERROR(C274*B274,"NA")</f>
        <v>NA</v>
      </c>
    </row>
    <row r="275" spans="1:4" hidden="1" x14ac:dyDescent="0.25">
      <c r="A275" s="1179" t="s">
        <v>833</v>
      </c>
      <c r="B275" s="1180" t="str">
        <f>IF($C$263="Abu Dhabi",'TOB &amp; Rates'!M214+'TOB &amp; Rates'!N214,"NA")</f>
        <v>NA</v>
      </c>
      <c r="C275" s="1181" t="str">
        <f>IF($C$263="Abu Dhabi",'TOB &amp; Rates'!M291,"NA")</f>
        <v>NA</v>
      </c>
      <c r="D275" s="1181" t="str">
        <f>IFERROR(C275*B275,"NA")</f>
        <v>NA</v>
      </c>
    </row>
    <row r="276" spans="1:4" hidden="1" x14ac:dyDescent="0.25">
      <c r="A276" s="1179" t="s">
        <v>934</v>
      </c>
      <c r="B276" s="1180" t="str">
        <f>IF($C$263="Abu Dhabi",'TOB &amp; Rates'!M215+'TOB &amp; Rates'!N215,"NA")</f>
        <v>NA</v>
      </c>
      <c r="C276" s="1181" t="str">
        <f>IF($C$263="Abu Dhabi",'TOB &amp; Rates'!M292,"NA")</f>
        <v>NA</v>
      </c>
      <c r="D276" s="1181" t="str">
        <f>IFERROR(C276*B276,"NA")</f>
        <v>NA</v>
      </c>
    </row>
    <row r="277" spans="1:4" hidden="1" x14ac:dyDescent="0.25">
      <c r="A277" s="1179" t="s">
        <v>1109</v>
      </c>
      <c r="B277" s="1180" t="str">
        <f>IF($C$263="Abu Dhabi",'TOB &amp; Rates'!M216+'TOB &amp; Rates'!N216,"NA")</f>
        <v>NA</v>
      </c>
      <c r="C277" s="1181" t="str">
        <f>IF($C$263="Abu Dhabi",'TOB &amp; Rates'!M293,"NA")</f>
        <v>NA</v>
      </c>
      <c r="D277" s="1181" t="str">
        <f>IFERROR(C277*B277,"NA")</f>
        <v>NA</v>
      </c>
    </row>
    <row r="278" spans="1:4" hidden="1" x14ac:dyDescent="0.25">
      <c r="A278" s="1179" t="s">
        <v>1104</v>
      </c>
      <c r="B278" s="1182" t="str">
        <f>IF($C$263="Abu Dhabi",'TOB &amp; Rates'!M244,"NA")</f>
        <v>NA</v>
      </c>
      <c r="C278" s="1181" t="str">
        <f>IF($C$263="Abu Dhabi",'TOB &amp; Rates'!N301,"NA")</f>
        <v>NA</v>
      </c>
      <c r="D278" s="1181" t="str">
        <f t="shared" ref="D278" si="10">IFERROR(C278*B278,"NA")</f>
        <v>NA</v>
      </c>
    </row>
    <row r="279" spans="1:4" ht="15.75" hidden="1" x14ac:dyDescent="0.25">
      <c r="A279" s="1183" t="s">
        <v>201</v>
      </c>
      <c r="B279" s="1184">
        <f>IFERROR(SUM(B273:B277),"NA")</f>
        <v>0</v>
      </c>
      <c r="C279" s="1183"/>
      <c r="D279" s="1185">
        <f>IFERROR(SUM(D273:D278),"NA")</f>
        <v>0</v>
      </c>
    </row>
    <row r="281" spans="1:4" hidden="1" x14ac:dyDescent="0.25">
      <c r="A281" s="904" t="s">
        <v>1110</v>
      </c>
      <c r="B281" s="1175" t="s">
        <v>739</v>
      </c>
      <c r="C281" s="740" t="str">
        <f>'TOB &amp; Rates'!K43</f>
        <v/>
      </c>
      <c r="D281" s="1176" t="s">
        <v>957</v>
      </c>
    </row>
    <row r="282" spans="1:4" ht="15.75" hidden="1" x14ac:dyDescent="0.25">
      <c r="A282" s="1177" t="s">
        <v>1103</v>
      </c>
      <c r="B282" s="1177" t="s">
        <v>1106</v>
      </c>
      <c r="C282" s="1178" t="s">
        <v>1107</v>
      </c>
      <c r="D282" s="1178" t="s">
        <v>1108</v>
      </c>
    </row>
    <row r="283" spans="1:4" hidden="1" x14ac:dyDescent="0.25">
      <c r="A283" s="1179" t="s">
        <v>287</v>
      </c>
      <c r="B283" s="1180" t="str">
        <f>IF($C$281="Abu Dhabi",'TOB &amp; Rates'!D181+'TOB &amp; Rates'!E181,"NA")</f>
        <v>NA</v>
      </c>
      <c r="C283" s="1181" t="str">
        <f>IF($C$281="Abu Dhabi",'TOB &amp; Rates'!D273,"NA")</f>
        <v>NA</v>
      </c>
      <c r="D283" s="1181" t="str">
        <f>IFERROR(C283*B283,"NA")</f>
        <v>NA</v>
      </c>
    </row>
    <row r="284" spans="1:4" hidden="1" x14ac:dyDescent="0.25">
      <c r="A284" s="1179" t="s">
        <v>833</v>
      </c>
      <c r="B284" s="1180" t="str">
        <f>IF($C$281="Abu Dhabi",'TOB &amp; Rates'!D182+'TOB &amp; Rates'!E182,"NA")</f>
        <v>NA</v>
      </c>
      <c r="C284" s="1181" t="str">
        <f>IF($C$281="Abu Dhabi",'TOB &amp; Rates'!D274,"NA")</f>
        <v>NA</v>
      </c>
      <c r="D284" s="1181" t="str">
        <f>IFERROR(C284*B284,"NA")</f>
        <v>NA</v>
      </c>
    </row>
    <row r="285" spans="1:4" hidden="1" x14ac:dyDescent="0.25">
      <c r="A285" s="1179" t="s">
        <v>934</v>
      </c>
      <c r="B285" s="1180" t="str">
        <f>IF($C$281="Abu Dhabi",'TOB &amp; Rates'!D183+'TOB &amp; Rates'!E183,"NA")</f>
        <v>NA</v>
      </c>
      <c r="C285" s="1181" t="str">
        <f>IF($C$281="Abu Dhabi",'TOB &amp; Rates'!D275,"NA")</f>
        <v>NA</v>
      </c>
      <c r="D285" s="1181" t="str">
        <f>IFERROR(C285*B285,"NA")</f>
        <v>NA</v>
      </c>
    </row>
    <row r="286" spans="1:4" hidden="1" x14ac:dyDescent="0.25">
      <c r="A286" s="1179" t="s">
        <v>1109</v>
      </c>
      <c r="B286" s="1180" t="str">
        <f>IF($C$281="Abu Dhabi",'TOB &amp; Rates'!D184+'TOB &amp; Rates'!E184,"NA")</f>
        <v>NA</v>
      </c>
      <c r="C286" s="1181" t="str">
        <f>IF($C$281="Abu Dhabi",'TOB &amp; Rates'!D276,"NA")</f>
        <v>NA</v>
      </c>
      <c r="D286" s="1181" t="str">
        <f>IFERROR(C286*B286,"NA")</f>
        <v>NA</v>
      </c>
    </row>
    <row r="287" spans="1:4" hidden="1" x14ac:dyDescent="0.25">
      <c r="A287" s="1179" t="s">
        <v>1104</v>
      </c>
      <c r="B287" s="1182" t="str">
        <f>IF($C$209="Abu Dhabi",'TOB &amp; Rates'!D246,"NA")</f>
        <v>NA</v>
      </c>
      <c r="C287" s="1181" t="str">
        <f>IF($C$209="Abu Dhabi",'TOB &amp; Rates'!E284,"NA")</f>
        <v>NA</v>
      </c>
      <c r="D287" s="1181" t="str">
        <f t="shared" ref="D287" si="11">IFERROR(C287*B287,"NA")</f>
        <v>NA</v>
      </c>
    </row>
    <row r="288" spans="1:4" ht="15.75" hidden="1" x14ac:dyDescent="0.25">
      <c r="A288" s="1183" t="s">
        <v>201</v>
      </c>
      <c r="B288" s="1184">
        <f>IFERROR(SUM(B283:B286),"NA")</f>
        <v>0</v>
      </c>
      <c r="C288" s="1183"/>
      <c r="D288" s="1185">
        <f>IFERROR(SUM(D283:D287),"NA")</f>
        <v>0</v>
      </c>
    </row>
    <row r="289" spans="1:4" hidden="1" x14ac:dyDescent="0.25">
      <c r="A289" s="904" t="s">
        <v>1110</v>
      </c>
      <c r="B289" s="1175" t="str">
        <f>B281</f>
        <v>Category E</v>
      </c>
      <c r="C289" s="740" t="str">
        <f>C281</f>
        <v/>
      </c>
      <c r="D289" s="1176" t="s">
        <v>1105</v>
      </c>
    </row>
    <row r="290" spans="1:4" ht="15.75" hidden="1" x14ac:dyDescent="0.25">
      <c r="A290" s="1177" t="s">
        <v>1103</v>
      </c>
      <c r="B290" s="1177" t="s">
        <v>1106</v>
      </c>
      <c r="C290" s="1178" t="s">
        <v>1107</v>
      </c>
      <c r="D290" s="1178" t="s">
        <v>1108</v>
      </c>
    </row>
    <row r="291" spans="1:4" hidden="1" x14ac:dyDescent="0.25">
      <c r="A291" s="1179" t="s">
        <v>290</v>
      </c>
      <c r="B291" s="1180" t="str">
        <f>IF($C$281="Abu Dhabi",'TOB &amp; Rates'!D228+'TOB &amp; Rates'!E228,"NA")</f>
        <v>NA</v>
      </c>
      <c r="C291" s="1181" t="str">
        <f>IF($C$281="Abu Dhabi",'TOB &amp; Rates'!D306,"NA")</f>
        <v>NA</v>
      </c>
      <c r="D291" s="1181" t="str">
        <f>IFERROR(C291*B291,"NA")</f>
        <v>NA</v>
      </c>
    </row>
    <row r="292" spans="1:4" hidden="1" x14ac:dyDescent="0.25">
      <c r="A292" s="1179" t="s">
        <v>287</v>
      </c>
      <c r="B292" s="1180" t="str">
        <f>IF($C$281="Abu Dhabi",'TOB &amp; Rates'!D229+'TOB &amp; Rates'!E229,"NA")</f>
        <v>NA</v>
      </c>
      <c r="C292" s="1181" t="str">
        <f>IF($C$281="Abu Dhabi",'TOB &amp; Rates'!D307,"NA")</f>
        <v>NA</v>
      </c>
      <c r="D292" s="1181" t="str">
        <f>IFERROR(C292*B292,"NA")</f>
        <v>NA</v>
      </c>
    </row>
    <row r="293" spans="1:4" hidden="1" x14ac:dyDescent="0.25">
      <c r="A293" s="1179" t="s">
        <v>833</v>
      </c>
      <c r="B293" s="1180" t="str">
        <f>IF($C$281="Abu Dhabi",'TOB &amp; Rates'!D230+'TOB &amp; Rates'!E230,"NA")</f>
        <v>NA</v>
      </c>
      <c r="C293" s="1181" t="str">
        <f>IF($C$281="Abu Dhabi",'TOB &amp; Rates'!D308,"NA")</f>
        <v>NA</v>
      </c>
      <c r="D293" s="1181" t="str">
        <f>IFERROR(C293*B293,"NA")</f>
        <v>NA</v>
      </c>
    </row>
    <row r="294" spans="1:4" hidden="1" x14ac:dyDescent="0.25">
      <c r="A294" s="1179" t="s">
        <v>934</v>
      </c>
      <c r="B294" s="1180" t="str">
        <f>IF($C$281="Abu Dhabi",'TOB &amp; Rates'!D231+'TOB &amp; Rates'!E231,"NA")</f>
        <v>NA</v>
      </c>
      <c r="C294" s="1181" t="str">
        <f>IF($C$281="Abu Dhabi",'TOB &amp; Rates'!D309,"NA")</f>
        <v>NA</v>
      </c>
      <c r="D294" s="1181" t="str">
        <f>IFERROR(C294*B294,"NA")</f>
        <v>NA</v>
      </c>
    </row>
    <row r="295" spans="1:4" hidden="1" x14ac:dyDescent="0.25">
      <c r="A295" s="1179" t="s">
        <v>1109</v>
      </c>
      <c r="B295" s="1180" t="str">
        <f>IF($C$281="Abu Dhabi",'TOB &amp; Rates'!D232+'TOB &amp; Rates'!E232,"NA")</f>
        <v>NA</v>
      </c>
      <c r="C295" s="1181" t="str">
        <f>IF($C$281="Abu Dhabi",'TOB &amp; Rates'!D310,"NA")</f>
        <v>NA</v>
      </c>
      <c r="D295" s="1181" t="str">
        <f>IFERROR(C295*B295,"NA")</f>
        <v>NA</v>
      </c>
    </row>
    <row r="296" spans="1:4" hidden="1" x14ac:dyDescent="0.25">
      <c r="A296" s="1179" t="s">
        <v>1104</v>
      </c>
      <c r="B296" s="1182" t="str">
        <f>IF($C$209="Abu Dhabi",'TOB &amp; Rates'!D247,"NA")</f>
        <v>NA</v>
      </c>
      <c r="C296" s="1181" t="str">
        <f>IF($C$209="Abu Dhabi",'TOB &amp; Rates'!E318,"NA")</f>
        <v>NA</v>
      </c>
      <c r="D296" s="1181" t="str">
        <f t="shared" ref="D296" si="12">IFERROR(C296*B296,"NA")</f>
        <v>NA</v>
      </c>
    </row>
    <row r="297" spans="1:4" ht="15.75" hidden="1" x14ac:dyDescent="0.25">
      <c r="A297" s="1183" t="s">
        <v>201</v>
      </c>
      <c r="B297" s="1184">
        <f>IFERROR(SUM(B291:B295),"NA")</f>
        <v>0</v>
      </c>
      <c r="C297" s="1183"/>
      <c r="D297" s="1185">
        <f>IFERROR(SUM(D291:D296),"NA")</f>
        <v>0</v>
      </c>
    </row>
    <row r="299" spans="1:4" hidden="1" x14ac:dyDescent="0.25">
      <c r="A299" s="904" t="s">
        <v>1110</v>
      </c>
      <c r="B299" s="1186" t="s">
        <v>740</v>
      </c>
      <c r="C299" s="740" t="str">
        <f>'TOB &amp; Rates'!L43</f>
        <v/>
      </c>
      <c r="D299" s="1176" t="s">
        <v>957</v>
      </c>
    </row>
    <row r="300" spans="1:4" ht="15.75" hidden="1" x14ac:dyDescent="0.25">
      <c r="A300" s="1177" t="s">
        <v>1103</v>
      </c>
      <c r="B300" s="1177" t="s">
        <v>1106</v>
      </c>
      <c r="C300" s="1178" t="s">
        <v>1107</v>
      </c>
      <c r="D300" s="1178" t="s">
        <v>1108</v>
      </c>
    </row>
    <row r="301" spans="1:4" hidden="1" x14ac:dyDescent="0.25">
      <c r="A301" s="1179" t="s">
        <v>287</v>
      </c>
      <c r="B301" s="1180" t="str">
        <f>IF($C$281="Abu Dhabi",'TOB &amp; Rates'!G181+'TOB &amp; Rates'!H181,"NA")</f>
        <v>NA</v>
      </c>
      <c r="C301" s="1181" t="str">
        <f>IF($C$281="Abu Dhabi",'TOB &amp; Rates'!G273,"NA")</f>
        <v>NA</v>
      </c>
      <c r="D301" s="1181" t="str">
        <f>IFERROR(C301*B301,"NA")</f>
        <v>NA</v>
      </c>
    </row>
    <row r="302" spans="1:4" hidden="1" x14ac:dyDescent="0.25">
      <c r="A302" s="1179" t="s">
        <v>833</v>
      </c>
      <c r="B302" s="1180" t="str">
        <f>IF($C$281="Abu Dhabi",'TOB &amp; Rates'!G182+'TOB &amp; Rates'!H182,"NA")</f>
        <v>NA</v>
      </c>
      <c r="C302" s="1181" t="str">
        <f>IF($C$281="Abu Dhabi",'TOB &amp; Rates'!G274,"NA")</f>
        <v>NA</v>
      </c>
      <c r="D302" s="1181" t="str">
        <f>IFERROR(C302*B302,"NA")</f>
        <v>NA</v>
      </c>
    </row>
    <row r="303" spans="1:4" hidden="1" x14ac:dyDescent="0.25">
      <c r="A303" s="1179" t="s">
        <v>934</v>
      </c>
      <c r="B303" s="1180" t="str">
        <f>IF($C$281="Abu Dhabi",'TOB &amp; Rates'!G183+'TOB &amp; Rates'!H183,"NA")</f>
        <v>NA</v>
      </c>
      <c r="C303" s="1181" t="str">
        <f>IF($C$281="Abu Dhabi",'TOB &amp; Rates'!G275,"NA")</f>
        <v>NA</v>
      </c>
      <c r="D303" s="1181" t="str">
        <f>IFERROR(C303*B303,"NA")</f>
        <v>NA</v>
      </c>
    </row>
    <row r="304" spans="1:4" hidden="1" x14ac:dyDescent="0.25">
      <c r="A304" s="1179" t="s">
        <v>1109</v>
      </c>
      <c r="B304" s="1180" t="str">
        <f>IF($C$281="Abu Dhabi",'TOB &amp; Rates'!G184+'TOB &amp; Rates'!H184,"NA")</f>
        <v>NA</v>
      </c>
      <c r="C304" s="1181" t="str">
        <f>IF($C$281="Abu Dhabi",'TOB &amp; Rates'!G276,"NA")</f>
        <v>NA</v>
      </c>
      <c r="D304" s="1181" t="str">
        <f>IFERROR(C304*B304,"NA")</f>
        <v>NA</v>
      </c>
    </row>
    <row r="305" spans="1:4" hidden="1" x14ac:dyDescent="0.25">
      <c r="A305" s="1179" t="s">
        <v>1104</v>
      </c>
      <c r="B305" s="1182" t="str">
        <f>IF($C$209="Abu Dhabi",'TOB &amp; Rates'!G246,"NA")</f>
        <v>NA</v>
      </c>
      <c r="C305" s="1181" t="str">
        <f>IF($C$209="Abu Dhabi",'TOB &amp; Rates'!H284,"NA")</f>
        <v>NA</v>
      </c>
      <c r="D305" s="1181" t="str">
        <f t="shared" ref="D305" si="13">IFERROR(C305*B305,"NA")</f>
        <v>NA</v>
      </c>
    </row>
    <row r="306" spans="1:4" ht="15.75" hidden="1" x14ac:dyDescent="0.25">
      <c r="A306" s="1183" t="s">
        <v>201</v>
      </c>
      <c r="B306" s="1184">
        <f>IFERROR(SUM(B301:B304),"NA")</f>
        <v>0</v>
      </c>
      <c r="C306" s="1183"/>
      <c r="D306" s="1185">
        <f>IFERROR(SUM(D301:D305),"NA")</f>
        <v>0</v>
      </c>
    </row>
    <row r="307" spans="1:4" hidden="1" x14ac:dyDescent="0.25">
      <c r="A307" s="904" t="s">
        <v>1110</v>
      </c>
      <c r="B307" s="1175" t="str">
        <f>B299</f>
        <v>Category F</v>
      </c>
      <c r="C307" s="740" t="str">
        <f>C299</f>
        <v/>
      </c>
      <c r="D307" s="1176" t="s">
        <v>1105</v>
      </c>
    </row>
    <row r="308" spans="1:4" ht="15.75" hidden="1" x14ac:dyDescent="0.25">
      <c r="A308" s="1177" t="s">
        <v>1103</v>
      </c>
      <c r="B308" s="1177" t="s">
        <v>1106</v>
      </c>
      <c r="C308" s="1178" t="s">
        <v>1107</v>
      </c>
      <c r="D308" s="1178" t="s">
        <v>1108</v>
      </c>
    </row>
    <row r="309" spans="1:4" hidden="1" x14ac:dyDescent="0.25">
      <c r="A309" s="1179" t="s">
        <v>290</v>
      </c>
      <c r="B309" s="1180" t="str">
        <f>IF($C$281="Abu Dhabi",'TOB &amp; Rates'!G228+'TOB &amp; Rates'!H228,"NA")</f>
        <v>NA</v>
      </c>
      <c r="C309" s="1181" t="str">
        <f>IF($C$281="Abu Dhabi",'TOB &amp; Rates'!G306,"NA")</f>
        <v>NA</v>
      </c>
      <c r="D309" s="1181" t="str">
        <f>IFERROR(C309*B309,"NA")</f>
        <v>NA</v>
      </c>
    </row>
    <row r="310" spans="1:4" hidden="1" x14ac:dyDescent="0.25">
      <c r="A310" s="1179" t="s">
        <v>287</v>
      </c>
      <c r="B310" s="1180" t="str">
        <f>IF($C$281="Abu Dhabi",'TOB &amp; Rates'!G229+'TOB &amp; Rates'!H229,"NA")</f>
        <v>NA</v>
      </c>
      <c r="C310" s="1181" t="str">
        <f>IF($C$281="Abu Dhabi",'TOB &amp; Rates'!G307,"NA")</f>
        <v>NA</v>
      </c>
      <c r="D310" s="1181" t="str">
        <f>IFERROR(C310*B310,"NA")</f>
        <v>NA</v>
      </c>
    </row>
    <row r="311" spans="1:4" hidden="1" x14ac:dyDescent="0.25">
      <c r="A311" s="1179" t="s">
        <v>833</v>
      </c>
      <c r="B311" s="1180" t="str">
        <f>IF($C$281="Abu Dhabi",'TOB &amp; Rates'!G230+'TOB &amp; Rates'!H230,"NA")</f>
        <v>NA</v>
      </c>
      <c r="C311" s="1181" t="str">
        <f>IF($C$281="Abu Dhabi",'TOB &amp; Rates'!G308,"NA")</f>
        <v>NA</v>
      </c>
      <c r="D311" s="1181" t="str">
        <f>IFERROR(C311*B311,"NA")</f>
        <v>NA</v>
      </c>
    </row>
    <row r="312" spans="1:4" hidden="1" x14ac:dyDescent="0.25">
      <c r="A312" s="1179" t="s">
        <v>934</v>
      </c>
      <c r="B312" s="1180" t="str">
        <f>IF($C$281="Abu Dhabi",'TOB &amp; Rates'!G231+'TOB &amp; Rates'!H231,"NA")</f>
        <v>NA</v>
      </c>
      <c r="C312" s="1181" t="str">
        <f>IF($C$281="Abu Dhabi",'TOB &amp; Rates'!G309,"NA")</f>
        <v>NA</v>
      </c>
      <c r="D312" s="1181" t="str">
        <f>IFERROR(C312*B312,"NA")</f>
        <v>NA</v>
      </c>
    </row>
    <row r="313" spans="1:4" hidden="1" x14ac:dyDescent="0.25">
      <c r="A313" s="1179" t="s">
        <v>1109</v>
      </c>
      <c r="B313" s="1180" t="str">
        <f>IF($C$281="Abu Dhabi",'TOB &amp; Rates'!G232+'TOB &amp; Rates'!H232,"NA")</f>
        <v>NA</v>
      </c>
      <c r="C313" s="1181" t="str">
        <f>IF($C$281="Abu Dhabi",'TOB &amp; Rates'!G310,"NA")</f>
        <v>NA</v>
      </c>
      <c r="D313" s="1181" t="str">
        <f>IFERROR(C313*B313,"NA")</f>
        <v>NA</v>
      </c>
    </row>
    <row r="314" spans="1:4" hidden="1" x14ac:dyDescent="0.25">
      <c r="A314" s="1179" t="s">
        <v>1104</v>
      </c>
      <c r="B314" s="1182" t="str">
        <f>IF($C$209="Abu Dhabi",'TOB &amp; Rates'!G247,"NA")</f>
        <v>NA</v>
      </c>
      <c r="C314" s="1181" t="str">
        <f>IF($C$209="Abu Dhabi",'TOB &amp; Rates'!H318,"NA")</f>
        <v>NA</v>
      </c>
      <c r="D314" s="1181" t="str">
        <f t="shared" ref="D314" si="14">IFERROR(C314*B314,"NA")</f>
        <v>NA</v>
      </c>
    </row>
    <row r="315" spans="1:4" ht="15.75" hidden="1" x14ac:dyDescent="0.25">
      <c r="A315" s="1183" t="s">
        <v>201</v>
      </c>
      <c r="B315" s="1184">
        <f>IFERROR(SUM(B309:B313),"NA")</f>
        <v>0</v>
      </c>
      <c r="C315" s="1183"/>
      <c r="D315" s="1185">
        <f>IFERROR(SUM(D309:D314),"NA")</f>
        <v>0</v>
      </c>
    </row>
    <row r="317" spans="1:4" hidden="1" x14ac:dyDescent="0.25">
      <c r="A317" s="904" t="s">
        <v>1110</v>
      </c>
      <c r="B317" s="1175" t="s">
        <v>742</v>
      </c>
      <c r="C317" s="740" t="str">
        <f>'TOB &amp; Rates'!M43</f>
        <v/>
      </c>
      <c r="D317" s="1176" t="s">
        <v>957</v>
      </c>
    </row>
    <row r="318" spans="1:4" ht="15.75" hidden="1" x14ac:dyDescent="0.25">
      <c r="A318" s="1177" t="s">
        <v>1103</v>
      </c>
      <c r="B318" s="1177" t="s">
        <v>1106</v>
      </c>
      <c r="C318" s="1178" t="s">
        <v>1107</v>
      </c>
      <c r="D318" s="1178" t="s">
        <v>1108</v>
      </c>
    </row>
    <row r="319" spans="1:4" hidden="1" x14ac:dyDescent="0.25">
      <c r="A319" s="1179" t="s">
        <v>287</v>
      </c>
      <c r="B319" s="1180" t="str">
        <f>IF($C$281="Abu Dhabi",'TOB &amp; Rates'!J181+'TOB &amp; Rates'!K181,"NA")</f>
        <v>NA</v>
      </c>
      <c r="C319" s="1181" t="str">
        <f>IF($C$281="Abu Dhabi",'TOB &amp; Rates'!J273,"NA")</f>
        <v>NA</v>
      </c>
      <c r="D319" s="1181" t="str">
        <f>IFERROR(C319*B319,"NA")</f>
        <v>NA</v>
      </c>
    </row>
    <row r="320" spans="1:4" hidden="1" x14ac:dyDescent="0.25">
      <c r="A320" s="1179" t="s">
        <v>833</v>
      </c>
      <c r="B320" s="1180" t="str">
        <f>IF($C$281="Abu Dhabi",'TOB &amp; Rates'!J182+'TOB &amp; Rates'!K182,"NA")</f>
        <v>NA</v>
      </c>
      <c r="C320" s="1181" t="str">
        <f>IF($C$281="Abu Dhabi",'TOB &amp; Rates'!J274,"NA")</f>
        <v>NA</v>
      </c>
      <c r="D320" s="1181" t="str">
        <f>IFERROR(C320*B320,"NA")</f>
        <v>NA</v>
      </c>
    </row>
    <row r="321" spans="1:4" hidden="1" x14ac:dyDescent="0.25">
      <c r="A321" s="1179" t="s">
        <v>934</v>
      </c>
      <c r="B321" s="1180" t="str">
        <f>IF($C$281="Abu Dhabi",'TOB &amp; Rates'!J183+'TOB &amp; Rates'!K183,"NA")</f>
        <v>NA</v>
      </c>
      <c r="C321" s="1181" t="str">
        <f>IF($C$281="Abu Dhabi",'TOB &amp; Rates'!J275,"NA")</f>
        <v>NA</v>
      </c>
      <c r="D321" s="1181" t="str">
        <f>IFERROR(C321*B321,"NA")</f>
        <v>NA</v>
      </c>
    </row>
    <row r="322" spans="1:4" hidden="1" x14ac:dyDescent="0.25">
      <c r="A322" s="1179" t="s">
        <v>1109</v>
      </c>
      <c r="B322" s="1180" t="str">
        <f>IF($C$281="Abu Dhabi",'TOB &amp; Rates'!J184+'TOB &amp; Rates'!K184,"NA")</f>
        <v>NA</v>
      </c>
      <c r="C322" s="1181" t="str">
        <f>IF($C$281="Abu Dhabi",'TOB &amp; Rates'!J276,"NA")</f>
        <v>NA</v>
      </c>
      <c r="D322" s="1181" t="str">
        <f>IFERROR(C322*B322,"NA")</f>
        <v>NA</v>
      </c>
    </row>
    <row r="323" spans="1:4" hidden="1" x14ac:dyDescent="0.25">
      <c r="A323" s="1179" t="s">
        <v>1104</v>
      </c>
      <c r="B323" s="1182" t="str">
        <f>IF($C$209="Abu Dhabi",'TOB &amp; Rates'!J246,"NA")</f>
        <v>NA</v>
      </c>
      <c r="C323" s="1181" t="str">
        <f>IF($C$209="Abu Dhabi",'TOB &amp; Rates'!K284,"NA")</f>
        <v>NA</v>
      </c>
      <c r="D323" s="1181" t="str">
        <f t="shared" ref="D323" si="15">IFERROR(C323*B323,"NA")</f>
        <v>NA</v>
      </c>
    </row>
    <row r="324" spans="1:4" ht="15.75" hidden="1" x14ac:dyDescent="0.25">
      <c r="A324" s="1183" t="s">
        <v>201</v>
      </c>
      <c r="B324" s="1184">
        <f>IFERROR(SUM(B319:B322),"NA")</f>
        <v>0</v>
      </c>
      <c r="C324" s="1183"/>
      <c r="D324" s="1185">
        <f>IFERROR(SUM(D319:D323),"NA")</f>
        <v>0</v>
      </c>
    </row>
    <row r="325" spans="1:4" hidden="1" x14ac:dyDescent="0.25">
      <c r="A325" s="904" t="s">
        <v>1110</v>
      </c>
      <c r="B325" s="1175" t="str">
        <f>B317</f>
        <v>Category G</v>
      </c>
      <c r="C325" s="740" t="str">
        <f>C317</f>
        <v/>
      </c>
      <c r="D325" s="1176" t="s">
        <v>1105</v>
      </c>
    </row>
    <row r="326" spans="1:4" ht="15.75" hidden="1" x14ac:dyDescent="0.25">
      <c r="A326" s="1177" t="s">
        <v>1103</v>
      </c>
      <c r="B326" s="1177" t="s">
        <v>1106</v>
      </c>
      <c r="C326" s="1178" t="s">
        <v>1107</v>
      </c>
      <c r="D326" s="1178" t="s">
        <v>1108</v>
      </c>
    </row>
    <row r="327" spans="1:4" hidden="1" x14ac:dyDescent="0.25">
      <c r="A327" s="1179" t="s">
        <v>290</v>
      </c>
      <c r="B327" s="1180" t="str">
        <f>IF($C$281="Abu Dhabi",'TOB &amp; Rates'!J228+'TOB &amp; Rates'!K228,"NA")</f>
        <v>NA</v>
      </c>
      <c r="C327" s="1181" t="str">
        <f>IF($C$281="Abu Dhabi",'TOB &amp; Rates'!J306,"NA")</f>
        <v>NA</v>
      </c>
      <c r="D327" s="1181" t="str">
        <f>IFERROR(C327*B327,"NA")</f>
        <v>NA</v>
      </c>
    </row>
    <row r="328" spans="1:4" hidden="1" x14ac:dyDescent="0.25">
      <c r="A328" s="1179" t="s">
        <v>287</v>
      </c>
      <c r="B328" s="1180" t="str">
        <f>IF($C$281="Abu Dhabi",'TOB &amp; Rates'!J229+'TOB &amp; Rates'!K229,"NA")</f>
        <v>NA</v>
      </c>
      <c r="C328" s="1181" t="str">
        <f>IF($C$281="Abu Dhabi",'TOB &amp; Rates'!J307,"NA")</f>
        <v>NA</v>
      </c>
      <c r="D328" s="1181" t="str">
        <f>IFERROR(C328*B328,"NA")</f>
        <v>NA</v>
      </c>
    </row>
    <row r="329" spans="1:4" hidden="1" x14ac:dyDescent="0.25">
      <c r="A329" s="1179" t="s">
        <v>833</v>
      </c>
      <c r="B329" s="1180" t="str">
        <f>IF($C$281="Abu Dhabi",'TOB &amp; Rates'!J230+'TOB &amp; Rates'!K230,"NA")</f>
        <v>NA</v>
      </c>
      <c r="C329" s="1181" t="str">
        <f>IF($C$281="Abu Dhabi",'TOB &amp; Rates'!J308,"NA")</f>
        <v>NA</v>
      </c>
      <c r="D329" s="1181" t="str">
        <f>IFERROR(C329*B329,"NA")</f>
        <v>NA</v>
      </c>
    </row>
    <row r="330" spans="1:4" hidden="1" x14ac:dyDescent="0.25">
      <c r="A330" s="1179" t="s">
        <v>934</v>
      </c>
      <c r="B330" s="1180" t="str">
        <f>IF($C$281="Abu Dhabi",'TOB &amp; Rates'!J231+'TOB &amp; Rates'!K231,"NA")</f>
        <v>NA</v>
      </c>
      <c r="C330" s="1181" t="str">
        <f>IF($C$281="Abu Dhabi",'TOB &amp; Rates'!J309,"NA")</f>
        <v>NA</v>
      </c>
      <c r="D330" s="1181" t="str">
        <f>IFERROR(C330*B330,"NA")</f>
        <v>NA</v>
      </c>
    </row>
    <row r="331" spans="1:4" hidden="1" x14ac:dyDescent="0.25">
      <c r="A331" s="1179" t="s">
        <v>1109</v>
      </c>
      <c r="B331" s="1180" t="str">
        <f>IF($C$281="Abu Dhabi",'TOB &amp; Rates'!J232+'TOB &amp; Rates'!K232,"NA")</f>
        <v>NA</v>
      </c>
      <c r="C331" s="1181" t="str">
        <f>IF($C$281="Abu Dhabi",'TOB &amp; Rates'!J310,"NA")</f>
        <v>NA</v>
      </c>
      <c r="D331" s="1181" t="str">
        <f>IFERROR(C331*B331,"NA")</f>
        <v>NA</v>
      </c>
    </row>
    <row r="332" spans="1:4" hidden="1" x14ac:dyDescent="0.25">
      <c r="A332" s="1179" t="s">
        <v>1104</v>
      </c>
      <c r="B332" s="1182" t="str">
        <f>IF($C$209="Abu Dhabi",'TOB &amp; Rates'!J247,"NA")</f>
        <v>NA</v>
      </c>
      <c r="C332" s="1181" t="str">
        <f>IF($C$209="Abu Dhabi",'TOB &amp; Rates'!K318,"NA")</f>
        <v>NA</v>
      </c>
      <c r="D332" s="1181" t="str">
        <f t="shared" ref="D332" si="16">IFERROR(C332*B332,"NA")</f>
        <v>NA</v>
      </c>
    </row>
    <row r="333" spans="1:4" ht="15.75" hidden="1" x14ac:dyDescent="0.25">
      <c r="A333" s="1183" t="s">
        <v>201</v>
      </c>
      <c r="B333" s="1184">
        <f>IFERROR(SUM(B327:B331),"NA")</f>
        <v>0</v>
      </c>
      <c r="C333" s="1183"/>
      <c r="D333" s="1185">
        <f>IFERROR(SUM(D327:D332),"NA")</f>
        <v>0</v>
      </c>
    </row>
    <row r="335" spans="1:4" hidden="1" x14ac:dyDescent="0.25">
      <c r="A335" s="904" t="s">
        <v>1110</v>
      </c>
      <c r="B335" s="1186" t="s">
        <v>741</v>
      </c>
      <c r="C335" s="740" t="str">
        <f>'TOB &amp; Rates'!N43</f>
        <v/>
      </c>
      <c r="D335" s="1176" t="s">
        <v>957</v>
      </c>
    </row>
    <row r="336" spans="1:4" ht="15.75" hidden="1" x14ac:dyDescent="0.25">
      <c r="A336" s="1177" t="s">
        <v>1103</v>
      </c>
      <c r="B336" s="1177" t="s">
        <v>1106</v>
      </c>
      <c r="C336" s="1178" t="s">
        <v>1107</v>
      </c>
      <c r="D336" s="1178" t="s">
        <v>1108</v>
      </c>
    </row>
    <row r="337" spans="1:4" hidden="1" x14ac:dyDescent="0.25">
      <c r="A337" s="1179" t="s">
        <v>287</v>
      </c>
      <c r="B337" s="1180" t="str">
        <f>IF($C$281="Abu Dhabi",'TOB &amp; Rates'!M181+'TOB &amp; Rates'!N181,"NA")</f>
        <v>NA</v>
      </c>
      <c r="C337" s="1181" t="str">
        <f>IF($C$281="Abu Dhabi",'TOB &amp; Rates'!M273,"NA")</f>
        <v>NA</v>
      </c>
      <c r="D337" s="1181" t="str">
        <f>IFERROR(C337*B337,"NA")</f>
        <v>NA</v>
      </c>
    </row>
    <row r="338" spans="1:4" hidden="1" x14ac:dyDescent="0.25">
      <c r="A338" s="1179" t="s">
        <v>833</v>
      </c>
      <c r="B338" s="1180" t="str">
        <f>IF($C$281="Abu Dhabi",'TOB &amp; Rates'!M182+'TOB &amp; Rates'!N182,"NA")</f>
        <v>NA</v>
      </c>
      <c r="C338" s="1181" t="str">
        <f>IF($C$281="Abu Dhabi",'TOB &amp; Rates'!M274,"NA")</f>
        <v>NA</v>
      </c>
      <c r="D338" s="1181" t="str">
        <f>IFERROR(C338*B338,"NA")</f>
        <v>NA</v>
      </c>
    </row>
    <row r="339" spans="1:4" hidden="1" x14ac:dyDescent="0.25">
      <c r="A339" s="1179" t="s">
        <v>934</v>
      </c>
      <c r="B339" s="1180" t="str">
        <f>IF($C$281="Abu Dhabi",'TOB &amp; Rates'!M183+'TOB &amp; Rates'!N183,"NA")</f>
        <v>NA</v>
      </c>
      <c r="C339" s="1181" t="str">
        <f>IF($C$281="Abu Dhabi",'TOB &amp; Rates'!M275,"NA")</f>
        <v>NA</v>
      </c>
      <c r="D339" s="1181" t="str">
        <f>IFERROR(C339*B339,"NA")</f>
        <v>NA</v>
      </c>
    </row>
    <row r="340" spans="1:4" hidden="1" x14ac:dyDescent="0.25">
      <c r="A340" s="1179" t="s">
        <v>1109</v>
      </c>
      <c r="B340" s="1180" t="str">
        <f>IF($C$281="Abu Dhabi",'TOB &amp; Rates'!M184+'TOB &amp; Rates'!N184,"NA")</f>
        <v>NA</v>
      </c>
      <c r="C340" s="1181" t="str">
        <f>IF($C$281="Abu Dhabi",'TOB &amp; Rates'!M276,"NA")</f>
        <v>NA</v>
      </c>
      <c r="D340" s="1181" t="str">
        <f>IFERROR(C340*B340,"NA")</f>
        <v>NA</v>
      </c>
    </row>
    <row r="341" spans="1:4" hidden="1" x14ac:dyDescent="0.25">
      <c r="A341" s="1179" t="s">
        <v>1104</v>
      </c>
      <c r="B341" s="1182" t="str">
        <f>IF($C$209="Abu Dhabi",'TOB &amp; Rates'!M246,"NA")</f>
        <v>NA</v>
      </c>
      <c r="C341" s="1181" t="str">
        <f>IF($C$209="Abu Dhabi",'TOB &amp; Rates'!N284,"NA")</f>
        <v>NA</v>
      </c>
      <c r="D341" s="1181" t="str">
        <f t="shared" ref="D341" si="17">IFERROR(C341*B341,"NA")</f>
        <v>NA</v>
      </c>
    </row>
    <row r="342" spans="1:4" ht="15.75" hidden="1" x14ac:dyDescent="0.25">
      <c r="A342" s="1183" t="s">
        <v>201</v>
      </c>
      <c r="B342" s="1184">
        <f>IFERROR(SUM(B337:B340),"NA")</f>
        <v>0</v>
      </c>
      <c r="C342" s="1183"/>
      <c r="D342" s="1185">
        <f>IFERROR(SUM(D337:D341),"NA")</f>
        <v>0</v>
      </c>
    </row>
    <row r="343" spans="1:4" hidden="1" x14ac:dyDescent="0.25">
      <c r="A343" s="904" t="s">
        <v>1110</v>
      </c>
      <c r="B343" s="1175" t="str">
        <f>B335</f>
        <v>Category H</v>
      </c>
      <c r="C343" s="740" t="str">
        <f>C335</f>
        <v/>
      </c>
      <c r="D343" s="1176" t="s">
        <v>1105</v>
      </c>
    </row>
    <row r="344" spans="1:4" ht="15.75" hidden="1" x14ac:dyDescent="0.25">
      <c r="A344" s="1177" t="s">
        <v>1103</v>
      </c>
      <c r="B344" s="1177" t="s">
        <v>1106</v>
      </c>
      <c r="C344" s="1178" t="s">
        <v>1107</v>
      </c>
      <c r="D344" s="1178" t="s">
        <v>1108</v>
      </c>
    </row>
    <row r="345" spans="1:4" hidden="1" x14ac:dyDescent="0.25">
      <c r="A345" s="1179" t="s">
        <v>290</v>
      </c>
      <c r="B345" s="1180" t="str">
        <f>IF($C$281="Abu Dhabi",'TOB &amp; Rates'!M228+'TOB &amp; Rates'!N228,"NA")</f>
        <v>NA</v>
      </c>
      <c r="C345" s="1181" t="str">
        <f>IF($C$281="Abu Dhabi",'TOB &amp; Rates'!M306,"NA")</f>
        <v>NA</v>
      </c>
      <c r="D345" s="1181" t="str">
        <f>IFERROR(C345*B345,"NA")</f>
        <v>NA</v>
      </c>
    </row>
    <row r="346" spans="1:4" hidden="1" x14ac:dyDescent="0.25">
      <c r="A346" s="1179" t="s">
        <v>287</v>
      </c>
      <c r="B346" s="1180" t="str">
        <f>IF($C$281="Abu Dhabi",'TOB &amp; Rates'!M229+'TOB &amp; Rates'!N229,"NA")</f>
        <v>NA</v>
      </c>
      <c r="C346" s="1181" t="str">
        <f>IF($C$281="Abu Dhabi",'TOB &amp; Rates'!M307,"NA")</f>
        <v>NA</v>
      </c>
      <c r="D346" s="1181" t="str">
        <f>IFERROR(C346*B346,"NA")</f>
        <v>NA</v>
      </c>
    </row>
    <row r="347" spans="1:4" hidden="1" x14ac:dyDescent="0.25">
      <c r="A347" s="1179" t="s">
        <v>833</v>
      </c>
      <c r="B347" s="1180" t="str">
        <f>IF($C$281="Abu Dhabi",'TOB &amp; Rates'!M230+'TOB &amp; Rates'!N230,"NA")</f>
        <v>NA</v>
      </c>
      <c r="C347" s="1181" t="str">
        <f>IF($C$281="Abu Dhabi",'TOB &amp; Rates'!M308,"NA")</f>
        <v>NA</v>
      </c>
      <c r="D347" s="1181" t="str">
        <f>IFERROR(C347*B347,"NA")</f>
        <v>NA</v>
      </c>
    </row>
    <row r="348" spans="1:4" hidden="1" x14ac:dyDescent="0.25">
      <c r="A348" s="1179" t="s">
        <v>934</v>
      </c>
      <c r="B348" s="1180" t="str">
        <f>IF($C$281="Abu Dhabi",'TOB &amp; Rates'!M231+'TOB &amp; Rates'!N231,"NA")</f>
        <v>NA</v>
      </c>
      <c r="C348" s="1181" t="str">
        <f>IF($C$281="Abu Dhabi",'TOB &amp; Rates'!M309,"NA")</f>
        <v>NA</v>
      </c>
      <c r="D348" s="1181" t="str">
        <f>IFERROR(C348*B348,"NA")</f>
        <v>NA</v>
      </c>
    </row>
    <row r="349" spans="1:4" hidden="1" x14ac:dyDescent="0.25">
      <c r="A349" s="1179" t="s">
        <v>1109</v>
      </c>
      <c r="B349" s="1180" t="str">
        <f>IF($C$281="Abu Dhabi",'TOB &amp; Rates'!M232+'TOB &amp; Rates'!N232,"NA")</f>
        <v>NA</v>
      </c>
      <c r="C349" s="1181" t="str">
        <f>IF($C$281="Abu Dhabi",'TOB &amp; Rates'!M310,"NA")</f>
        <v>NA</v>
      </c>
      <c r="D349" s="1181" t="str">
        <f>IFERROR(C349*B349,"NA")</f>
        <v>NA</v>
      </c>
    </row>
    <row r="350" spans="1:4" hidden="1" x14ac:dyDescent="0.25">
      <c r="A350" s="1179" t="s">
        <v>1104</v>
      </c>
      <c r="B350" s="1182" t="str">
        <f>IF($C$209="Abu Dhabi",'TOB &amp; Rates'!M247,"NA")</f>
        <v>NA</v>
      </c>
      <c r="C350" s="1181" t="str">
        <f>IF($C$209="Abu Dhabi",'TOB &amp; Rates'!N318,"NA")</f>
        <v>NA</v>
      </c>
      <c r="D350" s="1181" t="str">
        <f t="shared" ref="D350" si="18">IFERROR(C350*B350,"NA")</f>
        <v>NA</v>
      </c>
    </row>
    <row r="351" spans="1:4" ht="15.75" hidden="1" x14ac:dyDescent="0.25">
      <c r="A351" s="1183" t="s">
        <v>201</v>
      </c>
      <c r="B351" s="1184">
        <f>IFERROR(SUM(B345:B349),"NA")</f>
        <v>0</v>
      </c>
      <c r="C351" s="1183"/>
      <c r="D351" s="1185">
        <f>IFERROR(SUM(D345:D350),"NA")</f>
        <v>0</v>
      </c>
    </row>
  </sheetData>
  <sheetProtection algorithmName="SHA-512" hashValue="SHk1aiNSU5ddx5nHcgn3B+purf52AVqF/lVXsmo13KDlyw5+AB5BpxIzUJUGktjmLFvT+sELnQZ2jW0c7Ou5Ew==" saltValue="pDxIrtzTY3fmeM7CpWqRRQ==" spinCount="100000" sheet="1" objects="1" scenarios="1"/>
  <mergeCells count="1">
    <mergeCell ref="A208:D208"/>
  </mergeCells>
  <dataValidations count="4">
    <dataValidation type="list" allowBlank="1" showInputMessage="1" showErrorMessage="1" sqref="C6:C20" xr:uid="{3E282152-6C0D-49F4-9707-54B3ECEF0C89}">
      <formula1>"A, B, C, D, E, F, G, H"</formula1>
    </dataValidation>
    <dataValidation type="list" allowBlank="1" showInputMessage="1" showErrorMessage="1" error="Input is restricted to &quot;M&quot; for males and &quot;F&quot; for females" sqref="B6:B20" xr:uid="{88779097-E7B4-4549-9BBB-4DBEEC0B94FE}">
      <formula1>"M, F"</formula1>
    </dataValidation>
    <dataValidation type="list" allowBlank="1" showInputMessage="1" showErrorMessage="1" sqref="D6:D20" xr:uid="{BB48CDB4-A7C3-4E3B-B22A-9E5D228DD27A}">
      <formula1>"Principal, Spouse, Child"</formula1>
    </dataValidation>
    <dataValidation type="list" allowBlank="1" showInputMessage="1" showErrorMessage="1" sqref="E6:E20" xr:uid="{4413C108-AEAF-478F-B615-D2473E53391C}">
      <formula1>"Single,Married"</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E48AC-4F35-496F-8E63-DB93717F4052}">
  <sheetPr codeName="Sheet21">
    <tabColor rgb="FF00B0F0"/>
  </sheetPr>
  <dimension ref="A1:M410"/>
  <sheetViews>
    <sheetView zoomScale="70" zoomScaleNormal="70" zoomScalePageLayoutView="55" workbookViewId="0">
      <selection activeCell="G39" sqref="G39"/>
    </sheetView>
  </sheetViews>
  <sheetFormatPr defaultColWidth="0" defaultRowHeight="15" zeroHeight="1" x14ac:dyDescent="0.25"/>
  <cols>
    <col min="1" max="1" width="36.140625" style="433" customWidth="1"/>
    <col min="2" max="2" width="24.85546875" style="433" bestFit="1" customWidth="1"/>
    <col min="3" max="3" width="31.28515625" style="433" customWidth="1"/>
    <col min="4" max="4" width="30.7109375" style="433" customWidth="1"/>
    <col min="5" max="5" width="32.28515625" style="433" customWidth="1"/>
    <col min="6" max="6" width="17.140625" style="433" customWidth="1"/>
    <col min="7" max="7" width="29" style="433" customWidth="1"/>
    <col min="8" max="8" width="23.42578125" style="433" customWidth="1"/>
    <col min="9" max="9" width="23.28515625" style="433" customWidth="1"/>
    <col min="10" max="10" width="9.140625" style="433" hidden="1" customWidth="1"/>
    <col min="11" max="11" width="15.140625" style="433" hidden="1" customWidth="1"/>
    <col min="12" max="12" width="9.140625" style="433" hidden="1" customWidth="1"/>
    <col min="13" max="13" width="11.140625" style="433" hidden="1" customWidth="1"/>
    <col min="14" max="16384" width="9.140625" style="433" hidden="1"/>
  </cols>
  <sheetData>
    <row r="1" spans="1:13" x14ac:dyDescent="0.25"/>
    <row r="2" spans="1:13" x14ac:dyDescent="0.25"/>
    <row r="3" spans="1:13" x14ac:dyDescent="0.25"/>
    <row r="4" spans="1:13" x14ac:dyDescent="0.25"/>
    <row r="5" spans="1:13" x14ac:dyDescent="0.25"/>
    <row r="6" spans="1:13" ht="19.5" x14ac:dyDescent="0.25">
      <c r="C6" s="1259"/>
    </row>
    <row r="7" spans="1:13" ht="19.5" x14ac:dyDescent="0.25">
      <c r="A7" s="1259"/>
      <c r="B7" s="1259"/>
      <c r="C7" s="1259"/>
      <c r="H7" s="1257" t="s">
        <v>1388</v>
      </c>
      <c r="I7" s="1260" t="str">
        <f>'General Information'!B1</f>
        <v>Ver 4.5_Jan_2025</v>
      </c>
    </row>
    <row r="8" spans="1:13" ht="19.5" x14ac:dyDescent="0.25">
      <c r="A8" s="1257" t="str">
        <f>"GROUP - "&amp;'General Information'!D8&amp;" / BROKER - "&amp;'General Information'!D42&amp;" / with Expected Effective Date as - "&amp;TEXT('General Information'!D14,"DD-MMM-YYYY")</f>
        <v>GROUP - Al Mizan Realty Developers LLC / BROKER - Al Nabooda / with Expected Effective Date as - 26-Mar-2025</v>
      </c>
      <c r="B8" s="1259"/>
      <c r="C8" s="1259"/>
      <c r="H8" s="1257" t="s">
        <v>1384</v>
      </c>
      <c r="I8" s="1258">
        <f ca="1">TODAY()</f>
        <v>45743</v>
      </c>
    </row>
    <row r="9" spans="1:13" ht="19.5" x14ac:dyDescent="0.25">
      <c r="A9" s="1259"/>
      <c r="B9" s="1259"/>
      <c r="C9" s="1259"/>
      <c r="H9" s="1257" t="s">
        <v>1387</v>
      </c>
      <c r="I9" s="1261">
        <f>Gross_Loading</f>
        <v>0.3</v>
      </c>
    </row>
    <row r="10" spans="1:13" ht="19.5" x14ac:dyDescent="0.25">
      <c r="C10" s="1259"/>
    </row>
    <row r="11" spans="1:13" x14ac:dyDescent="0.25"/>
    <row r="12" spans="1:13" x14ac:dyDescent="0.25"/>
    <row r="13" spans="1:13" ht="15.75" thickBot="1" x14ac:dyDescent="0.3"/>
    <row r="14" spans="1:13" ht="21" thickTop="1" thickBot="1" x14ac:dyDescent="0.3">
      <c r="A14" s="1459" t="s">
        <v>1380</v>
      </c>
      <c r="B14" s="1460"/>
      <c r="C14" s="1460"/>
      <c r="D14" s="1460"/>
      <c r="E14" s="1460"/>
      <c r="F14" s="1460"/>
      <c r="G14" s="1460"/>
      <c r="H14" s="1460"/>
      <c r="I14" s="1461"/>
      <c r="K14" s="1189" t="b">
        <f>TRUE</f>
        <v>1</v>
      </c>
    </row>
    <row r="15" spans="1:13" ht="16.5" thickTop="1" thickBot="1" x14ac:dyDescent="0.3">
      <c r="K15" s="1189" t="b">
        <f>TRUE</f>
        <v>1</v>
      </c>
    </row>
    <row r="16" spans="1:13" ht="53.25" customHeight="1" thickTop="1" thickBot="1" x14ac:dyDescent="0.3">
      <c r="A16" s="1190" t="s">
        <v>1052</v>
      </c>
      <c r="B16" s="1191" t="s">
        <v>1296</v>
      </c>
      <c r="C16" s="1191" t="s">
        <v>33</v>
      </c>
      <c r="D16" s="1191" t="s">
        <v>940</v>
      </c>
      <c r="E16" s="1191" t="s">
        <v>1357</v>
      </c>
      <c r="F16" s="1191" t="s">
        <v>1378</v>
      </c>
      <c r="G16" s="1191" t="s">
        <v>1379</v>
      </c>
      <c r="H16" s="1191" t="s">
        <v>1381</v>
      </c>
      <c r="I16" s="1192" t="s">
        <v>1382</v>
      </c>
      <c r="K16" s="1189" t="b">
        <f>TRUE</f>
        <v>1</v>
      </c>
      <c r="M16" s="867" t="s">
        <v>1383</v>
      </c>
    </row>
    <row r="17" spans="1:13" x14ac:dyDescent="0.25">
      <c r="A17" s="1193" t="str">
        <f>IF(K17=TRUE,'Benefit Selection - Group'!$B$3,"")</f>
        <v>Category A</v>
      </c>
      <c r="B17" s="1194">
        <f>IF(K17=TRUE,AML_A,"")</f>
        <v>150000</v>
      </c>
      <c r="C17" s="1195" t="str">
        <f>IF(K17=TRUE,Network_A,"")</f>
        <v>Workers Network</v>
      </c>
      <c r="D17" s="1195" t="str">
        <f>IF(K17=TRUE,Region_A,"")</f>
        <v>Dubai</v>
      </c>
      <c r="E17" s="1195" t="str">
        <f>IF(K17=TRUE,Area_A,"")</f>
        <v>Worldwide at R&amp;C of UAE</v>
      </c>
      <c r="F17" s="1196">
        <f ca="1">IF(K17=TRUE,SUM(B38:C49),"")</f>
        <v>3</v>
      </c>
      <c r="G17" s="1196">
        <f ca="1">IF(K17=TRUE,SUM(B55:C66),"")</f>
        <v>8</v>
      </c>
      <c r="H17" s="1194">
        <f ca="1">IF(K17=TRUE,H29,"")</f>
        <v>41149.789382239374</v>
      </c>
      <c r="I17" s="1197">
        <f ca="1">IF(K17=TRUE,I31,"")</f>
        <v>43634.628851351343</v>
      </c>
      <c r="K17" s="433" t="b">
        <v>1</v>
      </c>
      <c r="M17" s="1198" t="b">
        <f ca="1">H29='TOB &amp; Rates'!F143</f>
        <v>1</v>
      </c>
    </row>
    <row r="18" spans="1:13" ht="15.75" thickBot="1" x14ac:dyDescent="0.3">
      <c r="A18" s="1199" t="str">
        <f>IF(K18=TRUE,'Benefit Selection - Group'!$G$3,"")</f>
        <v/>
      </c>
      <c r="B18" s="1200" t="str">
        <f>IF(K18=TRUE,AML_B,"")</f>
        <v/>
      </c>
      <c r="C18" s="1201" t="str">
        <f>IF(K18=TRUE,Network_B,"")</f>
        <v/>
      </c>
      <c r="D18" s="1201" t="str">
        <f>IF(K18=TRUE,Region_B,"")</f>
        <v/>
      </c>
      <c r="E18" s="1201" t="str">
        <f>IF(K18=TRUE,Area_B,"")</f>
        <v/>
      </c>
      <c r="F18" s="1202" t="str">
        <f>IF(K18=TRUE,SUM(B86:C97),"")</f>
        <v/>
      </c>
      <c r="G18" s="1202" t="str">
        <f>IF(K18=TRUE,SUM(B103:C114),"")</f>
        <v/>
      </c>
      <c r="H18" s="1200" t="str">
        <f>IF(K18=TRUE,H77,"")</f>
        <v/>
      </c>
      <c r="I18" s="1203" t="str">
        <f>IF(K18=TRUE,I79,"")</f>
        <v/>
      </c>
      <c r="K18" s="433" t="b">
        <f>IF(No_of_Category&gt;=2,TRUE,FALSE)</f>
        <v>0</v>
      </c>
      <c r="M18" s="1198" t="b">
        <f ca="1">H77='TOB &amp; Rates'!$G$143</f>
        <v>0</v>
      </c>
    </row>
    <row r="19" spans="1:13" hidden="1" x14ac:dyDescent="0.25">
      <c r="A19" s="1199" t="str">
        <f>IF(K19=TRUE,'Benefit Selection - Group'!$L$3,"")</f>
        <v/>
      </c>
      <c r="B19" s="1200" t="str">
        <f>IF(K19=TRUE,AML_C,"")</f>
        <v/>
      </c>
      <c r="C19" s="1201" t="str">
        <f>IF(K19=TRUE,Network_C,"")</f>
        <v/>
      </c>
      <c r="D19" s="1201" t="str">
        <f>IF(K19=TRUE,Region_C,"")</f>
        <v/>
      </c>
      <c r="E19" s="1201" t="str">
        <f>IF(K19=TRUE,Area_C,"")</f>
        <v/>
      </c>
      <c r="F19" s="1202" t="str">
        <f>IF(K19=TRUE,SUM(B134:C145),"")</f>
        <v/>
      </c>
      <c r="G19" s="1202" t="str">
        <f>IF(K19=TRUE,SUM(B151:C162),"")</f>
        <v/>
      </c>
      <c r="H19" s="1200" t="str">
        <f>IF(K19=TRUE,H125,"")</f>
        <v/>
      </c>
      <c r="I19" s="1203" t="str">
        <f>IF(K19=TRUE,I127,"")</f>
        <v/>
      </c>
      <c r="K19" s="433" t="b">
        <f>IF(No_of_Category&gt;=3,TRUE,FALSE)</f>
        <v>0</v>
      </c>
      <c r="M19" s="1198" t="b">
        <f ca="1">H125='TOB &amp; Rates'!$H$143</f>
        <v>0</v>
      </c>
    </row>
    <row r="20" spans="1:13" hidden="1" x14ac:dyDescent="0.25">
      <c r="A20" s="1199" t="str">
        <f>IF(K20=TRUE,'Benefit Selection - Group'!$Q$3,"")</f>
        <v/>
      </c>
      <c r="B20" s="1200" t="str">
        <f>IF(K20=TRUE,AML_D,"")</f>
        <v/>
      </c>
      <c r="C20" s="1201" t="str">
        <f>IF(K20=TRUE,Network_D,"")</f>
        <v/>
      </c>
      <c r="D20" s="1201" t="str">
        <f>IF(K20=TRUE,Region_D,"")</f>
        <v/>
      </c>
      <c r="E20" s="1201" t="str">
        <f>IF(K20=TRUE,Area_D,"")</f>
        <v/>
      </c>
      <c r="F20" s="1202" t="str">
        <f>IF(K20=TRUE,SUM(B182:C193),"")</f>
        <v/>
      </c>
      <c r="G20" s="1202" t="str">
        <f>IF(K20=TRUE,SUM(B199:C210),"")</f>
        <v/>
      </c>
      <c r="H20" s="1200" t="str">
        <f>IF(K20=TRUE,H173,"")</f>
        <v/>
      </c>
      <c r="I20" s="1203" t="str">
        <f>IF(K20=TRUE,I175,"")</f>
        <v/>
      </c>
      <c r="K20" s="433" t="b">
        <f>IF(No_of_Category&gt;=4,TRUE,FALSE)</f>
        <v>0</v>
      </c>
      <c r="M20" s="1198" t="b">
        <f ca="1">H173='TOB &amp; Rates'!$I$143</f>
        <v>0</v>
      </c>
    </row>
    <row r="21" spans="1:13" hidden="1" x14ac:dyDescent="0.25">
      <c r="A21" s="1199" t="str">
        <f>IF(K21=TRUE,'Benefit Selection - Group'!$V$3,"")</f>
        <v/>
      </c>
      <c r="B21" s="1200" t="str">
        <f>IF(K21=TRUE,AML_E,"")</f>
        <v/>
      </c>
      <c r="C21" s="1201" t="str">
        <f>IF(K21=TRUE,Network_E,"")</f>
        <v/>
      </c>
      <c r="D21" s="1201" t="str">
        <f>IF(K21=TRUE,Region_E,"")</f>
        <v/>
      </c>
      <c r="E21" s="1201" t="str">
        <f>IF(K21=TRUE,Area_E,"")</f>
        <v/>
      </c>
      <c r="F21" s="1202" t="str">
        <f>IF(K21=TRUE,SUM(B230:C241),"")</f>
        <v/>
      </c>
      <c r="G21" s="1202" t="str">
        <f>IF(K21=TRUE,SUM(B247:C258),"")</f>
        <v/>
      </c>
      <c r="H21" s="1200" t="str">
        <f>IF(K21=TRUE,H221,"")</f>
        <v/>
      </c>
      <c r="I21" s="1203" t="str">
        <f>IF(K21=TRUE,I223,"")</f>
        <v/>
      </c>
      <c r="K21" s="433" t="b">
        <f>IF(No_of_Category&gt;=5,TRUE,FALSE)</f>
        <v>0</v>
      </c>
      <c r="M21" s="1198" t="b">
        <f ca="1">H221='TOB &amp; Rates'!$J$143</f>
        <v>0</v>
      </c>
    </row>
    <row r="22" spans="1:13" hidden="1" x14ac:dyDescent="0.25">
      <c r="A22" s="1199" t="str">
        <f>IF(K22=TRUE,'Benefit Selection - Group'!$AA$3,"")</f>
        <v/>
      </c>
      <c r="B22" s="1200" t="str">
        <f>IF(K22=TRUE,AML_F,"")</f>
        <v/>
      </c>
      <c r="C22" s="1201" t="str">
        <f>IF(K22=TRUE,Network_F,"")</f>
        <v/>
      </c>
      <c r="D22" s="1201" t="str">
        <f>IF(K22=TRUE,Region_F,"")</f>
        <v/>
      </c>
      <c r="E22" s="1201" t="str">
        <f>IF(K22=TRUE,Area_F,"")</f>
        <v/>
      </c>
      <c r="F22" s="1202" t="str">
        <f>IF(K22=TRUE,SUM(B278:C289),"")</f>
        <v/>
      </c>
      <c r="G22" s="1202" t="str">
        <f>IF(K22=TRUE,SUM(B295:C306),"")</f>
        <v/>
      </c>
      <c r="H22" s="1200" t="str">
        <f>IF(K22=TRUE,H269,"")</f>
        <v/>
      </c>
      <c r="I22" s="1203" t="str">
        <f>IF(K22=TRUE,I271,"")</f>
        <v/>
      </c>
      <c r="K22" s="433" t="b">
        <f>IF(No_of_Category&gt;=6,TRUE,FALSE)</f>
        <v>0</v>
      </c>
      <c r="M22" s="1198" t="b">
        <f ca="1">H269='TOB &amp; Rates'!$K$143</f>
        <v>0</v>
      </c>
    </row>
    <row r="23" spans="1:13" hidden="1" x14ac:dyDescent="0.25">
      <c r="A23" s="1199" t="str">
        <f>IF(K23=TRUE,'Benefit Selection - Group'!$AF$3,"")</f>
        <v/>
      </c>
      <c r="B23" s="1200" t="str">
        <f>IF(K23=TRUE,AML_G,"")</f>
        <v/>
      </c>
      <c r="C23" s="1201" t="str">
        <f>IF(K23=TRUE,Network_G,"")</f>
        <v/>
      </c>
      <c r="D23" s="1201" t="str">
        <f>IF(K23=TRUE,Region_G,"")</f>
        <v/>
      </c>
      <c r="E23" s="1201" t="str">
        <f>IF(K23=TRUE,Area_G,"")</f>
        <v/>
      </c>
      <c r="F23" s="1202" t="str">
        <f>IF(K23=TRUE,SUM(B326:C337),"")</f>
        <v/>
      </c>
      <c r="G23" s="1202" t="str">
        <f>IF(K23=TRUE,SUM(B343:C354),"")</f>
        <v/>
      </c>
      <c r="H23" s="1200" t="str">
        <f>IF(K23=TRUE,H317,"")</f>
        <v/>
      </c>
      <c r="I23" s="1203" t="str">
        <f>IF(K23=TRUE,I319,"")</f>
        <v/>
      </c>
      <c r="K23" s="433" t="b">
        <f>IF(No_of_Category&gt;=7,TRUE,FALSE)</f>
        <v>0</v>
      </c>
      <c r="M23" s="1198" t="b">
        <f ca="1">H317='TOB &amp; Rates'!$L$143</f>
        <v>0</v>
      </c>
    </row>
    <row r="24" spans="1:13" ht="15.75" hidden="1" thickBot="1" x14ac:dyDescent="0.3">
      <c r="A24" s="1204" t="str">
        <f>IF(K24=TRUE,'Benefit Selection - Group'!$AK$3,"")</f>
        <v/>
      </c>
      <c r="B24" s="1205" t="str">
        <f>IF(K24=TRUE,AML_H,"")</f>
        <v/>
      </c>
      <c r="C24" s="1206" t="str">
        <f>IF(K24=TRUE,Network_H,"")</f>
        <v/>
      </c>
      <c r="D24" s="1206" t="str">
        <f>IF(K24=TRUE,Region_H,"")</f>
        <v/>
      </c>
      <c r="E24" s="1206" t="str">
        <f>IF(K24=TRUE,Area_H,"")</f>
        <v/>
      </c>
      <c r="F24" s="1207" t="str">
        <f>IF(K24=TRUE,SUM(B374:C385),"")</f>
        <v/>
      </c>
      <c r="G24" s="1207" t="str">
        <f>IF(K24=TRUE,SUM(B391:C402),"")</f>
        <v/>
      </c>
      <c r="H24" s="1205" t="str">
        <f>IF(K24=TRUE,H365,"")</f>
        <v/>
      </c>
      <c r="I24" s="1208" t="str">
        <f>IF(K24=TRUE,I367,"")</f>
        <v/>
      </c>
      <c r="K24" s="433" t="b">
        <f>IF(No_of_Category&gt;=8,TRUE,FALSE)</f>
        <v>0</v>
      </c>
      <c r="M24" s="1198" t="b">
        <f ca="1">H365='TOB &amp; Rates'!$M$143</f>
        <v>0</v>
      </c>
    </row>
    <row r="25" spans="1:13" s="1213" customFormat="1" ht="21" thickTop="1" thickBot="1" x14ac:dyDescent="0.3">
      <c r="A25" s="1209" t="s">
        <v>201</v>
      </c>
      <c r="B25" s="1210"/>
      <c r="C25" s="1210"/>
      <c r="D25" s="1210"/>
      <c r="E25" s="1210"/>
      <c r="F25" s="1211">
        <f ca="1">SUM(F17:F24)</f>
        <v>3</v>
      </c>
      <c r="G25" s="1211">
        <f t="shared" ref="G25:I25" ca="1" si="0">SUM(G17:G24)</f>
        <v>8</v>
      </c>
      <c r="H25" s="1212">
        <f t="shared" ca="1" si="0"/>
        <v>41149.789382239374</v>
      </c>
      <c r="I25" s="1212">
        <f t="shared" ca="1" si="0"/>
        <v>43634.628851351343</v>
      </c>
      <c r="K25" s="1189" t="b">
        <f>TRUE</f>
        <v>1</v>
      </c>
      <c r="M25" s="1198" t="b">
        <f ca="1">H25='TOB &amp; Rates'!N143</f>
        <v>1</v>
      </c>
    </row>
    <row r="26" spans="1:13" ht="78" customHeight="1" thickTop="1" thickBot="1" x14ac:dyDescent="0.3">
      <c r="K26" s="1189" t="b">
        <f>TRUE</f>
        <v>1</v>
      </c>
    </row>
    <row r="27" spans="1:13" ht="21" thickTop="1" thickBot="1" x14ac:dyDescent="0.3">
      <c r="A27" s="1459" t="s">
        <v>1362</v>
      </c>
      <c r="B27" s="1460"/>
      <c r="C27" s="1460"/>
      <c r="D27" s="1460"/>
      <c r="E27" s="1460"/>
      <c r="F27" s="1460"/>
      <c r="G27" s="1460"/>
      <c r="H27" s="1460"/>
      <c r="I27" s="1461"/>
      <c r="K27" s="808" t="b">
        <f>$K$17</f>
        <v>1</v>
      </c>
    </row>
    <row r="28" spans="1:13" ht="16.5" thickTop="1" thickBot="1" x14ac:dyDescent="0.3">
      <c r="K28" s="808" t="b">
        <f t="shared" ref="K28:K74" si="1">$K$17</f>
        <v>1</v>
      </c>
    </row>
    <row r="29" spans="1:13" ht="25.5" x14ac:dyDescent="0.25">
      <c r="A29" s="1214" t="s">
        <v>1364</v>
      </c>
      <c r="B29" s="1215">
        <f ca="1">SUM(H38:I49,H55:I66)</f>
        <v>41149.789382239374</v>
      </c>
      <c r="D29" s="1216" t="s">
        <v>1367</v>
      </c>
      <c r="E29" s="1215">
        <f ca="1">F72+G72</f>
        <v>0</v>
      </c>
      <c r="G29" s="1216" t="s">
        <v>1369</v>
      </c>
      <c r="H29" s="1215">
        <f ca="1">B29+E29</f>
        <v>41149.789382239374</v>
      </c>
      <c r="K29" s="808" t="b">
        <f t="shared" si="1"/>
        <v>1</v>
      </c>
    </row>
    <row r="30" spans="1:13" ht="26.25" thickBot="1" x14ac:dyDescent="0.3">
      <c r="A30" s="1217" t="s">
        <v>1365</v>
      </c>
      <c r="B30" s="1218">
        <f ca="1">SUM(B38:C49,B55:C66)</f>
        <v>11</v>
      </c>
      <c r="D30" s="1219" t="str">
        <f>"Married Female - "&amp;IF(Region_A="Abu Dhabi","18-50","18-45")</f>
        <v>Married Female - 18-45</v>
      </c>
      <c r="E30" s="1218">
        <f>B72+C72</f>
        <v>0</v>
      </c>
      <c r="G30" s="1219" t="str">
        <f>IF(Region_A="Dubai","Bashmah Fee (AED 37/per Member)","ICP Fee (AED 28 / per Member)")</f>
        <v>Bashmah Fee (AED 37/per Member)</v>
      </c>
      <c r="H30" s="1220">
        <f ca="1">IF(Region_A="Dubai",37*B30,28*B30)</f>
        <v>407</v>
      </c>
      <c r="K30" s="808" t="b">
        <f t="shared" si="1"/>
        <v>1</v>
      </c>
    </row>
    <row r="31" spans="1:13" ht="27" thickTop="1" thickBot="1" x14ac:dyDescent="0.3">
      <c r="A31" s="1221" t="s">
        <v>1366</v>
      </c>
      <c r="B31" s="1222">
        <f ca="1">IFERROR(B29/B30,0)</f>
        <v>3740.889943839943</v>
      </c>
      <c r="D31" s="1223" t="s">
        <v>1368</v>
      </c>
      <c r="E31" s="1222">
        <f ca="1">Maternity_GRP_A</f>
        <v>2251.2857142857147</v>
      </c>
      <c r="G31" s="1223" t="s">
        <v>1370</v>
      </c>
      <c r="H31" s="1222">
        <f ca="1">(H29+H30)*5%</f>
        <v>2077.8394691119688</v>
      </c>
      <c r="I31" s="1224">
        <f ca="1">SUM(H29:H31)</f>
        <v>43634.628851351343</v>
      </c>
      <c r="K31" s="808" t="b">
        <f t="shared" si="1"/>
        <v>1</v>
      </c>
    </row>
    <row r="32" spans="1:13" x14ac:dyDescent="0.25">
      <c r="K32" s="808" t="b">
        <f t="shared" si="1"/>
        <v>1</v>
      </c>
    </row>
    <row r="33" spans="1:11" ht="15.75" thickBot="1" x14ac:dyDescent="0.3">
      <c r="K33" s="808" t="b">
        <f t="shared" si="1"/>
        <v>1</v>
      </c>
    </row>
    <row r="34" spans="1:11" ht="21" thickTop="1" thickBot="1" x14ac:dyDescent="0.3">
      <c r="A34" s="1225" t="s">
        <v>1359</v>
      </c>
      <c r="B34" s="1226" t="s">
        <v>1296</v>
      </c>
      <c r="C34" s="1227">
        <f>AML_A</f>
        <v>150000</v>
      </c>
      <c r="D34" s="1226" t="s">
        <v>33</v>
      </c>
      <c r="E34" s="1227" t="str">
        <f>"NAS - "&amp;Network_A</f>
        <v>NAS - Workers Network</v>
      </c>
      <c r="F34" s="1226" t="s">
        <v>940</v>
      </c>
      <c r="G34" s="1227" t="str">
        <f>Region_A</f>
        <v>Dubai</v>
      </c>
      <c r="H34" s="1226" t="s">
        <v>1357</v>
      </c>
      <c r="I34" s="1227" t="str">
        <f>Area_A</f>
        <v>Worldwide at R&amp;C of UAE</v>
      </c>
      <c r="K34" s="808" t="b">
        <f t="shared" si="1"/>
        <v>1</v>
      </c>
    </row>
    <row r="35" spans="1:11" ht="16.5" thickTop="1" thickBot="1" x14ac:dyDescent="0.3">
      <c r="A35" s="1228"/>
      <c r="B35" s="1228"/>
      <c r="K35" s="808" t="b">
        <f t="shared" si="1"/>
        <v>1</v>
      </c>
    </row>
    <row r="36" spans="1:11" x14ac:dyDescent="0.25">
      <c r="A36" s="1462" t="s">
        <v>1355</v>
      </c>
      <c r="B36" s="1463"/>
      <c r="C36" s="1464"/>
      <c r="D36" s="1465" t="s">
        <v>1363</v>
      </c>
      <c r="E36" s="1466"/>
      <c r="F36" s="1464"/>
      <c r="G36" s="1465" t="s">
        <v>133</v>
      </c>
      <c r="H36" s="1466"/>
      <c r="I36" s="1464"/>
      <c r="K36" s="808" t="b">
        <f t="shared" si="1"/>
        <v>1</v>
      </c>
    </row>
    <row r="37" spans="1:11" x14ac:dyDescent="0.25">
      <c r="A37" s="1229" t="str" cm="1">
        <f t="array" aca="1" ref="A37:C49" ca="1">Age_Band_Count_Emp_CatA</f>
        <v>Age Bracket</v>
      </c>
      <c r="B37" s="1230" t="str">
        <f ca="1"/>
        <v>Male</v>
      </c>
      <c r="C37" s="1231" t="str">
        <f ca="1"/>
        <v>Female</v>
      </c>
      <c r="D37" s="1229" t="str" cm="1">
        <f t="array" aca="1" ref="D37:F49" ca="1">Age_Band_GRP_Emp_CatA</f>
        <v>Age Bracket</v>
      </c>
      <c r="E37" s="1230" t="str">
        <f ca="1"/>
        <v>Male</v>
      </c>
      <c r="F37" s="1231" t="str">
        <f ca="1"/>
        <v>Female</v>
      </c>
      <c r="G37" s="1229" t="s">
        <v>286</v>
      </c>
      <c r="H37" s="1230" t="s">
        <v>65</v>
      </c>
      <c r="I37" s="1231" t="s">
        <v>66</v>
      </c>
      <c r="K37" s="808" t="b">
        <f t="shared" si="1"/>
        <v>1</v>
      </c>
    </row>
    <row r="38" spans="1:11" x14ac:dyDescent="0.25">
      <c r="A38" s="1202" t="str">
        <f ca="1"/>
        <v>0 - 10</v>
      </c>
      <c r="B38" s="1232">
        <f ca="1"/>
        <v>0</v>
      </c>
      <c r="C38" s="1233">
        <f ca="1"/>
        <v>0</v>
      </c>
      <c r="D38" s="1202" t="str">
        <f ca="1"/>
        <v>0 - 10</v>
      </c>
      <c r="E38" s="1234" t="str">
        <f ca="1"/>
        <v>NA</v>
      </c>
      <c r="F38" s="1235" t="str">
        <f ca="1"/>
        <v>NA</v>
      </c>
      <c r="G38" s="1202" t="str">
        <f t="shared" ref="G38:G49" ca="1" si="2">A38</f>
        <v>0 - 10</v>
      </c>
      <c r="H38" s="1234">
        <f t="shared" ref="H38:H49" ca="1" si="3">IFERROR(B38*E38,0)</f>
        <v>0</v>
      </c>
      <c r="I38" s="1235">
        <f t="shared" ref="I38:I49" ca="1" si="4">IFERROR(C38*F38,0)</f>
        <v>0</v>
      </c>
      <c r="K38" s="808" t="b">
        <f t="shared" si="1"/>
        <v>1</v>
      </c>
    </row>
    <row r="39" spans="1:11" x14ac:dyDescent="0.25">
      <c r="A39" s="1236" t="str">
        <f ca="1"/>
        <v>11 - 17</v>
      </c>
      <c r="B39" s="1237">
        <f ca="1"/>
        <v>0</v>
      </c>
      <c r="C39" s="1238">
        <f ca="1"/>
        <v>0</v>
      </c>
      <c r="D39" s="1236" t="str">
        <f ca="1"/>
        <v>11 - 17</v>
      </c>
      <c r="E39" s="1239" t="str">
        <f ca="1"/>
        <v>NA</v>
      </c>
      <c r="F39" s="1240" t="str">
        <f ca="1"/>
        <v>NA</v>
      </c>
      <c r="G39" s="1236" t="str">
        <f t="shared" ca="1" si="2"/>
        <v>11 - 17</v>
      </c>
      <c r="H39" s="1239">
        <f t="shared" ca="1" si="3"/>
        <v>0</v>
      </c>
      <c r="I39" s="1240">
        <f t="shared" ca="1" si="4"/>
        <v>0</v>
      </c>
      <c r="K39" s="808" t="b">
        <f t="shared" si="1"/>
        <v>1</v>
      </c>
    </row>
    <row r="40" spans="1:11" x14ac:dyDescent="0.25">
      <c r="A40" s="1202" t="str">
        <f ca="1"/>
        <v>18 - 25</v>
      </c>
      <c r="B40" s="1232">
        <f ca="1"/>
        <v>0</v>
      </c>
      <c r="C40" s="1233">
        <f ca="1"/>
        <v>0</v>
      </c>
      <c r="D40" s="1202" t="str">
        <f ca="1"/>
        <v>18 - 25</v>
      </c>
      <c r="E40" s="1234">
        <f ca="1"/>
        <v>1929.7899877069729</v>
      </c>
      <c r="F40" s="1235">
        <f ca="1"/>
        <v>1643.8346550662277</v>
      </c>
      <c r="G40" s="1202" t="str">
        <f t="shared" ca="1" si="2"/>
        <v>18 - 25</v>
      </c>
      <c r="H40" s="1234">
        <f t="shared" ca="1" si="3"/>
        <v>0</v>
      </c>
      <c r="I40" s="1235">
        <f t="shared" ca="1" si="4"/>
        <v>0</v>
      </c>
      <c r="K40" s="808" t="b">
        <f t="shared" si="1"/>
        <v>1</v>
      </c>
    </row>
    <row r="41" spans="1:11" x14ac:dyDescent="0.25">
      <c r="A41" s="1236" t="str">
        <f ca="1"/>
        <v>26 - 30</v>
      </c>
      <c r="B41" s="1237">
        <f ca="1"/>
        <v>0</v>
      </c>
      <c r="C41" s="1238">
        <f ca="1"/>
        <v>0</v>
      </c>
      <c r="D41" s="1236" t="str">
        <f ca="1"/>
        <v>26 - 30</v>
      </c>
      <c r="E41" s="1239">
        <f ca="1"/>
        <v>2098.0951263469547</v>
      </c>
      <c r="F41" s="1240">
        <f ca="1"/>
        <v>2053.976303596668</v>
      </c>
      <c r="G41" s="1236" t="str">
        <f t="shared" ca="1" si="2"/>
        <v>26 - 30</v>
      </c>
      <c r="H41" s="1239">
        <f t="shared" ca="1" si="3"/>
        <v>0</v>
      </c>
      <c r="I41" s="1240">
        <f t="shared" ca="1" si="4"/>
        <v>0</v>
      </c>
      <c r="K41" s="808" t="b">
        <f t="shared" si="1"/>
        <v>1</v>
      </c>
    </row>
    <row r="42" spans="1:11" x14ac:dyDescent="0.25">
      <c r="A42" s="1202" t="str">
        <f ca="1"/>
        <v>31 - 35</v>
      </c>
      <c r="B42" s="1232">
        <f ca="1"/>
        <v>1</v>
      </c>
      <c r="C42" s="1233">
        <f ca="1"/>
        <v>0</v>
      </c>
      <c r="D42" s="1202" t="str">
        <f ca="1"/>
        <v>31 - 35</v>
      </c>
      <c r="E42" s="1234">
        <f ca="1"/>
        <v>2534.3812624331204</v>
      </c>
      <c r="F42" s="1235">
        <f ca="1"/>
        <v>2462.4839216548758</v>
      </c>
      <c r="G42" s="1202" t="str">
        <f t="shared" ca="1" si="2"/>
        <v>31 - 35</v>
      </c>
      <c r="H42" s="1234">
        <f t="shared" ca="1" si="3"/>
        <v>2534.3812624331204</v>
      </c>
      <c r="I42" s="1235">
        <f t="shared" ca="1" si="4"/>
        <v>0</v>
      </c>
      <c r="K42" s="808" t="b">
        <f t="shared" si="1"/>
        <v>1</v>
      </c>
    </row>
    <row r="43" spans="1:11" x14ac:dyDescent="0.25">
      <c r="A43" s="1236" t="str">
        <f ca="1"/>
        <v>36 - 40</v>
      </c>
      <c r="B43" s="1237">
        <f ca="1"/>
        <v>0</v>
      </c>
      <c r="C43" s="1238">
        <f ca="1"/>
        <v>0</v>
      </c>
      <c r="D43" s="1236" t="str">
        <f ca="1"/>
        <v>36 - 40</v>
      </c>
      <c r="E43" s="1239">
        <f ca="1"/>
        <v>3130.802384798104</v>
      </c>
      <c r="F43" s="1240">
        <f ca="1"/>
        <v>3083.4155011033513</v>
      </c>
      <c r="G43" s="1236" t="str">
        <f t="shared" ca="1" si="2"/>
        <v>36 - 40</v>
      </c>
      <c r="H43" s="1239">
        <f t="shared" ca="1" si="3"/>
        <v>0</v>
      </c>
      <c r="I43" s="1240">
        <f t="shared" ca="1" si="4"/>
        <v>0</v>
      </c>
      <c r="K43" s="1241" t="b">
        <f t="shared" ref="K43:K49" si="5">IF(Region_A="Abu Dhabi",FALSE,$K$17)</f>
        <v>1</v>
      </c>
    </row>
    <row r="44" spans="1:11" x14ac:dyDescent="0.25">
      <c r="A44" s="1202" t="str">
        <f ca="1"/>
        <v>41 - 45</v>
      </c>
      <c r="B44" s="1232">
        <f ca="1"/>
        <v>0</v>
      </c>
      <c r="C44" s="1233">
        <f ca="1"/>
        <v>0</v>
      </c>
      <c r="D44" s="1202" t="str">
        <f ca="1"/>
        <v>41 - 45</v>
      </c>
      <c r="E44" s="1234">
        <f ca="1"/>
        <v>3673.3005015794038</v>
      </c>
      <c r="F44" s="1235">
        <f ca="1"/>
        <v>3964.1579256368473</v>
      </c>
      <c r="G44" s="1202" t="str">
        <f t="shared" ca="1" si="2"/>
        <v>41 - 45</v>
      </c>
      <c r="H44" s="1234">
        <f t="shared" ca="1" si="3"/>
        <v>0</v>
      </c>
      <c r="I44" s="1235">
        <f t="shared" ca="1" si="4"/>
        <v>0</v>
      </c>
      <c r="K44" s="1241" t="b">
        <f t="shared" si="5"/>
        <v>1</v>
      </c>
    </row>
    <row r="45" spans="1:11" x14ac:dyDescent="0.25">
      <c r="A45" s="1236" t="str">
        <f ca="1"/>
        <v>46 - 50</v>
      </c>
      <c r="B45" s="1237">
        <f ca="1"/>
        <v>1</v>
      </c>
      <c r="C45" s="1238">
        <f ca="1"/>
        <v>0</v>
      </c>
      <c r="D45" s="1236" t="str">
        <f ca="1"/>
        <v>46 - 50</v>
      </c>
      <c r="E45" s="1239">
        <f ca="1"/>
        <v>4802.4155578922891</v>
      </c>
      <c r="F45" s="1240">
        <f ca="1"/>
        <v>4967.4526355878052</v>
      </c>
      <c r="G45" s="1236" t="str">
        <f t="shared" ca="1" si="2"/>
        <v>46 - 50</v>
      </c>
      <c r="H45" s="1239">
        <f t="shared" ca="1" si="3"/>
        <v>4802.4155578922891</v>
      </c>
      <c r="I45" s="1240">
        <f t="shared" ca="1" si="4"/>
        <v>0</v>
      </c>
      <c r="K45" s="1241" t="b">
        <f t="shared" si="5"/>
        <v>1</v>
      </c>
    </row>
    <row r="46" spans="1:11" x14ac:dyDescent="0.25">
      <c r="A46" s="1202" t="str">
        <f ca="1"/>
        <v>51 - 55</v>
      </c>
      <c r="B46" s="1232">
        <f ca="1"/>
        <v>1</v>
      </c>
      <c r="C46" s="1233">
        <f ca="1"/>
        <v>0</v>
      </c>
      <c r="D46" s="1202" t="str">
        <f ca="1"/>
        <v>51 - 55</v>
      </c>
      <c r="E46" s="1234">
        <f ca="1"/>
        <v>6436.4460301251193</v>
      </c>
      <c r="F46" s="1235">
        <f ca="1"/>
        <v>6558.9983155425816</v>
      </c>
      <c r="G46" s="1202" t="str">
        <f t="shared" ca="1" si="2"/>
        <v>51 - 55</v>
      </c>
      <c r="H46" s="1234">
        <f t="shared" ca="1" si="3"/>
        <v>6436.4460301251193</v>
      </c>
      <c r="I46" s="1235">
        <f t="shared" ca="1" si="4"/>
        <v>0</v>
      </c>
      <c r="K46" s="1241" t="b">
        <f t="shared" si="5"/>
        <v>1</v>
      </c>
    </row>
    <row r="47" spans="1:11" x14ac:dyDescent="0.25">
      <c r="A47" s="1236" t="str">
        <f ca="1"/>
        <v>56 - 59</v>
      </c>
      <c r="B47" s="1237">
        <f ca="1"/>
        <v>0</v>
      </c>
      <c r="C47" s="1238">
        <f ca="1"/>
        <v>0</v>
      </c>
      <c r="D47" s="1236" t="str">
        <f ca="1"/>
        <v>56 - 59</v>
      </c>
      <c r="E47" s="1239">
        <f ca="1"/>
        <v>8758.4033311679723</v>
      </c>
      <c r="F47" s="1240">
        <f ca="1"/>
        <v>8029.6257405521301</v>
      </c>
      <c r="G47" s="1236" t="str">
        <f t="shared" ca="1" si="2"/>
        <v>56 - 59</v>
      </c>
      <c r="H47" s="1239">
        <f t="shared" ca="1" si="3"/>
        <v>0</v>
      </c>
      <c r="I47" s="1240">
        <f t="shared" ca="1" si="4"/>
        <v>0</v>
      </c>
      <c r="K47" s="1241" t="b">
        <f t="shared" si="5"/>
        <v>1</v>
      </c>
    </row>
    <row r="48" spans="1:11" x14ac:dyDescent="0.25">
      <c r="A48" s="1202" t="str">
        <f ca="1"/>
        <v>60 - 64</v>
      </c>
      <c r="B48" s="1232">
        <f ca="1"/>
        <v>0</v>
      </c>
      <c r="C48" s="1233">
        <f ca="1"/>
        <v>0</v>
      </c>
      <c r="D48" s="1202" t="str">
        <f ca="1"/>
        <v>60 - 64</v>
      </c>
      <c r="E48" s="1234">
        <f ca="1"/>
        <v>10774.796933903286</v>
      </c>
      <c r="F48" s="1235">
        <f ca="1"/>
        <v>9544.3719883119629</v>
      </c>
      <c r="G48" s="1202" t="str">
        <f t="shared" ca="1" si="2"/>
        <v>60 - 64</v>
      </c>
      <c r="H48" s="1234">
        <f t="shared" ca="1" si="3"/>
        <v>0</v>
      </c>
      <c r="I48" s="1235">
        <f t="shared" ca="1" si="4"/>
        <v>0</v>
      </c>
      <c r="K48" s="1241" t="b">
        <f t="shared" si="5"/>
        <v>1</v>
      </c>
    </row>
    <row r="49" spans="1:11" ht="15.75" thickBot="1" x14ac:dyDescent="0.3">
      <c r="A49" s="1242" t="str">
        <f ca="1"/>
        <v>65 - 99</v>
      </c>
      <c r="B49" s="1243">
        <f ca="1"/>
        <v>0</v>
      </c>
      <c r="C49" s="1244">
        <f ca="1"/>
        <v>0</v>
      </c>
      <c r="D49" s="1242" t="str">
        <f ca="1"/>
        <v>65 - 99</v>
      </c>
      <c r="E49" s="1245">
        <f ca="1"/>
        <v>19394.634481025914</v>
      </c>
      <c r="F49" s="1246">
        <f ca="1"/>
        <v>17179.869578961538</v>
      </c>
      <c r="G49" s="1242" t="str">
        <f t="shared" ca="1" si="2"/>
        <v>65 - 99</v>
      </c>
      <c r="H49" s="1245">
        <f t="shared" ca="1" si="3"/>
        <v>0</v>
      </c>
      <c r="I49" s="1246">
        <f t="shared" ca="1" si="4"/>
        <v>0</v>
      </c>
      <c r="K49" s="1241" t="b">
        <f t="shared" si="5"/>
        <v>1</v>
      </c>
    </row>
    <row r="50" spans="1:11" ht="15.75" thickBot="1" x14ac:dyDescent="0.3">
      <c r="K50" s="808" t="b">
        <f t="shared" si="1"/>
        <v>1</v>
      </c>
    </row>
    <row r="51" spans="1:11" ht="21" thickTop="1" thickBot="1" x14ac:dyDescent="0.3">
      <c r="A51" s="1225" t="s">
        <v>1356</v>
      </c>
      <c r="B51" s="1226" t="s">
        <v>1296</v>
      </c>
      <c r="C51" s="1227">
        <f>C34</f>
        <v>150000</v>
      </c>
      <c r="D51" s="1226" t="s">
        <v>33</v>
      </c>
      <c r="E51" s="1227" t="str">
        <f>E34</f>
        <v>NAS - Workers Network</v>
      </c>
      <c r="F51" s="1226" t="s">
        <v>940</v>
      </c>
      <c r="G51" s="1227" t="str">
        <f>G34</f>
        <v>Dubai</v>
      </c>
      <c r="H51" s="1226" t="s">
        <v>1357</v>
      </c>
      <c r="I51" s="1227" t="str">
        <f>I34</f>
        <v>Worldwide at R&amp;C of UAE</v>
      </c>
      <c r="K51" s="808" t="b">
        <f t="shared" si="1"/>
        <v>1</v>
      </c>
    </row>
    <row r="52" spans="1:11" ht="16.5" thickTop="1" thickBot="1" x14ac:dyDescent="0.3">
      <c r="K52" s="808" t="b">
        <f t="shared" si="1"/>
        <v>1</v>
      </c>
    </row>
    <row r="53" spans="1:11" x14ac:dyDescent="0.25">
      <c r="A53" s="1462" t="s">
        <v>1355</v>
      </c>
      <c r="B53" s="1463"/>
      <c r="C53" s="1464"/>
      <c r="D53" s="1465" t="s">
        <v>1363</v>
      </c>
      <c r="E53" s="1466"/>
      <c r="F53" s="1464"/>
      <c r="G53" s="1465" t="s">
        <v>133</v>
      </c>
      <c r="H53" s="1466"/>
      <c r="I53" s="1464"/>
      <c r="K53" s="808" t="b">
        <f t="shared" si="1"/>
        <v>1</v>
      </c>
    </row>
    <row r="54" spans="1:11" x14ac:dyDescent="0.25">
      <c r="A54" s="1229" t="str" cm="1">
        <f t="array" aca="1" ref="A54:C66" ca="1">Age_Band_Count_Dep_CatA</f>
        <v>Age Bracket</v>
      </c>
      <c r="B54" s="1230" t="str">
        <f ca="1"/>
        <v>Male</v>
      </c>
      <c r="C54" s="1231" t="str">
        <f ca="1"/>
        <v>Female</v>
      </c>
      <c r="D54" s="1229" t="str" cm="1">
        <f t="array" aca="1" ref="D54:F66" ca="1">Age_Band_GRP_Dep_CatA</f>
        <v>Age Bracket</v>
      </c>
      <c r="E54" s="1230" t="str">
        <f ca="1"/>
        <v>Male</v>
      </c>
      <c r="F54" s="1231" t="str">
        <f ca="1"/>
        <v>Female</v>
      </c>
      <c r="G54" s="1229" t="s">
        <v>286</v>
      </c>
      <c r="H54" s="1230" t="s">
        <v>65</v>
      </c>
      <c r="I54" s="1231" t="s">
        <v>66</v>
      </c>
      <c r="K54" s="808" t="b">
        <f t="shared" si="1"/>
        <v>1</v>
      </c>
    </row>
    <row r="55" spans="1:11" x14ac:dyDescent="0.25">
      <c r="A55" s="1202" t="str">
        <f ca="1"/>
        <v>0 - 10</v>
      </c>
      <c r="B55" s="1232">
        <f ca="1"/>
        <v>1</v>
      </c>
      <c r="C55" s="1233">
        <f ca="1"/>
        <v>1</v>
      </c>
      <c r="D55" s="1202" t="str">
        <f ca="1"/>
        <v>0 - 10</v>
      </c>
      <c r="E55" s="1234">
        <f ca="1"/>
        <v>3601.4031608011592</v>
      </c>
      <c r="F55" s="1235">
        <f ca="1"/>
        <v>3398.7833822442881</v>
      </c>
      <c r="G55" s="1202" t="str">
        <f t="shared" ref="G55:G66" ca="1" si="6">A55</f>
        <v>0 - 10</v>
      </c>
      <c r="H55" s="1234">
        <f t="shared" ref="H55:H66" ca="1" si="7">IFERROR(B55*E55,0)</f>
        <v>3601.4031608011592</v>
      </c>
      <c r="I55" s="1235">
        <f t="shared" ref="I55:I66" ca="1" si="8">IFERROR(C55*F55,0)</f>
        <v>3398.7833822442881</v>
      </c>
      <c r="K55" s="808" t="b">
        <f t="shared" si="1"/>
        <v>1</v>
      </c>
    </row>
    <row r="56" spans="1:11" x14ac:dyDescent="0.25">
      <c r="A56" s="1236" t="str">
        <f ca="1"/>
        <v>11 - 17</v>
      </c>
      <c r="B56" s="1237">
        <f ca="1"/>
        <v>1</v>
      </c>
      <c r="C56" s="1238">
        <f ca="1"/>
        <v>0</v>
      </c>
      <c r="D56" s="1236" t="str">
        <f ca="1"/>
        <v>11 - 17</v>
      </c>
      <c r="E56" s="1239">
        <f ca="1"/>
        <v>1701.0257215943768</v>
      </c>
      <c r="F56" s="1240">
        <f ca="1"/>
        <v>2085.022882569092</v>
      </c>
      <c r="G56" s="1236" t="str">
        <f t="shared" ca="1" si="6"/>
        <v>11 - 17</v>
      </c>
      <c r="H56" s="1239">
        <f t="shared" ca="1" si="7"/>
        <v>1701.0257215943768</v>
      </c>
      <c r="I56" s="1240">
        <f t="shared" ca="1" si="8"/>
        <v>0</v>
      </c>
      <c r="K56" s="808" t="b">
        <f t="shared" si="1"/>
        <v>1</v>
      </c>
    </row>
    <row r="57" spans="1:11" x14ac:dyDescent="0.25">
      <c r="A57" s="1202" t="str">
        <f ca="1"/>
        <v>18 - 25</v>
      </c>
      <c r="B57" s="1232">
        <f ca="1"/>
        <v>1</v>
      </c>
      <c r="C57" s="1233">
        <f ca="1"/>
        <v>2</v>
      </c>
      <c r="D57" s="1202" t="str">
        <f ca="1"/>
        <v>18 - 25</v>
      </c>
      <c r="E57" s="1234">
        <f ca="1"/>
        <v>2129.1417053193786</v>
      </c>
      <c r="F57" s="1235">
        <f ca="1"/>
        <v>2078.4867606801604</v>
      </c>
      <c r="G57" s="1202" t="str">
        <f t="shared" ca="1" si="6"/>
        <v>18 - 25</v>
      </c>
      <c r="H57" s="1234">
        <f t="shared" ca="1" si="7"/>
        <v>2129.1417053193786</v>
      </c>
      <c r="I57" s="1235">
        <f t="shared" ca="1" si="8"/>
        <v>4156.9735213603208</v>
      </c>
      <c r="K57" s="808" t="b">
        <f t="shared" si="1"/>
        <v>1</v>
      </c>
    </row>
    <row r="58" spans="1:11" x14ac:dyDescent="0.25">
      <c r="A58" s="1236" t="str">
        <f ca="1"/>
        <v>26 - 30</v>
      </c>
      <c r="B58" s="1237">
        <f ca="1"/>
        <v>0</v>
      </c>
      <c r="C58" s="1238">
        <f ca="1"/>
        <v>0</v>
      </c>
      <c r="D58" s="1236" t="str">
        <f ca="1"/>
        <v>26 - 30</v>
      </c>
      <c r="E58" s="1239">
        <f ca="1"/>
        <v>2315.421179153921</v>
      </c>
      <c r="F58" s="1240">
        <f ca="1"/>
        <v>2586.6702375445711</v>
      </c>
      <c r="G58" s="1236" t="str">
        <f t="shared" ca="1" si="6"/>
        <v>26 - 30</v>
      </c>
      <c r="H58" s="1239">
        <f t="shared" ca="1" si="7"/>
        <v>0</v>
      </c>
      <c r="I58" s="1240">
        <f t="shared" ca="1" si="8"/>
        <v>0</v>
      </c>
      <c r="K58" s="808" t="b">
        <f t="shared" si="1"/>
        <v>1</v>
      </c>
    </row>
    <row r="59" spans="1:11" x14ac:dyDescent="0.25">
      <c r="A59" s="1202" t="str">
        <f ca="1"/>
        <v>31 - 35</v>
      </c>
      <c r="B59" s="1232">
        <f ca="1"/>
        <v>0</v>
      </c>
      <c r="C59" s="1233">
        <f ca="1"/>
        <v>0</v>
      </c>
      <c r="D59" s="1202" t="str">
        <f ca="1"/>
        <v>31 - 35</v>
      </c>
      <c r="E59" s="1234">
        <f ca="1"/>
        <v>2792.5580770459078</v>
      </c>
      <c r="F59" s="1235">
        <f ca="1"/>
        <v>3091.5856534645154</v>
      </c>
      <c r="G59" s="1202" t="str">
        <f t="shared" ca="1" si="6"/>
        <v>31 - 35</v>
      </c>
      <c r="H59" s="1234">
        <f t="shared" ca="1" si="7"/>
        <v>0</v>
      </c>
      <c r="I59" s="1235">
        <f t="shared" ca="1" si="8"/>
        <v>0</v>
      </c>
      <c r="K59" s="808" t="b">
        <f t="shared" si="1"/>
        <v>1</v>
      </c>
    </row>
    <row r="60" spans="1:11" x14ac:dyDescent="0.25">
      <c r="A60" s="1236" t="str">
        <f ca="1"/>
        <v>36 - 40</v>
      </c>
      <c r="B60" s="1237">
        <f ca="1"/>
        <v>0</v>
      </c>
      <c r="C60" s="1238">
        <f ca="1"/>
        <v>0</v>
      </c>
      <c r="D60" s="1236" t="str">
        <f ca="1"/>
        <v>36 - 40</v>
      </c>
      <c r="E60" s="1239">
        <f ca="1"/>
        <v>3447.8042964112728</v>
      </c>
      <c r="F60" s="1240">
        <f ca="1"/>
        <v>3861.2140058861792</v>
      </c>
      <c r="G60" s="1236" t="str">
        <f t="shared" ca="1" si="6"/>
        <v>36 - 40</v>
      </c>
      <c r="H60" s="1239">
        <f t="shared" ca="1" si="7"/>
        <v>0</v>
      </c>
      <c r="I60" s="1240">
        <f t="shared" ca="1" si="8"/>
        <v>0</v>
      </c>
      <c r="K60" s="1241" t="b">
        <f t="shared" ref="K60:K66" si="9">IF(Region_A="Abu Dhabi",FALSE,$K$17)</f>
        <v>1</v>
      </c>
    </row>
    <row r="61" spans="1:11" x14ac:dyDescent="0.25">
      <c r="A61" s="1202" t="str">
        <f ca="1"/>
        <v>41 - 45</v>
      </c>
      <c r="B61" s="1232">
        <f ca="1"/>
        <v>0</v>
      </c>
      <c r="C61" s="1233">
        <f ca="1"/>
        <v>0</v>
      </c>
      <c r="D61" s="1202" t="str">
        <f ca="1"/>
        <v>41 - 45</v>
      </c>
      <c r="E61" s="1234">
        <f ca="1"/>
        <v>4040.9573578317904</v>
      </c>
      <c r="F61" s="1235">
        <f ca="1"/>
        <v>4949.4783003932444</v>
      </c>
      <c r="G61" s="1202" t="str">
        <f t="shared" ca="1" si="6"/>
        <v>41 - 45</v>
      </c>
      <c r="H61" s="1234">
        <f t="shared" ca="1" si="7"/>
        <v>0</v>
      </c>
      <c r="I61" s="1235">
        <f t="shared" ca="1" si="8"/>
        <v>0</v>
      </c>
      <c r="K61" s="1241" t="b">
        <f t="shared" si="9"/>
        <v>1</v>
      </c>
    </row>
    <row r="62" spans="1:11" x14ac:dyDescent="0.25">
      <c r="A62" s="1236" t="str">
        <f ca="1"/>
        <v>46 - 50</v>
      </c>
      <c r="B62" s="1237">
        <f ca="1"/>
        <v>0</v>
      </c>
      <c r="C62" s="1238">
        <f ca="1"/>
        <v>2</v>
      </c>
      <c r="D62" s="1236" t="str">
        <f ca="1"/>
        <v>46 - 50</v>
      </c>
      <c r="E62" s="1239">
        <f ca="1"/>
        <v>5276.2843948398104</v>
      </c>
      <c r="F62" s="1240">
        <f ca="1"/>
        <v>6194.6095202346614</v>
      </c>
      <c r="G62" s="1236" t="str">
        <f t="shared" ca="1" si="6"/>
        <v>46 - 50</v>
      </c>
      <c r="H62" s="1239">
        <f t="shared" ca="1" si="7"/>
        <v>0</v>
      </c>
      <c r="I62" s="1240">
        <f t="shared" ca="1" si="8"/>
        <v>12389.219040469323</v>
      </c>
      <c r="K62" s="1241" t="b">
        <f t="shared" si="9"/>
        <v>1</v>
      </c>
    </row>
    <row r="63" spans="1:11" x14ac:dyDescent="0.25">
      <c r="A63" s="1202" t="str">
        <f ca="1"/>
        <v>51 - 55</v>
      </c>
      <c r="B63" s="1232">
        <f ca="1"/>
        <v>0</v>
      </c>
      <c r="C63" s="1233">
        <f ca="1"/>
        <v>0</v>
      </c>
      <c r="D63" s="1202" t="str">
        <f ca="1"/>
        <v>51 - 55</v>
      </c>
      <c r="E63" s="1234">
        <f ca="1"/>
        <v>7065.5477619347603</v>
      </c>
      <c r="F63" s="1235">
        <f ca="1"/>
        <v>8160.3481783307561</v>
      </c>
      <c r="G63" s="1202" t="str">
        <f t="shared" ca="1" si="6"/>
        <v>51 - 55</v>
      </c>
      <c r="H63" s="1234">
        <f t="shared" ca="1" si="7"/>
        <v>0</v>
      </c>
      <c r="I63" s="1235">
        <f t="shared" ca="1" si="8"/>
        <v>0</v>
      </c>
      <c r="K63" s="1241" t="b">
        <f t="shared" si="9"/>
        <v>1</v>
      </c>
    </row>
    <row r="64" spans="1:11" x14ac:dyDescent="0.25">
      <c r="A64" s="1236" t="str">
        <f ca="1"/>
        <v>56 - 59</v>
      </c>
      <c r="B64" s="1237">
        <f ca="1"/>
        <v>0</v>
      </c>
      <c r="C64" s="1238">
        <f ca="1"/>
        <v>0</v>
      </c>
      <c r="D64" s="1236" t="str">
        <f ca="1"/>
        <v>56 - 59</v>
      </c>
      <c r="E64" s="1239">
        <f ca="1"/>
        <v>9609.7332072012778</v>
      </c>
      <c r="F64" s="1240">
        <f ca="1"/>
        <v>9985.5602158148286</v>
      </c>
      <c r="G64" s="1236" t="str">
        <f t="shared" ca="1" si="6"/>
        <v>56 - 59</v>
      </c>
      <c r="H64" s="1239">
        <f t="shared" ca="1" si="7"/>
        <v>0</v>
      </c>
      <c r="I64" s="1240">
        <f t="shared" ca="1" si="8"/>
        <v>0</v>
      </c>
      <c r="K64" s="1241" t="b">
        <f t="shared" si="9"/>
        <v>1</v>
      </c>
    </row>
    <row r="65" spans="1:11" x14ac:dyDescent="0.25">
      <c r="A65" s="1202" t="str">
        <f ca="1"/>
        <v>60 - 64</v>
      </c>
      <c r="B65" s="1232">
        <f ca="1"/>
        <v>0</v>
      </c>
      <c r="C65" s="1233">
        <f ca="1"/>
        <v>0</v>
      </c>
      <c r="D65" s="1202" t="str">
        <f ca="1"/>
        <v>60 - 64</v>
      </c>
      <c r="E65" s="1234">
        <f ca="1"/>
        <v>11818.942405660064</v>
      </c>
      <c r="F65" s="1235">
        <f ca="1"/>
        <v>11859.793167465885</v>
      </c>
      <c r="G65" s="1202" t="str">
        <f t="shared" ca="1" si="6"/>
        <v>60 - 64</v>
      </c>
      <c r="H65" s="1234">
        <f t="shared" ca="1" si="7"/>
        <v>0</v>
      </c>
      <c r="I65" s="1235">
        <f t="shared" ca="1" si="8"/>
        <v>0</v>
      </c>
      <c r="K65" s="1241" t="b">
        <f t="shared" si="9"/>
        <v>1</v>
      </c>
    </row>
    <row r="66" spans="1:11" ht="15.75" thickBot="1" x14ac:dyDescent="0.3">
      <c r="A66" s="1242" t="str">
        <f ca="1"/>
        <v>65 - 99</v>
      </c>
      <c r="B66" s="1243">
        <f ca="1"/>
        <v>0</v>
      </c>
      <c r="C66" s="1244">
        <f ca="1"/>
        <v>0</v>
      </c>
      <c r="D66" s="1242" t="str">
        <f ca="1"/>
        <v>65 - 99</v>
      </c>
      <c r="E66" s="1245">
        <f ca="1"/>
        <v>21274.096330188113</v>
      </c>
      <c r="F66" s="1246">
        <f ca="1"/>
        <v>21347.627701438592</v>
      </c>
      <c r="G66" s="1242" t="str">
        <f t="shared" ca="1" si="6"/>
        <v>65 - 99</v>
      </c>
      <c r="H66" s="1245">
        <f t="shared" ca="1" si="7"/>
        <v>0</v>
      </c>
      <c r="I66" s="1246">
        <f t="shared" ca="1" si="8"/>
        <v>0</v>
      </c>
      <c r="K66" s="1241" t="b">
        <f t="shared" si="9"/>
        <v>1</v>
      </c>
    </row>
    <row r="67" spans="1:11" ht="15.75" thickBot="1" x14ac:dyDescent="0.3">
      <c r="K67" s="808" t="b">
        <f t="shared" si="1"/>
        <v>1</v>
      </c>
    </row>
    <row r="68" spans="1:11" ht="21" thickTop="1" thickBot="1" x14ac:dyDescent="0.3">
      <c r="A68" s="1225" t="s">
        <v>1360</v>
      </c>
      <c r="B68" s="1226" t="s">
        <v>678</v>
      </c>
      <c r="C68" s="1227">
        <f>Maternity_Limit_A</f>
        <v>10000</v>
      </c>
      <c r="D68" s="1226" t="s">
        <v>1018</v>
      </c>
      <c r="E68" s="1247">
        <f>Maternity_CoPay_A</f>
        <v>0.1</v>
      </c>
      <c r="F68" s="1226" t="s">
        <v>940</v>
      </c>
      <c r="G68" s="1227" t="str">
        <f>G51</f>
        <v>Dubai</v>
      </c>
      <c r="K68" s="808" t="b">
        <f t="shared" si="1"/>
        <v>1</v>
      </c>
    </row>
    <row r="69" spans="1:11" ht="16.5" thickTop="1" thickBot="1" x14ac:dyDescent="0.3">
      <c r="K69" s="808" t="b">
        <f t="shared" si="1"/>
        <v>1</v>
      </c>
    </row>
    <row r="70" spans="1:11" ht="15.75" thickTop="1" x14ac:dyDescent="0.25">
      <c r="A70" s="1248"/>
      <c r="B70" s="1467" t="s">
        <v>1358</v>
      </c>
      <c r="C70" s="1468"/>
      <c r="D70" s="1467" t="s">
        <v>1358</v>
      </c>
      <c r="E70" s="1468"/>
      <c r="F70" s="1467" t="s">
        <v>1089</v>
      </c>
      <c r="G70" s="1469"/>
      <c r="K70" s="808" t="b">
        <f t="shared" si="1"/>
        <v>1</v>
      </c>
    </row>
    <row r="71" spans="1:11" x14ac:dyDescent="0.25">
      <c r="A71" s="1249" t="s">
        <v>286</v>
      </c>
      <c r="B71" s="1230" t="s">
        <v>1361</v>
      </c>
      <c r="C71" s="1231" t="s">
        <v>1105</v>
      </c>
      <c r="D71" s="1230" t="s">
        <v>1361</v>
      </c>
      <c r="E71" s="1231" t="s">
        <v>1105</v>
      </c>
      <c r="F71" s="1230" t="s">
        <v>1361</v>
      </c>
      <c r="G71" s="1250" t="s">
        <v>1105</v>
      </c>
      <c r="K71" s="808" t="b">
        <f t="shared" si="1"/>
        <v>1</v>
      </c>
    </row>
    <row r="72" spans="1:11" ht="15.75" thickBot="1" x14ac:dyDescent="0.3">
      <c r="A72" s="1204" t="str">
        <f>IF(Region_A="Abu Dhabi","18-50","18-45")</f>
        <v>18-45</v>
      </c>
      <c r="B72" s="1251" cm="1">
        <f t="array" ref="B72:C72">TRANSPOSE('Member Data'!O43:O44)</f>
        <v>0</v>
      </c>
      <c r="C72" s="1252">
        <v>0</v>
      </c>
      <c r="D72" s="1253">
        <f ca="1">Maternity_GRP_A</f>
        <v>2251.2857142857147</v>
      </c>
      <c r="E72" s="1253">
        <f ca="1">Maternity_GRP_A</f>
        <v>2251.2857142857147</v>
      </c>
      <c r="F72" s="1253">
        <f ca="1">IFERROR(B72*D72,0)</f>
        <v>0</v>
      </c>
      <c r="G72" s="1254">
        <f ca="1">IFERROR(C72*E72,0)</f>
        <v>0</v>
      </c>
      <c r="K72" s="808" t="b">
        <f t="shared" si="1"/>
        <v>1</v>
      </c>
    </row>
    <row r="73" spans="1:11" ht="15.75" thickTop="1" x14ac:dyDescent="0.25">
      <c r="K73" s="808" t="b">
        <f t="shared" si="1"/>
        <v>1</v>
      </c>
    </row>
    <row r="74" spans="1:11" ht="15.75" thickBot="1" x14ac:dyDescent="0.3">
      <c r="K74" s="808" t="b">
        <f t="shared" si="1"/>
        <v>1</v>
      </c>
    </row>
    <row r="75" spans="1:11" ht="21" thickTop="1" thickBot="1" x14ac:dyDescent="0.3">
      <c r="A75" s="1459" t="s">
        <v>1371</v>
      </c>
      <c r="B75" s="1460"/>
      <c r="C75" s="1460"/>
      <c r="D75" s="1460"/>
      <c r="E75" s="1460"/>
      <c r="F75" s="1460"/>
      <c r="G75" s="1460"/>
      <c r="H75" s="1460"/>
      <c r="I75" s="1461"/>
      <c r="K75" s="808" t="b">
        <f>$K$18</f>
        <v>0</v>
      </c>
    </row>
    <row r="76" spans="1:11" ht="16.5" thickTop="1" thickBot="1" x14ac:dyDescent="0.3">
      <c r="K76" s="808" t="b">
        <f t="shared" ref="K76:K122" si="10">$K$18</f>
        <v>0</v>
      </c>
    </row>
    <row r="77" spans="1:11" ht="25.5" x14ac:dyDescent="0.25">
      <c r="A77" s="1214" t="s">
        <v>1364</v>
      </c>
      <c r="B77" s="1215">
        <f ca="1">SUM(H86:I97,H103:I114)</f>
        <v>0</v>
      </c>
      <c r="D77" s="1216" t="s">
        <v>1367</v>
      </c>
      <c r="E77" s="1215">
        <f ca="1">F120+G120</f>
        <v>0</v>
      </c>
      <c r="G77" s="1216" t="s">
        <v>1369</v>
      </c>
      <c r="H77" s="1215">
        <f ca="1">B77+E77</f>
        <v>0</v>
      </c>
      <c r="K77" s="808" t="b">
        <f t="shared" si="10"/>
        <v>0</v>
      </c>
    </row>
    <row r="78" spans="1:11" ht="26.25" thickBot="1" x14ac:dyDescent="0.3">
      <c r="A78" s="1217" t="s">
        <v>1365</v>
      </c>
      <c r="B78" s="1218">
        <f ca="1">SUM(B86:C97,B103:C114)</f>
        <v>0</v>
      </c>
      <c r="D78" s="1219" t="str">
        <f>"Married Female - "&amp;IF(Region_B="Abu Dhabi","18-50","18-45")</f>
        <v>Married Female - 18-45</v>
      </c>
      <c r="E78" s="1218">
        <f>B120+C120</f>
        <v>0</v>
      </c>
      <c r="G78" s="1219" t="str">
        <f>IF(Region_B="Dubai","Bashmah Fee (AED 37/per Member)","ICP Fee (AED 28 / per Member)")</f>
        <v>Bashmah Fee (AED 37/per Member)</v>
      </c>
      <c r="H78" s="1220">
        <f ca="1">IF(Region_B="Dubai",37*B78,28*B78)</f>
        <v>0</v>
      </c>
      <c r="K78" s="808" t="b">
        <f t="shared" si="10"/>
        <v>0</v>
      </c>
    </row>
    <row r="79" spans="1:11" ht="27" thickTop="1" thickBot="1" x14ac:dyDescent="0.3">
      <c r="A79" s="1221" t="s">
        <v>1366</v>
      </c>
      <c r="B79" s="1222">
        <f ca="1">IFERROR(B77/B78,0)</f>
        <v>0</v>
      </c>
      <c r="D79" s="1223" t="s">
        <v>1368</v>
      </c>
      <c r="E79" s="1222" t="str">
        <f ca="1">Maternity_GRP_B</f>
        <v>NA</v>
      </c>
      <c r="G79" s="1223" t="s">
        <v>1370</v>
      </c>
      <c r="H79" s="1222">
        <f ca="1">(H77+H78)*5%</f>
        <v>0</v>
      </c>
      <c r="I79" s="1224">
        <f ca="1">SUM(H77:H79)</f>
        <v>0</v>
      </c>
      <c r="K79" s="808" t="b">
        <f t="shared" si="10"/>
        <v>0</v>
      </c>
    </row>
    <row r="80" spans="1:11" x14ac:dyDescent="0.25">
      <c r="K80" s="808" t="b">
        <f t="shared" si="10"/>
        <v>0</v>
      </c>
    </row>
    <row r="81" spans="1:11" ht="15.75" thickBot="1" x14ac:dyDescent="0.3">
      <c r="K81" s="808" t="b">
        <f t="shared" si="10"/>
        <v>0</v>
      </c>
    </row>
    <row r="82" spans="1:11" ht="21" thickTop="1" thickBot="1" x14ac:dyDescent="0.3">
      <c r="A82" s="1225" t="s">
        <v>1359</v>
      </c>
      <c r="B82" s="1226" t="s">
        <v>1296</v>
      </c>
      <c r="C82" s="1227">
        <f>AML_B</f>
        <v>1000000</v>
      </c>
      <c r="D82" s="1226" t="s">
        <v>33</v>
      </c>
      <c r="E82" s="1227" t="str">
        <f>"NAS - "&amp;Network_B</f>
        <v>NAS - Restricted Network</v>
      </c>
      <c r="F82" s="1226" t="s">
        <v>940</v>
      </c>
      <c r="G82" s="1227" t="str">
        <f>Region_B</f>
        <v>Dubai</v>
      </c>
      <c r="H82" s="1226" t="s">
        <v>1357</v>
      </c>
      <c r="I82" s="1227" t="str">
        <f>Area_B</f>
        <v>Worldwide at R&amp;C of UAE</v>
      </c>
      <c r="K82" s="808" t="b">
        <f t="shared" si="10"/>
        <v>0</v>
      </c>
    </row>
    <row r="83" spans="1:11" ht="16.5" thickTop="1" thickBot="1" x14ac:dyDescent="0.3">
      <c r="A83" s="1228"/>
      <c r="B83" s="1228"/>
      <c r="K83" s="808" t="b">
        <f t="shared" si="10"/>
        <v>0</v>
      </c>
    </row>
    <row r="84" spans="1:11" x14ac:dyDescent="0.25">
      <c r="A84" s="1462" t="s">
        <v>1355</v>
      </c>
      <c r="B84" s="1463"/>
      <c r="C84" s="1464"/>
      <c r="D84" s="1465" t="s">
        <v>1363</v>
      </c>
      <c r="E84" s="1466"/>
      <c r="F84" s="1464"/>
      <c r="G84" s="1465" t="s">
        <v>133</v>
      </c>
      <c r="H84" s="1466"/>
      <c r="I84" s="1464"/>
      <c r="K84" s="808" t="b">
        <f t="shared" si="10"/>
        <v>0</v>
      </c>
    </row>
    <row r="85" spans="1:11" x14ac:dyDescent="0.25">
      <c r="A85" s="1229" t="str" cm="1">
        <f t="array" aca="1" ref="A85:C97" ca="1">Age_Band_Count_Emp_CatB</f>
        <v>Age Bracket</v>
      </c>
      <c r="B85" s="1230" t="str">
        <f ca="1"/>
        <v>Male</v>
      </c>
      <c r="C85" s="1231" t="str">
        <f ca="1"/>
        <v>Female</v>
      </c>
      <c r="D85" s="1229" t="str" cm="1">
        <f t="array" aca="1" ref="D85:F97" ca="1">Age_Band_GRP_Emp_CatB</f>
        <v>Age Bracket</v>
      </c>
      <c r="E85" s="1230" t="str">
        <f ca="1"/>
        <v>Male</v>
      </c>
      <c r="F85" s="1231" t="str">
        <f ca="1"/>
        <v>Female</v>
      </c>
      <c r="G85" s="1229" t="s">
        <v>286</v>
      </c>
      <c r="H85" s="1230" t="s">
        <v>65</v>
      </c>
      <c r="I85" s="1231" t="s">
        <v>66</v>
      </c>
      <c r="K85" s="808" t="b">
        <f t="shared" si="10"/>
        <v>0</v>
      </c>
    </row>
    <row r="86" spans="1:11" x14ac:dyDescent="0.25">
      <c r="A86" s="1202" t="str">
        <f ca="1"/>
        <v/>
      </c>
      <c r="B86" s="1232">
        <f ca="1"/>
        <v>0</v>
      </c>
      <c r="C86" s="1233">
        <f ca="1"/>
        <v>0</v>
      </c>
      <c r="D86" s="1202" t="str">
        <f ca="1"/>
        <v/>
      </c>
      <c r="E86" s="1234" t="str">
        <f ca="1"/>
        <v>NA</v>
      </c>
      <c r="F86" s="1235" t="str">
        <f ca="1"/>
        <v>NA</v>
      </c>
      <c r="G86" s="1202" t="str">
        <f t="shared" ref="G86:G97" ca="1" si="11">A86</f>
        <v/>
      </c>
      <c r="H86" s="1234">
        <f t="shared" ref="H86:H97" ca="1" si="12">IFERROR(B86*E86,0)</f>
        <v>0</v>
      </c>
      <c r="I86" s="1235">
        <f t="shared" ref="I86:I97" ca="1" si="13">IFERROR(C86*F86,0)</f>
        <v>0</v>
      </c>
      <c r="K86" s="808" t="b">
        <f t="shared" si="10"/>
        <v>0</v>
      </c>
    </row>
    <row r="87" spans="1:11" x14ac:dyDescent="0.25">
      <c r="A87" s="1236" t="str">
        <f ca="1"/>
        <v/>
      </c>
      <c r="B87" s="1237">
        <f ca="1"/>
        <v>0</v>
      </c>
      <c r="C87" s="1238">
        <f ca="1"/>
        <v>0</v>
      </c>
      <c r="D87" s="1236" t="str">
        <f ca="1"/>
        <v/>
      </c>
      <c r="E87" s="1239" t="str">
        <f ca="1"/>
        <v>NA</v>
      </c>
      <c r="F87" s="1240" t="str">
        <f ca="1"/>
        <v>NA</v>
      </c>
      <c r="G87" s="1236" t="str">
        <f t="shared" ca="1" si="11"/>
        <v/>
      </c>
      <c r="H87" s="1239">
        <f t="shared" ca="1" si="12"/>
        <v>0</v>
      </c>
      <c r="I87" s="1240">
        <f t="shared" ca="1" si="13"/>
        <v>0</v>
      </c>
      <c r="K87" s="808" t="b">
        <f t="shared" si="10"/>
        <v>0</v>
      </c>
    </row>
    <row r="88" spans="1:11" x14ac:dyDescent="0.25">
      <c r="A88" s="1202" t="str">
        <f ca="1"/>
        <v/>
      </c>
      <c r="B88" s="1232">
        <f ca="1"/>
        <v>0</v>
      </c>
      <c r="C88" s="1233">
        <f ca="1"/>
        <v>0</v>
      </c>
      <c r="D88" s="1202" t="str">
        <f ca="1"/>
        <v/>
      </c>
      <c r="E88" s="1234" t="str">
        <f ca="1"/>
        <v>NA</v>
      </c>
      <c r="F88" s="1235" t="str">
        <f ca="1"/>
        <v>NA</v>
      </c>
      <c r="G88" s="1202" t="str">
        <f t="shared" ca="1" si="11"/>
        <v/>
      </c>
      <c r="H88" s="1234">
        <f t="shared" ca="1" si="12"/>
        <v>0</v>
      </c>
      <c r="I88" s="1235">
        <f t="shared" ca="1" si="13"/>
        <v>0</v>
      </c>
      <c r="K88" s="808" t="b">
        <f t="shared" si="10"/>
        <v>0</v>
      </c>
    </row>
    <row r="89" spans="1:11" x14ac:dyDescent="0.25">
      <c r="A89" s="1236" t="str">
        <f ca="1"/>
        <v/>
      </c>
      <c r="B89" s="1237">
        <f ca="1"/>
        <v>0</v>
      </c>
      <c r="C89" s="1238">
        <f ca="1"/>
        <v>0</v>
      </c>
      <c r="D89" s="1236" t="str">
        <f ca="1"/>
        <v/>
      </c>
      <c r="E89" s="1239" t="str">
        <f ca="1"/>
        <v>NA</v>
      </c>
      <c r="F89" s="1240" t="str">
        <f ca="1"/>
        <v>NA</v>
      </c>
      <c r="G89" s="1236" t="str">
        <f t="shared" ca="1" si="11"/>
        <v/>
      </c>
      <c r="H89" s="1239">
        <f t="shared" ca="1" si="12"/>
        <v>0</v>
      </c>
      <c r="I89" s="1240">
        <f t="shared" ca="1" si="13"/>
        <v>0</v>
      </c>
      <c r="K89" s="808" t="b">
        <f t="shared" si="10"/>
        <v>0</v>
      </c>
    </row>
    <row r="90" spans="1:11" x14ac:dyDescent="0.25">
      <c r="A90" s="1202" t="str">
        <f ca="1"/>
        <v/>
      </c>
      <c r="B90" s="1232">
        <f ca="1"/>
        <v>0</v>
      </c>
      <c r="C90" s="1233">
        <f ca="1"/>
        <v>0</v>
      </c>
      <c r="D90" s="1202" t="str">
        <f ca="1"/>
        <v/>
      </c>
      <c r="E90" s="1234" t="str">
        <f ca="1"/>
        <v>NA</v>
      </c>
      <c r="F90" s="1235" t="str">
        <f ca="1"/>
        <v>NA</v>
      </c>
      <c r="G90" s="1202" t="str">
        <f t="shared" ca="1" si="11"/>
        <v/>
      </c>
      <c r="H90" s="1234">
        <f t="shared" ca="1" si="12"/>
        <v>0</v>
      </c>
      <c r="I90" s="1235">
        <f t="shared" ca="1" si="13"/>
        <v>0</v>
      </c>
      <c r="K90" s="808" t="b">
        <f t="shared" si="10"/>
        <v>0</v>
      </c>
    </row>
    <row r="91" spans="1:11" x14ac:dyDescent="0.25">
      <c r="A91" s="1236" t="str">
        <f ca="1"/>
        <v/>
      </c>
      <c r="B91" s="1237">
        <f ca="1"/>
        <v>0</v>
      </c>
      <c r="C91" s="1238">
        <f ca="1"/>
        <v>0</v>
      </c>
      <c r="D91" s="1236" t="str">
        <f ca="1"/>
        <v/>
      </c>
      <c r="E91" s="1239" t="str">
        <f ca="1"/>
        <v>NA</v>
      </c>
      <c r="F91" s="1240" t="str">
        <f ca="1"/>
        <v>NA</v>
      </c>
      <c r="G91" s="1236" t="str">
        <f t="shared" ca="1" si="11"/>
        <v/>
      </c>
      <c r="H91" s="1239">
        <f t="shared" ca="1" si="12"/>
        <v>0</v>
      </c>
      <c r="I91" s="1240">
        <f t="shared" ca="1" si="13"/>
        <v>0</v>
      </c>
      <c r="K91" s="1241" t="b">
        <f t="shared" ref="K91:K97" si="14">IF(Region_B="Abu Dhabi",FALSE,$K$18)</f>
        <v>0</v>
      </c>
    </row>
    <row r="92" spans="1:11" x14ac:dyDescent="0.25">
      <c r="A92" s="1202" t="str">
        <f ca="1"/>
        <v/>
      </c>
      <c r="B92" s="1232">
        <f ca="1"/>
        <v>0</v>
      </c>
      <c r="C92" s="1233">
        <f ca="1"/>
        <v>0</v>
      </c>
      <c r="D92" s="1202" t="str">
        <f ca="1"/>
        <v/>
      </c>
      <c r="E92" s="1234" t="str">
        <f ca="1"/>
        <v>NA</v>
      </c>
      <c r="F92" s="1235" t="str">
        <f ca="1"/>
        <v>NA</v>
      </c>
      <c r="G92" s="1202" t="str">
        <f t="shared" ca="1" si="11"/>
        <v/>
      </c>
      <c r="H92" s="1234">
        <f t="shared" ca="1" si="12"/>
        <v>0</v>
      </c>
      <c r="I92" s="1235">
        <f t="shared" ca="1" si="13"/>
        <v>0</v>
      </c>
      <c r="K92" s="1241" t="b">
        <f t="shared" si="14"/>
        <v>0</v>
      </c>
    </row>
    <row r="93" spans="1:11" x14ac:dyDescent="0.25">
      <c r="A93" s="1236" t="str">
        <f ca="1"/>
        <v/>
      </c>
      <c r="B93" s="1237">
        <f ca="1"/>
        <v>0</v>
      </c>
      <c r="C93" s="1238">
        <f ca="1"/>
        <v>0</v>
      </c>
      <c r="D93" s="1236" t="str">
        <f ca="1"/>
        <v/>
      </c>
      <c r="E93" s="1239" t="str">
        <f ca="1"/>
        <v>NA</v>
      </c>
      <c r="F93" s="1240" t="str">
        <f ca="1"/>
        <v>NA</v>
      </c>
      <c r="G93" s="1236" t="str">
        <f t="shared" ca="1" si="11"/>
        <v/>
      </c>
      <c r="H93" s="1239">
        <f t="shared" ca="1" si="12"/>
        <v>0</v>
      </c>
      <c r="I93" s="1240">
        <f t="shared" ca="1" si="13"/>
        <v>0</v>
      </c>
      <c r="K93" s="1241" t="b">
        <f t="shared" si="14"/>
        <v>0</v>
      </c>
    </row>
    <row r="94" spans="1:11" x14ac:dyDescent="0.25">
      <c r="A94" s="1202" t="str">
        <f ca="1"/>
        <v/>
      </c>
      <c r="B94" s="1232">
        <f ca="1"/>
        <v>0</v>
      </c>
      <c r="C94" s="1233">
        <f ca="1"/>
        <v>0</v>
      </c>
      <c r="D94" s="1202" t="str">
        <f ca="1"/>
        <v/>
      </c>
      <c r="E94" s="1234" t="str">
        <f ca="1"/>
        <v>NA</v>
      </c>
      <c r="F94" s="1235" t="str">
        <f ca="1"/>
        <v>NA</v>
      </c>
      <c r="G94" s="1202" t="str">
        <f t="shared" ca="1" si="11"/>
        <v/>
      </c>
      <c r="H94" s="1234">
        <f t="shared" ca="1" si="12"/>
        <v>0</v>
      </c>
      <c r="I94" s="1235">
        <f t="shared" ca="1" si="13"/>
        <v>0</v>
      </c>
      <c r="K94" s="1241" t="b">
        <f t="shared" si="14"/>
        <v>0</v>
      </c>
    </row>
    <row r="95" spans="1:11" x14ac:dyDescent="0.25">
      <c r="A95" s="1236" t="str">
        <f ca="1"/>
        <v/>
      </c>
      <c r="B95" s="1237">
        <f ca="1"/>
        <v>0</v>
      </c>
      <c r="C95" s="1238">
        <f ca="1"/>
        <v>0</v>
      </c>
      <c r="D95" s="1236" t="str">
        <f ca="1"/>
        <v/>
      </c>
      <c r="E95" s="1239" t="str">
        <f ca="1"/>
        <v>NA</v>
      </c>
      <c r="F95" s="1240" t="str">
        <f ca="1"/>
        <v>NA</v>
      </c>
      <c r="G95" s="1236" t="str">
        <f t="shared" ca="1" si="11"/>
        <v/>
      </c>
      <c r="H95" s="1239">
        <f t="shared" ca="1" si="12"/>
        <v>0</v>
      </c>
      <c r="I95" s="1240">
        <f t="shared" ca="1" si="13"/>
        <v>0</v>
      </c>
      <c r="K95" s="1241" t="b">
        <f t="shared" si="14"/>
        <v>0</v>
      </c>
    </row>
    <row r="96" spans="1:11" x14ac:dyDescent="0.25">
      <c r="A96" s="1202" t="str">
        <f ca="1"/>
        <v/>
      </c>
      <c r="B96" s="1232">
        <f ca="1"/>
        <v>0</v>
      </c>
      <c r="C96" s="1233">
        <f ca="1"/>
        <v>0</v>
      </c>
      <c r="D96" s="1202" t="str">
        <f ca="1"/>
        <v/>
      </c>
      <c r="E96" s="1234" t="str">
        <f ca="1"/>
        <v>NA</v>
      </c>
      <c r="F96" s="1235" t="str">
        <f ca="1"/>
        <v>NA</v>
      </c>
      <c r="G96" s="1202" t="str">
        <f t="shared" ca="1" si="11"/>
        <v/>
      </c>
      <c r="H96" s="1234">
        <f t="shared" ca="1" si="12"/>
        <v>0</v>
      </c>
      <c r="I96" s="1235">
        <f t="shared" ca="1" si="13"/>
        <v>0</v>
      </c>
      <c r="K96" s="1241" t="b">
        <f t="shared" si="14"/>
        <v>0</v>
      </c>
    </row>
    <row r="97" spans="1:11" ht="15.75" thickBot="1" x14ac:dyDescent="0.3">
      <c r="A97" s="1242" t="str">
        <f ca="1"/>
        <v/>
      </c>
      <c r="B97" s="1243">
        <f ca="1"/>
        <v>0</v>
      </c>
      <c r="C97" s="1244">
        <f ca="1"/>
        <v>0</v>
      </c>
      <c r="D97" s="1242" t="str">
        <f ca="1"/>
        <v/>
      </c>
      <c r="E97" s="1245" t="str">
        <f ca="1"/>
        <v>NA</v>
      </c>
      <c r="F97" s="1246" t="str">
        <f ca="1"/>
        <v>NA</v>
      </c>
      <c r="G97" s="1242" t="str">
        <f t="shared" ca="1" si="11"/>
        <v/>
      </c>
      <c r="H97" s="1245">
        <f t="shared" ca="1" si="12"/>
        <v>0</v>
      </c>
      <c r="I97" s="1246">
        <f t="shared" ca="1" si="13"/>
        <v>0</v>
      </c>
      <c r="K97" s="1241" t="b">
        <f t="shared" si="14"/>
        <v>0</v>
      </c>
    </row>
    <row r="98" spans="1:11" ht="15.75" thickBot="1" x14ac:dyDescent="0.3">
      <c r="K98" s="808" t="b">
        <f t="shared" si="10"/>
        <v>0</v>
      </c>
    </row>
    <row r="99" spans="1:11" ht="21" thickTop="1" thickBot="1" x14ac:dyDescent="0.3">
      <c r="A99" s="1225" t="s">
        <v>1356</v>
      </c>
      <c r="B99" s="1226" t="s">
        <v>1296</v>
      </c>
      <c r="C99" s="1227">
        <f>C82</f>
        <v>1000000</v>
      </c>
      <c r="D99" s="1226" t="s">
        <v>33</v>
      </c>
      <c r="E99" s="1227" t="str">
        <f>E82</f>
        <v>NAS - Restricted Network</v>
      </c>
      <c r="F99" s="1226" t="s">
        <v>940</v>
      </c>
      <c r="G99" s="1227" t="str">
        <f>G82</f>
        <v>Dubai</v>
      </c>
      <c r="H99" s="1226" t="s">
        <v>1357</v>
      </c>
      <c r="I99" s="1227" t="str">
        <f>I82</f>
        <v>Worldwide at R&amp;C of UAE</v>
      </c>
      <c r="K99" s="808" t="b">
        <f t="shared" si="10"/>
        <v>0</v>
      </c>
    </row>
    <row r="100" spans="1:11" ht="16.5" thickTop="1" thickBot="1" x14ac:dyDescent="0.3">
      <c r="K100" s="808" t="b">
        <f t="shared" si="10"/>
        <v>0</v>
      </c>
    </row>
    <row r="101" spans="1:11" x14ac:dyDescent="0.25">
      <c r="A101" s="1462" t="s">
        <v>1355</v>
      </c>
      <c r="B101" s="1463"/>
      <c r="C101" s="1464"/>
      <c r="D101" s="1465" t="s">
        <v>1363</v>
      </c>
      <c r="E101" s="1466"/>
      <c r="F101" s="1464"/>
      <c r="G101" s="1465" t="s">
        <v>133</v>
      </c>
      <c r="H101" s="1466"/>
      <c r="I101" s="1464"/>
      <c r="K101" s="808" t="b">
        <f t="shared" si="10"/>
        <v>0</v>
      </c>
    </row>
    <row r="102" spans="1:11" x14ac:dyDescent="0.25">
      <c r="A102" s="1229" t="str" cm="1">
        <f t="array" aca="1" ref="A102:C114" ca="1">Age_Band_Count_Dep_CatB</f>
        <v>Age Bracket</v>
      </c>
      <c r="B102" s="1230" t="str">
        <f ca="1"/>
        <v>Male</v>
      </c>
      <c r="C102" s="1231" t="str">
        <f ca="1"/>
        <v>Female</v>
      </c>
      <c r="D102" s="1229" t="str" cm="1">
        <f t="array" aca="1" ref="D102:F114" ca="1">Age_Band_GRP_Dep_CatB</f>
        <v>Age Bracket</v>
      </c>
      <c r="E102" s="1230" t="str">
        <f ca="1"/>
        <v>Male</v>
      </c>
      <c r="F102" s="1231" t="str">
        <f ca="1"/>
        <v>Female</v>
      </c>
      <c r="G102" s="1229" t="s">
        <v>286</v>
      </c>
      <c r="H102" s="1230" t="s">
        <v>65</v>
      </c>
      <c r="I102" s="1231" t="s">
        <v>66</v>
      </c>
      <c r="K102" s="808" t="b">
        <f t="shared" si="10"/>
        <v>0</v>
      </c>
    </row>
    <row r="103" spans="1:11" x14ac:dyDescent="0.25">
      <c r="A103" s="1202" t="str">
        <f ca="1"/>
        <v/>
      </c>
      <c r="B103" s="1232">
        <f ca="1"/>
        <v>0</v>
      </c>
      <c r="C103" s="1233">
        <f ca="1"/>
        <v>0</v>
      </c>
      <c r="D103" s="1202" t="str">
        <f ca="1"/>
        <v/>
      </c>
      <c r="E103" s="1234" t="str">
        <f ca="1"/>
        <v>NA</v>
      </c>
      <c r="F103" s="1235" t="str">
        <f ca="1"/>
        <v>NA</v>
      </c>
      <c r="G103" s="1202" t="str">
        <f t="shared" ref="G103:G114" ca="1" si="15">A103</f>
        <v/>
      </c>
      <c r="H103" s="1234">
        <f t="shared" ref="H103:H114" ca="1" si="16">IFERROR(B103*E103,0)</f>
        <v>0</v>
      </c>
      <c r="I103" s="1235">
        <f t="shared" ref="I103:I114" ca="1" si="17">IFERROR(C103*F103,0)</f>
        <v>0</v>
      </c>
      <c r="K103" s="808" t="b">
        <f t="shared" si="10"/>
        <v>0</v>
      </c>
    </row>
    <row r="104" spans="1:11" x14ac:dyDescent="0.25">
      <c r="A104" s="1236" t="str">
        <f ca="1"/>
        <v/>
      </c>
      <c r="B104" s="1237">
        <f ca="1"/>
        <v>0</v>
      </c>
      <c r="C104" s="1238">
        <f ca="1"/>
        <v>0</v>
      </c>
      <c r="D104" s="1236" t="str">
        <f ca="1"/>
        <v/>
      </c>
      <c r="E104" s="1239" t="str">
        <f ca="1"/>
        <v>NA</v>
      </c>
      <c r="F104" s="1240" t="str">
        <f ca="1"/>
        <v>NA</v>
      </c>
      <c r="G104" s="1236" t="str">
        <f t="shared" ca="1" si="15"/>
        <v/>
      </c>
      <c r="H104" s="1239">
        <f t="shared" ca="1" si="16"/>
        <v>0</v>
      </c>
      <c r="I104" s="1240">
        <f t="shared" ca="1" si="17"/>
        <v>0</v>
      </c>
      <c r="K104" s="808" t="b">
        <f t="shared" si="10"/>
        <v>0</v>
      </c>
    </row>
    <row r="105" spans="1:11" x14ac:dyDescent="0.25">
      <c r="A105" s="1202" t="str">
        <f ca="1"/>
        <v/>
      </c>
      <c r="B105" s="1232">
        <f ca="1"/>
        <v>0</v>
      </c>
      <c r="C105" s="1233">
        <f ca="1"/>
        <v>0</v>
      </c>
      <c r="D105" s="1202" t="str">
        <f ca="1"/>
        <v/>
      </c>
      <c r="E105" s="1234" t="str">
        <f ca="1"/>
        <v>NA</v>
      </c>
      <c r="F105" s="1235" t="str">
        <f ca="1"/>
        <v>NA</v>
      </c>
      <c r="G105" s="1202" t="str">
        <f t="shared" ca="1" si="15"/>
        <v/>
      </c>
      <c r="H105" s="1234">
        <f t="shared" ca="1" si="16"/>
        <v>0</v>
      </c>
      <c r="I105" s="1235">
        <f t="shared" ca="1" si="17"/>
        <v>0</v>
      </c>
      <c r="K105" s="808" t="b">
        <f t="shared" si="10"/>
        <v>0</v>
      </c>
    </row>
    <row r="106" spans="1:11" x14ac:dyDescent="0.25">
      <c r="A106" s="1236" t="str">
        <f ca="1"/>
        <v/>
      </c>
      <c r="B106" s="1237">
        <f ca="1"/>
        <v>0</v>
      </c>
      <c r="C106" s="1238">
        <f ca="1"/>
        <v>0</v>
      </c>
      <c r="D106" s="1236" t="str">
        <f ca="1"/>
        <v/>
      </c>
      <c r="E106" s="1239" t="str">
        <f ca="1"/>
        <v>NA</v>
      </c>
      <c r="F106" s="1240" t="str">
        <f ca="1"/>
        <v>NA</v>
      </c>
      <c r="G106" s="1236" t="str">
        <f t="shared" ca="1" si="15"/>
        <v/>
      </c>
      <c r="H106" s="1239">
        <f t="shared" ca="1" si="16"/>
        <v>0</v>
      </c>
      <c r="I106" s="1240">
        <f t="shared" ca="1" si="17"/>
        <v>0</v>
      </c>
      <c r="K106" s="808" t="b">
        <f t="shared" si="10"/>
        <v>0</v>
      </c>
    </row>
    <row r="107" spans="1:11" x14ac:dyDescent="0.25">
      <c r="A107" s="1202" t="str">
        <f ca="1"/>
        <v/>
      </c>
      <c r="B107" s="1232">
        <f ca="1"/>
        <v>0</v>
      </c>
      <c r="C107" s="1233">
        <f ca="1"/>
        <v>0</v>
      </c>
      <c r="D107" s="1202" t="str">
        <f ca="1"/>
        <v/>
      </c>
      <c r="E107" s="1234" t="str">
        <f ca="1"/>
        <v>NA</v>
      </c>
      <c r="F107" s="1235" t="str">
        <f ca="1"/>
        <v>NA</v>
      </c>
      <c r="G107" s="1202" t="str">
        <f t="shared" ca="1" si="15"/>
        <v/>
      </c>
      <c r="H107" s="1234">
        <f t="shared" ca="1" si="16"/>
        <v>0</v>
      </c>
      <c r="I107" s="1235">
        <f t="shared" ca="1" si="17"/>
        <v>0</v>
      </c>
      <c r="K107" s="808" t="b">
        <f t="shared" si="10"/>
        <v>0</v>
      </c>
    </row>
    <row r="108" spans="1:11" x14ac:dyDescent="0.25">
      <c r="A108" s="1236" t="str">
        <f ca="1"/>
        <v/>
      </c>
      <c r="B108" s="1237">
        <f ca="1"/>
        <v>0</v>
      </c>
      <c r="C108" s="1238">
        <f ca="1"/>
        <v>0</v>
      </c>
      <c r="D108" s="1236" t="str">
        <f ca="1"/>
        <v/>
      </c>
      <c r="E108" s="1239" t="str">
        <f ca="1"/>
        <v>NA</v>
      </c>
      <c r="F108" s="1240" t="str">
        <f ca="1"/>
        <v>NA</v>
      </c>
      <c r="G108" s="1236" t="str">
        <f t="shared" ca="1" si="15"/>
        <v/>
      </c>
      <c r="H108" s="1239">
        <f t="shared" ca="1" si="16"/>
        <v>0</v>
      </c>
      <c r="I108" s="1240">
        <f t="shared" ca="1" si="17"/>
        <v>0</v>
      </c>
      <c r="K108" s="1241" t="b">
        <f t="shared" ref="K108:K114" si="18">IF(Region_B="Abu Dhabi",FALSE,$K$18)</f>
        <v>0</v>
      </c>
    </row>
    <row r="109" spans="1:11" x14ac:dyDescent="0.25">
      <c r="A109" s="1202" t="str">
        <f ca="1"/>
        <v/>
      </c>
      <c r="B109" s="1232">
        <f ca="1"/>
        <v>0</v>
      </c>
      <c r="C109" s="1233">
        <f ca="1"/>
        <v>0</v>
      </c>
      <c r="D109" s="1202" t="str">
        <f ca="1"/>
        <v/>
      </c>
      <c r="E109" s="1234" t="str">
        <f ca="1"/>
        <v>NA</v>
      </c>
      <c r="F109" s="1235" t="str">
        <f ca="1"/>
        <v>NA</v>
      </c>
      <c r="G109" s="1202" t="str">
        <f t="shared" ca="1" si="15"/>
        <v/>
      </c>
      <c r="H109" s="1234">
        <f t="shared" ca="1" si="16"/>
        <v>0</v>
      </c>
      <c r="I109" s="1235">
        <f t="shared" ca="1" si="17"/>
        <v>0</v>
      </c>
      <c r="K109" s="1241" t="b">
        <f t="shared" si="18"/>
        <v>0</v>
      </c>
    </row>
    <row r="110" spans="1:11" x14ac:dyDescent="0.25">
      <c r="A110" s="1236" t="str">
        <f ca="1"/>
        <v/>
      </c>
      <c r="B110" s="1237">
        <f ca="1"/>
        <v>0</v>
      </c>
      <c r="C110" s="1238">
        <f ca="1"/>
        <v>0</v>
      </c>
      <c r="D110" s="1236" t="str">
        <f ca="1"/>
        <v/>
      </c>
      <c r="E110" s="1239" t="str">
        <f ca="1"/>
        <v>NA</v>
      </c>
      <c r="F110" s="1240" t="str">
        <f ca="1"/>
        <v>NA</v>
      </c>
      <c r="G110" s="1236" t="str">
        <f t="shared" ca="1" si="15"/>
        <v/>
      </c>
      <c r="H110" s="1239">
        <f t="shared" ca="1" si="16"/>
        <v>0</v>
      </c>
      <c r="I110" s="1240">
        <f t="shared" ca="1" si="17"/>
        <v>0</v>
      </c>
      <c r="K110" s="1241" t="b">
        <f t="shared" si="18"/>
        <v>0</v>
      </c>
    </row>
    <row r="111" spans="1:11" x14ac:dyDescent="0.25">
      <c r="A111" s="1202" t="str">
        <f ca="1"/>
        <v/>
      </c>
      <c r="B111" s="1232">
        <f ca="1"/>
        <v>0</v>
      </c>
      <c r="C111" s="1233">
        <f ca="1"/>
        <v>0</v>
      </c>
      <c r="D111" s="1202" t="str">
        <f ca="1"/>
        <v/>
      </c>
      <c r="E111" s="1234" t="str">
        <f ca="1"/>
        <v>NA</v>
      </c>
      <c r="F111" s="1235" t="str">
        <f ca="1"/>
        <v>NA</v>
      </c>
      <c r="G111" s="1202" t="str">
        <f t="shared" ca="1" si="15"/>
        <v/>
      </c>
      <c r="H111" s="1234">
        <f t="shared" ca="1" si="16"/>
        <v>0</v>
      </c>
      <c r="I111" s="1235">
        <f t="shared" ca="1" si="17"/>
        <v>0</v>
      </c>
      <c r="K111" s="1241" t="b">
        <f t="shared" si="18"/>
        <v>0</v>
      </c>
    </row>
    <row r="112" spans="1:11" x14ac:dyDescent="0.25">
      <c r="A112" s="1236" t="str">
        <f ca="1"/>
        <v/>
      </c>
      <c r="B112" s="1237">
        <f ca="1"/>
        <v>0</v>
      </c>
      <c r="C112" s="1238">
        <f ca="1"/>
        <v>0</v>
      </c>
      <c r="D112" s="1236" t="str">
        <f ca="1"/>
        <v/>
      </c>
      <c r="E112" s="1239" t="str">
        <f ca="1"/>
        <v>NA</v>
      </c>
      <c r="F112" s="1240" t="str">
        <f ca="1"/>
        <v>NA</v>
      </c>
      <c r="G112" s="1236" t="str">
        <f t="shared" ca="1" si="15"/>
        <v/>
      </c>
      <c r="H112" s="1239">
        <f t="shared" ca="1" si="16"/>
        <v>0</v>
      </c>
      <c r="I112" s="1240">
        <f t="shared" ca="1" si="17"/>
        <v>0</v>
      </c>
      <c r="K112" s="1241" t="b">
        <f t="shared" si="18"/>
        <v>0</v>
      </c>
    </row>
    <row r="113" spans="1:11" x14ac:dyDescent="0.25">
      <c r="A113" s="1202" t="str">
        <f ca="1"/>
        <v/>
      </c>
      <c r="B113" s="1232">
        <f ca="1"/>
        <v>0</v>
      </c>
      <c r="C113" s="1233">
        <f ca="1"/>
        <v>0</v>
      </c>
      <c r="D113" s="1202" t="str">
        <f ca="1"/>
        <v/>
      </c>
      <c r="E113" s="1234" t="str">
        <f ca="1"/>
        <v>NA</v>
      </c>
      <c r="F113" s="1235" t="str">
        <f ca="1"/>
        <v>NA</v>
      </c>
      <c r="G113" s="1202" t="str">
        <f t="shared" ca="1" si="15"/>
        <v/>
      </c>
      <c r="H113" s="1234">
        <f t="shared" ca="1" si="16"/>
        <v>0</v>
      </c>
      <c r="I113" s="1235">
        <f t="shared" ca="1" si="17"/>
        <v>0</v>
      </c>
      <c r="K113" s="1241" t="b">
        <f t="shared" si="18"/>
        <v>0</v>
      </c>
    </row>
    <row r="114" spans="1:11" ht="15.75" thickBot="1" x14ac:dyDescent="0.3">
      <c r="A114" s="1242" t="str">
        <f ca="1"/>
        <v/>
      </c>
      <c r="B114" s="1243">
        <f ca="1"/>
        <v>0</v>
      </c>
      <c r="C114" s="1244">
        <f ca="1"/>
        <v>0</v>
      </c>
      <c r="D114" s="1242" t="str">
        <f ca="1"/>
        <v/>
      </c>
      <c r="E114" s="1245" t="str">
        <f ca="1"/>
        <v>NA</v>
      </c>
      <c r="F114" s="1246" t="str">
        <f ca="1"/>
        <v>NA</v>
      </c>
      <c r="G114" s="1242" t="str">
        <f t="shared" ca="1" si="15"/>
        <v/>
      </c>
      <c r="H114" s="1245">
        <f t="shared" ca="1" si="16"/>
        <v>0</v>
      </c>
      <c r="I114" s="1246">
        <f t="shared" ca="1" si="17"/>
        <v>0</v>
      </c>
      <c r="K114" s="1241" t="b">
        <f t="shared" si="18"/>
        <v>0</v>
      </c>
    </row>
    <row r="115" spans="1:11" ht="15.75" thickBot="1" x14ac:dyDescent="0.3">
      <c r="K115" s="808" t="b">
        <f t="shared" si="10"/>
        <v>0</v>
      </c>
    </row>
    <row r="116" spans="1:11" ht="21" thickTop="1" thickBot="1" x14ac:dyDescent="0.3">
      <c r="A116" s="1225" t="s">
        <v>1360</v>
      </c>
      <c r="B116" s="1226" t="s">
        <v>678</v>
      </c>
      <c r="C116" s="1227">
        <f>Maternity_Limit_B</f>
        <v>10000</v>
      </c>
      <c r="D116" s="1226" t="s">
        <v>1018</v>
      </c>
      <c r="E116" s="1247">
        <f>Maternity_CoPay_B</f>
        <v>0.1</v>
      </c>
      <c r="F116" s="1226" t="s">
        <v>940</v>
      </c>
      <c r="G116" s="1227" t="str">
        <f>G99</f>
        <v>Dubai</v>
      </c>
      <c r="K116" s="808" t="b">
        <f t="shared" si="10"/>
        <v>0</v>
      </c>
    </row>
    <row r="117" spans="1:11" ht="16.5" thickTop="1" thickBot="1" x14ac:dyDescent="0.3">
      <c r="K117" s="808" t="b">
        <f t="shared" si="10"/>
        <v>0</v>
      </c>
    </row>
    <row r="118" spans="1:11" ht="15.75" thickTop="1" x14ac:dyDescent="0.25">
      <c r="A118" s="1248"/>
      <c r="B118" s="1467" t="s">
        <v>1358</v>
      </c>
      <c r="C118" s="1468"/>
      <c r="D118" s="1467" t="s">
        <v>1358</v>
      </c>
      <c r="E118" s="1468"/>
      <c r="F118" s="1467" t="s">
        <v>1089</v>
      </c>
      <c r="G118" s="1469"/>
      <c r="K118" s="808" t="b">
        <f t="shared" si="10"/>
        <v>0</v>
      </c>
    </row>
    <row r="119" spans="1:11" x14ac:dyDescent="0.25">
      <c r="A119" s="1249" t="s">
        <v>286</v>
      </c>
      <c r="B119" s="1230" t="s">
        <v>1361</v>
      </c>
      <c r="C119" s="1231" t="s">
        <v>1105</v>
      </c>
      <c r="D119" s="1230" t="s">
        <v>1361</v>
      </c>
      <c r="E119" s="1231" t="s">
        <v>1105</v>
      </c>
      <c r="F119" s="1230" t="s">
        <v>1361</v>
      </c>
      <c r="G119" s="1250" t="s">
        <v>1105</v>
      </c>
      <c r="K119" s="808" t="b">
        <f t="shared" si="10"/>
        <v>0</v>
      </c>
    </row>
    <row r="120" spans="1:11" ht="15.75" thickBot="1" x14ac:dyDescent="0.3">
      <c r="A120" s="1204" t="str">
        <f>IF(Region_A="Abu Dhabi","18-50","18-45")</f>
        <v>18-45</v>
      </c>
      <c r="B120" s="1251" cm="1">
        <f t="array" ref="B120:C120">TRANSPOSE('Member Data'!$P$43:$P$44)</f>
        <v>0</v>
      </c>
      <c r="C120" s="1252">
        <v>0</v>
      </c>
      <c r="D120" s="1253" t="str">
        <f ca="1">Maternity_GRP_B</f>
        <v>NA</v>
      </c>
      <c r="E120" s="1253" t="str">
        <f ca="1">Maternity_GRP_B</f>
        <v>NA</v>
      </c>
      <c r="F120" s="1253">
        <f ca="1">IFERROR(B120*D120,0)</f>
        <v>0</v>
      </c>
      <c r="G120" s="1254">
        <f ca="1">IFERROR(C120*E120,0)</f>
        <v>0</v>
      </c>
      <c r="K120" s="808" t="b">
        <f t="shared" si="10"/>
        <v>0</v>
      </c>
    </row>
    <row r="121" spans="1:11" ht="15.75" thickTop="1" x14ac:dyDescent="0.25">
      <c r="A121" s="1255"/>
      <c r="B121" s="1255"/>
      <c r="C121" s="1255"/>
      <c r="D121" s="1256"/>
      <c r="E121" s="1256"/>
      <c r="F121" s="1256"/>
      <c r="G121" s="1256"/>
      <c r="K121" s="808" t="b">
        <f t="shared" si="10"/>
        <v>0</v>
      </c>
    </row>
    <row r="122" spans="1:11" x14ac:dyDescent="0.25">
      <c r="K122" s="808" t="b">
        <f t="shared" si="10"/>
        <v>0</v>
      </c>
    </row>
    <row r="123" spans="1:11" ht="21" hidden="1" thickTop="1" thickBot="1" x14ac:dyDescent="0.3">
      <c r="A123" s="1459" t="s">
        <v>1372</v>
      </c>
      <c r="B123" s="1460"/>
      <c r="C123" s="1460"/>
      <c r="D123" s="1460"/>
      <c r="E123" s="1460"/>
      <c r="F123" s="1460"/>
      <c r="G123" s="1460"/>
      <c r="H123" s="1460"/>
      <c r="I123" s="1461"/>
      <c r="K123" s="808" t="b">
        <f>$K$19</f>
        <v>0</v>
      </c>
    </row>
    <row r="124" spans="1:11" ht="15.75" hidden="1" thickBot="1" x14ac:dyDescent="0.3">
      <c r="K124" s="808" t="b">
        <f t="shared" ref="K124:K170" si="19">$K$19</f>
        <v>0</v>
      </c>
    </row>
    <row r="125" spans="1:11" ht="25.5" hidden="1" x14ac:dyDescent="0.25">
      <c r="A125" s="1214" t="s">
        <v>1364</v>
      </c>
      <c r="B125" s="1215">
        <f ca="1">SUM(H134:I145,H151:I162)</f>
        <v>0</v>
      </c>
      <c r="D125" s="1216" t="s">
        <v>1367</v>
      </c>
      <c r="E125" s="1215">
        <f ca="1">F168+G168</f>
        <v>0</v>
      </c>
      <c r="G125" s="1216" t="s">
        <v>1369</v>
      </c>
      <c r="H125" s="1215">
        <f ca="1">B125+E125</f>
        <v>0</v>
      </c>
      <c r="K125" s="808" t="b">
        <f t="shared" si="19"/>
        <v>0</v>
      </c>
    </row>
    <row r="126" spans="1:11" ht="26.25" hidden="1" thickBot="1" x14ac:dyDescent="0.3">
      <c r="A126" s="1217" t="s">
        <v>1365</v>
      </c>
      <c r="B126" s="1218">
        <f ca="1">SUM(B134:C145,B151:C162)</f>
        <v>0</v>
      </c>
      <c r="D126" s="1219" t="str">
        <f>"Married Female - "&amp;IF(Region_C="Abu Dhabi","18-50","18-45")</f>
        <v>Married Female - 18-45</v>
      </c>
      <c r="E126" s="1218">
        <f>B168+C168</f>
        <v>0</v>
      </c>
      <c r="G126" s="1219" t="str">
        <f>IF(Region_C="Dubai","Bashmah Fee (AED 37/per Member)","ICP Fee (AED 28 / per Member)")</f>
        <v>Bashmah Fee (AED 37/per Member)</v>
      </c>
      <c r="H126" s="1220">
        <f ca="1">IF(Region_C="Dubai",37*B126,28*B126)</f>
        <v>0</v>
      </c>
      <c r="K126" s="808" t="b">
        <f t="shared" si="19"/>
        <v>0</v>
      </c>
    </row>
    <row r="127" spans="1:11" ht="27" hidden="1" thickTop="1" thickBot="1" x14ac:dyDescent="0.3">
      <c r="A127" s="1221" t="s">
        <v>1366</v>
      </c>
      <c r="B127" s="1222">
        <f ca="1">IFERROR(B125/B126,0)</f>
        <v>0</v>
      </c>
      <c r="D127" s="1223" t="s">
        <v>1368</v>
      </c>
      <c r="E127" s="1222" t="str">
        <f ca="1">Maternity_GRP_C</f>
        <v>NA</v>
      </c>
      <c r="G127" s="1223" t="s">
        <v>1370</v>
      </c>
      <c r="H127" s="1222">
        <f ca="1">(H125+H126)*5%</f>
        <v>0</v>
      </c>
      <c r="I127" s="1224">
        <f ca="1">SUM(H125:H127)</f>
        <v>0</v>
      </c>
      <c r="K127" s="808" t="b">
        <f t="shared" si="19"/>
        <v>0</v>
      </c>
    </row>
    <row r="128" spans="1:11" hidden="1" x14ac:dyDescent="0.25">
      <c r="K128" s="808" t="b">
        <f t="shared" si="19"/>
        <v>0</v>
      </c>
    </row>
    <row r="129" spans="1:11" ht="15.75" hidden="1" thickBot="1" x14ac:dyDescent="0.3">
      <c r="K129" s="808" t="b">
        <f t="shared" si="19"/>
        <v>0</v>
      </c>
    </row>
    <row r="130" spans="1:11" ht="21" hidden="1" thickTop="1" thickBot="1" x14ac:dyDescent="0.3">
      <c r="A130" s="1225" t="s">
        <v>1359</v>
      </c>
      <c r="B130" s="1226" t="s">
        <v>1296</v>
      </c>
      <c r="C130" s="1227">
        <f>AML_C</f>
        <v>250000</v>
      </c>
      <c r="D130" s="1226" t="s">
        <v>33</v>
      </c>
      <c r="E130" s="1227" t="str">
        <f>"NAS - "&amp;Network_C</f>
        <v>NAS - Super-Restricted Network</v>
      </c>
      <c r="F130" s="1226" t="s">
        <v>940</v>
      </c>
      <c r="G130" s="1227" t="str">
        <f>Region_C</f>
        <v>Dubai</v>
      </c>
      <c r="H130" s="1226" t="s">
        <v>1357</v>
      </c>
      <c r="I130" s="1227" t="str">
        <f>Area_C</f>
        <v>Worldwide at R&amp;C of UAE</v>
      </c>
      <c r="K130" s="808" t="b">
        <f t="shared" si="19"/>
        <v>0</v>
      </c>
    </row>
    <row r="131" spans="1:11" ht="15.75" hidden="1" thickBot="1" x14ac:dyDescent="0.3">
      <c r="A131" s="1228"/>
      <c r="B131" s="1228"/>
      <c r="K131" s="808" t="b">
        <f t="shared" si="19"/>
        <v>0</v>
      </c>
    </row>
    <row r="132" spans="1:11" hidden="1" x14ac:dyDescent="0.25">
      <c r="A132" s="1462" t="s">
        <v>1355</v>
      </c>
      <c r="B132" s="1463"/>
      <c r="C132" s="1464"/>
      <c r="D132" s="1465" t="s">
        <v>1363</v>
      </c>
      <c r="E132" s="1466"/>
      <c r="F132" s="1464"/>
      <c r="G132" s="1465" t="s">
        <v>133</v>
      </c>
      <c r="H132" s="1466"/>
      <c r="I132" s="1464"/>
      <c r="K132" s="808" t="b">
        <f t="shared" si="19"/>
        <v>0</v>
      </c>
    </row>
    <row r="133" spans="1:11" hidden="1" x14ac:dyDescent="0.25">
      <c r="A133" s="1229" t="str" cm="1">
        <f t="array" aca="1" ref="A133:C145" ca="1">Age_Band_Count_Emp_CatC</f>
        <v>Age Bracket</v>
      </c>
      <c r="B133" s="1230" t="str">
        <f ca="1"/>
        <v>Male</v>
      </c>
      <c r="C133" s="1231" t="str">
        <f ca="1"/>
        <v>Female</v>
      </c>
      <c r="D133" s="1229" t="str" cm="1">
        <f t="array" aca="1" ref="D133:F145" ca="1">Age_Band_GRP_Emp_CatC</f>
        <v>Age Bracket</v>
      </c>
      <c r="E133" s="1230" t="str">
        <f ca="1"/>
        <v>Male</v>
      </c>
      <c r="F133" s="1231" t="str">
        <f ca="1"/>
        <v>Female</v>
      </c>
      <c r="G133" s="1229" t="s">
        <v>286</v>
      </c>
      <c r="H133" s="1230" t="s">
        <v>65</v>
      </c>
      <c r="I133" s="1231" t="s">
        <v>66</v>
      </c>
      <c r="K133" s="808" t="b">
        <f t="shared" si="19"/>
        <v>0</v>
      </c>
    </row>
    <row r="134" spans="1:11" hidden="1" x14ac:dyDescent="0.25">
      <c r="A134" s="1202" t="str">
        <f ca="1"/>
        <v/>
      </c>
      <c r="B134" s="1232">
        <f ca="1"/>
        <v>0</v>
      </c>
      <c r="C134" s="1233">
        <f ca="1"/>
        <v>0</v>
      </c>
      <c r="D134" s="1202" t="str">
        <f ca="1"/>
        <v/>
      </c>
      <c r="E134" s="1234" t="str">
        <f ca="1"/>
        <v>NA</v>
      </c>
      <c r="F134" s="1235" t="str">
        <f ca="1"/>
        <v>NA</v>
      </c>
      <c r="G134" s="1202" t="str">
        <f t="shared" ref="G134:G145" ca="1" si="20">A134</f>
        <v/>
      </c>
      <c r="H134" s="1234">
        <f t="shared" ref="H134:H145" ca="1" si="21">IFERROR(B134*E134,0)</f>
        <v>0</v>
      </c>
      <c r="I134" s="1235">
        <f t="shared" ref="I134:I145" ca="1" si="22">IFERROR(C134*F134,0)</f>
        <v>0</v>
      </c>
      <c r="K134" s="808" t="b">
        <f t="shared" si="19"/>
        <v>0</v>
      </c>
    </row>
    <row r="135" spans="1:11" hidden="1" x14ac:dyDescent="0.25">
      <c r="A135" s="1236" t="str">
        <f ca="1"/>
        <v/>
      </c>
      <c r="B135" s="1237">
        <f ca="1"/>
        <v>0</v>
      </c>
      <c r="C135" s="1238">
        <f ca="1"/>
        <v>0</v>
      </c>
      <c r="D135" s="1236" t="str">
        <f ca="1"/>
        <v/>
      </c>
      <c r="E135" s="1239" t="str">
        <f ca="1"/>
        <v>NA</v>
      </c>
      <c r="F135" s="1240" t="str">
        <f ca="1"/>
        <v>NA</v>
      </c>
      <c r="G135" s="1236" t="str">
        <f t="shared" ca="1" si="20"/>
        <v/>
      </c>
      <c r="H135" s="1239">
        <f t="shared" ca="1" si="21"/>
        <v>0</v>
      </c>
      <c r="I135" s="1240">
        <f t="shared" ca="1" si="22"/>
        <v>0</v>
      </c>
      <c r="K135" s="808" t="b">
        <f t="shared" si="19"/>
        <v>0</v>
      </c>
    </row>
    <row r="136" spans="1:11" hidden="1" x14ac:dyDescent="0.25">
      <c r="A136" s="1202" t="str">
        <f ca="1"/>
        <v/>
      </c>
      <c r="B136" s="1232">
        <f ca="1"/>
        <v>0</v>
      </c>
      <c r="C136" s="1233">
        <f ca="1"/>
        <v>0</v>
      </c>
      <c r="D136" s="1202" t="str">
        <f ca="1"/>
        <v/>
      </c>
      <c r="E136" s="1234" t="str">
        <f ca="1"/>
        <v>NA</v>
      </c>
      <c r="F136" s="1235" t="str">
        <f ca="1"/>
        <v>NA</v>
      </c>
      <c r="G136" s="1202" t="str">
        <f t="shared" ca="1" si="20"/>
        <v/>
      </c>
      <c r="H136" s="1234">
        <f t="shared" ca="1" si="21"/>
        <v>0</v>
      </c>
      <c r="I136" s="1235">
        <f t="shared" ca="1" si="22"/>
        <v>0</v>
      </c>
      <c r="K136" s="808" t="b">
        <f t="shared" si="19"/>
        <v>0</v>
      </c>
    </row>
    <row r="137" spans="1:11" hidden="1" x14ac:dyDescent="0.25">
      <c r="A137" s="1236" t="str">
        <f ca="1"/>
        <v/>
      </c>
      <c r="B137" s="1237">
        <f ca="1"/>
        <v>0</v>
      </c>
      <c r="C137" s="1238">
        <f ca="1"/>
        <v>0</v>
      </c>
      <c r="D137" s="1236" t="str">
        <f ca="1"/>
        <v/>
      </c>
      <c r="E137" s="1239" t="str">
        <f ca="1"/>
        <v>NA</v>
      </c>
      <c r="F137" s="1240" t="str">
        <f ca="1"/>
        <v>NA</v>
      </c>
      <c r="G137" s="1236" t="str">
        <f t="shared" ca="1" si="20"/>
        <v/>
      </c>
      <c r="H137" s="1239">
        <f t="shared" ca="1" si="21"/>
        <v>0</v>
      </c>
      <c r="I137" s="1240">
        <f t="shared" ca="1" si="22"/>
        <v>0</v>
      </c>
      <c r="K137" s="808" t="b">
        <f t="shared" si="19"/>
        <v>0</v>
      </c>
    </row>
    <row r="138" spans="1:11" hidden="1" x14ac:dyDescent="0.25">
      <c r="A138" s="1202" t="str">
        <f ca="1"/>
        <v/>
      </c>
      <c r="B138" s="1232">
        <f ca="1"/>
        <v>0</v>
      </c>
      <c r="C138" s="1233">
        <f ca="1"/>
        <v>0</v>
      </c>
      <c r="D138" s="1202" t="str">
        <f ca="1"/>
        <v/>
      </c>
      <c r="E138" s="1234" t="str">
        <f ca="1"/>
        <v>NA</v>
      </c>
      <c r="F138" s="1235" t="str">
        <f ca="1"/>
        <v>NA</v>
      </c>
      <c r="G138" s="1202" t="str">
        <f t="shared" ca="1" si="20"/>
        <v/>
      </c>
      <c r="H138" s="1234">
        <f t="shared" ca="1" si="21"/>
        <v>0</v>
      </c>
      <c r="I138" s="1235">
        <f t="shared" ca="1" si="22"/>
        <v>0</v>
      </c>
      <c r="K138" s="808" t="b">
        <f t="shared" si="19"/>
        <v>0</v>
      </c>
    </row>
    <row r="139" spans="1:11" hidden="1" x14ac:dyDescent="0.25">
      <c r="A139" s="1236" t="str">
        <f ca="1"/>
        <v/>
      </c>
      <c r="B139" s="1237">
        <f ca="1"/>
        <v>0</v>
      </c>
      <c r="C139" s="1238">
        <f ca="1"/>
        <v>0</v>
      </c>
      <c r="D139" s="1236" t="str">
        <f ca="1"/>
        <v/>
      </c>
      <c r="E139" s="1239" t="str">
        <f ca="1"/>
        <v>NA</v>
      </c>
      <c r="F139" s="1240" t="str">
        <f ca="1"/>
        <v>NA</v>
      </c>
      <c r="G139" s="1236" t="str">
        <f t="shared" ca="1" si="20"/>
        <v/>
      </c>
      <c r="H139" s="1239">
        <f t="shared" ca="1" si="21"/>
        <v>0</v>
      </c>
      <c r="I139" s="1240">
        <f t="shared" ca="1" si="22"/>
        <v>0</v>
      </c>
      <c r="K139" s="1241" t="b">
        <f t="shared" ref="K139:K145" si="23">IF(Region_C="Abu Dhabi",FALSE,$K$19)</f>
        <v>0</v>
      </c>
    </row>
    <row r="140" spans="1:11" hidden="1" x14ac:dyDescent="0.25">
      <c r="A140" s="1202" t="str">
        <f ca="1"/>
        <v/>
      </c>
      <c r="B140" s="1232">
        <f ca="1"/>
        <v>0</v>
      </c>
      <c r="C140" s="1233">
        <f ca="1"/>
        <v>0</v>
      </c>
      <c r="D140" s="1202" t="str">
        <f ca="1"/>
        <v/>
      </c>
      <c r="E140" s="1234" t="str">
        <f ca="1"/>
        <v>NA</v>
      </c>
      <c r="F140" s="1235" t="str">
        <f ca="1"/>
        <v>NA</v>
      </c>
      <c r="G140" s="1202" t="str">
        <f t="shared" ca="1" si="20"/>
        <v/>
      </c>
      <c r="H140" s="1234">
        <f t="shared" ca="1" si="21"/>
        <v>0</v>
      </c>
      <c r="I140" s="1235">
        <f t="shared" ca="1" si="22"/>
        <v>0</v>
      </c>
      <c r="K140" s="1241" t="b">
        <f t="shared" si="23"/>
        <v>0</v>
      </c>
    </row>
    <row r="141" spans="1:11" hidden="1" x14ac:dyDescent="0.25">
      <c r="A141" s="1236" t="str">
        <f ca="1"/>
        <v/>
      </c>
      <c r="B141" s="1237">
        <f ca="1"/>
        <v>0</v>
      </c>
      <c r="C141" s="1238">
        <f ca="1"/>
        <v>0</v>
      </c>
      <c r="D141" s="1236" t="str">
        <f ca="1"/>
        <v/>
      </c>
      <c r="E141" s="1239" t="str">
        <f ca="1"/>
        <v>NA</v>
      </c>
      <c r="F141" s="1240" t="str">
        <f ca="1"/>
        <v>NA</v>
      </c>
      <c r="G141" s="1236" t="str">
        <f t="shared" ca="1" si="20"/>
        <v/>
      </c>
      <c r="H141" s="1239">
        <f t="shared" ca="1" si="21"/>
        <v>0</v>
      </c>
      <c r="I141" s="1240">
        <f t="shared" ca="1" si="22"/>
        <v>0</v>
      </c>
      <c r="K141" s="1241" t="b">
        <f t="shared" si="23"/>
        <v>0</v>
      </c>
    </row>
    <row r="142" spans="1:11" hidden="1" x14ac:dyDescent="0.25">
      <c r="A142" s="1202" t="str">
        <f ca="1"/>
        <v/>
      </c>
      <c r="B142" s="1232">
        <f ca="1"/>
        <v>0</v>
      </c>
      <c r="C142" s="1233">
        <f ca="1"/>
        <v>0</v>
      </c>
      <c r="D142" s="1202" t="str">
        <f ca="1"/>
        <v/>
      </c>
      <c r="E142" s="1234" t="str">
        <f ca="1"/>
        <v>NA</v>
      </c>
      <c r="F142" s="1235" t="str">
        <f ca="1"/>
        <v>NA</v>
      </c>
      <c r="G142" s="1202" t="str">
        <f t="shared" ca="1" si="20"/>
        <v/>
      </c>
      <c r="H142" s="1234">
        <f t="shared" ca="1" si="21"/>
        <v>0</v>
      </c>
      <c r="I142" s="1235">
        <f t="shared" ca="1" si="22"/>
        <v>0</v>
      </c>
      <c r="K142" s="1241" t="b">
        <f t="shared" si="23"/>
        <v>0</v>
      </c>
    </row>
    <row r="143" spans="1:11" hidden="1" x14ac:dyDescent="0.25">
      <c r="A143" s="1236" t="str">
        <f ca="1"/>
        <v/>
      </c>
      <c r="B143" s="1237">
        <f ca="1"/>
        <v>0</v>
      </c>
      <c r="C143" s="1238">
        <f ca="1"/>
        <v>0</v>
      </c>
      <c r="D143" s="1236" t="str">
        <f ca="1"/>
        <v/>
      </c>
      <c r="E143" s="1239" t="str">
        <f ca="1"/>
        <v>NA</v>
      </c>
      <c r="F143" s="1240" t="str">
        <f ca="1"/>
        <v>NA</v>
      </c>
      <c r="G143" s="1236" t="str">
        <f t="shared" ca="1" si="20"/>
        <v/>
      </c>
      <c r="H143" s="1239">
        <f t="shared" ca="1" si="21"/>
        <v>0</v>
      </c>
      <c r="I143" s="1240">
        <f t="shared" ca="1" si="22"/>
        <v>0</v>
      </c>
      <c r="K143" s="1241" t="b">
        <f t="shared" si="23"/>
        <v>0</v>
      </c>
    </row>
    <row r="144" spans="1:11" hidden="1" x14ac:dyDescent="0.25">
      <c r="A144" s="1202" t="str">
        <f ca="1"/>
        <v/>
      </c>
      <c r="B144" s="1232">
        <f ca="1"/>
        <v>0</v>
      </c>
      <c r="C144" s="1233">
        <f ca="1"/>
        <v>0</v>
      </c>
      <c r="D144" s="1202" t="str">
        <f ca="1"/>
        <v/>
      </c>
      <c r="E144" s="1234" t="str">
        <f ca="1"/>
        <v>NA</v>
      </c>
      <c r="F144" s="1235" t="str">
        <f ca="1"/>
        <v>NA</v>
      </c>
      <c r="G144" s="1202" t="str">
        <f t="shared" ca="1" si="20"/>
        <v/>
      </c>
      <c r="H144" s="1234">
        <f t="shared" ca="1" si="21"/>
        <v>0</v>
      </c>
      <c r="I144" s="1235">
        <f t="shared" ca="1" si="22"/>
        <v>0</v>
      </c>
      <c r="K144" s="1241" t="b">
        <f t="shared" si="23"/>
        <v>0</v>
      </c>
    </row>
    <row r="145" spans="1:11" ht="15.75" hidden="1" thickBot="1" x14ac:dyDescent="0.3">
      <c r="A145" s="1242" t="str">
        <f ca="1"/>
        <v/>
      </c>
      <c r="B145" s="1243">
        <f ca="1"/>
        <v>0</v>
      </c>
      <c r="C145" s="1244">
        <f ca="1"/>
        <v>0</v>
      </c>
      <c r="D145" s="1242" t="str">
        <f ca="1"/>
        <v/>
      </c>
      <c r="E145" s="1245" t="str">
        <f ca="1"/>
        <v>NA</v>
      </c>
      <c r="F145" s="1246" t="str">
        <f ca="1"/>
        <v>NA</v>
      </c>
      <c r="G145" s="1242" t="str">
        <f t="shared" ca="1" si="20"/>
        <v/>
      </c>
      <c r="H145" s="1245">
        <f t="shared" ca="1" si="21"/>
        <v>0</v>
      </c>
      <c r="I145" s="1246">
        <f t="shared" ca="1" si="22"/>
        <v>0</v>
      </c>
      <c r="K145" s="1241" t="b">
        <f t="shared" si="23"/>
        <v>0</v>
      </c>
    </row>
    <row r="146" spans="1:11" ht="15.75" hidden="1" thickBot="1" x14ac:dyDescent="0.3">
      <c r="K146" s="808" t="b">
        <f t="shared" si="19"/>
        <v>0</v>
      </c>
    </row>
    <row r="147" spans="1:11" ht="21" hidden="1" thickTop="1" thickBot="1" x14ac:dyDescent="0.3">
      <c r="A147" s="1225" t="s">
        <v>1356</v>
      </c>
      <c r="B147" s="1226" t="s">
        <v>1296</v>
      </c>
      <c r="C147" s="1227">
        <f>C130</f>
        <v>250000</v>
      </c>
      <c r="D147" s="1226" t="s">
        <v>33</v>
      </c>
      <c r="E147" s="1227" t="str">
        <f>E130</f>
        <v>NAS - Super-Restricted Network</v>
      </c>
      <c r="F147" s="1226" t="s">
        <v>940</v>
      </c>
      <c r="G147" s="1227" t="str">
        <f>G130</f>
        <v>Dubai</v>
      </c>
      <c r="H147" s="1226" t="s">
        <v>1357</v>
      </c>
      <c r="I147" s="1227" t="str">
        <f>I130</f>
        <v>Worldwide at R&amp;C of UAE</v>
      </c>
      <c r="K147" s="808" t="b">
        <f t="shared" si="19"/>
        <v>0</v>
      </c>
    </row>
    <row r="148" spans="1:11" ht="15.75" hidden="1" thickBot="1" x14ac:dyDescent="0.3">
      <c r="K148" s="808" t="b">
        <f t="shared" si="19"/>
        <v>0</v>
      </c>
    </row>
    <row r="149" spans="1:11" hidden="1" x14ac:dyDescent="0.25">
      <c r="A149" s="1462" t="s">
        <v>1355</v>
      </c>
      <c r="B149" s="1463"/>
      <c r="C149" s="1464"/>
      <c r="D149" s="1465" t="s">
        <v>1363</v>
      </c>
      <c r="E149" s="1466"/>
      <c r="F149" s="1464"/>
      <c r="G149" s="1465" t="s">
        <v>133</v>
      </c>
      <c r="H149" s="1466"/>
      <c r="I149" s="1464"/>
      <c r="K149" s="808" t="b">
        <f t="shared" si="19"/>
        <v>0</v>
      </c>
    </row>
    <row r="150" spans="1:11" hidden="1" x14ac:dyDescent="0.25">
      <c r="A150" s="1229" t="str" cm="1">
        <f t="array" aca="1" ref="A150:C162" ca="1">Age_Band_Count_Dep_CatC</f>
        <v>Age Bracket</v>
      </c>
      <c r="B150" s="1230" t="str">
        <f ca="1"/>
        <v>Male</v>
      </c>
      <c r="C150" s="1231" t="str">
        <f ca="1"/>
        <v>Female</v>
      </c>
      <c r="D150" s="1229" t="str" cm="1">
        <f t="array" aca="1" ref="D150:F162" ca="1">Age_Band_GRP_Dep_CatC</f>
        <v>Age Bracket</v>
      </c>
      <c r="E150" s="1230" t="str">
        <f ca="1"/>
        <v>Male</v>
      </c>
      <c r="F150" s="1231" t="str">
        <f ca="1"/>
        <v>Female</v>
      </c>
      <c r="G150" s="1229" t="s">
        <v>286</v>
      </c>
      <c r="H150" s="1230" t="s">
        <v>65</v>
      </c>
      <c r="I150" s="1231" t="s">
        <v>66</v>
      </c>
      <c r="K150" s="808" t="b">
        <f t="shared" si="19"/>
        <v>0</v>
      </c>
    </row>
    <row r="151" spans="1:11" hidden="1" x14ac:dyDescent="0.25">
      <c r="A151" s="1202" t="str">
        <f ca="1"/>
        <v/>
      </c>
      <c r="B151" s="1232">
        <f ca="1"/>
        <v>0</v>
      </c>
      <c r="C151" s="1233">
        <f ca="1"/>
        <v>0</v>
      </c>
      <c r="D151" s="1202" t="str">
        <f ca="1"/>
        <v/>
      </c>
      <c r="E151" s="1234" t="str">
        <f ca="1"/>
        <v>NA</v>
      </c>
      <c r="F151" s="1235" t="str">
        <f ca="1"/>
        <v>NA</v>
      </c>
      <c r="G151" s="1202" t="str">
        <f t="shared" ref="G151:G162" ca="1" si="24">A151</f>
        <v/>
      </c>
      <c r="H151" s="1234">
        <f t="shared" ref="H151:H162" ca="1" si="25">IFERROR(B151*E151,0)</f>
        <v>0</v>
      </c>
      <c r="I151" s="1235">
        <f t="shared" ref="I151:I162" ca="1" si="26">IFERROR(C151*F151,0)</f>
        <v>0</v>
      </c>
      <c r="K151" s="808" t="b">
        <f t="shared" si="19"/>
        <v>0</v>
      </c>
    </row>
    <row r="152" spans="1:11" hidden="1" x14ac:dyDescent="0.25">
      <c r="A152" s="1236" t="str">
        <f ca="1"/>
        <v/>
      </c>
      <c r="B152" s="1237">
        <f ca="1"/>
        <v>0</v>
      </c>
      <c r="C152" s="1238">
        <f ca="1"/>
        <v>0</v>
      </c>
      <c r="D152" s="1236" t="str">
        <f ca="1"/>
        <v/>
      </c>
      <c r="E152" s="1239" t="str">
        <f ca="1"/>
        <v>NA</v>
      </c>
      <c r="F152" s="1240" t="str">
        <f ca="1"/>
        <v>NA</v>
      </c>
      <c r="G152" s="1236" t="str">
        <f t="shared" ca="1" si="24"/>
        <v/>
      </c>
      <c r="H152" s="1239">
        <f t="shared" ca="1" si="25"/>
        <v>0</v>
      </c>
      <c r="I152" s="1240">
        <f t="shared" ca="1" si="26"/>
        <v>0</v>
      </c>
      <c r="K152" s="808" t="b">
        <f t="shared" si="19"/>
        <v>0</v>
      </c>
    </row>
    <row r="153" spans="1:11" hidden="1" x14ac:dyDescent="0.25">
      <c r="A153" s="1202" t="str">
        <f ca="1"/>
        <v/>
      </c>
      <c r="B153" s="1232">
        <f ca="1"/>
        <v>0</v>
      </c>
      <c r="C153" s="1233">
        <f ca="1"/>
        <v>0</v>
      </c>
      <c r="D153" s="1202" t="str">
        <f ca="1"/>
        <v/>
      </c>
      <c r="E153" s="1234" t="str">
        <f ca="1"/>
        <v>NA</v>
      </c>
      <c r="F153" s="1235" t="str">
        <f ca="1"/>
        <v>NA</v>
      </c>
      <c r="G153" s="1202" t="str">
        <f t="shared" ca="1" si="24"/>
        <v/>
      </c>
      <c r="H153" s="1234">
        <f t="shared" ca="1" si="25"/>
        <v>0</v>
      </c>
      <c r="I153" s="1235">
        <f t="shared" ca="1" si="26"/>
        <v>0</v>
      </c>
      <c r="K153" s="808" t="b">
        <f t="shared" si="19"/>
        <v>0</v>
      </c>
    </row>
    <row r="154" spans="1:11" hidden="1" x14ac:dyDescent="0.25">
      <c r="A154" s="1236" t="str">
        <f ca="1"/>
        <v/>
      </c>
      <c r="B154" s="1237">
        <f ca="1"/>
        <v>0</v>
      </c>
      <c r="C154" s="1238">
        <f ca="1"/>
        <v>0</v>
      </c>
      <c r="D154" s="1236" t="str">
        <f ca="1"/>
        <v/>
      </c>
      <c r="E154" s="1239" t="str">
        <f ca="1"/>
        <v>NA</v>
      </c>
      <c r="F154" s="1240" t="str">
        <f ca="1"/>
        <v>NA</v>
      </c>
      <c r="G154" s="1236" t="str">
        <f t="shared" ca="1" si="24"/>
        <v/>
      </c>
      <c r="H154" s="1239">
        <f t="shared" ca="1" si="25"/>
        <v>0</v>
      </c>
      <c r="I154" s="1240">
        <f t="shared" ca="1" si="26"/>
        <v>0</v>
      </c>
      <c r="K154" s="808" t="b">
        <f t="shared" si="19"/>
        <v>0</v>
      </c>
    </row>
    <row r="155" spans="1:11" hidden="1" x14ac:dyDescent="0.25">
      <c r="A155" s="1202" t="str">
        <f ca="1"/>
        <v/>
      </c>
      <c r="B155" s="1232">
        <f ca="1"/>
        <v>0</v>
      </c>
      <c r="C155" s="1233">
        <f ca="1"/>
        <v>0</v>
      </c>
      <c r="D155" s="1202" t="str">
        <f ca="1"/>
        <v/>
      </c>
      <c r="E155" s="1234" t="str">
        <f ca="1"/>
        <v>NA</v>
      </c>
      <c r="F155" s="1235" t="str">
        <f ca="1"/>
        <v>NA</v>
      </c>
      <c r="G155" s="1202" t="str">
        <f t="shared" ca="1" si="24"/>
        <v/>
      </c>
      <c r="H155" s="1234">
        <f t="shared" ca="1" si="25"/>
        <v>0</v>
      </c>
      <c r="I155" s="1235">
        <f t="shared" ca="1" si="26"/>
        <v>0</v>
      </c>
      <c r="K155" s="808" t="b">
        <f t="shared" si="19"/>
        <v>0</v>
      </c>
    </row>
    <row r="156" spans="1:11" hidden="1" x14ac:dyDescent="0.25">
      <c r="A156" s="1236" t="str">
        <f ca="1"/>
        <v/>
      </c>
      <c r="B156" s="1237">
        <f ca="1"/>
        <v>0</v>
      </c>
      <c r="C156" s="1238">
        <f ca="1"/>
        <v>0</v>
      </c>
      <c r="D156" s="1236" t="str">
        <f ca="1"/>
        <v/>
      </c>
      <c r="E156" s="1239" t="str">
        <f ca="1"/>
        <v>NA</v>
      </c>
      <c r="F156" s="1240" t="str">
        <f ca="1"/>
        <v>NA</v>
      </c>
      <c r="G156" s="1236" t="str">
        <f t="shared" ca="1" si="24"/>
        <v/>
      </c>
      <c r="H156" s="1239">
        <f t="shared" ca="1" si="25"/>
        <v>0</v>
      </c>
      <c r="I156" s="1240">
        <f t="shared" ca="1" si="26"/>
        <v>0</v>
      </c>
      <c r="K156" s="1241" t="b">
        <f t="shared" ref="K156:K162" si="27">IF(Region_C="Abu Dhabi",FALSE,$K$19)</f>
        <v>0</v>
      </c>
    </row>
    <row r="157" spans="1:11" hidden="1" x14ac:dyDescent="0.25">
      <c r="A157" s="1202" t="str">
        <f ca="1"/>
        <v/>
      </c>
      <c r="B157" s="1232">
        <f ca="1"/>
        <v>0</v>
      </c>
      <c r="C157" s="1233">
        <f ca="1"/>
        <v>0</v>
      </c>
      <c r="D157" s="1202" t="str">
        <f ca="1"/>
        <v/>
      </c>
      <c r="E157" s="1234" t="str">
        <f ca="1"/>
        <v>NA</v>
      </c>
      <c r="F157" s="1235" t="str">
        <f ca="1"/>
        <v>NA</v>
      </c>
      <c r="G157" s="1202" t="str">
        <f t="shared" ca="1" si="24"/>
        <v/>
      </c>
      <c r="H157" s="1234">
        <f t="shared" ca="1" si="25"/>
        <v>0</v>
      </c>
      <c r="I157" s="1235">
        <f t="shared" ca="1" si="26"/>
        <v>0</v>
      </c>
      <c r="K157" s="1241" t="b">
        <f t="shared" si="27"/>
        <v>0</v>
      </c>
    </row>
    <row r="158" spans="1:11" hidden="1" x14ac:dyDescent="0.25">
      <c r="A158" s="1236" t="str">
        <f ca="1"/>
        <v/>
      </c>
      <c r="B158" s="1237">
        <f ca="1"/>
        <v>0</v>
      </c>
      <c r="C158" s="1238">
        <f ca="1"/>
        <v>0</v>
      </c>
      <c r="D158" s="1236" t="str">
        <f ca="1"/>
        <v/>
      </c>
      <c r="E158" s="1239" t="str">
        <f ca="1"/>
        <v>NA</v>
      </c>
      <c r="F158" s="1240" t="str">
        <f ca="1"/>
        <v>NA</v>
      </c>
      <c r="G158" s="1236" t="str">
        <f t="shared" ca="1" si="24"/>
        <v/>
      </c>
      <c r="H158" s="1239">
        <f t="shared" ca="1" si="25"/>
        <v>0</v>
      </c>
      <c r="I158" s="1240">
        <f t="shared" ca="1" si="26"/>
        <v>0</v>
      </c>
      <c r="K158" s="1241" t="b">
        <f t="shared" si="27"/>
        <v>0</v>
      </c>
    </row>
    <row r="159" spans="1:11" hidden="1" x14ac:dyDescent="0.25">
      <c r="A159" s="1202" t="str">
        <f ca="1"/>
        <v/>
      </c>
      <c r="B159" s="1232">
        <f ca="1"/>
        <v>0</v>
      </c>
      <c r="C159" s="1233">
        <f ca="1"/>
        <v>0</v>
      </c>
      <c r="D159" s="1202" t="str">
        <f ca="1"/>
        <v/>
      </c>
      <c r="E159" s="1234" t="str">
        <f ca="1"/>
        <v>NA</v>
      </c>
      <c r="F159" s="1235" t="str">
        <f ca="1"/>
        <v>NA</v>
      </c>
      <c r="G159" s="1202" t="str">
        <f t="shared" ca="1" si="24"/>
        <v/>
      </c>
      <c r="H159" s="1234">
        <f t="shared" ca="1" si="25"/>
        <v>0</v>
      </c>
      <c r="I159" s="1235">
        <f t="shared" ca="1" si="26"/>
        <v>0</v>
      </c>
      <c r="K159" s="1241" t="b">
        <f t="shared" si="27"/>
        <v>0</v>
      </c>
    </row>
    <row r="160" spans="1:11" hidden="1" x14ac:dyDescent="0.25">
      <c r="A160" s="1236" t="str">
        <f ca="1"/>
        <v/>
      </c>
      <c r="B160" s="1237">
        <f ca="1"/>
        <v>0</v>
      </c>
      <c r="C160" s="1238">
        <f ca="1"/>
        <v>0</v>
      </c>
      <c r="D160" s="1236" t="str">
        <f ca="1"/>
        <v/>
      </c>
      <c r="E160" s="1239" t="str">
        <f ca="1"/>
        <v>NA</v>
      </c>
      <c r="F160" s="1240" t="str">
        <f ca="1"/>
        <v>NA</v>
      </c>
      <c r="G160" s="1236" t="str">
        <f t="shared" ca="1" si="24"/>
        <v/>
      </c>
      <c r="H160" s="1239">
        <f t="shared" ca="1" si="25"/>
        <v>0</v>
      </c>
      <c r="I160" s="1240">
        <f t="shared" ca="1" si="26"/>
        <v>0</v>
      </c>
      <c r="K160" s="1241" t="b">
        <f t="shared" si="27"/>
        <v>0</v>
      </c>
    </row>
    <row r="161" spans="1:11" hidden="1" x14ac:dyDescent="0.25">
      <c r="A161" s="1202" t="str">
        <f ca="1"/>
        <v/>
      </c>
      <c r="B161" s="1232">
        <f ca="1"/>
        <v>0</v>
      </c>
      <c r="C161" s="1233">
        <f ca="1"/>
        <v>0</v>
      </c>
      <c r="D161" s="1202" t="str">
        <f ca="1"/>
        <v/>
      </c>
      <c r="E161" s="1234" t="str">
        <f ca="1"/>
        <v>NA</v>
      </c>
      <c r="F161" s="1235" t="str">
        <f ca="1"/>
        <v>NA</v>
      </c>
      <c r="G161" s="1202" t="str">
        <f t="shared" ca="1" si="24"/>
        <v/>
      </c>
      <c r="H161" s="1234">
        <f t="shared" ca="1" si="25"/>
        <v>0</v>
      </c>
      <c r="I161" s="1235">
        <f t="shared" ca="1" si="26"/>
        <v>0</v>
      </c>
      <c r="K161" s="1241" t="b">
        <f t="shared" si="27"/>
        <v>0</v>
      </c>
    </row>
    <row r="162" spans="1:11" ht="15.75" hidden="1" thickBot="1" x14ac:dyDescent="0.3">
      <c r="A162" s="1242" t="str">
        <f ca="1"/>
        <v/>
      </c>
      <c r="B162" s="1243">
        <f ca="1"/>
        <v>0</v>
      </c>
      <c r="C162" s="1244">
        <f ca="1"/>
        <v>0</v>
      </c>
      <c r="D162" s="1242" t="str">
        <f ca="1"/>
        <v/>
      </c>
      <c r="E162" s="1245" t="str">
        <f ca="1"/>
        <v>NA</v>
      </c>
      <c r="F162" s="1246" t="str">
        <f ca="1"/>
        <v>NA</v>
      </c>
      <c r="G162" s="1242" t="str">
        <f t="shared" ca="1" si="24"/>
        <v/>
      </c>
      <c r="H162" s="1245">
        <f t="shared" ca="1" si="25"/>
        <v>0</v>
      </c>
      <c r="I162" s="1246">
        <f t="shared" ca="1" si="26"/>
        <v>0</v>
      </c>
      <c r="K162" s="1241" t="b">
        <f t="shared" si="27"/>
        <v>0</v>
      </c>
    </row>
    <row r="163" spans="1:11" ht="15.75" hidden="1" thickBot="1" x14ac:dyDescent="0.3">
      <c r="K163" s="808" t="b">
        <f t="shared" si="19"/>
        <v>0</v>
      </c>
    </row>
    <row r="164" spans="1:11" ht="21" hidden="1" thickTop="1" thickBot="1" x14ac:dyDescent="0.3">
      <c r="A164" s="1225" t="s">
        <v>1360</v>
      </c>
      <c r="B164" s="1226" t="s">
        <v>678</v>
      </c>
      <c r="C164" s="1227">
        <f>Maternity_Limit_C</f>
        <v>10000</v>
      </c>
      <c r="D164" s="1226" t="s">
        <v>1018</v>
      </c>
      <c r="E164" s="1247">
        <f>Maternity_CoPay_C</f>
        <v>0.1</v>
      </c>
      <c r="F164" s="1226" t="s">
        <v>940</v>
      </c>
      <c r="G164" s="1227" t="str">
        <f>G147</f>
        <v>Dubai</v>
      </c>
      <c r="K164" s="808" t="b">
        <f t="shared" si="19"/>
        <v>0</v>
      </c>
    </row>
    <row r="165" spans="1:11" ht="15.75" hidden="1" thickBot="1" x14ac:dyDescent="0.3">
      <c r="K165" s="808" t="b">
        <f t="shared" si="19"/>
        <v>0</v>
      </c>
    </row>
    <row r="166" spans="1:11" ht="15.75" hidden="1" thickTop="1" x14ac:dyDescent="0.25">
      <c r="A166" s="1248"/>
      <c r="B166" s="1467" t="s">
        <v>1358</v>
      </c>
      <c r="C166" s="1468"/>
      <c r="D166" s="1467" t="s">
        <v>1358</v>
      </c>
      <c r="E166" s="1468"/>
      <c r="F166" s="1467" t="s">
        <v>1089</v>
      </c>
      <c r="G166" s="1469"/>
      <c r="K166" s="808" t="b">
        <f t="shared" si="19"/>
        <v>0</v>
      </c>
    </row>
    <row r="167" spans="1:11" hidden="1" x14ac:dyDescent="0.25">
      <c r="A167" s="1249" t="s">
        <v>286</v>
      </c>
      <c r="B167" s="1230" t="s">
        <v>1361</v>
      </c>
      <c r="C167" s="1231" t="s">
        <v>1105</v>
      </c>
      <c r="D167" s="1230" t="s">
        <v>1361</v>
      </c>
      <c r="E167" s="1231" t="s">
        <v>1105</v>
      </c>
      <c r="F167" s="1230" t="s">
        <v>1361</v>
      </c>
      <c r="G167" s="1250" t="s">
        <v>1105</v>
      </c>
      <c r="K167" s="808" t="b">
        <f t="shared" si="19"/>
        <v>0</v>
      </c>
    </row>
    <row r="168" spans="1:11" ht="15.75" hidden="1" thickBot="1" x14ac:dyDescent="0.3">
      <c r="A168" s="1204" t="str">
        <f>IF(Region_A="Abu Dhabi","18-50","18-45")</f>
        <v>18-45</v>
      </c>
      <c r="B168" s="1251" cm="1">
        <f t="array" ref="B168:C168">TRANSPOSE('Member Data'!$Q$43:$Q$44)</f>
        <v>0</v>
      </c>
      <c r="C168" s="1252">
        <v>0</v>
      </c>
      <c r="D168" s="1253" t="str">
        <f ca="1">Maternity_GRP_C</f>
        <v>NA</v>
      </c>
      <c r="E168" s="1253" t="str">
        <f ca="1">Maternity_GRP_C</f>
        <v>NA</v>
      </c>
      <c r="F168" s="1253">
        <f ca="1">IFERROR(B168*D168,0)</f>
        <v>0</v>
      </c>
      <c r="G168" s="1254">
        <f ca="1">IFERROR(C168*E168,0)</f>
        <v>0</v>
      </c>
      <c r="K168" s="808" t="b">
        <f t="shared" si="19"/>
        <v>0</v>
      </c>
    </row>
    <row r="169" spans="1:11" hidden="1" x14ac:dyDescent="0.25">
      <c r="A169" s="1255"/>
      <c r="B169" s="1255"/>
      <c r="C169" s="1255"/>
      <c r="D169" s="1256"/>
      <c r="E169" s="1256"/>
      <c r="F169" s="1256"/>
      <c r="G169" s="1256"/>
      <c r="K169" s="808" t="b">
        <f t="shared" si="19"/>
        <v>0</v>
      </c>
    </row>
    <row r="170" spans="1:11" ht="15.75" hidden="1" thickBot="1" x14ac:dyDescent="0.3">
      <c r="K170" s="808" t="b">
        <f t="shared" si="19"/>
        <v>0</v>
      </c>
    </row>
    <row r="171" spans="1:11" ht="21" hidden="1" thickTop="1" thickBot="1" x14ac:dyDescent="0.3">
      <c r="A171" s="1459" t="s">
        <v>1373</v>
      </c>
      <c r="B171" s="1460"/>
      <c r="C171" s="1460"/>
      <c r="D171" s="1460"/>
      <c r="E171" s="1460"/>
      <c r="F171" s="1460"/>
      <c r="G171" s="1460"/>
      <c r="H171" s="1460"/>
      <c r="I171" s="1461"/>
      <c r="K171" s="808" t="b">
        <f>$K$20</f>
        <v>0</v>
      </c>
    </row>
    <row r="172" spans="1:11" ht="15.75" hidden="1" thickBot="1" x14ac:dyDescent="0.3">
      <c r="K172" s="808" t="b">
        <f t="shared" ref="K172:K218" si="28">$K$20</f>
        <v>0</v>
      </c>
    </row>
    <row r="173" spans="1:11" ht="25.5" hidden="1" x14ac:dyDescent="0.25">
      <c r="A173" s="1214" t="s">
        <v>1364</v>
      </c>
      <c r="B173" s="1215">
        <f ca="1">SUM(H182:I193,H199:I210)</f>
        <v>0</v>
      </c>
      <c r="D173" s="1216" t="s">
        <v>1367</v>
      </c>
      <c r="E173" s="1215">
        <f ca="1">F216+G216</f>
        <v>0</v>
      </c>
      <c r="G173" s="1216" t="s">
        <v>1369</v>
      </c>
      <c r="H173" s="1215">
        <f ca="1">B173+E173</f>
        <v>0</v>
      </c>
      <c r="K173" s="808" t="b">
        <f t="shared" si="28"/>
        <v>0</v>
      </c>
    </row>
    <row r="174" spans="1:11" ht="26.25" hidden="1" thickBot="1" x14ac:dyDescent="0.3">
      <c r="A174" s="1217" t="s">
        <v>1365</v>
      </c>
      <c r="B174" s="1218">
        <f ca="1">SUM(B182:C193,B199:C210)</f>
        <v>0</v>
      </c>
      <c r="D174" s="1219" t="str">
        <f>"Married Female - "&amp;IF(Region_D="Abu Dhabi","18-50","18-45")</f>
        <v>Married Female - 18-45</v>
      </c>
      <c r="E174" s="1218">
        <f>B216+C216</f>
        <v>0</v>
      </c>
      <c r="G174" s="1219" t="str">
        <f>IF(Region_D="Dubai","Bashmah Fee (AED 37/per Member)","ICP Fee (AED 28 / per Member)")</f>
        <v>Bashmah Fee (AED 37/per Member)</v>
      </c>
      <c r="H174" s="1220">
        <f ca="1">IF(Region_D="Dubai",37*B174,28*B174)</f>
        <v>0</v>
      </c>
      <c r="K174" s="808" t="b">
        <f t="shared" si="28"/>
        <v>0</v>
      </c>
    </row>
    <row r="175" spans="1:11" ht="27" hidden="1" thickTop="1" thickBot="1" x14ac:dyDescent="0.3">
      <c r="A175" s="1221" t="s">
        <v>1366</v>
      </c>
      <c r="B175" s="1222">
        <f ca="1">IFERROR(B173/B174,0)</f>
        <v>0</v>
      </c>
      <c r="D175" s="1223" t="s">
        <v>1368</v>
      </c>
      <c r="E175" s="1222" t="str">
        <f ca="1">Maternity_GRP_D</f>
        <v>NA</v>
      </c>
      <c r="G175" s="1223" t="s">
        <v>1370</v>
      </c>
      <c r="H175" s="1222">
        <f ca="1">(H173+H174)*5%</f>
        <v>0</v>
      </c>
      <c r="I175" s="1224">
        <f ca="1">SUM(H173:H175)</f>
        <v>0</v>
      </c>
      <c r="K175" s="808" t="b">
        <f t="shared" si="28"/>
        <v>0</v>
      </c>
    </row>
    <row r="176" spans="1:11" hidden="1" x14ac:dyDescent="0.25">
      <c r="K176" s="808" t="b">
        <f t="shared" si="28"/>
        <v>0</v>
      </c>
    </row>
    <row r="177" spans="1:11" ht="15.75" hidden="1" thickBot="1" x14ac:dyDescent="0.3">
      <c r="K177" s="808" t="b">
        <f t="shared" si="28"/>
        <v>0</v>
      </c>
    </row>
    <row r="178" spans="1:11" ht="21" hidden="1" thickTop="1" thickBot="1" x14ac:dyDescent="0.3">
      <c r="A178" s="1225" t="s">
        <v>1359</v>
      </c>
      <c r="B178" s="1226" t="s">
        <v>1296</v>
      </c>
      <c r="C178" s="1227">
        <f>AML_D</f>
        <v>250000</v>
      </c>
      <c r="D178" s="1226" t="s">
        <v>33</v>
      </c>
      <c r="E178" s="1227" t="str">
        <f>"NAS - "&amp;Network_D</f>
        <v>NAS - Super-Restricted Network</v>
      </c>
      <c r="F178" s="1226" t="s">
        <v>940</v>
      </c>
      <c r="G178" s="1227" t="str">
        <f>Region_D</f>
        <v>Dubai</v>
      </c>
      <c r="H178" s="1226" t="s">
        <v>1357</v>
      </c>
      <c r="I178" s="1227" t="str">
        <f>Area_D</f>
        <v>Worldwide at R&amp;C of UAE</v>
      </c>
      <c r="K178" s="808" t="b">
        <f t="shared" si="28"/>
        <v>0</v>
      </c>
    </row>
    <row r="179" spans="1:11" ht="15.75" hidden="1" thickBot="1" x14ac:dyDescent="0.3">
      <c r="A179" s="1228"/>
      <c r="B179" s="1228"/>
      <c r="K179" s="808" t="b">
        <f t="shared" si="28"/>
        <v>0</v>
      </c>
    </row>
    <row r="180" spans="1:11" hidden="1" x14ac:dyDescent="0.25">
      <c r="A180" s="1462" t="s">
        <v>1355</v>
      </c>
      <c r="B180" s="1463"/>
      <c r="C180" s="1464"/>
      <c r="D180" s="1465" t="s">
        <v>1363</v>
      </c>
      <c r="E180" s="1466"/>
      <c r="F180" s="1464"/>
      <c r="G180" s="1465" t="s">
        <v>133</v>
      </c>
      <c r="H180" s="1466"/>
      <c r="I180" s="1464"/>
      <c r="K180" s="808" t="b">
        <f t="shared" si="28"/>
        <v>0</v>
      </c>
    </row>
    <row r="181" spans="1:11" hidden="1" x14ac:dyDescent="0.25">
      <c r="A181" s="1229" t="str" cm="1">
        <f t="array" aca="1" ref="A181:C193" ca="1">Age_Band_Count_Emp_CatD</f>
        <v>Age Bracket</v>
      </c>
      <c r="B181" s="1230" t="str">
        <f ca="1"/>
        <v>Male</v>
      </c>
      <c r="C181" s="1231" t="str">
        <f ca="1"/>
        <v>Female</v>
      </c>
      <c r="D181" s="1229" t="str" cm="1">
        <f t="array" aca="1" ref="D181:F193" ca="1">Age_Band_GRP_Emp_CatD</f>
        <v>Age Bracket</v>
      </c>
      <c r="E181" s="1230" t="str">
        <f ca="1"/>
        <v>Male</v>
      </c>
      <c r="F181" s="1231" t="str">
        <f ca="1"/>
        <v>Female</v>
      </c>
      <c r="G181" s="1229" t="s">
        <v>286</v>
      </c>
      <c r="H181" s="1230" t="s">
        <v>65</v>
      </c>
      <c r="I181" s="1231" t="s">
        <v>66</v>
      </c>
      <c r="K181" s="808" t="b">
        <f t="shared" si="28"/>
        <v>0</v>
      </c>
    </row>
    <row r="182" spans="1:11" hidden="1" x14ac:dyDescent="0.25">
      <c r="A182" s="1202" t="str">
        <f ca="1"/>
        <v/>
      </c>
      <c r="B182" s="1232">
        <f ca="1"/>
        <v>0</v>
      </c>
      <c r="C182" s="1233">
        <f ca="1"/>
        <v>0</v>
      </c>
      <c r="D182" s="1202" t="str">
        <f ca="1"/>
        <v/>
      </c>
      <c r="E182" s="1234" t="str">
        <f ca="1"/>
        <v>NA</v>
      </c>
      <c r="F182" s="1235" t="str">
        <f ca="1"/>
        <v>NA</v>
      </c>
      <c r="G182" s="1202" t="str">
        <f t="shared" ref="G182:G193" ca="1" si="29">A182</f>
        <v/>
      </c>
      <c r="H182" s="1234">
        <f t="shared" ref="H182:H193" ca="1" si="30">IFERROR(B182*E182,0)</f>
        <v>0</v>
      </c>
      <c r="I182" s="1235">
        <f t="shared" ref="I182:I193" ca="1" si="31">IFERROR(C182*F182,0)</f>
        <v>0</v>
      </c>
      <c r="K182" s="808" t="b">
        <f t="shared" si="28"/>
        <v>0</v>
      </c>
    </row>
    <row r="183" spans="1:11" hidden="1" x14ac:dyDescent="0.25">
      <c r="A183" s="1236" t="str">
        <f ca="1"/>
        <v/>
      </c>
      <c r="B183" s="1237">
        <f ca="1"/>
        <v>0</v>
      </c>
      <c r="C183" s="1238">
        <f ca="1"/>
        <v>0</v>
      </c>
      <c r="D183" s="1236" t="str">
        <f ca="1"/>
        <v/>
      </c>
      <c r="E183" s="1239" t="str">
        <f ca="1"/>
        <v>NA</v>
      </c>
      <c r="F183" s="1240" t="str">
        <f ca="1"/>
        <v>NA</v>
      </c>
      <c r="G183" s="1236" t="str">
        <f t="shared" ca="1" si="29"/>
        <v/>
      </c>
      <c r="H183" s="1239">
        <f t="shared" ca="1" si="30"/>
        <v>0</v>
      </c>
      <c r="I183" s="1240">
        <f t="shared" ca="1" si="31"/>
        <v>0</v>
      </c>
      <c r="K183" s="808" t="b">
        <f t="shared" si="28"/>
        <v>0</v>
      </c>
    </row>
    <row r="184" spans="1:11" hidden="1" x14ac:dyDescent="0.25">
      <c r="A184" s="1202" t="str">
        <f ca="1"/>
        <v/>
      </c>
      <c r="B184" s="1232">
        <f ca="1"/>
        <v>0</v>
      </c>
      <c r="C184" s="1233">
        <f ca="1"/>
        <v>0</v>
      </c>
      <c r="D184" s="1202" t="str">
        <f ca="1"/>
        <v/>
      </c>
      <c r="E184" s="1234" t="str">
        <f ca="1"/>
        <v>NA</v>
      </c>
      <c r="F184" s="1235" t="str">
        <f ca="1"/>
        <v>NA</v>
      </c>
      <c r="G184" s="1202" t="str">
        <f t="shared" ca="1" si="29"/>
        <v/>
      </c>
      <c r="H184" s="1234">
        <f t="shared" ca="1" si="30"/>
        <v>0</v>
      </c>
      <c r="I184" s="1235">
        <f t="shared" ca="1" si="31"/>
        <v>0</v>
      </c>
      <c r="K184" s="808" t="b">
        <f t="shared" si="28"/>
        <v>0</v>
      </c>
    </row>
    <row r="185" spans="1:11" hidden="1" x14ac:dyDescent="0.25">
      <c r="A185" s="1236" t="str">
        <f ca="1"/>
        <v/>
      </c>
      <c r="B185" s="1237">
        <f ca="1"/>
        <v>0</v>
      </c>
      <c r="C185" s="1238">
        <f ca="1"/>
        <v>0</v>
      </c>
      <c r="D185" s="1236" t="str">
        <f ca="1"/>
        <v/>
      </c>
      <c r="E185" s="1239" t="str">
        <f ca="1"/>
        <v>NA</v>
      </c>
      <c r="F185" s="1240" t="str">
        <f ca="1"/>
        <v>NA</v>
      </c>
      <c r="G185" s="1236" t="str">
        <f t="shared" ca="1" si="29"/>
        <v/>
      </c>
      <c r="H185" s="1239">
        <f t="shared" ca="1" si="30"/>
        <v>0</v>
      </c>
      <c r="I185" s="1240">
        <f t="shared" ca="1" si="31"/>
        <v>0</v>
      </c>
      <c r="K185" s="808" t="b">
        <f t="shared" si="28"/>
        <v>0</v>
      </c>
    </row>
    <row r="186" spans="1:11" hidden="1" x14ac:dyDescent="0.25">
      <c r="A186" s="1202" t="str">
        <f ca="1"/>
        <v/>
      </c>
      <c r="B186" s="1232">
        <f ca="1"/>
        <v>0</v>
      </c>
      <c r="C186" s="1233">
        <f ca="1"/>
        <v>0</v>
      </c>
      <c r="D186" s="1202" t="str">
        <f ca="1"/>
        <v/>
      </c>
      <c r="E186" s="1234" t="str">
        <f ca="1"/>
        <v>NA</v>
      </c>
      <c r="F186" s="1235" t="str">
        <f ca="1"/>
        <v>NA</v>
      </c>
      <c r="G186" s="1202" t="str">
        <f t="shared" ca="1" si="29"/>
        <v/>
      </c>
      <c r="H186" s="1234">
        <f t="shared" ca="1" si="30"/>
        <v>0</v>
      </c>
      <c r="I186" s="1235">
        <f t="shared" ca="1" si="31"/>
        <v>0</v>
      </c>
      <c r="K186" s="808" t="b">
        <f t="shared" si="28"/>
        <v>0</v>
      </c>
    </row>
    <row r="187" spans="1:11" hidden="1" x14ac:dyDescent="0.25">
      <c r="A187" s="1236" t="str">
        <f ca="1"/>
        <v/>
      </c>
      <c r="B187" s="1237">
        <f ca="1"/>
        <v>0</v>
      </c>
      <c r="C187" s="1238">
        <f ca="1"/>
        <v>0</v>
      </c>
      <c r="D187" s="1236" t="str">
        <f ca="1"/>
        <v/>
      </c>
      <c r="E187" s="1239" t="str">
        <f ca="1"/>
        <v>NA</v>
      </c>
      <c r="F187" s="1240" t="str">
        <f ca="1"/>
        <v>NA</v>
      </c>
      <c r="G187" s="1236" t="str">
        <f t="shared" ca="1" si="29"/>
        <v/>
      </c>
      <c r="H187" s="1239">
        <f t="shared" ca="1" si="30"/>
        <v>0</v>
      </c>
      <c r="I187" s="1240">
        <f t="shared" ca="1" si="31"/>
        <v>0</v>
      </c>
      <c r="K187" s="1241" t="b">
        <f t="shared" ref="K187:K193" si="32">IF(Region_D="Abu Dhabi",FALSE,$K$20)</f>
        <v>0</v>
      </c>
    </row>
    <row r="188" spans="1:11" hidden="1" x14ac:dyDescent="0.25">
      <c r="A188" s="1202" t="str">
        <f ca="1"/>
        <v/>
      </c>
      <c r="B188" s="1232">
        <f ca="1"/>
        <v>0</v>
      </c>
      <c r="C188" s="1233">
        <f ca="1"/>
        <v>0</v>
      </c>
      <c r="D188" s="1202" t="str">
        <f ca="1"/>
        <v/>
      </c>
      <c r="E188" s="1234" t="str">
        <f ca="1"/>
        <v>NA</v>
      </c>
      <c r="F188" s="1235" t="str">
        <f ca="1"/>
        <v>NA</v>
      </c>
      <c r="G188" s="1202" t="str">
        <f t="shared" ca="1" si="29"/>
        <v/>
      </c>
      <c r="H188" s="1234">
        <f t="shared" ca="1" si="30"/>
        <v>0</v>
      </c>
      <c r="I188" s="1235">
        <f t="shared" ca="1" si="31"/>
        <v>0</v>
      </c>
      <c r="K188" s="1241" t="b">
        <f t="shared" si="32"/>
        <v>0</v>
      </c>
    </row>
    <row r="189" spans="1:11" hidden="1" x14ac:dyDescent="0.25">
      <c r="A189" s="1236" t="str">
        <f ca="1"/>
        <v/>
      </c>
      <c r="B189" s="1237">
        <f ca="1"/>
        <v>0</v>
      </c>
      <c r="C189" s="1238">
        <f ca="1"/>
        <v>0</v>
      </c>
      <c r="D189" s="1236" t="str">
        <f ca="1"/>
        <v/>
      </c>
      <c r="E189" s="1239" t="str">
        <f ca="1"/>
        <v>NA</v>
      </c>
      <c r="F189" s="1240" t="str">
        <f ca="1"/>
        <v>NA</v>
      </c>
      <c r="G189" s="1236" t="str">
        <f t="shared" ca="1" si="29"/>
        <v/>
      </c>
      <c r="H189" s="1239">
        <f t="shared" ca="1" si="30"/>
        <v>0</v>
      </c>
      <c r="I189" s="1240">
        <f t="shared" ca="1" si="31"/>
        <v>0</v>
      </c>
      <c r="K189" s="1241" t="b">
        <f t="shared" si="32"/>
        <v>0</v>
      </c>
    </row>
    <row r="190" spans="1:11" hidden="1" x14ac:dyDescent="0.25">
      <c r="A190" s="1202" t="str">
        <f ca="1"/>
        <v/>
      </c>
      <c r="B190" s="1232">
        <f ca="1"/>
        <v>0</v>
      </c>
      <c r="C190" s="1233">
        <f ca="1"/>
        <v>0</v>
      </c>
      <c r="D190" s="1202" t="str">
        <f ca="1"/>
        <v/>
      </c>
      <c r="E190" s="1234" t="str">
        <f ca="1"/>
        <v>NA</v>
      </c>
      <c r="F190" s="1235" t="str">
        <f ca="1"/>
        <v>NA</v>
      </c>
      <c r="G190" s="1202" t="str">
        <f t="shared" ca="1" si="29"/>
        <v/>
      </c>
      <c r="H190" s="1234">
        <f t="shared" ca="1" si="30"/>
        <v>0</v>
      </c>
      <c r="I190" s="1235">
        <f t="shared" ca="1" si="31"/>
        <v>0</v>
      </c>
      <c r="K190" s="1241" t="b">
        <f t="shared" si="32"/>
        <v>0</v>
      </c>
    </row>
    <row r="191" spans="1:11" hidden="1" x14ac:dyDescent="0.25">
      <c r="A191" s="1236" t="str">
        <f ca="1"/>
        <v/>
      </c>
      <c r="B191" s="1237">
        <f ca="1"/>
        <v>0</v>
      </c>
      <c r="C191" s="1238">
        <f ca="1"/>
        <v>0</v>
      </c>
      <c r="D191" s="1236" t="str">
        <f ca="1"/>
        <v/>
      </c>
      <c r="E191" s="1239" t="str">
        <f ca="1"/>
        <v>NA</v>
      </c>
      <c r="F191" s="1240" t="str">
        <f ca="1"/>
        <v>NA</v>
      </c>
      <c r="G191" s="1236" t="str">
        <f t="shared" ca="1" si="29"/>
        <v/>
      </c>
      <c r="H191" s="1239">
        <f t="shared" ca="1" si="30"/>
        <v>0</v>
      </c>
      <c r="I191" s="1240">
        <f t="shared" ca="1" si="31"/>
        <v>0</v>
      </c>
      <c r="K191" s="1241" t="b">
        <f t="shared" si="32"/>
        <v>0</v>
      </c>
    </row>
    <row r="192" spans="1:11" hidden="1" x14ac:dyDescent="0.25">
      <c r="A192" s="1202" t="str">
        <f ca="1"/>
        <v/>
      </c>
      <c r="B192" s="1232">
        <f ca="1"/>
        <v>0</v>
      </c>
      <c r="C192" s="1233">
        <f ca="1"/>
        <v>0</v>
      </c>
      <c r="D192" s="1202" t="str">
        <f ca="1"/>
        <v/>
      </c>
      <c r="E192" s="1234" t="str">
        <f ca="1"/>
        <v>NA</v>
      </c>
      <c r="F192" s="1235" t="str">
        <f ca="1"/>
        <v>NA</v>
      </c>
      <c r="G192" s="1202" t="str">
        <f t="shared" ca="1" si="29"/>
        <v/>
      </c>
      <c r="H192" s="1234">
        <f t="shared" ca="1" si="30"/>
        <v>0</v>
      </c>
      <c r="I192" s="1235">
        <f t="shared" ca="1" si="31"/>
        <v>0</v>
      </c>
      <c r="K192" s="1241" t="b">
        <f t="shared" si="32"/>
        <v>0</v>
      </c>
    </row>
    <row r="193" spans="1:11" ht="15.75" hidden="1" thickBot="1" x14ac:dyDescent="0.3">
      <c r="A193" s="1242" t="str">
        <f ca="1"/>
        <v/>
      </c>
      <c r="B193" s="1243">
        <f ca="1"/>
        <v>0</v>
      </c>
      <c r="C193" s="1244">
        <f ca="1"/>
        <v>0</v>
      </c>
      <c r="D193" s="1242" t="str">
        <f ca="1"/>
        <v/>
      </c>
      <c r="E193" s="1245" t="str">
        <f ca="1"/>
        <v>NA</v>
      </c>
      <c r="F193" s="1246" t="str">
        <f ca="1"/>
        <v>NA</v>
      </c>
      <c r="G193" s="1242" t="str">
        <f t="shared" ca="1" si="29"/>
        <v/>
      </c>
      <c r="H193" s="1245">
        <f t="shared" ca="1" si="30"/>
        <v>0</v>
      </c>
      <c r="I193" s="1246">
        <f t="shared" ca="1" si="31"/>
        <v>0</v>
      </c>
      <c r="K193" s="1241" t="b">
        <f t="shared" si="32"/>
        <v>0</v>
      </c>
    </row>
    <row r="194" spans="1:11" ht="15.75" hidden="1" thickBot="1" x14ac:dyDescent="0.3">
      <c r="K194" s="808" t="b">
        <f t="shared" si="28"/>
        <v>0</v>
      </c>
    </row>
    <row r="195" spans="1:11" ht="21" hidden="1" thickTop="1" thickBot="1" x14ac:dyDescent="0.3">
      <c r="A195" s="1225" t="s">
        <v>1356</v>
      </c>
      <c r="B195" s="1226" t="s">
        <v>1296</v>
      </c>
      <c r="C195" s="1227">
        <f>C178</f>
        <v>250000</v>
      </c>
      <c r="D195" s="1226" t="s">
        <v>33</v>
      </c>
      <c r="E195" s="1227" t="str">
        <f>E178</f>
        <v>NAS - Super-Restricted Network</v>
      </c>
      <c r="F195" s="1226" t="s">
        <v>940</v>
      </c>
      <c r="G195" s="1227" t="str">
        <f>G178</f>
        <v>Dubai</v>
      </c>
      <c r="H195" s="1226" t="s">
        <v>1357</v>
      </c>
      <c r="I195" s="1227" t="str">
        <f>I178</f>
        <v>Worldwide at R&amp;C of UAE</v>
      </c>
      <c r="K195" s="808" t="b">
        <f t="shared" si="28"/>
        <v>0</v>
      </c>
    </row>
    <row r="196" spans="1:11" ht="15.75" hidden="1" thickBot="1" x14ac:dyDescent="0.3">
      <c r="K196" s="808" t="b">
        <f t="shared" si="28"/>
        <v>0</v>
      </c>
    </row>
    <row r="197" spans="1:11" hidden="1" x14ac:dyDescent="0.25">
      <c r="A197" s="1462" t="s">
        <v>1355</v>
      </c>
      <c r="B197" s="1463"/>
      <c r="C197" s="1464"/>
      <c r="D197" s="1465" t="s">
        <v>1363</v>
      </c>
      <c r="E197" s="1466"/>
      <c r="F197" s="1464"/>
      <c r="G197" s="1465" t="s">
        <v>133</v>
      </c>
      <c r="H197" s="1466"/>
      <c r="I197" s="1464"/>
      <c r="K197" s="808" t="b">
        <f t="shared" si="28"/>
        <v>0</v>
      </c>
    </row>
    <row r="198" spans="1:11" hidden="1" x14ac:dyDescent="0.25">
      <c r="A198" s="1229" t="str" cm="1">
        <f t="array" aca="1" ref="A198:C210" ca="1">Age_Band_Count_Dep_CatD</f>
        <v>Age Bracket</v>
      </c>
      <c r="B198" s="1230" t="str">
        <f ca="1"/>
        <v>Male</v>
      </c>
      <c r="C198" s="1231" t="str">
        <f ca="1"/>
        <v>Female</v>
      </c>
      <c r="D198" s="1229" t="str" cm="1">
        <f t="array" aca="1" ref="D198:F210" ca="1">Age_Band_GRP_Dep_CatD</f>
        <v>Age Bracket</v>
      </c>
      <c r="E198" s="1230" t="str">
        <f ca="1"/>
        <v>Male</v>
      </c>
      <c r="F198" s="1231" t="str">
        <f ca="1"/>
        <v>Female</v>
      </c>
      <c r="G198" s="1229" t="s">
        <v>286</v>
      </c>
      <c r="H198" s="1230" t="s">
        <v>65</v>
      </c>
      <c r="I198" s="1231" t="s">
        <v>66</v>
      </c>
      <c r="K198" s="808" t="b">
        <f t="shared" si="28"/>
        <v>0</v>
      </c>
    </row>
    <row r="199" spans="1:11" hidden="1" x14ac:dyDescent="0.25">
      <c r="A199" s="1202" t="str">
        <f ca="1"/>
        <v/>
      </c>
      <c r="B199" s="1232">
        <f ca="1"/>
        <v>0</v>
      </c>
      <c r="C199" s="1233">
        <f ca="1"/>
        <v>0</v>
      </c>
      <c r="D199" s="1202" t="str">
        <f ca="1"/>
        <v/>
      </c>
      <c r="E199" s="1234" t="str">
        <f ca="1"/>
        <v>NA</v>
      </c>
      <c r="F199" s="1235" t="str">
        <f ca="1"/>
        <v>NA</v>
      </c>
      <c r="G199" s="1202" t="str">
        <f t="shared" ref="G199:G210" ca="1" si="33">A199</f>
        <v/>
      </c>
      <c r="H199" s="1234">
        <f t="shared" ref="H199:H210" ca="1" si="34">IFERROR(B199*E199,0)</f>
        <v>0</v>
      </c>
      <c r="I199" s="1235">
        <f t="shared" ref="I199:I210" ca="1" si="35">IFERROR(C199*F199,0)</f>
        <v>0</v>
      </c>
      <c r="K199" s="808" t="b">
        <f t="shared" si="28"/>
        <v>0</v>
      </c>
    </row>
    <row r="200" spans="1:11" hidden="1" x14ac:dyDescent="0.25">
      <c r="A200" s="1236" t="str">
        <f ca="1"/>
        <v/>
      </c>
      <c r="B200" s="1237">
        <f ca="1"/>
        <v>0</v>
      </c>
      <c r="C200" s="1238">
        <f ca="1"/>
        <v>0</v>
      </c>
      <c r="D200" s="1236" t="str">
        <f ca="1"/>
        <v/>
      </c>
      <c r="E200" s="1239" t="str">
        <f ca="1"/>
        <v>NA</v>
      </c>
      <c r="F200" s="1240" t="str">
        <f ca="1"/>
        <v>NA</v>
      </c>
      <c r="G200" s="1236" t="str">
        <f t="shared" ca="1" si="33"/>
        <v/>
      </c>
      <c r="H200" s="1239">
        <f t="shared" ca="1" si="34"/>
        <v>0</v>
      </c>
      <c r="I200" s="1240">
        <f t="shared" ca="1" si="35"/>
        <v>0</v>
      </c>
      <c r="K200" s="808" t="b">
        <f t="shared" si="28"/>
        <v>0</v>
      </c>
    </row>
    <row r="201" spans="1:11" hidden="1" x14ac:dyDescent="0.25">
      <c r="A201" s="1202" t="str">
        <f ca="1"/>
        <v/>
      </c>
      <c r="B201" s="1232">
        <f ca="1"/>
        <v>0</v>
      </c>
      <c r="C201" s="1233">
        <f ca="1"/>
        <v>0</v>
      </c>
      <c r="D201" s="1202" t="str">
        <f ca="1"/>
        <v/>
      </c>
      <c r="E201" s="1234" t="str">
        <f ca="1"/>
        <v>NA</v>
      </c>
      <c r="F201" s="1235" t="str">
        <f ca="1"/>
        <v>NA</v>
      </c>
      <c r="G201" s="1202" t="str">
        <f t="shared" ca="1" si="33"/>
        <v/>
      </c>
      <c r="H201" s="1234">
        <f t="shared" ca="1" si="34"/>
        <v>0</v>
      </c>
      <c r="I201" s="1235">
        <f t="shared" ca="1" si="35"/>
        <v>0</v>
      </c>
      <c r="K201" s="808" t="b">
        <f t="shared" si="28"/>
        <v>0</v>
      </c>
    </row>
    <row r="202" spans="1:11" hidden="1" x14ac:dyDescent="0.25">
      <c r="A202" s="1236" t="str">
        <f ca="1"/>
        <v/>
      </c>
      <c r="B202" s="1237">
        <f ca="1"/>
        <v>0</v>
      </c>
      <c r="C202" s="1238">
        <f ca="1"/>
        <v>0</v>
      </c>
      <c r="D202" s="1236" t="str">
        <f ca="1"/>
        <v/>
      </c>
      <c r="E202" s="1239" t="str">
        <f ca="1"/>
        <v>NA</v>
      </c>
      <c r="F202" s="1240" t="str">
        <f ca="1"/>
        <v>NA</v>
      </c>
      <c r="G202" s="1236" t="str">
        <f t="shared" ca="1" si="33"/>
        <v/>
      </c>
      <c r="H202" s="1239">
        <f t="shared" ca="1" si="34"/>
        <v>0</v>
      </c>
      <c r="I202" s="1240">
        <f t="shared" ca="1" si="35"/>
        <v>0</v>
      </c>
      <c r="K202" s="808" t="b">
        <f t="shared" si="28"/>
        <v>0</v>
      </c>
    </row>
    <row r="203" spans="1:11" hidden="1" x14ac:dyDescent="0.25">
      <c r="A203" s="1202" t="str">
        <f ca="1"/>
        <v/>
      </c>
      <c r="B203" s="1232">
        <f ca="1"/>
        <v>0</v>
      </c>
      <c r="C203" s="1233">
        <f ca="1"/>
        <v>0</v>
      </c>
      <c r="D203" s="1202" t="str">
        <f ca="1"/>
        <v/>
      </c>
      <c r="E203" s="1234" t="str">
        <f ca="1"/>
        <v>NA</v>
      </c>
      <c r="F203" s="1235" t="str">
        <f ca="1"/>
        <v>NA</v>
      </c>
      <c r="G203" s="1202" t="str">
        <f t="shared" ca="1" si="33"/>
        <v/>
      </c>
      <c r="H203" s="1234">
        <f t="shared" ca="1" si="34"/>
        <v>0</v>
      </c>
      <c r="I203" s="1235">
        <f t="shared" ca="1" si="35"/>
        <v>0</v>
      </c>
      <c r="K203" s="808" t="b">
        <f t="shared" si="28"/>
        <v>0</v>
      </c>
    </row>
    <row r="204" spans="1:11" hidden="1" x14ac:dyDescent="0.25">
      <c r="A204" s="1236" t="str">
        <f ca="1"/>
        <v/>
      </c>
      <c r="B204" s="1237">
        <f ca="1"/>
        <v>0</v>
      </c>
      <c r="C204" s="1238">
        <f ca="1"/>
        <v>0</v>
      </c>
      <c r="D204" s="1236" t="str">
        <f ca="1"/>
        <v/>
      </c>
      <c r="E204" s="1239" t="str">
        <f ca="1"/>
        <v>NA</v>
      </c>
      <c r="F204" s="1240" t="str">
        <f ca="1"/>
        <v>NA</v>
      </c>
      <c r="G204" s="1236" t="str">
        <f t="shared" ca="1" si="33"/>
        <v/>
      </c>
      <c r="H204" s="1239">
        <f t="shared" ca="1" si="34"/>
        <v>0</v>
      </c>
      <c r="I204" s="1240">
        <f t="shared" ca="1" si="35"/>
        <v>0</v>
      </c>
      <c r="K204" s="1241" t="b">
        <f t="shared" ref="K204:K210" si="36">IF(Region_D="Abu Dhabi",FALSE,$K$20)</f>
        <v>0</v>
      </c>
    </row>
    <row r="205" spans="1:11" hidden="1" x14ac:dyDescent="0.25">
      <c r="A205" s="1202" t="str">
        <f ca="1"/>
        <v/>
      </c>
      <c r="B205" s="1232">
        <f ca="1"/>
        <v>0</v>
      </c>
      <c r="C205" s="1233">
        <f ca="1"/>
        <v>0</v>
      </c>
      <c r="D205" s="1202" t="str">
        <f ca="1"/>
        <v/>
      </c>
      <c r="E205" s="1234" t="str">
        <f ca="1"/>
        <v>NA</v>
      </c>
      <c r="F205" s="1235" t="str">
        <f ca="1"/>
        <v>NA</v>
      </c>
      <c r="G205" s="1202" t="str">
        <f t="shared" ca="1" si="33"/>
        <v/>
      </c>
      <c r="H205" s="1234">
        <f t="shared" ca="1" si="34"/>
        <v>0</v>
      </c>
      <c r="I205" s="1235">
        <f t="shared" ca="1" si="35"/>
        <v>0</v>
      </c>
      <c r="K205" s="1241" t="b">
        <f t="shared" si="36"/>
        <v>0</v>
      </c>
    </row>
    <row r="206" spans="1:11" hidden="1" x14ac:dyDescent="0.25">
      <c r="A206" s="1236" t="str">
        <f ca="1"/>
        <v/>
      </c>
      <c r="B206" s="1237">
        <f ca="1"/>
        <v>0</v>
      </c>
      <c r="C206" s="1238">
        <f ca="1"/>
        <v>0</v>
      </c>
      <c r="D206" s="1236" t="str">
        <f ca="1"/>
        <v/>
      </c>
      <c r="E206" s="1239" t="str">
        <f ca="1"/>
        <v>NA</v>
      </c>
      <c r="F206" s="1240" t="str">
        <f ca="1"/>
        <v>NA</v>
      </c>
      <c r="G206" s="1236" t="str">
        <f t="shared" ca="1" si="33"/>
        <v/>
      </c>
      <c r="H206" s="1239">
        <f t="shared" ca="1" si="34"/>
        <v>0</v>
      </c>
      <c r="I206" s="1240">
        <f t="shared" ca="1" si="35"/>
        <v>0</v>
      </c>
      <c r="K206" s="1241" t="b">
        <f t="shared" si="36"/>
        <v>0</v>
      </c>
    </row>
    <row r="207" spans="1:11" hidden="1" x14ac:dyDescent="0.25">
      <c r="A207" s="1202" t="str">
        <f ca="1"/>
        <v/>
      </c>
      <c r="B207" s="1232">
        <f ca="1"/>
        <v>0</v>
      </c>
      <c r="C207" s="1233">
        <f ca="1"/>
        <v>0</v>
      </c>
      <c r="D207" s="1202" t="str">
        <f ca="1"/>
        <v/>
      </c>
      <c r="E207" s="1234" t="str">
        <f ca="1"/>
        <v>NA</v>
      </c>
      <c r="F207" s="1235" t="str">
        <f ca="1"/>
        <v>NA</v>
      </c>
      <c r="G207" s="1202" t="str">
        <f t="shared" ca="1" si="33"/>
        <v/>
      </c>
      <c r="H207" s="1234">
        <f t="shared" ca="1" si="34"/>
        <v>0</v>
      </c>
      <c r="I207" s="1235">
        <f t="shared" ca="1" si="35"/>
        <v>0</v>
      </c>
      <c r="K207" s="1241" t="b">
        <f t="shared" si="36"/>
        <v>0</v>
      </c>
    </row>
    <row r="208" spans="1:11" hidden="1" x14ac:dyDescent="0.25">
      <c r="A208" s="1236" t="str">
        <f ca="1"/>
        <v/>
      </c>
      <c r="B208" s="1237">
        <f ca="1"/>
        <v>0</v>
      </c>
      <c r="C208" s="1238">
        <f ca="1"/>
        <v>0</v>
      </c>
      <c r="D208" s="1236" t="str">
        <f ca="1"/>
        <v/>
      </c>
      <c r="E208" s="1239" t="str">
        <f ca="1"/>
        <v>NA</v>
      </c>
      <c r="F208" s="1240" t="str">
        <f ca="1"/>
        <v>NA</v>
      </c>
      <c r="G208" s="1236" t="str">
        <f t="shared" ca="1" si="33"/>
        <v/>
      </c>
      <c r="H208" s="1239">
        <f t="shared" ca="1" si="34"/>
        <v>0</v>
      </c>
      <c r="I208" s="1240">
        <f t="shared" ca="1" si="35"/>
        <v>0</v>
      </c>
      <c r="K208" s="1241" t="b">
        <f t="shared" si="36"/>
        <v>0</v>
      </c>
    </row>
    <row r="209" spans="1:11" hidden="1" x14ac:dyDescent="0.25">
      <c r="A209" s="1202" t="str">
        <f ca="1"/>
        <v/>
      </c>
      <c r="B209" s="1232">
        <f ca="1"/>
        <v>0</v>
      </c>
      <c r="C209" s="1233">
        <f ca="1"/>
        <v>0</v>
      </c>
      <c r="D209" s="1202" t="str">
        <f ca="1"/>
        <v/>
      </c>
      <c r="E209" s="1234" t="str">
        <f ca="1"/>
        <v>NA</v>
      </c>
      <c r="F209" s="1235" t="str">
        <f ca="1"/>
        <v>NA</v>
      </c>
      <c r="G209" s="1202" t="str">
        <f t="shared" ca="1" si="33"/>
        <v/>
      </c>
      <c r="H209" s="1234">
        <f t="shared" ca="1" si="34"/>
        <v>0</v>
      </c>
      <c r="I209" s="1235">
        <f t="shared" ca="1" si="35"/>
        <v>0</v>
      </c>
      <c r="K209" s="1241" t="b">
        <f t="shared" si="36"/>
        <v>0</v>
      </c>
    </row>
    <row r="210" spans="1:11" ht="15.75" hidden="1" thickBot="1" x14ac:dyDescent="0.3">
      <c r="A210" s="1242" t="str">
        <f ca="1"/>
        <v/>
      </c>
      <c r="B210" s="1243">
        <f ca="1"/>
        <v>0</v>
      </c>
      <c r="C210" s="1244">
        <f ca="1"/>
        <v>0</v>
      </c>
      <c r="D210" s="1242" t="str">
        <f ca="1"/>
        <v/>
      </c>
      <c r="E210" s="1245" t="str">
        <f ca="1"/>
        <v>NA</v>
      </c>
      <c r="F210" s="1246" t="str">
        <f ca="1"/>
        <v>NA</v>
      </c>
      <c r="G210" s="1242" t="str">
        <f t="shared" ca="1" si="33"/>
        <v/>
      </c>
      <c r="H210" s="1245">
        <f t="shared" ca="1" si="34"/>
        <v>0</v>
      </c>
      <c r="I210" s="1246">
        <f t="shared" ca="1" si="35"/>
        <v>0</v>
      </c>
      <c r="K210" s="1241" t="b">
        <f t="shared" si="36"/>
        <v>0</v>
      </c>
    </row>
    <row r="211" spans="1:11" ht="15.75" hidden="1" thickBot="1" x14ac:dyDescent="0.3">
      <c r="K211" s="808" t="b">
        <f t="shared" si="28"/>
        <v>0</v>
      </c>
    </row>
    <row r="212" spans="1:11" ht="21" hidden="1" thickTop="1" thickBot="1" x14ac:dyDescent="0.3">
      <c r="A212" s="1225" t="s">
        <v>1360</v>
      </c>
      <c r="B212" s="1226" t="s">
        <v>678</v>
      </c>
      <c r="C212" s="1227">
        <f>Maternity_Limit_D</f>
        <v>10000</v>
      </c>
      <c r="D212" s="1226" t="s">
        <v>1018</v>
      </c>
      <c r="E212" s="1247">
        <f>Maternity_CoPay_D</f>
        <v>0.1</v>
      </c>
      <c r="F212" s="1226" t="s">
        <v>940</v>
      </c>
      <c r="G212" s="1227" t="str">
        <f>G195</f>
        <v>Dubai</v>
      </c>
      <c r="K212" s="808" t="b">
        <f t="shared" si="28"/>
        <v>0</v>
      </c>
    </row>
    <row r="213" spans="1:11" ht="15.75" hidden="1" thickBot="1" x14ac:dyDescent="0.3">
      <c r="K213" s="808" t="b">
        <f t="shared" si="28"/>
        <v>0</v>
      </c>
    </row>
    <row r="214" spans="1:11" ht="15.75" hidden="1" thickTop="1" x14ac:dyDescent="0.25">
      <c r="A214" s="1248"/>
      <c r="B214" s="1467" t="s">
        <v>1358</v>
      </c>
      <c r="C214" s="1468"/>
      <c r="D214" s="1467" t="s">
        <v>1358</v>
      </c>
      <c r="E214" s="1468"/>
      <c r="F214" s="1467" t="s">
        <v>1089</v>
      </c>
      <c r="G214" s="1469"/>
      <c r="K214" s="808" t="b">
        <f t="shared" si="28"/>
        <v>0</v>
      </c>
    </row>
    <row r="215" spans="1:11" hidden="1" x14ac:dyDescent="0.25">
      <c r="A215" s="1249" t="s">
        <v>286</v>
      </c>
      <c r="B215" s="1230" t="s">
        <v>1361</v>
      </c>
      <c r="C215" s="1231" t="s">
        <v>1105</v>
      </c>
      <c r="D215" s="1230" t="s">
        <v>1361</v>
      </c>
      <c r="E215" s="1231" t="s">
        <v>1105</v>
      </c>
      <c r="F215" s="1230" t="s">
        <v>1361</v>
      </c>
      <c r="G215" s="1250" t="s">
        <v>1105</v>
      </c>
      <c r="K215" s="808" t="b">
        <f t="shared" si="28"/>
        <v>0</v>
      </c>
    </row>
    <row r="216" spans="1:11" ht="15.75" hidden="1" thickBot="1" x14ac:dyDescent="0.3">
      <c r="A216" s="1204" t="str">
        <f>IF(Region_A="Abu Dhabi","18-50","18-45")</f>
        <v>18-45</v>
      </c>
      <c r="B216" s="1251" cm="1">
        <f t="array" ref="B216:C216">TRANSPOSE('Member Data'!$R$43:$R$44)</f>
        <v>0</v>
      </c>
      <c r="C216" s="1252">
        <v>0</v>
      </c>
      <c r="D216" s="1253" t="str">
        <f ca="1">Maternity_GRP_D</f>
        <v>NA</v>
      </c>
      <c r="E216" s="1253" t="str">
        <f ca="1">Maternity_GRP_D</f>
        <v>NA</v>
      </c>
      <c r="F216" s="1253">
        <f ca="1">IFERROR(B216*D216,0)</f>
        <v>0</v>
      </c>
      <c r="G216" s="1254">
        <f ca="1">IFERROR(C216*E216,0)</f>
        <v>0</v>
      </c>
      <c r="K216" s="808" t="b">
        <f t="shared" si="28"/>
        <v>0</v>
      </c>
    </row>
    <row r="217" spans="1:11" hidden="1" x14ac:dyDescent="0.25">
      <c r="A217" s="1255"/>
      <c r="B217" s="1255"/>
      <c r="C217" s="1255"/>
      <c r="D217" s="1256"/>
      <c r="E217" s="1256"/>
      <c r="F217" s="1256"/>
      <c r="G217" s="1256"/>
      <c r="K217" s="808" t="b">
        <f t="shared" si="28"/>
        <v>0</v>
      </c>
    </row>
    <row r="218" spans="1:11" ht="15.75" hidden="1" thickBot="1" x14ac:dyDescent="0.3">
      <c r="K218" s="808" t="b">
        <f t="shared" si="28"/>
        <v>0</v>
      </c>
    </row>
    <row r="219" spans="1:11" ht="21" hidden="1" thickTop="1" thickBot="1" x14ac:dyDescent="0.3">
      <c r="A219" s="1459" t="s">
        <v>1374</v>
      </c>
      <c r="B219" s="1460"/>
      <c r="C219" s="1460"/>
      <c r="D219" s="1460"/>
      <c r="E219" s="1460"/>
      <c r="F219" s="1460"/>
      <c r="G219" s="1460"/>
      <c r="H219" s="1460"/>
      <c r="I219" s="1461"/>
      <c r="K219" s="808" t="b">
        <f>$K$21</f>
        <v>0</v>
      </c>
    </row>
    <row r="220" spans="1:11" ht="15.75" hidden="1" thickBot="1" x14ac:dyDescent="0.3">
      <c r="K220" s="808" t="b">
        <f t="shared" ref="K220:K266" si="37">$K$21</f>
        <v>0</v>
      </c>
    </row>
    <row r="221" spans="1:11" ht="25.5" hidden="1" x14ac:dyDescent="0.25">
      <c r="A221" s="1214" t="s">
        <v>1364</v>
      </c>
      <c r="B221" s="1215">
        <f ca="1">SUM(H230:I241,H247:I258)</f>
        <v>0</v>
      </c>
      <c r="D221" s="1216" t="s">
        <v>1367</v>
      </c>
      <c r="E221" s="1215">
        <f ca="1">F264+G264</f>
        <v>0</v>
      </c>
      <c r="G221" s="1216" t="s">
        <v>1369</v>
      </c>
      <c r="H221" s="1215">
        <f ca="1">B221+E221</f>
        <v>0</v>
      </c>
      <c r="K221" s="808" t="b">
        <f t="shared" si="37"/>
        <v>0</v>
      </c>
    </row>
    <row r="222" spans="1:11" ht="26.25" hidden="1" thickBot="1" x14ac:dyDescent="0.3">
      <c r="A222" s="1217" t="s">
        <v>1365</v>
      </c>
      <c r="B222" s="1218">
        <f ca="1">SUM(B230:C241,B247:C258)</f>
        <v>0</v>
      </c>
      <c r="D222" s="1219" t="str">
        <f>"Married Female - "&amp;IF(Region_E="Abu Dhabi","18-50","18-45")</f>
        <v>Married Female - 18-45</v>
      </c>
      <c r="E222" s="1218">
        <f>B264+C264</f>
        <v>0</v>
      </c>
      <c r="G222" s="1219" t="str">
        <f>IF(Region_E="Dubai","Bashmah Fee (AED 37/per Member)","ICP Fee (AED 28 / per Member)")</f>
        <v>Bashmah Fee (AED 37/per Member)</v>
      </c>
      <c r="H222" s="1220">
        <f ca="1">IF(Region_E="Dubai",37*B222,28*B222)</f>
        <v>0</v>
      </c>
      <c r="K222" s="808" t="b">
        <f t="shared" si="37"/>
        <v>0</v>
      </c>
    </row>
    <row r="223" spans="1:11" ht="27" hidden="1" thickTop="1" thickBot="1" x14ac:dyDescent="0.3">
      <c r="A223" s="1221" t="s">
        <v>1366</v>
      </c>
      <c r="B223" s="1222">
        <f ca="1">IFERROR(B221/B222,0)</f>
        <v>0</v>
      </c>
      <c r="D223" s="1223" t="s">
        <v>1368</v>
      </c>
      <c r="E223" s="1222" t="str">
        <f ca="1">Maternity_GRP_E</f>
        <v>NA</v>
      </c>
      <c r="G223" s="1223" t="s">
        <v>1370</v>
      </c>
      <c r="H223" s="1222">
        <f ca="1">(H221+H222)*5%</f>
        <v>0</v>
      </c>
      <c r="I223" s="1224">
        <f ca="1">SUM(H221:H223)</f>
        <v>0</v>
      </c>
      <c r="K223" s="808" t="b">
        <f t="shared" si="37"/>
        <v>0</v>
      </c>
    </row>
    <row r="224" spans="1:11" hidden="1" x14ac:dyDescent="0.25">
      <c r="K224" s="808" t="b">
        <f t="shared" si="37"/>
        <v>0</v>
      </c>
    </row>
    <row r="225" spans="1:11" ht="15.75" hidden="1" thickBot="1" x14ac:dyDescent="0.3">
      <c r="K225" s="808" t="b">
        <f t="shared" si="37"/>
        <v>0</v>
      </c>
    </row>
    <row r="226" spans="1:11" ht="21" hidden="1" thickTop="1" thickBot="1" x14ac:dyDescent="0.3">
      <c r="A226" s="1225" t="s">
        <v>1359</v>
      </c>
      <c r="B226" s="1226" t="s">
        <v>1296</v>
      </c>
      <c r="C226" s="1227">
        <f>AML_E</f>
        <v>250000</v>
      </c>
      <c r="D226" s="1226" t="s">
        <v>33</v>
      </c>
      <c r="E226" s="1227" t="str">
        <f>"NAS - "&amp;Network_E</f>
        <v>NAS - Workers Network</v>
      </c>
      <c r="F226" s="1226" t="s">
        <v>940</v>
      </c>
      <c r="G226" s="1227" t="str">
        <f>Region_E</f>
        <v>Dubai</v>
      </c>
      <c r="H226" s="1226" t="s">
        <v>1357</v>
      </c>
      <c r="I226" s="1227" t="str">
        <f>Area_E</f>
        <v>Worldwide at R&amp;C of UAE</v>
      </c>
      <c r="K226" s="808" t="b">
        <f t="shared" si="37"/>
        <v>0</v>
      </c>
    </row>
    <row r="227" spans="1:11" ht="15.75" hidden="1" thickBot="1" x14ac:dyDescent="0.3">
      <c r="A227" s="1228"/>
      <c r="B227" s="1228"/>
      <c r="K227" s="808" t="b">
        <f t="shared" si="37"/>
        <v>0</v>
      </c>
    </row>
    <row r="228" spans="1:11" hidden="1" x14ac:dyDescent="0.25">
      <c r="A228" s="1462" t="s">
        <v>1355</v>
      </c>
      <c r="B228" s="1463"/>
      <c r="C228" s="1464"/>
      <c r="D228" s="1465" t="s">
        <v>1363</v>
      </c>
      <c r="E228" s="1466"/>
      <c r="F228" s="1464"/>
      <c r="G228" s="1465" t="s">
        <v>133</v>
      </c>
      <c r="H228" s="1466"/>
      <c r="I228" s="1464"/>
      <c r="K228" s="808" t="b">
        <f t="shared" si="37"/>
        <v>0</v>
      </c>
    </row>
    <row r="229" spans="1:11" hidden="1" x14ac:dyDescent="0.25">
      <c r="A229" s="1229" t="str" cm="1">
        <f t="array" aca="1" ref="A229:C241" ca="1">Age_Band_Count_Emp_CatE</f>
        <v>Age Bracket</v>
      </c>
      <c r="B229" s="1230" t="str">
        <f ca="1"/>
        <v>Male</v>
      </c>
      <c r="C229" s="1231" t="str">
        <f ca="1"/>
        <v>Female</v>
      </c>
      <c r="D229" s="1229" t="str" cm="1">
        <f t="array" aca="1" ref="D229:F241" ca="1">Age_Band_GRP_Emp_CatE</f>
        <v>Age Bracket</v>
      </c>
      <c r="E229" s="1230" t="str">
        <f ca="1"/>
        <v>Male</v>
      </c>
      <c r="F229" s="1231" t="str">
        <f ca="1"/>
        <v>Female</v>
      </c>
      <c r="G229" s="1229" t="s">
        <v>286</v>
      </c>
      <c r="H229" s="1230" t="s">
        <v>65</v>
      </c>
      <c r="I229" s="1231" t="s">
        <v>66</v>
      </c>
      <c r="K229" s="808" t="b">
        <f t="shared" si="37"/>
        <v>0</v>
      </c>
    </row>
    <row r="230" spans="1:11" hidden="1" x14ac:dyDescent="0.25">
      <c r="A230" s="1202" t="str">
        <f ca="1"/>
        <v/>
      </c>
      <c r="B230" s="1232">
        <f ca="1"/>
        <v>0</v>
      </c>
      <c r="C230" s="1233">
        <f ca="1"/>
        <v>0</v>
      </c>
      <c r="D230" s="1202" t="str">
        <f ca="1"/>
        <v/>
      </c>
      <c r="E230" s="1234" t="str">
        <f ca="1"/>
        <v>NA</v>
      </c>
      <c r="F230" s="1235" t="str">
        <f ca="1"/>
        <v>NA</v>
      </c>
      <c r="G230" s="1202" t="str">
        <f t="shared" ref="G230:G241" ca="1" si="38">A230</f>
        <v/>
      </c>
      <c r="H230" s="1234">
        <f t="shared" ref="H230:H241" ca="1" si="39">IFERROR(B230*E230,0)</f>
        <v>0</v>
      </c>
      <c r="I230" s="1235">
        <f t="shared" ref="I230:I241" ca="1" si="40">IFERROR(C230*F230,0)</f>
        <v>0</v>
      </c>
      <c r="K230" s="808" t="b">
        <f t="shared" si="37"/>
        <v>0</v>
      </c>
    </row>
    <row r="231" spans="1:11" hidden="1" x14ac:dyDescent="0.25">
      <c r="A231" s="1236" t="str">
        <f ca="1"/>
        <v/>
      </c>
      <c r="B231" s="1237">
        <f ca="1"/>
        <v>0</v>
      </c>
      <c r="C231" s="1238">
        <f ca="1"/>
        <v>0</v>
      </c>
      <c r="D231" s="1236" t="str">
        <f ca="1"/>
        <v/>
      </c>
      <c r="E231" s="1239" t="str">
        <f ca="1"/>
        <v>NA</v>
      </c>
      <c r="F231" s="1240" t="str">
        <f ca="1"/>
        <v>NA</v>
      </c>
      <c r="G231" s="1236" t="str">
        <f t="shared" ca="1" si="38"/>
        <v/>
      </c>
      <c r="H231" s="1239">
        <f t="shared" ca="1" si="39"/>
        <v>0</v>
      </c>
      <c r="I231" s="1240">
        <f t="shared" ca="1" si="40"/>
        <v>0</v>
      </c>
      <c r="K231" s="808" t="b">
        <f t="shared" si="37"/>
        <v>0</v>
      </c>
    </row>
    <row r="232" spans="1:11" hidden="1" x14ac:dyDescent="0.25">
      <c r="A232" s="1202" t="str">
        <f ca="1"/>
        <v/>
      </c>
      <c r="B232" s="1232">
        <f ca="1"/>
        <v>0</v>
      </c>
      <c r="C232" s="1233">
        <f ca="1"/>
        <v>0</v>
      </c>
      <c r="D232" s="1202" t="str">
        <f ca="1"/>
        <v/>
      </c>
      <c r="E232" s="1234" t="str">
        <f ca="1"/>
        <v>NA</v>
      </c>
      <c r="F232" s="1235" t="str">
        <f ca="1"/>
        <v>NA</v>
      </c>
      <c r="G232" s="1202" t="str">
        <f t="shared" ca="1" si="38"/>
        <v/>
      </c>
      <c r="H232" s="1234">
        <f t="shared" ca="1" si="39"/>
        <v>0</v>
      </c>
      <c r="I232" s="1235">
        <f t="shared" ca="1" si="40"/>
        <v>0</v>
      </c>
      <c r="K232" s="808" t="b">
        <f t="shared" si="37"/>
        <v>0</v>
      </c>
    </row>
    <row r="233" spans="1:11" hidden="1" x14ac:dyDescent="0.25">
      <c r="A233" s="1236" t="str">
        <f ca="1"/>
        <v/>
      </c>
      <c r="B233" s="1237">
        <f ca="1"/>
        <v>0</v>
      </c>
      <c r="C233" s="1238">
        <f ca="1"/>
        <v>0</v>
      </c>
      <c r="D233" s="1236" t="str">
        <f ca="1"/>
        <v/>
      </c>
      <c r="E233" s="1239" t="str">
        <f ca="1"/>
        <v>NA</v>
      </c>
      <c r="F233" s="1240" t="str">
        <f ca="1"/>
        <v>NA</v>
      </c>
      <c r="G233" s="1236" t="str">
        <f t="shared" ca="1" si="38"/>
        <v/>
      </c>
      <c r="H233" s="1239">
        <f t="shared" ca="1" si="39"/>
        <v>0</v>
      </c>
      <c r="I233" s="1240">
        <f t="shared" ca="1" si="40"/>
        <v>0</v>
      </c>
      <c r="K233" s="808" t="b">
        <f t="shared" si="37"/>
        <v>0</v>
      </c>
    </row>
    <row r="234" spans="1:11" hidden="1" x14ac:dyDescent="0.25">
      <c r="A234" s="1202" t="str">
        <f ca="1"/>
        <v/>
      </c>
      <c r="B234" s="1232">
        <f ca="1"/>
        <v>0</v>
      </c>
      <c r="C234" s="1233">
        <f ca="1"/>
        <v>0</v>
      </c>
      <c r="D234" s="1202" t="str">
        <f ca="1"/>
        <v/>
      </c>
      <c r="E234" s="1234" t="str">
        <f ca="1"/>
        <v>NA</v>
      </c>
      <c r="F234" s="1235" t="str">
        <f ca="1"/>
        <v>NA</v>
      </c>
      <c r="G234" s="1202" t="str">
        <f t="shared" ca="1" si="38"/>
        <v/>
      </c>
      <c r="H234" s="1234">
        <f t="shared" ca="1" si="39"/>
        <v>0</v>
      </c>
      <c r="I234" s="1235">
        <f t="shared" ca="1" si="40"/>
        <v>0</v>
      </c>
      <c r="K234" s="808" t="b">
        <f t="shared" si="37"/>
        <v>0</v>
      </c>
    </row>
    <row r="235" spans="1:11" hidden="1" x14ac:dyDescent="0.25">
      <c r="A235" s="1236" t="str">
        <f ca="1"/>
        <v/>
      </c>
      <c r="B235" s="1237">
        <f ca="1"/>
        <v>0</v>
      </c>
      <c r="C235" s="1238">
        <f ca="1"/>
        <v>0</v>
      </c>
      <c r="D235" s="1236" t="str">
        <f ca="1"/>
        <v/>
      </c>
      <c r="E235" s="1239" t="str">
        <f ca="1"/>
        <v>NA</v>
      </c>
      <c r="F235" s="1240" t="str">
        <f ca="1"/>
        <v>NA</v>
      </c>
      <c r="G235" s="1236" t="str">
        <f t="shared" ca="1" si="38"/>
        <v/>
      </c>
      <c r="H235" s="1239">
        <f t="shared" ca="1" si="39"/>
        <v>0</v>
      </c>
      <c r="I235" s="1240">
        <f t="shared" ca="1" si="40"/>
        <v>0</v>
      </c>
      <c r="K235" s="1241" t="b">
        <f t="shared" ref="K235:K241" si="41">IF(Region_E="Abu Dhabi",FALSE,$K$21)</f>
        <v>0</v>
      </c>
    </row>
    <row r="236" spans="1:11" hidden="1" x14ac:dyDescent="0.25">
      <c r="A236" s="1202" t="str">
        <f ca="1"/>
        <v/>
      </c>
      <c r="B236" s="1232">
        <f ca="1"/>
        <v>0</v>
      </c>
      <c r="C236" s="1233">
        <f ca="1"/>
        <v>0</v>
      </c>
      <c r="D236" s="1202" t="str">
        <f ca="1"/>
        <v/>
      </c>
      <c r="E236" s="1234" t="str">
        <f ca="1"/>
        <v>NA</v>
      </c>
      <c r="F236" s="1235" t="str">
        <f ca="1"/>
        <v>NA</v>
      </c>
      <c r="G236" s="1202" t="str">
        <f t="shared" ca="1" si="38"/>
        <v/>
      </c>
      <c r="H236" s="1234">
        <f t="shared" ca="1" si="39"/>
        <v>0</v>
      </c>
      <c r="I236" s="1235">
        <f t="shared" ca="1" si="40"/>
        <v>0</v>
      </c>
      <c r="K236" s="1241" t="b">
        <f t="shared" si="41"/>
        <v>0</v>
      </c>
    </row>
    <row r="237" spans="1:11" hidden="1" x14ac:dyDescent="0.25">
      <c r="A237" s="1236" t="str">
        <f ca="1"/>
        <v/>
      </c>
      <c r="B237" s="1237">
        <f ca="1"/>
        <v>0</v>
      </c>
      <c r="C237" s="1238">
        <f ca="1"/>
        <v>0</v>
      </c>
      <c r="D237" s="1236" t="str">
        <f ca="1"/>
        <v/>
      </c>
      <c r="E237" s="1239" t="str">
        <f ca="1"/>
        <v>NA</v>
      </c>
      <c r="F237" s="1240" t="str">
        <f ca="1"/>
        <v>NA</v>
      </c>
      <c r="G237" s="1236" t="str">
        <f t="shared" ca="1" si="38"/>
        <v/>
      </c>
      <c r="H237" s="1239">
        <f t="shared" ca="1" si="39"/>
        <v>0</v>
      </c>
      <c r="I237" s="1240">
        <f t="shared" ca="1" si="40"/>
        <v>0</v>
      </c>
      <c r="K237" s="1241" t="b">
        <f t="shared" si="41"/>
        <v>0</v>
      </c>
    </row>
    <row r="238" spans="1:11" hidden="1" x14ac:dyDescent="0.25">
      <c r="A238" s="1202" t="str">
        <f ca="1"/>
        <v/>
      </c>
      <c r="B238" s="1232">
        <f ca="1"/>
        <v>0</v>
      </c>
      <c r="C238" s="1233">
        <f ca="1"/>
        <v>0</v>
      </c>
      <c r="D238" s="1202" t="str">
        <f ca="1"/>
        <v/>
      </c>
      <c r="E238" s="1234" t="str">
        <f ca="1"/>
        <v>NA</v>
      </c>
      <c r="F238" s="1235" t="str">
        <f ca="1"/>
        <v>NA</v>
      </c>
      <c r="G238" s="1202" t="str">
        <f t="shared" ca="1" si="38"/>
        <v/>
      </c>
      <c r="H238" s="1234">
        <f t="shared" ca="1" si="39"/>
        <v>0</v>
      </c>
      <c r="I238" s="1235">
        <f t="shared" ca="1" si="40"/>
        <v>0</v>
      </c>
      <c r="K238" s="1241" t="b">
        <f t="shared" si="41"/>
        <v>0</v>
      </c>
    </row>
    <row r="239" spans="1:11" hidden="1" x14ac:dyDescent="0.25">
      <c r="A239" s="1236" t="str">
        <f ca="1"/>
        <v/>
      </c>
      <c r="B239" s="1237">
        <f ca="1"/>
        <v>0</v>
      </c>
      <c r="C239" s="1238">
        <f ca="1"/>
        <v>0</v>
      </c>
      <c r="D239" s="1236" t="str">
        <f ca="1"/>
        <v/>
      </c>
      <c r="E239" s="1239" t="str">
        <f ca="1"/>
        <v>NA</v>
      </c>
      <c r="F239" s="1240" t="str">
        <f ca="1"/>
        <v>NA</v>
      </c>
      <c r="G239" s="1236" t="str">
        <f t="shared" ca="1" si="38"/>
        <v/>
      </c>
      <c r="H239" s="1239">
        <f t="shared" ca="1" si="39"/>
        <v>0</v>
      </c>
      <c r="I239" s="1240">
        <f t="shared" ca="1" si="40"/>
        <v>0</v>
      </c>
      <c r="K239" s="1241" t="b">
        <f t="shared" si="41"/>
        <v>0</v>
      </c>
    </row>
    <row r="240" spans="1:11" hidden="1" x14ac:dyDescent="0.25">
      <c r="A240" s="1202" t="str">
        <f ca="1"/>
        <v/>
      </c>
      <c r="B240" s="1232">
        <f ca="1"/>
        <v>0</v>
      </c>
      <c r="C240" s="1233">
        <f ca="1"/>
        <v>0</v>
      </c>
      <c r="D240" s="1202" t="str">
        <f ca="1"/>
        <v/>
      </c>
      <c r="E240" s="1234" t="str">
        <f ca="1"/>
        <v>NA</v>
      </c>
      <c r="F240" s="1235" t="str">
        <f ca="1"/>
        <v>NA</v>
      </c>
      <c r="G240" s="1202" t="str">
        <f t="shared" ca="1" si="38"/>
        <v/>
      </c>
      <c r="H240" s="1234">
        <f t="shared" ca="1" si="39"/>
        <v>0</v>
      </c>
      <c r="I240" s="1235">
        <f t="shared" ca="1" si="40"/>
        <v>0</v>
      </c>
      <c r="K240" s="1241" t="b">
        <f t="shared" si="41"/>
        <v>0</v>
      </c>
    </row>
    <row r="241" spans="1:11" ht="15.75" hidden="1" thickBot="1" x14ac:dyDescent="0.3">
      <c r="A241" s="1242" t="str">
        <f ca="1"/>
        <v/>
      </c>
      <c r="B241" s="1243">
        <f ca="1"/>
        <v>0</v>
      </c>
      <c r="C241" s="1244">
        <f ca="1"/>
        <v>0</v>
      </c>
      <c r="D241" s="1242" t="str">
        <f ca="1"/>
        <v/>
      </c>
      <c r="E241" s="1245" t="str">
        <f ca="1"/>
        <v>NA</v>
      </c>
      <c r="F241" s="1246" t="str">
        <f ca="1"/>
        <v>NA</v>
      </c>
      <c r="G241" s="1242" t="str">
        <f t="shared" ca="1" si="38"/>
        <v/>
      </c>
      <c r="H241" s="1245">
        <f t="shared" ca="1" si="39"/>
        <v>0</v>
      </c>
      <c r="I241" s="1246">
        <f t="shared" ca="1" si="40"/>
        <v>0</v>
      </c>
      <c r="K241" s="1241" t="b">
        <f t="shared" si="41"/>
        <v>0</v>
      </c>
    </row>
    <row r="242" spans="1:11" ht="15.75" hidden="1" thickBot="1" x14ac:dyDescent="0.3">
      <c r="K242" s="808" t="b">
        <f t="shared" si="37"/>
        <v>0</v>
      </c>
    </row>
    <row r="243" spans="1:11" ht="21" hidden="1" thickTop="1" thickBot="1" x14ac:dyDescent="0.3">
      <c r="A243" s="1225" t="s">
        <v>1356</v>
      </c>
      <c r="B243" s="1226" t="s">
        <v>1296</v>
      </c>
      <c r="C243" s="1227">
        <f>C226</f>
        <v>250000</v>
      </c>
      <c r="D243" s="1226" t="s">
        <v>33</v>
      </c>
      <c r="E243" s="1227" t="str">
        <f>E226</f>
        <v>NAS - Workers Network</v>
      </c>
      <c r="F243" s="1226" t="s">
        <v>940</v>
      </c>
      <c r="G243" s="1227" t="str">
        <f>G226</f>
        <v>Dubai</v>
      </c>
      <c r="H243" s="1226" t="s">
        <v>1357</v>
      </c>
      <c r="I243" s="1227" t="str">
        <f>I226</f>
        <v>Worldwide at R&amp;C of UAE</v>
      </c>
      <c r="K243" s="808" t="b">
        <f t="shared" si="37"/>
        <v>0</v>
      </c>
    </row>
    <row r="244" spans="1:11" ht="15.75" hidden="1" thickBot="1" x14ac:dyDescent="0.3">
      <c r="K244" s="808" t="b">
        <f t="shared" si="37"/>
        <v>0</v>
      </c>
    </row>
    <row r="245" spans="1:11" hidden="1" x14ac:dyDescent="0.25">
      <c r="A245" s="1462" t="s">
        <v>1355</v>
      </c>
      <c r="B245" s="1463"/>
      <c r="C245" s="1464"/>
      <c r="D245" s="1465" t="s">
        <v>1363</v>
      </c>
      <c r="E245" s="1466"/>
      <c r="F245" s="1464"/>
      <c r="G245" s="1465" t="s">
        <v>133</v>
      </c>
      <c r="H245" s="1466"/>
      <c r="I245" s="1464"/>
      <c r="K245" s="808" t="b">
        <f t="shared" si="37"/>
        <v>0</v>
      </c>
    </row>
    <row r="246" spans="1:11" hidden="1" x14ac:dyDescent="0.25">
      <c r="A246" s="1229" t="str" cm="1">
        <f t="array" aca="1" ref="A246:C258" ca="1">Age_Band_Count_Dep_CatE</f>
        <v>Age Bracket</v>
      </c>
      <c r="B246" s="1230" t="str">
        <f ca="1"/>
        <v>Male</v>
      </c>
      <c r="C246" s="1231" t="str">
        <f ca="1"/>
        <v>Female</v>
      </c>
      <c r="D246" s="1229" t="str" cm="1">
        <f t="array" aca="1" ref="D246:F258" ca="1">Age_Band_GRP_Dep_CatE</f>
        <v>Age Bracket</v>
      </c>
      <c r="E246" s="1230" t="str">
        <f ca="1"/>
        <v>Male</v>
      </c>
      <c r="F246" s="1231" t="str">
        <f ca="1"/>
        <v>Female</v>
      </c>
      <c r="G246" s="1229" t="s">
        <v>286</v>
      </c>
      <c r="H246" s="1230" t="s">
        <v>65</v>
      </c>
      <c r="I246" s="1231" t="s">
        <v>66</v>
      </c>
      <c r="K246" s="808" t="b">
        <f t="shared" si="37"/>
        <v>0</v>
      </c>
    </row>
    <row r="247" spans="1:11" hidden="1" x14ac:dyDescent="0.25">
      <c r="A247" s="1202" t="str">
        <f ca="1"/>
        <v/>
      </c>
      <c r="B247" s="1232">
        <f ca="1"/>
        <v>0</v>
      </c>
      <c r="C247" s="1233">
        <f ca="1"/>
        <v>0</v>
      </c>
      <c r="D247" s="1202" t="str">
        <f ca="1"/>
        <v/>
      </c>
      <c r="E247" s="1234" t="str">
        <f ca="1"/>
        <v>NA</v>
      </c>
      <c r="F247" s="1235" t="str">
        <f ca="1"/>
        <v>NA</v>
      </c>
      <c r="G247" s="1202" t="str">
        <f t="shared" ref="G247:G258" ca="1" si="42">A247</f>
        <v/>
      </c>
      <c r="H247" s="1234">
        <f t="shared" ref="H247:H258" ca="1" si="43">IFERROR(B247*E247,0)</f>
        <v>0</v>
      </c>
      <c r="I247" s="1235">
        <f t="shared" ref="I247:I258" ca="1" si="44">IFERROR(C247*F247,0)</f>
        <v>0</v>
      </c>
      <c r="K247" s="808" t="b">
        <f t="shared" si="37"/>
        <v>0</v>
      </c>
    </row>
    <row r="248" spans="1:11" hidden="1" x14ac:dyDescent="0.25">
      <c r="A248" s="1236" t="str">
        <f ca="1"/>
        <v/>
      </c>
      <c r="B248" s="1237">
        <f ca="1"/>
        <v>0</v>
      </c>
      <c r="C248" s="1238">
        <f ca="1"/>
        <v>0</v>
      </c>
      <c r="D248" s="1236" t="str">
        <f ca="1"/>
        <v/>
      </c>
      <c r="E248" s="1239" t="str">
        <f ca="1"/>
        <v>NA</v>
      </c>
      <c r="F248" s="1240" t="str">
        <f ca="1"/>
        <v>NA</v>
      </c>
      <c r="G248" s="1236" t="str">
        <f t="shared" ca="1" si="42"/>
        <v/>
      </c>
      <c r="H248" s="1239">
        <f t="shared" ca="1" si="43"/>
        <v>0</v>
      </c>
      <c r="I248" s="1240">
        <f t="shared" ca="1" si="44"/>
        <v>0</v>
      </c>
      <c r="K248" s="808" t="b">
        <f t="shared" si="37"/>
        <v>0</v>
      </c>
    </row>
    <row r="249" spans="1:11" hidden="1" x14ac:dyDescent="0.25">
      <c r="A249" s="1202" t="str">
        <f ca="1"/>
        <v/>
      </c>
      <c r="B249" s="1232">
        <f ca="1"/>
        <v>0</v>
      </c>
      <c r="C249" s="1233">
        <f ca="1"/>
        <v>0</v>
      </c>
      <c r="D249" s="1202" t="str">
        <f ca="1"/>
        <v/>
      </c>
      <c r="E249" s="1234" t="str">
        <f ca="1"/>
        <v>NA</v>
      </c>
      <c r="F249" s="1235" t="str">
        <f ca="1"/>
        <v>NA</v>
      </c>
      <c r="G249" s="1202" t="str">
        <f t="shared" ca="1" si="42"/>
        <v/>
      </c>
      <c r="H249" s="1234">
        <f t="shared" ca="1" si="43"/>
        <v>0</v>
      </c>
      <c r="I249" s="1235">
        <f t="shared" ca="1" si="44"/>
        <v>0</v>
      </c>
      <c r="K249" s="808" t="b">
        <f t="shared" si="37"/>
        <v>0</v>
      </c>
    </row>
    <row r="250" spans="1:11" hidden="1" x14ac:dyDescent="0.25">
      <c r="A250" s="1236" t="str">
        <f ca="1"/>
        <v/>
      </c>
      <c r="B250" s="1237">
        <f ca="1"/>
        <v>0</v>
      </c>
      <c r="C250" s="1238">
        <f ca="1"/>
        <v>0</v>
      </c>
      <c r="D250" s="1236" t="str">
        <f ca="1"/>
        <v/>
      </c>
      <c r="E250" s="1239" t="str">
        <f ca="1"/>
        <v>NA</v>
      </c>
      <c r="F250" s="1240" t="str">
        <f ca="1"/>
        <v>NA</v>
      </c>
      <c r="G250" s="1236" t="str">
        <f t="shared" ca="1" si="42"/>
        <v/>
      </c>
      <c r="H250" s="1239">
        <f t="shared" ca="1" si="43"/>
        <v>0</v>
      </c>
      <c r="I250" s="1240">
        <f t="shared" ca="1" si="44"/>
        <v>0</v>
      </c>
      <c r="K250" s="808" t="b">
        <f t="shared" si="37"/>
        <v>0</v>
      </c>
    </row>
    <row r="251" spans="1:11" hidden="1" x14ac:dyDescent="0.25">
      <c r="A251" s="1202" t="str">
        <f ca="1"/>
        <v/>
      </c>
      <c r="B251" s="1232">
        <f ca="1"/>
        <v>0</v>
      </c>
      <c r="C251" s="1233">
        <f ca="1"/>
        <v>0</v>
      </c>
      <c r="D251" s="1202" t="str">
        <f ca="1"/>
        <v/>
      </c>
      <c r="E251" s="1234" t="str">
        <f ca="1"/>
        <v>NA</v>
      </c>
      <c r="F251" s="1235" t="str">
        <f ca="1"/>
        <v>NA</v>
      </c>
      <c r="G251" s="1202" t="str">
        <f t="shared" ca="1" si="42"/>
        <v/>
      </c>
      <c r="H251" s="1234">
        <f t="shared" ca="1" si="43"/>
        <v>0</v>
      </c>
      <c r="I251" s="1235">
        <f t="shared" ca="1" si="44"/>
        <v>0</v>
      </c>
      <c r="K251" s="808" t="b">
        <f t="shared" si="37"/>
        <v>0</v>
      </c>
    </row>
    <row r="252" spans="1:11" hidden="1" x14ac:dyDescent="0.25">
      <c r="A252" s="1236" t="str">
        <f ca="1"/>
        <v/>
      </c>
      <c r="B252" s="1237">
        <f ca="1"/>
        <v>0</v>
      </c>
      <c r="C252" s="1238">
        <f ca="1"/>
        <v>0</v>
      </c>
      <c r="D252" s="1236" t="str">
        <f ca="1"/>
        <v/>
      </c>
      <c r="E252" s="1239" t="str">
        <f ca="1"/>
        <v>NA</v>
      </c>
      <c r="F252" s="1240" t="str">
        <f ca="1"/>
        <v>NA</v>
      </c>
      <c r="G252" s="1236" t="str">
        <f t="shared" ca="1" si="42"/>
        <v/>
      </c>
      <c r="H252" s="1239">
        <f t="shared" ca="1" si="43"/>
        <v>0</v>
      </c>
      <c r="I252" s="1240">
        <f t="shared" ca="1" si="44"/>
        <v>0</v>
      </c>
      <c r="K252" s="1241" t="b">
        <f t="shared" ref="K252:K258" si="45">IF(Region_E="Abu Dhabi",FALSE,$K$21)</f>
        <v>0</v>
      </c>
    </row>
    <row r="253" spans="1:11" hidden="1" x14ac:dyDescent="0.25">
      <c r="A253" s="1202" t="str">
        <f ca="1"/>
        <v/>
      </c>
      <c r="B253" s="1232">
        <f ca="1"/>
        <v>0</v>
      </c>
      <c r="C253" s="1233">
        <f ca="1"/>
        <v>0</v>
      </c>
      <c r="D253" s="1202" t="str">
        <f ca="1"/>
        <v/>
      </c>
      <c r="E253" s="1234" t="str">
        <f ca="1"/>
        <v>NA</v>
      </c>
      <c r="F253" s="1235" t="str">
        <f ca="1"/>
        <v>NA</v>
      </c>
      <c r="G253" s="1202" t="str">
        <f t="shared" ca="1" si="42"/>
        <v/>
      </c>
      <c r="H253" s="1234">
        <f t="shared" ca="1" si="43"/>
        <v>0</v>
      </c>
      <c r="I253" s="1235">
        <f t="shared" ca="1" si="44"/>
        <v>0</v>
      </c>
      <c r="K253" s="1241" t="b">
        <f t="shared" si="45"/>
        <v>0</v>
      </c>
    </row>
    <row r="254" spans="1:11" hidden="1" x14ac:dyDescent="0.25">
      <c r="A254" s="1236" t="str">
        <f ca="1"/>
        <v/>
      </c>
      <c r="B254" s="1237">
        <f ca="1"/>
        <v>0</v>
      </c>
      <c r="C254" s="1238">
        <f ca="1"/>
        <v>0</v>
      </c>
      <c r="D254" s="1236" t="str">
        <f ca="1"/>
        <v/>
      </c>
      <c r="E254" s="1239" t="str">
        <f ca="1"/>
        <v>NA</v>
      </c>
      <c r="F254" s="1240" t="str">
        <f ca="1"/>
        <v>NA</v>
      </c>
      <c r="G254" s="1236" t="str">
        <f t="shared" ca="1" si="42"/>
        <v/>
      </c>
      <c r="H254" s="1239">
        <f t="shared" ca="1" si="43"/>
        <v>0</v>
      </c>
      <c r="I254" s="1240">
        <f t="shared" ca="1" si="44"/>
        <v>0</v>
      </c>
      <c r="K254" s="1241" t="b">
        <f t="shared" si="45"/>
        <v>0</v>
      </c>
    </row>
    <row r="255" spans="1:11" hidden="1" x14ac:dyDescent="0.25">
      <c r="A255" s="1202" t="str">
        <f ca="1"/>
        <v/>
      </c>
      <c r="B255" s="1232">
        <f ca="1"/>
        <v>0</v>
      </c>
      <c r="C255" s="1233">
        <f ca="1"/>
        <v>0</v>
      </c>
      <c r="D255" s="1202" t="str">
        <f ca="1"/>
        <v/>
      </c>
      <c r="E255" s="1234" t="str">
        <f ca="1"/>
        <v>NA</v>
      </c>
      <c r="F255" s="1235" t="str">
        <f ca="1"/>
        <v>NA</v>
      </c>
      <c r="G255" s="1202" t="str">
        <f t="shared" ca="1" si="42"/>
        <v/>
      </c>
      <c r="H255" s="1234">
        <f t="shared" ca="1" si="43"/>
        <v>0</v>
      </c>
      <c r="I255" s="1235">
        <f t="shared" ca="1" si="44"/>
        <v>0</v>
      </c>
      <c r="K255" s="1241" t="b">
        <f t="shared" si="45"/>
        <v>0</v>
      </c>
    </row>
    <row r="256" spans="1:11" hidden="1" x14ac:dyDescent="0.25">
      <c r="A256" s="1236" t="str">
        <f ca="1"/>
        <v/>
      </c>
      <c r="B256" s="1237">
        <f ca="1"/>
        <v>0</v>
      </c>
      <c r="C256" s="1238">
        <f ca="1"/>
        <v>0</v>
      </c>
      <c r="D256" s="1236" t="str">
        <f ca="1"/>
        <v/>
      </c>
      <c r="E256" s="1239" t="str">
        <f ca="1"/>
        <v>NA</v>
      </c>
      <c r="F256" s="1240" t="str">
        <f ca="1"/>
        <v>NA</v>
      </c>
      <c r="G256" s="1236" t="str">
        <f t="shared" ca="1" si="42"/>
        <v/>
      </c>
      <c r="H256" s="1239">
        <f t="shared" ca="1" si="43"/>
        <v>0</v>
      </c>
      <c r="I256" s="1240">
        <f t="shared" ca="1" si="44"/>
        <v>0</v>
      </c>
      <c r="K256" s="1241" t="b">
        <f t="shared" si="45"/>
        <v>0</v>
      </c>
    </row>
    <row r="257" spans="1:11" hidden="1" x14ac:dyDescent="0.25">
      <c r="A257" s="1202" t="str">
        <f ca="1"/>
        <v/>
      </c>
      <c r="B257" s="1232">
        <f ca="1"/>
        <v>0</v>
      </c>
      <c r="C257" s="1233">
        <f ca="1"/>
        <v>0</v>
      </c>
      <c r="D257" s="1202" t="str">
        <f ca="1"/>
        <v/>
      </c>
      <c r="E257" s="1234" t="str">
        <f ca="1"/>
        <v>NA</v>
      </c>
      <c r="F257" s="1235" t="str">
        <f ca="1"/>
        <v>NA</v>
      </c>
      <c r="G257" s="1202" t="str">
        <f t="shared" ca="1" si="42"/>
        <v/>
      </c>
      <c r="H257" s="1234">
        <f t="shared" ca="1" si="43"/>
        <v>0</v>
      </c>
      <c r="I257" s="1235">
        <f t="shared" ca="1" si="44"/>
        <v>0</v>
      </c>
      <c r="K257" s="1241" t="b">
        <f t="shared" si="45"/>
        <v>0</v>
      </c>
    </row>
    <row r="258" spans="1:11" ht="15.75" hidden="1" thickBot="1" x14ac:dyDescent="0.3">
      <c r="A258" s="1242" t="str">
        <f ca="1"/>
        <v/>
      </c>
      <c r="B258" s="1243">
        <f ca="1"/>
        <v>0</v>
      </c>
      <c r="C258" s="1244">
        <f ca="1"/>
        <v>0</v>
      </c>
      <c r="D258" s="1242" t="str">
        <f ca="1"/>
        <v/>
      </c>
      <c r="E258" s="1245" t="str">
        <f ca="1"/>
        <v>NA</v>
      </c>
      <c r="F258" s="1246" t="str">
        <f ca="1"/>
        <v>NA</v>
      </c>
      <c r="G258" s="1242" t="str">
        <f t="shared" ca="1" si="42"/>
        <v/>
      </c>
      <c r="H258" s="1245">
        <f t="shared" ca="1" si="43"/>
        <v>0</v>
      </c>
      <c r="I258" s="1246">
        <f t="shared" ca="1" si="44"/>
        <v>0</v>
      </c>
      <c r="K258" s="1241" t="b">
        <f t="shared" si="45"/>
        <v>0</v>
      </c>
    </row>
    <row r="259" spans="1:11" ht="15.75" hidden="1" thickBot="1" x14ac:dyDescent="0.3">
      <c r="K259" s="808" t="b">
        <f t="shared" si="37"/>
        <v>0</v>
      </c>
    </row>
    <row r="260" spans="1:11" ht="21" hidden="1" thickTop="1" thickBot="1" x14ac:dyDescent="0.3">
      <c r="A260" s="1225" t="s">
        <v>1360</v>
      </c>
      <c r="B260" s="1226" t="s">
        <v>678</v>
      </c>
      <c r="C260" s="1227" t="str">
        <f>Maternity_Limit_E</f>
        <v>Up to AML</v>
      </c>
      <c r="D260" s="1226" t="s">
        <v>1018</v>
      </c>
      <c r="E260" s="1247">
        <f>Maternity_CoPay_E</f>
        <v>0</v>
      </c>
      <c r="F260" s="1226" t="s">
        <v>940</v>
      </c>
      <c r="G260" s="1227" t="str">
        <f>G243</f>
        <v>Dubai</v>
      </c>
      <c r="K260" s="808" t="b">
        <f t="shared" si="37"/>
        <v>0</v>
      </c>
    </row>
    <row r="261" spans="1:11" ht="15.75" hidden="1" thickBot="1" x14ac:dyDescent="0.3">
      <c r="K261" s="808" t="b">
        <f t="shared" si="37"/>
        <v>0</v>
      </c>
    </row>
    <row r="262" spans="1:11" ht="15.75" hidden="1" thickTop="1" x14ac:dyDescent="0.25">
      <c r="A262" s="1248"/>
      <c r="B262" s="1467" t="s">
        <v>1358</v>
      </c>
      <c r="C262" s="1468"/>
      <c r="D262" s="1467" t="s">
        <v>1358</v>
      </c>
      <c r="E262" s="1468"/>
      <c r="F262" s="1467" t="s">
        <v>1089</v>
      </c>
      <c r="G262" s="1469"/>
      <c r="K262" s="808" t="b">
        <f t="shared" si="37"/>
        <v>0</v>
      </c>
    </row>
    <row r="263" spans="1:11" hidden="1" x14ac:dyDescent="0.25">
      <c r="A263" s="1249" t="s">
        <v>286</v>
      </c>
      <c r="B263" s="1230" t="s">
        <v>1361</v>
      </c>
      <c r="C263" s="1231" t="s">
        <v>1105</v>
      </c>
      <c r="D263" s="1230" t="s">
        <v>1361</v>
      </c>
      <c r="E263" s="1231" t="s">
        <v>1105</v>
      </c>
      <c r="F263" s="1230" t="s">
        <v>1361</v>
      </c>
      <c r="G263" s="1250" t="s">
        <v>1105</v>
      </c>
      <c r="K263" s="808" t="b">
        <f t="shared" si="37"/>
        <v>0</v>
      </c>
    </row>
    <row r="264" spans="1:11" ht="15.75" hidden="1" thickBot="1" x14ac:dyDescent="0.3">
      <c r="A264" s="1204" t="str">
        <f>IF(Region_A="Abu Dhabi","18-50","18-45")</f>
        <v>18-45</v>
      </c>
      <c r="B264" s="1251" cm="1">
        <f t="array" ref="B264:C264">TRANSPOSE('Member Data'!$S$43:$S$44)</f>
        <v>0</v>
      </c>
      <c r="C264" s="1252">
        <v>0</v>
      </c>
      <c r="D264" s="1253" t="str">
        <f ca="1">Maternity_GRP_E</f>
        <v>NA</v>
      </c>
      <c r="E264" s="1253" t="str">
        <f ca="1">Maternity_GRP_E</f>
        <v>NA</v>
      </c>
      <c r="F264" s="1253">
        <f ca="1">IFERROR(B264*D264,0)</f>
        <v>0</v>
      </c>
      <c r="G264" s="1254">
        <f ca="1">IFERROR(C264*E264,0)</f>
        <v>0</v>
      </c>
      <c r="K264" s="808" t="b">
        <f t="shared" si="37"/>
        <v>0</v>
      </c>
    </row>
    <row r="265" spans="1:11" hidden="1" x14ac:dyDescent="0.25">
      <c r="A265" s="1255"/>
      <c r="B265" s="1255"/>
      <c r="C265" s="1255"/>
      <c r="D265" s="1256"/>
      <c r="E265" s="1256"/>
      <c r="F265" s="1256"/>
      <c r="G265" s="1256"/>
      <c r="K265" s="808" t="b">
        <f t="shared" si="37"/>
        <v>0</v>
      </c>
    </row>
    <row r="266" spans="1:11" ht="15.75" hidden="1" thickBot="1" x14ac:dyDescent="0.3">
      <c r="K266" s="808" t="b">
        <f t="shared" si="37"/>
        <v>0</v>
      </c>
    </row>
    <row r="267" spans="1:11" ht="21" hidden="1" thickTop="1" thickBot="1" x14ac:dyDescent="0.3">
      <c r="A267" s="1459" t="s">
        <v>1375</v>
      </c>
      <c r="B267" s="1460"/>
      <c r="C267" s="1460"/>
      <c r="D267" s="1460"/>
      <c r="E267" s="1460"/>
      <c r="F267" s="1460"/>
      <c r="G267" s="1460"/>
      <c r="H267" s="1460"/>
      <c r="I267" s="1461"/>
      <c r="K267" s="808" t="b">
        <f>$K$22</f>
        <v>0</v>
      </c>
    </row>
    <row r="268" spans="1:11" ht="15.75" hidden="1" thickBot="1" x14ac:dyDescent="0.3">
      <c r="K268" s="808" t="b">
        <f t="shared" ref="K268:K314" si="46">$K$22</f>
        <v>0</v>
      </c>
    </row>
    <row r="269" spans="1:11" ht="25.5" hidden="1" x14ac:dyDescent="0.25">
      <c r="A269" s="1214" t="s">
        <v>1364</v>
      </c>
      <c r="B269" s="1215">
        <f ca="1">SUM(H278:I289,H295:I306)</f>
        <v>0</v>
      </c>
      <c r="D269" s="1216" t="s">
        <v>1367</v>
      </c>
      <c r="E269" s="1215">
        <f ca="1">F312+G312</f>
        <v>0</v>
      </c>
      <c r="G269" s="1216" t="s">
        <v>1369</v>
      </c>
      <c r="H269" s="1215">
        <f ca="1">B269+E269</f>
        <v>0</v>
      </c>
      <c r="K269" s="808" t="b">
        <f t="shared" si="46"/>
        <v>0</v>
      </c>
    </row>
    <row r="270" spans="1:11" ht="26.25" hidden="1" thickBot="1" x14ac:dyDescent="0.3">
      <c r="A270" s="1217" t="s">
        <v>1365</v>
      </c>
      <c r="B270" s="1218">
        <f ca="1">SUM(B278:C289,B295:C306)</f>
        <v>0</v>
      </c>
      <c r="D270" s="1219" t="str">
        <f>"Married Female - "&amp;IF(Region_F="Abu Dhabi","18-50","18-45")</f>
        <v>Married Female - 18-45</v>
      </c>
      <c r="E270" s="1218">
        <f>B312+C312</f>
        <v>0</v>
      </c>
      <c r="G270" s="1219" t="str">
        <f>IF(Region_F="Dubai","Bashmah Fee (AED 37/per Member)","ICP Fee (AED 28 / per Member)")</f>
        <v>Bashmah Fee (AED 37/per Member)</v>
      </c>
      <c r="H270" s="1220">
        <f ca="1">IF(Region_F="Dubai",37*B270,28*B270)</f>
        <v>0</v>
      </c>
      <c r="K270" s="808" t="b">
        <f t="shared" si="46"/>
        <v>0</v>
      </c>
    </row>
    <row r="271" spans="1:11" ht="27" hidden="1" thickTop="1" thickBot="1" x14ac:dyDescent="0.3">
      <c r="A271" s="1221" t="s">
        <v>1366</v>
      </c>
      <c r="B271" s="1222">
        <f ca="1">IFERROR(B269/B270,0)</f>
        <v>0</v>
      </c>
      <c r="D271" s="1223" t="s">
        <v>1368</v>
      </c>
      <c r="E271" s="1222" t="str">
        <f ca="1">Maternity_GRP_F</f>
        <v>NA</v>
      </c>
      <c r="G271" s="1223" t="s">
        <v>1370</v>
      </c>
      <c r="H271" s="1222">
        <f ca="1">(H269+H270)*5%</f>
        <v>0</v>
      </c>
      <c r="I271" s="1224">
        <f ca="1">SUM(H269:H271)</f>
        <v>0</v>
      </c>
      <c r="K271" s="808" t="b">
        <f t="shared" si="46"/>
        <v>0</v>
      </c>
    </row>
    <row r="272" spans="1:11" hidden="1" x14ac:dyDescent="0.25">
      <c r="K272" s="808" t="b">
        <f t="shared" si="46"/>
        <v>0</v>
      </c>
    </row>
    <row r="273" spans="1:11" ht="15.75" hidden="1" thickBot="1" x14ac:dyDescent="0.3">
      <c r="K273" s="808" t="b">
        <f t="shared" si="46"/>
        <v>0</v>
      </c>
    </row>
    <row r="274" spans="1:11" ht="21" hidden="1" thickTop="1" thickBot="1" x14ac:dyDescent="0.3">
      <c r="A274" s="1225" t="s">
        <v>1359</v>
      </c>
      <c r="B274" s="1226" t="s">
        <v>1296</v>
      </c>
      <c r="C274" s="1227">
        <f>AML_F</f>
        <v>250000</v>
      </c>
      <c r="D274" s="1226" t="s">
        <v>33</v>
      </c>
      <c r="E274" s="1227" t="str">
        <f>"NAS - "&amp;Network_F</f>
        <v>NAS - Workers Network</v>
      </c>
      <c r="F274" s="1226" t="s">
        <v>940</v>
      </c>
      <c r="G274" s="1227" t="str">
        <f>Region_F</f>
        <v>Dubai</v>
      </c>
      <c r="H274" s="1226" t="s">
        <v>1357</v>
      </c>
      <c r="I274" s="1227" t="str">
        <f>Area_F</f>
        <v>Worldwide at R&amp;C of UAE</v>
      </c>
      <c r="K274" s="808" t="b">
        <f t="shared" si="46"/>
        <v>0</v>
      </c>
    </row>
    <row r="275" spans="1:11" ht="15.75" hidden="1" thickBot="1" x14ac:dyDescent="0.3">
      <c r="A275" s="1228"/>
      <c r="B275" s="1228"/>
      <c r="K275" s="808" t="b">
        <f t="shared" si="46"/>
        <v>0</v>
      </c>
    </row>
    <row r="276" spans="1:11" hidden="1" x14ac:dyDescent="0.25">
      <c r="A276" s="1462" t="s">
        <v>1355</v>
      </c>
      <c r="B276" s="1463"/>
      <c r="C276" s="1464"/>
      <c r="D276" s="1465" t="s">
        <v>1363</v>
      </c>
      <c r="E276" s="1466"/>
      <c r="F276" s="1464"/>
      <c r="G276" s="1465" t="s">
        <v>133</v>
      </c>
      <c r="H276" s="1466"/>
      <c r="I276" s="1464"/>
      <c r="K276" s="808" t="b">
        <f t="shared" si="46"/>
        <v>0</v>
      </c>
    </row>
    <row r="277" spans="1:11" hidden="1" x14ac:dyDescent="0.25">
      <c r="A277" s="1229" t="str" cm="1">
        <f t="array" aca="1" ref="A277:C289" ca="1">Age_Band_Count_Emp_CatF</f>
        <v>Age Bracket</v>
      </c>
      <c r="B277" s="1230" t="str">
        <f ca="1"/>
        <v>Male</v>
      </c>
      <c r="C277" s="1231" t="str">
        <f ca="1"/>
        <v>Female</v>
      </c>
      <c r="D277" s="1229" t="str" cm="1">
        <f t="array" aca="1" ref="D277:F289" ca="1">Age_Band_GRP_Emp_CatF</f>
        <v>Age Bracket</v>
      </c>
      <c r="E277" s="1230" t="str">
        <f ca="1"/>
        <v>Male</v>
      </c>
      <c r="F277" s="1231" t="str">
        <f ca="1"/>
        <v>Female</v>
      </c>
      <c r="G277" s="1229" t="s">
        <v>286</v>
      </c>
      <c r="H277" s="1230" t="s">
        <v>65</v>
      </c>
      <c r="I277" s="1231" t="s">
        <v>66</v>
      </c>
      <c r="K277" s="808" t="b">
        <f t="shared" si="46"/>
        <v>0</v>
      </c>
    </row>
    <row r="278" spans="1:11" hidden="1" x14ac:dyDescent="0.25">
      <c r="A278" s="1202" t="str">
        <f ca="1"/>
        <v/>
      </c>
      <c r="B278" s="1232">
        <f ca="1"/>
        <v>0</v>
      </c>
      <c r="C278" s="1233">
        <f ca="1"/>
        <v>0</v>
      </c>
      <c r="D278" s="1202" t="str">
        <f ca="1"/>
        <v/>
      </c>
      <c r="E278" s="1234" t="str">
        <f ca="1"/>
        <v>NA</v>
      </c>
      <c r="F278" s="1235" t="str">
        <f ca="1"/>
        <v>NA</v>
      </c>
      <c r="G278" s="1202" t="str">
        <f t="shared" ref="G278:G289" ca="1" si="47">A278</f>
        <v/>
      </c>
      <c r="H278" s="1234">
        <f t="shared" ref="H278:H289" ca="1" si="48">IFERROR(B278*E278,0)</f>
        <v>0</v>
      </c>
      <c r="I278" s="1235">
        <f t="shared" ref="I278:I289" ca="1" si="49">IFERROR(C278*F278,0)</f>
        <v>0</v>
      </c>
      <c r="K278" s="808" t="b">
        <f t="shared" si="46"/>
        <v>0</v>
      </c>
    </row>
    <row r="279" spans="1:11" hidden="1" x14ac:dyDescent="0.25">
      <c r="A279" s="1236" t="str">
        <f ca="1"/>
        <v/>
      </c>
      <c r="B279" s="1237">
        <f ca="1"/>
        <v>0</v>
      </c>
      <c r="C279" s="1238">
        <f ca="1"/>
        <v>0</v>
      </c>
      <c r="D279" s="1236" t="str">
        <f ca="1"/>
        <v/>
      </c>
      <c r="E279" s="1239" t="str">
        <f ca="1"/>
        <v>NA</v>
      </c>
      <c r="F279" s="1240" t="str">
        <f ca="1"/>
        <v>NA</v>
      </c>
      <c r="G279" s="1236" t="str">
        <f t="shared" ca="1" si="47"/>
        <v/>
      </c>
      <c r="H279" s="1239">
        <f t="shared" ca="1" si="48"/>
        <v>0</v>
      </c>
      <c r="I279" s="1240">
        <f t="shared" ca="1" si="49"/>
        <v>0</v>
      </c>
      <c r="K279" s="808" t="b">
        <f t="shared" si="46"/>
        <v>0</v>
      </c>
    </row>
    <row r="280" spans="1:11" hidden="1" x14ac:dyDescent="0.25">
      <c r="A280" s="1202" t="str">
        <f ca="1"/>
        <v/>
      </c>
      <c r="B280" s="1232">
        <f ca="1"/>
        <v>0</v>
      </c>
      <c r="C280" s="1233">
        <f ca="1"/>
        <v>0</v>
      </c>
      <c r="D280" s="1202" t="str">
        <f ca="1"/>
        <v/>
      </c>
      <c r="E280" s="1234" t="str">
        <f ca="1"/>
        <v>NA</v>
      </c>
      <c r="F280" s="1235" t="str">
        <f ca="1"/>
        <v>NA</v>
      </c>
      <c r="G280" s="1202" t="str">
        <f t="shared" ca="1" si="47"/>
        <v/>
      </c>
      <c r="H280" s="1234">
        <f t="shared" ca="1" si="48"/>
        <v>0</v>
      </c>
      <c r="I280" s="1235">
        <f t="shared" ca="1" si="49"/>
        <v>0</v>
      </c>
      <c r="K280" s="808" t="b">
        <f t="shared" si="46"/>
        <v>0</v>
      </c>
    </row>
    <row r="281" spans="1:11" hidden="1" x14ac:dyDescent="0.25">
      <c r="A281" s="1236" t="str">
        <f ca="1"/>
        <v/>
      </c>
      <c r="B281" s="1237">
        <f ca="1"/>
        <v>0</v>
      </c>
      <c r="C281" s="1238">
        <f ca="1"/>
        <v>0</v>
      </c>
      <c r="D281" s="1236" t="str">
        <f ca="1"/>
        <v/>
      </c>
      <c r="E281" s="1239" t="str">
        <f ca="1"/>
        <v>NA</v>
      </c>
      <c r="F281" s="1240" t="str">
        <f ca="1"/>
        <v>NA</v>
      </c>
      <c r="G281" s="1236" t="str">
        <f t="shared" ca="1" si="47"/>
        <v/>
      </c>
      <c r="H281" s="1239">
        <f t="shared" ca="1" si="48"/>
        <v>0</v>
      </c>
      <c r="I281" s="1240">
        <f t="shared" ca="1" si="49"/>
        <v>0</v>
      </c>
      <c r="K281" s="808" t="b">
        <f t="shared" si="46"/>
        <v>0</v>
      </c>
    </row>
    <row r="282" spans="1:11" hidden="1" x14ac:dyDescent="0.25">
      <c r="A282" s="1202" t="str">
        <f ca="1"/>
        <v/>
      </c>
      <c r="B282" s="1232">
        <f ca="1"/>
        <v>0</v>
      </c>
      <c r="C282" s="1233">
        <f ca="1"/>
        <v>0</v>
      </c>
      <c r="D282" s="1202" t="str">
        <f ca="1"/>
        <v/>
      </c>
      <c r="E282" s="1234" t="str">
        <f ca="1"/>
        <v>NA</v>
      </c>
      <c r="F282" s="1235" t="str">
        <f ca="1"/>
        <v>NA</v>
      </c>
      <c r="G282" s="1202" t="str">
        <f t="shared" ca="1" si="47"/>
        <v/>
      </c>
      <c r="H282" s="1234">
        <f t="shared" ca="1" si="48"/>
        <v>0</v>
      </c>
      <c r="I282" s="1235">
        <f t="shared" ca="1" si="49"/>
        <v>0</v>
      </c>
      <c r="K282" s="808" t="b">
        <f t="shared" si="46"/>
        <v>0</v>
      </c>
    </row>
    <row r="283" spans="1:11" hidden="1" x14ac:dyDescent="0.25">
      <c r="A283" s="1236" t="str">
        <f ca="1"/>
        <v/>
      </c>
      <c r="B283" s="1237">
        <f ca="1"/>
        <v>0</v>
      </c>
      <c r="C283" s="1238">
        <f ca="1"/>
        <v>0</v>
      </c>
      <c r="D283" s="1236" t="str">
        <f ca="1"/>
        <v/>
      </c>
      <c r="E283" s="1239" t="str">
        <f ca="1"/>
        <v>NA</v>
      </c>
      <c r="F283" s="1240" t="str">
        <f ca="1"/>
        <v>NA</v>
      </c>
      <c r="G283" s="1236" t="str">
        <f t="shared" ca="1" si="47"/>
        <v/>
      </c>
      <c r="H283" s="1239">
        <f t="shared" ca="1" si="48"/>
        <v>0</v>
      </c>
      <c r="I283" s="1240">
        <f t="shared" ca="1" si="49"/>
        <v>0</v>
      </c>
      <c r="K283" s="1241" t="b">
        <f t="shared" ref="K283:K289" si="50">IF(Region_F="Abu Dhabi",FALSE,$K$22)</f>
        <v>0</v>
      </c>
    </row>
    <row r="284" spans="1:11" hidden="1" x14ac:dyDescent="0.25">
      <c r="A284" s="1202" t="str">
        <f ca="1"/>
        <v/>
      </c>
      <c r="B284" s="1232">
        <f ca="1"/>
        <v>0</v>
      </c>
      <c r="C284" s="1233">
        <f ca="1"/>
        <v>0</v>
      </c>
      <c r="D284" s="1202" t="str">
        <f ca="1"/>
        <v/>
      </c>
      <c r="E284" s="1234" t="str">
        <f ca="1"/>
        <v>NA</v>
      </c>
      <c r="F284" s="1235" t="str">
        <f ca="1"/>
        <v>NA</v>
      </c>
      <c r="G284" s="1202" t="str">
        <f t="shared" ca="1" si="47"/>
        <v/>
      </c>
      <c r="H284" s="1234">
        <f t="shared" ca="1" si="48"/>
        <v>0</v>
      </c>
      <c r="I284" s="1235">
        <f t="shared" ca="1" si="49"/>
        <v>0</v>
      </c>
      <c r="K284" s="1241" t="b">
        <f t="shared" si="50"/>
        <v>0</v>
      </c>
    </row>
    <row r="285" spans="1:11" hidden="1" x14ac:dyDescent="0.25">
      <c r="A285" s="1236" t="str">
        <f ca="1"/>
        <v/>
      </c>
      <c r="B285" s="1237">
        <f ca="1"/>
        <v>0</v>
      </c>
      <c r="C285" s="1238">
        <f ca="1"/>
        <v>0</v>
      </c>
      <c r="D285" s="1236" t="str">
        <f ca="1"/>
        <v/>
      </c>
      <c r="E285" s="1239" t="str">
        <f ca="1"/>
        <v>NA</v>
      </c>
      <c r="F285" s="1240" t="str">
        <f ca="1"/>
        <v>NA</v>
      </c>
      <c r="G285" s="1236" t="str">
        <f t="shared" ca="1" si="47"/>
        <v/>
      </c>
      <c r="H285" s="1239">
        <f t="shared" ca="1" si="48"/>
        <v>0</v>
      </c>
      <c r="I285" s="1240">
        <f t="shared" ca="1" si="49"/>
        <v>0</v>
      </c>
      <c r="K285" s="1241" t="b">
        <f t="shared" si="50"/>
        <v>0</v>
      </c>
    </row>
    <row r="286" spans="1:11" hidden="1" x14ac:dyDescent="0.25">
      <c r="A286" s="1202" t="str">
        <f ca="1"/>
        <v/>
      </c>
      <c r="B286" s="1232">
        <f ca="1"/>
        <v>0</v>
      </c>
      <c r="C286" s="1233">
        <f ca="1"/>
        <v>0</v>
      </c>
      <c r="D286" s="1202" t="str">
        <f ca="1"/>
        <v/>
      </c>
      <c r="E286" s="1234" t="str">
        <f ca="1"/>
        <v>NA</v>
      </c>
      <c r="F286" s="1235" t="str">
        <f ca="1"/>
        <v>NA</v>
      </c>
      <c r="G286" s="1202" t="str">
        <f t="shared" ca="1" si="47"/>
        <v/>
      </c>
      <c r="H286" s="1234">
        <f t="shared" ca="1" si="48"/>
        <v>0</v>
      </c>
      <c r="I286" s="1235">
        <f t="shared" ca="1" si="49"/>
        <v>0</v>
      </c>
      <c r="K286" s="1241" t="b">
        <f t="shared" si="50"/>
        <v>0</v>
      </c>
    </row>
    <row r="287" spans="1:11" hidden="1" x14ac:dyDescent="0.25">
      <c r="A287" s="1236" t="str">
        <f ca="1"/>
        <v/>
      </c>
      <c r="B287" s="1237">
        <f ca="1"/>
        <v>0</v>
      </c>
      <c r="C287" s="1238">
        <f ca="1"/>
        <v>0</v>
      </c>
      <c r="D287" s="1236" t="str">
        <f ca="1"/>
        <v/>
      </c>
      <c r="E287" s="1239" t="str">
        <f ca="1"/>
        <v>NA</v>
      </c>
      <c r="F287" s="1240" t="str">
        <f ca="1"/>
        <v>NA</v>
      </c>
      <c r="G287" s="1236" t="str">
        <f t="shared" ca="1" si="47"/>
        <v/>
      </c>
      <c r="H287" s="1239">
        <f t="shared" ca="1" si="48"/>
        <v>0</v>
      </c>
      <c r="I287" s="1240">
        <f t="shared" ca="1" si="49"/>
        <v>0</v>
      </c>
      <c r="K287" s="1241" t="b">
        <f t="shared" si="50"/>
        <v>0</v>
      </c>
    </row>
    <row r="288" spans="1:11" hidden="1" x14ac:dyDescent="0.25">
      <c r="A288" s="1202" t="str">
        <f ca="1"/>
        <v/>
      </c>
      <c r="B288" s="1232">
        <f ca="1"/>
        <v>0</v>
      </c>
      <c r="C288" s="1233">
        <f ca="1"/>
        <v>0</v>
      </c>
      <c r="D288" s="1202" t="str">
        <f ca="1"/>
        <v/>
      </c>
      <c r="E288" s="1234" t="str">
        <f ca="1"/>
        <v>NA</v>
      </c>
      <c r="F288" s="1235" t="str">
        <f ca="1"/>
        <v>NA</v>
      </c>
      <c r="G288" s="1202" t="str">
        <f t="shared" ca="1" si="47"/>
        <v/>
      </c>
      <c r="H288" s="1234">
        <f t="shared" ca="1" si="48"/>
        <v>0</v>
      </c>
      <c r="I288" s="1235">
        <f t="shared" ca="1" si="49"/>
        <v>0</v>
      </c>
      <c r="K288" s="1241" t="b">
        <f t="shared" si="50"/>
        <v>0</v>
      </c>
    </row>
    <row r="289" spans="1:11" ht="15.75" hidden="1" thickBot="1" x14ac:dyDescent="0.3">
      <c r="A289" s="1242" t="str">
        <f ca="1"/>
        <v/>
      </c>
      <c r="B289" s="1243">
        <f ca="1"/>
        <v>0</v>
      </c>
      <c r="C289" s="1244">
        <f ca="1"/>
        <v>0</v>
      </c>
      <c r="D289" s="1242" t="str">
        <f ca="1"/>
        <v/>
      </c>
      <c r="E289" s="1245" t="str">
        <f ca="1"/>
        <v>NA</v>
      </c>
      <c r="F289" s="1246" t="str">
        <f ca="1"/>
        <v>NA</v>
      </c>
      <c r="G289" s="1242" t="str">
        <f t="shared" ca="1" si="47"/>
        <v/>
      </c>
      <c r="H289" s="1245">
        <f t="shared" ca="1" si="48"/>
        <v>0</v>
      </c>
      <c r="I289" s="1246">
        <f t="shared" ca="1" si="49"/>
        <v>0</v>
      </c>
      <c r="K289" s="1241" t="b">
        <f t="shared" si="50"/>
        <v>0</v>
      </c>
    </row>
    <row r="290" spans="1:11" ht="15.75" hidden="1" thickBot="1" x14ac:dyDescent="0.3">
      <c r="K290" s="808" t="b">
        <f t="shared" si="46"/>
        <v>0</v>
      </c>
    </row>
    <row r="291" spans="1:11" ht="21" hidden="1" thickTop="1" thickBot="1" x14ac:dyDescent="0.3">
      <c r="A291" s="1225" t="s">
        <v>1356</v>
      </c>
      <c r="B291" s="1226" t="s">
        <v>1296</v>
      </c>
      <c r="C291" s="1227">
        <f>C274</f>
        <v>250000</v>
      </c>
      <c r="D291" s="1226" t="s">
        <v>33</v>
      </c>
      <c r="E291" s="1227" t="str">
        <f>E274</f>
        <v>NAS - Workers Network</v>
      </c>
      <c r="F291" s="1226" t="s">
        <v>940</v>
      </c>
      <c r="G291" s="1227" t="str">
        <f>G274</f>
        <v>Dubai</v>
      </c>
      <c r="H291" s="1226" t="s">
        <v>1357</v>
      </c>
      <c r="I291" s="1227" t="str">
        <f>I274</f>
        <v>Worldwide at R&amp;C of UAE</v>
      </c>
      <c r="K291" s="808" t="b">
        <f t="shared" si="46"/>
        <v>0</v>
      </c>
    </row>
    <row r="292" spans="1:11" ht="15.75" hidden="1" thickBot="1" x14ac:dyDescent="0.3">
      <c r="K292" s="808" t="b">
        <f t="shared" si="46"/>
        <v>0</v>
      </c>
    </row>
    <row r="293" spans="1:11" hidden="1" x14ac:dyDescent="0.25">
      <c r="A293" s="1462" t="s">
        <v>1355</v>
      </c>
      <c r="B293" s="1463"/>
      <c r="C293" s="1464"/>
      <c r="D293" s="1465" t="s">
        <v>1363</v>
      </c>
      <c r="E293" s="1466"/>
      <c r="F293" s="1464"/>
      <c r="G293" s="1465" t="s">
        <v>133</v>
      </c>
      <c r="H293" s="1466"/>
      <c r="I293" s="1464"/>
      <c r="K293" s="808" t="b">
        <f t="shared" si="46"/>
        <v>0</v>
      </c>
    </row>
    <row r="294" spans="1:11" hidden="1" x14ac:dyDescent="0.25">
      <c r="A294" s="1229" t="str" cm="1">
        <f t="array" aca="1" ref="A294:C306" ca="1">Age_Band_Count_Dep_CatF</f>
        <v>Age Bracket</v>
      </c>
      <c r="B294" s="1230" t="str">
        <f ca="1"/>
        <v>Male</v>
      </c>
      <c r="C294" s="1231" t="str">
        <f ca="1"/>
        <v>Female</v>
      </c>
      <c r="D294" s="1229" t="str" cm="1">
        <f t="array" aca="1" ref="D294:F306" ca="1">Age_Band_GRP_Dep_CatF</f>
        <v>Age Bracket</v>
      </c>
      <c r="E294" s="1230" t="str">
        <f ca="1"/>
        <v>Male</v>
      </c>
      <c r="F294" s="1231" t="str">
        <f ca="1"/>
        <v>Female</v>
      </c>
      <c r="G294" s="1229" t="s">
        <v>286</v>
      </c>
      <c r="H294" s="1230" t="s">
        <v>65</v>
      </c>
      <c r="I294" s="1231" t="s">
        <v>66</v>
      </c>
      <c r="K294" s="808" t="b">
        <f t="shared" si="46"/>
        <v>0</v>
      </c>
    </row>
    <row r="295" spans="1:11" hidden="1" x14ac:dyDescent="0.25">
      <c r="A295" s="1202" t="str">
        <f ca="1"/>
        <v/>
      </c>
      <c r="B295" s="1232">
        <f ca="1"/>
        <v>0</v>
      </c>
      <c r="C295" s="1233">
        <f ca="1"/>
        <v>0</v>
      </c>
      <c r="D295" s="1202" t="str">
        <f ca="1"/>
        <v/>
      </c>
      <c r="E295" s="1234" t="str">
        <f ca="1"/>
        <v>NA</v>
      </c>
      <c r="F295" s="1235" t="str">
        <f ca="1"/>
        <v>NA</v>
      </c>
      <c r="G295" s="1202" t="str">
        <f t="shared" ref="G295:G306" ca="1" si="51">A295</f>
        <v/>
      </c>
      <c r="H295" s="1234">
        <f t="shared" ref="H295:H306" ca="1" si="52">IFERROR(B295*E295,0)</f>
        <v>0</v>
      </c>
      <c r="I295" s="1235">
        <f t="shared" ref="I295:I306" ca="1" si="53">IFERROR(C295*F295,0)</f>
        <v>0</v>
      </c>
      <c r="K295" s="808" t="b">
        <f t="shared" si="46"/>
        <v>0</v>
      </c>
    </row>
    <row r="296" spans="1:11" hidden="1" x14ac:dyDescent="0.25">
      <c r="A296" s="1236" t="str">
        <f ca="1"/>
        <v/>
      </c>
      <c r="B296" s="1237">
        <f ca="1"/>
        <v>0</v>
      </c>
      <c r="C296" s="1238">
        <f ca="1"/>
        <v>0</v>
      </c>
      <c r="D296" s="1236" t="str">
        <f ca="1"/>
        <v/>
      </c>
      <c r="E296" s="1239" t="str">
        <f ca="1"/>
        <v>NA</v>
      </c>
      <c r="F296" s="1240" t="str">
        <f ca="1"/>
        <v>NA</v>
      </c>
      <c r="G296" s="1236" t="str">
        <f t="shared" ca="1" si="51"/>
        <v/>
      </c>
      <c r="H296" s="1239">
        <f t="shared" ca="1" si="52"/>
        <v>0</v>
      </c>
      <c r="I296" s="1240">
        <f t="shared" ca="1" si="53"/>
        <v>0</v>
      </c>
      <c r="K296" s="808" t="b">
        <f t="shared" si="46"/>
        <v>0</v>
      </c>
    </row>
    <row r="297" spans="1:11" hidden="1" x14ac:dyDescent="0.25">
      <c r="A297" s="1202" t="str">
        <f ca="1"/>
        <v/>
      </c>
      <c r="B297" s="1232">
        <f ca="1"/>
        <v>0</v>
      </c>
      <c r="C297" s="1233">
        <f ca="1"/>
        <v>0</v>
      </c>
      <c r="D297" s="1202" t="str">
        <f ca="1"/>
        <v/>
      </c>
      <c r="E297" s="1234" t="str">
        <f ca="1"/>
        <v>NA</v>
      </c>
      <c r="F297" s="1235" t="str">
        <f ca="1"/>
        <v>NA</v>
      </c>
      <c r="G297" s="1202" t="str">
        <f t="shared" ca="1" si="51"/>
        <v/>
      </c>
      <c r="H297" s="1234">
        <f t="shared" ca="1" si="52"/>
        <v>0</v>
      </c>
      <c r="I297" s="1235">
        <f t="shared" ca="1" si="53"/>
        <v>0</v>
      </c>
      <c r="K297" s="808" t="b">
        <f t="shared" si="46"/>
        <v>0</v>
      </c>
    </row>
    <row r="298" spans="1:11" hidden="1" x14ac:dyDescent="0.25">
      <c r="A298" s="1236" t="str">
        <f ca="1"/>
        <v/>
      </c>
      <c r="B298" s="1237">
        <f ca="1"/>
        <v>0</v>
      </c>
      <c r="C298" s="1238">
        <f ca="1"/>
        <v>0</v>
      </c>
      <c r="D298" s="1236" t="str">
        <f ca="1"/>
        <v/>
      </c>
      <c r="E298" s="1239" t="str">
        <f ca="1"/>
        <v>NA</v>
      </c>
      <c r="F298" s="1240" t="str">
        <f ca="1"/>
        <v>NA</v>
      </c>
      <c r="G298" s="1236" t="str">
        <f t="shared" ca="1" si="51"/>
        <v/>
      </c>
      <c r="H298" s="1239">
        <f t="shared" ca="1" si="52"/>
        <v>0</v>
      </c>
      <c r="I298" s="1240">
        <f t="shared" ca="1" si="53"/>
        <v>0</v>
      </c>
      <c r="K298" s="808" t="b">
        <f t="shared" si="46"/>
        <v>0</v>
      </c>
    </row>
    <row r="299" spans="1:11" hidden="1" x14ac:dyDescent="0.25">
      <c r="A299" s="1202" t="str">
        <f ca="1"/>
        <v/>
      </c>
      <c r="B299" s="1232">
        <f ca="1"/>
        <v>0</v>
      </c>
      <c r="C299" s="1233">
        <f ca="1"/>
        <v>0</v>
      </c>
      <c r="D299" s="1202" t="str">
        <f ca="1"/>
        <v/>
      </c>
      <c r="E299" s="1234" t="str">
        <f ca="1"/>
        <v>NA</v>
      </c>
      <c r="F299" s="1235" t="str">
        <f ca="1"/>
        <v>NA</v>
      </c>
      <c r="G299" s="1202" t="str">
        <f t="shared" ca="1" si="51"/>
        <v/>
      </c>
      <c r="H299" s="1234">
        <f t="shared" ca="1" si="52"/>
        <v>0</v>
      </c>
      <c r="I299" s="1235">
        <f t="shared" ca="1" si="53"/>
        <v>0</v>
      </c>
      <c r="K299" s="808" t="b">
        <f t="shared" si="46"/>
        <v>0</v>
      </c>
    </row>
    <row r="300" spans="1:11" hidden="1" x14ac:dyDescent="0.25">
      <c r="A300" s="1236" t="str">
        <f ca="1"/>
        <v/>
      </c>
      <c r="B300" s="1237">
        <f ca="1"/>
        <v>0</v>
      </c>
      <c r="C300" s="1238">
        <f ca="1"/>
        <v>0</v>
      </c>
      <c r="D300" s="1236" t="str">
        <f ca="1"/>
        <v/>
      </c>
      <c r="E300" s="1239" t="str">
        <f ca="1"/>
        <v>NA</v>
      </c>
      <c r="F300" s="1240" t="str">
        <f ca="1"/>
        <v>NA</v>
      </c>
      <c r="G300" s="1236" t="str">
        <f t="shared" ca="1" si="51"/>
        <v/>
      </c>
      <c r="H300" s="1239">
        <f t="shared" ca="1" si="52"/>
        <v>0</v>
      </c>
      <c r="I300" s="1240">
        <f t="shared" ca="1" si="53"/>
        <v>0</v>
      </c>
      <c r="K300" s="1241" t="b">
        <f t="shared" ref="K300:K306" si="54">IF(Region_F="Abu Dhabi",FALSE,$K$22)</f>
        <v>0</v>
      </c>
    </row>
    <row r="301" spans="1:11" hidden="1" x14ac:dyDescent="0.25">
      <c r="A301" s="1202" t="str">
        <f ca="1"/>
        <v/>
      </c>
      <c r="B301" s="1232">
        <f ca="1"/>
        <v>0</v>
      </c>
      <c r="C301" s="1233">
        <f ca="1"/>
        <v>0</v>
      </c>
      <c r="D301" s="1202" t="str">
        <f ca="1"/>
        <v/>
      </c>
      <c r="E301" s="1234" t="str">
        <f ca="1"/>
        <v>NA</v>
      </c>
      <c r="F301" s="1235" t="str">
        <f ca="1"/>
        <v>NA</v>
      </c>
      <c r="G301" s="1202" t="str">
        <f t="shared" ca="1" si="51"/>
        <v/>
      </c>
      <c r="H301" s="1234">
        <f t="shared" ca="1" si="52"/>
        <v>0</v>
      </c>
      <c r="I301" s="1235">
        <f t="shared" ca="1" si="53"/>
        <v>0</v>
      </c>
      <c r="K301" s="1241" t="b">
        <f t="shared" si="54"/>
        <v>0</v>
      </c>
    </row>
    <row r="302" spans="1:11" hidden="1" x14ac:dyDescent="0.25">
      <c r="A302" s="1236" t="str">
        <f ca="1"/>
        <v/>
      </c>
      <c r="B302" s="1237">
        <f ca="1"/>
        <v>0</v>
      </c>
      <c r="C302" s="1238">
        <f ca="1"/>
        <v>0</v>
      </c>
      <c r="D302" s="1236" t="str">
        <f ca="1"/>
        <v/>
      </c>
      <c r="E302" s="1239" t="str">
        <f ca="1"/>
        <v>NA</v>
      </c>
      <c r="F302" s="1240" t="str">
        <f ca="1"/>
        <v>NA</v>
      </c>
      <c r="G302" s="1236" t="str">
        <f t="shared" ca="1" si="51"/>
        <v/>
      </c>
      <c r="H302" s="1239">
        <f t="shared" ca="1" si="52"/>
        <v>0</v>
      </c>
      <c r="I302" s="1240">
        <f t="shared" ca="1" si="53"/>
        <v>0</v>
      </c>
      <c r="K302" s="1241" t="b">
        <f t="shared" si="54"/>
        <v>0</v>
      </c>
    </row>
    <row r="303" spans="1:11" hidden="1" x14ac:dyDescent="0.25">
      <c r="A303" s="1202" t="str">
        <f ca="1"/>
        <v/>
      </c>
      <c r="B303" s="1232">
        <f ca="1"/>
        <v>0</v>
      </c>
      <c r="C303" s="1233">
        <f ca="1"/>
        <v>0</v>
      </c>
      <c r="D303" s="1202" t="str">
        <f ca="1"/>
        <v/>
      </c>
      <c r="E303" s="1234" t="str">
        <f ca="1"/>
        <v>NA</v>
      </c>
      <c r="F303" s="1235" t="str">
        <f ca="1"/>
        <v>NA</v>
      </c>
      <c r="G303" s="1202" t="str">
        <f t="shared" ca="1" si="51"/>
        <v/>
      </c>
      <c r="H303" s="1234">
        <f t="shared" ca="1" si="52"/>
        <v>0</v>
      </c>
      <c r="I303" s="1235">
        <f t="shared" ca="1" si="53"/>
        <v>0</v>
      </c>
      <c r="K303" s="1241" t="b">
        <f t="shared" si="54"/>
        <v>0</v>
      </c>
    </row>
    <row r="304" spans="1:11" hidden="1" x14ac:dyDescent="0.25">
      <c r="A304" s="1236" t="str">
        <f ca="1"/>
        <v/>
      </c>
      <c r="B304" s="1237">
        <f ca="1"/>
        <v>0</v>
      </c>
      <c r="C304" s="1238">
        <f ca="1"/>
        <v>0</v>
      </c>
      <c r="D304" s="1236" t="str">
        <f ca="1"/>
        <v/>
      </c>
      <c r="E304" s="1239" t="str">
        <f ca="1"/>
        <v>NA</v>
      </c>
      <c r="F304" s="1240" t="str">
        <f ca="1"/>
        <v>NA</v>
      </c>
      <c r="G304" s="1236" t="str">
        <f t="shared" ca="1" si="51"/>
        <v/>
      </c>
      <c r="H304" s="1239">
        <f t="shared" ca="1" si="52"/>
        <v>0</v>
      </c>
      <c r="I304" s="1240">
        <f t="shared" ca="1" si="53"/>
        <v>0</v>
      </c>
      <c r="K304" s="1241" t="b">
        <f t="shared" si="54"/>
        <v>0</v>
      </c>
    </row>
    <row r="305" spans="1:11" hidden="1" x14ac:dyDescent="0.25">
      <c r="A305" s="1202" t="str">
        <f ca="1"/>
        <v/>
      </c>
      <c r="B305" s="1232">
        <f ca="1"/>
        <v>0</v>
      </c>
      <c r="C305" s="1233">
        <f ca="1"/>
        <v>0</v>
      </c>
      <c r="D305" s="1202" t="str">
        <f ca="1"/>
        <v/>
      </c>
      <c r="E305" s="1234" t="str">
        <f ca="1"/>
        <v>NA</v>
      </c>
      <c r="F305" s="1235" t="str">
        <f ca="1"/>
        <v>NA</v>
      </c>
      <c r="G305" s="1202" t="str">
        <f t="shared" ca="1" si="51"/>
        <v/>
      </c>
      <c r="H305" s="1234">
        <f t="shared" ca="1" si="52"/>
        <v>0</v>
      </c>
      <c r="I305" s="1235">
        <f t="shared" ca="1" si="53"/>
        <v>0</v>
      </c>
      <c r="K305" s="1241" t="b">
        <f t="shared" si="54"/>
        <v>0</v>
      </c>
    </row>
    <row r="306" spans="1:11" ht="15.75" hidden="1" thickBot="1" x14ac:dyDescent="0.3">
      <c r="A306" s="1242" t="str">
        <f ca="1"/>
        <v/>
      </c>
      <c r="B306" s="1243">
        <f ca="1"/>
        <v>0</v>
      </c>
      <c r="C306" s="1244">
        <f ca="1"/>
        <v>0</v>
      </c>
      <c r="D306" s="1242" t="str">
        <f ca="1"/>
        <v/>
      </c>
      <c r="E306" s="1245" t="str">
        <f ca="1"/>
        <v>NA</v>
      </c>
      <c r="F306" s="1246" t="str">
        <f ca="1"/>
        <v>NA</v>
      </c>
      <c r="G306" s="1242" t="str">
        <f t="shared" ca="1" si="51"/>
        <v/>
      </c>
      <c r="H306" s="1245">
        <f t="shared" ca="1" si="52"/>
        <v>0</v>
      </c>
      <c r="I306" s="1246">
        <f t="shared" ca="1" si="53"/>
        <v>0</v>
      </c>
      <c r="K306" s="1241" t="b">
        <f t="shared" si="54"/>
        <v>0</v>
      </c>
    </row>
    <row r="307" spans="1:11" ht="15.75" hidden="1" thickBot="1" x14ac:dyDescent="0.3">
      <c r="K307" s="808" t="b">
        <f t="shared" si="46"/>
        <v>0</v>
      </c>
    </row>
    <row r="308" spans="1:11" ht="21" hidden="1" thickTop="1" thickBot="1" x14ac:dyDescent="0.3">
      <c r="A308" s="1225" t="s">
        <v>1360</v>
      </c>
      <c r="B308" s="1226" t="s">
        <v>678</v>
      </c>
      <c r="C308" s="1227" t="str">
        <f>Maternity_Limit_F</f>
        <v>Up to AML</v>
      </c>
      <c r="D308" s="1226" t="s">
        <v>1018</v>
      </c>
      <c r="E308" s="1247" t="str">
        <f>Maternity_CoPay_F</f>
        <v>AED 500 deductible</v>
      </c>
      <c r="F308" s="1226" t="s">
        <v>940</v>
      </c>
      <c r="G308" s="1227" t="str">
        <f>G291</f>
        <v>Dubai</v>
      </c>
      <c r="K308" s="808" t="b">
        <f t="shared" si="46"/>
        <v>0</v>
      </c>
    </row>
    <row r="309" spans="1:11" ht="15.75" hidden="1" thickBot="1" x14ac:dyDescent="0.3">
      <c r="K309" s="808" t="b">
        <f t="shared" si="46"/>
        <v>0</v>
      </c>
    </row>
    <row r="310" spans="1:11" ht="15.75" hidden="1" thickTop="1" x14ac:dyDescent="0.25">
      <c r="A310" s="1248"/>
      <c r="B310" s="1467" t="s">
        <v>1358</v>
      </c>
      <c r="C310" s="1468"/>
      <c r="D310" s="1467" t="s">
        <v>1358</v>
      </c>
      <c r="E310" s="1468"/>
      <c r="F310" s="1467" t="s">
        <v>1089</v>
      </c>
      <c r="G310" s="1469"/>
      <c r="K310" s="808" t="b">
        <f t="shared" si="46"/>
        <v>0</v>
      </c>
    </row>
    <row r="311" spans="1:11" hidden="1" x14ac:dyDescent="0.25">
      <c r="A311" s="1249" t="s">
        <v>286</v>
      </c>
      <c r="B311" s="1230" t="s">
        <v>1361</v>
      </c>
      <c r="C311" s="1231" t="s">
        <v>1105</v>
      </c>
      <c r="D311" s="1230" t="s">
        <v>1361</v>
      </c>
      <c r="E311" s="1231" t="s">
        <v>1105</v>
      </c>
      <c r="F311" s="1230" t="s">
        <v>1361</v>
      </c>
      <c r="G311" s="1250" t="s">
        <v>1105</v>
      </c>
      <c r="K311" s="808" t="b">
        <f t="shared" si="46"/>
        <v>0</v>
      </c>
    </row>
    <row r="312" spans="1:11" ht="15.75" hidden="1" thickBot="1" x14ac:dyDescent="0.3">
      <c r="A312" s="1204" t="str">
        <f>IF(Region_A="Abu Dhabi","18-50","18-45")</f>
        <v>18-45</v>
      </c>
      <c r="B312" s="1251" cm="1">
        <f t="array" ref="B312:C312">TRANSPOSE('Member Data'!$T$43:$T$44)</f>
        <v>0</v>
      </c>
      <c r="C312" s="1252">
        <v>0</v>
      </c>
      <c r="D312" s="1253" t="str">
        <f ca="1">Maternity_GRP_F</f>
        <v>NA</v>
      </c>
      <c r="E312" s="1253" t="str">
        <f ca="1">Maternity_GRP_F</f>
        <v>NA</v>
      </c>
      <c r="F312" s="1253">
        <f ca="1">IFERROR(B312*D312,0)</f>
        <v>0</v>
      </c>
      <c r="G312" s="1254">
        <f ca="1">IFERROR(C312*E312,0)</f>
        <v>0</v>
      </c>
      <c r="K312" s="808" t="b">
        <f t="shared" si="46"/>
        <v>0</v>
      </c>
    </row>
    <row r="313" spans="1:11" hidden="1" x14ac:dyDescent="0.25">
      <c r="A313" s="1255"/>
      <c r="B313" s="1255"/>
      <c r="C313" s="1255"/>
      <c r="D313" s="1256"/>
      <c r="E313" s="1256"/>
      <c r="F313" s="1256"/>
      <c r="G313" s="1256"/>
      <c r="K313" s="808" t="b">
        <f t="shared" si="46"/>
        <v>0</v>
      </c>
    </row>
    <row r="314" spans="1:11" ht="15.75" hidden="1" thickBot="1" x14ac:dyDescent="0.3">
      <c r="K314" s="808" t="b">
        <f t="shared" si="46"/>
        <v>0</v>
      </c>
    </row>
    <row r="315" spans="1:11" ht="21" hidden="1" thickTop="1" thickBot="1" x14ac:dyDescent="0.3">
      <c r="A315" s="1459" t="s">
        <v>1376</v>
      </c>
      <c r="B315" s="1460"/>
      <c r="C315" s="1460"/>
      <c r="D315" s="1460"/>
      <c r="E315" s="1460"/>
      <c r="F315" s="1460"/>
      <c r="G315" s="1460"/>
      <c r="H315" s="1460"/>
      <c r="I315" s="1461"/>
      <c r="K315" s="808" t="b">
        <f>$K$23</f>
        <v>0</v>
      </c>
    </row>
    <row r="316" spans="1:11" ht="15.75" hidden="1" thickBot="1" x14ac:dyDescent="0.3">
      <c r="K316" s="808" t="b">
        <f t="shared" ref="K316:K362" si="55">$K$23</f>
        <v>0</v>
      </c>
    </row>
    <row r="317" spans="1:11" ht="25.5" hidden="1" x14ac:dyDescent="0.25">
      <c r="A317" s="1214" t="s">
        <v>1364</v>
      </c>
      <c r="B317" s="1215">
        <f ca="1">SUM(H326:I337,H343:I354)</f>
        <v>0</v>
      </c>
      <c r="D317" s="1216" t="s">
        <v>1367</v>
      </c>
      <c r="E317" s="1215">
        <f ca="1">F360+G360</f>
        <v>0</v>
      </c>
      <c r="G317" s="1216" t="s">
        <v>1369</v>
      </c>
      <c r="H317" s="1215">
        <f ca="1">B317+E317</f>
        <v>0</v>
      </c>
      <c r="K317" s="808" t="b">
        <f t="shared" si="55"/>
        <v>0</v>
      </c>
    </row>
    <row r="318" spans="1:11" ht="26.25" hidden="1" thickBot="1" x14ac:dyDescent="0.3">
      <c r="A318" s="1217" t="s">
        <v>1365</v>
      </c>
      <c r="B318" s="1218">
        <f ca="1">SUM(B326:C337,B343:C354)</f>
        <v>0</v>
      </c>
      <c r="D318" s="1219" t="str">
        <f>"Married Female - "&amp;IF(Region_G="Abu Dhabi","18-50","18-45")</f>
        <v>Married Female - 18-45</v>
      </c>
      <c r="E318" s="1218">
        <f>B360+C360</f>
        <v>0</v>
      </c>
      <c r="G318" s="1219" t="str">
        <f>IF(Region_G="Dubai","Bashmah Fee (AED 37/per Member)","ICP Fee (AED 28 / per Member)")</f>
        <v>Bashmah Fee (AED 37/per Member)</v>
      </c>
      <c r="H318" s="1220">
        <f ca="1">IF(Region_G="Dubai",37*B318,28*B318)</f>
        <v>0</v>
      </c>
      <c r="K318" s="808" t="b">
        <f t="shared" si="55"/>
        <v>0</v>
      </c>
    </row>
    <row r="319" spans="1:11" ht="27" hidden="1" thickTop="1" thickBot="1" x14ac:dyDescent="0.3">
      <c r="A319" s="1221" t="s">
        <v>1366</v>
      </c>
      <c r="B319" s="1222">
        <f ca="1">IFERROR(B317/B318,0)</f>
        <v>0</v>
      </c>
      <c r="D319" s="1223" t="s">
        <v>1368</v>
      </c>
      <c r="E319" s="1222" t="str">
        <f ca="1">Maternity_GRP_G</f>
        <v>NA</v>
      </c>
      <c r="G319" s="1223" t="s">
        <v>1370</v>
      </c>
      <c r="H319" s="1222">
        <f ca="1">(H317+H318)*5%</f>
        <v>0</v>
      </c>
      <c r="I319" s="1224">
        <f ca="1">SUM(H317:H319)</f>
        <v>0</v>
      </c>
      <c r="K319" s="808" t="b">
        <f t="shared" si="55"/>
        <v>0</v>
      </c>
    </row>
    <row r="320" spans="1:11" hidden="1" x14ac:dyDescent="0.25">
      <c r="K320" s="808" t="b">
        <f t="shared" si="55"/>
        <v>0</v>
      </c>
    </row>
    <row r="321" spans="1:11" ht="15.75" hidden="1" thickBot="1" x14ac:dyDescent="0.3">
      <c r="K321" s="808" t="b">
        <f t="shared" si="55"/>
        <v>0</v>
      </c>
    </row>
    <row r="322" spans="1:11" ht="21" hidden="1" thickTop="1" thickBot="1" x14ac:dyDescent="0.3">
      <c r="A322" s="1225" t="s">
        <v>1359</v>
      </c>
      <c r="B322" s="1226" t="s">
        <v>1296</v>
      </c>
      <c r="C322" s="1227">
        <f>AML_G</f>
        <v>250000</v>
      </c>
      <c r="D322" s="1226" t="s">
        <v>33</v>
      </c>
      <c r="E322" s="1227" t="str">
        <f>"NAS - "&amp;Network_G</f>
        <v>NAS - Workers Network</v>
      </c>
      <c r="F322" s="1226" t="s">
        <v>940</v>
      </c>
      <c r="G322" s="1227" t="str">
        <f>Region_G</f>
        <v>Dubai</v>
      </c>
      <c r="H322" s="1226" t="s">
        <v>1357</v>
      </c>
      <c r="I322" s="1227" t="str">
        <f>Area_G</f>
        <v>Worldwide at R&amp;C of UAE</v>
      </c>
      <c r="K322" s="808" t="b">
        <f t="shared" si="55"/>
        <v>0</v>
      </c>
    </row>
    <row r="323" spans="1:11" ht="15.75" hidden="1" thickBot="1" x14ac:dyDescent="0.3">
      <c r="A323" s="1228"/>
      <c r="B323" s="1228"/>
      <c r="K323" s="808" t="b">
        <f t="shared" si="55"/>
        <v>0</v>
      </c>
    </row>
    <row r="324" spans="1:11" hidden="1" x14ac:dyDescent="0.25">
      <c r="A324" s="1462" t="s">
        <v>1355</v>
      </c>
      <c r="B324" s="1463"/>
      <c r="C324" s="1464"/>
      <c r="D324" s="1465" t="s">
        <v>1363</v>
      </c>
      <c r="E324" s="1466"/>
      <c r="F324" s="1464"/>
      <c r="G324" s="1465" t="s">
        <v>133</v>
      </c>
      <c r="H324" s="1466"/>
      <c r="I324" s="1464"/>
      <c r="K324" s="808" t="b">
        <f t="shared" si="55"/>
        <v>0</v>
      </c>
    </row>
    <row r="325" spans="1:11" hidden="1" x14ac:dyDescent="0.25">
      <c r="A325" s="1229" t="str" cm="1">
        <f t="array" aca="1" ref="A325:C337" ca="1">Age_Band_Count_Emp_CatG</f>
        <v>Age Bracket</v>
      </c>
      <c r="B325" s="1230" t="str">
        <f ca="1"/>
        <v>Male</v>
      </c>
      <c r="C325" s="1231" t="str">
        <f ca="1"/>
        <v>Female</v>
      </c>
      <c r="D325" s="1229" t="str" cm="1">
        <f t="array" aca="1" ref="D325:F337" ca="1">Age_Band_GRP_Emp_CatG</f>
        <v>Age Bracket</v>
      </c>
      <c r="E325" s="1230" t="str">
        <f ca="1"/>
        <v>Male</v>
      </c>
      <c r="F325" s="1231" t="str">
        <f ca="1"/>
        <v>Female</v>
      </c>
      <c r="G325" s="1229" t="s">
        <v>286</v>
      </c>
      <c r="H325" s="1230" t="s">
        <v>65</v>
      </c>
      <c r="I325" s="1231" t="s">
        <v>66</v>
      </c>
      <c r="K325" s="808" t="b">
        <f t="shared" si="55"/>
        <v>0</v>
      </c>
    </row>
    <row r="326" spans="1:11" hidden="1" x14ac:dyDescent="0.25">
      <c r="A326" s="1202" t="str">
        <f ca="1"/>
        <v/>
      </c>
      <c r="B326" s="1232">
        <f ca="1"/>
        <v>0</v>
      </c>
      <c r="C326" s="1233">
        <f ca="1"/>
        <v>0</v>
      </c>
      <c r="D326" s="1202" t="str">
        <f ca="1"/>
        <v/>
      </c>
      <c r="E326" s="1234" t="str">
        <f ca="1"/>
        <v>NA</v>
      </c>
      <c r="F326" s="1235" t="str">
        <f ca="1"/>
        <v>NA</v>
      </c>
      <c r="G326" s="1202" t="str">
        <f t="shared" ref="G326:G337" ca="1" si="56">A326</f>
        <v/>
      </c>
      <c r="H326" s="1234">
        <f t="shared" ref="H326:H337" ca="1" si="57">IFERROR(B326*E326,0)</f>
        <v>0</v>
      </c>
      <c r="I326" s="1235">
        <f t="shared" ref="I326:I337" ca="1" si="58">IFERROR(C326*F326,0)</f>
        <v>0</v>
      </c>
      <c r="K326" s="808" t="b">
        <f t="shared" si="55"/>
        <v>0</v>
      </c>
    </row>
    <row r="327" spans="1:11" hidden="1" x14ac:dyDescent="0.25">
      <c r="A327" s="1236" t="str">
        <f ca="1"/>
        <v/>
      </c>
      <c r="B327" s="1237">
        <f ca="1"/>
        <v>0</v>
      </c>
      <c r="C327" s="1238">
        <f ca="1"/>
        <v>0</v>
      </c>
      <c r="D327" s="1236" t="str">
        <f ca="1"/>
        <v/>
      </c>
      <c r="E327" s="1239" t="str">
        <f ca="1"/>
        <v>NA</v>
      </c>
      <c r="F327" s="1240" t="str">
        <f ca="1"/>
        <v>NA</v>
      </c>
      <c r="G327" s="1236" t="str">
        <f t="shared" ca="1" si="56"/>
        <v/>
      </c>
      <c r="H327" s="1239">
        <f t="shared" ca="1" si="57"/>
        <v>0</v>
      </c>
      <c r="I327" s="1240">
        <f t="shared" ca="1" si="58"/>
        <v>0</v>
      </c>
      <c r="K327" s="808" t="b">
        <f t="shared" si="55"/>
        <v>0</v>
      </c>
    </row>
    <row r="328" spans="1:11" hidden="1" x14ac:dyDescent="0.25">
      <c r="A328" s="1202" t="str">
        <f ca="1"/>
        <v/>
      </c>
      <c r="B328" s="1232">
        <f ca="1"/>
        <v>0</v>
      </c>
      <c r="C328" s="1233">
        <f ca="1"/>
        <v>0</v>
      </c>
      <c r="D328" s="1202" t="str">
        <f ca="1"/>
        <v/>
      </c>
      <c r="E328" s="1234" t="str">
        <f ca="1"/>
        <v>NA</v>
      </c>
      <c r="F328" s="1235" t="str">
        <f ca="1"/>
        <v>NA</v>
      </c>
      <c r="G328" s="1202" t="str">
        <f t="shared" ca="1" si="56"/>
        <v/>
      </c>
      <c r="H328" s="1234">
        <f t="shared" ca="1" si="57"/>
        <v>0</v>
      </c>
      <c r="I328" s="1235">
        <f t="shared" ca="1" si="58"/>
        <v>0</v>
      </c>
      <c r="K328" s="808" t="b">
        <f t="shared" si="55"/>
        <v>0</v>
      </c>
    </row>
    <row r="329" spans="1:11" hidden="1" x14ac:dyDescent="0.25">
      <c r="A329" s="1236" t="str">
        <f ca="1"/>
        <v/>
      </c>
      <c r="B329" s="1237">
        <f ca="1"/>
        <v>0</v>
      </c>
      <c r="C329" s="1238">
        <f ca="1"/>
        <v>0</v>
      </c>
      <c r="D329" s="1236" t="str">
        <f ca="1"/>
        <v/>
      </c>
      <c r="E329" s="1239" t="str">
        <f ca="1"/>
        <v>NA</v>
      </c>
      <c r="F329" s="1240" t="str">
        <f ca="1"/>
        <v>NA</v>
      </c>
      <c r="G329" s="1236" t="str">
        <f t="shared" ca="1" si="56"/>
        <v/>
      </c>
      <c r="H329" s="1239">
        <f t="shared" ca="1" si="57"/>
        <v>0</v>
      </c>
      <c r="I329" s="1240">
        <f t="shared" ca="1" si="58"/>
        <v>0</v>
      </c>
      <c r="K329" s="808" t="b">
        <f t="shared" si="55"/>
        <v>0</v>
      </c>
    </row>
    <row r="330" spans="1:11" hidden="1" x14ac:dyDescent="0.25">
      <c r="A330" s="1202" t="str">
        <f ca="1"/>
        <v/>
      </c>
      <c r="B330" s="1232">
        <f ca="1"/>
        <v>0</v>
      </c>
      <c r="C330" s="1233">
        <f ca="1"/>
        <v>0</v>
      </c>
      <c r="D330" s="1202" t="str">
        <f ca="1"/>
        <v/>
      </c>
      <c r="E330" s="1234" t="str">
        <f ca="1"/>
        <v>NA</v>
      </c>
      <c r="F330" s="1235" t="str">
        <f ca="1"/>
        <v>NA</v>
      </c>
      <c r="G330" s="1202" t="str">
        <f t="shared" ca="1" si="56"/>
        <v/>
      </c>
      <c r="H330" s="1234">
        <f t="shared" ca="1" si="57"/>
        <v>0</v>
      </c>
      <c r="I330" s="1235">
        <f t="shared" ca="1" si="58"/>
        <v>0</v>
      </c>
      <c r="K330" s="808" t="b">
        <f t="shared" si="55"/>
        <v>0</v>
      </c>
    </row>
    <row r="331" spans="1:11" hidden="1" x14ac:dyDescent="0.25">
      <c r="A331" s="1236" t="str">
        <f ca="1"/>
        <v/>
      </c>
      <c r="B331" s="1237">
        <f ca="1"/>
        <v>0</v>
      </c>
      <c r="C331" s="1238">
        <f ca="1"/>
        <v>0</v>
      </c>
      <c r="D331" s="1236" t="str">
        <f ca="1"/>
        <v/>
      </c>
      <c r="E331" s="1239" t="str">
        <f ca="1"/>
        <v>NA</v>
      </c>
      <c r="F331" s="1240" t="str">
        <f ca="1"/>
        <v>NA</v>
      </c>
      <c r="G331" s="1236" t="str">
        <f t="shared" ca="1" si="56"/>
        <v/>
      </c>
      <c r="H331" s="1239">
        <f t="shared" ca="1" si="57"/>
        <v>0</v>
      </c>
      <c r="I331" s="1240">
        <f t="shared" ca="1" si="58"/>
        <v>0</v>
      </c>
      <c r="K331" s="1241" t="b">
        <f t="shared" ref="K331:K337" si="59">IF(Region_G="Abu Dhabi",FALSE,$K$23)</f>
        <v>0</v>
      </c>
    </row>
    <row r="332" spans="1:11" hidden="1" x14ac:dyDescent="0.25">
      <c r="A332" s="1202" t="str">
        <f ca="1"/>
        <v/>
      </c>
      <c r="B332" s="1232">
        <f ca="1"/>
        <v>0</v>
      </c>
      <c r="C332" s="1233">
        <f ca="1"/>
        <v>0</v>
      </c>
      <c r="D332" s="1202" t="str">
        <f ca="1"/>
        <v/>
      </c>
      <c r="E332" s="1234" t="str">
        <f ca="1"/>
        <v>NA</v>
      </c>
      <c r="F332" s="1235" t="str">
        <f ca="1"/>
        <v>NA</v>
      </c>
      <c r="G332" s="1202" t="str">
        <f t="shared" ca="1" si="56"/>
        <v/>
      </c>
      <c r="H332" s="1234">
        <f t="shared" ca="1" si="57"/>
        <v>0</v>
      </c>
      <c r="I332" s="1235">
        <f t="shared" ca="1" si="58"/>
        <v>0</v>
      </c>
      <c r="K332" s="1241" t="b">
        <f t="shared" si="59"/>
        <v>0</v>
      </c>
    </row>
    <row r="333" spans="1:11" hidden="1" x14ac:dyDescent="0.25">
      <c r="A333" s="1236" t="str">
        <f ca="1"/>
        <v/>
      </c>
      <c r="B333" s="1237">
        <f ca="1"/>
        <v>0</v>
      </c>
      <c r="C333" s="1238">
        <f ca="1"/>
        <v>0</v>
      </c>
      <c r="D333" s="1236" t="str">
        <f ca="1"/>
        <v/>
      </c>
      <c r="E333" s="1239" t="str">
        <f ca="1"/>
        <v>NA</v>
      </c>
      <c r="F333" s="1240" t="str">
        <f ca="1"/>
        <v>NA</v>
      </c>
      <c r="G333" s="1236" t="str">
        <f t="shared" ca="1" si="56"/>
        <v/>
      </c>
      <c r="H333" s="1239">
        <f t="shared" ca="1" si="57"/>
        <v>0</v>
      </c>
      <c r="I333" s="1240">
        <f t="shared" ca="1" si="58"/>
        <v>0</v>
      </c>
      <c r="K333" s="1241" t="b">
        <f t="shared" si="59"/>
        <v>0</v>
      </c>
    </row>
    <row r="334" spans="1:11" hidden="1" x14ac:dyDescent="0.25">
      <c r="A334" s="1202" t="str">
        <f ca="1"/>
        <v/>
      </c>
      <c r="B334" s="1232">
        <f ca="1"/>
        <v>0</v>
      </c>
      <c r="C334" s="1233">
        <f ca="1"/>
        <v>0</v>
      </c>
      <c r="D334" s="1202" t="str">
        <f ca="1"/>
        <v/>
      </c>
      <c r="E334" s="1234" t="str">
        <f ca="1"/>
        <v>NA</v>
      </c>
      <c r="F334" s="1235" t="str">
        <f ca="1"/>
        <v>NA</v>
      </c>
      <c r="G334" s="1202" t="str">
        <f t="shared" ca="1" si="56"/>
        <v/>
      </c>
      <c r="H334" s="1234">
        <f t="shared" ca="1" si="57"/>
        <v>0</v>
      </c>
      <c r="I334" s="1235">
        <f t="shared" ca="1" si="58"/>
        <v>0</v>
      </c>
      <c r="K334" s="1241" t="b">
        <f t="shared" si="59"/>
        <v>0</v>
      </c>
    </row>
    <row r="335" spans="1:11" hidden="1" x14ac:dyDescent="0.25">
      <c r="A335" s="1236" t="str">
        <f ca="1"/>
        <v/>
      </c>
      <c r="B335" s="1237">
        <f ca="1"/>
        <v>0</v>
      </c>
      <c r="C335" s="1238">
        <f ca="1"/>
        <v>0</v>
      </c>
      <c r="D335" s="1236" t="str">
        <f ca="1"/>
        <v/>
      </c>
      <c r="E335" s="1239" t="str">
        <f ca="1"/>
        <v>NA</v>
      </c>
      <c r="F335" s="1240" t="str">
        <f ca="1"/>
        <v>NA</v>
      </c>
      <c r="G335" s="1236" t="str">
        <f t="shared" ca="1" si="56"/>
        <v/>
      </c>
      <c r="H335" s="1239">
        <f t="shared" ca="1" si="57"/>
        <v>0</v>
      </c>
      <c r="I335" s="1240">
        <f t="shared" ca="1" si="58"/>
        <v>0</v>
      </c>
      <c r="K335" s="1241" t="b">
        <f t="shared" si="59"/>
        <v>0</v>
      </c>
    </row>
    <row r="336" spans="1:11" hidden="1" x14ac:dyDescent="0.25">
      <c r="A336" s="1202" t="str">
        <f ca="1"/>
        <v/>
      </c>
      <c r="B336" s="1232">
        <f ca="1"/>
        <v>0</v>
      </c>
      <c r="C336" s="1233">
        <f ca="1"/>
        <v>0</v>
      </c>
      <c r="D336" s="1202" t="str">
        <f ca="1"/>
        <v/>
      </c>
      <c r="E336" s="1234" t="str">
        <f ca="1"/>
        <v>NA</v>
      </c>
      <c r="F336" s="1235" t="str">
        <f ca="1"/>
        <v>NA</v>
      </c>
      <c r="G336" s="1202" t="str">
        <f t="shared" ca="1" si="56"/>
        <v/>
      </c>
      <c r="H336" s="1234">
        <f t="shared" ca="1" si="57"/>
        <v>0</v>
      </c>
      <c r="I336" s="1235">
        <f t="shared" ca="1" si="58"/>
        <v>0</v>
      </c>
      <c r="K336" s="1241" t="b">
        <f t="shared" si="59"/>
        <v>0</v>
      </c>
    </row>
    <row r="337" spans="1:11" ht="15.75" hidden="1" thickBot="1" x14ac:dyDescent="0.3">
      <c r="A337" s="1242" t="str">
        <f ca="1"/>
        <v/>
      </c>
      <c r="B337" s="1243">
        <f ca="1"/>
        <v>0</v>
      </c>
      <c r="C337" s="1244">
        <f ca="1"/>
        <v>0</v>
      </c>
      <c r="D337" s="1242" t="str">
        <f ca="1"/>
        <v/>
      </c>
      <c r="E337" s="1245" t="str">
        <f ca="1"/>
        <v>NA</v>
      </c>
      <c r="F337" s="1246" t="str">
        <f ca="1"/>
        <v>NA</v>
      </c>
      <c r="G337" s="1242" t="str">
        <f t="shared" ca="1" si="56"/>
        <v/>
      </c>
      <c r="H337" s="1245">
        <f t="shared" ca="1" si="57"/>
        <v>0</v>
      </c>
      <c r="I337" s="1246">
        <f t="shared" ca="1" si="58"/>
        <v>0</v>
      </c>
      <c r="K337" s="1241" t="b">
        <f t="shared" si="59"/>
        <v>0</v>
      </c>
    </row>
    <row r="338" spans="1:11" ht="15.75" hidden="1" thickBot="1" x14ac:dyDescent="0.3">
      <c r="K338" s="808" t="b">
        <f t="shared" si="55"/>
        <v>0</v>
      </c>
    </row>
    <row r="339" spans="1:11" ht="21" hidden="1" thickTop="1" thickBot="1" x14ac:dyDescent="0.3">
      <c r="A339" s="1225" t="s">
        <v>1356</v>
      </c>
      <c r="B339" s="1226" t="s">
        <v>1296</v>
      </c>
      <c r="C339" s="1227">
        <f>C322</f>
        <v>250000</v>
      </c>
      <c r="D339" s="1226" t="s">
        <v>33</v>
      </c>
      <c r="E339" s="1227" t="str">
        <f>E322</f>
        <v>NAS - Workers Network</v>
      </c>
      <c r="F339" s="1226" t="s">
        <v>940</v>
      </c>
      <c r="G339" s="1227" t="str">
        <f>G322</f>
        <v>Dubai</v>
      </c>
      <c r="H339" s="1226" t="s">
        <v>1357</v>
      </c>
      <c r="I339" s="1227" t="str">
        <f>I322</f>
        <v>Worldwide at R&amp;C of UAE</v>
      </c>
      <c r="K339" s="808" t="b">
        <f t="shared" si="55"/>
        <v>0</v>
      </c>
    </row>
    <row r="340" spans="1:11" ht="15.75" hidden="1" thickBot="1" x14ac:dyDescent="0.3">
      <c r="K340" s="808" t="b">
        <f t="shared" si="55"/>
        <v>0</v>
      </c>
    </row>
    <row r="341" spans="1:11" hidden="1" x14ac:dyDescent="0.25">
      <c r="A341" s="1462" t="s">
        <v>1355</v>
      </c>
      <c r="B341" s="1463"/>
      <c r="C341" s="1464"/>
      <c r="D341" s="1465" t="s">
        <v>1363</v>
      </c>
      <c r="E341" s="1466"/>
      <c r="F341" s="1464"/>
      <c r="G341" s="1465" t="s">
        <v>133</v>
      </c>
      <c r="H341" s="1466"/>
      <c r="I341" s="1464"/>
      <c r="K341" s="808" t="b">
        <f t="shared" si="55"/>
        <v>0</v>
      </c>
    </row>
    <row r="342" spans="1:11" hidden="1" x14ac:dyDescent="0.25">
      <c r="A342" s="1229" t="str" cm="1">
        <f t="array" aca="1" ref="A342:C354" ca="1">Age_Band_Count_Dep_CatG</f>
        <v>Age Bracket</v>
      </c>
      <c r="B342" s="1230" t="str">
        <f ca="1"/>
        <v>Male</v>
      </c>
      <c r="C342" s="1231" t="str">
        <f ca="1"/>
        <v>Female</v>
      </c>
      <c r="D342" s="1229" t="str" cm="1">
        <f t="array" aca="1" ref="D342:F354" ca="1">Age_Band_GRP_Dep_CatG</f>
        <v>Age Bracket</v>
      </c>
      <c r="E342" s="1230" t="str">
        <f ca="1"/>
        <v>Male</v>
      </c>
      <c r="F342" s="1231" t="str">
        <f ca="1"/>
        <v>Female</v>
      </c>
      <c r="G342" s="1229" t="s">
        <v>286</v>
      </c>
      <c r="H342" s="1230" t="s">
        <v>65</v>
      </c>
      <c r="I342" s="1231" t="s">
        <v>66</v>
      </c>
      <c r="K342" s="808" t="b">
        <f t="shared" si="55"/>
        <v>0</v>
      </c>
    </row>
    <row r="343" spans="1:11" hidden="1" x14ac:dyDescent="0.25">
      <c r="A343" s="1202" t="str">
        <f ca="1"/>
        <v/>
      </c>
      <c r="B343" s="1232">
        <f ca="1"/>
        <v>0</v>
      </c>
      <c r="C343" s="1233">
        <f ca="1"/>
        <v>0</v>
      </c>
      <c r="D343" s="1202" t="str">
        <f ca="1"/>
        <v/>
      </c>
      <c r="E343" s="1234" t="str">
        <f ca="1"/>
        <v>NA</v>
      </c>
      <c r="F343" s="1235" t="str">
        <f ca="1"/>
        <v>NA</v>
      </c>
      <c r="G343" s="1202" t="str">
        <f t="shared" ref="G343:G354" ca="1" si="60">A343</f>
        <v/>
      </c>
      <c r="H343" s="1234">
        <f t="shared" ref="H343:H354" ca="1" si="61">IFERROR(B343*E343,0)</f>
        <v>0</v>
      </c>
      <c r="I343" s="1235">
        <f t="shared" ref="I343:I354" ca="1" si="62">IFERROR(C343*F343,0)</f>
        <v>0</v>
      </c>
      <c r="K343" s="808" t="b">
        <f t="shared" si="55"/>
        <v>0</v>
      </c>
    </row>
    <row r="344" spans="1:11" hidden="1" x14ac:dyDescent="0.25">
      <c r="A344" s="1236" t="str">
        <f ca="1"/>
        <v/>
      </c>
      <c r="B344" s="1237">
        <f ca="1"/>
        <v>0</v>
      </c>
      <c r="C344" s="1238">
        <f ca="1"/>
        <v>0</v>
      </c>
      <c r="D344" s="1236" t="str">
        <f ca="1"/>
        <v/>
      </c>
      <c r="E344" s="1239" t="str">
        <f ca="1"/>
        <v>NA</v>
      </c>
      <c r="F344" s="1240" t="str">
        <f ca="1"/>
        <v>NA</v>
      </c>
      <c r="G344" s="1236" t="str">
        <f t="shared" ca="1" si="60"/>
        <v/>
      </c>
      <c r="H344" s="1239">
        <f t="shared" ca="1" si="61"/>
        <v>0</v>
      </c>
      <c r="I344" s="1240">
        <f t="shared" ca="1" si="62"/>
        <v>0</v>
      </c>
      <c r="K344" s="808" t="b">
        <f t="shared" si="55"/>
        <v>0</v>
      </c>
    </row>
    <row r="345" spans="1:11" hidden="1" x14ac:dyDescent="0.25">
      <c r="A345" s="1202" t="str">
        <f ca="1"/>
        <v/>
      </c>
      <c r="B345" s="1232">
        <f ca="1"/>
        <v>0</v>
      </c>
      <c r="C345" s="1233">
        <f ca="1"/>
        <v>0</v>
      </c>
      <c r="D345" s="1202" t="str">
        <f ca="1"/>
        <v/>
      </c>
      <c r="E345" s="1234" t="str">
        <f ca="1"/>
        <v>NA</v>
      </c>
      <c r="F345" s="1235" t="str">
        <f ca="1"/>
        <v>NA</v>
      </c>
      <c r="G345" s="1202" t="str">
        <f t="shared" ca="1" si="60"/>
        <v/>
      </c>
      <c r="H345" s="1234">
        <f t="shared" ca="1" si="61"/>
        <v>0</v>
      </c>
      <c r="I345" s="1235">
        <f t="shared" ca="1" si="62"/>
        <v>0</v>
      </c>
      <c r="K345" s="808" t="b">
        <f t="shared" si="55"/>
        <v>0</v>
      </c>
    </row>
    <row r="346" spans="1:11" hidden="1" x14ac:dyDescent="0.25">
      <c r="A346" s="1236" t="str">
        <f ca="1"/>
        <v/>
      </c>
      <c r="B346" s="1237">
        <f ca="1"/>
        <v>0</v>
      </c>
      <c r="C346" s="1238">
        <f ca="1"/>
        <v>0</v>
      </c>
      <c r="D346" s="1236" t="str">
        <f ca="1"/>
        <v/>
      </c>
      <c r="E346" s="1239" t="str">
        <f ca="1"/>
        <v>NA</v>
      </c>
      <c r="F346" s="1240" t="str">
        <f ca="1"/>
        <v>NA</v>
      </c>
      <c r="G346" s="1236" t="str">
        <f t="shared" ca="1" si="60"/>
        <v/>
      </c>
      <c r="H346" s="1239">
        <f t="shared" ca="1" si="61"/>
        <v>0</v>
      </c>
      <c r="I346" s="1240">
        <f t="shared" ca="1" si="62"/>
        <v>0</v>
      </c>
      <c r="K346" s="808" t="b">
        <f t="shared" si="55"/>
        <v>0</v>
      </c>
    </row>
    <row r="347" spans="1:11" hidden="1" x14ac:dyDescent="0.25">
      <c r="A347" s="1202" t="str">
        <f ca="1"/>
        <v/>
      </c>
      <c r="B347" s="1232">
        <f ca="1"/>
        <v>0</v>
      </c>
      <c r="C347" s="1233">
        <f ca="1"/>
        <v>0</v>
      </c>
      <c r="D347" s="1202" t="str">
        <f ca="1"/>
        <v/>
      </c>
      <c r="E347" s="1234" t="str">
        <f ca="1"/>
        <v>NA</v>
      </c>
      <c r="F347" s="1235" t="str">
        <f ca="1"/>
        <v>NA</v>
      </c>
      <c r="G347" s="1202" t="str">
        <f t="shared" ca="1" si="60"/>
        <v/>
      </c>
      <c r="H347" s="1234">
        <f t="shared" ca="1" si="61"/>
        <v>0</v>
      </c>
      <c r="I347" s="1235">
        <f t="shared" ca="1" si="62"/>
        <v>0</v>
      </c>
      <c r="K347" s="808" t="b">
        <f t="shared" si="55"/>
        <v>0</v>
      </c>
    </row>
    <row r="348" spans="1:11" hidden="1" x14ac:dyDescent="0.25">
      <c r="A348" s="1236" t="str">
        <f ca="1"/>
        <v/>
      </c>
      <c r="B348" s="1237">
        <f ca="1"/>
        <v>0</v>
      </c>
      <c r="C348" s="1238">
        <f ca="1"/>
        <v>0</v>
      </c>
      <c r="D348" s="1236" t="str">
        <f ca="1"/>
        <v/>
      </c>
      <c r="E348" s="1239" t="str">
        <f ca="1"/>
        <v>NA</v>
      </c>
      <c r="F348" s="1240" t="str">
        <f ca="1"/>
        <v>NA</v>
      </c>
      <c r="G348" s="1236" t="str">
        <f t="shared" ca="1" si="60"/>
        <v/>
      </c>
      <c r="H348" s="1239">
        <f t="shared" ca="1" si="61"/>
        <v>0</v>
      </c>
      <c r="I348" s="1240">
        <f t="shared" ca="1" si="62"/>
        <v>0</v>
      </c>
      <c r="K348" s="1241" t="b">
        <f t="shared" ref="K348:K354" si="63">IF(Region_G="Abu Dhabi",FALSE,$K$23)</f>
        <v>0</v>
      </c>
    </row>
    <row r="349" spans="1:11" hidden="1" x14ac:dyDescent="0.25">
      <c r="A349" s="1202" t="str">
        <f ca="1"/>
        <v/>
      </c>
      <c r="B349" s="1232">
        <f ca="1"/>
        <v>0</v>
      </c>
      <c r="C349" s="1233">
        <f ca="1"/>
        <v>0</v>
      </c>
      <c r="D349" s="1202" t="str">
        <f ca="1"/>
        <v/>
      </c>
      <c r="E349" s="1234" t="str">
        <f ca="1"/>
        <v>NA</v>
      </c>
      <c r="F349" s="1235" t="str">
        <f ca="1"/>
        <v>NA</v>
      </c>
      <c r="G349" s="1202" t="str">
        <f t="shared" ca="1" si="60"/>
        <v/>
      </c>
      <c r="H349" s="1234">
        <f t="shared" ca="1" si="61"/>
        <v>0</v>
      </c>
      <c r="I349" s="1235">
        <f t="shared" ca="1" si="62"/>
        <v>0</v>
      </c>
      <c r="K349" s="1241" t="b">
        <f t="shared" si="63"/>
        <v>0</v>
      </c>
    </row>
    <row r="350" spans="1:11" hidden="1" x14ac:dyDescent="0.25">
      <c r="A350" s="1236" t="str">
        <f ca="1"/>
        <v/>
      </c>
      <c r="B350" s="1237">
        <f ca="1"/>
        <v>0</v>
      </c>
      <c r="C350" s="1238">
        <f ca="1"/>
        <v>0</v>
      </c>
      <c r="D350" s="1236" t="str">
        <f ca="1"/>
        <v/>
      </c>
      <c r="E350" s="1239" t="str">
        <f ca="1"/>
        <v>NA</v>
      </c>
      <c r="F350" s="1240" t="str">
        <f ca="1"/>
        <v>NA</v>
      </c>
      <c r="G350" s="1236" t="str">
        <f t="shared" ca="1" si="60"/>
        <v/>
      </c>
      <c r="H350" s="1239">
        <f t="shared" ca="1" si="61"/>
        <v>0</v>
      </c>
      <c r="I350" s="1240">
        <f t="shared" ca="1" si="62"/>
        <v>0</v>
      </c>
      <c r="K350" s="1241" t="b">
        <f t="shared" si="63"/>
        <v>0</v>
      </c>
    </row>
    <row r="351" spans="1:11" hidden="1" x14ac:dyDescent="0.25">
      <c r="A351" s="1202" t="str">
        <f ca="1"/>
        <v/>
      </c>
      <c r="B351" s="1232">
        <f ca="1"/>
        <v>0</v>
      </c>
      <c r="C351" s="1233">
        <f ca="1"/>
        <v>0</v>
      </c>
      <c r="D351" s="1202" t="str">
        <f ca="1"/>
        <v/>
      </c>
      <c r="E351" s="1234" t="str">
        <f ca="1"/>
        <v>NA</v>
      </c>
      <c r="F351" s="1235" t="str">
        <f ca="1"/>
        <v>NA</v>
      </c>
      <c r="G351" s="1202" t="str">
        <f t="shared" ca="1" si="60"/>
        <v/>
      </c>
      <c r="H351" s="1234">
        <f t="shared" ca="1" si="61"/>
        <v>0</v>
      </c>
      <c r="I351" s="1235">
        <f t="shared" ca="1" si="62"/>
        <v>0</v>
      </c>
      <c r="K351" s="1241" t="b">
        <f t="shared" si="63"/>
        <v>0</v>
      </c>
    </row>
    <row r="352" spans="1:11" hidden="1" x14ac:dyDescent="0.25">
      <c r="A352" s="1236" t="str">
        <f ca="1"/>
        <v/>
      </c>
      <c r="B352" s="1237">
        <f ca="1"/>
        <v>0</v>
      </c>
      <c r="C352" s="1238">
        <f ca="1"/>
        <v>0</v>
      </c>
      <c r="D352" s="1236" t="str">
        <f ca="1"/>
        <v/>
      </c>
      <c r="E352" s="1239" t="str">
        <f ca="1"/>
        <v>NA</v>
      </c>
      <c r="F352" s="1240" t="str">
        <f ca="1"/>
        <v>NA</v>
      </c>
      <c r="G352" s="1236" t="str">
        <f t="shared" ca="1" si="60"/>
        <v/>
      </c>
      <c r="H352" s="1239">
        <f t="shared" ca="1" si="61"/>
        <v>0</v>
      </c>
      <c r="I352" s="1240">
        <f t="shared" ca="1" si="62"/>
        <v>0</v>
      </c>
      <c r="K352" s="1241" t="b">
        <f t="shared" si="63"/>
        <v>0</v>
      </c>
    </row>
    <row r="353" spans="1:11" hidden="1" x14ac:dyDescent="0.25">
      <c r="A353" s="1202" t="str">
        <f ca="1"/>
        <v/>
      </c>
      <c r="B353" s="1232">
        <f ca="1"/>
        <v>0</v>
      </c>
      <c r="C353" s="1233">
        <f ca="1"/>
        <v>0</v>
      </c>
      <c r="D353" s="1202" t="str">
        <f ca="1"/>
        <v/>
      </c>
      <c r="E353" s="1234" t="str">
        <f ca="1"/>
        <v>NA</v>
      </c>
      <c r="F353" s="1235" t="str">
        <f ca="1"/>
        <v>NA</v>
      </c>
      <c r="G353" s="1202" t="str">
        <f t="shared" ca="1" si="60"/>
        <v/>
      </c>
      <c r="H353" s="1234">
        <f t="shared" ca="1" si="61"/>
        <v>0</v>
      </c>
      <c r="I353" s="1235">
        <f t="shared" ca="1" si="62"/>
        <v>0</v>
      </c>
      <c r="K353" s="1241" t="b">
        <f t="shared" si="63"/>
        <v>0</v>
      </c>
    </row>
    <row r="354" spans="1:11" ht="15.75" hidden="1" thickBot="1" x14ac:dyDescent="0.3">
      <c r="A354" s="1242" t="str">
        <f ca="1"/>
        <v/>
      </c>
      <c r="B354" s="1243">
        <f ca="1"/>
        <v>0</v>
      </c>
      <c r="C354" s="1244">
        <f ca="1"/>
        <v>0</v>
      </c>
      <c r="D354" s="1242" t="str">
        <f ca="1"/>
        <v/>
      </c>
      <c r="E354" s="1245" t="str">
        <f ca="1"/>
        <v>NA</v>
      </c>
      <c r="F354" s="1246" t="str">
        <f ca="1"/>
        <v>NA</v>
      </c>
      <c r="G354" s="1242" t="str">
        <f t="shared" ca="1" si="60"/>
        <v/>
      </c>
      <c r="H354" s="1245">
        <f t="shared" ca="1" si="61"/>
        <v>0</v>
      </c>
      <c r="I354" s="1246">
        <f t="shared" ca="1" si="62"/>
        <v>0</v>
      </c>
      <c r="K354" s="1241" t="b">
        <f t="shared" si="63"/>
        <v>0</v>
      </c>
    </row>
    <row r="355" spans="1:11" ht="15.75" hidden="1" thickBot="1" x14ac:dyDescent="0.3">
      <c r="K355" s="808" t="b">
        <f t="shared" si="55"/>
        <v>0</v>
      </c>
    </row>
    <row r="356" spans="1:11" ht="21" hidden="1" thickTop="1" thickBot="1" x14ac:dyDescent="0.3">
      <c r="A356" s="1225" t="s">
        <v>1360</v>
      </c>
      <c r="B356" s="1226" t="s">
        <v>678</v>
      </c>
      <c r="C356" s="1227" t="str">
        <f>Maternity_Limit_G</f>
        <v>Up to AML</v>
      </c>
      <c r="D356" s="1226" t="s">
        <v>1018</v>
      </c>
      <c r="E356" s="1247">
        <f>Maternity_CoPay_G</f>
        <v>0</v>
      </c>
      <c r="F356" s="1226" t="s">
        <v>940</v>
      </c>
      <c r="G356" s="1227" t="str">
        <f>G339</f>
        <v>Dubai</v>
      </c>
      <c r="K356" s="808" t="b">
        <f t="shared" si="55"/>
        <v>0</v>
      </c>
    </row>
    <row r="357" spans="1:11" ht="15.75" hidden="1" thickBot="1" x14ac:dyDescent="0.3">
      <c r="K357" s="808" t="b">
        <f t="shared" si="55"/>
        <v>0</v>
      </c>
    </row>
    <row r="358" spans="1:11" ht="15.75" hidden="1" thickTop="1" x14ac:dyDescent="0.25">
      <c r="A358" s="1248"/>
      <c r="B358" s="1467" t="s">
        <v>1358</v>
      </c>
      <c r="C358" s="1468"/>
      <c r="D358" s="1467" t="s">
        <v>1358</v>
      </c>
      <c r="E358" s="1468"/>
      <c r="F358" s="1467" t="s">
        <v>1089</v>
      </c>
      <c r="G358" s="1469"/>
      <c r="K358" s="808" t="b">
        <f t="shared" si="55"/>
        <v>0</v>
      </c>
    </row>
    <row r="359" spans="1:11" hidden="1" x14ac:dyDescent="0.25">
      <c r="A359" s="1249" t="s">
        <v>286</v>
      </c>
      <c r="B359" s="1230" t="s">
        <v>1361</v>
      </c>
      <c r="C359" s="1231" t="s">
        <v>1105</v>
      </c>
      <c r="D359" s="1230" t="s">
        <v>1361</v>
      </c>
      <c r="E359" s="1231" t="s">
        <v>1105</v>
      </c>
      <c r="F359" s="1230" t="s">
        <v>1361</v>
      </c>
      <c r="G359" s="1250" t="s">
        <v>1105</v>
      </c>
      <c r="K359" s="808" t="b">
        <f t="shared" si="55"/>
        <v>0</v>
      </c>
    </row>
    <row r="360" spans="1:11" ht="15.75" hidden="1" thickBot="1" x14ac:dyDescent="0.3">
      <c r="A360" s="1204" t="str">
        <f>IF(Region_A="Abu Dhabi","18-50","18-45")</f>
        <v>18-45</v>
      </c>
      <c r="B360" s="1251" cm="1">
        <f t="array" ref="B360:C360">TRANSPOSE('Member Data'!$U$43:$U$44)</f>
        <v>0</v>
      </c>
      <c r="C360" s="1252">
        <v>0</v>
      </c>
      <c r="D360" s="1253" t="str">
        <f ca="1">Maternity_GRP_G</f>
        <v>NA</v>
      </c>
      <c r="E360" s="1253" t="str">
        <f ca="1">Maternity_GRP_G</f>
        <v>NA</v>
      </c>
      <c r="F360" s="1253">
        <f ca="1">IFERROR(B360*D360,0)</f>
        <v>0</v>
      </c>
      <c r="G360" s="1254">
        <f ca="1">IFERROR(C360*E360,0)</f>
        <v>0</v>
      </c>
      <c r="K360" s="808" t="b">
        <f t="shared" si="55"/>
        <v>0</v>
      </c>
    </row>
    <row r="361" spans="1:11" hidden="1" x14ac:dyDescent="0.25">
      <c r="A361" s="1255"/>
      <c r="B361" s="1255"/>
      <c r="C361" s="1255"/>
      <c r="D361" s="1256"/>
      <c r="E361" s="1256"/>
      <c r="F361" s="1256"/>
      <c r="G361" s="1256"/>
      <c r="K361" s="808" t="b">
        <f t="shared" si="55"/>
        <v>0</v>
      </c>
    </row>
    <row r="362" spans="1:11" ht="15.75" hidden="1" thickBot="1" x14ac:dyDescent="0.3">
      <c r="K362" s="808" t="b">
        <f t="shared" si="55"/>
        <v>0</v>
      </c>
    </row>
    <row r="363" spans="1:11" ht="21" hidden="1" thickTop="1" thickBot="1" x14ac:dyDescent="0.3">
      <c r="A363" s="1459" t="s">
        <v>1377</v>
      </c>
      <c r="B363" s="1460"/>
      <c r="C363" s="1460"/>
      <c r="D363" s="1460"/>
      <c r="E363" s="1460"/>
      <c r="F363" s="1460"/>
      <c r="G363" s="1460"/>
      <c r="H363" s="1460"/>
      <c r="I363" s="1461"/>
      <c r="K363" s="808" t="b">
        <f>$K$24</f>
        <v>0</v>
      </c>
    </row>
    <row r="364" spans="1:11" ht="15.75" hidden="1" thickBot="1" x14ac:dyDescent="0.3">
      <c r="K364" s="808" t="b">
        <f t="shared" ref="K364:K410" si="64">$K$24</f>
        <v>0</v>
      </c>
    </row>
    <row r="365" spans="1:11" ht="25.5" hidden="1" x14ac:dyDescent="0.25">
      <c r="A365" s="1214" t="s">
        <v>1364</v>
      </c>
      <c r="B365" s="1215">
        <f ca="1">SUM(H374:I385,H391:I402)</f>
        <v>0</v>
      </c>
      <c r="D365" s="1216" t="s">
        <v>1367</v>
      </c>
      <c r="E365" s="1215">
        <f ca="1">F408+G408</f>
        <v>0</v>
      </c>
      <c r="G365" s="1216" t="s">
        <v>1369</v>
      </c>
      <c r="H365" s="1215">
        <f ca="1">B365+E365</f>
        <v>0</v>
      </c>
      <c r="K365" s="808" t="b">
        <f t="shared" si="64"/>
        <v>0</v>
      </c>
    </row>
    <row r="366" spans="1:11" ht="26.25" hidden="1" thickBot="1" x14ac:dyDescent="0.3">
      <c r="A366" s="1217" t="s">
        <v>1365</v>
      </c>
      <c r="B366" s="1218">
        <f ca="1">SUM(B374:C385,B391:C402)</f>
        <v>0</v>
      </c>
      <c r="D366" s="1219" t="str">
        <f>"Married Female - "&amp;IF(Region_H="Abu Dhabi","18-50","18-45")</f>
        <v>Married Female - 18-45</v>
      </c>
      <c r="E366" s="1218">
        <f>B408+C408</f>
        <v>0</v>
      </c>
      <c r="G366" s="1219" t="str">
        <f>IF(Region_H="Dubai","Bashmah Fee (AED 37/per Member)","ICP Fee (AED 28 / per Member)")</f>
        <v>Bashmah Fee (AED 37/per Member)</v>
      </c>
      <c r="H366" s="1220">
        <f ca="1">IF(Region_H="Dubai",37*B366,28*B366)</f>
        <v>0</v>
      </c>
      <c r="K366" s="808" t="b">
        <f t="shared" si="64"/>
        <v>0</v>
      </c>
    </row>
    <row r="367" spans="1:11" ht="27" hidden="1" thickTop="1" thickBot="1" x14ac:dyDescent="0.3">
      <c r="A367" s="1221" t="s">
        <v>1366</v>
      </c>
      <c r="B367" s="1222">
        <f ca="1">IFERROR(B365/B366,0)</f>
        <v>0</v>
      </c>
      <c r="D367" s="1223" t="s">
        <v>1368</v>
      </c>
      <c r="E367" s="1222" t="str">
        <f ca="1">Maternity_GRP_H</f>
        <v>NA</v>
      </c>
      <c r="G367" s="1223" t="s">
        <v>1370</v>
      </c>
      <c r="H367" s="1222">
        <f ca="1">(H365+H366)*5%</f>
        <v>0</v>
      </c>
      <c r="I367" s="1224">
        <f ca="1">SUM(H365:H367)</f>
        <v>0</v>
      </c>
      <c r="K367" s="808" t="b">
        <f t="shared" si="64"/>
        <v>0</v>
      </c>
    </row>
    <row r="368" spans="1:11" hidden="1" x14ac:dyDescent="0.25">
      <c r="K368" s="808" t="b">
        <f t="shared" si="64"/>
        <v>0</v>
      </c>
    </row>
    <row r="369" spans="1:11" ht="15.75" hidden="1" thickBot="1" x14ac:dyDescent="0.3">
      <c r="K369" s="808" t="b">
        <f t="shared" si="64"/>
        <v>0</v>
      </c>
    </row>
    <row r="370" spans="1:11" ht="21" hidden="1" thickTop="1" thickBot="1" x14ac:dyDescent="0.3">
      <c r="A370" s="1225" t="s">
        <v>1359</v>
      </c>
      <c r="B370" s="1226" t="s">
        <v>1296</v>
      </c>
      <c r="C370" s="1227">
        <f>AML_H</f>
        <v>250000</v>
      </c>
      <c r="D370" s="1226" t="s">
        <v>33</v>
      </c>
      <c r="E370" s="1227" t="str">
        <f>"NAS - "&amp;Network_H</f>
        <v>NAS - Workers Network</v>
      </c>
      <c r="F370" s="1226" t="s">
        <v>940</v>
      </c>
      <c r="G370" s="1227" t="str">
        <f>Region_H</f>
        <v>Dubai</v>
      </c>
      <c r="H370" s="1226" t="s">
        <v>1357</v>
      </c>
      <c r="I370" s="1227" t="str">
        <f>Area_H</f>
        <v>Worldwide at R&amp;C of UAE</v>
      </c>
      <c r="K370" s="808" t="b">
        <f t="shared" si="64"/>
        <v>0</v>
      </c>
    </row>
    <row r="371" spans="1:11" ht="15.75" hidden="1" thickBot="1" x14ac:dyDescent="0.3">
      <c r="A371" s="1228"/>
      <c r="B371" s="1228"/>
      <c r="K371" s="808" t="b">
        <f t="shared" si="64"/>
        <v>0</v>
      </c>
    </row>
    <row r="372" spans="1:11" hidden="1" x14ac:dyDescent="0.25">
      <c r="A372" s="1462" t="s">
        <v>1355</v>
      </c>
      <c r="B372" s="1463"/>
      <c r="C372" s="1464"/>
      <c r="D372" s="1465" t="s">
        <v>1363</v>
      </c>
      <c r="E372" s="1466"/>
      <c r="F372" s="1464"/>
      <c r="G372" s="1465" t="s">
        <v>133</v>
      </c>
      <c r="H372" s="1466"/>
      <c r="I372" s="1464"/>
      <c r="K372" s="808" t="b">
        <f t="shared" si="64"/>
        <v>0</v>
      </c>
    </row>
    <row r="373" spans="1:11" hidden="1" x14ac:dyDescent="0.25">
      <c r="A373" s="1229" t="str" cm="1">
        <f t="array" aca="1" ref="A373:C385" ca="1">Age_Band_Count_Emp_CatH</f>
        <v>Age Bracket</v>
      </c>
      <c r="B373" s="1230" t="str">
        <f ca="1"/>
        <v>Male</v>
      </c>
      <c r="C373" s="1231" t="str">
        <f ca="1"/>
        <v>Female</v>
      </c>
      <c r="D373" s="1229" t="str" cm="1">
        <f t="array" aca="1" ref="D373:F385" ca="1">Age_Band_GRP_Emp_CatH</f>
        <v>Age Bracket</v>
      </c>
      <c r="E373" s="1230" t="str">
        <f ca="1"/>
        <v>Male</v>
      </c>
      <c r="F373" s="1231" t="str">
        <f ca="1"/>
        <v>Female</v>
      </c>
      <c r="G373" s="1229" t="s">
        <v>286</v>
      </c>
      <c r="H373" s="1230" t="s">
        <v>65</v>
      </c>
      <c r="I373" s="1231" t="s">
        <v>66</v>
      </c>
      <c r="K373" s="808" t="b">
        <f t="shared" si="64"/>
        <v>0</v>
      </c>
    </row>
    <row r="374" spans="1:11" hidden="1" x14ac:dyDescent="0.25">
      <c r="A374" s="1202" t="str">
        <f ca="1"/>
        <v/>
      </c>
      <c r="B374" s="1232">
        <f ca="1"/>
        <v>0</v>
      </c>
      <c r="C374" s="1233">
        <f ca="1"/>
        <v>0</v>
      </c>
      <c r="D374" s="1202" t="str">
        <f ca="1"/>
        <v/>
      </c>
      <c r="E374" s="1234" t="str">
        <f ca="1"/>
        <v>NA</v>
      </c>
      <c r="F374" s="1235" t="str">
        <f ca="1"/>
        <v>NA</v>
      </c>
      <c r="G374" s="1202" t="str">
        <f t="shared" ref="G374:G385" ca="1" si="65">A374</f>
        <v/>
      </c>
      <c r="H374" s="1234">
        <f t="shared" ref="H374:H385" ca="1" si="66">IFERROR(B374*E374,0)</f>
        <v>0</v>
      </c>
      <c r="I374" s="1235">
        <f t="shared" ref="I374:I385" ca="1" si="67">IFERROR(C374*F374,0)</f>
        <v>0</v>
      </c>
      <c r="K374" s="808" t="b">
        <f t="shared" si="64"/>
        <v>0</v>
      </c>
    </row>
    <row r="375" spans="1:11" hidden="1" x14ac:dyDescent="0.25">
      <c r="A375" s="1236" t="str">
        <f ca="1"/>
        <v/>
      </c>
      <c r="B375" s="1237">
        <f ca="1"/>
        <v>0</v>
      </c>
      <c r="C375" s="1238">
        <f ca="1"/>
        <v>0</v>
      </c>
      <c r="D375" s="1236" t="str">
        <f ca="1"/>
        <v/>
      </c>
      <c r="E375" s="1239" t="str">
        <f ca="1"/>
        <v>NA</v>
      </c>
      <c r="F375" s="1240" t="str">
        <f ca="1"/>
        <v>NA</v>
      </c>
      <c r="G375" s="1236" t="str">
        <f t="shared" ca="1" si="65"/>
        <v/>
      </c>
      <c r="H375" s="1239">
        <f t="shared" ca="1" si="66"/>
        <v>0</v>
      </c>
      <c r="I375" s="1240">
        <f t="shared" ca="1" si="67"/>
        <v>0</v>
      </c>
      <c r="K375" s="808" t="b">
        <f t="shared" si="64"/>
        <v>0</v>
      </c>
    </row>
    <row r="376" spans="1:11" hidden="1" x14ac:dyDescent="0.25">
      <c r="A376" s="1202" t="str">
        <f ca="1"/>
        <v/>
      </c>
      <c r="B376" s="1232">
        <f ca="1"/>
        <v>0</v>
      </c>
      <c r="C376" s="1233">
        <f ca="1"/>
        <v>0</v>
      </c>
      <c r="D376" s="1202" t="str">
        <f ca="1"/>
        <v/>
      </c>
      <c r="E376" s="1234" t="str">
        <f ca="1"/>
        <v>NA</v>
      </c>
      <c r="F376" s="1235" t="str">
        <f ca="1"/>
        <v>NA</v>
      </c>
      <c r="G376" s="1202" t="str">
        <f t="shared" ca="1" si="65"/>
        <v/>
      </c>
      <c r="H376" s="1234">
        <f t="shared" ca="1" si="66"/>
        <v>0</v>
      </c>
      <c r="I376" s="1235">
        <f t="shared" ca="1" si="67"/>
        <v>0</v>
      </c>
      <c r="K376" s="808" t="b">
        <f t="shared" si="64"/>
        <v>0</v>
      </c>
    </row>
    <row r="377" spans="1:11" hidden="1" x14ac:dyDescent="0.25">
      <c r="A377" s="1236" t="str">
        <f ca="1"/>
        <v/>
      </c>
      <c r="B377" s="1237">
        <f ca="1"/>
        <v>0</v>
      </c>
      <c r="C377" s="1238">
        <f ca="1"/>
        <v>0</v>
      </c>
      <c r="D377" s="1236" t="str">
        <f ca="1"/>
        <v/>
      </c>
      <c r="E377" s="1239" t="str">
        <f ca="1"/>
        <v>NA</v>
      </c>
      <c r="F377" s="1240" t="str">
        <f ca="1"/>
        <v>NA</v>
      </c>
      <c r="G377" s="1236" t="str">
        <f t="shared" ca="1" si="65"/>
        <v/>
      </c>
      <c r="H377" s="1239">
        <f t="shared" ca="1" si="66"/>
        <v>0</v>
      </c>
      <c r="I377" s="1240">
        <f t="shared" ca="1" si="67"/>
        <v>0</v>
      </c>
      <c r="K377" s="808" t="b">
        <f t="shared" si="64"/>
        <v>0</v>
      </c>
    </row>
    <row r="378" spans="1:11" hidden="1" x14ac:dyDescent="0.25">
      <c r="A378" s="1202" t="str">
        <f ca="1"/>
        <v/>
      </c>
      <c r="B378" s="1232">
        <f ca="1"/>
        <v>0</v>
      </c>
      <c r="C378" s="1233">
        <f ca="1"/>
        <v>0</v>
      </c>
      <c r="D378" s="1202" t="str">
        <f ca="1"/>
        <v/>
      </c>
      <c r="E378" s="1234" t="str">
        <f ca="1"/>
        <v>NA</v>
      </c>
      <c r="F378" s="1235" t="str">
        <f ca="1"/>
        <v>NA</v>
      </c>
      <c r="G378" s="1202" t="str">
        <f t="shared" ca="1" si="65"/>
        <v/>
      </c>
      <c r="H378" s="1234">
        <f t="shared" ca="1" si="66"/>
        <v>0</v>
      </c>
      <c r="I378" s="1235">
        <f t="shared" ca="1" si="67"/>
        <v>0</v>
      </c>
      <c r="K378" s="808" t="b">
        <f t="shared" si="64"/>
        <v>0</v>
      </c>
    </row>
    <row r="379" spans="1:11" hidden="1" x14ac:dyDescent="0.25">
      <c r="A379" s="1236" t="str">
        <f ca="1"/>
        <v/>
      </c>
      <c r="B379" s="1237">
        <f ca="1"/>
        <v>0</v>
      </c>
      <c r="C379" s="1238">
        <f ca="1"/>
        <v>0</v>
      </c>
      <c r="D379" s="1236" t="str">
        <f ca="1"/>
        <v/>
      </c>
      <c r="E379" s="1239" t="str">
        <f ca="1"/>
        <v>NA</v>
      </c>
      <c r="F379" s="1240" t="str">
        <f ca="1"/>
        <v>NA</v>
      </c>
      <c r="G379" s="1236" t="str">
        <f t="shared" ca="1" si="65"/>
        <v/>
      </c>
      <c r="H379" s="1239">
        <f t="shared" ca="1" si="66"/>
        <v>0</v>
      </c>
      <c r="I379" s="1240">
        <f t="shared" ca="1" si="67"/>
        <v>0</v>
      </c>
      <c r="K379" s="1241" t="b">
        <f t="shared" ref="K379:K385" si="68">IF(Region_H="Abu Dhabi",FALSE,$K$24)</f>
        <v>0</v>
      </c>
    </row>
    <row r="380" spans="1:11" hidden="1" x14ac:dyDescent="0.25">
      <c r="A380" s="1202" t="str">
        <f ca="1"/>
        <v/>
      </c>
      <c r="B380" s="1232">
        <f ca="1"/>
        <v>0</v>
      </c>
      <c r="C380" s="1233">
        <f ca="1"/>
        <v>0</v>
      </c>
      <c r="D380" s="1202" t="str">
        <f ca="1"/>
        <v/>
      </c>
      <c r="E380" s="1234" t="str">
        <f ca="1"/>
        <v>NA</v>
      </c>
      <c r="F380" s="1235" t="str">
        <f ca="1"/>
        <v>NA</v>
      </c>
      <c r="G380" s="1202" t="str">
        <f t="shared" ca="1" si="65"/>
        <v/>
      </c>
      <c r="H380" s="1234">
        <f t="shared" ca="1" si="66"/>
        <v>0</v>
      </c>
      <c r="I380" s="1235">
        <f t="shared" ca="1" si="67"/>
        <v>0</v>
      </c>
      <c r="K380" s="1241" t="b">
        <f t="shared" si="68"/>
        <v>0</v>
      </c>
    </row>
    <row r="381" spans="1:11" hidden="1" x14ac:dyDescent="0.25">
      <c r="A381" s="1236" t="str">
        <f ca="1"/>
        <v/>
      </c>
      <c r="B381" s="1237">
        <f ca="1"/>
        <v>0</v>
      </c>
      <c r="C381" s="1238">
        <f ca="1"/>
        <v>0</v>
      </c>
      <c r="D381" s="1236" t="str">
        <f ca="1"/>
        <v/>
      </c>
      <c r="E381" s="1239" t="str">
        <f ca="1"/>
        <v>NA</v>
      </c>
      <c r="F381" s="1240" t="str">
        <f ca="1"/>
        <v>NA</v>
      </c>
      <c r="G381" s="1236" t="str">
        <f t="shared" ca="1" si="65"/>
        <v/>
      </c>
      <c r="H381" s="1239">
        <f t="shared" ca="1" si="66"/>
        <v>0</v>
      </c>
      <c r="I381" s="1240">
        <f t="shared" ca="1" si="67"/>
        <v>0</v>
      </c>
      <c r="K381" s="1241" t="b">
        <f t="shared" si="68"/>
        <v>0</v>
      </c>
    </row>
    <row r="382" spans="1:11" hidden="1" x14ac:dyDescent="0.25">
      <c r="A382" s="1202" t="str">
        <f ca="1"/>
        <v/>
      </c>
      <c r="B382" s="1232">
        <f ca="1"/>
        <v>0</v>
      </c>
      <c r="C382" s="1233">
        <f ca="1"/>
        <v>0</v>
      </c>
      <c r="D382" s="1202" t="str">
        <f ca="1"/>
        <v/>
      </c>
      <c r="E382" s="1234" t="str">
        <f ca="1"/>
        <v>NA</v>
      </c>
      <c r="F382" s="1235" t="str">
        <f ca="1"/>
        <v>NA</v>
      </c>
      <c r="G382" s="1202" t="str">
        <f t="shared" ca="1" si="65"/>
        <v/>
      </c>
      <c r="H382" s="1234">
        <f t="shared" ca="1" si="66"/>
        <v>0</v>
      </c>
      <c r="I382" s="1235">
        <f t="shared" ca="1" si="67"/>
        <v>0</v>
      </c>
      <c r="K382" s="1241" t="b">
        <f t="shared" si="68"/>
        <v>0</v>
      </c>
    </row>
    <row r="383" spans="1:11" hidden="1" x14ac:dyDescent="0.25">
      <c r="A383" s="1236" t="str">
        <f ca="1"/>
        <v/>
      </c>
      <c r="B383" s="1237">
        <f ca="1"/>
        <v>0</v>
      </c>
      <c r="C383" s="1238">
        <f ca="1"/>
        <v>0</v>
      </c>
      <c r="D383" s="1236" t="str">
        <f ca="1"/>
        <v/>
      </c>
      <c r="E383" s="1239" t="str">
        <f ca="1"/>
        <v>NA</v>
      </c>
      <c r="F383" s="1240" t="str">
        <f ca="1"/>
        <v>NA</v>
      </c>
      <c r="G383" s="1236" t="str">
        <f t="shared" ca="1" si="65"/>
        <v/>
      </c>
      <c r="H383" s="1239">
        <f t="shared" ca="1" si="66"/>
        <v>0</v>
      </c>
      <c r="I383" s="1240">
        <f t="shared" ca="1" si="67"/>
        <v>0</v>
      </c>
      <c r="K383" s="1241" t="b">
        <f t="shared" si="68"/>
        <v>0</v>
      </c>
    </row>
    <row r="384" spans="1:11" hidden="1" x14ac:dyDescent="0.25">
      <c r="A384" s="1202" t="str">
        <f ca="1"/>
        <v/>
      </c>
      <c r="B384" s="1232">
        <f ca="1"/>
        <v>0</v>
      </c>
      <c r="C384" s="1233">
        <f ca="1"/>
        <v>0</v>
      </c>
      <c r="D384" s="1202" t="str">
        <f ca="1"/>
        <v/>
      </c>
      <c r="E384" s="1234" t="str">
        <f ca="1"/>
        <v>NA</v>
      </c>
      <c r="F384" s="1235" t="str">
        <f ca="1"/>
        <v>NA</v>
      </c>
      <c r="G384" s="1202" t="str">
        <f t="shared" ca="1" si="65"/>
        <v/>
      </c>
      <c r="H384" s="1234">
        <f t="shared" ca="1" si="66"/>
        <v>0</v>
      </c>
      <c r="I384" s="1235">
        <f t="shared" ca="1" si="67"/>
        <v>0</v>
      </c>
      <c r="K384" s="1241" t="b">
        <f t="shared" si="68"/>
        <v>0</v>
      </c>
    </row>
    <row r="385" spans="1:11" ht="15.75" hidden="1" thickBot="1" x14ac:dyDescent="0.3">
      <c r="A385" s="1242" t="str">
        <f ca="1"/>
        <v/>
      </c>
      <c r="B385" s="1243">
        <f ca="1"/>
        <v>0</v>
      </c>
      <c r="C385" s="1244">
        <f ca="1"/>
        <v>0</v>
      </c>
      <c r="D385" s="1242" t="str">
        <f ca="1"/>
        <v/>
      </c>
      <c r="E385" s="1245" t="str">
        <f ca="1"/>
        <v>NA</v>
      </c>
      <c r="F385" s="1246" t="str">
        <f ca="1"/>
        <v>NA</v>
      </c>
      <c r="G385" s="1242" t="str">
        <f t="shared" ca="1" si="65"/>
        <v/>
      </c>
      <c r="H385" s="1245">
        <f t="shared" ca="1" si="66"/>
        <v>0</v>
      </c>
      <c r="I385" s="1246">
        <f t="shared" ca="1" si="67"/>
        <v>0</v>
      </c>
      <c r="K385" s="1241" t="b">
        <f t="shared" si="68"/>
        <v>0</v>
      </c>
    </row>
    <row r="386" spans="1:11" ht="15.75" hidden="1" thickBot="1" x14ac:dyDescent="0.3">
      <c r="K386" s="808" t="b">
        <f t="shared" si="64"/>
        <v>0</v>
      </c>
    </row>
    <row r="387" spans="1:11" ht="21" hidden="1" thickTop="1" thickBot="1" x14ac:dyDescent="0.3">
      <c r="A387" s="1225" t="s">
        <v>1356</v>
      </c>
      <c r="B387" s="1226" t="s">
        <v>1296</v>
      </c>
      <c r="C387" s="1227">
        <f>C370</f>
        <v>250000</v>
      </c>
      <c r="D387" s="1226" t="s">
        <v>33</v>
      </c>
      <c r="E387" s="1227" t="str">
        <f>E370</f>
        <v>NAS - Workers Network</v>
      </c>
      <c r="F387" s="1226" t="s">
        <v>940</v>
      </c>
      <c r="G387" s="1227" t="str">
        <f>G370</f>
        <v>Dubai</v>
      </c>
      <c r="H387" s="1226" t="s">
        <v>1357</v>
      </c>
      <c r="I387" s="1227" t="str">
        <f>I370</f>
        <v>Worldwide at R&amp;C of UAE</v>
      </c>
      <c r="K387" s="808" t="b">
        <f t="shared" si="64"/>
        <v>0</v>
      </c>
    </row>
    <row r="388" spans="1:11" ht="15.75" hidden="1" thickBot="1" x14ac:dyDescent="0.3">
      <c r="K388" s="808" t="b">
        <f t="shared" si="64"/>
        <v>0</v>
      </c>
    </row>
    <row r="389" spans="1:11" hidden="1" x14ac:dyDescent="0.25">
      <c r="A389" s="1462" t="s">
        <v>1355</v>
      </c>
      <c r="B389" s="1463"/>
      <c r="C389" s="1464"/>
      <c r="D389" s="1465" t="s">
        <v>1363</v>
      </c>
      <c r="E389" s="1466"/>
      <c r="F389" s="1464"/>
      <c r="G389" s="1465" t="s">
        <v>133</v>
      </c>
      <c r="H389" s="1466"/>
      <c r="I389" s="1464"/>
      <c r="K389" s="808" t="b">
        <f t="shared" si="64"/>
        <v>0</v>
      </c>
    </row>
    <row r="390" spans="1:11" hidden="1" x14ac:dyDescent="0.25">
      <c r="A390" s="1229" t="str" cm="1">
        <f t="array" aca="1" ref="A390:C402" ca="1">Age_Band_Count_Dep_CatH</f>
        <v>Age Bracket</v>
      </c>
      <c r="B390" s="1230" t="str">
        <f ca="1"/>
        <v>Male</v>
      </c>
      <c r="C390" s="1231" t="str">
        <f ca="1"/>
        <v>Female</v>
      </c>
      <c r="D390" s="1229" t="str" cm="1">
        <f t="array" aca="1" ref="D390:F402" ca="1">Age_Band_GRP_Dep_CatH</f>
        <v>Age Bracket</v>
      </c>
      <c r="E390" s="1230" t="str">
        <f ca="1"/>
        <v>Male</v>
      </c>
      <c r="F390" s="1231" t="str">
        <f ca="1"/>
        <v>Female</v>
      </c>
      <c r="G390" s="1229" t="s">
        <v>286</v>
      </c>
      <c r="H390" s="1230" t="s">
        <v>65</v>
      </c>
      <c r="I390" s="1231" t="s">
        <v>66</v>
      </c>
      <c r="K390" s="808" t="b">
        <f t="shared" si="64"/>
        <v>0</v>
      </c>
    </row>
    <row r="391" spans="1:11" hidden="1" x14ac:dyDescent="0.25">
      <c r="A391" s="1202" t="str">
        <f ca="1"/>
        <v/>
      </c>
      <c r="B391" s="1232">
        <f ca="1"/>
        <v>0</v>
      </c>
      <c r="C391" s="1233">
        <f ca="1"/>
        <v>0</v>
      </c>
      <c r="D391" s="1202" t="str">
        <f ca="1"/>
        <v/>
      </c>
      <c r="E391" s="1234" t="str">
        <f ca="1"/>
        <v>NA</v>
      </c>
      <c r="F391" s="1235" t="str">
        <f ca="1"/>
        <v>NA</v>
      </c>
      <c r="G391" s="1202" t="str">
        <f t="shared" ref="G391:G402" ca="1" si="69">A391</f>
        <v/>
      </c>
      <c r="H391" s="1234">
        <f t="shared" ref="H391:H402" ca="1" si="70">IFERROR(B391*E391,0)</f>
        <v>0</v>
      </c>
      <c r="I391" s="1235">
        <f t="shared" ref="I391:I402" ca="1" si="71">IFERROR(C391*F391,0)</f>
        <v>0</v>
      </c>
      <c r="K391" s="808" t="b">
        <f t="shared" si="64"/>
        <v>0</v>
      </c>
    </row>
    <row r="392" spans="1:11" hidden="1" x14ac:dyDescent="0.25">
      <c r="A392" s="1236" t="str">
        <f ca="1"/>
        <v/>
      </c>
      <c r="B392" s="1237">
        <f ca="1"/>
        <v>0</v>
      </c>
      <c r="C392" s="1238">
        <f ca="1"/>
        <v>0</v>
      </c>
      <c r="D392" s="1236" t="str">
        <f ca="1"/>
        <v/>
      </c>
      <c r="E392" s="1239" t="str">
        <f ca="1"/>
        <v>NA</v>
      </c>
      <c r="F392" s="1240" t="str">
        <f ca="1"/>
        <v>NA</v>
      </c>
      <c r="G392" s="1236" t="str">
        <f t="shared" ca="1" si="69"/>
        <v/>
      </c>
      <c r="H392" s="1239">
        <f t="shared" ca="1" si="70"/>
        <v>0</v>
      </c>
      <c r="I392" s="1240">
        <f t="shared" ca="1" si="71"/>
        <v>0</v>
      </c>
      <c r="K392" s="808" t="b">
        <f t="shared" si="64"/>
        <v>0</v>
      </c>
    </row>
    <row r="393" spans="1:11" hidden="1" x14ac:dyDescent="0.25">
      <c r="A393" s="1202" t="str">
        <f ca="1"/>
        <v/>
      </c>
      <c r="B393" s="1232">
        <f ca="1"/>
        <v>0</v>
      </c>
      <c r="C393" s="1233">
        <f ca="1"/>
        <v>0</v>
      </c>
      <c r="D393" s="1202" t="str">
        <f ca="1"/>
        <v/>
      </c>
      <c r="E393" s="1234" t="str">
        <f ca="1"/>
        <v>NA</v>
      </c>
      <c r="F393" s="1235" t="str">
        <f ca="1"/>
        <v>NA</v>
      </c>
      <c r="G393" s="1202" t="str">
        <f t="shared" ca="1" si="69"/>
        <v/>
      </c>
      <c r="H393" s="1234">
        <f t="shared" ca="1" si="70"/>
        <v>0</v>
      </c>
      <c r="I393" s="1235">
        <f t="shared" ca="1" si="71"/>
        <v>0</v>
      </c>
      <c r="K393" s="808" t="b">
        <f t="shared" si="64"/>
        <v>0</v>
      </c>
    </row>
    <row r="394" spans="1:11" hidden="1" x14ac:dyDescent="0.25">
      <c r="A394" s="1236" t="str">
        <f ca="1"/>
        <v/>
      </c>
      <c r="B394" s="1237">
        <f ca="1"/>
        <v>0</v>
      </c>
      <c r="C394" s="1238">
        <f ca="1"/>
        <v>0</v>
      </c>
      <c r="D394" s="1236" t="str">
        <f ca="1"/>
        <v/>
      </c>
      <c r="E394" s="1239" t="str">
        <f ca="1"/>
        <v>NA</v>
      </c>
      <c r="F394" s="1240" t="str">
        <f ca="1"/>
        <v>NA</v>
      </c>
      <c r="G394" s="1236" t="str">
        <f t="shared" ca="1" si="69"/>
        <v/>
      </c>
      <c r="H394" s="1239">
        <f t="shared" ca="1" si="70"/>
        <v>0</v>
      </c>
      <c r="I394" s="1240">
        <f t="shared" ca="1" si="71"/>
        <v>0</v>
      </c>
      <c r="K394" s="808" t="b">
        <f t="shared" si="64"/>
        <v>0</v>
      </c>
    </row>
    <row r="395" spans="1:11" hidden="1" x14ac:dyDescent="0.25">
      <c r="A395" s="1202" t="str">
        <f ca="1"/>
        <v/>
      </c>
      <c r="B395" s="1232">
        <f ca="1"/>
        <v>0</v>
      </c>
      <c r="C395" s="1233">
        <f ca="1"/>
        <v>0</v>
      </c>
      <c r="D395" s="1202" t="str">
        <f ca="1"/>
        <v/>
      </c>
      <c r="E395" s="1234" t="str">
        <f ca="1"/>
        <v>NA</v>
      </c>
      <c r="F395" s="1235" t="str">
        <f ca="1"/>
        <v>NA</v>
      </c>
      <c r="G395" s="1202" t="str">
        <f t="shared" ca="1" si="69"/>
        <v/>
      </c>
      <c r="H395" s="1234">
        <f t="shared" ca="1" si="70"/>
        <v>0</v>
      </c>
      <c r="I395" s="1235">
        <f t="shared" ca="1" si="71"/>
        <v>0</v>
      </c>
      <c r="K395" s="808" t="b">
        <f t="shared" si="64"/>
        <v>0</v>
      </c>
    </row>
    <row r="396" spans="1:11" hidden="1" x14ac:dyDescent="0.25">
      <c r="A396" s="1236" t="str">
        <f ca="1"/>
        <v/>
      </c>
      <c r="B396" s="1237">
        <f ca="1"/>
        <v>0</v>
      </c>
      <c r="C396" s="1238">
        <f ca="1"/>
        <v>0</v>
      </c>
      <c r="D396" s="1236" t="str">
        <f ca="1"/>
        <v/>
      </c>
      <c r="E396" s="1239" t="str">
        <f ca="1"/>
        <v>NA</v>
      </c>
      <c r="F396" s="1240" t="str">
        <f ca="1"/>
        <v>NA</v>
      </c>
      <c r="G396" s="1236" t="str">
        <f t="shared" ca="1" si="69"/>
        <v/>
      </c>
      <c r="H396" s="1239">
        <f t="shared" ca="1" si="70"/>
        <v>0</v>
      </c>
      <c r="I396" s="1240">
        <f t="shared" ca="1" si="71"/>
        <v>0</v>
      </c>
      <c r="K396" s="1241" t="b">
        <f t="shared" ref="K396:K402" si="72">IF(Region_H="Abu Dhabi",FALSE,$K$24)</f>
        <v>0</v>
      </c>
    </row>
    <row r="397" spans="1:11" hidden="1" x14ac:dyDescent="0.25">
      <c r="A397" s="1202" t="str">
        <f ca="1"/>
        <v/>
      </c>
      <c r="B397" s="1232">
        <f ca="1"/>
        <v>0</v>
      </c>
      <c r="C397" s="1233">
        <f ca="1"/>
        <v>0</v>
      </c>
      <c r="D397" s="1202" t="str">
        <f ca="1"/>
        <v/>
      </c>
      <c r="E397" s="1234" t="str">
        <f ca="1"/>
        <v>NA</v>
      </c>
      <c r="F397" s="1235" t="str">
        <f ca="1"/>
        <v>NA</v>
      </c>
      <c r="G397" s="1202" t="str">
        <f t="shared" ca="1" si="69"/>
        <v/>
      </c>
      <c r="H397" s="1234">
        <f t="shared" ca="1" si="70"/>
        <v>0</v>
      </c>
      <c r="I397" s="1235">
        <f t="shared" ca="1" si="71"/>
        <v>0</v>
      </c>
      <c r="K397" s="1241" t="b">
        <f t="shared" si="72"/>
        <v>0</v>
      </c>
    </row>
    <row r="398" spans="1:11" hidden="1" x14ac:dyDescent="0.25">
      <c r="A398" s="1236" t="str">
        <f ca="1"/>
        <v/>
      </c>
      <c r="B398" s="1237">
        <f ca="1"/>
        <v>0</v>
      </c>
      <c r="C398" s="1238">
        <f ca="1"/>
        <v>0</v>
      </c>
      <c r="D398" s="1236" t="str">
        <f ca="1"/>
        <v/>
      </c>
      <c r="E398" s="1239" t="str">
        <f ca="1"/>
        <v>NA</v>
      </c>
      <c r="F398" s="1240" t="str">
        <f ca="1"/>
        <v>NA</v>
      </c>
      <c r="G398" s="1236" t="str">
        <f t="shared" ca="1" si="69"/>
        <v/>
      </c>
      <c r="H398" s="1239">
        <f t="shared" ca="1" si="70"/>
        <v>0</v>
      </c>
      <c r="I398" s="1240">
        <f t="shared" ca="1" si="71"/>
        <v>0</v>
      </c>
      <c r="K398" s="1241" t="b">
        <f t="shared" si="72"/>
        <v>0</v>
      </c>
    </row>
    <row r="399" spans="1:11" hidden="1" x14ac:dyDescent="0.25">
      <c r="A399" s="1202" t="str">
        <f ca="1"/>
        <v/>
      </c>
      <c r="B399" s="1232">
        <f ca="1"/>
        <v>0</v>
      </c>
      <c r="C399" s="1233">
        <f ca="1"/>
        <v>0</v>
      </c>
      <c r="D399" s="1202" t="str">
        <f ca="1"/>
        <v/>
      </c>
      <c r="E399" s="1234" t="str">
        <f ca="1"/>
        <v>NA</v>
      </c>
      <c r="F399" s="1235" t="str">
        <f ca="1"/>
        <v>NA</v>
      </c>
      <c r="G399" s="1202" t="str">
        <f t="shared" ca="1" si="69"/>
        <v/>
      </c>
      <c r="H399" s="1234">
        <f t="shared" ca="1" si="70"/>
        <v>0</v>
      </c>
      <c r="I399" s="1235">
        <f t="shared" ca="1" si="71"/>
        <v>0</v>
      </c>
      <c r="K399" s="1241" t="b">
        <f t="shared" si="72"/>
        <v>0</v>
      </c>
    </row>
    <row r="400" spans="1:11" hidden="1" x14ac:dyDescent="0.25">
      <c r="A400" s="1236" t="str">
        <f ca="1"/>
        <v/>
      </c>
      <c r="B400" s="1237">
        <f ca="1"/>
        <v>0</v>
      </c>
      <c r="C400" s="1238">
        <f ca="1"/>
        <v>0</v>
      </c>
      <c r="D400" s="1236" t="str">
        <f ca="1"/>
        <v/>
      </c>
      <c r="E400" s="1239" t="str">
        <f ca="1"/>
        <v>NA</v>
      </c>
      <c r="F400" s="1240" t="str">
        <f ca="1"/>
        <v>NA</v>
      </c>
      <c r="G400" s="1236" t="str">
        <f t="shared" ca="1" si="69"/>
        <v/>
      </c>
      <c r="H400" s="1239">
        <f t="shared" ca="1" si="70"/>
        <v>0</v>
      </c>
      <c r="I400" s="1240">
        <f t="shared" ca="1" si="71"/>
        <v>0</v>
      </c>
      <c r="K400" s="1241" t="b">
        <f t="shared" si="72"/>
        <v>0</v>
      </c>
    </row>
    <row r="401" spans="1:11" hidden="1" x14ac:dyDescent="0.25">
      <c r="A401" s="1202" t="str">
        <f ca="1"/>
        <v/>
      </c>
      <c r="B401" s="1232">
        <f ca="1"/>
        <v>0</v>
      </c>
      <c r="C401" s="1233">
        <f ca="1"/>
        <v>0</v>
      </c>
      <c r="D401" s="1202" t="str">
        <f ca="1"/>
        <v/>
      </c>
      <c r="E401" s="1234" t="str">
        <f ca="1"/>
        <v>NA</v>
      </c>
      <c r="F401" s="1235" t="str">
        <f ca="1"/>
        <v>NA</v>
      </c>
      <c r="G401" s="1202" t="str">
        <f t="shared" ca="1" si="69"/>
        <v/>
      </c>
      <c r="H401" s="1234">
        <f t="shared" ca="1" si="70"/>
        <v>0</v>
      </c>
      <c r="I401" s="1235">
        <f t="shared" ca="1" si="71"/>
        <v>0</v>
      </c>
      <c r="K401" s="1241" t="b">
        <f t="shared" si="72"/>
        <v>0</v>
      </c>
    </row>
    <row r="402" spans="1:11" ht="15.75" hidden="1" thickBot="1" x14ac:dyDescent="0.3">
      <c r="A402" s="1242" t="str">
        <f ca="1"/>
        <v/>
      </c>
      <c r="B402" s="1243">
        <f ca="1"/>
        <v>0</v>
      </c>
      <c r="C402" s="1244">
        <f ca="1"/>
        <v>0</v>
      </c>
      <c r="D402" s="1242" t="str">
        <f ca="1"/>
        <v/>
      </c>
      <c r="E402" s="1245" t="str">
        <f ca="1"/>
        <v>NA</v>
      </c>
      <c r="F402" s="1246" t="str">
        <f ca="1"/>
        <v>NA</v>
      </c>
      <c r="G402" s="1242" t="str">
        <f t="shared" ca="1" si="69"/>
        <v/>
      </c>
      <c r="H402" s="1245">
        <f t="shared" ca="1" si="70"/>
        <v>0</v>
      </c>
      <c r="I402" s="1246">
        <f t="shared" ca="1" si="71"/>
        <v>0</v>
      </c>
      <c r="K402" s="1241" t="b">
        <f t="shared" si="72"/>
        <v>0</v>
      </c>
    </row>
    <row r="403" spans="1:11" ht="15.75" hidden="1" thickBot="1" x14ac:dyDescent="0.3">
      <c r="K403" s="808" t="b">
        <f t="shared" si="64"/>
        <v>0</v>
      </c>
    </row>
    <row r="404" spans="1:11" ht="21" hidden="1" thickTop="1" thickBot="1" x14ac:dyDescent="0.3">
      <c r="A404" s="1225" t="s">
        <v>1360</v>
      </c>
      <c r="B404" s="1226" t="s">
        <v>678</v>
      </c>
      <c r="C404" s="1227" t="str">
        <f>Maternity_Limit_H</f>
        <v>Up to AML</v>
      </c>
      <c r="D404" s="1226" t="s">
        <v>1018</v>
      </c>
      <c r="E404" s="1247">
        <f>Maternity_CoPay_H</f>
        <v>0</v>
      </c>
      <c r="F404" s="1226" t="s">
        <v>940</v>
      </c>
      <c r="G404" s="1227" t="str">
        <f>G387</f>
        <v>Dubai</v>
      </c>
      <c r="K404" s="808" t="b">
        <f t="shared" si="64"/>
        <v>0</v>
      </c>
    </row>
    <row r="405" spans="1:11" ht="15.75" hidden="1" thickBot="1" x14ac:dyDescent="0.3">
      <c r="K405" s="808" t="b">
        <f t="shared" si="64"/>
        <v>0</v>
      </c>
    </row>
    <row r="406" spans="1:11" ht="15.75" hidden="1" thickTop="1" x14ac:dyDescent="0.25">
      <c r="A406" s="1248"/>
      <c r="B406" s="1467" t="s">
        <v>1358</v>
      </c>
      <c r="C406" s="1468"/>
      <c r="D406" s="1467" t="s">
        <v>1358</v>
      </c>
      <c r="E406" s="1468"/>
      <c r="F406" s="1467" t="s">
        <v>1089</v>
      </c>
      <c r="G406" s="1469"/>
      <c r="K406" s="808" t="b">
        <f t="shared" si="64"/>
        <v>0</v>
      </c>
    </row>
    <row r="407" spans="1:11" hidden="1" x14ac:dyDescent="0.25">
      <c r="A407" s="1249" t="s">
        <v>286</v>
      </c>
      <c r="B407" s="1230" t="s">
        <v>1361</v>
      </c>
      <c r="C407" s="1231" t="s">
        <v>1105</v>
      </c>
      <c r="D407" s="1230" t="s">
        <v>1361</v>
      </c>
      <c r="E407" s="1231" t="s">
        <v>1105</v>
      </c>
      <c r="F407" s="1230" t="s">
        <v>1361</v>
      </c>
      <c r="G407" s="1250" t="s">
        <v>1105</v>
      </c>
      <c r="K407" s="808" t="b">
        <f t="shared" si="64"/>
        <v>0</v>
      </c>
    </row>
    <row r="408" spans="1:11" ht="15.75" hidden="1" thickBot="1" x14ac:dyDescent="0.3">
      <c r="A408" s="1204" t="str">
        <f>IF(Region_A="Abu Dhabi","18-50","18-45")</f>
        <v>18-45</v>
      </c>
      <c r="B408" s="1251" cm="1">
        <f t="array" ref="B408:C408">TRANSPOSE('Member Data'!$V$43:$V$44)</f>
        <v>0</v>
      </c>
      <c r="C408" s="1252">
        <v>0</v>
      </c>
      <c r="D408" s="1253" t="str">
        <f ca="1">Maternity_GRP_H</f>
        <v>NA</v>
      </c>
      <c r="E408" s="1253" t="str">
        <f ca="1">Maternity_GRP_H</f>
        <v>NA</v>
      </c>
      <c r="F408" s="1253">
        <f ca="1">IFERROR(B408*D408,0)</f>
        <v>0</v>
      </c>
      <c r="G408" s="1254">
        <f ca="1">IFERROR(C408*E408,0)</f>
        <v>0</v>
      </c>
      <c r="K408" s="808" t="b">
        <f t="shared" si="64"/>
        <v>0</v>
      </c>
    </row>
    <row r="409" spans="1:11" hidden="1" x14ac:dyDescent="0.25">
      <c r="K409" s="808" t="b">
        <f t="shared" si="64"/>
        <v>0</v>
      </c>
    </row>
    <row r="410" spans="1:11" hidden="1" x14ac:dyDescent="0.25">
      <c r="K410" s="808" t="b">
        <f t="shared" si="64"/>
        <v>0</v>
      </c>
    </row>
  </sheetData>
  <sheetProtection algorithmName="SHA-512" hashValue="w/yPI+Rqap/xTpTDKEXEc0KMWS+M/oc55eP8tbOEs7kZ9I9Vyj2hG59VqJKmgh+Lgx2yPa4pvOD92X8GxITOaA==" saltValue="qDDbc/RqfDqHvFOpJzL1lg==" spinCount="100000" sheet="1" objects="1" scenarios="1" formatRows="0" insertRows="0"/>
  <mergeCells count="81">
    <mergeCell ref="B406:C406"/>
    <mergeCell ref="D406:E406"/>
    <mergeCell ref="F406:G406"/>
    <mergeCell ref="A14:I14"/>
    <mergeCell ref="A363:I363"/>
    <mergeCell ref="A372:C372"/>
    <mergeCell ref="D372:F372"/>
    <mergeCell ref="G372:I372"/>
    <mergeCell ref="A389:C389"/>
    <mergeCell ref="D389:F389"/>
    <mergeCell ref="G389:I389"/>
    <mergeCell ref="A341:C341"/>
    <mergeCell ref="D341:F341"/>
    <mergeCell ref="G341:I341"/>
    <mergeCell ref="B358:C358"/>
    <mergeCell ref="D358:E358"/>
    <mergeCell ref="F358:G358"/>
    <mergeCell ref="B310:C310"/>
    <mergeCell ref="D310:E310"/>
    <mergeCell ref="F310:G310"/>
    <mergeCell ref="A315:I315"/>
    <mergeCell ref="A324:C324"/>
    <mergeCell ref="D324:F324"/>
    <mergeCell ref="G324:I324"/>
    <mergeCell ref="A267:I267"/>
    <mergeCell ref="A276:C276"/>
    <mergeCell ref="D276:F276"/>
    <mergeCell ref="G276:I276"/>
    <mergeCell ref="A293:C293"/>
    <mergeCell ref="D293:F293"/>
    <mergeCell ref="G293:I293"/>
    <mergeCell ref="A245:C245"/>
    <mergeCell ref="D245:F245"/>
    <mergeCell ref="G245:I245"/>
    <mergeCell ref="B262:C262"/>
    <mergeCell ref="D262:E262"/>
    <mergeCell ref="F262:G262"/>
    <mergeCell ref="B214:C214"/>
    <mergeCell ref="D214:E214"/>
    <mergeCell ref="F214:G214"/>
    <mergeCell ref="A219:I219"/>
    <mergeCell ref="A228:C228"/>
    <mergeCell ref="D228:F228"/>
    <mergeCell ref="G228:I228"/>
    <mergeCell ref="A171:I171"/>
    <mergeCell ref="A180:C180"/>
    <mergeCell ref="D180:F180"/>
    <mergeCell ref="G180:I180"/>
    <mergeCell ref="A197:C197"/>
    <mergeCell ref="D197:F197"/>
    <mergeCell ref="G197:I197"/>
    <mergeCell ref="A149:C149"/>
    <mergeCell ref="D149:F149"/>
    <mergeCell ref="G149:I149"/>
    <mergeCell ref="B166:C166"/>
    <mergeCell ref="D166:E166"/>
    <mergeCell ref="F166:G166"/>
    <mergeCell ref="B118:C118"/>
    <mergeCell ref="D118:E118"/>
    <mergeCell ref="F118:G118"/>
    <mergeCell ref="A123:I123"/>
    <mergeCell ref="A132:C132"/>
    <mergeCell ref="D132:F132"/>
    <mergeCell ref="G132:I132"/>
    <mergeCell ref="A75:I75"/>
    <mergeCell ref="A84:C84"/>
    <mergeCell ref="D84:F84"/>
    <mergeCell ref="G84:I84"/>
    <mergeCell ref="A101:C101"/>
    <mergeCell ref="D101:F101"/>
    <mergeCell ref="G101:I101"/>
    <mergeCell ref="A27:I27"/>
    <mergeCell ref="A53:C53"/>
    <mergeCell ref="D53:F53"/>
    <mergeCell ref="G53:I53"/>
    <mergeCell ref="B70:C70"/>
    <mergeCell ref="D70:E70"/>
    <mergeCell ref="F70:G70"/>
    <mergeCell ref="A36:C36"/>
    <mergeCell ref="D36:F36"/>
    <mergeCell ref="G36:I36"/>
  </mergeCells>
  <pageMargins left="0.7" right="0.7" top="0.75" bottom="0.75" header="0.3" footer="0.3"/>
  <pageSetup scale="49" orientation="landscape" r:id="rId1"/>
  <headerFooter>
    <oddHeader>&amp;C&amp;"Arial,Bold"&amp;30Insurance that rewards a healthier you</oddHeader>
    <oddFooter>&amp;R&amp;P</oddFooter>
  </headerFooter>
  <rowBreaks count="8" manualBreakCount="8">
    <brk id="26" max="8" man="1"/>
    <brk id="74" max="8" man="1"/>
    <brk id="122" max="8" man="1"/>
    <brk id="170" max="8" man="1"/>
    <brk id="218" max="8" man="1"/>
    <brk id="266" max="8" man="1"/>
    <brk id="314" max="8" man="1"/>
    <brk id="362" max="8"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ThisWorkbook.createPDF">
                <anchor moveWithCells="1" sizeWithCells="1">
                  <from>
                    <xdr:col>8</xdr:col>
                    <xdr:colOff>533400</xdr:colOff>
                    <xdr:row>9</xdr:row>
                    <xdr:rowOff>104775</xdr:rowOff>
                  </from>
                  <to>
                    <xdr:col>8</xdr:col>
                    <xdr:colOff>1381125</xdr:colOff>
                    <xdr:row>12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N310"/>
  <sheetViews>
    <sheetView showGridLines="0" topLeftCell="A271" zoomScale="70" zoomScaleNormal="70" workbookViewId="0">
      <selection activeCell="K309" sqref="K309"/>
    </sheetView>
  </sheetViews>
  <sheetFormatPr defaultColWidth="9.140625" defaultRowHeight="15" x14ac:dyDescent="0.25"/>
  <cols>
    <col min="1" max="1" width="52.85546875" style="467" customWidth="1"/>
    <col min="2" max="2" width="22.42578125" style="467" customWidth="1"/>
    <col min="3" max="3" width="30.42578125" style="467" customWidth="1"/>
    <col min="4" max="4" width="16.42578125" style="467" customWidth="1"/>
    <col min="5" max="5" width="23.42578125" style="467" customWidth="1"/>
    <col min="6" max="6" width="19.42578125" style="467" customWidth="1"/>
    <col min="7" max="7" width="13.140625" style="467" bestFit="1" customWidth="1"/>
    <col min="8" max="8" width="23.28515625" style="467" customWidth="1"/>
    <col min="9" max="9" width="22.28515625" style="467" customWidth="1"/>
    <col min="10" max="11" width="20.85546875" style="467" customWidth="1"/>
    <col min="12" max="12" width="17.42578125" style="467" customWidth="1"/>
    <col min="13" max="13" width="16.28515625" style="467" customWidth="1"/>
    <col min="14" max="14" width="20.85546875" style="467" customWidth="1"/>
    <col min="15" max="15" width="14.28515625" style="467" customWidth="1"/>
    <col min="16" max="16" width="15.42578125" style="467" customWidth="1"/>
    <col min="17" max="17" width="20.85546875" style="467" customWidth="1"/>
    <col min="18" max="18" width="14.85546875" style="467" customWidth="1"/>
    <col min="19" max="19" width="16.140625" style="467" customWidth="1"/>
    <col min="20" max="20" width="20.85546875" style="467" customWidth="1"/>
    <col min="21" max="21" width="15.7109375" style="467" customWidth="1"/>
    <col min="22" max="22" width="16.7109375" style="467" customWidth="1"/>
    <col min="23" max="23" width="20.85546875" style="467" customWidth="1"/>
    <col min="24" max="24" width="16.7109375" style="467" customWidth="1"/>
    <col min="25" max="25" width="16.140625" style="467" customWidth="1"/>
    <col min="26" max="27" width="9.140625" style="467"/>
    <col min="28" max="28" width="15.140625" style="467" customWidth="1"/>
    <col min="29" max="29" width="14" style="467" customWidth="1"/>
    <col min="30" max="16384" width="9.140625" style="467"/>
  </cols>
  <sheetData>
    <row r="1" spans="1:26" ht="15.75" thickBot="1" x14ac:dyDescent="0.3"/>
    <row r="2" spans="1:26" x14ac:dyDescent="0.25">
      <c r="B2" s="789" t="s">
        <v>101</v>
      </c>
      <c r="C2" s="569"/>
      <c r="D2" s="569"/>
      <c r="E2" s="569"/>
      <c r="F2" s="569"/>
      <c r="G2" s="569"/>
      <c r="H2" s="569"/>
      <c r="I2" s="569"/>
      <c r="J2" s="569"/>
      <c r="K2" s="569"/>
      <c r="L2" s="569"/>
      <c r="M2" s="569"/>
      <c r="N2" s="569"/>
      <c r="O2" s="569"/>
      <c r="P2" s="685"/>
      <c r="Q2" s="569"/>
      <c r="R2" s="569"/>
      <c r="S2" s="569"/>
      <c r="T2" s="569"/>
      <c r="U2" s="569"/>
      <c r="V2" s="569"/>
      <c r="W2" s="569"/>
      <c r="X2" s="569"/>
      <c r="Y2" s="569"/>
      <c r="Z2" s="686"/>
    </row>
    <row r="3" spans="1:26" ht="15.75" x14ac:dyDescent="0.25">
      <c r="B3" s="687"/>
      <c r="C3" s="693" t="str">
        <f>VLOOKUP(C4,'General Basis'!$J$39:$K$46,2,0)</f>
        <v>RN3</v>
      </c>
      <c r="D3" s="693" t="str">
        <f>VLOOKUP(D4,'General Basis'!$J$39:$K$46,2,0)</f>
        <v>RN3</v>
      </c>
      <c r="F3" s="693" t="e">
        <f>VLOOKUP(F4,'General Basis'!$J$39:$K$46,2,0)</f>
        <v>#N/A</v>
      </c>
      <c r="G3" s="693" t="e">
        <f>VLOOKUP(G4,'General Basis'!$J$39:$K$46,2,0)</f>
        <v>#N/A</v>
      </c>
      <c r="I3" s="693" t="e">
        <f>VLOOKUP(I4,'General Basis'!$J$39:$K$46,2,0)</f>
        <v>#N/A</v>
      </c>
      <c r="J3" s="693" t="e">
        <f>VLOOKUP(J4,'General Basis'!$J$39:$K$46,2,0)</f>
        <v>#N/A</v>
      </c>
      <c r="L3" s="693" t="e">
        <f>VLOOKUP(L4,'General Basis'!$J$39:$K$46,2,0)</f>
        <v>#N/A</v>
      </c>
      <c r="M3" s="693" t="e">
        <f>VLOOKUP(M4,'General Basis'!$J$39:$K$46,2,0)</f>
        <v>#N/A</v>
      </c>
      <c r="O3" s="693" t="e">
        <f>VLOOKUP(O4,'General Basis'!$J$39:$K$46,2,0)</f>
        <v>#N/A</v>
      </c>
      <c r="P3" s="693" t="e">
        <f>VLOOKUP(P4,'General Basis'!$J$39:$K$46,2,0)</f>
        <v>#N/A</v>
      </c>
      <c r="R3" s="693" t="e">
        <f>VLOOKUP(R4,'General Basis'!$J$39:$K$46,2,0)</f>
        <v>#N/A</v>
      </c>
      <c r="S3" s="693" t="e">
        <f>VLOOKUP(S4,'General Basis'!$J$39:$K$46,2,0)</f>
        <v>#N/A</v>
      </c>
      <c r="U3" s="693" t="e">
        <f>VLOOKUP(U4,'General Basis'!$J$39:$K$46,2,0)</f>
        <v>#N/A</v>
      </c>
      <c r="V3" s="693" t="e">
        <f>VLOOKUP(V4,'General Basis'!$J$39:$K$46,2,0)</f>
        <v>#N/A</v>
      </c>
      <c r="X3" s="693" t="e">
        <f>VLOOKUP(X4,'General Basis'!$J$39:$K$46,2,0)</f>
        <v>#N/A</v>
      </c>
      <c r="Y3" s="693" t="e">
        <f>VLOOKUP(Y4,'General Basis'!$J$39:$K$46,2,0)</f>
        <v>#N/A</v>
      </c>
      <c r="Z3" s="688"/>
    </row>
    <row r="4" spans="1:26" s="750" customFormat="1" ht="15.75" x14ac:dyDescent="0.25">
      <c r="B4" s="788" t="s">
        <v>957</v>
      </c>
      <c r="C4" s="693" t="s">
        <v>271</v>
      </c>
      <c r="D4" s="693" t="str">
        <f>C4</f>
        <v>A</v>
      </c>
      <c r="E4" s="788" t="str">
        <f>B4</f>
        <v>Employee</v>
      </c>
      <c r="F4" s="693" t="s">
        <v>272</v>
      </c>
      <c r="G4" s="693" t="str">
        <f>F4</f>
        <v>B</v>
      </c>
      <c r="H4" s="788" t="str">
        <f>E4</f>
        <v>Employee</v>
      </c>
      <c r="I4" s="693" t="s">
        <v>273</v>
      </c>
      <c r="J4" s="693" t="str">
        <f>I4</f>
        <v>C</v>
      </c>
      <c r="K4" s="788" t="str">
        <f>H4</f>
        <v>Employee</v>
      </c>
      <c r="L4" s="693" t="s">
        <v>274</v>
      </c>
      <c r="M4" s="693" t="str">
        <f>L4</f>
        <v>D</v>
      </c>
      <c r="N4" s="788" t="str">
        <f>K4</f>
        <v>Employee</v>
      </c>
      <c r="O4" s="693" t="s">
        <v>365</v>
      </c>
      <c r="P4" s="693" t="str">
        <f>O4</f>
        <v>E</v>
      </c>
      <c r="Q4" s="788" t="str">
        <f>N4</f>
        <v>Employee</v>
      </c>
      <c r="R4" s="693" t="s">
        <v>62</v>
      </c>
      <c r="S4" s="693" t="str">
        <f>R4</f>
        <v>F</v>
      </c>
      <c r="T4" s="788" t="str">
        <f>Q4</f>
        <v>Employee</v>
      </c>
      <c r="U4" s="693" t="s">
        <v>366</v>
      </c>
      <c r="V4" s="693" t="str">
        <f>U4</f>
        <v>G</v>
      </c>
      <c r="W4" s="788" t="str">
        <f>T4</f>
        <v>Employee</v>
      </c>
      <c r="X4" s="693" t="s">
        <v>367</v>
      </c>
      <c r="Y4" s="693" t="str">
        <f>X4</f>
        <v>H</v>
      </c>
      <c r="Z4" s="752"/>
    </row>
    <row r="5" spans="1:26" ht="15.75" x14ac:dyDescent="0.25">
      <c r="B5" s="757" t="str">
        <f>'Group Engine'!B32</f>
        <v>Dubai</v>
      </c>
      <c r="C5" s="689" t="s">
        <v>65</v>
      </c>
      <c r="D5" s="694" t="s">
        <v>66</v>
      </c>
      <c r="E5" s="757" t="str">
        <f>'Group Engine'!E32</f>
        <v>Dubai</v>
      </c>
      <c r="F5" s="689" t="s">
        <v>65</v>
      </c>
      <c r="G5" s="694" t="s">
        <v>66</v>
      </c>
      <c r="H5" s="757" t="str">
        <f>'Group Engine'!H32</f>
        <v>Dubai</v>
      </c>
      <c r="I5" s="689" t="s">
        <v>65</v>
      </c>
      <c r="J5" s="694" t="s">
        <v>66</v>
      </c>
      <c r="K5" s="757" t="str">
        <f>'Group Engine'!K32</f>
        <v>Dubai</v>
      </c>
      <c r="L5" s="689" t="s">
        <v>65</v>
      </c>
      <c r="M5" s="694" t="s">
        <v>66</v>
      </c>
      <c r="N5" s="757" t="str">
        <f>'Group Engine'!N32</f>
        <v>Dubai</v>
      </c>
      <c r="O5" s="689" t="s">
        <v>65</v>
      </c>
      <c r="P5" s="694" t="s">
        <v>66</v>
      </c>
      <c r="Q5" s="757" t="str">
        <f>'Group Engine'!Q32</f>
        <v>Dubai</v>
      </c>
      <c r="R5" s="689" t="s">
        <v>65</v>
      </c>
      <c r="S5" s="694" t="s">
        <v>66</v>
      </c>
      <c r="T5" s="757" t="str">
        <f>'Group Engine'!T32</f>
        <v>Dubai</v>
      </c>
      <c r="U5" s="689" t="s">
        <v>65</v>
      </c>
      <c r="V5" s="694" t="s">
        <v>66</v>
      </c>
      <c r="W5" s="757" t="str">
        <f>'Group Engine'!W32</f>
        <v>Dubai</v>
      </c>
      <c r="X5" s="689" t="s">
        <v>65</v>
      </c>
      <c r="Y5" s="694" t="s">
        <v>66</v>
      </c>
      <c r="Z5" s="688"/>
    </row>
    <row r="6" spans="1:26" x14ac:dyDescent="0.25">
      <c r="A6" s="698"/>
      <c r="B6" s="758" t="str">
        <f>'Group Engine'!B33</f>
        <v>0 - 10</v>
      </c>
      <c r="C6" s="753">
        <f>COUNTIFS('Member Data'!$BD$6:$BD$5331,B$4,'Member Data'!$BF$6:$BF$5331,B$5,'Member Data'!$BI$6:$BI$5331,C$5,'Member Data'!$BH$6:$BH$5331,B6,'Member Data'!$BC$6:$BC$5331,C$4)</f>
        <v>0</v>
      </c>
      <c r="D6" s="753">
        <f>COUNTIFS('Member Data'!$BD$6:$BD$5331,B$4,'Member Data'!$BF$6:$BF$5331,B$5,'Member Data'!$BI$6:$BI$5331,D$5,'Member Data'!$BH$6:$BH$5331,B6,'Member Data'!$BC$6:$BC$5331,D$4)</f>
        <v>0</v>
      </c>
      <c r="E6" s="758" t="str">
        <f>'Group Engine'!E33</f>
        <v>0 - 10</v>
      </c>
      <c r="F6" s="753">
        <f>COUNTIFS('Member Data'!$BD$6:$BD$5331,E$4,'Member Data'!$BF$6:$BF$5331,E$5,'Member Data'!$BI$6:$BI$5331,F$5,'Member Data'!$BH$6:$BH$5331,E6,'Member Data'!$BC$6:$BC$5331,F$4)</f>
        <v>0</v>
      </c>
      <c r="G6" s="753">
        <f>COUNTIFS('Member Data'!$BD$6:$BD$5331,E$4,'Member Data'!$BF$6:$BF$5331,E$5,'Member Data'!$BI$6:$BI$5331,G$5,'Member Data'!$BH$6:$BH$5331,E6,'Member Data'!$BC$6:$BC$5331,G$4)</f>
        <v>0</v>
      </c>
      <c r="H6" s="758" t="str">
        <f>'Group Engine'!H33</f>
        <v>0 - 10</v>
      </c>
      <c r="I6" s="753">
        <f>COUNTIFS('Member Data'!$BD$6:$BD$5331,H$4,'Member Data'!$BF$6:$BF$5331,H$5,'Member Data'!$BI$6:$BI$5331,I$5,'Member Data'!$BH$6:$BH$5331,H6,'Member Data'!$BC$6:$BC$5331,I$4)</f>
        <v>0</v>
      </c>
      <c r="J6" s="753">
        <f>COUNTIFS('Member Data'!$BD$6:$BD$5331,H$4,'Member Data'!$BF$6:$BF$5331,H$5,'Member Data'!$BI$6:$BI$5331,J$5,'Member Data'!$BH$6:$BH$5331,H6,'Member Data'!$BC$6:$BC$5331,J$4)</f>
        <v>0</v>
      </c>
      <c r="K6" s="758" t="str">
        <f>'Group Engine'!K33</f>
        <v>0 - 10</v>
      </c>
      <c r="L6" s="753">
        <f>COUNTIFS('Member Data'!$BD$6:$BD$5331,K$4,'Member Data'!$BF$6:$BF$5331,K$5,'Member Data'!$BI$6:$BI$5331,L$5,'Member Data'!$BH$6:$BH$5331,K6,'Member Data'!$BC$6:$BC$5331,L$4)</f>
        <v>0</v>
      </c>
      <c r="M6" s="753">
        <f>COUNTIFS('Member Data'!$BD$6:$BD$5331,K$4,'Member Data'!$BF$6:$BF$5331,K$5,'Member Data'!$BI$6:$BI$5331,M$5,'Member Data'!$BH$6:$BH$5331,K6,'Member Data'!$BC$6:$BC$5331,M$4)</f>
        <v>0</v>
      </c>
      <c r="N6" s="758" t="str">
        <f>'Group Engine'!N33</f>
        <v>0 - 10</v>
      </c>
      <c r="O6" s="753">
        <f>COUNTIFS('Member Data'!$BD$6:$BD$5331,N$4,'Member Data'!$BF$6:$BF$5331,N$5,'Member Data'!$BI$6:$BI$5331,O$5,'Member Data'!$BH$6:$BH$5331,N6,'Member Data'!$BC$6:$BC$5331,O$4)</f>
        <v>0</v>
      </c>
      <c r="P6" s="753">
        <f>COUNTIFS('Member Data'!$BD$6:$BD$5331,N$4,'Member Data'!$BF$6:$BF$5331,N$5,'Member Data'!$BI$6:$BI$5331,P$5,'Member Data'!$BH$6:$BH$5331,N6,'Member Data'!$BC$6:$BC$5331,P$4)</f>
        <v>0</v>
      </c>
      <c r="Q6" s="758" t="str">
        <f>'Group Engine'!Q33</f>
        <v>0 - 10</v>
      </c>
      <c r="R6" s="753">
        <f>COUNTIFS('Member Data'!$BD$6:$BD$5331,Q$4,'Member Data'!$BF$6:$BF$5331,Q$5,'Member Data'!$BI$6:$BI$5331,R$5,'Member Data'!$BH$6:$BH$5331,Q6,'Member Data'!$BC$6:$BC$5331,R$4)</f>
        <v>0</v>
      </c>
      <c r="S6" s="753">
        <f>COUNTIFS('Member Data'!$BD$6:$BD$5331,Q$4,'Member Data'!$BF$6:$BF$5331,Q$5,'Member Data'!$BI$6:$BI$5331,S$5,'Member Data'!$BH$6:$BH$5331,Q6,'Member Data'!$BC$6:$BC$5331,S$4)</f>
        <v>0</v>
      </c>
      <c r="T6" s="758" t="str">
        <f>'Group Engine'!T33</f>
        <v>0 - 10</v>
      </c>
      <c r="U6" s="753">
        <f>COUNTIFS('Member Data'!$BD$6:$BD$5331,T$4,'Member Data'!$BF$6:$BF$5331,T$5,'Member Data'!$BI$6:$BI$5331,U$5,'Member Data'!$BH$6:$BH$5331,T6,'Member Data'!$BC$6:$BC$5331,U$4)</f>
        <v>0</v>
      </c>
      <c r="V6" s="753">
        <f>COUNTIFS('Member Data'!$BD$6:$BD$5331,T$4,'Member Data'!$BF$6:$BF$5331,T$5,'Member Data'!$BI$6:$BI$5331,V$5,'Member Data'!$BH$6:$BH$5331,T6,'Member Data'!$BC$6:$BC$5331,V$4)</f>
        <v>0</v>
      </c>
      <c r="W6" s="758" t="str">
        <f>'Group Engine'!W33</f>
        <v>0 - 10</v>
      </c>
      <c r="X6" s="753">
        <f>COUNTIFS('Member Data'!$BD$6:$BD$5331,W$4,'Member Data'!$BF$6:$BF$5331,W$5,'Member Data'!$BI$6:$BI$5331,X$5,'Member Data'!$BH$6:$BH$5331,W6,'Member Data'!$BC$6:$BC$5331,X$4)</f>
        <v>0</v>
      </c>
      <c r="Y6" s="753">
        <f>COUNTIFS('Member Data'!$BD$6:$BD$5331,W$4,'Member Data'!$BF$6:$BF$5331,W$5,'Member Data'!$BI$6:$BI$5331,Y$5,'Member Data'!$BH$6:$BH$5331,W6,'Member Data'!$BC$6:$BC$5331,Y$4)</f>
        <v>0</v>
      </c>
      <c r="Z6" s="688"/>
    </row>
    <row r="7" spans="1:26" x14ac:dyDescent="0.25">
      <c r="A7" s="698"/>
      <c r="B7" s="758" t="str">
        <f>'Group Engine'!B34</f>
        <v>11 - 17</v>
      </c>
      <c r="C7" s="753">
        <f>COUNTIFS('Member Data'!$BD$6:$BD$5331,B$4,'Member Data'!$BF$6:$BF$5331,B$5,'Member Data'!$BI$6:$BI$5331,C$5,'Member Data'!$BH$6:$BH$5331,B7,'Member Data'!$BC$6:$BC$5331,C$4)</f>
        <v>0</v>
      </c>
      <c r="D7" s="753">
        <f>COUNTIFS('Member Data'!$BD$6:$BD$5331,B$4,'Member Data'!$BF$6:$BF$5331,B$5,'Member Data'!$BI$6:$BI$5331,D$5,'Member Data'!$BH$6:$BH$5331,B7,'Member Data'!$BC$6:$BC$5331,D$4)</f>
        <v>0</v>
      </c>
      <c r="E7" s="758" t="str">
        <f>'Group Engine'!E34</f>
        <v>11 - 17</v>
      </c>
      <c r="F7" s="753">
        <f>COUNTIFS('Member Data'!$BD$6:$BD$5331,E$4,'Member Data'!$BF$6:$BF$5331,E$5,'Member Data'!$BI$6:$BI$5331,F$5,'Member Data'!$BH$6:$BH$5331,E7,'Member Data'!$BC$6:$BC$5331,F$4)</f>
        <v>0</v>
      </c>
      <c r="G7" s="753">
        <f>COUNTIFS('Member Data'!$BD$6:$BD$5331,E$4,'Member Data'!$BF$6:$BF$5331,E$5,'Member Data'!$BI$6:$BI$5331,G$5,'Member Data'!$BH$6:$BH$5331,E7,'Member Data'!$BC$6:$BC$5331,G$4)</f>
        <v>0</v>
      </c>
      <c r="H7" s="758" t="str">
        <f>'Group Engine'!H34</f>
        <v>11 - 17</v>
      </c>
      <c r="I7" s="753">
        <f>COUNTIFS('Member Data'!$BD$6:$BD$5331,H$4,'Member Data'!$BF$6:$BF$5331,H$5,'Member Data'!$BI$6:$BI$5331,I$5,'Member Data'!$BH$6:$BH$5331,H7,'Member Data'!$BC$6:$BC$5331,I$4)</f>
        <v>0</v>
      </c>
      <c r="J7" s="753">
        <f>COUNTIFS('Member Data'!$BD$6:$BD$5331,H$4,'Member Data'!$BF$6:$BF$5331,H$5,'Member Data'!$BI$6:$BI$5331,J$5,'Member Data'!$BH$6:$BH$5331,H7,'Member Data'!$BC$6:$BC$5331,J$4)</f>
        <v>0</v>
      </c>
      <c r="K7" s="758" t="str">
        <f>'Group Engine'!K34</f>
        <v>11 - 17</v>
      </c>
      <c r="L7" s="753">
        <f>COUNTIFS('Member Data'!$BD$6:$BD$5331,K$4,'Member Data'!$BF$6:$BF$5331,K$5,'Member Data'!$BI$6:$BI$5331,L$5,'Member Data'!$BH$6:$BH$5331,K7,'Member Data'!$BC$6:$BC$5331,L$4)</f>
        <v>0</v>
      </c>
      <c r="M7" s="753">
        <f>COUNTIFS('Member Data'!$BD$6:$BD$5331,K$4,'Member Data'!$BF$6:$BF$5331,K$5,'Member Data'!$BI$6:$BI$5331,M$5,'Member Data'!$BH$6:$BH$5331,K7,'Member Data'!$BC$6:$BC$5331,M$4)</f>
        <v>0</v>
      </c>
      <c r="N7" s="758" t="str">
        <f>'Group Engine'!N34</f>
        <v>11 - 17</v>
      </c>
      <c r="O7" s="753">
        <f>COUNTIFS('Member Data'!$BD$6:$BD$5331,N$4,'Member Data'!$BF$6:$BF$5331,N$5,'Member Data'!$BI$6:$BI$5331,O$5,'Member Data'!$BH$6:$BH$5331,N7,'Member Data'!$BC$6:$BC$5331,O$4)</f>
        <v>0</v>
      </c>
      <c r="P7" s="753">
        <f>COUNTIFS('Member Data'!$BD$6:$BD$5331,N$4,'Member Data'!$BF$6:$BF$5331,N$5,'Member Data'!$BI$6:$BI$5331,P$5,'Member Data'!$BH$6:$BH$5331,N7,'Member Data'!$BC$6:$BC$5331,P$4)</f>
        <v>0</v>
      </c>
      <c r="Q7" s="758" t="str">
        <f>'Group Engine'!Q34</f>
        <v>11 - 17</v>
      </c>
      <c r="R7" s="753">
        <f>COUNTIFS('Member Data'!$BD$6:$BD$5331,Q$4,'Member Data'!$BF$6:$BF$5331,Q$5,'Member Data'!$BI$6:$BI$5331,R$5,'Member Data'!$BH$6:$BH$5331,Q7,'Member Data'!$BC$6:$BC$5331,R$4)</f>
        <v>0</v>
      </c>
      <c r="S7" s="753">
        <f>COUNTIFS('Member Data'!$BD$6:$BD$5331,Q$4,'Member Data'!$BF$6:$BF$5331,Q$5,'Member Data'!$BI$6:$BI$5331,S$5,'Member Data'!$BH$6:$BH$5331,Q7,'Member Data'!$BC$6:$BC$5331,S$4)</f>
        <v>0</v>
      </c>
      <c r="T7" s="758" t="str">
        <f>'Group Engine'!T34</f>
        <v>11 - 17</v>
      </c>
      <c r="U7" s="753">
        <f>COUNTIFS('Member Data'!$BD$6:$BD$5331,T$4,'Member Data'!$BF$6:$BF$5331,T$5,'Member Data'!$BI$6:$BI$5331,U$5,'Member Data'!$BH$6:$BH$5331,T7,'Member Data'!$BC$6:$BC$5331,U$4)</f>
        <v>0</v>
      </c>
      <c r="V7" s="753">
        <f>COUNTIFS('Member Data'!$BD$6:$BD$5331,T$4,'Member Data'!$BF$6:$BF$5331,T$5,'Member Data'!$BI$6:$BI$5331,V$5,'Member Data'!$BH$6:$BH$5331,T7,'Member Data'!$BC$6:$BC$5331,V$4)</f>
        <v>0</v>
      </c>
      <c r="W7" s="758" t="str">
        <f>'Group Engine'!W34</f>
        <v>11 - 17</v>
      </c>
      <c r="X7" s="753">
        <f>COUNTIFS('Member Data'!$BD$6:$BD$5331,W$4,'Member Data'!$BF$6:$BF$5331,W$5,'Member Data'!$BI$6:$BI$5331,X$5,'Member Data'!$BH$6:$BH$5331,W7,'Member Data'!$BC$6:$BC$5331,X$4)</f>
        <v>0</v>
      </c>
      <c r="Y7" s="753">
        <f>COUNTIFS('Member Data'!$BD$6:$BD$5331,W$4,'Member Data'!$BF$6:$BF$5331,W$5,'Member Data'!$BI$6:$BI$5331,Y$5,'Member Data'!$BH$6:$BH$5331,W7,'Member Data'!$BC$6:$BC$5331,Y$4)</f>
        <v>0</v>
      </c>
      <c r="Z7" s="688"/>
    </row>
    <row r="8" spans="1:26" x14ac:dyDescent="0.25">
      <c r="A8" s="698"/>
      <c r="B8" s="758" t="str">
        <f>'Group Engine'!B35</f>
        <v>18 - 25</v>
      </c>
      <c r="C8" s="753">
        <f>COUNTIFS('Member Data'!$BD$6:$BD$5331,B$4,'Member Data'!$BF$6:$BF$5331,B$5,'Member Data'!$BI$6:$BI$5331,C$5,'Member Data'!$BH$6:$BH$5331,B8,'Member Data'!$BC$6:$BC$5331,C$4)</f>
        <v>0</v>
      </c>
      <c r="D8" s="753">
        <f>COUNTIFS('Member Data'!$BD$6:$BD$5331,B$4,'Member Data'!$BF$6:$BF$5331,B$5,'Member Data'!$BI$6:$BI$5331,D$5,'Member Data'!$BH$6:$BH$5331,B8,'Member Data'!$BC$6:$BC$5331,D$4)</f>
        <v>0</v>
      </c>
      <c r="E8" s="758" t="str">
        <f>'Group Engine'!E35</f>
        <v>18 - 25</v>
      </c>
      <c r="F8" s="753">
        <f>COUNTIFS('Member Data'!$BD$6:$BD$5331,E$4,'Member Data'!$BF$6:$BF$5331,E$5,'Member Data'!$BI$6:$BI$5331,F$5,'Member Data'!$BH$6:$BH$5331,E8,'Member Data'!$BC$6:$BC$5331,F$4)</f>
        <v>0</v>
      </c>
      <c r="G8" s="753">
        <f>COUNTIFS('Member Data'!$BD$6:$BD$5331,E$4,'Member Data'!$BF$6:$BF$5331,E$5,'Member Data'!$BI$6:$BI$5331,G$5,'Member Data'!$BH$6:$BH$5331,E8,'Member Data'!$BC$6:$BC$5331,G$4)</f>
        <v>0</v>
      </c>
      <c r="H8" s="758" t="str">
        <f>'Group Engine'!H35</f>
        <v>18 - 25</v>
      </c>
      <c r="I8" s="753">
        <f>COUNTIFS('Member Data'!$BD$6:$BD$5331,H$4,'Member Data'!$BF$6:$BF$5331,H$5,'Member Data'!$BI$6:$BI$5331,I$5,'Member Data'!$BH$6:$BH$5331,H8,'Member Data'!$BC$6:$BC$5331,I$4)</f>
        <v>0</v>
      </c>
      <c r="J8" s="753">
        <f>COUNTIFS('Member Data'!$BD$6:$BD$5331,H$4,'Member Data'!$BF$6:$BF$5331,H$5,'Member Data'!$BI$6:$BI$5331,J$5,'Member Data'!$BH$6:$BH$5331,H8,'Member Data'!$BC$6:$BC$5331,J$4)</f>
        <v>0</v>
      </c>
      <c r="K8" s="758" t="str">
        <f>'Group Engine'!K35</f>
        <v>18 - 25</v>
      </c>
      <c r="L8" s="753">
        <f>COUNTIFS('Member Data'!$BD$6:$BD$5331,K$4,'Member Data'!$BF$6:$BF$5331,K$5,'Member Data'!$BI$6:$BI$5331,L$5,'Member Data'!$BH$6:$BH$5331,K8,'Member Data'!$BC$6:$BC$5331,L$4)</f>
        <v>0</v>
      </c>
      <c r="M8" s="753">
        <f>COUNTIFS('Member Data'!$BD$6:$BD$5331,K$4,'Member Data'!$BF$6:$BF$5331,K$5,'Member Data'!$BI$6:$BI$5331,M$5,'Member Data'!$BH$6:$BH$5331,K8,'Member Data'!$BC$6:$BC$5331,M$4)</f>
        <v>0</v>
      </c>
      <c r="N8" s="758" t="str">
        <f>'Group Engine'!N35</f>
        <v>18 - 25</v>
      </c>
      <c r="O8" s="753">
        <f>COUNTIFS('Member Data'!$BD$6:$BD$5331,N$4,'Member Data'!$BF$6:$BF$5331,N$5,'Member Data'!$BI$6:$BI$5331,O$5,'Member Data'!$BH$6:$BH$5331,N8,'Member Data'!$BC$6:$BC$5331,O$4)</f>
        <v>0</v>
      </c>
      <c r="P8" s="753">
        <f>COUNTIFS('Member Data'!$BD$6:$BD$5331,N$4,'Member Data'!$BF$6:$BF$5331,N$5,'Member Data'!$BI$6:$BI$5331,P$5,'Member Data'!$BH$6:$BH$5331,N8,'Member Data'!$BC$6:$BC$5331,P$4)</f>
        <v>0</v>
      </c>
      <c r="Q8" s="758" t="str">
        <f>'Group Engine'!Q35</f>
        <v>18 - 25</v>
      </c>
      <c r="R8" s="753">
        <f>COUNTIFS('Member Data'!$BD$6:$BD$5331,Q$4,'Member Data'!$BF$6:$BF$5331,Q$5,'Member Data'!$BI$6:$BI$5331,R$5,'Member Data'!$BH$6:$BH$5331,Q8,'Member Data'!$BC$6:$BC$5331,R$4)</f>
        <v>0</v>
      </c>
      <c r="S8" s="753">
        <f>COUNTIFS('Member Data'!$BD$6:$BD$5331,Q$4,'Member Data'!$BF$6:$BF$5331,Q$5,'Member Data'!$BI$6:$BI$5331,S$5,'Member Data'!$BH$6:$BH$5331,Q8,'Member Data'!$BC$6:$BC$5331,S$4)</f>
        <v>0</v>
      </c>
      <c r="T8" s="758" t="str">
        <f>'Group Engine'!T35</f>
        <v>18 - 25</v>
      </c>
      <c r="U8" s="753">
        <f>COUNTIFS('Member Data'!$BD$6:$BD$5331,T$4,'Member Data'!$BF$6:$BF$5331,T$5,'Member Data'!$BI$6:$BI$5331,U$5,'Member Data'!$BH$6:$BH$5331,T8,'Member Data'!$BC$6:$BC$5331,U$4)</f>
        <v>0</v>
      </c>
      <c r="V8" s="753">
        <f>COUNTIFS('Member Data'!$BD$6:$BD$5331,T$4,'Member Data'!$BF$6:$BF$5331,T$5,'Member Data'!$BI$6:$BI$5331,V$5,'Member Data'!$BH$6:$BH$5331,T8,'Member Data'!$BC$6:$BC$5331,V$4)</f>
        <v>0</v>
      </c>
      <c r="W8" s="758" t="str">
        <f>'Group Engine'!W35</f>
        <v>18 - 25</v>
      </c>
      <c r="X8" s="753">
        <f>COUNTIFS('Member Data'!$BD$6:$BD$5331,W$4,'Member Data'!$BF$6:$BF$5331,W$5,'Member Data'!$BI$6:$BI$5331,X$5,'Member Data'!$BH$6:$BH$5331,W8,'Member Data'!$BC$6:$BC$5331,X$4)</f>
        <v>0</v>
      </c>
      <c r="Y8" s="753">
        <f>COUNTIFS('Member Data'!$BD$6:$BD$5331,W$4,'Member Data'!$BF$6:$BF$5331,W$5,'Member Data'!$BI$6:$BI$5331,Y$5,'Member Data'!$BH$6:$BH$5331,W8,'Member Data'!$BC$6:$BC$5331,Y$4)</f>
        <v>0</v>
      </c>
      <c r="Z8" s="688"/>
    </row>
    <row r="9" spans="1:26" x14ac:dyDescent="0.25">
      <c r="A9" s="698"/>
      <c r="B9" s="758" t="str">
        <f>'Group Engine'!B36</f>
        <v>26 - 30</v>
      </c>
      <c r="C9" s="753">
        <f>COUNTIFS('Member Data'!$BD$6:$BD$5331,B$4,'Member Data'!$BF$6:$BF$5331,B$5,'Member Data'!$BI$6:$BI$5331,C$5,'Member Data'!$BH$6:$BH$5331,B9,'Member Data'!$BC$6:$BC$5331,C$4)</f>
        <v>0</v>
      </c>
      <c r="D9" s="753">
        <f>COUNTIFS('Member Data'!$BD$6:$BD$5331,B$4,'Member Data'!$BF$6:$BF$5331,B$5,'Member Data'!$BI$6:$BI$5331,D$5,'Member Data'!$BH$6:$BH$5331,B9,'Member Data'!$BC$6:$BC$5331,D$4)</f>
        <v>0</v>
      </c>
      <c r="E9" s="758" t="str">
        <f>'Group Engine'!E36</f>
        <v>26 - 30</v>
      </c>
      <c r="F9" s="753">
        <f>COUNTIFS('Member Data'!$BD$6:$BD$5331,E$4,'Member Data'!$BF$6:$BF$5331,E$5,'Member Data'!$BI$6:$BI$5331,F$5,'Member Data'!$BH$6:$BH$5331,E9,'Member Data'!$BC$6:$BC$5331,F$4)</f>
        <v>0</v>
      </c>
      <c r="G9" s="753">
        <f>COUNTIFS('Member Data'!$BD$6:$BD$5331,E$4,'Member Data'!$BF$6:$BF$5331,E$5,'Member Data'!$BI$6:$BI$5331,G$5,'Member Data'!$BH$6:$BH$5331,E9,'Member Data'!$BC$6:$BC$5331,G$4)</f>
        <v>0</v>
      </c>
      <c r="H9" s="758" t="str">
        <f>'Group Engine'!H36</f>
        <v>26 - 30</v>
      </c>
      <c r="I9" s="753">
        <f>COUNTIFS('Member Data'!$BD$6:$BD$5331,H$4,'Member Data'!$BF$6:$BF$5331,H$5,'Member Data'!$BI$6:$BI$5331,I$5,'Member Data'!$BH$6:$BH$5331,H9,'Member Data'!$BC$6:$BC$5331,I$4)</f>
        <v>0</v>
      </c>
      <c r="J9" s="753">
        <f>COUNTIFS('Member Data'!$BD$6:$BD$5331,H$4,'Member Data'!$BF$6:$BF$5331,H$5,'Member Data'!$BI$6:$BI$5331,J$5,'Member Data'!$BH$6:$BH$5331,H9,'Member Data'!$BC$6:$BC$5331,J$4)</f>
        <v>0</v>
      </c>
      <c r="K9" s="758" t="str">
        <f>'Group Engine'!K36</f>
        <v>26 - 30</v>
      </c>
      <c r="L9" s="753">
        <f>COUNTIFS('Member Data'!$BD$6:$BD$5331,K$4,'Member Data'!$BF$6:$BF$5331,K$5,'Member Data'!$BI$6:$BI$5331,L$5,'Member Data'!$BH$6:$BH$5331,K9,'Member Data'!$BC$6:$BC$5331,L$4)</f>
        <v>0</v>
      </c>
      <c r="M9" s="753">
        <f>COUNTIFS('Member Data'!$BD$6:$BD$5331,K$4,'Member Data'!$BF$6:$BF$5331,K$5,'Member Data'!$BI$6:$BI$5331,M$5,'Member Data'!$BH$6:$BH$5331,K9,'Member Data'!$BC$6:$BC$5331,M$4)</f>
        <v>0</v>
      </c>
      <c r="N9" s="758" t="str">
        <f>'Group Engine'!N36</f>
        <v>26 - 30</v>
      </c>
      <c r="O9" s="753">
        <f>COUNTIFS('Member Data'!$BD$6:$BD$5331,N$4,'Member Data'!$BF$6:$BF$5331,N$5,'Member Data'!$BI$6:$BI$5331,O$5,'Member Data'!$BH$6:$BH$5331,N9,'Member Data'!$BC$6:$BC$5331,O$4)</f>
        <v>0</v>
      </c>
      <c r="P9" s="753">
        <f>COUNTIFS('Member Data'!$BD$6:$BD$5331,N$4,'Member Data'!$BF$6:$BF$5331,N$5,'Member Data'!$BI$6:$BI$5331,P$5,'Member Data'!$BH$6:$BH$5331,N9,'Member Data'!$BC$6:$BC$5331,P$4)</f>
        <v>0</v>
      </c>
      <c r="Q9" s="758" t="str">
        <f>'Group Engine'!Q36</f>
        <v>26 - 30</v>
      </c>
      <c r="R9" s="753">
        <f>COUNTIFS('Member Data'!$BD$6:$BD$5331,Q$4,'Member Data'!$BF$6:$BF$5331,Q$5,'Member Data'!$BI$6:$BI$5331,R$5,'Member Data'!$BH$6:$BH$5331,Q9,'Member Data'!$BC$6:$BC$5331,R$4)</f>
        <v>0</v>
      </c>
      <c r="S9" s="753">
        <f>COUNTIFS('Member Data'!$BD$6:$BD$5331,Q$4,'Member Data'!$BF$6:$BF$5331,Q$5,'Member Data'!$BI$6:$BI$5331,S$5,'Member Data'!$BH$6:$BH$5331,Q9,'Member Data'!$BC$6:$BC$5331,S$4)</f>
        <v>0</v>
      </c>
      <c r="T9" s="758" t="str">
        <f>'Group Engine'!T36</f>
        <v>26 - 30</v>
      </c>
      <c r="U9" s="753">
        <f>COUNTIFS('Member Data'!$BD$6:$BD$5331,T$4,'Member Data'!$BF$6:$BF$5331,T$5,'Member Data'!$BI$6:$BI$5331,U$5,'Member Data'!$BH$6:$BH$5331,T9,'Member Data'!$BC$6:$BC$5331,U$4)</f>
        <v>0</v>
      </c>
      <c r="V9" s="753">
        <f>COUNTIFS('Member Data'!$BD$6:$BD$5331,T$4,'Member Data'!$BF$6:$BF$5331,T$5,'Member Data'!$BI$6:$BI$5331,V$5,'Member Data'!$BH$6:$BH$5331,T9,'Member Data'!$BC$6:$BC$5331,V$4)</f>
        <v>0</v>
      </c>
      <c r="W9" s="758" t="str">
        <f>'Group Engine'!W36</f>
        <v>26 - 30</v>
      </c>
      <c r="X9" s="753">
        <f>COUNTIFS('Member Data'!$BD$6:$BD$5331,W$4,'Member Data'!$BF$6:$BF$5331,W$5,'Member Data'!$BI$6:$BI$5331,X$5,'Member Data'!$BH$6:$BH$5331,W9,'Member Data'!$BC$6:$BC$5331,X$4)</f>
        <v>0</v>
      </c>
      <c r="Y9" s="753">
        <f>COUNTIFS('Member Data'!$BD$6:$BD$5331,W$4,'Member Data'!$BF$6:$BF$5331,W$5,'Member Data'!$BI$6:$BI$5331,Y$5,'Member Data'!$BH$6:$BH$5331,W9,'Member Data'!$BC$6:$BC$5331,Y$4)</f>
        <v>0</v>
      </c>
      <c r="Z9" s="688"/>
    </row>
    <row r="10" spans="1:26" x14ac:dyDescent="0.25">
      <c r="A10" s="698"/>
      <c r="B10" s="758" t="str">
        <f>'Group Engine'!B37</f>
        <v>31 - 35</v>
      </c>
      <c r="C10" s="753">
        <f>COUNTIFS('Member Data'!$BD$6:$BD$5331,B$4,'Member Data'!$BF$6:$BF$5331,B$5,'Member Data'!$BI$6:$BI$5331,C$5,'Member Data'!$BH$6:$BH$5331,B10,'Member Data'!$BC$6:$BC$5331,C$4)</f>
        <v>1</v>
      </c>
      <c r="D10" s="753">
        <f>COUNTIFS('Member Data'!$BD$6:$BD$5331,B$4,'Member Data'!$BF$6:$BF$5331,B$5,'Member Data'!$BI$6:$BI$5331,D$5,'Member Data'!$BH$6:$BH$5331,B10,'Member Data'!$BC$6:$BC$5331,D$4)</f>
        <v>0</v>
      </c>
      <c r="E10" s="758" t="str">
        <f>'Group Engine'!E37</f>
        <v>31 - 35</v>
      </c>
      <c r="F10" s="753">
        <f>COUNTIFS('Member Data'!$BD$6:$BD$5331,E$4,'Member Data'!$BF$6:$BF$5331,E$5,'Member Data'!$BI$6:$BI$5331,F$5,'Member Data'!$BH$6:$BH$5331,E10,'Member Data'!$BC$6:$BC$5331,F$4)</f>
        <v>0</v>
      </c>
      <c r="G10" s="753">
        <f>COUNTIFS('Member Data'!$BD$6:$BD$5331,E$4,'Member Data'!$BF$6:$BF$5331,E$5,'Member Data'!$BI$6:$BI$5331,G$5,'Member Data'!$BH$6:$BH$5331,E10,'Member Data'!$BC$6:$BC$5331,G$4)</f>
        <v>0</v>
      </c>
      <c r="H10" s="758" t="str">
        <f>'Group Engine'!H37</f>
        <v>31 - 35</v>
      </c>
      <c r="I10" s="753">
        <f>COUNTIFS('Member Data'!$BD$6:$BD$5331,H$4,'Member Data'!$BF$6:$BF$5331,H$5,'Member Data'!$BI$6:$BI$5331,I$5,'Member Data'!$BH$6:$BH$5331,H10,'Member Data'!$BC$6:$BC$5331,I$4)</f>
        <v>0</v>
      </c>
      <c r="J10" s="753">
        <f>COUNTIFS('Member Data'!$BD$6:$BD$5331,H$4,'Member Data'!$BF$6:$BF$5331,H$5,'Member Data'!$BI$6:$BI$5331,J$5,'Member Data'!$BH$6:$BH$5331,H10,'Member Data'!$BC$6:$BC$5331,J$4)</f>
        <v>0</v>
      </c>
      <c r="K10" s="758" t="str">
        <f>'Group Engine'!K37</f>
        <v>31 - 35</v>
      </c>
      <c r="L10" s="753">
        <f>COUNTIFS('Member Data'!$BD$6:$BD$5331,K$4,'Member Data'!$BF$6:$BF$5331,K$5,'Member Data'!$BI$6:$BI$5331,L$5,'Member Data'!$BH$6:$BH$5331,K10,'Member Data'!$BC$6:$BC$5331,L$4)</f>
        <v>0</v>
      </c>
      <c r="M10" s="753">
        <f>COUNTIFS('Member Data'!$BD$6:$BD$5331,K$4,'Member Data'!$BF$6:$BF$5331,K$5,'Member Data'!$BI$6:$BI$5331,M$5,'Member Data'!$BH$6:$BH$5331,K10,'Member Data'!$BC$6:$BC$5331,M$4)</f>
        <v>0</v>
      </c>
      <c r="N10" s="758" t="str">
        <f>'Group Engine'!N37</f>
        <v>31 - 35</v>
      </c>
      <c r="O10" s="753">
        <f>COUNTIFS('Member Data'!$BD$6:$BD$5331,N$4,'Member Data'!$BF$6:$BF$5331,N$5,'Member Data'!$BI$6:$BI$5331,O$5,'Member Data'!$BH$6:$BH$5331,N10,'Member Data'!$BC$6:$BC$5331,O$4)</f>
        <v>0</v>
      </c>
      <c r="P10" s="753">
        <f>COUNTIFS('Member Data'!$BD$6:$BD$5331,N$4,'Member Data'!$BF$6:$BF$5331,N$5,'Member Data'!$BI$6:$BI$5331,P$5,'Member Data'!$BH$6:$BH$5331,N10,'Member Data'!$BC$6:$BC$5331,P$4)</f>
        <v>0</v>
      </c>
      <c r="Q10" s="758" t="str">
        <f>'Group Engine'!Q37</f>
        <v>31 - 35</v>
      </c>
      <c r="R10" s="753">
        <f>COUNTIFS('Member Data'!$BD$6:$BD$5331,Q$4,'Member Data'!$BF$6:$BF$5331,Q$5,'Member Data'!$BI$6:$BI$5331,R$5,'Member Data'!$BH$6:$BH$5331,Q10,'Member Data'!$BC$6:$BC$5331,R$4)</f>
        <v>0</v>
      </c>
      <c r="S10" s="753">
        <f>COUNTIFS('Member Data'!$BD$6:$BD$5331,Q$4,'Member Data'!$BF$6:$BF$5331,Q$5,'Member Data'!$BI$6:$BI$5331,S$5,'Member Data'!$BH$6:$BH$5331,Q10,'Member Data'!$BC$6:$BC$5331,S$4)</f>
        <v>0</v>
      </c>
      <c r="T10" s="758" t="str">
        <f>'Group Engine'!T37</f>
        <v>31 - 35</v>
      </c>
      <c r="U10" s="753">
        <f>COUNTIFS('Member Data'!$BD$6:$BD$5331,T$4,'Member Data'!$BF$6:$BF$5331,T$5,'Member Data'!$BI$6:$BI$5331,U$5,'Member Data'!$BH$6:$BH$5331,T10,'Member Data'!$BC$6:$BC$5331,U$4)</f>
        <v>0</v>
      </c>
      <c r="V10" s="753">
        <f>COUNTIFS('Member Data'!$BD$6:$BD$5331,T$4,'Member Data'!$BF$6:$BF$5331,T$5,'Member Data'!$BI$6:$BI$5331,V$5,'Member Data'!$BH$6:$BH$5331,T10,'Member Data'!$BC$6:$BC$5331,V$4)</f>
        <v>0</v>
      </c>
      <c r="W10" s="758" t="str">
        <f>'Group Engine'!W37</f>
        <v>31 - 35</v>
      </c>
      <c r="X10" s="753">
        <f>COUNTIFS('Member Data'!$BD$6:$BD$5331,W$4,'Member Data'!$BF$6:$BF$5331,W$5,'Member Data'!$BI$6:$BI$5331,X$5,'Member Data'!$BH$6:$BH$5331,W10,'Member Data'!$BC$6:$BC$5331,X$4)</f>
        <v>0</v>
      </c>
      <c r="Y10" s="753">
        <f>COUNTIFS('Member Data'!$BD$6:$BD$5331,W$4,'Member Data'!$BF$6:$BF$5331,W$5,'Member Data'!$BI$6:$BI$5331,Y$5,'Member Data'!$BH$6:$BH$5331,W10,'Member Data'!$BC$6:$BC$5331,Y$4)</f>
        <v>0</v>
      </c>
      <c r="Z10" s="688"/>
    </row>
    <row r="11" spans="1:26" x14ac:dyDescent="0.25">
      <c r="A11" s="698"/>
      <c r="B11" s="758" t="str">
        <f>'Group Engine'!B38</f>
        <v>36 - 40</v>
      </c>
      <c r="C11" s="753">
        <f>COUNTIFS('Member Data'!$BD$6:$BD$5331,B$4,'Member Data'!$BF$6:$BF$5331,B$5,'Member Data'!$BI$6:$BI$5331,C$5,'Member Data'!$BH$6:$BH$5331,B11,'Member Data'!$BC$6:$BC$5331,C$4)</f>
        <v>0</v>
      </c>
      <c r="D11" s="753">
        <f>COUNTIFS('Member Data'!$BD$6:$BD$5331,B$4,'Member Data'!$BF$6:$BF$5331,B$5,'Member Data'!$BI$6:$BI$5331,D$5,'Member Data'!$BH$6:$BH$5331,B11,'Member Data'!$BC$6:$BC$5331,D$4)</f>
        <v>0</v>
      </c>
      <c r="E11" s="758" t="str">
        <f>'Group Engine'!E38</f>
        <v>36 - 40</v>
      </c>
      <c r="F11" s="753">
        <f>COUNTIFS('Member Data'!$BD$6:$BD$5331,E$4,'Member Data'!$BF$6:$BF$5331,E$5,'Member Data'!$BI$6:$BI$5331,F$5,'Member Data'!$BH$6:$BH$5331,E11,'Member Data'!$BC$6:$BC$5331,F$4)</f>
        <v>0</v>
      </c>
      <c r="G11" s="753">
        <f>COUNTIFS('Member Data'!$BD$6:$BD$5331,E$4,'Member Data'!$BF$6:$BF$5331,E$5,'Member Data'!$BI$6:$BI$5331,G$5,'Member Data'!$BH$6:$BH$5331,E11,'Member Data'!$BC$6:$BC$5331,G$4)</f>
        <v>0</v>
      </c>
      <c r="H11" s="758" t="str">
        <f>'Group Engine'!H38</f>
        <v>36 - 40</v>
      </c>
      <c r="I11" s="753">
        <f>COUNTIFS('Member Data'!$BD$6:$BD$5331,H$4,'Member Data'!$BF$6:$BF$5331,H$5,'Member Data'!$BI$6:$BI$5331,I$5,'Member Data'!$BH$6:$BH$5331,H11,'Member Data'!$BC$6:$BC$5331,I$4)</f>
        <v>0</v>
      </c>
      <c r="J11" s="753">
        <f>COUNTIFS('Member Data'!$BD$6:$BD$5331,H$4,'Member Data'!$BF$6:$BF$5331,H$5,'Member Data'!$BI$6:$BI$5331,J$5,'Member Data'!$BH$6:$BH$5331,H11,'Member Data'!$BC$6:$BC$5331,J$4)</f>
        <v>0</v>
      </c>
      <c r="K11" s="758" t="str">
        <f>'Group Engine'!K38</f>
        <v>36 - 40</v>
      </c>
      <c r="L11" s="753">
        <f>COUNTIFS('Member Data'!$BD$6:$BD$5331,K$4,'Member Data'!$BF$6:$BF$5331,K$5,'Member Data'!$BI$6:$BI$5331,L$5,'Member Data'!$BH$6:$BH$5331,K11,'Member Data'!$BC$6:$BC$5331,L$4)</f>
        <v>0</v>
      </c>
      <c r="M11" s="753">
        <f>COUNTIFS('Member Data'!$BD$6:$BD$5331,K$4,'Member Data'!$BF$6:$BF$5331,K$5,'Member Data'!$BI$6:$BI$5331,M$5,'Member Data'!$BH$6:$BH$5331,K11,'Member Data'!$BC$6:$BC$5331,M$4)</f>
        <v>0</v>
      </c>
      <c r="N11" s="758" t="str">
        <f>'Group Engine'!N38</f>
        <v>36 - 40</v>
      </c>
      <c r="O11" s="753">
        <f>COUNTIFS('Member Data'!$BD$6:$BD$5331,N$4,'Member Data'!$BF$6:$BF$5331,N$5,'Member Data'!$BI$6:$BI$5331,O$5,'Member Data'!$BH$6:$BH$5331,N11,'Member Data'!$BC$6:$BC$5331,O$4)</f>
        <v>0</v>
      </c>
      <c r="P11" s="753">
        <f>COUNTIFS('Member Data'!$BD$6:$BD$5331,N$4,'Member Data'!$BF$6:$BF$5331,N$5,'Member Data'!$BI$6:$BI$5331,P$5,'Member Data'!$BH$6:$BH$5331,N11,'Member Data'!$BC$6:$BC$5331,P$4)</f>
        <v>0</v>
      </c>
      <c r="Q11" s="758" t="str">
        <f>'Group Engine'!Q38</f>
        <v>36 - 40</v>
      </c>
      <c r="R11" s="753">
        <f>COUNTIFS('Member Data'!$BD$6:$BD$5331,Q$4,'Member Data'!$BF$6:$BF$5331,Q$5,'Member Data'!$BI$6:$BI$5331,R$5,'Member Data'!$BH$6:$BH$5331,Q11,'Member Data'!$BC$6:$BC$5331,R$4)</f>
        <v>0</v>
      </c>
      <c r="S11" s="753">
        <f>COUNTIFS('Member Data'!$BD$6:$BD$5331,Q$4,'Member Data'!$BF$6:$BF$5331,Q$5,'Member Data'!$BI$6:$BI$5331,S$5,'Member Data'!$BH$6:$BH$5331,Q11,'Member Data'!$BC$6:$BC$5331,S$4)</f>
        <v>0</v>
      </c>
      <c r="T11" s="758" t="str">
        <f>'Group Engine'!T38</f>
        <v>36 - 40</v>
      </c>
      <c r="U11" s="753">
        <f>COUNTIFS('Member Data'!$BD$6:$BD$5331,T$4,'Member Data'!$BF$6:$BF$5331,T$5,'Member Data'!$BI$6:$BI$5331,U$5,'Member Data'!$BH$6:$BH$5331,T11,'Member Data'!$BC$6:$BC$5331,U$4)</f>
        <v>0</v>
      </c>
      <c r="V11" s="753">
        <f>COUNTIFS('Member Data'!$BD$6:$BD$5331,T$4,'Member Data'!$BF$6:$BF$5331,T$5,'Member Data'!$BI$6:$BI$5331,V$5,'Member Data'!$BH$6:$BH$5331,T11,'Member Data'!$BC$6:$BC$5331,V$4)</f>
        <v>0</v>
      </c>
      <c r="W11" s="758" t="str">
        <f>'Group Engine'!W38</f>
        <v>36 - 40</v>
      </c>
      <c r="X11" s="753">
        <f>COUNTIFS('Member Data'!$BD$6:$BD$5331,W$4,'Member Data'!$BF$6:$BF$5331,W$5,'Member Data'!$BI$6:$BI$5331,X$5,'Member Data'!$BH$6:$BH$5331,W11,'Member Data'!$BC$6:$BC$5331,X$4)</f>
        <v>0</v>
      </c>
      <c r="Y11" s="753">
        <f>COUNTIFS('Member Data'!$BD$6:$BD$5331,W$4,'Member Data'!$BF$6:$BF$5331,W$5,'Member Data'!$BI$6:$BI$5331,Y$5,'Member Data'!$BH$6:$BH$5331,W11,'Member Data'!$BC$6:$BC$5331,Y$4)</f>
        <v>0</v>
      </c>
      <c r="Z11" s="688"/>
    </row>
    <row r="12" spans="1:26" x14ac:dyDescent="0.25">
      <c r="A12" s="698"/>
      <c r="B12" s="758" t="str">
        <f>'Group Engine'!B39</f>
        <v>41 - 45</v>
      </c>
      <c r="C12" s="753">
        <f>COUNTIFS('Member Data'!$BD$6:$BD$5331,B$4,'Member Data'!$BF$6:$BF$5331,B$5,'Member Data'!$BI$6:$BI$5331,C$5,'Member Data'!$BH$6:$BH$5331,B12,'Member Data'!$BC$6:$BC$5331,C$4)</f>
        <v>0</v>
      </c>
      <c r="D12" s="753">
        <f>COUNTIFS('Member Data'!$BD$6:$BD$5331,B$4,'Member Data'!$BF$6:$BF$5331,B$5,'Member Data'!$BI$6:$BI$5331,D$5,'Member Data'!$BH$6:$BH$5331,B12,'Member Data'!$BC$6:$BC$5331,D$4)</f>
        <v>0</v>
      </c>
      <c r="E12" s="758" t="str">
        <f>'Group Engine'!E39</f>
        <v>41 - 45</v>
      </c>
      <c r="F12" s="753">
        <f>COUNTIFS('Member Data'!$BD$6:$BD$5331,E$4,'Member Data'!$BF$6:$BF$5331,E$5,'Member Data'!$BI$6:$BI$5331,F$5,'Member Data'!$BH$6:$BH$5331,E12,'Member Data'!$BC$6:$BC$5331,F$4)</f>
        <v>0</v>
      </c>
      <c r="G12" s="753">
        <f>COUNTIFS('Member Data'!$BD$6:$BD$5331,E$4,'Member Data'!$BF$6:$BF$5331,E$5,'Member Data'!$BI$6:$BI$5331,G$5,'Member Data'!$BH$6:$BH$5331,E12,'Member Data'!$BC$6:$BC$5331,G$4)</f>
        <v>0</v>
      </c>
      <c r="H12" s="758" t="str">
        <f>'Group Engine'!H39</f>
        <v>41 - 45</v>
      </c>
      <c r="I12" s="753">
        <f>COUNTIFS('Member Data'!$BD$6:$BD$5331,H$4,'Member Data'!$BF$6:$BF$5331,H$5,'Member Data'!$BI$6:$BI$5331,I$5,'Member Data'!$BH$6:$BH$5331,H12,'Member Data'!$BC$6:$BC$5331,I$4)</f>
        <v>0</v>
      </c>
      <c r="J12" s="753">
        <f>COUNTIFS('Member Data'!$BD$6:$BD$5331,H$4,'Member Data'!$BF$6:$BF$5331,H$5,'Member Data'!$BI$6:$BI$5331,J$5,'Member Data'!$BH$6:$BH$5331,H12,'Member Data'!$BC$6:$BC$5331,J$4)</f>
        <v>0</v>
      </c>
      <c r="K12" s="758" t="str">
        <f>'Group Engine'!K39</f>
        <v>41 - 45</v>
      </c>
      <c r="L12" s="753">
        <f>COUNTIFS('Member Data'!$BD$6:$BD$5331,K$4,'Member Data'!$BF$6:$BF$5331,K$5,'Member Data'!$BI$6:$BI$5331,L$5,'Member Data'!$BH$6:$BH$5331,K12,'Member Data'!$BC$6:$BC$5331,L$4)</f>
        <v>0</v>
      </c>
      <c r="M12" s="753">
        <f>COUNTIFS('Member Data'!$BD$6:$BD$5331,K$4,'Member Data'!$BF$6:$BF$5331,K$5,'Member Data'!$BI$6:$BI$5331,M$5,'Member Data'!$BH$6:$BH$5331,K12,'Member Data'!$BC$6:$BC$5331,M$4)</f>
        <v>0</v>
      </c>
      <c r="N12" s="758" t="str">
        <f>'Group Engine'!N39</f>
        <v>41 - 45</v>
      </c>
      <c r="O12" s="753">
        <f>COUNTIFS('Member Data'!$BD$6:$BD$5331,N$4,'Member Data'!$BF$6:$BF$5331,N$5,'Member Data'!$BI$6:$BI$5331,O$5,'Member Data'!$BH$6:$BH$5331,N12,'Member Data'!$BC$6:$BC$5331,O$4)</f>
        <v>0</v>
      </c>
      <c r="P12" s="753">
        <f>COUNTIFS('Member Data'!$BD$6:$BD$5331,N$4,'Member Data'!$BF$6:$BF$5331,N$5,'Member Data'!$BI$6:$BI$5331,P$5,'Member Data'!$BH$6:$BH$5331,N12,'Member Data'!$BC$6:$BC$5331,P$4)</f>
        <v>0</v>
      </c>
      <c r="Q12" s="758" t="str">
        <f>'Group Engine'!Q39</f>
        <v>41 - 45</v>
      </c>
      <c r="R12" s="753">
        <f>COUNTIFS('Member Data'!$BD$6:$BD$5331,Q$4,'Member Data'!$BF$6:$BF$5331,Q$5,'Member Data'!$BI$6:$BI$5331,R$5,'Member Data'!$BH$6:$BH$5331,Q12,'Member Data'!$BC$6:$BC$5331,R$4)</f>
        <v>0</v>
      </c>
      <c r="S12" s="753">
        <f>COUNTIFS('Member Data'!$BD$6:$BD$5331,Q$4,'Member Data'!$BF$6:$BF$5331,Q$5,'Member Data'!$BI$6:$BI$5331,S$5,'Member Data'!$BH$6:$BH$5331,Q12,'Member Data'!$BC$6:$BC$5331,S$4)</f>
        <v>0</v>
      </c>
      <c r="T12" s="758" t="str">
        <f>'Group Engine'!T39</f>
        <v>41 - 45</v>
      </c>
      <c r="U12" s="753">
        <f>COUNTIFS('Member Data'!$BD$6:$BD$5331,T$4,'Member Data'!$BF$6:$BF$5331,T$5,'Member Data'!$BI$6:$BI$5331,U$5,'Member Data'!$BH$6:$BH$5331,T12,'Member Data'!$BC$6:$BC$5331,U$4)</f>
        <v>0</v>
      </c>
      <c r="V12" s="753">
        <f>COUNTIFS('Member Data'!$BD$6:$BD$5331,T$4,'Member Data'!$BF$6:$BF$5331,T$5,'Member Data'!$BI$6:$BI$5331,V$5,'Member Data'!$BH$6:$BH$5331,T12,'Member Data'!$BC$6:$BC$5331,V$4)</f>
        <v>0</v>
      </c>
      <c r="W12" s="758" t="str">
        <f>'Group Engine'!W39</f>
        <v>41 - 45</v>
      </c>
      <c r="X12" s="753">
        <f>COUNTIFS('Member Data'!$BD$6:$BD$5331,W$4,'Member Data'!$BF$6:$BF$5331,W$5,'Member Data'!$BI$6:$BI$5331,X$5,'Member Data'!$BH$6:$BH$5331,W12,'Member Data'!$BC$6:$BC$5331,X$4)</f>
        <v>0</v>
      </c>
      <c r="Y12" s="753">
        <f>COUNTIFS('Member Data'!$BD$6:$BD$5331,W$4,'Member Data'!$BF$6:$BF$5331,W$5,'Member Data'!$BI$6:$BI$5331,Y$5,'Member Data'!$BH$6:$BH$5331,W12,'Member Data'!$BC$6:$BC$5331,Y$4)</f>
        <v>0</v>
      </c>
      <c r="Z12" s="688"/>
    </row>
    <row r="13" spans="1:26" x14ac:dyDescent="0.25">
      <c r="A13" s="698"/>
      <c r="B13" s="758" t="str">
        <f>'Group Engine'!B40</f>
        <v>46 - 50</v>
      </c>
      <c r="C13" s="753">
        <f>COUNTIFS('Member Data'!$BD$6:$BD$5331,B$4,'Member Data'!$BF$6:$BF$5331,B$5,'Member Data'!$BI$6:$BI$5331,C$5,'Member Data'!$BH$6:$BH$5331,B13,'Member Data'!$BC$6:$BC$5331,C$4)</f>
        <v>1</v>
      </c>
      <c r="D13" s="753">
        <f>COUNTIFS('Member Data'!$BD$6:$BD$5331,B$4,'Member Data'!$BF$6:$BF$5331,B$5,'Member Data'!$BI$6:$BI$5331,D$5,'Member Data'!$BH$6:$BH$5331,B13,'Member Data'!$BC$6:$BC$5331,D$4)</f>
        <v>0</v>
      </c>
      <c r="E13" s="758" t="str">
        <f>'Group Engine'!E40</f>
        <v>46 - 50</v>
      </c>
      <c r="F13" s="753">
        <f>COUNTIFS('Member Data'!$BD$6:$BD$5331,E$4,'Member Data'!$BF$6:$BF$5331,E$5,'Member Data'!$BI$6:$BI$5331,F$5,'Member Data'!$BH$6:$BH$5331,E13,'Member Data'!$BC$6:$BC$5331,F$4)</f>
        <v>0</v>
      </c>
      <c r="G13" s="753">
        <f>COUNTIFS('Member Data'!$BD$6:$BD$5331,E$4,'Member Data'!$BF$6:$BF$5331,E$5,'Member Data'!$BI$6:$BI$5331,G$5,'Member Data'!$BH$6:$BH$5331,E13,'Member Data'!$BC$6:$BC$5331,G$4)</f>
        <v>0</v>
      </c>
      <c r="H13" s="758" t="str">
        <f>'Group Engine'!H40</f>
        <v>46 - 50</v>
      </c>
      <c r="I13" s="753">
        <f>COUNTIFS('Member Data'!$BD$6:$BD$5331,H$4,'Member Data'!$BF$6:$BF$5331,H$5,'Member Data'!$BI$6:$BI$5331,I$5,'Member Data'!$BH$6:$BH$5331,H13,'Member Data'!$BC$6:$BC$5331,I$4)</f>
        <v>0</v>
      </c>
      <c r="J13" s="753">
        <f>COUNTIFS('Member Data'!$BD$6:$BD$5331,H$4,'Member Data'!$BF$6:$BF$5331,H$5,'Member Data'!$BI$6:$BI$5331,J$5,'Member Data'!$BH$6:$BH$5331,H13,'Member Data'!$BC$6:$BC$5331,J$4)</f>
        <v>0</v>
      </c>
      <c r="K13" s="758" t="str">
        <f>'Group Engine'!K40</f>
        <v>46 - 50</v>
      </c>
      <c r="L13" s="753">
        <f>COUNTIFS('Member Data'!$BD$6:$BD$5331,K$4,'Member Data'!$BF$6:$BF$5331,K$5,'Member Data'!$BI$6:$BI$5331,L$5,'Member Data'!$BH$6:$BH$5331,K13,'Member Data'!$BC$6:$BC$5331,L$4)</f>
        <v>0</v>
      </c>
      <c r="M13" s="753">
        <f>COUNTIFS('Member Data'!$BD$6:$BD$5331,K$4,'Member Data'!$BF$6:$BF$5331,K$5,'Member Data'!$BI$6:$BI$5331,M$5,'Member Data'!$BH$6:$BH$5331,K13,'Member Data'!$BC$6:$BC$5331,M$4)</f>
        <v>0</v>
      </c>
      <c r="N13" s="758" t="str">
        <f>'Group Engine'!N40</f>
        <v>46 - 50</v>
      </c>
      <c r="O13" s="753">
        <f>COUNTIFS('Member Data'!$BD$6:$BD$5331,N$4,'Member Data'!$BF$6:$BF$5331,N$5,'Member Data'!$BI$6:$BI$5331,O$5,'Member Data'!$BH$6:$BH$5331,N13,'Member Data'!$BC$6:$BC$5331,O$4)</f>
        <v>0</v>
      </c>
      <c r="P13" s="753">
        <f>COUNTIFS('Member Data'!$BD$6:$BD$5331,N$4,'Member Data'!$BF$6:$BF$5331,N$5,'Member Data'!$BI$6:$BI$5331,P$5,'Member Data'!$BH$6:$BH$5331,N13,'Member Data'!$BC$6:$BC$5331,P$4)</f>
        <v>0</v>
      </c>
      <c r="Q13" s="758" t="str">
        <f>'Group Engine'!Q40</f>
        <v>46 - 50</v>
      </c>
      <c r="R13" s="753">
        <f>COUNTIFS('Member Data'!$BD$6:$BD$5331,Q$4,'Member Data'!$BF$6:$BF$5331,Q$5,'Member Data'!$BI$6:$BI$5331,R$5,'Member Data'!$BH$6:$BH$5331,Q13,'Member Data'!$BC$6:$BC$5331,R$4)</f>
        <v>0</v>
      </c>
      <c r="S13" s="753">
        <f>COUNTIFS('Member Data'!$BD$6:$BD$5331,Q$4,'Member Data'!$BF$6:$BF$5331,Q$5,'Member Data'!$BI$6:$BI$5331,S$5,'Member Data'!$BH$6:$BH$5331,Q13,'Member Data'!$BC$6:$BC$5331,S$4)</f>
        <v>0</v>
      </c>
      <c r="T13" s="758" t="str">
        <f>'Group Engine'!T40</f>
        <v>46 - 50</v>
      </c>
      <c r="U13" s="753">
        <f>COUNTIFS('Member Data'!$BD$6:$BD$5331,T$4,'Member Data'!$BF$6:$BF$5331,T$5,'Member Data'!$BI$6:$BI$5331,U$5,'Member Data'!$BH$6:$BH$5331,T13,'Member Data'!$BC$6:$BC$5331,U$4)</f>
        <v>0</v>
      </c>
      <c r="V13" s="753">
        <f>COUNTIFS('Member Data'!$BD$6:$BD$5331,T$4,'Member Data'!$BF$6:$BF$5331,T$5,'Member Data'!$BI$6:$BI$5331,V$5,'Member Data'!$BH$6:$BH$5331,T13,'Member Data'!$BC$6:$BC$5331,V$4)</f>
        <v>0</v>
      </c>
      <c r="W13" s="758" t="str">
        <f>'Group Engine'!W40</f>
        <v>46 - 50</v>
      </c>
      <c r="X13" s="753">
        <f>COUNTIFS('Member Data'!$BD$6:$BD$5331,W$4,'Member Data'!$BF$6:$BF$5331,W$5,'Member Data'!$BI$6:$BI$5331,X$5,'Member Data'!$BH$6:$BH$5331,W13,'Member Data'!$BC$6:$BC$5331,X$4)</f>
        <v>0</v>
      </c>
      <c r="Y13" s="753">
        <f>COUNTIFS('Member Data'!$BD$6:$BD$5331,W$4,'Member Data'!$BF$6:$BF$5331,W$5,'Member Data'!$BI$6:$BI$5331,Y$5,'Member Data'!$BH$6:$BH$5331,W13,'Member Data'!$BC$6:$BC$5331,Y$4)</f>
        <v>0</v>
      </c>
      <c r="Z13" s="688"/>
    </row>
    <row r="14" spans="1:26" x14ac:dyDescent="0.25">
      <c r="A14" s="698"/>
      <c r="B14" s="758" t="str">
        <f>'Group Engine'!B41</f>
        <v>51 - 55</v>
      </c>
      <c r="C14" s="753">
        <f>COUNTIFS('Member Data'!$BD$6:$BD$5331,B$4,'Member Data'!$BF$6:$BF$5331,B$5,'Member Data'!$BI$6:$BI$5331,C$5,'Member Data'!$BH$6:$BH$5331,B14,'Member Data'!$BC$6:$BC$5331,C$4)</f>
        <v>1</v>
      </c>
      <c r="D14" s="753">
        <f>COUNTIFS('Member Data'!$BD$6:$BD$5331,B$4,'Member Data'!$BF$6:$BF$5331,B$5,'Member Data'!$BI$6:$BI$5331,D$5,'Member Data'!$BH$6:$BH$5331,B14,'Member Data'!$BC$6:$BC$5331,D$4)</f>
        <v>0</v>
      </c>
      <c r="E14" s="758" t="str">
        <f>'Group Engine'!E41</f>
        <v>51 - 55</v>
      </c>
      <c r="F14" s="753">
        <f>COUNTIFS('Member Data'!$BD$6:$BD$5331,E$4,'Member Data'!$BF$6:$BF$5331,E$5,'Member Data'!$BI$6:$BI$5331,F$5,'Member Data'!$BH$6:$BH$5331,E14,'Member Data'!$BC$6:$BC$5331,F$4)</f>
        <v>0</v>
      </c>
      <c r="G14" s="753">
        <f>COUNTIFS('Member Data'!$BD$6:$BD$5331,E$4,'Member Data'!$BF$6:$BF$5331,E$5,'Member Data'!$BI$6:$BI$5331,G$5,'Member Data'!$BH$6:$BH$5331,E14,'Member Data'!$BC$6:$BC$5331,G$4)</f>
        <v>0</v>
      </c>
      <c r="H14" s="758" t="str">
        <f>'Group Engine'!H41</f>
        <v>51 - 55</v>
      </c>
      <c r="I14" s="753">
        <f>COUNTIFS('Member Data'!$BD$6:$BD$5331,H$4,'Member Data'!$BF$6:$BF$5331,H$5,'Member Data'!$BI$6:$BI$5331,I$5,'Member Data'!$BH$6:$BH$5331,H14,'Member Data'!$BC$6:$BC$5331,I$4)</f>
        <v>0</v>
      </c>
      <c r="J14" s="753">
        <f>COUNTIFS('Member Data'!$BD$6:$BD$5331,H$4,'Member Data'!$BF$6:$BF$5331,H$5,'Member Data'!$BI$6:$BI$5331,J$5,'Member Data'!$BH$6:$BH$5331,H14,'Member Data'!$BC$6:$BC$5331,J$4)</f>
        <v>0</v>
      </c>
      <c r="K14" s="758" t="str">
        <f>'Group Engine'!K41</f>
        <v>51 - 55</v>
      </c>
      <c r="L14" s="753">
        <f>COUNTIFS('Member Data'!$BD$6:$BD$5331,K$4,'Member Data'!$BF$6:$BF$5331,K$5,'Member Data'!$BI$6:$BI$5331,L$5,'Member Data'!$BH$6:$BH$5331,K14,'Member Data'!$BC$6:$BC$5331,L$4)</f>
        <v>0</v>
      </c>
      <c r="M14" s="753">
        <f>COUNTIFS('Member Data'!$BD$6:$BD$5331,K$4,'Member Data'!$BF$6:$BF$5331,K$5,'Member Data'!$BI$6:$BI$5331,M$5,'Member Data'!$BH$6:$BH$5331,K14,'Member Data'!$BC$6:$BC$5331,M$4)</f>
        <v>0</v>
      </c>
      <c r="N14" s="758" t="str">
        <f>'Group Engine'!N41</f>
        <v>51 - 55</v>
      </c>
      <c r="O14" s="753">
        <f>COUNTIFS('Member Data'!$BD$6:$BD$5331,N$4,'Member Data'!$BF$6:$BF$5331,N$5,'Member Data'!$BI$6:$BI$5331,O$5,'Member Data'!$BH$6:$BH$5331,N14,'Member Data'!$BC$6:$BC$5331,O$4)</f>
        <v>0</v>
      </c>
      <c r="P14" s="753">
        <f>COUNTIFS('Member Data'!$BD$6:$BD$5331,N$4,'Member Data'!$BF$6:$BF$5331,N$5,'Member Data'!$BI$6:$BI$5331,P$5,'Member Data'!$BH$6:$BH$5331,N14,'Member Data'!$BC$6:$BC$5331,P$4)</f>
        <v>0</v>
      </c>
      <c r="Q14" s="758" t="str">
        <f>'Group Engine'!Q41</f>
        <v>51 - 55</v>
      </c>
      <c r="R14" s="753">
        <f>COUNTIFS('Member Data'!$BD$6:$BD$5331,Q$4,'Member Data'!$BF$6:$BF$5331,Q$5,'Member Data'!$BI$6:$BI$5331,R$5,'Member Data'!$BH$6:$BH$5331,Q14,'Member Data'!$BC$6:$BC$5331,R$4)</f>
        <v>0</v>
      </c>
      <c r="S14" s="753">
        <f>COUNTIFS('Member Data'!$BD$6:$BD$5331,Q$4,'Member Data'!$BF$6:$BF$5331,Q$5,'Member Data'!$BI$6:$BI$5331,S$5,'Member Data'!$BH$6:$BH$5331,Q14,'Member Data'!$BC$6:$BC$5331,S$4)</f>
        <v>0</v>
      </c>
      <c r="T14" s="758" t="str">
        <f>'Group Engine'!T41</f>
        <v>51 - 55</v>
      </c>
      <c r="U14" s="753">
        <f>COUNTIFS('Member Data'!$BD$6:$BD$5331,T$4,'Member Data'!$BF$6:$BF$5331,T$5,'Member Data'!$BI$6:$BI$5331,U$5,'Member Data'!$BH$6:$BH$5331,T14,'Member Data'!$BC$6:$BC$5331,U$4)</f>
        <v>0</v>
      </c>
      <c r="V14" s="753">
        <f>COUNTIFS('Member Data'!$BD$6:$BD$5331,T$4,'Member Data'!$BF$6:$BF$5331,T$5,'Member Data'!$BI$6:$BI$5331,V$5,'Member Data'!$BH$6:$BH$5331,T14,'Member Data'!$BC$6:$BC$5331,V$4)</f>
        <v>0</v>
      </c>
      <c r="W14" s="758" t="str">
        <f>'Group Engine'!W41</f>
        <v>51 - 55</v>
      </c>
      <c r="X14" s="753">
        <f>COUNTIFS('Member Data'!$BD$6:$BD$5331,W$4,'Member Data'!$BF$6:$BF$5331,W$5,'Member Data'!$BI$6:$BI$5331,X$5,'Member Data'!$BH$6:$BH$5331,W14,'Member Data'!$BC$6:$BC$5331,X$4)</f>
        <v>0</v>
      </c>
      <c r="Y14" s="753">
        <f>COUNTIFS('Member Data'!$BD$6:$BD$5331,W$4,'Member Data'!$BF$6:$BF$5331,W$5,'Member Data'!$BI$6:$BI$5331,Y$5,'Member Data'!$BH$6:$BH$5331,W14,'Member Data'!$BC$6:$BC$5331,Y$4)</f>
        <v>0</v>
      </c>
      <c r="Z14" s="688"/>
    </row>
    <row r="15" spans="1:26" x14ac:dyDescent="0.25">
      <c r="A15" s="698"/>
      <c r="B15" s="758" t="str">
        <f>'Group Engine'!B42</f>
        <v>56 - 59</v>
      </c>
      <c r="C15" s="753">
        <f>COUNTIFS('Member Data'!$BD$6:$BD$5331,B$4,'Member Data'!$BF$6:$BF$5331,B$5,'Member Data'!$BI$6:$BI$5331,C$5,'Member Data'!$BH$6:$BH$5331,B15,'Member Data'!$BC$6:$BC$5331,C$4)</f>
        <v>0</v>
      </c>
      <c r="D15" s="753">
        <f>COUNTIFS('Member Data'!$BD$6:$BD$5331,B$4,'Member Data'!$BF$6:$BF$5331,B$5,'Member Data'!$BI$6:$BI$5331,D$5,'Member Data'!$BH$6:$BH$5331,B15,'Member Data'!$BC$6:$BC$5331,D$4)</f>
        <v>0</v>
      </c>
      <c r="E15" s="758" t="str">
        <f>'Group Engine'!E42</f>
        <v>56 - 59</v>
      </c>
      <c r="F15" s="753">
        <f>COUNTIFS('Member Data'!$BD$6:$BD$5331,E$4,'Member Data'!$BF$6:$BF$5331,E$5,'Member Data'!$BI$6:$BI$5331,F$5,'Member Data'!$BH$6:$BH$5331,E15,'Member Data'!$BC$6:$BC$5331,F$4)</f>
        <v>0</v>
      </c>
      <c r="G15" s="753">
        <f>COUNTIFS('Member Data'!$BD$6:$BD$5331,E$4,'Member Data'!$BF$6:$BF$5331,E$5,'Member Data'!$BI$6:$BI$5331,G$5,'Member Data'!$BH$6:$BH$5331,E15,'Member Data'!$BC$6:$BC$5331,G$4)</f>
        <v>0</v>
      </c>
      <c r="H15" s="758" t="str">
        <f>'Group Engine'!H42</f>
        <v>56 - 59</v>
      </c>
      <c r="I15" s="753">
        <f>COUNTIFS('Member Data'!$BD$6:$BD$5331,H$4,'Member Data'!$BF$6:$BF$5331,H$5,'Member Data'!$BI$6:$BI$5331,I$5,'Member Data'!$BH$6:$BH$5331,H15,'Member Data'!$BC$6:$BC$5331,I$4)</f>
        <v>0</v>
      </c>
      <c r="J15" s="753">
        <f>COUNTIFS('Member Data'!$BD$6:$BD$5331,H$4,'Member Data'!$BF$6:$BF$5331,H$5,'Member Data'!$BI$6:$BI$5331,J$5,'Member Data'!$BH$6:$BH$5331,H15,'Member Data'!$BC$6:$BC$5331,J$4)</f>
        <v>0</v>
      </c>
      <c r="K15" s="758" t="str">
        <f>'Group Engine'!K42</f>
        <v>56 - 59</v>
      </c>
      <c r="L15" s="753">
        <f>COUNTIFS('Member Data'!$BD$6:$BD$5331,K$4,'Member Data'!$BF$6:$BF$5331,K$5,'Member Data'!$BI$6:$BI$5331,L$5,'Member Data'!$BH$6:$BH$5331,K15,'Member Data'!$BC$6:$BC$5331,L$4)</f>
        <v>0</v>
      </c>
      <c r="M15" s="753">
        <f>COUNTIFS('Member Data'!$BD$6:$BD$5331,K$4,'Member Data'!$BF$6:$BF$5331,K$5,'Member Data'!$BI$6:$BI$5331,M$5,'Member Data'!$BH$6:$BH$5331,K15,'Member Data'!$BC$6:$BC$5331,M$4)</f>
        <v>0</v>
      </c>
      <c r="N15" s="758" t="str">
        <f>'Group Engine'!N42</f>
        <v>56 - 59</v>
      </c>
      <c r="O15" s="753">
        <f>COUNTIFS('Member Data'!$BD$6:$BD$5331,N$4,'Member Data'!$BF$6:$BF$5331,N$5,'Member Data'!$BI$6:$BI$5331,O$5,'Member Data'!$BH$6:$BH$5331,N15,'Member Data'!$BC$6:$BC$5331,O$4)</f>
        <v>0</v>
      </c>
      <c r="P15" s="753">
        <f>COUNTIFS('Member Data'!$BD$6:$BD$5331,N$4,'Member Data'!$BF$6:$BF$5331,N$5,'Member Data'!$BI$6:$BI$5331,P$5,'Member Data'!$BH$6:$BH$5331,N15,'Member Data'!$BC$6:$BC$5331,P$4)</f>
        <v>0</v>
      </c>
      <c r="Q15" s="758" t="str">
        <f>'Group Engine'!Q42</f>
        <v>56 - 59</v>
      </c>
      <c r="R15" s="753">
        <f>COUNTIFS('Member Data'!$BD$6:$BD$5331,Q$4,'Member Data'!$BF$6:$BF$5331,Q$5,'Member Data'!$BI$6:$BI$5331,R$5,'Member Data'!$BH$6:$BH$5331,Q15,'Member Data'!$BC$6:$BC$5331,R$4)</f>
        <v>0</v>
      </c>
      <c r="S15" s="753">
        <f>COUNTIFS('Member Data'!$BD$6:$BD$5331,Q$4,'Member Data'!$BF$6:$BF$5331,Q$5,'Member Data'!$BI$6:$BI$5331,S$5,'Member Data'!$BH$6:$BH$5331,Q15,'Member Data'!$BC$6:$BC$5331,S$4)</f>
        <v>0</v>
      </c>
      <c r="T15" s="758" t="str">
        <f>'Group Engine'!T42</f>
        <v>56 - 59</v>
      </c>
      <c r="U15" s="753">
        <f>COUNTIFS('Member Data'!$BD$6:$BD$5331,T$4,'Member Data'!$BF$6:$BF$5331,T$5,'Member Data'!$BI$6:$BI$5331,U$5,'Member Data'!$BH$6:$BH$5331,T15,'Member Data'!$BC$6:$BC$5331,U$4)</f>
        <v>0</v>
      </c>
      <c r="V15" s="753">
        <f>COUNTIFS('Member Data'!$BD$6:$BD$5331,T$4,'Member Data'!$BF$6:$BF$5331,T$5,'Member Data'!$BI$6:$BI$5331,V$5,'Member Data'!$BH$6:$BH$5331,T15,'Member Data'!$BC$6:$BC$5331,V$4)</f>
        <v>0</v>
      </c>
      <c r="W15" s="758" t="str">
        <f>'Group Engine'!W42</f>
        <v>56 - 59</v>
      </c>
      <c r="X15" s="753">
        <f>COUNTIFS('Member Data'!$BD$6:$BD$5331,W$4,'Member Data'!$BF$6:$BF$5331,W$5,'Member Data'!$BI$6:$BI$5331,X$5,'Member Data'!$BH$6:$BH$5331,W15,'Member Data'!$BC$6:$BC$5331,X$4)</f>
        <v>0</v>
      </c>
      <c r="Y15" s="753">
        <f>COUNTIFS('Member Data'!$BD$6:$BD$5331,W$4,'Member Data'!$BF$6:$BF$5331,W$5,'Member Data'!$BI$6:$BI$5331,Y$5,'Member Data'!$BH$6:$BH$5331,W15,'Member Data'!$BC$6:$BC$5331,Y$4)</f>
        <v>0</v>
      </c>
      <c r="Z15" s="688"/>
    </row>
    <row r="16" spans="1:26" x14ac:dyDescent="0.25">
      <c r="A16" s="698"/>
      <c r="B16" s="758" t="str">
        <f>'Group Engine'!B43</f>
        <v>60 - 64</v>
      </c>
      <c r="C16" s="753">
        <f>COUNTIFS('Member Data'!$BD$6:$BD$5331,B$4,'Member Data'!$BF$6:$BF$5331,B$5,'Member Data'!$BI$6:$BI$5331,C$5,'Member Data'!$BH$6:$BH$5331,B16,'Member Data'!$BC$6:$BC$5331,C$4)</f>
        <v>0</v>
      </c>
      <c r="D16" s="753">
        <f>COUNTIFS('Member Data'!$BD$6:$BD$5331,B$4,'Member Data'!$BF$6:$BF$5331,B$5,'Member Data'!$BI$6:$BI$5331,D$5,'Member Data'!$BH$6:$BH$5331,B16,'Member Data'!$BC$6:$BC$5331,D$4)</f>
        <v>0</v>
      </c>
      <c r="E16" s="758" t="str">
        <f>'Group Engine'!E43</f>
        <v>60 - 64</v>
      </c>
      <c r="F16" s="753">
        <f>COUNTIFS('Member Data'!$BD$6:$BD$5331,E$4,'Member Data'!$BF$6:$BF$5331,E$5,'Member Data'!$BI$6:$BI$5331,F$5,'Member Data'!$BH$6:$BH$5331,E16,'Member Data'!$BC$6:$BC$5331,F$4)</f>
        <v>0</v>
      </c>
      <c r="G16" s="753">
        <f>COUNTIFS('Member Data'!$BD$6:$BD$5331,E$4,'Member Data'!$BF$6:$BF$5331,E$5,'Member Data'!$BI$6:$BI$5331,G$5,'Member Data'!$BH$6:$BH$5331,E16,'Member Data'!$BC$6:$BC$5331,G$4)</f>
        <v>0</v>
      </c>
      <c r="H16" s="758" t="str">
        <f>'Group Engine'!H43</f>
        <v>60 - 64</v>
      </c>
      <c r="I16" s="753">
        <f>COUNTIFS('Member Data'!$BD$6:$BD$5331,H$4,'Member Data'!$BF$6:$BF$5331,H$5,'Member Data'!$BI$6:$BI$5331,I$5,'Member Data'!$BH$6:$BH$5331,H16,'Member Data'!$BC$6:$BC$5331,I$4)</f>
        <v>0</v>
      </c>
      <c r="J16" s="753">
        <f>COUNTIFS('Member Data'!$BD$6:$BD$5331,H$4,'Member Data'!$BF$6:$BF$5331,H$5,'Member Data'!$BI$6:$BI$5331,J$5,'Member Data'!$BH$6:$BH$5331,H16,'Member Data'!$BC$6:$BC$5331,J$4)</f>
        <v>0</v>
      </c>
      <c r="K16" s="758" t="str">
        <f>'Group Engine'!K43</f>
        <v>60 - 64</v>
      </c>
      <c r="L16" s="753">
        <f>COUNTIFS('Member Data'!$BD$6:$BD$5331,K$4,'Member Data'!$BF$6:$BF$5331,K$5,'Member Data'!$BI$6:$BI$5331,L$5,'Member Data'!$BH$6:$BH$5331,K16,'Member Data'!$BC$6:$BC$5331,L$4)</f>
        <v>0</v>
      </c>
      <c r="M16" s="753">
        <f>COUNTIFS('Member Data'!$BD$6:$BD$5331,K$4,'Member Data'!$BF$6:$BF$5331,K$5,'Member Data'!$BI$6:$BI$5331,M$5,'Member Data'!$BH$6:$BH$5331,K16,'Member Data'!$BC$6:$BC$5331,M$4)</f>
        <v>0</v>
      </c>
      <c r="N16" s="758" t="str">
        <f>'Group Engine'!N43</f>
        <v>60 - 64</v>
      </c>
      <c r="O16" s="753">
        <f>COUNTIFS('Member Data'!$BD$6:$BD$5331,N$4,'Member Data'!$BF$6:$BF$5331,N$5,'Member Data'!$BI$6:$BI$5331,O$5,'Member Data'!$BH$6:$BH$5331,N16,'Member Data'!$BC$6:$BC$5331,O$4)</f>
        <v>0</v>
      </c>
      <c r="P16" s="753">
        <f>COUNTIFS('Member Data'!$BD$6:$BD$5331,N$4,'Member Data'!$BF$6:$BF$5331,N$5,'Member Data'!$BI$6:$BI$5331,P$5,'Member Data'!$BH$6:$BH$5331,N16,'Member Data'!$BC$6:$BC$5331,P$4)</f>
        <v>0</v>
      </c>
      <c r="Q16" s="758" t="str">
        <f>'Group Engine'!Q43</f>
        <v>60 - 64</v>
      </c>
      <c r="R16" s="753">
        <f>COUNTIFS('Member Data'!$BD$6:$BD$5331,Q$4,'Member Data'!$BF$6:$BF$5331,Q$5,'Member Data'!$BI$6:$BI$5331,R$5,'Member Data'!$BH$6:$BH$5331,Q16,'Member Data'!$BC$6:$BC$5331,R$4)</f>
        <v>0</v>
      </c>
      <c r="S16" s="753">
        <f>COUNTIFS('Member Data'!$BD$6:$BD$5331,Q$4,'Member Data'!$BF$6:$BF$5331,Q$5,'Member Data'!$BI$6:$BI$5331,S$5,'Member Data'!$BH$6:$BH$5331,Q16,'Member Data'!$BC$6:$BC$5331,S$4)</f>
        <v>0</v>
      </c>
      <c r="T16" s="758" t="str">
        <f>'Group Engine'!T43</f>
        <v>60 - 64</v>
      </c>
      <c r="U16" s="753">
        <f>COUNTIFS('Member Data'!$BD$6:$BD$5331,T$4,'Member Data'!$BF$6:$BF$5331,T$5,'Member Data'!$BI$6:$BI$5331,U$5,'Member Data'!$BH$6:$BH$5331,T16,'Member Data'!$BC$6:$BC$5331,U$4)</f>
        <v>0</v>
      </c>
      <c r="V16" s="753">
        <f>COUNTIFS('Member Data'!$BD$6:$BD$5331,T$4,'Member Data'!$BF$6:$BF$5331,T$5,'Member Data'!$BI$6:$BI$5331,V$5,'Member Data'!$BH$6:$BH$5331,T16,'Member Data'!$BC$6:$BC$5331,V$4)</f>
        <v>0</v>
      </c>
      <c r="W16" s="758" t="str">
        <f>'Group Engine'!W43</f>
        <v>60 - 64</v>
      </c>
      <c r="X16" s="753">
        <f>COUNTIFS('Member Data'!$BD$6:$BD$5331,W$4,'Member Data'!$BF$6:$BF$5331,W$5,'Member Data'!$BI$6:$BI$5331,X$5,'Member Data'!$BH$6:$BH$5331,W16,'Member Data'!$BC$6:$BC$5331,X$4)</f>
        <v>0</v>
      </c>
      <c r="Y16" s="753">
        <f>COUNTIFS('Member Data'!$BD$6:$BD$5331,W$4,'Member Data'!$BF$6:$BF$5331,W$5,'Member Data'!$BI$6:$BI$5331,Y$5,'Member Data'!$BH$6:$BH$5331,W16,'Member Data'!$BC$6:$BC$5331,Y$4)</f>
        <v>0</v>
      </c>
      <c r="Z16" s="688"/>
    </row>
    <row r="17" spans="1:26" x14ac:dyDescent="0.25">
      <c r="A17" s="698"/>
      <c r="B17" s="758" t="str">
        <f>'Group Engine'!B44</f>
        <v>65 - 99</v>
      </c>
      <c r="C17" s="753">
        <f>COUNTIFS('Member Data'!$BD$6:$BD$5331,B$4,'Member Data'!$BF$6:$BF$5331,B$5,'Member Data'!$BI$6:$BI$5331,C$5,'Member Data'!$BH$6:$BH$5331,B17,'Member Data'!$BC$6:$BC$5331,C$4)</f>
        <v>0</v>
      </c>
      <c r="D17" s="753">
        <f>COUNTIFS('Member Data'!$BD$6:$BD$5331,B$4,'Member Data'!$BF$6:$BF$5331,B$5,'Member Data'!$BI$6:$BI$5331,D$5,'Member Data'!$BH$6:$BH$5331,B17,'Member Data'!$BC$6:$BC$5331,D$4)</f>
        <v>0</v>
      </c>
      <c r="E17" s="758" t="str">
        <f>'Group Engine'!E44</f>
        <v>65 - 99</v>
      </c>
      <c r="F17" s="753">
        <f>COUNTIFS('Member Data'!$BD$6:$BD$5331,E$4,'Member Data'!$BF$6:$BF$5331,E$5,'Member Data'!$BI$6:$BI$5331,F$5,'Member Data'!$BH$6:$BH$5331,E17,'Member Data'!$BC$6:$BC$5331,F$4)</f>
        <v>0</v>
      </c>
      <c r="G17" s="753">
        <f>COUNTIFS('Member Data'!$BD$6:$BD$5331,E$4,'Member Data'!$BF$6:$BF$5331,E$5,'Member Data'!$BI$6:$BI$5331,G$5,'Member Data'!$BH$6:$BH$5331,E17,'Member Data'!$BC$6:$BC$5331,G$4)</f>
        <v>0</v>
      </c>
      <c r="H17" s="758" t="str">
        <f>'Group Engine'!H44</f>
        <v>65 - 99</v>
      </c>
      <c r="I17" s="753">
        <f>COUNTIFS('Member Data'!$BD$6:$BD$5331,H$4,'Member Data'!$BF$6:$BF$5331,H$5,'Member Data'!$BI$6:$BI$5331,I$5,'Member Data'!$BH$6:$BH$5331,H17,'Member Data'!$BC$6:$BC$5331,I$4)</f>
        <v>0</v>
      </c>
      <c r="J17" s="753">
        <f>COUNTIFS('Member Data'!$BD$6:$BD$5331,H$4,'Member Data'!$BF$6:$BF$5331,H$5,'Member Data'!$BI$6:$BI$5331,J$5,'Member Data'!$BH$6:$BH$5331,H17,'Member Data'!$BC$6:$BC$5331,J$4)</f>
        <v>0</v>
      </c>
      <c r="K17" s="758" t="str">
        <f>'Group Engine'!K44</f>
        <v>65 - 99</v>
      </c>
      <c r="L17" s="753">
        <f>COUNTIFS('Member Data'!$BD$6:$BD$5331,K$4,'Member Data'!$BF$6:$BF$5331,K$5,'Member Data'!$BI$6:$BI$5331,L$5,'Member Data'!$BH$6:$BH$5331,K17,'Member Data'!$BC$6:$BC$5331,L$4)</f>
        <v>0</v>
      </c>
      <c r="M17" s="753">
        <f>COUNTIFS('Member Data'!$BD$6:$BD$5331,K$4,'Member Data'!$BF$6:$BF$5331,K$5,'Member Data'!$BI$6:$BI$5331,M$5,'Member Data'!$BH$6:$BH$5331,K17,'Member Data'!$BC$6:$BC$5331,M$4)</f>
        <v>0</v>
      </c>
      <c r="N17" s="758" t="str">
        <f>'Group Engine'!N44</f>
        <v>65 - 99</v>
      </c>
      <c r="O17" s="753">
        <f>COUNTIFS('Member Data'!$BD$6:$BD$5331,N$4,'Member Data'!$BF$6:$BF$5331,N$5,'Member Data'!$BI$6:$BI$5331,O$5,'Member Data'!$BH$6:$BH$5331,N17,'Member Data'!$BC$6:$BC$5331,O$4)</f>
        <v>0</v>
      </c>
      <c r="P17" s="753">
        <f>COUNTIFS('Member Data'!$BD$6:$BD$5331,N$4,'Member Data'!$BF$6:$BF$5331,N$5,'Member Data'!$BI$6:$BI$5331,P$5,'Member Data'!$BH$6:$BH$5331,N17,'Member Data'!$BC$6:$BC$5331,P$4)</f>
        <v>0</v>
      </c>
      <c r="Q17" s="758" t="str">
        <f>'Group Engine'!Q44</f>
        <v>65 - 99</v>
      </c>
      <c r="R17" s="753">
        <f>COUNTIFS('Member Data'!$BD$6:$BD$5331,Q$4,'Member Data'!$BF$6:$BF$5331,Q$5,'Member Data'!$BI$6:$BI$5331,R$5,'Member Data'!$BH$6:$BH$5331,Q17,'Member Data'!$BC$6:$BC$5331,R$4)</f>
        <v>0</v>
      </c>
      <c r="S17" s="753">
        <f>COUNTIFS('Member Data'!$BD$6:$BD$5331,Q$4,'Member Data'!$BF$6:$BF$5331,Q$5,'Member Data'!$BI$6:$BI$5331,S$5,'Member Data'!$BH$6:$BH$5331,Q17,'Member Data'!$BC$6:$BC$5331,S$4)</f>
        <v>0</v>
      </c>
      <c r="T17" s="758" t="str">
        <f>'Group Engine'!T44</f>
        <v>65 - 99</v>
      </c>
      <c r="U17" s="753">
        <f>COUNTIFS('Member Data'!$BD$6:$BD$5331,T$4,'Member Data'!$BF$6:$BF$5331,T$5,'Member Data'!$BI$6:$BI$5331,U$5,'Member Data'!$BH$6:$BH$5331,T17,'Member Data'!$BC$6:$BC$5331,U$4)</f>
        <v>0</v>
      </c>
      <c r="V17" s="753">
        <f>COUNTIFS('Member Data'!$BD$6:$BD$5331,T$4,'Member Data'!$BF$6:$BF$5331,T$5,'Member Data'!$BI$6:$BI$5331,V$5,'Member Data'!$BH$6:$BH$5331,T17,'Member Data'!$BC$6:$BC$5331,V$4)</f>
        <v>0</v>
      </c>
      <c r="W17" s="758" t="str">
        <f>'Group Engine'!W44</f>
        <v>65 - 99</v>
      </c>
      <c r="X17" s="753">
        <f>COUNTIFS('Member Data'!$BD$6:$BD$5331,W$4,'Member Data'!$BF$6:$BF$5331,W$5,'Member Data'!$BI$6:$BI$5331,X$5,'Member Data'!$BH$6:$BH$5331,W17,'Member Data'!$BC$6:$BC$5331,X$4)</f>
        <v>0</v>
      </c>
      <c r="Y17" s="753">
        <f>COUNTIFS('Member Data'!$BD$6:$BD$5331,W$4,'Member Data'!$BF$6:$BF$5331,W$5,'Member Data'!$BI$6:$BI$5331,Y$5,'Member Data'!$BH$6:$BH$5331,W17,'Member Data'!$BC$6:$BC$5331,Y$4)</f>
        <v>0</v>
      </c>
      <c r="Z17" s="688"/>
    </row>
    <row r="18" spans="1:26" s="754" customFormat="1" x14ac:dyDescent="0.25">
      <c r="A18" s="754">
        <f>SUM(D18:Y18,D37:Y37)</f>
        <v>11</v>
      </c>
      <c r="B18" s="755"/>
      <c r="D18" s="754">
        <f>SUM(C6:D17)</f>
        <v>3</v>
      </c>
      <c r="G18" s="754">
        <f>SUM(F6:G17)</f>
        <v>0</v>
      </c>
      <c r="J18" s="754">
        <f>SUM(I6:J17)</f>
        <v>0</v>
      </c>
      <c r="M18" s="754">
        <f>SUM(L6:M17)</f>
        <v>0</v>
      </c>
      <c r="P18" s="754">
        <f>SUM(O6:P17)</f>
        <v>0</v>
      </c>
      <c r="S18" s="754">
        <f>SUM(R6:S17)</f>
        <v>0</v>
      </c>
      <c r="V18" s="754">
        <f>SUM(U6:V17)</f>
        <v>0</v>
      </c>
      <c r="Y18" s="754">
        <f>SUM(X6:Y17)</f>
        <v>0</v>
      </c>
      <c r="Z18" s="756"/>
    </row>
    <row r="19" spans="1:26" ht="15.75" thickBot="1" x14ac:dyDescent="0.3">
      <c r="B19" s="695"/>
      <c r="C19" s="570"/>
      <c r="D19" s="570"/>
      <c r="E19" s="570"/>
      <c r="F19" s="570"/>
      <c r="G19" s="570"/>
      <c r="H19" s="570"/>
      <c r="I19" s="570"/>
      <c r="J19" s="570"/>
      <c r="K19" s="570"/>
      <c r="L19" s="570"/>
      <c r="M19" s="570"/>
      <c r="N19" s="570"/>
      <c r="O19" s="570"/>
      <c r="P19" s="696"/>
      <c r="Q19" s="570"/>
      <c r="R19" s="570"/>
      <c r="S19" s="570"/>
      <c r="T19" s="570"/>
      <c r="U19" s="570"/>
      <c r="V19" s="570"/>
      <c r="W19" s="570"/>
      <c r="X19" s="570"/>
      <c r="Y19" s="570"/>
      <c r="Z19" s="697"/>
    </row>
    <row r="20" spans="1:26" ht="15.75" thickBot="1" x14ac:dyDescent="0.3">
      <c r="A20" s="923"/>
    </row>
    <row r="21" spans="1:26" x14ac:dyDescent="0.25">
      <c r="B21" s="789" t="s">
        <v>101</v>
      </c>
      <c r="C21" s="569"/>
      <c r="D21" s="569"/>
      <c r="E21" s="569"/>
      <c r="F21" s="569"/>
      <c r="G21" s="569"/>
      <c r="H21" s="569"/>
      <c r="I21" s="569"/>
      <c r="J21" s="569"/>
      <c r="K21" s="569"/>
      <c r="L21" s="569"/>
      <c r="M21" s="569"/>
      <c r="N21" s="569"/>
      <c r="O21" s="569"/>
      <c r="P21" s="685"/>
      <c r="Q21" s="569"/>
      <c r="R21" s="569"/>
      <c r="S21" s="569"/>
      <c r="T21" s="569"/>
      <c r="U21" s="569"/>
      <c r="V21" s="569"/>
      <c r="W21" s="569"/>
      <c r="X21" s="569"/>
      <c r="Y21" s="569"/>
      <c r="Z21" s="686"/>
    </row>
    <row r="22" spans="1:26" ht="15.75" x14ac:dyDescent="0.25">
      <c r="B22" s="687"/>
      <c r="C22" s="693" t="str">
        <f>VLOOKUP(C23,'General Basis'!$J$39:$K$46,2,0)</f>
        <v>RN3</v>
      </c>
      <c r="D22" s="693" t="str">
        <f>VLOOKUP(D23,'General Basis'!$J$39:$K$46,2,0)</f>
        <v>RN3</v>
      </c>
      <c r="F22" s="693" t="e">
        <f>VLOOKUP(F23,'General Basis'!$J$39:$K$46,2,0)</f>
        <v>#N/A</v>
      </c>
      <c r="G22" s="693" t="e">
        <f>VLOOKUP(G23,'General Basis'!$J$39:$K$46,2,0)</f>
        <v>#N/A</v>
      </c>
      <c r="I22" s="693" t="e">
        <f>VLOOKUP(I23,'General Basis'!$J$39:$K$46,2,0)</f>
        <v>#N/A</v>
      </c>
      <c r="J22" s="693" t="e">
        <f>VLOOKUP(J23,'General Basis'!$J$39:$K$46,2,0)</f>
        <v>#N/A</v>
      </c>
      <c r="L22" s="693" t="e">
        <f>VLOOKUP(L23,'General Basis'!$J$39:$K$46,2,0)</f>
        <v>#N/A</v>
      </c>
      <c r="M22" s="693" t="e">
        <f>VLOOKUP(M23,'General Basis'!$J$39:$K$46,2,0)</f>
        <v>#N/A</v>
      </c>
      <c r="O22" s="693" t="e">
        <f>VLOOKUP(O23,'General Basis'!$J$39:$K$46,2,0)</f>
        <v>#N/A</v>
      </c>
      <c r="P22" s="693" t="e">
        <f>VLOOKUP(P23,'General Basis'!$J$39:$K$46,2,0)</f>
        <v>#N/A</v>
      </c>
      <c r="R22" s="693" t="e">
        <f>VLOOKUP(R23,'General Basis'!$J$39:$K$46,2,0)</f>
        <v>#N/A</v>
      </c>
      <c r="S22" s="693" t="e">
        <f>VLOOKUP(S23,'General Basis'!$J$39:$K$46,2,0)</f>
        <v>#N/A</v>
      </c>
      <c r="U22" s="693" t="e">
        <f>VLOOKUP(U23,'General Basis'!$J$39:$K$46,2,0)</f>
        <v>#N/A</v>
      </c>
      <c r="V22" s="693" t="e">
        <f>VLOOKUP(V23,'General Basis'!$J$39:$K$46,2,0)</f>
        <v>#N/A</v>
      </c>
      <c r="X22" s="693" t="e">
        <f>VLOOKUP(X23,'General Basis'!$J$39:$K$46,2,0)</f>
        <v>#N/A</v>
      </c>
      <c r="Y22" s="693" t="e">
        <f>VLOOKUP(Y23,'General Basis'!$J$39:$K$46,2,0)</f>
        <v>#N/A</v>
      </c>
      <c r="Z22" s="688"/>
    </row>
    <row r="23" spans="1:26" ht="15.75" x14ac:dyDescent="0.25">
      <c r="B23" s="788" t="s">
        <v>958</v>
      </c>
      <c r="C23" s="693" t="s">
        <v>271</v>
      </c>
      <c r="D23" s="693" t="str">
        <f>C23</f>
        <v>A</v>
      </c>
      <c r="E23" s="788" t="str">
        <f>B23</f>
        <v>Dependent</v>
      </c>
      <c r="F23" s="693" t="s">
        <v>272</v>
      </c>
      <c r="G23" s="693" t="str">
        <f>F23</f>
        <v>B</v>
      </c>
      <c r="H23" s="788" t="str">
        <f>E23</f>
        <v>Dependent</v>
      </c>
      <c r="I23" s="693" t="s">
        <v>273</v>
      </c>
      <c r="J23" s="693" t="str">
        <f>I23</f>
        <v>C</v>
      </c>
      <c r="K23" s="788" t="str">
        <f>H23</f>
        <v>Dependent</v>
      </c>
      <c r="L23" s="693" t="s">
        <v>274</v>
      </c>
      <c r="M23" s="693" t="str">
        <f>L23</f>
        <v>D</v>
      </c>
      <c r="N23" s="788" t="str">
        <f>K23</f>
        <v>Dependent</v>
      </c>
      <c r="O23" s="693" t="s">
        <v>365</v>
      </c>
      <c r="P23" s="693" t="str">
        <f>O23</f>
        <v>E</v>
      </c>
      <c r="Q23" s="788" t="str">
        <f>N23</f>
        <v>Dependent</v>
      </c>
      <c r="R23" s="693" t="s">
        <v>62</v>
      </c>
      <c r="S23" s="693" t="str">
        <f>R23</f>
        <v>F</v>
      </c>
      <c r="T23" s="788" t="str">
        <f>Q23</f>
        <v>Dependent</v>
      </c>
      <c r="U23" s="693" t="s">
        <v>366</v>
      </c>
      <c r="V23" s="693" t="str">
        <f>U23</f>
        <v>G</v>
      </c>
      <c r="W23" s="788" t="str">
        <f>T23</f>
        <v>Dependent</v>
      </c>
      <c r="X23" s="693" t="s">
        <v>367</v>
      </c>
      <c r="Y23" s="693" t="str">
        <f>X23</f>
        <v>H</v>
      </c>
      <c r="Z23" s="752"/>
    </row>
    <row r="24" spans="1:26" ht="15.75" x14ac:dyDescent="0.25">
      <c r="B24" s="757" t="str">
        <f>'Group Engine'!B51</f>
        <v>Dubai</v>
      </c>
      <c r="C24" s="689" t="s">
        <v>65</v>
      </c>
      <c r="D24" s="694" t="s">
        <v>66</v>
      </c>
      <c r="E24" s="757" t="str">
        <f>'Group Engine'!E51</f>
        <v>Dubai</v>
      </c>
      <c r="F24" s="689" t="s">
        <v>65</v>
      </c>
      <c r="G24" s="694" t="s">
        <v>66</v>
      </c>
      <c r="H24" s="757" t="str">
        <f>'Group Engine'!H51</f>
        <v>Dubai</v>
      </c>
      <c r="I24" s="689" t="s">
        <v>65</v>
      </c>
      <c r="J24" s="694" t="s">
        <v>66</v>
      </c>
      <c r="K24" s="757" t="str">
        <f>'Group Engine'!K51</f>
        <v>Dubai</v>
      </c>
      <c r="L24" s="689" t="s">
        <v>65</v>
      </c>
      <c r="M24" s="694" t="s">
        <v>66</v>
      </c>
      <c r="N24" s="757" t="str">
        <f>'Group Engine'!N51</f>
        <v>Dubai</v>
      </c>
      <c r="O24" s="689" t="s">
        <v>65</v>
      </c>
      <c r="P24" s="694" t="s">
        <v>66</v>
      </c>
      <c r="Q24" s="757" t="str">
        <f>'Group Engine'!Q51</f>
        <v>Dubai</v>
      </c>
      <c r="R24" s="689" t="s">
        <v>65</v>
      </c>
      <c r="S24" s="694" t="s">
        <v>66</v>
      </c>
      <c r="T24" s="757" t="str">
        <f>'Group Engine'!T51</f>
        <v>Dubai</v>
      </c>
      <c r="U24" s="689" t="s">
        <v>65</v>
      </c>
      <c r="V24" s="694" t="s">
        <v>66</v>
      </c>
      <c r="W24" s="757" t="str">
        <f>'Group Engine'!W51</f>
        <v>Dubai</v>
      </c>
      <c r="X24" s="689" t="s">
        <v>65</v>
      </c>
      <c r="Y24" s="694" t="s">
        <v>66</v>
      </c>
      <c r="Z24" s="688"/>
    </row>
    <row r="25" spans="1:26" x14ac:dyDescent="0.25">
      <c r="B25" s="758" t="str">
        <f>'Group Engine'!B52</f>
        <v>0 - 10</v>
      </c>
      <c r="C25" s="753">
        <f>COUNTIFS('Member Data'!$BD$6:$BD$5331,B$23,'Member Data'!$BF$6:$BF$5331,B$24,'Member Data'!$BI$6:$BI$5331,C$24,'Member Data'!$BH$6:$BH$5331,B25,'Member Data'!$BC$6:$BC$5331,C$23)</f>
        <v>1</v>
      </c>
      <c r="D25" s="753">
        <f>COUNTIFS('Member Data'!$BD$6:$BD$5331,B$23,'Member Data'!$BF$6:$BF$5331,B$24,'Member Data'!$BI$6:$BI$5331,D$24,'Member Data'!$BH$6:$BH$5331,B25,'Member Data'!$BC$6:$BC$5331,D$23)</f>
        <v>1</v>
      </c>
      <c r="E25" s="758" t="str">
        <f>'Group Engine'!E52</f>
        <v>0 - 10</v>
      </c>
      <c r="F25" s="753">
        <f>COUNTIFS('Member Data'!$BD$6:$BD$5331,E$23,'Member Data'!$BF$6:$BF$5331,E$24,'Member Data'!$BI$6:$BI$5331,F$24,'Member Data'!$BH$6:$BH$5331,E25,'Member Data'!$BC$6:$BC$5331,F$23)</f>
        <v>0</v>
      </c>
      <c r="G25" s="753">
        <f>COUNTIFS('Member Data'!$BD$6:$BD$5331,E$23,'Member Data'!$BF$6:$BF$5331,E$24,'Member Data'!$BI$6:$BI$5331,G$24,'Member Data'!$BH$6:$BH$5331,E25,'Member Data'!$BC$6:$BC$5331,G$23)</f>
        <v>0</v>
      </c>
      <c r="H25" s="758" t="str">
        <f>'Group Engine'!H52</f>
        <v>0 - 10</v>
      </c>
      <c r="I25" s="753">
        <f>COUNTIFS('Member Data'!$BD$6:$BD$5331,H$23,'Member Data'!$BF$6:$BF$5331,H$24,'Member Data'!$BI$6:$BI$5331,I$24,'Member Data'!$BH$6:$BH$5331,H25,'Member Data'!$BC$6:$BC$5331,I$23)</f>
        <v>0</v>
      </c>
      <c r="J25" s="753">
        <f>COUNTIFS('Member Data'!$BD$6:$BD$5331,H$23,'Member Data'!$BF$6:$BF$5331,H$24,'Member Data'!$BI$6:$BI$5331,J$24,'Member Data'!$BH$6:$BH$5331,H25,'Member Data'!$BC$6:$BC$5331,J$23)</f>
        <v>0</v>
      </c>
      <c r="K25" s="758" t="str">
        <f>'Group Engine'!K52</f>
        <v>0 - 10</v>
      </c>
      <c r="L25" s="753">
        <f>COUNTIFS('Member Data'!$BD$6:$BD$5331,K$23,'Member Data'!$BF$6:$BF$5331,K$24,'Member Data'!$BI$6:$BI$5331,L$24,'Member Data'!$BH$6:$BH$5331,K25,'Member Data'!$BC$6:$BC$5331,L$23)</f>
        <v>0</v>
      </c>
      <c r="M25" s="753">
        <f>COUNTIFS('Member Data'!$BD$6:$BD$5331,K$23,'Member Data'!$BF$6:$BF$5331,K$24,'Member Data'!$BI$6:$BI$5331,M$24,'Member Data'!$BH$6:$BH$5331,K25,'Member Data'!$BC$6:$BC$5331,M$23)</f>
        <v>0</v>
      </c>
      <c r="N25" s="758" t="str">
        <f>'Group Engine'!N52</f>
        <v>0 - 10</v>
      </c>
      <c r="O25" s="753">
        <f>COUNTIFS('Member Data'!$BD$6:$BD$5331,N$23,'Member Data'!$BF$6:$BF$5331,N$24,'Member Data'!$BI$6:$BI$5331,O$24,'Member Data'!$BH$6:$BH$5331,N25,'Member Data'!$BC$6:$BC$5331,O$23)</f>
        <v>0</v>
      </c>
      <c r="P25" s="753">
        <f>COUNTIFS('Member Data'!$BD$6:$BD$5331,N$23,'Member Data'!$BF$6:$BF$5331,N$24,'Member Data'!$BI$6:$BI$5331,P$24,'Member Data'!$BH$6:$BH$5331,N25,'Member Data'!$BC$6:$BC$5331,P$23)</f>
        <v>0</v>
      </c>
      <c r="Q25" s="758" t="str">
        <f>'Group Engine'!Q52</f>
        <v>0 - 10</v>
      </c>
      <c r="R25" s="753">
        <f>COUNTIFS('Member Data'!$BD$6:$BD$5331,Q$23,'Member Data'!$BF$6:$BF$5331,Q$24,'Member Data'!$BI$6:$BI$5331,R$24,'Member Data'!$BH$6:$BH$5331,Q25,'Member Data'!$BC$6:$BC$5331,R$23)</f>
        <v>0</v>
      </c>
      <c r="S25" s="753">
        <f>COUNTIFS('Member Data'!$BD$6:$BD$5331,Q$23,'Member Data'!$BF$6:$BF$5331,Q$24,'Member Data'!$BI$6:$BI$5331,S$24,'Member Data'!$BH$6:$BH$5331,Q25,'Member Data'!$BC$6:$BC$5331,S$23)</f>
        <v>0</v>
      </c>
      <c r="T25" s="758" t="str">
        <f>'Group Engine'!T52</f>
        <v>0 - 10</v>
      </c>
      <c r="U25" s="753">
        <f>COUNTIFS('Member Data'!$BD$6:$BD$5331,T$23,'Member Data'!$BF$6:$BF$5331,T$24,'Member Data'!$BI$6:$BI$5331,U$24,'Member Data'!$BH$6:$BH$5331,T25,'Member Data'!$BC$6:$BC$5331,U$23)</f>
        <v>0</v>
      </c>
      <c r="V25" s="753">
        <f>COUNTIFS('Member Data'!$BD$6:$BD$5331,T$23,'Member Data'!$BF$6:$BF$5331,T$24,'Member Data'!$BI$6:$BI$5331,V$24,'Member Data'!$BH$6:$BH$5331,T25,'Member Data'!$BC$6:$BC$5331,V$23)</f>
        <v>0</v>
      </c>
      <c r="W25" s="758" t="str">
        <f>'Group Engine'!W52</f>
        <v>0 - 10</v>
      </c>
      <c r="X25" s="753">
        <f>COUNTIFS('Member Data'!$BD$6:$BD$5331,W$23,'Member Data'!$BF$6:$BF$5331,W$24,'Member Data'!$BI$6:$BI$5331,X$24,'Member Data'!$BH$6:$BH$5331,W25,'Member Data'!$BC$6:$BC$5331,X$23)</f>
        <v>0</v>
      </c>
      <c r="Y25" s="753">
        <f>COUNTIFS('Member Data'!$BD$6:$BD$5331,W$23,'Member Data'!$BF$6:$BF$5331,W$24,'Member Data'!$BI$6:$BI$5331,Y$24,'Member Data'!$BH$6:$BH$5331,W25,'Member Data'!$BC$6:$BC$5331,Y$23)</f>
        <v>0</v>
      </c>
      <c r="Z25" s="688"/>
    </row>
    <row r="26" spans="1:26" x14ac:dyDescent="0.25">
      <c r="B26" s="758" t="str">
        <f>'Group Engine'!B53</f>
        <v>11 - 17</v>
      </c>
      <c r="C26" s="753">
        <f>COUNTIFS('Member Data'!$BD$6:$BD$5331,B$23,'Member Data'!$BF$6:$BF$5331,B$24,'Member Data'!$BI$6:$BI$5331,C$24,'Member Data'!$BH$6:$BH$5331,B26,'Member Data'!$BC$6:$BC$5331,C$23)</f>
        <v>1</v>
      </c>
      <c r="D26" s="753">
        <f>COUNTIFS('Member Data'!$BD$6:$BD$5331,B$23,'Member Data'!$BF$6:$BF$5331,B$24,'Member Data'!$BI$6:$BI$5331,D$24,'Member Data'!$BH$6:$BH$5331,B26,'Member Data'!$BC$6:$BC$5331,D$23)</f>
        <v>0</v>
      </c>
      <c r="E26" s="758" t="str">
        <f>'Group Engine'!E53</f>
        <v>11 - 17</v>
      </c>
      <c r="F26" s="753">
        <f>COUNTIFS('Member Data'!$BD$6:$BD$5331,E$23,'Member Data'!$BF$6:$BF$5331,E$24,'Member Data'!$BI$6:$BI$5331,F$24,'Member Data'!$BH$6:$BH$5331,E26,'Member Data'!$BC$6:$BC$5331,F$23)</f>
        <v>0</v>
      </c>
      <c r="G26" s="753">
        <f>COUNTIFS('Member Data'!$BD$6:$BD$5331,E$23,'Member Data'!$BF$6:$BF$5331,E$24,'Member Data'!$BI$6:$BI$5331,G$24,'Member Data'!$BH$6:$BH$5331,E26,'Member Data'!$BC$6:$BC$5331,G$23)</f>
        <v>0</v>
      </c>
      <c r="H26" s="758" t="str">
        <f>'Group Engine'!H53</f>
        <v>11 - 17</v>
      </c>
      <c r="I26" s="753">
        <f>COUNTIFS('Member Data'!$BD$6:$BD$5331,H$23,'Member Data'!$BF$6:$BF$5331,H$24,'Member Data'!$BI$6:$BI$5331,I$24,'Member Data'!$BH$6:$BH$5331,H26,'Member Data'!$BC$6:$BC$5331,I$23)</f>
        <v>0</v>
      </c>
      <c r="J26" s="753">
        <f>COUNTIFS('Member Data'!$BD$6:$BD$5331,H$23,'Member Data'!$BF$6:$BF$5331,H$24,'Member Data'!$BI$6:$BI$5331,J$24,'Member Data'!$BH$6:$BH$5331,H26,'Member Data'!$BC$6:$BC$5331,J$23)</f>
        <v>0</v>
      </c>
      <c r="K26" s="758" t="str">
        <f>'Group Engine'!K53</f>
        <v>11 - 17</v>
      </c>
      <c r="L26" s="753">
        <f>COUNTIFS('Member Data'!$BD$6:$BD$5331,K$23,'Member Data'!$BF$6:$BF$5331,K$24,'Member Data'!$BI$6:$BI$5331,L$24,'Member Data'!$BH$6:$BH$5331,K26,'Member Data'!$BC$6:$BC$5331,L$23)</f>
        <v>0</v>
      </c>
      <c r="M26" s="753">
        <f>COUNTIFS('Member Data'!$BD$6:$BD$5331,K$23,'Member Data'!$BF$6:$BF$5331,K$24,'Member Data'!$BI$6:$BI$5331,M$24,'Member Data'!$BH$6:$BH$5331,K26,'Member Data'!$BC$6:$BC$5331,M$23)</f>
        <v>0</v>
      </c>
      <c r="N26" s="758" t="str">
        <f>'Group Engine'!N53</f>
        <v>11 - 17</v>
      </c>
      <c r="O26" s="753">
        <f>COUNTIFS('Member Data'!$BD$6:$BD$5331,N$23,'Member Data'!$BF$6:$BF$5331,N$24,'Member Data'!$BI$6:$BI$5331,O$24,'Member Data'!$BH$6:$BH$5331,N26,'Member Data'!$BC$6:$BC$5331,O$23)</f>
        <v>0</v>
      </c>
      <c r="P26" s="753">
        <f>COUNTIFS('Member Data'!$BD$6:$BD$5331,N$23,'Member Data'!$BF$6:$BF$5331,N$24,'Member Data'!$BI$6:$BI$5331,P$24,'Member Data'!$BH$6:$BH$5331,N26,'Member Data'!$BC$6:$BC$5331,P$23)</f>
        <v>0</v>
      </c>
      <c r="Q26" s="758" t="str">
        <f>'Group Engine'!Q53</f>
        <v>11 - 17</v>
      </c>
      <c r="R26" s="753">
        <f>COUNTIFS('Member Data'!$BD$6:$BD$5331,Q$23,'Member Data'!$BF$6:$BF$5331,Q$24,'Member Data'!$BI$6:$BI$5331,R$24,'Member Data'!$BH$6:$BH$5331,Q26,'Member Data'!$BC$6:$BC$5331,R$23)</f>
        <v>0</v>
      </c>
      <c r="S26" s="753">
        <f>COUNTIFS('Member Data'!$BD$6:$BD$5331,Q$23,'Member Data'!$BF$6:$BF$5331,Q$24,'Member Data'!$BI$6:$BI$5331,S$24,'Member Data'!$BH$6:$BH$5331,Q26,'Member Data'!$BC$6:$BC$5331,S$23)</f>
        <v>0</v>
      </c>
      <c r="T26" s="758" t="str">
        <f>'Group Engine'!T53</f>
        <v>11 - 17</v>
      </c>
      <c r="U26" s="753">
        <f>COUNTIFS('Member Data'!$BD$6:$BD$5331,T$23,'Member Data'!$BF$6:$BF$5331,T$24,'Member Data'!$BI$6:$BI$5331,U$24,'Member Data'!$BH$6:$BH$5331,T26,'Member Data'!$BC$6:$BC$5331,U$23)</f>
        <v>0</v>
      </c>
      <c r="V26" s="753">
        <f>COUNTIFS('Member Data'!$BD$6:$BD$5331,T$23,'Member Data'!$BF$6:$BF$5331,T$24,'Member Data'!$BI$6:$BI$5331,V$24,'Member Data'!$BH$6:$BH$5331,T26,'Member Data'!$BC$6:$BC$5331,V$23)</f>
        <v>0</v>
      </c>
      <c r="W26" s="758" t="str">
        <f>'Group Engine'!W53</f>
        <v>11 - 17</v>
      </c>
      <c r="X26" s="753">
        <f>COUNTIFS('Member Data'!$BD$6:$BD$5331,W$23,'Member Data'!$BF$6:$BF$5331,W$24,'Member Data'!$BI$6:$BI$5331,X$24,'Member Data'!$BH$6:$BH$5331,W26,'Member Data'!$BC$6:$BC$5331,X$23)</f>
        <v>0</v>
      </c>
      <c r="Y26" s="753">
        <f>COUNTIFS('Member Data'!$BD$6:$BD$5331,W$23,'Member Data'!$BF$6:$BF$5331,W$24,'Member Data'!$BI$6:$BI$5331,Y$24,'Member Data'!$BH$6:$BH$5331,W26,'Member Data'!$BC$6:$BC$5331,Y$23)</f>
        <v>0</v>
      </c>
      <c r="Z26" s="688"/>
    </row>
    <row r="27" spans="1:26" x14ac:dyDescent="0.25">
      <c r="B27" s="758" t="str">
        <f>'Group Engine'!B54</f>
        <v>18 - 25</v>
      </c>
      <c r="C27" s="753">
        <f>COUNTIFS('Member Data'!$BD$6:$BD$5331,B$23,'Member Data'!$BF$6:$BF$5331,B$24,'Member Data'!$BI$6:$BI$5331,C$24,'Member Data'!$BH$6:$BH$5331,B27,'Member Data'!$BC$6:$BC$5331,C$23)</f>
        <v>1</v>
      </c>
      <c r="D27" s="753">
        <f>COUNTIFS('Member Data'!$BD$6:$BD$5331,B$23,'Member Data'!$BF$6:$BF$5331,B$24,'Member Data'!$BI$6:$BI$5331,D$24,'Member Data'!$BH$6:$BH$5331,B27,'Member Data'!$BC$6:$BC$5331,D$23)</f>
        <v>2</v>
      </c>
      <c r="E27" s="758" t="str">
        <f>'Group Engine'!E54</f>
        <v>18 - 25</v>
      </c>
      <c r="F27" s="753">
        <f>COUNTIFS('Member Data'!$BD$6:$BD$5331,E$23,'Member Data'!$BF$6:$BF$5331,E$24,'Member Data'!$BI$6:$BI$5331,F$24,'Member Data'!$BH$6:$BH$5331,E27,'Member Data'!$BC$6:$BC$5331,F$23)</f>
        <v>0</v>
      </c>
      <c r="G27" s="753">
        <f>COUNTIFS('Member Data'!$BD$6:$BD$5331,E$23,'Member Data'!$BF$6:$BF$5331,E$24,'Member Data'!$BI$6:$BI$5331,G$24,'Member Data'!$BH$6:$BH$5331,E27,'Member Data'!$BC$6:$BC$5331,G$23)</f>
        <v>0</v>
      </c>
      <c r="H27" s="758" t="str">
        <f>'Group Engine'!H54</f>
        <v>18 - 25</v>
      </c>
      <c r="I27" s="753">
        <f>COUNTIFS('Member Data'!$BD$6:$BD$5331,H$23,'Member Data'!$BF$6:$BF$5331,H$24,'Member Data'!$BI$6:$BI$5331,I$24,'Member Data'!$BH$6:$BH$5331,H27,'Member Data'!$BC$6:$BC$5331,I$23)</f>
        <v>0</v>
      </c>
      <c r="J27" s="753">
        <f>COUNTIFS('Member Data'!$BD$6:$BD$5331,H$23,'Member Data'!$BF$6:$BF$5331,H$24,'Member Data'!$BI$6:$BI$5331,J$24,'Member Data'!$BH$6:$BH$5331,H27,'Member Data'!$BC$6:$BC$5331,J$23)</f>
        <v>0</v>
      </c>
      <c r="K27" s="758" t="str">
        <f>'Group Engine'!K54</f>
        <v>18 - 25</v>
      </c>
      <c r="L27" s="753">
        <f>COUNTIFS('Member Data'!$BD$6:$BD$5331,K$23,'Member Data'!$BF$6:$BF$5331,K$24,'Member Data'!$BI$6:$BI$5331,L$24,'Member Data'!$BH$6:$BH$5331,K27,'Member Data'!$BC$6:$BC$5331,L$23)</f>
        <v>0</v>
      </c>
      <c r="M27" s="753">
        <f>COUNTIFS('Member Data'!$BD$6:$BD$5331,K$23,'Member Data'!$BF$6:$BF$5331,K$24,'Member Data'!$BI$6:$BI$5331,M$24,'Member Data'!$BH$6:$BH$5331,K27,'Member Data'!$BC$6:$BC$5331,M$23)</f>
        <v>0</v>
      </c>
      <c r="N27" s="758" t="str">
        <f>'Group Engine'!N54</f>
        <v>18 - 25</v>
      </c>
      <c r="O27" s="753">
        <f>COUNTIFS('Member Data'!$BD$6:$BD$5331,N$23,'Member Data'!$BF$6:$BF$5331,N$24,'Member Data'!$BI$6:$BI$5331,O$24,'Member Data'!$BH$6:$BH$5331,N27,'Member Data'!$BC$6:$BC$5331,O$23)</f>
        <v>0</v>
      </c>
      <c r="P27" s="753">
        <f>COUNTIFS('Member Data'!$BD$6:$BD$5331,N$23,'Member Data'!$BF$6:$BF$5331,N$24,'Member Data'!$BI$6:$BI$5331,P$24,'Member Data'!$BH$6:$BH$5331,N27,'Member Data'!$BC$6:$BC$5331,P$23)</f>
        <v>0</v>
      </c>
      <c r="Q27" s="758" t="str">
        <f>'Group Engine'!Q54</f>
        <v>18 - 25</v>
      </c>
      <c r="R27" s="753">
        <f>COUNTIFS('Member Data'!$BD$6:$BD$5331,Q$23,'Member Data'!$BF$6:$BF$5331,Q$24,'Member Data'!$BI$6:$BI$5331,R$24,'Member Data'!$BH$6:$BH$5331,Q27,'Member Data'!$BC$6:$BC$5331,R$23)</f>
        <v>0</v>
      </c>
      <c r="S27" s="753">
        <f>COUNTIFS('Member Data'!$BD$6:$BD$5331,Q$23,'Member Data'!$BF$6:$BF$5331,Q$24,'Member Data'!$BI$6:$BI$5331,S$24,'Member Data'!$BH$6:$BH$5331,Q27,'Member Data'!$BC$6:$BC$5331,S$23)</f>
        <v>0</v>
      </c>
      <c r="T27" s="758" t="str">
        <f>'Group Engine'!T54</f>
        <v>18 - 25</v>
      </c>
      <c r="U27" s="753">
        <f>COUNTIFS('Member Data'!$BD$6:$BD$5331,T$23,'Member Data'!$BF$6:$BF$5331,T$24,'Member Data'!$BI$6:$BI$5331,U$24,'Member Data'!$BH$6:$BH$5331,T27,'Member Data'!$BC$6:$BC$5331,U$23)</f>
        <v>0</v>
      </c>
      <c r="V27" s="753">
        <f>COUNTIFS('Member Data'!$BD$6:$BD$5331,T$23,'Member Data'!$BF$6:$BF$5331,T$24,'Member Data'!$BI$6:$BI$5331,V$24,'Member Data'!$BH$6:$BH$5331,T27,'Member Data'!$BC$6:$BC$5331,V$23)</f>
        <v>0</v>
      </c>
      <c r="W27" s="758" t="str">
        <f>'Group Engine'!W54</f>
        <v>18 - 25</v>
      </c>
      <c r="X27" s="753">
        <f>COUNTIFS('Member Data'!$BD$6:$BD$5331,W$23,'Member Data'!$BF$6:$BF$5331,W$24,'Member Data'!$BI$6:$BI$5331,X$24,'Member Data'!$BH$6:$BH$5331,W27,'Member Data'!$BC$6:$BC$5331,X$23)</f>
        <v>0</v>
      </c>
      <c r="Y27" s="753">
        <f>COUNTIFS('Member Data'!$BD$6:$BD$5331,W$23,'Member Data'!$BF$6:$BF$5331,W$24,'Member Data'!$BI$6:$BI$5331,Y$24,'Member Data'!$BH$6:$BH$5331,W27,'Member Data'!$BC$6:$BC$5331,Y$23)</f>
        <v>0</v>
      </c>
      <c r="Z27" s="688"/>
    </row>
    <row r="28" spans="1:26" x14ac:dyDescent="0.25">
      <c r="B28" s="758" t="str">
        <f>'Group Engine'!B55</f>
        <v>26 - 30</v>
      </c>
      <c r="C28" s="753">
        <f>COUNTIFS('Member Data'!$BD$6:$BD$5331,B$23,'Member Data'!$BF$6:$BF$5331,B$24,'Member Data'!$BI$6:$BI$5331,C$24,'Member Data'!$BH$6:$BH$5331,B28,'Member Data'!$BC$6:$BC$5331,C$23)</f>
        <v>0</v>
      </c>
      <c r="D28" s="753">
        <f>COUNTIFS('Member Data'!$BD$6:$BD$5331,B$23,'Member Data'!$BF$6:$BF$5331,B$24,'Member Data'!$BI$6:$BI$5331,D$24,'Member Data'!$BH$6:$BH$5331,B28,'Member Data'!$BC$6:$BC$5331,D$23)</f>
        <v>0</v>
      </c>
      <c r="E28" s="758" t="str">
        <f>'Group Engine'!E55</f>
        <v>26 - 30</v>
      </c>
      <c r="F28" s="753">
        <f>COUNTIFS('Member Data'!$BD$6:$BD$5331,E$23,'Member Data'!$BF$6:$BF$5331,E$24,'Member Data'!$BI$6:$BI$5331,F$24,'Member Data'!$BH$6:$BH$5331,E28,'Member Data'!$BC$6:$BC$5331,F$23)</f>
        <v>0</v>
      </c>
      <c r="G28" s="753">
        <f>COUNTIFS('Member Data'!$BD$6:$BD$5331,E$23,'Member Data'!$BF$6:$BF$5331,E$24,'Member Data'!$BI$6:$BI$5331,G$24,'Member Data'!$BH$6:$BH$5331,E28,'Member Data'!$BC$6:$BC$5331,G$23)</f>
        <v>0</v>
      </c>
      <c r="H28" s="758" t="str">
        <f>'Group Engine'!H55</f>
        <v>26 - 30</v>
      </c>
      <c r="I28" s="753">
        <f>COUNTIFS('Member Data'!$BD$6:$BD$5331,H$23,'Member Data'!$BF$6:$BF$5331,H$24,'Member Data'!$BI$6:$BI$5331,I$24,'Member Data'!$BH$6:$BH$5331,H28,'Member Data'!$BC$6:$BC$5331,I$23)</f>
        <v>0</v>
      </c>
      <c r="J28" s="753">
        <f>COUNTIFS('Member Data'!$BD$6:$BD$5331,H$23,'Member Data'!$BF$6:$BF$5331,H$24,'Member Data'!$BI$6:$BI$5331,J$24,'Member Data'!$BH$6:$BH$5331,H28,'Member Data'!$BC$6:$BC$5331,J$23)</f>
        <v>0</v>
      </c>
      <c r="K28" s="758" t="str">
        <f>'Group Engine'!K55</f>
        <v>26 - 30</v>
      </c>
      <c r="L28" s="753">
        <f>COUNTIFS('Member Data'!$BD$6:$BD$5331,K$23,'Member Data'!$BF$6:$BF$5331,K$24,'Member Data'!$BI$6:$BI$5331,L$24,'Member Data'!$BH$6:$BH$5331,K28,'Member Data'!$BC$6:$BC$5331,L$23)</f>
        <v>0</v>
      </c>
      <c r="M28" s="753">
        <f>COUNTIFS('Member Data'!$BD$6:$BD$5331,K$23,'Member Data'!$BF$6:$BF$5331,K$24,'Member Data'!$BI$6:$BI$5331,M$24,'Member Data'!$BH$6:$BH$5331,K28,'Member Data'!$BC$6:$BC$5331,M$23)</f>
        <v>0</v>
      </c>
      <c r="N28" s="758" t="str">
        <f>'Group Engine'!N55</f>
        <v>26 - 30</v>
      </c>
      <c r="O28" s="753">
        <f>COUNTIFS('Member Data'!$BD$6:$BD$5331,N$23,'Member Data'!$BF$6:$BF$5331,N$24,'Member Data'!$BI$6:$BI$5331,O$24,'Member Data'!$BH$6:$BH$5331,N28,'Member Data'!$BC$6:$BC$5331,O$23)</f>
        <v>0</v>
      </c>
      <c r="P28" s="753">
        <f>COUNTIFS('Member Data'!$BD$6:$BD$5331,N$23,'Member Data'!$BF$6:$BF$5331,N$24,'Member Data'!$BI$6:$BI$5331,P$24,'Member Data'!$BH$6:$BH$5331,N28,'Member Data'!$BC$6:$BC$5331,P$23)</f>
        <v>0</v>
      </c>
      <c r="Q28" s="758" t="str">
        <f>'Group Engine'!Q55</f>
        <v>26 - 30</v>
      </c>
      <c r="R28" s="753">
        <f>COUNTIFS('Member Data'!$BD$6:$BD$5331,Q$23,'Member Data'!$BF$6:$BF$5331,Q$24,'Member Data'!$BI$6:$BI$5331,R$24,'Member Data'!$BH$6:$BH$5331,Q28,'Member Data'!$BC$6:$BC$5331,R$23)</f>
        <v>0</v>
      </c>
      <c r="S28" s="753">
        <f>COUNTIFS('Member Data'!$BD$6:$BD$5331,Q$23,'Member Data'!$BF$6:$BF$5331,Q$24,'Member Data'!$BI$6:$BI$5331,S$24,'Member Data'!$BH$6:$BH$5331,Q28,'Member Data'!$BC$6:$BC$5331,S$23)</f>
        <v>0</v>
      </c>
      <c r="T28" s="758" t="str">
        <f>'Group Engine'!T55</f>
        <v>26 - 30</v>
      </c>
      <c r="U28" s="753">
        <f>COUNTIFS('Member Data'!$BD$6:$BD$5331,T$23,'Member Data'!$BF$6:$BF$5331,T$24,'Member Data'!$BI$6:$BI$5331,U$24,'Member Data'!$BH$6:$BH$5331,T28,'Member Data'!$BC$6:$BC$5331,U$23)</f>
        <v>0</v>
      </c>
      <c r="V28" s="753">
        <f>COUNTIFS('Member Data'!$BD$6:$BD$5331,T$23,'Member Data'!$BF$6:$BF$5331,T$24,'Member Data'!$BI$6:$BI$5331,V$24,'Member Data'!$BH$6:$BH$5331,T28,'Member Data'!$BC$6:$BC$5331,V$23)</f>
        <v>0</v>
      </c>
      <c r="W28" s="758" t="str">
        <f>'Group Engine'!W55</f>
        <v>26 - 30</v>
      </c>
      <c r="X28" s="753">
        <f>COUNTIFS('Member Data'!$BD$6:$BD$5331,W$23,'Member Data'!$BF$6:$BF$5331,W$24,'Member Data'!$BI$6:$BI$5331,X$24,'Member Data'!$BH$6:$BH$5331,W28,'Member Data'!$BC$6:$BC$5331,X$23)</f>
        <v>0</v>
      </c>
      <c r="Y28" s="753">
        <f>COUNTIFS('Member Data'!$BD$6:$BD$5331,W$23,'Member Data'!$BF$6:$BF$5331,W$24,'Member Data'!$BI$6:$BI$5331,Y$24,'Member Data'!$BH$6:$BH$5331,W28,'Member Data'!$BC$6:$BC$5331,Y$23)</f>
        <v>0</v>
      </c>
      <c r="Z28" s="688"/>
    </row>
    <row r="29" spans="1:26" x14ac:dyDescent="0.25">
      <c r="B29" s="758" t="str">
        <f>'Group Engine'!B56</f>
        <v>31 - 35</v>
      </c>
      <c r="C29" s="753">
        <f>COUNTIFS('Member Data'!$BD$6:$BD$5331,B$23,'Member Data'!$BF$6:$BF$5331,B$24,'Member Data'!$BI$6:$BI$5331,C$24,'Member Data'!$BH$6:$BH$5331,B29,'Member Data'!$BC$6:$BC$5331,C$23)</f>
        <v>0</v>
      </c>
      <c r="D29" s="753">
        <f>COUNTIFS('Member Data'!$BD$6:$BD$5331,B$23,'Member Data'!$BF$6:$BF$5331,B$24,'Member Data'!$BI$6:$BI$5331,D$24,'Member Data'!$BH$6:$BH$5331,B29,'Member Data'!$BC$6:$BC$5331,D$23)</f>
        <v>0</v>
      </c>
      <c r="E29" s="758" t="str">
        <f>'Group Engine'!E56</f>
        <v>31 - 35</v>
      </c>
      <c r="F29" s="753">
        <f>COUNTIFS('Member Data'!$BD$6:$BD$5331,E$23,'Member Data'!$BF$6:$BF$5331,E$24,'Member Data'!$BI$6:$BI$5331,F$24,'Member Data'!$BH$6:$BH$5331,E29,'Member Data'!$BC$6:$BC$5331,F$23)</f>
        <v>0</v>
      </c>
      <c r="G29" s="753">
        <f>COUNTIFS('Member Data'!$BD$6:$BD$5331,E$23,'Member Data'!$BF$6:$BF$5331,E$24,'Member Data'!$BI$6:$BI$5331,G$24,'Member Data'!$BH$6:$BH$5331,E29,'Member Data'!$BC$6:$BC$5331,G$23)</f>
        <v>0</v>
      </c>
      <c r="H29" s="758" t="str">
        <f>'Group Engine'!H56</f>
        <v>31 - 35</v>
      </c>
      <c r="I29" s="753">
        <f>COUNTIFS('Member Data'!$BD$6:$BD$5331,H$23,'Member Data'!$BF$6:$BF$5331,H$24,'Member Data'!$BI$6:$BI$5331,I$24,'Member Data'!$BH$6:$BH$5331,H29,'Member Data'!$BC$6:$BC$5331,I$23)</f>
        <v>0</v>
      </c>
      <c r="J29" s="753">
        <f>COUNTIFS('Member Data'!$BD$6:$BD$5331,H$23,'Member Data'!$BF$6:$BF$5331,H$24,'Member Data'!$BI$6:$BI$5331,J$24,'Member Data'!$BH$6:$BH$5331,H29,'Member Data'!$BC$6:$BC$5331,J$23)</f>
        <v>0</v>
      </c>
      <c r="K29" s="758" t="str">
        <f>'Group Engine'!K56</f>
        <v>31 - 35</v>
      </c>
      <c r="L29" s="753">
        <f>COUNTIFS('Member Data'!$BD$6:$BD$5331,K$23,'Member Data'!$BF$6:$BF$5331,K$24,'Member Data'!$BI$6:$BI$5331,L$24,'Member Data'!$BH$6:$BH$5331,K29,'Member Data'!$BC$6:$BC$5331,L$23)</f>
        <v>0</v>
      </c>
      <c r="M29" s="753">
        <f>COUNTIFS('Member Data'!$BD$6:$BD$5331,K$23,'Member Data'!$BF$6:$BF$5331,K$24,'Member Data'!$BI$6:$BI$5331,M$24,'Member Data'!$BH$6:$BH$5331,K29,'Member Data'!$BC$6:$BC$5331,M$23)</f>
        <v>0</v>
      </c>
      <c r="N29" s="758" t="str">
        <f>'Group Engine'!N56</f>
        <v>31 - 35</v>
      </c>
      <c r="O29" s="753">
        <f>COUNTIFS('Member Data'!$BD$6:$BD$5331,N$23,'Member Data'!$BF$6:$BF$5331,N$24,'Member Data'!$BI$6:$BI$5331,O$24,'Member Data'!$BH$6:$BH$5331,N29,'Member Data'!$BC$6:$BC$5331,O$23)</f>
        <v>0</v>
      </c>
      <c r="P29" s="753">
        <f>COUNTIFS('Member Data'!$BD$6:$BD$5331,N$23,'Member Data'!$BF$6:$BF$5331,N$24,'Member Data'!$BI$6:$BI$5331,P$24,'Member Data'!$BH$6:$BH$5331,N29,'Member Data'!$BC$6:$BC$5331,P$23)</f>
        <v>0</v>
      </c>
      <c r="Q29" s="758" t="str">
        <f>'Group Engine'!Q56</f>
        <v>31 - 35</v>
      </c>
      <c r="R29" s="753">
        <f>COUNTIFS('Member Data'!$BD$6:$BD$5331,Q$23,'Member Data'!$BF$6:$BF$5331,Q$24,'Member Data'!$BI$6:$BI$5331,R$24,'Member Data'!$BH$6:$BH$5331,Q29,'Member Data'!$BC$6:$BC$5331,R$23)</f>
        <v>0</v>
      </c>
      <c r="S29" s="753">
        <f>COUNTIFS('Member Data'!$BD$6:$BD$5331,Q$23,'Member Data'!$BF$6:$BF$5331,Q$24,'Member Data'!$BI$6:$BI$5331,S$24,'Member Data'!$BH$6:$BH$5331,Q29,'Member Data'!$BC$6:$BC$5331,S$23)</f>
        <v>0</v>
      </c>
      <c r="T29" s="758" t="str">
        <f>'Group Engine'!T56</f>
        <v>31 - 35</v>
      </c>
      <c r="U29" s="753">
        <f>COUNTIFS('Member Data'!$BD$6:$BD$5331,T$23,'Member Data'!$BF$6:$BF$5331,T$24,'Member Data'!$BI$6:$BI$5331,U$24,'Member Data'!$BH$6:$BH$5331,T29,'Member Data'!$BC$6:$BC$5331,U$23)</f>
        <v>0</v>
      </c>
      <c r="V29" s="753">
        <f>COUNTIFS('Member Data'!$BD$6:$BD$5331,T$23,'Member Data'!$BF$6:$BF$5331,T$24,'Member Data'!$BI$6:$BI$5331,V$24,'Member Data'!$BH$6:$BH$5331,T29,'Member Data'!$BC$6:$BC$5331,V$23)</f>
        <v>0</v>
      </c>
      <c r="W29" s="758" t="str">
        <f>'Group Engine'!W56</f>
        <v>31 - 35</v>
      </c>
      <c r="X29" s="753">
        <f>COUNTIFS('Member Data'!$BD$6:$BD$5331,W$23,'Member Data'!$BF$6:$BF$5331,W$24,'Member Data'!$BI$6:$BI$5331,X$24,'Member Data'!$BH$6:$BH$5331,W29,'Member Data'!$BC$6:$BC$5331,X$23)</f>
        <v>0</v>
      </c>
      <c r="Y29" s="753">
        <f>COUNTIFS('Member Data'!$BD$6:$BD$5331,W$23,'Member Data'!$BF$6:$BF$5331,W$24,'Member Data'!$BI$6:$BI$5331,Y$24,'Member Data'!$BH$6:$BH$5331,W29,'Member Data'!$BC$6:$BC$5331,Y$23)</f>
        <v>0</v>
      </c>
      <c r="Z29" s="688"/>
    </row>
    <row r="30" spans="1:26" x14ac:dyDescent="0.25">
      <c r="B30" s="758" t="str">
        <f>'Group Engine'!B57</f>
        <v>36 - 40</v>
      </c>
      <c r="C30" s="753">
        <f>COUNTIFS('Member Data'!$BD$6:$BD$5331,B$23,'Member Data'!$BF$6:$BF$5331,B$24,'Member Data'!$BI$6:$BI$5331,C$24,'Member Data'!$BH$6:$BH$5331,B30,'Member Data'!$BC$6:$BC$5331,C$23)</f>
        <v>0</v>
      </c>
      <c r="D30" s="753">
        <f>COUNTIFS('Member Data'!$BD$6:$BD$5331,B$23,'Member Data'!$BF$6:$BF$5331,B$24,'Member Data'!$BI$6:$BI$5331,D$24,'Member Data'!$BH$6:$BH$5331,B30,'Member Data'!$BC$6:$BC$5331,D$23)</f>
        <v>0</v>
      </c>
      <c r="E30" s="758" t="str">
        <f>'Group Engine'!E57</f>
        <v>36 - 40</v>
      </c>
      <c r="F30" s="753">
        <f>COUNTIFS('Member Data'!$BD$6:$BD$5331,E$23,'Member Data'!$BF$6:$BF$5331,E$24,'Member Data'!$BI$6:$BI$5331,F$24,'Member Data'!$BH$6:$BH$5331,E30,'Member Data'!$BC$6:$BC$5331,F$23)</f>
        <v>0</v>
      </c>
      <c r="G30" s="753">
        <f>COUNTIFS('Member Data'!$BD$6:$BD$5331,E$23,'Member Data'!$BF$6:$BF$5331,E$24,'Member Data'!$BI$6:$BI$5331,G$24,'Member Data'!$BH$6:$BH$5331,E30,'Member Data'!$BC$6:$BC$5331,G$23)</f>
        <v>0</v>
      </c>
      <c r="H30" s="758" t="str">
        <f>'Group Engine'!H57</f>
        <v>36 - 40</v>
      </c>
      <c r="I30" s="753">
        <f>COUNTIFS('Member Data'!$BD$6:$BD$5331,H$23,'Member Data'!$BF$6:$BF$5331,H$24,'Member Data'!$BI$6:$BI$5331,I$24,'Member Data'!$BH$6:$BH$5331,H30,'Member Data'!$BC$6:$BC$5331,I$23)</f>
        <v>0</v>
      </c>
      <c r="J30" s="753">
        <f>COUNTIFS('Member Data'!$BD$6:$BD$5331,H$23,'Member Data'!$BF$6:$BF$5331,H$24,'Member Data'!$BI$6:$BI$5331,J$24,'Member Data'!$BH$6:$BH$5331,H30,'Member Data'!$BC$6:$BC$5331,J$23)</f>
        <v>0</v>
      </c>
      <c r="K30" s="758" t="str">
        <f>'Group Engine'!K57</f>
        <v>36 - 40</v>
      </c>
      <c r="L30" s="753">
        <f>COUNTIFS('Member Data'!$BD$6:$BD$5331,K$23,'Member Data'!$BF$6:$BF$5331,K$24,'Member Data'!$BI$6:$BI$5331,L$24,'Member Data'!$BH$6:$BH$5331,K30,'Member Data'!$BC$6:$BC$5331,L$23)</f>
        <v>0</v>
      </c>
      <c r="M30" s="753">
        <f>COUNTIFS('Member Data'!$BD$6:$BD$5331,K$23,'Member Data'!$BF$6:$BF$5331,K$24,'Member Data'!$BI$6:$BI$5331,M$24,'Member Data'!$BH$6:$BH$5331,K30,'Member Data'!$BC$6:$BC$5331,M$23)</f>
        <v>0</v>
      </c>
      <c r="N30" s="758" t="str">
        <f>'Group Engine'!N57</f>
        <v>36 - 40</v>
      </c>
      <c r="O30" s="753">
        <f>COUNTIFS('Member Data'!$BD$6:$BD$5331,N$23,'Member Data'!$BF$6:$BF$5331,N$24,'Member Data'!$BI$6:$BI$5331,O$24,'Member Data'!$BH$6:$BH$5331,N30,'Member Data'!$BC$6:$BC$5331,O$23)</f>
        <v>0</v>
      </c>
      <c r="P30" s="753">
        <f>COUNTIFS('Member Data'!$BD$6:$BD$5331,N$23,'Member Data'!$BF$6:$BF$5331,N$24,'Member Data'!$BI$6:$BI$5331,P$24,'Member Data'!$BH$6:$BH$5331,N30,'Member Data'!$BC$6:$BC$5331,P$23)</f>
        <v>0</v>
      </c>
      <c r="Q30" s="758" t="str">
        <f>'Group Engine'!Q57</f>
        <v>36 - 40</v>
      </c>
      <c r="R30" s="753">
        <f>COUNTIFS('Member Data'!$BD$6:$BD$5331,Q$23,'Member Data'!$BF$6:$BF$5331,Q$24,'Member Data'!$BI$6:$BI$5331,R$24,'Member Data'!$BH$6:$BH$5331,Q30,'Member Data'!$BC$6:$BC$5331,R$23)</f>
        <v>0</v>
      </c>
      <c r="S30" s="753">
        <f>COUNTIFS('Member Data'!$BD$6:$BD$5331,Q$23,'Member Data'!$BF$6:$BF$5331,Q$24,'Member Data'!$BI$6:$BI$5331,S$24,'Member Data'!$BH$6:$BH$5331,Q30,'Member Data'!$BC$6:$BC$5331,S$23)</f>
        <v>0</v>
      </c>
      <c r="T30" s="758" t="str">
        <f>'Group Engine'!T57</f>
        <v>36 - 40</v>
      </c>
      <c r="U30" s="753">
        <f>COUNTIFS('Member Data'!$BD$6:$BD$5331,T$23,'Member Data'!$BF$6:$BF$5331,T$24,'Member Data'!$BI$6:$BI$5331,U$24,'Member Data'!$BH$6:$BH$5331,T30,'Member Data'!$BC$6:$BC$5331,U$23)</f>
        <v>0</v>
      </c>
      <c r="V30" s="753">
        <f>COUNTIFS('Member Data'!$BD$6:$BD$5331,T$23,'Member Data'!$BF$6:$BF$5331,T$24,'Member Data'!$BI$6:$BI$5331,V$24,'Member Data'!$BH$6:$BH$5331,T30,'Member Data'!$BC$6:$BC$5331,V$23)</f>
        <v>0</v>
      </c>
      <c r="W30" s="758" t="str">
        <f>'Group Engine'!W57</f>
        <v>36 - 40</v>
      </c>
      <c r="X30" s="753">
        <f>COUNTIFS('Member Data'!$BD$6:$BD$5331,W$23,'Member Data'!$BF$6:$BF$5331,W$24,'Member Data'!$BI$6:$BI$5331,X$24,'Member Data'!$BH$6:$BH$5331,W30,'Member Data'!$BC$6:$BC$5331,X$23)</f>
        <v>0</v>
      </c>
      <c r="Y30" s="753">
        <f>COUNTIFS('Member Data'!$BD$6:$BD$5331,W$23,'Member Data'!$BF$6:$BF$5331,W$24,'Member Data'!$BI$6:$BI$5331,Y$24,'Member Data'!$BH$6:$BH$5331,W30,'Member Data'!$BC$6:$BC$5331,Y$23)</f>
        <v>0</v>
      </c>
      <c r="Z30" s="688"/>
    </row>
    <row r="31" spans="1:26" x14ac:dyDescent="0.25">
      <c r="B31" s="758" t="str">
        <f>'Group Engine'!B58</f>
        <v>41 - 45</v>
      </c>
      <c r="C31" s="753">
        <f>COUNTIFS('Member Data'!$BD$6:$BD$5331,B$23,'Member Data'!$BF$6:$BF$5331,B$24,'Member Data'!$BI$6:$BI$5331,C$24,'Member Data'!$BH$6:$BH$5331,B31,'Member Data'!$BC$6:$BC$5331,C$23)</f>
        <v>0</v>
      </c>
      <c r="D31" s="753">
        <f>COUNTIFS('Member Data'!$BD$6:$BD$5331,B$23,'Member Data'!$BF$6:$BF$5331,B$24,'Member Data'!$BI$6:$BI$5331,D$24,'Member Data'!$BH$6:$BH$5331,B31,'Member Data'!$BC$6:$BC$5331,D$23)</f>
        <v>0</v>
      </c>
      <c r="E31" s="758" t="str">
        <f>'Group Engine'!E58</f>
        <v>41 - 45</v>
      </c>
      <c r="F31" s="753">
        <f>COUNTIFS('Member Data'!$BD$6:$BD$5331,E$23,'Member Data'!$BF$6:$BF$5331,E$24,'Member Data'!$BI$6:$BI$5331,F$24,'Member Data'!$BH$6:$BH$5331,E31,'Member Data'!$BC$6:$BC$5331,F$23)</f>
        <v>0</v>
      </c>
      <c r="G31" s="753">
        <f>COUNTIFS('Member Data'!$BD$6:$BD$5331,E$23,'Member Data'!$BF$6:$BF$5331,E$24,'Member Data'!$BI$6:$BI$5331,G$24,'Member Data'!$BH$6:$BH$5331,E31,'Member Data'!$BC$6:$BC$5331,G$23)</f>
        <v>0</v>
      </c>
      <c r="H31" s="758" t="str">
        <f>'Group Engine'!H58</f>
        <v>41 - 45</v>
      </c>
      <c r="I31" s="753">
        <f>COUNTIFS('Member Data'!$BD$6:$BD$5331,H$23,'Member Data'!$BF$6:$BF$5331,H$24,'Member Data'!$BI$6:$BI$5331,I$24,'Member Data'!$BH$6:$BH$5331,H31,'Member Data'!$BC$6:$BC$5331,I$23)</f>
        <v>0</v>
      </c>
      <c r="J31" s="753">
        <f>COUNTIFS('Member Data'!$BD$6:$BD$5331,H$23,'Member Data'!$BF$6:$BF$5331,H$24,'Member Data'!$BI$6:$BI$5331,J$24,'Member Data'!$BH$6:$BH$5331,H31,'Member Data'!$BC$6:$BC$5331,J$23)</f>
        <v>0</v>
      </c>
      <c r="K31" s="758" t="str">
        <f>'Group Engine'!K58</f>
        <v>41 - 45</v>
      </c>
      <c r="L31" s="753">
        <f>COUNTIFS('Member Data'!$BD$6:$BD$5331,K$23,'Member Data'!$BF$6:$BF$5331,K$24,'Member Data'!$BI$6:$BI$5331,L$24,'Member Data'!$BH$6:$BH$5331,K31,'Member Data'!$BC$6:$BC$5331,L$23)</f>
        <v>0</v>
      </c>
      <c r="M31" s="753">
        <f>COUNTIFS('Member Data'!$BD$6:$BD$5331,K$23,'Member Data'!$BF$6:$BF$5331,K$24,'Member Data'!$BI$6:$BI$5331,M$24,'Member Data'!$BH$6:$BH$5331,K31,'Member Data'!$BC$6:$BC$5331,M$23)</f>
        <v>0</v>
      </c>
      <c r="N31" s="758" t="str">
        <f>'Group Engine'!N58</f>
        <v>41 - 45</v>
      </c>
      <c r="O31" s="753">
        <f>COUNTIFS('Member Data'!$BD$6:$BD$5331,N$23,'Member Data'!$BF$6:$BF$5331,N$24,'Member Data'!$BI$6:$BI$5331,O$24,'Member Data'!$BH$6:$BH$5331,N31,'Member Data'!$BC$6:$BC$5331,O$23)</f>
        <v>0</v>
      </c>
      <c r="P31" s="753">
        <f>COUNTIFS('Member Data'!$BD$6:$BD$5331,N$23,'Member Data'!$BF$6:$BF$5331,N$24,'Member Data'!$BI$6:$BI$5331,P$24,'Member Data'!$BH$6:$BH$5331,N31,'Member Data'!$BC$6:$BC$5331,P$23)</f>
        <v>0</v>
      </c>
      <c r="Q31" s="758" t="str">
        <f>'Group Engine'!Q58</f>
        <v>41 - 45</v>
      </c>
      <c r="R31" s="753">
        <f>COUNTIFS('Member Data'!$BD$6:$BD$5331,Q$23,'Member Data'!$BF$6:$BF$5331,Q$24,'Member Data'!$BI$6:$BI$5331,R$24,'Member Data'!$BH$6:$BH$5331,Q31,'Member Data'!$BC$6:$BC$5331,R$23)</f>
        <v>0</v>
      </c>
      <c r="S31" s="753">
        <f>COUNTIFS('Member Data'!$BD$6:$BD$5331,Q$23,'Member Data'!$BF$6:$BF$5331,Q$24,'Member Data'!$BI$6:$BI$5331,S$24,'Member Data'!$BH$6:$BH$5331,Q31,'Member Data'!$BC$6:$BC$5331,S$23)</f>
        <v>0</v>
      </c>
      <c r="T31" s="758" t="str">
        <f>'Group Engine'!T58</f>
        <v>41 - 45</v>
      </c>
      <c r="U31" s="753">
        <f>COUNTIFS('Member Data'!$BD$6:$BD$5331,T$23,'Member Data'!$BF$6:$BF$5331,T$24,'Member Data'!$BI$6:$BI$5331,U$24,'Member Data'!$BH$6:$BH$5331,T31,'Member Data'!$BC$6:$BC$5331,U$23)</f>
        <v>0</v>
      </c>
      <c r="V31" s="753">
        <f>COUNTIFS('Member Data'!$BD$6:$BD$5331,T$23,'Member Data'!$BF$6:$BF$5331,T$24,'Member Data'!$BI$6:$BI$5331,V$24,'Member Data'!$BH$6:$BH$5331,T31,'Member Data'!$BC$6:$BC$5331,V$23)</f>
        <v>0</v>
      </c>
      <c r="W31" s="758" t="str">
        <f>'Group Engine'!W58</f>
        <v>41 - 45</v>
      </c>
      <c r="X31" s="753">
        <f>COUNTIFS('Member Data'!$BD$6:$BD$5331,W$23,'Member Data'!$BF$6:$BF$5331,W$24,'Member Data'!$BI$6:$BI$5331,X$24,'Member Data'!$BH$6:$BH$5331,W31,'Member Data'!$BC$6:$BC$5331,X$23)</f>
        <v>0</v>
      </c>
      <c r="Y31" s="753">
        <f>COUNTIFS('Member Data'!$BD$6:$BD$5331,W$23,'Member Data'!$BF$6:$BF$5331,W$24,'Member Data'!$BI$6:$BI$5331,Y$24,'Member Data'!$BH$6:$BH$5331,W31,'Member Data'!$BC$6:$BC$5331,Y$23)</f>
        <v>0</v>
      </c>
      <c r="Z31" s="688"/>
    </row>
    <row r="32" spans="1:26" x14ac:dyDescent="0.25">
      <c r="B32" s="758" t="str">
        <f>'Group Engine'!B59</f>
        <v>46 - 50</v>
      </c>
      <c r="C32" s="753">
        <f>COUNTIFS('Member Data'!$BD$6:$BD$5331,B$23,'Member Data'!$BF$6:$BF$5331,B$24,'Member Data'!$BI$6:$BI$5331,C$24,'Member Data'!$BH$6:$BH$5331,B32,'Member Data'!$BC$6:$BC$5331,C$23)</f>
        <v>0</v>
      </c>
      <c r="D32" s="753">
        <f>COUNTIFS('Member Data'!$BD$6:$BD$5331,B$23,'Member Data'!$BF$6:$BF$5331,B$24,'Member Data'!$BI$6:$BI$5331,D$24,'Member Data'!$BH$6:$BH$5331,B32,'Member Data'!$BC$6:$BC$5331,D$23)</f>
        <v>2</v>
      </c>
      <c r="E32" s="758" t="str">
        <f>'Group Engine'!E59</f>
        <v>46 - 50</v>
      </c>
      <c r="F32" s="753">
        <f>COUNTIFS('Member Data'!$BD$6:$BD$5331,E$23,'Member Data'!$BF$6:$BF$5331,E$24,'Member Data'!$BI$6:$BI$5331,F$24,'Member Data'!$BH$6:$BH$5331,E32,'Member Data'!$BC$6:$BC$5331,F$23)</f>
        <v>0</v>
      </c>
      <c r="G32" s="753">
        <f>COUNTIFS('Member Data'!$BD$6:$BD$5331,E$23,'Member Data'!$BF$6:$BF$5331,E$24,'Member Data'!$BI$6:$BI$5331,G$24,'Member Data'!$BH$6:$BH$5331,E32,'Member Data'!$BC$6:$BC$5331,G$23)</f>
        <v>0</v>
      </c>
      <c r="H32" s="758" t="str">
        <f>'Group Engine'!H59</f>
        <v>46 - 50</v>
      </c>
      <c r="I32" s="753">
        <f>COUNTIFS('Member Data'!$BD$6:$BD$5331,H$23,'Member Data'!$BF$6:$BF$5331,H$24,'Member Data'!$BI$6:$BI$5331,I$24,'Member Data'!$BH$6:$BH$5331,H32,'Member Data'!$BC$6:$BC$5331,I$23)</f>
        <v>0</v>
      </c>
      <c r="J32" s="753">
        <f>COUNTIFS('Member Data'!$BD$6:$BD$5331,H$23,'Member Data'!$BF$6:$BF$5331,H$24,'Member Data'!$BI$6:$BI$5331,J$24,'Member Data'!$BH$6:$BH$5331,H32,'Member Data'!$BC$6:$BC$5331,J$23)</f>
        <v>0</v>
      </c>
      <c r="K32" s="758" t="str">
        <f>'Group Engine'!K59</f>
        <v>46 - 50</v>
      </c>
      <c r="L32" s="753">
        <f>COUNTIFS('Member Data'!$BD$6:$BD$5331,K$23,'Member Data'!$BF$6:$BF$5331,K$24,'Member Data'!$BI$6:$BI$5331,L$24,'Member Data'!$BH$6:$BH$5331,K32,'Member Data'!$BC$6:$BC$5331,L$23)</f>
        <v>0</v>
      </c>
      <c r="M32" s="753">
        <f>COUNTIFS('Member Data'!$BD$6:$BD$5331,K$23,'Member Data'!$BF$6:$BF$5331,K$24,'Member Data'!$BI$6:$BI$5331,M$24,'Member Data'!$BH$6:$BH$5331,K32,'Member Data'!$BC$6:$BC$5331,M$23)</f>
        <v>0</v>
      </c>
      <c r="N32" s="758" t="str">
        <f>'Group Engine'!N59</f>
        <v>46 - 50</v>
      </c>
      <c r="O32" s="753">
        <f>COUNTIFS('Member Data'!$BD$6:$BD$5331,N$23,'Member Data'!$BF$6:$BF$5331,N$24,'Member Data'!$BI$6:$BI$5331,O$24,'Member Data'!$BH$6:$BH$5331,N32,'Member Data'!$BC$6:$BC$5331,O$23)</f>
        <v>0</v>
      </c>
      <c r="P32" s="753">
        <f>COUNTIFS('Member Data'!$BD$6:$BD$5331,N$23,'Member Data'!$BF$6:$BF$5331,N$24,'Member Data'!$BI$6:$BI$5331,P$24,'Member Data'!$BH$6:$BH$5331,N32,'Member Data'!$BC$6:$BC$5331,P$23)</f>
        <v>0</v>
      </c>
      <c r="Q32" s="758" t="str">
        <f>'Group Engine'!Q59</f>
        <v>46 - 50</v>
      </c>
      <c r="R32" s="753">
        <f>COUNTIFS('Member Data'!$BD$6:$BD$5331,Q$23,'Member Data'!$BF$6:$BF$5331,Q$24,'Member Data'!$BI$6:$BI$5331,R$24,'Member Data'!$BH$6:$BH$5331,Q32,'Member Data'!$BC$6:$BC$5331,R$23)</f>
        <v>0</v>
      </c>
      <c r="S32" s="753">
        <f>COUNTIFS('Member Data'!$BD$6:$BD$5331,Q$23,'Member Data'!$BF$6:$BF$5331,Q$24,'Member Data'!$BI$6:$BI$5331,S$24,'Member Data'!$BH$6:$BH$5331,Q32,'Member Data'!$BC$6:$BC$5331,S$23)</f>
        <v>0</v>
      </c>
      <c r="T32" s="758" t="str">
        <f>'Group Engine'!T59</f>
        <v>46 - 50</v>
      </c>
      <c r="U32" s="753">
        <f>COUNTIFS('Member Data'!$BD$6:$BD$5331,T$23,'Member Data'!$BF$6:$BF$5331,T$24,'Member Data'!$BI$6:$BI$5331,U$24,'Member Data'!$BH$6:$BH$5331,T32,'Member Data'!$BC$6:$BC$5331,U$23)</f>
        <v>0</v>
      </c>
      <c r="V32" s="753">
        <f>COUNTIFS('Member Data'!$BD$6:$BD$5331,T$23,'Member Data'!$BF$6:$BF$5331,T$24,'Member Data'!$BI$6:$BI$5331,V$24,'Member Data'!$BH$6:$BH$5331,T32,'Member Data'!$BC$6:$BC$5331,V$23)</f>
        <v>0</v>
      </c>
      <c r="W32" s="758" t="str">
        <f>'Group Engine'!W59</f>
        <v>46 - 50</v>
      </c>
      <c r="X32" s="753">
        <f>COUNTIFS('Member Data'!$BD$6:$BD$5331,W$23,'Member Data'!$BF$6:$BF$5331,W$24,'Member Data'!$BI$6:$BI$5331,X$24,'Member Data'!$BH$6:$BH$5331,W32,'Member Data'!$BC$6:$BC$5331,X$23)</f>
        <v>0</v>
      </c>
      <c r="Y32" s="753">
        <f>COUNTIFS('Member Data'!$BD$6:$BD$5331,W$23,'Member Data'!$BF$6:$BF$5331,W$24,'Member Data'!$BI$6:$BI$5331,Y$24,'Member Data'!$BH$6:$BH$5331,W32,'Member Data'!$BC$6:$BC$5331,Y$23)</f>
        <v>0</v>
      </c>
      <c r="Z32" s="688"/>
    </row>
    <row r="33" spans="1:26" x14ac:dyDescent="0.25">
      <c r="B33" s="758" t="str">
        <f>'Group Engine'!B60</f>
        <v>51 - 55</v>
      </c>
      <c r="C33" s="753">
        <f>COUNTIFS('Member Data'!$BD$6:$BD$5331,B$23,'Member Data'!$BF$6:$BF$5331,B$24,'Member Data'!$BI$6:$BI$5331,C$24,'Member Data'!$BH$6:$BH$5331,B33,'Member Data'!$BC$6:$BC$5331,C$23)</f>
        <v>0</v>
      </c>
      <c r="D33" s="753">
        <f>COUNTIFS('Member Data'!$BD$6:$BD$5331,B$23,'Member Data'!$BF$6:$BF$5331,B$24,'Member Data'!$BI$6:$BI$5331,D$24,'Member Data'!$BH$6:$BH$5331,B33,'Member Data'!$BC$6:$BC$5331,D$23)</f>
        <v>0</v>
      </c>
      <c r="E33" s="758" t="str">
        <f>'Group Engine'!E60</f>
        <v>51 - 55</v>
      </c>
      <c r="F33" s="753">
        <f>COUNTIFS('Member Data'!$BD$6:$BD$5331,E$23,'Member Data'!$BF$6:$BF$5331,E$24,'Member Data'!$BI$6:$BI$5331,F$24,'Member Data'!$BH$6:$BH$5331,E33,'Member Data'!$BC$6:$BC$5331,F$23)</f>
        <v>0</v>
      </c>
      <c r="G33" s="753">
        <f>COUNTIFS('Member Data'!$BD$6:$BD$5331,E$23,'Member Data'!$BF$6:$BF$5331,E$24,'Member Data'!$BI$6:$BI$5331,G$24,'Member Data'!$BH$6:$BH$5331,E33,'Member Data'!$BC$6:$BC$5331,G$23)</f>
        <v>0</v>
      </c>
      <c r="H33" s="758" t="str">
        <f>'Group Engine'!H60</f>
        <v>51 - 55</v>
      </c>
      <c r="I33" s="753">
        <f>COUNTIFS('Member Data'!$BD$6:$BD$5331,H$23,'Member Data'!$BF$6:$BF$5331,H$24,'Member Data'!$BI$6:$BI$5331,I$24,'Member Data'!$BH$6:$BH$5331,H33,'Member Data'!$BC$6:$BC$5331,I$23)</f>
        <v>0</v>
      </c>
      <c r="J33" s="753">
        <f>COUNTIFS('Member Data'!$BD$6:$BD$5331,H$23,'Member Data'!$BF$6:$BF$5331,H$24,'Member Data'!$BI$6:$BI$5331,J$24,'Member Data'!$BH$6:$BH$5331,H33,'Member Data'!$BC$6:$BC$5331,J$23)</f>
        <v>0</v>
      </c>
      <c r="K33" s="758" t="str">
        <f>'Group Engine'!K60</f>
        <v>51 - 55</v>
      </c>
      <c r="L33" s="753">
        <f>COUNTIFS('Member Data'!$BD$6:$BD$5331,K$23,'Member Data'!$BF$6:$BF$5331,K$24,'Member Data'!$BI$6:$BI$5331,L$24,'Member Data'!$BH$6:$BH$5331,K33,'Member Data'!$BC$6:$BC$5331,L$23)</f>
        <v>0</v>
      </c>
      <c r="M33" s="753">
        <f>COUNTIFS('Member Data'!$BD$6:$BD$5331,K$23,'Member Data'!$BF$6:$BF$5331,K$24,'Member Data'!$BI$6:$BI$5331,M$24,'Member Data'!$BH$6:$BH$5331,K33,'Member Data'!$BC$6:$BC$5331,M$23)</f>
        <v>0</v>
      </c>
      <c r="N33" s="758" t="str">
        <f>'Group Engine'!N60</f>
        <v>51 - 55</v>
      </c>
      <c r="O33" s="753">
        <f>COUNTIFS('Member Data'!$BD$6:$BD$5331,N$23,'Member Data'!$BF$6:$BF$5331,N$24,'Member Data'!$BI$6:$BI$5331,O$24,'Member Data'!$BH$6:$BH$5331,N33,'Member Data'!$BC$6:$BC$5331,O$23)</f>
        <v>0</v>
      </c>
      <c r="P33" s="753">
        <f>COUNTIFS('Member Data'!$BD$6:$BD$5331,N$23,'Member Data'!$BF$6:$BF$5331,N$24,'Member Data'!$BI$6:$BI$5331,P$24,'Member Data'!$BH$6:$BH$5331,N33,'Member Data'!$BC$6:$BC$5331,P$23)</f>
        <v>0</v>
      </c>
      <c r="Q33" s="758" t="str">
        <f>'Group Engine'!Q60</f>
        <v>51 - 55</v>
      </c>
      <c r="R33" s="753">
        <f>COUNTIFS('Member Data'!$BD$6:$BD$5331,Q$23,'Member Data'!$BF$6:$BF$5331,Q$24,'Member Data'!$BI$6:$BI$5331,R$24,'Member Data'!$BH$6:$BH$5331,Q33,'Member Data'!$BC$6:$BC$5331,R$23)</f>
        <v>0</v>
      </c>
      <c r="S33" s="753">
        <f>COUNTIFS('Member Data'!$BD$6:$BD$5331,Q$23,'Member Data'!$BF$6:$BF$5331,Q$24,'Member Data'!$BI$6:$BI$5331,S$24,'Member Data'!$BH$6:$BH$5331,Q33,'Member Data'!$BC$6:$BC$5331,S$23)</f>
        <v>0</v>
      </c>
      <c r="T33" s="758" t="str">
        <f>'Group Engine'!T60</f>
        <v>51 - 55</v>
      </c>
      <c r="U33" s="753">
        <f>COUNTIFS('Member Data'!$BD$6:$BD$5331,T$23,'Member Data'!$BF$6:$BF$5331,T$24,'Member Data'!$BI$6:$BI$5331,U$24,'Member Data'!$BH$6:$BH$5331,T33,'Member Data'!$BC$6:$BC$5331,U$23)</f>
        <v>0</v>
      </c>
      <c r="V33" s="753">
        <f>COUNTIFS('Member Data'!$BD$6:$BD$5331,T$23,'Member Data'!$BF$6:$BF$5331,T$24,'Member Data'!$BI$6:$BI$5331,V$24,'Member Data'!$BH$6:$BH$5331,T33,'Member Data'!$BC$6:$BC$5331,V$23)</f>
        <v>0</v>
      </c>
      <c r="W33" s="758" t="str">
        <f>'Group Engine'!W60</f>
        <v>51 - 55</v>
      </c>
      <c r="X33" s="753">
        <f>COUNTIFS('Member Data'!$BD$6:$BD$5331,W$23,'Member Data'!$BF$6:$BF$5331,W$24,'Member Data'!$BI$6:$BI$5331,X$24,'Member Data'!$BH$6:$BH$5331,W33,'Member Data'!$BC$6:$BC$5331,X$23)</f>
        <v>0</v>
      </c>
      <c r="Y33" s="753">
        <f>COUNTIFS('Member Data'!$BD$6:$BD$5331,W$23,'Member Data'!$BF$6:$BF$5331,W$24,'Member Data'!$BI$6:$BI$5331,Y$24,'Member Data'!$BH$6:$BH$5331,W33,'Member Data'!$BC$6:$BC$5331,Y$23)</f>
        <v>0</v>
      </c>
      <c r="Z33" s="688"/>
    </row>
    <row r="34" spans="1:26" x14ac:dyDescent="0.25">
      <c r="B34" s="758" t="str">
        <f>'Group Engine'!B61</f>
        <v>56 - 59</v>
      </c>
      <c r="C34" s="753">
        <f>COUNTIFS('Member Data'!$BD$6:$BD$5331,B$23,'Member Data'!$BF$6:$BF$5331,B$24,'Member Data'!$BI$6:$BI$5331,C$24,'Member Data'!$BH$6:$BH$5331,B34,'Member Data'!$BC$6:$BC$5331,C$23)</f>
        <v>0</v>
      </c>
      <c r="D34" s="753">
        <f>COUNTIFS('Member Data'!$BD$6:$BD$5331,B$23,'Member Data'!$BF$6:$BF$5331,B$24,'Member Data'!$BI$6:$BI$5331,D$24,'Member Data'!$BH$6:$BH$5331,B34,'Member Data'!$BC$6:$BC$5331,D$23)</f>
        <v>0</v>
      </c>
      <c r="E34" s="758" t="str">
        <f>'Group Engine'!E61</f>
        <v>56 - 59</v>
      </c>
      <c r="F34" s="753">
        <f>COUNTIFS('Member Data'!$BD$6:$BD$5331,E$23,'Member Data'!$BF$6:$BF$5331,E$24,'Member Data'!$BI$6:$BI$5331,F$24,'Member Data'!$BH$6:$BH$5331,E34,'Member Data'!$BC$6:$BC$5331,F$23)</f>
        <v>0</v>
      </c>
      <c r="G34" s="753">
        <f>COUNTIFS('Member Data'!$BD$6:$BD$5331,E$23,'Member Data'!$BF$6:$BF$5331,E$24,'Member Data'!$BI$6:$BI$5331,G$24,'Member Data'!$BH$6:$BH$5331,E34,'Member Data'!$BC$6:$BC$5331,G$23)</f>
        <v>0</v>
      </c>
      <c r="H34" s="758" t="str">
        <f>'Group Engine'!H61</f>
        <v>56 - 59</v>
      </c>
      <c r="I34" s="753">
        <f>COUNTIFS('Member Data'!$BD$6:$BD$5331,H$23,'Member Data'!$BF$6:$BF$5331,H$24,'Member Data'!$BI$6:$BI$5331,I$24,'Member Data'!$BH$6:$BH$5331,H34,'Member Data'!$BC$6:$BC$5331,I$23)</f>
        <v>0</v>
      </c>
      <c r="J34" s="753">
        <f>COUNTIFS('Member Data'!$BD$6:$BD$5331,H$23,'Member Data'!$BF$6:$BF$5331,H$24,'Member Data'!$BI$6:$BI$5331,J$24,'Member Data'!$BH$6:$BH$5331,H34,'Member Data'!$BC$6:$BC$5331,J$23)</f>
        <v>0</v>
      </c>
      <c r="K34" s="758" t="str">
        <f>'Group Engine'!K61</f>
        <v>56 - 59</v>
      </c>
      <c r="L34" s="753">
        <f>COUNTIFS('Member Data'!$BD$6:$BD$5331,K$23,'Member Data'!$BF$6:$BF$5331,K$24,'Member Data'!$BI$6:$BI$5331,L$24,'Member Data'!$BH$6:$BH$5331,K34,'Member Data'!$BC$6:$BC$5331,L$23)</f>
        <v>0</v>
      </c>
      <c r="M34" s="753">
        <f>COUNTIFS('Member Data'!$BD$6:$BD$5331,K$23,'Member Data'!$BF$6:$BF$5331,K$24,'Member Data'!$BI$6:$BI$5331,M$24,'Member Data'!$BH$6:$BH$5331,K34,'Member Data'!$BC$6:$BC$5331,M$23)</f>
        <v>0</v>
      </c>
      <c r="N34" s="758" t="str">
        <f>'Group Engine'!N61</f>
        <v>56 - 59</v>
      </c>
      <c r="O34" s="753">
        <f>COUNTIFS('Member Data'!$BD$6:$BD$5331,N$23,'Member Data'!$BF$6:$BF$5331,N$24,'Member Data'!$BI$6:$BI$5331,O$24,'Member Data'!$BH$6:$BH$5331,N34,'Member Data'!$BC$6:$BC$5331,O$23)</f>
        <v>0</v>
      </c>
      <c r="P34" s="753">
        <f>COUNTIFS('Member Data'!$BD$6:$BD$5331,N$23,'Member Data'!$BF$6:$BF$5331,N$24,'Member Data'!$BI$6:$BI$5331,P$24,'Member Data'!$BH$6:$BH$5331,N34,'Member Data'!$BC$6:$BC$5331,P$23)</f>
        <v>0</v>
      </c>
      <c r="Q34" s="758" t="str">
        <f>'Group Engine'!Q61</f>
        <v>56 - 59</v>
      </c>
      <c r="R34" s="753">
        <f>COUNTIFS('Member Data'!$BD$6:$BD$5331,Q$23,'Member Data'!$BF$6:$BF$5331,Q$24,'Member Data'!$BI$6:$BI$5331,R$24,'Member Data'!$BH$6:$BH$5331,Q34,'Member Data'!$BC$6:$BC$5331,R$23)</f>
        <v>0</v>
      </c>
      <c r="S34" s="753">
        <f>COUNTIFS('Member Data'!$BD$6:$BD$5331,Q$23,'Member Data'!$BF$6:$BF$5331,Q$24,'Member Data'!$BI$6:$BI$5331,S$24,'Member Data'!$BH$6:$BH$5331,Q34,'Member Data'!$BC$6:$BC$5331,S$23)</f>
        <v>0</v>
      </c>
      <c r="T34" s="758" t="str">
        <f>'Group Engine'!T61</f>
        <v>56 - 59</v>
      </c>
      <c r="U34" s="753">
        <f>COUNTIFS('Member Data'!$BD$6:$BD$5331,T$23,'Member Data'!$BF$6:$BF$5331,T$24,'Member Data'!$BI$6:$BI$5331,U$24,'Member Data'!$BH$6:$BH$5331,T34,'Member Data'!$BC$6:$BC$5331,U$23)</f>
        <v>0</v>
      </c>
      <c r="V34" s="753">
        <f>COUNTIFS('Member Data'!$BD$6:$BD$5331,T$23,'Member Data'!$BF$6:$BF$5331,T$24,'Member Data'!$BI$6:$BI$5331,V$24,'Member Data'!$BH$6:$BH$5331,T34,'Member Data'!$BC$6:$BC$5331,V$23)</f>
        <v>0</v>
      </c>
      <c r="W34" s="758" t="str">
        <f>'Group Engine'!W61</f>
        <v>56 - 59</v>
      </c>
      <c r="X34" s="753">
        <f>COUNTIFS('Member Data'!$BD$6:$BD$5331,W$23,'Member Data'!$BF$6:$BF$5331,W$24,'Member Data'!$BI$6:$BI$5331,X$24,'Member Data'!$BH$6:$BH$5331,W34,'Member Data'!$BC$6:$BC$5331,X$23)</f>
        <v>0</v>
      </c>
      <c r="Y34" s="753">
        <f>COUNTIFS('Member Data'!$BD$6:$BD$5331,W$23,'Member Data'!$BF$6:$BF$5331,W$24,'Member Data'!$BI$6:$BI$5331,Y$24,'Member Data'!$BH$6:$BH$5331,W34,'Member Data'!$BC$6:$BC$5331,Y$23)</f>
        <v>0</v>
      </c>
      <c r="Z34" s="688"/>
    </row>
    <row r="35" spans="1:26" x14ac:dyDescent="0.25">
      <c r="B35" s="758" t="str">
        <f>'Group Engine'!B62</f>
        <v>60 - 64</v>
      </c>
      <c r="C35" s="753">
        <f>COUNTIFS('Member Data'!$BD$6:$BD$5331,B$23,'Member Data'!$BF$6:$BF$5331,B$24,'Member Data'!$BI$6:$BI$5331,C$24,'Member Data'!$BH$6:$BH$5331,B35,'Member Data'!$BC$6:$BC$5331,C$23)</f>
        <v>0</v>
      </c>
      <c r="D35" s="753">
        <f>COUNTIFS('Member Data'!$BD$6:$BD$5331,B$23,'Member Data'!$BF$6:$BF$5331,B$24,'Member Data'!$BI$6:$BI$5331,D$24,'Member Data'!$BH$6:$BH$5331,B35,'Member Data'!$BC$6:$BC$5331,D$23)</f>
        <v>0</v>
      </c>
      <c r="E35" s="758" t="str">
        <f>'Group Engine'!E62</f>
        <v>60 - 64</v>
      </c>
      <c r="F35" s="753">
        <f>COUNTIFS('Member Data'!$BD$6:$BD$5331,E$23,'Member Data'!$BF$6:$BF$5331,E$24,'Member Data'!$BI$6:$BI$5331,F$24,'Member Data'!$BH$6:$BH$5331,E35,'Member Data'!$BC$6:$BC$5331,F$23)</f>
        <v>0</v>
      </c>
      <c r="G35" s="753">
        <f>COUNTIFS('Member Data'!$BD$6:$BD$5331,E$23,'Member Data'!$BF$6:$BF$5331,E$24,'Member Data'!$BI$6:$BI$5331,G$24,'Member Data'!$BH$6:$BH$5331,E35,'Member Data'!$BC$6:$BC$5331,G$23)</f>
        <v>0</v>
      </c>
      <c r="H35" s="758" t="str">
        <f>'Group Engine'!H62</f>
        <v>60 - 64</v>
      </c>
      <c r="I35" s="753">
        <f>COUNTIFS('Member Data'!$BD$6:$BD$5331,H$23,'Member Data'!$BF$6:$BF$5331,H$24,'Member Data'!$BI$6:$BI$5331,I$24,'Member Data'!$BH$6:$BH$5331,H35,'Member Data'!$BC$6:$BC$5331,I$23)</f>
        <v>0</v>
      </c>
      <c r="J35" s="753">
        <f>COUNTIFS('Member Data'!$BD$6:$BD$5331,H$23,'Member Data'!$BF$6:$BF$5331,H$24,'Member Data'!$BI$6:$BI$5331,J$24,'Member Data'!$BH$6:$BH$5331,H35,'Member Data'!$BC$6:$BC$5331,J$23)</f>
        <v>0</v>
      </c>
      <c r="K35" s="758" t="str">
        <f>'Group Engine'!K62</f>
        <v>60 - 64</v>
      </c>
      <c r="L35" s="753">
        <f>COUNTIFS('Member Data'!$BD$6:$BD$5331,K$23,'Member Data'!$BF$6:$BF$5331,K$24,'Member Data'!$BI$6:$BI$5331,L$24,'Member Data'!$BH$6:$BH$5331,K35,'Member Data'!$BC$6:$BC$5331,L$23)</f>
        <v>0</v>
      </c>
      <c r="M35" s="753">
        <f>COUNTIFS('Member Data'!$BD$6:$BD$5331,K$23,'Member Data'!$BF$6:$BF$5331,K$24,'Member Data'!$BI$6:$BI$5331,M$24,'Member Data'!$BH$6:$BH$5331,K35,'Member Data'!$BC$6:$BC$5331,M$23)</f>
        <v>0</v>
      </c>
      <c r="N35" s="758" t="str">
        <f>'Group Engine'!N62</f>
        <v>60 - 64</v>
      </c>
      <c r="O35" s="753">
        <f>COUNTIFS('Member Data'!$BD$6:$BD$5331,N$23,'Member Data'!$BF$6:$BF$5331,N$24,'Member Data'!$BI$6:$BI$5331,O$24,'Member Data'!$BH$6:$BH$5331,N35,'Member Data'!$BC$6:$BC$5331,O$23)</f>
        <v>0</v>
      </c>
      <c r="P35" s="753">
        <f>COUNTIFS('Member Data'!$BD$6:$BD$5331,N$23,'Member Data'!$BF$6:$BF$5331,N$24,'Member Data'!$BI$6:$BI$5331,P$24,'Member Data'!$BH$6:$BH$5331,N35,'Member Data'!$BC$6:$BC$5331,P$23)</f>
        <v>0</v>
      </c>
      <c r="Q35" s="758" t="str">
        <f>'Group Engine'!Q62</f>
        <v>60 - 64</v>
      </c>
      <c r="R35" s="753">
        <f>COUNTIFS('Member Data'!$BD$6:$BD$5331,Q$23,'Member Data'!$BF$6:$BF$5331,Q$24,'Member Data'!$BI$6:$BI$5331,R$24,'Member Data'!$BH$6:$BH$5331,Q35,'Member Data'!$BC$6:$BC$5331,R$23)</f>
        <v>0</v>
      </c>
      <c r="S35" s="753">
        <f>COUNTIFS('Member Data'!$BD$6:$BD$5331,Q$23,'Member Data'!$BF$6:$BF$5331,Q$24,'Member Data'!$BI$6:$BI$5331,S$24,'Member Data'!$BH$6:$BH$5331,Q35,'Member Data'!$BC$6:$BC$5331,S$23)</f>
        <v>0</v>
      </c>
      <c r="T35" s="758" t="str">
        <f>'Group Engine'!T62</f>
        <v>60 - 64</v>
      </c>
      <c r="U35" s="753">
        <f>COUNTIFS('Member Data'!$BD$6:$BD$5331,T$23,'Member Data'!$BF$6:$BF$5331,T$24,'Member Data'!$BI$6:$BI$5331,U$24,'Member Data'!$BH$6:$BH$5331,T35,'Member Data'!$BC$6:$BC$5331,U$23)</f>
        <v>0</v>
      </c>
      <c r="V35" s="753">
        <f>COUNTIFS('Member Data'!$BD$6:$BD$5331,T$23,'Member Data'!$BF$6:$BF$5331,T$24,'Member Data'!$BI$6:$BI$5331,V$24,'Member Data'!$BH$6:$BH$5331,T35,'Member Data'!$BC$6:$BC$5331,V$23)</f>
        <v>0</v>
      </c>
      <c r="W35" s="758" t="str">
        <f>'Group Engine'!W62</f>
        <v>60 - 64</v>
      </c>
      <c r="X35" s="753">
        <f>COUNTIFS('Member Data'!$BD$6:$BD$5331,W$23,'Member Data'!$BF$6:$BF$5331,W$24,'Member Data'!$BI$6:$BI$5331,X$24,'Member Data'!$BH$6:$BH$5331,W35,'Member Data'!$BC$6:$BC$5331,X$23)</f>
        <v>0</v>
      </c>
      <c r="Y35" s="753">
        <f>COUNTIFS('Member Data'!$BD$6:$BD$5331,W$23,'Member Data'!$BF$6:$BF$5331,W$24,'Member Data'!$BI$6:$BI$5331,Y$24,'Member Data'!$BH$6:$BH$5331,W35,'Member Data'!$BC$6:$BC$5331,Y$23)</f>
        <v>0</v>
      </c>
      <c r="Z35" s="688"/>
    </row>
    <row r="36" spans="1:26" x14ac:dyDescent="0.25">
      <c r="B36" s="758" t="str">
        <f>'Group Engine'!B63</f>
        <v>65 - 99</v>
      </c>
      <c r="C36" s="753">
        <f>COUNTIFS('Member Data'!$BD$6:$BD$5331,B$23,'Member Data'!$BF$6:$BF$5331,B$24,'Member Data'!$BI$6:$BI$5331,C$24,'Member Data'!$BH$6:$BH$5331,B36,'Member Data'!$BC$6:$BC$5331,C$23)</f>
        <v>0</v>
      </c>
      <c r="D36" s="753">
        <f>COUNTIFS('Member Data'!$BD$6:$BD$5331,B$23,'Member Data'!$BF$6:$BF$5331,B$24,'Member Data'!$BI$6:$BI$5331,D$24,'Member Data'!$BH$6:$BH$5331,B36,'Member Data'!$BC$6:$BC$5331,D$23)</f>
        <v>0</v>
      </c>
      <c r="E36" s="758" t="str">
        <f>'Group Engine'!E63</f>
        <v>65 - 99</v>
      </c>
      <c r="F36" s="753">
        <f>COUNTIFS('Member Data'!$BD$6:$BD$5331,E$23,'Member Data'!$BF$6:$BF$5331,E$24,'Member Data'!$BI$6:$BI$5331,F$24,'Member Data'!$BH$6:$BH$5331,E36,'Member Data'!$BC$6:$BC$5331,F$23)</f>
        <v>0</v>
      </c>
      <c r="G36" s="753">
        <f>COUNTIFS('Member Data'!$BD$6:$BD$5331,E$23,'Member Data'!$BF$6:$BF$5331,E$24,'Member Data'!$BI$6:$BI$5331,G$24,'Member Data'!$BH$6:$BH$5331,E36,'Member Data'!$BC$6:$BC$5331,G$23)</f>
        <v>0</v>
      </c>
      <c r="H36" s="758" t="str">
        <f>'Group Engine'!H63</f>
        <v>65 - 99</v>
      </c>
      <c r="I36" s="753">
        <f>COUNTIFS('Member Data'!$BD$6:$BD$5331,H$23,'Member Data'!$BF$6:$BF$5331,H$24,'Member Data'!$BI$6:$BI$5331,I$24,'Member Data'!$BH$6:$BH$5331,H36,'Member Data'!$BC$6:$BC$5331,I$23)</f>
        <v>0</v>
      </c>
      <c r="J36" s="753">
        <f>COUNTIFS('Member Data'!$BD$6:$BD$5331,H$23,'Member Data'!$BF$6:$BF$5331,H$24,'Member Data'!$BI$6:$BI$5331,J$24,'Member Data'!$BH$6:$BH$5331,H36,'Member Data'!$BC$6:$BC$5331,J$23)</f>
        <v>0</v>
      </c>
      <c r="K36" s="758" t="str">
        <f>'Group Engine'!K63</f>
        <v>65 - 99</v>
      </c>
      <c r="L36" s="753">
        <f>COUNTIFS('Member Data'!$BD$6:$BD$5331,K$23,'Member Data'!$BF$6:$BF$5331,K$24,'Member Data'!$BI$6:$BI$5331,L$24,'Member Data'!$BH$6:$BH$5331,K36,'Member Data'!$BC$6:$BC$5331,L$23)</f>
        <v>0</v>
      </c>
      <c r="M36" s="753">
        <f>COUNTIFS('Member Data'!$BD$6:$BD$5331,K$23,'Member Data'!$BF$6:$BF$5331,K$24,'Member Data'!$BI$6:$BI$5331,M$24,'Member Data'!$BH$6:$BH$5331,K36,'Member Data'!$BC$6:$BC$5331,M$23)</f>
        <v>0</v>
      </c>
      <c r="N36" s="758" t="str">
        <f>'Group Engine'!N63</f>
        <v>65 - 99</v>
      </c>
      <c r="O36" s="753">
        <f>COUNTIFS('Member Data'!$BD$6:$BD$5331,N$23,'Member Data'!$BF$6:$BF$5331,N$24,'Member Data'!$BI$6:$BI$5331,O$24,'Member Data'!$BH$6:$BH$5331,N36,'Member Data'!$BC$6:$BC$5331,O$23)</f>
        <v>0</v>
      </c>
      <c r="P36" s="753">
        <f>COUNTIFS('Member Data'!$BD$6:$BD$5331,N$23,'Member Data'!$BF$6:$BF$5331,N$24,'Member Data'!$BI$6:$BI$5331,P$24,'Member Data'!$BH$6:$BH$5331,N36,'Member Data'!$BC$6:$BC$5331,P$23)</f>
        <v>0</v>
      </c>
      <c r="Q36" s="758" t="str">
        <f>'Group Engine'!Q63</f>
        <v>65 - 99</v>
      </c>
      <c r="R36" s="753">
        <f>COUNTIFS('Member Data'!$BD$6:$BD$5331,Q$23,'Member Data'!$BF$6:$BF$5331,Q$24,'Member Data'!$BI$6:$BI$5331,R$24,'Member Data'!$BH$6:$BH$5331,Q36,'Member Data'!$BC$6:$BC$5331,R$23)</f>
        <v>0</v>
      </c>
      <c r="S36" s="753">
        <f>COUNTIFS('Member Data'!$BD$6:$BD$5331,Q$23,'Member Data'!$BF$6:$BF$5331,Q$24,'Member Data'!$BI$6:$BI$5331,S$24,'Member Data'!$BH$6:$BH$5331,Q36,'Member Data'!$BC$6:$BC$5331,S$23)</f>
        <v>0</v>
      </c>
      <c r="T36" s="758" t="str">
        <f>'Group Engine'!T63</f>
        <v>65 - 99</v>
      </c>
      <c r="U36" s="753">
        <f>COUNTIFS('Member Data'!$BD$6:$BD$5331,T$23,'Member Data'!$BF$6:$BF$5331,T$24,'Member Data'!$BI$6:$BI$5331,U$24,'Member Data'!$BH$6:$BH$5331,T36,'Member Data'!$BC$6:$BC$5331,U$23)</f>
        <v>0</v>
      </c>
      <c r="V36" s="753">
        <f>COUNTIFS('Member Data'!$BD$6:$BD$5331,T$23,'Member Data'!$BF$6:$BF$5331,T$24,'Member Data'!$BI$6:$BI$5331,V$24,'Member Data'!$BH$6:$BH$5331,T36,'Member Data'!$BC$6:$BC$5331,V$23)</f>
        <v>0</v>
      </c>
      <c r="W36" s="758" t="str">
        <f>'Group Engine'!W63</f>
        <v>65 - 99</v>
      </c>
      <c r="X36" s="753">
        <f>COUNTIFS('Member Data'!$BD$6:$BD$5331,W$23,'Member Data'!$BF$6:$BF$5331,W$24,'Member Data'!$BI$6:$BI$5331,X$24,'Member Data'!$BH$6:$BH$5331,W36,'Member Data'!$BC$6:$BC$5331,X$23)</f>
        <v>0</v>
      </c>
      <c r="Y36" s="753">
        <f>COUNTIFS('Member Data'!$BD$6:$BD$5331,W$23,'Member Data'!$BF$6:$BF$5331,W$24,'Member Data'!$BI$6:$BI$5331,Y$24,'Member Data'!$BH$6:$BH$5331,W36,'Member Data'!$BC$6:$BC$5331,Y$23)</f>
        <v>0</v>
      </c>
      <c r="Z36" s="688"/>
    </row>
    <row r="37" spans="1:26" x14ac:dyDescent="0.25">
      <c r="B37" s="755"/>
      <c r="C37" s="754"/>
      <c r="D37" s="754">
        <f>SUM(C25:D36)</f>
        <v>8</v>
      </c>
      <c r="E37" s="754"/>
      <c r="F37" s="754"/>
      <c r="G37" s="754">
        <f>SUM(F25:G36)</f>
        <v>0</v>
      </c>
      <c r="H37" s="754"/>
      <c r="I37" s="754"/>
      <c r="J37" s="754">
        <f>SUM(I25:J36)</f>
        <v>0</v>
      </c>
      <c r="K37" s="754"/>
      <c r="L37" s="754"/>
      <c r="M37" s="754">
        <f>SUM(L25:M36)</f>
        <v>0</v>
      </c>
      <c r="N37" s="754"/>
      <c r="O37" s="754"/>
      <c r="P37" s="754">
        <f>SUM(O25:P36)</f>
        <v>0</v>
      </c>
      <c r="Q37" s="754"/>
      <c r="R37" s="754"/>
      <c r="S37" s="754">
        <f>SUM(R25:S36)</f>
        <v>0</v>
      </c>
      <c r="T37" s="754"/>
      <c r="U37" s="754"/>
      <c r="V37" s="754">
        <f>SUM(U25:V36)</f>
        <v>0</v>
      </c>
      <c r="W37" s="754"/>
      <c r="X37" s="754"/>
      <c r="Y37" s="754">
        <f>SUM(X25:Y36)</f>
        <v>0</v>
      </c>
      <c r="Z37" s="756"/>
    </row>
    <row r="38" spans="1:26" ht="15.75" thickBot="1" x14ac:dyDescent="0.3">
      <c r="B38" s="695"/>
      <c r="C38" s="570"/>
      <c r="D38" s="570"/>
      <c r="E38" s="570"/>
      <c r="F38" s="570"/>
      <c r="G38" s="570"/>
      <c r="H38" s="570"/>
      <c r="I38" s="570"/>
      <c r="J38" s="570"/>
      <c r="K38" s="570"/>
      <c r="L38" s="570"/>
      <c r="M38" s="570"/>
      <c r="N38" s="570"/>
      <c r="O38" s="570"/>
      <c r="P38" s="696"/>
      <c r="Q38" s="570"/>
      <c r="R38" s="570"/>
      <c r="S38" s="570"/>
      <c r="T38" s="570"/>
      <c r="U38" s="570"/>
      <c r="V38" s="570"/>
      <c r="W38" s="570"/>
      <c r="X38" s="570"/>
      <c r="Y38" s="570"/>
      <c r="Z38" s="697"/>
    </row>
    <row r="39" spans="1:26" x14ac:dyDescent="0.25">
      <c r="A39" s="923"/>
    </row>
    <row r="40" spans="1:26" ht="15.75" thickBot="1" x14ac:dyDescent="0.3"/>
    <row r="41" spans="1:26" x14ac:dyDescent="0.25">
      <c r="B41" s="789" t="s">
        <v>335</v>
      </c>
      <c r="C41" s="569"/>
      <c r="D41" s="569"/>
      <c r="E41" s="569"/>
      <c r="F41" s="569"/>
      <c r="G41" s="569"/>
      <c r="H41" s="569"/>
      <c r="I41" s="569"/>
      <c r="J41" s="569"/>
      <c r="K41" s="569"/>
      <c r="L41" s="569"/>
      <c r="M41" s="569"/>
      <c r="N41" s="569"/>
      <c r="O41" s="569"/>
      <c r="P41" s="685"/>
      <c r="Q41" s="569"/>
      <c r="R41" s="569"/>
      <c r="S41" s="569"/>
      <c r="T41" s="569"/>
      <c r="U41" s="569"/>
      <c r="V41" s="569"/>
      <c r="W41" s="569"/>
      <c r="X41" s="569"/>
      <c r="Y41" s="569"/>
      <c r="Z41" s="686"/>
    </row>
    <row r="42" spans="1:26" ht="15.75" x14ac:dyDescent="0.25">
      <c r="B42" s="687"/>
      <c r="C42" s="693" t="str">
        <f>VLOOKUP(C43,'General Basis'!$J$39:$K$46,2,0)</f>
        <v>RN3</v>
      </c>
      <c r="D42" s="693" t="str">
        <f>VLOOKUP(D43,'General Basis'!$J$39:$K$46,2,0)</f>
        <v>RN3</v>
      </c>
      <c r="F42" s="693" t="e">
        <f>VLOOKUP(F43,'General Basis'!$J$39:$K$46,2,0)</f>
        <v>#N/A</v>
      </c>
      <c r="G42" s="693" t="e">
        <f>VLOOKUP(G43,'General Basis'!$J$39:$K$46,2,0)</f>
        <v>#N/A</v>
      </c>
      <c r="I42" s="693" t="e">
        <f>VLOOKUP(I43,'General Basis'!$J$39:$K$46,2,0)</f>
        <v>#N/A</v>
      </c>
      <c r="J42" s="693" t="e">
        <f>VLOOKUP(J43,'General Basis'!$J$39:$K$46,2,0)</f>
        <v>#N/A</v>
      </c>
      <c r="L42" s="693" t="e">
        <f>VLOOKUP(L43,'General Basis'!$J$39:$K$46,2,0)</f>
        <v>#N/A</v>
      </c>
      <c r="M42" s="693" t="e">
        <f>VLOOKUP(M43,'General Basis'!$J$39:$K$46,2,0)</f>
        <v>#N/A</v>
      </c>
      <c r="O42" s="693" t="e">
        <f>VLOOKUP(O43,'General Basis'!$J$39:$K$46,2,0)</f>
        <v>#N/A</v>
      </c>
      <c r="P42" s="693" t="e">
        <f>VLOOKUP(P43,'General Basis'!$J$39:$K$46,2,0)</f>
        <v>#N/A</v>
      </c>
      <c r="R42" s="693" t="e">
        <f>VLOOKUP(R43,'General Basis'!$J$39:$K$46,2,0)</f>
        <v>#N/A</v>
      </c>
      <c r="S42" s="693" t="e">
        <f>VLOOKUP(S43,'General Basis'!$J$39:$K$46,2,0)</f>
        <v>#N/A</v>
      </c>
      <c r="U42" s="693" t="e">
        <f>VLOOKUP(U43,'General Basis'!$J$39:$K$46,2,0)</f>
        <v>#N/A</v>
      </c>
      <c r="V42" s="693" t="e">
        <f>VLOOKUP(V43,'General Basis'!$J$39:$K$46,2,0)</f>
        <v>#N/A</v>
      </c>
      <c r="X42" s="693" t="e">
        <f>VLOOKUP(X43,'General Basis'!$J$39:$K$46,2,0)</f>
        <v>#N/A</v>
      </c>
      <c r="Y42" s="693" t="e">
        <f>VLOOKUP(Y43,'General Basis'!$J$39:$K$46,2,0)</f>
        <v>#N/A</v>
      </c>
      <c r="Z42" s="688"/>
    </row>
    <row r="43" spans="1:26" ht="15.75" x14ac:dyDescent="0.25">
      <c r="B43" s="788" t="s">
        <v>957</v>
      </c>
      <c r="C43" s="693" t="s">
        <v>271</v>
      </c>
      <c r="D43" s="693" t="str">
        <f>C43</f>
        <v>A</v>
      </c>
      <c r="E43" s="788" t="str">
        <f>B43</f>
        <v>Employee</v>
      </c>
      <c r="F43" s="693" t="s">
        <v>272</v>
      </c>
      <c r="G43" s="693" t="str">
        <f>F43</f>
        <v>B</v>
      </c>
      <c r="H43" s="788" t="str">
        <f>E43</f>
        <v>Employee</v>
      </c>
      <c r="I43" s="693" t="s">
        <v>273</v>
      </c>
      <c r="J43" s="693" t="str">
        <f>I43</f>
        <v>C</v>
      </c>
      <c r="K43" s="788" t="str">
        <f>H43</f>
        <v>Employee</v>
      </c>
      <c r="L43" s="693" t="s">
        <v>274</v>
      </c>
      <c r="M43" s="693" t="str">
        <f>L43</f>
        <v>D</v>
      </c>
      <c r="N43" s="788" t="str">
        <f>K43</f>
        <v>Employee</v>
      </c>
      <c r="O43" s="693" t="s">
        <v>365</v>
      </c>
      <c r="P43" s="693" t="str">
        <f>O43</f>
        <v>E</v>
      </c>
      <c r="Q43" s="788" t="str">
        <f>N43</f>
        <v>Employee</v>
      </c>
      <c r="R43" s="693" t="s">
        <v>62</v>
      </c>
      <c r="S43" s="693" t="str">
        <f>R43</f>
        <v>F</v>
      </c>
      <c r="T43" s="788" t="str">
        <f>Q43</f>
        <v>Employee</v>
      </c>
      <c r="U43" s="693" t="s">
        <v>366</v>
      </c>
      <c r="V43" s="693" t="str">
        <f>U43</f>
        <v>G</v>
      </c>
      <c r="W43" s="788" t="str">
        <f>T43</f>
        <v>Employee</v>
      </c>
      <c r="X43" s="693" t="s">
        <v>367</v>
      </c>
      <c r="Y43" s="693" t="str">
        <f>X43</f>
        <v>H</v>
      </c>
      <c r="Z43" s="752"/>
    </row>
    <row r="44" spans="1:26" ht="15.75" x14ac:dyDescent="0.25">
      <c r="B44" s="757" t="str">
        <f>B5</f>
        <v>Dubai</v>
      </c>
      <c r="C44" s="689" t="s">
        <v>65</v>
      </c>
      <c r="D44" s="694" t="s">
        <v>66</v>
      </c>
      <c r="E44" s="757" t="str">
        <f>E5</f>
        <v>Dubai</v>
      </c>
      <c r="F44" s="689" t="s">
        <v>65</v>
      </c>
      <c r="G44" s="694" t="s">
        <v>66</v>
      </c>
      <c r="H44" s="757" t="str">
        <f>H5</f>
        <v>Dubai</v>
      </c>
      <c r="I44" s="689" t="s">
        <v>65</v>
      </c>
      <c r="J44" s="694" t="s">
        <v>66</v>
      </c>
      <c r="K44" s="757" t="str">
        <f>K5</f>
        <v>Dubai</v>
      </c>
      <c r="L44" s="689" t="s">
        <v>65</v>
      </c>
      <c r="M44" s="694" t="s">
        <v>66</v>
      </c>
      <c r="N44" s="757" t="str">
        <f>N5</f>
        <v>Dubai</v>
      </c>
      <c r="O44" s="689" t="s">
        <v>65</v>
      </c>
      <c r="P44" s="694" t="s">
        <v>66</v>
      </c>
      <c r="Q44" s="757" t="str">
        <f>Q5</f>
        <v>Dubai</v>
      </c>
      <c r="R44" s="689" t="s">
        <v>65</v>
      </c>
      <c r="S44" s="694" t="s">
        <v>66</v>
      </c>
      <c r="T44" s="757" t="str">
        <f>T5</f>
        <v>Dubai</v>
      </c>
      <c r="U44" s="689" t="s">
        <v>65</v>
      </c>
      <c r="V44" s="694" t="s">
        <v>66</v>
      </c>
      <c r="W44" s="757" t="str">
        <f>W5</f>
        <v>Dubai</v>
      </c>
      <c r="X44" s="689" t="s">
        <v>65</v>
      </c>
      <c r="Y44" s="694" t="s">
        <v>66</v>
      </c>
      <c r="Z44" s="688"/>
    </row>
    <row r="45" spans="1:26" x14ac:dyDescent="0.25">
      <c r="B45" s="758" t="str">
        <f t="shared" ref="B45:B56" si="0">B6</f>
        <v>0 - 10</v>
      </c>
      <c r="C45" s="958">
        <f t="shared" ref="C45:C56" si="1">IFERROR(IF(AND(B$43="Employee",B$44="Abu Dhabi",C$44="Male",C$42=GN_Plus),VLOOKUP(B45,AUH_MALE_EMP,2,0),IF(AND(B$43="Employee",B$44="Abu Dhabi",C$44="Male",C$42=GN),VLOOKUP(B45,AUH_MALE_EMP,3,0),IF(AND(B$43="Employee",B$44="Abu Dhabi",C$44="Male",C$42=RN_Plus),VLOOKUP(B45,AUH_MALE_EMP,4,0),IF(AND(B$43="Employee",B$44="Abu Dhabi",C$44="Male",C$42=RN),VLOOKUP(B45,AUH_MALE_EMP,5,0),IF(AND(B$43="Employee",B$44="Abu Dhabi",C$44="Male",C$42=RN_2),VLOOKUP(B45,AUH_MALE_EMP,6,0),IF(AND(B$43="Employee",B$44="Abu Dhabi",C$44="Male",C$42=RN2_minus),VLOOKUP(B45,AUH_MALE_EMP,7,0),IF(AND(B$43="Employee",B$44="Abu Dhabi",C$44="Male",C$42=RN_3),VLOOKUP(B45,AUH_MALE_EMP,8,0),IF(AND(B$43="Employee",B$44="Abu Dhabi",C$44="Male",C$42=VN),VLOOKUP(B45,AUH_MALE_EMP,9,0),IF(AND(B$43="Employee",B$44="Abu Dhabi",C$44="Female",C$42=GN_Plus),VLOOKUP(B45,AUH_FEMALE_EMP,2,0),IF(AND(B$43="Employee",B$44="Abu Dhabi",C$44="Female",C$42=GN),VLOOKUP(B45,AUH_FEMALE_EMP,3,0),IF(AND(B$43="Employee",B$44="Abu Dhabi",C$44="Female",C$42=RN_Plus),VLOOKUP(B45,AUH_FEMALE_EMP,4,0),IF(AND(B$43="Employee",B$44="Abu Dhabi",C$44="Female",C$42=RN),VLOOKUP(B45,AUH_FEMALE_EMP,5,0),IF(AND(B$43="Employee",B$44="Abu Dhabi",C$44="Female",C$42=RN_2),VLOOKUP(B45,AUH_FEMALE_EMP,6,0),IF(AND(B$43="Employee",B$44="Abu Dhabi",C$44="Female",C$42=RN2_minus),VLOOKUP(B45,AUH_FEMALE_EMP,7,0),IF(AND(B$43="Employee",B$44="Abu Dhabi",C$44="Female",C$42=RN_3),VLOOKUP(B45,AUH_FEMALE_EMP,8,0),IF(AND(B$43="Employee",B$44="Abu Dhabi",C$44="Female",C$42=VN),VLOOKUP(B45,AUH_FEMALE_EMP,9,0),IF(AND(B$43="Employee",B$44="Dubai",C$44="Male",C$42=GN_Plus),VLOOKUP(B45,DXB_MALE_EMP,2,0),IF(AND(B$43="Employee",B$44="Dubai",C$44="Male",C$42=GN),VLOOKUP(B45,DXB_MALE_EMP,3,0),IF(AND(B$43="Employee",B$44="Dubai",C$44="Male",C$42=RN_Plus),VLOOKUP(B45,DXB_MALE_EMP,4,0),IF(AND(B$43="Employee",B$44="Dubai",C$44="Male",C$42=RN),VLOOKUP(B45,DXB_MALE_EMP,5,0),IF(AND(B$43="Employee",B$44="Dubai",C$44="Male",C$42=RN_2),VLOOKUP(B45,DXB_MALE_EMP,6,0),IF(AND(B$43="Employee",B$44="Dubai",C$44="Male",C$42=RN2_minus),VLOOKUP(B45,DXB_MALE_EMP,7,0),IF(AND(B$43="Employee",B$44="Dubai",C$44="Male",C$42=RN_3),VLOOKUP(B45,DXB_MALE_EMP,8,0),IF(AND(B$43="Employee",B$44="Dubai",C$44="Male",C$42=VN),VLOOKUP(B45,DXB_MALE_EMP,9,0),IF(AND(B$43="Employee",B$44="Dubai",C$44="Female",C$42=GN_Plus),VLOOKUP(B45,DXB_FEMALE_EMP,2,0),IF(AND(B$43="Employee",B$44="Dubai",C$44="Female",C$42=GN),VLOOKUP(B45,DXB_FEMALE_EMP,3,0),IF(AND(B$43="Employee",B$44="Dubai",C$44="Female",C$42=RN_Plus),VLOOKUP(B45,DXB_FEMALE_EMP,4,0),IF(AND(B$43="Employee",B$44="Dubai",C$44="Female",C$42=RN),VLOOKUP(B45,DXB_FEMALE_EMP,5,0),IF(AND(B$43="Employee",B$44="Dubai",C$44="Female",C$42=RN_2),VLOOKUP(B45,DXB_FEMALE_EMP,6,0),IF(AND(B$43="Employee",B$44="Dubai",C$44="Female",C$42=RN2_minus),VLOOKUP(B45,DXB_FEMALE_EMP,7,0),IF(AND(B$43="Employee",B$44="Dubai",C$44="Female",C$42=RN_3),VLOOKUP(B45,DXB_FEMALE_EMP,8,0),IF(AND(B$43="Employee",B$44="Dubai",C$44="Female",C$42=VN),VLOOKUP(B45,DXB_FEMALE_EMP,9,0),"Error")))))))))))))))))))))))))))))))),0)</f>
        <v>0</v>
      </c>
      <c r="D45" s="958">
        <f t="shared" ref="D45:D56" si="2">IFERROR(IF(AND(B$43="Employee",B$44="Abu Dhabi",D$44="Male",D$42=GN_Plus),VLOOKUP(B45,AUH_MALE_EMP,2,0),IF(AND(B$43="Employee",B$44="Abu Dhabi",D$44="Male",D$42=GN),VLOOKUP(B45,AUH_MALE_EMP,3,0),IF(AND(B$43="Employee",B$44="Abu Dhabi",D$44="Male",D$42=RN_Plus),VLOOKUP(B45,AUH_MALE_EMP,4,0),IF(AND(B$43="Employee",B$44="Abu Dhabi",D$44="Male",D$42=RN),VLOOKUP(B45,AUH_MALE_EMP,5,0),IF(AND(B$43="Employee",B$44="Abu Dhabi",D$44="Male",D$42=RN_2),VLOOKUP(B45,AUH_MALE_EMP,6,0),IF(AND(B$43="Employee",B$44="Abu Dhabi",D$44="Male",D$42=RN2_minus),VLOOKUP(B45,AUH_MALE_EMP,7,0),IF(AND(B$43="Employee",B$44="Abu Dhabi",D$44="Male",D$42=RN_3),VLOOKUP(B45,AUH_MALE_EMP,8,0),IF(AND(B$43="Employee",B$44="Abu Dhabi",D$44="Male",D$42=VN),VLOOKUP(B45,AUH_MALE_EMP,9,0),IF(AND(B$43="Employee",B$44="Abu Dhabi",D$44="Female",D$42=GN_Plus),VLOOKUP(B45,AUH_FEMALE_EMP,2,0),IF(AND(B$43="Employee",B$44="Abu Dhabi",D$44="Female",D$42=GN),VLOOKUP(B45,AUH_FEMALE_EMP,3,0),IF(AND(B$43="Employee",B$44="Abu Dhabi",D$44="Female",D$42=RN_Plus),VLOOKUP(B45,AUH_FEMALE_EMP,4,0),IF(AND(B$43="Employee",B$44="Abu Dhabi",D$44="Female",D$42=RN),VLOOKUP(B45,AUH_FEMALE_EMP,5,0),IF(AND(B$43="Employee",B$44="Abu Dhabi",D$44="Female",D$42=RN_2),VLOOKUP(B45,AUH_FEMALE_EMP,6,0),IF(AND(B$43="Employee",B$44="Abu Dhabi",D$44="Female",D$42=RN2_minus),VLOOKUP(B45,AUH_FEMALE_EMP,7,0),IF(AND(B$43="Employee",B$44="Abu Dhabi",D$44="Female",D$42=RN_3),VLOOKUP(B45,AUH_FEMALE_EMP,8,0),IF(AND(B$43="Employee",B$44="Abu Dhabi",D$44="Female",D$42=VN),VLOOKUP(B45,AUH_FEMALE_EMP,9,0),IF(AND(B$43="Employee",B$44="Dubai",D$44="Male",D$42=GN_Plus),VLOOKUP(B45,DXB_MALE_EMP,2,0),IF(AND(B$43="Employee",B$44="Dubai",D$44="Male",D$42=GN),VLOOKUP(B45,DXB_MALE_EMP,3,0),IF(AND(B$43="Employee",B$44="Dubai",D$44="Male",D$42=RN_Plus),VLOOKUP(B45,DXB_MALE_EMP,4,0),IF(AND(B$43="Employee",B$44="Dubai",D$44="Male",D$42=RN),VLOOKUP(B45,DXB_MALE_EMP,5,0),IF(AND(B$43="Employee",B$44="Dubai",D$44="Male",D$42=RN_2),VLOOKUP(B45,DXB_MALE_EMP,6,0),IF(AND(B$43="Employee",B$44="Dubai",D$44="Male",D$42=RN2_minus),VLOOKUP(B45,DXB_MALE_EMP,7,0),IF(AND(B$43="Employee",B$44="Dubai",D$44="Male",D$42=RN_3),VLOOKUP(B45,DXB_MALE_EMP,8,0),IF(AND(B$43="Employee",B$44="Dubai",D$44="Male",D$42=VN),VLOOKUP(B45,DXB_MALE_EMP,9,0),IF(AND(B$43="Employee",B$44="Dubai",D$44="Female",D$42=GN_Plus),VLOOKUP(B45,DXB_FEMALE_EMP,2,0),IF(AND(B$43="Employee",B$44="Dubai",D$44="Female",D$42=GN),VLOOKUP(B45,DXB_FEMALE_EMP,3,0),IF(AND(B$43="Employee",B$44="Dubai",D$44="Female",D$42=RN_Plus),VLOOKUP(B45,DXB_FEMALE_EMP,4,0),IF(AND(B$43="Employee",B$44="Dubai",D$44="Female",D$42=RN),VLOOKUP(B45,DXB_FEMALE_EMP,5,0),IF(AND(B$43="Employee",B$44="Dubai",D$44="Female",D$42=RN_2),VLOOKUP(B45,DXB_FEMALE_EMP,6,0),IF(AND(B$43="Employee",B$44="Dubai",D$44="Female",D$42=RN2_minus),VLOOKUP(B45,DXB_FEMALE_EMP,7,0),IF(AND(B$43="Employee",B$44="Dubai",D$44="Female",D$42=RN_3),VLOOKUP(B45,DXB_FEMALE_EMP,8,0),IF(AND(B$43="Employee",B$44="Dubai",D$44="Female",D$42=VN),VLOOKUP(B45,DXB_FEMALE_EMP,9,0),"Error")))))))))))))))))))))))))))))))),0)</f>
        <v>0</v>
      </c>
      <c r="E45" s="758" t="str">
        <f t="shared" ref="E45:E56" si="3">E6</f>
        <v>0 - 10</v>
      </c>
      <c r="F45" s="958">
        <f t="shared" ref="F45:F56" si="4">IFERROR(IF(AND(E$43="Employee",E$44="Abu Dhabi",F$44="Male",F$42=GN_Plus),VLOOKUP(E45,AUH_MALE_EMP,2,0),IF(AND(E$43="Employee",E$44="Abu Dhabi",F$44="Male",F$42=GN),VLOOKUP(E45,AUH_MALE_EMP,3,0),IF(AND(E$43="Employee",E$44="Abu Dhabi",F$44="Male",F$42=RN_Plus),VLOOKUP(E45,AUH_MALE_EMP,4,0),IF(AND(E$43="Employee",E$44="Abu Dhabi",F$44="Male",F$42=RN),VLOOKUP(E45,AUH_MALE_EMP,5,0),IF(AND(E$43="Employee",E$44="Abu Dhabi",F$44="Male",F$42=RN_2),VLOOKUP(E45,AUH_MALE_EMP,6,0),IF(AND(E$43="Employee",E$44="Abu Dhabi",F$44="Male",F$42=RN2_minus),VLOOKUP(E45,AUH_MALE_EMP,7,0),IF(AND(E$43="Employee",E$44="Abu Dhabi",F$44="Male",F$42=RN_3),VLOOKUP(E45,AUH_MALE_EMP,8,0),IF(AND(E$43="Employee",E$44="Abu Dhabi",F$44="Male",F$42=VN),VLOOKUP(E45,AUH_MALE_EMP,9,0),IF(AND(E$43="Employee",E$44="Abu Dhabi",F$44="Female",F$42=GN_Plus),VLOOKUP(E45,AUH_FEMALE_EMP,2,0),IF(AND(E$43="Employee",E$44="Abu Dhabi",F$44="Female",F$42=GN),VLOOKUP(E45,AUH_FEMALE_EMP,3,0),IF(AND(E$43="Employee",E$44="Abu Dhabi",F$44="Female",F$42=RN_Plus),VLOOKUP(E45,AUH_FEMALE_EMP,4,0),IF(AND(E$43="Employee",E$44="Abu Dhabi",F$44="Female",F$42=RN),VLOOKUP(E45,AUH_FEMALE_EMP,5,0),IF(AND(E$43="Employee",E$44="Abu Dhabi",F$44="Female",F$42=RN_2),VLOOKUP(E45,AUH_FEMALE_EMP,6,0),IF(AND(E$43="Employee",E$44="Abu Dhabi",F$44="Female",F$42=RN2_minus),VLOOKUP(E45,AUH_FEMALE_EMP,7,0),IF(AND(E$43="Employee",E$44="Abu Dhabi",F$44="Female",F$42=RN_3),VLOOKUP(E45,AUH_FEMALE_EMP,8,0),IF(AND(E$43="Employee",E$44="Abu Dhabi",F$44="Female",F$42=VN),VLOOKUP(E45,AUH_FEMALE_EMP,9,0),IF(AND(E$43="Employee",E$44="Dubai",F$44="Male",F$42=GN_Plus),VLOOKUP(E45,DXB_MALE_EMP,2,0),IF(AND(E$43="Employee",E$44="Dubai",F$44="Male",F$42=GN),VLOOKUP(E45,DXB_MALE_EMP,3,0),IF(AND(E$43="Employee",E$44="Dubai",F$44="Male",F$42=RN_Plus),VLOOKUP(E45,DXB_MALE_EMP,4,0),IF(AND(E$43="Employee",E$44="Dubai",F$44="Male",F$42=RN),VLOOKUP(E45,DXB_MALE_EMP,5,0),IF(AND(E$43="Employee",E$44="Dubai",F$44="Male",F$42=RN_2),VLOOKUP(E45,DXB_MALE_EMP,6,0),IF(AND(E$43="Employee",E$44="Dubai",F$44="Male",F$42=RN2_minus),VLOOKUP(E45,DXB_MALE_EMP,7,0),IF(AND(E$43="Employee",E$44="Dubai",F$44="Male",F$42=RN_3),VLOOKUP(E45,DXB_MALE_EMP,8,0),IF(AND(E$43="Employee",E$44="Dubai",F$44="Male",F$42=VN),VLOOKUP(E45,DXB_MALE_EMP,9,0),IF(AND(E$43="Employee",E$44="Dubai",F$44="Female",F$42=GN_Plus),VLOOKUP(E45,DXB_FEMALE_EMP,2,0),IF(AND(E$43="Employee",E$44="Dubai",F$44="Female",F$42=GN),VLOOKUP(E45,DXB_FEMALE_EMP,3,0),IF(AND(E$43="Employee",E$44="Dubai",F$44="Female",F$42=RN_Plus),VLOOKUP(E45,DXB_FEMALE_EMP,4,0),IF(AND(E$43="Employee",E$44="Dubai",F$44="Female",F$42=RN),VLOOKUP(E45,DXB_FEMALE_EMP,5,0),IF(AND(E$43="Employee",E$44="Dubai",F$44="Female",F$42=RN_2),VLOOKUP(E45,DXB_FEMALE_EMP,6,0),IF(AND(E$43="Employee",E$44="Dubai",F$44="Female",F$42=RN2_minus),VLOOKUP(E45,DXB_FEMALE_EMP,7,0),IF(AND(E$43="Employee",E$44="Dubai",F$44="Female",F$42=RN_3),VLOOKUP(E45,DXB_FEMALE_EMP,8,0),IF(AND(E$43="Employee",E$44="Dubai",F$44="Female",F$42=VN),VLOOKUP(E45,DXB_FEMALE_EMP,9,0),"Error")))))))))))))))))))))))))))))))),0)</f>
        <v>0</v>
      </c>
      <c r="G45" s="958">
        <f t="shared" ref="G45:G56" si="5">IFERROR(IF(AND(E$43="Employee",E$44="Abu Dhabi",G$44="Male",G$42=GN_Plus),VLOOKUP(E45,AUH_MALE_EMP,2,0),IF(AND(E$43="Employee",E$44="Abu Dhabi",G$44="Male",G$42=GN),VLOOKUP(E45,AUH_MALE_EMP,3,0),IF(AND(E$43="Employee",E$44="Abu Dhabi",G$44="Male",G$42=RN_Plus),VLOOKUP(E45,AUH_MALE_EMP,4,0),IF(AND(E$43="Employee",E$44="Abu Dhabi",G$44="Male",G$42=RN),VLOOKUP(E45,AUH_MALE_EMP,5,0),IF(AND(E$43="Employee",E$44="Abu Dhabi",G$44="Male",G$42=RN_2),VLOOKUP(E45,AUH_MALE_EMP,6,0),IF(AND(E$43="Employee",E$44="Abu Dhabi",G$44="Male",G$42=RN2_minus),VLOOKUP(E45,AUH_MALE_EMP,7,0),IF(AND(E$43="Employee",E$44="Abu Dhabi",G$44="Male",G$42=RN_3),VLOOKUP(E45,AUH_MALE_EMP,8,0),IF(AND(E$43="Employee",E$44="Abu Dhabi",G$44="Male",G$42=VN),VLOOKUP(E45,AUH_MALE_EMP,9,0),IF(AND(E$43="Employee",E$44="Abu Dhabi",G$44="Female",G$42=GN_Plus),VLOOKUP(E45,AUH_FEMALE_EMP,2,0),IF(AND(E$43="Employee",E$44="Abu Dhabi",G$44="Female",G$42=GN),VLOOKUP(E45,AUH_FEMALE_EMP,3,0),IF(AND(E$43="Employee",E$44="Abu Dhabi",G$44="Female",G$42=RN_Plus),VLOOKUP(E45,AUH_FEMALE_EMP,4,0),IF(AND(E$43="Employee",E$44="Abu Dhabi",G$44="Female",G$42=RN),VLOOKUP(E45,AUH_FEMALE_EMP,5,0),IF(AND(E$43="Employee",E$44="Abu Dhabi",G$44="Female",G$42=RN_2),VLOOKUP(E45,AUH_FEMALE_EMP,6,0),IF(AND(E$43="Employee",E$44="Abu Dhabi",G$44="Female",G$42=RN2_minus),VLOOKUP(E45,AUH_FEMALE_EMP,7,0),IF(AND(E$43="Employee",E$44="Abu Dhabi",G$44="Female",G$42=RN_3),VLOOKUP(E45,AUH_FEMALE_EMP,8,0),IF(AND(E$43="Employee",E$44="Abu Dhabi",G$44="Female",G$42=VN),VLOOKUP(E45,AUH_FEMALE_EMP,9,0),IF(AND(E$43="Employee",E$44="Dubai",G$44="Male",G$42=GN_Plus),VLOOKUP(E45,DXB_MALE_EMP,2,0),IF(AND(E$43="Employee",E$44="Dubai",G$44="Male",G$42=GN),VLOOKUP(E45,DXB_MALE_EMP,3,0),IF(AND(E$43="Employee",E$44="Dubai",G$44="Male",G$42=RN_Plus),VLOOKUP(E45,DXB_MALE_EMP,4,0),IF(AND(E$43="Employee",E$44="Dubai",G$44="Male",G$42=RN),VLOOKUP(E45,DXB_MALE_EMP,5,0),IF(AND(E$43="Employee",E$44="Dubai",G$44="Male",G$42=RN_2),VLOOKUP(E45,DXB_MALE_EMP,6,0),IF(AND(E$43="Employee",E$44="Dubai",G$44="Male",G$42=RN2_minus),VLOOKUP(E45,DXB_MALE_EMP,7,0),IF(AND(E$43="Employee",E$44="Dubai",G$44="Male",G$42=RN_3),VLOOKUP(E45,DXB_MALE_EMP,8,0),IF(AND(E$43="Employee",E$44="Dubai",G$44="Male",G$42=VN),VLOOKUP(E45,DXB_MALE_EMP,9,0),IF(AND(E$43="Employee",E$44="Dubai",G$44="Female",G$42=GN_Plus),VLOOKUP(E45,DXB_FEMALE_EMP,2,0),IF(AND(E$43="Employee",E$44="Dubai",G$44="Female",G$42=GN),VLOOKUP(E45,DXB_FEMALE_EMP,3,0),IF(AND(E$43="Employee",E$44="Dubai",G$44="Female",G$42=RN_Plus),VLOOKUP(E45,DXB_FEMALE_EMP,4,0),IF(AND(E$43="Employee",E$44="Dubai",G$44="Female",G$42=RN),VLOOKUP(E45,DXB_FEMALE_EMP,5,0),IF(AND(E$43="Employee",E$44="Dubai",G$44="Female",G$42=RN_2),VLOOKUP(E45,DXB_FEMALE_EMP,6,0),IF(AND(E$43="Employee",E$44="Dubai",G$44="Female",G$42=RN2_minus),VLOOKUP(E45,DXB_FEMALE_EMP,7,0),IF(AND(E$43="Employee",E$44="Dubai",G$44="Female",G$42=RN_3),VLOOKUP(E45,DXB_FEMALE_EMP,8,0),IF(AND(E$43="Employee",E$44="Dubai",G$44="Female",G$42=VN),VLOOKUP(E45,DXB_FEMALE_EMP,9,0),"Error")))))))))))))))))))))))))))))))),0)</f>
        <v>0</v>
      </c>
      <c r="H45" s="758" t="str">
        <f t="shared" ref="H45:H56" si="6">H6</f>
        <v>0 - 10</v>
      </c>
      <c r="I45" s="958">
        <f t="shared" ref="I45:I56" si="7">IFERROR(IF(AND(H$43="Employee",H$44="Abu Dhabi",I$44="Male",I$42=GN_Plus),VLOOKUP(H45,AUH_MALE_EMP,2,0),IF(AND(H$43="Employee",H$44="Abu Dhabi",I$44="Male",I$42=GN),VLOOKUP(H45,AUH_MALE_EMP,3,0),IF(AND(H$43="Employee",H$44="Abu Dhabi",I$44="Male",I$42=RN_Plus),VLOOKUP(H45,AUH_MALE_EMP,4,0),IF(AND(H$43="Employee",H$44="Abu Dhabi",I$44="Male",I$42=RN),VLOOKUP(H45,AUH_MALE_EMP,5,0),IF(AND(H$43="Employee",H$44="Abu Dhabi",I$44="Male",I$42=RN_2),VLOOKUP(H45,AUH_MALE_EMP,6,0),IF(AND(H$43="Employee",H$44="Abu Dhabi",I$44="Male",I$42=RN2_minus),VLOOKUP(H45,AUH_MALE_EMP,7,0),IF(AND(H$43="Employee",H$44="Abu Dhabi",I$44="Male",I$42=RN_3),VLOOKUP(H45,AUH_MALE_EMP,8,0),IF(AND(H$43="Employee",H$44="Abu Dhabi",I$44="Male",I$42=VN),VLOOKUP(H45,AUH_MALE_EMP,9,0),IF(AND(H$43="Employee",H$44="Abu Dhabi",I$44="Female",I$42=GN_Plus),VLOOKUP(H45,AUH_FEMALE_EMP,2,0),IF(AND(H$43="Employee",H$44="Abu Dhabi",I$44="Female",I$42=GN),VLOOKUP(H45,AUH_FEMALE_EMP,3,0),IF(AND(H$43="Employee",H$44="Abu Dhabi",I$44="Female",I$42=RN_Plus),VLOOKUP(H45,AUH_FEMALE_EMP,4,0),IF(AND(H$43="Employee",H$44="Abu Dhabi",I$44="Female",I$42=RN),VLOOKUP(H45,AUH_FEMALE_EMP,5,0),IF(AND(H$43="Employee",H$44="Abu Dhabi",I$44="Female",I$42=RN_2),VLOOKUP(H45,AUH_FEMALE_EMP,6,0),IF(AND(H$43="Employee",H$44="Abu Dhabi",I$44="Female",I$42=RN2_minus),VLOOKUP(H45,AUH_FEMALE_EMP,7,0),IF(AND(H$43="Employee",H$44="Abu Dhabi",I$44="Female",I$42=RN_3),VLOOKUP(H45,AUH_FEMALE_EMP,8,0),IF(AND(H$43="Employee",H$44="Abu Dhabi",I$44="Female",I$42=VN),VLOOKUP(H45,AUH_FEMALE_EMP,9,0),IF(AND(H$43="Employee",H$44="Dubai",I$44="Male",I$42=GN_Plus),VLOOKUP(H45,DXB_MALE_EMP,2,0),IF(AND(H$43="Employee",H$44="Dubai",I$44="Male",I$42=GN),VLOOKUP(H45,DXB_MALE_EMP,3,0),IF(AND(H$43="Employee",H$44="Dubai",I$44="Male",I$42=RN_Plus),VLOOKUP(H45,DXB_MALE_EMP,4,0),IF(AND(H$43="Employee",H$44="Dubai",I$44="Male",I$42=RN),VLOOKUP(H45,DXB_MALE_EMP,5,0),IF(AND(H$43="Employee",H$44="Dubai",I$44="Male",I$42=RN_2),VLOOKUP(H45,DXB_MALE_EMP,6,0),IF(AND(H$43="Employee",H$44="Dubai",I$44="Male",I$42=RN2_minus),VLOOKUP(H45,DXB_MALE_EMP,7,0),IF(AND(H$43="Employee",H$44="Dubai",I$44="Male",I$42=RN_3),VLOOKUP(H45,DXB_MALE_EMP,8,0),IF(AND(H$43="Employee",H$44="Dubai",I$44="Male",I$42=VN),VLOOKUP(H45,DXB_MALE_EMP,9,0),IF(AND(H$43="Employee",H$44="Dubai",I$44="Female",I$42=GN_Plus),VLOOKUP(H45,DXB_FEMALE_EMP,2,0),IF(AND(H$43="Employee",H$44="Dubai",I$44="Female",I$42=GN),VLOOKUP(H45,DXB_FEMALE_EMP,3,0),IF(AND(H$43="Employee",H$44="Dubai",I$44="Female",I$42=RN_Plus),VLOOKUP(H45,DXB_FEMALE_EMP,4,0),IF(AND(H$43="Employee",H$44="Dubai",I$44="Female",I$42=RN),VLOOKUP(H45,DXB_FEMALE_EMP,5,0),IF(AND(H$43="Employee",H$44="Dubai",I$44="Female",I$42=RN_2),VLOOKUP(H45,DXB_FEMALE_EMP,6,0),IF(AND(H$43="Employee",H$44="Dubai",I$44="Female",I$42=RN2_minus),VLOOKUP(H45,DXB_FEMALE_EMP,7,0),IF(AND(H$43="Employee",H$44="Dubai",I$44="Female",I$42=RN_3),VLOOKUP(H45,DXB_FEMALE_EMP,8,0),IF(AND(H$43="Employee",H$44="Dubai",I$44="Female",I$42=VN),VLOOKUP(H45,DXB_FEMALE_EMP,9,0),"Error")))))))))))))))))))))))))))))))),0)</f>
        <v>0</v>
      </c>
      <c r="J45" s="958">
        <f t="shared" ref="J45:J56" si="8">IFERROR(IF(AND(H$43="Employee",H$44="Abu Dhabi",J$44="Male",J$42=GN_Plus),VLOOKUP(H45,AUH_MALE_EMP,2,0),IF(AND(H$43="Employee",H$44="Abu Dhabi",J$44="Male",J$42=GN),VLOOKUP(H45,AUH_MALE_EMP,3,0),IF(AND(H$43="Employee",H$44="Abu Dhabi",J$44="Male",J$42=RN_Plus),VLOOKUP(H45,AUH_MALE_EMP,4,0),IF(AND(H$43="Employee",H$44="Abu Dhabi",J$44="Male",J$42=RN),VLOOKUP(H45,AUH_MALE_EMP,5,0),IF(AND(H$43="Employee",H$44="Abu Dhabi",J$44="Male",J$42=RN_2),VLOOKUP(H45,AUH_MALE_EMP,6,0),IF(AND(H$43="Employee",H$44="Abu Dhabi",J$44="Male",J$42=RN2_minus),VLOOKUP(H45,AUH_MALE_EMP,7,0),IF(AND(H$43="Employee",H$44="Abu Dhabi",J$44="Male",J$42=RN_3),VLOOKUP(H45,AUH_MALE_EMP,8,0),IF(AND(H$43="Employee",H$44="Abu Dhabi",J$44="Male",J$42=VN),VLOOKUP(H45,AUH_MALE_EMP,9,0),IF(AND(H$43="Employee",H$44="Abu Dhabi",J$44="Female",J$42=GN_Plus),VLOOKUP(H45,AUH_FEMALE_EMP,2,0),IF(AND(H$43="Employee",H$44="Abu Dhabi",J$44="Female",J$42=GN),VLOOKUP(H45,AUH_FEMALE_EMP,3,0),IF(AND(H$43="Employee",H$44="Abu Dhabi",J$44="Female",J$42=RN_Plus),VLOOKUP(H45,AUH_FEMALE_EMP,4,0),IF(AND(H$43="Employee",H$44="Abu Dhabi",J$44="Female",J$42=RN),VLOOKUP(H45,AUH_FEMALE_EMP,5,0),IF(AND(H$43="Employee",H$44="Abu Dhabi",J$44="Female",J$42=RN_2),VLOOKUP(H45,AUH_FEMALE_EMP,6,0),IF(AND(H$43="Employee",H$44="Abu Dhabi",J$44="Female",J$42=RN2_minus),VLOOKUP(H45,AUH_FEMALE_EMP,7,0),IF(AND(H$43="Employee",H$44="Abu Dhabi",J$44="Female",J$42=RN_3),VLOOKUP(H45,AUH_FEMALE_EMP,8,0),IF(AND(H$43="Employee",H$44="Abu Dhabi",J$44="Female",J$42=VN),VLOOKUP(H45,AUH_FEMALE_EMP,9,0),IF(AND(H$43="Employee",H$44="Dubai",J$44="Male",J$42=GN_Plus),VLOOKUP(H45,DXB_MALE_EMP,2,0),IF(AND(H$43="Employee",H$44="Dubai",J$44="Male",J$42=GN),VLOOKUP(H45,DXB_MALE_EMP,3,0),IF(AND(H$43="Employee",H$44="Dubai",J$44="Male",J$42=RN_Plus),VLOOKUP(H45,DXB_MALE_EMP,4,0),IF(AND(H$43="Employee",H$44="Dubai",J$44="Male",J$42=RN),VLOOKUP(H45,DXB_MALE_EMP,5,0),IF(AND(H$43="Employee",H$44="Dubai",J$44="Male",J$42=RN_2),VLOOKUP(H45,DXB_MALE_EMP,6,0),IF(AND(H$43="Employee",H$44="Dubai",J$44="Male",J$42=RN2_minus),VLOOKUP(H45,DXB_MALE_EMP,7,0),IF(AND(H$43="Employee",H$44="Dubai",J$44="Male",J$42=RN_3),VLOOKUP(H45,DXB_MALE_EMP,8,0),IF(AND(H$43="Employee",H$44="Dubai",J$44="Male",J$42=VN),VLOOKUP(H45,DXB_MALE_EMP,9,0),IF(AND(H$43="Employee",H$44="Dubai",J$44="Female",J$42=GN_Plus),VLOOKUP(H45,DXB_FEMALE_EMP,2,0),IF(AND(H$43="Employee",H$44="Dubai",J$44="Female",J$42=GN),VLOOKUP(H45,DXB_FEMALE_EMP,3,0),IF(AND(H$43="Employee",H$44="Dubai",J$44="Female",J$42=RN_Plus),VLOOKUP(H45,DXB_FEMALE_EMP,4,0),IF(AND(H$43="Employee",H$44="Dubai",J$44="Female",J$42=RN),VLOOKUP(H45,DXB_FEMALE_EMP,5,0),IF(AND(H$43="Employee",H$44="Dubai",J$44="Female",J$42=RN_2),VLOOKUP(H45,DXB_FEMALE_EMP,6,0),IF(AND(H$43="Employee",H$44="Dubai",J$44="Female",J$42=RN2_minus),VLOOKUP(H45,DXB_FEMALE_EMP,7,0),IF(AND(H$43="Employee",H$44="Dubai",J$44="Female",J$42=RN_3),VLOOKUP(H45,DXB_FEMALE_EMP,8,0),IF(AND(H$43="Employee",H$44="Dubai",J$44="Female",J$42=VN),VLOOKUP(H45,DXB_FEMALE_EMP,9,0),"Error")))))))))))))))))))))))))))))))),0)</f>
        <v>0</v>
      </c>
      <c r="K45" s="758" t="str">
        <f t="shared" ref="K45:K56" si="9">K6</f>
        <v>0 - 10</v>
      </c>
      <c r="L45" s="958">
        <f t="shared" ref="L45:L56" si="10">IFERROR(IF(AND(K$43="Employee",K$44="Abu Dhabi",L$44="Male",L$42=GN_Plus),VLOOKUP(K45,AUH_MALE_EMP,2,0),IF(AND(K$43="Employee",K$44="Abu Dhabi",L$44="Male",L$42=GN),VLOOKUP(K45,AUH_MALE_EMP,3,0),IF(AND(K$43="Employee",K$44="Abu Dhabi",L$44="Male",L$42=RN_Plus),VLOOKUP(K45,AUH_MALE_EMP,4,0),IF(AND(K$43="Employee",K$44="Abu Dhabi",L$44="Male",L$42=RN),VLOOKUP(K45,AUH_MALE_EMP,5,0),IF(AND(K$43="Employee",K$44="Abu Dhabi",L$44="Male",L$42=RN_2),VLOOKUP(K45,AUH_MALE_EMP,6,0),IF(AND(K$43="Employee",K$44="Abu Dhabi",L$44="Male",L$42=RN2_minus),VLOOKUP(K45,AUH_MALE_EMP,7,0),IF(AND(K$43="Employee",K$44="Abu Dhabi",L$44="Male",L$42=RN_3),VLOOKUP(K45,AUH_MALE_EMP,8,0),IF(AND(K$43="Employee",K$44="Abu Dhabi",L$44="Male",L$42=VN),VLOOKUP(K45,AUH_MALE_EMP,9,0),IF(AND(K$43="Employee",K$44="Abu Dhabi",L$44="Female",L$42=GN_Plus),VLOOKUP(K45,AUH_FEMALE_EMP,2,0),IF(AND(K$43="Employee",K$44="Abu Dhabi",L$44="Female",L$42=GN),VLOOKUP(K45,AUH_FEMALE_EMP,3,0),IF(AND(K$43="Employee",K$44="Abu Dhabi",L$44="Female",L$42=RN_Plus),VLOOKUP(K45,AUH_FEMALE_EMP,4,0),IF(AND(K$43="Employee",K$44="Abu Dhabi",L$44="Female",L$42=RN),VLOOKUP(K45,AUH_FEMALE_EMP,5,0),IF(AND(K$43="Employee",K$44="Abu Dhabi",L$44="Female",L$42=RN_2),VLOOKUP(K45,AUH_FEMALE_EMP,6,0),IF(AND(K$43="Employee",K$44="Abu Dhabi",L$44="Female",L$42=RN2_minus),VLOOKUP(K45,AUH_FEMALE_EMP,7,0),IF(AND(K$43="Employee",K$44="Abu Dhabi",L$44="Female",L$42=RN_3),VLOOKUP(K45,AUH_FEMALE_EMP,8,0),IF(AND(K$43="Employee",K$44="Abu Dhabi",L$44="Female",L$42=VN),VLOOKUP(K45,AUH_FEMALE_EMP,9,0),IF(AND(K$43="Employee",K$44="Dubai",L$44="Male",L$42=GN_Plus),VLOOKUP(K45,DXB_MALE_EMP,2,0),IF(AND(K$43="Employee",K$44="Dubai",L$44="Male",L$42=GN),VLOOKUP(K45,DXB_MALE_EMP,3,0),IF(AND(K$43="Employee",K$44="Dubai",L$44="Male",L$42=RN_Plus),VLOOKUP(K45,DXB_MALE_EMP,4,0),IF(AND(K$43="Employee",K$44="Dubai",L$44="Male",L$42=RN),VLOOKUP(K45,DXB_MALE_EMP,5,0),IF(AND(K$43="Employee",K$44="Dubai",L$44="Male",L$42=RN_2),VLOOKUP(K45,DXB_MALE_EMP,6,0),IF(AND(K$43="Employee",K$44="Dubai",L$44="Male",L$42=RN2_minus),VLOOKUP(K45,DXB_MALE_EMP,7,0),IF(AND(K$43="Employee",K$44="Dubai",L$44="Male",L$42=RN_3),VLOOKUP(K45,DXB_MALE_EMP,8,0),IF(AND(K$43="Employee",K$44="Dubai",L$44="Male",L$42=VN),VLOOKUP(K45,DXB_MALE_EMP,9,0),IF(AND(K$43="Employee",K$44="Dubai",L$44="Female",L$42=GN_Plus),VLOOKUP(K45,DXB_FEMALE_EMP,2,0),IF(AND(K$43="Employee",K$44="Dubai",L$44="Female",L$42=GN),VLOOKUP(K45,DXB_FEMALE_EMP,3,0),IF(AND(K$43="Employee",K$44="Dubai",L$44="Female",L$42=RN_Plus),VLOOKUP(K45,DXB_FEMALE_EMP,4,0),IF(AND(K$43="Employee",K$44="Dubai",L$44="Female",L$42=RN),VLOOKUP(K45,DXB_FEMALE_EMP,5,0),IF(AND(K$43="Employee",K$44="Dubai",L$44="Female",L$42=RN_2),VLOOKUP(K45,DXB_FEMALE_EMP,6,0),IF(AND(K$43="Employee",K$44="Dubai",L$44="Female",L$42=RN2_minus),VLOOKUP(K45,DXB_FEMALE_EMP,7,0),IF(AND(K$43="Employee",K$44="Dubai",L$44="Female",L$42=RN_3),VLOOKUP(K45,DXB_FEMALE_EMP,8,0),IF(AND(K$43="Employee",K$44="Dubai",L$44="Female",L$42=VN),VLOOKUP(K45,DXB_FEMALE_EMP,9,0),"Error")))))))))))))))))))))))))))))))),0)</f>
        <v>0</v>
      </c>
      <c r="M45" s="958">
        <f t="shared" ref="M45:M56" si="11">IFERROR(IF(AND(K$43="Employee",K$44="Abu Dhabi",M$44="Male",M$42=GN_Plus),VLOOKUP(K45,AUH_MALE_EMP,2,0),IF(AND(K$43="Employee",K$44="Abu Dhabi",M$44="Male",M$42=GN),VLOOKUP(K45,AUH_MALE_EMP,3,0),IF(AND(K$43="Employee",K$44="Abu Dhabi",M$44="Male",M$42=RN_Plus),VLOOKUP(K45,AUH_MALE_EMP,4,0),IF(AND(K$43="Employee",K$44="Abu Dhabi",M$44="Male",M$42=RN),VLOOKUP(K45,AUH_MALE_EMP,5,0),IF(AND(K$43="Employee",K$44="Abu Dhabi",M$44="Male",M$42=RN_2),VLOOKUP(K45,AUH_MALE_EMP,6,0),IF(AND(K$43="Employee",K$44="Abu Dhabi",M$44="Male",M$42=RN2_minus),VLOOKUP(K45,AUH_MALE_EMP,7,0),IF(AND(K$43="Employee",K$44="Abu Dhabi",M$44="Male",M$42=RN_3),VLOOKUP(K45,AUH_MALE_EMP,8,0),IF(AND(K$43="Employee",K$44="Abu Dhabi",M$44="Male",M$42=VN),VLOOKUP(K45,AUH_MALE_EMP,9,0),IF(AND(K$43="Employee",K$44="Abu Dhabi",M$44="Female",M$42=GN_Plus),VLOOKUP(K45,AUH_FEMALE_EMP,2,0),IF(AND(K$43="Employee",K$44="Abu Dhabi",M$44="Female",M$42=GN),VLOOKUP(K45,AUH_FEMALE_EMP,3,0),IF(AND(K$43="Employee",K$44="Abu Dhabi",M$44="Female",M$42=RN_Plus),VLOOKUP(K45,AUH_FEMALE_EMP,4,0),IF(AND(K$43="Employee",K$44="Abu Dhabi",M$44="Female",M$42=RN),VLOOKUP(K45,AUH_FEMALE_EMP,5,0),IF(AND(K$43="Employee",K$44="Abu Dhabi",M$44="Female",M$42=RN_2),VLOOKUP(K45,AUH_FEMALE_EMP,6,0),IF(AND(K$43="Employee",K$44="Abu Dhabi",M$44="Female",M$42=RN2_minus),VLOOKUP(K45,AUH_FEMALE_EMP,7,0),IF(AND(K$43="Employee",K$44="Abu Dhabi",M$44="Female",M$42=RN_3),VLOOKUP(K45,AUH_FEMALE_EMP,8,0),IF(AND(K$43="Employee",K$44="Abu Dhabi",M$44="Female",M$42=VN),VLOOKUP(K45,AUH_FEMALE_EMP,9,0),IF(AND(K$43="Employee",K$44="Dubai",M$44="Male",M$42=GN_Plus),VLOOKUP(K45,DXB_MALE_EMP,2,0),IF(AND(K$43="Employee",K$44="Dubai",M$44="Male",M$42=GN),VLOOKUP(K45,DXB_MALE_EMP,3,0),IF(AND(K$43="Employee",K$44="Dubai",M$44="Male",M$42=RN_Plus),VLOOKUP(K45,DXB_MALE_EMP,4,0),IF(AND(K$43="Employee",K$44="Dubai",M$44="Male",M$42=RN),VLOOKUP(K45,DXB_MALE_EMP,5,0),IF(AND(K$43="Employee",K$44="Dubai",M$44="Male",M$42=RN_2),VLOOKUP(K45,DXB_MALE_EMP,6,0),IF(AND(K$43="Employee",K$44="Dubai",M$44="Male",M$42=RN2_minus),VLOOKUP(K45,DXB_MALE_EMP,7,0),IF(AND(K$43="Employee",K$44="Dubai",M$44="Male",M$42=RN_3),VLOOKUP(K45,DXB_MALE_EMP,8,0),IF(AND(K$43="Employee",K$44="Dubai",M$44="Male",M$42=VN),VLOOKUP(K45,DXB_MALE_EMP,9,0),IF(AND(K$43="Employee",K$44="Dubai",M$44="Female",M$42=GN_Plus),VLOOKUP(K45,DXB_FEMALE_EMP,2,0),IF(AND(K$43="Employee",K$44="Dubai",M$44="Female",M$42=GN),VLOOKUP(K45,DXB_FEMALE_EMP,3,0),IF(AND(K$43="Employee",K$44="Dubai",M$44="Female",M$42=RN_Plus),VLOOKUP(K45,DXB_FEMALE_EMP,4,0),IF(AND(K$43="Employee",K$44="Dubai",M$44="Female",M$42=RN),VLOOKUP(K45,DXB_FEMALE_EMP,5,0),IF(AND(K$43="Employee",K$44="Dubai",M$44="Female",M$42=RN_2),VLOOKUP(K45,DXB_FEMALE_EMP,6,0),IF(AND(K$43="Employee",K$44="Dubai",M$44="Female",M$42=RN2_minus),VLOOKUP(K45,DXB_FEMALE_EMP,7,0),IF(AND(K$43="Employee",K$44="Dubai",M$44="Female",M$42=RN_3),VLOOKUP(K45,DXB_FEMALE_EMP,8,0),IF(AND(K$43="Employee",K$44="Dubai",M$44="Female",M$42=VN),VLOOKUP(K45,DXB_FEMALE_EMP,9,0),"Error")))))))))))))))))))))))))))))))),0)</f>
        <v>0</v>
      </c>
      <c r="N45" s="758" t="str">
        <f t="shared" ref="N45:N56" si="12">N6</f>
        <v>0 - 10</v>
      </c>
      <c r="O45" s="958">
        <f t="shared" ref="O45:O56" si="13">IFERROR(IF(AND(N$43="Employee",N$44="Abu Dhabi",O$44="Male",O$42=GN_Plus),VLOOKUP(N45,AUH_MALE_EMP,2,0),IF(AND(N$43="Employee",N$44="Abu Dhabi",O$44="Male",O$42=GN),VLOOKUP(N45,AUH_MALE_EMP,3,0),IF(AND(N$43="Employee",N$44="Abu Dhabi",O$44="Male",O$42=RN_Plus),VLOOKUP(N45,AUH_MALE_EMP,4,0),IF(AND(N$43="Employee",N$44="Abu Dhabi",O$44="Male",O$42=RN),VLOOKUP(N45,AUH_MALE_EMP,5,0),IF(AND(N$43="Employee",N$44="Abu Dhabi",O$44="Male",O$42=RN_2),VLOOKUP(N45,AUH_MALE_EMP,6,0),IF(AND(N$43="Employee",N$44="Abu Dhabi",O$44="Male",O$42=RN2_minus),VLOOKUP(N45,AUH_MALE_EMP,7,0),IF(AND(N$43="Employee",N$44="Abu Dhabi",O$44="Male",O$42=RN_3),VLOOKUP(N45,AUH_MALE_EMP,8,0),IF(AND(N$43="Employee",N$44="Abu Dhabi",O$44="Male",O$42=VN),VLOOKUP(N45,AUH_MALE_EMP,9,0),IF(AND(N$43="Employee",N$44="Abu Dhabi",O$44="Female",O$42=GN_Plus),VLOOKUP(N45,AUH_FEMALE_EMP,2,0),IF(AND(N$43="Employee",N$44="Abu Dhabi",O$44="Female",O$42=GN),VLOOKUP(N45,AUH_FEMALE_EMP,3,0),IF(AND(N$43="Employee",N$44="Abu Dhabi",O$44="Female",O$42=RN_Plus),VLOOKUP(N45,AUH_FEMALE_EMP,4,0),IF(AND(N$43="Employee",N$44="Abu Dhabi",O$44="Female",O$42=RN),VLOOKUP(N45,AUH_FEMALE_EMP,5,0),IF(AND(N$43="Employee",N$44="Abu Dhabi",O$44="Female",O$42=RN_2),VLOOKUP(N45,AUH_FEMALE_EMP,6,0),IF(AND(N$43="Employee",N$44="Abu Dhabi",O$44="Female",O$42=RN2_minus),VLOOKUP(N45,AUH_FEMALE_EMP,7,0),IF(AND(N$43="Employee",N$44="Abu Dhabi",O$44="Female",O$42=RN_3),VLOOKUP(N45,AUH_FEMALE_EMP,8,0),IF(AND(N$43="Employee",N$44="Abu Dhabi",O$44="Female",O$42=VN),VLOOKUP(N45,AUH_FEMALE_EMP,9,0),IF(AND(N$43="Employee",N$44="Dubai",O$44="Male",O$42=GN_Plus),VLOOKUP(N45,DXB_MALE_EMP,2,0),IF(AND(N$43="Employee",N$44="Dubai",O$44="Male",O$42=GN),VLOOKUP(N45,DXB_MALE_EMP,3,0),IF(AND(N$43="Employee",N$44="Dubai",O$44="Male",O$42=RN_Plus),VLOOKUP(N45,DXB_MALE_EMP,4,0),IF(AND(N$43="Employee",N$44="Dubai",O$44="Male",O$42=RN),VLOOKUP(N45,DXB_MALE_EMP,5,0),IF(AND(N$43="Employee",N$44="Dubai",O$44="Male",O$42=RN_2),VLOOKUP(N45,DXB_MALE_EMP,6,0),IF(AND(N$43="Employee",N$44="Dubai",O$44="Male",O$42=RN2_minus),VLOOKUP(N45,DXB_MALE_EMP,7,0),IF(AND(N$43="Employee",N$44="Dubai",O$44="Male",O$42=RN_3),VLOOKUP(N45,DXB_MALE_EMP,8,0),IF(AND(N$43="Employee",N$44="Dubai",O$44="Male",O$42=VN),VLOOKUP(N45,DXB_MALE_EMP,9,0),IF(AND(N$43="Employee",N$44="Dubai",O$44="Female",O$42=GN_Plus),VLOOKUP(N45,DXB_FEMALE_EMP,2,0),IF(AND(N$43="Employee",N$44="Dubai",O$44="Female",O$42=GN),VLOOKUP(N45,DXB_FEMALE_EMP,3,0),IF(AND(N$43="Employee",N$44="Dubai",O$44="Female",O$42=RN_Plus),VLOOKUP(N45,DXB_FEMALE_EMP,4,0),IF(AND(N$43="Employee",N$44="Dubai",O$44="Female",O$42=RN),VLOOKUP(N45,DXB_FEMALE_EMP,5,0),IF(AND(N$43="Employee",N$44="Dubai",O$44="Female",O$42=RN_2),VLOOKUP(N45,DXB_FEMALE_EMP,6,0),IF(AND(N$43="Employee",N$44="Dubai",O$44="Female",O$42=RN2_minus),VLOOKUP(N45,DXB_FEMALE_EMP,7,0),IF(AND(N$43="Employee",N$44="Dubai",O$44="Female",O$42=RN_3),VLOOKUP(N45,DXB_FEMALE_EMP,8,0),IF(AND(N$43="Employee",N$44="Dubai",O$44="Female",O$42=VN),VLOOKUP(N45,DXB_FEMALE_EMP,9,0),"Error")))))))))))))))))))))))))))))))),0)</f>
        <v>0</v>
      </c>
      <c r="P45" s="958">
        <f t="shared" ref="P45:P56" si="14">IFERROR(IF(AND(N$43="Employee",N$44="Abu Dhabi",P$44="Male",P$42=GN_Plus),VLOOKUP(N45,AUH_MALE_EMP,2,0),IF(AND(N$43="Employee",N$44="Abu Dhabi",P$44="Male",P$42=GN),VLOOKUP(N45,AUH_MALE_EMP,3,0),IF(AND(N$43="Employee",N$44="Abu Dhabi",P$44="Male",P$42=RN_Plus),VLOOKUP(N45,AUH_MALE_EMP,4,0),IF(AND(N$43="Employee",N$44="Abu Dhabi",P$44="Male",P$42=RN),VLOOKUP(N45,AUH_MALE_EMP,5,0),IF(AND(N$43="Employee",N$44="Abu Dhabi",P$44="Male",P$42=RN_2),VLOOKUP(N45,AUH_MALE_EMP,6,0),IF(AND(N$43="Employee",N$44="Abu Dhabi",P$44="Male",P$42=RN2_minus),VLOOKUP(N45,AUH_MALE_EMP,7,0),IF(AND(N$43="Employee",N$44="Abu Dhabi",P$44="Male",P$42=RN_3),VLOOKUP(N45,AUH_MALE_EMP,8,0),IF(AND(N$43="Employee",N$44="Abu Dhabi",P$44="Male",P$42=VN),VLOOKUP(N45,AUH_MALE_EMP,9,0),IF(AND(N$43="Employee",N$44="Abu Dhabi",P$44="Female",P$42=GN_Plus),VLOOKUP(N45,AUH_FEMALE_EMP,2,0),IF(AND(N$43="Employee",N$44="Abu Dhabi",P$44="Female",P$42=GN),VLOOKUP(N45,AUH_FEMALE_EMP,3,0),IF(AND(N$43="Employee",N$44="Abu Dhabi",P$44="Female",P$42=RN_Plus),VLOOKUP(N45,AUH_FEMALE_EMP,4,0),IF(AND(N$43="Employee",N$44="Abu Dhabi",P$44="Female",P$42=RN),VLOOKUP(N45,AUH_FEMALE_EMP,5,0),IF(AND(N$43="Employee",N$44="Abu Dhabi",P$44="Female",P$42=RN_2),VLOOKUP(N45,AUH_FEMALE_EMP,6,0),IF(AND(N$43="Employee",N$44="Abu Dhabi",P$44="Female",P$42=RN2_minus),VLOOKUP(N45,AUH_FEMALE_EMP,7,0),IF(AND(N$43="Employee",N$44="Abu Dhabi",P$44="Female",P$42=RN_3),VLOOKUP(N45,AUH_FEMALE_EMP,8,0),IF(AND(N$43="Employee",N$44="Abu Dhabi",P$44="Female",P$42=VN),VLOOKUP(N45,AUH_FEMALE_EMP,9,0),IF(AND(N$43="Employee",N$44="Dubai",P$44="Male",P$42=GN_Plus),VLOOKUP(N45,DXB_MALE_EMP,2,0),IF(AND(N$43="Employee",N$44="Dubai",P$44="Male",P$42=GN),VLOOKUP(N45,DXB_MALE_EMP,3,0),IF(AND(N$43="Employee",N$44="Dubai",P$44="Male",P$42=RN_Plus),VLOOKUP(N45,DXB_MALE_EMP,4,0),IF(AND(N$43="Employee",N$44="Dubai",P$44="Male",P$42=RN),VLOOKUP(N45,DXB_MALE_EMP,5,0),IF(AND(N$43="Employee",N$44="Dubai",P$44="Male",P$42=RN_2),VLOOKUP(N45,DXB_MALE_EMP,6,0),IF(AND(N$43="Employee",N$44="Dubai",P$44="Male",P$42=RN2_minus),VLOOKUP(N45,DXB_MALE_EMP,7,0),IF(AND(N$43="Employee",N$44="Dubai",P$44="Male",P$42=RN_3),VLOOKUP(N45,DXB_MALE_EMP,8,0),IF(AND(N$43="Employee",N$44="Dubai",P$44="Male",P$42=VN),VLOOKUP(N45,DXB_MALE_EMP,9,0),IF(AND(N$43="Employee",N$44="Dubai",P$44="Female",P$42=GN_Plus),VLOOKUP(N45,DXB_FEMALE_EMP,2,0),IF(AND(N$43="Employee",N$44="Dubai",P$44="Female",P$42=GN),VLOOKUP(N45,DXB_FEMALE_EMP,3,0),IF(AND(N$43="Employee",N$44="Dubai",P$44="Female",P$42=RN_Plus),VLOOKUP(N45,DXB_FEMALE_EMP,4,0),IF(AND(N$43="Employee",N$44="Dubai",P$44="Female",P$42=RN),VLOOKUP(N45,DXB_FEMALE_EMP,5,0),IF(AND(N$43="Employee",N$44="Dubai",P$44="Female",P$42=RN_2),VLOOKUP(N45,DXB_FEMALE_EMP,6,0),IF(AND(N$43="Employee",N$44="Dubai",P$44="Female",P$42=RN2_minus),VLOOKUP(N45,DXB_FEMALE_EMP,7,0),IF(AND(N$43="Employee",N$44="Dubai",P$44="Female",P$42=RN_3),VLOOKUP(N45,DXB_FEMALE_EMP,8,0),IF(AND(N$43="Employee",N$44="Dubai",P$44="Female",P$42=VN),VLOOKUP(N45,DXB_FEMALE_EMP,9,0),"Error")))))))))))))))))))))))))))))))),0)</f>
        <v>0</v>
      </c>
      <c r="Q45" s="758" t="str">
        <f t="shared" ref="Q45:Q56" si="15">Q6</f>
        <v>0 - 10</v>
      </c>
      <c r="R45" s="958">
        <f t="shared" ref="R45:R56" si="16">IFERROR(IF(AND(Q$43="Employee",Q$44="Abu Dhabi",R$44="Male",R$42=GN_Plus),VLOOKUP(Q45,AUH_MALE_EMP,2,0),IF(AND(Q$43="Employee",Q$44="Abu Dhabi",R$44="Male",R$42=GN),VLOOKUP(Q45,AUH_MALE_EMP,3,0),IF(AND(Q$43="Employee",Q$44="Abu Dhabi",R$44="Male",R$42=RN_Plus),VLOOKUP(Q45,AUH_MALE_EMP,4,0),IF(AND(Q$43="Employee",Q$44="Abu Dhabi",R$44="Male",R$42=RN),VLOOKUP(Q45,AUH_MALE_EMP,5,0),IF(AND(Q$43="Employee",Q$44="Abu Dhabi",R$44="Male",R$42=RN_2),VLOOKUP(Q45,AUH_MALE_EMP,6,0),IF(AND(Q$43="Employee",Q$44="Abu Dhabi",R$44="Male",R$42=RN2_minus),VLOOKUP(Q45,AUH_MALE_EMP,7,0),IF(AND(Q$43="Employee",Q$44="Abu Dhabi",R$44="Male",R$42=RN_3),VLOOKUP(Q45,AUH_MALE_EMP,8,0),IF(AND(Q$43="Employee",Q$44="Abu Dhabi",R$44="Male",R$42=VN),VLOOKUP(Q45,AUH_MALE_EMP,9,0),IF(AND(Q$43="Employee",Q$44="Abu Dhabi",R$44="Female",R$42=GN_Plus),VLOOKUP(Q45,AUH_FEMALE_EMP,2,0),IF(AND(Q$43="Employee",Q$44="Abu Dhabi",R$44="Female",R$42=GN),VLOOKUP(Q45,AUH_FEMALE_EMP,3,0),IF(AND(Q$43="Employee",Q$44="Abu Dhabi",R$44="Female",R$42=RN_Plus),VLOOKUP(Q45,AUH_FEMALE_EMP,4,0),IF(AND(Q$43="Employee",Q$44="Abu Dhabi",R$44="Female",R$42=RN),VLOOKUP(Q45,AUH_FEMALE_EMP,5,0),IF(AND(Q$43="Employee",Q$44="Abu Dhabi",R$44="Female",R$42=RN_2),VLOOKUP(Q45,AUH_FEMALE_EMP,6,0),IF(AND(Q$43="Employee",Q$44="Abu Dhabi",R$44="Female",R$42=RN2_minus),VLOOKUP(Q45,AUH_FEMALE_EMP,7,0),IF(AND(Q$43="Employee",Q$44="Abu Dhabi",R$44="Female",R$42=RN_3),VLOOKUP(Q45,AUH_FEMALE_EMP,8,0),IF(AND(Q$43="Employee",Q$44="Abu Dhabi",R$44="Female",R$42=VN),VLOOKUP(Q45,AUH_FEMALE_EMP,9,0),IF(AND(Q$43="Employee",Q$44="Dubai",R$44="Male",R$42=GN_Plus),VLOOKUP(Q45,DXB_MALE_EMP,2,0),IF(AND(Q$43="Employee",Q$44="Dubai",R$44="Male",R$42=GN),VLOOKUP(Q45,DXB_MALE_EMP,3,0),IF(AND(Q$43="Employee",Q$44="Dubai",R$44="Male",R$42=RN_Plus),VLOOKUP(Q45,DXB_MALE_EMP,4,0),IF(AND(Q$43="Employee",Q$44="Dubai",R$44="Male",R$42=RN),VLOOKUP(Q45,DXB_MALE_EMP,5,0),IF(AND(Q$43="Employee",Q$44="Dubai",R$44="Male",R$42=RN_2),VLOOKUP(Q45,DXB_MALE_EMP,6,0),IF(AND(Q$43="Employee",Q$44="Dubai",R$44="Male",R$42=RN2_minus),VLOOKUP(Q45,DXB_MALE_EMP,7,0),IF(AND(Q$43="Employee",Q$44="Dubai",R$44="Male",R$42=RN_3),VLOOKUP(Q45,DXB_MALE_EMP,8,0),IF(AND(Q$43="Employee",Q$44="Dubai",R$44="Male",R$42=VN),VLOOKUP(Q45,DXB_MALE_EMP,9,0),IF(AND(Q$43="Employee",Q$44="Dubai",R$44="Female",R$42=GN_Plus),VLOOKUP(Q45,DXB_FEMALE_EMP,2,0),IF(AND(Q$43="Employee",Q$44="Dubai",R$44="Female",R$42=GN),VLOOKUP(Q45,DXB_FEMALE_EMP,3,0),IF(AND(Q$43="Employee",Q$44="Dubai",R$44="Female",R$42=RN_Plus),VLOOKUP(Q45,DXB_FEMALE_EMP,4,0),IF(AND(Q$43="Employee",Q$44="Dubai",R$44="Female",R$42=RN),VLOOKUP(Q45,DXB_FEMALE_EMP,5,0),IF(AND(Q$43="Employee",Q$44="Dubai",R$44="Female",R$42=RN_2),VLOOKUP(Q45,DXB_FEMALE_EMP,6,0),IF(AND(Q$43="Employee",Q$44="Dubai",R$44="Female",R$42=RN2_minus),VLOOKUP(Q45,DXB_FEMALE_EMP,7,0),IF(AND(Q$43="Employee",Q$44="Dubai",R$44="Female",R$42=RN_3),VLOOKUP(Q45,DXB_FEMALE_EMP,8,0),IF(AND(Q$43="Employee",Q$44="Dubai",R$44="Female",R$42=VN),VLOOKUP(Q45,DXB_FEMALE_EMP,9,0),"Error")))))))))))))))))))))))))))))))),0)</f>
        <v>0</v>
      </c>
      <c r="S45" s="958">
        <f t="shared" ref="S45:S56" si="17">IFERROR(IF(AND(Q$43="Employee",Q$44="Abu Dhabi",S$44="Male",S$42=GN_Plus),VLOOKUP(Q45,AUH_MALE_EMP,2,0),IF(AND(Q$43="Employee",Q$44="Abu Dhabi",S$44="Male",S$42=GN),VLOOKUP(Q45,AUH_MALE_EMP,3,0),IF(AND(Q$43="Employee",Q$44="Abu Dhabi",S$44="Male",S$42=RN_Plus),VLOOKUP(Q45,AUH_MALE_EMP,4,0),IF(AND(Q$43="Employee",Q$44="Abu Dhabi",S$44="Male",S$42=RN),VLOOKUP(Q45,AUH_MALE_EMP,5,0),IF(AND(Q$43="Employee",Q$44="Abu Dhabi",S$44="Male",S$42=RN_2),VLOOKUP(Q45,AUH_MALE_EMP,6,0),IF(AND(Q$43="Employee",Q$44="Abu Dhabi",S$44="Male",S$42=RN2_minus),VLOOKUP(Q45,AUH_MALE_EMP,7,0),IF(AND(Q$43="Employee",Q$44="Abu Dhabi",S$44="Male",S$42=RN_3),VLOOKUP(Q45,AUH_MALE_EMP,8,0),IF(AND(Q$43="Employee",Q$44="Abu Dhabi",S$44="Male",S$42=VN),VLOOKUP(Q45,AUH_MALE_EMP,9,0),IF(AND(Q$43="Employee",Q$44="Abu Dhabi",S$44="Female",S$42=GN_Plus),VLOOKUP(Q45,AUH_FEMALE_EMP,2,0),IF(AND(Q$43="Employee",Q$44="Abu Dhabi",S$44="Female",S$42=GN),VLOOKUP(Q45,AUH_FEMALE_EMP,3,0),IF(AND(Q$43="Employee",Q$44="Abu Dhabi",S$44="Female",S$42=RN_Plus),VLOOKUP(Q45,AUH_FEMALE_EMP,4,0),IF(AND(Q$43="Employee",Q$44="Abu Dhabi",S$44="Female",S$42=RN),VLOOKUP(Q45,AUH_FEMALE_EMP,5,0),IF(AND(Q$43="Employee",Q$44="Abu Dhabi",S$44="Female",S$42=RN_2),VLOOKUP(Q45,AUH_FEMALE_EMP,6,0),IF(AND(Q$43="Employee",Q$44="Abu Dhabi",S$44="Female",S$42=RN2_minus),VLOOKUP(Q45,AUH_FEMALE_EMP,7,0),IF(AND(Q$43="Employee",Q$44="Abu Dhabi",S$44="Female",S$42=RN_3),VLOOKUP(Q45,AUH_FEMALE_EMP,8,0),IF(AND(Q$43="Employee",Q$44="Abu Dhabi",S$44="Female",S$42=VN),VLOOKUP(Q45,AUH_FEMALE_EMP,9,0),IF(AND(Q$43="Employee",Q$44="Dubai",S$44="Male",S$42=GN_Plus),VLOOKUP(Q45,DXB_MALE_EMP,2,0),IF(AND(Q$43="Employee",Q$44="Dubai",S$44="Male",S$42=GN),VLOOKUP(Q45,DXB_MALE_EMP,3,0),IF(AND(Q$43="Employee",Q$44="Dubai",S$44="Male",S$42=RN_Plus),VLOOKUP(Q45,DXB_MALE_EMP,4,0),IF(AND(Q$43="Employee",Q$44="Dubai",S$44="Male",S$42=RN),VLOOKUP(Q45,DXB_MALE_EMP,5,0),IF(AND(Q$43="Employee",Q$44="Dubai",S$44="Male",S$42=RN_2),VLOOKUP(Q45,DXB_MALE_EMP,6,0),IF(AND(Q$43="Employee",Q$44="Dubai",S$44="Male",S$42=RN2_minus),VLOOKUP(Q45,DXB_MALE_EMP,7,0),IF(AND(Q$43="Employee",Q$44="Dubai",S$44="Male",S$42=RN_3),VLOOKUP(Q45,DXB_MALE_EMP,8,0),IF(AND(Q$43="Employee",Q$44="Dubai",S$44="Male",S$42=VN),VLOOKUP(Q45,DXB_MALE_EMP,9,0),IF(AND(Q$43="Employee",Q$44="Dubai",S$44="Female",S$42=GN_Plus),VLOOKUP(Q45,DXB_FEMALE_EMP,2,0),IF(AND(Q$43="Employee",Q$44="Dubai",S$44="Female",S$42=GN),VLOOKUP(Q45,DXB_FEMALE_EMP,3,0),IF(AND(Q$43="Employee",Q$44="Dubai",S$44="Female",S$42=RN_Plus),VLOOKUP(Q45,DXB_FEMALE_EMP,4,0),IF(AND(Q$43="Employee",Q$44="Dubai",S$44="Female",S$42=RN),VLOOKUP(Q45,DXB_FEMALE_EMP,5,0),IF(AND(Q$43="Employee",Q$44="Dubai",S$44="Female",S$42=RN_2),VLOOKUP(Q45,DXB_FEMALE_EMP,6,0),IF(AND(Q$43="Employee",Q$44="Dubai",S$44="Female",S$42=RN2_minus),VLOOKUP(Q45,DXB_FEMALE_EMP,7,0),IF(AND(Q$43="Employee",Q$44="Dubai",S$44="Female",S$42=RN_3),VLOOKUP(Q45,DXB_FEMALE_EMP,8,0),IF(AND(Q$43="Employee",Q$44="Dubai",S$44="Female",S$42=VN),VLOOKUP(Q45,DXB_FEMALE_EMP,9,0),"Error")))))))))))))))))))))))))))))))),0)</f>
        <v>0</v>
      </c>
      <c r="T45" s="758" t="str">
        <f t="shared" ref="T45:T56" si="18">T6</f>
        <v>0 - 10</v>
      </c>
      <c r="U45" s="958">
        <f t="shared" ref="U45:U56" si="19">IFERROR(IF(AND(T$43="Employee",T$44="Abu Dhabi",U$44="Male",U$42=GN_Plus),VLOOKUP(T45,AUH_MALE_EMP,2,0),IF(AND(T$43="Employee",T$44="Abu Dhabi",U$44="Male",U$42=GN),VLOOKUP(T45,AUH_MALE_EMP,3,0),IF(AND(T$43="Employee",T$44="Abu Dhabi",U$44="Male",U$42=RN_Plus),VLOOKUP(T45,AUH_MALE_EMP,4,0),IF(AND(T$43="Employee",T$44="Abu Dhabi",U$44="Male",U$42=RN),VLOOKUP(T45,AUH_MALE_EMP,5,0),IF(AND(T$43="Employee",T$44="Abu Dhabi",U$44="Male",U$42=RN_2),VLOOKUP(T45,AUH_MALE_EMP,6,0),IF(AND(T$43="Employee",T$44="Abu Dhabi",U$44="Male",U$42=RN2_minus),VLOOKUP(T45,AUH_MALE_EMP,7,0),IF(AND(T$43="Employee",T$44="Abu Dhabi",U$44="Male",U$42=RN_3),VLOOKUP(T45,AUH_MALE_EMP,8,0),IF(AND(T$43="Employee",T$44="Abu Dhabi",U$44="Male",U$42=VN),VLOOKUP(T45,AUH_MALE_EMP,9,0),IF(AND(T$43="Employee",T$44="Abu Dhabi",U$44="Female",U$42=GN_Plus),VLOOKUP(T45,AUH_FEMALE_EMP,2,0),IF(AND(T$43="Employee",T$44="Abu Dhabi",U$44="Female",U$42=GN),VLOOKUP(T45,AUH_FEMALE_EMP,3,0),IF(AND(T$43="Employee",T$44="Abu Dhabi",U$44="Female",U$42=RN_Plus),VLOOKUP(T45,AUH_FEMALE_EMP,4,0),IF(AND(T$43="Employee",T$44="Abu Dhabi",U$44="Female",U$42=RN),VLOOKUP(T45,AUH_FEMALE_EMP,5,0),IF(AND(T$43="Employee",T$44="Abu Dhabi",U$44="Female",U$42=RN_2),VLOOKUP(T45,AUH_FEMALE_EMP,6,0),IF(AND(T$43="Employee",T$44="Abu Dhabi",U$44="Female",U$42=RN2_minus),VLOOKUP(T45,AUH_FEMALE_EMP,7,0),IF(AND(T$43="Employee",T$44="Abu Dhabi",U$44="Female",U$42=RN_3),VLOOKUP(T45,AUH_FEMALE_EMP,8,0),IF(AND(T$43="Employee",T$44="Abu Dhabi",U$44="Female",U$42=VN),VLOOKUP(T45,AUH_FEMALE_EMP,9,0),IF(AND(T$43="Employee",T$44="Dubai",U$44="Male",U$42=GN_Plus),VLOOKUP(T45,DXB_MALE_EMP,2,0),IF(AND(T$43="Employee",T$44="Dubai",U$44="Male",U$42=GN),VLOOKUP(T45,DXB_MALE_EMP,3,0),IF(AND(T$43="Employee",T$44="Dubai",U$44="Male",U$42=RN_Plus),VLOOKUP(T45,DXB_MALE_EMP,4,0),IF(AND(T$43="Employee",T$44="Dubai",U$44="Male",U$42=RN),VLOOKUP(T45,DXB_MALE_EMP,5,0),IF(AND(T$43="Employee",T$44="Dubai",U$44="Male",U$42=RN_2),VLOOKUP(T45,DXB_MALE_EMP,6,0),IF(AND(T$43="Employee",T$44="Dubai",U$44="Male",U$42=RN2_minus),VLOOKUP(T45,DXB_MALE_EMP,7,0),IF(AND(T$43="Employee",T$44="Dubai",U$44="Male",U$42=RN_3),VLOOKUP(T45,DXB_MALE_EMP,8,0),IF(AND(T$43="Employee",T$44="Dubai",U$44="Male",U$42=VN),VLOOKUP(T45,DXB_MALE_EMP,9,0),IF(AND(T$43="Employee",T$44="Dubai",U$44="Female",U$42=GN_Plus),VLOOKUP(T45,DXB_FEMALE_EMP,2,0),IF(AND(T$43="Employee",T$44="Dubai",U$44="Female",U$42=GN),VLOOKUP(T45,DXB_FEMALE_EMP,3,0),IF(AND(T$43="Employee",T$44="Dubai",U$44="Female",U$42=RN_Plus),VLOOKUP(T45,DXB_FEMALE_EMP,4,0),IF(AND(T$43="Employee",T$44="Dubai",U$44="Female",U$42=RN),VLOOKUP(T45,DXB_FEMALE_EMP,5,0),IF(AND(T$43="Employee",T$44="Dubai",U$44="Female",U$42=RN_2),VLOOKUP(T45,DXB_FEMALE_EMP,6,0),IF(AND(T$43="Employee",T$44="Dubai",U$44="Female",U$42=RN2_minus),VLOOKUP(T45,DXB_FEMALE_EMP,7,0),IF(AND(T$43="Employee",T$44="Dubai",U$44="Female",U$42=RN_3),VLOOKUP(T45,DXB_FEMALE_EMP,8,0),IF(AND(T$43="Employee",T$44="Dubai",U$44="Female",U$42=VN),VLOOKUP(T45,DXB_FEMALE_EMP,9,0),"Error")))))))))))))))))))))))))))))))),0)</f>
        <v>0</v>
      </c>
      <c r="V45" s="958">
        <f t="shared" ref="V45:V56" si="20">IFERROR(IF(AND(T$43="Employee",T$44="Abu Dhabi",V$44="Male",V$42=GN_Plus),VLOOKUP(T45,AUH_MALE_EMP,2,0),IF(AND(T$43="Employee",T$44="Abu Dhabi",V$44="Male",V$42=GN),VLOOKUP(T45,AUH_MALE_EMP,3,0),IF(AND(T$43="Employee",T$44="Abu Dhabi",V$44="Male",V$42=RN_Plus),VLOOKUP(T45,AUH_MALE_EMP,4,0),IF(AND(T$43="Employee",T$44="Abu Dhabi",V$44="Male",V$42=RN),VLOOKUP(T45,AUH_MALE_EMP,5,0),IF(AND(T$43="Employee",T$44="Abu Dhabi",V$44="Male",V$42=RN_2),VLOOKUP(T45,AUH_MALE_EMP,6,0),IF(AND(T$43="Employee",T$44="Abu Dhabi",V$44="Male",V$42=RN2_minus),VLOOKUP(T45,AUH_MALE_EMP,7,0),IF(AND(T$43="Employee",T$44="Abu Dhabi",V$44="Male",V$42=RN_3),VLOOKUP(T45,AUH_MALE_EMP,8,0),IF(AND(T$43="Employee",T$44="Abu Dhabi",V$44="Male",V$42=VN),VLOOKUP(T45,AUH_MALE_EMP,9,0),IF(AND(T$43="Employee",T$44="Abu Dhabi",V$44="Female",V$42=GN_Plus),VLOOKUP(T45,AUH_FEMALE_EMP,2,0),IF(AND(T$43="Employee",T$44="Abu Dhabi",V$44="Female",V$42=GN),VLOOKUP(T45,AUH_FEMALE_EMP,3,0),IF(AND(T$43="Employee",T$44="Abu Dhabi",V$44="Female",V$42=RN_Plus),VLOOKUP(T45,AUH_FEMALE_EMP,4,0),IF(AND(T$43="Employee",T$44="Abu Dhabi",V$44="Female",V$42=RN),VLOOKUP(T45,AUH_FEMALE_EMP,5,0),IF(AND(T$43="Employee",T$44="Abu Dhabi",V$44="Female",V$42=RN_2),VLOOKUP(T45,AUH_FEMALE_EMP,6,0),IF(AND(T$43="Employee",T$44="Abu Dhabi",V$44="Female",V$42=RN2_minus),VLOOKUP(T45,AUH_FEMALE_EMP,7,0),IF(AND(T$43="Employee",T$44="Abu Dhabi",V$44="Female",V$42=RN_3),VLOOKUP(T45,AUH_FEMALE_EMP,8,0),IF(AND(T$43="Employee",T$44="Abu Dhabi",V$44="Female",V$42=VN),VLOOKUP(T45,AUH_FEMALE_EMP,9,0),IF(AND(T$43="Employee",T$44="Dubai",V$44="Male",V$42=GN_Plus),VLOOKUP(T45,DXB_MALE_EMP,2,0),IF(AND(T$43="Employee",T$44="Dubai",V$44="Male",V$42=GN),VLOOKUP(T45,DXB_MALE_EMP,3,0),IF(AND(T$43="Employee",T$44="Dubai",V$44="Male",V$42=RN_Plus),VLOOKUP(T45,DXB_MALE_EMP,4,0),IF(AND(T$43="Employee",T$44="Dubai",V$44="Male",V$42=RN),VLOOKUP(T45,DXB_MALE_EMP,5,0),IF(AND(T$43="Employee",T$44="Dubai",V$44="Male",V$42=RN_2),VLOOKUP(T45,DXB_MALE_EMP,6,0),IF(AND(T$43="Employee",T$44="Dubai",V$44="Male",V$42=RN2_minus),VLOOKUP(T45,DXB_MALE_EMP,7,0),IF(AND(T$43="Employee",T$44="Dubai",V$44="Male",V$42=RN_3),VLOOKUP(T45,DXB_MALE_EMP,8,0),IF(AND(T$43="Employee",T$44="Dubai",V$44="Male",V$42=VN),VLOOKUP(T45,DXB_MALE_EMP,9,0),IF(AND(T$43="Employee",T$44="Dubai",V$44="Female",V$42=GN_Plus),VLOOKUP(T45,DXB_FEMALE_EMP,2,0),IF(AND(T$43="Employee",T$44="Dubai",V$44="Female",V$42=GN),VLOOKUP(T45,DXB_FEMALE_EMP,3,0),IF(AND(T$43="Employee",T$44="Dubai",V$44="Female",V$42=RN_Plus),VLOOKUP(T45,DXB_FEMALE_EMP,4,0),IF(AND(T$43="Employee",T$44="Dubai",V$44="Female",V$42=RN),VLOOKUP(T45,DXB_FEMALE_EMP,5,0),IF(AND(T$43="Employee",T$44="Dubai",V$44="Female",V$42=RN_2),VLOOKUP(T45,DXB_FEMALE_EMP,6,0),IF(AND(T$43="Employee",T$44="Dubai",V$44="Female",V$42=RN2_minus),VLOOKUP(T45,DXB_FEMALE_EMP,7,0),IF(AND(T$43="Employee",T$44="Dubai",V$44="Female",V$42=RN_3),VLOOKUP(T45,DXB_FEMALE_EMP,8,0),IF(AND(T$43="Employee",T$44="Dubai",V$44="Female",V$42=VN),VLOOKUP(T45,DXB_FEMALE_EMP,9,0),"Error")))))))))))))))))))))))))))))))),0)</f>
        <v>0</v>
      </c>
      <c r="W45" s="758" t="str">
        <f t="shared" ref="W45:W56" si="21">W6</f>
        <v>0 - 10</v>
      </c>
      <c r="X45" s="958">
        <f t="shared" ref="X45:X56" si="22">IFERROR(IF(AND(W$43="Employee",W$44="Abu Dhabi",X$44="Male",X$42=GN_Plus),VLOOKUP(W45,AUH_MALE_EMP,2,0),IF(AND(W$43="Employee",W$44="Abu Dhabi",X$44="Male",X$42=GN),VLOOKUP(W45,AUH_MALE_EMP,3,0),IF(AND(W$43="Employee",W$44="Abu Dhabi",X$44="Male",X$42=RN_Plus),VLOOKUP(W45,AUH_MALE_EMP,4,0),IF(AND(W$43="Employee",W$44="Abu Dhabi",X$44="Male",X$42=RN),VLOOKUP(W45,AUH_MALE_EMP,5,0),IF(AND(W$43="Employee",W$44="Abu Dhabi",X$44="Male",X$42=RN_2),VLOOKUP(W45,AUH_MALE_EMP,6,0),IF(AND(W$43="Employee",W$44="Abu Dhabi",X$44="Male",X$42=RN2_minus),VLOOKUP(W45,AUH_MALE_EMP,7,0),IF(AND(W$43="Employee",W$44="Abu Dhabi",X$44="Male",X$42=RN_3),VLOOKUP(W45,AUH_MALE_EMP,8,0),IF(AND(W$43="Employee",W$44="Abu Dhabi",X$44="Male",X$42=VN),VLOOKUP(W45,AUH_MALE_EMP,9,0),IF(AND(W$43="Employee",W$44="Abu Dhabi",X$44="Female",X$42=GN_Plus),VLOOKUP(W45,AUH_FEMALE_EMP,2,0),IF(AND(W$43="Employee",W$44="Abu Dhabi",X$44="Female",X$42=GN),VLOOKUP(W45,AUH_FEMALE_EMP,3,0),IF(AND(W$43="Employee",W$44="Abu Dhabi",X$44="Female",X$42=RN_Plus),VLOOKUP(W45,AUH_FEMALE_EMP,4,0),IF(AND(W$43="Employee",W$44="Abu Dhabi",X$44="Female",X$42=RN),VLOOKUP(W45,AUH_FEMALE_EMP,5,0),IF(AND(W$43="Employee",W$44="Abu Dhabi",X$44="Female",X$42=RN_2),VLOOKUP(W45,AUH_FEMALE_EMP,6,0),IF(AND(W$43="Employee",W$44="Abu Dhabi",X$44="Female",X$42=RN2_minus),VLOOKUP(W45,AUH_FEMALE_EMP,7,0),IF(AND(W$43="Employee",W$44="Abu Dhabi",X$44="Female",X$42=RN_3),VLOOKUP(W45,AUH_FEMALE_EMP,8,0),IF(AND(W$43="Employee",W$44="Abu Dhabi",X$44="Female",X$42=VN),VLOOKUP(W45,AUH_FEMALE_EMP,9,0),IF(AND(W$43="Employee",W$44="Dubai",X$44="Male",X$42=GN_Plus),VLOOKUP(W45,DXB_MALE_EMP,2,0),IF(AND(W$43="Employee",W$44="Dubai",X$44="Male",X$42=GN),VLOOKUP(W45,DXB_MALE_EMP,3,0),IF(AND(W$43="Employee",W$44="Dubai",X$44="Male",X$42=RN_Plus),VLOOKUP(W45,DXB_MALE_EMP,4,0),IF(AND(W$43="Employee",W$44="Dubai",X$44="Male",X$42=RN),VLOOKUP(W45,DXB_MALE_EMP,5,0),IF(AND(W$43="Employee",W$44="Dubai",X$44="Male",X$42=RN_2),VLOOKUP(W45,DXB_MALE_EMP,6,0),IF(AND(W$43="Employee",W$44="Dubai",X$44="Male",X$42=RN2_minus),VLOOKUP(W45,DXB_MALE_EMP,7,0),IF(AND(W$43="Employee",W$44="Dubai",X$44="Male",X$42=RN_3),VLOOKUP(W45,DXB_MALE_EMP,8,0),IF(AND(W$43="Employee",W$44="Dubai",X$44="Male",X$42=VN),VLOOKUP(W45,DXB_MALE_EMP,9,0),IF(AND(W$43="Employee",W$44="Dubai",X$44="Female",X$42=GN_Plus),VLOOKUP(W45,DXB_FEMALE_EMP,2,0),IF(AND(W$43="Employee",W$44="Dubai",X$44="Female",X$42=GN),VLOOKUP(W45,DXB_FEMALE_EMP,3,0),IF(AND(W$43="Employee",W$44="Dubai",X$44="Female",X$42=RN_Plus),VLOOKUP(W45,DXB_FEMALE_EMP,4,0),IF(AND(W$43="Employee",W$44="Dubai",X$44="Female",X$42=RN),VLOOKUP(W45,DXB_FEMALE_EMP,5,0),IF(AND(W$43="Employee",W$44="Dubai",X$44="Female",X$42=RN_2),VLOOKUP(W45,DXB_FEMALE_EMP,6,0),IF(AND(W$43="Employee",W$44="Dubai",X$44="Female",X$42=RN2_minus),VLOOKUP(W45,DXB_FEMALE_EMP,7,0),IF(AND(W$43="Employee",W$44="Dubai",X$44="Female",X$42=RN_3),VLOOKUP(W45,DXB_FEMALE_EMP,8,0),IF(AND(W$43="Employee",W$44="Dubai",X$44="Female",X$42=VN),VLOOKUP(W45,DXB_FEMALE_EMP,9,0),"Error")))))))))))))))))))))))))))))))),0)</f>
        <v>0</v>
      </c>
      <c r="Y45" s="958">
        <f t="shared" ref="Y45:Y56" si="23">IFERROR(IF(AND(W$43="Employee",W$44="Abu Dhabi",Y$44="Male",Y$42=GN_Plus),VLOOKUP(W45,AUH_MALE_EMP,2,0),IF(AND(W$43="Employee",W$44="Abu Dhabi",Y$44="Male",Y$42=GN),VLOOKUP(W45,AUH_MALE_EMP,3,0),IF(AND(W$43="Employee",W$44="Abu Dhabi",Y$44="Male",Y$42=RN_Plus),VLOOKUP(W45,AUH_MALE_EMP,4,0),IF(AND(W$43="Employee",W$44="Abu Dhabi",Y$44="Male",Y$42=RN),VLOOKUP(W45,AUH_MALE_EMP,5,0),IF(AND(W$43="Employee",W$44="Abu Dhabi",Y$44="Male",Y$42=RN_2),VLOOKUP(W45,AUH_MALE_EMP,6,0),IF(AND(W$43="Employee",W$44="Abu Dhabi",Y$44="Male",Y$42=RN2_minus),VLOOKUP(W45,AUH_MALE_EMP,7,0),IF(AND(W$43="Employee",W$44="Abu Dhabi",Y$44="Male",Y$42=RN_3),VLOOKUP(W45,AUH_MALE_EMP,8,0),IF(AND(W$43="Employee",W$44="Abu Dhabi",Y$44="Male",Y$42=VN),VLOOKUP(W45,AUH_MALE_EMP,9,0),IF(AND(W$43="Employee",W$44="Abu Dhabi",Y$44="Female",Y$42=GN_Plus),VLOOKUP(W45,AUH_FEMALE_EMP,2,0),IF(AND(W$43="Employee",W$44="Abu Dhabi",Y$44="Female",Y$42=GN),VLOOKUP(W45,AUH_FEMALE_EMP,3,0),IF(AND(W$43="Employee",W$44="Abu Dhabi",Y$44="Female",Y$42=RN_Plus),VLOOKUP(W45,AUH_FEMALE_EMP,4,0),IF(AND(W$43="Employee",W$44="Abu Dhabi",Y$44="Female",Y$42=RN),VLOOKUP(W45,AUH_FEMALE_EMP,5,0),IF(AND(W$43="Employee",W$44="Abu Dhabi",Y$44="Female",Y$42=RN_2),VLOOKUP(W45,AUH_FEMALE_EMP,6,0),IF(AND(W$43="Employee",W$44="Abu Dhabi",Y$44="Female",Y$42=RN2_minus),VLOOKUP(W45,AUH_FEMALE_EMP,7,0),IF(AND(W$43="Employee",W$44="Abu Dhabi",Y$44="Female",Y$42=RN_3),VLOOKUP(W45,AUH_FEMALE_EMP,8,0),IF(AND(W$43="Employee",W$44="Abu Dhabi",Y$44="Female",Y$42=VN),VLOOKUP(W45,AUH_FEMALE_EMP,9,0),IF(AND(W$43="Employee",W$44="Dubai",Y$44="Male",Y$42=GN_Plus),VLOOKUP(W45,DXB_MALE_EMP,2,0),IF(AND(W$43="Employee",W$44="Dubai",Y$44="Male",Y$42=GN),VLOOKUP(W45,DXB_MALE_EMP,3,0),IF(AND(W$43="Employee",W$44="Dubai",Y$44="Male",Y$42=RN_Plus),VLOOKUP(W45,DXB_MALE_EMP,4,0),IF(AND(W$43="Employee",W$44="Dubai",Y$44="Male",Y$42=RN),VLOOKUP(W45,DXB_MALE_EMP,5,0),IF(AND(W$43="Employee",W$44="Dubai",Y$44="Male",Y$42=RN_2),VLOOKUP(W45,DXB_MALE_EMP,6,0),IF(AND(W$43="Employee",W$44="Dubai",Y$44="Male",Y$42=RN2_minus),VLOOKUP(W45,DXB_MALE_EMP,7,0),IF(AND(W$43="Employee",W$44="Dubai",Y$44="Male",Y$42=RN_3),VLOOKUP(W45,DXB_MALE_EMP,8,0),IF(AND(W$43="Employee",W$44="Dubai",Y$44="Male",Y$42=VN),VLOOKUP(W45,DXB_MALE_EMP,9,0),IF(AND(W$43="Employee",W$44="Dubai",Y$44="Female",Y$42=GN_Plus),VLOOKUP(W45,DXB_FEMALE_EMP,2,0),IF(AND(W$43="Employee",W$44="Dubai",Y$44="Female",Y$42=GN),VLOOKUP(W45,DXB_FEMALE_EMP,3,0),IF(AND(W$43="Employee",W$44="Dubai",Y$44="Female",Y$42=RN_Plus),VLOOKUP(W45,DXB_FEMALE_EMP,4,0),IF(AND(W$43="Employee",W$44="Dubai",Y$44="Female",Y$42=RN),VLOOKUP(W45,DXB_FEMALE_EMP,5,0),IF(AND(W$43="Employee",W$44="Dubai",Y$44="Female",Y$42=RN_2),VLOOKUP(W45,DXB_FEMALE_EMP,6,0),IF(AND(W$43="Employee",W$44="Dubai",Y$44="Female",Y$42=RN2_minus),VLOOKUP(W45,DXB_FEMALE_EMP,7,0),IF(AND(W$43="Employee",W$44="Dubai",Y$44="Female",Y$42=RN_3),VLOOKUP(W45,DXB_FEMALE_EMP,8,0),IF(AND(W$43="Employee",W$44="Dubai",Y$44="Female",Y$42=VN),VLOOKUP(W45,DXB_FEMALE_EMP,9,0),"Error")))))))))))))))))))))))))))))))),0)</f>
        <v>0</v>
      </c>
      <c r="Z45" s="688"/>
    </row>
    <row r="46" spans="1:26" x14ac:dyDescent="0.25">
      <c r="B46" s="758" t="str">
        <f t="shared" si="0"/>
        <v>11 - 17</v>
      </c>
      <c r="C46" s="753">
        <f t="shared" si="1"/>
        <v>0</v>
      </c>
      <c r="D46" s="753">
        <f t="shared" si="2"/>
        <v>0</v>
      </c>
      <c r="E46" s="758" t="str">
        <f t="shared" si="3"/>
        <v>11 - 17</v>
      </c>
      <c r="F46" s="753">
        <f t="shared" si="4"/>
        <v>0</v>
      </c>
      <c r="G46" s="753">
        <f t="shared" si="5"/>
        <v>0</v>
      </c>
      <c r="H46" s="758" t="str">
        <f t="shared" si="6"/>
        <v>11 - 17</v>
      </c>
      <c r="I46" s="753">
        <f t="shared" si="7"/>
        <v>0</v>
      </c>
      <c r="J46" s="753">
        <f t="shared" si="8"/>
        <v>0</v>
      </c>
      <c r="K46" s="758" t="str">
        <f t="shared" si="9"/>
        <v>11 - 17</v>
      </c>
      <c r="L46" s="753">
        <f t="shared" si="10"/>
        <v>0</v>
      </c>
      <c r="M46" s="753">
        <f t="shared" si="11"/>
        <v>0</v>
      </c>
      <c r="N46" s="758" t="str">
        <f t="shared" si="12"/>
        <v>11 - 17</v>
      </c>
      <c r="O46" s="753">
        <f t="shared" si="13"/>
        <v>0</v>
      </c>
      <c r="P46" s="753">
        <f t="shared" si="14"/>
        <v>0</v>
      </c>
      <c r="Q46" s="758" t="str">
        <f t="shared" si="15"/>
        <v>11 - 17</v>
      </c>
      <c r="R46" s="753">
        <f t="shared" si="16"/>
        <v>0</v>
      </c>
      <c r="S46" s="753">
        <f t="shared" si="17"/>
        <v>0</v>
      </c>
      <c r="T46" s="758" t="str">
        <f t="shared" si="18"/>
        <v>11 - 17</v>
      </c>
      <c r="U46" s="753">
        <f t="shared" si="19"/>
        <v>0</v>
      </c>
      <c r="V46" s="753">
        <f t="shared" si="20"/>
        <v>0</v>
      </c>
      <c r="W46" s="758" t="str">
        <f t="shared" si="21"/>
        <v>11 - 17</v>
      </c>
      <c r="X46" s="753">
        <f t="shared" si="22"/>
        <v>0</v>
      </c>
      <c r="Y46" s="753">
        <f t="shared" si="23"/>
        <v>0</v>
      </c>
      <c r="Z46" s="688"/>
    </row>
    <row r="47" spans="1:26" x14ac:dyDescent="0.25">
      <c r="B47" s="758" t="str">
        <f t="shared" si="0"/>
        <v>18 - 25</v>
      </c>
      <c r="C47" s="753">
        <f t="shared" si="1"/>
        <v>1181</v>
      </c>
      <c r="D47" s="753">
        <f t="shared" si="2"/>
        <v>1006</v>
      </c>
      <c r="E47" s="758" t="str">
        <f t="shared" si="3"/>
        <v>18 - 25</v>
      </c>
      <c r="F47" s="753">
        <f t="shared" si="4"/>
        <v>0</v>
      </c>
      <c r="G47" s="753">
        <f t="shared" si="5"/>
        <v>0</v>
      </c>
      <c r="H47" s="758" t="str">
        <f t="shared" si="6"/>
        <v>18 - 25</v>
      </c>
      <c r="I47" s="753">
        <f t="shared" si="7"/>
        <v>0</v>
      </c>
      <c r="J47" s="753">
        <f t="shared" si="8"/>
        <v>0</v>
      </c>
      <c r="K47" s="758" t="str">
        <f t="shared" si="9"/>
        <v>18 - 25</v>
      </c>
      <c r="L47" s="753">
        <f t="shared" si="10"/>
        <v>0</v>
      </c>
      <c r="M47" s="753">
        <f t="shared" si="11"/>
        <v>0</v>
      </c>
      <c r="N47" s="758" t="str">
        <f t="shared" si="12"/>
        <v>18 - 25</v>
      </c>
      <c r="O47" s="753">
        <f t="shared" si="13"/>
        <v>0</v>
      </c>
      <c r="P47" s="753">
        <f t="shared" si="14"/>
        <v>0</v>
      </c>
      <c r="Q47" s="758" t="str">
        <f t="shared" si="15"/>
        <v>18 - 25</v>
      </c>
      <c r="R47" s="753">
        <f t="shared" si="16"/>
        <v>0</v>
      </c>
      <c r="S47" s="753">
        <f t="shared" si="17"/>
        <v>0</v>
      </c>
      <c r="T47" s="758" t="str">
        <f t="shared" si="18"/>
        <v>18 - 25</v>
      </c>
      <c r="U47" s="753">
        <f t="shared" si="19"/>
        <v>0</v>
      </c>
      <c r="V47" s="753">
        <f t="shared" si="20"/>
        <v>0</v>
      </c>
      <c r="W47" s="758" t="str">
        <f t="shared" si="21"/>
        <v>18 - 25</v>
      </c>
      <c r="X47" s="753">
        <f t="shared" si="22"/>
        <v>0</v>
      </c>
      <c r="Y47" s="753">
        <f t="shared" si="23"/>
        <v>0</v>
      </c>
      <c r="Z47" s="688"/>
    </row>
    <row r="48" spans="1:26" x14ac:dyDescent="0.25">
      <c r="B48" s="758" t="str">
        <f t="shared" si="0"/>
        <v>26 - 30</v>
      </c>
      <c r="C48" s="753">
        <f t="shared" si="1"/>
        <v>1284</v>
      </c>
      <c r="D48" s="753">
        <f t="shared" si="2"/>
        <v>1257</v>
      </c>
      <c r="E48" s="758" t="str">
        <f t="shared" si="3"/>
        <v>26 - 30</v>
      </c>
      <c r="F48" s="753">
        <f t="shared" si="4"/>
        <v>0</v>
      </c>
      <c r="G48" s="753">
        <f t="shared" si="5"/>
        <v>0</v>
      </c>
      <c r="H48" s="758" t="str">
        <f t="shared" si="6"/>
        <v>26 - 30</v>
      </c>
      <c r="I48" s="753">
        <f t="shared" si="7"/>
        <v>0</v>
      </c>
      <c r="J48" s="753">
        <f t="shared" si="8"/>
        <v>0</v>
      </c>
      <c r="K48" s="758" t="str">
        <f t="shared" si="9"/>
        <v>26 - 30</v>
      </c>
      <c r="L48" s="753">
        <f t="shared" si="10"/>
        <v>0</v>
      </c>
      <c r="M48" s="753">
        <f t="shared" si="11"/>
        <v>0</v>
      </c>
      <c r="N48" s="758" t="str">
        <f t="shared" si="12"/>
        <v>26 - 30</v>
      </c>
      <c r="O48" s="753">
        <f t="shared" si="13"/>
        <v>0</v>
      </c>
      <c r="P48" s="753">
        <f t="shared" si="14"/>
        <v>0</v>
      </c>
      <c r="Q48" s="758" t="str">
        <f t="shared" si="15"/>
        <v>26 - 30</v>
      </c>
      <c r="R48" s="753">
        <f t="shared" si="16"/>
        <v>0</v>
      </c>
      <c r="S48" s="753">
        <f t="shared" si="17"/>
        <v>0</v>
      </c>
      <c r="T48" s="758" t="str">
        <f t="shared" si="18"/>
        <v>26 - 30</v>
      </c>
      <c r="U48" s="753">
        <f t="shared" si="19"/>
        <v>0</v>
      </c>
      <c r="V48" s="753">
        <f t="shared" si="20"/>
        <v>0</v>
      </c>
      <c r="W48" s="758" t="str">
        <f t="shared" si="21"/>
        <v>26 - 30</v>
      </c>
      <c r="X48" s="753">
        <f t="shared" si="22"/>
        <v>0</v>
      </c>
      <c r="Y48" s="753">
        <f t="shared" si="23"/>
        <v>0</v>
      </c>
      <c r="Z48" s="688"/>
    </row>
    <row r="49" spans="2:26" x14ac:dyDescent="0.25">
      <c r="B49" s="758" t="str">
        <f t="shared" si="0"/>
        <v>31 - 35</v>
      </c>
      <c r="C49" s="753">
        <f t="shared" si="1"/>
        <v>1551</v>
      </c>
      <c r="D49" s="753">
        <f t="shared" si="2"/>
        <v>1507</v>
      </c>
      <c r="E49" s="758" t="str">
        <f t="shared" si="3"/>
        <v>31 - 35</v>
      </c>
      <c r="F49" s="753">
        <f t="shared" si="4"/>
        <v>0</v>
      </c>
      <c r="G49" s="753">
        <f t="shared" si="5"/>
        <v>0</v>
      </c>
      <c r="H49" s="758" t="str">
        <f t="shared" si="6"/>
        <v>31 - 35</v>
      </c>
      <c r="I49" s="753">
        <f t="shared" si="7"/>
        <v>0</v>
      </c>
      <c r="J49" s="753">
        <f t="shared" si="8"/>
        <v>0</v>
      </c>
      <c r="K49" s="758" t="str">
        <f t="shared" si="9"/>
        <v>31 - 35</v>
      </c>
      <c r="L49" s="753">
        <f t="shared" si="10"/>
        <v>0</v>
      </c>
      <c r="M49" s="753">
        <f t="shared" si="11"/>
        <v>0</v>
      </c>
      <c r="N49" s="758" t="str">
        <f t="shared" si="12"/>
        <v>31 - 35</v>
      </c>
      <c r="O49" s="753">
        <f t="shared" si="13"/>
        <v>0</v>
      </c>
      <c r="P49" s="753">
        <f t="shared" si="14"/>
        <v>0</v>
      </c>
      <c r="Q49" s="758" t="str">
        <f t="shared" si="15"/>
        <v>31 - 35</v>
      </c>
      <c r="R49" s="753">
        <f t="shared" si="16"/>
        <v>0</v>
      </c>
      <c r="S49" s="753">
        <f t="shared" si="17"/>
        <v>0</v>
      </c>
      <c r="T49" s="758" t="str">
        <f t="shared" si="18"/>
        <v>31 - 35</v>
      </c>
      <c r="U49" s="753">
        <f t="shared" si="19"/>
        <v>0</v>
      </c>
      <c r="V49" s="753">
        <f t="shared" si="20"/>
        <v>0</v>
      </c>
      <c r="W49" s="758" t="str">
        <f t="shared" si="21"/>
        <v>31 - 35</v>
      </c>
      <c r="X49" s="753">
        <f t="shared" si="22"/>
        <v>0</v>
      </c>
      <c r="Y49" s="753">
        <f t="shared" si="23"/>
        <v>0</v>
      </c>
      <c r="Z49" s="688"/>
    </row>
    <row r="50" spans="2:26" x14ac:dyDescent="0.25">
      <c r="B50" s="758" t="str">
        <f t="shared" si="0"/>
        <v>36 - 40</v>
      </c>
      <c r="C50" s="753">
        <f t="shared" si="1"/>
        <v>1916</v>
      </c>
      <c r="D50" s="753">
        <f t="shared" si="2"/>
        <v>1887</v>
      </c>
      <c r="E50" s="758" t="str">
        <f t="shared" si="3"/>
        <v>36 - 40</v>
      </c>
      <c r="F50" s="753">
        <f t="shared" si="4"/>
        <v>0</v>
      </c>
      <c r="G50" s="753">
        <f t="shared" si="5"/>
        <v>0</v>
      </c>
      <c r="H50" s="758" t="str">
        <f t="shared" si="6"/>
        <v>36 - 40</v>
      </c>
      <c r="I50" s="753">
        <f t="shared" si="7"/>
        <v>0</v>
      </c>
      <c r="J50" s="753">
        <f t="shared" si="8"/>
        <v>0</v>
      </c>
      <c r="K50" s="758" t="str">
        <f t="shared" si="9"/>
        <v>36 - 40</v>
      </c>
      <c r="L50" s="753">
        <f t="shared" si="10"/>
        <v>0</v>
      </c>
      <c r="M50" s="753">
        <f t="shared" si="11"/>
        <v>0</v>
      </c>
      <c r="N50" s="758" t="str">
        <f t="shared" si="12"/>
        <v>36 - 40</v>
      </c>
      <c r="O50" s="753">
        <f t="shared" si="13"/>
        <v>0</v>
      </c>
      <c r="P50" s="753">
        <f t="shared" si="14"/>
        <v>0</v>
      </c>
      <c r="Q50" s="758" t="str">
        <f t="shared" si="15"/>
        <v>36 - 40</v>
      </c>
      <c r="R50" s="753">
        <f t="shared" si="16"/>
        <v>0</v>
      </c>
      <c r="S50" s="753">
        <f t="shared" si="17"/>
        <v>0</v>
      </c>
      <c r="T50" s="758" t="str">
        <f t="shared" si="18"/>
        <v>36 - 40</v>
      </c>
      <c r="U50" s="753">
        <f t="shared" si="19"/>
        <v>0</v>
      </c>
      <c r="V50" s="753">
        <f t="shared" si="20"/>
        <v>0</v>
      </c>
      <c r="W50" s="758" t="str">
        <f t="shared" si="21"/>
        <v>36 - 40</v>
      </c>
      <c r="X50" s="753">
        <f t="shared" si="22"/>
        <v>0</v>
      </c>
      <c r="Y50" s="753">
        <f t="shared" si="23"/>
        <v>0</v>
      </c>
      <c r="Z50" s="688"/>
    </row>
    <row r="51" spans="2:26" x14ac:dyDescent="0.25">
      <c r="B51" s="758" t="str">
        <f t="shared" si="0"/>
        <v>41 - 45</v>
      </c>
      <c r="C51" s="753">
        <f t="shared" si="1"/>
        <v>2248</v>
      </c>
      <c r="D51" s="753">
        <f t="shared" si="2"/>
        <v>2426</v>
      </c>
      <c r="E51" s="758" t="str">
        <f t="shared" si="3"/>
        <v>41 - 45</v>
      </c>
      <c r="F51" s="753">
        <f t="shared" si="4"/>
        <v>0</v>
      </c>
      <c r="G51" s="753">
        <f t="shared" si="5"/>
        <v>0</v>
      </c>
      <c r="H51" s="758" t="str">
        <f t="shared" si="6"/>
        <v>41 - 45</v>
      </c>
      <c r="I51" s="753">
        <f t="shared" si="7"/>
        <v>0</v>
      </c>
      <c r="J51" s="753">
        <f t="shared" si="8"/>
        <v>0</v>
      </c>
      <c r="K51" s="758" t="str">
        <f t="shared" si="9"/>
        <v>41 - 45</v>
      </c>
      <c r="L51" s="753">
        <f t="shared" si="10"/>
        <v>0</v>
      </c>
      <c r="M51" s="753">
        <f t="shared" si="11"/>
        <v>0</v>
      </c>
      <c r="N51" s="758" t="str">
        <f t="shared" si="12"/>
        <v>41 - 45</v>
      </c>
      <c r="O51" s="753">
        <f t="shared" si="13"/>
        <v>0</v>
      </c>
      <c r="P51" s="753">
        <f t="shared" si="14"/>
        <v>0</v>
      </c>
      <c r="Q51" s="758" t="str">
        <f t="shared" si="15"/>
        <v>41 - 45</v>
      </c>
      <c r="R51" s="753">
        <f t="shared" si="16"/>
        <v>0</v>
      </c>
      <c r="S51" s="753">
        <f t="shared" si="17"/>
        <v>0</v>
      </c>
      <c r="T51" s="758" t="str">
        <f t="shared" si="18"/>
        <v>41 - 45</v>
      </c>
      <c r="U51" s="753">
        <f t="shared" si="19"/>
        <v>0</v>
      </c>
      <c r="V51" s="753">
        <f t="shared" si="20"/>
        <v>0</v>
      </c>
      <c r="W51" s="758" t="str">
        <f t="shared" si="21"/>
        <v>41 - 45</v>
      </c>
      <c r="X51" s="753">
        <f t="shared" si="22"/>
        <v>0</v>
      </c>
      <c r="Y51" s="753">
        <f t="shared" si="23"/>
        <v>0</v>
      </c>
      <c r="Z51" s="688"/>
    </row>
    <row r="52" spans="2:26" x14ac:dyDescent="0.25">
      <c r="B52" s="758" t="str">
        <f t="shared" si="0"/>
        <v>46 - 50</v>
      </c>
      <c r="C52" s="753">
        <f t="shared" si="1"/>
        <v>2939</v>
      </c>
      <c r="D52" s="753">
        <f t="shared" si="2"/>
        <v>3040</v>
      </c>
      <c r="E52" s="758" t="str">
        <f t="shared" si="3"/>
        <v>46 - 50</v>
      </c>
      <c r="F52" s="753">
        <f t="shared" si="4"/>
        <v>0</v>
      </c>
      <c r="G52" s="753">
        <f t="shared" si="5"/>
        <v>0</v>
      </c>
      <c r="H52" s="758" t="str">
        <f t="shared" si="6"/>
        <v>46 - 50</v>
      </c>
      <c r="I52" s="753">
        <f t="shared" si="7"/>
        <v>0</v>
      </c>
      <c r="J52" s="753">
        <f t="shared" si="8"/>
        <v>0</v>
      </c>
      <c r="K52" s="758" t="str">
        <f t="shared" si="9"/>
        <v>46 - 50</v>
      </c>
      <c r="L52" s="753">
        <f t="shared" si="10"/>
        <v>0</v>
      </c>
      <c r="M52" s="753">
        <f t="shared" si="11"/>
        <v>0</v>
      </c>
      <c r="N52" s="758" t="str">
        <f t="shared" si="12"/>
        <v>46 - 50</v>
      </c>
      <c r="O52" s="753">
        <f t="shared" si="13"/>
        <v>0</v>
      </c>
      <c r="P52" s="753">
        <f t="shared" si="14"/>
        <v>0</v>
      </c>
      <c r="Q52" s="758" t="str">
        <f t="shared" si="15"/>
        <v>46 - 50</v>
      </c>
      <c r="R52" s="753">
        <f t="shared" si="16"/>
        <v>0</v>
      </c>
      <c r="S52" s="753">
        <f t="shared" si="17"/>
        <v>0</v>
      </c>
      <c r="T52" s="758" t="str">
        <f t="shared" si="18"/>
        <v>46 - 50</v>
      </c>
      <c r="U52" s="753">
        <f t="shared" si="19"/>
        <v>0</v>
      </c>
      <c r="V52" s="753">
        <f t="shared" si="20"/>
        <v>0</v>
      </c>
      <c r="W52" s="758" t="str">
        <f t="shared" si="21"/>
        <v>46 - 50</v>
      </c>
      <c r="X52" s="753">
        <f t="shared" si="22"/>
        <v>0</v>
      </c>
      <c r="Y52" s="753">
        <f t="shared" si="23"/>
        <v>0</v>
      </c>
      <c r="Z52" s="688"/>
    </row>
    <row r="53" spans="2:26" x14ac:dyDescent="0.25">
      <c r="B53" s="758" t="str">
        <f t="shared" si="0"/>
        <v>51 - 55</v>
      </c>
      <c r="C53" s="753">
        <f t="shared" si="1"/>
        <v>3939</v>
      </c>
      <c r="D53" s="753">
        <f t="shared" si="2"/>
        <v>4014</v>
      </c>
      <c r="E53" s="758" t="str">
        <f t="shared" si="3"/>
        <v>51 - 55</v>
      </c>
      <c r="F53" s="753">
        <f t="shared" si="4"/>
        <v>0</v>
      </c>
      <c r="G53" s="753">
        <f t="shared" si="5"/>
        <v>0</v>
      </c>
      <c r="H53" s="758" t="str">
        <f t="shared" si="6"/>
        <v>51 - 55</v>
      </c>
      <c r="I53" s="753">
        <f t="shared" si="7"/>
        <v>0</v>
      </c>
      <c r="J53" s="753">
        <f t="shared" si="8"/>
        <v>0</v>
      </c>
      <c r="K53" s="758" t="str">
        <f t="shared" si="9"/>
        <v>51 - 55</v>
      </c>
      <c r="L53" s="753">
        <f t="shared" si="10"/>
        <v>0</v>
      </c>
      <c r="M53" s="753">
        <f t="shared" si="11"/>
        <v>0</v>
      </c>
      <c r="N53" s="758" t="str">
        <f t="shared" si="12"/>
        <v>51 - 55</v>
      </c>
      <c r="O53" s="753">
        <f t="shared" si="13"/>
        <v>0</v>
      </c>
      <c r="P53" s="753">
        <f t="shared" si="14"/>
        <v>0</v>
      </c>
      <c r="Q53" s="758" t="str">
        <f t="shared" si="15"/>
        <v>51 - 55</v>
      </c>
      <c r="R53" s="753">
        <f t="shared" si="16"/>
        <v>0</v>
      </c>
      <c r="S53" s="753">
        <f t="shared" si="17"/>
        <v>0</v>
      </c>
      <c r="T53" s="758" t="str">
        <f t="shared" si="18"/>
        <v>51 - 55</v>
      </c>
      <c r="U53" s="753">
        <f t="shared" si="19"/>
        <v>0</v>
      </c>
      <c r="V53" s="753">
        <f t="shared" si="20"/>
        <v>0</v>
      </c>
      <c r="W53" s="758" t="str">
        <f t="shared" si="21"/>
        <v>51 - 55</v>
      </c>
      <c r="X53" s="753">
        <f t="shared" si="22"/>
        <v>0</v>
      </c>
      <c r="Y53" s="753">
        <f t="shared" si="23"/>
        <v>0</v>
      </c>
      <c r="Z53" s="688"/>
    </row>
    <row r="54" spans="2:26" x14ac:dyDescent="0.25">
      <c r="B54" s="758" t="str">
        <f t="shared" si="0"/>
        <v>56 - 59</v>
      </c>
      <c r="C54" s="753">
        <f t="shared" si="1"/>
        <v>5360</v>
      </c>
      <c r="D54" s="753">
        <f t="shared" si="2"/>
        <v>4914</v>
      </c>
      <c r="E54" s="758" t="str">
        <f t="shared" si="3"/>
        <v>56 - 59</v>
      </c>
      <c r="F54" s="753">
        <f t="shared" si="4"/>
        <v>0</v>
      </c>
      <c r="G54" s="753">
        <f t="shared" si="5"/>
        <v>0</v>
      </c>
      <c r="H54" s="758" t="str">
        <f t="shared" si="6"/>
        <v>56 - 59</v>
      </c>
      <c r="I54" s="753">
        <f t="shared" si="7"/>
        <v>0</v>
      </c>
      <c r="J54" s="753">
        <f t="shared" si="8"/>
        <v>0</v>
      </c>
      <c r="K54" s="758" t="str">
        <f t="shared" si="9"/>
        <v>56 - 59</v>
      </c>
      <c r="L54" s="753">
        <f t="shared" si="10"/>
        <v>0</v>
      </c>
      <c r="M54" s="753">
        <f t="shared" si="11"/>
        <v>0</v>
      </c>
      <c r="N54" s="758" t="str">
        <f t="shared" si="12"/>
        <v>56 - 59</v>
      </c>
      <c r="O54" s="753">
        <f t="shared" si="13"/>
        <v>0</v>
      </c>
      <c r="P54" s="753">
        <f t="shared" si="14"/>
        <v>0</v>
      </c>
      <c r="Q54" s="758" t="str">
        <f t="shared" si="15"/>
        <v>56 - 59</v>
      </c>
      <c r="R54" s="753">
        <f t="shared" si="16"/>
        <v>0</v>
      </c>
      <c r="S54" s="753">
        <f t="shared" si="17"/>
        <v>0</v>
      </c>
      <c r="T54" s="758" t="str">
        <f t="shared" si="18"/>
        <v>56 - 59</v>
      </c>
      <c r="U54" s="753">
        <f t="shared" si="19"/>
        <v>0</v>
      </c>
      <c r="V54" s="753">
        <f t="shared" si="20"/>
        <v>0</v>
      </c>
      <c r="W54" s="758" t="str">
        <f t="shared" si="21"/>
        <v>56 - 59</v>
      </c>
      <c r="X54" s="753">
        <f t="shared" si="22"/>
        <v>0</v>
      </c>
      <c r="Y54" s="753">
        <f t="shared" si="23"/>
        <v>0</v>
      </c>
      <c r="Z54" s="688"/>
    </row>
    <row r="55" spans="2:26" x14ac:dyDescent="0.25">
      <c r="B55" s="758" t="str">
        <f t="shared" si="0"/>
        <v>60 - 64</v>
      </c>
      <c r="C55" s="753">
        <f t="shared" si="1"/>
        <v>6594</v>
      </c>
      <c r="D55" s="753">
        <f t="shared" si="2"/>
        <v>5841</v>
      </c>
      <c r="E55" s="758" t="str">
        <f t="shared" si="3"/>
        <v>60 - 64</v>
      </c>
      <c r="F55" s="753">
        <f t="shared" si="4"/>
        <v>0</v>
      </c>
      <c r="G55" s="753">
        <f t="shared" si="5"/>
        <v>0</v>
      </c>
      <c r="H55" s="758" t="str">
        <f t="shared" si="6"/>
        <v>60 - 64</v>
      </c>
      <c r="I55" s="753">
        <f t="shared" si="7"/>
        <v>0</v>
      </c>
      <c r="J55" s="753">
        <f t="shared" si="8"/>
        <v>0</v>
      </c>
      <c r="K55" s="758" t="str">
        <f t="shared" si="9"/>
        <v>60 - 64</v>
      </c>
      <c r="L55" s="753">
        <f t="shared" si="10"/>
        <v>0</v>
      </c>
      <c r="M55" s="753">
        <f t="shared" si="11"/>
        <v>0</v>
      </c>
      <c r="N55" s="758" t="str">
        <f t="shared" si="12"/>
        <v>60 - 64</v>
      </c>
      <c r="O55" s="753">
        <f t="shared" si="13"/>
        <v>0</v>
      </c>
      <c r="P55" s="753">
        <f t="shared" si="14"/>
        <v>0</v>
      </c>
      <c r="Q55" s="758" t="str">
        <f t="shared" si="15"/>
        <v>60 - 64</v>
      </c>
      <c r="R55" s="753">
        <f t="shared" si="16"/>
        <v>0</v>
      </c>
      <c r="S55" s="753">
        <f t="shared" si="17"/>
        <v>0</v>
      </c>
      <c r="T55" s="758" t="str">
        <f t="shared" si="18"/>
        <v>60 - 64</v>
      </c>
      <c r="U55" s="753">
        <f t="shared" si="19"/>
        <v>0</v>
      </c>
      <c r="V55" s="753">
        <f t="shared" si="20"/>
        <v>0</v>
      </c>
      <c r="W55" s="758" t="str">
        <f t="shared" si="21"/>
        <v>60 - 64</v>
      </c>
      <c r="X55" s="753">
        <f t="shared" si="22"/>
        <v>0</v>
      </c>
      <c r="Y55" s="753">
        <f t="shared" si="23"/>
        <v>0</v>
      </c>
      <c r="Z55" s="688"/>
    </row>
    <row r="56" spans="2:26" x14ac:dyDescent="0.25">
      <c r="B56" s="758" t="str">
        <f t="shared" si="0"/>
        <v>65 - 99</v>
      </c>
      <c r="C56" s="753">
        <f t="shared" si="1"/>
        <v>11869.2</v>
      </c>
      <c r="D56" s="753">
        <f t="shared" si="2"/>
        <v>10513.800000000001</v>
      </c>
      <c r="E56" s="758" t="str">
        <f t="shared" si="3"/>
        <v>65 - 99</v>
      </c>
      <c r="F56" s="753">
        <f t="shared" si="4"/>
        <v>0</v>
      </c>
      <c r="G56" s="753">
        <f t="shared" si="5"/>
        <v>0</v>
      </c>
      <c r="H56" s="758" t="str">
        <f t="shared" si="6"/>
        <v>65 - 99</v>
      </c>
      <c r="I56" s="753">
        <f t="shared" si="7"/>
        <v>0</v>
      </c>
      <c r="J56" s="753">
        <f t="shared" si="8"/>
        <v>0</v>
      </c>
      <c r="K56" s="758" t="str">
        <f t="shared" si="9"/>
        <v>65 - 99</v>
      </c>
      <c r="L56" s="753">
        <f t="shared" si="10"/>
        <v>0</v>
      </c>
      <c r="M56" s="753">
        <f t="shared" si="11"/>
        <v>0</v>
      </c>
      <c r="N56" s="758" t="str">
        <f t="shared" si="12"/>
        <v>65 - 99</v>
      </c>
      <c r="O56" s="753">
        <f t="shared" si="13"/>
        <v>0</v>
      </c>
      <c r="P56" s="753">
        <f t="shared" si="14"/>
        <v>0</v>
      </c>
      <c r="Q56" s="758" t="str">
        <f t="shared" si="15"/>
        <v>65 - 99</v>
      </c>
      <c r="R56" s="753">
        <f t="shared" si="16"/>
        <v>0</v>
      </c>
      <c r="S56" s="753">
        <f t="shared" si="17"/>
        <v>0</v>
      </c>
      <c r="T56" s="758" t="str">
        <f t="shared" si="18"/>
        <v>65 - 99</v>
      </c>
      <c r="U56" s="753">
        <f t="shared" si="19"/>
        <v>0</v>
      </c>
      <c r="V56" s="753">
        <f t="shared" si="20"/>
        <v>0</v>
      </c>
      <c r="W56" s="758" t="str">
        <f t="shared" si="21"/>
        <v>65 - 99</v>
      </c>
      <c r="X56" s="753">
        <f t="shared" si="22"/>
        <v>0</v>
      </c>
      <c r="Y56" s="753">
        <f t="shared" si="23"/>
        <v>0</v>
      </c>
      <c r="Z56" s="688"/>
    </row>
    <row r="57" spans="2:26" x14ac:dyDescent="0.25">
      <c r="B57" s="755"/>
      <c r="C57" s="754"/>
      <c r="D57" s="754"/>
      <c r="E57" s="754"/>
      <c r="F57" s="754"/>
      <c r="G57" s="754"/>
      <c r="H57" s="754"/>
      <c r="I57" s="754"/>
      <c r="J57" s="754"/>
      <c r="K57" s="754"/>
      <c r="L57" s="754"/>
      <c r="M57" s="754"/>
      <c r="N57" s="754"/>
      <c r="O57" s="754"/>
      <c r="P57" s="754"/>
      <c r="Q57" s="754"/>
      <c r="R57" s="754"/>
      <c r="S57" s="754"/>
      <c r="T57" s="754"/>
      <c r="U57" s="754"/>
      <c r="V57" s="754"/>
      <c r="W57" s="754"/>
      <c r="X57" s="754"/>
      <c r="Y57" s="754"/>
      <c r="Z57" s="756"/>
    </row>
    <row r="58" spans="2:26" ht="15.75" thickBot="1" x14ac:dyDescent="0.3">
      <c r="B58" s="695"/>
      <c r="C58" s="570"/>
      <c r="D58" s="570"/>
      <c r="E58" s="570"/>
      <c r="F58" s="570"/>
      <c r="G58" s="570"/>
      <c r="H58" s="570"/>
      <c r="I58" s="570"/>
      <c r="J58" s="570"/>
      <c r="K58" s="570"/>
      <c r="L58" s="570"/>
      <c r="M58" s="570"/>
      <c r="N58" s="570"/>
      <c r="O58" s="570"/>
      <c r="P58" s="696"/>
      <c r="Q58" s="570"/>
      <c r="R58" s="570"/>
      <c r="S58" s="570"/>
      <c r="T58" s="570"/>
      <c r="U58" s="570"/>
      <c r="V58" s="570"/>
      <c r="W58" s="570"/>
      <c r="X58" s="570"/>
      <c r="Y58" s="570"/>
      <c r="Z58" s="697"/>
    </row>
    <row r="59" spans="2:26" ht="15.75" thickBot="1" x14ac:dyDescent="0.3"/>
    <row r="60" spans="2:26" x14ac:dyDescent="0.25">
      <c r="B60" s="789" t="s">
        <v>335</v>
      </c>
      <c r="C60" s="569"/>
      <c r="D60" s="569"/>
      <c r="E60" s="569"/>
      <c r="F60" s="569"/>
      <c r="G60" s="569"/>
      <c r="H60" s="569"/>
      <c r="I60" s="569"/>
      <c r="J60" s="569"/>
      <c r="K60" s="569"/>
      <c r="L60" s="569"/>
      <c r="M60" s="569"/>
      <c r="N60" s="569"/>
      <c r="O60" s="569"/>
      <c r="P60" s="685"/>
      <c r="Q60" s="569"/>
      <c r="R60" s="569"/>
      <c r="S60" s="569"/>
      <c r="T60" s="569"/>
      <c r="U60" s="569"/>
      <c r="V60" s="569"/>
      <c r="W60" s="569"/>
      <c r="X60" s="569"/>
      <c r="Y60" s="569"/>
      <c r="Z60" s="686"/>
    </row>
    <row r="61" spans="2:26" ht="15.75" x14ac:dyDescent="0.25">
      <c r="B61" s="687"/>
      <c r="C61" s="693" t="str">
        <f>VLOOKUP(C62,'General Basis'!$J$39:$K$46,2,0)</f>
        <v>RN3</v>
      </c>
      <c r="D61" s="693" t="str">
        <f>VLOOKUP(D62,'General Basis'!$J$39:$K$46,2,0)</f>
        <v>RN3</v>
      </c>
      <c r="F61" s="693" t="e">
        <f>VLOOKUP(F62,'General Basis'!$J$39:$K$46,2,0)</f>
        <v>#N/A</v>
      </c>
      <c r="G61" s="693" t="e">
        <f>VLOOKUP(G62,'General Basis'!$J$39:$K$46,2,0)</f>
        <v>#N/A</v>
      </c>
      <c r="I61" s="693" t="e">
        <f>VLOOKUP(I62,'General Basis'!$J$39:$K$46,2,0)</f>
        <v>#N/A</v>
      </c>
      <c r="J61" s="693" t="e">
        <f>VLOOKUP(J62,'General Basis'!$J$39:$K$46,2,0)</f>
        <v>#N/A</v>
      </c>
      <c r="L61" s="693" t="e">
        <f>VLOOKUP(L62,'General Basis'!$J$39:$K$46,2,0)</f>
        <v>#N/A</v>
      </c>
      <c r="M61" s="693" t="e">
        <f>VLOOKUP(M62,'General Basis'!$J$39:$K$46,2,0)</f>
        <v>#N/A</v>
      </c>
      <c r="O61" s="693" t="e">
        <f>VLOOKUP(O62,'General Basis'!$J$39:$K$46,2,0)</f>
        <v>#N/A</v>
      </c>
      <c r="P61" s="693" t="e">
        <f>VLOOKUP(P62,'General Basis'!$J$39:$K$46,2,0)</f>
        <v>#N/A</v>
      </c>
      <c r="R61" s="693" t="e">
        <f>VLOOKUP(R62,'General Basis'!$J$39:$K$46,2,0)</f>
        <v>#N/A</v>
      </c>
      <c r="S61" s="693" t="e">
        <f>VLOOKUP(S62,'General Basis'!$J$39:$K$46,2,0)</f>
        <v>#N/A</v>
      </c>
      <c r="U61" s="693" t="e">
        <f>VLOOKUP(U62,'General Basis'!$J$39:$K$46,2,0)</f>
        <v>#N/A</v>
      </c>
      <c r="V61" s="693" t="e">
        <f>VLOOKUP(V62,'General Basis'!$J$39:$K$46,2,0)</f>
        <v>#N/A</v>
      </c>
      <c r="X61" s="693" t="e">
        <f>VLOOKUP(X62,'General Basis'!$J$39:$K$46,2,0)</f>
        <v>#N/A</v>
      </c>
      <c r="Y61" s="693" t="e">
        <f>VLOOKUP(Y62,'General Basis'!$J$39:$K$46,2,0)</f>
        <v>#N/A</v>
      </c>
      <c r="Z61" s="688"/>
    </row>
    <row r="62" spans="2:26" ht="15.75" x14ac:dyDescent="0.25">
      <c r="B62" s="788" t="s">
        <v>958</v>
      </c>
      <c r="C62" s="693" t="s">
        <v>271</v>
      </c>
      <c r="D62" s="693" t="str">
        <f>C62</f>
        <v>A</v>
      </c>
      <c r="E62" s="788" t="str">
        <f>B62</f>
        <v>Dependent</v>
      </c>
      <c r="F62" s="693" t="s">
        <v>272</v>
      </c>
      <c r="G62" s="693" t="str">
        <f>F62</f>
        <v>B</v>
      </c>
      <c r="H62" s="788" t="str">
        <f>E62</f>
        <v>Dependent</v>
      </c>
      <c r="I62" s="693" t="s">
        <v>273</v>
      </c>
      <c r="J62" s="693" t="str">
        <f>I62</f>
        <v>C</v>
      </c>
      <c r="K62" s="788" t="str">
        <f>H62</f>
        <v>Dependent</v>
      </c>
      <c r="L62" s="693" t="s">
        <v>274</v>
      </c>
      <c r="M62" s="693" t="str">
        <f>L62</f>
        <v>D</v>
      </c>
      <c r="N62" s="788" t="str">
        <f>K62</f>
        <v>Dependent</v>
      </c>
      <c r="O62" s="693" t="s">
        <v>365</v>
      </c>
      <c r="P62" s="693" t="str">
        <f>O62</f>
        <v>E</v>
      </c>
      <c r="Q62" s="788" t="str">
        <f>N62</f>
        <v>Dependent</v>
      </c>
      <c r="R62" s="693" t="s">
        <v>62</v>
      </c>
      <c r="S62" s="693" t="str">
        <f>R62</f>
        <v>F</v>
      </c>
      <c r="T62" s="788" t="str">
        <f>Q62</f>
        <v>Dependent</v>
      </c>
      <c r="U62" s="693" t="s">
        <v>366</v>
      </c>
      <c r="V62" s="693" t="str">
        <f>U62</f>
        <v>G</v>
      </c>
      <c r="W62" s="788" t="str">
        <f>T62</f>
        <v>Dependent</v>
      </c>
      <c r="X62" s="693" t="s">
        <v>367</v>
      </c>
      <c r="Y62" s="693" t="str">
        <f>X62</f>
        <v>H</v>
      </c>
      <c r="Z62" s="752"/>
    </row>
    <row r="63" spans="2:26" ht="15.75" x14ac:dyDescent="0.25">
      <c r="B63" s="757" t="str">
        <f>B24</f>
        <v>Dubai</v>
      </c>
      <c r="C63" s="689" t="s">
        <v>65</v>
      </c>
      <c r="D63" s="694" t="s">
        <v>66</v>
      </c>
      <c r="E63" s="757" t="str">
        <f>E24</f>
        <v>Dubai</v>
      </c>
      <c r="F63" s="689" t="s">
        <v>65</v>
      </c>
      <c r="G63" s="694" t="s">
        <v>66</v>
      </c>
      <c r="H63" s="757" t="str">
        <f>H24</f>
        <v>Dubai</v>
      </c>
      <c r="I63" s="689" t="s">
        <v>65</v>
      </c>
      <c r="J63" s="694" t="s">
        <v>66</v>
      </c>
      <c r="K63" s="757" t="str">
        <f>K24</f>
        <v>Dubai</v>
      </c>
      <c r="L63" s="689" t="s">
        <v>65</v>
      </c>
      <c r="M63" s="694" t="s">
        <v>66</v>
      </c>
      <c r="N63" s="757" t="str">
        <f>N24</f>
        <v>Dubai</v>
      </c>
      <c r="O63" s="689" t="s">
        <v>65</v>
      </c>
      <c r="P63" s="694" t="s">
        <v>66</v>
      </c>
      <c r="Q63" s="757" t="str">
        <f>Q24</f>
        <v>Dubai</v>
      </c>
      <c r="R63" s="689" t="s">
        <v>65</v>
      </c>
      <c r="S63" s="694" t="s">
        <v>66</v>
      </c>
      <c r="T63" s="757" t="str">
        <f>T24</f>
        <v>Dubai</v>
      </c>
      <c r="U63" s="689" t="s">
        <v>65</v>
      </c>
      <c r="V63" s="694" t="s">
        <v>66</v>
      </c>
      <c r="W63" s="757" t="str">
        <f>W24</f>
        <v>Dubai</v>
      </c>
      <c r="X63" s="689" t="s">
        <v>65</v>
      </c>
      <c r="Y63" s="694" t="s">
        <v>66</v>
      </c>
      <c r="Z63" s="688"/>
    </row>
    <row r="64" spans="2:26" x14ac:dyDescent="0.25">
      <c r="B64" s="758" t="str">
        <f t="shared" ref="B64:B75" si="24">B25</f>
        <v>0 - 10</v>
      </c>
      <c r="C64" s="958">
        <f t="shared" ref="C64:C75" si="25">IFERROR(IF(AND(B$62="Dependent",B$63="Abu Dhabi",C$63="Male",C$61=GN_Plus),VLOOKUP(B64,AUH_MALE_DEP,2,0),IF(AND(B$62="Dependent",B$63="Abu Dhabi",C$63="Male",C$61=GN),VLOOKUP(B64,AUH_MALE_DEP,3,0),IF(AND(B$62="Dependent",B$63="Abu Dhabi",C$63="Male",C$61=RN_Plus),VLOOKUP(B64,AUH_MALE_DEP,4,0),IF(AND(B$62="Dependent",B$63="Abu Dhabi",C$63="Male",C$61=RN),VLOOKUP(B64,AUH_MALE_DEP,5,0),IF(AND(B$62="Dependent",B$63="Abu Dhabi",C$63="Male",C$61=RN_2),VLOOKUP(B64,AUH_MALE_DEP,6,0),IF(AND(B$62="Dependent",B$63="Abu Dhabi",C$63="Male",C$61=RN2_minus),VLOOKUP(B64,AUH_MALE_DEP,7,0),IF(AND(B$62="Dependent",B$63="Abu Dhabi",C$63="Male",C$61=RN_3),VLOOKUP(B64,AUH_MALE_DEP,8,0),IF(AND(B$62="Dependent",B$63="Abu Dhabi",C$63="Male",C$61=VN),VLOOKUP(B64,AUH_MALE_DEP,9,0),IF(AND(B$62="Dependent",B$63="Abu Dhabi",C$63="Female",C$61=GN_Plus),VLOOKUP(B64,AUH_FEMALE_DEP,2,0),IF(AND(B$62="Dependent",B$63="Abu Dhabi",C$63="Female",C$61=GN),VLOOKUP(B64,AUH_FEMALE_DEP,3,0),IF(AND(B$62="Dependent",B$63="Abu Dhabi",C$63="Female",C$61=RN_Plus),VLOOKUP(B64,AUH_FEMALE_DEP,4,0),IF(AND(B$62="Dependent",B$63="Abu Dhabi",C$63="Female",C$61=RN),VLOOKUP(B64,AUH_FEMALE_DEP,5,0),IF(AND(B$62="Dependent",B$63="Abu Dhabi",C$63="Female",C$61=RN_2),VLOOKUP(B64,AUH_FEMALE_DEP,6,0),IF(AND(B$62="Dependent",B$63="Abu Dhabi",C$63="Female",C$61=RN2_minus),VLOOKUP(B64,AUH_FEMALE_DEP,7,0),IF(AND(B$62="Dependent",B$63="Abu Dhabi",C$63="Female",C$61=RN_3),VLOOKUP(B64,AUH_FEMALE_DEP,8,0),IF(AND(B$62="Dependent",B$63="Abu Dhabi",C$63="Female",C$61=VN),VLOOKUP(B64,AUH_FEMALE_DEP,9,0),IF(AND(B$62="Dependent",B$63="Dubai",C$63="Male",C$61=GN_Plus),VLOOKUP(B64,DXB_MALE_DEP,2,0),IF(AND(B$62="Dependent",B$63="Dubai",C$63="Male",C$61=GN),VLOOKUP(B64,DXB_MALE_DEP,3,0),IF(AND(B$62="Dependent",B$63="Dubai",C$63="Male",C$61=RN_Plus),VLOOKUP(B64,DXB_MALE_DEP,4,0),IF(AND(B$62="Dependent",B$63="Dubai",C$63="Male",C$61=RN),VLOOKUP(B64,DXB_MALE_DEP,5,0),IF(AND(B$62="Dependent",B$63="Dubai",C$63="Male",C$61=RN_2),VLOOKUP(B64,DXB_MALE_DEP,6,0),IF(AND(B$62="Dependent",B$63="Dubai",C$63="Male",C$61=RN2_minus),VLOOKUP(B64,DXB_MALE_DEP,7,0),IF(AND(B$62="Dependent",B$63="Dubai",C$63="Male",C$61=RN_3),VLOOKUP(B64,DXB_MALE_DEP,8,0),IF(AND(B$62="Dependent",B$63="Dubai",C$63="Male",C$61=VN),VLOOKUP(B64,DXB_MALE_DEP,9,0),IF(AND(B$62="Dependent",B$63="Dubai",C$63="Female",C$61=GN_Plus),VLOOKUP(B64,DXB_FEMALE_DEP,2,0),IF(AND(B$62="Dependent",B$63="Dubai",C$63="Female",C$61=GN),VLOOKUP(B64,DXB_FEMALE_DEP,3,0),IF(AND(B$62="Dependent",B$63="Dubai",C$63="Female",C$61=RN_Plus),VLOOKUP(B64,DXB_FEMALE_DEP,4,0),IF(AND(B$62="Dependent",B$63="Dubai",C$63="Female",C$61=RN),VLOOKUP(B64,DXB_FEMALE_DEP,5,0),IF(AND(B$62="Dependent",B$63="Dubai",C$63="Female",C$61=RN_2),VLOOKUP(B64,DXB_FEMALE_DEP,6,0),IF(AND(B$62="Dependent",B$63="Dubai",C$63="Female",C$61=RN2_minus),VLOOKUP(B64,DXB_FEMALE_DEP,7,0),IF(AND(B$62="Dependent",B$63="Dubai",C$63="Female",C$61=RN_3),VLOOKUP(B64,DXB_FEMALE_DEP,8,0),IF(AND(B$62="Dependent",B$63="Dubai",C$63="Female",C$61=VN),VLOOKUP(B64,DXB_FEMALE_DEP,9,0),"Error")))))))))))))))))))))))))))))))),0)</f>
        <v>2204</v>
      </c>
      <c r="D64" s="958">
        <f t="shared" ref="D64:D75" si="26">IFERROR(IF(AND(B$62="Dependent",B$63="Abu Dhabi",D$63="Male",D$61=GN_Plus),VLOOKUP(B64,AUH_MALE_DEP,2,0),IF(AND(B$62="Dependent",B$63="Abu Dhabi",D$63="Male",D$61=GN),VLOOKUP(B64,AUH_MALE_DEP,3,0),IF(AND(B$62="Dependent",B$63="Abu Dhabi",D$63="Male",D$61=RN_Plus),VLOOKUP(B64,AUH_MALE_DEP,4,0),IF(AND(B$62="Dependent",B$63="Abu Dhabi",D$63="Male",D$61=RN),VLOOKUP(B64,AUH_MALE_DEP,5,0),IF(AND(B$62="Dependent",B$63="Abu Dhabi",D$63="Male",D$61=RN_2),VLOOKUP(B64,AUH_MALE_DEP,6,0),IF(AND(B$62="Dependent",B$63="Abu Dhabi",D$63="Male",D$61=RN2_minus),VLOOKUP(B64,AUH_MALE_DEP,7,0),IF(AND(B$62="Dependent",B$63="Abu Dhabi",D$63="Male",D$61=RN_3),VLOOKUP(B64,AUH_MALE_DEP,8,0),IF(AND(B$62="Dependent",B$63="Abu Dhabi",D$63="Male",D$61=VN),VLOOKUP(B64,AUH_MALE_DEP,9,0),IF(AND(B$62="Dependent",B$63="Abu Dhabi",D$63="Female",D$61=GN_Plus),VLOOKUP(B64,AUH_FEMALE_DEP,2,0),IF(AND(B$62="Dependent",B$63="Abu Dhabi",D$63="Female",D$61=GN),VLOOKUP(B64,AUH_FEMALE_DEP,3,0),IF(AND(B$62="Dependent",B$63="Abu Dhabi",D$63="Female",D$61=RN_Plus),VLOOKUP(B64,AUH_FEMALE_DEP,4,0),IF(AND(B$62="Dependent",B$63="Abu Dhabi",D$63="Female",D$61=RN),VLOOKUP(B64,AUH_FEMALE_DEP,5,0),IF(AND(B$62="Dependent",B$63="Abu Dhabi",D$63="Female",D$61=RN_2),VLOOKUP(B64,AUH_FEMALE_DEP,6,0),IF(AND(B$62="Dependent",B$63="Abu Dhabi",D$63="Female",D$61=RN2_minus),VLOOKUP(B64,AUH_FEMALE_DEP,7,0),IF(AND(B$62="Dependent",B$63="Abu Dhabi",D$63="Female",D$61=RN_3),VLOOKUP(B64,AUH_FEMALE_DEP,8,0),IF(AND(B$62="Dependent",B$63="Abu Dhabi",D$63="Female",D$61=VN),VLOOKUP(B64,AUH_FEMALE_DEP,9,0),IF(AND(B$62="Dependent",B$63="Dubai",D$63="Male",D$61=GN_Plus),VLOOKUP(B64,DXB_MALE_DEP,2,0),IF(AND(B$62="Dependent",B$63="Dubai",D$63="Male",D$61=GN),VLOOKUP(B64,DXB_MALE_DEP,3,0),IF(AND(B$62="Dependent",B$63="Dubai",D$63="Male",D$61=RN_Plus),VLOOKUP(B64,DXB_MALE_DEP,4,0),IF(AND(B$62="Dependent",B$63="Dubai",D$63="Male",D$61=RN),VLOOKUP(B64,DXB_MALE_DEP,5,0),IF(AND(B$62="Dependent",B$63="Dubai",D$63="Male",D$61=RN_2),VLOOKUP(B64,DXB_MALE_DEP,6,0),IF(AND(B$62="Dependent",B$63="Dubai",D$63="Male",D$61=RN2_minus),VLOOKUP(B64,DXB_MALE_DEP,7,0),IF(AND(B$62="Dependent",B$63="Dubai",D$63="Male",D$61=RN_3),VLOOKUP(B64,DXB_MALE_DEP,8,0),IF(AND(B$62="Dependent",B$63="Dubai",D$63="Male",D$61=VN),VLOOKUP(B64,DXB_MALE_DEP,9,0),IF(AND(B$62="Dependent",B$63="Dubai",D$63="Female",D$61=GN_Plus),VLOOKUP(B64,DXB_FEMALE_DEP,2,0),IF(AND(B$62="Dependent",B$63="Dubai",D$63="Female",D$61=GN),VLOOKUP(B64,DXB_FEMALE_DEP,3,0),IF(AND(B$62="Dependent",B$63="Dubai",D$63="Female",D$61=RN_Plus),VLOOKUP(B64,DXB_FEMALE_DEP,4,0),IF(AND(B$62="Dependent",B$63="Dubai",D$63="Female",D$61=RN),VLOOKUP(B64,DXB_FEMALE_DEP,5,0),IF(AND(B$62="Dependent",B$63="Dubai",D$63="Female",D$61=RN_2),VLOOKUP(B64,DXB_FEMALE_DEP,6,0),IF(AND(B$62="Dependent",B$63="Dubai",D$63="Female",D$61=RN2_minus),VLOOKUP(B64,DXB_FEMALE_DEP,7,0),IF(AND(B$62="Dependent",B$63="Dubai",D$63="Female",D$61=RN_3),VLOOKUP(B64,DXB_FEMALE_DEP,8,0),IF(AND(B$62="Dependent",B$63="Dubai",D$63="Female",D$61=VN),VLOOKUP(B64,DXB_FEMALE_DEP,9,0),"Error")))))))))))))))))))))))))))))))),0)</f>
        <v>2080</v>
      </c>
      <c r="E64" s="758" t="str">
        <f t="shared" ref="E64:E75" si="27">E25</f>
        <v>0 - 10</v>
      </c>
      <c r="F64" s="958">
        <f t="shared" ref="F64:F75" si="28">IFERROR(IF(AND(E$62="Dependent",E$63="Abu Dhabi",F$63="Male",F$61=GN_Plus),VLOOKUP(E64,AUH_MALE_DEP,2,0),IF(AND(E$62="Dependent",E$63="Abu Dhabi",F$63="Male",F$61=GN),VLOOKUP(E64,AUH_MALE_DEP,3,0),IF(AND(E$62="Dependent",E$63="Abu Dhabi",F$63="Male",F$61=RN_Plus),VLOOKUP(E64,AUH_MALE_DEP,4,0),IF(AND(E$62="Dependent",E$63="Abu Dhabi",F$63="Male",F$61=RN),VLOOKUP(E64,AUH_MALE_DEP,5,0),IF(AND(E$62="Dependent",E$63="Abu Dhabi",F$63="Male",F$61=RN_2),VLOOKUP(E64,AUH_MALE_DEP,6,0),IF(AND(E$62="Dependent",E$63="Abu Dhabi",F$63="Male",F$61=RN2_minus),VLOOKUP(E64,AUH_MALE_DEP,7,0),IF(AND(E$62="Dependent",E$63="Abu Dhabi",F$63="Male",F$61=RN_3),VLOOKUP(E64,AUH_MALE_DEP,8,0),IF(AND(E$62="Dependent",E$63="Abu Dhabi",F$63="Male",F$61=VN),VLOOKUP(E64,AUH_MALE_DEP,9,0),IF(AND(E$62="Dependent",E$63="Abu Dhabi",F$63="Female",F$61=GN_Plus),VLOOKUP(E64,AUH_FEMALE_DEP,2,0),IF(AND(E$62="Dependent",E$63="Abu Dhabi",F$63="Female",F$61=GN),VLOOKUP(E64,AUH_FEMALE_DEP,3,0),IF(AND(E$62="Dependent",E$63="Abu Dhabi",F$63="Female",F$61=RN_Plus),VLOOKUP(E64,AUH_FEMALE_DEP,4,0),IF(AND(E$62="Dependent",E$63="Abu Dhabi",F$63="Female",F$61=RN),VLOOKUP(E64,AUH_FEMALE_DEP,5,0),IF(AND(E$62="Dependent",E$63="Abu Dhabi",F$63="Female",F$61=RN_2),VLOOKUP(E64,AUH_FEMALE_DEP,6,0),IF(AND(E$62="Dependent",E$63="Abu Dhabi",F$63="Female",F$61=RN2_minus),VLOOKUP(E64,AUH_FEMALE_DEP,7,0),IF(AND(E$62="Dependent",E$63="Abu Dhabi",F$63="Female",F$61=RN_3),VLOOKUP(E64,AUH_FEMALE_DEP,8,0),IF(AND(E$62="Dependent",E$63="Abu Dhabi",F$63="Female",F$61=VN),VLOOKUP(E64,AUH_FEMALE_DEP,9,0),IF(AND(E$62="Dependent",E$63="Dubai",F$63="Male",F$61=GN_Plus),VLOOKUP(E64,DXB_MALE_DEP,2,0),IF(AND(E$62="Dependent",E$63="Dubai",F$63="Male",F$61=GN),VLOOKUP(E64,DXB_MALE_DEP,3,0),IF(AND(E$62="Dependent",E$63="Dubai",F$63="Male",F$61=RN_Plus),VLOOKUP(E64,DXB_MALE_DEP,4,0),IF(AND(E$62="Dependent",E$63="Dubai",F$63="Male",F$61=RN),VLOOKUP(E64,DXB_MALE_DEP,5,0),IF(AND(E$62="Dependent",E$63="Dubai",F$63="Male",F$61=RN_2),VLOOKUP(E64,DXB_MALE_DEP,6,0),IF(AND(E$62="Dependent",E$63="Dubai",F$63="Male",F$61=RN2_minus),VLOOKUP(E64,DXB_MALE_DEP,7,0),IF(AND(E$62="Dependent",E$63="Dubai",F$63="Male",F$61=RN_3),VLOOKUP(E64,DXB_MALE_DEP,8,0),IF(AND(E$62="Dependent",E$63="Dubai",F$63="Male",F$61=VN),VLOOKUP(E64,DXB_MALE_DEP,9,0),IF(AND(E$62="Dependent",E$63="Dubai",F$63="Female",F$61=GN_Plus),VLOOKUP(E64,DXB_FEMALE_DEP,2,0),IF(AND(E$62="Dependent",E$63="Dubai",F$63="Female",F$61=GN),VLOOKUP(E64,DXB_FEMALE_DEP,3,0),IF(AND(E$62="Dependent",E$63="Dubai",F$63="Female",F$61=RN_Plus),VLOOKUP(E64,DXB_FEMALE_DEP,4,0),IF(AND(E$62="Dependent",E$63="Dubai",F$63="Female",F$61=RN),VLOOKUP(E64,DXB_FEMALE_DEP,5,0),IF(AND(E$62="Dependent",E$63="Dubai",F$63="Female",F$61=RN_2),VLOOKUP(E64,DXB_FEMALE_DEP,6,0),IF(AND(E$62="Dependent",E$63="Dubai",F$63="Female",F$61=RN2_minus),VLOOKUP(E64,DXB_FEMALE_DEP,7,0),IF(AND(E$62="Dependent",E$63="Dubai",F$63="Female",F$61=RN_3),VLOOKUP(E64,DXB_FEMALE_DEP,8,0),IF(AND(E$62="Dependent",E$63="Dubai",F$63="Female",F$61=VN),VLOOKUP(E64,DXB_FEMALE_DEP,9,0),"Error")))))))))))))))))))))))))))))))),0)</f>
        <v>0</v>
      </c>
      <c r="G64" s="958">
        <f t="shared" ref="G64:G75" si="29">IFERROR(IF(AND(E$62="Dependent",E$63="Abu Dhabi",G$63="Male",G$61=GN_Plus),VLOOKUP(E64,AUH_MALE_DEP,2,0),IF(AND(E$62="Dependent",E$63="Abu Dhabi",G$63="Male",G$61=GN),VLOOKUP(E64,AUH_MALE_DEP,3,0),IF(AND(E$62="Dependent",E$63="Abu Dhabi",G$63="Male",G$61=RN_Plus),VLOOKUP(E64,AUH_MALE_DEP,4,0),IF(AND(E$62="Dependent",E$63="Abu Dhabi",G$63="Male",G$61=RN),VLOOKUP(E64,AUH_MALE_DEP,5,0),IF(AND(E$62="Dependent",E$63="Abu Dhabi",G$63="Male",G$61=RN_2),VLOOKUP(E64,AUH_MALE_DEP,6,0),IF(AND(E$62="Dependent",E$63="Abu Dhabi",G$63="Male",G$61=RN2_minus),VLOOKUP(E64,AUH_MALE_DEP,7,0),IF(AND(E$62="Dependent",E$63="Abu Dhabi",G$63="Male",G$61=RN_3),VLOOKUP(E64,AUH_MALE_DEP,8,0),IF(AND(E$62="Dependent",E$63="Abu Dhabi",G$63="Male",G$61=VN),VLOOKUP(E64,AUH_MALE_DEP,9,0),IF(AND(E$62="Dependent",E$63="Abu Dhabi",G$63="Female",G$61=GN_Plus),VLOOKUP(E64,AUH_FEMALE_DEP,2,0),IF(AND(E$62="Dependent",E$63="Abu Dhabi",G$63="Female",G$61=GN),VLOOKUP(E64,AUH_FEMALE_DEP,3,0),IF(AND(E$62="Dependent",E$63="Abu Dhabi",G$63="Female",G$61=RN_Plus),VLOOKUP(E64,AUH_FEMALE_DEP,4,0),IF(AND(E$62="Dependent",E$63="Abu Dhabi",G$63="Female",G$61=RN),VLOOKUP(E64,AUH_FEMALE_DEP,5,0),IF(AND(E$62="Dependent",E$63="Abu Dhabi",G$63="Female",G$61=RN_2),VLOOKUP(E64,AUH_FEMALE_DEP,6,0),IF(AND(E$62="Dependent",E$63="Abu Dhabi",G$63="Female",G$61=RN2_minus),VLOOKUP(E64,AUH_FEMALE_DEP,7,0),IF(AND(E$62="Dependent",E$63="Abu Dhabi",G$63="Female",G$61=RN_3),VLOOKUP(E64,AUH_FEMALE_DEP,8,0),IF(AND(E$62="Dependent",E$63="Abu Dhabi",G$63="Female",G$61=VN),VLOOKUP(E64,AUH_FEMALE_DEP,9,0),IF(AND(E$62="Dependent",E$63="Dubai",G$63="Male",G$61=GN_Plus),VLOOKUP(E64,DXB_MALE_DEP,2,0),IF(AND(E$62="Dependent",E$63="Dubai",G$63="Male",G$61=GN),VLOOKUP(E64,DXB_MALE_DEP,3,0),IF(AND(E$62="Dependent",E$63="Dubai",G$63="Male",G$61=RN_Plus),VLOOKUP(E64,DXB_MALE_DEP,4,0),IF(AND(E$62="Dependent",E$63="Dubai",G$63="Male",G$61=RN),VLOOKUP(E64,DXB_MALE_DEP,5,0),IF(AND(E$62="Dependent",E$63="Dubai",G$63="Male",G$61=RN_2),VLOOKUP(E64,DXB_MALE_DEP,6,0),IF(AND(E$62="Dependent",E$63="Dubai",G$63="Male",G$61=RN2_minus),VLOOKUP(E64,DXB_MALE_DEP,7,0),IF(AND(E$62="Dependent",E$63="Dubai",G$63="Male",G$61=RN_3),VLOOKUP(E64,DXB_MALE_DEP,8,0),IF(AND(E$62="Dependent",E$63="Dubai",G$63="Male",G$61=VN),VLOOKUP(E64,DXB_MALE_DEP,9,0),IF(AND(E$62="Dependent",E$63="Dubai",G$63="Female",G$61=GN_Plus),VLOOKUP(E64,DXB_FEMALE_DEP,2,0),IF(AND(E$62="Dependent",E$63="Dubai",G$63="Female",G$61=GN),VLOOKUP(E64,DXB_FEMALE_DEP,3,0),IF(AND(E$62="Dependent",E$63="Dubai",G$63="Female",G$61=RN_Plus),VLOOKUP(E64,DXB_FEMALE_DEP,4,0),IF(AND(E$62="Dependent",E$63="Dubai",G$63="Female",G$61=RN),VLOOKUP(E64,DXB_FEMALE_DEP,5,0),IF(AND(E$62="Dependent",E$63="Dubai",G$63="Female",G$61=RN_2),VLOOKUP(E64,DXB_FEMALE_DEP,6,0),IF(AND(E$62="Dependent",E$63="Dubai",G$63="Female",G$61=RN2_minus),VLOOKUP(E64,DXB_FEMALE_DEP,7,0),IF(AND(E$62="Dependent",E$63="Dubai",G$63="Female",G$61=RN_3),VLOOKUP(E64,DXB_FEMALE_DEP,8,0),IF(AND(E$62="Dependent",E$63="Dubai",G$63="Female",G$61=VN),VLOOKUP(E64,DXB_FEMALE_DEP,9,0),"Error")))))))))))))))))))))))))))))))),0)</f>
        <v>0</v>
      </c>
      <c r="H64" s="758" t="str">
        <f t="shared" ref="H64:H75" si="30">H25</f>
        <v>0 - 10</v>
      </c>
      <c r="I64" s="958">
        <f t="shared" ref="I64:I75" si="31">IFERROR(IF(AND(H$62="Dependent",H$63="Abu Dhabi",I$63="Male",I$61=GN_Plus),VLOOKUP(H64,AUH_MALE_DEP,2,0),IF(AND(H$62="Dependent",H$63="Abu Dhabi",I$63="Male",I$61=GN),VLOOKUP(H64,AUH_MALE_DEP,3,0),IF(AND(H$62="Dependent",H$63="Abu Dhabi",I$63="Male",I$61=RN_Plus),VLOOKUP(H64,AUH_MALE_DEP,4,0),IF(AND(H$62="Dependent",H$63="Abu Dhabi",I$63="Male",I$61=RN),VLOOKUP(H64,AUH_MALE_DEP,5,0),IF(AND(H$62="Dependent",H$63="Abu Dhabi",I$63="Male",I$61=RN_2),VLOOKUP(H64,AUH_MALE_DEP,6,0),IF(AND(H$62="Dependent",H$63="Abu Dhabi",I$63="Male",I$61=RN2_minus),VLOOKUP(H64,AUH_MALE_DEP,7,0),IF(AND(H$62="Dependent",H$63="Abu Dhabi",I$63="Male",I$61=RN_3),VLOOKUP(H64,AUH_MALE_DEP,8,0),IF(AND(H$62="Dependent",H$63="Abu Dhabi",I$63="Male",I$61=VN),VLOOKUP(H64,AUH_MALE_DEP,9,0),IF(AND(H$62="Dependent",H$63="Abu Dhabi",I$63="Female",I$61=GN_Plus),VLOOKUP(H64,AUH_FEMALE_DEP,2,0),IF(AND(H$62="Dependent",H$63="Abu Dhabi",I$63="Female",I$61=GN),VLOOKUP(H64,AUH_FEMALE_DEP,3,0),IF(AND(H$62="Dependent",H$63="Abu Dhabi",I$63="Female",I$61=RN_Plus),VLOOKUP(H64,AUH_FEMALE_DEP,4,0),IF(AND(H$62="Dependent",H$63="Abu Dhabi",I$63="Female",I$61=RN),VLOOKUP(H64,AUH_FEMALE_DEP,5,0),IF(AND(H$62="Dependent",H$63="Abu Dhabi",I$63="Female",I$61=RN_2),VLOOKUP(H64,AUH_FEMALE_DEP,6,0),IF(AND(H$62="Dependent",H$63="Abu Dhabi",I$63="Female",I$61=RN2_minus),VLOOKUP(H64,AUH_FEMALE_DEP,7,0),IF(AND(H$62="Dependent",H$63="Abu Dhabi",I$63="Female",I$61=RN_3),VLOOKUP(H64,AUH_FEMALE_DEP,8,0),IF(AND(H$62="Dependent",H$63="Abu Dhabi",I$63="Female",I$61=VN),VLOOKUP(H64,AUH_FEMALE_DEP,9,0),IF(AND(H$62="Dependent",H$63="Dubai",I$63="Male",I$61=GN_Plus),VLOOKUP(H64,DXB_MALE_DEP,2,0),IF(AND(H$62="Dependent",H$63="Dubai",I$63="Male",I$61=GN),VLOOKUP(H64,DXB_MALE_DEP,3,0),IF(AND(H$62="Dependent",H$63="Dubai",I$63="Male",I$61=RN_Plus),VLOOKUP(H64,DXB_MALE_DEP,4,0),IF(AND(H$62="Dependent",H$63="Dubai",I$63="Male",I$61=RN),VLOOKUP(H64,DXB_MALE_DEP,5,0),IF(AND(H$62="Dependent",H$63="Dubai",I$63="Male",I$61=RN_2),VLOOKUP(H64,DXB_MALE_DEP,6,0),IF(AND(H$62="Dependent",H$63="Dubai",I$63="Male",I$61=RN2_minus),VLOOKUP(H64,DXB_MALE_DEP,7,0),IF(AND(H$62="Dependent",H$63="Dubai",I$63="Male",I$61=RN_3),VLOOKUP(H64,DXB_MALE_DEP,8,0),IF(AND(H$62="Dependent",H$63="Dubai",I$63="Male",I$61=VN),VLOOKUP(H64,DXB_MALE_DEP,9,0),IF(AND(H$62="Dependent",H$63="Dubai",I$63="Female",I$61=GN_Plus),VLOOKUP(H64,DXB_FEMALE_DEP,2,0),IF(AND(H$62="Dependent",H$63="Dubai",I$63="Female",I$61=GN),VLOOKUP(H64,DXB_FEMALE_DEP,3,0),IF(AND(H$62="Dependent",H$63="Dubai",I$63="Female",I$61=RN_Plus),VLOOKUP(H64,DXB_FEMALE_DEP,4,0),IF(AND(H$62="Dependent",H$63="Dubai",I$63="Female",I$61=RN),VLOOKUP(H64,DXB_FEMALE_DEP,5,0),IF(AND(H$62="Dependent",H$63="Dubai",I$63="Female",I$61=RN_2),VLOOKUP(H64,DXB_FEMALE_DEP,6,0),IF(AND(H$62="Dependent",H$63="Dubai",I$63="Female",I$61=RN2_minus),VLOOKUP(H64,DXB_FEMALE_DEP,7,0),IF(AND(H$62="Dependent",H$63="Dubai",I$63="Female",I$61=RN_3),VLOOKUP(H64,DXB_FEMALE_DEP,8,0),IF(AND(H$62="Dependent",H$63="Dubai",I$63="Female",I$61=VN),VLOOKUP(H64,DXB_FEMALE_DEP,9,0),"Error")))))))))))))))))))))))))))))))),0)</f>
        <v>0</v>
      </c>
      <c r="J64" s="958">
        <f t="shared" ref="J64:J75" si="32">IFERROR(IF(AND(H$62="Dependent",H$63="Abu Dhabi",J$63="Male",J$61=GN_Plus),VLOOKUP(H64,AUH_MALE_DEP,2,0),IF(AND(H$62="Dependent",H$63="Abu Dhabi",J$63="Male",J$61=GN),VLOOKUP(H64,AUH_MALE_DEP,3,0),IF(AND(H$62="Dependent",H$63="Abu Dhabi",J$63="Male",J$61=RN_Plus),VLOOKUP(H64,AUH_MALE_DEP,4,0),IF(AND(H$62="Dependent",H$63="Abu Dhabi",J$63="Male",J$61=RN),VLOOKUP(H64,AUH_MALE_DEP,5,0),IF(AND(H$62="Dependent",H$63="Abu Dhabi",J$63="Male",J$61=RN_2),VLOOKUP(H64,AUH_MALE_DEP,6,0),IF(AND(H$62="Dependent",H$63="Abu Dhabi",J$63="Male",J$61=RN2_minus),VLOOKUP(H64,AUH_MALE_DEP,7,0),IF(AND(H$62="Dependent",H$63="Abu Dhabi",J$63="Male",J$61=RN_3),VLOOKUP(H64,AUH_MALE_DEP,8,0),IF(AND(H$62="Dependent",H$63="Abu Dhabi",J$63="Male",J$61=VN),VLOOKUP(H64,AUH_MALE_DEP,9,0),IF(AND(H$62="Dependent",H$63="Abu Dhabi",J$63="Female",J$61=GN_Plus),VLOOKUP(H64,AUH_FEMALE_DEP,2,0),IF(AND(H$62="Dependent",H$63="Abu Dhabi",J$63="Female",J$61=GN),VLOOKUP(H64,AUH_FEMALE_DEP,3,0),IF(AND(H$62="Dependent",H$63="Abu Dhabi",J$63="Female",J$61=RN_Plus),VLOOKUP(H64,AUH_FEMALE_DEP,4,0),IF(AND(H$62="Dependent",H$63="Abu Dhabi",J$63="Female",J$61=RN),VLOOKUP(H64,AUH_FEMALE_DEP,5,0),IF(AND(H$62="Dependent",H$63="Abu Dhabi",J$63="Female",J$61=RN_2),VLOOKUP(H64,AUH_FEMALE_DEP,6,0),IF(AND(H$62="Dependent",H$63="Abu Dhabi",J$63="Female",J$61=RN2_minus),VLOOKUP(H64,AUH_FEMALE_DEP,7,0),IF(AND(H$62="Dependent",H$63="Abu Dhabi",J$63="Female",J$61=RN_3),VLOOKUP(H64,AUH_FEMALE_DEP,8,0),IF(AND(H$62="Dependent",H$63="Abu Dhabi",J$63="Female",J$61=VN),VLOOKUP(H64,AUH_FEMALE_DEP,9,0),IF(AND(H$62="Dependent",H$63="Dubai",J$63="Male",J$61=GN_Plus),VLOOKUP(H64,DXB_MALE_DEP,2,0),IF(AND(H$62="Dependent",H$63="Dubai",J$63="Male",J$61=GN),VLOOKUP(H64,DXB_MALE_DEP,3,0),IF(AND(H$62="Dependent",H$63="Dubai",J$63="Male",J$61=RN_Plus),VLOOKUP(H64,DXB_MALE_DEP,4,0),IF(AND(H$62="Dependent",H$63="Dubai",J$63="Male",J$61=RN),VLOOKUP(H64,DXB_MALE_DEP,5,0),IF(AND(H$62="Dependent",H$63="Dubai",J$63="Male",J$61=RN_2),VLOOKUP(H64,DXB_MALE_DEP,6,0),IF(AND(H$62="Dependent",H$63="Dubai",J$63="Male",J$61=RN2_minus),VLOOKUP(H64,DXB_MALE_DEP,7,0),IF(AND(H$62="Dependent",H$63="Dubai",J$63="Male",J$61=RN_3),VLOOKUP(H64,DXB_MALE_DEP,8,0),IF(AND(H$62="Dependent",H$63="Dubai",J$63="Male",J$61=VN),VLOOKUP(H64,DXB_MALE_DEP,9,0),IF(AND(H$62="Dependent",H$63="Dubai",J$63="Female",J$61=GN_Plus),VLOOKUP(H64,DXB_FEMALE_DEP,2,0),IF(AND(H$62="Dependent",H$63="Dubai",J$63="Female",J$61=GN),VLOOKUP(H64,DXB_FEMALE_DEP,3,0),IF(AND(H$62="Dependent",H$63="Dubai",J$63="Female",J$61=RN_Plus),VLOOKUP(H64,DXB_FEMALE_DEP,4,0),IF(AND(H$62="Dependent",H$63="Dubai",J$63="Female",J$61=RN),VLOOKUP(H64,DXB_FEMALE_DEP,5,0),IF(AND(H$62="Dependent",H$63="Dubai",J$63="Female",J$61=RN_2),VLOOKUP(H64,DXB_FEMALE_DEP,6,0),IF(AND(H$62="Dependent",H$63="Dubai",J$63="Female",J$61=RN2_minus),VLOOKUP(H64,DXB_FEMALE_DEP,7,0),IF(AND(H$62="Dependent",H$63="Dubai",J$63="Female",J$61=RN_3),VLOOKUP(H64,DXB_FEMALE_DEP,8,0),IF(AND(H$62="Dependent",H$63="Dubai",J$63="Female",J$61=VN),VLOOKUP(H64,DXB_FEMALE_DEP,9,0),"Error")))))))))))))))))))))))))))))))),0)</f>
        <v>0</v>
      </c>
      <c r="K64" s="758" t="str">
        <f t="shared" ref="K64:K75" si="33">K25</f>
        <v>0 - 10</v>
      </c>
      <c r="L64" s="958">
        <f t="shared" ref="L64:L75" si="34">IFERROR(IF(AND(K$62="Dependent",K$63="Abu Dhabi",L$63="Male",L$61=GN_Plus),VLOOKUP(K64,AUH_MALE_DEP,2,0),IF(AND(K$62="Dependent",K$63="Abu Dhabi",L$63="Male",L$61=GN),VLOOKUP(K64,AUH_MALE_DEP,3,0),IF(AND(K$62="Dependent",K$63="Abu Dhabi",L$63="Male",L$61=RN_Plus),VLOOKUP(K64,AUH_MALE_DEP,4,0),IF(AND(K$62="Dependent",K$63="Abu Dhabi",L$63="Male",L$61=RN),VLOOKUP(K64,AUH_MALE_DEP,5,0),IF(AND(K$62="Dependent",K$63="Abu Dhabi",L$63="Male",L$61=RN_2),VLOOKUP(K64,AUH_MALE_DEP,6,0),IF(AND(K$62="Dependent",K$63="Abu Dhabi",L$63="Male",L$61=RN2_minus),VLOOKUP(K64,AUH_MALE_DEP,7,0),IF(AND(K$62="Dependent",K$63="Abu Dhabi",L$63="Male",L$61=RN_3),VLOOKUP(K64,AUH_MALE_DEP,8,0),IF(AND(K$62="Dependent",K$63="Abu Dhabi",L$63="Male",L$61=VN),VLOOKUP(K64,AUH_MALE_DEP,9,0),IF(AND(K$62="Dependent",K$63="Abu Dhabi",L$63="Female",L$61=GN_Plus),VLOOKUP(K64,AUH_FEMALE_DEP,2,0),IF(AND(K$62="Dependent",K$63="Abu Dhabi",L$63="Female",L$61=GN),VLOOKUP(K64,AUH_FEMALE_DEP,3,0),IF(AND(K$62="Dependent",K$63="Abu Dhabi",L$63="Female",L$61=RN_Plus),VLOOKUP(K64,AUH_FEMALE_DEP,4,0),IF(AND(K$62="Dependent",K$63="Abu Dhabi",L$63="Female",L$61=RN),VLOOKUP(K64,AUH_FEMALE_DEP,5,0),IF(AND(K$62="Dependent",K$63="Abu Dhabi",L$63="Female",L$61=RN_2),VLOOKUP(K64,AUH_FEMALE_DEP,6,0),IF(AND(K$62="Dependent",K$63="Abu Dhabi",L$63="Female",L$61=RN2_minus),VLOOKUP(K64,AUH_FEMALE_DEP,7,0),IF(AND(K$62="Dependent",K$63="Abu Dhabi",L$63="Female",L$61=RN_3),VLOOKUP(K64,AUH_FEMALE_DEP,8,0),IF(AND(K$62="Dependent",K$63="Abu Dhabi",L$63="Female",L$61=VN),VLOOKUP(K64,AUH_FEMALE_DEP,9,0),IF(AND(K$62="Dependent",K$63="Dubai",L$63="Male",L$61=GN_Plus),VLOOKUP(K64,DXB_MALE_DEP,2,0),IF(AND(K$62="Dependent",K$63="Dubai",L$63="Male",L$61=GN),VLOOKUP(K64,DXB_MALE_DEP,3,0),IF(AND(K$62="Dependent",K$63="Dubai",L$63="Male",L$61=RN_Plus),VLOOKUP(K64,DXB_MALE_DEP,4,0),IF(AND(K$62="Dependent",K$63="Dubai",L$63="Male",L$61=RN),VLOOKUP(K64,DXB_MALE_DEP,5,0),IF(AND(K$62="Dependent",K$63="Dubai",L$63="Male",L$61=RN_2),VLOOKUP(K64,DXB_MALE_DEP,6,0),IF(AND(K$62="Dependent",K$63="Dubai",L$63="Male",L$61=RN2_minus),VLOOKUP(K64,DXB_MALE_DEP,7,0),IF(AND(K$62="Dependent",K$63="Dubai",L$63="Male",L$61=RN_3),VLOOKUP(K64,DXB_MALE_DEP,8,0),IF(AND(K$62="Dependent",K$63="Dubai",L$63="Male",L$61=VN),VLOOKUP(K64,DXB_MALE_DEP,9,0),IF(AND(K$62="Dependent",K$63="Dubai",L$63="Female",L$61=GN_Plus),VLOOKUP(K64,DXB_FEMALE_DEP,2,0),IF(AND(K$62="Dependent",K$63="Dubai",L$63="Female",L$61=GN),VLOOKUP(K64,DXB_FEMALE_DEP,3,0),IF(AND(K$62="Dependent",K$63="Dubai",L$63="Female",L$61=RN_Plus),VLOOKUP(K64,DXB_FEMALE_DEP,4,0),IF(AND(K$62="Dependent",K$63="Dubai",L$63="Female",L$61=RN),VLOOKUP(K64,DXB_FEMALE_DEP,5,0),IF(AND(K$62="Dependent",K$63="Dubai",L$63="Female",L$61=RN_2),VLOOKUP(K64,DXB_FEMALE_DEP,6,0),IF(AND(K$62="Dependent",K$63="Dubai",L$63="Female",L$61=RN2_minus),VLOOKUP(K64,DXB_FEMALE_DEP,7,0),IF(AND(K$62="Dependent",K$63="Dubai",L$63="Female",L$61=RN_3),VLOOKUP(K64,DXB_FEMALE_DEP,8,0),IF(AND(K$62="Dependent",K$63="Dubai",L$63="Female",L$61=VN),VLOOKUP(K64,DXB_FEMALE_DEP,9,0),"Error")))))))))))))))))))))))))))))))),0)</f>
        <v>0</v>
      </c>
      <c r="M64" s="958">
        <f t="shared" ref="M64:M75" si="35">IFERROR(IF(AND(K$62="Dependent",K$63="Abu Dhabi",M$63="Male",M$61=GN_Plus),VLOOKUP(K64,AUH_MALE_DEP,2,0),IF(AND(K$62="Dependent",K$63="Abu Dhabi",M$63="Male",M$61=GN),VLOOKUP(K64,AUH_MALE_DEP,3,0),IF(AND(K$62="Dependent",K$63="Abu Dhabi",M$63="Male",M$61=RN_Plus),VLOOKUP(K64,AUH_MALE_DEP,4,0),IF(AND(K$62="Dependent",K$63="Abu Dhabi",M$63="Male",M$61=RN),VLOOKUP(K64,AUH_MALE_DEP,5,0),IF(AND(K$62="Dependent",K$63="Abu Dhabi",M$63="Male",M$61=RN_2),VLOOKUP(K64,AUH_MALE_DEP,6,0),IF(AND(K$62="Dependent",K$63="Abu Dhabi",M$63="Male",M$61=RN2_minus),VLOOKUP(K64,AUH_MALE_DEP,7,0),IF(AND(K$62="Dependent",K$63="Abu Dhabi",M$63="Male",M$61=RN_3),VLOOKUP(K64,AUH_MALE_DEP,8,0),IF(AND(K$62="Dependent",K$63="Abu Dhabi",M$63="Male",M$61=VN),VLOOKUP(K64,AUH_MALE_DEP,9,0),IF(AND(K$62="Dependent",K$63="Abu Dhabi",M$63="Female",M$61=GN_Plus),VLOOKUP(K64,AUH_FEMALE_DEP,2,0),IF(AND(K$62="Dependent",K$63="Abu Dhabi",M$63="Female",M$61=GN),VLOOKUP(K64,AUH_FEMALE_DEP,3,0),IF(AND(K$62="Dependent",K$63="Abu Dhabi",M$63="Female",M$61=RN_Plus),VLOOKUP(K64,AUH_FEMALE_DEP,4,0),IF(AND(K$62="Dependent",K$63="Abu Dhabi",M$63="Female",M$61=RN),VLOOKUP(K64,AUH_FEMALE_DEP,5,0),IF(AND(K$62="Dependent",K$63="Abu Dhabi",M$63="Female",M$61=RN_2),VLOOKUP(K64,AUH_FEMALE_DEP,6,0),IF(AND(K$62="Dependent",K$63="Abu Dhabi",M$63="Female",M$61=RN2_minus),VLOOKUP(K64,AUH_FEMALE_DEP,7,0),IF(AND(K$62="Dependent",K$63="Abu Dhabi",M$63="Female",M$61=RN_3),VLOOKUP(K64,AUH_FEMALE_DEP,8,0),IF(AND(K$62="Dependent",K$63="Abu Dhabi",M$63="Female",M$61=VN),VLOOKUP(K64,AUH_FEMALE_DEP,9,0),IF(AND(K$62="Dependent",K$63="Dubai",M$63="Male",M$61=GN_Plus),VLOOKUP(K64,DXB_MALE_DEP,2,0),IF(AND(K$62="Dependent",K$63="Dubai",M$63="Male",M$61=GN),VLOOKUP(K64,DXB_MALE_DEP,3,0),IF(AND(K$62="Dependent",K$63="Dubai",M$63="Male",M$61=RN_Plus),VLOOKUP(K64,DXB_MALE_DEP,4,0),IF(AND(K$62="Dependent",K$63="Dubai",M$63="Male",M$61=RN),VLOOKUP(K64,DXB_MALE_DEP,5,0),IF(AND(K$62="Dependent",K$63="Dubai",M$63="Male",M$61=RN_2),VLOOKUP(K64,DXB_MALE_DEP,6,0),IF(AND(K$62="Dependent",K$63="Dubai",M$63="Male",M$61=RN2_minus),VLOOKUP(K64,DXB_MALE_DEP,7,0),IF(AND(K$62="Dependent",K$63="Dubai",M$63="Male",M$61=RN_3),VLOOKUP(K64,DXB_MALE_DEP,8,0),IF(AND(K$62="Dependent",K$63="Dubai",M$63="Male",M$61=VN),VLOOKUP(K64,DXB_MALE_DEP,9,0),IF(AND(K$62="Dependent",K$63="Dubai",M$63="Female",M$61=GN_Plus),VLOOKUP(K64,DXB_FEMALE_DEP,2,0),IF(AND(K$62="Dependent",K$63="Dubai",M$63="Female",M$61=GN),VLOOKUP(K64,DXB_FEMALE_DEP,3,0),IF(AND(K$62="Dependent",K$63="Dubai",M$63="Female",M$61=RN_Plus),VLOOKUP(K64,DXB_FEMALE_DEP,4,0),IF(AND(K$62="Dependent",K$63="Dubai",M$63="Female",M$61=RN),VLOOKUP(K64,DXB_FEMALE_DEP,5,0),IF(AND(K$62="Dependent",K$63="Dubai",M$63="Female",M$61=RN_2),VLOOKUP(K64,DXB_FEMALE_DEP,6,0),IF(AND(K$62="Dependent",K$63="Dubai",M$63="Female",M$61=RN2_minus),VLOOKUP(K64,DXB_FEMALE_DEP,7,0),IF(AND(K$62="Dependent",K$63="Dubai",M$63="Female",M$61=RN_3),VLOOKUP(K64,DXB_FEMALE_DEP,8,0),IF(AND(K$62="Dependent",K$63="Dubai",M$63="Female",M$61=VN),VLOOKUP(K64,DXB_FEMALE_DEP,9,0),"Error")))))))))))))))))))))))))))))))),0)</f>
        <v>0</v>
      </c>
      <c r="N64" s="758" t="str">
        <f t="shared" ref="N64:N75" si="36">N25</f>
        <v>0 - 10</v>
      </c>
      <c r="O64" s="958">
        <f t="shared" ref="O64:O75" si="37">IFERROR(IF(AND(N$62="Dependent",N$63="Abu Dhabi",O$63="Male",O$61=GN_Plus),VLOOKUP(N64,AUH_MALE_DEP,2,0),IF(AND(N$62="Dependent",N$63="Abu Dhabi",O$63="Male",O$61=GN),VLOOKUP(N64,AUH_MALE_DEP,3,0),IF(AND(N$62="Dependent",N$63="Abu Dhabi",O$63="Male",O$61=RN_Plus),VLOOKUP(N64,AUH_MALE_DEP,4,0),IF(AND(N$62="Dependent",N$63="Abu Dhabi",O$63="Male",O$61=RN),VLOOKUP(N64,AUH_MALE_DEP,5,0),IF(AND(N$62="Dependent",N$63="Abu Dhabi",O$63="Male",O$61=RN_2),VLOOKUP(N64,AUH_MALE_DEP,6,0),IF(AND(N$62="Dependent",N$63="Abu Dhabi",O$63="Male",O$61=RN2_minus),VLOOKUP(N64,AUH_MALE_DEP,7,0),IF(AND(N$62="Dependent",N$63="Abu Dhabi",O$63="Male",O$61=RN_3),VLOOKUP(N64,AUH_MALE_DEP,8,0),IF(AND(N$62="Dependent",N$63="Abu Dhabi",O$63="Male",O$61=VN),VLOOKUP(N64,AUH_MALE_DEP,9,0),IF(AND(N$62="Dependent",N$63="Abu Dhabi",O$63="Female",O$61=GN_Plus),VLOOKUP(N64,AUH_FEMALE_DEP,2,0),IF(AND(N$62="Dependent",N$63="Abu Dhabi",O$63="Female",O$61=GN),VLOOKUP(N64,AUH_FEMALE_DEP,3,0),IF(AND(N$62="Dependent",N$63="Abu Dhabi",O$63="Female",O$61=RN_Plus),VLOOKUP(N64,AUH_FEMALE_DEP,4,0),IF(AND(N$62="Dependent",N$63="Abu Dhabi",O$63="Female",O$61=RN),VLOOKUP(N64,AUH_FEMALE_DEP,5,0),IF(AND(N$62="Dependent",N$63="Abu Dhabi",O$63="Female",O$61=RN_2),VLOOKUP(N64,AUH_FEMALE_DEP,6,0),IF(AND(N$62="Dependent",N$63="Abu Dhabi",O$63="Female",O$61=RN2_minus),VLOOKUP(N64,AUH_FEMALE_DEP,7,0),IF(AND(N$62="Dependent",N$63="Abu Dhabi",O$63="Female",O$61=RN_3),VLOOKUP(N64,AUH_FEMALE_DEP,8,0),IF(AND(N$62="Dependent",N$63="Abu Dhabi",O$63="Female",O$61=VN),VLOOKUP(N64,AUH_FEMALE_DEP,9,0),IF(AND(N$62="Dependent",N$63="Dubai",O$63="Male",O$61=GN_Plus),VLOOKUP(N64,DXB_MALE_DEP,2,0),IF(AND(N$62="Dependent",N$63="Dubai",O$63="Male",O$61=GN),VLOOKUP(N64,DXB_MALE_DEP,3,0),IF(AND(N$62="Dependent",N$63="Dubai",O$63="Male",O$61=RN_Plus),VLOOKUP(N64,DXB_MALE_DEP,4,0),IF(AND(N$62="Dependent",N$63="Dubai",O$63="Male",O$61=RN),VLOOKUP(N64,DXB_MALE_DEP,5,0),IF(AND(N$62="Dependent",N$63="Dubai",O$63="Male",O$61=RN_2),VLOOKUP(N64,DXB_MALE_DEP,6,0),IF(AND(N$62="Dependent",N$63="Dubai",O$63="Male",O$61=RN2_minus),VLOOKUP(N64,DXB_MALE_DEP,7,0),IF(AND(N$62="Dependent",N$63="Dubai",O$63="Male",O$61=RN_3),VLOOKUP(N64,DXB_MALE_DEP,8,0),IF(AND(N$62="Dependent",N$63="Dubai",O$63="Male",O$61=VN),VLOOKUP(N64,DXB_MALE_DEP,9,0),IF(AND(N$62="Dependent",N$63="Dubai",O$63="Female",O$61=GN_Plus),VLOOKUP(N64,DXB_FEMALE_DEP,2,0),IF(AND(N$62="Dependent",N$63="Dubai",O$63="Female",O$61=GN),VLOOKUP(N64,DXB_FEMALE_DEP,3,0),IF(AND(N$62="Dependent",N$63="Dubai",O$63="Female",O$61=RN_Plus),VLOOKUP(N64,DXB_FEMALE_DEP,4,0),IF(AND(N$62="Dependent",N$63="Dubai",O$63="Female",O$61=RN),VLOOKUP(N64,DXB_FEMALE_DEP,5,0),IF(AND(N$62="Dependent",N$63="Dubai",O$63="Female",O$61=RN_2),VLOOKUP(N64,DXB_FEMALE_DEP,6,0),IF(AND(N$62="Dependent",N$63="Dubai",O$63="Female",O$61=RN2_minus),VLOOKUP(N64,DXB_FEMALE_DEP,7,0),IF(AND(N$62="Dependent",N$63="Dubai",O$63="Female",O$61=RN_3),VLOOKUP(N64,DXB_FEMALE_DEP,8,0),IF(AND(N$62="Dependent",N$63="Dubai",O$63="Female",O$61=VN),VLOOKUP(N64,DXB_FEMALE_DEP,9,0),"Error")))))))))))))))))))))))))))))))),0)</f>
        <v>0</v>
      </c>
      <c r="P64" s="958">
        <f t="shared" ref="P64:P75" si="38">IFERROR(IF(AND(N$62="Dependent",N$63="Abu Dhabi",P$63="Male",P$61=GN_Plus),VLOOKUP(N64,AUH_MALE_DEP,2,0),IF(AND(N$62="Dependent",N$63="Abu Dhabi",P$63="Male",P$61=GN),VLOOKUP(N64,AUH_MALE_DEP,3,0),IF(AND(N$62="Dependent",N$63="Abu Dhabi",P$63="Male",P$61=RN_Plus),VLOOKUP(N64,AUH_MALE_DEP,4,0),IF(AND(N$62="Dependent",N$63="Abu Dhabi",P$63="Male",P$61=RN),VLOOKUP(N64,AUH_MALE_DEP,5,0),IF(AND(N$62="Dependent",N$63="Abu Dhabi",P$63="Male",P$61=RN_2),VLOOKUP(N64,AUH_MALE_DEP,6,0),IF(AND(N$62="Dependent",N$63="Abu Dhabi",P$63="Male",P$61=RN2_minus),VLOOKUP(N64,AUH_MALE_DEP,7,0),IF(AND(N$62="Dependent",N$63="Abu Dhabi",P$63="Male",P$61=RN_3),VLOOKUP(N64,AUH_MALE_DEP,8,0),IF(AND(N$62="Dependent",N$63="Abu Dhabi",P$63="Male",P$61=VN),VLOOKUP(N64,AUH_MALE_DEP,9,0),IF(AND(N$62="Dependent",N$63="Abu Dhabi",P$63="Female",P$61=GN_Plus),VLOOKUP(N64,AUH_FEMALE_DEP,2,0),IF(AND(N$62="Dependent",N$63="Abu Dhabi",P$63="Female",P$61=GN),VLOOKUP(N64,AUH_FEMALE_DEP,3,0),IF(AND(N$62="Dependent",N$63="Abu Dhabi",P$63="Female",P$61=RN_Plus),VLOOKUP(N64,AUH_FEMALE_DEP,4,0),IF(AND(N$62="Dependent",N$63="Abu Dhabi",P$63="Female",P$61=RN),VLOOKUP(N64,AUH_FEMALE_DEP,5,0),IF(AND(N$62="Dependent",N$63="Abu Dhabi",P$63="Female",P$61=RN_2),VLOOKUP(N64,AUH_FEMALE_DEP,6,0),IF(AND(N$62="Dependent",N$63="Abu Dhabi",P$63="Female",P$61=RN2_minus),VLOOKUP(N64,AUH_FEMALE_DEP,7,0),IF(AND(N$62="Dependent",N$63="Abu Dhabi",P$63="Female",P$61=RN_3),VLOOKUP(N64,AUH_FEMALE_DEP,8,0),IF(AND(N$62="Dependent",N$63="Abu Dhabi",P$63="Female",P$61=VN),VLOOKUP(N64,AUH_FEMALE_DEP,9,0),IF(AND(N$62="Dependent",N$63="Dubai",P$63="Male",P$61=GN_Plus),VLOOKUP(N64,DXB_MALE_DEP,2,0),IF(AND(N$62="Dependent",N$63="Dubai",P$63="Male",P$61=GN),VLOOKUP(N64,DXB_MALE_DEP,3,0),IF(AND(N$62="Dependent",N$63="Dubai",P$63="Male",P$61=RN_Plus),VLOOKUP(N64,DXB_MALE_DEP,4,0),IF(AND(N$62="Dependent",N$63="Dubai",P$63="Male",P$61=RN),VLOOKUP(N64,DXB_MALE_DEP,5,0),IF(AND(N$62="Dependent",N$63="Dubai",P$63="Male",P$61=RN_2),VLOOKUP(N64,DXB_MALE_DEP,6,0),IF(AND(N$62="Dependent",N$63="Dubai",P$63="Male",P$61=RN2_minus),VLOOKUP(N64,DXB_MALE_DEP,7,0),IF(AND(N$62="Dependent",N$63="Dubai",P$63="Male",P$61=RN_3),VLOOKUP(N64,DXB_MALE_DEP,8,0),IF(AND(N$62="Dependent",N$63="Dubai",P$63="Male",P$61=VN),VLOOKUP(N64,DXB_MALE_DEP,9,0),IF(AND(N$62="Dependent",N$63="Dubai",P$63="Female",P$61=GN_Plus),VLOOKUP(N64,DXB_FEMALE_DEP,2,0),IF(AND(N$62="Dependent",N$63="Dubai",P$63="Female",P$61=GN),VLOOKUP(N64,DXB_FEMALE_DEP,3,0),IF(AND(N$62="Dependent",N$63="Dubai",P$63="Female",P$61=RN_Plus),VLOOKUP(N64,DXB_FEMALE_DEP,4,0),IF(AND(N$62="Dependent",N$63="Dubai",P$63="Female",P$61=RN),VLOOKUP(N64,DXB_FEMALE_DEP,5,0),IF(AND(N$62="Dependent",N$63="Dubai",P$63="Female",P$61=RN_2),VLOOKUP(N64,DXB_FEMALE_DEP,6,0),IF(AND(N$62="Dependent",N$63="Dubai",P$63="Female",P$61=RN2_minus),VLOOKUP(N64,DXB_FEMALE_DEP,7,0),IF(AND(N$62="Dependent",N$63="Dubai",P$63="Female",P$61=RN_3),VLOOKUP(N64,DXB_FEMALE_DEP,8,0),IF(AND(N$62="Dependent",N$63="Dubai",P$63="Female",P$61=VN),VLOOKUP(N64,DXB_FEMALE_DEP,9,0),"Error")))))))))))))))))))))))))))))))),0)</f>
        <v>0</v>
      </c>
      <c r="Q64" s="758" t="str">
        <f t="shared" ref="Q64:Q75" si="39">Q25</f>
        <v>0 - 10</v>
      </c>
      <c r="R64" s="958">
        <f t="shared" ref="R64:R75" si="40">IFERROR(IF(AND(Q$62="Dependent",Q$63="Abu Dhabi",R$63="Male",R$61=GN_Plus),VLOOKUP(Q64,AUH_MALE_DEP,2,0),IF(AND(Q$62="Dependent",Q$63="Abu Dhabi",R$63="Male",R$61=GN),VLOOKUP(Q64,AUH_MALE_DEP,3,0),IF(AND(Q$62="Dependent",Q$63="Abu Dhabi",R$63="Male",R$61=RN_Plus),VLOOKUP(Q64,AUH_MALE_DEP,4,0),IF(AND(Q$62="Dependent",Q$63="Abu Dhabi",R$63="Male",R$61=RN),VLOOKUP(Q64,AUH_MALE_DEP,5,0),IF(AND(Q$62="Dependent",Q$63="Abu Dhabi",R$63="Male",R$61=RN_2),VLOOKUP(Q64,AUH_MALE_DEP,6,0),IF(AND(Q$62="Dependent",Q$63="Abu Dhabi",R$63="Male",R$61=RN2_minus),VLOOKUP(Q64,AUH_MALE_DEP,7,0),IF(AND(Q$62="Dependent",Q$63="Abu Dhabi",R$63="Male",R$61=RN_3),VLOOKUP(Q64,AUH_MALE_DEP,8,0),IF(AND(Q$62="Dependent",Q$63="Abu Dhabi",R$63="Male",R$61=VN),VLOOKUP(Q64,AUH_MALE_DEP,9,0),IF(AND(Q$62="Dependent",Q$63="Abu Dhabi",R$63="Female",R$61=GN_Plus),VLOOKUP(Q64,AUH_FEMALE_DEP,2,0),IF(AND(Q$62="Dependent",Q$63="Abu Dhabi",R$63="Female",R$61=GN),VLOOKUP(Q64,AUH_FEMALE_DEP,3,0),IF(AND(Q$62="Dependent",Q$63="Abu Dhabi",R$63="Female",R$61=RN_Plus),VLOOKUP(Q64,AUH_FEMALE_DEP,4,0),IF(AND(Q$62="Dependent",Q$63="Abu Dhabi",R$63="Female",R$61=RN),VLOOKUP(Q64,AUH_FEMALE_DEP,5,0),IF(AND(Q$62="Dependent",Q$63="Abu Dhabi",R$63="Female",R$61=RN_2),VLOOKUP(Q64,AUH_FEMALE_DEP,6,0),IF(AND(Q$62="Dependent",Q$63="Abu Dhabi",R$63="Female",R$61=RN2_minus),VLOOKUP(Q64,AUH_FEMALE_DEP,7,0),IF(AND(Q$62="Dependent",Q$63="Abu Dhabi",R$63="Female",R$61=RN_3),VLOOKUP(Q64,AUH_FEMALE_DEP,8,0),IF(AND(Q$62="Dependent",Q$63="Abu Dhabi",R$63="Female",R$61=VN),VLOOKUP(Q64,AUH_FEMALE_DEP,9,0),IF(AND(Q$62="Dependent",Q$63="Dubai",R$63="Male",R$61=GN_Plus),VLOOKUP(Q64,DXB_MALE_DEP,2,0),IF(AND(Q$62="Dependent",Q$63="Dubai",R$63="Male",R$61=GN),VLOOKUP(Q64,DXB_MALE_DEP,3,0),IF(AND(Q$62="Dependent",Q$63="Dubai",R$63="Male",R$61=RN_Plus),VLOOKUP(Q64,DXB_MALE_DEP,4,0),IF(AND(Q$62="Dependent",Q$63="Dubai",R$63="Male",R$61=RN),VLOOKUP(Q64,DXB_MALE_DEP,5,0),IF(AND(Q$62="Dependent",Q$63="Dubai",R$63="Male",R$61=RN_2),VLOOKUP(Q64,DXB_MALE_DEP,6,0),IF(AND(Q$62="Dependent",Q$63="Dubai",R$63="Male",R$61=RN2_minus),VLOOKUP(Q64,DXB_MALE_DEP,7,0),IF(AND(Q$62="Dependent",Q$63="Dubai",R$63="Male",R$61=RN_3),VLOOKUP(Q64,DXB_MALE_DEP,8,0),IF(AND(Q$62="Dependent",Q$63="Dubai",R$63="Male",R$61=VN),VLOOKUP(Q64,DXB_MALE_DEP,9,0),IF(AND(Q$62="Dependent",Q$63="Dubai",R$63="Female",R$61=GN_Plus),VLOOKUP(Q64,DXB_FEMALE_DEP,2,0),IF(AND(Q$62="Dependent",Q$63="Dubai",R$63="Female",R$61=GN),VLOOKUP(Q64,DXB_FEMALE_DEP,3,0),IF(AND(Q$62="Dependent",Q$63="Dubai",R$63="Female",R$61=RN_Plus),VLOOKUP(Q64,DXB_FEMALE_DEP,4,0),IF(AND(Q$62="Dependent",Q$63="Dubai",R$63="Female",R$61=RN),VLOOKUP(Q64,DXB_FEMALE_DEP,5,0),IF(AND(Q$62="Dependent",Q$63="Dubai",R$63="Female",R$61=RN_2),VLOOKUP(Q64,DXB_FEMALE_DEP,6,0),IF(AND(Q$62="Dependent",Q$63="Dubai",R$63="Female",R$61=RN2_minus),VLOOKUP(Q64,DXB_FEMALE_DEP,7,0),IF(AND(Q$62="Dependent",Q$63="Dubai",R$63="Female",R$61=RN_3),VLOOKUP(Q64,DXB_FEMALE_DEP,8,0),IF(AND(Q$62="Dependent",Q$63="Dubai",R$63="Female",R$61=VN),VLOOKUP(Q64,DXB_FEMALE_DEP,9,0),"Error")))))))))))))))))))))))))))))))),0)</f>
        <v>0</v>
      </c>
      <c r="S64" s="958">
        <f t="shared" ref="S64:S75" si="41">IFERROR(IF(AND(Q$62="Dependent",Q$63="Abu Dhabi",S$63="Male",S$61=GN_Plus),VLOOKUP(Q64,AUH_MALE_DEP,2,0),IF(AND(Q$62="Dependent",Q$63="Abu Dhabi",S$63="Male",S$61=GN),VLOOKUP(Q64,AUH_MALE_DEP,3,0),IF(AND(Q$62="Dependent",Q$63="Abu Dhabi",S$63="Male",S$61=RN_Plus),VLOOKUP(Q64,AUH_MALE_DEP,4,0),IF(AND(Q$62="Dependent",Q$63="Abu Dhabi",S$63="Male",S$61=RN),VLOOKUP(Q64,AUH_MALE_DEP,5,0),IF(AND(Q$62="Dependent",Q$63="Abu Dhabi",S$63="Male",S$61=RN_2),VLOOKUP(Q64,AUH_MALE_DEP,6,0),IF(AND(Q$62="Dependent",Q$63="Abu Dhabi",S$63="Male",S$61=RN2_minus),VLOOKUP(Q64,AUH_MALE_DEP,7,0),IF(AND(Q$62="Dependent",Q$63="Abu Dhabi",S$63="Male",S$61=RN_3),VLOOKUP(Q64,AUH_MALE_DEP,8,0),IF(AND(Q$62="Dependent",Q$63="Abu Dhabi",S$63="Male",S$61=VN),VLOOKUP(Q64,AUH_MALE_DEP,9,0),IF(AND(Q$62="Dependent",Q$63="Abu Dhabi",S$63="Female",S$61=GN_Plus),VLOOKUP(Q64,AUH_FEMALE_DEP,2,0),IF(AND(Q$62="Dependent",Q$63="Abu Dhabi",S$63="Female",S$61=GN),VLOOKUP(Q64,AUH_FEMALE_DEP,3,0),IF(AND(Q$62="Dependent",Q$63="Abu Dhabi",S$63="Female",S$61=RN_Plus),VLOOKUP(Q64,AUH_FEMALE_DEP,4,0),IF(AND(Q$62="Dependent",Q$63="Abu Dhabi",S$63="Female",S$61=RN),VLOOKUP(Q64,AUH_FEMALE_DEP,5,0),IF(AND(Q$62="Dependent",Q$63="Abu Dhabi",S$63="Female",S$61=RN_2),VLOOKUP(Q64,AUH_FEMALE_DEP,6,0),IF(AND(Q$62="Dependent",Q$63="Abu Dhabi",S$63="Female",S$61=RN2_minus),VLOOKUP(Q64,AUH_FEMALE_DEP,7,0),IF(AND(Q$62="Dependent",Q$63="Abu Dhabi",S$63="Female",S$61=RN_3),VLOOKUP(Q64,AUH_FEMALE_DEP,8,0),IF(AND(Q$62="Dependent",Q$63="Abu Dhabi",S$63="Female",S$61=VN),VLOOKUP(Q64,AUH_FEMALE_DEP,9,0),IF(AND(Q$62="Dependent",Q$63="Dubai",S$63="Male",S$61=GN_Plus),VLOOKUP(Q64,DXB_MALE_DEP,2,0),IF(AND(Q$62="Dependent",Q$63="Dubai",S$63="Male",S$61=GN),VLOOKUP(Q64,DXB_MALE_DEP,3,0),IF(AND(Q$62="Dependent",Q$63="Dubai",S$63="Male",S$61=RN_Plus),VLOOKUP(Q64,DXB_MALE_DEP,4,0),IF(AND(Q$62="Dependent",Q$63="Dubai",S$63="Male",S$61=RN),VLOOKUP(Q64,DXB_MALE_DEP,5,0),IF(AND(Q$62="Dependent",Q$63="Dubai",S$63="Male",S$61=RN_2),VLOOKUP(Q64,DXB_MALE_DEP,6,0),IF(AND(Q$62="Dependent",Q$63="Dubai",S$63="Male",S$61=RN2_minus),VLOOKUP(Q64,DXB_MALE_DEP,7,0),IF(AND(Q$62="Dependent",Q$63="Dubai",S$63="Male",S$61=RN_3),VLOOKUP(Q64,DXB_MALE_DEP,8,0),IF(AND(Q$62="Dependent",Q$63="Dubai",S$63="Male",S$61=VN),VLOOKUP(Q64,DXB_MALE_DEP,9,0),IF(AND(Q$62="Dependent",Q$63="Dubai",S$63="Female",S$61=GN_Plus),VLOOKUP(Q64,DXB_FEMALE_DEP,2,0),IF(AND(Q$62="Dependent",Q$63="Dubai",S$63="Female",S$61=GN),VLOOKUP(Q64,DXB_FEMALE_DEP,3,0),IF(AND(Q$62="Dependent",Q$63="Dubai",S$63="Female",S$61=RN_Plus),VLOOKUP(Q64,DXB_FEMALE_DEP,4,0),IF(AND(Q$62="Dependent",Q$63="Dubai",S$63="Female",S$61=RN),VLOOKUP(Q64,DXB_FEMALE_DEP,5,0),IF(AND(Q$62="Dependent",Q$63="Dubai",S$63="Female",S$61=RN_2),VLOOKUP(Q64,DXB_FEMALE_DEP,6,0),IF(AND(Q$62="Dependent",Q$63="Dubai",S$63="Female",S$61=RN2_minus),VLOOKUP(Q64,DXB_FEMALE_DEP,7,0),IF(AND(Q$62="Dependent",Q$63="Dubai",S$63="Female",S$61=RN_3),VLOOKUP(Q64,DXB_FEMALE_DEP,8,0),IF(AND(Q$62="Dependent",Q$63="Dubai",S$63="Female",S$61=VN),VLOOKUP(Q64,DXB_FEMALE_DEP,9,0),"Error")))))))))))))))))))))))))))))))),0)</f>
        <v>0</v>
      </c>
      <c r="T64" s="758" t="str">
        <f t="shared" ref="T64:T75" si="42">T25</f>
        <v>0 - 10</v>
      </c>
      <c r="U64" s="958">
        <f t="shared" ref="U64:U75" si="43">IFERROR(IF(AND(T$62="Dependent",T$63="Abu Dhabi",U$63="Male",U$61=GN_Plus),VLOOKUP(T64,AUH_MALE_DEP,2,0),IF(AND(T$62="Dependent",T$63="Abu Dhabi",U$63="Male",U$61=GN),VLOOKUP(T64,AUH_MALE_DEP,3,0),IF(AND(T$62="Dependent",T$63="Abu Dhabi",U$63="Male",U$61=RN_Plus),VLOOKUP(T64,AUH_MALE_DEP,4,0),IF(AND(T$62="Dependent",T$63="Abu Dhabi",U$63="Male",U$61=RN),VLOOKUP(T64,AUH_MALE_DEP,5,0),IF(AND(T$62="Dependent",T$63="Abu Dhabi",U$63="Male",U$61=RN_2),VLOOKUP(T64,AUH_MALE_DEP,6,0),IF(AND(T$62="Dependent",T$63="Abu Dhabi",U$63="Male",U$61=RN2_minus),VLOOKUP(T64,AUH_MALE_DEP,7,0),IF(AND(T$62="Dependent",T$63="Abu Dhabi",U$63="Male",U$61=RN_3),VLOOKUP(T64,AUH_MALE_DEP,8,0),IF(AND(T$62="Dependent",T$63="Abu Dhabi",U$63="Male",U$61=VN),VLOOKUP(T64,AUH_MALE_DEP,9,0),IF(AND(T$62="Dependent",T$63="Abu Dhabi",U$63="Female",U$61=GN_Plus),VLOOKUP(T64,AUH_FEMALE_DEP,2,0),IF(AND(T$62="Dependent",T$63="Abu Dhabi",U$63="Female",U$61=GN),VLOOKUP(T64,AUH_FEMALE_DEP,3,0),IF(AND(T$62="Dependent",T$63="Abu Dhabi",U$63="Female",U$61=RN_Plus),VLOOKUP(T64,AUH_FEMALE_DEP,4,0),IF(AND(T$62="Dependent",T$63="Abu Dhabi",U$63="Female",U$61=RN),VLOOKUP(T64,AUH_FEMALE_DEP,5,0),IF(AND(T$62="Dependent",T$63="Abu Dhabi",U$63="Female",U$61=RN_2),VLOOKUP(T64,AUH_FEMALE_DEP,6,0),IF(AND(T$62="Dependent",T$63="Abu Dhabi",U$63="Female",U$61=RN2_minus),VLOOKUP(T64,AUH_FEMALE_DEP,7,0),IF(AND(T$62="Dependent",T$63="Abu Dhabi",U$63="Female",U$61=RN_3),VLOOKUP(T64,AUH_FEMALE_DEP,8,0),IF(AND(T$62="Dependent",T$63="Abu Dhabi",U$63="Female",U$61=VN),VLOOKUP(T64,AUH_FEMALE_DEP,9,0),IF(AND(T$62="Dependent",T$63="Dubai",U$63="Male",U$61=GN_Plus),VLOOKUP(T64,DXB_MALE_DEP,2,0),IF(AND(T$62="Dependent",T$63="Dubai",U$63="Male",U$61=GN),VLOOKUP(T64,DXB_MALE_DEP,3,0),IF(AND(T$62="Dependent",T$63="Dubai",U$63="Male",U$61=RN_Plus),VLOOKUP(T64,DXB_MALE_DEP,4,0),IF(AND(T$62="Dependent",T$63="Dubai",U$63="Male",U$61=RN),VLOOKUP(T64,DXB_MALE_DEP,5,0),IF(AND(T$62="Dependent",T$63="Dubai",U$63="Male",U$61=RN_2),VLOOKUP(T64,DXB_MALE_DEP,6,0),IF(AND(T$62="Dependent",T$63="Dubai",U$63="Male",U$61=RN2_minus),VLOOKUP(T64,DXB_MALE_DEP,7,0),IF(AND(T$62="Dependent",T$63="Dubai",U$63="Male",U$61=RN_3),VLOOKUP(T64,DXB_MALE_DEP,8,0),IF(AND(T$62="Dependent",T$63="Dubai",U$63="Male",U$61=VN),VLOOKUP(T64,DXB_MALE_DEP,9,0),IF(AND(T$62="Dependent",T$63="Dubai",U$63="Female",U$61=GN_Plus),VLOOKUP(T64,DXB_FEMALE_DEP,2,0),IF(AND(T$62="Dependent",T$63="Dubai",U$63="Female",U$61=GN),VLOOKUP(T64,DXB_FEMALE_DEP,3,0),IF(AND(T$62="Dependent",T$63="Dubai",U$63="Female",U$61=RN_Plus),VLOOKUP(T64,DXB_FEMALE_DEP,4,0),IF(AND(T$62="Dependent",T$63="Dubai",U$63="Female",U$61=RN),VLOOKUP(T64,DXB_FEMALE_DEP,5,0),IF(AND(T$62="Dependent",T$63="Dubai",U$63="Female",U$61=RN_2),VLOOKUP(T64,DXB_FEMALE_DEP,6,0),IF(AND(T$62="Dependent",T$63="Dubai",U$63="Female",U$61=RN2_minus),VLOOKUP(T64,DXB_FEMALE_DEP,7,0),IF(AND(T$62="Dependent",T$63="Dubai",U$63="Female",U$61=RN_3),VLOOKUP(T64,DXB_FEMALE_DEP,8,0),IF(AND(T$62="Dependent",T$63="Dubai",U$63="Female",U$61=VN),VLOOKUP(T64,DXB_FEMALE_DEP,9,0),"Error")))))))))))))))))))))))))))))))),0)</f>
        <v>0</v>
      </c>
      <c r="V64" s="958">
        <f t="shared" ref="V64:V75" si="44">IFERROR(IF(AND(T$62="Dependent",T$63="Abu Dhabi",V$63="Male",V$61=GN_Plus),VLOOKUP(T64,AUH_MALE_DEP,2,0),IF(AND(T$62="Dependent",T$63="Abu Dhabi",V$63="Male",V$61=GN),VLOOKUP(T64,AUH_MALE_DEP,3,0),IF(AND(T$62="Dependent",T$63="Abu Dhabi",V$63="Male",V$61=RN_Plus),VLOOKUP(T64,AUH_MALE_DEP,4,0),IF(AND(T$62="Dependent",T$63="Abu Dhabi",V$63="Male",V$61=RN),VLOOKUP(T64,AUH_MALE_DEP,5,0),IF(AND(T$62="Dependent",T$63="Abu Dhabi",V$63="Male",V$61=RN_2),VLOOKUP(T64,AUH_MALE_DEP,6,0),IF(AND(T$62="Dependent",T$63="Abu Dhabi",V$63="Male",V$61=RN2_minus),VLOOKUP(T64,AUH_MALE_DEP,7,0),IF(AND(T$62="Dependent",T$63="Abu Dhabi",V$63="Male",V$61=RN_3),VLOOKUP(T64,AUH_MALE_DEP,8,0),IF(AND(T$62="Dependent",T$63="Abu Dhabi",V$63="Male",V$61=VN),VLOOKUP(T64,AUH_MALE_DEP,9,0),IF(AND(T$62="Dependent",T$63="Abu Dhabi",V$63="Female",V$61=GN_Plus),VLOOKUP(T64,AUH_FEMALE_DEP,2,0),IF(AND(T$62="Dependent",T$63="Abu Dhabi",V$63="Female",V$61=GN),VLOOKUP(T64,AUH_FEMALE_DEP,3,0),IF(AND(T$62="Dependent",T$63="Abu Dhabi",V$63="Female",V$61=RN_Plus),VLOOKUP(T64,AUH_FEMALE_DEP,4,0),IF(AND(T$62="Dependent",T$63="Abu Dhabi",V$63="Female",V$61=RN),VLOOKUP(T64,AUH_FEMALE_DEP,5,0),IF(AND(T$62="Dependent",T$63="Abu Dhabi",V$63="Female",V$61=RN_2),VLOOKUP(T64,AUH_FEMALE_DEP,6,0),IF(AND(T$62="Dependent",T$63="Abu Dhabi",V$63="Female",V$61=RN2_minus),VLOOKUP(T64,AUH_FEMALE_DEP,7,0),IF(AND(T$62="Dependent",T$63="Abu Dhabi",V$63="Female",V$61=RN_3),VLOOKUP(T64,AUH_FEMALE_DEP,8,0),IF(AND(T$62="Dependent",T$63="Abu Dhabi",V$63="Female",V$61=VN),VLOOKUP(T64,AUH_FEMALE_DEP,9,0),IF(AND(T$62="Dependent",T$63="Dubai",V$63="Male",V$61=GN_Plus),VLOOKUP(T64,DXB_MALE_DEP,2,0),IF(AND(T$62="Dependent",T$63="Dubai",V$63="Male",V$61=GN),VLOOKUP(T64,DXB_MALE_DEP,3,0),IF(AND(T$62="Dependent",T$63="Dubai",V$63="Male",V$61=RN_Plus),VLOOKUP(T64,DXB_MALE_DEP,4,0),IF(AND(T$62="Dependent",T$63="Dubai",V$63="Male",V$61=RN),VLOOKUP(T64,DXB_MALE_DEP,5,0),IF(AND(T$62="Dependent",T$63="Dubai",V$63="Male",V$61=RN_2),VLOOKUP(T64,DXB_MALE_DEP,6,0),IF(AND(T$62="Dependent",T$63="Dubai",V$63="Male",V$61=RN2_minus),VLOOKUP(T64,DXB_MALE_DEP,7,0),IF(AND(T$62="Dependent",T$63="Dubai",V$63="Male",V$61=RN_3),VLOOKUP(T64,DXB_MALE_DEP,8,0),IF(AND(T$62="Dependent",T$63="Dubai",V$63="Male",V$61=VN),VLOOKUP(T64,DXB_MALE_DEP,9,0),IF(AND(T$62="Dependent",T$63="Dubai",V$63="Female",V$61=GN_Plus),VLOOKUP(T64,DXB_FEMALE_DEP,2,0),IF(AND(T$62="Dependent",T$63="Dubai",V$63="Female",V$61=GN),VLOOKUP(T64,DXB_FEMALE_DEP,3,0),IF(AND(T$62="Dependent",T$63="Dubai",V$63="Female",V$61=RN_Plus),VLOOKUP(T64,DXB_FEMALE_DEP,4,0),IF(AND(T$62="Dependent",T$63="Dubai",V$63="Female",V$61=RN),VLOOKUP(T64,DXB_FEMALE_DEP,5,0),IF(AND(T$62="Dependent",T$63="Dubai",V$63="Female",V$61=RN_2),VLOOKUP(T64,DXB_FEMALE_DEP,6,0),IF(AND(T$62="Dependent",T$63="Dubai",V$63="Female",V$61=RN2_minus),VLOOKUP(T64,DXB_FEMALE_DEP,7,0),IF(AND(T$62="Dependent",T$63="Dubai",V$63="Female",V$61=RN_3),VLOOKUP(T64,DXB_FEMALE_DEP,8,0),IF(AND(T$62="Dependent",T$63="Dubai",V$63="Female",V$61=VN),VLOOKUP(T64,DXB_FEMALE_DEP,9,0),"Error")))))))))))))))))))))))))))))))),0)</f>
        <v>0</v>
      </c>
      <c r="W64" s="758" t="str">
        <f t="shared" ref="W64:W75" si="45">W25</f>
        <v>0 - 10</v>
      </c>
      <c r="X64" s="958">
        <f t="shared" ref="X64:X75" si="46">IFERROR(IF(AND(W$62="Dependent",W$63="Abu Dhabi",X$63="Male",X$61=GN_Plus),VLOOKUP(W64,AUH_MALE_DEP,2,0),IF(AND(W$62="Dependent",W$63="Abu Dhabi",X$63="Male",X$61=GN),VLOOKUP(W64,AUH_MALE_DEP,3,0),IF(AND(W$62="Dependent",W$63="Abu Dhabi",X$63="Male",X$61=RN_Plus),VLOOKUP(W64,AUH_MALE_DEP,4,0),IF(AND(W$62="Dependent",W$63="Abu Dhabi",X$63="Male",X$61=RN),VLOOKUP(W64,AUH_MALE_DEP,5,0),IF(AND(W$62="Dependent",W$63="Abu Dhabi",X$63="Male",X$61=RN_2),VLOOKUP(W64,AUH_MALE_DEP,6,0),IF(AND(W$62="Dependent",W$63="Abu Dhabi",X$63="Male",X$61=RN2_minus),VLOOKUP(W64,AUH_MALE_DEP,7,0),IF(AND(W$62="Dependent",W$63="Abu Dhabi",X$63="Male",X$61=RN_3),VLOOKUP(W64,AUH_MALE_DEP,8,0),IF(AND(W$62="Dependent",W$63="Abu Dhabi",X$63="Male",X$61=VN),VLOOKUP(W64,AUH_MALE_DEP,9,0),IF(AND(W$62="Dependent",W$63="Abu Dhabi",X$63="Female",X$61=GN_Plus),VLOOKUP(W64,AUH_FEMALE_DEP,2,0),IF(AND(W$62="Dependent",W$63="Abu Dhabi",X$63="Female",X$61=GN),VLOOKUP(W64,AUH_FEMALE_DEP,3,0),IF(AND(W$62="Dependent",W$63="Abu Dhabi",X$63="Female",X$61=RN_Plus),VLOOKUP(W64,AUH_FEMALE_DEP,4,0),IF(AND(W$62="Dependent",W$63="Abu Dhabi",X$63="Female",X$61=RN),VLOOKUP(W64,AUH_FEMALE_DEP,5,0),IF(AND(W$62="Dependent",W$63="Abu Dhabi",X$63="Female",X$61=RN_2),VLOOKUP(W64,AUH_FEMALE_DEP,6,0),IF(AND(W$62="Dependent",W$63="Abu Dhabi",X$63="Female",X$61=RN2_minus),VLOOKUP(W64,AUH_FEMALE_DEP,7,0),IF(AND(W$62="Dependent",W$63="Abu Dhabi",X$63="Female",X$61=RN_3),VLOOKUP(W64,AUH_FEMALE_DEP,8,0),IF(AND(W$62="Dependent",W$63="Abu Dhabi",X$63="Female",X$61=VN),VLOOKUP(W64,AUH_FEMALE_DEP,9,0),IF(AND(W$62="Dependent",W$63="Dubai",X$63="Male",X$61=GN_Plus),VLOOKUP(W64,DXB_MALE_DEP,2,0),IF(AND(W$62="Dependent",W$63="Dubai",X$63="Male",X$61=GN),VLOOKUP(W64,DXB_MALE_DEP,3,0),IF(AND(W$62="Dependent",W$63="Dubai",X$63="Male",X$61=RN_Plus),VLOOKUP(W64,DXB_MALE_DEP,4,0),IF(AND(W$62="Dependent",W$63="Dubai",X$63="Male",X$61=RN),VLOOKUP(W64,DXB_MALE_DEP,5,0),IF(AND(W$62="Dependent",W$63="Dubai",X$63="Male",X$61=RN_2),VLOOKUP(W64,DXB_MALE_DEP,6,0),IF(AND(W$62="Dependent",W$63="Dubai",X$63="Male",X$61=RN2_minus),VLOOKUP(W64,DXB_MALE_DEP,7,0),IF(AND(W$62="Dependent",W$63="Dubai",X$63="Male",X$61=RN_3),VLOOKUP(W64,DXB_MALE_DEP,8,0),IF(AND(W$62="Dependent",W$63="Dubai",X$63="Male",X$61=VN),VLOOKUP(W64,DXB_MALE_DEP,9,0),IF(AND(W$62="Dependent",W$63="Dubai",X$63="Female",X$61=GN_Plus),VLOOKUP(W64,DXB_FEMALE_DEP,2,0),IF(AND(W$62="Dependent",W$63="Dubai",X$63="Female",X$61=GN),VLOOKUP(W64,DXB_FEMALE_DEP,3,0),IF(AND(W$62="Dependent",W$63="Dubai",X$63="Female",X$61=RN_Plus),VLOOKUP(W64,DXB_FEMALE_DEP,4,0),IF(AND(W$62="Dependent",W$63="Dubai",X$63="Female",X$61=RN),VLOOKUP(W64,DXB_FEMALE_DEP,5,0),IF(AND(W$62="Dependent",W$63="Dubai",X$63="Female",X$61=RN_2),VLOOKUP(W64,DXB_FEMALE_DEP,6,0),IF(AND(W$62="Dependent",W$63="Dubai",X$63="Female",X$61=RN2_minus),VLOOKUP(W64,DXB_FEMALE_DEP,7,0),IF(AND(W$62="Dependent",W$63="Dubai",X$63="Female",X$61=RN_3),VLOOKUP(W64,DXB_FEMALE_DEP,8,0),IF(AND(W$62="Dependent",W$63="Dubai",X$63="Female",X$61=VN),VLOOKUP(W64,DXB_FEMALE_DEP,9,0),"Error")))))))))))))))))))))))))))))))),0)</f>
        <v>0</v>
      </c>
      <c r="Y64" s="958">
        <f t="shared" ref="Y64:Y75" si="47">IFERROR(IF(AND(W$62="Dependent",W$63="Abu Dhabi",Y$63="Male",Y$61=GN_Plus),VLOOKUP(W64,AUH_MALE_DEP,2,0),IF(AND(W$62="Dependent",W$63="Abu Dhabi",Y$63="Male",Y$61=GN),VLOOKUP(W64,AUH_MALE_DEP,3,0),IF(AND(W$62="Dependent",W$63="Abu Dhabi",Y$63="Male",Y$61=RN_Plus),VLOOKUP(W64,AUH_MALE_DEP,4,0),IF(AND(W$62="Dependent",W$63="Abu Dhabi",Y$63="Male",Y$61=RN),VLOOKUP(W64,AUH_MALE_DEP,5,0),IF(AND(W$62="Dependent",W$63="Abu Dhabi",Y$63="Male",Y$61=RN_2),VLOOKUP(W64,AUH_MALE_DEP,6,0),IF(AND(W$62="Dependent",W$63="Abu Dhabi",Y$63="Male",Y$61=RN2_minus),VLOOKUP(W64,AUH_MALE_DEP,7,0),IF(AND(W$62="Dependent",W$63="Abu Dhabi",Y$63="Male",Y$61=RN_3),VLOOKUP(W64,AUH_MALE_DEP,8,0),IF(AND(W$62="Dependent",W$63="Abu Dhabi",Y$63="Male",Y$61=VN),VLOOKUP(W64,AUH_MALE_DEP,9,0),IF(AND(W$62="Dependent",W$63="Abu Dhabi",Y$63="Female",Y$61=GN_Plus),VLOOKUP(W64,AUH_FEMALE_DEP,2,0),IF(AND(W$62="Dependent",W$63="Abu Dhabi",Y$63="Female",Y$61=GN),VLOOKUP(W64,AUH_FEMALE_DEP,3,0),IF(AND(W$62="Dependent",W$63="Abu Dhabi",Y$63="Female",Y$61=RN_Plus),VLOOKUP(W64,AUH_FEMALE_DEP,4,0),IF(AND(W$62="Dependent",W$63="Abu Dhabi",Y$63="Female",Y$61=RN),VLOOKUP(W64,AUH_FEMALE_DEP,5,0),IF(AND(W$62="Dependent",W$63="Abu Dhabi",Y$63="Female",Y$61=RN_2),VLOOKUP(W64,AUH_FEMALE_DEP,6,0),IF(AND(W$62="Dependent",W$63="Abu Dhabi",Y$63="Female",Y$61=RN2_minus),VLOOKUP(W64,AUH_FEMALE_DEP,7,0),IF(AND(W$62="Dependent",W$63="Abu Dhabi",Y$63="Female",Y$61=RN_3),VLOOKUP(W64,AUH_FEMALE_DEP,8,0),IF(AND(W$62="Dependent",W$63="Abu Dhabi",Y$63="Female",Y$61=VN),VLOOKUP(W64,AUH_FEMALE_DEP,9,0),IF(AND(W$62="Dependent",W$63="Dubai",Y$63="Male",Y$61=GN_Plus),VLOOKUP(W64,DXB_MALE_DEP,2,0),IF(AND(W$62="Dependent",W$63="Dubai",Y$63="Male",Y$61=GN),VLOOKUP(W64,DXB_MALE_DEP,3,0),IF(AND(W$62="Dependent",W$63="Dubai",Y$63="Male",Y$61=RN_Plus),VLOOKUP(W64,DXB_MALE_DEP,4,0),IF(AND(W$62="Dependent",W$63="Dubai",Y$63="Male",Y$61=RN),VLOOKUP(W64,DXB_MALE_DEP,5,0),IF(AND(W$62="Dependent",W$63="Dubai",Y$63="Male",Y$61=RN_2),VLOOKUP(W64,DXB_MALE_DEP,6,0),IF(AND(W$62="Dependent",W$63="Dubai",Y$63="Male",Y$61=RN2_minus),VLOOKUP(W64,DXB_MALE_DEP,7,0),IF(AND(W$62="Dependent",W$63="Dubai",Y$63="Male",Y$61=RN_3),VLOOKUP(W64,DXB_MALE_DEP,8,0),IF(AND(W$62="Dependent",W$63="Dubai",Y$63="Male",Y$61=VN),VLOOKUP(W64,DXB_MALE_DEP,9,0),IF(AND(W$62="Dependent",W$63="Dubai",Y$63="Female",Y$61=GN_Plus),VLOOKUP(W64,DXB_FEMALE_DEP,2,0),IF(AND(W$62="Dependent",W$63="Dubai",Y$63="Female",Y$61=GN),VLOOKUP(W64,DXB_FEMALE_DEP,3,0),IF(AND(W$62="Dependent",W$63="Dubai",Y$63="Female",Y$61=RN_Plus),VLOOKUP(W64,DXB_FEMALE_DEP,4,0),IF(AND(W$62="Dependent",W$63="Dubai",Y$63="Female",Y$61=RN),VLOOKUP(W64,DXB_FEMALE_DEP,5,0),IF(AND(W$62="Dependent",W$63="Dubai",Y$63="Female",Y$61=RN_2),VLOOKUP(W64,DXB_FEMALE_DEP,6,0),IF(AND(W$62="Dependent",W$63="Dubai",Y$63="Female",Y$61=RN2_minus),VLOOKUP(W64,DXB_FEMALE_DEP,7,0),IF(AND(W$62="Dependent",W$63="Dubai",Y$63="Female",Y$61=RN_3),VLOOKUP(W64,DXB_FEMALE_DEP,8,0),IF(AND(W$62="Dependent",W$63="Dubai",Y$63="Female",Y$61=VN),VLOOKUP(W64,DXB_FEMALE_DEP,9,0),"Error")))))))))))))))))))))))))))))))),0)</f>
        <v>0</v>
      </c>
      <c r="Z64" s="688"/>
    </row>
    <row r="65" spans="1:26" x14ac:dyDescent="0.25">
      <c r="B65" s="758" t="str">
        <f t="shared" si="24"/>
        <v>11 - 17</v>
      </c>
      <c r="C65" s="753">
        <f t="shared" si="25"/>
        <v>1041</v>
      </c>
      <c r="D65" s="753">
        <f t="shared" si="26"/>
        <v>1276</v>
      </c>
      <c r="E65" s="758" t="str">
        <f t="shared" si="27"/>
        <v>11 - 17</v>
      </c>
      <c r="F65" s="753">
        <f t="shared" si="28"/>
        <v>0</v>
      </c>
      <c r="G65" s="753">
        <f t="shared" si="29"/>
        <v>0</v>
      </c>
      <c r="H65" s="758" t="str">
        <f t="shared" si="30"/>
        <v>11 - 17</v>
      </c>
      <c r="I65" s="753">
        <f t="shared" si="31"/>
        <v>0</v>
      </c>
      <c r="J65" s="753">
        <f t="shared" si="32"/>
        <v>0</v>
      </c>
      <c r="K65" s="758" t="str">
        <f t="shared" si="33"/>
        <v>11 - 17</v>
      </c>
      <c r="L65" s="753">
        <f t="shared" si="34"/>
        <v>0</v>
      </c>
      <c r="M65" s="753">
        <f t="shared" si="35"/>
        <v>0</v>
      </c>
      <c r="N65" s="758" t="str">
        <f t="shared" si="36"/>
        <v>11 - 17</v>
      </c>
      <c r="O65" s="753">
        <f t="shared" si="37"/>
        <v>0</v>
      </c>
      <c r="P65" s="753">
        <f t="shared" si="38"/>
        <v>0</v>
      </c>
      <c r="Q65" s="758" t="str">
        <f t="shared" si="39"/>
        <v>11 - 17</v>
      </c>
      <c r="R65" s="753">
        <f t="shared" si="40"/>
        <v>0</v>
      </c>
      <c r="S65" s="753">
        <f t="shared" si="41"/>
        <v>0</v>
      </c>
      <c r="T65" s="758" t="str">
        <f t="shared" si="42"/>
        <v>11 - 17</v>
      </c>
      <c r="U65" s="753">
        <f t="shared" si="43"/>
        <v>0</v>
      </c>
      <c r="V65" s="753">
        <f t="shared" si="44"/>
        <v>0</v>
      </c>
      <c r="W65" s="758" t="str">
        <f t="shared" si="45"/>
        <v>11 - 17</v>
      </c>
      <c r="X65" s="753">
        <f t="shared" si="46"/>
        <v>0</v>
      </c>
      <c r="Y65" s="753">
        <f t="shared" si="47"/>
        <v>0</v>
      </c>
      <c r="Z65" s="688"/>
    </row>
    <row r="66" spans="1:26" x14ac:dyDescent="0.25">
      <c r="B66" s="758" t="str">
        <f t="shared" si="24"/>
        <v>18 - 25</v>
      </c>
      <c r="C66" s="753">
        <f t="shared" si="25"/>
        <v>1303</v>
      </c>
      <c r="D66" s="753">
        <f t="shared" si="26"/>
        <v>1272</v>
      </c>
      <c r="E66" s="758" t="str">
        <f t="shared" si="27"/>
        <v>18 - 25</v>
      </c>
      <c r="F66" s="753">
        <f t="shared" si="28"/>
        <v>0</v>
      </c>
      <c r="G66" s="753">
        <f t="shared" si="29"/>
        <v>0</v>
      </c>
      <c r="H66" s="758" t="str">
        <f t="shared" si="30"/>
        <v>18 - 25</v>
      </c>
      <c r="I66" s="753">
        <f t="shared" si="31"/>
        <v>0</v>
      </c>
      <c r="J66" s="753">
        <f t="shared" si="32"/>
        <v>0</v>
      </c>
      <c r="K66" s="758" t="str">
        <f t="shared" si="33"/>
        <v>18 - 25</v>
      </c>
      <c r="L66" s="753">
        <f t="shared" si="34"/>
        <v>0</v>
      </c>
      <c r="M66" s="753">
        <f t="shared" si="35"/>
        <v>0</v>
      </c>
      <c r="N66" s="758" t="str">
        <f t="shared" si="36"/>
        <v>18 - 25</v>
      </c>
      <c r="O66" s="753">
        <f t="shared" si="37"/>
        <v>0</v>
      </c>
      <c r="P66" s="753">
        <f t="shared" si="38"/>
        <v>0</v>
      </c>
      <c r="Q66" s="758" t="str">
        <f t="shared" si="39"/>
        <v>18 - 25</v>
      </c>
      <c r="R66" s="753">
        <f t="shared" si="40"/>
        <v>0</v>
      </c>
      <c r="S66" s="753">
        <f t="shared" si="41"/>
        <v>0</v>
      </c>
      <c r="T66" s="758" t="str">
        <f t="shared" si="42"/>
        <v>18 - 25</v>
      </c>
      <c r="U66" s="753">
        <f t="shared" si="43"/>
        <v>0</v>
      </c>
      <c r="V66" s="753">
        <f t="shared" si="44"/>
        <v>0</v>
      </c>
      <c r="W66" s="758" t="str">
        <f t="shared" si="45"/>
        <v>18 - 25</v>
      </c>
      <c r="X66" s="753">
        <f t="shared" si="46"/>
        <v>0</v>
      </c>
      <c r="Y66" s="753">
        <f t="shared" si="47"/>
        <v>0</v>
      </c>
      <c r="Z66" s="688"/>
    </row>
    <row r="67" spans="1:26" x14ac:dyDescent="0.25">
      <c r="B67" s="758" t="str">
        <f t="shared" si="24"/>
        <v>26 - 30</v>
      </c>
      <c r="C67" s="753">
        <f t="shared" si="25"/>
        <v>1417</v>
      </c>
      <c r="D67" s="753">
        <f t="shared" si="26"/>
        <v>1583</v>
      </c>
      <c r="E67" s="758" t="str">
        <f t="shared" si="27"/>
        <v>26 - 30</v>
      </c>
      <c r="F67" s="753">
        <f t="shared" si="28"/>
        <v>0</v>
      </c>
      <c r="G67" s="753">
        <f t="shared" si="29"/>
        <v>0</v>
      </c>
      <c r="H67" s="758" t="str">
        <f t="shared" si="30"/>
        <v>26 - 30</v>
      </c>
      <c r="I67" s="753">
        <f t="shared" si="31"/>
        <v>0</v>
      </c>
      <c r="J67" s="753">
        <f t="shared" si="32"/>
        <v>0</v>
      </c>
      <c r="K67" s="758" t="str">
        <f t="shared" si="33"/>
        <v>26 - 30</v>
      </c>
      <c r="L67" s="753">
        <f t="shared" si="34"/>
        <v>0</v>
      </c>
      <c r="M67" s="753">
        <f t="shared" si="35"/>
        <v>0</v>
      </c>
      <c r="N67" s="758" t="str">
        <f t="shared" si="36"/>
        <v>26 - 30</v>
      </c>
      <c r="O67" s="753">
        <f t="shared" si="37"/>
        <v>0</v>
      </c>
      <c r="P67" s="753">
        <f t="shared" si="38"/>
        <v>0</v>
      </c>
      <c r="Q67" s="758" t="str">
        <f t="shared" si="39"/>
        <v>26 - 30</v>
      </c>
      <c r="R67" s="753">
        <f t="shared" si="40"/>
        <v>0</v>
      </c>
      <c r="S67" s="753">
        <f t="shared" si="41"/>
        <v>0</v>
      </c>
      <c r="T67" s="758" t="str">
        <f t="shared" si="42"/>
        <v>26 - 30</v>
      </c>
      <c r="U67" s="753">
        <f t="shared" si="43"/>
        <v>0</v>
      </c>
      <c r="V67" s="753">
        <f t="shared" si="44"/>
        <v>0</v>
      </c>
      <c r="W67" s="758" t="str">
        <f t="shared" si="45"/>
        <v>26 - 30</v>
      </c>
      <c r="X67" s="753">
        <f t="shared" si="46"/>
        <v>0</v>
      </c>
      <c r="Y67" s="753">
        <f t="shared" si="47"/>
        <v>0</v>
      </c>
      <c r="Z67" s="688"/>
    </row>
    <row r="68" spans="1:26" x14ac:dyDescent="0.25">
      <c r="B68" s="758" t="str">
        <f t="shared" si="24"/>
        <v>31 - 35</v>
      </c>
      <c r="C68" s="753">
        <f t="shared" si="25"/>
        <v>1709</v>
      </c>
      <c r="D68" s="753">
        <f t="shared" si="26"/>
        <v>1892</v>
      </c>
      <c r="E68" s="758" t="str">
        <f t="shared" si="27"/>
        <v>31 - 35</v>
      </c>
      <c r="F68" s="753">
        <f t="shared" si="28"/>
        <v>0</v>
      </c>
      <c r="G68" s="753">
        <f t="shared" si="29"/>
        <v>0</v>
      </c>
      <c r="H68" s="758" t="str">
        <f t="shared" si="30"/>
        <v>31 - 35</v>
      </c>
      <c r="I68" s="753">
        <f t="shared" si="31"/>
        <v>0</v>
      </c>
      <c r="J68" s="753">
        <f t="shared" si="32"/>
        <v>0</v>
      </c>
      <c r="K68" s="758" t="str">
        <f t="shared" si="33"/>
        <v>31 - 35</v>
      </c>
      <c r="L68" s="753">
        <f t="shared" si="34"/>
        <v>0</v>
      </c>
      <c r="M68" s="753">
        <f t="shared" si="35"/>
        <v>0</v>
      </c>
      <c r="N68" s="758" t="str">
        <f t="shared" si="36"/>
        <v>31 - 35</v>
      </c>
      <c r="O68" s="753">
        <f t="shared" si="37"/>
        <v>0</v>
      </c>
      <c r="P68" s="753">
        <f t="shared" si="38"/>
        <v>0</v>
      </c>
      <c r="Q68" s="758" t="str">
        <f t="shared" si="39"/>
        <v>31 - 35</v>
      </c>
      <c r="R68" s="753">
        <f t="shared" si="40"/>
        <v>0</v>
      </c>
      <c r="S68" s="753">
        <f t="shared" si="41"/>
        <v>0</v>
      </c>
      <c r="T68" s="758" t="str">
        <f t="shared" si="42"/>
        <v>31 - 35</v>
      </c>
      <c r="U68" s="753">
        <f t="shared" si="43"/>
        <v>0</v>
      </c>
      <c r="V68" s="753">
        <f t="shared" si="44"/>
        <v>0</v>
      </c>
      <c r="W68" s="758" t="str">
        <f t="shared" si="45"/>
        <v>31 - 35</v>
      </c>
      <c r="X68" s="753">
        <f t="shared" si="46"/>
        <v>0</v>
      </c>
      <c r="Y68" s="753">
        <f t="shared" si="47"/>
        <v>0</v>
      </c>
      <c r="Z68" s="688"/>
    </row>
    <row r="69" spans="1:26" x14ac:dyDescent="0.25">
      <c r="B69" s="758" t="str">
        <f t="shared" si="24"/>
        <v>36 - 40</v>
      </c>
      <c r="C69" s="753">
        <f t="shared" si="25"/>
        <v>2110</v>
      </c>
      <c r="D69" s="753">
        <f t="shared" si="26"/>
        <v>2363</v>
      </c>
      <c r="E69" s="758" t="str">
        <f t="shared" si="27"/>
        <v>36 - 40</v>
      </c>
      <c r="F69" s="753">
        <f t="shared" si="28"/>
        <v>0</v>
      </c>
      <c r="G69" s="753">
        <f t="shared" si="29"/>
        <v>0</v>
      </c>
      <c r="H69" s="758" t="str">
        <f t="shared" si="30"/>
        <v>36 - 40</v>
      </c>
      <c r="I69" s="753">
        <f t="shared" si="31"/>
        <v>0</v>
      </c>
      <c r="J69" s="753">
        <f t="shared" si="32"/>
        <v>0</v>
      </c>
      <c r="K69" s="758" t="str">
        <f t="shared" si="33"/>
        <v>36 - 40</v>
      </c>
      <c r="L69" s="753">
        <f t="shared" si="34"/>
        <v>0</v>
      </c>
      <c r="M69" s="753">
        <f t="shared" si="35"/>
        <v>0</v>
      </c>
      <c r="N69" s="758" t="str">
        <f t="shared" si="36"/>
        <v>36 - 40</v>
      </c>
      <c r="O69" s="753">
        <f t="shared" si="37"/>
        <v>0</v>
      </c>
      <c r="P69" s="753">
        <f t="shared" si="38"/>
        <v>0</v>
      </c>
      <c r="Q69" s="758" t="str">
        <f t="shared" si="39"/>
        <v>36 - 40</v>
      </c>
      <c r="R69" s="753">
        <f t="shared" si="40"/>
        <v>0</v>
      </c>
      <c r="S69" s="753">
        <f t="shared" si="41"/>
        <v>0</v>
      </c>
      <c r="T69" s="758" t="str">
        <f t="shared" si="42"/>
        <v>36 - 40</v>
      </c>
      <c r="U69" s="753">
        <f t="shared" si="43"/>
        <v>0</v>
      </c>
      <c r="V69" s="753">
        <f t="shared" si="44"/>
        <v>0</v>
      </c>
      <c r="W69" s="758" t="str">
        <f t="shared" si="45"/>
        <v>36 - 40</v>
      </c>
      <c r="X69" s="753">
        <f t="shared" si="46"/>
        <v>0</v>
      </c>
      <c r="Y69" s="753">
        <f t="shared" si="47"/>
        <v>0</v>
      </c>
      <c r="Z69" s="688"/>
    </row>
    <row r="70" spans="1:26" x14ac:dyDescent="0.25">
      <c r="B70" s="758" t="str">
        <f t="shared" si="24"/>
        <v>41 - 45</v>
      </c>
      <c r="C70" s="753">
        <f t="shared" si="25"/>
        <v>2473</v>
      </c>
      <c r="D70" s="753">
        <f t="shared" si="26"/>
        <v>3029</v>
      </c>
      <c r="E70" s="758" t="str">
        <f t="shared" si="27"/>
        <v>41 - 45</v>
      </c>
      <c r="F70" s="753">
        <f t="shared" si="28"/>
        <v>0</v>
      </c>
      <c r="G70" s="753">
        <f t="shared" si="29"/>
        <v>0</v>
      </c>
      <c r="H70" s="758" t="str">
        <f t="shared" si="30"/>
        <v>41 - 45</v>
      </c>
      <c r="I70" s="753">
        <f t="shared" si="31"/>
        <v>0</v>
      </c>
      <c r="J70" s="753">
        <f t="shared" si="32"/>
        <v>0</v>
      </c>
      <c r="K70" s="758" t="str">
        <f t="shared" si="33"/>
        <v>41 - 45</v>
      </c>
      <c r="L70" s="753">
        <f t="shared" si="34"/>
        <v>0</v>
      </c>
      <c r="M70" s="753">
        <f t="shared" si="35"/>
        <v>0</v>
      </c>
      <c r="N70" s="758" t="str">
        <f t="shared" si="36"/>
        <v>41 - 45</v>
      </c>
      <c r="O70" s="753">
        <f t="shared" si="37"/>
        <v>0</v>
      </c>
      <c r="P70" s="753">
        <f t="shared" si="38"/>
        <v>0</v>
      </c>
      <c r="Q70" s="758" t="str">
        <f t="shared" si="39"/>
        <v>41 - 45</v>
      </c>
      <c r="R70" s="753">
        <f t="shared" si="40"/>
        <v>0</v>
      </c>
      <c r="S70" s="753">
        <f t="shared" si="41"/>
        <v>0</v>
      </c>
      <c r="T70" s="758" t="str">
        <f t="shared" si="42"/>
        <v>41 - 45</v>
      </c>
      <c r="U70" s="753">
        <f t="shared" si="43"/>
        <v>0</v>
      </c>
      <c r="V70" s="753">
        <f t="shared" si="44"/>
        <v>0</v>
      </c>
      <c r="W70" s="758" t="str">
        <f t="shared" si="45"/>
        <v>41 - 45</v>
      </c>
      <c r="X70" s="753">
        <f t="shared" si="46"/>
        <v>0</v>
      </c>
      <c r="Y70" s="753">
        <f t="shared" si="47"/>
        <v>0</v>
      </c>
      <c r="Z70" s="688"/>
    </row>
    <row r="71" spans="1:26" x14ac:dyDescent="0.25">
      <c r="B71" s="758" t="str">
        <f t="shared" si="24"/>
        <v>46 - 50</v>
      </c>
      <c r="C71" s="753">
        <f t="shared" si="25"/>
        <v>3229</v>
      </c>
      <c r="D71" s="753">
        <f t="shared" si="26"/>
        <v>3791</v>
      </c>
      <c r="E71" s="758" t="str">
        <f t="shared" si="27"/>
        <v>46 - 50</v>
      </c>
      <c r="F71" s="753">
        <f t="shared" si="28"/>
        <v>0</v>
      </c>
      <c r="G71" s="753">
        <f t="shared" si="29"/>
        <v>0</v>
      </c>
      <c r="H71" s="758" t="str">
        <f t="shared" si="30"/>
        <v>46 - 50</v>
      </c>
      <c r="I71" s="753">
        <f t="shared" si="31"/>
        <v>0</v>
      </c>
      <c r="J71" s="753">
        <f t="shared" si="32"/>
        <v>0</v>
      </c>
      <c r="K71" s="758" t="str">
        <f t="shared" si="33"/>
        <v>46 - 50</v>
      </c>
      <c r="L71" s="753">
        <f t="shared" si="34"/>
        <v>0</v>
      </c>
      <c r="M71" s="753">
        <f t="shared" si="35"/>
        <v>0</v>
      </c>
      <c r="N71" s="758" t="str">
        <f t="shared" si="36"/>
        <v>46 - 50</v>
      </c>
      <c r="O71" s="753">
        <f t="shared" si="37"/>
        <v>0</v>
      </c>
      <c r="P71" s="753">
        <f t="shared" si="38"/>
        <v>0</v>
      </c>
      <c r="Q71" s="758" t="str">
        <f t="shared" si="39"/>
        <v>46 - 50</v>
      </c>
      <c r="R71" s="753">
        <f t="shared" si="40"/>
        <v>0</v>
      </c>
      <c r="S71" s="753">
        <f t="shared" si="41"/>
        <v>0</v>
      </c>
      <c r="T71" s="758" t="str">
        <f t="shared" si="42"/>
        <v>46 - 50</v>
      </c>
      <c r="U71" s="753">
        <f t="shared" si="43"/>
        <v>0</v>
      </c>
      <c r="V71" s="753">
        <f t="shared" si="44"/>
        <v>0</v>
      </c>
      <c r="W71" s="758" t="str">
        <f t="shared" si="45"/>
        <v>46 - 50</v>
      </c>
      <c r="X71" s="753">
        <f t="shared" si="46"/>
        <v>0</v>
      </c>
      <c r="Y71" s="753">
        <f t="shared" si="47"/>
        <v>0</v>
      </c>
      <c r="Z71" s="688"/>
    </row>
    <row r="72" spans="1:26" x14ac:dyDescent="0.25">
      <c r="B72" s="758" t="str">
        <f t="shared" si="24"/>
        <v>51 - 55</v>
      </c>
      <c r="C72" s="753">
        <f t="shared" si="25"/>
        <v>4324</v>
      </c>
      <c r="D72" s="753">
        <f t="shared" si="26"/>
        <v>4994</v>
      </c>
      <c r="E72" s="758" t="str">
        <f t="shared" si="27"/>
        <v>51 - 55</v>
      </c>
      <c r="F72" s="753">
        <f t="shared" si="28"/>
        <v>0</v>
      </c>
      <c r="G72" s="753">
        <f t="shared" si="29"/>
        <v>0</v>
      </c>
      <c r="H72" s="758" t="str">
        <f t="shared" si="30"/>
        <v>51 - 55</v>
      </c>
      <c r="I72" s="753">
        <f t="shared" si="31"/>
        <v>0</v>
      </c>
      <c r="J72" s="753">
        <f t="shared" si="32"/>
        <v>0</v>
      </c>
      <c r="K72" s="758" t="str">
        <f t="shared" si="33"/>
        <v>51 - 55</v>
      </c>
      <c r="L72" s="753">
        <f t="shared" si="34"/>
        <v>0</v>
      </c>
      <c r="M72" s="753">
        <f t="shared" si="35"/>
        <v>0</v>
      </c>
      <c r="N72" s="758" t="str">
        <f t="shared" si="36"/>
        <v>51 - 55</v>
      </c>
      <c r="O72" s="753">
        <f t="shared" si="37"/>
        <v>0</v>
      </c>
      <c r="P72" s="753">
        <f t="shared" si="38"/>
        <v>0</v>
      </c>
      <c r="Q72" s="758" t="str">
        <f t="shared" si="39"/>
        <v>51 - 55</v>
      </c>
      <c r="R72" s="753">
        <f t="shared" si="40"/>
        <v>0</v>
      </c>
      <c r="S72" s="753">
        <f t="shared" si="41"/>
        <v>0</v>
      </c>
      <c r="T72" s="758" t="str">
        <f t="shared" si="42"/>
        <v>51 - 55</v>
      </c>
      <c r="U72" s="753">
        <f t="shared" si="43"/>
        <v>0</v>
      </c>
      <c r="V72" s="753">
        <f t="shared" si="44"/>
        <v>0</v>
      </c>
      <c r="W72" s="758" t="str">
        <f t="shared" si="45"/>
        <v>51 - 55</v>
      </c>
      <c r="X72" s="753">
        <f t="shared" si="46"/>
        <v>0</v>
      </c>
      <c r="Y72" s="753">
        <f t="shared" si="47"/>
        <v>0</v>
      </c>
      <c r="Z72" s="688"/>
    </row>
    <row r="73" spans="1:26" x14ac:dyDescent="0.25">
      <c r="B73" s="758" t="str">
        <f t="shared" si="24"/>
        <v>56 - 59</v>
      </c>
      <c r="C73" s="753">
        <f t="shared" si="25"/>
        <v>5881</v>
      </c>
      <c r="D73" s="753">
        <f t="shared" si="26"/>
        <v>6111</v>
      </c>
      <c r="E73" s="758" t="str">
        <f t="shared" si="27"/>
        <v>56 - 59</v>
      </c>
      <c r="F73" s="753">
        <f t="shared" si="28"/>
        <v>0</v>
      </c>
      <c r="G73" s="753">
        <f t="shared" si="29"/>
        <v>0</v>
      </c>
      <c r="H73" s="758" t="str">
        <f t="shared" si="30"/>
        <v>56 - 59</v>
      </c>
      <c r="I73" s="753">
        <f t="shared" si="31"/>
        <v>0</v>
      </c>
      <c r="J73" s="753">
        <f t="shared" si="32"/>
        <v>0</v>
      </c>
      <c r="K73" s="758" t="str">
        <f t="shared" si="33"/>
        <v>56 - 59</v>
      </c>
      <c r="L73" s="753">
        <f t="shared" si="34"/>
        <v>0</v>
      </c>
      <c r="M73" s="753">
        <f t="shared" si="35"/>
        <v>0</v>
      </c>
      <c r="N73" s="758" t="str">
        <f t="shared" si="36"/>
        <v>56 - 59</v>
      </c>
      <c r="O73" s="753">
        <f t="shared" si="37"/>
        <v>0</v>
      </c>
      <c r="P73" s="753">
        <f t="shared" si="38"/>
        <v>0</v>
      </c>
      <c r="Q73" s="758" t="str">
        <f t="shared" si="39"/>
        <v>56 - 59</v>
      </c>
      <c r="R73" s="753">
        <f t="shared" si="40"/>
        <v>0</v>
      </c>
      <c r="S73" s="753">
        <f t="shared" si="41"/>
        <v>0</v>
      </c>
      <c r="T73" s="758" t="str">
        <f t="shared" si="42"/>
        <v>56 - 59</v>
      </c>
      <c r="U73" s="753">
        <f t="shared" si="43"/>
        <v>0</v>
      </c>
      <c r="V73" s="753">
        <f t="shared" si="44"/>
        <v>0</v>
      </c>
      <c r="W73" s="758" t="str">
        <f t="shared" si="45"/>
        <v>56 - 59</v>
      </c>
      <c r="X73" s="753">
        <f t="shared" si="46"/>
        <v>0</v>
      </c>
      <c r="Y73" s="753">
        <f t="shared" si="47"/>
        <v>0</v>
      </c>
      <c r="Z73" s="688"/>
    </row>
    <row r="74" spans="1:26" x14ac:dyDescent="0.25">
      <c r="B74" s="758" t="str">
        <f t="shared" si="24"/>
        <v>60 - 64</v>
      </c>
      <c r="C74" s="753">
        <f t="shared" si="25"/>
        <v>7233</v>
      </c>
      <c r="D74" s="753">
        <f t="shared" si="26"/>
        <v>7258</v>
      </c>
      <c r="E74" s="758" t="str">
        <f t="shared" si="27"/>
        <v>60 - 64</v>
      </c>
      <c r="F74" s="753">
        <f t="shared" si="28"/>
        <v>0</v>
      </c>
      <c r="G74" s="753">
        <f t="shared" si="29"/>
        <v>0</v>
      </c>
      <c r="H74" s="758" t="str">
        <f t="shared" si="30"/>
        <v>60 - 64</v>
      </c>
      <c r="I74" s="753">
        <f t="shared" si="31"/>
        <v>0</v>
      </c>
      <c r="J74" s="753">
        <f t="shared" si="32"/>
        <v>0</v>
      </c>
      <c r="K74" s="758" t="str">
        <f t="shared" si="33"/>
        <v>60 - 64</v>
      </c>
      <c r="L74" s="753">
        <f t="shared" si="34"/>
        <v>0</v>
      </c>
      <c r="M74" s="753">
        <f t="shared" si="35"/>
        <v>0</v>
      </c>
      <c r="N74" s="758" t="str">
        <f t="shared" si="36"/>
        <v>60 - 64</v>
      </c>
      <c r="O74" s="753">
        <f t="shared" si="37"/>
        <v>0</v>
      </c>
      <c r="P74" s="753">
        <f t="shared" si="38"/>
        <v>0</v>
      </c>
      <c r="Q74" s="758" t="str">
        <f t="shared" si="39"/>
        <v>60 - 64</v>
      </c>
      <c r="R74" s="753">
        <f t="shared" si="40"/>
        <v>0</v>
      </c>
      <c r="S74" s="753">
        <f t="shared" si="41"/>
        <v>0</v>
      </c>
      <c r="T74" s="758" t="str">
        <f t="shared" si="42"/>
        <v>60 - 64</v>
      </c>
      <c r="U74" s="753">
        <f t="shared" si="43"/>
        <v>0</v>
      </c>
      <c r="V74" s="753">
        <f t="shared" si="44"/>
        <v>0</v>
      </c>
      <c r="W74" s="758" t="str">
        <f t="shared" si="45"/>
        <v>60 - 64</v>
      </c>
      <c r="X74" s="753">
        <f t="shared" si="46"/>
        <v>0</v>
      </c>
      <c r="Y74" s="753">
        <f t="shared" si="47"/>
        <v>0</v>
      </c>
      <c r="Z74" s="688"/>
    </row>
    <row r="75" spans="1:26" x14ac:dyDescent="0.25">
      <c r="B75" s="758" t="str">
        <f t="shared" si="24"/>
        <v>65 - 99</v>
      </c>
      <c r="C75" s="753">
        <f t="shared" si="25"/>
        <v>13019.4</v>
      </c>
      <c r="D75" s="753">
        <f t="shared" si="26"/>
        <v>13064.4</v>
      </c>
      <c r="E75" s="758" t="str">
        <f t="shared" si="27"/>
        <v>65 - 99</v>
      </c>
      <c r="F75" s="753">
        <f t="shared" si="28"/>
        <v>0</v>
      </c>
      <c r="G75" s="753">
        <f t="shared" si="29"/>
        <v>0</v>
      </c>
      <c r="H75" s="758" t="str">
        <f t="shared" si="30"/>
        <v>65 - 99</v>
      </c>
      <c r="I75" s="753">
        <f t="shared" si="31"/>
        <v>0</v>
      </c>
      <c r="J75" s="753">
        <f t="shared" si="32"/>
        <v>0</v>
      </c>
      <c r="K75" s="758" t="str">
        <f t="shared" si="33"/>
        <v>65 - 99</v>
      </c>
      <c r="L75" s="753">
        <f t="shared" si="34"/>
        <v>0</v>
      </c>
      <c r="M75" s="753">
        <f t="shared" si="35"/>
        <v>0</v>
      </c>
      <c r="N75" s="758" t="str">
        <f t="shared" si="36"/>
        <v>65 - 99</v>
      </c>
      <c r="O75" s="753">
        <f t="shared" si="37"/>
        <v>0</v>
      </c>
      <c r="P75" s="753">
        <f t="shared" si="38"/>
        <v>0</v>
      </c>
      <c r="Q75" s="758" t="str">
        <f t="shared" si="39"/>
        <v>65 - 99</v>
      </c>
      <c r="R75" s="753">
        <f t="shared" si="40"/>
        <v>0</v>
      </c>
      <c r="S75" s="753">
        <f t="shared" si="41"/>
        <v>0</v>
      </c>
      <c r="T75" s="758" t="str">
        <f t="shared" si="42"/>
        <v>65 - 99</v>
      </c>
      <c r="U75" s="753">
        <f t="shared" si="43"/>
        <v>0</v>
      </c>
      <c r="V75" s="753">
        <f t="shared" si="44"/>
        <v>0</v>
      </c>
      <c r="W75" s="758" t="str">
        <f t="shared" si="45"/>
        <v>65 - 99</v>
      </c>
      <c r="X75" s="753">
        <f t="shared" si="46"/>
        <v>0</v>
      </c>
      <c r="Y75" s="753">
        <f t="shared" si="47"/>
        <v>0</v>
      </c>
      <c r="Z75" s="688"/>
    </row>
    <row r="76" spans="1:26" x14ac:dyDescent="0.25">
      <c r="B76" s="755"/>
      <c r="C76" s="754"/>
      <c r="D76" s="754"/>
      <c r="E76" s="754"/>
      <c r="F76" s="754"/>
      <c r="G76" s="754"/>
      <c r="H76" s="754"/>
      <c r="I76" s="754"/>
      <c r="J76" s="754"/>
      <c r="K76" s="754"/>
      <c r="L76" s="754"/>
      <c r="M76" s="754"/>
      <c r="N76" s="754"/>
      <c r="O76" s="754"/>
      <c r="P76" s="754"/>
      <c r="Q76" s="754"/>
      <c r="R76" s="754"/>
      <c r="S76" s="754"/>
      <c r="T76" s="754"/>
      <c r="U76" s="754"/>
      <c r="V76" s="754"/>
      <c r="W76" s="754"/>
      <c r="X76" s="754"/>
      <c r="Y76" s="754"/>
      <c r="Z76" s="756"/>
    </row>
    <row r="77" spans="1:26" ht="15.75" thickBot="1" x14ac:dyDescent="0.3">
      <c r="B77" s="695"/>
      <c r="C77" s="570"/>
      <c r="D77" s="570"/>
      <c r="E77" s="570"/>
      <c r="F77" s="570"/>
      <c r="G77" s="570"/>
      <c r="H77" s="570"/>
      <c r="I77" s="570"/>
      <c r="J77" s="570"/>
      <c r="K77" s="570"/>
      <c r="L77" s="570"/>
      <c r="M77" s="570"/>
      <c r="N77" s="570"/>
      <c r="O77" s="570"/>
      <c r="P77" s="696"/>
      <c r="Q77" s="570"/>
      <c r="R77" s="570"/>
      <c r="S77" s="570"/>
      <c r="T77" s="570"/>
      <c r="U77" s="570"/>
      <c r="V77" s="570"/>
      <c r="W77" s="570"/>
      <c r="X77" s="570"/>
      <c r="Y77" s="570"/>
      <c r="Z77" s="697"/>
    </row>
    <row r="79" spans="1:26" s="469" customFormat="1" x14ac:dyDescent="0.25">
      <c r="A79" s="470" t="s">
        <v>960</v>
      </c>
      <c r="B79" s="924" t="str">
        <f>B63</f>
        <v>Dubai</v>
      </c>
      <c r="C79" s="487">
        <f>SUMPRODUCT(C6:D17,C45:D56)+SUMPRODUCT(C25:D36,C64:D75)</f>
        <v>25183</v>
      </c>
      <c r="D79" s="925">
        <f>SUM(C25:D36,C6:D17)</f>
        <v>11</v>
      </c>
      <c r="E79" s="924" t="str">
        <f>E63</f>
        <v>Dubai</v>
      </c>
      <c r="F79" s="487">
        <f>SUMPRODUCT(F6:G17,F45:G56)+SUMPRODUCT(F25:G36,F64:G75)</f>
        <v>0</v>
      </c>
      <c r="G79" s="925">
        <f>SUM(F25:G36,F6:G17)</f>
        <v>0</v>
      </c>
      <c r="H79" s="924" t="str">
        <f>H63</f>
        <v>Dubai</v>
      </c>
      <c r="I79" s="487">
        <f>SUMPRODUCT(I6:J17,I45:J56)+SUMPRODUCT(I25:J36,I64:J75)</f>
        <v>0</v>
      </c>
      <c r="J79" s="925">
        <f>SUM(I25:J36,I6:J17)</f>
        <v>0</v>
      </c>
      <c r="K79" s="924" t="str">
        <f>K63</f>
        <v>Dubai</v>
      </c>
      <c r="L79" s="487">
        <f>SUMPRODUCT(L6:M17,L45:M56)+SUMPRODUCT(L25:M36,L64:M75)</f>
        <v>0</v>
      </c>
      <c r="M79" s="925">
        <f>SUM(L25:M36,L6:M17)</f>
        <v>0</v>
      </c>
      <c r="N79" s="924" t="str">
        <f>N63</f>
        <v>Dubai</v>
      </c>
      <c r="O79" s="487">
        <f>SUMPRODUCT(O6:P17,O45:P56)+SUMPRODUCT(O25:P36,O64:P75)</f>
        <v>0</v>
      </c>
      <c r="P79" s="925">
        <f>SUM(O25:P36,O6:P17)</f>
        <v>0</v>
      </c>
      <c r="Q79" s="924" t="str">
        <f>Q63</f>
        <v>Dubai</v>
      </c>
      <c r="R79" s="487">
        <f>SUMPRODUCT(R6:S17,R45:S56)+SUMPRODUCT(R25:S36,R64:S75)</f>
        <v>0</v>
      </c>
      <c r="S79" s="925">
        <f>SUM(R25:S36,R6:S17)</f>
        <v>0</v>
      </c>
      <c r="T79" s="924" t="str">
        <f>T63</f>
        <v>Dubai</v>
      </c>
      <c r="U79" s="487">
        <f>SUMPRODUCT(U6:V17,U45:V56)+SUMPRODUCT(U25:V36,U64:V75)</f>
        <v>0</v>
      </c>
      <c r="V79" s="925">
        <f>SUM(U25:V36,U6:V17)</f>
        <v>0</v>
      </c>
      <c r="W79" s="924" t="str">
        <f>W63</f>
        <v>Dubai</v>
      </c>
      <c r="X79" s="487">
        <f>SUMPRODUCT(X6:Y17,X45:Y56)+SUMPRODUCT(X25:Y36,X64:Y75)</f>
        <v>0</v>
      </c>
      <c r="Y79" s="925">
        <f>SUM(X25:Y36,X6:Y17)</f>
        <v>0</v>
      </c>
    </row>
    <row r="80" spans="1:26" s="436" customFormat="1" x14ac:dyDescent="0.25"/>
    <row r="81" spans="1:25" x14ac:dyDescent="0.25">
      <c r="A81" s="926" t="s">
        <v>959</v>
      </c>
      <c r="B81" s="927"/>
      <c r="C81" s="928">
        <f ca="1">'Benefit Selection - Group'!B88</f>
        <v>26680.367567567562</v>
      </c>
      <c r="D81" s="842">
        <f ca="1">C81/C$85</f>
        <v>0.9262455867456153</v>
      </c>
      <c r="E81" s="927"/>
      <c r="F81" s="928">
        <f ca="1">'Benefit Selection - Group'!G88</f>
        <v>0</v>
      </c>
      <c r="G81" s="826" t="e">
        <f ca="1">F81/F$85</f>
        <v>#DIV/0!</v>
      </c>
      <c r="H81" s="927"/>
      <c r="I81" s="928">
        <f ca="1">'Benefit Selection - Group'!L88</f>
        <v>0</v>
      </c>
      <c r="J81" s="826" t="e">
        <f ca="1">I81/I$85</f>
        <v>#DIV/0!</v>
      </c>
      <c r="K81" s="927"/>
      <c r="L81" s="928">
        <f ca="1">'Benefit Selection - Group'!Q88</f>
        <v>0</v>
      </c>
      <c r="M81" s="826" t="e">
        <f ca="1">L81/L$85</f>
        <v>#DIV/0!</v>
      </c>
      <c r="N81" s="927"/>
      <c r="O81" s="928">
        <f ca="1">'Benefit Selection - Group'!V88</f>
        <v>0</v>
      </c>
      <c r="P81" s="826" t="e">
        <f ca="1">O81/O$85</f>
        <v>#DIV/0!</v>
      </c>
      <c r="Q81" s="927"/>
      <c r="R81" s="928">
        <f ca="1">'Benefit Selection - Group'!AA88</f>
        <v>0</v>
      </c>
      <c r="S81" s="826" t="e">
        <f ca="1">R81/R$85</f>
        <v>#DIV/0!</v>
      </c>
      <c r="T81" s="927"/>
      <c r="U81" s="928">
        <f ca="1">'Benefit Selection - Group'!AF88</f>
        <v>0</v>
      </c>
      <c r="V81" s="826" t="e">
        <f ca="1">U81/U$85</f>
        <v>#DIV/0!</v>
      </c>
      <c r="W81" s="927"/>
      <c r="X81" s="928">
        <f ca="1">'Benefit Selection - Group'!AK88</f>
        <v>0</v>
      </c>
      <c r="Y81" s="826" t="e">
        <f ca="1">X81/X$85</f>
        <v>#DIV/0!</v>
      </c>
    </row>
    <row r="82" spans="1:25" x14ac:dyDescent="0.25">
      <c r="A82" s="926" t="s">
        <v>136</v>
      </c>
      <c r="B82" s="927"/>
      <c r="C82" s="928">
        <f ca="1">'Benefit Selection - Group'!B89</f>
        <v>1193.5</v>
      </c>
      <c r="D82" s="842">
        <f ca="1">C82/C$85</f>
        <v>4.1433990929146618E-2</v>
      </c>
      <c r="E82" s="927"/>
      <c r="F82" s="928">
        <f ca="1">'Benefit Selection - Group'!G89</f>
        <v>0</v>
      </c>
      <c r="G82" s="826" t="e">
        <f ca="1">F82/F$85</f>
        <v>#DIV/0!</v>
      </c>
      <c r="H82" s="927"/>
      <c r="I82" s="928">
        <f ca="1">'Benefit Selection - Group'!L89</f>
        <v>0</v>
      </c>
      <c r="J82" s="826" t="e">
        <f ca="1">I82/I$85</f>
        <v>#DIV/0!</v>
      </c>
      <c r="K82" s="927"/>
      <c r="L82" s="928">
        <f ca="1">'Benefit Selection - Group'!Q89</f>
        <v>0</v>
      </c>
      <c r="M82" s="826" t="e">
        <f ca="1">L82/L$85</f>
        <v>#DIV/0!</v>
      </c>
      <c r="N82" s="927"/>
      <c r="O82" s="928">
        <f ca="1">'Benefit Selection - Group'!V89</f>
        <v>0</v>
      </c>
      <c r="P82" s="826" t="e">
        <f ca="1">O82/O$85</f>
        <v>#DIV/0!</v>
      </c>
      <c r="Q82" s="927"/>
      <c r="R82" s="928">
        <f ca="1">'Benefit Selection - Group'!AA89</f>
        <v>0</v>
      </c>
      <c r="S82" s="826" t="e">
        <f ca="1">R82/R$85</f>
        <v>#DIV/0!</v>
      </c>
      <c r="T82" s="927"/>
      <c r="U82" s="928">
        <f ca="1">'Benefit Selection - Group'!AF89</f>
        <v>0</v>
      </c>
      <c r="V82" s="826" t="e">
        <f ca="1">U82/U$85</f>
        <v>#DIV/0!</v>
      </c>
      <c r="W82" s="927"/>
      <c r="X82" s="928">
        <f ca="1">'Benefit Selection - Group'!AK89</f>
        <v>0</v>
      </c>
      <c r="Y82" s="826" t="e">
        <f ca="1">X82/X$85</f>
        <v>#DIV/0!</v>
      </c>
    </row>
    <row r="83" spans="1:25" x14ac:dyDescent="0.25">
      <c r="A83" s="926" t="s">
        <v>131</v>
      </c>
      <c r="B83" s="927"/>
      <c r="C83" s="928">
        <f ca="1">'Benefit Selection - Group'!B90</f>
        <v>0</v>
      </c>
      <c r="D83" s="842">
        <f ca="1">C83/C$85</f>
        <v>0</v>
      </c>
      <c r="E83" s="927"/>
      <c r="F83" s="928">
        <f ca="1">'Benefit Selection - Group'!G90</f>
        <v>0</v>
      </c>
      <c r="G83" s="826" t="e">
        <f ca="1">F83/F$85</f>
        <v>#DIV/0!</v>
      </c>
      <c r="H83" s="927"/>
      <c r="I83" s="928">
        <f ca="1">'Benefit Selection - Group'!L90</f>
        <v>0</v>
      </c>
      <c r="J83" s="826" t="e">
        <f ca="1">I83/I$85</f>
        <v>#DIV/0!</v>
      </c>
      <c r="K83" s="927"/>
      <c r="L83" s="928">
        <f ca="1">'Benefit Selection - Group'!Q90</f>
        <v>0</v>
      </c>
      <c r="M83" s="826" t="e">
        <f ca="1">L83/L$85</f>
        <v>#DIV/0!</v>
      </c>
      <c r="N83" s="927"/>
      <c r="O83" s="928">
        <f ca="1">'Benefit Selection - Group'!V90</f>
        <v>0</v>
      </c>
      <c r="P83" s="826" t="e">
        <f ca="1">O83/O$85</f>
        <v>#DIV/0!</v>
      </c>
      <c r="Q83" s="927"/>
      <c r="R83" s="928">
        <f ca="1">'Benefit Selection - Group'!AA90</f>
        <v>0</v>
      </c>
      <c r="S83" s="826" t="e">
        <f ca="1">R83/R$85</f>
        <v>#DIV/0!</v>
      </c>
      <c r="T83" s="927"/>
      <c r="U83" s="928">
        <f ca="1">'Benefit Selection - Group'!AF90</f>
        <v>0</v>
      </c>
      <c r="V83" s="826" t="e">
        <f ca="1">U83/U$85</f>
        <v>#DIV/0!</v>
      </c>
      <c r="W83" s="927"/>
      <c r="X83" s="928">
        <f ca="1">'Benefit Selection - Group'!AK90</f>
        <v>0</v>
      </c>
      <c r="Y83" s="826" t="e">
        <f ca="1">X83/X$85</f>
        <v>#DIV/0!</v>
      </c>
    </row>
    <row r="84" spans="1:25" x14ac:dyDescent="0.25">
      <c r="A84" s="926" t="s">
        <v>135</v>
      </c>
      <c r="B84" s="927"/>
      <c r="C84" s="928">
        <f ca="1">'Benefit Selection - Group'!B91</f>
        <v>930.9849999999999</v>
      </c>
      <c r="D84" s="842">
        <f ca="1">C84/C$85</f>
        <v>3.2320422325238005E-2</v>
      </c>
      <c r="E84" s="927"/>
      <c r="F84" s="928">
        <f ca="1">'Benefit Selection - Group'!G91</f>
        <v>0</v>
      </c>
      <c r="G84" s="826" t="e">
        <f ca="1">F84/F$85</f>
        <v>#DIV/0!</v>
      </c>
      <c r="H84" s="927"/>
      <c r="I84" s="928">
        <f ca="1">'Benefit Selection - Group'!L91</f>
        <v>0</v>
      </c>
      <c r="J84" s="826" t="e">
        <f ca="1">I84/I$85</f>
        <v>#DIV/0!</v>
      </c>
      <c r="K84" s="927"/>
      <c r="L84" s="928">
        <f ca="1">'Benefit Selection - Group'!Q91</f>
        <v>0</v>
      </c>
      <c r="M84" s="826" t="e">
        <f ca="1">L84/L$85</f>
        <v>#DIV/0!</v>
      </c>
      <c r="N84" s="927"/>
      <c r="O84" s="928">
        <f ca="1">'Benefit Selection - Group'!V91</f>
        <v>0</v>
      </c>
      <c r="P84" s="826" t="e">
        <f ca="1">O84/O$85</f>
        <v>#DIV/0!</v>
      </c>
      <c r="Q84" s="927"/>
      <c r="R84" s="928">
        <f ca="1">'Benefit Selection - Group'!AA91</f>
        <v>0</v>
      </c>
      <c r="S84" s="826" t="e">
        <f ca="1">R84/R$85</f>
        <v>#DIV/0!</v>
      </c>
      <c r="T84" s="927"/>
      <c r="U84" s="928">
        <f ca="1">'Benefit Selection - Group'!AF91</f>
        <v>0</v>
      </c>
      <c r="V84" s="826" t="e">
        <f ca="1">U84/U$85</f>
        <v>#DIV/0!</v>
      </c>
      <c r="W84" s="927"/>
      <c r="X84" s="928">
        <f ca="1">'Benefit Selection - Group'!AK91</f>
        <v>0</v>
      </c>
      <c r="Y84" s="826" t="e">
        <f ca="1">X84/X$85</f>
        <v>#DIV/0!</v>
      </c>
    </row>
    <row r="85" spans="1:25" x14ac:dyDescent="0.25">
      <c r="A85" s="470" t="s">
        <v>961</v>
      </c>
      <c r="B85" s="927"/>
      <c r="C85" s="929">
        <f ca="1">SUM(C81:C84)</f>
        <v>28804.852567567563</v>
      </c>
      <c r="D85" s="827">
        <f ca="1">C85/C$85</f>
        <v>1</v>
      </c>
      <c r="E85" s="927"/>
      <c r="F85" s="929">
        <f ca="1">SUM(F81:F84)</f>
        <v>0</v>
      </c>
      <c r="G85" s="827" t="e">
        <f ca="1">F85/F$85</f>
        <v>#DIV/0!</v>
      </c>
      <c r="H85" s="927"/>
      <c r="I85" s="929">
        <f ca="1">SUM(I81:I84)</f>
        <v>0</v>
      </c>
      <c r="J85" s="827" t="e">
        <f ca="1">I85/I$85</f>
        <v>#DIV/0!</v>
      </c>
      <c r="K85" s="927"/>
      <c r="L85" s="929">
        <f ca="1">SUM(L81:L84)</f>
        <v>0</v>
      </c>
      <c r="M85" s="827" t="e">
        <f ca="1">L85/L$85</f>
        <v>#DIV/0!</v>
      </c>
      <c r="N85" s="927"/>
      <c r="O85" s="929">
        <f ca="1">SUM(O81:O84)</f>
        <v>0</v>
      </c>
      <c r="P85" s="827" t="e">
        <f ca="1">O85/O$85</f>
        <v>#DIV/0!</v>
      </c>
      <c r="Q85" s="927"/>
      <c r="R85" s="929">
        <f ca="1">SUM(R81:R84)</f>
        <v>0</v>
      </c>
      <c r="S85" s="827" t="e">
        <f ca="1">R85/R$85</f>
        <v>#DIV/0!</v>
      </c>
      <c r="T85" s="927"/>
      <c r="U85" s="929">
        <f ca="1">SUM(U81:U84)</f>
        <v>0</v>
      </c>
      <c r="V85" s="827" t="e">
        <f ca="1">U85/U$85</f>
        <v>#DIV/0!</v>
      </c>
      <c r="W85" s="927"/>
      <c r="X85" s="929">
        <f ca="1">SUM(X81:X84)</f>
        <v>0</v>
      </c>
      <c r="Y85" s="827" t="e">
        <f ca="1">X85/X$85</f>
        <v>#DIV/0!</v>
      </c>
    </row>
    <row r="87" spans="1:25" x14ac:dyDescent="0.25">
      <c r="A87" s="470" t="s">
        <v>283</v>
      </c>
      <c r="C87" s="487">
        <f ca="1">'Experience Rating'!B57*(1-Intermediary_and_Fee)</f>
        <v>28804.852567567563</v>
      </c>
      <c r="D87" s="785"/>
      <c r="F87" s="487" t="e">
        <f>'Experience Rating'!C57*(1-Intermediary_and_Fee)</f>
        <v>#VALUE!</v>
      </c>
      <c r="G87" s="785"/>
      <c r="I87" s="487" t="e">
        <f>'Experience Rating'!D57*(1-Intermediary_and_Fee)</f>
        <v>#VALUE!</v>
      </c>
      <c r="J87" s="785"/>
      <c r="L87" s="487" t="e">
        <f>'Experience Rating'!E57*(1-Intermediary_and_Fee)</f>
        <v>#VALUE!</v>
      </c>
      <c r="M87" s="785"/>
      <c r="O87" s="487" t="e">
        <f>'Experience Rating'!F57*(1-Intermediary_and_Fee)</f>
        <v>#VALUE!</v>
      </c>
      <c r="P87" s="785"/>
      <c r="R87" s="487" t="e">
        <f>'Experience Rating'!G57*(1-Intermediary_and_Fee)</f>
        <v>#VALUE!</v>
      </c>
      <c r="S87" s="785"/>
      <c r="U87" s="487" t="e">
        <f>'Experience Rating'!H57*(1-Intermediary_and_Fee)</f>
        <v>#VALUE!</v>
      </c>
      <c r="V87" s="785"/>
      <c r="X87" s="487" t="e">
        <f>'Experience Rating'!I57*(1-Intermediary_and_Fee)</f>
        <v>#VALUE!</v>
      </c>
      <c r="Y87" s="785"/>
    </row>
    <row r="89" spans="1:25" x14ac:dyDescent="0.25">
      <c r="A89" s="470" t="s">
        <v>966</v>
      </c>
      <c r="C89" s="790">
        <f ca="1">IFERROR(C87/C79,0)</f>
        <v>1.1438213305629814</v>
      </c>
      <c r="D89" s="930"/>
      <c r="F89" s="790">
        <f>IFERROR(F87/F79,0)</f>
        <v>0</v>
      </c>
      <c r="I89" s="790">
        <f>IFERROR(I87/I79,0)</f>
        <v>0</v>
      </c>
      <c r="L89" s="790">
        <f>IFERROR(L87/L79,0)</f>
        <v>0</v>
      </c>
      <c r="O89" s="790">
        <f>IFERROR(O87/O79,0)</f>
        <v>0</v>
      </c>
      <c r="R89" s="790">
        <f>IFERROR(R87/R79,0)</f>
        <v>0</v>
      </c>
      <c r="U89" s="790">
        <f>IFERROR(U87/U79,0)</f>
        <v>0</v>
      </c>
      <c r="X89" s="790">
        <f>IFERROR(X87/X79,0)</f>
        <v>0</v>
      </c>
    </row>
    <row r="91" spans="1:25" s="936" customFormat="1" x14ac:dyDescent="0.25">
      <c r="A91" s="934" t="s">
        <v>1058</v>
      </c>
      <c r="B91" s="935"/>
      <c r="C91" s="773">
        <f ca="1">'Benefit Selection - Group'!B94</f>
        <v>0</v>
      </c>
      <c r="E91" s="937"/>
      <c r="F91" s="773">
        <f ca="1">'Benefit Selection - Group'!G94</f>
        <v>0</v>
      </c>
      <c r="H91" s="937"/>
      <c r="I91" s="773">
        <f ca="1">'Benefit Selection - Group'!L94</f>
        <v>0</v>
      </c>
      <c r="K91" s="937"/>
      <c r="L91" s="773">
        <f ca="1">'Benefit Selection - Group'!Q94</f>
        <v>0</v>
      </c>
      <c r="N91" s="937"/>
      <c r="O91" s="773">
        <f ca="1">'Benefit Selection - Group'!V94</f>
        <v>0</v>
      </c>
      <c r="Q91" s="937"/>
      <c r="R91" s="773">
        <f ca="1">'Benefit Selection - Group'!AA94</f>
        <v>0</v>
      </c>
      <c r="T91" s="937"/>
      <c r="U91" s="773">
        <f ca="1">'Benefit Selection - Group'!AF94</f>
        <v>0</v>
      </c>
      <c r="W91" s="937"/>
      <c r="X91" s="773">
        <f ca="1">'Benefit Selection - Group'!AK94</f>
        <v>0</v>
      </c>
    </row>
    <row r="92" spans="1:25" x14ac:dyDescent="0.25">
      <c r="A92" s="470" t="s">
        <v>1059</v>
      </c>
      <c r="C92" s="842">
        <f>IF('Experience Rating'!$H$4=2,100%,C87/(C79+'Benefit Selection - Group'!C41))</f>
        <v>1</v>
      </c>
      <c r="F92" s="842">
        <f>IF('Experience Rating'!$H$4=2,100%,F87/(F79+'Benefit Selection - Group'!H41))</f>
        <v>1</v>
      </c>
      <c r="I92" s="842">
        <f>IF('Experience Rating'!$H$4=2,100%,I87/(I79+'Benefit Selection - Group'!M41))</f>
        <v>1</v>
      </c>
      <c r="L92" s="842">
        <f>IF('Experience Rating'!$H$4=2,100%,L87/(L79+'Benefit Selection - Group'!R41))</f>
        <v>1</v>
      </c>
      <c r="O92" s="842">
        <f>IF('Experience Rating'!$H$4=2,100%,O87/(O79+'Benefit Selection - Group'!W41))</f>
        <v>1</v>
      </c>
      <c r="R92" s="842">
        <f>IF('Experience Rating'!$H$4=2,100%,R87/(R79+'Benefit Selection - Group'!AB41))</f>
        <v>1</v>
      </c>
      <c r="U92" s="842">
        <f>IF('Experience Rating'!$H$4=2,100%,U87/(U79+'Benefit Selection - Group'!AG41))</f>
        <v>1</v>
      </c>
      <c r="X92" s="842">
        <f>IF('Experience Rating'!$H$4=2,100%,X87/(X79+'Benefit Selection - Group'!AL41))</f>
        <v>1</v>
      </c>
    </row>
    <row r="94" spans="1:25" x14ac:dyDescent="0.25">
      <c r="A94" s="761" t="s">
        <v>965</v>
      </c>
    </row>
    <row r="95" spans="1:25" x14ac:dyDescent="0.25">
      <c r="A95" s="791" t="s">
        <v>938</v>
      </c>
      <c r="B95" s="1470" t="s">
        <v>964</v>
      </c>
      <c r="C95" s="1470"/>
      <c r="D95" s="1470" t="s">
        <v>963</v>
      </c>
      <c r="E95" s="1470"/>
    </row>
    <row r="96" spans="1:25" x14ac:dyDescent="0.25">
      <c r="A96" s="791" t="s">
        <v>832</v>
      </c>
      <c r="B96" s="792" t="s">
        <v>957</v>
      </c>
      <c r="C96" s="792" t="s">
        <v>958</v>
      </c>
      <c r="D96" s="792" t="s">
        <v>957</v>
      </c>
      <c r="E96" s="792" t="s">
        <v>958</v>
      </c>
    </row>
    <row r="97" spans="1:26" x14ac:dyDescent="0.25">
      <c r="A97" s="793" t="s">
        <v>290</v>
      </c>
      <c r="B97" s="665">
        <v>0</v>
      </c>
      <c r="C97" s="794">
        <v>1671</v>
      </c>
      <c r="D97" s="665">
        <v>0</v>
      </c>
      <c r="E97" s="665">
        <f>C97*(1-'General Information'!$D$48)</f>
        <v>1169.6999999999998</v>
      </c>
    </row>
    <row r="98" spans="1:26" x14ac:dyDescent="0.25">
      <c r="A98" s="793" t="s">
        <v>287</v>
      </c>
      <c r="B98" s="665">
        <v>951</v>
      </c>
      <c r="C98" s="665">
        <v>2001</v>
      </c>
      <c r="D98" s="665">
        <f>B98*(1-'General Information'!$D$48)</f>
        <v>665.69999999999993</v>
      </c>
      <c r="E98" s="665">
        <f>C98*(1-'General Information'!$D$48)</f>
        <v>1400.6999999999998</v>
      </c>
    </row>
    <row r="99" spans="1:26" x14ac:dyDescent="0.25">
      <c r="A99" s="793" t="s">
        <v>833</v>
      </c>
      <c r="B99" s="665">
        <v>1451</v>
      </c>
      <c r="C99" s="665">
        <v>4751</v>
      </c>
      <c r="D99" s="665">
        <f>B99*(1-'General Information'!$D$48)</f>
        <v>1015.6999999999999</v>
      </c>
      <c r="E99" s="665">
        <f>C99*(1-'General Information'!$D$48)</f>
        <v>3325.7</v>
      </c>
    </row>
    <row r="100" spans="1:26" x14ac:dyDescent="0.25">
      <c r="A100" s="793" t="s">
        <v>934</v>
      </c>
      <c r="B100" s="665">
        <v>5801</v>
      </c>
      <c r="C100" s="665">
        <v>10751</v>
      </c>
      <c r="D100" s="665">
        <f>B100*(1-'General Information'!$D$48)</f>
        <v>4060.7</v>
      </c>
      <c r="E100" s="665">
        <f>C100*(1-'General Information'!$D$48)</f>
        <v>7525.7</v>
      </c>
    </row>
    <row r="101" spans="1:26" x14ac:dyDescent="0.25">
      <c r="A101" s="791" t="s">
        <v>962</v>
      </c>
      <c r="B101" s="795">
        <v>751</v>
      </c>
      <c r="C101" s="795">
        <v>751</v>
      </c>
      <c r="D101" s="795">
        <f>B101*(1-'General Information'!$D$48)</f>
        <v>525.69999999999993</v>
      </c>
      <c r="E101" s="795">
        <f>C101*(1-'General Information'!$D$48)</f>
        <v>525.69999999999993</v>
      </c>
    </row>
    <row r="103" spans="1:26" ht="15.75" thickBot="1" x14ac:dyDescent="0.3"/>
    <row r="104" spans="1:26" x14ac:dyDescent="0.25">
      <c r="B104" s="789" t="s">
        <v>967</v>
      </c>
      <c r="C104" s="569"/>
      <c r="D104" s="569"/>
      <c r="E104" s="569"/>
      <c r="F104" s="569"/>
      <c r="G104" s="569"/>
      <c r="H104" s="569"/>
      <c r="I104" s="569"/>
      <c r="J104" s="569"/>
      <c r="K104" s="569"/>
      <c r="L104" s="569"/>
      <c r="M104" s="569"/>
      <c r="N104" s="569"/>
      <c r="O104" s="569"/>
      <c r="P104" s="685"/>
      <c r="Q104" s="569"/>
      <c r="R104" s="569"/>
      <c r="S104" s="569"/>
      <c r="T104" s="569"/>
      <c r="U104" s="569"/>
      <c r="V104" s="569"/>
      <c r="W104" s="569"/>
      <c r="X104" s="569"/>
      <c r="Y104" s="569"/>
      <c r="Z104" s="686"/>
    </row>
    <row r="105" spans="1:26" ht="15.75" x14ac:dyDescent="0.25">
      <c r="B105" s="687"/>
      <c r="C105" s="693" t="str">
        <f>VLOOKUP(C106,'General Basis'!$J$39:$K$46,2,0)</f>
        <v>RN3</v>
      </c>
      <c r="D105" s="693" t="str">
        <f>VLOOKUP(D106,'General Basis'!$J$39:$K$46,2,0)</f>
        <v>RN3</v>
      </c>
      <c r="F105" s="693" t="e">
        <f>VLOOKUP(F106,'General Basis'!$J$39:$K$46,2,0)</f>
        <v>#N/A</v>
      </c>
      <c r="G105" s="693" t="e">
        <f>VLOOKUP(G106,'General Basis'!$J$39:$K$46,2,0)</f>
        <v>#N/A</v>
      </c>
      <c r="I105" s="693" t="e">
        <f>VLOOKUP(I106,'General Basis'!$J$39:$K$46,2,0)</f>
        <v>#N/A</v>
      </c>
      <c r="J105" s="693" t="e">
        <f>VLOOKUP(J106,'General Basis'!$J$39:$K$46,2,0)</f>
        <v>#N/A</v>
      </c>
      <c r="L105" s="693" t="e">
        <f>VLOOKUP(L106,'General Basis'!$J$39:$K$46,2,0)</f>
        <v>#N/A</v>
      </c>
      <c r="M105" s="693" t="e">
        <f>VLOOKUP(M106,'General Basis'!$J$39:$K$46,2,0)</f>
        <v>#N/A</v>
      </c>
      <c r="O105" s="693" t="e">
        <f>VLOOKUP(O106,'General Basis'!$J$39:$K$46,2,0)</f>
        <v>#N/A</v>
      </c>
      <c r="P105" s="693" t="e">
        <f>VLOOKUP(P106,'General Basis'!$J$39:$K$46,2,0)</f>
        <v>#N/A</v>
      </c>
      <c r="R105" s="693" t="e">
        <f>VLOOKUP(R106,'General Basis'!$J$39:$K$46,2,0)</f>
        <v>#N/A</v>
      </c>
      <c r="S105" s="693" t="e">
        <f>VLOOKUP(S106,'General Basis'!$J$39:$K$46,2,0)</f>
        <v>#N/A</v>
      </c>
      <c r="U105" s="693" t="e">
        <f>VLOOKUP(U106,'General Basis'!$J$39:$K$46,2,0)</f>
        <v>#N/A</v>
      </c>
      <c r="V105" s="693" t="e">
        <f>VLOOKUP(V106,'General Basis'!$J$39:$K$46,2,0)</f>
        <v>#N/A</v>
      </c>
      <c r="X105" s="693" t="e">
        <f>VLOOKUP(X106,'General Basis'!$J$39:$K$46,2,0)</f>
        <v>#N/A</v>
      </c>
      <c r="Y105" s="693" t="e">
        <f>VLOOKUP(Y106,'General Basis'!$J$39:$K$46,2,0)</f>
        <v>#N/A</v>
      </c>
      <c r="Z105" s="688"/>
    </row>
    <row r="106" spans="1:26" ht="15.75" x14ac:dyDescent="0.25">
      <c r="B106" s="788" t="s">
        <v>957</v>
      </c>
      <c r="C106" s="693" t="s">
        <v>271</v>
      </c>
      <c r="D106" s="693" t="str">
        <f>C106</f>
        <v>A</v>
      </c>
      <c r="E106" s="788" t="str">
        <f>B106</f>
        <v>Employee</v>
      </c>
      <c r="F106" s="693" t="s">
        <v>272</v>
      </c>
      <c r="G106" s="693" t="str">
        <f>F106</f>
        <v>B</v>
      </c>
      <c r="H106" s="788" t="str">
        <f>E106</f>
        <v>Employee</v>
      </c>
      <c r="I106" s="693" t="s">
        <v>273</v>
      </c>
      <c r="J106" s="693" t="str">
        <f>I106</f>
        <v>C</v>
      </c>
      <c r="K106" s="788" t="str">
        <f>H106</f>
        <v>Employee</v>
      </c>
      <c r="L106" s="693" t="s">
        <v>274</v>
      </c>
      <c r="M106" s="693" t="str">
        <f>L106</f>
        <v>D</v>
      </c>
      <c r="N106" s="788" t="str">
        <f>K106</f>
        <v>Employee</v>
      </c>
      <c r="O106" s="693" t="s">
        <v>365</v>
      </c>
      <c r="P106" s="693" t="str">
        <f>O106</f>
        <v>E</v>
      </c>
      <c r="Q106" s="788" t="str">
        <f>N106</f>
        <v>Employee</v>
      </c>
      <c r="R106" s="693" t="s">
        <v>62</v>
      </c>
      <c r="S106" s="693" t="str">
        <f>R106</f>
        <v>F</v>
      </c>
      <c r="T106" s="788" t="str">
        <f>Q106</f>
        <v>Employee</v>
      </c>
      <c r="U106" s="693" t="s">
        <v>366</v>
      </c>
      <c r="V106" s="693" t="str">
        <f>U106</f>
        <v>G</v>
      </c>
      <c r="W106" s="788" t="str">
        <f>T106</f>
        <v>Employee</v>
      </c>
      <c r="X106" s="693" t="s">
        <v>367</v>
      </c>
      <c r="Y106" s="693" t="str">
        <f>X106</f>
        <v>H</v>
      </c>
      <c r="Z106" s="752"/>
    </row>
    <row r="107" spans="1:26" ht="15.75" x14ac:dyDescent="0.25">
      <c r="B107" s="757" t="str">
        <f t="shared" ref="B107:B119" si="48">B44</f>
        <v>Dubai</v>
      </c>
      <c r="C107" s="689" t="s">
        <v>65</v>
      </c>
      <c r="D107" s="694" t="s">
        <v>66</v>
      </c>
      <c r="E107" s="757" t="str">
        <f t="shared" ref="E107:E119" si="49">E44</f>
        <v>Dubai</v>
      </c>
      <c r="F107" s="689" t="s">
        <v>65</v>
      </c>
      <c r="G107" s="694" t="s">
        <v>66</v>
      </c>
      <c r="H107" s="757" t="str">
        <f t="shared" ref="H107:H119" si="50">H44</f>
        <v>Dubai</v>
      </c>
      <c r="I107" s="689" t="s">
        <v>65</v>
      </c>
      <c r="J107" s="694" t="s">
        <v>66</v>
      </c>
      <c r="K107" s="757" t="str">
        <f t="shared" ref="K107:K119" si="51">K44</f>
        <v>Dubai</v>
      </c>
      <c r="L107" s="689" t="s">
        <v>65</v>
      </c>
      <c r="M107" s="694" t="s">
        <v>66</v>
      </c>
      <c r="N107" s="757" t="str">
        <f t="shared" ref="N107:N119" si="52">N44</f>
        <v>Dubai</v>
      </c>
      <c r="O107" s="689" t="s">
        <v>65</v>
      </c>
      <c r="P107" s="694" t="s">
        <v>66</v>
      </c>
      <c r="Q107" s="757" t="str">
        <f t="shared" ref="Q107:Q119" si="53">Q44</f>
        <v>Dubai</v>
      </c>
      <c r="R107" s="689" t="s">
        <v>65</v>
      </c>
      <c r="S107" s="694" t="s">
        <v>66</v>
      </c>
      <c r="T107" s="757" t="str">
        <f t="shared" ref="T107:T119" si="54">T44</f>
        <v>Dubai</v>
      </c>
      <c r="U107" s="689" t="s">
        <v>65</v>
      </c>
      <c r="V107" s="694" t="s">
        <v>66</v>
      </c>
      <c r="W107" s="757" t="str">
        <f t="shared" ref="W107:W119" si="55">W44</f>
        <v>Dubai</v>
      </c>
      <c r="X107" s="689" t="s">
        <v>65</v>
      </c>
      <c r="Y107" s="694" t="s">
        <v>66</v>
      </c>
      <c r="Z107" s="688"/>
    </row>
    <row r="108" spans="1:26" x14ac:dyDescent="0.25">
      <c r="B108" s="758" t="str">
        <f t="shared" si="48"/>
        <v>0 - 10</v>
      </c>
      <c r="C108" s="753">
        <f t="shared" ref="C108:C119" ca="1" si="56">C45*C$89</f>
        <v>0</v>
      </c>
      <c r="D108" s="753">
        <f t="shared" ref="D108:D119" ca="1" si="57">D45*C$89</f>
        <v>0</v>
      </c>
      <c r="E108" s="758" t="str">
        <f t="shared" si="49"/>
        <v>0 - 10</v>
      </c>
      <c r="F108" s="753">
        <f t="shared" ref="F108:F119" si="58">F45*F$89</f>
        <v>0</v>
      </c>
      <c r="G108" s="753">
        <f t="shared" ref="G108:G119" si="59">G45*F$89</f>
        <v>0</v>
      </c>
      <c r="H108" s="758" t="str">
        <f t="shared" si="50"/>
        <v>0 - 10</v>
      </c>
      <c r="I108" s="753">
        <f t="shared" ref="I108:I119" si="60">I45*I$89</f>
        <v>0</v>
      </c>
      <c r="J108" s="753">
        <f t="shared" ref="J108:J119" si="61">J45*I$89</f>
        <v>0</v>
      </c>
      <c r="K108" s="758" t="str">
        <f t="shared" si="51"/>
        <v>0 - 10</v>
      </c>
      <c r="L108" s="753">
        <f t="shared" ref="L108:L119" si="62">L45*L$89</f>
        <v>0</v>
      </c>
      <c r="M108" s="753">
        <f t="shared" ref="M108:M119" si="63">M45*L$89</f>
        <v>0</v>
      </c>
      <c r="N108" s="758" t="str">
        <f t="shared" si="52"/>
        <v>0 - 10</v>
      </c>
      <c r="O108" s="753">
        <f t="shared" ref="O108:O119" si="64">O45*O$89</f>
        <v>0</v>
      </c>
      <c r="P108" s="753">
        <f t="shared" ref="P108:P119" si="65">P45*O$89</f>
        <v>0</v>
      </c>
      <c r="Q108" s="758" t="str">
        <f t="shared" si="53"/>
        <v>0 - 10</v>
      </c>
      <c r="R108" s="753">
        <f t="shared" ref="R108:R119" si="66">R45*R$89</f>
        <v>0</v>
      </c>
      <c r="S108" s="753">
        <f t="shared" ref="S108:S119" si="67">S45*R$89</f>
        <v>0</v>
      </c>
      <c r="T108" s="758" t="str">
        <f t="shared" si="54"/>
        <v>0 - 10</v>
      </c>
      <c r="U108" s="753">
        <f t="shared" ref="U108:U119" si="68">U45*U$89</f>
        <v>0</v>
      </c>
      <c r="V108" s="753">
        <f t="shared" ref="V108:V119" si="69">V45*U$89</f>
        <v>0</v>
      </c>
      <c r="W108" s="758" t="str">
        <f t="shared" si="55"/>
        <v>0 - 10</v>
      </c>
      <c r="X108" s="753">
        <f t="shared" ref="X108:X119" si="70">X45*X$89</f>
        <v>0</v>
      </c>
      <c r="Y108" s="753">
        <f t="shared" ref="Y108:Y119" si="71">Y45*X$89</f>
        <v>0</v>
      </c>
      <c r="Z108" s="688"/>
    </row>
    <row r="109" spans="1:26" x14ac:dyDescent="0.25">
      <c r="B109" s="758" t="str">
        <f t="shared" si="48"/>
        <v>11 - 17</v>
      </c>
      <c r="C109" s="753">
        <f t="shared" ca="1" si="56"/>
        <v>0</v>
      </c>
      <c r="D109" s="753">
        <f t="shared" ca="1" si="57"/>
        <v>0</v>
      </c>
      <c r="E109" s="758" t="str">
        <f t="shared" si="49"/>
        <v>11 - 17</v>
      </c>
      <c r="F109" s="753">
        <f t="shared" si="58"/>
        <v>0</v>
      </c>
      <c r="G109" s="753">
        <f t="shared" si="59"/>
        <v>0</v>
      </c>
      <c r="H109" s="758" t="str">
        <f t="shared" si="50"/>
        <v>11 - 17</v>
      </c>
      <c r="I109" s="753">
        <f t="shared" si="60"/>
        <v>0</v>
      </c>
      <c r="J109" s="753">
        <f t="shared" si="61"/>
        <v>0</v>
      </c>
      <c r="K109" s="758" t="str">
        <f t="shared" si="51"/>
        <v>11 - 17</v>
      </c>
      <c r="L109" s="753">
        <f t="shared" si="62"/>
        <v>0</v>
      </c>
      <c r="M109" s="753">
        <f t="shared" si="63"/>
        <v>0</v>
      </c>
      <c r="N109" s="758" t="str">
        <f t="shared" si="52"/>
        <v>11 - 17</v>
      </c>
      <c r="O109" s="753">
        <f t="shared" si="64"/>
        <v>0</v>
      </c>
      <c r="P109" s="753">
        <f t="shared" si="65"/>
        <v>0</v>
      </c>
      <c r="Q109" s="758" t="str">
        <f t="shared" si="53"/>
        <v>11 - 17</v>
      </c>
      <c r="R109" s="753">
        <f t="shared" si="66"/>
        <v>0</v>
      </c>
      <c r="S109" s="753">
        <f t="shared" si="67"/>
        <v>0</v>
      </c>
      <c r="T109" s="758" t="str">
        <f t="shared" si="54"/>
        <v>11 - 17</v>
      </c>
      <c r="U109" s="753">
        <f t="shared" si="68"/>
        <v>0</v>
      </c>
      <c r="V109" s="753">
        <f t="shared" si="69"/>
        <v>0</v>
      </c>
      <c r="W109" s="758" t="str">
        <f t="shared" si="55"/>
        <v>11 - 17</v>
      </c>
      <c r="X109" s="753">
        <f t="shared" si="70"/>
        <v>0</v>
      </c>
      <c r="Y109" s="753">
        <f t="shared" si="71"/>
        <v>0</v>
      </c>
      <c r="Z109" s="688"/>
    </row>
    <row r="110" spans="1:26" x14ac:dyDescent="0.25">
      <c r="B110" s="758" t="str">
        <f t="shared" si="48"/>
        <v>18 - 25</v>
      </c>
      <c r="C110" s="753">
        <f t="shared" ca="1" si="56"/>
        <v>1350.852991394881</v>
      </c>
      <c r="D110" s="753">
        <f t="shared" ca="1" si="57"/>
        <v>1150.6842585463594</v>
      </c>
      <c r="E110" s="758" t="str">
        <f t="shared" si="49"/>
        <v>18 - 25</v>
      </c>
      <c r="F110" s="753">
        <f t="shared" si="58"/>
        <v>0</v>
      </c>
      <c r="G110" s="753">
        <f t="shared" si="59"/>
        <v>0</v>
      </c>
      <c r="H110" s="758" t="str">
        <f t="shared" si="50"/>
        <v>18 - 25</v>
      </c>
      <c r="I110" s="753">
        <f t="shared" si="60"/>
        <v>0</v>
      </c>
      <c r="J110" s="753">
        <f t="shared" si="61"/>
        <v>0</v>
      </c>
      <c r="K110" s="758" t="str">
        <f t="shared" si="51"/>
        <v>18 - 25</v>
      </c>
      <c r="L110" s="753">
        <f t="shared" si="62"/>
        <v>0</v>
      </c>
      <c r="M110" s="753">
        <f t="shared" si="63"/>
        <v>0</v>
      </c>
      <c r="N110" s="758" t="str">
        <f t="shared" si="52"/>
        <v>18 - 25</v>
      </c>
      <c r="O110" s="753">
        <f t="shared" si="64"/>
        <v>0</v>
      </c>
      <c r="P110" s="753">
        <f t="shared" si="65"/>
        <v>0</v>
      </c>
      <c r="Q110" s="758" t="str">
        <f t="shared" si="53"/>
        <v>18 - 25</v>
      </c>
      <c r="R110" s="753">
        <f t="shared" si="66"/>
        <v>0</v>
      </c>
      <c r="S110" s="753">
        <f t="shared" si="67"/>
        <v>0</v>
      </c>
      <c r="T110" s="758" t="str">
        <f t="shared" si="54"/>
        <v>18 - 25</v>
      </c>
      <c r="U110" s="753">
        <f t="shared" si="68"/>
        <v>0</v>
      </c>
      <c r="V110" s="753">
        <f t="shared" si="69"/>
        <v>0</v>
      </c>
      <c r="W110" s="758" t="str">
        <f t="shared" si="55"/>
        <v>18 - 25</v>
      </c>
      <c r="X110" s="753">
        <f t="shared" si="70"/>
        <v>0</v>
      </c>
      <c r="Y110" s="753">
        <f t="shared" si="71"/>
        <v>0</v>
      </c>
      <c r="Z110" s="688"/>
    </row>
    <row r="111" spans="1:26" x14ac:dyDescent="0.25">
      <c r="B111" s="758" t="str">
        <f t="shared" si="48"/>
        <v>26 - 30</v>
      </c>
      <c r="C111" s="753">
        <f t="shared" ca="1" si="56"/>
        <v>1468.666588442868</v>
      </c>
      <c r="D111" s="753">
        <f t="shared" ca="1" si="57"/>
        <v>1437.7834125176676</v>
      </c>
      <c r="E111" s="758" t="str">
        <f t="shared" si="49"/>
        <v>26 - 30</v>
      </c>
      <c r="F111" s="753">
        <f t="shared" si="58"/>
        <v>0</v>
      </c>
      <c r="G111" s="753">
        <f t="shared" si="59"/>
        <v>0</v>
      </c>
      <c r="H111" s="758" t="str">
        <f t="shared" si="50"/>
        <v>26 - 30</v>
      </c>
      <c r="I111" s="753">
        <f t="shared" si="60"/>
        <v>0</v>
      </c>
      <c r="J111" s="753">
        <f t="shared" si="61"/>
        <v>0</v>
      </c>
      <c r="K111" s="758" t="str">
        <f t="shared" si="51"/>
        <v>26 - 30</v>
      </c>
      <c r="L111" s="753">
        <f t="shared" si="62"/>
        <v>0</v>
      </c>
      <c r="M111" s="753">
        <f t="shared" si="63"/>
        <v>0</v>
      </c>
      <c r="N111" s="758" t="str">
        <f t="shared" si="52"/>
        <v>26 - 30</v>
      </c>
      <c r="O111" s="753">
        <f t="shared" si="64"/>
        <v>0</v>
      </c>
      <c r="P111" s="753">
        <f t="shared" si="65"/>
        <v>0</v>
      </c>
      <c r="Q111" s="758" t="str">
        <f t="shared" si="53"/>
        <v>26 - 30</v>
      </c>
      <c r="R111" s="753">
        <f t="shared" si="66"/>
        <v>0</v>
      </c>
      <c r="S111" s="753">
        <f t="shared" si="67"/>
        <v>0</v>
      </c>
      <c r="T111" s="758" t="str">
        <f t="shared" si="54"/>
        <v>26 - 30</v>
      </c>
      <c r="U111" s="753">
        <f t="shared" si="68"/>
        <v>0</v>
      </c>
      <c r="V111" s="753">
        <f t="shared" si="69"/>
        <v>0</v>
      </c>
      <c r="W111" s="758" t="str">
        <f t="shared" si="55"/>
        <v>26 - 30</v>
      </c>
      <c r="X111" s="753">
        <f t="shared" si="70"/>
        <v>0</v>
      </c>
      <c r="Y111" s="753">
        <f t="shared" si="71"/>
        <v>0</v>
      </c>
      <c r="Z111" s="688"/>
    </row>
    <row r="112" spans="1:26" x14ac:dyDescent="0.25">
      <c r="B112" s="758" t="str">
        <f t="shared" si="48"/>
        <v>31 - 35</v>
      </c>
      <c r="C112" s="753">
        <f t="shared" ca="1" si="56"/>
        <v>1774.0668837031842</v>
      </c>
      <c r="D112" s="753">
        <f t="shared" ca="1" si="57"/>
        <v>1723.7387451584129</v>
      </c>
      <c r="E112" s="758" t="str">
        <f t="shared" si="49"/>
        <v>31 - 35</v>
      </c>
      <c r="F112" s="753">
        <f t="shared" si="58"/>
        <v>0</v>
      </c>
      <c r="G112" s="753">
        <f t="shared" si="59"/>
        <v>0</v>
      </c>
      <c r="H112" s="758" t="str">
        <f t="shared" si="50"/>
        <v>31 - 35</v>
      </c>
      <c r="I112" s="753">
        <f t="shared" si="60"/>
        <v>0</v>
      </c>
      <c r="J112" s="753">
        <f t="shared" si="61"/>
        <v>0</v>
      </c>
      <c r="K112" s="758" t="str">
        <f t="shared" si="51"/>
        <v>31 - 35</v>
      </c>
      <c r="L112" s="753">
        <f t="shared" si="62"/>
        <v>0</v>
      </c>
      <c r="M112" s="753">
        <f t="shared" si="63"/>
        <v>0</v>
      </c>
      <c r="N112" s="758" t="str">
        <f t="shared" si="52"/>
        <v>31 - 35</v>
      </c>
      <c r="O112" s="753">
        <f t="shared" si="64"/>
        <v>0</v>
      </c>
      <c r="P112" s="753">
        <f t="shared" si="65"/>
        <v>0</v>
      </c>
      <c r="Q112" s="758" t="str">
        <f t="shared" si="53"/>
        <v>31 - 35</v>
      </c>
      <c r="R112" s="753">
        <f t="shared" si="66"/>
        <v>0</v>
      </c>
      <c r="S112" s="753">
        <f t="shared" si="67"/>
        <v>0</v>
      </c>
      <c r="T112" s="758" t="str">
        <f t="shared" si="54"/>
        <v>31 - 35</v>
      </c>
      <c r="U112" s="753">
        <f t="shared" si="68"/>
        <v>0</v>
      </c>
      <c r="V112" s="753">
        <f t="shared" si="69"/>
        <v>0</v>
      </c>
      <c r="W112" s="758" t="str">
        <f t="shared" si="55"/>
        <v>31 - 35</v>
      </c>
      <c r="X112" s="753">
        <f t="shared" si="70"/>
        <v>0</v>
      </c>
      <c r="Y112" s="753">
        <f t="shared" si="71"/>
        <v>0</v>
      </c>
      <c r="Z112" s="688"/>
    </row>
    <row r="113" spans="1:26" x14ac:dyDescent="0.25">
      <c r="B113" s="758" t="str">
        <f t="shared" si="48"/>
        <v>36 - 40</v>
      </c>
      <c r="C113" s="753">
        <f t="shared" ca="1" si="56"/>
        <v>2191.5616693586726</v>
      </c>
      <c r="D113" s="753">
        <f t="shared" ca="1" si="57"/>
        <v>2158.3908507723459</v>
      </c>
      <c r="E113" s="758" t="str">
        <f t="shared" si="49"/>
        <v>36 - 40</v>
      </c>
      <c r="F113" s="753">
        <f t="shared" si="58"/>
        <v>0</v>
      </c>
      <c r="G113" s="753">
        <f t="shared" si="59"/>
        <v>0</v>
      </c>
      <c r="H113" s="758" t="str">
        <f t="shared" si="50"/>
        <v>36 - 40</v>
      </c>
      <c r="I113" s="753">
        <f t="shared" si="60"/>
        <v>0</v>
      </c>
      <c r="J113" s="753">
        <f t="shared" si="61"/>
        <v>0</v>
      </c>
      <c r="K113" s="758" t="str">
        <f t="shared" si="51"/>
        <v>36 - 40</v>
      </c>
      <c r="L113" s="753">
        <f t="shared" si="62"/>
        <v>0</v>
      </c>
      <c r="M113" s="753">
        <f t="shared" si="63"/>
        <v>0</v>
      </c>
      <c r="N113" s="758" t="str">
        <f t="shared" si="52"/>
        <v>36 - 40</v>
      </c>
      <c r="O113" s="753">
        <f t="shared" si="64"/>
        <v>0</v>
      </c>
      <c r="P113" s="753">
        <f t="shared" si="65"/>
        <v>0</v>
      </c>
      <c r="Q113" s="758" t="str">
        <f t="shared" si="53"/>
        <v>36 - 40</v>
      </c>
      <c r="R113" s="753">
        <f t="shared" si="66"/>
        <v>0</v>
      </c>
      <c r="S113" s="753">
        <f t="shared" si="67"/>
        <v>0</v>
      </c>
      <c r="T113" s="758" t="str">
        <f t="shared" si="54"/>
        <v>36 - 40</v>
      </c>
      <c r="U113" s="753">
        <f t="shared" si="68"/>
        <v>0</v>
      </c>
      <c r="V113" s="753">
        <f t="shared" si="69"/>
        <v>0</v>
      </c>
      <c r="W113" s="758" t="str">
        <f t="shared" si="55"/>
        <v>36 - 40</v>
      </c>
      <c r="X113" s="753">
        <f t="shared" si="70"/>
        <v>0</v>
      </c>
      <c r="Y113" s="753">
        <f t="shared" si="71"/>
        <v>0</v>
      </c>
      <c r="Z113" s="688"/>
    </row>
    <row r="114" spans="1:26" x14ac:dyDescent="0.25">
      <c r="B114" s="758" t="str">
        <f t="shared" si="48"/>
        <v>41 - 45</v>
      </c>
      <c r="C114" s="753">
        <f t="shared" ca="1" si="56"/>
        <v>2571.3103511055824</v>
      </c>
      <c r="D114" s="753">
        <f t="shared" ca="1" si="57"/>
        <v>2774.910547945793</v>
      </c>
      <c r="E114" s="758" t="str">
        <f t="shared" si="49"/>
        <v>41 - 45</v>
      </c>
      <c r="F114" s="753">
        <f t="shared" si="58"/>
        <v>0</v>
      </c>
      <c r="G114" s="753">
        <f t="shared" si="59"/>
        <v>0</v>
      </c>
      <c r="H114" s="758" t="str">
        <f t="shared" si="50"/>
        <v>41 - 45</v>
      </c>
      <c r="I114" s="753">
        <f t="shared" si="60"/>
        <v>0</v>
      </c>
      <c r="J114" s="753">
        <f t="shared" si="61"/>
        <v>0</v>
      </c>
      <c r="K114" s="758" t="str">
        <f t="shared" si="51"/>
        <v>41 - 45</v>
      </c>
      <c r="L114" s="753">
        <f t="shared" si="62"/>
        <v>0</v>
      </c>
      <c r="M114" s="753">
        <f t="shared" si="63"/>
        <v>0</v>
      </c>
      <c r="N114" s="758" t="str">
        <f t="shared" si="52"/>
        <v>41 - 45</v>
      </c>
      <c r="O114" s="753">
        <f t="shared" si="64"/>
        <v>0</v>
      </c>
      <c r="P114" s="753">
        <f t="shared" si="65"/>
        <v>0</v>
      </c>
      <c r="Q114" s="758" t="str">
        <f t="shared" si="53"/>
        <v>41 - 45</v>
      </c>
      <c r="R114" s="753">
        <f t="shared" si="66"/>
        <v>0</v>
      </c>
      <c r="S114" s="753">
        <f t="shared" si="67"/>
        <v>0</v>
      </c>
      <c r="T114" s="758" t="str">
        <f t="shared" si="54"/>
        <v>41 - 45</v>
      </c>
      <c r="U114" s="753">
        <f t="shared" si="68"/>
        <v>0</v>
      </c>
      <c r="V114" s="753">
        <f t="shared" si="69"/>
        <v>0</v>
      </c>
      <c r="W114" s="758" t="str">
        <f t="shared" si="55"/>
        <v>41 - 45</v>
      </c>
      <c r="X114" s="753">
        <f t="shared" si="70"/>
        <v>0</v>
      </c>
      <c r="Y114" s="753">
        <f t="shared" si="71"/>
        <v>0</v>
      </c>
      <c r="Z114" s="688"/>
    </row>
    <row r="115" spans="1:26" x14ac:dyDescent="0.25">
      <c r="B115" s="758" t="str">
        <f t="shared" si="48"/>
        <v>46 - 50</v>
      </c>
      <c r="C115" s="753">
        <f t="shared" ca="1" si="56"/>
        <v>3361.6908905246023</v>
      </c>
      <c r="D115" s="753">
        <f t="shared" ca="1" si="57"/>
        <v>3477.2168449114633</v>
      </c>
      <c r="E115" s="758" t="str">
        <f t="shared" si="49"/>
        <v>46 - 50</v>
      </c>
      <c r="F115" s="753">
        <f t="shared" si="58"/>
        <v>0</v>
      </c>
      <c r="G115" s="753">
        <f t="shared" si="59"/>
        <v>0</v>
      </c>
      <c r="H115" s="758" t="str">
        <f t="shared" si="50"/>
        <v>46 - 50</v>
      </c>
      <c r="I115" s="753">
        <f t="shared" si="60"/>
        <v>0</v>
      </c>
      <c r="J115" s="753">
        <f t="shared" si="61"/>
        <v>0</v>
      </c>
      <c r="K115" s="758" t="str">
        <f t="shared" si="51"/>
        <v>46 - 50</v>
      </c>
      <c r="L115" s="753">
        <f t="shared" si="62"/>
        <v>0</v>
      </c>
      <c r="M115" s="753">
        <f t="shared" si="63"/>
        <v>0</v>
      </c>
      <c r="N115" s="758" t="str">
        <f t="shared" si="52"/>
        <v>46 - 50</v>
      </c>
      <c r="O115" s="753">
        <f t="shared" si="64"/>
        <v>0</v>
      </c>
      <c r="P115" s="753">
        <f t="shared" si="65"/>
        <v>0</v>
      </c>
      <c r="Q115" s="758" t="str">
        <f t="shared" si="53"/>
        <v>46 - 50</v>
      </c>
      <c r="R115" s="753">
        <f t="shared" si="66"/>
        <v>0</v>
      </c>
      <c r="S115" s="753">
        <f t="shared" si="67"/>
        <v>0</v>
      </c>
      <c r="T115" s="758" t="str">
        <f t="shared" si="54"/>
        <v>46 - 50</v>
      </c>
      <c r="U115" s="753">
        <f t="shared" si="68"/>
        <v>0</v>
      </c>
      <c r="V115" s="753">
        <f t="shared" si="69"/>
        <v>0</v>
      </c>
      <c r="W115" s="758" t="str">
        <f t="shared" si="55"/>
        <v>46 - 50</v>
      </c>
      <c r="X115" s="753">
        <f t="shared" si="70"/>
        <v>0</v>
      </c>
      <c r="Y115" s="753">
        <f t="shared" si="71"/>
        <v>0</v>
      </c>
      <c r="Z115" s="688"/>
    </row>
    <row r="116" spans="1:26" x14ac:dyDescent="0.25">
      <c r="B116" s="758" t="str">
        <f t="shared" si="48"/>
        <v>51 - 55</v>
      </c>
      <c r="C116" s="753">
        <f t="shared" ca="1" si="56"/>
        <v>4505.5122210875834</v>
      </c>
      <c r="D116" s="753">
        <f t="shared" ca="1" si="57"/>
        <v>4591.298820879807</v>
      </c>
      <c r="E116" s="758" t="str">
        <f t="shared" si="49"/>
        <v>51 - 55</v>
      </c>
      <c r="F116" s="753">
        <f t="shared" si="58"/>
        <v>0</v>
      </c>
      <c r="G116" s="753">
        <f t="shared" si="59"/>
        <v>0</v>
      </c>
      <c r="H116" s="758" t="str">
        <f t="shared" si="50"/>
        <v>51 - 55</v>
      </c>
      <c r="I116" s="753">
        <f t="shared" si="60"/>
        <v>0</v>
      </c>
      <c r="J116" s="753">
        <f t="shared" si="61"/>
        <v>0</v>
      </c>
      <c r="K116" s="758" t="str">
        <f t="shared" si="51"/>
        <v>51 - 55</v>
      </c>
      <c r="L116" s="753">
        <f t="shared" si="62"/>
        <v>0</v>
      </c>
      <c r="M116" s="753">
        <f t="shared" si="63"/>
        <v>0</v>
      </c>
      <c r="N116" s="758" t="str">
        <f t="shared" si="52"/>
        <v>51 - 55</v>
      </c>
      <c r="O116" s="753">
        <f t="shared" si="64"/>
        <v>0</v>
      </c>
      <c r="P116" s="753">
        <f t="shared" si="65"/>
        <v>0</v>
      </c>
      <c r="Q116" s="758" t="str">
        <f t="shared" si="53"/>
        <v>51 - 55</v>
      </c>
      <c r="R116" s="753">
        <f t="shared" si="66"/>
        <v>0</v>
      </c>
      <c r="S116" s="753">
        <f t="shared" si="67"/>
        <v>0</v>
      </c>
      <c r="T116" s="758" t="str">
        <f t="shared" si="54"/>
        <v>51 - 55</v>
      </c>
      <c r="U116" s="753">
        <f t="shared" si="68"/>
        <v>0</v>
      </c>
      <c r="V116" s="753">
        <f t="shared" si="69"/>
        <v>0</v>
      </c>
      <c r="W116" s="758" t="str">
        <f t="shared" si="55"/>
        <v>51 - 55</v>
      </c>
      <c r="X116" s="753">
        <f t="shared" si="70"/>
        <v>0</v>
      </c>
      <c r="Y116" s="753">
        <f t="shared" si="71"/>
        <v>0</v>
      </c>
      <c r="Z116" s="688"/>
    </row>
    <row r="117" spans="1:26" x14ac:dyDescent="0.25">
      <c r="B117" s="758" t="str">
        <f t="shared" si="48"/>
        <v>56 - 59</v>
      </c>
      <c r="C117" s="753">
        <f t="shared" ca="1" si="56"/>
        <v>6130.8823318175801</v>
      </c>
      <c r="D117" s="753">
        <f t="shared" ca="1" si="57"/>
        <v>5620.7380183864907</v>
      </c>
      <c r="E117" s="758" t="str">
        <f t="shared" si="49"/>
        <v>56 - 59</v>
      </c>
      <c r="F117" s="753">
        <f t="shared" si="58"/>
        <v>0</v>
      </c>
      <c r="G117" s="753">
        <f t="shared" si="59"/>
        <v>0</v>
      </c>
      <c r="H117" s="758" t="str">
        <f t="shared" si="50"/>
        <v>56 - 59</v>
      </c>
      <c r="I117" s="753">
        <f t="shared" si="60"/>
        <v>0</v>
      </c>
      <c r="J117" s="753">
        <f t="shared" si="61"/>
        <v>0</v>
      </c>
      <c r="K117" s="758" t="str">
        <f t="shared" si="51"/>
        <v>56 - 59</v>
      </c>
      <c r="L117" s="753">
        <f t="shared" si="62"/>
        <v>0</v>
      </c>
      <c r="M117" s="753">
        <f t="shared" si="63"/>
        <v>0</v>
      </c>
      <c r="N117" s="758" t="str">
        <f t="shared" si="52"/>
        <v>56 - 59</v>
      </c>
      <c r="O117" s="753">
        <f t="shared" si="64"/>
        <v>0</v>
      </c>
      <c r="P117" s="753">
        <f t="shared" si="65"/>
        <v>0</v>
      </c>
      <c r="Q117" s="758" t="str">
        <f t="shared" si="53"/>
        <v>56 - 59</v>
      </c>
      <c r="R117" s="753">
        <f t="shared" si="66"/>
        <v>0</v>
      </c>
      <c r="S117" s="753">
        <f t="shared" si="67"/>
        <v>0</v>
      </c>
      <c r="T117" s="758" t="str">
        <f t="shared" si="54"/>
        <v>56 - 59</v>
      </c>
      <c r="U117" s="753">
        <f t="shared" si="68"/>
        <v>0</v>
      </c>
      <c r="V117" s="753">
        <f t="shared" si="69"/>
        <v>0</v>
      </c>
      <c r="W117" s="758" t="str">
        <f t="shared" si="55"/>
        <v>56 - 59</v>
      </c>
      <c r="X117" s="753">
        <f t="shared" si="70"/>
        <v>0</v>
      </c>
      <c r="Y117" s="753">
        <f t="shared" si="71"/>
        <v>0</v>
      </c>
      <c r="Z117" s="688"/>
    </row>
    <row r="118" spans="1:26" x14ac:dyDescent="0.25">
      <c r="B118" s="758" t="str">
        <f t="shared" si="48"/>
        <v>60 - 64</v>
      </c>
      <c r="C118" s="753">
        <f t="shared" ca="1" si="56"/>
        <v>7542.3578537322992</v>
      </c>
      <c r="D118" s="753">
        <f t="shared" ca="1" si="57"/>
        <v>6681.0603918183742</v>
      </c>
      <c r="E118" s="758" t="str">
        <f t="shared" si="49"/>
        <v>60 - 64</v>
      </c>
      <c r="F118" s="753">
        <f t="shared" si="58"/>
        <v>0</v>
      </c>
      <c r="G118" s="753">
        <f t="shared" si="59"/>
        <v>0</v>
      </c>
      <c r="H118" s="758" t="str">
        <f t="shared" si="50"/>
        <v>60 - 64</v>
      </c>
      <c r="I118" s="753">
        <f t="shared" si="60"/>
        <v>0</v>
      </c>
      <c r="J118" s="753">
        <f t="shared" si="61"/>
        <v>0</v>
      </c>
      <c r="K118" s="758" t="str">
        <f t="shared" si="51"/>
        <v>60 - 64</v>
      </c>
      <c r="L118" s="753">
        <f t="shared" si="62"/>
        <v>0</v>
      </c>
      <c r="M118" s="753">
        <f t="shared" si="63"/>
        <v>0</v>
      </c>
      <c r="N118" s="758" t="str">
        <f t="shared" si="52"/>
        <v>60 - 64</v>
      </c>
      <c r="O118" s="753">
        <f t="shared" si="64"/>
        <v>0</v>
      </c>
      <c r="P118" s="753">
        <f t="shared" si="65"/>
        <v>0</v>
      </c>
      <c r="Q118" s="758" t="str">
        <f t="shared" si="53"/>
        <v>60 - 64</v>
      </c>
      <c r="R118" s="753">
        <f t="shared" si="66"/>
        <v>0</v>
      </c>
      <c r="S118" s="753">
        <f t="shared" si="67"/>
        <v>0</v>
      </c>
      <c r="T118" s="758" t="str">
        <f t="shared" si="54"/>
        <v>60 - 64</v>
      </c>
      <c r="U118" s="753">
        <f t="shared" si="68"/>
        <v>0</v>
      </c>
      <c r="V118" s="753">
        <f t="shared" si="69"/>
        <v>0</v>
      </c>
      <c r="W118" s="758" t="str">
        <f t="shared" si="55"/>
        <v>60 - 64</v>
      </c>
      <c r="X118" s="753">
        <f t="shared" si="70"/>
        <v>0</v>
      </c>
      <c r="Y118" s="753">
        <f t="shared" si="71"/>
        <v>0</v>
      </c>
      <c r="Z118" s="688"/>
    </row>
    <row r="119" spans="1:26" x14ac:dyDescent="0.25">
      <c r="B119" s="758" t="str">
        <f t="shared" si="48"/>
        <v>65 - 99</v>
      </c>
      <c r="C119" s="753">
        <f t="shared" ca="1" si="56"/>
        <v>13576.24413671814</v>
      </c>
      <c r="D119" s="753">
        <f t="shared" ca="1" si="57"/>
        <v>12025.908705273076</v>
      </c>
      <c r="E119" s="758" t="str">
        <f t="shared" si="49"/>
        <v>65 - 99</v>
      </c>
      <c r="F119" s="753">
        <f t="shared" si="58"/>
        <v>0</v>
      </c>
      <c r="G119" s="753">
        <f t="shared" si="59"/>
        <v>0</v>
      </c>
      <c r="H119" s="758" t="str">
        <f t="shared" si="50"/>
        <v>65 - 99</v>
      </c>
      <c r="I119" s="753">
        <f t="shared" si="60"/>
        <v>0</v>
      </c>
      <c r="J119" s="753">
        <f t="shared" si="61"/>
        <v>0</v>
      </c>
      <c r="K119" s="758" t="str">
        <f t="shared" si="51"/>
        <v>65 - 99</v>
      </c>
      <c r="L119" s="753">
        <f t="shared" si="62"/>
        <v>0</v>
      </c>
      <c r="M119" s="753">
        <f t="shared" si="63"/>
        <v>0</v>
      </c>
      <c r="N119" s="758" t="str">
        <f t="shared" si="52"/>
        <v>65 - 99</v>
      </c>
      <c r="O119" s="753">
        <f t="shared" si="64"/>
        <v>0</v>
      </c>
      <c r="P119" s="753">
        <f t="shared" si="65"/>
        <v>0</v>
      </c>
      <c r="Q119" s="758" t="str">
        <f t="shared" si="53"/>
        <v>65 - 99</v>
      </c>
      <c r="R119" s="753">
        <f t="shared" si="66"/>
        <v>0</v>
      </c>
      <c r="S119" s="753">
        <f t="shared" si="67"/>
        <v>0</v>
      </c>
      <c r="T119" s="758" t="str">
        <f t="shared" si="54"/>
        <v>65 - 99</v>
      </c>
      <c r="U119" s="753">
        <f t="shared" si="68"/>
        <v>0</v>
      </c>
      <c r="V119" s="753">
        <f t="shared" si="69"/>
        <v>0</v>
      </c>
      <c r="W119" s="758" t="str">
        <f t="shared" si="55"/>
        <v>65 - 99</v>
      </c>
      <c r="X119" s="753">
        <f t="shared" si="70"/>
        <v>0</v>
      </c>
      <c r="Y119" s="753">
        <f t="shared" si="71"/>
        <v>0</v>
      </c>
      <c r="Z119" s="688"/>
    </row>
    <row r="120" spans="1:26" x14ac:dyDescent="0.25">
      <c r="A120" s="931"/>
      <c r="B120" s="755"/>
      <c r="C120" s="754"/>
      <c r="D120" s="754"/>
      <c r="E120" s="755"/>
      <c r="F120" s="754"/>
      <c r="G120" s="754"/>
      <c r="H120" s="755"/>
      <c r="I120" s="754"/>
      <c r="J120" s="754"/>
      <c r="K120" s="755"/>
      <c r="L120" s="754"/>
      <c r="M120" s="754"/>
      <c r="N120" s="755"/>
      <c r="O120" s="754"/>
      <c r="P120" s="754"/>
      <c r="Q120" s="755"/>
      <c r="R120" s="754"/>
      <c r="S120" s="754"/>
      <c r="T120" s="755"/>
      <c r="U120" s="754"/>
      <c r="V120" s="754"/>
      <c r="W120" s="755"/>
      <c r="X120" s="754"/>
      <c r="Y120" s="754"/>
      <c r="Z120" s="756"/>
    </row>
    <row r="121" spans="1:26" ht="15.75" thickBot="1" x14ac:dyDescent="0.3">
      <c r="B121" s="695"/>
      <c r="C121" s="570"/>
      <c r="D121" s="570"/>
      <c r="E121" s="570"/>
      <c r="F121" s="570"/>
      <c r="G121" s="570"/>
      <c r="H121" s="570"/>
      <c r="I121" s="570"/>
      <c r="J121" s="570"/>
      <c r="K121" s="570"/>
      <c r="L121" s="570"/>
      <c r="M121" s="570"/>
      <c r="N121" s="570"/>
      <c r="O121" s="570"/>
      <c r="P121" s="696"/>
      <c r="Q121" s="570"/>
      <c r="R121" s="570"/>
      <c r="S121" s="570"/>
      <c r="T121" s="570"/>
      <c r="U121" s="570"/>
      <c r="V121" s="570"/>
      <c r="W121" s="570"/>
      <c r="X121" s="570"/>
      <c r="Y121" s="570"/>
      <c r="Z121" s="697"/>
    </row>
    <row r="122" spans="1:26" ht="15.75" thickBot="1" x14ac:dyDescent="0.3"/>
    <row r="123" spans="1:26" x14ac:dyDescent="0.25">
      <c r="B123" s="789" t="s">
        <v>967</v>
      </c>
      <c r="C123" s="569"/>
      <c r="D123" s="569"/>
      <c r="E123" s="569"/>
      <c r="F123" s="569"/>
      <c r="G123" s="569"/>
      <c r="H123" s="569"/>
      <c r="I123" s="569"/>
      <c r="J123" s="569"/>
      <c r="K123" s="569"/>
      <c r="L123" s="569"/>
      <c r="M123" s="569"/>
      <c r="N123" s="569"/>
      <c r="O123" s="569"/>
      <c r="P123" s="685"/>
      <c r="Q123" s="569"/>
      <c r="R123" s="569"/>
      <c r="S123" s="569"/>
      <c r="T123" s="569"/>
      <c r="U123" s="569"/>
      <c r="V123" s="569"/>
      <c r="W123" s="569"/>
      <c r="X123" s="569"/>
      <c r="Y123" s="569"/>
      <c r="Z123" s="686"/>
    </row>
    <row r="124" spans="1:26" ht="15.75" x14ac:dyDescent="0.25">
      <c r="B124" s="687"/>
      <c r="C124" s="693" t="str">
        <f>VLOOKUP(C125,'General Basis'!$J$39:$K$46,2,0)</f>
        <v>RN3</v>
      </c>
      <c r="D124" s="693" t="str">
        <f>VLOOKUP(D125,'General Basis'!$J$39:$K$46,2,0)</f>
        <v>RN3</v>
      </c>
      <c r="F124" s="693" t="e">
        <f>VLOOKUP(F125,'General Basis'!$J$39:$K$46,2,0)</f>
        <v>#N/A</v>
      </c>
      <c r="G124" s="693" t="e">
        <f>VLOOKUP(G125,'General Basis'!$J$39:$K$46,2,0)</f>
        <v>#N/A</v>
      </c>
      <c r="I124" s="693" t="e">
        <f>VLOOKUP(I125,'General Basis'!$J$39:$K$46,2,0)</f>
        <v>#N/A</v>
      </c>
      <c r="J124" s="693" t="e">
        <f>VLOOKUP(J125,'General Basis'!$J$39:$K$46,2,0)</f>
        <v>#N/A</v>
      </c>
      <c r="L124" s="693" t="e">
        <f>VLOOKUP(L125,'General Basis'!$J$39:$K$46,2,0)</f>
        <v>#N/A</v>
      </c>
      <c r="M124" s="693" t="e">
        <f>VLOOKUP(M125,'General Basis'!$J$39:$K$46,2,0)</f>
        <v>#N/A</v>
      </c>
      <c r="O124" s="693" t="e">
        <f>VLOOKUP(O125,'General Basis'!$J$39:$K$46,2,0)</f>
        <v>#N/A</v>
      </c>
      <c r="P124" s="693" t="e">
        <f>VLOOKUP(P125,'General Basis'!$J$39:$K$46,2,0)</f>
        <v>#N/A</v>
      </c>
      <c r="R124" s="693" t="e">
        <f>VLOOKUP(R125,'General Basis'!$J$39:$K$46,2,0)</f>
        <v>#N/A</v>
      </c>
      <c r="S124" s="693" t="e">
        <f>VLOOKUP(S125,'General Basis'!$J$39:$K$46,2,0)</f>
        <v>#N/A</v>
      </c>
      <c r="U124" s="693" t="e">
        <f>VLOOKUP(U125,'General Basis'!$J$39:$K$46,2,0)</f>
        <v>#N/A</v>
      </c>
      <c r="V124" s="693" t="e">
        <f>VLOOKUP(V125,'General Basis'!$J$39:$K$46,2,0)</f>
        <v>#N/A</v>
      </c>
      <c r="X124" s="693" t="e">
        <f>VLOOKUP(X125,'General Basis'!$J$39:$K$46,2,0)</f>
        <v>#N/A</v>
      </c>
      <c r="Y124" s="693" t="e">
        <f>VLOOKUP(Y125,'General Basis'!$J$39:$K$46,2,0)</f>
        <v>#N/A</v>
      </c>
      <c r="Z124" s="688"/>
    </row>
    <row r="125" spans="1:26" ht="15.75" x14ac:dyDescent="0.25">
      <c r="B125" s="788" t="s">
        <v>958</v>
      </c>
      <c r="C125" s="693" t="s">
        <v>271</v>
      </c>
      <c r="D125" s="693" t="str">
        <f>C125</f>
        <v>A</v>
      </c>
      <c r="E125" s="788" t="str">
        <f>B125</f>
        <v>Dependent</v>
      </c>
      <c r="F125" s="693" t="s">
        <v>272</v>
      </c>
      <c r="G125" s="693" t="str">
        <f>F125</f>
        <v>B</v>
      </c>
      <c r="H125" s="788" t="str">
        <f>E125</f>
        <v>Dependent</v>
      </c>
      <c r="I125" s="693" t="s">
        <v>273</v>
      </c>
      <c r="J125" s="693" t="str">
        <f>I125</f>
        <v>C</v>
      </c>
      <c r="K125" s="788" t="str">
        <f>H125</f>
        <v>Dependent</v>
      </c>
      <c r="L125" s="693" t="s">
        <v>274</v>
      </c>
      <c r="M125" s="693" t="str">
        <f>L125</f>
        <v>D</v>
      </c>
      <c r="N125" s="788" t="str">
        <f>K125</f>
        <v>Dependent</v>
      </c>
      <c r="O125" s="693" t="s">
        <v>365</v>
      </c>
      <c r="P125" s="693" t="str">
        <f>O125</f>
        <v>E</v>
      </c>
      <c r="Q125" s="788" t="str">
        <f>N125</f>
        <v>Dependent</v>
      </c>
      <c r="R125" s="693" t="s">
        <v>62</v>
      </c>
      <c r="S125" s="693" t="str">
        <f>R125</f>
        <v>F</v>
      </c>
      <c r="T125" s="788" t="str">
        <f>Q125</f>
        <v>Dependent</v>
      </c>
      <c r="U125" s="693" t="s">
        <v>366</v>
      </c>
      <c r="V125" s="693" t="str">
        <f>U125</f>
        <v>G</v>
      </c>
      <c r="W125" s="788" t="str">
        <f>T125</f>
        <v>Dependent</v>
      </c>
      <c r="X125" s="693" t="s">
        <v>367</v>
      </c>
      <c r="Y125" s="693" t="str">
        <f>X125</f>
        <v>H</v>
      </c>
      <c r="Z125" s="752"/>
    </row>
    <row r="126" spans="1:26" ht="15.75" x14ac:dyDescent="0.25">
      <c r="B126" s="757" t="str">
        <f t="shared" ref="B126:B138" si="72">B63</f>
        <v>Dubai</v>
      </c>
      <c r="C126" s="689" t="s">
        <v>65</v>
      </c>
      <c r="D126" s="694" t="s">
        <v>66</v>
      </c>
      <c r="E126" s="757" t="str">
        <f t="shared" ref="E126:E138" si="73">E63</f>
        <v>Dubai</v>
      </c>
      <c r="F126" s="689" t="s">
        <v>65</v>
      </c>
      <c r="G126" s="694" t="s">
        <v>66</v>
      </c>
      <c r="H126" s="757" t="str">
        <f t="shared" ref="H126:H138" si="74">H63</f>
        <v>Dubai</v>
      </c>
      <c r="I126" s="689" t="s">
        <v>65</v>
      </c>
      <c r="J126" s="694" t="s">
        <v>66</v>
      </c>
      <c r="K126" s="757" t="str">
        <f t="shared" ref="K126:K138" si="75">K63</f>
        <v>Dubai</v>
      </c>
      <c r="L126" s="689" t="s">
        <v>65</v>
      </c>
      <c r="M126" s="694" t="s">
        <v>66</v>
      </c>
      <c r="N126" s="757" t="str">
        <f t="shared" ref="N126:N138" si="76">N63</f>
        <v>Dubai</v>
      </c>
      <c r="O126" s="689" t="s">
        <v>65</v>
      </c>
      <c r="P126" s="694" t="s">
        <v>66</v>
      </c>
      <c r="Q126" s="757" t="str">
        <f t="shared" ref="Q126:Q138" si="77">Q63</f>
        <v>Dubai</v>
      </c>
      <c r="R126" s="689" t="s">
        <v>65</v>
      </c>
      <c r="S126" s="694" t="s">
        <v>66</v>
      </c>
      <c r="T126" s="757" t="str">
        <f t="shared" ref="T126:T138" si="78">T63</f>
        <v>Dubai</v>
      </c>
      <c r="U126" s="689" t="s">
        <v>65</v>
      </c>
      <c r="V126" s="694" t="s">
        <v>66</v>
      </c>
      <c r="W126" s="757" t="str">
        <f t="shared" ref="W126:W138" si="79">W63</f>
        <v>Dubai</v>
      </c>
      <c r="X126" s="689" t="s">
        <v>65</v>
      </c>
      <c r="Y126" s="694" t="s">
        <v>66</v>
      </c>
      <c r="Z126" s="688"/>
    </row>
    <row r="127" spans="1:26" x14ac:dyDescent="0.25">
      <c r="B127" s="758" t="str">
        <f t="shared" si="72"/>
        <v>0 - 10</v>
      </c>
      <c r="C127" s="753">
        <f t="shared" ref="C127:C138" ca="1" si="80">C64*C$89</f>
        <v>2520.9822125608111</v>
      </c>
      <c r="D127" s="753">
        <f t="shared" ref="D127:D138" ca="1" si="81">D64*C$89</f>
        <v>2379.1483675710015</v>
      </c>
      <c r="E127" s="758" t="str">
        <f t="shared" si="73"/>
        <v>0 - 10</v>
      </c>
      <c r="F127" s="753">
        <f t="shared" ref="F127:F138" si="82">F64*F$89</f>
        <v>0</v>
      </c>
      <c r="G127" s="753">
        <f t="shared" ref="G127:G138" si="83">G64*F$89</f>
        <v>0</v>
      </c>
      <c r="H127" s="758" t="str">
        <f t="shared" si="74"/>
        <v>0 - 10</v>
      </c>
      <c r="I127" s="753">
        <f t="shared" ref="I127:I138" si="84">I64*I$89</f>
        <v>0</v>
      </c>
      <c r="J127" s="753">
        <f t="shared" ref="J127:J138" si="85">J64*I$89</f>
        <v>0</v>
      </c>
      <c r="K127" s="758" t="str">
        <f t="shared" si="75"/>
        <v>0 - 10</v>
      </c>
      <c r="L127" s="753">
        <f t="shared" ref="L127:L138" si="86">L64*L$89</f>
        <v>0</v>
      </c>
      <c r="M127" s="753">
        <f t="shared" ref="M127:M138" si="87">M64*L$89</f>
        <v>0</v>
      </c>
      <c r="N127" s="758" t="str">
        <f t="shared" si="76"/>
        <v>0 - 10</v>
      </c>
      <c r="O127" s="753">
        <f t="shared" ref="O127:O138" si="88">O64*O$89</f>
        <v>0</v>
      </c>
      <c r="P127" s="753">
        <f t="shared" ref="P127:P138" si="89">P64*O$89</f>
        <v>0</v>
      </c>
      <c r="Q127" s="758" t="str">
        <f t="shared" si="77"/>
        <v>0 - 10</v>
      </c>
      <c r="R127" s="753">
        <f t="shared" ref="R127:R138" si="90">R64*R$89</f>
        <v>0</v>
      </c>
      <c r="S127" s="753">
        <f t="shared" ref="S127:S138" si="91">S64*R$89</f>
        <v>0</v>
      </c>
      <c r="T127" s="758" t="str">
        <f t="shared" si="78"/>
        <v>0 - 10</v>
      </c>
      <c r="U127" s="753">
        <f t="shared" ref="U127:U138" si="92">U64*U$89</f>
        <v>0</v>
      </c>
      <c r="V127" s="753">
        <f t="shared" ref="V127:V138" si="93">V64*U$89</f>
        <v>0</v>
      </c>
      <c r="W127" s="758" t="str">
        <f t="shared" si="79"/>
        <v>0 - 10</v>
      </c>
      <c r="X127" s="753">
        <f t="shared" ref="X127:X138" si="94">X64*X$89</f>
        <v>0</v>
      </c>
      <c r="Y127" s="753">
        <f t="shared" ref="Y127:Y138" si="95">Y64*X$89</f>
        <v>0</v>
      </c>
      <c r="Z127" s="688"/>
    </row>
    <row r="128" spans="1:26" x14ac:dyDescent="0.25">
      <c r="B128" s="758" t="str">
        <f t="shared" si="72"/>
        <v>11 - 17</v>
      </c>
      <c r="C128" s="753">
        <f t="shared" ca="1" si="80"/>
        <v>1190.7180051160638</v>
      </c>
      <c r="D128" s="753">
        <f t="shared" ca="1" si="81"/>
        <v>1459.5160177983644</v>
      </c>
      <c r="E128" s="758" t="str">
        <f t="shared" si="73"/>
        <v>11 - 17</v>
      </c>
      <c r="F128" s="753">
        <f t="shared" si="82"/>
        <v>0</v>
      </c>
      <c r="G128" s="753">
        <f t="shared" si="83"/>
        <v>0</v>
      </c>
      <c r="H128" s="758" t="str">
        <f t="shared" si="74"/>
        <v>11 - 17</v>
      </c>
      <c r="I128" s="753">
        <f t="shared" si="84"/>
        <v>0</v>
      </c>
      <c r="J128" s="753">
        <f t="shared" si="85"/>
        <v>0</v>
      </c>
      <c r="K128" s="758" t="str">
        <f t="shared" si="75"/>
        <v>11 - 17</v>
      </c>
      <c r="L128" s="753">
        <f t="shared" si="86"/>
        <v>0</v>
      </c>
      <c r="M128" s="753">
        <f t="shared" si="87"/>
        <v>0</v>
      </c>
      <c r="N128" s="758" t="str">
        <f t="shared" si="76"/>
        <v>11 - 17</v>
      </c>
      <c r="O128" s="753">
        <f t="shared" si="88"/>
        <v>0</v>
      </c>
      <c r="P128" s="753">
        <f t="shared" si="89"/>
        <v>0</v>
      </c>
      <c r="Q128" s="758" t="str">
        <f t="shared" si="77"/>
        <v>11 - 17</v>
      </c>
      <c r="R128" s="753">
        <f t="shared" si="90"/>
        <v>0</v>
      </c>
      <c r="S128" s="753">
        <f t="shared" si="91"/>
        <v>0</v>
      </c>
      <c r="T128" s="758" t="str">
        <f t="shared" si="78"/>
        <v>11 - 17</v>
      </c>
      <c r="U128" s="753">
        <f t="shared" si="92"/>
        <v>0</v>
      </c>
      <c r="V128" s="753">
        <f t="shared" si="93"/>
        <v>0</v>
      </c>
      <c r="W128" s="758" t="str">
        <f t="shared" si="79"/>
        <v>11 - 17</v>
      </c>
      <c r="X128" s="753">
        <f t="shared" si="94"/>
        <v>0</v>
      </c>
      <c r="Y128" s="753">
        <f t="shared" si="95"/>
        <v>0</v>
      </c>
      <c r="Z128" s="688"/>
    </row>
    <row r="129" spans="1:26" x14ac:dyDescent="0.25">
      <c r="B129" s="758" t="str">
        <f t="shared" si="72"/>
        <v>18 - 25</v>
      </c>
      <c r="C129" s="753">
        <f t="shared" ca="1" si="80"/>
        <v>1490.3991937235648</v>
      </c>
      <c r="D129" s="753">
        <f t="shared" ca="1" si="81"/>
        <v>1454.9407324761123</v>
      </c>
      <c r="E129" s="758" t="str">
        <f t="shared" si="73"/>
        <v>18 - 25</v>
      </c>
      <c r="F129" s="753">
        <f t="shared" si="82"/>
        <v>0</v>
      </c>
      <c r="G129" s="753">
        <f t="shared" si="83"/>
        <v>0</v>
      </c>
      <c r="H129" s="758" t="str">
        <f t="shared" si="74"/>
        <v>18 - 25</v>
      </c>
      <c r="I129" s="753">
        <f t="shared" si="84"/>
        <v>0</v>
      </c>
      <c r="J129" s="753">
        <f t="shared" si="85"/>
        <v>0</v>
      </c>
      <c r="K129" s="758" t="str">
        <f t="shared" si="75"/>
        <v>18 - 25</v>
      </c>
      <c r="L129" s="753">
        <f t="shared" si="86"/>
        <v>0</v>
      </c>
      <c r="M129" s="753">
        <f t="shared" si="87"/>
        <v>0</v>
      </c>
      <c r="N129" s="758" t="str">
        <f t="shared" si="76"/>
        <v>18 - 25</v>
      </c>
      <c r="O129" s="753">
        <f t="shared" si="88"/>
        <v>0</v>
      </c>
      <c r="P129" s="753">
        <f t="shared" si="89"/>
        <v>0</v>
      </c>
      <c r="Q129" s="758" t="str">
        <f t="shared" si="77"/>
        <v>18 - 25</v>
      </c>
      <c r="R129" s="753">
        <f t="shared" si="90"/>
        <v>0</v>
      </c>
      <c r="S129" s="753">
        <f t="shared" si="91"/>
        <v>0</v>
      </c>
      <c r="T129" s="758" t="str">
        <f t="shared" si="78"/>
        <v>18 - 25</v>
      </c>
      <c r="U129" s="753">
        <f t="shared" si="92"/>
        <v>0</v>
      </c>
      <c r="V129" s="753">
        <f t="shared" si="93"/>
        <v>0</v>
      </c>
      <c r="W129" s="758" t="str">
        <f t="shared" si="79"/>
        <v>18 - 25</v>
      </c>
      <c r="X129" s="753">
        <f t="shared" si="94"/>
        <v>0</v>
      </c>
      <c r="Y129" s="753">
        <f t="shared" si="95"/>
        <v>0</v>
      </c>
      <c r="Z129" s="688"/>
    </row>
    <row r="130" spans="1:26" x14ac:dyDescent="0.25">
      <c r="B130" s="758" t="str">
        <f t="shared" si="72"/>
        <v>26 - 30</v>
      </c>
      <c r="C130" s="753">
        <f t="shared" ca="1" si="80"/>
        <v>1620.7948254077446</v>
      </c>
      <c r="D130" s="753">
        <f t="shared" ca="1" si="81"/>
        <v>1810.6691662811995</v>
      </c>
      <c r="E130" s="758" t="str">
        <f t="shared" si="73"/>
        <v>26 - 30</v>
      </c>
      <c r="F130" s="753">
        <f t="shared" si="82"/>
        <v>0</v>
      </c>
      <c r="G130" s="753">
        <f t="shared" si="83"/>
        <v>0</v>
      </c>
      <c r="H130" s="758" t="str">
        <f t="shared" si="74"/>
        <v>26 - 30</v>
      </c>
      <c r="I130" s="753">
        <f t="shared" si="84"/>
        <v>0</v>
      </c>
      <c r="J130" s="753">
        <f t="shared" si="85"/>
        <v>0</v>
      </c>
      <c r="K130" s="758" t="str">
        <f t="shared" si="75"/>
        <v>26 - 30</v>
      </c>
      <c r="L130" s="753">
        <f t="shared" si="86"/>
        <v>0</v>
      </c>
      <c r="M130" s="753">
        <f t="shared" si="87"/>
        <v>0</v>
      </c>
      <c r="N130" s="758" t="str">
        <f t="shared" si="76"/>
        <v>26 - 30</v>
      </c>
      <c r="O130" s="753">
        <f t="shared" si="88"/>
        <v>0</v>
      </c>
      <c r="P130" s="753">
        <f t="shared" si="89"/>
        <v>0</v>
      </c>
      <c r="Q130" s="758" t="str">
        <f t="shared" si="77"/>
        <v>26 - 30</v>
      </c>
      <c r="R130" s="753">
        <f t="shared" si="90"/>
        <v>0</v>
      </c>
      <c r="S130" s="753">
        <f t="shared" si="91"/>
        <v>0</v>
      </c>
      <c r="T130" s="758" t="str">
        <f t="shared" si="78"/>
        <v>26 - 30</v>
      </c>
      <c r="U130" s="753">
        <f t="shared" si="92"/>
        <v>0</v>
      </c>
      <c r="V130" s="753">
        <f t="shared" si="93"/>
        <v>0</v>
      </c>
      <c r="W130" s="758" t="str">
        <f t="shared" si="79"/>
        <v>26 - 30</v>
      </c>
      <c r="X130" s="753">
        <f t="shared" si="94"/>
        <v>0</v>
      </c>
      <c r="Y130" s="753">
        <f t="shared" si="95"/>
        <v>0</v>
      </c>
      <c r="Z130" s="688"/>
    </row>
    <row r="131" spans="1:26" x14ac:dyDescent="0.25">
      <c r="B131" s="758" t="str">
        <f t="shared" si="72"/>
        <v>31 - 35</v>
      </c>
      <c r="C131" s="753">
        <f t="shared" ca="1" si="80"/>
        <v>1954.7906539321352</v>
      </c>
      <c r="D131" s="753">
        <f t="shared" ca="1" si="81"/>
        <v>2164.1099574251607</v>
      </c>
      <c r="E131" s="758" t="str">
        <f t="shared" si="73"/>
        <v>31 - 35</v>
      </c>
      <c r="F131" s="753">
        <f t="shared" si="82"/>
        <v>0</v>
      </c>
      <c r="G131" s="753">
        <f t="shared" si="83"/>
        <v>0</v>
      </c>
      <c r="H131" s="758" t="str">
        <f t="shared" si="74"/>
        <v>31 - 35</v>
      </c>
      <c r="I131" s="753">
        <f t="shared" si="84"/>
        <v>0</v>
      </c>
      <c r="J131" s="753">
        <f t="shared" si="85"/>
        <v>0</v>
      </c>
      <c r="K131" s="758" t="str">
        <f t="shared" si="75"/>
        <v>31 - 35</v>
      </c>
      <c r="L131" s="753">
        <f t="shared" si="86"/>
        <v>0</v>
      </c>
      <c r="M131" s="753">
        <f t="shared" si="87"/>
        <v>0</v>
      </c>
      <c r="N131" s="758" t="str">
        <f t="shared" si="76"/>
        <v>31 - 35</v>
      </c>
      <c r="O131" s="753">
        <f t="shared" si="88"/>
        <v>0</v>
      </c>
      <c r="P131" s="753">
        <f t="shared" si="89"/>
        <v>0</v>
      </c>
      <c r="Q131" s="758" t="str">
        <f t="shared" si="77"/>
        <v>31 - 35</v>
      </c>
      <c r="R131" s="753">
        <f t="shared" si="90"/>
        <v>0</v>
      </c>
      <c r="S131" s="753">
        <f t="shared" si="91"/>
        <v>0</v>
      </c>
      <c r="T131" s="758" t="str">
        <f t="shared" si="78"/>
        <v>31 - 35</v>
      </c>
      <c r="U131" s="753">
        <f t="shared" si="92"/>
        <v>0</v>
      </c>
      <c r="V131" s="753">
        <f t="shared" si="93"/>
        <v>0</v>
      </c>
      <c r="W131" s="758" t="str">
        <f t="shared" si="79"/>
        <v>31 - 35</v>
      </c>
      <c r="X131" s="753">
        <f t="shared" si="94"/>
        <v>0</v>
      </c>
      <c r="Y131" s="753">
        <f t="shared" si="95"/>
        <v>0</v>
      </c>
      <c r="Z131" s="688"/>
    </row>
    <row r="132" spans="1:26" x14ac:dyDescent="0.25">
      <c r="B132" s="758" t="str">
        <f t="shared" si="72"/>
        <v>36 - 40</v>
      </c>
      <c r="C132" s="753">
        <f t="shared" ca="1" si="80"/>
        <v>2413.463007487891</v>
      </c>
      <c r="D132" s="753">
        <f t="shared" ca="1" si="81"/>
        <v>2702.8498041203252</v>
      </c>
      <c r="E132" s="758" t="str">
        <f t="shared" si="73"/>
        <v>36 - 40</v>
      </c>
      <c r="F132" s="753">
        <f t="shared" si="82"/>
        <v>0</v>
      </c>
      <c r="G132" s="753">
        <f t="shared" si="83"/>
        <v>0</v>
      </c>
      <c r="H132" s="758" t="str">
        <f t="shared" si="74"/>
        <v>36 - 40</v>
      </c>
      <c r="I132" s="753">
        <f t="shared" si="84"/>
        <v>0</v>
      </c>
      <c r="J132" s="753">
        <f t="shared" si="85"/>
        <v>0</v>
      </c>
      <c r="K132" s="758" t="str">
        <f t="shared" si="75"/>
        <v>36 - 40</v>
      </c>
      <c r="L132" s="753">
        <f t="shared" si="86"/>
        <v>0</v>
      </c>
      <c r="M132" s="753">
        <f t="shared" si="87"/>
        <v>0</v>
      </c>
      <c r="N132" s="758" t="str">
        <f t="shared" si="76"/>
        <v>36 - 40</v>
      </c>
      <c r="O132" s="753">
        <f t="shared" si="88"/>
        <v>0</v>
      </c>
      <c r="P132" s="753">
        <f t="shared" si="89"/>
        <v>0</v>
      </c>
      <c r="Q132" s="758" t="str">
        <f t="shared" si="77"/>
        <v>36 - 40</v>
      </c>
      <c r="R132" s="753">
        <f t="shared" si="90"/>
        <v>0</v>
      </c>
      <c r="S132" s="753">
        <f t="shared" si="91"/>
        <v>0</v>
      </c>
      <c r="T132" s="758" t="str">
        <f t="shared" si="78"/>
        <v>36 - 40</v>
      </c>
      <c r="U132" s="753">
        <f t="shared" si="92"/>
        <v>0</v>
      </c>
      <c r="V132" s="753">
        <f t="shared" si="93"/>
        <v>0</v>
      </c>
      <c r="W132" s="758" t="str">
        <f t="shared" si="79"/>
        <v>36 - 40</v>
      </c>
      <c r="X132" s="753">
        <f t="shared" si="94"/>
        <v>0</v>
      </c>
      <c r="Y132" s="753">
        <f t="shared" si="95"/>
        <v>0</v>
      </c>
      <c r="Z132" s="688"/>
    </row>
    <row r="133" spans="1:26" x14ac:dyDescent="0.25">
      <c r="B133" s="758" t="str">
        <f t="shared" si="72"/>
        <v>41 - 45</v>
      </c>
      <c r="C133" s="753">
        <f t="shared" ca="1" si="80"/>
        <v>2828.6701504822531</v>
      </c>
      <c r="D133" s="753">
        <f t="shared" ca="1" si="81"/>
        <v>3464.6348102752709</v>
      </c>
      <c r="E133" s="758" t="str">
        <f t="shared" si="73"/>
        <v>41 - 45</v>
      </c>
      <c r="F133" s="753">
        <f t="shared" si="82"/>
        <v>0</v>
      </c>
      <c r="G133" s="753">
        <f t="shared" si="83"/>
        <v>0</v>
      </c>
      <c r="H133" s="758" t="str">
        <f t="shared" si="74"/>
        <v>41 - 45</v>
      </c>
      <c r="I133" s="753">
        <f t="shared" si="84"/>
        <v>0</v>
      </c>
      <c r="J133" s="753">
        <f t="shared" si="85"/>
        <v>0</v>
      </c>
      <c r="K133" s="758" t="str">
        <f t="shared" si="75"/>
        <v>41 - 45</v>
      </c>
      <c r="L133" s="753">
        <f t="shared" si="86"/>
        <v>0</v>
      </c>
      <c r="M133" s="753">
        <f t="shared" si="87"/>
        <v>0</v>
      </c>
      <c r="N133" s="758" t="str">
        <f t="shared" si="76"/>
        <v>41 - 45</v>
      </c>
      <c r="O133" s="753">
        <f t="shared" si="88"/>
        <v>0</v>
      </c>
      <c r="P133" s="753">
        <f t="shared" si="89"/>
        <v>0</v>
      </c>
      <c r="Q133" s="758" t="str">
        <f t="shared" si="77"/>
        <v>41 - 45</v>
      </c>
      <c r="R133" s="753">
        <f t="shared" si="90"/>
        <v>0</v>
      </c>
      <c r="S133" s="753">
        <f t="shared" si="91"/>
        <v>0</v>
      </c>
      <c r="T133" s="758" t="str">
        <f t="shared" si="78"/>
        <v>41 - 45</v>
      </c>
      <c r="U133" s="753">
        <f t="shared" si="92"/>
        <v>0</v>
      </c>
      <c r="V133" s="753">
        <f t="shared" si="93"/>
        <v>0</v>
      </c>
      <c r="W133" s="758" t="str">
        <f t="shared" si="79"/>
        <v>41 - 45</v>
      </c>
      <c r="X133" s="753">
        <f t="shared" si="94"/>
        <v>0</v>
      </c>
      <c r="Y133" s="753">
        <f t="shared" si="95"/>
        <v>0</v>
      </c>
      <c r="Z133" s="688"/>
    </row>
    <row r="134" spans="1:26" x14ac:dyDescent="0.25">
      <c r="B134" s="758" t="str">
        <f t="shared" si="72"/>
        <v>46 - 50</v>
      </c>
      <c r="C134" s="753">
        <f t="shared" ca="1" si="80"/>
        <v>3693.3990763878669</v>
      </c>
      <c r="D134" s="753">
        <f t="shared" ca="1" si="81"/>
        <v>4336.2266641642627</v>
      </c>
      <c r="E134" s="758" t="str">
        <f t="shared" si="73"/>
        <v>46 - 50</v>
      </c>
      <c r="F134" s="753">
        <f t="shared" si="82"/>
        <v>0</v>
      </c>
      <c r="G134" s="753">
        <f t="shared" si="83"/>
        <v>0</v>
      </c>
      <c r="H134" s="758" t="str">
        <f t="shared" si="74"/>
        <v>46 - 50</v>
      </c>
      <c r="I134" s="753">
        <f t="shared" si="84"/>
        <v>0</v>
      </c>
      <c r="J134" s="753">
        <f t="shared" si="85"/>
        <v>0</v>
      </c>
      <c r="K134" s="758" t="str">
        <f t="shared" si="75"/>
        <v>46 - 50</v>
      </c>
      <c r="L134" s="753">
        <f t="shared" si="86"/>
        <v>0</v>
      </c>
      <c r="M134" s="753">
        <f t="shared" si="87"/>
        <v>0</v>
      </c>
      <c r="N134" s="758" t="str">
        <f t="shared" si="76"/>
        <v>46 - 50</v>
      </c>
      <c r="O134" s="753">
        <f t="shared" si="88"/>
        <v>0</v>
      </c>
      <c r="P134" s="753">
        <f t="shared" si="89"/>
        <v>0</v>
      </c>
      <c r="Q134" s="758" t="str">
        <f t="shared" si="77"/>
        <v>46 - 50</v>
      </c>
      <c r="R134" s="753">
        <f t="shared" si="90"/>
        <v>0</v>
      </c>
      <c r="S134" s="753">
        <f t="shared" si="91"/>
        <v>0</v>
      </c>
      <c r="T134" s="758" t="str">
        <f t="shared" si="78"/>
        <v>46 - 50</v>
      </c>
      <c r="U134" s="753">
        <f t="shared" si="92"/>
        <v>0</v>
      </c>
      <c r="V134" s="753">
        <f t="shared" si="93"/>
        <v>0</v>
      </c>
      <c r="W134" s="758" t="str">
        <f t="shared" si="79"/>
        <v>46 - 50</v>
      </c>
      <c r="X134" s="753">
        <f t="shared" si="94"/>
        <v>0</v>
      </c>
      <c r="Y134" s="753">
        <f t="shared" si="95"/>
        <v>0</v>
      </c>
      <c r="Z134" s="688"/>
    </row>
    <row r="135" spans="1:26" x14ac:dyDescent="0.25">
      <c r="B135" s="758" t="str">
        <f t="shared" si="72"/>
        <v>51 - 55</v>
      </c>
      <c r="C135" s="753">
        <f t="shared" ca="1" si="80"/>
        <v>4945.8834333543318</v>
      </c>
      <c r="D135" s="753">
        <f t="shared" ca="1" si="81"/>
        <v>5712.2437248315291</v>
      </c>
      <c r="E135" s="758" t="str">
        <f t="shared" si="73"/>
        <v>51 - 55</v>
      </c>
      <c r="F135" s="753">
        <f t="shared" si="82"/>
        <v>0</v>
      </c>
      <c r="G135" s="753">
        <f t="shared" si="83"/>
        <v>0</v>
      </c>
      <c r="H135" s="758" t="str">
        <f t="shared" si="74"/>
        <v>51 - 55</v>
      </c>
      <c r="I135" s="753">
        <f t="shared" si="84"/>
        <v>0</v>
      </c>
      <c r="J135" s="753">
        <f t="shared" si="85"/>
        <v>0</v>
      </c>
      <c r="K135" s="758" t="str">
        <f t="shared" si="75"/>
        <v>51 - 55</v>
      </c>
      <c r="L135" s="753">
        <f t="shared" si="86"/>
        <v>0</v>
      </c>
      <c r="M135" s="753">
        <f t="shared" si="87"/>
        <v>0</v>
      </c>
      <c r="N135" s="758" t="str">
        <f t="shared" si="76"/>
        <v>51 - 55</v>
      </c>
      <c r="O135" s="753">
        <f t="shared" si="88"/>
        <v>0</v>
      </c>
      <c r="P135" s="753">
        <f t="shared" si="89"/>
        <v>0</v>
      </c>
      <c r="Q135" s="758" t="str">
        <f t="shared" si="77"/>
        <v>51 - 55</v>
      </c>
      <c r="R135" s="753">
        <f t="shared" si="90"/>
        <v>0</v>
      </c>
      <c r="S135" s="753">
        <f t="shared" si="91"/>
        <v>0</v>
      </c>
      <c r="T135" s="758" t="str">
        <f t="shared" si="78"/>
        <v>51 - 55</v>
      </c>
      <c r="U135" s="753">
        <f t="shared" si="92"/>
        <v>0</v>
      </c>
      <c r="V135" s="753">
        <f t="shared" si="93"/>
        <v>0</v>
      </c>
      <c r="W135" s="758" t="str">
        <f t="shared" si="79"/>
        <v>51 - 55</v>
      </c>
      <c r="X135" s="753">
        <f t="shared" si="94"/>
        <v>0</v>
      </c>
      <c r="Y135" s="753">
        <f t="shared" si="95"/>
        <v>0</v>
      </c>
      <c r="Z135" s="688"/>
    </row>
    <row r="136" spans="1:26" x14ac:dyDescent="0.25">
      <c r="B136" s="758" t="str">
        <f t="shared" si="72"/>
        <v>56 - 59</v>
      </c>
      <c r="C136" s="753">
        <f t="shared" ca="1" si="80"/>
        <v>6726.8132450408939</v>
      </c>
      <c r="D136" s="753">
        <f t="shared" ca="1" si="81"/>
        <v>6989.8921510703794</v>
      </c>
      <c r="E136" s="758" t="str">
        <f t="shared" si="73"/>
        <v>56 - 59</v>
      </c>
      <c r="F136" s="753">
        <f t="shared" si="82"/>
        <v>0</v>
      </c>
      <c r="G136" s="753">
        <f t="shared" si="83"/>
        <v>0</v>
      </c>
      <c r="H136" s="758" t="str">
        <f t="shared" si="74"/>
        <v>56 - 59</v>
      </c>
      <c r="I136" s="753">
        <f t="shared" si="84"/>
        <v>0</v>
      </c>
      <c r="J136" s="753">
        <f t="shared" si="85"/>
        <v>0</v>
      </c>
      <c r="K136" s="758" t="str">
        <f t="shared" si="75"/>
        <v>56 - 59</v>
      </c>
      <c r="L136" s="753">
        <f t="shared" si="86"/>
        <v>0</v>
      </c>
      <c r="M136" s="753">
        <f t="shared" si="87"/>
        <v>0</v>
      </c>
      <c r="N136" s="758" t="str">
        <f t="shared" si="76"/>
        <v>56 - 59</v>
      </c>
      <c r="O136" s="753">
        <f t="shared" si="88"/>
        <v>0</v>
      </c>
      <c r="P136" s="753">
        <f t="shared" si="89"/>
        <v>0</v>
      </c>
      <c r="Q136" s="758" t="str">
        <f t="shared" si="77"/>
        <v>56 - 59</v>
      </c>
      <c r="R136" s="753">
        <f t="shared" si="90"/>
        <v>0</v>
      </c>
      <c r="S136" s="753">
        <f t="shared" si="91"/>
        <v>0</v>
      </c>
      <c r="T136" s="758" t="str">
        <f t="shared" si="78"/>
        <v>56 - 59</v>
      </c>
      <c r="U136" s="753">
        <f t="shared" si="92"/>
        <v>0</v>
      </c>
      <c r="V136" s="753">
        <f t="shared" si="93"/>
        <v>0</v>
      </c>
      <c r="W136" s="758" t="str">
        <f t="shared" si="79"/>
        <v>56 - 59</v>
      </c>
      <c r="X136" s="753">
        <f t="shared" si="94"/>
        <v>0</v>
      </c>
      <c r="Y136" s="753">
        <f t="shared" si="95"/>
        <v>0</v>
      </c>
      <c r="Z136" s="688"/>
    </row>
    <row r="137" spans="1:26" x14ac:dyDescent="0.25">
      <c r="B137" s="758" t="str">
        <f t="shared" si="72"/>
        <v>60 - 64</v>
      </c>
      <c r="C137" s="753">
        <f t="shared" ca="1" si="80"/>
        <v>8273.2596839620437</v>
      </c>
      <c r="D137" s="753">
        <f t="shared" ca="1" si="81"/>
        <v>8301.8552172261188</v>
      </c>
      <c r="E137" s="758" t="str">
        <f t="shared" si="73"/>
        <v>60 - 64</v>
      </c>
      <c r="F137" s="753">
        <f t="shared" si="82"/>
        <v>0</v>
      </c>
      <c r="G137" s="753">
        <f t="shared" si="83"/>
        <v>0</v>
      </c>
      <c r="H137" s="758" t="str">
        <f t="shared" si="74"/>
        <v>60 - 64</v>
      </c>
      <c r="I137" s="753">
        <f t="shared" si="84"/>
        <v>0</v>
      </c>
      <c r="J137" s="753">
        <f t="shared" si="85"/>
        <v>0</v>
      </c>
      <c r="K137" s="758" t="str">
        <f t="shared" si="75"/>
        <v>60 - 64</v>
      </c>
      <c r="L137" s="753">
        <f t="shared" si="86"/>
        <v>0</v>
      </c>
      <c r="M137" s="753">
        <f t="shared" si="87"/>
        <v>0</v>
      </c>
      <c r="N137" s="758" t="str">
        <f t="shared" si="76"/>
        <v>60 - 64</v>
      </c>
      <c r="O137" s="753">
        <f t="shared" si="88"/>
        <v>0</v>
      </c>
      <c r="P137" s="753">
        <f t="shared" si="89"/>
        <v>0</v>
      </c>
      <c r="Q137" s="758" t="str">
        <f t="shared" si="77"/>
        <v>60 - 64</v>
      </c>
      <c r="R137" s="753">
        <f t="shared" si="90"/>
        <v>0</v>
      </c>
      <c r="S137" s="753">
        <f t="shared" si="91"/>
        <v>0</v>
      </c>
      <c r="T137" s="758" t="str">
        <f t="shared" si="78"/>
        <v>60 - 64</v>
      </c>
      <c r="U137" s="753">
        <f t="shared" si="92"/>
        <v>0</v>
      </c>
      <c r="V137" s="753">
        <f t="shared" si="93"/>
        <v>0</v>
      </c>
      <c r="W137" s="758" t="str">
        <f t="shared" si="79"/>
        <v>60 - 64</v>
      </c>
      <c r="X137" s="753">
        <f t="shared" si="94"/>
        <v>0</v>
      </c>
      <c r="Y137" s="753">
        <f t="shared" si="95"/>
        <v>0</v>
      </c>
      <c r="Z137" s="688"/>
    </row>
    <row r="138" spans="1:26" x14ac:dyDescent="0.25">
      <c r="B138" s="758" t="str">
        <f t="shared" si="72"/>
        <v>65 - 99</v>
      </c>
      <c r="C138" s="753">
        <f t="shared" ca="1" si="80"/>
        <v>14891.867431131679</v>
      </c>
      <c r="D138" s="753">
        <f t="shared" ca="1" si="81"/>
        <v>14943.339391007014</v>
      </c>
      <c r="E138" s="758" t="str">
        <f t="shared" si="73"/>
        <v>65 - 99</v>
      </c>
      <c r="F138" s="753">
        <f t="shared" si="82"/>
        <v>0</v>
      </c>
      <c r="G138" s="753">
        <f t="shared" si="83"/>
        <v>0</v>
      </c>
      <c r="H138" s="758" t="str">
        <f t="shared" si="74"/>
        <v>65 - 99</v>
      </c>
      <c r="I138" s="753">
        <f t="shared" si="84"/>
        <v>0</v>
      </c>
      <c r="J138" s="753">
        <f t="shared" si="85"/>
        <v>0</v>
      </c>
      <c r="K138" s="758" t="str">
        <f t="shared" si="75"/>
        <v>65 - 99</v>
      </c>
      <c r="L138" s="753">
        <f t="shared" si="86"/>
        <v>0</v>
      </c>
      <c r="M138" s="753">
        <f t="shared" si="87"/>
        <v>0</v>
      </c>
      <c r="N138" s="758" t="str">
        <f t="shared" si="76"/>
        <v>65 - 99</v>
      </c>
      <c r="O138" s="753">
        <f t="shared" si="88"/>
        <v>0</v>
      </c>
      <c r="P138" s="753">
        <f t="shared" si="89"/>
        <v>0</v>
      </c>
      <c r="Q138" s="758" t="str">
        <f t="shared" si="77"/>
        <v>65 - 99</v>
      </c>
      <c r="R138" s="753">
        <f t="shared" si="90"/>
        <v>0</v>
      </c>
      <c r="S138" s="753">
        <f t="shared" si="91"/>
        <v>0</v>
      </c>
      <c r="T138" s="758" t="str">
        <f t="shared" si="78"/>
        <v>65 - 99</v>
      </c>
      <c r="U138" s="753">
        <f t="shared" si="92"/>
        <v>0</v>
      </c>
      <c r="V138" s="753">
        <f t="shared" si="93"/>
        <v>0</v>
      </c>
      <c r="W138" s="758" t="str">
        <f t="shared" si="79"/>
        <v>65 - 99</v>
      </c>
      <c r="X138" s="753">
        <f t="shared" si="94"/>
        <v>0</v>
      </c>
      <c r="Y138" s="753">
        <f t="shared" si="95"/>
        <v>0</v>
      </c>
      <c r="Z138" s="688"/>
    </row>
    <row r="139" spans="1:26" x14ac:dyDescent="0.25">
      <c r="A139" s="931"/>
      <c r="B139" s="755"/>
      <c r="C139" s="754"/>
      <c r="D139" s="754"/>
      <c r="E139" s="755"/>
      <c r="F139" s="754"/>
      <c r="G139" s="754"/>
      <c r="H139" s="755"/>
      <c r="I139" s="754"/>
      <c r="J139" s="754"/>
      <c r="K139" s="755"/>
      <c r="L139" s="754"/>
      <c r="M139" s="754"/>
      <c r="N139" s="755"/>
      <c r="O139" s="754"/>
      <c r="P139" s="754"/>
      <c r="Q139" s="755"/>
      <c r="R139" s="754"/>
      <c r="S139" s="754"/>
      <c r="T139" s="755"/>
      <c r="U139" s="754"/>
      <c r="V139" s="754"/>
      <c r="W139" s="755"/>
      <c r="X139" s="754"/>
      <c r="Y139" s="754"/>
      <c r="Z139" s="756"/>
    </row>
    <row r="140" spans="1:26" ht="15.75" thickBot="1" x14ac:dyDescent="0.3">
      <c r="B140" s="695"/>
      <c r="C140" s="570"/>
      <c r="D140" s="570"/>
      <c r="E140" s="570"/>
      <c r="F140" s="570"/>
      <c r="G140" s="570"/>
      <c r="H140" s="570"/>
      <c r="I140" s="570"/>
      <c r="J140" s="570"/>
      <c r="K140" s="570"/>
      <c r="L140" s="570"/>
      <c r="M140" s="570"/>
      <c r="N140" s="570"/>
      <c r="O140" s="570"/>
      <c r="P140" s="696"/>
      <c r="Q140" s="570"/>
      <c r="R140" s="570"/>
      <c r="S140" s="570"/>
      <c r="T140" s="570"/>
      <c r="U140" s="570"/>
      <c r="V140" s="570"/>
      <c r="W140" s="570"/>
      <c r="X140" s="570"/>
      <c r="Y140" s="570"/>
      <c r="Z140" s="697"/>
    </row>
    <row r="143" spans="1:26" ht="15.75" thickBot="1" x14ac:dyDescent="0.3"/>
    <row r="144" spans="1:26" x14ac:dyDescent="0.25">
      <c r="B144" s="796" t="s">
        <v>969</v>
      </c>
      <c r="C144" s="569"/>
      <c r="D144" s="569"/>
      <c r="E144" s="569"/>
      <c r="F144" s="569"/>
      <c r="G144" s="569"/>
      <c r="H144" s="569"/>
      <c r="I144" s="569"/>
      <c r="J144" s="569"/>
      <c r="K144" s="569"/>
      <c r="L144" s="569"/>
      <c r="M144" s="569"/>
      <c r="N144" s="569"/>
      <c r="O144" s="569"/>
      <c r="P144" s="685"/>
      <c r="Q144" s="569"/>
      <c r="R144" s="569"/>
      <c r="S144" s="569"/>
      <c r="T144" s="569"/>
      <c r="U144" s="569"/>
      <c r="V144" s="569"/>
      <c r="W144" s="569"/>
      <c r="X144" s="569"/>
      <c r="Y144" s="569"/>
      <c r="Z144" s="686"/>
    </row>
    <row r="145" spans="2:26" ht="15.75" x14ac:dyDescent="0.25">
      <c r="B145" s="687"/>
      <c r="C145" s="693" t="str">
        <f>VLOOKUP(C146,'General Basis'!$J$39:$K$46,2,0)</f>
        <v>RN3</v>
      </c>
      <c r="D145" s="693" t="str">
        <f>VLOOKUP(D146,'General Basis'!$J$39:$K$46,2,0)</f>
        <v>RN3</v>
      </c>
      <c r="F145" s="693" t="e">
        <f>VLOOKUP(F146,'General Basis'!$J$39:$K$46,2,0)</f>
        <v>#N/A</v>
      </c>
      <c r="G145" s="693" t="e">
        <f>VLOOKUP(G146,'General Basis'!$J$39:$K$46,2,0)</f>
        <v>#N/A</v>
      </c>
      <c r="I145" s="693" t="e">
        <f>VLOOKUP(I146,'General Basis'!$J$39:$K$46,2,0)</f>
        <v>#N/A</v>
      </c>
      <c r="J145" s="693" t="e">
        <f>VLOOKUP(J146,'General Basis'!$J$39:$K$46,2,0)</f>
        <v>#N/A</v>
      </c>
      <c r="L145" s="693" t="e">
        <f>VLOOKUP(L146,'General Basis'!$J$39:$K$46,2,0)</f>
        <v>#N/A</v>
      </c>
      <c r="M145" s="693" t="e">
        <f>VLOOKUP(M146,'General Basis'!$J$39:$K$46,2,0)</f>
        <v>#N/A</v>
      </c>
      <c r="O145" s="693" t="e">
        <f>VLOOKUP(O146,'General Basis'!$J$39:$K$46,2,0)</f>
        <v>#N/A</v>
      </c>
      <c r="P145" s="693" t="e">
        <f>VLOOKUP(P146,'General Basis'!$J$39:$K$46,2,0)</f>
        <v>#N/A</v>
      </c>
      <c r="R145" s="693" t="e">
        <f>VLOOKUP(R146,'General Basis'!$J$39:$K$46,2,0)</f>
        <v>#N/A</v>
      </c>
      <c r="S145" s="693" t="e">
        <f>VLOOKUP(S146,'General Basis'!$J$39:$K$46,2,0)</f>
        <v>#N/A</v>
      </c>
      <c r="U145" s="693" t="e">
        <f>VLOOKUP(U146,'General Basis'!$J$39:$K$46,2,0)</f>
        <v>#N/A</v>
      </c>
      <c r="V145" s="693" t="e">
        <f>VLOOKUP(V146,'General Basis'!$J$39:$K$46,2,0)</f>
        <v>#N/A</v>
      </c>
      <c r="X145" s="693" t="e">
        <f>VLOOKUP(X146,'General Basis'!$J$39:$K$46,2,0)</f>
        <v>#N/A</v>
      </c>
      <c r="Y145" s="693" t="e">
        <f>VLOOKUP(Y146,'General Basis'!$J$39:$K$46,2,0)</f>
        <v>#N/A</v>
      </c>
      <c r="Z145" s="688"/>
    </row>
    <row r="146" spans="2:26" ht="15.75" x14ac:dyDescent="0.25">
      <c r="B146" s="788" t="s">
        <v>957</v>
      </c>
      <c r="C146" s="693" t="s">
        <v>271</v>
      </c>
      <c r="D146" s="693" t="str">
        <f>C146</f>
        <v>A</v>
      </c>
      <c r="E146" s="788" t="str">
        <f>B146</f>
        <v>Employee</v>
      </c>
      <c r="F146" s="693" t="s">
        <v>272</v>
      </c>
      <c r="G146" s="693" t="str">
        <f>F146</f>
        <v>B</v>
      </c>
      <c r="H146" s="788" t="str">
        <f>E146</f>
        <v>Employee</v>
      </c>
      <c r="I146" s="693" t="s">
        <v>273</v>
      </c>
      <c r="J146" s="693" t="str">
        <f>I146</f>
        <v>C</v>
      </c>
      <c r="K146" s="788" t="str">
        <f>H146</f>
        <v>Employee</v>
      </c>
      <c r="L146" s="693" t="s">
        <v>274</v>
      </c>
      <c r="M146" s="693" t="str">
        <f>L146</f>
        <v>D</v>
      </c>
      <c r="N146" s="788" t="str">
        <f>K146</f>
        <v>Employee</v>
      </c>
      <c r="O146" s="693" t="s">
        <v>365</v>
      </c>
      <c r="P146" s="693" t="str">
        <f>O146</f>
        <v>E</v>
      </c>
      <c r="Q146" s="788" t="str">
        <f>N146</f>
        <v>Employee</v>
      </c>
      <c r="R146" s="693" t="s">
        <v>62</v>
      </c>
      <c r="S146" s="693" t="str">
        <f>R146</f>
        <v>F</v>
      </c>
      <c r="T146" s="788" t="str">
        <f>Q146</f>
        <v>Employee</v>
      </c>
      <c r="U146" s="693" t="s">
        <v>366</v>
      </c>
      <c r="V146" s="693" t="str">
        <f>U146</f>
        <v>G</v>
      </c>
      <c r="W146" s="788" t="str">
        <f>T146</f>
        <v>Employee</v>
      </c>
      <c r="X146" s="693" t="s">
        <v>367</v>
      </c>
      <c r="Y146" s="693" t="str">
        <f>X146</f>
        <v>H</v>
      </c>
      <c r="Z146" s="752"/>
    </row>
    <row r="147" spans="2:26" ht="15.75" x14ac:dyDescent="0.25">
      <c r="B147" s="757" t="str">
        <f>B107</f>
        <v>Dubai</v>
      </c>
      <c r="C147" s="689" t="s">
        <v>65</v>
      </c>
      <c r="D147" s="694" t="s">
        <v>66</v>
      </c>
      <c r="E147" s="757" t="str">
        <f t="shared" ref="E147:W159" si="96">E107</f>
        <v>Dubai</v>
      </c>
      <c r="F147" s="689" t="s">
        <v>65</v>
      </c>
      <c r="G147" s="694" t="s">
        <v>66</v>
      </c>
      <c r="H147" s="757" t="str">
        <f t="shared" ref="H147" si="97">H107</f>
        <v>Dubai</v>
      </c>
      <c r="I147" s="689" t="s">
        <v>65</v>
      </c>
      <c r="J147" s="694" t="s">
        <v>66</v>
      </c>
      <c r="K147" s="757" t="str">
        <f t="shared" ref="K147" si="98">K107</f>
        <v>Dubai</v>
      </c>
      <c r="L147" s="689" t="s">
        <v>65</v>
      </c>
      <c r="M147" s="694" t="s">
        <v>66</v>
      </c>
      <c r="N147" s="757" t="str">
        <f t="shared" ref="N147" si="99">N107</f>
        <v>Dubai</v>
      </c>
      <c r="O147" s="689" t="s">
        <v>65</v>
      </c>
      <c r="P147" s="694" t="s">
        <v>66</v>
      </c>
      <c r="Q147" s="757" t="str">
        <f t="shared" ref="Q147" si="100">Q107</f>
        <v>Dubai</v>
      </c>
      <c r="R147" s="689" t="s">
        <v>65</v>
      </c>
      <c r="S147" s="694" t="s">
        <v>66</v>
      </c>
      <c r="T147" s="757" t="str">
        <f t="shared" ref="T147" si="101">T107</f>
        <v>Dubai</v>
      </c>
      <c r="U147" s="689" t="s">
        <v>65</v>
      </c>
      <c r="V147" s="694" t="s">
        <v>66</v>
      </c>
      <c r="W147" s="757" t="str">
        <f t="shared" ref="W147" si="102">W107</f>
        <v>Dubai</v>
      </c>
      <c r="X147" s="689" t="s">
        <v>65</v>
      </c>
      <c r="Y147" s="694" t="s">
        <v>66</v>
      </c>
      <c r="Z147" s="688"/>
    </row>
    <row r="148" spans="2:26" x14ac:dyDescent="0.25">
      <c r="B148" s="758" t="str">
        <f t="shared" ref="B148:B159" si="103">B108</f>
        <v>0 - 10</v>
      </c>
      <c r="C148" s="753">
        <f ca="1">IF(B$147="Abu Dhabi",(MAX(C108,_xlfn.IFNA(VLOOKUP(B148,'Age Banded Rating'!$A$97:$E$100,4,0),0))),C108)/(1-Intermediary_and_Fee)</f>
        <v>0</v>
      </c>
      <c r="D148" s="753">
        <f ca="1">IF(B$147="Abu Dhabi",(MAX(D108,_xlfn.IFNA(VLOOKUP(B148,'Age Banded Rating'!$A$97:$E$100,4,0),0))),D108)/(1-Intermediary_and_Fee)</f>
        <v>0</v>
      </c>
      <c r="E148" s="758" t="str">
        <f t="shared" si="96"/>
        <v>0 - 10</v>
      </c>
      <c r="F148" s="753">
        <f>IF(E$147="Abu Dhabi",(MAX(F108,_xlfn.IFNA(VLOOKUP(E148,'Age Banded Rating'!$A$97:$E$100,4,0),0))),F108)/(1-Intermediary_and_Fee)</f>
        <v>0</v>
      </c>
      <c r="G148" s="753">
        <f>IF(E$147="Abu Dhabi",(MAX(G108,_xlfn.IFNA(VLOOKUP(E148,'Age Banded Rating'!$A$97:$E$100,4,0),0))),G108)/(1-Intermediary_and_Fee)</f>
        <v>0</v>
      </c>
      <c r="H148" s="758" t="str">
        <f t="shared" si="96"/>
        <v>0 - 10</v>
      </c>
      <c r="I148" s="753">
        <f>IF(H$147="Abu Dhabi",(MAX(I108,_xlfn.IFNA(VLOOKUP(H148,'Age Banded Rating'!$A$97:$E$100,4,0),0))),I108)/(1-Intermediary_and_Fee)</f>
        <v>0</v>
      </c>
      <c r="J148" s="753">
        <f>IF(H$147="Abu Dhabi",(MAX(J108,_xlfn.IFNA(VLOOKUP(H148,'Age Banded Rating'!$A$97:$E$100,4,0),0))),J108)/(1-Intermediary_and_Fee)</f>
        <v>0</v>
      </c>
      <c r="K148" s="758" t="str">
        <f t="shared" si="96"/>
        <v>0 - 10</v>
      </c>
      <c r="L148" s="753">
        <f>IF(K$147="Abu Dhabi",(MAX(L108,_xlfn.IFNA(VLOOKUP(K148,'Age Banded Rating'!$A$97:$E$100,4,0),0))),L108)/(1-Intermediary_and_Fee)</f>
        <v>0</v>
      </c>
      <c r="M148" s="753">
        <f>IF(K$147="Abu Dhabi",(MAX(M108,_xlfn.IFNA(VLOOKUP(K148,'Age Banded Rating'!$A$97:$E$100,4,0),0))),M108)/(1-Intermediary_and_Fee)</f>
        <v>0</v>
      </c>
      <c r="N148" s="758" t="str">
        <f t="shared" si="96"/>
        <v>0 - 10</v>
      </c>
      <c r="O148" s="753">
        <f>IF(N$147="Abu Dhabi",(MAX(O108,_xlfn.IFNA(VLOOKUP(N148,'Age Banded Rating'!$A$97:$E$100,4,0),0))),O108)/(1-Intermediary_and_Fee)</f>
        <v>0</v>
      </c>
      <c r="P148" s="753">
        <f>IF(N$147="Abu Dhabi",(MAX(P108,_xlfn.IFNA(VLOOKUP(N148,'Age Banded Rating'!$A$97:$E$100,4,0),0))),P108)/(1-Intermediary_and_Fee)</f>
        <v>0</v>
      </c>
      <c r="Q148" s="758" t="str">
        <f t="shared" si="96"/>
        <v>0 - 10</v>
      </c>
      <c r="R148" s="753">
        <f>IF(Q$147="Abu Dhabi",(MAX(R108,_xlfn.IFNA(VLOOKUP(Q148,'Age Banded Rating'!$A$97:$E$100,4,0),0))),R108)/(1-Intermediary_and_Fee)</f>
        <v>0</v>
      </c>
      <c r="S148" s="753">
        <f>IF(Q$147="Abu Dhabi",(MAX(S108,_xlfn.IFNA(VLOOKUP(Q148,'Age Banded Rating'!$A$97:$E$100,4,0),0))),S108)/(1-Intermediary_and_Fee)</f>
        <v>0</v>
      </c>
      <c r="T148" s="758" t="str">
        <f t="shared" si="96"/>
        <v>0 - 10</v>
      </c>
      <c r="U148" s="753">
        <f>IF(T$147="Abu Dhabi",(MAX(U108,_xlfn.IFNA(VLOOKUP(T148,'Age Banded Rating'!$A$97:$E$100,4,0),0))),U108)/(1-Intermediary_and_Fee)</f>
        <v>0</v>
      </c>
      <c r="V148" s="753">
        <f>IF(T$147="Abu Dhabi",(MAX(V108,_xlfn.IFNA(VLOOKUP(T148,'Age Banded Rating'!$A$97:$E$100,4,0),0))),V108)/(1-Intermediary_and_Fee)</f>
        <v>0</v>
      </c>
      <c r="W148" s="758" t="str">
        <f t="shared" si="96"/>
        <v>0 - 10</v>
      </c>
      <c r="X148" s="753">
        <f>IF(W$147="Abu Dhabi",(MAX(X108,_xlfn.IFNA(VLOOKUP(W148,'Age Banded Rating'!$A$97:$E$100,4,0),0))),X108)/(1-Intermediary_and_Fee)</f>
        <v>0</v>
      </c>
      <c r="Y148" s="753">
        <f>IF(W$147="Abu Dhabi",(MAX(Y108,_xlfn.IFNA(VLOOKUP(W148,'Age Banded Rating'!$A$97:$E$100,4,0),0))),Y108)/(1-Intermediary_and_Fee)</f>
        <v>0</v>
      </c>
      <c r="Z148" s="688"/>
    </row>
    <row r="149" spans="2:26" x14ac:dyDescent="0.25">
      <c r="B149" s="758" t="str">
        <f t="shared" si="103"/>
        <v>11 - 17</v>
      </c>
      <c r="C149" s="753">
        <f ca="1">IF(B$147="Abu Dhabi",(MAX(C109,_xlfn.IFNA(VLOOKUP(B149,'Age Banded Rating'!$A$97:$E$100,4,0),0))),C109)/(1-Intermediary_and_Fee)</f>
        <v>0</v>
      </c>
      <c r="D149" s="753">
        <f ca="1">IF(B$147="Abu Dhabi",(MAX(D109,_xlfn.IFNA(VLOOKUP(B149,'Age Banded Rating'!$A$97:$E$100,4,0),0))),D109)/(1-Intermediary_and_Fee)</f>
        <v>0</v>
      </c>
      <c r="E149" s="758" t="str">
        <f t="shared" si="96"/>
        <v>11 - 17</v>
      </c>
      <c r="F149" s="753">
        <f>IF(E$147="Abu Dhabi",(MAX(F109,_xlfn.IFNA(VLOOKUP(E149,'Age Banded Rating'!$A$97:$E$100,4,0),0))),F109)/(1-Intermediary_and_Fee)</f>
        <v>0</v>
      </c>
      <c r="G149" s="753">
        <f>IF(E$147="Abu Dhabi",(MAX(G109,_xlfn.IFNA(VLOOKUP(E149,'Age Banded Rating'!$A$97:$E$100,4,0),0))),G109)/(1-Intermediary_and_Fee)</f>
        <v>0</v>
      </c>
      <c r="H149" s="758" t="str">
        <f t="shared" si="96"/>
        <v>11 - 17</v>
      </c>
      <c r="I149" s="753">
        <f>IF(H$147="Abu Dhabi",(MAX(I109,_xlfn.IFNA(VLOOKUP(H149,'Age Banded Rating'!$A$97:$E$100,4,0),0))),I109)/(1-Intermediary_and_Fee)</f>
        <v>0</v>
      </c>
      <c r="J149" s="753">
        <f>IF(H$147="Abu Dhabi",(MAX(J109,_xlfn.IFNA(VLOOKUP(H149,'Age Banded Rating'!$A$97:$E$100,4,0),0))),J109)/(1-Intermediary_and_Fee)</f>
        <v>0</v>
      </c>
      <c r="K149" s="758" t="str">
        <f t="shared" si="96"/>
        <v>11 - 17</v>
      </c>
      <c r="L149" s="753">
        <f>IF(K$147="Abu Dhabi",(MAX(L109,_xlfn.IFNA(VLOOKUP(K149,'Age Banded Rating'!$A$97:$E$100,4,0),0))),L109)/(1-Intermediary_and_Fee)</f>
        <v>0</v>
      </c>
      <c r="M149" s="753">
        <f>IF(K$147="Abu Dhabi",(MAX(M109,_xlfn.IFNA(VLOOKUP(K149,'Age Banded Rating'!$A$97:$E$100,4,0),0))),M109)/(1-Intermediary_and_Fee)</f>
        <v>0</v>
      </c>
      <c r="N149" s="758" t="str">
        <f t="shared" si="96"/>
        <v>11 - 17</v>
      </c>
      <c r="O149" s="753">
        <f>IF(N$147="Abu Dhabi",(MAX(O109,_xlfn.IFNA(VLOOKUP(N149,'Age Banded Rating'!$A$97:$E$100,4,0),0))),O109)/(1-Intermediary_and_Fee)</f>
        <v>0</v>
      </c>
      <c r="P149" s="753">
        <f>IF(N$147="Abu Dhabi",(MAX(P109,_xlfn.IFNA(VLOOKUP(N149,'Age Banded Rating'!$A$97:$E$100,4,0),0))),P109)/(1-Intermediary_and_Fee)</f>
        <v>0</v>
      </c>
      <c r="Q149" s="758" t="str">
        <f t="shared" si="96"/>
        <v>11 - 17</v>
      </c>
      <c r="R149" s="753">
        <f>IF(Q$147="Abu Dhabi",(MAX(R109,_xlfn.IFNA(VLOOKUP(Q149,'Age Banded Rating'!$A$97:$E$100,4,0),0))),R109)/(1-Intermediary_and_Fee)</f>
        <v>0</v>
      </c>
      <c r="S149" s="753">
        <f>IF(Q$147="Abu Dhabi",(MAX(S109,_xlfn.IFNA(VLOOKUP(Q149,'Age Banded Rating'!$A$97:$E$100,4,0),0))),S109)/(1-Intermediary_and_Fee)</f>
        <v>0</v>
      </c>
      <c r="T149" s="758" t="str">
        <f t="shared" si="96"/>
        <v>11 - 17</v>
      </c>
      <c r="U149" s="753">
        <f>IF(T$147="Abu Dhabi",(MAX(U109,_xlfn.IFNA(VLOOKUP(T149,'Age Banded Rating'!$A$97:$E$100,4,0),0))),U109)/(1-Intermediary_and_Fee)</f>
        <v>0</v>
      </c>
      <c r="V149" s="753">
        <f>IF(T$147="Abu Dhabi",(MAX(V109,_xlfn.IFNA(VLOOKUP(T149,'Age Banded Rating'!$A$97:$E$100,4,0),0))),V109)/(1-Intermediary_and_Fee)</f>
        <v>0</v>
      </c>
      <c r="W149" s="758" t="str">
        <f t="shared" si="96"/>
        <v>11 - 17</v>
      </c>
      <c r="X149" s="753">
        <f>IF(W$147="Abu Dhabi",(MAX(X109,_xlfn.IFNA(VLOOKUP(W149,'Age Banded Rating'!$A$97:$E$100,4,0),0))),X109)/(1-Intermediary_and_Fee)</f>
        <v>0</v>
      </c>
      <c r="Y149" s="753">
        <f>IF(W$147="Abu Dhabi",(MAX(Y109,_xlfn.IFNA(VLOOKUP(W149,'Age Banded Rating'!$A$97:$E$100,4,0),0))),Y109)/(1-Intermediary_and_Fee)</f>
        <v>0</v>
      </c>
      <c r="Z149" s="688"/>
    </row>
    <row r="150" spans="2:26" x14ac:dyDescent="0.25">
      <c r="B150" s="758" t="str">
        <f t="shared" si="103"/>
        <v>18 - 25</v>
      </c>
      <c r="C150" s="753">
        <f ca="1">IF(B$147="Abu Dhabi",(MAX(C110,_xlfn.IFNA(VLOOKUP(B150,'Age Banded Rating'!$A$97:$E$100,4,0),0))),C110)/(1-Intermediary_and_Fee)</f>
        <v>1350.852991394881</v>
      </c>
      <c r="D150" s="753">
        <f ca="1">IF(B$147="Abu Dhabi",(MAX(D110,_xlfn.IFNA(VLOOKUP(B150,'Age Banded Rating'!$A$97:$E$100,4,0),0))),D110)/(1-Intermediary_and_Fee)</f>
        <v>1150.6842585463594</v>
      </c>
      <c r="E150" s="758" t="str">
        <f t="shared" si="96"/>
        <v>18 - 25</v>
      </c>
      <c r="F150" s="753">
        <f>IF(E$147="Abu Dhabi",(MAX(F110,_xlfn.IFNA(VLOOKUP(E150,'Age Banded Rating'!$A$97:$E$100,4,0),0))),F110)/(1-Intermediary_and_Fee)</f>
        <v>0</v>
      </c>
      <c r="G150" s="753">
        <f>IF(E$147="Abu Dhabi",(MAX(G110,_xlfn.IFNA(VLOOKUP(E150,'Age Banded Rating'!$A$97:$E$100,4,0),0))),G110)/(1-Intermediary_and_Fee)</f>
        <v>0</v>
      </c>
      <c r="H150" s="758" t="str">
        <f t="shared" si="96"/>
        <v>18 - 25</v>
      </c>
      <c r="I150" s="753">
        <f>IF(H$147="Abu Dhabi",(MAX(I110,_xlfn.IFNA(VLOOKUP(H150,'Age Banded Rating'!$A$97:$E$100,4,0),0))),I110)/(1-Intermediary_and_Fee)</f>
        <v>0</v>
      </c>
      <c r="J150" s="753">
        <f>IF(H$147="Abu Dhabi",(MAX(J110,_xlfn.IFNA(VLOOKUP(H150,'Age Banded Rating'!$A$97:$E$100,4,0),0))),J110)/(1-Intermediary_and_Fee)</f>
        <v>0</v>
      </c>
      <c r="K150" s="758" t="str">
        <f t="shared" si="96"/>
        <v>18 - 25</v>
      </c>
      <c r="L150" s="753">
        <f>IF(K$147="Abu Dhabi",(MAX(L110,_xlfn.IFNA(VLOOKUP(K150,'Age Banded Rating'!$A$97:$E$100,4,0),0))),L110)/(1-Intermediary_and_Fee)</f>
        <v>0</v>
      </c>
      <c r="M150" s="753">
        <f>IF(K$147="Abu Dhabi",(MAX(M110,_xlfn.IFNA(VLOOKUP(K150,'Age Banded Rating'!$A$97:$E$100,4,0),0))),M110)/(1-Intermediary_and_Fee)</f>
        <v>0</v>
      </c>
      <c r="N150" s="758" t="str">
        <f t="shared" si="96"/>
        <v>18 - 25</v>
      </c>
      <c r="O150" s="753">
        <f>IF(N$147="Abu Dhabi",(MAX(O110,_xlfn.IFNA(VLOOKUP(N150,'Age Banded Rating'!$A$97:$E$100,4,0),0))),O110)/(1-Intermediary_and_Fee)</f>
        <v>0</v>
      </c>
      <c r="P150" s="753">
        <f>IF(N$147="Abu Dhabi",(MAX(P110,_xlfn.IFNA(VLOOKUP(N150,'Age Banded Rating'!$A$97:$E$100,4,0),0))),P110)/(1-Intermediary_and_Fee)</f>
        <v>0</v>
      </c>
      <c r="Q150" s="758" t="str">
        <f t="shared" si="96"/>
        <v>18 - 25</v>
      </c>
      <c r="R150" s="753">
        <f>IF(Q$147="Abu Dhabi",(MAX(R110,_xlfn.IFNA(VLOOKUP(Q150,'Age Banded Rating'!$A$97:$E$100,4,0),0))),R110)/(1-Intermediary_and_Fee)</f>
        <v>0</v>
      </c>
      <c r="S150" s="753">
        <f>IF(Q$147="Abu Dhabi",(MAX(S110,_xlfn.IFNA(VLOOKUP(Q150,'Age Banded Rating'!$A$97:$E$100,4,0),0))),S110)/(1-Intermediary_and_Fee)</f>
        <v>0</v>
      </c>
      <c r="T150" s="758" t="str">
        <f t="shared" si="96"/>
        <v>18 - 25</v>
      </c>
      <c r="U150" s="753">
        <f>IF(T$147="Abu Dhabi",(MAX(U110,_xlfn.IFNA(VLOOKUP(T150,'Age Banded Rating'!$A$97:$E$100,4,0),0))),U110)/(1-Intermediary_and_Fee)</f>
        <v>0</v>
      </c>
      <c r="V150" s="753">
        <f>IF(T$147="Abu Dhabi",(MAX(V110,_xlfn.IFNA(VLOOKUP(T150,'Age Banded Rating'!$A$97:$E$100,4,0),0))),V110)/(1-Intermediary_and_Fee)</f>
        <v>0</v>
      </c>
      <c r="W150" s="758" t="str">
        <f t="shared" si="96"/>
        <v>18 - 25</v>
      </c>
      <c r="X150" s="753">
        <f>IF(W$147="Abu Dhabi",(MAX(X110,_xlfn.IFNA(VLOOKUP(W150,'Age Banded Rating'!$A$97:$E$100,4,0),0))),X110)/(1-Intermediary_and_Fee)</f>
        <v>0</v>
      </c>
      <c r="Y150" s="753">
        <f>IF(W$147="Abu Dhabi",(MAX(Y110,_xlfn.IFNA(VLOOKUP(W150,'Age Banded Rating'!$A$97:$E$100,4,0),0))),Y110)/(1-Intermediary_and_Fee)</f>
        <v>0</v>
      </c>
      <c r="Z150" s="688"/>
    </row>
    <row r="151" spans="2:26" x14ac:dyDescent="0.25">
      <c r="B151" s="758" t="str">
        <f t="shared" si="103"/>
        <v>26 - 30</v>
      </c>
      <c r="C151" s="753">
        <f ca="1">IF(B$147="Abu Dhabi",(MAX(C111,_xlfn.IFNA(VLOOKUP(B151,'Age Banded Rating'!$A$97:$E$100,4,0),0))),C111)/(1-Intermediary_and_Fee)</f>
        <v>1468.666588442868</v>
      </c>
      <c r="D151" s="753">
        <f ca="1">IF(B$147="Abu Dhabi",(MAX(D111,_xlfn.IFNA(VLOOKUP(B151,'Age Banded Rating'!$A$97:$E$100,4,0),0))),D111)/(1-Intermediary_and_Fee)</f>
        <v>1437.7834125176676</v>
      </c>
      <c r="E151" s="758" t="str">
        <f t="shared" si="96"/>
        <v>26 - 30</v>
      </c>
      <c r="F151" s="753">
        <f>IF(E$147="Abu Dhabi",(MAX(F111,_xlfn.IFNA(VLOOKUP(E151,'Age Banded Rating'!$A$97:$E$100,4,0),0))),F111)/(1-Intermediary_and_Fee)</f>
        <v>0</v>
      </c>
      <c r="G151" s="753">
        <f>IF(E$147="Abu Dhabi",(MAX(G111,_xlfn.IFNA(VLOOKUP(E151,'Age Banded Rating'!$A$97:$E$100,4,0),0))),G111)/(1-Intermediary_and_Fee)</f>
        <v>0</v>
      </c>
      <c r="H151" s="758" t="str">
        <f t="shared" si="96"/>
        <v>26 - 30</v>
      </c>
      <c r="I151" s="753">
        <f>IF(H$147="Abu Dhabi",(MAX(I111,_xlfn.IFNA(VLOOKUP(H151,'Age Banded Rating'!$A$97:$E$100,4,0),0))),I111)/(1-Intermediary_and_Fee)</f>
        <v>0</v>
      </c>
      <c r="J151" s="753">
        <f>IF(H$147="Abu Dhabi",(MAX(J111,_xlfn.IFNA(VLOOKUP(H151,'Age Banded Rating'!$A$97:$E$100,4,0),0))),J111)/(1-Intermediary_and_Fee)</f>
        <v>0</v>
      </c>
      <c r="K151" s="758" t="str">
        <f t="shared" si="96"/>
        <v>26 - 30</v>
      </c>
      <c r="L151" s="753">
        <f>IF(K$147="Abu Dhabi",(MAX(L111,_xlfn.IFNA(VLOOKUP(K151,'Age Banded Rating'!$A$97:$E$100,4,0),0))),L111)/(1-Intermediary_and_Fee)</f>
        <v>0</v>
      </c>
      <c r="M151" s="753">
        <f>IF(K$147="Abu Dhabi",(MAX(M111,_xlfn.IFNA(VLOOKUP(K151,'Age Banded Rating'!$A$97:$E$100,4,0),0))),M111)/(1-Intermediary_and_Fee)</f>
        <v>0</v>
      </c>
      <c r="N151" s="758" t="str">
        <f t="shared" si="96"/>
        <v>26 - 30</v>
      </c>
      <c r="O151" s="753">
        <f>IF(N$147="Abu Dhabi",(MAX(O111,_xlfn.IFNA(VLOOKUP(N151,'Age Banded Rating'!$A$97:$E$100,4,0),0))),O111)/(1-Intermediary_and_Fee)</f>
        <v>0</v>
      </c>
      <c r="P151" s="753">
        <f>IF(N$147="Abu Dhabi",(MAX(P111,_xlfn.IFNA(VLOOKUP(N151,'Age Banded Rating'!$A$97:$E$100,4,0),0))),P111)/(1-Intermediary_and_Fee)</f>
        <v>0</v>
      </c>
      <c r="Q151" s="758" t="str">
        <f t="shared" si="96"/>
        <v>26 - 30</v>
      </c>
      <c r="R151" s="753">
        <f>IF(Q$147="Abu Dhabi",(MAX(R111,_xlfn.IFNA(VLOOKUP(Q151,'Age Banded Rating'!$A$97:$E$100,4,0),0))),R111)/(1-Intermediary_and_Fee)</f>
        <v>0</v>
      </c>
      <c r="S151" s="753">
        <f>IF(Q$147="Abu Dhabi",(MAX(S111,_xlfn.IFNA(VLOOKUP(Q151,'Age Banded Rating'!$A$97:$E$100,4,0),0))),S111)/(1-Intermediary_and_Fee)</f>
        <v>0</v>
      </c>
      <c r="T151" s="758" t="str">
        <f t="shared" si="96"/>
        <v>26 - 30</v>
      </c>
      <c r="U151" s="753">
        <f>IF(T$147="Abu Dhabi",(MAX(U111,_xlfn.IFNA(VLOOKUP(T151,'Age Banded Rating'!$A$97:$E$100,4,0),0))),U111)/(1-Intermediary_and_Fee)</f>
        <v>0</v>
      </c>
      <c r="V151" s="753">
        <f>IF(T$147="Abu Dhabi",(MAX(V111,_xlfn.IFNA(VLOOKUP(T151,'Age Banded Rating'!$A$97:$E$100,4,0),0))),V111)/(1-Intermediary_and_Fee)</f>
        <v>0</v>
      </c>
      <c r="W151" s="758" t="str">
        <f t="shared" si="96"/>
        <v>26 - 30</v>
      </c>
      <c r="X151" s="753">
        <f>IF(W$147="Abu Dhabi",(MAX(X111,_xlfn.IFNA(VLOOKUP(W151,'Age Banded Rating'!$A$97:$E$100,4,0),0))),X111)/(1-Intermediary_and_Fee)</f>
        <v>0</v>
      </c>
      <c r="Y151" s="753">
        <f>IF(W$147="Abu Dhabi",(MAX(Y111,_xlfn.IFNA(VLOOKUP(W151,'Age Banded Rating'!$A$97:$E$100,4,0),0))),Y111)/(1-Intermediary_and_Fee)</f>
        <v>0</v>
      </c>
      <c r="Z151" s="688"/>
    </row>
    <row r="152" spans="2:26" x14ac:dyDescent="0.25">
      <c r="B152" s="758" t="str">
        <f t="shared" si="103"/>
        <v>31 - 35</v>
      </c>
      <c r="C152" s="753">
        <f ca="1">IF(B$147="Abu Dhabi",(MAX(C112,_xlfn.IFNA(VLOOKUP(B152,'Age Banded Rating'!$A$97:$E$100,4,0),0))),C112)/(1-Intermediary_and_Fee)</f>
        <v>1774.0668837031842</v>
      </c>
      <c r="D152" s="753">
        <f ca="1">IF(B$147="Abu Dhabi",(MAX(D112,_xlfn.IFNA(VLOOKUP(B152,'Age Banded Rating'!$A$97:$E$100,4,0),0))),D112)/(1-Intermediary_and_Fee)</f>
        <v>1723.7387451584129</v>
      </c>
      <c r="E152" s="758" t="str">
        <f t="shared" si="96"/>
        <v>31 - 35</v>
      </c>
      <c r="F152" s="753">
        <f>IF(E$147="Abu Dhabi",(MAX(F112,_xlfn.IFNA(VLOOKUP(E152,'Age Banded Rating'!$A$97:$E$100,4,0),0))),F112)/(1-Intermediary_and_Fee)</f>
        <v>0</v>
      </c>
      <c r="G152" s="753">
        <f>IF(E$147="Abu Dhabi",(MAX(G112,_xlfn.IFNA(VLOOKUP(E152,'Age Banded Rating'!$A$97:$E$100,4,0),0))),G112)/(1-Intermediary_and_Fee)</f>
        <v>0</v>
      </c>
      <c r="H152" s="758" t="str">
        <f t="shared" si="96"/>
        <v>31 - 35</v>
      </c>
      <c r="I152" s="753">
        <f>IF(H$147="Abu Dhabi",(MAX(I112,_xlfn.IFNA(VLOOKUP(H152,'Age Banded Rating'!$A$97:$E$100,4,0),0))),I112)/(1-Intermediary_and_Fee)</f>
        <v>0</v>
      </c>
      <c r="J152" s="753">
        <f>IF(H$147="Abu Dhabi",(MAX(J112,_xlfn.IFNA(VLOOKUP(H152,'Age Banded Rating'!$A$97:$E$100,4,0),0))),J112)/(1-Intermediary_and_Fee)</f>
        <v>0</v>
      </c>
      <c r="K152" s="758" t="str">
        <f t="shared" si="96"/>
        <v>31 - 35</v>
      </c>
      <c r="L152" s="753">
        <f>IF(K$147="Abu Dhabi",(MAX(L112,_xlfn.IFNA(VLOOKUP(K152,'Age Banded Rating'!$A$97:$E$100,4,0),0))),L112)/(1-Intermediary_and_Fee)</f>
        <v>0</v>
      </c>
      <c r="M152" s="753">
        <f>IF(K$147="Abu Dhabi",(MAX(M112,_xlfn.IFNA(VLOOKUP(K152,'Age Banded Rating'!$A$97:$E$100,4,0),0))),M112)/(1-Intermediary_and_Fee)</f>
        <v>0</v>
      </c>
      <c r="N152" s="758" t="str">
        <f t="shared" si="96"/>
        <v>31 - 35</v>
      </c>
      <c r="O152" s="753">
        <f>IF(N$147="Abu Dhabi",(MAX(O112,_xlfn.IFNA(VLOOKUP(N152,'Age Banded Rating'!$A$97:$E$100,4,0),0))),O112)/(1-Intermediary_and_Fee)</f>
        <v>0</v>
      </c>
      <c r="P152" s="753">
        <f>IF(N$147="Abu Dhabi",(MAX(P112,_xlfn.IFNA(VLOOKUP(N152,'Age Banded Rating'!$A$97:$E$100,4,0),0))),P112)/(1-Intermediary_and_Fee)</f>
        <v>0</v>
      </c>
      <c r="Q152" s="758" t="str">
        <f t="shared" si="96"/>
        <v>31 - 35</v>
      </c>
      <c r="R152" s="753">
        <f>IF(Q$147="Abu Dhabi",(MAX(R112,_xlfn.IFNA(VLOOKUP(Q152,'Age Banded Rating'!$A$97:$E$100,4,0),0))),R112)/(1-Intermediary_and_Fee)</f>
        <v>0</v>
      </c>
      <c r="S152" s="753">
        <f>IF(Q$147="Abu Dhabi",(MAX(S112,_xlfn.IFNA(VLOOKUP(Q152,'Age Banded Rating'!$A$97:$E$100,4,0),0))),S112)/(1-Intermediary_and_Fee)</f>
        <v>0</v>
      </c>
      <c r="T152" s="758" t="str">
        <f t="shared" si="96"/>
        <v>31 - 35</v>
      </c>
      <c r="U152" s="753">
        <f>IF(T$147="Abu Dhabi",(MAX(U112,_xlfn.IFNA(VLOOKUP(T152,'Age Banded Rating'!$A$97:$E$100,4,0),0))),U112)/(1-Intermediary_and_Fee)</f>
        <v>0</v>
      </c>
      <c r="V152" s="753">
        <f>IF(T$147="Abu Dhabi",(MAX(V112,_xlfn.IFNA(VLOOKUP(T152,'Age Banded Rating'!$A$97:$E$100,4,0),0))),V112)/(1-Intermediary_and_Fee)</f>
        <v>0</v>
      </c>
      <c r="W152" s="758" t="str">
        <f t="shared" si="96"/>
        <v>31 - 35</v>
      </c>
      <c r="X152" s="753">
        <f>IF(W$147="Abu Dhabi",(MAX(X112,_xlfn.IFNA(VLOOKUP(W152,'Age Banded Rating'!$A$97:$E$100,4,0),0))),X112)/(1-Intermediary_and_Fee)</f>
        <v>0</v>
      </c>
      <c r="Y152" s="753">
        <f>IF(W$147="Abu Dhabi",(MAX(Y112,_xlfn.IFNA(VLOOKUP(W152,'Age Banded Rating'!$A$97:$E$100,4,0),0))),Y112)/(1-Intermediary_and_Fee)</f>
        <v>0</v>
      </c>
      <c r="Z152" s="688"/>
    </row>
    <row r="153" spans="2:26" x14ac:dyDescent="0.25">
      <c r="B153" s="758" t="str">
        <f t="shared" si="103"/>
        <v>36 - 40</v>
      </c>
      <c r="C153" s="753">
        <f ca="1">IF(B$147="Abu Dhabi",(MAX(C113,_xlfn.IFNA(VLOOKUP(B153,'Age Banded Rating'!$A$97:$E$100,4,0),0))),C113)/(1-Intermediary_and_Fee)</f>
        <v>2191.5616693586726</v>
      </c>
      <c r="D153" s="753">
        <f ca="1">IF(B$147="Abu Dhabi",(MAX(D113,_xlfn.IFNA(VLOOKUP(B153,'Age Banded Rating'!$A$97:$E$100,4,0),0))),D113)/(1-Intermediary_and_Fee)</f>
        <v>2158.3908507723459</v>
      </c>
      <c r="E153" s="758" t="str">
        <f t="shared" si="96"/>
        <v>36 - 40</v>
      </c>
      <c r="F153" s="753">
        <f>IF(E$147="Abu Dhabi",(MAX(F113,_xlfn.IFNA(VLOOKUP(E153,'Age Banded Rating'!$A$97:$E$100,4,0),0))),F113)/(1-Intermediary_and_Fee)</f>
        <v>0</v>
      </c>
      <c r="G153" s="753">
        <f>IF(E$147="Abu Dhabi",(MAX(G113,_xlfn.IFNA(VLOOKUP(E153,'Age Banded Rating'!$A$97:$E$100,4,0),0))),G113)/(1-Intermediary_and_Fee)</f>
        <v>0</v>
      </c>
      <c r="H153" s="758" t="str">
        <f t="shared" si="96"/>
        <v>36 - 40</v>
      </c>
      <c r="I153" s="753">
        <f>IF(H$147="Abu Dhabi",(MAX(I113,_xlfn.IFNA(VLOOKUP(H153,'Age Banded Rating'!$A$97:$E$100,4,0),0))),I113)/(1-Intermediary_and_Fee)</f>
        <v>0</v>
      </c>
      <c r="J153" s="753">
        <f>IF(H$147="Abu Dhabi",(MAX(J113,_xlfn.IFNA(VLOOKUP(H153,'Age Banded Rating'!$A$97:$E$100,4,0),0))),J113)/(1-Intermediary_and_Fee)</f>
        <v>0</v>
      </c>
      <c r="K153" s="758" t="str">
        <f t="shared" si="96"/>
        <v>36 - 40</v>
      </c>
      <c r="L153" s="753">
        <f>IF(K$147="Abu Dhabi",(MAX(L113,_xlfn.IFNA(VLOOKUP(K153,'Age Banded Rating'!$A$97:$E$100,4,0),0))),L113)/(1-Intermediary_and_Fee)</f>
        <v>0</v>
      </c>
      <c r="M153" s="753">
        <f>IF(K$147="Abu Dhabi",(MAX(M113,_xlfn.IFNA(VLOOKUP(K153,'Age Banded Rating'!$A$97:$E$100,4,0),0))),M113)/(1-Intermediary_and_Fee)</f>
        <v>0</v>
      </c>
      <c r="N153" s="758" t="str">
        <f t="shared" si="96"/>
        <v>36 - 40</v>
      </c>
      <c r="O153" s="753">
        <f>IF(N$147="Abu Dhabi",(MAX(O113,_xlfn.IFNA(VLOOKUP(N153,'Age Banded Rating'!$A$97:$E$100,4,0),0))),O113)/(1-Intermediary_and_Fee)</f>
        <v>0</v>
      </c>
      <c r="P153" s="753">
        <f>IF(N$147="Abu Dhabi",(MAX(P113,_xlfn.IFNA(VLOOKUP(N153,'Age Banded Rating'!$A$97:$E$100,4,0),0))),P113)/(1-Intermediary_and_Fee)</f>
        <v>0</v>
      </c>
      <c r="Q153" s="758" t="str">
        <f t="shared" si="96"/>
        <v>36 - 40</v>
      </c>
      <c r="R153" s="753">
        <f>IF(Q$147="Abu Dhabi",(MAX(R113,_xlfn.IFNA(VLOOKUP(Q153,'Age Banded Rating'!$A$97:$E$100,4,0),0))),R113)/(1-Intermediary_and_Fee)</f>
        <v>0</v>
      </c>
      <c r="S153" s="753">
        <f>IF(Q$147="Abu Dhabi",(MAX(S113,_xlfn.IFNA(VLOOKUP(Q153,'Age Banded Rating'!$A$97:$E$100,4,0),0))),S113)/(1-Intermediary_and_Fee)</f>
        <v>0</v>
      </c>
      <c r="T153" s="758" t="str">
        <f t="shared" si="96"/>
        <v>36 - 40</v>
      </c>
      <c r="U153" s="753">
        <f>IF(T$147="Abu Dhabi",(MAX(U113,_xlfn.IFNA(VLOOKUP(T153,'Age Banded Rating'!$A$97:$E$100,4,0),0))),U113)/(1-Intermediary_and_Fee)</f>
        <v>0</v>
      </c>
      <c r="V153" s="753">
        <f>IF(T$147="Abu Dhabi",(MAX(V113,_xlfn.IFNA(VLOOKUP(T153,'Age Banded Rating'!$A$97:$E$100,4,0),0))),V113)/(1-Intermediary_and_Fee)</f>
        <v>0</v>
      </c>
      <c r="W153" s="758" t="str">
        <f t="shared" si="96"/>
        <v>36 - 40</v>
      </c>
      <c r="X153" s="753">
        <f>IF(W$147="Abu Dhabi",(MAX(X113,_xlfn.IFNA(VLOOKUP(W153,'Age Banded Rating'!$A$97:$E$100,4,0),0))),X113)/(1-Intermediary_and_Fee)</f>
        <v>0</v>
      </c>
      <c r="Y153" s="753">
        <f>IF(W$147="Abu Dhabi",(MAX(Y113,_xlfn.IFNA(VLOOKUP(W153,'Age Banded Rating'!$A$97:$E$100,4,0),0))),Y113)/(1-Intermediary_and_Fee)</f>
        <v>0</v>
      </c>
      <c r="Z153" s="688"/>
    </row>
    <row r="154" spans="2:26" x14ac:dyDescent="0.25">
      <c r="B154" s="758" t="str">
        <f t="shared" si="103"/>
        <v>41 - 45</v>
      </c>
      <c r="C154" s="753">
        <f ca="1">IF(B$147="Abu Dhabi",(MAX(C114,_xlfn.IFNA(VLOOKUP(B154,'Age Banded Rating'!$A$97:$E$100,4,0),0))),C114)/(1-Intermediary_and_Fee)</f>
        <v>2571.3103511055824</v>
      </c>
      <c r="D154" s="753">
        <f ca="1">IF(B$147="Abu Dhabi",(MAX(D114,_xlfn.IFNA(VLOOKUP(B154,'Age Banded Rating'!$A$97:$E$100,4,0),0))),D114)/(1-Intermediary_and_Fee)</f>
        <v>2774.910547945793</v>
      </c>
      <c r="E154" s="758" t="str">
        <f t="shared" si="96"/>
        <v>41 - 45</v>
      </c>
      <c r="F154" s="753">
        <f>IF(E$147="Abu Dhabi",(MAX(F114,_xlfn.IFNA(VLOOKUP(E154,'Age Banded Rating'!$A$97:$E$100,4,0),0))),F114)/(1-Intermediary_and_Fee)</f>
        <v>0</v>
      </c>
      <c r="G154" s="753">
        <f>IF(E$147="Abu Dhabi",(MAX(G114,_xlfn.IFNA(VLOOKUP(E154,'Age Banded Rating'!$A$97:$E$100,4,0),0))),G114)/(1-Intermediary_and_Fee)</f>
        <v>0</v>
      </c>
      <c r="H154" s="758" t="str">
        <f t="shared" si="96"/>
        <v>41 - 45</v>
      </c>
      <c r="I154" s="753">
        <f>IF(H$147="Abu Dhabi",(MAX(I114,_xlfn.IFNA(VLOOKUP(H154,'Age Banded Rating'!$A$97:$E$100,4,0),0))),I114)/(1-Intermediary_and_Fee)</f>
        <v>0</v>
      </c>
      <c r="J154" s="753">
        <f>IF(H$147="Abu Dhabi",(MAX(J114,_xlfn.IFNA(VLOOKUP(H154,'Age Banded Rating'!$A$97:$E$100,4,0),0))),J114)/(1-Intermediary_and_Fee)</f>
        <v>0</v>
      </c>
      <c r="K154" s="758" t="str">
        <f t="shared" si="96"/>
        <v>41 - 45</v>
      </c>
      <c r="L154" s="753">
        <f>IF(K$147="Abu Dhabi",(MAX(L114,_xlfn.IFNA(VLOOKUP(K154,'Age Banded Rating'!$A$97:$E$100,4,0),0))),L114)/(1-Intermediary_and_Fee)</f>
        <v>0</v>
      </c>
      <c r="M154" s="753">
        <f>IF(K$147="Abu Dhabi",(MAX(M114,_xlfn.IFNA(VLOOKUP(K154,'Age Banded Rating'!$A$97:$E$100,4,0),0))),M114)/(1-Intermediary_and_Fee)</f>
        <v>0</v>
      </c>
      <c r="N154" s="758" t="str">
        <f t="shared" si="96"/>
        <v>41 - 45</v>
      </c>
      <c r="O154" s="753">
        <f>IF(N$147="Abu Dhabi",(MAX(O114,_xlfn.IFNA(VLOOKUP(N154,'Age Banded Rating'!$A$97:$E$100,4,0),0))),O114)/(1-Intermediary_and_Fee)</f>
        <v>0</v>
      </c>
      <c r="P154" s="753">
        <f>IF(N$147="Abu Dhabi",(MAX(P114,_xlfn.IFNA(VLOOKUP(N154,'Age Banded Rating'!$A$97:$E$100,4,0),0))),P114)/(1-Intermediary_and_Fee)</f>
        <v>0</v>
      </c>
      <c r="Q154" s="758" t="str">
        <f t="shared" si="96"/>
        <v>41 - 45</v>
      </c>
      <c r="R154" s="753">
        <f>IF(Q$147="Abu Dhabi",(MAX(R114,_xlfn.IFNA(VLOOKUP(Q154,'Age Banded Rating'!$A$97:$E$100,4,0),0))),R114)/(1-Intermediary_and_Fee)</f>
        <v>0</v>
      </c>
      <c r="S154" s="753">
        <f>IF(Q$147="Abu Dhabi",(MAX(S114,_xlfn.IFNA(VLOOKUP(Q154,'Age Banded Rating'!$A$97:$E$100,4,0),0))),S114)/(1-Intermediary_and_Fee)</f>
        <v>0</v>
      </c>
      <c r="T154" s="758" t="str">
        <f t="shared" si="96"/>
        <v>41 - 45</v>
      </c>
      <c r="U154" s="753">
        <f>IF(T$147="Abu Dhabi",(MAX(U114,_xlfn.IFNA(VLOOKUP(T154,'Age Banded Rating'!$A$97:$E$100,4,0),0))),U114)/(1-Intermediary_and_Fee)</f>
        <v>0</v>
      </c>
      <c r="V154" s="753">
        <f>IF(T$147="Abu Dhabi",(MAX(V114,_xlfn.IFNA(VLOOKUP(T154,'Age Banded Rating'!$A$97:$E$100,4,0),0))),V114)/(1-Intermediary_and_Fee)</f>
        <v>0</v>
      </c>
      <c r="W154" s="758" t="str">
        <f t="shared" si="96"/>
        <v>41 - 45</v>
      </c>
      <c r="X154" s="753">
        <f>IF(W$147="Abu Dhabi",(MAX(X114,_xlfn.IFNA(VLOOKUP(W154,'Age Banded Rating'!$A$97:$E$100,4,0),0))),X114)/(1-Intermediary_and_Fee)</f>
        <v>0</v>
      </c>
      <c r="Y154" s="753">
        <f>IF(W$147="Abu Dhabi",(MAX(Y114,_xlfn.IFNA(VLOOKUP(W154,'Age Banded Rating'!$A$97:$E$100,4,0),0))),Y114)/(1-Intermediary_and_Fee)</f>
        <v>0</v>
      </c>
      <c r="Z154" s="688"/>
    </row>
    <row r="155" spans="2:26" x14ac:dyDescent="0.25">
      <c r="B155" s="758" t="str">
        <f t="shared" si="103"/>
        <v>46 - 50</v>
      </c>
      <c r="C155" s="753">
        <f ca="1">IF(B$147="Abu Dhabi",(MAX(C115,_xlfn.IFNA(VLOOKUP(B155,'Age Banded Rating'!$A$97:$E$100,4,0),0))),C115)/(1-Intermediary_and_Fee)</f>
        <v>3361.6908905246023</v>
      </c>
      <c r="D155" s="753">
        <f ca="1">IF(B$147="Abu Dhabi",(MAX(D115,_xlfn.IFNA(VLOOKUP(B155,'Age Banded Rating'!$A$97:$E$100,4,0),0))),D115)/(1-Intermediary_and_Fee)</f>
        <v>3477.2168449114633</v>
      </c>
      <c r="E155" s="758" t="str">
        <f t="shared" si="96"/>
        <v>46 - 50</v>
      </c>
      <c r="F155" s="753">
        <f>IF(E$147="Abu Dhabi",(MAX(F115,_xlfn.IFNA(VLOOKUP(E155,'Age Banded Rating'!$A$97:$E$100,4,0),0))),F115)/(1-Intermediary_and_Fee)</f>
        <v>0</v>
      </c>
      <c r="G155" s="753">
        <f>IF(E$147="Abu Dhabi",(MAX(G115,_xlfn.IFNA(VLOOKUP(E155,'Age Banded Rating'!$A$97:$E$100,4,0),0))),G115)/(1-Intermediary_and_Fee)</f>
        <v>0</v>
      </c>
      <c r="H155" s="758" t="str">
        <f t="shared" si="96"/>
        <v>46 - 50</v>
      </c>
      <c r="I155" s="753">
        <f>IF(H$147="Abu Dhabi",(MAX(I115,_xlfn.IFNA(VLOOKUP(H155,'Age Banded Rating'!$A$97:$E$100,4,0),0))),I115)/(1-Intermediary_and_Fee)</f>
        <v>0</v>
      </c>
      <c r="J155" s="753">
        <f>IF(H$147="Abu Dhabi",(MAX(J115,_xlfn.IFNA(VLOOKUP(H155,'Age Banded Rating'!$A$97:$E$100,4,0),0))),J115)/(1-Intermediary_and_Fee)</f>
        <v>0</v>
      </c>
      <c r="K155" s="758" t="str">
        <f t="shared" si="96"/>
        <v>46 - 50</v>
      </c>
      <c r="L155" s="753">
        <f>IF(K$147="Abu Dhabi",(MAX(L115,_xlfn.IFNA(VLOOKUP(K155,'Age Banded Rating'!$A$97:$E$100,4,0),0))),L115)/(1-Intermediary_and_Fee)</f>
        <v>0</v>
      </c>
      <c r="M155" s="753">
        <f>IF(K$147="Abu Dhabi",(MAX(M115,_xlfn.IFNA(VLOOKUP(K155,'Age Banded Rating'!$A$97:$E$100,4,0),0))),M115)/(1-Intermediary_and_Fee)</f>
        <v>0</v>
      </c>
      <c r="N155" s="758" t="str">
        <f t="shared" si="96"/>
        <v>46 - 50</v>
      </c>
      <c r="O155" s="753">
        <f>IF(N$147="Abu Dhabi",(MAX(O115,_xlfn.IFNA(VLOOKUP(N155,'Age Banded Rating'!$A$97:$E$100,4,0),0))),O115)/(1-Intermediary_and_Fee)</f>
        <v>0</v>
      </c>
      <c r="P155" s="753">
        <f>IF(N$147="Abu Dhabi",(MAX(P115,_xlfn.IFNA(VLOOKUP(N155,'Age Banded Rating'!$A$97:$E$100,4,0),0))),P115)/(1-Intermediary_and_Fee)</f>
        <v>0</v>
      </c>
      <c r="Q155" s="758" t="str">
        <f t="shared" si="96"/>
        <v>46 - 50</v>
      </c>
      <c r="R155" s="753">
        <f>IF(Q$147="Abu Dhabi",(MAX(R115,_xlfn.IFNA(VLOOKUP(Q155,'Age Banded Rating'!$A$97:$E$100,4,0),0))),R115)/(1-Intermediary_and_Fee)</f>
        <v>0</v>
      </c>
      <c r="S155" s="753">
        <f>IF(Q$147="Abu Dhabi",(MAX(S115,_xlfn.IFNA(VLOOKUP(Q155,'Age Banded Rating'!$A$97:$E$100,4,0),0))),S115)/(1-Intermediary_and_Fee)</f>
        <v>0</v>
      </c>
      <c r="T155" s="758" t="str">
        <f t="shared" si="96"/>
        <v>46 - 50</v>
      </c>
      <c r="U155" s="753">
        <f>IF(T$147="Abu Dhabi",(MAX(U115,_xlfn.IFNA(VLOOKUP(T155,'Age Banded Rating'!$A$97:$E$100,4,0),0))),U115)/(1-Intermediary_and_Fee)</f>
        <v>0</v>
      </c>
      <c r="V155" s="753">
        <f>IF(T$147="Abu Dhabi",(MAX(V115,_xlfn.IFNA(VLOOKUP(T155,'Age Banded Rating'!$A$97:$E$100,4,0),0))),V115)/(1-Intermediary_and_Fee)</f>
        <v>0</v>
      </c>
      <c r="W155" s="758" t="str">
        <f t="shared" si="96"/>
        <v>46 - 50</v>
      </c>
      <c r="X155" s="753">
        <f>IF(W$147="Abu Dhabi",(MAX(X115,_xlfn.IFNA(VLOOKUP(W155,'Age Banded Rating'!$A$97:$E$100,4,0),0))),X115)/(1-Intermediary_and_Fee)</f>
        <v>0</v>
      </c>
      <c r="Y155" s="753">
        <f>IF(W$147="Abu Dhabi",(MAX(Y115,_xlfn.IFNA(VLOOKUP(W155,'Age Banded Rating'!$A$97:$E$100,4,0),0))),Y115)/(1-Intermediary_and_Fee)</f>
        <v>0</v>
      </c>
      <c r="Z155" s="688"/>
    </row>
    <row r="156" spans="2:26" x14ac:dyDescent="0.25">
      <c r="B156" s="758" t="str">
        <f t="shared" si="103"/>
        <v>51 - 55</v>
      </c>
      <c r="C156" s="753">
        <f ca="1">IF(B$147="Abu Dhabi",(MAX(C116,_xlfn.IFNA(VLOOKUP(B156,'Age Banded Rating'!$A$97:$E$100,4,0),0))),C116)/(1-Intermediary_and_Fee)</f>
        <v>4505.5122210875834</v>
      </c>
      <c r="D156" s="753">
        <f ca="1">IF(B$147="Abu Dhabi",(MAX(D116,_xlfn.IFNA(VLOOKUP(B156,'Age Banded Rating'!$A$97:$E$100,4,0),0))),D116)/(1-Intermediary_and_Fee)</f>
        <v>4591.298820879807</v>
      </c>
      <c r="E156" s="758" t="str">
        <f t="shared" si="96"/>
        <v>51 - 55</v>
      </c>
      <c r="F156" s="753">
        <f>IF(E$147="Abu Dhabi",(MAX(F116,_xlfn.IFNA(VLOOKUP(E156,'Age Banded Rating'!$A$97:$E$100,4,0),0))),F116)/(1-Intermediary_and_Fee)</f>
        <v>0</v>
      </c>
      <c r="G156" s="753">
        <f>IF(E$147="Abu Dhabi",(MAX(G116,_xlfn.IFNA(VLOOKUP(E156,'Age Banded Rating'!$A$97:$E$100,4,0),0))),G116)/(1-Intermediary_and_Fee)</f>
        <v>0</v>
      </c>
      <c r="H156" s="758" t="str">
        <f t="shared" si="96"/>
        <v>51 - 55</v>
      </c>
      <c r="I156" s="753">
        <f>IF(H$147="Abu Dhabi",(MAX(I116,_xlfn.IFNA(VLOOKUP(H156,'Age Banded Rating'!$A$97:$E$100,4,0),0))),I116)/(1-Intermediary_and_Fee)</f>
        <v>0</v>
      </c>
      <c r="J156" s="753">
        <f>IF(H$147="Abu Dhabi",(MAX(J116,_xlfn.IFNA(VLOOKUP(H156,'Age Banded Rating'!$A$97:$E$100,4,0),0))),J116)/(1-Intermediary_and_Fee)</f>
        <v>0</v>
      </c>
      <c r="K156" s="758" t="str">
        <f t="shared" si="96"/>
        <v>51 - 55</v>
      </c>
      <c r="L156" s="753">
        <f>IF(K$147="Abu Dhabi",(MAX(L116,_xlfn.IFNA(VLOOKUP(K156,'Age Banded Rating'!$A$97:$E$100,4,0),0))),L116)/(1-Intermediary_and_Fee)</f>
        <v>0</v>
      </c>
      <c r="M156" s="753">
        <f>IF(K$147="Abu Dhabi",(MAX(M116,_xlfn.IFNA(VLOOKUP(K156,'Age Banded Rating'!$A$97:$E$100,4,0),0))),M116)/(1-Intermediary_and_Fee)</f>
        <v>0</v>
      </c>
      <c r="N156" s="758" t="str">
        <f t="shared" si="96"/>
        <v>51 - 55</v>
      </c>
      <c r="O156" s="753">
        <f>IF(N$147="Abu Dhabi",(MAX(O116,_xlfn.IFNA(VLOOKUP(N156,'Age Banded Rating'!$A$97:$E$100,4,0),0))),O116)/(1-Intermediary_and_Fee)</f>
        <v>0</v>
      </c>
      <c r="P156" s="753">
        <f>IF(N$147="Abu Dhabi",(MAX(P116,_xlfn.IFNA(VLOOKUP(N156,'Age Banded Rating'!$A$97:$E$100,4,0),0))),P116)/(1-Intermediary_and_Fee)</f>
        <v>0</v>
      </c>
      <c r="Q156" s="758" t="str">
        <f t="shared" si="96"/>
        <v>51 - 55</v>
      </c>
      <c r="R156" s="753">
        <f>IF(Q$147="Abu Dhabi",(MAX(R116,_xlfn.IFNA(VLOOKUP(Q156,'Age Banded Rating'!$A$97:$E$100,4,0),0))),R116)/(1-Intermediary_and_Fee)</f>
        <v>0</v>
      </c>
      <c r="S156" s="753">
        <f>IF(Q$147="Abu Dhabi",(MAX(S116,_xlfn.IFNA(VLOOKUP(Q156,'Age Banded Rating'!$A$97:$E$100,4,0),0))),S116)/(1-Intermediary_and_Fee)</f>
        <v>0</v>
      </c>
      <c r="T156" s="758" t="str">
        <f t="shared" si="96"/>
        <v>51 - 55</v>
      </c>
      <c r="U156" s="753">
        <f>IF(T$147="Abu Dhabi",(MAX(U116,_xlfn.IFNA(VLOOKUP(T156,'Age Banded Rating'!$A$97:$E$100,4,0),0))),U116)/(1-Intermediary_and_Fee)</f>
        <v>0</v>
      </c>
      <c r="V156" s="753">
        <f>IF(T$147="Abu Dhabi",(MAX(V116,_xlfn.IFNA(VLOOKUP(T156,'Age Banded Rating'!$A$97:$E$100,4,0),0))),V116)/(1-Intermediary_and_Fee)</f>
        <v>0</v>
      </c>
      <c r="W156" s="758" t="str">
        <f t="shared" si="96"/>
        <v>51 - 55</v>
      </c>
      <c r="X156" s="753">
        <f>IF(W$147="Abu Dhabi",(MAX(X116,_xlfn.IFNA(VLOOKUP(W156,'Age Banded Rating'!$A$97:$E$100,4,0),0))),X116)/(1-Intermediary_and_Fee)</f>
        <v>0</v>
      </c>
      <c r="Y156" s="753">
        <f>IF(W$147="Abu Dhabi",(MAX(Y116,_xlfn.IFNA(VLOOKUP(W156,'Age Banded Rating'!$A$97:$E$100,4,0),0))),Y116)/(1-Intermediary_and_Fee)</f>
        <v>0</v>
      </c>
      <c r="Z156" s="688"/>
    </row>
    <row r="157" spans="2:26" x14ac:dyDescent="0.25">
      <c r="B157" s="758" t="str">
        <f t="shared" si="103"/>
        <v>56 - 59</v>
      </c>
      <c r="C157" s="753">
        <f ca="1">IF(B$147="Abu Dhabi",(MAX(C117,_xlfn.IFNA(VLOOKUP(B157,'Age Banded Rating'!$A$97:$E$100,4,0),0))),C117)/(1-Intermediary_and_Fee)</f>
        <v>6130.8823318175801</v>
      </c>
      <c r="D157" s="753">
        <f ca="1">IF(B$147="Abu Dhabi",(MAX(D117,_xlfn.IFNA(VLOOKUP(B157,'Age Banded Rating'!$A$97:$E$100,4,0),0))),D117)/(1-Intermediary_and_Fee)</f>
        <v>5620.7380183864907</v>
      </c>
      <c r="E157" s="758" t="str">
        <f t="shared" si="96"/>
        <v>56 - 59</v>
      </c>
      <c r="F157" s="753">
        <f>IF(E$147="Abu Dhabi",(MAX(F117,_xlfn.IFNA(VLOOKUP(E157,'Age Banded Rating'!$A$97:$E$100,4,0),0))),F117)/(1-Intermediary_and_Fee)</f>
        <v>0</v>
      </c>
      <c r="G157" s="753">
        <f>IF(E$147="Abu Dhabi",(MAX(G117,_xlfn.IFNA(VLOOKUP(E157,'Age Banded Rating'!$A$97:$E$100,4,0),0))),G117)/(1-Intermediary_and_Fee)</f>
        <v>0</v>
      </c>
      <c r="H157" s="758" t="str">
        <f t="shared" si="96"/>
        <v>56 - 59</v>
      </c>
      <c r="I157" s="753">
        <f>IF(H$147="Abu Dhabi",(MAX(I117,_xlfn.IFNA(VLOOKUP(H157,'Age Banded Rating'!$A$97:$E$100,4,0),0))),I117)/(1-Intermediary_and_Fee)</f>
        <v>0</v>
      </c>
      <c r="J157" s="753">
        <f>IF(H$147="Abu Dhabi",(MAX(J117,_xlfn.IFNA(VLOOKUP(H157,'Age Banded Rating'!$A$97:$E$100,4,0),0))),J117)/(1-Intermediary_and_Fee)</f>
        <v>0</v>
      </c>
      <c r="K157" s="758" t="str">
        <f t="shared" si="96"/>
        <v>56 - 59</v>
      </c>
      <c r="L157" s="753">
        <f>IF(K$147="Abu Dhabi",(MAX(L117,_xlfn.IFNA(VLOOKUP(K157,'Age Banded Rating'!$A$97:$E$100,4,0),0))),L117)/(1-Intermediary_and_Fee)</f>
        <v>0</v>
      </c>
      <c r="M157" s="753">
        <f>IF(K$147="Abu Dhabi",(MAX(M117,_xlfn.IFNA(VLOOKUP(K157,'Age Banded Rating'!$A$97:$E$100,4,0),0))),M117)/(1-Intermediary_and_Fee)</f>
        <v>0</v>
      </c>
      <c r="N157" s="758" t="str">
        <f t="shared" si="96"/>
        <v>56 - 59</v>
      </c>
      <c r="O157" s="753">
        <f>IF(N$147="Abu Dhabi",(MAX(O117,_xlfn.IFNA(VLOOKUP(N157,'Age Banded Rating'!$A$97:$E$100,4,0),0))),O117)/(1-Intermediary_and_Fee)</f>
        <v>0</v>
      </c>
      <c r="P157" s="753">
        <f>IF(N$147="Abu Dhabi",(MAX(P117,_xlfn.IFNA(VLOOKUP(N157,'Age Banded Rating'!$A$97:$E$100,4,0),0))),P117)/(1-Intermediary_and_Fee)</f>
        <v>0</v>
      </c>
      <c r="Q157" s="758" t="str">
        <f t="shared" si="96"/>
        <v>56 - 59</v>
      </c>
      <c r="R157" s="753">
        <f>IF(Q$147="Abu Dhabi",(MAX(R117,_xlfn.IFNA(VLOOKUP(Q157,'Age Banded Rating'!$A$97:$E$100,4,0),0))),R117)/(1-Intermediary_and_Fee)</f>
        <v>0</v>
      </c>
      <c r="S157" s="753">
        <f>IF(Q$147="Abu Dhabi",(MAX(S117,_xlfn.IFNA(VLOOKUP(Q157,'Age Banded Rating'!$A$97:$E$100,4,0),0))),S117)/(1-Intermediary_and_Fee)</f>
        <v>0</v>
      </c>
      <c r="T157" s="758" t="str">
        <f t="shared" si="96"/>
        <v>56 - 59</v>
      </c>
      <c r="U157" s="753">
        <f>IF(T$147="Abu Dhabi",(MAX(U117,_xlfn.IFNA(VLOOKUP(T157,'Age Banded Rating'!$A$97:$E$100,4,0),0))),U117)/(1-Intermediary_and_Fee)</f>
        <v>0</v>
      </c>
      <c r="V157" s="753">
        <f>IF(T$147="Abu Dhabi",(MAX(V117,_xlfn.IFNA(VLOOKUP(T157,'Age Banded Rating'!$A$97:$E$100,4,0),0))),V117)/(1-Intermediary_and_Fee)</f>
        <v>0</v>
      </c>
      <c r="W157" s="758" t="str">
        <f t="shared" si="96"/>
        <v>56 - 59</v>
      </c>
      <c r="X157" s="753">
        <f>IF(W$147="Abu Dhabi",(MAX(X117,_xlfn.IFNA(VLOOKUP(W157,'Age Banded Rating'!$A$97:$E$100,4,0),0))),X117)/(1-Intermediary_and_Fee)</f>
        <v>0</v>
      </c>
      <c r="Y157" s="753">
        <f>IF(W$147="Abu Dhabi",(MAX(Y117,_xlfn.IFNA(VLOOKUP(W157,'Age Banded Rating'!$A$97:$E$100,4,0),0))),Y117)/(1-Intermediary_and_Fee)</f>
        <v>0</v>
      </c>
      <c r="Z157" s="688"/>
    </row>
    <row r="158" spans="2:26" x14ac:dyDescent="0.25">
      <c r="B158" s="758" t="str">
        <f t="shared" si="103"/>
        <v>60 - 64</v>
      </c>
      <c r="C158" s="753">
        <f ca="1">IF(B$147="Abu Dhabi",(MAX(C118,_xlfn.IFNA(VLOOKUP(B158,'Age Banded Rating'!$A$97:$E$100,4,0),0))),C118)/(1-Intermediary_and_Fee)</f>
        <v>7542.3578537322992</v>
      </c>
      <c r="D158" s="753">
        <f ca="1">IF(B$147="Abu Dhabi",(MAX(D118,_xlfn.IFNA(VLOOKUP(B158,'Age Banded Rating'!$A$97:$E$100,4,0),0))),D118)/(1-Intermediary_and_Fee)</f>
        <v>6681.0603918183742</v>
      </c>
      <c r="E158" s="758" t="str">
        <f t="shared" si="96"/>
        <v>60 - 64</v>
      </c>
      <c r="F158" s="753">
        <f>IF(E$147="Abu Dhabi",(MAX(F118,_xlfn.IFNA(VLOOKUP(E158,'Age Banded Rating'!$A$97:$E$100,4,0),0))),F118)/(1-Intermediary_and_Fee)</f>
        <v>0</v>
      </c>
      <c r="G158" s="753">
        <f>IF(E$147="Abu Dhabi",(MAX(G118,_xlfn.IFNA(VLOOKUP(E158,'Age Banded Rating'!$A$97:$E$100,4,0),0))),G118)/(1-Intermediary_and_Fee)</f>
        <v>0</v>
      </c>
      <c r="H158" s="758" t="str">
        <f t="shared" si="96"/>
        <v>60 - 64</v>
      </c>
      <c r="I158" s="753">
        <f>IF(H$147="Abu Dhabi",(MAX(I118,_xlfn.IFNA(VLOOKUP(H158,'Age Banded Rating'!$A$97:$E$100,4,0),0))),I118)/(1-Intermediary_and_Fee)</f>
        <v>0</v>
      </c>
      <c r="J158" s="753">
        <f>IF(H$147="Abu Dhabi",(MAX(J118,_xlfn.IFNA(VLOOKUP(H158,'Age Banded Rating'!$A$97:$E$100,4,0),0))),J118)/(1-Intermediary_and_Fee)</f>
        <v>0</v>
      </c>
      <c r="K158" s="758" t="str">
        <f t="shared" si="96"/>
        <v>60 - 64</v>
      </c>
      <c r="L158" s="753">
        <f>IF(K$147="Abu Dhabi",(MAX(L118,_xlfn.IFNA(VLOOKUP(K158,'Age Banded Rating'!$A$97:$E$100,4,0),0))),L118)/(1-Intermediary_and_Fee)</f>
        <v>0</v>
      </c>
      <c r="M158" s="753">
        <f>IF(K$147="Abu Dhabi",(MAX(M118,_xlfn.IFNA(VLOOKUP(K158,'Age Banded Rating'!$A$97:$E$100,4,0),0))),M118)/(1-Intermediary_and_Fee)</f>
        <v>0</v>
      </c>
      <c r="N158" s="758" t="str">
        <f t="shared" si="96"/>
        <v>60 - 64</v>
      </c>
      <c r="O158" s="753">
        <f>IF(N$147="Abu Dhabi",(MAX(O118,_xlfn.IFNA(VLOOKUP(N158,'Age Banded Rating'!$A$97:$E$100,4,0),0))),O118)/(1-Intermediary_and_Fee)</f>
        <v>0</v>
      </c>
      <c r="P158" s="753">
        <f>IF(N$147="Abu Dhabi",(MAX(P118,_xlfn.IFNA(VLOOKUP(N158,'Age Banded Rating'!$A$97:$E$100,4,0),0))),P118)/(1-Intermediary_and_Fee)</f>
        <v>0</v>
      </c>
      <c r="Q158" s="758" t="str">
        <f t="shared" si="96"/>
        <v>60 - 64</v>
      </c>
      <c r="R158" s="753">
        <f>IF(Q$147="Abu Dhabi",(MAX(R118,_xlfn.IFNA(VLOOKUP(Q158,'Age Banded Rating'!$A$97:$E$100,4,0),0))),R118)/(1-Intermediary_and_Fee)</f>
        <v>0</v>
      </c>
      <c r="S158" s="753">
        <f>IF(Q$147="Abu Dhabi",(MAX(S118,_xlfn.IFNA(VLOOKUP(Q158,'Age Banded Rating'!$A$97:$E$100,4,0),0))),S118)/(1-Intermediary_and_Fee)</f>
        <v>0</v>
      </c>
      <c r="T158" s="758" t="str">
        <f t="shared" si="96"/>
        <v>60 - 64</v>
      </c>
      <c r="U158" s="753">
        <f>IF(T$147="Abu Dhabi",(MAX(U118,_xlfn.IFNA(VLOOKUP(T158,'Age Banded Rating'!$A$97:$E$100,4,0),0))),U118)/(1-Intermediary_and_Fee)</f>
        <v>0</v>
      </c>
      <c r="V158" s="753">
        <f>IF(T$147="Abu Dhabi",(MAX(V118,_xlfn.IFNA(VLOOKUP(T158,'Age Banded Rating'!$A$97:$E$100,4,0),0))),V118)/(1-Intermediary_and_Fee)</f>
        <v>0</v>
      </c>
      <c r="W158" s="758" t="str">
        <f t="shared" si="96"/>
        <v>60 - 64</v>
      </c>
      <c r="X158" s="753">
        <f>IF(W$147="Abu Dhabi",(MAX(X118,_xlfn.IFNA(VLOOKUP(W158,'Age Banded Rating'!$A$97:$E$100,4,0),0))),X118)/(1-Intermediary_and_Fee)</f>
        <v>0</v>
      </c>
      <c r="Y158" s="753">
        <f>IF(W$147="Abu Dhabi",(MAX(Y118,_xlfn.IFNA(VLOOKUP(W158,'Age Banded Rating'!$A$97:$E$100,4,0),0))),Y118)/(1-Intermediary_and_Fee)</f>
        <v>0</v>
      </c>
      <c r="Z158" s="688"/>
    </row>
    <row r="159" spans="2:26" x14ac:dyDescent="0.25">
      <c r="B159" s="758" t="str">
        <f t="shared" si="103"/>
        <v>65 - 99</v>
      </c>
      <c r="C159" s="753">
        <f ca="1">IF(B$147="Abu Dhabi",(MAX(C119,_xlfn.IFNA(VLOOKUP(B159,'Age Banded Rating'!$A$97:$E$100,4,0),0))),C119)/(1-Intermediary_and_Fee)</f>
        <v>13576.24413671814</v>
      </c>
      <c r="D159" s="753">
        <f ca="1">IF(B$147="Abu Dhabi",(MAX(D119,_xlfn.IFNA(VLOOKUP(B159,'Age Banded Rating'!$A$97:$E$100,4,0),0))),D119)/(1-Intermediary_and_Fee)</f>
        <v>12025.908705273076</v>
      </c>
      <c r="E159" s="758" t="str">
        <f t="shared" si="96"/>
        <v>65 - 99</v>
      </c>
      <c r="F159" s="753">
        <f>IF(E$147="Abu Dhabi",(MAX(F119,_xlfn.IFNA(VLOOKUP(E159,'Age Banded Rating'!$A$97:$E$100,4,0),0))),F119)/(1-Intermediary_and_Fee)</f>
        <v>0</v>
      </c>
      <c r="G159" s="753">
        <f>IF(E$147="Abu Dhabi",(MAX(G119,_xlfn.IFNA(VLOOKUP(E159,'Age Banded Rating'!$A$97:$E$100,4,0),0))),G119)/(1-Intermediary_and_Fee)</f>
        <v>0</v>
      </c>
      <c r="H159" s="758" t="str">
        <f t="shared" si="96"/>
        <v>65 - 99</v>
      </c>
      <c r="I159" s="753">
        <f>IF(H$147="Abu Dhabi",(MAX(I119,_xlfn.IFNA(VLOOKUP(H159,'Age Banded Rating'!$A$97:$E$100,4,0),0))),I119)/(1-Intermediary_and_Fee)</f>
        <v>0</v>
      </c>
      <c r="J159" s="753">
        <f>IF(H$147="Abu Dhabi",(MAX(J119,_xlfn.IFNA(VLOOKUP(H159,'Age Banded Rating'!$A$97:$E$100,4,0),0))),J119)/(1-Intermediary_and_Fee)</f>
        <v>0</v>
      </c>
      <c r="K159" s="758" t="str">
        <f t="shared" si="96"/>
        <v>65 - 99</v>
      </c>
      <c r="L159" s="753">
        <f>IF(K$147="Abu Dhabi",(MAX(L119,_xlfn.IFNA(VLOOKUP(K159,'Age Banded Rating'!$A$97:$E$100,4,0),0))),L119)/(1-Intermediary_and_Fee)</f>
        <v>0</v>
      </c>
      <c r="M159" s="753">
        <f>IF(K$147="Abu Dhabi",(MAX(M119,_xlfn.IFNA(VLOOKUP(K159,'Age Banded Rating'!$A$97:$E$100,4,0),0))),M119)/(1-Intermediary_and_Fee)</f>
        <v>0</v>
      </c>
      <c r="N159" s="758" t="str">
        <f t="shared" si="96"/>
        <v>65 - 99</v>
      </c>
      <c r="O159" s="753">
        <f>IF(N$147="Abu Dhabi",(MAX(O119,_xlfn.IFNA(VLOOKUP(N159,'Age Banded Rating'!$A$97:$E$100,4,0),0))),O119)/(1-Intermediary_and_Fee)</f>
        <v>0</v>
      </c>
      <c r="P159" s="753">
        <f>IF(N$147="Abu Dhabi",(MAX(P119,_xlfn.IFNA(VLOOKUP(N159,'Age Banded Rating'!$A$97:$E$100,4,0),0))),P119)/(1-Intermediary_and_Fee)</f>
        <v>0</v>
      </c>
      <c r="Q159" s="758" t="str">
        <f t="shared" si="96"/>
        <v>65 - 99</v>
      </c>
      <c r="R159" s="753">
        <f>IF(Q$147="Abu Dhabi",(MAX(R119,_xlfn.IFNA(VLOOKUP(Q159,'Age Banded Rating'!$A$97:$E$100,4,0),0))),R119)/(1-Intermediary_and_Fee)</f>
        <v>0</v>
      </c>
      <c r="S159" s="753">
        <f>IF(Q$147="Abu Dhabi",(MAX(S119,_xlfn.IFNA(VLOOKUP(Q159,'Age Banded Rating'!$A$97:$E$100,4,0),0))),S119)/(1-Intermediary_and_Fee)</f>
        <v>0</v>
      </c>
      <c r="T159" s="758" t="str">
        <f t="shared" si="96"/>
        <v>65 - 99</v>
      </c>
      <c r="U159" s="753">
        <f>IF(T$147="Abu Dhabi",(MAX(U119,_xlfn.IFNA(VLOOKUP(T159,'Age Banded Rating'!$A$97:$E$100,4,0),0))),U119)/(1-Intermediary_and_Fee)</f>
        <v>0</v>
      </c>
      <c r="V159" s="753">
        <f>IF(T$147="Abu Dhabi",(MAX(V119,_xlfn.IFNA(VLOOKUP(T159,'Age Banded Rating'!$A$97:$E$100,4,0),0))),V119)/(1-Intermediary_and_Fee)</f>
        <v>0</v>
      </c>
      <c r="W159" s="758" t="str">
        <f t="shared" si="96"/>
        <v>65 - 99</v>
      </c>
      <c r="X159" s="753">
        <f>IF(W$147="Abu Dhabi",(MAX(X119,_xlfn.IFNA(VLOOKUP(W159,'Age Banded Rating'!$A$97:$E$100,4,0),0))),X119)/(1-Intermediary_and_Fee)</f>
        <v>0</v>
      </c>
      <c r="Y159" s="753">
        <f>IF(W$147="Abu Dhabi",(MAX(Y119,_xlfn.IFNA(VLOOKUP(W159,'Age Banded Rating'!$A$97:$E$100,4,0),0))),Y119)/(1-Intermediary_and_Fee)</f>
        <v>0</v>
      </c>
      <c r="Z159" s="688"/>
    </row>
    <row r="160" spans="2:26" x14ac:dyDescent="0.25">
      <c r="B160" s="839">
        <f ca="1">SUMPRODUCT(C6:D17,C148:D159)</f>
        <v>9641.2699953153697</v>
      </c>
      <c r="C160" s="754"/>
      <c r="D160" s="754"/>
      <c r="E160" s="839">
        <f>SUMPRODUCT(F6:G17,F148:G159)</f>
        <v>0</v>
      </c>
      <c r="F160" s="754"/>
      <c r="G160" s="754"/>
      <c r="H160" s="839">
        <f>SUMPRODUCT(I6:J17,I148:J159)</f>
        <v>0</v>
      </c>
      <c r="I160" s="754"/>
      <c r="J160" s="754"/>
      <c r="K160" s="839">
        <f>SUMPRODUCT(L6:M17,L148:M159)</f>
        <v>0</v>
      </c>
      <c r="L160" s="754"/>
      <c r="M160" s="754"/>
      <c r="N160" s="839">
        <f>SUMPRODUCT(O6:P17,O148:P159)</f>
        <v>0</v>
      </c>
      <c r="O160" s="754"/>
      <c r="P160" s="754"/>
      <c r="Q160" s="839">
        <f>SUMPRODUCT(R6:S17,R148:S159)</f>
        <v>0</v>
      </c>
      <c r="R160" s="754"/>
      <c r="S160" s="754"/>
      <c r="T160" s="839">
        <f>SUMPRODUCT(U6:V17,U148:V159)</f>
        <v>0</v>
      </c>
      <c r="U160" s="754"/>
      <c r="V160" s="754"/>
      <c r="W160" s="839">
        <f>SUMPRODUCT(X6:Y17,X148:Y159)</f>
        <v>0</v>
      </c>
      <c r="X160" s="754"/>
      <c r="Y160" s="754"/>
      <c r="Z160" s="756"/>
    </row>
    <row r="161" spans="2:26" ht="15.75" thickBot="1" x14ac:dyDescent="0.3">
      <c r="B161" s="695"/>
      <c r="C161" s="570"/>
      <c r="D161" s="570"/>
      <c r="E161" s="570"/>
      <c r="F161" s="570"/>
      <c r="G161" s="570"/>
      <c r="H161" s="570"/>
      <c r="I161" s="570"/>
      <c r="J161" s="570"/>
      <c r="K161" s="570"/>
      <c r="L161" s="570"/>
      <c r="M161" s="570"/>
      <c r="N161" s="570"/>
      <c r="O161" s="570"/>
      <c r="P161" s="696"/>
      <c r="Q161" s="570"/>
      <c r="R161" s="570"/>
      <c r="S161" s="570"/>
      <c r="T161" s="570"/>
      <c r="U161" s="570"/>
      <c r="V161" s="570"/>
      <c r="W161" s="570"/>
      <c r="X161" s="570"/>
      <c r="Y161" s="570"/>
      <c r="Z161" s="697"/>
    </row>
    <row r="162" spans="2:26" ht="15.75" thickBot="1" x14ac:dyDescent="0.3"/>
    <row r="163" spans="2:26" x14ac:dyDescent="0.25">
      <c r="B163" s="796" t="s">
        <v>969</v>
      </c>
      <c r="C163" s="569"/>
      <c r="D163" s="569"/>
      <c r="E163" s="569"/>
      <c r="F163" s="569"/>
      <c r="G163" s="569"/>
      <c r="H163" s="569"/>
      <c r="I163" s="569"/>
      <c r="J163" s="569"/>
      <c r="K163" s="569"/>
      <c r="L163" s="569"/>
      <c r="M163" s="569"/>
      <c r="N163" s="569"/>
      <c r="O163" s="569"/>
      <c r="P163" s="685"/>
      <c r="Q163" s="569"/>
      <c r="R163" s="569"/>
      <c r="S163" s="569"/>
      <c r="T163" s="569"/>
      <c r="U163" s="569"/>
      <c r="V163" s="569"/>
      <c r="W163" s="569"/>
      <c r="X163" s="569"/>
      <c r="Y163" s="569"/>
      <c r="Z163" s="686"/>
    </row>
    <row r="164" spans="2:26" ht="15.75" x14ac:dyDescent="0.25">
      <c r="B164" s="687"/>
      <c r="C164" s="693" t="str">
        <f>VLOOKUP(C165,'General Basis'!$J$39:$K$46,2,0)</f>
        <v>RN3</v>
      </c>
      <c r="D164" s="693" t="str">
        <f>VLOOKUP(D165,'General Basis'!$J$39:$K$46,2,0)</f>
        <v>RN3</v>
      </c>
      <c r="F164" s="693" t="e">
        <f>VLOOKUP(F165,'General Basis'!$J$39:$K$46,2,0)</f>
        <v>#N/A</v>
      </c>
      <c r="G164" s="693" t="e">
        <f>VLOOKUP(G165,'General Basis'!$J$39:$K$46,2,0)</f>
        <v>#N/A</v>
      </c>
      <c r="I164" s="693" t="e">
        <f>VLOOKUP(I165,'General Basis'!$J$39:$K$46,2,0)</f>
        <v>#N/A</v>
      </c>
      <c r="J164" s="693" t="e">
        <f>VLOOKUP(J165,'General Basis'!$J$39:$K$46,2,0)</f>
        <v>#N/A</v>
      </c>
      <c r="L164" s="693" t="e">
        <f>VLOOKUP(L165,'General Basis'!$J$39:$K$46,2,0)</f>
        <v>#N/A</v>
      </c>
      <c r="M164" s="693" t="e">
        <f>VLOOKUP(M165,'General Basis'!$J$39:$K$46,2,0)</f>
        <v>#N/A</v>
      </c>
      <c r="O164" s="693" t="e">
        <f>VLOOKUP(O165,'General Basis'!$J$39:$K$46,2,0)</f>
        <v>#N/A</v>
      </c>
      <c r="P164" s="693" t="e">
        <f>VLOOKUP(P165,'General Basis'!$J$39:$K$46,2,0)</f>
        <v>#N/A</v>
      </c>
      <c r="R164" s="693" t="e">
        <f>VLOOKUP(R165,'General Basis'!$J$39:$K$46,2,0)</f>
        <v>#N/A</v>
      </c>
      <c r="S164" s="693" t="e">
        <f>VLOOKUP(S165,'General Basis'!$J$39:$K$46,2,0)</f>
        <v>#N/A</v>
      </c>
      <c r="U164" s="693" t="e">
        <f>VLOOKUP(U165,'General Basis'!$J$39:$K$46,2,0)</f>
        <v>#N/A</v>
      </c>
      <c r="V164" s="693" t="e">
        <f>VLOOKUP(V165,'General Basis'!$J$39:$K$46,2,0)</f>
        <v>#N/A</v>
      </c>
      <c r="X164" s="693" t="e">
        <f>VLOOKUP(X165,'General Basis'!$J$39:$K$46,2,0)</f>
        <v>#N/A</v>
      </c>
      <c r="Y164" s="693" t="e">
        <f>VLOOKUP(Y165,'General Basis'!$J$39:$K$46,2,0)</f>
        <v>#N/A</v>
      </c>
      <c r="Z164" s="688"/>
    </row>
    <row r="165" spans="2:26" ht="15.75" x14ac:dyDescent="0.25">
      <c r="B165" s="788" t="s">
        <v>958</v>
      </c>
      <c r="C165" s="693" t="s">
        <v>271</v>
      </c>
      <c r="D165" s="693" t="str">
        <f>C165</f>
        <v>A</v>
      </c>
      <c r="E165" s="788" t="str">
        <f>B165</f>
        <v>Dependent</v>
      </c>
      <c r="F165" s="693" t="s">
        <v>272</v>
      </c>
      <c r="G165" s="693" t="str">
        <f>F165</f>
        <v>B</v>
      </c>
      <c r="H165" s="788" t="str">
        <f>E165</f>
        <v>Dependent</v>
      </c>
      <c r="I165" s="693" t="s">
        <v>273</v>
      </c>
      <c r="J165" s="693" t="str">
        <f>I165</f>
        <v>C</v>
      </c>
      <c r="K165" s="788" t="str">
        <f>H165</f>
        <v>Dependent</v>
      </c>
      <c r="L165" s="693" t="s">
        <v>274</v>
      </c>
      <c r="M165" s="693" t="str">
        <f>L165</f>
        <v>D</v>
      </c>
      <c r="N165" s="788" t="str">
        <f>K165</f>
        <v>Dependent</v>
      </c>
      <c r="O165" s="693" t="s">
        <v>365</v>
      </c>
      <c r="P165" s="693" t="str">
        <f>O165</f>
        <v>E</v>
      </c>
      <c r="Q165" s="788" t="str">
        <f>N165</f>
        <v>Dependent</v>
      </c>
      <c r="R165" s="693" t="s">
        <v>62</v>
      </c>
      <c r="S165" s="693" t="str">
        <f>R165</f>
        <v>F</v>
      </c>
      <c r="T165" s="788" t="str">
        <f>Q165</f>
        <v>Dependent</v>
      </c>
      <c r="U165" s="693" t="s">
        <v>366</v>
      </c>
      <c r="V165" s="693" t="str">
        <f>U165</f>
        <v>G</v>
      </c>
      <c r="W165" s="788" t="str">
        <f>T165</f>
        <v>Dependent</v>
      </c>
      <c r="X165" s="693" t="s">
        <v>367</v>
      </c>
      <c r="Y165" s="693" t="str">
        <f>X165</f>
        <v>H</v>
      </c>
      <c r="Z165" s="752"/>
    </row>
    <row r="166" spans="2:26" ht="15.75" x14ac:dyDescent="0.25">
      <c r="B166" s="757" t="str">
        <f>B126</f>
        <v>Dubai</v>
      </c>
      <c r="C166" s="689" t="s">
        <v>65</v>
      </c>
      <c r="D166" s="694" t="s">
        <v>66</v>
      </c>
      <c r="E166" s="757" t="str">
        <f t="shared" ref="E166:W178" si="104">E126</f>
        <v>Dubai</v>
      </c>
      <c r="F166" s="689" t="s">
        <v>65</v>
      </c>
      <c r="G166" s="694" t="s">
        <v>66</v>
      </c>
      <c r="H166" s="757" t="str">
        <f t="shared" ref="H166" si="105">H126</f>
        <v>Dubai</v>
      </c>
      <c r="I166" s="689" t="s">
        <v>65</v>
      </c>
      <c r="J166" s="694" t="s">
        <v>66</v>
      </c>
      <c r="K166" s="757" t="str">
        <f t="shared" ref="K166" si="106">K126</f>
        <v>Dubai</v>
      </c>
      <c r="L166" s="689" t="s">
        <v>65</v>
      </c>
      <c r="M166" s="694" t="s">
        <v>66</v>
      </c>
      <c r="N166" s="757" t="str">
        <f t="shared" ref="N166" si="107">N126</f>
        <v>Dubai</v>
      </c>
      <c r="O166" s="689" t="s">
        <v>65</v>
      </c>
      <c r="P166" s="694" t="s">
        <v>66</v>
      </c>
      <c r="Q166" s="757" t="str">
        <f t="shared" ref="Q166" si="108">Q126</f>
        <v>Dubai</v>
      </c>
      <c r="R166" s="689" t="s">
        <v>65</v>
      </c>
      <c r="S166" s="694" t="s">
        <v>66</v>
      </c>
      <c r="T166" s="757" t="str">
        <f t="shared" ref="T166" si="109">T126</f>
        <v>Dubai</v>
      </c>
      <c r="U166" s="689" t="s">
        <v>65</v>
      </c>
      <c r="V166" s="694" t="s">
        <v>66</v>
      </c>
      <c r="W166" s="757" t="str">
        <f t="shared" ref="W166" si="110">W126</f>
        <v>Dubai</v>
      </c>
      <c r="X166" s="689" t="s">
        <v>65</v>
      </c>
      <c r="Y166" s="694" t="s">
        <v>66</v>
      </c>
      <c r="Z166" s="688"/>
    </row>
    <row r="167" spans="2:26" x14ac:dyDescent="0.25">
      <c r="B167" s="758" t="str">
        <f t="shared" ref="B167:B178" si="111">B127</f>
        <v>0 - 10</v>
      </c>
      <c r="C167" s="753">
        <f ca="1">IF(B$166="Abu Dhabi",(MAX(C127,_xlfn.IFNA(VLOOKUP(B167,'Age Banded Rating'!$A$97:$E$100,5,0),0))),C127)/(1-Intermediary_and_Fee)</f>
        <v>2520.9822125608111</v>
      </c>
      <c r="D167" s="753">
        <f ca="1">IF(B$166="Abu Dhabi",(MAX(D127,_xlfn.IFNA(VLOOKUP(B167,'Age Banded Rating'!$A$97:$E$100,5,0),0))),D127)/(1-Intermediary_and_Fee)</f>
        <v>2379.1483675710015</v>
      </c>
      <c r="E167" s="758" t="str">
        <f t="shared" si="104"/>
        <v>0 - 10</v>
      </c>
      <c r="F167" s="753">
        <f>IF(E$166="Abu Dhabi",(MAX(F127,_xlfn.IFNA(VLOOKUP(E167,'Age Banded Rating'!$A$97:$E$100,5,0),0))),F127)/(1-Intermediary_and_Fee)</f>
        <v>0</v>
      </c>
      <c r="G167" s="753">
        <f>IF(E$166="Abu Dhabi",(MAX(G127,_xlfn.IFNA(VLOOKUP(E167,'Age Banded Rating'!$A$97:$E$100,5,0),0))),G127)/(1-Intermediary_and_Fee)</f>
        <v>0</v>
      </c>
      <c r="H167" s="758" t="str">
        <f t="shared" si="104"/>
        <v>0 - 10</v>
      </c>
      <c r="I167" s="753">
        <f>IF(H$166="Abu Dhabi",(MAX(I127,_xlfn.IFNA(VLOOKUP(H167,'Age Banded Rating'!$A$97:$E$100,5,0),0))),I127)/(1-Intermediary_and_Fee)</f>
        <v>0</v>
      </c>
      <c r="J167" s="753">
        <f>IF(H$166="Abu Dhabi",(MAX(J127,_xlfn.IFNA(VLOOKUP(H167,'Age Banded Rating'!$A$97:$E$100,5,0),0))),J127)/(1-Intermediary_and_Fee)</f>
        <v>0</v>
      </c>
      <c r="K167" s="758" t="str">
        <f t="shared" si="104"/>
        <v>0 - 10</v>
      </c>
      <c r="L167" s="753">
        <f>IF(K$166="Abu Dhabi",(MAX(L127,_xlfn.IFNA(VLOOKUP(K167,'Age Banded Rating'!$A$97:$E$100,5,0),0))),L127)/(1-Intermediary_and_Fee)</f>
        <v>0</v>
      </c>
      <c r="M167" s="753">
        <f>IF(K$166="Abu Dhabi",(MAX(M127,_xlfn.IFNA(VLOOKUP(K167,'Age Banded Rating'!$A$97:$E$100,5,0),0))),M127)/(1-Intermediary_and_Fee)</f>
        <v>0</v>
      </c>
      <c r="N167" s="758" t="str">
        <f t="shared" si="104"/>
        <v>0 - 10</v>
      </c>
      <c r="O167" s="753">
        <f>IF(N$166="Abu Dhabi",(MAX(O127,_xlfn.IFNA(VLOOKUP(N167,'Age Banded Rating'!$A$97:$E$100,5,0),0))),O127)/(1-Intermediary_and_Fee)</f>
        <v>0</v>
      </c>
      <c r="P167" s="753">
        <f>IF(N$166="Abu Dhabi",(MAX(P127,_xlfn.IFNA(VLOOKUP(N167,'Age Banded Rating'!$A$97:$E$100,5,0),0))),P127)/(1-Intermediary_and_Fee)</f>
        <v>0</v>
      </c>
      <c r="Q167" s="758" t="str">
        <f t="shared" si="104"/>
        <v>0 - 10</v>
      </c>
      <c r="R167" s="753">
        <f>IF(Q$166="Abu Dhabi",(MAX(R127,_xlfn.IFNA(VLOOKUP(Q167,'Age Banded Rating'!$A$97:$E$100,5,0),0))),R127)/(1-Intermediary_and_Fee)</f>
        <v>0</v>
      </c>
      <c r="S167" s="753">
        <f>IF(Q$166="Abu Dhabi",(MAX(S127,_xlfn.IFNA(VLOOKUP(Q167,'Age Banded Rating'!$A$97:$E$100,5,0),0))),S127)/(1-Intermediary_and_Fee)</f>
        <v>0</v>
      </c>
      <c r="T167" s="758" t="str">
        <f t="shared" si="104"/>
        <v>0 - 10</v>
      </c>
      <c r="U167" s="753">
        <f>IF(T$166="Abu Dhabi",(MAX(U127,_xlfn.IFNA(VLOOKUP(T167,'Age Banded Rating'!$A$97:$E$100,5,0),0))),U127)/(1-Intermediary_and_Fee)</f>
        <v>0</v>
      </c>
      <c r="V167" s="753">
        <f>IF(T$166="Abu Dhabi",(MAX(V127,_xlfn.IFNA(VLOOKUP(T167,'Age Banded Rating'!$A$97:$E$100,5,0),0))),V127)/(1-Intermediary_and_Fee)</f>
        <v>0</v>
      </c>
      <c r="W167" s="758" t="str">
        <f t="shared" si="104"/>
        <v>0 - 10</v>
      </c>
      <c r="X167" s="753">
        <f>IF(W$166="Abu Dhabi",(MAX(X127,_xlfn.IFNA(VLOOKUP(W167,'Age Banded Rating'!$A$97:$E$100,5,0),0))),X127)/(1-Intermediary_and_Fee)</f>
        <v>0</v>
      </c>
      <c r="Y167" s="753">
        <f>IF(W$166="Abu Dhabi",(MAX(Y127,_xlfn.IFNA(VLOOKUP(W167,'Age Banded Rating'!$A$97:$E$100,5,0),0))),Y127)/(1-Intermediary_and_Fee)</f>
        <v>0</v>
      </c>
      <c r="Z167" s="688"/>
    </row>
    <row r="168" spans="2:26" x14ac:dyDescent="0.25">
      <c r="B168" s="758" t="str">
        <f t="shared" si="111"/>
        <v>11 - 17</v>
      </c>
      <c r="C168" s="753">
        <f ca="1">IF(B$166="Abu Dhabi",(MAX(C128,_xlfn.IFNA(VLOOKUP(B168,'Age Banded Rating'!$A$97:$E$100,5,0),0))),C128)/(1-Intermediary_and_Fee)</f>
        <v>1190.7180051160638</v>
      </c>
      <c r="D168" s="753">
        <f ca="1">IF(B$166="Abu Dhabi",(MAX(D128,_xlfn.IFNA(VLOOKUP(B168,'Age Banded Rating'!$A$97:$E$100,5,0),0))),D128)/(1-Intermediary_and_Fee)</f>
        <v>1459.5160177983644</v>
      </c>
      <c r="E168" s="758" t="str">
        <f t="shared" si="104"/>
        <v>11 - 17</v>
      </c>
      <c r="F168" s="753">
        <f>IF(E$166="Abu Dhabi",(MAX(F128,_xlfn.IFNA(VLOOKUP(E168,'Age Banded Rating'!$A$97:$E$100,5,0),0))),F128)/(1-Intermediary_and_Fee)</f>
        <v>0</v>
      </c>
      <c r="G168" s="753">
        <f>IF(E$166="Abu Dhabi",(MAX(G128,_xlfn.IFNA(VLOOKUP(E168,'Age Banded Rating'!$A$97:$E$100,5,0),0))),G128)/(1-Intermediary_and_Fee)</f>
        <v>0</v>
      </c>
      <c r="H168" s="758" t="str">
        <f t="shared" si="104"/>
        <v>11 - 17</v>
      </c>
      <c r="I168" s="753">
        <f>IF(H$166="Abu Dhabi",(MAX(I128,_xlfn.IFNA(VLOOKUP(H168,'Age Banded Rating'!$A$97:$E$100,5,0),0))),I128)/(1-Intermediary_and_Fee)</f>
        <v>0</v>
      </c>
      <c r="J168" s="753">
        <f>IF(H$166="Abu Dhabi",(MAX(J128,_xlfn.IFNA(VLOOKUP(H168,'Age Banded Rating'!$A$97:$E$100,5,0),0))),J128)/(1-Intermediary_and_Fee)</f>
        <v>0</v>
      </c>
      <c r="K168" s="758" t="str">
        <f t="shared" si="104"/>
        <v>11 - 17</v>
      </c>
      <c r="L168" s="753">
        <f>IF(K$166="Abu Dhabi",(MAX(L128,_xlfn.IFNA(VLOOKUP(K168,'Age Banded Rating'!$A$97:$E$100,5,0),0))),L128)/(1-Intermediary_and_Fee)</f>
        <v>0</v>
      </c>
      <c r="M168" s="753">
        <f>IF(K$166="Abu Dhabi",(MAX(M128,_xlfn.IFNA(VLOOKUP(K168,'Age Banded Rating'!$A$97:$E$100,5,0),0))),M128)/(1-Intermediary_and_Fee)</f>
        <v>0</v>
      </c>
      <c r="N168" s="758" t="str">
        <f t="shared" si="104"/>
        <v>11 - 17</v>
      </c>
      <c r="O168" s="753">
        <f>IF(N$166="Abu Dhabi",(MAX(O128,_xlfn.IFNA(VLOOKUP(N168,'Age Banded Rating'!$A$97:$E$100,5,0),0))),O128)/(1-Intermediary_and_Fee)</f>
        <v>0</v>
      </c>
      <c r="P168" s="753">
        <f>IF(N$166="Abu Dhabi",(MAX(P128,_xlfn.IFNA(VLOOKUP(N168,'Age Banded Rating'!$A$97:$E$100,5,0),0))),P128)/(1-Intermediary_and_Fee)</f>
        <v>0</v>
      </c>
      <c r="Q168" s="758" t="str">
        <f t="shared" si="104"/>
        <v>11 - 17</v>
      </c>
      <c r="R168" s="753">
        <f>IF(Q$166="Abu Dhabi",(MAX(R128,_xlfn.IFNA(VLOOKUP(Q168,'Age Banded Rating'!$A$97:$E$100,5,0),0))),R128)/(1-Intermediary_and_Fee)</f>
        <v>0</v>
      </c>
      <c r="S168" s="753">
        <f>IF(Q$166="Abu Dhabi",(MAX(S128,_xlfn.IFNA(VLOOKUP(Q168,'Age Banded Rating'!$A$97:$E$100,5,0),0))),S128)/(1-Intermediary_and_Fee)</f>
        <v>0</v>
      </c>
      <c r="T168" s="758" t="str">
        <f t="shared" si="104"/>
        <v>11 - 17</v>
      </c>
      <c r="U168" s="753">
        <f>IF(T$166="Abu Dhabi",(MAX(U128,_xlfn.IFNA(VLOOKUP(T168,'Age Banded Rating'!$A$97:$E$100,5,0),0))),U128)/(1-Intermediary_and_Fee)</f>
        <v>0</v>
      </c>
      <c r="V168" s="753">
        <f>IF(T$166="Abu Dhabi",(MAX(V128,_xlfn.IFNA(VLOOKUP(T168,'Age Banded Rating'!$A$97:$E$100,5,0),0))),V128)/(1-Intermediary_and_Fee)</f>
        <v>0</v>
      </c>
      <c r="W168" s="758" t="str">
        <f t="shared" si="104"/>
        <v>11 - 17</v>
      </c>
      <c r="X168" s="753">
        <f>IF(W$166="Abu Dhabi",(MAX(X128,_xlfn.IFNA(VLOOKUP(W168,'Age Banded Rating'!$A$97:$E$100,5,0),0))),X128)/(1-Intermediary_and_Fee)</f>
        <v>0</v>
      </c>
      <c r="Y168" s="753">
        <f>IF(W$166="Abu Dhabi",(MAX(Y128,_xlfn.IFNA(VLOOKUP(W168,'Age Banded Rating'!$A$97:$E$100,5,0),0))),Y128)/(1-Intermediary_and_Fee)</f>
        <v>0</v>
      </c>
      <c r="Z168" s="688"/>
    </row>
    <row r="169" spans="2:26" x14ac:dyDescent="0.25">
      <c r="B169" s="758" t="str">
        <f t="shared" si="111"/>
        <v>18 - 25</v>
      </c>
      <c r="C169" s="753">
        <f ca="1">IF(B$166="Abu Dhabi",(MAX(C129,_xlfn.IFNA(VLOOKUP(B169,'Age Banded Rating'!$A$97:$E$100,5,0),0))),C129)/(1-Intermediary_and_Fee)</f>
        <v>1490.3991937235648</v>
      </c>
      <c r="D169" s="753">
        <f ca="1">IF(B$166="Abu Dhabi",(MAX(D129,_xlfn.IFNA(VLOOKUP(B169,'Age Banded Rating'!$A$97:$E$100,5,0),0))),D129)/(1-Intermediary_and_Fee)</f>
        <v>1454.9407324761123</v>
      </c>
      <c r="E169" s="758" t="str">
        <f t="shared" si="104"/>
        <v>18 - 25</v>
      </c>
      <c r="F169" s="753">
        <f>IF(E$166="Abu Dhabi",(MAX(F129,_xlfn.IFNA(VLOOKUP(E169,'Age Banded Rating'!$A$97:$E$100,5,0),0))),F129)/(1-Intermediary_and_Fee)</f>
        <v>0</v>
      </c>
      <c r="G169" s="753">
        <f>IF(E$166="Abu Dhabi",(MAX(G129,_xlfn.IFNA(VLOOKUP(E169,'Age Banded Rating'!$A$97:$E$100,5,0),0))),G129)/(1-Intermediary_and_Fee)</f>
        <v>0</v>
      </c>
      <c r="H169" s="758" t="str">
        <f t="shared" si="104"/>
        <v>18 - 25</v>
      </c>
      <c r="I169" s="753">
        <f>IF(H$166="Abu Dhabi",(MAX(I129,_xlfn.IFNA(VLOOKUP(H169,'Age Banded Rating'!$A$97:$E$100,5,0),0))),I129)/(1-Intermediary_and_Fee)</f>
        <v>0</v>
      </c>
      <c r="J169" s="753">
        <f>IF(H$166="Abu Dhabi",(MAX(J129,_xlfn.IFNA(VLOOKUP(H169,'Age Banded Rating'!$A$97:$E$100,5,0),0))),J129)/(1-Intermediary_and_Fee)</f>
        <v>0</v>
      </c>
      <c r="K169" s="758" t="str">
        <f t="shared" si="104"/>
        <v>18 - 25</v>
      </c>
      <c r="L169" s="753">
        <f>IF(K$166="Abu Dhabi",(MAX(L129,_xlfn.IFNA(VLOOKUP(K169,'Age Banded Rating'!$A$97:$E$100,5,0),0))),L129)/(1-Intermediary_and_Fee)</f>
        <v>0</v>
      </c>
      <c r="M169" s="753">
        <f>IF(K$166="Abu Dhabi",(MAX(M129,_xlfn.IFNA(VLOOKUP(K169,'Age Banded Rating'!$A$97:$E$100,5,0),0))),M129)/(1-Intermediary_and_Fee)</f>
        <v>0</v>
      </c>
      <c r="N169" s="758" t="str">
        <f t="shared" si="104"/>
        <v>18 - 25</v>
      </c>
      <c r="O169" s="753">
        <f>IF(N$166="Abu Dhabi",(MAX(O129,_xlfn.IFNA(VLOOKUP(N169,'Age Banded Rating'!$A$97:$E$100,5,0),0))),O129)/(1-Intermediary_and_Fee)</f>
        <v>0</v>
      </c>
      <c r="P169" s="753">
        <f>IF(N$166="Abu Dhabi",(MAX(P129,_xlfn.IFNA(VLOOKUP(N169,'Age Banded Rating'!$A$97:$E$100,5,0),0))),P129)/(1-Intermediary_and_Fee)</f>
        <v>0</v>
      </c>
      <c r="Q169" s="758" t="str">
        <f t="shared" si="104"/>
        <v>18 - 25</v>
      </c>
      <c r="R169" s="753">
        <f>IF(Q$166="Abu Dhabi",(MAX(R129,_xlfn.IFNA(VLOOKUP(Q169,'Age Banded Rating'!$A$97:$E$100,5,0),0))),R129)/(1-Intermediary_and_Fee)</f>
        <v>0</v>
      </c>
      <c r="S169" s="753">
        <f>IF(Q$166="Abu Dhabi",(MAX(S129,_xlfn.IFNA(VLOOKUP(Q169,'Age Banded Rating'!$A$97:$E$100,5,0),0))),S129)/(1-Intermediary_and_Fee)</f>
        <v>0</v>
      </c>
      <c r="T169" s="758" t="str">
        <f t="shared" si="104"/>
        <v>18 - 25</v>
      </c>
      <c r="U169" s="753">
        <f>IF(T$166="Abu Dhabi",(MAX(U129,_xlfn.IFNA(VLOOKUP(T169,'Age Banded Rating'!$A$97:$E$100,5,0),0))),U129)/(1-Intermediary_and_Fee)</f>
        <v>0</v>
      </c>
      <c r="V169" s="753">
        <f>IF(T$166="Abu Dhabi",(MAX(V129,_xlfn.IFNA(VLOOKUP(T169,'Age Banded Rating'!$A$97:$E$100,5,0),0))),V129)/(1-Intermediary_and_Fee)</f>
        <v>0</v>
      </c>
      <c r="W169" s="758" t="str">
        <f t="shared" si="104"/>
        <v>18 - 25</v>
      </c>
      <c r="X169" s="753">
        <f>IF(W$166="Abu Dhabi",(MAX(X129,_xlfn.IFNA(VLOOKUP(W169,'Age Banded Rating'!$A$97:$E$100,5,0),0))),X129)/(1-Intermediary_and_Fee)</f>
        <v>0</v>
      </c>
      <c r="Y169" s="753">
        <f>IF(W$166="Abu Dhabi",(MAX(Y129,_xlfn.IFNA(VLOOKUP(W169,'Age Banded Rating'!$A$97:$E$100,5,0),0))),Y129)/(1-Intermediary_and_Fee)</f>
        <v>0</v>
      </c>
      <c r="Z169" s="688"/>
    </row>
    <row r="170" spans="2:26" x14ac:dyDescent="0.25">
      <c r="B170" s="758" t="str">
        <f t="shared" si="111"/>
        <v>26 - 30</v>
      </c>
      <c r="C170" s="753">
        <f ca="1">IF(B$166="Abu Dhabi",(MAX(C130,_xlfn.IFNA(VLOOKUP(B170,'Age Banded Rating'!$A$97:$E$100,5,0),0))),C130)/(1-Intermediary_and_Fee)</f>
        <v>1620.7948254077446</v>
      </c>
      <c r="D170" s="753">
        <f ca="1">IF(B$166="Abu Dhabi",(MAX(D130,_xlfn.IFNA(VLOOKUP(B170,'Age Banded Rating'!$A$97:$E$100,5,0),0))),D130)/(1-Intermediary_and_Fee)</f>
        <v>1810.6691662811995</v>
      </c>
      <c r="E170" s="758" t="str">
        <f t="shared" si="104"/>
        <v>26 - 30</v>
      </c>
      <c r="F170" s="753">
        <f>IF(E$166="Abu Dhabi",(MAX(F130,_xlfn.IFNA(VLOOKUP(E170,'Age Banded Rating'!$A$97:$E$100,5,0),0))),F130)/(1-Intermediary_and_Fee)</f>
        <v>0</v>
      </c>
      <c r="G170" s="753">
        <f>IF(E$166="Abu Dhabi",(MAX(G130,_xlfn.IFNA(VLOOKUP(E170,'Age Banded Rating'!$A$97:$E$100,5,0),0))),G130)/(1-Intermediary_and_Fee)</f>
        <v>0</v>
      </c>
      <c r="H170" s="758" t="str">
        <f t="shared" si="104"/>
        <v>26 - 30</v>
      </c>
      <c r="I170" s="753">
        <f>IF(H$166="Abu Dhabi",(MAX(I130,_xlfn.IFNA(VLOOKUP(H170,'Age Banded Rating'!$A$97:$E$100,5,0),0))),I130)/(1-Intermediary_and_Fee)</f>
        <v>0</v>
      </c>
      <c r="J170" s="753">
        <f>IF(H$166="Abu Dhabi",(MAX(J130,_xlfn.IFNA(VLOOKUP(H170,'Age Banded Rating'!$A$97:$E$100,5,0),0))),J130)/(1-Intermediary_and_Fee)</f>
        <v>0</v>
      </c>
      <c r="K170" s="758" t="str">
        <f t="shared" si="104"/>
        <v>26 - 30</v>
      </c>
      <c r="L170" s="753">
        <f>IF(K$166="Abu Dhabi",(MAX(L130,_xlfn.IFNA(VLOOKUP(K170,'Age Banded Rating'!$A$97:$E$100,5,0),0))),L130)/(1-Intermediary_and_Fee)</f>
        <v>0</v>
      </c>
      <c r="M170" s="753">
        <f>IF(K$166="Abu Dhabi",(MAX(M130,_xlfn.IFNA(VLOOKUP(K170,'Age Banded Rating'!$A$97:$E$100,5,0),0))),M130)/(1-Intermediary_and_Fee)</f>
        <v>0</v>
      </c>
      <c r="N170" s="758" t="str">
        <f t="shared" si="104"/>
        <v>26 - 30</v>
      </c>
      <c r="O170" s="753">
        <f>IF(N$166="Abu Dhabi",(MAX(O130,_xlfn.IFNA(VLOOKUP(N170,'Age Banded Rating'!$A$97:$E$100,5,0),0))),O130)/(1-Intermediary_and_Fee)</f>
        <v>0</v>
      </c>
      <c r="P170" s="753">
        <f>IF(N$166="Abu Dhabi",(MAX(P130,_xlfn.IFNA(VLOOKUP(N170,'Age Banded Rating'!$A$97:$E$100,5,0),0))),P130)/(1-Intermediary_and_Fee)</f>
        <v>0</v>
      </c>
      <c r="Q170" s="758" t="str">
        <f t="shared" si="104"/>
        <v>26 - 30</v>
      </c>
      <c r="R170" s="753">
        <f>IF(Q$166="Abu Dhabi",(MAX(R130,_xlfn.IFNA(VLOOKUP(Q170,'Age Banded Rating'!$A$97:$E$100,5,0),0))),R130)/(1-Intermediary_and_Fee)</f>
        <v>0</v>
      </c>
      <c r="S170" s="753">
        <f>IF(Q$166="Abu Dhabi",(MAX(S130,_xlfn.IFNA(VLOOKUP(Q170,'Age Banded Rating'!$A$97:$E$100,5,0),0))),S130)/(1-Intermediary_and_Fee)</f>
        <v>0</v>
      </c>
      <c r="T170" s="758" t="str">
        <f t="shared" si="104"/>
        <v>26 - 30</v>
      </c>
      <c r="U170" s="753">
        <f>IF(T$166="Abu Dhabi",(MAX(U130,_xlfn.IFNA(VLOOKUP(T170,'Age Banded Rating'!$A$97:$E$100,5,0),0))),U130)/(1-Intermediary_and_Fee)</f>
        <v>0</v>
      </c>
      <c r="V170" s="753">
        <f>IF(T$166="Abu Dhabi",(MAX(V130,_xlfn.IFNA(VLOOKUP(T170,'Age Banded Rating'!$A$97:$E$100,5,0),0))),V130)/(1-Intermediary_and_Fee)</f>
        <v>0</v>
      </c>
      <c r="W170" s="758" t="str">
        <f t="shared" si="104"/>
        <v>26 - 30</v>
      </c>
      <c r="X170" s="753">
        <f>IF(W$166="Abu Dhabi",(MAX(X130,_xlfn.IFNA(VLOOKUP(W170,'Age Banded Rating'!$A$97:$E$100,5,0),0))),X130)/(1-Intermediary_and_Fee)</f>
        <v>0</v>
      </c>
      <c r="Y170" s="753">
        <f>IF(W$166="Abu Dhabi",(MAX(Y130,_xlfn.IFNA(VLOOKUP(W170,'Age Banded Rating'!$A$97:$E$100,5,0),0))),Y130)/(1-Intermediary_and_Fee)</f>
        <v>0</v>
      </c>
      <c r="Z170" s="688"/>
    </row>
    <row r="171" spans="2:26" x14ac:dyDescent="0.25">
      <c r="B171" s="758" t="str">
        <f t="shared" si="111"/>
        <v>31 - 35</v>
      </c>
      <c r="C171" s="753">
        <f ca="1">IF(B$166="Abu Dhabi",(MAX(C131,_xlfn.IFNA(VLOOKUP(B171,'Age Banded Rating'!$A$97:$E$100,5,0),0))),C131)/(1-Intermediary_and_Fee)</f>
        <v>1954.7906539321352</v>
      </c>
      <c r="D171" s="753">
        <f ca="1">IF(B$166="Abu Dhabi",(MAX(D131,_xlfn.IFNA(VLOOKUP(B171,'Age Banded Rating'!$A$97:$E$100,5,0),0))),D131)/(1-Intermediary_and_Fee)</f>
        <v>2164.1099574251607</v>
      </c>
      <c r="E171" s="758" t="str">
        <f t="shared" si="104"/>
        <v>31 - 35</v>
      </c>
      <c r="F171" s="753">
        <f>IF(E$166="Abu Dhabi",(MAX(F131,_xlfn.IFNA(VLOOKUP(E171,'Age Banded Rating'!$A$97:$E$100,5,0),0))),F131)/(1-Intermediary_and_Fee)</f>
        <v>0</v>
      </c>
      <c r="G171" s="753">
        <f>IF(E$166="Abu Dhabi",(MAX(G131,_xlfn.IFNA(VLOOKUP(E171,'Age Banded Rating'!$A$97:$E$100,5,0),0))),G131)/(1-Intermediary_and_Fee)</f>
        <v>0</v>
      </c>
      <c r="H171" s="758" t="str">
        <f t="shared" si="104"/>
        <v>31 - 35</v>
      </c>
      <c r="I171" s="753">
        <f>IF(H$166="Abu Dhabi",(MAX(I131,_xlfn.IFNA(VLOOKUP(H171,'Age Banded Rating'!$A$97:$E$100,5,0),0))),I131)/(1-Intermediary_and_Fee)</f>
        <v>0</v>
      </c>
      <c r="J171" s="753">
        <f>IF(H$166="Abu Dhabi",(MAX(J131,_xlfn.IFNA(VLOOKUP(H171,'Age Banded Rating'!$A$97:$E$100,5,0),0))),J131)/(1-Intermediary_and_Fee)</f>
        <v>0</v>
      </c>
      <c r="K171" s="758" t="str">
        <f t="shared" si="104"/>
        <v>31 - 35</v>
      </c>
      <c r="L171" s="753">
        <f>IF(K$166="Abu Dhabi",(MAX(L131,_xlfn.IFNA(VLOOKUP(K171,'Age Banded Rating'!$A$97:$E$100,5,0),0))),L131)/(1-Intermediary_and_Fee)</f>
        <v>0</v>
      </c>
      <c r="M171" s="753">
        <f>IF(K$166="Abu Dhabi",(MAX(M131,_xlfn.IFNA(VLOOKUP(K171,'Age Banded Rating'!$A$97:$E$100,5,0),0))),M131)/(1-Intermediary_and_Fee)</f>
        <v>0</v>
      </c>
      <c r="N171" s="758" t="str">
        <f t="shared" si="104"/>
        <v>31 - 35</v>
      </c>
      <c r="O171" s="753">
        <f>IF(N$166="Abu Dhabi",(MAX(O131,_xlfn.IFNA(VLOOKUP(N171,'Age Banded Rating'!$A$97:$E$100,5,0),0))),O131)/(1-Intermediary_and_Fee)</f>
        <v>0</v>
      </c>
      <c r="P171" s="753">
        <f>IF(N$166="Abu Dhabi",(MAX(P131,_xlfn.IFNA(VLOOKUP(N171,'Age Banded Rating'!$A$97:$E$100,5,0),0))),P131)/(1-Intermediary_and_Fee)</f>
        <v>0</v>
      </c>
      <c r="Q171" s="758" t="str">
        <f t="shared" si="104"/>
        <v>31 - 35</v>
      </c>
      <c r="R171" s="753">
        <f>IF(Q$166="Abu Dhabi",(MAX(R131,_xlfn.IFNA(VLOOKUP(Q171,'Age Banded Rating'!$A$97:$E$100,5,0),0))),R131)/(1-Intermediary_and_Fee)</f>
        <v>0</v>
      </c>
      <c r="S171" s="753">
        <f>IF(Q$166="Abu Dhabi",(MAX(S131,_xlfn.IFNA(VLOOKUP(Q171,'Age Banded Rating'!$A$97:$E$100,5,0),0))),S131)/(1-Intermediary_and_Fee)</f>
        <v>0</v>
      </c>
      <c r="T171" s="758" t="str">
        <f t="shared" si="104"/>
        <v>31 - 35</v>
      </c>
      <c r="U171" s="753">
        <f>IF(T$166="Abu Dhabi",(MAX(U131,_xlfn.IFNA(VLOOKUP(T171,'Age Banded Rating'!$A$97:$E$100,5,0),0))),U131)/(1-Intermediary_and_Fee)</f>
        <v>0</v>
      </c>
      <c r="V171" s="753">
        <f>IF(T$166="Abu Dhabi",(MAX(V131,_xlfn.IFNA(VLOOKUP(T171,'Age Banded Rating'!$A$97:$E$100,5,0),0))),V131)/(1-Intermediary_and_Fee)</f>
        <v>0</v>
      </c>
      <c r="W171" s="758" t="str">
        <f t="shared" si="104"/>
        <v>31 - 35</v>
      </c>
      <c r="X171" s="753">
        <f>IF(W$166="Abu Dhabi",(MAX(X131,_xlfn.IFNA(VLOOKUP(W171,'Age Banded Rating'!$A$97:$E$100,5,0),0))),X131)/(1-Intermediary_and_Fee)</f>
        <v>0</v>
      </c>
      <c r="Y171" s="753">
        <f>IF(W$166="Abu Dhabi",(MAX(Y131,_xlfn.IFNA(VLOOKUP(W171,'Age Banded Rating'!$A$97:$E$100,5,0),0))),Y131)/(1-Intermediary_and_Fee)</f>
        <v>0</v>
      </c>
      <c r="Z171" s="688"/>
    </row>
    <row r="172" spans="2:26" x14ac:dyDescent="0.25">
      <c r="B172" s="758" t="str">
        <f t="shared" si="111"/>
        <v>36 - 40</v>
      </c>
      <c r="C172" s="753">
        <f ca="1">IF(B$166="Abu Dhabi",(MAX(C132,_xlfn.IFNA(VLOOKUP(B172,'Age Banded Rating'!$A$97:$E$100,5,0),0))),C132)/(1-Intermediary_and_Fee)</f>
        <v>2413.463007487891</v>
      </c>
      <c r="D172" s="753">
        <f ca="1">IF(B$166="Abu Dhabi",(MAX(D132,_xlfn.IFNA(VLOOKUP(B172,'Age Banded Rating'!$A$97:$E$100,5,0),0))),D132)/(1-Intermediary_and_Fee)</f>
        <v>2702.8498041203252</v>
      </c>
      <c r="E172" s="758" t="str">
        <f t="shared" si="104"/>
        <v>36 - 40</v>
      </c>
      <c r="F172" s="753">
        <f>IF(E$166="Abu Dhabi",(MAX(F132,_xlfn.IFNA(VLOOKUP(E172,'Age Banded Rating'!$A$97:$E$100,5,0),0))),F132)/(1-Intermediary_and_Fee)</f>
        <v>0</v>
      </c>
      <c r="G172" s="753">
        <f>IF(E$166="Abu Dhabi",(MAX(G132,_xlfn.IFNA(VLOOKUP(E172,'Age Banded Rating'!$A$97:$E$100,5,0),0))),G132)/(1-Intermediary_and_Fee)</f>
        <v>0</v>
      </c>
      <c r="H172" s="758" t="str">
        <f t="shared" si="104"/>
        <v>36 - 40</v>
      </c>
      <c r="I172" s="753">
        <f>IF(H$166="Abu Dhabi",(MAX(I132,_xlfn.IFNA(VLOOKUP(H172,'Age Banded Rating'!$A$97:$E$100,5,0),0))),I132)/(1-Intermediary_and_Fee)</f>
        <v>0</v>
      </c>
      <c r="J172" s="753">
        <f>IF(H$166="Abu Dhabi",(MAX(J132,_xlfn.IFNA(VLOOKUP(H172,'Age Banded Rating'!$A$97:$E$100,5,0),0))),J132)/(1-Intermediary_and_Fee)</f>
        <v>0</v>
      </c>
      <c r="K172" s="758" t="str">
        <f t="shared" si="104"/>
        <v>36 - 40</v>
      </c>
      <c r="L172" s="753">
        <f>IF(K$166="Abu Dhabi",(MAX(L132,_xlfn.IFNA(VLOOKUP(K172,'Age Banded Rating'!$A$97:$E$100,5,0),0))),L132)/(1-Intermediary_and_Fee)</f>
        <v>0</v>
      </c>
      <c r="M172" s="753">
        <f>IF(K$166="Abu Dhabi",(MAX(M132,_xlfn.IFNA(VLOOKUP(K172,'Age Banded Rating'!$A$97:$E$100,5,0),0))),M132)/(1-Intermediary_and_Fee)</f>
        <v>0</v>
      </c>
      <c r="N172" s="758" t="str">
        <f t="shared" si="104"/>
        <v>36 - 40</v>
      </c>
      <c r="O172" s="753">
        <f>IF(N$166="Abu Dhabi",(MAX(O132,_xlfn.IFNA(VLOOKUP(N172,'Age Banded Rating'!$A$97:$E$100,5,0),0))),O132)/(1-Intermediary_and_Fee)</f>
        <v>0</v>
      </c>
      <c r="P172" s="753">
        <f>IF(N$166="Abu Dhabi",(MAX(P132,_xlfn.IFNA(VLOOKUP(N172,'Age Banded Rating'!$A$97:$E$100,5,0),0))),P132)/(1-Intermediary_and_Fee)</f>
        <v>0</v>
      </c>
      <c r="Q172" s="758" t="str">
        <f t="shared" si="104"/>
        <v>36 - 40</v>
      </c>
      <c r="R172" s="753">
        <f>IF(Q$166="Abu Dhabi",(MAX(R132,_xlfn.IFNA(VLOOKUP(Q172,'Age Banded Rating'!$A$97:$E$100,5,0),0))),R132)/(1-Intermediary_and_Fee)</f>
        <v>0</v>
      </c>
      <c r="S172" s="753">
        <f>IF(Q$166="Abu Dhabi",(MAX(S132,_xlfn.IFNA(VLOOKUP(Q172,'Age Banded Rating'!$A$97:$E$100,5,0),0))),S132)/(1-Intermediary_and_Fee)</f>
        <v>0</v>
      </c>
      <c r="T172" s="758" t="str">
        <f t="shared" si="104"/>
        <v>36 - 40</v>
      </c>
      <c r="U172" s="753">
        <f>IF(T$166="Abu Dhabi",(MAX(U132,_xlfn.IFNA(VLOOKUP(T172,'Age Banded Rating'!$A$97:$E$100,5,0),0))),U132)/(1-Intermediary_and_Fee)</f>
        <v>0</v>
      </c>
      <c r="V172" s="753">
        <f>IF(T$166="Abu Dhabi",(MAX(V132,_xlfn.IFNA(VLOOKUP(T172,'Age Banded Rating'!$A$97:$E$100,5,0),0))),V132)/(1-Intermediary_and_Fee)</f>
        <v>0</v>
      </c>
      <c r="W172" s="758" t="str">
        <f t="shared" si="104"/>
        <v>36 - 40</v>
      </c>
      <c r="X172" s="753">
        <f>IF(W$166="Abu Dhabi",(MAX(X132,_xlfn.IFNA(VLOOKUP(W172,'Age Banded Rating'!$A$97:$E$100,5,0),0))),X132)/(1-Intermediary_and_Fee)</f>
        <v>0</v>
      </c>
      <c r="Y172" s="753">
        <f>IF(W$166="Abu Dhabi",(MAX(Y132,_xlfn.IFNA(VLOOKUP(W172,'Age Banded Rating'!$A$97:$E$100,5,0),0))),Y132)/(1-Intermediary_and_Fee)</f>
        <v>0</v>
      </c>
      <c r="Z172" s="688"/>
    </row>
    <row r="173" spans="2:26" x14ac:dyDescent="0.25">
      <c r="B173" s="758" t="str">
        <f t="shared" si="111"/>
        <v>41 - 45</v>
      </c>
      <c r="C173" s="753">
        <f ca="1">IF(B$166="Abu Dhabi",(MAX(C133,_xlfn.IFNA(VLOOKUP(B173,'Age Banded Rating'!$A$97:$E$100,5,0),0))),C133)/(1-Intermediary_and_Fee)</f>
        <v>2828.6701504822531</v>
      </c>
      <c r="D173" s="753">
        <f ca="1">IF(B$166="Abu Dhabi",(MAX(D133,_xlfn.IFNA(VLOOKUP(B173,'Age Banded Rating'!$A$97:$E$100,5,0),0))),D133)/(1-Intermediary_and_Fee)</f>
        <v>3464.6348102752709</v>
      </c>
      <c r="E173" s="758" t="str">
        <f t="shared" si="104"/>
        <v>41 - 45</v>
      </c>
      <c r="F173" s="753">
        <f>IF(E$166="Abu Dhabi",(MAX(F133,_xlfn.IFNA(VLOOKUP(E173,'Age Banded Rating'!$A$97:$E$100,5,0),0))),F133)/(1-Intermediary_and_Fee)</f>
        <v>0</v>
      </c>
      <c r="G173" s="753">
        <f>IF(E$166="Abu Dhabi",(MAX(G133,_xlfn.IFNA(VLOOKUP(E173,'Age Banded Rating'!$A$97:$E$100,5,0),0))),G133)/(1-Intermediary_and_Fee)</f>
        <v>0</v>
      </c>
      <c r="H173" s="758" t="str">
        <f t="shared" si="104"/>
        <v>41 - 45</v>
      </c>
      <c r="I173" s="753">
        <f>IF(H$166="Abu Dhabi",(MAX(I133,_xlfn.IFNA(VLOOKUP(H173,'Age Banded Rating'!$A$97:$E$100,5,0),0))),I133)/(1-Intermediary_and_Fee)</f>
        <v>0</v>
      </c>
      <c r="J173" s="753">
        <f>IF(H$166="Abu Dhabi",(MAX(J133,_xlfn.IFNA(VLOOKUP(H173,'Age Banded Rating'!$A$97:$E$100,5,0),0))),J133)/(1-Intermediary_and_Fee)</f>
        <v>0</v>
      </c>
      <c r="K173" s="758" t="str">
        <f t="shared" si="104"/>
        <v>41 - 45</v>
      </c>
      <c r="L173" s="753">
        <f>IF(K$166="Abu Dhabi",(MAX(L133,_xlfn.IFNA(VLOOKUP(K173,'Age Banded Rating'!$A$97:$E$100,5,0),0))),L133)/(1-Intermediary_and_Fee)</f>
        <v>0</v>
      </c>
      <c r="M173" s="753">
        <f>IF(K$166="Abu Dhabi",(MAX(M133,_xlfn.IFNA(VLOOKUP(K173,'Age Banded Rating'!$A$97:$E$100,5,0),0))),M133)/(1-Intermediary_and_Fee)</f>
        <v>0</v>
      </c>
      <c r="N173" s="758" t="str">
        <f t="shared" si="104"/>
        <v>41 - 45</v>
      </c>
      <c r="O173" s="753">
        <f>IF(N$166="Abu Dhabi",(MAX(O133,_xlfn.IFNA(VLOOKUP(N173,'Age Banded Rating'!$A$97:$E$100,5,0),0))),O133)/(1-Intermediary_and_Fee)</f>
        <v>0</v>
      </c>
      <c r="P173" s="753">
        <f>IF(N$166="Abu Dhabi",(MAX(P133,_xlfn.IFNA(VLOOKUP(N173,'Age Banded Rating'!$A$97:$E$100,5,0),0))),P133)/(1-Intermediary_and_Fee)</f>
        <v>0</v>
      </c>
      <c r="Q173" s="758" t="str">
        <f t="shared" si="104"/>
        <v>41 - 45</v>
      </c>
      <c r="R173" s="753">
        <f>IF(Q$166="Abu Dhabi",(MAX(R133,_xlfn.IFNA(VLOOKUP(Q173,'Age Banded Rating'!$A$97:$E$100,5,0),0))),R133)/(1-Intermediary_and_Fee)</f>
        <v>0</v>
      </c>
      <c r="S173" s="753">
        <f>IF(Q$166="Abu Dhabi",(MAX(S133,_xlfn.IFNA(VLOOKUP(Q173,'Age Banded Rating'!$A$97:$E$100,5,0),0))),S133)/(1-Intermediary_and_Fee)</f>
        <v>0</v>
      </c>
      <c r="T173" s="758" t="str">
        <f t="shared" si="104"/>
        <v>41 - 45</v>
      </c>
      <c r="U173" s="753">
        <f>IF(T$166="Abu Dhabi",(MAX(U133,_xlfn.IFNA(VLOOKUP(T173,'Age Banded Rating'!$A$97:$E$100,5,0),0))),U133)/(1-Intermediary_and_Fee)</f>
        <v>0</v>
      </c>
      <c r="V173" s="753">
        <f>IF(T$166="Abu Dhabi",(MAX(V133,_xlfn.IFNA(VLOOKUP(T173,'Age Banded Rating'!$A$97:$E$100,5,0),0))),V133)/(1-Intermediary_and_Fee)</f>
        <v>0</v>
      </c>
      <c r="W173" s="758" t="str">
        <f t="shared" si="104"/>
        <v>41 - 45</v>
      </c>
      <c r="X173" s="753">
        <f>IF(W$166="Abu Dhabi",(MAX(X133,_xlfn.IFNA(VLOOKUP(W173,'Age Banded Rating'!$A$97:$E$100,5,0),0))),X133)/(1-Intermediary_and_Fee)</f>
        <v>0</v>
      </c>
      <c r="Y173" s="753">
        <f>IF(W$166="Abu Dhabi",(MAX(Y133,_xlfn.IFNA(VLOOKUP(W173,'Age Banded Rating'!$A$97:$E$100,5,0),0))),Y133)/(1-Intermediary_and_Fee)</f>
        <v>0</v>
      </c>
      <c r="Z173" s="688"/>
    </row>
    <row r="174" spans="2:26" x14ac:dyDescent="0.25">
      <c r="B174" s="758" t="str">
        <f t="shared" si="111"/>
        <v>46 - 50</v>
      </c>
      <c r="C174" s="753">
        <f ca="1">IF(B$166="Abu Dhabi",(MAX(C134,_xlfn.IFNA(VLOOKUP(B174,'Age Banded Rating'!$A$97:$E$100,5,0),0))),C134)/(1-Intermediary_and_Fee)</f>
        <v>3693.3990763878669</v>
      </c>
      <c r="D174" s="753">
        <f ca="1">IF(B$166="Abu Dhabi",(MAX(D134,_xlfn.IFNA(VLOOKUP(B174,'Age Banded Rating'!$A$97:$E$100,5,0),0))),D134)/(1-Intermediary_and_Fee)</f>
        <v>4336.2266641642627</v>
      </c>
      <c r="E174" s="758" t="str">
        <f t="shared" si="104"/>
        <v>46 - 50</v>
      </c>
      <c r="F174" s="753">
        <f>IF(E$166="Abu Dhabi",(MAX(F134,_xlfn.IFNA(VLOOKUP(E174,'Age Banded Rating'!$A$97:$E$100,5,0),0))),F134)/(1-Intermediary_and_Fee)</f>
        <v>0</v>
      </c>
      <c r="G174" s="753">
        <f>IF(E$166="Abu Dhabi",(MAX(G134,_xlfn.IFNA(VLOOKUP(E174,'Age Banded Rating'!$A$97:$E$100,5,0),0))),G134)/(1-Intermediary_and_Fee)</f>
        <v>0</v>
      </c>
      <c r="H174" s="758" t="str">
        <f t="shared" si="104"/>
        <v>46 - 50</v>
      </c>
      <c r="I174" s="753">
        <f>IF(H$166="Abu Dhabi",(MAX(I134,_xlfn.IFNA(VLOOKUP(H174,'Age Banded Rating'!$A$97:$E$100,5,0),0))),I134)/(1-Intermediary_and_Fee)</f>
        <v>0</v>
      </c>
      <c r="J174" s="753">
        <f>IF(H$166="Abu Dhabi",(MAX(J134,_xlfn.IFNA(VLOOKUP(H174,'Age Banded Rating'!$A$97:$E$100,5,0),0))),J134)/(1-Intermediary_and_Fee)</f>
        <v>0</v>
      </c>
      <c r="K174" s="758" t="str">
        <f t="shared" si="104"/>
        <v>46 - 50</v>
      </c>
      <c r="L174" s="753">
        <f>IF(K$166="Abu Dhabi",(MAX(L134,_xlfn.IFNA(VLOOKUP(K174,'Age Banded Rating'!$A$97:$E$100,5,0),0))),L134)/(1-Intermediary_and_Fee)</f>
        <v>0</v>
      </c>
      <c r="M174" s="753">
        <f>IF(K$166="Abu Dhabi",(MAX(M134,_xlfn.IFNA(VLOOKUP(K174,'Age Banded Rating'!$A$97:$E$100,5,0),0))),M134)/(1-Intermediary_and_Fee)</f>
        <v>0</v>
      </c>
      <c r="N174" s="758" t="str">
        <f t="shared" si="104"/>
        <v>46 - 50</v>
      </c>
      <c r="O174" s="753">
        <f>IF(N$166="Abu Dhabi",(MAX(O134,_xlfn.IFNA(VLOOKUP(N174,'Age Banded Rating'!$A$97:$E$100,5,0),0))),O134)/(1-Intermediary_and_Fee)</f>
        <v>0</v>
      </c>
      <c r="P174" s="753">
        <f>IF(N$166="Abu Dhabi",(MAX(P134,_xlfn.IFNA(VLOOKUP(N174,'Age Banded Rating'!$A$97:$E$100,5,0),0))),P134)/(1-Intermediary_and_Fee)</f>
        <v>0</v>
      </c>
      <c r="Q174" s="758" t="str">
        <f t="shared" si="104"/>
        <v>46 - 50</v>
      </c>
      <c r="R174" s="753">
        <f>IF(Q$166="Abu Dhabi",(MAX(R134,_xlfn.IFNA(VLOOKUP(Q174,'Age Banded Rating'!$A$97:$E$100,5,0),0))),R134)/(1-Intermediary_and_Fee)</f>
        <v>0</v>
      </c>
      <c r="S174" s="753">
        <f>IF(Q$166="Abu Dhabi",(MAX(S134,_xlfn.IFNA(VLOOKUP(Q174,'Age Banded Rating'!$A$97:$E$100,5,0),0))),S134)/(1-Intermediary_and_Fee)</f>
        <v>0</v>
      </c>
      <c r="T174" s="758" t="str">
        <f t="shared" si="104"/>
        <v>46 - 50</v>
      </c>
      <c r="U174" s="753">
        <f>IF(T$166="Abu Dhabi",(MAX(U134,_xlfn.IFNA(VLOOKUP(T174,'Age Banded Rating'!$A$97:$E$100,5,0),0))),U134)/(1-Intermediary_and_Fee)</f>
        <v>0</v>
      </c>
      <c r="V174" s="753">
        <f>IF(T$166="Abu Dhabi",(MAX(V134,_xlfn.IFNA(VLOOKUP(T174,'Age Banded Rating'!$A$97:$E$100,5,0),0))),V134)/(1-Intermediary_and_Fee)</f>
        <v>0</v>
      </c>
      <c r="W174" s="758" t="str">
        <f t="shared" si="104"/>
        <v>46 - 50</v>
      </c>
      <c r="X174" s="753">
        <f>IF(W$166="Abu Dhabi",(MAX(X134,_xlfn.IFNA(VLOOKUP(W174,'Age Banded Rating'!$A$97:$E$100,5,0),0))),X134)/(1-Intermediary_and_Fee)</f>
        <v>0</v>
      </c>
      <c r="Y174" s="753">
        <f>IF(W$166="Abu Dhabi",(MAX(Y134,_xlfn.IFNA(VLOOKUP(W174,'Age Banded Rating'!$A$97:$E$100,5,0),0))),Y134)/(1-Intermediary_and_Fee)</f>
        <v>0</v>
      </c>
      <c r="Z174" s="688"/>
    </row>
    <row r="175" spans="2:26" x14ac:dyDescent="0.25">
      <c r="B175" s="758" t="str">
        <f t="shared" si="111"/>
        <v>51 - 55</v>
      </c>
      <c r="C175" s="753">
        <f ca="1">IF(B$166="Abu Dhabi",(MAX(C135,_xlfn.IFNA(VLOOKUP(B175,'Age Banded Rating'!$A$97:$E$100,5,0),0))),C135)/(1-Intermediary_and_Fee)</f>
        <v>4945.8834333543318</v>
      </c>
      <c r="D175" s="753">
        <f ca="1">IF(B$166="Abu Dhabi",(MAX(D135,_xlfn.IFNA(VLOOKUP(B175,'Age Banded Rating'!$A$97:$E$100,5,0),0))),D135)/(1-Intermediary_and_Fee)</f>
        <v>5712.2437248315291</v>
      </c>
      <c r="E175" s="758" t="str">
        <f t="shared" si="104"/>
        <v>51 - 55</v>
      </c>
      <c r="F175" s="753">
        <f>IF(E$166="Abu Dhabi",(MAX(F135,_xlfn.IFNA(VLOOKUP(E175,'Age Banded Rating'!$A$97:$E$100,5,0),0))),F135)/(1-Intermediary_and_Fee)</f>
        <v>0</v>
      </c>
      <c r="G175" s="753">
        <f>IF(E$166="Abu Dhabi",(MAX(G135,_xlfn.IFNA(VLOOKUP(E175,'Age Banded Rating'!$A$97:$E$100,5,0),0))),G135)/(1-Intermediary_and_Fee)</f>
        <v>0</v>
      </c>
      <c r="H175" s="758" t="str">
        <f t="shared" si="104"/>
        <v>51 - 55</v>
      </c>
      <c r="I175" s="753">
        <f>IF(H$166="Abu Dhabi",(MAX(I135,_xlfn.IFNA(VLOOKUP(H175,'Age Banded Rating'!$A$97:$E$100,5,0),0))),I135)/(1-Intermediary_and_Fee)</f>
        <v>0</v>
      </c>
      <c r="J175" s="753">
        <f>IF(H$166="Abu Dhabi",(MAX(J135,_xlfn.IFNA(VLOOKUP(H175,'Age Banded Rating'!$A$97:$E$100,5,0),0))),J135)/(1-Intermediary_and_Fee)</f>
        <v>0</v>
      </c>
      <c r="K175" s="758" t="str">
        <f t="shared" si="104"/>
        <v>51 - 55</v>
      </c>
      <c r="L175" s="753">
        <f>IF(K$166="Abu Dhabi",(MAX(L135,_xlfn.IFNA(VLOOKUP(K175,'Age Banded Rating'!$A$97:$E$100,5,0),0))),L135)/(1-Intermediary_and_Fee)</f>
        <v>0</v>
      </c>
      <c r="M175" s="753">
        <f>IF(K$166="Abu Dhabi",(MAX(M135,_xlfn.IFNA(VLOOKUP(K175,'Age Banded Rating'!$A$97:$E$100,5,0),0))),M135)/(1-Intermediary_and_Fee)</f>
        <v>0</v>
      </c>
      <c r="N175" s="758" t="str">
        <f t="shared" si="104"/>
        <v>51 - 55</v>
      </c>
      <c r="O175" s="753">
        <f>IF(N$166="Abu Dhabi",(MAX(O135,_xlfn.IFNA(VLOOKUP(N175,'Age Banded Rating'!$A$97:$E$100,5,0),0))),O135)/(1-Intermediary_and_Fee)</f>
        <v>0</v>
      </c>
      <c r="P175" s="753">
        <f>IF(N$166="Abu Dhabi",(MAX(P135,_xlfn.IFNA(VLOOKUP(N175,'Age Banded Rating'!$A$97:$E$100,5,0),0))),P135)/(1-Intermediary_and_Fee)</f>
        <v>0</v>
      </c>
      <c r="Q175" s="758" t="str">
        <f t="shared" si="104"/>
        <v>51 - 55</v>
      </c>
      <c r="R175" s="753">
        <f>IF(Q$166="Abu Dhabi",(MAX(R135,_xlfn.IFNA(VLOOKUP(Q175,'Age Banded Rating'!$A$97:$E$100,5,0),0))),R135)/(1-Intermediary_and_Fee)</f>
        <v>0</v>
      </c>
      <c r="S175" s="753">
        <f>IF(Q$166="Abu Dhabi",(MAX(S135,_xlfn.IFNA(VLOOKUP(Q175,'Age Banded Rating'!$A$97:$E$100,5,0),0))),S135)/(1-Intermediary_and_Fee)</f>
        <v>0</v>
      </c>
      <c r="T175" s="758" t="str">
        <f t="shared" si="104"/>
        <v>51 - 55</v>
      </c>
      <c r="U175" s="753">
        <f>IF(T$166="Abu Dhabi",(MAX(U135,_xlfn.IFNA(VLOOKUP(T175,'Age Banded Rating'!$A$97:$E$100,5,0),0))),U135)/(1-Intermediary_and_Fee)</f>
        <v>0</v>
      </c>
      <c r="V175" s="753">
        <f>IF(T$166="Abu Dhabi",(MAX(V135,_xlfn.IFNA(VLOOKUP(T175,'Age Banded Rating'!$A$97:$E$100,5,0),0))),V135)/(1-Intermediary_and_Fee)</f>
        <v>0</v>
      </c>
      <c r="W175" s="758" t="str">
        <f t="shared" si="104"/>
        <v>51 - 55</v>
      </c>
      <c r="X175" s="753">
        <f>IF(W$166="Abu Dhabi",(MAX(X135,_xlfn.IFNA(VLOOKUP(W175,'Age Banded Rating'!$A$97:$E$100,5,0),0))),X135)/(1-Intermediary_and_Fee)</f>
        <v>0</v>
      </c>
      <c r="Y175" s="753">
        <f>IF(W$166="Abu Dhabi",(MAX(Y135,_xlfn.IFNA(VLOOKUP(W175,'Age Banded Rating'!$A$97:$E$100,5,0),0))),Y135)/(1-Intermediary_and_Fee)</f>
        <v>0</v>
      </c>
      <c r="Z175" s="688"/>
    </row>
    <row r="176" spans="2:26" x14ac:dyDescent="0.25">
      <c r="B176" s="758" t="str">
        <f t="shared" si="111"/>
        <v>56 - 59</v>
      </c>
      <c r="C176" s="753">
        <f ca="1">IF(B$166="Abu Dhabi",(MAX(C136,_xlfn.IFNA(VLOOKUP(B176,'Age Banded Rating'!$A$97:$E$100,5,0),0))),C136)/(1-Intermediary_and_Fee)</f>
        <v>6726.8132450408939</v>
      </c>
      <c r="D176" s="753">
        <f ca="1">IF(B$166="Abu Dhabi",(MAX(D136,_xlfn.IFNA(VLOOKUP(B176,'Age Banded Rating'!$A$97:$E$100,5,0),0))),D136)/(1-Intermediary_and_Fee)</f>
        <v>6989.8921510703794</v>
      </c>
      <c r="E176" s="758" t="str">
        <f t="shared" si="104"/>
        <v>56 - 59</v>
      </c>
      <c r="F176" s="753">
        <f>IF(E$166="Abu Dhabi",(MAX(F136,_xlfn.IFNA(VLOOKUP(E176,'Age Banded Rating'!$A$97:$E$100,5,0),0))),F136)/(1-Intermediary_and_Fee)</f>
        <v>0</v>
      </c>
      <c r="G176" s="753">
        <f>IF(E$166="Abu Dhabi",(MAX(G136,_xlfn.IFNA(VLOOKUP(E176,'Age Banded Rating'!$A$97:$E$100,5,0),0))),G136)/(1-Intermediary_and_Fee)</f>
        <v>0</v>
      </c>
      <c r="H176" s="758" t="str">
        <f t="shared" si="104"/>
        <v>56 - 59</v>
      </c>
      <c r="I176" s="753">
        <f>IF(H$166="Abu Dhabi",(MAX(I136,_xlfn.IFNA(VLOOKUP(H176,'Age Banded Rating'!$A$97:$E$100,5,0),0))),I136)/(1-Intermediary_and_Fee)</f>
        <v>0</v>
      </c>
      <c r="J176" s="753">
        <f>IF(H$166="Abu Dhabi",(MAX(J136,_xlfn.IFNA(VLOOKUP(H176,'Age Banded Rating'!$A$97:$E$100,5,0),0))),J136)/(1-Intermediary_and_Fee)</f>
        <v>0</v>
      </c>
      <c r="K176" s="758" t="str">
        <f t="shared" si="104"/>
        <v>56 - 59</v>
      </c>
      <c r="L176" s="753">
        <f>IF(K$166="Abu Dhabi",(MAX(L136,_xlfn.IFNA(VLOOKUP(K176,'Age Banded Rating'!$A$97:$E$100,5,0),0))),L136)/(1-Intermediary_and_Fee)</f>
        <v>0</v>
      </c>
      <c r="M176" s="753">
        <f>IF(K$166="Abu Dhabi",(MAX(M136,_xlfn.IFNA(VLOOKUP(K176,'Age Banded Rating'!$A$97:$E$100,5,0),0))),M136)/(1-Intermediary_and_Fee)</f>
        <v>0</v>
      </c>
      <c r="N176" s="758" t="str">
        <f t="shared" si="104"/>
        <v>56 - 59</v>
      </c>
      <c r="O176" s="753">
        <f>IF(N$166="Abu Dhabi",(MAX(O136,_xlfn.IFNA(VLOOKUP(N176,'Age Banded Rating'!$A$97:$E$100,5,0),0))),O136)/(1-Intermediary_and_Fee)</f>
        <v>0</v>
      </c>
      <c r="P176" s="753">
        <f>IF(N$166="Abu Dhabi",(MAX(P136,_xlfn.IFNA(VLOOKUP(N176,'Age Banded Rating'!$A$97:$E$100,5,0),0))),P136)/(1-Intermediary_and_Fee)</f>
        <v>0</v>
      </c>
      <c r="Q176" s="758" t="str">
        <f t="shared" si="104"/>
        <v>56 - 59</v>
      </c>
      <c r="R176" s="753">
        <f>IF(Q$166="Abu Dhabi",(MAX(R136,_xlfn.IFNA(VLOOKUP(Q176,'Age Banded Rating'!$A$97:$E$100,5,0),0))),R136)/(1-Intermediary_and_Fee)</f>
        <v>0</v>
      </c>
      <c r="S176" s="753">
        <f>IF(Q$166="Abu Dhabi",(MAX(S136,_xlfn.IFNA(VLOOKUP(Q176,'Age Banded Rating'!$A$97:$E$100,5,0),0))),S136)/(1-Intermediary_and_Fee)</f>
        <v>0</v>
      </c>
      <c r="T176" s="758" t="str">
        <f t="shared" si="104"/>
        <v>56 - 59</v>
      </c>
      <c r="U176" s="753">
        <f>IF(T$166="Abu Dhabi",(MAX(U136,_xlfn.IFNA(VLOOKUP(T176,'Age Banded Rating'!$A$97:$E$100,5,0),0))),U136)/(1-Intermediary_and_Fee)</f>
        <v>0</v>
      </c>
      <c r="V176" s="753">
        <f>IF(T$166="Abu Dhabi",(MAX(V136,_xlfn.IFNA(VLOOKUP(T176,'Age Banded Rating'!$A$97:$E$100,5,0),0))),V136)/(1-Intermediary_and_Fee)</f>
        <v>0</v>
      </c>
      <c r="W176" s="758" t="str">
        <f t="shared" si="104"/>
        <v>56 - 59</v>
      </c>
      <c r="X176" s="753">
        <f>IF(W$166="Abu Dhabi",(MAX(X136,_xlfn.IFNA(VLOOKUP(W176,'Age Banded Rating'!$A$97:$E$100,5,0),0))),X136)/(1-Intermediary_and_Fee)</f>
        <v>0</v>
      </c>
      <c r="Y176" s="753">
        <f>IF(W$166="Abu Dhabi",(MAX(Y136,_xlfn.IFNA(VLOOKUP(W176,'Age Banded Rating'!$A$97:$E$100,5,0),0))),Y136)/(1-Intermediary_and_Fee)</f>
        <v>0</v>
      </c>
      <c r="Z176" s="688"/>
    </row>
    <row r="177" spans="1:26" x14ac:dyDescent="0.25">
      <c r="B177" s="758" t="str">
        <f t="shared" si="111"/>
        <v>60 - 64</v>
      </c>
      <c r="C177" s="753">
        <f ca="1">IF(B$166="Abu Dhabi",(MAX(C137,_xlfn.IFNA(VLOOKUP(B177,'Age Banded Rating'!$A$97:$E$100,5,0),0))),C137)/(1-Intermediary_and_Fee)</f>
        <v>8273.2596839620437</v>
      </c>
      <c r="D177" s="753">
        <f ca="1">IF(B$166="Abu Dhabi",(MAX(D137,_xlfn.IFNA(VLOOKUP(B177,'Age Banded Rating'!$A$97:$E$100,5,0),0))),D137)/(1-Intermediary_and_Fee)</f>
        <v>8301.8552172261188</v>
      </c>
      <c r="E177" s="758" t="str">
        <f t="shared" si="104"/>
        <v>60 - 64</v>
      </c>
      <c r="F177" s="753">
        <f>IF(E$166="Abu Dhabi",(MAX(F137,_xlfn.IFNA(VLOOKUP(E177,'Age Banded Rating'!$A$97:$E$100,5,0),0))),F137)/(1-Intermediary_and_Fee)</f>
        <v>0</v>
      </c>
      <c r="G177" s="753">
        <f>IF(E$166="Abu Dhabi",(MAX(G137,_xlfn.IFNA(VLOOKUP(E177,'Age Banded Rating'!$A$97:$E$100,5,0),0))),G137)/(1-Intermediary_and_Fee)</f>
        <v>0</v>
      </c>
      <c r="H177" s="758" t="str">
        <f t="shared" si="104"/>
        <v>60 - 64</v>
      </c>
      <c r="I177" s="753">
        <f>IF(H$166="Abu Dhabi",(MAX(I137,_xlfn.IFNA(VLOOKUP(H177,'Age Banded Rating'!$A$97:$E$100,5,0),0))),I137)/(1-Intermediary_and_Fee)</f>
        <v>0</v>
      </c>
      <c r="J177" s="753">
        <f>IF(H$166="Abu Dhabi",(MAX(J137,_xlfn.IFNA(VLOOKUP(H177,'Age Banded Rating'!$A$97:$E$100,5,0),0))),J137)/(1-Intermediary_and_Fee)</f>
        <v>0</v>
      </c>
      <c r="K177" s="758" t="str">
        <f t="shared" si="104"/>
        <v>60 - 64</v>
      </c>
      <c r="L177" s="753">
        <f>IF(K$166="Abu Dhabi",(MAX(L137,_xlfn.IFNA(VLOOKUP(K177,'Age Banded Rating'!$A$97:$E$100,5,0),0))),L137)/(1-Intermediary_and_Fee)</f>
        <v>0</v>
      </c>
      <c r="M177" s="753">
        <f>IF(K$166="Abu Dhabi",(MAX(M137,_xlfn.IFNA(VLOOKUP(K177,'Age Banded Rating'!$A$97:$E$100,5,0),0))),M137)/(1-Intermediary_and_Fee)</f>
        <v>0</v>
      </c>
      <c r="N177" s="758" t="str">
        <f t="shared" si="104"/>
        <v>60 - 64</v>
      </c>
      <c r="O177" s="753">
        <f>IF(N$166="Abu Dhabi",(MAX(O137,_xlfn.IFNA(VLOOKUP(N177,'Age Banded Rating'!$A$97:$E$100,5,0),0))),O137)/(1-Intermediary_and_Fee)</f>
        <v>0</v>
      </c>
      <c r="P177" s="753">
        <f>IF(N$166="Abu Dhabi",(MAX(P137,_xlfn.IFNA(VLOOKUP(N177,'Age Banded Rating'!$A$97:$E$100,5,0),0))),P137)/(1-Intermediary_and_Fee)</f>
        <v>0</v>
      </c>
      <c r="Q177" s="758" t="str">
        <f t="shared" si="104"/>
        <v>60 - 64</v>
      </c>
      <c r="R177" s="753">
        <f>IF(Q$166="Abu Dhabi",(MAX(R137,_xlfn.IFNA(VLOOKUP(Q177,'Age Banded Rating'!$A$97:$E$100,5,0),0))),R137)/(1-Intermediary_and_Fee)</f>
        <v>0</v>
      </c>
      <c r="S177" s="753">
        <f>IF(Q$166="Abu Dhabi",(MAX(S137,_xlfn.IFNA(VLOOKUP(Q177,'Age Banded Rating'!$A$97:$E$100,5,0),0))),S137)/(1-Intermediary_and_Fee)</f>
        <v>0</v>
      </c>
      <c r="T177" s="758" t="str">
        <f t="shared" si="104"/>
        <v>60 - 64</v>
      </c>
      <c r="U177" s="753">
        <f>IF(T$166="Abu Dhabi",(MAX(U137,_xlfn.IFNA(VLOOKUP(T177,'Age Banded Rating'!$A$97:$E$100,5,0),0))),U137)/(1-Intermediary_and_Fee)</f>
        <v>0</v>
      </c>
      <c r="V177" s="753">
        <f>IF(T$166="Abu Dhabi",(MAX(V137,_xlfn.IFNA(VLOOKUP(T177,'Age Banded Rating'!$A$97:$E$100,5,0),0))),V137)/(1-Intermediary_and_Fee)</f>
        <v>0</v>
      </c>
      <c r="W177" s="758" t="str">
        <f t="shared" si="104"/>
        <v>60 - 64</v>
      </c>
      <c r="X177" s="753">
        <f>IF(W$166="Abu Dhabi",(MAX(X137,_xlfn.IFNA(VLOOKUP(W177,'Age Banded Rating'!$A$97:$E$100,5,0),0))),X137)/(1-Intermediary_and_Fee)</f>
        <v>0</v>
      </c>
      <c r="Y177" s="753">
        <f>IF(W$166="Abu Dhabi",(MAX(Y137,_xlfn.IFNA(VLOOKUP(W177,'Age Banded Rating'!$A$97:$E$100,5,0),0))),Y137)/(1-Intermediary_and_Fee)</f>
        <v>0</v>
      </c>
      <c r="Z177" s="688"/>
    </row>
    <row r="178" spans="1:26" x14ac:dyDescent="0.25">
      <c r="B178" s="758" t="str">
        <f t="shared" si="111"/>
        <v>65 - 99</v>
      </c>
      <c r="C178" s="753">
        <f ca="1">IF(B$166="Abu Dhabi",(MAX(C138,_xlfn.IFNA(VLOOKUP(B178,'Age Banded Rating'!$A$97:$E$100,5,0),0))),C138)/(1-Intermediary_and_Fee)</f>
        <v>14891.867431131679</v>
      </c>
      <c r="D178" s="753">
        <f ca="1">IF(B$166="Abu Dhabi",(MAX(D138,_xlfn.IFNA(VLOOKUP(B178,'Age Banded Rating'!$A$97:$E$100,5,0),0))),D138)/(1-Intermediary_and_Fee)</f>
        <v>14943.339391007014</v>
      </c>
      <c r="E178" s="758" t="str">
        <f t="shared" si="104"/>
        <v>65 - 99</v>
      </c>
      <c r="F178" s="753">
        <f>IF(E$166="Abu Dhabi",(MAX(F138,_xlfn.IFNA(VLOOKUP(E178,'Age Banded Rating'!$A$97:$E$100,5,0),0))),F138)/(1-Intermediary_and_Fee)</f>
        <v>0</v>
      </c>
      <c r="G178" s="753">
        <f>IF(E$166="Abu Dhabi",(MAX(G138,_xlfn.IFNA(VLOOKUP(E178,'Age Banded Rating'!$A$97:$E$100,5,0),0))),G138)/(1-Intermediary_and_Fee)</f>
        <v>0</v>
      </c>
      <c r="H178" s="758" t="str">
        <f t="shared" si="104"/>
        <v>65 - 99</v>
      </c>
      <c r="I178" s="753">
        <f>IF(H$166="Abu Dhabi",(MAX(I138,_xlfn.IFNA(VLOOKUP(H178,'Age Banded Rating'!$A$97:$E$100,5,0),0))),I138)/(1-Intermediary_and_Fee)</f>
        <v>0</v>
      </c>
      <c r="J178" s="753">
        <f>IF(H$166="Abu Dhabi",(MAX(J138,_xlfn.IFNA(VLOOKUP(H178,'Age Banded Rating'!$A$97:$E$100,5,0),0))),J138)/(1-Intermediary_and_Fee)</f>
        <v>0</v>
      </c>
      <c r="K178" s="758" t="str">
        <f t="shared" si="104"/>
        <v>65 - 99</v>
      </c>
      <c r="L178" s="753">
        <f>IF(K$166="Abu Dhabi",(MAX(L138,_xlfn.IFNA(VLOOKUP(K178,'Age Banded Rating'!$A$97:$E$100,5,0),0))),L138)/(1-Intermediary_and_Fee)</f>
        <v>0</v>
      </c>
      <c r="M178" s="753">
        <f>IF(K$166="Abu Dhabi",(MAX(M138,_xlfn.IFNA(VLOOKUP(K178,'Age Banded Rating'!$A$97:$E$100,5,0),0))),M138)/(1-Intermediary_and_Fee)</f>
        <v>0</v>
      </c>
      <c r="N178" s="758" t="str">
        <f t="shared" si="104"/>
        <v>65 - 99</v>
      </c>
      <c r="O178" s="753">
        <f>IF(N$166="Abu Dhabi",(MAX(O138,_xlfn.IFNA(VLOOKUP(N178,'Age Banded Rating'!$A$97:$E$100,5,0),0))),O138)/(1-Intermediary_and_Fee)</f>
        <v>0</v>
      </c>
      <c r="P178" s="753">
        <f>IF(N$166="Abu Dhabi",(MAX(P138,_xlfn.IFNA(VLOOKUP(N178,'Age Banded Rating'!$A$97:$E$100,5,0),0))),P138)/(1-Intermediary_and_Fee)</f>
        <v>0</v>
      </c>
      <c r="Q178" s="758" t="str">
        <f t="shared" si="104"/>
        <v>65 - 99</v>
      </c>
      <c r="R178" s="753">
        <f>IF(Q$166="Abu Dhabi",(MAX(R138,_xlfn.IFNA(VLOOKUP(Q178,'Age Banded Rating'!$A$97:$E$100,5,0),0))),R138)/(1-Intermediary_and_Fee)</f>
        <v>0</v>
      </c>
      <c r="S178" s="753">
        <f>IF(Q$166="Abu Dhabi",(MAX(S138,_xlfn.IFNA(VLOOKUP(Q178,'Age Banded Rating'!$A$97:$E$100,5,0),0))),S138)/(1-Intermediary_and_Fee)</f>
        <v>0</v>
      </c>
      <c r="T178" s="758" t="str">
        <f t="shared" si="104"/>
        <v>65 - 99</v>
      </c>
      <c r="U178" s="753">
        <f>IF(T$166="Abu Dhabi",(MAX(U138,_xlfn.IFNA(VLOOKUP(T178,'Age Banded Rating'!$A$97:$E$100,5,0),0))),U138)/(1-Intermediary_and_Fee)</f>
        <v>0</v>
      </c>
      <c r="V178" s="753">
        <f>IF(T$166="Abu Dhabi",(MAX(V138,_xlfn.IFNA(VLOOKUP(T178,'Age Banded Rating'!$A$97:$E$100,5,0),0))),V138)/(1-Intermediary_and_Fee)</f>
        <v>0</v>
      </c>
      <c r="W178" s="758" t="str">
        <f t="shared" si="104"/>
        <v>65 - 99</v>
      </c>
      <c r="X178" s="753">
        <f>IF(W$166="Abu Dhabi",(MAX(X138,_xlfn.IFNA(VLOOKUP(W178,'Age Banded Rating'!$A$97:$E$100,5,0),0))),X138)/(1-Intermediary_and_Fee)</f>
        <v>0</v>
      </c>
      <c r="Y178" s="753">
        <f>IF(W$166="Abu Dhabi",(MAX(Y138,_xlfn.IFNA(VLOOKUP(W178,'Age Banded Rating'!$A$97:$E$100,5,0),0))),Y138)/(1-Intermediary_and_Fee)</f>
        <v>0</v>
      </c>
      <c r="Z178" s="688"/>
    </row>
    <row r="179" spans="1:26" x14ac:dyDescent="0.25">
      <c r="B179" s="839">
        <f ca="1">SUMPRODUCT(C25:D36,C167:D178)</f>
        <v>19163.582572252191</v>
      </c>
      <c r="C179" s="754"/>
      <c r="D179" s="754"/>
      <c r="E179" s="839">
        <f>SUMPRODUCT(F25:G36,F167:G178)</f>
        <v>0</v>
      </c>
      <c r="F179" s="754"/>
      <c r="G179" s="754"/>
      <c r="H179" s="839">
        <f>SUMPRODUCT(I25:J36,I167:J178)</f>
        <v>0</v>
      </c>
      <c r="I179" s="754"/>
      <c r="J179" s="754"/>
      <c r="K179" s="839">
        <f>SUMPRODUCT(L25:M36,L167:M178)</f>
        <v>0</v>
      </c>
      <c r="L179" s="754"/>
      <c r="M179" s="754"/>
      <c r="N179" s="839">
        <f>SUMPRODUCT(O25:P36,O167:P178)</f>
        <v>0</v>
      </c>
      <c r="O179" s="754"/>
      <c r="P179" s="754"/>
      <c r="Q179" s="839">
        <f>SUMPRODUCT(R25:S36,R167:S178)</f>
        <v>0</v>
      </c>
      <c r="R179" s="754"/>
      <c r="S179" s="754"/>
      <c r="T179" s="839">
        <f>SUMPRODUCT(U25:V36,U167:V178)</f>
        <v>0</v>
      </c>
      <c r="U179" s="754"/>
      <c r="V179" s="754"/>
      <c r="W179" s="839">
        <f>SUMPRODUCT(X25:Y36,X167:Y178)</f>
        <v>0</v>
      </c>
      <c r="X179" s="754"/>
      <c r="Y179" s="754"/>
      <c r="Z179" s="756"/>
    </row>
    <row r="180" spans="1:26" ht="15.75" thickBot="1" x14ac:dyDescent="0.3">
      <c r="B180" s="695"/>
      <c r="C180" s="570"/>
      <c r="D180" s="570"/>
      <c r="E180" s="570"/>
      <c r="F180" s="570"/>
      <c r="G180" s="570"/>
      <c r="H180" s="570"/>
      <c r="I180" s="570"/>
      <c r="J180" s="570"/>
      <c r="K180" s="570"/>
      <c r="L180" s="570"/>
      <c r="M180" s="570"/>
      <c r="N180" s="570"/>
      <c r="O180" s="570"/>
      <c r="P180" s="696"/>
      <c r="Q180" s="570"/>
      <c r="R180" s="570"/>
      <c r="S180" s="570"/>
      <c r="T180" s="570"/>
      <c r="U180" s="570"/>
      <c r="V180" s="570"/>
      <c r="W180" s="570"/>
      <c r="X180" s="570"/>
      <c r="Y180" s="570"/>
      <c r="Z180" s="697"/>
    </row>
    <row r="184" spans="1:26" s="932" customFormat="1" x14ac:dyDescent="0.25">
      <c r="A184" s="932" t="s">
        <v>968</v>
      </c>
      <c r="B184" s="933">
        <f ca="1">SUMPRODUCT(C6:D17,C148:D159)+SUMPRODUCT(C25:D36,C167:D178)</f>
        <v>28804.852567567563</v>
      </c>
      <c r="C184" s="933">
        <f>SUM(C6:D17,C25:D36)</f>
        <v>11</v>
      </c>
      <c r="D184" s="933">
        <f ca="1">B184/C184</f>
        <v>2618.6229606879601</v>
      </c>
      <c r="E184" s="933">
        <f>SUMPRODUCT(F6:G17,F148:G159)+SUMPRODUCT(F25:G36,F167:G178)</f>
        <v>0</v>
      </c>
      <c r="F184" s="933">
        <f>SUM(F6:G17,F25:G36)</f>
        <v>0</v>
      </c>
      <c r="G184" s="933" t="e">
        <f>E184/F184</f>
        <v>#DIV/0!</v>
      </c>
      <c r="H184" s="933">
        <f>SUMPRODUCT(I6:J17,I148:J159)+SUMPRODUCT(I25:J36,I167:J178)</f>
        <v>0</v>
      </c>
      <c r="I184" s="933">
        <f>SUM(I6:J17,I25:J36)</f>
        <v>0</v>
      </c>
      <c r="J184" s="933" t="e">
        <f>H184/I184</f>
        <v>#DIV/0!</v>
      </c>
      <c r="K184" s="933">
        <f>SUMPRODUCT(L6:M17,L148:M159)+SUMPRODUCT(L25:M36,L167:M178)</f>
        <v>0</v>
      </c>
      <c r="L184" s="933">
        <f>SUM(L6:M17,L25:M36)</f>
        <v>0</v>
      </c>
      <c r="M184" s="933" t="e">
        <f>K184/L184</f>
        <v>#DIV/0!</v>
      </c>
      <c r="N184" s="933">
        <f>SUMPRODUCT(O6:P17,O148:P159)+SUMPRODUCT(O25:P36,O167:P178)</f>
        <v>0</v>
      </c>
      <c r="O184" s="933">
        <f>SUM(O6:P17,O25:P36)</f>
        <v>0</v>
      </c>
      <c r="P184" s="933" t="e">
        <f>N184/O184</f>
        <v>#DIV/0!</v>
      </c>
      <c r="Q184" s="933">
        <f>SUMPRODUCT(R6:S17,R148:S159)+SUMPRODUCT(R25:S36,R167:S178)</f>
        <v>0</v>
      </c>
      <c r="R184" s="933">
        <f>SUM(R6:S17,R25:S36)</f>
        <v>0</v>
      </c>
      <c r="S184" s="933" t="e">
        <f>Q184/R184</f>
        <v>#DIV/0!</v>
      </c>
      <c r="T184" s="933">
        <f>SUMPRODUCT(U6:V17,U148:V159)+SUMPRODUCT(U25:V36,U167:V178)</f>
        <v>0</v>
      </c>
      <c r="U184" s="933">
        <f>SUM(U6:V17,U25:V36)</f>
        <v>0</v>
      </c>
      <c r="V184" s="933" t="e">
        <f>T184/U184</f>
        <v>#DIV/0!</v>
      </c>
      <c r="W184" s="933">
        <f>SUMPRODUCT(X6:Y17,X148:Y159)+SUMPRODUCT(X25:Y36,X167:Y178)</f>
        <v>0</v>
      </c>
      <c r="X184" s="933">
        <f>SUM(X6:Y17,X25:Y36)</f>
        <v>0</v>
      </c>
      <c r="Y184" s="933" t="e">
        <f>W184/X184</f>
        <v>#DIV/0!</v>
      </c>
    </row>
    <row r="185" spans="1:26" s="568" customFormat="1" x14ac:dyDescent="0.25">
      <c r="B185" s="568">
        <f ca="1">C87/(1-Intermediary_and_Fee)</f>
        <v>28804.852567567563</v>
      </c>
      <c r="C185" s="787">
        <f>C184</f>
        <v>11</v>
      </c>
      <c r="D185" s="787">
        <f ca="1">B185/C185</f>
        <v>2618.6229606879601</v>
      </c>
      <c r="E185" s="568" t="e">
        <f>F87/(1-Intermediary_and_Fee)</f>
        <v>#VALUE!</v>
      </c>
      <c r="F185" s="787">
        <f>F184</f>
        <v>0</v>
      </c>
      <c r="G185" s="787" t="e">
        <f>E185/F185</f>
        <v>#VALUE!</v>
      </c>
      <c r="H185" s="568" t="e">
        <f>I87/(1-Intermediary_and_Fee)</f>
        <v>#VALUE!</v>
      </c>
      <c r="I185" s="787">
        <f>I184</f>
        <v>0</v>
      </c>
      <c r="J185" s="787" t="e">
        <f>H185/I185</f>
        <v>#VALUE!</v>
      </c>
      <c r="K185" s="568" t="e">
        <f>L87/(1-Intermediary_and_Fee)</f>
        <v>#VALUE!</v>
      </c>
      <c r="L185" s="787">
        <f>L184</f>
        <v>0</v>
      </c>
      <c r="M185" s="787" t="e">
        <f>K185/L185</f>
        <v>#VALUE!</v>
      </c>
      <c r="N185" s="568" t="e">
        <f>O87/(1-Intermediary_and_Fee)</f>
        <v>#VALUE!</v>
      </c>
      <c r="O185" s="787">
        <f>O184</f>
        <v>0</v>
      </c>
      <c r="P185" s="787" t="e">
        <f>N185/O185</f>
        <v>#VALUE!</v>
      </c>
      <c r="Q185" s="568" t="e">
        <f>R87/(1-Intermediary_and_Fee)</f>
        <v>#VALUE!</v>
      </c>
      <c r="R185" s="787">
        <f>R184</f>
        <v>0</v>
      </c>
      <c r="S185" s="787" t="e">
        <f>Q185/R185</f>
        <v>#VALUE!</v>
      </c>
      <c r="T185" s="568" t="e">
        <f>U87/(1-Intermediary_and_Fee)</f>
        <v>#VALUE!</v>
      </c>
      <c r="U185" s="787">
        <f>U184</f>
        <v>0</v>
      </c>
      <c r="V185" s="787" t="e">
        <f>T185/U185</f>
        <v>#VALUE!</v>
      </c>
      <c r="W185" s="568" t="e">
        <f>X87/(1-Intermediary_and_Fee)</f>
        <v>#VALUE!</v>
      </c>
      <c r="X185" s="568">
        <f>Y87</f>
        <v>0</v>
      </c>
      <c r="Y185" s="787" t="e">
        <f>Y184</f>
        <v>#DIV/0!</v>
      </c>
      <c r="Z185" s="787"/>
    </row>
    <row r="186" spans="1:26" x14ac:dyDescent="0.25">
      <c r="D186" s="482" t="b">
        <f ca="1">D184=D185</f>
        <v>1</v>
      </c>
      <c r="G186" s="482" t="e">
        <f>G184=G185</f>
        <v>#DIV/0!</v>
      </c>
      <c r="J186" s="482" t="e">
        <f>J184=J185</f>
        <v>#DIV/0!</v>
      </c>
      <c r="M186" s="482" t="e">
        <f>M184=M185</f>
        <v>#DIV/0!</v>
      </c>
      <c r="P186" s="482" t="e">
        <f>P184=P185</f>
        <v>#DIV/0!</v>
      </c>
      <c r="S186" s="482" t="e">
        <f>S184=S185</f>
        <v>#DIV/0!</v>
      </c>
      <c r="V186" s="482" t="e">
        <f>V184=V185</f>
        <v>#DIV/0!</v>
      </c>
      <c r="Y186" s="482" t="e">
        <f>Y184=Y185</f>
        <v>#DIV/0!</v>
      </c>
    </row>
    <row r="188" spans="1:26" x14ac:dyDescent="0.25">
      <c r="A188" s="469"/>
      <c r="B188" s="562"/>
      <c r="E188" s="562"/>
      <c r="F188" s="562"/>
      <c r="G188" s="562"/>
      <c r="H188" s="562"/>
    </row>
    <row r="191" spans="1:26" s="433" customFormat="1" x14ac:dyDescent="0.25">
      <c r="A191" s="467"/>
      <c r="B191" s="467"/>
      <c r="C191" s="467"/>
      <c r="D191" s="467"/>
      <c r="E191" s="467"/>
      <c r="F191" s="467"/>
      <c r="G191" s="467"/>
      <c r="H191" s="467"/>
      <c r="I191" s="467"/>
    </row>
    <row r="192" spans="1:26" s="433" customFormat="1" x14ac:dyDescent="0.25">
      <c r="D192" s="835" t="s">
        <v>735</v>
      </c>
      <c r="G192" s="835" t="s">
        <v>736</v>
      </c>
      <c r="J192" s="835" t="s">
        <v>737</v>
      </c>
      <c r="M192" s="835" t="s">
        <v>738</v>
      </c>
      <c r="P192" s="835" t="s">
        <v>739</v>
      </c>
      <c r="S192" s="835" t="s">
        <v>740</v>
      </c>
      <c r="V192" s="835" t="s">
        <v>742</v>
      </c>
      <c r="Y192" s="835" t="s">
        <v>741</v>
      </c>
    </row>
    <row r="193" spans="1:27" x14ac:dyDescent="0.25">
      <c r="A193" s="451" t="s">
        <v>33</v>
      </c>
      <c r="D193" s="919" t="str">
        <f>'Benefit Selection - Group'!B14</f>
        <v>RN3</v>
      </c>
      <c r="G193" s="919" t="str">
        <f>'Benefit Selection - Group'!G14</f>
        <v>RN</v>
      </c>
      <c r="J193" s="919" t="str">
        <f>'Benefit Selection - Group'!L14</f>
        <v>RN2</v>
      </c>
      <c r="M193" s="919" t="str">
        <f>'Benefit Selection - Group'!Q14</f>
        <v>RN2</v>
      </c>
      <c r="P193" s="919" t="str">
        <f>'Benefit Selection - Group'!V14</f>
        <v>RN3</v>
      </c>
      <c r="S193" s="919" t="str">
        <f>'Benefit Selection - Group'!AA14</f>
        <v>RN3</v>
      </c>
      <c r="V193" s="919" t="str">
        <f>'Benefit Selection - Group'!AF14</f>
        <v>RN3</v>
      </c>
      <c r="Y193" s="919" t="str">
        <f>'Benefit Selection - Group'!AK14</f>
        <v>RN3</v>
      </c>
    </row>
    <row r="194" spans="1:27" s="433" customFormat="1" ht="15.75" customHeight="1" x14ac:dyDescent="0.25">
      <c r="A194" s="451" t="s">
        <v>117</v>
      </c>
      <c r="D194" s="834">
        <f>'Benefit Selection - Group'!B38</f>
        <v>10000</v>
      </c>
      <c r="G194" s="834">
        <f>'Benefit Selection - Group'!G38</f>
        <v>10000</v>
      </c>
      <c r="J194" s="834">
        <f>'Benefit Selection - Group'!L38</f>
        <v>10000</v>
      </c>
      <c r="M194" s="834">
        <f>'Benefit Selection - Group'!Q38</f>
        <v>10000</v>
      </c>
      <c r="P194" s="834" t="str">
        <f>'Benefit Selection - Group'!V38</f>
        <v>Up to AML</v>
      </c>
      <c r="S194" s="834" t="str">
        <f>'Benefit Selection - Group'!AA38</f>
        <v>Up to AML</v>
      </c>
      <c r="V194" s="834" t="str">
        <f>'Benefit Selection - Group'!AF38</f>
        <v>Up to AML</v>
      </c>
      <c r="Y194" s="834" t="str">
        <f>'Benefit Selection - Group'!AK38</f>
        <v>Up to AML</v>
      </c>
    </row>
    <row r="195" spans="1:27" s="433" customFormat="1" ht="15.75" customHeight="1" x14ac:dyDescent="0.25">
      <c r="A195" s="451" t="s">
        <v>264</v>
      </c>
      <c r="D195" s="266">
        <f>'Benefit Selection - Group'!B39</f>
        <v>0.1</v>
      </c>
      <c r="G195" s="266">
        <f>'Benefit Selection - Group'!G39</f>
        <v>0.1</v>
      </c>
      <c r="J195" s="266">
        <f>'Benefit Selection - Group'!L39</f>
        <v>0.1</v>
      </c>
      <c r="M195" s="266">
        <f>'Benefit Selection - Group'!Q39</f>
        <v>0.1</v>
      </c>
      <c r="P195" s="266">
        <f>'Benefit Selection - Group'!V39</f>
        <v>0</v>
      </c>
      <c r="S195" s="266" t="str">
        <f>'Benefit Selection - Group'!AA39</f>
        <v>AED 500 deductible</v>
      </c>
      <c r="V195" s="266">
        <f>'Benefit Selection - Group'!AF39</f>
        <v>0</v>
      </c>
      <c r="Y195" s="266">
        <f>'Benefit Selection - Group'!AK39</f>
        <v>0</v>
      </c>
    </row>
    <row r="196" spans="1:27" s="718" customFormat="1" x14ac:dyDescent="0.25">
      <c r="A196" s="463" t="s">
        <v>997</v>
      </c>
      <c r="D196" s="919">
        <f>'Benefit Selection - Group'!C40</f>
        <v>0</v>
      </c>
      <c r="G196" s="919">
        <f>'Benefit Selection - Group'!H40</f>
        <v>0</v>
      </c>
      <c r="J196" s="919">
        <f>'Benefit Selection - Group'!M40</f>
        <v>0</v>
      </c>
      <c r="M196" s="919">
        <f>'Benefit Selection - Group'!R40</f>
        <v>0</v>
      </c>
      <c r="P196" s="919">
        <f>'Benefit Selection - Group'!W40</f>
        <v>0</v>
      </c>
      <c r="S196" s="919">
        <f>'Benefit Selection - Group'!AB40</f>
        <v>0</v>
      </c>
      <c r="V196" s="919">
        <f>'Benefit Selection - Group'!AG40</f>
        <v>0</v>
      </c>
      <c r="Y196" s="919">
        <f>'Benefit Selection - Group'!AL40</f>
        <v>0</v>
      </c>
    </row>
    <row r="197" spans="1:27" s="433" customFormat="1" x14ac:dyDescent="0.25">
      <c r="A197" s="451" t="s">
        <v>996</v>
      </c>
      <c r="D197" s="920">
        <f>IF('Benefit Selection - Group'!B38="Not Covered","Not Covered",C209)</f>
        <v>1575.9</v>
      </c>
      <c r="G197" s="920">
        <f>IF('Benefit Selection - Group'!G38="Not Covered","Not Covered",D209)</f>
        <v>2049.3000000000002</v>
      </c>
      <c r="J197" s="920">
        <f>IF('Benefit Selection - Group'!L38="Not Covered","Not Covered",E209)</f>
        <v>1872</v>
      </c>
      <c r="M197" s="920">
        <f>IF('Benefit Selection - Group'!Q38="Not Covered","Not Covered",F209)</f>
        <v>1872</v>
      </c>
      <c r="P197" s="920">
        <f>IF('Benefit Selection - Group'!V38="Not Covered","Not Covered",G209)</f>
        <v>3133</v>
      </c>
      <c r="S197" s="920" t="e">
        <f>IF('Benefit Selection - Group'!AA38="Not Covered","Not Covered",H209)</f>
        <v>#N/A</v>
      </c>
      <c r="V197" s="920">
        <f>IF('Benefit Selection - Group'!AF38="Not Covered","Not Covered",I209)</f>
        <v>3133</v>
      </c>
      <c r="Y197" s="920">
        <f>IF('Benefit Selection - Group'!AK38="Not Covered","Not Covered",J209)</f>
        <v>3133</v>
      </c>
    </row>
    <row r="200" spans="1:27" x14ac:dyDescent="0.25">
      <c r="D200" s="923">
        <f ca="1">B160+B179</f>
        <v>28804.852567567563</v>
      </c>
      <c r="G200" s="923">
        <f>E160+E179</f>
        <v>0</v>
      </c>
      <c r="J200" s="923">
        <f>H160+H179</f>
        <v>0</v>
      </c>
      <c r="M200" s="923">
        <f>K160+K179</f>
        <v>0</v>
      </c>
      <c r="P200" s="923">
        <f>N160+N179</f>
        <v>0</v>
      </c>
      <c r="S200" s="923">
        <f>Q160+Q179</f>
        <v>0</v>
      </c>
      <c r="V200" s="923">
        <f>T160+T179</f>
        <v>0</v>
      </c>
      <c r="Y200" s="923">
        <f>W160+W179</f>
        <v>0</v>
      </c>
    </row>
    <row r="201" spans="1:27" x14ac:dyDescent="0.25">
      <c r="D201" s="923">
        <f ca="1">'TOB &amp; Rates'!F323</f>
        <v>28804.852567567563</v>
      </c>
      <c r="G201" s="923">
        <f ca="1">'TOB &amp; Rates'!G323</f>
        <v>0</v>
      </c>
      <c r="J201" s="923">
        <f ca="1">'TOB &amp; Rates'!H323</f>
        <v>0</v>
      </c>
      <c r="M201" s="923">
        <f ca="1">'TOB &amp; Rates'!I323</f>
        <v>0</v>
      </c>
      <c r="P201" s="923">
        <f ca="1">'TOB &amp; Rates'!J323</f>
        <v>0</v>
      </c>
      <c r="S201" s="923">
        <f ca="1">'TOB &amp; Rates'!K323</f>
        <v>0</v>
      </c>
      <c r="V201" s="923">
        <f ca="1">'TOB &amp; Rates'!L323</f>
        <v>0</v>
      </c>
      <c r="X201" s="923"/>
      <c r="Y201" s="923">
        <f ca="1">'TOB &amp; Rates'!M323</f>
        <v>0</v>
      </c>
      <c r="Z201" s="923"/>
      <c r="AA201" s="923"/>
    </row>
    <row r="202" spans="1:27" x14ac:dyDescent="0.25">
      <c r="D202" s="923">
        <f ca="1">D200-D201</f>
        <v>0</v>
      </c>
      <c r="G202" s="923">
        <f ca="1">G200-G201</f>
        <v>0</v>
      </c>
      <c r="J202" s="923">
        <f ca="1">J200-J201</f>
        <v>0</v>
      </c>
      <c r="M202" s="923">
        <f ca="1">M200-M201</f>
        <v>0</v>
      </c>
      <c r="P202" s="923">
        <f ca="1">P200-P201</f>
        <v>0</v>
      </c>
      <c r="S202" s="923">
        <f ca="1">S200-S201</f>
        <v>0</v>
      </c>
      <c r="V202" s="923">
        <f ca="1">V200-V201</f>
        <v>0</v>
      </c>
      <c r="Y202" s="923">
        <f ca="1">Y200-Y201</f>
        <v>0</v>
      </c>
    </row>
    <row r="203" spans="1:27" x14ac:dyDescent="0.25">
      <c r="D203" s="923">
        <f ca="1">'TOB &amp; Rates'!F119</f>
        <v>28804.852567567563</v>
      </c>
      <c r="G203" s="923" t="str">
        <f>'TOB &amp; Rates'!G119</f>
        <v/>
      </c>
      <c r="J203" s="923" t="str">
        <f>'TOB &amp; Rates'!H119</f>
        <v/>
      </c>
      <c r="M203" s="923" t="str">
        <f>'TOB &amp; Rates'!I119</f>
        <v/>
      </c>
      <c r="P203" s="923" t="str">
        <f>'TOB &amp; Rates'!J119</f>
        <v/>
      </c>
      <c r="S203" s="923" t="str">
        <f>'TOB &amp; Rates'!K119</f>
        <v/>
      </c>
      <c r="V203" s="923" t="str">
        <f>'TOB &amp; Rates'!L119</f>
        <v/>
      </c>
      <c r="Y203" s="923" t="str">
        <f>'TOB &amp; Rates'!M119</f>
        <v/>
      </c>
    </row>
    <row r="204" spans="1:27" x14ac:dyDescent="0.25">
      <c r="D204" s="923">
        <f ca="1">D200-D203</f>
        <v>0</v>
      </c>
      <c r="G204" s="923" t="e">
        <f>G200-G203</f>
        <v>#VALUE!</v>
      </c>
      <c r="J204" s="923" t="e">
        <f>J200-J203</f>
        <v>#VALUE!</v>
      </c>
      <c r="M204" s="923" t="e">
        <f>M200-M203</f>
        <v>#VALUE!</v>
      </c>
      <c r="P204" s="923" t="e">
        <f>P200-P203</f>
        <v>#VALUE!</v>
      </c>
      <c r="S204" s="923" t="e">
        <f>S200-S203</f>
        <v>#VALUE!</v>
      </c>
    </row>
    <row r="206" spans="1:27" x14ac:dyDescent="0.25">
      <c r="B206" s="1001" t="s">
        <v>678</v>
      </c>
      <c r="C206" s="1002">
        <f>'Benefit Selection - Group'!B38</f>
        <v>10000</v>
      </c>
      <c r="D206" s="1002">
        <f>'Benefit Selection - Group'!G38</f>
        <v>10000</v>
      </c>
      <c r="E206" s="1002">
        <f>'Benefit Selection - Group'!L38</f>
        <v>10000</v>
      </c>
      <c r="F206" s="1002">
        <f>'Benefit Selection - Group'!Q38</f>
        <v>10000</v>
      </c>
      <c r="G206" s="1002" t="str">
        <f>'Benefit Selection - Group'!V38</f>
        <v>Up to AML</v>
      </c>
      <c r="H206" s="1002" t="str">
        <f>'Benefit Selection - Group'!AA38</f>
        <v>Up to AML</v>
      </c>
      <c r="I206" s="1002" t="str">
        <f>'Benefit Selection - Group'!AF38</f>
        <v>Up to AML</v>
      </c>
      <c r="J206" s="1002" t="str">
        <f>'Benefit Selection - Group'!AK38</f>
        <v>Up to AML</v>
      </c>
    </row>
    <row r="207" spans="1:27" x14ac:dyDescent="0.25">
      <c r="B207" s="1001" t="s">
        <v>1160</v>
      </c>
      <c r="C207" s="1003">
        <f>'Benefit Selection - Group'!B39</f>
        <v>0.1</v>
      </c>
      <c r="D207" s="1003">
        <f>'Benefit Selection - Group'!G39</f>
        <v>0.1</v>
      </c>
      <c r="E207" s="1003">
        <f>'Benefit Selection - Group'!L39</f>
        <v>0.1</v>
      </c>
      <c r="F207" s="1003">
        <f>'Benefit Selection - Group'!Q39</f>
        <v>0.1</v>
      </c>
      <c r="G207" s="1003">
        <f>'Benefit Selection - Group'!V39</f>
        <v>0</v>
      </c>
      <c r="H207" s="1003" t="str">
        <f>'Benefit Selection - Group'!AA39</f>
        <v>AED 500 deductible</v>
      </c>
      <c r="I207" s="1003">
        <f>'Benefit Selection - Group'!AF39</f>
        <v>0</v>
      </c>
      <c r="J207" s="1003">
        <f>'Benefit Selection - Group'!AK39</f>
        <v>0</v>
      </c>
    </row>
    <row r="208" spans="1:27" x14ac:dyDescent="0.25">
      <c r="C208" s="28" t="str">
        <f>'Benefit Selection - Group'!B9</f>
        <v>Dubai</v>
      </c>
      <c r="D208" s="28" t="str">
        <f>'Benefit Selection - Group'!G9</f>
        <v>Dubai</v>
      </c>
      <c r="E208" s="28" t="str">
        <f>'Benefit Selection - Group'!L9</f>
        <v>Dubai</v>
      </c>
      <c r="F208" s="28" t="str">
        <f>'Benefit Selection - Group'!Q9</f>
        <v>Dubai</v>
      </c>
      <c r="G208" s="28" t="str">
        <f>'Benefit Selection - Group'!V9</f>
        <v>Dubai</v>
      </c>
      <c r="H208" s="28" t="str">
        <f>'Benefit Selection - Group'!AA9</f>
        <v>Dubai</v>
      </c>
      <c r="I208" s="28" t="str">
        <f>'Benefit Selection - Group'!AF9</f>
        <v>Dubai</v>
      </c>
      <c r="J208" s="28" t="str">
        <f>'Benefit Selection - Group'!AK9</f>
        <v>Dubai</v>
      </c>
    </row>
    <row r="209" spans="1:40" x14ac:dyDescent="0.25">
      <c r="A209" s="1471" t="s">
        <v>996</v>
      </c>
      <c r="B209" s="921" t="s">
        <v>285</v>
      </c>
      <c r="C209" s="920">
        <f>IF('Benefit Selection - Group'!B14='Group Basis'!$B$62,VLOOKUP('Benefit Selection - Group'!B38,Maternity_Net_Rate,2,0),IF('Benefit Selection - Group'!B14='Group Basis'!$C$62,VLOOKUP('Benefit Selection - Group'!B38,Maternity_Net_Rate,3,0),IF('Benefit Selection - Group'!B14='Group Basis'!$D$62,VLOOKUP('Benefit Selection - Group'!B38,Maternity_Net_Rate,4,0),IF('Benefit Selection - Group'!B14='Group Basis'!$E$62,VLOOKUP('Benefit Selection - Group'!B38,Maternity_Net_Rate,5,0),IF('Benefit Selection - Group'!B14='Group Basis'!$F$62,VLOOKUP('Benefit Selection - Group'!B38,Maternity_Net_Rate,6,0),IF('Benefit Selection - Group'!B14='Group Basis'!$G$62,VLOOKUP('Benefit Selection - Group'!B38,Maternity_Net_Rate,7,0),IF('Benefit Selection - Group'!B14='Group Basis'!$H$62,VLOOKUP('Benefit Selection - Group'!B38,Maternity_Net_Rate,8,0),IF('Benefit Selection - Group'!B14='Group Basis'!$I$62,VLOOKUP('Benefit Selection - Group'!B38,Maternity_Net_Rate,9,0),0))))))))*(1-VLOOKUP('Benefit Selection - Group'!B39,'Group Engine'!$C$107:$E$108,3,0))*C92*'Group Engine'!$D$188</f>
        <v>1575.9</v>
      </c>
      <c r="D209" s="920">
        <f>IF('Benefit Selection - Group'!G14='Group Basis'!$B$62,VLOOKUP('Benefit Selection - Group'!G38,Maternity_Net_Rate,2,0),IF('Benefit Selection - Group'!G14='Group Basis'!$C$62,VLOOKUP('Benefit Selection - Group'!G38,Maternity_Net_Rate,3,0),IF('Benefit Selection - Group'!G14='Group Basis'!$D$62,VLOOKUP('Benefit Selection - Group'!G38,Maternity_Net_Rate,4,0),IF('Benefit Selection - Group'!G14='Group Basis'!$E$62,VLOOKUP('Benefit Selection - Group'!G38,Maternity_Net_Rate,5,0),IF('Benefit Selection - Group'!G14='Group Basis'!$F$62,VLOOKUP('Benefit Selection - Group'!G38,Maternity_Net_Rate,6,0),IF('Benefit Selection - Group'!G14='Group Basis'!$G$62,VLOOKUP('Benefit Selection - Group'!G38,Maternity_Net_Rate,7,0),IF('Benefit Selection - Group'!G14='Group Basis'!$H$62,VLOOKUP('Benefit Selection - Group'!G38,Maternity_Net_Rate,8,0),IF('Benefit Selection - Group'!G14='Group Basis'!$I$62,VLOOKUP('Benefit Selection - Group'!G38,Maternity_Net_Rate,9,0),0))))))))*(1-VLOOKUP('Benefit Selection - Group'!G39,'Group Engine'!$F$107:$H$108,3,0))*F92*'Group Engine'!$D$188</f>
        <v>2049.3000000000002</v>
      </c>
      <c r="E209" s="920">
        <f>IF('Benefit Selection - Group'!L14='Group Basis'!$B$62,VLOOKUP('Benefit Selection - Group'!L38,Maternity_Net_Rate,2,0),IF('Benefit Selection - Group'!L14='Group Basis'!$C$62,VLOOKUP('Benefit Selection - Group'!L38,Maternity_Net_Rate,3,0),IF('Benefit Selection - Group'!L14='Group Basis'!$D$62,VLOOKUP('Benefit Selection - Group'!L38,Maternity_Net_Rate,4,0),IF('Benefit Selection - Group'!L14='Group Basis'!$E$62,VLOOKUP('Benefit Selection - Group'!L38,Maternity_Net_Rate,5,0),IF('Benefit Selection - Group'!L14='Group Basis'!$F$62,VLOOKUP('Benefit Selection - Group'!L38,Maternity_Net_Rate,6,0),IF('Benefit Selection - Group'!L14='Group Basis'!$G$62,VLOOKUP('Benefit Selection - Group'!L38,Maternity_Net_Rate,7,0),IF('Benefit Selection - Group'!L14='Group Basis'!$H$62,VLOOKUP('Benefit Selection - Group'!L38,Maternity_Net_Rate,8,0),IF('Benefit Selection - Group'!L14='Group Basis'!$I$62,VLOOKUP('Benefit Selection - Group'!L38,Maternity_Net_Rate,9,0),0))))))))*(1-VLOOKUP('Benefit Selection - Group'!L39,'Group Engine'!$I$107:$K$108,3,0))*I92*'Group Engine'!$D$188</f>
        <v>1872</v>
      </c>
      <c r="F209" s="920">
        <f>IF('Benefit Selection - Group'!Q14='Group Basis'!$B$62,VLOOKUP('Benefit Selection - Group'!Q38,Maternity_Net_Rate,2,0),IF('Benefit Selection - Group'!Q14='Group Basis'!$C$62,VLOOKUP('Benefit Selection - Group'!Q38,Maternity_Net_Rate,3,0),IF('Benefit Selection - Group'!Q14='Group Basis'!$D$62,VLOOKUP('Benefit Selection - Group'!Q38,Maternity_Net_Rate,4,0),IF('Benefit Selection - Group'!Q14='Group Basis'!$E$62,VLOOKUP('Benefit Selection - Group'!Q38,Maternity_Net_Rate,5,0),IF('Benefit Selection - Group'!Q14='Group Basis'!$F$62,VLOOKUP('Benefit Selection - Group'!Q38,Maternity_Net_Rate,6,0),IF('Benefit Selection - Group'!Q14='Group Basis'!$F$62,VLOOKUP('Benefit Selection - Group'!Q38,Maternity_Net_Rate,7,0),IF('Benefit Selection - Group'!Q14='Group Basis'!$H$62,VLOOKUP('Benefit Selection - Group'!Q38,Maternity_Net_Rate,8,0),IF('Benefit Selection - Group'!Q14='Group Basis'!$I$62,VLOOKUP('Benefit Selection - Group'!Q38,Maternity_Net_Rate,9,0),0))))))))*(1-VLOOKUP('Benefit Selection - Group'!Q39,'Group Engine'!$L$107:$N$108,3,0))*L92*'Group Engine'!$D$188</f>
        <v>1872</v>
      </c>
      <c r="G209" s="920">
        <f>IF('Benefit Selection - Group'!V14='Group Basis'!$B$62,VLOOKUP('Benefit Selection - Group'!V38,Maternity_Net_Rate,2,0),IF('Benefit Selection - Group'!V14='Group Basis'!$C$62,VLOOKUP('Benefit Selection - Group'!V38,Maternity_Net_Rate,3,0),IF('Benefit Selection - Group'!V14='Group Basis'!$D$62,VLOOKUP('Benefit Selection - Group'!V38,Maternity_Net_Rate,4,0),IF('Benefit Selection - Group'!V14='Group Basis'!$E$62,VLOOKUP('Benefit Selection - Group'!V38,Maternity_Net_Rate,5,0),IF('Benefit Selection - Group'!V14='Group Basis'!$F$62,VLOOKUP('Benefit Selection - Group'!V38,Maternity_Net_Rate,6,0),IF('Benefit Selection - Group'!V14='Group Basis'!$G$62,VLOOKUP('Benefit Selection - Group'!V38,Maternity_Net_Rate,7,0),IF('Benefit Selection - Group'!V14='Group Basis'!$H$62,VLOOKUP('Benefit Selection - Group'!V38,Maternity_Net_Rate,8,0),IF('Benefit Selection - Group'!V14='Group Basis'!$I$62,VLOOKUP('Benefit Selection - Group'!V38,Maternity_Net_Rate,9,0),0))))))))*(1-VLOOKUP('Benefit Selection - Group'!V39,'Group Engine'!$O$107:$Q$108,3,0))*O92*'Group Engine'!$D$188</f>
        <v>3133</v>
      </c>
      <c r="H209" s="920" t="e">
        <f>IF('Benefit Selection - Group'!AA14='Group Basis'!$B$62,VLOOKUP('Benefit Selection - Group'!AA38,Maternity_Net_Rate,2,0),IF('Benefit Selection - Group'!AA14='Group Basis'!$C$62,VLOOKUP('Benefit Selection - Group'!AA38,Maternity_Net_Rate,3,0),IF('Benefit Selection - Group'!AA14='Group Basis'!$D$62,VLOOKUP('Benefit Selection - Group'!AA38,Maternity_Net_Rate,4,0),IF('Benefit Selection - Group'!AA14='Group Basis'!$E$62,VLOOKUP('Benefit Selection - Group'!AA38,Maternity_Net_Rate,5,0),IF('Benefit Selection - Group'!AA14='Group Basis'!$F$62,VLOOKUP('Benefit Selection - Group'!AA38,Maternity_Net_Rate,6,0),IF('Benefit Selection - Group'!AA14='Group Basis'!$G$62,VLOOKUP('Benefit Selection - Group'!AA38,Maternity_Net_Rate,7,0),IF('Benefit Selection - Group'!AA14='Group Basis'!$H$62,VLOOKUP('Benefit Selection - Group'!AA38,Maternity_Net_Rate,8,0),IF('Benefit Selection - Group'!AA14='Group Basis'!$I$62,VLOOKUP('Benefit Selection - Group'!AA38,Maternity_Net_Rate,9,0),0))))))))*(1-VLOOKUP('Benefit Selection - Group'!AA39,'Group Engine'!$R$107:$T$108,3,0))*R92*'Group Engine'!$D$188</f>
        <v>#N/A</v>
      </c>
      <c r="I209" s="920">
        <f>IF('Benefit Selection - Group'!AF14='Group Basis'!$B$62,VLOOKUP('Benefit Selection - Group'!AF38,Maternity_Net_Rate,2,0),IF('Benefit Selection - Group'!AF14='Group Basis'!$C$62,VLOOKUP('Benefit Selection - Group'!AF38,Maternity_Net_Rate,3,0),IF('Benefit Selection - Group'!AF14='Group Basis'!$D$62,VLOOKUP('Benefit Selection - Group'!AF38,Maternity_Net_Rate,4,0),IF('Benefit Selection - Group'!AF14='Group Basis'!$E$62,VLOOKUP('Benefit Selection - Group'!AF38,Maternity_Net_Rate,5,0),IF('Benefit Selection - Group'!AF14='Group Basis'!$F$62,VLOOKUP('Benefit Selection - Group'!AF38,Maternity_Net_Rate,6,0),IF('Benefit Selection - Group'!AF14='Group Basis'!$G$62,VLOOKUP('Benefit Selection - Group'!AF38,Maternity_Net_Rate,7,0),IF('Benefit Selection - Group'!AF14='Group Basis'!$H$62,VLOOKUP('Benefit Selection - Group'!AF38,Maternity_Net_Rate,8,0),IF('Benefit Selection - Group'!AF14='Group Basis'!$I$62,VLOOKUP('Benefit Selection - Group'!AF38,Maternity_Net_Rate,9,0),0))))))))*(1-VLOOKUP('Benefit Selection - Group'!AF39,'Group Engine'!$U$107:$W$108,3,0))*U92*'Group Engine'!$D$188</f>
        <v>3133</v>
      </c>
      <c r="J209" s="920">
        <f>IF('Benefit Selection - Group'!AK14='Group Basis'!$B$62,VLOOKUP('Benefit Selection - Group'!AK38,Maternity_Net_Rate,2,0),IF('Benefit Selection - Group'!AK14='Group Basis'!$C$62,VLOOKUP('Benefit Selection - Group'!AK38,Maternity_Net_Rate,3,0),IF('Benefit Selection - Group'!AK14='Group Basis'!$D$62,VLOOKUP('Benefit Selection - Group'!AK38,Maternity_Net_Rate,4,0),IF('Benefit Selection - Group'!AK14='Group Basis'!$E$62,VLOOKUP('Benefit Selection - Group'!AK38,Maternity_Net_Rate,5,0),IF('Benefit Selection - Group'!AK14='Group Basis'!$F$62,VLOOKUP('Benefit Selection - Group'!AK38,Maternity_Net_Rate,6,0),IF('Benefit Selection - Group'!AK14='Group Basis'!$G$62,VLOOKUP('Benefit Selection - Group'!AK38,Maternity_Net_Rate,7,0),IF('Benefit Selection - Group'!AK14='Group Basis'!$H$62,VLOOKUP('Benefit Selection - Group'!AK38,Maternity_Net_Rate,8,0),IF('Benefit Selection - Group'!AK14='Group Basis'!$I$62,VLOOKUP('Benefit Selection - Group'!AK38,Maternity_Net_Rate,9,0),0))))))))*(1-VLOOKUP('Benefit Selection - Group'!AK39,'Group Engine'!$X$107:$Z$108,3,0))*X92*'Group Engine'!$D$188</f>
        <v>3133</v>
      </c>
      <c r="L209" s="433"/>
      <c r="M209" s="433"/>
      <c r="O209" s="433"/>
      <c r="P209" s="433"/>
      <c r="Q209" s="433"/>
      <c r="R209" s="433"/>
      <c r="T209" s="433"/>
      <c r="U209" s="433"/>
      <c r="V209" s="433"/>
      <c r="W209" s="433"/>
      <c r="Y209" s="433"/>
      <c r="Z209" s="433"/>
      <c r="AA209" s="433"/>
      <c r="AB209" s="433"/>
      <c r="AD209" s="433"/>
      <c r="AE209" s="433"/>
      <c r="AF209" s="433"/>
      <c r="AG209" s="433"/>
      <c r="AI209" s="433"/>
      <c r="AJ209" s="433"/>
      <c r="AK209" s="433"/>
      <c r="AL209" s="433"/>
      <c r="AN209" s="433"/>
    </row>
    <row r="210" spans="1:40" x14ac:dyDescent="0.25">
      <c r="A210" s="1471"/>
      <c r="B210" s="921" t="s">
        <v>1057</v>
      </c>
      <c r="C210" s="920">
        <f>C209/(1-'General Information'!$D$48)</f>
        <v>2251.2857142857147</v>
      </c>
      <c r="D210" s="920">
        <f>D209/(1-'General Information'!$D$48)</f>
        <v>2927.5714285714289</v>
      </c>
      <c r="E210" s="920">
        <f>E209/(1-'General Information'!$D$48)</f>
        <v>2674.2857142857147</v>
      </c>
      <c r="F210" s="920">
        <f>F209/(1-'General Information'!$D$48)</f>
        <v>2674.2857142857147</v>
      </c>
      <c r="G210" s="920">
        <f>G209/(1-'General Information'!$D$48)</f>
        <v>4475.7142857142862</v>
      </c>
      <c r="H210" s="920" t="e">
        <f>H209/(1-'General Information'!$D$48)</f>
        <v>#N/A</v>
      </c>
      <c r="I210" s="920">
        <f>I209/(1-'General Information'!$D$48)</f>
        <v>4475.7142857142862</v>
      </c>
      <c r="J210" s="920">
        <f>J209/(1-'General Information'!$D$48)</f>
        <v>4475.7142857142862</v>
      </c>
    </row>
    <row r="211" spans="1:40" ht="90" x14ac:dyDescent="0.25">
      <c r="B211" s="467" t="s">
        <v>1070</v>
      </c>
      <c r="C211" s="942" t="str">
        <f>IF(C208="Abu Dhabi","",'Benefit Selection - Group'!D10)</f>
        <v>( Direct Access to Network Hospital/ Clinics for OP Treatment )</v>
      </c>
      <c r="D211" s="942" t="str">
        <f>IF(D208="Abu Dhabi","",'Benefit Selection - Group'!I10)</f>
        <v>( Direct Access to Network Hospital/ Clinics for OP Treatment )</v>
      </c>
      <c r="E211" s="942" t="str">
        <f>IF(E208="Abu Dhabi","",'Benefit Selection - Group'!N10)</f>
        <v>( Direct Access to Network Hospital/ Clinics for OP Treatment )</v>
      </c>
      <c r="F211" s="942" t="str">
        <f>IF(F208="Abu Dhabi","",'Benefit Selection - Group'!S10)</f>
        <v>( Direct Access to Network Hospital/ Clinics for OP Treatment )</v>
      </c>
      <c r="G211" s="578" t="str">
        <f>IF(G208="Abu Dhabi","",'Benefit Selection - Group'!X10)</f>
        <v>( Direct Access to Network Hospital/ Clinics for OP Treatment )</v>
      </c>
      <c r="H211" s="578" t="str">
        <f>IF(H208="Abu Dhabi","",'Benefit Selection - Group'!AC10)</f>
        <v>( Direct Access to Network Hospital/ Clinics for OP Treatment )</v>
      </c>
      <c r="I211" s="578" t="str">
        <f>IF(I208="Abu Dhabi","",'Benefit Selection - Group'!AH10)</f>
        <v>( Direct Access to Network Hospital/ Clinics for OP Treatment )</v>
      </c>
      <c r="J211" s="578" t="str">
        <f>IF(J208="Abu Dhabi","",'Benefit Selection - Group'!AM10)</f>
        <v>( Direct Access to Network Hospital/ Clinics for OP Treatment )</v>
      </c>
    </row>
    <row r="213" spans="1:40" x14ac:dyDescent="0.25">
      <c r="C213" s="920">
        <f>IF('Benefit Selection - Group'!B14='Group Basis'!$B$62,VLOOKUP('Benefit Selection - Group'!B38,Maternity_Net_Rate,2,0),IF('Benefit Selection - Group'!B14='Group Basis'!$C$62,VLOOKUP('Benefit Selection - Group'!B38,Maternity_Net_Rate,3,0),IF('Benefit Selection - Group'!B14='Group Basis'!$D$62,VLOOKUP('Benefit Selection - Group'!B38,Maternity_Net_Rate,4,0),IF('Benefit Selection - Group'!B14='Group Basis'!$E$62,VLOOKUP('Benefit Selection - Group'!B38,Maternity_Net_Rate,5,0),IF('Benefit Selection - Group'!B14='Group Basis'!$F$62,VLOOKUP('Benefit Selection - Group'!B38,Maternity_Net_Rate,6,0),IF('Benefit Selection - Group'!B14='Group Basis'!$G$62,VLOOKUP('Benefit Selection - Group'!B38,Maternity_Net_Rate,7,0),IF('Benefit Selection - Group'!B14='Group Basis'!$H$62,VLOOKUP('Benefit Selection - Group'!B38,Maternity_Net_Rate,8,0),IF('Benefit Selection - Group'!B14='Group Basis'!$I$62,VLOOKUP('Benefit Selection - Group'!B38,Maternity_Net_Rate,9,0),0))))))))*(1-VLOOKUP('Benefit Selection - Group'!B39,'Group Engine'!$C$107:$E$108,3,0))</f>
        <v>1575.9</v>
      </c>
      <c r="D213" s="920">
        <f>IF('Benefit Selection - Group'!G14='Group Basis'!$B$62,VLOOKUP('Benefit Selection - Group'!G38,Maternity_Net_Rate,2,0),IF('Benefit Selection - Group'!G14='Group Basis'!$C$62,VLOOKUP('Benefit Selection - Group'!G38,Maternity_Net_Rate,3,0),IF('Benefit Selection - Group'!G14='Group Basis'!$D$62,VLOOKUP('Benefit Selection - Group'!G38,Maternity_Net_Rate,4,0),IF('Benefit Selection - Group'!G14='Group Basis'!$E$62,VLOOKUP('Benefit Selection - Group'!G38,Maternity_Net_Rate,5,0),IF('Benefit Selection - Group'!G14='Group Basis'!$F$62,VLOOKUP('Benefit Selection - Group'!G38,Maternity_Net_Rate,6,0),IF('Benefit Selection - Group'!G14='Group Basis'!$G$62,VLOOKUP('Benefit Selection - Group'!G38,Maternity_Net_Rate,7,0),IF('Benefit Selection - Group'!G14='Group Basis'!$H$62,VLOOKUP('Benefit Selection - Group'!G38,Maternity_Net_Rate,8,0),IF('Benefit Selection - Group'!G14='Group Basis'!$I$62,VLOOKUP('Benefit Selection - Group'!G38,Maternity_Net_Rate,9,0),0))))))))*(1-VLOOKUP('Benefit Selection - Group'!G39,'Group Engine'!$F$107:$H$108,3,0))</f>
        <v>2049.3000000000002</v>
      </c>
      <c r="E213" s="920">
        <f>IF('Benefit Selection - Group'!L14='Group Basis'!$B$62,VLOOKUP('Benefit Selection - Group'!L38,Maternity_Net_Rate,2,0),IF('Benefit Selection - Group'!L14='Group Basis'!$C$62,VLOOKUP('Benefit Selection - Group'!L38,Maternity_Net_Rate,3,0),IF('Benefit Selection - Group'!L14='Group Basis'!$D$62,VLOOKUP('Benefit Selection - Group'!L38,Maternity_Net_Rate,4,0),IF('Benefit Selection - Group'!L14='Group Basis'!$E$62,VLOOKUP('Benefit Selection - Group'!L38,Maternity_Net_Rate,5,0),IF('Benefit Selection - Group'!L14='Group Basis'!$F$62,VLOOKUP('Benefit Selection - Group'!L38,Maternity_Net_Rate,6,0),IF('Benefit Selection - Group'!L14='Group Basis'!$G$62,VLOOKUP('Benefit Selection - Group'!L38,Maternity_Net_Rate,7,0),IF('Benefit Selection - Group'!L14='Group Basis'!$H$62,VLOOKUP('Benefit Selection - Group'!L38,Maternity_Net_Rate,8,0),IF('Benefit Selection - Group'!L14='Group Basis'!$I$62,VLOOKUP('Benefit Selection - Group'!L38,Maternity_Net_Rate,9,0),0))))))))*(1-VLOOKUP('Benefit Selection - Group'!L39,'Group Engine'!$I$107:$K$108,3,0))</f>
        <v>1872</v>
      </c>
      <c r="F213" s="920">
        <f>IF('Benefit Selection - Group'!Q14='Group Basis'!$B$62,VLOOKUP('Benefit Selection - Group'!Q38,Maternity_Net_Rate,2,0),IF('Benefit Selection - Group'!Q14='Group Basis'!$C$62,VLOOKUP('Benefit Selection - Group'!Q38,Maternity_Net_Rate,3,0),IF('Benefit Selection - Group'!Q14='Group Basis'!$D$62,VLOOKUP('Benefit Selection - Group'!Q38,Maternity_Net_Rate,4,0),IF('Benefit Selection - Group'!Q14='Group Basis'!$E$62,VLOOKUP('Benefit Selection - Group'!Q38,Maternity_Net_Rate,5,0),IF('Benefit Selection - Group'!Q14='Group Basis'!$F$62,VLOOKUP('Benefit Selection - Group'!Q38,Maternity_Net_Rate,6,0),IF('Benefit Selection - Group'!Q14='Group Basis'!$G$62,VLOOKUP('Benefit Selection - Group'!Q38,Maternity_Net_Rate,7,0),IF('Benefit Selection - Group'!Q14='Group Basis'!$H$62,VLOOKUP('Benefit Selection - Group'!Q38,Maternity_Net_Rate,8,0),IF('Benefit Selection - Group'!Q14='Group Basis'!$I$62,VLOOKUP('Benefit Selection - Group'!Q38,Maternity_Net_Rate,9,0),0))))))))*(1-VLOOKUP('Benefit Selection - Group'!Q39,'Group Engine'!$L$107:$N$108,3,0))</f>
        <v>1872</v>
      </c>
      <c r="G213" s="920">
        <f>IF('Benefit Selection - Group'!V14='Group Basis'!$B$62,VLOOKUP('Benefit Selection - Group'!V38,Maternity_Net_Rate,2,0),IF('Benefit Selection - Group'!V14='Group Basis'!$C$62,VLOOKUP('Benefit Selection - Group'!V38,Maternity_Net_Rate,3,0),IF('Benefit Selection - Group'!V14='Group Basis'!$D$62,VLOOKUP('Benefit Selection - Group'!V38,Maternity_Net_Rate,4,0),IF('Benefit Selection - Group'!V14='Group Basis'!$E$62,VLOOKUP('Benefit Selection - Group'!V38,Maternity_Net_Rate,5,0),IF('Benefit Selection - Group'!V14='Group Basis'!$F$62,VLOOKUP('Benefit Selection - Group'!V38,Maternity_Net_Rate,6,0),IF('Benefit Selection - Group'!V14='Group Basis'!$G$62,VLOOKUP('Benefit Selection - Group'!V38,Maternity_Net_Rate,7,0),IF('Benefit Selection - Group'!V14='Group Basis'!$H$62,VLOOKUP('Benefit Selection - Group'!V38,Maternity_Net_Rate,8,0),IF('Benefit Selection - Group'!V14='Group Basis'!$I$62,VLOOKUP('Benefit Selection - Group'!V38,Maternity_Net_Rate,9,0),0))))))))*(1-VLOOKUP('Benefit Selection - Group'!V39,'Group Engine'!$O$107:$Q$108,3,0))</f>
        <v>3133</v>
      </c>
      <c r="H213" s="920" t="e">
        <f>IF('Benefit Selection - Group'!AA14='Group Basis'!$B$62,VLOOKUP('Benefit Selection - Group'!AA38,Maternity_Net_Rate,2,0),IF('Benefit Selection - Group'!AA14='Group Basis'!$C$62,VLOOKUP('Benefit Selection - Group'!AA38,Maternity_Net_Rate,3,0),IF('Benefit Selection - Group'!AA14='Group Basis'!$D$62,VLOOKUP('Benefit Selection - Group'!AA38,Maternity_Net_Rate,4,0),IF('Benefit Selection - Group'!AA14='Group Basis'!$E$62,VLOOKUP('Benefit Selection - Group'!AA38,Maternity_Net_Rate,5,0),IF('Benefit Selection - Group'!AA14='Group Basis'!$F$62,VLOOKUP('Benefit Selection - Group'!AA38,Maternity_Net_Rate,6,0),IF('Benefit Selection - Group'!AA14='Group Basis'!$G$62,VLOOKUP('Benefit Selection - Group'!AA38,Maternity_Net_Rate,7,0),IF('Benefit Selection - Group'!AA14='Group Basis'!$H$62,VLOOKUP('Benefit Selection - Group'!AA38,Maternity_Net_Rate,8,0),IF('Benefit Selection - Group'!AA14='Group Basis'!$I$62,VLOOKUP('Benefit Selection - Group'!AA38,Maternity_Net_Rate,9,0),0))))))))*(1-VLOOKUP('Benefit Selection - Group'!AA39,'Group Engine'!$R$107:$T$108,3,0))</f>
        <v>#N/A</v>
      </c>
      <c r="I213" s="920">
        <f>IF('Benefit Selection - Group'!AF14='Group Basis'!$B$62,VLOOKUP('Benefit Selection - Group'!AF38,Maternity_Net_Rate,2,0),IF('Benefit Selection - Group'!AF14='Group Basis'!$C$62,VLOOKUP('Benefit Selection - Group'!AF38,Maternity_Net_Rate,3,0),IF('Benefit Selection - Group'!AF14='Group Basis'!$D$62,VLOOKUP('Benefit Selection - Group'!AF38,Maternity_Net_Rate,4,0),IF('Benefit Selection - Group'!AF14='Group Basis'!$E$62,VLOOKUP('Benefit Selection - Group'!AF38,Maternity_Net_Rate,5,0),IF('Benefit Selection - Group'!AF14='Group Basis'!$F$62,VLOOKUP('Benefit Selection - Group'!AF38,Maternity_Net_Rate,6,0),IF('Benefit Selection - Group'!AF14='Group Basis'!$G$62,VLOOKUP('Benefit Selection - Group'!AF38,Maternity_Net_Rate,7,0),IF('Benefit Selection - Group'!AF14='Group Basis'!$H$62,VLOOKUP('Benefit Selection - Group'!AF38,Maternity_Net_Rate,8,0),IF('Benefit Selection - Group'!AF14='Group Basis'!$I$62,VLOOKUP('Benefit Selection - Group'!AF38,Maternity_Net_Rate,9,0),0))))))))*(1-VLOOKUP('Benefit Selection - Group'!AF39,'Group Engine'!$U$107:$W$108,3,0))</f>
        <v>3133</v>
      </c>
      <c r="J213" s="920">
        <f>IF('Benefit Selection - Group'!AK14='Group Basis'!$B$62,VLOOKUP('Benefit Selection - Group'!AK38,Maternity_Net_Rate,2,0),IF('Benefit Selection - Group'!AK14='Group Basis'!$C$62,VLOOKUP('Benefit Selection - Group'!AK38,Maternity_Net_Rate,3,0),IF('Benefit Selection - Group'!AK14='Group Basis'!$D$62,VLOOKUP('Benefit Selection - Group'!AK38,Maternity_Net_Rate,4,0),IF('Benefit Selection - Group'!AK14='Group Basis'!$E$62,VLOOKUP('Benefit Selection - Group'!AK38,Maternity_Net_Rate,5,0),IF('Benefit Selection - Group'!AK14='Group Basis'!$F$62,VLOOKUP('Benefit Selection - Group'!AK38,Maternity_Net_Rate,6,0),IF('Benefit Selection - Group'!AK14='Group Basis'!$G$62,VLOOKUP('Benefit Selection - Group'!AK38,Maternity_Net_Rate,7,0),IF('Benefit Selection - Group'!AK14='Group Basis'!$H$62,VLOOKUP('Benefit Selection - Group'!AK38,Maternity_Net_Rate,8,0),IF('Benefit Selection - Group'!AK14='Group Basis'!$I$62,VLOOKUP('Benefit Selection - Group'!AK38,Maternity_Net_Rate,9,0),0))))))))*(1-VLOOKUP('Benefit Selection - Group'!AK39,'Group Engine'!$X$107:$Z$108,3,0))</f>
        <v>3133</v>
      </c>
    </row>
    <row r="214" spans="1:40" x14ac:dyDescent="0.25">
      <c r="C214" s="988">
        <f>C209-C213</f>
        <v>0</v>
      </c>
      <c r="D214" s="988">
        <f t="shared" ref="D214:J214" si="112">D209-D213</f>
        <v>0</v>
      </c>
      <c r="E214" s="988">
        <f t="shared" si="112"/>
        <v>0</v>
      </c>
      <c r="F214" s="988">
        <f t="shared" si="112"/>
        <v>0</v>
      </c>
      <c r="G214" s="988">
        <f t="shared" si="112"/>
        <v>0</v>
      </c>
      <c r="H214" s="988" t="e">
        <f t="shared" si="112"/>
        <v>#N/A</v>
      </c>
      <c r="I214" s="988">
        <f t="shared" si="112"/>
        <v>0</v>
      </c>
      <c r="J214" s="988">
        <f t="shared" si="112"/>
        <v>0</v>
      </c>
    </row>
    <row r="217" spans="1:40" x14ac:dyDescent="0.25">
      <c r="C217" s="456" t="str">
        <f>'Benefit Selection - Group'!$B$3</f>
        <v>Category A</v>
      </c>
      <c r="D217" s="456" t="str">
        <f>'Benefit Selection - Group'!$G$3</f>
        <v/>
      </c>
      <c r="E217" s="456" t="str">
        <f>'Benefit Selection - Group'!$L$3</f>
        <v/>
      </c>
      <c r="F217" s="456" t="str">
        <f>'Benefit Selection - Group'!$Q$3</f>
        <v/>
      </c>
      <c r="G217" s="456" t="str">
        <f>'Benefit Selection - Group'!$V$3</f>
        <v/>
      </c>
      <c r="H217" s="456" t="str">
        <f>'Benefit Selection - Group'!$AA$3</f>
        <v/>
      </c>
      <c r="I217" s="456" t="str">
        <f>'Benefit Selection - Group'!$AF$3</f>
        <v/>
      </c>
      <c r="J217" s="456" t="str">
        <f>'Benefit Selection - Group'!$AK$3</f>
        <v/>
      </c>
    </row>
    <row r="218" spans="1:40" x14ac:dyDescent="0.25">
      <c r="A218" s="471" t="s">
        <v>1079</v>
      </c>
      <c r="B218" s="471"/>
      <c r="C218" s="769">
        <f ca="1">C85</f>
        <v>28804.852567567563</v>
      </c>
      <c r="D218" s="769">
        <f ca="1">F85</f>
        <v>0</v>
      </c>
      <c r="E218" s="769">
        <f ca="1">I85</f>
        <v>0</v>
      </c>
      <c r="F218" s="769">
        <f ca="1">L85</f>
        <v>0</v>
      </c>
      <c r="G218" s="769">
        <f ca="1">O85</f>
        <v>0</v>
      </c>
      <c r="H218" s="769">
        <f ca="1">R85</f>
        <v>0</v>
      </c>
      <c r="I218" s="769">
        <f ca="1">U85</f>
        <v>0</v>
      </c>
      <c r="J218" s="769">
        <f ca="1">X85</f>
        <v>0</v>
      </c>
      <c r="K218" s="961">
        <f ca="1">SUM(C218:J218)</f>
        <v>28804.852567567563</v>
      </c>
      <c r="AA218" s="956"/>
    </row>
    <row r="219" spans="1:40" x14ac:dyDescent="0.25">
      <c r="A219" s="471" t="s">
        <v>1080</v>
      </c>
      <c r="B219" s="471"/>
      <c r="C219" s="769">
        <f ca="1">C91</f>
        <v>0</v>
      </c>
      <c r="D219" s="769">
        <f ca="1">F91</f>
        <v>0</v>
      </c>
      <c r="E219" s="769">
        <f ca="1">I91</f>
        <v>0</v>
      </c>
      <c r="F219" s="769">
        <f ca="1">L91</f>
        <v>0</v>
      </c>
      <c r="G219" s="769">
        <f ca="1">O91</f>
        <v>0</v>
      </c>
      <c r="H219" s="769">
        <f ca="1">R91</f>
        <v>0</v>
      </c>
      <c r="I219" s="769">
        <f ca="1">U91</f>
        <v>0</v>
      </c>
      <c r="J219" s="769">
        <f ca="1">X91</f>
        <v>0</v>
      </c>
      <c r="K219" s="961">
        <f ca="1">SUM(C219:J219)</f>
        <v>0</v>
      </c>
      <c r="AA219" s="923"/>
    </row>
    <row r="220" spans="1:40" x14ac:dyDescent="0.25">
      <c r="A220" s="959" t="s">
        <v>201</v>
      </c>
      <c r="B220" s="471"/>
      <c r="C220" s="961">
        <f t="shared" ref="C220:K220" ca="1" si="113">SUM(C218:C219)</f>
        <v>28804.852567567563</v>
      </c>
      <c r="D220" s="961">
        <f t="shared" ca="1" si="113"/>
        <v>0</v>
      </c>
      <c r="E220" s="961">
        <f t="shared" ca="1" si="113"/>
        <v>0</v>
      </c>
      <c r="F220" s="961">
        <f t="shared" ca="1" si="113"/>
        <v>0</v>
      </c>
      <c r="G220" s="961">
        <f t="shared" ca="1" si="113"/>
        <v>0</v>
      </c>
      <c r="H220" s="961">
        <f t="shared" ca="1" si="113"/>
        <v>0</v>
      </c>
      <c r="I220" s="961">
        <f t="shared" ca="1" si="113"/>
        <v>0</v>
      </c>
      <c r="J220" s="961">
        <f t="shared" ca="1" si="113"/>
        <v>0</v>
      </c>
      <c r="K220" s="961">
        <f t="shared" ca="1" si="113"/>
        <v>28804.852567567563</v>
      </c>
      <c r="AA220" s="957"/>
    </row>
    <row r="221" spans="1:40" x14ac:dyDescent="0.25">
      <c r="C221" s="562"/>
      <c r="D221" s="562"/>
      <c r="E221" s="562"/>
      <c r="F221" s="562"/>
      <c r="G221" s="562"/>
      <c r="H221" s="562"/>
      <c r="I221" s="562"/>
      <c r="J221" s="562"/>
      <c r="K221" s="469"/>
    </row>
    <row r="222" spans="1:40" x14ac:dyDescent="0.25">
      <c r="A222" s="471" t="s">
        <v>1079</v>
      </c>
      <c r="B222" s="471"/>
      <c r="C222" s="572">
        <f t="shared" ref="C222:J222" ca="1" si="114">IFERROR(C218/C220,0%)</f>
        <v>1</v>
      </c>
      <c r="D222" s="572">
        <f t="shared" ca="1" si="114"/>
        <v>0</v>
      </c>
      <c r="E222" s="572">
        <f t="shared" ca="1" si="114"/>
        <v>0</v>
      </c>
      <c r="F222" s="572">
        <f t="shared" ca="1" si="114"/>
        <v>0</v>
      </c>
      <c r="G222" s="572">
        <f t="shared" ca="1" si="114"/>
        <v>0</v>
      </c>
      <c r="H222" s="572">
        <f t="shared" ca="1" si="114"/>
        <v>0</v>
      </c>
      <c r="I222" s="572">
        <f t="shared" ca="1" si="114"/>
        <v>0</v>
      </c>
      <c r="J222" s="572">
        <f t="shared" ca="1" si="114"/>
        <v>0</v>
      </c>
      <c r="K222" s="960">
        <f ca="1">K218/K220</f>
        <v>1</v>
      </c>
    </row>
    <row r="223" spans="1:40" x14ac:dyDescent="0.25">
      <c r="A223" s="471" t="s">
        <v>1080</v>
      </c>
      <c r="B223" s="471"/>
      <c r="C223" s="572">
        <f t="shared" ref="C223:J223" ca="1" si="115">IFERROR(C219/C220,0%)</f>
        <v>0</v>
      </c>
      <c r="D223" s="572">
        <f t="shared" ca="1" si="115"/>
        <v>0</v>
      </c>
      <c r="E223" s="572">
        <f t="shared" ca="1" si="115"/>
        <v>0</v>
      </c>
      <c r="F223" s="572">
        <f t="shared" ca="1" si="115"/>
        <v>0</v>
      </c>
      <c r="G223" s="572">
        <f t="shared" ca="1" si="115"/>
        <v>0</v>
      </c>
      <c r="H223" s="572">
        <f t="shared" ca="1" si="115"/>
        <v>0</v>
      </c>
      <c r="I223" s="572">
        <f t="shared" ca="1" si="115"/>
        <v>0</v>
      </c>
      <c r="J223" s="572">
        <f t="shared" ca="1" si="115"/>
        <v>0</v>
      </c>
      <c r="K223" s="960">
        <f ca="1">K219/K220</f>
        <v>0</v>
      </c>
    </row>
    <row r="224" spans="1:40" x14ac:dyDescent="0.25">
      <c r="A224" s="959" t="s">
        <v>201</v>
      </c>
      <c r="B224" s="471"/>
      <c r="C224" s="960">
        <f t="shared" ref="C224:K224" ca="1" si="116">SUM(C222:C223)</f>
        <v>1</v>
      </c>
      <c r="D224" s="960">
        <f t="shared" ca="1" si="116"/>
        <v>0</v>
      </c>
      <c r="E224" s="960">
        <f t="shared" ca="1" si="116"/>
        <v>0</v>
      </c>
      <c r="F224" s="960">
        <f t="shared" ca="1" si="116"/>
        <v>0</v>
      </c>
      <c r="G224" s="960">
        <f t="shared" ca="1" si="116"/>
        <v>0</v>
      </c>
      <c r="H224" s="960">
        <f t="shared" ca="1" si="116"/>
        <v>0</v>
      </c>
      <c r="I224" s="960">
        <f t="shared" ca="1" si="116"/>
        <v>0</v>
      </c>
      <c r="J224" s="960">
        <f t="shared" ca="1" si="116"/>
        <v>0</v>
      </c>
      <c r="K224" s="960">
        <f t="shared" ca="1" si="116"/>
        <v>1</v>
      </c>
    </row>
    <row r="229" spans="1:36" x14ac:dyDescent="0.25">
      <c r="C229" s="456" t="str">
        <f>'Benefit Selection - Group'!$B$3</f>
        <v>Category A</v>
      </c>
      <c r="D229" s="456" t="str">
        <f>'Benefit Selection - Group'!$G$3</f>
        <v/>
      </c>
      <c r="E229" s="456" t="str">
        <f>'Benefit Selection - Group'!$L$3</f>
        <v/>
      </c>
      <c r="F229" s="456" t="str">
        <f>'Benefit Selection - Group'!$Q$3</f>
        <v/>
      </c>
      <c r="G229" s="456" t="str">
        <f>'Benefit Selection - Group'!$V$3</f>
        <v/>
      </c>
      <c r="H229" s="456" t="str">
        <f>'Benefit Selection - Group'!$AA$3</f>
        <v/>
      </c>
      <c r="I229" s="456" t="str">
        <f>'Benefit Selection - Group'!$AF$3</f>
        <v/>
      </c>
      <c r="J229" s="456" t="str">
        <f>'Benefit Selection - Group'!$AK$3</f>
        <v/>
      </c>
    </row>
    <row r="230" spans="1:36" x14ac:dyDescent="0.25">
      <c r="A230" s="962" t="s">
        <v>1082</v>
      </c>
      <c r="B230" s="28"/>
      <c r="C230" s="920">
        <f>IF('Benefit Selection - Group'!B14='Group Basis'!$B$62,VLOOKUP('Benefit Selection - Group'!B38,Maternity_Net_Rate,2,0),IF('Benefit Selection - Group'!B14='Group Basis'!$C$62,VLOOKUP('Benefit Selection - Group'!B38,Maternity_Net_Rate,3,0),IF('Benefit Selection - Group'!B14='Group Basis'!$D$62,VLOOKUP('Benefit Selection - Group'!B38,Maternity_Net_Rate,4,0),IF('Benefit Selection - Group'!B14='Group Basis'!$E$62,VLOOKUP('Benefit Selection - Group'!B38,Maternity_Net_Rate,5,0),IF('Benefit Selection - Group'!B14='Group Basis'!$F$62,VLOOKUP('Benefit Selection - Group'!B38,Maternity_Net_Rate,6,0),IF('Benefit Selection - Group'!B14='Group Basis'!$G$62,VLOOKUP('Benefit Selection - Group'!B38,Maternity_Net_Rate,7,0),IF('Benefit Selection - Group'!B14='Group Basis'!$H$62,VLOOKUP('Benefit Selection - Group'!B38,Maternity_Net_Rate,8,0),IF('Benefit Selection - Group'!B14='Group Basis'!$I$62,VLOOKUP('Benefit Selection - Group'!B38,Maternity_Net_Rate,9,0),0)))))))*(1-VLOOKUP('Benefit Selection - Group'!B39,'Group Engine'!$C$107:$E$108,3,0)))*'Group Engine'!$D$188</f>
        <v>1575.9</v>
      </c>
      <c r="D230" s="920">
        <f>IF('Benefit Selection - Group'!G14='Group Basis'!$B$62,VLOOKUP('Benefit Selection - Group'!G38,Maternity_Net_Rate,2,0),IF('Benefit Selection - Group'!G14='Group Basis'!$C$62,VLOOKUP('Benefit Selection - Group'!G38,Maternity_Net_Rate,3,0),IF('Benefit Selection - Group'!G14='Group Basis'!$D$62,VLOOKUP('Benefit Selection - Group'!G38,Maternity_Net_Rate,4,0),IF('Benefit Selection - Group'!G14='Group Basis'!$E$62,VLOOKUP('Benefit Selection - Group'!G38,Maternity_Net_Rate,5,0),IF('Benefit Selection - Group'!G14='Group Basis'!$F$62,VLOOKUP('Benefit Selection - Group'!G38,Maternity_Net_Rate,6,0),IF('Benefit Selection - Group'!G14='Group Basis'!$G$62,VLOOKUP('Benefit Selection - Group'!G38,Maternity_Net_Rate,7,0),IF('Benefit Selection - Group'!G14='Group Basis'!$H$62,VLOOKUP('Benefit Selection - Group'!G38,Maternity_Net_Rate,8,0),IF('Benefit Selection - Group'!G14='Group Basis'!$I$62,VLOOKUP('Benefit Selection - Group'!G38,Maternity_Net_Rate,9,0),0)))))))*(1-VLOOKUP('Benefit Selection - Group'!G39,'Group Engine'!$F$107:$H$108,3,0)))*'Group Engine'!$D$188</f>
        <v>2049.3000000000002</v>
      </c>
      <c r="E230" s="920">
        <f>IF('Benefit Selection - Group'!L14='Group Basis'!$B$62,VLOOKUP('Benefit Selection - Group'!L38,Maternity_Net_Rate,2,0),IF('Benefit Selection - Group'!L14='Group Basis'!$C$62,VLOOKUP('Benefit Selection - Group'!L38,Maternity_Net_Rate,3,0),IF('Benefit Selection - Group'!L14='Group Basis'!$D$62,VLOOKUP('Benefit Selection - Group'!L38,Maternity_Net_Rate,4,0),IF('Benefit Selection - Group'!L14='Group Basis'!$E$62,VLOOKUP('Benefit Selection - Group'!L38,Maternity_Net_Rate,5,0),IF('Benefit Selection - Group'!L14='Group Basis'!$F$62,VLOOKUP('Benefit Selection - Group'!L38,Maternity_Net_Rate,6,0),IF('Benefit Selection - Group'!L14='Group Basis'!$G$62,VLOOKUP('Benefit Selection - Group'!L38,Maternity_Net_Rate,7,0),IF('Benefit Selection - Group'!L14='Group Basis'!$H$62,VLOOKUP('Benefit Selection - Group'!L38,Maternity_Net_Rate,8,0),IF('Benefit Selection - Group'!L14='Group Basis'!$I$62,VLOOKUP('Benefit Selection - Group'!L38,Maternity_Net_Rate,9,0),0)))))))*(1-VLOOKUP('Benefit Selection - Group'!L39,'Group Engine'!$I$107:$K$108,3,0)))*'Group Engine'!$D$188</f>
        <v>1872</v>
      </c>
      <c r="F230" s="920">
        <f>IF('Benefit Selection - Group'!Q14='Group Basis'!$B$62,VLOOKUP('Benefit Selection - Group'!Q38,Maternity_Net_Rate,2,0),IF('Benefit Selection - Group'!Q14='Group Basis'!$C$62,VLOOKUP('Benefit Selection - Group'!Q38,Maternity_Net_Rate,3,0),IF('Benefit Selection - Group'!Q14='Group Basis'!$D$62,VLOOKUP('Benefit Selection - Group'!Q38,Maternity_Net_Rate,4,0),IF('Benefit Selection - Group'!Q14='Group Basis'!$E$62,VLOOKUP('Benefit Selection - Group'!Q38,Maternity_Net_Rate,5,0),IF('Benefit Selection - Group'!Q14='Group Basis'!$F$62,VLOOKUP('Benefit Selection - Group'!Q38,Maternity_Net_Rate,6,0),IF('Benefit Selection - Group'!Q14='Group Basis'!$F$62,VLOOKUP('Benefit Selection - Group'!Q38,Maternity_Net_Rate,7,0),IF('Benefit Selection - Group'!Q14='Group Basis'!$H$62,VLOOKUP('Benefit Selection - Group'!Q38,Maternity_Net_Rate,8,0),IF('Benefit Selection - Group'!Q14='Group Basis'!$I$62,VLOOKUP('Benefit Selection - Group'!Q38,Maternity_Net_Rate,9,0),0)))))))*(1-VLOOKUP('Benefit Selection - Group'!Q39,'Group Engine'!$L$107:$N$108,3,0)))*'Group Engine'!$D$188</f>
        <v>1872</v>
      </c>
      <c r="G230" s="920">
        <f>IF('Benefit Selection - Group'!V14='Group Basis'!$B$62,VLOOKUP('Benefit Selection - Group'!V38,Maternity_Net_Rate,2,0),IF('Benefit Selection - Group'!V14='Group Basis'!$C$62,VLOOKUP('Benefit Selection - Group'!V38,Maternity_Net_Rate,3,0),IF('Benefit Selection - Group'!V14='Group Basis'!$D$62,VLOOKUP('Benefit Selection - Group'!V38,Maternity_Net_Rate,4,0),IF('Benefit Selection - Group'!V14='Group Basis'!$E$62,VLOOKUP('Benefit Selection - Group'!V38,Maternity_Net_Rate,5,0),IF('Benefit Selection - Group'!V14='Group Basis'!$F$62,VLOOKUP('Benefit Selection - Group'!V38,Maternity_Net_Rate,6,0),IF('Benefit Selection - Group'!V14='Group Basis'!$G$62,VLOOKUP('Benefit Selection - Group'!V38,Maternity_Net_Rate,7,0),IF('Benefit Selection - Group'!V14='Group Basis'!$H$62,VLOOKUP('Benefit Selection - Group'!V38,Maternity_Net_Rate,8,0),IF('Benefit Selection - Group'!V14='Group Basis'!$I$62,VLOOKUP('Benefit Selection - Group'!V38,Maternity_Net_Rate,9,0),0)))))))*(1-VLOOKUP('Benefit Selection - Group'!V39,'Group Engine'!$O$107:$Q$108,3,0)))*'Group Engine'!$D$188</f>
        <v>3133</v>
      </c>
      <c r="H230" s="920" t="e">
        <f>IF('Benefit Selection - Group'!AA14='Group Basis'!$B$62,VLOOKUP('Benefit Selection - Group'!AA38,Maternity_Net_Rate,2,0),IF('Benefit Selection - Group'!AA14='Group Basis'!$C$62,VLOOKUP('Benefit Selection - Group'!AA38,Maternity_Net_Rate,3,0),IF('Benefit Selection - Group'!AA14='Group Basis'!$D$62,VLOOKUP('Benefit Selection - Group'!AA38,Maternity_Net_Rate,4,0),IF('Benefit Selection - Group'!AA14='Group Basis'!$E$62,VLOOKUP('Benefit Selection - Group'!AA38,Maternity_Net_Rate,5,0),IF('Benefit Selection - Group'!AA14='Group Basis'!$F$62,VLOOKUP('Benefit Selection - Group'!AA38,Maternity_Net_Rate,6,0),IF('Benefit Selection - Group'!AA14='Group Basis'!$G$62,VLOOKUP('Benefit Selection - Group'!AA38,Maternity_Net_Rate,7,0),IF('Benefit Selection - Group'!AA14='Group Basis'!$H$62,VLOOKUP('Benefit Selection - Group'!AA38,Maternity_Net_Rate,8,0),IF('Benefit Selection - Group'!AA14='Group Basis'!$I$62,VLOOKUP('Benefit Selection - Group'!AA38,Maternity_Net_Rate,9,0),0)))))))*(1-VLOOKUP('Benefit Selection - Group'!AA39,'Group Engine'!$R$107:$T$108,3,0)))*'Group Engine'!$D$188</f>
        <v>#N/A</v>
      </c>
      <c r="I230" s="920">
        <f>IF('Benefit Selection - Group'!AF14='Group Basis'!$B$62,VLOOKUP('Benefit Selection - Group'!AF38,Maternity_Net_Rate,2,0),IF('Benefit Selection - Group'!AF14='Group Basis'!$C$62,VLOOKUP('Benefit Selection - Group'!AF38,Maternity_Net_Rate,3,0),IF('Benefit Selection - Group'!AF14='Group Basis'!$D$62,VLOOKUP('Benefit Selection - Group'!AF38,Maternity_Net_Rate,4,0),IF('Benefit Selection - Group'!AF14='Group Basis'!$E$62,VLOOKUP('Benefit Selection - Group'!AF38,Maternity_Net_Rate,5,0),IF('Benefit Selection - Group'!AF14='Group Basis'!$F$62,VLOOKUP('Benefit Selection - Group'!AF38,Maternity_Net_Rate,6,0),IF('Benefit Selection - Group'!AF14='Group Basis'!$G$62,VLOOKUP('Benefit Selection - Group'!AF38,Maternity_Net_Rate,7,0),IF('Benefit Selection - Group'!AF14='Group Basis'!$H$62,VLOOKUP('Benefit Selection - Group'!AF38,Maternity_Net_Rate,8,0),IF('Benefit Selection - Group'!AF14='Group Basis'!$I$62,VLOOKUP('Benefit Selection - Group'!AF38,Maternity_Net_Rate,9,0),0)))))))*(1-VLOOKUP('Benefit Selection - Group'!AF39,'Group Engine'!$U$107:$W$108,3,0)))*'Group Engine'!$D$188</f>
        <v>3133</v>
      </c>
      <c r="J230" s="920">
        <f>IF('Benefit Selection - Group'!AK14='Group Basis'!$B$62,VLOOKUP('Benefit Selection - Group'!AK38,Maternity_Net_Rate,2,0),IF('Benefit Selection - Group'!AK14='Group Basis'!$C$62,VLOOKUP('Benefit Selection - Group'!AK38,Maternity_Net_Rate,3,0),IF('Benefit Selection - Group'!AK14='Group Basis'!$D$62,VLOOKUP('Benefit Selection - Group'!AK38,Maternity_Net_Rate,4,0),IF('Benefit Selection - Group'!AK14='Group Basis'!$E$62,VLOOKUP('Benefit Selection - Group'!AK38,Maternity_Net_Rate,5,0),IF('Benefit Selection - Group'!AK14='Group Basis'!$F$62,VLOOKUP('Benefit Selection - Group'!AK38,Maternity_Net_Rate,6,0),IF('Benefit Selection - Group'!AK14='Group Basis'!$G$62,VLOOKUP('Benefit Selection - Group'!AK38,Maternity_Net_Rate,7,0),IF('Benefit Selection - Group'!AK14='Group Basis'!$H$62,VLOOKUP('Benefit Selection - Group'!AK38,Maternity_Net_Rate,8,0),IF('Benefit Selection - Group'!AK14='Group Basis'!$I$62,VLOOKUP('Benefit Selection - Group'!AK38,Maternity_Net_Rate,9,0),0)))))))*(1-VLOOKUP('Benefit Selection - Group'!AK39,'Group Engine'!$X$107:$Z$108,3,0)))*'Group Engine'!$D$188</f>
        <v>3133</v>
      </c>
    </row>
    <row r="231" spans="1:36" x14ac:dyDescent="0.25">
      <c r="A231" s="962" t="s">
        <v>1083</v>
      </c>
      <c r="B231" s="28"/>
      <c r="C231" s="920">
        <f>'Member Data'!O28+'Member Data'!O29</f>
        <v>0</v>
      </c>
      <c r="D231" s="920">
        <f>'Member Data'!P28+'Member Data'!P29</f>
        <v>0</v>
      </c>
      <c r="E231" s="920">
        <f>'Member Data'!Q28+'Member Data'!Q29</f>
        <v>0</v>
      </c>
      <c r="F231" s="920">
        <f>'Member Data'!R28+'Member Data'!R29</f>
        <v>0</v>
      </c>
      <c r="G231" s="920">
        <f>'Member Data'!S28+'Member Data'!S29</f>
        <v>0</v>
      </c>
      <c r="H231" s="920">
        <f>'Member Data'!T28+'Member Data'!T29</f>
        <v>0</v>
      </c>
      <c r="I231" s="920">
        <f>'Member Data'!U28+'Member Data'!U29</f>
        <v>0</v>
      </c>
      <c r="J231" s="920">
        <f>'Member Data'!V28+'Member Data'!V29</f>
        <v>0</v>
      </c>
    </row>
    <row r="232" spans="1:36" x14ac:dyDescent="0.25">
      <c r="A232" s="963" t="s">
        <v>1084</v>
      </c>
      <c r="C232" s="961">
        <f>C230*C231</f>
        <v>0</v>
      </c>
      <c r="D232" s="961">
        <f t="shared" ref="D232:J232" si="117">D230*D231</f>
        <v>0</v>
      </c>
      <c r="E232" s="961">
        <f t="shared" si="117"/>
        <v>0</v>
      </c>
      <c r="F232" s="961">
        <f t="shared" si="117"/>
        <v>0</v>
      </c>
      <c r="G232" s="961">
        <f t="shared" si="117"/>
        <v>0</v>
      </c>
      <c r="H232" s="961" t="e">
        <f t="shared" si="117"/>
        <v>#N/A</v>
      </c>
      <c r="I232" s="961">
        <f t="shared" si="117"/>
        <v>0</v>
      </c>
      <c r="J232" s="961">
        <f t="shared" si="117"/>
        <v>0</v>
      </c>
      <c r="K232" s="961" t="e">
        <f>SUM(C232:J232)</f>
        <v>#N/A</v>
      </c>
    </row>
    <row r="233" spans="1:36" x14ac:dyDescent="0.25">
      <c r="A233" s="963" t="s">
        <v>1085</v>
      </c>
      <c r="C233" s="961">
        <f>C79</f>
        <v>25183</v>
      </c>
      <c r="D233" s="961">
        <f>F79</f>
        <v>0</v>
      </c>
      <c r="E233" s="961">
        <f>I79</f>
        <v>0</v>
      </c>
      <c r="F233" s="961">
        <f>L79</f>
        <v>0</v>
      </c>
      <c r="G233" s="961">
        <f>O79</f>
        <v>0</v>
      </c>
      <c r="H233" s="961">
        <f>R79</f>
        <v>0</v>
      </c>
      <c r="I233" s="961">
        <f>U79</f>
        <v>0</v>
      </c>
      <c r="J233" s="961">
        <f>X79</f>
        <v>0</v>
      </c>
      <c r="K233" s="961">
        <f>SUM(C233:J233)</f>
        <v>25183</v>
      </c>
    </row>
    <row r="234" spans="1:36" x14ac:dyDescent="0.25">
      <c r="C234" s="964">
        <f>IFERROR(C233/(C232+C233),0)</f>
        <v>1</v>
      </c>
      <c r="D234" s="964">
        <f t="shared" ref="D234:K234" si="118">IFERROR(D233/(D232+D233),0)</f>
        <v>0</v>
      </c>
      <c r="E234" s="964">
        <f t="shared" si="118"/>
        <v>0</v>
      </c>
      <c r="F234" s="964">
        <f t="shared" si="118"/>
        <v>0</v>
      </c>
      <c r="G234" s="964">
        <f t="shared" si="118"/>
        <v>0</v>
      </c>
      <c r="H234" s="964">
        <f t="shared" si="118"/>
        <v>0</v>
      </c>
      <c r="I234" s="964">
        <f t="shared" si="118"/>
        <v>0</v>
      </c>
      <c r="J234" s="964">
        <f t="shared" si="118"/>
        <v>0</v>
      </c>
      <c r="K234" s="964">
        <f t="shared" si="118"/>
        <v>0</v>
      </c>
    </row>
    <row r="236" spans="1:36" x14ac:dyDescent="0.25">
      <c r="A236" s="1005" t="s">
        <v>1172</v>
      </c>
      <c r="B236" s="471"/>
      <c r="C236" s="1006">
        <f>'Experience Rating'!B59</f>
        <v>1575.9</v>
      </c>
      <c r="D236" s="1006" t="str">
        <f>'Experience Rating'!C59</f>
        <v/>
      </c>
      <c r="E236" s="1006" t="str">
        <f>'Experience Rating'!D59</f>
        <v/>
      </c>
      <c r="F236" s="1006" t="str">
        <f>'Experience Rating'!E59</f>
        <v/>
      </c>
      <c r="G236" s="1006" t="str">
        <f>'Experience Rating'!F59</f>
        <v/>
      </c>
      <c r="H236" s="1006" t="str">
        <f>'Experience Rating'!G59</f>
        <v/>
      </c>
      <c r="I236" s="1006" t="str">
        <f>'Experience Rating'!H59</f>
        <v/>
      </c>
      <c r="J236" s="1006" t="str">
        <f>'Experience Rating'!I59</f>
        <v/>
      </c>
      <c r="K236" s="1007" t="s">
        <v>1173</v>
      </c>
    </row>
    <row r="237" spans="1:36" x14ac:dyDescent="0.25">
      <c r="C237" s="1018">
        <f ca="1">IF('TOB &amp; Rates'!F135="",0,'TOB &amp; Rates'!F136)</f>
        <v>0</v>
      </c>
      <c r="D237" s="1018">
        <f>IF('TOB &amp; Rates'!G135="",0,'TOB &amp; Rates'!G136)</f>
        <v>0</v>
      </c>
      <c r="E237" s="1018">
        <f>IF('TOB &amp; Rates'!H135="",0,'TOB &amp; Rates'!H136)</f>
        <v>0</v>
      </c>
      <c r="F237" s="1018">
        <f>IF('TOB &amp; Rates'!I135="",0,'TOB &amp; Rates'!I136)</f>
        <v>0</v>
      </c>
      <c r="G237" s="1018">
        <f>IF('TOB &amp; Rates'!J135="",0,'TOB &amp; Rates'!J136)</f>
        <v>0</v>
      </c>
      <c r="H237" s="1018">
        <f>IF('TOB &amp; Rates'!K135="",0,'TOB &amp; Rates'!K136)</f>
        <v>0</v>
      </c>
      <c r="I237" s="1018">
        <f>IF('TOB &amp; Rates'!L135="",0,'TOB &amp; Rates'!L136)</f>
        <v>0</v>
      </c>
      <c r="J237" s="1018">
        <f>IF('TOB &amp; Rates'!M135="",0,'TOB &amp; Rates'!M136)</f>
        <v>0</v>
      </c>
    </row>
    <row r="238" spans="1:36" x14ac:dyDescent="0.25">
      <c r="A238" s="28"/>
      <c r="B238" s="28"/>
      <c r="C238" s="750" t="s">
        <v>271</v>
      </c>
      <c r="D238" s="750" t="s">
        <v>272</v>
      </c>
      <c r="E238" s="750" t="s">
        <v>273</v>
      </c>
      <c r="F238" s="750" t="s">
        <v>274</v>
      </c>
      <c r="G238" s="750" t="s">
        <v>365</v>
      </c>
      <c r="H238" s="750" t="s">
        <v>62</v>
      </c>
      <c r="I238" s="750" t="s">
        <v>366</v>
      </c>
      <c r="J238" s="750" t="s">
        <v>367</v>
      </c>
      <c r="K238" s="1019"/>
      <c r="L238" s="28"/>
    </row>
    <row r="239" spans="1:36" x14ac:dyDescent="0.25">
      <c r="A239" s="28"/>
      <c r="B239" s="28"/>
      <c r="C239" s="1020" t="str">
        <f>C208</f>
        <v>Dubai</v>
      </c>
      <c r="D239" s="1020" t="str">
        <f t="shared" ref="D239:J239" si="119">D208</f>
        <v>Dubai</v>
      </c>
      <c r="E239" s="1020" t="str">
        <f t="shared" si="119"/>
        <v>Dubai</v>
      </c>
      <c r="F239" s="1020" t="str">
        <f t="shared" si="119"/>
        <v>Dubai</v>
      </c>
      <c r="G239" s="1020" t="str">
        <f t="shared" si="119"/>
        <v>Dubai</v>
      </c>
      <c r="H239" s="1020" t="str">
        <f t="shared" si="119"/>
        <v>Dubai</v>
      </c>
      <c r="I239" s="1020" t="str">
        <f t="shared" si="119"/>
        <v>Dubai</v>
      </c>
      <c r="J239" s="1020" t="str">
        <f t="shared" si="119"/>
        <v>Dubai</v>
      </c>
      <c r="K239" s="1025">
        <v>45580</v>
      </c>
      <c r="L239" s="28"/>
      <c r="O239" s="987"/>
      <c r="P239" s="987"/>
      <c r="Q239" s="987"/>
      <c r="S239" s="987"/>
      <c r="T239" s="987"/>
      <c r="U239" s="987"/>
      <c r="V239" s="987"/>
      <c r="X239" s="987"/>
      <c r="Y239" s="987"/>
      <c r="Z239" s="987"/>
      <c r="AA239" s="987"/>
      <c r="AC239" s="987"/>
      <c r="AD239" s="987"/>
      <c r="AE239" s="987"/>
      <c r="AF239" s="987"/>
      <c r="AH239" s="987"/>
      <c r="AI239" s="987"/>
      <c r="AJ239" s="987"/>
    </row>
    <row r="240" spans="1:36" x14ac:dyDescent="0.25">
      <c r="A240" s="28" t="s">
        <v>1184</v>
      </c>
      <c r="B240" s="28"/>
      <c r="C240" s="773">
        <f ca="1">IF(C237=0,0,SUMPRODUCT('TOB &amp; Rates'!D180:E191,'TOB &amp; Rates'!D255:E266)+SUMPRODUCT('TOB &amp; Rates'!D212:E223,'TOB &amp; Rates'!D289:E300))</f>
        <v>0</v>
      </c>
      <c r="D240" s="773">
        <f>IF(D237=0,0,SUMPRODUCT('TOB &amp; Rates'!G180:H191,'TOB &amp; Rates'!G255:H266)+SUMPRODUCT('TOB &amp; Rates'!G212:H223,'TOB &amp; Rates'!G289:H300))</f>
        <v>0</v>
      </c>
      <c r="E240" s="773">
        <f>IF(E237=0,0,SUMPRODUCT('TOB &amp; Rates'!J180:K191,'TOB &amp; Rates'!J255:K266)+SUMPRODUCT('TOB &amp; Rates'!J212:K223,'TOB &amp; Rates'!J289:K300))</f>
        <v>0</v>
      </c>
      <c r="F240" s="773">
        <f>IF(F237=0,0,SUMPRODUCT('TOB &amp; Rates'!M180:N191,'TOB &amp; Rates'!M255:N266)+SUMPRODUCT('TOB &amp; Rates'!M212:N223,'TOB &amp; Rates'!M289:N300))</f>
        <v>0</v>
      </c>
      <c r="G240" s="773">
        <f>IF(G237=0,0,SUMPRODUCT('TOB &amp; Rates'!D196:E207,'TOB &amp; Rates'!D272:E283)+SUMPRODUCT('TOB &amp; Rates'!D228:E239,'TOB &amp; Rates'!D306:E317))</f>
        <v>0</v>
      </c>
      <c r="H240" s="773">
        <f>IF(H237=0,0,SUMPRODUCT('TOB &amp; Rates'!G196:H207,'TOB &amp; Rates'!G272:H283)+SUMPRODUCT('TOB &amp; Rates'!G228:H239,'TOB &amp; Rates'!G306:H317))</f>
        <v>0</v>
      </c>
      <c r="I240" s="773">
        <f>IF(I237=0,0,SUMPRODUCT('TOB &amp; Rates'!J196:K207,'TOB &amp; Rates'!J272:K283)+SUMPRODUCT('TOB &amp; Rates'!J228:K239,'TOB &amp; Rates'!J306:K317))</f>
        <v>0</v>
      </c>
      <c r="J240" s="773">
        <f>IF(J237=0,0,SUMPRODUCT('TOB &amp; Rates'!M196:N207,'TOB &amp; Rates'!M272:N283)+SUMPRODUCT('TOB &amp; Rates'!M228:N239,'TOB &amp; Rates'!M306:N317))</f>
        <v>0</v>
      </c>
      <c r="K240" s="961">
        <f ca="1">SUM(C240:J240)</f>
        <v>0</v>
      </c>
      <c r="L240" s="28"/>
      <c r="N240" s="989"/>
    </row>
    <row r="241" spans="1:13" x14ac:dyDescent="0.25">
      <c r="A241" s="28" t="s">
        <v>1185</v>
      </c>
      <c r="B241" s="28"/>
      <c r="C241" s="773">
        <f ca="1">IF(C237=0,0,SUM('TOB &amp; Rates'!D243:D244)*'TOB &amp; Rates'!E267)</f>
        <v>0</v>
      </c>
      <c r="D241" s="773">
        <f>IF(D237=0,0,SUM('TOB &amp; Rates'!G243:G244)*'TOB &amp; Rates'!H267)</f>
        <v>0</v>
      </c>
      <c r="E241" s="773">
        <f>IF(E237=0,0,SUM('TOB &amp; Rates'!J243:J244)*'TOB &amp; Rates'!K267)</f>
        <v>0</v>
      </c>
      <c r="F241" s="773">
        <f>IF(F237=0,0,SUM('TOB &amp; Rates'!M243:M244)*'TOB &amp; Rates'!N267)</f>
        <v>0</v>
      </c>
      <c r="G241" s="773">
        <f>IF(G237=0,0,SUM('TOB &amp; Rates'!D246:D247)*'TOB &amp; Rates'!E284)</f>
        <v>0</v>
      </c>
      <c r="H241" s="773">
        <f>IF(H237=0,0,SUM('TOB &amp; Rates'!G246:G247)*'TOB &amp; Rates'!H284)</f>
        <v>0</v>
      </c>
      <c r="I241" s="773">
        <f>IF(I237=0,0,SUM('TOB &amp; Rates'!J246:J247)*'TOB &amp; Rates'!K284)</f>
        <v>0</v>
      </c>
      <c r="J241" s="773">
        <f>IF(J237=0,0,SUM('TOB &amp; Rates'!M246:M247)*'TOB &amp; Rates'!N284)</f>
        <v>0</v>
      </c>
      <c r="K241" s="961">
        <f ca="1">SUM(C241:J241)</f>
        <v>0</v>
      </c>
      <c r="L241" s="28"/>
    </row>
    <row r="242" spans="1:13" x14ac:dyDescent="0.25">
      <c r="A242" s="28"/>
      <c r="B242" s="28"/>
      <c r="C242" s="1083">
        <f ca="1">SUM(C240:C241)</f>
        <v>0</v>
      </c>
      <c r="D242" s="1083">
        <f>SUM(D240:D241)</f>
        <v>0</v>
      </c>
      <c r="E242" s="1083">
        <f t="shared" ref="E242:J242" si="120">SUM(E240:E241)</f>
        <v>0</v>
      </c>
      <c r="F242" s="1083">
        <f t="shared" si="120"/>
        <v>0</v>
      </c>
      <c r="G242" s="1083">
        <f t="shared" si="120"/>
        <v>0</v>
      </c>
      <c r="H242" s="1083">
        <f t="shared" si="120"/>
        <v>0</v>
      </c>
      <c r="I242" s="1083">
        <f t="shared" si="120"/>
        <v>0</v>
      </c>
      <c r="J242" s="1083">
        <f t="shared" si="120"/>
        <v>0</v>
      </c>
      <c r="K242" s="961">
        <f ca="1">SUM(C242:J242)</f>
        <v>0</v>
      </c>
      <c r="L242" s="28"/>
    </row>
    <row r="243" spans="1:13" x14ac:dyDescent="0.25">
      <c r="A243" s="28"/>
      <c r="B243" s="28"/>
      <c r="C243" s="1084"/>
      <c r="D243" s="1084"/>
      <c r="E243" s="1084"/>
      <c r="F243" s="1084"/>
      <c r="G243" s="1084"/>
      <c r="H243" s="1084"/>
      <c r="I243" s="1084"/>
      <c r="J243" s="1084"/>
      <c r="K243" s="1085"/>
      <c r="L243" s="28"/>
    </row>
    <row r="244" spans="1:13" x14ac:dyDescent="0.25">
      <c r="A244" s="28"/>
      <c r="B244" s="28"/>
      <c r="C244" s="1085"/>
      <c r="D244" s="1085"/>
      <c r="E244" s="1085"/>
      <c r="F244" s="1085"/>
      <c r="G244" s="1085"/>
      <c r="H244" s="1085"/>
      <c r="I244" s="1085"/>
      <c r="J244" s="1085"/>
      <c r="K244" s="1085"/>
      <c r="L244" s="28"/>
    </row>
    <row r="245" spans="1:13" x14ac:dyDescent="0.25">
      <c r="A245" s="28" t="s">
        <v>1186</v>
      </c>
      <c r="B245" s="28"/>
      <c r="C245" s="773">
        <f ca="1">'TOB &amp; Rates'!F119</f>
        <v>28804.852567567563</v>
      </c>
      <c r="D245" s="773" t="str">
        <f>'TOB &amp; Rates'!G119</f>
        <v/>
      </c>
      <c r="E245" s="773" t="str">
        <f>'TOB &amp; Rates'!H119</f>
        <v/>
      </c>
      <c r="F245" s="773" t="str">
        <f>'TOB &amp; Rates'!I119</f>
        <v/>
      </c>
      <c r="G245" s="773" t="str">
        <f>'TOB &amp; Rates'!J119</f>
        <v/>
      </c>
      <c r="H245" s="773" t="str">
        <f>'TOB &amp; Rates'!K119</f>
        <v/>
      </c>
      <c r="I245" s="773" t="str">
        <f>'TOB &amp; Rates'!L119</f>
        <v/>
      </c>
      <c r="J245" s="773" t="str">
        <f>'TOB &amp; Rates'!M119</f>
        <v/>
      </c>
      <c r="K245" s="961">
        <f ca="1">SUM(C245:J245)</f>
        <v>28804.852567567563</v>
      </c>
      <c r="L245" s="1004">
        <f ca="1">K240-K245</f>
        <v>-28804.852567567563</v>
      </c>
    </row>
    <row r="246" spans="1:13" x14ac:dyDescent="0.25">
      <c r="A246" s="28"/>
      <c r="B246" s="28"/>
      <c r="C246" s="773">
        <f ca="1">'TOB &amp; Rates'!F121</f>
        <v>0</v>
      </c>
      <c r="D246" s="773" t="str">
        <f>'TOB &amp; Rates'!G121</f>
        <v/>
      </c>
      <c r="E246" s="773" t="str">
        <f>'TOB &amp; Rates'!H121</f>
        <v/>
      </c>
      <c r="F246" s="773" t="str">
        <f>'TOB &amp; Rates'!I121</f>
        <v/>
      </c>
      <c r="G246" s="773" t="str">
        <f>'TOB &amp; Rates'!J121</f>
        <v/>
      </c>
      <c r="H246" s="773" t="str">
        <f>'TOB &amp; Rates'!K121</f>
        <v/>
      </c>
      <c r="I246" s="773" t="str">
        <f>'TOB &amp; Rates'!L121</f>
        <v/>
      </c>
      <c r="J246" s="773" t="str">
        <f>'TOB &amp; Rates'!M121</f>
        <v/>
      </c>
      <c r="K246" s="961">
        <f ca="1">SUM(C246:J246)</f>
        <v>0</v>
      </c>
      <c r="L246" s="1004">
        <f ca="1">K241-K246</f>
        <v>0</v>
      </c>
    </row>
    <row r="247" spans="1:13" x14ac:dyDescent="0.25">
      <c r="A247" s="28"/>
      <c r="B247" s="28"/>
      <c r="C247" s="1083">
        <f ca="1">SUM(C245:C246)</f>
        <v>28804.852567567563</v>
      </c>
      <c r="D247" s="1083">
        <f>SUM(D245:D246)</f>
        <v>0</v>
      </c>
      <c r="E247" s="1083">
        <f t="shared" ref="E247:J247" si="121">SUM(E245:E246)</f>
        <v>0</v>
      </c>
      <c r="F247" s="1083">
        <f t="shared" si="121"/>
        <v>0</v>
      </c>
      <c r="G247" s="1083">
        <f t="shared" si="121"/>
        <v>0</v>
      </c>
      <c r="H247" s="1083">
        <f t="shared" si="121"/>
        <v>0</v>
      </c>
      <c r="I247" s="1083">
        <f t="shared" si="121"/>
        <v>0</v>
      </c>
      <c r="J247" s="1083">
        <f t="shared" si="121"/>
        <v>0</v>
      </c>
      <c r="K247" s="961">
        <f ca="1">SUM(C247:J247)</f>
        <v>28804.852567567563</v>
      </c>
      <c r="L247" s="1004">
        <f ca="1">K242-K247</f>
        <v>-28804.852567567563</v>
      </c>
    </row>
    <row r="248" spans="1:13" x14ac:dyDescent="0.25">
      <c r="A248" s="28"/>
      <c r="B248" s="28"/>
      <c r="C248" s="1085"/>
      <c r="D248" s="1085"/>
      <c r="E248" s="1085"/>
      <c r="F248" s="1085"/>
      <c r="G248" s="1085"/>
      <c r="H248" s="1085"/>
      <c r="I248" s="1085"/>
      <c r="J248" s="1085"/>
      <c r="K248" s="1085"/>
      <c r="L248" s="28"/>
    </row>
    <row r="249" spans="1:13" x14ac:dyDescent="0.25">
      <c r="A249" s="28" t="s">
        <v>1187</v>
      </c>
      <c r="B249" s="28"/>
      <c r="C249" s="773">
        <f ca="1">'Experience Rating'!B57</f>
        <v>28804.852567567563</v>
      </c>
      <c r="D249" s="773" t="str">
        <f>'Experience Rating'!C57</f>
        <v/>
      </c>
      <c r="E249" s="773" t="str">
        <f>'Experience Rating'!D57</f>
        <v/>
      </c>
      <c r="F249" s="773" t="str">
        <f>'Experience Rating'!E57</f>
        <v/>
      </c>
      <c r="G249" s="773" t="str">
        <f>'Experience Rating'!F57</f>
        <v/>
      </c>
      <c r="H249" s="773" t="str">
        <f>'Experience Rating'!G57</f>
        <v/>
      </c>
      <c r="I249" s="773" t="str">
        <f>'Experience Rating'!H57</f>
        <v/>
      </c>
      <c r="J249" s="773" t="str">
        <f>'Experience Rating'!I57</f>
        <v/>
      </c>
      <c r="K249" s="961">
        <f ca="1">SUM(C249:J249)</f>
        <v>28804.852567567563</v>
      </c>
      <c r="L249" s="1004">
        <f ca="1">K240-K245</f>
        <v>-28804.852567567563</v>
      </c>
    </row>
    <row r="250" spans="1:13" x14ac:dyDescent="0.25">
      <c r="A250" s="28"/>
      <c r="B250" s="28"/>
      <c r="C250" s="773">
        <f>'Experience Rating'!B61</f>
        <v>0</v>
      </c>
      <c r="D250" s="773" t="str">
        <f>'Experience Rating'!C61</f>
        <v/>
      </c>
      <c r="E250" s="773" t="str">
        <f>'Experience Rating'!D61</f>
        <v/>
      </c>
      <c r="F250" s="773" t="str">
        <f>'Experience Rating'!E61</f>
        <v/>
      </c>
      <c r="G250" s="773" t="str">
        <f>'Experience Rating'!F61</f>
        <v/>
      </c>
      <c r="H250" s="773" t="str">
        <f>'Experience Rating'!G61</f>
        <v/>
      </c>
      <c r="I250" s="773" t="str">
        <f>'Experience Rating'!H61</f>
        <v/>
      </c>
      <c r="J250" s="773" t="str">
        <f>'Experience Rating'!I61</f>
        <v/>
      </c>
      <c r="K250" s="961">
        <f>SUM(C250:J250)</f>
        <v>0</v>
      </c>
      <c r="L250" s="1004">
        <f ca="1">K241-K246</f>
        <v>0</v>
      </c>
    </row>
    <row r="251" spans="1:13" x14ac:dyDescent="0.25">
      <c r="A251" s="28"/>
      <c r="B251" s="28"/>
      <c r="C251" s="1083">
        <f ca="1">SUM(C249:C250)</f>
        <v>28804.852567567563</v>
      </c>
      <c r="D251" s="1083">
        <f t="shared" ref="D251:J251" si="122">SUM(D249:D250)</f>
        <v>0</v>
      </c>
      <c r="E251" s="1083">
        <f t="shared" si="122"/>
        <v>0</v>
      </c>
      <c r="F251" s="1083">
        <f t="shared" si="122"/>
        <v>0</v>
      </c>
      <c r="G251" s="1083">
        <f t="shared" si="122"/>
        <v>0</v>
      </c>
      <c r="H251" s="1083">
        <f t="shared" si="122"/>
        <v>0</v>
      </c>
      <c r="I251" s="1083">
        <f t="shared" si="122"/>
        <v>0</v>
      </c>
      <c r="J251" s="1083">
        <f t="shared" si="122"/>
        <v>0</v>
      </c>
      <c r="K251" s="961">
        <f ca="1">SUM(C251:J251)</f>
        <v>28804.852567567563</v>
      </c>
      <c r="L251" s="1004">
        <f ca="1">K242-K247</f>
        <v>-28804.852567567563</v>
      </c>
    </row>
    <row r="252" spans="1:13" x14ac:dyDescent="0.25">
      <c r="A252" s="28"/>
      <c r="B252" s="28"/>
      <c r="C252" s="1085"/>
      <c r="D252" s="1085"/>
      <c r="E252" s="1085"/>
      <c r="F252" s="1085"/>
      <c r="G252" s="1085"/>
      <c r="H252" s="1085"/>
      <c r="I252" s="1085"/>
      <c r="J252" s="1085"/>
      <c r="K252" s="1085"/>
      <c r="L252" s="28"/>
    </row>
    <row r="253" spans="1:13" x14ac:dyDescent="0.25">
      <c r="C253" s="936"/>
      <c r="D253" s="936"/>
      <c r="E253" s="936"/>
      <c r="F253" s="936"/>
      <c r="G253" s="936"/>
      <c r="H253" s="936"/>
      <c r="I253" s="936"/>
      <c r="J253" s="936"/>
      <c r="K253" s="936"/>
    </row>
    <row r="254" spans="1:13" x14ac:dyDescent="0.25">
      <c r="A254" s="28"/>
      <c r="B254" s="28" t="s">
        <v>1208</v>
      </c>
      <c r="C254" s="773">
        <f>'Member Data'!$O$48</f>
        <v>0</v>
      </c>
      <c r="D254" s="773">
        <f>'Member Data'!$P$48</f>
        <v>0</v>
      </c>
      <c r="E254" s="773">
        <f>'Member Data'!$Q$48</f>
        <v>0</v>
      </c>
      <c r="F254" s="773">
        <f>'Member Data'!$R$48</f>
        <v>0</v>
      </c>
      <c r="G254" s="773">
        <f>'Member Data'!$S$48</f>
        <v>0</v>
      </c>
      <c r="H254" s="773">
        <f>'Member Data'!$T$48</f>
        <v>0</v>
      </c>
      <c r="I254" s="773">
        <f>'Member Data'!$U$48</f>
        <v>0</v>
      </c>
      <c r="J254" s="773">
        <f>'Member Data'!$V$48</f>
        <v>0</v>
      </c>
      <c r="K254" s="961">
        <f>SUM(C254:J254)</f>
        <v>0</v>
      </c>
      <c r="L254" s="28"/>
    </row>
    <row r="255" spans="1:13" x14ac:dyDescent="0.25">
      <c r="A255" s="28" t="s">
        <v>1188</v>
      </c>
      <c r="B255" s="28"/>
      <c r="C255" s="773">
        <f ca="1">IF(C237=0,0,('Benefit Selection - Group'!B104)*(1-Gross_Loading))</f>
        <v>0</v>
      </c>
      <c r="D255" s="773">
        <f>IF(D237=0,0,('Benefit Selection - Group'!G104)*(1-Gross_Loading))</f>
        <v>0</v>
      </c>
      <c r="E255" s="773">
        <f>IF(E237=0,0,('Benefit Selection - Group'!L104)*(1-Gross_Loading))</f>
        <v>0</v>
      </c>
      <c r="F255" s="773">
        <f>IF(F237=0,0,'Benefit Selection - Group'!Q104*(1-Gross_Loading))</f>
        <v>0</v>
      </c>
      <c r="G255" s="773">
        <f>IF(G237=0,0,('Benefit Selection - Group'!V104)*(1-Gross_Loading))</f>
        <v>0</v>
      </c>
      <c r="H255" s="773">
        <f>IF(H237=0,0,('Benefit Selection - Group'!AA104)*(1-Gross_Loading))</f>
        <v>0</v>
      </c>
      <c r="I255" s="773">
        <f>IF(I237=0,0,('Benefit Selection - Group'!AF104)*(1-Gross_Loading))</f>
        <v>0</v>
      </c>
      <c r="J255" s="773">
        <f>IF(J237=0,0,('Benefit Selection - Group'!AK104)*(1-Gross_Loading))</f>
        <v>0</v>
      </c>
      <c r="K255" s="961">
        <f ca="1">SUM(C255:J255)</f>
        <v>0</v>
      </c>
      <c r="L255" s="1004">
        <f ca="1">K240-(K255+K254)</f>
        <v>0</v>
      </c>
      <c r="M255" s="923">
        <f ca="1">K242-'Benefit Selection - Group'!B108</f>
        <v>-28804.852567567563</v>
      </c>
    </row>
    <row r="256" spans="1:13" x14ac:dyDescent="0.25">
      <c r="A256" s="28"/>
      <c r="B256" s="28"/>
      <c r="C256" s="773">
        <f ca="1">('Benefit Selection - Group'!B105)*(1-Gross_Loading)</f>
        <v>0</v>
      </c>
      <c r="D256" s="773">
        <f ca="1">('Benefit Selection - Group'!G105)*(1-Gross_Loading)</f>
        <v>0</v>
      </c>
      <c r="E256" s="773">
        <f ca="1">('Benefit Selection - Group'!L105)*(1-Gross_Loading)</f>
        <v>0</v>
      </c>
      <c r="F256" s="773">
        <f ca="1">'Benefit Selection - Group'!Q105*(1-Gross_Loading)</f>
        <v>0</v>
      </c>
      <c r="G256" s="773">
        <f ca="1">('Benefit Selection - Group'!V105)*(1-Gross_Loading)</f>
        <v>0</v>
      </c>
      <c r="H256" s="773">
        <f ca="1">('Benefit Selection - Group'!AA105)*(1-Gross_Loading)</f>
        <v>0</v>
      </c>
      <c r="I256" s="773">
        <f ca="1">('Benefit Selection - Group'!AF105)*(1-Gross_Loading)</f>
        <v>0</v>
      </c>
      <c r="J256" s="773">
        <f ca="1">('Benefit Selection - Group'!AK105)*(1-Gross_Loading)</f>
        <v>0</v>
      </c>
      <c r="K256" s="961">
        <f ca="1">SUM(C256:J256)</f>
        <v>0</v>
      </c>
      <c r="L256" s="1021">
        <f ca="1">K241-K256</f>
        <v>0</v>
      </c>
    </row>
    <row r="257" spans="1:12" x14ac:dyDescent="0.25">
      <c r="A257" s="28"/>
      <c r="B257" s="28"/>
      <c r="C257" s="1083">
        <f t="shared" ref="C257:J257" ca="1" si="123">SUM(C254:C256)</f>
        <v>0</v>
      </c>
      <c r="D257" s="1083">
        <f t="shared" ca="1" si="123"/>
        <v>0</v>
      </c>
      <c r="E257" s="1083">
        <f t="shared" ca="1" si="123"/>
        <v>0</v>
      </c>
      <c r="F257" s="1083">
        <f t="shared" ca="1" si="123"/>
        <v>0</v>
      </c>
      <c r="G257" s="1083">
        <f t="shared" ca="1" si="123"/>
        <v>0</v>
      </c>
      <c r="H257" s="1083">
        <f t="shared" ca="1" si="123"/>
        <v>0</v>
      </c>
      <c r="I257" s="1083">
        <f t="shared" ca="1" si="123"/>
        <v>0</v>
      </c>
      <c r="J257" s="1083">
        <f t="shared" ca="1" si="123"/>
        <v>0</v>
      </c>
      <c r="K257" s="961">
        <f ca="1">SUM(C257:J257)</f>
        <v>0</v>
      </c>
      <c r="L257" s="1004">
        <f ca="1">K242-K257</f>
        <v>0</v>
      </c>
    </row>
    <row r="258" spans="1:12" x14ac:dyDescent="0.25">
      <c r="A258" s="28"/>
      <c r="B258" s="28"/>
      <c r="C258" s="28"/>
      <c r="D258" s="28"/>
      <c r="E258" s="28"/>
      <c r="F258" s="28"/>
      <c r="G258" s="28"/>
      <c r="H258" s="28"/>
      <c r="I258" s="28"/>
      <c r="J258" s="28"/>
      <c r="K258" s="28"/>
      <c r="L258" s="28"/>
    </row>
    <row r="259" spans="1:12" x14ac:dyDescent="0.25">
      <c r="A259" s="28"/>
      <c r="B259" s="28"/>
      <c r="C259" s="1022"/>
      <c r="D259" s="28"/>
      <c r="E259" s="28"/>
      <c r="F259" s="28"/>
      <c r="G259" s="28"/>
      <c r="H259" s="28"/>
      <c r="I259" s="28"/>
      <c r="J259" s="28"/>
      <c r="K259" s="28"/>
      <c r="L259" s="28"/>
    </row>
    <row r="260" spans="1:12" x14ac:dyDescent="0.25">
      <c r="A260" s="28"/>
      <c r="B260" s="28"/>
      <c r="C260" s="1023"/>
      <c r="D260" s="1023"/>
      <c r="E260" s="1023"/>
      <c r="F260" s="1023"/>
      <c r="G260" s="1023"/>
      <c r="H260" s="1023"/>
      <c r="I260" s="1023"/>
      <c r="J260" s="1023"/>
      <c r="K260" s="1024"/>
      <c r="L260" s="28"/>
    </row>
    <row r="270" spans="1:12" x14ac:dyDescent="0.25">
      <c r="A270" s="467" t="s">
        <v>104</v>
      </c>
      <c r="C270" s="562">
        <f>'Benefit Selection - Group'!B16</f>
        <v>150000</v>
      </c>
      <c r="D270" s="562">
        <f>'Benefit Selection - Group'!G16</f>
        <v>1000000</v>
      </c>
      <c r="E270" s="562">
        <f>'Benefit Selection - Group'!L16</f>
        <v>250000</v>
      </c>
      <c r="F270" s="562">
        <f>'Benefit Selection - Group'!Q16</f>
        <v>250000</v>
      </c>
      <c r="G270" s="562">
        <f>'Benefit Selection - Group'!V16</f>
        <v>250000</v>
      </c>
      <c r="H270" s="562">
        <f>'Benefit Selection - Group'!AA16</f>
        <v>250000</v>
      </c>
      <c r="I270" s="562">
        <f>'Benefit Selection - Group'!AF16</f>
        <v>250000</v>
      </c>
      <c r="J270" s="562">
        <f>'Benefit Selection - Group'!AK16</f>
        <v>250000</v>
      </c>
    </row>
    <row r="271" spans="1:12" x14ac:dyDescent="0.25">
      <c r="A271" s="467" t="s">
        <v>1102</v>
      </c>
      <c r="C271" s="988" t="str">
        <f>'Benefit Selection - Group'!B34</f>
        <v>Upto AML</v>
      </c>
      <c r="D271" s="988" t="str">
        <f>'Benefit Selection - Group'!G34</f>
        <v>Upto AML</v>
      </c>
      <c r="E271" s="988" t="str">
        <f>'Benefit Selection - Group'!L34</f>
        <v>Upto AML</v>
      </c>
      <c r="F271" s="988" t="str">
        <f>'Benefit Selection - Group'!Q34</f>
        <v>Upto AML</v>
      </c>
      <c r="G271" s="988" t="str">
        <f>'Benefit Selection - Group'!V34</f>
        <v>Upto AML</v>
      </c>
      <c r="H271" s="988">
        <f>'Benefit Selection - Group'!AA34</f>
        <v>150000</v>
      </c>
      <c r="I271" s="988">
        <f>'Benefit Selection - Group'!AF34</f>
        <v>150000</v>
      </c>
      <c r="J271" s="988">
        <f>'Benefit Selection - Group'!AK34</f>
        <v>150000</v>
      </c>
    </row>
    <row r="272" spans="1:12" x14ac:dyDescent="0.25">
      <c r="C272" s="989"/>
      <c r="D272" s="989"/>
      <c r="E272" s="989"/>
      <c r="F272" s="989"/>
      <c r="G272" s="989"/>
      <c r="H272" s="989"/>
      <c r="I272" s="989"/>
      <c r="J272" s="989"/>
    </row>
    <row r="273" spans="1:10" x14ac:dyDescent="0.25">
      <c r="C273" s="989">
        <f>IF(OR(C270=C271,C271="Upto AML"),1,0)</f>
        <v>1</v>
      </c>
      <c r="D273" s="989">
        <f t="shared" ref="D273:J273" si="124">IF(OR(D270=D271,D271="Upto AML"),1,0)</f>
        <v>1</v>
      </c>
      <c r="E273" s="989">
        <f t="shared" si="124"/>
        <v>1</v>
      </c>
      <c r="F273" s="989">
        <f t="shared" si="124"/>
        <v>1</v>
      </c>
      <c r="G273" s="989">
        <f t="shared" si="124"/>
        <v>1</v>
      </c>
      <c r="H273" s="989">
        <f t="shared" si="124"/>
        <v>0</v>
      </c>
      <c r="I273" s="989">
        <f t="shared" si="124"/>
        <v>0</v>
      </c>
      <c r="J273" s="989">
        <f t="shared" si="124"/>
        <v>0</v>
      </c>
    </row>
    <row r="278" spans="1:10" x14ac:dyDescent="0.25">
      <c r="A278" s="1051" t="s">
        <v>1209</v>
      </c>
    </row>
    <row r="279" spans="1:10" x14ac:dyDescent="0.25">
      <c r="A279" s="1038" t="s">
        <v>1200</v>
      </c>
      <c r="C279" s="1041" t="s">
        <v>1198</v>
      </c>
      <c r="D279" s="1041" t="s">
        <v>284</v>
      </c>
    </row>
    <row r="280" spans="1:10" x14ac:dyDescent="0.25">
      <c r="A280" s="1043" t="s">
        <v>1197</v>
      </c>
      <c r="B280" s="1040"/>
      <c r="C280" s="989">
        <f>('Member Data'!W28+'Member Data'!W29)/n_lives</f>
        <v>0</v>
      </c>
      <c r="D280" s="1039">
        <f>IF(C280&lt;25%,100%,IF(C280&lt;50%,120%,150%))</f>
        <v>1</v>
      </c>
    </row>
    <row r="281" spans="1:10" x14ac:dyDescent="0.25">
      <c r="A281" s="1043" t="s">
        <v>1206</v>
      </c>
      <c r="B281" s="1040"/>
      <c r="D281" s="1039">
        <f>IF(n_lives&lt;=10,120%,100%)</f>
        <v>1</v>
      </c>
    </row>
    <row r="286" spans="1:10" x14ac:dyDescent="0.25">
      <c r="A286" s="469" t="s">
        <v>1202</v>
      </c>
    </row>
    <row r="287" spans="1:10" x14ac:dyDescent="0.25">
      <c r="A287" s="467" t="s">
        <v>1204</v>
      </c>
    </row>
    <row r="288" spans="1:10" x14ac:dyDescent="0.25">
      <c r="A288" s="467" t="s">
        <v>1203</v>
      </c>
    </row>
    <row r="289" spans="1:6" x14ac:dyDescent="0.25">
      <c r="A289" s="1038" t="s">
        <v>1199</v>
      </c>
    </row>
    <row r="290" spans="1:6" x14ac:dyDescent="0.25">
      <c r="A290" s="1043"/>
    </row>
    <row r="291" spans="1:6" x14ac:dyDescent="0.25">
      <c r="A291" s="1040" t="s">
        <v>1201</v>
      </c>
      <c r="C291" s="1042" t="str">
        <f>IF(n_lives&gt;=150,"Nil",IF(n_lives&lt;=50,$A$287,$A$288))</f>
        <v>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v>
      </c>
    </row>
    <row r="292" spans="1:6" x14ac:dyDescent="0.25">
      <c r="A292" s="1040" t="s">
        <v>1205</v>
      </c>
      <c r="C292" s="1044" t="str">
        <f ca="1">IF((('Experience Rating'!J57+'Experience Rating'!J61)*'General Basis'!$C$26/3.672)&gt;750000,"RI Volume is High, Refer to RGA","Ok")</f>
        <v>Ok</v>
      </c>
    </row>
    <row r="293" spans="1:6" x14ac:dyDescent="0.25">
      <c r="A293" s="1040" t="s">
        <v>1211</v>
      </c>
      <c r="C293" s="1040" t="str">
        <f>IF(AND('Experience Rating'!$H$4=1,n_lives&lt;=1000),"Ok",IF(AND('Experience Rating'!$H$4=2,n_lives&lt;=150),"Ok","Refer in view of group size or missing claims"))</f>
        <v>Ok</v>
      </c>
    </row>
    <row r="294" spans="1:6" x14ac:dyDescent="0.25">
      <c r="A294" s="1040" t="s">
        <v>1210</v>
      </c>
      <c r="C294" s="1050" t="str">
        <f>IF(MAX('Member Data'!$G$6:$G$5331)&lt;65,"Ok","- There are members over 64.  Rates quoted indicative and may be subject to change after review of medical application form and other supporting documents / reports")</f>
        <v>Ok</v>
      </c>
    </row>
    <row r="295" spans="1:6" x14ac:dyDescent="0.25">
      <c r="A295" s="1040" t="s">
        <v>1212</v>
      </c>
      <c r="C295" s="1040" t="str">
        <f>IF(OR('Experience Rating'!B74=Refer,'Experience Rating'!B77=Refer),"Under Claim Module (cell B9), Please Enter Total NWP for Expiring Policy - "&amp;'Experience Rating'!$D$24&amp;". Under Benefit Selection - Group (cell A111), Fill in the Expiring Per Member CategoryWise Rate (if not filled)","Ok")</f>
        <v>Ok</v>
      </c>
    </row>
    <row r="296" spans="1:6" x14ac:dyDescent="0.25">
      <c r="A296" s="1040" t="s">
        <v>1214</v>
      </c>
      <c r="B296" s="1040"/>
      <c r="C296" s="1040" t="str">
        <f>IF('General Basis'!$H$8=1,"Mednet is Not Offered under the Treaty","Ok")</f>
        <v>Ok</v>
      </c>
    </row>
    <row r="297" spans="1:6" x14ac:dyDescent="0.25">
      <c r="A297" s="1040" t="s">
        <v>1317</v>
      </c>
      <c r="C297" s="1040" t="str">
        <f>IF(AND(Claims_Data=1,Scheme_Type=3,'Claims Module'!B77&gt;30%),"Refer to RGA","Ok")</f>
        <v>Ok</v>
      </c>
    </row>
    <row r="302" spans="1:6" x14ac:dyDescent="0.25">
      <c r="A302" s="904" t="s">
        <v>1220</v>
      </c>
      <c r="B302" s="904" t="s">
        <v>104</v>
      </c>
      <c r="C302" s="904" t="s">
        <v>1218</v>
      </c>
      <c r="D302" s="904" t="s">
        <v>1219</v>
      </c>
      <c r="E302" s="904" t="s">
        <v>1242</v>
      </c>
      <c r="F302" s="904" t="s">
        <v>1243</v>
      </c>
    </row>
    <row r="303" spans="1:6" x14ac:dyDescent="0.25">
      <c r="A303" s="895" t="s">
        <v>271</v>
      </c>
      <c r="B303" s="1054">
        <f>'Benefit Selection - Group'!$B$16</f>
        <v>150000</v>
      </c>
      <c r="C303" s="1054" t="str">
        <f>'Benefit Selection - Group'!$B$10</f>
        <v>Workers Network</v>
      </c>
      <c r="D303" s="1054" t="str">
        <f>'Benefit Selection - Group'!$B$9</f>
        <v>Dubai</v>
      </c>
      <c r="E303" s="1054" cm="1">
        <f t="array" ref="E303:E310">TRANSPOSE(C236:J236)</f>
        <v>1575.9</v>
      </c>
      <c r="F303" s="895" t="str" cm="1">
        <f t="array" ref="F303:F310">TRANSPOSE(C217:J217)</f>
        <v>Category A</v>
      </c>
    </row>
    <row r="304" spans="1:6" x14ac:dyDescent="0.25">
      <c r="A304" s="895" t="s">
        <v>272</v>
      </c>
      <c r="B304" s="1054">
        <f>'Benefit Selection - Group'!$G$16</f>
        <v>1000000</v>
      </c>
      <c r="C304" s="1054" t="str">
        <f>'Benefit Selection - Group'!$G$10</f>
        <v>Restricted Network</v>
      </c>
      <c r="D304" s="1054" t="str">
        <f>'Benefit Selection - Group'!$G$9</f>
        <v>Dubai</v>
      </c>
      <c r="E304" s="1054" t="str">
        <v/>
      </c>
      <c r="F304" s="895" t="str">
        <v/>
      </c>
    </row>
    <row r="305" spans="1:6" x14ac:dyDescent="0.25">
      <c r="A305" s="895" t="s">
        <v>273</v>
      </c>
      <c r="B305" s="1054">
        <f>'Benefit Selection - Group'!$L$16</f>
        <v>250000</v>
      </c>
      <c r="C305" s="1054" t="str">
        <f>'Benefit Selection - Group'!$L$10</f>
        <v>Super-Restricted Network</v>
      </c>
      <c r="D305" s="1054" t="str">
        <f>'Benefit Selection - Group'!$L$9</f>
        <v>Dubai</v>
      </c>
      <c r="E305" s="1054" t="str">
        <v/>
      </c>
      <c r="F305" s="895" t="str">
        <v/>
      </c>
    </row>
    <row r="306" spans="1:6" x14ac:dyDescent="0.25">
      <c r="A306" s="895" t="s">
        <v>274</v>
      </c>
      <c r="B306" s="1054">
        <f>'Benefit Selection - Group'!$Q$16</f>
        <v>250000</v>
      </c>
      <c r="C306" s="1054" t="str">
        <f>'Benefit Selection - Group'!$Q$10</f>
        <v>Super-Restricted Network</v>
      </c>
      <c r="D306" s="1054" t="str">
        <f>'Benefit Selection - Group'!$Q$9</f>
        <v>Dubai</v>
      </c>
      <c r="E306" s="1054" t="str">
        <v/>
      </c>
      <c r="F306" s="895" t="str">
        <v/>
      </c>
    </row>
    <row r="307" spans="1:6" x14ac:dyDescent="0.25">
      <c r="A307" s="895" t="s">
        <v>365</v>
      </c>
      <c r="B307" s="1054">
        <f>'Benefit Selection - Group'!$V$16</f>
        <v>250000</v>
      </c>
      <c r="C307" s="1054" t="str">
        <f>'Benefit Selection - Group'!$V$10</f>
        <v>Workers Network</v>
      </c>
      <c r="D307" s="1054" t="str">
        <f>'Benefit Selection - Group'!$V$9</f>
        <v>Dubai</v>
      </c>
      <c r="E307" s="1054" t="str">
        <v/>
      </c>
      <c r="F307" s="895" t="str">
        <v/>
      </c>
    </row>
    <row r="308" spans="1:6" x14ac:dyDescent="0.25">
      <c r="A308" s="895" t="s">
        <v>62</v>
      </c>
      <c r="B308" s="1054">
        <f>'Benefit Selection - Group'!$AA$16</f>
        <v>250000</v>
      </c>
      <c r="C308" s="1054" t="str">
        <f>'Benefit Selection - Group'!$AA$10</f>
        <v>Workers Network</v>
      </c>
      <c r="D308" s="1054" t="str">
        <f>'Benefit Selection - Group'!$AA$9</f>
        <v>Dubai</v>
      </c>
      <c r="E308" s="1054" t="str">
        <v/>
      </c>
      <c r="F308" s="895" t="str">
        <v/>
      </c>
    </row>
    <row r="309" spans="1:6" x14ac:dyDescent="0.25">
      <c r="A309" s="895" t="s">
        <v>366</v>
      </c>
      <c r="B309" s="1054">
        <f>'Benefit Selection - Group'!$AF$16</f>
        <v>250000</v>
      </c>
      <c r="C309" s="1054" t="str">
        <f>'Benefit Selection - Group'!$AF$10</f>
        <v>Workers Network</v>
      </c>
      <c r="D309" s="1054" t="str">
        <f>'Benefit Selection - Group'!$AF$9</f>
        <v>Dubai</v>
      </c>
      <c r="E309" s="1054" t="str">
        <v/>
      </c>
      <c r="F309" s="895" t="str">
        <v/>
      </c>
    </row>
    <row r="310" spans="1:6" x14ac:dyDescent="0.25">
      <c r="A310" s="895" t="s">
        <v>367</v>
      </c>
      <c r="B310" s="1054">
        <f>'Benefit Selection - Group'!$AK$16</f>
        <v>250000</v>
      </c>
      <c r="C310" s="1054" t="str">
        <f>'Benefit Selection - Group'!$AK$10</f>
        <v>Workers Network</v>
      </c>
      <c r="D310" s="1054" t="str">
        <f>'Benefit Selection - Group'!$AK$9</f>
        <v>Dubai</v>
      </c>
      <c r="E310" s="1054" t="str">
        <v/>
      </c>
      <c r="F310" s="895" t="str">
        <v/>
      </c>
    </row>
  </sheetData>
  <sheetProtection algorithmName="SHA-512" hashValue="G/ESAEDVUnUEhPOdmrVqo1pkyWeuheMDH9E1Hmt9WeTV2vZeULP7KuLMLPwCuicO39oVzSa1oxneXzNFDcx/9Q==" saltValue="hYp4pzs3H9CWvbSKOAS/qQ==" spinCount="100000" sheet="1" objects="1" scenarios="1"/>
  <mergeCells count="3">
    <mergeCell ref="B95:C95"/>
    <mergeCell ref="D95:E95"/>
    <mergeCell ref="A209:A21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247"/>
  <sheetViews>
    <sheetView showGridLines="0" topLeftCell="A214" workbookViewId="0">
      <selection activeCell="C143" sqref="C143"/>
    </sheetView>
  </sheetViews>
  <sheetFormatPr defaultColWidth="9.140625" defaultRowHeight="15" x14ac:dyDescent="0.25"/>
  <cols>
    <col min="1" max="1" width="9.140625" style="467"/>
    <col min="2" max="2" width="19.42578125" style="467" customWidth="1"/>
    <col min="3" max="3" width="61" style="467" bestFit="1" customWidth="1"/>
    <col min="4" max="4" width="15.42578125" style="467" customWidth="1"/>
    <col min="5" max="5" width="19.42578125" style="467" bestFit="1" customWidth="1"/>
    <col min="6" max="6" width="41.42578125" style="467" bestFit="1" customWidth="1"/>
    <col min="7" max="7" width="18.42578125" style="467" customWidth="1"/>
    <col min="8" max="8" width="21.140625" style="467" customWidth="1"/>
    <col min="9" max="9" width="34.140625" style="467" bestFit="1" customWidth="1"/>
    <col min="10" max="10" width="10.140625" style="467" bestFit="1" customWidth="1"/>
    <col min="11" max="11" width="19.7109375" style="467" bestFit="1" customWidth="1"/>
    <col min="12" max="12" width="34.140625" style="467" bestFit="1" customWidth="1"/>
    <col min="13" max="13" width="10.140625" style="467" bestFit="1" customWidth="1"/>
    <col min="14" max="14" width="19.42578125" style="467" bestFit="1" customWidth="1"/>
    <col min="15" max="15" width="34.140625" style="467" bestFit="1" customWidth="1"/>
    <col min="16" max="16" width="10.140625" style="469" bestFit="1" customWidth="1"/>
    <col min="17" max="17" width="19.28515625" style="467" bestFit="1" customWidth="1"/>
    <col min="18" max="18" width="34.140625" style="467" bestFit="1" customWidth="1"/>
    <col min="19" max="19" width="10.140625" style="467" bestFit="1" customWidth="1"/>
    <col min="20" max="20" width="19.7109375" style="467" bestFit="1" customWidth="1"/>
    <col min="21" max="21" width="34.140625" style="467" bestFit="1" customWidth="1"/>
    <col min="22" max="22" width="10.140625" style="467" bestFit="1" customWidth="1"/>
    <col min="23" max="23" width="19.7109375" style="467" bestFit="1" customWidth="1"/>
    <col min="24" max="24" width="34.140625" style="467" bestFit="1" customWidth="1"/>
    <col min="25" max="25" width="10.140625" style="467" bestFit="1" customWidth="1"/>
    <col min="26" max="16384" width="9.140625" style="467"/>
  </cols>
  <sheetData>
    <row r="1" spans="1:26" ht="15.75" thickBot="1" x14ac:dyDescent="0.3"/>
    <row r="2" spans="1:26" ht="17.25" x14ac:dyDescent="0.25">
      <c r="B2" s="684"/>
      <c r="C2" s="710" t="s">
        <v>277</v>
      </c>
      <c r="D2" s="569"/>
      <c r="E2" s="569"/>
      <c r="F2" s="569"/>
      <c r="G2" s="569"/>
      <c r="H2" s="569"/>
      <c r="I2" s="569"/>
      <c r="J2" s="569"/>
      <c r="K2" s="569"/>
      <c r="L2" s="569"/>
      <c r="M2" s="569"/>
      <c r="N2" s="569"/>
      <c r="O2" s="569"/>
      <c r="P2" s="685"/>
      <c r="Q2" s="569"/>
      <c r="R2" s="569"/>
      <c r="S2" s="569"/>
      <c r="T2" s="569"/>
      <c r="U2" s="569"/>
      <c r="V2" s="569"/>
      <c r="W2" s="569"/>
      <c r="X2" s="569"/>
      <c r="Y2" s="569"/>
      <c r="Z2" s="686"/>
    </row>
    <row r="3" spans="1:26" x14ac:dyDescent="0.25">
      <c r="B3" s="687"/>
      <c r="Z3" s="688"/>
    </row>
    <row r="4" spans="1:26" ht="15.75" x14ac:dyDescent="0.25">
      <c r="B4" s="687"/>
      <c r="C4" s="689" t="s">
        <v>91</v>
      </c>
      <c r="D4" s="690"/>
      <c r="F4" s="689" t="s">
        <v>92</v>
      </c>
      <c r="G4" s="691"/>
      <c r="I4" s="689" t="s">
        <v>93</v>
      </c>
      <c r="J4" s="691"/>
      <c r="L4" s="689" t="s">
        <v>94</v>
      </c>
      <c r="M4" s="691"/>
      <c r="O4" s="689" t="s">
        <v>358</v>
      </c>
      <c r="P4" s="690"/>
      <c r="R4" s="689" t="s">
        <v>359</v>
      </c>
      <c r="S4" s="691"/>
      <c r="U4" s="689" t="s">
        <v>360</v>
      </c>
      <c r="V4" s="691"/>
      <c r="X4" s="689" t="s">
        <v>361</v>
      </c>
      <c r="Y4" s="691"/>
      <c r="Z4" s="688"/>
    </row>
    <row r="5" spans="1:26" ht="15.75" x14ac:dyDescent="0.25">
      <c r="B5" s="687"/>
      <c r="C5" s="693" t="s">
        <v>278</v>
      </c>
      <c r="D5" s="692" t="s">
        <v>95</v>
      </c>
      <c r="F5" s="693" t="s">
        <v>278</v>
      </c>
      <c r="G5" s="692" t="s">
        <v>95</v>
      </c>
      <c r="I5" s="693" t="s">
        <v>278</v>
      </c>
      <c r="J5" s="692" t="s">
        <v>95</v>
      </c>
      <c r="L5" s="693" t="s">
        <v>278</v>
      </c>
      <c r="M5" s="692" t="s">
        <v>95</v>
      </c>
      <c r="O5" s="693" t="s">
        <v>278</v>
      </c>
      <c r="P5" s="692" t="s">
        <v>95</v>
      </c>
      <c r="R5" s="693" t="s">
        <v>278</v>
      </c>
      <c r="S5" s="692" t="s">
        <v>95</v>
      </c>
      <c r="U5" s="693" t="s">
        <v>278</v>
      </c>
      <c r="V5" s="692" t="s">
        <v>95</v>
      </c>
      <c r="X5" s="693" t="s">
        <v>278</v>
      </c>
      <c r="Y5" s="692" t="s">
        <v>95</v>
      </c>
      <c r="Z5" s="688"/>
    </row>
    <row r="6" spans="1:26" x14ac:dyDescent="0.25">
      <c r="B6" s="687"/>
      <c r="C6" s="594">
        <f>IF(D6="Dubai",'Group Basis'!$A$117,'Group Basis'!$A$118)</f>
        <v>150000</v>
      </c>
      <c r="D6" s="544" t="str">
        <f>'Benefit Selection - Group'!B8</f>
        <v>Dubai</v>
      </c>
      <c r="F6" s="594">
        <f>IF(G6="Dubai",'Group Basis'!$A$117,'Group Basis'!$A$118)</f>
        <v>150000</v>
      </c>
      <c r="G6" s="471" t="str">
        <f>'Benefit Selection - Group'!G8</f>
        <v>Dubai</v>
      </c>
      <c r="I6" s="594">
        <f>IF(J6="Dubai",'Group Basis'!$A$117,'Group Basis'!$A$118)</f>
        <v>150000</v>
      </c>
      <c r="J6" s="471" t="str">
        <f>'Benefit Selection - Group'!L8</f>
        <v>Dubai</v>
      </c>
      <c r="L6" s="594">
        <f>IF(M6="Dubai",'Group Basis'!$A$117,'Group Basis'!$A$118)</f>
        <v>150000</v>
      </c>
      <c r="M6" s="471" t="str">
        <f>'Benefit Selection - Group'!Q8</f>
        <v>Dubai</v>
      </c>
      <c r="O6" s="594">
        <f>IF(P6="Dubai",'Group Basis'!$A$117,'Group Basis'!$A$118)</f>
        <v>150000</v>
      </c>
      <c r="P6" s="471" t="str">
        <f>'Benefit Selection - Group'!V8</f>
        <v>Dubai</v>
      </c>
      <c r="R6" s="594">
        <f>IF(S6="Dubai",'Group Basis'!$A$117,'Group Basis'!$A$118)</f>
        <v>150000</v>
      </c>
      <c r="S6" s="471" t="str">
        <f>'Benefit Selection - Group'!AA8</f>
        <v>Dubai</v>
      </c>
      <c r="U6" s="594">
        <f>IF(V6="Dubai",'Group Basis'!$A$117,'Group Basis'!$A$118)</f>
        <v>150000</v>
      </c>
      <c r="V6" s="471" t="str">
        <f>'Benefit Selection - Group'!AF8</f>
        <v>Dubai</v>
      </c>
      <c r="X6" s="594">
        <f>IF(Y6="Dubai",'Group Basis'!$A$117,'Group Basis'!$A$118)</f>
        <v>150000</v>
      </c>
      <c r="Y6" s="471" t="str">
        <f>'Benefit Selection - Group'!AK8</f>
        <v>Dubai</v>
      </c>
      <c r="Z6" s="688"/>
    </row>
    <row r="7" spans="1:26" x14ac:dyDescent="0.25">
      <c r="B7" s="687"/>
      <c r="C7" s="594">
        <f>IF(D6="Dubai",'Group Basis'!$A$118,'Group Basis'!$A$118)</f>
        <v>250000</v>
      </c>
      <c r="D7" s="562"/>
      <c r="F7" s="594">
        <f>IF(G6="Dubai",'Group Basis'!$A$118,'Group Basis'!$A$118)</f>
        <v>250000</v>
      </c>
      <c r="I7" s="594">
        <f>IF(J6="Dubai",'Group Basis'!$A$118,'Group Basis'!$A$118)</f>
        <v>250000</v>
      </c>
      <c r="L7" s="594">
        <f>IF(M6="Dubai",'Group Basis'!$A$118,'Group Basis'!$A$118)</f>
        <v>250000</v>
      </c>
      <c r="O7" s="594">
        <f>IF(P6="Dubai",'Group Basis'!$A$118,'Group Basis'!$A$118)</f>
        <v>250000</v>
      </c>
      <c r="P7" s="467"/>
      <c r="R7" s="594">
        <f>IF(S6="Dubai",'Group Basis'!$A$118,'Group Basis'!$A$118)</f>
        <v>250000</v>
      </c>
      <c r="U7" s="594">
        <f>IF(V6="Dubai",'Group Basis'!$A$118,'Group Basis'!$A$118)</f>
        <v>250000</v>
      </c>
      <c r="X7" s="594">
        <f>IF(Y6="Dubai",'Group Basis'!$A$118,'Group Basis'!$A$118)</f>
        <v>250000</v>
      </c>
      <c r="Z7" s="688"/>
    </row>
    <row r="8" spans="1:26" x14ac:dyDescent="0.25">
      <c r="B8" s="687"/>
      <c r="C8" s="628" t="str">
        <f>'Group Basis'!$A$119</f>
        <v>Upto AML</v>
      </c>
      <c r="F8" s="628" t="str">
        <f>'Group Basis'!$A$119</f>
        <v>Upto AML</v>
      </c>
      <c r="I8" s="628" t="str">
        <f>'Group Basis'!$A$119</f>
        <v>Upto AML</v>
      </c>
      <c r="L8" s="628" t="str">
        <f>'Group Basis'!$A$119</f>
        <v>Upto AML</v>
      </c>
      <c r="O8" s="628" t="str">
        <f>'Group Basis'!$A$119</f>
        <v>Upto AML</v>
      </c>
      <c r="P8" s="467"/>
      <c r="R8" s="628" t="str">
        <f>'Group Basis'!$A$119</f>
        <v>Upto AML</v>
      </c>
      <c r="U8" s="628" t="str">
        <f>'Group Basis'!$A$119</f>
        <v>Upto AML</v>
      </c>
      <c r="X8" s="628" t="str">
        <f>'Group Basis'!$A$119</f>
        <v>Upto AML</v>
      </c>
      <c r="Z8" s="688"/>
    </row>
    <row r="9" spans="1:26" ht="15.75" thickBot="1" x14ac:dyDescent="0.3">
      <c r="B9" s="695"/>
      <c r="C9" s="570"/>
      <c r="D9" s="570"/>
      <c r="E9" s="570">
        <f>IF(AND(OR(D6=1,G6=1,J6=1,M6=1,P6=1,S6=1,V6=1,Y6=1),OR(D6=2,G6=2,J6=2,M6=2,P6=2,S6=2,V6=2,Y6=2),'Experience Rating'!H8&gt;1),1,0)</f>
        <v>0</v>
      </c>
      <c r="F9" s="570"/>
      <c r="G9" s="570"/>
      <c r="H9" s="570"/>
      <c r="I9" s="570"/>
      <c r="J9" s="570"/>
      <c r="K9" s="570"/>
      <c r="L9" s="570"/>
      <c r="M9" s="570"/>
      <c r="N9" s="570"/>
      <c r="O9" s="570"/>
      <c r="P9" s="696"/>
      <c r="Q9" s="570"/>
      <c r="R9" s="570"/>
      <c r="S9" s="570"/>
      <c r="T9" s="570"/>
      <c r="U9" s="570"/>
      <c r="V9" s="570"/>
      <c r="W9" s="570"/>
      <c r="X9" s="570"/>
      <c r="Y9" s="570"/>
      <c r="Z9" s="697"/>
    </row>
    <row r="10" spans="1:26" ht="15.75" thickBot="1" x14ac:dyDescent="0.3"/>
    <row r="11" spans="1:26" ht="17.25" x14ac:dyDescent="0.25">
      <c r="B11" s="684"/>
      <c r="C11" s="710" t="s">
        <v>101</v>
      </c>
      <c r="D11" s="569"/>
      <c r="E11" s="569"/>
      <c r="F11" s="569"/>
      <c r="G11" s="569"/>
      <c r="H11" s="569"/>
      <c r="I11" s="569"/>
      <c r="J11" s="569"/>
      <c r="K11" s="569"/>
      <c r="L11" s="569"/>
      <c r="M11" s="569"/>
      <c r="N11" s="569"/>
      <c r="O11" s="569"/>
      <c r="P11" s="685"/>
      <c r="Q11" s="569"/>
      <c r="R11" s="569"/>
      <c r="S11" s="569"/>
      <c r="T11" s="569"/>
      <c r="U11" s="569"/>
      <c r="V11" s="569"/>
      <c r="W11" s="569"/>
      <c r="X11" s="569"/>
      <c r="Y11" s="569"/>
      <c r="Z11" s="686"/>
    </row>
    <row r="12" spans="1:26" x14ac:dyDescent="0.25">
      <c r="B12" s="687"/>
      <c r="Z12" s="688"/>
    </row>
    <row r="13" spans="1:26" ht="15.75" x14ac:dyDescent="0.25">
      <c r="B13" s="687"/>
      <c r="C13" s="689" t="s">
        <v>91</v>
      </c>
      <c r="D13" s="690"/>
      <c r="F13" s="689" t="s">
        <v>92</v>
      </c>
      <c r="G13" s="691"/>
      <c r="I13" s="689" t="s">
        <v>93</v>
      </c>
      <c r="J13" s="691"/>
      <c r="L13" s="689" t="s">
        <v>94</v>
      </c>
      <c r="M13" s="691"/>
      <c r="O13" s="689" t="s">
        <v>358</v>
      </c>
      <c r="P13" s="690"/>
      <c r="R13" s="689" t="s">
        <v>359</v>
      </c>
      <c r="S13" s="691"/>
      <c r="U13" s="689" t="s">
        <v>360</v>
      </c>
      <c r="V13" s="691"/>
      <c r="X13" s="689" t="s">
        <v>361</v>
      </c>
      <c r="Y13" s="691"/>
      <c r="Z13" s="688"/>
    </row>
    <row r="14" spans="1:26" ht="15.75" x14ac:dyDescent="0.25">
      <c r="B14" s="757" t="str">
        <f>"Age Band for "&amp;C13</f>
        <v>Age Band for Cat A</v>
      </c>
      <c r="C14" s="689" t="s">
        <v>65</v>
      </c>
      <c r="D14" s="694" t="s">
        <v>66</v>
      </c>
      <c r="E14" s="689" t="str">
        <f>"Age Band for "&amp;F13</f>
        <v>Age Band for Cat B</v>
      </c>
      <c r="F14" s="689" t="s">
        <v>65</v>
      </c>
      <c r="G14" s="694" t="s">
        <v>66</v>
      </c>
      <c r="H14" s="689" t="str">
        <f>"Age Band for "&amp;I13</f>
        <v>Age Band for Cat C</v>
      </c>
      <c r="I14" s="689" t="s">
        <v>65</v>
      </c>
      <c r="J14" s="694" t="s">
        <v>66</v>
      </c>
      <c r="K14" s="689" t="str">
        <f>"Age Band for "&amp;L13</f>
        <v>Age Band for Cat D</v>
      </c>
      <c r="L14" s="689" t="s">
        <v>65</v>
      </c>
      <c r="M14" s="694" t="s">
        <v>66</v>
      </c>
      <c r="N14" s="689" t="str">
        <f>"Age Band for "&amp;O13</f>
        <v>Age Band for Cat E</v>
      </c>
      <c r="O14" s="689" t="s">
        <v>65</v>
      </c>
      <c r="P14" s="694" t="s">
        <v>66</v>
      </c>
      <c r="Q14" s="689" t="str">
        <f>"Age Band for "&amp;R13</f>
        <v>Age Band for Cat F</v>
      </c>
      <c r="R14" s="689" t="s">
        <v>65</v>
      </c>
      <c r="S14" s="694" t="s">
        <v>66</v>
      </c>
      <c r="T14" s="689" t="str">
        <f>"Age Band for "&amp;U13</f>
        <v>Age Band for Cat G</v>
      </c>
      <c r="U14" s="689" t="s">
        <v>65</v>
      </c>
      <c r="V14" s="694" t="s">
        <v>66</v>
      </c>
      <c r="W14" s="689" t="str">
        <f>"Age Band for "&amp;X13</f>
        <v>Age Band for Cat H</v>
      </c>
      <c r="X14" s="689" t="s">
        <v>65</v>
      </c>
      <c r="Y14" s="694" t="s">
        <v>66</v>
      </c>
      <c r="Z14" s="688"/>
    </row>
    <row r="15" spans="1:26" x14ac:dyDescent="0.25">
      <c r="A15" s="698"/>
      <c r="B15" s="758" t="str">
        <f>IF(D$6="Dubai",'General Basis'!$B39,'General Basis'!$C39)</f>
        <v>0 - 10</v>
      </c>
      <c r="C15" s="699">
        <f>IF(D$6="Dubai",'Member Data'!P7,'General Basis'!N6)</f>
        <v>1</v>
      </c>
      <c r="D15" s="699">
        <f>IF(D$6="Dubai",'Member Data'!Q7,'General Basis'!O6)</f>
        <v>1</v>
      </c>
      <c r="E15" s="544" t="str">
        <f>IF(G$6="Dubai",'General Basis'!$B39,'General Basis'!$C39)</f>
        <v>0 - 10</v>
      </c>
      <c r="F15" s="699">
        <f>IF(G$6="Dubai",'Member Data'!R7,'General Basis'!P6)</f>
        <v>0</v>
      </c>
      <c r="G15" s="699">
        <f>IF(G$6="Dubai",'Member Data'!S7,'General Basis'!Q6)</f>
        <v>0</v>
      </c>
      <c r="H15" s="544" t="str">
        <f>IF(J$6="Dubai",'General Basis'!$B39,'General Basis'!$C39)</f>
        <v>0 - 10</v>
      </c>
      <c r="I15" s="699">
        <f>IF(J$6="Dubai",'Member Data'!T7,'General Basis'!R6)</f>
        <v>0</v>
      </c>
      <c r="J15" s="699">
        <f>IF(J$6="Dubai",'Member Data'!U7,'General Basis'!S6)</f>
        <v>0</v>
      </c>
      <c r="K15" s="544" t="str">
        <f>IF(M$6="Dubai",'General Basis'!$B39,'General Basis'!$C39)</f>
        <v>0 - 10</v>
      </c>
      <c r="L15" s="699">
        <f>IF(M$6="Dubai",'Member Data'!V7,'General Basis'!T6)</f>
        <v>0</v>
      </c>
      <c r="M15" s="699">
        <f>IF(M$6="Dubai",'Member Data'!W7,'General Basis'!U6)</f>
        <v>0</v>
      </c>
      <c r="N15" s="544" t="str">
        <f>IF(P$6="Dubai",'General Basis'!$B39,'General Basis'!$C39)</f>
        <v>0 - 10</v>
      </c>
      <c r="O15" s="699">
        <f>IF(P$6="Dubai",'Member Data'!X7,'General Basis'!V6)</f>
        <v>0</v>
      </c>
      <c r="P15" s="699">
        <f>IF(P$6="Dubai",'Member Data'!Y7,'General Basis'!W6)</f>
        <v>0</v>
      </c>
      <c r="Q15" s="544" t="str">
        <f>IF(S$6="Dubai",'General Basis'!$B39,'General Basis'!$C39)</f>
        <v>0 - 10</v>
      </c>
      <c r="R15" s="699">
        <f>IF(S$6="Dubai",'Member Data'!Z7,'General Basis'!X6)</f>
        <v>0</v>
      </c>
      <c r="S15" s="699">
        <f>IF(S$6="Dubai",'Member Data'!AA7,'General Basis'!Y6)</f>
        <v>0</v>
      </c>
      <c r="T15" s="544" t="str">
        <f>IF(V$6="Dubai",'General Basis'!$B39,'General Basis'!$C39)</f>
        <v>0 - 10</v>
      </c>
      <c r="U15" s="699">
        <f>IF(V$6="Dubai",'Member Data'!AB7,'General Basis'!Z6)</f>
        <v>0</v>
      </c>
      <c r="V15" s="699">
        <f>IF(V$6="Dubai",'Member Data'!AC7,'General Basis'!AA6)</f>
        <v>0</v>
      </c>
      <c r="W15" s="544" t="str">
        <f>IF(Y$6="Dubai",'General Basis'!$B39,'General Basis'!$C39)</f>
        <v>0 - 10</v>
      </c>
      <c r="X15" s="699">
        <f>IF(Y$6="Dubai",'Member Data'!AD7,'General Basis'!AB6)</f>
        <v>0</v>
      </c>
      <c r="Y15" s="699">
        <f>IF(Y$6="Dubai",'Member Data'!AE7,'General Basis'!AC6)</f>
        <v>0</v>
      </c>
      <c r="Z15" s="688"/>
    </row>
    <row r="16" spans="1:26" x14ac:dyDescent="0.25">
      <c r="A16" s="698"/>
      <c r="B16" s="758" t="str">
        <f>IF(D$6="Dubai",'General Basis'!$B40,'General Basis'!$C40)</f>
        <v>11 - 17</v>
      </c>
      <c r="C16" s="699">
        <f>IF(D$6="Dubai",'Member Data'!P8,'General Basis'!N7)</f>
        <v>1</v>
      </c>
      <c r="D16" s="699">
        <f>IF(D$6="Dubai",'Member Data'!Q8,'General Basis'!O7)</f>
        <v>0</v>
      </c>
      <c r="E16" s="544" t="str">
        <f>IF(G$6="Dubai",'General Basis'!$B40,'General Basis'!$C40)</f>
        <v>11 - 17</v>
      </c>
      <c r="F16" s="699">
        <f>IF(G$6="Dubai",'Member Data'!R8,'General Basis'!P7)</f>
        <v>0</v>
      </c>
      <c r="G16" s="699">
        <f>IF(G$6="Dubai",'Member Data'!S8,'General Basis'!Q7)</f>
        <v>0</v>
      </c>
      <c r="H16" s="544" t="str">
        <f>IF(J$6="Dubai",'General Basis'!$B40,'General Basis'!$C40)</f>
        <v>11 - 17</v>
      </c>
      <c r="I16" s="699">
        <f>IF(J$6="Dubai",'Member Data'!T8,'General Basis'!R7)</f>
        <v>0</v>
      </c>
      <c r="J16" s="699">
        <f>IF(J$6="Dubai",'Member Data'!U8,'General Basis'!S7)</f>
        <v>0</v>
      </c>
      <c r="K16" s="544" t="str">
        <f>IF(M$6="Dubai",'General Basis'!$B40,'General Basis'!$C40)</f>
        <v>11 - 17</v>
      </c>
      <c r="L16" s="699">
        <f>IF(M$6="Dubai",'Member Data'!V8,'General Basis'!T7)</f>
        <v>0</v>
      </c>
      <c r="M16" s="699">
        <f>IF(M$6="Dubai",'Member Data'!W8,'General Basis'!U7)</f>
        <v>0</v>
      </c>
      <c r="N16" s="544" t="str">
        <f>IF(P$6="Dubai",'General Basis'!$B40,'General Basis'!$C40)</f>
        <v>11 - 17</v>
      </c>
      <c r="O16" s="699">
        <f>IF(P$6="Dubai",'Member Data'!X8,'General Basis'!V7)</f>
        <v>0</v>
      </c>
      <c r="P16" s="699">
        <f>IF(P$6="Dubai",'Member Data'!Y8,'General Basis'!W7)</f>
        <v>0</v>
      </c>
      <c r="Q16" s="544" t="str">
        <f>IF(S$6="Dubai",'General Basis'!$B40,'General Basis'!$C40)</f>
        <v>11 - 17</v>
      </c>
      <c r="R16" s="699">
        <f>IF(S$6="Dubai",'Member Data'!Z8,'General Basis'!X7)</f>
        <v>0</v>
      </c>
      <c r="S16" s="699">
        <f>IF(S$6="Dubai",'Member Data'!AA8,'General Basis'!Y7)</f>
        <v>0</v>
      </c>
      <c r="T16" s="544" t="str">
        <f>IF(V$6="Dubai",'General Basis'!$B40,'General Basis'!$C40)</f>
        <v>11 - 17</v>
      </c>
      <c r="U16" s="699">
        <f>IF(V$6="Dubai",'Member Data'!AB8,'General Basis'!Z7)</f>
        <v>0</v>
      </c>
      <c r="V16" s="699">
        <f>IF(V$6="Dubai",'Member Data'!AC8,'General Basis'!AA7)</f>
        <v>0</v>
      </c>
      <c r="W16" s="544" t="str">
        <f>IF(Y$6="Dubai",'General Basis'!$B40,'General Basis'!$C40)</f>
        <v>11 - 17</v>
      </c>
      <c r="X16" s="699">
        <f>IF(Y$6="Dubai",'Member Data'!AD8,'General Basis'!AB7)</f>
        <v>0</v>
      </c>
      <c r="Y16" s="699">
        <f>IF(Y$6="Dubai",'Member Data'!AE8,'General Basis'!AC7)</f>
        <v>0</v>
      </c>
      <c r="Z16" s="688"/>
    </row>
    <row r="17" spans="1:26" x14ac:dyDescent="0.25">
      <c r="A17" s="698"/>
      <c r="B17" s="758" t="str">
        <f>IF(D$6="Dubai",'General Basis'!$B41,'General Basis'!$C41)</f>
        <v>18 - 25</v>
      </c>
      <c r="C17" s="699">
        <f>IF(D$6="Dubai",'Member Data'!P9,'General Basis'!N8)</f>
        <v>1</v>
      </c>
      <c r="D17" s="699">
        <f>IF(D$6="Dubai",'Member Data'!Q9,'General Basis'!O8)</f>
        <v>2</v>
      </c>
      <c r="E17" s="544" t="str">
        <f>IF(G$6="Dubai",'General Basis'!$B41,'General Basis'!$C41)</f>
        <v>18 - 25</v>
      </c>
      <c r="F17" s="699">
        <f>IF(G$6="Dubai",'Member Data'!R9,'General Basis'!P8)</f>
        <v>0</v>
      </c>
      <c r="G17" s="699">
        <f>IF(G$6="Dubai",'Member Data'!S9,'General Basis'!Q8)</f>
        <v>0</v>
      </c>
      <c r="H17" s="544" t="str">
        <f>IF(J$6="Dubai",'General Basis'!$B41,'General Basis'!$C41)</f>
        <v>18 - 25</v>
      </c>
      <c r="I17" s="699">
        <f>IF(J$6="Dubai",'Member Data'!T9,'General Basis'!R8)</f>
        <v>0</v>
      </c>
      <c r="J17" s="699">
        <f>IF(J$6="Dubai",'Member Data'!U9,'General Basis'!S8)</f>
        <v>0</v>
      </c>
      <c r="K17" s="544" t="str">
        <f>IF(M$6="Dubai",'General Basis'!$B41,'General Basis'!$C41)</f>
        <v>18 - 25</v>
      </c>
      <c r="L17" s="699">
        <f>IF(M$6="Dubai",'Member Data'!V9,'General Basis'!T8)</f>
        <v>0</v>
      </c>
      <c r="M17" s="699">
        <f>IF(M$6="Dubai",'Member Data'!W9,'General Basis'!U8)</f>
        <v>0</v>
      </c>
      <c r="N17" s="544" t="str">
        <f>IF(P$6="Dubai",'General Basis'!$B41,'General Basis'!$C41)</f>
        <v>18 - 25</v>
      </c>
      <c r="O17" s="699">
        <f>IF(P$6="Dubai",'Member Data'!X9,'General Basis'!V8)</f>
        <v>0</v>
      </c>
      <c r="P17" s="699">
        <f>IF(P$6="Dubai",'Member Data'!Y9,'General Basis'!W8)</f>
        <v>0</v>
      </c>
      <c r="Q17" s="544" t="str">
        <f>IF(S$6="Dubai",'General Basis'!$B41,'General Basis'!$C41)</f>
        <v>18 - 25</v>
      </c>
      <c r="R17" s="699">
        <f>IF(S$6="Dubai",'Member Data'!Z9,'General Basis'!X8)</f>
        <v>0</v>
      </c>
      <c r="S17" s="699">
        <f>IF(S$6="Dubai",'Member Data'!AA9,'General Basis'!Y8)</f>
        <v>0</v>
      </c>
      <c r="T17" s="544" t="str">
        <f>IF(V$6="Dubai",'General Basis'!$B41,'General Basis'!$C41)</f>
        <v>18 - 25</v>
      </c>
      <c r="U17" s="699">
        <f>IF(V$6="Dubai",'Member Data'!AB9,'General Basis'!Z8)</f>
        <v>0</v>
      </c>
      <c r="V17" s="699">
        <f>IF(V$6="Dubai",'Member Data'!AC9,'General Basis'!AA8)</f>
        <v>0</v>
      </c>
      <c r="W17" s="544" t="str">
        <f>IF(Y$6="Dubai",'General Basis'!$B41,'General Basis'!$C41)</f>
        <v>18 - 25</v>
      </c>
      <c r="X17" s="699">
        <f>IF(Y$6="Dubai",'Member Data'!AD9,'General Basis'!AB8)</f>
        <v>0</v>
      </c>
      <c r="Y17" s="699">
        <f>IF(Y$6="Dubai",'Member Data'!AE9,'General Basis'!AC8)</f>
        <v>0</v>
      </c>
      <c r="Z17" s="688"/>
    </row>
    <row r="18" spans="1:26" x14ac:dyDescent="0.25">
      <c r="A18" s="698"/>
      <c r="B18" s="758" t="str">
        <f>IF(D$6="Dubai",'General Basis'!$B42,'General Basis'!$C42)</f>
        <v>26 - 30</v>
      </c>
      <c r="C18" s="699">
        <f>IF(D$6="Dubai",'Member Data'!P10,'General Basis'!N9)</f>
        <v>0</v>
      </c>
      <c r="D18" s="699">
        <f>IF(D$6="Dubai",'Member Data'!Q10,'General Basis'!O9)</f>
        <v>0</v>
      </c>
      <c r="E18" s="544" t="str">
        <f>IF(G$6="Dubai",'General Basis'!$B42,'General Basis'!$C42)</f>
        <v>26 - 30</v>
      </c>
      <c r="F18" s="699">
        <f>IF(G$6="Dubai",'Member Data'!R10,'General Basis'!P9)</f>
        <v>0</v>
      </c>
      <c r="G18" s="699">
        <f>IF(G$6="Dubai",'Member Data'!S10,'General Basis'!Q9)</f>
        <v>0</v>
      </c>
      <c r="H18" s="544" t="str">
        <f>IF(J$6="Dubai",'General Basis'!$B42,'General Basis'!$C42)</f>
        <v>26 - 30</v>
      </c>
      <c r="I18" s="699">
        <f>IF(J$6="Dubai",'Member Data'!T10,'General Basis'!R9)</f>
        <v>0</v>
      </c>
      <c r="J18" s="699">
        <f>IF(J$6="Dubai",'Member Data'!U10,'General Basis'!S9)</f>
        <v>0</v>
      </c>
      <c r="K18" s="544" t="str">
        <f>IF(M$6="Dubai",'General Basis'!$B42,'General Basis'!$C42)</f>
        <v>26 - 30</v>
      </c>
      <c r="L18" s="699">
        <f>IF(M$6="Dubai",'Member Data'!V10,'General Basis'!T9)</f>
        <v>0</v>
      </c>
      <c r="M18" s="699">
        <f>IF(M$6="Dubai",'Member Data'!W10,'General Basis'!U9)</f>
        <v>0</v>
      </c>
      <c r="N18" s="544" t="str">
        <f>IF(P$6="Dubai",'General Basis'!$B42,'General Basis'!$C42)</f>
        <v>26 - 30</v>
      </c>
      <c r="O18" s="699">
        <f>IF(P$6="Dubai",'Member Data'!X10,'General Basis'!V9)</f>
        <v>0</v>
      </c>
      <c r="P18" s="699">
        <f>IF(P$6="Dubai",'Member Data'!Y10,'General Basis'!W9)</f>
        <v>0</v>
      </c>
      <c r="Q18" s="544" t="str">
        <f>IF(S$6="Dubai",'General Basis'!$B42,'General Basis'!$C42)</f>
        <v>26 - 30</v>
      </c>
      <c r="R18" s="699">
        <f>IF(S$6="Dubai",'Member Data'!Z10,'General Basis'!X9)</f>
        <v>0</v>
      </c>
      <c r="S18" s="699">
        <f>IF(S$6="Dubai",'Member Data'!AA10,'General Basis'!Y9)</f>
        <v>0</v>
      </c>
      <c r="T18" s="544" t="str">
        <f>IF(V$6="Dubai",'General Basis'!$B42,'General Basis'!$C42)</f>
        <v>26 - 30</v>
      </c>
      <c r="U18" s="699">
        <f>IF(V$6="Dubai",'Member Data'!AB10,'General Basis'!Z9)</f>
        <v>0</v>
      </c>
      <c r="V18" s="699">
        <f>IF(V$6="Dubai",'Member Data'!AC10,'General Basis'!AA9)</f>
        <v>0</v>
      </c>
      <c r="W18" s="544" t="str">
        <f>IF(Y$6="Dubai",'General Basis'!$B42,'General Basis'!$C42)</f>
        <v>26 - 30</v>
      </c>
      <c r="X18" s="699">
        <f>IF(Y$6="Dubai",'Member Data'!AD10,'General Basis'!AB9)</f>
        <v>0</v>
      </c>
      <c r="Y18" s="699">
        <f>IF(Y$6="Dubai",'Member Data'!AE10,'General Basis'!AC9)</f>
        <v>0</v>
      </c>
      <c r="Z18" s="688"/>
    </row>
    <row r="19" spans="1:26" x14ac:dyDescent="0.25">
      <c r="A19" s="698"/>
      <c r="B19" s="758" t="str">
        <f>IF(D$6="Dubai",'General Basis'!$B43,'General Basis'!$C43)</f>
        <v>31 - 35</v>
      </c>
      <c r="C19" s="699">
        <f>IF(D$6="Dubai",'Member Data'!P11,'General Basis'!N10)</f>
        <v>1</v>
      </c>
      <c r="D19" s="699">
        <f>IF(D$6="Dubai",'Member Data'!Q11,'General Basis'!O10)</f>
        <v>0</v>
      </c>
      <c r="E19" s="544" t="str">
        <f>IF(G$6="Dubai",'General Basis'!$B43,'General Basis'!$C43)</f>
        <v>31 - 35</v>
      </c>
      <c r="F19" s="699">
        <f>IF(G$6="Dubai",'Member Data'!R11,'General Basis'!P10)</f>
        <v>0</v>
      </c>
      <c r="G19" s="699">
        <f>IF(G$6="Dubai",'Member Data'!S11,'General Basis'!Q10)</f>
        <v>0</v>
      </c>
      <c r="H19" s="544" t="str">
        <f>IF(J$6="Dubai",'General Basis'!$B43,'General Basis'!$C43)</f>
        <v>31 - 35</v>
      </c>
      <c r="I19" s="699">
        <f>IF(J$6="Dubai",'Member Data'!T11,'General Basis'!R10)</f>
        <v>0</v>
      </c>
      <c r="J19" s="699">
        <f>IF(J$6="Dubai",'Member Data'!U11,'General Basis'!S10)</f>
        <v>0</v>
      </c>
      <c r="K19" s="544" t="str">
        <f>IF(M$6="Dubai",'General Basis'!$B43,'General Basis'!$C43)</f>
        <v>31 - 35</v>
      </c>
      <c r="L19" s="699">
        <f>IF(M$6="Dubai",'Member Data'!V11,'General Basis'!T10)</f>
        <v>0</v>
      </c>
      <c r="M19" s="699">
        <f>IF(M$6="Dubai",'Member Data'!W11,'General Basis'!U10)</f>
        <v>0</v>
      </c>
      <c r="N19" s="544" t="str">
        <f>IF(P$6="Dubai",'General Basis'!$B43,'General Basis'!$C43)</f>
        <v>31 - 35</v>
      </c>
      <c r="O19" s="699">
        <f>IF(P$6="Dubai",'Member Data'!X11,'General Basis'!V10)</f>
        <v>0</v>
      </c>
      <c r="P19" s="699">
        <f>IF(P$6="Dubai",'Member Data'!Y11,'General Basis'!W10)</f>
        <v>0</v>
      </c>
      <c r="Q19" s="544" t="str">
        <f>IF(S$6="Dubai",'General Basis'!$B43,'General Basis'!$C43)</f>
        <v>31 - 35</v>
      </c>
      <c r="R19" s="699">
        <f>IF(S$6="Dubai",'Member Data'!Z11,'General Basis'!X10)</f>
        <v>0</v>
      </c>
      <c r="S19" s="699">
        <f>IF(S$6="Dubai",'Member Data'!AA11,'General Basis'!Y10)</f>
        <v>0</v>
      </c>
      <c r="T19" s="544" t="str">
        <f>IF(V$6="Dubai",'General Basis'!$B43,'General Basis'!$C43)</f>
        <v>31 - 35</v>
      </c>
      <c r="U19" s="699">
        <f>IF(V$6="Dubai",'Member Data'!AB11,'General Basis'!Z10)</f>
        <v>0</v>
      </c>
      <c r="V19" s="699">
        <f>IF(V$6="Dubai",'Member Data'!AC11,'General Basis'!AA10)</f>
        <v>0</v>
      </c>
      <c r="W19" s="544" t="str">
        <f>IF(Y$6="Dubai",'General Basis'!$B43,'General Basis'!$C43)</f>
        <v>31 - 35</v>
      </c>
      <c r="X19" s="699">
        <f>IF(Y$6="Dubai",'Member Data'!AD11,'General Basis'!AB10)</f>
        <v>0</v>
      </c>
      <c r="Y19" s="699">
        <f>IF(Y$6="Dubai",'Member Data'!AE11,'General Basis'!AC10)</f>
        <v>0</v>
      </c>
      <c r="Z19" s="688"/>
    </row>
    <row r="20" spans="1:26" x14ac:dyDescent="0.25">
      <c r="A20" s="698"/>
      <c r="B20" s="758" t="str">
        <f>IF(D$6="Dubai",'General Basis'!$B44,'General Basis'!$C44)</f>
        <v>36 - 40</v>
      </c>
      <c r="C20" s="700">
        <f>IF(D$6="Dubai",'Member Data'!P12,0)</f>
        <v>0</v>
      </c>
      <c r="D20" s="700">
        <f>IF(D$6="Dubai",'Member Data'!Q12,0)</f>
        <v>0</v>
      </c>
      <c r="E20" s="544" t="str">
        <f>IF(G$6="Dubai",'General Basis'!$B44,'General Basis'!$C44)</f>
        <v>36 - 40</v>
      </c>
      <c r="F20" s="700">
        <f>IF(G$6="Dubai",'Member Data'!R12,0)</f>
        <v>0</v>
      </c>
      <c r="G20" s="700">
        <f>IF(G$6="Dubai",'Member Data'!S12,0)</f>
        <v>0</v>
      </c>
      <c r="H20" s="544" t="str">
        <f>IF(J$6="Dubai",'General Basis'!$B44,'General Basis'!$C44)</f>
        <v>36 - 40</v>
      </c>
      <c r="I20" s="700">
        <f>IF(J$6="Dubai",'Member Data'!T12,0)</f>
        <v>0</v>
      </c>
      <c r="J20" s="700">
        <f>IF(J$6="Dubai",'Member Data'!U12,0)</f>
        <v>0</v>
      </c>
      <c r="K20" s="544" t="str">
        <f>IF(M$6="Dubai",'General Basis'!$B44,'General Basis'!$C44)</f>
        <v>36 - 40</v>
      </c>
      <c r="L20" s="700">
        <f>IF(M$6=1,'Member Data'!V12,0)</f>
        <v>0</v>
      </c>
      <c r="M20" s="700">
        <f>IF(M$6=1,'Member Data'!W12,0)</f>
        <v>0</v>
      </c>
      <c r="N20" s="544" t="str">
        <f>IF(P$6="Dubai",'General Basis'!$B44,'General Basis'!$C44)</f>
        <v>36 - 40</v>
      </c>
      <c r="O20" s="700">
        <f>IF(P$6=1,'Member Data'!X12,0)</f>
        <v>0</v>
      </c>
      <c r="P20" s="700">
        <f>IF(P$6=1,'Member Data'!Y12,0)</f>
        <v>0</v>
      </c>
      <c r="Q20" s="544" t="str">
        <f>IF(S$6="Dubai",'General Basis'!$B44,'General Basis'!$C44)</f>
        <v>36 - 40</v>
      </c>
      <c r="R20" s="700">
        <f>IF(S$6=1,'Member Data'!Z12,0)</f>
        <v>0</v>
      </c>
      <c r="S20" s="700">
        <f>IF(S$6=1,'Member Data'!AA12,0)</f>
        <v>0</v>
      </c>
      <c r="T20" s="544" t="str">
        <f>IF(V$6="Dubai",'General Basis'!$B44,'General Basis'!$C44)</f>
        <v>36 - 40</v>
      </c>
      <c r="U20" s="700">
        <f>IF(V$6=1,'Member Data'!AB12,0)</f>
        <v>0</v>
      </c>
      <c r="V20" s="700">
        <f>IF(V$6=1,'Member Data'!AC12,0)</f>
        <v>0</v>
      </c>
      <c r="W20" s="544" t="str">
        <f>IF(Y$6="Dubai",'General Basis'!$B44,'General Basis'!$C44)</f>
        <v>36 - 40</v>
      </c>
      <c r="X20" s="700">
        <f>IF(Y$6=1,'Member Data'!AD12,0)</f>
        <v>0</v>
      </c>
      <c r="Y20" s="700">
        <f>IF(Y$6=1,'Member Data'!AE12,0)</f>
        <v>0</v>
      </c>
      <c r="Z20" s="688"/>
    </row>
    <row r="21" spans="1:26" x14ac:dyDescent="0.25">
      <c r="A21" s="698"/>
      <c r="B21" s="758" t="str">
        <f>IF(D$6="Dubai",'General Basis'!$B45,'General Basis'!$C45)</f>
        <v>41 - 45</v>
      </c>
      <c r="C21" s="700">
        <f>IF(D$6="Dubai",'Member Data'!P13,0)</f>
        <v>0</v>
      </c>
      <c r="D21" s="700">
        <f>IF(D$6="Dubai",'Member Data'!Q13,0)</f>
        <v>0</v>
      </c>
      <c r="E21" s="544" t="str">
        <f>IF(G$6="Dubai",'General Basis'!$B45,'General Basis'!$C45)</f>
        <v>41 - 45</v>
      </c>
      <c r="F21" s="700">
        <f>IF(G$6="Dubai",'Member Data'!R13,0)</f>
        <v>0</v>
      </c>
      <c r="G21" s="700">
        <f>IF(G$6="Dubai",'Member Data'!S13,0)</f>
        <v>0</v>
      </c>
      <c r="H21" s="544" t="str">
        <f>IF(J$6="Dubai",'General Basis'!$B45,'General Basis'!$C45)</f>
        <v>41 - 45</v>
      </c>
      <c r="I21" s="700">
        <f>IF(J$6="Dubai",'Member Data'!T13,0)</f>
        <v>0</v>
      </c>
      <c r="J21" s="700">
        <f>IF(J$6="Dubai",'Member Data'!U13,0)</f>
        <v>0</v>
      </c>
      <c r="K21" s="544" t="str">
        <f>IF(M$6="Dubai",'General Basis'!$B45,'General Basis'!$C45)</f>
        <v>41 - 45</v>
      </c>
      <c r="L21" s="700">
        <f>IF(M$6=1,'Member Data'!V13,0)</f>
        <v>0</v>
      </c>
      <c r="M21" s="700">
        <f>IF(M$6=1,'Member Data'!W13,0)</f>
        <v>0</v>
      </c>
      <c r="N21" s="544" t="str">
        <f>IF(P$6="Dubai",'General Basis'!$B45,'General Basis'!$C45)</f>
        <v>41 - 45</v>
      </c>
      <c r="O21" s="700">
        <f>IF(P$6=1,'Member Data'!X13,0)</f>
        <v>0</v>
      </c>
      <c r="P21" s="700">
        <f>IF(P$6=1,'Member Data'!Y13,0)</f>
        <v>0</v>
      </c>
      <c r="Q21" s="544" t="str">
        <f>IF(S$6="Dubai",'General Basis'!$B45,'General Basis'!$C45)</f>
        <v>41 - 45</v>
      </c>
      <c r="R21" s="700">
        <f>IF(S$6=1,'Member Data'!Z13,0)</f>
        <v>0</v>
      </c>
      <c r="S21" s="700">
        <f>IF(S$6=1,'Member Data'!AA13,0)</f>
        <v>0</v>
      </c>
      <c r="T21" s="544" t="str">
        <f>IF(V$6="Dubai",'General Basis'!$B45,'General Basis'!$C45)</f>
        <v>41 - 45</v>
      </c>
      <c r="U21" s="700">
        <f>IF(V$6=1,'Member Data'!AB13,0)</f>
        <v>0</v>
      </c>
      <c r="V21" s="700">
        <f>IF(V$6=1,'Member Data'!AC13,0)</f>
        <v>0</v>
      </c>
      <c r="W21" s="544" t="str">
        <f>IF(Y$6="Dubai",'General Basis'!$B45,'General Basis'!$C45)</f>
        <v>41 - 45</v>
      </c>
      <c r="X21" s="700">
        <f>IF(Y$6=1,'Member Data'!AD13,0)</f>
        <v>0</v>
      </c>
      <c r="Y21" s="700">
        <f>IF(Y$6=1,'Member Data'!AE13,0)</f>
        <v>0</v>
      </c>
      <c r="Z21" s="688"/>
    </row>
    <row r="22" spans="1:26" x14ac:dyDescent="0.25">
      <c r="A22" s="698"/>
      <c r="B22" s="758" t="str">
        <f>IF(D$6="Dubai",'General Basis'!$B46,'General Basis'!$C46)</f>
        <v>46 - 50</v>
      </c>
      <c r="C22" s="700">
        <f>IF(D$6="Dubai",'Member Data'!P14,0)</f>
        <v>1</v>
      </c>
      <c r="D22" s="700">
        <f>IF(D$6="Dubai",'Member Data'!Q14,0)</f>
        <v>2</v>
      </c>
      <c r="E22" s="544" t="str">
        <f>IF(G$6="Dubai",'General Basis'!$B46,'General Basis'!$C46)</f>
        <v>46 - 50</v>
      </c>
      <c r="F22" s="700">
        <f>IF(G$6="Dubai",'Member Data'!R14,0)</f>
        <v>0</v>
      </c>
      <c r="G22" s="700">
        <f>IF(G$6="Dubai",'Member Data'!S14,0)</f>
        <v>0</v>
      </c>
      <c r="H22" s="544" t="str">
        <f>IF(J$6="Dubai",'General Basis'!$B46,'General Basis'!$C46)</f>
        <v>46 - 50</v>
      </c>
      <c r="I22" s="700">
        <f>IF(J$6="Dubai",'Member Data'!T14,0)</f>
        <v>0</v>
      </c>
      <c r="J22" s="700">
        <f>IF(J$6="Dubai",'Member Data'!U14,0)</f>
        <v>0</v>
      </c>
      <c r="K22" s="544" t="str">
        <f>IF(M$6="Dubai",'General Basis'!$B46,'General Basis'!$C46)</f>
        <v>46 - 50</v>
      </c>
      <c r="L22" s="700">
        <f>IF(M$6=1,'Member Data'!V14,0)</f>
        <v>0</v>
      </c>
      <c r="M22" s="700">
        <f>IF(M$6=1,'Member Data'!W14,0)</f>
        <v>0</v>
      </c>
      <c r="N22" s="544" t="str">
        <f>IF(P$6="Dubai",'General Basis'!$B46,'General Basis'!$C46)</f>
        <v>46 - 50</v>
      </c>
      <c r="O22" s="700">
        <f>IF(P$6=1,'Member Data'!X14,0)</f>
        <v>0</v>
      </c>
      <c r="P22" s="700">
        <f>IF(P$6=1,'Member Data'!Y14,0)</f>
        <v>0</v>
      </c>
      <c r="Q22" s="544" t="str">
        <f>IF(S$6="Dubai",'General Basis'!$B46,'General Basis'!$C46)</f>
        <v>46 - 50</v>
      </c>
      <c r="R22" s="700">
        <f>IF(S$6=1,'Member Data'!Z14,0)</f>
        <v>0</v>
      </c>
      <c r="S22" s="700">
        <f>IF(S$6=1,'Member Data'!AA14,0)</f>
        <v>0</v>
      </c>
      <c r="T22" s="544" t="str">
        <f>IF(V$6="Dubai",'General Basis'!$B46,'General Basis'!$C46)</f>
        <v>46 - 50</v>
      </c>
      <c r="U22" s="700">
        <f>IF(V$6=1,'Member Data'!AB14,0)</f>
        <v>0</v>
      </c>
      <c r="V22" s="700">
        <f>IF(V$6=1,'Member Data'!AC14,0)</f>
        <v>0</v>
      </c>
      <c r="W22" s="544" t="str">
        <f>IF(Y$6="Dubai",'General Basis'!$B46,'General Basis'!$C46)</f>
        <v>46 - 50</v>
      </c>
      <c r="X22" s="700">
        <f>IF(Y$6=1,'Member Data'!AD14,0)</f>
        <v>0</v>
      </c>
      <c r="Y22" s="700">
        <f>IF(Y$6=1,'Member Data'!AE14,0)</f>
        <v>0</v>
      </c>
      <c r="Z22" s="688"/>
    </row>
    <row r="23" spans="1:26" x14ac:dyDescent="0.25">
      <c r="A23" s="698"/>
      <c r="B23" s="758" t="str">
        <f>IF(D$6="Dubai",'General Basis'!$B47,'General Basis'!$C47)</f>
        <v>51 - 55</v>
      </c>
      <c r="C23" s="700">
        <f>IF(D$6="Dubai",'Member Data'!P15,0)</f>
        <v>1</v>
      </c>
      <c r="D23" s="700">
        <f>IF(D$6="Dubai",'Member Data'!Q15,0)</f>
        <v>0</v>
      </c>
      <c r="E23" s="544" t="str">
        <f>IF(G$6="Dubai",'General Basis'!$B47,'General Basis'!$C47)</f>
        <v>51 - 55</v>
      </c>
      <c r="F23" s="700">
        <f>IF(G$6="Dubai",'Member Data'!R15,0)</f>
        <v>0</v>
      </c>
      <c r="G23" s="700">
        <f>IF(G$6="Dubai",'Member Data'!S15,0)</f>
        <v>0</v>
      </c>
      <c r="H23" s="544" t="str">
        <f>IF(J$6="Dubai",'General Basis'!$B47,'General Basis'!$C47)</f>
        <v>51 - 55</v>
      </c>
      <c r="I23" s="700">
        <f>IF(J$6="Dubai",'Member Data'!T15,0)</f>
        <v>0</v>
      </c>
      <c r="J23" s="700">
        <f>IF(J$6="Dubai",'Member Data'!U15,0)</f>
        <v>0</v>
      </c>
      <c r="K23" s="544" t="str">
        <f>IF(M$6="Dubai",'General Basis'!$B47,'General Basis'!$C47)</f>
        <v>51 - 55</v>
      </c>
      <c r="L23" s="700">
        <f>IF(M$6=1,'Member Data'!V15,0)</f>
        <v>0</v>
      </c>
      <c r="M23" s="700">
        <f>IF(M$6=1,'Member Data'!W15,0)</f>
        <v>0</v>
      </c>
      <c r="N23" s="544" t="str">
        <f>IF(P$6="Dubai",'General Basis'!$B47,'General Basis'!$C47)</f>
        <v>51 - 55</v>
      </c>
      <c r="O23" s="700">
        <f>IF(P$6=1,'Member Data'!X15,0)</f>
        <v>0</v>
      </c>
      <c r="P23" s="700">
        <f>IF(P$6=1,'Member Data'!Y15,0)</f>
        <v>0</v>
      </c>
      <c r="Q23" s="544" t="str">
        <f>IF(S$6="Dubai",'General Basis'!$B47,'General Basis'!$C47)</f>
        <v>51 - 55</v>
      </c>
      <c r="R23" s="700">
        <f>IF(S$6=1,'Member Data'!Z15,0)</f>
        <v>0</v>
      </c>
      <c r="S23" s="700">
        <f>IF(S$6=1,'Member Data'!AA15,0)</f>
        <v>0</v>
      </c>
      <c r="T23" s="544" t="str">
        <f>IF(V$6="Dubai",'General Basis'!$B47,'General Basis'!$C47)</f>
        <v>51 - 55</v>
      </c>
      <c r="U23" s="700">
        <f>IF(V$6=1,'Member Data'!AB15,0)</f>
        <v>0</v>
      </c>
      <c r="V23" s="700">
        <f>IF(V$6=1,'Member Data'!AC15,0)</f>
        <v>0</v>
      </c>
      <c r="W23" s="544" t="str">
        <f>IF(Y$6="Dubai",'General Basis'!$B47,'General Basis'!$C47)</f>
        <v>51 - 55</v>
      </c>
      <c r="X23" s="700">
        <f>IF(Y$6=1,'Member Data'!AD15,0)</f>
        <v>0</v>
      </c>
      <c r="Y23" s="700">
        <f>IF(Y$6=1,'Member Data'!AE15,0)</f>
        <v>0</v>
      </c>
      <c r="Z23" s="688"/>
    </row>
    <row r="24" spans="1:26" x14ac:dyDescent="0.25">
      <c r="A24" s="698"/>
      <c r="B24" s="758" t="str">
        <f>IF(D$6="Dubai",'General Basis'!$B48,'General Basis'!$C48)</f>
        <v>56 - 59</v>
      </c>
      <c r="C24" s="700">
        <f>IF(D$6="Dubai",'Member Data'!P16,0)</f>
        <v>0</v>
      </c>
      <c r="D24" s="700">
        <f>IF(D$6="Dubai",'Member Data'!Q16,0)</f>
        <v>0</v>
      </c>
      <c r="E24" s="544" t="str">
        <f>IF(G$6="Dubai",'General Basis'!$B48,'General Basis'!$C48)</f>
        <v>56 - 59</v>
      </c>
      <c r="F24" s="700">
        <f>IF(G$6="Dubai",'Member Data'!R16,0)</f>
        <v>0</v>
      </c>
      <c r="G24" s="700">
        <f>IF(G$6="Dubai",'Member Data'!S16,0)</f>
        <v>0</v>
      </c>
      <c r="H24" s="544" t="str">
        <f>IF(J$6="Dubai",'General Basis'!$B48,'General Basis'!$C48)</f>
        <v>56 - 59</v>
      </c>
      <c r="I24" s="700">
        <f>IF(J$6="Dubai",'Member Data'!T16,0)</f>
        <v>0</v>
      </c>
      <c r="J24" s="700">
        <f>IF(J$6="Dubai",'Member Data'!U16,0)</f>
        <v>0</v>
      </c>
      <c r="K24" s="544" t="str">
        <f>IF(M$6="Dubai",'General Basis'!$B48,'General Basis'!$C48)</f>
        <v>56 - 59</v>
      </c>
      <c r="L24" s="700">
        <f>IF(M$6=1,'Member Data'!V16,0)</f>
        <v>0</v>
      </c>
      <c r="M24" s="700">
        <f>IF(M$6=1,'Member Data'!W16,0)</f>
        <v>0</v>
      </c>
      <c r="N24" s="544" t="str">
        <f>IF(P$6="Dubai",'General Basis'!$B48,'General Basis'!$C48)</f>
        <v>56 - 59</v>
      </c>
      <c r="O24" s="700">
        <f>IF(P$6=1,'Member Data'!X16,0)</f>
        <v>0</v>
      </c>
      <c r="P24" s="700">
        <f>IF(P$6=1,'Member Data'!Y16,0)</f>
        <v>0</v>
      </c>
      <c r="Q24" s="544" t="str">
        <f>IF(S$6="Dubai",'General Basis'!$B48,'General Basis'!$C48)</f>
        <v>56 - 59</v>
      </c>
      <c r="R24" s="700">
        <f>IF(S$6=1,'Member Data'!Z16,0)</f>
        <v>0</v>
      </c>
      <c r="S24" s="700">
        <f>IF(S$6=1,'Member Data'!AA16,0)</f>
        <v>0</v>
      </c>
      <c r="T24" s="544" t="str">
        <f>IF(V$6="Dubai",'General Basis'!$B48,'General Basis'!$C48)</f>
        <v>56 - 59</v>
      </c>
      <c r="U24" s="700">
        <f>IF(V$6=1,'Member Data'!AB16,0)</f>
        <v>0</v>
      </c>
      <c r="V24" s="700">
        <f>IF(V$6=1,'Member Data'!AC16,0)</f>
        <v>0</v>
      </c>
      <c r="W24" s="544" t="str">
        <f>IF(Y$6="Dubai",'General Basis'!$B48,'General Basis'!$C48)</f>
        <v>56 - 59</v>
      </c>
      <c r="X24" s="700">
        <f>IF(Y$6=1,'Member Data'!AD16,0)</f>
        <v>0</v>
      </c>
      <c r="Y24" s="700">
        <f>IF(Y$6=1,'Member Data'!AE16,0)</f>
        <v>0</v>
      </c>
      <c r="Z24" s="688"/>
    </row>
    <row r="25" spans="1:26" x14ac:dyDescent="0.25">
      <c r="A25" s="698"/>
      <c r="B25" s="758" t="str">
        <f>IF(D$6="Dubai",'General Basis'!$B49,'General Basis'!$C49)</f>
        <v>60 - 64</v>
      </c>
      <c r="C25" s="700">
        <f>IF(D$6="Dubai",'Member Data'!P17,0)</f>
        <v>0</v>
      </c>
      <c r="D25" s="700">
        <f>IF(D$6="Dubai",'Member Data'!Q17,0)</f>
        <v>0</v>
      </c>
      <c r="E25" s="544" t="str">
        <f>IF(G$6="Dubai",'General Basis'!$B49,'General Basis'!$C49)</f>
        <v>60 - 64</v>
      </c>
      <c r="F25" s="700">
        <f>IF(G$6="Dubai",'Member Data'!R17,0)</f>
        <v>0</v>
      </c>
      <c r="G25" s="700">
        <f>IF(G$6="Dubai",'Member Data'!S17,0)</f>
        <v>0</v>
      </c>
      <c r="H25" s="544" t="str">
        <f>IF(J$6="Dubai",'General Basis'!$B49,'General Basis'!$C49)</f>
        <v>60 - 64</v>
      </c>
      <c r="I25" s="700">
        <f>IF(J$6="Dubai",'Member Data'!T17,0)</f>
        <v>0</v>
      </c>
      <c r="J25" s="700">
        <f>IF(J$6="Dubai",'Member Data'!U17,0)</f>
        <v>0</v>
      </c>
      <c r="K25" s="544" t="str">
        <f>IF(M$6="Dubai",'General Basis'!$B49,'General Basis'!$C49)</f>
        <v>60 - 64</v>
      </c>
      <c r="L25" s="700">
        <f>IF(M$6=1,'Member Data'!V17,0)</f>
        <v>0</v>
      </c>
      <c r="M25" s="700">
        <f>IF(M$6=1,'Member Data'!W17,0)</f>
        <v>0</v>
      </c>
      <c r="N25" s="544" t="str">
        <f>IF(P$6="Dubai",'General Basis'!$B49,'General Basis'!$C49)</f>
        <v>60 - 64</v>
      </c>
      <c r="O25" s="700">
        <f>IF(P$6=1,'Member Data'!X17,0)</f>
        <v>0</v>
      </c>
      <c r="P25" s="700">
        <f>IF(P$6=1,'Member Data'!Y17,0)</f>
        <v>0</v>
      </c>
      <c r="Q25" s="544" t="str">
        <f>IF(S$6="Dubai",'General Basis'!$B49,'General Basis'!$C49)</f>
        <v>60 - 64</v>
      </c>
      <c r="R25" s="700">
        <f>IF(S$6=1,'Member Data'!Z17,0)</f>
        <v>0</v>
      </c>
      <c r="S25" s="700">
        <f>IF(S$6=1,'Member Data'!AA17,0)</f>
        <v>0</v>
      </c>
      <c r="T25" s="544" t="str">
        <f>IF(V$6="Dubai",'General Basis'!$B49,'General Basis'!$C49)</f>
        <v>60 - 64</v>
      </c>
      <c r="U25" s="700">
        <f>IF(V$6=1,'Member Data'!AB17,0)</f>
        <v>0</v>
      </c>
      <c r="V25" s="700">
        <f>IF(V$6=1,'Member Data'!AC17,0)</f>
        <v>0</v>
      </c>
      <c r="W25" s="544" t="str">
        <f>IF(Y$6="Dubai",'General Basis'!$B49,'General Basis'!$C49)</f>
        <v>60 - 64</v>
      </c>
      <c r="X25" s="700">
        <f>IF(Y$6=1,'Member Data'!AD17,0)</f>
        <v>0</v>
      </c>
      <c r="Y25" s="700">
        <f>IF(Y$6=1,'Member Data'!AE17,0)</f>
        <v>0</v>
      </c>
      <c r="Z25" s="688"/>
    </row>
    <row r="26" spans="1:26" x14ac:dyDescent="0.25">
      <c r="A26" s="698"/>
      <c r="B26" s="758" t="str">
        <f>IF(D$6="Dubai",'General Basis'!$B50,'General Basis'!$C50)</f>
        <v>65 - 99</v>
      </c>
      <c r="C26" s="700">
        <f>IF(D$6="Dubai",'Member Data'!P18,0)</f>
        <v>0</v>
      </c>
      <c r="D26" s="700">
        <f>IF(D$6="Dubai",'Member Data'!Q18,0)</f>
        <v>0</v>
      </c>
      <c r="E26" s="544" t="str">
        <f>IF(G$6="Dubai",'General Basis'!$B50,'General Basis'!$C50)</f>
        <v>65 - 99</v>
      </c>
      <c r="F26" s="700">
        <f>IF(G$6="Dubai",'Member Data'!R18,0)</f>
        <v>0</v>
      </c>
      <c r="G26" s="700">
        <f>IF(G$6="Dubai",'Member Data'!S18,0)</f>
        <v>0</v>
      </c>
      <c r="H26" s="544" t="str">
        <f>IF(J$6="Dubai",'General Basis'!$B50,'General Basis'!$C50)</f>
        <v>65 - 99</v>
      </c>
      <c r="I26" s="700">
        <f>IF(J$6="Dubai",'Member Data'!T18,0)</f>
        <v>0</v>
      </c>
      <c r="J26" s="700">
        <f>IF(J$6="Dubai",'Member Data'!U18,0)</f>
        <v>0</v>
      </c>
      <c r="K26" s="544" t="str">
        <f>IF(M$6="Dubai",'General Basis'!$B50,'General Basis'!$C50)</f>
        <v>65 - 99</v>
      </c>
      <c r="L26" s="700">
        <f>IF(M$6=1,'Member Data'!V18,0)</f>
        <v>0</v>
      </c>
      <c r="M26" s="700">
        <f>IF(M$6=1,'Member Data'!W18,0)</f>
        <v>0</v>
      </c>
      <c r="N26" s="544" t="str">
        <f>IF(P$6="Dubai",'General Basis'!$B50,'General Basis'!$C50)</f>
        <v>65 - 99</v>
      </c>
      <c r="O26" s="700">
        <f>IF(P$6=1,'Member Data'!X18,0)</f>
        <v>0</v>
      </c>
      <c r="P26" s="700">
        <f>IF(P$6=1,'Member Data'!Y18,0)</f>
        <v>0</v>
      </c>
      <c r="Q26" s="544" t="str">
        <f>IF(S$6="Dubai",'General Basis'!$B50,'General Basis'!$C50)</f>
        <v>65 - 99</v>
      </c>
      <c r="R26" s="700">
        <f>IF(S$6=1,'Member Data'!Z18,0)</f>
        <v>0</v>
      </c>
      <c r="S26" s="700">
        <f>IF(S$6=1,'Member Data'!AA18,0)</f>
        <v>0</v>
      </c>
      <c r="T26" s="544" t="str">
        <f>IF(V$6="Dubai",'General Basis'!$B50,'General Basis'!$C50)</f>
        <v>65 - 99</v>
      </c>
      <c r="U26" s="700">
        <f>IF(V$6=1,'Member Data'!AB18,0)</f>
        <v>0</v>
      </c>
      <c r="V26" s="700">
        <f>IF(V$6=1,'Member Data'!AC18,0)</f>
        <v>0</v>
      </c>
      <c r="W26" s="544" t="str">
        <f>IF(Y$6="Dubai",'General Basis'!$B50,'General Basis'!$C50)</f>
        <v>65 - 99</v>
      </c>
      <c r="X26" s="700">
        <f>IF(Y$6=1,'Member Data'!AD18,0)</f>
        <v>0</v>
      </c>
      <c r="Y26" s="700">
        <f>IF(Y$6=1,'Member Data'!AE18,0)</f>
        <v>0</v>
      </c>
      <c r="Z26" s="688"/>
    </row>
    <row r="27" spans="1:26" ht="15.75" thickBot="1" x14ac:dyDescent="0.3">
      <c r="B27" s="695"/>
      <c r="C27" s="570"/>
      <c r="D27" s="570" t="b">
        <f>SUM(C15:D26)='Member Data'!Q20</f>
        <v>1</v>
      </c>
      <c r="E27" s="570"/>
      <c r="F27" s="570"/>
      <c r="G27" s="570" t="b">
        <f>SUM(F15:G26)='Member Data'!S20</f>
        <v>1</v>
      </c>
      <c r="H27" s="570"/>
      <c r="I27" s="570"/>
      <c r="J27" s="570" t="b">
        <f>SUM(I15:J26)='Member Data'!U20</f>
        <v>1</v>
      </c>
      <c r="K27" s="570"/>
      <c r="L27" s="570"/>
      <c r="M27" s="570" t="b">
        <f>SUM(L15:M26)='Member Data'!W20</f>
        <v>1</v>
      </c>
      <c r="N27" s="570"/>
      <c r="O27" s="570"/>
      <c r="P27" s="570" t="b">
        <f>SUM(O15:P26)='Member Data'!Y20</f>
        <v>1</v>
      </c>
      <c r="Q27" s="570"/>
      <c r="R27" s="570"/>
      <c r="S27" s="570" t="b">
        <f>SUM(R15:S26)='Member Data'!AA20</f>
        <v>1</v>
      </c>
      <c r="T27" s="570"/>
      <c r="U27" s="570"/>
      <c r="V27" s="570" t="b">
        <f>SUM(U15:V26)='Member Data'!AC20</f>
        <v>1</v>
      </c>
      <c r="W27" s="570"/>
      <c r="X27" s="570"/>
      <c r="Y27" s="570" t="b">
        <f>SUM(X15:Y26)='Member Data'!AE20</f>
        <v>1</v>
      </c>
      <c r="Z27" s="697"/>
    </row>
    <row r="28" spans="1:26" ht="15.75" thickBot="1" x14ac:dyDescent="0.3"/>
    <row r="29" spans="1:26" ht="17.25" x14ac:dyDescent="0.25">
      <c r="B29" s="684"/>
      <c r="C29" s="710" t="s">
        <v>947</v>
      </c>
      <c r="D29" s="759"/>
      <c r="E29" s="759"/>
      <c r="F29" s="569"/>
      <c r="G29" s="569"/>
      <c r="H29" s="569"/>
      <c r="I29" s="569"/>
      <c r="J29" s="569"/>
      <c r="K29" s="569"/>
      <c r="L29" s="569"/>
      <c r="M29" s="569"/>
      <c r="N29" s="569"/>
      <c r="O29" s="569"/>
      <c r="P29" s="685"/>
      <c r="Q29" s="569"/>
      <c r="R29" s="569"/>
      <c r="S29" s="569"/>
      <c r="T29" s="569"/>
      <c r="U29" s="569"/>
      <c r="V29" s="569"/>
      <c r="W29" s="569"/>
      <c r="X29" s="569"/>
      <c r="Y29" s="569"/>
      <c r="Z29" s="686"/>
    </row>
    <row r="30" spans="1:26" x14ac:dyDescent="0.25">
      <c r="B30" s="687"/>
      <c r="Z30" s="688"/>
    </row>
    <row r="31" spans="1:26" s="750" customFormat="1" ht="15.75" x14ac:dyDescent="0.25">
      <c r="B31" s="751"/>
      <c r="C31" s="693" t="s">
        <v>271</v>
      </c>
      <c r="D31" s="749" t="str">
        <f>C31</f>
        <v>A</v>
      </c>
      <c r="F31" s="693" t="s">
        <v>272</v>
      </c>
      <c r="G31" s="749" t="str">
        <f>F31</f>
        <v>B</v>
      </c>
      <c r="I31" s="693" t="s">
        <v>273</v>
      </c>
      <c r="J31" s="749" t="str">
        <f>I31</f>
        <v>C</v>
      </c>
      <c r="L31" s="693" t="s">
        <v>274</v>
      </c>
      <c r="M31" s="749" t="str">
        <f>L31</f>
        <v>D</v>
      </c>
      <c r="O31" s="693" t="s">
        <v>365</v>
      </c>
      <c r="P31" s="749" t="str">
        <f>O31</f>
        <v>E</v>
      </c>
      <c r="R31" s="693" t="s">
        <v>62</v>
      </c>
      <c r="S31" s="749" t="str">
        <f>R31</f>
        <v>F</v>
      </c>
      <c r="U31" s="693" t="s">
        <v>366</v>
      </c>
      <c r="V31" s="749" t="str">
        <f>U31</f>
        <v>G</v>
      </c>
      <c r="X31" s="693" t="s">
        <v>367</v>
      </c>
      <c r="Y31" s="749" t="str">
        <f>X31</f>
        <v>H</v>
      </c>
      <c r="Z31" s="752"/>
    </row>
    <row r="32" spans="1:26" ht="15.75" x14ac:dyDescent="0.25">
      <c r="B32" s="757" t="str">
        <f>D$6</f>
        <v>Dubai</v>
      </c>
      <c r="C32" s="689" t="s">
        <v>65</v>
      </c>
      <c r="D32" s="694" t="s">
        <v>66</v>
      </c>
      <c r="E32" s="689" t="str">
        <f>G$6</f>
        <v>Dubai</v>
      </c>
      <c r="F32" s="689" t="s">
        <v>65</v>
      </c>
      <c r="G32" s="694" t="s">
        <v>66</v>
      </c>
      <c r="H32" s="689" t="str">
        <f>J$6</f>
        <v>Dubai</v>
      </c>
      <c r="I32" s="689" t="s">
        <v>65</v>
      </c>
      <c r="J32" s="694" t="s">
        <v>66</v>
      </c>
      <c r="K32" s="689" t="str">
        <f>M$6</f>
        <v>Dubai</v>
      </c>
      <c r="L32" s="689" t="s">
        <v>65</v>
      </c>
      <c r="M32" s="694" t="s">
        <v>66</v>
      </c>
      <c r="N32" s="689" t="str">
        <f>P$6</f>
        <v>Dubai</v>
      </c>
      <c r="O32" s="689" t="s">
        <v>65</v>
      </c>
      <c r="P32" s="694" t="s">
        <v>66</v>
      </c>
      <c r="Q32" s="689" t="str">
        <f>S$6</f>
        <v>Dubai</v>
      </c>
      <c r="R32" s="689" t="s">
        <v>65</v>
      </c>
      <c r="S32" s="694" t="s">
        <v>66</v>
      </c>
      <c r="T32" s="689" t="str">
        <f>V$6</f>
        <v>Dubai</v>
      </c>
      <c r="U32" s="689" t="s">
        <v>65</v>
      </c>
      <c r="V32" s="694" t="s">
        <v>66</v>
      </c>
      <c r="W32" s="689" t="str">
        <f>Y$6</f>
        <v>Dubai</v>
      </c>
      <c r="X32" s="689" t="s">
        <v>65</v>
      </c>
      <c r="Y32" s="694" t="s">
        <v>66</v>
      </c>
      <c r="Z32" s="688"/>
    </row>
    <row r="33" spans="1:26" x14ac:dyDescent="0.25">
      <c r="A33" s="698"/>
      <c r="B33" s="758" t="str">
        <f>IF(D$6="Dubai",'General Basis'!$B39,'General Basis'!$C39)</f>
        <v>0 - 10</v>
      </c>
      <c r="C33" s="753">
        <f>SUMIFS('Member Data'!$BJ$6:$BJ$5331,'Member Data'!$BH$6:$BH$5331,B33,'Member Data'!$BG$6:$BG$5331,C$31&amp;C$32)</f>
        <v>2204</v>
      </c>
      <c r="D33" s="753">
        <f>SUMIFS('Member Data'!$BJ$6:$BJ$5331,'Member Data'!$BH$6:$BH$5331,B33,'Member Data'!$BG$6:$BG$5331,D$31&amp;D$32)</f>
        <v>2080</v>
      </c>
      <c r="E33" s="544" t="str">
        <f>IF(G$6="Dubai",'General Basis'!$B39,'General Basis'!$C39)</f>
        <v>0 - 10</v>
      </c>
      <c r="F33" s="753">
        <f>SUMIFS('Member Data'!$BJ$6:$BJ$5331,'Member Data'!$BH$6:$BH$5331,E33,'Member Data'!$BG$6:$BG$5331,F$31&amp;F$32)</f>
        <v>0</v>
      </c>
      <c r="G33" s="753">
        <f>SUMIFS('Member Data'!$BJ$6:$BJ$5331,'Member Data'!$BH$6:$BH$5331,E33,'Member Data'!$BG$6:$BG$5331,G$31&amp;G$32)</f>
        <v>0</v>
      </c>
      <c r="H33" s="544" t="str">
        <f>IF(J$6="Dubai",'General Basis'!$B39,'General Basis'!$C39)</f>
        <v>0 - 10</v>
      </c>
      <c r="I33" s="753">
        <f>SUMIFS('Member Data'!$BJ$6:$BJ$5331,'Member Data'!$BH$6:$BH$5331,H33,'Member Data'!$BG$6:$BG$5331,I$31&amp;I$32)</f>
        <v>0</v>
      </c>
      <c r="J33" s="753">
        <f>SUMIFS('Member Data'!$BJ$6:$BJ$5331,'Member Data'!$BH$6:$BH$5331,H33,'Member Data'!$BG$6:$BG$5331,J$31&amp;J$32)</f>
        <v>0</v>
      </c>
      <c r="K33" s="544" t="str">
        <f>IF(M$6="Dubai",'General Basis'!$B39,'General Basis'!$C39)</f>
        <v>0 - 10</v>
      </c>
      <c r="L33" s="753">
        <f>SUMIFS('Member Data'!$BJ$6:$BJ$5331,'Member Data'!$BH$6:$BH$5331,K33,'Member Data'!$BG$6:$BG$5331,L$31&amp;L$32)</f>
        <v>0</v>
      </c>
      <c r="M33" s="753">
        <f>SUMIFS('Member Data'!$BJ$6:$BJ$5331,'Member Data'!$BH$6:$BH$5331,K33,'Member Data'!$BG$6:$BG$5331,M$31&amp;M$32)</f>
        <v>0</v>
      </c>
      <c r="N33" s="544" t="str">
        <f>IF(P$6="Dubai",'General Basis'!$B39,'General Basis'!$C39)</f>
        <v>0 - 10</v>
      </c>
      <c r="O33" s="753">
        <f>SUMIFS('Member Data'!$BJ$6:$BJ$5331,'Member Data'!$BH$6:$BH$5331,N33,'Member Data'!$BG$6:$BG$5331,O$31&amp;O$32)</f>
        <v>0</v>
      </c>
      <c r="P33" s="753">
        <f>SUMIFS('Member Data'!$BJ$6:$BJ$5331,'Member Data'!$BH$6:$BH$5331,N33,'Member Data'!$BG$6:$BG$5331,P$31&amp;P$32)</f>
        <v>0</v>
      </c>
      <c r="Q33" s="544" t="str">
        <f>IF(S$6="Dubai",'General Basis'!$B39,'General Basis'!$C39)</f>
        <v>0 - 10</v>
      </c>
      <c r="R33" s="753">
        <f>SUMIFS('Member Data'!$BJ$6:$BJ$5331,'Member Data'!$BH$6:$BH$5331,Q33,'Member Data'!$BG$6:$BG$5331,R$31&amp;R$32)</f>
        <v>0</v>
      </c>
      <c r="S33" s="753">
        <f>SUMIFS('Member Data'!$BJ$6:$BJ$5331,'Member Data'!$BH$6:$BH$5331,Q33,'Member Data'!$BG$6:$BG$5331,S$31&amp;S$32)</f>
        <v>0</v>
      </c>
      <c r="T33" s="544" t="str">
        <f>IF(V$6="Dubai",'General Basis'!$B39,'General Basis'!$C39)</f>
        <v>0 - 10</v>
      </c>
      <c r="U33" s="753">
        <f>SUMIFS('Member Data'!$BJ$6:$BJ$5331,'Member Data'!$BH$6:$BH$5331,T33,'Member Data'!$BG$6:$BG$5331,U$31&amp;U$32)</f>
        <v>0</v>
      </c>
      <c r="V33" s="753">
        <f>SUMIFS('Member Data'!$BJ$6:$BJ$5331,'Member Data'!$BH$6:$BH$5331,T33,'Member Data'!$BG$6:$BG$5331,V$31&amp;V$32)</f>
        <v>0</v>
      </c>
      <c r="W33" s="544" t="str">
        <f>IF(Y$6="Dubai",'General Basis'!$B39,'General Basis'!$C39)</f>
        <v>0 - 10</v>
      </c>
      <c r="X33" s="753">
        <f>SUMIFS('Member Data'!$BJ$6:$BJ$5331,'Member Data'!$BH$6:$BH$5331,W33,'Member Data'!$BG$6:$BG$5331,X$31&amp;X$32)</f>
        <v>0</v>
      </c>
      <c r="Y33" s="753">
        <f>SUMIFS('Member Data'!$BJ$6:$BJ$5331,'Member Data'!$BH$6:$BH$5331,W33,'Member Data'!$BG$6:$BG$5331,Y$31&amp;Y$32)</f>
        <v>0</v>
      </c>
      <c r="Z33" s="688"/>
    </row>
    <row r="34" spans="1:26" x14ac:dyDescent="0.25">
      <c r="A34" s="698"/>
      <c r="B34" s="758" t="str">
        <f>IF(D$6="Dubai",'General Basis'!$B40,'General Basis'!$C40)</f>
        <v>11 - 17</v>
      </c>
      <c r="C34" s="753">
        <f>SUMIFS('Member Data'!$BJ$6:$BJ$5331,'Member Data'!$BH$6:$BH$5331,B34,'Member Data'!$BG$6:$BG$5331,C$31&amp;C$32)</f>
        <v>1041</v>
      </c>
      <c r="D34" s="753">
        <f>SUMIFS('Member Data'!$BJ$6:$BJ$5331,'Member Data'!$BH$6:$BH$5331,B34,'Member Data'!$BG$6:$BG$5331,D$31&amp;D$32)</f>
        <v>0</v>
      </c>
      <c r="E34" s="544" t="str">
        <f>IF(G$6="Dubai",'General Basis'!$B40,'General Basis'!$C40)</f>
        <v>11 - 17</v>
      </c>
      <c r="F34" s="753">
        <f>SUMIFS('Member Data'!$BJ$6:$BJ$5331,'Member Data'!$BH$6:$BH$5331,E34,'Member Data'!$BG$6:$BG$5331,F$31&amp;F$32)</f>
        <v>0</v>
      </c>
      <c r="G34" s="753">
        <f>SUMIFS('Member Data'!$BJ$6:$BJ$5331,'Member Data'!$BH$6:$BH$5331,E34,'Member Data'!$BG$6:$BG$5331,G$31&amp;G$32)</f>
        <v>0</v>
      </c>
      <c r="H34" s="544" t="str">
        <f>IF(J$6="Dubai",'General Basis'!$B40,'General Basis'!$C40)</f>
        <v>11 - 17</v>
      </c>
      <c r="I34" s="753">
        <f>SUMIFS('Member Data'!$BJ$6:$BJ$5331,'Member Data'!$BH$6:$BH$5331,H34,'Member Data'!$BG$6:$BG$5331,I$31&amp;I$32)</f>
        <v>0</v>
      </c>
      <c r="J34" s="753">
        <f>SUMIFS('Member Data'!$BJ$6:$BJ$5331,'Member Data'!$BH$6:$BH$5331,H34,'Member Data'!$BG$6:$BG$5331,J$31&amp;J$32)</f>
        <v>0</v>
      </c>
      <c r="K34" s="544" t="str">
        <f>IF(M$6="Dubai",'General Basis'!$B40,'General Basis'!$C40)</f>
        <v>11 - 17</v>
      </c>
      <c r="L34" s="753">
        <f>SUMIFS('Member Data'!$BJ$6:$BJ$5331,'Member Data'!$BH$6:$BH$5331,K34,'Member Data'!$BG$6:$BG$5331,L$31&amp;L$32)</f>
        <v>0</v>
      </c>
      <c r="M34" s="753">
        <f>SUMIFS('Member Data'!$BJ$6:$BJ$5331,'Member Data'!$BH$6:$BH$5331,K34,'Member Data'!$BG$6:$BG$5331,M$31&amp;M$32)</f>
        <v>0</v>
      </c>
      <c r="N34" s="544" t="str">
        <f>IF(P$6="Dubai",'General Basis'!$B40,'General Basis'!$C40)</f>
        <v>11 - 17</v>
      </c>
      <c r="O34" s="753">
        <f>SUMIFS('Member Data'!$BJ$6:$BJ$5331,'Member Data'!$BH$6:$BH$5331,N34,'Member Data'!$BG$6:$BG$5331,O$31&amp;O$32)</f>
        <v>0</v>
      </c>
      <c r="P34" s="753">
        <f>SUMIFS('Member Data'!$BJ$6:$BJ$5331,'Member Data'!$BH$6:$BH$5331,N34,'Member Data'!$BG$6:$BG$5331,P$31&amp;P$32)</f>
        <v>0</v>
      </c>
      <c r="Q34" s="544" t="str">
        <f>IF(S$6="Dubai",'General Basis'!$B40,'General Basis'!$C40)</f>
        <v>11 - 17</v>
      </c>
      <c r="R34" s="753">
        <f>SUMIFS('Member Data'!$BJ$6:$BJ$5331,'Member Data'!$BH$6:$BH$5331,Q34,'Member Data'!$BG$6:$BG$5331,R$31&amp;R$32)</f>
        <v>0</v>
      </c>
      <c r="S34" s="753">
        <f>SUMIFS('Member Data'!$BJ$6:$BJ$5331,'Member Data'!$BH$6:$BH$5331,Q34,'Member Data'!$BG$6:$BG$5331,S$31&amp;S$32)</f>
        <v>0</v>
      </c>
      <c r="T34" s="544" t="str">
        <f>IF(V$6="Dubai",'General Basis'!$B40,'General Basis'!$C40)</f>
        <v>11 - 17</v>
      </c>
      <c r="U34" s="753">
        <f>SUMIFS('Member Data'!$BJ$6:$BJ$5331,'Member Data'!$BH$6:$BH$5331,T34,'Member Data'!$BG$6:$BG$5331,U$31&amp;U$32)</f>
        <v>0</v>
      </c>
      <c r="V34" s="753">
        <f>SUMIFS('Member Data'!$BJ$6:$BJ$5331,'Member Data'!$BH$6:$BH$5331,T34,'Member Data'!$BG$6:$BG$5331,V$31&amp;V$32)</f>
        <v>0</v>
      </c>
      <c r="W34" s="544" t="str">
        <f>IF(Y$6="Dubai",'General Basis'!$B40,'General Basis'!$C40)</f>
        <v>11 - 17</v>
      </c>
      <c r="X34" s="753">
        <f>SUMIFS('Member Data'!$BJ$6:$BJ$5331,'Member Data'!$BH$6:$BH$5331,W34,'Member Data'!$BG$6:$BG$5331,X$31&amp;X$32)</f>
        <v>0</v>
      </c>
      <c r="Y34" s="753">
        <f>SUMIFS('Member Data'!$BJ$6:$BJ$5331,'Member Data'!$BH$6:$BH$5331,W34,'Member Data'!$BG$6:$BG$5331,Y$31&amp;Y$32)</f>
        <v>0</v>
      </c>
      <c r="Z34" s="688"/>
    </row>
    <row r="35" spans="1:26" x14ac:dyDescent="0.25">
      <c r="A35" s="698"/>
      <c r="B35" s="758" t="str">
        <f>IF(D$6="Dubai",'General Basis'!$B41,'General Basis'!$C41)</f>
        <v>18 - 25</v>
      </c>
      <c r="C35" s="753">
        <f>SUMIFS('Member Data'!$BJ$6:$BJ$5331,'Member Data'!$BH$6:$BH$5331,B35,'Member Data'!$BG$6:$BG$5331,C$31&amp;C$32)</f>
        <v>1303</v>
      </c>
      <c r="D35" s="753">
        <f>SUMIFS('Member Data'!$BJ$6:$BJ$5331,'Member Data'!$BH$6:$BH$5331,B35,'Member Data'!$BG$6:$BG$5331,D$31&amp;D$32)</f>
        <v>2544</v>
      </c>
      <c r="E35" s="544" t="str">
        <f>IF(G$6="Dubai",'General Basis'!$B41,'General Basis'!$C41)</f>
        <v>18 - 25</v>
      </c>
      <c r="F35" s="753">
        <f>SUMIFS('Member Data'!$BJ$6:$BJ$5331,'Member Data'!$BH$6:$BH$5331,E35,'Member Data'!$BG$6:$BG$5331,F$31&amp;F$32)</f>
        <v>0</v>
      </c>
      <c r="G35" s="753">
        <f>SUMIFS('Member Data'!$BJ$6:$BJ$5331,'Member Data'!$BH$6:$BH$5331,E35,'Member Data'!$BG$6:$BG$5331,G$31&amp;G$32)</f>
        <v>0</v>
      </c>
      <c r="H35" s="544" t="str">
        <f>IF(J$6="Dubai",'General Basis'!$B41,'General Basis'!$C41)</f>
        <v>18 - 25</v>
      </c>
      <c r="I35" s="753">
        <f>SUMIFS('Member Data'!$BJ$6:$BJ$5331,'Member Data'!$BH$6:$BH$5331,H35,'Member Data'!$BG$6:$BG$5331,I$31&amp;I$32)</f>
        <v>0</v>
      </c>
      <c r="J35" s="753">
        <f>SUMIFS('Member Data'!$BJ$6:$BJ$5331,'Member Data'!$BH$6:$BH$5331,H35,'Member Data'!$BG$6:$BG$5331,J$31&amp;J$32)</f>
        <v>0</v>
      </c>
      <c r="K35" s="544" t="str">
        <f>IF(M$6="Dubai",'General Basis'!$B41,'General Basis'!$C41)</f>
        <v>18 - 25</v>
      </c>
      <c r="L35" s="753">
        <f>SUMIFS('Member Data'!$BJ$6:$BJ$5331,'Member Data'!$BH$6:$BH$5331,K35,'Member Data'!$BG$6:$BG$5331,L$31&amp;L$32)</f>
        <v>0</v>
      </c>
      <c r="M35" s="753">
        <f>SUMIFS('Member Data'!$BJ$6:$BJ$5331,'Member Data'!$BH$6:$BH$5331,K35,'Member Data'!$BG$6:$BG$5331,M$31&amp;M$32)</f>
        <v>0</v>
      </c>
      <c r="N35" s="544" t="str">
        <f>IF(P$6="Dubai",'General Basis'!$B41,'General Basis'!$C41)</f>
        <v>18 - 25</v>
      </c>
      <c r="O35" s="753">
        <f>SUMIFS('Member Data'!$BJ$6:$BJ$5331,'Member Data'!$BH$6:$BH$5331,N35,'Member Data'!$BG$6:$BG$5331,O$31&amp;O$32)</f>
        <v>0</v>
      </c>
      <c r="P35" s="753">
        <f>SUMIFS('Member Data'!$BJ$6:$BJ$5331,'Member Data'!$BH$6:$BH$5331,N35,'Member Data'!$BG$6:$BG$5331,P$31&amp;P$32)</f>
        <v>0</v>
      </c>
      <c r="Q35" s="544" t="str">
        <f>IF(S$6="Dubai",'General Basis'!$B41,'General Basis'!$C41)</f>
        <v>18 - 25</v>
      </c>
      <c r="R35" s="753">
        <f>SUMIFS('Member Data'!$BJ$6:$BJ$5331,'Member Data'!$BH$6:$BH$5331,Q35,'Member Data'!$BG$6:$BG$5331,R$31&amp;R$32)</f>
        <v>0</v>
      </c>
      <c r="S35" s="753">
        <f>SUMIFS('Member Data'!$BJ$6:$BJ$5331,'Member Data'!$BH$6:$BH$5331,Q35,'Member Data'!$BG$6:$BG$5331,S$31&amp;S$32)</f>
        <v>0</v>
      </c>
      <c r="T35" s="544" t="str">
        <f>IF(V$6="Dubai",'General Basis'!$B41,'General Basis'!$C41)</f>
        <v>18 - 25</v>
      </c>
      <c r="U35" s="753">
        <f>SUMIFS('Member Data'!$BJ$6:$BJ$5331,'Member Data'!$BH$6:$BH$5331,T35,'Member Data'!$BG$6:$BG$5331,U$31&amp;U$32)</f>
        <v>0</v>
      </c>
      <c r="V35" s="753">
        <f>SUMIFS('Member Data'!$BJ$6:$BJ$5331,'Member Data'!$BH$6:$BH$5331,T35,'Member Data'!$BG$6:$BG$5331,V$31&amp;V$32)</f>
        <v>0</v>
      </c>
      <c r="W35" s="544" t="str">
        <f>IF(Y$6="Dubai",'General Basis'!$B41,'General Basis'!$C41)</f>
        <v>18 - 25</v>
      </c>
      <c r="X35" s="753">
        <f>SUMIFS('Member Data'!$BJ$6:$BJ$5331,'Member Data'!$BH$6:$BH$5331,W35,'Member Data'!$BG$6:$BG$5331,X$31&amp;X$32)</f>
        <v>0</v>
      </c>
      <c r="Y35" s="753">
        <f>SUMIFS('Member Data'!$BJ$6:$BJ$5331,'Member Data'!$BH$6:$BH$5331,W35,'Member Data'!$BG$6:$BG$5331,Y$31&amp;Y$32)</f>
        <v>0</v>
      </c>
      <c r="Z35" s="688"/>
    </row>
    <row r="36" spans="1:26" x14ac:dyDescent="0.25">
      <c r="A36" s="698"/>
      <c r="B36" s="758" t="str">
        <f>IF(D$6="Dubai",'General Basis'!$B42,'General Basis'!$C42)</f>
        <v>26 - 30</v>
      </c>
      <c r="C36" s="753">
        <f>SUMIFS('Member Data'!$BJ$6:$BJ$5331,'Member Data'!$BH$6:$BH$5331,B36,'Member Data'!$BG$6:$BG$5331,C$31&amp;C$32)</f>
        <v>0</v>
      </c>
      <c r="D36" s="753">
        <f>SUMIFS('Member Data'!$BJ$6:$BJ$5331,'Member Data'!$BH$6:$BH$5331,B36,'Member Data'!$BG$6:$BG$5331,D$31&amp;D$32)</f>
        <v>0</v>
      </c>
      <c r="E36" s="544" t="str">
        <f>IF(G$6="Dubai",'General Basis'!$B42,'General Basis'!$C42)</f>
        <v>26 - 30</v>
      </c>
      <c r="F36" s="753">
        <f>SUMIFS('Member Data'!$BJ$6:$BJ$5331,'Member Data'!$BH$6:$BH$5331,E36,'Member Data'!$BG$6:$BG$5331,F$31&amp;F$32)</f>
        <v>0</v>
      </c>
      <c r="G36" s="753">
        <f>SUMIFS('Member Data'!$BJ$6:$BJ$5331,'Member Data'!$BH$6:$BH$5331,E36,'Member Data'!$BG$6:$BG$5331,G$31&amp;G$32)</f>
        <v>0</v>
      </c>
      <c r="H36" s="544" t="str">
        <f>IF(J$6="Dubai",'General Basis'!$B42,'General Basis'!$C42)</f>
        <v>26 - 30</v>
      </c>
      <c r="I36" s="753">
        <f>SUMIFS('Member Data'!$BJ$6:$BJ$5331,'Member Data'!$BH$6:$BH$5331,H36,'Member Data'!$BG$6:$BG$5331,I$31&amp;I$32)</f>
        <v>0</v>
      </c>
      <c r="J36" s="753">
        <f>SUMIFS('Member Data'!$BJ$6:$BJ$5331,'Member Data'!$BH$6:$BH$5331,H36,'Member Data'!$BG$6:$BG$5331,J$31&amp;J$32)</f>
        <v>0</v>
      </c>
      <c r="K36" s="544" t="str">
        <f>IF(M$6="Dubai",'General Basis'!$B42,'General Basis'!$C42)</f>
        <v>26 - 30</v>
      </c>
      <c r="L36" s="753">
        <f>SUMIFS('Member Data'!$BJ$6:$BJ$5331,'Member Data'!$BH$6:$BH$5331,K36,'Member Data'!$BG$6:$BG$5331,L$31&amp;L$32)</f>
        <v>0</v>
      </c>
      <c r="M36" s="753">
        <f>SUMIFS('Member Data'!$BJ$6:$BJ$5331,'Member Data'!$BH$6:$BH$5331,K36,'Member Data'!$BG$6:$BG$5331,M$31&amp;M$32)</f>
        <v>0</v>
      </c>
      <c r="N36" s="544" t="str">
        <f>IF(P$6="Dubai",'General Basis'!$B42,'General Basis'!$C42)</f>
        <v>26 - 30</v>
      </c>
      <c r="O36" s="753">
        <f>SUMIFS('Member Data'!$BJ$6:$BJ$5331,'Member Data'!$BH$6:$BH$5331,N36,'Member Data'!$BG$6:$BG$5331,O$31&amp;O$32)</f>
        <v>0</v>
      </c>
      <c r="P36" s="753">
        <f>SUMIFS('Member Data'!$BJ$6:$BJ$5331,'Member Data'!$BH$6:$BH$5331,N36,'Member Data'!$BG$6:$BG$5331,P$31&amp;P$32)</f>
        <v>0</v>
      </c>
      <c r="Q36" s="544" t="str">
        <f>IF(S$6="Dubai",'General Basis'!$B42,'General Basis'!$C42)</f>
        <v>26 - 30</v>
      </c>
      <c r="R36" s="753">
        <f>SUMIFS('Member Data'!$BJ$6:$BJ$5331,'Member Data'!$BH$6:$BH$5331,Q36,'Member Data'!$BG$6:$BG$5331,R$31&amp;R$32)</f>
        <v>0</v>
      </c>
      <c r="S36" s="753">
        <f>SUMIFS('Member Data'!$BJ$6:$BJ$5331,'Member Data'!$BH$6:$BH$5331,Q36,'Member Data'!$BG$6:$BG$5331,S$31&amp;S$32)</f>
        <v>0</v>
      </c>
      <c r="T36" s="544" t="str">
        <f>IF(V$6="Dubai",'General Basis'!$B42,'General Basis'!$C42)</f>
        <v>26 - 30</v>
      </c>
      <c r="U36" s="753">
        <f>SUMIFS('Member Data'!$BJ$6:$BJ$5331,'Member Data'!$BH$6:$BH$5331,T36,'Member Data'!$BG$6:$BG$5331,U$31&amp;U$32)</f>
        <v>0</v>
      </c>
      <c r="V36" s="753">
        <f>SUMIFS('Member Data'!$BJ$6:$BJ$5331,'Member Data'!$BH$6:$BH$5331,T36,'Member Data'!$BG$6:$BG$5331,V$31&amp;V$32)</f>
        <v>0</v>
      </c>
      <c r="W36" s="544" t="str">
        <f>IF(Y$6="Dubai",'General Basis'!$B42,'General Basis'!$C42)</f>
        <v>26 - 30</v>
      </c>
      <c r="X36" s="753">
        <f>SUMIFS('Member Data'!$BJ$6:$BJ$5331,'Member Data'!$BH$6:$BH$5331,W36,'Member Data'!$BG$6:$BG$5331,X$31&amp;X$32)</f>
        <v>0</v>
      </c>
      <c r="Y36" s="753">
        <f>SUMIFS('Member Data'!$BJ$6:$BJ$5331,'Member Data'!$BH$6:$BH$5331,W36,'Member Data'!$BG$6:$BG$5331,Y$31&amp;Y$32)</f>
        <v>0</v>
      </c>
      <c r="Z36" s="688"/>
    </row>
    <row r="37" spans="1:26" x14ac:dyDescent="0.25">
      <c r="A37" s="698"/>
      <c r="B37" s="758" t="str">
        <f>IF(D$6="Dubai",'General Basis'!$B43,'General Basis'!$C43)</f>
        <v>31 - 35</v>
      </c>
      <c r="C37" s="753">
        <f>SUMIFS('Member Data'!$BJ$6:$BJ$5331,'Member Data'!$BH$6:$BH$5331,B37,'Member Data'!$BG$6:$BG$5331,C$31&amp;C$32)</f>
        <v>1551</v>
      </c>
      <c r="D37" s="753">
        <f>SUMIFS('Member Data'!$BJ$6:$BJ$5331,'Member Data'!$BH$6:$BH$5331,B37,'Member Data'!$BG$6:$BG$5331,D$31&amp;D$32)</f>
        <v>0</v>
      </c>
      <c r="E37" s="544" t="str">
        <f>IF(G$6="Dubai",'General Basis'!$B43,'General Basis'!$C43)</f>
        <v>31 - 35</v>
      </c>
      <c r="F37" s="753">
        <f>SUMIFS('Member Data'!$BJ$6:$BJ$5331,'Member Data'!$BH$6:$BH$5331,E37,'Member Data'!$BG$6:$BG$5331,F$31&amp;F$32)</f>
        <v>0</v>
      </c>
      <c r="G37" s="753">
        <f>SUMIFS('Member Data'!$BJ$6:$BJ$5331,'Member Data'!$BH$6:$BH$5331,E37,'Member Data'!$BG$6:$BG$5331,G$31&amp;G$32)</f>
        <v>0</v>
      </c>
      <c r="H37" s="544" t="str">
        <f>IF(J$6="Dubai",'General Basis'!$B43,'General Basis'!$C43)</f>
        <v>31 - 35</v>
      </c>
      <c r="I37" s="753">
        <f>SUMIFS('Member Data'!$BJ$6:$BJ$5331,'Member Data'!$BH$6:$BH$5331,H37,'Member Data'!$BG$6:$BG$5331,I$31&amp;I$32)</f>
        <v>0</v>
      </c>
      <c r="J37" s="753">
        <f>SUMIFS('Member Data'!$BJ$6:$BJ$5331,'Member Data'!$BH$6:$BH$5331,H37,'Member Data'!$BG$6:$BG$5331,J$31&amp;J$32)</f>
        <v>0</v>
      </c>
      <c r="K37" s="544" t="str">
        <f>IF(M$6="Dubai",'General Basis'!$B43,'General Basis'!$C43)</f>
        <v>31 - 35</v>
      </c>
      <c r="L37" s="753">
        <f>SUMIFS('Member Data'!$BJ$6:$BJ$5331,'Member Data'!$BH$6:$BH$5331,K37,'Member Data'!$BG$6:$BG$5331,L$31&amp;L$32)</f>
        <v>0</v>
      </c>
      <c r="M37" s="753">
        <f>SUMIFS('Member Data'!$BJ$6:$BJ$5331,'Member Data'!$BH$6:$BH$5331,K37,'Member Data'!$BG$6:$BG$5331,M$31&amp;M$32)</f>
        <v>0</v>
      </c>
      <c r="N37" s="544" t="str">
        <f>IF(P$6="Dubai",'General Basis'!$B43,'General Basis'!$C43)</f>
        <v>31 - 35</v>
      </c>
      <c r="O37" s="753">
        <f>SUMIFS('Member Data'!$BJ$6:$BJ$5331,'Member Data'!$BH$6:$BH$5331,N37,'Member Data'!$BG$6:$BG$5331,O$31&amp;O$32)</f>
        <v>0</v>
      </c>
      <c r="P37" s="753">
        <f>SUMIFS('Member Data'!$BJ$6:$BJ$5331,'Member Data'!$BH$6:$BH$5331,N37,'Member Data'!$BG$6:$BG$5331,P$31&amp;P$32)</f>
        <v>0</v>
      </c>
      <c r="Q37" s="544" t="str">
        <f>IF(S$6="Dubai",'General Basis'!$B43,'General Basis'!$C43)</f>
        <v>31 - 35</v>
      </c>
      <c r="R37" s="753">
        <f>SUMIFS('Member Data'!$BJ$6:$BJ$5331,'Member Data'!$BH$6:$BH$5331,Q37,'Member Data'!$BG$6:$BG$5331,R$31&amp;R$32)</f>
        <v>0</v>
      </c>
      <c r="S37" s="753">
        <f>SUMIFS('Member Data'!$BJ$6:$BJ$5331,'Member Data'!$BH$6:$BH$5331,Q37,'Member Data'!$BG$6:$BG$5331,S$31&amp;S$32)</f>
        <v>0</v>
      </c>
      <c r="T37" s="544" t="str">
        <f>IF(V$6="Dubai",'General Basis'!$B43,'General Basis'!$C43)</f>
        <v>31 - 35</v>
      </c>
      <c r="U37" s="753">
        <f>SUMIFS('Member Data'!$BJ$6:$BJ$5331,'Member Data'!$BH$6:$BH$5331,T37,'Member Data'!$BG$6:$BG$5331,U$31&amp;U$32)</f>
        <v>0</v>
      </c>
      <c r="V37" s="753">
        <f>SUMIFS('Member Data'!$BJ$6:$BJ$5331,'Member Data'!$BH$6:$BH$5331,T37,'Member Data'!$BG$6:$BG$5331,V$31&amp;V$32)</f>
        <v>0</v>
      </c>
      <c r="W37" s="544" t="str">
        <f>IF(Y$6="Dubai",'General Basis'!$B43,'General Basis'!$C43)</f>
        <v>31 - 35</v>
      </c>
      <c r="X37" s="753">
        <f>SUMIFS('Member Data'!$BJ$6:$BJ$5331,'Member Data'!$BH$6:$BH$5331,W37,'Member Data'!$BG$6:$BG$5331,X$31&amp;X$32)</f>
        <v>0</v>
      </c>
      <c r="Y37" s="753">
        <f>SUMIFS('Member Data'!$BJ$6:$BJ$5331,'Member Data'!$BH$6:$BH$5331,W37,'Member Data'!$BG$6:$BG$5331,Y$31&amp;Y$32)</f>
        <v>0</v>
      </c>
      <c r="Z37" s="688"/>
    </row>
    <row r="38" spans="1:26" x14ac:dyDescent="0.25">
      <c r="A38" s="698"/>
      <c r="B38" s="758" t="str">
        <f>IF(D$6="Dubai",'General Basis'!$B44,'General Basis'!$C44)</f>
        <v>36 - 40</v>
      </c>
      <c r="C38" s="753">
        <f>SUMIFS('Member Data'!$BJ$6:$BJ$5331,'Member Data'!$BH$6:$BH$5331,B38,'Member Data'!$BG$6:$BG$5331,C$31&amp;C$32)</f>
        <v>0</v>
      </c>
      <c r="D38" s="753">
        <f>SUMIFS('Member Data'!$BJ$6:$BJ$5331,'Member Data'!$BH$6:$BH$5331,B38,'Member Data'!$BG$6:$BG$5331,D$31&amp;D$32)</f>
        <v>0</v>
      </c>
      <c r="E38" s="544" t="str">
        <f>IF(G$6="Dubai",'General Basis'!$B44,'General Basis'!$C44)</f>
        <v>36 - 40</v>
      </c>
      <c r="F38" s="753">
        <f>SUMIFS('Member Data'!$BJ$6:$BJ$5331,'Member Data'!$BH$6:$BH$5331,E38,'Member Data'!$BG$6:$BG$5331,F$31&amp;F$32)</f>
        <v>0</v>
      </c>
      <c r="G38" s="753">
        <f>SUMIFS('Member Data'!$BJ$6:$BJ$5331,'Member Data'!$BH$6:$BH$5331,E38,'Member Data'!$BG$6:$BG$5331,G$31&amp;G$32)</f>
        <v>0</v>
      </c>
      <c r="H38" s="544" t="str">
        <f>IF(J$6="Dubai",'General Basis'!$B44,'General Basis'!$C44)</f>
        <v>36 - 40</v>
      </c>
      <c r="I38" s="753">
        <f>SUMIFS('Member Data'!$BJ$6:$BJ$5331,'Member Data'!$BH$6:$BH$5331,H38,'Member Data'!$BG$6:$BG$5331,I$31&amp;I$32)</f>
        <v>0</v>
      </c>
      <c r="J38" s="753">
        <f>SUMIFS('Member Data'!$BJ$6:$BJ$5331,'Member Data'!$BH$6:$BH$5331,H38,'Member Data'!$BG$6:$BG$5331,J$31&amp;J$32)</f>
        <v>0</v>
      </c>
      <c r="K38" s="544" t="str">
        <f>IF(M$6="Dubai",'General Basis'!$B44,'General Basis'!$C44)</f>
        <v>36 - 40</v>
      </c>
      <c r="L38" s="753">
        <f>SUMIFS('Member Data'!$BJ$6:$BJ$5331,'Member Data'!$BH$6:$BH$5331,K38,'Member Data'!$BG$6:$BG$5331,L$31&amp;L$32)</f>
        <v>0</v>
      </c>
      <c r="M38" s="753">
        <f>SUMIFS('Member Data'!$BJ$6:$BJ$5331,'Member Data'!$BH$6:$BH$5331,K38,'Member Data'!$BG$6:$BG$5331,M$31&amp;M$32)</f>
        <v>0</v>
      </c>
      <c r="N38" s="544" t="str">
        <f>IF(P$6="Dubai",'General Basis'!$B44,'General Basis'!$C44)</f>
        <v>36 - 40</v>
      </c>
      <c r="O38" s="753">
        <f>SUMIFS('Member Data'!$BJ$6:$BJ$5331,'Member Data'!$BH$6:$BH$5331,N38,'Member Data'!$BG$6:$BG$5331,O$31&amp;O$32)</f>
        <v>0</v>
      </c>
      <c r="P38" s="753">
        <f>SUMIFS('Member Data'!$BJ$6:$BJ$5331,'Member Data'!$BH$6:$BH$5331,N38,'Member Data'!$BG$6:$BG$5331,P$31&amp;P$32)</f>
        <v>0</v>
      </c>
      <c r="Q38" s="544" t="str">
        <f>IF(S$6="Dubai",'General Basis'!$B44,'General Basis'!$C44)</f>
        <v>36 - 40</v>
      </c>
      <c r="R38" s="753">
        <f>SUMIFS('Member Data'!$BJ$6:$BJ$5331,'Member Data'!$BH$6:$BH$5331,Q38,'Member Data'!$BG$6:$BG$5331,R$31&amp;R$32)</f>
        <v>0</v>
      </c>
      <c r="S38" s="753">
        <f>SUMIFS('Member Data'!$BJ$6:$BJ$5331,'Member Data'!$BH$6:$BH$5331,Q38,'Member Data'!$BG$6:$BG$5331,S$31&amp;S$32)</f>
        <v>0</v>
      </c>
      <c r="T38" s="544" t="str">
        <f>IF(V$6="Dubai",'General Basis'!$B44,'General Basis'!$C44)</f>
        <v>36 - 40</v>
      </c>
      <c r="U38" s="753">
        <f>SUMIFS('Member Data'!$BJ$6:$BJ$5331,'Member Data'!$BH$6:$BH$5331,T38,'Member Data'!$BG$6:$BG$5331,U$31&amp;U$32)</f>
        <v>0</v>
      </c>
      <c r="V38" s="753">
        <f>SUMIFS('Member Data'!$BJ$6:$BJ$5331,'Member Data'!$BH$6:$BH$5331,T38,'Member Data'!$BG$6:$BG$5331,V$31&amp;V$32)</f>
        <v>0</v>
      </c>
      <c r="W38" s="544" t="str">
        <f>IF(Y$6="Dubai",'General Basis'!$B44,'General Basis'!$C44)</f>
        <v>36 - 40</v>
      </c>
      <c r="X38" s="753">
        <f>SUMIFS('Member Data'!$BJ$6:$BJ$5331,'Member Data'!$BH$6:$BH$5331,W38,'Member Data'!$BG$6:$BG$5331,X$31&amp;X$32)</f>
        <v>0</v>
      </c>
      <c r="Y38" s="753">
        <f>SUMIFS('Member Data'!$BJ$6:$BJ$5331,'Member Data'!$BH$6:$BH$5331,W38,'Member Data'!$BG$6:$BG$5331,Y$31&amp;Y$32)</f>
        <v>0</v>
      </c>
      <c r="Z38" s="688"/>
    </row>
    <row r="39" spans="1:26" x14ac:dyDescent="0.25">
      <c r="A39" s="698"/>
      <c r="B39" s="758" t="str">
        <f>IF(D$6="Dubai",'General Basis'!$B45,'General Basis'!$C45)</f>
        <v>41 - 45</v>
      </c>
      <c r="C39" s="753">
        <f>SUMIFS('Member Data'!$BJ$6:$BJ$5331,'Member Data'!$BH$6:$BH$5331,B39,'Member Data'!$BG$6:$BG$5331,C$31&amp;C$32)</f>
        <v>0</v>
      </c>
      <c r="D39" s="753">
        <f>SUMIFS('Member Data'!$BJ$6:$BJ$5331,'Member Data'!$BH$6:$BH$5331,B39,'Member Data'!$BG$6:$BG$5331,D$31&amp;D$32)</f>
        <v>0</v>
      </c>
      <c r="E39" s="544" t="str">
        <f>IF(G$6="Dubai",'General Basis'!$B45,'General Basis'!$C45)</f>
        <v>41 - 45</v>
      </c>
      <c r="F39" s="753">
        <f>SUMIFS('Member Data'!$BJ$6:$BJ$5331,'Member Data'!$BH$6:$BH$5331,E39,'Member Data'!$BG$6:$BG$5331,F$31&amp;F$32)</f>
        <v>0</v>
      </c>
      <c r="G39" s="753">
        <f>SUMIFS('Member Data'!$BJ$6:$BJ$5331,'Member Data'!$BH$6:$BH$5331,E39,'Member Data'!$BG$6:$BG$5331,G$31&amp;G$32)</f>
        <v>0</v>
      </c>
      <c r="H39" s="544" t="str">
        <f>IF(J$6="Dubai",'General Basis'!$B45,'General Basis'!$C45)</f>
        <v>41 - 45</v>
      </c>
      <c r="I39" s="753">
        <f>SUMIFS('Member Data'!$BJ$6:$BJ$5331,'Member Data'!$BH$6:$BH$5331,H39,'Member Data'!$BG$6:$BG$5331,I$31&amp;I$32)</f>
        <v>0</v>
      </c>
      <c r="J39" s="753">
        <f>SUMIFS('Member Data'!$BJ$6:$BJ$5331,'Member Data'!$BH$6:$BH$5331,H39,'Member Data'!$BG$6:$BG$5331,J$31&amp;J$32)</f>
        <v>0</v>
      </c>
      <c r="K39" s="544" t="str">
        <f>IF(M$6="Dubai",'General Basis'!$B45,'General Basis'!$C45)</f>
        <v>41 - 45</v>
      </c>
      <c r="L39" s="753">
        <f>SUMIFS('Member Data'!$BJ$6:$BJ$5331,'Member Data'!$BH$6:$BH$5331,K39,'Member Data'!$BG$6:$BG$5331,L$31&amp;L$32)</f>
        <v>0</v>
      </c>
      <c r="M39" s="753">
        <f>SUMIFS('Member Data'!$BJ$6:$BJ$5331,'Member Data'!$BH$6:$BH$5331,K39,'Member Data'!$BG$6:$BG$5331,M$31&amp;M$32)</f>
        <v>0</v>
      </c>
      <c r="N39" s="544" t="str">
        <f>IF(P$6="Dubai",'General Basis'!$B45,'General Basis'!$C45)</f>
        <v>41 - 45</v>
      </c>
      <c r="O39" s="753">
        <f>SUMIFS('Member Data'!$BJ$6:$BJ$5331,'Member Data'!$BH$6:$BH$5331,N39,'Member Data'!$BG$6:$BG$5331,O$31&amp;O$32)</f>
        <v>0</v>
      </c>
      <c r="P39" s="753">
        <f>SUMIFS('Member Data'!$BJ$6:$BJ$5331,'Member Data'!$BH$6:$BH$5331,N39,'Member Data'!$BG$6:$BG$5331,P$31&amp;P$32)</f>
        <v>0</v>
      </c>
      <c r="Q39" s="544" t="str">
        <f>IF(S$6="Dubai",'General Basis'!$B45,'General Basis'!$C45)</f>
        <v>41 - 45</v>
      </c>
      <c r="R39" s="753">
        <f>SUMIFS('Member Data'!$BJ$6:$BJ$5331,'Member Data'!$BH$6:$BH$5331,Q39,'Member Data'!$BG$6:$BG$5331,R$31&amp;R$32)</f>
        <v>0</v>
      </c>
      <c r="S39" s="753">
        <f>SUMIFS('Member Data'!$BJ$6:$BJ$5331,'Member Data'!$BH$6:$BH$5331,Q39,'Member Data'!$BG$6:$BG$5331,S$31&amp;S$32)</f>
        <v>0</v>
      </c>
      <c r="T39" s="544" t="str">
        <f>IF(V$6="Dubai",'General Basis'!$B45,'General Basis'!$C45)</f>
        <v>41 - 45</v>
      </c>
      <c r="U39" s="753">
        <f>SUMIFS('Member Data'!$BJ$6:$BJ$5331,'Member Data'!$BH$6:$BH$5331,T39,'Member Data'!$BG$6:$BG$5331,U$31&amp;U$32)</f>
        <v>0</v>
      </c>
      <c r="V39" s="753">
        <f>SUMIFS('Member Data'!$BJ$6:$BJ$5331,'Member Data'!$BH$6:$BH$5331,T39,'Member Data'!$BG$6:$BG$5331,V$31&amp;V$32)</f>
        <v>0</v>
      </c>
      <c r="W39" s="544" t="str">
        <f>IF(Y$6="Dubai",'General Basis'!$B45,'General Basis'!$C45)</f>
        <v>41 - 45</v>
      </c>
      <c r="X39" s="753">
        <f>SUMIFS('Member Data'!$BJ$6:$BJ$5331,'Member Data'!$BH$6:$BH$5331,W39,'Member Data'!$BG$6:$BG$5331,X$31&amp;X$32)</f>
        <v>0</v>
      </c>
      <c r="Y39" s="753">
        <f>SUMIFS('Member Data'!$BJ$6:$BJ$5331,'Member Data'!$BH$6:$BH$5331,W39,'Member Data'!$BG$6:$BG$5331,Y$31&amp;Y$32)</f>
        <v>0</v>
      </c>
      <c r="Z39" s="688"/>
    </row>
    <row r="40" spans="1:26" x14ac:dyDescent="0.25">
      <c r="A40" s="698"/>
      <c r="B40" s="758" t="str">
        <f>IF(D$6="Dubai",'General Basis'!$B46,'General Basis'!$C46)</f>
        <v>46 - 50</v>
      </c>
      <c r="C40" s="753">
        <f>SUMIFS('Member Data'!$BJ$6:$BJ$5331,'Member Data'!$BH$6:$BH$5331,B40,'Member Data'!$BG$6:$BG$5331,C$31&amp;C$32)</f>
        <v>2939</v>
      </c>
      <c r="D40" s="753">
        <f>SUMIFS('Member Data'!$BJ$6:$BJ$5331,'Member Data'!$BH$6:$BH$5331,B40,'Member Data'!$BG$6:$BG$5331,D$31&amp;D$32)</f>
        <v>7582</v>
      </c>
      <c r="E40" s="544" t="str">
        <f>IF(G$6="Dubai",'General Basis'!$B46,'General Basis'!$C46)</f>
        <v>46 - 50</v>
      </c>
      <c r="F40" s="753">
        <f>SUMIFS('Member Data'!$BJ$6:$BJ$5331,'Member Data'!$BH$6:$BH$5331,E40,'Member Data'!$BG$6:$BG$5331,F$31&amp;F$32)</f>
        <v>0</v>
      </c>
      <c r="G40" s="753">
        <f>SUMIFS('Member Data'!$BJ$6:$BJ$5331,'Member Data'!$BH$6:$BH$5331,E40,'Member Data'!$BG$6:$BG$5331,G$31&amp;G$32)</f>
        <v>0</v>
      </c>
      <c r="H40" s="544" t="str">
        <f>IF(J$6="Dubai",'General Basis'!$B46,'General Basis'!$C46)</f>
        <v>46 - 50</v>
      </c>
      <c r="I40" s="753">
        <f>SUMIFS('Member Data'!$BJ$6:$BJ$5331,'Member Data'!$BH$6:$BH$5331,H40,'Member Data'!$BG$6:$BG$5331,I$31&amp;I$32)</f>
        <v>0</v>
      </c>
      <c r="J40" s="753">
        <f>SUMIFS('Member Data'!$BJ$6:$BJ$5331,'Member Data'!$BH$6:$BH$5331,H40,'Member Data'!$BG$6:$BG$5331,J$31&amp;J$32)</f>
        <v>0</v>
      </c>
      <c r="K40" s="544" t="str">
        <f>IF(M$6="Dubai",'General Basis'!$B46,'General Basis'!$C46)</f>
        <v>46 - 50</v>
      </c>
      <c r="L40" s="753">
        <f>SUMIFS('Member Data'!$BJ$6:$BJ$5331,'Member Data'!$BH$6:$BH$5331,K40,'Member Data'!$BG$6:$BG$5331,L$31&amp;L$32)</f>
        <v>0</v>
      </c>
      <c r="M40" s="753">
        <f>SUMIFS('Member Data'!$BJ$6:$BJ$5331,'Member Data'!$BH$6:$BH$5331,K40,'Member Data'!$BG$6:$BG$5331,M$31&amp;M$32)</f>
        <v>0</v>
      </c>
      <c r="N40" s="544" t="str">
        <f>IF(P$6="Dubai",'General Basis'!$B46,'General Basis'!$C46)</f>
        <v>46 - 50</v>
      </c>
      <c r="O40" s="753">
        <f>SUMIFS('Member Data'!$BJ$6:$BJ$5331,'Member Data'!$BH$6:$BH$5331,N40,'Member Data'!$BG$6:$BG$5331,O$31&amp;O$32)</f>
        <v>0</v>
      </c>
      <c r="P40" s="753">
        <f>SUMIFS('Member Data'!$BJ$6:$BJ$5331,'Member Data'!$BH$6:$BH$5331,N40,'Member Data'!$BG$6:$BG$5331,P$31&amp;P$32)</f>
        <v>0</v>
      </c>
      <c r="Q40" s="544" t="str">
        <f>IF(S$6="Dubai",'General Basis'!$B46,'General Basis'!$C46)</f>
        <v>46 - 50</v>
      </c>
      <c r="R40" s="753">
        <f>SUMIFS('Member Data'!$BJ$6:$BJ$5331,'Member Data'!$BH$6:$BH$5331,Q40,'Member Data'!$BG$6:$BG$5331,R$31&amp;R$32)</f>
        <v>0</v>
      </c>
      <c r="S40" s="753">
        <f>SUMIFS('Member Data'!$BJ$6:$BJ$5331,'Member Data'!$BH$6:$BH$5331,Q40,'Member Data'!$BG$6:$BG$5331,S$31&amp;S$32)</f>
        <v>0</v>
      </c>
      <c r="T40" s="544" t="str">
        <f>IF(V$6="Dubai",'General Basis'!$B46,'General Basis'!$C46)</f>
        <v>46 - 50</v>
      </c>
      <c r="U40" s="753">
        <f>SUMIFS('Member Data'!$BJ$6:$BJ$5331,'Member Data'!$BH$6:$BH$5331,T40,'Member Data'!$BG$6:$BG$5331,U$31&amp;U$32)</f>
        <v>0</v>
      </c>
      <c r="V40" s="753">
        <f>SUMIFS('Member Data'!$BJ$6:$BJ$5331,'Member Data'!$BH$6:$BH$5331,T40,'Member Data'!$BG$6:$BG$5331,V$31&amp;V$32)</f>
        <v>0</v>
      </c>
      <c r="W40" s="544" t="str">
        <f>IF(Y$6="Dubai",'General Basis'!$B46,'General Basis'!$C46)</f>
        <v>46 - 50</v>
      </c>
      <c r="X40" s="753">
        <f>SUMIFS('Member Data'!$BJ$6:$BJ$5331,'Member Data'!$BH$6:$BH$5331,W40,'Member Data'!$BG$6:$BG$5331,X$31&amp;X$32)</f>
        <v>0</v>
      </c>
      <c r="Y40" s="753">
        <f>SUMIFS('Member Data'!$BJ$6:$BJ$5331,'Member Data'!$BH$6:$BH$5331,W40,'Member Data'!$BG$6:$BG$5331,Y$31&amp;Y$32)</f>
        <v>0</v>
      </c>
      <c r="Z40" s="688"/>
    </row>
    <row r="41" spans="1:26" x14ac:dyDescent="0.25">
      <c r="A41" s="698"/>
      <c r="B41" s="758" t="str">
        <f>IF(D$6="Dubai",'General Basis'!$B47,'General Basis'!$C47)</f>
        <v>51 - 55</v>
      </c>
      <c r="C41" s="753">
        <f>SUMIFS('Member Data'!$BJ$6:$BJ$5331,'Member Data'!$BH$6:$BH$5331,B41,'Member Data'!$BG$6:$BG$5331,C$31&amp;C$32)</f>
        <v>3939</v>
      </c>
      <c r="D41" s="753">
        <f>SUMIFS('Member Data'!$BJ$6:$BJ$5331,'Member Data'!$BH$6:$BH$5331,B41,'Member Data'!$BG$6:$BG$5331,D$31&amp;D$32)</f>
        <v>0</v>
      </c>
      <c r="E41" s="544" t="str">
        <f>IF(G$6="Dubai",'General Basis'!$B47,'General Basis'!$C47)</f>
        <v>51 - 55</v>
      </c>
      <c r="F41" s="753">
        <f>SUMIFS('Member Data'!$BJ$6:$BJ$5331,'Member Data'!$BH$6:$BH$5331,E41,'Member Data'!$BG$6:$BG$5331,F$31&amp;F$32)</f>
        <v>0</v>
      </c>
      <c r="G41" s="753">
        <f>SUMIFS('Member Data'!$BJ$6:$BJ$5331,'Member Data'!$BH$6:$BH$5331,E41,'Member Data'!$BG$6:$BG$5331,G$31&amp;G$32)</f>
        <v>0</v>
      </c>
      <c r="H41" s="544" t="str">
        <f>IF(J$6="Dubai",'General Basis'!$B47,'General Basis'!$C47)</f>
        <v>51 - 55</v>
      </c>
      <c r="I41" s="753">
        <f>SUMIFS('Member Data'!$BJ$6:$BJ$5331,'Member Data'!$BH$6:$BH$5331,H41,'Member Data'!$BG$6:$BG$5331,I$31&amp;I$32)</f>
        <v>0</v>
      </c>
      <c r="J41" s="753">
        <f>SUMIFS('Member Data'!$BJ$6:$BJ$5331,'Member Data'!$BH$6:$BH$5331,H41,'Member Data'!$BG$6:$BG$5331,J$31&amp;J$32)</f>
        <v>0</v>
      </c>
      <c r="K41" s="544" t="str">
        <f>IF(M$6="Dubai",'General Basis'!$B47,'General Basis'!$C47)</f>
        <v>51 - 55</v>
      </c>
      <c r="L41" s="753">
        <f>SUMIFS('Member Data'!$BJ$6:$BJ$5331,'Member Data'!$BH$6:$BH$5331,K41,'Member Data'!$BG$6:$BG$5331,L$31&amp;L$32)</f>
        <v>0</v>
      </c>
      <c r="M41" s="753">
        <f>SUMIFS('Member Data'!$BJ$6:$BJ$5331,'Member Data'!$BH$6:$BH$5331,K41,'Member Data'!$BG$6:$BG$5331,M$31&amp;M$32)</f>
        <v>0</v>
      </c>
      <c r="N41" s="544" t="str">
        <f>IF(P$6="Dubai",'General Basis'!$B47,'General Basis'!$C47)</f>
        <v>51 - 55</v>
      </c>
      <c r="O41" s="753">
        <f>SUMIFS('Member Data'!$BJ$6:$BJ$5331,'Member Data'!$BH$6:$BH$5331,N41,'Member Data'!$BG$6:$BG$5331,O$31&amp;O$32)</f>
        <v>0</v>
      </c>
      <c r="P41" s="753">
        <f>SUMIFS('Member Data'!$BJ$6:$BJ$5331,'Member Data'!$BH$6:$BH$5331,N41,'Member Data'!$BG$6:$BG$5331,P$31&amp;P$32)</f>
        <v>0</v>
      </c>
      <c r="Q41" s="544" t="str">
        <f>IF(S$6="Dubai",'General Basis'!$B47,'General Basis'!$C47)</f>
        <v>51 - 55</v>
      </c>
      <c r="R41" s="753">
        <f>SUMIFS('Member Data'!$BJ$6:$BJ$5331,'Member Data'!$BH$6:$BH$5331,Q41,'Member Data'!$BG$6:$BG$5331,R$31&amp;R$32)</f>
        <v>0</v>
      </c>
      <c r="S41" s="753">
        <f>SUMIFS('Member Data'!$BJ$6:$BJ$5331,'Member Data'!$BH$6:$BH$5331,Q41,'Member Data'!$BG$6:$BG$5331,S$31&amp;S$32)</f>
        <v>0</v>
      </c>
      <c r="T41" s="544" t="str">
        <f>IF(V$6="Dubai",'General Basis'!$B47,'General Basis'!$C47)</f>
        <v>51 - 55</v>
      </c>
      <c r="U41" s="753">
        <f>SUMIFS('Member Data'!$BJ$6:$BJ$5331,'Member Data'!$BH$6:$BH$5331,T41,'Member Data'!$BG$6:$BG$5331,U$31&amp;U$32)</f>
        <v>0</v>
      </c>
      <c r="V41" s="753">
        <f>SUMIFS('Member Data'!$BJ$6:$BJ$5331,'Member Data'!$BH$6:$BH$5331,T41,'Member Data'!$BG$6:$BG$5331,V$31&amp;V$32)</f>
        <v>0</v>
      </c>
      <c r="W41" s="544" t="str">
        <f>IF(Y$6="Dubai",'General Basis'!$B47,'General Basis'!$C47)</f>
        <v>51 - 55</v>
      </c>
      <c r="X41" s="753">
        <f>SUMIFS('Member Data'!$BJ$6:$BJ$5331,'Member Data'!$BH$6:$BH$5331,W41,'Member Data'!$BG$6:$BG$5331,X$31&amp;X$32)</f>
        <v>0</v>
      </c>
      <c r="Y41" s="753">
        <f>SUMIFS('Member Data'!$BJ$6:$BJ$5331,'Member Data'!$BH$6:$BH$5331,W41,'Member Data'!$BG$6:$BG$5331,Y$31&amp;Y$32)</f>
        <v>0</v>
      </c>
      <c r="Z41" s="688"/>
    </row>
    <row r="42" spans="1:26" x14ac:dyDescent="0.25">
      <c r="A42" s="698"/>
      <c r="B42" s="758" t="str">
        <f>IF(D$6="Dubai",'General Basis'!$B48,'General Basis'!$C48)</f>
        <v>56 - 59</v>
      </c>
      <c r="C42" s="753">
        <f>SUMIFS('Member Data'!$BJ$6:$BJ$5331,'Member Data'!$BH$6:$BH$5331,B42,'Member Data'!$BG$6:$BG$5331,C$31&amp;C$32)</f>
        <v>0</v>
      </c>
      <c r="D42" s="753">
        <f>SUMIFS('Member Data'!$BJ$6:$BJ$5331,'Member Data'!$BH$6:$BH$5331,B42,'Member Data'!$BG$6:$BG$5331,D$31&amp;D$32)</f>
        <v>0</v>
      </c>
      <c r="E42" s="544" t="str">
        <f>IF(G$6="Dubai",'General Basis'!$B48,'General Basis'!$C48)</f>
        <v>56 - 59</v>
      </c>
      <c r="F42" s="753">
        <f>SUMIFS('Member Data'!$BJ$6:$BJ$5331,'Member Data'!$BH$6:$BH$5331,E42,'Member Data'!$BG$6:$BG$5331,F$31&amp;F$32)</f>
        <v>0</v>
      </c>
      <c r="G42" s="753">
        <f>SUMIFS('Member Data'!$BJ$6:$BJ$5331,'Member Data'!$BH$6:$BH$5331,E42,'Member Data'!$BG$6:$BG$5331,G$31&amp;G$32)</f>
        <v>0</v>
      </c>
      <c r="H42" s="544" t="str">
        <f>IF(J$6="Dubai",'General Basis'!$B48,'General Basis'!$C48)</f>
        <v>56 - 59</v>
      </c>
      <c r="I42" s="753">
        <f>SUMIFS('Member Data'!$BJ$6:$BJ$5331,'Member Data'!$BH$6:$BH$5331,H42,'Member Data'!$BG$6:$BG$5331,I$31&amp;I$32)</f>
        <v>0</v>
      </c>
      <c r="J42" s="753">
        <f>SUMIFS('Member Data'!$BJ$6:$BJ$5331,'Member Data'!$BH$6:$BH$5331,H42,'Member Data'!$BG$6:$BG$5331,J$31&amp;J$32)</f>
        <v>0</v>
      </c>
      <c r="K42" s="544" t="str">
        <f>IF(M$6="Dubai",'General Basis'!$B48,'General Basis'!$C48)</f>
        <v>56 - 59</v>
      </c>
      <c r="L42" s="753">
        <f>SUMIFS('Member Data'!$BJ$6:$BJ$5331,'Member Data'!$BH$6:$BH$5331,K42,'Member Data'!$BG$6:$BG$5331,L$31&amp;L$32)</f>
        <v>0</v>
      </c>
      <c r="M42" s="753">
        <f>SUMIFS('Member Data'!$BJ$6:$BJ$5331,'Member Data'!$BH$6:$BH$5331,K42,'Member Data'!$BG$6:$BG$5331,M$31&amp;M$32)</f>
        <v>0</v>
      </c>
      <c r="N42" s="544" t="str">
        <f>IF(P$6="Dubai",'General Basis'!$B48,'General Basis'!$C48)</f>
        <v>56 - 59</v>
      </c>
      <c r="O42" s="753">
        <f>SUMIFS('Member Data'!$BJ$6:$BJ$5331,'Member Data'!$BH$6:$BH$5331,N42,'Member Data'!$BG$6:$BG$5331,O$31&amp;O$32)</f>
        <v>0</v>
      </c>
      <c r="P42" s="753">
        <f>SUMIFS('Member Data'!$BJ$6:$BJ$5331,'Member Data'!$BH$6:$BH$5331,N42,'Member Data'!$BG$6:$BG$5331,P$31&amp;P$32)</f>
        <v>0</v>
      </c>
      <c r="Q42" s="544" t="str">
        <f>IF(S$6="Dubai",'General Basis'!$B48,'General Basis'!$C48)</f>
        <v>56 - 59</v>
      </c>
      <c r="R42" s="753">
        <f>SUMIFS('Member Data'!$BJ$6:$BJ$5331,'Member Data'!$BH$6:$BH$5331,Q42,'Member Data'!$BG$6:$BG$5331,R$31&amp;R$32)</f>
        <v>0</v>
      </c>
      <c r="S42" s="753">
        <f>SUMIFS('Member Data'!$BJ$6:$BJ$5331,'Member Data'!$BH$6:$BH$5331,Q42,'Member Data'!$BG$6:$BG$5331,S$31&amp;S$32)</f>
        <v>0</v>
      </c>
      <c r="T42" s="544" t="str">
        <f>IF(V$6="Dubai",'General Basis'!$B48,'General Basis'!$C48)</f>
        <v>56 - 59</v>
      </c>
      <c r="U42" s="753">
        <f>SUMIFS('Member Data'!$BJ$6:$BJ$5331,'Member Data'!$BH$6:$BH$5331,T42,'Member Data'!$BG$6:$BG$5331,U$31&amp;U$32)</f>
        <v>0</v>
      </c>
      <c r="V42" s="753">
        <f>SUMIFS('Member Data'!$BJ$6:$BJ$5331,'Member Data'!$BH$6:$BH$5331,T42,'Member Data'!$BG$6:$BG$5331,V$31&amp;V$32)</f>
        <v>0</v>
      </c>
      <c r="W42" s="544" t="str">
        <f>IF(Y$6="Dubai",'General Basis'!$B48,'General Basis'!$C48)</f>
        <v>56 - 59</v>
      </c>
      <c r="X42" s="753">
        <f>SUMIFS('Member Data'!$BJ$6:$BJ$5331,'Member Data'!$BH$6:$BH$5331,W42,'Member Data'!$BG$6:$BG$5331,X$31&amp;X$32)</f>
        <v>0</v>
      </c>
      <c r="Y42" s="753">
        <f>SUMIFS('Member Data'!$BJ$6:$BJ$5331,'Member Data'!$BH$6:$BH$5331,W42,'Member Data'!$BG$6:$BG$5331,Y$31&amp;Y$32)</f>
        <v>0</v>
      </c>
      <c r="Z42" s="688"/>
    </row>
    <row r="43" spans="1:26" x14ac:dyDescent="0.25">
      <c r="A43" s="698"/>
      <c r="B43" s="758" t="str">
        <f>IF(D$6="Dubai",'General Basis'!$B49,'General Basis'!$C49)</f>
        <v>60 - 64</v>
      </c>
      <c r="C43" s="753">
        <f>SUMIFS('Member Data'!$BJ$6:$BJ$5331,'Member Data'!$BH$6:$BH$5331,B43,'Member Data'!$BG$6:$BG$5331,C$31&amp;C$32)</f>
        <v>0</v>
      </c>
      <c r="D43" s="753">
        <f>SUMIFS('Member Data'!$BJ$6:$BJ$5331,'Member Data'!$BH$6:$BH$5331,B43,'Member Data'!$BG$6:$BG$5331,D$31&amp;D$32)</f>
        <v>0</v>
      </c>
      <c r="E43" s="544" t="str">
        <f>IF(G$6="Dubai",'General Basis'!$B49,'General Basis'!$C49)</f>
        <v>60 - 64</v>
      </c>
      <c r="F43" s="753">
        <f>SUMIFS('Member Data'!$BJ$6:$BJ$5331,'Member Data'!$BH$6:$BH$5331,E43,'Member Data'!$BG$6:$BG$5331,F$31&amp;F$32)</f>
        <v>0</v>
      </c>
      <c r="G43" s="753">
        <f>SUMIFS('Member Data'!$BJ$6:$BJ$5331,'Member Data'!$BH$6:$BH$5331,E43,'Member Data'!$BG$6:$BG$5331,G$31&amp;G$32)</f>
        <v>0</v>
      </c>
      <c r="H43" s="544" t="str">
        <f>IF(J$6="Dubai",'General Basis'!$B49,'General Basis'!$C49)</f>
        <v>60 - 64</v>
      </c>
      <c r="I43" s="753">
        <f>SUMIFS('Member Data'!$BJ$6:$BJ$5331,'Member Data'!$BH$6:$BH$5331,H43,'Member Data'!$BG$6:$BG$5331,I$31&amp;I$32)</f>
        <v>0</v>
      </c>
      <c r="J43" s="753">
        <f>SUMIFS('Member Data'!$BJ$6:$BJ$5331,'Member Data'!$BH$6:$BH$5331,H43,'Member Data'!$BG$6:$BG$5331,J$31&amp;J$32)</f>
        <v>0</v>
      </c>
      <c r="K43" s="544" t="str">
        <f>IF(M$6="Dubai",'General Basis'!$B49,'General Basis'!$C49)</f>
        <v>60 - 64</v>
      </c>
      <c r="L43" s="753">
        <f>SUMIFS('Member Data'!$BJ$6:$BJ$5331,'Member Data'!$BH$6:$BH$5331,K43,'Member Data'!$BG$6:$BG$5331,L$31&amp;L$32)</f>
        <v>0</v>
      </c>
      <c r="M43" s="753">
        <f>SUMIFS('Member Data'!$BJ$6:$BJ$5331,'Member Data'!$BH$6:$BH$5331,K43,'Member Data'!$BG$6:$BG$5331,M$31&amp;M$32)</f>
        <v>0</v>
      </c>
      <c r="N43" s="544" t="str">
        <f>IF(P$6="Dubai",'General Basis'!$B49,'General Basis'!$C49)</f>
        <v>60 - 64</v>
      </c>
      <c r="O43" s="753">
        <f>SUMIFS('Member Data'!$BJ$6:$BJ$5331,'Member Data'!$BH$6:$BH$5331,N43,'Member Data'!$BG$6:$BG$5331,O$31&amp;O$32)</f>
        <v>0</v>
      </c>
      <c r="P43" s="753">
        <f>SUMIFS('Member Data'!$BJ$6:$BJ$5331,'Member Data'!$BH$6:$BH$5331,N43,'Member Data'!$BG$6:$BG$5331,P$31&amp;P$32)</f>
        <v>0</v>
      </c>
      <c r="Q43" s="544" t="str">
        <f>IF(S$6="Dubai",'General Basis'!$B49,'General Basis'!$C49)</f>
        <v>60 - 64</v>
      </c>
      <c r="R43" s="753">
        <f>SUMIFS('Member Data'!$BJ$6:$BJ$5331,'Member Data'!$BH$6:$BH$5331,Q43,'Member Data'!$BG$6:$BG$5331,R$31&amp;R$32)</f>
        <v>0</v>
      </c>
      <c r="S43" s="753">
        <f>SUMIFS('Member Data'!$BJ$6:$BJ$5331,'Member Data'!$BH$6:$BH$5331,Q43,'Member Data'!$BG$6:$BG$5331,S$31&amp;S$32)</f>
        <v>0</v>
      </c>
      <c r="T43" s="544" t="str">
        <f>IF(V$6="Dubai",'General Basis'!$B49,'General Basis'!$C49)</f>
        <v>60 - 64</v>
      </c>
      <c r="U43" s="753">
        <f>SUMIFS('Member Data'!$BJ$6:$BJ$5331,'Member Data'!$BH$6:$BH$5331,T43,'Member Data'!$BG$6:$BG$5331,U$31&amp;U$32)</f>
        <v>0</v>
      </c>
      <c r="V43" s="753">
        <f>SUMIFS('Member Data'!$BJ$6:$BJ$5331,'Member Data'!$BH$6:$BH$5331,T43,'Member Data'!$BG$6:$BG$5331,V$31&amp;V$32)</f>
        <v>0</v>
      </c>
      <c r="W43" s="544" t="str">
        <f>IF(Y$6="Dubai",'General Basis'!$B49,'General Basis'!$C49)</f>
        <v>60 - 64</v>
      </c>
      <c r="X43" s="753">
        <f>SUMIFS('Member Data'!$BJ$6:$BJ$5331,'Member Data'!$BH$6:$BH$5331,W43,'Member Data'!$BG$6:$BG$5331,X$31&amp;X$32)</f>
        <v>0</v>
      </c>
      <c r="Y43" s="753">
        <f>SUMIFS('Member Data'!$BJ$6:$BJ$5331,'Member Data'!$BH$6:$BH$5331,W43,'Member Data'!$BG$6:$BG$5331,Y$31&amp;Y$32)</f>
        <v>0</v>
      </c>
      <c r="Z43" s="688"/>
    </row>
    <row r="44" spans="1:26" x14ac:dyDescent="0.25">
      <c r="A44" s="698"/>
      <c r="B44" s="758" t="str">
        <f>IF(D$6="Dubai",'General Basis'!$B50,'General Basis'!$C50)</f>
        <v>65 - 99</v>
      </c>
      <c r="C44" s="753">
        <f>SUMIFS('Member Data'!$BJ$6:$BJ$5331,'Member Data'!$BH$6:$BH$5331,B44,'Member Data'!$BG$6:$BG$5331,C$31&amp;C$32)</f>
        <v>0</v>
      </c>
      <c r="D44" s="753">
        <f>SUMIFS('Member Data'!$BJ$6:$BJ$5331,'Member Data'!$BH$6:$BH$5331,B44,'Member Data'!$BG$6:$BG$5331,D$31&amp;D$32)</f>
        <v>0</v>
      </c>
      <c r="E44" s="544" t="str">
        <f>IF(G$6="Dubai",'General Basis'!$B50,'General Basis'!$C50)</f>
        <v>65 - 99</v>
      </c>
      <c r="F44" s="753">
        <f>SUMIFS('Member Data'!$BJ$6:$BJ$5331,'Member Data'!$BH$6:$BH$5331,E44,'Member Data'!$BG$6:$BG$5331,F$31&amp;F$32)</f>
        <v>0</v>
      </c>
      <c r="G44" s="753">
        <f>SUMIFS('Member Data'!$BJ$6:$BJ$5331,'Member Data'!$BH$6:$BH$5331,E44,'Member Data'!$BG$6:$BG$5331,G$31&amp;G$32)</f>
        <v>0</v>
      </c>
      <c r="H44" s="544" t="str">
        <f>IF(J$6="Dubai",'General Basis'!$B50,'General Basis'!$C50)</f>
        <v>65 - 99</v>
      </c>
      <c r="I44" s="753">
        <f>SUMIFS('Member Data'!$BJ$6:$BJ$5331,'Member Data'!$BH$6:$BH$5331,H44,'Member Data'!$BG$6:$BG$5331,I$31&amp;I$32)</f>
        <v>0</v>
      </c>
      <c r="J44" s="753">
        <f>SUMIFS('Member Data'!$BJ$6:$BJ$5331,'Member Data'!$BH$6:$BH$5331,H44,'Member Data'!$BG$6:$BG$5331,J$31&amp;J$32)</f>
        <v>0</v>
      </c>
      <c r="K44" s="544" t="str">
        <f>IF(M$6="Dubai",'General Basis'!$B50,'General Basis'!$C50)</f>
        <v>65 - 99</v>
      </c>
      <c r="L44" s="753">
        <f>SUMIFS('Member Data'!$BJ$6:$BJ$5331,'Member Data'!$BH$6:$BH$5331,K44,'Member Data'!$BG$6:$BG$5331,L$31&amp;L$32)</f>
        <v>0</v>
      </c>
      <c r="M44" s="753">
        <f>SUMIFS('Member Data'!$BJ$6:$BJ$5331,'Member Data'!$BH$6:$BH$5331,K44,'Member Data'!$BG$6:$BG$5331,M$31&amp;M$32)</f>
        <v>0</v>
      </c>
      <c r="N44" s="544" t="str">
        <f>IF(P$6="Dubai",'General Basis'!$B50,'General Basis'!$C50)</f>
        <v>65 - 99</v>
      </c>
      <c r="O44" s="753">
        <f>SUMIFS('Member Data'!$BJ$6:$BJ$5331,'Member Data'!$BH$6:$BH$5331,N44,'Member Data'!$BG$6:$BG$5331,O$31&amp;O$32)</f>
        <v>0</v>
      </c>
      <c r="P44" s="753">
        <f>SUMIFS('Member Data'!$BJ$6:$BJ$5331,'Member Data'!$BH$6:$BH$5331,N44,'Member Data'!$BG$6:$BG$5331,P$31&amp;P$32)</f>
        <v>0</v>
      </c>
      <c r="Q44" s="544" t="str">
        <f>IF(S$6="Dubai",'General Basis'!$B50,'General Basis'!$C50)</f>
        <v>65 - 99</v>
      </c>
      <c r="R44" s="753">
        <f>SUMIFS('Member Data'!$BJ$6:$BJ$5331,'Member Data'!$BH$6:$BH$5331,Q44,'Member Data'!$BG$6:$BG$5331,R$31&amp;R$32)</f>
        <v>0</v>
      </c>
      <c r="S44" s="753">
        <f>SUMIFS('Member Data'!$BJ$6:$BJ$5331,'Member Data'!$BH$6:$BH$5331,Q44,'Member Data'!$BG$6:$BG$5331,S$31&amp;S$32)</f>
        <v>0</v>
      </c>
      <c r="T44" s="544" t="str">
        <f>IF(V$6="Dubai",'General Basis'!$B50,'General Basis'!$C50)</f>
        <v>65 - 99</v>
      </c>
      <c r="U44" s="753">
        <f>SUMIFS('Member Data'!$BJ$6:$BJ$5331,'Member Data'!$BH$6:$BH$5331,T44,'Member Data'!$BG$6:$BG$5331,U$31&amp;U$32)</f>
        <v>0</v>
      </c>
      <c r="V44" s="753">
        <f>SUMIFS('Member Data'!$BJ$6:$BJ$5331,'Member Data'!$BH$6:$BH$5331,T44,'Member Data'!$BG$6:$BG$5331,V$31&amp;V$32)</f>
        <v>0</v>
      </c>
      <c r="W44" s="544" t="str">
        <f>IF(Y$6="Dubai",'General Basis'!$B50,'General Basis'!$C50)</f>
        <v>65 - 99</v>
      </c>
      <c r="X44" s="753">
        <f>SUMIFS('Member Data'!$BJ$6:$BJ$5331,'Member Data'!$BH$6:$BH$5331,W44,'Member Data'!$BG$6:$BG$5331,X$31&amp;X$32)</f>
        <v>0</v>
      </c>
      <c r="Y44" s="753">
        <f>SUMIFS('Member Data'!$BJ$6:$BJ$5331,'Member Data'!$BH$6:$BH$5331,W44,'Member Data'!$BG$6:$BG$5331,Y$31&amp;Y$32)</f>
        <v>0</v>
      </c>
      <c r="Z44" s="688"/>
    </row>
    <row r="45" spans="1:26" s="754" customFormat="1" x14ac:dyDescent="0.25">
      <c r="B45" s="755"/>
      <c r="D45" s="754">
        <f>SUM(C33:D44)</f>
        <v>25183</v>
      </c>
      <c r="G45" s="754">
        <f>SUM(F33:G44)</f>
        <v>0</v>
      </c>
      <c r="J45" s="754">
        <f>SUM(I33:J44)</f>
        <v>0</v>
      </c>
      <c r="M45" s="754">
        <f>SUM(L33:M44)</f>
        <v>0</v>
      </c>
      <c r="P45" s="754">
        <f>SUM(O33:P44)</f>
        <v>0</v>
      </c>
      <c r="S45" s="754">
        <f>SUM(R33:S44)</f>
        <v>0</v>
      </c>
      <c r="V45" s="754">
        <f>SUM(U33:V44)</f>
        <v>0</v>
      </c>
      <c r="Y45" s="754">
        <f>SUM(X33:Y44)</f>
        <v>0</v>
      </c>
      <c r="Z45" s="756"/>
    </row>
    <row r="46" spans="1:26" ht="15.75" thickBot="1" x14ac:dyDescent="0.3">
      <c r="B46" s="695"/>
      <c r="C46" s="570"/>
      <c r="D46" s="570"/>
      <c r="E46" s="570"/>
      <c r="F46" s="570"/>
      <c r="G46" s="570"/>
      <c r="H46" s="570"/>
      <c r="I46" s="570"/>
      <c r="J46" s="570"/>
      <c r="K46" s="570"/>
      <c r="L46" s="570"/>
      <c r="M46" s="570"/>
      <c r="N46" s="570"/>
      <c r="O46" s="570"/>
      <c r="P46" s="696"/>
      <c r="Q46" s="570"/>
      <c r="R46" s="570"/>
      <c r="S46" s="570"/>
      <c r="T46" s="570"/>
      <c r="U46" s="570"/>
      <c r="V46" s="570"/>
      <c r="W46" s="570"/>
      <c r="X46" s="570"/>
      <c r="Y46" s="570"/>
      <c r="Z46" s="697"/>
    </row>
    <row r="47" spans="1:26" ht="15.75" thickBot="1" x14ac:dyDescent="0.3"/>
    <row r="48" spans="1:26" ht="17.25" x14ac:dyDescent="0.25">
      <c r="B48" s="684"/>
      <c r="C48" s="710" t="s">
        <v>948</v>
      </c>
      <c r="D48" s="759"/>
      <c r="E48" s="759"/>
      <c r="F48" s="569"/>
      <c r="G48" s="569"/>
      <c r="H48" s="569"/>
      <c r="I48" s="569"/>
      <c r="J48" s="569"/>
      <c r="K48" s="569"/>
      <c r="L48" s="569"/>
      <c r="M48" s="569"/>
      <c r="N48" s="569"/>
      <c r="O48" s="569"/>
      <c r="P48" s="685"/>
      <c r="Q48" s="569"/>
      <c r="R48" s="569"/>
      <c r="S48" s="569"/>
      <c r="T48" s="569"/>
      <c r="U48" s="569"/>
      <c r="V48" s="569"/>
      <c r="W48" s="569"/>
      <c r="X48" s="569"/>
      <c r="Y48" s="569"/>
      <c r="Z48" s="686"/>
    </row>
    <row r="49" spans="1:26" x14ac:dyDescent="0.25">
      <c r="B49" s="687"/>
      <c r="Z49" s="688"/>
    </row>
    <row r="50" spans="1:26" s="750" customFormat="1" ht="15.75" x14ac:dyDescent="0.25">
      <c r="B50" s="751"/>
      <c r="C50" s="693" t="s">
        <v>271</v>
      </c>
      <c r="D50" s="749" t="str">
        <f>C50</f>
        <v>A</v>
      </c>
      <c r="F50" s="693" t="s">
        <v>272</v>
      </c>
      <c r="G50" s="749" t="str">
        <f>F50</f>
        <v>B</v>
      </c>
      <c r="I50" s="693" t="s">
        <v>273</v>
      </c>
      <c r="J50" s="749" t="str">
        <f>I50</f>
        <v>C</v>
      </c>
      <c r="L50" s="693" t="s">
        <v>274</v>
      </c>
      <c r="M50" s="749" t="str">
        <f>L50</f>
        <v>D</v>
      </c>
      <c r="O50" s="693" t="s">
        <v>365</v>
      </c>
      <c r="P50" s="749" t="str">
        <f>O50</f>
        <v>E</v>
      </c>
      <c r="R50" s="693" t="s">
        <v>62</v>
      </c>
      <c r="S50" s="749" t="str">
        <f>R50</f>
        <v>F</v>
      </c>
      <c r="U50" s="693" t="s">
        <v>366</v>
      </c>
      <c r="V50" s="749" t="str">
        <f>U50</f>
        <v>G</v>
      </c>
      <c r="X50" s="693" t="s">
        <v>367</v>
      </c>
      <c r="Y50" s="749" t="str">
        <f>X50</f>
        <v>H</v>
      </c>
      <c r="Z50" s="752"/>
    </row>
    <row r="51" spans="1:26" ht="15.75" x14ac:dyDescent="0.25">
      <c r="B51" s="757" t="str">
        <f>D$6</f>
        <v>Dubai</v>
      </c>
      <c r="C51" s="689" t="s">
        <v>65</v>
      </c>
      <c r="D51" s="694" t="s">
        <v>66</v>
      </c>
      <c r="E51" s="689" t="str">
        <f>G$6</f>
        <v>Dubai</v>
      </c>
      <c r="F51" s="689" t="s">
        <v>65</v>
      </c>
      <c r="G51" s="694" t="s">
        <v>66</v>
      </c>
      <c r="H51" s="689" t="str">
        <f>J$6</f>
        <v>Dubai</v>
      </c>
      <c r="I51" s="689" t="s">
        <v>65</v>
      </c>
      <c r="J51" s="694" t="s">
        <v>66</v>
      </c>
      <c r="K51" s="689" t="str">
        <f>M$6</f>
        <v>Dubai</v>
      </c>
      <c r="L51" s="689" t="s">
        <v>65</v>
      </c>
      <c r="M51" s="694" t="s">
        <v>66</v>
      </c>
      <c r="N51" s="689" t="str">
        <f>P$6</f>
        <v>Dubai</v>
      </c>
      <c r="O51" s="689" t="s">
        <v>65</v>
      </c>
      <c r="P51" s="694" t="s">
        <v>66</v>
      </c>
      <c r="Q51" s="689" t="str">
        <f>S$6</f>
        <v>Dubai</v>
      </c>
      <c r="R51" s="689" t="s">
        <v>65</v>
      </c>
      <c r="S51" s="694" t="s">
        <v>66</v>
      </c>
      <c r="T51" s="689" t="str">
        <f>V$6</f>
        <v>Dubai</v>
      </c>
      <c r="U51" s="689" t="s">
        <v>65</v>
      </c>
      <c r="V51" s="694" t="s">
        <v>66</v>
      </c>
      <c r="W51" s="689" t="str">
        <f>Y$6</f>
        <v>Dubai</v>
      </c>
      <c r="X51" s="689" t="s">
        <v>65</v>
      </c>
      <c r="Y51" s="694" t="s">
        <v>66</v>
      </c>
      <c r="Z51" s="688"/>
    </row>
    <row r="52" spans="1:26" x14ac:dyDescent="0.25">
      <c r="A52" s="698"/>
      <c r="B52" s="758" t="str">
        <f>B33</f>
        <v>0 - 10</v>
      </c>
      <c r="C52" s="753">
        <f>IFERROR(C33/C15,0)</f>
        <v>2204</v>
      </c>
      <c r="D52" s="753">
        <f>IFERROR(D33/D15,0)</f>
        <v>2080</v>
      </c>
      <c r="E52" s="758" t="str">
        <f>E33</f>
        <v>0 - 10</v>
      </c>
      <c r="F52" s="753">
        <f>IFERROR(F33/F15,0)</f>
        <v>0</v>
      </c>
      <c r="G52" s="753">
        <f>IFERROR(G33/G15,0)</f>
        <v>0</v>
      </c>
      <c r="H52" s="758" t="str">
        <f>H33</f>
        <v>0 - 10</v>
      </c>
      <c r="I52" s="753">
        <f>IFERROR(I33/I15,0)</f>
        <v>0</v>
      </c>
      <c r="J52" s="753">
        <f>IFERROR(J33/J15,0)</f>
        <v>0</v>
      </c>
      <c r="K52" s="758" t="str">
        <f>K33</f>
        <v>0 - 10</v>
      </c>
      <c r="L52" s="753">
        <f>IFERROR(L33/L15,0)</f>
        <v>0</v>
      </c>
      <c r="M52" s="753">
        <f>IFERROR(M33/M15,0)</f>
        <v>0</v>
      </c>
      <c r="N52" s="758" t="str">
        <f>N33</f>
        <v>0 - 10</v>
      </c>
      <c r="O52" s="753">
        <f>IFERROR(O33/O15,0)</f>
        <v>0</v>
      </c>
      <c r="P52" s="753">
        <f>IFERROR(P33/P15,0)</f>
        <v>0</v>
      </c>
      <c r="Q52" s="758" t="str">
        <f>Q33</f>
        <v>0 - 10</v>
      </c>
      <c r="R52" s="753">
        <f>IFERROR(R33/R15,0)</f>
        <v>0</v>
      </c>
      <c r="S52" s="753">
        <f>IFERROR(S33/S15,0)</f>
        <v>0</v>
      </c>
      <c r="T52" s="758" t="str">
        <f>T33</f>
        <v>0 - 10</v>
      </c>
      <c r="U52" s="753">
        <f>IFERROR(U33/U15,0)</f>
        <v>0</v>
      </c>
      <c r="V52" s="753">
        <f>IFERROR(V33/V15,0)</f>
        <v>0</v>
      </c>
      <c r="W52" s="758" t="str">
        <f>W33</f>
        <v>0 - 10</v>
      </c>
      <c r="X52" s="753">
        <f>IFERROR(X33/X15,0)</f>
        <v>0</v>
      </c>
      <c r="Y52" s="753">
        <f>IFERROR(Y33/Y15,0)</f>
        <v>0</v>
      </c>
      <c r="Z52" s="688"/>
    </row>
    <row r="53" spans="1:26" x14ac:dyDescent="0.25">
      <c r="A53" s="698"/>
      <c r="B53" s="758" t="str">
        <f t="shared" ref="B53:B63" si="0">B34</f>
        <v>11 - 17</v>
      </c>
      <c r="C53" s="753">
        <f t="shared" ref="C53:D53" si="1">IFERROR(C34/C16,0)</f>
        <v>1041</v>
      </c>
      <c r="D53" s="753">
        <f t="shared" si="1"/>
        <v>0</v>
      </c>
      <c r="E53" s="758" t="str">
        <f t="shared" ref="E53:E63" si="2">E34</f>
        <v>11 - 17</v>
      </c>
      <c r="F53" s="753">
        <f t="shared" ref="F53:G53" si="3">IFERROR(F34/F16,0)</f>
        <v>0</v>
      </c>
      <c r="G53" s="753">
        <f t="shared" si="3"/>
        <v>0</v>
      </c>
      <c r="H53" s="758" t="str">
        <f t="shared" ref="H53:H63" si="4">H34</f>
        <v>11 - 17</v>
      </c>
      <c r="I53" s="753">
        <f t="shared" ref="I53:J53" si="5">IFERROR(I34/I16,0)</f>
        <v>0</v>
      </c>
      <c r="J53" s="753">
        <f t="shared" si="5"/>
        <v>0</v>
      </c>
      <c r="K53" s="758" t="str">
        <f t="shared" ref="K53:K63" si="6">K34</f>
        <v>11 - 17</v>
      </c>
      <c r="L53" s="753">
        <f t="shared" ref="L53:M53" si="7">IFERROR(L34/L16,0)</f>
        <v>0</v>
      </c>
      <c r="M53" s="753">
        <f t="shared" si="7"/>
        <v>0</v>
      </c>
      <c r="N53" s="758" t="str">
        <f t="shared" ref="N53:N63" si="8">N34</f>
        <v>11 - 17</v>
      </c>
      <c r="O53" s="753">
        <f t="shared" ref="O53:P53" si="9">IFERROR(O34/O16,0)</f>
        <v>0</v>
      </c>
      <c r="P53" s="753">
        <f t="shared" si="9"/>
        <v>0</v>
      </c>
      <c r="Q53" s="758" t="str">
        <f t="shared" ref="Q53:Q63" si="10">Q34</f>
        <v>11 - 17</v>
      </c>
      <c r="R53" s="753">
        <f t="shared" ref="R53:S53" si="11">IFERROR(R34/R16,0)</f>
        <v>0</v>
      </c>
      <c r="S53" s="753">
        <f t="shared" si="11"/>
        <v>0</v>
      </c>
      <c r="T53" s="758" t="str">
        <f t="shared" ref="T53:T63" si="12">T34</f>
        <v>11 - 17</v>
      </c>
      <c r="U53" s="753">
        <f t="shared" ref="U53:V53" si="13">IFERROR(U34/U16,0)</f>
        <v>0</v>
      </c>
      <c r="V53" s="753">
        <f t="shared" si="13"/>
        <v>0</v>
      </c>
      <c r="W53" s="758" t="str">
        <f t="shared" ref="W53:W63" si="14">W34</f>
        <v>11 - 17</v>
      </c>
      <c r="X53" s="753">
        <f t="shared" ref="X53:Y53" si="15">IFERROR(X34/X16,0)</f>
        <v>0</v>
      </c>
      <c r="Y53" s="753">
        <f t="shared" si="15"/>
        <v>0</v>
      </c>
      <c r="Z53" s="688"/>
    </row>
    <row r="54" spans="1:26" x14ac:dyDescent="0.25">
      <c r="A54" s="698"/>
      <c r="B54" s="758" t="str">
        <f t="shared" si="0"/>
        <v>18 - 25</v>
      </c>
      <c r="C54" s="753">
        <f t="shared" ref="C54:D54" si="16">IFERROR(C35/C17,0)</f>
        <v>1303</v>
      </c>
      <c r="D54" s="753">
        <f t="shared" si="16"/>
        <v>1272</v>
      </c>
      <c r="E54" s="758" t="str">
        <f t="shared" si="2"/>
        <v>18 - 25</v>
      </c>
      <c r="F54" s="753">
        <f t="shared" ref="F54:G54" si="17">IFERROR(F35/F17,0)</f>
        <v>0</v>
      </c>
      <c r="G54" s="753">
        <f t="shared" si="17"/>
        <v>0</v>
      </c>
      <c r="H54" s="758" t="str">
        <f t="shared" si="4"/>
        <v>18 - 25</v>
      </c>
      <c r="I54" s="753">
        <f t="shared" ref="I54:J54" si="18">IFERROR(I35/I17,0)</f>
        <v>0</v>
      </c>
      <c r="J54" s="753">
        <f t="shared" si="18"/>
        <v>0</v>
      </c>
      <c r="K54" s="758" t="str">
        <f t="shared" si="6"/>
        <v>18 - 25</v>
      </c>
      <c r="L54" s="753">
        <f t="shared" ref="L54:M54" si="19">IFERROR(L35/L17,0)</f>
        <v>0</v>
      </c>
      <c r="M54" s="753">
        <f t="shared" si="19"/>
        <v>0</v>
      </c>
      <c r="N54" s="758" t="str">
        <f t="shared" si="8"/>
        <v>18 - 25</v>
      </c>
      <c r="O54" s="753">
        <f t="shared" ref="O54:P54" si="20">IFERROR(O35/O17,0)</f>
        <v>0</v>
      </c>
      <c r="P54" s="753">
        <f t="shared" si="20"/>
        <v>0</v>
      </c>
      <c r="Q54" s="758" t="str">
        <f t="shared" si="10"/>
        <v>18 - 25</v>
      </c>
      <c r="R54" s="753">
        <f t="shared" ref="R54:S54" si="21">IFERROR(R35/R17,0)</f>
        <v>0</v>
      </c>
      <c r="S54" s="753">
        <f t="shared" si="21"/>
        <v>0</v>
      </c>
      <c r="T54" s="758" t="str">
        <f t="shared" si="12"/>
        <v>18 - 25</v>
      </c>
      <c r="U54" s="753">
        <f t="shared" ref="U54:V54" si="22">IFERROR(U35/U17,0)</f>
        <v>0</v>
      </c>
      <c r="V54" s="753">
        <f t="shared" si="22"/>
        <v>0</v>
      </c>
      <c r="W54" s="758" t="str">
        <f t="shared" si="14"/>
        <v>18 - 25</v>
      </c>
      <c r="X54" s="753">
        <f t="shared" ref="X54:Y54" si="23">IFERROR(X35/X17,0)</f>
        <v>0</v>
      </c>
      <c r="Y54" s="753">
        <f t="shared" si="23"/>
        <v>0</v>
      </c>
      <c r="Z54" s="688"/>
    </row>
    <row r="55" spans="1:26" x14ac:dyDescent="0.25">
      <c r="A55" s="698"/>
      <c r="B55" s="758" t="str">
        <f t="shared" si="0"/>
        <v>26 - 30</v>
      </c>
      <c r="C55" s="753">
        <f t="shared" ref="C55:D55" si="24">IFERROR(C36/C18,0)</f>
        <v>0</v>
      </c>
      <c r="D55" s="753">
        <f t="shared" si="24"/>
        <v>0</v>
      </c>
      <c r="E55" s="758" t="str">
        <f t="shared" si="2"/>
        <v>26 - 30</v>
      </c>
      <c r="F55" s="753">
        <f t="shared" ref="F55:G55" si="25">IFERROR(F36/F18,0)</f>
        <v>0</v>
      </c>
      <c r="G55" s="753">
        <f t="shared" si="25"/>
        <v>0</v>
      </c>
      <c r="H55" s="758" t="str">
        <f t="shared" si="4"/>
        <v>26 - 30</v>
      </c>
      <c r="I55" s="753">
        <f t="shared" ref="I55:J55" si="26">IFERROR(I36/I18,0)</f>
        <v>0</v>
      </c>
      <c r="J55" s="753">
        <f t="shared" si="26"/>
        <v>0</v>
      </c>
      <c r="K55" s="758" t="str">
        <f t="shared" si="6"/>
        <v>26 - 30</v>
      </c>
      <c r="L55" s="753">
        <f t="shared" ref="L55:M55" si="27">IFERROR(L36/L18,0)</f>
        <v>0</v>
      </c>
      <c r="M55" s="753">
        <f t="shared" si="27"/>
        <v>0</v>
      </c>
      <c r="N55" s="758" t="str">
        <f t="shared" si="8"/>
        <v>26 - 30</v>
      </c>
      <c r="O55" s="753">
        <f t="shared" ref="O55:P55" si="28">IFERROR(O36/O18,0)</f>
        <v>0</v>
      </c>
      <c r="P55" s="753">
        <f t="shared" si="28"/>
        <v>0</v>
      </c>
      <c r="Q55" s="758" t="str">
        <f t="shared" si="10"/>
        <v>26 - 30</v>
      </c>
      <c r="R55" s="753">
        <f t="shared" ref="R55:S55" si="29">IFERROR(R36/R18,0)</f>
        <v>0</v>
      </c>
      <c r="S55" s="753">
        <f t="shared" si="29"/>
        <v>0</v>
      </c>
      <c r="T55" s="758" t="str">
        <f t="shared" si="12"/>
        <v>26 - 30</v>
      </c>
      <c r="U55" s="753">
        <f t="shared" ref="U55:V55" si="30">IFERROR(U36/U18,0)</f>
        <v>0</v>
      </c>
      <c r="V55" s="753">
        <f t="shared" si="30"/>
        <v>0</v>
      </c>
      <c r="W55" s="758" t="str">
        <f t="shared" si="14"/>
        <v>26 - 30</v>
      </c>
      <c r="X55" s="753">
        <f t="shared" ref="X55:Y55" si="31">IFERROR(X36/X18,0)</f>
        <v>0</v>
      </c>
      <c r="Y55" s="753">
        <f t="shared" si="31"/>
        <v>0</v>
      </c>
      <c r="Z55" s="688"/>
    </row>
    <row r="56" spans="1:26" x14ac:dyDescent="0.25">
      <c r="A56" s="698"/>
      <c r="B56" s="758" t="str">
        <f t="shared" si="0"/>
        <v>31 - 35</v>
      </c>
      <c r="C56" s="753">
        <f t="shared" ref="C56:D56" si="32">IFERROR(C37/C19,0)</f>
        <v>1551</v>
      </c>
      <c r="D56" s="753">
        <f t="shared" si="32"/>
        <v>0</v>
      </c>
      <c r="E56" s="758" t="str">
        <f t="shared" si="2"/>
        <v>31 - 35</v>
      </c>
      <c r="F56" s="753">
        <f t="shared" ref="F56:G56" si="33">IFERROR(F37/F19,0)</f>
        <v>0</v>
      </c>
      <c r="G56" s="753">
        <f t="shared" si="33"/>
        <v>0</v>
      </c>
      <c r="H56" s="758" t="str">
        <f t="shared" si="4"/>
        <v>31 - 35</v>
      </c>
      <c r="I56" s="753">
        <f t="shared" ref="I56:J56" si="34">IFERROR(I37/I19,0)</f>
        <v>0</v>
      </c>
      <c r="J56" s="753">
        <f t="shared" si="34"/>
        <v>0</v>
      </c>
      <c r="K56" s="758" t="str">
        <f t="shared" si="6"/>
        <v>31 - 35</v>
      </c>
      <c r="L56" s="753">
        <f t="shared" ref="L56:M56" si="35">IFERROR(L37/L19,0)</f>
        <v>0</v>
      </c>
      <c r="M56" s="753">
        <f t="shared" si="35"/>
        <v>0</v>
      </c>
      <c r="N56" s="758" t="str">
        <f t="shared" si="8"/>
        <v>31 - 35</v>
      </c>
      <c r="O56" s="753">
        <f t="shared" ref="O56:P56" si="36">IFERROR(O37/O19,0)</f>
        <v>0</v>
      </c>
      <c r="P56" s="753">
        <f t="shared" si="36"/>
        <v>0</v>
      </c>
      <c r="Q56" s="758" t="str">
        <f t="shared" si="10"/>
        <v>31 - 35</v>
      </c>
      <c r="R56" s="753">
        <f t="shared" ref="R56:S56" si="37">IFERROR(R37/R19,0)</f>
        <v>0</v>
      </c>
      <c r="S56" s="753">
        <f t="shared" si="37"/>
        <v>0</v>
      </c>
      <c r="T56" s="758" t="str">
        <f t="shared" si="12"/>
        <v>31 - 35</v>
      </c>
      <c r="U56" s="753">
        <f t="shared" ref="U56:V56" si="38">IFERROR(U37/U19,0)</f>
        <v>0</v>
      </c>
      <c r="V56" s="753">
        <f t="shared" si="38"/>
        <v>0</v>
      </c>
      <c r="W56" s="758" t="str">
        <f t="shared" si="14"/>
        <v>31 - 35</v>
      </c>
      <c r="X56" s="753">
        <f t="shared" ref="X56:Y56" si="39">IFERROR(X37/X19,0)</f>
        <v>0</v>
      </c>
      <c r="Y56" s="753">
        <f t="shared" si="39"/>
        <v>0</v>
      </c>
      <c r="Z56" s="688"/>
    </row>
    <row r="57" spans="1:26" x14ac:dyDescent="0.25">
      <c r="A57" s="698"/>
      <c r="B57" s="758" t="str">
        <f t="shared" si="0"/>
        <v>36 - 40</v>
      </c>
      <c r="C57" s="753">
        <f t="shared" ref="C57:D57" si="40">IFERROR(C38/C20,0)</f>
        <v>0</v>
      </c>
      <c r="D57" s="753">
        <f t="shared" si="40"/>
        <v>0</v>
      </c>
      <c r="E57" s="758" t="str">
        <f t="shared" si="2"/>
        <v>36 - 40</v>
      </c>
      <c r="F57" s="753">
        <f t="shared" ref="F57:G57" si="41">IFERROR(F38/F20,0)</f>
        <v>0</v>
      </c>
      <c r="G57" s="753">
        <f t="shared" si="41"/>
        <v>0</v>
      </c>
      <c r="H57" s="758" t="str">
        <f t="shared" si="4"/>
        <v>36 - 40</v>
      </c>
      <c r="I57" s="753">
        <f t="shared" ref="I57:J57" si="42">IFERROR(I38/I20,0)</f>
        <v>0</v>
      </c>
      <c r="J57" s="753">
        <f t="shared" si="42"/>
        <v>0</v>
      </c>
      <c r="K57" s="758" t="str">
        <f t="shared" si="6"/>
        <v>36 - 40</v>
      </c>
      <c r="L57" s="753">
        <f t="shared" ref="L57:M57" si="43">IFERROR(L38/L20,0)</f>
        <v>0</v>
      </c>
      <c r="M57" s="753">
        <f t="shared" si="43"/>
        <v>0</v>
      </c>
      <c r="N57" s="758" t="str">
        <f t="shared" si="8"/>
        <v>36 - 40</v>
      </c>
      <c r="O57" s="753">
        <f t="shared" ref="O57:P57" si="44">IFERROR(O38/O20,0)</f>
        <v>0</v>
      </c>
      <c r="P57" s="753">
        <f t="shared" si="44"/>
        <v>0</v>
      </c>
      <c r="Q57" s="758" t="str">
        <f t="shared" si="10"/>
        <v>36 - 40</v>
      </c>
      <c r="R57" s="753">
        <f t="shared" ref="R57:S57" si="45">IFERROR(R38/R20,0)</f>
        <v>0</v>
      </c>
      <c r="S57" s="753">
        <f t="shared" si="45"/>
        <v>0</v>
      </c>
      <c r="T57" s="758" t="str">
        <f t="shared" si="12"/>
        <v>36 - 40</v>
      </c>
      <c r="U57" s="753">
        <f t="shared" ref="U57:V57" si="46">IFERROR(U38/U20,0)</f>
        <v>0</v>
      </c>
      <c r="V57" s="753">
        <f t="shared" si="46"/>
        <v>0</v>
      </c>
      <c r="W57" s="758" t="str">
        <f t="shared" si="14"/>
        <v>36 - 40</v>
      </c>
      <c r="X57" s="753">
        <f t="shared" ref="X57:Y57" si="47">IFERROR(X38/X20,0)</f>
        <v>0</v>
      </c>
      <c r="Y57" s="753">
        <f t="shared" si="47"/>
        <v>0</v>
      </c>
      <c r="Z57" s="688"/>
    </row>
    <row r="58" spans="1:26" x14ac:dyDescent="0.25">
      <c r="A58" s="698"/>
      <c r="B58" s="758" t="str">
        <f t="shared" si="0"/>
        <v>41 - 45</v>
      </c>
      <c r="C58" s="753">
        <f t="shared" ref="C58:D58" si="48">IFERROR(C39/C21,0)</f>
        <v>0</v>
      </c>
      <c r="D58" s="753">
        <f t="shared" si="48"/>
        <v>0</v>
      </c>
      <c r="E58" s="758" t="str">
        <f t="shared" si="2"/>
        <v>41 - 45</v>
      </c>
      <c r="F58" s="753">
        <f t="shared" ref="F58:G58" si="49">IFERROR(F39/F21,0)</f>
        <v>0</v>
      </c>
      <c r="G58" s="753">
        <f t="shared" si="49"/>
        <v>0</v>
      </c>
      <c r="H58" s="758" t="str">
        <f t="shared" si="4"/>
        <v>41 - 45</v>
      </c>
      <c r="I58" s="753">
        <f t="shared" ref="I58:J58" si="50">IFERROR(I39/I21,0)</f>
        <v>0</v>
      </c>
      <c r="J58" s="753">
        <f t="shared" si="50"/>
        <v>0</v>
      </c>
      <c r="K58" s="758" t="str">
        <f t="shared" si="6"/>
        <v>41 - 45</v>
      </c>
      <c r="L58" s="753">
        <f t="shared" ref="L58:M58" si="51">IFERROR(L39/L21,0)</f>
        <v>0</v>
      </c>
      <c r="M58" s="753">
        <f t="shared" si="51"/>
        <v>0</v>
      </c>
      <c r="N58" s="758" t="str">
        <f t="shared" si="8"/>
        <v>41 - 45</v>
      </c>
      <c r="O58" s="753">
        <f t="shared" ref="O58:P58" si="52">IFERROR(O39/O21,0)</f>
        <v>0</v>
      </c>
      <c r="P58" s="753">
        <f t="shared" si="52"/>
        <v>0</v>
      </c>
      <c r="Q58" s="758" t="str">
        <f t="shared" si="10"/>
        <v>41 - 45</v>
      </c>
      <c r="R58" s="753">
        <f t="shared" ref="R58:S58" si="53">IFERROR(R39/R21,0)</f>
        <v>0</v>
      </c>
      <c r="S58" s="753">
        <f t="shared" si="53"/>
        <v>0</v>
      </c>
      <c r="T58" s="758" t="str">
        <f t="shared" si="12"/>
        <v>41 - 45</v>
      </c>
      <c r="U58" s="753">
        <f t="shared" ref="U58:V58" si="54">IFERROR(U39/U21,0)</f>
        <v>0</v>
      </c>
      <c r="V58" s="753">
        <f t="shared" si="54"/>
        <v>0</v>
      </c>
      <c r="W58" s="758" t="str">
        <f t="shared" si="14"/>
        <v>41 - 45</v>
      </c>
      <c r="X58" s="753">
        <f t="shared" ref="X58:Y58" si="55">IFERROR(X39/X21,0)</f>
        <v>0</v>
      </c>
      <c r="Y58" s="753">
        <f t="shared" si="55"/>
        <v>0</v>
      </c>
      <c r="Z58" s="688"/>
    </row>
    <row r="59" spans="1:26" x14ac:dyDescent="0.25">
      <c r="A59" s="698"/>
      <c r="B59" s="758" t="str">
        <f t="shared" si="0"/>
        <v>46 - 50</v>
      </c>
      <c r="C59" s="753">
        <f t="shared" ref="C59:D59" si="56">IFERROR(C40/C22,0)</f>
        <v>2939</v>
      </c>
      <c r="D59" s="753">
        <f t="shared" si="56"/>
        <v>3791</v>
      </c>
      <c r="E59" s="758" t="str">
        <f t="shared" si="2"/>
        <v>46 - 50</v>
      </c>
      <c r="F59" s="753">
        <f t="shared" ref="F59:G59" si="57">IFERROR(F40/F22,0)</f>
        <v>0</v>
      </c>
      <c r="G59" s="753">
        <f t="shared" si="57"/>
        <v>0</v>
      </c>
      <c r="H59" s="758" t="str">
        <f t="shared" si="4"/>
        <v>46 - 50</v>
      </c>
      <c r="I59" s="753">
        <f t="shared" ref="I59:J59" si="58">IFERROR(I40/I22,0)</f>
        <v>0</v>
      </c>
      <c r="J59" s="753">
        <f t="shared" si="58"/>
        <v>0</v>
      </c>
      <c r="K59" s="758" t="str">
        <f t="shared" si="6"/>
        <v>46 - 50</v>
      </c>
      <c r="L59" s="753">
        <f t="shared" ref="L59:M59" si="59">IFERROR(L40/L22,0)</f>
        <v>0</v>
      </c>
      <c r="M59" s="753">
        <f t="shared" si="59"/>
        <v>0</v>
      </c>
      <c r="N59" s="758" t="str">
        <f t="shared" si="8"/>
        <v>46 - 50</v>
      </c>
      <c r="O59" s="753">
        <f t="shared" ref="O59:P59" si="60">IFERROR(O40/O22,0)</f>
        <v>0</v>
      </c>
      <c r="P59" s="753">
        <f t="shared" si="60"/>
        <v>0</v>
      </c>
      <c r="Q59" s="758" t="str">
        <f t="shared" si="10"/>
        <v>46 - 50</v>
      </c>
      <c r="R59" s="753">
        <f t="shared" ref="R59:S59" si="61">IFERROR(R40/R22,0)</f>
        <v>0</v>
      </c>
      <c r="S59" s="753">
        <f t="shared" si="61"/>
        <v>0</v>
      </c>
      <c r="T59" s="758" t="str">
        <f t="shared" si="12"/>
        <v>46 - 50</v>
      </c>
      <c r="U59" s="753">
        <f t="shared" ref="U59:V59" si="62">IFERROR(U40/U22,0)</f>
        <v>0</v>
      </c>
      <c r="V59" s="753">
        <f t="shared" si="62"/>
        <v>0</v>
      </c>
      <c r="W59" s="758" t="str">
        <f t="shared" si="14"/>
        <v>46 - 50</v>
      </c>
      <c r="X59" s="753">
        <f t="shared" ref="X59:Y59" si="63">IFERROR(X40/X22,0)</f>
        <v>0</v>
      </c>
      <c r="Y59" s="753">
        <f t="shared" si="63"/>
        <v>0</v>
      </c>
      <c r="Z59" s="688"/>
    </row>
    <row r="60" spans="1:26" x14ac:dyDescent="0.25">
      <c r="A60" s="698"/>
      <c r="B60" s="758" t="str">
        <f t="shared" si="0"/>
        <v>51 - 55</v>
      </c>
      <c r="C60" s="753">
        <f t="shared" ref="C60:D60" si="64">IFERROR(C41/C23,0)</f>
        <v>3939</v>
      </c>
      <c r="D60" s="753">
        <f t="shared" si="64"/>
        <v>0</v>
      </c>
      <c r="E60" s="758" t="str">
        <f t="shared" si="2"/>
        <v>51 - 55</v>
      </c>
      <c r="F60" s="753">
        <f t="shared" ref="F60:G60" si="65">IFERROR(F41/F23,0)</f>
        <v>0</v>
      </c>
      <c r="G60" s="753">
        <f t="shared" si="65"/>
        <v>0</v>
      </c>
      <c r="H60" s="758" t="str">
        <f t="shared" si="4"/>
        <v>51 - 55</v>
      </c>
      <c r="I60" s="753">
        <f t="shared" ref="I60:J60" si="66">IFERROR(I41/I23,0)</f>
        <v>0</v>
      </c>
      <c r="J60" s="753">
        <f t="shared" si="66"/>
        <v>0</v>
      </c>
      <c r="K60" s="758" t="str">
        <f t="shared" si="6"/>
        <v>51 - 55</v>
      </c>
      <c r="L60" s="753">
        <f t="shared" ref="L60:M60" si="67">IFERROR(L41/L23,0)</f>
        <v>0</v>
      </c>
      <c r="M60" s="753">
        <f t="shared" si="67"/>
        <v>0</v>
      </c>
      <c r="N60" s="758" t="str">
        <f t="shared" si="8"/>
        <v>51 - 55</v>
      </c>
      <c r="O60" s="753">
        <f t="shared" ref="O60:P60" si="68">IFERROR(O41/O23,0)</f>
        <v>0</v>
      </c>
      <c r="P60" s="753">
        <f t="shared" si="68"/>
        <v>0</v>
      </c>
      <c r="Q60" s="758" t="str">
        <f t="shared" si="10"/>
        <v>51 - 55</v>
      </c>
      <c r="R60" s="753">
        <f t="shared" ref="R60:S60" si="69">IFERROR(R41/R23,0)</f>
        <v>0</v>
      </c>
      <c r="S60" s="753">
        <f t="shared" si="69"/>
        <v>0</v>
      </c>
      <c r="T60" s="758" t="str">
        <f t="shared" si="12"/>
        <v>51 - 55</v>
      </c>
      <c r="U60" s="753">
        <f t="shared" ref="U60:V60" si="70">IFERROR(U41/U23,0)</f>
        <v>0</v>
      </c>
      <c r="V60" s="753">
        <f t="shared" si="70"/>
        <v>0</v>
      </c>
      <c r="W60" s="758" t="str">
        <f t="shared" si="14"/>
        <v>51 - 55</v>
      </c>
      <c r="X60" s="753">
        <f t="shared" ref="X60:Y60" si="71">IFERROR(X41/X23,0)</f>
        <v>0</v>
      </c>
      <c r="Y60" s="753">
        <f t="shared" si="71"/>
        <v>0</v>
      </c>
      <c r="Z60" s="688"/>
    </row>
    <row r="61" spans="1:26" x14ac:dyDescent="0.25">
      <c r="A61" s="698"/>
      <c r="B61" s="758" t="str">
        <f t="shared" si="0"/>
        <v>56 - 59</v>
      </c>
      <c r="C61" s="753">
        <f t="shared" ref="C61:D61" si="72">IFERROR(C42/C24,0)</f>
        <v>0</v>
      </c>
      <c r="D61" s="753">
        <f t="shared" si="72"/>
        <v>0</v>
      </c>
      <c r="E61" s="758" t="str">
        <f t="shared" si="2"/>
        <v>56 - 59</v>
      </c>
      <c r="F61" s="753">
        <f t="shared" ref="F61:G61" si="73">IFERROR(F42/F24,0)</f>
        <v>0</v>
      </c>
      <c r="G61" s="753">
        <f t="shared" si="73"/>
        <v>0</v>
      </c>
      <c r="H61" s="758" t="str">
        <f t="shared" si="4"/>
        <v>56 - 59</v>
      </c>
      <c r="I61" s="753">
        <f t="shared" ref="I61:J61" si="74">IFERROR(I42/I24,0)</f>
        <v>0</v>
      </c>
      <c r="J61" s="753">
        <f t="shared" si="74"/>
        <v>0</v>
      </c>
      <c r="K61" s="758" t="str">
        <f t="shared" si="6"/>
        <v>56 - 59</v>
      </c>
      <c r="L61" s="753">
        <f t="shared" ref="L61:M61" si="75">IFERROR(L42/L24,0)</f>
        <v>0</v>
      </c>
      <c r="M61" s="753">
        <f t="shared" si="75"/>
        <v>0</v>
      </c>
      <c r="N61" s="758" t="str">
        <f t="shared" si="8"/>
        <v>56 - 59</v>
      </c>
      <c r="O61" s="753">
        <f t="shared" ref="O61:P61" si="76">IFERROR(O42/O24,0)</f>
        <v>0</v>
      </c>
      <c r="P61" s="753">
        <f t="shared" si="76"/>
        <v>0</v>
      </c>
      <c r="Q61" s="758" t="str">
        <f t="shared" si="10"/>
        <v>56 - 59</v>
      </c>
      <c r="R61" s="753">
        <f t="shared" ref="R61:S61" si="77">IFERROR(R42/R24,0)</f>
        <v>0</v>
      </c>
      <c r="S61" s="753">
        <f t="shared" si="77"/>
        <v>0</v>
      </c>
      <c r="T61" s="758" t="str">
        <f t="shared" si="12"/>
        <v>56 - 59</v>
      </c>
      <c r="U61" s="753">
        <f t="shared" ref="U61:V61" si="78">IFERROR(U42/U24,0)</f>
        <v>0</v>
      </c>
      <c r="V61" s="753">
        <f t="shared" si="78"/>
        <v>0</v>
      </c>
      <c r="W61" s="758" t="str">
        <f t="shared" si="14"/>
        <v>56 - 59</v>
      </c>
      <c r="X61" s="753">
        <f t="shared" ref="X61:Y61" si="79">IFERROR(X42/X24,0)</f>
        <v>0</v>
      </c>
      <c r="Y61" s="753">
        <f t="shared" si="79"/>
        <v>0</v>
      </c>
      <c r="Z61" s="688"/>
    </row>
    <row r="62" spans="1:26" x14ac:dyDescent="0.25">
      <c r="A62" s="698"/>
      <c r="B62" s="758" t="str">
        <f t="shared" si="0"/>
        <v>60 - 64</v>
      </c>
      <c r="C62" s="753">
        <f t="shared" ref="C62:D62" si="80">IFERROR(C43/C25,0)</f>
        <v>0</v>
      </c>
      <c r="D62" s="753">
        <f t="shared" si="80"/>
        <v>0</v>
      </c>
      <c r="E62" s="758" t="str">
        <f t="shared" si="2"/>
        <v>60 - 64</v>
      </c>
      <c r="F62" s="753">
        <f t="shared" ref="F62:G62" si="81">IFERROR(F43/F25,0)</f>
        <v>0</v>
      </c>
      <c r="G62" s="753">
        <f t="shared" si="81"/>
        <v>0</v>
      </c>
      <c r="H62" s="758" t="str">
        <f t="shared" si="4"/>
        <v>60 - 64</v>
      </c>
      <c r="I62" s="753">
        <f t="shared" ref="I62:J62" si="82">IFERROR(I43/I25,0)</f>
        <v>0</v>
      </c>
      <c r="J62" s="753">
        <f t="shared" si="82"/>
        <v>0</v>
      </c>
      <c r="K62" s="758" t="str">
        <f t="shared" si="6"/>
        <v>60 - 64</v>
      </c>
      <c r="L62" s="753">
        <f t="shared" ref="L62:M62" si="83">IFERROR(L43/L25,0)</f>
        <v>0</v>
      </c>
      <c r="M62" s="753">
        <f t="shared" si="83"/>
        <v>0</v>
      </c>
      <c r="N62" s="758" t="str">
        <f t="shared" si="8"/>
        <v>60 - 64</v>
      </c>
      <c r="O62" s="753">
        <f t="shared" ref="O62:P62" si="84">IFERROR(O43/O25,0)</f>
        <v>0</v>
      </c>
      <c r="P62" s="753">
        <f t="shared" si="84"/>
        <v>0</v>
      </c>
      <c r="Q62" s="758" t="str">
        <f t="shared" si="10"/>
        <v>60 - 64</v>
      </c>
      <c r="R62" s="753">
        <f t="shared" ref="R62:S62" si="85">IFERROR(R43/R25,0)</f>
        <v>0</v>
      </c>
      <c r="S62" s="753">
        <f t="shared" si="85"/>
        <v>0</v>
      </c>
      <c r="T62" s="758" t="str">
        <f t="shared" si="12"/>
        <v>60 - 64</v>
      </c>
      <c r="U62" s="753">
        <f t="shared" ref="U62:V62" si="86">IFERROR(U43/U25,0)</f>
        <v>0</v>
      </c>
      <c r="V62" s="753">
        <f t="shared" si="86"/>
        <v>0</v>
      </c>
      <c r="W62" s="758" t="str">
        <f t="shared" si="14"/>
        <v>60 - 64</v>
      </c>
      <c r="X62" s="753">
        <f t="shared" ref="X62:Y62" si="87">IFERROR(X43/X25,0)</f>
        <v>0</v>
      </c>
      <c r="Y62" s="753">
        <f t="shared" si="87"/>
        <v>0</v>
      </c>
      <c r="Z62" s="688"/>
    </row>
    <row r="63" spans="1:26" x14ac:dyDescent="0.25">
      <c r="A63" s="698"/>
      <c r="B63" s="758" t="str">
        <f t="shared" si="0"/>
        <v>65 - 99</v>
      </c>
      <c r="C63" s="753">
        <f t="shared" ref="C63:D63" si="88">IFERROR(C44/C26,0)</f>
        <v>0</v>
      </c>
      <c r="D63" s="753">
        <f t="shared" si="88"/>
        <v>0</v>
      </c>
      <c r="E63" s="758" t="str">
        <f t="shared" si="2"/>
        <v>65 - 99</v>
      </c>
      <c r="F63" s="753">
        <f t="shared" ref="F63:G63" si="89">IFERROR(F44/F26,0)</f>
        <v>0</v>
      </c>
      <c r="G63" s="753">
        <f t="shared" si="89"/>
        <v>0</v>
      </c>
      <c r="H63" s="758" t="str">
        <f t="shared" si="4"/>
        <v>65 - 99</v>
      </c>
      <c r="I63" s="753">
        <f t="shared" ref="I63:J63" si="90">IFERROR(I44/I26,0)</f>
        <v>0</v>
      </c>
      <c r="J63" s="753">
        <f t="shared" si="90"/>
        <v>0</v>
      </c>
      <c r="K63" s="758" t="str">
        <f t="shared" si="6"/>
        <v>65 - 99</v>
      </c>
      <c r="L63" s="753">
        <f t="shared" ref="L63:M63" si="91">IFERROR(L44/L26,0)</f>
        <v>0</v>
      </c>
      <c r="M63" s="753">
        <f t="shared" si="91"/>
        <v>0</v>
      </c>
      <c r="N63" s="758" t="str">
        <f t="shared" si="8"/>
        <v>65 - 99</v>
      </c>
      <c r="O63" s="753">
        <f t="shared" ref="O63:P63" si="92">IFERROR(O44/O26,0)</f>
        <v>0</v>
      </c>
      <c r="P63" s="753">
        <f t="shared" si="92"/>
        <v>0</v>
      </c>
      <c r="Q63" s="758" t="str">
        <f t="shared" si="10"/>
        <v>65 - 99</v>
      </c>
      <c r="R63" s="753">
        <f t="shared" ref="R63:S63" si="93">IFERROR(R44/R26,0)</f>
        <v>0</v>
      </c>
      <c r="S63" s="753">
        <f t="shared" si="93"/>
        <v>0</v>
      </c>
      <c r="T63" s="758" t="str">
        <f t="shared" si="12"/>
        <v>65 - 99</v>
      </c>
      <c r="U63" s="753">
        <f t="shared" ref="U63:V63" si="94">IFERROR(U44/U26,0)</f>
        <v>0</v>
      </c>
      <c r="V63" s="753">
        <f t="shared" si="94"/>
        <v>0</v>
      </c>
      <c r="W63" s="758" t="str">
        <f t="shared" si="14"/>
        <v>65 - 99</v>
      </c>
      <c r="X63" s="753">
        <f t="shared" ref="X63:Y63" si="95">IFERROR(X44/X26,0)</f>
        <v>0</v>
      </c>
      <c r="Y63" s="753">
        <f t="shared" si="95"/>
        <v>0</v>
      </c>
      <c r="Z63" s="688"/>
    </row>
    <row r="64" spans="1:26" s="754" customFormat="1" x14ac:dyDescent="0.25">
      <c r="B64" s="755"/>
      <c r="Z64" s="756"/>
    </row>
    <row r="65" spans="2:26" ht="15.75" thickBot="1" x14ac:dyDescent="0.3">
      <c r="B65" s="695"/>
      <c r="C65" s="570"/>
      <c r="D65" s="570"/>
      <c r="E65" s="570"/>
      <c r="F65" s="570"/>
      <c r="G65" s="570"/>
      <c r="H65" s="570"/>
      <c r="I65" s="570"/>
      <c r="J65" s="570"/>
      <c r="K65" s="570"/>
      <c r="L65" s="570"/>
      <c r="M65" s="570"/>
      <c r="N65" s="570"/>
      <c r="O65" s="570"/>
      <c r="P65" s="696"/>
      <c r="Q65" s="570"/>
      <c r="R65" s="570"/>
      <c r="S65" s="570"/>
      <c r="T65" s="570"/>
      <c r="U65" s="570"/>
      <c r="V65" s="570"/>
      <c r="W65" s="570"/>
      <c r="X65" s="570"/>
      <c r="Y65" s="570"/>
      <c r="Z65" s="697"/>
    </row>
    <row r="66" spans="2:26" ht="17.25" x14ac:dyDescent="0.25">
      <c r="B66" s="684"/>
      <c r="C66" s="710" t="s">
        <v>78</v>
      </c>
      <c r="D66" s="569"/>
      <c r="E66" s="569"/>
      <c r="F66" s="569"/>
      <c r="G66" s="569"/>
      <c r="H66" s="569"/>
      <c r="I66" s="569"/>
      <c r="J66" s="569"/>
      <c r="K66" s="569"/>
      <c r="L66" s="569"/>
      <c r="M66" s="569"/>
      <c r="N66" s="569"/>
      <c r="O66" s="569"/>
      <c r="P66" s="685"/>
      <c r="Q66" s="569"/>
      <c r="R66" s="569"/>
      <c r="S66" s="569"/>
      <c r="T66" s="569"/>
      <c r="U66" s="569"/>
      <c r="V66" s="569"/>
      <c r="W66" s="569"/>
      <c r="X66" s="569"/>
      <c r="Y66" s="569"/>
      <c r="Z66" s="686"/>
    </row>
    <row r="67" spans="2:26" x14ac:dyDescent="0.25">
      <c r="B67" s="687"/>
      <c r="Z67" s="688"/>
    </row>
    <row r="68" spans="2:26" ht="15.75" x14ac:dyDescent="0.25">
      <c r="B68" s="687"/>
      <c r="C68" s="689" t="s">
        <v>91</v>
      </c>
      <c r="D68" s="690"/>
      <c r="F68" s="689" t="s">
        <v>92</v>
      </c>
      <c r="G68" s="691"/>
      <c r="I68" s="689" t="s">
        <v>93</v>
      </c>
      <c r="J68" s="691"/>
      <c r="L68" s="689" t="s">
        <v>94</v>
      </c>
      <c r="M68" s="691"/>
      <c r="O68" s="689" t="s">
        <v>358</v>
      </c>
      <c r="P68" s="690"/>
      <c r="R68" s="689" t="s">
        <v>359</v>
      </c>
      <c r="S68" s="691"/>
      <c r="U68" s="689" t="s">
        <v>360</v>
      </c>
      <c r="V68" s="691"/>
      <c r="X68" s="689" t="s">
        <v>361</v>
      </c>
      <c r="Y68" s="691"/>
      <c r="Z68" s="688"/>
    </row>
    <row r="69" spans="2:26" ht="15.75" x14ac:dyDescent="0.25">
      <c r="B69" s="687"/>
      <c r="C69" s="689" t="s">
        <v>9</v>
      </c>
      <c r="D69" s="544">
        <f>'Member Data'!O28</f>
        <v>0</v>
      </c>
      <c r="F69" s="689" t="s">
        <v>9</v>
      </c>
      <c r="G69" s="544">
        <f>'Member Data'!P28</f>
        <v>0</v>
      </c>
      <c r="I69" s="689" t="s">
        <v>9</v>
      </c>
      <c r="J69" s="544">
        <f>'Member Data'!Q28</f>
        <v>0</v>
      </c>
      <c r="L69" s="689" t="s">
        <v>9</v>
      </c>
      <c r="M69" s="544">
        <f>'Member Data'!R28</f>
        <v>0</v>
      </c>
      <c r="O69" s="689" t="s">
        <v>9</v>
      </c>
      <c r="P69" s="544">
        <f>'Member Data'!S28</f>
        <v>0</v>
      </c>
      <c r="R69" s="689" t="s">
        <v>9</v>
      </c>
      <c r="S69" s="544">
        <f>'Member Data'!T28</f>
        <v>0</v>
      </c>
      <c r="U69" s="689" t="s">
        <v>9</v>
      </c>
      <c r="V69" s="544">
        <f>'Member Data'!U28</f>
        <v>0</v>
      </c>
      <c r="X69" s="689" t="s">
        <v>9</v>
      </c>
      <c r="Y69" s="544">
        <f>'Member Data'!V28</f>
        <v>0</v>
      </c>
      <c r="Z69" s="688"/>
    </row>
    <row r="70" spans="2:26" ht="15.75" x14ac:dyDescent="0.25">
      <c r="B70" s="687"/>
      <c r="C70" s="689" t="str">
        <f>IF(D6="Dubai","36-45","36-50")</f>
        <v>36-45</v>
      </c>
      <c r="D70" s="544">
        <f>IF(D6="Dubai",'Member Data'!O29,'General Basis'!N16)</f>
        <v>0</v>
      </c>
      <c r="F70" s="689" t="str">
        <f>IF(G6="Dubai","36-45","36-50")</f>
        <v>36-45</v>
      </c>
      <c r="G70" s="544">
        <f>IF(G6="Dubai",'Member Data'!P29,'General Basis'!O16)</f>
        <v>0</v>
      </c>
      <c r="I70" s="689" t="str">
        <f>IF(J6="Dubai","36-45","36-50")</f>
        <v>36-45</v>
      </c>
      <c r="J70" s="544">
        <f>IF(J6="Dubai",'Member Data'!Q29,'General Basis'!P16)</f>
        <v>0</v>
      </c>
      <c r="L70" s="689" t="str">
        <f>IF(M6="Dubai","36-45","36-50")</f>
        <v>36-45</v>
      </c>
      <c r="M70" s="544">
        <f>IF(M6="Dubai",'Member Data'!R29,'General Basis'!Q16)</f>
        <v>0</v>
      </c>
      <c r="O70" s="689" t="str">
        <f>IF(P6="Dubai","36-45","36-50")</f>
        <v>36-45</v>
      </c>
      <c r="P70" s="544">
        <f>IF(P6="Dubai",'Member Data'!S29,'General Basis'!R16)</f>
        <v>0</v>
      </c>
      <c r="R70" s="689" t="str">
        <f>IF(S6="Dubai","36-45","36-50")</f>
        <v>36-45</v>
      </c>
      <c r="S70" s="544">
        <f>IF(S6="Dubai",'Member Data'!T29,'General Basis'!S16)</f>
        <v>0</v>
      </c>
      <c r="U70" s="689" t="str">
        <f>IF(V6="Dubai","36-45","36-50")</f>
        <v>36-45</v>
      </c>
      <c r="V70" s="544">
        <f>IF(V6="Dubai",'Member Data'!U29,'General Basis'!T16)</f>
        <v>0</v>
      </c>
      <c r="X70" s="689" t="str">
        <f>IF(Y6="Dubai","36-45","36-50")</f>
        <v>36-45</v>
      </c>
      <c r="Y70" s="544">
        <f>IF(Y6="Dubai",'Member Data'!V29,'General Basis'!U16)</f>
        <v>0</v>
      </c>
      <c r="Z70" s="688"/>
    </row>
    <row r="71" spans="2:26" x14ac:dyDescent="0.25">
      <c r="B71" s="687"/>
      <c r="Z71" s="688"/>
    </row>
    <row r="72" spans="2:26" ht="17.25" x14ac:dyDescent="0.25">
      <c r="B72" s="687"/>
      <c r="C72" s="738" t="s">
        <v>102</v>
      </c>
      <c r="Z72" s="688"/>
    </row>
    <row r="73" spans="2:26" x14ac:dyDescent="0.25">
      <c r="B73" s="687"/>
      <c r="Z73" s="688"/>
    </row>
    <row r="74" spans="2:26" ht="15.75" x14ac:dyDescent="0.25">
      <c r="B74" s="687"/>
      <c r="C74" s="689" t="s">
        <v>91</v>
      </c>
      <c r="D74" s="690"/>
      <c r="F74" s="689" t="s">
        <v>92</v>
      </c>
      <c r="G74" s="691"/>
      <c r="I74" s="689" t="s">
        <v>93</v>
      </c>
      <c r="J74" s="691"/>
      <c r="L74" s="689" t="s">
        <v>94</v>
      </c>
      <c r="M74" s="691"/>
      <c r="O74" s="689" t="s">
        <v>358</v>
      </c>
      <c r="P74" s="690"/>
      <c r="R74" s="689" t="s">
        <v>359</v>
      </c>
      <c r="S74" s="691"/>
      <c r="U74" s="689" t="s">
        <v>360</v>
      </c>
      <c r="V74" s="691"/>
      <c r="X74" s="689" t="s">
        <v>361</v>
      </c>
      <c r="Y74" s="691"/>
      <c r="Z74" s="688"/>
    </row>
    <row r="75" spans="2:26" ht="15.75" x14ac:dyDescent="0.25">
      <c r="B75" s="687"/>
      <c r="C75" s="689" t="s">
        <v>39</v>
      </c>
      <c r="D75" s="694" t="s">
        <v>40</v>
      </c>
      <c r="E75" s="562"/>
      <c r="F75" s="689" t="s">
        <v>39</v>
      </c>
      <c r="G75" s="694" t="s">
        <v>40</v>
      </c>
      <c r="H75" s="562"/>
      <c r="I75" s="689" t="s">
        <v>39</v>
      </c>
      <c r="J75" s="694" t="s">
        <v>40</v>
      </c>
      <c r="K75" s="562"/>
      <c r="L75" s="689" t="s">
        <v>39</v>
      </c>
      <c r="M75" s="694" t="s">
        <v>40</v>
      </c>
      <c r="O75" s="689" t="s">
        <v>39</v>
      </c>
      <c r="P75" s="694" t="s">
        <v>40</v>
      </c>
      <c r="Q75" s="562"/>
      <c r="R75" s="689" t="s">
        <v>39</v>
      </c>
      <c r="S75" s="694" t="s">
        <v>40</v>
      </c>
      <c r="T75" s="562"/>
      <c r="U75" s="689" t="s">
        <v>39</v>
      </c>
      <c r="V75" s="694" t="s">
        <v>40</v>
      </c>
      <c r="W75" s="562"/>
      <c r="X75" s="689" t="s">
        <v>39</v>
      </c>
      <c r="Y75" s="694" t="s">
        <v>40</v>
      </c>
      <c r="Z75" s="688"/>
    </row>
    <row r="76" spans="2:26" x14ac:dyDescent="0.25">
      <c r="B76" s="687"/>
      <c r="C76" s="544">
        <f>'Member Data'!O33</f>
        <v>8</v>
      </c>
      <c r="D76" s="544">
        <f>'Member Data'!O34</f>
        <v>3</v>
      </c>
      <c r="F76" s="544">
        <f>'Member Data'!P33</f>
        <v>0</v>
      </c>
      <c r="G76" s="544">
        <f>'Member Data'!P34</f>
        <v>0</v>
      </c>
      <c r="I76" s="544">
        <f>'Member Data'!Q33</f>
        <v>0</v>
      </c>
      <c r="J76" s="544">
        <f>'Member Data'!Q34</f>
        <v>0</v>
      </c>
      <c r="L76" s="544">
        <f>'Member Data'!R33</f>
        <v>0</v>
      </c>
      <c r="M76" s="544">
        <f>'Member Data'!R34</f>
        <v>0</v>
      </c>
      <c r="O76" s="544">
        <f>'Member Data'!S33</f>
        <v>0</v>
      </c>
      <c r="P76" s="544">
        <f>'Member Data'!S34</f>
        <v>0</v>
      </c>
      <c r="R76" s="544">
        <f>'Member Data'!T33</f>
        <v>0</v>
      </c>
      <c r="S76" s="544">
        <f>'Member Data'!T34</f>
        <v>0</v>
      </c>
      <c r="U76" s="544">
        <f>'Member Data'!U33</f>
        <v>0</v>
      </c>
      <c r="V76" s="544">
        <f>'Member Data'!U34</f>
        <v>0</v>
      </c>
      <c r="X76" s="544">
        <f>'Member Data'!V33</f>
        <v>0</v>
      </c>
      <c r="Y76" s="544">
        <f>'Member Data'!V34</f>
        <v>0</v>
      </c>
      <c r="Z76" s="688"/>
    </row>
    <row r="77" spans="2:26" ht="15.75" thickBot="1" x14ac:dyDescent="0.3">
      <c r="B77" s="695"/>
      <c r="C77" s="570"/>
      <c r="D77" s="570"/>
      <c r="E77" s="570"/>
      <c r="F77" s="570"/>
      <c r="G77" s="570"/>
      <c r="H77" s="570"/>
      <c r="I77" s="570"/>
      <c r="J77" s="570"/>
      <c r="K77" s="570"/>
      <c r="L77" s="570"/>
      <c r="M77" s="570"/>
      <c r="N77" s="570"/>
      <c r="O77" s="570"/>
      <c r="P77" s="696"/>
      <c r="Q77" s="570"/>
      <c r="R77" s="570"/>
      <c r="S77" s="570"/>
      <c r="T77" s="570"/>
      <c r="U77" s="570"/>
      <c r="V77" s="570"/>
      <c r="W77" s="570"/>
      <c r="X77" s="570"/>
      <c r="Y77" s="570"/>
      <c r="Z77" s="697"/>
    </row>
    <row r="78" spans="2:26" ht="17.25" x14ac:dyDescent="0.25">
      <c r="B78" s="684"/>
      <c r="C78" s="710" t="s">
        <v>105</v>
      </c>
      <c r="D78" s="569"/>
      <c r="E78" s="569"/>
      <c r="F78" s="569"/>
      <c r="G78" s="569"/>
      <c r="H78" s="569"/>
      <c r="I78" s="569"/>
      <c r="J78" s="569"/>
      <c r="K78" s="569"/>
      <c r="L78" s="569"/>
      <c r="M78" s="569"/>
      <c r="N78" s="569"/>
      <c r="O78" s="569"/>
      <c r="P78" s="685"/>
      <c r="Q78" s="569"/>
      <c r="R78" s="569"/>
      <c r="S78" s="569"/>
      <c r="T78" s="569"/>
      <c r="U78" s="569"/>
      <c r="V78" s="569"/>
      <c r="W78" s="569"/>
      <c r="X78" s="569"/>
      <c r="Y78" s="569"/>
      <c r="Z78" s="686"/>
    </row>
    <row r="79" spans="2:26" ht="17.25" x14ac:dyDescent="0.25">
      <c r="B79" s="687"/>
      <c r="C79" s="701"/>
      <c r="Z79" s="688"/>
    </row>
    <row r="80" spans="2:26" ht="15.75" x14ac:dyDescent="0.25">
      <c r="B80" s="687"/>
      <c r="C80" s="689" t="s">
        <v>91</v>
      </c>
      <c r="D80" s="690"/>
      <c r="F80" s="689" t="s">
        <v>92</v>
      </c>
      <c r="G80" s="691"/>
      <c r="I80" s="689" t="s">
        <v>93</v>
      </c>
      <c r="J80" s="691"/>
      <c r="L80" s="689" t="s">
        <v>94</v>
      </c>
      <c r="M80" s="691"/>
      <c r="O80" s="689" t="s">
        <v>358</v>
      </c>
      <c r="P80" s="690"/>
      <c r="R80" s="689" t="s">
        <v>359</v>
      </c>
      <c r="S80" s="691"/>
      <c r="U80" s="689" t="s">
        <v>360</v>
      </c>
      <c r="V80" s="691"/>
      <c r="X80" s="689" t="s">
        <v>361</v>
      </c>
      <c r="Y80" s="691"/>
      <c r="Z80" s="688"/>
    </row>
    <row r="81" spans="2:26" ht="15.75" x14ac:dyDescent="0.25">
      <c r="B81" s="687"/>
      <c r="C81" s="693" t="s">
        <v>105</v>
      </c>
      <c r="D81" s="693" t="str">
        <f>'Benefit Selection - Group'!$B$14</f>
        <v>RN3</v>
      </c>
      <c r="F81" s="693" t="s">
        <v>105</v>
      </c>
      <c r="G81" s="693" t="str">
        <f>'Benefit Selection - Group'!$G$14</f>
        <v>RN</v>
      </c>
      <c r="I81" s="693" t="s">
        <v>105</v>
      </c>
      <c r="J81" s="693" t="str">
        <f>'Benefit Selection - Group'!$L$14</f>
        <v>RN2</v>
      </c>
      <c r="L81" s="693" t="s">
        <v>105</v>
      </c>
      <c r="M81" s="693" t="str">
        <f>'Benefit Selection - Group'!$Q$14</f>
        <v>RN2</v>
      </c>
      <c r="O81" s="693" t="s">
        <v>105</v>
      </c>
      <c r="P81" s="693" t="str">
        <f>'Benefit Selection - Group'!$V$14</f>
        <v>RN3</v>
      </c>
      <c r="R81" s="693" t="s">
        <v>105</v>
      </c>
      <c r="S81" s="693" t="str">
        <f>'Benefit Selection - Group'!$AA$14</f>
        <v>RN3</v>
      </c>
      <c r="U81" s="693" t="s">
        <v>105</v>
      </c>
      <c r="V81" s="693" t="str">
        <f>'Benefit Selection - Group'!$AF$14</f>
        <v>RN3</v>
      </c>
      <c r="X81" s="693" t="s">
        <v>105</v>
      </c>
      <c r="Y81" s="693" t="str">
        <f>'Benefit Selection - Group'!$AK$14</f>
        <v>RN3</v>
      </c>
      <c r="Z81" s="688"/>
    </row>
    <row r="82" spans="2:26" x14ac:dyDescent="0.25">
      <c r="B82" s="687">
        <v>2</v>
      </c>
      <c r="C82" s="563" t="str">
        <f>HLOOKUP(D$81,'Group Basis'!$B$104:$I$107,2,0)</f>
        <v>Private</v>
      </c>
      <c r="D82" s="572">
        <f>HLOOKUP(D$81,'Group Basis'!$B$110:$I$113,2,0)</f>
        <v>1.0810810810810809</v>
      </c>
      <c r="F82" s="563" t="str">
        <f>HLOOKUP(G$81,'Group Basis'!$B$104:$I$107,2,0)</f>
        <v>Private</v>
      </c>
      <c r="G82" s="572">
        <f>HLOOKUP(G$81,'Group Basis'!$B$110:$I$113,2,0)</f>
        <v>1</v>
      </c>
      <c r="I82" s="563" t="str">
        <f>HLOOKUP(J$81,'Group Basis'!$B$104:$I$107,2,0)</f>
        <v>Private</v>
      </c>
      <c r="J82" s="572">
        <f>HLOOKUP(J$81,'Group Basis'!$B$110:$I$113,2,0)</f>
        <v>1.0526315789473684</v>
      </c>
      <c r="L82" s="563" t="str">
        <f>HLOOKUP(M$81,'Group Basis'!$B$104:$I$107,2,0)</f>
        <v>Private</v>
      </c>
      <c r="M82" s="572">
        <f>HLOOKUP(M$81,'Group Basis'!$B$110:$I$113,2,0)</f>
        <v>1.0526315789473684</v>
      </c>
      <c r="O82" s="563" t="str">
        <f>HLOOKUP(P$81,'Group Basis'!$B$104:$I$107,2,0)</f>
        <v>Private</v>
      </c>
      <c r="P82" s="572">
        <f>HLOOKUP(P$81,'Group Basis'!$B$110:$I$113,2,0)</f>
        <v>1.0810810810810809</v>
      </c>
      <c r="R82" s="563" t="str">
        <f>HLOOKUP(S$81,'Group Basis'!$B$104:$I$107,2,0)</f>
        <v>Private</v>
      </c>
      <c r="S82" s="572">
        <f>HLOOKUP(S$81,'Group Basis'!$B$110:$I$113,2,0)</f>
        <v>1.0810810810810809</v>
      </c>
      <c r="U82" s="563" t="str">
        <f>HLOOKUP(V$81,'Group Basis'!$B$104:$I$107,2,0)</f>
        <v>Private</v>
      </c>
      <c r="V82" s="572">
        <f>HLOOKUP(V$81,'Group Basis'!$B$110:$I$113,2,0)</f>
        <v>1.0810810810810809</v>
      </c>
      <c r="X82" s="563" t="str">
        <f>HLOOKUP(Y$81,'Group Basis'!$B$104:$I$107,2,0)</f>
        <v>Private</v>
      </c>
      <c r="Y82" s="572">
        <f>HLOOKUP(Y$81,'Group Basis'!$B$110:$I$113,2,0)</f>
        <v>1.0810810810810809</v>
      </c>
      <c r="Z82" s="688"/>
    </row>
    <row r="83" spans="2:26" x14ac:dyDescent="0.25">
      <c r="B83" s="687">
        <f>B82+1</f>
        <v>3</v>
      </c>
      <c r="C83" s="563" t="str">
        <f>HLOOKUP(D$81,'Group Basis'!$B$104:$I$107,3,0)</f>
        <v>Semi Private</v>
      </c>
      <c r="D83" s="572">
        <f>HLOOKUP(D$81,'Group Basis'!$B$110:$I$113,3,0)</f>
        <v>1.027027027027027</v>
      </c>
      <c r="F83" s="563" t="str">
        <f>HLOOKUP(G$81,'Group Basis'!$B$104:$I$107,3,0)</f>
        <v>Semi Private</v>
      </c>
      <c r="G83" s="572">
        <f>HLOOKUP(G$81,'Group Basis'!$B$110:$I$113,3,0)</f>
        <v>0.95</v>
      </c>
      <c r="I83" s="563" t="str">
        <f>HLOOKUP(J$81,'Group Basis'!$B$104:$I$107,3,0)</f>
        <v>Semi Private</v>
      </c>
      <c r="J83" s="572">
        <f>HLOOKUP(J$81,'Group Basis'!$B$110:$I$113,3,0)</f>
        <v>1</v>
      </c>
      <c r="L83" s="563" t="str">
        <f>HLOOKUP(M$81,'Group Basis'!$B$104:$I$107,3,0)</f>
        <v>Semi Private</v>
      </c>
      <c r="M83" s="572">
        <f>HLOOKUP(M$81,'Group Basis'!$B$110:$I$113,3,0)</f>
        <v>1</v>
      </c>
      <c r="O83" s="563" t="str">
        <f>HLOOKUP(P$81,'Group Basis'!$B$104:$I$107,3,0)</f>
        <v>Semi Private</v>
      </c>
      <c r="P83" s="572">
        <f>HLOOKUP(P$81,'Group Basis'!$B$110:$I$113,3,0)</f>
        <v>1.027027027027027</v>
      </c>
      <c r="R83" s="563" t="str">
        <f>HLOOKUP(S$81,'Group Basis'!$B$104:$I$107,3,0)</f>
        <v>Semi Private</v>
      </c>
      <c r="S83" s="572">
        <f>HLOOKUP(S$81,'Group Basis'!$B$110:$I$113,3,0)</f>
        <v>1.027027027027027</v>
      </c>
      <c r="U83" s="563" t="str">
        <f>HLOOKUP(V$81,'Group Basis'!$B$104:$I$107,3,0)</f>
        <v>Semi Private</v>
      </c>
      <c r="V83" s="572">
        <f>HLOOKUP(V$81,'Group Basis'!$B$110:$I$113,3,0)</f>
        <v>1.027027027027027</v>
      </c>
      <c r="X83" s="563" t="str">
        <f>HLOOKUP(Y$81,'Group Basis'!$B$104:$I$107,3,0)</f>
        <v>Semi Private</v>
      </c>
      <c r="Y83" s="572">
        <f>HLOOKUP(Y$81,'Group Basis'!$B$110:$I$113,3,0)</f>
        <v>1.027027027027027</v>
      </c>
      <c r="Z83" s="688"/>
    </row>
    <row r="84" spans="2:26" x14ac:dyDescent="0.25">
      <c r="B84" s="687">
        <f>B83+1</f>
        <v>4</v>
      </c>
      <c r="C84" s="563" t="str">
        <f>HLOOKUP(D$81,'Group Basis'!$B$104:$I$107,4,0)</f>
        <v>Shared / Ward</v>
      </c>
      <c r="D84" s="572">
        <f>HLOOKUP(D$81,'Group Basis'!$B$110:$I$113,4,0)</f>
        <v>1</v>
      </c>
      <c r="F84" s="563" t="str">
        <f>HLOOKUP(G$81,'Group Basis'!$B$104:$I$107,4,0)</f>
        <v>Shared / Ward</v>
      </c>
      <c r="G84" s="572">
        <f>HLOOKUP(G$81,'Group Basis'!$B$110:$I$113,4,0)</f>
        <v>0.92500000000000004</v>
      </c>
      <c r="I84" s="563" t="str">
        <f>HLOOKUP(J$81,'Group Basis'!$B$104:$I$107,4,0)</f>
        <v>Shared / Ward</v>
      </c>
      <c r="J84" s="572">
        <f>HLOOKUP(J$81,'Group Basis'!$B$110:$I$113,4,0)</f>
        <v>0.97368421052631593</v>
      </c>
      <c r="L84" s="563" t="str">
        <f>HLOOKUP(M$81,'Group Basis'!$B$104:$I$107,4,0)</f>
        <v>Shared / Ward</v>
      </c>
      <c r="M84" s="572">
        <f>HLOOKUP(M$81,'Group Basis'!$B$110:$I$113,4,0)</f>
        <v>0.97368421052631593</v>
      </c>
      <c r="O84" s="563" t="str">
        <f>HLOOKUP(P$81,'Group Basis'!$B$104:$I$107,4,0)</f>
        <v>Shared / Ward</v>
      </c>
      <c r="P84" s="572">
        <f>HLOOKUP(P$81,'Group Basis'!$B$110:$I$113,4,0)</f>
        <v>1</v>
      </c>
      <c r="R84" s="563" t="str">
        <f>HLOOKUP(S$81,'Group Basis'!$B$104:$I$107,4,0)</f>
        <v>Shared / Ward</v>
      </c>
      <c r="S84" s="572">
        <f>HLOOKUP(S$81,'Group Basis'!$B$110:$I$113,4,0)</f>
        <v>1</v>
      </c>
      <c r="U84" s="563" t="str">
        <f>HLOOKUP(V$81,'Group Basis'!$B$104:$I$107,4,0)</f>
        <v>Shared / Ward</v>
      </c>
      <c r="V84" s="572">
        <f>HLOOKUP(V$81,'Group Basis'!$B$110:$I$113,4,0)</f>
        <v>1</v>
      </c>
      <c r="X84" s="563" t="str">
        <f>HLOOKUP(Y$81,'Group Basis'!$B$104:$I$107,4,0)</f>
        <v>Shared / Ward</v>
      </c>
      <c r="Y84" s="572">
        <f>HLOOKUP(Y$81,'Group Basis'!$B$110:$I$113,4,0)</f>
        <v>1</v>
      </c>
      <c r="Z84" s="688"/>
    </row>
    <row r="85" spans="2:26" ht="15.75" thickBot="1" x14ac:dyDescent="0.3">
      <c r="B85" s="695"/>
      <c r="C85" s="570"/>
      <c r="D85" s="570"/>
      <c r="E85" s="570"/>
      <c r="F85" s="570"/>
      <c r="G85" s="570"/>
      <c r="H85" s="570"/>
      <c r="I85" s="570"/>
      <c r="J85" s="570"/>
      <c r="K85" s="570"/>
      <c r="L85" s="570"/>
      <c r="M85" s="570"/>
      <c r="N85" s="570"/>
      <c r="O85" s="570"/>
      <c r="P85" s="696"/>
      <c r="Q85" s="570"/>
      <c r="R85" s="570"/>
      <c r="S85" s="570"/>
      <c r="T85" s="570"/>
      <c r="U85" s="570"/>
      <c r="V85" s="570"/>
      <c r="W85" s="570"/>
      <c r="X85" s="570"/>
      <c r="Y85" s="570"/>
      <c r="Z85" s="697"/>
    </row>
    <row r="87" spans="2:26" ht="15.75" thickBot="1" x14ac:dyDescent="0.3"/>
    <row r="88" spans="2:26" ht="17.25" x14ac:dyDescent="0.25">
      <c r="B88" s="684"/>
      <c r="C88" s="710" t="s">
        <v>122</v>
      </c>
      <c r="D88" s="569"/>
      <c r="E88" s="569"/>
      <c r="F88" s="569"/>
      <c r="G88" s="569"/>
      <c r="H88" s="569"/>
      <c r="I88" s="569"/>
      <c r="J88" s="569"/>
      <c r="K88" s="569"/>
      <c r="L88" s="569"/>
      <c r="M88" s="569"/>
      <c r="N88" s="569"/>
      <c r="O88" s="569"/>
      <c r="P88" s="685"/>
      <c r="Q88" s="569"/>
      <c r="R88" s="569"/>
      <c r="S88" s="569"/>
      <c r="T88" s="569"/>
      <c r="U88" s="569"/>
      <c r="V88" s="569"/>
      <c r="W88" s="569"/>
      <c r="X88" s="569"/>
      <c r="Y88" s="569"/>
      <c r="Z88" s="686"/>
    </row>
    <row r="89" spans="2:26" x14ac:dyDescent="0.25">
      <c r="B89" s="687"/>
      <c r="Z89" s="688"/>
    </row>
    <row r="90" spans="2:26" ht="15.75" x14ac:dyDescent="0.25">
      <c r="B90" s="751" t="s">
        <v>678</v>
      </c>
      <c r="C90" s="689" t="s">
        <v>91</v>
      </c>
      <c r="D90" s="690"/>
      <c r="F90" s="689" t="s">
        <v>92</v>
      </c>
      <c r="G90" s="691"/>
      <c r="I90" s="689" t="s">
        <v>93</v>
      </c>
      <c r="J90" s="691"/>
      <c r="L90" s="689" t="s">
        <v>94</v>
      </c>
      <c r="M90" s="691"/>
      <c r="O90" s="689" t="s">
        <v>358</v>
      </c>
      <c r="P90" s="690"/>
      <c r="R90" s="689" t="s">
        <v>359</v>
      </c>
      <c r="S90" s="691"/>
      <c r="U90" s="689" t="s">
        <v>360</v>
      </c>
      <c r="V90" s="691"/>
      <c r="X90" s="689" t="s">
        <v>361</v>
      </c>
      <c r="Y90" s="691"/>
      <c r="Z90" s="688"/>
    </row>
    <row r="91" spans="2:26" ht="15.75" x14ac:dyDescent="0.25">
      <c r="B91" s="1168" t="s">
        <v>130</v>
      </c>
      <c r="C91" s="693" t="s">
        <v>117</v>
      </c>
      <c r="D91" s="692" t="s">
        <v>95</v>
      </c>
      <c r="F91" s="693" t="s">
        <v>117</v>
      </c>
      <c r="G91" s="692" t="s">
        <v>95</v>
      </c>
      <c r="I91" s="693" t="s">
        <v>117</v>
      </c>
      <c r="J91" s="692" t="s">
        <v>95</v>
      </c>
      <c r="L91" s="693" t="s">
        <v>117</v>
      </c>
      <c r="M91" s="692" t="s">
        <v>95</v>
      </c>
      <c r="O91" s="693" t="s">
        <v>117</v>
      </c>
      <c r="P91" s="692" t="s">
        <v>95</v>
      </c>
      <c r="R91" s="693" t="s">
        <v>117</v>
      </c>
      <c r="S91" s="692" t="s">
        <v>95</v>
      </c>
      <c r="U91" s="693" t="s">
        <v>117</v>
      </c>
      <c r="V91" s="692" t="s">
        <v>95</v>
      </c>
      <c r="X91" s="693" t="s">
        <v>117</v>
      </c>
      <c r="Y91" s="692" t="s">
        <v>95</v>
      </c>
      <c r="Z91" s="688"/>
    </row>
    <row r="92" spans="2:26" x14ac:dyDescent="0.25">
      <c r="B92" s="1168">
        <v>7500</v>
      </c>
      <c r="C92" s="544">
        <f>IF(D$92="Abu Dhabi",$B$100,IF(D$92="Dubai",$B$93,$B91))</f>
        <v>10000</v>
      </c>
      <c r="D92" s="471" t="str">
        <f>'Benefit Selection - Group'!B9</f>
        <v>Dubai</v>
      </c>
      <c r="F92" s="544">
        <f>IF(G$92="Abu Dhabi",$B$100,IF(G$92="Dubai",$B$93,$B91))</f>
        <v>10000</v>
      </c>
      <c r="G92" s="471" t="str">
        <f>'Benefit Selection - Group'!G9</f>
        <v>Dubai</v>
      </c>
      <c r="I92" s="544">
        <f>IF(J$92="Abu Dhabi",$B$100,IF(J$92="Dubai",$B$93,$B91))</f>
        <v>10000</v>
      </c>
      <c r="J92" s="471" t="str">
        <f>'Benefit Selection - Group'!L9</f>
        <v>Dubai</v>
      </c>
      <c r="L92" s="544">
        <f>IF(M$92="Abu Dhabi",$B$100,IF(M$92="Dubai",$B$93,$B91))</f>
        <v>10000</v>
      </c>
      <c r="M92" s="471" t="str">
        <f>'Benefit Selection - Group'!Q9</f>
        <v>Dubai</v>
      </c>
      <c r="O92" s="544">
        <f>IF(P$92="Abu Dhabi",$B$100,IF(P$92="Dubai",$B$93,$B91))</f>
        <v>10000</v>
      </c>
      <c r="P92" s="471" t="str">
        <f>'Benefit Selection - Group'!V9</f>
        <v>Dubai</v>
      </c>
      <c r="R92" s="544">
        <f>IF(S$92="Abu Dhabi",$B$100,IF(S$92="Dubai",$B$93,$B91))</f>
        <v>10000</v>
      </c>
      <c r="S92" s="471" t="str">
        <f>'Benefit Selection - Group'!AA9</f>
        <v>Dubai</v>
      </c>
      <c r="U92" s="544">
        <f>IF(V$92="Abu Dhabi",$B$100,IF(V$92="Dubai",$B$93,$B91))</f>
        <v>10000</v>
      </c>
      <c r="V92" s="471" t="str">
        <f>'Benefit Selection - Group'!AF9</f>
        <v>Dubai</v>
      </c>
      <c r="X92" s="544">
        <f>IF(Y$92="Abu Dhabi",$B$100,IF(Y$92="Dubai",$B$93,$B91))</f>
        <v>10000</v>
      </c>
      <c r="Y92" s="471" t="str">
        <f>'Benefit Selection - Group'!AK9</f>
        <v>Dubai</v>
      </c>
      <c r="Z92" s="688"/>
    </row>
    <row r="93" spans="2:26" x14ac:dyDescent="0.25">
      <c r="B93" s="1168">
        <v>10000</v>
      </c>
      <c r="C93" s="544">
        <f>IF(D$92="Abu Dhabi",$B$100,IF(D$92="Dubai",$B$93,$B92))</f>
        <v>10000</v>
      </c>
      <c r="F93" s="544">
        <f>IF(G$92="Abu Dhabi",$B$100,IF(G$92="Dubai",$B$93,$B92))</f>
        <v>10000</v>
      </c>
      <c r="I93" s="544">
        <f>IF(J$92="Abu Dhabi",$B$100,IF(J$92="Dubai",$B$93,$B92))</f>
        <v>10000</v>
      </c>
      <c r="L93" s="544">
        <f>IF(M$92="Abu Dhabi",$B$100,IF(M$92="Dubai",$B$93,$B92))</f>
        <v>10000</v>
      </c>
      <c r="O93" s="544">
        <f>IF(P$92="Abu Dhabi",$B$100,IF(P$92="Dubai",$B$93,$B92))</f>
        <v>10000</v>
      </c>
      <c r="P93" s="467"/>
      <c r="R93" s="544">
        <f>IF(S$92="Abu Dhabi",$B$100,IF(S$92="Dubai",$B$93,$B92))</f>
        <v>10000</v>
      </c>
      <c r="U93" s="544">
        <f>IF(V$92="Abu Dhabi",$B$100,IF(V$92="Dubai",$B$93,$B92))</f>
        <v>10000</v>
      </c>
      <c r="X93" s="544">
        <f>IF(Y$92="Abu Dhabi",$B$100,IF(Y$92="Dubai",$B$93,$B92))</f>
        <v>10000</v>
      </c>
      <c r="Z93" s="688"/>
    </row>
    <row r="94" spans="2:26" x14ac:dyDescent="0.25">
      <c r="B94" s="1168">
        <v>15000</v>
      </c>
      <c r="C94" s="544">
        <f>IF(D$92="Abu Dhabi",$B$100,IF(D$92="Dubai",$B$93,$B93))</f>
        <v>10000</v>
      </c>
      <c r="F94" s="544">
        <f>IF(G$92="Abu Dhabi",$B$100,IF(G$92="Dubai",$B$93,$B93))</f>
        <v>10000</v>
      </c>
      <c r="I94" s="544">
        <f>IF(J$92="Abu Dhabi",$B$100,IF(J$92="Dubai",$B$93,$B93))</f>
        <v>10000</v>
      </c>
      <c r="L94" s="544">
        <f>IF(M$92="Abu Dhabi",$B$100,IF(M$92="Dubai",$B$93,$B93))</f>
        <v>10000</v>
      </c>
      <c r="O94" s="544">
        <f>IF(P$92="Abu Dhabi",$B$100,IF(P$92="Dubai",$B$93,$B93))</f>
        <v>10000</v>
      </c>
      <c r="P94" s="467"/>
      <c r="R94" s="544">
        <f>IF(S$92="Abu Dhabi",$B$100,IF(S$92="Dubai",$B$93,$B93))</f>
        <v>10000</v>
      </c>
      <c r="U94" s="544">
        <f>IF(V$92="Abu Dhabi",$B$100,IF(V$92="Dubai",$B$93,$B93))</f>
        <v>10000</v>
      </c>
      <c r="X94" s="544">
        <f>IF(Y$92="Abu Dhabi",$B$100,IF(Y$92="Dubai",$B$93,$B93))</f>
        <v>10000</v>
      </c>
      <c r="Z94" s="688"/>
    </row>
    <row r="95" spans="2:26" x14ac:dyDescent="0.25">
      <c r="B95" s="1168">
        <v>20000</v>
      </c>
      <c r="C95" s="544">
        <f>IF(D$92="Abu Dhabi",$B$100,$B94)</f>
        <v>15000</v>
      </c>
      <c r="F95" s="544">
        <f>IF(G$92="Abu Dhabi",$B$100,$B94)</f>
        <v>15000</v>
      </c>
      <c r="I95" s="544">
        <f>IF(J$92="Abu Dhabi",$B$100,$B94)</f>
        <v>15000</v>
      </c>
      <c r="L95" s="544">
        <f>IF(M$92="Abu Dhabi",$B$100,$B94)</f>
        <v>15000</v>
      </c>
      <c r="O95" s="544">
        <f>IF(P$92="Abu Dhabi",$B$100,$B94)</f>
        <v>15000</v>
      </c>
      <c r="P95" s="467"/>
      <c r="R95" s="544">
        <f>IF(S$92="Abu Dhabi",$B$100,$B94)</f>
        <v>15000</v>
      </c>
      <c r="U95" s="544">
        <f>IF(V$92="Abu Dhabi",$B$100,$B94)</f>
        <v>15000</v>
      </c>
      <c r="X95" s="544">
        <f>IF(Y$92="Abu Dhabi",$B$100,$B94)</f>
        <v>15000</v>
      </c>
      <c r="Z95" s="688"/>
    </row>
    <row r="96" spans="2:26" x14ac:dyDescent="0.25">
      <c r="B96" s="1168">
        <v>25000</v>
      </c>
      <c r="C96" s="544">
        <f t="shared" ref="C96:C100" si="96">IF(D$92="Abu Dhabi",$B$100,$B95)</f>
        <v>20000</v>
      </c>
      <c r="F96" s="544">
        <f t="shared" ref="F96:F100" si="97">IF(G$92="Abu Dhabi",$B$100,$B95)</f>
        <v>20000</v>
      </c>
      <c r="I96" s="544">
        <f t="shared" ref="I96:I100" si="98">IF(J$92="Abu Dhabi",$B$100,$B95)</f>
        <v>20000</v>
      </c>
      <c r="L96" s="544">
        <f t="shared" ref="L96:L100" si="99">IF(M$92="Abu Dhabi",$B$100,$B95)</f>
        <v>20000</v>
      </c>
      <c r="O96" s="544">
        <f t="shared" ref="O96:O100" si="100">IF(P$92="Abu Dhabi",$B$100,$B95)</f>
        <v>20000</v>
      </c>
      <c r="P96" s="467"/>
      <c r="R96" s="544">
        <f t="shared" ref="R96:R100" si="101">IF(S$92="Abu Dhabi",$B$100,$B95)</f>
        <v>20000</v>
      </c>
      <c r="U96" s="544">
        <f t="shared" ref="U96:U100" si="102">IF(V$92="Abu Dhabi",$B$100,$B95)</f>
        <v>20000</v>
      </c>
      <c r="X96" s="544">
        <f t="shared" ref="X96:X100" si="103">IF(Y$92="Abu Dhabi",$B$100,$B95)</f>
        <v>20000</v>
      </c>
      <c r="Z96" s="688"/>
    </row>
    <row r="97" spans="2:26" x14ac:dyDescent="0.25">
      <c r="B97" s="1168">
        <v>30000</v>
      </c>
      <c r="C97" s="544">
        <f t="shared" si="96"/>
        <v>25000</v>
      </c>
      <c r="F97" s="544">
        <f t="shared" si="97"/>
        <v>25000</v>
      </c>
      <c r="I97" s="544">
        <f t="shared" si="98"/>
        <v>25000</v>
      </c>
      <c r="L97" s="544">
        <f t="shared" si="99"/>
        <v>25000</v>
      </c>
      <c r="O97" s="544">
        <f t="shared" si="100"/>
        <v>25000</v>
      </c>
      <c r="P97" s="467"/>
      <c r="R97" s="544">
        <f t="shared" si="101"/>
        <v>25000</v>
      </c>
      <c r="U97" s="544">
        <f t="shared" si="102"/>
        <v>25000</v>
      </c>
      <c r="X97" s="544">
        <f t="shared" si="103"/>
        <v>25000</v>
      </c>
      <c r="Z97" s="688"/>
    </row>
    <row r="98" spans="2:26" x14ac:dyDescent="0.25">
      <c r="B98" s="1168">
        <v>40000</v>
      </c>
      <c r="C98" s="544">
        <f t="shared" si="96"/>
        <v>30000</v>
      </c>
      <c r="F98" s="544">
        <f t="shared" si="97"/>
        <v>30000</v>
      </c>
      <c r="I98" s="544">
        <f t="shared" si="98"/>
        <v>30000</v>
      </c>
      <c r="L98" s="544">
        <f t="shared" si="99"/>
        <v>30000</v>
      </c>
      <c r="O98" s="544">
        <f t="shared" si="100"/>
        <v>30000</v>
      </c>
      <c r="P98" s="467"/>
      <c r="R98" s="544">
        <f t="shared" si="101"/>
        <v>30000</v>
      </c>
      <c r="U98" s="544">
        <f t="shared" si="102"/>
        <v>30000</v>
      </c>
      <c r="X98" s="544">
        <f t="shared" si="103"/>
        <v>30000</v>
      </c>
      <c r="Z98" s="688"/>
    </row>
    <row r="99" spans="2:26" x14ac:dyDescent="0.25">
      <c r="B99" s="1168">
        <v>50000</v>
      </c>
      <c r="C99" s="544">
        <f t="shared" si="96"/>
        <v>40000</v>
      </c>
      <c r="F99" s="544">
        <f t="shared" si="97"/>
        <v>40000</v>
      </c>
      <c r="I99" s="544">
        <f t="shared" si="98"/>
        <v>40000</v>
      </c>
      <c r="L99" s="544">
        <f t="shared" si="99"/>
        <v>40000</v>
      </c>
      <c r="O99" s="544">
        <f t="shared" si="100"/>
        <v>40000</v>
      </c>
      <c r="P99" s="467"/>
      <c r="R99" s="544">
        <f t="shared" si="101"/>
        <v>40000</v>
      </c>
      <c r="U99" s="544">
        <f t="shared" si="102"/>
        <v>40000</v>
      </c>
      <c r="X99" s="544">
        <f t="shared" si="103"/>
        <v>40000</v>
      </c>
      <c r="Z99" s="688"/>
    </row>
    <row r="100" spans="2:26" x14ac:dyDescent="0.25">
      <c r="B100" s="1168" t="s">
        <v>139</v>
      </c>
      <c r="C100" s="544">
        <f t="shared" si="96"/>
        <v>50000</v>
      </c>
      <c r="F100" s="544">
        <f t="shared" si="97"/>
        <v>50000</v>
      </c>
      <c r="I100" s="544">
        <f t="shared" si="98"/>
        <v>50000</v>
      </c>
      <c r="L100" s="544">
        <f t="shared" si="99"/>
        <v>50000</v>
      </c>
      <c r="O100" s="544">
        <f t="shared" si="100"/>
        <v>50000</v>
      </c>
      <c r="P100" s="467"/>
      <c r="R100" s="544">
        <f t="shared" si="101"/>
        <v>50000</v>
      </c>
      <c r="U100" s="544">
        <f t="shared" si="102"/>
        <v>50000</v>
      </c>
      <c r="X100" s="544">
        <f t="shared" si="103"/>
        <v>50000</v>
      </c>
      <c r="Z100" s="688"/>
    </row>
    <row r="101" spans="2:26" ht="15.75" thickBot="1" x14ac:dyDescent="0.3">
      <c r="B101" s="695"/>
      <c r="C101" s="570"/>
      <c r="D101" s="570"/>
      <c r="E101" s="570"/>
      <c r="F101" s="570"/>
      <c r="G101" s="570"/>
      <c r="H101" s="570"/>
      <c r="I101" s="570"/>
      <c r="J101" s="570"/>
      <c r="K101" s="570"/>
      <c r="L101" s="570"/>
      <c r="M101" s="570"/>
      <c r="N101" s="570"/>
      <c r="O101" s="570"/>
      <c r="P101" s="696"/>
      <c r="Q101" s="570"/>
      <c r="R101" s="570"/>
      <c r="S101" s="570"/>
      <c r="T101" s="570"/>
      <c r="U101" s="570"/>
      <c r="V101" s="570"/>
      <c r="W101" s="570"/>
      <c r="X101" s="570"/>
      <c r="Y101" s="570"/>
      <c r="Z101" s="697"/>
    </row>
    <row r="102" spans="2:26" ht="15.75" thickBot="1" x14ac:dyDescent="0.3"/>
    <row r="103" spans="2:26" ht="17.25" x14ac:dyDescent="0.25">
      <c r="B103" s="684"/>
      <c r="C103" s="710" t="s">
        <v>263</v>
      </c>
      <c r="D103" s="569"/>
      <c r="E103" s="569"/>
      <c r="F103" s="569"/>
      <c r="G103" s="569"/>
      <c r="H103" s="569"/>
      <c r="I103" s="569"/>
      <c r="J103" s="569"/>
      <c r="K103" s="569"/>
      <c r="L103" s="569"/>
      <c r="M103" s="569"/>
      <c r="N103" s="569"/>
      <c r="O103" s="569"/>
      <c r="P103" s="685"/>
      <c r="Q103" s="569"/>
      <c r="R103" s="569"/>
      <c r="S103" s="569"/>
      <c r="T103" s="569"/>
      <c r="U103" s="569"/>
      <c r="V103" s="569"/>
      <c r="W103" s="569"/>
      <c r="X103" s="569"/>
      <c r="Y103" s="569"/>
      <c r="Z103" s="686"/>
    </row>
    <row r="104" spans="2:26" x14ac:dyDescent="0.25">
      <c r="B104" s="687"/>
      <c r="Z104" s="688"/>
    </row>
    <row r="105" spans="2:26" ht="15.75" x14ac:dyDescent="0.25">
      <c r="B105" s="687"/>
      <c r="C105" s="689" t="s">
        <v>91</v>
      </c>
      <c r="D105" s="690"/>
      <c r="F105" s="689" t="s">
        <v>92</v>
      </c>
      <c r="G105" s="691"/>
      <c r="I105" s="689" t="s">
        <v>93</v>
      </c>
      <c r="J105" s="691"/>
      <c r="L105" s="689" t="s">
        <v>94</v>
      </c>
      <c r="M105" s="691"/>
      <c r="O105" s="689" t="s">
        <v>358</v>
      </c>
      <c r="P105" s="690"/>
      <c r="R105" s="689" t="s">
        <v>359</v>
      </c>
      <c r="S105" s="691"/>
      <c r="U105" s="689" t="s">
        <v>360</v>
      </c>
      <c r="V105" s="691"/>
      <c r="X105" s="689" t="s">
        <v>361</v>
      </c>
      <c r="Y105" s="691"/>
      <c r="Z105" s="688"/>
    </row>
    <row r="106" spans="2:26" ht="15.75" x14ac:dyDescent="0.25">
      <c r="B106" s="687"/>
      <c r="C106" s="693" t="s">
        <v>264</v>
      </c>
      <c r="D106" s="692" t="s">
        <v>95</v>
      </c>
      <c r="F106" s="693" t="s">
        <v>264</v>
      </c>
      <c r="G106" s="692" t="s">
        <v>95</v>
      </c>
      <c r="I106" s="693" t="s">
        <v>264</v>
      </c>
      <c r="J106" s="692" t="s">
        <v>95</v>
      </c>
      <c r="L106" s="693" t="s">
        <v>264</v>
      </c>
      <c r="M106" s="692" t="s">
        <v>95</v>
      </c>
      <c r="O106" s="693" t="s">
        <v>264</v>
      </c>
      <c r="P106" s="692" t="s">
        <v>95</v>
      </c>
      <c r="R106" s="693" t="s">
        <v>264</v>
      </c>
      <c r="S106" s="692" t="s">
        <v>95</v>
      </c>
      <c r="U106" s="693" t="s">
        <v>264</v>
      </c>
      <c r="V106" s="692" t="s">
        <v>95</v>
      </c>
      <c r="X106" s="693" t="s">
        <v>264</v>
      </c>
      <c r="Y106" s="692" t="s">
        <v>95</v>
      </c>
      <c r="Z106" s="688"/>
    </row>
    <row r="107" spans="2:26" x14ac:dyDescent="0.25">
      <c r="B107" s="713"/>
      <c r="C107" s="628">
        <v>0</v>
      </c>
      <c r="D107" s="544">
        <f>IF(D92="Dubai",1,2)</f>
        <v>1</v>
      </c>
      <c r="E107" s="702">
        <f>IF(C107="AED 500 deductible",-1.5%,C107)</f>
        <v>0</v>
      </c>
      <c r="F107" s="628">
        <v>0</v>
      </c>
      <c r="G107" s="544">
        <f>IF(G92="Dubai",1,2)</f>
        <v>1</v>
      </c>
      <c r="H107" s="702">
        <f>IF(F107="AED 500 deductible",-1.5%,F107)</f>
        <v>0</v>
      </c>
      <c r="I107" s="628">
        <v>0</v>
      </c>
      <c r="J107" s="544">
        <f>IF(J92="Dubai",1,2)</f>
        <v>1</v>
      </c>
      <c r="K107" s="702">
        <f>IF(I107="AED 500 deductible",-1.5%,I107)</f>
        <v>0</v>
      </c>
      <c r="L107" s="628">
        <v>0</v>
      </c>
      <c r="M107" s="544">
        <f>IF(M92="Dubai",1,2)</f>
        <v>1</v>
      </c>
      <c r="N107" s="702">
        <f>IF(L107="AED 500 deductible",-1.5%,L107)</f>
        <v>0</v>
      </c>
      <c r="O107" s="628">
        <v>0</v>
      </c>
      <c r="P107" s="544">
        <f>IF(P92="Dubai",1,2)</f>
        <v>1</v>
      </c>
      <c r="Q107" s="702">
        <f>IF(O107="AED 500 deductible",-1.5%,O107)</f>
        <v>0</v>
      </c>
      <c r="R107" s="628">
        <v>0</v>
      </c>
      <c r="S107" s="544">
        <f>IF(S92="Dubai",1,2)</f>
        <v>1</v>
      </c>
      <c r="T107" s="702">
        <f>IF(R107="AED 500 deductible",-1.5%,R107)</f>
        <v>0</v>
      </c>
      <c r="U107" s="628">
        <v>0</v>
      </c>
      <c r="V107" s="544">
        <f>IF(V92="Dubai",1,2)</f>
        <v>1</v>
      </c>
      <c r="W107" s="702">
        <f>IF(U107="AED 500 deductible",-1.5%,U107)</f>
        <v>0</v>
      </c>
      <c r="X107" s="628">
        <v>0</v>
      </c>
      <c r="Y107" s="544">
        <f>IF(Y92="Dubai",1,2)</f>
        <v>1</v>
      </c>
      <c r="Z107" s="703">
        <f>IF(X107="AED 500 deductible",-1.5%,X107)</f>
        <v>0</v>
      </c>
    </row>
    <row r="108" spans="2:26" x14ac:dyDescent="0.25">
      <c r="B108" s="687"/>
      <c r="C108" s="628">
        <f>IF(D$107=2,"AED 500 deductible",10%)</f>
        <v>0.1</v>
      </c>
      <c r="E108" s="702">
        <f>IF(C108="AED 500 deductible",1.5%,C108)</f>
        <v>0.1</v>
      </c>
      <c r="F108" s="628">
        <f>IF(G$107=2,"AED 500 deductible",10%)</f>
        <v>0.1</v>
      </c>
      <c r="H108" s="702">
        <f>IF(F108="AED 500 deductible",1.5%,F108)</f>
        <v>0.1</v>
      </c>
      <c r="I108" s="628">
        <f>IF(J$107=2,"AED 500 deductible",10%)</f>
        <v>0.1</v>
      </c>
      <c r="K108" s="702">
        <f>IF(I108="AED 500 deductible",1.5%,I108)</f>
        <v>0.1</v>
      </c>
      <c r="L108" s="628">
        <f>IF(M$107=2,"AED 500 deductible",10%)</f>
        <v>0.1</v>
      </c>
      <c r="N108" s="702">
        <f>IF(L108="AED 500 deductible",1.5%,L108)</f>
        <v>0.1</v>
      </c>
      <c r="O108" s="628">
        <f>IF(P$107=2,"AED 500 deductible",10%)</f>
        <v>0.1</v>
      </c>
      <c r="P108" s="467"/>
      <c r="Q108" s="702">
        <f>IF(O108="AED 500 deductible",1.5%,O108)</f>
        <v>0.1</v>
      </c>
      <c r="R108" s="628">
        <f>IF(S$107=2,"AED 500 deductible",10%)</f>
        <v>0.1</v>
      </c>
      <c r="T108" s="702">
        <f>IF(R108="AED 500 deductible",1.5%,R108)</f>
        <v>0.1</v>
      </c>
      <c r="U108" s="628">
        <f>IF(V$107=2,"AED 500 deductible",10%)</f>
        <v>0.1</v>
      </c>
      <c r="W108" s="702">
        <f>IF(U108="AED 500 deductible",1.5%,U108)</f>
        <v>0.1</v>
      </c>
      <c r="X108" s="628">
        <f>IF(Y$107=2,"AED 500 deductible",10%)</f>
        <v>0.1</v>
      </c>
      <c r="Z108" s="703">
        <f>IF(X108="AED 500 deductible",1.5%,X108)</f>
        <v>0.1</v>
      </c>
    </row>
    <row r="109" spans="2:26" ht="15.75" thickBot="1" x14ac:dyDescent="0.3">
      <c r="B109" s="695"/>
      <c r="C109" s="570"/>
      <c r="D109" s="570"/>
      <c r="E109" s="570"/>
      <c r="F109" s="570"/>
      <c r="G109" s="570"/>
      <c r="H109" s="570"/>
      <c r="I109" s="570"/>
      <c r="J109" s="570"/>
      <c r="K109" s="570"/>
      <c r="L109" s="570"/>
      <c r="M109" s="570"/>
      <c r="N109" s="570"/>
      <c r="O109" s="570"/>
      <c r="P109" s="696"/>
      <c r="Q109" s="570"/>
      <c r="R109" s="570"/>
      <c r="S109" s="570"/>
      <c r="T109" s="570"/>
      <c r="U109" s="570"/>
      <c r="V109" s="570"/>
      <c r="W109" s="570"/>
      <c r="X109" s="570"/>
      <c r="Y109" s="570"/>
      <c r="Z109" s="697"/>
    </row>
    <row r="110" spans="2:26" ht="15.75" thickBot="1" x14ac:dyDescent="0.3"/>
    <row r="111" spans="2:26" ht="17.25" x14ac:dyDescent="0.25">
      <c r="B111" s="684"/>
      <c r="C111" s="710" t="s">
        <v>924</v>
      </c>
      <c r="D111" s="569"/>
      <c r="E111" s="569"/>
      <c r="F111" s="569"/>
      <c r="G111" s="569"/>
      <c r="H111" s="569"/>
      <c r="I111" s="569"/>
      <c r="J111" s="569"/>
      <c r="K111" s="569"/>
      <c r="L111" s="569"/>
      <c r="M111" s="569"/>
      <c r="N111" s="569"/>
      <c r="O111" s="569"/>
      <c r="P111" s="685"/>
      <c r="Q111" s="569"/>
      <c r="R111" s="569"/>
      <c r="S111" s="569"/>
      <c r="T111" s="569"/>
      <c r="U111" s="569"/>
      <c r="V111" s="569"/>
      <c r="W111" s="569"/>
      <c r="X111" s="569"/>
      <c r="Y111" s="569"/>
      <c r="Z111" s="686"/>
    </row>
    <row r="112" spans="2:26" x14ac:dyDescent="0.25">
      <c r="B112" s="687"/>
      <c r="Z112" s="688"/>
    </row>
    <row r="113" spans="2:26" ht="15.75" x14ac:dyDescent="0.25">
      <c r="B113" s="687"/>
      <c r="C113" s="689" t="s">
        <v>91</v>
      </c>
      <c r="D113" s="690"/>
      <c r="F113" s="689" t="s">
        <v>92</v>
      </c>
      <c r="G113" s="691"/>
      <c r="I113" s="689" t="s">
        <v>93</v>
      </c>
      <c r="J113" s="691"/>
      <c r="L113" s="689" t="s">
        <v>94</v>
      </c>
      <c r="M113" s="691"/>
      <c r="O113" s="689" t="s">
        <v>358</v>
      </c>
      <c r="P113" s="690"/>
      <c r="R113" s="689" t="s">
        <v>359</v>
      </c>
      <c r="S113" s="691"/>
      <c r="U113" s="689" t="s">
        <v>360</v>
      </c>
      <c r="V113" s="691"/>
      <c r="X113" s="689" t="s">
        <v>361</v>
      </c>
      <c r="Y113" s="691"/>
      <c r="Z113" s="688"/>
    </row>
    <row r="114" spans="2:26" ht="15.75" x14ac:dyDescent="0.25">
      <c r="B114" s="687"/>
      <c r="C114" s="693" t="s">
        <v>264</v>
      </c>
      <c r="D114" s="692" t="s">
        <v>95</v>
      </c>
      <c r="F114" s="693" t="s">
        <v>264</v>
      </c>
      <c r="G114" s="692" t="s">
        <v>95</v>
      </c>
      <c r="I114" s="693" t="s">
        <v>264</v>
      </c>
      <c r="J114" s="692" t="s">
        <v>95</v>
      </c>
      <c r="L114" s="693" t="s">
        <v>264</v>
      </c>
      <c r="M114" s="692" t="s">
        <v>95</v>
      </c>
      <c r="O114" s="693" t="s">
        <v>264</v>
      </c>
      <c r="P114" s="692" t="s">
        <v>95</v>
      </c>
      <c r="R114" s="693" t="s">
        <v>264</v>
      </c>
      <c r="S114" s="692" t="s">
        <v>95</v>
      </c>
      <c r="U114" s="693" t="s">
        <v>264</v>
      </c>
      <c r="V114" s="692" t="s">
        <v>95</v>
      </c>
      <c r="X114" s="693" t="s">
        <v>264</v>
      </c>
      <c r="Y114" s="692" t="s">
        <v>95</v>
      </c>
      <c r="Z114" s="688"/>
    </row>
    <row r="115" spans="2:26" x14ac:dyDescent="0.25">
      <c r="B115" s="713"/>
      <c r="C115" s="628" t="str">
        <f>'Group Basis'!$D$169</f>
        <v>Nil</v>
      </c>
      <c r="D115" s="544">
        <f>IF(D92="Dubai",1,2)</f>
        <v>1</v>
      </c>
      <c r="E115" s="702"/>
      <c r="F115" s="628" t="str">
        <f>'Group Basis'!$D$169</f>
        <v>Nil</v>
      </c>
      <c r="G115" s="544">
        <f>IF(G92="Dubai",1,2)</f>
        <v>1</v>
      </c>
      <c r="H115" s="702"/>
      <c r="I115" s="628" t="str">
        <f>'Group Basis'!$D$169</f>
        <v>Nil</v>
      </c>
      <c r="J115" s="544">
        <f>IF(J92="Dubai",1,2)</f>
        <v>1</v>
      </c>
      <c r="K115" s="702"/>
      <c r="L115" s="628" t="str">
        <f>'Group Basis'!$D$169</f>
        <v>Nil</v>
      </c>
      <c r="M115" s="544">
        <f>IF(M92="Dubai",1,2)</f>
        <v>1</v>
      </c>
      <c r="N115" s="702"/>
      <c r="O115" s="628" t="str">
        <f>'Group Basis'!$D$169</f>
        <v>Nil</v>
      </c>
      <c r="P115" s="544">
        <f>IF(P92="Dubai",1,2)</f>
        <v>1</v>
      </c>
      <c r="Q115" s="702"/>
      <c r="R115" s="628" t="str">
        <f>'Group Basis'!$D$169</f>
        <v>Nil</v>
      </c>
      <c r="S115" s="544">
        <f>IF(S92="Dubai",1,2)</f>
        <v>1</v>
      </c>
      <c r="T115" s="702"/>
      <c r="U115" s="628" t="str">
        <f>'Group Basis'!$D$169</f>
        <v>Nil</v>
      </c>
      <c r="V115" s="544">
        <f>IF(V92="Dubai",1,2)</f>
        <v>1</v>
      </c>
      <c r="W115" s="702"/>
      <c r="X115" s="628" t="str">
        <f>'Group Basis'!$D$169</f>
        <v>Nil</v>
      </c>
      <c r="Y115" s="544">
        <f>IF(Y92="Dubai",1,2)</f>
        <v>1</v>
      </c>
      <c r="Z115" s="703"/>
    </row>
    <row r="116" spans="2:26" x14ac:dyDescent="0.25">
      <c r="B116" s="713"/>
      <c r="C116" s="628" t="str">
        <f>IF(D$115=1,'Group Basis'!$D176,'Group Basis'!$D170)</f>
        <v>20%</v>
      </c>
      <c r="D116" s="562"/>
      <c r="E116" s="702"/>
      <c r="F116" s="628" t="str">
        <f>IF(G$115=1,'Group Basis'!$D176,'Group Basis'!$D170)</f>
        <v>20%</v>
      </c>
      <c r="G116" s="562"/>
      <c r="H116" s="702"/>
      <c r="I116" s="628" t="str">
        <f>IF(J$115=1,'Group Basis'!$D176,'Group Basis'!$D170)</f>
        <v>20%</v>
      </c>
      <c r="J116" s="562"/>
      <c r="K116" s="702"/>
      <c r="L116" s="628" t="str">
        <f>IF(M$115=1,'Group Basis'!$D176,'Group Basis'!$D170)</f>
        <v>20%</v>
      </c>
      <c r="M116" s="562"/>
      <c r="N116" s="702"/>
      <c r="O116" s="628" t="str">
        <f>IF(P$115=1,'Group Basis'!$D176,'Group Basis'!$D170)</f>
        <v>20%</v>
      </c>
      <c r="P116" s="562"/>
      <c r="Q116" s="702"/>
      <c r="R116" s="628" t="str">
        <f>IF(S$115=1,'Group Basis'!$D176,'Group Basis'!$D170)</f>
        <v>20%</v>
      </c>
      <c r="S116" s="562"/>
      <c r="T116" s="702"/>
      <c r="U116" s="628" t="str">
        <f>IF(V$115=1,'Group Basis'!$D176,'Group Basis'!$D170)</f>
        <v>20%</v>
      </c>
      <c r="V116" s="562"/>
      <c r="W116" s="702"/>
      <c r="X116" s="628" t="str">
        <f>IF(Y$115=1,'Group Basis'!$D176,'Group Basis'!$D170)</f>
        <v>20%</v>
      </c>
      <c r="Y116" s="562"/>
      <c r="Z116" s="703"/>
    </row>
    <row r="117" spans="2:26" x14ac:dyDescent="0.25">
      <c r="B117" s="713"/>
      <c r="C117" s="628" t="str">
        <f>IF(D$115=1,'Group Basis'!$D177,'Group Basis'!$D171)</f>
        <v>20% up to AED 10</v>
      </c>
      <c r="D117" s="562"/>
      <c r="E117" s="702"/>
      <c r="F117" s="628" t="str">
        <f>IF(G$115=1,'Group Basis'!$D177,'Group Basis'!$D171)</f>
        <v>20% up to AED 10</v>
      </c>
      <c r="G117" s="562"/>
      <c r="H117" s="702"/>
      <c r="I117" s="628" t="str">
        <f>IF(J$115=1,'Group Basis'!$D177,'Group Basis'!$D171)</f>
        <v>20% up to AED 10</v>
      </c>
      <c r="J117" s="562"/>
      <c r="K117" s="702"/>
      <c r="L117" s="628" t="str">
        <f>IF(M$115=1,'Group Basis'!$D177,'Group Basis'!$D171)</f>
        <v>20% up to AED 10</v>
      </c>
      <c r="M117" s="562"/>
      <c r="N117" s="702"/>
      <c r="O117" s="628" t="str">
        <f>IF(P$115=1,'Group Basis'!$D177,'Group Basis'!$D171)</f>
        <v>20% up to AED 10</v>
      </c>
      <c r="P117" s="562"/>
      <c r="Q117" s="702"/>
      <c r="R117" s="628" t="str">
        <f>IF(S$115=1,'Group Basis'!$D177,'Group Basis'!$D171)</f>
        <v>20% up to AED 10</v>
      </c>
      <c r="S117" s="562"/>
      <c r="T117" s="702"/>
      <c r="U117" s="628" t="str">
        <f>IF(V$115=1,'Group Basis'!$D177,'Group Basis'!$D171)</f>
        <v>20% up to AED 10</v>
      </c>
      <c r="V117" s="562"/>
      <c r="W117" s="702"/>
      <c r="X117" s="628" t="str">
        <f>IF(Y$115=1,'Group Basis'!$D177,'Group Basis'!$D171)</f>
        <v>20% up to AED 10</v>
      </c>
      <c r="Y117" s="562"/>
      <c r="Z117" s="703"/>
    </row>
    <row r="118" spans="2:26" x14ac:dyDescent="0.25">
      <c r="B118" s="713"/>
      <c r="C118" s="628" t="str">
        <f>IF(D$115=1,'Group Basis'!$D178,'Group Basis'!$D172)</f>
        <v>20% up to AED 20</v>
      </c>
      <c r="D118" s="562"/>
      <c r="E118" s="702"/>
      <c r="F118" s="628" t="str">
        <f>IF(G$115=1,'Group Basis'!$D178,'Group Basis'!$D172)</f>
        <v>20% up to AED 20</v>
      </c>
      <c r="G118" s="562"/>
      <c r="H118" s="702"/>
      <c r="I118" s="628" t="str">
        <f>IF(J$115=1,'Group Basis'!$D178,'Group Basis'!$D172)</f>
        <v>20% up to AED 20</v>
      </c>
      <c r="J118" s="562"/>
      <c r="K118" s="702"/>
      <c r="L118" s="628" t="str">
        <f>IF(M$115=1,'Group Basis'!$D178,'Group Basis'!$D172)</f>
        <v>20% up to AED 20</v>
      </c>
      <c r="M118" s="562"/>
      <c r="N118" s="702"/>
      <c r="O118" s="628" t="str">
        <f>IF(P$115=1,'Group Basis'!$D178,'Group Basis'!$D172)</f>
        <v>20% up to AED 20</v>
      </c>
      <c r="P118" s="562"/>
      <c r="Q118" s="702"/>
      <c r="R118" s="628" t="str">
        <f>IF(S$115=1,'Group Basis'!$D178,'Group Basis'!$D172)</f>
        <v>20% up to AED 20</v>
      </c>
      <c r="S118" s="562"/>
      <c r="T118" s="702"/>
      <c r="U118" s="628" t="str">
        <f>IF(V$115=1,'Group Basis'!$D178,'Group Basis'!$D172)</f>
        <v>20% up to AED 20</v>
      </c>
      <c r="V118" s="562"/>
      <c r="W118" s="702"/>
      <c r="X118" s="628" t="str">
        <f>IF(Y$115=1,'Group Basis'!$D178,'Group Basis'!$D172)</f>
        <v>20% up to AED 20</v>
      </c>
      <c r="Y118" s="562"/>
      <c r="Z118" s="703"/>
    </row>
    <row r="119" spans="2:26" x14ac:dyDescent="0.25">
      <c r="B119" s="713"/>
      <c r="C119" s="628" t="str">
        <f>IF(D$115=1,'Group Basis'!$D179,'Group Basis'!$D173)</f>
        <v>20% up to AED 25</v>
      </c>
      <c r="D119" s="562"/>
      <c r="E119" s="702"/>
      <c r="F119" s="628" t="str">
        <f>IF(G$115=1,'Group Basis'!$D179,'Group Basis'!$D173)</f>
        <v>20% up to AED 25</v>
      </c>
      <c r="G119" s="562"/>
      <c r="H119" s="702"/>
      <c r="I119" s="628" t="str">
        <f>IF(J$115=1,'Group Basis'!$D179,'Group Basis'!$D173)</f>
        <v>20% up to AED 25</v>
      </c>
      <c r="J119" s="562"/>
      <c r="K119" s="702"/>
      <c r="L119" s="628" t="str">
        <f>IF(M$115=1,'Group Basis'!$D179,'Group Basis'!$D173)</f>
        <v>20% up to AED 25</v>
      </c>
      <c r="M119" s="562"/>
      <c r="N119" s="702"/>
      <c r="O119" s="628" t="str">
        <f>IF(P$115=1,'Group Basis'!$D179,'Group Basis'!$D173)</f>
        <v>20% up to AED 25</v>
      </c>
      <c r="P119" s="562"/>
      <c r="Q119" s="702"/>
      <c r="R119" s="628" t="str">
        <f>IF(S$115=1,'Group Basis'!$D179,'Group Basis'!$D173)</f>
        <v>20% up to AED 25</v>
      </c>
      <c r="S119" s="562"/>
      <c r="T119" s="702"/>
      <c r="U119" s="628" t="str">
        <f>IF(V$115=1,'Group Basis'!$D179,'Group Basis'!$D173)</f>
        <v>20% up to AED 25</v>
      </c>
      <c r="V119" s="562"/>
      <c r="W119" s="702"/>
      <c r="X119" s="628" t="str">
        <f>IF(Y$115=1,'Group Basis'!$D179,'Group Basis'!$D173)</f>
        <v>20% up to AED 25</v>
      </c>
      <c r="Y119" s="562"/>
      <c r="Z119" s="703"/>
    </row>
    <row r="120" spans="2:26" x14ac:dyDescent="0.25">
      <c r="B120" s="713"/>
      <c r="C120" s="628" t="str">
        <f>IF(D$115=1,'Group Basis'!$D180,'Group Basis'!$D174)</f>
        <v>20% up to AED 30</v>
      </c>
      <c r="D120" s="562"/>
      <c r="E120" s="702"/>
      <c r="F120" s="628" t="str">
        <f>IF(G$115=1,'Group Basis'!$D180,'Group Basis'!$D174)</f>
        <v>20% up to AED 30</v>
      </c>
      <c r="G120" s="562"/>
      <c r="H120" s="702"/>
      <c r="I120" s="628" t="str">
        <f>IF(J$115=1,'Group Basis'!$D180,'Group Basis'!$D174)</f>
        <v>20% up to AED 30</v>
      </c>
      <c r="J120" s="562"/>
      <c r="K120" s="702"/>
      <c r="L120" s="628" t="str">
        <f>IF(M$115=1,'Group Basis'!$D180,'Group Basis'!$D174)</f>
        <v>20% up to AED 30</v>
      </c>
      <c r="M120" s="562"/>
      <c r="N120" s="702"/>
      <c r="O120" s="628" t="str">
        <f>IF(P$115=1,'Group Basis'!$D180,'Group Basis'!$D174)</f>
        <v>20% up to AED 30</v>
      </c>
      <c r="P120" s="562"/>
      <c r="Q120" s="702"/>
      <c r="R120" s="628" t="str">
        <f>IF(S$115=1,'Group Basis'!$D180,'Group Basis'!$D174)</f>
        <v>20% up to AED 30</v>
      </c>
      <c r="S120" s="562"/>
      <c r="T120" s="702"/>
      <c r="U120" s="628" t="str">
        <f>IF(V$115=1,'Group Basis'!$D180,'Group Basis'!$D174)</f>
        <v>20% up to AED 30</v>
      </c>
      <c r="V120" s="562"/>
      <c r="W120" s="702"/>
      <c r="X120" s="628" t="str">
        <f>IF(Y$115=1,'Group Basis'!$D180,'Group Basis'!$D174)</f>
        <v>20% up to AED 30</v>
      </c>
      <c r="Y120" s="562"/>
      <c r="Z120" s="703"/>
    </row>
    <row r="121" spans="2:26" x14ac:dyDescent="0.25">
      <c r="B121" s="713"/>
      <c r="C121" s="628" t="str">
        <f>IF(D$115=1,'Group Basis'!$D181,'Group Basis'!$D175)</f>
        <v>20% up to AED 50</v>
      </c>
      <c r="D121" s="562"/>
      <c r="E121" s="702"/>
      <c r="F121" s="628" t="str">
        <f>IF(G$115=1,'Group Basis'!$D181,'Group Basis'!$D175)</f>
        <v>20% up to AED 50</v>
      </c>
      <c r="G121" s="562"/>
      <c r="H121" s="702"/>
      <c r="I121" s="628" t="str">
        <f>IF(J$115=1,'Group Basis'!$D181,'Group Basis'!$D175)</f>
        <v>20% up to AED 50</v>
      </c>
      <c r="J121" s="562"/>
      <c r="K121" s="702"/>
      <c r="L121" s="628" t="str">
        <f>IF(M$115=1,'Group Basis'!$D181,'Group Basis'!$D175)</f>
        <v>20% up to AED 50</v>
      </c>
      <c r="M121" s="562"/>
      <c r="N121" s="702"/>
      <c r="O121" s="628" t="str">
        <f>IF(P$115=1,'Group Basis'!$D181,'Group Basis'!$D175)</f>
        <v>20% up to AED 50</v>
      </c>
      <c r="P121" s="562"/>
      <c r="Q121" s="702"/>
      <c r="R121" s="628" t="str">
        <f>IF(S$115=1,'Group Basis'!$D181,'Group Basis'!$D175)</f>
        <v>20% up to AED 50</v>
      </c>
      <c r="S121" s="562"/>
      <c r="T121" s="702"/>
      <c r="U121" s="628" t="str">
        <f>IF(V$115=1,'Group Basis'!$D181,'Group Basis'!$D175)</f>
        <v>20% up to AED 50</v>
      </c>
      <c r="V121" s="562"/>
      <c r="W121" s="702"/>
      <c r="X121" s="628" t="str">
        <f>IF(Y$115=1,'Group Basis'!$D181,'Group Basis'!$D175)</f>
        <v>20% up to AED 50</v>
      </c>
      <c r="Y121" s="562"/>
      <c r="Z121" s="703"/>
    </row>
    <row r="122" spans="2:26" x14ac:dyDescent="0.25">
      <c r="B122" s="713"/>
      <c r="C122" s="918" t="str">
        <f>IF(D$115=1,'Group Basis'!$D182,"")</f>
        <v>20% up to AED 75</v>
      </c>
      <c r="D122" s="562"/>
      <c r="E122" s="702"/>
      <c r="F122" s="918" t="str">
        <f>IF(G$115=1,'Group Basis'!$D182,"")</f>
        <v>20% up to AED 75</v>
      </c>
      <c r="G122" s="562"/>
      <c r="H122" s="702"/>
      <c r="I122" s="918" t="str">
        <f>IF(J$115=1,'Group Basis'!$D182,"")</f>
        <v>20% up to AED 75</v>
      </c>
      <c r="J122" s="562"/>
      <c r="K122" s="702"/>
      <c r="L122" s="918" t="str">
        <f>IF(M$115=1,'Group Basis'!$D182,"")</f>
        <v>20% up to AED 75</v>
      </c>
      <c r="M122" s="562"/>
      <c r="N122" s="702"/>
      <c r="O122" s="918" t="str">
        <f>IF(P$115=1,'Group Basis'!$D182,"")</f>
        <v>20% up to AED 75</v>
      </c>
      <c r="P122" s="562"/>
      <c r="Q122" s="702"/>
      <c r="R122" s="918" t="str">
        <f>IF(S$115=1,'Group Basis'!$D182,"")</f>
        <v>20% up to AED 75</v>
      </c>
      <c r="S122" s="562"/>
      <c r="T122" s="702"/>
      <c r="U122" s="918" t="str">
        <f>IF(V$115=1,'Group Basis'!$D182,"")</f>
        <v>20% up to AED 75</v>
      </c>
      <c r="V122" s="562"/>
      <c r="W122" s="702"/>
      <c r="X122" s="918" t="str">
        <f>IF(Y$115=1,'Group Basis'!$D182,"")</f>
        <v>20% up to AED 75</v>
      </c>
      <c r="Y122" s="562"/>
      <c r="Z122" s="703"/>
    </row>
    <row r="123" spans="2:26" x14ac:dyDescent="0.25">
      <c r="B123" s="713"/>
      <c r="C123" s="918" t="str">
        <f>IF(D$115=1,'Group Basis'!$D183,"")</f>
        <v>20% up to AED 100</v>
      </c>
      <c r="D123" s="562"/>
      <c r="E123" s="702"/>
      <c r="F123" s="918" t="str">
        <f>IF(G$115=1,'Group Basis'!$D183,"")</f>
        <v>20% up to AED 100</v>
      </c>
      <c r="G123" s="562"/>
      <c r="H123" s="702"/>
      <c r="I123" s="918" t="str">
        <f>IF(J$115=1,'Group Basis'!$D183,"")</f>
        <v>20% up to AED 100</v>
      </c>
      <c r="J123" s="562"/>
      <c r="K123" s="702"/>
      <c r="L123" s="918" t="str">
        <f>IF(M$115=1,'Group Basis'!$D183,"")</f>
        <v>20% up to AED 100</v>
      </c>
      <c r="M123" s="562"/>
      <c r="N123" s="702"/>
      <c r="O123" s="918" t="str">
        <f>IF(P$115=1,'Group Basis'!$D183,"")</f>
        <v>20% up to AED 100</v>
      </c>
      <c r="P123" s="562"/>
      <c r="Q123" s="702"/>
      <c r="R123" s="918" t="str">
        <f>IF(S$115=1,'Group Basis'!$D183,"")</f>
        <v>20% up to AED 100</v>
      </c>
      <c r="S123" s="562"/>
      <c r="T123" s="702"/>
      <c r="U123" s="918" t="str">
        <f>IF(V$115=1,'Group Basis'!$D183,"")</f>
        <v>20% up to AED 100</v>
      </c>
      <c r="V123" s="562"/>
      <c r="W123" s="702"/>
      <c r="X123" s="918" t="str">
        <f>IF(Y$115=1,'Group Basis'!$D183,"")</f>
        <v>20% up to AED 100</v>
      </c>
      <c r="Y123" s="562"/>
      <c r="Z123" s="703"/>
    </row>
    <row r="124" spans="2:26" x14ac:dyDescent="0.25">
      <c r="B124" s="713"/>
      <c r="C124" s="918" t="str">
        <f>IF(D$115=1,'Group Basis'!$D184,"")</f>
        <v>10%</v>
      </c>
      <c r="D124" s="562"/>
      <c r="E124" s="702"/>
      <c r="F124" s="918" t="str">
        <f>IF(G$115=1,'Group Basis'!$D184,"")</f>
        <v>10%</v>
      </c>
      <c r="G124" s="562"/>
      <c r="H124" s="702"/>
      <c r="I124" s="918" t="str">
        <f>IF(J$115=1,'Group Basis'!$D184,"")</f>
        <v>10%</v>
      </c>
      <c r="J124" s="562"/>
      <c r="K124" s="702"/>
      <c r="L124" s="918" t="str">
        <f>IF(M$115=1,'Group Basis'!$D184,"")</f>
        <v>10%</v>
      </c>
      <c r="M124" s="562"/>
      <c r="N124" s="702"/>
      <c r="O124" s="918" t="str">
        <f>IF(P$115=1,'Group Basis'!$D184,"")</f>
        <v>10%</v>
      </c>
      <c r="P124" s="562"/>
      <c r="Q124" s="702"/>
      <c r="R124" s="918" t="str">
        <f>IF(S$115=1,'Group Basis'!$D184,"")</f>
        <v>10%</v>
      </c>
      <c r="S124" s="562"/>
      <c r="T124" s="702"/>
      <c r="U124" s="918" t="str">
        <f>IF(V$115=1,'Group Basis'!$D184,"")</f>
        <v>10%</v>
      </c>
      <c r="V124" s="562"/>
      <c r="W124" s="702"/>
      <c r="X124" s="918" t="str">
        <f>IF(Y$115=1,'Group Basis'!$D184,"")</f>
        <v>10%</v>
      </c>
      <c r="Y124" s="562"/>
      <c r="Z124" s="703"/>
    </row>
    <row r="125" spans="2:26" x14ac:dyDescent="0.25">
      <c r="B125" s="713"/>
      <c r="C125" s="918" t="str">
        <f>IF(D$115=1,'Group Basis'!$D185,"")</f>
        <v>10% up to 20</v>
      </c>
      <c r="D125" s="562"/>
      <c r="E125" s="702"/>
      <c r="F125" s="918" t="str">
        <f>IF(G$115=1,'Group Basis'!$D185,"")</f>
        <v>10% up to 20</v>
      </c>
      <c r="G125" s="562"/>
      <c r="H125" s="702"/>
      <c r="I125" s="918" t="str">
        <f>IF(J$115=1,'Group Basis'!$D185,"")</f>
        <v>10% up to 20</v>
      </c>
      <c r="J125" s="562"/>
      <c r="K125" s="702"/>
      <c r="L125" s="918" t="str">
        <f>IF(M$115=1,'Group Basis'!$D185,"")</f>
        <v>10% up to 20</v>
      </c>
      <c r="M125" s="562"/>
      <c r="N125" s="702"/>
      <c r="O125" s="918" t="str">
        <f>IF(P$115=1,'Group Basis'!$D185,"")</f>
        <v>10% up to 20</v>
      </c>
      <c r="P125" s="562"/>
      <c r="Q125" s="702"/>
      <c r="R125" s="918" t="str">
        <f>IF(S$115=1,'Group Basis'!$D185,"")</f>
        <v>10% up to 20</v>
      </c>
      <c r="S125" s="562"/>
      <c r="T125" s="702"/>
      <c r="U125" s="918" t="str">
        <f>IF(V$115=1,'Group Basis'!$D185,"")</f>
        <v>10% up to 20</v>
      </c>
      <c r="V125" s="562"/>
      <c r="W125" s="702"/>
      <c r="X125" s="918" t="str">
        <f>IF(Y$115=1,'Group Basis'!$D185,"")</f>
        <v>10% up to 20</v>
      </c>
      <c r="Y125" s="562"/>
      <c r="Z125" s="703"/>
    </row>
    <row r="126" spans="2:26" x14ac:dyDescent="0.25">
      <c r="B126" s="713"/>
      <c r="C126" s="918" t="str">
        <f>IF(D$115=1,'Group Basis'!$D186,"")</f>
        <v>10% up to 25</v>
      </c>
      <c r="D126" s="562"/>
      <c r="E126" s="702"/>
      <c r="F126" s="918" t="str">
        <f>IF(G$115=1,'Group Basis'!$D186,"")</f>
        <v>10% up to 25</v>
      </c>
      <c r="G126" s="562"/>
      <c r="H126" s="702"/>
      <c r="I126" s="918" t="str">
        <f>IF(J$115=1,'Group Basis'!$D186,"")</f>
        <v>10% up to 25</v>
      </c>
      <c r="J126" s="562"/>
      <c r="K126" s="702"/>
      <c r="L126" s="918" t="str">
        <f>IF(M$115=1,'Group Basis'!$D186,"")</f>
        <v>10% up to 25</v>
      </c>
      <c r="M126" s="562"/>
      <c r="N126" s="702"/>
      <c r="O126" s="918" t="str">
        <f>IF(P$115=1,'Group Basis'!$D186,"")</f>
        <v>10% up to 25</v>
      </c>
      <c r="P126" s="562"/>
      <c r="Q126" s="702"/>
      <c r="R126" s="918" t="str">
        <f>IF(S$115=1,'Group Basis'!$D186,"")</f>
        <v>10% up to 25</v>
      </c>
      <c r="S126" s="562"/>
      <c r="T126" s="702"/>
      <c r="U126" s="918" t="str">
        <f>IF(V$115=1,'Group Basis'!$D186,"")</f>
        <v>10% up to 25</v>
      </c>
      <c r="V126" s="562"/>
      <c r="W126" s="702"/>
      <c r="X126" s="918" t="str">
        <f>IF(Y$115=1,'Group Basis'!$D186,"")</f>
        <v>10% up to 25</v>
      </c>
      <c r="Y126" s="562"/>
      <c r="Z126" s="703"/>
    </row>
    <row r="127" spans="2:26" x14ac:dyDescent="0.25">
      <c r="B127" s="713"/>
      <c r="C127" s="918" t="str">
        <f>IF(D$115=1,'Group Basis'!$D187,"")</f>
        <v>10% up to 30</v>
      </c>
      <c r="D127" s="562"/>
      <c r="E127" s="702"/>
      <c r="F127" s="918" t="str">
        <f>IF(G$115=1,'Group Basis'!$D187,"")</f>
        <v>10% up to 30</v>
      </c>
      <c r="G127" s="562"/>
      <c r="H127" s="702"/>
      <c r="I127" s="918" t="str">
        <f>IF(J$115=1,'Group Basis'!$D187,"")</f>
        <v>10% up to 30</v>
      </c>
      <c r="J127" s="562"/>
      <c r="K127" s="702"/>
      <c r="L127" s="918" t="str">
        <f>IF(M$115=1,'Group Basis'!$D187,"")</f>
        <v>10% up to 30</v>
      </c>
      <c r="M127" s="562"/>
      <c r="N127" s="702"/>
      <c r="O127" s="918" t="str">
        <f>IF(P$115=1,'Group Basis'!$D187,"")</f>
        <v>10% up to 30</v>
      </c>
      <c r="P127" s="562"/>
      <c r="Q127" s="702"/>
      <c r="R127" s="918" t="str">
        <f>IF(S$115=1,'Group Basis'!$D187,"")</f>
        <v>10% up to 30</v>
      </c>
      <c r="S127" s="562"/>
      <c r="T127" s="702"/>
      <c r="U127" s="918" t="str">
        <f>IF(V$115=1,'Group Basis'!$D187,"")</f>
        <v>10% up to 30</v>
      </c>
      <c r="V127" s="562"/>
      <c r="W127" s="702"/>
      <c r="X127" s="918" t="str">
        <f>IF(Y$115=1,'Group Basis'!$D187,"")</f>
        <v>10% up to 30</v>
      </c>
      <c r="Y127" s="562"/>
      <c r="Z127" s="703"/>
    </row>
    <row r="128" spans="2:26" x14ac:dyDescent="0.25">
      <c r="B128" s="713"/>
      <c r="C128" s="918" t="str">
        <f>IF(D$115=1,'Group Basis'!$D188,"")</f>
        <v>10% up to 50</v>
      </c>
      <c r="D128" s="562"/>
      <c r="E128" s="702"/>
      <c r="F128" s="918" t="str">
        <f>IF(G$115=1,'Group Basis'!$D188,"")</f>
        <v>10% up to 50</v>
      </c>
      <c r="G128" s="562"/>
      <c r="H128" s="702"/>
      <c r="I128" s="918" t="str">
        <f>IF(J$115=1,'Group Basis'!$D188,"")</f>
        <v>10% up to 50</v>
      </c>
      <c r="J128" s="562"/>
      <c r="K128" s="702"/>
      <c r="L128" s="918" t="str">
        <f>IF(M$115=1,'Group Basis'!$D188,"")</f>
        <v>10% up to 50</v>
      </c>
      <c r="M128" s="562"/>
      <c r="N128" s="702"/>
      <c r="O128" s="918" t="str">
        <f>IF(P$115=1,'Group Basis'!$D188,"")</f>
        <v>10% up to 50</v>
      </c>
      <c r="P128" s="562"/>
      <c r="Q128" s="702"/>
      <c r="R128" s="918" t="str">
        <f>IF(S$115=1,'Group Basis'!$D188,"")</f>
        <v>10% up to 50</v>
      </c>
      <c r="S128" s="562"/>
      <c r="T128" s="702"/>
      <c r="U128" s="918" t="str">
        <f>IF(V$115=1,'Group Basis'!$D188,"")</f>
        <v>10% up to 50</v>
      </c>
      <c r="V128" s="562"/>
      <c r="W128" s="702"/>
      <c r="X128" s="918" t="str">
        <f>IF(Y$115=1,'Group Basis'!$D188,"")</f>
        <v>10% up to 50</v>
      </c>
      <c r="Y128" s="562"/>
      <c r="Z128" s="703"/>
    </row>
    <row r="129" spans="2:26" x14ac:dyDescent="0.25">
      <c r="B129" s="713"/>
      <c r="C129" s="918" t="str">
        <f>IF(D$115=1,'Group Basis'!$D189,"")</f>
        <v>10% up to 75</v>
      </c>
      <c r="D129" s="562"/>
      <c r="E129" s="702"/>
      <c r="F129" s="918" t="str">
        <f>IF(G$115=1,'Group Basis'!$D189,"")</f>
        <v>10% up to 75</v>
      </c>
      <c r="G129" s="562"/>
      <c r="H129" s="702"/>
      <c r="I129" s="918" t="str">
        <f>IF(J$115=1,'Group Basis'!$D189,"")</f>
        <v>10% up to 75</v>
      </c>
      <c r="J129" s="562"/>
      <c r="K129" s="702"/>
      <c r="L129" s="918" t="str">
        <f>IF(M$115=1,'Group Basis'!$D189,"")</f>
        <v>10% up to 75</v>
      </c>
      <c r="M129" s="562"/>
      <c r="N129" s="702"/>
      <c r="O129" s="918" t="str">
        <f>IF(P$115=1,'Group Basis'!$D189,"")</f>
        <v>10% up to 75</v>
      </c>
      <c r="P129" s="562"/>
      <c r="Q129" s="702"/>
      <c r="R129" s="918" t="str">
        <f>IF(S$115=1,'Group Basis'!$D189,"")</f>
        <v>10% up to 75</v>
      </c>
      <c r="S129" s="562"/>
      <c r="T129" s="702"/>
      <c r="U129" s="918" t="str">
        <f>IF(V$115=1,'Group Basis'!$D189,"")</f>
        <v>10% up to 75</v>
      </c>
      <c r="V129" s="562"/>
      <c r="W129" s="702"/>
      <c r="X129" s="918" t="str">
        <f>IF(Y$115=1,'Group Basis'!$D189,"")</f>
        <v>10% up to 75</v>
      </c>
      <c r="Y129" s="562"/>
      <c r="Z129" s="703"/>
    </row>
    <row r="130" spans="2:26" x14ac:dyDescent="0.25">
      <c r="B130" s="713"/>
      <c r="C130" s="918" t="str">
        <f>IF(D$115=1,'Group Basis'!$D190,"")</f>
        <v>10% up to 100</v>
      </c>
      <c r="D130" s="562"/>
      <c r="E130" s="702"/>
      <c r="F130" s="918" t="str">
        <f>IF(G$115=1,'Group Basis'!$D190,"")</f>
        <v>10% up to 100</v>
      </c>
      <c r="G130" s="562"/>
      <c r="H130" s="702"/>
      <c r="I130" s="918" t="str">
        <f>IF(J$115=1,'Group Basis'!$D190,"")</f>
        <v>10% up to 100</v>
      </c>
      <c r="J130" s="562"/>
      <c r="K130" s="702"/>
      <c r="L130" s="918" t="str">
        <f>IF(M$115=1,'Group Basis'!$D190,"")</f>
        <v>10% up to 100</v>
      </c>
      <c r="M130" s="562"/>
      <c r="N130" s="702"/>
      <c r="O130" s="918" t="str">
        <f>IF(P$115=1,'Group Basis'!$D190,"")</f>
        <v>10% up to 100</v>
      </c>
      <c r="P130" s="562"/>
      <c r="Q130" s="702"/>
      <c r="R130" s="918" t="str">
        <f>IF(S$115=1,'Group Basis'!$D190,"")</f>
        <v>10% up to 100</v>
      </c>
      <c r="S130" s="562"/>
      <c r="T130" s="702"/>
      <c r="U130" s="918" t="str">
        <f>IF(V$115=1,'Group Basis'!$D190,"")</f>
        <v>10% up to 100</v>
      </c>
      <c r="V130" s="562"/>
      <c r="W130" s="702"/>
      <c r="X130" s="918" t="str">
        <f>IF(Y$115=1,'Group Basis'!$D190,"")</f>
        <v>10% up to 100</v>
      </c>
      <c r="Y130" s="562"/>
      <c r="Z130" s="703"/>
    </row>
    <row r="131" spans="2:26" ht="15.75" thickBot="1" x14ac:dyDescent="0.3">
      <c r="B131" s="695"/>
      <c r="C131" s="570"/>
      <c r="D131" s="570"/>
      <c r="E131" s="570"/>
      <c r="F131" s="570"/>
      <c r="G131" s="570"/>
      <c r="H131" s="570"/>
      <c r="I131" s="570"/>
      <c r="J131" s="570"/>
      <c r="K131" s="570"/>
      <c r="L131" s="570"/>
      <c r="M131" s="570"/>
      <c r="N131" s="570"/>
      <c r="O131" s="570"/>
      <c r="P131" s="696"/>
      <c r="Q131" s="570"/>
      <c r="R131" s="570"/>
      <c r="S131" s="570"/>
      <c r="T131" s="570"/>
      <c r="U131" s="570"/>
      <c r="V131" s="570"/>
      <c r="W131" s="570"/>
      <c r="X131" s="570"/>
      <c r="Y131" s="570"/>
      <c r="Z131" s="697"/>
    </row>
    <row r="134" spans="2:26" ht="15.75" thickBot="1" x14ac:dyDescent="0.3"/>
    <row r="135" spans="2:26" ht="17.25" x14ac:dyDescent="0.25">
      <c r="B135" s="684"/>
      <c r="C135" s="710" t="s">
        <v>128</v>
      </c>
      <c r="D135" s="569"/>
      <c r="E135" s="569"/>
      <c r="F135" s="569"/>
      <c r="G135" s="569"/>
      <c r="H135" s="569"/>
      <c r="I135" s="569"/>
      <c r="J135" s="569"/>
      <c r="K135" s="569"/>
      <c r="L135" s="569"/>
      <c r="M135" s="569"/>
      <c r="N135" s="569"/>
      <c r="O135" s="569"/>
      <c r="P135" s="685"/>
      <c r="Q135" s="569"/>
      <c r="R135" s="569"/>
      <c r="S135" s="569"/>
      <c r="T135" s="569"/>
      <c r="U135" s="569"/>
      <c r="V135" s="569"/>
      <c r="W135" s="569"/>
      <c r="X135" s="569"/>
      <c r="Y135" s="569"/>
      <c r="Z135" s="686"/>
    </row>
    <row r="136" spans="2:26" x14ac:dyDescent="0.25">
      <c r="B136" s="687"/>
      <c r="Z136" s="688"/>
    </row>
    <row r="137" spans="2:26" ht="15.75" x14ac:dyDescent="0.25">
      <c r="B137" s="687"/>
      <c r="C137" s="689" t="s">
        <v>91</v>
      </c>
      <c r="D137" s="690"/>
      <c r="F137" s="689" t="s">
        <v>92</v>
      </c>
      <c r="G137" s="691"/>
      <c r="I137" s="689" t="s">
        <v>93</v>
      </c>
      <c r="J137" s="691"/>
      <c r="L137" s="689" t="s">
        <v>94</v>
      </c>
      <c r="M137" s="691"/>
      <c r="O137" s="689" t="s">
        <v>358</v>
      </c>
      <c r="P137" s="690"/>
      <c r="R137" s="689" t="s">
        <v>359</v>
      </c>
      <c r="S137" s="691"/>
      <c r="U137" s="689" t="s">
        <v>360</v>
      </c>
      <c r="V137" s="691"/>
      <c r="X137" s="689" t="s">
        <v>361</v>
      </c>
      <c r="Y137" s="691"/>
      <c r="Z137" s="688"/>
    </row>
    <row r="138" spans="2:26" ht="15.75" x14ac:dyDescent="0.25">
      <c r="B138" s="687"/>
      <c r="C138" s="693" t="s">
        <v>120</v>
      </c>
      <c r="D138" s="692" t="s">
        <v>95</v>
      </c>
      <c r="F138" s="693" t="s">
        <v>120</v>
      </c>
      <c r="G138" s="692" t="s">
        <v>95</v>
      </c>
      <c r="I138" s="693" t="s">
        <v>120</v>
      </c>
      <c r="J138" s="692" t="s">
        <v>95</v>
      </c>
      <c r="L138" s="693" t="s">
        <v>120</v>
      </c>
      <c r="M138" s="692" t="s">
        <v>95</v>
      </c>
      <c r="O138" s="693" t="s">
        <v>120</v>
      </c>
      <c r="P138" s="692" t="s">
        <v>95</v>
      </c>
      <c r="R138" s="693" t="s">
        <v>120</v>
      </c>
      <c r="S138" s="692" t="s">
        <v>95</v>
      </c>
      <c r="U138" s="693" t="s">
        <v>120</v>
      </c>
      <c r="V138" s="692" t="s">
        <v>95</v>
      </c>
      <c r="X138" s="693" t="s">
        <v>120</v>
      </c>
      <c r="Y138" s="692" t="s">
        <v>95</v>
      </c>
      <c r="Z138" s="688"/>
    </row>
    <row r="139" spans="2:26" x14ac:dyDescent="0.25">
      <c r="B139" s="687"/>
      <c r="C139" s="544" t="str">
        <f>'Group Basis'!$A77</f>
        <v>Not Covered</v>
      </c>
      <c r="D139" s="544">
        <f>D107</f>
        <v>1</v>
      </c>
      <c r="F139" s="544" t="str">
        <f>'Group Basis'!$A77</f>
        <v>Not Covered</v>
      </c>
      <c r="G139" s="544">
        <f>G107</f>
        <v>1</v>
      </c>
      <c r="I139" s="544" t="str">
        <f>'Group Basis'!$A77</f>
        <v>Not Covered</v>
      </c>
      <c r="J139" s="544">
        <f>J107</f>
        <v>1</v>
      </c>
      <c r="L139" s="544" t="str">
        <f>'Group Basis'!$A77</f>
        <v>Not Covered</v>
      </c>
      <c r="M139" s="544">
        <f>M107</f>
        <v>1</v>
      </c>
      <c r="O139" s="544" t="str">
        <f>'Group Basis'!$A77</f>
        <v>Not Covered</v>
      </c>
      <c r="P139" s="544">
        <f>P107</f>
        <v>1</v>
      </c>
      <c r="R139" s="544" t="str">
        <f>'Group Basis'!$A77</f>
        <v>Not Covered</v>
      </c>
      <c r="S139" s="544">
        <f>S107</f>
        <v>1</v>
      </c>
      <c r="U139" s="544" t="str">
        <f>'Group Basis'!$A77</f>
        <v>Not Covered</v>
      </c>
      <c r="V139" s="544">
        <f>V107</f>
        <v>1</v>
      </c>
      <c r="X139" s="544" t="str">
        <f>'Group Basis'!$A77</f>
        <v>Not Covered</v>
      </c>
      <c r="Y139" s="544">
        <f>Y107</f>
        <v>1</v>
      </c>
      <c r="Z139" s="688"/>
    </row>
    <row r="140" spans="2:26" x14ac:dyDescent="0.25">
      <c r="B140" s="687"/>
      <c r="C140" s="544">
        <f>'Group Basis'!$A78</f>
        <v>500</v>
      </c>
      <c r="F140" s="544">
        <f>'Group Basis'!$A78</f>
        <v>500</v>
      </c>
      <c r="I140" s="544">
        <f>'Group Basis'!$A78</f>
        <v>500</v>
      </c>
      <c r="L140" s="544">
        <f>'Group Basis'!$A78</f>
        <v>500</v>
      </c>
      <c r="O140" s="544">
        <f>'Group Basis'!$A78</f>
        <v>500</v>
      </c>
      <c r="P140" s="467"/>
      <c r="R140" s="544">
        <f>'Group Basis'!$A78</f>
        <v>500</v>
      </c>
      <c r="U140" s="544">
        <f>'Group Basis'!$A78</f>
        <v>500</v>
      </c>
      <c r="X140" s="544">
        <f>'Group Basis'!$A78</f>
        <v>500</v>
      </c>
      <c r="Z140" s="688"/>
    </row>
    <row r="141" spans="2:26" x14ac:dyDescent="0.25">
      <c r="B141" s="687"/>
      <c r="C141" s="544">
        <f>'Group Basis'!$A79</f>
        <v>1000</v>
      </c>
      <c r="F141" s="544">
        <f>'Group Basis'!$A79</f>
        <v>1000</v>
      </c>
      <c r="I141" s="544">
        <f>'Group Basis'!$A79</f>
        <v>1000</v>
      </c>
      <c r="L141" s="544">
        <f>'Group Basis'!$A79</f>
        <v>1000</v>
      </c>
      <c r="O141" s="544">
        <f>'Group Basis'!$A79</f>
        <v>1000</v>
      </c>
      <c r="P141" s="467"/>
      <c r="R141" s="544">
        <f>'Group Basis'!$A79</f>
        <v>1000</v>
      </c>
      <c r="U141" s="544">
        <f>'Group Basis'!$A79</f>
        <v>1000</v>
      </c>
      <c r="X141" s="544">
        <f>'Group Basis'!$A79</f>
        <v>1000</v>
      </c>
      <c r="Z141" s="688"/>
    </row>
    <row r="142" spans="2:26" x14ac:dyDescent="0.25">
      <c r="B142" s="687"/>
      <c r="C142" s="544">
        <f>'Group Basis'!$A80</f>
        <v>2000</v>
      </c>
      <c r="F142" s="544">
        <f>'Group Basis'!$A80</f>
        <v>2000</v>
      </c>
      <c r="I142" s="544">
        <f>'Group Basis'!$A80</f>
        <v>2000</v>
      </c>
      <c r="L142" s="544">
        <f>'Group Basis'!$A80</f>
        <v>2000</v>
      </c>
      <c r="O142" s="544">
        <f>'Group Basis'!$A80</f>
        <v>2000</v>
      </c>
      <c r="P142" s="467"/>
      <c r="R142" s="544">
        <f>'Group Basis'!$A80</f>
        <v>2000</v>
      </c>
      <c r="U142" s="544">
        <f>'Group Basis'!$A80</f>
        <v>2000</v>
      </c>
      <c r="X142" s="544">
        <f>'Group Basis'!$A80</f>
        <v>2000</v>
      </c>
      <c r="Z142" s="688"/>
    </row>
    <row r="143" spans="2:26" x14ac:dyDescent="0.25">
      <c r="B143" s="687"/>
      <c r="C143" s="544">
        <f>'Group Basis'!$A81</f>
        <v>2500</v>
      </c>
      <c r="F143" s="544">
        <f>'Group Basis'!$A81</f>
        <v>2500</v>
      </c>
      <c r="I143" s="544">
        <f>'Group Basis'!$A81</f>
        <v>2500</v>
      </c>
      <c r="L143" s="544">
        <f>'Group Basis'!$A81</f>
        <v>2500</v>
      </c>
      <c r="O143" s="544">
        <f>'Group Basis'!$A81</f>
        <v>2500</v>
      </c>
      <c r="P143" s="467"/>
      <c r="R143" s="544">
        <f>'Group Basis'!$A81</f>
        <v>2500</v>
      </c>
      <c r="U143" s="544">
        <f>'Group Basis'!$A81</f>
        <v>2500</v>
      </c>
      <c r="X143" s="544">
        <f>'Group Basis'!$A81</f>
        <v>2500</v>
      </c>
      <c r="Z143" s="688"/>
    </row>
    <row r="144" spans="2:26" x14ac:dyDescent="0.25">
      <c r="B144" s="687"/>
      <c r="C144" s="544">
        <f>'Group Basis'!$A82</f>
        <v>3000</v>
      </c>
      <c r="F144" s="544">
        <f>'Group Basis'!$A82</f>
        <v>3000</v>
      </c>
      <c r="I144" s="544">
        <f>'Group Basis'!$A82</f>
        <v>3000</v>
      </c>
      <c r="L144" s="544">
        <f>'Group Basis'!$A82</f>
        <v>3000</v>
      </c>
      <c r="O144" s="544">
        <f>'Group Basis'!$A82</f>
        <v>3000</v>
      </c>
      <c r="P144" s="467"/>
      <c r="R144" s="544">
        <f>'Group Basis'!$A82</f>
        <v>3000</v>
      </c>
      <c r="U144" s="544">
        <f>'Group Basis'!$A82</f>
        <v>3000</v>
      </c>
      <c r="X144" s="544">
        <f>'Group Basis'!$A82</f>
        <v>3000</v>
      </c>
      <c r="Z144" s="688"/>
    </row>
    <row r="145" spans="2:26" x14ac:dyDescent="0.25">
      <c r="B145" s="687"/>
      <c r="C145" s="544">
        <f>'Group Basis'!$A83</f>
        <v>3500</v>
      </c>
      <c r="F145" s="544">
        <f>'Group Basis'!$A83</f>
        <v>3500</v>
      </c>
      <c r="I145" s="544">
        <f>'Group Basis'!$A83</f>
        <v>3500</v>
      </c>
      <c r="L145" s="544">
        <f>'Group Basis'!$A83</f>
        <v>3500</v>
      </c>
      <c r="O145" s="544">
        <f>'Group Basis'!$A83</f>
        <v>3500</v>
      </c>
      <c r="P145" s="467"/>
      <c r="R145" s="544">
        <f>'Group Basis'!$A83</f>
        <v>3500</v>
      </c>
      <c r="U145" s="544">
        <f>'Group Basis'!$A83</f>
        <v>3500</v>
      </c>
      <c r="X145" s="544">
        <f>'Group Basis'!$A83</f>
        <v>3500</v>
      </c>
      <c r="Z145" s="688"/>
    </row>
    <row r="146" spans="2:26" x14ac:dyDescent="0.25">
      <c r="B146" s="687"/>
      <c r="C146" s="544">
        <f>'Group Basis'!$A84</f>
        <v>5000</v>
      </c>
      <c r="F146" s="544">
        <f>'Group Basis'!$A84</f>
        <v>5000</v>
      </c>
      <c r="I146" s="544">
        <f>'Group Basis'!$A84</f>
        <v>5000</v>
      </c>
      <c r="L146" s="544">
        <f>'Group Basis'!$A84</f>
        <v>5000</v>
      </c>
      <c r="O146" s="544">
        <f>'Group Basis'!$A84</f>
        <v>5000</v>
      </c>
      <c r="P146" s="467"/>
      <c r="R146" s="544">
        <f>'Group Basis'!$A84</f>
        <v>5000</v>
      </c>
      <c r="U146" s="544">
        <f>'Group Basis'!$A84</f>
        <v>5000</v>
      </c>
      <c r="X146" s="544">
        <f>'Group Basis'!$A84</f>
        <v>5000</v>
      </c>
      <c r="Z146" s="688"/>
    </row>
    <row r="147" spans="2:26" x14ac:dyDescent="0.25">
      <c r="B147" s="687"/>
      <c r="C147" s="544">
        <f>'Group Basis'!$A85</f>
        <v>7500</v>
      </c>
      <c r="F147" s="544">
        <f>'Group Basis'!$A85</f>
        <v>7500</v>
      </c>
      <c r="I147" s="544">
        <f>'Group Basis'!$A85</f>
        <v>7500</v>
      </c>
      <c r="L147" s="544">
        <f>'Group Basis'!$A85</f>
        <v>7500</v>
      </c>
      <c r="O147" s="544">
        <f>'Group Basis'!$A85</f>
        <v>7500</v>
      </c>
      <c r="P147" s="467"/>
      <c r="R147" s="544">
        <f>'Group Basis'!$A85</f>
        <v>7500</v>
      </c>
      <c r="U147" s="544">
        <f>'Group Basis'!$A85</f>
        <v>7500</v>
      </c>
      <c r="X147" s="544">
        <f>'Group Basis'!$A85</f>
        <v>7500</v>
      </c>
      <c r="Z147" s="688"/>
    </row>
    <row r="148" spans="2:26" x14ac:dyDescent="0.25">
      <c r="B148" s="687"/>
      <c r="C148" s="544">
        <f>'Group Basis'!$A86</f>
        <v>10000</v>
      </c>
      <c r="F148" s="544">
        <f>'Group Basis'!$A86</f>
        <v>10000</v>
      </c>
      <c r="I148" s="544">
        <f>'Group Basis'!$A86</f>
        <v>10000</v>
      </c>
      <c r="L148" s="544">
        <f>'Group Basis'!$A86</f>
        <v>10000</v>
      </c>
      <c r="O148" s="544">
        <f>'Group Basis'!$A86</f>
        <v>10000</v>
      </c>
      <c r="P148" s="467"/>
      <c r="R148" s="544">
        <f>'Group Basis'!$A86</f>
        <v>10000</v>
      </c>
      <c r="U148" s="544">
        <f>'Group Basis'!$A86</f>
        <v>10000</v>
      </c>
      <c r="X148" s="544">
        <f>'Group Basis'!$A86</f>
        <v>10000</v>
      </c>
      <c r="Z148" s="688"/>
    </row>
    <row r="149" spans="2:26" ht="15.75" thickBot="1" x14ac:dyDescent="0.3">
      <c r="B149" s="695"/>
      <c r="C149" s="570"/>
      <c r="D149" s="570"/>
      <c r="E149" s="570"/>
      <c r="F149" s="570"/>
      <c r="G149" s="570"/>
      <c r="H149" s="570"/>
      <c r="I149" s="570"/>
      <c r="J149" s="570"/>
      <c r="K149" s="570"/>
      <c r="L149" s="570"/>
      <c r="M149" s="570"/>
      <c r="N149" s="570"/>
      <c r="O149" s="570"/>
      <c r="P149" s="696"/>
      <c r="Q149" s="570"/>
      <c r="R149" s="570"/>
      <c r="S149" s="570"/>
      <c r="T149" s="570"/>
      <c r="U149" s="570"/>
      <c r="V149" s="570"/>
      <c r="W149" s="570"/>
      <c r="X149" s="570"/>
      <c r="Y149" s="570"/>
      <c r="Z149" s="697"/>
    </row>
    <row r="150" spans="2:26" ht="15.75" thickBot="1" x14ac:dyDescent="0.3"/>
    <row r="151" spans="2:26" ht="17.25" x14ac:dyDescent="0.25">
      <c r="B151" s="684"/>
      <c r="C151" s="710" t="s">
        <v>265</v>
      </c>
      <c r="D151" s="569"/>
      <c r="E151" s="569"/>
      <c r="F151" s="569"/>
      <c r="G151" s="569"/>
      <c r="H151" s="569"/>
      <c r="I151" s="569"/>
      <c r="J151" s="569"/>
      <c r="K151" s="569"/>
      <c r="L151" s="569"/>
      <c r="M151" s="569"/>
      <c r="N151" s="569"/>
      <c r="O151" s="569"/>
      <c r="P151" s="685"/>
      <c r="Q151" s="569"/>
      <c r="R151" s="569"/>
      <c r="S151" s="569"/>
      <c r="T151" s="569"/>
      <c r="U151" s="569"/>
      <c r="V151" s="569"/>
      <c r="W151" s="569"/>
      <c r="X151" s="569"/>
      <c r="Y151" s="569"/>
      <c r="Z151" s="686"/>
    </row>
    <row r="152" spans="2:26" x14ac:dyDescent="0.25">
      <c r="B152" s="687"/>
      <c r="Z152" s="688"/>
    </row>
    <row r="153" spans="2:26" ht="15.75" x14ac:dyDescent="0.25">
      <c r="B153" s="687"/>
      <c r="C153" s="689" t="s">
        <v>91</v>
      </c>
      <c r="D153" s="690"/>
      <c r="F153" s="689" t="s">
        <v>92</v>
      </c>
      <c r="G153" s="691"/>
      <c r="I153" s="689" t="s">
        <v>93</v>
      </c>
      <c r="J153" s="691"/>
      <c r="L153" s="689" t="s">
        <v>94</v>
      </c>
      <c r="M153" s="691"/>
      <c r="O153" s="689" t="s">
        <v>358</v>
      </c>
      <c r="P153" s="690"/>
      <c r="R153" s="689" t="s">
        <v>359</v>
      </c>
      <c r="S153" s="691"/>
      <c r="U153" s="689" t="s">
        <v>360</v>
      </c>
      <c r="V153" s="691"/>
      <c r="X153" s="689" t="s">
        <v>361</v>
      </c>
      <c r="Y153" s="691"/>
      <c r="Z153" s="688"/>
    </row>
    <row r="154" spans="2:26" ht="15.75" x14ac:dyDescent="0.25">
      <c r="B154" s="687"/>
      <c r="C154" s="693" t="s">
        <v>266</v>
      </c>
      <c r="D154" s="692" t="s">
        <v>95</v>
      </c>
      <c r="F154" s="693" t="s">
        <v>266</v>
      </c>
      <c r="G154" s="692" t="s">
        <v>95</v>
      </c>
      <c r="I154" s="693" t="s">
        <v>266</v>
      </c>
      <c r="J154" s="692" t="s">
        <v>95</v>
      </c>
      <c r="L154" s="693" t="s">
        <v>266</v>
      </c>
      <c r="M154" s="692" t="s">
        <v>95</v>
      </c>
      <c r="O154" s="693" t="s">
        <v>266</v>
      </c>
      <c r="P154" s="692" t="s">
        <v>95</v>
      </c>
      <c r="R154" s="693" t="s">
        <v>266</v>
      </c>
      <c r="S154" s="692" t="s">
        <v>95</v>
      </c>
      <c r="U154" s="693" t="s">
        <v>266</v>
      </c>
      <c r="V154" s="692" t="s">
        <v>95</v>
      </c>
      <c r="X154" s="693" t="s">
        <v>266</v>
      </c>
      <c r="Y154" s="692" t="s">
        <v>95</v>
      </c>
      <c r="Z154" s="688"/>
    </row>
    <row r="155" spans="2:26" x14ac:dyDescent="0.25">
      <c r="B155" s="687"/>
      <c r="C155" s="628">
        <v>0.1</v>
      </c>
      <c r="D155" s="544">
        <f>D139</f>
        <v>1</v>
      </c>
      <c r="F155" s="628">
        <v>0.1</v>
      </c>
      <c r="G155" s="544">
        <f>G139</f>
        <v>1</v>
      </c>
      <c r="I155" s="628">
        <v>0.1</v>
      </c>
      <c r="J155" s="544">
        <f>J139</f>
        <v>1</v>
      </c>
      <c r="L155" s="628">
        <v>0.1</v>
      </c>
      <c r="M155" s="471">
        <v>3</v>
      </c>
      <c r="O155" s="628">
        <v>0.1</v>
      </c>
      <c r="P155" s="544">
        <f>P139</f>
        <v>1</v>
      </c>
      <c r="R155" s="628">
        <v>0.1</v>
      </c>
      <c r="S155" s="544">
        <f>S139</f>
        <v>1</v>
      </c>
      <c r="U155" s="628">
        <v>0.1</v>
      </c>
      <c r="V155" s="544">
        <f>V139</f>
        <v>1</v>
      </c>
      <c r="X155" s="628">
        <v>0.1</v>
      </c>
      <c r="Y155" s="544">
        <f>Y139</f>
        <v>1</v>
      </c>
      <c r="Z155" s="688"/>
    </row>
    <row r="156" spans="2:26" x14ac:dyDescent="0.25">
      <c r="B156" s="687"/>
      <c r="C156" s="628">
        <v>0.2</v>
      </c>
      <c r="F156" s="628">
        <v>0.2</v>
      </c>
      <c r="I156" s="628">
        <v>0.2</v>
      </c>
      <c r="L156" s="628">
        <v>0.2</v>
      </c>
      <c r="O156" s="628">
        <v>0.2</v>
      </c>
      <c r="P156" s="467"/>
      <c r="R156" s="628">
        <v>0.2</v>
      </c>
      <c r="U156" s="628">
        <v>0.2</v>
      </c>
      <c r="X156" s="628">
        <v>0.2</v>
      </c>
      <c r="Z156" s="688"/>
    </row>
    <row r="157" spans="2:26" x14ac:dyDescent="0.25">
      <c r="B157" s="687"/>
      <c r="C157" s="628">
        <v>0.3</v>
      </c>
      <c r="F157" s="628">
        <v>0.3</v>
      </c>
      <c r="I157" s="628">
        <v>0.3</v>
      </c>
      <c r="L157" s="628">
        <v>0.3</v>
      </c>
      <c r="O157" s="628">
        <v>0.3</v>
      </c>
      <c r="P157" s="467"/>
      <c r="R157" s="628">
        <v>0.3</v>
      </c>
      <c r="U157" s="628">
        <v>0.3</v>
      </c>
      <c r="X157" s="628">
        <v>0.3</v>
      </c>
      <c r="Z157" s="688"/>
    </row>
    <row r="158" spans="2:26" ht="15.75" thickBot="1" x14ac:dyDescent="0.3">
      <c r="B158" s="695"/>
      <c r="C158" s="570"/>
      <c r="D158" s="570"/>
      <c r="E158" s="570"/>
      <c r="F158" s="570"/>
      <c r="G158" s="570"/>
      <c r="H158" s="570"/>
      <c r="I158" s="570"/>
      <c r="J158" s="570"/>
      <c r="K158" s="570"/>
      <c r="L158" s="570"/>
      <c r="M158" s="570"/>
      <c r="N158" s="570"/>
      <c r="O158" s="570"/>
      <c r="P158" s="696"/>
      <c r="Q158" s="570"/>
      <c r="R158" s="570"/>
      <c r="S158" s="570"/>
      <c r="T158" s="570"/>
      <c r="U158" s="570"/>
      <c r="V158" s="570"/>
      <c r="W158" s="570"/>
      <c r="X158" s="570"/>
      <c r="Y158" s="570"/>
      <c r="Z158" s="697"/>
    </row>
    <row r="159" spans="2:26" ht="15.75" thickBot="1" x14ac:dyDescent="0.3"/>
    <row r="160" spans="2:26" ht="17.25" x14ac:dyDescent="0.25">
      <c r="B160" s="684"/>
      <c r="C160" s="710" t="s">
        <v>129</v>
      </c>
      <c r="D160" s="569"/>
      <c r="E160" s="569"/>
      <c r="F160" s="569"/>
      <c r="G160" s="569"/>
      <c r="H160" s="569"/>
      <c r="I160" s="569"/>
      <c r="J160" s="569"/>
      <c r="K160" s="569"/>
      <c r="L160" s="569"/>
      <c r="M160" s="569"/>
      <c r="N160" s="569"/>
      <c r="O160" s="569"/>
      <c r="P160" s="685"/>
      <c r="Q160" s="569"/>
      <c r="R160" s="569"/>
      <c r="S160" s="569"/>
      <c r="T160" s="569"/>
      <c r="U160" s="569"/>
      <c r="V160" s="569"/>
      <c r="W160" s="569"/>
      <c r="X160" s="569"/>
      <c r="Y160" s="569"/>
      <c r="Z160" s="686"/>
    </row>
    <row r="161" spans="2:26" x14ac:dyDescent="0.25">
      <c r="B161" s="687"/>
      <c r="Z161" s="688"/>
    </row>
    <row r="162" spans="2:26" ht="15.75" x14ac:dyDescent="0.25">
      <c r="B162" s="687"/>
      <c r="C162" s="689" t="s">
        <v>91</v>
      </c>
      <c r="D162" s="690"/>
      <c r="F162" s="689" t="s">
        <v>92</v>
      </c>
      <c r="G162" s="691"/>
      <c r="I162" s="689" t="s">
        <v>93</v>
      </c>
      <c r="J162" s="691"/>
      <c r="L162" s="689" t="s">
        <v>94</v>
      </c>
      <c r="M162" s="691"/>
      <c r="O162" s="689" t="s">
        <v>358</v>
      </c>
      <c r="P162" s="690"/>
      <c r="R162" s="689" t="s">
        <v>359</v>
      </c>
      <c r="S162" s="691"/>
      <c r="U162" s="689" t="s">
        <v>360</v>
      </c>
      <c r="V162" s="691"/>
      <c r="X162" s="689" t="s">
        <v>361</v>
      </c>
      <c r="Y162" s="691"/>
      <c r="Z162" s="688"/>
    </row>
    <row r="163" spans="2:26" ht="15.75" x14ac:dyDescent="0.25">
      <c r="B163" s="687"/>
      <c r="C163" s="693" t="s">
        <v>121</v>
      </c>
      <c r="D163" s="692" t="s">
        <v>95</v>
      </c>
      <c r="F163" s="693" t="s">
        <v>121</v>
      </c>
      <c r="G163" s="692" t="s">
        <v>95</v>
      </c>
      <c r="I163" s="693" t="s">
        <v>121</v>
      </c>
      <c r="J163" s="692" t="s">
        <v>95</v>
      </c>
      <c r="L163" s="693" t="s">
        <v>121</v>
      </c>
      <c r="M163" s="692" t="s">
        <v>95</v>
      </c>
      <c r="O163" s="693" t="s">
        <v>121</v>
      </c>
      <c r="P163" s="692" t="s">
        <v>95</v>
      </c>
      <c r="R163" s="693" t="s">
        <v>121</v>
      </c>
      <c r="S163" s="692" t="s">
        <v>95</v>
      </c>
      <c r="U163" s="693" t="s">
        <v>121</v>
      </c>
      <c r="V163" s="692" t="s">
        <v>95</v>
      </c>
      <c r="X163" s="693" t="s">
        <v>121</v>
      </c>
      <c r="Y163" s="692" t="s">
        <v>95</v>
      </c>
      <c r="Z163" s="688"/>
    </row>
    <row r="164" spans="2:26" x14ac:dyDescent="0.25">
      <c r="B164" s="687"/>
      <c r="C164" s="544" t="str">
        <f>'Group Basis'!$A90</f>
        <v>Not Covered</v>
      </c>
      <c r="D164" s="544">
        <f>D155</f>
        <v>1</v>
      </c>
      <c r="F164" s="544" t="str">
        <f>'Group Basis'!$A90</f>
        <v>Not Covered</v>
      </c>
      <c r="G164" s="544">
        <f>G155</f>
        <v>1</v>
      </c>
      <c r="I164" s="544" t="str">
        <f>'Group Basis'!$A90</f>
        <v>Not Covered</v>
      </c>
      <c r="J164" s="544">
        <f>J155</f>
        <v>1</v>
      </c>
      <c r="L164" s="544" t="str">
        <f>'Group Basis'!$A90</f>
        <v>Not Covered</v>
      </c>
      <c r="M164" s="544">
        <f>M155</f>
        <v>3</v>
      </c>
      <c r="O164" s="544" t="str">
        <f>'Group Basis'!$A90</f>
        <v>Not Covered</v>
      </c>
      <c r="P164" s="544">
        <f>P155</f>
        <v>1</v>
      </c>
      <c r="R164" s="544" t="str">
        <f>'Group Basis'!$A90</f>
        <v>Not Covered</v>
      </c>
      <c r="S164" s="544">
        <f>S155</f>
        <v>1</v>
      </c>
      <c r="U164" s="544" t="str">
        <f>'Group Basis'!$A90</f>
        <v>Not Covered</v>
      </c>
      <c r="V164" s="544">
        <f>V155</f>
        <v>1</v>
      </c>
      <c r="X164" s="544" t="str">
        <f>'Group Basis'!$A90</f>
        <v>Not Covered</v>
      </c>
      <c r="Y164" s="544">
        <f>Y155</f>
        <v>1</v>
      </c>
      <c r="Z164" s="688"/>
    </row>
    <row r="165" spans="2:26" x14ac:dyDescent="0.25">
      <c r="B165" s="687"/>
      <c r="C165" s="544">
        <f>'Group Basis'!$A91</f>
        <v>300</v>
      </c>
      <c r="F165" s="544">
        <f>'Group Basis'!$A91</f>
        <v>300</v>
      </c>
      <c r="I165" s="544">
        <f>'Group Basis'!$A91</f>
        <v>300</v>
      </c>
      <c r="L165" s="544">
        <f>'Group Basis'!$A91</f>
        <v>300</v>
      </c>
      <c r="O165" s="544">
        <f>'Group Basis'!$A91</f>
        <v>300</v>
      </c>
      <c r="P165" s="467"/>
      <c r="R165" s="544">
        <f>'Group Basis'!$A91</f>
        <v>300</v>
      </c>
      <c r="U165" s="544">
        <f>'Group Basis'!$A91</f>
        <v>300</v>
      </c>
      <c r="X165" s="544">
        <f>'Group Basis'!$A91</f>
        <v>300</v>
      </c>
      <c r="Z165" s="688"/>
    </row>
    <row r="166" spans="2:26" x14ac:dyDescent="0.25">
      <c r="B166" s="687"/>
      <c r="C166" s="544">
        <f>'Group Basis'!$A92</f>
        <v>500</v>
      </c>
      <c r="F166" s="544">
        <f>'Group Basis'!$A92</f>
        <v>500</v>
      </c>
      <c r="I166" s="544">
        <f>'Group Basis'!$A92</f>
        <v>500</v>
      </c>
      <c r="L166" s="544">
        <f>'Group Basis'!$A92</f>
        <v>500</v>
      </c>
      <c r="O166" s="544">
        <f>'Group Basis'!$A92</f>
        <v>500</v>
      </c>
      <c r="P166" s="467"/>
      <c r="R166" s="544">
        <f>'Group Basis'!$A92</f>
        <v>500</v>
      </c>
      <c r="U166" s="544">
        <f>'Group Basis'!$A92</f>
        <v>500</v>
      </c>
      <c r="X166" s="544">
        <f>'Group Basis'!$A92</f>
        <v>500</v>
      </c>
      <c r="Z166" s="688"/>
    </row>
    <row r="167" spans="2:26" x14ac:dyDescent="0.25">
      <c r="B167" s="687"/>
      <c r="C167" s="544">
        <f>'Group Basis'!$A93</f>
        <v>750</v>
      </c>
      <c r="F167" s="544">
        <f>'Group Basis'!$A93</f>
        <v>750</v>
      </c>
      <c r="I167" s="544">
        <f>'Group Basis'!$A93</f>
        <v>750</v>
      </c>
      <c r="L167" s="544">
        <f>'Group Basis'!$A93</f>
        <v>750</v>
      </c>
      <c r="O167" s="544">
        <f>'Group Basis'!$A93</f>
        <v>750</v>
      </c>
      <c r="P167" s="467"/>
      <c r="R167" s="544">
        <f>'Group Basis'!$A93</f>
        <v>750</v>
      </c>
      <c r="U167" s="544">
        <f>'Group Basis'!$A93</f>
        <v>750</v>
      </c>
      <c r="X167" s="544">
        <f>'Group Basis'!$A93</f>
        <v>750</v>
      </c>
      <c r="Z167" s="688"/>
    </row>
    <row r="168" spans="2:26" x14ac:dyDescent="0.25">
      <c r="B168" s="687"/>
      <c r="C168" s="544">
        <f>'Group Basis'!$A94</f>
        <v>1000</v>
      </c>
      <c r="F168" s="544">
        <f>'Group Basis'!$A94</f>
        <v>1000</v>
      </c>
      <c r="I168" s="544">
        <f>'Group Basis'!$A94</f>
        <v>1000</v>
      </c>
      <c r="L168" s="544">
        <f>'Group Basis'!$A94</f>
        <v>1000</v>
      </c>
      <c r="O168" s="544">
        <f>'Group Basis'!$A94</f>
        <v>1000</v>
      </c>
      <c r="P168" s="467"/>
      <c r="R168" s="544">
        <f>'Group Basis'!$A94</f>
        <v>1000</v>
      </c>
      <c r="U168" s="544">
        <f>'Group Basis'!$A94</f>
        <v>1000</v>
      </c>
      <c r="X168" s="544">
        <f>'Group Basis'!$A94</f>
        <v>1000</v>
      </c>
      <c r="Z168" s="688"/>
    </row>
    <row r="169" spans="2:26" x14ac:dyDescent="0.25">
      <c r="B169" s="687"/>
      <c r="C169" s="544">
        <f>'Group Basis'!$A95</f>
        <v>1500</v>
      </c>
      <c r="F169" s="544">
        <f>'Group Basis'!$A95</f>
        <v>1500</v>
      </c>
      <c r="I169" s="544">
        <f>'Group Basis'!$A95</f>
        <v>1500</v>
      </c>
      <c r="L169" s="544">
        <f>'Group Basis'!$A95</f>
        <v>1500</v>
      </c>
      <c r="O169" s="544">
        <f>'Group Basis'!$A95</f>
        <v>1500</v>
      </c>
      <c r="P169" s="467"/>
      <c r="R169" s="544">
        <f>'Group Basis'!$A95</f>
        <v>1500</v>
      </c>
      <c r="U169" s="544">
        <f>'Group Basis'!$A95</f>
        <v>1500</v>
      </c>
      <c r="X169" s="544">
        <f>'Group Basis'!$A95</f>
        <v>1500</v>
      </c>
      <c r="Z169" s="688"/>
    </row>
    <row r="170" spans="2:26" x14ac:dyDescent="0.25">
      <c r="B170" s="687"/>
      <c r="C170" s="544">
        <f>'Group Basis'!$A96</f>
        <v>2000</v>
      </c>
      <c r="F170" s="544">
        <f>'Group Basis'!$A96</f>
        <v>2000</v>
      </c>
      <c r="I170" s="544">
        <f>'Group Basis'!$A96</f>
        <v>2000</v>
      </c>
      <c r="L170" s="544">
        <f>'Group Basis'!$A96</f>
        <v>2000</v>
      </c>
      <c r="O170" s="544">
        <f>'Group Basis'!$A96</f>
        <v>2000</v>
      </c>
      <c r="P170" s="467"/>
      <c r="R170" s="544">
        <f>'Group Basis'!$A96</f>
        <v>2000</v>
      </c>
      <c r="U170" s="544">
        <f>'Group Basis'!$A96</f>
        <v>2000</v>
      </c>
      <c r="X170" s="544">
        <f>'Group Basis'!$A96</f>
        <v>2000</v>
      </c>
      <c r="Z170" s="688"/>
    </row>
    <row r="171" spans="2:26" x14ac:dyDescent="0.25">
      <c r="B171" s="687"/>
      <c r="C171" s="544">
        <f>'Group Basis'!$A97</f>
        <v>2500</v>
      </c>
      <c r="F171" s="544">
        <f>'Group Basis'!$A97</f>
        <v>2500</v>
      </c>
      <c r="I171" s="544">
        <f>'Group Basis'!$A97</f>
        <v>2500</v>
      </c>
      <c r="L171" s="544">
        <f>'Group Basis'!$A97</f>
        <v>2500</v>
      </c>
      <c r="O171" s="544">
        <f>'Group Basis'!$A97</f>
        <v>2500</v>
      </c>
      <c r="P171" s="467"/>
      <c r="R171" s="544">
        <f>'Group Basis'!$A97</f>
        <v>2500</v>
      </c>
      <c r="U171" s="544">
        <f>'Group Basis'!$A97</f>
        <v>2500</v>
      </c>
      <c r="X171" s="544">
        <f>'Group Basis'!$A97</f>
        <v>2500</v>
      </c>
      <c r="Z171" s="688"/>
    </row>
    <row r="172" spans="2:26" ht="15.75" thickBot="1" x14ac:dyDescent="0.3">
      <c r="B172" s="695"/>
      <c r="C172" s="570"/>
      <c r="D172" s="570"/>
      <c r="E172" s="570"/>
      <c r="F172" s="570"/>
      <c r="G172" s="570"/>
      <c r="H172" s="570"/>
      <c r="I172" s="570"/>
      <c r="J172" s="570"/>
      <c r="K172" s="570"/>
      <c r="L172" s="570"/>
      <c r="M172" s="570"/>
      <c r="N172" s="570"/>
      <c r="O172" s="570"/>
      <c r="P172" s="696"/>
      <c r="Q172" s="570"/>
      <c r="R172" s="570"/>
      <c r="S172" s="570"/>
      <c r="T172" s="570"/>
      <c r="U172" s="570"/>
      <c r="V172" s="570"/>
      <c r="W172" s="570"/>
      <c r="X172" s="570"/>
      <c r="Y172" s="570"/>
      <c r="Z172" s="697"/>
    </row>
    <row r="174" spans="2:26" ht="15.75" thickBot="1" x14ac:dyDescent="0.3"/>
    <row r="175" spans="2:26" ht="17.25" x14ac:dyDescent="0.25">
      <c r="B175" s="684"/>
      <c r="C175" s="710" t="s">
        <v>267</v>
      </c>
      <c r="D175" s="569"/>
      <c r="E175" s="569"/>
      <c r="F175" s="569"/>
      <c r="G175" s="569"/>
      <c r="H175" s="569"/>
      <c r="I175" s="569"/>
      <c r="J175" s="569"/>
      <c r="K175" s="569"/>
      <c r="L175" s="569"/>
      <c r="M175" s="569"/>
      <c r="N175" s="569"/>
      <c r="O175" s="569"/>
      <c r="P175" s="685"/>
      <c r="Q175" s="569"/>
      <c r="R175" s="569"/>
      <c r="S175" s="569"/>
      <c r="T175" s="569"/>
      <c r="U175" s="569"/>
      <c r="V175" s="569"/>
      <c r="W175" s="569"/>
      <c r="X175" s="569"/>
      <c r="Y175" s="569"/>
      <c r="Z175" s="686"/>
    </row>
    <row r="176" spans="2:26" x14ac:dyDescent="0.25">
      <c r="B176" s="687"/>
      <c r="Z176" s="688"/>
    </row>
    <row r="177" spans="2:26" ht="15.75" x14ac:dyDescent="0.25">
      <c r="B177" s="687"/>
      <c r="C177" s="689" t="s">
        <v>91</v>
      </c>
      <c r="D177" s="690"/>
      <c r="F177" s="689" t="s">
        <v>92</v>
      </c>
      <c r="G177" s="691"/>
      <c r="I177" s="689" t="s">
        <v>93</v>
      </c>
      <c r="J177" s="691"/>
      <c r="L177" s="689" t="s">
        <v>94</v>
      </c>
      <c r="M177" s="691"/>
      <c r="O177" s="689" t="s">
        <v>358</v>
      </c>
      <c r="P177" s="690"/>
      <c r="R177" s="689" t="s">
        <v>359</v>
      </c>
      <c r="S177" s="691"/>
      <c r="U177" s="689" t="s">
        <v>360</v>
      </c>
      <c r="V177" s="691"/>
      <c r="X177" s="689" t="s">
        <v>361</v>
      </c>
      <c r="Y177" s="691"/>
      <c r="Z177" s="688"/>
    </row>
    <row r="178" spans="2:26" ht="15.75" x14ac:dyDescent="0.25">
      <c r="B178" s="687"/>
      <c r="C178" s="693" t="s">
        <v>268</v>
      </c>
      <c r="D178" s="692" t="s">
        <v>95</v>
      </c>
      <c r="F178" s="693" t="s">
        <v>268</v>
      </c>
      <c r="G178" s="692" t="s">
        <v>95</v>
      </c>
      <c r="I178" s="693" t="s">
        <v>268</v>
      </c>
      <c r="J178" s="692" t="s">
        <v>95</v>
      </c>
      <c r="L178" s="693" t="s">
        <v>268</v>
      </c>
      <c r="M178" s="692" t="s">
        <v>95</v>
      </c>
      <c r="O178" s="693" t="s">
        <v>268</v>
      </c>
      <c r="P178" s="692" t="s">
        <v>95</v>
      </c>
      <c r="R178" s="693" t="s">
        <v>268</v>
      </c>
      <c r="S178" s="692" t="s">
        <v>95</v>
      </c>
      <c r="U178" s="693" t="s">
        <v>268</v>
      </c>
      <c r="V178" s="692" t="s">
        <v>95</v>
      </c>
      <c r="X178" s="693" t="s">
        <v>268</v>
      </c>
      <c r="Y178" s="692" t="s">
        <v>95</v>
      </c>
      <c r="Z178" s="688"/>
    </row>
    <row r="179" spans="2:26" x14ac:dyDescent="0.25">
      <c r="B179" s="687"/>
      <c r="C179" s="628">
        <v>0.1</v>
      </c>
      <c r="D179" s="544">
        <f>D164</f>
        <v>1</v>
      </c>
      <c r="F179" s="628">
        <v>0.1</v>
      </c>
      <c r="G179" s="544">
        <f>G164</f>
        <v>1</v>
      </c>
      <c r="I179" s="628">
        <v>0.1</v>
      </c>
      <c r="J179" s="544">
        <f>J164</f>
        <v>1</v>
      </c>
      <c r="L179" s="628">
        <v>0.1</v>
      </c>
      <c r="M179" s="544">
        <f>M164</f>
        <v>3</v>
      </c>
      <c r="O179" s="628">
        <v>0.1</v>
      </c>
      <c r="P179" s="544">
        <f>P164</f>
        <v>1</v>
      </c>
      <c r="R179" s="628">
        <v>0.1</v>
      </c>
      <c r="S179" s="544">
        <f>S164</f>
        <v>1</v>
      </c>
      <c r="U179" s="628">
        <v>0.1</v>
      </c>
      <c r="V179" s="544">
        <f>V164</f>
        <v>1</v>
      </c>
      <c r="X179" s="628">
        <v>0.1</v>
      </c>
      <c r="Y179" s="544">
        <f>Y164</f>
        <v>1</v>
      </c>
      <c r="Z179" s="688"/>
    </row>
    <row r="180" spans="2:26" x14ac:dyDescent="0.25">
      <c r="B180" s="687"/>
      <c r="C180" s="628">
        <v>0.2</v>
      </c>
      <c r="F180" s="628">
        <v>0.2</v>
      </c>
      <c r="I180" s="628">
        <v>0.2</v>
      </c>
      <c r="L180" s="628">
        <v>0.2</v>
      </c>
      <c r="O180" s="628">
        <v>0.2</v>
      </c>
      <c r="P180" s="467"/>
      <c r="R180" s="628">
        <v>0.2</v>
      </c>
      <c r="U180" s="628">
        <v>0.2</v>
      </c>
      <c r="X180" s="628">
        <v>0.2</v>
      </c>
      <c r="Z180" s="688"/>
    </row>
    <row r="181" spans="2:26" x14ac:dyDescent="0.25">
      <c r="B181" s="687"/>
      <c r="C181" s="628">
        <v>0.3</v>
      </c>
      <c r="F181" s="628">
        <v>0.3</v>
      </c>
      <c r="I181" s="628">
        <v>0.3</v>
      </c>
      <c r="L181" s="628">
        <v>0.3</v>
      </c>
      <c r="O181" s="628">
        <v>0.3</v>
      </c>
      <c r="P181" s="467"/>
      <c r="R181" s="628">
        <v>0.3</v>
      </c>
      <c r="U181" s="628">
        <v>0.3</v>
      </c>
      <c r="X181" s="628">
        <v>0.3</v>
      </c>
      <c r="Z181" s="688"/>
    </row>
    <row r="182" spans="2:26" ht="15.75" thickBot="1" x14ac:dyDescent="0.3">
      <c r="B182" s="695"/>
      <c r="C182" s="570"/>
      <c r="D182" s="570"/>
      <c r="E182" s="570"/>
      <c r="F182" s="570"/>
      <c r="G182" s="570"/>
      <c r="H182" s="570"/>
      <c r="I182" s="570"/>
      <c r="J182" s="570"/>
      <c r="K182" s="570"/>
      <c r="L182" s="570"/>
      <c r="M182" s="570"/>
      <c r="N182" s="570"/>
      <c r="O182" s="570"/>
      <c r="P182" s="696"/>
      <c r="Q182" s="570"/>
      <c r="R182" s="570"/>
      <c r="S182" s="570"/>
      <c r="T182" s="570"/>
      <c r="U182" s="570"/>
      <c r="V182" s="570"/>
      <c r="W182" s="570"/>
      <c r="X182" s="570"/>
      <c r="Y182" s="570"/>
      <c r="Z182" s="697"/>
    </row>
    <row r="184" spans="2:26" ht="15.75" thickBot="1" x14ac:dyDescent="0.3"/>
    <row r="185" spans="2:26" x14ac:dyDescent="0.25">
      <c r="B185" s="1479" t="s">
        <v>666</v>
      </c>
      <c r="C185" s="1480"/>
      <c r="D185" s="542" t="s">
        <v>665</v>
      </c>
      <c r="F185" s="923">
        <f ca="1">'Benefit Selection - Group'!B108</f>
        <v>28804.852567567563</v>
      </c>
      <c r="G185" s="923">
        <v>205486.44935239997</v>
      </c>
      <c r="H185" s="930">
        <f ca="1">F185/G185-1</f>
        <v>-0.85982115775348023</v>
      </c>
    </row>
    <row r="186" spans="2:26" ht="15" customHeight="1" x14ac:dyDescent="0.25">
      <c r="B186" s="1477" t="s">
        <v>1162</v>
      </c>
      <c r="C186" s="1478"/>
      <c r="D186" s="1049">
        <f>IF(n_lives&lt;=10,'Age Banded Rating'!$D$281,100%)</f>
        <v>1</v>
      </c>
      <c r="E186" s="761" t="s">
        <v>1183</v>
      </c>
      <c r="F186" s="923">
        <f ca="1">'Benefit Selection - Group'!B109</f>
        <v>41149.789382239382</v>
      </c>
      <c r="G186" s="923">
        <v>293552.07050342852</v>
      </c>
      <c r="H186" s="930">
        <f ca="1">F186/G186-1</f>
        <v>-0.85982115775348011</v>
      </c>
    </row>
    <row r="187" spans="2:26" ht="15.75" thickBot="1" x14ac:dyDescent="0.3">
      <c r="B187" s="1475" t="s">
        <v>666</v>
      </c>
      <c r="C187" s="1476"/>
      <c r="D187" s="543">
        <f>IF(AND('Experience Rating'!$H$8&gt;1,'Experience Rating'!$H$4=2,'Member Data'!$AG$23&gt;150,'General Basis'!D3=1),120%,100%)</f>
        <v>1</v>
      </c>
    </row>
    <row r="188" spans="2:26" ht="15.75" thickBot="1" x14ac:dyDescent="0.3">
      <c r="B188" s="704" t="s">
        <v>696</v>
      </c>
      <c r="C188" s="705"/>
      <c r="D188" s="760">
        <f>D186*D187</f>
        <v>1</v>
      </c>
    </row>
    <row r="189" spans="2:26" ht="15.75" thickBot="1" x14ac:dyDescent="0.3">
      <c r="B189" s="1472" t="s">
        <v>1009</v>
      </c>
      <c r="C189" s="1473"/>
      <c r="D189" s="844" t="e">
        <f>IF('Experience Rating'!$H$8=1,0%,IF('Experience Rating'!$H$8=2,'Group Basis'!#REF!,IF('Experience Rating'!$H$8=3,'Group Basis'!#REF!,0%)))</f>
        <v>#REF!</v>
      </c>
    </row>
    <row r="190" spans="2:26" x14ac:dyDescent="0.25">
      <c r="C190" s="707"/>
    </row>
    <row r="191" spans="2:26" x14ac:dyDescent="0.25">
      <c r="B191" s="562"/>
      <c r="C191" s="562"/>
    </row>
    <row r="192" spans="2:26" ht="15.75" thickBot="1" x14ac:dyDescent="0.3">
      <c r="B192" s="1474"/>
      <c r="C192" s="1474"/>
      <c r="D192" s="708">
        <v>1</v>
      </c>
      <c r="E192" s="708">
        <f>+D192+1</f>
        <v>2</v>
      </c>
      <c r="F192" s="708">
        <f t="shared" ref="F192:K192" si="104">+E192+1</f>
        <v>3</v>
      </c>
      <c r="G192" s="708">
        <f t="shared" si="104"/>
        <v>4</v>
      </c>
      <c r="H192" s="708">
        <f t="shared" si="104"/>
        <v>5</v>
      </c>
      <c r="I192" s="708">
        <f t="shared" si="104"/>
        <v>6</v>
      </c>
      <c r="J192" s="708">
        <f t="shared" si="104"/>
        <v>7</v>
      </c>
      <c r="K192" s="708">
        <f t="shared" si="104"/>
        <v>8</v>
      </c>
    </row>
    <row r="193" spans="2:26" ht="15.75" thickBot="1" x14ac:dyDescent="0.3">
      <c r="B193" s="706" t="s">
        <v>732</v>
      </c>
      <c r="D193" s="467" t="s">
        <v>91</v>
      </c>
      <c r="E193" s="467" t="s">
        <v>92</v>
      </c>
      <c r="F193" s="467" t="s">
        <v>93</v>
      </c>
      <c r="G193" s="467" t="s">
        <v>94</v>
      </c>
      <c r="H193" s="467" t="s">
        <v>358</v>
      </c>
      <c r="I193" s="467" t="s">
        <v>359</v>
      </c>
      <c r="J193" s="467" t="s">
        <v>360</v>
      </c>
      <c r="K193" s="467" t="s">
        <v>361</v>
      </c>
    </row>
    <row r="194" spans="2:26" x14ac:dyDescent="0.25">
      <c r="C194" s="469" t="s">
        <v>278</v>
      </c>
      <c r="D194" s="467">
        <f>IF(D6=1,1,0)</f>
        <v>0</v>
      </c>
      <c r="E194" s="467">
        <f>IF(G6=1,1,0)</f>
        <v>0</v>
      </c>
      <c r="F194" s="467">
        <f>IF(J6=1,1,0)</f>
        <v>0</v>
      </c>
      <c r="G194" s="467">
        <f>IF(M6=1,1,0)</f>
        <v>0</v>
      </c>
      <c r="H194" s="467">
        <f>IF(P6=1,1,0)</f>
        <v>0</v>
      </c>
      <c r="I194" s="467">
        <f>IF(S6=1,1,0)</f>
        <v>0</v>
      </c>
      <c r="J194" s="467">
        <f>IF(V6=1,1,0)</f>
        <v>0</v>
      </c>
      <c r="K194" s="467">
        <f>IF(Y6=1,1,0)</f>
        <v>0</v>
      </c>
    </row>
    <row r="195" spans="2:26" x14ac:dyDescent="0.25">
      <c r="C195" s="469" t="s">
        <v>731</v>
      </c>
      <c r="D195" s="467">
        <f>IF('General Basis'!$D$8&gt;=D192,1,0)</f>
        <v>1</v>
      </c>
      <c r="E195" s="467">
        <f>IF('General Basis'!$D$8&gt;=E192,1,0)</f>
        <v>0</v>
      </c>
      <c r="F195" s="467">
        <f>IF('General Basis'!$D$8&gt;=F192,1,0)</f>
        <v>0</v>
      </c>
      <c r="G195" s="467">
        <f>IF('General Basis'!$D$8&gt;=G192,1,0)</f>
        <v>0</v>
      </c>
      <c r="H195" s="467">
        <f>IF('General Basis'!$D$8&gt;=H192,1,0)</f>
        <v>0</v>
      </c>
      <c r="I195" s="467">
        <f>IF('General Basis'!$D$8&gt;=I192,1,0)</f>
        <v>0</v>
      </c>
      <c r="J195" s="467">
        <f>IF('General Basis'!$D$8&gt;=J192,1,0)</f>
        <v>0</v>
      </c>
      <c r="K195" s="467">
        <f>IF('General Basis'!$D$8&gt;=K192,1,0)</f>
        <v>0</v>
      </c>
    </row>
    <row r="196" spans="2:26" x14ac:dyDescent="0.25">
      <c r="C196" s="469" t="s">
        <v>733</v>
      </c>
      <c r="D196" s="709">
        <f>SUMPRODUCT(D194:K194,D195:K195)/SUM(D195:K195)</f>
        <v>0</v>
      </c>
    </row>
    <row r="197" spans="2:26" ht="15.75" thickBot="1" x14ac:dyDescent="0.3"/>
    <row r="198" spans="2:26" ht="17.25" x14ac:dyDescent="0.25">
      <c r="B198" s="684"/>
      <c r="C198" s="710" t="s">
        <v>1112</v>
      </c>
      <c r="D198" s="569"/>
      <c r="E198" s="569"/>
      <c r="F198" s="569"/>
      <c r="G198" s="569"/>
      <c r="H198" s="569"/>
      <c r="I198" s="569"/>
      <c r="J198" s="569"/>
      <c r="K198" s="569"/>
      <c r="L198" s="569"/>
      <c r="M198" s="569"/>
      <c r="N198" s="569"/>
      <c r="O198" s="569"/>
      <c r="P198" s="685"/>
      <c r="Q198" s="569"/>
      <c r="R198" s="569"/>
      <c r="S198" s="569"/>
      <c r="T198" s="569"/>
      <c r="U198" s="569"/>
      <c r="V198" s="569"/>
      <c r="W198" s="569"/>
      <c r="X198" s="569"/>
      <c r="Y198" s="569"/>
      <c r="Z198" s="686"/>
    </row>
    <row r="199" spans="2:26" x14ac:dyDescent="0.25">
      <c r="B199" s="687"/>
      <c r="Z199" s="688"/>
    </row>
    <row r="200" spans="2:26" ht="15.75" x14ac:dyDescent="0.25">
      <c r="B200" s="687"/>
      <c r="C200" s="689" t="s">
        <v>91</v>
      </c>
      <c r="D200" s="690"/>
      <c r="F200" s="689" t="s">
        <v>92</v>
      </c>
      <c r="G200" s="691"/>
      <c r="I200" s="689" t="s">
        <v>93</v>
      </c>
      <c r="J200" s="691"/>
      <c r="L200" s="689" t="s">
        <v>94</v>
      </c>
      <c r="M200" s="691"/>
      <c r="O200" s="689" t="s">
        <v>358</v>
      </c>
      <c r="P200" s="690"/>
      <c r="R200" s="689" t="s">
        <v>359</v>
      </c>
      <c r="S200" s="691"/>
      <c r="U200" s="689" t="s">
        <v>360</v>
      </c>
      <c r="V200" s="691"/>
      <c r="X200" s="689" t="s">
        <v>361</v>
      </c>
      <c r="Y200" s="691"/>
      <c r="Z200" s="688"/>
    </row>
    <row r="201" spans="2:26" ht="15.75" x14ac:dyDescent="0.25">
      <c r="B201" s="687"/>
      <c r="C201" s="693" t="s">
        <v>678</v>
      </c>
      <c r="D201" s="692" t="s">
        <v>95</v>
      </c>
      <c r="F201" s="693" t="s">
        <v>678</v>
      </c>
      <c r="G201" s="692" t="s">
        <v>95</v>
      </c>
      <c r="I201" s="693" t="s">
        <v>678</v>
      </c>
      <c r="J201" s="692" t="s">
        <v>95</v>
      </c>
      <c r="L201" s="693" t="s">
        <v>678</v>
      </c>
      <c r="M201" s="692" t="s">
        <v>95</v>
      </c>
      <c r="O201" s="693" t="s">
        <v>678</v>
      </c>
      <c r="P201" s="692" t="s">
        <v>95</v>
      </c>
      <c r="R201" s="693" t="s">
        <v>678</v>
      </c>
      <c r="S201" s="692" t="s">
        <v>95</v>
      </c>
      <c r="U201" s="693" t="s">
        <v>678</v>
      </c>
      <c r="V201" s="692" t="s">
        <v>95</v>
      </c>
      <c r="X201" s="693" t="s">
        <v>678</v>
      </c>
      <c r="Y201" s="692" t="s">
        <v>95</v>
      </c>
      <c r="Z201" s="688"/>
    </row>
    <row r="202" spans="2:26" x14ac:dyDescent="0.25">
      <c r="B202" s="687"/>
      <c r="C202" s="544">
        <f>IF(D$202="Abu Dhabi",'Group Basis'!$A$373,'Group Basis'!$A365)</f>
        <v>6</v>
      </c>
      <c r="D202" s="471" t="str">
        <f>D92</f>
        <v>Dubai</v>
      </c>
      <c r="F202" s="544">
        <f>IF(G$202="Abu Dhabi",'Group Basis'!$A$373,'Group Basis'!$A365)</f>
        <v>6</v>
      </c>
      <c r="G202" s="471" t="str">
        <f>G92</f>
        <v>Dubai</v>
      </c>
      <c r="I202" s="544">
        <f>IF(J$202="Abu Dhabi",'Group Basis'!$A$373,'Group Basis'!$A365)</f>
        <v>6</v>
      </c>
      <c r="J202" s="471" t="str">
        <f>J92</f>
        <v>Dubai</v>
      </c>
      <c r="L202" s="544">
        <f>IF(M$202="Abu Dhabi",'Group Basis'!$A$373,'Group Basis'!$A365)</f>
        <v>6</v>
      </c>
      <c r="M202" s="471" t="str">
        <f>M92</f>
        <v>Dubai</v>
      </c>
      <c r="O202" s="544">
        <f>IF(P$202="Abu Dhabi",'Group Basis'!$A$373,'Group Basis'!$A365)</f>
        <v>6</v>
      </c>
      <c r="P202" s="471" t="str">
        <f>P92</f>
        <v>Dubai</v>
      </c>
      <c r="R202" s="544">
        <f>IF(S$202="Abu Dhabi",'Group Basis'!$A$373,'Group Basis'!$A365)</f>
        <v>6</v>
      </c>
      <c r="S202" s="471" t="str">
        <f>S92</f>
        <v>Dubai</v>
      </c>
      <c r="U202" s="544">
        <f>IF(V$202="Abu Dhabi",'Group Basis'!$A$373,'Group Basis'!$A365)</f>
        <v>6</v>
      </c>
      <c r="V202" s="471" t="str">
        <f>V92</f>
        <v>Dubai</v>
      </c>
      <c r="X202" s="544">
        <f>IF(Y$202="Abu Dhabi",'Group Basis'!$A$373,'Group Basis'!$A365)</f>
        <v>6</v>
      </c>
      <c r="Y202" s="471" t="str">
        <f>Y92</f>
        <v>Dubai</v>
      </c>
      <c r="Z202" s="688"/>
    </row>
    <row r="203" spans="2:26" x14ac:dyDescent="0.25">
      <c r="B203" s="687"/>
      <c r="C203" s="544">
        <f>IF(D$202="Abu Dhabi",'Group Basis'!$A$373,'Group Basis'!$A366)</f>
        <v>9</v>
      </c>
      <c r="F203" s="544">
        <f>IF(G$202="Abu Dhabi",'Group Basis'!$A$373,'Group Basis'!$A366)</f>
        <v>9</v>
      </c>
      <c r="I203" s="544">
        <f>IF(J$202="Abu Dhabi",'Group Basis'!$A$373,'Group Basis'!$A366)</f>
        <v>9</v>
      </c>
      <c r="L203" s="544">
        <f>IF(M$202="Abu Dhabi",'Group Basis'!$A$373,'Group Basis'!$A366)</f>
        <v>9</v>
      </c>
      <c r="O203" s="544">
        <f>IF(P$202="Abu Dhabi",'Group Basis'!$A$373,'Group Basis'!$A366)</f>
        <v>9</v>
      </c>
      <c r="P203" s="467"/>
      <c r="R203" s="544">
        <f>IF(S$202="Abu Dhabi",'Group Basis'!$A$373,'Group Basis'!$A366)</f>
        <v>9</v>
      </c>
      <c r="U203" s="544">
        <f>IF(V$202="Abu Dhabi",'Group Basis'!$A$373,'Group Basis'!$A366)</f>
        <v>9</v>
      </c>
      <c r="X203" s="544">
        <f>IF(Y$202="Abu Dhabi",'Group Basis'!$A$373,'Group Basis'!$A366)</f>
        <v>9</v>
      </c>
      <c r="Z203" s="688"/>
    </row>
    <row r="204" spans="2:26" x14ac:dyDescent="0.25">
      <c r="B204" s="687"/>
      <c r="C204" s="544">
        <f>IF(D$202="Abu Dhabi",'Group Basis'!$A$373,'Group Basis'!$A367)</f>
        <v>12</v>
      </c>
      <c r="F204" s="544">
        <f>IF(G$202="Abu Dhabi",'Group Basis'!$A$373,'Group Basis'!$A367)</f>
        <v>12</v>
      </c>
      <c r="I204" s="544">
        <f>IF(J$202="Abu Dhabi",'Group Basis'!$A$373,'Group Basis'!$A367)</f>
        <v>12</v>
      </c>
      <c r="L204" s="544">
        <f>IF(M$202="Abu Dhabi",'Group Basis'!$A$373,'Group Basis'!$A367)</f>
        <v>12</v>
      </c>
      <c r="O204" s="544">
        <f>IF(P$202="Abu Dhabi",'Group Basis'!$A$373,'Group Basis'!$A367)</f>
        <v>12</v>
      </c>
      <c r="P204" s="467"/>
      <c r="R204" s="544">
        <f>IF(S$202="Abu Dhabi",'Group Basis'!$A$373,'Group Basis'!$A367)</f>
        <v>12</v>
      </c>
      <c r="U204" s="544">
        <f>IF(V$202="Abu Dhabi",'Group Basis'!$A$373,'Group Basis'!$A367)</f>
        <v>12</v>
      </c>
      <c r="X204" s="544">
        <f>IF(Y$202="Abu Dhabi",'Group Basis'!$A$373,'Group Basis'!$A367)</f>
        <v>12</v>
      </c>
      <c r="Z204" s="688"/>
    </row>
    <row r="205" spans="2:26" x14ac:dyDescent="0.25">
      <c r="B205" s="687"/>
      <c r="C205" s="544">
        <f>IF(D$202="Abu Dhabi",'Group Basis'!$A$373,'Group Basis'!$A368)</f>
        <v>15</v>
      </c>
      <c r="F205" s="544">
        <f>IF(G$202="Abu Dhabi",'Group Basis'!$A$373,'Group Basis'!$A368)</f>
        <v>15</v>
      </c>
      <c r="I205" s="544">
        <f>IF(J$202="Abu Dhabi",'Group Basis'!$A$373,'Group Basis'!$A368)</f>
        <v>15</v>
      </c>
      <c r="L205" s="544">
        <f>IF(M$202="Abu Dhabi",'Group Basis'!$A$373,'Group Basis'!$A368)</f>
        <v>15</v>
      </c>
      <c r="O205" s="544">
        <f>IF(P$202="Abu Dhabi",'Group Basis'!$A$373,'Group Basis'!$A368)</f>
        <v>15</v>
      </c>
      <c r="P205" s="467"/>
      <c r="R205" s="544">
        <f>IF(S$202="Abu Dhabi",'Group Basis'!$A$373,'Group Basis'!$A368)</f>
        <v>15</v>
      </c>
      <c r="U205" s="544">
        <f>IF(V$202="Abu Dhabi",'Group Basis'!$A$373,'Group Basis'!$A368)</f>
        <v>15</v>
      </c>
      <c r="X205" s="544">
        <f>IF(Y$202="Abu Dhabi",'Group Basis'!$A$373,'Group Basis'!$A368)</f>
        <v>15</v>
      </c>
      <c r="Z205" s="688"/>
    </row>
    <row r="206" spans="2:26" x14ac:dyDescent="0.25">
      <c r="B206" s="687"/>
      <c r="C206" s="544">
        <f>IF(D$202="Abu Dhabi",'Group Basis'!$A$373,'Group Basis'!$A369)</f>
        <v>18</v>
      </c>
      <c r="F206" s="544">
        <f>IF(G$202="Abu Dhabi",'Group Basis'!$A$373,'Group Basis'!$A369)</f>
        <v>18</v>
      </c>
      <c r="I206" s="544">
        <f>IF(J$202="Abu Dhabi",'Group Basis'!$A$373,'Group Basis'!$A369)</f>
        <v>18</v>
      </c>
      <c r="L206" s="544">
        <f>IF(M$202="Abu Dhabi",'Group Basis'!$A$373,'Group Basis'!$A369)</f>
        <v>18</v>
      </c>
      <c r="O206" s="544">
        <f>IF(P$202="Abu Dhabi",'Group Basis'!$A$373,'Group Basis'!$A369)</f>
        <v>18</v>
      </c>
      <c r="P206" s="467"/>
      <c r="R206" s="544">
        <f>IF(S$202="Abu Dhabi",'Group Basis'!$A$373,'Group Basis'!$A369)</f>
        <v>18</v>
      </c>
      <c r="U206" s="544">
        <f>IF(V$202="Abu Dhabi",'Group Basis'!$A$373,'Group Basis'!$A369)</f>
        <v>18</v>
      </c>
      <c r="X206" s="544">
        <f>IF(Y$202="Abu Dhabi",'Group Basis'!$A$373,'Group Basis'!$A369)</f>
        <v>18</v>
      </c>
      <c r="Z206" s="688"/>
    </row>
    <row r="207" spans="2:26" x14ac:dyDescent="0.25">
      <c r="B207" s="687"/>
      <c r="C207" s="544">
        <f>IF(D$202="Abu Dhabi",'Group Basis'!$A$373,'Group Basis'!$A370)</f>
        <v>20</v>
      </c>
      <c r="F207" s="544">
        <f>IF(G$202="Abu Dhabi",'Group Basis'!$A$373,'Group Basis'!$A370)</f>
        <v>20</v>
      </c>
      <c r="I207" s="544">
        <f>IF(J$202="Abu Dhabi",'Group Basis'!$A$373,'Group Basis'!$A370)</f>
        <v>20</v>
      </c>
      <c r="L207" s="544">
        <f>IF(M$202="Abu Dhabi",'Group Basis'!$A$373,'Group Basis'!$A370)</f>
        <v>20</v>
      </c>
      <c r="O207" s="544">
        <f>IF(P$202="Abu Dhabi",'Group Basis'!$A$373,'Group Basis'!$A370)</f>
        <v>20</v>
      </c>
      <c r="P207" s="467"/>
      <c r="R207" s="544">
        <f>IF(S$202="Abu Dhabi",'Group Basis'!$A$373,'Group Basis'!$A370)</f>
        <v>20</v>
      </c>
      <c r="U207" s="544">
        <f>IF(V$202="Abu Dhabi",'Group Basis'!$A$373,'Group Basis'!$A370)</f>
        <v>20</v>
      </c>
      <c r="X207" s="544">
        <f>IF(Y$202="Abu Dhabi",'Group Basis'!$A$373,'Group Basis'!$A370)</f>
        <v>20</v>
      </c>
      <c r="Z207" s="688"/>
    </row>
    <row r="208" spans="2:26" x14ac:dyDescent="0.25">
      <c r="B208" s="687"/>
      <c r="C208" s="544">
        <f>IF(D$202="Abu Dhabi",'Group Basis'!$A$373,'Group Basis'!$A371)</f>
        <v>24</v>
      </c>
      <c r="F208" s="544">
        <f>IF(G$202="Abu Dhabi",'Group Basis'!$A$373,'Group Basis'!$A371)</f>
        <v>24</v>
      </c>
      <c r="I208" s="544">
        <f>IF(J$202="Abu Dhabi",'Group Basis'!$A$373,'Group Basis'!$A371)</f>
        <v>24</v>
      </c>
      <c r="L208" s="544">
        <f>IF(M$202="Abu Dhabi",'Group Basis'!$A$373,'Group Basis'!$A371)</f>
        <v>24</v>
      </c>
      <c r="O208" s="544">
        <f>IF(P$202="Abu Dhabi",'Group Basis'!$A$373,'Group Basis'!$A371)</f>
        <v>24</v>
      </c>
      <c r="P208" s="467"/>
      <c r="R208" s="544">
        <f>IF(S$202="Abu Dhabi",'Group Basis'!$A$373,'Group Basis'!$A371)</f>
        <v>24</v>
      </c>
      <c r="U208" s="544">
        <f>IF(V$202="Abu Dhabi",'Group Basis'!$A$373,'Group Basis'!$A371)</f>
        <v>24</v>
      </c>
      <c r="X208" s="544">
        <f>IF(Y$202="Abu Dhabi",'Group Basis'!$A$373,'Group Basis'!$A371)</f>
        <v>24</v>
      </c>
      <c r="Z208" s="688"/>
    </row>
    <row r="209" spans="2:26" x14ac:dyDescent="0.25">
      <c r="B209" s="687"/>
      <c r="C209" s="544">
        <f>IF(D$202="Abu Dhabi",'Group Basis'!$A$373,'Group Basis'!$A372)</f>
        <v>30</v>
      </c>
      <c r="F209" s="544">
        <f>IF(G$202="Abu Dhabi",'Group Basis'!$A$373,'Group Basis'!$A372)</f>
        <v>30</v>
      </c>
      <c r="I209" s="544">
        <f>IF(J$202="Abu Dhabi",'Group Basis'!$A$373,'Group Basis'!$A372)</f>
        <v>30</v>
      </c>
      <c r="L209" s="544">
        <f>IF(M$202="Abu Dhabi",'Group Basis'!$A$373,'Group Basis'!$A372)</f>
        <v>30</v>
      </c>
      <c r="O209" s="544">
        <f>IF(P$202="Abu Dhabi",'Group Basis'!$A$373,'Group Basis'!$A372)</f>
        <v>30</v>
      </c>
      <c r="P209" s="467"/>
      <c r="R209" s="544">
        <f>IF(S$202="Abu Dhabi",'Group Basis'!$A$373,'Group Basis'!$A372)</f>
        <v>30</v>
      </c>
      <c r="U209" s="544">
        <f>IF(V$202="Abu Dhabi",'Group Basis'!$A$373,'Group Basis'!$A372)</f>
        <v>30</v>
      </c>
      <c r="X209" s="544">
        <f>IF(Y$202="Abu Dhabi",'Group Basis'!$A$373,'Group Basis'!$A372)</f>
        <v>30</v>
      </c>
      <c r="Z209" s="688"/>
    </row>
    <row r="210" spans="2:26" x14ac:dyDescent="0.25">
      <c r="B210" s="687"/>
      <c r="C210" s="544" t="str">
        <f>IF(D$202="Abu Dhabi",'Group Basis'!$A$373,'Group Basis'!$A373)</f>
        <v>Upto AML</v>
      </c>
      <c r="F210" s="544" t="str">
        <f>IF(G$202="Abu Dhabi",'Group Basis'!$A$373,'Group Basis'!$A373)</f>
        <v>Upto AML</v>
      </c>
      <c r="I210" s="544" t="str">
        <f>IF(J$202="Abu Dhabi",'Group Basis'!$A$373,'Group Basis'!$A373)</f>
        <v>Upto AML</v>
      </c>
      <c r="L210" s="544" t="str">
        <f>IF(M$202="Abu Dhabi",'Group Basis'!$A$373,'Group Basis'!$A373)</f>
        <v>Upto AML</v>
      </c>
      <c r="O210" s="544" t="str">
        <f>IF(P$202="Abu Dhabi",'Group Basis'!$A$373,'Group Basis'!$A373)</f>
        <v>Upto AML</v>
      </c>
      <c r="P210" s="467"/>
      <c r="R210" s="544" t="str">
        <f>IF(S$202="Abu Dhabi",'Group Basis'!$A$373,'Group Basis'!$A373)</f>
        <v>Upto AML</v>
      </c>
      <c r="U210" s="544" t="str">
        <f>IF(V$202="Abu Dhabi",'Group Basis'!$A$373,'Group Basis'!$A373)</f>
        <v>Upto AML</v>
      </c>
      <c r="X210" s="544" t="str">
        <f>IF(Y$202="Abu Dhabi",'Group Basis'!$A$373,'Group Basis'!$A373)</f>
        <v>Upto AML</v>
      </c>
      <c r="Z210" s="688"/>
    </row>
    <row r="211" spans="2:26" ht="15.75" thickBot="1" x14ac:dyDescent="0.3">
      <c r="B211" s="695"/>
      <c r="C211" s="570"/>
      <c r="D211" s="570"/>
      <c r="E211" s="570"/>
      <c r="F211" s="570"/>
      <c r="G211" s="570"/>
      <c r="H211" s="570"/>
      <c r="I211" s="570"/>
      <c r="J211" s="570"/>
      <c r="K211" s="570"/>
      <c r="L211" s="570"/>
      <c r="M211" s="570"/>
      <c r="N211" s="570"/>
      <c r="O211" s="570"/>
      <c r="P211" s="696"/>
      <c r="Q211" s="570"/>
      <c r="R211" s="570"/>
      <c r="S211" s="570"/>
      <c r="T211" s="570"/>
      <c r="U211" s="570"/>
      <c r="V211" s="570"/>
      <c r="W211" s="570"/>
      <c r="X211" s="570"/>
      <c r="Y211" s="570"/>
      <c r="Z211" s="697"/>
    </row>
    <row r="212" spans="2:26" ht="15.75" thickBot="1" x14ac:dyDescent="0.3"/>
    <row r="213" spans="2:26" ht="17.25" x14ac:dyDescent="0.25">
      <c r="B213" s="684"/>
      <c r="C213" s="710" t="s">
        <v>814</v>
      </c>
      <c r="D213" s="569"/>
      <c r="E213" s="569"/>
      <c r="F213" s="569"/>
      <c r="G213" s="569"/>
      <c r="H213" s="569"/>
      <c r="I213" s="569"/>
      <c r="J213" s="569"/>
      <c r="K213" s="569"/>
      <c r="L213" s="569"/>
      <c r="M213" s="569"/>
      <c r="N213" s="569"/>
      <c r="O213" s="569"/>
      <c r="P213" s="685"/>
      <c r="Q213" s="569"/>
      <c r="R213" s="569"/>
      <c r="S213" s="569"/>
      <c r="T213" s="569"/>
      <c r="U213" s="569"/>
      <c r="V213" s="569"/>
      <c r="W213" s="569"/>
      <c r="X213" s="569"/>
      <c r="Y213" s="569"/>
      <c r="Z213" s="686"/>
    </row>
    <row r="214" spans="2:26" x14ac:dyDescent="0.25">
      <c r="B214" s="687"/>
      <c r="D214" s="544" t="str">
        <f>D81</f>
        <v>RN3</v>
      </c>
      <c r="G214" s="544" t="str">
        <f>G81</f>
        <v>RN</v>
      </c>
      <c r="J214" s="544" t="str">
        <f>J81</f>
        <v>RN2</v>
      </c>
      <c r="M214" s="544" t="str">
        <f>M81</f>
        <v>RN2</v>
      </c>
      <c r="P214" s="544" t="str">
        <f>P81</f>
        <v>RN3</v>
      </c>
      <c r="S214" s="544" t="str">
        <f>S81</f>
        <v>RN3</v>
      </c>
      <c r="V214" s="544" t="str">
        <f>V81</f>
        <v>RN3</v>
      </c>
      <c r="Y214" s="544" t="str">
        <f>Y81</f>
        <v>RN3</v>
      </c>
      <c r="Z214" s="688"/>
    </row>
    <row r="215" spans="2:26" ht="15.75" x14ac:dyDescent="0.25">
      <c r="B215" s="687"/>
      <c r="C215" s="689" t="s">
        <v>91</v>
      </c>
      <c r="D215" s="690"/>
      <c r="F215" s="689" t="s">
        <v>92</v>
      </c>
      <c r="G215" s="691"/>
      <c r="I215" s="689" t="s">
        <v>93</v>
      </c>
      <c r="J215" s="691"/>
      <c r="L215" s="689" t="s">
        <v>94</v>
      </c>
      <c r="M215" s="691"/>
      <c r="O215" s="689" t="s">
        <v>358</v>
      </c>
      <c r="P215" s="690"/>
      <c r="R215" s="689" t="s">
        <v>359</v>
      </c>
      <c r="S215" s="691"/>
      <c r="U215" s="689" t="s">
        <v>360</v>
      </c>
      <c r="V215" s="691"/>
      <c r="X215" s="689" t="s">
        <v>361</v>
      </c>
      <c r="Y215" s="691"/>
      <c r="Z215" s="688"/>
    </row>
    <row r="216" spans="2:26" ht="15.75" x14ac:dyDescent="0.25">
      <c r="B216" s="687"/>
      <c r="C216" s="693" t="s">
        <v>678</v>
      </c>
      <c r="D216" s="692" t="s">
        <v>95</v>
      </c>
      <c r="F216" s="693" t="s">
        <v>678</v>
      </c>
      <c r="G216" s="692" t="s">
        <v>95</v>
      </c>
      <c r="I216" s="693" t="s">
        <v>678</v>
      </c>
      <c r="J216" s="692" t="s">
        <v>95</v>
      </c>
      <c r="L216" s="693" t="s">
        <v>678</v>
      </c>
      <c r="M216" s="692" t="s">
        <v>95</v>
      </c>
      <c r="O216" s="693" t="s">
        <v>678</v>
      </c>
      <c r="P216" s="692" t="s">
        <v>95</v>
      </c>
      <c r="R216" s="693" t="s">
        <v>678</v>
      </c>
      <c r="S216" s="692" t="s">
        <v>95</v>
      </c>
      <c r="U216" s="693" t="s">
        <v>678</v>
      </c>
      <c r="V216" s="692" t="s">
        <v>95</v>
      </c>
      <c r="X216" s="693" t="s">
        <v>678</v>
      </c>
      <c r="Y216" s="692" t="s">
        <v>95</v>
      </c>
      <c r="Z216" s="688"/>
    </row>
    <row r="217" spans="2:26" x14ac:dyDescent="0.25">
      <c r="B217" s="687"/>
      <c r="C217" s="544" t="str">
        <f>HLOOKUP(D$214,'Group Basis'!$B$151:$I$157,2,0)</f>
        <v>UAE only</v>
      </c>
      <c r="D217" s="571">
        <f>HLOOKUP(D$214,'Group Basis'!$B$160:$I$166,2,0)</f>
        <v>1</v>
      </c>
      <c r="F217" s="544" t="str">
        <f>HLOOKUP(G$214,'Group Basis'!$B$151:$I$157,2,0)</f>
        <v>UAE only</v>
      </c>
      <c r="G217" s="571">
        <f>HLOOKUP(G$214,'Group Basis'!$B$160:$I$166,2,0)</f>
        <v>1</v>
      </c>
      <c r="I217" s="544" t="str">
        <f>HLOOKUP(J$214,'Group Basis'!$B$151:$I$157,2,0)</f>
        <v>UAE only</v>
      </c>
      <c r="J217" s="571">
        <f>HLOOKUP(J$214,'Group Basis'!$B$160:$I$166,2,0)</f>
        <v>1</v>
      </c>
      <c r="L217" s="544" t="str">
        <f>HLOOKUP(M$214,'Group Basis'!$B$151:$I$157,2,0)</f>
        <v>UAE only</v>
      </c>
      <c r="M217" s="571">
        <f>HLOOKUP(M$214,'Group Basis'!$B$160:$I$166,2,0)</f>
        <v>1</v>
      </c>
      <c r="O217" s="544" t="str">
        <f>HLOOKUP(P$214,'Group Basis'!$B$151:$I$157,2,0)</f>
        <v>UAE only</v>
      </c>
      <c r="P217" s="571">
        <f>HLOOKUP(P$214,'Group Basis'!$B$160:$I$166,2,0)</f>
        <v>1</v>
      </c>
      <c r="R217" s="544" t="str">
        <f>HLOOKUP(S$214,'Group Basis'!$B$151:$I$157,2,0)</f>
        <v>UAE only</v>
      </c>
      <c r="S217" s="571">
        <f>HLOOKUP(S$214,'Group Basis'!$B$160:$I$166,2,0)</f>
        <v>1</v>
      </c>
      <c r="U217" s="544" t="str">
        <f>HLOOKUP(V$214,'Group Basis'!$B$151:$I$157,2,0)</f>
        <v>UAE only</v>
      </c>
      <c r="V217" s="571">
        <f>HLOOKUP(V$214,'Group Basis'!$B$160:$I$166,2,0)</f>
        <v>1</v>
      </c>
      <c r="X217" s="544" t="str">
        <f>HLOOKUP(Y$214,'Group Basis'!$B$151:$I$157,2,0)</f>
        <v>UAE only</v>
      </c>
      <c r="Y217" s="571">
        <f>HLOOKUP(Y$214,'Group Basis'!$B$160:$I$166,2,0)</f>
        <v>1</v>
      </c>
      <c r="Z217" s="688"/>
    </row>
    <row r="218" spans="2:26" x14ac:dyDescent="0.25">
      <c r="B218" s="687"/>
      <c r="C218" s="544" t="str">
        <f>HLOOKUP(D$214,'Group Basis'!$B$151:$I$157,3,0)</f>
        <v>UAE, ISC and SEA at R&amp;C of UAE</v>
      </c>
      <c r="D218" s="571">
        <f>HLOOKUP(D$214,'Group Basis'!$B$160:$I$166,3,0)</f>
        <v>1</v>
      </c>
      <c r="F218" s="544" t="str">
        <f>HLOOKUP(G$214,'Group Basis'!$B$151:$I$157,3,0)</f>
        <v>UAE, ISC and SEA at R&amp;C of UAE</v>
      </c>
      <c r="G218" s="571">
        <f>HLOOKUP(G$214,'Group Basis'!$B$160:$I$166,3,0)</f>
        <v>1</v>
      </c>
      <c r="I218" s="544" t="str">
        <f>HLOOKUP(J$214,'Group Basis'!$B$151:$I$157,3,0)</f>
        <v>UAE, ISC and SEA at R&amp;C of UAE</v>
      </c>
      <c r="J218" s="571">
        <f>HLOOKUP(J$214,'Group Basis'!$B$160:$I$166,3,0)</f>
        <v>1</v>
      </c>
      <c r="L218" s="544" t="str">
        <f>HLOOKUP(M$214,'Group Basis'!$B$151:$I$157,3,0)</f>
        <v>UAE, ISC and SEA at R&amp;C of UAE</v>
      </c>
      <c r="M218" s="571">
        <f>HLOOKUP(M$214,'Group Basis'!$B$160:$I$166,3,0)</f>
        <v>1</v>
      </c>
      <c r="O218" s="544" t="str">
        <f>HLOOKUP(P$214,'Group Basis'!$B$151:$I$157,3,0)</f>
        <v>UAE, ISC and SEA at R&amp;C of UAE</v>
      </c>
      <c r="P218" s="571">
        <f>HLOOKUP(P$214,'Group Basis'!$B$160:$I$166,3,0)</f>
        <v>1</v>
      </c>
      <c r="R218" s="544" t="str">
        <f>HLOOKUP(S$214,'Group Basis'!$B$151:$I$157,3,0)</f>
        <v>UAE, ISC and SEA at R&amp;C of UAE</v>
      </c>
      <c r="S218" s="571">
        <f>HLOOKUP(S$214,'Group Basis'!$B$160:$I$166,3,0)</f>
        <v>1</v>
      </c>
      <c r="U218" s="544" t="str">
        <f>HLOOKUP(V$214,'Group Basis'!$B$151:$I$157,3,0)</f>
        <v>UAE, ISC and SEA at R&amp;C of UAE</v>
      </c>
      <c r="V218" s="571">
        <f>HLOOKUP(V$214,'Group Basis'!$B$160:$I$166,3,0)</f>
        <v>1</v>
      </c>
      <c r="X218" s="544" t="str">
        <f>HLOOKUP(Y$214,'Group Basis'!$B$151:$I$157,3,0)</f>
        <v>UAE, ISC and SEA at R&amp;C of UAE</v>
      </c>
      <c r="Y218" s="571">
        <f>HLOOKUP(Y$214,'Group Basis'!$B$160:$I$166,3,0)</f>
        <v>1</v>
      </c>
      <c r="Z218" s="688"/>
    </row>
    <row r="219" spans="2:26" x14ac:dyDescent="0.25">
      <c r="B219" s="687"/>
      <c r="C219" s="544" t="str">
        <f>HLOOKUP(D$214,'Group Basis'!$B$151:$I$157,4,0)</f>
        <v>UAE, GCC, ISC and SEA  at R&amp;C of UAE</v>
      </c>
      <c r="D219" s="571">
        <f>HLOOKUP(D$214,'Group Basis'!$B$160:$I$166,4,0)</f>
        <v>1</v>
      </c>
      <c r="F219" s="544" t="str">
        <f>HLOOKUP(G$214,'Group Basis'!$B$151:$I$157,4,0)</f>
        <v>UAE, GCC, ISC and SEA  at R&amp;C of UAE</v>
      </c>
      <c r="G219" s="571">
        <f>HLOOKUP(G$214,'Group Basis'!$B$160:$I$166,4,0)</f>
        <v>1</v>
      </c>
      <c r="I219" s="544" t="str">
        <f>HLOOKUP(J$214,'Group Basis'!$B$151:$I$157,4,0)</f>
        <v>UAE, GCC, ISC and SEA  at R&amp;C of UAE</v>
      </c>
      <c r="J219" s="571">
        <f>HLOOKUP(J$214,'Group Basis'!$B$160:$I$166,4,0)</f>
        <v>1</v>
      </c>
      <c r="L219" s="544" t="str">
        <f>HLOOKUP(M$214,'Group Basis'!$B$151:$I$157,4,0)</f>
        <v>UAE, GCC, ISC and SEA  at R&amp;C of UAE</v>
      </c>
      <c r="M219" s="571">
        <f>HLOOKUP(M$214,'Group Basis'!$B$160:$I$166,4,0)</f>
        <v>1</v>
      </c>
      <c r="O219" s="544" t="str">
        <f>HLOOKUP(P$214,'Group Basis'!$B$151:$I$157,4,0)</f>
        <v>UAE, GCC, ISC and SEA  at R&amp;C of UAE</v>
      </c>
      <c r="P219" s="571">
        <f>HLOOKUP(P$214,'Group Basis'!$B$160:$I$166,4,0)</f>
        <v>1</v>
      </c>
      <c r="R219" s="544" t="str">
        <f>HLOOKUP(S$214,'Group Basis'!$B$151:$I$157,4,0)</f>
        <v>UAE, GCC, ISC and SEA  at R&amp;C of UAE</v>
      </c>
      <c r="S219" s="571">
        <f>HLOOKUP(S$214,'Group Basis'!$B$160:$I$166,4,0)</f>
        <v>1</v>
      </c>
      <c r="U219" s="544" t="str">
        <f>HLOOKUP(V$214,'Group Basis'!$B$151:$I$157,4,0)</f>
        <v>UAE, GCC, ISC and SEA  at R&amp;C of UAE</v>
      </c>
      <c r="V219" s="571">
        <f>HLOOKUP(V$214,'Group Basis'!$B$160:$I$166,4,0)</f>
        <v>1</v>
      </c>
      <c r="X219" s="544" t="str">
        <f>HLOOKUP(Y$214,'Group Basis'!$B$151:$I$157,4,0)</f>
        <v>UAE, GCC, ISC and SEA  at R&amp;C of UAE</v>
      </c>
      <c r="Y219" s="571">
        <f>HLOOKUP(Y$214,'Group Basis'!$B$160:$I$166,4,0)</f>
        <v>1</v>
      </c>
      <c r="Z219" s="688"/>
    </row>
    <row r="220" spans="2:26" x14ac:dyDescent="0.25">
      <c r="B220" s="687"/>
      <c r="C220" s="544" t="str">
        <f>HLOOKUP(D$214,'Group Basis'!$B$151:$I$157,5,0)</f>
        <v>WW excl. US, Canada &amp; Europe at R&amp;C of UAE</v>
      </c>
      <c r="D220" s="571">
        <f>HLOOKUP(D$214,'Group Basis'!$B$160:$I$166,5,0)</f>
        <v>1</v>
      </c>
      <c r="F220" s="544" t="str">
        <f>HLOOKUP(G$214,'Group Basis'!$B$151:$I$157,5,0)</f>
        <v>WW excl. US, Canada &amp; Europe at R&amp;C of UAE</v>
      </c>
      <c r="G220" s="571">
        <f>HLOOKUP(G$214,'Group Basis'!$B$160:$I$166,5,0)</f>
        <v>1</v>
      </c>
      <c r="I220" s="544" t="str">
        <f>HLOOKUP(J$214,'Group Basis'!$B$151:$I$157,5,0)</f>
        <v>WW excl. US, Canada &amp; Europe at R&amp;C of UAE</v>
      </c>
      <c r="J220" s="571">
        <f>HLOOKUP(J$214,'Group Basis'!$B$160:$I$166,5,0)</f>
        <v>1</v>
      </c>
      <c r="L220" s="544" t="str">
        <f>HLOOKUP(M$214,'Group Basis'!$B$151:$I$157,5,0)</f>
        <v>WW excl. US, Canada &amp; Europe at R&amp;C of UAE</v>
      </c>
      <c r="M220" s="571">
        <f>HLOOKUP(M$214,'Group Basis'!$B$160:$I$166,5,0)</f>
        <v>1</v>
      </c>
      <c r="O220" s="544" t="str">
        <f>HLOOKUP(P$214,'Group Basis'!$B$151:$I$157,5,0)</f>
        <v>WW excl. US, Canada &amp; Europe at R&amp;C of UAE</v>
      </c>
      <c r="P220" s="571">
        <f>HLOOKUP(P$214,'Group Basis'!$B$160:$I$166,5,0)</f>
        <v>1</v>
      </c>
      <c r="R220" s="544" t="str">
        <f>HLOOKUP(S$214,'Group Basis'!$B$151:$I$157,5,0)</f>
        <v>WW excl. US, Canada &amp; Europe at R&amp;C of UAE</v>
      </c>
      <c r="S220" s="571">
        <f>HLOOKUP(S$214,'Group Basis'!$B$160:$I$166,5,0)</f>
        <v>1</v>
      </c>
      <c r="U220" s="544" t="str">
        <f>HLOOKUP(V$214,'Group Basis'!$B$151:$I$157,5,0)</f>
        <v>WW excl. US, Canada &amp; Europe at R&amp;C of UAE</v>
      </c>
      <c r="V220" s="571">
        <f>HLOOKUP(V$214,'Group Basis'!$B$160:$I$166,5,0)</f>
        <v>1</v>
      </c>
      <c r="X220" s="544" t="str">
        <f>HLOOKUP(Y$214,'Group Basis'!$B$151:$I$157,5,0)</f>
        <v>WW excl. US, Canada &amp; Europe at R&amp;C of UAE</v>
      </c>
      <c r="Y220" s="571">
        <f>HLOOKUP(Y$214,'Group Basis'!$B$160:$I$166,5,0)</f>
        <v>1</v>
      </c>
      <c r="Z220" s="688"/>
    </row>
    <row r="221" spans="2:26" x14ac:dyDescent="0.25">
      <c r="B221" s="687"/>
      <c r="C221" s="544" t="str">
        <f>HLOOKUP(D$214,'Group Basis'!$B$151:$I$157,6,0)</f>
        <v>WW excl. US &amp; Canada at R&amp;C of UAE</v>
      </c>
      <c r="D221" s="571">
        <f>HLOOKUP(D$214,'Group Basis'!$B$160:$I$166,6,0)</f>
        <v>1</v>
      </c>
      <c r="F221" s="544" t="str">
        <f>HLOOKUP(G$214,'Group Basis'!$B$151:$I$157,6,0)</f>
        <v>WW excl. US &amp; Canada at R&amp;C of UAE</v>
      </c>
      <c r="G221" s="571">
        <f>HLOOKUP(G$214,'Group Basis'!$B$160:$I$166,6,0)</f>
        <v>1</v>
      </c>
      <c r="I221" s="544" t="str">
        <f>HLOOKUP(J$214,'Group Basis'!$B$151:$I$157,6,0)</f>
        <v>WW excl. US &amp; Canada at R&amp;C of UAE</v>
      </c>
      <c r="J221" s="571">
        <f>HLOOKUP(J$214,'Group Basis'!$B$160:$I$166,6,0)</f>
        <v>1</v>
      </c>
      <c r="L221" s="544" t="str">
        <f>HLOOKUP(M$214,'Group Basis'!$B$151:$I$157,6,0)</f>
        <v>WW excl. US &amp; Canada at R&amp;C of UAE</v>
      </c>
      <c r="M221" s="571">
        <f>HLOOKUP(M$214,'Group Basis'!$B$160:$I$166,6,0)</f>
        <v>1</v>
      </c>
      <c r="O221" s="544" t="str">
        <f>HLOOKUP(P$214,'Group Basis'!$B$151:$I$157,6,0)</f>
        <v>WW excl. US &amp; Canada at R&amp;C of UAE</v>
      </c>
      <c r="P221" s="571">
        <f>HLOOKUP(P$214,'Group Basis'!$B$160:$I$166,6,0)</f>
        <v>1</v>
      </c>
      <c r="R221" s="544" t="str">
        <f>HLOOKUP(S$214,'Group Basis'!$B$151:$I$157,6,0)</f>
        <v>WW excl. US &amp; Canada at R&amp;C of UAE</v>
      </c>
      <c r="S221" s="571">
        <f>HLOOKUP(S$214,'Group Basis'!$B$160:$I$166,6,0)</f>
        <v>1</v>
      </c>
      <c r="U221" s="544" t="str">
        <f>HLOOKUP(V$214,'Group Basis'!$B$151:$I$157,6,0)</f>
        <v>WW excl. US &amp; Canada at R&amp;C of UAE</v>
      </c>
      <c r="V221" s="571">
        <f>HLOOKUP(V$214,'Group Basis'!$B$160:$I$166,6,0)</f>
        <v>1</v>
      </c>
      <c r="X221" s="544" t="str">
        <f>HLOOKUP(Y$214,'Group Basis'!$B$151:$I$157,6,0)</f>
        <v>WW excl. US &amp; Canada at R&amp;C of UAE</v>
      </c>
      <c r="Y221" s="571">
        <f>HLOOKUP(Y$214,'Group Basis'!$B$160:$I$166,6,0)</f>
        <v>1</v>
      </c>
      <c r="Z221" s="688"/>
    </row>
    <row r="222" spans="2:26" x14ac:dyDescent="0.25">
      <c r="B222" s="687"/>
      <c r="C222" s="544" t="str">
        <f>HLOOKUP(D$214,'Group Basis'!$B$151:$I$157,7,0)</f>
        <v>Worldwide at R&amp;C of UAE</v>
      </c>
      <c r="D222" s="571">
        <f>HLOOKUP(D$214,'Group Basis'!$B$160:$I$166,7,0)</f>
        <v>1</v>
      </c>
      <c r="F222" s="544" t="str">
        <f>HLOOKUP(G$214,'Group Basis'!$B$151:$I$157,7,0)</f>
        <v>Worldwide at R&amp;C of UAE</v>
      </c>
      <c r="G222" s="571">
        <f>HLOOKUP(G$214,'Group Basis'!$B$160:$I$166,7,0)</f>
        <v>1</v>
      </c>
      <c r="I222" s="544" t="str">
        <f>HLOOKUP(J$214,'Group Basis'!$B$151:$I$157,7,0)</f>
        <v>Worldwide at R&amp;C of UAE</v>
      </c>
      <c r="J222" s="571">
        <f>HLOOKUP(J$214,'Group Basis'!$B$160:$I$166,7,0)</f>
        <v>1</v>
      </c>
      <c r="L222" s="544" t="str">
        <f>HLOOKUP(M$214,'Group Basis'!$B$151:$I$157,7,0)</f>
        <v>Worldwide at R&amp;C of UAE</v>
      </c>
      <c r="M222" s="571">
        <f>HLOOKUP(M$214,'Group Basis'!$B$160:$I$166,7,0)</f>
        <v>1</v>
      </c>
      <c r="O222" s="544" t="str">
        <f>HLOOKUP(P$214,'Group Basis'!$B$151:$I$157,7,0)</f>
        <v>Worldwide at R&amp;C of UAE</v>
      </c>
      <c r="P222" s="571">
        <f>HLOOKUP(P$214,'Group Basis'!$B$160:$I$166,7,0)</f>
        <v>1</v>
      </c>
      <c r="R222" s="544" t="str">
        <f>HLOOKUP(S$214,'Group Basis'!$B$151:$I$157,7,0)</f>
        <v>Worldwide at R&amp;C of UAE</v>
      </c>
      <c r="S222" s="571">
        <f>HLOOKUP(S$214,'Group Basis'!$B$160:$I$166,7,0)</f>
        <v>1</v>
      </c>
      <c r="U222" s="544" t="str">
        <f>HLOOKUP(V$214,'Group Basis'!$B$151:$I$157,7,0)</f>
        <v>Worldwide at R&amp;C of UAE</v>
      </c>
      <c r="V222" s="571">
        <f>HLOOKUP(V$214,'Group Basis'!$B$160:$I$166,7,0)</f>
        <v>1</v>
      </c>
      <c r="X222" s="544" t="str">
        <f>HLOOKUP(Y$214,'Group Basis'!$B$151:$I$157,7,0)</f>
        <v>Worldwide at R&amp;C of UAE</v>
      </c>
      <c r="Y222" s="571">
        <f>HLOOKUP(Y$214,'Group Basis'!$B$160:$I$166,7,0)</f>
        <v>1</v>
      </c>
      <c r="Z222" s="688"/>
    </row>
    <row r="223" spans="2:26" ht="15.75" thickBot="1" x14ac:dyDescent="0.3">
      <c r="B223" s="695"/>
      <c r="C223" s="570"/>
      <c r="D223" s="570"/>
      <c r="E223" s="570"/>
      <c r="F223" s="570"/>
      <c r="G223" s="570"/>
      <c r="H223" s="570"/>
      <c r="I223" s="570"/>
      <c r="J223" s="570"/>
      <c r="K223" s="570"/>
      <c r="L223" s="570"/>
      <c r="M223" s="570"/>
      <c r="N223" s="570"/>
      <c r="O223" s="570"/>
      <c r="P223" s="696"/>
      <c r="Q223" s="570"/>
      <c r="R223" s="570"/>
      <c r="S223" s="570"/>
      <c r="T223" s="570"/>
      <c r="U223" s="570"/>
      <c r="V223" s="570"/>
      <c r="W223" s="570"/>
      <c r="X223" s="570"/>
      <c r="Y223" s="570"/>
      <c r="Z223" s="697"/>
    </row>
    <row r="224" spans="2:26" ht="15.75" thickBot="1" x14ac:dyDescent="0.3"/>
    <row r="225" spans="2:26" ht="17.25" x14ac:dyDescent="0.25">
      <c r="B225" s="684"/>
      <c r="C225" s="710" t="s">
        <v>104</v>
      </c>
      <c r="D225" s="1164" t="str">
        <f>D92</f>
        <v>Dubai</v>
      </c>
      <c r="E225" s="569"/>
      <c r="F225" s="569"/>
      <c r="G225" s="1164" t="str">
        <f>G92</f>
        <v>Dubai</v>
      </c>
      <c r="H225" s="569"/>
      <c r="I225" s="569"/>
      <c r="J225" s="1164" t="str">
        <f>J92</f>
        <v>Dubai</v>
      </c>
      <c r="K225" s="569"/>
      <c r="L225" s="569"/>
      <c r="M225" s="1164" t="str">
        <f>M92</f>
        <v>Dubai</v>
      </c>
      <c r="N225" s="569"/>
      <c r="O225" s="569"/>
      <c r="P225" s="1164" t="str">
        <f>P92</f>
        <v>Dubai</v>
      </c>
      <c r="Q225" s="569"/>
      <c r="R225" s="569"/>
      <c r="S225" s="1164" t="str">
        <f>S92</f>
        <v>Dubai</v>
      </c>
      <c r="T225" s="569"/>
      <c r="U225" s="569"/>
      <c r="V225" s="1164" t="str">
        <f>V92</f>
        <v>Dubai</v>
      </c>
      <c r="W225" s="569"/>
      <c r="X225" s="569"/>
      <c r="Y225" s="1164" t="str">
        <f>Y92</f>
        <v>Dubai</v>
      </c>
      <c r="Z225" s="686"/>
    </row>
    <row r="226" spans="2:26" x14ac:dyDescent="0.25">
      <c r="B226" s="687"/>
      <c r="D226" s="544" t="str">
        <f>D214</f>
        <v>RN3</v>
      </c>
      <c r="G226" s="544" t="str">
        <f>G214</f>
        <v>RN</v>
      </c>
      <c r="J226" s="544" t="str">
        <f>J214</f>
        <v>RN2</v>
      </c>
      <c r="M226" s="544" t="str">
        <f>M214</f>
        <v>RN2</v>
      </c>
      <c r="P226" s="544" t="str">
        <f>P214</f>
        <v>RN3</v>
      </c>
      <c r="S226" s="544" t="str">
        <f>S214</f>
        <v>RN3</v>
      </c>
      <c r="V226" s="544" t="str">
        <f>V214</f>
        <v>RN3</v>
      </c>
      <c r="Y226" s="544" t="str">
        <f>Y214</f>
        <v>RN3</v>
      </c>
      <c r="Z226" s="688"/>
    </row>
    <row r="227" spans="2:26" ht="15.75" x14ac:dyDescent="0.25">
      <c r="B227" s="687"/>
      <c r="C227" s="689" t="s">
        <v>91</v>
      </c>
      <c r="D227" s="690"/>
      <c r="F227" s="689" t="s">
        <v>92</v>
      </c>
      <c r="G227" s="691"/>
      <c r="I227" s="689" t="s">
        <v>93</v>
      </c>
      <c r="J227" s="691"/>
      <c r="L227" s="689" t="s">
        <v>94</v>
      </c>
      <c r="M227" s="691"/>
      <c r="O227" s="689" t="s">
        <v>358</v>
      </c>
      <c r="P227" s="690"/>
      <c r="R227" s="689" t="s">
        <v>359</v>
      </c>
      <c r="S227" s="691"/>
      <c r="U227" s="689" t="s">
        <v>360</v>
      </c>
      <c r="V227" s="691"/>
      <c r="X227" s="689" t="s">
        <v>361</v>
      </c>
      <c r="Y227" s="691"/>
      <c r="Z227" s="688"/>
    </row>
    <row r="228" spans="2:26" ht="15.75" x14ac:dyDescent="0.25">
      <c r="B228" s="687"/>
      <c r="C228" s="693" t="s">
        <v>678</v>
      </c>
      <c r="D228" s="692" t="s">
        <v>95</v>
      </c>
      <c r="F228" s="693" t="s">
        <v>678</v>
      </c>
      <c r="G228" s="692" t="s">
        <v>95</v>
      </c>
      <c r="I228" s="693" t="s">
        <v>678</v>
      </c>
      <c r="J228" s="692" t="s">
        <v>95</v>
      </c>
      <c r="L228" s="693" t="s">
        <v>678</v>
      </c>
      <c r="M228" s="692" t="s">
        <v>95</v>
      </c>
      <c r="O228" s="693" t="s">
        <v>678</v>
      </c>
      <c r="P228" s="692" t="s">
        <v>95</v>
      </c>
      <c r="R228" s="693" t="s">
        <v>678</v>
      </c>
      <c r="S228" s="692" t="s">
        <v>95</v>
      </c>
      <c r="U228" s="693" t="s">
        <v>678</v>
      </c>
      <c r="V228" s="692" t="s">
        <v>95</v>
      </c>
      <c r="X228" s="693" t="s">
        <v>678</v>
      </c>
      <c r="Y228" s="692" t="s">
        <v>95</v>
      </c>
      <c r="Z228" s="688"/>
    </row>
    <row r="229" spans="2:26" x14ac:dyDescent="0.25">
      <c r="B229" s="687"/>
      <c r="C229" s="1054">
        <f>HLOOKUP(D$226,'Group Basis'!$B$139:$I$149,2,0)</f>
        <v>750000</v>
      </c>
      <c r="D229" s="571">
        <f>HLOOKUP(D$214,'Group Basis'!$B$126:$I$136,2,0)</f>
        <v>1.0425</v>
      </c>
      <c r="F229" s="1054">
        <f>HLOOKUP(G$226,'Group Basis'!$B$139:$I$149,2,0)</f>
        <v>1500000</v>
      </c>
      <c r="G229" s="571">
        <f>HLOOKUP(G$214,'Group Basis'!$B$126:$I$136,2,0)</f>
        <v>1.0638000000000001</v>
      </c>
      <c r="I229" s="1054">
        <f>HLOOKUP(J$226,'Group Basis'!$B$139:$I$149,2,0)</f>
        <v>1000000</v>
      </c>
      <c r="J229" s="571">
        <f>HLOOKUP(J$214,'Group Basis'!$B$126:$I$136,2,0)</f>
        <v>1.05</v>
      </c>
      <c r="L229" s="1054">
        <f>HLOOKUP(M$226,'Group Basis'!$B$139:$I$149,2,0)</f>
        <v>1000000</v>
      </c>
      <c r="M229" s="571">
        <f>HLOOKUP(M$214,'Group Basis'!$B$126:$I$136,2,0)</f>
        <v>1.05</v>
      </c>
      <c r="O229" s="1054">
        <f>HLOOKUP(P$226,'Group Basis'!$B$139:$I$149,2,0)</f>
        <v>750000</v>
      </c>
      <c r="P229" s="571">
        <f>HLOOKUP(P$214,'Group Basis'!$B$126:$I$136,2,0)</f>
        <v>1.0425</v>
      </c>
      <c r="R229" s="1054">
        <f>HLOOKUP(S$226,'Group Basis'!$B$139:$I$149,2,0)</f>
        <v>750000</v>
      </c>
      <c r="S229" s="571">
        <f>HLOOKUP(S$214,'Group Basis'!$B$126:$I$136,2,0)</f>
        <v>1.0425</v>
      </c>
      <c r="U229" s="1054">
        <f>HLOOKUP(V$226,'Group Basis'!$B$139:$I$149,2,0)</f>
        <v>750000</v>
      </c>
      <c r="V229" s="571">
        <f>HLOOKUP(V$214,'Group Basis'!$B$126:$I$136,2,0)</f>
        <v>1.0425</v>
      </c>
      <c r="X229" s="1054">
        <f>HLOOKUP(Y$226,'Group Basis'!$B$139:$I$149,2,0)</f>
        <v>750000</v>
      </c>
      <c r="Y229" s="571">
        <f>HLOOKUP(Y$214,'Group Basis'!$B$126:$I$136,2,0)</f>
        <v>1.0425</v>
      </c>
      <c r="Z229" s="688"/>
    </row>
    <row r="230" spans="2:26" x14ac:dyDescent="0.25">
      <c r="B230" s="687"/>
      <c r="C230" s="1054">
        <f>HLOOKUP(D$226,'Group Basis'!$B$139:$I$149,3,0)</f>
        <v>750000</v>
      </c>
      <c r="D230" s="571">
        <f>HLOOKUP(D$214,'Group Basis'!$B$126:$I$136,3,0)</f>
        <v>1.0425</v>
      </c>
      <c r="F230" s="1054">
        <f>HLOOKUP(G$226,'Group Basis'!$B$139:$I$149,3,0)</f>
        <v>1500000</v>
      </c>
      <c r="G230" s="571">
        <f>HLOOKUP(G$214,'Group Basis'!$B$126:$I$136,3,0)</f>
        <v>1.0638000000000001</v>
      </c>
      <c r="I230" s="1054">
        <f>HLOOKUP(J$226,'Group Basis'!$B$139:$I$149,3,0)</f>
        <v>1000000</v>
      </c>
      <c r="J230" s="571">
        <f>HLOOKUP(J$214,'Group Basis'!$B$126:$I$136,3,0)</f>
        <v>1.05</v>
      </c>
      <c r="L230" s="1054">
        <f>HLOOKUP(M$226,'Group Basis'!$B$139:$I$149,3,0)</f>
        <v>1000000</v>
      </c>
      <c r="M230" s="571">
        <f>HLOOKUP(M$214,'Group Basis'!$B$126:$I$136,3,0)</f>
        <v>1.05</v>
      </c>
      <c r="O230" s="1054">
        <f>HLOOKUP(P$226,'Group Basis'!$B$139:$I$149,3,0)</f>
        <v>750000</v>
      </c>
      <c r="P230" s="571">
        <f>HLOOKUP(P$214,'Group Basis'!$B$126:$I$136,3,0)</f>
        <v>1.0425</v>
      </c>
      <c r="R230" s="1054">
        <f>HLOOKUP(S$226,'Group Basis'!$B$139:$I$149,3,0)</f>
        <v>750000</v>
      </c>
      <c r="S230" s="571">
        <f>HLOOKUP(S$214,'Group Basis'!$B$126:$I$136,3,0)</f>
        <v>1.0425</v>
      </c>
      <c r="U230" s="1054">
        <f>HLOOKUP(V$226,'Group Basis'!$B$139:$I$149,3,0)</f>
        <v>750000</v>
      </c>
      <c r="V230" s="571">
        <f>HLOOKUP(V$214,'Group Basis'!$B$126:$I$136,3,0)</f>
        <v>1.0425</v>
      </c>
      <c r="X230" s="1054">
        <f>HLOOKUP(Y$226,'Group Basis'!$B$139:$I$149,3,0)</f>
        <v>750000</v>
      </c>
      <c r="Y230" s="571">
        <f>HLOOKUP(Y$214,'Group Basis'!$B$126:$I$136,3,0)</f>
        <v>1.0425</v>
      </c>
      <c r="Z230" s="688"/>
    </row>
    <row r="231" spans="2:26" x14ac:dyDescent="0.25">
      <c r="B231" s="687"/>
      <c r="C231" s="1054">
        <f>HLOOKUP(D$226,'Group Basis'!$B$139:$I$149,4,0)</f>
        <v>750000</v>
      </c>
      <c r="D231" s="571">
        <f>HLOOKUP(D$214,'Group Basis'!$B$126:$I$136,4,0)</f>
        <v>1.0425</v>
      </c>
      <c r="F231" s="1054">
        <f>HLOOKUP(G$226,'Group Basis'!$B$139:$I$149,4,0)</f>
        <v>1500000</v>
      </c>
      <c r="G231" s="571">
        <f>HLOOKUP(G$214,'Group Basis'!$B$126:$I$136,4,0)</f>
        <v>1.0638000000000001</v>
      </c>
      <c r="I231" s="1054">
        <f>HLOOKUP(J$226,'Group Basis'!$B$139:$I$149,4,0)</f>
        <v>1000000</v>
      </c>
      <c r="J231" s="571">
        <f>HLOOKUP(J$214,'Group Basis'!$B$126:$I$136,4,0)</f>
        <v>1.05</v>
      </c>
      <c r="L231" s="1054">
        <f>HLOOKUP(M$226,'Group Basis'!$B$139:$I$149,4,0)</f>
        <v>1000000</v>
      </c>
      <c r="M231" s="571">
        <f>HLOOKUP(M$214,'Group Basis'!$B$126:$I$136,4,0)</f>
        <v>1.05</v>
      </c>
      <c r="O231" s="1054">
        <f>HLOOKUP(P$226,'Group Basis'!$B$139:$I$149,4,0)</f>
        <v>750000</v>
      </c>
      <c r="P231" s="571">
        <f>HLOOKUP(P$214,'Group Basis'!$B$126:$I$136,4,0)</f>
        <v>1.0425</v>
      </c>
      <c r="R231" s="1054">
        <f>HLOOKUP(S$226,'Group Basis'!$B$139:$I$149,4,0)</f>
        <v>750000</v>
      </c>
      <c r="S231" s="571">
        <f>HLOOKUP(S$214,'Group Basis'!$B$126:$I$136,4,0)</f>
        <v>1.0425</v>
      </c>
      <c r="U231" s="1054">
        <f>HLOOKUP(V$226,'Group Basis'!$B$139:$I$149,4,0)</f>
        <v>750000</v>
      </c>
      <c r="V231" s="571">
        <f>HLOOKUP(V$214,'Group Basis'!$B$126:$I$136,4,0)</f>
        <v>1.0425</v>
      </c>
      <c r="X231" s="1054">
        <f>HLOOKUP(Y$226,'Group Basis'!$B$139:$I$149,4,0)</f>
        <v>750000</v>
      </c>
      <c r="Y231" s="571">
        <f>HLOOKUP(Y$214,'Group Basis'!$B$126:$I$136,4,0)</f>
        <v>1.0425</v>
      </c>
      <c r="Z231" s="688"/>
    </row>
    <row r="232" spans="2:26" x14ac:dyDescent="0.25">
      <c r="B232" s="687"/>
      <c r="C232" s="1054">
        <f>HLOOKUP(D$226,'Group Basis'!$B$139:$I$149,5,0)</f>
        <v>750000</v>
      </c>
      <c r="D232" s="571">
        <f>HLOOKUP(D$214,'Group Basis'!$B$126:$I$136,5,0)</f>
        <v>1.0425</v>
      </c>
      <c r="F232" s="1054">
        <f>HLOOKUP(G$226,'Group Basis'!$B$139:$I$149,5,0)</f>
        <v>1000000</v>
      </c>
      <c r="G232" s="571">
        <f>HLOOKUP(G$214,'Group Basis'!$B$126:$I$136,5,0)</f>
        <v>1.0145</v>
      </c>
      <c r="I232" s="1054">
        <f>HLOOKUP(J$226,'Group Basis'!$B$139:$I$149,5,0)</f>
        <v>1000000</v>
      </c>
      <c r="J232" s="571">
        <f>HLOOKUP(J$214,'Group Basis'!$B$126:$I$136,5,0)</f>
        <v>1.05</v>
      </c>
      <c r="L232" s="1054">
        <f>HLOOKUP(M$226,'Group Basis'!$B$139:$I$149,5,0)</f>
        <v>1000000</v>
      </c>
      <c r="M232" s="571">
        <f>HLOOKUP(M$214,'Group Basis'!$B$126:$I$136,5,0)</f>
        <v>1.05</v>
      </c>
      <c r="O232" s="1054">
        <f>HLOOKUP(P$226,'Group Basis'!$B$139:$I$149,5,0)</f>
        <v>750000</v>
      </c>
      <c r="P232" s="571">
        <f>HLOOKUP(P$214,'Group Basis'!$B$126:$I$136,5,0)</f>
        <v>1.0425</v>
      </c>
      <c r="R232" s="1054">
        <f>HLOOKUP(S$226,'Group Basis'!$B$139:$I$149,5,0)</f>
        <v>750000</v>
      </c>
      <c r="S232" s="571">
        <f>HLOOKUP(S$214,'Group Basis'!$B$126:$I$136,5,0)</f>
        <v>1.0425</v>
      </c>
      <c r="U232" s="1054">
        <f>HLOOKUP(V$226,'Group Basis'!$B$139:$I$149,5,0)</f>
        <v>750000</v>
      </c>
      <c r="V232" s="571">
        <f>HLOOKUP(V$214,'Group Basis'!$B$126:$I$136,5,0)</f>
        <v>1.0425</v>
      </c>
      <c r="X232" s="1054">
        <f>HLOOKUP(Y$226,'Group Basis'!$B$139:$I$149,5,0)</f>
        <v>750000</v>
      </c>
      <c r="Y232" s="571">
        <f>HLOOKUP(Y$214,'Group Basis'!$B$126:$I$136,5,0)</f>
        <v>1.0425</v>
      </c>
      <c r="Z232" s="688"/>
    </row>
    <row r="233" spans="2:26" x14ac:dyDescent="0.25">
      <c r="B233" s="687"/>
      <c r="C233" s="1054">
        <f>HLOOKUP(D$226,'Group Basis'!$B$139:$I$149,6,0)</f>
        <v>750000</v>
      </c>
      <c r="D233" s="571">
        <f>HLOOKUP(D$214,'Group Basis'!$B$126:$I$136,6,0)</f>
        <v>1.0425</v>
      </c>
      <c r="F233" s="1054">
        <f>HLOOKUP(G$226,'Group Basis'!$B$139:$I$149,6,0)</f>
        <v>750000</v>
      </c>
      <c r="G233" s="571">
        <f>HLOOKUP(G$214,'Group Basis'!$B$126:$I$136,6,0)</f>
        <v>1.00725</v>
      </c>
      <c r="I233" s="1054">
        <f>HLOOKUP(J$226,'Group Basis'!$B$139:$I$149,6,0)</f>
        <v>750000</v>
      </c>
      <c r="J233" s="571">
        <f>HLOOKUP(J$214,'Group Basis'!$B$126:$I$136,6,0)</f>
        <v>1.0425</v>
      </c>
      <c r="L233" s="1054">
        <f>HLOOKUP(M$226,'Group Basis'!$B$139:$I$149,6,0)</f>
        <v>750000</v>
      </c>
      <c r="M233" s="571">
        <f>HLOOKUP(M$214,'Group Basis'!$B$126:$I$136,6,0)</f>
        <v>1.0425</v>
      </c>
      <c r="O233" s="1054">
        <f>HLOOKUP(P$226,'Group Basis'!$B$139:$I$149,6,0)</f>
        <v>750000</v>
      </c>
      <c r="P233" s="571">
        <f>HLOOKUP(P$214,'Group Basis'!$B$126:$I$136,6,0)</f>
        <v>1.0425</v>
      </c>
      <c r="R233" s="1054">
        <f>HLOOKUP(S$226,'Group Basis'!$B$139:$I$149,6,0)</f>
        <v>750000</v>
      </c>
      <c r="S233" s="571">
        <f>HLOOKUP(S$214,'Group Basis'!$B$126:$I$136,6,0)</f>
        <v>1.0425</v>
      </c>
      <c r="U233" s="1054">
        <f>HLOOKUP(V$226,'Group Basis'!$B$139:$I$149,6,0)</f>
        <v>750000</v>
      </c>
      <c r="V233" s="571">
        <f>HLOOKUP(V$214,'Group Basis'!$B$126:$I$136,6,0)</f>
        <v>1.0425</v>
      </c>
      <c r="X233" s="1054">
        <f>HLOOKUP(Y$226,'Group Basis'!$B$139:$I$149,6,0)</f>
        <v>750000</v>
      </c>
      <c r="Y233" s="571">
        <f>HLOOKUP(Y$214,'Group Basis'!$B$126:$I$136,6,0)</f>
        <v>1.0425</v>
      </c>
      <c r="Z233" s="688"/>
    </row>
    <row r="234" spans="2:26" x14ac:dyDescent="0.25">
      <c r="B234" s="687"/>
      <c r="C234" s="1054">
        <f>HLOOKUP(D$226,'Group Basis'!$B$139:$I$149,7,0)</f>
        <v>500000</v>
      </c>
      <c r="D234" s="571">
        <f>HLOOKUP(D$214,'Group Basis'!$B$126:$I$136,7,0)</f>
        <v>1.0349999999999999</v>
      </c>
      <c r="F234" s="1054">
        <f>HLOOKUP(G$226,'Group Basis'!$B$139:$I$149,7,0)</f>
        <v>500000</v>
      </c>
      <c r="G234" s="571">
        <f>HLOOKUP(G$214,'Group Basis'!$B$126:$I$136,7,0)</f>
        <v>1</v>
      </c>
      <c r="I234" s="1054">
        <f>HLOOKUP(J$226,'Group Basis'!$B$139:$I$149,7,0)</f>
        <v>500000</v>
      </c>
      <c r="J234" s="571">
        <f>HLOOKUP(J$214,'Group Basis'!$B$126:$I$136,7,0)</f>
        <v>1.0349999999999999</v>
      </c>
      <c r="L234" s="1054">
        <f>HLOOKUP(M$226,'Group Basis'!$B$139:$I$149,7,0)</f>
        <v>500000</v>
      </c>
      <c r="M234" s="571">
        <f>HLOOKUP(M$214,'Group Basis'!$B$126:$I$136,7,0)</f>
        <v>1.0349999999999999</v>
      </c>
      <c r="O234" s="1054">
        <f>HLOOKUP(P$226,'Group Basis'!$B$139:$I$149,7,0)</f>
        <v>500000</v>
      </c>
      <c r="P234" s="571">
        <f>HLOOKUP(P$214,'Group Basis'!$B$126:$I$136,7,0)</f>
        <v>1.0349999999999999</v>
      </c>
      <c r="R234" s="1054">
        <f>HLOOKUP(S$226,'Group Basis'!$B$139:$I$149,7,0)</f>
        <v>500000</v>
      </c>
      <c r="S234" s="571">
        <f>HLOOKUP(S$214,'Group Basis'!$B$126:$I$136,7,0)</f>
        <v>1.0349999999999999</v>
      </c>
      <c r="U234" s="1054">
        <f>HLOOKUP(V$226,'Group Basis'!$B$139:$I$149,7,0)</f>
        <v>500000</v>
      </c>
      <c r="V234" s="571">
        <f>HLOOKUP(V$214,'Group Basis'!$B$126:$I$136,7,0)</f>
        <v>1.0349999999999999</v>
      </c>
      <c r="X234" s="1054">
        <f>HLOOKUP(Y$226,'Group Basis'!$B$139:$I$149,7,0)</f>
        <v>500000</v>
      </c>
      <c r="Y234" s="571">
        <f>HLOOKUP(Y$214,'Group Basis'!$B$126:$I$136,7,0)</f>
        <v>1.0349999999999999</v>
      </c>
      <c r="Z234" s="688"/>
    </row>
    <row r="235" spans="2:26" x14ac:dyDescent="0.25">
      <c r="B235" s="687"/>
      <c r="C235" s="1054">
        <f>HLOOKUP(D$226,'Group Basis'!$B$139:$I$149,8,0)</f>
        <v>300000</v>
      </c>
      <c r="D235" s="571">
        <f>HLOOKUP(D$214,'Group Basis'!$B$126:$I$136,8,0)</f>
        <v>1.018</v>
      </c>
      <c r="F235" s="1054">
        <f>HLOOKUP(G$226,'Group Basis'!$B$139:$I$149,8,0)</f>
        <v>300000</v>
      </c>
      <c r="G235" s="571">
        <f>HLOOKUP(G$214,'Group Basis'!$B$126:$I$136,8,0)</f>
        <v>0.98360000000000003</v>
      </c>
      <c r="I235" s="1054">
        <f>HLOOKUP(J$226,'Group Basis'!$B$139:$I$149,8,0)</f>
        <v>300000</v>
      </c>
      <c r="J235" s="571">
        <f>HLOOKUP(J$214,'Group Basis'!$B$126:$I$136,8,0)</f>
        <v>1.018</v>
      </c>
      <c r="L235" s="1054">
        <f>HLOOKUP(M$226,'Group Basis'!$B$139:$I$149,8,0)</f>
        <v>300000</v>
      </c>
      <c r="M235" s="571">
        <f>HLOOKUP(M$214,'Group Basis'!$B$126:$I$136,8,0)</f>
        <v>1.018</v>
      </c>
      <c r="O235" s="1054">
        <f>HLOOKUP(P$226,'Group Basis'!$B$139:$I$149,8,0)</f>
        <v>300000</v>
      </c>
      <c r="P235" s="571">
        <f>HLOOKUP(P$214,'Group Basis'!$B$126:$I$136,8,0)</f>
        <v>1.018</v>
      </c>
      <c r="R235" s="1054">
        <f>HLOOKUP(S$226,'Group Basis'!$B$139:$I$149,8,0)</f>
        <v>300000</v>
      </c>
      <c r="S235" s="571">
        <f>HLOOKUP(S$214,'Group Basis'!$B$126:$I$136,8,0)</f>
        <v>1.018</v>
      </c>
      <c r="U235" s="1054">
        <f>HLOOKUP(V$226,'Group Basis'!$B$139:$I$149,8,0)</f>
        <v>300000</v>
      </c>
      <c r="V235" s="571">
        <f>HLOOKUP(V$214,'Group Basis'!$B$126:$I$136,8,0)</f>
        <v>1.018</v>
      </c>
      <c r="X235" s="1054">
        <f>HLOOKUP(Y$226,'Group Basis'!$B$139:$I$149,8,0)</f>
        <v>300000</v>
      </c>
      <c r="Y235" s="571">
        <f>HLOOKUP(Y$214,'Group Basis'!$B$126:$I$136,8,0)</f>
        <v>1.018</v>
      </c>
      <c r="Z235" s="688"/>
    </row>
    <row r="236" spans="2:26" x14ac:dyDescent="0.25">
      <c r="B236" s="687"/>
      <c r="C236" s="1054">
        <f>HLOOKUP(D$226,'Group Basis'!$B$139:$I$149,9,0)</f>
        <v>250000</v>
      </c>
      <c r="D236" s="571">
        <f>HLOOKUP(D$214,'Group Basis'!$B$126:$I$136,9,0)</f>
        <v>1</v>
      </c>
      <c r="F236" s="1054">
        <f>HLOOKUP(G$226,'Group Basis'!$B$139:$I$149,9,0)</f>
        <v>250000</v>
      </c>
      <c r="G236" s="571">
        <f>HLOOKUP(G$214,'Group Basis'!$B$126:$I$136,9,0)</f>
        <v>0.96619999999999995</v>
      </c>
      <c r="I236" s="1054">
        <f>HLOOKUP(J$226,'Group Basis'!$B$139:$I$149,9,0)</f>
        <v>250000</v>
      </c>
      <c r="J236" s="571">
        <f>HLOOKUP(J$214,'Group Basis'!$B$126:$I$136,9,0)</f>
        <v>1</v>
      </c>
      <c r="L236" s="1054">
        <f>HLOOKUP(M$226,'Group Basis'!$B$139:$I$149,9,0)</f>
        <v>250000</v>
      </c>
      <c r="M236" s="571">
        <f>HLOOKUP(M$214,'Group Basis'!$B$126:$I$136,9,0)</f>
        <v>1</v>
      </c>
      <c r="O236" s="1054">
        <f>HLOOKUP(P$226,'Group Basis'!$B$139:$I$149,9,0)</f>
        <v>250000</v>
      </c>
      <c r="P236" s="571">
        <f>HLOOKUP(P$214,'Group Basis'!$B$126:$I$136,9,0)</f>
        <v>1</v>
      </c>
      <c r="R236" s="1054">
        <f>HLOOKUP(S$226,'Group Basis'!$B$139:$I$149,9,0)</f>
        <v>250000</v>
      </c>
      <c r="S236" s="571">
        <f>HLOOKUP(S$214,'Group Basis'!$B$126:$I$136,9,0)</f>
        <v>1</v>
      </c>
      <c r="U236" s="1054">
        <f>HLOOKUP(V$226,'Group Basis'!$B$139:$I$149,9,0)</f>
        <v>250000</v>
      </c>
      <c r="V236" s="571">
        <f>HLOOKUP(V$214,'Group Basis'!$B$126:$I$136,9,0)</f>
        <v>1</v>
      </c>
      <c r="X236" s="1054">
        <f>HLOOKUP(Y$226,'Group Basis'!$B$139:$I$149,9,0)</f>
        <v>250000</v>
      </c>
      <c r="Y236" s="571">
        <f>HLOOKUP(Y$214,'Group Basis'!$B$126:$I$136,9,0)</f>
        <v>1</v>
      </c>
      <c r="Z236" s="688"/>
    </row>
    <row r="237" spans="2:26" x14ac:dyDescent="0.25">
      <c r="B237" s="687"/>
      <c r="C237" s="1165">
        <f>IF(D225="Abu Dhabi",C236,HLOOKUP(D$226,'Group Basis'!$B$139:$I$149,10,0))</f>
        <v>200000</v>
      </c>
      <c r="D237" s="1166">
        <f>IF(D225="Abu Dhabi",D236,HLOOKUP(D$214,'Group Basis'!$B$126:$I$136,10,0))</f>
        <v>0.99</v>
      </c>
      <c r="F237" s="1165">
        <f>IF(G225="Abu Dhabi",F236,HLOOKUP(G$226,'Group Basis'!$B$139:$I$149,10,0))</f>
        <v>200000</v>
      </c>
      <c r="G237" s="1166">
        <f>IF(G225="Abu Dhabi",G236,HLOOKUP(G$214,'Group Basis'!$B$126:$I$136,10,0))</f>
        <v>0.95655000000000001</v>
      </c>
      <c r="I237" s="1165">
        <f>IF(J225="Abu Dhabi",I236,HLOOKUP(J$226,'Group Basis'!$B$139:$I$149,10,0))</f>
        <v>200000</v>
      </c>
      <c r="J237" s="1166">
        <f>IF(J225="Abu Dhabi",J236,HLOOKUP(J$214,'Group Basis'!$B$126:$I$136,10,0))</f>
        <v>0.99</v>
      </c>
      <c r="L237" s="1165">
        <f>IF(M225="Abu Dhabi",L236,HLOOKUP(M$226,'Group Basis'!$B$139:$I$149,10,0))</f>
        <v>200000</v>
      </c>
      <c r="M237" s="1166">
        <f>IF(M225="Abu Dhabi",M236,HLOOKUP(M$214,'Group Basis'!$B$126:$I$136,10,0))</f>
        <v>0.99</v>
      </c>
      <c r="O237" s="1165">
        <f>IF(P225="Abu Dhabi",O236,HLOOKUP(P$226,'Group Basis'!$B$139:$I$149,10,0))</f>
        <v>200000</v>
      </c>
      <c r="P237" s="1166">
        <f>IF(P225="Abu Dhabi",P236,HLOOKUP(P$214,'Group Basis'!$B$126:$I$136,10,0))</f>
        <v>0.99</v>
      </c>
      <c r="R237" s="1165">
        <f>IF(S225="Abu Dhabi",R236,HLOOKUP(S$226,'Group Basis'!$B$139:$I$149,10,0))</f>
        <v>200000</v>
      </c>
      <c r="S237" s="1166">
        <f>IF(S225="Abu Dhabi",S236,HLOOKUP(S$214,'Group Basis'!$B$126:$I$136,10,0))</f>
        <v>0.99</v>
      </c>
      <c r="U237" s="1165">
        <f>IF(V225="Abu Dhabi",U236,HLOOKUP(V$226,'Group Basis'!$B$139:$I$149,10,0))</f>
        <v>200000</v>
      </c>
      <c r="V237" s="1166">
        <f>IF(V225="Abu Dhabi",V236,HLOOKUP(V$214,'Group Basis'!$B$126:$I$136,10,0))</f>
        <v>0.99</v>
      </c>
      <c r="X237" s="1165">
        <f>IF(Y225="Abu Dhabi",X236,HLOOKUP(Y$226,'Group Basis'!$B$139:$I$149,10,0))</f>
        <v>200000</v>
      </c>
      <c r="Y237" s="1166">
        <f>IF(Y225="Abu Dhabi",Y236,HLOOKUP(Y$214,'Group Basis'!$B$126:$I$136,10,0))</f>
        <v>0.99</v>
      </c>
      <c r="Z237" s="688"/>
    </row>
    <row r="238" spans="2:26" x14ac:dyDescent="0.25">
      <c r="B238" s="687"/>
      <c r="C238" s="1165">
        <f>IF(D225="Abu Dhabi",C236,HLOOKUP(D$226,'Group Basis'!$B$139:$I$149,11,0))</f>
        <v>150000</v>
      </c>
      <c r="D238" s="1166">
        <f>IF(D225="Abu Dhabi",D236,HLOOKUP(D$214,'Group Basis'!$B$126:$I$136,11,0))</f>
        <v>0.98</v>
      </c>
      <c r="F238" s="1165">
        <f>IF(G225="Abu Dhabi",F236,HLOOKUP(G$226,'Group Basis'!$B$139:$I$149,11,0))</f>
        <v>150000</v>
      </c>
      <c r="G238" s="1166">
        <f>IF(G225="Abu Dhabi",G236,HLOOKUP(G$214,'Group Basis'!$B$126:$I$136,11,0))</f>
        <v>0.94689999999999996</v>
      </c>
      <c r="I238" s="1165">
        <f>IF(J225="Abu Dhabi",I236,HLOOKUP(J$226,'Group Basis'!$B$139:$I$149,11,0))</f>
        <v>150000</v>
      </c>
      <c r="J238" s="1166">
        <f>IF(J225="Abu Dhabi",J236,HLOOKUP(J$214,'Group Basis'!$B$126:$I$136,11,0))</f>
        <v>0.98</v>
      </c>
      <c r="L238" s="1165">
        <f>IF(M225="Abu Dhabi",L236,HLOOKUP(M$226,'Group Basis'!$B$139:$I$149,11,0))</f>
        <v>150000</v>
      </c>
      <c r="M238" s="1166">
        <f>IF(M225="Abu Dhabi",M236,HLOOKUP(M$214,'Group Basis'!$B$126:$I$136,11,0))</f>
        <v>0.98</v>
      </c>
      <c r="O238" s="1165">
        <f>IF(P225="Abu Dhabi",O236,HLOOKUP(P$226,'Group Basis'!$B$139:$I$149,11,0))</f>
        <v>150000</v>
      </c>
      <c r="P238" s="1166">
        <f>IF(P225="Abu Dhabi",P236,HLOOKUP(P$214,'Group Basis'!$B$126:$I$136,11,0))</f>
        <v>0.98</v>
      </c>
      <c r="R238" s="1165">
        <f>IF(S225="Abu Dhabi",R236,HLOOKUP(S$226,'Group Basis'!$B$139:$I$149,11,0))</f>
        <v>150000</v>
      </c>
      <c r="S238" s="1166">
        <f>IF(S225="Abu Dhabi",S236,HLOOKUP(S$214,'Group Basis'!$B$126:$I$136,11,0))</f>
        <v>0.98</v>
      </c>
      <c r="U238" s="1165">
        <f>IF(V225="Abu Dhabi",U236,HLOOKUP(V$226,'Group Basis'!$B$139:$I$149,11,0))</f>
        <v>150000</v>
      </c>
      <c r="V238" s="1166">
        <f>IF(V225="Abu Dhabi",V236,HLOOKUP(V$214,'Group Basis'!$B$126:$I$136,11,0))</f>
        <v>0.98</v>
      </c>
      <c r="X238" s="1165">
        <f>IF(Y225="Abu Dhabi",X236,HLOOKUP(Y$226,'Group Basis'!$B$139:$I$149,11,0))</f>
        <v>150000</v>
      </c>
      <c r="Y238" s="1166">
        <f>IF(Y225="Abu Dhabi",Y236,HLOOKUP(Y$214,'Group Basis'!$B$126:$I$136,11,0))</f>
        <v>0.98</v>
      </c>
      <c r="Z238" s="688"/>
    </row>
    <row r="239" spans="2:26" ht="15.75" thickBot="1" x14ac:dyDescent="0.3">
      <c r="B239" s="695"/>
      <c r="C239" s="570"/>
      <c r="D239" s="570"/>
      <c r="E239" s="570"/>
      <c r="F239" s="570"/>
      <c r="G239" s="570"/>
      <c r="H239" s="570"/>
      <c r="I239" s="570"/>
      <c r="J239" s="570"/>
      <c r="K239" s="570"/>
      <c r="L239" s="570"/>
      <c r="M239" s="570"/>
      <c r="N239" s="570"/>
      <c r="O239" s="570"/>
      <c r="P239" s="696"/>
      <c r="Q239" s="570"/>
      <c r="R239" s="570"/>
      <c r="S239" s="570"/>
      <c r="T239" s="570"/>
      <c r="U239" s="570"/>
      <c r="V239" s="570"/>
      <c r="W239" s="570"/>
      <c r="X239" s="570"/>
      <c r="Y239" s="570"/>
      <c r="Z239" s="697"/>
    </row>
    <row r="240" spans="2:26" ht="15.75" thickBot="1" x14ac:dyDescent="0.3"/>
    <row r="241" spans="2:26" ht="17.25" x14ac:dyDescent="0.25">
      <c r="B241" s="684"/>
      <c r="C241" s="710" t="s">
        <v>1345</v>
      </c>
      <c r="D241" s="569"/>
      <c r="E241" s="569"/>
      <c r="F241" s="569"/>
      <c r="G241" s="569"/>
      <c r="H241" s="569"/>
      <c r="I241" s="569"/>
      <c r="J241" s="569"/>
      <c r="K241" s="569"/>
      <c r="L241" s="569"/>
      <c r="M241" s="569"/>
      <c r="N241" s="569"/>
      <c r="O241" s="569"/>
      <c r="P241" s="685"/>
      <c r="Q241" s="569"/>
      <c r="R241" s="569"/>
      <c r="S241" s="569"/>
      <c r="T241" s="569"/>
      <c r="U241" s="569"/>
      <c r="V241" s="569"/>
      <c r="W241" s="569"/>
      <c r="X241" s="569"/>
      <c r="Y241" s="569"/>
      <c r="Z241" s="686"/>
    </row>
    <row r="242" spans="2:26" x14ac:dyDescent="0.25">
      <c r="B242" s="687"/>
      <c r="D242" s="544" t="str">
        <f>D226</f>
        <v>RN3</v>
      </c>
      <c r="G242" s="544" t="str">
        <f>G226</f>
        <v>RN</v>
      </c>
      <c r="J242" s="544" t="str">
        <f>J226</f>
        <v>RN2</v>
      </c>
      <c r="M242" s="544" t="str">
        <f>M226</f>
        <v>RN2</v>
      </c>
      <c r="P242" s="544" t="str">
        <f>P226</f>
        <v>RN3</v>
      </c>
      <c r="S242" s="544" t="str">
        <f>S226</f>
        <v>RN3</v>
      </c>
      <c r="V242" s="544" t="str">
        <f>V226</f>
        <v>RN3</v>
      </c>
      <c r="Y242" s="544" t="str">
        <f>Y226</f>
        <v>RN3</v>
      </c>
      <c r="Z242" s="688"/>
    </row>
    <row r="243" spans="2:26" ht="15.75" x14ac:dyDescent="0.25">
      <c r="B243" s="687"/>
      <c r="C243" s="689" t="s">
        <v>91</v>
      </c>
      <c r="D243" s="690"/>
      <c r="F243" s="689" t="s">
        <v>92</v>
      </c>
      <c r="G243" s="691"/>
      <c r="I243" s="689" t="s">
        <v>93</v>
      </c>
      <c r="J243" s="691"/>
      <c r="L243" s="689" t="s">
        <v>94</v>
      </c>
      <c r="M243" s="691"/>
      <c r="O243" s="689" t="s">
        <v>358</v>
      </c>
      <c r="P243" s="690"/>
      <c r="R243" s="689" t="s">
        <v>359</v>
      </c>
      <c r="S243" s="691"/>
      <c r="U243" s="689" t="s">
        <v>360</v>
      </c>
      <c r="V243" s="691"/>
      <c r="X243" s="689" t="s">
        <v>361</v>
      </c>
      <c r="Y243" s="691"/>
      <c r="Z243" s="688"/>
    </row>
    <row r="244" spans="2:26" ht="15.75" x14ac:dyDescent="0.25">
      <c r="B244" s="687"/>
      <c r="C244" s="693" t="s">
        <v>678</v>
      </c>
      <c r="D244" s="692" t="s">
        <v>95</v>
      </c>
      <c r="F244" s="693" t="s">
        <v>678</v>
      </c>
      <c r="G244" s="692" t="s">
        <v>95</v>
      </c>
      <c r="I244" s="693" t="s">
        <v>678</v>
      </c>
      <c r="J244" s="692" t="s">
        <v>95</v>
      </c>
      <c r="L244" s="693" t="s">
        <v>678</v>
      </c>
      <c r="M244" s="692" t="s">
        <v>95</v>
      </c>
      <c r="O244" s="693" t="s">
        <v>678</v>
      </c>
      <c r="P244" s="692" t="s">
        <v>95</v>
      </c>
      <c r="R244" s="693" t="s">
        <v>678</v>
      </c>
      <c r="S244" s="692" t="s">
        <v>95</v>
      </c>
      <c r="U244" s="693" t="s">
        <v>678</v>
      </c>
      <c r="V244" s="692" t="s">
        <v>95</v>
      </c>
      <c r="X244" s="693" t="s">
        <v>678</v>
      </c>
      <c r="Y244" s="692" t="s">
        <v>95</v>
      </c>
      <c r="Z244" s="688"/>
    </row>
    <row r="245" spans="2:26" x14ac:dyDescent="0.25">
      <c r="B245" s="687"/>
      <c r="C245" s="544" t="s">
        <v>1026</v>
      </c>
      <c r="D245" s="571">
        <v>0.96499999999999997</v>
      </c>
      <c r="F245" s="544" t="s">
        <v>1026</v>
      </c>
      <c r="G245" s="571">
        <v>0.96499999999999997</v>
      </c>
      <c r="I245" s="544" t="s">
        <v>1026</v>
      </c>
      <c r="J245" s="571">
        <v>0.96499999999999997</v>
      </c>
      <c r="L245" s="544" t="s">
        <v>1026</v>
      </c>
      <c r="M245" s="571">
        <v>0.96499999999999997</v>
      </c>
      <c r="O245" s="544" t="s">
        <v>1026</v>
      </c>
      <c r="P245" s="571">
        <v>0.96499999999999997</v>
      </c>
      <c r="R245" s="544" t="s">
        <v>1026</v>
      </c>
      <c r="S245" s="571">
        <v>0.96499999999999997</v>
      </c>
      <c r="U245" s="544" t="s">
        <v>1026</v>
      </c>
      <c r="V245" s="571">
        <v>0.96499999999999997</v>
      </c>
      <c r="X245" s="544" t="s">
        <v>1026</v>
      </c>
      <c r="Y245" s="571">
        <v>0.96499999999999997</v>
      </c>
      <c r="Z245" s="688"/>
    </row>
    <row r="246" spans="2:26" x14ac:dyDescent="0.25">
      <c r="B246" s="687"/>
      <c r="C246" s="544" t="str">
        <f>IF(D242=VN,"Generic","Branded")</f>
        <v>Branded</v>
      </c>
      <c r="D246" s="571">
        <f>IF(C246="Generic",96.5%,100%)</f>
        <v>1</v>
      </c>
      <c r="F246" s="544" t="str">
        <f>IF(G242=VN,"Generic","Branded")</f>
        <v>Branded</v>
      </c>
      <c r="G246" s="571">
        <f>IF(F246="Generic",96.5%,100%)</f>
        <v>1</v>
      </c>
      <c r="I246" s="544" t="str">
        <f>IF(J242=VN,"Generic","Branded")</f>
        <v>Branded</v>
      </c>
      <c r="J246" s="571">
        <f>IF(I246="Generic",96.5%,100%)</f>
        <v>1</v>
      </c>
      <c r="L246" s="544" t="str">
        <f>IF(M242=VN,"Generic","Branded")</f>
        <v>Branded</v>
      </c>
      <c r="M246" s="571">
        <f>IF(L246="Generic",96.5%,100%)</f>
        <v>1</v>
      </c>
      <c r="O246" s="544" t="str">
        <f>IF(P242=VN,"Generic","Branded")</f>
        <v>Branded</v>
      </c>
      <c r="P246" s="571">
        <f>IF(O246="Generic",96.5%,100%)</f>
        <v>1</v>
      </c>
      <c r="R246" s="544" t="str">
        <f>IF(S242=VN,"Generic","Branded")</f>
        <v>Branded</v>
      </c>
      <c r="S246" s="571">
        <f>IF(R246="Generic",96.5%,100%)</f>
        <v>1</v>
      </c>
      <c r="U246" s="544" t="str">
        <f>IF(V242=VN,"Generic","Branded")</f>
        <v>Branded</v>
      </c>
      <c r="V246" s="571">
        <f>IF(U246="Generic",96.5%,100%)</f>
        <v>1</v>
      </c>
      <c r="X246" s="544" t="str">
        <f>IF(Y242=VN,"Generic","Branded")</f>
        <v>Branded</v>
      </c>
      <c r="Y246" s="571">
        <f>IF(X246="Generic",96.5%,100%)</f>
        <v>1</v>
      </c>
      <c r="Z246" s="688"/>
    </row>
    <row r="247" spans="2:26" ht="15.75" thickBot="1" x14ac:dyDescent="0.3">
      <c r="B247" s="695"/>
      <c r="C247" s="570"/>
      <c r="D247" s="570"/>
      <c r="E247" s="570"/>
      <c r="F247" s="570"/>
      <c r="G247" s="570"/>
      <c r="H247" s="570"/>
      <c r="I247" s="570"/>
      <c r="J247" s="570"/>
      <c r="K247" s="570"/>
      <c r="L247" s="570"/>
      <c r="M247" s="570"/>
      <c r="N247" s="570"/>
      <c r="O247" s="570"/>
      <c r="P247" s="696"/>
      <c r="Q247" s="570"/>
      <c r="R247" s="570"/>
      <c r="S247" s="570"/>
      <c r="T247" s="570"/>
      <c r="U247" s="570"/>
      <c r="V247" s="570"/>
      <c r="W247" s="570"/>
      <c r="X247" s="570"/>
      <c r="Y247" s="570"/>
      <c r="Z247" s="697"/>
    </row>
  </sheetData>
  <sheetProtection algorithmName="SHA-512" hashValue="ttXlaeAw+KBIZaO0cDqNQDvJ6/QDrTvOuRN0FLdzYfeUPU/kRMLYfepzjhRN8sWaBl56csVuqySJrnL3Xx4hNw==" saltValue="illnsQoM9WK+CBh2IWmnsQ==" spinCount="100000" sheet="1" objects="1" scenarios="1"/>
  <mergeCells count="5">
    <mergeCell ref="B189:C189"/>
    <mergeCell ref="B192:C192"/>
    <mergeCell ref="B187:C187"/>
    <mergeCell ref="B186:C186"/>
    <mergeCell ref="B185:C18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E106"/>
  <sheetViews>
    <sheetView topLeftCell="E87" workbookViewId="0">
      <selection activeCell="J97" sqref="J97"/>
    </sheetView>
  </sheetViews>
  <sheetFormatPr defaultColWidth="9.140625" defaultRowHeight="15" x14ac:dyDescent="0.25"/>
  <cols>
    <col min="1" max="1" width="9.140625" style="467"/>
    <col min="2" max="2" width="25.7109375" style="467" customWidth="1"/>
    <col min="3" max="3" width="17.85546875" style="467" bestFit="1" customWidth="1"/>
    <col min="4" max="4" width="11.140625" style="562" customWidth="1"/>
    <col min="5" max="5" width="20.42578125" style="467" customWidth="1"/>
    <col min="6" max="6" width="13" style="467" customWidth="1"/>
    <col min="7" max="7" width="11.28515625" style="467" bestFit="1" customWidth="1"/>
    <col min="8" max="8" width="21.28515625" style="467" customWidth="1"/>
    <col min="9" max="9" width="26.42578125" style="467" customWidth="1"/>
    <col min="10" max="10" width="25" style="467" customWidth="1"/>
    <col min="11" max="12" width="23.140625" style="467" bestFit="1" customWidth="1"/>
    <col min="13" max="13" width="23.42578125" style="467" bestFit="1" customWidth="1"/>
    <col min="14" max="14" width="23.140625" style="467" customWidth="1"/>
    <col min="15" max="15" width="19.7109375" style="467" customWidth="1"/>
    <col min="16" max="16" width="37.42578125" style="467" customWidth="1"/>
    <col min="17" max="17" width="16.28515625" style="467" customWidth="1"/>
    <col min="18" max="20" width="10.85546875" style="467" bestFit="1" customWidth="1"/>
    <col min="21" max="21" width="9.7109375" style="467" bestFit="1" customWidth="1"/>
    <col min="22" max="22" width="10.85546875" style="467" bestFit="1" customWidth="1"/>
    <col min="23" max="23" width="8.42578125" style="467" bestFit="1" customWidth="1"/>
    <col min="24" max="24" width="9.7109375" style="467" bestFit="1" customWidth="1"/>
    <col min="25" max="25" width="8.42578125" style="467" bestFit="1" customWidth="1"/>
    <col min="26" max="29" width="9.7109375" style="467" bestFit="1" customWidth="1"/>
    <col min="30" max="31" width="10.85546875" style="467" bestFit="1" customWidth="1"/>
    <col min="32" max="16384" width="9.140625" style="467"/>
  </cols>
  <sheetData>
    <row r="2" spans="2:31" ht="15.75" x14ac:dyDescent="0.25">
      <c r="B2" s="468" t="s">
        <v>88</v>
      </c>
      <c r="D2" s="625" t="s">
        <v>95</v>
      </c>
    </row>
    <row r="3" spans="2:31" ht="15.75" x14ac:dyDescent="0.25">
      <c r="B3" s="471" t="s">
        <v>123</v>
      </c>
      <c r="D3" s="544">
        <v>1</v>
      </c>
      <c r="V3" s="498"/>
      <c r="W3" s="498"/>
      <c r="X3" s="498"/>
      <c r="Y3" s="498"/>
      <c r="Z3" s="498"/>
      <c r="AA3" s="498"/>
      <c r="AB3" s="498"/>
      <c r="AC3" s="498"/>
      <c r="AD3" s="498"/>
      <c r="AE3" s="498"/>
    </row>
    <row r="4" spans="2:31" ht="15.75" x14ac:dyDescent="0.25">
      <c r="B4" s="471" t="s">
        <v>124</v>
      </c>
      <c r="M4" s="1486" t="s">
        <v>936</v>
      </c>
      <c r="N4" s="1496" t="str">
        <f>N14</f>
        <v>A</v>
      </c>
      <c r="O4" s="1495"/>
      <c r="P4" s="1496" t="str">
        <f>O14</f>
        <v>B</v>
      </c>
      <c r="Q4" s="1495"/>
      <c r="R4" s="1496" t="str">
        <f>P14</f>
        <v>C</v>
      </c>
      <c r="S4" s="1495"/>
      <c r="T4" s="1496" t="str">
        <f>Q14</f>
        <v>D</v>
      </c>
      <c r="U4" s="1495"/>
      <c r="V4" s="1496" t="str">
        <f>R14</f>
        <v>E</v>
      </c>
      <c r="W4" s="1495"/>
      <c r="X4" s="1496" t="str">
        <f>S14</f>
        <v>F</v>
      </c>
      <c r="Y4" s="1495"/>
      <c r="Z4" s="1496" t="str">
        <f>T14</f>
        <v>G</v>
      </c>
      <c r="AA4" s="1495"/>
      <c r="AB4" s="1496" t="str">
        <f>U14</f>
        <v>H</v>
      </c>
      <c r="AC4" s="1495"/>
      <c r="AD4" s="1329" t="s">
        <v>201</v>
      </c>
      <c r="AE4" s="1495"/>
    </row>
    <row r="5" spans="2:31" ht="15.75" x14ac:dyDescent="0.25">
      <c r="M5" s="1486"/>
      <c r="N5" s="689" t="s">
        <v>65</v>
      </c>
      <c r="O5" s="689" t="s">
        <v>66</v>
      </c>
      <c r="P5" s="689" t="s">
        <v>65</v>
      </c>
      <c r="Q5" s="689" t="s">
        <v>66</v>
      </c>
      <c r="R5" s="689" t="s">
        <v>65</v>
      </c>
      <c r="S5" s="689" t="s">
        <v>66</v>
      </c>
      <c r="T5" s="689" t="s">
        <v>65</v>
      </c>
      <c r="U5" s="689" t="s">
        <v>66</v>
      </c>
      <c r="V5" s="689" t="s">
        <v>65</v>
      </c>
      <c r="W5" s="689" t="s">
        <v>66</v>
      </c>
      <c r="X5" s="689" t="s">
        <v>65</v>
      </c>
      <c r="Y5" s="689" t="s">
        <v>66</v>
      </c>
      <c r="Z5" s="689" t="s">
        <v>65</v>
      </c>
      <c r="AA5" s="689" t="s">
        <v>66</v>
      </c>
      <c r="AB5" s="689" t="s">
        <v>65</v>
      </c>
      <c r="AC5" s="689" t="s">
        <v>66</v>
      </c>
      <c r="AD5" s="227" t="s">
        <v>65</v>
      </c>
      <c r="AE5" s="227" t="s">
        <v>66</v>
      </c>
    </row>
    <row r="6" spans="2:31" ht="15.75" x14ac:dyDescent="0.25">
      <c r="M6" s="731" t="str">
        <f>'Group Engine'!B15</f>
        <v>0 - 10</v>
      </c>
      <c r="N6" s="732">
        <f>SUM('Member Data'!P7:P8)</f>
        <v>2</v>
      </c>
      <c r="O6" s="732">
        <f>SUM('Member Data'!Q7:Q8)</f>
        <v>1</v>
      </c>
      <c r="P6" s="732">
        <f>SUM('Member Data'!R7:R8)</f>
        <v>0</v>
      </c>
      <c r="Q6" s="732">
        <f>SUM('Member Data'!S7:S8)</f>
        <v>0</v>
      </c>
      <c r="R6" s="732">
        <f>SUM('Member Data'!T7:T8)</f>
        <v>0</v>
      </c>
      <c r="S6" s="732">
        <f>SUM('Member Data'!U7:U8)</f>
        <v>0</v>
      </c>
      <c r="T6" s="732">
        <f>SUM('Member Data'!V7:V8)</f>
        <v>0</v>
      </c>
      <c r="U6" s="732">
        <f>SUM('Member Data'!W7:W8)</f>
        <v>0</v>
      </c>
      <c r="V6" s="732">
        <f>SUM('Member Data'!X7:X8)</f>
        <v>0</v>
      </c>
      <c r="W6" s="732">
        <f>SUM('Member Data'!Y7:Y8)</f>
        <v>0</v>
      </c>
      <c r="X6" s="732">
        <f>SUM('Member Data'!Z7:Z8)</f>
        <v>0</v>
      </c>
      <c r="Y6" s="732">
        <f>SUM('Member Data'!AA7:AA8)</f>
        <v>0</v>
      </c>
      <c r="Z6" s="732">
        <f>SUM('Member Data'!AB7:AB8)</f>
        <v>0</v>
      </c>
      <c r="AA6" s="732">
        <f>SUM('Member Data'!AC7:AC8)</f>
        <v>0</v>
      </c>
      <c r="AB6" s="732">
        <f>SUM('Member Data'!AD7:AD8)</f>
        <v>0</v>
      </c>
      <c r="AC6" s="732">
        <f>SUM('Member Data'!AE7:AE8)</f>
        <v>0</v>
      </c>
      <c r="AD6" s="734">
        <f t="shared" ref="AD6:AE10" si="0">N6+P6+R6+T6+V6+X6+Z6+AB6</f>
        <v>2</v>
      </c>
      <c r="AE6" s="734">
        <f t="shared" si="0"/>
        <v>1</v>
      </c>
    </row>
    <row r="7" spans="2:31" ht="15.75" x14ac:dyDescent="0.25">
      <c r="B7" s="468" t="s">
        <v>76</v>
      </c>
      <c r="D7" s="625" t="s">
        <v>95</v>
      </c>
      <c r="F7" s="468" t="s">
        <v>146</v>
      </c>
      <c r="H7" s="626" t="s">
        <v>95</v>
      </c>
      <c r="J7" s="468" t="s">
        <v>368</v>
      </c>
      <c r="K7" s="468" t="s">
        <v>369</v>
      </c>
      <c r="M7" s="731" t="str">
        <f>'Group Engine'!B16</f>
        <v>11 - 17</v>
      </c>
      <c r="N7" s="732">
        <f>SUM('Member Data'!P9:P12)</f>
        <v>2</v>
      </c>
      <c r="O7" s="732">
        <f>SUM('Member Data'!Q9:Q12)</f>
        <v>2</v>
      </c>
      <c r="P7" s="732">
        <f>SUM('Member Data'!R9:R12)</f>
        <v>0</v>
      </c>
      <c r="Q7" s="732">
        <f>SUM('Member Data'!S9:S12)</f>
        <v>0</v>
      </c>
      <c r="R7" s="732">
        <f>SUM('Member Data'!T9:T12)</f>
        <v>0</v>
      </c>
      <c r="S7" s="732">
        <f>SUM('Member Data'!U9:U12)</f>
        <v>0</v>
      </c>
      <c r="T7" s="732">
        <f>SUM('Member Data'!V9:V12)</f>
        <v>0</v>
      </c>
      <c r="U7" s="732">
        <f>SUM('Member Data'!W9:W12)</f>
        <v>0</v>
      </c>
      <c r="V7" s="732">
        <f>SUM('Member Data'!X9:X12)</f>
        <v>0</v>
      </c>
      <c r="W7" s="732">
        <f>SUM('Member Data'!Y9:Y12)</f>
        <v>0</v>
      </c>
      <c r="X7" s="732">
        <f>SUM('Member Data'!Z9:Z12)</f>
        <v>0</v>
      </c>
      <c r="Y7" s="732">
        <f>SUM('Member Data'!AA9:AA12)</f>
        <v>0</v>
      </c>
      <c r="Z7" s="732">
        <f>SUM('Member Data'!AB9:AB12)</f>
        <v>0</v>
      </c>
      <c r="AA7" s="732">
        <f>SUM('Member Data'!AC9:AC12)</f>
        <v>0</v>
      </c>
      <c r="AB7" s="732">
        <f>SUM('Member Data'!AD9:AD12)</f>
        <v>0</v>
      </c>
      <c r="AC7" s="732">
        <f>SUM('Member Data'!AE9:AE12)</f>
        <v>0</v>
      </c>
      <c r="AD7" s="734">
        <f t="shared" si="0"/>
        <v>2</v>
      </c>
      <c r="AE7" s="734">
        <f t="shared" si="0"/>
        <v>2</v>
      </c>
    </row>
    <row r="8" spans="2:31" ht="15.75" x14ac:dyDescent="0.25">
      <c r="B8" s="471">
        <f>IF($D$3=1,1,1)</f>
        <v>1</v>
      </c>
      <c r="D8" s="544">
        <v>1</v>
      </c>
      <c r="F8" s="471" t="s">
        <v>783</v>
      </c>
      <c r="H8" s="471">
        <v>2</v>
      </c>
      <c r="J8" s="471" t="s">
        <v>7</v>
      </c>
      <c r="K8" s="471" t="s">
        <v>370</v>
      </c>
      <c r="M8" s="731" t="str">
        <f>'Group Engine'!B17</f>
        <v>18 - 25</v>
      </c>
      <c r="N8" s="732">
        <f>SUM('Member Data'!P13:P16)</f>
        <v>2</v>
      </c>
      <c r="O8" s="732">
        <f>SUM('Member Data'!Q13:Q16)</f>
        <v>2</v>
      </c>
      <c r="P8" s="732">
        <f>SUM('Member Data'!R13:R16)</f>
        <v>0</v>
      </c>
      <c r="Q8" s="732">
        <f>SUM('Member Data'!S13:S16)</f>
        <v>0</v>
      </c>
      <c r="R8" s="732">
        <f>SUM('Member Data'!T13:T16)</f>
        <v>0</v>
      </c>
      <c r="S8" s="732">
        <f>SUM('Member Data'!U13:U16)</f>
        <v>0</v>
      </c>
      <c r="T8" s="732">
        <f>SUM('Member Data'!V13:V16)</f>
        <v>0</v>
      </c>
      <c r="U8" s="732">
        <f>SUM('Member Data'!W13:W16)</f>
        <v>0</v>
      </c>
      <c r="V8" s="732">
        <f>SUM('Member Data'!X13:X16)</f>
        <v>0</v>
      </c>
      <c r="W8" s="732">
        <f>SUM('Member Data'!Y13:Y16)</f>
        <v>0</v>
      </c>
      <c r="X8" s="732">
        <f>SUM('Member Data'!Z13:Z16)</f>
        <v>0</v>
      </c>
      <c r="Y8" s="732">
        <f>SUM('Member Data'!AA13:AA16)</f>
        <v>0</v>
      </c>
      <c r="Z8" s="732">
        <f>SUM('Member Data'!AB13:AB16)</f>
        <v>0</v>
      </c>
      <c r="AA8" s="732">
        <f>SUM('Member Data'!AC13:AC16)</f>
        <v>0</v>
      </c>
      <c r="AB8" s="732">
        <f>SUM('Member Data'!AD13:AD16)</f>
        <v>0</v>
      </c>
      <c r="AC8" s="732">
        <f>SUM('Member Data'!AE13:AE16)</f>
        <v>0</v>
      </c>
      <c r="AD8" s="734">
        <f t="shared" si="0"/>
        <v>2</v>
      </c>
      <c r="AE8" s="734">
        <f t="shared" si="0"/>
        <v>2</v>
      </c>
    </row>
    <row r="9" spans="2:31" ht="15.75" x14ac:dyDescent="0.25">
      <c r="B9" s="471">
        <f>IF($D$3=1,B8+1,"")</f>
        <v>2</v>
      </c>
      <c r="F9" s="471" t="s">
        <v>1028</v>
      </c>
      <c r="J9" s="471" t="s">
        <v>21</v>
      </c>
      <c r="K9" s="471" t="s">
        <v>21</v>
      </c>
      <c r="M9" s="731" t="str">
        <f>'Group Engine'!B18</f>
        <v>26 - 30</v>
      </c>
      <c r="N9" s="732">
        <f>SUM('Member Data'!P17)</f>
        <v>0</v>
      </c>
      <c r="O9" s="732">
        <f>SUM('Member Data'!Q17)</f>
        <v>0</v>
      </c>
      <c r="P9" s="732">
        <f>SUM('Member Data'!R17)</f>
        <v>0</v>
      </c>
      <c r="Q9" s="732">
        <f>SUM('Member Data'!S17)</f>
        <v>0</v>
      </c>
      <c r="R9" s="732">
        <f>SUM('Member Data'!T17)</f>
        <v>0</v>
      </c>
      <c r="S9" s="732">
        <f>SUM('Member Data'!U17)</f>
        <v>0</v>
      </c>
      <c r="T9" s="732">
        <f>SUM('Member Data'!V17)</f>
        <v>0</v>
      </c>
      <c r="U9" s="732">
        <f>SUM('Member Data'!W17)</f>
        <v>0</v>
      </c>
      <c r="V9" s="732">
        <f>SUM('Member Data'!X17)</f>
        <v>0</v>
      </c>
      <c r="W9" s="732">
        <f>SUM('Member Data'!Y17)</f>
        <v>0</v>
      </c>
      <c r="X9" s="732">
        <f>SUM('Member Data'!Z17)</f>
        <v>0</v>
      </c>
      <c r="Y9" s="732">
        <f>SUM('Member Data'!AA17)</f>
        <v>0</v>
      </c>
      <c r="Z9" s="732">
        <f>SUM('Member Data'!AB17)</f>
        <v>0</v>
      </c>
      <c r="AA9" s="732">
        <f>SUM('Member Data'!AC17)</f>
        <v>0</v>
      </c>
      <c r="AB9" s="732">
        <f>SUM('Member Data'!AD17)</f>
        <v>0</v>
      </c>
      <c r="AC9" s="732">
        <f>SUM('Member Data'!AE17)</f>
        <v>0</v>
      </c>
      <c r="AD9" s="734">
        <f t="shared" si="0"/>
        <v>0</v>
      </c>
      <c r="AE9" s="734">
        <f t="shared" si="0"/>
        <v>0</v>
      </c>
    </row>
    <row r="10" spans="2:31" ht="15.75" x14ac:dyDescent="0.25">
      <c r="B10" s="471">
        <f t="shared" ref="B10:B15" si="1">IF($D$3=1,B9+1,"")</f>
        <v>3</v>
      </c>
      <c r="J10" s="471" t="s">
        <v>28</v>
      </c>
      <c r="K10" s="471" t="s">
        <v>28</v>
      </c>
      <c r="M10" s="731" t="str">
        <f>'Group Engine'!B19</f>
        <v>31 - 35</v>
      </c>
      <c r="N10" s="732">
        <f>SUM('Member Data'!P18)</f>
        <v>0</v>
      </c>
      <c r="O10" s="732">
        <f>SUM('Member Data'!Q18)</f>
        <v>0</v>
      </c>
      <c r="P10" s="732">
        <f>SUM('Member Data'!R18)</f>
        <v>0</v>
      </c>
      <c r="Q10" s="732">
        <f>SUM('Member Data'!S18)</f>
        <v>0</v>
      </c>
      <c r="R10" s="732">
        <f>SUM('Member Data'!T18)</f>
        <v>0</v>
      </c>
      <c r="S10" s="732">
        <f>SUM('Member Data'!U18)</f>
        <v>0</v>
      </c>
      <c r="T10" s="732">
        <f>SUM('Member Data'!V18)</f>
        <v>0</v>
      </c>
      <c r="U10" s="732">
        <f>SUM('Member Data'!W18)</f>
        <v>0</v>
      </c>
      <c r="V10" s="732">
        <f>SUM('Member Data'!X18)</f>
        <v>0</v>
      </c>
      <c r="W10" s="732">
        <f>SUM('Member Data'!Y18)</f>
        <v>0</v>
      </c>
      <c r="X10" s="732">
        <f>SUM('Member Data'!Z18)</f>
        <v>0</v>
      </c>
      <c r="Y10" s="732">
        <f>SUM('Member Data'!AA18)</f>
        <v>0</v>
      </c>
      <c r="Z10" s="732">
        <f>SUM('Member Data'!AB18)</f>
        <v>0</v>
      </c>
      <c r="AA10" s="732">
        <f>SUM('Member Data'!AC18)</f>
        <v>0</v>
      </c>
      <c r="AB10" s="732">
        <f>SUM('Member Data'!AD18)</f>
        <v>0</v>
      </c>
      <c r="AC10" s="732">
        <f>SUM('Member Data'!AE18)</f>
        <v>0</v>
      </c>
      <c r="AD10" s="734">
        <f t="shared" si="0"/>
        <v>0</v>
      </c>
      <c r="AE10" s="734">
        <f t="shared" si="0"/>
        <v>0</v>
      </c>
    </row>
    <row r="11" spans="2:31" ht="15.75" x14ac:dyDescent="0.25">
      <c r="B11" s="471">
        <f t="shared" si="1"/>
        <v>4</v>
      </c>
      <c r="J11" s="471" t="s">
        <v>29</v>
      </c>
      <c r="K11" s="471" t="s">
        <v>371</v>
      </c>
      <c r="M11" s="733" t="s">
        <v>73</v>
      </c>
      <c r="N11" s="234">
        <f t="shared" ref="N11:AE11" si="2">SUM(N6:N10)</f>
        <v>6</v>
      </c>
      <c r="O11" s="234">
        <f t="shared" si="2"/>
        <v>5</v>
      </c>
      <c r="P11" s="234">
        <f t="shared" si="2"/>
        <v>0</v>
      </c>
      <c r="Q11" s="234">
        <f t="shared" si="2"/>
        <v>0</v>
      </c>
      <c r="R11" s="234">
        <f t="shared" si="2"/>
        <v>0</v>
      </c>
      <c r="S11" s="234">
        <f t="shared" si="2"/>
        <v>0</v>
      </c>
      <c r="T11" s="234">
        <f t="shared" si="2"/>
        <v>0</v>
      </c>
      <c r="U11" s="234">
        <f t="shared" si="2"/>
        <v>0</v>
      </c>
      <c r="V11" s="234">
        <f t="shared" si="2"/>
        <v>0</v>
      </c>
      <c r="W11" s="234">
        <f t="shared" si="2"/>
        <v>0</v>
      </c>
      <c r="X11" s="234">
        <f t="shared" si="2"/>
        <v>0</v>
      </c>
      <c r="Y11" s="234">
        <f t="shared" si="2"/>
        <v>0</v>
      </c>
      <c r="Z11" s="234">
        <f t="shared" si="2"/>
        <v>0</v>
      </c>
      <c r="AA11" s="234">
        <f t="shared" si="2"/>
        <v>0</v>
      </c>
      <c r="AB11" s="234">
        <f t="shared" si="2"/>
        <v>0</v>
      </c>
      <c r="AC11" s="234">
        <f t="shared" si="2"/>
        <v>0</v>
      </c>
      <c r="AD11" s="234">
        <f t="shared" si="2"/>
        <v>6</v>
      </c>
      <c r="AE11" s="234">
        <f t="shared" si="2"/>
        <v>5</v>
      </c>
    </row>
    <row r="12" spans="2:31" ht="16.5" thickBot="1" x14ac:dyDescent="0.3">
      <c r="B12" s="471">
        <f t="shared" si="1"/>
        <v>5</v>
      </c>
      <c r="J12" s="471" t="s">
        <v>34</v>
      </c>
      <c r="K12" s="471" t="s">
        <v>372</v>
      </c>
      <c r="M12" s="498"/>
      <c r="N12" s="498"/>
      <c r="O12" s="498"/>
      <c r="P12" s="498"/>
      <c r="Q12" s="498"/>
      <c r="R12" s="499"/>
      <c r="S12" s="498"/>
      <c r="T12" s="498"/>
      <c r="U12" s="498"/>
      <c r="V12" s="498"/>
      <c r="W12" s="498"/>
      <c r="X12" s="498"/>
      <c r="Y12" s="498"/>
      <c r="Z12" s="498"/>
      <c r="AA12" s="498"/>
      <c r="AB12" s="498"/>
      <c r="AC12" s="498"/>
      <c r="AE12" s="736" t="b">
        <f>AD11+AE11='Member Data'!AG20</f>
        <v>1</v>
      </c>
    </row>
    <row r="13" spans="2:31" ht="15.75" x14ac:dyDescent="0.25">
      <c r="B13" s="471">
        <f t="shared" si="1"/>
        <v>6</v>
      </c>
      <c r="M13" s="1487" t="s">
        <v>79</v>
      </c>
      <c r="N13" s="1489" t="s">
        <v>76</v>
      </c>
      <c r="O13" s="1490"/>
      <c r="P13" s="1490"/>
      <c r="Q13" s="1490"/>
      <c r="R13" s="1490"/>
      <c r="S13" s="1490"/>
      <c r="T13" s="1490"/>
      <c r="U13" s="1491"/>
      <c r="V13" s="498"/>
      <c r="W13" s="498"/>
      <c r="X13" s="498"/>
      <c r="Y13" s="498"/>
      <c r="Z13" s="498"/>
      <c r="AA13" s="498"/>
      <c r="AB13" s="498"/>
      <c r="AC13" s="498"/>
      <c r="AD13" s="498"/>
      <c r="AE13" s="498"/>
    </row>
    <row r="14" spans="2:31" ht="15.75" x14ac:dyDescent="0.25">
      <c r="B14" s="471">
        <f t="shared" si="1"/>
        <v>7</v>
      </c>
      <c r="M14" s="1488"/>
      <c r="N14" s="549" t="s">
        <v>271</v>
      </c>
      <c r="O14" s="550" t="s">
        <v>272</v>
      </c>
      <c r="P14" s="550" t="s">
        <v>273</v>
      </c>
      <c r="Q14" s="551" t="s">
        <v>274</v>
      </c>
      <c r="R14" s="551" t="s">
        <v>365</v>
      </c>
      <c r="S14" s="551" t="s">
        <v>62</v>
      </c>
      <c r="T14" s="551" t="s">
        <v>366</v>
      </c>
      <c r="U14" s="552" t="s">
        <v>367</v>
      </c>
      <c r="V14" s="498"/>
      <c r="W14" s="498"/>
      <c r="X14" s="498"/>
      <c r="Y14" s="498"/>
      <c r="Z14" s="498"/>
      <c r="AA14" s="498"/>
      <c r="AB14" s="498"/>
      <c r="AC14" s="498"/>
      <c r="AD14" s="498"/>
      <c r="AE14" s="498"/>
    </row>
    <row r="15" spans="2:31" ht="15.75" x14ac:dyDescent="0.25">
      <c r="B15" s="471">
        <f t="shared" si="1"/>
        <v>8</v>
      </c>
      <c r="J15" s="604" t="s">
        <v>697</v>
      </c>
      <c r="K15" s="626" t="s">
        <v>95</v>
      </c>
      <c r="M15" s="714" t="s">
        <v>9</v>
      </c>
      <c r="N15" s="553">
        <f>COUNTIFS('Member Data'!$G$6:$G$5331,"&gt;17",'Member Data'!$G$6:$G$5331,"&lt;36",'Member Data'!$D$6:$D$5331,N14,'Member Data'!$C$6:$C$5331,"F",'Member Data'!$H$6:$H$5331,"Married")</f>
        <v>0</v>
      </c>
      <c r="O15" s="554">
        <f>COUNTIFS('Member Data'!$G$6:$G$5331,"&gt;17",'Member Data'!$G$6:$G$5331,"&lt;36",'Member Data'!$D$6:$D$5331,O14,'Member Data'!$C$6:$C$5331,"F",'Member Data'!$H$6:$H$5331,"Married")</f>
        <v>0</v>
      </c>
      <c r="P15" s="554">
        <f>COUNTIFS('Member Data'!$G$6:$G$5331,"&gt;17",'Member Data'!$G$6:$G$5331,"&lt;36",'Member Data'!$D$6:$D$5331,P14,'Member Data'!$C$6:$C$5331,"F",'Member Data'!$H$6:$H$5331,"Married")</f>
        <v>0</v>
      </c>
      <c r="Q15" s="554">
        <f>COUNTIFS('Member Data'!$G$6:$G$5331,"&gt;17",'Member Data'!$G$6:$G$5331,"&lt;36",'Member Data'!$D$6:$D$5331,Q14,'Member Data'!$C$6:$C$5331,"F",'Member Data'!$H$6:$H$5331,"Married")</f>
        <v>0</v>
      </c>
      <c r="R15" s="554">
        <f>COUNTIFS('Member Data'!$G$6:$G$5331,"&gt;17",'Member Data'!$G$6:$G$5331,"&lt;36",'Member Data'!$D$6:$D$5331,R14,'Member Data'!$C$6:$C$5331,"F",'Member Data'!$H$6:$H$5331,"Married")</f>
        <v>0</v>
      </c>
      <c r="S15" s="554">
        <f>COUNTIFS('Member Data'!$G$6:$G$5331,"&gt;17",'Member Data'!$G$6:$G$5331,"&lt;36",'Member Data'!$D$6:$D$5331,S14,'Member Data'!$C$6:$C$5331,"F",'Member Data'!$H$6:$H$5331,"Married")</f>
        <v>0</v>
      </c>
      <c r="T15" s="554">
        <f>COUNTIFS('Member Data'!$G$6:$G$5331,"&gt;17",'Member Data'!$G$6:$G$5331,"&lt;36",'Member Data'!$D$6:$D$5331,T14,'Member Data'!$C$6:$C$5331,"F",'Member Data'!$H$6:$H$5331,"Married")</f>
        <v>0</v>
      </c>
      <c r="U15" s="555">
        <f>COUNTIFS('Member Data'!$G$6:$G$5331,"&gt;17",'Member Data'!$G$6:$G$5331,"&lt;36",'Member Data'!$D$6:$D$5331,U14,'Member Data'!$C$6:$C$5331,"F",'Member Data'!$H$6:$H$5331,"Married")</f>
        <v>0</v>
      </c>
      <c r="V15" s="498"/>
      <c r="W15" s="498"/>
      <c r="X15" s="498"/>
      <c r="Y15" s="498"/>
      <c r="Z15" s="498"/>
      <c r="AA15" s="498"/>
      <c r="AB15" s="498"/>
      <c r="AC15" s="498"/>
      <c r="AD15" s="498"/>
      <c r="AE15" s="498"/>
    </row>
    <row r="16" spans="2:31" ht="16.5" thickBot="1" x14ac:dyDescent="0.3">
      <c r="I16" s="467">
        <v>1</v>
      </c>
      <c r="J16" s="467" t="s">
        <v>179</v>
      </c>
      <c r="K16" s="471">
        <v>6</v>
      </c>
      <c r="M16" s="24" t="s">
        <v>280</v>
      </c>
      <c r="N16" s="556">
        <f>COUNTIFS('Member Data'!$G$6:$G$5331,"&gt;35",'Member Data'!$G$6:$G$5331,"&lt;51",'Member Data'!$D$6:$D$5331,N14,'Member Data'!$C$6:$C$5331,"F",'Member Data'!$H$6:$H$5331,"Married")</f>
        <v>2</v>
      </c>
      <c r="O16" s="557">
        <f>COUNTIFS('Member Data'!$G$6:$G$5331,"&gt;35",'Member Data'!$G$6:$G$5331,"&lt;51",'Member Data'!$D$6:$D$5331,O14,'Member Data'!$C$6:$C$5331,"F",'Member Data'!$H$6:$H$5331,"Married")</f>
        <v>0</v>
      </c>
      <c r="P16" s="557">
        <f>COUNTIFS('Member Data'!$G$6:$G$5331,"&gt;35",'Member Data'!$G$6:$G$5331,"&lt;51",'Member Data'!$D$6:$D$5331,P14,'Member Data'!$C$6:$C$5331,"F",'Member Data'!$H$6:$H$5331,"Married")</f>
        <v>0</v>
      </c>
      <c r="Q16" s="558">
        <f>COUNTIFS('Member Data'!$G$6:$G$5331,"&gt;35",'Member Data'!$G$6:$G$5331,"&lt;51",'Member Data'!$D$6:$D$5331,Q14,'Member Data'!$C$6:$C$5331,"F",'Member Data'!$H$6:$H$5331,"Married")</f>
        <v>0</v>
      </c>
      <c r="R16" s="558">
        <f>COUNTIFS('Member Data'!$G$6:$G$5331,"&gt;35",'Member Data'!$G$6:$G$5331,"&lt;51",'Member Data'!$D$6:$D$5331,R14,'Member Data'!$C$6:$C$5331,"F",'Member Data'!$H$6:$H$5331,"Married")</f>
        <v>0</v>
      </c>
      <c r="S16" s="558">
        <f>COUNTIFS('Member Data'!$G$6:$G$5331,"&gt;35",'Member Data'!$G$6:$G$5331,"&lt;51",'Member Data'!$D$6:$D$5331,S14,'Member Data'!$C$6:$C$5331,"F",'Member Data'!$H$6:$H$5331,"Married")</f>
        <v>0</v>
      </c>
      <c r="T16" s="558">
        <f>COUNTIFS('Member Data'!$G$6:$G$5331,"&gt;35",'Member Data'!$G$6:$G$5331,"&lt;51",'Member Data'!$D$6:$D$5331,T14,'Member Data'!$C$6:$C$5331,"F",'Member Data'!$H$6:$H$5331,"Married")</f>
        <v>0</v>
      </c>
      <c r="U16" s="559">
        <f>COUNTIFS('Member Data'!$G$6:$G$5331,"&gt;35",'Member Data'!$G$6:$G$5331,"&lt;51",'Member Data'!$D$6:$D$5331,U14,'Member Data'!$C$6:$C$5331,"F",'Member Data'!$H$6:$H$5331,"Married")</f>
        <v>0</v>
      </c>
      <c r="V16" s="498"/>
      <c r="W16" s="736" t="b">
        <f>SUM(N15:U16)=SUM('Member Data'!O28:V29)</f>
        <v>0</v>
      </c>
      <c r="X16" s="735">
        <f>SUM(N15:U16)-SUM('Member Data'!O28:V29)</f>
        <v>2</v>
      </c>
      <c r="Y16" s="498"/>
      <c r="Z16" s="498"/>
      <c r="AA16" s="498"/>
      <c r="AB16" s="498"/>
      <c r="AC16" s="498"/>
      <c r="AD16" s="498"/>
      <c r="AE16" s="498"/>
    </row>
    <row r="17" spans="2:31" ht="16.5" thickBot="1" x14ac:dyDescent="0.3">
      <c r="B17" s="468" t="s">
        <v>125</v>
      </c>
      <c r="D17" s="625" t="s">
        <v>95</v>
      </c>
      <c r="I17" s="467">
        <v>2</v>
      </c>
      <c r="J17" s="467" t="s">
        <v>698</v>
      </c>
      <c r="M17" s="498"/>
      <c r="N17" s="498"/>
      <c r="O17" s="498"/>
      <c r="P17" s="498"/>
      <c r="Q17" s="498"/>
      <c r="R17" s="499"/>
      <c r="S17" s="498"/>
      <c r="T17" s="498"/>
      <c r="U17" s="498"/>
      <c r="V17" s="498"/>
      <c r="W17" s="498"/>
      <c r="X17" s="228"/>
      <c r="Y17" s="498"/>
      <c r="Z17" s="498"/>
      <c r="AA17" s="498"/>
      <c r="AB17" s="498"/>
      <c r="AC17" s="498"/>
      <c r="AD17" s="498"/>
      <c r="AE17" s="498"/>
    </row>
    <row r="18" spans="2:31" ht="15.75" x14ac:dyDescent="0.25">
      <c r="B18" s="471" t="s">
        <v>126</v>
      </c>
      <c r="D18" s="544">
        <v>2</v>
      </c>
      <c r="I18" s="467">
        <v>3</v>
      </c>
      <c r="J18" s="467" t="s">
        <v>699</v>
      </c>
      <c r="M18" s="1487" t="s">
        <v>98</v>
      </c>
      <c r="N18" s="1492" t="s">
        <v>76</v>
      </c>
      <c r="O18" s="1493"/>
      <c r="P18" s="1493"/>
      <c r="Q18" s="1493"/>
      <c r="R18" s="1493"/>
      <c r="S18" s="1493"/>
      <c r="T18" s="1493"/>
      <c r="U18" s="1494"/>
      <c r="V18" s="498"/>
      <c r="W18" s="498"/>
      <c r="X18" s="228"/>
      <c r="Y18" s="498"/>
      <c r="Z18" s="498"/>
      <c r="AA18" s="498"/>
      <c r="AB18" s="498"/>
      <c r="AC18" s="498"/>
      <c r="AD18" s="498"/>
      <c r="AE18" s="498"/>
    </row>
    <row r="19" spans="2:31" ht="15.75" x14ac:dyDescent="0.25">
      <c r="B19" s="471" t="s">
        <v>127</v>
      </c>
      <c r="I19" s="467">
        <v>4</v>
      </c>
      <c r="J19" s="467" t="s">
        <v>701</v>
      </c>
      <c r="M19" s="1488"/>
      <c r="N19" s="549" t="s">
        <v>271</v>
      </c>
      <c r="O19" s="550" t="s">
        <v>272</v>
      </c>
      <c r="P19" s="550" t="s">
        <v>273</v>
      </c>
      <c r="Q19" s="551" t="s">
        <v>274</v>
      </c>
      <c r="R19" s="551" t="s">
        <v>365</v>
      </c>
      <c r="S19" s="551" t="s">
        <v>62</v>
      </c>
      <c r="T19" s="551" t="s">
        <v>366</v>
      </c>
      <c r="U19" s="552" t="s">
        <v>367</v>
      </c>
      <c r="V19" s="498"/>
      <c r="W19" s="498"/>
      <c r="X19" s="228"/>
      <c r="Y19" s="498"/>
      <c r="Z19" s="498"/>
      <c r="AA19" s="498"/>
      <c r="AB19" s="498"/>
      <c r="AC19" s="498"/>
      <c r="AD19" s="498"/>
      <c r="AE19" s="498"/>
    </row>
    <row r="20" spans="2:31" ht="15.75" x14ac:dyDescent="0.25">
      <c r="I20" s="467">
        <v>5</v>
      </c>
      <c r="J20" s="467" t="s">
        <v>700</v>
      </c>
      <c r="M20" s="714" t="s">
        <v>39</v>
      </c>
      <c r="N20" s="553">
        <f>COUNTIFS('Member Data'!$G$6:$G$5331,"&gt;=18",'Member Data'!$G$6:$G$5331,"&lt;100",'Member Data'!$D$6:$D$5331,N19)</f>
        <v>8</v>
      </c>
      <c r="O20" s="554">
        <f>COUNTIFS('Member Data'!$G$6:$G$5331,"&gt;=18",'Member Data'!$G$6:$G$5331,"&lt;100",'Member Data'!$D$6:$D$5331,O19)</f>
        <v>0</v>
      </c>
      <c r="P20" s="554">
        <f>COUNTIFS('Member Data'!$G$6:$G$5331,"&gt;=18",'Member Data'!$G$6:$G$5331,"&lt;100",'Member Data'!$D$6:$D$5331,P19)</f>
        <v>0</v>
      </c>
      <c r="Q20" s="554">
        <f>COUNTIFS('Member Data'!$G$6:$G$5331,"&gt;=18",'Member Data'!$G$6:$G$5331,"&lt;100",'Member Data'!$D$6:$D$5331,Q19)</f>
        <v>0</v>
      </c>
      <c r="R20" s="554">
        <f>COUNTIFS('Member Data'!$G$6:$G$5331,"&gt;=18",'Member Data'!$G$6:$G$5331,"&lt;100",'Member Data'!$D$6:$D$5331,R19)</f>
        <v>0</v>
      </c>
      <c r="S20" s="554">
        <f>COUNTIFS('Member Data'!$G$6:$G$5331,"&gt;=18",'Member Data'!$G$6:$G$5331,"&lt;100",'Member Data'!$D$6:$D$5331,S19)</f>
        <v>0</v>
      </c>
      <c r="T20" s="554">
        <f>COUNTIFS('Member Data'!$G$6:$G$5331,"&gt;=18",'Member Data'!$G$6:$G$5331,"&lt;100",'Member Data'!$D$6:$D$5331,T19)</f>
        <v>0</v>
      </c>
      <c r="U20" s="555">
        <f>COUNTIFS('Member Data'!$G$6:$G$5331,"&gt;=18",'Member Data'!$G$6:$G$5331,"&lt;100",'Member Data'!$D$6:$D$5331,U19)</f>
        <v>0</v>
      </c>
      <c r="V20" s="240"/>
      <c r="W20" s="239"/>
      <c r="X20" s="737"/>
      <c r="Y20" s="240"/>
      <c r="Z20" s="240"/>
      <c r="AA20" s="240"/>
      <c r="AB20" s="240"/>
      <c r="AC20" s="240"/>
      <c r="AD20" s="240"/>
      <c r="AE20" s="239"/>
    </row>
    <row r="21" spans="2:31" ht="16.5" thickBot="1" x14ac:dyDescent="0.3">
      <c r="I21" s="467">
        <v>6</v>
      </c>
      <c r="J21" s="467" t="s">
        <v>178</v>
      </c>
      <c r="M21" s="24" t="s">
        <v>97</v>
      </c>
      <c r="N21" s="556">
        <f>COUNTIFS('Member Data'!$G$6:$G$5331,"&lt;18",'Member Data'!$D$6:$D$5331,N19)</f>
        <v>3</v>
      </c>
      <c r="O21" s="557">
        <f>COUNTIFS('Member Data'!$G$6:$G$5331,"&lt;18",'Member Data'!$D$6:$D$5331,O19)</f>
        <v>0</v>
      </c>
      <c r="P21" s="557">
        <f>COUNTIFS('Member Data'!$G$6:$G$5331,"&lt;18",'Member Data'!$D$6:$D$5331,P19)</f>
        <v>0</v>
      </c>
      <c r="Q21" s="558">
        <f>COUNTIFS('Member Data'!$G$6:$G$5331,"&lt;18",'Member Data'!$D$6:$D$5331,Q19)</f>
        <v>0</v>
      </c>
      <c r="R21" s="558">
        <f>COUNTIFS('Member Data'!$G$6:$G$5331,"&lt;18",'Member Data'!$D$6:$D$5331,R19)</f>
        <v>0</v>
      </c>
      <c r="S21" s="558">
        <f>COUNTIFS('Member Data'!$G$6:$G$5331,"&lt;18",'Member Data'!$D$6:$D$5331,S19)</f>
        <v>0</v>
      </c>
      <c r="T21" s="558">
        <f>COUNTIFS('Member Data'!$G$6:$G$5331,"&lt;18",'Member Data'!$D$6:$D$5331,T19)</f>
        <v>0</v>
      </c>
      <c r="U21" s="559">
        <f>COUNTIFS('Member Data'!$G$6:$G$5331,"&lt;18",'Member Data'!$D$6:$D$5331,U19)</f>
        <v>0</v>
      </c>
      <c r="V21" s="509"/>
      <c r="W21" s="736" t="b">
        <f>SUM(N20:U21)=SUM('Member Data'!O33:V34)</f>
        <v>1</v>
      </c>
      <c r="X21" s="735">
        <f>SUM(N20:U21)-SUM('Member Data'!O33:V34)</f>
        <v>0</v>
      </c>
      <c r="Y21" s="509"/>
      <c r="Z21" s="509"/>
      <c r="AA21" s="509"/>
      <c r="AB21" s="509"/>
      <c r="AC21" s="509"/>
      <c r="AD21" s="509"/>
      <c r="AE21" s="509"/>
    </row>
    <row r="22" spans="2:31" ht="16.5" thickBot="1" x14ac:dyDescent="0.3">
      <c r="M22" s="238"/>
      <c r="N22" s="238"/>
      <c r="O22" s="239"/>
      <c r="P22" s="240"/>
      <c r="Q22" s="239"/>
      <c r="R22" s="240"/>
      <c r="S22" s="239"/>
      <c r="T22" s="240"/>
      <c r="U22" s="239"/>
      <c r="V22" s="240"/>
      <c r="W22" s="239"/>
      <c r="X22" s="737"/>
      <c r="Y22" s="240"/>
      <c r="Z22" s="240"/>
      <c r="AA22" s="240"/>
      <c r="AB22" s="240"/>
      <c r="AC22" s="240"/>
      <c r="AD22" s="240"/>
      <c r="AE22" s="239"/>
    </row>
    <row r="23" spans="2:31" ht="15.75" x14ac:dyDescent="0.25">
      <c r="B23" s="604" t="s">
        <v>661</v>
      </c>
      <c r="D23" s="625" t="s">
        <v>95</v>
      </c>
      <c r="M23" s="1481" t="s">
        <v>749</v>
      </c>
      <c r="N23" s="1483" t="s">
        <v>76</v>
      </c>
      <c r="O23" s="1484"/>
      <c r="P23" s="1484"/>
      <c r="Q23" s="1484"/>
      <c r="R23" s="1484"/>
      <c r="S23" s="1484"/>
      <c r="T23" s="1484"/>
      <c r="U23" s="1485"/>
      <c r="V23" s="240"/>
      <c r="W23" s="239"/>
      <c r="X23" s="737"/>
      <c r="Y23" s="240"/>
      <c r="Z23" s="240"/>
      <c r="AA23" s="240"/>
      <c r="AB23" s="240"/>
      <c r="AC23" s="240"/>
      <c r="AD23" s="240"/>
      <c r="AE23" s="239"/>
    </row>
    <row r="24" spans="2:31" ht="15.75" x14ac:dyDescent="0.25">
      <c r="B24" s="471" t="s">
        <v>123</v>
      </c>
      <c r="D24" s="544">
        <v>1</v>
      </c>
      <c r="M24" s="1482"/>
      <c r="N24" s="549" t="s">
        <v>271</v>
      </c>
      <c r="O24" s="550" t="s">
        <v>272</v>
      </c>
      <c r="P24" s="550" t="s">
        <v>273</v>
      </c>
      <c r="Q24" s="551" t="s">
        <v>274</v>
      </c>
      <c r="R24" s="551" t="s">
        <v>365</v>
      </c>
      <c r="S24" s="551" t="s">
        <v>62</v>
      </c>
      <c r="T24" s="551" t="s">
        <v>366</v>
      </c>
      <c r="U24" s="552" t="s">
        <v>367</v>
      </c>
      <c r="V24" s="498"/>
      <c r="W24" s="498"/>
      <c r="X24" s="228"/>
      <c r="Y24" s="498"/>
      <c r="Z24" s="498"/>
      <c r="AA24" s="498"/>
      <c r="AB24" s="498"/>
      <c r="AC24" s="498"/>
      <c r="AD24" s="498"/>
      <c r="AE24" s="498"/>
    </row>
    <row r="25" spans="2:31" ht="15.75" x14ac:dyDescent="0.25">
      <c r="B25" s="471" t="s">
        <v>124</v>
      </c>
      <c r="C25" s="1011" t="s">
        <v>1180</v>
      </c>
      <c r="M25" s="547" t="s">
        <v>751</v>
      </c>
      <c r="N25" s="553">
        <f>COUNTIFS('Member Data'!$G$6:$G$5331,"&gt;=65",'Member Data'!$G$6:$G$5331,"&lt;100",'Member Data'!$D$6:$D$5331,N24)</f>
        <v>0</v>
      </c>
      <c r="O25" s="554">
        <f>COUNTIFS('Member Data'!$G$6:$G$5331,"&gt;=65",'Member Data'!$G$6:$G$5331,"&lt;100",'Member Data'!$D$6:$D$5331,O24)</f>
        <v>0</v>
      </c>
      <c r="P25" s="554">
        <f>COUNTIFS('Member Data'!$G$6:$G$5331,"&gt;=65",'Member Data'!$G$6:$G$5331,"&lt;100",'Member Data'!$D$6:$D$5331,P24)</f>
        <v>0</v>
      </c>
      <c r="Q25" s="554">
        <f>COUNTIFS('Member Data'!$G$6:$G$5331,"&gt;=65",'Member Data'!$G$6:$G$5331,"&lt;100",'Member Data'!$D$6:$D$5331,Q24)</f>
        <v>0</v>
      </c>
      <c r="R25" s="554">
        <f>COUNTIFS('Member Data'!$G$6:$G$5331,"&gt;=65",'Member Data'!$G$6:$G$5331,"&lt;100",'Member Data'!$D$6:$D$5331,R24)</f>
        <v>0</v>
      </c>
      <c r="S25" s="554">
        <f>COUNTIFS('Member Data'!$G$6:$G$5331,"&gt;=65",'Member Data'!$G$6:$G$5331,"&lt;100",'Member Data'!$D$6:$D$5331,S24)</f>
        <v>0</v>
      </c>
      <c r="T25" s="554">
        <f>COUNTIFS('Member Data'!$G$6:$G$5331,"&gt;=65",'Member Data'!$G$6:$G$5331,"&lt;100",'Member Data'!$D$6:$D$5331,T24)</f>
        <v>0</v>
      </c>
      <c r="U25" s="555">
        <f>COUNTIFS('Member Data'!$G$6:$G$5331,"&gt;=65",'Member Data'!$G$6:$G$5331,"&lt;100",'Member Data'!$D$6:$D$5331,U24)</f>
        <v>0</v>
      </c>
      <c r="V25" s="498"/>
      <c r="W25" s="498"/>
      <c r="X25" s="228"/>
      <c r="Y25" s="498"/>
      <c r="Z25" s="498"/>
      <c r="AA25" s="498"/>
      <c r="AB25" s="498"/>
      <c r="AC25" s="498"/>
      <c r="AD25" s="498"/>
      <c r="AE25" s="498"/>
    </row>
    <row r="26" spans="2:31" ht="16.5" thickBot="1" x14ac:dyDescent="0.3">
      <c r="B26" s="468" t="s">
        <v>1166</v>
      </c>
      <c r="C26" s="629">
        <v>0.65</v>
      </c>
      <c r="M26" s="548" t="s">
        <v>750</v>
      </c>
      <c r="N26" s="556">
        <f>COUNTIFS('Member Data'!$E$6:$E$5331,"Child",'Member Data'!$G$6:$G$5331,"&gt;18",'Member Data'!$D$6:$D$5331,N24)</f>
        <v>2</v>
      </c>
      <c r="O26" s="557">
        <f>COUNTIFS('Member Data'!$E$6:$E$5331,"Child",'Member Data'!$G$6:$G$5331,"&gt;18",'Member Data'!$D$6:$D$5331,O24)</f>
        <v>0</v>
      </c>
      <c r="P26" s="557">
        <f>COUNTIFS('Member Data'!$E$6:$E$5331,"Child",'Member Data'!$G$6:$G$5331,"&gt;18",'Member Data'!$D$6:$D$5331,P24)</f>
        <v>0</v>
      </c>
      <c r="Q26" s="558">
        <f>COUNTIFS('Member Data'!$E$6:$E$5331,"Child",'Member Data'!$G$6:$G$5331,"&gt;18",'Member Data'!$D$6:$D$5331,Q24)</f>
        <v>0</v>
      </c>
      <c r="R26" s="558">
        <f>COUNTIFS('Member Data'!$E$6:$E$5331,"Child",'Member Data'!$G$6:$G$5331,"&gt;18",'Member Data'!$D$6:$D$5331,R24)</f>
        <v>0</v>
      </c>
      <c r="S26" s="558">
        <f>COUNTIFS('Member Data'!$E$6:$E$5331,"Child",'Member Data'!$G$6:$G$5331,"&gt;18",'Member Data'!$D$6:$D$5331,S24)</f>
        <v>0</v>
      </c>
      <c r="T26" s="558">
        <f>COUNTIFS('Member Data'!$E$6:$E$5331,"Child",'Member Data'!$G$6:$G$5331,"&gt;18",'Member Data'!$D$6:$D$5331,T24)</f>
        <v>0</v>
      </c>
      <c r="U26" s="559">
        <f>COUNTIFS('Member Data'!$E$6:$E$5331,"Child",'Member Data'!$G$6:$G$5331,"&gt;18",'Member Data'!$D$6:$D$5331,U24)</f>
        <v>0</v>
      </c>
      <c r="V26" s="498"/>
      <c r="W26" s="736" t="b">
        <f>SUM(N25:U26)=SUM('Member Data'!O38:V39)</f>
        <v>1</v>
      </c>
      <c r="X26" s="735">
        <f>SUM(N25:U26)-SUM('Member Data'!O38:V39)</f>
        <v>0</v>
      </c>
      <c r="Y26" s="498"/>
      <c r="Z26" s="498"/>
      <c r="AA26" s="498"/>
      <c r="AB26" s="498"/>
      <c r="AC26" s="498"/>
      <c r="AD26" s="498"/>
      <c r="AE26" s="498"/>
    </row>
    <row r="27" spans="2:31" ht="15.75" x14ac:dyDescent="0.25">
      <c r="B27" s="468" t="s">
        <v>712</v>
      </c>
      <c r="C27" s="629">
        <v>0.9</v>
      </c>
      <c r="X27" s="562"/>
    </row>
    <row r="28" spans="2:31" ht="15.75" x14ac:dyDescent="0.25">
      <c r="B28" s="468" t="s">
        <v>200</v>
      </c>
      <c r="C28" s="629">
        <v>1.085</v>
      </c>
    </row>
    <row r="29" spans="2:31" ht="15.75" x14ac:dyDescent="0.25">
      <c r="B29" s="468" t="s">
        <v>758</v>
      </c>
      <c r="C29" s="629">
        <v>1</v>
      </c>
    </row>
    <row r="30" spans="2:31" ht="15.75" x14ac:dyDescent="0.25">
      <c r="B30" s="468" t="s">
        <v>772</v>
      </c>
      <c r="C30" s="630">
        <f>1*30</f>
        <v>30</v>
      </c>
    </row>
    <row r="31" spans="2:31" ht="15.75" x14ac:dyDescent="0.25">
      <c r="B31" s="468" t="s">
        <v>773</v>
      </c>
      <c r="C31" s="630">
        <f>1*30</f>
        <v>30</v>
      </c>
    </row>
    <row r="32" spans="2:31" ht="15.75" x14ac:dyDescent="0.25">
      <c r="B32" s="468" t="s">
        <v>784</v>
      </c>
      <c r="C32" s="631">
        <f>n_lives</f>
        <v>11</v>
      </c>
    </row>
    <row r="33" spans="2:18" ht="15.75" x14ac:dyDescent="0.25">
      <c r="B33" s="468" t="s">
        <v>943</v>
      </c>
      <c r="C33" s="629">
        <v>1.8</v>
      </c>
      <c r="E33" s="1053"/>
    </row>
    <row r="34" spans="2:18" ht="15.75" x14ac:dyDescent="0.25">
      <c r="B34" s="468" t="s">
        <v>785</v>
      </c>
      <c r="C34" s="629">
        <v>0</v>
      </c>
      <c r="D34" s="632" t="s">
        <v>786</v>
      </c>
    </row>
    <row r="36" spans="2:18" x14ac:dyDescent="0.25">
      <c r="B36" s="467" t="s">
        <v>1044</v>
      </c>
    </row>
    <row r="38" spans="2:18" x14ac:dyDescent="0.25">
      <c r="B38" s="740" t="s">
        <v>279</v>
      </c>
      <c r="C38" s="740" t="s">
        <v>931</v>
      </c>
      <c r="D38" s="544" t="s">
        <v>33</v>
      </c>
      <c r="I38" s="740" t="s">
        <v>31</v>
      </c>
      <c r="J38" s="740" t="s">
        <v>939</v>
      </c>
      <c r="K38" s="740" t="s">
        <v>33</v>
      </c>
      <c r="L38" s="740" t="s">
        <v>940</v>
      </c>
      <c r="M38" s="544" t="s">
        <v>950</v>
      </c>
      <c r="N38" s="471" t="s">
        <v>951</v>
      </c>
      <c r="O38" s="471" t="s">
        <v>1010</v>
      </c>
      <c r="P38" s="471" t="s">
        <v>1049</v>
      </c>
      <c r="Q38" s="471" t="s">
        <v>1050</v>
      </c>
      <c r="R38" s="467" t="s">
        <v>1169</v>
      </c>
    </row>
    <row r="39" spans="2:18" x14ac:dyDescent="0.25">
      <c r="B39" s="739" t="str">
        <f>'Member Data'!N7&amp;" - "&amp;'Member Data'!O7</f>
        <v>0 - 10</v>
      </c>
      <c r="C39" s="544" t="s">
        <v>1095</v>
      </c>
      <c r="D39" s="544" t="s">
        <v>7</v>
      </c>
      <c r="I39" s="544" t="str">
        <f>'Benefit Selection - Group'!B3</f>
        <v>Category A</v>
      </c>
      <c r="J39" s="544" t="str">
        <f>RIGHT(I39,1)</f>
        <v>A</v>
      </c>
      <c r="K39" s="544" t="str">
        <f>IF(J39="","",'Benefit Selection - Group'!B14)</f>
        <v>RN3</v>
      </c>
      <c r="L39" s="544" t="str">
        <f>IF($J39="","",'Group Engine'!D6)</f>
        <v>Dubai</v>
      </c>
      <c r="M39" s="544" t="b">
        <f>IF(J39="",TRUE,IF('Benefit Selection - Group'!B15="",TRUE,FALSE))</f>
        <v>1</v>
      </c>
      <c r="N39" s="544" t="b">
        <f>IF(K39="",TRUE,IF('Benefit Selection - Group'!B37="",TRUE,FALSE))</f>
        <v>1</v>
      </c>
      <c r="O39" s="544" t="b">
        <f>IF(AND(K39="VN",L39="Abu Dhabi"),FALSE,TRUE)</f>
        <v>1</v>
      </c>
      <c r="P39" s="893" t="b">
        <f>IF(I39="","",IF($H$8=1,VLOOKUP(K39,$I$53:$K$60,3,0),VLOOKUP(K39,$I$53:$K$60,2,0)))=IF(I39="","",'Benefit Selection - Group'!$B$10)</f>
        <v>1</v>
      </c>
      <c r="Q39" s="893" t="str">
        <f>IFERROR(K39,"Check the Plan Name for the selected TPA")</f>
        <v>RN3</v>
      </c>
      <c r="R39" s="467" t="str">
        <f>IF(L39="Dubai",$M$64,"")</f>
        <v xml:space="preserve">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row>
    <row r="40" spans="2:18" x14ac:dyDescent="0.25">
      <c r="B40" s="739" t="str">
        <f>'Member Data'!N8&amp;" - "&amp;'Member Data'!O8</f>
        <v>11 - 17</v>
      </c>
      <c r="C40" s="544" t="s">
        <v>1096</v>
      </c>
      <c r="D40" s="544" t="s">
        <v>21</v>
      </c>
      <c r="I40" s="544" t="str">
        <f>'Benefit Selection - Group'!G3</f>
        <v/>
      </c>
      <c r="J40" s="544" t="str">
        <f t="shared" ref="J40:J46" si="3">RIGHT(I40,1)</f>
        <v/>
      </c>
      <c r="K40" s="544" t="str">
        <f>IF(J40="","",'Benefit Selection - Group'!G14)</f>
        <v/>
      </c>
      <c r="L40" s="544" t="str">
        <f>IF($J40="","",'Group Engine'!G6)</f>
        <v/>
      </c>
      <c r="M40" s="544" t="b">
        <f>IF(J40="",TRUE,IF('Benefit Selection - Group'!G15="",TRUE,FALSE))</f>
        <v>1</v>
      </c>
      <c r="N40" s="544" t="b">
        <f>IF(K40="",TRUE,IF('Benefit Selection - Group'!G37="",TRUE,FALSE))</f>
        <v>1</v>
      </c>
      <c r="O40" s="544" t="b">
        <f t="shared" ref="O40:O46" si="4">IF(AND(K40="VN",L40="Abu Dhabi"),FALSE,TRUE)</f>
        <v>1</v>
      </c>
      <c r="P40" s="893" t="b">
        <f>IF(I40="","",IF($H$8=1,VLOOKUP(K40,$I$53:$K$60,3,0),VLOOKUP(K40,$I$53:$K$60,2,0)))=IF(I40="","",'Benefit Selection - Group'!$G$10)</f>
        <v>1</v>
      </c>
      <c r="Q40" s="893" t="str">
        <f>IFERROR(K40,"Check the Plan Name for the selected TPA")</f>
        <v/>
      </c>
      <c r="R40" s="467" t="str">
        <f t="shared" ref="R40:R46" si="5">IF(L40="Dubai",$M$64,"")</f>
        <v/>
      </c>
    </row>
    <row r="41" spans="2:18" x14ac:dyDescent="0.25">
      <c r="B41" s="739" t="str">
        <f>'Member Data'!N9&amp;" - "&amp;'Member Data'!O9</f>
        <v>18 - 25</v>
      </c>
      <c r="C41" s="544" t="s">
        <v>833</v>
      </c>
      <c r="D41" s="895" t="s">
        <v>1045</v>
      </c>
      <c r="E41" s="761" t="s">
        <v>1046</v>
      </c>
      <c r="I41" s="544" t="str">
        <f>'Benefit Selection - Group'!L3</f>
        <v/>
      </c>
      <c r="J41" s="544" t="str">
        <f t="shared" si="3"/>
        <v/>
      </c>
      <c r="K41" s="544" t="str">
        <f>IF(J41="","",'Benefit Selection - Group'!L14)</f>
        <v/>
      </c>
      <c r="L41" s="544" t="str">
        <f>IF($J41="","",'Group Engine'!J6)</f>
        <v/>
      </c>
      <c r="M41" s="544" t="b">
        <f>IF(J41="",TRUE,IF('Benefit Selection - Group'!L15="",TRUE,FALSE))</f>
        <v>1</v>
      </c>
      <c r="N41" s="544" t="b">
        <f>IF(K41="",TRUE,IF('Benefit Selection - Group'!L37="",TRUE,FALSE))</f>
        <v>1</v>
      </c>
      <c r="O41" s="544" t="b">
        <f t="shared" si="4"/>
        <v>1</v>
      </c>
      <c r="P41" s="893" t="b">
        <f>IF(I41="","",IF($H$8=1,VLOOKUP(K41,$I$53:$K$60,3,0),VLOOKUP(K41,$I$53:$K$60,2,0)))=IF(I41="","",'Benefit Selection - Group'!$L$10)</f>
        <v>1</v>
      </c>
      <c r="Q41" s="893" t="str">
        <f t="shared" ref="Q41:Q46" si="6">IFERROR(K41,"Check the Plan Name for the selected TPA")</f>
        <v/>
      </c>
      <c r="R41" s="467" t="str">
        <f t="shared" si="5"/>
        <v/>
      </c>
    </row>
    <row r="42" spans="2:18" x14ac:dyDescent="0.25">
      <c r="B42" s="739" t="str">
        <f>'Member Data'!N10&amp;" - "&amp;'Member Data'!O10</f>
        <v>26 - 30</v>
      </c>
      <c r="C42" s="544" t="s">
        <v>934</v>
      </c>
      <c r="D42" s="544" t="s">
        <v>28</v>
      </c>
      <c r="I42" s="544" t="str">
        <f>'Benefit Selection - Group'!Q3</f>
        <v/>
      </c>
      <c r="J42" s="544" t="str">
        <f t="shared" si="3"/>
        <v/>
      </c>
      <c r="K42" s="544" t="str">
        <f>IF(J42="","",'Benefit Selection - Group'!Q14)</f>
        <v/>
      </c>
      <c r="L42" s="544" t="str">
        <f>IF($J42="","",'Group Engine'!M6)</f>
        <v/>
      </c>
      <c r="M42" s="544" t="b">
        <f>IF(J42="",TRUE,IF('Benefit Selection - Group'!Q15="",TRUE,FALSE))</f>
        <v>1</v>
      </c>
      <c r="N42" s="544" t="b">
        <f>IF(K42="",TRUE,IF('Benefit Selection - Group'!Q37="",TRUE,FALSE))</f>
        <v>1</v>
      </c>
      <c r="O42" s="544" t="b">
        <f t="shared" si="4"/>
        <v>1</v>
      </c>
      <c r="P42" s="893" t="b">
        <f>IF(I42="","",IF($H$8=1,VLOOKUP(K42,$I$53:$K$60,3,0),VLOOKUP(K42,$I$53:$K$60,2,0)))=IF(I42="","",'Benefit Selection - Group'!$Q$10)</f>
        <v>1</v>
      </c>
      <c r="Q42" s="893" t="str">
        <f t="shared" si="6"/>
        <v/>
      </c>
      <c r="R42" s="467" t="str">
        <f t="shared" si="5"/>
        <v/>
      </c>
    </row>
    <row r="43" spans="2:18" x14ac:dyDescent="0.25">
      <c r="B43" s="739" t="str">
        <f>'Member Data'!N11&amp;" - "&amp;'Member Data'!O11</f>
        <v>31 - 35</v>
      </c>
      <c r="C43" s="544" t="s">
        <v>935</v>
      </c>
      <c r="D43" s="544" t="s">
        <v>29</v>
      </c>
      <c r="I43" s="544" t="str">
        <f>'Benefit Selection - Group'!V3</f>
        <v/>
      </c>
      <c r="J43" s="544" t="str">
        <f t="shared" si="3"/>
        <v/>
      </c>
      <c r="K43" s="544" t="str">
        <f>IF(J43="","",'Benefit Selection - Group'!V14)</f>
        <v/>
      </c>
      <c r="L43" s="544" t="str">
        <f>IF($J43="","",'Group Engine'!P6)</f>
        <v/>
      </c>
      <c r="M43" s="544" t="b">
        <f>IF(J43="",TRUE,IF('Benefit Selection - Group'!V15="",TRUE,FALSE))</f>
        <v>1</v>
      </c>
      <c r="N43" s="544" t="b">
        <f>IF(K43="",TRUE,IF('Benefit Selection - Group'!V37="",TRUE,FALSE))</f>
        <v>1</v>
      </c>
      <c r="O43" s="544" t="b">
        <f t="shared" si="4"/>
        <v>1</v>
      </c>
      <c r="P43" s="893" t="b">
        <f>IF(I43="","",IF($H$8=1,VLOOKUP(K43,$I$53:$K$60,3,0),VLOOKUP(K43,$I$53:$K$60,2,0)))=IF(I43="","",'Benefit Selection - Group'!$V$10)</f>
        <v>1</v>
      </c>
      <c r="Q43" s="893" t="str">
        <f t="shared" si="6"/>
        <v/>
      </c>
      <c r="R43" s="467" t="str">
        <f t="shared" si="5"/>
        <v/>
      </c>
    </row>
    <row r="44" spans="2:18" x14ac:dyDescent="0.25">
      <c r="B44" s="739" t="str">
        <f>'Member Data'!N12&amp;" - "&amp;'Member Data'!O12</f>
        <v>36 - 40</v>
      </c>
      <c r="C44" s="544" t="str">
        <f>""</f>
        <v/>
      </c>
      <c r="D44" s="895" t="s">
        <v>1073</v>
      </c>
      <c r="E44" s="761" t="s">
        <v>1074</v>
      </c>
      <c r="I44" s="544" t="str">
        <f>'Benefit Selection - Group'!AA3</f>
        <v/>
      </c>
      <c r="J44" s="544" t="str">
        <f t="shared" si="3"/>
        <v/>
      </c>
      <c r="K44" s="544" t="str">
        <f>IF(J44="","",'Benefit Selection - Group'!AA14)</f>
        <v/>
      </c>
      <c r="L44" s="544" t="str">
        <f>IF($J44="","",'Group Engine'!S6)</f>
        <v/>
      </c>
      <c r="M44" s="544" t="b">
        <f>IF(J44="",TRUE,IF('Benefit Selection - Group'!AA15="",TRUE,FALSE))</f>
        <v>1</v>
      </c>
      <c r="N44" s="544" t="b">
        <f>IF(K44="",TRUE,IF('Benefit Selection - Group'!AA37="",TRUE,FALSE))</f>
        <v>1</v>
      </c>
      <c r="O44" s="544" t="b">
        <f t="shared" si="4"/>
        <v>1</v>
      </c>
      <c r="P44" s="893" t="b">
        <f>IF(I44="","",IF($H$8=1,VLOOKUP(K44,$I$53:$K$60,3,0),VLOOKUP(K44,$I$53:$K$60,2,0)))=IF(I44="","",'Benefit Selection - Group'!$AA$10)</f>
        <v>1</v>
      </c>
      <c r="Q44" s="893" t="str">
        <f t="shared" si="6"/>
        <v/>
      </c>
      <c r="R44" s="467" t="str">
        <f t="shared" si="5"/>
        <v/>
      </c>
    </row>
    <row r="45" spans="2:18" x14ac:dyDescent="0.25">
      <c r="B45" s="739" t="str">
        <f>'Member Data'!N13&amp;" - "&amp;'Member Data'!O13</f>
        <v>41 - 45</v>
      </c>
      <c r="C45" s="544" t="str">
        <f>""</f>
        <v/>
      </c>
      <c r="D45" s="544" t="s">
        <v>34</v>
      </c>
      <c r="I45" s="544" t="str">
        <f>'Benefit Selection - Group'!AF3</f>
        <v/>
      </c>
      <c r="J45" s="544" t="str">
        <f t="shared" si="3"/>
        <v/>
      </c>
      <c r="K45" s="544" t="str">
        <f>IF(J45="","",'Benefit Selection - Group'!AF14)</f>
        <v/>
      </c>
      <c r="L45" s="544" t="str">
        <f>IF($J45="","",'Group Engine'!V6)</f>
        <v/>
      </c>
      <c r="M45" s="544" t="b">
        <f>IF(J45="",TRUE,IF('Benefit Selection - Group'!AF15="",TRUE,FALSE))</f>
        <v>1</v>
      </c>
      <c r="N45" s="544" t="b">
        <f>IF(K45="",TRUE,IF('Benefit Selection - Group'!AF37="",TRUE,FALSE))</f>
        <v>1</v>
      </c>
      <c r="O45" s="544" t="b">
        <f t="shared" si="4"/>
        <v>1</v>
      </c>
      <c r="P45" s="893" t="b">
        <f>IF(I45="","",IF($H$8=1,VLOOKUP(K45,$I$53:$K$60,3,0),VLOOKUP(K45,$I$53:$K$60,2,0)))=IF(I45="","",'Benefit Selection - Group'!$AF$10)</f>
        <v>1</v>
      </c>
      <c r="Q45" s="893" t="str">
        <f t="shared" si="6"/>
        <v/>
      </c>
      <c r="R45" s="467" t="str">
        <f t="shared" si="5"/>
        <v/>
      </c>
    </row>
    <row r="46" spans="2:18" x14ac:dyDescent="0.25">
      <c r="B46" s="739" t="str">
        <f>'Member Data'!N14&amp;" - "&amp;'Member Data'!O14</f>
        <v>46 - 50</v>
      </c>
      <c r="C46" s="544" t="str">
        <f>""</f>
        <v/>
      </c>
      <c r="D46" s="544" t="s">
        <v>813</v>
      </c>
      <c r="I46" s="544" t="str">
        <f>'Benefit Selection - Group'!AK3</f>
        <v/>
      </c>
      <c r="J46" s="544" t="str">
        <f t="shared" si="3"/>
        <v/>
      </c>
      <c r="K46" s="544" t="str">
        <f>IF(J46="","",'Benefit Selection - Group'!AK14)</f>
        <v/>
      </c>
      <c r="L46" s="544" t="str">
        <f>IF($J46="","",'Group Engine'!Y6)</f>
        <v/>
      </c>
      <c r="M46" s="544" t="b">
        <f>IF(J46="",TRUE,IF('Benefit Selection - Group'!AK15="",TRUE,FALSE))</f>
        <v>1</v>
      </c>
      <c r="N46" s="544" t="b">
        <f>IF(K46="",TRUE,IF('Benefit Selection - Group'!AK37="",TRUE,FALSE))</f>
        <v>1</v>
      </c>
      <c r="O46" s="544" t="b">
        <f t="shared" si="4"/>
        <v>1</v>
      </c>
      <c r="P46" s="893" t="b">
        <f>IF(I46="","",IF($H$8=1,VLOOKUP(K46,$I$53:$K$60,3,0),VLOOKUP(K46,$I$53:$K$60,2,0)))=IF(I46="","",'Benefit Selection - Group'!$AK$10)</f>
        <v>1</v>
      </c>
      <c r="Q46" s="893" t="str">
        <f t="shared" si="6"/>
        <v/>
      </c>
      <c r="R46" s="467" t="str">
        <f t="shared" si="5"/>
        <v/>
      </c>
    </row>
    <row r="47" spans="2:18" x14ac:dyDescent="0.25">
      <c r="B47" s="739" t="str">
        <f>'Member Data'!N15&amp;" - "&amp;'Member Data'!O15</f>
        <v>51 - 55</v>
      </c>
      <c r="C47" s="544" t="str">
        <f>""</f>
        <v/>
      </c>
      <c r="M47" s="567" t="b">
        <f>M39=M40=M41=M42=M43=M44=M45=M46</f>
        <v>1</v>
      </c>
      <c r="N47" s="567" t="b">
        <f>N39=N40=N41=N42=N43=N44=N45=N46</f>
        <v>1</v>
      </c>
      <c r="O47" s="567" t="b">
        <f>O39=O40=O41=O42=O43=O44=O45=O46</f>
        <v>1</v>
      </c>
      <c r="P47" s="910" t="b">
        <f>P39=P40=P41=P42=P43=P44=P45=P46</f>
        <v>1</v>
      </c>
      <c r="Q47" s="910" t="str">
        <f>'Referral to RGA'!B6</f>
        <v>Ok</v>
      </c>
    </row>
    <row r="48" spans="2:18" x14ac:dyDescent="0.25">
      <c r="B48" s="739" t="str">
        <f>'Member Data'!N16&amp;" - "&amp;'Member Data'!O16</f>
        <v>56 - 59</v>
      </c>
      <c r="C48" s="544" t="str">
        <f>""</f>
        <v/>
      </c>
    </row>
    <row r="49" spans="2:13" x14ac:dyDescent="0.25">
      <c r="B49" s="739" t="str">
        <f>'Member Data'!N17&amp;" - "&amp;'Member Data'!O17</f>
        <v>60 - 64</v>
      </c>
      <c r="C49" s="544" t="str">
        <f>""</f>
        <v/>
      </c>
    </row>
    <row r="50" spans="2:13" x14ac:dyDescent="0.25">
      <c r="B50" s="739" t="str">
        <f>'Member Data'!N18&amp;" - "&amp;'Member Data'!O18</f>
        <v>65 - 99</v>
      </c>
      <c r="C50" s="544" t="str">
        <f>""</f>
        <v/>
      </c>
    </row>
    <row r="52" spans="2:13" x14ac:dyDescent="0.25">
      <c r="I52" s="904" t="s">
        <v>1030</v>
      </c>
      <c r="J52" s="740" t="s">
        <v>1028</v>
      </c>
      <c r="K52" s="740" t="s">
        <v>783</v>
      </c>
      <c r="L52" s="904" t="s">
        <v>1042</v>
      </c>
      <c r="M52" s="761" t="s">
        <v>1069</v>
      </c>
    </row>
    <row r="53" spans="2:13" x14ac:dyDescent="0.25">
      <c r="I53" s="902" t="s">
        <v>7</v>
      </c>
      <c r="J53" s="893" t="s">
        <v>1036</v>
      </c>
      <c r="K53" s="544" t="s">
        <v>1031</v>
      </c>
      <c r="L53" s="900">
        <v>1</v>
      </c>
      <c r="M53" s="467" t="s">
        <v>1158</v>
      </c>
    </row>
    <row r="54" spans="2:13" x14ac:dyDescent="0.25">
      <c r="I54" s="902" t="s">
        <v>21</v>
      </c>
      <c r="J54" s="893" t="s">
        <v>1037</v>
      </c>
      <c r="K54" s="544" t="s">
        <v>1032</v>
      </c>
      <c r="L54" s="900">
        <v>1</v>
      </c>
      <c r="M54" s="467" t="s">
        <v>1158</v>
      </c>
    </row>
    <row r="55" spans="2:13" x14ac:dyDescent="0.25">
      <c r="I55" s="699" t="s">
        <v>1045</v>
      </c>
      <c r="J55" s="905" t="s">
        <v>1047</v>
      </c>
      <c r="K55" s="544" t="s">
        <v>1041</v>
      </c>
      <c r="L55" s="906">
        <v>1.1000000000000001</v>
      </c>
      <c r="M55" s="467" t="s">
        <v>1158</v>
      </c>
    </row>
    <row r="56" spans="2:13" x14ac:dyDescent="0.25">
      <c r="D56" s="467"/>
      <c r="I56" s="902" t="s">
        <v>28</v>
      </c>
      <c r="J56" s="893" t="s">
        <v>1038</v>
      </c>
      <c r="K56" s="544" t="s">
        <v>1033</v>
      </c>
      <c r="L56" s="900">
        <v>1</v>
      </c>
      <c r="M56" s="467" t="s">
        <v>1158</v>
      </c>
    </row>
    <row r="57" spans="2:13" x14ac:dyDescent="0.25">
      <c r="D57" s="467"/>
      <c r="I57" s="902" t="s">
        <v>29</v>
      </c>
      <c r="J57" s="893" t="s">
        <v>1039</v>
      </c>
      <c r="K57" s="544" t="s">
        <v>1034</v>
      </c>
      <c r="L57" s="900">
        <v>1</v>
      </c>
      <c r="M57" s="467" t="s">
        <v>1158</v>
      </c>
    </row>
    <row r="58" spans="2:13" x14ac:dyDescent="0.25">
      <c r="D58" s="467"/>
      <c r="I58" s="699" t="s">
        <v>1073</v>
      </c>
      <c r="J58" s="905" t="s">
        <v>1071</v>
      </c>
      <c r="K58" s="544" t="s">
        <v>1072</v>
      </c>
      <c r="L58" s="943">
        <v>0.98</v>
      </c>
      <c r="M58" s="467" t="s">
        <v>1158</v>
      </c>
    </row>
    <row r="59" spans="2:13" x14ac:dyDescent="0.25">
      <c r="D59" s="467"/>
      <c r="I59" s="902" t="s">
        <v>34</v>
      </c>
      <c r="J59" s="893" t="s">
        <v>1040</v>
      </c>
      <c r="K59" s="544" t="s">
        <v>1035</v>
      </c>
      <c r="L59" s="900">
        <v>1</v>
      </c>
      <c r="M59" s="467" t="s">
        <v>1158</v>
      </c>
    </row>
    <row r="60" spans="2:13" x14ac:dyDescent="0.25">
      <c r="D60" s="467"/>
      <c r="I60" s="902" t="s">
        <v>813</v>
      </c>
      <c r="J60" s="893" t="s">
        <v>794</v>
      </c>
      <c r="K60" s="544" t="s">
        <v>1029</v>
      </c>
      <c r="L60" s="900">
        <v>1</v>
      </c>
      <c r="M60" s="761" t="s">
        <v>1159</v>
      </c>
    </row>
    <row r="61" spans="2:13" x14ac:dyDescent="0.25">
      <c r="D61" s="467"/>
    </row>
    <row r="62" spans="2:13" x14ac:dyDescent="0.25">
      <c r="D62" s="467"/>
    </row>
    <row r="63" spans="2:13" x14ac:dyDescent="0.25">
      <c r="D63" s="467"/>
    </row>
    <row r="64" spans="2:13" x14ac:dyDescent="0.25">
      <c r="D64" s="467"/>
      <c r="I64" s="471" t="str">
        <f>IF($H$8=2,J53,K53)</f>
        <v>Comprehensive Network</v>
      </c>
      <c r="J64" s="471" t="s">
        <v>7</v>
      </c>
      <c r="L64" s="467" t="s">
        <v>1171</v>
      </c>
      <c r="M64" s="467" t="s">
        <v>1170</v>
      </c>
    </row>
    <row r="65" spans="4:10" x14ac:dyDescent="0.25">
      <c r="D65" s="467"/>
      <c r="I65" s="471" t="str">
        <f>IF($H$8=2,J54,K54)</f>
        <v>General Network</v>
      </c>
      <c r="J65" s="471" t="s">
        <v>21</v>
      </c>
    </row>
    <row r="66" spans="4:10" x14ac:dyDescent="0.25">
      <c r="D66" s="467"/>
      <c r="I66" s="471" t="str">
        <f>IF($H$8=2,J56,K56)</f>
        <v>Restricted Network</v>
      </c>
      <c r="J66" s="471" t="s">
        <v>28</v>
      </c>
    </row>
    <row r="67" spans="4:10" x14ac:dyDescent="0.25">
      <c r="D67" s="467"/>
      <c r="I67" s="471" t="str">
        <f>IF($H$8=2,J57,K57)</f>
        <v>Super-Restricted Network</v>
      </c>
      <c r="J67" s="471" t="s">
        <v>29</v>
      </c>
    </row>
    <row r="68" spans="4:10" x14ac:dyDescent="0.25">
      <c r="D68" s="467"/>
      <c r="I68" s="471" t="str">
        <f t="shared" ref="I68:I69" si="7">IF($H$8=2,J59,K59)</f>
        <v>Workers Network</v>
      </c>
      <c r="J68" s="471" t="s">
        <v>34</v>
      </c>
    </row>
    <row r="69" spans="4:10" x14ac:dyDescent="0.25">
      <c r="D69" s="467"/>
      <c r="I69" s="471" t="str">
        <f t="shared" si="7"/>
        <v>Value Network</v>
      </c>
      <c r="J69" s="471" t="s">
        <v>813</v>
      </c>
    </row>
    <row r="70" spans="4:10" x14ac:dyDescent="0.25">
      <c r="D70" s="467"/>
      <c r="I70" s="909" t="str">
        <f>IF($H$8=2,"",K55)</f>
        <v/>
      </c>
      <c r="J70" s="909" t="s">
        <v>1045</v>
      </c>
    </row>
    <row r="71" spans="4:10" x14ac:dyDescent="0.25">
      <c r="D71" s="467"/>
      <c r="I71" s="909" t="str">
        <f>IF($H$8=2,"",K58)</f>
        <v/>
      </c>
      <c r="J71" s="909" t="s">
        <v>1073</v>
      </c>
    </row>
    <row r="72" spans="4:10" x14ac:dyDescent="0.25">
      <c r="D72" s="467"/>
    </row>
    <row r="73" spans="4:10" x14ac:dyDescent="0.25">
      <c r="D73" s="467"/>
    </row>
    <row r="74" spans="4:10" x14ac:dyDescent="0.25">
      <c r="D74" s="467"/>
    </row>
    <row r="75" spans="4:10" x14ac:dyDescent="0.25">
      <c r="D75" s="467"/>
    </row>
    <row r="76" spans="4:10" x14ac:dyDescent="0.25">
      <c r="D76" s="467"/>
    </row>
    <row r="77" spans="4:10" x14ac:dyDescent="0.25">
      <c r="D77" s="467"/>
    </row>
    <row r="78" spans="4:10" x14ac:dyDescent="0.25">
      <c r="D78" s="467"/>
    </row>
    <row r="79" spans="4:10" x14ac:dyDescent="0.25">
      <c r="D79" s="467"/>
    </row>
    <row r="80" spans="4:10" x14ac:dyDescent="0.25">
      <c r="D80" s="467"/>
    </row>
    <row r="81" spans="4:11" x14ac:dyDescent="0.25">
      <c r="D81" s="467"/>
    </row>
    <row r="82" spans="4:11" x14ac:dyDescent="0.25">
      <c r="D82" s="467"/>
    </row>
    <row r="83" spans="4:11" x14ac:dyDescent="0.25">
      <c r="D83" s="467"/>
    </row>
    <row r="84" spans="4:11" x14ac:dyDescent="0.25">
      <c r="D84" s="467"/>
    </row>
    <row r="85" spans="4:11" x14ac:dyDescent="0.25">
      <c r="D85" s="467"/>
    </row>
    <row r="86" spans="4:11" x14ac:dyDescent="0.25">
      <c r="D86" s="467"/>
    </row>
    <row r="87" spans="4:11" x14ac:dyDescent="0.25">
      <c r="D87" s="467"/>
    </row>
    <row r="88" spans="4:11" x14ac:dyDescent="0.25">
      <c r="D88" s="467"/>
    </row>
    <row r="89" spans="4:11" x14ac:dyDescent="0.25">
      <c r="D89" s="467"/>
    </row>
    <row r="90" spans="4:11" x14ac:dyDescent="0.25">
      <c r="D90" s="467"/>
    </row>
    <row r="91" spans="4:11" x14ac:dyDescent="0.25">
      <c r="D91" s="467"/>
    </row>
    <row r="92" spans="4:11" x14ac:dyDescent="0.25">
      <c r="D92" s="467"/>
    </row>
    <row r="93" spans="4:11" x14ac:dyDescent="0.25">
      <c r="D93" s="467"/>
    </row>
    <row r="94" spans="4:11" x14ac:dyDescent="0.25">
      <c r="D94" s="467"/>
    </row>
    <row r="95" spans="4:11" x14ac:dyDescent="0.25">
      <c r="D95" s="467"/>
    </row>
    <row r="96" spans="4:11" x14ac:dyDescent="0.25">
      <c r="D96" s="467"/>
      <c r="I96" s="761" t="s">
        <v>1391</v>
      </c>
      <c r="K96" s="1265">
        <v>45658</v>
      </c>
    </row>
    <row r="97" spans="4:19" ht="60.75" customHeight="1" x14ac:dyDescent="0.25">
      <c r="D97" s="467"/>
      <c r="H97" s="467" t="s">
        <v>1392</v>
      </c>
      <c r="I97" s="450" t="s">
        <v>1346</v>
      </c>
      <c r="J97" s="580" t="str">
        <f>IF(K97=TRUE,"Ok","Please check the minimum limit under this benefit for DHA Complaint Policy")</f>
        <v>Ok</v>
      </c>
      <c r="K97" s="1009" t="b">
        <f>IF('General Information'!$D$14&lt;'General Basis'!$K$96,TRUE,IF(AND(L97="NA",M97="NA",N97="NA",O97="NA",P97="NA",Q97="NA",R97="NA",S97="NA"),TRUE,FALSE))</f>
        <v>1</v>
      </c>
      <c r="L97" s="1167" t="str">
        <f>'Benefit Selection - Group'!D43</f>
        <v>NA</v>
      </c>
      <c r="M97" s="1167" t="str">
        <f>'Benefit Selection - Group'!I43</f>
        <v>NA</v>
      </c>
      <c r="N97" s="1167" t="str">
        <f>'Benefit Selection - Group'!N43</f>
        <v>NA</v>
      </c>
      <c r="O97" s="1167" t="str">
        <f>'Benefit Selection - Group'!S43</f>
        <v>NA</v>
      </c>
      <c r="P97" s="1167" t="str">
        <f>'Benefit Selection - Group'!X43</f>
        <v>NA</v>
      </c>
      <c r="Q97" s="1167" t="str">
        <f>'Benefit Selection - Group'!AC43</f>
        <v>NA</v>
      </c>
      <c r="R97" s="1167" t="str">
        <f>'Benefit Selection - Group'!AH43</f>
        <v>NA</v>
      </c>
      <c r="S97" s="1167" t="str">
        <f>'Benefit Selection - Group'!AM43</f>
        <v>NA</v>
      </c>
    </row>
    <row r="98" spans="4:19" ht="60.75" customHeight="1" x14ac:dyDescent="0.25">
      <c r="D98" s="467"/>
      <c r="H98" s="467" t="s">
        <v>1392</v>
      </c>
      <c r="I98" s="450" t="s">
        <v>1347</v>
      </c>
      <c r="J98" s="580" t="str">
        <f>IF(K98=TRUE,"Ok","Please check the minimum limit under this benefit for DHA Complaint Policy")</f>
        <v>Ok</v>
      </c>
      <c r="K98" s="1009" t="b">
        <f>IF('General Information'!$D$14&lt;'General Basis'!$K$96,TRUE,IF(AND(L98="NA",M98="NA",N98="NA",O98="NA",P98="NA",Q98="NA",R98="NA",S98="NA"),TRUE,FALSE))</f>
        <v>1</v>
      </c>
      <c r="L98" s="1167" t="str">
        <f>'Benefit Selection - Group'!D53</f>
        <v>NA</v>
      </c>
      <c r="M98" s="1167" t="str">
        <f>'Benefit Selection - Group'!I53</f>
        <v>NA</v>
      </c>
      <c r="N98" s="1167" t="str">
        <f>'Benefit Selection - Group'!N53</f>
        <v>NA</v>
      </c>
      <c r="O98" s="1167" t="str">
        <f>'Benefit Selection - Group'!S53</f>
        <v>NA</v>
      </c>
      <c r="P98" s="1167" t="str">
        <f>'Benefit Selection - Group'!X53</f>
        <v>NA</v>
      </c>
      <c r="Q98" s="1167" t="str">
        <f>'Benefit Selection - Group'!AC53</f>
        <v>NA</v>
      </c>
      <c r="R98" s="1167" t="str">
        <f>'Benefit Selection - Group'!AH53</f>
        <v>NA</v>
      </c>
      <c r="S98" s="1167" t="str">
        <f>'Benefit Selection - Group'!AM53</f>
        <v>NA</v>
      </c>
    </row>
    <row r="99" spans="4:19" ht="60.75" customHeight="1" x14ac:dyDescent="0.25">
      <c r="D99" s="467"/>
      <c r="H99" s="467" t="s">
        <v>1392</v>
      </c>
      <c r="I99" s="450" t="s">
        <v>1348</v>
      </c>
      <c r="J99" s="580" t="str">
        <f>IF(K99=TRUE,"Ok","Please check the minimum limit under this benefit for DHA Complaint Policy")</f>
        <v>Ok</v>
      </c>
      <c r="K99" s="1009" t="b">
        <f>IF('General Information'!$D$14&lt;'General Basis'!$K$96,TRUE,IF(AND(L99="NA",M99="NA",N99="NA",O99="NA",P99="NA",Q99="NA",R99="NA",S99="NA"),TRUE,FALSE))</f>
        <v>1</v>
      </c>
      <c r="L99" s="1167" t="str">
        <f>'Benefit Selection - Group'!D61</f>
        <v>NA</v>
      </c>
      <c r="M99" s="1167" t="str">
        <f>'Benefit Selection - Group'!I61</f>
        <v>NA</v>
      </c>
      <c r="N99" s="1167" t="str">
        <f>'Benefit Selection - Group'!N61</f>
        <v>NA</v>
      </c>
      <c r="O99" s="1167" t="str">
        <f>'Benefit Selection - Group'!S61</f>
        <v>NA</v>
      </c>
      <c r="P99" s="1167" t="str">
        <f>'Benefit Selection - Group'!X61</f>
        <v>NA</v>
      </c>
      <c r="Q99" s="1167" t="str">
        <f>'Benefit Selection - Group'!AC61</f>
        <v>NA</v>
      </c>
      <c r="R99" s="1167" t="str">
        <f>'Benefit Selection - Group'!AH61</f>
        <v>NA</v>
      </c>
      <c r="S99" s="1167" t="str">
        <f>'Benefit Selection - Group'!AM61</f>
        <v>NA</v>
      </c>
    </row>
    <row r="101" spans="4:19" ht="30" x14ac:dyDescent="0.25">
      <c r="I101" s="721" t="s">
        <v>1175</v>
      </c>
      <c r="J101" s="580" t="str">
        <f ca="1">IF(K101=TRUE,"Ok","There is an Error in the Benefit Selection")</f>
        <v>Ok</v>
      </c>
      <c r="K101" s="1009" t="b">
        <f ca="1">IF(AND(L101="Ok",M101="Ok",N101="Ok",O101="Ok",P101="Ok",Q101="Ok",R101="Ok",S101="Ok"),TRUE,FALSE)</f>
        <v>1</v>
      </c>
      <c r="L101" s="581" t="str">
        <f ca="1">IF('Benefit Selection - Group'!B88=Refer,Refer,"Ok")</f>
        <v>Ok</v>
      </c>
      <c r="M101" s="581" t="str">
        <f ca="1">IF('Benefit Selection - Group'!G88=Refer,Refer,"Ok")</f>
        <v>Ok</v>
      </c>
      <c r="N101" s="581" t="str">
        <f ca="1">IF('Benefit Selection - Group'!L88=Refer,Refer,"Ok")</f>
        <v>Ok</v>
      </c>
      <c r="O101" s="581" t="str">
        <f ca="1">IF('Benefit Selection - Group'!Q88=Refer,Refer,"Ok")</f>
        <v>Ok</v>
      </c>
      <c r="P101" s="581" t="str">
        <f ca="1">IF('Benefit Selection - Group'!V88=Refer,Refer,"Ok")</f>
        <v>Ok</v>
      </c>
      <c r="Q101" s="581" t="str">
        <f ca="1">IF('Benefit Selection - Group'!AA88=Refer,Refer,"Ok")</f>
        <v>Ok</v>
      </c>
      <c r="R101" s="581" t="str">
        <f ca="1">IF('Benefit Selection - Group'!AF88=Refer,Refer,"Ok")</f>
        <v>Ok</v>
      </c>
      <c r="S101" s="581" t="str">
        <f ca="1">IF('Benefit Selection - Group'!AK88=Refer,Refer,"Ok")</f>
        <v>Ok</v>
      </c>
    </row>
    <row r="102" spans="4:19" ht="30" x14ac:dyDescent="0.25">
      <c r="I102" s="721" t="s">
        <v>1176</v>
      </c>
      <c r="J102" s="580" t="str">
        <f t="shared" ref="J102:J105" ca="1" si="8">IF(K102=TRUE,"Ok","There is an Error in the Benefit Selection")</f>
        <v>Ok</v>
      </c>
      <c r="K102" s="1009" t="b">
        <f t="shared" ref="K102:K105" ca="1" si="9">IF(AND(L102="Ok",M102="Ok",N102="Ok",O102="Ok",P102="Ok",Q102="Ok",R102="Ok",S102="Ok"),TRUE,FALSE)</f>
        <v>1</v>
      </c>
      <c r="L102" s="581" t="str">
        <f ca="1">IF('Benefit Selection - Group'!B89=Refer,Refer,"Ok")</f>
        <v>Ok</v>
      </c>
      <c r="M102" s="581" t="str">
        <f ca="1">IF('Benefit Selection - Group'!G89=Refer,Refer,"Ok")</f>
        <v>Ok</v>
      </c>
      <c r="N102" s="581" t="str">
        <f ca="1">IF('Benefit Selection - Group'!L89=Refer,Refer,"Ok")</f>
        <v>Ok</v>
      </c>
      <c r="O102" s="581" t="str">
        <f ca="1">IF('Benefit Selection - Group'!Q89=Refer,Refer,"Ok")</f>
        <v>Ok</v>
      </c>
      <c r="P102" s="581" t="str">
        <f ca="1">IF('Benefit Selection - Group'!V89=Refer,Refer,"Ok")</f>
        <v>Ok</v>
      </c>
      <c r="Q102" s="581" t="str">
        <f ca="1">IF('Benefit Selection - Group'!AA89=Refer,Refer,"Ok")</f>
        <v>Ok</v>
      </c>
      <c r="R102" s="581" t="str">
        <f ca="1">IF('Benefit Selection - Group'!AF89=Refer,Refer,"Ok")</f>
        <v>Ok</v>
      </c>
      <c r="S102" s="581" t="str">
        <f ca="1">IF('Benefit Selection - Group'!AK89=Refer,Refer,"Ok")</f>
        <v>Ok</v>
      </c>
    </row>
    <row r="103" spans="4:19" ht="30" x14ac:dyDescent="0.25">
      <c r="I103" s="721" t="s">
        <v>1177</v>
      </c>
      <c r="J103" s="580" t="str">
        <f t="shared" ca="1" si="8"/>
        <v>Ok</v>
      </c>
      <c r="K103" s="1009" t="b">
        <f t="shared" ca="1" si="9"/>
        <v>1</v>
      </c>
      <c r="L103" s="581" t="str">
        <f ca="1">IF('Benefit Selection - Group'!B90=Refer,Refer,"Ok")</f>
        <v>Ok</v>
      </c>
      <c r="M103" s="581" t="str">
        <f ca="1">IF('Benefit Selection - Group'!G90=Refer,Refer,"Ok")</f>
        <v>Ok</v>
      </c>
      <c r="N103" s="581" t="str">
        <f ca="1">IF('Benefit Selection - Group'!L90=Refer,Refer,"Ok")</f>
        <v>Ok</v>
      </c>
      <c r="O103" s="581" t="str">
        <f ca="1">IF('Benefit Selection - Group'!Q90=Refer,Refer,"Ok")</f>
        <v>Ok</v>
      </c>
      <c r="P103" s="581" t="str">
        <f ca="1">IF('Benefit Selection - Group'!V90=Refer,Refer,"Ok")</f>
        <v>Ok</v>
      </c>
      <c r="Q103" s="581" t="str">
        <f ca="1">IF('Benefit Selection - Group'!AA90=Refer,Refer,"Ok")</f>
        <v>Ok</v>
      </c>
      <c r="R103" s="581" t="str">
        <f ca="1">IF('Benefit Selection - Group'!AF90=Refer,Refer,"Ok")</f>
        <v>Ok</v>
      </c>
      <c r="S103" s="581" t="str">
        <f ca="1">IF('Benefit Selection - Group'!AK90=Refer,Refer,"Ok")</f>
        <v>Ok</v>
      </c>
    </row>
    <row r="104" spans="4:19" ht="30" x14ac:dyDescent="0.25">
      <c r="I104" s="721" t="s">
        <v>1178</v>
      </c>
      <c r="J104" s="580" t="str">
        <f t="shared" ca="1" si="8"/>
        <v>Ok</v>
      </c>
      <c r="K104" s="1009" t="b">
        <f t="shared" ca="1" si="9"/>
        <v>1</v>
      </c>
      <c r="L104" s="581" t="str">
        <f ca="1">IF('Benefit Selection - Group'!B91=Refer,Refer,"Ok")</f>
        <v>Ok</v>
      </c>
      <c r="M104" s="581" t="str">
        <f ca="1">IF('Benefit Selection - Group'!G91=Refer,Refer,"Ok")</f>
        <v>Ok</v>
      </c>
      <c r="N104" s="581" t="str">
        <f ca="1">IF('Benefit Selection - Group'!L91=Refer,Refer,"Ok")</f>
        <v>Ok</v>
      </c>
      <c r="O104" s="581" t="str">
        <f ca="1">IF('Benefit Selection - Group'!Q91=Refer,Refer,"Ok")</f>
        <v>Ok</v>
      </c>
      <c r="P104" s="581" t="str">
        <f ca="1">IF('Benefit Selection - Group'!V91=Refer,Refer,"Ok")</f>
        <v>Ok</v>
      </c>
      <c r="Q104" s="581" t="str">
        <f ca="1">IF('Benefit Selection - Group'!AA91=Refer,Refer,"Ok")</f>
        <v>Ok</v>
      </c>
      <c r="R104" s="581" t="str">
        <f ca="1">IF('Benefit Selection - Group'!AF91=Refer,Refer,"Ok")</f>
        <v>Ok</v>
      </c>
      <c r="S104" s="581" t="str">
        <f ca="1">IF('Benefit Selection - Group'!AK91=Refer,Refer,"Ok")</f>
        <v>Ok</v>
      </c>
    </row>
    <row r="105" spans="4:19" ht="30" x14ac:dyDescent="0.25">
      <c r="I105" s="721" t="s">
        <v>1179</v>
      </c>
      <c r="J105" s="580" t="str">
        <f t="shared" si="8"/>
        <v>Ok</v>
      </c>
      <c r="K105" s="1009" t="b">
        <f t="shared" si="9"/>
        <v>1</v>
      </c>
      <c r="L105" s="581" t="str">
        <f>IF('Benefit Selection - Group'!B$3&lt;&gt;"",IF(OR('Benefit Selection - Group'!B39='Group Engine'!C107,'Benefit Selection - Group'!B39='Group Engine'!C108),"Ok","Co-Payment for Maternity to reselected"),"Ok")</f>
        <v>Ok</v>
      </c>
      <c r="M105" s="581" t="str">
        <f>IF('Benefit Selection - Group'!G$3&lt;&gt;"",IF(OR('Benefit Selection - Group'!G39='Group Engine'!F107,'Benefit Selection - Group'!G39='Group Engine'!F108),"Ok","Co-Payment for Maternity to reselected"),"Ok")</f>
        <v>Ok</v>
      </c>
      <c r="N105" s="581" t="str">
        <f>IF('Benefit Selection - Group'!L$3&lt;&gt;"",IF(OR('Benefit Selection - Group'!L39='Group Engine'!I107,'Benefit Selection - Group'!L39='Group Engine'!I108),"Ok","Co-Payment for Maternity to reselected"),"Ok")</f>
        <v>Ok</v>
      </c>
      <c r="O105" s="581" t="str">
        <f>IF('Benefit Selection - Group'!Q$3&lt;&gt;"",IF(OR('Benefit Selection - Group'!Q39='Group Engine'!L107,'Benefit Selection - Group'!Q39='Group Engine'!L108),"Ok","Co-Payment for Maternity to reselected"),"Ok")</f>
        <v>Ok</v>
      </c>
      <c r="P105" s="581" t="str">
        <f>IF('Benefit Selection - Group'!V$3&lt;&gt;"",IF(OR('Benefit Selection - Group'!V39='Group Engine'!O107,'Benefit Selection - Group'!V39='Group Engine'!O108),"Ok","Co-Payment for Maternity to reselected"),"Ok")</f>
        <v>Ok</v>
      </c>
      <c r="Q105" s="581" t="str">
        <f>IF('Benefit Selection - Group'!AA$3&lt;&gt;"",IF(OR('Benefit Selection - Group'!AA39='Group Engine'!R107,'Benefit Selection - Group'!AA39='Group Engine'!R108),"Ok","Co-Payment for Maternity to reselected"),"Ok")</f>
        <v>Ok</v>
      </c>
      <c r="R105" s="581" t="str">
        <f>IF('Benefit Selection - Group'!AF$3&lt;&gt;"",IF(OR('Benefit Selection - Group'!AF39='Group Engine'!U107,'Benefit Selection - Group'!AF39='Group Engine'!U108),"Ok","Co-Payment for Maternity to reselected"),"Ok")</f>
        <v>Ok</v>
      </c>
      <c r="S105" s="581" t="str">
        <f>IF('Benefit Selection - Group'!AK$3&lt;&gt;"",IF(OR('Benefit Selection - Group'!AK39='Group Engine'!X107,'Benefit Selection - Group'!AK39='Group Engine'!X108),"Ok","Co-Payment for Maternity to reselected"),"Ok")</f>
        <v>Ok</v>
      </c>
    </row>
    <row r="106" spans="4:19" x14ac:dyDescent="0.25">
      <c r="J106" s="1010" t="str">
        <f ca="1">IF(AND(J101="Ok",J102="Ok",J103="Ok",J104="Ok",J105="Ok"),"",Refer)</f>
        <v/>
      </c>
    </row>
  </sheetData>
  <sheetProtection algorithmName="SHA-512" hashValue="AAuzXC6Q6j+dz5y1JMsIuf84CqMwclytg5kYWDFzr8whtz0SPi48bCnyAlSu4QDU/LI810IUNySBBvqyASzhxw==" saltValue="QkoNiqYYWuGw7bmHdElHyw==" spinCount="100000" sheet="1" objects="1" scenarios="1"/>
  <mergeCells count="16">
    <mergeCell ref="AD4:AE4"/>
    <mergeCell ref="X4:Y4"/>
    <mergeCell ref="Z4:AA4"/>
    <mergeCell ref="AB4:AC4"/>
    <mergeCell ref="N4:O4"/>
    <mergeCell ref="P4:Q4"/>
    <mergeCell ref="R4:S4"/>
    <mergeCell ref="T4:U4"/>
    <mergeCell ref="V4:W4"/>
    <mergeCell ref="M23:M24"/>
    <mergeCell ref="N23:U23"/>
    <mergeCell ref="M4:M5"/>
    <mergeCell ref="M13:M14"/>
    <mergeCell ref="N13:U13"/>
    <mergeCell ref="M18:M19"/>
    <mergeCell ref="N18:U18"/>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E526"/>
  <sheetViews>
    <sheetView topLeftCell="A26" zoomScale="85" zoomScaleNormal="85" workbookViewId="0">
      <selection activeCell="AC57" sqref="AC57"/>
    </sheetView>
  </sheetViews>
  <sheetFormatPr defaultColWidth="9.140625" defaultRowHeight="15" x14ac:dyDescent="0.25"/>
  <cols>
    <col min="1" max="1" width="32.42578125" style="562" customWidth="1"/>
    <col min="2" max="2" width="31.42578125" style="467" bestFit="1" customWidth="1"/>
    <col min="3" max="3" width="25.28515625" style="467" bestFit="1" customWidth="1"/>
    <col min="4" max="4" width="26.42578125" style="467" bestFit="1" customWidth="1"/>
    <col min="5" max="5" width="28" style="467" bestFit="1" customWidth="1"/>
    <col min="6" max="6" width="25.28515625" style="467" bestFit="1" customWidth="1"/>
    <col min="7" max="7" width="34.7109375" style="467" bestFit="1" customWidth="1"/>
    <col min="8" max="8" width="23.85546875" style="467" bestFit="1" customWidth="1"/>
    <col min="9" max="9" width="23.28515625" style="467" bestFit="1" customWidth="1"/>
    <col min="10" max="10" width="24.85546875" style="467" bestFit="1" customWidth="1"/>
    <col min="11" max="11" width="33.7109375" style="467" customWidth="1"/>
    <col min="12" max="12" width="18.42578125" style="467" bestFit="1" customWidth="1"/>
    <col min="13" max="13" width="14.28515625" style="467" bestFit="1" customWidth="1"/>
    <col min="14" max="14" width="18.140625" style="467" customWidth="1"/>
    <col min="15" max="15" width="16" style="467" customWidth="1"/>
    <col min="16" max="16" width="17.42578125" style="467" customWidth="1"/>
    <col min="17" max="17" width="17.28515625" style="467" customWidth="1"/>
    <col min="18" max="18" width="19" style="467" customWidth="1"/>
    <col min="19" max="19" width="24.140625" style="467" customWidth="1"/>
    <col min="20" max="20" width="8.42578125" style="467" bestFit="1" customWidth="1"/>
    <col min="21" max="21" width="22.85546875" style="467" customWidth="1"/>
    <col min="22" max="22" width="9.140625" style="932"/>
    <col min="23" max="23" width="27.42578125" style="467" customWidth="1"/>
    <col min="24" max="30" width="28.7109375" style="467" customWidth="1"/>
    <col min="31" max="31" width="16.28515625" style="467" customWidth="1"/>
    <col min="32" max="32" width="27.140625" style="467" customWidth="1"/>
    <col min="33" max="33" width="18.42578125" style="467" customWidth="1"/>
    <col min="34" max="34" width="12" style="467" customWidth="1"/>
    <col min="35" max="35" width="12.85546875" style="467" customWidth="1"/>
    <col min="36" max="36" width="17" style="467" customWidth="1"/>
    <col min="37" max="37" width="16.140625" style="467" customWidth="1"/>
    <col min="38" max="38" width="9.140625" style="932"/>
    <col min="39" max="39" width="9.140625" style="467"/>
    <col min="40" max="48" width="22.140625" style="467" customWidth="1"/>
    <col min="49" max="49" width="8.140625" style="467" bestFit="1" customWidth="1"/>
    <col min="50" max="50" width="6.42578125" style="467" bestFit="1" customWidth="1"/>
    <col min="51" max="51" width="8.140625" style="467" bestFit="1" customWidth="1"/>
    <col min="52" max="52" width="6.42578125" style="467" bestFit="1" customWidth="1"/>
    <col min="53" max="53" width="8.140625" style="467" bestFit="1" customWidth="1"/>
    <col min="54" max="54" width="6.42578125" style="467" bestFit="1" customWidth="1"/>
    <col min="55" max="55" width="8.140625" style="467" bestFit="1" customWidth="1"/>
    <col min="56" max="16384" width="9.140625" style="467"/>
  </cols>
  <sheetData>
    <row r="1" spans="1:55" ht="18" customHeight="1" x14ac:dyDescent="0.25">
      <c r="A1" s="944" t="s">
        <v>837</v>
      </c>
      <c r="B1" s="945"/>
      <c r="C1" s="945"/>
      <c r="D1" s="945"/>
      <c r="E1" s="945"/>
      <c r="F1" s="945"/>
      <c r="G1" s="945"/>
      <c r="H1" s="945"/>
      <c r="I1" s="945"/>
      <c r="K1" s="944" t="s">
        <v>841</v>
      </c>
      <c r="L1" s="945"/>
      <c r="M1" s="945"/>
      <c r="N1" s="945"/>
      <c r="O1" s="945"/>
      <c r="P1" s="945"/>
      <c r="Q1" s="945"/>
      <c r="R1" s="945"/>
      <c r="S1" s="945"/>
      <c r="W1" s="436"/>
      <c r="X1" s="633" t="s">
        <v>146</v>
      </c>
      <c r="Y1" s="634" t="s">
        <v>787</v>
      </c>
      <c r="Z1" s="637"/>
      <c r="AA1" s="468" t="s">
        <v>785</v>
      </c>
      <c r="AB1" s="627">
        <f>'General Basis'!C34</f>
        <v>0</v>
      </c>
      <c r="AC1" s="632"/>
      <c r="AD1" s="637"/>
      <c r="AE1" s="637"/>
      <c r="AF1" s="637"/>
      <c r="AG1" s="637"/>
      <c r="AH1" s="637"/>
      <c r="AI1" s="637"/>
      <c r="AJ1" s="637"/>
      <c r="AK1" s="436"/>
      <c r="AL1" s="1092"/>
      <c r="AM1" s="436"/>
    </row>
    <row r="2" spans="1:55" s="578" customFormat="1" x14ac:dyDescent="0.25">
      <c r="A2" s="566" t="s">
        <v>30</v>
      </c>
      <c r="B2" s="566" t="s">
        <v>7</v>
      </c>
      <c r="C2" s="566" t="s">
        <v>21</v>
      </c>
      <c r="D2" s="584" t="s">
        <v>1045</v>
      </c>
      <c r="E2" s="566" t="s">
        <v>28</v>
      </c>
      <c r="F2" s="566" t="s">
        <v>29</v>
      </c>
      <c r="G2" s="584" t="s">
        <v>1073</v>
      </c>
      <c r="H2" s="566" t="s">
        <v>34</v>
      </c>
      <c r="I2" s="566" t="s">
        <v>813</v>
      </c>
      <c r="J2" s="467"/>
      <c r="K2" s="566" t="s">
        <v>30</v>
      </c>
      <c r="L2" s="566" t="s">
        <v>7</v>
      </c>
      <c r="M2" s="566" t="s">
        <v>21</v>
      </c>
      <c r="N2" s="584" t="s">
        <v>1045</v>
      </c>
      <c r="O2" s="566" t="s">
        <v>28</v>
      </c>
      <c r="P2" s="566" t="s">
        <v>29</v>
      </c>
      <c r="Q2" s="584" t="s">
        <v>1073</v>
      </c>
      <c r="R2" s="566" t="s">
        <v>34</v>
      </c>
      <c r="S2" s="566" t="s">
        <v>813</v>
      </c>
      <c r="T2" s="467"/>
      <c r="V2" s="1145"/>
      <c r="W2" s="579"/>
      <c r="X2" s="635"/>
      <c r="Y2" s="637"/>
      <c r="Z2" s="637"/>
      <c r="AA2" s="637"/>
      <c r="AB2" s="637"/>
      <c r="AC2" s="637"/>
      <c r="AD2" s="637"/>
      <c r="AE2" s="637"/>
      <c r="AF2" s="637"/>
      <c r="AG2" s="637"/>
      <c r="AH2" s="637"/>
      <c r="AI2" s="637"/>
      <c r="AJ2" s="637"/>
      <c r="AK2" s="579"/>
      <c r="AL2" s="1146"/>
      <c r="AM2" s="579"/>
    </row>
    <row r="3" spans="1:55" ht="25.5" customHeight="1" x14ac:dyDescent="0.25">
      <c r="A3" s="126" t="str">
        <f t="shared" ref="A3:A12" si="0">A33</f>
        <v>18 - 25</v>
      </c>
      <c r="B3" s="565">
        <f t="shared" ref="B3:B11" si="1">ROUND(Y10*(1-Intermediary_and_Fee),0)</f>
        <v>4979</v>
      </c>
      <c r="C3" s="565">
        <f t="shared" ref="C3:C11" si="2">ROUND(AA10*(1-Intermediary_and_Fee),0)</f>
        <v>3741</v>
      </c>
      <c r="D3" s="911">
        <f>E3*'General Basis'!$L$55</f>
        <v>2292.4</v>
      </c>
      <c r="E3" s="565">
        <f t="shared" ref="E3:E11" si="3">ROUND(AC10*(1-Intermediary_and_Fee),0)</f>
        <v>2084</v>
      </c>
      <c r="F3" s="565">
        <f t="shared" ref="F3:F11" si="4">ROUND(AE10*(1-Intermediary_and_Fee),0)</f>
        <v>1830</v>
      </c>
      <c r="G3" s="911">
        <f>F3*'General Basis'!$L$58</f>
        <v>1793.3999999999999</v>
      </c>
      <c r="H3" s="565">
        <f t="shared" ref="H3:H11" si="5">ROUND(AG10*(1-Intermediary_and_Fee),0)</f>
        <v>1181</v>
      </c>
      <c r="I3" s="565">
        <f t="shared" ref="I3:I11" si="6">ROUND(AI10*(1-Intermediary_and_Fee),0)</f>
        <v>915</v>
      </c>
      <c r="K3" s="126" t="str">
        <f>K32</f>
        <v>18 - 40</v>
      </c>
      <c r="L3" s="565">
        <f>ROUND(Y39*(1-Intermediary_and_Fee),0)</f>
        <v>7582</v>
      </c>
      <c r="M3" s="565">
        <f>ROUND(AA39*(1-Intermediary_and_Fee),0)</f>
        <v>5541</v>
      </c>
      <c r="N3" s="911">
        <f>O3*'General Basis'!$L$55</f>
        <v>3268.1000000000004</v>
      </c>
      <c r="O3" s="565">
        <f>ROUND(AC39*(1-Intermediary_and_Fee),0)</f>
        <v>2971</v>
      </c>
      <c r="P3" s="565">
        <f>ROUND(AE39*(1-Intermediary_and_Fee),0)</f>
        <v>2249</v>
      </c>
      <c r="Q3" s="911">
        <f>P3*'General Basis'!$L$58</f>
        <v>2204.02</v>
      </c>
      <c r="R3" s="565">
        <f>ROUND(AG39*(1-Intermediary_and_Fee),0)</f>
        <v>1450</v>
      </c>
      <c r="S3" s="565" t="s">
        <v>130</v>
      </c>
      <c r="W3" s="436"/>
      <c r="X3" s="670" t="s">
        <v>836</v>
      </c>
      <c r="Y3" s="436"/>
      <c r="Z3" s="436"/>
      <c r="AA3" s="436"/>
      <c r="AL3" s="1146"/>
      <c r="AN3" s="436"/>
      <c r="AO3" s="436"/>
      <c r="AP3" s="436"/>
      <c r="AQ3" s="434"/>
      <c r="AR3" s="436"/>
      <c r="AS3" s="436"/>
      <c r="AT3" s="436"/>
      <c r="AU3" s="436"/>
      <c r="AV3" s="436"/>
      <c r="AW3" s="436"/>
      <c r="AX3" s="436"/>
      <c r="AY3" s="436"/>
      <c r="AZ3" s="436"/>
      <c r="BA3" s="436"/>
      <c r="BB3" s="436"/>
      <c r="BC3" s="436"/>
    </row>
    <row r="4" spans="1:55" ht="26.25" x14ac:dyDescent="0.25">
      <c r="A4" s="126" t="str">
        <f t="shared" si="0"/>
        <v>26 - 30</v>
      </c>
      <c r="B4" s="565">
        <f t="shared" si="1"/>
        <v>5433</v>
      </c>
      <c r="C4" s="565">
        <f t="shared" si="2"/>
        <v>4073</v>
      </c>
      <c r="D4" s="911">
        <f>E4*'General Basis'!$L$55</f>
        <v>2498.1000000000004</v>
      </c>
      <c r="E4" s="565">
        <f t="shared" si="3"/>
        <v>2271</v>
      </c>
      <c r="F4" s="565">
        <f t="shared" si="4"/>
        <v>1986</v>
      </c>
      <c r="G4" s="911">
        <f>F4*'General Basis'!$L$58</f>
        <v>1946.28</v>
      </c>
      <c r="H4" s="565">
        <f t="shared" si="5"/>
        <v>1284</v>
      </c>
      <c r="I4" s="565">
        <f t="shared" si="6"/>
        <v>997</v>
      </c>
      <c r="K4" s="126" t="str">
        <f>K33</f>
        <v>41 -59</v>
      </c>
      <c r="L4" s="565">
        <f>ROUND(Y40*(1-Intermediary_and_Fee),0)</f>
        <v>14183</v>
      </c>
      <c r="M4" s="565">
        <f>ROUND(AA40*(1-Intermediary_and_Fee),0)</f>
        <v>10529</v>
      </c>
      <c r="N4" s="911">
        <f>O4*'General Basis'!$L$55</f>
        <v>6682.5000000000009</v>
      </c>
      <c r="O4" s="565">
        <f>ROUND(AC40*(1-Intermediary_and_Fee),0)</f>
        <v>6075</v>
      </c>
      <c r="P4" s="565">
        <f>ROUND(AE40*(1-Intermediary_and_Fee),0)</f>
        <v>4546</v>
      </c>
      <c r="Q4" s="911">
        <f>P4*'General Basis'!$L$58</f>
        <v>4455.08</v>
      </c>
      <c r="R4" s="565">
        <f>ROUND(AG40*(1-Intermediary_and_Fee),0)</f>
        <v>2997</v>
      </c>
      <c r="S4" s="565" t="s">
        <v>130</v>
      </c>
      <c r="W4" s="436"/>
      <c r="X4" s="1500" t="s">
        <v>845</v>
      </c>
      <c r="Y4" s="1500"/>
      <c r="Z4" s="1500"/>
      <c r="AA4" s="1500"/>
      <c r="AB4" s="1500"/>
      <c r="AC4" s="1500"/>
      <c r="AD4" s="1500"/>
      <c r="AE4" s="1500"/>
      <c r="AF4" s="1500"/>
      <c r="AG4" s="1500"/>
      <c r="AH4" s="1500"/>
      <c r="AI4" s="1500"/>
      <c r="AJ4" s="1500"/>
      <c r="AK4" s="436"/>
      <c r="AL4" s="1146"/>
      <c r="AM4" s="436"/>
      <c r="AP4" s="436"/>
    </row>
    <row r="5" spans="1:55" x14ac:dyDescent="0.25">
      <c r="A5" s="126" t="str">
        <f t="shared" si="0"/>
        <v>31 - 35</v>
      </c>
      <c r="B5" s="565">
        <f t="shared" si="1"/>
        <v>6596</v>
      </c>
      <c r="C5" s="565">
        <f t="shared" si="2"/>
        <v>4929</v>
      </c>
      <c r="D5" s="911">
        <f>E5*'General Basis'!$L$55</f>
        <v>3023.9</v>
      </c>
      <c r="E5" s="565">
        <f t="shared" si="3"/>
        <v>2749</v>
      </c>
      <c r="F5" s="565">
        <f t="shared" si="4"/>
        <v>2392</v>
      </c>
      <c r="G5" s="911">
        <f>F5*'General Basis'!$L$58</f>
        <v>2344.16</v>
      </c>
      <c r="H5" s="565">
        <f t="shared" si="5"/>
        <v>1551</v>
      </c>
      <c r="I5" s="565">
        <f t="shared" si="6"/>
        <v>1210</v>
      </c>
      <c r="K5" s="126" t="str">
        <f>K34</f>
        <v>60 - 64</v>
      </c>
      <c r="L5" s="565">
        <f>ROUND(Y41*(1-Intermediary_and_Fee),0)</f>
        <v>34937</v>
      </c>
      <c r="M5" s="565">
        <f>ROUND(AA41*(1-Intermediary_and_Fee),0)</f>
        <v>25742</v>
      </c>
      <c r="N5" s="911">
        <f>O5*'General Basis'!$L$55</f>
        <v>17331.600000000002</v>
      </c>
      <c r="O5" s="565">
        <f>ROUND(AC41*(1-Intermediary_and_Fee),0)</f>
        <v>15756</v>
      </c>
      <c r="P5" s="565">
        <f>ROUND(AE41*(1-Intermediary_and_Fee),0)</f>
        <v>12086</v>
      </c>
      <c r="Q5" s="911">
        <f>P5*'General Basis'!$L$58</f>
        <v>11844.28</v>
      </c>
      <c r="R5" s="565">
        <f>ROUND(AG41*(1-Intermediary_and_Fee),0)</f>
        <v>8360</v>
      </c>
      <c r="S5" s="565" t="s">
        <v>130</v>
      </c>
      <c r="W5" s="436"/>
      <c r="X5" s="637"/>
      <c r="Y5" s="637"/>
      <c r="Z5" s="637"/>
      <c r="AA5" s="637"/>
      <c r="AB5" s="637"/>
      <c r="AC5" s="637"/>
      <c r="AD5" s="637"/>
      <c r="AE5" s="637"/>
      <c r="AF5" s="637"/>
      <c r="AG5" s="637"/>
      <c r="AH5" s="637"/>
      <c r="AI5" s="637"/>
      <c r="AJ5" s="637"/>
      <c r="AK5" s="436"/>
      <c r="AL5" s="1092"/>
      <c r="AM5" s="436"/>
      <c r="AP5" s="436"/>
    </row>
    <row r="6" spans="1:55" ht="15" customHeight="1" x14ac:dyDescent="0.25">
      <c r="A6" s="126" t="str">
        <f t="shared" si="0"/>
        <v>36 - 40</v>
      </c>
      <c r="B6" s="565">
        <f t="shared" si="1"/>
        <v>8191</v>
      </c>
      <c r="C6" s="565">
        <f t="shared" si="2"/>
        <v>6100</v>
      </c>
      <c r="D6" s="911">
        <f>E6*'General Basis'!$L$55</f>
        <v>3746.6000000000004</v>
      </c>
      <c r="E6" s="565">
        <f t="shared" si="3"/>
        <v>3406</v>
      </c>
      <c r="F6" s="565">
        <f t="shared" si="4"/>
        <v>2945</v>
      </c>
      <c r="G6" s="911">
        <f>F6*'General Basis'!$L$58</f>
        <v>2886.1</v>
      </c>
      <c r="H6" s="565">
        <f t="shared" si="5"/>
        <v>1916</v>
      </c>
      <c r="I6" s="565">
        <f t="shared" si="6"/>
        <v>1500</v>
      </c>
      <c r="K6" s="745" t="str">
        <f>K35</f>
        <v>65 - 99</v>
      </c>
      <c r="L6" s="746">
        <f t="shared" ref="L6:M6" si="7">L5*Overage_65_above</f>
        <v>62886.6</v>
      </c>
      <c r="M6" s="746">
        <f t="shared" si="7"/>
        <v>46335.6</v>
      </c>
      <c r="N6" s="911">
        <f>O6*'General Basis'!$L$55</f>
        <v>31196.880000000001</v>
      </c>
      <c r="O6" s="746">
        <f>O5*Overage_65_above</f>
        <v>28360.799999999999</v>
      </c>
      <c r="P6" s="746">
        <f>P5*Overage_65_above</f>
        <v>21754.799999999999</v>
      </c>
      <c r="Q6" s="911">
        <f>P6*'General Basis'!$L$58</f>
        <v>21319.703999999998</v>
      </c>
      <c r="R6" s="746">
        <f>R5*Overage_65_above</f>
        <v>15048</v>
      </c>
      <c r="S6" s="746" t="s">
        <v>130</v>
      </c>
      <c r="T6" s="467" t="s">
        <v>942</v>
      </c>
      <c r="W6" s="436"/>
      <c r="X6" s="1503" t="s">
        <v>788</v>
      </c>
      <c r="Y6" s="1503"/>
      <c r="Z6" s="1503"/>
      <c r="AA6" s="1503"/>
      <c r="AB6" s="1503"/>
      <c r="AC6" s="1503"/>
      <c r="AD6" s="1503"/>
      <c r="AE6" s="1503"/>
      <c r="AF6" s="1503"/>
      <c r="AG6" s="1503"/>
      <c r="AH6" s="1503"/>
      <c r="AI6" s="1503"/>
      <c r="AJ6" s="1503"/>
      <c r="AK6" s="436"/>
      <c r="AL6" s="1092"/>
      <c r="AM6" s="436"/>
      <c r="AP6" s="436"/>
    </row>
    <row r="7" spans="1:55" x14ac:dyDescent="0.25">
      <c r="A7" s="126" t="str">
        <f t="shared" si="0"/>
        <v>41 - 45</v>
      </c>
      <c r="B7" s="565">
        <f t="shared" si="1"/>
        <v>8608</v>
      </c>
      <c r="C7" s="565">
        <f t="shared" si="2"/>
        <v>6407</v>
      </c>
      <c r="D7" s="911">
        <f>E7*'General Basis'!$L$55</f>
        <v>4400</v>
      </c>
      <c r="E7" s="565">
        <f t="shared" si="3"/>
        <v>4000</v>
      </c>
      <c r="F7" s="565">
        <f t="shared" si="4"/>
        <v>3448</v>
      </c>
      <c r="G7" s="911">
        <f>F7*'General Basis'!$L$58</f>
        <v>3379.04</v>
      </c>
      <c r="H7" s="565">
        <f t="shared" si="5"/>
        <v>2248</v>
      </c>
      <c r="I7" s="565">
        <f t="shared" si="6"/>
        <v>1763</v>
      </c>
      <c r="W7" s="436"/>
      <c r="X7" s="434"/>
      <c r="Y7" s="436"/>
      <c r="Z7" s="436"/>
      <c r="AA7" s="436"/>
      <c r="AB7" s="436"/>
      <c r="AC7" s="436"/>
      <c r="AD7" s="436"/>
      <c r="AE7" s="436"/>
      <c r="AF7" s="436"/>
      <c r="AG7" s="436"/>
      <c r="AH7" s="436"/>
      <c r="AI7" s="436"/>
      <c r="AJ7" s="436"/>
      <c r="AK7" s="436"/>
      <c r="AL7" s="1092"/>
      <c r="AM7" s="436"/>
      <c r="AP7" s="436"/>
    </row>
    <row r="8" spans="1:55" ht="15" customHeight="1" x14ac:dyDescent="0.25">
      <c r="A8" s="126" t="str">
        <f t="shared" si="0"/>
        <v>46 - 50</v>
      </c>
      <c r="B8" s="565">
        <f t="shared" si="1"/>
        <v>11320</v>
      </c>
      <c r="C8" s="565">
        <f t="shared" si="2"/>
        <v>8398</v>
      </c>
      <c r="D8" s="911">
        <f>E8*'General Basis'!$L$55</f>
        <v>5765.1</v>
      </c>
      <c r="E8" s="565">
        <f t="shared" si="3"/>
        <v>5241</v>
      </c>
      <c r="F8" s="565">
        <f t="shared" si="4"/>
        <v>4495</v>
      </c>
      <c r="G8" s="911">
        <f>F8*'General Basis'!$L$58</f>
        <v>4405.1000000000004</v>
      </c>
      <c r="H8" s="565">
        <f t="shared" si="5"/>
        <v>2939</v>
      </c>
      <c r="I8" s="565">
        <f t="shared" si="6"/>
        <v>2312</v>
      </c>
      <c r="W8" s="436"/>
      <c r="X8" s="894" t="s">
        <v>351</v>
      </c>
      <c r="Y8" s="1501" t="s">
        <v>789</v>
      </c>
      <c r="Z8" s="1502"/>
      <c r="AA8" s="1501" t="s">
        <v>790</v>
      </c>
      <c r="AB8" s="1502"/>
      <c r="AC8" s="1501" t="s">
        <v>791</v>
      </c>
      <c r="AD8" s="1502"/>
      <c r="AE8" s="1501" t="s">
        <v>792</v>
      </c>
      <c r="AF8" s="1502"/>
      <c r="AG8" s="1501" t="s">
        <v>793</v>
      </c>
      <c r="AH8" s="1502"/>
      <c r="AI8" s="1501" t="s">
        <v>794</v>
      </c>
      <c r="AJ8" s="1502"/>
      <c r="AK8" s="436"/>
      <c r="AL8" s="1092"/>
      <c r="AM8" s="436"/>
      <c r="AP8" s="436"/>
    </row>
    <row r="9" spans="1:55" x14ac:dyDescent="0.25">
      <c r="A9" s="126" t="str">
        <f t="shared" si="0"/>
        <v>51 - 55</v>
      </c>
      <c r="B9" s="565">
        <f t="shared" si="1"/>
        <v>15240</v>
      </c>
      <c r="C9" s="565">
        <f t="shared" si="2"/>
        <v>11277</v>
      </c>
      <c r="D9" s="911">
        <f>E9*'General Basis'!$L$55</f>
        <v>7737.4000000000005</v>
      </c>
      <c r="E9" s="565">
        <f t="shared" si="3"/>
        <v>7034</v>
      </c>
      <c r="F9" s="565">
        <f t="shared" si="4"/>
        <v>6008</v>
      </c>
      <c r="G9" s="911">
        <f>F9*'General Basis'!$L$58</f>
        <v>5887.84</v>
      </c>
      <c r="H9" s="565">
        <f t="shared" si="5"/>
        <v>3939</v>
      </c>
      <c r="I9" s="565">
        <f t="shared" si="6"/>
        <v>3105</v>
      </c>
      <c r="W9" s="436"/>
      <c r="X9" s="660"/>
      <c r="Y9" s="894" t="s">
        <v>795</v>
      </c>
      <c r="Z9" s="894" t="s">
        <v>796</v>
      </c>
      <c r="AA9" s="894" t="s">
        <v>795</v>
      </c>
      <c r="AB9" s="894" t="s">
        <v>796</v>
      </c>
      <c r="AC9" s="894" t="s">
        <v>795</v>
      </c>
      <c r="AD9" s="894" t="s">
        <v>796</v>
      </c>
      <c r="AE9" s="894" t="s">
        <v>795</v>
      </c>
      <c r="AF9" s="894" t="s">
        <v>796</v>
      </c>
      <c r="AG9" s="894" t="s">
        <v>795</v>
      </c>
      <c r="AH9" s="894" t="s">
        <v>796</v>
      </c>
      <c r="AI9" s="894" t="s">
        <v>795</v>
      </c>
      <c r="AJ9" s="894" t="s">
        <v>796</v>
      </c>
      <c r="AK9" s="436"/>
      <c r="AL9" s="1092"/>
      <c r="AM9" s="436"/>
      <c r="AP9" s="436"/>
    </row>
    <row r="10" spans="1:55" x14ac:dyDescent="0.25">
      <c r="A10" s="126" t="str">
        <f t="shared" si="0"/>
        <v>56 - 59</v>
      </c>
      <c r="B10" s="565">
        <f t="shared" si="1"/>
        <v>20818</v>
      </c>
      <c r="C10" s="565">
        <f t="shared" si="2"/>
        <v>15373</v>
      </c>
      <c r="D10" s="911">
        <f>E10*'General Basis'!$L$55</f>
        <v>10543.5</v>
      </c>
      <c r="E10" s="565">
        <f t="shared" si="3"/>
        <v>9585</v>
      </c>
      <c r="F10" s="565">
        <f t="shared" si="4"/>
        <v>8161</v>
      </c>
      <c r="G10" s="911">
        <f>F10*'General Basis'!$L$58</f>
        <v>7997.78</v>
      </c>
      <c r="H10" s="565">
        <f t="shared" si="5"/>
        <v>5360</v>
      </c>
      <c r="I10" s="565">
        <f t="shared" si="6"/>
        <v>4235</v>
      </c>
      <c r="W10" s="436"/>
      <c r="X10" s="661" t="s">
        <v>797</v>
      </c>
      <c r="Y10" s="967">
        <v>4979</v>
      </c>
      <c r="Z10" s="967">
        <v>5608</v>
      </c>
      <c r="AA10" s="967">
        <v>3741</v>
      </c>
      <c r="AB10" s="967">
        <v>4203</v>
      </c>
      <c r="AC10" s="967">
        <v>2084</v>
      </c>
      <c r="AD10" s="967">
        <v>2217</v>
      </c>
      <c r="AE10" s="967">
        <v>1830</v>
      </c>
      <c r="AF10" s="967">
        <v>1596</v>
      </c>
      <c r="AG10" s="967">
        <v>1181</v>
      </c>
      <c r="AH10" s="967">
        <v>1006</v>
      </c>
      <c r="AI10" s="967">
        <v>915</v>
      </c>
      <c r="AJ10" s="967">
        <v>908</v>
      </c>
      <c r="AK10" s="436"/>
      <c r="AL10" s="1092"/>
      <c r="AM10" s="436"/>
      <c r="AP10" s="436"/>
    </row>
    <row r="11" spans="1:55" x14ac:dyDescent="0.25">
      <c r="A11" s="126" t="str">
        <f t="shared" si="0"/>
        <v>60 - 64</v>
      </c>
      <c r="B11" s="565">
        <f t="shared" si="1"/>
        <v>25661</v>
      </c>
      <c r="C11" s="565">
        <f t="shared" si="2"/>
        <v>18930</v>
      </c>
      <c r="D11" s="911">
        <f>E11*'General Basis'!$L$55</f>
        <v>12978.900000000001</v>
      </c>
      <c r="E11" s="565">
        <f t="shared" si="3"/>
        <v>11799</v>
      </c>
      <c r="F11" s="565">
        <f t="shared" si="4"/>
        <v>10030</v>
      </c>
      <c r="G11" s="911">
        <f>F11*'General Basis'!$L$58</f>
        <v>9829.4</v>
      </c>
      <c r="H11" s="565">
        <f t="shared" si="5"/>
        <v>6594</v>
      </c>
      <c r="I11" s="565">
        <f t="shared" si="6"/>
        <v>5215</v>
      </c>
      <c r="W11" s="436"/>
      <c r="X11" s="661" t="s">
        <v>798</v>
      </c>
      <c r="Y11" s="967">
        <v>5433</v>
      </c>
      <c r="Z11" s="967">
        <v>7016</v>
      </c>
      <c r="AA11" s="967">
        <v>4073</v>
      </c>
      <c r="AB11" s="967">
        <v>5236</v>
      </c>
      <c r="AC11" s="967">
        <v>2271</v>
      </c>
      <c r="AD11" s="967">
        <v>2768</v>
      </c>
      <c r="AE11" s="967">
        <v>1986</v>
      </c>
      <c r="AF11" s="967">
        <v>1983</v>
      </c>
      <c r="AG11" s="967">
        <v>1284</v>
      </c>
      <c r="AH11" s="967">
        <v>1257</v>
      </c>
      <c r="AI11" s="967">
        <v>997</v>
      </c>
      <c r="AJ11" s="967">
        <v>1138</v>
      </c>
      <c r="AK11" s="436"/>
      <c r="AL11" s="1092"/>
      <c r="AM11" s="436"/>
      <c r="AP11" s="436"/>
    </row>
    <row r="12" spans="1:55" ht="30.75" customHeight="1" x14ac:dyDescent="0.25">
      <c r="A12" s="745" t="str">
        <f t="shared" si="0"/>
        <v>65 - 99</v>
      </c>
      <c r="B12" s="746">
        <f t="shared" ref="B12:C12" si="8">B11*Overage_65_above</f>
        <v>46189.8</v>
      </c>
      <c r="C12" s="746">
        <f t="shared" si="8"/>
        <v>34074</v>
      </c>
      <c r="D12" s="911">
        <f>E12*'General Basis'!$L$55</f>
        <v>23362.020000000004</v>
      </c>
      <c r="E12" s="746">
        <f>E11*Overage_65_above</f>
        <v>21238.2</v>
      </c>
      <c r="F12" s="746">
        <f>F11*Overage_65_above</f>
        <v>18054</v>
      </c>
      <c r="G12" s="911">
        <f>F12*'General Basis'!$L$58</f>
        <v>17692.919999999998</v>
      </c>
      <c r="H12" s="746">
        <f>H11*Overage_65_above</f>
        <v>11869.2</v>
      </c>
      <c r="I12" s="746">
        <f>I11*Overage_65_above</f>
        <v>9387</v>
      </c>
      <c r="J12" s="467" t="s">
        <v>942</v>
      </c>
      <c r="W12" s="436"/>
      <c r="X12" s="661" t="s">
        <v>799</v>
      </c>
      <c r="Y12" s="967">
        <v>6596</v>
      </c>
      <c r="Z12" s="967">
        <v>8416</v>
      </c>
      <c r="AA12" s="967">
        <v>4929</v>
      </c>
      <c r="AB12" s="967">
        <v>6265</v>
      </c>
      <c r="AC12" s="967">
        <v>2749</v>
      </c>
      <c r="AD12" s="967">
        <v>3316</v>
      </c>
      <c r="AE12" s="967">
        <v>2392</v>
      </c>
      <c r="AF12" s="967">
        <v>2368</v>
      </c>
      <c r="AG12" s="967">
        <v>1551</v>
      </c>
      <c r="AH12" s="967">
        <v>1507</v>
      </c>
      <c r="AI12" s="967">
        <v>1210</v>
      </c>
      <c r="AJ12" s="967">
        <v>1367</v>
      </c>
      <c r="AK12" s="436"/>
      <c r="AL12" s="1092"/>
      <c r="AM12" s="436"/>
      <c r="AP12" s="436"/>
    </row>
    <row r="13" spans="1:55" x14ac:dyDescent="0.25">
      <c r="B13" s="724"/>
      <c r="C13" s="725"/>
      <c r="D13" s="725"/>
      <c r="E13" s="725"/>
      <c r="F13" s="725"/>
      <c r="G13" s="725"/>
      <c r="H13" s="725"/>
      <c r="W13" s="436"/>
      <c r="X13" s="661" t="s">
        <v>800</v>
      </c>
      <c r="Y13" s="967">
        <v>8191</v>
      </c>
      <c r="Z13" s="967">
        <v>10551</v>
      </c>
      <c r="AA13" s="967">
        <v>6100</v>
      </c>
      <c r="AB13" s="967">
        <v>7833</v>
      </c>
      <c r="AC13" s="967">
        <v>3406</v>
      </c>
      <c r="AD13" s="967">
        <v>4150</v>
      </c>
      <c r="AE13" s="967">
        <v>2945</v>
      </c>
      <c r="AF13" s="967">
        <v>2955</v>
      </c>
      <c r="AG13" s="967">
        <v>1916</v>
      </c>
      <c r="AH13" s="967">
        <v>1887</v>
      </c>
      <c r="AI13" s="967">
        <v>1500</v>
      </c>
      <c r="AJ13" s="967">
        <v>1714</v>
      </c>
      <c r="AK13" s="436"/>
      <c r="AL13" s="1092"/>
      <c r="AM13" s="436"/>
      <c r="AP13" s="436"/>
    </row>
    <row r="14" spans="1:55" x14ac:dyDescent="0.25">
      <c r="W14" s="436"/>
      <c r="X14" s="661" t="s">
        <v>801</v>
      </c>
      <c r="Y14" s="967">
        <v>8608</v>
      </c>
      <c r="Z14" s="967">
        <v>12142</v>
      </c>
      <c r="AA14" s="967">
        <v>6407</v>
      </c>
      <c r="AB14" s="967">
        <v>9002</v>
      </c>
      <c r="AC14" s="967">
        <v>4000</v>
      </c>
      <c r="AD14" s="967">
        <v>5330</v>
      </c>
      <c r="AE14" s="967">
        <v>3448</v>
      </c>
      <c r="AF14" s="967">
        <v>3784</v>
      </c>
      <c r="AG14" s="967">
        <v>2248</v>
      </c>
      <c r="AH14" s="967">
        <v>2426</v>
      </c>
      <c r="AI14" s="967">
        <v>1763</v>
      </c>
      <c r="AJ14" s="967">
        <v>2206</v>
      </c>
      <c r="AK14" s="436"/>
      <c r="AL14" s="1092"/>
      <c r="AM14" s="436"/>
      <c r="AP14" s="436"/>
    </row>
    <row r="15" spans="1:55" ht="15.75" x14ac:dyDescent="0.25">
      <c r="A15" s="944" t="s">
        <v>838</v>
      </c>
      <c r="B15" s="945"/>
      <c r="C15" s="945"/>
      <c r="D15" s="945"/>
      <c r="E15" s="945"/>
      <c r="F15" s="945"/>
      <c r="G15" s="945"/>
      <c r="H15" s="945"/>
      <c r="I15" s="945"/>
      <c r="K15" s="944" t="s">
        <v>842</v>
      </c>
      <c r="L15" s="945"/>
      <c r="M15" s="945"/>
      <c r="N15" s="945"/>
      <c r="O15" s="945"/>
      <c r="P15" s="945"/>
      <c r="Q15" s="945"/>
      <c r="R15" s="945"/>
      <c r="S15" s="945"/>
      <c r="T15" s="568"/>
      <c r="W15" s="436"/>
      <c r="X15" s="661" t="s">
        <v>802</v>
      </c>
      <c r="Y15" s="967">
        <v>11320</v>
      </c>
      <c r="Z15" s="967">
        <v>15245</v>
      </c>
      <c r="AA15" s="967">
        <v>8398</v>
      </c>
      <c r="AB15" s="967">
        <v>11281</v>
      </c>
      <c r="AC15" s="967">
        <v>5241</v>
      </c>
      <c r="AD15" s="967">
        <v>6679</v>
      </c>
      <c r="AE15" s="967">
        <v>4495</v>
      </c>
      <c r="AF15" s="967">
        <v>4732</v>
      </c>
      <c r="AG15" s="967">
        <v>2939</v>
      </c>
      <c r="AH15" s="967">
        <v>3040</v>
      </c>
      <c r="AI15" s="967">
        <v>2312</v>
      </c>
      <c r="AJ15" s="967">
        <v>2768</v>
      </c>
      <c r="AK15" s="436"/>
      <c r="AL15" s="1092"/>
      <c r="AM15" s="436"/>
      <c r="AP15" s="436"/>
    </row>
    <row r="16" spans="1:55" x14ac:dyDescent="0.25">
      <c r="A16" s="566" t="s">
        <v>30</v>
      </c>
      <c r="B16" s="566" t="s">
        <v>7</v>
      </c>
      <c r="C16" s="566" t="s">
        <v>21</v>
      </c>
      <c r="D16" s="584" t="s">
        <v>1045</v>
      </c>
      <c r="E16" s="566" t="s">
        <v>28</v>
      </c>
      <c r="F16" s="566" t="s">
        <v>29</v>
      </c>
      <c r="G16" s="584" t="s">
        <v>1073</v>
      </c>
      <c r="H16" s="566" t="s">
        <v>34</v>
      </c>
      <c r="I16" s="566" t="s">
        <v>813</v>
      </c>
      <c r="K16" s="566" t="s">
        <v>30</v>
      </c>
      <c r="L16" s="566" t="s">
        <v>7</v>
      </c>
      <c r="M16" s="566" t="s">
        <v>21</v>
      </c>
      <c r="N16" s="584" t="s">
        <v>1045</v>
      </c>
      <c r="O16" s="566" t="s">
        <v>28</v>
      </c>
      <c r="P16" s="566" t="s">
        <v>29</v>
      </c>
      <c r="Q16" s="584" t="s">
        <v>1073</v>
      </c>
      <c r="R16" s="566" t="s">
        <v>34</v>
      </c>
      <c r="S16" s="566" t="s">
        <v>813</v>
      </c>
      <c r="W16" s="436"/>
      <c r="X16" s="661" t="s">
        <v>803</v>
      </c>
      <c r="Y16" s="967">
        <v>15240</v>
      </c>
      <c r="Z16" s="967">
        <v>20148</v>
      </c>
      <c r="AA16" s="967">
        <v>11277</v>
      </c>
      <c r="AB16" s="967">
        <v>14882</v>
      </c>
      <c r="AC16" s="967">
        <v>7034</v>
      </c>
      <c r="AD16" s="967">
        <v>8810</v>
      </c>
      <c r="AE16" s="967">
        <v>6008</v>
      </c>
      <c r="AF16" s="967">
        <v>6230</v>
      </c>
      <c r="AG16" s="967">
        <v>3939</v>
      </c>
      <c r="AH16" s="967">
        <v>4014</v>
      </c>
      <c r="AI16" s="967">
        <v>3105</v>
      </c>
      <c r="AJ16" s="967">
        <v>3655</v>
      </c>
      <c r="AK16" s="436"/>
      <c r="AL16" s="1092"/>
      <c r="AM16" s="436"/>
      <c r="AP16" s="436"/>
    </row>
    <row r="17" spans="1:55" ht="15" customHeight="1" x14ac:dyDescent="0.25">
      <c r="A17" s="126" t="str">
        <f t="shared" ref="A17:A26" si="9">A49</f>
        <v>18 - 25</v>
      </c>
      <c r="B17" s="565">
        <f t="shared" ref="B17:B25" si="10">ROUND(Z10*(1-Intermediary_and_Fee),0)</f>
        <v>5608</v>
      </c>
      <c r="C17" s="565">
        <f t="shared" ref="C17:C25" si="11">ROUND(AB10*(1-Intermediary_and_Fee),0)</f>
        <v>4203</v>
      </c>
      <c r="D17" s="911">
        <f>E17*'General Basis'!$L$55</f>
        <v>2438.7000000000003</v>
      </c>
      <c r="E17" s="565">
        <f t="shared" ref="E17:E25" si="12">ROUND(AD10*(1-Intermediary_and_Fee),0)</f>
        <v>2217</v>
      </c>
      <c r="F17" s="565">
        <f t="shared" ref="F17:F25" si="13">ROUND(AF10*(1-Intermediary_and_Fee),0)</f>
        <v>1596</v>
      </c>
      <c r="G17" s="911">
        <f>F17*'General Basis'!$L$58</f>
        <v>1564.08</v>
      </c>
      <c r="H17" s="565">
        <f t="shared" ref="H17:H25" si="14">ROUND(AH10*(1-Intermediary_and_Fee),0)</f>
        <v>1006</v>
      </c>
      <c r="I17" s="565">
        <f t="shared" ref="I17:I25" si="15">ROUND(AJ10*(1-Intermediary_and_Fee),0)</f>
        <v>908</v>
      </c>
      <c r="K17" s="126" t="str">
        <f>K47</f>
        <v>18 - 40</v>
      </c>
      <c r="L17" s="565">
        <f>ROUND(Z39*(1-Intermediary_and_Fee),0)</f>
        <v>7582</v>
      </c>
      <c r="M17" s="565">
        <f>ROUND(AB39*(1-Intermediary_and_Fee),0)</f>
        <v>5541</v>
      </c>
      <c r="N17" s="911">
        <f>O17*'General Basis'!$L$55</f>
        <v>3268.1000000000004</v>
      </c>
      <c r="O17" s="565">
        <f>ROUND(AD39*(1-Intermediary_and_Fee),0)</f>
        <v>2971</v>
      </c>
      <c r="P17" s="565">
        <f>ROUND(AF39*(1-Intermediary_and_Fee),0)</f>
        <v>2249</v>
      </c>
      <c r="Q17" s="911">
        <f>P17*'General Basis'!$L$58</f>
        <v>2204.02</v>
      </c>
      <c r="R17" s="565">
        <f>ROUND(AH39*(1-Intermediary_and_Fee),0)</f>
        <v>1450</v>
      </c>
      <c r="S17" s="565" t="s">
        <v>130</v>
      </c>
      <c r="W17" s="436"/>
      <c r="X17" s="668" t="s">
        <v>835</v>
      </c>
      <c r="Y17" s="967">
        <v>20818</v>
      </c>
      <c r="Z17" s="967">
        <v>24695</v>
      </c>
      <c r="AA17" s="967">
        <v>15373</v>
      </c>
      <c r="AB17" s="967">
        <v>18220</v>
      </c>
      <c r="AC17" s="967">
        <v>9585</v>
      </c>
      <c r="AD17" s="967">
        <v>10787</v>
      </c>
      <c r="AE17" s="967">
        <v>8161</v>
      </c>
      <c r="AF17" s="967">
        <v>7619</v>
      </c>
      <c r="AG17" s="967">
        <v>5360</v>
      </c>
      <c r="AH17" s="967">
        <v>4914</v>
      </c>
      <c r="AI17" s="967">
        <v>4235</v>
      </c>
      <c r="AJ17" s="967">
        <v>4480</v>
      </c>
      <c r="AK17" s="436"/>
      <c r="AL17" s="1092"/>
      <c r="AM17" s="436"/>
      <c r="AP17" s="436"/>
    </row>
    <row r="18" spans="1:55" ht="25.5" customHeight="1" x14ac:dyDescent="0.25">
      <c r="A18" s="126" t="str">
        <f t="shared" si="9"/>
        <v>26 - 30</v>
      </c>
      <c r="B18" s="565">
        <f t="shared" si="10"/>
        <v>7016</v>
      </c>
      <c r="C18" s="565">
        <f t="shared" si="11"/>
        <v>5236</v>
      </c>
      <c r="D18" s="911">
        <f>E18*'General Basis'!$L$55</f>
        <v>3044.8</v>
      </c>
      <c r="E18" s="565">
        <f t="shared" si="12"/>
        <v>2768</v>
      </c>
      <c r="F18" s="565">
        <f t="shared" si="13"/>
        <v>1983</v>
      </c>
      <c r="G18" s="911">
        <f>F18*'General Basis'!$L$58</f>
        <v>1943.34</v>
      </c>
      <c r="H18" s="565">
        <f t="shared" si="14"/>
        <v>1257</v>
      </c>
      <c r="I18" s="565">
        <f t="shared" si="15"/>
        <v>1138</v>
      </c>
      <c r="K18" s="126" t="str">
        <f>K48</f>
        <v>41 -59</v>
      </c>
      <c r="L18" s="565">
        <f>ROUND(Z40*(1-Intermediary_and_Fee),0)</f>
        <v>14183</v>
      </c>
      <c r="M18" s="565">
        <f>ROUND(AB40*(1-Intermediary_and_Fee),0)</f>
        <v>10529</v>
      </c>
      <c r="N18" s="911">
        <f>O18*'General Basis'!$L$55</f>
        <v>6682.5000000000009</v>
      </c>
      <c r="O18" s="565">
        <f>ROUND(AD40*(1-Intermediary_and_Fee),0)</f>
        <v>6075</v>
      </c>
      <c r="P18" s="565">
        <f>ROUND(AF40*(1-Intermediary_and_Fee),0)</f>
        <v>4546</v>
      </c>
      <c r="Q18" s="911">
        <f>P18*'General Basis'!$L$58</f>
        <v>4455.08</v>
      </c>
      <c r="R18" s="565">
        <f>ROUND(AH40*(1-Intermediary_and_Fee),0)</f>
        <v>2997</v>
      </c>
      <c r="S18" s="565" t="s">
        <v>130</v>
      </c>
      <c r="W18" s="436"/>
      <c r="X18" s="668" t="s">
        <v>808</v>
      </c>
      <c r="Y18" s="967">
        <v>25661</v>
      </c>
      <c r="Z18" s="967">
        <v>29369</v>
      </c>
      <c r="AA18" s="967">
        <v>18930</v>
      </c>
      <c r="AB18" s="967">
        <v>21652</v>
      </c>
      <c r="AC18" s="967">
        <v>11799</v>
      </c>
      <c r="AD18" s="967">
        <v>12820</v>
      </c>
      <c r="AE18" s="967">
        <v>10030</v>
      </c>
      <c r="AF18" s="967">
        <v>9047</v>
      </c>
      <c r="AG18" s="967">
        <v>6594</v>
      </c>
      <c r="AH18" s="967">
        <v>5841</v>
      </c>
      <c r="AI18" s="967">
        <v>5215</v>
      </c>
      <c r="AJ18" s="967">
        <v>5326</v>
      </c>
      <c r="AK18" s="436"/>
      <c r="AL18" s="1092"/>
      <c r="AM18" s="436"/>
      <c r="AP18" s="436"/>
    </row>
    <row r="19" spans="1:55" x14ac:dyDescent="0.25">
      <c r="A19" s="126" t="str">
        <f t="shared" si="9"/>
        <v>31 - 35</v>
      </c>
      <c r="B19" s="565">
        <f t="shared" si="10"/>
        <v>8416</v>
      </c>
      <c r="C19" s="565">
        <f t="shared" si="11"/>
        <v>6265</v>
      </c>
      <c r="D19" s="911">
        <f>E19*'General Basis'!$L$55</f>
        <v>3647.6000000000004</v>
      </c>
      <c r="E19" s="565">
        <f t="shared" si="12"/>
        <v>3316</v>
      </c>
      <c r="F19" s="565">
        <f t="shared" si="13"/>
        <v>2368</v>
      </c>
      <c r="G19" s="911">
        <f>F19*'General Basis'!$L$58</f>
        <v>2320.64</v>
      </c>
      <c r="H19" s="565">
        <f t="shared" si="14"/>
        <v>1507</v>
      </c>
      <c r="I19" s="565">
        <f t="shared" si="15"/>
        <v>1367</v>
      </c>
      <c r="K19" s="126" t="str">
        <f>K49</f>
        <v>60 - 64</v>
      </c>
      <c r="L19" s="565">
        <f>ROUND(Z41*(1-Intermediary_and_Fee),0)</f>
        <v>34937</v>
      </c>
      <c r="M19" s="565">
        <f>ROUND(AB41*(1-Intermediary_and_Fee),0)</f>
        <v>25742</v>
      </c>
      <c r="N19" s="911">
        <f>O19*'General Basis'!$L$55</f>
        <v>17331.600000000002</v>
      </c>
      <c r="O19" s="565">
        <f>ROUND(AD41*(1-Intermediary_and_Fee),0)</f>
        <v>15756</v>
      </c>
      <c r="P19" s="565">
        <f>ROUND(AF41*(1-Intermediary_and_Fee),0)</f>
        <v>12086</v>
      </c>
      <c r="Q19" s="911">
        <f>P19*'General Basis'!$L$58</f>
        <v>11844.28</v>
      </c>
      <c r="R19" s="565">
        <f>ROUND(AH41*(1-Intermediary_and_Fee),0)</f>
        <v>8360</v>
      </c>
      <c r="S19" s="565" t="s">
        <v>130</v>
      </c>
      <c r="W19" s="436"/>
      <c r="X19" s="669"/>
      <c r="Y19" s="640"/>
      <c r="Z19" s="640"/>
      <c r="AA19" s="640"/>
      <c r="AB19" s="640"/>
      <c r="AC19" s="640"/>
      <c r="AD19" s="640"/>
      <c r="AE19" s="640"/>
      <c r="AF19" s="640"/>
      <c r="AG19" s="640"/>
      <c r="AH19" s="640"/>
      <c r="AI19" s="640"/>
      <c r="AJ19" s="640"/>
      <c r="AK19" s="436"/>
      <c r="AL19" s="1092"/>
      <c r="AM19" s="436"/>
      <c r="AP19" s="436"/>
    </row>
    <row r="20" spans="1:55" ht="25.5" customHeight="1" x14ac:dyDescent="0.25">
      <c r="A20" s="126" t="str">
        <f t="shared" si="9"/>
        <v>36 - 40</v>
      </c>
      <c r="B20" s="565">
        <f t="shared" si="10"/>
        <v>10551</v>
      </c>
      <c r="C20" s="565">
        <f t="shared" si="11"/>
        <v>7833</v>
      </c>
      <c r="D20" s="911">
        <f>E20*'General Basis'!$L$55</f>
        <v>4565</v>
      </c>
      <c r="E20" s="565">
        <f t="shared" si="12"/>
        <v>4150</v>
      </c>
      <c r="F20" s="565">
        <f t="shared" si="13"/>
        <v>2955</v>
      </c>
      <c r="G20" s="911">
        <f>F20*'General Basis'!$L$58</f>
        <v>2895.9</v>
      </c>
      <c r="H20" s="565">
        <f t="shared" si="14"/>
        <v>1887</v>
      </c>
      <c r="I20" s="565">
        <f t="shared" si="15"/>
        <v>1714</v>
      </c>
      <c r="K20" s="745" t="str">
        <f>K50</f>
        <v>65 - 99</v>
      </c>
      <c r="L20" s="746">
        <f t="shared" ref="L20:M20" si="16">L19*Overage_65_above</f>
        <v>62886.6</v>
      </c>
      <c r="M20" s="746">
        <f t="shared" si="16"/>
        <v>46335.6</v>
      </c>
      <c r="N20" s="911">
        <f>O20*'General Basis'!$L$55</f>
        <v>31196.880000000001</v>
      </c>
      <c r="O20" s="746">
        <f>O19*Overage_65_above</f>
        <v>28360.799999999999</v>
      </c>
      <c r="P20" s="746">
        <f>P19*Overage_65_above</f>
        <v>21754.799999999999</v>
      </c>
      <c r="Q20" s="911">
        <f>P20*'General Basis'!$L$58</f>
        <v>21319.703999999998</v>
      </c>
      <c r="R20" s="746">
        <f>R19*Overage_65_above</f>
        <v>15048</v>
      </c>
      <c r="S20" s="746" t="s">
        <v>130</v>
      </c>
      <c r="T20" s="467" t="s">
        <v>942</v>
      </c>
      <c r="W20" s="436"/>
      <c r="X20" s="894" t="s">
        <v>804</v>
      </c>
      <c r="Y20" s="1501" t="s">
        <v>789</v>
      </c>
      <c r="Z20" s="1502"/>
      <c r="AA20" s="1501" t="s">
        <v>790</v>
      </c>
      <c r="AB20" s="1502"/>
      <c r="AC20" s="1501" t="s">
        <v>791</v>
      </c>
      <c r="AD20" s="1502"/>
      <c r="AE20" s="1501" t="s">
        <v>792</v>
      </c>
      <c r="AF20" s="1502"/>
      <c r="AG20" s="1501" t="s">
        <v>793</v>
      </c>
      <c r="AH20" s="1502"/>
      <c r="AI20" s="1501" t="s">
        <v>794</v>
      </c>
      <c r="AJ20" s="1502"/>
      <c r="AK20" s="436"/>
      <c r="AL20" s="1092"/>
      <c r="AM20" s="436"/>
      <c r="AP20" s="436"/>
    </row>
    <row r="21" spans="1:55" x14ac:dyDescent="0.25">
      <c r="A21" s="126" t="str">
        <f t="shared" si="9"/>
        <v>41 - 45</v>
      </c>
      <c r="B21" s="565">
        <f t="shared" si="10"/>
        <v>12142</v>
      </c>
      <c r="C21" s="565">
        <f t="shared" si="11"/>
        <v>9002</v>
      </c>
      <c r="D21" s="911">
        <f>E21*'General Basis'!$L$55</f>
        <v>5863.0000000000009</v>
      </c>
      <c r="E21" s="565">
        <f t="shared" si="12"/>
        <v>5330</v>
      </c>
      <c r="F21" s="565">
        <f t="shared" si="13"/>
        <v>3784</v>
      </c>
      <c r="G21" s="911">
        <f>F21*'General Basis'!$L$58</f>
        <v>3708.3199999999997</v>
      </c>
      <c r="H21" s="565">
        <f t="shared" si="14"/>
        <v>2426</v>
      </c>
      <c r="I21" s="565">
        <f t="shared" si="15"/>
        <v>2206</v>
      </c>
      <c r="W21" s="436"/>
      <c r="X21" s="660"/>
      <c r="Y21" s="894" t="s">
        <v>795</v>
      </c>
      <c r="Z21" s="894" t="s">
        <v>796</v>
      </c>
      <c r="AA21" s="894" t="s">
        <v>795</v>
      </c>
      <c r="AB21" s="894" t="s">
        <v>796</v>
      </c>
      <c r="AC21" s="894" t="s">
        <v>795</v>
      </c>
      <c r="AD21" s="894" t="s">
        <v>796</v>
      </c>
      <c r="AE21" s="894" t="s">
        <v>795</v>
      </c>
      <c r="AF21" s="894" t="s">
        <v>796</v>
      </c>
      <c r="AG21" s="894" t="s">
        <v>795</v>
      </c>
      <c r="AH21" s="894" t="s">
        <v>796</v>
      </c>
      <c r="AI21" s="894" t="s">
        <v>795</v>
      </c>
      <c r="AJ21" s="894" t="s">
        <v>796</v>
      </c>
      <c r="AK21" s="436"/>
      <c r="AL21" s="1092"/>
      <c r="AM21" s="436"/>
      <c r="AP21" s="436"/>
    </row>
    <row r="22" spans="1:55" x14ac:dyDescent="0.25">
      <c r="A22" s="126" t="str">
        <f t="shared" si="9"/>
        <v>46 - 50</v>
      </c>
      <c r="B22" s="565">
        <f t="shared" si="10"/>
        <v>15245</v>
      </c>
      <c r="C22" s="565">
        <f t="shared" si="11"/>
        <v>11281</v>
      </c>
      <c r="D22" s="911">
        <f>E22*'General Basis'!$L$55</f>
        <v>7346.9000000000005</v>
      </c>
      <c r="E22" s="565">
        <f t="shared" si="12"/>
        <v>6679</v>
      </c>
      <c r="F22" s="565">
        <f t="shared" si="13"/>
        <v>4732</v>
      </c>
      <c r="G22" s="911">
        <f>F22*'General Basis'!$L$58</f>
        <v>4637.3599999999997</v>
      </c>
      <c r="H22" s="565">
        <f t="shared" si="14"/>
        <v>3040</v>
      </c>
      <c r="I22" s="565">
        <f t="shared" si="15"/>
        <v>2768</v>
      </c>
      <c r="W22" s="436"/>
      <c r="X22" s="661" t="s">
        <v>805</v>
      </c>
      <c r="Y22" s="639">
        <v>5669</v>
      </c>
      <c r="Z22" s="639">
        <v>4528</v>
      </c>
      <c r="AA22" s="639">
        <v>4600</v>
      </c>
      <c r="AB22" s="639">
        <v>3600</v>
      </c>
      <c r="AC22" s="1267">
        <v>3686</v>
      </c>
      <c r="AD22" s="1267">
        <v>2994</v>
      </c>
      <c r="AE22" s="639">
        <v>2606</v>
      </c>
      <c r="AF22" s="639">
        <v>2190</v>
      </c>
      <c r="AG22" s="639">
        <v>2204</v>
      </c>
      <c r="AH22" s="639">
        <v>2080</v>
      </c>
      <c r="AI22" s="639">
        <v>2002</v>
      </c>
      <c r="AJ22" s="639">
        <v>1891</v>
      </c>
      <c r="AK22" s="436"/>
      <c r="AL22" s="1092"/>
      <c r="AM22" s="436"/>
      <c r="AP22" s="436"/>
    </row>
    <row r="23" spans="1:55" x14ac:dyDescent="0.25">
      <c r="A23" s="126" t="str">
        <f t="shared" si="9"/>
        <v>51 - 55</v>
      </c>
      <c r="B23" s="565">
        <f t="shared" si="10"/>
        <v>20148</v>
      </c>
      <c r="C23" s="565">
        <f t="shared" si="11"/>
        <v>14882</v>
      </c>
      <c r="D23" s="911">
        <f>E23*'General Basis'!$L$55</f>
        <v>9691</v>
      </c>
      <c r="E23" s="565">
        <f t="shared" si="12"/>
        <v>8810</v>
      </c>
      <c r="F23" s="565">
        <f t="shared" si="13"/>
        <v>6230</v>
      </c>
      <c r="G23" s="911">
        <f>F23*'General Basis'!$L$58</f>
        <v>6105.4</v>
      </c>
      <c r="H23" s="565">
        <f t="shared" si="14"/>
        <v>4014</v>
      </c>
      <c r="I23" s="565">
        <f t="shared" si="15"/>
        <v>3655</v>
      </c>
      <c r="W23" s="436"/>
      <c r="X23" s="661" t="s">
        <v>806</v>
      </c>
      <c r="Y23" s="639">
        <v>3843</v>
      </c>
      <c r="Z23" s="639">
        <v>4030</v>
      </c>
      <c r="AA23" s="639">
        <v>3157</v>
      </c>
      <c r="AB23" s="639">
        <v>3217</v>
      </c>
      <c r="AC23" s="1267">
        <v>2842</v>
      </c>
      <c r="AD23" s="1267">
        <v>2742</v>
      </c>
      <c r="AE23" s="639">
        <v>1816</v>
      </c>
      <c r="AF23" s="639">
        <v>1968</v>
      </c>
      <c r="AG23" s="639">
        <v>1041</v>
      </c>
      <c r="AH23" s="639">
        <v>1276</v>
      </c>
      <c r="AI23" s="639">
        <v>941</v>
      </c>
      <c r="AJ23" s="639">
        <v>1156</v>
      </c>
      <c r="AK23" s="436"/>
      <c r="AL23" s="1092"/>
      <c r="AM23" s="436"/>
      <c r="AP23" s="436"/>
    </row>
    <row r="24" spans="1:55" x14ac:dyDescent="0.25">
      <c r="A24" s="126" t="str">
        <f t="shared" si="9"/>
        <v>56 - 59</v>
      </c>
      <c r="B24" s="565">
        <f t="shared" si="10"/>
        <v>24695</v>
      </c>
      <c r="C24" s="565">
        <f t="shared" si="11"/>
        <v>18220</v>
      </c>
      <c r="D24" s="911">
        <f>E24*'General Basis'!$L$55</f>
        <v>11865.7</v>
      </c>
      <c r="E24" s="565">
        <f t="shared" si="12"/>
        <v>10787</v>
      </c>
      <c r="F24" s="565">
        <f t="shared" si="13"/>
        <v>7619</v>
      </c>
      <c r="G24" s="911">
        <f>F24*'General Basis'!$L$58</f>
        <v>7466.62</v>
      </c>
      <c r="H24" s="565">
        <f t="shared" si="14"/>
        <v>4914</v>
      </c>
      <c r="I24" s="565">
        <f t="shared" si="15"/>
        <v>4480</v>
      </c>
      <c r="W24" s="436"/>
      <c r="X24" s="661" t="s">
        <v>797</v>
      </c>
      <c r="Y24" s="967">
        <v>5106</v>
      </c>
      <c r="Z24" s="967">
        <v>5608</v>
      </c>
      <c r="AA24" s="967">
        <v>4154</v>
      </c>
      <c r="AB24" s="967">
        <v>4433</v>
      </c>
      <c r="AC24" s="1267">
        <v>3426</v>
      </c>
      <c r="AD24" s="1267">
        <v>3541</v>
      </c>
      <c r="AE24" s="967">
        <v>2734</v>
      </c>
      <c r="AF24" s="967">
        <v>2673</v>
      </c>
      <c r="AG24" s="967">
        <v>1303</v>
      </c>
      <c r="AH24" s="967">
        <v>1272</v>
      </c>
      <c r="AI24" s="967">
        <v>1012</v>
      </c>
      <c r="AJ24" s="967">
        <v>1152</v>
      </c>
      <c r="AK24" s="436"/>
      <c r="AL24" s="1092"/>
      <c r="AM24" s="436"/>
      <c r="AP24" s="436"/>
      <c r="AQ24" s="434"/>
      <c r="AR24" s="436"/>
      <c r="AS24" s="436"/>
      <c r="AT24" s="436"/>
      <c r="AU24" s="436"/>
      <c r="AV24" s="436"/>
      <c r="AW24" s="436"/>
      <c r="AX24" s="436"/>
      <c r="AY24" s="436"/>
      <c r="AZ24" s="436"/>
      <c r="BA24" s="436"/>
      <c r="BB24" s="436"/>
      <c r="BC24" s="436"/>
    </row>
    <row r="25" spans="1:55" x14ac:dyDescent="0.25">
      <c r="A25" s="126" t="str">
        <f t="shared" si="9"/>
        <v>60 - 64</v>
      </c>
      <c r="B25" s="565">
        <f t="shared" si="10"/>
        <v>29369</v>
      </c>
      <c r="C25" s="565">
        <f t="shared" si="11"/>
        <v>21652</v>
      </c>
      <c r="D25" s="911">
        <f>E25*'General Basis'!$L$55</f>
        <v>14102.000000000002</v>
      </c>
      <c r="E25" s="565">
        <f t="shared" si="12"/>
        <v>12820</v>
      </c>
      <c r="F25" s="565">
        <f t="shared" si="13"/>
        <v>9047</v>
      </c>
      <c r="G25" s="911">
        <f>F25*'General Basis'!$L$58</f>
        <v>8866.06</v>
      </c>
      <c r="H25" s="565">
        <f t="shared" si="14"/>
        <v>5841</v>
      </c>
      <c r="I25" s="565">
        <f t="shared" si="15"/>
        <v>5326</v>
      </c>
      <c r="W25" s="436"/>
      <c r="X25" s="661" t="s">
        <v>798</v>
      </c>
      <c r="Y25" s="967">
        <v>5568</v>
      </c>
      <c r="Z25" s="967">
        <v>7016</v>
      </c>
      <c r="AA25" s="967">
        <v>4520</v>
      </c>
      <c r="AB25" s="967">
        <v>5518</v>
      </c>
      <c r="AC25" s="1267">
        <v>3640</v>
      </c>
      <c r="AD25" s="1267">
        <v>4254</v>
      </c>
      <c r="AE25" s="967">
        <v>2964</v>
      </c>
      <c r="AF25" s="967">
        <v>3303</v>
      </c>
      <c r="AG25" s="967">
        <v>1417</v>
      </c>
      <c r="AH25" s="967">
        <v>1583</v>
      </c>
      <c r="AI25" s="967">
        <v>1102</v>
      </c>
      <c r="AJ25" s="967">
        <v>1436</v>
      </c>
      <c r="AK25" s="436"/>
      <c r="AL25" s="1092"/>
      <c r="AM25" s="436"/>
      <c r="AP25" s="436"/>
      <c r="AQ25" s="434"/>
      <c r="AR25" s="436"/>
      <c r="AS25" s="436"/>
      <c r="AT25" s="436"/>
      <c r="AU25" s="436"/>
      <c r="AV25" s="436"/>
      <c r="AW25" s="436"/>
      <c r="AX25" s="436"/>
      <c r="AY25" s="436"/>
      <c r="AZ25" s="436"/>
      <c r="BA25" s="436"/>
      <c r="BB25" s="436"/>
      <c r="BC25" s="436"/>
    </row>
    <row r="26" spans="1:55" x14ac:dyDescent="0.25">
      <c r="A26" s="745" t="str">
        <f t="shared" si="9"/>
        <v>65 - 99</v>
      </c>
      <c r="B26" s="746">
        <f t="shared" ref="B26:C26" si="17">B25*Overage_65_above</f>
        <v>52864.200000000004</v>
      </c>
      <c r="C26" s="746">
        <f t="shared" si="17"/>
        <v>38973.599999999999</v>
      </c>
      <c r="D26" s="911">
        <f>E26*'General Basis'!$L$55</f>
        <v>25383.600000000002</v>
      </c>
      <c r="E26" s="746">
        <f>E25*Overage_65_above</f>
        <v>23076</v>
      </c>
      <c r="F26" s="746">
        <f>F25*Overage_65_above</f>
        <v>16284.6</v>
      </c>
      <c r="G26" s="911">
        <f>F26*'General Basis'!$L$58</f>
        <v>15958.907999999999</v>
      </c>
      <c r="H26" s="746">
        <f>H25*Overage_65_above</f>
        <v>10513.800000000001</v>
      </c>
      <c r="I26" s="746">
        <f>I25*Overage_65_above</f>
        <v>9586.8000000000011</v>
      </c>
      <c r="J26" s="467" t="s">
        <v>942</v>
      </c>
      <c r="W26" s="436"/>
      <c r="X26" s="661" t="s">
        <v>799</v>
      </c>
      <c r="Y26" s="967">
        <v>6758</v>
      </c>
      <c r="Z26" s="967">
        <v>8416</v>
      </c>
      <c r="AA26" s="967">
        <v>5461</v>
      </c>
      <c r="AB26" s="967">
        <v>6598</v>
      </c>
      <c r="AC26" s="1267">
        <v>4189</v>
      </c>
      <c r="AD26" s="1267">
        <v>4962</v>
      </c>
      <c r="AE26" s="967">
        <v>3556</v>
      </c>
      <c r="AF26" s="967">
        <v>3928</v>
      </c>
      <c r="AG26" s="967">
        <v>1709</v>
      </c>
      <c r="AH26" s="967">
        <v>1892</v>
      </c>
      <c r="AI26" s="967">
        <v>1335</v>
      </c>
      <c r="AJ26" s="967">
        <v>1719</v>
      </c>
      <c r="AK26" s="436"/>
      <c r="AL26" s="1092"/>
      <c r="AM26" s="436"/>
      <c r="AP26" s="436"/>
      <c r="AQ26" s="434"/>
      <c r="AR26" s="436"/>
      <c r="AS26" s="436"/>
      <c r="AT26" s="436"/>
      <c r="AU26" s="436"/>
      <c r="AV26" s="436"/>
      <c r="AW26" s="436"/>
      <c r="AX26" s="436"/>
      <c r="AY26" s="436"/>
      <c r="AZ26" s="436"/>
      <c r="BA26" s="436"/>
      <c r="BB26" s="436"/>
      <c r="BC26" s="436"/>
    </row>
    <row r="27" spans="1:55" x14ac:dyDescent="0.25">
      <c r="B27" s="724"/>
      <c r="C27" s="725"/>
      <c r="D27" s="725"/>
      <c r="E27" s="725"/>
      <c r="F27" s="725"/>
      <c r="G27" s="725"/>
      <c r="H27" s="725"/>
      <c r="W27" s="436"/>
      <c r="X27" s="661" t="s">
        <v>800</v>
      </c>
      <c r="Y27" s="967">
        <v>8389</v>
      </c>
      <c r="Z27" s="967">
        <v>10551</v>
      </c>
      <c r="AA27" s="967">
        <v>6750</v>
      </c>
      <c r="AB27" s="967">
        <v>8244</v>
      </c>
      <c r="AC27" s="1267">
        <v>5443</v>
      </c>
      <c r="AD27" s="1267">
        <v>6042</v>
      </c>
      <c r="AE27" s="967">
        <v>4367</v>
      </c>
      <c r="AF27" s="967">
        <v>4883</v>
      </c>
      <c r="AG27" s="967">
        <v>2110</v>
      </c>
      <c r="AH27" s="967">
        <v>2363</v>
      </c>
      <c r="AI27" s="967">
        <v>1653</v>
      </c>
      <c r="AJ27" s="967">
        <v>2150</v>
      </c>
      <c r="AK27" s="436"/>
      <c r="AL27" s="1092"/>
      <c r="AM27" s="436"/>
      <c r="AP27" s="436"/>
      <c r="AQ27" s="434"/>
      <c r="AR27" s="436"/>
      <c r="AS27" s="436"/>
      <c r="AT27" s="436"/>
      <c r="AU27" s="436"/>
      <c r="AV27" s="436"/>
      <c r="AW27" s="436"/>
      <c r="AX27" s="436"/>
      <c r="AY27" s="436"/>
      <c r="AZ27" s="436"/>
      <c r="BA27" s="436"/>
      <c r="BB27" s="436"/>
      <c r="BC27" s="436"/>
    </row>
    <row r="28" spans="1:55" x14ac:dyDescent="0.25">
      <c r="W28" s="436"/>
      <c r="X28" s="661" t="s">
        <v>801</v>
      </c>
      <c r="Y28" s="967">
        <v>9868</v>
      </c>
      <c r="Z28" s="967">
        <v>13565</v>
      </c>
      <c r="AA28" s="967">
        <v>7917</v>
      </c>
      <c r="AB28" s="967">
        <v>10568</v>
      </c>
      <c r="AC28" s="1267">
        <v>6125</v>
      </c>
      <c r="AD28" s="1267">
        <v>7567</v>
      </c>
      <c r="AE28" s="967">
        <v>5101</v>
      </c>
      <c r="AF28" s="967">
        <v>6232</v>
      </c>
      <c r="AG28" s="967">
        <v>2473</v>
      </c>
      <c r="AH28" s="967">
        <v>3029</v>
      </c>
      <c r="AI28" s="967">
        <v>1942</v>
      </c>
      <c r="AJ28" s="967">
        <v>2758</v>
      </c>
      <c r="AK28" s="436"/>
      <c r="AL28" s="1092"/>
      <c r="AM28" s="436"/>
      <c r="AP28" s="436"/>
      <c r="AQ28" s="434"/>
      <c r="AR28" s="436"/>
      <c r="AS28" s="436"/>
      <c r="AT28" s="436"/>
      <c r="AU28" s="436"/>
      <c r="AV28" s="436"/>
      <c r="AW28" s="436"/>
      <c r="AX28" s="436"/>
      <c r="AY28" s="436"/>
      <c r="AZ28" s="436"/>
      <c r="BA28" s="436"/>
      <c r="BB28" s="436"/>
      <c r="BC28" s="436"/>
    </row>
    <row r="29" spans="1:55" ht="15.75" x14ac:dyDescent="0.25">
      <c r="A29" s="944" t="s">
        <v>839</v>
      </c>
      <c r="B29" s="945"/>
      <c r="C29" s="945"/>
      <c r="D29" s="945"/>
      <c r="E29" s="945"/>
      <c r="F29" s="945"/>
      <c r="G29" s="945"/>
      <c r="H29" s="945"/>
      <c r="I29" s="945"/>
      <c r="K29" s="944" t="s">
        <v>843</v>
      </c>
      <c r="L29" s="945"/>
      <c r="M29" s="945"/>
      <c r="N29" s="945"/>
      <c r="O29" s="945"/>
      <c r="P29" s="945"/>
      <c r="Q29" s="945"/>
      <c r="R29" s="945"/>
      <c r="S29" s="945"/>
      <c r="T29" s="568"/>
      <c r="W29" s="436"/>
      <c r="X29" s="661" t="s">
        <v>802</v>
      </c>
      <c r="Y29" s="967">
        <v>11589</v>
      </c>
      <c r="Z29" s="967">
        <v>15245</v>
      </c>
      <c r="AA29" s="967">
        <v>9277</v>
      </c>
      <c r="AB29" s="967">
        <v>11864</v>
      </c>
      <c r="AC29" s="1267">
        <v>7549</v>
      </c>
      <c r="AD29" s="1267">
        <v>9312</v>
      </c>
      <c r="AE29" s="967">
        <v>6631</v>
      </c>
      <c r="AF29" s="967">
        <v>7772</v>
      </c>
      <c r="AG29" s="967">
        <v>3229</v>
      </c>
      <c r="AH29" s="967">
        <v>3791</v>
      </c>
      <c r="AI29" s="967">
        <v>2542</v>
      </c>
      <c r="AJ29" s="967">
        <v>3454</v>
      </c>
      <c r="AK29" s="436"/>
      <c r="AL29" s="1092"/>
      <c r="AM29" s="436"/>
      <c r="AP29" s="436"/>
      <c r="AQ29" s="434"/>
      <c r="AR29" s="436"/>
      <c r="AS29" s="436"/>
      <c r="AT29" s="436"/>
      <c r="AU29" s="436"/>
      <c r="AV29" s="436"/>
      <c r="AW29" s="436"/>
      <c r="AX29" s="436"/>
      <c r="AY29" s="436"/>
      <c r="AZ29" s="436"/>
      <c r="BA29" s="436"/>
      <c r="BB29" s="436"/>
      <c r="BC29" s="436"/>
    </row>
    <row r="30" spans="1:55" x14ac:dyDescent="0.25">
      <c r="A30" s="566" t="s">
        <v>30</v>
      </c>
      <c r="B30" s="566" t="s">
        <v>7</v>
      </c>
      <c r="C30" s="566" t="s">
        <v>21</v>
      </c>
      <c r="D30" s="584" t="s">
        <v>1045</v>
      </c>
      <c r="E30" s="566" t="s">
        <v>28</v>
      </c>
      <c r="F30" s="566" t="s">
        <v>29</v>
      </c>
      <c r="G30" s="584" t="s">
        <v>1073</v>
      </c>
      <c r="H30" s="566" t="s">
        <v>34</v>
      </c>
      <c r="I30" s="566" t="s">
        <v>813</v>
      </c>
      <c r="K30" s="566" t="s">
        <v>30</v>
      </c>
      <c r="L30" s="566" t="s">
        <v>7</v>
      </c>
      <c r="M30" s="566" t="s">
        <v>21</v>
      </c>
      <c r="N30" s="584" t="s">
        <v>1045</v>
      </c>
      <c r="O30" s="566" t="s">
        <v>28</v>
      </c>
      <c r="P30" s="566" t="s">
        <v>29</v>
      </c>
      <c r="Q30" s="584" t="s">
        <v>1073</v>
      </c>
      <c r="R30" s="566" t="s">
        <v>34</v>
      </c>
      <c r="S30" s="566" t="s">
        <v>813</v>
      </c>
      <c r="W30" s="436"/>
      <c r="X30" s="661" t="s">
        <v>803</v>
      </c>
      <c r="Y30" s="967">
        <v>15598</v>
      </c>
      <c r="Z30" s="967">
        <v>20148</v>
      </c>
      <c r="AA30" s="967">
        <v>12444</v>
      </c>
      <c r="AB30" s="967">
        <v>15645</v>
      </c>
      <c r="AC30" s="1267">
        <v>10606</v>
      </c>
      <c r="AD30" s="1267">
        <v>12068</v>
      </c>
      <c r="AE30" s="967">
        <v>8845</v>
      </c>
      <c r="AF30" s="967">
        <v>10209</v>
      </c>
      <c r="AG30" s="967">
        <v>4324</v>
      </c>
      <c r="AH30" s="967">
        <v>4994</v>
      </c>
      <c r="AI30" s="967">
        <v>3411</v>
      </c>
      <c r="AJ30" s="967">
        <v>4553</v>
      </c>
      <c r="AK30" s="436"/>
      <c r="AL30" s="1092"/>
      <c r="AM30" s="436"/>
      <c r="AP30" s="436"/>
      <c r="AQ30" s="434"/>
      <c r="AR30" s="436"/>
      <c r="AS30" s="436"/>
      <c r="AT30" s="436"/>
      <c r="AU30" s="436"/>
      <c r="AV30" s="436"/>
      <c r="AW30" s="436"/>
      <c r="AX30" s="436"/>
      <c r="AY30" s="436"/>
      <c r="AZ30" s="436"/>
      <c r="BA30" s="436"/>
      <c r="BB30" s="436"/>
      <c r="BC30" s="436"/>
    </row>
    <row r="31" spans="1:55" x14ac:dyDescent="0.25">
      <c r="A31" s="968" t="str">
        <f>'General Basis'!B39</f>
        <v>0 - 10</v>
      </c>
      <c r="B31" s="565">
        <f t="shared" ref="B31:B41" si="18">ROUND(Y22*(1-Intermediary_and_Fee),0)</f>
        <v>5669</v>
      </c>
      <c r="C31" s="565">
        <f t="shared" ref="C31:C41" si="19">ROUND(AA22*(1-Intermediary_and_Fee),0)</f>
        <v>4600</v>
      </c>
      <c r="D31" s="911">
        <f>E31*'General Basis'!$L$55</f>
        <v>4054.6000000000004</v>
      </c>
      <c r="E31" s="565">
        <f t="shared" ref="E31:E41" si="20">ROUND(AC22*(1-Intermediary_and_Fee),0)</f>
        <v>3686</v>
      </c>
      <c r="F31" s="565">
        <f t="shared" ref="F31:F41" si="21">ROUND(AE22*(1-Intermediary_and_Fee),0)</f>
        <v>2606</v>
      </c>
      <c r="G31" s="911">
        <f>F31*'General Basis'!$L$58</f>
        <v>2553.88</v>
      </c>
      <c r="H31" s="565">
        <f t="shared" ref="H31:H41" si="22">ROUND(AG22*(1-Intermediary_and_Fee),0)</f>
        <v>2204</v>
      </c>
      <c r="I31" s="565">
        <f t="shared" ref="I31:I41" si="23">ROUND(AI22*(1-Intermediary_and_Fee),0)</f>
        <v>2002</v>
      </c>
      <c r="K31" s="126" t="str">
        <f>'General Basis'!C39</f>
        <v>0 - 17</v>
      </c>
      <c r="L31" s="565">
        <f>ROUND(Y51*(1-Intermediary_and_Fee),0)</f>
        <v>4690</v>
      </c>
      <c r="M31" s="565">
        <f>ROUND(AA51*(1-Intermediary_and_Fee),0)</f>
        <v>3831</v>
      </c>
      <c r="N31" s="911">
        <f>O31*'General Basis'!$L$55</f>
        <v>3451.8</v>
      </c>
      <c r="O31" s="565">
        <f>ROUND(AC51*(1-Intermediary_and_Fee),0)</f>
        <v>3138</v>
      </c>
      <c r="P31" s="565">
        <f>ROUND(AE51*(1-Intermediary_and_Fee),0)</f>
        <v>2277</v>
      </c>
      <c r="Q31" s="911">
        <f>P31*'General Basis'!$L$58</f>
        <v>2231.46</v>
      </c>
      <c r="R31" s="565">
        <f>ROUND(AG51*(1-Intermediary_and_Fee),0)</f>
        <v>1865</v>
      </c>
      <c r="S31" s="565" t="s">
        <v>130</v>
      </c>
      <c r="W31" s="436"/>
      <c r="X31" s="668" t="s">
        <v>835</v>
      </c>
      <c r="Y31" s="967">
        <v>21300</v>
      </c>
      <c r="Z31" s="967">
        <v>24695</v>
      </c>
      <c r="AA31" s="967">
        <v>16950</v>
      </c>
      <c r="AB31" s="967">
        <v>19150</v>
      </c>
      <c r="AC31" s="1267">
        <v>14032</v>
      </c>
      <c r="AD31" s="1267">
        <v>14624</v>
      </c>
      <c r="AE31" s="967">
        <v>11995</v>
      </c>
      <c r="AF31" s="967">
        <v>12468</v>
      </c>
      <c r="AG31" s="967">
        <v>5881</v>
      </c>
      <c r="AH31" s="967">
        <v>6111</v>
      </c>
      <c r="AI31" s="967">
        <v>4648</v>
      </c>
      <c r="AJ31" s="967">
        <v>5573</v>
      </c>
      <c r="AK31" s="436"/>
      <c r="AL31" s="1092"/>
      <c r="AM31" s="436"/>
      <c r="AN31" s="436"/>
      <c r="AO31" s="436"/>
      <c r="AP31" s="436"/>
      <c r="AQ31" s="434"/>
      <c r="AR31" s="436"/>
      <c r="AS31" s="436"/>
      <c r="AT31" s="436"/>
      <c r="AU31" s="436"/>
      <c r="AV31" s="436"/>
      <c r="AW31" s="436"/>
      <c r="AX31" s="436"/>
      <c r="AY31" s="436"/>
      <c r="AZ31" s="436"/>
      <c r="BA31" s="436"/>
      <c r="BB31" s="436"/>
      <c r="BC31" s="436"/>
    </row>
    <row r="32" spans="1:55" x14ac:dyDescent="0.25">
      <c r="A32" s="968" t="str">
        <f>'General Basis'!B40</f>
        <v>11 - 17</v>
      </c>
      <c r="B32" s="565">
        <f t="shared" si="18"/>
        <v>3843</v>
      </c>
      <c r="C32" s="565">
        <f t="shared" si="19"/>
        <v>3157</v>
      </c>
      <c r="D32" s="911">
        <f>E32*'General Basis'!$L$55</f>
        <v>3126.2000000000003</v>
      </c>
      <c r="E32" s="565">
        <f t="shared" si="20"/>
        <v>2842</v>
      </c>
      <c r="F32" s="565">
        <f t="shared" si="21"/>
        <v>1816</v>
      </c>
      <c r="G32" s="911">
        <f>F32*'General Basis'!$L$58</f>
        <v>1779.68</v>
      </c>
      <c r="H32" s="565">
        <f t="shared" si="22"/>
        <v>1041</v>
      </c>
      <c r="I32" s="565">
        <f t="shared" si="23"/>
        <v>941</v>
      </c>
      <c r="K32" s="126" t="str">
        <f>'General Basis'!C40</f>
        <v>18 - 40</v>
      </c>
      <c r="L32" s="565">
        <f>ROUND(Y52*(1-Intermediary_and_Fee),0)</f>
        <v>7385</v>
      </c>
      <c r="M32" s="565">
        <f>ROUND(AA52*(1-Intermediary_and_Fee),0)</f>
        <v>5807</v>
      </c>
      <c r="N32" s="911">
        <f>O32*'General Basis'!$L$55</f>
        <v>4714.6000000000004</v>
      </c>
      <c r="O32" s="565">
        <f>ROUND(AC52*(1-Intermediary_and_Fee),0)</f>
        <v>4286</v>
      </c>
      <c r="P32" s="565">
        <f>ROUND(AE52*(1-Intermediary_and_Fee),0)</f>
        <v>3473</v>
      </c>
      <c r="Q32" s="911">
        <f>P32*'General Basis'!$L$58</f>
        <v>3403.54</v>
      </c>
      <c r="R32" s="565">
        <f>ROUND(AG52*(1-Intermediary_and_Fee),0)</f>
        <v>2125</v>
      </c>
      <c r="S32" s="565" t="s">
        <v>130</v>
      </c>
      <c r="W32" s="436"/>
      <c r="X32" s="668" t="s">
        <v>808</v>
      </c>
      <c r="Y32" s="967">
        <v>26253</v>
      </c>
      <c r="Z32" s="967">
        <v>29369</v>
      </c>
      <c r="AA32" s="967">
        <v>20861</v>
      </c>
      <c r="AB32" s="967">
        <v>22756</v>
      </c>
      <c r="AC32" s="1267">
        <v>17076</v>
      </c>
      <c r="AD32" s="1267">
        <v>17253</v>
      </c>
      <c r="AE32" s="967">
        <v>14729</v>
      </c>
      <c r="AF32" s="967">
        <v>14791</v>
      </c>
      <c r="AG32" s="967">
        <v>7233</v>
      </c>
      <c r="AH32" s="967">
        <v>7258</v>
      </c>
      <c r="AI32" s="967">
        <v>5722</v>
      </c>
      <c r="AJ32" s="967">
        <v>6621</v>
      </c>
      <c r="AK32" s="436"/>
      <c r="AL32" s="1092"/>
      <c r="AM32" s="436"/>
      <c r="AN32" s="436"/>
      <c r="AO32" s="436"/>
      <c r="AP32" s="436"/>
      <c r="AQ32" s="434"/>
      <c r="AR32" s="436"/>
      <c r="AS32" s="436"/>
      <c r="AT32" s="436"/>
      <c r="AU32" s="436"/>
      <c r="AV32" s="436"/>
      <c r="AW32" s="436"/>
      <c r="AX32" s="436"/>
      <c r="AY32" s="436"/>
      <c r="AZ32" s="436"/>
      <c r="BA32" s="436"/>
      <c r="BB32" s="436"/>
      <c r="BC32" s="436"/>
    </row>
    <row r="33" spans="1:55" x14ac:dyDescent="0.25">
      <c r="A33" s="968" t="str">
        <f>'General Basis'!B41</f>
        <v>18 - 25</v>
      </c>
      <c r="B33" s="565">
        <f t="shared" si="18"/>
        <v>5106</v>
      </c>
      <c r="C33" s="565">
        <f t="shared" si="19"/>
        <v>4154</v>
      </c>
      <c r="D33" s="911">
        <f>E33*'General Basis'!$L$55</f>
        <v>3768.6000000000004</v>
      </c>
      <c r="E33" s="565">
        <f t="shared" si="20"/>
        <v>3426</v>
      </c>
      <c r="F33" s="565">
        <f t="shared" si="21"/>
        <v>2734</v>
      </c>
      <c r="G33" s="911">
        <f>F33*'General Basis'!$L$58</f>
        <v>2679.32</v>
      </c>
      <c r="H33" s="565">
        <f t="shared" si="22"/>
        <v>1303</v>
      </c>
      <c r="I33" s="565">
        <f t="shared" si="23"/>
        <v>1012</v>
      </c>
      <c r="K33" s="126" t="str">
        <f>'General Basis'!C41</f>
        <v>41 -59</v>
      </c>
      <c r="L33" s="565">
        <f>ROUND(Y53*(1-Intermediary_and_Fee),0)</f>
        <v>14144</v>
      </c>
      <c r="M33" s="565">
        <f>ROUND(AA53*(1-Intermediary_and_Fee),0)</f>
        <v>11276</v>
      </c>
      <c r="N33" s="911">
        <f>O33*'General Basis'!$L$55</f>
        <v>10562.2</v>
      </c>
      <c r="O33" s="565">
        <f>ROUND(AC53*(1-Intermediary_and_Fee),0)</f>
        <v>9602</v>
      </c>
      <c r="P33" s="565">
        <f>ROUND(AE53*(1-Intermediary_and_Fee),0)</f>
        <v>7899</v>
      </c>
      <c r="Q33" s="911">
        <f>P33*'General Basis'!$L$58</f>
        <v>7741.0199999999995</v>
      </c>
      <c r="R33" s="565">
        <f>ROUND(AG53*(1-Intermediary_and_Fee),0)</f>
        <v>5198</v>
      </c>
      <c r="S33" s="565" t="s">
        <v>130</v>
      </c>
      <c r="W33" s="436"/>
      <c r="X33" s="637"/>
      <c r="Y33" s="637"/>
      <c r="Z33" s="637"/>
      <c r="AA33" s="637"/>
      <c r="AB33" s="637"/>
      <c r="AC33" s="637"/>
      <c r="AD33" s="637"/>
      <c r="AE33" s="637"/>
      <c r="AF33" s="637"/>
      <c r="AG33" s="637"/>
      <c r="AH33" s="637"/>
      <c r="AI33" s="637"/>
      <c r="AJ33" s="637"/>
      <c r="AK33" s="436"/>
      <c r="AL33" s="1092"/>
      <c r="AM33" s="436"/>
      <c r="AN33" s="436"/>
      <c r="AO33" s="436"/>
      <c r="AP33" s="436"/>
      <c r="AQ33" s="436"/>
      <c r="AR33" s="436"/>
      <c r="AS33" s="436"/>
      <c r="AT33" s="436"/>
      <c r="AU33" s="436"/>
      <c r="AV33" s="436"/>
      <c r="AW33" s="436"/>
      <c r="AX33" s="436"/>
      <c r="AY33" s="436"/>
      <c r="AZ33" s="436"/>
      <c r="BA33" s="436"/>
      <c r="BB33" s="436"/>
      <c r="BC33" s="436"/>
    </row>
    <row r="34" spans="1:55" x14ac:dyDescent="0.25">
      <c r="A34" s="968" t="str">
        <f>'General Basis'!B42</f>
        <v>26 - 30</v>
      </c>
      <c r="B34" s="565">
        <f t="shared" si="18"/>
        <v>5568</v>
      </c>
      <c r="C34" s="565">
        <f t="shared" si="19"/>
        <v>4520</v>
      </c>
      <c r="D34" s="911">
        <f>E34*'General Basis'!$L$55</f>
        <v>4004.0000000000005</v>
      </c>
      <c r="E34" s="565">
        <f t="shared" si="20"/>
        <v>3640</v>
      </c>
      <c r="F34" s="565">
        <f t="shared" si="21"/>
        <v>2964</v>
      </c>
      <c r="G34" s="911">
        <f>F34*'General Basis'!$L$58</f>
        <v>2904.72</v>
      </c>
      <c r="H34" s="565">
        <f t="shared" si="22"/>
        <v>1417</v>
      </c>
      <c r="I34" s="565">
        <f t="shared" si="23"/>
        <v>1102</v>
      </c>
      <c r="K34" s="126" t="str">
        <f>'General Basis'!C42</f>
        <v>60 - 64</v>
      </c>
      <c r="L34" s="565">
        <f>ROUND(Y54*(1-Intermediary_and_Fee),0)</f>
        <v>41161</v>
      </c>
      <c r="M34" s="565">
        <f>ROUND(AA54*(1-Intermediary_and_Fee),0)</f>
        <v>32223</v>
      </c>
      <c r="N34" s="911">
        <f>O34*'General Basis'!$L$55</f>
        <v>28938.800000000003</v>
      </c>
      <c r="O34" s="565">
        <f>ROUND(AC54*(1-Intermediary_and_Fee),0)</f>
        <v>26308</v>
      </c>
      <c r="P34" s="565">
        <f>ROUND(AE54*(1-Intermediary_and_Fee),0)</f>
        <v>21744</v>
      </c>
      <c r="Q34" s="911">
        <f>P34*'General Basis'!$L$58</f>
        <v>21309.119999999999</v>
      </c>
      <c r="R34" s="565">
        <f>ROUND(AG54*(1-Intermediary_and_Fee),0)</f>
        <v>17538</v>
      </c>
      <c r="S34" s="565" t="s">
        <v>130</v>
      </c>
      <c r="W34" s="436"/>
      <c r="X34" s="637"/>
      <c r="Y34" s="637"/>
      <c r="Z34" s="637"/>
      <c r="AA34" s="637"/>
      <c r="AB34" s="637"/>
      <c r="AC34" s="637"/>
      <c r="AD34" s="637"/>
      <c r="AE34" s="637"/>
      <c r="AF34" s="637"/>
      <c r="AG34" s="637"/>
      <c r="AH34" s="637"/>
      <c r="AI34" s="637"/>
      <c r="AJ34" s="637"/>
      <c r="AK34" s="436"/>
      <c r="AL34" s="1092"/>
      <c r="AM34" s="436"/>
    </row>
    <row r="35" spans="1:55" x14ac:dyDescent="0.25">
      <c r="A35" s="968" t="str">
        <f>'General Basis'!B43</f>
        <v>31 - 35</v>
      </c>
      <c r="B35" s="565">
        <f t="shared" si="18"/>
        <v>6758</v>
      </c>
      <c r="C35" s="565">
        <f t="shared" si="19"/>
        <v>5461</v>
      </c>
      <c r="D35" s="911">
        <f>E35*'General Basis'!$L$55</f>
        <v>4607.9000000000005</v>
      </c>
      <c r="E35" s="565">
        <f t="shared" si="20"/>
        <v>4189</v>
      </c>
      <c r="F35" s="565">
        <f t="shared" si="21"/>
        <v>3556</v>
      </c>
      <c r="G35" s="911">
        <f>F35*'General Basis'!$L$58</f>
        <v>3484.88</v>
      </c>
      <c r="H35" s="565">
        <f t="shared" si="22"/>
        <v>1709</v>
      </c>
      <c r="I35" s="565">
        <f t="shared" si="23"/>
        <v>1335</v>
      </c>
      <c r="K35" s="745" t="str">
        <f>'General Basis'!C43</f>
        <v>65 - 99</v>
      </c>
      <c r="L35" s="746">
        <f t="shared" ref="L35:M35" si="24">L34*Overage_65_above</f>
        <v>74089.8</v>
      </c>
      <c r="M35" s="746">
        <f t="shared" si="24"/>
        <v>58001.4</v>
      </c>
      <c r="N35" s="911">
        <f>O35*'General Basis'!$L$55</f>
        <v>52089.840000000004</v>
      </c>
      <c r="O35" s="746">
        <f>O34*Overage_65_above</f>
        <v>47354.400000000001</v>
      </c>
      <c r="P35" s="746">
        <f>P34*Overage_65_above</f>
        <v>39139.200000000004</v>
      </c>
      <c r="Q35" s="911">
        <f>P35*'General Basis'!$L$58</f>
        <v>38356.416000000005</v>
      </c>
      <c r="R35" s="746">
        <f>R34*Overage_65_above</f>
        <v>31568.400000000001</v>
      </c>
      <c r="S35" s="746" t="s">
        <v>130</v>
      </c>
      <c r="T35" s="467" t="s">
        <v>942</v>
      </c>
      <c r="W35" s="436"/>
      <c r="X35" s="1503" t="s">
        <v>807</v>
      </c>
      <c r="Y35" s="1503"/>
      <c r="Z35" s="1503"/>
      <c r="AA35" s="1503"/>
      <c r="AB35" s="1503"/>
      <c r="AC35" s="1503"/>
      <c r="AD35" s="1503"/>
      <c r="AE35" s="1503"/>
      <c r="AF35" s="1503"/>
      <c r="AG35" s="1503"/>
      <c r="AH35" s="1503"/>
      <c r="AI35" s="1503"/>
      <c r="AJ35" s="1503"/>
      <c r="AK35" s="436"/>
      <c r="AL35" s="1092"/>
      <c r="AM35" s="436"/>
    </row>
    <row r="36" spans="1:55" x14ac:dyDescent="0.25">
      <c r="A36" s="968" t="str">
        <f>'General Basis'!B44</f>
        <v>36 - 40</v>
      </c>
      <c r="B36" s="565">
        <f t="shared" si="18"/>
        <v>8389</v>
      </c>
      <c r="C36" s="565">
        <f t="shared" si="19"/>
        <v>6750</v>
      </c>
      <c r="D36" s="911">
        <f>E36*'General Basis'!$L$55</f>
        <v>5987.3</v>
      </c>
      <c r="E36" s="565">
        <f t="shared" si="20"/>
        <v>5443</v>
      </c>
      <c r="F36" s="565">
        <f t="shared" si="21"/>
        <v>4367</v>
      </c>
      <c r="G36" s="911">
        <f>F36*'General Basis'!$L$58</f>
        <v>4279.66</v>
      </c>
      <c r="H36" s="565">
        <f t="shared" si="22"/>
        <v>2110</v>
      </c>
      <c r="I36" s="565">
        <f t="shared" si="23"/>
        <v>1653</v>
      </c>
      <c r="W36" s="436"/>
      <c r="X36" s="662"/>
      <c r="Y36" s="663"/>
      <c r="Z36" s="663"/>
      <c r="AA36" s="663"/>
      <c r="AB36" s="663"/>
      <c r="AC36" s="663"/>
      <c r="AD36" s="663"/>
      <c r="AE36" s="663"/>
      <c r="AF36" s="663"/>
      <c r="AG36" s="663"/>
      <c r="AH36" s="663"/>
      <c r="AI36" s="663"/>
      <c r="AJ36" s="663"/>
      <c r="AK36" s="436"/>
      <c r="AL36" s="1092"/>
      <c r="AM36" s="436"/>
      <c r="AN36" s="436"/>
      <c r="AO36" s="436"/>
      <c r="AP36" s="436"/>
      <c r="AQ36" s="436"/>
      <c r="AR36" s="436"/>
      <c r="AS36" s="436"/>
      <c r="AT36" s="436"/>
      <c r="AU36" s="436"/>
      <c r="AV36" s="436"/>
      <c r="AW36" s="436"/>
      <c r="AX36" s="436"/>
      <c r="AY36" s="436"/>
      <c r="AZ36" s="436"/>
      <c r="BA36" s="436"/>
      <c r="BB36" s="436"/>
      <c r="BC36" s="436"/>
    </row>
    <row r="37" spans="1:55" x14ac:dyDescent="0.25">
      <c r="A37" s="968" t="str">
        <f>'General Basis'!B45</f>
        <v>41 - 45</v>
      </c>
      <c r="B37" s="565">
        <f t="shared" si="18"/>
        <v>9868</v>
      </c>
      <c r="C37" s="565">
        <f t="shared" si="19"/>
        <v>7917</v>
      </c>
      <c r="D37" s="911">
        <f>E37*'General Basis'!$L$55</f>
        <v>6737.5000000000009</v>
      </c>
      <c r="E37" s="565">
        <f t="shared" si="20"/>
        <v>6125</v>
      </c>
      <c r="F37" s="565">
        <f t="shared" si="21"/>
        <v>5101</v>
      </c>
      <c r="G37" s="911">
        <f>F37*'General Basis'!$L$58</f>
        <v>4998.9799999999996</v>
      </c>
      <c r="H37" s="565">
        <f t="shared" si="22"/>
        <v>2473</v>
      </c>
      <c r="I37" s="565">
        <f t="shared" si="23"/>
        <v>1942</v>
      </c>
      <c r="W37" s="436"/>
      <c r="X37" s="894" t="s">
        <v>351</v>
      </c>
      <c r="Y37" s="1498" t="s">
        <v>789</v>
      </c>
      <c r="Z37" s="1498"/>
      <c r="AA37" s="1498" t="s">
        <v>790</v>
      </c>
      <c r="AB37" s="1498"/>
      <c r="AC37" s="1498" t="s">
        <v>791</v>
      </c>
      <c r="AD37" s="1498"/>
      <c r="AE37" s="1498" t="s">
        <v>792</v>
      </c>
      <c r="AF37" s="1498"/>
      <c r="AG37" s="1498" t="s">
        <v>793</v>
      </c>
      <c r="AH37" s="1498"/>
      <c r="AI37" s="1498" t="s">
        <v>794</v>
      </c>
      <c r="AJ37" s="1498"/>
      <c r="AK37" s="436"/>
      <c r="AL37" s="1092"/>
      <c r="AM37" s="436"/>
      <c r="AN37" s="436"/>
      <c r="AO37" s="436"/>
      <c r="AP37" s="436"/>
      <c r="AQ37" s="436"/>
      <c r="AR37" s="436"/>
      <c r="AS37" s="436"/>
      <c r="AT37" s="436"/>
      <c r="AU37" s="436"/>
      <c r="AV37" s="436"/>
      <c r="AW37" s="436"/>
      <c r="AX37" s="436"/>
      <c r="AY37" s="436"/>
      <c r="AZ37" s="436"/>
      <c r="BA37" s="436"/>
      <c r="BB37" s="436"/>
      <c r="BC37" s="436"/>
    </row>
    <row r="38" spans="1:55" x14ac:dyDescent="0.25">
      <c r="A38" s="968" t="str">
        <f>'General Basis'!B46</f>
        <v>46 - 50</v>
      </c>
      <c r="B38" s="565">
        <f t="shared" si="18"/>
        <v>11589</v>
      </c>
      <c r="C38" s="565">
        <f t="shared" si="19"/>
        <v>9277</v>
      </c>
      <c r="D38" s="911">
        <f>E38*'General Basis'!$L$55</f>
        <v>8303.9000000000015</v>
      </c>
      <c r="E38" s="565">
        <f t="shared" si="20"/>
        <v>7549</v>
      </c>
      <c r="F38" s="565">
        <f t="shared" si="21"/>
        <v>6631</v>
      </c>
      <c r="G38" s="911">
        <f>F38*'General Basis'!$L$58</f>
        <v>6498.38</v>
      </c>
      <c r="H38" s="565">
        <f t="shared" si="22"/>
        <v>3229</v>
      </c>
      <c r="I38" s="565">
        <f t="shared" si="23"/>
        <v>2542</v>
      </c>
      <c r="W38" s="436"/>
      <c r="X38" s="894" t="s">
        <v>832</v>
      </c>
      <c r="Y38" s="894" t="s">
        <v>795</v>
      </c>
      <c r="Z38" s="894" t="s">
        <v>796</v>
      </c>
      <c r="AA38" s="894" t="s">
        <v>795</v>
      </c>
      <c r="AB38" s="894" t="s">
        <v>796</v>
      </c>
      <c r="AC38" s="894" t="s">
        <v>795</v>
      </c>
      <c r="AD38" s="894" t="s">
        <v>796</v>
      </c>
      <c r="AE38" s="894" t="s">
        <v>795</v>
      </c>
      <c r="AF38" s="894" t="s">
        <v>796</v>
      </c>
      <c r="AG38" s="894" t="s">
        <v>795</v>
      </c>
      <c r="AH38" s="894" t="s">
        <v>796</v>
      </c>
      <c r="AI38" s="894" t="s">
        <v>795</v>
      </c>
      <c r="AJ38" s="894" t="s">
        <v>796</v>
      </c>
      <c r="AK38" s="436"/>
      <c r="AL38" s="1092"/>
      <c r="AM38" s="436"/>
      <c r="AN38" s="436"/>
      <c r="AO38" s="436"/>
      <c r="AP38" s="436"/>
      <c r="AQ38" s="436"/>
      <c r="AR38" s="436"/>
      <c r="AS38" s="436"/>
      <c r="AT38" s="436"/>
      <c r="AU38" s="436"/>
      <c r="AV38" s="436"/>
      <c r="AW38" s="436"/>
      <c r="AX38" s="436"/>
      <c r="AY38" s="436"/>
      <c r="AZ38" s="436"/>
      <c r="BA38" s="436"/>
      <c r="BB38" s="436"/>
      <c r="BC38" s="436"/>
    </row>
    <row r="39" spans="1:55" x14ac:dyDescent="0.25">
      <c r="A39" s="968" t="str">
        <f>'General Basis'!B47</f>
        <v>51 - 55</v>
      </c>
      <c r="B39" s="565">
        <f t="shared" si="18"/>
        <v>15598</v>
      </c>
      <c r="C39" s="565">
        <f t="shared" si="19"/>
        <v>12444</v>
      </c>
      <c r="D39" s="911">
        <f>E39*'General Basis'!$L$55</f>
        <v>11666.6</v>
      </c>
      <c r="E39" s="565">
        <f t="shared" si="20"/>
        <v>10606</v>
      </c>
      <c r="F39" s="565">
        <f t="shared" si="21"/>
        <v>8845</v>
      </c>
      <c r="G39" s="911">
        <f>F39*'General Basis'!$L$58</f>
        <v>8668.1</v>
      </c>
      <c r="H39" s="565">
        <f t="shared" si="22"/>
        <v>4324</v>
      </c>
      <c r="I39" s="565">
        <f t="shared" si="23"/>
        <v>3411</v>
      </c>
      <c r="W39" s="436"/>
      <c r="X39" s="664" t="s">
        <v>287</v>
      </c>
      <c r="Y39" s="665">
        <v>7582</v>
      </c>
      <c r="Z39" s="990">
        <v>7582</v>
      </c>
      <c r="AA39" s="665">
        <v>5541</v>
      </c>
      <c r="AB39" s="990">
        <v>5541</v>
      </c>
      <c r="AC39" s="665">
        <v>2971</v>
      </c>
      <c r="AD39" s="990">
        <v>2971</v>
      </c>
      <c r="AE39" s="665">
        <v>2249</v>
      </c>
      <c r="AF39" s="990">
        <v>2249</v>
      </c>
      <c r="AG39" s="665">
        <v>1450</v>
      </c>
      <c r="AH39" s="990">
        <v>1450</v>
      </c>
      <c r="AI39" s="665" t="s">
        <v>130</v>
      </c>
      <c r="AJ39" s="665" t="s">
        <v>130</v>
      </c>
      <c r="AK39" s="436"/>
      <c r="AL39" s="1092"/>
      <c r="AM39" s="436"/>
      <c r="AN39" s="436"/>
      <c r="AO39" s="436"/>
      <c r="AP39" s="436"/>
      <c r="AQ39" s="436"/>
      <c r="AR39" s="436"/>
      <c r="AS39" s="436"/>
      <c r="AT39" s="436"/>
      <c r="AU39" s="436"/>
      <c r="AV39" s="436"/>
      <c r="AW39" s="436"/>
      <c r="AX39" s="436"/>
      <c r="AY39" s="436"/>
      <c r="AZ39" s="436"/>
      <c r="BA39" s="436"/>
      <c r="BB39" s="436"/>
      <c r="BC39" s="436"/>
    </row>
    <row r="40" spans="1:55" x14ac:dyDescent="0.25">
      <c r="A40" s="968" t="str">
        <f>'General Basis'!B48</f>
        <v>56 - 59</v>
      </c>
      <c r="B40" s="565">
        <f t="shared" si="18"/>
        <v>21300</v>
      </c>
      <c r="C40" s="565">
        <f t="shared" si="19"/>
        <v>16950</v>
      </c>
      <c r="D40" s="911">
        <f>E40*'General Basis'!$L$55</f>
        <v>15435.2</v>
      </c>
      <c r="E40" s="565">
        <f t="shared" si="20"/>
        <v>14032</v>
      </c>
      <c r="F40" s="565">
        <f t="shared" si="21"/>
        <v>11995</v>
      </c>
      <c r="G40" s="911">
        <f>F40*'General Basis'!$L$58</f>
        <v>11755.1</v>
      </c>
      <c r="H40" s="565">
        <f t="shared" si="22"/>
        <v>5881</v>
      </c>
      <c r="I40" s="565">
        <f t="shared" si="23"/>
        <v>4648</v>
      </c>
      <c r="W40" s="436"/>
      <c r="X40" s="664" t="s">
        <v>833</v>
      </c>
      <c r="Y40" s="665">
        <v>14183</v>
      </c>
      <c r="Z40" s="990">
        <v>14183</v>
      </c>
      <c r="AA40" s="665">
        <v>10529</v>
      </c>
      <c r="AB40" s="990">
        <v>10529</v>
      </c>
      <c r="AC40" s="665">
        <v>6075</v>
      </c>
      <c r="AD40" s="990">
        <v>6075</v>
      </c>
      <c r="AE40" s="665">
        <v>4546</v>
      </c>
      <c r="AF40" s="990">
        <v>4546</v>
      </c>
      <c r="AG40" s="665">
        <v>2997</v>
      </c>
      <c r="AH40" s="990">
        <v>2997</v>
      </c>
      <c r="AI40" s="665" t="s">
        <v>130</v>
      </c>
      <c r="AJ40" s="665" t="s">
        <v>130</v>
      </c>
      <c r="AK40" s="436"/>
      <c r="AL40" s="1092"/>
      <c r="AM40" s="436"/>
      <c r="AN40" s="436"/>
      <c r="AO40" s="436"/>
      <c r="AP40" s="436"/>
      <c r="AQ40" s="436"/>
      <c r="AR40" s="436"/>
      <c r="AS40" s="436"/>
      <c r="AT40" s="436"/>
      <c r="AU40" s="436"/>
      <c r="AV40" s="436"/>
      <c r="AW40" s="436"/>
      <c r="AX40" s="436"/>
      <c r="AY40" s="436"/>
      <c r="AZ40" s="436"/>
      <c r="BA40" s="436"/>
      <c r="BB40" s="436"/>
      <c r="BC40" s="436"/>
    </row>
    <row r="41" spans="1:55" x14ac:dyDescent="0.25">
      <c r="A41" s="968" t="str">
        <f>'General Basis'!B49</f>
        <v>60 - 64</v>
      </c>
      <c r="B41" s="565">
        <f t="shared" si="18"/>
        <v>26253</v>
      </c>
      <c r="C41" s="565">
        <f t="shared" si="19"/>
        <v>20861</v>
      </c>
      <c r="D41" s="911">
        <f>E41*'General Basis'!$L$55</f>
        <v>18783.600000000002</v>
      </c>
      <c r="E41" s="565">
        <f t="shared" si="20"/>
        <v>17076</v>
      </c>
      <c r="F41" s="565">
        <f t="shared" si="21"/>
        <v>14729</v>
      </c>
      <c r="G41" s="911">
        <f>F41*'General Basis'!$L$58</f>
        <v>14434.42</v>
      </c>
      <c r="H41" s="565">
        <f t="shared" si="22"/>
        <v>7233</v>
      </c>
      <c r="I41" s="565">
        <f t="shared" si="23"/>
        <v>5722</v>
      </c>
      <c r="W41" s="436"/>
      <c r="X41" s="664" t="s">
        <v>834</v>
      </c>
      <c r="Y41" s="665">
        <v>34937</v>
      </c>
      <c r="Z41" s="990">
        <v>34937</v>
      </c>
      <c r="AA41" s="665">
        <v>25742</v>
      </c>
      <c r="AB41" s="990">
        <v>25742</v>
      </c>
      <c r="AC41" s="665">
        <v>15756</v>
      </c>
      <c r="AD41" s="990">
        <v>15756</v>
      </c>
      <c r="AE41" s="665">
        <v>12086</v>
      </c>
      <c r="AF41" s="990">
        <v>12086</v>
      </c>
      <c r="AG41" s="666">
        <v>8360</v>
      </c>
      <c r="AH41" s="990">
        <v>8360</v>
      </c>
      <c r="AI41" s="666" t="s">
        <v>130</v>
      </c>
      <c r="AJ41" s="666" t="s">
        <v>130</v>
      </c>
      <c r="AK41" s="436"/>
      <c r="AL41" s="1092"/>
      <c r="AM41" s="436"/>
      <c r="AN41" s="436"/>
      <c r="AO41" s="436"/>
      <c r="AP41" s="436"/>
      <c r="AQ41" s="436"/>
      <c r="AR41" s="436"/>
      <c r="AS41" s="436"/>
      <c r="AT41" s="436"/>
      <c r="AU41" s="436"/>
      <c r="AV41" s="436"/>
      <c r="AW41" s="436"/>
      <c r="AX41" s="436"/>
      <c r="AY41" s="436"/>
      <c r="AZ41" s="436"/>
      <c r="BA41" s="436"/>
      <c r="BB41" s="436"/>
      <c r="BC41" s="436"/>
    </row>
    <row r="42" spans="1:55" x14ac:dyDescent="0.25">
      <c r="A42" s="968" t="str">
        <f>'General Basis'!B50</f>
        <v>65 - 99</v>
      </c>
      <c r="B42" s="746">
        <f t="shared" ref="B42:C42" si="25">B41*Overage_65_above</f>
        <v>47255.4</v>
      </c>
      <c r="C42" s="746">
        <f t="shared" si="25"/>
        <v>37549.800000000003</v>
      </c>
      <c r="D42" s="911">
        <f>E42*'General Basis'!$L$55</f>
        <v>33810.480000000003</v>
      </c>
      <c r="E42" s="746">
        <f>E41*Overage_65_above</f>
        <v>30736.799999999999</v>
      </c>
      <c r="F42" s="746">
        <f>F41*Overage_65_above</f>
        <v>26512.2</v>
      </c>
      <c r="G42" s="911">
        <f>F42*'General Basis'!$L$58</f>
        <v>25981.956000000002</v>
      </c>
      <c r="H42" s="746">
        <f>H41*Overage_65_above</f>
        <v>13019.4</v>
      </c>
      <c r="I42" s="746">
        <f>I41*Overage_65_above</f>
        <v>10299.6</v>
      </c>
      <c r="J42" s="467" t="s">
        <v>942</v>
      </c>
      <c r="W42" s="436"/>
      <c r="X42" s="667"/>
      <c r="Y42" s="663"/>
      <c r="Z42" s="663"/>
      <c r="AA42" s="663"/>
      <c r="AB42" s="663"/>
      <c r="AC42" s="663"/>
      <c r="AD42" s="663"/>
      <c r="AE42" s="663"/>
      <c r="AF42" s="663"/>
      <c r="AG42" s="663"/>
      <c r="AH42" s="663"/>
      <c r="AI42" s="663"/>
      <c r="AJ42" s="663"/>
      <c r="AK42" s="436"/>
      <c r="AL42" s="1092"/>
      <c r="AM42" s="436"/>
      <c r="AN42" s="436"/>
      <c r="AO42" s="436"/>
      <c r="AP42" s="436"/>
      <c r="AQ42" s="436"/>
      <c r="AR42" s="436"/>
      <c r="AS42" s="436"/>
      <c r="AT42" s="436"/>
      <c r="AU42" s="436"/>
      <c r="AV42" s="436"/>
      <c r="AW42" s="436"/>
      <c r="AX42" s="436"/>
      <c r="AY42" s="436"/>
      <c r="AZ42" s="436"/>
      <c r="BA42" s="436"/>
      <c r="BB42" s="436"/>
      <c r="BC42" s="436"/>
    </row>
    <row r="43" spans="1:55" x14ac:dyDescent="0.25">
      <c r="B43" s="562"/>
      <c r="W43" s="436"/>
      <c r="X43" s="434"/>
      <c r="Y43" s="436"/>
      <c r="Z43" s="436"/>
      <c r="AA43" s="436"/>
      <c r="AB43" s="436"/>
      <c r="AC43" s="436"/>
      <c r="AD43" s="436"/>
      <c r="AE43" s="436"/>
      <c r="AF43" s="436"/>
      <c r="AG43" s="436"/>
      <c r="AH43" s="436"/>
      <c r="AI43" s="436"/>
      <c r="AJ43" s="436"/>
      <c r="AK43" s="436"/>
      <c r="AL43" s="1092"/>
      <c r="AM43" s="436"/>
      <c r="AN43" s="436"/>
      <c r="AO43" s="436"/>
      <c r="AP43" s="436"/>
      <c r="AQ43" s="436"/>
      <c r="AR43" s="436"/>
      <c r="AS43" s="436"/>
      <c r="AT43" s="436"/>
      <c r="AU43" s="436"/>
      <c r="AV43" s="436"/>
      <c r="AW43" s="436"/>
      <c r="AX43" s="436"/>
      <c r="AY43" s="436"/>
      <c r="AZ43" s="436"/>
      <c r="BA43" s="436"/>
      <c r="BB43" s="436"/>
      <c r="BC43" s="436"/>
    </row>
    <row r="44" spans="1:55" ht="15.75" x14ac:dyDescent="0.25">
      <c r="K44" s="944" t="s">
        <v>844</v>
      </c>
      <c r="L44" s="945"/>
      <c r="M44" s="945"/>
      <c r="N44" s="945"/>
      <c r="O44" s="945"/>
      <c r="P44" s="945"/>
      <c r="Q44" s="945"/>
      <c r="R44" s="945"/>
      <c r="S44" s="945"/>
      <c r="T44" s="568"/>
      <c r="W44" s="436"/>
      <c r="X44" s="434"/>
      <c r="Y44" s="436"/>
      <c r="Z44" s="436"/>
      <c r="AA44" s="436"/>
      <c r="AB44" s="436"/>
      <c r="AC44" s="436"/>
      <c r="AD44" s="436"/>
      <c r="AE44" s="436"/>
      <c r="AF44" s="436"/>
      <c r="AG44" s="436"/>
      <c r="AH44" s="436"/>
      <c r="AI44" s="436"/>
      <c r="AJ44" s="436"/>
      <c r="AK44" s="436"/>
      <c r="AL44" s="1092"/>
      <c r="AM44" s="436"/>
      <c r="AN44" s="436"/>
      <c r="AO44" s="436"/>
      <c r="AP44" s="436"/>
      <c r="AQ44" s="436"/>
      <c r="AR44" s="436"/>
      <c r="AS44" s="436"/>
      <c r="AT44" s="436"/>
      <c r="AU44" s="436"/>
      <c r="AV44" s="436"/>
      <c r="AW44" s="436"/>
      <c r="AX44" s="436"/>
      <c r="AY44" s="436"/>
      <c r="AZ44" s="436"/>
      <c r="BA44" s="436"/>
      <c r="BB44" s="436"/>
      <c r="BC44" s="436"/>
    </row>
    <row r="45" spans="1:55" ht="15.75" x14ac:dyDescent="0.25">
      <c r="A45" s="944" t="s">
        <v>840</v>
      </c>
      <c r="B45" s="945"/>
      <c r="C45" s="945"/>
      <c r="D45" s="945"/>
      <c r="E45" s="945"/>
      <c r="F45" s="945"/>
      <c r="G45" s="945"/>
      <c r="H45" s="945"/>
      <c r="I45" s="945"/>
      <c r="K45" s="566" t="s">
        <v>30</v>
      </c>
      <c r="L45" s="566" t="s">
        <v>7</v>
      </c>
      <c r="M45" s="566" t="s">
        <v>21</v>
      </c>
      <c r="N45" s="584" t="s">
        <v>1045</v>
      </c>
      <c r="O45" s="566" t="s">
        <v>28</v>
      </c>
      <c r="P45" s="566" t="s">
        <v>29</v>
      </c>
      <c r="Q45" s="584" t="s">
        <v>1073</v>
      </c>
      <c r="R45" s="566" t="s">
        <v>34</v>
      </c>
      <c r="S45" s="566" t="s">
        <v>813</v>
      </c>
      <c r="W45" s="436"/>
      <c r="X45" s="434"/>
      <c r="Y45" s="436"/>
      <c r="Z45" s="436"/>
      <c r="AA45" s="436"/>
      <c r="AB45" s="436"/>
      <c r="AC45" s="436"/>
      <c r="AD45" s="436"/>
      <c r="AE45" s="436"/>
      <c r="AF45" s="436"/>
      <c r="AG45" s="436"/>
      <c r="AH45" s="436"/>
      <c r="AI45" s="436"/>
      <c r="AJ45" s="436"/>
      <c r="AK45" s="436"/>
      <c r="AL45" s="1092"/>
      <c r="AM45" s="436"/>
      <c r="AN45" s="436"/>
      <c r="AO45" s="436"/>
      <c r="AP45" s="436"/>
      <c r="AQ45" s="436"/>
      <c r="AR45" s="436"/>
      <c r="AS45" s="436"/>
      <c r="AT45" s="436"/>
      <c r="AU45" s="436"/>
      <c r="AV45" s="436"/>
      <c r="AW45" s="436"/>
      <c r="AX45" s="436"/>
      <c r="AY45" s="436"/>
      <c r="AZ45" s="436"/>
      <c r="BA45" s="436"/>
      <c r="BB45" s="436"/>
      <c r="BC45" s="436"/>
    </row>
    <row r="46" spans="1:55" x14ac:dyDescent="0.25">
      <c r="A46" s="566" t="s">
        <v>30</v>
      </c>
      <c r="B46" s="566" t="s">
        <v>7</v>
      </c>
      <c r="C46" s="566" t="s">
        <v>21</v>
      </c>
      <c r="D46" s="584" t="s">
        <v>1045</v>
      </c>
      <c r="E46" s="566" t="s">
        <v>28</v>
      </c>
      <c r="F46" s="566" t="s">
        <v>29</v>
      </c>
      <c r="G46" s="584" t="s">
        <v>1073</v>
      </c>
      <c r="H46" s="566" t="s">
        <v>34</v>
      </c>
      <c r="I46" s="566" t="s">
        <v>813</v>
      </c>
      <c r="K46" s="126" t="str">
        <f>K31</f>
        <v>0 - 17</v>
      </c>
      <c r="L46" s="565">
        <f>ROUND(Z51*(1-Intermediary_and_Fee),0)</f>
        <v>4690</v>
      </c>
      <c r="M46" s="565">
        <f>ROUND(AB51*(1-Intermediary_and_Fee),0)</f>
        <v>3831</v>
      </c>
      <c r="N46" s="911">
        <f>O46*'General Basis'!$L$55</f>
        <v>3451.8</v>
      </c>
      <c r="O46" s="565">
        <f>ROUND(AD51*(1-Intermediary_and_Fee),0)</f>
        <v>3138</v>
      </c>
      <c r="P46" s="565">
        <f>ROUND(AF51*(1-Intermediary_and_Fee),0)</f>
        <v>2277</v>
      </c>
      <c r="Q46" s="911">
        <f>P46*'General Basis'!$L$58</f>
        <v>2231.46</v>
      </c>
      <c r="R46" s="565">
        <f>ROUND(AH51*(1-Intermediary_and_Fee),0)</f>
        <v>1865</v>
      </c>
      <c r="S46" s="565" t="s">
        <v>130</v>
      </c>
      <c r="W46" s="436"/>
      <c r="X46" s="434"/>
      <c r="Y46" s="436"/>
      <c r="Z46" s="436"/>
      <c r="AA46" s="436"/>
      <c r="AB46" s="436"/>
      <c r="AC46" s="436"/>
      <c r="AD46" s="436"/>
      <c r="AE46" s="436"/>
      <c r="AF46" s="436"/>
      <c r="AG46" s="436"/>
      <c r="AH46" s="436"/>
      <c r="AI46" s="436"/>
      <c r="AJ46" s="436"/>
      <c r="AK46" s="436"/>
      <c r="AL46" s="1092"/>
      <c r="AM46" s="436"/>
      <c r="AN46" s="436"/>
      <c r="AO46" s="436"/>
      <c r="AP46" s="436"/>
      <c r="AQ46" s="436"/>
      <c r="AR46" s="436"/>
      <c r="AS46" s="436"/>
      <c r="AT46" s="436"/>
      <c r="AU46" s="436"/>
      <c r="AV46" s="436"/>
      <c r="AW46" s="436"/>
      <c r="AX46" s="436"/>
      <c r="AY46" s="436"/>
      <c r="AZ46" s="436"/>
      <c r="BA46" s="436"/>
      <c r="BB46" s="436"/>
      <c r="BC46" s="436"/>
    </row>
    <row r="47" spans="1:55" x14ac:dyDescent="0.25">
      <c r="A47" s="126" t="str">
        <f t="shared" ref="A47:A58" si="26">A31</f>
        <v>0 - 10</v>
      </c>
      <c r="B47" s="565">
        <f t="shared" ref="B47:B57" si="27">ROUND(Z22*(1-Intermediary_and_Fee),0)</f>
        <v>4528</v>
      </c>
      <c r="C47" s="565">
        <f t="shared" ref="C47:C57" si="28">ROUND(AB22*(1-Intermediary_and_Fee),0)</f>
        <v>3600</v>
      </c>
      <c r="D47" s="911">
        <f>E47*'General Basis'!$L$55</f>
        <v>3293.4</v>
      </c>
      <c r="E47" s="565">
        <f t="shared" ref="E47:E57" si="29">ROUND(AD22*(1-Intermediary_and_Fee),0)</f>
        <v>2994</v>
      </c>
      <c r="F47" s="565">
        <f t="shared" ref="F47:F57" si="30">ROUND(AF22*(1-Intermediary_and_Fee),0)</f>
        <v>2190</v>
      </c>
      <c r="G47" s="911">
        <f>F47*'General Basis'!$L$58</f>
        <v>2146.1999999999998</v>
      </c>
      <c r="H47" s="565">
        <f t="shared" ref="H47:H57" si="31">ROUND(AH22*(1-Intermediary_and_Fee),0)</f>
        <v>2080</v>
      </c>
      <c r="I47" s="565">
        <f t="shared" ref="I47:I57" si="32">ROUND(AJ22*(1-Intermediary_and_Fee),0)</f>
        <v>1891</v>
      </c>
      <c r="K47" s="126" t="str">
        <f>K32</f>
        <v>18 - 40</v>
      </c>
      <c r="L47" s="565">
        <f>ROUND(Z52*(1-Intermediary_and_Fee),0)</f>
        <v>7385</v>
      </c>
      <c r="M47" s="565">
        <f>ROUND(AB52*(1-Intermediary_and_Fee),0)</f>
        <v>5807</v>
      </c>
      <c r="N47" s="911">
        <f>O47*'General Basis'!$L$55</f>
        <v>4714.6000000000004</v>
      </c>
      <c r="O47" s="565">
        <f>ROUND(AD52*(1-Intermediary_and_Fee),0)</f>
        <v>4286</v>
      </c>
      <c r="P47" s="565">
        <f>ROUND(AF52*(1-Intermediary_and_Fee),0)</f>
        <v>3473</v>
      </c>
      <c r="Q47" s="911">
        <f>P47*'General Basis'!$L$58</f>
        <v>3403.54</v>
      </c>
      <c r="R47" s="565">
        <f>ROUND(AH52*(1-Intermediary_and_Fee),0)</f>
        <v>2125</v>
      </c>
      <c r="S47" s="565" t="s">
        <v>130</v>
      </c>
      <c r="W47" s="436"/>
      <c r="X47" s="434"/>
      <c r="Y47" s="436"/>
      <c r="Z47" s="436"/>
      <c r="AA47" s="436"/>
      <c r="AB47" s="436"/>
      <c r="AC47" s="436"/>
      <c r="AD47" s="436"/>
      <c r="AE47" s="436"/>
      <c r="AF47" s="436"/>
      <c r="AG47" s="436"/>
      <c r="AH47" s="436"/>
      <c r="AI47" s="436"/>
      <c r="AJ47" s="436"/>
      <c r="AK47" s="436"/>
      <c r="AL47" s="1092"/>
      <c r="AM47" s="436"/>
      <c r="AN47" s="436"/>
      <c r="AO47" s="436"/>
      <c r="AP47" s="436"/>
      <c r="AQ47" s="436"/>
      <c r="AR47" s="436"/>
      <c r="AS47" s="436"/>
      <c r="AT47" s="436"/>
      <c r="AU47" s="436"/>
      <c r="AV47" s="436"/>
      <c r="AW47" s="436"/>
      <c r="AX47" s="436"/>
      <c r="AY47" s="436"/>
      <c r="AZ47" s="436"/>
      <c r="BA47" s="436"/>
      <c r="BB47" s="436"/>
      <c r="BC47" s="436"/>
    </row>
    <row r="48" spans="1:55" x14ac:dyDescent="0.25">
      <c r="A48" s="126" t="str">
        <f t="shared" si="26"/>
        <v>11 - 17</v>
      </c>
      <c r="B48" s="565">
        <f t="shared" si="27"/>
        <v>4030</v>
      </c>
      <c r="C48" s="565">
        <f t="shared" si="28"/>
        <v>3217</v>
      </c>
      <c r="D48" s="911">
        <f>E48*'General Basis'!$L$55</f>
        <v>3016.2000000000003</v>
      </c>
      <c r="E48" s="565">
        <f t="shared" si="29"/>
        <v>2742</v>
      </c>
      <c r="F48" s="565">
        <f t="shared" si="30"/>
        <v>1968</v>
      </c>
      <c r="G48" s="911">
        <f>F48*'General Basis'!$L$58</f>
        <v>1928.6399999999999</v>
      </c>
      <c r="H48" s="565">
        <f t="shared" si="31"/>
        <v>1276</v>
      </c>
      <c r="I48" s="565">
        <f t="shared" si="32"/>
        <v>1156</v>
      </c>
      <c r="K48" s="126" t="str">
        <f>K33</f>
        <v>41 -59</v>
      </c>
      <c r="L48" s="565">
        <f>ROUND(Z53*(1-Intermediary_and_Fee),0)</f>
        <v>14144</v>
      </c>
      <c r="M48" s="565">
        <f>ROUND(AB53*(1-Intermediary_and_Fee),0)</f>
        <v>11276</v>
      </c>
      <c r="N48" s="911">
        <f>O48*'General Basis'!$L$55</f>
        <v>10562.2</v>
      </c>
      <c r="O48" s="565">
        <f>ROUND(AD53*(1-Intermediary_and_Fee),0)</f>
        <v>9602</v>
      </c>
      <c r="P48" s="565">
        <f>ROUND(AF53*(1-Intermediary_and_Fee),0)</f>
        <v>7899</v>
      </c>
      <c r="Q48" s="911">
        <f>P48*'General Basis'!$L$58</f>
        <v>7741.0199999999995</v>
      </c>
      <c r="R48" s="565">
        <f>ROUND(AH53*(1-Intermediary_and_Fee),0)</f>
        <v>5198</v>
      </c>
      <c r="S48" s="565" t="s">
        <v>130</v>
      </c>
      <c r="W48" s="436"/>
      <c r="X48" s="434"/>
      <c r="Y48" s="436"/>
      <c r="Z48" s="436"/>
      <c r="AA48" s="436"/>
      <c r="AB48" s="436"/>
      <c r="AC48" s="436"/>
      <c r="AD48" s="436"/>
      <c r="AE48" s="436"/>
      <c r="AF48" s="436"/>
      <c r="AG48" s="436"/>
      <c r="AH48" s="436"/>
      <c r="AI48" s="436"/>
      <c r="AJ48" s="436"/>
      <c r="AK48" s="436"/>
      <c r="AL48" s="1092"/>
      <c r="AM48" s="436"/>
      <c r="AN48" s="436"/>
      <c r="AO48" s="436"/>
      <c r="AP48" s="436"/>
      <c r="AQ48" s="436"/>
      <c r="AR48" s="436"/>
      <c r="AS48" s="436"/>
      <c r="AT48" s="436"/>
      <c r="AU48" s="436"/>
      <c r="AV48" s="436"/>
      <c r="AW48" s="436"/>
      <c r="AX48" s="436"/>
      <c r="AY48" s="436"/>
      <c r="AZ48" s="436"/>
      <c r="BA48" s="436"/>
      <c r="BB48" s="436"/>
      <c r="BC48" s="436"/>
    </row>
    <row r="49" spans="1:57" x14ac:dyDescent="0.25">
      <c r="A49" s="126" t="str">
        <f t="shared" si="26"/>
        <v>18 - 25</v>
      </c>
      <c r="B49" s="565">
        <f t="shared" si="27"/>
        <v>5608</v>
      </c>
      <c r="C49" s="565">
        <f t="shared" si="28"/>
        <v>4433</v>
      </c>
      <c r="D49" s="911">
        <f>E49*'General Basis'!$L$55</f>
        <v>3895.1000000000004</v>
      </c>
      <c r="E49" s="565">
        <f t="shared" si="29"/>
        <v>3541</v>
      </c>
      <c r="F49" s="565">
        <f t="shared" si="30"/>
        <v>2673</v>
      </c>
      <c r="G49" s="911">
        <f>F49*'General Basis'!$L$58</f>
        <v>2619.54</v>
      </c>
      <c r="H49" s="565">
        <f t="shared" si="31"/>
        <v>1272</v>
      </c>
      <c r="I49" s="565">
        <f t="shared" si="32"/>
        <v>1152</v>
      </c>
      <c r="K49" s="126" t="str">
        <f>K34</f>
        <v>60 - 64</v>
      </c>
      <c r="L49" s="565">
        <f>ROUND(Z54*(1-Intermediary_and_Fee),0)</f>
        <v>41161</v>
      </c>
      <c r="M49" s="565">
        <f>ROUND(AB54*(1-Intermediary_and_Fee),0)</f>
        <v>32223</v>
      </c>
      <c r="N49" s="911">
        <f>O49*'General Basis'!$L$55</f>
        <v>28938.800000000003</v>
      </c>
      <c r="O49" s="565">
        <f>ROUND(AD54*(1-Intermediary_and_Fee),0)</f>
        <v>26308</v>
      </c>
      <c r="P49" s="565">
        <f>ROUND(AF54*(1-Intermediary_and_Fee),0)</f>
        <v>21744</v>
      </c>
      <c r="Q49" s="911">
        <f>P49*'General Basis'!$L$58</f>
        <v>21309.119999999999</v>
      </c>
      <c r="R49" s="565">
        <f>ROUND(AH54*(1-Intermediary_and_Fee),0)</f>
        <v>17538</v>
      </c>
      <c r="S49" s="565" t="s">
        <v>130</v>
      </c>
      <c r="W49" s="436"/>
      <c r="X49" s="894" t="s">
        <v>804</v>
      </c>
      <c r="Y49" s="1501" t="s">
        <v>789</v>
      </c>
      <c r="Z49" s="1502"/>
      <c r="AA49" s="1498" t="s">
        <v>790</v>
      </c>
      <c r="AB49" s="1498"/>
      <c r="AC49" s="1498" t="s">
        <v>791</v>
      </c>
      <c r="AD49" s="1498"/>
      <c r="AE49" s="1498" t="s">
        <v>792</v>
      </c>
      <c r="AF49" s="1498"/>
      <c r="AG49" s="1498" t="s">
        <v>793</v>
      </c>
      <c r="AH49" s="1498"/>
      <c r="AI49" s="1498" t="s">
        <v>794</v>
      </c>
      <c r="AJ49" s="1498"/>
      <c r="AK49" s="436"/>
      <c r="AL49" s="1092"/>
      <c r="AM49" s="436"/>
      <c r="AN49" s="436"/>
      <c r="AO49" s="436"/>
      <c r="AP49" s="436"/>
      <c r="AQ49" s="436"/>
      <c r="AR49" s="436"/>
      <c r="AS49" s="436"/>
      <c r="AT49" s="436"/>
      <c r="AU49" s="436"/>
      <c r="AV49" s="436"/>
      <c r="AW49" s="436"/>
      <c r="AX49" s="436"/>
      <c r="AY49" s="436"/>
      <c r="AZ49" s="436"/>
      <c r="BA49" s="436"/>
      <c r="BB49" s="436"/>
      <c r="BC49" s="436"/>
    </row>
    <row r="50" spans="1:57" x14ac:dyDescent="0.25">
      <c r="A50" s="126" t="str">
        <f t="shared" si="26"/>
        <v>26 - 30</v>
      </c>
      <c r="B50" s="565">
        <f t="shared" si="27"/>
        <v>7016</v>
      </c>
      <c r="C50" s="565">
        <f t="shared" si="28"/>
        <v>5518</v>
      </c>
      <c r="D50" s="911">
        <f>E50*'General Basis'!$L$55</f>
        <v>4679.4000000000005</v>
      </c>
      <c r="E50" s="565">
        <f t="shared" si="29"/>
        <v>4254</v>
      </c>
      <c r="F50" s="565">
        <f t="shared" si="30"/>
        <v>3303</v>
      </c>
      <c r="G50" s="911">
        <f>F50*'General Basis'!$L$58</f>
        <v>3236.94</v>
      </c>
      <c r="H50" s="565">
        <f t="shared" si="31"/>
        <v>1583</v>
      </c>
      <c r="I50" s="565">
        <f t="shared" si="32"/>
        <v>1436</v>
      </c>
      <c r="K50" s="126" t="str">
        <f>K35</f>
        <v>65 - 99</v>
      </c>
      <c r="L50" s="746">
        <f t="shared" ref="L50:M50" si="33">L49*Overage_65_above</f>
        <v>74089.8</v>
      </c>
      <c r="M50" s="746">
        <f t="shared" si="33"/>
        <v>58001.4</v>
      </c>
      <c r="N50" s="911">
        <f>O50*'General Basis'!$L$55</f>
        <v>52089.840000000004</v>
      </c>
      <c r="O50" s="746">
        <f>O49*Overage_65_above</f>
        <v>47354.400000000001</v>
      </c>
      <c r="P50" s="746">
        <f>P49*Overage_65_above</f>
        <v>39139.200000000004</v>
      </c>
      <c r="Q50" s="911">
        <f>P50*'General Basis'!$L$58</f>
        <v>38356.416000000005</v>
      </c>
      <c r="R50" s="746">
        <f>R49*Overage_65_above</f>
        <v>31568.400000000001</v>
      </c>
      <c r="S50" s="746" t="s">
        <v>130</v>
      </c>
      <c r="T50" s="467" t="s">
        <v>942</v>
      </c>
      <c r="W50" s="436"/>
      <c r="X50" s="894" t="s">
        <v>832</v>
      </c>
      <c r="Y50" s="894" t="s">
        <v>795</v>
      </c>
      <c r="Z50" s="894" t="s">
        <v>796</v>
      </c>
      <c r="AA50" s="894" t="s">
        <v>795</v>
      </c>
      <c r="AB50" s="894" t="s">
        <v>796</v>
      </c>
      <c r="AC50" s="894" t="s">
        <v>795</v>
      </c>
      <c r="AD50" s="894" t="s">
        <v>796</v>
      </c>
      <c r="AE50" s="894" t="s">
        <v>795</v>
      </c>
      <c r="AF50" s="894" t="s">
        <v>796</v>
      </c>
      <c r="AG50" s="894" t="s">
        <v>795</v>
      </c>
      <c r="AH50" s="894" t="s">
        <v>796</v>
      </c>
      <c r="AI50" s="894" t="s">
        <v>795</v>
      </c>
      <c r="AJ50" s="894" t="s">
        <v>796</v>
      </c>
      <c r="AK50" s="436"/>
      <c r="AL50" s="1092"/>
      <c r="AM50" s="436"/>
      <c r="AN50" s="436"/>
      <c r="AO50" s="436"/>
      <c r="AP50" s="436"/>
      <c r="AQ50" s="436"/>
      <c r="AR50" s="436"/>
      <c r="AS50" s="436"/>
      <c r="AT50" s="436"/>
      <c r="AU50" s="436"/>
      <c r="AV50" s="436"/>
      <c r="AW50" s="436"/>
      <c r="AX50" s="436"/>
      <c r="AY50" s="436"/>
      <c r="AZ50" s="436"/>
      <c r="BA50" s="436"/>
      <c r="BB50" s="436"/>
      <c r="BC50" s="436"/>
    </row>
    <row r="51" spans="1:57" x14ac:dyDescent="0.25">
      <c r="A51" s="126" t="str">
        <f t="shared" si="26"/>
        <v>31 - 35</v>
      </c>
      <c r="B51" s="565">
        <f t="shared" si="27"/>
        <v>8416</v>
      </c>
      <c r="C51" s="565">
        <f t="shared" si="28"/>
        <v>6598</v>
      </c>
      <c r="D51" s="911">
        <f>E51*'General Basis'!$L$55</f>
        <v>5458.2000000000007</v>
      </c>
      <c r="E51" s="565">
        <f t="shared" si="29"/>
        <v>4962</v>
      </c>
      <c r="F51" s="565">
        <f t="shared" si="30"/>
        <v>3928</v>
      </c>
      <c r="G51" s="911">
        <f>F51*'General Basis'!$L$58</f>
        <v>3849.44</v>
      </c>
      <c r="H51" s="565">
        <f t="shared" si="31"/>
        <v>1892</v>
      </c>
      <c r="I51" s="565">
        <f t="shared" si="32"/>
        <v>1719</v>
      </c>
      <c r="W51" s="436"/>
      <c r="X51" s="664" t="s">
        <v>290</v>
      </c>
      <c r="Y51" s="665">
        <v>4690</v>
      </c>
      <c r="Z51" s="990">
        <v>4690</v>
      </c>
      <c r="AA51" s="665">
        <v>3831</v>
      </c>
      <c r="AB51" s="990">
        <v>3831</v>
      </c>
      <c r="AC51" s="1268">
        <v>3138</v>
      </c>
      <c r="AD51" s="1268">
        <v>3138</v>
      </c>
      <c r="AE51" s="665">
        <v>2277</v>
      </c>
      <c r="AF51" s="990">
        <v>2277</v>
      </c>
      <c r="AG51" s="666">
        <v>1865</v>
      </c>
      <c r="AH51" s="990">
        <v>1865</v>
      </c>
      <c r="AI51" s="666" t="s">
        <v>130</v>
      </c>
      <c r="AJ51" s="666" t="s">
        <v>130</v>
      </c>
      <c r="AK51" s="436"/>
      <c r="AL51" s="1092"/>
      <c r="AM51" s="436"/>
      <c r="AN51" s="436"/>
      <c r="AO51" s="436"/>
      <c r="AP51" s="436"/>
      <c r="AQ51" s="436"/>
      <c r="AR51" s="436"/>
      <c r="AS51" s="436"/>
      <c r="AT51" s="436"/>
      <c r="AU51" s="436"/>
      <c r="AV51" s="436"/>
      <c r="AW51" s="436"/>
      <c r="AX51" s="436"/>
      <c r="AY51" s="436"/>
      <c r="AZ51" s="436"/>
      <c r="BA51" s="436"/>
      <c r="BB51" s="436"/>
      <c r="BC51" s="436"/>
    </row>
    <row r="52" spans="1:57" x14ac:dyDescent="0.25">
      <c r="A52" s="126" t="str">
        <f t="shared" si="26"/>
        <v>36 - 40</v>
      </c>
      <c r="B52" s="565">
        <f t="shared" si="27"/>
        <v>10551</v>
      </c>
      <c r="C52" s="565">
        <f t="shared" si="28"/>
        <v>8244</v>
      </c>
      <c r="D52" s="911">
        <f>E52*'General Basis'!$L$55</f>
        <v>6646.2000000000007</v>
      </c>
      <c r="E52" s="565">
        <f t="shared" si="29"/>
        <v>6042</v>
      </c>
      <c r="F52" s="565">
        <f t="shared" si="30"/>
        <v>4883</v>
      </c>
      <c r="G52" s="911">
        <f>F52*'General Basis'!$L$58</f>
        <v>4785.34</v>
      </c>
      <c r="H52" s="565">
        <f t="shared" si="31"/>
        <v>2363</v>
      </c>
      <c r="I52" s="565">
        <f t="shared" si="32"/>
        <v>2150</v>
      </c>
      <c r="W52" s="436"/>
      <c r="X52" s="664" t="s">
        <v>287</v>
      </c>
      <c r="Y52" s="665">
        <v>7385</v>
      </c>
      <c r="Z52" s="990">
        <v>7385</v>
      </c>
      <c r="AA52" s="665">
        <v>5807</v>
      </c>
      <c r="AB52" s="990">
        <v>5807</v>
      </c>
      <c r="AC52" s="1268">
        <v>4286</v>
      </c>
      <c r="AD52" s="1268">
        <v>4286</v>
      </c>
      <c r="AE52" s="665">
        <v>3473</v>
      </c>
      <c r="AF52" s="990">
        <v>3473</v>
      </c>
      <c r="AG52" s="666">
        <v>2125</v>
      </c>
      <c r="AH52" s="990">
        <v>2125</v>
      </c>
      <c r="AI52" s="666" t="s">
        <v>130</v>
      </c>
      <c r="AJ52" s="666" t="s">
        <v>130</v>
      </c>
      <c r="AK52" s="436"/>
      <c r="AL52" s="1092"/>
      <c r="AM52" s="436"/>
      <c r="AN52" s="436"/>
      <c r="AO52" s="436"/>
      <c r="AP52" s="436"/>
      <c r="AQ52" s="436"/>
      <c r="AR52" s="436"/>
      <c r="AS52" s="436"/>
      <c r="AT52" s="436"/>
      <c r="AU52" s="436"/>
      <c r="AV52" s="436"/>
      <c r="AW52" s="436"/>
      <c r="AX52" s="436"/>
      <c r="AY52" s="436"/>
      <c r="AZ52" s="436"/>
      <c r="BA52" s="436"/>
      <c r="BB52" s="436"/>
      <c r="BC52" s="436"/>
    </row>
    <row r="53" spans="1:57" x14ac:dyDescent="0.25">
      <c r="A53" s="126" t="str">
        <f t="shared" si="26"/>
        <v>41 - 45</v>
      </c>
      <c r="B53" s="565">
        <f t="shared" si="27"/>
        <v>13565</v>
      </c>
      <c r="C53" s="565">
        <f t="shared" si="28"/>
        <v>10568</v>
      </c>
      <c r="D53" s="911">
        <f>E53*'General Basis'!$L$55</f>
        <v>8323.7000000000007</v>
      </c>
      <c r="E53" s="565">
        <f t="shared" si="29"/>
        <v>7567</v>
      </c>
      <c r="F53" s="565">
        <f t="shared" si="30"/>
        <v>6232</v>
      </c>
      <c r="G53" s="911">
        <f>F53*'General Basis'!$L$58</f>
        <v>6107.36</v>
      </c>
      <c r="H53" s="565">
        <f t="shared" si="31"/>
        <v>3029</v>
      </c>
      <c r="I53" s="565">
        <f t="shared" si="32"/>
        <v>2758</v>
      </c>
      <c r="W53" s="436"/>
      <c r="X53" s="664" t="s">
        <v>833</v>
      </c>
      <c r="Y53" s="665">
        <v>14144</v>
      </c>
      <c r="Z53" s="990">
        <v>14144</v>
      </c>
      <c r="AA53" s="665">
        <v>11276</v>
      </c>
      <c r="AB53" s="990">
        <v>11276</v>
      </c>
      <c r="AC53" s="1268">
        <v>9602</v>
      </c>
      <c r="AD53" s="1268">
        <v>9602</v>
      </c>
      <c r="AE53" s="665">
        <v>7899</v>
      </c>
      <c r="AF53" s="990">
        <v>7899</v>
      </c>
      <c r="AG53" s="666">
        <v>5198</v>
      </c>
      <c r="AH53" s="990">
        <v>5198</v>
      </c>
      <c r="AI53" s="666" t="s">
        <v>130</v>
      </c>
      <c r="AJ53" s="666" t="s">
        <v>130</v>
      </c>
      <c r="AK53" s="436"/>
      <c r="AL53" s="1092"/>
      <c r="AM53" s="436"/>
      <c r="AN53" s="436"/>
      <c r="AO53" s="436"/>
      <c r="AP53" s="436"/>
      <c r="AQ53" s="436"/>
      <c r="AR53" s="436"/>
      <c r="AS53" s="436"/>
      <c r="AT53" s="436"/>
      <c r="AU53" s="436"/>
      <c r="AV53" s="436"/>
      <c r="AW53" s="436"/>
      <c r="AX53" s="436"/>
      <c r="AY53" s="436"/>
      <c r="AZ53" s="436"/>
      <c r="BA53" s="436"/>
      <c r="BB53" s="436"/>
      <c r="BC53" s="436"/>
    </row>
    <row r="54" spans="1:57" x14ac:dyDescent="0.25">
      <c r="A54" s="126" t="str">
        <f t="shared" si="26"/>
        <v>46 - 50</v>
      </c>
      <c r="B54" s="565">
        <f t="shared" si="27"/>
        <v>15245</v>
      </c>
      <c r="C54" s="565">
        <f t="shared" si="28"/>
        <v>11864</v>
      </c>
      <c r="D54" s="911">
        <f>E54*'General Basis'!$L$55</f>
        <v>10243.200000000001</v>
      </c>
      <c r="E54" s="565">
        <f t="shared" si="29"/>
        <v>9312</v>
      </c>
      <c r="F54" s="565">
        <f t="shared" si="30"/>
        <v>7772</v>
      </c>
      <c r="G54" s="911">
        <f>F54*'General Basis'!$L$58</f>
        <v>7616.5599999999995</v>
      </c>
      <c r="H54" s="565">
        <f t="shared" si="31"/>
        <v>3791</v>
      </c>
      <c r="I54" s="565">
        <f t="shared" si="32"/>
        <v>3454</v>
      </c>
      <c r="T54" s="568"/>
      <c r="U54" s="568"/>
      <c r="W54" s="436"/>
      <c r="X54" s="664" t="s">
        <v>834</v>
      </c>
      <c r="Y54" s="665">
        <v>41161</v>
      </c>
      <c r="Z54" s="990">
        <v>41161</v>
      </c>
      <c r="AA54" s="665">
        <v>32223</v>
      </c>
      <c r="AB54" s="990">
        <v>32223</v>
      </c>
      <c r="AC54" s="1268">
        <v>26308</v>
      </c>
      <c r="AD54" s="1268">
        <v>26308</v>
      </c>
      <c r="AE54" s="665">
        <v>21744</v>
      </c>
      <c r="AF54" s="990">
        <v>21744</v>
      </c>
      <c r="AG54" s="666">
        <v>17538</v>
      </c>
      <c r="AH54" s="990">
        <v>17538</v>
      </c>
      <c r="AI54" s="666" t="s">
        <v>130</v>
      </c>
      <c r="AJ54" s="666" t="s">
        <v>130</v>
      </c>
      <c r="AK54" s="436"/>
      <c r="AL54" s="1092"/>
      <c r="AM54" s="436"/>
      <c r="AN54" s="436"/>
      <c r="AO54" s="436"/>
      <c r="AP54" s="436"/>
      <c r="AQ54" s="436"/>
      <c r="AR54" s="436"/>
      <c r="AS54" s="436"/>
      <c r="AT54" s="436"/>
      <c r="AU54" s="436"/>
      <c r="AV54" s="436"/>
      <c r="AW54" s="436"/>
      <c r="AX54" s="436"/>
      <c r="AY54" s="436"/>
      <c r="AZ54" s="436"/>
      <c r="BA54" s="436"/>
      <c r="BB54" s="436"/>
      <c r="BC54" s="436"/>
    </row>
    <row r="55" spans="1:57" x14ac:dyDescent="0.25">
      <c r="A55" s="126" t="str">
        <f t="shared" si="26"/>
        <v>51 - 55</v>
      </c>
      <c r="B55" s="565">
        <f t="shared" si="27"/>
        <v>20148</v>
      </c>
      <c r="C55" s="565">
        <f t="shared" si="28"/>
        <v>15645</v>
      </c>
      <c r="D55" s="911">
        <f>E55*'General Basis'!$L$55</f>
        <v>13274.800000000001</v>
      </c>
      <c r="E55" s="565">
        <f t="shared" si="29"/>
        <v>12068</v>
      </c>
      <c r="F55" s="565">
        <f t="shared" si="30"/>
        <v>10209</v>
      </c>
      <c r="G55" s="911">
        <f>F55*'General Basis'!$L$58</f>
        <v>10004.82</v>
      </c>
      <c r="H55" s="565">
        <f t="shared" si="31"/>
        <v>4994</v>
      </c>
      <c r="I55" s="565">
        <f t="shared" si="32"/>
        <v>4553</v>
      </c>
      <c r="T55" s="568"/>
      <c r="U55" s="568"/>
      <c r="W55" s="436"/>
      <c r="X55" s="637"/>
      <c r="Y55" s="637"/>
      <c r="Z55" s="637"/>
      <c r="AA55" s="637"/>
      <c r="AB55" s="637"/>
      <c r="AC55" s="637"/>
      <c r="AD55" s="637"/>
      <c r="AE55" s="637"/>
      <c r="AF55" s="637"/>
      <c r="AG55" s="637"/>
      <c r="AH55" s="637"/>
      <c r="AI55" s="637"/>
      <c r="AJ55" s="637"/>
      <c r="AK55" s="436"/>
      <c r="AL55" s="1092"/>
      <c r="AM55" s="436"/>
      <c r="AN55" s="436"/>
      <c r="AO55" s="436"/>
      <c r="AP55" s="436"/>
      <c r="AQ55" s="436"/>
      <c r="AR55" s="436"/>
      <c r="AS55" s="436"/>
      <c r="AT55" s="436"/>
      <c r="AU55" s="436"/>
      <c r="AV55" s="436"/>
      <c r="AW55" s="436"/>
      <c r="AX55" s="436"/>
      <c r="AY55" s="436"/>
      <c r="AZ55" s="436"/>
      <c r="BA55" s="436"/>
      <c r="BB55" s="436"/>
      <c r="BC55" s="436"/>
    </row>
    <row r="56" spans="1:57" x14ac:dyDescent="0.25">
      <c r="A56" s="126" t="str">
        <f t="shared" si="26"/>
        <v>56 - 59</v>
      </c>
      <c r="B56" s="565">
        <f t="shared" si="27"/>
        <v>24695</v>
      </c>
      <c r="C56" s="565">
        <f t="shared" si="28"/>
        <v>19150</v>
      </c>
      <c r="D56" s="911">
        <f>E56*'General Basis'!$L$55</f>
        <v>16086.400000000001</v>
      </c>
      <c r="E56" s="565">
        <f t="shared" si="29"/>
        <v>14624</v>
      </c>
      <c r="F56" s="565">
        <f t="shared" si="30"/>
        <v>12468</v>
      </c>
      <c r="G56" s="911">
        <f>F56*'General Basis'!$L$58</f>
        <v>12218.64</v>
      </c>
      <c r="H56" s="565">
        <f t="shared" si="31"/>
        <v>6111</v>
      </c>
      <c r="I56" s="565">
        <f t="shared" si="32"/>
        <v>5573</v>
      </c>
      <c r="W56" s="436"/>
      <c r="X56" s="637"/>
      <c r="Y56" s="637"/>
      <c r="Z56" s="637"/>
      <c r="AA56" s="637"/>
      <c r="AB56" s="637"/>
      <c r="AC56" s="637"/>
      <c r="AD56" s="637"/>
      <c r="AE56" s="637"/>
      <c r="AF56" s="637"/>
      <c r="AG56" s="637"/>
      <c r="AH56" s="637"/>
      <c r="AI56" s="637"/>
      <c r="AJ56" s="637"/>
      <c r="AK56" s="436"/>
      <c r="AL56" s="1092"/>
      <c r="AM56" s="436"/>
      <c r="AN56" s="436"/>
      <c r="AO56" s="436"/>
      <c r="AP56" s="436"/>
      <c r="AQ56" s="436"/>
      <c r="AR56" s="436"/>
      <c r="AS56" s="436"/>
      <c r="AT56" s="436"/>
      <c r="AU56" s="436"/>
      <c r="AV56" s="436"/>
      <c r="AW56" s="436"/>
      <c r="AX56" s="436"/>
      <c r="AY56" s="436"/>
      <c r="AZ56" s="436"/>
      <c r="BA56" s="436"/>
      <c r="BB56" s="436"/>
      <c r="BC56" s="436"/>
      <c r="BD56" s="578"/>
      <c r="BE56" s="578"/>
    </row>
    <row r="57" spans="1:57" x14ac:dyDescent="0.25">
      <c r="A57" s="126" t="str">
        <f t="shared" si="26"/>
        <v>60 - 64</v>
      </c>
      <c r="B57" s="565">
        <f t="shared" si="27"/>
        <v>29369</v>
      </c>
      <c r="C57" s="565">
        <f t="shared" si="28"/>
        <v>22756</v>
      </c>
      <c r="D57" s="911">
        <f>E57*'General Basis'!$L$55</f>
        <v>18978.300000000003</v>
      </c>
      <c r="E57" s="565">
        <f t="shared" si="29"/>
        <v>17253</v>
      </c>
      <c r="F57" s="565">
        <f t="shared" si="30"/>
        <v>14791</v>
      </c>
      <c r="G57" s="911">
        <f>F57*'General Basis'!$L$58</f>
        <v>14495.18</v>
      </c>
      <c r="H57" s="565">
        <f t="shared" si="31"/>
        <v>7258</v>
      </c>
      <c r="I57" s="565">
        <f t="shared" si="32"/>
        <v>6621</v>
      </c>
      <c r="W57" s="436"/>
      <c r="X57" s="637"/>
      <c r="Y57" s="637"/>
      <c r="Z57" s="637"/>
      <c r="AA57" s="637"/>
      <c r="AB57" s="637"/>
      <c r="AC57" s="637"/>
      <c r="AD57" s="637"/>
      <c r="AE57" s="637"/>
      <c r="AF57" s="637"/>
      <c r="AG57" s="637"/>
      <c r="AH57" s="637"/>
      <c r="AI57" s="637"/>
      <c r="AJ57" s="637"/>
      <c r="AK57" s="436"/>
      <c r="AL57" s="1092"/>
      <c r="AM57" s="436"/>
      <c r="AN57" s="436"/>
      <c r="AO57" s="436"/>
      <c r="AP57" s="436"/>
      <c r="AQ57" s="436"/>
      <c r="AR57" s="436"/>
      <c r="AS57" s="436"/>
      <c r="AT57" s="436"/>
      <c r="AU57" s="436"/>
      <c r="AV57" s="436"/>
      <c r="AW57" s="436"/>
      <c r="AX57" s="436"/>
      <c r="AY57" s="436"/>
      <c r="AZ57" s="436"/>
      <c r="BA57" s="436"/>
      <c r="BB57" s="436"/>
      <c r="BC57" s="436"/>
    </row>
    <row r="58" spans="1:57" x14ac:dyDescent="0.25">
      <c r="A58" s="126" t="str">
        <f t="shared" si="26"/>
        <v>65 - 99</v>
      </c>
      <c r="B58" s="746">
        <f t="shared" ref="B58:C58" si="34">B57*Overage_65_above</f>
        <v>52864.200000000004</v>
      </c>
      <c r="C58" s="746">
        <f t="shared" si="34"/>
        <v>40960.800000000003</v>
      </c>
      <c r="D58" s="911">
        <f>E58*'General Basis'!$L$55</f>
        <v>34160.94</v>
      </c>
      <c r="E58" s="746">
        <f>E57*Overage_65_above</f>
        <v>31055.4</v>
      </c>
      <c r="F58" s="746">
        <f>F57*Overage_65_above</f>
        <v>26623.8</v>
      </c>
      <c r="G58" s="911">
        <f>F58*'General Basis'!$L$58</f>
        <v>26091.324000000001</v>
      </c>
      <c r="H58" s="746">
        <f>H57*Overage_65_above</f>
        <v>13064.4</v>
      </c>
      <c r="I58" s="746">
        <f>I57*Overage_65_above</f>
        <v>11917.800000000001</v>
      </c>
      <c r="J58" s="467" t="s">
        <v>942</v>
      </c>
      <c r="W58" s="436"/>
      <c r="X58" s="637"/>
      <c r="Y58" s="637"/>
      <c r="Z58" s="637"/>
      <c r="AA58" s="637"/>
      <c r="AB58" s="637"/>
      <c r="AC58" s="637"/>
      <c r="AD58" s="637"/>
      <c r="AE58" s="637"/>
      <c r="AF58" s="637"/>
      <c r="AG58" s="637"/>
      <c r="AH58" s="637"/>
      <c r="AI58" s="637"/>
      <c r="AJ58" s="637"/>
      <c r="AK58" s="436"/>
      <c r="AL58" s="1092"/>
      <c r="AM58" s="436"/>
      <c r="AN58" s="436"/>
      <c r="AO58" s="436"/>
      <c r="AP58" s="436"/>
      <c r="AQ58" s="436"/>
      <c r="AR58" s="436"/>
      <c r="AS58" s="436"/>
      <c r="AT58" s="436"/>
      <c r="AU58" s="436"/>
      <c r="AV58" s="436"/>
      <c r="AW58" s="436"/>
      <c r="AX58" s="436"/>
      <c r="AY58" s="436"/>
      <c r="AZ58" s="436"/>
      <c r="BA58" s="436"/>
      <c r="BB58" s="436"/>
      <c r="BC58" s="436"/>
    </row>
    <row r="59" spans="1:57" x14ac:dyDescent="0.25">
      <c r="W59" s="436"/>
      <c r="X59" s="637"/>
      <c r="Y59" s="637"/>
      <c r="Z59" s="637"/>
      <c r="AA59" s="637"/>
      <c r="AB59" s="637"/>
      <c r="AC59" s="637"/>
      <c r="AD59" s="637"/>
      <c r="AE59" s="637"/>
      <c r="AF59" s="637"/>
      <c r="AG59" s="637"/>
      <c r="AH59" s="637"/>
      <c r="AI59" s="637"/>
      <c r="AJ59" s="637"/>
      <c r="AK59" s="436"/>
      <c r="AL59" s="1092"/>
      <c r="AM59" s="436"/>
      <c r="AN59" s="436"/>
      <c r="AO59" s="436"/>
      <c r="AP59" s="436"/>
      <c r="AQ59" s="436"/>
      <c r="AR59" s="436"/>
      <c r="AS59" s="436"/>
      <c r="AT59" s="436"/>
      <c r="AU59" s="436"/>
      <c r="AV59" s="436"/>
      <c r="AW59" s="436"/>
      <c r="AX59" s="436"/>
      <c r="AY59" s="436"/>
      <c r="AZ59" s="436"/>
      <c r="BA59" s="436"/>
      <c r="BB59" s="436"/>
      <c r="BC59" s="436"/>
    </row>
    <row r="60" spans="1:57" x14ac:dyDescent="0.25">
      <c r="A60" s="1147" t="s">
        <v>1318</v>
      </c>
      <c r="B60" s="1148">
        <f>Maternity_Eligiblity_Adjt</f>
        <v>1</v>
      </c>
      <c r="P60" s="467" t="s">
        <v>150</v>
      </c>
      <c r="W60" s="436"/>
      <c r="X60" s="637"/>
      <c r="Y60" s="637"/>
      <c r="Z60" s="637"/>
      <c r="AA60" s="637"/>
      <c r="AB60" s="637"/>
      <c r="AC60" s="637"/>
      <c r="AD60" s="637"/>
      <c r="AE60" s="637"/>
      <c r="AF60" s="637"/>
      <c r="AG60" s="637"/>
      <c r="AH60" s="637"/>
      <c r="AI60" s="637"/>
      <c r="AJ60" s="637"/>
      <c r="AK60" s="436"/>
      <c r="AL60" s="1092"/>
      <c r="AM60" s="436"/>
      <c r="AN60" s="436"/>
      <c r="AO60" s="436"/>
      <c r="AP60" s="436"/>
      <c r="AQ60" s="436"/>
      <c r="AR60" s="436"/>
      <c r="AS60" s="436"/>
      <c r="AT60" s="436"/>
      <c r="AU60" s="436"/>
      <c r="AV60" s="436"/>
      <c r="AW60" s="436"/>
      <c r="AX60" s="436"/>
      <c r="AY60" s="436"/>
      <c r="AZ60" s="436"/>
      <c r="BA60" s="436"/>
      <c r="BB60" s="436"/>
      <c r="BC60" s="436"/>
    </row>
    <row r="61" spans="1:57" ht="18.75" x14ac:dyDescent="0.25">
      <c r="A61" s="946" t="s">
        <v>757</v>
      </c>
      <c r="B61" s="947"/>
      <c r="C61" s="947"/>
      <c r="D61" s="947"/>
      <c r="E61" s="947"/>
      <c r="F61" s="947"/>
      <c r="G61" s="947"/>
      <c r="H61" s="947"/>
      <c r="I61" s="947"/>
      <c r="K61" s="1497" t="s">
        <v>1271</v>
      </c>
      <c r="L61" s="1497"/>
      <c r="N61" s="436"/>
      <c r="W61" s="436"/>
      <c r="X61" s="637"/>
      <c r="Y61" s="637"/>
      <c r="Z61" s="637"/>
      <c r="AA61" s="637"/>
      <c r="AB61" s="637"/>
      <c r="AC61" s="637"/>
      <c r="AD61" s="637"/>
      <c r="AE61" s="637"/>
      <c r="AF61" s="637"/>
      <c r="AG61" s="637"/>
      <c r="AH61" s="637"/>
      <c r="AI61" s="637"/>
      <c r="AJ61" s="637"/>
      <c r="AK61" s="436"/>
      <c r="AL61" s="1092"/>
      <c r="AM61" s="436"/>
      <c r="AN61" s="436"/>
      <c r="AO61" s="436"/>
      <c r="AP61" s="436"/>
      <c r="AQ61" s="436"/>
      <c r="AR61" s="436"/>
      <c r="AS61" s="436"/>
      <c r="AT61" s="436"/>
      <c r="AU61" s="436"/>
      <c r="AV61" s="436"/>
      <c r="AW61" s="436"/>
      <c r="AX61" s="436"/>
      <c r="AY61" s="436"/>
      <c r="AZ61" s="436"/>
      <c r="BA61" s="436"/>
      <c r="BB61" s="436"/>
      <c r="BC61" s="436"/>
    </row>
    <row r="62" spans="1:57" x14ac:dyDescent="0.25">
      <c r="A62" s="574" t="s">
        <v>35</v>
      </c>
      <c r="B62" s="574" t="s">
        <v>7</v>
      </c>
      <c r="C62" s="574" t="s">
        <v>21</v>
      </c>
      <c r="D62" s="584" t="s">
        <v>1045</v>
      </c>
      <c r="E62" s="574" t="s">
        <v>28</v>
      </c>
      <c r="F62" s="574" t="s">
        <v>29</v>
      </c>
      <c r="G62" s="584" t="s">
        <v>1073</v>
      </c>
      <c r="H62" s="574" t="s">
        <v>34</v>
      </c>
      <c r="I62" s="574" t="s">
        <v>813</v>
      </c>
      <c r="K62" s="564" t="s">
        <v>755</v>
      </c>
      <c r="L62" s="564" t="s">
        <v>284</v>
      </c>
      <c r="M62" s="436"/>
      <c r="N62" s="436"/>
      <c r="W62" s="436"/>
      <c r="X62" s="637"/>
      <c r="Y62" s="637"/>
      <c r="Z62" s="637"/>
      <c r="AA62" s="637"/>
      <c r="AB62" s="637"/>
      <c r="AC62" s="637"/>
      <c r="AD62" s="637"/>
      <c r="AE62" s="637"/>
      <c r="AF62" s="637"/>
      <c r="AG62" s="637"/>
      <c r="AH62" s="637"/>
      <c r="AI62" s="637"/>
      <c r="AJ62" s="637"/>
      <c r="AK62" s="436"/>
      <c r="AL62" s="1092"/>
      <c r="AM62" s="436"/>
      <c r="AN62" s="436"/>
      <c r="AO62" s="436"/>
      <c r="AP62" s="436"/>
      <c r="AQ62" s="436"/>
      <c r="AR62" s="436"/>
      <c r="AS62" s="436"/>
      <c r="AT62" s="436"/>
      <c r="AU62" s="436"/>
      <c r="AV62" s="436"/>
      <c r="AW62" s="436"/>
      <c r="AX62" s="436"/>
      <c r="AY62" s="436"/>
      <c r="AZ62" s="436"/>
      <c r="BA62" s="436"/>
      <c r="BB62" s="436"/>
      <c r="BC62" s="436"/>
    </row>
    <row r="63" spans="1:57" x14ac:dyDescent="0.25">
      <c r="A63" s="126" t="s">
        <v>130</v>
      </c>
      <c r="B63" s="573">
        <f t="shared" ref="B63:B72" si="35">ROUND(Y77*Maternity_Eligiblity_Adjt*(1-Intermediary_and_Fee),0)</f>
        <v>0</v>
      </c>
      <c r="C63" s="573">
        <f t="shared" ref="C63:C72" si="36">ROUND(Z77*Maternity_Eligiblity_Adjt*(1-Intermediary_and_Fee),0)</f>
        <v>0</v>
      </c>
      <c r="D63" s="911">
        <f>E63*'General Basis'!$L$55</f>
        <v>0</v>
      </c>
      <c r="E63" s="573">
        <f t="shared" ref="E63:E72" si="37">ROUND(AA77*Maternity_Eligiblity_Adjt*(1-Intermediary_and_Fee),0)</f>
        <v>0</v>
      </c>
      <c r="F63" s="573">
        <f t="shared" ref="F63:F72" si="38">ROUND(AB77*Maternity_Eligiblity_Adjt*(1-Intermediary_and_Fee),0)</f>
        <v>0</v>
      </c>
      <c r="G63" s="911">
        <f>F63*'General Basis'!$L$58</f>
        <v>0</v>
      </c>
      <c r="H63" s="573">
        <f t="shared" ref="H63:H72" si="39">ROUND(AC77*Maternity_Eligiblity_Adjt*(1-Intermediary_and_Fee),0)</f>
        <v>0</v>
      </c>
      <c r="I63" s="573">
        <f t="shared" ref="I63:I72" si="40">ROUND(AD77*Maternity_Eligiblity_Adjt*(1-Intermediary_and_Fee),0)</f>
        <v>0</v>
      </c>
      <c r="K63" s="585" t="s">
        <v>1272</v>
      </c>
      <c r="L63" s="587">
        <v>1</v>
      </c>
      <c r="M63" s="436"/>
      <c r="W63" s="436"/>
      <c r="X63" s="637"/>
      <c r="Y63" s="637"/>
      <c r="Z63" s="637"/>
      <c r="AA63" s="637"/>
      <c r="AB63" s="637"/>
      <c r="AC63" s="637"/>
      <c r="AD63" s="637"/>
      <c r="AE63" s="637"/>
      <c r="AF63" s="637"/>
      <c r="AG63" s="637"/>
      <c r="AH63" s="637"/>
      <c r="AI63" s="637"/>
      <c r="AJ63" s="637"/>
      <c r="AK63" s="436"/>
      <c r="AL63" s="1092"/>
      <c r="AM63" s="436"/>
      <c r="AN63" s="436"/>
      <c r="AO63" s="436"/>
      <c r="AP63" s="436"/>
      <c r="AQ63" s="436"/>
      <c r="AR63" s="436"/>
      <c r="AS63" s="436"/>
      <c r="AT63" s="436"/>
      <c r="AU63" s="436"/>
      <c r="AV63" s="436"/>
      <c r="AW63" s="436"/>
      <c r="AX63" s="436"/>
      <c r="AY63" s="436"/>
      <c r="AZ63" s="436"/>
      <c r="BA63" s="436"/>
      <c r="BB63" s="436"/>
      <c r="BC63" s="436"/>
    </row>
    <row r="64" spans="1:57" x14ac:dyDescent="0.25">
      <c r="A64" s="126">
        <v>7500</v>
      </c>
      <c r="B64" s="573">
        <f t="shared" si="35"/>
        <v>3316</v>
      </c>
      <c r="C64" s="573">
        <f t="shared" si="36"/>
        <v>3074</v>
      </c>
      <c r="D64" s="911">
        <f>E64*'General Basis'!$L$55</f>
        <v>2405.7000000000003</v>
      </c>
      <c r="E64" s="573">
        <f t="shared" si="37"/>
        <v>2187</v>
      </c>
      <c r="F64" s="573">
        <f t="shared" si="38"/>
        <v>1998</v>
      </c>
      <c r="G64" s="911">
        <f>F64*'General Basis'!$L$58</f>
        <v>1958.04</v>
      </c>
      <c r="H64" s="573">
        <f t="shared" si="39"/>
        <v>1682</v>
      </c>
      <c r="I64" s="573">
        <f t="shared" si="40"/>
        <v>1682</v>
      </c>
      <c r="K64" s="585" t="s">
        <v>754</v>
      </c>
      <c r="L64" s="587">
        <v>0.9</v>
      </c>
      <c r="M64" s="436" t="s">
        <v>1273</v>
      </c>
      <c r="W64" s="436"/>
      <c r="X64" s="637"/>
      <c r="Y64" s="637"/>
      <c r="Z64" s="637"/>
      <c r="AA64" s="637"/>
      <c r="AB64" s="637"/>
      <c r="AC64" s="637"/>
      <c r="AD64" s="637"/>
      <c r="AE64" s="637"/>
      <c r="AF64" s="637"/>
      <c r="AG64" s="637"/>
      <c r="AH64" s="637"/>
      <c r="AI64" s="637"/>
      <c r="AJ64" s="637"/>
      <c r="AK64" s="436"/>
      <c r="AL64" s="1092"/>
      <c r="AM64" s="436"/>
      <c r="AN64" s="436"/>
      <c r="AO64" s="436"/>
      <c r="AP64" s="436"/>
      <c r="AQ64" s="436"/>
      <c r="AR64" s="436"/>
      <c r="AS64" s="436"/>
      <c r="AT64" s="436"/>
      <c r="AU64" s="436"/>
      <c r="AV64" s="436"/>
      <c r="AW64" s="436"/>
      <c r="AX64" s="436"/>
      <c r="AY64" s="436"/>
      <c r="AZ64" s="436"/>
      <c r="BA64" s="436"/>
      <c r="BB64" s="436"/>
      <c r="BC64" s="436"/>
    </row>
    <row r="65" spans="1:57" x14ac:dyDescent="0.25">
      <c r="A65" s="126">
        <v>10000</v>
      </c>
      <c r="B65" s="573">
        <f t="shared" si="35"/>
        <v>3453</v>
      </c>
      <c r="C65" s="573">
        <f t="shared" si="36"/>
        <v>3200</v>
      </c>
      <c r="D65" s="911">
        <f>E65*'General Basis'!$L$55</f>
        <v>2504.7000000000003</v>
      </c>
      <c r="E65" s="573">
        <f t="shared" si="37"/>
        <v>2277</v>
      </c>
      <c r="F65" s="573">
        <f t="shared" si="38"/>
        <v>2080</v>
      </c>
      <c r="G65" s="911">
        <f>F65*'General Basis'!$L$58</f>
        <v>2038.3999999999999</v>
      </c>
      <c r="H65" s="573">
        <f t="shared" si="39"/>
        <v>1751</v>
      </c>
      <c r="I65" s="573">
        <f t="shared" si="40"/>
        <v>1751</v>
      </c>
      <c r="K65" s="585" t="s">
        <v>1274</v>
      </c>
      <c r="L65" s="587">
        <v>0.98499999999999999</v>
      </c>
      <c r="M65" s="436" t="s">
        <v>1275</v>
      </c>
      <c r="W65" s="436"/>
      <c r="X65" s="637"/>
      <c r="Y65" s="637"/>
      <c r="Z65" s="637"/>
      <c r="AA65" s="637"/>
      <c r="AB65" s="637"/>
      <c r="AC65" s="637"/>
      <c r="AD65" s="637"/>
      <c r="AE65" s="637"/>
      <c r="AF65" s="637"/>
      <c r="AG65" s="637"/>
      <c r="AH65" s="637"/>
      <c r="AI65" s="637"/>
      <c r="AJ65" s="637"/>
      <c r="AK65" s="436"/>
      <c r="AL65" s="1092"/>
      <c r="AM65" s="436"/>
      <c r="AN65" s="436"/>
      <c r="AO65" s="436"/>
      <c r="AP65" s="436"/>
      <c r="AQ65" s="436"/>
      <c r="AR65" s="436"/>
      <c r="AS65" s="436"/>
      <c r="AT65" s="436"/>
      <c r="AU65" s="436"/>
      <c r="AV65" s="436"/>
      <c r="AW65" s="436"/>
      <c r="AX65" s="436"/>
      <c r="AY65" s="436"/>
      <c r="AZ65" s="436"/>
      <c r="BA65" s="436"/>
      <c r="BB65" s="436"/>
      <c r="BC65" s="436"/>
    </row>
    <row r="66" spans="1:57" x14ac:dyDescent="0.25">
      <c r="A66" s="126">
        <v>15000</v>
      </c>
      <c r="B66" s="573">
        <f t="shared" si="35"/>
        <v>4543</v>
      </c>
      <c r="C66" s="573">
        <f t="shared" si="36"/>
        <v>4211</v>
      </c>
      <c r="D66" s="911">
        <f>E66*'General Basis'!$L$55</f>
        <v>3295.6000000000004</v>
      </c>
      <c r="E66" s="573">
        <f t="shared" si="37"/>
        <v>2996</v>
      </c>
      <c r="F66" s="573">
        <f t="shared" si="38"/>
        <v>2737</v>
      </c>
      <c r="G66" s="911">
        <f>F66*'General Basis'!$L$58</f>
        <v>2682.2599999999998</v>
      </c>
      <c r="H66" s="573">
        <f t="shared" si="39"/>
        <v>2304</v>
      </c>
      <c r="I66" s="573">
        <f t="shared" si="40"/>
        <v>2304</v>
      </c>
      <c r="K66" s="436"/>
      <c r="L66" s="436"/>
      <c r="M66" s="436"/>
      <c r="W66" s="436"/>
      <c r="X66" s="636"/>
      <c r="Y66" s="637"/>
      <c r="Z66" s="637"/>
      <c r="AA66" s="637"/>
      <c r="AB66" s="637"/>
      <c r="AC66" s="637"/>
      <c r="AD66" s="637"/>
      <c r="AE66" s="637"/>
      <c r="AF66" s="637"/>
      <c r="AG66" s="637"/>
      <c r="AH66" s="637"/>
      <c r="AI66" s="637"/>
      <c r="AJ66" s="637"/>
      <c r="AK66" s="436"/>
      <c r="AL66" s="1092"/>
      <c r="AM66" s="436"/>
      <c r="AN66" s="436"/>
      <c r="AO66" s="436"/>
      <c r="AP66" s="436"/>
      <c r="AQ66" s="436"/>
      <c r="AR66" s="436"/>
      <c r="AS66" s="436"/>
      <c r="AT66" s="436"/>
      <c r="AU66" s="436"/>
      <c r="AV66" s="436"/>
      <c r="AW66" s="436"/>
      <c r="AX66" s="436"/>
      <c r="AY66" s="436"/>
      <c r="AZ66" s="436"/>
      <c r="BA66" s="436"/>
      <c r="BB66" s="436"/>
      <c r="BC66" s="436"/>
    </row>
    <row r="67" spans="1:57" x14ac:dyDescent="0.25">
      <c r="A67" s="126">
        <v>20000</v>
      </c>
      <c r="B67" s="573">
        <f t="shared" si="35"/>
        <v>4906</v>
      </c>
      <c r="C67" s="573">
        <f t="shared" si="36"/>
        <v>4548</v>
      </c>
      <c r="D67" s="911">
        <f>E67*'General Basis'!$L$55</f>
        <v>3559.6000000000004</v>
      </c>
      <c r="E67" s="573">
        <f t="shared" si="37"/>
        <v>3236</v>
      </c>
      <c r="F67" s="573">
        <f t="shared" si="38"/>
        <v>2956</v>
      </c>
      <c r="G67" s="911">
        <f>F67*'General Basis'!$L$58</f>
        <v>2896.88</v>
      </c>
      <c r="H67" s="573">
        <f t="shared" si="39"/>
        <v>2488</v>
      </c>
      <c r="I67" s="573">
        <f t="shared" si="40"/>
        <v>2488</v>
      </c>
      <c r="K67" s="436"/>
      <c r="L67" s="436"/>
      <c r="M67" s="436"/>
      <c r="W67" s="436"/>
      <c r="X67" s="637"/>
      <c r="Y67" s="637"/>
      <c r="Z67" s="637"/>
      <c r="AA67" s="637"/>
      <c r="AB67" s="637"/>
      <c r="AC67" s="637"/>
      <c r="AD67" s="637"/>
      <c r="AE67" s="637"/>
      <c r="AF67" s="637"/>
      <c r="AG67" s="637"/>
      <c r="AH67" s="637"/>
      <c r="AI67" s="637"/>
      <c r="AJ67" s="637"/>
      <c r="AK67" s="436"/>
      <c r="AL67" s="1092"/>
      <c r="AM67" s="436"/>
      <c r="AN67" s="436"/>
      <c r="AO67" s="436"/>
      <c r="AP67" s="436"/>
      <c r="AQ67" s="436"/>
      <c r="AR67" s="436"/>
      <c r="AS67" s="436"/>
      <c r="AT67" s="436"/>
      <c r="AU67" s="436"/>
      <c r="AV67" s="436"/>
      <c r="AW67" s="436"/>
      <c r="AX67" s="436"/>
      <c r="AY67" s="436"/>
      <c r="AZ67" s="436"/>
      <c r="BA67" s="436"/>
      <c r="BB67" s="436"/>
      <c r="BC67" s="436"/>
    </row>
    <row r="68" spans="1:57" x14ac:dyDescent="0.25">
      <c r="A68" s="126">
        <v>25000</v>
      </c>
      <c r="B68" s="573">
        <f t="shared" si="35"/>
        <v>5179</v>
      </c>
      <c r="C68" s="573">
        <f t="shared" si="36"/>
        <v>4801</v>
      </c>
      <c r="D68" s="911">
        <f>E68*'General Basis'!$L$55</f>
        <v>3756.5000000000005</v>
      </c>
      <c r="E68" s="573">
        <f t="shared" si="37"/>
        <v>3415</v>
      </c>
      <c r="F68" s="573">
        <f t="shared" si="38"/>
        <v>3120</v>
      </c>
      <c r="G68" s="911">
        <f>F68*'General Basis'!$L$58</f>
        <v>3057.6</v>
      </c>
      <c r="H68" s="573">
        <f t="shared" si="39"/>
        <v>2627</v>
      </c>
      <c r="I68" s="573">
        <f t="shared" si="40"/>
        <v>2627</v>
      </c>
      <c r="K68" s="670" t="s">
        <v>1276</v>
      </c>
      <c r="L68" s="436"/>
      <c r="M68" s="436"/>
      <c r="W68" s="436"/>
      <c r="X68" s="637"/>
      <c r="Y68" s="637"/>
      <c r="Z68" s="637"/>
      <c r="AA68" s="637"/>
      <c r="AB68" s="637"/>
      <c r="AC68" s="637"/>
      <c r="AD68" s="637"/>
      <c r="AE68" s="637"/>
      <c r="AF68" s="637"/>
      <c r="AG68" s="637"/>
      <c r="AH68" s="637"/>
      <c r="AI68" s="637"/>
      <c r="AJ68" s="637"/>
      <c r="AK68" s="436"/>
      <c r="AL68" s="1092"/>
      <c r="AM68" s="436"/>
      <c r="AN68" s="436"/>
      <c r="AO68" s="436"/>
      <c r="AP68" s="436"/>
      <c r="AQ68" s="436"/>
      <c r="AR68" s="436"/>
      <c r="AS68" s="436"/>
      <c r="AT68" s="436"/>
      <c r="AU68" s="436"/>
      <c r="AV68" s="436"/>
      <c r="AW68" s="436"/>
      <c r="AX68" s="436"/>
      <c r="AY68" s="436"/>
      <c r="AZ68" s="436"/>
      <c r="BA68" s="436"/>
      <c r="BB68" s="436"/>
      <c r="BC68" s="436"/>
    </row>
    <row r="69" spans="1:57" x14ac:dyDescent="0.25">
      <c r="A69" s="126">
        <v>30000</v>
      </c>
      <c r="B69" s="573">
        <f t="shared" si="35"/>
        <v>5770</v>
      </c>
      <c r="C69" s="573">
        <f t="shared" si="36"/>
        <v>5348</v>
      </c>
      <c r="D69" s="911">
        <f>E69*'General Basis'!$L$55</f>
        <v>4185.5</v>
      </c>
      <c r="E69" s="573">
        <f t="shared" si="37"/>
        <v>3805</v>
      </c>
      <c r="F69" s="573">
        <f t="shared" si="38"/>
        <v>3476</v>
      </c>
      <c r="G69" s="911">
        <f>F69*'General Basis'!$L$58</f>
        <v>3406.48</v>
      </c>
      <c r="H69" s="573">
        <f t="shared" si="39"/>
        <v>2926</v>
      </c>
      <c r="I69" s="573">
        <f t="shared" si="40"/>
        <v>2926</v>
      </c>
      <c r="K69" s="1106" t="s">
        <v>1277</v>
      </c>
      <c r="L69" s="436"/>
      <c r="M69" s="436"/>
      <c r="W69" s="436"/>
      <c r="X69" s="637"/>
      <c r="Y69" s="637"/>
      <c r="Z69" s="637"/>
      <c r="AA69" s="637"/>
      <c r="AB69" s="637"/>
      <c r="AC69" s="637"/>
      <c r="AD69" s="637"/>
      <c r="AE69" s="637"/>
      <c r="AF69" s="637"/>
      <c r="AG69" s="637"/>
      <c r="AH69" s="637"/>
      <c r="AI69" s="637"/>
      <c r="AJ69" s="637"/>
      <c r="AK69" s="436"/>
      <c r="AL69" s="1092"/>
      <c r="AM69" s="436"/>
      <c r="AN69" s="436"/>
      <c r="AO69" s="436"/>
      <c r="AP69" s="436"/>
      <c r="AQ69" s="436"/>
      <c r="AR69" s="436"/>
      <c r="AS69" s="436"/>
      <c r="AT69" s="436"/>
      <c r="AU69" s="436"/>
      <c r="AV69" s="436"/>
      <c r="AW69" s="436"/>
      <c r="AX69" s="436"/>
      <c r="AY69" s="436"/>
      <c r="AZ69" s="436"/>
      <c r="BA69" s="436"/>
      <c r="BB69" s="436"/>
      <c r="BC69" s="436"/>
      <c r="BD69" s="578"/>
      <c r="BE69" s="578"/>
    </row>
    <row r="70" spans="1:57" x14ac:dyDescent="0.25">
      <c r="A70" s="126">
        <v>40000</v>
      </c>
      <c r="B70" s="573">
        <f t="shared" si="35"/>
        <v>5860</v>
      </c>
      <c r="C70" s="573">
        <f t="shared" si="36"/>
        <v>5432</v>
      </c>
      <c r="D70" s="911">
        <f>E70*'General Basis'!$L$55</f>
        <v>4251.5</v>
      </c>
      <c r="E70" s="573">
        <f t="shared" si="37"/>
        <v>3865</v>
      </c>
      <c r="F70" s="573">
        <f t="shared" si="38"/>
        <v>3531</v>
      </c>
      <c r="G70" s="911">
        <f>F70*'General Basis'!$L$58</f>
        <v>3460.38</v>
      </c>
      <c r="H70" s="573">
        <f t="shared" si="39"/>
        <v>2972</v>
      </c>
      <c r="I70" s="573">
        <f t="shared" si="40"/>
        <v>2972</v>
      </c>
      <c r="K70" s="1106" t="s">
        <v>1278</v>
      </c>
      <c r="L70" s="436"/>
      <c r="M70" s="436"/>
      <c r="W70" s="436"/>
      <c r="X70" s="637"/>
      <c r="Y70" s="637"/>
      <c r="Z70" s="637"/>
      <c r="AA70" s="637"/>
      <c r="AB70" s="637"/>
      <c r="AC70" s="637"/>
      <c r="AD70" s="637"/>
      <c r="AE70" s="637"/>
      <c r="AF70" s="637"/>
      <c r="AG70" s="637"/>
      <c r="AH70" s="637"/>
      <c r="AI70" s="637"/>
      <c r="AJ70" s="637"/>
      <c r="AK70" s="436"/>
      <c r="AL70" s="1092"/>
      <c r="AM70" s="436"/>
      <c r="AN70" s="436"/>
      <c r="AO70" s="436"/>
      <c r="AP70" s="436"/>
      <c r="AQ70" s="436"/>
      <c r="AR70" s="436"/>
      <c r="AS70" s="436"/>
      <c r="AT70" s="436"/>
      <c r="AU70" s="436"/>
      <c r="AV70" s="436"/>
      <c r="AW70" s="436"/>
      <c r="AX70" s="436"/>
      <c r="AY70" s="436"/>
      <c r="AZ70" s="436"/>
      <c r="BA70" s="436"/>
      <c r="BB70" s="436"/>
      <c r="BC70" s="436"/>
    </row>
    <row r="71" spans="1:57" x14ac:dyDescent="0.25">
      <c r="A71" s="126">
        <v>50000</v>
      </c>
      <c r="B71" s="573">
        <f t="shared" si="35"/>
        <v>6042</v>
      </c>
      <c r="C71" s="573">
        <f t="shared" si="36"/>
        <v>5601</v>
      </c>
      <c r="D71" s="911">
        <f>E71*'General Basis'!$L$55</f>
        <v>4383.5</v>
      </c>
      <c r="E71" s="573">
        <f t="shared" si="37"/>
        <v>3985</v>
      </c>
      <c r="F71" s="573">
        <f t="shared" si="38"/>
        <v>3640</v>
      </c>
      <c r="G71" s="911">
        <f>F71*'General Basis'!$L$58</f>
        <v>3567.2</v>
      </c>
      <c r="H71" s="573">
        <f t="shared" si="39"/>
        <v>3064</v>
      </c>
      <c r="I71" s="573">
        <f t="shared" si="40"/>
        <v>3064</v>
      </c>
      <c r="W71" s="436"/>
      <c r="X71" s="635"/>
      <c r="Y71" s="637"/>
      <c r="Z71" s="637"/>
      <c r="AA71" s="637"/>
      <c r="AB71" s="637"/>
      <c r="AC71" s="637"/>
      <c r="AD71" s="637"/>
      <c r="AE71" s="637"/>
      <c r="AF71" s="637"/>
      <c r="AG71" s="637"/>
      <c r="AH71" s="637"/>
      <c r="AI71" s="637"/>
      <c r="AJ71" s="637"/>
      <c r="AK71" s="436"/>
      <c r="AL71" s="1092"/>
      <c r="AM71" s="436"/>
      <c r="AN71" s="436"/>
      <c r="AO71" s="436"/>
      <c r="AP71" s="436"/>
      <c r="AQ71" s="436"/>
      <c r="AR71" s="436"/>
      <c r="AS71" s="436"/>
      <c r="AT71" s="436"/>
      <c r="AU71" s="436"/>
      <c r="AV71" s="436"/>
      <c r="AW71" s="436"/>
      <c r="AX71" s="436"/>
      <c r="AY71" s="436"/>
      <c r="AZ71" s="436"/>
      <c r="BA71" s="436"/>
      <c r="BB71" s="436"/>
      <c r="BC71" s="436"/>
    </row>
    <row r="72" spans="1:57" x14ac:dyDescent="0.25">
      <c r="A72" s="126" t="s">
        <v>139</v>
      </c>
      <c r="B72" s="573">
        <f t="shared" si="35"/>
        <v>6178</v>
      </c>
      <c r="C72" s="573">
        <f t="shared" si="36"/>
        <v>5727</v>
      </c>
      <c r="D72" s="911">
        <f>E72*'General Basis'!$L$55</f>
        <v>4482.5</v>
      </c>
      <c r="E72" s="573">
        <f t="shared" si="37"/>
        <v>4075</v>
      </c>
      <c r="F72" s="573">
        <f t="shared" si="38"/>
        <v>3722</v>
      </c>
      <c r="G72" s="911">
        <f>F72*'General Basis'!$L$58</f>
        <v>3647.56</v>
      </c>
      <c r="H72" s="573">
        <f t="shared" si="39"/>
        <v>3133</v>
      </c>
      <c r="I72" s="573">
        <f t="shared" si="40"/>
        <v>3133</v>
      </c>
      <c r="W72" s="436"/>
      <c r="X72" s="1499" t="s">
        <v>812</v>
      </c>
      <c r="Y72" s="1499"/>
      <c r="Z72" s="1499"/>
      <c r="AA72" s="1499"/>
      <c r="AB72" s="1499"/>
      <c r="AC72" s="1499"/>
      <c r="AD72" s="1499"/>
      <c r="AE72" s="1499"/>
      <c r="AF72" s="1499"/>
      <c r="AG72" s="1499"/>
      <c r="AH72" s="1499"/>
      <c r="AI72" s="1499"/>
      <c r="AJ72" s="1499"/>
      <c r="AK72" s="436"/>
      <c r="AL72" s="1092"/>
      <c r="AM72" s="436"/>
      <c r="AN72" s="436"/>
      <c r="AO72" s="436"/>
      <c r="AP72" s="436"/>
      <c r="AQ72" s="436"/>
      <c r="AR72" s="436"/>
      <c r="AS72" s="436"/>
      <c r="AT72" s="436"/>
      <c r="AU72" s="436"/>
      <c r="AV72" s="436"/>
      <c r="AW72" s="436"/>
      <c r="AX72" s="436"/>
      <c r="AY72" s="436"/>
      <c r="AZ72" s="436"/>
      <c r="BA72" s="436"/>
      <c r="BB72" s="436"/>
      <c r="BC72" s="436"/>
    </row>
    <row r="73" spans="1:57" x14ac:dyDescent="0.25">
      <c r="W73" s="436"/>
      <c r="X73" s="636"/>
      <c r="Y73" s="637"/>
      <c r="Z73" s="637"/>
      <c r="AA73" s="637"/>
      <c r="AB73" s="637"/>
      <c r="AC73" s="637"/>
      <c r="AD73" s="637"/>
      <c r="AE73" s="637"/>
      <c r="AF73" s="637"/>
      <c r="AG73" s="637"/>
      <c r="AH73" s="637"/>
      <c r="AI73" s="637"/>
      <c r="AJ73" s="637"/>
      <c r="AK73" s="436"/>
      <c r="AL73" s="1092"/>
      <c r="AM73" s="436"/>
      <c r="AN73" s="436"/>
      <c r="AO73" s="436"/>
      <c r="AP73" s="436"/>
      <c r="AQ73" s="436"/>
      <c r="AR73" s="436"/>
      <c r="AS73" s="436"/>
      <c r="AT73" s="436"/>
      <c r="AU73" s="436"/>
      <c r="AV73" s="436"/>
      <c r="AW73" s="436"/>
      <c r="AX73" s="436"/>
      <c r="AY73" s="436"/>
      <c r="AZ73" s="436"/>
      <c r="BA73" s="436"/>
      <c r="BB73" s="436"/>
      <c r="BC73" s="436"/>
    </row>
    <row r="74" spans="1:57" ht="18.75" x14ac:dyDescent="0.25">
      <c r="A74" s="946" t="s">
        <v>269</v>
      </c>
      <c r="B74" s="947"/>
      <c r="C74" s="947"/>
      <c r="D74" s="947"/>
      <c r="E74" s="947"/>
      <c r="F74" s="947"/>
      <c r="G74" s="947"/>
      <c r="H74" s="947"/>
      <c r="I74" s="947"/>
      <c r="K74" s="1497" t="s">
        <v>1280</v>
      </c>
      <c r="L74" s="1497"/>
      <c r="W74" s="436"/>
      <c r="X74" s="946" t="s">
        <v>757</v>
      </c>
      <c r="Y74" s="947"/>
      <c r="Z74" s="947"/>
      <c r="AA74" s="947"/>
      <c r="AB74" s="947"/>
      <c r="AC74" s="947"/>
      <c r="AD74" s="947"/>
      <c r="AF74" s="1497" t="s">
        <v>1271</v>
      </c>
      <c r="AG74" s="1497"/>
      <c r="AK74" s="436"/>
      <c r="AL74" s="1092"/>
      <c r="AM74" s="436"/>
      <c r="AN74" s="436"/>
      <c r="AO74" s="436"/>
      <c r="AP74" s="436"/>
      <c r="AQ74" s="436"/>
      <c r="AR74" s="436"/>
      <c r="AS74" s="436"/>
      <c r="AT74" s="436"/>
      <c r="AU74" s="436"/>
      <c r="AV74" s="436"/>
      <c r="AW74" s="436"/>
      <c r="AX74" s="436"/>
      <c r="AY74" s="436"/>
      <c r="AZ74" s="436"/>
      <c r="BA74" s="436"/>
      <c r="BB74" s="436"/>
      <c r="BC74" s="436"/>
    </row>
    <row r="75" spans="1:57" x14ac:dyDescent="0.25">
      <c r="A75" s="575" t="s">
        <v>6</v>
      </c>
      <c r="B75" s="574" t="s">
        <v>7</v>
      </c>
      <c r="C75" s="574" t="s">
        <v>21</v>
      </c>
      <c r="D75" s="584" t="s">
        <v>1045</v>
      </c>
      <c r="E75" s="574" t="s">
        <v>28</v>
      </c>
      <c r="F75" s="574" t="s">
        <v>29</v>
      </c>
      <c r="G75" s="584" t="s">
        <v>1073</v>
      </c>
      <c r="H75" s="574" t="s">
        <v>34</v>
      </c>
      <c r="I75" s="574" t="s">
        <v>813</v>
      </c>
      <c r="K75" s="564" t="s">
        <v>755</v>
      </c>
      <c r="L75" s="564" t="s">
        <v>284</v>
      </c>
      <c r="W75" s="436"/>
      <c r="X75" s="574" t="s">
        <v>35</v>
      </c>
      <c r="Y75" s="574" t="s">
        <v>7</v>
      </c>
      <c r="Z75" s="574" t="s">
        <v>21</v>
      </c>
      <c r="AA75" s="574" t="s">
        <v>28</v>
      </c>
      <c r="AB75" s="574" t="s">
        <v>29</v>
      </c>
      <c r="AC75" s="574" t="s">
        <v>34</v>
      </c>
      <c r="AD75" s="574" t="s">
        <v>813</v>
      </c>
      <c r="AK75" s="436"/>
      <c r="AL75" s="1092"/>
      <c r="AM75" s="436"/>
      <c r="AN75" s="436"/>
      <c r="AO75" s="436"/>
      <c r="AP75" s="436"/>
      <c r="AQ75" s="436"/>
      <c r="AR75" s="436"/>
      <c r="AS75" s="436"/>
      <c r="AT75" s="436"/>
      <c r="AU75" s="436"/>
      <c r="AV75" s="436"/>
      <c r="AW75" s="436"/>
      <c r="AX75" s="436"/>
      <c r="AY75" s="436"/>
      <c r="AZ75" s="436"/>
      <c r="BA75" s="436"/>
      <c r="BB75" s="436"/>
      <c r="BC75" s="436"/>
    </row>
    <row r="76" spans="1:57" x14ac:dyDescent="0.25">
      <c r="A76" s="576" t="s">
        <v>35</v>
      </c>
      <c r="B76" s="577" t="s">
        <v>38</v>
      </c>
      <c r="C76" s="577" t="s">
        <v>38</v>
      </c>
      <c r="D76" s="577" t="s">
        <v>38</v>
      </c>
      <c r="E76" s="577" t="s">
        <v>38</v>
      </c>
      <c r="F76" s="577" t="s">
        <v>38</v>
      </c>
      <c r="G76" s="577" t="s">
        <v>38</v>
      </c>
      <c r="H76" s="577" t="s">
        <v>38</v>
      </c>
      <c r="I76" s="577" t="s">
        <v>38</v>
      </c>
      <c r="K76" s="1107" t="s">
        <v>1281</v>
      </c>
      <c r="L76" s="1108">
        <v>0.87499999999999989</v>
      </c>
      <c r="W76" s="436"/>
      <c r="X76" s="1103" t="s">
        <v>678</v>
      </c>
      <c r="Y76" s="1104">
        <v>5179</v>
      </c>
      <c r="Z76" s="1104">
        <v>4548</v>
      </c>
      <c r="AA76" s="1104">
        <v>2996</v>
      </c>
      <c r="AB76" s="1104">
        <v>2080</v>
      </c>
      <c r="AC76" s="1104">
        <v>1751</v>
      </c>
      <c r="AD76" s="1104">
        <v>1751</v>
      </c>
      <c r="AF76" s="564" t="s">
        <v>755</v>
      </c>
      <c r="AG76" s="564" t="s">
        <v>284</v>
      </c>
      <c r="AK76" s="436"/>
      <c r="AL76" s="1092"/>
      <c r="AM76" s="436"/>
      <c r="AN76" s="436"/>
      <c r="AO76" s="436"/>
      <c r="AP76" s="436"/>
      <c r="AQ76" s="436"/>
      <c r="AR76" s="436"/>
      <c r="AS76" s="436"/>
      <c r="AT76" s="436"/>
      <c r="AU76" s="436"/>
      <c r="AV76" s="436"/>
      <c r="AW76" s="436"/>
      <c r="AX76" s="436"/>
      <c r="AY76" s="436"/>
      <c r="AZ76" s="436"/>
      <c r="BA76" s="436"/>
      <c r="BB76" s="436"/>
      <c r="BC76" s="436"/>
    </row>
    <row r="77" spans="1:57" x14ac:dyDescent="0.25">
      <c r="A77" s="711" t="s">
        <v>130</v>
      </c>
      <c r="B77" s="1263">
        <f t="shared" ref="B77:B86" si="41">ROUND(Y92/0.8*(1-Intermediary_and_Fee),0)</f>
        <v>0</v>
      </c>
      <c r="C77" s="1263">
        <f t="shared" ref="C77:C86" si="42">ROUND(Z92/0.8*(1-Intermediary_and_Fee),0)</f>
        <v>0</v>
      </c>
      <c r="D77" s="1264">
        <f>E77*'General Basis'!$L$55</f>
        <v>0</v>
      </c>
      <c r="E77" s="1263">
        <f t="shared" ref="E77:E86" si="43">ROUND(AA92/0.8*(1-Intermediary_and_Fee),0)</f>
        <v>0</v>
      </c>
      <c r="F77" s="1263">
        <f t="shared" ref="F77:F86" si="44">ROUND(AB92/0.8*(1-Intermediary_and_Fee),0)</f>
        <v>0</v>
      </c>
      <c r="G77" s="1264">
        <f>F77</f>
        <v>0</v>
      </c>
      <c r="H77" s="1263">
        <f t="shared" ref="H77:H86" si="45">ROUND(AC92/0.8*(1-Intermediary_and_Fee),0)</f>
        <v>0</v>
      </c>
      <c r="I77" s="1263">
        <f t="shared" ref="I77:I86" si="46">ROUND(AD92/0.8*(1-Intermediary_and_Fee),0)</f>
        <v>0</v>
      </c>
      <c r="K77" s="585" t="s">
        <v>753</v>
      </c>
      <c r="L77" s="587">
        <v>1</v>
      </c>
      <c r="W77" s="436"/>
      <c r="X77" s="126" t="s">
        <v>130</v>
      </c>
      <c r="Y77" s="1105">
        <v>0</v>
      </c>
      <c r="Z77" s="1105">
        <v>0</v>
      </c>
      <c r="AA77" s="1105">
        <v>0</v>
      </c>
      <c r="AB77" s="1105">
        <v>0</v>
      </c>
      <c r="AC77" s="1105">
        <v>0</v>
      </c>
      <c r="AD77" s="1105">
        <v>0</v>
      </c>
      <c r="AF77" s="585" t="s">
        <v>1272</v>
      </c>
      <c r="AG77" s="587">
        <v>1</v>
      </c>
      <c r="AK77" s="436"/>
      <c r="AL77" s="1092"/>
      <c r="AM77" s="436"/>
      <c r="AN77" s="436"/>
      <c r="AO77" s="436"/>
      <c r="AP77" s="436"/>
      <c r="AQ77" s="436"/>
      <c r="AR77" s="436"/>
      <c r="AS77" s="436"/>
      <c r="AT77" s="436"/>
      <c r="AU77" s="436"/>
      <c r="AV77" s="436"/>
      <c r="AW77" s="436"/>
      <c r="AX77" s="436"/>
      <c r="AY77" s="436"/>
      <c r="AZ77" s="436"/>
      <c r="BA77" s="436"/>
      <c r="BB77" s="436"/>
      <c r="BC77" s="436"/>
    </row>
    <row r="78" spans="1:57" x14ac:dyDescent="0.25">
      <c r="A78" s="711">
        <v>500</v>
      </c>
      <c r="B78" s="1263">
        <f t="shared" si="41"/>
        <v>435</v>
      </c>
      <c r="C78" s="1263">
        <f t="shared" si="42"/>
        <v>344</v>
      </c>
      <c r="D78" s="1264">
        <f>E78*'General Basis'!$L$55</f>
        <v>220.00000000000003</v>
      </c>
      <c r="E78" s="1263">
        <f t="shared" si="43"/>
        <v>200</v>
      </c>
      <c r="F78" s="1263">
        <f t="shared" si="44"/>
        <v>151</v>
      </c>
      <c r="G78" s="1264">
        <f>F78</f>
        <v>151</v>
      </c>
      <c r="H78" s="1263">
        <f t="shared" si="45"/>
        <v>155</v>
      </c>
      <c r="I78" s="1263">
        <f t="shared" si="46"/>
        <v>156</v>
      </c>
      <c r="K78" s="585" t="s">
        <v>754</v>
      </c>
      <c r="L78" s="587">
        <v>1.125</v>
      </c>
      <c r="W78" s="436"/>
      <c r="X78" s="126">
        <v>7500</v>
      </c>
      <c r="Y78" s="1105">
        <v>3316</v>
      </c>
      <c r="Z78" s="1105">
        <v>3074</v>
      </c>
      <c r="AA78" s="1105">
        <v>2187</v>
      </c>
      <c r="AB78" s="1105">
        <v>1998</v>
      </c>
      <c r="AC78" s="1105">
        <v>1682</v>
      </c>
      <c r="AD78" s="1105">
        <v>1682</v>
      </c>
      <c r="AF78" s="585" t="s">
        <v>754</v>
      </c>
      <c r="AG78" s="587">
        <v>0.9</v>
      </c>
      <c r="AK78" s="436"/>
      <c r="AL78" s="1092"/>
      <c r="AM78" s="436"/>
      <c r="AN78" s="436"/>
      <c r="AO78" s="436"/>
      <c r="AP78" s="436"/>
      <c r="AQ78" s="436"/>
      <c r="AR78" s="436"/>
      <c r="AS78" s="436"/>
      <c r="AT78" s="436"/>
      <c r="AU78" s="436"/>
      <c r="AV78" s="436"/>
      <c r="AW78" s="436"/>
      <c r="AX78" s="436"/>
      <c r="AY78" s="436"/>
      <c r="AZ78" s="436"/>
      <c r="BA78" s="436"/>
      <c r="BB78" s="436"/>
      <c r="BC78" s="436"/>
    </row>
    <row r="79" spans="1:57" x14ac:dyDescent="0.25">
      <c r="A79" s="711">
        <v>1000</v>
      </c>
      <c r="B79" s="1263">
        <f t="shared" si="41"/>
        <v>615</v>
      </c>
      <c r="C79" s="1263">
        <f t="shared" si="42"/>
        <v>409</v>
      </c>
      <c r="D79" s="1264">
        <f>E79*'General Basis'!$L$55</f>
        <v>240.9</v>
      </c>
      <c r="E79" s="1263">
        <f t="shared" si="43"/>
        <v>219</v>
      </c>
      <c r="F79" s="1263">
        <f t="shared" si="44"/>
        <v>159</v>
      </c>
      <c r="G79" s="1264">
        <f t="shared" ref="G79:G86" si="47">F79</f>
        <v>159</v>
      </c>
      <c r="H79" s="1263">
        <f t="shared" si="45"/>
        <v>159</v>
      </c>
      <c r="I79" s="1263">
        <f t="shared" si="46"/>
        <v>159</v>
      </c>
      <c r="W79" s="436"/>
      <c r="X79" s="126">
        <v>10000</v>
      </c>
      <c r="Y79" s="1105">
        <v>3453</v>
      </c>
      <c r="Z79" s="1105">
        <v>3200</v>
      </c>
      <c r="AA79" s="1105">
        <v>2277</v>
      </c>
      <c r="AB79" s="1105">
        <v>2080</v>
      </c>
      <c r="AC79" s="1105">
        <v>1751</v>
      </c>
      <c r="AD79" s="1105">
        <v>1751</v>
      </c>
      <c r="AF79" s="585" t="s">
        <v>1274</v>
      </c>
      <c r="AG79" s="587">
        <v>0.98499999999999999</v>
      </c>
      <c r="AK79" s="436"/>
      <c r="AL79" s="1092"/>
      <c r="AM79" s="436"/>
      <c r="AN79" s="436"/>
      <c r="AO79" s="436"/>
      <c r="AP79" s="436"/>
      <c r="AQ79" s="436"/>
      <c r="AR79" s="436"/>
      <c r="AS79" s="436"/>
      <c r="AT79" s="436"/>
      <c r="AU79" s="436"/>
      <c r="AV79" s="436"/>
      <c r="AW79" s="436"/>
      <c r="AX79" s="436"/>
      <c r="AY79" s="436"/>
      <c r="AZ79" s="436"/>
      <c r="BA79" s="436"/>
      <c r="BB79" s="436"/>
      <c r="BC79" s="436"/>
    </row>
    <row r="80" spans="1:57" x14ac:dyDescent="0.25">
      <c r="A80" s="711">
        <v>2000</v>
      </c>
      <c r="B80" s="1263">
        <f t="shared" si="41"/>
        <v>675</v>
      </c>
      <c r="C80" s="1263">
        <f t="shared" si="42"/>
        <v>449</v>
      </c>
      <c r="D80" s="1264">
        <f>E80*'General Basis'!$L$55</f>
        <v>264</v>
      </c>
      <c r="E80" s="1263">
        <f t="shared" si="43"/>
        <v>240</v>
      </c>
      <c r="F80" s="1263">
        <f t="shared" si="44"/>
        <v>175</v>
      </c>
      <c r="G80" s="1264">
        <f t="shared" si="47"/>
        <v>175</v>
      </c>
      <c r="H80" s="1263">
        <f t="shared" si="45"/>
        <v>175</v>
      </c>
      <c r="I80" s="1263">
        <f t="shared" si="46"/>
        <v>175</v>
      </c>
      <c r="W80" s="436"/>
      <c r="X80" s="126">
        <v>15000</v>
      </c>
      <c r="Y80" s="1105">
        <v>4543</v>
      </c>
      <c r="Z80" s="1105">
        <v>4211</v>
      </c>
      <c r="AA80" s="1105">
        <v>2996</v>
      </c>
      <c r="AB80" s="1105">
        <v>2737</v>
      </c>
      <c r="AC80" s="1105">
        <v>2304</v>
      </c>
      <c r="AD80" s="1105">
        <v>2304</v>
      </c>
      <c r="AF80" s="436"/>
      <c r="AG80" s="436"/>
      <c r="AK80" s="436"/>
      <c r="AL80" s="1092"/>
      <c r="AM80" s="436"/>
      <c r="AN80" s="436"/>
      <c r="AO80" s="436"/>
      <c r="AP80" s="436"/>
      <c r="AQ80" s="436"/>
      <c r="AR80" s="436"/>
      <c r="AS80" s="436"/>
      <c r="AT80" s="436"/>
      <c r="AU80" s="436"/>
      <c r="AV80" s="436"/>
      <c r="AW80" s="436"/>
      <c r="AX80" s="436"/>
      <c r="AY80" s="436"/>
      <c r="AZ80" s="436"/>
      <c r="BA80" s="436"/>
      <c r="BB80" s="436"/>
      <c r="BC80" s="436"/>
    </row>
    <row r="81" spans="1:57" x14ac:dyDescent="0.25">
      <c r="A81" s="711">
        <v>2500</v>
      </c>
      <c r="B81" s="1263">
        <f t="shared" si="41"/>
        <v>858</v>
      </c>
      <c r="C81" s="1263">
        <f t="shared" si="42"/>
        <v>570</v>
      </c>
      <c r="D81" s="1264">
        <f>E81*'General Basis'!$L$55</f>
        <v>335.5</v>
      </c>
      <c r="E81" s="1263">
        <f t="shared" si="43"/>
        <v>305</v>
      </c>
      <c r="F81" s="1263">
        <f t="shared" si="44"/>
        <v>221</v>
      </c>
      <c r="G81" s="1264">
        <f t="shared" si="47"/>
        <v>221</v>
      </c>
      <c r="H81" s="1263">
        <f t="shared" si="45"/>
        <v>221</v>
      </c>
      <c r="I81" s="1263">
        <f t="shared" si="46"/>
        <v>221</v>
      </c>
      <c r="W81" s="436"/>
      <c r="X81" s="126">
        <v>20000</v>
      </c>
      <c r="Y81" s="1105">
        <v>4906</v>
      </c>
      <c r="Z81" s="1105">
        <v>4548</v>
      </c>
      <c r="AA81" s="1105">
        <v>3236</v>
      </c>
      <c r="AB81" s="1105">
        <v>2956</v>
      </c>
      <c r="AC81" s="1105">
        <v>2488</v>
      </c>
      <c r="AD81" s="1105">
        <v>2488</v>
      </c>
      <c r="AF81" s="436"/>
      <c r="AG81" s="436"/>
      <c r="AK81" s="436"/>
      <c r="AL81" s="1092"/>
      <c r="AM81" s="436"/>
      <c r="AN81" s="436"/>
      <c r="AO81" s="436"/>
      <c r="AP81" s="436"/>
      <c r="AQ81" s="436"/>
      <c r="AR81" s="436"/>
      <c r="AS81" s="436"/>
      <c r="AT81" s="436"/>
      <c r="AU81" s="436"/>
      <c r="AV81" s="436"/>
      <c r="AW81" s="436"/>
      <c r="AX81" s="436"/>
      <c r="AY81" s="436"/>
      <c r="AZ81" s="436"/>
      <c r="BA81" s="436"/>
      <c r="BB81" s="436"/>
      <c r="BC81" s="436"/>
    </row>
    <row r="82" spans="1:57" x14ac:dyDescent="0.25">
      <c r="A82" s="711">
        <v>3000</v>
      </c>
      <c r="B82" s="1263">
        <f t="shared" si="41"/>
        <v>919</v>
      </c>
      <c r="C82" s="1263">
        <f t="shared" si="42"/>
        <v>610</v>
      </c>
      <c r="D82" s="1264">
        <f>E82*'General Basis'!$L$55</f>
        <v>358.6</v>
      </c>
      <c r="E82" s="1263">
        <f t="shared" si="43"/>
        <v>326</v>
      </c>
      <c r="F82" s="1263">
        <f t="shared" si="44"/>
        <v>238</v>
      </c>
      <c r="G82" s="1264">
        <f t="shared" si="47"/>
        <v>238</v>
      </c>
      <c r="H82" s="1263">
        <f t="shared" si="45"/>
        <v>238</v>
      </c>
      <c r="I82" s="1263">
        <f t="shared" si="46"/>
        <v>238</v>
      </c>
      <c r="W82" s="436"/>
      <c r="X82" s="126">
        <v>25000</v>
      </c>
      <c r="Y82" s="1105">
        <v>5179</v>
      </c>
      <c r="Z82" s="1105">
        <v>4801</v>
      </c>
      <c r="AA82" s="1105">
        <v>3415</v>
      </c>
      <c r="AB82" s="1105">
        <v>3120</v>
      </c>
      <c r="AC82" s="1105">
        <v>2627</v>
      </c>
      <c r="AD82" s="1105">
        <v>2627</v>
      </c>
      <c r="AF82" s="670" t="s">
        <v>1276</v>
      </c>
      <c r="AG82" s="436"/>
      <c r="AK82" s="436"/>
      <c r="AL82" s="1092"/>
      <c r="AM82" s="436"/>
      <c r="AN82" s="436"/>
      <c r="AO82" s="436"/>
      <c r="AP82" s="436"/>
      <c r="AQ82" s="436"/>
      <c r="AR82" s="436"/>
      <c r="AS82" s="436"/>
      <c r="AT82" s="436"/>
      <c r="AU82" s="436"/>
      <c r="AV82" s="436"/>
      <c r="AW82" s="436"/>
      <c r="AX82" s="436"/>
      <c r="AY82" s="436"/>
      <c r="AZ82" s="436"/>
      <c r="BA82" s="436"/>
      <c r="BB82" s="436"/>
      <c r="BC82" s="436"/>
    </row>
    <row r="83" spans="1:57" x14ac:dyDescent="0.25">
      <c r="A83" s="711">
        <v>3500</v>
      </c>
      <c r="B83" s="1263">
        <f t="shared" si="41"/>
        <v>986</v>
      </c>
      <c r="C83" s="1263">
        <f t="shared" si="42"/>
        <v>655</v>
      </c>
      <c r="D83" s="1264">
        <f>E83*'General Basis'!$L$55</f>
        <v>386.1</v>
      </c>
      <c r="E83" s="1263">
        <f t="shared" si="43"/>
        <v>351</v>
      </c>
      <c r="F83" s="1263">
        <f t="shared" si="44"/>
        <v>255</v>
      </c>
      <c r="G83" s="1264">
        <f t="shared" si="47"/>
        <v>255</v>
      </c>
      <c r="H83" s="1263">
        <f t="shared" si="45"/>
        <v>255</v>
      </c>
      <c r="I83" s="1263">
        <f t="shared" si="46"/>
        <v>255</v>
      </c>
      <c r="W83" s="436"/>
      <c r="X83" s="126">
        <v>30000</v>
      </c>
      <c r="Y83" s="1105">
        <v>5770</v>
      </c>
      <c r="Z83" s="1105">
        <v>5348</v>
      </c>
      <c r="AA83" s="1105">
        <v>3805</v>
      </c>
      <c r="AB83" s="1105">
        <v>3476</v>
      </c>
      <c r="AC83" s="1105">
        <v>2926</v>
      </c>
      <c r="AD83" s="1105">
        <v>2926</v>
      </c>
      <c r="AF83" s="1106" t="s">
        <v>1277</v>
      </c>
      <c r="AG83" s="436"/>
      <c r="AK83" s="436"/>
      <c r="AL83" s="1092"/>
      <c r="AM83" s="436"/>
      <c r="AN83" s="436"/>
      <c r="AO83" s="436"/>
      <c r="AP83" s="436"/>
      <c r="AQ83" s="436"/>
      <c r="AR83" s="436"/>
      <c r="AS83" s="436"/>
      <c r="AT83" s="436"/>
      <c r="AU83" s="436"/>
      <c r="AV83" s="436"/>
      <c r="AW83" s="436"/>
      <c r="AX83" s="436"/>
      <c r="AY83" s="436"/>
      <c r="AZ83" s="436"/>
      <c r="BA83" s="436"/>
      <c r="BB83" s="436"/>
      <c r="BC83" s="436"/>
    </row>
    <row r="84" spans="1:57" x14ac:dyDescent="0.25">
      <c r="A84" s="711">
        <v>5000</v>
      </c>
      <c r="B84" s="1263">
        <f t="shared" si="41"/>
        <v>1169</v>
      </c>
      <c r="C84" s="1263">
        <f t="shared" si="42"/>
        <v>776</v>
      </c>
      <c r="D84" s="1264">
        <f>E84*'General Basis'!$L$55</f>
        <v>456.50000000000006</v>
      </c>
      <c r="E84" s="1263">
        <f t="shared" si="43"/>
        <v>415</v>
      </c>
      <c r="F84" s="1263">
        <f t="shared" si="44"/>
        <v>301</v>
      </c>
      <c r="G84" s="1264">
        <f t="shared" si="47"/>
        <v>301</v>
      </c>
      <c r="H84" s="1263">
        <f t="shared" si="45"/>
        <v>301</v>
      </c>
      <c r="I84" s="1263">
        <f t="shared" si="46"/>
        <v>301</v>
      </c>
      <c r="W84" s="436"/>
      <c r="X84" s="126">
        <v>40000</v>
      </c>
      <c r="Y84" s="1105">
        <v>5860</v>
      </c>
      <c r="Z84" s="1105">
        <v>5432</v>
      </c>
      <c r="AA84" s="1105">
        <v>3865</v>
      </c>
      <c r="AB84" s="1105">
        <v>3531</v>
      </c>
      <c r="AC84" s="1105">
        <v>2972</v>
      </c>
      <c r="AD84" s="1105">
        <v>2972</v>
      </c>
      <c r="AF84" s="1106" t="s">
        <v>1278</v>
      </c>
      <c r="AG84" s="436"/>
      <c r="AK84" s="436"/>
      <c r="AL84" s="1092"/>
      <c r="AM84" s="436"/>
      <c r="AN84" s="436"/>
      <c r="AO84" s="436"/>
      <c r="AP84" s="436"/>
      <c r="AQ84" s="436"/>
      <c r="AR84" s="436"/>
      <c r="AS84" s="436"/>
      <c r="AT84" s="436"/>
      <c r="AU84" s="436"/>
      <c r="AV84" s="436"/>
      <c r="AW84" s="436"/>
      <c r="AX84" s="436"/>
      <c r="AY84" s="436"/>
      <c r="AZ84" s="436"/>
      <c r="BA84" s="436"/>
      <c r="BB84" s="436"/>
      <c r="BC84" s="436"/>
    </row>
    <row r="85" spans="1:57" x14ac:dyDescent="0.25">
      <c r="A85" s="711">
        <v>7500</v>
      </c>
      <c r="B85" s="1263">
        <f t="shared" si="41"/>
        <v>1290</v>
      </c>
      <c r="C85" s="1263">
        <f t="shared" si="42"/>
        <v>858</v>
      </c>
      <c r="D85" s="1264">
        <f>E85*'General Basis'!$L$55</f>
        <v>504.90000000000003</v>
      </c>
      <c r="E85" s="1263">
        <f t="shared" si="43"/>
        <v>459</v>
      </c>
      <c r="F85" s="1263">
        <f t="shared" si="44"/>
        <v>334</v>
      </c>
      <c r="G85" s="1264">
        <f t="shared" si="47"/>
        <v>334</v>
      </c>
      <c r="H85" s="1263">
        <f t="shared" si="45"/>
        <v>334</v>
      </c>
      <c r="I85" s="1263">
        <f t="shared" si="46"/>
        <v>334</v>
      </c>
      <c r="W85" s="436"/>
      <c r="X85" s="126">
        <v>50000</v>
      </c>
      <c r="Y85" s="1105">
        <v>6042</v>
      </c>
      <c r="Z85" s="1105">
        <v>5601</v>
      </c>
      <c r="AA85" s="1105">
        <v>3985</v>
      </c>
      <c r="AB85" s="1105">
        <v>3640</v>
      </c>
      <c r="AC85" s="1105">
        <v>3064</v>
      </c>
      <c r="AD85" s="1105">
        <v>3064</v>
      </c>
      <c r="AK85" s="436"/>
      <c r="AL85" s="1092"/>
      <c r="AM85" s="436"/>
      <c r="AN85" s="436"/>
      <c r="AO85" s="436"/>
      <c r="AP85" s="436"/>
      <c r="AQ85" s="436"/>
      <c r="AR85" s="436"/>
      <c r="AS85" s="436"/>
      <c r="AT85" s="436"/>
      <c r="AU85" s="436"/>
      <c r="AV85" s="436"/>
      <c r="AW85" s="436"/>
      <c r="AX85" s="436"/>
      <c r="AY85" s="436"/>
      <c r="AZ85" s="436"/>
      <c r="BA85" s="436"/>
      <c r="BB85" s="436"/>
      <c r="BC85" s="436"/>
    </row>
    <row r="86" spans="1:57" s="578" customFormat="1" x14ac:dyDescent="0.25">
      <c r="A86" s="712">
        <v>10000</v>
      </c>
      <c r="B86" s="1263">
        <f t="shared" si="41"/>
        <v>1844</v>
      </c>
      <c r="C86" s="1263">
        <f t="shared" si="42"/>
        <v>1225</v>
      </c>
      <c r="D86" s="1264">
        <f>E86*'General Basis'!$L$55</f>
        <v>721.6</v>
      </c>
      <c r="E86" s="1263">
        <f t="shared" si="43"/>
        <v>656</v>
      </c>
      <c r="F86" s="1263">
        <f t="shared" si="44"/>
        <v>476</v>
      </c>
      <c r="G86" s="1264">
        <f t="shared" si="47"/>
        <v>476</v>
      </c>
      <c r="H86" s="1263">
        <f t="shared" si="45"/>
        <v>476</v>
      </c>
      <c r="I86" s="1263">
        <f t="shared" si="46"/>
        <v>476</v>
      </c>
      <c r="L86" s="467"/>
      <c r="M86" s="467"/>
      <c r="N86" s="467"/>
      <c r="O86" s="467"/>
      <c r="P86" s="467"/>
      <c r="Q86" s="467"/>
      <c r="R86" s="467"/>
      <c r="S86" s="467"/>
      <c r="T86" s="467"/>
      <c r="U86" s="467"/>
      <c r="V86" s="1145"/>
      <c r="W86" s="579"/>
      <c r="X86" s="126" t="s">
        <v>139</v>
      </c>
      <c r="Y86" s="1105">
        <v>6178</v>
      </c>
      <c r="Z86" s="1105">
        <v>5727</v>
      </c>
      <c r="AA86" s="1105">
        <v>4075</v>
      </c>
      <c r="AB86" s="1105">
        <v>3722</v>
      </c>
      <c r="AC86" s="1105">
        <v>3133</v>
      </c>
      <c r="AD86" s="1105">
        <v>3133</v>
      </c>
      <c r="AK86" s="579"/>
      <c r="AL86" s="1146"/>
      <c r="AM86" s="579"/>
      <c r="AN86" s="436"/>
      <c r="AO86" s="436"/>
      <c r="AP86" s="436"/>
      <c r="AQ86" s="436"/>
      <c r="AR86" s="436"/>
      <c r="AS86" s="436"/>
      <c r="AT86" s="436"/>
      <c r="AU86" s="436"/>
      <c r="AV86" s="436"/>
      <c r="AW86" s="436"/>
      <c r="AX86" s="436"/>
      <c r="AY86" s="436"/>
      <c r="AZ86" s="436"/>
      <c r="BA86" s="436"/>
      <c r="BB86" s="436"/>
      <c r="BC86" s="436"/>
      <c r="BD86" s="467"/>
      <c r="BE86" s="467"/>
    </row>
    <row r="87" spans="1:57" x14ac:dyDescent="0.25">
      <c r="W87" s="436"/>
      <c r="X87" s="436" t="s">
        <v>677</v>
      </c>
      <c r="Y87" s="436"/>
      <c r="Z87" s="436"/>
      <c r="AA87" s="436"/>
      <c r="AB87" s="436"/>
      <c r="AC87" s="436"/>
      <c r="AD87" s="436"/>
      <c r="AK87" s="436"/>
      <c r="AL87" s="1092"/>
      <c r="AM87" s="436"/>
      <c r="AN87" s="436"/>
      <c r="AO87" s="436"/>
      <c r="AP87" s="436"/>
      <c r="AQ87" s="436"/>
      <c r="AR87" s="436"/>
      <c r="AS87" s="436"/>
      <c r="AT87" s="436"/>
      <c r="AU87" s="436"/>
      <c r="AV87" s="436"/>
      <c r="AW87" s="436"/>
      <c r="AX87" s="436"/>
      <c r="AY87" s="436"/>
      <c r="AZ87" s="436"/>
      <c r="BA87" s="436"/>
      <c r="BB87" s="436"/>
      <c r="BC87" s="436"/>
    </row>
    <row r="88" spans="1:57" ht="18.75" x14ac:dyDescent="0.25">
      <c r="A88" s="946" t="s">
        <v>756</v>
      </c>
      <c r="B88" s="947"/>
      <c r="C88" s="947"/>
      <c r="D88" s="947"/>
      <c r="E88" s="947"/>
      <c r="F88" s="947"/>
      <c r="G88" s="947"/>
      <c r="H88" s="947"/>
      <c r="I88" s="947"/>
      <c r="K88" s="1497" t="s">
        <v>1283</v>
      </c>
      <c r="L88" s="1497"/>
      <c r="W88" s="436"/>
      <c r="AK88" s="436"/>
      <c r="AL88" s="1092"/>
      <c r="AM88" s="436"/>
      <c r="AN88" s="436"/>
      <c r="AO88" s="436"/>
      <c r="AP88" s="436"/>
      <c r="AQ88" s="436"/>
      <c r="AR88" s="436"/>
      <c r="AS88" s="436"/>
      <c r="AT88" s="436"/>
      <c r="AU88" s="436"/>
      <c r="AV88" s="436"/>
      <c r="AW88" s="436"/>
      <c r="AX88" s="436"/>
      <c r="AY88" s="436"/>
      <c r="AZ88" s="436"/>
      <c r="BA88" s="436"/>
      <c r="BB88" s="436"/>
      <c r="BC88" s="436"/>
    </row>
    <row r="89" spans="1:57" ht="18.75" x14ac:dyDescent="0.25">
      <c r="A89" s="582" t="s">
        <v>35</v>
      </c>
      <c r="B89" s="574" t="s">
        <v>7</v>
      </c>
      <c r="C89" s="574" t="s">
        <v>21</v>
      </c>
      <c r="D89" s="584" t="s">
        <v>1045</v>
      </c>
      <c r="E89" s="574" t="s">
        <v>28</v>
      </c>
      <c r="F89" s="574" t="s">
        <v>29</v>
      </c>
      <c r="G89" s="584" t="s">
        <v>1073</v>
      </c>
      <c r="H89" s="574" t="s">
        <v>34</v>
      </c>
      <c r="I89" s="574" t="s">
        <v>813</v>
      </c>
      <c r="K89" s="564" t="s">
        <v>755</v>
      </c>
      <c r="L89" s="564" t="s">
        <v>284</v>
      </c>
      <c r="W89" s="436"/>
      <c r="X89" s="946" t="s">
        <v>1279</v>
      </c>
      <c r="Y89" s="947"/>
      <c r="Z89" s="947"/>
      <c r="AA89" s="947"/>
      <c r="AB89" s="947"/>
      <c r="AC89" s="947"/>
      <c r="AD89" s="947"/>
      <c r="AE89" s="436"/>
      <c r="AF89" s="1497" t="s">
        <v>1280</v>
      </c>
      <c r="AG89" s="1497"/>
      <c r="AH89" s="436"/>
      <c r="AK89" s="436"/>
      <c r="AL89" s="1092"/>
      <c r="AM89" s="436"/>
      <c r="AN89" s="436"/>
      <c r="AO89" s="436"/>
      <c r="AP89" s="436"/>
      <c r="AQ89" s="436"/>
      <c r="AR89" s="436"/>
      <c r="AS89" s="436"/>
      <c r="AT89" s="436"/>
      <c r="AU89" s="436"/>
      <c r="AV89" s="436"/>
      <c r="AW89" s="436"/>
      <c r="AX89" s="436"/>
      <c r="AY89" s="436"/>
      <c r="AZ89" s="436"/>
      <c r="BA89" s="436"/>
      <c r="BB89" s="436"/>
      <c r="BC89" s="436"/>
    </row>
    <row r="90" spans="1:57" x14ac:dyDescent="0.25">
      <c r="A90" s="583" t="s">
        <v>130</v>
      </c>
      <c r="B90" s="1263">
        <f t="shared" ref="B90:C97" si="48">ROUND(Y107/0.8*(1-Intermediary_and_Fee),0)</f>
        <v>0</v>
      </c>
      <c r="C90" s="1263">
        <f t="shared" si="48"/>
        <v>0</v>
      </c>
      <c r="D90" s="1264">
        <f>E90*'General Basis'!$L$55</f>
        <v>0</v>
      </c>
      <c r="E90" s="1263">
        <f t="shared" ref="E90:F97" si="49">ROUND(AA107/0.8*(1-Intermediary_and_Fee),0)</f>
        <v>0</v>
      </c>
      <c r="F90" s="1263">
        <f t="shared" si="49"/>
        <v>0</v>
      </c>
      <c r="G90" s="1264">
        <f>F90</f>
        <v>0</v>
      </c>
      <c r="H90" s="1263">
        <f t="shared" ref="H90:I97" si="50">ROUND(AC107/0.8*(1-Intermediary_and_Fee),0)</f>
        <v>0</v>
      </c>
      <c r="I90" s="1263">
        <f t="shared" si="50"/>
        <v>0</v>
      </c>
      <c r="K90" s="1107" t="s">
        <v>1281</v>
      </c>
      <c r="L90" s="1108">
        <v>0.87499999999999989</v>
      </c>
      <c r="W90" s="436"/>
      <c r="X90" s="574" t="s">
        <v>35</v>
      </c>
      <c r="Y90" s="574" t="s">
        <v>7</v>
      </c>
      <c r="Z90" s="574" t="s">
        <v>21</v>
      </c>
      <c r="AA90" s="574" t="s">
        <v>28</v>
      </c>
      <c r="AB90" s="574" t="s">
        <v>29</v>
      </c>
      <c r="AC90" s="574" t="s">
        <v>34</v>
      </c>
      <c r="AD90" s="574" t="s">
        <v>813</v>
      </c>
      <c r="AE90" s="436"/>
      <c r="AF90" s="564" t="s">
        <v>755</v>
      </c>
      <c r="AG90" s="564" t="s">
        <v>284</v>
      </c>
      <c r="AH90" s="436"/>
      <c r="AK90" s="436"/>
      <c r="AL90" s="1092"/>
      <c r="AM90" s="436"/>
      <c r="AN90" s="436"/>
      <c r="AO90" s="436"/>
      <c r="AP90" s="436"/>
      <c r="AQ90" s="436"/>
      <c r="AR90" s="436"/>
      <c r="AS90" s="436"/>
      <c r="AT90" s="436"/>
      <c r="AU90" s="436"/>
      <c r="AV90" s="436"/>
      <c r="AW90" s="436"/>
      <c r="AX90" s="436"/>
      <c r="AY90" s="436"/>
      <c r="AZ90" s="436"/>
      <c r="BA90" s="436"/>
      <c r="BB90" s="436"/>
      <c r="BC90" s="436"/>
    </row>
    <row r="91" spans="1:57" x14ac:dyDescent="0.25">
      <c r="A91" s="583">
        <v>300</v>
      </c>
      <c r="B91" s="1263">
        <f t="shared" si="48"/>
        <v>169</v>
      </c>
      <c r="C91" s="1263">
        <f t="shared" si="48"/>
        <v>140</v>
      </c>
      <c r="D91" s="1264">
        <f>E91*'General Basis'!$L$55</f>
        <v>82.5</v>
      </c>
      <c r="E91" s="1263">
        <f t="shared" si="49"/>
        <v>75</v>
      </c>
      <c r="F91" s="1263">
        <f t="shared" si="49"/>
        <v>41</v>
      </c>
      <c r="G91" s="1264">
        <f t="shared" ref="G91:G97" si="51">F91</f>
        <v>41</v>
      </c>
      <c r="H91" s="1263">
        <f t="shared" si="50"/>
        <v>41</v>
      </c>
      <c r="I91" s="1263">
        <f t="shared" si="50"/>
        <v>41</v>
      </c>
      <c r="K91" s="585" t="s">
        <v>753</v>
      </c>
      <c r="L91" s="587">
        <v>1</v>
      </c>
      <c r="W91" s="436"/>
      <c r="X91" s="1103" t="s">
        <v>678</v>
      </c>
      <c r="Y91" s="1104">
        <v>935</v>
      </c>
      <c r="Z91" s="1104">
        <v>524</v>
      </c>
      <c r="AA91" s="1104">
        <v>244</v>
      </c>
      <c r="AB91" s="1104">
        <v>127</v>
      </c>
      <c r="AC91" s="1104">
        <v>127</v>
      </c>
      <c r="AD91" s="1104">
        <v>127</v>
      </c>
      <c r="AE91" s="436"/>
      <c r="AF91" s="1107" t="s">
        <v>1281</v>
      </c>
      <c r="AG91" s="1108">
        <v>0.87499999999999989</v>
      </c>
      <c r="AH91" s="436"/>
      <c r="AK91" s="436"/>
      <c r="AL91" s="1092"/>
      <c r="AM91" s="436"/>
      <c r="AN91" s="436"/>
      <c r="AO91" s="436"/>
      <c r="AP91" s="436"/>
      <c r="AQ91" s="436"/>
      <c r="AR91" s="436"/>
      <c r="AS91" s="436"/>
      <c r="AT91" s="436"/>
      <c r="AU91" s="436"/>
      <c r="AV91" s="436"/>
      <c r="AW91" s="436"/>
      <c r="AX91" s="436"/>
      <c r="AY91" s="436"/>
      <c r="AZ91" s="436"/>
      <c r="BA91" s="436"/>
      <c r="BB91" s="436"/>
      <c r="BC91" s="436"/>
      <c r="BD91" s="578"/>
      <c r="BE91" s="578"/>
    </row>
    <row r="92" spans="1:57" x14ac:dyDescent="0.25">
      <c r="A92" s="583">
        <v>500</v>
      </c>
      <c r="B92" s="1263">
        <f t="shared" si="48"/>
        <v>251</v>
      </c>
      <c r="C92" s="1263">
        <f t="shared" si="48"/>
        <v>208</v>
      </c>
      <c r="D92" s="1264">
        <f>E92*'General Basis'!$L$55</f>
        <v>124.30000000000001</v>
      </c>
      <c r="E92" s="1263">
        <f t="shared" si="49"/>
        <v>113</v>
      </c>
      <c r="F92" s="1263">
        <f t="shared" si="49"/>
        <v>60</v>
      </c>
      <c r="G92" s="1264">
        <f t="shared" si="51"/>
        <v>60</v>
      </c>
      <c r="H92" s="1263">
        <f t="shared" si="50"/>
        <v>60</v>
      </c>
      <c r="I92" s="1263">
        <f t="shared" si="50"/>
        <v>60</v>
      </c>
      <c r="K92" s="585" t="s">
        <v>754</v>
      </c>
      <c r="L92" s="587">
        <v>1.125</v>
      </c>
      <c r="W92" s="436"/>
      <c r="X92" s="126" t="s">
        <v>130</v>
      </c>
      <c r="Y92" s="1105">
        <v>0</v>
      </c>
      <c r="Z92" s="1105">
        <v>0</v>
      </c>
      <c r="AA92" s="1105">
        <v>0</v>
      </c>
      <c r="AB92" s="1105">
        <v>0</v>
      </c>
      <c r="AC92" s="1105">
        <v>0</v>
      </c>
      <c r="AD92" s="1105">
        <v>0</v>
      </c>
      <c r="AE92" s="436"/>
      <c r="AF92" s="585" t="s">
        <v>753</v>
      </c>
      <c r="AG92" s="587">
        <v>1</v>
      </c>
      <c r="AH92" s="436"/>
      <c r="AK92" s="436"/>
      <c r="AL92" s="1092"/>
      <c r="AM92" s="436"/>
      <c r="AN92" s="436"/>
      <c r="AO92" s="436"/>
      <c r="AP92" s="436"/>
      <c r="AQ92" s="436"/>
      <c r="AR92" s="436"/>
      <c r="AS92" s="436"/>
      <c r="AT92" s="436"/>
      <c r="AU92" s="436"/>
      <c r="AV92" s="436"/>
      <c r="AW92" s="436"/>
      <c r="AX92" s="436"/>
      <c r="AY92" s="436"/>
      <c r="AZ92" s="436"/>
      <c r="BA92" s="436"/>
      <c r="BB92" s="436"/>
      <c r="BC92" s="436"/>
    </row>
    <row r="93" spans="1:57" x14ac:dyDescent="0.25">
      <c r="A93" s="583">
        <v>750</v>
      </c>
      <c r="B93" s="1263">
        <f t="shared" si="48"/>
        <v>338</v>
      </c>
      <c r="C93" s="1263">
        <f t="shared" si="48"/>
        <v>280</v>
      </c>
      <c r="D93" s="1264">
        <f>E93*'General Basis'!$L$55</f>
        <v>165</v>
      </c>
      <c r="E93" s="1263">
        <f t="shared" si="49"/>
        <v>150</v>
      </c>
      <c r="F93" s="1263">
        <f t="shared" si="49"/>
        <v>81</v>
      </c>
      <c r="G93" s="1264">
        <f t="shared" si="51"/>
        <v>81</v>
      </c>
      <c r="H93" s="1263">
        <f t="shared" si="50"/>
        <v>81</v>
      </c>
      <c r="I93" s="1263">
        <f t="shared" si="50"/>
        <v>81</v>
      </c>
      <c r="W93" s="436"/>
      <c r="X93" s="126">
        <v>500</v>
      </c>
      <c r="Y93" s="1109">
        <v>348</v>
      </c>
      <c r="Z93" s="1109">
        <v>275</v>
      </c>
      <c r="AA93" s="1109">
        <v>160</v>
      </c>
      <c r="AB93" s="1109">
        <v>121</v>
      </c>
      <c r="AC93" s="1109">
        <v>124</v>
      </c>
      <c r="AD93" s="1109">
        <v>125</v>
      </c>
      <c r="AE93" s="436"/>
      <c r="AF93" s="585" t="s">
        <v>754</v>
      </c>
      <c r="AG93" s="587">
        <v>1.125</v>
      </c>
      <c r="AH93" s="436"/>
      <c r="AK93" s="436"/>
      <c r="AL93" s="1092"/>
      <c r="AM93" s="436"/>
      <c r="AN93" s="436"/>
      <c r="AO93" s="436"/>
      <c r="AP93" s="436"/>
      <c r="AQ93" s="436"/>
      <c r="AR93" s="436"/>
      <c r="AS93" s="436"/>
      <c r="AT93" s="436"/>
      <c r="AU93" s="436"/>
      <c r="AV93" s="436"/>
      <c r="AW93" s="436"/>
      <c r="AX93" s="436"/>
      <c r="AY93" s="436"/>
      <c r="AZ93" s="436"/>
      <c r="BA93" s="436"/>
      <c r="BB93" s="436"/>
      <c r="BC93" s="436"/>
    </row>
    <row r="94" spans="1:57" x14ac:dyDescent="0.25">
      <c r="A94" s="583">
        <v>1000</v>
      </c>
      <c r="B94" s="1263">
        <f t="shared" si="48"/>
        <v>391</v>
      </c>
      <c r="C94" s="1263">
        <f t="shared" si="48"/>
        <v>325</v>
      </c>
      <c r="D94" s="1264">
        <f>E94*'General Basis'!$L$55</f>
        <v>192.50000000000003</v>
      </c>
      <c r="E94" s="1263">
        <f t="shared" si="49"/>
        <v>175</v>
      </c>
      <c r="F94" s="1263">
        <f t="shared" si="49"/>
        <v>95</v>
      </c>
      <c r="G94" s="1264">
        <f t="shared" si="51"/>
        <v>95</v>
      </c>
      <c r="H94" s="1263">
        <f t="shared" si="50"/>
        <v>95</v>
      </c>
      <c r="I94" s="1263">
        <f t="shared" si="50"/>
        <v>95</v>
      </c>
      <c r="W94" s="436"/>
      <c r="X94" s="126">
        <v>1000</v>
      </c>
      <c r="Y94" s="1105">
        <v>492</v>
      </c>
      <c r="Z94" s="1105">
        <v>327</v>
      </c>
      <c r="AA94" s="1105">
        <v>175</v>
      </c>
      <c r="AB94" s="1105">
        <v>127</v>
      </c>
      <c r="AC94" s="1105">
        <v>127</v>
      </c>
      <c r="AD94" s="1105">
        <v>127</v>
      </c>
      <c r="AE94" s="436"/>
      <c r="AF94" s="436"/>
      <c r="AG94" s="436"/>
      <c r="AH94" s="436"/>
      <c r="AK94" s="436"/>
      <c r="AL94" s="1092"/>
      <c r="AM94" s="436"/>
      <c r="AN94" s="436"/>
      <c r="AO94" s="436"/>
      <c r="AP94" s="436"/>
      <c r="AQ94" s="436"/>
      <c r="AR94" s="436"/>
      <c r="AS94" s="436"/>
      <c r="AT94" s="436"/>
      <c r="AU94" s="436"/>
      <c r="AV94" s="436"/>
      <c r="AW94" s="436"/>
      <c r="AX94" s="436"/>
      <c r="AY94" s="436"/>
      <c r="AZ94" s="436"/>
      <c r="BA94" s="436"/>
      <c r="BB94" s="436"/>
      <c r="BC94" s="436"/>
    </row>
    <row r="95" spans="1:57" x14ac:dyDescent="0.25">
      <c r="A95" s="583">
        <v>1500</v>
      </c>
      <c r="B95" s="1263">
        <f t="shared" si="48"/>
        <v>505</v>
      </c>
      <c r="C95" s="1263">
        <f t="shared" si="48"/>
        <v>420</v>
      </c>
      <c r="D95" s="1264">
        <f>E95*'General Basis'!$L$55</f>
        <v>248.60000000000002</v>
      </c>
      <c r="E95" s="1263">
        <f t="shared" si="49"/>
        <v>226</v>
      </c>
      <c r="F95" s="1263">
        <f t="shared" si="49"/>
        <v>123</v>
      </c>
      <c r="G95" s="1264">
        <f t="shared" si="51"/>
        <v>123</v>
      </c>
      <c r="H95" s="1263">
        <f t="shared" si="50"/>
        <v>123</v>
      </c>
      <c r="I95" s="1263">
        <f t="shared" si="50"/>
        <v>123</v>
      </c>
      <c r="W95" s="436"/>
      <c r="X95" s="126">
        <v>2000</v>
      </c>
      <c r="Y95" s="1105">
        <v>540</v>
      </c>
      <c r="Z95" s="1105">
        <v>359</v>
      </c>
      <c r="AA95" s="1105">
        <v>192</v>
      </c>
      <c r="AB95" s="1105">
        <v>140</v>
      </c>
      <c r="AC95" s="1105">
        <v>140</v>
      </c>
      <c r="AD95" s="1105">
        <v>140</v>
      </c>
      <c r="AE95" s="436"/>
      <c r="AF95" s="436"/>
      <c r="AG95" s="436"/>
      <c r="AH95" s="436"/>
      <c r="AK95" s="436"/>
      <c r="AL95" s="1092"/>
      <c r="AM95" s="436"/>
      <c r="AN95" s="436"/>
      <c r="AO95" s="436"/>
      <c r="AP95" s="436"/>
      <c r="AQ95" s="436"/>
      <c r="AR95" s="436"/>
      <c r="AS95" s="436"/>
      <c r="AT95" s="436"/>
      <c r="AU95" s="436"/>
      <c r="AV95" s="436"/>
      <c r="AW95" s="436"/>
      <c r="AX95" s="436"/>
      <c r="AY95" s="436"/>
      <c r="AZ95" s="436"/>
      <c r="BA95" s="436"/>
      <c r="BB95" s="436"/>
      <c r="BC95" s="436"/>
    </row>
    <row r="96" spans="1:57" x14ac:dyDescent="0.25">
      <c r="A96" s="583">
        <v>2000</v>
      </c>
      <c r="B96" s="1263">
        <f t="shared" si="48"/>
        <v>560</v>
      </c>
      <c r="C96" s="1263">
        <f t="shared" si="48"/>
        <v>465</v>
      </c>
      <c r="D96" s="1264">
        <f>E96*'General Basis'!$L$55</f>
        <v>275</v>
      </c>
      <c r="E96" s="1263">
        <f t="shared" si="49"/>
        <v>250</v>
      </c>
      <c r="F96" s="1263">
        <f t="shared" si="49"/>
        <v>135</v>
      </c>
      <c r="G96" s="1264">
        <f t="shared" si="51"/>
        <v>135</v>
      </c>
      <c r="H96" s="1263">
        <f t="shared" si="50"/>
        <v>135</v>
      </c>
      <c r="I96" s="1263">
        <f t="shared" si="50"/>
        <v>135</v>
      </c>
      <c r="W96" s="436"/>
      <c r="X96" s="126">
        <v>2500</v>
      </c>
      <c r="Y96" s="1105">
        <v>686</v>
      </c>
      <c r="Z96" s="1105">
        <v>456</v>
      </c>
      <c r="AA96" s="1105">
        <v>244</v>
      </c>
      <c r="AB96" s="1105">
        <v>177</v>
      </c>
      <c r="AC96" s="1105">
        <v>177</v>
      </c>
      <c r="AD96" s="1105">
        <v>177</v>
      </c>
      <c r="AE96" s="436"/>
      <c r="AF96" s="436"/>
      <c r="AG96" s="436"/>
      <c r="AH96" s="436"/>
      <c r="AK96" s="436"/>
      <c r="AL96" s="1092"/>
      <c r="AM96" s="436"/>
      <c r="AN96" s="436"/>
      <c r="AO96" s="436"/>
      <c r="AP96" s="436"/>
      <c r="AQ96" s="436"/>
      <c r="AR96" s="436"/>
      <c r="AS96" s="436"/>
      <c r="AT96" s="436"/>
      <c r="AU96" s="436"/>
      <c r="AV96" s="436"/>
      <c r="AW96" s="436"/>
      <c r="AX96" s="436"/>
      <c r="AY96" s="436"/>
      <c r="AZ96" s="436"/>
      <c r="BA96" s="436"/>
      <c r="BB96" s="436"/>
      <c r="BC96" s="436"/>
    </row>
    <row r="97" spans="1:57" x14ac:dyDescent="0.25">
      <c r="A97" s="583">
        <v>2500</v>
      </c>
      <c r="B97" s="1263">
        <f t="shared" si="48"/>
        <v>615</v>
      </c>
      <c r="C97" s="1263">
        <f t="shared" si="48"/>
        <v>510</v>
      </c>
      <c r="D97" s="1264">
        <f>E97*'General Basis'!$L$55</f>
        <v>302.5</v>
      </c>
      <c r="E97" s="1263">
        <f t="shared" si="49"/>
        <v>275</v>
      </c>
      <c r="F97" s="1263">
        <f t="shared" si="49"/>
        <v>149</v>
      </c>
      <c r="G97" s="1264">
        <f t="shared" si="51"/>
        <v>149</v>
      </c>
      <c r="H97" s="1263">
        <f t="shared" si="50"/>
        <v>149</v>
      </c>
      <c r="I97" s="1263">
        <f t="shared" si="50"/>
        <v>149</v>
      </c>
      <c r="W97" s="436"/>
      <c r="X97" s="126">
        <v>3000</v>
      </c>
      <c r="Y97" s="1105">
        <v>735</v>
      </c>
      <c r="Z97" s="1105">
        <v>488</v>
      </c>
      <c r="AA97" s="1105">
        <v>261</v>
      </c>
      <c r="AB97" s="1105">
        <v>190</v>
      </c>
      <c r="AC97" s="1105">
        <v>190</v>
      </c>
      <c r="AD97" s="1105">
        <v>190</v>
      </c>
      <c r="AE97" s="436"/>
      <c r="AF97" s="436"/>
      <c r="AG97" s="436"/>
      <c r="AH97" s="436"/>
      <c r="AK97" s="436"/>
      <c r="AL97" s="1092"/>
      <c r="AM97" s="436"/>
      <c r="AN97" s="436"/>
      <c r="AO97" s="436"/>
      <c r="AP97" s="436"/>
      <c r="AQ97" s="436"/>
      <c r="AR97" s="436"/>
      <c r="AS97" s="436"/>
      <c r="AT97" s="436"/>
      <c r="AU97" s="436"/>
      <c r="AV97" s="436"/>
      <c r="AW97" s="436"/>
      <c r="AX97" s="436"/>
      <c r="AY97" s="436"/>
      <c r="AZ97" s="436"/>
      <c r="BA97" s="436"/>
      <c r="BB97" s="436"/>
      <c r="BC97" s="436"/>
    </row>
    <row r="98" spans="1:57" x14ac:dyDescent="0.25">
      <c r="W98" s="436"/>
      <c r="X98" s="126">
        <v>3500</v>
      </c>
      <c r="Y98" s="1105">
        <v>789</v>
      </c>
      <c r="Z98" s="1105">
        <v>524</v>
      </c>
      <c r="AA98" s="1105">
        <v>281</v>
      </c>
      <c r="AB98" s="1105">
        <v>204</v>
      </c>
      <c r="AC98" s="1105">
        <v>204</v>
      </c>
      <c r="AD98" s="1105">
        <v>204</v>
      </c>
      <c r="AE98" s="436"/>
      <c r="AF98" s="436"/>
      <c r="AG98" s="436"/>
      <c r="AH98" s="436"/>
      <c r="AK98" s="436"/>
      <c r="AL98" s="1092"/>
      <c r="AM98" s="436"/>
      <c r="AN98" s="436"/>
      <c r="AO98" s="436"/>
      <c r="AP98" s="436"/>
      <c r="AQ98" s="436"/>
      <c r="AR98" s="436"/>
      <c r="AS98" s="436"/>
      <c r="AT98" s="436"/>
      <c r="AU98" s="436"/>
      <c r="AV98" s="436"/>
      <c r="AW98" s="436"/>
      <c r="AX98" s="436"/>
      <c r="AY98" s="436"/>
      <c r="AZ98" s="436"/>
      <c r="BA98" s="436"/>
      <c r="BB98" s="436"/>
      <c r="BC98" s="436"/>
    </row>
    <row r="99" spans="1:57" s="578" customFormat="1" x14ac:dyDescent="0.25">
      <c r="A99" s="562"/>
      <c r="B99" s="467"/>
      <c r="C99" s="467"/>
      <c r="D99" s="467"/>
      <c r="E99" s="467"/>
      <c r="F99" s="467"/>
      <c r="G99" s="467"/>
      <c r="H99" s="467"/>
      <c r="I99" s="467"/>
      <c r="J99" s="467"/>
      <c r="K99" s="467"/>
      <c r="L99" s="467"/>
      <c r="M99" s="467"/>
      <c r="N99" s="467"/>
      <c r="O99" s="467"/>
      <c r="P99" s="467"/>
      <c r="Q99" s="467"/>
      <c r="R99" s="467"/>
      <c r="S99" s="467"/>
      <c r="T99" s="467"/>
      <c r="U99" s="467"/>
      <c r="V99" s="1145"/>
      <c r="W99" s="579"/>
      <c r="X99" s="126">
        <v>5000</v>
      </c>
      <c r="Y99" s="1105">
        <v>935</v>
      </c>
      <c r="Z99" s="1105">
        <v>621</v>
      </c>
      <c r="AA99" s="1105">
        <v>332</v>
      </c>
      <c r="AB99" s="1105">
        <v>241</v>
      </c>
      <c r="AC99" s="1105">
        <v>241</v>
      </c>
      <c r="AD99" s="1105">
        <v>241</v>
      </c>
      <c r="AE99" s="436"/>
      <c r="AF99" s="436"/>
      <c r="AG99" s="436"/>
      <c r="AH99" s="436"/>
      <c r="AK99" s="579"/>
      <c r="AL99" s="1146"/>
      <c r="AM99" s="579"/>
      <c r="AN99" s="436"/>
      <c r="AO99" s="436"/>
      <c r="AP99" s="436"/>
      <c r="AQ99" s="436"/>
      <c r="AR99" s="436"/>
      <c r="AS99" s="436"/>
      <c r="AT99" s="436"/>
      <c r="AU99" s="436"/>
      <c r="AV99" s="436"/>
      <c r="AW99" s="436"/>
      <c r="AX99" s="436"/>
      <c r="AY99" s="436"/>
      <c r="AZ99" s="436"/>
      <c r="BA99" s="436"/>
      <c r="BB99" s="436"/>
      <c r="BC99" s="436"/>
      <c r="BD99" s="467"/>
      <c r="BE99" s="467"/>
    </row>
    <row r="100" spans="1:57" x14ac:dyDescent="0.25">
      <c r="W100" s="436"/>
      <c r="X100" s="126">
        <v>7500</v>
      </c>
      <c r="Y100" s="1105">
        <v>1032</v>
      </c>
      <c r="Z100" s="1105">
        <v>686</v>
      </c>
      <c r="AA100" s="1105">
        <v>367</v>
      </c>
      <c r="AB100" s="1105">
        <v>267</v>
      </c>
      <c r="AC100" s="1105">
        <v>267</v>
      </c>
      <c r="AD100" s="1105">
        <v>267</v>
      </c>
      <c r="AE100" s="436"/>
      <c r="AF100" s="436"/>
      <c r="AG100" s="436"/>
      <c r="AH100" s="436"/>
      <c r="AK100" s="436"/>
      <c r="AL100" s="1092"/>
      <c r="AM100" s="436"/>
      <c r="AN100" s="436"/>
      <c r="AO100" s="436"/>
      <c r="AP100" s="436"/>
      <c r="AQ100" s="436"/>
      <c r="AR100" s="436"/>
      <c r="AS100" s="436"/>
      <c r="AT100" s="436"/>
      <c r="AU100" s="436"/>
      <c r="AV100" s="436"/>
      <c r="AW100" s="436"/>
      <c r="AX100" s="436"/>
      <c r="AY100" s="436"/>
      <c r="AZ100" s="436"/>
      <c r="BA100" s="436"/>
      <c r="BB100" s="436"/>
      <c r="BC100" s="436"/>
    </row>
    <row r="101" spans="1:57" x14ac:dyDescent="0.25">
      <c r="W101" s="436"/>
      <c r="X101" s="126">
        <v>10000</v>
      </c>
      <c r="Y101" s="1105">
        <v>1475</v>
      </c>
      <c r="Z101" s="1105">
        <v>980</v>
      </c>
      <c r="AA101" s="1105">
        <v>525</v>
      </c>
      <c r="AB101" s="1105">
        <v>381</v>
      </c>
      <c r="AC101" s="1105">
        <v>381</v>
      </c>
      <c r="AD101" s="1105">
        <v>381</v>
      </c>
      <c r="AE101" s="436"/>
      <c r="AF101" s="436"/>
      <c r="AG101" s="436"/>
      <c r="AH101" s="436"/>
      <c r="AK101" s="436"/>
      <c r="AL101" s="1092"/>
      <c r="AM101" s="436"/>
      <c r="AN101" s="436"/>
      <c r="AO101" s="436"/>
      <c r="AP101" s="436"/>
      <c r="AQ101" s="436"/>
      <c r="AR101" s="436"/>
      <c r="AS101" s="436"/>
      <c r="AT101" s="436"/>
      <c r="AU101" s="436"/>
      <c r="AV101" s="436"/>
      <c r="AW101" s="436"/>
      <c r="AX101" s="436"/>
      <c r="AY101" s="436"/>
      <c r="AZ101" s="436"/>
      <c r="BA101" s="436"/>
      <c r="BB101" s="436"/>
      <c r="BC101" s="436"/>
    </row>
    <row r="102" spans="1:57" x14ac:dyDescent="0.25">
      <c r="W102" s="436"/>
      <c r="X102" s="436"/>
      <c r="Y102" s="436"/>
      <c r="Z102" s="436"/>
      <c r="AA102" s="436"/>
      <c r="AB102" s="436"/>
      <c r="AC102" s="436"/>
      <c r="AD102" s="436"/>
      <c r="AE102" s="436"/>
      <c r="AF102" s="436"/>
      <c r="AG102" s="436"/>
      <c r="AH102" s="436"/>
      <c r="AK102" s="436"/>
      <c r="AL102" s="1092"/>
      <c r="AM102" s="436"/>
      <c r="AN102" s="436"/>
      <c r="AO102" s="436"/>
      <c r="AP102" s="436"/>
      <c r="AQ102" s="436"/>
      <c r="AR102" s="436"/>
      <c r="AS102" s="436"/>
      <c r="AT102" s="436"/>
      <c r="AU102" s="436"/>
      <c r="AV102" s="436"/>
      <c r="AW102" s="436"/>
      <c r="AX102" s="436"/>
      <c r="AY102" s="436"/>
      <c r="AZ102" s="436"/>
      <c r="BA102" s="436"/>
      <c r="BB102" s="436"/>
      <c r="BC102" s="436"/>
      <c r="BD102" s="578"/>
      <c r="BE102" s="578"/>
    </row>
    <row r="103" spans="1:57" x14ac:dyDescent="0.25">
      <c r="K103" s="671" t="s">
        <v>846</v>
      </c>
      <c r="W103" s="436"/>
      <c r="X103" s="436"/>
      <c r="Y103" s="436"/>
      <c r="Z103" s="436"/>
      <c r="AA103" s="436"/>
      <c r="AB103" s="436"/>
      <c r="AC103" s="436"/>
      <c r="AD103" s="436"/>
      <c r="AE103" s="436"/>
      <c r="AF103" s="436"/>
      <c r="AG103" s="436"/>
      <c r="AH103" s="436"/>
      <c r="AK103" s="436"/>
      <c r="AL103" s="1092"/>
      <c r="AM103" s="436"/>
      <c r="AN103" s="436"/>
      <c r="AO103" s="436"/>
      <c r="AP103" s="436"/>
      <c r="AQ103" s="436"/>
      <c r="AR103" s="436"/>
      <c r="AS103" s="436"/>
      <c r="AT103" s="436"/>
      <c r="AU103" s="436"/>
      <c r="AV103" s="436"/>
      <c r="AW103" s="436"/>
      <c r="AX103" s="436"/>
      <c r="AY103" s="436"/>
      <c r="AZ103" s="436"/>
      <c r="BA103" s="436"/>
      <c r="BB103" s="436"/>
      <c r="BC103" s="436"/>
    </row>
    <row r="104" spans="1:57" ht="18.75" x14ac:dyDescent="0.25">
      <c r="A104" s="948" t="s">
        <v>106</v>
      </c>
      <c r="B104" s="574" t="s">
        <v>7</v>
      </c>
      <c r="C104" s="574" t="s">
        <v>21</v>
      </c>
      <c r="D104" s="584" t="s">
        <v>1045</v>
      </c>
      <c r="E104" s="574" t="s">
        <v>28</v>
      </c>
      <c r="F104" s="574" t="s">
        <v>29</v>
      </c>
      <c r="G104" s="584" t="s">
        <v>1073</v>
      </c>
      <c r="H104" s="574" t="s">
        <v>34</v>
      </c>
      <c r="I104" s="574" t="s">
        <v>813</v>
      </c>
      <c r="K104" s="641" t="s">
        <v>809</v>
      </c>
      <c r="L104" s="642" t="s">
        <v>678</v>
      </c>
      <c r="M104" s="643" t="s">
        <v>679</v>
      </c>
      <c r="W104" s="436"/>
      <c r="X104" s="946" t="s">
        <v>1282</v>
      </c>
      <c r="Y104" s="947"/>
      <c r="Z104" s="947"/>
      <c r="AA104" s="947"/>
      <c r="AB104" s="947"/>
      <c r="AC104" s="947"/>
      <c r="AD104" s="947"/>
      <c r="AE104" s="436"/>
      <c r="AF104" s="1497" t="s">
        <v>1283</v>
      </c>
      <c r="AG104" s="1497"/>
      <c r="AH104" s="436"/>
      <c r="AK104" s="436"/>
      <c r="AL104" s="1092"/>
      <c r="AM104" s="436"/>
      <c r="AN104" s="436"/>
      <c r="AO104" s="436"/>
      <c r="AP104" s="436"/>
      <c r="AQ104" s="436"/>
      <c r="AR104" s="436"/>
      <c r="AS104" s="436"/>
      <c r="AT104" s="436"/>
      <c r="AU104" s="436"/>
      <c r="AV104" s="436"/>
      <c r="AW104" s="436"/>
      <c r="AX104" s="436"/>
      <c r="AY104" s="436"/>
      <c r="AZ104" s="436"/>
      <c r="BA104" s="436"/>
      <c r="BB104" s="436"/>
      <c r="BC104" s="436"/>
    </row>
    <row r="105" spans="1:57" x14ac:dyDescent="0.25">
      <c r="B105" s="544" t="s">
        <v>3</v>
      </c>
      <c r="C105" s="544" t="s">
        <v>3</v>
      </c>
      <c r="D105" s="544" t="s">
        <v>25</v>
      </c>
      <c r="E105" s="544" t="s">
        <v>25</v>
      </c>
      <c r="F105" s="544" t="s">
        <v>25</v>
      </c>
      <c r="G105" s="544" t="s">
        <v>25</v>
      </c>
      <c r="H105" s="544" t="s">
        <v>25</v>
      </c>
      <c r="I105" s="544" t="s">
        <v>25</v>
      </c>
      <c r="K105" s="644"/>
      <c r="L105" s="645" t="s">
        <v>130</v>
      </c>
      <c r="M105" s="646">
        <v>0</v>
      </c>
      <c r="W105" s="436"/>
      <c r="X105" s="574" t="s">
        <v>35</v>
      </c>
      <c r="Y105" s="574" t="s">
        <v>7</v>
      </c>
      <c r="Z105" s="574" t="s">
        <v>21</v>
      </c>
      <c r="AA105" s="574" t="s">
        <v>28</v>
      </c>
      <c r="AB105" s="574" t="s">
        <v>29</v>
      </c>
      <c r="AC105" s="574" t="s">
        <v>34</v>
      </c>
      <c r="AD105" s="574" t="s">
        <v>813</v>
      </c>
      <c r="AE105" s="436"/>
      <c r="AF105" s="564" t="s">
        <v>755</v>
      </c>
      <c r="AG105" s="564" t="s">
        <v>284</v>
      </c>
      <c r="AH105" s="436"/>
      <c r="AK105" s="436"/>
      <c r="AL105" s="1092"/>
      <c r="AM105" s="436"/>
      <c r="AN105" s="436"/>
      <c r="AO105" s="436"/>
      <c r="AP105" s="436"/>
      <c r="AQ105" s="436"/>
      <c r="AR105" s="436"/>
      <c r="AS105" s="436"/>
      <c r="AT105" s="436"/>
      <c r="AU105" s="436"/>
      <c r="AV105" s="436"/>
      <c r="AW105" s="436"/>
      <c r="AX105" s="436"/>
      <c r="AY105" s="436"/>
      <c r="AZ105" s="436"/>
      <c r="BA105" s="436"/>
      <c r="BB105" s="436"/>
      <c r="BC105" s="436"/>
    </row>
    <row r="106" spans="1:57" x14ac:dyDescent="0.25">
      <c r="B106" s="544" t="s">
        <v>25</v>
      </c>
      <c r="C106" s="544" t="s">
        <v>25</v>
      </c>
      <c r="D106" s="683" t="s">
        <v>867</v>
      </c>
      <c r="E106" s="683" t="s">
        <v>867</v>
      </c>
      <c r="F106" s="683" t="s">
        <v>867</v>
      </c>
      <c r="G106" s="683" t="s">
        <v>867</v>
      </c>
      <c r="H106" s="683" t="s">
        <v>867</v>
      </c>
      <c r="I106" s="683" t="s">
        <v>867</v>
      </c>
      <c r="K106" s="644" t="s">
        <v>810</v>
      </c>
      <c r="L106" s="645" t="s">
        <v>130</v>
      </c>
      <c r="M106" s="646">
        <v>0</v>
      </c>
      <c r="W106" s="436"/>
      <c r="X106" s="1103" t="s">
        <v>678</v>
      </c>
      <c r="Y106" s="1112">
        <v>492</v>
      </c>
      <c r="Z106" s="1112">
        <v>372</v>
      </c>
      <c r="AA106" s="1112">
        <v>140</v>
      </c>
      <c r="AB106" s="1112">
        <v>65</v>
      </c>
      <c r="AC106" s="1112">
        <v>65</v>
      </c>
      <c r="AD106" s="1112">
        <v>65</v>
      </c>
      <c r="AE106" s="436"/>
      <c r="AF106" s="1107" t="s">
        <v>1281</v>
      </c>
      <c r="AG106" s="1108">
        <v>0.87499999999999989</v>
      </c>
      <c r="AH106" s="436"/>
      <c r="AK106" s="436"/>
      <c r="AL106" s="1092"/>
      <c r="AM106" s="436"/>
      <c r="AN106" s="436"/>
      <c r="AO106" s="436"/>
      <c r="AP106" s="436"/>
      <c r="AQ106" s="436"/>
      <c r="AR106" s="436"/>
      <c r="AS106" s="436"/>
      <c r="AT106" s="436"/>
      <c r="AU106" s="436"/>
      <c r="AV106" s="436"/>
      <c r="AW106" s="436"/>
      <c r="AX106" s="436"/>
      <c r="AY106" s="436"/>
      <c r="AZ106" s="436"/>
      <c r="BA106" s="436"/>
      <c r="BB106" s="436"/>
      <c r="BC106" s="436"/>
    </row>
    <row r="107" spans="1:57" x14ac:dyDescent="0.25">
      <c r="B107" s="683" t="s">
        <v>867</v>
      </c>
      <c r="C107" s="683" t="s">
        <v>867</v>
      </c>
      <c r="D107" s="907" t="s">
        <v>1043</v>
      </c>
      <c r="E107" s="907" t="s">
        <v>1043</v>
      </c>
      <c r="F107" s="907" t="s">
        <v>1043</v>
      </c>
      <c r="G107" s="907" t="s">
        <v>1043</v>
      </c>
      <c r="H107" s="907" t="s">
        <v>1043</v>
      </c>
      <c r="I107" s="907" t="s">
        <v>1043</v>
      </c>
      <c r="K107" s="644" t="s">
        <v>811</v>
      </c>
      <c r="L107" s="645" t="s">
        <v>130</v>
      </c>
      <c r="M107" s="646">
        <v>0</v>
      </c>
      <c r="W107" s="436"/>
      <c r="X107" s="126" t="s">
        <v>130</v>
      </c>
      <c r="Y107" s="1110">
        <v>0</v>
      </c>
      <c r="Z107" s="1110">
        <v>0</v>
      </c>
      <c r="AA107" s="1110">
        <v>0</v>
      </c>
      <c r="AB107" s="1110">
        <v>0</v>
      </c>
      <c r="AC107" s="1110">
        <v>0</v>
      </c>
      <c r="AD107" s="1110">
        <v>0</v>
      </c>
      <c r="AE107" s="436"/>
      <c r="AF107" s="585" t="s">
        <v>753</v>
      </c>
      <c r="AG107" s="587">
        <v>1</v>
      </c>
      <c r="AH107" s="436"/>
      <c r="AK107" s="436"/>
      <c r="AL107" s="1092"/>
      <c r="AM107" s="436"/>
      <c r="AN107" s="436"/>
      <c r="AO107" s="436"/>
      <c r="AP107" s="436"/>
      <c r="AQ107" s="436"/>
      <c r="AR107" s="436"/>
      <c r="AS107" s="436"/>
      <c r="AT107" s="436"/>
      <c r="AU107" s="436"/>
      <c r="AV107" s="436"/>
      <c r="AW107" s="436"/>
      <c r="AX107" s="436"/>
      <c r="AY107" s="436"/>
      <c r="AZ107" s="436"/>
      <c r="BA107" s="436"/>
      <c r="BB107" s="436"/>
      <c r="BC107" s="436"/>
    </row>
    <row r="108" spans="1:57" x14ac:dyDescent="0.25">
      <c r="W108" s="436"/>
      <c r="X108" s="126">
        <v>300</v>
      </c>
      <c r="Y108" s="1110">
        <v>135</v>
      </c>
      <c r="Z108" s="1110">
        <v>112</v>
      </c>
      <c r="AA108" s="1110">
        <v>60</v>
      </c>
      <c r="AB108" s="1110">
        <v>33</v>
      </c>
      <c r="AC108" s="1110">
        <v>33</v>
      </c>
      <c r="AD108" s="1110">
        <v>33</v>
      </c>
      <c r="AE108" s="436"/>
      <c r="AF108" s="585" t="s">
        <v>754</v>
      </c>
      <c r="AG108" s="587">
        <v>1.125</v>
      </c>
      <c r="AH108" s="436"/>
      <c r="AK108" s="436"/>
      <c r="AL108" s="1092"/>
      <c r="AM108" s="436"/>
      <c r="AN108" s="436"/>
      <c r="AO108" s="436"/>
      <c r="AP108" s="436"/>
      <c r="AQ108" s="436"/>
      <c r="AR108" s="436"/>
      <c r="AS108" s="436"/>
      <c r="AT108" s="436"/>
      <c r="AU108" s="436"/>
      <c r="AV108" s="436"/>
      <c r="AW108" s="436"/>
      <c r="AX108" s="436"/>
      <c r="AY108" s="436"/>
      <c r="AZ108" s="436"/>
      <c r="BA108" s="436"/>
      <c r="BB108" s="436"/>
      <c r="BC108" s="436"/>
    </row>
    <row r="109" spans="1:57" x14ac:dyDescent="0.25">
      <c r="B109" s="562"/>
      <c r="C109" s="562"/>
      <c r="D109" s="562"/>
      <c r="E109" s="562"/>
      <c r="F109" s="562"/>
      <c r="H109" s="562"/>
      <c r="X109" s="126">
        <v>500</v>
      </c>
      <c r="Y109" s="1110">
        <v>201</v>
      </c>
      <c r="Z109" s="1110">
        <v>166</v>
      </c>
      <c r="AA109" s="1110">
        <v>90</v>
      </c>
      <c r="AB109" s="1110">
        <v>48</v>
      </c>
      <c r="AC109" s="1110">
        <v>48</v>
      </c>
      <c r="AD109" s="1110">
        <v>48</v>
      </c>
      <c r="AE109" s="436"/>
      <c r="AF109" s="436"/>
      <c r="AG109" s="436"/>
      <c r="AH109" s="436"/>
      <c r="AK109" s="436"/>
      <c r="AL109" s="1092"/>
      <c r="AM109" s="436"/>
      <c r="AN109" s="436"/>
      <c r="AO109" s="436"/>
      <c r="AP109" s="436"/>
      <c r="AQ109" s="436"/>
      <c r="AR109" s="436"/>
      <c r="AS109" s="436"/>
      <c r="AT109" s="436"/>
      <c r="AU109" s="436"/>
      <c r="AV109" s="436"/>
      <c r="AW109" s="436"/>
      <c r="AX109" s="436"/>
      <c r="AY109" s="436"/>
      <c r="AZ109" s="436"/>
      <c r="BA109" s="436"/>
      <c r="BB109" s="436"/>
      <c r="BC109" s="436"/>
    </row>
    <row r="110" spans="1:57" x14ac:dyDescent="0.25">
      <c r="A110" s="948" t="s">
        <v>106</v>
      </c>
      <c r="B110" s="574" t="s">
        <v>7</v>
      </c>
      <c r="C110" s="574" t="s">
        <v>21</v>
      </c>
      <c r="D110" s="584" t="s">
        <v>1045</v>
      </c>
      <c r="E110" s="574" t="s">
        <v>28</v>
      </c>
      <c r="F110" s="574" t="s">
        <v>29</v>
      </c>
      <c r="G110" s="584" t="s">
        <v>1073</v>
      </c>
      <c r="H110" s="574" t="s">
        <v>34</v>
      </c>
      <c r="I110" s="574" t="s">
        <v>813</v>
      </c>
      <c r="X110" s="126">
        <v>750</v>
      </c>
      <c r="Y110" s="1110">
        <v>270</v>
      </c>
      <c r="Z110" s="1110">
        <v>224</v>
      </c>
      <c r="AA110" s="1110">
        <v>120</v>
      </c>
      <c r="AB110" s="1110">
        <v>65</v>
      </c>
      <c r="AC110" s="1110">
        <v>65</v>
      </c>
      <c r="AD110" s="1110">
        <v>65</v>
      </c>
      <c r="AE110" s="436"/>
      <c r="AF110" s="436"/>
      <c r="AG110" s="436"/>
      <c r="AH110" s="436"/>
      <c r="AK110" s="436"/>
      <c r="AL110" s="1092"/>
      <c r="AM110" s="436"/>
      <c r="AN110" s="436"/>
      <c r="AO110" s="436"/>
      <c r="AP110" s="436"/>
      <c r="AQ110" s="436"/>
      <c r="AR110" s="436"/>
      <c r="AS110" s="436"/>
      <c r="AT110" s="436"/>
      <c r="AU110" s="436"/>
      <c r="AV110" s="436"/>
      <c r="AW110" s="436"/>
      <c r="AX110" s="436"/>
      <c r="AY110" s="436"/>
      <c r="AZ110" s="436"/>
      <c r="BA110" s="436"/>
      <c r="BB110" s="436"/>
      <c r="BC110" s="436"/>
    </row>
    <row r="111" spans="1:57" x14ac:dyDescent="0.25">
      <c r="B111" s="571">
        <f>Y163</f>
        <v>1.05</v>
      </c>
      <c r="C111" s="571">
        <f t="shared" ref="C111:C113" si="52">Z163</f>
        <v>1.1499999999999999</v>
      </c>
      <c r="D111" s="912">
        <f>E111</f>
        <v>1</v>
      </c>
      <c r="E111" s="571">
        <f>AA163</f>
        <v>1</v>
      </c>
      <c r="F111" s="571">
        <f t="shared" ref="F111:F113" si="53">AB163</f>
        <v>1.0526315789473684</v>
      </c>
      <c r="G111" s="912">
        <f>F111</f>
        <v>1.0526315789473684</v>
      </c>
      <c r="H111" s="571">
        <f>AC163</f>
        <v>1.0810810810810809</v>
      </c>
      <c r="I111" s="571">
        <f t="shared" ref="I111:I113" si="54">AD163</f>
        <v>1.0810810810810809</v>
      </c>
      <c r="X111" s="126">
        <v>1000</v>
      </c>
      <c r="Y111" s="1110">
        <v>313</v>
      </c>
      <c r="Z111" s="1110">
        <v>260</v>
      </c>
      <c r="AA111" s="1110">
        <v>140</v>
      </c>
      <c r="AB111" s="1110">
        <v>76</v>
      </c>
      <c r="AC111" s="1110">
        <v>76</v>
      </c>
      <c r="AD111" s="1110">
        <v>76</v>
      </c>
      <c r="AE111" s="436"/>
      <c r="AF111" s="436"/>
      <c r="AG111" s="436"/>
      <c r="AH111" s="436"/>
      <c r="AK111" s="436"/>
      <c r="AL111" s="1092"/>
      <c r="AM111" s="436"/>
      <c r="AN111" s="436"/>
      <c r="AO111" s="436"/>
      <c r="AP111" s="436"/>
      <c r="AQ111" s="436"/>
      <c r="AR111" s="436"/>
      <c r="AS111" s="436"/>
      <c r="AT111" s="436"/>
      <c r="AU111" s="436"/>
      <c r="AV111" s="436"/>
      <c r="AW111" s="436"/>
      <c r="AX111" s="436"/>
      <c r="AY111" s="436"/>
      <c r="AZ111" s="436"/>
      <c r="BA111" s="436"/>
      <c r="BB111" s="436"/>
      <c r="BC111" s="436"/>
    </row>
    <row r="112" spans="1:57" x14ac:dyDescent="0.25">
      <c r="B112" s="571">
        <f t="shared" ref="B112:B113" si="55">Y164</f>
        <v>1</v>
      </c>
      <c r="C112" s="571">
        <f t="shared" si="52"/>
        <v>1</v>
      </c>
      <c r="D112" s="912">
        <f t="shared" ref="D112:D113" si="56">E112</f>
        <v>0.95</v>
      </c>
      <c r="E112" s="571">
        <f t="shared" ref="E112:E113" si="57">AA164</f>
        <v>0.95</v>
      </c>
      <c r="F112" s="571">
        <f t="shared" si="53"/>
        <v>1</v>
      </c>
      <c r="G112" s="912">
        <f t="shared" ref="G112:G113" si="58">F112</f>
        <v>1</v>
      </c>
      <c r="H112" s="571">
        <f t="shared" ref="H112:H113" si="59">AC164</f>
        <v>1.027027027027027</v>
      </c>
      <c r="I112" s="571">
        <f t="shared" si="54"/>
        <v>1.027027027027027</v>
      </c>
      <c r="X112" s="126">
        <v>1500</v>
      </c>
      <c r="Y112" s="1110">
        <v>404</v>
      </c>
      <c r="Z112" s="1110">
        <v>336</v>
      </c>
      <c r="AA112" s="1110">
        <v>181</v>
      </c>
      <c r="AB112" s="1110">
        <v>98</v>
      </c>
      <c r="AC112" s="1110">
        <v>98</v>
      </c>
      <c r="AD112" s="1110">
        <v>98</v>
      </c>
      <c r="AE112" s="436"/>
      <c r="AF112" s="436"/>
      <c r="AG112" s="436"/>
      <c r="AH112" s="436"/>
      <c r="AK112" s="436"/>
      <c r="AL112" s="1092"/>
      <c r="AM112" s="436"/>
      <c r="AN112" s="436"/>
      <c r="AO112" s="436"/>
      <c r="AP112" s="436"/>
      <c r="AQ112" s="436"/>
      <c r="AR112" s="436"/>
      <c r="AS112" s="436"/>
      <c r="AT112" s="436"/>
      <c r="AU112" s="436"/>
      <c r="AV112" s="436"/>
      <c r="AW112" s="436"/>
      <c r="AX112" s="436"/>
      <c r="AY112" s="436"/>
      <c r="AZ112" s="436"/>
      <c r="BA112" s="436"/>
      <c r="BB112" s="436"/>
      <c r="BC112" s="436"/>
    </row>
    <row r="113" spans="1:57" x14ac:dyDescent="0.25">
      <c r="B113" s="571">
        <f t="shared" si="55"/>
        <v>0.95</v>
      </c>
      <c r="C113" s="571">
        <f t="shared" si="52"/>
        <v>0.95</v>
      </c>
      <c r="D113" s="912">
        <f t="shared" si="56"/>
        <v>0.92500000000000004</v>
      </c>
      <c r="E113" s="571">
        <f t="shared" si="57"/>
        <v>0.92500000000000004</v>
      </c>
      <c r="F113" s="571">
        <f t="shared" si="53"/>
        <v>0.97368421052631593</v>
      </c>
      <c r="G113" s="912">
        <f t="shared" si="58"/>
        <v>0.97368421052631593</v>
      </c>
      <c r="H113" s="571">
        <f t="shared" si="59"/>
        <v>1</v>
      </c>
      <c r="I113" s="571">
        <f t="shared" si="54"/>
        <v>1</v>
      </c>
      <c r="X113" s="126">
        <v>2000</v>
      </c>
      <c r="Y113" s="1110">
        <v>448</v>
      </c>
      <c r="Z113" s="1110">
        <v>372</v>
      </c>
      <c r="AA113" s="1110">
        <v>200</v>
      </c>
      <c r="AB113" s="1110">
        <v>108</v>
      </c>
      <c r="AC113" s="1110">
        <v>108</v>
      </c>
      <c r="AD113" s="1110">
        <v>108</v>
      </c>
      <c r="AE113" s="436"/>
      <c r="AF113" s="436"/>
      <c r="AG113" s="436"/>
      <c r="AH113" s="436"/>
      <c r="AK113" s="436"/>
      <c r="AL113" s="1092"/>
      <c r="AM113" s="436"/>
      <c r="AN113" s="436"/>
      <c r="AO113" s="436"/>
      <c r="AP113" s="436"/>
      <c r="AQ113" s="436"/>
      <c r="AR113" s="436"/>
      <c r="AS113" s="436"/>
      <c r="AT113" s="436"/>
      <c r="AU113" s="436"/>
      <c r="AV113" s="436"/>
      <c r="AW113" s="436"/>
      <c r="AX113" s="436"/>
      <c r="AY113" s="436"/>
      <c r="AZ113" s="436"/>
      <c r="BA113" s="436"/>
      <c r="BB113" s="436"/>
      <c r="BC113" s="436"/>
    </row>
    <row r="114" spans="1:57" x14ac:dyDescent="0.25">
      <c r="X114" s="126">
        <v>2500</v>
      </c>
      <c r="Y114" s="1110">
        <v>492</v>
      </c>
      <c r="Z114" s="1110">
        <v>408</v>
      </c>
      <c r="AA114" s="1110">
        <v>220</v>
      </c>
      <c r="AB114" s="1110">
        <v>119</v>
      </c>
      <c r="AC114" s="1110">
        <v>119</v>
      </c>
      <c r="AD114" s="1110">
        <v>119</v>
      </c>
      <c r="AE114" s="436"/>
      <c r="AF114" s="436"/>
      <c r="AG114" s="436"/>
      <c r="AH114" s="436"/>
      <c r="AK114" s="436"/>
      <c r="AL114" s="1092"/>
      <c r="AM114" s="436"/>
      <c r="AN114" s="436"/>
      <c r="AO114" s="436"/>
      <c r="AP114" s="436"/>
      <c r="AQ114" s="436"/>
      <c r="AR114" s="436"/>
      <c r="AS114" s="436"/>
      <c r="AT114" s="436"/>
      <c r="AU114" s="436"/>
      <c r="AV114" s="436"/>
      <c r="AW114" s="436"/>
      <c r="AX114" s="436"/>
      <c r="AY114" s="436"/>
      <c r="AZ114" s="436"/>
      <c r="BA114" s="436"/>
      <c r="BB114" s="436"/>
      <c r="BC114" s="436"/>
      <c r="BD114" s="578"/>
      <c r="BE114" s="578"/>
    </row>
    <row r="115" spans="1:57" x14ac:dyDescent="0.25">
      <c r="X115" s="436"/>
      <c r="Y115" s="436"/>
      <c r="Z115" s="436"/>
      <c r="AA115" s="436"/>
      <c r="AB115" s="436"/>
      <c r="AC115" s="436"/>
      <c r="AD115" s="436"/>
      <c r="AE115" s="436"/>
      <c r="AF115" s="436"/>
      <c r="AG115" s="436"/>
      <c r="AH115" s="436"/>
      <c r="AK115" s="436"/>
      <c r="AL115" s="1092"/>
      <c r="AM115" s="436"/>
      <c r="AN115" s="436"/>
      <c r="AO115" s="436"/>
      <c r="AP115" s="436"/>
      <c r="AQ115" s="436"/>
      <c r="AR115" s="436"/>
      <c r="AS115" s="436"/>
      <c r="AT115" s="436"/>
      <c r="AU115" s="436"/>
      <c r="AV115" s="436"/>
      <c r="AW115" s="436"/>
      <c r="AX115" s="436"/>
      <c r="AY115" s="436"/>
      <c r="AZ115" s="436"/>
      <c r="BA115" s="436"/>
      <c r="BB115" s="436"/>
      <c r="BC115" s="436"/>
    </row>
    <row r="116" spans="1:57" ht="25.5" x14ac:dyDescent="0.25">
      <c r="A116" s="647" t="s">
        <v>831</v>
      </c>
      <c r="B116" s="574" t="s">
        <v>7</v>
      </c>
      <c r="C116" s="574" t="s">
        <v>21</v>
      </c>
      <c r="D116" s="584" t="s">
        <v>1045</v>
      </c>
      <c r="E116" s="574" t="s">
        <v>28</v>
      </c>
      <c r="F116" s="574" t="s">
        <v>29</v>
      </c>
      <c r="G116" s="584" t="s">
        <v>1073</v>
      </c>
      <c r="H116" s="574" t="s">
        <v>34</v>
      </c>
      <c r="I116" s="574" t="s">
        <v>813</v>
      </c>
      <c r="X116" s="436"/>
      <c r="Y116" s="436"/>
      <c r="Z116" s="436"/>
      <c r="AA116" s="436"/>
      <c r="AB116" s="436"/>
      <c r="AC116" s="436"/>
      <c r="AD116" s="436"/>
      <c r="AE116" s="436"/>
      <c r="AF116" s="436"/>
      <c r="AG116" s="436"/>
      <c r="AH116" s="436"/>
      <c r="AK116" s="436"/>
      <c r="AL116" s="1092"/>
      <c r="AM116" s="436"/>
      <c r="AN116" s="436"/>
      <c r="AO116" s="436"/>
      <c r="AP116" s="436"/>
      <c r="AQ116" s="436"/>
      <c r="AR116" s="436"/>
      <c r="AS116" s="436"/>
      <c r="AT116" s="436"/>
      <c r="AU116" s="436"/>
      <c r="AV116" s="436"/>
      <c r="AW116" s="436"/>
      <c r="AX116" s="436"/>
      <c r="AY116" s="436"/>
      <c r="AZ116" s="436"/>
      <c r="BA116" s="436"/>
      <c r="BB116" s="436"/>
      <c r="BC116" s="436"/>
    </row>
    <row r="117" spans="1:57" ht="18.75" x14ac:dyDescent="0.25">
      <c r="A117" s="897">
        <v>150000</v>
      </c>
      <c r="B117" s="898">
        <f>Y168</f>
        <v>0.96</v>
      </c>
      <c r="C117" s="898">
        <f t="shared" ref="C117:C119" si="60">Z168</f>
        <v>0.96</v>
      </c>
      <c r="D117" s="913">
        <f>E117</f>
        <v>0.98969072164948457</v>
      </c>
      <c r="E117" s="898">
        <f>AA168</f>
        <v>0.98969072164948457</v>
      </c>
      <c r="F117" s="898">
        <f t="shared" ref="F117:F119" si="61">AB168</f>
        <v>0.98969072164948457</v>
      </c>
      <c r="G117" s="912">
        <f>F117</f>
        <v>0.98969072164948457</v>
      </c>
      <c r="H117" s="898">
        <f>AC168</f>
        <v>0.98969072164948457</v>
      </c>
      <c r="I117" s="898">
        <f t="shared" ref="I117:I119" si="62">AD168</f>
        <v>0.98969072164948457</v>
      </c>
      <c r="X117" s="946" t="s">
        <v>1284</v>
      </c>
      <c r="Y117" s="947"/>
      <c r="Z117" s="947"/>
      <c r="AA117" s="947"/>
      <c r="AB117" s="947"/>
      <c r="AC117" s="947"/>
      <c r="AD117" s="947"/>
      <c r="AE117" s="436"/>
      <c r="AF117" s="1497" t="s">
        <v>1285</v>
      </c>
      <c r="AG117" s="1497"/>
      <c r="AH117" s="436"/>
      <c r="AK117" s="436"/>
      <c r="AL117" s="1092"/>
      <c r="AM117" s="436"/>
      <c r="AN117" s="436"/>
      <c r="AO117" s="436"/>
      <c r="AP117" s="436"/>
      <c r="AQ117" s="436"/>
      <c r="AR117" s="436"/>
      <c r="AS117" s="436"/>
      <c r="AT117" s="436"/>
      <c r="AU117" s="436"/>
      <c r="AV117" s="436"/>
      <c r="AW117" s="436"/>
      <c r="AX117" s="436"/>
      <c r="AY117" s="436"/>
      <c r="AZ117" s="436"/>
      <c r="BA117" s="436"/>
      <c r="BB117" s="436"/>
      <c r="BC117" s="436"/>
    </row>
    <row r="118" spans="1:57" x14ac:dyDescent="0.25">
      <c r="A118" s="659">
        <v>250000</v>
      </c>
      <c r="B118" s="898">
        <f t="shared" ref="B118:B119" si="63">Y169</f>
        <v>0.97</v>
      </c>
      <c r="C118" s="898">
        <f t="shared" si="60"/>
        <v>0.97</v>
      </c>
      <c r="D118" s="913">
        <f>E118</f>
        <v>1</v>
      </c>
      <c r="E118" s="898">
        <f t="shared" ref="E118:E119" si="64">AA169</f>
        <v>1</v>
      </c>
      <c r="F118" s="898">
        <f t="shared" si="61"/>
        <v>1</v>
      </c>
      <c r="G118" s="912">
        <f>F118</f>
        <v>1</v>
      </c>
      <c r="H118" s="898">
        <f t="shared" ref="H118:H119" si="65">AC169</f>
        <v>1</v>
      </c>
      <c r="I118" s="898">
        <f t="shared" si="62"/>
        <v>1</v>
      </c>
      <c r="X118" s="574" t="s">
        <v>35</v>
      </c>
      <c r="Y118" s="574" t="s">
        <v>7</v>
      </c>
      <c r="Z118" s="574" t="s">
        <v>21</v>
      </c>
      <c r="AA118" s="574" t="s">
        <v>28</v>
      </c>
      <c r="AB118" s="574" t="s">
        <v>29</v>
      </c>
      <c r="AC118" s="574" t="s">
        <v>34</v>
      </c>
      <c r="AD118" s="574" t="s">
        <v>813</v>
      </c>
      <c r="AE118" s="436"/>
      <c r="AF118" s="564" t="s">
        <v>755</v>
      </c>
      <c r="AG118" s="564" t="s">
        <v>284</v>
      </c>
      <c r="AH118" s="436"/>
      <c r="AK118" s="436"/>
      <c r="AL118" s="1092"/>
      <c r="AM118" s="436"/>
      <c r="AN118" s="436"/>
      <c r="AO118" s="436"/>
      <c r="AP118" s="436"/>
      <c r="AQ118" s="436"/>
      <c r="AR118" s="436"/>
      <c r="AS118" s="436"/>
      <c r="AT118" s="436"/>
      <c r="AU118" s="436"/>
      <c r="AV118" s="436"/>
      <c r="AW118" s="436"/>
      <c r="AX118" s="436"/>
      <c r="AY118" s="436"/>
      <c r="AZ118" s="436"/>
      <c r="BA118" s="436"/>
      <c r="BB118" s="436"/>
      <c r="BC118" s="436"/>
    </row>
    <row r="119" spans="1:57" x14ac:dyDescent="0.25">
      <c r="A119" s="659" t="s">
        <v>781</v>
      </c>
      <c r="B119" s="898">
        <f t="shared" si="63"/>
        <v>1</v>
      </c>
      <c r="C119" s="898">
        <f t="shared" si="60"/>
        <v>1</v>
      </c>
      <c r="D119" s="913">
        <f>E119</f>
        <v>1.0309278350515465</v>
      </c>
      <c r="E119" s="898">
        <f t="shared" si="64"/>
        <v>1.0309278350515465</v>
      </c>
      <c r="F119" s="898">
        <f t="shared" si="61"/>
        <v>1.0309278350515465</v>
      </c>
      <c r="G119" s="912">
        <f>F119</f>
        <v>1.0309278350515465</v>
      </c>
      <c r="H119" s="898">
        <f t="shared" si="65"/>
        <v>1.0309278350515465</v>
      </c>
      <c r="I119" s="898">
        <f t="shared" si="62"/>
        <v>1.0309278350515465</v>
      </c>
      <c r="T119" s="578"/>
      <c r="U119" s="578"/>
      <c r="X119" s="126" t="s">
        <v>130</v>
      </c>
      <c r="Y119" s="1110">
        <v>0</v>
      </c>
      <c r="Z119" s="1110">
        <v>0</v>
      </c>
      <c r="AA119" s="1110">
        <v>0</v>
      </c>
      <c r="AB119" s="1110">
        <v>0</v>
      </c>
      <c r="AC119" s="1110">
        <v>0</v>
      </c>
      <c r="AD119" s="1110">
        <v>0</v>
      </c>
      <c r="AE119" s="436"/>
      <c r="AF119" s="585" t="s">
        <v>753</v>
      </c>
      <c r="AG119" s="587">
        <v>1</v>
      </c>
      <c r="AH119" s="436"/>
      <c r="AK119" s="436"/>
      <c r="AL119" s="1092"/>
      <c r="AM119" s="436"/>
      <c r="AN119" s="436"/>
      <c r="AO119" s="436"/>
      <c r="AP119" s="436"/>
      <c r="AQ119" s="436"/>
      <c r="AR119" s="436"/>
      <c r="AS119" s="436"/>
      <c r="AT119" s="436"/>
      <c r="AU119" s="436"/>
      <c r="AV119" s="436"/>
      <c r="AW119" s="436"/>
      <c r="AX119" s="436"/>
      <c r="AY119" s="436"/>
      <c r="AZ119" s="436"/>
      <c r="BA119" s="436"/>
      <c r="BB119" s="436"/>
      <c r="BC119" s="436"/>
    </row>
    <row r="120" spans="1:57" x14ac:dyDescent="0.25">
      <c r="A120" s="1130" t="s">
        <v>1295</v>
      </c>
      <c r="X120" s="126">
        <v>6</v>
      </c>
      <c r="Y120" s="1110">
        <v>31.25</v>
      </c>
      <c r="Z120" s="1110">
        <v>31.25</v>
      </c>
      <c r="AA120" s="1110">
        <v>25.17</v>
      </c>
      <c r="AB120" s="1110">
        <v>23.44</v>
      </c>
      <c r="AC120" s="1110">
        <v>21.7</v>
      </c>
      <c r="AD120" s="1110">
        <v>21.7</v>
      </c>
      <c r="AE120" s="436"/>
      <c r="AF120" s="585" t="s">
        <v>754</v>
      </c>
      <c r="AG120" s="587">
        <v>1.125</v>
      </c>
      <c r="AH120" s="436"/>
      <c r="AK120" s="436"/>
      <c r="AL120" s="1092"/>
      <c r="AM120" s="436"/>
      <c r="AN120" s="436"/>
      <c r="AO120" s="436"/>
      <c r="AP120" s="436"/>
      <c r="AQ120" s="436"/>
      <c r="AR120" s="436"/>
      <c r="AS120" s="436"/>
      <c r="AT120" s="436"/>
      <c r="AU120" s="436"/>
      <c r="AV120" s="436"/>
      <c r="AW120" s="436"/>
      <c r="AX120" s="436"/>
      <c r="AY120" s="436"/>
      <c r="AZ120" s="436"/>
      <c r="BA120" s="436"/>
      <c r="BB120" s="436"/>
      <c r="BC120" s="436"/>
    </row>
    <row r="121" spans="1:57" s="578" customFormat="1" x14ac:dyDescent="0.25">
      <c r="A121" s="647" t="s">
        <v>1025</v>
      </c>
      <c r="B121" s="574" t="s">
        <v>7</v>
      </c>
      <c r="C121" s="574" t="s">
        <v>21</v>
      </c>
      <c r="D121" s="584" t="s">
        <v>1045</v>
      </c>
      <c r="E121" s="574" t="s">
        <v>28</v>
      </c>
      <c r="F121" s="574" t="s">
        <v>29</v>
      </c>
      <c r="G121" s="584" t="s">
        <v>1073</v>
      </c>
      <c r="H121" s="574" t="s">
        <v>34</v>
      </c>
      <c r="I121" s="574" t="s">
        <v>813</v>
      </c>
      <c r="L121" s="467"/>
      <c r="M121" s="467"/>
      <c r="N121" s="467"/>
      <c r="O121" s="467"/>
      <c r="P121" s="467"/>
      <c r="Q121" s="467"/>
      <c r="R121" s="467"/>
      <c r="S121" s="467"/>
      <c r="T121" s="467"/>
      <c r="U121" s="467"/>
      <c r="V121" s="1145"/>
      <c r="X121" s="126">
        <v>9</v>
      </c>
      <c r="Y121" s="1110">
        <v>57.29</v>
      </c>
      <c r="Z121" s="1110">
        <v>57.29</v>
      </c>
      <c r="AA121" s="1110">
        <v>46</v>
      </c>
      <c r="AB121" s="1110">
        <v>43.4</v>
      </c>
      <c r="AC121" s="1110">
        <v>39.93</v>
      </c>
      <c r="AD121" s="1110">
        <v>39.93</v>
      </c>
      <c r="AE121" s="436"/>
      <c r="AF121" s="585" t="s">
        <v>1272</v>
      </c>
      <c r="AG121" s="587">
        <v>1.25</v>
      </c>
      <c r="AH121" s="436"/>
      <c r="AK121" s="579"/>
      <c r="AL121" s="1146"/>
      <c r="AM121" s="579"/>
      <c r="AN121" s="436"/>
      <c r="AO121" s="436"/>
      <c r="AP121" s="436"/>
      <c r="AQ121" s="436"/>
      <c r="AR121" s="436"/>
      <c r="AS121" s="436"/>
      <c r="AT121" s="436"/>
      <c r="AU121" s="436"/>
      <c r="AV121" s="436"/>
      <c r="AW121" s="436"/>
      <c r="AX121" s="436"/>
      <c r="AY121" s="436"/>
      <c r="AZ121" s="436"/>
      <c r="BA121" s="436"/>
      <c r="BB121" s="436"/>
      <c r="BC121" s="436"/>
      <c r="BD121" s="467"/>
      <c r="BE121" s="467"/>
    </row>
    <row r="122" spans="1:57" x14ac:dyDescent="0.25">
      <c r="A122" s="471" t="s">
        <v>1026</v>
      </c>
      <c r="B122" s="628">
        <f>Y174</f>
        <v>1</v>
      </c>
      <c r="C122" s="628">
        <f t="shared" ref="C122:C123" si="66">Z174</f>
        <v>1</v>
      </c>
      <c r="D122" s="1149">
        <v>1</v>
      </c>
      <c r="E122" s="628">
        <f>AA174</f>
        <v>1</v>
      </c>
      <c r="F122" s="628">
        <f t="shared" ref="F122:F123" si="67">AB174</f>
        <v>0.96499999999999997</v>
      </c>
      <c r="G122" s="912">
        <f>F122</f>
        <v>0.96499999999999997</v>
      </c>
      <c r="H122" s="628">
        <f>AC174</f>
        <v>0.96499999999999997</v>
      </c>
      <c r="I122" s="628">
        <f t="shared" ref="I122:I123" si="68">AD174</f>
        <v>0.96499999999999997</v>
      </c>
      <c r="X122" s="126">
        <v>12</v>
      </c>
      <c r="Y122" s="1110">
        <v>114.58</v>
      </c>
      <c r="Z122" s="1110">
        <v>114.58</v>
      </c>
      <c r="AA122" s="1110">
        <v>92.01</v>
      </c>
      <c r="AB122" s="1110">
        <v>85.93</v>
      </c>
      <c r="AC122" s="1110">
        <v>80.72</v>
      </c>
      <c r="AD122" s="1110">
        <v>80.72</v>
      </c>
      <c r="AE122" s="436"/>
      <c r="AF122" s="436"/>
      <c r="AG122" s="436"/>
      <c r="AH122" s="436"/>
      <c r="AK122" s="436"/>
      <c r="AL122" s="1092"/>
      <c r="AM122" s="436"/>
      <c r="AN122" s="436"/>
      <c r="AO122" s="436"/>
      <c r="AP122" s="436"/>
      <c r="AQ122" s="436"/>
      <c r="AR122" s="436"/>
      <c r="AS122" s="436"/>
      <c r="AT122" s="436"/>
      <c r="AU122" s="436"/>
      <c r="AV122" s="436"/>
      <c r="AW122" s="436"/>
      <c r="AX122" s="436"/>
      <c r="AY122" s="436"/>
      <c r="AZ122" s="436"/>
      <c r="BA122" s="436"/>
      <c r="BB122" s="436"/>
      <c r="BC122" s="436"/>
    </row>
    <row r="123" spans="1:57" x14ac:dyDescent="0.25">
      <c r="A123" s="471" t="s">
        <v>1027</v>
      </c>
      <c r="B123" s="628">
        <f t="shared" ref="B123" si="69">Y175</f>
        <v>1</v>
      </c>
      <c r="C123" s="628">
        <f t="shared" si="66"/>
        <v>1</v>
      </c>
      <c r="D123" s="1149">
        <v>1</v>
      </c>
      <c r="E123" s="628">
        <f t="shared" ref="E123" si="70">AA175</f>
        <v>1</v>
      </c>
      <c r="F123" s="628">
        <f t="shared" si="67"/>
        <v>1</v>
      </c>
      <c r="G123" s="912">
        <f t="shared" ref="G123" si="71">F123</f>
        <v>1</v>
      </c>
      <c r="H123" s="628">
        <f t="shared" ref="H123" si="72">AC175</f>
        <v>1</v>
      </c>
      <c r="I123" s="628">
        <f t="shared" si="68"/>
        <v>1</v>
      </c>
      <c r="X123" s="126">
        <v>15</v>
      </c>
      <c r="Y123" s="1110">
        <v>172.73</v>
      </c>
      <c r="Z123" s="1110">
        <v>172.73</v>
      </c>
      <c r="AA123" s="1110">
        <v>138.01</v>
      </c>
      <c r="AB123" s="1110">
        <v>129.33000000000001</v>
      </c>
      <c r="AC123" s="1110">
        <v>120.65</v>
      </c>
      <c r="AD123" s="1110">
        <v>120.65</v>
      </c>
      <c r="AE123" s="436"/>
      <c r="AF123" s="436"/>
      <c r="AG123" s="436"/>
      <c r="AH123" s="436"/>
      <c r="AN123" s="436"/>
      <c r="AO123" s="436"/>
      <c r="AP123" s="436"/>
      <c r="AQ123" s="436"/>
      <c r="AR123" s="436"/>
      <c r="AS123" s="436"/>
      <c r="AT123" s="436"/>
      <c r="AU123" s="436"/>
      <c r="AV123" s="436"/>
      <c r="AW123" s="436"/>
      <c r="AX123" s="436"/>
      <c r="AY123" s="436"/>
      <c r="AZ123" s="436"/>
      <c r="BA123" s="436"/>
      <c r="BB123" s="436"/>
      <c r="BC123" s="436"/>
    </row>
    <row r="124" spans="1:57" x14ac:dyDescent="0.25">
      <c r="X124" s="126">
        <v>18</v>
      </c>
      <c r="Y124" s="1110">
        <v>207.45</v>
      </c>
      <c r="Z124" s="1110">
        <v>207.45</v>
      </c>
      <c r="AA124" s="1110">
        <v>164.92</v>
      </c>
      <c r="AB124" s="1110">
        <v>155.37</v>
      </c>
      <c r="AC124" s="1110">
        <v>144.96</v>
      </c>
      <c r="AD124" s="1110">
        <v>144.96</v>
      </c>
      <c r="AE124" s="436"/>
      <c r="AF124" s="436"/>
      <c r="AG124" s="436"/>
      <c r="AH124" s="436"/>
      <c r="AN124" s="436"/>
      <c r="AO124" s="436"/>
      <c r="AP124" s="436"/>
      <c r="AQ124" s="436"/>
      <c r="AR124" s="436"/>
      <c r="AS124" s="436"/>
      <c r="AT124" s="436"/>
      <c r="AU124" s="436"/>
      <c r="AV124" s="436"/>
      <c r="AW124" s="436"/>
      <c r="AX124" s="436"/>
      <c r="AY124" s="436"/>
      <c r="AZ124" s="436"/>
      <c r="BA124" s="436"/>
      <c r="BB124" s="436"/>
      <c r="BC124" s="436"/>
    </row>
    <row r="125" spans="1:57" x14ac:dyDescent="0.25">
      <c r="X125" s="126">
        <v>20</v>
      </c>
      <c r="Y125" s="1110">
        <v>230.02</v>
      </c>
      <c r="Z125" s="1110">
        <v>230.02</v>
      </c>
      <c r="AA125" s="1110">
        <v>184.02</v>
      </c>
      <c r="AB125" s="1110">
        <v>172.73</v>
      </c>
      <c r="AC125" s="1110">
        <v>160.58000000000001</v>
      </c>
      <c r="AD125" s="1110">
        <v>160.58000000000001</v>
      </c>
      <c r="AE125" s="436"/>
      <c r="AF125" s="436"/>
      <c r="AG125" s="436"/>
      <c r="AH125" s="436"/>
      <c r="AN125" s="436"/>
      <c r="AO125" s="436"/>
      <c r="AP125" s="436"/>
      <c r="AQ125" s="436"/>
      <c r="AR125" s="436"/>
      <c r="AS125" s="436"/>
      <c r="AT125" s="436"/>
      <c r="AU125" s="436"/>
      <c r="AV125" s="436"/>
      <c r="AW125" s="436"/>
      <c r="AX125" s="436"/>
      <c r="AY125" s="436"/>
      <c r="AZ125" s="436"/>
      <c r="BA125" s="436"/>
      <c r="BB125" s="436"/>
      <c r="BC125" s="436"/>
    </row>
    <row r="126" spans="1:57" x14ac:dyDescent="0.25">
      <c r="A126" s="647" t="s">
        <v>830</v>
      </c>
      <c r="B126" s="574" t="s">
        <v>7</v>
      </c>
      <c r="C126" s="574" t="s">
        <v>21</v>
      </c>
      <c r="D126" s="584" t="s">
        <v>1045</v>
      </c>
      <c r="E126" s="574" t="s">
        <v>28</v>
      </c>
      <c r="F126" s="574" t="s">
        <v>29</v>
      </c>
      <c r="G126" s="584" t="s">
        <v>1073</v>
      </c>
      <c r="H126" s="574" t="s">
        <v>34</v>
      </c>
      <c r="I126" s="574" t="s">
        <v>813</v>
      </c>
      <c r="X126" s="126">
        <v>24</v>
      </c>
      <c r="Y126" s="1110">
        <v>276.02</v>
      </c>
      <c r="Z126" s="1110">
        <v>276.02</v>
      </c>
      <c r="AA126" s="1110">
        <v>221.34</v>
      </c>
      <c r="AB126" s="1110">
        <v>207.45</v>
      </c>
      <c r="AC126" s="1110">
        <v>193.56</v>
      </c>
      <c r="AD126" s="1110">
        <v>193.56</v>
      </c>
      <c r="AE126" s="436"/>
      <c r="AF126" s="436"/>
      <c r="AG126" s="436"/>
      <c r="AH126" s="436"/>
      <c r="AN126" s="436"/>
      <c r="AO126" s="436"/>
      <c r="AP126" s="436"/>
      <c r="AQ126" s="436"/>
      <c r="AR126" s="436"/>
      <c r="AS126" s="436"/>
      <c r="AT126" s="436"/>
      <c r="AU126" s="436"/>
      <c r="AV126" s="436"/>
      <c r="AW126" s="436"/>
      <c r="AX126" s="436"/>
      <c r="AY126" s="436"/>
      <c r="AZ126" s="436"/>
      <c r="BA126" s="436"/>
      <c r="BB126" s="436"/>
      <c r="BC126" s="436"/>
    </row>
    <row r="127" spans="1:57" x14ac:dyDescent="0.25">
      <c r="A127" s="649">
        <v>2500000</v>
      </c>
      <c r="B127" s="656">
        <f>Y178</f>
        <v>1.0363</v>
      </c>
      <c r="C127" s="656">
        <f t="shared" ref="C127:C136" si="73">Z178</f>
        <v>1.0867</v>
      </c>
      <c r="D127" s="1163">
        <f>D128</f>
        <v>1.0638000000000001</v>
      </c>
      <c r="E127" s="1163">
        <f t="shared" ref="E127:I131" si="74">E128</f>
        <v>1.0638000000000001</v>
      </c>
      <c r="F127" s="1163">
        <f t="shared" si="74"/>
        <v>1.05</v>
      </c>
      <c r="G127" s="1163">
        <f t="shared" si="74"/>
        <v>1.0425</v>
      </c>
      <c r="H127" s="1163">
        <f t="shared" si="74"/>
        <v>1.0425</v>
      </c>
      <c r="I127" s="1163">
        <f t="shared" si="74"/>
        <v>1.0349999999999999</v>
      </c>
      <c r="L127" s="578"/>
      <c r="M127" s="578"/>
      <c r="N127" s="578"/>
      <c r="O127" s="578"/>
      <c r="P127" s="578"/>
      <c r="Q127" s="578"/>
      <c r="R127" s="578"/>
      <c r="S127" s="578"/>
      <c r="X127" s="126">
        <v>30</v>
      </c>
      <c r="Y127" s="1110">
        <v>344.6</v>
      </c>
      <c r="Z127" s="1110">
        <v>344.6</v>
      </c>
      <c r="AA127" s="1110">
        <v>276.89</v>
      </c>
      <c r="AB127" s="1110">
        <v>259.52999999999997</v>
      </c>
      <c r="AC127" s="1110">
        <v>241.3</v>
      </c>
      <c r="AD127" s="1110">
        <v>241.3</v>
      </c>
      <c r="AE127" s="436"/>
      <c r="AF127" s="436"/>
      <c r="AG127" s="436"/>
      <c r="AH127" s="436"/>
      <c r="AN127" s="436"/>
      <c r="AO127" s="436"/>
      <c r="AP127" s="436"/>
      <c r="AQ127" s="436"/>
      <c r="AR127" s="436"/>
      <c r="AS127" s="436"/>
      <c r="AT127" s="436"/>
      <c r="AU127" s="436"/>
      <c r="AV127" s="436"/>
      <c r="AW127" s="436"/>
      <c r="AX127" s="436"/>
      <c r="AY127" s="436"/>
      <c r="AZ127" s="436"/>
      <c r="BA127" s="436"/>
      <c r="BB127" s="436"/>
      <c r="BC127" s="436"/>
    </row>
    <row r="128" spans="1:57" x14ac:dyDescent="0.25">
      <c r="A128" s="649">
        <v>2000000</v>
      </c>
      <c r="B128" s="656">
        <f t="shared" ref="B128:B136" si="75">Y179</f>
        <v>1.0182</v>
      </c>
      <c r="C128" s="656">
        <f t="shared" si="73"/>
        <v>1.0676000000000001</v>
      </c>
      <c r="D128" s="1163">
        <f>D129</f>
        <v>1.0638000000000001</v>
      </c>
      <c r="E128" s="1163">
        <f t="shared" si="74"/>
        <v>1.0638000000000001</v>
      </c>
      <c r="F128" s="1163">
        <f t="shared" si="74"/>
        <v>1.05</v>
      </c>
      <c r="G128" s="1163">
        <f t="shared" si="74"/>
        <v>1.0425</v>
      </c>
      <c r="H128" s="1163">
        <f t="shared" si="74"/>
        <v>1.0425</v>
      </c>
      <c r="I128" s="1163">
        <f t="shared" si="74"/>
        <v>1.0349999999999999</v>
      </c>
      <c r="X128" s="126" t="s">
        <v>781</v>
      </c>
      <c r="Y128" s="1110">
        <v>414.04</v>
      </c>
      <c r="Z128" s="1110">
        <v>414.04</v>
      </c>
      <c r="AA128" s="1110">
        <v>330.71</v>
      </c>
      <c r="AB128" s="1110">
        <v>309.88</v>
      </c>
      <c r="AC128" s="1110">
        <v>289.91000000000003</v>
      </c>
      <c r="AD128" s="1110">
        <v>289.91000000000003</v>
      </c>
      <c r="AE128" s="436"/>
      <c r="AF128" s="436"/>
      <c r="AG128" s="436"/>
      <c r="AH128" s="436"/>
      <c r="AN128" s="436"/>
      <c r="AO128" s="436"/>
      <c r="AP128" s="436"/>
      <c r="AQ128" s="436"/>
      <c r="AR128" s="436"/>
      <c r="AS128" s="436"/>
      <c r="AT128" s="436"/>
      <c r="AU128" s="436"/>
      <c r="AV128" s="436"/>
      <c r="AW128" s="436"/>
      <c r="AX128" s="436"/>
      <c r="AY128" s="436"/>
      <c r="AZ128" s="436"/>
      <c r="BA128" s="436"/>
      <c r="BB128" s="436"/>
      <c r="BC128" s="436"/>
    </row>
    <row r="129" spans="1:57" x14ac:dyDescent="0.25">
      <c r="A129" s="649">
        <v>1500000</v>
      </c>
      <c r="B129" s="656">
        <f t="shared" si="75"/>
        <v>1</v>
      </c>
      <c r="C129" s="656">
        <f t="shared" si="73"/>
        <v>1.0486</v>
      </c>
      <c r="D129" s="913">
        <f>E129</f>
        <v>1.0638000000000001</v>
      </c>
      <c r="E129" s="656">
        <f>AA180</f>
        <v>1.0638000000000001</v>
      </c>
      <c r="F129" s="1163">
        <f t="shared" si="74"/>
        <v>1.05</v>
      </c>
      <c r="G129" s="1163">
        <f t="shared" si="74"/>
        <v>1.0425</v>
      </c>
      <c r="H129" s="1163">
        <f t="shared" si="74"/>
        <v>1.0425</v>
      </c>
      <c r="I129" s="1163">
        <f t="shared" si="74"/>
        <v>1.0349999999999999</v>
      </c>
      <c r="X129" s="436"/>
      <c r="Y129" s="436"/>
      <c r="Z129" s="436"/>
      <c r="AA129" s="436"/>
      <c r="AB129" s="436"/>
      <c r="AC129" s="436"/>
      <c r="AD129" s="436"/>
      <c r="AE129" s="436"/>
      <c r="AF129" s="436"/>
      <c r="AG129" s="436"/>
      <c r="AH129" s="436"/>
      <c r="AN129" s="436"/>
      <c r="AO129" s="436"/>
      <c r="AP129" s="436"/>
      <c r="AQ129" s="436"/>
      <c r="AR129" s="436"/>
      <c r="AS129" s="436"/>
      <c r="AT129" s="436"/>
      <c r="AU129" s="436"/>
      <c r="AV129" s="436"/>
      <c r="AW129" s="436"/>
      <c r="AX129" s="436"/>
      <c r="AY129" s="436"/>
      <c r="AZ129" s="436"/>
      <c r="BA129" s="436"/>
      <c r="BB129" s="436"/>
      <c r="BC129" s="436"/>
    </row>
    <row r="130" spans="1:57" x14ac:dyDescent="0.25">
      <c r="A130" s="649">
        <v>1000000</v>
      </c>
      <c r="B130" s="656">
        <f t="shared" si="75"/>
        <v>0.95369999999999999</v>
      </c>
      <c r="C130" s="656">
        <f t="shared" si="73"/>
        <v>1</v>
      </c>
      <c r="D130" s="913">
        <f>E130</f>
        <v>1.0145</v>
      </c>
      <c r="E130" s="656">
        <f t="shared" ref="E130:F136" si="76">AA181</f>
        <v>1.0145</v>
      </c>
      <c r="F130" s="656">
        <f t="shared" si="76"/>
        <v>1.05</v>
      </c>
      <c r="G130" s="1163">
        <f t="shared" si="74"/>
        <v>1.0425</v>
      </c>
      <c r="H130" s="1163">
        <f t="shared" si="74"/>
        <v>1.0425</v>
      </c>
      <c r="I130" s="1163">
        <f t="shared" si="74"/>
        <v>1.0349999999999999</v>
      </c>
      <c r="X130" s="1504" t="s">
        <v>913</v>
      </c>
      <c r="Y130" s="1505"/>
      <c r="Z130" s="436"/>
      <c r="AA130" s="1504" t="s">
        <v>1286</v>
      </c>
      <c r="AB130" s="1505"/>
      <c r="AC130" s="436"/>
      <c r="AD130" s="1504" t="s">
        <v>1287</v>
      </c>
      <c r="AE130" s="1505"/>
      <c r="AF130" s="436"/>
      <c r="AG130" s="1504" t="s">
        <v>899</v>
      </c>
      <c r="AH130" s="1505"/>
      <c r="AN130" s="436"/>
      <c r="AO130" s="436"/>
      <c r="AP130" s="436"/>
      <c r="AQ130" s="436"/>
      <c r="AR130" s="436"/>
      <c r="AS130" s="436"/>
      <c r="AT130" s="436"/>
      <c r="AU130" s="436"/>
      <c r="AV130" s="436"/>
      <c r="AW130" s="436"/>
      <c r="AX130" s="436"/>
      <c r="AY130" s="436"/>
      <c r="AZ130" s="436"/>
      <c r="BA130" s="436"/>
      <c r="BB130" s="436"/>
      <c r="BC130" s="436"/>
    </row>
    <row r="131" spans="1:57" ht="30" x14ac:dyDescent="0.25">
      <c r="A131" s="896">
        <v>750000</v>
      </c>
      <c r="B131" s="656">
        <f t="shared" si="75"/>
        <v>0.94690000000000007</v>
      </c>
      <c r="C131" s="656">
        <f t="shared" si="73"/>
        <v>0.99285000000000001</v>
      </c>
      <c r="D131" s="913">
        <v>1.00725</v>
      </c>
      <c r="E131" s="656">
        <f t="shared" si="76"/>
        <v>1.00725</v>
      </c>
      <c r="F131" s="656">
        <f t="shared" si="76"/>
        <v>1.0425</v>
      </c>
      <c r="G131" s="912">
        <v>1.0425</v>
      </c>
      <c r="H131" s="656">
        <f>AC182</f>
        <v>1.0425</v>
      </c>
      <c r="I131" s="1163">
        <f t="shared" si="74"/>
        <v>1.0349999999999999</v>
      </c>
      <c r="X131" s="577" t="s">
        <v>678</v>
      </c>
      <c r="Y131" s="577" t="s">
        <v>1288</v>
      </c>
      <c r="Z131" s="436"/>
      <c r="AA131" s="577" t="s">
        <v>678</v>
      </c>
      <c r="AB131" s="1111" t="s">
        <v>1289</v>
      </c>
      <c r="AC131" s="436"/>
      <c r="AD131" s="577" t="s">
        <v>678</v>
      </c>
      <c r="AE131" s="1111" t="s">
        <v>1289</v>
      </c>
      <c r="AF131" s="436"/>
      <c r="AG131" s="577" t="s">
        <v>678</v>
      </c>
      <c r="AH131" s="577" t="s">
        <v>1288</v>
      </c>
      <c r="AN131" s="436"/>
      <c r="AO131" s="436"/>
      <c r="AP131" s="436"/>
      <c r="AQ131" s="436"/>
      <c r="AR131" s="436"/>
      <c r="AS131" s="436"/>
      <c r="AT131" s="436"/>
      <c r="AU131" s="436"/>
      <c r="AV131" s="436"/>
      <c r="AW131" s="436"/>
      <c r="AX131" s="436"/>
      <c r="AY131" s="436"/>
      <c r="AZ131" s="436"/>
      <c r="BA131" s="436"/>
      <c r="BB131" s="436"/>
      <c r="BC131" s="436"/>
    </row>
    <row r="132" spans="1:57" s="578" customFormat="1" x14ac:dyDescent="0.25">
      <c r="A132" s="649">
        <v>500000</v>
      </c>
      <c r="B132" s="656">
        <f t="shared" si="75"/>
        <v>0.94010000000000005</v>
      </c>
      <c r="C132" s="656">
        <f t="shared" si="73"/>
        <v>0.98570000000000002</v>
      </c>
      <c r="D132" s="913">
        <f>E132</f>
        <v>1</v>
      </c>
      <c r="E132" s="656">
        <f t="shared" si="76"/>
        <v>1</v>
      </c>
      <c r="F132" s="656">
        <f t="shared" si="76"/>
        <v>1.0349999999999999</v>
      </c>
      <c r="G132" s="912">
        <f>F132</f>
        <v>1.0349999999999999</v>
      </c>
      <c r="H132" s="656">
        <f t="shared" ref="H132:I136" si="77">AC183</f>
        <v>1.0349999999999999</v>
      </c>
      <c r="I132" s="656">
        <f t="shared" si="77"/>
        <v>1.0349999999999999</v>
      </c>
      <c r="L132" s="467"/>
      <c r="M132" s="467"/>
      <c r="N132" s="467"/>
      <c r="O132" s="467"/>
      <c r="P132" s="467"/>
      <c r="Q132" s="467"/>
      <c r="R132" s="467"/>
      <c r="S132" s="467"/>
      <c r="V132" s="1145"/>
      <c r="X132" s="583" t="s">
        <v>130</v>
      </c>
      <c r="Y132" s="1112">
        <v>0</v>
      </c>
      <c r="Z132" s="436"/>
      <c r="AA132" s="1113" t="s">
        <v>130</v>
      </c>
      <c r="AB132" s="1110">
        <v>0</v>
      </c>
      <c r="AC132" s="436"/>
      <c r="AD132" s="1113" t="s">
        <v>130</v>
      </c>
      <c r="AE132" s="1110">
        <v>0</v>
      </c>
      <c r="AF132" s="436"/>
      <c r="AG132" s="583" t="s">
        <v>130</v>
      </c>
      <c r="AH132" s="1104">
        <v>0</v>
      </c>
      <c r="AL132" s="1145"/>
      <c r="AN132" s="436"/>
      <c r="AO132" s="436"/>
      <c r="AP132" s="436"/>
      <c r="AQ132" s="436"/>
      <c r="AR132" s="436"/>
      <c r="AS132" s="436"/>
      <c r="AT132" s="436"/>
      <c r="AU132" s="436"/>
      <c r="AV132" s="436"/>
      <c r="AW132" s="436"/>
      <c r="AX132" s="436"/>
      <c r="AY132" s="436"/>
      <c r="AZ132" s="436"/>
      <c r="BA132" s="436"/>
      <c r="BB132" s="436"/>
      <c r="BC132" s="436"/>
      <c r="BD132" s="467"/>
      <c r="BE132" s="467"/>
    </row>
    <row r="133" spans="1:57" x14ac:dyDescent="0.25">
      <c r="A133" s="649">
        <v>300000</v>
      </c>
      <c r="B133" s="656">
        <f t="shared" si="75"/>
        <v>0.92459999999999998</v>
      </c>
      <c r="C133" s="656">
        <f t="shared" si="73"/>
        <v>0.96950000000000003</v>
      </c>
      <c r="D133" s="913">
        <f>E133</f>
        <v>0.98360000000000003</v>
      </c>
      <c r="E133" s="656">
        <f t="shared" si="76"/>
        <v>0.98360000000000003</v>
      </c>
      <c r="F133" s="656">
        <f t="shared" si="76"/>
        <v>1.018</v>
      </c>
      <c r="G133" s="912">
        <f>F133</f>
        <v>1.018</v>
      </c>
      <c r="H133" s="656">
        <f t="shared" si="77"/>
        <v>1.018</v>
      </c>
      <c r="I133" s="656">
        <f t="shared" si="77"/>
        <v>1.018</v>
      </c>
      <c r="X133" s="583">
        <v>5000</v>
      </c>
      <c r="Y133" s="1114">
        <v>13.05</v>
      </c>
      <c r="Z133" s="436"/>
      <c r="AA133" s="1115">
        <v>800</v>
      </c>
      <c r="AB133" s="1114">
        <v>23.29</v>
      </c>
      <c r="AC133" s="436"/>
      <c r="AD133" s="1113">
        <v>1000</v>
      </c>
      <c r="AE133" s="1110">
        <v>28.21</v>
      </c>
      <c r="AF133" s="436"/>
      <c r="AG133" s="583">
        <v>1000</v>
      </c>
      <c r="AH133" s="1110">
        <v>5.43</v>
      </c>
      <c r="AN133" s="436"/>
      <c r="AO133" s="436"/>
      <c r="AP133" s="436"/>
      <c r="AQ133" s="436"/>
      <c r="AR133" s="436"/>
      <c r="AS133" s="436"/>
      <c r="AT133" s="436"/>
      <c r="AU133" s="436"/>
      <c r="AV133" s="436"/>
      <c r="AW133" s="436"/>
      <c r="AX133" s="436"/>
      <c r="AY133" s="436"/>
      <c r="AZ133" s="436"/>
      <c r="BA133" s="436"/>
      <c r="BB133" s="436"/>
      <c r="BC133" s="436"/>
    </row>
    <row r="134" spans="1:57" x14ac:dyDescent="0.25">
      <c r="A134" s="649">
        <v>250000</v>
      </c>
      <c r="B134" s="656">
        <f t="shared" si="75"/>
        <v>0.9083</v>
      </c>
      <c r="C134" s="656">
        <f t="shared" si="73"/>
        <v>0.95240000000000002</v>
      </c>
      <c r="D134" s="913">
        <f>E134</f>
        <v>0.96619999999999995</v>
      </c>
      <c r="E134" s="656">
        <f t="shared" si="76"/>
        <v>0.96619999999999995</v>
      </c>
      <c r="F134" s="656">
        <f t="shared" si="76"/>
        <v>1</v>
      </c>
      <c r="G134" s="912">
        <f>F134</f>
        <v>1</v>
      </c>
      <c r="H134" s="656">
        <f t="shared" si="77"/>
        <v>1</v>
      </c>
      <c r="I134" s="656">
        <f t="shared" si="77"/>
        <v>1</v>
      </c>
      <c r="X134" s="583">
        <v>7500</v>
      </c>
      <c r="Y134" s="1114">
        <v>15.98</v>
      </c>
      <c r="Z134" s="436"/>
      <c r="AA134" s="1113">
        <v>1000</v>
      </c>
      <c r="AB134" s="1110">
        <v>26.04</v>
      </c>
      <c r="AC134" s="436"/>
      <c r="AD134" s="1113">
        <v>1500</v>
      </c>
      <c r="AE134" s="1110">
        <v>34.72</v>
      </c>
      <c r="AF134" s="436"/>
      <c r="AG134" s="583">
        <v>1500</v>
      </c>
      <c r="AH134" s="1110">
        <v>6.51</v>
      </c>
      <c r="AN134" s="436"/>
      <c r="AO134" s="436"/>
      <c r="AP134" s="436"/>
      <c r="AQ134" s="436"/>
      <c r="AR134" s="436"/>
      <c r="AS134" s="436"/>
      <c r="AT134" s="436"/>
      <c r="AU134" s="436"/>
      <c r="AV134" s="436"/>
      <c r="AW134" s="436"/>
      <c r="AX134" s="436"/>
      <c r="AY134" s="436"/>
      <c r="AZ134" s="436"/>
      <c r="BA134" s="436"/>
      <c r="BB134" s="436"/>
      <c r="BC134" s="436"/>
    </row>
    <row r="135" spans="1:57" x14ac:dyDescent="0.25">
      <c r="A135" s="896">
        <v>200000</v>
      </c>
      <c r="B135" s="656">
        <f t="shared" si="75"/>
        <v>0.8992</v>
      </c>
      <c r="C135" s="656">
        <f t="shared" si="73"/>
        <v>0.94284999999999997</v>
      </c>
      <c r="D135" s="913">
        <f>E135</f>
        <v>0.95655000000000001</v>
      </c>
      <c r="E135" s="656">
        <f t="shared" si="76"/>
        <v>0.95655000000000001</v>
      </c>
      <c r="F135" s="656">
        <f t="shared" si="76"/>
        <v>0.99</v>
      </c>
      <c r="G135" s="912">
        <f>F135</f>
        <v>0.99</v>
      </c>
      <c r="H135" s="656">
        <f t="shared" si="77"/>
        <v>0.99</v>
      </c>
      <c r="I135" s="656">
        <f t="shared" si="77"/>
        <v>0.99</v>
      </c>
      <c r="X135" s="583">
        <v>10000</v>
      </c>
      <c r="Y135" s="1110">
        <v>18.45</v>
      </c>
      <c r="Z135" s="436"/>
      <c r="AA135" s="1113">
        <v>1500</v>
      </c>
      <c r="AB135" s="1110">
        <v>39.06</v>
      </c>
      <c r="AC135" s="436"/>
      <c r="AD135" s="1113">
        <v>1600</v>
      </c>
      <c r="AE135" s="1110">
        <v>35.81</v>
      </c>
      <c r="AF135" s="436"/>
      <c r="AG135" s="583">
        <v>2000</v>
      </c>
      <c r="AH135" s="1110">
        <v>7.6</v>
      </c>
      <c r="AN135" s="436"/>
      <c r="AO135" s="436"/>
      <c r="AP135" s="436"/>
      <c r="AQ135" s="436"/>
      <c r="AR135" s="436"/>
      <c r="AS135" s="436"/>
      <c r="AT135" s="436"/>
      <c r="AU135" s="436"/>
      <c r="AV135" s="436"/>
      <c r="AW135" s="436"/>
      <c r="AX135" s="436"/>
      <c r="AY135" s="436"/>
      <c r="AZ135" s="436"/>
      <c r="BA135" s="436"/>
      <c r="BB135" s="436"/>
      <c r="BC135" s="436"/>
    </row>
    <row r="136" spans="1:57" x14ac:dyDescent="0.25">
      <c r="A136" s="649">
        <v>150000</v>
      </c>
      <c r="B136" s="656">
        <f t="shared" si="75"/>
        <v>0.8901</v>
      </c>
      <c r="C136" s="656">
        <f t="shared" si="73"/>
        <v>0.93330000000000002</v>
      </c>
      <c r="D136" s="913">
        <f>E136</f>
        <v>0.94689999999999996</v>
      </c>
      <c r="E136" s="656">
        <f t="shared" si="76"/>
        <v>0.94689999999999996</v>
      </c>
      <c r="F136" s="656">
        <f t="shared" si="76"/>
        <v>0.98</v>
      </c>
      <c r="G136" s="912">
        <f>F136</f>
        <v>0.98</v>
      </c>
      <c r="H136" s="656">
        <f t="shared" si="77"/>
        <v>0.98</v>
      </c>
      <c r="I136" s="656">
        <f t="shared" si="77"/>
        <v>0.98</v>
      </c>
      <c r="X136" s="583">
        <v>20000</v>
      </c>
      <c r="Y136" s="1110">
        <v>36.89</v>
      </c>
      <c r="Z136" s="436"/>
      <c r="AA136" s="1113">
        <v>2000</v>
      </c>
      <c r="AB136" s="1110">
        <v>52.08</v>
      </c>
      <c r="AC136" s="436"/>
      <c r="AD136" s="1113">
        <v>2000</v>
      </c>
      <c r="AE136" s="1110">
        <v>40.15</v>
      </c>
      <c r="AF136" s="436"/>
      <c r="AG136" s="583">
        <v>2500</v>
      </c>
      <c r="AH136" s="1110">
        <v>9.77</v>
      </c>
      <c r="AN136" s="436"/>
      <c r="AO136" s="436"/>
      <c r="AP136" s="436"/>
      <c r="AQ136" s="436"/>
      <c r="AR136" s="436"/>
      <c r="AS136" s="436"/>
      <c r="AT136" s="436"/>
      <c r="AU136" s="436"/>
      <c r="AV136" s="436"/>
      <c r="AW136" s="436"/>
      <c r="AX136" s="436"/>
      <c r="AY136" s="436"/>
      <c r="AZ136" s="436"/>
      <c r="BA136" s="436"/>
      <c r="BB136" s="436"/>
      <c r="BC136" s="436"/>
    </row>
    <row r="137" spans="1:57" x14ac:dyDescent="0.25">
      <c r="X137" s="583">
        <v>25000</v>
      </c>
      <c r="Y137" s="1110">
        <v>46.66</v>
      </c>
      <c r="Z137" s="436"/>
      <c r="AA137" s="1113">
        <v>2500</v>
      </c>
      <c r="AB137" s="1110">
        <v>65.099999999999994</v>
      </c>
      <c r="AC137" s="436"/>
      <c r="AD137" s="1113">
        <v>2500</v>
      </c>
      <c r="AE137" s="1110">
        <v>49.91</v>
      </c>
      <c r="AF137" s="436"/>
      <c r="AG137" s="583">
        <v>3000</v>
      </c>
      <c r="AH137" s="1110">
        <v>10.85</v>
      </c>
      <c r="AN137" s="436"/>
      <c r="AO137" s="436"/>
      <c r="AP137" s="436"/>
      <c r="AQ137" s="436"/>
      <c r="AR137" s="436"/>
      <c r="AS137" s="436"/>
      <c r="AT137" s="436"/>
      <c r="AU137" s="436"/>
      <c r="AV137" s="436"/>
      <c r="AW137" s="436"/>
      <c r="AX137" s="436"/>
      <c r="AY137" s="436"/>
      <c r="AZ137" s="436"/>
      <c r="BA137" s="436"/>
      <c r="BB137" s="436"/>
      <c r="BC137" s="436"/>
    </row>
    <row r="138" spans="1:57" x14ac:dyDescent="0.25">
      <c r="A138" s="851"/>
      <c r="L138" s="578"/>
      <c r="M138" s="578"/>
      <c r="N138" s="578"/>
      <c r="O138" s="578"/>
      <c r="P138" s="578"/>
      <c r="Q138" s="578"/>
      <c r="R138" s="578"/>
      <c r="S138" s="578"/>
      <c r="X138" s="583">
        <v>30000</v>
      </c>
      <c r="Y138" s="1110">
        <v>55.34</v>
      </c>
      <c r="Z138" s="436"/>
      <c r="AA138" s="1113">
        <v>3000</v>
      </c>
      <c r="AB138" s="1110">
        <v>78.12</v>
      </c>
      <c r="AC138" s="436"/>
      <c r="AD138" s="1113">
        <v>3000</v>
      </c>
      <c r="AE138" s="1110">
        <v>60.76</v>
      </c>
      <c r="AF138" s="436"/>
      <c r="AG138" s="583">
        <v>5000</v>
      </c>
      <c r="AH138" s="1110">
        <v>13.02</v>
      </c>
      <c r="AN138" s="436"/>
      <c r="AO138" s="436"/>
      <c r="AP138" s="436"/>
      <c r="AQ138" s="436"/>
      <c r="AR138" s="436"/>
      <c r="AS138" s="436"/>
      <c r="AT138" s="436"/>
      <c r="AU138" s="436"/>
      <c r="AV138" s="436"/>
      <c r="AW138" s="436"/>
      <c r="AX138" s="436"/>
      <c r="AY138" s="436"/>
      <c r="AZ138" s="436"/>
      <c r="BA138" s="436"/>
      <c r="BB138" s="436"/>
      <c r="BC138" s="436"/>
    </row>
    <row r="139" spans="1:57" ht="25.5" x14ac:dyDescent="0.25">
      <c r="A139" s="948" t="s">
        <v>1297</v>
      </c>
      <c r="B139" s="574" t="s">
        <v>7</v>
      </c>
      <c r="C139" s="574" t="s">
        <v>21</v>
      </c>
      <c r="D139" s="584" t="s">
        <v>1045</v>
      </c>
      <c r="E139" s="574" t="s">
        <v>28</v>
      </c>
      <c r="F139" s="574" t="s">
        <v>29</v>
      </c>
      <c r="G139" s="584" t="s">
        <v>1073</v>
      </c>
      <c r="H139" s="574" t="s">
        <v>34</v>
      </c>
      <c r="I139" s="574" t="s">
        <v>813</v>
      </c>
      <c r="L139" s="578"/>
      <c r="M139" s="578"/>
      <c r="N139" s="578"/>
      <c r="O139" s="578"/>
      <c r="P139" s="578"/>
      <c r="Q139" s="578"/>
      <c r="R139" s="578"/>
      <c r="S139" s="578"/>
      <c r="X139" s="436"/>
      <c r="Y139" s="436"/>
      <c r="Z139" s="436"/>
      <c r="AA139" s="1113">
        <v>3500</v>
      </c>
      <c r="AB139" s="1110">
        <v>91.14</v>
      </c>
      <c r="AC139" s="436"/>
      <c r="AD139" s="1113">
        <v>4000</v>
      </c>
      <c r="AE139" s="1110">
        <v>80.290000000000006</v>
      </c>
      <c r="AF139" s="436"/>
      <c r="AG139" s="583">
        <v>7500</v>
      </c>
      <c r="AH139" s="1110">
        <v>16.28</v>
      </c>
      <c r="AN139" s="436"/>
      <c r="AO139" s="436"/>
      <c r="AP139" s="436"/>
      <c r="AQ139" s="436"/>
      <c r="AR139" s="436"/>
      <c r="AS139" s="436"/>
      <c r="AT139" s="436"/>
      <c r="AU139" s="436"/>
      <c r="AV139" s="436"/>
      <c r="AW139" s="436"/>
      <c r="AX139" s="436"/>
      <c r="AY139" s="436"/>
      <c r="AZ139" s="436"/>
      <c r="BA139" s="436"/>
      <c r="BB139" s="436"/>
      <c r="BC139" s="436"/>
    </row>
    <row r="140" spans="1:57" x14ac:dyDescent="0.25">
      <c r="A140" s="534">
        <v>2500000</v>
      </c>
      <c r="B140" s="769">
        <f>Y191</f>
        <v>2500000</v>
      </c>
      <c r="C140" s="769">
        <f t="shared" ref="C140:C149" si="78">Z191</f>
        <v>2500000</v>
      </c>
      <c r="D140" s="1150">
        <f>E140</f>
        <v>1500000</v>
      </c>
      <c r="E140" s="1132">
        <f t="shared" ref="E140" si="79">E141</f>
        <v>1500000</v>
      </c>
      <c r="F140" s="1132">
        <f t="shared" ref="F140:F142" si="80">F141</f>
        <v>1000000</v>
      </c>
      <c r="G140" s="914">
        <f t="shared" ref="G140:G148" si="81">H140</f>
        <v>750000</v>
      </c>
      <c r="H140" s="1132">
        <f t="shared" ref="H140:H143" si="82">H141</f>
        <v>750000</v>
      </c>
      <c r="I140" s="1132">
        <f t="shared" ref="I140:I144" si="83">I141</f>
        <v>500000</v>
      </c>
      <c r="L140" s="578"/>
      <c r="M140" s="578"/>
      <c r="N140" s="578"/>
      <c r="O140" s="578"/>
      <c r="P140" s="578"/>
      <c r="Q140" s="578"/>
      <c r="R140" s="578"/>
      <c r="S140" s="578"/>
      <c r="X140" s="436"/>
      <c r="Y140" s="436"/>
      <c r="Z140" s="436"/>
      <c r="AA140" s="1113">
        <v>5000</v>
      </c>
      <c r="AB140" s="1110">
        <v>130.19999999999999</v>
      </c>
      <c r="AC140" s="436"/>
      <c r="AD140" s="1113">
        <v>5000</v>
      </c>
      <c r="AE140" s="1110">
        <v>99.82</v>
      </c>
      <c r="AF140" s="436"/>
      <c r="AG140" s="583">
        <v>10000</v>
      </c>
      <c r="AH140" s="1110">
        <v>18.45</v>
      </c>
      <c r="AN140" s="436"/>
      <c r="AO140" s="436"/>
      <c r="AP140" s="436"/>
      <c r="AQ140" s="436"/>
      <c r="AR140" s="436"/>
      <c r="AS140" s="436"/>
      <c r="AT140" s="436"/>
      <c r="AU140" s="436"/>
      <c r="AV140" s="436"/>
      <c r="AW140" s="436"/>
      <c r="AX140" s="436"/>
      <c r="AY140" s="436"/>
      <c r="AZ140" s="436"/>
      <c r="BA140" s="436"/>
      <c r="BB140" s="436"/>
      <c r="BC140" s="436"/>
    </row>
    <row r="141" spans="1:57" x14ac:dyDescent="0.25">
      <c r="A141" s="534">
        <v>2000000</v>
      </c>
      <c r="B141" s="769">
        <f t="shared" ref="B141:B149" si="84">Y192</f>
        <v>2000000</v>
      </c>
      <c r="C141" s="769">
        <f t="shared" si="78"/>
        <v>2000000</v>
      </c>
      <c r="D141" s="1150">
        <f t="shared" ref="D141:D149" si="85">E141</f>
        <v>1500000</v>
      </c>
      <c r="E141" s="1132">
        <f>E142</f>
        <v>1500000</v>
      </c>
      <c r="F141" s="1132">
        <f t="shared" si="80"/>
        <v>1000000</v>
      </c>
      <c r="G141" s="914">
        <f t="shared" si="81"/>
        <v>750000</v>
      </c>
      <c r="H141" s="1132">
        <f t="shared" si="82"/>
        <v>750000</v>
      </c>
      <c r="I141" s="1132">
        <f t="shared" si="83"/>
        <v>500000</v>
      </c>
      <c r="L141" s="578"/>
      <c r="M141" s="578"/>
      <c r="N141" s="578"/>
      <c r="O141" s="578"/>
      <c r="P141" s="578"/>
      <c r="Q141" s="578"/>
      <c r="R141" s="578"/>
      <c r="S141" s="578"/>
      <c r="X141" s="1116" t="s">
        <v>350</v>
      </c>
      <c r="Y141" s="436"/>
      <c r="Z141" s="436"/>
      <c r="AA141" s="1113">
        <v>7500</v>
      </c>
      <c r="AB141" s="1110">
        <v>195.3</v>
      </c>
      <c r="AC141" s="436"/>
      <c r="AD141" s="1113">
        <v>7500</v>
      </c>
      <c r="AE141" s="1110">
        <v>149.72999999999999</v>
      </c>
      <c r="AF141" s="436"/>
      <c r="AG141" s="583">
        <v>15000</v>
      </c>
      <c r="AH141" s="1110">
        <v>22.79</v>
      </c>
      <c r="AN141" s="436"/>
      <c r="AO141" s="436"/>
      <c r="AP141" s="436"/>
      <c r="AQ141" s="436"/>
      <c r="AR141" s="436"/>
      <c r="AS141" s="436"/>
      <c r="AT141" s="436"/>
      <c r="AU141" s="436"/>
      <c r="AV141" s="436"/>
      <c r="AW141" s="436"/>
      <c r="AX141" s="436"/>
      <c r="AY141" s="436"/>
      <c r="AZ141" s="436"/>
      <c r="BA141" s="436"/>
      <c r="BB141" s="436"/>
      <c r="BC141" s="436"/>
    </row>
    <row r="142" spans="1:57" x14ac:dyDescent="0.25">
      <c r="A142" s="534">
        <v>1500000</v>
      </c>
      <c r="B142" s="769">
        <f t="shared" si="84"/>
        <v>1500000</v>
      </c>
      <c r="C142" s="769">
        <f t="shared" si="78"/>
        <v>1500000</v>
      </c>
      <c r="D142" s="1150">
        <f t="shared" si="85"/>
        <v>1500000</v>
      </c>
      <c r="E142" s="769">
        <f>AA193</f>
        <v>1500000</v>
      </c>
      <c r="F142" s="1132">
        <f t="shared" si="80"/>
        <v>1000000</v>
      </c>
      <c r="G142" s="914">
        <f t="shared" si="81"/>
        <v>750000</v>
      </c>
      <c r="H142" s="1132">
        <f t="shared" si="82"/>
        <v>750000</v>
      </c>
      <c r="I142" s="1132">
        <f t="shared" si="83"/>
        <v>500000</v>
      </c>
      <c r="L142" s="578"/>
      <c r="M142" s="578"/>
      <c r="N142" s="578"/>
      <c r="O142" s="578"/>
      <c r="P142" s="578"/>
      <c r="Q142" s="578"/>
      <c r="R142" s="578"/>
      <c r="S142" s="578"/>
      <c r="X142" s="577" t="s">
        <v>678</v>
      </c>
      <c r="Y142" s="577" t="s">
        <v>1288</v>
      </c>
      <c r="Z142" s="436"/>
      <c r="AA142" s="1113">
        <v>10000</v>
      </c>
      <c r="AB142" s="1110">
        <v>260.39999999999998</v>
      </c>
      <c r="AC142" s="436"/>
      <c r="AD142" s="1113">
        <v>10000</v>
      </c>
      <c r="AE142" s="1110">
        <v>199.64</v>
      </c>
      <c r="AF142" s="436"/>
      <c r="AG142" s="583">
        <v>20000</v>
      </c>
      <c r="AH142" s="1110">
        <v>27.13</v>
      </c>
      <c r="AN142" s="436"/>
      <c r="AO142" s="436"/>
      <c r="AP142" s="436"/>
      <c r="AQ142" s="436"/>
      <c r="AR142" s="436"/>
      <c r="AS142" s="436"/>
      <c r="AT142" s="436"/>
      <c r="AU142" s="436"/>
      <c r="AV142" s="436"/>
      <c r="AW142" s="436"/>
      <c r="AX142" s="436"/>
      <c r="AY142" s="436"/>
      <c r="AZ142" s="436"/>
      <c r="BA142" s="436"/>
      <c r="BB142" s="436"/>
      <c r="BC142" s="436"/>
    </row>
    <row r="143" spans="1:57" x14ac:dyDescent="0.25">
      <c r="A143" s="534">
        <v>1000000</v>
      </c>
      <c r="B143" s="769">
        <f t="shared" si="84"/>
        <v>1000000</v>
      </c>
      <c r="C143" s="769">
        <f t="shared" si="78"/>
        <v>1000000</v>
      </c>
      <c r="D143" s="1150">
        <f t="shared" si="85"/>
        <v>1000000</v>
      </c>
      <c r="E143" s="769">
        <f t="shared" ref="E143:F149" si="86">AA194</f>
        <v>1000000</v>
      </c>
      <c r="F143" s="769">
        <f t="shared" si="86"/>
        <v>1000000</v>
      </c>
      <c r="G143" s="914">
        <f t="shared" si="81"/>
        <v>750000</v>
      </c>
      <c r="H143" s="1132">
        <f t="shared" si="82"/>
        <v>750000</v>
      </c>
      <c r="I143" s="1132">
        <f t="shared" si="83"/>
        <v>500000</v>
      </c>
      <c r="L143" s="578"/>
      <c r="M143" s="578"/>
      <c r="N143" s="578"/>
      <c r="O143" s="578"/>
      <c r="P143" s="578"/>
      <c r="Q143" s="578"/>
      <c r="R143" s="578"/>
      <c r="S143" s="578"/>
      <c r="X143" s="583" t="s">
        <v>130</v>
      </c>
      <c r="Y143" s="1104">
        <v>0</v>
      </c>
      <c r="Z143" s="436"/>
      <c r="AA143" s="1113">
        <v>15000</v>
      </c>
      <c r="AB143" s="1110">
        <v>390.6</v>
      </c>
      <c r="AC143" s="436"/>
      <c r="AD143" s="1117"/>
      <c r="AE143" s="1118"/>
      <c r="AF143" s="436"/>
      <c r="AG143" s="583">
        <v>24000</v>
      </c>
      <c r="AH143" s="1110">
        <v>29.3</v>
      </c>
      <c r="AN143" s="436"/>
      <c r="AO143" s="436"/>
      <c r="AP143" s="436"/>
      <c r="AQ143" s="436"/>
      <c r="AR143" s="436"/>
      <c r="AS143" s="436"/>
      <c r="AT143" s="436"/>
      <c r="AU143" s="436"/>
      <c r="AV143" s="436"/>
      <c r="AW143" s="436"/>
      <c r="AX143" s="436"/>
      <c r="AY143" s="436"/>
      <c r="AZ143" s="436"/>
      <c r="BA143" s="436"/>
      <c r="BB143" s="436"/>
      <c r="BC143" s="436"/>
    </row>
    <row r="144" spans="1:57" s="578" customFormat="1" x14ac:dyDescent="0.25">
      <c r="A144" s="534">
        <v>750000</v>
      </c>
      <c r="B144" s="769">
        <f t="shared" si="84"/>
        <v>750000</v>
      </c>
      <c r="C144" s="769">
        <f t="shared" si="78"/>
        <v>750000</v>
      </c>
      <c r="D144" s="1150">
        <f t="shared" si="85"/>
        <v>750000</v>
      </c>
      <c r="E144" s="769">
        <f t="shared" si="86"/>
        <v>750000</v>
      </c>
      <c r="F144" s="769">
        <f t="shared" si="86"/>
        <v>750000</v>
      </c>
      <c r="G144" s="914">
        <f t="shared" si="81"/>
        <v>750000</v>
      </c>
      <c r="H144" s="769">
        <f>AC195</f>
        <v>750000</v>
      </c>
      <c r="I144" s="1132">
        <f t="shared" si="83"/>
        <v>500000</v>
      </c>
      <c r="T144" s="467"/>
      <c r="U144" s="467"/>
      <c r="V144" s="1145"/>
      <c r="X144" s="583">
        <v>1000</v>
      </c>
      <c r="Y144" s="1110">
        <v>174.69</v>
      </c>
      <c r="Z144" s="436"/>
      <c r="AA144" s="1119" t="s">
        <v>1290</v>
      </c>
      <c r="AB144" s="436"/>
      <c r="AC144" s="436"/>
      <c r="AD144" s="436"/>
      <c r="AE144" s="436"/>
      <c r="AF144" s="436"/>
      <c r="AG144" s="436"/>
      <c r="AH144" s="436"/>
      <c r="AL144" s="1145"/>
      <c r="AN144" s="436"/>
      <c r="AO144" s="436"/>
      <c r="AP144" s="436"/>
      <c r="AQ144" s="436"/>
      <c r="AR144" s="436"/>
      <c r="AS144" s="436"/>
      <c r="AT144" s="436"/>
      <c r="AU144" s="436"/>
      <c r="AV144" s="436"/>
      <c r="AW144" s="436"/>
      <c r="AX144" s="436"/>
      <c r="AY144" s="436"/>
      <c r="AZ144" s="436"/>
      <c r="BA144" s="436"/>
      <c r="BB144" s="436"/>
      <c r="BC144" s="436"/>
      <c r="BD144" s="467"/>
      <c r="BE144" s="467"/>
    </row>
    <row r="145" spans="1:55" x14ac:dyDescent="0.25">
      <c r="A145" s="534">
        <v>500000</v>
      </c>
      <c r="B145" s="769">
        <f t="shared" si="84"/>
        <v>500000</v>
      </c>
      <c r="C145" s="769">
        <f t="shared" si="78"/>
        <v>500000</v>
      </c>
      <c r="D145" s="1150">
        <f t="shared" si="85"/>
        <v>500000</v>
      </c>
      <c r="E145" s="769">
        <f t="shared" si="86"/>
        <v>500000</v>
      </c>
      <c r="F145" s="769">
        <f t="shared" si="86"/>
        <v>500000</v>
      </c>
      <c r="G145" s="914">
        <f t="shared" si="81"/>
        <v>500000</v>
      </c>
      <c r="H145" s="769">
        <f t="shared" ref="H145:I149" si="87">AC196</f>
        <v>500000</v>
      </c>
      <c r="I145" s="769">
        <f t="shared" si="87"/>
        <v>500000</v>
      </c>
      <c r="L145" s="578"/>
      <c r="M145" s="578"/>
      <c r="N145" s="578"/>
      <c r="O145" s="578"/>
      <c r="P145" s="578"/>
      <c r="Q145" s="578"/>
      <c r="R145" s="578"/>
      <c r="S145" s="578"/>
      <c r="X145" s="583">
        <v>1500</v>
      </c>
      <c r="Y145" s="1110">
        <v>218.09</v>
      </c>
      <c r="Z145" s="436"/>
      <c r="AA145" s="436"/>
      <c r="AB145" s="436"/>
      <c r="AC145" s="436"/>
      <c r="AD145" s="436"/>
      <c r="AE145" s="436"/>
      <c r="AF145" s="436"/>
      <c r="AG145" s="436"/>
      <c r="AH145" s="436"/>
      <c r="AN145" s="436"/>
      <c r="AO145" s="436"/>
      <c r="AP145" s="436"/>
      <c r="AQ145" s="436"/>
      <c r="AR145" s="436"/>
      <c r="AS145" s="436"/>
      <c r="AT145" s="436"/>
      <c r="AU145" s="436"/>
      <c r="AV145" s="436"/>
      <c r="AW145" s="436"/>
      <c r="AX145" s="436"/>
      <c r="AY145" s="436"/>
      <c r="AZ145" s="436"/>
      <c r="BA145" s="436"/>
      <c r="BB145" s="436"/>
      <c r="BC145" s="436"/>
    </row>
    <row r="146" spans="1:55" x14ac:dyDescent="0.25">
      <c r="A146" s="534">
        <v>300000</v>
      </c>
      <c r="B146" s="769">
        <f t="shared" si="84"/>
        <v>300000</v>
      </c>
      <c r="C146" s="769">
        <f t="shared" si="78"/>
        <v>300000</v>
      </c>
      <c r="D146" s="1150">
        <f t="shared" si="85"/>
        <v>300000</v>
      </c>
      <c r="E146" s="769">
        <f t="shared" si="86"/>
        <v>300000</v>
      </c>
      <c r="F146" s="769">
        <f t="shared" si="86"/>
        <v>300000</v>
      </c>
      <c r="G146" s="914">
        <f t="shared" si="81"/>
        <v>300000</v>
      </c>
      <c r="H146" s="769">
        <f t="shared" si="87"/>
        <v>300000</v>
      </c>
      <c r="I146" s="769">
        <f t="shared" si="87"/>
        <v>300000</v>
      </c>
      <c r="L146" s="578"/>
      <c r="M146" s="578"/>
      <c r="N146" s="578"/>
      <c r="O146" s="578"/>
      <c r="P146" s="578"/>
      <c r="Q146" s="578"/>
      <c r="R146" s="578"/>
      <c r="S146" s="578"/>
      <c r="X146" s="583">
        <v>2000</v>
      </c>
      <c r="Y146" s="1110">
        <v>271.25</v>
      </c>
      <c r="Z146" s="436"/>
      <c r="AA146" s="1506" t="s">
        <v>1291</v>
      </c>
      <c r="AB146" s="1506"/>
      <c r="AC146" s="436"/>
      <c r="AD146" s="1506" t="s">
        <v>1292</v>
      </c>
      <c r="AE146" s="1506"/>
      <c r="AF146" s="436"/>
      <c r="AG146" s="436"/>
      <c r="AH146" s="436"/>
      <c r="AN146" s="436"/>
      <c r="AO146" s="436"/>
      <c r="AP146" s="436"/>
      <c r="AQ146" s="436"/>
      <c r="AR146" s="436"/>
      <c r="AS146" s="436"/>
      <c r="AT146" s="436"/>
      <c r="AU146" s="436"/>
      <c r="AV146" s="436"/>
      <c r="AW146" s="436"/>
      <c r="AX146" s="436"/>
      <c r="AY146" s="436"/>
      <c r="AZ146" s="436"/>
      <c r="BA146" s="436"/>
      <c r="BB146" s="436"/>
      <c r="BC146" s="436"/>
    </row>
    <row r="147" spans="1:55" x14ac:dyDescent="0.25">
      <c r="A147" s="534">
        <v>250000</v>
      </c>
      <c r="B147" s="769">
        <f t="shared" si="84"/>
        <v>250000</v>
      </c>
      <c r="C147" s="769">
        <f t="shared" si="78"/>
        <v>250000</v>
      </c>
      <c r="D147" s="1150">
        <f t="shared" si="85"/>
        <v>250000</v>
      </c>
      <c r="E147" s="769">
        <f t="shared" si="86"/>
        <v>250000</v>
      </c>
      <c r="F147" s="769">
        <f t="shared" si="86"/>
        <v>250000</v>
      </c>
      <c r="G147" s="914">
        <f t="shared" si="81"/>
        <v>250000</v>
      </c>
      <c r="H147" s="769">
        <f t="shared" si="87"/>
        <v>250000</v>
      </c>
      <c r="I147" s="769">
        <f t="shared" si="87"/>
        <v>250000</v>
      </c>
      <c r="L147" s="578"/>
      <c r="M147" s="578"/>
      <c r="N147" s="578"/>
      <c r="O147" s="578"/>
      <c r="P147" s="578"/>
      <c r="Q147" s="578"/>
      <c r="R147" s="578"/>
      <c r="S147" s="578"/>
      <c r="X147" s="583">
        <v>2500</v>
      </c>
      <c r="Y147" s="1110">
        <v>340.69</v>
      </c>
      <c r="Z147" s="436"/>
      <c r="AA147" s="564" t="s">
        <v>755</v>
      </c>
      <c r="AB147" s="564" t="s">
        <v>284</v>
      </c>
      <c r="AC147" s="436"/>
      <c r="AD147" s="564" t="s">
        <v>755</v>
      </c>
      <c r="AE147" s="564" t="s">
        <v>284</v>
      </c>
      <c r="AF147" s="436"/>
      <c r="AG147" s="436"/>
      <c r="AH147" s="436"/>
      <c r="AN147" s="436"/>
      <c r="AO147" s="436"/>
      <c r="AP147" s="436"/>
      <c r="AQ147" s="436"/>
      <c r="AR147" s="436"/>
      <c r="AS147" s="436"/>
      <c r="AT147" s="436"/>
      <c r="AU147" s="436"/>
      <c r="AV147" s="436"/>
      <c r="AW147" s="436"/>
      <c r="AX147" s="436"/>
      <c r="AY147" s="436"/>
      <c r="AZ147" s="436"/>
      <c r="BA147" s="436"/>
      <c r="BB147" s="436"/>
      <c r="BC147" s="436"/>
    </row>
    <row r="148" spans="1:55" x14ac:dyDescent="0.25">
      <c r="A148" s="534">
        <v>200000</v>
      </c>
      <c r="B148" s="769">
        <f t="shared" si="84"/>
        <v>200000</v>
      </c>
      <c r="C148" s="769">
        <f t="shared" si="78"/>
        <v>200000</v>
      </c>
      <c r="D148" s="1150">
        <f t="shared" si="85"/>
        <v>200000</v>
      </c>
      <c r="E148" s="769">
        <f t="shared" si="86"/>
        <v>200000</v>
      </c>
      <c r="F148" s="769">
        <f t="shared" si="86"/>
        <v>200000</v>
      </c>
      <c r="G148" s="914">
        <f t="shared" si="81"/>
        <v>200000</v>
      </c>
      <c r="H148" s="769">
        <f t="shared" si="87"/>
        <v>200000</v>
      </c>
      <c r="I148" s="769">
        <f t="shared" si="87"/>
        <v>200000</v>
      </c>
      <c r="L148" s="578"/>
      <c r="M148" s="578"/>
      <c r="N148" s="578"/>
      <c r="O148" s="578"/>
      <c r="P148" s="578"/>
      <c r="Q148" s="578"/>
      <c r="R148" s="578"/>
      <c r="S148" s="578"/>
      <c r="X148" s="583">
        <v>3000</v>
      </c>
      <c r="Y148" s="1110">
        <v>409.05</v>
      </c>
      <c r="Z148" s="436"/>
      <c r="AA148" s="585" t="s">
        <v>1281</v>
      </c>
      <c r="AB148" s="586">
        <v>0.87499999999999989</v>
      </c>
      <c r="AC148" s="436"/>
      <c r="AD148" s="585" t="s">
        <v>1281</v>
      </c>
      <c r="AE148" s="586">
        <v>0.87499999999999989</v>
      </c>
      <c r="AF148" s="436"/>
      <c r="AG148" s="436"/>
      <c r="AH148" s="436"/>
      <c r="AN148" s="436"/>
      <c r="AO148" s="436"/>
      <c r="AP148" s="436"/>
      <c r="AQ148" s="436"/>
      <c r="AR148" s="436"/>
      <c r="AS148" s="436"/>
      <c r="AT148" s="436"/>
      <c r="AU148" s="436"/>
      <c r="AV148" s="436"/>
      <c r="AW148" s="436"/>
      <c r="AX148" s="436"/>
      <c r="AY148" s="436"/>
      <c r="AZ148" s="436"/>
      <c r="BA148" s="436"/>
      <c r="BB148" s="436"/>
      <c r="BC148" s="436"/>
    </row>
    <row r="149" spans="1:55" x14ac:dyDescent="0.25">
      <c r="A149" s="534">
        <v>150000</v>
      </c>
      <c r="B149" s="769">
        <f t="shared" si="84"/>
        <v>150000</v>
      </c>
      <c r="C149" s="769">
        <f t="shared" si="78"/>
        <v>150000</v>
      </c>
      <c r="D149" s="1150">
        <f t="shared" si="85"/>
        <v>150000</v>
      </c>
      <c r="E149" s="769">
        <f t="shared" si="86"/>
        <v>150000</v>
      </c>
      <c r="F149" s="769">
        <f t="shared" si="86"/>
        <v>150000</v>
      </c>
      <c r="G149" s="914">
        <f>H149</f>
        <v>150000</v>
      </c>
      <c r="H149" s="769">
        <f t="shared" si="87"/>
        <v>150000</v>
      </c>
      <c r="I149" s="769">
        <f t="shared" si="87"/>
        <v>150000</v>
      </c>
      <c r="L149" s="578"/>
      <c r="M149" s="578"/>
      <c r="N149" s="578"/>
      <c r="O149" s="578"/>
      <c r="P149" s="578"/>
      <c r="Q149" s="578"/>
      <c r="R149" s="578"/>
      <c r="S149" s="578"/>
      <c r="X149" s="436"/>
      <c r="Y149" s="436"/>
      <c r="Z149" s="436"/>
      <c r="AA149" s="585" t="s">
        <v>753</v>
      </c>
      <c r="AB149" s="586">
        <v>1</v>
      </c>
      <c r="AC149" s="436"/>
      <c r="AD149" s="585" t="s">
        <v>753</v>
      </c>
      <c r="AE149" s="586">
        <v>1</v>
      </c>
      <c r="AF149" s="436"/>
      <c r="AG149" s="436"/>
      <c r="AH149" s="436"/>
      <c r="AN149" s="436"/>
      <c r="AO149" s="436"/>
      <c r="AP149" s="436"/>
      <c r="AQ149" s="436"/>
      <c r="AR149" s="436"/>
      <c r="AS149" s="436"/>
      <c r="AT149" s="436"/>
      <c r="AU149" s="436"/>
      <c r="AV149" s="436"/>
      <c r="AW149" s="436"/>
      <c r="AX149" s="436"/>
      <c r="AY149" s="436"/>
      <c r="AZ149" s="436"/>
      <c r="BA149" s="436"/>
      <c r="BB149" s="436"/>
      <c r="BC149" s="436"/>
    </row>
    <row r="150" spans="1:55" x14ac:dyDescent="0.25">
      <c r="A150" s="851"/>
      <c r="K150" s="578"/>
      <c r="L150" s="578"/>
      <c r="M150" s="578"/>
      <c r="N150" s="578"/>
      <c r="O150" s="578"/>
      <c r="P150" s="578"/>
      <c r="Q150" s="578"/>
      <c r="R150" s="578"/>
      <c r="S150" s="578"/>
      <c r="X150" s="436"/>
      <c r="Y150" s="436"/>
      <c r="Z150" s="436"/>
      <c r="AA150" s="585" t="s">
        <v>754</v>
      </c>
      <c r="AB150" s="587">
        <v>1.125</v>
      </c>
      <c r="AC150" s="436"/>
      <c r="AD150" s="585" t="s">
        <v>754</v>
      </c>
      <c r="AE150" s="587">
        <v>1.125</v>
      </c>
      <c r="AF150" s="436"/>
      <c r="AG150" s="436"/>
      <c r="AH150" s="436"/>
      <c r="AN150" s="436"/>
      <c r="AO150" s="436"/>
      <c r="AP150" s="436"/>
      <c r="AQ150" s="436"/>
      <c r="AR150" s="436"/>
      <c r="AS150" s="436"/>
      <c r="AT150" s="436"/>
      <c r="AU150" s="436"/>
      <c r="AV150" s="436"/>
      <c r="AW150" s="436"/>
      <c r="AX150" s="436"/>
      <c r="AY150" s="436"/>
      <c r="AZ150" s="436"/>
      <c r="BA150" s="436"/>
      <c r="BB150" s="436"/>
      <c r="BC150" s="436"/>
    </row>
    <row r="151" spans="1:55" ht="25.5" x14ac:dyDescent="0.25">
      <c r="A151" s="948" t="s">
        <v>814</v>
      </c>
      <c r="B151" s="574" t="s">
        <v>7</v>
      </c>
      <c r="C151" s="574" t="s">
        <v>21</v>
      </c>
      <c r="D151" s="584" t="s">
        <v>1045</v>
      </c>
      <c r="E151" s="574" t="s">
        <v>28</v>
      </c>
      <c r="F151" s="574" t="s">
        <v>29</v>
      </c>
      <c r="G151" s="584" t="s">
        <v>1073</v>
      </c>
      <c r="H151" s="574" t="s">
        <v>34</v>
      </c>
      <c r="I151" s="574" t="s">
        <v>813</v>
      </c>
      <c r="K151" s="578"/>
      <c r="L151" s="578"/>
      <c r="M151" s="578"/>
      <c r="N151" s="578"/>
      <c r="O151" s="578"/>
      <c r="P151" s="578"/>
      <c r="Q151" s="578"/>
      <c r="R151" s="578"/>
      <c r="S151" s="578"/>
      <c r="X151" s="436"/>
      <c r="Y151" s="436"/>
      <c r="Z151" s="436"/>
      <c r="AA151" s="585" t="s">
        <v>1272</v>
      </c>
      <c r="AB151" s="587">
        <v>1.25</v>
      </c>
      <c r="AC151" s="436"/>
      <c r="AD151" s="585" t="s">
        <v>1272</v>
      </c>
      <c r="AE151" s="587">
        <v>1.25</v>
      </c>
      <c r="AF151" s="436"/>
      <c r="AG151" s="436"/>
      <c r="AH151" s="436"/>
      <c r="AN151" s="436"/>
      <c r="AO151" s="436"/>
      <c r="AP151" s="436"/>
      <c r="AQ151" s="436"/>
      <c r="AR151" s="436"/>
      <c r="AS151" s="436"/>
      <c r="AT151" s="436"/>
      <c r="AU151" s="436"/>
      <c r="AV151" s="436"/>
      <c r="AW151" s="436"/>
      <c r="AX151" s="436"/>
      <c r="AY151" s="436"/>
      <c r="AZ151" s="436"/>
      <c r="BA151" s="436"/>
      <c r="BB151" s="436"/>
      <c r="BC151" s="436"/>
    </row>
    <row r="152" spans="1:55" x14ac:dyDescent="0.25">
      <c r="A152" s="649" t="s">
        <v>656</v>
      </c>
      <c r="B152" s="1133" t="str">
        <f>Y203</f>
        <v>UAE only</v>
      </c>
      <c r="C152" s="1133" t="str">
        <f t="shared" ref="C152:C157" si="88">Z203</f>
        <v>UAE only</v>
      </c>
      <c r="D152" s="913" t="str">
        <f t="shared" ref="D152:D157" si="89">E152</f>
        <v>UAE only</v>
      </c>
      <c r="E152" s="1133" t="str">
        <f>AA203</f>
        <v>UAE only</v>
      </c>
      <c r="F152" s="1133" t="str">
        <f t="shared" ref="F152:F157" si="90">AB203</f>
        <v>UAE only</v>
      </c>
      <c r="G152" s="912" t="str">
        <f t="shared" ref="G152:G157" si="91">F152</f>
        <v>UAE only</v>
      </c>
      <c r="H152" s="1133" t="str">
        <f>AC203</f>
        <v>UAE only</v>
      </c>
      <c r="I152" s="1133" t="str">
        <f t="shared" ref="I152:I157" si="92">AD203</f>
        <v>UAE only</v>
      </c>
      <c r="K152" s="578"/>
      <c r="L152" s="578"/>
      <c r="M152" s="578"/>
      <c r="N152" s="578"/>
      <c r="O152" s="578"/>
      <c r="P152" s="578"/>
      <c r="Q152" s="578"/>
      <c r="R152" s="578"/>
      <c r="S152" s="578"/>
      <c r="X152" s="436"/>
      <c r="Y152" s="436"/>
      <c r="Z152" s="436"/>
      <c r="AA152" s="436"/>
      <c r="AB152" s="436"/>
      <c r="AC152" s="436"/>
      <c r="AD152" s="436"/>
      <c r="AE152" s="436"/>
      <c r="AF152" s="436"/>
      <c r="AG152" s="436"/>
      <c r="AH152" s="436"/>
      <c r="AN152" s="436"/>
      <c r="AO152" s="436"/>
      <c r="AP152" s="436"/>
      <c r="AQ152" s="436"/>
      <c r="AR152" s="436"/>
      <c r="AS152" s="436"/>
      <c r="AT152" s="436"/>
      <c r="AU152" s="436"/>
      <c r="AV152" s="436"/>
      <c r="AW152" s="436"/>
      <c r="AX152" s="436"/>
      <c r="AY152" s="436"/>
      <c r="AZ152" s="436"/>
      <c r="BA152" s="436"/>
      <c r="BB152" s="436"/>
      <c r="BC152" s="436"/>
    </row>
    <row r="153" spans="1:55" ht="30" x14ac:dyDescent="0.25">
      <c r="A153" s="649" t="s">
        <v>1075</v>
      </c>
      <c r="B153" s="1133" t="str">
        <f t="shared" ref="B153:B157" si="93">Y204</f>
        <v>UAE, ISC and SEA at R&amp;C of UAE</v>
      </c>
      <c r="C153" s="1133" t="str">
        <f t="shared" si="88"/>
        <v>UAE, ISC and SEA at R&amp;C of UAE</v>
      </c>
      <c r="D153" s="913" t="str">
        <f t="shared" si="89"/>
        <v>UAE, ISC and SEA at R&amp;C of UAE</v>
      </c>
      <c r="E153" s="1133" t="str">
        <f t="shared" ref="E153:E157" si="94">AA204</f>
        <v>UAE, ISC and SEA at R&amp;C of UAE</v>
      </c>
      <c r="F153" s="1133" t="str">
        <f t="shared" si="90"/>
        <v>UAE, ISC and SEA at R&amp;C of UAE</v>
      </c>
      <c r="G153" s="912" t="str">
        <f t="shared" si="91"/>
        <v>UAE, ISC and SEA at R&amp;C of UAE</v>
      </c>
      <c r="H153" s="1133" t="str">
        <f t="shared" ref="H153:H157" si="95">AC204</f>
        <v>UAE, ISC and SEA at R&amp;C of UAE</v>
      </c>
      <c r="I153" s="1133" t="str">
        <f t="shared" si="92"/>
        <v>UAE, ISC and SEA at R&amp;C of UAE</v>
      </c>
      <c r="J153" s="578"/>
      <c r="K153" s="578"/>
      <c r="L153" s="578"/>
      <c r="M153" s="578"/>
      <c r="N153" s="578"/>
      <c r="O153" s="578"/>
      <c r="P153" s="578"/>
      <c r="Q153" s="578"/>
      <c r="R153" s="578"/>
      <c r="S153" s="578"/>
      <c r="AN153" s="436"/>
      <c r="AO153" s="436"/>
      <c r="AP153" s="436"/>
      <c r="AQ153" s="436"/>
      <c r="AR153" s="436"/>
      <c r="AS153" s="436"/>
      <c r="AT153" s="436"/>
      <c r="AU153" s="436"/>
      <c r="AV153" s="436"/>
      <c r="AW153" s="436"/>
      <c r="AX153" s="436"/>
      <c r="AY153" s="436"/>
      <c r="AZ153" s="436"/>
      <c r="BA153" s="436"/>
      <c r="BB153" s="436"/>
      <c r="BC153" s="436"/>
    </row>
    <row r="154" spans="1:55" ht="30" x14ac:dyDescent="0.25">
      <c r="A154" s="649" t="s">
        <v>1076</v>
      </c>
      <c r="B154" s="1133" t="str">
        <f t="shared" si="93"/>
        <v>UAE, GCC, ISC and SEA  at R&amp;C of UAE</v>
      </c>
      <c r="C154" s="1133" t="str">
        <f t="shared" si="88"/>
        <v>UAE, GCC, ISC and SEA  at R&amp;C of UAE</v>
      </c>
      <c r="D154" s="913" t="str">
        <f t="shared" si="89"/>
        <v>UAE, GCC, ISC and SEA  at R&amp;C of UAE</v>
      </c>
      <c r="E154" s="1133" t="str">
        <f t="shared" si="94"/>
        <v>UAE, GCC, ISC and SEA  at R&amp;C of UAE</v>
      </c>
      <c r="F154" s="1133" t="str">
        <f t="shared" si="90"/>
        <v>UAE, GCC, ISC and SEA  at R&amp;C of UAE</v>
      </c>
      <c r="G154" s="912" t="str">
        <f t="shared" si="91"/>
        <v>UAE, GCC, ISC and SEA  at R&amp;C of UAE</v>
      </c>
      <c r="H154" s="1133" t="str">
        <f t="shared" si="95"/>
        <v>UAE, GCC, ISC and SEA  at R&amp;C of UAE</v>
      </c>
      <c r="I154" s="1133" t="str">
        <f t="shared" si="92"/>
        <v>UAE, GCC, ISC and SEA  at R&amp;C of UAE</v>
      </c>
      <c r="J154" s="578"/>
      <c r="K154" s="578"/>
      <c r="L154" s="578"/>
      <c r="M154" s="578"/>
      <c r="N154" s="578"/>
      <c r="O154" s="578"/>
      <c r="P154" s="578"/>
      <c r="Q154" s="578"/>
      <c r="R154" s="578"/>
      <c r="S154" s="578"/>
      <c r="AN154" s="436"/>
      <c r="AO154" s="436"/>
      <c r="AP154" s="436"/>
      <c r="AQ154" s="436"/>
      <c r="AR154" s="436"/>
      <c r="AS154" s="436"/>
      <c r="AT154" s="436"/>
      <c r="AU154" s="436"/>
      <c r="AV154" s="436"/>
      <c r="AW154" s="436"/>
      <c r="AX154" s="436"/>
      <c r="AY154" s="436"/>
      <c r="AZ154" s="436"/>
      <c r="BA154" s="436"/>
      <c r="BB154" s="436"/>
      <c r="BC154" s="436"/>
    </row>
    <row r="155" spans="1:55" ht="30" x14ac:dyDescent="0.25">
      <c r="A155" s="649" t="s">
        <v>657</v>
      </c>
      <c r="B155" s="1133" t="str">
        <f t="shared" si="93"/>
        <v>WW excl. US, Canada &amp; Europe at R&amp;C of UAE</v>
      </c>
      <c r="C155" s="1133" t="str">
        <f t="shared" si="88"/>
        <v>WW excl. US, Canada &amp; Europe at R&amp;C of UAE</v>
      </c>
      <c r="D155" s="913" t="str">
        <f t="shared" si="89"/>
        <v>WW excl. US, Canada &amp; Europe at R&amp;C of UAE</v>
      </c>
      <c r="E155" s="1133" t="str">
        <f t="shared" si="94"/>
        <v>WW excl. US, Canada &amp; Europe at R&amp;C of UAE</v>
      </c>
      <c r="F155" s="1133" t="str">
        <f t="shared" si="90"/>
        <v>WW excl. US, Canada &amp; Europe at R&amp;C of UAE</v>
      </c>
      <c r="G155" s="912" t="str">
        <f t="shared" si="91"/>
        <v>WW excl. US, Canada &amp; Europe at R&amp;C of UAE</v>
      </c>
      <c r="H155" s="1133" t="str">
        <f t="shared" si="95"/>
        <v>WW excl. US, Canada &amp; Europe at R&amp;C of UAE</v>
      </c>
      <c r="I155" s="1133" t="str">
        <f t="shared" si="92"/>
        <v>WW excl. US, Canada &amp; Europe at R&amp;C of UAE</v>
      </c>
      <c r="J155" s="578"/>
      <c r="K155" s="578"/>
      <c r="L155" s="578"/>
      <c r="M155" s="578"/>
      <c r="N155" s="578"/>
      <c r="O155" s="578"/>
      <c r="P155" s="578"/>
      <c r="Q155" s="578"/>
      <c r="R155" s="578"/>
      <c r="S155" s="578"/>
      <c r="X155" s="1098" t="s">
        <v>1293</v>
      </c>
      <c r="Y155" s="1092"/>
      <c r="Z155" s="1092"/>
      <c r="AA155" s="1092"/>
      <c r="AB155" s="1092"/>
      <c r="AC155" s="1092"/>
      <c r="AD155" s="1092"/>
      <c r="AE155" s="1092"/>
      <c r="AF155" s="1092"/>
      <c r="AN155" s="436"/>
      <c r="AO155" s="436"/>
      <c r="AP155" s="436"/>
      <c r="AQ155" s="436"/>
      <c r="AR155" s="436"/>
      <c r="AS155" s="436"/>
      <c r="AT155" s="436"/>
      <c r="AU155" s="436"/>
      <c r="AV155" s="436"/>
      <c r="AW155" s="436"/>
      <c r="AX155" s="436"/>
      <c r="AY155" s="436"/>
      <c r="AZ155" s="436"/>
      <c r="BA155" s="436"/>
      <c r="BB155" s="436"/>
      <c r="BC155" s="436"/>
    </row>
    <row r="156" spans="1:55" ht="30" x14ac:dyDescent="0.25">
      <c r="A156" s="649" t="s">
        <v>343</v>
      </c>
      <c r="B156" s="1133" t="str">
        <f t="shared" si="93"/>
        <v>WW excl. US &amp; Canada at R&amp;C of UAE</v>
      </c>
      <c r="C156" s="1133" t="str">
        <f t="shared" si="88"/>
        <v>WW excl. US &amp; Canada at R&amp;C of UAE</v>
      </c>
      <c r="D156" s="913" t="str">
        <f t="shared" si="89"/>
        <v>WW excl. US &amp; Canada at R&amp;C of UAE</v>
      </c>
      <c r="E156" s="1133" t="str">
        <f t="shared" si="94"/>
        <v>WW excl. US &amp; Canada at R&amp;C of UAE</v>
      </c>
      <c r="F156" s="1133" t="str">
        <f t="shared" si="90"/>
        <v>WW excl. US &amp; Canada at R&amp;C of UAE</v>
      </c>
      <c r="G156" s="912" t="str">
        <f t="shared" si="91"/>
        <v>WW excl. US &amp; Canada at R&amp;C of UAE</v>
      </c>
      <c r="H156" s="1133" t="str">
        <f t="shared" si="95"/>
        <v>WW excl. US &amp; Canada at R&amp;C of UAE</v>
      </c>
      <c r="I156" s="1133" t="str">
        <f t="shared" si="92"/>
        <v>WW excl. US &amp; Canada at R&amp;C of UAE</v>
      </c>
      <c r="J156" s="578"/>
      <c r="K156" s="578"/>
      <c r="L156" s="578"/>
      <c r="M156" s="578"/>
      <c r="N156" s="578"/>
      <c r="O156" s="578"/>
      <c r="P156" s="578"/>
      <c r="Q156" s="578"/>
      <c r="R156" s="578"/>
      <c r="S156" s="578"/>
      <c r="X156" s="1120" t="s">
        <v>1294</v>
      </c>
      <c r="Y156" s="436"/>
      <c r="Z156" s="436"/>
      <c r="AA156" s="436"/>
      <c r="AB156" s="436"/>
      <c r="AC156" s="436"/>
      <c r="AD156" s="436"/>
      <c r="AE156" s="436"/>
      <c r="AF156" s="436"/>
      <c r="AN156" s="436"/>
      <c r="AO156" s="436"/>
      <c r="AP156" s="436"/>
      <c r="AQ156" s="436"/>
      <c r="AR156" s="436"/>
      <c r="AS156" s="436"/>
      <c r="AT156" s="436"/>
      <c r="AU156" s="436"/>
      <c r="AV156" s="436"/>
      <c r="AW156" s="436"/>
      <c r="AX156" s="436"/>
      <c r="AY156" s="436"/>
      <c r="AZ156" s="436"/>
      <c r="BA156" s="436"/>
      <c r="BB156" s="436"/>
      <c r="BC156" s="436"/>
    </row>
    <row r="157" spans="1:55" ht="30" x14ac:dyDescent="0.25">
      <c r="A157" s="649" t="s">
        <v>342</v>
      </c>
      <c r="B157" s="1133" t="str">
        <f t="shared" si="93"/>
        <v>Worldwide at R&amp;C of UAE</v>
      </c>
      <c r="C157" s="1133" t="str">
        <f t="shared" si="88"/>
        <v>Worldwide at R&amp;C of UAE</v>
      </c>
      <c r="D157" s="913" t="str">
        <f t="shared" si="89"/>
        <v>Worldwide at R&amp;C of UAE</v>
      </c>
      <c r="E157" s="1133" t="str">
        <f t="shared" si="94"/>
        <v>Worldwide at R&amp;C of UAE</v>
      </c>
      <c r="F157" s="1133" t="str">
        <f t="shared" si="90"/>
        <v>Worldwide at R&amp;C of UAE</v>
      </c>
      <c r="G157" s="912" t="str">
        <f t="shared" si="91"/>
        <v>Worldwide at R&amp;C of UAE</v>
      </c>
      <c r="H157" s="1133" t="str">
        <f t="shared" si="95"/>
        <v>Worldwide at R&amp;C of UAE</v>
      </c>
      <c r="I157" s="1133" t="str">
        <f t="shared" si="92"/>
        <v>Worldwide at R&amp;C of UAE</v>
      </c>
      <c r="K157" s="578"/>
      <c r="L157" s="578"/>
      <c r="M157" s="578"/>
      <c r="N157" s="578"/>
      <c r="O157" s="578"/>
      <c r="P157" s="578"/>
      <c r="Q157" s="578"/>
      <c r="R157" s="578"/>
      <c r="S157" s="578"/>
      <c r="X157" s="1116" t="s">
        <v>106</v>
      </c>
      <c r="Y157" s="1121" t="s">
        <v>7</v>
      </c>
      <c r="Z157" s="574" t="s">
        <v>21</v>
      </c>
      <c r="AA157" s="574" t="s">
        <v>28</v>
      </c>
      <c r="AB157" s="574" t="s">
        <v>29</v>
      </c>
      <c r="AC157" s="574" t="s">
        <v>34</v>
      </c>
      <c r="AD157" s="574" t="s">
        <v>813</v>
      </c>
      <c r="AE157" s="436"/>
      <c r="AF157" s="436"/>
      <c r="AN157" s="436"/>
      <c r="AO157" s="436"/>
      <c r="AP157" s="436"/>
      <c r="AQ157" s="436"/>
      <c r="AR157" s="436"/>
      <c r="AS157" s="436"/>
      <c r="AT157" s="436"/>
      <c r="AU157" s="436"/>
      <c r="AV157" s="436"/>
      <c r="AW157" s="436"/>
      <c r="AX157" s="436"/>
      <c r="AY157" s="436"/>
      <c r="AZ157" s="436"/>
      <c r="BA157" s="436"/>
      <c r="BB157" s="436"/>
      <c r="BC157" s="436"/>
    </row>
    <row r="158" spans="1:55" x14ac:dyDescent="0.25">
      <c r="A158" s="1135" t="s">
        <v>1298</v>
      </c>
      <c r="B158" s="436"/>
      <c r="C158" s="436"/>
      <c r="E158" s="436"/>
      <c r="F158" s="436"/>
      <c r="H158" s="436"/>
      <c r="I158" s="436"/>
      <c r="K158" s="578"/>
      <c r="L158" s="578"/>
      <c r="M158" s="578"/>
      <c r="N158" s="578"/>
      <c r="O158" s="578"/>
      <c r="P158" s="578"/>
      <c r="Q158" s="578"/>
      <c r="R158" s="578"/>
      <c r="S158" s="578"/>
      <c r="X158" s="1122"/>
      <c r="Y158" s="1123" t="s">
        <v>3</v>
      </c>
      <c r="Z158" s="1123" t="s">
        <v>3</v>
      </c>
      <c r="AA158" s="1123" t="s">
        <v>25</v>
      </c>
      <c r="AB158" s="1123" t="s">
        <v>25</v>
      </c>
      <c r="AC158" s="1123" t="s">
        <v>25</v>
      </c>
      <c r="AD158" s="1123" t="s">
        <v>25</v>
      </c>
      <c r="AE158" s="436"/>
      <c r="AF158" s="436"/>
      <c r="AN158" s="436"/>
      <c r="AO158" s="436"/>
      <c r="AP158" s="436"/>
      <c r="AQ158" s="436"/>
      <c r="AR158" s="436"/>
      <c r="AS158" s="436"/>
      <c r="AT158" s="436"/>
      <c r="AU158" s="436"/>
      <c r="AV158" s="436"/>
      <c r="AW158" s="436"/>
      <c r="AX158" s="436"/>
      <c r="AY158" s="436"/>
      <c r="AZ158" s="436"/>
      <c r="BA158" s="436"/>
      <c r="BB158" s="436"/>
      <c r="BC158" s="436"/>
    </row>
    <row r="159" spans="1:55" x14ac:dyDescent="0.25">
      <c r="A159" s="436"/>
      <c r="B159" s="436"/>
      <c r="C159" s="436"/>
      <c r="E159" s="436"/>
      <c r="F159" s="436"/>
      <c r="H159" s="436"/>
      <c r="I159" s="436"/>
      <c r="K159" s="578"/>
      <c r="L159" s="578"/>
      <c r="M159" s="578"/>
      <c r="N159" s="578"/>
      <c r="O159" s="578"/>
      <c r="P159" s="578"/>
      <c r="Q159" s="578"/>
      <c r="R159" s="578"/>
      <c r="S159" s="578"/>
      <c r="X159" s="1122"/>
      <c r="Y159" s="1123" t="s">
        <v>25</v>
      </c>
      <c r="Z159" s="1123" t="s">
        <v>25</v>
      </c>
      <c r="AA159" s="1123" t="s">
        <v>867</v>
      </c>
      <c r="AB159" s="1123" t="s">
        <v>867</v>
      </c>
      <c r="AC159" s="1123" t="s">
        <v>867</v>
      </c>
      <c r="AD159" s="1123" t="s">
        <v>867</v>
      </c>
      <c r="AE159" s="436"/>
      <c r="AF159" s="436"/>
      <c r="AN159" s="436"/>
      <c r="AO159" s="436"/>
      <c r="AP159" s="436"/>
      <c r="AQ159" s="436"/>
      <c r="AR159" s="436"/>
      <c r="AS159" s="436"/>
      <c r="AT159" s="436"/>
      <c r="AU159" s="436"/>
      <c r="AV159" s="436"/>
      <c r="AW159" s="436"/>
      <c r="AX159" s="436"/>
      <c r="AY159" s="436"/>
      <c r="AZ159" s="436"/>
      <c r="BA159" s="436"/>
      <c r="BB159" s="436"/>
      <c r="BC159" s="436"/>
    </row>
    <row r="160" spans="1:55" ht="25.5" x14ac:dyDescent="0.25">
      <c r="A160" s="948" t="s">
        <v>814</v>
      </c>
      <c r="B160" s="574" t="s">
        <v>7</v>
      </c>
      <c r="C160" s="574" t="s">
        <v>21</v>
      </c>
      <c r="D160" s="584" t="s">
        <v>1045</v>
      </c>
      <c r="E160" s="574" t="s">
        <v>28</v>
      </c>
      <c r="F160" s="574" t="s">
        <v>29</v>
      </c>
      <c r="G160" s="584" t="s">
        <v>1073</v>
      </c>
      <c r="H160" s="574" t="s">
        <v>34</v>
      </c>
      <c r="I160" s="574" t="s">
        <v>813</v>
      </c>
      <c r="K160" s="578"/>
      <c r="L160" s="578"/>
      <c r="M160" s="578"/>
      <c r="N160" s="578"/>
      <c r="O160" s="578"/>
      <c r="P160" s="578"/>
      <c r="Q160" s="578"/>
      <c r="R160" s="578"/>
      <c r="S160" s="578"/>
      <c r="X160" s="1122"/>
      <c r="Y160" s="1123" t="s">
        <v>867</v>
      </c>
      <c r="Z160" s="1123" t="s">
        <v>867</v>
      </c>
      <c r="AA160" s="1123" t="s">
        <v>1043</v>
      </c>
      <c r="AB160" s="1123" t="s">
        <v>1043</v>
      </c>
      <c r="AC160" s="1123" t="s">
        <v>1043</v>
      </c>
      <c r="AD160" s="1123" t="s">
        <v>1043</v>
      </c>
      <c r="AE160" s="436"/>
      <c r="AF160" s="436"/>
    </row>
    <row r="161" spans="1:32" x14ac:dyDescent="0.25">
      <c r="A161" s="649" t="s">
        <v>656</v>
      </c>
      <c r="B161" s="1136">
        <f>Y212</f>
        <v>1</v>
      </c>
      <c r="C161" s="1136">
        <f t="shared" ref="C161:C166" si="96">Z212</f>
        <v>1</v>
      </c>
      <c r="D161" s="913">
        <f t="shared" ref="D161:D166" si="97">E161</f>
        <v>1</v>
      </c>
      <c r="E161" s="1136">
        <f>AA212</f>
        <v>1</v>
      </c>
      <c r="F161" s="1136">
        <f t="shared" ref="F161:F166" si="98">AB212</f>
        <v>1</v>
      </c>
      <c r="G161" s="912">
        <f t="shared" ref="G161:G166" si="99">F161</f>
        <v>1</v>
      </c>
      <c r="H161" s="1136">
        <f>AC212</f>
        <v>1</v>
      </c>
      <c r="I161" s="1136">
        <f t="shared" ref="I161:I166" si="100">AD212</f>
        <v>1</v>
      </c>
      <c r="K161" s="578"/>
      <c r="L161" s="578"/>
      <c r="M161" s="578"/>
      <c r="N161" s="578"/>
      <c r="O161" s="578"/>
      <c r="P161" s="578"/>
      <c r="Q161" s="578"/>
      <c r="R161" s="578"/>
      <c r="S161" s="578"/>
      <c r="X161" s="1122"/>
      <c r="Y161" s="436"/>
      <c r="Z161" s="436"/>
      <c r="AA161" s="436"/>
      <c r="AB161" s="436"/>
      <c r="AC161" s="436"/>
      <c r="AD161" s="436"/>
      <c r="AE161" s="436"/>
      <c r="AF161" s="436"/>
    </row>
    <row r="162" spans="1:32" x14ac:dyDescent="0.25">
      <c r="A162" s="649" t="s">
        <v>1075</v>
      </c>
      <c r="B162" s="1136">
        <f t="shared" ref="B162:B166" si="101">Y213</f>
        <v>1</v>
      </c>
      <c r="C162" s="1136">
        <f t="shared" si="96"/>
        <v>1</v>
      </c>
      <c r="D162" s="913">
        <f t="shared" si="97"/>
        <v>1</v>
      </c>
      <c r="E162" s="1136">
        <f t="shared" ref="E162:E166" si="102">AA213</f>
        <v>1</v>
      </c>
      <c r="F162" s="1136">
        <f t="shared" si="98"/>
        <v>1</v>
      </c>
      <c r="G162" s="912">
        <f t="shared" si="99"/>
        <v>1</v>
      </c>
      <c r="H162" s="1136">
        <f t="shared" ref="H162:H166" si="103">AC213</f>
        <v>1</v>
      </c>
      <c r="I162" s="1136">
        <f t="shared" si="100"/>
        <v>1</v>
      </c>
      <c r="K162" s="578"/>
      <c r="L162" s="578"/>
      <c r="M162" s="578"/>
      <c r="N162" s="578"/>
      <c r="O162" s="578"/>
      <c r="P162" s="578"/>
      <c r="Q162" s="578"/>
      <c r="R162" s="578"/>
      <c r="S162" s="578"/>
      <c r="X162" s="1122"/>
      <c r="Y162" s="1121" t="s">
        <v>7</v>
      </c>
      <c r="Z162" s="574" t="s">
        <v>21</v>
      </c>
      <c r="AA162" s="574" t="s">
        <v>28</v>
      </c>
      <c r="AB162" s="574" t="s">
        <v>29</v>
      </c>
      <c r="AC162" s="574" t="s">
        <v>34</v>
      </c>
      <c r="AD162" s="574" t="s">
        <v>813</v>
      </c>
      <c r="AE162" s="436" t="s">
        <v>1386</v>
      </c>
      <c r="AF162" s="436"/>
    </row>
    <row r="163" spans="1:32" ht="25.5" x14ac:dyDescent="0.25">
      <c r="A163" s="649" t="s">
        <v>1076</v>
      </c>
      <c r="B163" s="1136">
        <f t="shared" si="101"/>
        <v>1</v>
      </c>
      <c r="C163" s="1136">
        <f t="shared" si="96"/>
        <v>1</v>
      </c>
      <c r="D163" s="913">
        <f t="shared" si="97"/>
        <v>1</v>
      </c>
      <c r="E163" s="1136">
        <f t="shared" si="102"/>
        <v>1</v>
      </c>
      <c r="F163" s="1136">
        <f t="shared" si="98"/>
        <v>1</v>
      </c>
      <c r="G163" s="912">
        <f t="shared" si="99"/>
        <v>1</v>
      </c>
      <c r="H163" s="1136">
        <f t="shared" si="103"/>
        <v>1</v>
      </c>
      <c r="I163" s="1136">
        <f t="shared" si="100"/>
        <v>1</v>
      </c>
      <c r="K163" s="578"/>
      <c r="L163" s="578"/>
      <c r="M163" s="578"/>
      <c r="N163" s="578"/>
      <c r="O163" s="578"/>
      <c r="P163" s="578"/>
      <c r="Q163" s="578"/>
      <c r="R163" s="578"/>
      <c r="S163" s="578"/>
      <c r="X163" s="1122"/>
      <c r="Y163" s="1124">
        <v>1.05</v>
      </c>
      <c r="Z163" s="1125">
        <v>1.1499999999999999</v>
      </c>
      <c r="AA163" s="1125">
        <v>1</v>
      </c>
      <c r="AB163" s="1125">
        <v>1.0526315789473684</v>
      </c>
      <c r="AC163" s="1125">
        <v>1.0810810810810809</v>
      </c>
      <c r="AD163" s="1125">
        <v>1.0810810810810809</v>
      </c>
      <c r="AE163" s="436"/>
      <c r="AF163" s="436"/>
    </row>
    <row r="164" spans="1:32" ht="25.5" x14ac:dyDescent="0.25">
      <c r="A164" s="649" t="s">
        <v>657</v>
      </c>
      <c r="B164" s="1136">
        <f t="shared" si="101"/>
        <v>1</v>
      </c>
      <c r="C164" s="1136">
        <f t="shared" si="96"/>
        <v>1</v>
      </c>
      <c r="D164" s="913">
        <f t="shared" si="97"/>
        <v>1</v>
      </c>
      <c r="E164" s="1136">
        <f t="shared" si="102"/>
        <v>1</v>
      </c>
      <c r="F164" s="1136">
        <f t="shared" si="98"/>
        <v>1</v>
      </c>
      <c r="G164" s="912">
        <f t="shared" si="99"/>
        <v>1</v>
      </c>
      <c r="H164" s="1136">
        <f t="shared" si="103"/>
        <v>1</v>
      </c>
      <c r="I164" s="1136">
        <f t="shared" si="100"/>
        <v>1</v>
      </c>
      <c r="K164" s="578"/>
      <c r="L164" s="578"/>
      <c r="M164" s="578"/>
      <c r="N164" s="578"/>
      <c r="O164" s="578"/>
      <c r="P164" s="578"/>
      <c r="Q164" s="578"/>
      <c r="R164" s="578"/>
      <c r="S164" s="578"/>
      <c r="X164" s="1122"/>
      <c r="Y164" s="1126">
        <v>1</v>
      </c>
      <c r="Z164" s="1125">
        <v>1</v>
      </c>
      <c r="AA164" s="1125">
        <v>0.95</v>
      </c>
      <c r="AB164" s="1125">
        <v>1</v>
      </c>
      <c r="AC164" s="1125">
        <v>1.027027027027027</v>
      </c>
      <c r="AD164" s="1125">
        <v>1.027027027027027</v>
      </c>
      <c r="AE164" s="436"/>
      <c r="AF164" s="436"/>
    </row>
    <row r="165" spans="1:32" ht="25.5" x14ac:dyDescent="0.25">
      <c r="A165" s="649" t="s">
        <v>343</v>
      </c>
      <c r="B165" s="1136">
        <f t="shared" si="101"/>
        <v>1</v>
      </c>
      <c r="C165" s="1136">
        <f t="shared" si="96"/>
        <v>1</v>
      </c>
      <c r="D165" s="913">
        <f t="shared" si="97"/>
        <v>1</v>
      </c>
      <c r="E165" s="1136">
        <f t="shared" si="102"/>
        <v>1</v>
      </c>
      <c r="F165" s="1136">
        <f t="shared" si="98"/>
        <v>1</v>
      </c>
      <c r="G165" s="912">
        <f t="shared" si="99"/>
        <v>1</v>
      </c>
      <c r="H165" s="1136">
        <f t="shared" si="103"/>
        <v>1</v>
      </c>
      <c r="I165" s="1136">
        <f t="shared" si="100"/>
        <v>1</v>
      </c>
      <c r="K165" s="578"/>
      <c r="L165" s="578"/>
      <c r="M165" s="578"/>
      <c r="N165" s="578"/>
      <c r="O165" s="578"/>
      <c r="P165" s="578"/>
      <c r="Q165" s="578"/>
      <c r="R165" s="578"/>
      <c r="S165" s="578"/>
      <c r="X165" s="1122"/>
      <c r="Y165" s="1126">
        <v>0.95</v>
      </c>
      <c r="Z165" s="1125">
        <v>0.95</v>
      </c>
      <c r="AA165" s="1125">
        <v>0.92500000000000004</v>
      </c>
      <c r="AB165" s="1125">
        <v>0.97368421052631593</v>
      </c>
      <c r="AC165" s="1125">
        <v>1</v>
      </c>
      <c r="AD165" s="1125">
        <v>1</v>
      </c>
      <c r="AE165" s="436"/>
      <c r="AF165" s="436"/>
    </row>
    <row r="166" spans="1:32" x14ac:dyDescent="0.25">
      <c r="A166" s="649" t="s">
        <v>342</v>
      </c>
      <c r="B166" s="1136">
        <f t="shared" si="101"/>
        <v>1</v>
      </c>
      <c r="C166" s="1136">
        <f t="shared" si="96"/>
        <v>1</v>
      </c>
      <c r="D166" s="913">
        <f t="shared" si="97"/>
        <v>1</v>
      </c>
      <c r="E166" s="1136">
        <f t="shared" si="102"/>
        <v>1</v>
      </c>
      <c r="F166" s="1136">
        <f t="shared" si="98"/>
        <v>1</v>
      </c>
      <c r="G166" s="912">
        <f t="shared" si="99"/>
        <v>1</v>
      </c>
      <c r="H166" s="1136">
        <f t="shared" si="103"/>
        <v>1</v>
      </c>
      <c r="I166" s="1136">
        <f t="shared" si="100"/>
        <v>1</v>
      </c>
      <c r="M166" s="578"/>
      <c r="N166" s="578"/>
      <c r="O166" s="578"/>
      <c r="P166" s="578"/>
      <c r="Q166" s="578"/>
      <c r="R166" s="578"/>
      <c r="S166" s="578"/>
      <c r="X166" s="436"/>
      <c r="Y166" s="436"/>
      <c r="Z166" s="436"/>
      <c r="AA166" s="436"/>
      <c r="AB166" s="436"/>
      <c r="AC166" s="436"/>
      <c r="AD166" s="436"/>
      <c r="AE166" s="436"/>
      <c r="AF166" s="436"/>
    </row>
    <row r="167" spans="1:32" ht="25.5" x14ac:dyDescent="0.25">
      <c r="A167" s="851"/>
      <c r="M167" s="578"/>
      <c r="N167" s="578"/>
      <c r="O167" s="578"/>
      <c r="P167" s="578"/>
      <c r="Q167" s="578"/>
      <c r="R167" s="578"/>
      <c r="S167" s="578"/>
      <c r="X167" s="948" t="s">
        <v>831</v>
      </c>
      <c r="Y167" s="574" t="s">
        <v>7</v>
      </c>
      <c r="Z167" s="574" t="s">
        <v>21</v>
      </c>
      <c r="AA167" s="574" t="s">
        <v>28</v>
      </c>
      <c r="AB167" s="574" t="s">
        <v>29</v>
      </c>
      <c r="AC167" s="574" t="s">
        <v>34</v>
      </c>
      <c r="AD167" s="574" t="s">
        <v>813</v>
      </c>
      <c r="AE167" s="436"/>
      <c r="AF167" s="436"/>
    </row>
    <row r="168" spans="1:32" ht="38.25" x14ac:dyDescent="0.25">
      <c r="A168" s="647" t="s">
        <v>816</v>
      </c>
      <c r="B168" s="648" t="s">
        <v>817</v>
      </c>
      <c r="C168" s="637"/>
      <c r="D168" s="647" t="s">
        <v>818</v>
      </c>
      <c r="E168" s="648" t="s">
        <v>815</v>
      </c>
      <c r="F168" s="637"/>
      <c r="G168" s="948" t="s">
        <v>658</v>
      </c>
      <c r="H168" s="648" t="s">
        <v>815</v>
      </c>
      <c r="I168" s="637"/>
      <c r="M168" s="578"/>
      <c r="N168" s="578"/>
      <c r="O168" s="578"/>
      <c r="P168" s="578"/>
      <c r="Q168" s="578"/>
      <c r="R168" s="578"/>
      <c r="S168" s="578"/>
      <c r="X168" s="897">
        <v>150000</v>
      </c>
      <c r="Y168" s="1127">
        <v>0.96</v>
      </c>
      <c r="Z168" s="1127">
        <v>0.96</v>
      </c>
      <c r="AA168" s="1127">
        <v>0.98969072164948457</v>
      </c>
      <c r="AB168" s="1127">
        <v>0.98969072164948457</v>
      </c>
      <c r="AC168" s="1127">
        <v>0.98969072164948457</v>
      </c>
      <c r="AD168" s="1127">
        <v>0.98969072164948457</v>
      </c>
      <c r="AE168" s="436"/>
      <c r="AF168" s="436"/>
    </row>
    <row r="169" spans="1:32" x14ac:dyDescent="0.25">
      <c r="A169" s="650" t="s">
        <v>925</v>
      </c>
      <c r="B169" s="651">
        <f>Y222</f>
        <v>1</v>
      </c>
      <c r="C169" s="637"/>
      <c r="D169" s="650" t="s">
        <v>107</v>
      </c>
      <c r="E169" s="652">
        <f>AB222</f>
        <v>1.1000000000000001</v>
      </c>
      <c r="F169" s="637"/>
      <c r="G169" s="655" t="s">
        <v>781</v>
      </c>
      <c r="H169" s="656">
        <f>AE222</f>
        <v>1</v>
      </c>
      <c r="I169" s="637"/>
      <c r="M169" s="578"/>
      <c r="N169" s="578"/>
      <c r="O169" s="578"/>
      <c r="P169" s="578"/>
      <c r="Q169" s="578"/>
      <c r="R169" s="578"/>
      <c r="S169" s="578"/>
      <c r="X169" s="659">
        <v>250000</v>
      </c>
      <c r="Y169" s="1128">
        <v>0.97</v>
      </c>
      <c r="Z169" s="1128">
        <v>0.97</v>
      </c>
      <c r="AA169" s="1127">
        <v>1</v>
      </c>
      <c r="AB169" s="1127">
        <v>1</v>
      </c>
      <c r="AC169" s="1127">
        <v>1</v>
      </c>
      <c r="AD169" s="1127">
        <v>1</v>
      </c>
      <c r="AE169" s="436"/>
      <c r="AF169" s="436"/>
    </row>
    <row r="170" spans="1:32" x14ac:dyDescent="0.25">
      <c r="A170" s="650" t="s">
        <v>926</v>
      </c>
      <c r="B170" s="651">
        <f t="shared" ref="B170:B184" si="104">Y223</f>
        <v>0.98</v>
      </c>
      <c r="D170" s="650" t="s">
        <v>819</v>
      </c>
      <c r="E170" s="652">
        <f t="shared" ref="E170:E190" si="105">AB223</f>
        <v>1.05</v>
      </c>
      <c r="G170" s="655" t="s">
        <v>1300</v>
      </c>
      <c r="H170" s="656">
        <f t="shared" ref="H170:H176" si="106">AE223</f>
        <v>0.98</v>
      </c>
      <c r="X170" s="659" t="s">
        <v>781</v>
      </c>
      <c r="Y170" s="1129">
        <v>1</v>
      </c>
      <c r="Z170" s="1129">
        <v>1</v>
      </c>
      <c r="AA170" s="1127">
        <v>1.0309278350515465</v>
      </c>
      <c r="AB170" s="1127">
        <v>1.0309278350515465</v>
      </c>
      <c r="AC170" s="1127">
        <v>1.0309278350515465</v>
      </c>
      <c r="AD170" s="1127">
        <v>1.0309278350515465</v>
      </c>
      <c r="AE170" s="436"/>
      <c r="AF170" s="436"/>
    </row>
    <row r="171" spans="1:32" x14ac:dyDescent="0.25">
      <c r="A171" s="650" t="s">
        <v>927</v>
      </c>
      <c r="B171" s="651">
        <f t="shared" si="104"/>
        <v>0.96</v>
      </c>
      <c r="D171" s="650" t="s">
        <v>820</v>
      </c>
      <c r="E171" s="652">
        <f t="shared" si="105"/>
        <v>1.04</v>
      </c>
      <c r="G171" s="655" t="s">
        <v>1301</v>
      </c>
      <c r="H171" s="656">
        <f t="shared" si="106"/>
        <v>0.98250000000000004</v>
      </c>
      <c r="X171" s="1130" t="s">
        <v>1295</v>
      </c>
      <c r="Y171" s="436"/>
      <c r="Z171" s="436"/>
      <c r="AA171" s="436"/>
      <c r="AB171" s="436"/>
      <c r="AC171" s="436"/>
      <c r="AD171" s="436"/>
      <c r="AE171" s="436"/>
      <c r="AF171" s="436"/>
    </row>
    <row r="172" spans="1:32" x14ac:dyDescent="0.25">
      <c r="A172" s="650" t="s">
        <v>928</v>
      </c>
      <c r="B172" s="651">
        <f t="shared" si="104"/>
        <v>0.94</v>
      </c>
      <c r="D172" s="650" t="s">
        <v>821</v>
      </c>
      <c r="E172" s="652">
        <f t="shared" si="105"/>
        <v>1.03</v>
      </c>
      <c r="G172" s="655" t="s">
        <v>1302</v>
      </c>
      <c r="H172" s="656">
        <f t="shared" si="106"/>
        <v>0.98499999999999999</v>
      </c>
      <c r="X172" s="436"/>
      <c r="Y172" s="436"/>
      <c r="Z172" s="436"/>
      <c r="AA172" s="436"/>
      <c r="AB172" s="436"/>
      <c r="AC172" s="436"/>
      <c r="AD172" s="436"/>
      <c r="AE172" s="436"/>
      <c r="AF172" s="436"/>
    </row>
    <row r="173" spans="1:32" x14ac:dyDescent="0.25">
      <c r="A173" s="650" t="s">
        <v>929</v>
      </c>
      <c r="B173" s="651">
        <f t="shared" si="104"/>
        <v>0.92</v>
      </c>
      <c r="D173" s="650" t="s">
        <v>37</v>
      </c>
      <c r="E173" s="652">
        <f t="shared" si="105"/>
        <v>1</v>
      </c>
      <c r="G173" s="655" t="s">
        <v>1303</v>
      </c>
      <c r="H173" s="656">
        <f t="shared" si="106"/>
        <v>0.98750000000000004</v>
      </c>
      <c r="X173" s="948" t="s">
        <v>1025</v>
      </c>
      <c r="Y173" s="574" t="s">
        <v>7</v>
      </c>
      <c r="Z173" s="574" t="s">
        <v>21</v>
      </c>
      <c r="AA173" s="574" t="s">
        <v>28</v>
      </c>
      <c r="AB173" s="574" t="s">
        <v>29</v>
      </c>
      <c r="AC173" s="574" t="s">
        <v>34</v>
      </c>
      <c r="AD173" s="574" t="s">
        <v>813</v>
      </c>
      <c r="AE173" s="436"/>
      <c r="AF173" s="436"/>
    </row>
    <row r="174" spans="1:32" x14ac:dyDescent="0.25">
      <c r="A174" s="653" t="s">
        <v>822</v>
      </c>
      <c r="B174" s="651">
        <f t="shared" si="104"/>
        <v>0.997</v>
      </c>
      <c r="D174" s="650" t="s">
        <v>823</v>
      </c>
      <c r="E174" s="652">
        <f t="shared" si="105"/>
        <v>0.9819</v>
      </c>
      <c r="G174" s="655" t="s">
        <v>1304</v>
      </c>
      <c r="H174" s="656">
        <f t="shared" si="106"/>
        <v>0.99</v>
      </c>
      <c r="X174" s="471" t="s">
        <v>1026</v>
      </c>
      <c r="Y174" s="1127">
        <v>1</v>
      </c>
      <c r="Z174" s="1127">
        <v>1</v>
      </c>
      <c r="AA174" s="1127">
        <v>1</v>
      </c>
      <c r="AB174" s="1127">
        <v>0.96499999999999997</v>
      </c>
      <c r="AC174" s="1127">
        <v>0.96499999999999997</v>
      </c>
      <c r="AD174" s="1127">
        <v>0.96499999999999997</v>
      </c>
      <c r="AE174" s="436"/>
      <c r="AF174" s="436"/>
    </row>
    <row r="175" spans="1:32" x14ac:dyDescent="0.25">
      <c r="A175" s="653" t="s">
        <v>819</v>
      </c>
      <c r="B175" s="651">
        <f t="shared" si="104"/>
        <v>0.99390000000000001</v>
      </c>
      <c r="C175" s="562"/>
      <c r="D175" s="650" t="s">
        <v>824</v>
      </c>
      <c r="E175" s="652">
        <f t="shared" si="105"/>
        <v>0.9637</v>
      </c>
      <c r="F175" s="562"/>
      <c r="G175" s="655" t="s">
        <v>1305</v>
      </c>
      <c r="H175" s="656">
        <f t="shared" si="106"/>
        <v>0.99250000000000005</v>
      </c>
      <c r="I175" s="562"/>
      <c r="X175" s="471" t="s">
        <v>1027</v>
      </c>
      <c r="Y175" s="1127">
        <v>1</v>
      </c>
      <c r="Z175" s="1127">
        <v>1</v>
      </c>
      <c r="AA175" s="1127">
        <v>1</v>
      </c>
      <c r="AB175" s="1127">
        <v>1</v>
      </c>
      <c r="AC175" s="1127">
        <v>1</v>
      </c>
      <c r="AD175" s="1127">
        <v>1</v>
      </c>
      <c r="AE175" s="436"/>
      <c r="AF175" s="436"/>
    </row>
    <row r="176" spans="1:32" x14ac:dyDescent="0.25">
      <c r="A176" s="650" t="s">
        <v>820</v>
      </c>
      <c r="B176" s="651">
        <f t="shared" si="104"/>
        <v>0.99239999999999995</v>
      </c>
      <c r="C176" s="562"/>
      <c r="D176" s="916" t="s">
        <v>929</v>
      </c>
      <c r="E176" s="652">
        <f t="shared" si="105"/>
        <v>0.96199999999999997</v>
      </c>
      <c r="F176" s="562"/>
      <c r="G176" s="655" t="s">
        <v>1306</v>
      </c>
      <c r="H176" s="656">
        <f t="shared" si="106"/>
        <v>0.995</v>
      </c>
      <c r="I176" s="562"/>
      <c r="X176" s="436"/>
      <c r="Y176" s="436"/>
      <c r="Z176" s="436"/>
      <c r="AA176" s="436"/>
      <c r="AB176" s="436"/>
      <c r="AC176" s="436"/>
      <c r="AD176" s="436"/>
      <c r="AE176" s="436"/>
      <c r="AF176" s="436"/>
    </row>
    <row r="177" spans="1:32" x14ac:dyDescent="0.25">
      <c r="A177" s="650" t="s">
        <v>821</v>
      </c>
      <c r="B177" s="651">
        <f t="shared" si="104"/>
        <v>0.9909</v>
      </c>
      <c r="D177" s="653" t="s">
        <v>825</v>
      </c>
      <c r="E177" s="652">
        <f t="shared" si="105"/>
        <v>1.0429999999999999</v>
      </c>
      <c r="X177" s="948" t="s">
        <v>1296</v>
      </c>
      <c r="Y177" s="574" t="s">
        <v>7</v>
      </c>
      <c r="Z177" s="574" t="s">
        <v>21</v>
      </c>
      <c r="AA177" s="574" t="s">
        <v>28</v>
      </c>
      <c r="AB177" s="574" t="s">
        <v>29</v>
      </c>
      <c r="AC177" s="574" t="s">
        <v>34</v>
      </c>
      <c r="AD177" s="574" t="s">
        <v>813</v>
      </c>
      <c r="AE177" s="1131"/>
      <c r="AF177" s="436"/>
    </row>
    <row r="178" spans="1:32" x14ac:dyDescent="0.25">
      <c r="A178" s="653" t="s">
        <v>37</v>
      </c>
      <c r="B178" s="651">
        <f t="shared" si="104"/>
        <v>0.98480000000000001</v>
      </c>
      <c r="D178" s="653" t="s">
        <v>344</v>
      </c>
      <c r="E178" s="652">
        <f t="shared" si="105"/>
        <v>1.03</v>
      </c>
      <c r="G178" s="647" t="s">
        <v>108</v>
      </c>
      <c r="H178" s="648" t="s">
        <v>815</v>
      </c>
      <c r="X178" s="649">
        <v>2500000</v>
      </c>
      <c r="Y178" s="1127">
        <v>1.0363</v>
      </c>
      <c r="Z178" s="1127">
        <v>1.0867</v>
      </c>
      <c r="AA178" s="1127">
        <v>1.1024</v>
      </c>
      <c r="AB178" s="1127">
        <v>1.141</v>
      </c>
      <c r="AC178" s="1127">
        <v>1.141</v>
      </c>
      <c r="AD178" s="1127">
        <v>1.141</v>
      </c>
      <c r="AE178" s="436"/>
      <c r="AF178" s="436"/>
    </row>
    <row r="179" spans="1:32" x14ac:dyDescent="0.25">
      <c r="A179" s="653" t="s">
        <v>823</v>
      </c>
      <c r="B179" s="651">
        <f t="shared" si="104"/>
        <v>0.97719999999999996</v>
      </c>
      <c r="D179" s="653" t="s">
        <v>345</v>
      </c>
      <c r="E179" s="652">
        <f t="shared" si="105"/>
        <v>1.0249999999999999</v>
      </c>
      <c r="G179" s="644">
        <v>0</v>
      </c>
      <c r="H179" s="657">
        <f>AE239</f>
        <v>1</v>
      </c>
      <c r="X179" s="649">
        <v>2000000</v>
      </c>
      <c r="Y179" s="1127">
        <v>1.0182</v>
      </c>
      <c r="Z179" s="1127">
        <v>1.0676000000000001</v>
      </c>
      <c r="AA179" s="1127">
        <v>1.0831</v>
      </c>
      <c r="AB179" s="1127">
        <v>1.121</v>
      </c>
      <c r="AC179" s="1127">
        <v>1.121</v>
      </c>
      <c r="AD179" s="1127">
        <v>1.121</v>
      </c>
      <c r="AE179" s="436"/>
      <c r="AF179" s="436"/>
    </row>
    <row r="180" spans="1:32" x14ac:dyDescent="0.25">
      <c r="A180" s="653" t="s">
        <v>824</v>
      </c>
      <c r="B180" s="651">
        <f t="shared" si="104"/>
        <v>0.96960000000000002</v>
      </c>
      <c r="D180" s="653" t="s">
        <v>346</v>
      </c>
      <c r="E180" s="652">
        <f t="shared" si="105"/>
        <v>1.02</v>
      </c>
      <c r="G180" s="658">
        <v>0.05</v>
      </c>
      <c r="H180" s="657">
        <f t="shared" ref="H180:H185" si="107">AE240</f>
        <v>0.99</v>
      </c>
      <c r="X180" s="649">
        <v>1500000</v>
      </c>
      <c r="Y180" s="1127">
        <v>1</v>
      </c>
      <c r="Z180" s="1127">
        <v>1.0486</v>
      </c>
      <c r="AA180" s="1127">
        <v>1.0638000000000001</v>
      </c>
      <c r="AB180" s="1127">
        <v>1.101</v>
      </c>
      <c r="AC180" s="1127">
        <v>1.101</v>
      </c>
      <c r="AD180" s="1127">
        <v>1.101</v>
      </c>
      <c r="AE180" s="436"/>
      <c r="AF180" s="436"/>
    </row>
    <row r="181" spans="1:32" x14ac:dyDescent="0.25">
      <c r="A181" s="653" t="s">
        <v>826</v>
      </c>
      <c r="B181" s="651">
        <f t="shared" si="104"/>
        <v>0.99460000000000004</v>
      </c>
      <c r="D181" s="653" t="s">
        <v>347</v>
      </c>
      <c r="E181" s="652">
        <f t="shared" si="105"/>
        <v>1</v>
      </c>
      <c r="G181" s="644">
        <v>0.1</v>
      </c>
      <c r="H181" s="657">
        <f t="shared" si="107"/>
        <v>0.98</v>
      </c>
      <c r="L181" s="562"/>
      <c r="X181" s="649">
        <v>1000000</v>
      </c>
      <c r="Y181" s="1127">
        <v>0.95369999999999999</v>
      </c>
      <c r="Z181" s="1127">
        <v>1</v>
      </c>
      <c r="AA181" s="1127">
        <v>1.0145</v>
      </c>
      <c r="AB181" s="1127">
        <v>1.05</v>
      </c>
      <c r="AC181" s="1127">
        <v>1.05</v>
      </c>
      <c r="AD181" s="1127">
        <v>1.05</v>
      </c>
      <c r="AE181" s="436"/>
      <c r="AF181" s="436"/>
    </row>
    <row r="182" spans="1:32" x14ac:dyDescent="0.25">
      <c r="A182" s="653" t="s">
        <v>827</v>
      </c>
      <c r="B182" s="651">
        <f t="shared" si="104"/>
        <v>0.98880000000000001</v>
      </c>
      <c r="D182" s="653" t="s">
        <v>348</v>
      </c>
      <c r="E182" s="652">
        <f t="shared" si="105"/>
        <v>0.98550000000000004</v>
      </c>
      <c r="G182" s="644">
        <v>0.15</v>
      </c>
      <c r="H182" s="657">
        <f t="shared" si="107"/>
        <v>0.97</v>
      </c>
      <c r="L182" s="562"/>
      <c r="X182" s="649">
        <v>750000</v>
      </c>
      <c r="Y182" s="1127">
        <v>0.94690000000000007</v>
      </c>
      <c r="Z182" s="1127">
        <v>0.99285000000000001</v>
      </c>
      <c r="AA182" s="1127">
        <v>1.00725</v>
      </c>
      <c r="AB182" s="1127">
        <v>1.0425</v>
      </c>
      <c r="AC182" s="1127">
        <v>1.0425</v>
      </c>
      <c r="AD182" s="1127">
        <v>1.0425</v>
      </c>
      <c r="AE182" s="436"/>
      <c r="AF182" s="436"/>
    </row>
    <row r="183" spans="1:32" x14ac:dyDescent="0.25">
      <c r="A183" s="653" t="s">
        <v>828</v>
      </c>
      <c r="B183" s="651">
        <f t="shared" si="104"/>
        <v>0.98570000000000002</v>
      </c>
      <c r="D183" s="653" t="s">
        <v>349</v>
      </c>
      <c r="E183" s="652">
        <f t="shared" si="105"/>
        <v>0.98219999999999996</v>
      </c>
      <c r="G183" s="658">
        <v>0.2</v>
      </c>
      <c r="H183" s="657">
        <f t="shared" si="107"/>
        <v>0.96</v>
      </c>
      <c r="L183" s="562"/>
      <c r="X183" s="649">
        <v>500000</v>
      </c>
      <c r="Y183" s="1127">
        <v>0.94010000000000005</v>
      </c>
      <c r="Z183" s="1127">
        <v>0.98570000000000002</v>
      </c>
      <c r="AA183" s="1127">
        <v>1</v>
      </c>
      <c r="AB183" s="1127">
        <v>1.0349999999999999</v>
      </c>
      <c r="AC183" s="1127">
        <v>1.0349999999999999</v>
      </c>
      <c r="AD183" s="1127">
        <v>1.0349999999999999</v>
      </c>
      <c r="AE183" s="436"/>
      <c r="AF183" s="436"/>
    </row>
    <row r="184" spans="1:32" x14ac:dyDescent="0.25">
      <c r="A184" s="653" t="s">
        <v>347</v>
      </c>
      <c r="B184" s="651">
        <f t="shared" si="104"/>
        <v>0.98529999999999995</v>
      </c>
      <c r="D184" s="650" t="s">
        <v>927</v>
      </c>
      <c r="E184" s="652">
        <f t="shared" si="105"/>
        <v>1.085</v>
      </c>
      <c r="G184" s="644">
        <v>0.25</v>
      </c>
      <c r="H184" s="657">
        <f t="shared" si="107"/>
        <v>0.95</v>
      </c>
      <c r="L184" s="562"/>
      <c r="X184" s="649">
        <v>300000</v>
      </c>
      <c r="Y184" s="1127">
        <v>0.92459999999999998</v>
      </c>
      <c r="Z184" s="1127">
        <v>0.96950000000000003</v>
      </c>
      <c r="AA184" s="1127">
        <v>0.98360000000000003</v>
      </c>
      <c r="AB184" s="1127">
        <v>1.018</v>
      </c>
      <c r="AC184" s="1127">
        <v>1.018</v>
      </c>
      <c r="AD184" s="1127">
        <v>1.018</v>
      </c>
      <c r="AE184" s="436"/>
      <c r="AF184" s="436"/>
    </row>
    <row r="185" spans="1:32" x14ac:dyDescent="0.25">
      <c r="D185" s="653" t="s">
        <v>650</v>
      </c>
      <c r="E185" s="652">
        <f t="shared" si="105"/>
        <v>1.05</v>
      </c>
      <c r="G185" s="658">
        <v>0.3</v>
      </c>
      <c r="H185" s="657">
        <f t="shared" si="107"/>
        <v>0.94</v>
      </c>
      <c r="L185" s="562"/>
      <c r="X185" s="649">
        <v>250000</v>
      </c>
      <c r="Y185" s="1127">
        <v>0.9083</v>
      </c>
      <c r="Z185" s="1127">
        <v>0.95240000000000002</v>
      </c>
      <c r="AA185" s="1127">
        <v>0.96619999999999995</v>
      </c>
      <c r="AB185" s="1127">
        <v>1</v>
      </c>
      <c r="AC185" s="1127">
        <v>1</v>
      </c>
      <c r="AD185" s="1127">
        <v>1</v>
      </c>
      <c r="AE185" s="436"/>
      <c r="AF185" s="436"/>
    </row>
    <row r="186" spans="1:32" ht="38.25" x14ac:dyDescent="0.25">
      <c r="A186" s="647" t="s">
        <v>1307</v>
      </c>
      <c r="B186" s="648" t="s">
        <v>829</v>
      </c>
      <c r="D186" s="653" t="s">
        <v>651</v>
      </c>
      <c r="E186" s="652">
        <f t="shared" si="105"/>
        <v>1.04</v>
      </c>
      <c r="L186" s="562"/>
      <c r="T186" s="578"/>
      <c r="U186" s="578"/>
      <c r="X186" s="649">
        <v>200000</v>
      </c>
      <c r="Y186" s="1127">
        <v>0.8992</v>
      </c>
      <c r="Z186" s="1127">
        <v>0.94284999999999997</v>
      </c>
      <c r="AA186" s="1127">
        <v>0.95655000000000001</v>
      </c>
      <c r="AB186" s="1127">
        <v>0.99</v>
      </c>
      <c r="AC186" s="1127">
        <v>0.99</v>
      </c>
      <c r="AD186" s="1127">
        <v>0.99</v>
      </c>
      <c r="AE186" s="436"/>
      <c r="AF186" s="436"/>
    </row>
    <row r="187" spans="1:32" x14ac:dyDescent="0.25">
      <c r="A187" s="650">
        <v>0</v>
      </c>
      <c r="B187" s="654">
        <f>Y240</f>
        <v>1</v>
      </c>
      <c r="D187" s="653" t="s">
        <v>652</v>
      </c>
      <c r="E187" s="652">
        <f t="shared" si="105"/>
        <v>1.03</v>
      </c>
      <c r="L187" s="562"/>
      <c r="X187" s="649">
        <v>150000</v>
      </c>
      <c r="Y187" s="1127">
        <v>0.8901</v>
      </c>
      <c r="Z187" s="1127">
        <v>0.93330000000000002</v>
      </c>
      <c r="AA187" s="1127">
        <v>0.94689999999999996</v>
      </c>
      <c r="AB187" s="1127">
        <v>0.98</v>
      </c>
      <c r="AC187" s="1127">
        <v>0.98</v>
      </c>
      <c r="AD187" s="1127">
        <v>0.98</v>
      </c>
      <c r="AE187" s="436"/>
      <c r="AF187" s="436"/>
    </row>
    <row r="188" spans="1:32" x14ac:dyDescent="0.25">
      <c r="A188" s="653">
        <v>0.05</v>
      </c>
      <c r="B188" s="654">
        <f t="shared" ref="B188:B191" si="108">Y241</f>
        <v>0.99</v>
      </c>
      <c r="C188" s="578"/>
      <c r="D188" s="653" t="s">
        <v>653</v>
      </c>
      <c r="E188" s="652">
        <f t="shared" si="105"/>
        <v>1.0249999999999999</v>
      </c>
      <c r="G188" s="578"/>
      <c r="J188" s="578"/>
      <c r="L188" s="562"/>
      <c r="X188" s="436"/>
      <c r="Y188" s="436"/>
      <c r="Z188" s="436"/>
      <c r="AA188" s="436"/>
      <c r="AB188" s="436"/>
      <c r="AC188" s="436"/>
      <c r="AD188" s="436"/>
      <c r="AE188" s="436"/>
      <c r="AF188" s="436"/>
    </row>
    <row r="189" spans="1:32" x14ac:dyDescent="0.25">
      <c r="A189" s="650">
        <v>0.1</v>
      </c>
      <c r="B189" s="654">
        <f t="shared" si="108"/>
        <v>0.98</v>
      </c>
      <c r="D189" s="653" t="s">
        <v>654</v>
      </c>
      <c r="E189" s="652">
        <f t="shared" si="105"/>
        <v>1.01</v>
      </c>
      <c r="L189" s="562"/>
      <c r="X189" s="436"/>
      <c r="Y189" s="436"/>
      <c r="Z189" s="436"/>
      <c r="AA189" s="436"/>
      <c r="AB189" s="436"/>
      <c r="AC189" s="436"/>
      <c r="AD189" s="436"/>
      <c r="AE189" s="436"/>
      <c r="AF189" s="436"/>
    </row>
    <row r="190" spans="1:32" ht="25.5" x14ac:dyDescent="0.25">
      <c r="A190" s="650">
        <v>0.15</v>
      </c>
      <c r="B190" s="654">
        <f t="shared" si="108"/>
        <v>0.97</v>
      </c>
      <c r="D190" s="650" t="s">
        <v>655</v>
      </c>
      <c r="E190" s="652">
        <f t="shared" si="105"/>
        <v>1.0097</v>
      </c>
      <c r="L190" s="562"/>
      <c r="X190" s="948" t="s">
        <v>1297</v>
      </c>
      <c r="Y190" s="574" t="s">
        <v>7</v>
      </c>
      <c r="Z190" s="574" t="s">
        <v>21</v>
      </c>
      <c r="AA190" s="574" t="s">
        <v>28</v>
      </c>
      <c r="AB190" s="574" t="s">
        <v>29</v>
      </c>
      <c r="AC190" s="574" t="s">
        <v>34</v>
      </c>
      <c r="AD190" s="574" t="s">
        <v>813</v>
      </c>
      <c r="AE190" s="1131"/>
      <c r="AF190" s="436"/>
    </row>
    <row r="191" spans="1:32" x14ac:dyDescent="0.25">
      <c r="A191" s="653">
        <v>0.2</v>
      </c>
      <c r="B191" s="654">
        <f t="shared" si="108"/>
        <v>0.96</v>
      </c>
      <c r="L191" s="562"/>
      <c r="X191" s="534">
        <v>2500000</v>
      </c>
      <c r="Y191" s="769">
        <v>2500000</v>
      </c>
      <c r="Z191" s="769">
        <v>2500000</v>
      </c>
      <c r="AA191" s="1132">
        <v>1500000</v>
      </c>
      <c r="AB191" s="1132">
        <v>1000000</v>
      </c>
      <c r="AC191" s="1132">
        <v>750000</v>
      </c>
      <c r="AD191" s="1132">
        <v>500000</v>
      </c>
      <c r="AE191" s="436"/>
      <c r="AF191" s="436"/>
    </row>
    <row r="192" spans="1:32" x14ac:dyDescent="0.25">
      <c r="X192" s="534">
        <v>2000000</v>
      </c>
      <c r="Y192" s="769">
        <v>2000000</v>
      </c>
      <c r="Z192" s="769">
        <v>2000000</v>
      </c>
      <c r="AA192" s="1132">
        <v>1500000</v>
      </c>
      <c r="AB192" s="1132">
        <v>1000000</v>
      </c>
      <c r="AC192" s="1132">
        <v>750000</v>
      </c>
      <c r="AD192" s="1132">
        <v>500000</v>
      </c>
      <c r="AE192" s="436"/>
      <c r="AF192" s="436"/>
    </row>
    <row r="193" spans="1:32" ht="18.75" x14ac:dyDescent="0.25">
      <c r="A193" s="946" t="s">
        <v>1284</v>
      </c>
      <c r="B193" s="947"/>
      <c r="C193" s="947"/>
      <c r="D193" s="947"/>
      <c r="E193" s="947"/>
      <c r="F193" s="947"/>
      <c r="G193" s="947"/>
      <c r="H193" s="947"/>
      <c r="I193" s="947"/>
      <c r="K193" s="1497" t="s">
        <v>1285</v>
      </c>
      <c r="L193" s="1497"/>
      <c r="X193" s="534">
        <v>1500000</v>
      </c>
      <c r="Y193" s="769">
        <v>1500000</v>
      </c>
      <c r="Z193" s="769">
        <v>1500000</v>
      </c>
      <c r="AA193" s="769">
        <v>1500000</v>
      </c>
      <c r="AB193" s="1132">
        <v>1000000</v>
      </c>
      <c r="AC193" s="1132">
        <v>750000</v>
      </c>
      <c r="AD193" s="1132">
        <v>500000</v>
      </c>
      <c r="AE193" s="436"/>
      <c r="AF193" s="436"/>
    </row>
    <row r="194" spans="1:32" x14ac:dyDescent="0.25">
      <c r="A194" s="574" t="s">
        <v>35</v>
      </c>
      <c r="B194" s="574" t="s">
        <v>7</v>
      </c>
      <c r="C194" s="574" t="s">
        <v>21</v>
      </c>
      <c r="D194" s="584" t="s">
        <v>1045</v>
      </c>
      <c r="E194" s="574" t="s">
        <v>28</v>
      </c>
      <c r="F194" s="574" t="s">
        <v>29</v>
      </c>
      <c r="G194" s="584" t="s">
        <v>1073</v>
      </c>
      <c r="H194" s="574" t="s">
        <v>34</v>
      </c>
      <c r="I194" s="574" t="s">
        <v>813</v>
      </c>
      <c r="K194" s="564" t="s">
        <v>755</v>
      </c>
      <c r="L194" s="564" t="s">
        <v>284</v>
      </c>
      <c r="X194" s="534">
        <v>1000000</v>
      </c>
      <c r="Y194" s="769">
        <v>1000000</v>
      </c>
      <c r="Z194" s="769">
        <v>1000000</v>
      </c>
      <c r="AA194" s="769">
        <v>1000000</v>
      </c>
      <c r="AB194" s="769">
        <v>1000000</v>
      </c>
      <c r="AC194" s="1132">
        <v>750000</v>
      </c>
      <c r="AD194" s="1132">
        <v>500000</v>
      </c>
      <c r="AE194" s="436"/>
      <c r="AF194" s="436"/>
    </row>
    <row r="195" spans="1:32" x14ac:dyDescent="0.25">
      <c r="A195" s="126" t="s">
        <v>130</v>
      </c>
      <c r="B195" s="1110">
        <f>Y119</f>
        <v>0</v>
      </c>
      <c r="C195" s="1110">
        <f t="shared" ref="C195:C204" si="109">Z119</f>
        <v>0</v>
      </c>
      <c r="D195" s="1151">
        <f t="shared" ref="D195:D204" si="110">E195</f>
        <v>0</v>
      </c>
      <c r="E195" s="1110">
        <f>AA119</f>
        <v>0</v>
      </c>
      <c r="F195" s="1110">
        <f t="shared" ref="F195:F204" si="111">AB119</f>
        <v>0</v>
      </c>
      <c r="G195" s="1151">
        <f t="shared" ref="G195:G204" si="112">F195</f>
        <v>0</v>
      </c>
      <c r="H195" s="1110">
        <f>AC119</f>
        <v>0</v>
      </c>
      <c r="I195" s="1110">
        <f t="shared" ref="I195:I204" si="113">AD119</f>
        <v>0</v>
      </c>
      <c r="K195" s="585" t="s">
        <v>753</v>
      </c>
      <c r="L195" s="587">
        <f>AG119</f>
        <v>1</v>
      </c>
      <c r="X195" s="534">
        <v>750000</v>
      </c>
      <c r="Y195" s="769">
        <v>750000</v>
      </c>
      <c r="Z195" s="769">
        <v>750000</v>
      </c>
      <c r="AA195" s="769">
        <v>750000</v>
      </c>
      <c r="AB195" s="769">
        <v>750000</v>
      </c>
      <c r="AC195" s="769">
        <v>750000</v>
      </c>
      <c r="AD195" s="1132">
        <v>500000</v>
      </c>
      <c r="AE195" s="436"/>
      <c r="AF195" s="436"/>
    </row>
    <row r="196" spans="1:32" x14ac:dyDescent="0.25">
      <c r="A196" s="126">
        <v>6</v>
      </c>
      <c r="B196" s="1110">
        <f t="shared" ref="B196:B204" si="114">Y120</f>
        <v>31.25</v>
      </c>
      <c r="C196" s="1110">
        <f t="shared" si="109"/>
        <v>31.25</v>
      </c>
      <c r="D196" s="1151">
        <f t="shared" si="110"/>
        <v>25.17</v>
      </c>
      <c r="E196" s="1110">
        <f t="shared" ref="E196:E204" si="115">AA120</f>
        <v>25.17</v>
      </c>
      <c r="F196" s="1110">
        <f t="shared" si="111"/>
        <v>23.44</v>
      </c>
      <c r="G196" s="1151">
        <f t="shared" si="112"/>
        <v>23.44</v>
      </c>
      <c r="H196" s="1110">
        <f t="shared" ref="H196:H204" si="116">AC120</f>
        <v>21.7</v>
      </c>
      <c r="I196" s="1110">
        <f t="shared" si="113"/>
        <v>21.7</v>
      </c>
      <c r="K196" s="585" t="s">
        <v>754</v>
      </c>
      <c r="L196" s="587">
        <f t="shared" ref="L196:L197" si="117">AG120</f>
        <v>1.125</v>
      </c>
      <c r="X196" s="534">
        <v>500000</v>
      </c>
      <c r="Y196" s="769">
        <v>500000</v>
      </c>
      <c r="Z196" s="769">
        <v>500000</v>
      </c>
      <c r="AA196" s="769">
        <v>500000</v>
      </c>
      <c r="AB196" s="769">
        <v>500000</v>
      </c>
      <c r="AC196" s="769">
        <v>500000</v>
      </c>
      <c r="AD196" s="769">
        <v>500000</v>
      </c>
      <c r="AE196" s="436"/>
      <c r="AF196" s="436"/>
    </row>
    <row r="197" spans="1:32" x14ac:dyDescent="0.25">
      <c r="A197" s="126">
        <v>9</v>
      </c>
      <c r="B197" s="1110">
        <f t="shared" si="114"/>
        <v>57.29</v>
      </c>
      <c r="C197" s="1110">
        <f t="shared" si="109"/>
        <v>57.29</v>
      </c>
      <c r="D197" s="1151">
        <f t="shared" si="110"/>
        <v>46</v>
      </c>
      <c r="E197" s="1110">
        <f t="shared" si="115"/>
        <v>46</v>
      </c>
      <c r="F197" s="1110">
        <f t="shared" si="111"/>
        <v>43.4</v>
      </c>
      <c r="G197" s="1151">
        <f t="shared" si="112"/>
        <v>43.4</v>
      </c>
      <c r="H197" s="1110">
        <f t="shared" si="116"/>
        <v>39.93</v>
      </c>
      <c r="I197" s="1110">
        <f t="shared" si="113"/>
        <v>39.93</v>
      </c>
      <c r="K197" s="585" t="s">
        <v>1272</v>
      </c>
      <c r="L197" s="587">
        <f t="shared" si="117"/>
        <v>1.25</v>
      </c>
      <c r="T197" s="578"/>
      <c r="U197" s="578"/>
      <c r="X197" s="534">
        <v>300000</v>
      </c>
      <c r="Y197" s="769">
        <v>300000</v>
      </c>
      <c r="Z197" s="769">
        <v>300000</v>
      </c>
      <c r="AA197" s="769">
        <v>300000</v>
      </c>
      <c r="AB197" s="769">
        <v>300000</v>
      </c>
      <c r="AC197" s="769">
        <v>300000</v>
      </c>
      <c r="AD197" s="769">
        <v>300000</v>
      </c>
      <c r="AE197" s="436"/>
      <c r="AF197" s="436"/>
    </row>
    <row r="198" spans="1:32" x14ac:dyDescent="0.25">
      <c r="A198" s="126">
        <v>12</v>
      </c>
      <c r="B198" s="1110">
        <f t="shared" si="114"/>
        <v>114.58</v>
      </c>
      <c r="C198" s="1110">
        <f t="shared" si="109"/>
        <v>114.58</v>
      </c>
      <c r="D198" s="1151">
        <f t="shared" si="110"/>
        <v>92.01</v>
      </c>
      <c r="E198" s="1110">
        <f t="shared" si="115"/>
        <v>92.01</v>
      </c>
      <c r="F198" s="1110">
        <f t="shared" si="111"/>
        <v>85.93</v>
      </c>
      <c r="G198" s="1151">
        <f t="shared" si="112"/>
        <v>85.93</v>
      </c>
      <c r="H198" s="1110">
        <f t="shared" si="116"/>
        <v>80.72</v>
      </c>
      <c r="I198" s="1110">
        <f t="shared" si="113"/>
        <v>80.72</v>
      </c>
      <c r="J198" s="436"/>
      <c r="L198" s="562"/>
      <c r="X198" s="534">
        <v>250000</v>
      </c>
      <c r="Y198" s="769">
        <v>250000</v>
      </c>
      <c r="Z198" s="769">
        <v>250000</v>
      </c>
      <c r="AA198" s="769">
        <v>250000</v>
      </c>
      <c r="AB198" s="769">
        <v>250000</v>
      </c>
      <c r="AC198" s="769">
        <v>250000</v>
      </c>
      <c r="AD198" s="769">
        <v>250000</v>
      </c>
      <c r="AE198" s="436"/>
      <c r="AF198" s="436"/>
    </row>
    <row r="199" spans="1:32" x14ac:dyDescent="0.25">
      <c r="A199" s="126">
        <v>15</v>
      </c>
      <c r="B199" s="1110">
        <f t="shared" si="114"/>
        <v>172.73</v>
      </c>
      <c r="C199" s="1110">
        <f t="shared" si="109"/>
        <v>172.73</v>
      </c>
      <c r="D199" s="1151">
        <f t="shared" si="110"/>
        <v>138.01</v>
      </c>
      <c r="E199" s="1110">
        <f t="shared" si="115"/>
        <v>138.01</v>
      </c>
      <c r="F199" s="1110">
        <f t="shared" si="111"/>
        <v>129.33000000000001</v>
      </c>
      <c r="G199" s="1151">
        <f t="shared" si="112"/>
        <v>129.33000000000001</v>
      </c>
      <c r="H199" s="1110">
        <f t="shared" si="116"/>
        <v>120.65</v>
      </c>
      <c r="I199" s="1110">
        <f t="shared" si="113"/>
        <v>120.65</v>
      </c>
      <c r="J199" s="436"/>
      <c r="L199" s="562"/>
      <c r="X199" s="534">
        <v>200000</v>
      </c>
      <c r="Y199" s="769">
        <v>200000</v>
      </c>
      <c r="Z199" s="769">
        <v>200000</v>
      </c>
      <c r="AA199" s="769">
        <v>200000</v>
      </c>
      <c r="AB199" s="769">
        <v>200000</v>
      </c>
      <c r="AC199" s="769">
        <v>200000</v>
      </c>
      <c r="AD199" s="769">
        <v>200000</v>
      </c>
      <c r="AE199" s="436"/>
      <c r="AF199" s="436"/>
    </row>
    <row r="200" spans="1:32" x14ac:dyDescent="0.25">
      <c r="A200" s="126">
        <v>18</v>
      </c>
      <c r="B200" s="1110">
        <f t="shared" si="114"/>
        <v>207.45</v>
      </c>
      <c r="C200" s="1110">
        <f t="shared" si="109"/>
        <v>207.45</v>
      </c>
      <c r="D200" s="1151">
        <f t="shared" si="110"/>
        <v>164.92</v>
      </c>
      <c r="E200" s="1110">
        <f t="shared" si="115"/>
        <v>164.92</v>
      </c>
      <c r="F200" s="1110">
        <f t="shared" si="111"/>
        <v>155.37</v>
      </c>
      <c r="G200" s="1151">
        <f t="shared" si="112"/>
        <v>155.37</v>
      </c>
      <c r="H200" s="1110">
        <f t="shared" si="116"/>
        <v>144.96</v>
      </c>
      <c r="I200" s="1110">
        <f t="shared" si="113"/>
        <v>144.96</v>
      </c>
      <c r="J200" s="436"/>
      <c r="K200" s="578"/>
      <c r="L200" s="562"/>
      <c r="X200" s="534">
        <v>150000</v>
      </c>
      <c r="Y200" s="769">
        <v>150000</v>
      </c>
      <c r="Z200" s="769">
        <v>150000</v>
      </c>
      <c r="AA200" s="769">
        <v>150000</v>
      </c>
      <c r="AB200" s="769">
        <v>150000</v>
      </c>
      <c r="AC200" s="769">
        <v>150000</v>
      </c>
      <c r="AD200" s="769">
        <v>150000</v>
      </c>
      <c r="AE200" s="436"/>
      <c r="AF200" s="436"/>
    </row>
    <row r="201" spans="1:32" x14ac:dyDescent="0.25">
      <c r="A201" s="126">
        <v>20</v>
      </c>
      <c r="B201" s="1110">
        <f t="shared" si="114"/>
        <v>230.02</v>
      </c>
      <c r="C201" s="1110">
        <f t="shared" si="109"/>
        <v>230.02</v>
      </c>
      <c r="D201" s="1151">
        <f t="shared" si="110"/>
        <v>184.02</v>
      </c>
      <c r="E201" s="1110">
        <f t="shared" si="115"/>
        <v>184.02</v>
      </c>
      <c r="F201" s="1110">
        <f t="shared" si="111"/>
        <v>172.73</v>
      </c>
      <c r="G201" s="1151">
        <f t="shared" si="112"/>
        <v>172.73</v>
      </c>
      <c r="H201" s="1110">
        <f t="shared" si="116"/>
        <v>160.58000000000001</v>
      </c>
      <c r="I201" s="1110">
        <f t="shared" si="113"/>
        <v>160.58000000000001</v>
      </c>
      <c r="J201" s="436"/>
      <c r="K201" s="578"/>
      <c r="L201" s="562"/>
      <c r="X201" s="436"/>
      <c r="Y201" s="436"/>
      <c r="Z201" s="436"/>
      <c r="AA201" s="436"/>
      <c r="AB201" s="436"/>
      <c r="AC201" s="436"/>
      <c r="AD201" s="436"/>
      <c r="AE201" s="436"/>
      <c r="AF201" s="436"/>
    </row>
    <row r="202" spans="1:32" ht="25.5" x14ac:dyDescent="0.25">
      <c r="A202" s="126">
        <v>24</v>
      </c>
      <c r="B202" s="1110">
        <f t="shared" si="114"/>
        <v>276.02</v>
      </c>
      <c r="C202" s="1110">
        <f t="shared" si="109"/>
        <v>276.02</v>
      </c>
      <c r="D202" s="1151">
        <f t="shared" si="110"/>
        <v>221.34</v>
      </c>
      <c r="E202" s="1110">
        <f t="shared" si="115"/>
        <v>221.34</v>
      </c>
      <c r="F202" s="1110">
        <f t="shared" si="111"/>
        <v>207.45</v>
      </c>
      <c r="G202" s="1151">
        <f t="shared" si="112"/>
        <v>207.45</v>
      </c>
      <c r="H202" s="1110">
        <f t="shared" si="116"/>
        <v>193.56</v>
      </c>
      <c r="I202" s="1110">
        <f t="shared" si="113"/>
        <v>193.56</v>
      </c>
      <c r="J202" s="436"/>
      <c r="K202" s="578"/>
      <c r="L202" s="562"/>
      <c r="X202" s="948" t="s">
        <v>814</v>
      </c>
      <c r="Y202" s="574" t="s">
        <v>7</v>
      </c>
      <c r="Z202" s="574" t="s">
        <v>21</v>
      </c>
      <c r="AA202" s="574" t="s">
        <v>28</v>
      </c>
      <c r="AB202" s="574" t="s">
        <v>29</v>
      </c>
      <c r="AC202" s="574" t="s">
        <v>34</v>
      </c>
      <c r="AD202" s="574" t="s">
        <v>813</v>
      </c>
      <c r="AE202" s="1131"/>
      <c r="AF202" s="436"/>
    </row>
    <row r="203" spans="1:32" x14ac:dyDescent="0.25">
      <c r="A203" s="126">
        <v>30</v>
      </c>
      <c r="B203" s="1110">
        <f t="shared" si="114"/>
        <v>344.6</v>
      </c>
      <c r="C203" s="1110">
        <f t="shared" si="109"/>
        <v>344.6</v>
      </c>
      <c r="D203" s="1151">
        <f t="shared" si="110"/>
        <v>276.89</v>
      </c>
      <c r="E203" s="1110">
        <f t="shared" si="115"/>
        <v>276.89</v>
      </c>
      <c r="F203" s="1110">
        <f t="shared" si="111"/>
        <v>259.52999999999997</v>
      </c>
      <c r="G203" s="1151">
        <f t="shared" si="112"/>
        <v>259.52999999999997</v>
      </c>
      <c r="H203" s="1110">
        <f t="shared" si="116"/>
        <v>241.3</v>
      </c>
      <c r="I203" s="1110">
        <f t="shared" si="113"/>
        <v>241.3</v>
      </c>
      <c r="J203" s="436"/>
      <c r="K203" s="578"/>
      <c r="L203" s="562"/>
      <c r="X203" s="649" t="s">
        <v>656</v>
      </c>
      <c r="Y203" s="1133" t="s">
        <v>656</v>
      </c>
      <c r="Z203" s="1133" t="s">
        <v>656</v>
      </c>
      <c r="AA203" s="1133" t="s">
        <v>656</v>
      </c>
      <c r="AB203" s="1133" t="s">
        <v>656</v>
      </c>
      <c r="AC203" s="1133" t="s">
        <v>656</v>
      </c>
      <c r="AD203" s="1133" t="s">
        <v>656</v>
      </c>
      <c r="AE203" s="436"/>
      <c r="AF203" s="436"/>
    </row>
    <row r="204" spans="1:32" ht="30" x14ac:dyDescent="0.25">
      <c r="A204" s="126" t="s">
        <v>781</v>
      </c>
      <c r="B204" s="1110">
        <f t="shared" si="114"/>
        <v>414.04</v>
      </c>
      <c r="C204" s="1110">
        <f t="shared" si="109"/>
        <v>414.04</v>
      </c>
      <c r="D204" s="1151">
        <f t="shared" si="110"/>
        <v>330.71</v>
      </c>
      <c r="E204" s="1110">
        <f t="shared" si="115"/>
        <v>330.71</v>
      </c>
      <c r="F204" s="1110">
        <f t="shared" si="111"/>
        <v>309.88</v>
      </c>
      <c r="G204" s="1151">
        <f t="shared" si="112"/>
        <v>309.88</v>
      </c>
      <c r="H204" s="1110">
        <f t="shared" si="116"/>
        <v>289.91000000000003</v>
      </c>
      <c r="I204" s="1110">
        <f t="shared" si="113"/>
        <v>289.91000000000003</v>
      </c>
      <c r="J204" s="436"/>
      <c r="K204" s="578"/>
      <c r="L204" s="562"/>
      <c r="X204" s="649" t="s">
        <v>1075</v>
      </c>
      <c r="Y204" s="1133" t="s">
        <v>1075</v>
      </c>
      <c r="Z204" s="1133" t="s">
        <v>1075</v>
      </c>
      <c r="AA204" s="1133" t="s">
        <v>1075</v>
      </c>
      <c r="AB204" s="1133" t="s">
        <v>1075</v>
      </c>
      <c r="AC204" s="1133" t="s">
        <v>1075</v>
      </c>
      <c r="AD204" s="1133" t="s">
        <v>1075</v>
      </c>
      <c r="AE204" s="436"/>
      <c r="AF204" s="436"/>
    </row>
    <row r="205" spans="1:32" ht="30" x14ac:dyDescent="0.25">
      <c r="D205" s="637"/>
      <c r="G205" s="986"/>
      <c r="J205" s="578"/>
      <c r="K205" s="578"/>
      <c r="L205" s="562"/>
      <c r="X205" s="649" t="s">
        <v>1076</v>
      </c>
      <c r="Y205" s="1133" t="s">
        <v>1076</v>
      </c>
      <c r="Z205" s="1133" t="s">
        <v>1076</v>
      </c>
      <c r="AA205" s="1133" t="s">
        <v>1076</v>
      </c>
      <c r="AB205" s="1133" t="s">
        <v>1076</v>
      </c>
      <c r="AC205" s="1133" t="s">
        <v>1076</v>
      </c>
      <c r="AD205" s="1133" t="s">
        <v>1076</v>
      </c>
      <c r="AE205" s="436"/>
      <c r="AF205" s="436"/>
    </row>
    <row r="206" spans="1:32" ht="30" x14ac:dyDescent="0.25">
      <c r="A206" s="850" t="s">
        <v>1012</v>
      </c>
      <c r="D206" s="637"/>
      <c r="G206" s="986"/>
      <c r="J206" s="578"/>
      <c r="K206" s="578"/>
      <c r="L206" s="562"/>
      <c r="X206" s="649" t="s">
        <v>657</v>
      </c>
      <c r="Y206" s="1133" t="s">
        <v>657</v>
      </c>
      <c r="Z206" s="1133" t="s">
        <v>657</v>
      </c>
      <c r="AA206" s="1133" t="s">
        <v>657</v>
      </c>
      <c r="AB206" s="1134" t="s">
        <v>657</v>
      </c>
      <c r="AC206" s="1134" t="s">
        <v>657</v>
      </c>
      <c r="AD206" s="1134" t="s">
        <v>657</v>
      </c>
      <c r="AE206" s="436"/>
      <c r="AF206" s="436"/>
    </row>
    <row r="207" spans="1:32" ht="30" x14ac:dyDescent="0.25">
      <c r="A207" s="721" t="s">
        <v>913</v>
      </c>
      <c r="B207" s="574" t="s">
        <v>7</v>
      </c>
      <c r="C207" s="574" t="s">
        <v>21</v>
      </c>
      <c r="D207" s="584" t="s">
        <v>1045</v>
      </c>
      <c r="E207" s="574" t="s">
        <v>28</v>
      </c>
      <c r="F207" s="574" t="s">
        <v>29</v>
      </c>
      <c r="G207" s="574" t="s">
        <v>1073</v>
      </c>
      <c r="H207" s="574" t="s">
        <v>34</v>
      </c>
      <c r="I207" s="574" t="s">
        <v>813</v>
      </c>
      <c r="J207" s="578"/>
      <c r="K207" s="578"/>
      <c r="L207" s="562"/>
      <c r="X207" s="649" t="s">
        <v>343</v>
      </c>
      <c r="Y207" s="1133" t="s">
        <v>343</v>
      </c>
      <c r="Z207" s="1133" t="s">
        <v>343</v>
      </c>
      <c r="AA207" s="1133" t="s">
        <v>343</v>
      </c>
      <c r="AB207" s="1134" t="s">
        <v>343</v>
      </c>
      <c r="AC207" s="1134" t="s">
        <v>343</v>
      </c>
      <c r="AD207" s="1134" t="s">
        <v>343</v>
      </c>
      <c r="AE207" s="436"/>
      <c r="AF207" s="436"/>
    </row>
    <row r="208" spans="1:32" x14ac:dyDescent="0.25">
      <c r="A208" s="831" t="s">
        <v>130</v>
      </c>
      <c r="B208" s="1152">
        <f>$Y132</f>
        <v>0</v>
      </c>
      <c r="C208" s="1152">
        <f t="shared" ref="C208:I208" si="118">$Y132</f>
        <v>0</v>
      </c>
      <c r="D208" s="1153">
        <f t="shared" si="118"/>
        <v>0</v>
      </c>
      <c r="E208" s="1152">
        <f t="shared" si="118"/>
        <v>0</v>
      </c>
      <c r="F208" s="1152">
        <f t="shared" si="118"/>
        <v>0</v>
      </c>
      <c r="G208" s="1153">
        <f t="shared" si="118"/>
        <v>0</v>
      </c>
      <c r="H208" s="1152">
        <f t="shared" si="118"/>
        <v>0</v>
      </c>
      <c r="I208" s="1152">
        <f t="shared" si="118"/>
        <v>0</v>
      </c>
      <c r="J208" s="578"/>
      <c r="K208" s="578"/>
      <c r="L208" s="562"/>
      <c r="X208" s="649" t="s">
        <v>342</v>
      </c>
      <c r="Y208" s="1133" t="s">
        <v>342</v>
      </c>
      <c r="Z208" s="1133" t="s">
        <v>342</v>
      </c>
      <c r="AA208" s="1133" t="s">
        <v>342</v>
      </c>
      <c r="AB208" s="1134" t="s">
        <v>342</v>
      </c>
      <c r="AC208" s="1134" t="s">
        <v>342</v>
      </c>
      <c r="AD208" s="1134" t="s">
        <v>342</v>
      </c>
      <c r="AE208" s="436"/>
      <c r="AF208" s="436"/>
    </row>
    <row r="209" spans="1:32" x14ac:dyDescent="0.25">
      <c r="A209" s="847">
        <v>5000</v>
      </c>
      <c r="B209" s="1152">
        <f>$Y133</f>
        <v>13.05</v>
      </c>
      <c r="C209" s="1152">
        <f t="shared" ref="C209:I209" si="119">$Y133</f>
        <v>13.05</v>
      </c>
      <c r="D209" s="1153">
        <f t="shared" si="119"/>
        <v>13.05</v>
      </c>
      <c r="E209" s="1152">
        <f t="shared" si="119"/>
        <v>13.05</v>
      </c>
      <c r="F209" s="1152">
        <f t="shared" si="119"/>
        <v>13.05</v>
      </c>
      <c r="G209" s="1153">
        <f t="shared" si="119"/>
        <v>13.05</v>
      </c>
      <c r="H209" s="1152">
        <f t="shared" si="119"/>
        <v>13.05</v>
      </c>
      <c r="I209" s="1152">
        <f t="shared" si="119"/>
        <v>13.05</v>
      </c>
      <c r="J209" s="578"/>
      <c r="K209" s="578"/>
      <c r="L209" s="562"/>
      <c r="T209" s="578"/>
      <c r="U209" s="578"/>
      <c r="X209" s="1135" t="s">
        <v>1298</v>
      </c>
      <c r="Y209" s="436"/>
      <c r="Z209" s="436"/>
      <c r="AA209" s="436"/>
      <c r="AB209" s="436"/>
      <c r="AC209" s="436"/>
      <c r="AD209" s="436"/>
      <c r="AE209" s="436"/>
      <c r="AF209" s="436"/>
    </row>
    <row r="210" spans="1:32" x14ac:dyDescent="0.25">
      <c r="A210" s="847">
        <v>7500</v>
      </c>
      <c r="B210" s="1152">
        <f t="shared" ref="B210:I214" si="120">$Y134</f>
        <v>15.98</v>
      </c>
      <c r="C210" s="1152">
        <f t="shared" si="120"/>
        <v>15.98</v>
      </c>
      <c r="D210" s="1153">
        <f t="shared" si="120"/>
        <v>15.98</v>
      </c>
      <c r="E210" s="1152">
        <f t="shared" si="120"/>
        <v>15.98</v>
      </c>
      <c r="F210" s="1152">
        <f t="shared" si="120"/>
        <v>15.98</v>
      </c>
      <c r="G210" s="1153">
        <f t="shared" si="120"/>
        <v>15.98</v>
      </c>
      <c r="H210" s="1152">
        <f t="shared" si="120"/>
        <v>15.98</v>
      </c>
      <c r="I210" s="1152">
        <f t="shared" si="120"/>
        <v>15.98</v>
      </c>
      <c r="J210" s="578"/>
      <c r="K210" s="578"/>
      <c r="L210" s="562"/>
      <c r="X210" s="436"/>
      <c r="Y210" s="436"/>
      <c r="Z210" s="436"/>
      <c r="AA210" s="436"/>
      <c r="AB210" s="436"/>
      <c r="AC210" s="436"/>
      <c r="AD210" s="436"/>
      <c r="AE210" s="436"/>
      <c r="AF210" s="436"/>
    </row>
    <row r="211" spans="1:32" ht="25.5" x14ac:dyDescent="0.25">
      <c r="A211" s="847">
        <v>10000</v>
      </c>
      <c r="B211" s="1152">
        <f t="shared" si="120"/>
        <v>18.45</v>
      </c>
      <c r="C211" s="1152">
        <f t="shared" si="120"/>
        <v>18.45</v>
      </c>
      <c r="D211" s="1153">
        <f t="shared" si="120"/>
        <v>18.45</v>
      </c>
      <c r="E211" s="1152">
        <f t="shared" si="120"/>
        <v>18.45</v>
      </c>
      <c r="F211" s="1152">
        <f t="shared" si="120"/>
        <v>18.45</v>
      </c>
      <c r="G211" s="1153">
        <f t="shared" si="120"/>
        <v>18.45</v>
      </c>
      <c r="H211" s="1152">
        <f t="shared" si="120"/>
        <v>18.45</v>
      </c>
      <c r="I211" s="1152">
        <f t="shared" si="120"/>
        <v>18.45</v>
      </c>
      <c r="J211" s="578"/>
      <c r="K211" s="578"/>
      <c r="L211" s="562"/>
      <c r="X211" s="948" t="s">
        <v>814</v>
      </c>
      <c r="Y211" s="574" t="s">
        <v>7</v>
      </c>
      <c r="Z211" s="574" t="s">
        <v>21</v>
      </c>
      <c r="AA211" s="574" t="s">
        <v>28</v>
      </c>
      <c r="AB211" s="574" t="s">
        <v>29</v>
      </c>
      <c r="AC211" s="574" t="s">
        <v>34</v>
      </c>
      <c r="AD211" s="574" t="s">
        <v>813</v>
      </c>
      <c r="AE211" s="1131"/>
      <c r="AF211" s="436"/>
    </row>
    <row r="212" spans="1:32" x14ac:dyDescent="0.25">
      <c r="A212" s="847">
        <v>20000</v>
      </c>
      <c r="B212" s="1152">
        <f t="shared" si="120"/>
        <v>36.89</v>
      </c>
      <c r="C212" s="1152">
        <f t="shared" si="120"/>
        <v>36.89</v>
      </c>
      <c r="D212" s="1153">
        <f t="shared" si="120"/>
        <v>36.89</v>
      </c>
      <c r="E212" s="1152">
        <f t="shared" si="120"/>
        <v>36.89</v>
      </c>
      <c r="F212" s="1152">
        <f t="shared" si="120"/>
        <v>36.89</v>
      </c>
      <c r="G212" s="1153">
        <f t="shared" si="120"/>
        <v>36.89</v>
      </c>
      <c r="H212" s="1152">
        <f t="shared" si="120"/>
        <v>36.89</v>
      </c>
      <c r="I212" s="1152">
        <f t="shared" si="120"/>
        <v>36.89</v>
      </c>
      <c r="J212" s="578"/>
      <c r="K212" s="578"/>
      <c r="L212" s="562"/>
      <c r="X212" s="649" t="s">
        <v>656</v>
      </c>
      <c r="Y212" s="1136">
        <v>1</v>
      </c>
      <c r="Z212" s="1136">
        <v>1</v>
      </c>
      <c r="AA212" s="1136">
        <v>1</v>
      </c>
      <c r="AB212" s="1136">
        <v>1</v>
      </c>
      <c r="AC212" s="1136">
        <v>1</v>
      </c>
      <c r="AD212" s="1136">
        <v>1</v>
      </c>
      <c r="AE212" s="436"/>
      <c r="AF212" s="436"/>
    </row>
    <row r="213" spans="1:32" ht="25.5" x14ac:dyDescent="0.25">
      <c r="A213" s="847">
        <v>25000</v>
      </c>
      <c r="B213" s="1152">
        <f t="shared" si="120"/>
        <v>46.66</v>
      </c>
      <c r="C213" s="1152">
        <f t="shared" si="120"/>
        <v>46.66</v>
      </c>
      <c r="D213" s="1153">
        <f t="shared" si="120"/>
        <v>46.66</v>
      </c>
      <c r="E213" s="1152">
        <f t="shared" si="120"/>
        <v>46.66</v>
      </c>
      <c r="F213" s="1152">
        <f t="shared" si="120"/>
        <v>46.66</v>
      </c>
      <c r="G213" s="1153">
        <f t="shared" si="120"/>
        <v>46.66</v>
      </c>
      <c r="H213" s="1152">
        <f t="shared" si="120"/>
        <v>46.66</v>
      </c>
      <c r="I213" s="1152">
        <f t="shared" si="120"/>
        <v>46.66</v>
      </c>
      <c r="J213" s="578"/>
      <c r="K213" s="578"/>
      <c r="L213" s="562"/>
      <c r="X213" s="649" t="s">
        <v>1075</v>
      </c>
      <c r="Y213" s="1136">
        <v>1</v>
      </c>
      <c r="Z213" s="1136">
        <v>1</v>
      </c>
      <c r="AA213" s="1136">
        <v>1</v>
      </c>
      <c r="AB213" s="1136">
        <v>1</v>
      </c>
      <c r="AC213" s="1136">
        <v>1</v>
      </c>
      <c r="AD213" s="1136">
        <v>1</v>
      </c>
      <c r="AE213" s="436"/>
      <c r="AF213" s="436"/>
    </row>
    <row r="214" spans="1:32" ht="25.5" x14ac:dyDescent="0.25">
      <c r="A214" s="847">
        <v>30000</v>
      </c>
      <c r="B214" s="1152">
        <f t="shared" si="120"/>
        <v>55.34</v>
      </c>
      <c r="C214" s="1152">
        <f t="shared" si="120"/>
        <v>55.34</v>
      </c>
      <c r="D214" s="1153">
        <f t="shared" si="120"/>
        <v>55.34</v>
      </c>
      <c r="E214" s="1152">
        <f t="shared" si="120"/>
        <v>55.34</v>
      </c>
      <c r="F214" s="1152">
        <f t="shared" si="120"/>
        <v>55.34</v>
      </c>
      <c r="G214" s="1153">
        <f t="shared" si="120"/>
        <v>55.34</v>
      </c>
      <c r="H214" s="1152">
        <f t="shared" si="120"/>
        <v>55.34</v>
      </c>
      <c r="I214" s="1152">
        <f t="shared" si="120"/>
        <v>55.34</v>
      </c>
      <c r="J214" s="562"/>
      <c r="K214" s="562"/>
      <c r="L214" s="562"/>
      <c r="X214" s="649" t="s">
        <v>1076</v>
      </c>
      <c r="Y214" s="1137">
        <v>1</v>
      </c>
      <c r="Z214" s="1136">
        <v>1</v>
      </c>
      <c r="AA214" s="1136">
        <v>1</v>
      </c>
      <c r="AB214" s="1137">
        <v>1</v>
      </c>
      <c r="AC214" s="1136">
        <v>1</v>
      </c>
      <c r="AD214" s="1136">
        <v>1</v>
      </c>
      <c r="AE214" s="436"/>
      <c r="AF214" s="436"/>
    </row>
    <row r="215" spans="1:32" ht="25.5" x14ac:dyDescent="0.25">
      <c r="B215" s="562"/>
      <c r="C215" s="562"/>
      <c r="D215" s="562"/>
      <c r="E215" s="562"/>
      <c r="F215" s="562"/>
      <c r="G215" s="562"/>
      <c r="H215" s="562"/>
      <c r="I215" s="562"/>
      <c r="J215" s="562"/>
      <c r="K215" s="562"/>
      <c r="L215" s="562"/>
      <c r="X215" s="649" t="s">
        <v>657</v>
      </c>
      <c r="Y215" s="1137">
        <v>1</v>
      </c>
      <c r="Z215" s="1136">
        <v>1</v>
      </c>
      <c r="AA215" s="1136">
        <v>1</v>
      </c>
      <c r="AB215" s="1137">
        <v>1</v>
      </c>
      <c r="AC215" s="1136">
        <v>1</v>
      </c>
      <c r="AD215" s="1136">
        <v>1</v>
      </c>
      <c r="AE215" s="436"/>
      <c r="AF215" s="436"/>
    </row>
    <row r="216" spans="1:32" ht="25.5" x14ac:dyDescent="0.25">
      <c r="A216" s="850" t="s">
        <v>1013</v>
      </c>
      <c r="B216" s="562"/>
      <c r="C216" s="562"/>
      <c r="D216" s="562"/>
      <c r="E216" s="562"/>
      <c r="F216" s="562"/>
      <c r="G216" s="562"/>
      <c r="H216" s="562"/>
      <c r="I216" s="562"/>
      <c r="J216" s="562"/>
      <c r="K216" s="562"/>
      <c r="L216" s="562"/>
      <c r="X216" s="649" t="s">
        <v>343</v>
      </c>
      <c r="Y216" s="1136">
        <v>1</v>
      </c>
      <c r="Z216" s="1136">
        <v>1</v>
      </c>
      <c r="AA216" s="1136">
        <v>1</v>
      </c>
      <c r="AB216" s="1136">
        <v>1</v>
      </c>
      <c r="AC216" s="1136">
        <v>1</v>
      </c>
      <c r="AD216" s="1136">
        <v>1</v>
      </c>
      <c r="AE216" s="436"/>
      <c r="AF216" s="436"/>
    </row>
    <row r="217" spans="1:32" ht="45" x14ac:dyDescent="0.25">
      <c r="A217" s="721" t="s">
        <v>899</v>
      </c>
      <c r="B217" s="574" t="s">
        <v>7</v>
      </c>
      <c r="C217" s="574" t="s">
        <v>21</v>
      </c>
      <c r="D217" s="584" t="s">
        <v>1045</v>
      </c>
      <c r="E217" s="574" t="s">
        <v>28</v>
      </c>
      <c r="F217" s="574" t="s">
        <v>29</v>
      </c>
      <c r="G217" s="574" t="s">
        <v>1073</v>
      </c>
      <c r="H217" s="574" t="s">
        <v>34</v>
      </c>
      <c r="I217" s="574" t="s">
        <v>813</v>
      </c>
      <c r="J217" s="562"/>
      <c r="K217" s="562"/>
      <c r="L217" s="562"/>
      <c r="X217" s="649" t="s">
        <v>342</v>
      </c>
      <c r="Y217" s="1136">
        <v>1</v>
      </c>
      <c r="Z217" s="1136">
        <v>1</v>
      </c>
      <c r="AA217" s="1136">
        <v>1</v>
      </c>
      <c r="AB217" s="1136">
        <v>1</v>
      </c>
      <c r="AC217" s="1136">
        <v>1</v>
      </c>
      <c r="AD217" s="1136">
        <v>1</v>
      </c>
      <c r="AE217" s="436"/>
      <c r="AF217" s="436"/>
    </row>
    <row r="218" spans="1:32" x14ac:dyDescent="0.25">
      <c r="A218" s="831" t="s">
        <v>130</v>
      </c>
      <c r="B218" s="1152">
        <f>$AH132</f>
        <v>0</v>
      </c>
      <c r="C218" s="1152">
        <f t="shared" ref="C218:I218" si="121">$AH132</f>
        <v>0</v>
      </c>
      <c r="D218" s="1152">
        <f t="shared" si="121"/>
        <v>0</v>
      </c>
      <c r="E218" s="1152">
        <f t="shared" si="121"/>
        <v>0</v>
      </c>
      <c r="F218" s="1152">
        <f t="shared" si="121"/>
        <v>0</v>
      </c>
      <c r="G218" s="1152">
        <f t="shared" si="121"/>
        <v>0</v>
      </c>
      <c r="H218" s="1152">
        <f t="shared" si="121"/>
        <v>0</v>
      </c>
      <c r="I218" s="1152">
        <f t="shared" si="121"/>
        <v>0</v>
      </c>
      <c r="J218" s="562"/>
      <c r="K218" s="562"/>
      <c r="L218" s="562"/>
      <c r="X218" s="436"/>
      <c r="Y218" s="436"/>
      <c r="Z218" s="436"/>
      <c r="AA218" s="436"/>
      <c r="AB218" s="436"/>
      <c r="AC218" s="436"/>
      <c r="AD218" s="436"/>
      <c r="AE218" s="436"/>
      <c r="AF218" s="436"/>
    </row>
    <row r="219" spans="1:32" x14ac:dyDescent="0.25">
      <c r="A219" s="847">
        <v>1000</v>
      </c>
      <c r="B219" s="1152">
        <f t="shared" ref="B219:I229" si="122">$AH133</f>
        <v>5.43</v>
      </c>
      <c r="C219" s="1152">
        <f t="shared" si="122"/>
        <v>5.43</v>
      </c>
      <c r="D219" s="1152">
        <f t="shared" si="122"/>
        <v>5.43</v>
      </c>
      <c r="E219" s="1152">
        <f t="shared" si="122"/>
        <v>5.43</v>
      </c>
      <c r="F219" s="1152">
        <f t="shared" si="122"/>
        <v>5.43</v>
      </c>
      <c r="G219" s="1152">
        <f t="shared" si="122"/>
        <v>5.43</v>
      </c>
      <c r="H219" s="1152">
        <f t="shared" si="122"/>
        <v>5.43</v>
      </c>
      <c r="I219" s="1152">
        <f t="shared" si="122"/>
        <v>5.43</v>
      </c>
      <c r="J219" s="562"/>
      <c r="K219" s="562"/>
      <c r="L219" s="562"/>
      <c r="X219" s="436"/>
      <c r="Y219" s="436"/>
      <c r="Z219" s="436"/>
      <c r="AA219" s="436"/>
      <c r="AB219" s="436"/>
      <c r="AC219" s="436"/>
      <c r="AD219" s="436"/>
      <c r="AE219" s="436"/>
      <c r="AF219" s="436"/>
    </row>
    <row r="220" spans="1:32" x14ac:dyDescent="0.25">
      <c r="A220" s="847">
        <v>1500</v>
      </c>
      <c r="B220" s="1152">
        <f t="shared" si="122"/>
        <v>6.51</v>
      </c>
      <c r="C220" s="1152">
        <f t="shared" si="122"/>
        <v>6.51</v>
      </c>
      <c r="D220" s="1152">
        <f t="shared" si="122"/>
        <v>6.51</v>
      </c>
      <c r="E220" s="1152">
        <f t="shared" si="122"/>
        <v>6.51</v>
      </c>
      <c r="F220" s="1152">
        <f t="shared" si="122"/>
        <v>6.51</v>
      </c>
      <c r="G220" s="1152">
        <f t="shared" si="122"/>
        <v>6.51</v>
      </c>
      <c r="H220" s="1152">
        <f t="shared" si="122"/>
        <v>6.51</v>
      </c>
      <c r="I220" s="1152">
        <f t="shared" si="122"/>
        <v>6.51</v>
      </c>
      <c r="J220" s="562"/>
      <c r="K220" s="562"/>
      <c r="L220" s="562"/>
      <c r="X220" s="436"/>
      <c r="Y220" s="436"/>
      <c r="Z220" s="436"/>
      <c r="AA220" s="436"/>
      <c r="AB220" s="1131"/>
      <c r="AC220" s="436"/>
      <c r="AD220" s="436"/>
      <c r="AE220" s="1131" t="s">
        <v>1299</v>
      </c>
      <c r="AF220" s="436"/>
    </row>
    <row r="221" spans="1:32" ht="38.25" x14ac:dyDescent="0.25">
      <c r="A221" s="847">
        <v>2000</v>
      </c>
      <c r="B221" s="1152">
        <f t="shared" si="122"/>
        <v>7.6</v>
      </c>
      <c r="C221" s="1152">
        <f t="shared" si="122"/>
        <v>7.6</v>
      </c>
      <c r="D221" s="1152">
        <f t="shared" si="122"/>
        <v>7.6</v>
      </c>
      <c r="E221" s="1152">
        <f t="shared" si="122"/>
        <v>7.6</v>
      </c>
      <c r="F221" s="1152">
        <f t="shared" si="122"/>
        <v>7.6</v>
      </c>
      <c r="G221" s="1152">
        <f t="shared" si="122"/>
        <v>7.6</v>
      </c>
      <c r="H221" s="1152">
        <f t="shared" si="122"/>
        <v>7.6</v>
      </c>
      <c r="I221" s="1152">
        <f t="shared" si="122"/>
        <v>7.6</v>
      </c>
      <c r="J221" s="562"/>
      <c r="K221" s="562"/>
      <c r="L221" s="562"/>
      <c r="X221" s="948" t="s">
        <v>816</v>
      </c>
      <c r="Y221" s="648" t="s">
        <v>817</v>
      </c>
      <c r="Z221" s="436"/>
      <c r="AA221" s="948" t="s">
        <v>818</v>
      </c>
      <c r="AB221" s="648" t="s">
        <v>815</v>
      </c>
      <c r="AC221" s="436"/>
      <c r="AD221" s="948" t="s">
        <v>658</v>
      </c>
      <c r="AE221" s="648" t="s">
        <v>815</v>
      </c>
      <c r="AF221" s="436"/>
    </row>
    <row r="222" spans="1:32" x14ac:dyDescent="0.25">
      <c r="A222" s="847">
        <v>2500</v>
      </c>
      <c r="B222" s="1152">
        <f t="shared" si="122"/>
        <v>9.77</v>
      </c>
      <c r="C222" s="1152">
        <f t="shared" si="122"/>
        <v>9.77</v>
      </c>
      <c r="D222" s="1152">
        <f t="shared" si="122"/>
        <v>9.77</v>
      </c>
      <c r="E222" s="1152">
        <f t="shared" si="122"/>
        <v>9.77</v>
      </c>
      <c r="F222" s="1152">
        <f t="shared" si="122"/>
        <v>9.77</v>
      </c>
      <c r="G222" s="1152">
        <f t="shared" si="122"/>
        <v>9.77</v>
      </c>
      <c r="H222" s="1152">
        <f t="shared" si="122"/>
        <v>9.77</v>
      </c>
      <c r="I222" s="1152">
        <f t="shared" si="122"/>
        <v>9.77</v>
      </c>
      <c r="J222" s="562"/>
      <c r="K222" s="562"/>
      <c r="L222" s="562"/>
      <c r="X222" s="650" t="s">
        <v>925</v>
      </c>
      <c r="Y222" s="651">
        <v>1</v>
      </c>
      <c r="Z222" s="436"/>
      <c r="AA222" s="650" t="s">
        <v>107</v>
      </c>
      <c r="AB222" s="1138">
        <v>1.1000000000000001</v>
      </c>
      <c r="AC222" s="436"/>
      <c r="AD222" s="655" t="s">
        <v>781</v>
      </c>
      <c r="AE222" s="656">
        <v>1</v>
      </c>
      <c r="AF222" s="436"/>
    </row>
    <row r="223" spans="1:32" x14ac:dyDescent="0.25">
      <c r="A223" s="847">
        <v>3000</v>
      </c>
      <c r="B223" s="1152">
        <f t="shared" si="122"/>
        <v>10.85</v>
      </c>
      <c r="C223" s="1152">
        <f t="shared" si="122"/>
        <v>10.85</v>
      </c>
      <c r="D223" s="1152">
        <f t="shared" si="122"/>
        <v>10.85</v>
      </c>
      <c r="E223" s="1152">
        <f t="shared" si="122"/>
        <v>10.85</v>
      </c>
      <c r="F223" s="1152">
        <f t="shared" si="122"/>
        <v>10.85</v>
      </c>
      <c r="G223" s="1152">
        <f t="shared" si="122"/>
        <v>10.85</v>
      </c>
      <c r="H223" s="1152">
        <f t="shared" si="122"/>
        <v>10.85</v>
      </c>
      <c r="I223" s="1152">
        <f t="shared" si="122"/>
        <v>10.85</v>
      </c>
      <c r="J223" s="562"/>
      <c r="K223" s="562"/>
      <c r="L223" s="562"/>
      <c r="X223" s="650" t="s">
        <v>926</v>
      </c>
      <c r="Y223" s="651">
        <v>0.98</v>
      </c>
      <c r="Z223" s="436"/>
      <c r="AA223" s="653" t="s">
        <v>819</v>
      </c>
      <c r="AB223" s="1138">
        <v>1.05</v>
      </c>
      <c r="AC223" s="436"/>
      <c r="AD223" s="655" t="s">
        <v>1300</v>
      </c>
      <c r="AE223" s="656">
        <v>0.98</v>
      </c>
      <c r="AF223" s="436"/>
    </row>
    <row r="224" spans="1:32" x14ac:dyDescent="0.25">
      <c r="A224" s="847">
        <v>5000</v>
      </c>
      <c r="B224" s="1152">
        <f t="shared" si="122"/>
        <v>13.02</v>
      </c>
      <c r="C224" s="1152">
        <f t="shared" si="122"/>
        <v>13.02</v>
      </c>
      <c r="D224" s="1152">
        <f t="shared" si="122"/>
        <v>13.02</v>
      </c>
      <c r="E224" s="1152">
        <f t="shared" si="122"/>
        <v>13.02</v>
      </c>
      <c r="F224" s="1152">
        <f t="shared" si="122"/>
        <v>13.02</v>
      </c>
      <c r="G224" s="1152">
        <f t="shared" si="122"/>
        <v>13.02</v>
      </c>
      <c r="H224" s="1152">
        <f t="shared" si="122"/>
        <v>13.02</v>
      </c>
      <c r="I224" s="1152">
        <f t="shared" si="122"/>
        <v>13.02</v>
      </c>
      <c r="J224" s="562"/>
      <c r="K224" s="562"/>
      <c r="L224" s="562"/>
      <c r="X224" s="650" t="s">
        <v>927</v>
      </c>
      <c r="Y224" s="651">
        <v>0.96</v>
      </c>
      <c r="Z224" s="436"/>
      <c r="AA224" s="650" t="s">
        <v>820</v>
      </c>
      <c r="AB224" s="1138">
        <v>1.04</v>
      </c>
      <c r="AC224" s="436"/>
      <c r="AD224" s="655" t="s">
        <v>1301</v>
      </c>
      <c r="AE224" s="656">
        <v>0.98250000000000004</v>
      </c>
      <c r="AF224" s="436"/>
    </row>
    <row r="225" spans="1:32" x14ac:dyDescent="0.25">
      <c r="A225" s="847">
        <v>7500</v>
      </c>
      <c r="B225" s="1152">
        <f t="shared" si="122"/>
        <v>16.28</v>
      </c>
      <c r="C225" s="1152">
        <f t="shared" si="122"/>
        <v>16.28</v>
      </c>
      <c r="D225" s="1152">
        <f t="shared" si="122"/>
        <v>16.28</v>
      </c>
      <c r="E225" s="1152">
        <f t="shared" si="122"/>
        <v>16.28</v>
      </c>
      <c r="F225" s="1152">
        <f t="shared" si="122"/>
        <v>16.28</v>
      </c>
      <c r="G225" s="1152">
        <f t="shared" si="122"/>
        <v>16.28</v>
      </c>
      <c r="H225" s="1152">
        <f t="shared" si="122"/>
        <v>16.28</v>
      </c>
      <c r="I225" s="1152">
        <f t="shared" si="122"/>
        <v>16.28</v>
      </c>
      <c r="J225" s="562"/>
      <c r="K225" s="562"/>
      <c r="L225" s="562"/>
      <c r="X225" s="650" t="s">
        <v>928</v>
      </c>
      <c r="Y225" s="651">
        <v>0.94</v>
      </c>
      <c r="Z225" s="436"/>
      <c r="AA225" s="650" t="s">
        <v>821</v>
      </c>
      <c r="AB225" s="1138">
        <v>1.03</v>
      </c>
      <c r="AC225" s="436"/>
      <c r="AD225" s="655" t="s">
        <v>1302</v>
      </c>
      <c r="AE225" s="656">
        <v>0.98499999999999999</v>
      </c>
      <c r="AF225" s="436"/>
    </row>
    <row r="226" spans="1:32" x14ac:dyDescent="0.25">
      <c r="A226" s="847">
        <v>10000</v>
      </c>
      <c r="B226" s="1152">
        <f t="shared" si="122"/>
        <v>18.45</v>
      </c>
      <c r="C226" s="1152">
        <f t="shared" si="122"/>
        <v>18.45</v>
      </c>
      <c r="D226" s="1152">
        <f t="shared" si="122"/>
        <v>18.45</v>
      </c>
      <c r="E226" s="1152">
        <f t="shared" si="122"/>
        <v>18.45</v>
      </c>
      <c r="F226" s="1152">
        <f t="shared" si="122"/>
        <v>18.45</v>
      </c>
      <c r="G226" s="1152">
        <f t="shared" si="122"/>
        <v>18.45</v>
      </c>
      <c r="H226" s="1152">
        <f t="shared" si="122"/>
        <v>18.45</v>
      </c>
      <c r="I226" s="1152">
        <f t="shared" si="122"/>
        <v>18.45</v>
      </c>
      <c r="X226" s="650" t="s">
        <v>929</v>
      </c>
      <c r="Y226" s="651">
        <v>0.92</v>
      </c>
      <c r="Z226" s="436"/>
      <c r="AA226" s="653" t="s">
        <v>37</v>
      </c>
      <c r="AB226" s="1138">
        <v>1</v>
      </c>
      <c r="AC226" s="436"/>
      <c r="AD226" s="655" t="s">
        <v>1303</v>
      </c>
      <c r="AE226" s="656">
        <v>0.98750000000000004</v>
      </c>
      <c r="AF226" s="436"/>
    </row>
    <row r="227" spans="1:32" x14ac:dyDescent="0.25">
      <c r="A227" s="847">
        <v>15000</v>
      </c>
      <c r="B227" s="1152">
        <f t="shared" si="122"/>
        <v>22.79</v>
      </c>
      <c r="C227" s="1152">
        <f t="shared" si="122"/>
        <v>22.79</v>
      </c>
      <c r="D227" s="1152">
        <f t="shared" si="122"/>
        <v>22.79</v>
      </c>
      <c r="E227" s="1152">
        <f t="shared" si="122"/>
        <v>22.79</v>
      </c>
      <c r="F227" s="1152">
        <f t="shared" si="122"/>
        <v>22.79</v>
      </c>
      <c r="G227" s="1152">
        <f t="shared" si="122"/>
        <v>22.79</v>
      </c>
      <c r="H227" s="1152">
        <f t="shared" si="122"/>
        <v>22.79</v>
      </c>
      <c r="I227" s="1152">
        <f t="shared" si="122"/>
        <v>22.79</v>
      </c>
      <c r="X227" s="653" t="s">
        <v>822</v>
      </c>
      <c r="Y227" s="651">
        <v>0.997</v>
      </c>
      <c r="Z227" s="436"/>
      <c r="AA227" s="653" t="s">
        <v>823</v>
      </c>
      <c r="AB227" s="1138">
        <v>0.9819</v>
      </c>
      <c r="AC227" s="436"/>
      <c r="AD227" s="655" t="s">
        <v>1304</v>
      </c>
      <c r="AE227" s="656">
        <v>0.99</v>
      </c>
      <c r="AF227" s="436"/>
    </row>
    <row r="228" spans="1:32" x14ac:dyDescent="0.25">
      <c r="A228" s="847">
        <v>20000</v>
      </c>
      <c r="B228" s="1152">
        <f t="shared" si="122"/>
        <v>27.13</v>
      </c>
      <c r="C228" s="1152">
        <f t="shared" si="122"/>
        <v>27.13</v>
      </c>
      <c r="D228" s="1152">
        <f t="shared" si="122"/>
        <v>27.13</v>
      </c>
      <c r="E228" s="1152">
        <f t="shared" si="122"/>
        <v>27.13</v>
      </c>
      <c r="F228" s="1152">
        <f t="shared" si="122"/>
        <v>27.13</v>
      </c>
      <c r="G228" s="1152">
        <f t="shared" si="122"/>
        <v>27.13</v>
      </c>
      <c r="H228" s="1152">
        <f t="shared" si="122"/>
        <v>27.13</v>
      </c>
      <c r="I228" s="1152">
        <f t="shared" si="122"/>
        <v>27.13</v>
      </c>
      <c r="J228" s="562"/>
      <c r="K228" s="562"/>
      <c r="L228" s="562"/>
      <c r="X228" s="653" t="s">
        <v>819</v>
      </c>
      <c r="Y228" s="651">
        <v>0.99390000000000001</v>
      </c>
      <c r="Z228" s="436"/>
      <c r="AA228" s="653" t="s">
        <v>824</v>
      </c>
      <c r="AB228" s="1138">
        <v>0.9637</v>
      </c>
      <c r="AC228" s="436"/>
      <c r="AD228" s="655" t="s">
        <v>1305</v>
      </c>
      <c r="AE228" s="656">
        <v>0.99250000000000005</v>
      </c>
      <c r="AF228" s="436"/>
    </row>
    <row r="229" spans="1:32" x14ac:dyDescent="0.25">
      <c r="A229" s="847">
        <v>24000</v>
      </c>
      <c r="B229" s="1152">
        <f t="shared" si="122"/>
        <v>29.3</v>
      </c>
      <c r="C229" s="1152">
        <f t="shared" si="122"/>
        <v>29.3</v>
      </c>
      <c r="D229" s="1152">
        <f t="shared" si="122"/>
        <v>29.3</v>
      </c>
      <c r="E229" s="1152">
        <f t="shared" si="122"/>
        <v>29.3</v>
      </c>
      <c r="F229" s="1152">
        <f t="shared" si="122"/>
        <v>29.3</v>
      </c>
      <c r="G229" s="1152">
        <f t="shared" si="122"/>
        <v>29.3</v>
      </c>
      <c r="H229" s="1152">
        <f t="shared" si="122"/>
        <v>29.3</v>
      </c>
      <c r="I229" s="1152">
        <f t="shared" si="122"/>
        <v>29.3</v>
      </c>
      <c r="J229" s="562"/>
      <c r="K229" s="562"/>
      <c r="L229" s="562"/>
      <c r="X229" s="650" t="s">
        <v>820</v>
      </c>
      <c r="Y229" s="651">
        <v>0.99239999999999995</v>
      </c>
      <c r="Z229" s="436"/>
      <c r="AA229" s="650" t="s">
        <v>929</v>
      </c>
      <c r="AB229" s="1138">
        <v>0.96199999999999997</v>
      </c>
      <c r="AC229" s="436"/>
      <c r="AD229" s="655" t="s">
        <v>1306</v>
      </c>
      <c r="AE229" s="656">
        <v>0.995</v>
      </c>
      <c r="AF229" s="436"/>
    </row>
    <row r="230" spans="1:32" x14ac:dyDescent="0.25">
      <c r="B230" s="562"/>
      <c r="C230" s="562"/>
      <c r="D230" s="562"/>
      <c r="E230" s="562"/>
      <c r="F230" s="562"/>
      <c r="G230" s="562"/>
      <c r="H230" s="562"/>
      <c r="I230" s="562"/>
      <c r="J230" s="562"/>
      <c r="K230" s="562"/>
      <c r="L230" s="562"/>
      <c r="X230" s="650" t="s">
        <v>821</v>
      </c>
      <c r="Y230" s="651">
        <v>0.9909</v>
      </c>
      <c r="Z230" s="436"/>
      <c r="AA230" s="653" t="s">
        <v>825</v>
      </c>
      <c r="AB230" s="1138">
        <v>1.0429999999999999</v>
      </c>
      <c r="AC230" s="436"/>
      <c r="AD230" s="436"/>
      <c r="AE230" s="436"/>
      <c r="AF230" s="436"/>
    </row>
    <row r="231" spans="1:32" x14ac:dyDescent="0.25">
      <c r="A231" s="850" t="s">
        <v>1014</v>
      </c>
      <c r="B231" s="562"/>
      <c r="C231" s="562"/>
      <c r="D231" s="562"/>
      <c r="E231" s="562"/>
      <c r="F231" s="562"/>
      <c r="G231" s="562"/>
      <c r="H231" s="562"/>
      <c r="I231" s="562"/>
      <c r="J231" s="562"/>
      <c r="K231" s="562"/>
      <c r="L231" s="562"/>
      <c r="X231" s="653" t="s">
        <v>37</v>
      </c>
      <c r="Y231" s="651">
        <v>0.98480000000000001</v>
      </c>
      <c r="Z231" s="436"/>
      <c r="AA231" s="653" t="s">
        <v>344</v>
      </c>
      <c r="AB231" s="1138">
        <v>1.03</v>
      </c>
      <c r="AC231" s="436"/>
      <c r="AD231" s="436"/>
      <c r="AE231" s="436"/>
      <c r="AF231" s="436"/>
    </row>
    <row r="232" spans="1:32" x14ac:dyDescent="0.25">
      <c r="A232" s="857">
        <v>0</v>
      </c>
      <c r="K232" s="1506" t="s">
        <v>1291</v>
      </c>
      <c r="L232" s="1506"/>
      <c r="X232" s="653" t="s">
        <v>823</v>
      </c>
      <c r="Y232" s="651">
        <v>0.97719999999999996</v>
      </c>
      <c r="Z232" s="436"/>
      <c r="AA232" s="653" t="s">
        <v>345</v>
      </c>
      <c r="AB232" s="1138">
        <v>1.0249999999999999</v>
      </c>
      <c r="AC232" s="436"/>
      <c r="AD232" s="436"/>
      <c r="AE232" s="436"/>
      <c r="AF232" s="436"/>
    </row>
    <row r="233" spans="1:32" x14ac:dyDescent="0.25">
      <c r="A233" s="721" t="s">
        <v>916</v>
      </c>
      <c r="B233" s="574" t="s">
        <v>7</v>
      </c>
      <c r="C233" s="574" t="s">
        <v>21</v>
      </c>
      <c r="D233" s="584" t="str">
        <f>RN_Plus</f>
        <v>RN+</v>
      </c>
      <c r="E233" s="574" t="s">
        <v>28</v>
      </c>
      <c r="F233" s="574" t="s">
        <v>29</v>
      </c>
      <c r="G233" s="574" t="s">
        <v>1073</v>
      </c>
      <c r="H233" s="574" t="s">
        <v>34</v>
      </c>
      <c r="I233" s="574" t="s">
        <v>813</v>
      </c>
      <c r="K233" s="564" t="s">
        <v>755</v>
      </c>
      <c r="L233" s="564" t="s">
        <v>284</v>
      </c>
      <c r="X233" s="653" t="s">
        <v>824</v>
      </c>
      <c r="Y233" s="651">
        <v>0.96960000000000002</v>
      </c>
      <c r="Z233" s="436"/>
      <c r="AA233" s="653" t="s">
        <v>346</v>
      </c>
      <c r="AB233" s="1138">
        <v>1.02</v>
      </c>
      <c r="AC233" s="436"/>
      <c r="AD233" s="436"/>
      <c r="AE233" s="436"/>
      <c r="AF233" s="436"/>
    </row>
    <row r="234" spans="1:32" x14ac:dyDescent="0.25">
      <c r="A234" s="831" t="s">
        <v>130</v>
      </c>
      <c r="B234" s="854">
        <f>B264*$L$237</f>
        <v>0</v>
      </c>
      <c r="C234" s="854">
        <f t="shared" ref="C234:I234" si="123">C264*$L$237</f>
        <v>0</v>
      </c>
      <c r="D234" s="854">
        <f t="shared" si="123"/>
        <v>0</v>
      </c>
      <c r="E234" s="854">
        <f t="shared" si="123"/>
        <v>0</v>
      </c>
      <c r="F234" s="854">
        <f t="shared" si="123"/>
        <v>0</v>
      </c>
      <c r="G234" s="854">
        <f t="shared" si="123"/>
        <v>0</v>
      </c>
      <c r="H234" s="854">
        <f t="shared" si="123"/>
        <v>0</v>
      </c>
      <c r="I234" s="854">
        <f t="shared" si="123"/>
        <v>0</v>
      </c>
      <c r="K234" s="585" t="s">
        <v>1281</v>
      </c>
      <c r="L234" s="586">
        <v>0.87499999999999989</v>
      </c>
      <c r="X234" s="653" t="s">
        <v>826</v>
      </c>
      <c r="Y234" s="651">
        <v>0.99460000000000004</v>
      </c>
      <c r="Z234" s="436"/>
      <c r="AA234" s="653" t="s">
        <v>347</v>
      </c>
      <c r="AB234" s="1138">
        <v>1</v>
      </c>
      <c r="AC234" s="436"/>
      <c r="AD234" s="436"/>
      <c r="AE234" s="436"/>
      <c r="AF234" s="436"/>
    </row>
    <row r="235" spans="1:32" x14ac:dyDescent="0.25">
      <c r="A235" s="847">
        <v>800</v>
      </c>
      <c r="B235" s="854">
        <f t="shared" ref="B235:I235" si="124">B265*$L$237</f>
        <v>29.112499999999997</v>
      </c>
      <c r="C235" s="854">
        <f t="shared" si="124"/>
        <v>29.112499999999997</v>
      </c>
      <c r="D235" s="854">
        <f t="shared" si="124"/>
        <v>29.112499999999997</v>
      </c>
      <c r="E235" s="854">
        <f t="shared" si="124"/>
        <v>29.112499999999997</v>
      </c>
      <c r="F235" s="854">
        <f t="shared" si="124"/>
        <v>29.112499999999997</v>
      </c>
      <c r="G235" s="854">
        <f t="shared" si="124"/>
        <v>29.112499999999997</v>
      </c>
      <c r="H235" s="854">
        <f t="shared" si="124"/>
        <v>29.112499999999997</v>
      </c>
      <c r="I235" s="854">
        <f t="shared" si="124"/>
        <v>29.112499999999997</v>
      </c>
      <c r="K235" s="585" t="s">
        <v>753</v>
      </c>
      <c r="L235" s="586">
        <v>1</v>
      </c>
      <c r="X235" s="653" t="s">
        <v>827</v>
      </c>
      <c r="Y235" s="651">
        <v>0.98880000000000001</v>
      </c>
      <c r="Z235" s="436"/>
      <c r="AA235" s="653" t="s">
        <v>348</v>
      </c>
      <c r="AB235" s="1138">
        <v>0.98550000000000004</v>
      </c>
      <c r="AC235" s="436"/>
      <c r="AD235" s="436"/>
      <c r="AE235" s="436"/>
      <c r="AF235" s="436"/>
    </row>
    <row r="236" spans="1:32" x14ac:dyDescent="0.25">
      <c r="A236" s="847">
        <v>1000</v>
      </c>
      <c r="B236" s="854">
        <f t="shared" ref="B236:I236" si="125">B266*$L$237</f>
        <v>32.549999999999997</v>
      </c>
      <c r="C236" s="854">
        <f t="shared" si="125"/>
        <v>32.549999999999997</v>
      </c>
      <c r="D236" s="854">
        <f t="shared" si="125"/>
        <v>32.549999999999997</v>
      </c>
      <c r="E236" s="854">
        <f t="shared" si="125"/>
        <v>32.549999999999997</v>
      </c>
      <c r="F236" s="854">
        <f t="shared" si="125"/>
        <v>32.549999999999997</v>
      </c>
      <c r="G236" s="854">
        <f t="shared" si="125"/>
        <v>32.549999999999997</v>
      </c>
      <c r="H236" s="854">
        <f t="shared" si="125"/>
        <v>32.549999999999997</v>
      </c>
      <c r="I236" s="854">
        <f t="shared" si="125"/>
        <v>32.549999999999997</v>
      </c>
      <c r="K236" s="585" t="s">
        <v>754</v>
      </c>
      <c r="L236" s="587">
        <v>1.125</v>
      </c>
      <c r="X236" s="653" t="s">
        <v>828</v>
      </c>
      <c r="Y236" s="651">
        <v>0.98570000000000002</v>
      </c>
      <c r="Z236" s="436"/>
      <c r="AA236" s="653" t="s">
        <v>349</v>
      </c>
      <c r="AB236" s="1138">
        <v>0.98219999999999996</v>
      </c>
      <c r="AC236" s="436"/>
      <c r="AD236" s="436"/>
      <c r="AE236" s="436"/>
      <c r="AF236" s="436"/>
    </row>
    <row r="237" spans="1:32" x14ac:dyDescent="0.25">
      <c r="A237" s="847">
        <v>1500</v>
      </c>
      <c r="B237" s="854">
        <f t="shared" ref="B237:I237" si="126">B267*$L$237</f>
        <v>48.825000000000003</v>
      </c>
      <c r="C237" s="854">
        <f t="shared" si="126"/>
        <v>48.825000000000003</v>
      </c>
      <c r="D237" s="854">
        <f t="shared" si="126"/>
        <v>48.825000000000003</v>
      </c>
      <c r="E237" s="854">
        <f t="shared" si="126"/>
        <v>48.825000000000003</v>
      </c>
      <c r="F237" s="854">
        <f t="shared" si="126"/>
        <v>48.825000000000003</v>
      </c>
      <c r="G237" s="854">
        <f t="shared" si="126"/>
        <v>48.825000000000003</v>
      </c>
      <c r="H237" s="854">
        <f t="shared" si="126"/>
        <v>48.825000000000003</v>
      </c>
      <c r="I237" s="854">
        <f t="shared" si="126"/>
        <v>48.825000000000003</v>
      </c>
      <c r="K237" s="585" t="s">
        <v>1272</v>
      </c>
      <c r="L237" s="587">
        <v>1.25</v>
      </c>
      <c r="X237" s="653" t="s">
        <v>347</v>
      </c>
      <c r="Y237" s="651">
        <v>0.98529999999999995</v>
      </c>
      <c r="Z237" s="436"/>
      <c r="AA237" s="650" t="s">
        <v>927</v>
      </c>
      <c r="AB237" s="1139">
        <v>1.085</v>
      </c>
      <c r="AC237" s="436"/>
      <c r="AD237" s="436"/>
      <c r="AE237" s="436"/>
      <c r="AF237" s="436"/>
    </row>
    <row r="238" spans="1:32" ht="25.5" x14ac:dyDescent="0.25">
      <c r="A238" s="847">
        <v>2000</v>
      </c>
      <c r="B238" s="854">
        <f t="shared" ref="B238:I238" si="127">B268*$L$237</f>
        <v>65.099999999999994</v>
      </c>
      <c r="C238" s="854">
        <f t="shared" si="127"/>
        <v>65.099999999999994</v>
      </c>
      <c r="D238" s="854">
        <f t="shared" si="127"/>
        <v>65.099999999999994</v>
      </c>
      <c r="E238" s="854">
        <f t="shared" si="127"/>
        <v>65.099999999999994</v>
      </c>
      <c r="F238" s="854">
        <f t="shared" si="127"/>
        <v>65.099999999999994</v>
      </c>
      <c r="G238" s="854">
        <f t="shared" si="127"/>
        <v>65.099999999999994</v>
      </c>
      <c r="H238" s="854">
        <f t="shared" si="127"/>
        <v>65.099999999999994</v>
      </c>
      <c r="I238" s="854">
        <f t="shared" si="127"/>
        <v>65.099999999999994</v>
      </c>
      <c r="X238" s="436"/>
      <c r="Y238" s="436"/>
      <c r="Z238" s="436"/>
      <c r="AA238" s="653" t="s">
        <v>650</v>
      </c>
      <c r="AB238" s="1138">
        <v>1.05</v>
      </c>
      <c r="AC238" s="436"/>
      <c r="AD238" s="948" t="s">
        <v>108</v>
      </c>
      <c r="AE238" s="648" t="s">
        <v>815</v>
      </c>
      <c r="AF238" s="1131"/>
    </row>
    <row r="239" spans="1:32" ht="38.25" x14ac:dyDescent="0.25">
      <c r="A239" s="847">
        <v>2500</v>
      </c>
      <c r="B239" s="854">
        <f t="shared" ref="B239:I239" si="128">B269*$L$237</f>
        <v>81.375</v>
      </c>
      <c r="C239" s="854">
        <f t="shared" si="128"/>
        <v>81.375</v>
      </c>
      <c r="D239" s="854">
        <f t="shared" si="128"/>
        <v>81.375</v>
      </c>
      <c r="E239" s="854">
        <f t="shared" si="128"/>
        <v>81.375</v>
      </c>
      <c r="F239" s="854">
        <f t="shared" si="128"/>
        <v>81.375</v>
      </c>
      <c r="G239" s="854">
        <f t="shared" si="128"/>
        <v>81.375</v>
      </c>
      <c r="H239" s="854">
        <f t="shared" si="128"/>
        <v>81.375</v>
      </c>
      <c r="I239" s="854">
        <f t="shared" si="128"/>
        <v>81.375</v>
      </c>
      <c r="X239" s="948" t="s">
        <v>1307</v>
      </c>
      <c r="Y239" s="648" t="s">
        <v>829</v>
      </c>
      <c r="Z239" s="436"/>
      <c r="AA239" s="653" t="s">
        <v>651</v>
      </c>
      <c r="AB239" s="1138">
        <v>1.04</v>
      </c>
      <c r="AC239" s="436"/>
      <c r="AD239" s="644">
        <v>0</v>
      </c>
      <c r="AE239" s="657">
        <v>1</v>
      </c>
      <c r="AF239" s="436"/>
    </row>
    <row r="240" spans="1:32" x14ac:dyDescent="0.25">
      <c r="A240" s="847">
        <v>3000</v>
      </c>
      <c r="B240" s="854">
        <f t="shared" ref="B240:I240" si="129">B270*$L$237</f>
        <v>97.65</v>
      </c>
      <c r="C240" s="854">
        <f t="shared" si="129"/>
        <v>97.65</v>
      </c>
      <c r="D240" s="854">
        <f t="shared" si="129"/>
        <v>97.65</v>
      </c>
      <c r="E240" s="854">
        <f t="shared" si="129"/>
        <v>97.65</v>
      </c>
      <c r="F240" s="854">
        <f t="shared" si="129"/>
        <v>97.65</v>
      </c>
      <c r="G240" s="854">
        <f t="shared" si="129"/>
        <v>97.65</v>
      </c>
      <c r="H240" s="854">
        <f t="shared" si="129"/>
        <v>97.65</v>
      </c>
      <c r="I240" s="854">
        <f t="shared" si="129"/>
        <v>97.65</v>
      </c>
      <c r="X240" s="650">
        <v>0</v>
      </c>
      <c r="Y240" s="654">
        <v>1</v>
      </c>
      <c r="Z240" s="436"/>
      <c r="AA240" s="653" t="s">
        <v>652</v>
      </c>
      <c r="AB240" s="1138">
        <v>1.03</v>
      </c>
      <c r="AC240" s="436"/>
      <c r="AD240" s="658">
        <v>0.05</v>
      </c>
      <c r="AE240" s="657">
        <v>0.99</v>
      </c>
      <c r="AF240" s="436"/>
    </row>
    <row r="241" spans="1:32" x14ac:dyDescent="0.25">
      <c r="A241" s="847">
        <v>3500</v>
      </c>
      <c r="B241" s="854">
        <f t="shared" ref="B241:I241" si="130">B271*$L$237</f>
        <v>113.925</v>
      </c>
      <c r="C241" s="854">
        <f t="shared" si="130"/>
        <v>113.925</v>
      </c>
      <c r="D241" s="854">
        <f t="shared" si="130"/>
        <v>113.925</v>
      </c>
      <c r="E241" s="854">
        <f t="shared" si="130"/>
        <v>113.925</v>
      </c>
      <c r="F241" s="854">
        <f t="shared" si="130"/>
        <v>113.925</v>
      </c>
      <c r="G241" s="854">
        <f t="shared" si="130"/>
        <v>113.925</v>
      </c>
      <c r="H241" s="854">
        <f t="shared" si="130"/>
        <v>113.925</v>
      </c>
      <c r="I241" s="854">
        <f t="shared" si="130"/>
        <v>113.925</v>
      </c>
      <c r="X241" s="653">
        <v>0.05</v>
      </c>
      <c r="Y241" s="654">
        <v>0.99</v>
      </c>
      <c r="Z241" s="436"/>
      <c r="AA241" s="653" t="s">
        <v>653</v>
      </c>
      <c r="AB241" s="1138">
        <v>1.0249999999999999</v>
      </c>
      <c r="AC241" s="436"/>
      <c r="AD241" s="644">
        <v>0.1</v>
      </c>
      <c r="AE241" s="657">
        <v>0.98</v>
      </c>
      <c r="AF241" s="436"/>
    </row>
    <row r="242" spans="1:32" x14ac:dyDescent="0.25">
      <c r="A242" s="847">
        <v>5000</v>
      </c>
      <c r="B242" s="854">
        <f t="shared" ref="B242:I242" si="131">B272*$L$237</f>
        <v>162.75</v>
      </c>
      <c r="C242" s="854">
        <f t="shared" si="131"/>
        <v>162.75</v>
      </c>
      <c r="D242" s="854">
        <f t="shared" si="131"/>
        <v>162.75</v>
      </c>
      <c r="E242" s="854">
        <f t="shared" si="131"/>
        <v>162.75</v>
      </c>
      <c r="F242" s="854">
        <f t="shared" si="131"/>
        <v>162.75</v>
      </c>
      <c r="G242" s="854">
        <f t="shared" si="131"/>
        <v>162.75</v>
      </c>
      <c r="H242" s="854">
        <f t="shared" si="131"/>
        <v>162.75</v>
      </c>
      <c r="I242" s="854">
        <f t="shared" si="131"/>
        <v>162.75</v>
      </c>
      <c r="X242" s="650">
        <v>0.1</v>
      </c>
      <c r="Y242" s="654">
        <v>0.98</v>
      </c>
      <c r="Z242" s="436"/>
      <c r="AA242" s="653" t="s">
        <v>654</v>
      </c>
      <c r="AB242" s="1138">
        <v>1.01</v>
      </c>
      <c r="AC242" s="436"/>
      <c r="AD242" s="644">
        <v>0.15</v>
      </c>
      <c r="AE242" s="657">
        <v>0.97</v>
      </c>
      <c r="AF242" s="436"/>
    </row>
    <row r="243" spans="1:32" x14ac:dyDescent="0.25">
      <c r="A243" s="847">
        <v>7500</v>
      </c>
      <c r="B243" s="854">
        <f t="shared" ref="B243:I243" si="132">B273*$L$237</f>
        <v>244.125</v>
      </c>
      <c r="C243" s="854">
        <f t="shared" si="132"/>
        <v>244.125</v>
      </c>
      <c r="D243" s="854">
        <f t="shared" si="132"/>
        <v>244.125</v>
      </c>
      <c r="E243" s="854">
        <f t="shared" si="132"/>
        <v>244.125</v>
      </c>
      <c r="F243" s="854">
        <f t="shared" si="132"/>
        <v>244.125</v>
      </c>
      <c r="G243" s="854">
        <f t="shared" si="132"/>
        <v>244.125</v>
      </c>
      <c r="H243" s="854">
        <f t="shared" si="132"/>
        <v>244.125</v>
      </c>
      <c r="I243" s="854">
        <f t="shared" si="132"/>
        <v>244.125</v>
      </c>
      <c r="X243" s="650">
        <v>0.15</v>
      </c>
      <c r="Y243" s="654">
        <v>0.97</v>
      </c>
      <c r="Z243" s="436"/>
      <c r="AA243" s="653" t="s">
        <v>655</v>
      </c>
      <c r="AB243" s="1138">
        <v>1.0097</v>
      </c>
      <c r="AC243" s="436"/>
      <c r="AD243" s="658">
        <v>0.2</v>
      </c>
      <c r="AE243" s="657">
        <v>0.96</v>
      </c>
      <c r="AF243" s="436"/>
    </row>
    <row r="244" spans="1:32" x14ac:dyDescent="0.25">
      <c r="A244" s="847">
        <v>10000</v>
      </c>
      <c r="B244" s="854">
        <f t="shared" ref="B244:I244" si="133">B274*$L$237</f>
        <v>325.5</v>
      </c>
      <c r="C244" s="854">
        <f t="shared" si="133"/>
        <v>325.5</v>
      </c>
      <c r="D244" s="854">
        <f t="shared" si="133"/>
        <v>325.5</v>
      </c>
      <c r="E244" s="854">
        <f t="shared" si="133"/>
        <v>325.5</v>
      </c>
      <c r="F244" s="854">
        <f t="shared" si="133"/>
        <v>325.5</v>
      </c>
      <c r="G244" s="854">
        <f t="shared" si="133"/>
        <v>325.5</v>
      </c>
      <c r="H244" s="854">
        <f t="shared" si="133"/>
        <v>325.5</v>
      </c>
      <c r="I244" s="854">
        <f t="shared" si="133"/>
        <v>325.5</v>
      </c>
      <c r="X244" s="653">
        <v>0.2</v>
      </c>
      <c r="Y244" s="654">
        <v>0.96</v>
      </c>
      <c r="Z244" s="436"/>
      <c r="AA244" s="436"/>
      <c r="AB244" s="436"/>
      <c r="AC244" s="436"/>
      <c r="AD244" s="644">
        <v>0.25</v>
      </c>
      <c r="AE244" s="657">
        <v>0.95</v>
      </c>
      <c r="AF244" s="436"/>
    </row>
    <row r="245" spans="1:32" x14ac:dyDescent="0.25">
      <c r="A245" s="847">
        <v>15000</v>
      </c>
      <c r="B245" s="854">
        <f t="shared" ref="B245:I245" si="134">B275*$L$237</f>
        <v>488.25</v>
      </c>
      <c r="C245" s="854">
        <f t="shared" si="134"/>
        <v>488.25</v>
      </c>
      <c r="D245" s="854">
        <f t="shared" si="134"/>
        <v>488.25</v>
      </c>
      <c r="E245" s="854">
        <f t="shared" si="134"/>
        <v>488.25</v>
      </c>
      <c r="F245" s="854">
        <f t="shared" si="134"/>
        <v>488.25</v>
      </c>
      <c r="G245" s="854">
        <f t="shared" si="134"/>
        <v>488.25</v>
      </c>
      <c r="H245" s="854">
        <f t="shared" si="134"/>
        <v>488.25</v>
      </c>
      <c r="I245" s="854">
        <f t="shared" si="134"/>
        <v>488.25</v>
      </c>
      <c r="X245" s="436"/>
      <c r="Y245" s="436"/>
      <c r="Z245" s="436"/>
      <c r="AA245" s="436"/>
      <c r="AB245" s="436"/>
      <c r="AC245" s="436"/>
      <c r="AD245" s="658">
        <v>0.3</v>
      </c>
      <c r="AE245" s="657">
        <v>0.94</v>
      </c>
      <c r="AF245" s="436"/>
    </row>
    <row r="246" spans="1:32" x14ac:dyDescent="0.25">
      <c r="A246" s="1119" t="s">
        <v>1290</v>
      </c>
    </row>
    <row r="247" spans="1:32" x14ac:dyDescent="0.25">
      <c r="A247" s="857">
        <v>0.1</v>
      </c>
    </row>
    <row r="248" spans="1:32" ht="20.25" x14ac:dyDescent="0.25">
      <c r="A248" s="721" t="s">
        <v>916</v>
      </c>
      <c r="B248" s="574" t="s">
        <v>7</v>
      </c>
      <c r="C248" s="574" t="s">
        <v>21</v>
      </c>
      <c r="D248" s="584" t="s">
        <v>1045</v>
      </c>
      <c r="E248" s="574" t="s">
        <v>28</v>
      </c>
      <c r="F248" s="574" t="s">
        <v>29</v>
      </c>
      <c r="G248" s="574" t="s">
        <v>1073</v>
      </c>
      <c r="H248" s="574" t="s">
        <v>34</v>
      </c>
      <c r="I248" s="574" t="s">
        <v>813</v>
      </c>
      <c r="X248" s="1098" t="s">
        <v>1308</v>
      </c>
      <c r="Y248" s="1092"/>
      <c r="Z248" s="1092"/>
      <c r="AA248" s="1092"/>
      <c r="AB248" s="1092"/>
      <c r="AC248" s="1092"/>
      <c r="AD248" s="1092"/>
      <c r="AE248" s="1092"/>
    </row>
    <row r="249" spans="1:32" x14ac:dyDescent="0.25">
      <c r="A249" s="831" t="s">
        <v>130</v>
      </c>
      <c r="B249" s="854">
        <f>B264*$L$236</f>
        <v>0</v>
      </c>
      <c r="C249" s="854">
        <f t="shared" ref="C249:I249" si="135">C264*$L$236</f>
        <v>0</v>
      </c>
      <c r="D249" s="854">
        <f t="shared" si="135"/>
        <v>0</v>
      </c>
      <c r="E249" s="854">
        <f t="shared" si="135"/>
        <v>0</v>
      </c>
      <c r="F249" s="854">
        <f t="shared" si="135"/>
        <v>0</v>
      </c>
      <c r="G249" s="854">
        <f t="shared" si="135"/>
        <v>0</v>
      </c>
      <c r="H249" s="854">
        <f t="shared" si="135"/>
        <v>0</v>
      </c>
      <c r="I249" s="854">
        <f t="shared" si="135"/>
        <v>0</v>
      </c>
      <c r="X249" s="436"/>
      <c r="Y249" s="436"/>
      <c r="Z249" s="436"/>
      <c r="AA249" s="436"/>
      <c r="AB249" s="436"/>
      <c r="AC249" s="436"/>
      <c r="AD249" s="436"/>
      <c r="AE249" s="436"/>
    </row>
    <row r="250" spans="1:32" x14ac:dyDescent="0.25">
      <c r="A250" s="847">
        <v>800</v>
      </c>
      <c r="B250" s="854">
        <f t="shared" ref="B250:I250" si="136">B265*$L$236</f>
        <v>26.201249999999998</v>
      </c>
      <c r="C250" s="854">
        <f t="shared" si="136"/>
        <v>26.201249999999998</v>
      </c>
      <c r="D250" s="854">
        <f t="shared" si="136"/>
        <v>26.201249999999998</v>
      </c>
      <c r="E250" s="854">
        <f t="shared" si="136"/>
        <v>26.201249999999998</v>
      </c>
      <c r="F250" s="854">
        <f t="shared" si="136"/>
        <v>26.201249999999998</v>
      </c>
      <c r="G250" s="854">
        <f t="shared" si="136"/>
        <v>26.201249999999998</v>
      </c>
      <c r="H250" s="854">
        <f t="shared" si="136"/>
        <v>26.201249999999998</v>
      </c>
      <c r="I250" s="854">
        <f t="shared" si="136"/>
        <v>26.201249999999998</v>
      </c>
      <c r="X250" s="436" t="s">
        <v>1309</v>
      </c>
      <c r="Y250" s="436"/>
      <c r="Z250" s="436"/>
      <c r="AA250" s="436"/>
      <c r="AB250" s="436"/>
      <c r="AC250" s="436"/>
      <c r="AD250" s="436"/>
      <c r="AE250" s="436"/>
    </row>
    <row r="251" spans="1:32" x14ac:dyDescent="0.25">
      <c r="A251" s="847">
        <v>1000</v>
      </c>
      <c r="B251" s="854">
        <f t="shared" ref="B251:I251" si="137">B266*$L$236</f>
        <v>29.294999999999998</v>
      </c>
      <c r="C251" s="854">
        <f t="shared" si="137"/>
        <v>29.294999999999998</v>
      </c>
      <c r="D251" s="854">
        <f t="shared" si="137"/>
        <v>29.294999999999998</v>
      </c>
      <c r="E251" s="854">
        <f t="shared" si="137"/>
        <v>29.294999999999998</v>
      </c>
      <c r="F251" s="854">
        <f t="shared" si="137"/>
        <v>29.294999999999998</v>
      </c>
      <c r="G251" s="854">
        <f t="shared" si="137"/>
        <v>29.294999999999998</v>
      </c>
      <c r="H251" s="854">
        <f t="shared" si="137"/>
        <v>29.294999999999998</v>
      </c>
      <c r="I251" s="854">
        <f t="shared" si="137"/>
        <v>29.294999999999998</v>
      </c>
      <c r="X251" s="436" t="s">
        <v>1310</v>
      </c>
      <c r="Y251" s="436"/>
      <c r="Z251" s="436"/>
      <c r="AA251" s="436"/>
      <c r="AB251" s="436"/>
      <c r="AC251" s="436"/>
      <c r="AD251" s="436"/>
      <c r="AE251" s="436"/>
    </row>
    <row r="252" spans="1:32" x14ac:dyDescent="0.25">
      <c r="A252" s="847">
        <v>1500</v>
      </c>
      <c r="B252" s="854">
        <f t="shared" ref="B252:I252" si="138">B267*$L$236</f>
        <v>43.942500000000003</v>
      </c>
      <c r="C252" s="854">
        <f t="shared" si="138"/>
        <v>43.942500000000003</v>
      </c>
      <c r="D252" s="854">
        <f t="shared" si="138"/>
        <v>43.942500000000003</v>
      </c>
      <c r="E252" s="854">
        <f t="shared" si="138"/>
        <v>43.942500000000003</v>
      </c>
      <c r="F252" s="854">
        <f t="shared" si="138"/>
        <v>43.942500000000003</v>
      </c>
      <c r="G252" s="854">
        <f t="shared" si="138"/>
        <v>43.942500000000003</v>
      </c>
      <c r="H252" s="854">
        <f t="shared" si="138"/>
        <v>43.942500000000003</v>
      </c>
      <c r="I252" s="854">
        <f t="shared" si="138"/>
        <v>43.942500000000003</v>
      </c>
      <c r="X252" s="1140" t="s">
        <v>1311</v>
      </c>
      <c r="Y252" s="1140" t="s">
        <v>1312</v>
      </c>
      <c r="Z252" s="436"/>
      <c r="AA252" s="436"/>
      <c r="AB252" s="436"/>
      <c r="AC252" s="436"/>
      <c r="AD252" s="436"/>
      <c r="AE252" s="436"/>
    </row>
    <row r="253" spans="1:32" x14ac:dyDescent="0.25">
      <c r="A253" s="847">
        <v>2000</v>
      </c>
      <c r="B253" s="854">
        <f t="shared" ref="B253:I253" si="139">B268*$L$236</f>
        <v>58.589999999999996</v>
      </c>
      <c r="C253" s="854">
        <f t="shared" si="139"/>
        <v>58.589999999999996</v>
      </c>
      <c r="D253" s="854">
        <f t="shared" si="139"/>
        <v>58.589999999999996</v>
      </c>
      <c r="E253" s="854">
        <f t="shared" si="139"/>
        <v>58.589999999999996</v>
      </c>
      <c r="F253" s="854">
        <f t="shared" si="139"/>
        <v>58.589999999999996</v>
      </c>
      <c r="G253" s="854">
        <f t="shared" si="139"/>
        <v>58.589999999999996</v>
      </c>
      <c r="H253" s="854">
        <f t="shared" si="139"/>
        <v>58.589999999999996</v>
      </c>
      <c r="I253" s="854">
        <f t="shared" si="139"/>
        <v>58.589999999999996</v>
      </c>
      <c r="X253" s="1140" t="s">
        <v>1313</v>
      </c>
      <c r="Y253" s="1140" t="s">
        <v>1314</v>
      </c>
      <c r="Z253" s="436"/>
      <c r="AA253" s="436"/>
      <c r="AB253" s="436"/>
      <c r="AC253" s="436"/>
      <c r="AD253" s="436"/>
      <c r="AE253" s="436"/>
    </row>
    <row r="254" spans="1:32" x14ac:dyDescent="0.25">
      <c r="A254" s="847">
        <v>2500</v>
      </c>
      <c r="B254" s="854">
        <f t="shared" ref="B254:I254" si="140">B269*$L$236</f>
        <v>73.237499999999997</v>
      </c>
      <c r="C254" s="854">
        <f t="shared" si="140"/>
        <v>73.237499999999997</v>
      </c>
      <c r="D254" s="854">
        <f t="shared" si="140"/>
        <v>73.237499999999997</v>
      </c>
      <c r="E254" s="854">
        <f t="shared" si="140"/>
        <v>73.237499999999997</v>
      </c>
      <c r="F254" s="854">
        <f t="shared" si="140"/>
        <v>73.237499999999997</v>
      </c>
      <c r="G254" s="854">
        <f t="shared" si="140"/>
        <v>73.237499999999997</v>
      </c>
      <c r="H254" s="854">
        <f t="shared" si="140"/>
        <v>73.237499999999997</v>
      </c>
      <c r="I254" s="854">
        <f t="shared" si="140"/>
        <v>73.237499999999997</v>
      </c>
      <c r="L254" s="856"/>
      <c r="M254" s="856"/>
      <c r="N254" s="856"/>
      <c r="O254" s="856"/>
      <c r="P254" s="856"/>
      <c r="X254" s="1141" t="s">
        <v>1315</v>
      </c>
      <c r="Y254" s="436"/>
      <c r="Z254" s="436"/>
      <c r="AA254" s="436"/>
      <c r="AB254" s="436"/>
      <c r="AC254" s="436"/>
      <c r="AD254" s="436"/>
      <c r="AE254" s="436"/>
    </row>
    <row r="255" spans="1:32" x14ac:dyDescent="0.25">
      <c r="A255" s="847">
        <v>3000</v>
      </c>
      <c r="B255" s="854">
        <f t="shared" ref="B255:I255" si="141">B270*$L$236</f>
        <v>87.885000000000005</v>
      </c>
      <c r="C255" s="854">
        <f t="shared" si="141"/>
        <v>87.885000000000005</v>
      </c>
      <c r="D255" s="854">
        <f t="shared" si="141"/>
        <v>87.885000000000005</v>
      </c>
      <c r="E255" s="854">
        <f t="shared" si="141"/>
        <v>87.885000000000005</v>
      </c>
      <c r="F255" s="854">
        <f t="shared" si="141"/>
        <v>87.885000000000005</v>
      </c>
      <c r="G255" s="854">
        <f t="shared" si="141"/>
        <v>87.885000000000005</v>
      </c>
      <c r="H255" s="854">
        <f t="shared" si="141"/>
        <v>87.885000000000005</v>
      </c>
      <c r="I255" s="854">
        <f t="shared" si="141"/>
        <v>87.885000000000005</v>
      </c>
      <c r="L255" s="856"/>
      <c r="M255" s="856"/>
      <c r="N255" s="856"/>
      <c r="O255" s="856"/>
      <c r="P255" s="856"/>
      <c r="X255" s="1142" t="s">
        <v>1316</v>
      </c>
      <c r="Y255" s="1143">
        <v>8.5000000000000006E-2</v>
      </c>
      <c r="Z255" s="436"/>
      <c r="AA255" s="436"/>
      <c r="AB255" s="436"/>
      <c r="AC255" s="436"/>
      <c r="AD255" s="436"/>
      <c r="AE255" s="436"/>
    </row>
    <row r="256" spans="1:32" x14ac:dyDescent="0.25">
      <c r="A256" s="847">
        <v>3500</v>
      </c>
      <c r="B256" s="854">
        <f t="shared" ref="B256:I256" si="142">B271*$L$236</f>
        <v>102.5325</v>
      </c>
      <c r="C256" s="854">
        <f t="shared" si="142"/>
        <v>102.5325</v>
      </c>
      <c r="D256" s="854">
        <f t="shared" si="142"/>
        <v>102.5325</v>
      </c>
      <c r="E256" s="854">
        <f t="shared" si="142"/>
        <v>102.5325</v>
      </c>
      <c r="F256" s="854">
        <f t="shared" si="142"/>
        <v>102.5325</v>
      </c>
      <c r="G256" s="854">
        <f t="shared" si="142"/>
        <v>102.5325</v>
      </c>
      <c r="H256" s="854">
        <f t="shared" si="142"/>
        <v>102.5325</v>
      </c>
      <c r="I256" s="854">
        <f t="shared" si="142"/>
        <v>102.5325</v>
      </c>
      <c r="L256" s="856"/>
      <c r="M256" s="856"/>
      <c r="N256" s="856"/>
      <c r="O256" s="856"/>
      <c r="P256" s="856"/>
      <c r="X256" s="1142" t="s">
        <v>772</v>
      </c>
      <c r="Y256" s="1144">
        <v>30</v>
      </c>
      <c r="Z256" s="436"/>
      <c r="AA256" s="436"/>
      <c r="AB256" s="436"/>
      <c r="AC256" s="436"/>
      <c r="AD256" s="436"/>
      <c r="AE256" s="436"/>
    </row>
    <row r="257" spans="1:36" x14ac:dyDescent="0.25">
      <c r="A257" s="847">
        <v>5000</v>
      </c>
      <c r="B257" s="854">
        <f t="shared" ref="B257:I257" si="143">B272*$L$236</f>
        <v>146.47499999999999</v>
      </c>
      <c r="C257" s="854">
        <f t="shared" si="143"/>
        <v>146.47499999999999</v>
      </c>
      <c r="D257" s="854">
        <f t="shared" si="143"/>
        <v>146.47499999999999</v>
      </c>
      <c r="E257" s="854">
        <f t="shared" si="143"/>
        <v>146.47499999999999</v>
      </c>
      <c r="F257" s="854">
        <f t="shared" si="143"/>
        <v>146.47499999999999</v>
      </c>
      <c r="G257" s="854">
        <f t="shared" si="143"/>
        <v>146.47499999999999</v>
      </c>
      <c r="H257" s="854">
        <f t="shared" si="143"/>
        <v>146.47499999999999</v>
      </c>
      <c r="I257" s="854">
        <f t="shared" si="143"/>
        <v>146.47499999999999</v>
      </c>
      <c r="L257" s="856"/>
      <c r="M257" s="856"/>
      <c r="N257" s="856"/>
      <c r="O257" s="856"/>
      <c r="P257" s="856"/>
      <c r="X257" s="1142" t="s">
        <v>773</v>
      </c>
      <c r="Y257" s="1144">
        <v>30</v>
      </c>
      <c r="Z257" s="436"/>
      <c r="AA257" s="436"/>
      <c r="AB257" s="436"/>
      <c r="AC257" s="436"/>
      <c r="AD257" s="436"/>
      <c r="AE257" s="436"/>
    </row>
    <row r="258" spans="1:36" x14ac:dyDescent="0.25">
      <c r="A258" s="847">
        <v>7500</v>
      </c>
      <c r="B258" s="854">
        <f t="shared" ref="B258:I258" si="144">B273*$L$236</f>
        <v>219.71250000000001</v>
      </c>
      <c r="C258" s="854">
        <f t="shared" si="144"/>
        <v>219.71250000000001</v>
      </c>
      <c r="D258" s="854">
        <f t="shared" si="144"/>
        <v>219.71250000000001</v>
      </c>
      <c r="E258" s="854">
        <f t="shared" si="144"/>
        <v>219.71250000000001</v>
      </c>
      <c r="F258" s="854">
        <f t="shared" si="144"/>
        <v>219.71250000000001</v>
      </c>
      <c r="G258" s="854">
        <f t="shared" si="144"/>
        <v>219.71250000000001</v>
      </c>
      <c r="H258" s="854">
        <f t="shared" si="144"/>
        <v>219.71250000000001</v>
      </c>
      <c r="I258" s="854">
        <f t="shared" si="144"/>
        <v>219.71250000000001</v>
      </c>
      <c r="L258" s="856"/>
      <c r="M258" s="856"/>
      <c r="N258" s="856"/>
      <c r="O258" s="856"/>
      <c r="P258" s="856"/>
      <c r="X258" s="1142" t="s">
        <v>712</v>
      </c>
      <c r="Y258" s="1143">
        <v>0.9</v>
      </c>
      <c r="Z258" s="436"/>
      <c r="AA258" s="436"/>
      <c r="AB258" s="436"/>
      <c r="AC258" s="436"/>
      <c r="AD258" s="436"/>
      <c r="AE258" s="436"/>
    </row>
    <row r="259" spans="1:36" ht="20.25" x14ac:dyDescent="0.25">
      <c r="A259" s="847">
        <v>10000</v>
      </c>
      <c r="B259" s="854">
        <f t="shared" ref="B259:I259" si="145">B274*$L$236</f>
        <v>292.95</v>
      </c>
      <c r="C259" s="854">
        <f t="shared" si="145"/>
        <v>292.95</v>
      </c>
      <c r="D259" s="854">
        <f t="shared" si="145"/>
        <v>292.95</v>
      </c>
      <c r="E259" s="854">
        <f t="shared" si="145"/>
        <v>292.95</v>
      </c>
      <c r="F259" s="854">
        <f t="shared" si="145"/>
        <v>292.95</v>
      </c>
      <c r="G259" s="854">
        <f t="shared" si="145"/>
        <v>292.95</v>
      </c>
      <c r="H259" s="854">
        <f t="shared" si="145"/>
        <v>292.95</v>
      </c>
      <c r="I259" s="854">
        <f t="shared" si="145"/>
        <v>292.95</v>
      </c>
      <c r="L259" s="856"/>
      <c r="M259" s="856"/>
      <c r="N259" s="856"/>
      <c r="O259" s="856"/>
      <c r="P259" s="856"/>
      <c r="X259" s="1098"/>
      <c r="Y259" s="1092"/>
      <c r="Z259" s="1092"/>
      <c r="AA259" s="1092"/>
      <c r="AB259" s="1092"/>
      <c r="AC259" s="1092"/>
      <c r="AD259" s="1092"/>
      <c r="AE259" s="1092"/>
    </row>
    <row r="260" spans="1:36" x14ac:dyDescent="0.25">
      <c r="A260" s="847">
        <v>15000</v>
      </c>
      <c r="B260" s="854">
        <f t="shared" ref="B260:I260" si="146">B275*$L$236</f>
        <v>439.42500000000001</v>
      </c>
      <c r="C260" s="854">
        <f t="shared" si="146"/>
        <v>439.42500000000001</v>
      </c>
      <c r="D260" s="854">
        <f t="shared" si="146"/>
        <v>439.42500000000001</v>
      </c>
      <c r="E260" s="854">
        <f t="shared" si="146"/>
        <v>439.42500000000001</v>
      </c>
      <c r="F260" s="854">
        <f t="shared" si="146"/>
        <v>439.42500000000001</v>
      </c>
      <c r="G260" s="854">
        <f t="shared" si="146"/>
        <v>439.42500000000001</v>
      </c>
      <c r="H260" s="854">
        <f t="shared" si="146"/>
        <v>439.42500000000001</v>
      </c>
      <c r="I260" s="854">
        <f t="shared" si="146"/>
        <v>439.42500000000001</v>
      </c>
      <c r="L260" s="856"/>
      <c r="M260" s="856"/>
      <c r="N260" s="856"/>
      <c r="O260" s="856"/>
      <c r="P260" s="856"/>
    </row>
    <row r="261" spans="1:36" x14ac:dyDescent="0.25">
      <c r="A261" s="1119" t="s">
        <v>1290</v>
      </c>
      <c r="L261" s="856"/>
      <c r="M261" s="856"/>
      <c r="N261" s="856"/>
      <c r="O261" s="856"/>
      <c r="P261" s="856"/>
    </row>
    <row r="262" spans="1:36" x14ac:dyDescent="0.25">
      <c r="A262" s="857">
        <v>0.2</v>
      </c>
      <c r="L262" s="856"/>
      <c r="M262" s="856"/>
      <c r="N262" s="856"/>
      <c r="O262" s="856"/>
      <c r="P262" s="856"/>
    </row>
    <row r="263" spans="1:36" x14ac:dyDescent="0.25">
      <c r="A263" s="721" t="s">
        <v>916</v>
      </c>
      <c r="B263" s="574" t="s">
        <v>7</v>
      </c>
      <c r="C263" s="574" t="s">
        <v>21</v>
      </c>
      <c r="D263" s="584" t="s">
        <v>1045</v>
      </c>
      <c r="E263" s="574" t="s">
        <v>28</v>
      </c>
      <c r="F263" s="574" t="s">
        <v>29</v>
      </c>
      <c r="G263" s="574" t="s">
        <v>1073</v>
      </c>
      <c r="H263" s="574" t="s">
        <v>34</v>
      </c>
      <c r="I263" s="574" t="s">
        <v>813</v>
      </c>
      <c r="L263" s="856"/>
      <c r="M263" s="856"/>
      <c r="N263" s="856"/>
      <c r="O263" s="856"/>
      <c r="P263" s="856"/>
    </row>
    <row r="264" spans="1:36" x14ac:dyDescent="0.25">
      <c r="A264" s="831" t="s">
        <v>130</v>
      </c>
      <c r="B264" s="854">
        <f>$AB132</f>
        <v>0</v>
      </c>
      <c r="C264" s="854">
        <f t="shared" ref="C264:I264" si="147">$AB132</f>
        <v>0</v>
      </c>
      <c r="D264" s="854">
        <f t="shared" si="147"/>
        <v>0</v>
      </c>
      <c r="E264" s="854">
        <f t="shared" si="147"/>
        <v>0</v>
      </c>
      <c r="F264" s="854">
        <f t="shared" si="147"/>
        <v>0</v>
      </c>
      <c r="G264" s="854">
        <f t="shared" si="147"/>
        <v>0</v>
      </c>
      <c r="H264" s="854">
        <f t="shared" si="147"/>
        <v>0</v>
      </c>
      <c r="I264" s="854">
        <f t="shared" si="147"/>
        <v>0</v>
      </c>
      <c r="L264" s="856"/>
      <c r="M264" s="856"/>
      <c r="N264" s="856"/>
      <c r="O264" s="856"/>
      <c r="P264" s="856"/>
    </row>
    <row r="265" spans="1:36" x14ac:dyDescent="0.25">
      <c r="A265" s="847">
        <v>800</v>
      </c>
      <c r="B265" s="854">
        <f t="shared" ref="B265:I275" si="148">$AB133</f>
        <v>23.29</v>
      </c>
      <c r="C265" s="854">
        <f t="shared" si="148"/>
        <v>23.29</v>
      </c>
      <c r="D265" s="854">
        <f t="shared" si="148"/>
        <v>23.29</v>
      </c>
      <c r="E265" s="854">
        <f t="shared" si="148"/>
        <v>23.29</v>
      </c>
      <c r="F265" s="854">
        <f t="shared" si="148"/>
        <v>23.29</v>
      </c>
      <c r="G265" s="854">
        <f t="shared" si="148"/>
        <v>23.29</v>
      </c>
      <c r="H265" s="854">
        <f t="shared" si="148"/>
        <v>23.29</v>
      </c>
      <c r="I265" s="854">
        <f t="shared" si="148"/>
        <v>23.29</v>
      </c>
      <c r="L265" s="856"/>
      <c r="M265" s="856"/>
      <c r="N265" s="856"/>
      <c r="O265" s="856"/>
      <c r="P265" s="856"/>
    </row>
    <row r="266" spans="1:36" x14ac:dyDescent="0.25">
      <c r="A266" s="847">
        <v>1000</v>
      </c>
      <c r="B266" s="854">
        <f t="shared" si="148"/>
        <v>26.04</v>
      </c>
      <c r="C266" s="854">
        <f t="shared" si="148"/>
        <v>26.04</v>
      </c>
      <c r="D266" s="854">
        <f t="shared" si="148"/>
        <v>26.04</v>
      </c>
      <c r="E266" s="854">
        <f t="shared" si="148"/>
        <v>26.04</v>
      </c>
      <c r="F266" s="854">
        <f t="shared" si="148"/>
        <v>26.04</v>
      </c>
      <c r="G266" s="854">
        <f t="shared" si="148"/>
        <v>26.04</v>
      </c>
      <c r="H266" s="854">
        <f t="shared" si="148"/>
        <v>26.04</v>
      </c>
      <c r="I266" s="854">
        <f t="shared" si="148"/>
        <v>26.04</v>
      </c>
      <c r="J266" s="853"/>
      <c r="L266" s="856"/>
      <c r="M266" s="856"/>
      <c r="N266" s="856"/>
      <c r="O266" s="856"/>
      <c r="P266" s="856"/>
    </row>
    <row r="267" spans="1:36" x14ac:dyDescent="0.25">
      <c r="A267" s="847">
        <v>1500</v>
      </c>
      <c r="B267" s="854">
        <f t="shared" si="148"/>
        <v>39.06</v>
      </c>
      <c r="C267" s="854">
        <f t="shared" si="148"/>
        <v>39.06</v>
      </c>
      <c r="D267" s="854">
        <f t="shared" si="148"/>
        <v>39.06</v>
      </c>
      <c r="E267" s="854">
        <f t="shared" si="148"/>
        <v>39.06</v>
      </c>
      <c r="F267" s="854">
        <f t="shared" si="148"/>
        <v>39.06</v>
      </c>
      <c r="G267" s="854">
        <f t="shared" si="148"/>
        <v>39.06</v>
      </c>
      <c r="H267" s="854">
        <f t="shared" si="148"/>
        <v>39.06</v>
      </c>
      <c r="I267" s="854">
        <f t="shared" si="148"/>
        <v>39.06</v>
      </c>
      <c r="J267" s="853"/>
      <c r="L267" s="856"/>
      <c r="M267" s="856"/>
      <c r="N267" s="856"/>
      <c r="O267" s="856"/>
      <c r="P267" s="856"/>
    </row>
    <row r="268" spans="1:36" x14ac:dyDescent="0.25">
      <c r="A268" s="847">
        <v>2000</v>
      </c>
      <c r="B268" s="854">
        <f t="shared" si="148"/>
        <v>52.08</v>
      </c>
      <c r="C268" s="854">
        <f t="shared" si="148"/>
        <v>52.08</v>
      </c>
      <c r="D268" s="854">
        <f t="shared" si="148"/>
        <v>52.08</v>
      </c>
      <c r="E268" s="854">
        <f t="shared" si="148"/>
        <v>52.08</v>
      </c>
      <c r="F268" s="854">
        <f t="shared" si="148"/>
        <v>52.08</v>
      </c>
      <c r="G268" s="854">
        <f t="shared" si="148"/>
        <v>52.08</v>
      </c>
      <c r="H268" s="854">
        <f t="shared" si="148"/>
        <v>52.08</v>
      </c>
      <c r="I268" s="854">
        <f t="shared" si="148"/>
        <v>52.08</v>
      </c>
      <c r="K268" s="856"/>
      <c r="L268" s="856"/>
      <c r="M268" s="856"/>
      <c r="N268" s="856"/>
      <c r="O268" s="856"/>
      <c r="P268" s="856"/>
      <c r="X268" s="637"/>
      <c r="Y268" s="637"/>
      <c r="Z268" s="637"/>
      <c r="AA268" s="637"/>
      <c r="AB268" s="637"/>
      <c r="AC268" s="637"/>
      <c r="AD268" s="637"/>
      <c r="AE268" s="637"/>
      <c r="AF268" s="635"/>
      <c r="AG268" s="637"/>
      <c r="AH268" s="637"/>
      <c r="AI268" s="637"/>
      <c r="AJ268" s="637"/>
    </row>
    <row r="269" spans="1:36" x14ac:dyDescent="0.25">
      <c r="A269" s="847">
        <v>2500</v>
      </c>
      <c r="B269" s="854">
        <f t="shared" si="148"/>
        <v>65.099999999999994</v>
      </c>
      <c r="C269" s="854">
        <f t="shared" si="148"/>
        <v>65.099999999999994</v>
      </c>
      <c r="D269" s="854">
        <f t="shared" si="148"/>
        <v>65.099999999999994</v>
      </c>
      <c r="E269" s="854">
        <f t="shared" si="148"/>
        <v>65.099999999999994</v>
      </c>
      <c r="F269" s="854">
        <f t="shared" si="148"/>
        <v>65.099999999999994</v>
      </c>
      <c r="G269" s="854">
        <f t="shared" si="148"/>
        <v>65.099999999999994</v>
      </c>
      <c r="H269" s="854">
        <f t="shared" si="148"/>
        <v>65.099999999999994</v>
      </c>
      <c r="I269" s="854">
        <f t="shared" si="148"/>
        <v>65.099999999999994</v>
      </c>
      <c r="K269" s="856"/>
      <c r="L269" s="856"/>
      <c r="M269" s="856"/>
      <c r="N269" s="856"/>
      <c r="O269" s="856"/>
      <c r="P269" s="856"/>
      <c r="X269" s="637"/>
      <c r="Y269" s="637"/>
      <c r="Z269" s="637"/>
      <c r="AA269" s="637"/>
      <c r="AB269" s="637"/>
      <c r="AC269" s="637"/>
      <c r="AD269" s="637"/>
      <c r="AE269" s="637"/>
      <c r="AF269" s="635"/>
      <c r="AG269" s="637"/>
      <c r="AH269" s="637"/>
      <c r="AI269" s="637"/>
      <c r="AJ269" s="637"/>
    </row>
    <row r="270" spans="1:36" x14ac:dyDescent="0.25">
      <c r="A270" s="847">
        <v>3000</v>
      </c>
      <c r="B270" s="854">
        <f t="shared" si="148"/>
        <v>78.12</v>
      </c>
      <c r="C270" s="854">
        <f t="shared" si="148"/>
        <v>78.12</v>
      </c>
      <c r="D270" s="854">
        <f t="shared" si="148"/>
        <v>78.12</v>
      </c>
      <c r="E270" s="854">
        <f t="shared" si="148"/>
        <v>78.12</v>
      </c>
      <c r="F270" s="854">
        <f t="shared" si="148"/>
        <v>78.12</v>
      </c>
      <c r="G270" s="854">
        <f t="shared" si="148"/>
        <v>78.12</v>
      </c>
      <c r="H270" s="854">
        <f t="shared" si="148"/>
        <v>78.12</v>
      </c>
      <c r="I270" s="854">
        <f t="shared" si="148"/>
        <v>78.12</v>
      </c>
      <c r="K270" s="856"/>
      <c r="L270" s="856"/>
      <c r="M270" s="856"/>
      <c r="X270" s="637"/>
      <c r="Y270" s="637"/>
      <c r="Z270" s="637"/>
      <c r="AA270" s="637"/>
      <c r="AB270" s="637"/>
      <c r="AC270" s="637"/>
      <c r="AD270" s="637"/>
      <c r="AE270" s="637"/>
      <c r="AF270" s="635"/>
      <c r="AG270" s="637"/>
      <c r="AH270" s="637"/>
      <c r="AI270" s="637"/>
      <c r="AJ270" s="637"/>
    </row>
    <row r="271" spans="1:36" x14ac:dyDescent="0.25">
      <c r="A271" s="847">
        <v>3500</v>
      </c>
      <c r="B271" s="854">
        <f t="shared" si="148"/>
        <v>91.14</v>
      </c>
      <c r="C271" s="854">
        <f t="shared" si="148"/>
        <v>91.14</v>
      </c>
      <c r="D271" s="854">
        <f t="shared" si="148"/>
        <v>91.14</v>
      </c>
      <c r="E271" s="854">
        <f t="shared" si="148"/>
        <v>91.14</v>
      </c>
      <c r="F271" s="854">
        <f t="shared" si="148"/>
        <v>91.14</v>
      </c>
      <c r="G271" s="854">
        <f t="shared" si="148"/>
        <v>91.14</v>
      </c>
      <c r="H271" s="854">
        <f t="shared" si="148"/>
        <v>91.14</v>
      </c>
      <c r="I271" s="854">
        <f t="shared" si="148"/>
        <v>91.14</v>
      </c>
      <c r="K271" s="856"/>
      <c r="L271" s="856"/>
      <c r="M271" s="856"/>
      <c r="X271" s="637"/>
      <c r="Y271" s="637"/>
      <c r="Z271" s="637"/>
      <c r="AA271" s="637"/>
      <c r="AB271" s="637"/>
      <c r="AC271" s="637"/>
      <c r="AD271" s="637"/>
      <c r="AE271" s="637"/>
      <c r="AF271" s="635"/>
      <c r="AG271" s="637"/>
      <c r="AH271" s="637"/>
      <c r="AI271" s="637"/>
      <c r="AJ271" s="637"/>
    </row>
    <row r="272" spans="1:36" x14ac:dyDescent="0.25">
      <c r="A272" s="847">
        <v>5000</v>
      </c>
      <c r="B272" s="854">
        <f t="shared" si="148"/>
        <v>130.19999999999999</v>
      </c>
      <c r="C272" s="854">
        <f t="shared" si="148"/>
        <v>130.19999999999999</v>
      </c>
      <c r="D272" s="854">
        <f t="shared" si="148"/>
        <v>130.19999999999999</v>
      </c>
      <c r="E272" s="854">
        <f t="shared" si="148"/>
        <v>130.19999999999999</v>
      </c>
      <c r="F272" s="854">
        <f t="shared" si="148"/>
        <v>130.19999999999999</v>
      </c>
      <c r="G272" s="854">
        <f t="shared" si="148"/>
        <v>130.19999999999999</v>
      </c>
      <c r="H272" s="854">
        <f t="shared" si="148"/>
        <v>130.19999999999999</v>
      </c>
      <c r="I272" s="854">
        <f t="shared" si="148"/>
        <v>130.19999999999999</v>
      </c>
      <c r="K272" s="856"/>
      <c r="L272" s="856"/>
      <c r="M272" s="856"/>
      <c r="X272" s="637"/>
      <c r="Y272" s="637"/>
      <c r="Z272" s="637"/>
      <c r="AA272" s="637"/>
      <c r="AB272" s="637"/>
      <c r="AC272" s="637"/>
      <c r="AD272" s="637"/>
      <c r="AE272" s="637"/>
      <c r="AF272" s="635"/>
      <c r="AG272" s="637"/>
      <c r="AH272" s="637"/>
      <c r="AI272" s="637"/>
      <c r="AJ272" s="637"/>
    </row>
    <row r="273" spans="1:36" x14ac:dyDescent="0.25">
      <c r="A273" s="847">
        <v>7500</v>
      </c>
      <c r="B273" s="854">
        <f t="shared" si="148"/>
        <v>195.3</v>
      </c>
      <c r="C273" s="854">
        <f t="shared" si="148"/>
        <v>195.3</v>
      </c>
      <c r="D273" s="854">
        <f t="shared" si="148"/>
        <v>195.3</v>
      </c>
      <c r="E273" s="854">
        <f t="shared" si="148"/>
        <v>195.3</v>
      </c>
      <c r="F273" s="854">
        <f t="shared" si="148"/>
        <v>195.3</v>
      </c>
      <c r="G273" s="854">
        <f t="shared" si="148"/>
        <v>195.3</v>
      </c>
      <c r="H273" s="854">
        <f t="shared" si="148"/>
        <v>195.3</v>
      </c>
      <c r="I273" s="854">
        <f t="shared" si="148"/>
        <v>195.3</v>
      </c>
      <c r="K273" s="856"/>
      <c r="L273" s="856"/>
      <c r="M273" s="856"/>
      <c r="X273" s="637"/>
      <c r="Y273" s="637"/>
      <c r="Z273" s="637"/>
      <c r="AA273" s="637"/>
      <c r="AB273" s="637"/>
      <c r="AC273" s="637"/>
      <c r="AD273" s="637"/>
      <c r="AE273" s="637"/>
      <c r="AF273" s="635"/>
      <c r="AG273" s="637"/>
      <c r="AH273" s="637"/>
      <c r="AI273" s="637"/>
      <c r="AJ273" s="637"/>
    </row>
    <row r="274" spans="1:36" x14ac:dyDescent="0.25">
      <c r="A274" s="847">
        <v>10000</v>
      </c>
      <c r="B274" s="854">
        <f t="shared" si="148"/>
        <v>260.39999999999998</v>
      </c>
      <c r="C274" s="854">
        <f t="shared" si="148"/>
        <v>260.39999999999998</v>
      </c>
      <c r="D274" s="854">
        <f t="shared" si="148"/>
        <v>260.39999999999998</v>
      </c>
      <c r="E274" s="854">
        <f t="shared" si="148"/>
        <v>260.39999999999998</v>
      </c>
      <c r="F274" s="854">
        <f t="shared" si="148"/>
        <v>260.39999999999998</v>
      </c>
      <c r="G274" s="854">
        <f t="shared" si="148"/>
        <v>260.39999999999998</v>
      </c>
      <c r="H274" s="854">
        <f t="shared" si="148"/>
        <v>260.39999999999998</v>
      </c>
      <c r="I274" s="854">
        <f t="shared" si="148"/>
        <v>260.39999999999998</v>
      </c>
      <c r="K274" s="856"/>
      <c r="L274" s="856"/>
      <c r="M274" s="856"/>
      <c r="X274" s="637"/>
      <c r="Y274" s="637"/>
      <c r="Z274" s="637"/>
      <c r="AA274" s="637"/>
      <c r="AB274" s="637"/>
      <c r="AC274" s="637"/>
      <c r="AD274" s="637"/>
      <c r="AE274" s="637"/>
      <c r="AF274" s="635"/>
      <c r="AG274" s="637"/>
      <c r="AH274" s="637"/>
      <c r="AI274" s="637"/>
      <c r="AJ274" s="637"/>
    </row>
    <row r="275" spans="1:36" x14ac:dyDescent="0.25">
      <c r="A275" s="847">
        <v>15000</v>
      </c>
      <c r="B275" s="854">
        <f t="shared" si="148"/>
        <v>390.6</v>
      </c>
      <c r="C275" s="854">
        <f t="shared" si="148"/>
        <v>390.6</v>
      </c>
      <c r="D275" s="854">
        <f t="shared" si="148"/>
        <v>390.6</v>
      </c>
      <c r="E275" s="854">
        <f t="shared" si="148"/>
        <v>390.6</v>
      </c>
      <c r="F275" s="854">
        <f t="shared" si="148"/>
        <v>390.6</v>
      </c>
      <c r="G275" s="854">
        <f t="shared" si="148"/>
        <v>390.6</v>
      </c>
      <c r="H275" s="854">
        <f t="shared" si="148"/>
        <v>390.6</v>
      </c>
      <c r="I275" s="854">
        <f t="shared" si="148"/>
        <v>390.6</v>
      </c>
      <c r="K275" s="856"/>
      <c r="L275" s="856"/>
      <c r="M275" s="856"/>
      <c r="X275" s="637"/>
      <c r="Y275" s="637"/>
      <c r="Z275" s="637"/>
      <c r="AA275" s="637"/>
      <c r="AB275" s="637"/>
      <c r="AC275" s="637"/>
      <c r="AD275" s="637"/>
      <c r="AE275" s="637"/>
      <c r="AF275" s="635"/>
      <c r="AG275" s="637"/>
      <c r="AH275" s="637"/>
      <c r="AI275" s="637"/>
      <c r="AJ275" s="637"/>
    </row>
    <row r="276" spans="1:36" x14ac:dyDescent="0.25">
      <c r="A276" s="1119" t="s">
        <v>1290</v>
      </c>
      <c r="K276" s="856"/>
      <c r="L276" s="856"/>
      <c r="M276" s="856"/>
      <c r="X276" s="637"/>
      <c r="Y276" s="637"/>
      <c r="Z276" s="637"/>
      <c r="AA276" s="637"/>
      <c r="AB276" s="637"/>
      <c r="AC276" s="637"/>
      <c r="AD276" s="637"/>
      <c r="AE276" s="637"/>
      <c r="AF276" s="635"/>
      <c r="AG276" s="637"/>
      <c r="AH276" s="637"/>
      <c r="AI276" s="637"/>
      <c r="AJ276" s="637"/>
    </row>
    <row r="277" spans="1:36" x14ac:dyDescent="0.25">
      <c r="K277" s="856"/>
      <c r="L277" s="856"/>
      <c r="M277" s="856"/>
      <c r="X277" s="637"/>
      <c r="Y277" s="637"/>
      <c r="Z277" s="637"/>
      <c r="AA277" s="637"/>
      <c r="AB277" s="637"/>
      <c r="AC277" s="637"/>
      <c r="AD277" s="637"/>
      <c r="AE277" s="637"/>
      <c r="AF277" s="635"/>
      <c r="AG277" s="637"/>
      <c r="AH277" s="637"/>
      <c r="AI277" s="637"/>
      <c r="AJ277" s="637"/>
    </row>
    <row r="278" spans="1:36" x14ac:dyDescent="0.25">
      <c r="A278" s="857">
        <v>0.3</v>
      </c>
      <c r="J278" s="932" t="s">
        <v>1319</v>
      </c>
      <c r="K278" s="856"/>
      <c r="L278" s="856"/>
      <c r="M278" s="856"/>
      <c r="X278" s="637"/>
      <c r="Y278" s="637"/>
      <c r="Z278" s="637"/>
      <c r="AA278" s="637"/>
      <c r="AB278" s="637"/>
      <c r="AC278" s="637"/>
      <c r="AD278" s="637"/>
      <c r="AE278" s="637"/>
      <c r="AF278" s="635"/>
      <c r="AG278" s="637"/>
      <c r="AH278" s="637"/>
      <c r="AI278" s="637"/>
      <c r="AJ278" s="637"/>
    </row>
    <row r="279" spans="1:36" x14ac:dyDescent="0.25">
      <c r="A279" s="721" t="s">
        <v>916</v>
      </c>
      <c r="B279" s="574" t="s">
        <v>7</v>
      </c>
      <c r="C279" s="574" t="s">
        <v>21</v>
      </c>
      <c r="D279" s="584" t="s">
        <v>1045</v>
      </c>
      <c r="E279" s="574" t="s">
        <v>28</v>
      </c>
      <c r="F279" s="574" t="s">
        <v>29</v>
      </c>
      <c r="G279" s="574" t="s">
        <v>1073</v>
      </c>
      <c r="H279" s="574" t="s">
        <v>34</v>
      </c>
      <c r="I279" s="574" t="s">
        <v>813</v>
      </c>
      <c r="K279" s="856"/>
      <c r="L279" s="856"/>
      <c r="M279" s="856"/>
      <c r="X279" s="637"/>
      <c r="Y279" s="637"/>
      <c r="Z279" s="637"/>
      <c r="AA279" s="637"/>
      <c r="AB279" s="637"/>
      <c r="AC279" s="637"/>
      <c r="AD279" s="637"/>
      <c r="AE279" s="637"/>
      <c r="AF279" s="635"/>
      <c r="AG279" s="637"/>
      <c r="AH279" s="637"/>
      <c r="AI279" s="637"/>
      <c r="AJ279" s="637"/>
    </row>
    <row r="280" spans="1:36" x14ac:dyDescent="0.25">
      <c r="A280" s="831" t="s">
        <v>130</v>
      </c>
      <c r="B280" s="854">
        <f>B264*$L$234</f>
        <v>0</v>
      </c>
      <c r="C280" s="854">
        <f t="shared" ref="C280:I280" si="149">C264*$L$234</f>
        <v>0</v>
      </c>
      <c r="D280" s="854">
        <f t="shared" si="149"/>
        <v>0</v>
      </c>
      <c r="E280" s="854">
        <f t="shared" si="149"/>
        <v>0</v>
      </c>
      <c r="F280" s="854">
        <f t="shared" si="149"/>
        <v>0</v>
      </c>
      <c r="G280" s="854">
        <f t="shared" si="149"/>
        <v>0</v>
      </c>
      <c r="H280" s="854">
        <f t="shared" si="149"/>
        <v>0</v>
      </c>
      <c r="I280" s="854">
        <f t="shared" si="149"/>
        <v>0</v>
      </c>
      <c r="J280" s="853"/>
      <c r="K280" s="856"/>
      <c r="L280" s="856"/>
      <c r="M280" s="856"/>
      <c r="X280" s="637"/>
      <c r="Y280" s="637"/>
      <c r="Z280" s="637"/>
      <c r="AA280" s="637"/>
      <c r="AB280" s="637"/>
      <c r="AC280" s="637"/>
      <c r="AD280" s="637"/>
      <c r="AE280" s="637"/>
      <c r="AF280" s="635"/>
      <c r="AG280" s="637"/>
      <c r="AH280" s="637"/>
      <c r="AI280" s="637"/>
      <c r="AJ280" s="637"/>
    </row>
    <row r="281" spans="1:36" x14ac:dyDescent="0.25">
      <c r="A281" s="847">
        <v>800</v>
      </c>
      <c r="B281" s="854">
        <f t="shared" ref="B281:I281" si="150">B265*$L$234</f>
        <v>20.378749999999997</v>
      </c>
      <c r="C281" s="854">
        <f t="shared" si="150"/>
        <v>20.378749999999997</v>
      </c>
      <c r="D281" s="854">
        <f t="shared" si="150"/>
        <v>20.378749999999997</v>
      </c>
      <c r="E281" s="854">
        <f t="shared" si="150"/>
        <v>20.378749999999997</v>
      </c>
      <c r="F281" s="854">
        <f t="shared" si="150"/>
        <v>20.378749999999997</v>
      </c>
      <c r="G281" s="854">
        <f t="shared" si="150"/>
        <v>20.378749999999997</v>
      </c>
      <c r="H281" s="854">
        <f t="shared" si="150"/>
        <v>20.378749999999997</v>
      </c>
      <c r="I281" s="854">
        <f t="shared" si="150"/>
        <v>20.378749999999997</v>
      </c>
      <c r="J281" s="853"/>
      <c r="K281" s="856"/>
      <c r="L281" s="856"/>
      <c r="M281" s="856"/>
      <c r="X281" s="637"/>
      <c r="Y281" s="637"/>
      <c r="Z281" s="637"/>
      <c r="AA281" s="637"/>
      <c r="AB281" s="637"/>
      <c r="AC281" s="637"/>
      <c r="AD281" s="637"/>
      <c r="AE281" s="637"/>
      <c r="AF281" s="635"/>
      <c r="AG281" s="637"/>
      <c r="AH281" s="637"/>
      <c r="AI281" s="637"/>
      <c r="AJ281" s="637"/>
    </row>
    <row r="282" spans="1:36" x14ac:dyDescent="0.25">
      <c r="A282" s="847">
        <v>1000</v>
      </c>
      <c r="B282" s="854">
        <f t="shared" ref="B282:I282" si="151">B266*$L$234</f>
        <v>22.784999999999997</v>
      </c>
      <c r="C282" s="854">
        <f t="shared" si="151"/>
        <v>22.784999999999997</v>
      </c>
      <c r="D282" s="854">
        <f t="shared" si="151"/>
        <v>22.784999999999997</v>
      </c>
      <c r="E282" s="854">
        <f t="shared" si="151"/>
        <v>22.784999999999997</v>
      </c>
      <c r="F282" s="854">
        <f t="shared" si="151"/>
        <v>22.784999999999997</v>
      </c>
      <c r="G282" s="854">
        <f t="shared" si="151"/>
        <v>22.784999999999997</v>
      </c>
      <c r="H282" s="854">
        <f t="shared" si="151"/>
        <v>22.784999999999997</v>
      </c>
      <c r="I282" s="854">
        <f t="shared" si="151"/>
        <v>22.784999999999997</v>
      </c>
      <c r="K282" s="856"/>
      <c r="L282" s="856"/>
      <c r="M282" s="856"/>
      <c r="X282" s="637"/>
      <c r="Y282" s="637"/>
      <c r="Z282" s="637"/>
      <c r="AA282" s="637"/>
      <c r="AB282" s="637"/>
      <c r="AC282" s="637"/>
      <c r="AD282" s="637"/>
      <c r="AE282" s="637"/>
      <c r="AF282" s="635"/>
      <c r="AG282" s="637"/>
      <c r="AH282" s="637"/>
      <c r="AI282" s="637"/>
      <c r="AJ282" s="637"/>
    </row>
    <row r="283" spans="1:36" x14ac:dyDescent="0.25">
      <c r="A283" s="847">
        <v>1500</v>
      </c>
      <c r="B283" s="854">
        <f t="shared" ref="B283:I283" si="152">B267*$L$234</f>
        <v>34.177499999999995</v>
      </c>
      <c r="C283" s="854">
        <f t="shared" si="152"/>
        <v>34.177499999999995</v>
      </c>
      <c r="D283" s="854">
        <f t="shared" si="152"/>
        <v>34.177499999999995</v>
      </c>
      <c r="E283" s="854">
        <f t="shared" si="152"/>
        <v>34.177499999999995</v>
      </c>
      <c r="F283" s="854">
        <f t="shared" si="152"/>
        <v>34.177499999999995</v>
      </c>
      <c r="G283" s="854">
        <f t="shared" si="152"/>
        <v>34.177499999999995</v>
      </c>
      <c r="H283" s="854">
        <f t="shared" si="152"/>
        <v>34.177499999999995</v>
      </c>
      <c r="I283" s="854">
        <f t="shared" si="152"/>
        <v>34.177499999999995</v>
      </c>
      <c r="K283" s="856"/>
      <c r="L283" s="856"/>
      <c r="M283" s="856"/>
      <c r="X283" s="637"/>
      <c r="Y283" s="637"/>
      <c r="Z283" s="637"/>
      <c r="AA283" s="637"/>
      <c r="AB283" s="637"/>
      <c r="AC283" s="637"/>
      <c r="AD283" s="637"/>
      <c r="AE283" s="637"/>
      <c r="AF283" s="635"/>
      <c r="AG283" s="637"/>
      <c r="AH283" s="637"/>
      <c r="AI283" s="637"/>
      <c r="AJ283" s="637"/>
    </row>
    <row r="284" spans="1:36" x14ac:dyDescent="0.25">
      <c r="A284" s="847">
        <v>2000</v>
      </c>
      <c r="B284" s="854">
        <f t="shared" ref="B284:I284" si="153">B268*$L$234</f>
        <v>45.569999999999993</v>
      </c>
      <c r="C284" s="854">
        <f t="shared" si="153"/>
        <v>45.569999999999993</v>
      </c>
      <c r="D284" s="854">
        <f t="shared" si="153"/>
        <v>45.569999999999993</v>
      </c>
      <c r="E284" s="854">
        <f t="shared" si="153"/>
        <v>45.569999999999993</v>
      </c>
      <c r="F284" s="854">
        <f t="shared" si="153"/>
        <v>45.569999999999993</v>
      </c>
      <c r="G284" s="854">
        <f t="shared" si="153"/>
        <v>45.569999999999993</v>
      </c>
      <c r="H284" s="854">
        <f t="shared" si="153"/>
        <v>45.569999999999993</v>
      </c>
      <c r="I284" s="854">
        <f t="shared" si="153"/>
        <v>45.569999999999993</v>
      </c>
      <c r="K284" s="856"/>
      <c r="L284" s="856"/>
      <c r="M284" s="856"/>
      <c r="X284" s="637"/>
      <c r="Y284" s="637"/>
      <c r="Z284" s="637"/>
      <c r="AA284" s="637"/>
      <c r="AB284" s="637"/>
      <c r="AC284" s="637"/>
      <c r="AD284" s="637"/>
      <c r="AE284" s="637"/>
      <c r="AF284" s="635"/>
      <c r="AG284" s="637"/>
      <c r="AH284" s="637"/>
      <c r="AI284" s="637"/>
      <c r="AJ284" s="637"/>
    </row>
    <row r="285" spans="1:36" x14ac:dyDescent="0.25">
      <c r="A285" s="847">
        <v>2500</v>
      </c>
      <c r="B285" s="854">
        <f t="shared" ref="B285:I285" si="154">B269*$L$234</f>
        <v>56.962499999999984</v>
      </c>
      <c r="C285" s="854">
        <f t="shared" si="154"/>
        <v>56.962499999999984</v>
      </c>
      <c r="D285" s="854">
        <f t="shared" si="154"/>
        <v>56.962499999999984</v>
      </c>
      <c r="E285" s="854">
        <f t="shared" si="154"/>
        <v>56.962499999999984</v>
      </c>
      <c r="F285" s="854">
        <f t="shared" si="154"/>
        <v>56.962499999999984</v>
      </c>
      <c r="G285" s="854">
        <f t="shared" si="154"/>
        <v>56.962499999999984</v>
      </c>
      <c r="H285" s="854">
        <f t="shared" si="154"/>
        <v>56.962499999999984</v>
      </c>
      <c r="I285" s="854">
        <f t="shared" si="154"/>
        <v>56.962499999999984</v>
      </c>
      <c r="K285" s="856"/>
      <c r="L285" s="856"/>
      <c r="M285" s="856"/>
      <c r="X285" s="637"/>
      <c r="Y285" s="637"/>
      <c r="Z285" s="637"/>
      <c r="AA285" s="637"/>
      <c r="AB285" s="637"/>
      <c r="AC285" s="637"/>
      <c r="AD285" s="637"/>
      <c r="AE285" s="637"/>
      <c r="AF285" s="635"/>
      <c r="AG285" s="637"/>
      <c r="AH285" s="637"/>
      <c r="AI285" s="637"/>
      <c r="AJ285" s="637"/>
    </row>
    <row r="286" spans="1:36" x14ac:dyDescent="0.25">
      <c r="A286" s="847">
        <v>3000</v>
      </c>
      <c r="B286" s="854">
        <f t="shared" ref="B286:I286" si="155">B270*$L$234</f>
        <v>68.35499999999999</v>
      </c>
      <c r="C286" s="854">
        <f t="shared" si="155"/>
        <v>68.35499999999999</v>
      </c>
      <c r="D286" s="854">
        <f t="shared" si="155"/>
        <v>68.35499999999999</v>
      </c>
      <c r="E286" s="854">
        <f t="shared" si="155"/>
        <v>68.35499999999999</v>
      </c>
      <c r="F286" s="854">
        <f t="shared" si="155"/>
        <v>68.35499999999999</v>
      </c>
      <c r="G286" s="854">
        <f t="shared" si="155"/>
        <v>68.35499999999999</v>
      </c>
      <c r="H286" s="854">
        <f t="shared" si="155"/>
        <v>68.35499999999999</v>
      </c>
      <c r="I286" s="854">
        <f t="shared" si="155"/>
        <v>68.35499999999999</v>
      </c>
      <c r="K286" s="856"/>
      <c r="L286" s="856"/>
      <c r="M286" s="856"/>
      <c r="X286" s="637"/>
      <c r="Y286" s="637"/>
      <c r="Z286" s="637"/>
      <c r="AA286" s="637"/>
      <c r="AB286" s="637"/>
      <c r="AC286" s="637"/>
      <c r="AD286" s="637"/>
      <c r="AE286" s="637"/>
      <c r="AF286" s="635"/>
      <c r="AG286" s="637"/>
      <c r="AH286" s="637"/>
      <c r="AI286" s="637"/>
      <c r="AJ286" s="637"/>
    </row>
    <row r="287" spans="1:36" x14ac:dyDescent="0.25">
      <c r="A287" s="847">
        <v>3500</v>
      </c>
      <c r="B287" s="854">
        <f t="shared" ref="B287:I287" si="156">B271*$L$234</f>
        <v>79.747499999999988</v>
      </c>
      <c r="C287" s="854">
        <f t="shared" si="156"/>
        <v>79.747499999999988</v>
      </c>
      <c r="D287" s="854">
        <f t="shared" si="156"/>
        <v>79.747499999999988</v>
      </c>
      <c r="E287" s="854">
        <f t="shared" si="156"/>
        <v>79.747499999999988</v>
      </c>
      <c r="F287" s="854">
        <f t="shared" si="156"/>
        <v>79.747499999999988</v>
      </c>
      <c r="G287" s="854">
        <f t="shared" si="156"/>
        <v>79.747499999999988</v>
      </c>
      <c r="H287" s="854">
        <f t="shared" si="156"/>
        <v>79.747499999999988</v>
      </c>
      <c r="I287" s="854">
        <f t="shared" si="156"/>
        <v>79.747499999999988</v>
      </c>
      <c r="K287" s="856"/>
      <c r="L287" s="856"/>
      <c r="M287" s="856"/>
      <c r="X287" s="637"/>
      <c r="Y287" s="637"/>
      <c r="Z287" s="637"/>
      <c r="AA287" s="637"/>
      <c r="AB287" s="637"/>
      <c r="AC287" s="637"/>
      <c r="AD287" s="637"/>
      <c r="AE287" s="637"/>
      <c r="AF287" s="635"/>
      <c r="AG287" s="637"/>
      <c r="AH287" s="637"/>
      <c r="AI287" s="637"/>
      <c r="AJ287" s="637"/>
    </row>
    <row r="288" spans="1:36" x14ac:dyDescent="0.25">
      <c r="A288" s="847">
        <v>5000</v>
      </c>
      <c r="B288" s="854">
        <f t="shared" ref="B288:I288" si="157">B272*$L$234</f>
        <v>113.92499999999997</v>
      </c>
      <c r="C288" s="854">
        <f t="shared" si="157"/>
        <v>113.92499999999997</v>
      </c>
      <c r="D288" s="854">
        <f t="shared" si="157"/>
        <v>113.92499999999997</v>
      </c>
      <c r="E288" s="854">
        <f t="shared" si="157"/>
        <v>113.92499999999997</v>
      </c>
      <c r="F288" s="854">
        <f t="shared" si="157"/>
        <v>113.92499999999997</v>
      </c>
      <c r="G288" s="854">
        <f t="shared" si="157"/>
        <v>113.92499999999997</v>
      </c>
      <c r="H288" s="854">
        <f t="shared" si="157"/>
        <v>113.92499999999997</v>
      </c>
      <c r="I288" s="854">
        <f t="shared" si="157"/>
        <v>113.92499999999997</v>
      </c>
      <c r="K288" s="856"/>
      <c r="L288" s="856"/>
      <c r="M288" s="856"/>
      <c r="X288" s="637"/>
      <c r="Y288" s="637"/>
      <c r="Z288" s="637"/>
      <c r="AA288" s="637"/>
      <c r="AB288" s="637"/>
      <c r="AC288" s="637"/>
      <c r="AD288" s="637"/>
      <c r="AE288" s="637"/>
      <c r="AF288" s="635"/>
      <c r="AG288" s="637"/>
      <c r="AH288" s="637"/>
      <c r="AI288" s="637"/>
      <c r="AJ288" s="637"/>
    </row>
    <row r="289" spans="1:36" x14ac:dyDescent="0.25">
      <c r="A289" s="847">
        <v>7500</v>
      </c>
      <c r="B289" s="854">
        <f t="shared" ref="B289:I289" si="158">B273*$L$234</f>
        <v>170.88749999999999</v>
      </c>
      <c r="C289" s="854">
        <f t="shared" si="158"/>
        <v>170.88749999999999</v>
      </c>
      <c r="D289" s="854">
        <f t="shared" si="158"/>
        <v>170.88749999999999</v>
      </c>
      <c r="E289" s="854">
        <f t="shared" si="158"/>
        <v>170.88749999999999</v>
      </c>
      <c r="F289" s="854">
        <f t="shared" si="158"/>
        <v>170.88749999999999</v>
      </c>
      <c r="G289" s="854">
        <f t="shared" si="158"/>
        <v>170.88749999999999</v>
      </c>
      <c r="H289" s="854">
        <f t="shared" si="158"/>
        <v>170.88749999999999</v>
      </c>
      <c r="I289" s="854">
        <f t="shared" si="158"/>
        <v>170.88749999999999</v>
      </c>
      <c r="K289" s="856"/>
      <c r="L289" s="856"/>
      <c r="M289" s="856"/>
      <c r="AC289" s="637"/>
      <c r="AD289" s="637"/>
      <c r="AE289" s="637"/>
      <c r="AF289" s="637"/>
      <c r="AG289" s="637"/>
      <c r="AH289" s="637"/>
      <c r="AI289" s="637"/>
      <c r="AJ289" s="637"/>
    </row>
    <row r="290" spans="1:36" x14ac:dyDescent="0.25">
      <c r="A290" s="847">
        <v>10000</v>
      </c>
      <c r="B290" s="854">
        <f t="shared" ref="B290:I290" si="159">B274*$L$234</f>
        <v>227.84999999999994</v>
      </c>
      <c r="C290" s="854">
        <f t="shared" si="159"/>
        <v>227.84999999999994</v>
      </c>
      <c r="D290" s="854">
        <f t="shared" si="159"/>
        <v>227.84999999999994</v>
      </c>
      <c r="E290" s="854">
        <f t="shared" si="159"/>
        <v>227.84999999999994</v>
      </c>
      <c r="F290" s="854">
        <f t="shared" si="159"/>
        <v>227.84999999999994</v>
      </c>
      <c r="G290" s="854">
        <f t="shared" si="159"/>
        <v>227.84999999999994</v>
      </c>
      <c r="H290" s="854">
        <f t="shared" si="159"/>
        <v>227.84999999999994</v>
      </c>
      <c r="I290" s="854">
        <f t="shared" si="159"/>
        <v>227.84999999999994</v>
      </c>
      <c r="K290" s="856"/>
      <c r="L290" s="856"/>
      <c r="M290" s="856"/>
      <c r="AC290" s="637"/>
      <c r="AD290" s="637"/>
      <c r="AE290" s="637"/>
      <c r="AF290" s="637"/>
      <c r="AG290" s="637"/>
      <c r="AH290" s="637"/>
      <c r="AI290" s="637"/>
      <c r="AJ290" s="637"/>
    </row>
    <row r="291" spans="1:36" x14ac:dyDescent="0.25">
      <c r="A291" s="847">
        <v>15000</v>
      </c>
      <c r="B291" s="854">
        <f t="shared" ref="B291:I291" si="160">B275*$L$234</f>
        <v>341.77499999999998</v>
      </c>
      <c r="C291" s="854">
        <f t="shared" si="160"/>
        <v>341.77499999999998</v>
      </c>
      <c r="D291" s="854">
        <f t="shared" si="160"/>
        <v>341.77499999999998</v>
      </c>
      <c r="E291" s="854">
        <f t="shared" si="160"/>
        <v>341.77499999999998</v>
      </c>
      <c r="F291" s="854">
        <f t="shared" si="160"/>
        <v>341.77499999999998</v>
      </c>
      <c r="G291" s="854">
        <f t="shared" si="160"/>
        <v>341.77499999999998</v>
      </c>
      <c r="H291" s="854">
        <f t="shared" si="160"/>
        <v>341.77499999999998</v>
      </c>
      <c r="I291" s="854">
        <f t="shared" si="160"/>
        <v>341.77499999999998</v>
      </c>
      <c r="K291" s="856"/>
      <c r="L291" s="856"/>
      <c r="M291" s="856"/>
      <c r="X291" s="637"/>
      <c r="Y291" s="637"/>
      <c r="Z291" s="637"/>
      <c r="AA291" s="637"/>
      <c r="AB291" s="637"/>
      <c r="AC291" s="637"/>
      <c r="AD291" s="637"/>
      <c r="AE291" s="637"/>
      <c r="AF291" s="635"/>
      <c r="AG291" s="637"/>
      <c r="AH291" s="637"/>
      <c r="AI291" s="637"/>
      <c r="AJ291" s="637"/>
    </row>
    <row r="292" spans="1:36" x14ac:dyDescent="0.25">
      <c r="A292" s="1119" t="s">
        <v>1290</v>
      </c>
      <c r="K292" s="856"/>
      <c r="L292" s="856"/>
      <c r="M292" s="856"/>
      <c r="X292" s="637"/>
      <c r="Y292" s="637"/>
      <c r="Z292" s="637"/>
      <c r="AA292" s="637"/>
      <c r="AB292" s="637"/>
      <c r="AC292" s="637"/>
      <c r="AD292" s="637"/>
      <c r="AE292" s="637"/>
      <c r="AF292" s="635"/>
      <c r="AG292" s="637"/>
      <c r="AH292" s="637"/>
      <c r="AI292" s="637"/>
      <c r="AJ292" s="637"/>
    </row>
    <row r="293" spans="1:36" x14ac:dyDescent="0.25">
      <c r="K293" s="856"/>
      <c r="L293" s="856"/>
      <c r="M293" s="856"/>
      <c r="X293" s="637"/>
      <c r="Y293" s="637"/>
      <c r="Z293" s="637"/>
      <c r="AA293" s="637"/>
      <c r="AB293" s="637"/>
      <c r="AC293" s="637"/>
      <c r="AD293" s="637"/>
      <c r="AE293" s="637"/>
      <c r="AF293" s="635"/>
      <c r="AG293" s="637"/>
      <c r="AH293" s="637"/>
      <c r="AI293" s="637"/>
      <c r="AJ293" s="637"/>
    </row>
    <row r="294" spans="1:36" x14ac:dyDescent="0.25">
      <c r="A294" s="850" t="s">
        <v>1015</v>
      </c>
      <c r="B294" s="852"/>
      <c r="C294" s="853"/>
      <c r="D294" s="853"/>
      <c r="E294" s="853"/>
      <c r="F294" s="853"/>
      <c r="G294" s="853"/>
      <c r="I294" s="853"/>
      <c r="K294" s="856"/>
      <c r="L294" s="856"/>
      <c r="M294" s="856"/>
      <c r="X294" s="637"/>
      <c r="Y294" s="637"/>
      <c r="Z294" s="637"/>
      <c r="AA294" s="637"/>
      <c r="AB294" s="637"/>
      <c r="AC294" s="637"/>
      <c r="AD294" s="637"/>
      <c r="AE294" s="637"/>
      <c r="AF294" s="635"/>
      <c r="AG294" s="637"/>
      <c r="AH294" s="637"/>
      <c r="AI294" s="637"/>
      <c r="AJ294" s="637"/>
    </row>
    <row r="295" spans="1:36" x14ac:dyDescent="0.25">
      <c r="A295" s="857">
        <v>0</v>
      </c>
      <c r="B295" s="852"/>
      <c r="C295" s="853"/>
      <c r="D295" s="853"/>
      <c r="E295" s="853"/>
      <c r="F295" s="853"/>
      <c r="G295" s="853"/>
      <c r="I295" s="853"/>
      <c r="K295" s="1506" t="s">
        <v>1292</v>
      </c>
      <c r="L295" s="1506"/>
      <c r="X295" s="637"/>
      <c r="Y295" s="637"/>
      <c r="Z295" s="637"/>
      <c r="AA295" s="637"/>
      <c r="AB295" s="637"/>
      <c r="AC295" s="637"/>
      <c r="AD295" s="637"/>
      <c r="AE295" s="637"/>
      <c r="AF295" s="635"/>
      <c r="AG295" s="637"/>
      <c r="AH295" s="637"/>
      <c r="AI295" s="637"/>
      <c r="AJ295" s="637"/>
    </row>
    <row r="296" spans="1:36" ht="60" x14ac:dyDescent="0.25">
      <c r="A296" s="721" t="s">
        <v>914</v>
      </c>
      <c r="B296" s="574" t="s">
        <v>7</v>
      </c>
      <c r="C296" s="574" t="s">
        <v>21</v>
      </c>
      <c r="D296" s="584" t="s">
        <v>1045</v>
      </c>
      <c r="E296" s="574" t="s">
        <v>28</v>
      </c>
      <c r="F296" s="574" t="s">
        <v>29</v>
      </c>
      <c r="G296" s="574" t="s">
        <v>1073</v>
      </c>
      <c r="H296" s="574" t="s">
        <v>34</v>
      </c>
      <c r="I296" s="574" t="s">
        <v>813</v>
      </c>
      <c r="K296" s="564" t="s">
        <v>755</v>
      </c>
      <c r="L296" s="564" t="s">
        <v>284</v>
      </c>
      <c r="X296" s="637"/>
      <c r="Y296" s="637"/>
      <c r="Z296" s="637"/>
      <c r="AA296" s="637"/>
      <c r="AB296" s="637"/>
      <c r="AC296" s="637"/>
      <c r="AD296" s="637"/>
      <c r="AE296" s="637"/>
      <c r="AF296" s="635"/>
      <c r="AG296" s="637"/>
      <c r="AH296" s="637"/>
      <c r="AI296" s="637"/>
      <c r="AJ296" s="637"/>
    </row>
    <row r="297" spans="1:36" x14ac:dyDescent="0.25">
      <c r="A297" s="831" t="s">
        <v>130</v>
      </c>
      <c r="B297" s="849">
        <f>B325*$L$300</f>
        <v>0</v>
      </c>
      <c r="C297" s="849">
        <f t="shared" ref="C297:I297" si="161">C325*$L$300</f>
        <v>0</v>
      </c>
      <c r="D297" s="849">
        <f t="shared" si="161"/>
        <v>0</v>
      </c>
      <c r="E297" s="849">
        <f t="shared" si="161"/>
        <v>0</v>
      </c>
      <c r="F297" s="849">
        <f t="shared" si="161"/>
        <v>0</v>
      </c>
      <c r="G297" s="849">
        <f t="shared" si="161"/>
        <v>0</v>
      </c>
      <c r="H297" s="849">
        <f t="shared" si="161"/>
        <v>0</v>
      </c>
      <c r="I297" s="849">
        <f t="shared" si="161"/>
        <v>0</v>
      </c>
      <c r="J297" s="845"/>
      <c r="K297" s="585" t="s">
        <v>1281</v>
      </c>
      <c r="L297" s="586">
        <v>0.87499999999999989</v>
      </c>
      <c r="X297" s="637"/>
      <c r="Y297" s="637"/>
      <c r="Z297" s="637"/>
      <c r="AA297" s="637"/>
      <c r="AB297" s="637"/>
      <c r="AC297" s="637"/>
      <c r="AD297" s="637"/>
      <c r="AE297" s="637"/>
      <c r="AF297" s="635"/>
      <c r="AG297" s="637"/>
      <c r="AH297" s="637"/>
      <c r="AI297" s="637"/>
      <c r="AJ297" s="637"/>
    </row>
    <row r="298" spans="1:36" x14ac:dyDescent="0.25">
      <c r="A298" s="847">
        <v>1000</v>
      </c>
      <c r="B298" s="849">
        <f t="shared" ref="B298:I298" si="162">B326*$L$300</f>
        <v>35.262500000000003</v>
      </c>
      <c r="C298" s="849">
        <f t="shared" si="162"/>
        <v>35.262500000000003</v>
      </c>
      <c r="D298" s="849">
        <f t="shared" si="162"/>
        <v>35.262500000000003</v>
      </c>
      <c r="E298" s="849">
        <f t="shared" si="162"/>
        <v>35.262500000000003</v>
      </c>
      <c r="F298" s="849">
        <f t="shared" si="162"/>
        <v>35.262500000000003</v>
      </c>
      <c r="G298" s="849">
        <f t="shared" si="162"/>
        <v>35.262500000000003</v>
      </c>
      <c r="H298" s="849">
        <f t="shared" si="162"/>
        <v>35.262500000000003</v>
      </c>
      <c r="I298" s="849">
        <f t="shared" si="162"/>
        <v>35.262500000000003</v>
      </c>
      <c r="K298" s="585" t="s">
        <v>753</v>
      </c>
      <c r="L298" s="586">
        <v>1</v>
      </c>
      <c r="X298" s="637"/>
      <c r="Y298" s="637"/>
      <c r="Z298" s="637"/>
      <c r="AA298" s="637"/>
      <c r="AB298" s="637"/>
      <c r="AC298" s="637"/>
      <c r="AD298" s="637"/>
      <c r="AE298" s="637"/>
      <c r="AF298" s="635"/>
      <c r="AG298" s="637"/>
      <c r="AH298" s="637"/>
      <c r="AI298" s="637"/>
      <c r="AJ298" s="637"/>
    </row>
    <row r="299" spans="1:36" x14ac:dyDescent="0.25">
      <c r="A299" s="847">
        <v>1500</v>
      </c>
      <c r="B299" s="849">
        <f t="shared" ref="B299:I299" si="163">B327*$L$300</f>
        <v>43.4</v>
      </c>
      <c r="C299" s="849">
        <f t="shared" si="163"/>
        <v>43.4</v>
      </c>
      <c r="D299" s="849">
        <f t="shared" si="163"/>
        <v>43.4</v>
      </c>
      <c r="E299" s="849">
        <f t="shared" si="163"/>
        <v>43.4</v>
      </c>
      <c r="F299" s="849">
        <f t="shared" si="163"/>
        <v>43.4</v>
      </c>
      <c r="G299" s="849">
        <f t="shared" si="163"/>
        <v>43.4</v>
      </c>
      <c r="H299" s="849">
        <f t="shared" si="163"/>
        <v>43.4</v>
      </c>
      <c r="I299" s="849">
        <f t="shared" si="163"/>
        <v>43.4</v>
      </c>
      <c r="K299" s="585" t="s">
        <v>754</v>
      </c>
      <c r="L299" s="587">
        <v>1.125</v>
      </c>
      <c r="X299" s="637"/>
      <c r="Y299" s="637"/>
      <c r="Z299" s="637"/>
      <c r="AA299" s="637"/>
      <c r="AB299" s="637"/>
      <c r="AC299" s="637"/>
      <c r="AD299" s="637"/>
      <c r="AE299" s="637"/>
      <c r="AF299" s="635"/>
      <c r="AG299" s="637"/>
      <c r="AH299" s="637"/>
      <c r="AI299" s="637"/>
      <c r="AJ299" s="637"/>
    </row>
    <row r="300" spans="1:36" x14ac:dyDescent="0.25">
      <c r="A300" s="847">
        <v>1600</v>
      </c>
      <c r="B300" s="849">
        <f t="shared" ref="B300:I300" si="164">B328*$L$300</f>
        <v>44.762500000000003</v>
      </c>
      <c r="C300" s="849">
        <f t="shared" si="164"/>
        <v>44.762500000000003</v>
      </c>
      <c r="D300" s="849">
        <f t="shared" si="164"/>
        <v>44.762500000000003</v>
      </c>
      <c r="E300" s="849">
        <f t="shared" si="164"/>
        <v>44.762500000000003</v>
      </c>
      <c r="F300" s="849">
        <f t="shared" si="164"/>
        <v>44.762500000000003</v>
      </c>
      <c r="G300" s="849">
        <f t="shared" si="164"/>
        <v>44.762500000000003</v>
      </c>
      <c r="H300" s="849">
        <f t="shared" si="164"/>
        <v>44.762500000000003</v>
      </c>
      <c r="I300" s="849">
        <f t="shared" si="164"/>
        <v>44.762500000000003</v>
      </c>
      <c r="K300" s="585" t="s">
        <v>1272</v>
      </c>
      <c r="L300" s="587">
        <v>1.25</v>
      </c>
      <c r="X300" s="637"/>
      <c r="Y300" s="637"/>
      <c r="Z300" s="637"/>
      <c r="AA300" s="637"/>
      <c r="AB300" s="637"/>
      <c r="AC300" s="637"/>
      <c r="AD300" s="637"/>
      <c r="AE300" s="637"/>
      <c r="AF300" s="635"/>
      <c r="AG300" s="637"/>
      <c r="AH300" s="637"/>
      <c r="AI300" s="637"/>
      <c r="AJ300" s="637"/>
    </row>
    <row r="301" spans="1:36" x14ac:dyDescent="0.25">
      <c r="A301" s="847">
        <v>2000</v>
      </c>
      <c r="B301" s="849">
        <f t="shared" ref="B301:I301" si="165">B329*$L$300</f>
        <v>50.1875</v>
      </c>
      <c r="C301" s="849">
        <f t="shared" si="165"/>
        <v>50.1875</v>
      </c>
      <c r="D301" s="849">
        <f t="shared" si="165"/>
        <v>50.1875</v>
      </c>
      <c r="E301" s="849">
        <f t="shared" si="165"/>
        <v>50.1875</v>
      </c>
      <c r="F301" s="849">
        <f t="shared" si="165"/>
        <v>50.1875</v>
      </c>
      <c r="G301" s="849">
        <f t="shared" si="165"/>
        <v>50.1875</v>
      </c>
      <c r="H301" s="849">
        <f t="shared" si="165"/>
        <v>50.1875</v>
      </c>
      <c r="I301" s="849">
        <f t="shared" si="165"/>
        <v>50.1875</v>
      </c>
      <c r="X301" s="637"/>
      <c r="Y301" s="637"/>
      <c r="Z301" s="637"/>
      <c r="AA301" s="637"/>
      <c r="AB301" s="637"/>
      <c r="AC301" s="637"/>
      <c r="AD301" s="637"/>
      <c r="AE301" s="637"/>
      <c r="AF301" s="635"/>
      <c r="AG301" s="637"/>
      <c r="AH301" s="637"/>
      <c r="AI301" s="637"/>
      <c r="AJ301" s="637"/>
    </row>
    <row r="302" spans="1:36" x14ac:dyDescent="0.25">
      <c r="A302" s="847">
        <v>2500</v>
      </c>
      <c r="B302" s="849">
        <f t="shared" ref="B302:I302" si="166">B330*$L$300</f>
        <v>62.387499999999996</v>
      </c>
      <c r="C302" s="849">
        <f t="shared" si="166"/>
        <v>62.387499999999996</v>
      </c>
      <c r="D302" s="849">
        <f t="shared" si="166"/>
        <v>62.387499999999996</v>
      </c>
      <c r="E302" s="849">
        <f t="shared" si="166"/>
        <v>62.387499999999996</v>
      </c>
      <c r="F302" s="849">
        <f t="shared" si="166"/>
        <v>62.387499999999996</v>
      </c>
      <c r="G302" s="849">
        <f t="shared" si="166"/>
        <v>62.387499999999996</v>
      </c>
      <c r="H302" s="849">
        <f t="shared" si="166"/>
        <v>62.387499999999996</v>
      </c>
      <c r="I302" s="849">
        <f t="shared" si="166"/>
        <v>62.387499999999996</v>
      </c>
      <c r="X302" s="637"/>
      <c r="Y302" s="637"/>
      <c r="Z302" s="637"/>
      <c r="AA302" s="637"/>
      <c r="AB302" s="637"/>
      <c r="AC302" s="637"/>
      <c r="AD302" s="637"/>
      <c r="AE302" s="637"/>
      <c r="AF302" s="635"/>
      <c r="AG302" s="637"/>
      <c r="AH302" s="637"/>
      <c r="AI302" s="637"/>
      <c r="AJ302" s="637"/>
    </row>
    <row r="303" spans="1:36" x14ac:dyDescent="0.25">
      <c r="A303" s="847">
        <v>3000</v>
      </c>
      <c r="B303" s="849">
        <f t="shared" ref="B303:I303" si="167">B331*$L$300</f>
        <v>75.95</v>
      </c>
      <c r="C303" s="849">
        <f t="shared" si="167"/>
        <v>75.95</v>
      </c>
      <c r="D303" s="849">
        <f t="shared" si="167"/>
        <v>75.95</v>
      </c>
      <c r="E303" s="849">
        <f t="shared" si="167"/>
        <v>75.95</v>
      </c>
      <c r="F303" s="849">
        <f t="shared" si="167"/>
        <v>75.95</v>
      </c>
      <c r="G303" s="849">
        <f t="shared" si="167"/>
        <v>75.95</v>
      </c>
      <c r="H303" s="849">
        <f t="shared" si="167"/>
        <v>75.95</v>
      </c>
      <c r="I303" s="849">
        <f t="shared" si="167"/>
        <v>75.95</v>
      </c>
      <c r="X303" s="637"/>
      <c r="Y303" s="637"/>
      <c r="Z303" s="637"/>
      <c r="AA303" s="637"/>
      <c r="AB303" s="637"/>
      <c r="AC303" s="637"/>
      <c r="AD303" s="637"/>
      <c r="AE303" s="637"/>
      <c r="AF303" s="635"/>
      <c r="AG303" s="637"/>
      <c r="AH303" s="637"/>
      <c r="AI303" s="637"/>
      <c r="AJ303" s="637"/>
    </row>
    <row r="304" spans="1:36" x14ac:dyDescent="0.25">
      <c r="A304" s="847">
        <v>4000</v>
      </c>
      <c r="B304" s="849">
        <f t="shared" ref="B304:I304" si="168">B332*$L$300</f>
        <v>100.36250000000001</v>
      </c>
      <c r="C304" s="849">
        <f t="shared" si="168"/>
        <v>100.36250000000001</v>
      </c>
      <c r="D304" s="849">
        <f t="shared" si="168"/>
        <v>100.36250000000001</v>
      </c>
      <c r="E304" s="849">
        <f t="shared" si="168"/>
        <v>100.36250000000001</v>
      </c>
      <c r="F304" s="849">
        <f t="shared" si="168"/>
        <v>100.36250000000001</v>
      </c>
      <c r="G304" s="849">
        <f t="shared" si="168"/>
        <v>100.36250000000001</v>
      </c>
      <c r="H304" s="849">
        <f t="shared" si="168"/>
        <v>100.36250000000001</v>
      </c>
      <c r="I304" s="849">
        <f t="shared" si="168"/>
        <v>100.36250000000001</v>
      </c>
      <c r="X304" s="637"/>
      <c r="Y304" s="637"/>
      <c r="Z304" s="637"/>
      <c r="AA304" s="637"/>
      <c r="AB304" s="637"/>
      <c r="AC304" s="637"/>
      <c r="AD304" s="637"/>
      <c r="AE304" s="637"/>
      <c r="AF304" s="635"/>
      <c r="AG304" s="637"/>
      <c r="AH304" s="637"/>
      <c r="AI304" s="637"/>
      <c r="AJ304" s="637"/>
    </row>
    <row r="305" spans="1:36" x14ac:dyDescent="0.25">
      <c r="A305" s="847">
        <v>5000</v>
      </c>
      <c r="B305" s="849">
        <f t="shared" ref="B305:I305" si="169">B333*$L$300</f>
        <v>124.77499999999999</v>
      </c>
      <c r="C305" s="849">
        <f t="shared" si="169"/>
        <v>124.77499999999999</v>
      </c>
      <c r="D305" s="849">
        <f t="shared" si="169"/>
        <v>124.77499999999999</v>
      </c>
      <c r="E305" s="849">
        <f t="shared" si="169"/>
        <v>124.77499999999999</v>
      </c>
      <c r="F305" s="849">
        <f t="shared" si="169"/>
        <v>124.77499999999999</v>
      </c>
      <c r="G305" s="849">
        <f t="shared" si="169"/>
        <v>124.77499999999999</v>
      </c>
      <c r="H305" s="849">
        <f t="shared" si="169"/>
        <v>124.77499999999999</v>
      </c>
      <c r="I305" s="849">
        <f t="shared" si="169"/>
        <v>124.77499999999999</v>
      </c>
      <c r="X305" s="637"/>
      <c r="Y305" s="637"/>
      <c r="Z305" s="637"/>
      <c r="AA305" s="637"/>
      <c r="AB305" s="637"/>
      <c r="AC305" s="637"/>
      <c r="AD305" s="637"/>
      <c r="AE305" s="637"/>
      <c r="AF305" s="635"/>
      <c r="AG305" s="637"/>
      <c r="AH305" s="637"/>
      <c r="AI305" s="637"/>
      <c r="AJ305" s="637"/>
    </row>
    <row r="306" spans="1:36" x14ac:dyDescent="0.25">
      <c r="A306" s="847">
        <v>7500</v>
      </c>
      <c r="B306" s="849">
        <f t="shared" ref="B306:I306" si="170">B334*$L$300</f>
        <v>187.16249999999999</v>
      </c>
      <c r="C306" s="849">
        <f t="shared" si="170"/>
        <v>187.16249999999999</v>
      </c>
      <c r="D306" s="849">
        <f t="shared" si="170"/>
        <v>187.16249999999999</v>
      </c>
      <c r="E306" s="849">
        <f t="shared" si="170"/>
        <v>187.16249999999999</v>
      </c>
      <c r="F306" s="849">
        <f t="shared" si="170"/>
        <v>187.16249999999999</v>
      </c>
      <c r="G306" s="849">
        <f t="shared" si="170"/>
        <v>187.16249999999999</v>
      </c>
      <c r="H306" s="849">
        <f t="shared" si="170"/>
        <v>187.16249999999999</v>
      </c>
      <c r="I306" s="849">
        <f t="shared" si="170"/>
        <v>187.16249999999999</v>
      </c>
      <c r="X306" s="637"/>
      <c r="Y306" s="637"/>
      <c r="Z306" s="637"/>
      <c r="AA306" s="637"/>
      <c r="AB306" s="637"/>
      <c r="AC306" s="637"/>
      <c r="AD306" s="637"/>
      <c r="AE306" s="637"/>
      <c r="AF306" s="635"/>
      <c r="AG306" s="637"/>
      <c r="AH306" s="637"/>
      <c r="AI306" s="637"/>
      <c r="AJ306" s="637"/>
    </row>
    <row r="307" spans="1:36" x14ac:dyDescent="0.25">
      <c r="A307" s="847">
        <v>10000</v>
      </c>
      <c r="B307" s="849">
        <f t="shared" ref="B307:I307" si="171">B335*$L$300</f>
        <v>249.54999999999998</v>
      </c>
      <c r="C307" s="849">
        <f t="shared" si="171"/>
        <v>249.54999999999998</v>
      </c>
      <c r="D307" s="849">
        <f t="shared" si="171"/>
        <v>249.54999999999998</v>
      </c>
      <c r="E307" s="849">
        <f t="shared" si="171"/>
        <v>249.54999999999998</v>
      </c>
      <c r="F307" s="849">
        <f t="shared" si="171"/>
        <v>249.54999999999998</v>
      </c>
      <c r="G307" s="849">
        <f t="shared" si="171"/>
        <v>249.54999999999998</v>
      </c>
      <c r="H307" s="849">
        <f t="shared" si="171"/>
        <v>249.54999999999998</v>
      </c>
      <c r="I307" s="849">
        <f t="shared" si="171"/>
        <v>249.54999999999998</v>
      </c>
      <c r="X307" s="637"/>
      <c r="Y307" s="637"/>
      <c r="Z307" s="637"/>
      <c r="AA307" s="637"/>
      <c r="AB307" s="637"/>
      <c r="AC307" s="637"/>
      <c r="AD307" s="637"/>
      <c r="AE307" s="637"/>
      <c r="AF307" s="635"/>
      <c r="AG307" s="637"/>
      <c r="AH307" s="637"/>
      <c r="AI307" s="637"/>
      <c r="AJ307" s="637"/>
    </row>
    <row r="308" spans="1:36" x14ac:dyDescent="0.25">
      <c r="X308" s="637"/>
      <c r="Y308" s="637"/>
      <c r="Z308" s="637"/>
      <c r="AA308" s="637"/>
      <c r="AB308" s="637"/>
      <c r="AC308" s="637"/>
      <c r="AD308" s="637"/>
      <c r="AE308" s="637"/>
      <c r="AF308" s="635"/>
      <c r="AG308" s="637"/>
      <c r="AH308" s="637"/>
      <c r="AI308" s="637"/>
      <c r="AJ308" s="637"/>
    </row>
    <row r="309" spans="1:36" x14ac:dyDescent="0.25">
      <c r="A309" s="857">
        <v>0.1</v>
      </c>
      <c r="X309" s="637"/>
      <c r="Y309" s="637"/>
      <c r="Z309" s="637"/>
      <c r="AA309" s="637"/>
      <c r="AB309" s="637"/>
      <c r="AC309" s="637"/>
      <c r="AD309" s="637"/>
      <c r="AE309" s="637"/>
      <c r="AF309" s="635"/>
      <c r="AG309" s="637"/>
      <c r="AH309" s="637"/>
      <c r="AI309" s="637"/>
      <c r="AJ309" s="637"/>
    </row>
    <row r="310" spans="1:36" ht="60" x14ac:dyDescent="0.25">
      <c r="A310" s="721" t="s">
        <v>914</v>
      </c>
      <c r="B310" s="574" t="s">
        <v>7</v>
      </c>
      <c r="C310" s="574" t="s">
        <v>21</v>
      </c>
      <c r="D310" s="584" t="s">
        <v>1045</v>
      </c>
      <c r="E310" s="574" t="s">
        <v>28</v>
      </c>
      <c r="F310" s="574" t="s">
        <v>29</v>
      </c>
      <c r="G310" s="574" t="s">
        <v>1073</v>
      </c>
      <c r="H310" s="574" t="s">
        <v>34</v>
      </c>
      <c r="I310" s="574" t="s">
        <v>813</v>
      </c>
      <c r="X310" s="637"/>
      <c r="Y310" s="637"/>
      <c r="Z310" s="637"/>
      <c r="AA310" s="637"/>
      <c r="AB310" s="637"/>
      <c r="AC310" s="637"/>
      <c r="AD310" s="637"/>
      <c r="AE310" s="637"/>
      <c r="AF310" s="635"/>
      <c r="AG310" s="637"/>
      <c r="AH310" s="637"/>
      <c r="AI310" s="637"/>
      <c r="AJ310" s="637"/>
    </row>
    <row r="311" spans="1:36" x14ac:dyDescent="0.25">
      <c r="A311" s="831" t="s">
        <v>130</v>
      </c>
      <c r="B311" s="849">
        <f>B325*$L$299</f>
        <v>0</v>
      </c>
      <c r="C311" s="849">
        <f t="shared" ref="C311:I311" si="172">C325*$L$299</f>
        <v>0</v>
      </c>
      <c r="D311" s="849">
        <f t="shared" si="172"/>
        <v>0</v>
      </c>
      <c r="E311" s="849">
        <f t="shared" si="172"/>
        <v>0</v>
      </c>
      <c r="F311" s="849">
        <f t="shared" si="172"/>
        <v>0</v>
      </c>
      <c r="G311" s="849">
        <f t="shared" si="172"/>
        <v>0</v>
      </c>
      <c r="H311" s="849">
        <f t="shared" si="172"/>
        <v>0</v>
      </c>
      <c r="I311" s="849">
        <f t="shared" si="172"/>
        <v>0</v>
      </c>
      <c r="X311" s="637"/>
      <c r="Y311" s="637"/>
      <c r="Z311" s="637"/>
      <c r="AA311" s="637"/>
      <c r="AB311" s="637"/>
      <c r="AC311" s="637"/>
      <c r="AD311" s="637"/>
      <c r="AE311" s="637"/>
      <c r="AF311" s="635"/>
      <c r="AG311" s="637"/>
      <c r="AH311" s="637"/>
      <c r="AI311" s="637"/>
      <c r="AJ311" s="637"/>
    </row>
    <row r="312" spans="1:36" x14ac:dyDescent="0.25">
      <c r="A312" s="847">
        <v>1000</v>
      </c>
      <c r="B312" s="849">
        <f t="shared" ref="B312:I312" si="173">B326*$L$299</f>
        <v>31.736250000000002</v>
      </c>
      <c r="C312" s="849">
        <f t="shared" si="173"/>
        <v>31.736250000000002</v>
      </c>
      <c r="D312" s="849">
        <f t="shared" si="173"/>
        <v>31.736250000000002</v>
      </c>
      <c r="E312" s="849">
        <f t="shared" si="173"/>
        <v>31.736250000000002</v>
      </c>
      <c r="F312" s="849">
        <f t="shared" si="173"/>
        <v>31.736250000000002</v>
      </c>
      <c r="G312" s="849">
        <f t="shared" si="173"/>
        <v>31.736250000000002</v>
      </c>
      <c r="H312" s="849">
        <f t="shared" si="173"/>
        <v>31.736250000000002</v>
      </c>
      <c r="I312" s="849">
        <f t="shared" si="173"/>
        <v>31.736250000000002</v>
      </c>
      <c r="X312" s="637"/>
      <c r="Y312" s="637"/>
      <c r="Z312" s="637"/>
      <c r="AA312" s="637"/>
      <c r="AB312" s="637"/>
      <c r="AC312" s="637"/>
      <c r="AD312" s="637"/>
      <c r="AE312" s="637"/>
      <c r="AF312" s="635"/>
      <c r="AG312" s="637"/>
      <c r="AH312" s="637"/>
      <c r="AI312" s="637"/>
      <c r="AJ312" s="637"/>
    </row>
    <row r="313" spans="1:36" x14ac:dyDescent="0.25">
      <c r="A313" s="847">
        <v>1500</v>
      </c>
      <c r="B313" s="849">
        <f t="shared" ref="B313:I313" si="174">B327*$L$299</f>
        <v>39.06</v>
      </c>
      <c r="C313" s="849">
        <f t="shared" si="174"/>
        <v>39.06</v>
      </c>
      <c r="D313" s="849">
        <f t="shared" si="174"/>
        <v>39.06</v>
      </c>
      <c r="E313" s="849">
        <f t="shared" si="174"/>
        <v>39.06</v>
      </c>
      <c r="F313" s="849">
        <f t="shared" si="174"/>
        <v>39.06</v>
      </c>
      <c r="G313" s="849">
        <f t="shared" si="174"/>
        <v>39.06</v>
      </c>
      <c r="H313" s="849">
        <f t="shared" si="174"/>
        <v>39.06</v>
      </c>
      <c r="I313" s="849">
        <f t="shared" si="174"/>
        <v>39.06</v>
      </c>
      <c r="X313" s="637"/>
      <c r="Y313" s="637"/>
      <c r="Z313" s="637"/>
      <c r="AA313" s="637"/>
      <c r="AB313" s="637"/>
      <c r="AC313" s="637"/>
      <c r="AD313" s="637"/>
      <c r="AE313" s="637"/>
      <c r="AF313" s="635"/>
      <c r="AG313" s="637"/>
      <c r="AH313" s="637"/>
      <c r="AI313" s="637"/>
      <c r="AJ313" s="637"/>
    </row>
    <row r="314" spans="1:36" x14ac:dyDescent="0.25">
      <c r="A314" s="847">
        <v>1600</v>
      </c>
      <c r="B314" s="849">
        <f t="shared" ref="B314:I314" si="175">B328*$L$299</f>
        <v>40.286250000000003</v>
      </c>
      <c r="C314" s="849">
        <f t="shared" si="175"/>
        <v>40.286250000000003</v>
      </c>
      <c r="D314" s="849">
        <f t="shared" si="175"/>
        <v>40.286250000000003</v>
      </c>
      <c r="E314" s="849">
        <f t="shared" si="175"/>
        <v>40.286250000000003</v>
      </c>
      <c r="F314" s="849">
        <f t="shared" si="175"/>
        <v>40.286250000000003</v>
      </c>
      <c r="G314" s="849">
        <f t="shared" si="175"/>
        <v>40.286250000000003</v>
      </c>
      <c r="H314" s="849">
        <f t="shared" si="175"/>
        <v>40.286250000000003</v>
      </c>
      <c r="I314" s="849">
        <f t="shared" si="175"/>
        <v>40.286250000000003</v>
      </c>
      <c r="X314" s="637"/>
      <c r="Y314" s="637"/>
      <c r="Z314" s="637"/>
      <c r="AA314" s="637"/>
      <c r="AB314" s="637"/>
      <c r="AC314" s="637"/>
      <c r="AD314" s="637"/>
      <c r="AE314" s="637"/>
      <c r="AF314" s="635"/>
      <c r="AG314" s="637"/>
      <c r="AH314" s="637"/>
      <c r="AI314" s="637"/>
      <c r="AJ314" s="637"/>
    </row>
    <row r="315" spans="1:36" x14ac:dyDescent="0.25">
      <c r="A315" s="847">
        <v>2000</v>
      </c>
      <c r="B315" s="849">
        <f t="shared" ref="B315:I315" si="176">B329*$L$299</f>
        <v>45.168749999999996</v>
      </c>
      <c r="C315" s="849">
        <f t="shared" si="176"/>
        <v>45.168749999999996</v>
      </c>
      <c r="D315" s="849">
        <f t="shared" si="176"/>
        <v>45.168749999999996</v>
      </c>
      <c r="E315" s="849">
        <f t="shared" si="176"/>
        <v>45.168749999999996</v>
      </c>
      <c r="F315" s="849">
        <f t="shared" si="176"/>
        <v>45.168749999999996</v>
      </c>
      <c r="G315" s="849">
        <f t="shared" si="176"/>
        <v>45.168749999999996</v>
      </c>
      <c r="H315" s="849">
        <f t="shared" si="176"/>
        <v>45.168749999999996</v>
      </c>
      <c r="I315" s="849">
        <f t="shared" si="176"/>
        <v>45.168749999999996</v>
      </c>
      <c r="X315" s="637"/>
      <c r="Y315" s="637"/>
      <c r="Z315" s="637"/>
      <c r="AA315" s="637"/>
      <c r="AB315" s="637"/>
      <c r="AC315" s="637"/>
      <c r="AD315" s="637"/>
      <c r="AE315" s="637"/>
      <c r="AF315" s="635"/>
      <c r="AG315" s="637"/>
      <c r="AH315" s="637"/>
      <c r="AI315" s="637"/>
      <c r="AJ315" s="637"/>
    </row>
    <row r="316" spans="1:36" x14ac:dyDescent="0.25">
      <c r="A316" s="847">
        <v>2500</v>
      </c>
      <c r="B316" s="849">
        <f t="shared" ref="B316:I316" si="177">B330*$L$299</f>
        <v>56.148749999999993</v>
      </c>
      <c r="C316" s="849">
        <f t="shared" si="177"/>
        <v>56.148749999999993</v>
      </c>
      <c r="D316" s="849">
        <f t="shared" si="177"/>
        <v>56.148749999999993</v>
      </c>
      <c r="E316" s="849">
        <f t="shared" si="177"/>
        <v>56.148749999999993</v>
      </c>
      <c r="F316" s="849">
        <f t="shared" si="177"/>
        <v>56.148749999999993</v>
      </c>
      <c r="G316" s="849">
        <f t="shared" si="177"/>
        <v>56.148749999999993</v>
      </c>
      <c r="H316" s="849">
        <f t="shared" si="177"/>
        <v>56.148749999999993</v>
      </c>
      <c r="I316" s="849">
        <f t="shared" si="177"/>
        <v>56.148749999999993</v>
      </c>
      <c r="X316" s="637"/>
      <c r="Y316" s="637"/>
      <c r="Z316" s="637"/>
      <c r="AA316" s="637"/>
      <c r="AB316" s="637"/>
      <c r="AC316" s="637"/>
      <c r="AD316" s="637"/>
      <c r="AE316" s="637"/>
      <c r="AF316" s="635"/>
      <c r="AG316" s="637"/>
      <c r="AH316" s="637"/>
      <c r="AI316" s="637"/>
      <c r="AJ316" s="637"/>
    </row>
    <row r="317" spans="1:36" x14ac:dyDescent="0.25">
      <c r="A317" s="847">
        <v>3000</v>
      </c>
      <c r="B317" s="849">
        <f t="shared" ref="B317:I317" si="178">B331*$L$299</f>
        <v>68.355000000000004</v>
      </c>
      <c r="C317" s="849">
        <f t="shared" si="178"/>
        <v>68.355000000000004</v>
      </c>
      <c r="D317" s="849">
        <f t="shared" si="178"/>
        <v>68.355000000000004</v>
      </c>
      <c r="E317" s="849">
        <f t="shared" si="178"/>
        <v>68.355000000000004</v>
      </c>
      <c r="F317" s="849">
        <f t="shared" si="178"/>
        <v>68.355000000000004</v>
      </c>
      <c r="G317" s="849">
        <f t="shared" si="178"/>
        <v>68.355000000000004</v>
      </c>
      <c r="H317" s="849">
        <f t="shared" si="178"/>
        <v>68.355000000000004</v>
      </c>
      <c r="I317" s="849">
        <f t="shared" si="178"/>
        <v>68.355000000000004</v>
      </c>
      <c r="X317" s="637"/>
      <c r="Y317" s="637"/>
      <c r="Z317" s="637"/>
      <c r="AA317" s="637"/>
      <c r="AB317" s="637"/>
      <c r="AC317" s="637"/>
      <c r="AD317" s="637"/>
      <c r="AE317" s="637"/>
      <c r="AF317" s="635"/>
      <c r="AG317" s="637"/>
      <c r="AH317" s="637"/>
      <c r="AI317" s="637"/>
      <c r="AJ317" s="637"/>
    </row>
    <row r="318" spans="1:36" x14ac:dyDescent="0.25">
      <c r="A318" s="847">
        <v>4000</v>
      </c>
      <c r="B318" s="849">
        <f t="shared" ref="B318:I318" si="179">B332*$L$299</f>
        <v>90.326250000000002</v>
      </c>
      <c r="C318" s="849">
        <f t="shared" si="179"/>
        <v>90.326250000000002</v>
      </c>
      <c r="D318" s="849">
        <f t="shared" si="179"/>
        <v>90.326250000000002</v>
      </c>
      <c r="E318" s="849">
        <f t="shared" si="179"/>
        <v>90.326250000000002</v>
      </c>
      <c r="F318" s="849">
        <f t="shared" si="179"/>
        <v>90.326250000000002</v>
      </c>
      <c r="G318" s="849">
        <f t="shared" si="179"/>
        <v>90.326250000000002</v>
      </c>
      <c r="H318" s="849">
        <f t="shared" si="179"/>
        <v>90.326250000000002</v>
      </c>
      <c r="I318" s="849">
        <f t="shared" si="179"/>
        <v>90.326250000000002</v>
      </c>
      <c r="X318" s="637"/>
      <c r="Y318" s="637"/>
      <c r="Z318" s="637"/>
      <c r="AA318" s="637"/>
      <c r="AB318" s="637"/>
      <c r="AC318" s="637"/>
      <c r="AD318" s="637"/>
      <c r="AE318" s="637"/>
      <c r="AF318" s="635"/>
      <c r="AG318" s="637"/>
      <c r="AH318" s="637"/>
      <c r="AI318" s="637"/>
      <c r="AJ318" s="637"/>
    </row>
    <row r="319" spans="1:36" x14ac:dyDescent="0.25">
      <c r="A319" s="847">
        <v>5000</v>
      </c>
      <c r="B319" s="849">
        <f t="shared" ref="B319:I319" si="180">B333*$L$299</f>
        <v>112.29749999999999</v>
      </c>
      <c r="C319" s="849">
        <f t="shared" si="180"/>
        <v>112.29749999999999</v>
      </c>
      <c r="D319" s="849">
        <f t="shared" si="180"/>
        <v>112.29749999999999</v>
      </c>
      <c r="E319" s="849">
        <f t="shared" si="180"/>
        <v>112.29749999999999</v>
      </c>
      <c r="F319" s="849">
        <f t="shared" si="180"/>
        <v>112.29749999999999</v>
      </c>
      <c r="G319" s="849">
        <f t="shared" si="180"/>
        <v>112.29749999999999</v>
      </c>
      <c r="H319" s="849">
        <f t="shared" si="180"/>
        <v>112.29749999999999</v>
      </c>
      <c r="I319" s="849">
        <f t="shared" si="180"/>
        <v>112.29749999999999</v>
      </c>
      <c r="X319" s="637"/>
      <c r="Y319" s="637"/>
      <c r="Z319" s="637"/>
      <c r="AA319" s="637"/>
      <c r="AB319" s="637"/>
      <c r="AC319" s="637"/>
      <c r="AD319" s="637"/>
      <c r="AE319" s="637"/>
      <c r="AF319" s="635"/>
      <c r="AG319" s="637"/>
      <c r="AH319" s="637"/>
      <c r="AI319" s="637"/>
      <c r="AJ319" s="637"/>
    </row>
    <row r="320" spans="1:36" x14ac:dyDescent="0.25">
      <c r="A320" s="847">
        <v>7500</v>
      </c>
      <c r="B320" s="849">
        <f t="shared" ref="B320:I320" si="181">B334*$L$299</f>
        <v>168.44624999999999</v>
      </c>
      <c r="C320" s="849">
        <f t="shared" si="181"/>
        <v>168.44624999999999</v>
      </c>
      <c r="D320" s="849">
        <f t="shared" si="181"/>
        <v>168.44624999999999</v>
      </c>
      <c r="E320" s="849">
        <f t="shared" si="181"/>
        <v>168.44624999999999</v>
      </c>
      <c r="F320" s="849">
        <f t="shared" si="181"/>
        <v>168.44624999999999</v>
      </c>
      <c r="G320" s="849">
        <f t="shared" si="181"/>
        <v>168.44624999999999</v>
      </c>
      <c r="H320" s="849">
        <f t="shared" si="181"/>
        <v>168.44624999999999</v>
      </c>
      <c r="I320" s="849">
        <f t="shared" si="181"/>
        <v>168.44624999999999</v>
      </c>
      <c r="X320" s="637"/>
      <c r="Y320" s="637"/>
      <c r="Z320" s="637"/>
      <c r="AA320" s="637"/>
      <c r="AB320" s="637"/>
      <c r="AC320" s="637"/>
      <c r="AD320" s="637"/>
      <c r="AE320" s="637"/>
      <c r="AF320" s="635"/>
      <c r="AG320" s="637"/>
      <c r="AH320" s="637"/>
      <c r="AI320" s="637"/>
      <c r="AJ320" s="637"/>
    </row>
    <row r="321" spans="1:36" x14ac:dyDescent="0.25">
      <c r="A321" s="847">
        <v>10000</v>
      </c>
      <c r="B321" s="849">
        <f t="shared" ref="B321:I321" si="182">B335*$L$299</f>
        <v>224.59499999999997</v>
      </c>
      <c r="C321" s="849">
        <f t="shared" si="182"/>
        <v>224.59499999999997</v>
      </c>
      <c r="D321" s="849">
        <f t="shared" si="182"/>
        <v>224.59499999999997</v>
      </c>
      <c r="E321" s="849">
        <f t="shared" si="182"/>
        <v>224.59499999999997</v>
      </c>
      <c r="F321" s="849">
        <f t="shared" si="182"/>
        <v>224.59499999999997</v>
      </c>
      <c r="G321" s="849">
        <f t="shared" si="182"/>
        <v>224.59499999999997</v>
      </c>
      <c r="H321" s="849">
        <f t="shared" si="182"/>
        <v>224.59499999999997</v>
      </c>
      <c r="I321" s="849">
        <f t="shared" si="182"/>
        <v>224.59499999999997</v>
      </c>
      <c r="X321" s="637"/>
      <c r="Y321" s="637"/>
      <c r="Z321" s="637"/>
      <c r="AA321" s="637"/>
      <c r="AB321" s="637"/>
      <c r="AC321" s="637"/>
      <c r="AD321" s="637"/>
      <c r="AE321" s="637"/>
      <c r="AF321" s="635"/>
      <c r="AG321" s="637"/>
      <c r="AH321" s="637"/>
      <c r="AI321" s="637"/>
      <c r="AJ321" s="637"/>
    </row>
    <row r="322" spans="1:36" x14ac:dyDescent="0.25">
      <c r="X322" s="637"/>
      <c r="Y322" s="637"/>
      <c r="Z322" s="637"/>
      <c r="AA322" s="637"/>
      <c r="AB322" s="637"/>
      <c r="AC322" s="637"/>
      <c r="AD322" s="637"/>
      <c r="AE322" s="637"/>
      <c r="AF322" s="635"/>
      <c r="AG322" s="637"/>
      <c r="AH322" s="637"/>
      <c r="AI322" s="637"/>
      <c r="AJ322" s="637"/>
    </row>
    <row r="323" spans="1:36" x14ac:dyDescent="0.25">
      <c r="A323" s="857">
        <v>0.2</v>
      </c>
      <c r="X323" s="637"/>
      <c r="Y323" s="637"/>
      <c r="Z323" s="637"/>
      <c r="AA323" s="637"/>
      <c r="AB323" s="637"/>
      <c r="AC323" s="637"/>
      <c r="AD323" s="637"/>
      <c r="AE323" s="637"/>
      <c r="AF323" s="635"/>
      <c r="AG323" s="637"/>
      <c r="AH323" s="637"/>
      <c r="AI323" s="637"/>
      <c r="AJ323" s="637"/>
    </row>
    <row r="324" spans="1:36" ht="60" x14ac:dyDescent="0.25">
      <c r="A324" s="721" t="s">
        <v>914</v>
      </c>
      <c r="B324" s="574" t="s">
        <v>7</v>
      </c>
      <c r="C324" s="574" t="s">
        <v>21</v>
      </c>
      <c r="D324" s="584" t="s">
        <v>1045</v>
      </c>
      <c r="E324" s="574" t="s">
        <v>28</v>
      </c>
      <c r="F324" s="574" t="s">
        <v>29</v>
      </c>
      <c r="G324" s="574" t="s">
        <v>1073</v>
      </c>
      <c r="H324" s="574" t="s">
        <v>34</v>
      </c>
      <c r="I324" s="574" t="s">
        <v>813</v>
      </c>
      <c r="J324" s="845"/>
      <c r="X324" s="637"/>
      <c r="Y324" s="637"/>
      <c r="Z324" s="637"/>
      <c r="AA324" s="637"/>
      <c r="AB324" s="637"/>
      <c r="AC324" s="637"/>
      <c r="AD324" s="637"/>
      <c r="AE324" s="637"/>
      <c r="AF324" s="635"/>
      <c r="AG324" s="637"/>
      <c r="AH324" s="637"/>
      <c r="AI324" s="637"/>
      <c r="AJ324" s="637"/>
    </row>
    <row r="325" spans="1:36" x14ac:dyDescent="0.25">
      <c r="A325" s="831" t="s">
        <v>130</v>
      </c>
      <c r="B325" s="1154">
        <f>$AE132</f>
        <v>0</v>
      </c>
      <c r="C325" s="1154">
        <f t="shared" ref="C325:I325" si="183">$AE132</f>
        <v>0</v>
      </c>
      <c r="D325" s="1154">
        <f t="shared" si="183"/>
        <v>0</v>
      </c>
      <c r="E325" s="1154">
        <f t="shared" si="183"/>
        <v>0</v>
      </c>
      <c r="F325" s="1154">
        <f t="shared" si="183"/>
        <v>0</v>
      </c>
      <c r="G325" s="1154">
        <f t="shared" si="183"/>
        <v>0</v>
      </c>
      <c r="H325" s="1154">
        <f t="shared" si="183"/>
        <v>0</v>
      </c>
      <c r="I325" s="1154">
        <f t="shared" si="183"/>
        <v>0</v>
      </c>
      <c r="J325" s="845"/>
      <c r="X325" s="637"/>
      <c r="Y325" s="637"/>
      <c r="Z325" s="637"/>
      <c r="AA325" s="637"/>
      <c r="AB325" s="637"/>
      <c r="AC325" s="637"/>
      <c r="AD325" s="637"/>
      <c r="AE325" s="637"/>
      <c r="AF325" s="635"/>
      <c r="AG325" s="637"/>
      <c r="AH325" s="637"/>
      <c r="AI325" s="637"/>
      <c r="AJ325" s="637"/>
    </row>
    <row r="326" spans="1:36" x14ac:dyDescent="0.25">
      <c r="A326" s="847">
        <v>1000</v>
      </c>
      <c r="B326" s="1154">
        <f t="shared" ref="B326:I326" si="184">$AE133</f>
        <v>28.21</v>
      </c>
      <c r="C326" s="1154">
        <f t="shared" si="184"/>
        <v>28.21</v>
      </c>
      <c r="D326" s="1154">
        <f t="shared" si="184"/>
        <v>28.21</v>
      </c>
      <c r="E326" s="1154">
        <f t="shared" si="184"/>
        <v>28.21</v>
      </c>
      <c r="F326" s="1154">
        <f t="shared" si="184"/>
        <v>28.21</v>
      </c>
      <c r="G326" s="1154">
        <f t="shared" si="184"/>
        <v>28.21</v>
      </c>
      <c r="H326" s="1154">
        <f t="shared" si="184"/>
        <v>28.21</v>
      </c>
      <c r="I326" s="1154">
        <f t="shared" si="184"/>
        <v>28.21</v>
      </c>
      <c r="X326" s="637"/>
      <c r="Y326" s="637"/>
      <c r="Z326" s="637"/>
      <c r="AA326" s="637"/>
      <c r="AB326" s="637"/>
      <c r="AC326" s="637"/>
      <c r="AD326" s="637"/>
      <c r="AE326" s="637"/>
      <c r="AF326" s="635"/>
      <c r="AG326" s="637"/>
      <c r="AH326" s="637"/>
      <c r="AI326" s="637"/>
      <c r="AJ326" s="637"/>
    </row>
    <row r="327" spans="1:36" x14ac:dyDescent="0.25">
      <c r="A327" s="847">
        <v>1500</v>
      </c>
      <c r="B327" s="1154">
        <f t="shared" ref="B327:I327" si="185">$AE134</f>
        <v>34.72</v>
      </c>
      <c r="C327" s="1154">
        <f t="shared" si="185"/>
        <v>34.72</v>
      </c>
      <c r="D327" s="1154">
        <f t="shared" si="185"/>
        <v>34.72</v>
      </c>
      <c r="E327" s="1154">
        <f t="shared" si="185"/>
        <v>34.72</v>
      </c>
      <c r="F327" s="1154">
        <f t="shared" si="185"/>
        <v>34.72</v>
      </c>
      <c r="G327" s="1154">
        <f t="shared" si="185"/>
        <v>34.72</v>
      </c>
      <c r="H327" s="1154">
        <f t="shared" si="185"/>
        <v>34.72</v>
      </c>
      <c r="I327" s="1154">
        <f t="shared" si="185"/>
        <v>34.72</v>
      </c>
      <c r="X327" s="637"/>
      <c r="Y327" s="637"/>
      <c r="Z327" s="637"/>
      <c r="AA327" s="637"/>
      <c r="AB327" s="637"/>
      <c r="AC327" s="637"/>
      <c r="AD327" s="637"/>
      <c r="AE327" s="637"/>
      <c r="AF327" s="635"/>
      <c r="AG327" s="637"/>
      <c r="AH327" s="637"/>
      <c r="AI327" s="637"/>
      <c r="AJ327" s="637"/>
    </row>
    <row r="328" spans="1:36" x14ac:dyDescent="0.25">
      <c r="A328" s="847">
        <v>1600</v>
      </c>
      <c r="B328" s="1154">
        <f t="shared" ref="B328:I328" si="186">$AE135</f>
        <v>35.81</v>
      </c>
      <c r="C328" s="1154">
        <f t="shared" si="186"/>
        <v>35.81</v>
      </c>
      <c r="D328" s="1154">
        <f t="shared" si="186"/>
        <v>35.81</v>
      </c>
      <c r="E328" s="1154">
        <f t="shared" si="186"/>
        <v>35.81</v>
      </c>
      <c r="F328" s="1154">
        <f t="shared" si="186"/>
        <v>35.81</v>
      </c>
      <c r="G328" s="1154">
        <f t="shared" si="186"/>
        <v>35.81</v>
      </c>
      <c r="H328" s="1154">
        <f t="shared" si="186"/>
        <v>35.81</v>
      </c>
      <c r="I328" s="1154">
        <f t="shared" si="186"/>
        <v>35.81</v>
      </c>
      <c r="X328" s="637"/>
      <c r="Y328" s="637"/>
      <c r="Z328" s="637"/>
      <c r="AA328" s="637"/>
      <c r="AB328" s="637"/>
      <c r="AC328" s="637"/>
      <c r="AD328" s="637"/>
      <c r="AE328" s="637"/>
      <c r="AF328" s="635"/>
      <c r="AG328" s="637"/>
      <c r="AH328" s="637"/>
      <c r="AI328" s="637"/>
      <c r="AJ328" s="637"/>
    </row>
    <row r="329" spans="1:36" x14ac:dyDescent="0.25">
      <c r="A329" s="847">
        <v>2000</v>
      </c>
      <c r="B329" s="1154">
        <f t="shared" ref="B329:I329" si="187">$AE136</f>
        <v>40.15</v>
      </c>
      <c r="C329" s="1154">
        <f t="shared" si="187"/>
        <v>40.15</v>
      </c>
      <c r="D329" s="1154">
        <f t="shared" si="187"/>
        <v>40.15</v>
      </c>
      <c r="E329" s="1154">
        <f t="shared" si="187"/>
        <v>40.15</v>
      </c>
      <c r="F329" s="1154">
        <f t="shared" si="187"/>
        <v>40.15</v>
      </c>
      <c r="G329" s="1154">
        <f t="shared" si="187"/>
        <v>40.15</v>
      </c>
      <c r="H329" s="1154">
        <f t="shared" si="187"/>
        <v>40.15</v>
      </c>
      <c r="I329" s="1154">
        <f t="shared" si="187"/>
        <v>40.15</v>
      </c>
      <c r="X329" s="637"/>
      <c r="Y329" s="637"/>
      <c r="Z329" s="637"/>
      <c r="AA329" s="637"/>
      <c r="AB329" s="637"/>
      <c r="AC329" s="637"/>
      <c r="AD329" s="637"/>
      <c r="AE329" s="637"/>
      <c r="AF329" s="635"/>
      <c r="AG329" s="637"/>
      <c r="AH329" s="637"/>
      <c r="AI329" s="637"/>
      <c r="AJ329" s="637"/>
    </row>
    <row r="330" spans="1:36" x14ac:dyDescent="0.25">
      <c r="A330" s="847">
        <v>2500</v>
      </c>
      <c r="B330" s="1154">
        <f t="shared" ref="B330:I330" si="188">$AE137</f>
        <v>49.91</v>
      </c>
      <c r="C330" s="1154">
        <f t="shared" si="188"/>
        <v>49.91</v>
      </c>
      <c r="D330" s="1154">
        <f t="shared" si="188"/>
        <v>49.91</v>
      </c>
      <c r="E330" s="1154">
        <f t="shared" si="188"/>
        <v>49.91</v>
      </c>
      <c r="F330" s="1154">
        <f t="shared" si="188"/>
        <v>49.91</v>
      </c>
      <c r="G330" s="1154">
        <f t="shared" si="188"/>
        <v>49.91</v>
      </c>
      <c r="H330" s="1154">
        <f t="shared" si="188"/>
        <v>49.91</v>
      </c>
      <c r="I330" s="1154">
        <f t="shared" si="188"/>
        <v>49.91</v>
      </c>
      <c r="X330" s="637"/>
      <c r="Y330" s="637"/>
      <c r="Z330" s="637"/>
      <c r="AA330" s="637"/>
      <c r="AB330" s="637"/>
      <c r="AC330" s="637"/>
      <c r="AD330" s="637"/>
      <c r="AE330" s="637"/>
      <c r="AF330" s="635"/>
      <c r="AG330" s="637"/>
      <c r="AH330" s="637"/>
      <c r="AI330" s="637"/>
      <c r="AJ330" s="637"/>
    </row>
    <row r="331" spans="1:36" x14ac:dyDescent="0.25">
      <c r="A331" s="847">
        <v>3000</v>
      </c>
      <c r="B331" s="1154">
        <f t="shared" ref="B331:I331" si="189">$AE138</f>
        <v>60.76</v>
      </c>
      <c r="C331" s="1154">
        <f t="shared" si="189"/>
        <v>60.76</v>
      </c>
      <c r="D331" s="1154">
        <f t="shared" si="189"/>
        <v>60.76</v>
      </c>
      <c r="E331" s="1154">
        <f t="shared" si="189"/>
        <v>60.76</v>
      </c>
      <c r="F331" s="1154">
        <f t="shared" si="189"/>
        <v>60.76</v>
      </c>
      <c r="G331" s="1154">
        <f t="shared" si="189"/>
        <v>60.76</v>
      </c>
      <c r="H331" s="1154">
        <f t="shared" si="189"/>
        <v>60.76</v>
      </c>
      <c r="I331" s="1154">
        <f t="shared" si="189"/>
        <v>60.76</v>
      </c>
      <c r="X331" s="637"/>
      <c r="Y331" s="637"/>
      <c r="Z331" s="637"/>
      <c r="AA331" s="637"/>
      <c r="AB331" s="637"/>
      <c r="AC331" s="637"/>
      <c r="AD331" s="637"/>
      <c r="AE331" s="637"/>
      <c r="AF331" s="635"/>
      <c r="AG331" s="637"/>
      <c r="AH331" s="637"/>
      <c r="AI331" s="637"/>
      <c r="AJ331" s="637"/>
    </row>
    <row r="332" spans="1:36" x14ac:dyDescent="0.25">
      <c r="A332" s="847">
        <v>4000</v>
      </c>
      <c r="B332" s="1154">
        <f t="shared" ref="B332:I332" si="190">$AE139</f>
        <v>80.290000000000006</v>
      </c>
      <c r="C332" s="1154">
        <f t="shared" si="190"/>
        <v>80.290000000000006</v>
      </c>
      <c r="D332" s="1154">
        <f t="shared" si="190"/>
        <v>80.290000000000006</v>
      </c>
      <c r="E332" s="1154">
        <f t="shared" si="190"/>
        <v>80.290000000000006</v>
      </c>
      <c r="F332" s="1154">
        <f t="shared" si="190"/>
        <v>80.290000000000006</v>
      </c>
      <c r="G332" s="1154">
        <f t="shared" si="190"/>
        <v>80.290000000000006</v>
      </c>
      <c r="H332" s="1154">
        <f t="shared" si="190"/>
        <v>80.290000000000006</v>
      </c>
      <c r="I332" s="1154">
        <f t="shared" si="190"/>
        <v>80.290000000000006</v>
      </c>
      <c r="X332" s="637"/>
      <c r="Y332" s="637"/>
      <c r="Z332" s="637"/>
      <c r="AA332" s="637"/>
      <c r="AB332" s="637"/>
      <c r="AC332" s="637"/>
      <c r="AD332" s="637"/>
      <c r="AE332" s="637"/>
      <c r="AF332" s="635"/>
      <c r="AG332" s="637"/>
      <c r="AH332" s="637"/>
      <c r="AI332" s="637"/>
      <c r="AJ332" s="637"/>
    </row>
    <row r="333" spans="1:36" x14ac:dyDescent="0.25">
      <c r="A333" s="847">
        <v>5000</v>
      </c>
      <c r="B333" s="1154">
        <f t="shared" ref="B333:I333" si="191">$AE140</f>
        <v>99.82</v>
      </c>
      <c r="C333" s="1154">
        <f t="shared" si="191"/>
        <v>99.82</v>
      </c>
      <c r="D333" s="1154">
        <f t="shared" si="191"/>
        <v>99.82</v>
      </c>
      <c r="E333" s="1154">
        <f t="shared" si="191"/>
        <v>99.82</v>
      </c>
      <c r="F333" s="1154">
        <f t="shared" si="191"/>
        <v>99.82</v>
      </c>
      <c r="G333" s="1154">
        <f t="shared" si="191"/>
        <v>99.82</v>
      </c>
      <c r="H333" s="1154">
        <f t="shared" si="191"/>
        <v>99.82</v>
      </c>
      <c r="I333" s="1154">
        <f t="shared" si="191"/>
        <v>99.82</v>
      </c>
      <c r="X333" s="637"/>
      <c r="Y333" s="637"/>
      <c r="Z333" s="637"/>
      <c r="AA333" s="637"/>
      <c r="AB333" s="637"/>
      <c r="AC333" s="637"/>
      <c r="AD333" s="637"/>
      <c r="AE333" s="637"/>
      <c r="AF333" s="635"/>
      <c r="AG333" s="637"/>
      <c r="AH333" s="637"/>
      <c r="AI333" s="637"/>
      <c r="AJ333" s="637"/>
    </row>
    <row r="334" spans="1:36" x14ac:dyDescent="0.25">
      <c r="A334" s="847">
        <v>7500</v>
      </c>
      <c r="B334" s="1154">
        <f t="shared" ref="B334:I334" si="192">$AE141</f>
        <v>149.72999999999999</v>
      </c>
      <c r="C334" s="1154">
        <f t="shared" si="192"/>
        <v>149.72999999999999</v>
      </c>
      <c r="D334" s="1154">
        <f t="shared" si="192"/>
        <v>149.72999999999999</v>
      </c>
      <c r="E334" s="1154">
        <f t="shared" si="192"/>
        <v>149.72999999999999</v>
      </c>
      <c r="F334" s="1154">
        <f t="shared" si="192"/>
        <v>149.72999999999999</v>
      </c>
      <c r="G334" s="1154">
        <f t="shared" si="192"/>
        <v>149.72999999999999</v>
      </c>
      <c r="H334" s="1154">
        <f t="shared" si="192"/>
        <v>149.72999999999999</v>
      </c>
      <c r="I334" s="1154">
        <f t="shared" si="192"/>
        <v>149.72999999999999</v>
      </c>
      <c r="X334" s="637"/>
      <c r="Y334" s="637"/>
      <c r="Z334" s="637"/>
      <c r="AA334" s="637"/>
      <c r="AB334" s="637"/>
      <c r="AC334" s="637"/>
      <c r="AD334" s="637"/>
      <c r="AE334" s="637"/>
      <c r="AF334" s="635"/>
      <c r="AG334" s="637"/>
      <c r="AH334" s="637"/>
      <c r="AI334" s="637"/>
      <c r="AJ334" s="637"/>
    </row>
    <row r="335" spans="1:36" x14ac:dyDescent="0.25">
      <c r="A335" s="847">
        <v>10000</v>
      </c>
      <c r="B335" s="1154">
        <f t="shared" ref="B335:I335" si="193">$AE142</f>
        <v>199.64</v>
      </c>
      <c r="C335" s="1154">
        <f t="shared" si="193"/>
        <v>199.64</v>
      </c>
      <c r="D335" s="1154">
        <f t="shared" si="193"/>
        <v>199.64</v>
      </c>
      <c r="E335" s="1154">
        <f t="shared" si="193"/>
        <v>199.64</v>
      </c>
      <c r="F335" s="1154">
        <f t="shared" si="193"/>
        <v>199.64</v>
      </c>
      <c r="G335" s="1154">
        <f t="shared" si="193"/>
        <v>199.64</v>
      </c>
      <c r="H335" s="1154">
        <f t="shared" si="193"/>
        <v>199.64</v>
      </c>
      <c r="I335" s="1154">
        <f t="shared" si="193"/>
        <v>199.64</v>
      </c>
      <c r="X335" s="637"/>
      <c r="Y335" s="637"/>
      <c r="Z335" s="637"/>
      <c r="AA335" s="637"/>
      <c r="AB335" s="637"/>
      <c r="AC335" s="637"/>
      <c r="AD335" s="637"/>
      <c r="AE335" s="637"/>
      <c r="AF335" s="635"/>
      <c r="AG335" s="637"/>
      <c r="AH335" s="637"/>
      <c r="AI335" s="637"/>
      <c r="AJ335" s="637"/>
    </row>
    <row r="336" spans="1:36" x14ac:dyDescent="0.25">
      <c r="X336" s="637"/>
      <c r="Y336" s="637"/>
      <c r="Z336" s="637"/>
      <c r="AA336" s="637"/>
      <c r="AB336" s="637"/>
      <c r="AC336" s="637"/>
      <c r="AD336" s="637"/>
      <c r="AE336" s="637"/>
      <c r="AF336" s="635"/>
      <c r="AG336" s="637"/>
      <c r="AH336" s="637"/>
      <c r="AI336" s="637"/>
      <c r="AJ336" s="637"/>
    </row>
    <row r="337" spans="1:36" x14ac:dyDescent="0.25">
      <c r="A337" s="857">
        <v>0.3</v>
      </c>
      <c r="X337" s="637"/>
      <c r="Y337" s="637"/>
      <c r="Z337" s="637"/>
      <c r="AA337" s="637"/>
      <c r="AB337" s="637"/>
      <c r="AC337" s="637"/>
      <c r="AD337" s="637"/>
      <c r="AE337" s="637"/>
      <c r="AF337" s="635"/>
      <c r="AG337" s="637"/>
      <c r="AH337" s="637"/>
      <c r="AI337" s="637"/>
      <c r="AJ337" s="637"/>
    </row>
    <row r="338" spans="1:36" ht="60" x14ac:dyDescent="0.25">
      <c r="A338" s="721" t="s">
        <v>914</v>
      </c>
      <c r="B338" s="574" t="s">
        <v>7</v>
      </c>
      <c r="C338" s="574" t="s">
        <v>21</v>
      </c>
      <c r="D338" s="584" t="s">
        <v>1045</v>
      </c>
      <c r="E338" s="574" t="s">
        <v>28</v>
      </c>
      <c r="F338" s="574" t="s">
        <v>29</v>
      </c>
      <c r="G338" s="574" t="s">
        <v>1073</v>
      </c>
      <c r="H338" s="574" t="s">
        <v>34</v>
      </c>
      <c r="I338" s="574" t="s">
        <v>813</v>
      </c>
      <c r="J338" s="845"/>
      <c r="X338" s="637"/>
      <c r="Y338" s="637"/>
      <c r="Z338" s="637"/>
      <c r="AA338" s="637"/>
      <c r="AB338" s="637"/>
      <c r="AC338" s="637"/>
      <c r="AD338" s="637"/>
      <c r="AE338" s="637"/>
      <c r="AF338" s="635"/>
      <c r="AG338" s="637"/>
      <c r="AH338" s="637"/>
      <c r="AI338" s="637"/>
      <c r="AJ338" s="637"/>
    </row>
    <row r="339" spans="1:36" x14ac:dyDescent="0.25">
      <c r="A339" s="831" t="s">
        <v>130</v>
      </c>
      <c r="B339" s="849">
        <f>B325*$L$297</f>
        <v>0</v>
      </c>
      <c r="C339" s="849">
        <f t="shared" ref="C339:I339" si="194">C325*$L$297</f>
        <v>0</v>
      </c>
      <c r="D339" s="849">
        <f t="shared" si="194"/>
        <v>0</v>
      </c>
      <c r="E339" s="849">
        <f t="shared" si="194"/>
        <v>0</v>
      </c>
      <c r="F339" s="849">
        <f t="shared" si="194"/>
        <v>0</v>
      </c>
      <c r="G339" s="849">
        <f t="shared" si="194"/>
        <v>0</v>
      </c>
      <c r="H339" s="849">
        <f t="shared" si="194"/>
        <v>0</v>
      </c>
      <c r="I339" s="849">
        <f t="shared" si="194"/>
        <v>0</v>
      </c>
      <c r="J339" s="845"/>
      <c r="X339" s="637"/>
      <c r="Y339" s="637"/>
      <c r="Z339" s="637"/>
      <c r="AA339" s="637"/>
      <c r="AB339" s="637"/>
      <c r="AC339" s="637"/>
      <c r="AD339" s="637"/>
      <c r="AE339" s="637"/>
      <c r="AF339" s="635"/>
      <c r="AG339" s="637"/>
      <c r="AH339" s="637"/>
      <c r="AI339" s="637"/>
      <c r="AJ339" s="637"/>
    </row>
    <row r="340" spans="1:36" x14ac:dyDescent="0.25">
      <c r="A340" s="847">
        <v>1000</v>
      </c>
      <c r="B340" s="849">
        <f t="shared" ref="B340:I340" si="195">B326*$L$297</f>
        <v>24.683749999999996</v>
      </c>
      <c r="C340" s="849">
        <f t="shared" si="195"/>
        <v>24.683749999999996</v>
      </c>
      <c r="D340" s="849">
        <f t="shared" si="195"/>
        <v>24.683749999999996</v>
      </c>
      <c r="E340" s="849">
        <f t="shared" si="195"/>
        <v>24.683749999999996</v>
      </c>
      <c r="F340" s="849">
        <f t="shared" si="195"/>
        <v>24.683749999999996</v>
      </c>
      <c r="G340" s="849">
        <f t="shared" si="195"/>
        <v>24.683749999999996</v>
      </c>
      <c r="H340" s="849">
        <f t="shared" si="195"/>
        <v>24.683749999999996</v>
      </c>
      <c r="I340" s="849">
        <f t="shared" si="195"/>
        <v>24.683749999999996</v>
      </c>
      <c r="X340" s="637"/>
      <c r="Y340" s="637"/>
      <c r="Z340" s="637"/>
      <c r="AA340" s="637"/>
      <c r="AB340" s="637"/>
      <c r="AC340" s="637"/>
      <c r="AD340" s="637"/>
      <c r="AE340" s="637"/>
      <c r="AF340" s="635"/>
      <c r="AG340" s="637"/>
      <c r="AH340" s="637"/>
      <c r="AI340" s="637"/>
      <c r="AJ340" s="637"/>
    </row>
    <row r="341" spans="1:36" x14ac:dyDescent="0.25">
      <c r="A341" s="847">
        <v>1500</v>
      </c>
      <c r="B341" s="849">
        <f t="shared" ref="B341:I341" si="196">B327*$L$297</f>
        <v>30.379999999999995</v>
      </c>
      <c r="C341" s="849">
        <f t="shared" si="196"/>
        <v>30.379999999999995</v>
      </c>
      <c r="D341" s="849">
        <f t="shared" si="196"/>
        <v>30.379999999999995</v>
      </c>
      <c r="E341" s="849">
        <f t="shared" si="196"/>
        <v>30.379999999999995</v>
      </c>
      <c r="F341" s="849">
        <f t="shared" si="196"/>
        <v>30.379999999999995</v>
      </c>
      <c r="G341" s="849">
        <f t="shared" si="196"/>
        <v>30.379999999999995</v>
      </c>
      <c r="H341" s="849">
        <f t="shared" si="196"/>
        <v>30.379999999999995</v>
      </c>
      <c r="I341" s="849">
        <f t="shared" si="196"/>
        <v>30.379999999999995</v>
      </c>
      <c r="X341" s="637"/>
      <c r="Y341" s="637"/>
      <c r="Z341" s="637"/>
      <c r="AA341" s="637"/>
      <c r="AB341" s="637"/>
      <c r="AC341" s="637"/>
      <c r="AD341" s="637"/>
      <c r="AE341" s="637"/>
      <c r="AF341" s="635"/>
      <c r="AG341" s="637"/>
      <c r="AH341" s="637"/>
      <c r="AI341" s="637"/>
      <c r="AJ341" s="637"/>
    </row>
    <row r="342" spans="1:36" x14ac:dyDescent="0.25">
      <c r="A342" s="847">
        <v>1600</v>
      </c>
      <c r="B342" s="849">
        <f t="shared" ref="B342:I342" si="197">B328*$L$297</f>
        <v>31.333749999999998</v>
      </c>
      <c r="C342" s="849">
        <f t="shared" si="197"/>
        <v>31.333749999999998</v>
      </c>
      <c r="D342" s="849">
        <f t="shared" si="197"/>
        <v>31.333749999999998</v>
      </c>
      <c r="E342" s="849">
        <f t="shared" si="197"/>
        <v>31.333749999999998</v>
      </c>
      <c r="F342" s="849">
        <f t="shared" si="197"/>
        <v>31.333749999999998</v>
      </c>
      <c r="G342" s="849">
        <f t="shared" si="197"/>
        <v>31.333749999999998</v>
      </c>
      <c r="H342" s="849">
        <f t="shared" si="197"/>
        <v>31.333749999999998</v>
      </c>
      <c r="I342" s="849">
        <f t="shared" si="197"/>
        <v>31.333749999999998</v>
      </c>
      <c r="X342" s="637"/>
      <c r="Y342" s="637"/>
      <c r="Z342" s="637"/>
      <c r="AA342" s="637"/>
      <c r="AB342" s="637"/>
      <c r="AC342" s="637"/>
      <c r="AD342" s="637"/>
      <c r="AE342" s="637"/>
      <c r="AF342" s="635"/>
      <c r="AG342" s="637"/>
      <c r="AH342" s="637"/>
      <c r="AI342" s="637"/>
      <c r="AJ342" s="637"/>
    </row>
    <row r="343" spans="1:36" x14ac:dyDescent="0.25">
      <c r="A343" s="847">
        <v>2000</v>
      </c>
      <c r="B343" s="849">
        <f t="shared" ref="B343:I343" si="198">B329*$L$297</f>
        <v>35.131249999999994</v>
      </c>
      <c r="C343" s="849">
        <f t="shared" si="198"/>
        <v>35.131249999999994</v>
      </c>
      <c r="D343" s="849">
        <f t="shared" si="198"/>
        <v>35.131249999999994</v>
      </c>
      <c r="E343" s="849">
        <f t="shared" si="198"/>
        <v>35.131249999999994</v>
      </c>
      <c r="F343" s="849">
        <f t="shared" si="198"/>
        <v>35.131249999999994</v>
      </c>
      <c r="G343" s="849">
        <f t="shared" si="198"/>
        <v>35.131249999999994</v>
      </c>
      <c r="H343" s="849">
        <f t="shared" si="198"/>
        <v>35.131249999999994</v>
      </c>
      <c r="I343" s="849">
        <f t="shared" si="198"/>
        <v>35.131249999999994</v>
      </c>
      <c r="X343" s="637"/>
      <c r="Y343" s="637"/>
      <c r="Z343" s="637"/>
      <c r="AA343" s="637"/>
      <c r="AB343" s="637"/>
      <c r="AC343" s="637"/>
      <c r="AD343" s="637"/>
      <c r="AE343" s="637"/>
      <c r="AF343" s="635"/>
      <c r="AG343" s="637"/>
      <c r="AH343" s="637"/>
      <c r="AI343" s="637"/>
      <c r="AJ343" s="637"/>
    </row>
    <row r="344" spans="1:36" x14ac:dyDescent="0.25">
      <c r="A344" s="847">
        <v>2500</v>
      </c>
      <c r="B344" s="849">
        <f t="shared" ref="B344:I344" si="199">B330*$L$297</f>
        <v>43.671249999999993</v>
      </c>
      <c r="C344" s="849">
        <f t="shared" si="199"/>
        <v>43.671249999999993</v>
      </c>
      <c r="D344" s="849">
        <f t="shared" si="199"/>
        <v>43.671249999999993</v>
      </c>
      <c r="E344" s="849">
        <f t="shared" si="199"/>
        <v>43.671249999999993</v>
      </c>
      <c r="F344" s="849">
        <f t="shared" si="199"/>
        <v>43.671249999999993</v>
      </c>
      <c r="G344" s="849">
        <f t="shared" si="199"/>
        <v>43.671249999999993</v>
      </c>
      <c r="H344" s="849">
        <f t="shared" si="199"/>
        <v>43.671249999999993</v>
      </c>
      <c r="I344" s="849">
        <f t="shared" si="199"/>
        <v>43.671249999999993</v>
      </c>
      <c r="X344" s="637"/>
      <c r="Y344" s="637"/>
      <c r="Z344" s="637"/>
      <c r="AA344" s="637"/>
      <c r="AB344" s="637"/>
      <c r="AC344" s="637"/>
      <c r="AD344" s="637"/>
      <c r="AE344" s="637"/>
      <c r="AF344" s="635"/>
      <c r="AG344" s="637"/>
      <c r="AH344" s="637"/>
      <c r="AI344" s="637"/>
      <c r="AJ344" s="637"/>
    </row>
    <row r="345" spans="1:36" x14ac:dyDescent="0.25">
      <c r="A345" s="847">
        <v>3000</v>
      </c>
      <c r="B345" s="849">
        <f t="shared" ref="B345:I345" si="200">B331*$L$297</f>
        <v>53.164999999999992</v>
      </c>
      <c r="C345" s="849">
        <f t="shared" si="200"/>
        <v>53.164999999999992</v>
      </c>
      <c r="D345" s="849">
        <f t="shared" si="200"/>
        <v>53.164999999999992</v>
      </c>
      <c r="E345" s="849">
        <f t="shared" si="200"/>
        <v>53.164999999999992</v>
      </c>
      <c r="F345" s="849">
        <f t="shared" si="200"/>
        <v>53.164999999999992</v>
      </c>
      <c r="G345" s="849">
        <f t="shared" si="200"/>
        <v>53.164999999999992</v>
      </c>
      <c r="H345" s="849">
        <f t="shared" si="200"/>
        <v>53.164999999999992</v>
      </c>
      <c r="I345" s="849">
        <f t="shared" si="200"/>
        <v>53.164999999999992</v>
      </c>
      <c r="X345" s="637"/>
      <c r="Y345" s="637"/>
      <c r="Z345" s="637"/>
      <c r="AA345" s="637"/>
      <c r="AB345" s="637"/>
      <c r="AC345" s="637"/>
      <c r="AD345" s="637"/>
      <c r="AE345" s="637"/>
      <c r="AF345" s="635"/>
      <c r="AG345" s="637"/>
      <c r="AH345" s="637"/>
      <c r="AI345" s="637"/>
      <c r="AJ345" s="637"/>
    </row>
    <row r="346" spans="1:36" x14ac:dyDescent="0.25">
      <c r="A346" s="847">
        <v>4000</v>
      </c>
      <c r="B346" s="849">
        <f t="shared" ref="B346:I346" si="201">B332*$L$297</f>
        <v>70.253749999999997</v>
      </c>
      <c r="C346" s="849">
        <f t="shared" si="201"/>
        <v>70.253749999999997</v>
      </c>
      <c r="D346" s="849">
        <f t="shared" si="201"/>
        <v>70.253749999999997</v>
      </c>
      <c r="E346" s="849">
        <f t="shared" si="201"/>
        <v>70.253749999999997</v>
      </c>
      <c r="F346" s="849">
        <f t="shared" si="201"/>
        <v>70.253749999999997</v>
      </c>
      <c r="G346" s="849">
        <f t="shared" si="201"/>
        <v>70.253749999999997</v>
      </c>
      <c r="H346" s="849">
        <f t="shared" si="201"/>
        <v>70.253749999999997</v>
      </c>
      <c r="I346" s="849">
        <f t="shared" si="201"/>
        <v>70.253749999999997</v>
      </c>
      <c r="X346" s="637"/>
      <c r="Y346" s="637"/>
      <c r="Z346" s="637"/>
      <c r="AA346" s="637"/>
      <c r="AB346" s="637"/>
      <c r="AC346" s="637"/>
      <c r="AD346" s="637"/>
      <c r="AE346" s="637"/>
      <c r="AF346" s="635"/>
      <c r="AG346" s="637"/>
      <c r="AH346" s="637"/>
      <c r="AI346" s="637"/>
      <c r="AJ346" s="637"/>
    </row>
    <row r="347" spans="1:36" x14ac:dyDescent="0.25">
      <c r="A347" s="847">
        <v>5000</v>
      </c>
      <c r="B347" s="849">
        <f t="shared" ref="B347:I347" si="202">B333*$L$297</f>
        <v>87.342499999999987</v>
      </c>
      <c r="C347" s="849">
        <f t="shared" si="202"/>
        <v>87.342499999999987</v>
      </c>
      <c r="D347" s="849">
        <f t="shared" si="202"/>
        <v>87.342499999999987</v>
      </c>
      <c r="E347" s="849">
        <f t="shared" si="202"/>
        <v>87.342499999999987</v>
      </c>
      <c r="F347" s="849">
        <f t="shared" si="202"/>
        <v>87.342499999999987</v>
      </c>
      <c r="G347" s="849">
        <f t="shared" si="202"/>
        <v>87.342499999999987</v>
      </c>
      <c r="H347" s="849">
        <f t="shared" si="202"/>
        <v>87.342499999999987</v>
      </c>
      <c r="I347" s="849">
        <f t="shared" si="202"/>
        <v>87.342499999999987</v>
      </c>
      <c r="X347" s="637"/>
      <c r="Y347" s="637"/>
      <c r="Z347" s="637"/>
      <c r="AA347" s="637"/>
      <c r="AB347" s="637"/>
      <c r="AC347" s="637"/>
      <c r="AD347" s="637"/>
      <c r="AE347" s="637"/>
      <c r="AF347" s="635"/>
      <c r="AG347" s="637"/>
      <c r="AH347" s="637"/>
      <c r="AI347" s="637"/>
      <c r="AJ347" s="637"/>
    </row>
    <row r="348" spans="1:36" x14ac:dyDescent="0.25">
      <c r="A348" s="847">
        <v>7500</v>
      </c>
      <c r="B348" s="849">
        <f t="shared" ref="B348:I348" si="203">B334*$L$297</f>
        <v>131.01374999999999</v>
      </c>
      <c r="C348" s="849">
        <f t="shared" si="203"/>
        <v>131.01374999999999</v>
      </c>
      <c r="D348" s="849">
        <f t="shared" si="203"/>
        <v>131.01374999999999</v>
      </c>
      <c r="E348" s="849">
        <f t="shared" si="203"/>
        <v>131.01374999999999</v>
      </c>
      <c r="F348" s="849">
        <f t="shared" si="203"/>
        <v>131.01374999999999</v>
      </c>
      <c r="G348" s="849">
        <f t="shared" si="203"/>
        <v>131.01374999999999</v>
      </c>
      <c r="H348" s="849">
        <f t="shared" si="203"/>
        <v>131.01374999999999</v>
      </c>
      <c r="I348" s="849">
        <f t="shared" si="203"/>
        <v>131.01374999999999</v>
      </c>
      <c r="X348" s="637"/>
      <c r="Y348" s="637"/>
      <c r="Z348" s="637"/>
      <c r="AA348" s="637"/>
      <c r="AB348" s="637"/>
      <c r="AC348" s="637"/>
      <c r="AD348" s="637"/>
      <c r="AE348" s="637"/>
      <c r="AF348" s="637"/>
      <c r="AG348" s="637"/>
      <c r="AH348" s="637"/>
      <c r="AI348" s="637"/>
      <c r="AJ348" s="637"/>
    </row>
    <row r="349" spans="1:36" x14ac:dyDescent="0.25">
      <c r="A349" s="847">
        <v>10000</v>
      </c>
      <c r="B349" s="849">
        <f t="shared" ref="B349:I349" si="204">B335*$L$297</f>
        <v>174.68499999999997</v>
      </c>
      <c r="C349" s="849">
        <f t="shared" si="204"/>
        <v>174.68499999999997</v>
      </c>
      <c r="D349" s="849">
        <f t="shared" si="204"/>
        <v>174.68499999999997</v>
      </c>
      <c r="E349" s="849">
        <f t="shared" si="204"/>
        <v>174.68499999999997</v>
      </c>
      <c r="F349" s="849">
        <f t="shared" si="204"/>
        <v>174.68499999999997</v>
      </c>
      <c r="G349" s="849">
        <f t="shared" si="204"/>
        <v>174.68499999999997</v>
      </c>
      <c r="H349" s="849">
        <f t="shared" si="204"/>
        <v>174.68499999999997</v>
      </c>
      <c r="I349" s="849">
        <f t="shared" si="204"/>
        <v>174.68499999999997</v>
      </c>
      <c r="X349" s="637"/>
      <c r="Y349" s="637"/>
      <c r="Z349" s="637"/>
      <c r="AA349" s="637"/>
      <c r="AB349" s="637"/>
      <c r="AC349" s="637"/>
      <c r="AD349" s="637"/>
      <c r="AE349" s="637"/>
      <c r="AF349" s="637"/>
      <c r="AG349" s="637"/>
      <c r="AH349" s="637"/>
      <c r="AI349" s="637"/>
      <c r="AJ349" s="637"/>
    </row>
    <row r="350" spans="1:36" x14ac:dyDescent="0.25">
      <c r="X350" s="637"/>
      <c r="Y350" s="637"/>
      <c r="Z350" s="637"/>
      <c r="AA350" s="637"/>
      <c r="AB350" s="637"/>
      <c r="AC350" s="637"/>
      <c r="AD350" s="637"/>
      <c r="AE350" s="637"/>
      <c r="AF350" s="635"/>
      <c r="AG350" s="637"/>
      <c r="AH350" s="637"/>
      <c r="AI350" s="637"/>
      <c r="AJ350" s="637"/>
    </row>
    <row r="351" spans="1:36" x14ac:dyDescent="0.25">
      <c r="A351" s="850" t="s">
        <v>1016</v>
      </c>
      <c r="X351" s="637"/>
      <c r="Y351" s="637"/>
      <c r="Z351" s="637"/>
      <c r="AA351" s="637"/>
      <c r="AB351" s="637"/>
      <c r="AC351" s="637"/>
      <c r="AD351" s="637"/>
      <c r="AE351" s="637"/>
      <c r="AF351" s="635"/>
      <c r="AG351" s="637"/>
      <c r="AH351" s="637"/>
      <c r="AI351" s="637"/>
      <c r="AJ351" s="637"/>
    </row>
    <row r="352" spans="1:36" x14ac:dyDescent="0.25">
      <c r="A352" s="721" t="s">
        <v>350</v>
      </c>
      <c r="B352" s="574" t="s">
        <v>7</v>
      </c>
      <c r="C352" s="574" t="s">
        <v>21</v>
      </c>
      <c r="D352" s="584" t="s">
        <v>1045</v>
      </c>
      <c r="E352" s="574" t="s">
        <v>28</v>
      </c>
      <c r="F352" s="574" t="s">
        <v>29</v>
      </c>
      <c r="G352" s="574" t="s">
        <v>1073</v>
      </c>
      <c r="H352" s="574" t="s">
        <v>34</v>
      </c>
      <c r="I352" s="574" t="s">
        <v>813</v>
      </c>
      <c r="X352" s="637"/>
      <c r="Y352" s="637"/>
      <c r="Z352" s="637"/>
      <c r="AA352" s="637"/>
      <c r="AB352" s="637"/>
      <c r="AC352" s="637"/>
      <c r="AD352" s="637"/>
      <c r="AE352" s="637"/>
      <c r="AF352" s="635"/>
      <c r="AG352" s="637"/>
      <c r="AH352" s="637"/>
      <c r="AI352" s="637"/>
      <c r="AJ352" s="637"/>
    </row>
    <row r="353" spans="1:39" x14ac:dyDescent="0.25">
      <c r="A353" s="846" t="s">
        <v>130</v>
      </c>
      <c r="B353" s="1155">
        <f>$Y143</f>
        <v>0</v>
      </c>
      <c r="C353" s="1155">
        <f t="shared" ref="C353:I353" si="205">$Y143</f>
        <v>0</v>
      </c>
      <c r="D353" s="1155">
        <f t="shared" si="205"/>
        <v>0</v>
      </c>
      <c r="E353" s="1155">
        <f t="shared" si="205"/>
        <v>0</v>
      </c>
      <c r="F353" s="1155">
        <f t="shared" si="205"/>
        <v>0</v>
      </c>
      <c r="G353" s="1155">
        <f t="shared" si="205"/>
        <v>0</v>
      </c>
      <c r="H353" s="1155">
        <f t="shared" si="205"/>
        <v>0</v>
      </c>
      <c r="I353" s="1155">
        <f t="shared" si="205"/>
        <v>0</v>
      </c>
      <c r="X353" s="637"/>
      <c r="Y353" s="637"/>
      <c r="Z353" s="637"/>
      <c r="AA353" s="637"/>
      <c r="AB353" s="637"/>
      <c r="AC353" s="637"/>
      <c r="AD353" s="637"/>
      <c r="AE353" s="637"/>
      <c r="AF353" s="635"/>
      <c r="AG353" s="637"/>
      <c r="AH353" s="637"/>
      <c r="AI353" s="637"/>
      <c r="AJ353" s="637"/>
    </row>
    <row r="354" spans="1:39" x14ac:dyDescent="0.25">
      <c r="A354" s="846">
        <v>1000</v>
      </c>
      <c r="B354" s="1155">
        <f t="shared" ref="B354:I354" si="206">$Y144</f>
        <v>174.69</v>
      </c>
      <c r="C354" s="1155">
        <f t="shared" si="206"/>
        <v>174.69</v>
      </c>
      <c r="D354" s="1155">
        <f t="shared" si="206"/>
        <v>174.69</v>
      </c>
      <c r="E354" s="1155">
        <f t="shared" si="206"/>
        <v>174.69</v>
      </c>
      <c r="F354" s="1155">
        <f t="shared" si="206"/>
        <v>174.69</v>
      </c>
      <c r="G354" s="1155">
        <f t="shared" si="206"/>
        <v>174.69</v>
      </c>
      <c r="H354" s="1155">
        <f t="shared" si="206"/>
        <v>174.69</v>
      </c>
      <c r="I354" s="1155">
        <f t="shared" si="206"/>
        <v>174.69</v>
      </c>
      <c r="X354" s="637"/>
      <c r="Y354" s="637"/>
      <c r="Z354" s="637"/>
      <c r="AA354" s="637"/>
      <c r="AB354" s="637"/>
      <c r="AC354" s="637"/>
      <c r="AD354" s="637"/>
      <c r="AE354" s="637"/>
      <c r="AF354" s="635"/>
      <c r="AG354" s="637"/>
      <c r="AH354" s="637"/>
      <c r="AI354" s="637"/>
      <c r="AJ354" s="637"/>
    </row>
    <row r="355" spans="1:39" x14ac:dyDescent="0.25">
      <c r="A355" s="846">
        <v>1500</v>
      </c>
      <c r="B355" s="1155">
        <f t="shared" ref="B355:I355" si="207">$Y145</f>
        <v>218.09</v>
      </c>
      <c r="C355" s="1155">
        <f t="shared" si="207"/>
        <v>218.09</v>
      </c>
      <c r="D355" s="1155">
        <f t="shared" si="207"/>
        <v>218.09</v>
      </c>
      <c r="E355" s="1155">
        <f t="shared" si="207"/>
        <v>218.09</v>
      </c>
      <c r="F355" s="1155">
        <f t="shared" si="207"/>
        <v>218.09</v>
      </c>
      <c r="G355" s="1155">
        <f t="shared" si="207"/>
        <v>218.09</v>
      </c>
      <c r="H355" s="1155">
        <f t="shared" si="207"/>
        <v>218.09</v>
      </c>
      <c r="I355" s="1155">
        <f t="shared" si="207"/>
        <v>218.09</v>
      </c>
      <c r="X355" s="637"/>
      <c r="Y355" s="637"/>
      <c r="Z355" s="637"/>
      <c r="AA355" s="637"/>
      <c r="AB355" s="637"/>
      <c r="AC355" s="637"/>
      <c r="AD355" s="637"/>
      <c r="AE355" s="637"/>
      <c r="AF355" s="635"/>
      <c r="AG355" s="637"/>
      <c r="AH355" s="637"/>
      <c r="AI355" s="637"/>
      <c r="AJ355" s="637"/>
    </row>
    <row r="356" spans="1:39" x14ac:dyDescent="0.25">
      <c r="A356" s="846">
        <v>2000</v>
      </c>
      <c r="B356" s="1155">
        <f t="shared" ref="B356:I356" si="208">$Y146</f>
        <v>271.25</v>
      </c>
      <c r="C356" s="1155">
        <f t="shared" si="208"/>
        <v>271.25</v>
      </c>
      <c r="D356" s="1155">
        <f t="shared" si="208"/>
        <v>271.25</v>
      </c>
      <c r="E356" s="1155">
        <f t="shared" si="208"/>
        <v>271.25</v>
      </c>
      <c r="F356" s="1155">
        <f t="shared" si="208"/>
        <v>271.25</v>
      </c>
      <c r="G356" s="1155">
        <f t="shared" si="208"/>
        <v>271.25</v>
      </c>
      <c r="H356" s="1155">
        <f t="shared" si="208"/>
        <v>271.25</v>
      </c>
      <c r="I356" s="1155">
        <f t="shared" si="208"/>
        <v>271.25</v>
      </c>
      <c r="J356" s="845"/>
      <c r="X356" s="637"/>
      <c r="Y356" s="637"/>
      <c r="Z356" s="637"/>
      <c r="AA356" s="637"/>
      <c r="AB356" s="637"/>
      <c r="AC356" s="637"/>
      <c r="AD356" s="637"/>
      <c r="AE356" s="637"/>
      <c r="AF356" s="635"/>
      <c r="AG356" s="637"/>
      <c r="AH356" s="637"/>
      <c r="AI356" s="637"/>
      <c r="AJ356" s="637"/>
    </row>
    <row r="357" spans="1:39" x14ac:dyDescent="0.25">
      <c r="A357" s="846">
        <v>2500</v>
      </c>
      <c r="B357" s="1155">
        <f t="shared" ref="B357:I357" si="209">$Y147</f>
        <v>340.69</v>
      </c>
      <c r="C357" s="1155">
        <f t="shared" si="209"/>
        <v>340.69</v>
      </c>
      <c r="D357" s="1155">
        <f t="shared" si="209"/>
        <v>340.69</v>
      </c>
      <c r="E357" s="1155">
        <f t="shared" si="209"/>
        <v>340.69</v>
      </c>
      <c r="F357" s="1155">
        <f t="shared" si="209"/>
        <v>340.69</v>
      </c>
      <c r="G357" s="1155">
        <f t="shared" si="209"/>
        <v>340.69</v>
      </c>
      <c r="H357" s="1155">
        <f t="shared" si="209"/>
        <v>340.69</v>
      </c>
      <c r="I357" s="1155">
        <f t="shared" si="209"/>
        <v>340.69</v>
      </c>
    </row>
    <row r="358" spans="1:39" x14ac:dyDescent="0.25">
      <c r="A358" s="846">
        <v>3000</v>
      </c>
      <c r="B358" s="1155">
        <f t="shared" ref="B358:I358" si="210">$Y148</f>
        <v>409.05</v>
      </c>
      <c r="C358" s="1155">
        <f t="shared" si="210"/>
        <v>409.05</v>
      </c>
      <c r="D358" s="1155">
        <f t="shared" si="210"/>
        <v>409.05</v>
      </c>
      <c r="E358" s="1155">
        <f t="shared" si="210"/>
        <v>409.05</v>
      </c>
      <c r="F358" s="1155">
        <f t="shared" si="210"/>
        <v>409.05</v>
      </c>
      <c r="G358" s="1155">
        <f t="shared" si="210"/>
        <v>409.05</v>
      </c>
      <c r="H358" s="1155">
        <f t="shared" si="210"/>
        <v>409.05</v>
      </c>
      <c r="I358" s="1155">
        <f t="shared" si="210"/>
        <v>409.05</v>
      </c>
      <c r="X358" s="637"/>
      <c r="Y358" s="637"/>
      <c r="Z358" s="637"/>
      <c r="AA358" s="637"/>
      <c r="AB358" s="637"/>
      <c r="AC358" s="637"/>
      <c r="AD358" s="637"/>
      <c r="AE358" s="637"/>
      <c r="AF358" s="635"/>
      <c r="AG358" s="637"/>
      <c r="AH358" s="637"/>
      <c r="AI358" s="637"/>
      <c r="AJ358" s="637"/>
    </row>
    <row r="359" spans="1:39" x14ac:dyDescent="0.25">
      <c r="X359" s="637"/>
      <c r="Y359" s="637"/>
      <c r="Z359" s="637"/>
      <c r="AA359" s="637"/>
      <c r="AB359" s="637"/>
      <c r="AC359" s="637"/>
      <c r="AD359" s="637"/>
      <c r="AE359" s="637"/>
      <c r="AF359" s="635"/>
      <c r="AG359" s="637"/>
      <c r="AH359" s="637"/>
      <c r="AI359" s="637"/>
      <c r="AJ359" s="637"/>
    </row>
    <row r="360" spans="1:39" x14ac:dyDescent="0.25">
      <c r="A360" s="850" t="s">
        <v>1017</v>
      </c>
      <c r="X360" s="637"/>
      <c r="Y360" s="637"/>
      <c r="Z360" s="637"/>
      <c r="AA360" s="637"/>
      <c r="AB360" s="637"/>
      <c r="AC360" s="637"/>
      <c r="AD360" s="637"/>
      <c r="AE360" s="637"/>
      <c r="AF360" s="635"/>
      <c r="AG360" s="637"/>
      <c r="AH360" s="637"/>
      <c r="AI360" s="637"/>
      <c r="AJ360" s="637"/>
    </row>
    <row r="361" spans="1:39" x14ac:dyDescent="0.25">
      <c r="A361" s="857">
        <v>0</v>
      </c>
      <c r="K361" s="1497" t="s">
        <v>1285</v>
      </c>
      <c r="L361" s="1497"/>
      <c r="X361" s="637"/>
      <c r="Y361" s="637"/>
      <c r="Z361" s="637"/>
      <c r="AA361" s="637"/>
      <c r="AB361" s="637"/>
      <c r="AC361" s="637"/>
      <c r="AD361" s="637"/>
      <c r="AE361" s="637"/>
      <c r="AF361" s="635"/>
      <c r="AG361" s="637"/>
      <c r="AH361" s="637"/>
      <c r="AI361" s="637"/>
      <c r="AJ361" s="637"/>
    </row>
    <row r="362" spans="1:39" x14ac:dyDescent="0.25">
      <c r="A362" s="721" t="s">
        <v>933</v>
      </c>
      <c r="B362" s="574" t="s">
        <v>7</v>
      </c>
      <c r="C362" s="574" t="s">
        <v>21</v>
      </c>
      <c r="D362" s="584" t="s">
        <v>1045</v>
      </c>
      <c r="E362" s="574" t="s">
        <v>28</v>
      </c>
      <c r="F362" s="574" t="s">
        <v>29</v>
      </c>
      <c r="G362" s="574" t="s">
        <v>1073</v>
      </c>
      <c r="H362" s="574" t="s">
        <v>34</v>
      </c>
      <c r="I362" s="574" t="s">
        <v>813</v>
      </c>
      <c r="K362" s="564" t="s">
        <v>755</v>
      </c>
      <c r="L362" s="564" t="s">
        <v>284</v>
      </c>
      <c r="X362" s="637"/>
      <c r="Y362" s="637"/>
      <c r="Z362" s="637"/>
      <c r="AA362" s="637"/>
      <c r="AB362" s="637"/>
      <c r="AC362" s="637"/>
      <c r="AD362" s="637"/>
      <c r="AE362" s="637"/>
      <c r="AF362" s="635"/>
      <c r="AG362" s="637"/>
      <c r="AH362" s="637"/>
      <c r="AI362" s="637"/>
      <c r="AJ362" s="637"/>
    </row>
    <row r="363" spans="1:39" x14ac:dyDescent="0.25">
      <c r="A363" s="855"/>
      <c r="B363" s="855"/>
      <c r="C363" s="855"/>
      <c r="D363" s="855"/>
      <c r="E363" s="855"/>
      <c r="F363" s="855"/>
      <c r="G363" s="855"/>
      <c r="H363" s="855"/>
      <c r="I363" s="855"/>
      <c r="K363" s="585" t="s">
        <v>753</v>
      </c>
      <c r="L363" s="587">
        <v>1</v>
      </c>
      <c r="X363" s="637"/>
      <c r="Y363" s="637"/>
      <c r="Z363" s="637"/>
      <c r="AA363" s="637"/>
      <c r="AB363" s="637"/>
      <c r="AC363" s="637"/>
      <c r="AD363" s="637"/>
      <c r="AE363" s="637"/>
      <c r="AF363" s="635"/>
      <c r="AG363" s="637"/>
      <c r="AH363" s="637"/>
      <c r="AI363" s="637"/>
      <c r="AJ363" s="637"/>
    </row>
    <row r="364" spans="1:39" x14ac:dyDescent="0.25">
      <c r="A364" s="831" t="s">
        <v>130</v>
      </c>
      <c r="B364" s="849">
        <f>B392*$L$365</f>
        <v>0</v>
      </c>
      <c r="C364" s="849">
        <f t="shared" ref="C364:I364" si="211">C392*$L$365</f>
        <v>0</v>
      </c>
      <c r="D364" s="849">
        <f t="shared" si="211"/>
        <v>0</v>
      </c>
      <c r="E364" s="849">
        <f t="shared" si="211"/>
        <v>0</v>
      </c>
      <c r="F364" s="849">
        <f t="shared" si="211"/>
        <v>0</v>
      </c>
      <c r="G364" s="849">
        <f t="shared" si="211"/>
        <v>0</v>
      </c>
      <c r="H364" s="849">
        <f t="shared" si="211"/>
        <v>0</v>
      </c>
      <c r="I364" s="849">
        <f t="shared" si="211"/>
        <v>0</v>
      </c>
      <c r="K364" s="585" t="s">
        <v>754</v>
      </c>
      <c r="L364" s="587">
        <v>1.125</v>
      </c>
      <c r="X364" s="637"/>
      <c r="Y364" s="637"/>
      <c r="Z364" s="637"/>
      <c r="AA364" s="637"/>
      <c r="AB364" s="637"/>
      <c r="AC364" s="637"/>
      <c r="AD364" s="637"/>
      <c r="AE364" s="637"/>
      <c r="AF364" s="635"/>
      <c r="AG364" s="637"/>
      <c r="AH364" s="637"/>
      <c r="AI364" s="637"/>
      <c r="AJ364" s="637"/>
    </row>
    <row r="365" spans="1:39" x14ac:dyDescent="0.25">
      <c r="A365" s="848">
        <v>6</v>
      </c>
      <c r="B365" s="849">
        <f t="shared" ref="B365:I365" si="212">B393*$L$365</f>
        <v>39.0625</v>
      </c>
      <c r="C365" s="849">
        <f t="shared" si="212"/>
        <v>39.0625</v>
      </c>
      <c r="D365" s="849">
        <f t="shared" si="212"/>
        <v>34.608750000000008</v>
      </c>
      <c r="E365" s="849">
        <f t="shared" si="212"/>
        <v>31.462500000000002</v>
      </c>
      <c r="F365" s="849">
        <f t="shared" si="212"/>
        <v>29.3</v>
      </c>
      <c r="G365" s="849">
        <f t="shared" si="212"/>
        <v>29.3</v>
      </c>
      <c r="H365" s="849">
        <f t="shared" si="212"/>
        <v>27.125</v>
      </c>
      <c r="I365" s="849">
        <f t="shared" si="212"/>
        <v>27.125</v>
      </c>
      <c r="K365" s="585" t="s">
        <v>1272</v>
      </c>
      <c r="L365" s="587">
        <v>1.25</v>
      </c>
      <c r="X365" s="637"/>
      <c r="Y365" s="637"/>
      <c r="Z365" s="637"/>
      <c r="AA365" s="637"/>
      <c r="AB365" s="637"/>
      <c r="AC365" s="637"/>
      <c r="AD365" s="637"/>
      <c r="AE365" s="637"/>
      <c r="AF365" s="635"/>
      <c r="AG365" s="637"/>
      <c r="AH365" s="637"/>
      <c r="AI365" s="637"/>
      <c r="AJ365" s="637"/>
    </row>
    <row r="366" spans="1:39" x14ac:dyDescent="0.25">
      <c r="A366" s="848">
        <v>9</v>
      </c>
      <c r="B366" s="849">
        <f t="shared" ref="B366:I366" si="213">B394*$L$365</f>
        <v>71.612499999999997</v>
      </c>
      <c r="C366" s="849">
        <f t="shared" si="213"/>
        <v>71.612499999999997</v>
      </c>
      <c r="D366" s="849">
        <f t="shared" si="213"/>
        <v>63.25</v>
      </c>
      <c r="E366" s="849">
        <f t="shared" si="213"/>
        <v>57.5</v>
      </c>
      <c r="F366" s="849">
        <f t="shared" si="213"/>
        <v>54.25</v>
      </c>
      <c r="G366" s="849">
        <f t="shared" si="213"/>
        <v>54.25</v>
      </c>
      <c r="H366" s="849">
        <f t="shared" si="213"/>
        <v>49.912500000000001</v>
      </c>
      <c r="I366" s="849">
        <f t="shared" si="213"/>
        <v>49.912500000000001</v>
      </c>
      <c r="Y366" s="637"/>
      <c r="Z366" s="637"/>
      <c r="AA366" s="637"/>
      <c r="AB366" s="637"/>
      <c r="AC366" s="637"/>
      <c r="AD366" s="637"/>
      <c r="AE366" s="637"/>
      <c r="AF366" s="637"/>
      <c r="AG366" s="635"/>
      <c r="AH366" s="637"/>
      <c r="AI366" s="637"/>
      <c r="AJ366" s="637"/>
      <c r="AK366" s="637"/>
      <c r="AM366" s="567"/>
    </row>
    <row r="367" spans="1:39" x14ac:dyDescent="0.25">
      <c r="A367" s="848">
        <v>12</v>
      </c>
      <c r="B367" s="849">
        <f t="shared" ref="B367:I367" si="214">B395*$L$365</f>
        <v>143.22499999999999</v>
      </c>
      <c r="C367" s="849">
        <f t="shared" si="214"/>
        <v>143.22499999999999</v>
      </c>
      <c r="D367" s="849">
        <f t="shared" si="214"/>
        <v>126.51375000000002</v>
      </c>
      <c r="E367" s="849">
        <f t="shared" si="214"/>
        <v>115.0125</v>
      </c>
      <c r="F367" s="849">
        <f t="shared" si="214"/>
        <v>107.41250000000001</v>
      </c>
      <c r="G367" s="849">
        <f t="shared" si="214"/>
        <v>107.41250000000001</v>
      </c>
      <c r="H367" s="849">
        <f t="shared" si="214"/>
        <v>100.9</v>
      </c>
      <c r="I367" s="849">
        <f t="shared" si="214"/>
        <v>100.9</v>
      </c>
      <c r="Y367" s="637"/>
      <c r="Z367" s="637"/>
      <c r="AA367" s="637"/>
      <c r="AB367" s="637"/>
      <c r="AC367" s="637"/>
      <c r="AD367" s="637"/>
      <c r="AE367" s="637"/>
      <c r="AF367" s="637"/>
      <c r="AG367" s="635"/>
      <c r="AH367" s="637"/>
      <c r="AI367" s="637"/>
      <c r="AJ367" s="637"/>
      <c r="AK367" s="637"/>
      <c r="AM367" s="567"/>
    </row>
    <row r="368" spans="1:39" x14ac:dyDescent="0.25">
      <c r="A368" s="848">
        <v>15</v>
      </c>
      <c r="B368" s="849">
        <f t="shared" ref="B368:I368" si="215">B396*$L$365</f>
        <v>215.91249999999999</v>
      </c>
      <c r="C368" s="849">
        <f t="shared" si="215"/>
        <v>215.91249999999999</v>
      </c>
      <c r="D368" s="849">
        <f t="shared" si="215"/>
        <v>189.76375000000002</v>
      </c>
      <c r="E368" s="849">
        <f t="shared" si="215"/>
        <v>172.51249999999999</v>
      </c>
      <c r="F368" s="849">
        <f t="shared" si="215"/>
        <v>161.66250000000002</v>
      </c>
      <c r="G368" s="849">
        <f t="shared" si="215"/>
        <v>161.66250000000002</v>
      </c>
      <c r="H368" s="849">
        <f t="shared" si="215"/>
        <v>150.8125</v>
      </c>
      <c r="I368" s="849">
        <f t="shared" si="215"/>
        <v>150.8125</v>
      </c>
      <c r="Y368" s="637"/>
      <c r="Z368" s="637"/>
      <c r="AA368" s="637"/>
      <c r="AB368" s="637"/>
      <c r="AC368" s="637"/>
      <c r="AD368" s="637"/>
      <c r="AE368" s="637"/>
      <c r="AF368" s="637"/>
      <c r="AG368" s="635"/>
      <c r="AH368" s="637"/>
      <c r="AI368" s="637"/>
      <c r="AJ368" s="637"/>
      <c r="AK368" s="637"/>
      <c r="AM368" s="567"/>
    </row>
    <row r="369" spans="1:39" x14ac:dyDescent="0.25">
      <c r="A369" s="848">
        <v>18</v>
      </c>
      <c r="B369" s="849">
        <f t="shared" ref="B369:I369" si="216">B397*$L$365</f>
        <v>259.3125</v>
      </c>
      <c r="C369" s="849">
        <f t="shared" si="216"/>
        <v>259.3125</v>
      </c>
      <c r="D369" s="849">
        <f t="shared" si="216"/>
        <v>226.76500000000001</v>
      </c>
      <c r="E369" s="849">
        <f t="shared" si="216"/>
        <v>206.14999999999998</v>
      </c>
      <c r="F369" s="849">
        <f t="shared" si="216"/>
        <v>194.21250000000001</v>
      </c>
      <c r="G369" s="849">
        <f t="shared" si="216"/>
        <v>194.21250000000001</v>
      </c>
      <c r="H369" s="849">
        <f t="shared" si="216"/>
        <v>181.20000000000002</v>
      </c>
      <c r="I369" s="849">
        <f t="shared" si="216"/>
        <v>181.20000000000002</v>
      </c>
      <c r="AM369" s="567"/>
    </row>
    <row r="370" spans="1:39" x14ac:dyDescent="0.25">
      <c r="A370" s="848">
        <v>20</v>
      </c>
      <c r="B370" s="849">
        <f t="shared" ref="B370:I370" si="217">B398*$L$365</f>
        <v>287.52500000000003</v>
      </c>
      <c r="C370" s="849">
        <f t="shared" si="217"/>
        <v>287.52500000000003</v>
      </c>
      <c r="D370" s="849">
        <f t="shared" si="217"/>
        <v>253.02750000000003</v>
      </c>
      <c r="E370" s="849">
        <f t="shared" si="217"/>
        <v>230.02500000000001</v>
      </c>
      <c r="F370" s="849">
        <f t="shared" si="217"/>
        <v>215.91249999999999</v>
      </c>
      <c r="G370" s="849">
        <f t="shared" si="217"/>
        <v>215.91249999999999</v>
      </c>
      <c r="H370" s="849">
        <f t="shared" si="217"/>
        <v>200.72500000000002</v>
      </c>
      <c r="I370" s="849">
        <f t="shared" si="217"/>
        <v>200.72500000000002</v>
      </c>
      <c r="AM370" s="567"/>
    </row>
    <row r="371" spans="1:39" x14ac:dyDescent="0.25">
      <c r="A371" s="848">
        <v>24</v>
      </c>
      <c r="B371" s="849">
        <f t="shared" ref="B371:I371" si="218">B399*$L$365</f>
        <v>345.02499999999998</v>
      </c>
      <c r="C371" s="849">
        <f t="shared" si="218"/>
        <v>345.02499999999998</v>
      </c>
      <c r="D371" s="849">
        <f t="shared" si="218"/>
        <v>304.34250000000003</v>
      </c>
      <c r="E371" s="849">
        <f t="shared" si="218"/>
        <v>276.67500000000001</v>
      </c>
      <c r="F371" s="849">
        <f t="shared" si="218"/>
        <v>259.3125</v>
      </c>
      <c r="G371" s="849">
        <f t="shared" si="218"/>
        <v>259.3125</v>
      </c>
      <c r="H371" s="849">
        <f t="shared" si="218"/>
        <v>241.95</v>
      </c>
      <c r="I371" s="849">
        <f t="shared" si="218"/>
        <v>241.95</v>
      </c>
      <c r="AM371" s="567"/>
    </row>
    <row r="372" spans="1:39" x14ac:dyDescent="0.25">
      <c r="A372" s="848">
        <v>30</v>
      </c>
      <c r="B372" s="849">
        <f t="shared" ref="B372:I372" si="219">B400*$L$365</f>
        <v>430.75</v>
      </c>
      <c r="C372" s="849">
        <f t="shared" si="219"/>
        <v>430.75</v>
      </c>
      <c r="D372" s="849">
        <f t="shared" si="219"/>
        <v>380.72375</v>
      </c>
      <c r="E372" s="849">
        <f t="shared" si="219"/>
        <v>346.11249999999995</v>
      </c>
      <c r="F372" s="849">
        <f t="shared" si="219"/>
        <v>324.41249999999997</v>
      </c>
      <c r="G372" s="849">
        <f t="shared" si="219"/>
        <v>324.41249999999997</v>
      </c>
      <c r="H372" s="849">
        <f t="shared" si="219"/>
        <v>301.625</v>
      </c>
      <c r="I372" s="849">
        <f t="shared" si="219"/>
        <v>301.625</v>
      </c>
      <c r="AM372" s="567"/>
    </row>
    <row r="373" spans="1:39" x14ac:dyDescent="0.25">
      <c r="A373" s="848" t="s">
        <v>781</v>
      </c>
      <c r="B373" s="849">
        <f t="shared" ref="B373:I373" si="220">B401*$L$365</f>
        <v>517.55000000000007</v>
      </c>
      <c r="C373" s="849">
        <f t="shared" si="220"/>
        <v>517.55000000000007</v>
      </c>
      <c r="D373" s="849">
        <f t="shared" si="220"/>
        <v>454.72624999999999</v>
      </c>
      <c r="E373" s="849">
        <f t="shared" si="220"/>
        <v>413.38749999999999</v>
      </c>
      <c r="F373" s="849">
        <f t="shared" si="220"/>
        <v>387.35</v>
      </c>
      <c r="G373" s="849">
        <f t="shared" si="220"/>
        <v>387.35</v>
      </c>
      <c r="H373" s="849">
        <f t="shared" si="220"/>
        <v>362.38750000000005</v>
      </c>
      <c r="I373" s="849">
        <f t="shared" si="220"/>
        <v>362.38750000000005</v>
      </c>
      <c r="AM373" s="567"/>
    </row>
    <row r="374" spans="1:39" x14ac:dyDescent="0.25">
      <c r="AM374" s="567"/>
    </row>
    <row r="375" spans="1:39" x14ac:dyDescent="0.25">
      <c r="A375" s="857">
        <v>0.1</v>
      </c>
      <c r="AM375" s="567"/>
    </row>
    <row r="376" spans="1:39" x14ac:dyDescent="0.25">
      <c r="A376" s="721" t="s">
        <v>933</v>
      </c>
      <c r="B376" s="574" t="s">
        <v>7</v>
      </c>
      <c r="C376" s="574" t="s">
        <v>21</v>
      </c>
      <c r="D376" s="584" t="s">
        <v>1045</v>
      </c>
      <c r="E376" s="574" t="s">
        <v>28</v>
      </c>
      <c r="F376" s="574" t="s">
        <v>29</v>
      </c>
      <c r="G376" s="574" t="s">
        <v>1073</v>
      </c>
      <c r="H376" s="574" t="s">
        <v>34</v>
      </c>
      <c r="I376" s="574" t="s">
        <v>813</v>
      </c>
      <c r="AM376" s="567"/>
    </row>
    <row r="377" spans="1:39" x14ac:dyDescent="0.25">
      <c r="A377" s="855"/>
      <c r="B377" s="855"/>
      <c r="C377" s="855"/>
      <c r="D377" s="855"/>
      <c r="E377" s="855"/>
      <c r="F377" s="855"/>
      <c r="G377" s="855"/>
      <c r="H377" s="855"/>
      <c r="I377" s="855"/>
      <c r="AM377" s="567"/>
    </row>
    <row r="378" spans="1:39" x14ac:dyDescent="0.25">
      <c r="A378" s="831" t="s">
        <v>130</v>
      </c>
      <c r="B378" s="849">
        <f>B392*$L$364</f>
        <v>0</v>
      </c>
      <c r="C378" s="849">
        <f t="shared" ref="C378:I378" si="221">C392*$L$364</f>
        <v>0</v>
      </c>
      <c r="D378" s="849">
        <f t="shared" si="221"/>
        <v>0</v>
      </c>
      <c r="E378" s="849">
        <f t="shared" si="221"/>
        <v>0</v>
      </c>
      <c r="F378" s="849">
        <f t="shared" si="221"/>
        <v>0</v>
      </c>
      <c r="G378" s="849">
        <f t="shared" si="221"/>
        <v>0</v>
      </c>
      <c r="H378" s="849">
        <f t="shared" si="221"/>
        <v>0</v>
      </c>
      <c r="I378" s="849">
        <f t="shared" si="221"/>
        <v>0</v>
      </c>
      <c r="AM378" s="567"/>
    </row>
    <row r="379" spans="1:39" x14ac:dyDescent="0.25">
      <c r="A379" s="848">
        <v>6</v>
      </c>
      <c r="B379" s="849">
        <f t="shared" ref="B379:I379" si="222">B393*$L$364</f>
        <v>35.15625</v>
      </c>
      <c r="C379" s="849">
        <f t="shared" si="222"/>
        <v>35.15625</v>
      </c>
      <c r="D379" s="849">
        <f t="shared" si="222"/>
        <v>31.147875000000006</v>
      </c>
      <c r="E379" s="849">
        <f t="shared" si="222"/>
        <v>28.316250000000004</v>
      </c>
      <c r="F379" s="849">
        <f t="shared" si="222"/>
        <v>26.37</v>
      </c>
      <c r="G379" s="849">
        <f t="shared" si="222"/>
        <v>26.37</v>
      </c>
      <c r="H379" s="849">
        <f t="shared" si="222"/>
        <v>24.412499999999998</v>
      </c>
      <c r="I379" s="849">
        <f t="shared" si="222"/>
        <v>24.412499999999998</v>
      </c>
      <c r="AM379" s="567"/>
    </row>
    <row r="380" spans="1:39" x14ac:dyDescent="0.25">
      <c r="A380" s="848">
        <v>9</v>
      </c>
      <c r="B380" s="849">
        <f t="shared" ref="B380:I380" si="223">B394*$L$364</f>
        <v>64.451250000000002</v>
      </c>
      <c r="C380" s="849">
        <f t="shared" si="223"/>
        <v>64.451250000000002</v>
      </c>
      <c r="D380" s="849">
        <f t="shared" si="223"/>
        <v>56.925000000000004</v>
      </c>
      <c r="E380" s="849">
        <f t="shared" si="223"/>
        <v>51.75</v>
      </c>
      <c r="F380" s="849">
        <f t="shared" si="223"/>
        <v>48.824999999999996</v>
      </c>
      <c r="G380" s="849">
        <f t="shared" si="223"/>
        <v>48.824999999999996</v>
      </c>
      <c r="H380" s="849">
        <f t="shared" si="223"/>
        <v>44.921250000000001</v>
      </c>
      <c r="I380" s="849">
        <f t="shared" si="223"/>
        <v>44.921250000000001</v>
      </c>
      <c r="AM380" s="567"/>
    </row>
    <row r="381" spans="1:39" x14ac:dyDescent="0.25">
      <c r="A381" s="848">
        <v>12</v>
      </c>
      <c r="B381" s="849">
        <f t="shared" ref="B381:I381" si="224">B395*$L$364</f>
        <v>128.9025</v>
      </c>
      <c r="C381" s="849">
        <f t="shared" si="224"/>
        <v>128.9025</v>
      </c>
      <c r="D381" s="849">
        <f t="shared" si="224"/>
        <v>113.86237500000001</v>
      </c>
      <c r="E381" s="849">
        <f t="shared" si="224"/>
        <v>103.51125</v>
      </c>
      <c r="F381" s="849">
        <f t="shared" si="224"/>
        <v>96.671250000000015</v>
      </c>
      <c r="G381" s="849">
        <f t="shared" si="224"/>
        <v>96.671250000000015</v>
      </c>
      <c r="H381" s="849">
        <f t="shared" si="224"/>
        <v>90.81</v>
      </c>
      <c r="I381" s="849">
        <f t="shared" si="224"/>
        <v>90.81</v>
      </c>
      <c r="AM381" s="567"/>
    </row>
    <row r="382" spans="1:39" x14ac:dyDescent="0.25">
      <c r="A382" s="848">
        <v>15</v>
      </c>
      <c r="B382" s="849">
        <f t="shared" ref="B382:I382" si="225">B396*$L$364</f>
        <v>194.32124999999999</v>
      </c>
      <c r="C382" s="849">
        <f t="shared" si="225"/>
        <v>194.32124999999999</v>
      </c>
      <c r="D382" s="849">
        <f t="shared" si="225"/>
        <v>170.787375</v>
      </c>
      <c r="E382" s="849">
        <f t="shared" si="225"/>
        <v>155.26124999999999</v>
      </c>
      <c r="F382" s="849">
        <f t="shared" si="225"/>
        <v>145.49625</v>
      </c>
      <c r="G382" s="849">
        <f t="shared" si="225"/>
        <v>145.49625</v>
      </c>
      <c r="H382" s="849">
        <f t="shared" si="225"/>
        <v>135.73125000000002</v>
      </c>
      <c r="I382" s="849">
        <f t="shared" si="225"/>
        <v>135.73125000000002</v>
      </c>
      <c r="AM382" s="567"/>
    </row>
    <row r="383" spans="1:39" x14ac:dyDescent="0.25">
      <c r="A383" s="848">
        <v>18</v>
      </c>
      <c r="B383" s="849">
        <f t="shared" ref="B383:I383" si="226">B397*$L$364</f>
        <v>233.38124999999999</v>
      </c>
      <c r="C383" s="849">
        <f t="shared" si="226"/>
        <v>233.38124999999999</v>
      </c>
      <c r="D383" s="849">
        <f t="shared" si="226"/>
        <v>204.08850000000001</v>
      </c>
      <c r="E383" s="849">
        <f t="shared" si="226"/>
        <v>185.535</v>
      </c>
      <c r="F383" s="849">
        <f t="shared" si="226"/>
        <v>174.79124999999999</v>
      </c>
      <c r="G383" s="849">
        <f t="shared" si="226"/>
        <v>174.79124999999999</v>
      </c>
      <c r="H383" s="849">
        <f t="shared" si="226"/>
        <v>163.08000000000001</v>
      </c>
      <c r="I383" s="849">
        <f t="shared" si="226"/>
        <v>163.08000000000001</v>
      </c>
      <c r="AM383" s="567"/>
    </row>
    <row r="384" spans="1:39" x14ac:dyDescent="0.25">
      <c r="A384" s="848">
        <v>20</v>
      </c>
      <c r="B384" s="849">
        <f t="shared" ref="B384:I384" si="227">B398*$L$364</f>
        <v>258.77250000000004</v>
      </c>
      <c r="C384" s="849">
        <f t="shared" si="227"/>
        <v>258.77250000000004</v>
      </c>
      <c r="D384" s="849">
        <f t="shared" si="227"/>
        <v>227.72475000000003</v>
      </c>
      <c r="E384" s="849">
        <f t="shared" si="227"/>
        <v>207.02250000000001</v>
      </c>
      <c r="F384" s="849">
        <f t="shared" si="227"/>
        <v>194.32124999999999</v>
      </c>
      <c r="G384" s="849">
        <f t="shared" si="227"/>
        <v>194.32124999999999</v>
      </c>
      <c r="H384" s="849">
        <f t="shared" si="227"/>
        <v>180.6525</v>
      </c>
      <c r="I384" s="849">
        <f t="shared" si="227"/>
        <v>180.6525</v>
      </c>
      <c r="AM384" s="567"/>
    </row>
    <row r="385" spans="1:39" x14ac:dyDescent="0.25">
      <c r="A385" s="848">
        <v>24</v>
      </c>
      <c r="B385" s="849">
        <f t="shared" ref="B385:I385" si="228">B399*$L$364</f>
        <v>310.52249999999998</v>
      </c>
      <c r="C385" s="849">
        <f t="shared" si="228"/>
        <v>310.52249999999998</v>
      </c>
      <c r="D385" s="849">
        <f t="shared" si="228"/>
        <v>273.90825000000001</v>
      </c>
      <c r="E385" s="849">
        <f t="shared" si="228"/>
        <v>249.00749999999999</v>
      </c>
      <c r="F385" s="849">
        <f t="shared" si="228"/>
        <v>233.38124999999999</v>
      </c>
      <c r="G385" s="849">
        <f t="shared" si="228"/>
        <v>233.38124999999999</v>
      </c>
      <c r="H385" s="849">
        <f t="shared" si="228"/>
        <v>217.755</v>
      </c>
      <c r="I385" s="849">
        <f t="shared" si="228"/>
        <v>217.755</v>
      </c>
      <c r="AM385" s="567"/>
    </row>
    <row r="386" spans="1:39" x14ac:dyDescent="0.25">
      <c r="A386" s="848">
        <v>30</v>
      </c>
      <c r="B386" s="849">
        <f t="shared" ref="B386:I386" si="229">B400*$L$364</f>
        <v>387.67500000000001</v>
      </c>
      <c r="C386" s="849">
        <f t="shared" si="229"/>
        <v>387.67500000000001</v>
      </c>
      <c r="D386" s="849">
        <f t="shared" si="229"/>
        <v>342.65137500000003</v>
      </c>
      <c r="E386" s="849">
        <f t="shared" si="229"/>
        <v>311.50124999999997</v>
      </c>
      <c r="F386" s="849">
        <f t="shared" si="229"/>
        <v>291.97124999999994</v>
      </c>
      <c r="G386" s="849">
        <f t="shared" si="229"/>
        <v>291.97124999999994</v>
      </c>
      <c r="H386" s="849">
        <f t="shared" si="229"/>
        <v>271.46250000000003</v>
      </c>
      <c r="I386" s="849">
        <f t="shared" si="229"/>
        <v>271.46250000000003</v>
      </c>
      <c r="AM386" s="567"/>
    </row>
    <row r="387" spans="1:39" x14ac:dyDescent="0.25">
      <c r="A387" s="848" t="s">
        <v>781</v>
      </c>
      <c r="B387" s="849">
        <f t="shared" ref="B387:I387" si="230">B401*$L$364</f>
        <v>465.79500000000002</v>
      </c>
      <c r="C387" s="849">
        <f t="shared" si="230"/>
        <v>465.79500000000002</v>
      </c>
      <c r="D387" s="849">
        <f t="shared" si="230"/>
        <v>409.253625</v>
      </c>
      <c r="E387" s="849">
        <f t="shared" si="230"/>
        <v>372.04874999999998</v>
      </c>
      <c r="F387" s="849">
        <f t="shared" si="230"/>
        <v>348.61500000000001</v>
      </c>
      <c r="G387" s="849">
        <f t="shared" si="230"/>
        <v>348.61500000000001</v>
      </c>
      <c r="H387" s="849">
        <f t="shared" si="230"/>
        <v>326.14875000000001</v>
      </c>
      <c r="I387" s="849">
        <f t="shared" si="230"/>
        <v>326.14875000000001</v>
      </c>
      <c r="AM387" s="567"/>
    </row>
    <row r="388" spans="1:39" x14ac:dyDescent="0.25">
      <c r="AM388" s="567"/>
    </row>
    <row r="389" spans="1:39" x14ac:dyDescent="0.25">
      <c r="A389" s="857">
        <v>0.2</v>
      </c>
      <c r="AM389" s="567"/>
    </row>
    <row r="390" spans="1:39" x14ac:dyDescent="0.25">
      <c r="A390" s="721" t="s">
        <v>933</v>
      </c>
      <c r="B390" s="574" t="s">
        <v>7</v>
      </c>
      <c r="C390" s="574" t="s">
        <v>21</v>
      </c>
      <c r="D390" s="584" t="s">
        <v>1045</v>
      </c>
      <c r="E390" s="574" t="s">
        <v>28</v>
      </c>
      <c r="F390" s="574" t="s">
        <v>29</v>
      </c>
      <c r="G390" s="574" t="s">
        <v>1073</v>
      </c>
      <c r="H390" s="574" t="s">
        <v>34</v>
      </c>
      <c r="I390" s="574" t="s">
        <v>813</v>
      </c>
      <c r="AM390" s="567"/>
    </row>
    <row r="391" spans="1:39" x14ac:dyDescent="0.25">
      <c r="A391" s="855"/>
      <c r="B391" s="855"/>
      <c r="C391" s="855"/>
      <c r="D391" s="855"/>
      <c r="E391" s="855"/>
      <c r="F391" s="855"/>
      <c r="G391" s="855"/>
      <c r="H391" s="855"/>
      <c r="I391" s="855"/>
      <c r="AM391" s="567"/>
    </row>
    <row r="392" spans="1:39" x14ac:dyDescent="0.25">
      <c r="A392" s="831" t="s">
        <v>130</v>
      </c>
      <c r="B392" s="849">
        <f>Y119</f>
        <v>0</v>
      </c>
      <c r="C392" s="849">
        <f>Z119</f>
        <v>0</v>
      </c>
      <c r="D392" s="911">
        <f>E392*'General Basis'!$L$55</f>
        <v>0</v>
      </c>
      <c r="E392" s="849">
        <f>AA119</f>
        <v>0</v>
      </c>
      <c r="F392" s="849">
        <f>AB119</f>
        <v>0</v>
      </c>
      <c r="G392" s="911">
        <f t="shared" ref="G392:G401" si="231">F392</f>
        <v>0</v>
      </c>
      <c r="H392" s="849">
        <f>AC119</f>
        <v>0</v>
      </c>
      <c r="I392" s="849">
        <f t="shared" ref="I392:I401" si="232">AD119</f>
        <v>0</v>
      </c>
      <c r="AM392" s="567"/>
    </row>
    <row r="393" spans="1:39" x14ac:dyDescent="0.25">
      <c r="A393" s="848">
        <v>6</v>
      </c>
      <c r="B393" s="849">
        <f t="shared" ref="B393:B401" si="233">Y120</f>
        <v>31.25</v>
      </c>
      <c r="C393" s="849">
        <f t="shared" ref="C393:C401" si="234">Z120</f>
        <v>31.25</v>
      </c>
      <c r="D393" s="911">
        <f>E393*'General Basis'!$L$55</f>
        <v>27.687000000000005</v>
      </c>
      <c r="E393" s="849">
        <f t="shared" ref="E393:E401" si="235">AA120</f>
        <v>25.17</v>
      </c>
      <c r="F393" s="849">
        <f t="shared" ref="F393:F401" si="236">AB120</f>
        <v>23.44</v>
      </c>
      <c r="G393" s="911">
        <f t="shared" si="231"/>
        <v>23.44</v>
      </c>
      <c r="H393" s="849">
        <f t="shared" ref="H393:H401" si="237">AC120</f>
        <v>21.7</v>
      </c>
      <c r="I393" s="849">
        <f t="shared" si="232"/>
        <v>21.7</v>
      </c>
      <c r="AM393" s="567"/>
    </row>
    <row r="394" spans="1:39" x14ac:dyDescent="0.25">
      <c r="A394" s="848">
        <v>9</v>
      </c>
      <c r="B394" s="849">
        <f t="shared" si="233"/>
        <v>57.29</v>
      </c>
      <c r="C394" s="849">
        <f t="shared" si="234"/>
        <v>57.29</v>
      </c>
      <c r="D394" s="911">
        <f>E394*'General Basis'!$L$55</f>
        <v>50.6</v>
      </c>
      <c r="E394" s="849">
        <f t="shared" si="235"/>
        <v>46</v>
      </c>
      <c r="F394" s="849">
        <f t="shared" si="236"/>
        <v>43.4</v>
      </c>
      <c r="G394" s="911">
        <f t="shared" si="231"/>
        <v>43.4</v>
      </c>
      <c r="H394" s="849">
        <f t="shared" si="237"/>
        <v>39.93</v>
      </c>
      <c r="I394" s="849">
        <f t="shared" si="232"/>
        <v>39.93</v>
      </c>
      <c r="AM394" s="567"/>
    </row>
    <row r="395" spans="1:39" x14ac:dyDescent="0.25">
      <c r="A395" s="848">
        <v>12</v>
      </c>
      <c r="B395" s="849">
        <f t="shared" si="233"/>
        <v>114.58</v>
      </c>
      <c r="C395" s="849">
        <f t="shared" si="234"/>
        <v>114.58</v>
      </c>
      <c r="D395" s="911">
        <f>E395*'General Basis'!$L$55</f>
        <v>101.21100000000001</v>
      </c>
      <c r="E395" s="849">
        <f t="shared" si="235"/>
        <v>92.01</v>
      </c>
      <c r="F395" s="849">
        <f t="shared" si="236"/>
        <v>85.93</v>
      </c>
      <c r="G395" s="911">
        <f t="shared" si="231"/>
        <v>85.93</v>
      </c>
      <c r="H395" s="849">
        <f t="shared" si="237"/>
        <v>80.72</v>
      </c>
      <c r="I395" s="849">
        <f t="shared" si="232"/>
        <v>80.72</v>
      </c>
      <c r="AM395" s="567"/>
    </row>
    <row r="396" spans="1:39" x14ac:dyDescent="0.25">
      <c r="A396" s="848">
        <v>15</v>
      </c>
      <c r="B396" s="849">
        <f t="shared" si="233"/>
        <v>172.73</v>
      </c>
      <c r="C396" s="849">
        <f t="shared" si="234"/>
        <v>172.73</v>
      </c>
      <c r="D396" s="911">
        <f>E396*'General Basis'!$L$55</f>
        <v>151.81100000000001</v>
      </c>
      <c r="E396" s="849">
        <f t="shared" si="235"/>
        <v>138.01</v>
      </c>
      <c r="F396" s="849">
        <f t="shared" si="236"/>
        <v>129.33000000000001</v>
      </c>
      <c r="G396" s="911">
        <f t="shared" si="231"/>
        <v>129.33000000000001</v>
      </c>
      <c r="H396" s="849">
        <f t="shared" si="237"/>
        <v>120.65</v>
      </c>
      <c r="I396" s="849">
        <f t="shared" si="232"/>
        <v>120.65</v>
      </c>
      <c r="AM396" s="567"/>
    </row>
    <row r="397" spans="1:39" x14ac:dyDescent="0.25">
      <c r="A397" s="848">
        <v>18</v>
      </c>
      <c r="B397" s="849">
        <f t="shared" si="233"/>
        <v>207.45</v>
      </c>
      <c r="C397" s="849">
        <f t="shared" si="234"/>
        <v>207.45</v>
      </c>
      <c r="D397" s="911">
        <f>E397*'General Basis'!$L$55</f>
        <v>181.41200000000001</v>
      </c>
      <c r="E397" s="849">
        <f t="shared" si="235"/>
        <v>164.92</v>
      </c>
      <c r="F397" s="849">
        <f t="shared" si="236"/>
        <v>155.37</v>
      </c>
      <c r="G397" s="911">
        <f t="shared" si="231"/>
        <v>155.37</v>
      </c>
      <c r="H397" s="849">
        <f t="shared" si="237"/>
        <v>144.96</v>
      </c>
      <c r="I397" s="849">
        <f t="shared" si="232"/>
        <v>144.96</v>
      </c>
      <c r="AM397" s="567"/>
    </row>
    <row r="398" spans="1:39" x14ac:dyDescent="0.25">
      <c r="A398" s="848">
        <v>20</v>
      </c>
      <c r="B398" s="849">
        <f t="shared" si="233"/>
        <v>230.02</v>
      </c>
      <c r="C398" s="849">
        <f t="shared" si="234"/>
        <v>230.02</v>
      </c>
      <c r="D398" s="911">
        <f>E398*'General Basis'!$L$55</f>
        <v>202.42200000000003</v>
      </c>
      <c r="E398" s="849">
        <f t="shared" si="235"/>
        <v>184.02</v>
      </c>
      <c r="F398" s="849">
        <f t="shared" si="236"/>
        <v>172.73</v>
      </c>
      <c r="G398" s="911">
        <f t="shared" si="231"/>
        <v>172.73</v>
      </c>
      <c r="H398" s="849">
        <f t="shared" si="237"/>
        <v>160.58000000000001</v>
      </c>
      <c r="I398" s="849">
        <f t="shared" si="232"/>
        <v>160.58000000000001</v>
      </c>
      <c r="AM398" s="567"/>
    </row>
    <row r="399" spans="1:39" x14ac:dyDescent="0.25">
      <c r="A399" s="848">
        <v>24</v>
      </c>
      <c r="B399" s="849">
        <f t="shared" si="233"/>
        <v>276.02</v>
      </c>
      <c r="C399" s="849">
        <f t="shared" si="234"/>
        <v>276.02</v>
      </c>
      <c r="D399" s="911">
        <f>E399*'General Basis'!$L$55</f>
        <v>243.47400000000002</v>
      </c>
      <c r="E399" s="849">
        <f t="shared" si="235"/>
        <v>221.34</v>
      </c>
      <c r="F399" s="849">
        <f t="shared" si="236"/>
        <v>207.45</v>
      </c>
      <c r="G399" s="911">
        <f t="shared" si="231"/>
        <v>207.45</v>
      </c>
      <c r="H399" s="849">
        <f t="shared" si="237"/>
        <v>193.56</v>
      </c>
      <c r="I399" s="849">
        <f t="shared" si="232"/>
        <v>193.56</v>
      </c>
      <c r="AM399" s="567"/>
    </row>
    <row r="400" spans="1:39" x14ac:dyDescent="0.25">
      <c r="A400" s="848">
        <v>30</v>
      </c>
      <c r="B400" s="849">
        <f t="shared" si="233"/>
        <v>344.6</v>
      </c>
      <c r="C400" s="849">
        <f t="shared" si="234"/>
        <v>344.6</v>
      </c>
      <c r="D400" s="911">
        <f>E400*'General Basis'!$L$55</f>
        <v>304.57900000000001</v>
      </c>
      <c r="E400" s="849">
        <f t="shared" si="235"/>
        <v>276.89</v>
      </c>
      <c r="F400" s="849">
        <f t="shared" si="236"/>
        <v>259.52999999999997</v>
      </c>
      <c r="G400" s="911">
        <f t="shared" si="231"/>
        <v>259.52999999999997</v>
      </c>
      <c r="H400" s="849">
        <f t="shared" si="237"/>
        <v>241.3</v>
      </c>
      <c r="I400" s="849">
        <f t="shared" si="232"/>
        <v>241.3</v>
      </c>
      <c r="AM400" s="567"/>
    </row>
    <row r="401" spans="1:39" x14ac:dyDescent="0.25">
      <c r="A401" s="848" t="s">
        <v>781</v>
      </c>
      <c r="B401" s="849">
        <f t="shared" si="233"/>
        <v>414.04</v>
      </c>
      <c r="C401" s="849">
        <f t="shared" si="234"/>
        <v>414.04</v>
      </c>
      <c r="D401" s="911">
        <f>E401*'General Basis'!$L$55</f>
        <v>363.78100000000001</v>
      </c>
      <c r="E401" s="849">
        <f t="shared" si="235"/>
        <v>330.71</v>
      </c>
      <c r="F401" s="849">
        <f t="shared" si="236"/>
        <v>309.88</v>
      </c>
      <c r="G401" s="911">
        <f t="shared" si="231"/>
        <v>309.88</v>
      </c>
      <c r="H401" s="849">
        <f t="shared" si="237"/>
        <v>289.91000000000003</v>
      </c>
      <c r="I401" s="849">
        <f t="shared" si="232"/>
        <v>289.91000000000003</v>
      </c>
      <c r="AM401" s="567"/>
    </row>
    <row r="402" spans="1:39" x14ac:dyDescent="0.25">
      <c r="AM402" s="567"/>
    </row>
    <row r="403" spans="1:39" x14ac:dyDescent="0.25">
      <c r="J403"/>
      <c r="AM403" s="567"/>
    </row>
    <row r="404" spans="1:39" x14ac:dyDescent="0.25">
      <c r="J404"/>
      <c r="AM404" s="567"/>
    </row>
    <row r="413" spans="1:39" x14ac:dyDescent="0.25">
      <c r="A413" s="901" t="s">
        <v>1030</v>
      </c>
      <c r="B413" s="740" t="s">
        <v>1028</v>
      </c>
      <c r="C413" s="740" t="s">
        <v>783</v>
      </c>
      <c r="D413" s="544" t="s">
        <v>1042</v>
      </c>
    </row>
    <row r="414" spans="1:39" x14ac:dyDescent="0.25">
      <c r="A414" s="902" t="s">
        <v>7</v>
      </c>
      <c r="B414" s="893" t="s">
        <v>1036</v>
      </c>
      <c r="C414" s="544" t="s">
        <v>1031</v>
      </c>
      <c r="D414" s="900" t="str">
        <f t="shared" ref="D414:D419" si="238">100&amp;"% of "&amp;A414&amp;" Rates"</f>
        <v>100% of GN+ Rates</v>
      </c>
    </row>
    <row r="415" spans="1:39" x14ac:dyDescent="0.25">
      <c r="A415" s="902" t="s">
        <v>21</v>
      </c>
      <c r="B415" s="893" t="s">
        <v>1037</v>
      </c>
      <c r="C415" s="544" t="s">
        <v>1032</v>
      </c>
      <c r="D415" s="900" t="str">
        <f t="shared" si="238"/>
        <v>100% of GN Rates</v>
      </c>
    </row>
    <row r="416" spans="1:39" x14ac:dyDescent="0.25">
      <c r="A416" s="902" t="s">
        <v>28</v>
      </c>
      <c r="B416" s="893" t="s">
        <v>1038</v>
      </c>
      <c r="C416" s="544" t="s">
        <v>1033</v>
      </c>
      <c r="D416" s="893" t="str">
        <f t="shared" si="238"/>
        <v>100% of RN Rates</v>
      </c>
    </row>
    <row r="417" spans="1:4" x14ac:dyDescent="0.25">
      <c r="A417" s="902" t="s">
        <v>29</v>
      </c>
      <c r="B417" s="893" t="s">
        <v>1039</v>
      </c>
      <c r="C417" s="544" t="s">
        <v>1034</v>
      </c>
      <c r="D417" s="893" t="str">
        <f t="shared" si="238"/>
        <v>100% of RN2 Rates</v>
      </c>
    </row>
    <row r="418" spans="1:4" x14ac:dyDescent="0.25">
      <c r="A418" s="902" t="s">
        <v>34</v>
      </c>
      <c r="B418" s="893" t="s">
        <v>1040</v>
      </c>
      <c r="C418" s="544" t="s">
        <v>1035</v>
      </c>
      <c r="D418" s="893" t="str">
        <f t="shared" si="238"/>
        <v>100% of RN3 Rates</v>
      </c>
    </row>
    <row r="419" spans="1:4" x14ac:dyDescent="0.25">
      <c r="A419" s="902" t="s">
        <v>813</v>
      </c>
      <c r="B419" s="893" t="s">
        <v>794</v>
      </c>
      <c r="C419" s="544" t="s">
        <v>1029</v>
      </c>
      <c r="D419" s="893" t="str">
        <f t="shared" si="238"/>
        <v>100% of VN Rates</v>
      </c>
    </row>
    <row r="420" spans="1:4" x14ac:dyDescent="0.25">
      <c r="A420" s="907" t="s">
        <v>1045</v>
      </c>
      <c r="B420" s="893" t="s">
        <v>1047</v>
      </c>
      <c r="C420" s="544" t="s">
        <v>1041</v>
      </c>
      <c r="D420" s="903" t="str">
        <f>110&amp;"% of "&amp;A416&amp;" Rates"</f>
        <v>110% of RN Rates</v>
      </c>
    </row>
    <row r="421" spans="1:4" x14ac:dyDescent="0.25">
      <c r="A421" s="907" t="s">
        <v>1073</v>
      </c>
      <c r="B421" s="893" t="s">
        <v>1071</v>
      </c>
      <c r="C421" s="544" t="s">
        <v>1072</v>
      </c>
      <c r="D421" s="903" t="str">
        <f>98&amp;"% of "&amp;A417&amp;" Rates"</f>
        <v>98% of RN2 Rates</v>
      </c>
    </row>
    <row r="422" spans="1:4" x14ac:dyDescent="0.25">
      <c r="A422" s="908" t="s">
        <v>1048</v>
      </c>
    </row>
    <row r="427" spans="1:4" x14ac:dyDescent="0.25">
      <c r="A427" s="467"/>
    </row>
    <row r="428" spans="1:4" x14ac:dyDescent="0.25">
      <c r="A428" s="467"/>
    </row>
    <row r="429" spans="1:4" x14ac:dyDescent="0.25">
      <c r="A429" s="467"/>
    </row>
    <row r="430" spans="1:4" x14ac:dyDescent="0.25">
      <c r="A430" s="467"/>
    </row>
    <row r="431" spans="1:4" x14ac:dyDescent="0.25">
      <c r="A431" s="467"/>
    </row>
    <row r="432" spans="1:4" x14ac:dyDescent="0.25">
      <c r="A432" s="467"/>
    </row>
    <row r="433" spans="1:1" x14ac:dyDescent="0.25">
      <c r="A433" s="467"/>
    </row>
    <row r="434" spans="1:1" x14ac:dyDescent="0.25">
      <c r="A434" s="467"/>
    </row>
    <row r="435" spans="1:1" x14ac:dyDescent="0.25">
      <c r="A435" s="467"/>
    </row>
    <row r="436" spans="1:1" x14ac:dyDescent="0.25">
      <c r="A436" s="467"/>
    </row>
    <row r="437" spans="1:1" x14ac:dyDescent="0.25">
      <c r="A437" s="467"/>
    </row>
    <row r="438" spans="1:1" x14ac:dyDescent="0.25">
      <c r="A438" s="467"/>
    </row>
    <row r="439" spans="1:1" x14ac:dyDescent="0.25">
      <c r="A439" s="467"/>
    </row>
    <row r="440" spans="1:1" x14ac:dyDescent="0.25">
      <c r="A440" s="467"/>
    </row>
    <row r="441" spans="1:1" x14ac:dyDescent="0.25">
      <c r="A441" s="467"/>
    </row>
    <row r="442" spans="1:1" x14ac:dyDescent="0.25">
      <c r="A442" s="467"/>
    </row>
    <row r="443" spans="1:1" x14ac:dyDescent="0.25">
      <c r="A443" s="467"/>
    </row>
    <row r="444" spans="1:1" x14ac:dyDescent="0.25">
      <c r="A444" s="467"/>
    </row>
    <row r="445" spans="1:1" x14ac:dyDescent="0.25">
      <c r="A445" s="467"/>
    </row>
    <row r="446" spans="1:1" x14ac:dyDescent="0.25">
      <c r="A446" s="467"/>
    </row>
    <row r="447" spans="1:1" x14ac:dyDescent="0.25">
      <c r="A447" s="467"/>
    </row>
    <row r="448" spans="1:1" x14ac:dyDescent="0.25">
      <c r="A448" s="467"/>
    </row>
    <row r="449" spans="1:1" x14ac:dyDescent="0.25">
      <c r="A449" s="467"/>
    </row>
    <row r="450" spans="1:1" x14ac:dyDescent="0.25">
      <c r="A450" s="467"/>
    </row>
    <row r="451" spans="1:1" x14ac:dyDescent="0.25">
      <c r="A451" s="467"/>
    </row>
    <row r="452" spans="1:1" x14ac:dyDescent="0.25">
      <c r="A452" s="467"/>
    </row>
    <row r="453" spans="1:1" x14ac:dyDescent="0.25">
      <c r="A453" s="467"/>
    </row>
    <row r="454" spans="1:1" x14ac:dyDescent="0.25">
      <c r="A454" s="467"/>
    </row>
    <row r="455" spans="1:1" x14ac:dyDescent="0.25">
      <c r="A455" s="467"/>
    </row>
    <row r="456" spans="1:1" x14ac:dyDescent="0.25">
      <c r="A456" s="467"/>
    </row>
    <row r="457" spans="1:1" x14ac:dyDescent="0.25">
      <c r="A457" s="467"/>
    </row>
    <row r="458" spans="1:1" x14ac:dyDescent="0.25">
      <c r="A458" s="467"/>
    </row>
    <row r="459" spans="1:1" x14ac:dyDescent="0.25">
      <c r="A459" s="467"/>
    </row>
    <row r="460" spans="1:1" x14ac:dyDescent="0.25">
      <c r="A460" s="467"/>
    </row>
    <row r="461" spans="1:1" x14ac:dyDescent="0.25">
      <c r="A461" s="467"/>
    </row>
    <row r="462" spans="1:1" x14ac:dyDescent="0.25">
      <c r="A462" s="467"/>
    </row>
    <row r="521" spans="8:8" x14ac:dyDescent="0.25">
      <c r="H521" s="562"/>
    </row>
    <row r="522" spans="8:8" x14ac:dyDescent="0.25">
      <c r="H522" s="562"/>
    </row>
    <row r="523" spans="8:8" x14ac:dyDescent="0.25">
      <c r="H523" s="562"/>
    </row>
    <row r="524" spans="8:8" x14ac:dyDescent="0.25">
      <c r="H524" s="562"/>
    </row>
    <row r="525" spans="8:8" x14ac:dyDescent="0.25">
      <c r="H525" s="562"/>
    </row>
    <row r="526" spans="8:8" x14ac:dyDescent="0.25">
      <c r="H526" s="562"/>
    </row>
  </sheetData>
  <sheetProtection algorithmName="SHA-512" hashValue="n19Yvc1bOBwAS49J3B3Ft5+izzn8ypw4MvE+K9jXIxQG8S6uBcWOKAOtsyIX7tETsXH7vL/dpuXX8QZuQieykg==" saltValue="1BsdNjlt9MoSxO/yqzX/gA==" spinCount="100000" sheet="1" objects="1" scenarios="1"/>
  <mergeCells count="45">
    <mergeCell ref="K295:L295"/>
    <mergeCell ref="K361:L361"/>
    <mergeCell ref="K61:L61"/>
    <mergeCell ref="K74:L74"/>
    <mergeCell ref="K88:L88"/>
    <mergeCell ref="K193:L193"/>
    <mergeCell ref="K232:L232"/>
    <mergeCell ref="X130:Y130"/>
    <mergeCell ref="AA130:AB130"/>
    <mergeCell ref="AD130:AE130"/>
    <mergeCell ref="AG130:AH130"/>
    <mergeCell ref="AA146:AB146"/>
    <mergeCell ref="AD146:AE146"/>
    <mergeCell ref="X6:AJ6"/>
    <mergeCell ref="X35:AJ35"/>
    <mergeCell ref="Y8:Z8"/>
    <mergeCell ref="AA8:AB8"/>
    <mergeCell ref="AC8:AD8"/>
    <mergeCell ref="AE8:AF8"/>
    <mergeCell ref="AG8:AH8"/>
    <mergeCell ref="AI8:AJ8"/>
    <mergeCell ref="X4:AJ4"/>
    <mergeCell ref="AG49:AH49"/>
    <mergeCell ref="AI49:AJ49"/>
    <mergeCell ref="AI20:AJ20"/>
    <mergeCell ref="Y49:Z49"/>
    <mergeCell ref="AA49:AB49"/>
    <mergeCell ref="AC49:AD49"/>
    <mergeCell ref="AE49:AF49"/>
    <mergeCell ref="Y20:Z20"/>
    <mergeCell ref="AA20:AB20"/>
    <mergeCell ref="AC20:AD20"/>
    <mergeCell ref="AE20:AF20"/>
    <mergeCell ref="AG20:AH20"/>
    <mergeCell ref="Y37:Z37"/>
    <mergeCell ref="AA37:AB37"/>
    <mergeCell ref="AC37:AD37"/>
    <mergeCell ref="AF89:AG89"/>
    <mergeCell ref="AF104:AG104"/>
    <mergeCell ref="AF117:AG117"/>
    <mergeCell ref="AI37:AJ37"/>
    <mergeCell ref="AE37:AF37"/>
    <mergeCell ref="AG37:AH37"/>
    <mergeCell ref="X72:AJ72"/>
    <mergeCell ref="AF74:AG74"/>
  </mergeCells>
  <conditionalFormatting sqref="X39:AJ42">
    <cfRule type="containsText" dxfId="43" priority="55" operator="containsText" text="False">
      <formula>NOT(ISERROR(SEARCH("False",X39)))</formula>
    </cfRule>
  </conditionalFormatting>
  <conditionalFormatting sqref="AA51:AA53">
    <cfRule type="containsText" dxfId="42" priority="53" operator="containsText" text="False">
      <formula>NOT(ISERROR(SEARCH("False",AA51)))</formula>
    </cfRule>
  </conditionalFormatting>
  <conditionalFormatting sqref="AC51:AC53">
    <cfRule type="containsText" dxfId="41" priority="51" operator="containsText" text="False">
      <formula>NOT(ISERROR(SEARCH("False",AC51)))</formula>
    </cfRule>
  </conditionalFormatting>
  <conditionalFormatting sqref="AE51:AE53">
    <cfRule type="containsText" dxfId="40" priority="49" operator="containsText" text="False">
      <formula>NOT(ISERROR(SEARCH("False",AE51)))</formula>
    </cfRule>
  </conditionalFormatting>
  <conditionalFormatting sqref="AG51:AG53">
    <cfRule type="containsText" dxfId="39" priority="47" operator="containsText" text="False">
      <formula>NOT(ISERROR(SEARCH("False",AG51)))</formula>
    </cfRule>
  </conditionalFormatting>
  <conditionalFormatting sqref="AI51:AI53">
    <cfRule type="containsText" dxfId="38" priority="45" operator="containsText" text="False">
      <formula>NOT(ISERROR(SEARCH("False",AI51)))</formula>
    </cfRule>
  </conditionalFormatting>
  <conditionalFormatting sqref="AJ51:AJ53">
    <cfRule type="containsText" dxfId="37" priority="44" operator="containsText" text="False">
      <formula>NOT(ISERROR(SEARCH("False",AJ51)))</formula>
    </cfRule>
  </conditionalFormatting>
  <conditionalFormatting sqref="AA51:AA53 AC51:AC53 AE51:AE53 AG51:AG53 AI51:AJ53">
    <cfRule type="containsText" dxfId="36" priority="42" operator="containsText" text="False">
      <formula>NOT(ISERROR(SEARCH("False",AA51)))</formula>
    </cfRule>
  </conditionalFormatting>
  <conditionalFormatting sqref="AA54 AC54 AE54 AG54 AI54:AJ54">
    <cfRule type="containsText" dxfId="35" priority="41" operator="containsText" text="False">
      <formula>NOT(ISERROR(SEARCH("False",AA54)))</formula>
    </cfRule>
  </conditionalFormatting>
  <conditionalFormatting sqref="AQ41:BC44">
    <cfRule type="containsText" dxfId="34" priority="34" operator="containsText" text="False">
      <formula>NOT(ISERROR(SEARCH("False",AQ41)))</formula>
    </cfRule>
  </conditionalFormatting>
  <conditionalFormatting sqref="AS53:AS55">
    <cfRule type="containsText" dxfId="33" priority="33" operator="containsText" text="False">
      <formula>NOT(ISERROR(SEARCH("False",AS53)))</formula>
    </cfRule>
  </conditionalFormatting>
  <conditionalFormatting sqref="AT53:AT55">
    <cfRule type="containsText" dxfId="32" priority="32" operator="containsText" text="False">
      <formula>NOT(ISERROR(SEARCH("False",AT53)))</formula>
    </cfRule>
  </conditionalFormatting>
  <conditionalFormatting sqref="AU53:AU55">
    <cfRule type="containsText" dxfId="31" priority="31" operator="containsText" text="False">
      <formula>NOT(ISERROR(SEARCH("False",AU53)))</formula>
    </cfRule>
  </conditionalFormatting>
  <conditionalFormatting sqref="AV53:AV55">
    <cfRule type="containsText" dxfId="30" priority="30" operator="containsText" text="False">
      <formula>NOT(ISERROR(SEARCH("False",AV53)))</formula>
    </cfRule>
  </conditionalFormatting>
  <conditionalFormatting sqref="AW53:AW55">
    <cfRule type="containsText" dxfId="29" priority="29" operator="containsText" text="False">
      <formula>NOT(ISERROR(SEARCH("False",AW53)))</formula>
    </cfRule>
  </conditionalFormatting>
  <conditionalFormatting sqref="AX53:AX55">
    <cfRule type="containsText" dxfId="28" priority="28" operator="containsText" text="False">
      <formula>NOT(ISERROR(SEARCH("False",AX53)))</formula>
    </cfRule>
  </conditionalFormatting>
  <conditionalFormatting sqref="AY53:AY55">
    <cfRule type="containsText" dxfId="27" priority="27" operator="containsText" text="False">
      <formula>NOT(ISERROR(SEARCH("False",AY53)))</formula>
    </cfRule>
  </conditionalFormatting>
  <conditionalFormatting sqref="AZ53:AZ55">
    <cfRule type="containsText" dxfId="26" priority="26" operator="containsText" text="False">
      <formula>NOT(ISERROR(SEARCH("False",AZ53)))</formula>
    </cfRule>
  </conditionalFormatting>
  <conditionalFormatting sqref="BA53:BA55">
    <cfRule type="containsText" dxfId="25" priority="25" operator="containsText" text="False">
      <formula>NOT(ISERROR(SEARCH("False",BA53)))</formula>
    </cfRule>
  </conditionalFormatting>
  <conditionalFormatting sqref="BB53:BB55">
    <cfRule type="containsText" dxfId="24" priority="24" operator="containsText" text="False">
      <formula>NOT(ISERROR(SEARCH("False",BB53)))</formula>
    </cfRule>
  </conditionalFormatting>
  <conditionalFormatting sqref="BC53:BC55">
    <cfRule type="containsText" dxfId="23" priority="23" operator="containsText" text="False">
      <formula>NOT(ISERROR(SEARCH("False",BC53)))</formula>
    </cfRule>
  </conditionalFormatting>
  <conditionalFormatting sqref="AS53:BC55">
    <cfRule type="containsText" dxfId="22" priority="22" operator="containsText" text="False">
      <formula>NOT(ISERROR(SEARCH("False",AS53)))</formula>
    </cfRule>
  </conditionalFormatting>
  <conditionalFormatting sqref="AS56:BC56">
    <cfRule type="containsText" dxfId="21" priority="21" operator="containsText" text="False">
      <formula>NOT(ISERROR(SEARCH("False",AS56)))</formula>
    </cfRule>
  </conditionalFormatting>
  <conditionalFormatting sqref="Y51">
    <cfRule type="containsText" dxfId="20" priority="20" operator="containsText" text="False">
      <formula>NOT(ISERROR(SEARCH("False",Y51)))</formula>
    </cfRule>
  </conditionalFormatting>
  <conditionalFormatting sqref="Y52">
    <cfRule type="containsText" dxfId="19" priority="19" operator="containsText" text="False">
      <formula>NOT(ISERROR(SEARCH("False",Y52)))</formula>
    </cfRule>
  </conditionalFormatting>
  <conditionalFormatting sqref="Y53">
    <cfRule type="containsText" dxfId="18" priority="18" operator="containsText" text="False">
      <formula>NOT(ISERROR(SEARCH("False",Y53)))</formula>
    </cfRule>
  </conditionalFormatting>
  <conditionalFormatting sqref="Y54">
    <cfRule type="containsText" dxfId="17" priority="17" operator="containsText" text="False">
      <formula>NOT(ISERROR(SEARCH("False",Y54)))</formula>
    </cfRule>
  </conditionalFormatting>
  <conditionalFormatting sqref="AR53">
    <cfRule type="containsText" dxfId="16" priority="11" operator="containsText" text="False">
      <formula>NOT(ISERROR(SEARCH("False",AR53)))</formula>
    </cfRule>
  </conditionalFormatting>
  <conditionalFormatting sqref="AR54">
    <cfRule type="containsText" dxfId="15" priority="10" operator="containsText" text="False">
      <formula>NOT(ISERROR(SEARCH("False",AR54)))</formula>
    </cfRule>
  </conditionalFormatting>
  <conditionalFormatting sqref="AR55">
    <cfRule type="containsText" dxfId="14" priority="9" operator="containsText" text="False">
      <formula>NOT(ISERROR(SEARCH("False",AR55)))</formula>
    </cfRule>
  </conditionalFormatting>
  <conditionalFormatting sqref="AR56">
    <cfRule type="containsText" dxfId="13" priority="8" operator="containsText" text="False">
      <formula>NOT(ISERROR(SEARCH("False",AR56)))</formula>
    </cfRule>
  </conditionalFormatting>
  <conditionalFormatting sqref="Z51:Z54">
    <cfRule type="containsText" dxfId="12" priority="7" operator="containsText" text="False">
      <formula>NOT(ISERROR(SEARCH("False",Z51)))</formula>
    </cfRule>
  </conditionalFormatting>
  <conditionalFormatting sqref="AB51:AB54">
    <cfRule type="containsText" dxfId="11" priority="6" operator="containsText" text="False">
      <formula>NOT(ISERROR(SEARCH("False",AB51)))</formula>
    </cfRule>
  </conditionalFormatting>
  <conditionalFormatting sqref="AD51:AD54">
    <cfRule type="containsText" dxfId="10" priority="5" operator="containsText" text="False">
      <formula>NOT(ISERROR(SEARCH("False",AD51)))</formula>
    </cfRule>
  </conditionalFormatting>
  <conditionalFormatting sqref="AF51:AF54">
    <cfRule type="containsText" dxfId="9" priority="4" operator="containsText" text="False">
      <formula>NOT(ISERROR(SEARCH("False",AF51)))</formula>
    </cfRule>
  </conditionalFormatting>
  <conditionalFormatting sqref="AH51:AH54">
    <cfRule type="containsText" dxfId="8" priority="3" operator="containsText" text="False">
      <formula>NOT(ISERROR(SEARCH("False",AH51)))</formula>
    </cfRule>
  </conditionalFormatting>
  <conditionalFormatting sqref="Y212:AD217 B161:C166 E161:F166 H161:I166">
    <cfRule type="cellIs" dxfId="7" priority="2" operator="equal">
      <formula>1</formula>
    </cfRule>
  </conditionalFormatting>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F771E-8D1A-4038-8897-EE1E2E7F3246}">
  <sheetPr codeName="Sheet24">
    <tabColor rgb="FF92D050"/>
  </sheetPr>
  <dimension ref="A1:CN229"/>
  <sheetViews>
    <sheetView topLeftCell="A117" zoomScale="70" zoomScaleNormal="70" workbookViewId="0">
      <selection activeCell="G137" sqref="G137"/>
    </sheetView>
  </sheetViews>
  <sheetFormatPr defaultColWidth="0" defaultRowHeight="15" zeroHeight="1" x14ac:dyDescent="0.25"/>
  <cols>
    <col min="1" max="1" width="26.140625" style="436" customWidth="1"/>
    <col min="2" max="2" width="34.28515625" style="436" customWidth="1"/>
    <col min="3" max="3" width="20.85546875" style="436" customWidth="1"/>
    <col min="4" max="4" width="31.42578125" style="436" customWidth="1"/>
    <col min="5" max="5" width="20.42578125" style="436" customWidth="1"/>
    <col min="6" max="6" width="21.7109375" style="436" bestFit="1" customWidth="1"/>
    <col min="7" max="7" width="37.140625" style="436" customWidth="1"/>
    <col min="8" max="8" width="24.7109375" style="436" bestFit="1" customWidth="1"/>
    <col min="9" max="9" width="17.42578125" style="436" customWidth="1"/>
    <col min="10" max="10" width="12.42578125" style="436" bestFit="1" customWidth="1"/>
    <col min="11" max="11" width="13.42578125" style="436" bestFit="1" customWidth="1"/>
    <col min="12" max="12" width="6.7109375" style="436" bestFit="1" customWidth="1"/>
    <col min="13" max="13" width="8.7109375" style="436" bestFit="1" customWidth="1"/>
    <col min="14" max="14" width="9.140625" style="436" customWidth="1"/>
    <col min="15" max="15" width="11.7109375" style="436" bestFit="1" customWidth="1"/>
    <col min="16" max="16" width="6.85546875" style="436" bestFit="1" customWidth="1"/>
    <col min="17" max="17" width="8.7109375" style="436" bestFit="1" customWidth="1"/>
    <col min="18" max="18" width="6.85546875" style="436" bestFit="1" customWidth="1"/>
    <col min="19" max="19" width="8.7109375" style="436" bestFit="1" customWidth="1"/>
    <col min="20" max="20" width="6.85546875" style="436" bestFit="1" customWidth="1"/>
    <col min="21" max="21" width="8.7109375" style="436" bestFit="1" customWidth="1"/>
    <col min="22" max="22" width="6.7109375" style="436" bestFit="1" customWidth="1"/>
    <col min="23" max="23" width="8.7109375" style="436" bestFit="1" customWidth="1"/>
    <col min="24" max="24" width="6.7109375" style="436" bestFit="1" customWidth="1"/>
    <col min="25" max="25" width="8.7109375" style="436" bestFit="1" customWidth="1"/>
    <col min="26" max="26" width="12.42578125" style="436" customWidth="1"/>
    <col min="27" max="27" width="12.42578125" style="436" bestFit="1" customWidth="1"/>
    <col min="28" max="28" width="9.140625" style="436" customWidth="1"/>
    <col min="29" max="29" width="5" style="1092" customWidth="1"/>
    <col min="30" max="66" width="9.140625" style="436" hidden="1" customWidth="1"/>
    <col min="67" max="92" width="0" style="436" hidden="1" customWidth="1"/>
    <col min="93" max="16384" width="9.140625" style="436" hidden="1"/>
  </cols>
  <sheetData>
    <row r="1" spans="1:28" x14ac:dyDescent="0.25">
      <c r="E1" s="899" t="s">
        <v>1256</v>
      </c>
    </row>
    <row r="2" spans="1:28" ht="15.75" x14ac:dyDescent="0.25">
      <c r="A2" s="1093" t="s">
        <v>146</v>
      </c>
      <c r="B2" s="1094" t="s">
        <v>787</v>
      </c>
      <c r="C2" s="1095"/>
      <c r="E2" s="436" t="s">
        <v>1257</v>
      </c>
    </row>
    <row r="3" spans="1:28" ht="15.75" x14ac:dyDescent="0.25">
      <c r="A3" s="1093" t="s">
        <v>1258</v>
      </c>
      <c r="B3" s="1094" t="s">
        <v>1259</v>
      </c>
      <c r="C3" s="1095"/>
      <c r="E3" s="436" t="s">
        <v>1260</v>
      </c>
    </row>
    <row r="4" spans="1:28" ht="15.75" x14ac:dyDescent="0.25">
      <c r="A4" s="1093" t="s">
        <v>1261</v>
      </c>
      <c r="B4" s="1096" t="s">
        <v>1262</v>
      </c>
      <c r="C4" s="1095"/>
      <c r="E4" s="436" t="s">
        <v>1263</v>
      </c>
    </row>
    <row r="5" spans="1:28" x14ac:dyDescent="0.25">
      <c r="E5" s="1097" t="s">
        <v>1264</v>
      </c>
    </row>
    <row r="6" spans="1:28" x14ac:dyDescent="0.25"/>
    <row r="7" spans="1:28" x14ac:dyDescent="0.25"/>
    <row r="8" spans="1:28" ht="21" x14ac:dyDescent="0.25">
      <c r="A8" s="1098" t="s">
        <v>1265</v>
      </c>
      <c r="B8" s="1099"/>
      <c r="C8" s="1099"/>
      <c r="D8" s="1099"/>
      <c r="E8" s="1099"/>
      <c r="F8" s="1099"/>
      <c r="G8" s="1099"/>
      <c r="H8" s="1099"/>
      <c r="I8" s="1099"/>
      <c r="J8" s="1092"/>
      <c r="K8" s="1092"/>
      <c r="L8" s="1092"/>
      <c r="M8" s="1092"/>
      <c r="N8" s="1092"/>
      <c r="O8" s="1092"/>
      <c r="P8" s="1092"/>
      <c r="Q8" s="1092"/>
      <c r="R8" s="1092"/>
      <c r="S8" s="1092"/>
      <c r="T8" s="1092"/>
      <c r="U8" s="1092"/>
      <c r="V8" s="1092"/>
      <c r="W8" s="1092"/>
      <c r="X8" s="1092"/>
      <c r="Y8" s="1092"/>
      <c r="Z8" s="1092"/>
      <c r="AA8" s="1092"/>
      <c r="AB8" s="1092"/>
    </row>
    <row r="9" spans="1:28" x14ac:dyDescent="0.25"/>
    <row r="10" spans="1:28" x14ac:dyDescent="0.25">
      <c r="A10" s="1507" t="s">
        <v>1266</v>
      </c>
      <c r="B10" s="1507"/>
      <c r="C10" s="1507"/>
      <c r="D10" s="1507"/>
      <c r="E10" s="1507"/>
      <c r="F10" s="1507"/>
      <c r="G10" s="1507"/>
      <c r="H10" s="1507"/>
      <c r="I10" s="1507"/>
      <c r="J10" s="1507"/>
      <c r="K10" s="1507"/>
      <c r="L10" s="1507"/>
      <c r="M10" s="1507"/>
      <c r="O10" s="1507" t="s">
        <v>1267</v>
      </c>
      <c r="P10" s="1507"/>
      <c r="Q10" s="1507"/>
      <c r="R10" s="1507"/>
      <c r="S10" s="1507"/>
      <c r="T10" s="1507"/>
      <c r="U10" s="1507"/>
      <c r="V10" s="1507"/>
      <c r="W10" s="1507"/>
      <c r="X10" s="1507"/>
      <c r="Y10" s="1507"/>
      <c r="Z10" s="1507"/>
      <c r="AA10" s="1507"/>
    </row>
    <row r="11" spans="1:28" ht="21.75" customHeight="1" x14ac:dyDescent="0.25">
      <c r="A11" s="894" t="s">
        <v>351</v>
      </c>
      <c r="B11" s="1498" t="s">
        <v>789</v>
      </c>
      <c r="C11" s="1498"/>
      <c r="D11" s="1498" t="s">
        <v>790</v>
      </c>
      <c r="E11" s="1498"/>
      <c r="F11" s="1498" t="s">
        <v>791</v>
      </c>
      <c r="G11" s="1498"/>
      <c r="H11" s="1498" t="s">
        <v>792</v>
      </c>
      <c r="I11" s="1498"/>
      <c r="J11" s="1498" t="s">
        <v>793</v>
      </c>
      <c r="K11" s="1498"/>
      <c r="L11" s="1498" t="s">
        <v>794</v>
      </c>
      <c r="M11" s="1498"/>
      <c r="O11" s="894" t="s">
        <v>351</v>
      </c>
      <c r="P11" s="1498" t="s">
        <v>789</v>
      </c>
      <c r="Q11" s="1498"/>
      <c r="R11" s="1498" t="s">
        <v>790</v>
      </c>
      <c r="S11" s="1498"/>
      <c r="T11" s="1498" t="s">
        <v>791</v>
      </c>
      <c r="U11" s="1498"/>
      <c r="V11" s="1498" t="s">
        <v>792</v>
      </c>
      <c r="W11" s="1498"/>
      <c r="X11" s="1498" t="s">
        <v>793</v>
      </c>
      <c r="Y11" s="1498"/>
      <c r="Z11" s="1498" t="s">
        <v>794</v>
      </c>
      <c r="AA11" s="1498"/>
    </row>
    <row r="12" spans="1:28" x14ac:dyDescent="0.25">
      <c r="A12" s="894" t="s">
        <v>832</v>
      </c>
      <c r="B12" s="894" t="s">
        <v>795</v>
      </c>
      <c r="C12" s="894" t="s">
        <v>796</v>
      </c>
      <c r="D12" s="894" t="s">
        <v>795</v>
      </c>
      <c r="E12" s="894" t="s">
        <v>796</v>
      </c>
      <c r="F12" s="894" t="s">
        <v>795</v>
      </c>
      <c r="G12" s="894" t="s">
        <v>796</v>
      </c>
      <c r="H12" s="894" t="s">
        <v>795</v>
      </c>
      <c r="I12" s="894" t="s">
        <v>796</v>
      </c>
      <c r="J12" s="894" t="s">
        <v>795</v>
      </c>
      <c r="K12" s="894" t="s">
        <v>796</v>
      </c>
      <c r="L12" s="894" t="s">
        <v>795</v>
      </c>
      <c r="M12" s="894" t="s">
        <v>796</v>
      </c>
      <c r="O12" s="894" t="s">
        <v>832</v>
      </c>
      <c r="P12" s="894" t="s">
        <v>795</v>
      </c>
      <c r="Q12" s="894" t="s">
        <v>796</v>
      </c>
      <c r="R12" s="894" t="s">
        <v>795</v>
      </c>
      <c r="S12" s="894" t="s">
        <v>796</v>
      </c>
      <c r="T12" s="894" t="s">
        <v>795</v>
      </c>
      <c r="U12" s="894" t="s">
        <v>796</v>
      </c>
      <c r="V12" s="894" t="s">
        <v>795</v>
      </c>
      <c r="W12" s="894" t="s">
        <v>796</v>
      </c>
      <c r="X12" s="894" t="s">
        <v>795</v>
      </c>
      <c r="Y12" s="894" t="s">
        <v>796</v>
      </c>
      <c r="Z12" s="894" t="s">
        <v>795</v>
      </c>
      <c r="AA12" s="894" t="s">
        <v>796</v>
      </c>
    </row>
    <row r="13" spans="1:28" x14ac:dyDescent="0.25">
      <c r="A13" s="1100" t="s">
        <v>797</v>
      </c>
      <c r="B13" s="639">
        <v>4979</v>
      </c>
      <c r="C13" s="639">
        <v>5608</v>
      </c>
      <c r="D13" s="639">
        <v>3741</v>
      </c>
      <c r="E13" s="639">
        <v>4203</v>
      </c>
      <c r="F13" s="639">
        <v>2084</v>
      </c>
      <c r="G13" s="639">
        <v>2217</v>
      </c>
      <c r="H13" s="639">
        <v>1830</v>
      </c>
      <c r="I13" s="639">
        <v>1596</v>
      </c>
      <c r="J13" s="639">
        <v>1181</v>
      </c>
      <c r="K13" s="639">
        <v>1006</v>
      </c>
      <c r="L13" s="639">
        <v>915</v>
      </c>
      <c r="M13" s="639">
        <v>908</v>
      </c>
      <c r="O13" s="664" t="s">
        <v>287</v>
      </c>
      <c r="P13" s="665">
        <v>7582</v>
      </c>
      <c r="Q13" s="665">
        <v>7582</v>
      </c>
      <c r="R13" s="665">
        <v>5541</v>
      </c>
      <c r="S13" s="665">
        <v>5541</v>
      </c>
      <c r="T13" s="665">
        <v>2971</v>
      </c>
      <c r="U13" s="665">
        <v>2971</v>
      </c>
      <c r="V13" s="665">
        <v>2249</v>
      </c>
      <c r="W13" s="665">
        <v>2249</v>
      </c>
      <c r="X13" s="665">
        <v>1450</v>
      </c>
      <c r="Y13" s="665">
        <v>1450</v>
      </c>
      <c r="Z13" s="665" t="s">
        <v>130</v>
      </c>
      <c r="AA13" s="665" t="s">
        <v>130</v>
      </c>
    </row>
    <row r="14" spans="1:28" x14ac:dyDescent="0.25">
      <c r="A14" s="1100" t="s">
        <v>798</v>
      </c>
      <c r="B14" s="639">
        <v>5433</v>
      </c>
      <c r="C14" s="639">
        <v>7016</v>
      </c>
      <c r="D14" s="639">
        <v>4073</v>
      </c>
      <c r="E14" s="639">
        <v>5236</v>
      </c>
      <c r="F14" s="639">
        <v>2271</v>
      </c>
      <c r="G14" s="639">
        <v>2768</v>
      </c>
      <c r="H14" s="639">
        <v>1986</v>
      </c>
      <c r="I14" s="639">
        <v>1983</v>
      </c>
      <c r="J14" s="639">
        <v>1284</v>
      </c>
      <c r="K14" s="639">
        <v>1257</v>
      </c>
      <c r="L14" s="639">
        <v>997</v>
      </c>
      <c r="M14" s="639">
        <v>1138</v>
      </c>
      <c r="O14" s="664" t="s">
        <v>833</v>
      </c>
      <c r="P14" s="665">
        <v>14183</v>
      </c>
      <c r="Q14" s="665">
        <v>14183</v>
      </c>
      <c r="R14" s="665">
        <v>10529</v>
      </c>
      <c r="S14" s="665">
        <v>10529</v>
      </c>
      <c r="T14" s="665">
        <v>6075</v>
      </c>
      <c r="U14" s="665">
        <v>6075</v>
      </c>
      <c r="V14" s="665">
        <v>4546</v>
      </c>
      <c r="W14" s="665">
        <v>4546</v>
      </c>
      <c r="X14" s="665">
        <v>2997</v>
      </c>
      <c r="Y14" s="665">
        <v>2997</v>
      </c>
      <c r="Z14" s="665" t="s">
        <v>130</v>
      </c>
      <c r="AA14" s="665" t="s">
        <v>130</v>
      </c>
    </row>
    <row r="15" spans="1:28" x14ac:dyDescent="0.25">
      <c r="A15" s="1100" t="s">
        <v>799</v>
      </c>
      <c r="B15" s="639">
        <v>6596</v>
      </c>
      <c r="C15" s="639">
        <v>8416</v>
      </c>
      <c r="D15" s="639">
        <v>4929</v>
      </c>
      <c r="E15" s="639">
        <v>6265</v>
      </c>
      <c r="F15" s="639">
        <v>2749</v>
      </c>
      <c r="G15" s="639">
        <v>3316</v>
      </c>
      <c r="H15" s="639">
        <v>2392</v>
      </c>
      <c r="I15" s="639">
        <v>2368</v>
      </c>
      <c r="J15" s="639">
        <v>1551</v>
      </c>
      <c r="K15" s="639">
        <v>1507</v>
      </c>
      <c r="L15" s="639">
        <v>1210</v>
      </c>
      <c r="M15" s="639">
        <v>1367</v>
      </c>
      <c r="O15" s="664" t="s">
        <v>808</v>
      </c>
      <c r="P15" s="665">
        <v>34937</v>
      </c>
      <c r="Q15" s="665">
        <v>34937</v>
      </c>
      <c r="R15" s="665">
        <v>25742</v>
      </c>
      <c r="S15" s="665">
        <v>25742</v>
      </c>
      <c r="T15" s="665">
        <v>15756</v>
      </c>
      <c r="U15" s="665">
        <v>15756</v>
      </c>
      <c r="V15" s="665">
        <v>12086</v>
      </c>
      <c r="W15" s="665">
        <v>12086</v>
      </c>
      <c r="X15" s="665">
        <v>8360</v>
      </c>
      <c r="Y15" s="665">
        <v>8360</v>
      </c>
      <c r="Z15" s="665" t="s">
        <v>130</v>
      </c>
      <c r="AA15" s="665" t="s">
        <v>130</v>
      </c>
    </row>
    <row r="16" spans="1:28" x14ac:dyDescent="0.25">
      <c r="A16" s="1100" t="s">
        <v>800</v>
      </c>
      <c r="B16" s="639">
        <v>8191</v>
      </c>
      <c r="C16" s="639">
        <v>10551</v>
      </c>
      <c r="D16" s="639">
        <v>6100</v>
      </c>
      <c r="E16" s="639">
        <v>7833</v>
      </c>
      <c r="F16" s="639">
        <v>3406</v>
      </c>
      <c r="G16" s="639">
        <v>4150</v>
      </c>
      <c r="H16" s="639">
        <v>2945</v>
      </c>
      <c r="I16" s="639">
        <v>2955</v>
      </c>
      <c r="J16" s="639">
        <v>1916</v>
      </c>
      <c r="K16" s="639">
        <v>1887</v>
      </c>
      <c r="L16" s="639">
        <v>1500</v>
      </c>
      <c r="M16" s="639">
        <v>1714</v>
      </c>
    </row>
    <row r="17" spans="1:27" x14ac:dyDescent="0.25">
      <c r="A17" s="1100" t="s">
        <v>801</v>
      </c>
      <c r="B17" s="639">
        <v>8608</v>
      </c>
      <c r="C17" s="639">
        <v>12142</v>
      </c>
      <c r="D17" s="639">
        <v>6407</v>
      </c>
      <c r="E17" s="639">
        <v>9002</v>
      </c>
      <c r="F17" s="639">
        <v>4000</v>
      </c>
      <c r="G17" s="639">
        <v>5330</v>
      </c>
      <c r="H17" s="639">
        <v>3448</v>
      </c>
      <c r="I17" s="639">
        <v>3784</v>
      </c>
      <c r="J17" s="639">
        <v>2248</v>
      </c>
      <c r="K17" s="639">
        <v>2426</v>
      </c>
      <c r="L17" s="639">
        <v>1763</v>
      </c>
      <c r="M17" s="639">
        <v>2206</v>
      </c>
    </row>
    <row r="18" spans="1:27" x14ac:dyDescent="0.25">
      <c r="A18" s="1100" t="s">
        <v>802</v>
      </c>
      <c r="B18" s="639">
        <v>11320</v>
      </c>
      <c r="C18" s="639">
        <v>15245</v>
      </c>
      <c r="D18" s="639">
        <v>8398</v>
      </c>
      <c r="E18" s="639">
        <v>11281</v>
      </c>
      <c r="F18" s="639">
        <v>5241</v>
      </c>
      <c r="G18" s="639">
        <v>6679</v>
      </c>
      <c r="H18" s="639">
        <v>4495</v>
      </c>
      <c r="I18" s="639">
        <v>4732</v>
      </c>
      <c r="J18" s="639">
        <v>2939</v>
      </c>
      <c r="K18" s="639">
        <v>3040</v>
      </c>
      <c r="L18" s="639">
        <v>2312</v>
      </c>
      <c r="M18" s="639">
        <v>2768</v>
      </c>
    </row>
    <row r="19" spans="1:27" x14ac:dyDescent="0.25">
      <c r="A19" s="1100" t="s">
        <v>803</v>
      </c>
      <c r="B19" s="639">
        <v>15240</v>
      </c>
      <c r="C19" s="639">
        <v>20148</v>
      </c>
      <c r="D19" s="639">
        <v>11277</v>
      </c>
      <c r="E19" s="639">
        <v>14882</v>
      </c>
      <c r="F19" s="639">
        <v>7034</v>
      </c>
      <c r="G19" s="639">
        <v>8810</v>
      </c>
      <c r="H19" s="639">
        <v>6008</v>
      </c>
      <c r="I19" s="639">
        <v>6230</v>
      </c>
      <c r="J19" s="639">
        <v>3939</v>
      </c>
      <c r="K19" s="639">
        <v>4014</v>
      </c>
      <c r="L19" s="639">
        <v>3105</v>
      </c>
      <c r="M19" s="639">
        <v>3655</v>
      </c>
    </row>
    <row r="20" spans="1:27" x14ac:dyDescent="0.25">
      <c r="A20" s="1100" t="s">
        <v>835</v>
      </c>
      <c r="B20" s="639">
        <v>20818</v>
      </c>
      <c r="C20" s="639">
        <v>24695</v>
      </c>
      <c r="D20" s="639">
        <v>15373</v>
      </c>
      <c r="E20" s="639">
        <v>18220</v>
      </c>
      <c r="F20" s="639">
        <v>9585</v>
      </c>
      <c r="G20" s="639">
        <v>10787</v>
      </c>
      <c r="H20" s="639">
        <v>8161</v>
      </c>
      <c r="I20" s="639">
        <v>7619</v>
      </c>
      <c r="J20" s="639">
        <v>5360</v>
      </c>
      <c r="K20" s="639">
        <v>4914</v>
      </c>
      <c r="L20" s="639">
        <v>4235</v>
      </c>
      <c r="M20" s="639">
        <v>4480</v>
      </c>
    </row>
    <row r="21" spans="1:27" x14ac:dyDescent="0.25">
      <c r="A21" s="1100" t="s">
        <v>808</v>
      </c>
      <c r="B21" s="639">
        <v>25661</v>
      </c>
      <c r="C21" s="639">
        <v>29369</v>
      </c>
      <c r="D21" s="639">
        <v>18930</v>
      </c>
      <c r="E21" s="639">
        <v>21652</v>
      </c>
      <c r="F21" s="639">
        <v>11799</v>
      </c>
      <c r="G21" s="639">
        <v>12820</v>
      </c>
      <c r="H21" s="639">
        <v>10030</v>
      </c>
      <c r="I21" s="639">
        <v>9047</v>
      </c>
      <c r="J21" s="639">
        <v>6594</v>
      </c>
      <c r="K21" s="639">
        <v>5841</v>
      </c>
      <c r="L21" s="639">
        <v>5215</v>
      </c>
      <c r="M21" s="639">
        <v>5326</v>
      </c>
    </row>
    <row r="22" spans="1:27" x14ac:dyDescent="0.25"/>
    <row r="23" spans="1:27" ht="51" customHeight="1" x14ac:dyDescent="0.25">
      <c r="A23" s="638" t="s">
        <v>804</v>
      </c>
      <c r="B23" s="1498" t="s">
        <v>789</v>
      </c>
      <c r="C23" s="1498"/>
      <c r="D23" s="1498" t="s">
        <v>790</v>
      </c>
      <c r="E23" s="1498"/>
      <c r="F23" s="1498" t="s">
        <v>791</v>
      </c>
      <c r="G23" s="1498"/>
      <c r="H23" s="1498" t="s">
        <v>792</v>
      </c>
      <c r="I23" s="1498"/>
      <c r="J23" s="1498" t="s">
        <v>793</v>
      </c>
      <c r="K23" s="1498"/>
      <c r="L23" s="1498" t="s">
        <v>794</v>
      </c>
      <c r="M23" s="1498"/>
      <c r="O23" s="894" t="s">
        <v>804</v>
      </c>
      <c r="P23" s="1501" t="s">
        <v>789</v>
      </c>
      <c r="Q23" s="1502"/>
      <c r="R23" s="1498" t="s">
        <v>790</v>
      </c>
      <c r="S23" s="1498"/>
      <c r="T23" s="1498" t="s">
        <v>791</v>
      </c>
      <c r="U23" s="1498"/>
      <c r="V23" s="1498" t="s">
        <v>792</v>
      </c>
      <c r="W23" s="1498"/>
      <c r="X23" s="1498" t="s">
        <v>793</v>
      </c>
      <c r="Y23" s="1498"/>
      <c r="Z23" s="1498" t="s">
        <v>794</v>
      </c>
      <c r="AA23" s="1498"/>
    </row>
    <row r="24" spans="1:27" x14ac:dyDescent="0.25">
      <c r="A24" s="894" t="s">
        <v>832</v>
      </c>
      <c r="B24" s="894" t="s">
        <v>795</v>
      </c>
      <c r="C24" s="894" t="s">
        <v>796</v>
      </c>
      <c r="D24" s="894" t="s">
        <v>795</v>
      </c>
      <c r="E24" s="894" t="s">
        <v>796</v>
      </c>
      <c r="F24" s="894" t="s">
        <v>795</v>
      </c>
      <c r="G24" s="894" t="s">
        <v>796</v>
      </c>
      <c r="H24" s="894" t="s">
        <v>795</v>
      </c>
      <c r="I24" s="894" t="s">
        <v>796</v>
      </c>
      <c r="J24" s="894" t="s">
        <v>795</v>
      </c>
      <c r="K24" s="894" t="s">
        <v>796</v>
      </c>
      <c r="L24" s="894" t="s">
        <v>795</v>
      </c>
      <c r="M24" s="894" t="s">
        <v>796</v>
      </c>
      <c r="O24" s="894" t="s">
        <v>832</v>
      </c>
      <c r="P24" s="894" t="s">
        <v>795</v>
      </c>
      <c r="Q24" s="894" t="s">
        <v>796</v>
      </c>
      <c r="R24" s="894" t="s">
        <v>795</v>
      </c>
      <c r="S24" s="894" t="s">
        <v>796</v>
      </c>
      <c r="T24" s="894" t="s">
        <v>795</v>
      </c>
      <c r="U24" s="894" t="s">
        <v>796</v>
      </c>
      <c r="V24" s="894" t="s">
        <v>795</v>
      </c>
      <c r="W24" s="894" t="s">
        <v>796</v>
      </c>
      <c r="X24" s="894" t="s">
        <v>795</v>
      </c>
      <c r="Y24" s="894" t="s">
        <v>796</v>
      </c>
      <c r="Z24" s="894" t="s">
        <v>795</v>
      </c>
      <c r="AA24" s="894" t="s">
        <v>796</v>
      </c>
    </row>
    <row r="25" spans="1:27" x14ac:dyDescent="0.25">
      <c r="A25" s="1100" t="s">
        <v>805</v>
      </c>
      <c r="B25" s="639">
        <v>5669</v>
      </c>
      <c r="C25" s="639">
        <v>4528</v>
      </c>
      <c r="D25" s="639">
        <v>4600</v>
      </c>
      <c r="E25" s="639">
        <v>3600</v>
      </c>
      <c r="F25" s="639">
        <v>2686</v>
      </c>
      <c r="G25" s="639">
        <v>2387</v>
      </c>
      <c r="H25" s="639">
        <v>2606</v>
      </c>
      <c r="I25" s="639">
        <v>2190</v>
      </c>
      <c r="J25" s="639">
        <v>2204</v>
      </c>
      <c r="K25" s="639">
        <v>2080</v>
      </c>
      <c r="L25" s="639">
        <v>2002</v>
      </c>
      <c r="M25" s="639">
        <v>1891</v>
      </c>
      <c r="O25" s="664" t="s">
        <v>290</v>
      </c>
      <c r="P25" s="665">
        <v>4690</v>
      </c>
      <c r="Q25" s="665">
        <v>4690</v>
      </c>
      <c r="R25" s="665">
        <v>3831</v>
      </c>
      <c r="S25" s="665">
        <v>3831</v>
      </c>
      <c r="T25" s="665">
        <v>2388</v>
      </c>
      <c r="U25" s="665">
        <v>2388</v>
      </c>
      <c r="V25" s="665">
        <v>2277</v>
      </c>
      <c r="W25" s="665">
        <v>2277</v>
      </c>
      <c r="X25" s="665">
        <v>1865</v>
      </c>
      <c r="Y25" s="665">
        <v>1865</v>
      </c>
      <c r="Z25" s="665" t="s">
        <v>130</v>
      </c>
      <c r="AA25" s="665" t="s">
        <v>130</v>
      </c>
    </row>
    <row r="26" spans="1:27" x14ac:dyDescent="0.25">
      <c r="A26" s="1100" t="s">
        <v>806</v>
      </c>
      <c r="B26" s="639">
        <v>3843</v>
      </c>
      <c r="C26" s="639">
        <v>4030</v>
      </c>
      <c r="D26" s="639">
        <v>3157</v>
      </c>
      <c r="E26" s="639">
        <v>3217</v>
      </c>
      <c r="F26" s="639">
        <v>1842</v>
      </c>
      <c r="G26" s="639">
        <v>2135</v>
      </c>
      <c r="H26" s="639">
        <v>1816</v>
      </c>
      <c r="I26" s="639">
        <v>1968</v>
      </c>
      <c r="J26" s="639">
        <v>1041</v>
      </c>
      <c r="K26" s="639">
        <v>1276</v>
      </c>
      <c r="L26" s="639">
        <v>941</v>
      </c>
      <c r="M26" s="639">
        <v>1156</v>
      </c>
      <c r="O26" s="664" t="s">
        <v>287</v>
      </c>
      <c r="P26" s="665">
        <v>7385</v>
      </c>
      <c r="Q26" s="665">
        <v>7385</v>
      </c>
      <c r="R26" s="665">
        <v>5807</v>
      </c>
      <c r="S26" s="665">
        <v>5807</v>
      </c>
      <c r="T26" s="665">
        <v>3536</v>
      </c>
      <c r="U26" s="665">
        <v>3536</v>
      </c>
      <c r="V26" s="665">
        <v>3473</v>
      </c>
      <c r="W26" s="665">
        <v>3473</v>
      </c>
      <c r="X26" s="665">
        <v>2125</v>
      </c>
      <c r="Y26" s="665">
        <v>2125</v>
      </c>
      <c r="Z26" s="665" t="s">
        <v>130</v>
      </c>
      <c r="AA26" s="665" t="s">
        <v>130</v>
      </c>
    </row>
    <row r="27" spans="1:27" x14ac:dyDescent="0.25">
      <c r="A27" s="1100" t="s">
        <v>797</v>
      </c>
      <c r="B27" s="639">
        <v>5106</v>
      </c>
      <c r="C27" s="639">
        <v>5608</v>
      </c>
      <c r="D27" s="639">
        <v>4154</v>
      </c>
      <c r="E27" s="639">
        <v>4433</v>
      </c>
      <c r="F27" s="639">
        <v>2426</v>
      </c>
      <c r="G27" s="639">
        <v>2934</v>
      </c>
      <c r="H27" s="639">
        <v>2734</v>
      </c>
      <c r="I27" s="639">
        <v>2673</v>
      </c>
      <c r="J27" s="639">
        <v>1303</v>
      </c>
      <c r="K27" s="639">
        <v>1272</v>
      </c>
      <c r="L27" s="639">
        <v>1012</v>
      </c>
      <c r="M27" s="639">
        <v>1152</v>
      </c>
      <c r="O27" s="664" t="s">
        <v>833</v>
      </c>
      <c r="P27" s="665">
        <v>14144</v>
      </c>
      <c r="Q27" s="665">
        <v>14144</v>
      </c>
      <c r="R27" s="665">
        <v>11276</v>
      </c>
      <c r="S27" s="665">
        <v>11276</v>
      </c>
      <c r="T27" s="665">
        <v>7802</v>
      </c>
      <c r="U27" s="665">
        <v>7802</v>
      </c>
      <c r="V27" s="665">
        <v>7899</v>
      </c>
      <c r="W27" s="665">
        <v>7899</v>
      </c>
      <c r="X27" s="665">
        <v>5198</v>
      </c>
      <c r="Y27" s="665">
        <v>5198</v>
      </c>
      <c r="Z27" s="665" t="s">
        <v>130</v>
      </c>
      <c r="AA27" s="665" t="s">
        <v>130</v>
      </c>
    </row>
    <row r="28" spans="1:27" x14ac:dyDescent="0.25">
      <c r="A28" s="1100" t="s">
        <v>798</v>
      </c>
      <c r="B28" s="639">
        <v>5568</v>
      </c>
      <c r="C28" s="639">
        <v>7016</v>
      </c>
      <c r="D28" s="639">
        <v>4520</v>
      </c>
      <c r="E28" s="639">
        <v>5518</v>
      </c>
      <c r="F28" s="639">
        <v>2640</v>
      </c>
      <c r="G28" s="639">
        <v>3647</v>
      </c>
      <c r="H28" s="639">
        <v>2964</v>
      </c>
      <c r="I28" s="639">
        <v>3303</v>
      </c>
      <c r="J28" s="639">
        <v>1417</v>
      </c>
      <c r="K28" s="639">
        <v>1583</v>
      </c>
      <c r="L28" s="639">
        <v>1102</v>
      </c>
      <c r="M28" s="639">
        <v>1436</v>
      </c>
      <c r="O28" s="664" t="s">
        <v>808</v>
      </c>
      <c r="P28" s="665">
        <v>41161</v>
      </c>
      <c r="Q28" s="665">
        <v>41161</v>
      </c>
      <c r="R28" s="665">
        <v>32223</v>
      </c>
      <c r="S28" s="665">
        <v>32223</v>
      </c>
      <c r="T28" s="665">
        <v>22308</v>
      </c>
      <c r="U28" s="665">
        <v>22308</v>
      </c>
      <c r="V28" s="665">
        <v>21744</v>
      </c>
      <c r="W28" s="665">
        <v>21744</v>
      </c>
      <c r="X28" s="665">
        <v>17538</v>
      </c>
      <c r="Y28" s="665">
        <v>17538</v>
      </c>
      <c r="Z28" s="665" t="s">
        <v>130</v>
      </c>
      <c r="AA28" s="665" t="s">
        <v>130</v>
      </c>
    </row>
    <row r="29" spans="1:27" x14ac:dyDescent="0.25">
      <c r="A29" s="1100" t="s">
        <v>799</v>
      </c>
      <c r="B29" s="639">
        <v>6758</v>
      </c>
      <c r="C29" s="639">
        <v>8416</v>
      </c>
      <c r="D29" s="639">
        <v>5461</v>
      </c>
      <c r="E29" s="639">
        <v>6598</v>
      </c>
      <c r="F29" s="639">
        <v>3189</v>
      </c>
      <c r="G29" s="639">
        <v>4355</v>
      </c>
      <c r="H29" s="639">
        <v>3556</v>
      </c>
      <c r="I29" s="639">
        <v>3928</v>
      </c>
      <c r="J29" s="639">
        <v>1709</v>
      </c>
      <c r="K29" s="639">
        <v>1892</v>
      </c>
      <c r="L29" s="639">
        <v>1335</v>
      </c>
      <c r="M29" s="639">
        <v>1719</v>
      </c>
    </row>
    <row r="30" spans="1:27" x14ac:dyDescent="0.25">
      <c r="A30" s="1100" t="s">
        <v>800</v>
      </c>
      <c r="B30" s="639">
        <v>8389</v>
      </c>
      <c r="C30" s="639">
        <v>10551</v>
      </c>
      <c r="D30" s="639">
        <v>6750</v>
      </c>
      <c r="E30" s="639">
        <v>8244</v>
      </c>
      <c r="F30" s="639">
        <v>3943</v>
      </c>
      <c r="G30" s="639">
        <v>5435</v>
      </c>
      <c r="H30" s="639">
        <v>4367</v>
      </c>
      <c r="I30" s="639">
        <v>4883</v>
      </c>
      <c r="J30" s="639">
        <v>2110</v>
      </c>
      <c r="K30" s="639">
        <v>2363</v>
      </c>
      <c r="L30" s="639">
        <v>1653</v>
      </c>
      <c r="M30" s="639">
        <v>2150</v>
      </c>
    </row>
    <row r="31" spans="1:27" x14ac:dyDescent="0.25">
      <c r="A31" s="1100" t="s">
        <v>801</v>
      </c>
      <c r="B31" s="639">
        <v>9868</v>
      </c>
      <c r="C31" s="639">
        <v>13565</v>
      </c>
      <c r="D31" s="639">
        <v>7917</v>
      </c>
      <c r="E31" s="639">
        <v>10568</v>
      </c>
      <c r="F31" s="639">
        <v>4625</v>
      </c>
      <c r="G31" s="639">
        <v>6960</v>
      </c>
      <c r="H31" s="639">
        <v>5101</v>
      </c>
      <c r="I31" s="639">
        <v>6232</v>
      </c>
      <c r="J31" s="639">
        <v>2473</v>
      </c>
      <c r="K31" s="639">
        <v>3029</v>
      </c>
      <c r="L31" s="639">
        <v>1942</v>
      </c>
      <c r="M31" s="639">
        <v>2758</v>
      </c>
    </row>
    <row r="32" spans="1:27" x14ac:dyDescent="0.25">
      <c r="A32" s="1100" t="s">
        <v>802</v>
      </c>
      <c r="B32" s="639">
        <v>11589</v>
      </c>
      <c r="C32" s="639">
        <v>15245</v>
      </c>
      <c r="D32" s="639">
        <v>9277</v>
      </c>
      <c r="E32" s="639">
        <v>11864</v>
      </c>
      <c r="F32" s="639">
        <v>6049</v>
      </c>
      <c r="G32" s="639">
        <v>8705</v>
      </c>
      <c r="H32" s="639">
        <v>6631</v>
      </c>
      <c r="I32" s="639">
        <v>7772</v>
      </c>
      <c r="J32" s="639">
        <v>3229</v>
      </c>
      <c r="K32" s="639">
        <v>3791</v>
      </c>
      <c r="L32" s="639">
        <v>2542</v>
      </c>
      <c r="M32" s="639">
        <v>3454</v>
      </c>
    </row>
    <row r="33" spans="1:28" x14ac:dyDescent="0.25">
      <c r="A33" s="1100" t="s">
        <v>803</v>
      </c>
      <c r="B33" s="639">
        <v>15598</v>
      </c>
      <c r="C33" s="639">
        <v>20148</v>
      </c>
      <c r="D33" s="639">
        <v>12444</v>
      </c>
      <c r="E33" s="639">
        <v>15645</v>
      </c>
      <c r="F33" s="639">
        <v>8106</v>
      </c>
      <c r="G33" s="639">
        <v>11461</v>
      </c>
      <c r="H33" s="639">
        <v>8845</v>
      </c>
      <c r="I33" s="639">
        <v>10209</v>
      </c>
      <c r="J33" s="639">
        <v>4324</v>
      </c>
      <c r="K33" s="639">
        <v>4994</v>
      </c>
      <c r="L33" s="639">
        <v>3411</v>
      </c>
      <c r="M33" s="639">
        <v>4553</v>
      </c>
    </row>
    <row r="34" spans="1:28" x14ac:dyDescent="0.25">
      <c r="A34" s="1100" t="s">
        <v>835</v>
      </c>
      <c r="B34" s="639">
        <v>21300</v>
      </c>
      <c r="C34" s="639">
        <v>24695</v>
      </c>
      <c r="D34" s="639">
        <v>16950</v>
      </c>
      <c r="E34" s="639">
        <v>19150</v>
      </c>
      <c r="F34" s="639">
        <v>11032</v>
      </c>
      <c r="G34" s="639">
        <v>14017</v>
      </c>
      <c r="H34" s="639">
        <v>11995</v>
      </c>
      <c r="I34" s="639">
        <v>12468</v>
      </c>
      <c r="J34" s="639">
        <v>5881</v>
      </c>
      <c r="K34" s="639">
        <v>6111</v>
      </c>
      <c r="L34" s="639">
        <v>4648</v>
      </c>
      <c r="M34" s="639">
        <v>5573</v>
      </c>
    </row>
    <row r="35" spans="1:28" x14ac:dyDescent="0.25">
      <c r="A35" s="1100" t="s">
        <v>808</v>
      </c>
      <c r="B35" s="639">
        <v>26253</v>
      </c>
      <c r="C35" s="639">
        <v>29369</v>
      </c>
      <c r="D35" s="639">
        <v>20861</v>
      </c>
      <c r="E35" s="639">
        <v>22756</v>
      </c>
      <c r="F35" s="639">
        <v>13576</v>
      </c>
      <c r="G35" s="639">
        <v>16646</v>
      </c>
      <c r="H35" s="639">
        <v>14729</v>
      </c>
      <c r="I35" s="639">
        <v>14791</v>
      </c>
      <c r="J35" s="639">
        <v>7233</v>
      </c>
      <c r="K35" s="639">
        <v>7258</v>
      </c>
      <c r="L35" s="639">
        <v>5722</v>
      </c>
      <c r="M35" s="639">
        <v>6621</v>
      </c>
    </row>
    <row r="36" spans="1:28" x14ac:dyDescent="0.25"/>
    <row r="37" spans="1:28" x14ac:dyDescent="0.25">
      <c r="A37" s="670" t="s">
        <v>1268</v>
      </c>
    </row>
    <row r="38" spans="1:28" x14ac:dyDescent="0.25">
      <c r="A38" s="1101" t="s">
        <v>1269</v>
      </c>
      <c r="B38" s="1102">
        <v>1.8</v>
      </c>
    </row>
    <row r="39" spans="1:28" x14ac:dyDescent="0.25"/>
    <row r="40" spans="1:28" x14ac:dyDescent="0.25"/>
    <row r="41" spans="1:28" x14ac:dyDescent="0.25"/>
    <row r="42" spans="1:28" x14ac:dyDescent="0.25"/>
    <row r="43" spans="1:28" ht="20.25" x14ac:dyDescent="0.25">
      <c r="A43" s="1098" t="s">
        <v>1270</v>
      </c>
      <c r="B43" s="1092"/>
      <c r="C43" s="1092"/>
      <c r="D43" s="1092"/>
      <c r="E43" s="1092"/>
      <c r="F43" s="1092"/>
      <c r="G43" s="1092"/>
      <c r="H43" s="1092"/>
      <c r="I43" s="1092"/>
      <c r="J43" s="1092"/>
      <c r="K43" s="1092"/>
      <c r="L43" s="1092"/>
      <c r="M43" s="1092"/>
      <c r="N43" s="1092"/>
      <c r="O43" s="1092"/>
      <c r="P43" s="1092"/>
      <c r="Q43" s="1092"/>
      <c r="R43" s="1092"/>
      <c r="S43" s="1092"/>
      <c r="T43" s="1092"/>
      <c r="U43" s="1092"/>
      <c r="V43" s="1092"/>
      <c r="W43" s="1092"/>
      <c r="X43" s="1092"/>
      <c r="Y43" s="1092"/>
      <c r="Z43" s="1092"/>
      <c r="AA43" s="1092"/>
      <c r="AB43" s="1092"/>
    </row>
    <row r="44" spans="1:28" x14ac:dyDescent="0.25"/>
    <row r="45" spans="1:28" ht="33.75" customHeight="1" x14ac:dyDescent="0.25">
      <c r="A45" s="946" t="s">
        <v>757</v>
      </c>
      <c r="B45" s="947"/>
      <c r="C45" s="947"/>
      <c r="D45" s="947"/>
      <c r="E45" s="947"/>
      <c r="F45" s="947"/>
      <c r="G45" s="947"/>
      <c r="I45" s="1497" t="s">
        <v>1271</v>
      </c>
      <c r="J45" s="1497"/>
    </row>
    <row r="46" spans="1:28" x14ac:dyDescent="0.25">
      <c r="A46" s="574" t="s">
        <v>35</v>
      </c>
      <c r="B46" s="574" t="s">
        <v>7</v>
      </c>
      <c r="C46" s="574" t="s">
        <v>21</v>
      </c>
      <c r="D46" s="574" t="s">
        <v>28</v>
      </c>
      <c r="E46" s="574" t="s">
        <v>29</v>
      </c>
      <c r="F46" s="574" t="s">
        <v>34</v>
      </c>
      <c r="G46" s="574" t="s">
        <v>813</v>
      </c>
      <c r="I46" s="467"/>
      <c r="J46" s="467"/>
    </row>
    <row r="47" spans="1:28" ht="30" x14ac:dyDescent="0.25">
      <c r="A47" s="1103" t="s">
        <v>678</v>
      </c>
      <c r="B47" s="1104">
        <v>5179</v>
      </c>
      <c r="C47" s="1104">
        <v>4548</v>
      </c>
      <c r="D47" s="1104">
        <v>2996</v>
      </c>
      <c r="E47" s="1104">
        <v>2080</v>
      </c>
      <c r="F47" s="1104">
        <v>1751</v>
      </c>
      <c r="G47" s="1104">
        <v>1751</v>
      </c>
      <c r="I47" s="564" t="s">
        <v>755</v>
      </c>
      <c r="J47" s="564" t="s">
        <v>284</v>
      </c>
    </row>
    <row r="48" spans="1:28" ht="14.25" customHeight="1" x14ac:dyDescent="0.25">
      <c r="A48" s="126" t="s">
        <v>130</v>
      </c>
      <c r="B48" s="1105">
        <v>0</v>
      </c>
      <c r="C48" s="1105">
        <v>0</v>
      </c>
      <c r="D48" s="1105">
        <v>0</v>
      </c>
      <c r="E48" s="1105">
        <v>0</v>
      </c>
      <c r="F48" s="1105">
        <v>0</v>
      </c>
      <c r="G48" s="1105">
        <v>0</v>
      </c>
      <c r="I48" s="585" t="s">
        <v>1272</v>
      </c>
      <c r="J48" s="587">
        <v>1</v>
      </c>
    </row>
    <row r="49" spans="1:11" ht="14.25" customHeight="1" x14ac:dyDescent="0.25">
      <c r="A49" s="126">
        <v>7500</v>
      </c>
      <c r="B49" s="1105">
        <v>3316</v>
      </c>
      <c r="C49" s="1105">
        <v>3074</v>
      </c>
      <c r="D49" s="1105">
        <v>2187</v>
      </c>
      <c r="E49" s="1105">
        <v>1998</v>
      </c>
      <c r="F49" s="1105">
        <v>1682</v>
      </c>
      <c r="G49" s="1105">
        <v>1682</v>
      </c>
      <c r="I49" s="585" t="s">
        <v>754</v>
      </c>
      <c r="J49" s="587">
        <v>0.9</v>
      </c>
      <c r="K49" s="436" t="s">
        <v>1273</v>
      </c>
    </row>
    <row r="50" spans="1:11" ht="30" x14ac:dyDescent="0.25">
      <c r="A50" s="126">
        <v>10000</v>
      </c>
      <c r="B50" s="1105">
        <v>3453</v>
      </c>
      <c r="C50" s="1105">
        <v>3200</v>
      </c>
      <c r="D50" s="1105">
        <v>2277</v>
      </c>
      <c r="E50" s="1105">
        <v>2080</v>
      </c>
      <c r="F50" s="1105">
        <v>1751</v>
      </c>
      <c r="G50" s="1105">
        <v>1751</v>
      </c>
      <c r="I50" s="585" t="s">
        <v>1274</v>
      </c>
      <c r="J50" s="587">
        <v>0.98499999999999999</v>
      </c>
      <c r="K50" s="436" t="s">
        <v>1275</v>
      </c>
    </row>
    <row r="51" spans="1:11" ht="14.25" customHeight="1" x14ac:dyDescent="0.25">
      <c r="A51" s="126">
        <v>15000</v>
      </c>
      <c r="B51" s="1105">
        <v>4543</v>
      </c>
      <c r="C51" s="1105">
        <v>4211</v>
      </c>
      <c r="D51" s="1105">
        <v>2996</v>
      </c>
      <c r="E51" s="1105">
        <v>2737</v>
      </c>
      <c r="F51" s="1105">
        <v>2304</v>
      </c>
      <c r="G51" s="1105">
        <v>2304</v>
      </c>
    </row>
    <row r="52" spans="1:11" x14ac:dyDescent="0.25">
      <c r="A52" s="126">
        <v>20000</v>
      </c>
      <c r="B52" s="1105">
        <v>4906</v>
      </c>
      <c r="C52" s="1105">
        <v>4548</v>
      </c>
      <c r="D52" s="1105">
        <v>3236</v>
      </c>
      <c r="E52" s="1105">
        <v>2956</v>
      </c>
      <c r="F52" s="1105">
        <v>2488</v>
      </c>
      <c r="G52" s="1105">
        <v>2488</v>
      </c>
    </row>
    <row r="53" spans="1:11" x14ac:dyDescent="0.25">
      <c r="A53" s="126">
        <v>25000</v>
      </c>
      <c r="B53" s="1105">
        <v>5179</v>
      </c>
      <c r="C53" s="1105">
        <v>4801</v>
      </c>
      <c r="D53" s="1105">
        <v>3415</v>
      </c>
      <c r="E53" s="1105">
        <v>3120</v>
      </c>
      <c r="F53" s="1105">
        <v>2627</v>
      </c>
      <c r="G53" s="1105">
        <v>2627</v>
      </c>
      <c r="I53" s="670" t="s">
        <v>1276</v>
      </c>
    </row>
    <row r="54" spans="1:11" x14ac:dyDescent="0.25">
      <c r="A54" s="126">
        <v>30000</v>
      </c>
      <c r="B54" s="1105">
        <v>5770</v>
      </c>
      <c r="C54" s="1105">
        <v>5348</v>
      </c>
      <c r="D54" s="1105">
        <v>3805</v>
      </c>
      <c r="E54" s="1105">
        <v>3476</v>
      </c>
      <c r="F54" s="1105">
        <v>2926</v>
      </c>
      <c r="G54" s="1105">
        <v>2926</v>
      </c>
      <c r="I54" s="1106" t="s">
        <v>1277</v>
      </c>
    </row>
    <row r="55" spans="1:11" x14ac:dyDescent="0.25">
      <c r="A55" s="126">
        <v>40000</v>
      </c>
      <c r="B55" s="1105">
        <v>5860</v>
      </c>
      <c r="C55" s="1105">
        <v>5432</v>
      </c>
      <c r="D55" s="1105">
        <v>3865</v>
      </c>
      <c r="E55" s="1105">
        <v>3531</v>
      </c>
      <c r="F55" s="1105">
        <v>2972</v>
      </c>
      <c r="G55" s="1105">
        <v>2972</v>
      </c>
      <c r="I55" s="1106" t="s">
        <v>1278</v>
      </c>
    </row>
    <row r="56" spans="1:11" x14ac:dyDescent="0.25">
      <c r="A56" s="126">
        <v>50000</v>
      </c>
      <c r="B56" s="1105">
        <v>6042</v>
      </c>
      <c r="C56" s="1105">
        <v>5601</v>
      </c>
      <c r="D56" s="1105">
        <v>3985</v>
      </c>
      <c r="E56" s="1105">
        <v>3640</v>
      </c>
      <c r="F56" s="1105">
        <v>3064</v>
      </c>
      <c r="G56" s="1105">
        <v>3064</v>
      </c>
    </row>
    <row r="57" spans="1:11" x14ac:dyDescent="0.25">
      <c r="A57" s="126" t="s">
        <v>139</v>
      </c>
      <c r="B57" s="1105">
        <v>6178</v>
      </c>
      <c r="C57" s="1105">
        <v>5727</v>
      </c>
      <c r="D57" s="1105">
        <v>4075</v>
      </c>
      <c r="E57" s="1105">
        <v>3722</v>
      </c>
      <c r="F57" s="1105">
        <v>3133</v>
      </c>
      <c r="G57" s="1105">
        <v>3133</v>
      </c>
    </row>
    <row r="58" spans="1:11" x14ac:dyDescent="0.25">
      <c r="A58" s="436" t="s">
        <v>677</v>
      </c>
    </row>
    <row r="59" spans="1:11" x14ac:dyDescent="0.25"/>
    <row r="60" spans="1:11" ht="36" customHeight="1" x14ac:dyDescent="0.25">
      <c r="A60" s="946" t="s">
        <v>1279</v>
      </c>
      <c r="B60" s="947"/>
      <c r="C60" s="947"/>
      <c r="D60" s="947"/>
      <c r="E60" s="947"/>
      <c r="F60" s="947"/>
      <c r="G60" s="947"/>
      <c r="I60" s="1497" t="s">
        <v>1280</v>
      </c>
      <c r="J60" s="1497"/>
    </row>
    <row r="61" spans="1:11" ht="30" x14ac:dyDescent="0.25">
      <c r="A61" s="574" t="s">
        <v>35</v>
      </c>
      <c r="B61" s="574" t="s">
        <v>7</v>
      </c>
      <c r="C61" s="574" t="s">
        <v>21</v>
      </c>
      <c r="D61" s="574" t="s">
        <v>28</v>
      </c>
      <c r="E61" s="574" t="s">
        <v>29</v>
      </c>
      <c r="F61" s="574" t="s">
        <v>34</v>
      </c>
      <c r="G61" s="574" t="s">
        <v>813</v>
      </c>
      <c r="I61" s="564" t="s">
        <v>755</v>
      </c>
      <c r="J61" s="564" t="s">
        <v>284</v>
      </c>
    </row>
    <row r="62" spans="1:11" x14ac:dyDescent="0.25">
      <c r="A62" s="1103" t="s">
        <v>678</v>
      </c>
      <c r="B62" s="1104">
        <v>935</v>
      </c>
      <c r="C62" s="1104">
        <v>524</v>
      </c>
      <c r="D62" s="1104">
        <v>244</v>
      </c>
      <c r="E62" s="1104">
        <v>127</v>
      </c>
      <c r="F62" s="1104">
        <v>127</v>
      </c>
      <c r="G62" s="1104">
        <v>127</v>
      </c>
      <c r="I62" s="1107" t="s">
        <v>1281</v>
      </c>
      <c r="J62" s="1108">
        <v>0.87499999999999989</v>
      </c>
    </row>
    <row r="63" spans="1:11" x14ac:dyDescent="0.25">
      <c r="A63" s="126" t="s">
        <v>130</v>
      </c>
      <c r="B63" s="1105">
        <v>0</v>
      </c>
      <c r="C63" s="1105">
        <v>0</v>
      </c>
      <c r="D63" s="1105">
        <v>0</v>
      </c>
      <c r="E63" s="1105">
        <v>0</v>
      </c>
      <c r="F63" s="1105">
        <v>0</v>
      </c>
      <c r="G63" s="1105">
        <v>0</v>
      </c>
      <c r="I63" s="585" t="s">
        <v>753</v>
      </c>
      <c r="J63" s="587">
        <v>1</v>
      </c>
    </row>
    <row r="64" spans="1:11" x14ac:dyDescent="0.25">
      <c r="A64" s="126">
        <v>500</v>
      </c>
      <c r="B64" s="1109">
        <v>348</v>
      </c>
      <c r="C64" s="1109">
        <v>275</v>
      </c>
      <c r="D64" s="1109">
        <v>160</v>
      </c>
      <c r="E64" s="1109">
        <v>121</v>
      </c>
      <c r="F64" s="1109">
        <v>124</v>
      </c>
      <c r="G64" s="1109">
        <v>125</v>
      </c>
      <c r="I64" s="585" t="s">
        <v>754</v>
      </c>
      <c r="J64" s="587">
        <v>1.125</v>
      </c>
    </row>
    <row r="65" spans="1:10" x14ac:dyDescent="0.25">
      <c r="A65" s="126">
        <v>1000</v>
      </c>
      <c r="B65" s="1105">
        <v>492</v>
      </c>
      <c r="C65" s="1105">
        <v>327</v>
      </c>
      <c r="D65" s="1105">
        <v>175</v>
      </c>
      <c r="E65" s="1105">
        <v>127</v>
      </c>
      <c r="F65" s="1105">
        <v>127</v>
      </c>
      <c r="G65" s="1105">
        <v>127</v>
      </c>
    </row>
    <row r="66" spans="1:10" x14ac:dyDescent="0.25">
      <c r="A66" s="126">
        <v>2000</v>
      </c>
      <c r="B66" s="1105">
        <v>540</v>
      </c>
      <c r="C66" s="1105">
        <v>359</v>
      </c>
      <c r="D66" s="1105">
        <v>192</v>
      </c>
      <c r="E66" s="1105">
        <v>140</v>
      </c>
      <c r="F66" s="1105">
        <v>140</v>
      </c>
      <c r="G66" s="1105">
        <v>140</v>
      </c>
    </row>
    <row r="67" spans="1:10" x14ac:dyDescent="0.25">
      <c r="A67" s="126">
        <v>2500</v>
      </c>
      <c r="B67" s="1105">
        <v>686</v>
      </c>
      <c r="C67" s="1105">
        <v>456</v>
      </c>
      <c r="D67" s="1105">
        <v>244</v>
      </c>
      <c r="E67" s="1105">
        <v>177</v>
      </c>
      <c r="F67" s="1105">
        <v>177</v>
      </c>
      <c r="G67" s="1105">
        <v>177</v>
      </c>
    </row>
    <row r="68" spans="1:10" x14ac:dyDescent="0.25">
      <c r="A68" s="126">
        <v>3000</v>
      </c>
      <c r="B68" s="1105">
        <v>735</v>
      </c>
      <c r="C68" s="1105">
        <v>488</v>
      </c>
      <c r="D68" s="1105">
        <v>261</v>
      </c>
      <c r="E68" s="1105">
        <v>190</v>
      </c>
      <c r="F68" s="1105">
        <v>190</v>
      </c>
      <c r="G68" s="1105">
        <v>190</v>
      </c>
    </row>
    <row r="69" spans="1:10" x14ac:dyDescent="0.25">
      <c r="A69" s="126">
        <v>3500</v>
      </c>
      <c r="B69" s="1105">
        <v>789</v>
      </c>
      <c r="C69" s="1105">
        <v>524</v>
      </c>
      <c r="D69" s="1105">
        <v>281</v>
      </c>
      <c r="E69" s="1105">
        <v>204</v>
      </c>
      <c r="F69" s="1105">
        <v>204</v>
      </c>
      <c r="G69" s="1105">
        <v>204</v>
      </c>
    </row>
    <row r="70" spans="1:10" x14ac:dyDescent="0.25">
      <c r="A70" s="126">
        <v>5000</v>
      </c>
      <c r="B70" s="1105">
        <v>935</v>
      </c>
      <c r="C70" s="1105">
        <v>621</v>
      </c>
      <c r="D70" s="1105">
        <v>332</v>
      </c>
      <c r="E70" s="1105">
        <v>241</v>
      </c>
      <c r="F70" s="1105">
        <v>241</v>
      </c>
      <c r="G70" s="1105">
        <v>241</v>
      </c>
    </row>
    <row r="71" spans="1:10" x14ac:dyDescent="0.25">
      <c r="A71" s="126">
        <v>7500</v>
      </c>
      <c r="B71" s="1105">
        <v>1032</v>
      </c>
      <c r="C71" s="1105">
        <v>686</v>
      </c>
      <c r="D71" s="1105">
        <v>367</v>
      </c>
      <c r="E71" s="1105">
        <v>267</v>
      </c>
      <c r="F71" s="1105">
        <v>267</v>
      </c>
      <c r="G71" s="1105">
        <v>267</v>
      </c>
    </row>
    <row r="72" spans="1:10" x14ac:dyDescent="0.25">
      <c r="A72" s="126">
        <v>10000</v>
      </c>
      <c r="B72" s="1105">
        <v>1475</v>
      </c>
      <c r="C72" s="1105">
        <v>980</v>
      </c>
      <c r="D72" s="1105">
        <v>525</v>
      </c>
      <c r="E72" s="1105">
        <v>381</v>
      </c>
      <c r="F72" s="1105">
        <v>381</v>
      </c>
      <c r="G72" s="1105">
        <v>381</v>
      </c>
    </row>
    <row r="73" spans="1:10" x14ac:dyDescent="0.25"/>
    <row r="74" spans="1:10" x14ac:dyDescent="0.25"/>
    <row r="75" spans="1:10" ht="36.75" customHeight="1" x14ac:dyDescent="0.25">
      <c r="A75" s="946" t="s">
        <v>1282</v>
      </c>
      <c r="B75" s="947"/>
      <c r="C75" s="947"/>
      <c r="D75" s="947"/>
      <c r="E75" s="947"/>
      <c r="F75" s="947"/>
      <c r="G75" s="947"/>
      <c r="I75" s="1497" t="s">
        <v>1283</v>
      </c>
      <c r="J75" s="1497"/>
    </row>
    <row r="76" spans="1:10" ht="30" x14ac:dyDescent="0.25">
      <c r="A76" s="574" t="s">
        <v>35</v>
      </c>
      <c r="B76" s="574" t="s">
        <v>7</v>
      </c>
      <c r="C76" s="574" t="s">
        <v>21</v>
      </c>
      <c r="D76" s="574" t="s">
        <v>28</v>
      </c>
      <c r="E76" s="574" t="s">
        <v>29</v>
      </c>
      <c r="F76" s="574" t="s">
        <v>34</v>
      </c>
      <c r="G76" s="574" t="s">
        <v>813</v>
      </c>
      <c r="I76" s="564" t="s">
        <v>755</v>
      </c>
      <c r="J76" s="564" t="s">
        <v>284</v>
      </c>
    </row>
    <row r="77" spans="1:10" x14ac:dyDescent="0.25">
      <c r="A77" s="1103" t="s">
        <v>678</v>
      </c>
      <c r="B77" s="1104">
        <v>492</v>
      </c>
      <c r="C77" s="1104">
        <v>372</v>
      </c>
      <c r="D77" s="1104">
        <v>140</v>
      </c>
      <c r="E77" s="1104">
        <v>65</v>
      </c>
      <c r="F77" s="1104">
        <v>65</v>
      </c>
      <c r="G77" s="1104">
        <v>65</v>
      </c>
      <c r="I77" s="1107" t="s">
        <v>1281</v>
      </c>
      <c r="J77" s="1108">
        <v>0.87499999999999989</v>
      </c>
    </row>
    <row r="78" spans="1:10" x14ac:dyDescent="0.25">
      <c r="A78" s="126" t="s">
        <v>130</v>
      </c>
      <c r="B78" s="1105">
        <v>0</v>
      </c>
      <c r="C78" s="1105">
        <v>0</v>
      </c>
      <c r="D78" s="1105">
        <v>0</v>
      </c>
      <c r="E78" s="1105">
        <v>0</v>
      </c>
      <c r="F78" s="1105">
        <v>0</v>
      </c>
      <c r="G78" s="1105">
        <v>0</v>
      </c>
      <c r="I78" s="585" t="s">
        <v>753</v>
      </c>
      <c r="J78" s="587">
        <v>1</v>
      </c>
    </row>
    <row r="79" spans="1:10" x14ac:dyDescent="0.25">
      <c r="A79" s="126">
        <v>300</v>
      </c>
      <c r="B79" s="1105">
        <v>135</v>
      </c>
      <c r="C79" s="1105">
        <v>112</v>
      </c>
      <c r="D79" s="1105">
        <v>60</v>
      </c>
      <c r="E79" s="1105">
        <v>33</v>
      </c>
      <c r="F79" s="1105">
        <v>33</v>
      </c>
      <c r="G79" s="1105">
        <v>33</v>
      </c>
      <c r="I79" s="585" t="s">
        <v>754</v>
      </c>
      <c r="J79" s="587">
        <v>1.125</v>
      </c>
    </row>
    <row r="80" spans="1:10" x14ac:dyDescent="0.25">
      <c r="A80" s="126">
        <v>500</v>
      </c>
      <c r="B80" s="1105">
        <v>201</v>
      </c>
      <c r="C80" s="1105">
        <v>166</v>
      </c>
      <c r="D80" s="1105">
        <v>90</v>
      </c>
      <c r="E80" s="1105">
        <v>48</v>
      </c>
      <c r="F80" s="1105">
        <v>48</v>
      </c>
      <c r="G80" s="1105">
        <v>48</v>
      </c>
    </row>
    <row r="81" spans="1:10" x14ac:dyDescent="0.25">
      <c r="A81" s="126">
        <v>750</v>
      </c>
      <c r="B81" s="1105">
        <v>270</v>
      </c>
      <c r="C81" s="1105">
        <v>224</v>
      </c>
      <c r="D81" s="1105">
        <v>120</v>
      </c>
      <c r="E81" s="1105">
        <v>65</v>
      </c>
      <c r="F81" s="1105">
        <v>65</v>
      </c>
      <c r="G81" s="1105">
        <v>65</v>
      </c>
    </row>
    <row r="82" spans="1:10" x14ac:dyDescent="0.25">
      <c r="A82" s="126">
        <v>1000</v>
      </c>
      <c r="B82" s="1105">
        <v>313</v>
      </c>
      <c r="C82" s="1105">
        <v>260</v>
      </c>
      <c r="D82" s="1105">
        <v>140</v>
      </c>
      <c r="E82" s="1105">
        <v>76</v>
      </c>
      <c r="F82" s="1105">
        <v>76</v>
      </c>
      <c r="G82" s="1105">
        <v>76</v>
      </c>
    </row>
    <row r="83" spans="1:10" x14ac:dyDescent="0.25">
      <c r="A83" s="126">
        <v>1500</v>
      </c>
      <c r="B83" s="1105">
        <v>404</v>
      </c>
      <c r="C83" s="1105">
        <v>336</v>
      </c>
      <c r="D83" s="1105">
        <v>181</v>
      </c>
      <c r="E83" s="1105">
        <v>98</v>
      </c>
      <c r="F83" s="1105">
        <v>98</v>
      </c>
      <c r="G83" s="1105">
        <v>98</v>
      </c>
    </row>
    <row r="84" spans="1:10" x14ac:dyDescent="0.25">
      <c r="A84" s="126">
        <v>2000</v>
      </c>
      <c r="B84" s="1105">
        <v>448</v>
      </c>
      <c r="C84" s="1105">
        <v>372</v>
      </c>
      <c r="D84" s="1105">
        <v>200</v>
      </c>
      <c r="E84" s="1105">
        <v>108</v>
      </c>
      <c r="F84" s="1105">
        <v>108</v>
      </c>
      <c r="G84" s="1105">
        <v>108</v>
      </c>
    </row>
    <row r="85" spans="1:10" x14ac:dyDescent="0.25">
      <c r="A85" s="126">
        <v>2500</v>
      </c>
      <c r="B85" s="1105">
        <v>492</v>
      </c>
      <c r="C85" s="1105">
        <v>408</v>
      </c>
      <c r="D85" s="1105">
        <v>220</v>
      </c>
      <c r="E85" s="1105">
        <v>119</v>
      </c>
      <c r="F85" s="1105">
        <v>119</v>
      </c>
      <c r="G85" s="1105">
        <v>119</v>
      </c>
    </row>
    <row r="86" spans="1:10" x14ac:dyDescent="0.25"/>
    <row r="87" spans="1:10" x14ac:dyDescent="0.25"/>
    <row r="88" spans="1:10" ht="30.75" customHeight="1" x14ac:dyDescent="0.25">
      <c r="A88" s="946" t="s">
        <v>1284</v>
      </c>
      <c r="B88" s="947"/>
      <c r="C88" s="947"/>
      <c r="D88" s="947"/>
      <c r="E88" s="947"/>
      <c r="F88" s="947"/>
      <c r="G88" s="947"/>
      <c r="I88" s="1497" t="s">
        <v>1285</v>
      </c>
      <c r="J88" s="1497"/>
    </row>
    <row r="89" spans="1:10" ht="30" x14ac:dyDescent="0.25">
      <c r="A89" s="574" t="s">
        <v>35</v>
      </c>
      <c r="B89" s="574" t="s">
        <v>7</v>
      </c>
      <c r="C89" s="574" t="s">
        <v>21</v>
      </c>
      <c r="D89" s="574" t="s">
        <v>28</v>
      </c>
      <c r="E89" s="574" t="s">
        <v>29</v>
      </c>
      <c r="F89" s="574" t="s">
        <v>34</v>
      </c>
      <c r="G89" s="574" t="s">
        <v>813</v>
      </c>
      <c r="I89" s="564" t="s">
        <v>755</v>
      </c>
      <c r="J89" s="564" t="s">
        <v>284</v>
      </c>
    </row>
    <row r="90" spans="1:10" x14ac:dyDescent="0.25">
      <c r="A90" s="126" t="s">
        <v>130</v>
      </c>
      <c r="B90" s="1110">
        <v>0</v>
      </c>
      <c r="C90" s="1110">
        <v>0</v>
      </c>
      <c r="D90" s="1110">
        <v>0</v>
      </c>
      <c r="E90" s="1110">
        <v>0</v>
      </c>
      <c r="F90" s="1110">
        <v>0</v>
      </c>
      <c r="G90" s="1110">
        <v>0</v>
      </c>
      <c r="I90" s="585" t="s">
        <v>753</v>
      </c>
      <c r="J90" s="587">
        <v>1</v>
      </c>
    </row>
    <row r="91" spans="1:10" x14ac:dyDescent="0.25">
      <c r="A91" s="126">
        <v>6</v>
      </c>
      <c r="B91" s="1110">
        <v>31.25</v>
      </c>
      <c r="C91" s="1110">
        <v>31.25</v>
      </c>
      <c r="D91" s="1110">
        <v>25.17</v>
      </c>
      <c r="E91" s="1110">
        <v>23.44</v>
      </c>
      <c r="F91" s="1110">
        <v>21.7</v>
      </c>
      <c r="G91" s="1110">
        <v>21.7</v>
      </c>
      <c r="I91" s="585" t="s">
        <v>754</v>
      </c>
      <c r="J91" s="587">
        <v>1.125</v>
      </c>
    </row>
    <row r="92" spans="1:10" x14ac:dyDescent="0.25">
      <c r="A92" s="126">
        <v>9</v>
      </c>
      <c r="B92" s="1110">
        <v>57.29</v>
      </c>
      <c r="C92" s="1110">
        <v>57.29</v>
      </c>
      <c r="D92" s="1110">
        <v>46</v>
      </c>
      <c r="E92" s="1110">
        <v>43.4</v>
      </c>
      <c r="F92" s="1110">
        <v>39.93</v>
      </c>
      <c r="G92" s="1110">
        <v>39.93</v>
      </c>
      <c r="I92" s="585" t="s">
        <v>1272</v>
      </c>
      <c r="J92" s="587">
        <v>1.25</v>
      </c>
    </row>
    <row r="93" spans="1:10" x14ac:dyDescent="0.25">
      <c r="A93" s="126">
        <v>12</v>
      </c>
      <c r="B93" s="1110">
        <v>114.58</v>
      </c>
      <c r="C93" s="1110">
        <v>114.58</v>
      </c>
      <c r="D93" s="1110">
        <v>92.01</v>
      </c>
      <c r="E93" s="1110">
        <v>85.93</v>
      </c>
      <c r="F93" s="1110">
        <v>80.72</v>
      </c>
      <c r="G93" s="1110">
        <v>80.72</v>
      </c>
    </row>
    <row r="94" spans="1:10" x14ac:dyDescent="0.25">
      <c r="A94" s="126">
        <v>15</v>
      </c>
      <c r="B94" s="1110">
        <v>172.73</v>
      </c>
      <c r="C94" s="1110">
        <v>172.73</v>
      </c>
      <c r="D94" s="1110">
        <v>138.01</v>
      </c>
      <c r="E94" s="1110">
        <v>129.33000000000001</v>
      </c>
      <c r="F94" s="1110">
        <v>120.65</v>
      </c>
      <c r="G94" s="1110">
        <v>120.65</v>
      </c>
    </row>
    <row r="95" spans="1:10" x14ac:dyDescent="0.25">
      <c r="A95" s="126">
        <v>18</v>
      </c>
      <c r="B95" s="1110">
        <v>207.45</v>
      </c>
      <c r="C95" s="1110">
        <v>207.45</v>
      </c>
      <c r="D95" s="1110">
        <v>164.92</v>
      </c>
      <c r="E95" s="1110">
        <v>155.37</v>
      </c>
      <c r="F95" s="1110">
        <v>144.96</v>
      </c>
      <c r="G95" s="1110">
        <v>144.96</v>
      </c>
    </row>
    <row r="96" spans="1:10" x14ac:dyDescent="0.25">
      <c r="A96" s="126">
        <v>20</v>
      </c>
      <c r="B96" s="1110">
        <v>230.02</v>
      </c>
      <c r="C96" s="1110">
        <v>230.02</v>
      </c>
      <c r="D96" s="1110">
        <v>184.02</v>
      </c>
      <c r="E96" s="1110">
        <v>172.73</v>
      </c>
      <c r="F96" s="1110">
        <v>160.58000000000001</v>
      </c>
      <c r="G96" s="1110">
        <v>160.58000000000001</v>
      </c>
    </row>
    <row r="97" spans="1:11" x14ac:dyDescent="0.25">
      <c r="A97" s="126">
        <v>24</v>
      </c>
      <c r="B97" s="1110">
        <v>276.02</v>
      </c>
      <c r="C97" s="1110">
        <v>276.02</v>
      </c>
      <c r="D97" s="1110">
        <v>221.34</v>
      </c>
      <c r="E97" s="1110">
        <v>207.45</v>
      </c>
      <c r="F97" s="1110">
        <v>193.56</v>
      </c>
      <c r="G97" s="1110">
        <v>193.56</v>
      </c>
    </row>
    <row r="98" spans="1:11" x14ac:dyDescent="0.25">
      <c r="A98" s="126">
        <v>30</v>
      </c>
      <c r="B98" s="1110">
        <v>344.6</v>
      </c>
      <c r="C98" s="1110">
        <v>344.6</v>
      </c>
      <c r="D98" s="1110">
        <v>276.89</v>
      </c>
      <c r="E98" s="1110">
        <v>259.52999999999997</v>
      </c>
      <c r="F98" s="1110">
        <v>241.3</v>
      </c>
      <c r="G98" s="1110">
        <v>241.3</v>
      </c>
    </row>
    <row r="99" spans="1:11" x14ac:dyDescent="0.25">
      <c r="A99" s="126" t="s">
        <v>781</v>
      </c>
      <c r="B99" s="1110">
        <v>414.04</v>
      </c>
      <c r="C99" s="1110">
        <v>414.04</v>
      </c>
      <c r="D99" s="1110">
        <v>330.71</v>
      </c>
      <c r="E99" s="1110">
        <v>309.88</v>
      </c>
      <c r="F99" s="1110">
        <v>289.91000000000003</v>
      </c>
      <c r="G99" s="1110">
        <v>289.91000000000003</v>
      </c>
    </row>
    <row r="100" spans="1:11" x14ac:dyDescent="0.25"/>
    <row r="101" spans="1:11" x14ac:dyDescent="0.25"/>
    <row r="102" spans="1:11" ht="27.75" customHeight="1" x14ac:dyDescent="0.25">
      <c r="A102" s="1504" t="s">
        <v>913</v>
      </c>
      <c r="B102" s="1505"/>
      <c r="D102" s="1504" t="s">
        <v>1286</v>
      </c>
      <c r="E102" s="1505"/>
      <c r="G102" s="1504" t="s">
        <v>1287</v>
      </c>
      <c r="H102" s="1505"/>
      <c r="J102" s="1504" t="s">
        <v>899</v>
      </c>
      <c r="K102" s="1505"/>
    </row>
    <row r="103" spans="1:11" ht="30" x14ac:dyDescent="0.25">
      <c r="A103" s="577" t="s">
        <v>678</v>
      </c>
      <c r="B103" s="577" t="s">
        <v>1288</v>
      </c>
      <c r="D103" s="577" t="s">
        <v>678</v>
      </c>
      <c r="E103" s="1111" t="s">
        <v>1289</v>
      </c>
      <c r="G103" s="577" t="s">
        <v>678</v>
      </c>
      <c r="H103" s="1111" t="s">
        <v>1289</v>
      </c>
      <c r="J103" s="577" t="s">
        <v>678</v>
      </c>
      <c r="K103" s="577" t="s">
        <v>1288</v>
      </c>
    </row>
    <row r="104" spans="1:11" ht="15" customHeight="1" x14ac:dyDescent="0.25">
      <c r="A104" s="583" t="s">
        <v>130</v>
      </c>
      <c r="B104" s="1112">
        <v>0</v>
      </c>
      <c r="D104" s="1113" t="s">
        <v>130</v>
      </c>
      <c r="E104" s="1110">
        <v>0</v>
      </c>
      <c r="G104" s="1113" t="s">
        <v>130</v>
      </c>
      <c r="H104" s="1110">
        <v>0</v>
      </c>
      <c r="J104" s="583" t="s">
        <v>130</v>
      </c>
      <c r="K104" s="1104">
        <v>0</v>
      </c>
    </row>
    <row r="105" spans="1:11" x14ac:dyDescent="0.25">
      <c r="A105" s="583">
        <v>5000</v>
      </c>
      <c r="B105" s="1114">
        <v>13.05</v>
      </c>
      <c r="D105" s="1115">
        <v>800</v>
      </c>
      <c r="E105" s="1114">
        <v>23.29</v>
      </c>
      <c r="G105" s="1113">
        <v>1000</v>
      </c>
      <c r="H105" s="1110">
        <v>28.21</v>
      </c>
      <c r="J105" s="583">
        <v>1000</v>
      </c>
      <c r="K105" s="1110">
        <v>5.43</v>
      </c>
    </row>
    <row r="106" spans="1:11" x14ac:dyDescent="0.25">
      <c r="A106" s="583">
        <v>7500</v>
      </c>
      <c r="B106" s="1114">
        <v>15.98</v>
      </c>
      <c r="D106" s="1113">
        <v>1000</v>
      </c>
      <c r="E106" s="1110">
        <v>26.04</v>
      </c>
      <c r="G106" s="1113">
        <v>1500</v>
      </c>
      <c r="H106" s="1110">
        <v>34.72</v>
      </c>
      <c r="J106" s="583">
        <v>1500</v>
      </c>
      <c r="K106" s="1110">
        <v>6.51</v>
      </c>
    </row>
    <row r="107" spans="1:11" ht="15" customHeight="1" x14ac:dyDescent="0.25">
      <c r="A107" s="583">
        <v>10000</v>
      </c>
      <c r="B107" s="1110">
        <v>18.45</v>
      </c>
      <c r="D107" s="1113">
        <v>1500</v>
      </c>
      <c r="E107" s="1110">
        <v>39.06</v>
      </c>
      <c r="G107" s="1113">
        <v>1600</v>
      </c>
      <c r="H107" s="1110">
        <v>35.81</v>
      </c>
      <c r="J107" s="583">
        <v>2000</v>
      </c>
      <c r="K107" s="1110">
        <v>7.6</v>
      </c>
    </row>
    <row r="108" spans="1:11" ht="14.25" customHeight="1" x14ac:dyDescent="0.25">
      <c r="A108" s="583">
        <v>20000</v>
      </c>
      <c r="B108" s="1110">
        <v>36.89</v>
      </c>
      <c r="D108" s="1113">
        <v>2000</v>
      </c>
      <c r="E108" s="1110">
        <v>52.08</v>
      </c>
      <c r="G108" s="1113">
        <v>2000</v>
      </c>
      <c r="H108" s="1110">
        <v>40.15</v>
      </c>
      <c r="J108" s="583">
        <v>2500</v>
      </c>
      <c r="K108" s="1110">
        <v>9.77</v>
      </c>
    </row>
    <row r="109" spans="1:11" ht="15" customHeight="1" x14ac:dyDescent="0.25">
      <c r="A109" s="583">
        <v>25000</v>
      </c>
      <c r="B109" s="1110">
        <v>46.66</v>
      </c>
      <c r="D109" s="1113">
        <v>2500</v>
      </c>
      <c r="E109" s="1110">
        <v>65.099999999999994</v>
      </c>
      <c r="G109" s="1113">
        <v>2500</v>
      </c>
      <c r="H109" s="1110">
        <v>49.91</v>
      </c>
      <c r="J109" s="583">
        <v>3000</v>
      </c>
      <c r="K109" s="1110">
        <v>10.85</v>
      </c>
    </row>
    <row r="110" spans="1:11" x14ac:dyDescent="0.25">
      <c r="A110" s="583">
        <v>30000</v>
      </c>
      <c r="B110" s="1110">
        <v>55.34</v>
      </c>
      <c r="D110" s="1113">
        <v>3000</v>
      </c>
      <c r="E110" s="1110">
        <v>78.12</v>
      </c>
      <c r="G110" s="1113">
        <v>3000</v>
      </c>
      <c r="H110" s="1110">
        <v>60.76</v>
      </c>
      <c r="J110" s="583">
        <v>5000</v>
      </c>
      <c r="K110" s="1110">
        <v>13.02</v>
      </c>
    </row>
    <row r="111" spans="1:11" x14ac:dyDescent="0.25">
      <c r="D111" s="1113">
        <v>3500</v>
      </c>
      <c r="E111" s="1110">
        <v>91.14</v>
      </c>
      <c r="G111" s="1113">
        <v>4000</v>
      </c>
      <c r="H111" s="1110">
        <v>80.290000000000006</v>
      </c>
      <c r="J111" s="583">
        <v>7500</v>
      </c>
      <c r="K111" s="1110">
        <v>16.28</v>
      </c>
    </row>
    <row r="112" spans="1:11" x14ac:dyDescent="0.25">
      <c r="D112" s="1113">
        <v>5000</v>
      </c>
      <c r="E112" s="1110">
        <v>130.19999999999999</v>
      </c>
      <c r="G112" s="1113">
        <v>5000</v>
      </c>
      <c r="H112" s="1110">
        <v>99.82</v>
      </c>
      <c r="J112" s="583">
        <v>10000</v>
      </c>
      <c r="K112" s="1110">
        <v>18.45</v>
      </c>
    </row>
    <row r="113" spans="1:28" ht="14.25" customHeight="1" x14ac:dyDescent="0.25">
      <c r="A113" s="1116" t="s">
        <v>350</v>
      </c>
      <c r="D113" s="1113">
        <v>7500</v>
      </c>
      <c r="E113" s="1110">
        <v>195.3</v>
      </c>
      <c r="G113" s="1113">
        <v>7500</v>
      </c>
      <c r="H113" s="1110">
        <v>149.72999999999999</v>
      </c>
      <c r="J113" s="583">
        <v>15000</v>
      </c>
      <c r="K113" s="1110">
        <v>22.79</v>
      </c>
    </row>
    <row r="114" spans="1:28" x14ac:dyDescent="0.25">
      <c r="A114" s="577" t="s">
        <v>678</v>
      </c>
      <c r="B114" s="577" t="s">
        <v>1288</v>
      </c>
      <c r="D114" s="1113">
        <v>10000</v>
      </c>
      <c r="E114" s="1110">
        <v>260.39999999999998</v>
      </c>
      <c r="G114" s="1113">
        <v>10000</v>
      </c>
      <c r="H114" s="1110">
        <v>199.64</v>
      </c>
      <c r="J114" s="583">
        <v>20000</v>
      </c>
      <c r="K114" s="1110">
        <v>27.13</v>
      </c>
    </row>
    <row r="115" spans="1:28" x14ac:dyDescent="0.25">
      <c r="A115" s="583" t="s">
        <v>130</v>
      </c>
      <c r="B115" s="1104">
        <v>0</v>
      </c>
      <c r="D115" s="1113">
        <v>15000</v>
      </c>
      <c r="E115" s="1110">
        <v>390.6</v>
      </c>
      <c r="G115" s="1117"/>
      <c r="H115" s="1118"/>
      <c r="J115" s="583">
        <v>24000</v>
      </c>
      <c r="K115" s="1110">
        <v>29.3</v>
      </c>
    </row>
    <row r="116" spans="1:28" x14ac:dyDescent="0.25">
      <c r="A116" s="583">
        <v>1000</v>
      </c>
      <c r="B116" s="1110">
        <v>174.69</v>
      </c>
      <c r="D116" s="1119" t="s">
        <v>1290</v>
      </c>
    </row>
    <row r="117" spans="1:28" x14ac:dyDescent="0.25">
      <c r="A117" s="583">
        <v>1500</v>
      </c>
      <c r="B117" s="1110">
        <v>218.09</v>
      </c>
    </row>
    <row r="118" spans="1:28" x14ac:dyDescent="0.25">
      <c r="A118" s="583">
        <v>2000</v>
      </c>
      <c r="B118" s="1110">
        <v>271.25</v>
      </c>
      <c r="D118" s="1506" t="s">
        <v>1291</v>
      </c>
      <c r="E118" s="1506"/>
      <c r="G118" s="1506" t="s">
        <v>1292</v>
      </c>
      <c r="H118" s="1506"/>
    </row>
    <row r="119" spans="1:28" ht="15.75" customHeight="1" x14ac:dyDescent="0.25">
      <c r="A119" s="583">
        <v>2500</v>
      </c>
      <c r="B119" s="1110">
        <v>340.69</v>
      </c>
      <c r="D119" s="564" t="s">
        <v>755</v>
      </c>
      <c r="E119" s="564" t="s">
        <v>284</v>
      </c>
      <c r="G119" s="564" t="s">
        <v>755</v>
      </c>
      <c r="H119" s="564" t="s">
        <v>284</v>
      </c>
    </row>
    <row r="120" spans="1:28" x14ac:dyDescent="0.25">
      <c r="A120" s="583">
        <v>3000</v>
      </c>
      <c r="B120" s="1110">
        <v>409.05</v>
      </c>
      <c r="D120" s="585" t="s">
        <v>1281</v>
      </c>
      <c r="E120" s="586">
        <v>0.87499999999999989</v>
      </c>
      <c r="G120" s="585" t="s">
        <v>1281</v>
      </c>
      <c r="H120" s="586">
        <v>0.87499999999999989</v>
      </c>
    </row>
    <row r="121" spans="1:28" x14ac:dyDescent="0.25">
      <c r="D121" s="585" t="s">
        <v>753</v>
      </c>
      <c r="E121" s="586">
        <v>1</v>
      </c>
      <c r="G121" s="585" t="s">
        <v>753</v>
      </c>
      <c r="H121" s="586">
        <v>1</v>
      </c>
    </row>
    <row r="122" spans="1:28" x14ac:dyDescent="0.25">
      <c r="D122" s="585" t="s">
        <v>754</v>
      </c>
      <c r="E122" s="587">
        <v>1.125</v>
      </c>
      <c r="G122" s="585" t="s">
        <v>754</v>
      </c>
      <c r="H122" s="587">
        <v>1.125</v>
      </c>
    </row>
    <row r="123" spans="1:28" x14ac:dyDescent="0.25">
      <c r="D123" s="585" t="s">
        <v>1272</v>
      </c>
      <c r="E123" s="587">
        <v>1.25</v>
      </c>
      <c r="G123" s="585" t="s">
        <v>1272</v>
      </c>
      <c r="H123" s="587">
        <v>1.25</v>
      </c>
    </row>
    <row r="124" spans="1:28" x14ac:dyDescent="0.25"/>
    <row r="125" spans="1:28" x14ac:dyDescent="0.25"/>
    <row r="126" spans="1:28" x14ac:dyDescent="0.25"/>
    <row r="127" spans="1:28" ht="20.25" x14ac:dyDescent="0.25">
      <c r="A127" s="1098" t="s">
        <v>1293</v>
      </c>
      <c r="B127" s="1092"/>
      <c r="C127" s="1092"/>
      <c r="D127" s="1092"/>
      <c r="E127" s="1092"/>
      <c r="F127" s="1092"/>
      <c r="G127" s="1092"/>
      <c r="H127" s="1092"/>
      <c r="I127" s="1092"/>
      <c r="J127" s="1092"/>
      <c r="K127" s="1092"/>
      <c r="L127" s="1092"/>
      <c r="M127" s="1092"/>
      <c r="N127" s="1092"/>
      <c r="O127" s="1092"/>
      <c r="P127" s="1092"/>
      <c r="Q127" s="1092"/>
      <c r="R127" s="1092"/>
      <c r="S127" s="1092"/>
      <c r="T127" s="1092"/>
      <c r="U127" s="1092"/>
      <c r="V127" s="1092"/>
      <c r="W127" s="1092"/>
      <c r="X127" s="1092"/>
      <c r="Y127" s="1092"/>
      <c r="Z127" s="1092"/>
      <c r="AA127" s="1092"/>
      <c r="AB127" s="1092"/>
    </row>
    <row r="128" spans="1:28" x14ac:dyDescent="0.25">
      <c r="A128" s="1120" t="s">
        <v>1294</v>
      </c>
    </row>
    <row r="129" spans="1:7" x14ac:dyDescent="0.25">
      <c r="A129" s="1116" t="s">
        <v>106</v>
      </c>
      <c r="B129" s="1121" t="s">
        <v>7</v>
      </c>
      <c r="C129" s="574" t="s">
        <v>21</v>
      </c>
      <c r="D129" s="574" t="s">
        <v>28</v>
      </c>
      <c r="E129" s="574" t="s">
        <v>29</v>
      </c>
      <c r="F129" s="574" t="s">
        <v>34</v>
      </c>
      <c r="G129" s="574" t="s">
        <v>813</v>
      </c>
    </row>
    <row r="130" spans="1:7" x14ac:dyDescent="0.25">
      <c r="A130" s="1122"/>
      <c r="B130" s="1123" t="s">
        <v>3</v>
      </c>
      <c r="C130" s="1123" t="s">
        <v>3</v>
      </c>
      <c r="D130" s="1123" t="s">
        <v>25</v>
      </c>
      <c r="E130" s="1123" t="s">
        <v>25</v>
      </c>
      <c r="F130" s="1123" t="s">
        <v>25</v>
      </c>
      <c r="G130" s="1123" t="s">
        <v>25</v>
      </c>
    </row>
    <row r="131" spans="1:7" x14ac:dyDescent="0.25">
      <c r="A131" s="1122"/>
      <c r="B131" s="1123" t="s">
        <v>25</v>
      </c>
      <c r="C131" s="1123" t="s">
        <v>25</v>
      </c>
      <c r="D131" s="1123" t="s">
        <v>867</v>
      </c>
      <c r="E131" s="1123" t="s">
        <v>867</v>
      </c>
      <c r="F131" s="1123" t="s">
        <v>867</v>
      </c>
      <c r="G131" s="1123" t="s">
        <v>867</v>
      </c>
    </row>
    <row r="132" spans="1:7" x14ac:dyDescent="0.25">
      <c r="A132" s="1122"/>
      <c r="B132" s="1123" t="s">
        <v>867</v>
      </c>
      <c r="C132" s="1123" t="s">
        <v>867</v>
      </c>
      <c r="D132" s="1123" t="s">
        <v>1043</v>
      </c>
      <c r="E132" s="1123" t="s">
        <v>1043</v>
      </c>
      <c r="F132" s="1123" t="s">
        <v>1043</v>
      </c>
      <c r="G132" s="1123" t="s">
        <v>1043</v>
      </c>
    </row>
    <row r="133" spans="1:7" x14ac:dyDescent="0.25">
      <c r="A133" s="1122"/>
    </row>
    <row r="134" spans="1:7" x14ac:dyDescent="0.25">
      <c r="A134" s="1122"/>
      <c r="B134" s="1121" t="s">
        <v>7</v>
      </c>
      <c r="C134" s="574" t="s">
        <v>21</v>
      </c>
      <c r="D134" s="574" t="s">
        <v>28</v>
      </c>
      <c r="E134" s="574" t="s">
        <v>29</v>
      </c>
      <c r="F134" s="574" t="s">
        <v>34</v>
      </c>
      <c r="G134" s="574" t="s">
        <v>813</v>
      </c>
    </row>
    <row r="135" spans="1:7" x14ac:dyDescent="0.25">
      <c r="A135" s="1122"/>
      <c r="B135" s="1124">
        <v>1.05</v>
      </c>
      <c r="C135" s="1125">
        <v>1.1499999999999999</v>
      </c>
      <c r="D135" s="1125">
        <v>1</v>
      </c>
      <c r="E135" s="1125">
        <v>1.0526315789473684</v>
      </c>
      <c r="F135" s="1125">
        <v>1.0810810810810809</v>
      </c>
      <c r="G135" s="1125">
        <v>1.0810810810810809</v>
      </c>
    </row>
    <row r="136" spans="1:7" x14ac:dyDescent="0.25">
      <c r="A136" s="1122"/>
      <c r="B136" s="1126">
        <v>1</v>
      </c>
      <c r="C136" s="1125">
        <v>1</v>
      </c>
      <c r="D136" s="1125">
        <v>0.95</v>
      </c>
      <c r="E136" s="1125">
        <v>1</v>
      </c>
      <c r="F136" s="1125">
        <v>1.027027027027027</v>
      </c>
      <c r="G136" s="1125">
        <v>1.027027027027027</v>
      </c>
    </row>
    <row r="137" spans="1:7" x14ac:dyDescent="0.25">
      <c r="A137" s="1122"/>
      <c r="B137" s="1126">
        <v>0.95</v>
      </c>
      <c r="C137" s="1125">
        <v>0.95</v>
      </c>
      <c r="D137" s="1125">
        <v>0.92500000000000004</v>
      </c>
      <c r="E137" s="1125">
        <v>0.97368421052631593</v>
      </c>
      <c r="F137" s="1125">
        <v>1</v>
      </c>
      <c r="G137" s="1125">
        <v>1</v>
      </c>
    </row>
    <row r="138" spans="1:7" x14ac:dyDescent="0.25"/>
    <row r="139" spans="1:7" ht="25.5" x14ac:dyDescent="0.25">
      <c r="A139" s="948" t="s">
        <v>831</v>
      </c>
      <c r="B139" s="574" t="s">
        <v>7</v>
      </c>
      <c r="C139" s="574" t="s">
        <v>21</v>
      </c>
      <c r="D139" s="574" t="s">
        <v>28</v>
      </c>
      <c r="E139" s="574" t="s">
        <v>29</v>
      </c>
      <c r="F139" s="574" t="s">
        <v>34</v>
      </c>
      <c r="G139" s="574" t="s">
        <v>813</v>
      </c>
    </row>
    <row r="140" spans="1:7" x14ac:dyDescent="0.25">
      <c r="A140" s="897">
        <v>150000</v>
      </c>
      <c r="B140" s="1127">
        <v>0.96</v>
      </c>
      <c r="C140" s="1127">
        <v>0.96</v>
      </c>
      <c r="D140" s="1127">
        <v>0.98969072164948457</v>
      </c>
      <c r="E140" s="1127">
        <v>0.98969072164948457</v>
      </c>
      <c r="F140" s="1127">
        <v>0.98969072164948457</v>
      </c>
      <c r="G140" s="1127">
        <v>0.98969072164948457</v>
      </c>
    </row>
    <row r="141" spans="1:7" x14ac:dyDescent="0.25">
      <c r="A141" s="659">
        <v>250000</v>
      </c>
      <c r="B141" s="1128">
        <v>0.97</v>
      </c>
      <c r="C141" s="1128">
        <v>0.97</v>
      </c>
      <c r="D141" s="1127">
        <v>1</v>
      </c>
      <c r="E141" s="1127">
        <v>1</v>
      </c>
      <c r="F141" s="1127">
        <v>1</v>
      </c>
      <c r="G141" s="1127">
        <v>1</v>
      </c>
    </row>
    <row r="142" spans="1:7" x14ac:dyDescent="0.25">
      <c r="A142" s="659" t="s">
        <v>781</v>
      </c>
      <c r="B142" s="1129">
        <v>1</v>
      </c>
      <c r="C142" s="1129">
        <v>1</v>
      </c>
      <c r="D142" s="1127">
        <v>1.0309278350515465</v>
      </c>
      <c r="E142" s="1127">
        <v>1.0309278350515465</v>
      </c>
      <c r="F142" s="1127">
        <v>1.0309278350515465</v>
      </c>
      <c r="G142" s="1127">
        <v>1.0309278350515465</v>
      </c>
    </row>
    <row r="143" spans="1:7" x14ac:dyDescent="0.25">
      <c r="A143" s="1130" t="s">
        <v>1295</v>
      </c>
    </row>
    <row r="144" spans="1:7" ht="28.5" customHeight="1" x14ac:dyDescent="0.25"/>
    <row r="145" spans="1:8" x14ac:dyDescent="0.25">
      <c r="A145" s="948" t="s">
        <v>1025</v>
      </c>
      <c r="B145" s="574" t="s">
        <v>7</v>
      </c>
      <c r="C145" s="574" t="s">
        <v>21</v>
      </c>
      <c r="D145" s="574" t="s">
        <v>28</v>
      </c>
      <c r="E145" s="574" t="s">
        <v>29</v>
      </c>
      <c r="F145" s="574" t="s">
        <v>34</v>
      </c>
      <c r="G145" s="574" t="s">
        <v>813</v>
      </c>
    </row>
    <row r="146" spans="1:8" x14ac:dyDescent="0.25">
      <c r="A146" s="471" t="s">
        <v>1026</v>
      </c>
      <c r="B146" s="1127">
        <v>1</v>
      </c>
      <c r="C146" s="1127">
        <v>1</v>
      </c>
      <c r="D146" s="1127">
        <v>1</v>
      </c>
      <c r="E146" s="1127">
        <v>0.96499999999999997</v>
      </c>
      <c r="F146" s="1127">
        <v>0.96499999999999997</v>
      </c>
      <c r="G146" s="1127">
        <v>0.96499999999999997</v>
      </c>
    </row>
    <row r="147" spans="1:8" x14ac:dyDescent="0.25">
      <c r="A147" s="471" t="s">
        <v>1027</v>
      </c>
      <c r="B147" s="1127">
        <v>1</v>
      </c>
      <c r="C147" s="1127">
        <v>1</v>
      </c>
      <c r="D147" s="1127">
        <v>1</v>
      </c>
      <c r="E147" s="1127">
        <v>1</v>
      </c>
      <c r="F147" s="1127">
        <v>1</v>
      </c>
      <c r="G147" s="1127">
        <v>1</v>
      </c>
    </row>
    <row r="148" spans="1:8" x14ac:dyDescent="0.25"/>
    <row r="149" spans="1:8" x14ac:dyDescent="0.25">
      <c r="A149" s="948" t="s">
        <v>1296</v>
      </c>
      <c r="B149" s="574" t="s">
        <v>7</v>
      </c>
      <c r="C149" s="574" t="s">
        <v>21</v>
      </c>
      <c r="D149" s="574" t="s">
        <v>28</v>
      </c>
      <c r="E149" s="574" t="s">
        <v>29</v>
      </c>
      <c r="F149" s="574" t="s">
        <v>34</v>
      </c>
      <c r="G149" s="574" t="s">
        <v>813</v>
      </c>
      <c r="H149" s="1131"/>
    </row>
    <row r="150" spans="1:8" x14ac:dyDescent="0.25">
      <c r="A150" s="649">
        <v>150000</v>
      </c>
      <c r="B150" s="1127">
        <v>0.8901</v>
      </c>
      <c r="C150" s="1127">
        <v>0.93330000000000002</v>
      </c>
      <c r="D150" s="1127">
        <v>0.94689999999999996</v>
      </c>
      <c r="E150" s="1127">
        <v>0.98</v>
      </c>
      <c r="F150" s="1127">
        <v>0.98</v>
      </c>
      <c r="G150" s="1127">
        <v>0.98</v>
      </c>
    </row>
    <row r="151" spans="1:8" x14ac:dyDescent="0.25">
      <c r="A151" s="649">
        <v>200000</v>
      </c>
      <c r="B151" s="1127">
        <v>0.8992</v>
      </c>
      <c r="C151" s="1127">
        <v>0.94284999999999997</v>
      </c>
      <c r="D151" s="1127">
        <v>0.95655000000000001</v>
      </c>
      <c r="E151" s="1127">
        <v>0.99</v>
      </c>
      <c r="F151" s="1127">
        <v>0.99</v>
      </c>
      <c r="G151" s="1127">
        <v>0.99</v>
      </c>
    </row>
    <row r="152" spans="1:8" x14ac:dyDescent="0.25">
      <c r="A152" s="649">
        <v>250000</v>
      </c>
      <c r="B152" s="1127">
        <v>0.9083</v>
      </c>
      <c r="C152" s="1127">
        <v>0.95240000000000002</v>
      </c>
      <c r="D152" s="1127">
        <v>0.96619999999999995</v>
      </c>
      <c r="E152" s="1127">
        <v>1</v>
      </c>
      <c r="F152" s="1127">
        <v>1</v>
      </c>
      <c r="G152" s="1127">
        <v>1</v>
      </c>
    </row>
    <row r="153" spans="1:8" x14ac:dyDescent="0.25">
      <c r="A153" s="649">
        <v>300000</v>
      </c>
      <c r="B153" s="1127">
        <v>0.92459999999999998</v>
      </c>
      <c r="C153" s="1127">
        <v>0.96950000000000003</v>
      </c>
      <c r="D153" s="1127">
        <v>0.98360000000000003</v>
      </c>
      <c r="E153" s="1127">
        <v>1.018</v>
      </c>
      <c r="F153" s="1127">
        <v>1.018</v>
      </c>
      <c r="G153" s="1127">
        <v>1.018</v>
      </c>
    </row>
    <row r="154" spans="1:8" x14ac:dyDescent="0.25">
      <c r="A154" s="649">
        <v>500000</v>
      </c>
      <c r="B154" s="1127">
        <v>0.94010000000000005</v>
      </c>
      <c r="C154" s="1127">
        <v>0.98570000000000002</v>
      </c>
      <c r="D154" s="1127">
        <v>1</v>
      </c>
      <c r="E154" s="1127">
        <v>1.0349999999999999</v>
      </c>
      <c r="F154" s="1127">
        <v>1.0349999999999999</v>
      </c>
      <c r="G154" s="1127">
        <v>1.0349999999999999</v>
      </c>
    </row>
    <row r="155" spans="1:8" x14ac:dyDescent="0.25">
      <c r="A155" s="649">
        <v>750000</v>
      </c>
      <c r="B155" s="1127">
        <v>0.94690000000000007</v>
      </c>
      <c r="C155" s="1127">
        <v>0.99285000000000001</v>
      </c>
      <c r="D155" s="1127">
        <v>1.00725</v>
      </c>
      <c r="E155" s="1127">
        <v>1.0425</v>
      </c>
      <c r="F155" s="1127">
        <v>1.0425</v>
      </c>
      <c r="G155" s="1127">
        <v>1.0425</v>
      </c>
    </row>
    <row r="156" spans="1:8" x14ac:dyDescent="0.25">
      <c r="A156" s="649">
        <v>1000000</v>
      </c>
      <c r="B156" s="1127">
        <v>0.95369999999999999</v>
      </c>
      <c r="C156" s="1127">
        <v>1</v>
      </c>
      <c r="D156" s="1127">
        <v>1.0145</v>
      </c>
      <c r="E156" s="1127">
        <v>1.05</v>
      </c>
      <c r="F156" s="1127">
        <v>1.05</v>
      </c>
      <c r="G156" s="1127">
        <v>1.05</v>
      </c>
    </row>
    <row r="157" spans="1:8" x14ac:dyDescent="0.25">
      <c r="A157" s="649">
        <v>1500000</v>
      </c>
      <c r="B157" s="1127">
        <v>1</v>
      </c>
      <c r="C157" s="1127">
        <v>1.0486</v>
      </c>
      <c r="D157" s="1127">
        <v>1.0638000000000001</v>
      </c>
      <c r="E157" s="1127">
        <v>1.101</v>
      </c>
      <c r="F157" s="1127">
        <v>1.101</v>
      </c>
      <c r="G157" s="1127">
        <v>1.101</v>
      </c>
    </row>
    <row r="158" spans="1:8" x14ac:dyDescent="0.25">
      <c r="A158" s="649">
        <v>2000000</v>
      </c>
      <c r="B158" s="1127">
        <v>1.0182</v>
      </c>
      <c r="C158" s="1127">
        <v>1.0676000000000001</v>
      </c>
      <c r="D158" s="1127">
        <v>1.0831</v>
      </c>
      <c r="E158" s="1127">
        <v>1.121</v>
      </c>
      <c r="F158" s="1127">
        <v>1.121</v>
      </c>
      <c r="G158" s="1127">
        <v>1.121</v>
      </c>
    </row>
    <row r="159" spans="1:8" x14ac:dyDescent="0.25">
      <c r="A159" s="649">
        <v>2500000</v>
      </c>
      <c r="B159" s="1127">
        <v>1.0363</v>
      </c>
      <c r="C159" s="1127">
        <v>1.0867</v>
      </c>
      <c r="D159" s="1127">
        <v>1.1024</v>
      </c>
      <c r="E159" s="1127">
        <v>1.141</v>
      </c>
      <c r="F159" s="1127">
        <v>1.141</v>
      </c>
      <c r="G159" s="1127">
        <v>1.141</v>
      </c>
    </row>
    <row r="160" spans="1:8" x14ac:dyDescent="0.25"/>
    <row r="161" spans="1:8" x14ac:dyDescent="0.25"/>
    <row r="162" spans="1:8" ht="25.5" x14ac:dyDescent="0.25">
      <c r="A162" s="948" t="s">
        <v>1297</v>
      </c>
      <c r="B162" s="574" t="s">
        <v>7</v>
      </c>
      <c r="C162" s="574" t="s">
        <v>21</v>
      </c>
      <c r="D162" s="574" t="s">
        <v>28</v>
      </c>
      <c r="E162" s="574" t="s">
        <v>29</v>
      </c>
      <c r="F162" s="574" t="s">
        <v>34</v>
      </c>
      <c r="G162" s="574" t="s">
        <v>813</v>
      </c>
      <c r="H162" s="1131"/>
    </row>
    <row r="163" spans="1:8" x14ac:dyDescent="0.25">
      <c r="A163" s="534">
        <v>2500000</v>
      </c>
      <c r="B163" s="769">
        <v>2500000</v>
      </c>
      <c r="C163" s="769">
        <v>2500000</v>
      </c>
      <c r="D163" s="1132">
        <v>1500000</v>
      </c>
      <c r="E163" s="1132">
        <v>1000000</v>
      </c>
      <c r="F163" s="1132">
        <v>750000</v>
      </c>
      <c r="G163" s="1132">
        <v>500000</v>
      </c>
    </row>
    <row r="164" spans="1:8" x14ac:dyDescent="0.25">
      <c r="A164" s="534">
        <v>2000000</v>
      </c>
      <c r="B164" s="769">
        <v>2000000</v>
      </c>
      <c r="C164" s="769">
        <v>2000000</v>
      </c>
      <c r="D164" s="1132">
        <v>1500000</v>
      </c>
      <c r="E164" s="1132">
        <v>1000000</v>
      </c>
      <c r="F164" s="1132">
        <v>750000</v>
      </c>
      <c r="G164" s="1132">
        <v>500000</v>
      </c>
    </row>
    <row r="165" spans="1:8" x14ac:dyDescent="0.25">
      <c r="A165" s="534">
        <v>1500000</v>
      </c>
      <c r="B165" s="769">
        <v>1500000</v>
      </c>
      <c r="C165" s="769">
        <v>1500000</v>
      </c>
      <c r="D165" s="769">
        <v>1500000</v>
      </c>
      <c r="E165" s="1132">
        <v>1000000</v>
      </c>
      <c r="F165" s="1132">
        <v>750000</v>
      </c>
      <c r="G165" s="1132">
        <v>500000</v>
      </c>
    </row>
    <row r="166" spans="1:8" x14ac:dyDescent="0.25">
      <c r="A166" s="534">
        <v>1000000</v>
      </c>
      <c r="B166" s="769">
        <v>1000000</v>
      </c>
      <c r="C166" s="769">
        <v>1000000</v>
      </c>
      <c r="D166" s="769">
        <v>1000000</v>
      </c>
      <c r="E166" s="769">
        <v>1000000</v>
      </c>
      <c r="F166" s="1132">
        <v>750000</v>
      </c>
      <c r="G166" s="1132">
        <v>500000</v>
      </c>
    </row>
    <row r="167" spans="1:8" x14ac:dyDescent="0.25">
      <c r="A167" s="534">
        <v>750000</v>
      </c>
      <c r="B167" s="769">
        <v>750000</v>
      </c>
      <c r="C167" s="769">
        <v>750000</v>
      </c>
      <c r="D167" s="769">
        <v>750000</v>
      </c>
      <c r="E167" s="769">
        <v>750000</v>
      </c>
      <c r="F167" s="769">
        <v>750000</v>
      </c>
      <c r="G167" s="1132">
        <v>500000</v>
      </c>
    </row>
    <row r="168" spans="1:8" x14ac:dyDescent="0.25">
      <c r="A168" s="534">
        <v>500000</v>
      </c>
      <c r="B168" s="769">
        <v>500000</v>
      </c>
      <c r="C168" s="769">
        <v>500000</v>
      </c>
      <c r="D168" s="769">
        <v>500000</v>
      </c>
      <c r="E168" s="769">
        <v>500000</v>
      </c>
      <c r="F168" s="769">
        <v>500000</v>
      </c>
      <c r="G168" s="769">
        <v>500000</v>
      </c>
    </row>
    <row r="169" spans="1:8" x14ac:dyDescent="0.25">
      <c r="A169" s="534">
        <v>300000</v>
      </c>
      <c r="B169" s="769">
        <v>300000</v>
      </c>
      <c r="C169" s="769">
        <v>300000</v>
      </c>
      <c r="D169" s="769">
        <v>300000</v>
      </c>
      <c r="E169" s="769">
        <v>300000</v>
      </c>
      <c r="F169" s="769">
        <v>300000</v>
      </c>
      <c r="G169" s="769">
        <v>300000</v>
      </c>
    </row>
    <row r="170" spans="1:8" x14ac:dyDescent="0.25">
      <c r="A170" s="534">
        <v>250000</v>
      </c>
      <c r="B170" s="769">
        <v>250000</v>
      </c>
      <c r="C170" s="769">
        <v>250000</v>
      </c>
      <c r="D170" s="769">
        <v>250000</v>
      </c>
      <c r="E170" s="769">
        <v>250000</v>
      </c>
      <c r="F170" s="769">
        <v>250000</v>
      </c>
      <c r="G170" s="769">
        <v>250000</v>
      </c>
    </row>
    <row r="171" spans="1:8" x14ac:dyDescent="0.25">
      <c r="A171" s="534">
        <v>200000</v>
      </c>
      <c r="B171" s="769">
        <v>200000</v>
      </c>
      <c r="C171" s="769">
        <v>200000</v>
      </c>
      <c r="D171" s="769">
        <v>200000</v>
      </c>
      <c r="E171" s="769">
        <v>200000</v>
      </c>
      <c r="F171" s="769">
        <v>200000</v>
      </c>
      <c r="G171" s="769">
        <v>200000</v>
      </c>
    </row>
    <row r="172" spans="1:8" x14ac:dyDescent="0.25">
      <c r="A172" s="534">
        <v>150000</v>
      </c>
      <c r="B172" s="769">
        <v>150000</v>
      </c>
      <c r="C172" s="769">
        <v>150000</v>
      </c>
      <c r="D172" s="769">
        <v>150000</v>
      </c>
      <c r="E172" s="769">
        <v>150000</v>
      </c>
      <c r="F172" s="769">
        <v>150000</v>
      </c>
      <c r="G172" s="769">
        <v>150000</v>
      </c>
    </row>
    <row r="173" spans="1:8" x14ac:dyDescent="0.25"/>
    <row r="174" spans="1:8" ht="25.5" x14ac:dyDescent="0.25">
      <c r="A174" s="948" t="s">
        <v>814</v>
      </c>
      <c r="B174" s="574" t="s">
        <v>7</v>
      </c>
      <c r="C174" s="574" t="s">
        <v>21</v>
      </c>
      <c r="D174" s="574" t="s">
        <v>28</v>
      </c>
      <c r="E174" s="574" t="s">
        <v>29</v>
      </c>
      <c r="F174" s="574" t="s">
        <v>34</v>
      </c>
      <c r="G174" s="574" t="s">
        <v>813</v>
      </c>
      <c r="H174" s="1131"/>
    </row>
    <row r="175" spans="1:8" x14ac:dyDescent="0.25">
      <c r="A175" s="649" t="s">
        <v>656</v>
      </c>
      <c r="B175" s="1133" t="s">
        <v>656</v>
      </c>
      <c r="C175" s="1133" t="s">
        <v>656</v>
      </c>
      <c r="D175" s="1133" t="s">
        <v>656</v>
      </c>
      <c r="E175" s="1133" t="s">
        <v>656</v>
      </c>
      <c r="F175" s="1133" t="s">
        <v>656</v>
      </c>
      <c r="G175" s="1133" t="s">
        <v>656</v>
      </c>
    </row>
    <row r="176" spans="1:8" ht="30" x14ac:dyDescent="0.25">
      <c r="A176" s="649" t="s">
        <v>1075</v>
      </c>
      <c r="B176" s="1133" t="s">
        <v>1075</v>
      </c>
      <c r="C176" s="1133" t="s">
        <v>1075</v>
      </c>
      <c r="D176" s="1133" t="s">
        <v>1075</v>
      </c>
      <c r="E176" s="1133" t="s">
        <v>1075</v>
      </c>
      <c r="F176" s="1133" t="s">
        <v>1075</v>
      </c>
      <c r="G176" s="1133" t="s">
        <v>1075</v>
      </c>
    </row>
    <row r="177" spans="1:8" ht="30" x14ac:dyDescent="0.25">
      <c r="A177" s="649" t="s">
        <v>1076</v>
      </c>
      <c r="B177" s="1133" t="s">
        <v>1076</v>
      </c>
      <c r="C177" s="1133" t="s">
        <v>1076</v>
      </c>
      <c r="D177" s="1133" t="s">
        <v>1076</v>
      </c>
      <c r="E177" s="1133" t="s">
        <v>1076</v>
      </c>
      <c r="F177" s="1133" t="s">
        <v>1076</v>
      </c>
      <c r="G177" s="1133" t="s">
        <v>1076</v>
      </c>
    </row>
    <row r="178" spans="1:8" ht="45" x14ac:dyDescent="0.25">
      <c r="A178" s="649" t="s">
        <v>657</v>
      </c>
      <c r="B178" s="1133" t="s">
        <v>657</v>
      </c>
      <c r="C178" s="1133" t="s">
        <v>657</v>
      </c>
      <c r="D178" s="1133" t="s">
        <v>657</v>
      </c>
      <c r="E178" s="1134" t="s">
        <v>1076</v>
      </c>
      <c r="F178" s="1134" t="s">
        <v>1076</v>
      </c>
      <c r="G178" s="1134" t="s">
        <v>1076</v>
      </c>
    </row>
    <row r="179" spans="1:8" ht="30" x14ac:dyDescent="0.25">
      <c r="A179" s="649" t="s">
        <v>343</v>
      </c>
      <c r="B179" s="1133" t="s">
        <v>343</v>
      </c>
      <c r="C179" s="1133" t="s">
        <v>343</v>
      </c>
      <c r="D179" s="1133" t="s">
        <v>343</v>
      </c>
      <c r="E179" s="1134" t="s">
        <v>1076</v>
      </c>
      <c r="F179" s="1134" t="s">
        <v>1076</v>
      </c>
      <c r="G179" s="1134" t="s">
        <v>1076</v>
      </c>
    </row>
    <row r="180" spans="1:8" ht="30" x14ac:dyDescent="0.25">
      <c r="A180" s="649" t="s">
        <v>342</v>
      </c>
      <c r="B180" s="1133" t="s">
        <v>342</v>
      </c>
      <c r="C180" s="1133" t="s">
        <v>342</v>
      </c>
      <c r="D180" s="1133" t="s">
        <v>342</v>
      </c>
      <c r="E180" s="1134" t="s">
        <v>1076</v>
      </c>
      <c r="F180" s="1134" t="s">
        <v>1076</v>
      </c>
      <c r="G180" s="1134" t="s">
        <v>1076</v>
      </c>
    </row>
    <row r="181" spans="1:8" x14ac:dyDescent="0.25">
      <c r="A181" s="1135" t="s">
        <v>1298</v>
      </c>
    </row>
    <row r="182" spans="1:8" x14ac:dyDescent="0.25"/>
    <row r="183" spans="1:8" ht="25.5" x14ac:dyDescent="0.25">
      <c r="A183" s="948" t="s">
        <v>814</v>
      </c>
      <c r="B183" s="574" t="s">
        <v>7</v>
      </c>
      <c r="C183" s="574" t="s">
        <v>21</v>
      </c>
      <c r="D183" s="574" t="s">
        <v>28</v>
      </c>
      <c r="E183" s="574" t="s">
        <v>29</v>
      </c>
      <c r="F183" s="574" t="s">
        <v>34</v>
      </c>
      <c r="G183" s="574" t="s">
        <v>813</v>
      </c>
      <c r="H183" s="1131"/>
    </row>
    <row r="184" spans="1:8" x14ac:dyDescent="0.25">
      <c r="A184" s="649" t="s">
        <v>656</v>
      </c>
      <c r="B184" s="1136">
        <v>0.97</v>
      </c>
      <c r="C184" s="1136">
        <v>0.97</v>
      </c>
      <c r="D184" s="1136">
        <v>0.98477157360406087</v>
      </c>
      <c r="E184" s="1136">
        <v>1</v>
      </c>
      <c r="F184" s="1136">
        <v>1</v>
      </c>
      <c r="G184" s="1136">
        <v>1</v>
      </c>
    </row>
    <row r="185" spans="1:8" ht="25.5" x14ac:dyDescent="0.25">
      <c r="A185" s="649" t="s">
        <v>1075</v>
      </c>
      <c r="B185" s="1136">
        <v>0.98499999999999999</v>
      </c>
      <c r="C185" s="1136">
        <v>0.98499999999999999</v>
      </c>
      <c r="D185" s="1136">
        <v>1</v>
      </c>
      <c r="E185" s="1136">
        <v>1.0154639175257731</v>
      </c>
      <c r="F185" s="1136">
        <v>1.0154639175257731</v>
      </c>
      <c r="G185" s="1136">
        <v>1.0154639175257731</v>
      </c>
    </row>
    <row r="186" spans="1:8" ht="25.5" x14ac:dyDescent="0.25">
      <c r="A186" s="649" t="s">
        <v>1076</v>
      </c>
      <c r="B186" s="1137">
        <v>0.99</v>
      </c>
      <c r="C186" s="1136">
        <v>0.99</v>
      </c>
      <c r="D186" s="1136">
        <v>1.0049999999999999</v>
      </c>
      <c r="E186" s="1137">
        <v>1.02</v>
      </c>
      <c r="F186" s="1136">
        <v>1.02</v>
      </c>
      <c r="G186" s="1136">
        <v>1.02</v>
      </c>
    </row>
    <row r="187" spans="1:8" ht="25.5" x14ac:dyDescent="0.25">
      <c r="A187" s="649" t="s">
        <v>657</v>
      </c>
      <c r="B187" s="1137">
        <v>0.995</v>
      </c>
      <c r="C187" s="1136">
        <v>0.995</v>
      </c>
      <c r="D187" s="1136">
        <v>1.01</v>
      </c>
      <c r="E187" s="1137">
        <v>1.0249999999999999</v>
      </c>
      <c r="F187" s="1136">
        <v>1.0249999999999999</v>
      </c>
      <c r="G187" s="1136">
        <v>1.0249999999999999</v>
      </c>
    </row>
    <row r="188" spans="1:8" ht="25.5" x14ac:dyDescent="0.25">
      <c r="A188" s="649" t="s">
        <v>343</v>
      </c>
      <c r="B188" s="1136">
        <v>1</v>
      </c>
      <c r="C188" s="1136">
        <v>1</v>
      </c>
      <c r="D188" s="1136">
        <v>1.015228426395939</v>
      </c>
      <c r="E188" s="1136">
        <v>1.0309278350515463</v>
      </c>
      <c r="F188" s="1136">
        <v>1.0309278350515463</v>
      </c>
      <c r="G188" s="1136">
        <v>1.0309278350515463</v>
      </c>
    </row>
    <row r="189" spans="1:8" x14ac:dyDescent="0.25">
      <c r="A189" s="649" t="s">
        <v>342</v>
      </c>
      <c r="B189" s="1136">
        <v>1.05</v>
      </c>
      <c r="C189" s="1136">
        <v>1.05</v>
      </c>
      <c r="D189" s="1136">
        <v>1.0659898477157361</v>
      </c>
      <c r="E189" s="1136">
        <v>1.0824742268041236</v>
      </c>
      <c r="F189" s="1136">
        <v>1.0824742268041236</v>
      </c>
      <c r="G189" s="1136">
        <v>1.0824742268041236</v>
      </c>
    </row>
    <row r="190" spans="1:8" x14ac:dyDescent="0.25"/>
    <row r="191" spans="1:8" x14ac:dyDescent="0.25"/>
    <row r="192" spans="1:8" x14ac:dyDescent="0.25">
      <c r="E192" s="1131"/>
      <c r="H192" s="1131" t="s">
        <v>1299</v>
      </c>
    </row>
    <row r="193" spans="1:8" ht="51" x14ac:dyDescent="0.25">
      <c r="A193" s="948" t="s">
        <v>816</v>
      </c>
      <c r="B193" s="648" t="s">
        <v>817</v>
      </c>
      <c r="D193" s="948" t="s">
        <v>818</v>
      </c>
      <c r="E193" s="648" t="s">
        <v>815</v>
      </c>
      <c r="G193" s="948" t="s">
        <v>658</v>
      </c>
      <c r="H193" s="648" t="s">
        <v>815</v>
      </c>
    </row>
    <row r="194" spans="1:8" x14ac:dyDescent="0.25">
      <c r="A194" s="650" t="s">
        <v>925</v>
      </c>
      <c r="B194" s="651">
        <v>1</v>
      </c>
      <c r="D194" s="650" t="s">
        <v>107</v>
      </c>
      <c r="E194" s="1138">
        <v>1.1000000000000001</v>
      </c>
      <c r="G194" s="655" t="s">
        <v>781</v>
      </c>
      <c r="H194" s="656">
        <v>1</v>
      </c>
    </row>
    <row r="195" spans="1:8" x14ac:dyDescent="0.25">
      <c r="A195" s="650" t="s">
        <v>926</v>
      </c>
      <c r="B195" s="651">
        <v>0.98</v>
      </c>
      <c r="D195" s="653" t="s">
        <v>819</v>
      </c>
      <c r="E195" s="1138">
        <v>1.05</v>
      </c>
      <c r="G195" s="655" t="s">
        <v>1300</v>
      </c>
      <c r="H195" s="656">
        <v>0.98</v>
      </c>
    </row>
    <row r="196" spans="1:8" x14ac:dyDescent="0.25">
      <c r="A196" s="650" t="s">
        <v>927</v>
      </c>
      <c r="B196" s="651">
        <v>0.96</v>
      </c>
      <c r="D196" s="650" t="s">
        <v>820</v>
      </c>
      <c r="E196" s="1138">
        <v>1.04</v>
      </c>
      <c r="G196" s="655" t="s">
        <v>1301</v>
      </c>
      <c r="H196" s="656">
        <v>0.98250000000000004</v>
      </c>
    </row>
    <row r="197" spans="1:8" x14ac:dyDescent="0.25">
      <c r="A197" s="650" t="s">
        <v>928</v>
      </c>
      <c r="B197" s="651">
        <v>0.94</v>
      </c>
      <c r="D197" s="650" t="s">
        <v>821</v>
      </c>
      <c r="E197" s="1138">
        <v>1.03</v>
      </c>
      <c r="G197" s="655" t="s">
        <v>1302</v>
      </c>
      <c r="H197" s="656">
        <v>0.98499999999999999</v>
      </c>
    </row>
    <row r="198" spans="1:8" x14ac:dyDescent="0.25">
      <c r="A198" s="650" t="s">
        <v>929</v>
      </c>
      <c r="B198" s="651">
        <v>0.92</v>
      </c>
      <c r="D198" s="653" t="s">
        <v>37</v>
      </c>
      <c r="E198" s="1138">
        <v>1</v>
      </c>
      <c r="G198" s="655" t="s">
        <v>1303</v>
      </c>
      <c r="H198" s="656">
        <v>0.98750000000000004</v>
      </c>
    </row>
    <row r="199" spans="1:8" x14ac:dyDescent="0.25">
      <c r="A199" s="653" t="s">
        <v>822</v>
      </c>
      <c r="B199" s="651">
        <v>0.997</v>
      </c>
      <c r="D199" s="653" t="s">
        <v>823</v>
      </c>
      <c r="E199" s="1138">
        <v>0.9819</v>
      </c>
      <c r="G199" s="655" t="s">
        <v>1304</v>
      </c>
      <c r="H199" s="656">
        <v>0.99</v>
      </c>
    </row>
    <row r="200" spans="1:8" x14ac:dyDescent="0.25">
      <c r="A200" s="653" t="s">
        <v>819</v>
      </c>
      <c r="B200" s="651">
        <v>0.99390000000000001</v>
      </c>
      <c r="D200" s="653" t="s">
        <v>824</v>
      </c>
      <c r="E200" s="1138">
        <v>0.9637</v>
      </c>
      <c r="G200" s="655" t="s">
        <v>1305</v>
      </c>
      <c r="H200" s="656">
        <v>0.99250000000000005</v>
      </c>
    </row>
    <row r="201" spans="1:8" x14ac:dyDescent="0.25">
      <c r="A201" s="650" t="s">
        <v>820</v>
      </c>
      <c r="B201" s="651">
        <v>0.99239999999999995</v>
      </c>
      <c r="D201" s="650" t="s">
        <v>929</v>
      </c>
      <c r="E201" s="1138">
        <v>0.96199999999999997</v>
      </c>
      <c r="G201" s="655" t="s">
        <v>1306</v>
      </c>
      <c r="H201" s="656">
        <v>0.995</v>
      </c>
    </row>
    <row r="202" spans="1:8" x14ac:dyDescent="0.25">
      <c r="A202" s="650" t="s">
        <v>821</v>
      </c>
      <c r="B202" s="651">
        <v>0.9909</v>
      </c>
      <c r="D202" s="653" t="s">
        <v>825</v>
      </c>
      <c r="E202" s="1138">
        <v>1.0429999999999999</v>
      </c>
    </row>
    <row r="203" spans="1:8" x14ac:dyDescent="0.25">
      <c r="A203" s="653" t="s">
        <v>37</v>
      </c>
      <c r="B203" s="651">
        <v>0.98480000000000001</v>
      </c>
      <c r="D203" s="653" t="s">
        <v>344</v>
      </c>
      <c r="E203" s="1138">
        <v>1.03</v>
      </c>
    </row>
    <row r="204" spans="1:8" x14ac:dyDescent="0.25">
      <c r="A204" s="653" t="s">
        <v>823</v>
      </c>
      <c r="B204" s="651">
        <v>0.97719999999999996</v>
      </c>
      <c r="D204" s="653" t="s">
        <v>345</v>
      </c>
      <c r="E204" s="1138">
        <v>1.0249999999999999</v>
      </c>
    </row>
    <row r="205" spans="1:8" x14ac:dyDescent="0.25">
      <c r="A205" s="653" t="s">
        <v>824</v>
      </c>
      <c r="B205" s="651">
        <v>0.96960000000000002</v>
      </c>
      <c r="D205" s="653" t="s">
        <v>346</v>
      </c>
      <c r="E205" s="1138">
        <v>1.02</v>
      </c>
    </row>
    <row r="206" spans="1:8" x14ac:dyDescent="0.25">
      <c r="A206" s="653" t="s">
        <v>826</v>
      </c>
      <c r="B206" s="651">
        <v>0.99460000000000004</v>
      </c>
      <c r="D206" s="653" t="s">
        <v>347</v>
      </c>
      <c r="E206" s="1138">
        <v>1</v>
      </c>
    </row>
    <row r="207" spans="1:8" x14ac:dyDescent="0.25">
      <c r="A207" s="653" t="s">
        <v>827</v>
      </c>
      <c r="B207" s="651">
        <v>0.98880000000000001</v>
      </c>
      <c r="D207" s="653" t="s">
        <v>348</v>
      </c>
      <c r="E207" s="1138">
        <v>0.98550000000000004</v>
      </c>
    </row>
    <row r="208" spans="1:8" x14ac:dyDescent="0.25">
      <c r="A208" s="653" t="s">
        <v>828</v>
      </c>
      <c r="B208" s="651">
        <v>0.98570000000000002</v>
      </c>
      <c r="D208" s="653" t="s">
        <v>349</v>
      </c>
      <c r="E208" s="1138">
        <v>0.98219999999999996</v>
      </c>
    </row>
    <row r="209" spans="1:28" x14ac:dyDescent="0.25">
      <c r="A209" s="653" t="s">
        <v>347</v>
      </c>
      <c r="B209" s="651">
        <v>0.98529999999999995</v>
      </c>
      <c r="D209" s="650" t="s">
        <v>927</v>
      </c>
      <c r="E209" s="1139">
        <v>1.085</v>
      </c>
    </row>
    <row r="210" spans="1:28" x14ac:dyDescent="0.25">
      <c r="D210" s="653" t="s">
        <v>650</v>
      </c>
      <c r="E210" s="1138">
        <v>1.05</v>
      </c>
      <c r="G210" s="948" t="s">
        <v>108</v>
      </c>
      <c r="H210" s="648" t="s">
        <v>815</v>
      </c>
      <c r="I210" s="1131"/>
    </row>
    <row r="211" spans="1:28" ht="38.25" x14ac:dyDescent="0.25">
      <c r="A211" s="948" t="s">
        <v>1307</v>
      </c>
      <c r="B211" s="648" t="s">
        <v>829</v>
      </c>
      <c r="D211" s="653" t="s">
        <v>651</v>
      </c>
      <c r="E211" s="1138">
        <v>1.04</v>
      </c>
      <c r="G211" s="644">
        <v>0</v>
      </c>
      <c r="H211" s="657">
        <v>1</v>
      </c>
    </row>
    <row r="212" spans="1:28" x14ac:dyDescent="0.25">
      <c r="A212" s="650">
        <v>0</v>
      </c>
      <c r="B212" s="654">
        <v>1</v>
      </c>
      <c r="D212" s="653" t="s">
        <v>652</v>
      </c>
      <c r="E212" s="1138">
        <v>1.03</v>
      </c>
      <c r="G212" s="658">
        <v>0.05</v>
      </c>
      <c r="H212" s="657">
        <v>0.99</v>
      </c>
    </row>
    <row r="213" spans="1:28" x14ac:dyDescent="0.25">
      <c r="A213" s="653">
        <v>0.05</v>
      </c>
      <c r="B213" s="654">
        <v>0.99</v>
      </c>
      <c r="D213" s="653" t="s">
        <v>653</v>
      </c>
      <c r="E213" s="1138">
        <v>1.0249999999999999</v>
      </c>
      <c r="G213" s="644">
        <v>0.1</v>
      </c>
      <c r="H213" s="657">
        <v>0.98</v>
      </c>
    </row>
    <row r="214" spans="1:28" x14ac:dyDescent="0.25">
      <c r="A214" s="650">
        <v>0.1</v>
      </c>
      <c r="B214" s="654">
        <v>0.98</v>
      </c>
      <c r="D214" s="653" t="s">
        <v>654</v>
      </c>
      <c r="E214" s="1138">
        <v>1.01</v>
      </c>
      <c r="G214" s="644">
        <v>0.15</v>
      </c>
      <c r="H214" s="657">
        <v>0.97</v>
      </c>
    </row>
    <row r="215" spans="1:28" x14ac:dyDescent="0.25">
      <c r="A215" s="650">
        <v>0.15</v>
      </c>
      <c r="B215" s="654">
        <v>0.97</v>
      </c>
      <c r="D215" s="653" t="s">
        <v>655</v>
      </c>
      <c r="E215" s="1138">
        <v>1.0097</v>
      </c>
      <c r="G215" s="658">
        <v>0.2</v>
      </c>
      <c r="H215" s="657">
        <v>0.96</v>
      </c>
    </row>
    <row r="216" spans="1:28" x14ac:dyDescent="0.25">
      <c r="A216" s="653">
        <v>0.2</v>
      </c>
      <c r="B216" s="654">
        <v>0.96</v>
      </c>
      <c r="G216" s="644">
        <v>0.25</v>
      </c>
      <c r="H216" s="657">
        <v>0.95</v>
      </c>
    </row>
    <row r="217" spans="1:28" x14ac:dyDescent="0.25">
      <c r="G217" s="658">
        <v>0.3</v>
      </c>
      <c r="H217" s="657">
        <v>0.94</v>
      </c>
    </row>
    <row r="218" spans="1:28" ht="20.25" x14ac:dyDescent="0.25">
      <c r="A218" s="1098" t="s">
        <v>1308</v>
      </c>
      <c r="B218" s="1092"/>
      <c r="C218" s="1092"/>
      <c r="D218" s="1092"/>
      <c r="E218" s="1092"/>
      <c r="F218" s="1092"/>
      <c r="G218" s="1092"/>
      <c r="H218" s="1092"/>
      <c r="I218" s="1092"/>
      <c r="J218" s="1092"/>
      <c r="K218" s="1092"/>
      <c r="L218" s="1092"/>
      <c r="M218" s="1092"/>
      <c r="N218" s="1092"/>
      <c r="O218" s="1092"/>
      <c r="P218" s="1092"/>
      <c r="Q218" s="1092"/>
      <c r="R218" s="1092"/>
      <c r="S218" s="1092"/>
      <c r="T218" s="1092"/>
      <c r="U218" s="1092"/>
      <c r="V218" s="1092"/>
      <c r="W218" s="1092"/>
      <c r="X218" s="1092"/>
      <c r="Y218" s="1092"/>
      <c r="Z218" s="1092"/>
      <c r="AA218" s="1092"/>
      <c r="AB218" s="1092"/>
    </row>
    <row r="219" spans="1:28" x14ac:dyDescent="0.25"/>
    <row r="220" spans="1:28" x14ac:dyDescent="0.25">
      <c r="A220" s="436" t="s">
        <v>1309</v>
      </c>
    </row>
    <row r="221" spans="1:28" x14ac:dyDescent="0.25">
      <c r="A221" s="436" t="s">
        <v>1310</v>
      </c>
    </row>
    <row r="222" spans="1:28" x14ac:dyDescent="0.25">
      <c r="A222" s="1140" t="s">
        <v>1311</v>
      </c>
      <c r="B222" s="1140" t="s">
        <v>1312</v>
      </c>
    </row>
    <row r="223" spans="1:28" x14ac:dyDescent="0.25">
      <c r="A223" s="1140" t="s">
        <v>1313</v>
      </c>
      <c r="B223" s="1140" t="s">
        <v>1314</v>
      </c>
    </row>
    <row r="224" spans="1:28" x14ac:dyDescent="0.25">
      <c r="A224" s="1141" t="s">
        <v>1315</v>
      </c>
    </row>
    <row r="225" spans="1:28" x14ac:dyDescent="0.25">
      <c r="A225" s="1142" t="s">
        <v>1316</v>
      </c>
      <c r="B225" s="1143">
        <v>8.5000000000000006E-2</v>
      </c>
    </row>
    <row r="226" spans="1:28" x14ac:dyDescent="0.25">
      <c r="A226" s="1142" t="s">
        <v>772</v>
      </c>
      <c r="B226" s="1144">
        <v>30</v>
      </c>
    </row>
    <row r="227" spans="1:28" x14ac:dyDescent="0.25">
      <c r="A227" s="1142" t="s">
        <v>773</v>
      </c>
      <c r="B227" s="1144">
        <v>30</v>
      </c>
    </row>
    <row r="228" spans="1:28" x14ac:dyDescent="0.25">
      <c r="A228" s="1142" t="s">
        <v>712</v>
      </c>
      <c r="B228" s="1143">
        <v>0.9</v>
      </c>
    </row>
    <row r="229" spans="1:28" ht="12" customHeight="1" x14ac:dyDescent="0.25">
      <c r="A229" s="1098"/>
      <c r="B229" s="1092"/>
      <c r="C229" s="1092"/>
      <c r="D229" s="1092"/>
      <c r="E229" s="1092"/>
      <c r="F229" s="1092"/>
      <c r="G229" s="1092"/>
      <c r="H229" s="1092"/>
      <c r="I229" s="1092"/>
      <c r="J229" s="1092"/>
      <c r="K229" s="1092"/>
      <c r="L229" s="1092"/>
      <c r="M229" s="1092"/>
      <c r="N229" s="1092"/>
      <c r="O229" s="1092"/>
      <c r="P229" s="1092"/>
      <c r="Q229" s="1092"/>
      <c r="R229" s="1092"/>
      <c r="S229" s="1092"/>
      <c r="T229" s="1092"/>
      <c r="U229" s="1092"/>
      <c r="V229" s="1092"/>
      <c r="W229" s="1092"/>
      <c r="X229" s="1092"/>
      <c r="Y229" s="1092"/>
      <c r="Z229" s="1092"/>
      <c r="AA229" s="1092"/>
      <c r="AB229" s="1092"/>
    </row>
  </sheetData>
  <sheetProtection algorithmName="SHA-512" hashValue="t4aWlri7nGxPExIVSVL4GznJ7WJuKyBxdUqo5hbJTVRID8VYed84feRq63iEX+Q9JH5mlwTf/krRcLDi5MGcig==" saltValue="5LxaLb8WNJ0VztVhDQX67A==" spinCount="100000" sheet="1" objects="1" scenarios="1"/>
  <mergeCells count="36">
    <mergeCell ref="D118:E118"/>
    <mergeCell ref="G118:H118"/>
    <mergeCell ref="I45:J45"/>
    <mergeCell ref="I60:J60"/>
    <mergeCell ref="I75:J75"/>
    <mergeCell ref="I88:J88"/>
    <mergeCell ref="Z23:AA23"/>
    <mergeCell ref="A102:B102"/>
    <mergeCell ref="D102:E102"/>
    <mergeCell ref="G102:H102"/>
    <mergeCell ref="J102:K102"/>
    <mergeCell ref="P23:Q23"/>
    <mergeCell ref="L23:M23"/>
    <mergeCell ref="R23:S23"/>
    <mergeCell ref="T23:U23"/>
    <mergeCell ref="V23:W23"/>
    <mergeCell ref="X23:Y23"/>
    <mergeCell ref="B23:C23"/>
    <mergeCell ref="D23:E23"/>
    <mergeCell ref="F23:G23"/>
    <mergeCell ref="H23:I23"/>
    <mergeCell ref="J23:K23"/>
    <mergeCell ref="A10:M10"/>
    <mergeCell ref="O10:AA10"/>
    <mergeCell ref="B11:C11"/>
    <mergeCell ref="D11:E11"/>
    <mergeCell ref="F11:G11"/>
    <mergeCell ref="H11:I11"/>
    <mergeCell ref="J11:K11"/>
    <mergeCell ref="L11:M11"/>
    <mergeCell ref="P11:Q11"/>
    <mergeCell ref="R11:S11"/>
    <mergeCell ref="T11:U11"/>
    <mergeCell ref="V11:W11"/>
    <mergeCell ref="X11:Y11"/>
    <mergeCell ref="Z11:AA11"/>
  </mergeCells>
  <conditionalFormatting sqref="B184:G189">
    <cfRule type="cellIs" dxfId="6" priority="7" operator="equal">
      <formula>1</formula>
    </cfRule>
  </conditionalFormatting>
  <conditionalFormatting sqref="O13:AA15">
    <cfRule type="containsText" dxfId="5" priority="6" operator="containsText" text="False">
      <formula>NOT(ISERROR(SEARCH("False",O13)))</formula>
    </cfRule>
  </conditionalFormatting>
  <conditionalFormatting sqref="O25 Z25:AA25">
    <cfRule type="containsText" dxfId="4" priority="5" operator="containsText" text="False">
      <formula>NOT(ISERROR(SEARCH("False",O25)))</formula>
    </cfRule>
  </conditionalFormatting>
  <conditionalFormatting sqref="O26:AA26">
    <cfRule type="containsText" dxfId="3" priority="4" operator="containsText" text="False">
      <formula>NOT(ISERROR(SEARCH("False",O26)))</formula>
    </cfRule>
  </conditionalFormatting>
  <conditionalFormatting sqref="O27:AA27">
    <cfRule type="containsText" dxfId="2" priority="3" operator="containsText" text="False">
      <formula>NOT(ISERROR(SEARCH("False",O27)))</formula>
    </cfRule>
  </conditionalFormatting>
  <conditionalFormatting sqref="O28:AA28">
    <cfRule type="containsText" dxfId="1" priority="2" operator="containsText" text="False">
      <formula>NOT(ISERROR(SEARCH("False",O28)))</formula>
    </cfRule>
  </conditionalFormatting>
  <conditionalFormatting sqref="P25:Y28">
    <cfRule type="containsText" dxfId="0" priority="1" operator="containsText" text="False">
      <formula>NOT(ISERROR(SEARCH("False",P25)))</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2:M95"/>
  <sheetViews>
    <sheetView zoomScaleNormal="100" workbookViewId="0">
      <selection activeCell="B72" sqref="B72"/>
    </sheetView>
  </sheetViews>
  <sheetFormatPr defaultColWidth="9.140625" defaultRowHeight="15" x14ac:dyDescent="0.25"/>
  <cols>
    <col min="1" max="1" width="63.28515625" style="467" customWidth="1"/>
    <col min="2" max="2" width="18.7109375" style="467" customWidth="1"/>
    <col min="3" max="3" width="30.85546875" style="467" customWidth="1"/>
    <col min="4" max="4" width="42.85546875" style="467" customWidth="1"/>
    <col min="5" max="5" width="22.28515625" style="467" customWidth="1"/>
    <col min="6" max="6" width="13.85546875" style="467" bestFit="1" customWidth="1"/>
    <col min="7" max="7" width="25.140625" style="467" bestFit="1" customWidth="1"/>
    <col min="8" max="9" width="13.85546875" style="467" bestFit="1" customWidth="1"/>
    <col min="10" max="10" width="15.28515625" style="467" customWidth="1"/>
    <col min="11" max="11" width="20.140625" style="467" customWidth="1"/>
    <col min="12" max="12" width="13.140625" style="467" bestFit="1" customWidth="1"/>
    <col min="13" max="13" width="11.42578125" style="467" bestFit="1" customWidth="1"/>
    <col min="14" max="16384" width="9.140625" style="467"/>
  </cols>
  <sheetData>
    <row r="2" spans="1:12" ht="15.75" x14ac:dyDescent="0.25">
      <c r="A2" s="466" t="s">
        <v>175</v>
      </c>
      <c r="B2" s="466"/>
      <c r="C2" s="466"/>
      <c r="D2" s="466"/>
      <c r="G2" s="468" t="s">
        <v>84</v>
      </c>
      <c r="H2" s="468"/>
      <c r="L2" s="469"/>
    </row>
    <row r="3" spans="1:12" x14ac:dyDescent="0.25">
      <c r="A3" s="467" t="s">
        <v>126</v>
      </c>
      <c r="B3" s="470" t="s">
        <v>95</v>
      </c>
      <c r="C3" s="451" t="s">
        <v>175</v>
      </c>
      <c r="F3" s="467">
        <v>1</v>
      </c>
      <c r="G3" s="467" t="s">
        <v>177</v>
      </c>
      <c r="H3" s="470" t="s">
        <v>95</v>
      </c>
    </row>
    <row r="4" spans="1:12" x14ac:dyDescent="0.25">
      <c r="A4" s="467" t="s">
        <v>127</v>
      </c>
      <c r="B4" s="471">
        <v>2</v>
      </c>
      <c r="F4" s="467">
        <v>2</v>
      </c>
      <c r="G4" s="467" t="s">
        <v>178</v>
      </c>
      <c r="H4" s="471">
        <v>2</v>
      </c>
    </row>
    <row r="6" spans="1:12" ht="15.75" x14ac:dyDescent="0.25">
      <c r="A6" s="466" t="s">
        <v>176</v>
      </c>
      <c r="B6" s="466"/>
      <c r="C6" s="466"/>
      <c r="D6" s="466"/>
      <c r="G6" s="468" t="s">
        <v>81</v>
      </c>
      <c r="H6" s="468"/>
    </row>
    <row r="7" spans="1:12" x14ac:dyDescent="0.25">
      <c r="A7" s="467" t="s">
        <v>126</v>
      </c>
      <c r="B7" s="470" t="s">
        <v>95</v>
      </c>
      <c r="F7" s="467">
        <v>1</v>
      </c>
      <c r="G7" s="761" t="s">
        <v>179</v>
      </c>
      <c r="H7" s="470" t="s">
        <v>95</v>
      </c>
    </row>
    <row r="8" spans="1:12" x14ac:dyDescent="0.25">
      <c r="A8" s="467" t="s">
        <v>127</v>
      </c>
      <c r="B8" s="471">
        <v>2</v>
      </c>
      <c r="F8" s="467">
        <v>2</v>
      </c>
      <c r="G8" s="761" t="s">
        <v>1100</v>
      </c>
      <c r="H8" s="471">
        <v>3</v>
      </c>
    </row>
    <row r="9" spans="1:12" x14ac:dyDescent="0.25">
      <c r="F9" s="467">
        <v>3</v>
      </c>
      <c r="G9" s="761" t="s">
        <v>1101</v>
      </c>
    </row>
    <row r="11" spans="1:12" ht="15.75" x14ac:dyDescent="0.25">
      <c r="G11" s="468" t="s">
        <v>262</v>
      </c>
      <c r="H11" s="468"/>
    </row>
    <row r="12" spans="1:12" x14ac:dyDescent="0.25">
      <c r="F12" s="467">
        <v>1</v>
      </c>
      <c r="G12" s="467" t="str">
        <f>G7</f>
        <v>Fresh Scheme</v>
      </c>
      <c r="H12" s="470" t="s">
        <v>95</v>
      </c>
    </row>
    <row r="13" spans="1:12" x14ac:dyDescent="0.25">
      <c r="F13" s="467">
        <v>2</v>
      </c>
      <c r="G13" s="467" t="str">
        <f>G8</f>
        <v>QIC Renewal</v>
      </c>
      <c r="H13" s="471">
        <v>3</v>
      </c>
    </row>
    <row r="14" spans="1:12" ht="15.75" x14ac:dyDescent="0.25">
      <c r="A14" s="466" t="s">
        <v>183</v>
      </c>
      <c r="B14" s="472" t="s">
        <v>95</v>
      </c>
      <c r="F14" s="467">
        <v>3</v>
      </c>
      <c r="G14" s="467" t="str">
        <f>G9</f>
        <v>Non-QIC Renewal</v>
      </c>
    </row>
    <row r="15" spans="1:12" x14ac:dyDescent="0.25">
      <c r="A15" s="467" t="s">
        <v>184</v>
      </c>
      <c r="B15" s="473">
        <f>IF('Claims Module'!B22='Experience Rating'!$A$15,1,2)</f>
        <v>2</v>
      </c>
    </row>
    <row r="16" spans="1:12" x14ac:dyDescent="0.25">
      <c r="A16" s="467" t="s">
        <v>185</v>
      </c>
    </row>
    <row r="18" spans="1:5" x14ac:dyDescent="0.25">
      <c r="A18" s="466" t="s">
        <v>373</v>
      </c>
      <c r="B18" s="466"/>
    </row>
    <row r="19" spans="1:5" x14ac:dyDescent="0.25">
      <c r="A19" s="467" t="s">
        <v>126</v>
      </c>
      <c r="B19" s="470" t="s">
        <v>95</v>
      </c>
    </row>
    <row r="20" spans="1:5" x14ac:dyDescent="0.25">
      <c r="A20" s="467" t="s">
        <v>127</v>
      </c>
      <c r="B20" s="473">
        <f>IF('Claims Module'!B23='Experience Rating'!$A$19,1,2)</f>
        <v>2</v>
      </c>
    </row>
    <row r="22" spans="1:5" ht="15.75" x14ac:dyDescent="0.25">
      <c r="A22" s="127" t="s">
        <v>192</v>
      </c>
    </row>
    <row r="24" spans="1:5" x14ac:dyDescent="0.25">
      <c r="B24" s="456" t="str">
        <f>(YEAR('General Information'!$D$14)-3)&amp;" - "&amp;(YEAR('General Information'!$D$14)-2)</f>
        <v>2022 - 2023</v>
      </c>
      <c r="C24" s="456" t="str">
        <f>(YEAR('General Information'!$D$14)-2)&amp;" - "&amp;(YEAR('General Information'!$D$14)-1)</f>
        <v>2023 - 2024</v>
      </c>
      <c r="D24" s="456" t="str">
        <f>(YEAR('General Information'!$D$14)-1)&amp;" - "&amp;(YEAR('General Information'!$D$14))</f>
        <v>2024 - 2025</v>
      </c>
      <c r="E24" s="474" t="str">
        <f>(YEAR('General Information'!$D$14))&amp;" - "&amp;(YEAR('General Information'!$D$14)+1)</f>
        <v>2025 - 2026</v>
      </c>
    </row>
    <row r="25" spans="1:5" x14ac:dyDescent="0.25">
      <c r="A25" s="128" t="s">
        <v>118</v>
      </c>
      <c r="B25" s="765">
        <f>'Claims Module'!B95</f>
        <v>0</v>
      </c>
      <c r="C25" s="765">
        <f>'Claims Module'!C95</f>
        <v>0</v>
      </c>
      <c r="D25" s="765">
        <f>'Claims Module'!D95</f>
        <v>10</v>
      </c>
      <c r="E25" s="475">
        <f>_xlfn.SINGLE(n_lives)</f>
        <v>11</v>
      </c>
    </row>
    <row r="26" spans="1:5" x14ac:dyDescent="0.25">
      <c r="A26" s="128" t="s">
        <v>182</v>
      </c>
      <c r="B26" s="765">
        <f>B25</f>
        <v>0</v>
      </c>
      <c r="C26" s="765">
        <f>C25</f>
        <v>0</v>
      </c>
      <c r="D26" s="765">
        <f>D25</f>
        <v>10</v>
      </c>
      <c r="E26" s="476"/>
    </row>
    <row r="27" spans="1:5" x14ac:dyDescent="0.25">
      <c r="B27" s="766"/>
      <c r="C27" s="562"/>
      <c r="D27" s="562"/>
      <c r="E27" s="476"/>
    </row>
    <row r="28" spans="1:5" x14ac:dyDescent="0.25">
      <c r="A28" s="478" t="s">
        <v>193</v>
      </c>
      <c r="B28" s="765">
        <f>IF(AND('Experience Rating'!$H$4=1,'Claims Module'!B89="Y",'Claims Module'!$B$14="Yes"),1,0)</f>
        <v>0</v>
      </c>
      <c r="C28" s="765">
        <f>IF(AND('Experience Rating'!$H$4=1,'Claims Module'!C89="Y",'Claims Module'!$B$14="Yes"),1,0)</f>
        <v>0</v>
      </c>
      <c r="D28" s="765">
        <f>IF(AND('Experience Rating'!$H$4=1,'Claims Module'!D89="Y",'Claims Module'!$B$14="Yes"),1,0)</f>
        <v>0</v>
      </c>
      <c r="E28" s="476"/>
    </row>
    <row r="29" spans="1:5" x14ac:dyDescent="0.25">
      <c r="A29" s="478" t="s">
        <v>194</v>
      </c>
      <c r="B29" s="765">
        <f>'Claims Module'!B114*B28</f>
        <v>0</v>
      </c>
      <c r="C29" s="765">
        <f>'Claims Module'!C114*C28</f>
        <v>0</v>
      </c>
      <c r="D29" s="765">
        <f>'Claims Module'!D114*D28</f>
        <v>0</v>
      </c>
      <c r="E29" s="476"/>
    </row>
    <row r="30" spans="1:5" x14ac:dyDescent="0.25">
      <c r="A30" s="451" t="s">
        <v>748</v>
      </c>
      <c r="B30" s="767">
        <f>IFERROR(B29/B26,0)</f>
        <v>0</v>
      </c>
      <c r="C30" s="767">
        <f>IFERROR(C29/C26,0)</f>
        <v>0</v>
      </c>
      <c r="D30" s="767">
        <f>IFERROR(D29/D26,0)</f>
        <v>0</v>
      </c>
      <c r="E30" s="476"/>
    </row>
    <row r="31" spans="1:5" x14ac:dyDescent="0.25">
      <c r="A31" s="478" t="s">
        <v>195</v>
      </c>
      <c r="B31" s="768">
        <f>Weights!D49</f>
        <v>0</v>
      </c>
      <c r="C31" s="768">
        <f>Weights!D48</f>
        <v>0</v>
      </c>
      <c r="D31" s="768">
        <f>Weights!D47</f>
        <v>0</v>
      </c>
      <c r="E31" s="476"/>
    </row>
    <row r="32" spans="1:5" x14ac:dyDescent="0.25">
      <c r="A32" s="480"/>
      <c r="B32" s="477"/>
      <c r="D32" s="481"/>
      <c r="E32" s="476"/>
    </row>
    <row r="33" spans="1:11" x14ac:dyDescent="0.25">
      <c r="B33" s="477"/>
      <c r="E33" s="476"/>
    </row>
    <row r="34" spans="1:11" x14ac:dyDescent="0.25">
      <c r="A34" s="478" t="s">
        <v>196</v>
      </c>
      <c r="B34" s="477"/>
      <c r="E34" s="479">
        <f>SUMPRODUCT(B31:D31,B30:D30)</f>
        <v>0</v>
      </c>
      <c r="G34" s="482"/>
    </row>
    <row r="35" spans="1:11" x14ac:dyDescent="0.25">
      <c r="A35" s="478" t="s">
        <v>197</v>
      </c>
      <c r="B35" s="483"/>
      <c r="C35" s="484"/>
      <c r="D35" s="484"/>
      <c r="E35" s="479">
        <f>E34*E25</f>
        <v>0</v>
      </c>
    </row>
    <row r="37" spans="1:11" x14ac:dyDescent="0.25">
      <c r="A37" s="128" t="s">
        <v>241</v>
      </c>
      <c r="B37" s="485">
        <f>E35/TNLR</f>
        <v>0</v>
      </c>
      <c r="D37" s="486" t="s">
        <v>245</v>
      </c>
    </row>
    <row r="38" spans="1:11" x14ac:dyDescent="0.25">
      <c r="A38" s="128" t="s">
        <v>244</v>
      </c>
      <c r="B38" s="485">
        <f>B37/E25</f>
        <v>0</v>
      </c>
      <c r="D38" s="487">
        <f>E34/TNLR</f>
        <v>0</v>
      </c>
    </row>
    <row r="40" spans="1:11" x14ac:dyDescent="0.25">
      <c r="A40" s="470" t="str">
        <f>IF(B4=1,"Category-Wise Claims","Combined claims for multiple categories")</f>
        <v>Combined claims for multiple categories</v>
      </c>
      <c r="B40" s="456" t="str">
        <f>'Benefit Selection - Group'!$B$3</f>
        <v>Category A</v>
      </c>
      <c r="C40" s="456" t="str">
        <f>'Benefit Selection - Group'!$G$3</f>
        <v/>
      </c>
      <c r="D40" s="456" t="str">
        <f>'Benefit Selection - Group'!$L$3</f>
        <v/>
      </c>
      <c r="E40" s="456" t="str">
        <f>'Benefit Selection - Group'!$Q$3</f>
        <v/>
      </c>
      <c r="F40" s="456" t="str">
        <f>'Benefit Selection - Group'!$V$3</f>
        <v/>
      </c>
      <c r="G40" s="456" t="str">
        <f>'Benefit Selection - Group'!$AA$3</f>
        <v/>
      </c>
      <c r="H40" s="456" t="str">
        <f>'Benefit Selection - Group'!$AF$3</f>
        <v/>
      </c>
      <c r="I40" s="456" t="str">
        <f>'Benefit Selection - Group'!$AK$3</f>
        <v/>
      </c>
      <c r="J40" s="488" t="s">
        <v>201</v>
      </c>
    </row>
    <row r="41" spans="1:11" x14ac:dyDescent="0.25">
      <c r="A41" s="466" t="s">
        <v>202</v>
      </c>
      <c r="B41" s="769">
        <f>'Benefit Selection - Group'!C93</f>
        <v>11</v>
      </c>
      <c r="C41" s="769">
        <f>'Benefit Selection - Group'!H93</f>
        <v>0</v>
      </c>
      <c r="D41" s="769">
        <f>'Benefit Selection - Group'!M93</f>
        <v>0</v>
      </c>
      <c r="E41" s="769">
        <f>'Benefit Selection - Group'!R93</f>
        <v>0</v>
      </c>
      <c r="F41" s="769">
        <f>'Benefit Selection - Group'!W93</f>
        <v>0</v>
      </c>
      <c r="G41" s="769">
        <f>'Benefit Selection - Group'!AB93</f>
        <v>0</v>
      </c>
      <c r="H41" s="769">
        <f>'Benefit Selection - Group'!AG93</f>
        <v>0</v>
      </c>
      <c r="I41" s="769">
        <f>'Benefit Selection - Group'!AL93</f>
        <v>0</v>
      </c>
      <c r="J41" s="770">
        <f>SUM(B41:I41)</f>
        <v>11</v>
      </c>
    </row>
    <row r="42" spans="1:11" x14ac:dyDescent="0.25">
      <c r="A42" s="466" t="s">
        <v>242</v>
      </c>
      <c r="B42" s="771">
        <f ca="1">IFERROR('Benefit Selection - Group'!B93,0)</f>
        <v>28804.852567567563</v>
      </c>
      <c r="C42" s="771">
        <f ca="1">IFERROR('Benefit Selection - Group'!G93,0)</f>
        <v>0</v>
      </c>
      <c r="D42" s="771">
        <f ca="1">IFERROR('Benefit Selection - Group'!L93,0)</f>
        <v>0</v>
      </c>
      <c r="E42" s="771">
        <f ca="1">IFERROR('Benefit Selection - Group'!Q93,0)</f>
        <v>0</v>
      </c>
      <c r="F42" s="771">
        <f ca="1">IFERROR('Benefit Selection - Group'!V93,0)</f>
        <v>0</v>
      </c>
      <c r="G42" s="771">
        <f ca="1">IFERROR('Benefit Selection - Group'!AA93,0)</f>
        <v>0</v>
      </c>
      <c r="H42" s="771">
        <f ca="1">IFERROR('Benefit Selection - Group'!AF93,0)</f>
        <v>0</v>
      </c>
      <c r="I42" s="771">
        <f ca="1">IFERROR('Benefit Selection - Group'!AK93,0)</f>
        <v>0</v>
      </c>
      <c r="J42" s="770">
        <f ca="1">SUM(B42:I42)</f>
        <v>28804.852567567563</v>
      </c>
      <c r="K42" s="1026" t="s">
        <v>1189</v>
      </c>
    </row>
    <row r="43" spans="1:11" x14ac:dyDescent="0.25">
      <c r="A43" s="466" t="s">
        <v>203</v>
      </c>
      <c r="B43" s="772">
        <f ca="1">IF(B$41=0,0,B42/B$41)</f>
        <v>2618.6229606879601</v>
      </c>
      <c r="C43" s="770">
        <f>IF(C$41=0,0,C42/C$41)</f>
        <v>0</v>
      </c>
      <c r="D43" s="770">
        <f t="shared" ref="D43:I43" si="0">IF(D$41=0,0,D42/D$41)</f>
        <v>0</v>
      </c>
      <c r="E43" s="770">
        <f t="shared" si="0"/>
        <v>0</v>
      </c>
      <c r="F43" s="770">
        <f t="shared" si="0"/>
        <v>0</v>
      </c>
      <c r="G43" s="770">
        <f t="shared" si="0"/>
        <v>0</v>
      </c>
      <c r="H43" s="770">
        <f t="shared" si="0"/>
        <v>0</v>
      </c>
      <c r="I43" s="770">
        <f t="shared" si="0"/>
        <v>0</v>
      </c>
      <c r="J43" s="770">
        <f ca="1">IF(J$41=0,0,J42/J$41)</f>
        <v>2618.6229606879601</v>
      </c>
      <c r="K43" s="1026" t="s">
        <v>1189</v>
      </c>
    </row>
    <row r="44" spans="1:11" x14ac:dyDescent="0.25">
      <c r="A44" s="466" t="s">
        <v>724</v>
      </c>
      <c r="B44" s="772">
        <f>IF(AND($H$4=1,'Claims Module'!$B$14="Yes",'Claims Module'!B13=1),'Claims Module'!B74,0)</f>
        <v>0</v>
      </c>
      <c r="C44" s="773"/>
      <c r="D44" s="773"/>
      <c r="E44" s="773"/>
      <c r="F44" s="773"/>
      <c r="G44" s="773"/>
      <c r="H44" s="773"/>
      <c r="I44" s="773"/>
      <c r="J44" s="770">
        <f>SUM(B44:I44)</f>
        <v>0</v>
      </c>
    </row>
    <row r="47" spans="1:11" x14ac:dyDescent="0.25">
      <c r="B47" s="488" t="str">
        <f>B40</f>
        <v>Category A</v>
      </c>
      <c r="C47" s="488" t="str">
        <f t="shared" ref="C47:I47" si="1">C40</f>
        <v/>
      </c>
      <c r="D47" s="488" t="str">
        <f t="shared" si="1"/>
        <v/>
      </c>
      <c r="E47" s="488" t="str">
        <f t="shared" si="1"/>
        <v/>
      </c>
      <c r="F47" s="488" t="str">
        <f t="shared" si="1"/>
        <v/>
      </c>
      <c r="G47" s="488" t="str">
        <f t="shared" si="1"/>
        <v/>
      </c>
      <c r="H47" s="488" t="str">
        <f t="shared" si="1"/>
        <v/>
      </c>
      <c r="I47" s="488" t="str">
        <f t="shared" si="1"/>
        <v/>
      </c>
    </row>
    <row r="48" spans="1:11" x14ac:dyDescent="0.25">
      <c r="A48" s="466" t="s">
        <v>281</v>
      </c>
      <c r="B48" s="774">
        <f ca="1">IF(B47="","",B43)</f>
        <v>2618.6229606879601</v>
      </c>
      <c r="C48" s="774" t="str">
        <f t="shared" ref="C48:I48" si="2">IF(C47="","",C43)</f>
        <v/>
      </c>
      <c r="D48" s="774" t="str">
        <f t="shared" si="2"/>
        <v/>
      </c>
      <c r="E48" s="774" t="str">
        <f t="shared" si="2"/>
        <v/>
      </c>
      <c r="F48" s="774" t="str">
        <f t="shared" si="2"/>
        <v/>
      </c>
      <c r="G48" s="774" t="str">
        <f t="shared" si="2"/>
        <v/>
      </c>
      <c r="H48" s="774" t="str">
        <f t="shared" si="2"/>
        <v/>
      </c>
      <c r="I48" s="774" t="str">
        <f t="shared" si="2"/>
        <v/>
      </c>
      <c r="J48" s="775">
        <f ca="1">J49/J41</f>
        <v>2618.6229606879601</v>
      </c>
      <c r="K48" s="1026" t="s">
        <v>1189</v>
      </c>
    </row>
    <row r="49" spans="1:13" x14ac:dyDescent="0.25">
      <c r="A49" s="466" t="s">
        <v>282</v>
      </c>
      <c r="B49" s="774">
        <f ca="1">IF(B47="","",B48*B41)</f>
        <v>28804.852567567563</v>
      </c>
      <c r="C49" s="774" t="str">
        <f t="shared" ref="C49:I49" si="3">IF(C47="","",C48*C41)</f>
        <v/>
      </c>
      <c r="D49" s="774" t="str">
        <f t="shared" si="3"/>
        <v/>
      </c>
      <c r="E49" s="774" t="str">
        <f t="shared" si="3"/>
        <v/>
      </c>
      <c r="F49" s="774" t="str">
        <f t="shared" si="3"/>
        <v/>
      </c>
      <c r="G49" s="774" t="str">
        <f t="shared" si="3"/>
        <v/>
      </c>
      <c r="H49" s="774" t="str">
        <f t="shared" si="3"/>
        <v/>
      </c>
      <c r="I49" s="774" t="str">
        <f t="shared" si="3"/>
        <v/>
      </c>
      <c r="J49" s="775">
        <f ca="1">SUM(B49:I49)</f>
        <v>28804.852567567563</v>
      </c>
      <c r="K49" s="1026" t="s">
        <v>1189</v>
      </c>
    </row>
    <row r="50" spans="1:13" ht="30" x14ac:dyDescent="0.25">
      <c r="A50" s="489" t="s">
        <v>774</v>
      </c>
      <c r="B50" s="776">
        <f t="shared" ref="B50:I50" ca="1" si="4">IF(B47="","",IF(B41&gt;0,IF(OR($H$8=1,AND($H$4=2,$H$8=3)),B48,IF(AND($H$4=1,$H$8=2),IF(B79="",($B$74*n_lives*B49/$J$49)/B41,B92),($B$44*B49/$J$49)/B41))))</f>
        <v>2618.6229606879601</v>
      </c>
      <c r="C50" s="776" t="str">
        <f t="shared" si="4"/>
        <v/>
      </c>
      <c r="D50" s="776" t="str">
        <f t="shared" si="4"/>
        <v/>
      </c>
      <c r="E50" s="776" t="str">
        <f t="shared" si="4"/>
        <v/>
      </c>
      <c r="F50" s="776" t="str">
        <f t="shared" si="4"/>
        <v/>
      </c>
      <c r="G50" s="776" t="str">
        <f t="shared" si="4"/>
        <v/>
      </c>
      <c r="H50" s="776" t="str">
        <f t="shared" si="4"/>
        <v/>
      </c>
      <c r="I50" s="776" t="str">
        <f t="shared" si="4"/>
        <v/>
      </c>
      <c r="J50" s="777">
        <f ca="1">J51/J41</f>
        <v>2618.6229606879601</v>
      </c>
      <c r="K50" s="1026" t="str">
        <f>IF(Claims_Data=2,"without maternity",IF(B79="","with maternity","without maternity"))</f>
        <v>without maternity</v>
      </c>
      <c r="M50" s="467" t="s">
        <v>775</v>
      </c>
    </row>
    <row r="51" spans="1:13" x14ac:dyDescent="0.25">
      <c r="A51" s="489" t="s">
        <v>777</v>
      </c>
      <c r="B51" s="776">
        <f ca="1">IF(B47="","",B50*B41)</f>
        <v>28804.852567567563</v>
      </c>
      <c r="C51" s="776" t="str">
        <f t="shared" ref="C51:I51" si="5">IF(C47="","",C50*C41)</f>
        <v/>
      </c>
      <c r="D51" s="776" t="str">
        <f t="shared" si="5"/>
        <v/>
      </c>
      <c r="E51" s="776" t="str">
        <f t="shared" si="5"/>
        <v/>
      </c>
      <c r="F51" s="776" t="str">
        <f t="shared" si="5"/>
        <v/>
      </c>
      <c r="G51" s="776" t="str">
        <f t="shared" si="5"/>
        <v/>
      </c>
      <c r="H51" s="776" t="str">
        <f t="shared" si="5"/>
        <v/>
      </c>
      <c r="I51" s="776" t="str">
        <f t="shared" si="5"/>
        <v/>
      </c>
      <c r="J51" s="777">
        <f ca="1">SUM(B51:I51)</f>
        <v>28804.852567567563</v>
      </c>
      <c r="K51" s="1026" t="str">
        <f>K50</f>
        <v>without maternity</v>
      </c>
      <c r="M51" s="467" t="s">
        <v>776</v>
      </c>
    </row>
    <row r="52" spans="1:13" x14ac:dyDescent="0.25">
      <c r="A52" s="491"/>
      <c r="B52" s="491"/>
      <c r="C52" s="491"/>
      <c r="D52" s="491"/>
      <c r="E52" s="491"/>
      <c r="J52" s="491"/>
    </row>
    <row r="53" spans="1:13" ht="15.75" customHeight="1" x14ac:dyDescent="0.25">
      <c r="A53" s="489" t="s">
        <v>243</v>
      </c>
      <c r="B53" s="775">
        <f>IF(B4=2,1,0)</f>
        <v>1</v>
      </c>
      <c r="C53" s="775">
        <f ca="1">IF(OR(C50&gt;B50,$B$4=2),1,0)</f>
        <v>1</v>
      </c>
      <c r="D53" s="775">
        <f ca="1">IF(OR($B$4=2,D50&gt;OR(C50,B50)),1,0)</f>
        <v>1</v>
      </c>
      <c r="E53" s="775">
        <f ca="1">IF(OR($B$4=2,E50&gt;OR(D50,C50,B50)),1,0)</f>
        <v>1</v>
      </c>
      <c r="F53" s="775">
        <f ca="1">IF(OR($B$4=2,F50&gt;OR(E50,D50,C50,B50)),1,0)</f>
        <v>1</v>
      </c>
      <c r="G53" s="775">
        <f ca="1">IF(OR($B$4=2,G50&gt;OR(F50,E50,D50,C50,B50)),1,0)</f>
        <v>1</v>
      </c>
      <c r="H53" s="775">
        <f ca="1">IF(OR($B$4=2,H50&gt;OR(G50,F50,E50,D50,C50,B50)),1,0)</f>
        <v>1</v>
      </c>
      <c r="I53" s="775">
        <f ca="1">IF(OR($B$4=2,I50&gt;OR(H50,G50,F50,E50,D50,C50,B50)),1,0)</f>
        <v>1</v>
      </c>
      <c r="J53" s="775">
        <f ca="1">SUM(B53:I53)</f>
        <v>8</v>
      </c>
    </row>
    <row r="54" spans="1:13" x14ac:dyDescent="0.25">
      <c r="A54" s="466" t="s">
        <v>780</v>
      </c>
      <c r="B54" s="753">
        <f ca="1">IF(B47="","",IF($J$53&gt;0,$J$51*(B42/$J$42),B51))</f>
        <v>28804.852567567563</v>
      </c>
      <c r="C54" s="753" t="str">
        <f t="shared" ref="C54:I54" si="6">IF(C47="","",IF($J$53&gt;0,$J$51*(C42/$J$42),C51))</f>
        <v/>
      </c>
      <c r="D54" s="753" t="str">
        <f t="shared" si="6"/>
        <v/>
      </c>
      <c r="E54" s="753" t="str">
        <f t="shared" si="6"/>
        <v/>
      </c>
      <c r="F54" s="753" t="str">
        <f t="shared" si="6"/>
        <v/>
      </c>
      <c r="G54" s="753" t="str">
        <f t="shared" si="6"/>
        <v/>
      </c>
      <c r="H54" s="753" t="str">
        <f t="shared" si="6"/>
        <v/>
      </c>
      <c r="I54" s="753" t="str">
        <f t="shared" si="6"/>
        <v/>
      </c>
      <c r="J54" s="775">
        <f ca="1">SUM(B54:I54)</f>
        <v>28804.852567567563</v>
      </c>
      <c r="K54" s="1026" t="str">
        <f>IF($H$4=2,"without maternity","with maternity")</f>
        <v>without maternity</v>
      </c>
      <c r="L54" s="490"/>
    </row>
    <row r="55" spans="1:13" x14ac:dyDescent="0.25">
      <c r="A55" s="466" t="s">
        <v>779</v>
      </c>
      <c r="B55" s="753">
        <f ca="1">IF(B47="","",IFERROR(B54/B41,0))</f>
        <v>2618.6229606879601</v>
      </c>
      <c r="C55" s="753" t="str">
        <f t="shared" ref="C55:I55" si="7">IF(C47="","",IFERROR(C54/C41,0))</f>
        <v/>
      </c>
      <c r="D55" s="753" t="str">
        <f t="shared" si="7"/>
        <v/>
      </c>
      <c r="E55" s="753" t="str">
        <f t="shared" si="7"/>
        <v/>
      </c>
      <c r="F55" s="753" t="str">
        <f t="shared" si="7"/>
        <v/>
      </c>
      <c r="G55" s="753" t="str">
        <f t="shared" si="7"/>
        <v/>
      </c>
      <c r="H55" s="753" t="str">
        <f t="shared" si="7"/>
        <v/>
      </c>
      <c r="I55" s="753" t="str">
        <f t="shared" si="7"/>
        <v/>
      </c>
      <c r="J55" s="775">
        <f ca="1">IF(J$41=0,0,J54/J41)</f>
        <v>2618.6229606879601</v>
      </c>
      <c r="K55" s="1026" t="str">
        <f>IF($H$4=2,"without maternity","with maternity")</f>
        <v>without maternity</v>
      </c>
    </row>
    <row r="56" spans="1:13" x14ac:dyDescent="0.25">
      <c r="J56" s="492"/>
    </row>
    <row r="57" spans="1:13" x14ac:dyDescent="0.25">
      <c r="A57" s="466" t="s">
        <v>1086</v>
      </c>
      <c r="B57" s="1086">
        <f t="shared" ref="B57:I57" ca="1" si="8">IF(B47="","",IF(AND(Claims_Data=2,OR(Scheme_Type=3,Scheme_Type=1)),(B49+B$62)/(1-Intermediary_and_Fee),IF(AND(Claims_Data=1,Scheme_Type=3),(B54*B63)/(1-Intermediary_and_Fee),IF(AND(Claims_Data=1,Scheme_Type=2),B94/(1-Intermediary_and_Fee),Refer))))</f>
        <v>28804.852567567563</v>
      </c>
      <c r="C57" s="1086" t="str">
        <f t="shared" si="8"/>
        <v/>
      </c>
      <c r="D57" s="1086" t="str">
        <f t="shared" si="8"/>
        <v/>
      </c>
      <c r="E57" s="1086" t="str">
        <f t="shared" si="8"/>
        <v/>
      </c>
      <c r="F57" s="1086" t="str">
        <f t="shared" si="8"/>
        <v/>
      </c>
      <c r="G57" s="1086" t="str">
        <f t="shared" si="8"/>
        <v/>
      </c>
      <c r="H57" s="1086" t="str">
        <f t="shared" si="8"/>
        <v/>
      </c>
      <c r="I57" s="1086" t="str">
        <f t="shared" si="8"/>
        <v/>
      </c>
      <c r="J57" s="1087">
        <f ca="1">SUM(B57:I57)</f>
        <v>28804.852567567563</v>
      </c>
      <c r="K57" s="1045" t="s">
        <v>1207</v>
      </c>
      <c r="L57" s="785"/>
    </row>
    <row r="58" spans="1:13" x14ac:dyDescent="0.25">
      <c r="A58" s="466" t="s">
        <v>204</v>
      </c>
      <c r="B58" s="783">
        <f ca="1">IF(B47="","",IFERROR(B57/B41,0))</f>
        <v>2618.6229606879601</v>
      </c>
      <c r="C58" s="783" t="str">
        <f t="shared" ref="C58:I58" si="9">IF(C47="","",IFERROR(C57/C41,0))</f>
        <v/>
      </c>
      <c r="D58" s="783" t="str">
        <f t="shared" si="9"/>
        <v/>
      </c>
      <c r="E58" s="783" t="str">
        <f t="shared" si="9"/>
        <v/>
      </c>
      <c r="F58" s="783" t="str">
        <f t="shared" si="9"/>
        <v/>
      </c>
      <c r="G58" s="783" t="str">
        <f t="shared" si="9"/>
        <v/>
      </c>
      <c r="H58" s="783" t="str">
        <f t="shared" si="9"/>
        <v/>
      </c>
      <c r="I58" s="783" t="str">
        <f t="shared" si="9"/>
        <v/>
      </c>
      <c r="J58" s="784">
        <f ca="1">J57/J41</f>
        <v>2618.6229606879601</v>
      </c>
      <c r="K58" s="761" t="s">
        <v>956</v>
      </c>
    </row>
    <row r="59" spans="1:13" x14ac:dyDescent="0.25">
      <c r="A59" s="466" t="s">
        <v>1088</v>
      </c>
      <c r="B59" s="1088">
        <f>IF(B47="","",IF(AND(Claims_Data=2,OR(Scheme_Type=3,Scheme_Type=1)),IF(B60=0,'Age Banded Rating'!C209/(1-Intermediary_and_Fee),IFERROR(B61/B60,0)),IF(AND(Claims_Data=1,Scheme_Type=3),IF(B60=0,'Age Banded Rating'!C209/(1-Intermediary_and_Fee),IFERROR(B61/B60,0)),IF(AND(Claims_Data=1,Scheme_Type=2),IF(B60=0,'Age Banded Rating'!C209/(1-Intermediary_and_Fee),B93/(1-Intermediary_and_Fee)),Refer))))</f>
        <v>1575.9</v>
      </c>
      <c r="C59" s="1088" t="str">
        <f>IF(C47="","",IF(AND(Claims_Data=2,OR(Scheme_Type=3,Scheme_Type=1)),IF(C60=0,'Age Banded Rating'!D209/(1-Intermediary_and_Fee),IFERROR(C61/C60,0)),IF(AND(Claims_Data=1,Scheme_Type=3),IF(C60=0,'Age Banded Rating'!D209/(1-Intermediary_and_Fee),IFERROR(C61/C60,0)),IF(AND(Claims_Data=1,Scheme_Type=2),IF(C60=0,'Age Banded Rating'!D209/(1-Intermediary_and_Fee),C93/(1-Intermediary_and_Fee)),Refer))))</f>
        <v/>
      </c>
      <c r="D59" s="1088" t="str">
        <f>IF(D47="","",IF(AND(Claims_Data=2,OR(Scheme_Type=3,Scheme_Type=1)),IF(D60=0,'Age Banded Rating'!E209/(1-Intermediary_and_Fee),IFERROR(D61/D60,0)),IF(AND(Claims_Data=1,Scheme_Type=3),IF(D60=0,'Age Banded Rating'!E209/(1-Intermediary_and_Fee),IFERROR(D61/D60,0)),IF(AND(Claims_Data=1,Scheme_Type=2),IF(D60=0,'Age Banded Rating'!E209/(1-Intermediary_and_Fee),D93/(1-Intermediary_and_Fee)),Refer))))</f>
        <v/>
      </c>
      <c r="E59" s="1088" t="str">
        <f>IF(E47="","",IF(AND(Claims_Data=2,OR(Scheme_Type=3,Scheme_Type=1)),IF(E60=0,'Age Banded Rating'!F209/(1-Intermediary_and_Fee),IFERROR(E61/E60,0)),IF(AND(Claims_Data=1,Scheme_Type=3),IF(E60=0,'Age Banded Rating'!F209/(1-Intermediary_and_Fee),IFERROR(E61/E60,0)),IF(AND(Claims_Data=1,Scheme_Type=2),IF(E60=0,'Age Banded Rating'!F209/(1-Intermediary_and_Fee),E93/(1-Intermediary_and_Fee)),Refer))))</f>
        <v/>
      </c>
      <c r="F59" s="1088" t="str">
        <f>IF(F47="","",IF(AND(Claims_Data=2,OR(Scheme_Type=3,Scheme_Type=1)),IF(F60=0,'Age Banded Rating'!G209/(1-Intermediary_and_Fee),IFERROR(F61/F60,0)),IF(AND(Claims_Data=1,Scheme_Type=3),IF(F60=0,'Age Banded Rating'!G209/(1-Intermediary_and_Fee),IFERROR(F61/F60,0)),IF(AND(Claims_Data=1,Scheme_Type=2),IF(F60=0,'Age Banded Rating'!G209/(1-Intermediary_and_Fee),F93/(1-Intermediary_and_Fee)),Refer))))</f>
        <v/>
      </c>
      <c r="G59" s="1088" t="str">
        <f>IF(G47="","",IF(AND(Claims_Data=2,OR(Scheme_Type=3,Scheme_Type=1)),IF(G60=0,'Age Banded Rating'!H209/(1-Intermediary_and_Fee),IFERROR(G61/G60,0)),IF(AND(Claims_Data=1,Scheme_Type=3),IF(G60=0,'Age Banded Rating'!H209/(1-Intermediary_and_Fee),IFERROR(G61/G60,0)),IF(AND(Claims_Data=1,Scheme_Type=2),IF(G60=0,'Age Banded Rating'!H209/(1-Intermediary_and_Fee),G93/(1-Intermediary_and_Fee)),Refer))))</f>
        <v/>
      </c>
      <c r="H59" s="1088" t="str">
        <f>IF(H47="","",IF(AND(Claims_Data=2,OR(Scheme_Type=3,Scheme_Type=1)),IF(H60=0,'Age Banded Rating'!I209/(1-Intermediary_and_Fee),IFERROR(H61/H60,0)),IF(AND(Claims_Data=1,Scheme_Type=3),IF(H60=0,'Age Banded Rating'!I209/(1-Intermediary_and_Fee),IFERROR(H61/H60,0)),IF(AND(Claims_Data=1,Scheme_Type=2),IF(H60=0,'Age Banded Rating'!I209/(1-Intermediary_and_Fee),H93/(1-Intermediary_and_Fee)),Refer))))</f>
        <v/>
      </c>
      <c r="I59" s="1088" t="str">
        <f>IF(I47="","",IF(AND(Claims_Data=2,OR(Scheme_Type=3,Scheme_Type=1)),IF(I60=0,'Age Banded Rating'!J209/(1-Intermediary_and_Fee),IFERROR(I61/I60,0)),IF(AND(Claims_Data=1,Scheme_Type=3),IF(I60=0,'Age Banded Rating'!J209/(1-Intermediary_and_Fee),IFERROR(I61/I60,0)),IF(AND(Claims_Data=1,Scheme_Type=2),IF(I60=0,'Age Banded Rating'!J209/(1-Intermediary_and_Fee),I93/(1-Intermediary_and_Fee)),Refer))))</f>
        <v/>
      </c>
      <c r="J59" s="1089" t="e">
        <f>J61/J60</f>
        <v>#DIV/0!</v>
      </c>
      <c r="K59" s="923">
        <f ca="1">'Benefit Selection - Group'!B108</f>
        <v>28804.852567567563</v>
      </c>
      <c r="L59" s="467" t="s">
        <v>1249</v>
      </c>
    </row>
    <row r="60" spans="1:13" x14ac:dyDescent="0.25">
      <c r="A60" s="466" t="s">
        <v>1087</v>
      </c>
      <c r="B60" s="753">
        <f>IF(B47="","",'Age Banded Rating'!C231)</f>
        <v>0</v>
      </c>
      <c r="C60" s="753" t="str">
        <f>IF(C47="","",'Age Banded Rating'!D231)</f>
        <v/>
      </c>
      <c r="D60" s="753" t="str">
        <f>IF(D47="","",'Age Banded Rating'!E231)</f>
        <v/>
      </c>
      <c r="E60" s="753" t="str">
        <f>IF(E47="","",'Age Banded Rating'!F231)</f>
        <v/>
      </c>
      <c r="F60" s="753" t="str">
        <f>IF(F47="","",'Age Banded Rating'!G231)</f>
        <v/>
      </c>
      <c r="G60" s="753" t="str">
        <f>IF(G47="","",'Age Banded Rating'!H231)</f>
        <v/>
      </c>
      <c r="H60" s="753" t="str">
        <f>IF(H47="","",'Age Banded Rating'!I231)</f>
        <v/>
      </c>
      <c r="I60" s="753" t="str">
        <f>IF(I47="","",'Age Banded Rating'!J231)</f>
        <v/>
      </c>
      <c r="J60" s="775">
        <f>SUM(B60:I60)</f>
        <v>0</v>
      </c>
      <c r="K60" s="966">
        <f>'Claims Module'!B74</f>
        <v>0</v>
      </c>
      <c r="L60" s="467" t="s">
        <v>1247</v>
      </c>
    </row>
    <row r="61" spans="1:13" x14ac:dyDescent="0.25">
      <c r="A61" s="466" t="s">
        <v>1089</v>
      </c>
      <c r="B61" s="1089">
        <f>IF(B47="","",IF(B41=0,0,IF(Claims_Data=2,'Age Banded Rating'!C209*B60/(1-Intermediary_and_Fee),IF(AND(Claims_Data=1,Scheme_Type=2),IF(B80="",B54*(1-B63)/(1-Intermediary_and_Fee),B59*B60),B54*(1-B63)/(1-Intermediary_and_Fee)))))</f>
        <v>0</v>
      </c>
      <c r="C61" s="1089" t="str">
        <f>IF(C47="","",IF(C41=0,0,IF(Claims_Data=2,'Age Banded Rating'!D209*C60/(1-Intermediary_and_Fee),IF(AND(Claims_Data=1,Scheme_Type=2),IF(C80="",C54*(1-C63)/(1-Intermediary_and_Fee),C59*C60),C54*(1-C63)/(1-Intermediary_and_Fee)))))</f>
        <v/>
      </c>
      <c r="D61" s="1089" t="str">
        <f>IF(D47="","",IF(D41=0,0,IF(Claims_Data=2,'Age Banded Rating'!E209*D60/(1-Intermediary_and_Fee),IF(AND(Claims_Data=1,Scheme_Type=2),IF(D80="",D54*(1-D63)/(1-Intermediary_and_Fee),D59*D60),D54*(1-D63)/(1-Intermediary_and_Fee)))))</f>
        <v/>
      </c>
      <c r="E61" s="1089" t="str">
        <f>IF(E47="","",IF(E41=0,0,IF(Claims_Data=2,'Age Banded Rating'!F209*E60/(1-Intermediary_and_Fee),IF(AND(Claims_Data=1,Scheme_Type=2),IF(E80="",E54*(1-E63)/(1-Intermediary_and_Fee),E59*E60),E54*(1-E63)/(1-Intermediary_and_Fee)))))</f>
        <v/>
      </c>
      <c r="F61" s="1089" t="str">
        <f>IF(F47="","",IF(F41=0,0,IF(Claims_Data=2,'Age Banded Rating'!G209*F60/(1-Intermediary_and_Fee),IF(AND(Claims_Data=1,Scheme_Type=2),IF(F80="",F54*(1-F63)/(1-Intermediary_and_Fee),F59*F60),F54*(1-F63)/(1-Intermediary_and_Fee)))))</f>
        <v/>
      </c>
      <c r="G61" s="1089" t="str">
        <f>IF(G47="","",IF(G41=0,0,IF(Claims_Data=2,'Age Banded Rating'!H209*G60/(1-Intermediary_and_Fee),IF(AND(Claims_Data=1,Scheme_Type=2),IF(G80="",G54*(1-G63)/(1-Intermediary_and_Fee),G59*G60),G54*(1-G63)/(1-Intermediary_and_Fee)))))</f>
        <v/>
      </c>
      <c r="H61" s="1089" t="str">
        <f>IF(H47="","",IF(H41=0,0,IF(Claims_Data=2,'Age Banded Rating'!I209*H60/(1-Intermediary_and_Fee),IF(AND(Claims_Data=1,Scheme_Type=2),IF(H80="",H54*(1-H63)/(1-Intermediary_and_Fee),H59*H60),H54*(1-H63)/(1-Intermediary_and_Fee)))))</f>
        <v/>
      </c>
      <c r="I61" s="1089" t="str">
        <f>IF(I47="","",IF(I41=0,0,IF(Claims_Data=2,'Age Banded Rating'!J209*I60/(1-Intermediary_and_Fee),IF(AND(Claims_Data=1,Scheme_Type=2),IF(I80="",I54*(1-I63)/(1-Intermediary_and_Fee),I59*I60),I54*(1-I63)/(1-Intermediary_and_Fee)))))</f>
        <v/>
      </c>
      <c r="J61" s="775">
        <f>SUM(B61:I61)</f>
        <v>0</v>
      </c>
      <c r="K61" s="966">
        <f ca="1">J57+J61</f>
        <v>28804.852567567563</v>
      </c>
      <c r="L61" s="467" t="s">
        <v>1248</v>
      </c>
    </row>
    <row r="62" spans="1:13" x14ac:dyDescent="0.25">
      <c r="A62" s="466" t="s">
        <v>1246</v>
      </c>
      <c r="B62" s="753">
        <f>'Member Data'!$O$48</f>
        <v>0</v>
      </c>
      <c r="C62" s="753">
        <f>'Member Data'!$P$48</f>
        <v>0</v>
      </c>
      <c r="D62" s="753">
        <f>'Member Data'!$Q$48</f>
        <v>0</v>
      </c>
      <c r="E62" s="753">
        <f>'Member Data'!$R$48</f>
        <v>0</v>
      </c>
      <c r="F62" s="753">
        <f>'Member Data'!$S$48</f>
        <v>0</v>
      </c>
      <c r="G62" s="753">
        <f>'Member Data'!$T$48</f>
        <v>0</v>
      </c>
      <c r="H62" s="753">
        <f>'Member Data'!$U$48</f>
        <v>0</v>
      </c>
      <c r="I62" s="753">
        <f>'Member Data'!$V$48</f>
        <v>0</v>
      </c>
      <c r="J62" s="775">
        <f>SUM(B62:I62)</f>
        <v>0</v>
      </c>
      <c r="K62" s="923">
        <f ca="1">'TOB &amp; Rates'!N119+'TOB &amp; Rates'!N121</f>
        <v>28804.852567567563</v>
      </c>
      <c r="L62" s="467" t="s">
        <v>1186</v>
      </c>
    </row>
    <row r="63" spans="1:13" x14ac:dyDescent="0.25">
      <c r="A63" s="433" t="s">
        <v>1081</v>
      </c>
      <c r="B63" s="965">
        <f>IF(B41=0,0,'Age Banded Rating'!C234)</f>
        <v>1</v>
      </c>
      <c r="C63" s="965">
        <f>IF(C41=0,0,'Age Banded Rating'!D234)</f>
        <v>0</v>
      </c>
      <c r="D63" s="965">
        <f>IF(D41=0,0,'Age Banded Rating'!E234)</f>
        <v>0</v>
      </c>
      <c r="E63" s="965">
        <f>IF(E41=0,0,'Age Banded Rating'!F234)</f>
        <v>0</v>
      </c>
      <c r="F63" s="965">
        <f>IF(F41=0,0,'Age Banded Rating'!G234)</f>
        <v>0</v>
      </c>
      <c r="G63" s="965">
        <f>IF(G41=0,0,'Age Banded Rating'!H234)</f>
        <v>0</v>
      </c>
      <c r="H63" s="965">
        <f>IF(H41=0,0,'Age Banded Rating'!I234)</f>
        <v>0</v>
      </c>
      <c r="I63" s="965">
        <f>IF(I41=0,0,'Age Banded Rating'!J234)</f>
        <v>0</v>
      </c>
      <c r="J63" s="433"/>
      <c r="K63" s="1012">
        <f ca="1">K61-K62</f>
        <v>0</v>
      </c>
    </row>
    <row r="64" spans="1:13" x14ac:dyDescent="0.25">
      <c r="A64" s="433"/>
      <c r="B64" s="461"/>
      <c r="C64" s="433"/>
      <c r="D64" s="433"/>
      <c r="E64" s="433"/>
      <c r="F64" s="433"/>
      <c r="G64" s="433"/>
      <c r="H64" s="433"/>
      <c r="I64" s="433"/>
      <c r="J64" s="433"/>
      <c r="K64" s="1053"/>
    </row>
    <row r="65" spans="1:10" x14ac:dyDescent="0.25">
      <c r="A65" s="466" t="s">
        <v>352</v>
      </c>
      <c r="B65" s="786">
        <f ca="1">J57/J42</f>
        <v>1</v>
      </c>
      <c r="C65" s="433"/>
      <c r="D65" s="433"/>
      <c r="E65" s="433"/>
      <c r="F65" s="433"/>
      <c r="G65" s="433"/>
      <c r="H65" s="433"/>
      <c r="I65" s="433"/>
      <c r="J65" s="433"/>
    </row>
    <row r="66" spans="1:10" x14ac:dyDescent="0.25">
      <c r="A66" s="433"/>
      <c r="B66" s="433"/>
      <c r="C66" s="433"/>
      <c r="D66" s="433"/>
      <c r="E66" s="433"/>
      <c r="F66" s="433"/>
      <c r="G66" s="433"/>
      <c r="H66" s="433"/>
      <c r="I66" s="433"/>
      <c r="J66" s="433"/>
    </row>
    <row r="67" spans="1:10" x14ac:dyDescent="0.25">
      <c r="A67" s="518" t="s">
        <v>952</v>
      </c>
      <c r="B67" s="519" t="s">
        <v>1227</v>
      </c>
      <c r="C67" s="433"/>
      <c r="D67" s="433"/>
    </row>
    <row r="68" spans="1:10" x14ac:dyDescent="0.25">
      <c r="A68" s="520" t="s">
        <v>954</v>
      </c>
      <c r="B68" s="782">
        <f>IF(AND($H$8=2,$H$4=1),'Claims Module'!B11,0%)</f>
        <v>0</v>
      </c>
      <c r="C68" s="433"/>
      <c r="D68" s="433"/>
    </row>
    <row r="69" spans="1:10" x14ac:dyDescent="0.25">
      <c r="A69" s="521" t="str">
        <f>"Per Member Expected Rate - "&amp;D24</f>
        <v>Per Member Expected Rate - 2024 - 2025</v>
      </c>
      <c r="B69" s="779">
        <f>IF(AND(H4=1,H8=2),'Claims Module'!B60,0)</f>
        <v>0</v>
      </c>
      <c r="C69" s="433"/>
      <c r="D69" s="433"/>
    </row>
    <row r="70" spans="1:10" x14ac:dyDescent="0.25">
      <c r="A70" s="521" t="str">
        <f>"Per Member Expiring Rate "&amp;D24</f>
        <v>Per Member Expiring Rate 2024 - 2025</v>
      </c>
      <c r="B70" s="779">
        <f>IF(AND(H4=1,H8=2),MAX('Claims Module'!B9/'Claims Module'!B38,'Claims Module'!B8),0)</f>
        <v>0</v>
      </c>
      <c r="C70" s="522"/>
      <c r="D70" s="522"/>
    </row>
    <row r="71" spans="1:10" x14ac:dyDescent="0.25">
      <c r="A71" s="778" t="s">
        <v>953</v>
      </c>
      <c r="B71" s="1076">
        <f>IFERROR(IF(AND(H4=1,H8=2),IF(B68&lt;=80%,100%,MAX(100%,B68*Inflation_Factor/TNLR)),0),Refer)</f>
        <v>0</v>
      </c>
      <c r="C71" s="522"/>
      <c r="D71" s="522"/>
    </row>
    <row r="72" spans="1:10" x14ac:dyDescent="0.25">
      <c r="A72" s="460" t="str">
        <f>"Final Per Member Expiring Rate "&amp;D24</f>
        <v>Final Per Member Expiring Rate 2024 - 2025</v>
      </c>
      <c r="B72" s="780">
        <f>IF(B70=0,B69,B70)</f>
        <v>0</v>
      </c>
      <c r="C72" s="433"/>
      <c r="D72" s="433"/>
    </row>
    <row r="73" spans="1:10" x14ac:dyDescent="0.25">
      <c r="B73" s="562" t="s">
        <v>1235</v>
      </c>
      <c r="C73" s="867" t="s">
        <v>1236</v>
      </c>
      <c r="D73" s="433"/>
    </row>
    <row r="74" spans="1:10" x14ac:dyDescent="0.25">
      <c r="A74" s="521" t="str">
        <f>"Renewal Rate Per Member "&amp;E24</f>
        <v>Renewal Rate Per Member 2025 - 2026</v>
      </c>
      <c r="B74" s="781">
        <f>IFERROR(IF(AND($H$8=2,$H$4=1),B72*B71,0),Refer)</f>
        <v>0</v>
      </c>
      <c r="C74" s="781">
        <f>IFERROR($B$74*J86,Refer)</f>
        <v>0</v>
      </c>
      <c r="D74" s="1078" t="s">
        <v>1241</v>
      </c>
    </row>
    <row r="75" spans="1:10" x14ac:dyDescent="0.25">
      <c r="A75" s="521" t="s">
        <v>784</v>
      </c>
      <c r="B75" s="781">
        <f>IF(AND(H4=1,H8=2),n_lives,0)</f>
        <v>0</v>
      </c>
      <c r="D75" s="433"/>
    </row>
    <row r="76" spans="1:10" x14ac:dyDescent="0.25">
      <c r="A76" s="521" t="str">
        <f>"Renewal Rate for All Members "&amp;E24</f>
        <v>Renewal Rate for All Members 2025 - 2026</v>
      </c>
      <c r="B76" s="781">
        <f>IFERROR(B74*B75,Refer)</f>
        <v>0</v>
      </c>
      <c r="C76" s="433"/>
      <c r="D76" s="433"/>
    </row>
    <row r="77" spans="1:10" x14ac:dyDescent="0.25">
      <c r="A77" s="467" t="s">
        <v>1240</v>
      </c>
      <c r="B77" s="781" t="str">
        <f>IF(AND(Claims_Data=1,Scheme_Type=2),IF(AND(No_of_Category=1,'Benefit Selection - Group'!B113&gt;0,'Benefit Selection - Group'!B114&gt;0),"Ok",IF(AND(No_of_Category=2,'Benefit Selection - Group'!B113&gt;0,'Benefit Selection - Group'!B114&gt;0,'Benefit Selection - Group'!C113&gt;0,'Benefit Selection - Group'!C114&gt;0),"Ok",IF(AND(No_of_Category=3,'Benefit Selection - Group'!B113&gt;0,'Benefit Selection - Group'!B114&gt;0,'Benefit Selection - Group'!C113&gt;0,'Benefit Selection - Group'!C114&gt;0,'Benefit Selection - Group'!D113&gt;0,'Benefit Selection - Group'!D114&gt;0),"Ok",IF(AND(No_of_Category=4,'Benefit Selection - Group'!B113&gt;0,'Benefit Selection - Group'!B114&gt;0,'Benefit Selection - Group'!C113&gt;0,'Benefit Selection - Group'!C114&gt;0,'Benefit Selection - Group'!D113&gt;0,'Benefit Selection - Group'!D114&gt;0,'Benefit Selection - Group'!E113&gt;0,'Benefit Selection - Group'!E114&gt;0),"Ok",IF(AND(No_of_Category=5,'Benefit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Group'!F114&gt;0),"Ok",IF(AND(No_of_Category=6,'Benefit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Group'!F114&gt;0,'Benefit Selection - Group'!G113&gt;0,'Benefit Selection - Group'!G114&gt;0),"Ok",IF(AND(No_of_Category=7,'Benefit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Group'!F114&gt;0,'Benefit Selection - Group'!G113&gt;0,'Benefit Selection - Group'!G114&gt;0,'Benefit Selection - Group'!H113&gt;0,'Benefit Selection - Group'!H114&gt;0),"Ok",IF(AND(No_of_Category=8,'Benefit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Group'!F114&gt;0,'Benefit Selection - Group'!G113&gt;0,'Benefit Selection - Group'!G114&gt;0,'Benefit Selection - Group'!H113&gt;0,'Benefit Selection - Group'!H114&gt;0,'Benefit Selection - Group'!I113&gt;0,'Benefit Selection - Group'!I114&gt;0),"Ok",Refer)))))))),"Ok")</f>
        <v>Ok</v>
      </c>
      <c r="C77" s="1077" t="s">
        <v>1241</v>
      </c>
      <c r="D77" s="523"/>
    </row>
    <row r="78" spans="1:10" x14ac:dyDescent="0.25">
      <c r="A78" s="1067" t="str">
        <f>'Benefit Selection - Group'!A112</f>
        <v/>
      </c>
      <c r="B78" s="456" t="str">
        <f>'Benefit Selection - Group'!B112</f>
        <v/>
      </c>
      <c r="C78" s="456" t="str">
        <f>'Benefit Selection - Group'!C112</f>
        <v/>
      </c>
      <c r="D78" s="456" t="str">
        <f>'Benefit Selection - Group'!D112</f>
        <v/>
      </c>
      <c r="E78" s="456" t="str">
        <f>'Benefit Selection - Group'!E112</f>
        <v/>
      </c>
      <c r="F78" s="456" t="str">
        <f>'Benefit Selection - Group'!F112</f>
        <v/>
      </c>
      <c r="G78" s="456" t="str">
        <f>'Benefit Selection - Group'!G112</f>
        <v/>
      </c>
      <c r="H78" s="456" t="str">
        <f>'Benefit Selection - Group'!H112</f>
        <v/>
      </c>
      <c r="I78" s="456" t="str">
        <f>'Benefit Selection - Group'!I112</f>
        <v/>
      </c>
    </row>
    <row r="79" spans="1:10" x14ac:dyDescent="0.25">
      <c r="A79" s="1066" t="s">
        <v>1228</v>
      </c>
      <c r="B79" s="1070" t="str">
        <f>IF(B78="","",'Benefit Selection - Group'!B113)</f>
        <v/>
      </c>
      <c r="C79" s="1070" t="str">
        <f>IF(C78="","",'Benefit Selection - Group'!C113)</f>
        <v/>
      </c>
      <c r="D79" s="1070" t="str">
        <f>IF(D78="","",'Benefit Selection - Group'!D113)</f>
        <v/>
      </c>
      <c r="E79" s="1070" t="str">
        <f>IF(E78="","",'Benefit Selection - Group'!E113)</f>
        <v/>
      </c>
      <c r="F79" s="1070" t="str">
        <f>IF(F78="","",'Benefit Selection - Group'!F113)</f>
        <v/>
      </c>
      <c r="G79" s="1070" t="str">
        <f>IF(G78="","",'Benefit Selection - Group'!G113)</f>
        <v/>
      </c>
      <c r="H79" s="1070" t="str">
        <f>IF(H78="","",'Benefit Selection - Group'!H113)</f>
        <v/>
      </c>
      <c r="I79" s="1070" t="str">
        <f>IF(I78="","",'Benefit Selection - Group'!I113)</f>
        <v/>
      </c>
    </row>
    <row r="80" spans="1:10" x14ac:dyDescent="0.25">
      <c r="A80" s="1066" t="s">
        <v>1229</v>
      </c>
      <c r="B80" s="1070" t="str">
        <f>IF(B78="","",'Benefit Selection - Group'!B114)</f>
        <v/>
      </c>
      <c r="C80" s="1070" t="str">
        <f>IF(C78="","",'Benefit Selection - Group'!C114)</f>
        <v/>
      </c>
      <c r="D80" s="1070" t="str">
        <f>IF(D78="","",'Benefit Selection - Group'!D114)</f>
        <v/>
      </c>
      <c r="E80" s="1070" t="str">
        <f>IF(E78="","",'Benefit Selection - Group'!E114)</f>
        <v/>
      </c>
      <c r="F80" s="1070" t="str">
        <f>IF(F78="","",'Benefit Selection - Group'!F114)</f>
        <v/>
      </c>
      <c r="G80" s="1070" t="str">
        <f>IF(G78="","",'Benefit Selection - Group'!G114)</f>
        <v/>
      </c>
      <c r="H80" s="1070" t="str">
        <f>IF(H78="","",'Benefit Selection - Group'!H114)</f>
        <v/>
      </c>
      <c r="I80" s="1070" t="str">
        <f>IF(I78="","",'Benefit Selection - Group'!I114)</f>
        <v/>
      </c>
    </row>
    <row r="82" spans="1:12" x14ac:dyDescent="0.25">
      <c r="A82" s="467" t="s">
        <v>1230</v>
      </c>
      <c r="J82" s="788" t="s">
        <v>250</v>
      </c>
    </row>
    <row r="83" spans="1:12" x14ac:dyDescent="0.25">
      <c r="A83" s="1066" t="s">
        <v>1231</v>
      </c>
      <c r="B83" s="1070" t="str">
        <f>IF(B78="","",B79*B90)</f>
        <v/>
      </c>
      <c r="C83" s="1070" t="str">
        <f t="shared" ref="C83:I83" si="10">IF(C78="","",C79*C90)</f>
        <v/>
      </c>
      <c r="D83" s="1070" t="str">
        <f t="shared" si="10"/>
        <v/>
      </c>
      <c r="E83" s="1070" t="str">
        <f t="shared" si="10"/>
        <v/>
      </c>
      <c r="F83" s="1070" t="str">
        <f t="shared" si="10"/>
        <v/>
      </c>
      <c r="G83" s="1070" t="str">
        <f t="shared" si="10"/>
        <v/>
      </c>
      <c r="H83" s="1070" t="str">
        <f t="shared" si="10"/>
        <v/>
      </c>
      <c r="I83" s="1070" t="str">
        <f t="shared" si="10"/>
        <v/>
      </c>
      <c r="J83" s="1074">
        <f>SUM(B83:I83)</f>
        <v>0</v>
      </c>
    </row>
    <row r="84" spans="1:12" x14ac:dyDescent="0.25">
      <c r="A84" s="1066" t="s">
        <v>1232</v>
      </c>
      <c r="B84" s="1070" t="str">
        <f>IF(B78="","",B80*B91)</f>
        <v/>
      </c>
      <c r="C84" s="1070" t="str">
        <f t="shared" ref="C84:I84" si="11">IF(C78="","",C80*C91)</f>
        <v/>
      </c>
      <c r="D84" s="1070" t="str">
        <f t="shared" si="11"/>
        <v/>
      </c>
      <c r="E84" s="1070" t="str">
        <f t="shared" si="11"/>
        <v/>
      </c>
      <c r="F84" s="1070" t="str">
        <f t="shared" si="11"/>
        <v/>
      </c>
      <c r="G84" s="1070" t="str">
        <f t="shared" si="11"/>
        <v/>
      </c>
      <c r="H84" s="1070" t="str">
        <f t="shared" si="11"/>
        <v/>
      </c>
      <c r="I84" s="1070" t="str">
        <f t="shared" si="11"/>
        <v/>
      </c>
      <c r="J84" s="1074">
        <f>SUM(B84:I84)</f>
        <v>0</v>
      </c>
    </row>
    <row r="85" spans="1:12" x14ac:dyDescent="0.25">
      <c r="J85" s="1074">
        <f>SUM(J83:J84)</f>
        <v>0</v>
      </c>
    </row>
    <row r="86" spans="1:12" x14ac:dyDescent="0.25">
      <c r="A86" s="1066" t="s">
        <v>1233</v>
      </c>
      <c r="B86" s="1071" t="str">
        <f>IF(B78="","",B83/$J$83)</f>
        <v/>
      </c>
      <c r="C86" s="1071" t="str">
        <f t="shared" ref="C86:I86" si="12">IF(C78="","",C83/$J$83)</f>
        <v/>
      </c>
      <c r="D86" s="1071" t="str">
        <f t="shared" si="12"/>
        <v/>
      </c>
      <c r="E86" s="1071" t="str">
        <f t="shared" si="12"/>
        <v/>
      </c>
      <c r="F86" s="1071" t="str">
        <f t="shared" si="12"/>
        <v/>
      </c>
      <c r="G86" s="1071" t="str">
        <f t="shared" si="12"/>
        <v/>
      </c>
      <c r="H86" s="1071" t="str">
        <f t="shared" si="12"/>
        <v/>
      </c>
      <c r="I86" s="1071" t="str">
        <f t="shared" si="12"/>
        <v/>
      </c>
      <c r="J86" s="1075">
        <f>IFERROR(J83/SUM(J83:J84),1)</f>
        <v>1</v>
      </c>
    </row>
    <row r="87" spans="1:12" x14ac:dyDescent="0.25">
      <c r="A87" s="1066" t="s">
        <v>1234</v>
      </c>
      <c r="B87" s="1071" t="str">
        <f>IF(B78="","",B84/$J$84)</f>
        <v/>
      </c>
      <c r="C87" s="1071" t="str">
        <f t="shared" ref="C87:I87" si="13">IF(C78="","",C84/$J$84)</f>
        <v/>
      </c>
      <c r="D87" s="1071" t="str">
        <f t="shared" si="13"/>
        <v/>
      </c>
      <c r="E87" s="1071" t="str">
        <f t="shared" si="13"/>
        <v/>
      </c>
      <c r="F87" s="1071" t="str">
        <f t="shared" si="13"/>
        <v/>
      </c>
      <c r="G87" s="1071" t="str">
        <f t="shared" si="13"/>
        <v/>
      </c>
      <c r="H87" s="1071" t="str">
        <f t="shared" si="13"/>
        <v/>
      </c>
      <c r="I87" s="1071" t="str">
        <f t="shared" si="13"/>
        <v/>
      </c>
      <c r="J87" s="1075">
        <f>1-J86</f>
        <v>0</v>
      </c>
    </row>
    <row r="88" spans="1:12" x14ac:dyDescent="0.25">
      <c r="A88" s="467" t="s">
        <v>1237</v>
      </c>
    </row>
    <row r="89" spans="1:12" x14ac:dyDescent="0.25">
      <c r="A89" s="1067" t="str">
        <f>IF(AND('Experience Rating'!$H$4=1,'Experience Rating'!$H$8=2),"EXPIRING CATEGORY WISE FLAT RATE - "&amp;'Experience Rating'!$E$24,"")</f>
        <v/>
      </c>
      <c r="B89" s="456" t="str">
        <f>B78</f>
        <v/>
      </c>
      <c r="C89" s="456" t="str">
        <f t="shared" ref="C89:I89" si="14">C78</f>
        <v/>
      </c>
      <c r="D89" s="456" t="str">
        <f t="shared" si="14"/>
        <v/>
      </c>
      <c r="E89" s="456" t="str">
        <f t="shared" si="14"/>
        <v/>
      </c>
      <c r="F89" s="456" t="str">
        <f t="shared" si="14"/>
        <v/>
      </c>
      <c r="G89" s="456" t="str">
        <f t="shared" si="14"/>
        <v/>
      </c>
      <c r="H89" s="456" t="str">
        <f t="shared" si="14"/>
        <v/>
      </c>
      <c r="I89" s="456" t="str">
        <f t="shared" si="14"/>
        <v/>
      </c>
      <c r="J89" s="788" t="s">
        <v>250</v>
      </c>
    </row>
    <row r="90" spans="1:12" x14ac:dyDescent="0.25">
      <c r="A90" s="463" t="str">
        <f>"ACTIVE MEMBER OF "&amp;E24</f>
        <v>ACTIVE MEMBER OF 2025 - 2026</v>
      </c>
      <c r="B90" s="1072" t="str">
        <f>IF(B89="","",B41)</f>
        <v/>
      </c>
      <c r="C90" s="1072" t="str">
        <f t="shared" ref="C90:I90" si="15">IF(C89="","",C41)</f>
        <v/>
      </c>
      <c r="D90" s="1072" t="str">
        <f t="shared" si="15"/>
        <v/>
      </c>
      <c r="E90" s="1072" t="str">
        <f t="shared" si="15"/>
        <v/>
      </c>
      <c r="F90" s="1072" t="str">
        <f t="shared" si="15"/>
        <v/>
      </c>
      <c r="G90" s="1072" t="str">
        <f t="shared" si="15"/>
        <v/>
      </c>
      <c r="H90" s="1072" t="str">
        <f t="shared" si="15"/>
        <v/>
      </c>
      <c r="I90" s="1072" t="str">
        <f t="shared" si="15"/>
        <v/>
      </c>
      <c r="J90" s="1072">
        <f>SUM(B90:I90)</f>
        <v>0</v>
      </c>
    </row>
    <row r="91" spans="1:12" x14ac:dyDescent="0.25">
      <c r="A91" s="463" t="str">
        <f>"MATERNITY ELIGIBLE FEMALE "&amp;E24</f>
        <v>MATERNITY ELIGIBLE FEMALE 2025 - 2026</v>
      </c>
      <c r="B91" s="1072" t="str">
        <f>IF(B89="","",B60)</f>
        <v/>
      </c>
      <c r="C91" s="1072" t="str">
        <f t="shared" ref="C91:I91" si="16">IF(C89="","",C60)</f>
        <v/>
      </c>
      <c r="D91" s="1072" t="str">
        <f t="shared" si="16"/>
        <v/>
      </c>
      <c r="E91" s="1072" t="str">
        <f t="shared" si="16"/>
        <v/>
      </c>
      <c r="F91" s="1072" t="str">
        <f t="shared" si="16"/>
        <v/>
      </c>
      <c r="G91" s="1072" t="str">
        <f t="shared" si="16"/>
        <v/>
      </c>
      <c r="H91" s="1072" t="str">
        <f t="shared" si="16"/>
        <v/>
      </c>
      <c r="I91" s="1072" t="str">
        <f t="shared" si="16"/>
        <v/>
      </c>
      <c r="J91" s="1072">
        <f>SUM(B91:I91)</f>
        <v>0</v>
      </c>
    </row>
    <row r="92" spans="1:12" x14ac:dyDescent="0.25">
      <c r="A92" s="1066" t="s">
        <v>1228</v>
      </c>
      <c r="B92" s="1070" t="str">
        <f>IF(B89="","",IFERROR(ROUND(B94/B90,0),0))</f>
        <v/>
      </c>
      <c r="C92" s="1070" t="str">
        <f t="shared" ref="C92:I92" si="17">IF(C89="","",IFERROR(ROUND(C94/C90,0),0))</f>
        <v/>
      </c>
      <c r="D92" s="1070" t="str">
        <f t="shared" si="17"/>
        <v/>
      </c>
      <c r="E92" s="1070" t="str">
        <f t="shared" si="17"/>
        <v/>
      </c>
      <c r="F92" s="1070" t="str">
        <f t="shared" si="17"/>
        <v/>
      </c>
      <c r="G92" s="1070" t="str">
        <f t="shared" si="17"/>
        <v/>
      </c>
      <c r="H92" s="1070" t="str">
        <f t="shared" si="17"/>
        <v/>
      </c>
      <c r="I92" s="1070" t="str">
        <f t="shared" si="17"/>
        <v/>
      </c>
      <c r="J92" s="1073">
        <f t="shared" ref="J92" si="18">IFERROR(ROUND(J94/J90,0),0)</f>
        <v>0</v>
      </c>
      <c r="K92" s="1069">
        <f>J90*J92</f>
        <v>0</v>
      </c>
    </row>
    <row r="93" spans="1:12" x14ac:dyDescent="0.25">
      <c r="A93" s="1066" t="s">
        <v>1229</v>
      </c>
      <c r="B93" s="1070" t="str">
        <f>IF(B89="","",IF(B91=0,IFERROR('Age Banded Rating'!C209,0),IFERROR(ROUND(B95/B91,0),0)))</f>
        <v/>
      </c>
      <c r="C93" s="1070" t="str">
        <f>IF(C89="","",IF(C91=0,IFERROR('Age Banded Rating'!D209,0),IFERROR(ROUND(C95/C91,0),0)))</f>
        <v/>
      </c>
      <c r="D93" s="1070" t="str">
        <f>IF(D89="","",IF(D91=0,IFERROR('Age Banded Rating'!E209,0),IFERROR(ROUND(D95/D91,0),0)))</f>
        <v/>
      </c>
      <c r="E93" s="1070" t="str">
        <f>IF(E89="","",IF(E91=0,IFERROR('Age Banded Rating'!F209,0),IFERROR(ROUND(E95/E91,0),0)))</f>
        <v/>
      </c>
      <c r="F93" s="1070" t="str">
        <f>IF(F89="","",IF(F91=0,IFERROR('Age Banded Rating'!G209,0),IFERROR(ROUND(F95/F91,0),0)))</f>
        <v/>
      </c>
      <c r="G93" s="1070" t="str">
        <f>IF(G89="","",IF(G91=0,IFERROR('Age Banded Rating'!H209,0),IFERROR(ROUND(G95/G91,0),0)))</f>
        <v/>
      </c>
      <c r="H93" s="1070" t="str">
        <f>IF(H89="","",IF(H91=0,IFERROR('Age Banded Rating'!I209,0),IFERROR(ROUND(H95/H91,0),0)))</f>
        <v/>
      </c>
      <c r="I93" s="1070" t="str">
        <f>IF(I89="","",IF(I91=0,IFERROR('Age Banded Rating'!J209,0),IFERROR(ROUND(I95/I91,0),0)))</f>
        <v/>
      </c>
      <c r="J93" s="1073">
        <f>IFERROR(ROUND(J95/J91,0),0)</f>
        <v>0</v>
      </c>
      <c r="K93" s="1069">
        <f>J91*J93</f>
        <v>0</v>
      </c>
    </row>
    <row r="94" spans="1:12" x14ac:dyDescent="0.25">
      <c r="A94" s="1068" t="s">
        <v>1231</v>
      </c>
      <c r="B94" s="1070" t="str">
        <f>IF(B89="","",$B$76*B86*$J$86)</f>
        <v/>
      </c>
      <c r="C94" s="1070" t="str">
        <f t="shared" ref="C94:I94" si="19">IF(C89="","",$B$76*C86*$J$86)</f>
        <v/>
      </c>
      <c r="D94" s="1070" t="str">
        <f t="shared" si="19"/>
        <v/>
      </c>
      <c r="E94" s="1070" t="str">
        <f t="shared" si="19"/>
        <v/>
      </c>
      <c r="F94" s="1070" t="str">
        <f t="shared" si="19"/>
        <v/>
      </c>
      <c r="G94" s="1070" t="str">
        <f t="shared" si="19"/>
        <v/>
      </c>
      <c r="H94" s="1070" t="str">
        <f t="shared" si="19"/>
        <v/>
      </c>
      <c r="I94" s="1070" t="str">
        <f t="shared" si="19"/>
        <v/>
      </c>
      <c r="J94" s="1074">
        <f>SUM(B94:I94)</f>
        <v>0</v>
      </c>
      <c r="K94" s="1069">
        <f>K92+K93</f>
        <v>0</v>
      </c>
      <c r="L94" s="1069">
        <f>K94-B76</f>
        <v>0</v>
      </c>
    </row>
    <row r="95" spans="1:12" x14ac:dyDescent="0.25">
      <c r="A95" s="1068" t="s">
        <v>1232</v>
      </c>
      <c r="B95" s="1070" t="str">
        <f>IF(B89="","",$B$76*B87*$J$87)</f>
        <v/>
      </c>
      <c r="C95" s="1070" t="str">
        <f t="shared" ref="C95:I95" si="20">IF(C89="","",$B$76*C87*$J$87)</f>
        <v/>
      </c>
      <c r="D95" s="1070" t="str">
        <f t="shared" si="20"/>
        <v/>
      </c>
      <c r="E95" s="1070" t="str">
        <f t="shared" si="20"/>
        <v/>
      </c>
      <c r="F95" s="1070" t="str">
        <f t="shared" si="20"/>
        <v/>
      </c>
      <c r="G95" s="1070" t="str">
        <f t="shared" si="20"/>
        <v/>
      </c>
      <c r="H95" s="1070" t="str">
        <f t="shared" si="20"/>
        <v/>
      </c>
      <c r="I95" s="1070" t="str">
        <f t="shared" si="20"/>
        <v/>
      </c>
      <c r="J95" s="1074">
        <f>SUM(B95:I95)</f>
        <v>0</v>
      </c>
      <c r="K95" s="1069">
        <f>SUM(J94:J95)</f>
        <v>0</v>
      </c>
      <c r="L95" s="1069">
        <f>K95-B76</f>
        <v>0</v>
      </c>
    </row>
  </sheetData>
  <sheetProtection algorithmName="SHA-512" hashValue="xD/easm9yho/eUCFEFReRtNnNuOndBLUsxfBZhi6TRGfRmU0mZGutlEni8hOvitfbdPYNZYk8h6I+Ymp8imipQ==" saltValue="JDkH04Io27OtJMl3BW3+qQ==" spinCount="100000" sheet="1" objects="1" scenarios="1"/>
  <dataValidations count="2">
    <dataValidation type="whole" operator="greaterThanOrEqual" allowBlank="1" showInputMessage="1" showErrorMessage="1" errorTitle="Input Error" error="Value must be a whole number and greater than or equal to 0." sqref="B83:I84" xr:uid="{08C0CAD5-D164-469C-9AC5-FEF88A86E25E}">
      <formula1>0</formula1>
    </dataValidation>
    <dataValidation operator="greaterThanOrEqual" allowBlank="1" showInputMessage="1" showErrorMessage="1" errorTitle="Input Error" error="Value must be a whole number and greater than or equal to 0." sqref="B90:I95 J92:J93 B79:I80" xr:uid="{4274585A-523D-4CC4-A8DE-863670AE282D}"/>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53" r:id="rId4" name="Drop Down 121">
              <controlPr defaultSize="0" autoLine="0" autoPict="0">
                <anchor moveWithCells="1">
                  <from>
                    <xdr:col>3</xdr:col>
                    <xdr:colOff>9525</xdr:colOff>
                    <xdr:row>2</xdr:row>
                    <xdr:rowOff>9525</xdr:rowOff>
                  </from>
                  <to>
                    <xdr:col>3</xdr:col>
                    <xdr:colOff>866775</xdr:colOff>
                    <xdr:row>3</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2:R49"/>
  <sheetViews>
    <sheetView topLeftCell="A20" zoomScale="70" zoomScaleNormal="70" workbookViewId="0">
      <selection activeCell="K47" sqref="K47"/>
    </sheetView>
  </sheetViews>
  <sheetFormatPr defaultColWidth="9.140625" defaultRowHeight="15" x14ac:dyDescent="0.25"/>
  <cols>
    <col min="2" max="2" width="13.140625" bestFit="1" customWidth="1"/>
    <col min="3" max="3" width="30.7109375" bestFit="1" customWidth="1"/>
    <col min="4" max="4" width="34.42578125" bestFit="1" customWidth="1"/>
    <col min="5" max="5" width="18" bestFit="1" customWidth="1"/>
  </cols>
  <sheetData>
    <row r="2" spans="2:18" ht="16.5" thickBot="1" x14ac:dyDescent="0.3">
      <c r="B2" s="170" t="s">
        <v>205</v>
      </c>
      <c r="C2" s="171"/>
      <c r="D2" s="171"/>
      <c r="E2" s="171"/>
      <c r="F2" s="171"/>
      <c r="G2" s="171"/>
      <c r="H2" s="171"/>
      <c r="I2" s="171"/>
      <c r="J2" s="171"/>
      <c r="K2" s="171"/>
      <c r="L2" s="171"/>
      <c r="M2" s="171"/>
      <c r="N2" s="171"/>
      <c r="O2" s="171"/>
      <c r="P2" s="171"/>
      <c r="Q2" s="171"/>
      <c r="R2" s="171"/>
    </row>
    <row r="3" spans="2:18" ht="16.5" thickBot="1" x14ac:dyDescent="0.3">
      <c r="B3" s="171"/>
      <c r="C3" s="172" t="s">
        <v>206</v>
      </c>
      <c r="D3" s="173" t="s">
        <v>207</v>
      </c>
      <c r="E3" s="174"/>
      <c r="F3" s="175">
        <v>0</v>
      </c>
      <c r="G3" s="176">
        <v>1</v>
      </c>
      <c r="H3" s="176">
        <v>2</v>
      </c>
      <c r="I3" s="176">
        <v>3</v>
      </c>
      <c r="J3" s="176">
        <v>4</v>
      </c>
      <c r="K3" s="176">
        <v>5</v>
      </c>
      <c r="L3" s="176">
        <v>6</v>
      </c>
      <c r="M3" s="176">
        <v>7</v>
      </c>
      <c r="N3" s="176">
        <v>8</v>
      </c>
      <c r="O3" s="176">
        <v>9</v>
      </c>
      <c r="P3" s="176">
        <v>10</v>
      </c>
      <c r="Q3" s="176">
        <v>11</v>
      </c>
      <c r="R3" s="176">
        <v>12</v>
      </c>
    </row>
    <row r="4" spans="2:18" ht="15.75" x14ac:dyDescent="0.25">
      <c r="B4" s="177" t="s">
        <v>208</v>
      </c>
      <c r="C4" s="178">
        <v>1</v>
      </c>
      <c r="D4" s="179">
        <v>1</v>
      </c>
      <c r="E4" s="180"/>
      <c r="F4" s="129">
        <v>0</v>
      </c>
      <c r="G4" s="130">
        <v>0</v>
      </c>
      <c r="H4" s="130">
        <v>0</v>
      </c>
      <c r="I4" s="130">
        <v>0</v>
      </c>
      <c r="J4" s="130">
        <v>0</v>
      </c>
      <c r="K4" s="130">
        <v>0</v>
      </c>
      <c r="L4" s="130">
        <v>0</v>
      </c>
      <c r="M4" s="131">
        <v>1</v>
      </c>
      <c r="N4" s="131">
        <v>1</v>
      </c>
      <c r="O4" s="131">
        <v>1</v>
      </c>
      <c r="P4" s="131">
        <v>1</v>
      </c>
      <c r="Q4" s="131">
        <v>1</v>
      </c>
      <c r="R4" s="132">
        <v>1</v>
      </c>
    </row>
    <row r="5" spans="2:18" ht="15.75" x14ac:dyDescent="0.25">
      <c r="B5" s="177" t="s">
        <v>208</v>
      </c>
      <c r="C5" s="181">
        <v>1</v>
      </c>
      <c r="D5" s="182">
        <v>2</v>
      </c>
      <c r="E5" s="183"/>
      <c r="F5" s="133">
        <v>0</v>
      </c>
      <c r="G5" s="134">
        <v>0</v>
      </c>
      <c r="H5" s="134">
        <v>0</v>
      </c>
      <c r="I5" s="134">
        <v>0</v>
      </c>
      <c r="J5" s="134">
        <v>0</v>
      </c>
      <c r="K5" s="134">
        <v>0</v>
      </c>
      <c r="L5" s="134">
        <v>0</v>
      </c>
      <c r="M5" s="134">
        <v>0</v>
      </c>
      <c r="N5" s="134">
        <v>0</v>
      </c>
      <c r="O5" s="134">
        <v>0</v>
      </c>
      <c r="P5" s="134">
        <v>0</v>
      </c>
      <c r="Q5" s="134">
        <v>0</v>
      </c>
      <c r="R5" s="135">
        <v>0</v>
      </c>
    </row>
    <row r="6" spans="2:18" ht="16.5" thickBot="1" x14ac:dyDescent="0.3">
      <c r="B6" s="177" t="s">
        <v>208</v>
      </c>
      <c r="C6" s="184">
        <v>1</v>
      </c>
      <c r="D6" s="185">
        <v>3</v>
      </c>
      <c r="E6" s="186"/>
      <c r="F6" s="136">
        <v>0</v>
      </c>
      <c r="G6" s="137">
        <v>0</v>
      </c>
      <c r="H6" s="137">
        <v>0</v>
      </c>
      <c r="I6" s="137">
        <v>0</v>
      </c>
      <c r="J6" s="137">
        <v>0</v>
      </c>
      <c r="K6" s="137">
        <v>0</v>
      </c>
      <c r="L6" s="137">
        <v>0</v>
      </c>
      <c r="M6" s="137">
        <v>0</v>
      </c>
      <c r="N6" s="137">
        <v>0</v>
      </c>
      <c r="O6" s="137">
        <v>0</v>
      </c>
      <c r="P6" s="137">
        <v>0</v>
      </c>
      <c r="Q6" s="137">
        <v>0</v>
      </c>
      <c r="R6" s="138">
        <v>0</v>
      </c>
    </row>
    <row r="7" spans="2:18" ht="15.75" x14ac:dyDescent="0.25">
      <c r="B7" s="177" t="s">
        <v>208</v>
      </c>
      <c r="C7" s="178">
        <v>2</v>
      </c>
      <c r="D7" s="179">
        <v>1</v>
      </c>
      <c r="E7" s="180"/>
      <c r="F7" s="129">
        <v>0</v>
      </c>
      <c r="G7" s="130">
        <v>0</v>
      </c>
      <c r="H7" s="130">
        <v>0</v>
      </c>
      <c r="I7" s="130">
        <v>0</v>
      </c>
      <c r="J7" s="130">
        <v>0</v>
      </c>
      <c r="K7" s="130">
        <v>0</v>
      </c>
      <c r="L7" s="130">
        <v>0</v>
      </c>
      <c r="M7" s="139">
        <v>5.6689342403628114E-2</v>
      </c>
      <c r="N7" s="139">
        <v>8.8577097505668945E-2</v>
      </c>
      <c r="O7" s="139">
        <v>0.12755102040816327</v>
      </c>
      <c r="P7" s="139">
        <v>0.17361111111111116</v>
      </c>
      <c r="Q7" s="139">
        <v>0.22675736961451246</v>
      </c>
      <c r="R7" s="140">
        <v>0.28698979591836737</v>
      </c>
    </row>
    <row r="8" spans="2:18" ht="15.75" x14ac:dyDescent="0.25">
      <c r="B8" s="177" t="s">
        <v>208</v>
      </c>
      <c r="C8" s="181">
        <v>2</v>
      </c>
      <c r="D8" s="182">
        <v>2</v>
      </c>
      <c r="E8" s="183"/>
      <c r="F8" s="141">
        <v>0.30612244897959184</v>
      </c>
      <c r="G8" s="141">
        <v>0.30612244897959184</v>
      </c>
      <c r="H8" s="141">
        <v>0.30612244897959184</v>
      </c>
      <c r="I8" s="141">
        <v>0.30612244897959184</v>
      </c>
      <c r="J8" s="141">
        <v>0.30612244897959184</v>
      </c>
      <c r="K8" s="141">
        <v>0.30612244897959184</v>
      </c>
      <c r="L8" s="141">
        <v>0.30612244897959184</v>
      </c>
      <c r="M8" s="141">
        <v>0.30612244897959184</v>
      </c>
      <c r="N8" s="141">
        <v>0.30612244897959184</v>
      </c>
      <c r="O8" s="141">
        <v>0.30612244897959184</v>
      </c>
      <c r="P8" s="141">
        <v>0.30612244897959184</v>
      </c>
      <c r="Q8" s="141">
        <v>0.30612244897959184</v>
      </c>
      <c r="R8" s="141">
        <v>0.30612244897959184</v>
      </c>
    </row>
    <row r="9" spans="2:18" ht="16.5" thickBot="1" x14ac:dyDescent="0.3">
      <c r="B9" s="177" t="s">
        <v>208</v>
      </c>
      <c r="C9" s="184">
        <v>2</v>
      </c>
      <c r="D9" s="185">
        <v>3</v>
      </c>
      <c r="E9" s="186"/>
      <c r="F9" s="136">
        <v>0</v>
      </c>
      <c r="G9" s="137">
        <v>0</v>
      </c>
      <c r="H9" s="137">
        <v>0</v>
      </c>
      <c r="I9" s="137">
        <v>0</v>
      </c>
      <c r="J9" s="137">
        <v>0</v>
      </c>
      <c r="K9" s="137">
        <v>0</v>
      </c>
      <c r="L9" s="137">
        <v>0</v>
      </c>
      <c r="M9" s="137">
        <v>0</v>
      </c>
      <c r="N9" s="137">
        <v>0</v>
      </c>
      <c r="O9" s="137">
        <v>0</v>
      </c>
      <c r="P9" s="137">
        <v>0</v>
      </c>
      <c r="Q9" s="137">
        <v>0</v>
      </c>
      <c r="R9" s="138">
        <v>0</v>
      </c>
    </row>
    <row r="10" spans="2:18" ht="15.75" x14ac:dyDescent="0.25">
      <c r="B10" s="177" t="s">
        <v>208</v>
      </c>
      <c r="C10" s="178">
        <v>3</v>
      </c>
      <c r="D10" s="179">
        <v>1</v>
      </c>
      <c r="E10" s="180"/>
      <c r="F10" s="129">
        <v>0</v>
      </c>
      <c r="G10" s="130">
        <v>0</v>
      </c>
      <c r="H10" s="130">
        <v>0</v>
      </c>
      <c r="I10" s="130">
        <v>0</v>
      </c>
      <c r="J10" s="130">
        <v>0</v>
      </c>
      <c r="K10" s="130">
        <v>0</v>
      </c>
      <c r="L10" s="130">
        <v>0</v>
      </c>
      <c r="M10" s="139">
        <v>5.6689342403628114E-2</v>
      </c>
      <c r="N10" s="139">
        <v>8.8577097505668945E-2</v>
      </c>
      <c r="O10" s="139">
        <v>0.12755102040816327</v>
      </c>
      <c r="P10" s="139">
        <v>0.17361111111111116</v>
      </c>
      <c r="Q10" s="139">
        <v>0.22675736961451246</v>
      </c>
      <c r="R10" s="140">
        <v>0.28698979591836737</v>
      </c>
    </row>
    <row r="11" spans="2:18" ht="15.75" x14ac:dyDescent="0.25">
      <c r="B11" s="177" t="s">
        <v>208</v>
      </c>
      <c r="C11" s="181">
        <v>3</v>
      </c>
      <c r="D11" s="182">
        <v>2</v>
      </c>
      <c r="E11" s="183"/>
      <c r="F11" s="142">
        <v>0.30612244897959184</v>
      </c>
      <c r="G11" s="142">
        <v>0.30612244897959184</v>
      </c>
      <c r="H11" s="142">
        <v>0.30612244897959184</v>
      </c>
      <c r="I11" s="142">
        <v>0.30612244897959184</v>
      </c>
      <c r="J11" s="142">
        <v>0.30612244897959184</v>
      </c>
      <c r="K11" s="142">
        <v>0.30612244897959184</v>
      </c>
      <c r="L11" s="142">
        <v>0.30612244897959184</v>
      </c>
      <c r="M11" s="142">
        <v>0.30612244897959184</v>
      </c>
      <c r="N11" s="142">
        <v>0.30612244897959184</v>
      </c>
      <c r="O11" s="142">
        <v>0.30612244897959184</v>
      </c>
      <c r="P11" s="142">
        <v>0.30612244897959184</v>
      </c>
      <c r="Q11" s="142">
        <v>0.30612244897959184</v>
      </c>
      <c r="R11" s="143">
        <v>0.30612244897959184</v>
      </c>
    </row>
    <row r="12" spans="2:18" ht="16.5" thickBot="1" x14ac:dyDescent="0.3">
      <c r="B12" s="177" t="s">
        <v>208</v>
      </c>
      <c r="C12" s="184">
        <v>3</v>
      </c>
      <c r="D12" s="185">
        <v>3</v>
      </c>
      <c r="E12" s="186"/>
      <c r="F12" s="144">
        <v>0.18367346938775511</v>
      </c>
      <c r="G12" s="145">
        <v>0.18367346938775511</v>
      </c>
      <c r="H12" s="145">
        <v>0.18367346938775511</v>
      </c>
      <c r="I12" s="145">
        <v>0.18367346938775511</v>
      </c>
      <c r="J12" s="145">
        <v>0.18367346938775511</v>
      </c>
      <c r="K12" s="145">
        <v>0.18367346938775511</v>
      </c>
      <c r="L12" s="145">
        <v>0.18367346938775511</v>
      </c>
      <c r="M12" s="145">
        <v>0.18367346938775511</v>
      </c>
      <c r="N12" s="145">
        <v>0.18367346938775511</v>
      </c>
      <c r="O12" s="145">
        <v>0.18367346938775511</v>
      </c>
      <c r="P12" s="145">
        <v>0.18367346938775511</v>
      </c>
      <c r="Q12" s="145">
        <v>0.18367346938775511</v>
      </c>
      <c r="R12" s="146">
        <v>0.18367346938775511</v>
      </c>
    </row>
    <row r="13" spans="2:18" ht="15.75" x14ac:dyDescent="0.25">
      <c r="B13" s="187" t="s">
        <v>209</v>
      </c>
      <c r="C13" s="188">
        <v>1</v>
      </c>
      <c r="D13" s="189">
        <v>1</v>
      </c>
      <c r="E13" s="190"/>
      <c r="F13" s="129">
        <v>0</v>
      </c>
      <c r="G13" s="130">
        <v>0</v>
      </c>
      <c r="H13" s="130">
        <v>0</v>
      </c>
      <c r="I13" s="130">
        <v>0</v>
      </c>
      <c r="J13" s="130">
        <v>0</v>
      </c>
      <c r="K13" s="130">
        <v>0</v>
      </c>
      <c r="L13" s="130">
        <v>0</v>
      </c>
      <c r="M13" s="131">
        <v>1</v>
      </c>
      <c r="N13" s="131">
        <v>1</v>
      </c>
      <c r="O13" s="131">
        <v>1</v>
      </c>
      <c r="P13" s="131">
        <v>1</v>
      </c>
      <c r="Q13" s="131">
        <v>1</v>
      </c>
      <c r="R13" s="132">
        <v>1</v>
      </c>
    </row>
    <row r="14" spans="2:18" ht="15.75" x14ac:dyDescent="0.25">
      <c r="B14" s="187" t="s">
        <v>209</v>
      </c>
      <c r="C14" s="191">
        <v>1</v>
      </c>
      <c r="D14" s="192">
        <v>2</v>
      </c>
      <c r="E14" s="193"/>
      <c r="F14" s="133">
        <v>0</v>
      </c>
      <c r="G14" s="134">
        <v>0</v>
      </c>
      <c r="H14" s="134">
        <v>0</v>
      </c>
      <c r="I14" s="134">
        <v>0</v>
      </c>
      <c r="J14" s="134">
        <v>0</v>
      </c>
      <c r="K14" s="134">
        <v>0</v>
      </c>
      <c r="L14" s="134">
        <v>0</v>
      </c>
      <c r="M14" s="134">
        <v>0</v>
      </c>
      <c r="N14" s="134">
        <v>0</v>
      </c>
      <c r="O14" s="134">
        <v>0</v>
      </c>
      <c r="P14" s="134">
        <v>0</v>
      </c>
      <c r="Q14" s="134">
        <v>0</v>
      </c>
      <c r="R14" s="135">
        <v>0</v>
      </c>
    </row>
    <row r="15" spans="2:18" ht="16.5" thickBot="1" x14ac:dyDescent="0.3">
      <c r="B15" s="187" t="s">
        <v>209</v>
      </c>
      <c r="C15" s="194">
        <v>1</v>
      </c>
      <c r="D15" s="195">
        <v>3</v>
      </c>
      <c r="E15" s="196"/>
      <c r="F15" s="136">
        <v>0</v>
      </c>
      <c r="G15" s="137">
        <v>0</v>
      </c>
      <c r="H15" s="137">
        <v>0</v>
      </c>
      <c r="I15" s="137">
        <v>0</v>
      </c>
      <c r="J15" s="137">
        <v>0</v>
      </c>
      <c r="K15" s="137">
        <v>0</v>
      </c>
      <c r="L15" s="137">
        <v>0</v>
      </c>
      <c r="M15" s="137">
        <v>0</v>
      </c>
      <c r="N15" s="137">
        <v>0</v>
      </c>
      <c r="O15" s="137">
        <v>0</v>
      </c>
      <c r="P15" s="137">
        <v>0</v>
      </c>
      <c r="Q15" s="137">
        <v>0</v>
      </c>
      <c r="R15" s="138">
        <v>0</v>
      </c>
    </row>
    <row r="16" spans="2:18" ht="15.75" x14ac:dyDescent="0.25">
      <c r="B16" s="187" t="s">
        <v>209</v>
      </c>
      <c r="C16" s="188">
        <v>2</v>
      </c>
      <c r="D16" s="189">
        <v>1</v>
      </c>
      <c r="E16" s="190"/>
      <c r="F16" s="129">
        <v>0</v>
      </c>
      <c r="G16" s="130">
        <v>0</v>
      </c>
      <c r="H16" s="130">
        <v>0</v>
      </c>
      <c r="I16" s="130">
        <v>0</v>
      </c>
      <c r="J16" s="130">
        <v>0</v>
      </c>
      <c r="K16" s="130">
        <v>0</v>
      </c>
      <c r="L16" s="130">
        <v>0</v>
      </c>
      <c r="M16" s="147">
        <v>0.11310409580498869</v>
      </c>
      <c r="N16" s="147">
        <v>0.15668402777777779</v>
      </c>
      <c r="O16" s="147">
        <v>0.20735012755102039</v>
      </c>
      <c r="P16" s="147">
        <v>0.26510239512471656</v>
      </c>
      <c r="Q16" s="147">
        <v>0.32994083049886624</v>
      </c>
      <c r="R16" s="148">
        <v>0.40186543367346939</v>
      </c>
    </row>
    <row r="17" spans="1:18" ht="15.75" x14ac:dyDescent="0.25">
      <c r="B17" s="187" t="s">
        <v>209</v>
      </c>
      <c r="C17" s="191">
        <v>2</v>
      </c>
      <c r="D17" s="192">
        <v>2</v>
      </c>
      <c r="E17" s="193"/>
      <c r="F17" s="142">
        <v>0.30612244897959184</v>
      </c>
      <c r="G17" s="142">
        <v>0.30612244897959184</v>
      </c>
      <c r="H17" s="142">
        <v>0.30612244897959184</v>
      </c>
      <c r="I17" s="142">
        <v>0.30612244897959184</v>
      </c>
      <c r="J17" s="142">
        <v>0.30612244897959184</v>
      </c>
      <c r="K17" s="142">
        <v>0.30612244897959184</v>
      </c>
      <c r="L17" s="142">
        <v>0.30612244897959184</v>
      </c>
      <c r="M17" s="142">
        <v>0.30612244897959184</v>
      </c>
      <c r="N17" s="142">
        <v>0.30612244897959184</v>
      </c>
      <c r="O17" s="142">
        <v>0.30612244897959184</v>
      </c>
      <c r="P17" s="142">
        <v>0.30612244897959184</v>
      </c>
      <c r="Q17" s="142">
        <v>0.30612244897959184</v>
      </c>
      <c r="R17" s="142">
        <v>0.30612244897959184</v>
      </c>
    </row>
    <row r="18" spans="1:18" ht="16.5" thickBot="1" x14ac:dyDescent="0.3">
      <c r="B18" s="187" t="s">
        <v>209</v>
      </c>
      <c r="C18" s="194">
        <v>2</v>
      </c>
      <c r="D18" s="195">
        <v>3</v>
      </c>
      <c r="E18" s="196"/>
      <c r="F18" s="136">
        <v>0</v>
      </c>
      <c r="G18" s="137">
        <v>0</v>
      </c>
      <c r="H18" s="137">
        <v>0</v>
      </c>
      <c r="I18" s="137">
        <v>0</v>
      </c>
      <c r="J18" s="137">
        <v>0</v>
      </c>
      <c r="K18" s="137">
        <v>0</v>
      </c>
      <c r="L18" s="137">
        <v>0</v>
      </c>
      <c r="M18" s="137">
        <v>0</v>
      </c>
      <c r="N18" s="137">
        <v>0</v>
      </c>
      <c r="O18" s="137">
        <v>0</v>
      </c>
      <c r="P18" s="137">
        <v>0</v>
      </c>
      <c r="Q18" s="137">
        <v>0</v>
      </c>
      <c r="R18" s="138">
        <v>0</v>
      </c>
    </row>
    <row r="19" spans="1:18" ht="15.75" x14ac:dyDescent="0.25">
      <c r="B19" s="187" t="s">
        <v>209</v>
      </c>
      <c r="C19" s="188">
        <v>3</v>
      </c>
      <c r="D19" s="189">
        <v>1</v>
      </c>
      <c r="E19" s="190"/>
      <c r="F19" s="129">
        <v>0</v>
      </c>
      <c r="G19" s="130">
        <v>0</v>
      </c>
      <c r="H19" s="130">
        <v>0</v>
      </c>
      <c r="I19" s="130">
        <v>0</v>
      </c>
      <c r="J19" s="130">
        <v>0</v>
      </c>
      <c r="K19" s="130">
        <v>0</v>
      </c>
      <c r="L19" s="130">
        <v>0</v>
      </c>
      <c r="M19" s="147">
        <v>0.11310409580498869</v>
      </c>
      <c r="N19" s="147">
        <v>0.15668402777777779</v>
      </c>
      <c r="O19" s="147">
        <v>0.20735012755102039</v>
      </c>
      <c r="P19" s="147">
        <v>0.26510239512471656</v>
      </c>
      <c r="Q19" s="147">
        <v>0.32994083049886624</v>
      </c>
      <c r="R19" s="148">
        <v>0.40186543367346939</v>
      </c>
    </row>
    <row r="20" spans="1:18" ht="15.75" x14ac:dyDescent="0.25">
      <c r="B20" s="187" t="s">
        <v>209</v>
      </c>
      <c r="C20" s="191">
        <v>3</v>
      </c>
      <c r="D20" s="192">
        <v>2</v>
      </c>
      <c r="E20" s="193"/>
      <c r="F20" s="142">
        <v>0.30612244897959184</v>
      </c>
      <c r="G20" s="142">
        <v>0.30612244897959184</v>
      </c>
      <c r="H20" s="142">
        <v>0.30612244897959184</v>
      </c>
      <c r="I20" s="142">
        <v>0.30612244897959184</v>
      </c>
      <c r="J20" s="142">
        <v>0.30612244897959184</v>
      </c>
      <c r="K20" s="142">
        <v>0.30612244897959184</v>
      </c>
      <c r="L20" s="142">
        <v>0.30612244897959184</v>
      </c>
      <c r="M20" s="142">
        <v>0.30612244897959184</v>
      </c>
      <c r="N20" s="142">
        <v>0.30612244897959184</v>
      </c>
      <c r="O20" s="142">
        <v>0.30612244897959184</v>
      </c>
      <c r="P20" s="142">
        <v>0.30612244897959184</v>
      </c>
      <c r="Q20" s="142">
        <v>0.30612244897959184</v>
      </c>
      <c r="R20" s="143">
        <v>0.30612244897959184</v>
      </c>
    </row>
    <row r="21" spans="1:18" ht="16.5" thickBot="1" x14ac:dyDescent="0.3">
      <c r="B21" s="187" t="s">
        <v>209</v>
      </c>
      <c r="C21" s="194">
        <v>3</v>
      </c>
      <c r="D21" s="195">
        <v>3</v>
      </c>
      <c r="E21" s="196"/>
      <c r="F21" s="149">
        <v>0.18367346938775511</v>
      </c>
      <c r="G21" s="150">
        <v>0.18367346938775511</v>
      </c>
      <c r="H21" s="150">
        <v>0.18367346938775511</v>
      </c>
      <c r="I21" s="150">
        <v>0.18367346938775511</v>
      </c>
      <c r="J21" s="150">
        <v>0.18367346938775511</v>
      </c>
      <c r="K21" s="150">
        <v>0.18367346938775511</v>
      </c>
      <c r="L21" s="150">
        <v>0.18367346938775511</v>
      </c>
      <c r="M21" s="150">
        <v>0.18367346938775511</v>
      </c>
      <c r="N21" s="150">
        <v>0.18367346938775511</v>
      </c>
      <c r="O21" s="150">
        <v>0.18367346938775511</v>
      </c>
      <c r="P21" s="150">
        <v>0.18367346938775511</v>
      </c>
      <c r="Q21" s="150">
        <v>0.18367346938775511</v>
      </c>
      <c r="R21" s="151">
        <v>0.18367346938775511</v>
      </c>
    </row>
    <row r="22" spans="1:18" ht="15.75" x14ac:dyDescent="0.25">
      <c r="B22" s="171"/>
      <c r="C22" s="171"/>
      <c r="D22" s="171"/>
      <c r="E22" s="171"/>
      <c r="F22" s="171"/>
      <c r="G22" s="171"/>
      <c r="H22" s="171"/>
      <c r="I22" s="171"/>
      <c r="J22" s="171"/>
      <c r="K22" s="171"/>
      <c r="L22" s="171"/>
      <c r="M22" s="171"/>
      <c r="N22" s="171"/>
      <c r="O22" s="171"/>
      <c r="P22" s="171"/>
      <c r="Q22" s="171"/>
      <c r="R22" s="171"/>
    </row>
    <row r="23" spans="1:18" ht="16.5" thickBot="1" x14ac:dyDescent="0.3">
      <c r="B23" s="170" t="s">
        <v>210</v>
      </c>
      <c r="C23" s="171"/>
      <c r="D23" s="171"/>
      <c r="E23" s="171"/>
      <c r="F23" s="171"/>
      <c r="G23" s="171"/>
      <c r="H23" s="171"/>
      <c r="I23" s="171"/>
      <c r="J23" s="171"/>
      <c r="K23" s="171"/>
      <c r="L23" s="171"/>
      <c r="M23" s="171"/>
      <c r="N23" s="171"/>
      <c r="O23" s="171"/>
      <c r="P23" s="171"/>
      <c r="Q23" s="171"/>
      <c r="R23" s="171"/>
    </row>
    <row r="24" spans="1:18" ht="16.5" thickBot="1" x14ac:dyDescent="0.3">
      <c r="B24" s="197" t="s">
        <v>211</v>
      </c>
      <c r="C24" s="197" t="s">
        <v>206</v>
      </c>
      <c r="D24" s="198" t="s">
        <v>207</v>
      </c>
      <c r="E24" s="198" t="s">
        <v>212</v>
      </c>
      <c r="F24" s="199">
        <v>0</v>
      </c>
      <c r="G24" s="200">
        <v>1</v>
      </c>
      <c r="H24" s="200">
        <v>2</v>
      </c>
      <c r="I24" s="200">
        <v>3</v>
      </c>
      <c r="J24" s="200">
        <v>4</v>
      </c>
      <c r="K24" s="200">
        <v>5</v>
      </c>
      <c r="L24" s="200">
        <v>6</v>
      </c>
      <c r="M24" s="200">
        <v>7</v>
      </c>
      <c r="N24" s="200">
        <v>8</v>
      </c>
      <c r="O24" s="200">
        <v>9</v>
      </c>
      <c r="P24" s="200">
        <v>10</v>
      </c>
      <c r="Q24" s="200">
        <v>11</v>
      </c>
      <c r="R24" s="200">
        <v>12</v>
      </c>
    </row>
    <row r="25" spans="1:18" ht="15.75" x14ac:dyDescent="0.25">
      <c r="A25" s="201" t="s">
        <v>216</v>
      </c>
      <c r="B25" s="202" t="s">
        <v>208</v>
      </c>
      <c r="C25" s="203">
        <v>1</v>
      </c>
      <c r="D25" s="204">
        <v>1</v>
      </c>
      <c r="E25" s="205" t="s">
        <v>213</v>
      </c>
      <c r="F25" s="152">
        <f t="shared" ref="F25:L25" si="0">IF(SUM(F4:F6)=0,0,F4/SUM(F4:F6))</f>
        <v>0</v>
      </c>
      <c r="G25" s="153">
        <f t="shared" si="0"/>
        <v>0</v>
      </c>
      <c r="H25" s="153">
        <f t="shared" si="0"/>
        <v>0</v>
      </c>
      <c r="I25" s="153">
        <f t="shared" si="0"/>
        <v>0</v>
      </c>
      <c r="J25" s="153">
        <f t="shared" si="0"/>
        <v>0</v>
      </c>
      <c r="K25" s="153">
        <f t="shared" si="0"/>
        <v>0</v>
      </c>
      <c r="L25" s="153">
        <f t="shared" si="0"/>
        <v>0</v>
      </c>
      <c r="M25" s="153">
        <f>IF(SUM(M4:M6)=0,0,M4/SUM(M4:M6))</f>
        <v>1</v>
      </c>
      <c r="N25" s="153">
        <f t="shared" ref="N25:R25" si="1">IF(SUM(N4:N6)=0,0,N4/SUM(N4:N6))</f>
        <v>1</v>
      </c>
      <c r="O25" s="153">
        <f t="shared" si="1"/>
        <v>1</v>
      </c>
      <c r="P25" s="153">
        <f t="shared" si="1"/>
        <v>1</v>
      </c>
      <c r="Q25" s="153">
        <f t="shared" si="1"/>
        <v>1</v>
      </c>
      <c r="R25" s="154">
        <f t="shared" si="1"/>
        <v>1</v>
      </c>
    </row>
    <row r="26" spans="1:18" ht="15.75" x14ac:dyDescent="0.25">
      <c r="A26" s="201" t="s">
        <v>217</v>
      </c>
      <c r="B26" s="206" t="s">
        <v>208</v>
      </c>
      <c r="C26" s="207">
        <v>1</v>
      </c>
      <c r="D26" s="208">
        <v>2</v>
      </c>
      <c r="E26" s="209" t="s">
        <v>214</v>
      </c>
      <c r="F26" s="155">
        <f t="shared" ref="F26:L26" si="2">IF(SUM(F4:F6)=0,0,F5/SUM(F4:F6))</f>
        <v>0</v>
      </c>
      <c r="G26" s="156">
        <f t="shared" si="2"/>
        <v>0</v>
      </c>
      <c r="H26" s="156">
        <f t="shared" si="2"/>
        <v>0</v>
      </c>
      <c r="I26" s="156">
        <f t="shared" si="2"/>
        <v>0</v>
      </c>
      <c r="J26" s="156">
        <f t="shared" si="2"/>
        <v>0</v>
      </c>
      <c r="K26" s="156">
        <f t="shared" si="2"/>
        <v>0</v>
      </c>
      <c r="L26" s="156">
        <f t="shared" si="2"/>
        <v>0</v>
      </c>
      <c r="M26" s="156">
        <f>IF(SUM(M4:M6)=0,0,M5/SUM(M4:M6))</f>
        <v>0</v>
      </c>
      <c r="N26" s="156">
        <f t="shared" ref="N26:R26" si="3">IF(SUM(N4:N6)=0,0,N5/SUM(N4:N6))</f>
        <v>0</v>
      </c>
      <c r="O26" s="156">
        <f t="shared" si="3"/>
        <v>0</v>
      </c>
      <c r="P26" s="156">
        <f t="shared" si="3"/>
        <v>0</v>
      </c>
      <c r="Q26" s="156">
        <f t="shared" si="3"/>
        <v>0</v>
      </c>
      <c r="R26" s="157">
        <f t="shared" si="3"/>
        <v>0</v>
      </c>
    </row>
    <row r="27" spans="1:18" ht="16.5" thickBot="1" x14ac:dyDescent="0.3">
      <c r="A27" s="201" t="s">
        <v>218</v>
      </c>
      <c r="B27" s="210" t="s">
        <v>208</v>
      </c>
      <c r="C27" s="211">
        <v>1</v>
      </c>
      <c r="D27" s="212">
        <v>3</v>
      </c>
      <c r="E27" s="213" t="s">
        <v>215</v>
      </c>
      <c r="F27" s="158">
        <f t="shared" ref="F27:L27" si="4">IF(SUM(F4:F6)=0,0,F6/SUM(F4:F6))</f>
        <v>0</v>
      </c>
      <c r="G27" s="159">
        <f t="shared" si="4"/>
        <v>0</v>
      </c>
      <c r="H27" s="159">
        <f t="shared" si="4"/>
        <v>0</v>
      </c>
      <c r="I27" s="159">
        <f t="shared" si="4"/>
        <v>0</v>
      </c>
      <c r="J27" s="159">
        <f t="shared" si="4"/>
        <v>0</v>
      </c>
      <c r="K27" s="159">
        <f t="shared" si="4"/>
        <v>0</v>
      </c>
      <c r="L27" s="159">
        <f t="shared" si="4"/>
        <v>0</v>
      </c>
      <c r="M27" s="159">
        <f>IF(SUM(M4:M6)=0,0,M6/SUM(M4:M6))</f>
        <v>0</v>
      </c>
      <c r="N27" s="159">
        <f t="shared" ref="N27:R27" si="5">IF(SUM(N4:N6)=0,0,N6/SUM(N4:N6))</f>
        <v>0</v>
      </c>
      <c r="O27" s="159">
        <f t="shared" si="5"/>
        <v>0</v>
      </c>
      <c r="P27" s="159">
        <f t="shared" si="5"/>
        <v>0</v>
      </c>
      <c r="Q27" s="159">
        <f t="shared" si="5"/>
        <v>0</v>
      </c>
      <c r="R27" s="160">
        <f t="shared" si="5"/>
        <v>0</v>
      </c>
    </row>
    <row r="28" spans="1:18" ht="15.75" x14ac:dyDescent="0.25">
      <c r="A28" s="201" t="s">
        <v>219</v>
      </c>
      <c r="B28" s="202" t="s">
        <v>208</v>
      </c>
      <c r="C28" s="203">
        <v>2</v>
      </c>
      <c r="D28" s="204">
        <v>1</v>
      </c>
      <c r="E28" s="205" t="s">
        <v>213</v>
      </c>
      <c r="F28" s="161">
        <f t="shared" ref="F28:L28" si="6">IF(SUM(F7:F9)=0,0,F7/SUM(F7:F9))</f>
        <v>0</v>
      </c>
      <c r="G28" s="162">
        <f t="shared" si="6"/>
        <v>0</v>
      </c>
      <c r="H28" s="162">
        <f t="shared" si="6"/>
        <v>0</v>
      </c>
      <c r="I28" s="162">
        <f t="shared" si="6"/>
        <v>0</v>
      </c>
      <c r="J28" s="162">
        <f t="shared" si="6"/>
        <v>0</v>
      </c>
      <c r="K28" s="162">
        <f t="shared" si="6"/>
        <v>0</v>
      </c>
      <c r="L28" s="162">
        <f t="shared" si="6"/>
        <v>0</v>
      </c>
      <c r="M28" s="162">
        <f>IF(SUM(M7:M9)=0,0,M7/SUM(M7:M9))</f>
        <v>0.15625</v>
      </c>
      <c r="N28" s="162">
        <f t="shared" ref="N28:R28" si="7">IF(SUM(N7:N9)=0,0,N7/SUM(N7:N9))</f>
        <v>0.22441651705565532</v>
      </c>
      <c r="O28" s="162">
        <f t="shared" si="7"/>
        <v>0.29411764705882354</v>
      </c>
      <c r="P28" s="162">
        <f t="shared" si="7"/>
        <v>0.36189069423929104</v>
      </c>
      <c r="Q28" s="162">
        <f t="shared" si="7"/>
        <v>0.42553191489361702</v>
      </c>
      <c r="R28" s="163">
        <f t="shared" si="7"/>
        <v>0.4838709677419355</v>
      </c>
    </row>
    <row r="29" spans="1:18" ht="15.75" x14ac:dyDescent="0.25">
      <c r="A29" s="201" t="s">
        <v>220</v>
      </c>
      <c r="B29" s="206" t="s">
        <v>208</v>
      </c>
      <c r="C29" s="207">
        <v>2</v>
      </c>
      <c r="D29" s="208">
        <v>2</v>
      </c>
      <c r="E29" s="209" t="s">
        <v>214</v>
      </c>
      <c r="F29" s="164">
        <f t="shared" ref="F29:L29" si="8">IF(SUM(F7:F9)=0,0,F8/SUM(F7:F9))</f>
        <v>1</v>
      </c>
      <c r="G29" s="165">
        <f t="shared" si="8"/>
        <v>1</v>
      </c>
      <c r="H29" s="165">
        <f t="shared" si="8"/>
        <v>1</v>
      </c>
      <c r="I29" s="165">
        <f t="shared" si="8"/>
        <v>1</v>
      </c>
      <c r="J29" s="165">
        <f t="shared" si="8"/>
        <v>1</v>
      </c>
      <c r="K29" s="165">
        <f t="shared" si="8"/>
        <v>1</v>
      </c>
      <c r="L29" s="165">
        <f t="shared" si="8"/>
        <v>1</v>
      </c>
      <c r="M29" s="165">
        <f>IF(SUM(M7:M9)=0,0,M8/SUM(M7:M9))</f>
        <v>0.84375</v>
      </c>
      <c r="N29" s="165">
        <f t="shared" ref="N29:R29" si="9">IF(SUM(N7:N9)=0,0,N8/SUM(N7:N9))</f>
        <v>0.77558348294434465</v>
      </c>
      <c r="O29" s="165">
        <f t="shared" si="9"/>
        <v>0.70588235294117652</v>
      </c>
      <c r="P29" s="165">
        <f t="shared" si="9"/>
        <v>0.6381093057607089</v>
      </c>
      <c r="Q29" s="165">
        <f t="shared" si="9"/>
        <v>0.57446808510638303</v>
      </c>
      <c r="R29" s="166">
        <f t="shared" si="9"/>
        <v>0.5161290322580645</v>
      </c>
    </row>
    <row r="30" spans="1:18" ht="16.5" thickBot="1" x14ac:dyDescent="0.3">
      <c r="A30" s="201" t="s">
        <v>221</v>
      </c>
      <c r="B30" s="210" t="s">
        <v>208</v>
      </c>
      <c r="C30" s="211">
        <v>2</v>
      </c>
      <c r="D30" s="212">
        <v>3</v>
      </c>
      <c r="E30" s="213" t="s">
        <v>215</v>
      </c>
      <c r="F30" s="167">
        <f t="shared" ref="F30:L30" si="10">IF(SUM(F7:F9)=0,0,F9/SUM(F7:F9))</f>
        <v>0</v>
      </c>
      <c r="G30" s="168">
        <f t="shared" si="10"/>
        <v>0</v>
      </c>
      <c r="H30" s="168">
        <f t="shared" si="10"/>
        <v>0</v>
      </c>
      <c r="I30" s="168">
        <f t="shared" si="10"/>
        <v>0</v>
      </c>
      <c r="J30" s="168">
        <f t="shared" si="10"/>
        <v>0</v>
      </c>
      <c r="K30" s="168">
        <f t="shared" si="10"/>
        <v>0</v>
      </c>
      <c r="L30" s="168">
        <f t="shared" si="10"/>
        <v>0</v>
      </c>
      <c r="M30" s="168">
        <f>IF(SUM(M7:M9)=0,0,M9/SUM(M7:M9))</f>
        <v>0</v>
      </c>
      <c r="N30" s="168">
        <f t="shared" ref="N30:R30" si="11">IF(SUM(N7:N9)=0,0,N9/SUM(N7:N9))</f>
        <v>0</v>
      </c>
      <c r="O30" s="168">
        <f t="shared" si="11"/>
        <v>0</v>
      </c>
      <c r="P30" s="168">
        <f t="shared" si="11"/>
        <v>0</v>
      </c>
      <c r="Q30" s="168">
        <f t="shared" si="11"/>
        <v>0</v>
      </c>
      <c r="R30" s="169">
        <f t="shared" si="11"/>
        <v>0</v>
      </c>
    </row>
    <row r="31" spans="1:18" ht="15.75" x14ac:dyDescent="0.25">
      <c r="A31" s="201" t="s">
        <v>222</v>
      </c>
      <c r="B31" s="202" t="s">
        <v>208</v>
      </c>
      <c r="C31" s="203">
        <v>3</v>
      </c>
      <c r="D31" s="204">
        <v>1</v>
      </c>
      <c r="E31" s="205" t="s">
        <v>213</v>
      </c>
      <c r="F31" s="152">
        <f t="shared" ref="F31:L31" si="12">IF(SUM(F10:F12)=0,0,F10/SUM(F10:F12))</f>
        <v>0</v>
      </c>
      <c r="G31" s="153">
        <f t="shared" si="12"/>
        <v>0</v>
      </c>
      <c r="H31" s="153">
        <f t="shared" si="12"/>
        <v>0</v>
      </c>
      <c r="I31" s="153">
        <f t="shared" si="12"/>
        <v>0</v>
      </c>
      <c r="J31" s="153">
        <f t="shared" si="12"/>
        <v>0</v>
      </c>
      <c r="K31" s="153">
        <f t="shared" si="12"/>
        <v>0</v>
      </c>
      <c r="L31" s="153">
        <f t="shared" si="12"/>
        <v>0</v>
      </c>
      <c r="M31" s="153">
        <f>IF(SUM(M10:M12)=0,0,M10/SUM(M10:M12))</f>
        <v>0.10373443983402489</v>
      </c>
      <c r="N31" s="153">
        <f t="shared" ref="N31:R31" si="13">IF(SUM(N10:N12)=0,0,N10/SUM(N10:N12))</f>
        <v>0.15314873805439844</v>
      </c>
      <c r="O31" s="153">
        <f t="shared" si="13"/>
        <v>0.20661157024793389</v>
      </c>
      <c r="P31" s="153">
        <f t="shared" si="13"/>
        <v>0.26169621875667598</v>
      </c>
      <c r="Q31" s="153">
        <f t="shared" si="13"/>
        <v>0.31645569620253167</v>
      </c>
      <c r="R31" s="154">
        <f t="shared" si="13"/>
        <v>0.36945812807881778</v>
      </c>
    </row>
    <row r="32" spans="1:18" ht="15.75" x14ac:dyDescent="0.25">
      <c r="A32" s="201" t="s">
        <v>223</v>
      </c>
      <c r="B32" s="206" t="s">
        <v>208</v>
      </c>
      <c r="C32" s="207">
        <v>3</v>
      </c>
      <c r="D32" s="208">
        <v>2</v>
      </c>
      <c r="E32" s="209" t="s">
        <v>214</v>
      </c>
      <c r="F32" s="155">
        <f t="shared" ref="F32:L32" si="14">IF(SUM(F10:F12)=0,0,F11/SUM(F10:F12))</f>
        <v>0.625</v>
      </c>
      <c r="G32" s="156">
        <f t="shared" si="14"/>
        <v>0.625</v>
      </c>
      <c r="H32" s="156">
        <f t="shared" si="14"/>
        <v>0.625</v>
      </c>
      <c r="I32" s="156">
        <f t="shared" si="14"/>
        <v>0.625</v>
      </c>
      <c r="J32" s="156">
        <f t="shared" si="14"/>
        <v>0.625</v>
      </c>
      <c r="K32" s="156">
        <f t="shared" si="14"/>
        <v>0.625</v>
      </c>
      <c r="L32" s="156">
        <f t="shared" si="14"/>
        <v>0.625</v>
      </c>
      <c r="M32" s="156">
        <f>IF(SUM(M10:M12)=0,0,M11/SUM(M10:M12))</f>
        <v>0.56016597510373445</v>
      </c>
      <c r="N32" s="156">
        <f t="shared" ref="N32:R32" si="15">IF(SUM(N10:N12)=0,0,N11/SUM(N10:N12))</f>
        <v>0.52928203871600099</v>
      </c>
      <c r="O32" s="156">
        <f t="shared" si="15"/>
        <v>0.49586776859504134</v>
      </c>
      <c r="P32" s="156">
        <f t="shared" si="15"/>
        <v>0.46143986327707753</v>
      </c>
      <c r="Q32" s="156">
        <f t="shared" si="15"/>
        <v>0.42721518987341778</v>
      </c>
      <c r="R32" s="157">
        <f t="shared" si="15"/>
        <v>0.39408866995073893</v>
      </c>
    </row>
    <row r="33" spans="1:18" ht="16.5" thickBot="1" x14ac:dyDescent="0.3">
      <c r="A33" s="201" t="s">
        <v>224</v>
      </c>
      <c r="B33" s="210" t="s">
        <v>208</v>
      </c>
      <c r="C33" s="211">
        <v>3</v>
      </c>
      <c r="D33" s="212">
        <v>3</v>
      </c>
      <c r="E33" s="213" t="s">
        <v>215</v>
      </c>
      <c r="F33" s="158">
        <f t="shared" ref="F33:L33" si="16">IF(SUM(F10:F12)=0,0,F12/SUM(F10:F12))</f>
        <v>0.37500000000000006</v>
      </c>
      <c r="G33" s="159">
        <f t="shared" si="16"/>
        <v>0.37500000000000006</v>
      </c>
      <c r="H33" s="159">
        <f t="shared" si="16"/>
        <v>0.37500000000000006</v>
      </c>
      <c r="I33" s="159">
        <f t="shared" si="16"/>
        <v>0.37500000000000006</v>
      </c>
      <c r="J33" s="159">
        <f t="shared" si="16"/>
        <v>0.37500000000000006</v>
      </c>
      <c r="K33" s="159">
        <f t="shared" si="16"/>
        <v>0.37500000000000006</v>
      </c>
      <c r="L33" s="159">
        <f t="shared" si="16"/>
        <v>0.37500000000000006</v>
      </c>
      <c r="M33" s="159">
        <f>IF(SUM(M10:M12)=0,0,M12/SUM(M10:M12))</f>
        <v>0.33609958506224069</v>
      </c>
      <c r="N33" s="159">
        <f t="shared" ref="N33:R33" si="17">IF(SUM(N10:N12)=0,0,N12/SUM(N10:N12))</f>
        <v>0.31756922322960057</v>
      </c>
      <c r="O33" s="159">
        <f t="shared" si="17"/>
        <v>0.2975206611570248</v>
      </c>
      <c r="P33" s="159">
        <f t="shared" si="17"/>
        <v>0.27686391796624654</v>
      </c>
      <c r="Q33" s="159">
        <f t="shared" si="17"/>
        <v>0.25632911392405067</v>
      </c>
      <c r="R33" s="160">
        <f t="shared" si="17"/>
        <v>0.23645320197044337</v>
      </c>
    </row>
    <row r="34" spans="1:18" ht="15.75" x14ac:dyDescent="0.25">
      <c r="A34" s="201" t="s">
        <v>225</v>
      </c>
      <c r="B34" s="202" t="s">
        <v>209</v>
      </c>
      <c r="C34" s="203">
        <v>1</v>
      </c>
      <c r="D34" s="204">
        <v>1</v>
      </c>
      <c r="E34" s="205" t="s">
        <v>213</v>
      </c>
      <c r="F34" s="161">
        <f t="shared" ref="F34:L34" si="18">IF(SUM(F13:F15)=0,0,F13/SUM(F13:F15))</f>
        <v>0</v>
      </c>
      <c r="G34" s="162">
        <f t="shared" si="18"/>
        <v>0</v>
      </c>
      <c r="H34" s="162">
        <f t="shared" si="18"/>
        <v>0</v>
      </c>
      <c r="I34" s="162">
        <f t="shared" si="18"/>
        <v>0</v>
      </c>
      <c r="J34" s="162">
        <f t="shared" si="18"/>
        <v>0</v>
      </c>
      <c r="K34" s="162">
        <f t="shared" si="18"/>
        <v>0</v>
      </c>
      <c r="L34" s="162">
        <f t="shared" si="18"/>
        <v>0</v>
      </c>
      <c r="M34" s="162">
        <f>IF(SUM(M13:M15)=0,0,M13/SUM(M13:M15))</f>
        <v>1</v>
      </c>
      <c r="N34" s="162">
        <f t="shared" ref="N34:R34" si="19">IF(SUM(N13:N15)=0,0,N13/SUM(N13:N15))</f>
        <v>1</v>
      </c>
      <c r="O34" s="162">
        <f t="shared" si="19"/>
        <v>1</v>
      </c>
      <c r="P34" s="162">
        <f t="shared" si="19"/>
        <v>1</v>
      </c>
      <c r="Q34" s="162">
        <f t="shared" si="19"/>
        <v>1</v>
      </c>
      <c r="R34" s="163">
        <f t="shared" si="19"/>
        <v>1</v>
      </c>
    </row>
    <row r="35" spans="1:18" ht="15.75" x14ac:dyDescent="0.25">
      <c r="A35" s="201" t="s">
        <v>226</v>
      </c>
      <c r="B35" s="206" t="s">
        <v>209</v>
      </c>
      <c r="C35" s="207">
        <v>1</v>
      </c>
      <c r="D35" s="208">
        <v>2</v>
      </c>
      <c r="E35" s="209" t="s">
        <v>214</v>
      </c>
      <c r="F35" s="164">
        <f t="shared" ref="F35:L35" si="20">IF(SUM(F13:F15)=0,0,F14/SUM(F13:F15))</f>
        <v>0</v>
      </c>
      <c r="G35" s="165">
        <f t="shared" si="20"/>
        <v>0</v>
      </c>
      <c r="H35" s="165">
        <f t="shared" si="20"/>
        <v>0</v>
      </c>
      <c r="I35" s="165">
        <f t="shared" si="20"/>
        <v>0</v>
      </c>
      <c r="J35" s="165">
        <f t="shared" si="20"/>
        <v>0</v>
      </c>
      <c r="K35" s="165">
        <f t="shared" si="20"/>
        <v>0</v>
      </c>
      <c r="L35" s="165">
        <f t="shared" si="20"/>
        <v>0</v>
      </c>
      <c r="M35" s="165">
        <f>IF(SUM(M13:M15)=0,0,M14/SUM(M13:M15))</f>
        <v>0</v>
      </c>
      <c r="N35" s="165">
        <f t="shared" ref="N35:R35" si="21">IF(SUM(N13:N15)=0,0,N14/SUM(N13:N15))</f>
        <v>0</v>
      </c>
      <c r="O35" s="165">
        <f t="shared" si="21"/>
        <v>0</v>
      </c>
      <c r="P35" s="165">
        <f t="shared" si="21"/>
        <v>0</v>
      </c>
      <c r="Q35" s="165">
        <f t="shared" si="21"/>
        <v>0</v>
      </c>
      <c r="R35" s="166">
        <f t="shared" si="21"/>
        <v>0</v>
      </c>
    </row>
    <row r="36" spans="1:18" ht="16.5" thickBot="1" x14ac:dyDescent="0.3">
      <c r="A36" s="201" t="s">
        <v>227</v>
      </c>
      <c r="B36" s="210" t="s">
        <v>209</v>
      </c>
      <c r="C36" s="211">
        <v>1</v>
      </c>
      <c r="D36" s="212">
        <v>3</v>
      </c>
      <c r="E36" s="213" t="s">
        <v>215</v>
      </c>
      <c r="F36" s="167">
        <f t="shared" ref="F36:L36" si="22">IF(SUM(F13:F15)=0,0,F15/SUM(F13:F15))</f>
        <v>0</v>
      </c>
      <c r="G36" s="168">
        <f t="shared" si="22"/>
        <v>0</v>
      </c>
      <c r="H36" s="168">
        <f t="shared" si="22"/>
        <v>0</v>
      </c>
      <c r="I36" s="168">
        <f t="shared" si="22"/>
        <v>0</v>
      </c>
      <c r="J36" s="168">
        <f t="shared" si="22"/>
        <v>0</v>
      </c>
      <c r="K36" s="168">
        <f t="shared" si="22"/>
        <v>0</v>
      </c>
      <c r="L36" s="168">
        <f t="shared" si="22"/>
        <v>0</v>
      </c>
      <c r="M36" s="168">
        <f>IF(SUM(M13:M15)=0,0,M15/SUM(M13:M15))</f>
        <v>0</v>
      </c>
      <c r="N36" s="168">
        <f t="shared" ref="N36:R36" si="23">IF(SUM(N13:N15)=0,0,N15/SUM(N13:N15))</f>
        <v>0</v>
      </c>
      <c r="O36" s="168">
        <f t="shared" si="23"/>
        <v>0</v>
      </c>
      <c r="P36" s="168">
        <f t="shared" si="23"/>
        <v>0</v>
      </c>
      <c r="Q36" s="168">
        <f t="shared" si="23"/>
        <v>0</v>
      </c>
      <c r="R36" s="169">
        <f t="shared" si="23"/>
        <v>0</v>
      </c>
    </row>
    <row r="37" spans="1:18" ht="15.75" x14ac:dyDescent="0.25">
      <c r="A37" s="201" t="s">
        <v>228</v>
      </c>
      <c r="B37" s="202" t="s">
        <v>209</v>
      </c>
      <c r="C37" s="203">
        <v>2</v>
      </c>
      <c r="D37" s="204">
        <v>1</v>
      </c>
      <c r="E37" s="205" t="s">
        <v>213</v>
      </c>
      <c r="F37" s="152">
        <f t="shared" ref="F37:L37" si="24">IF(SUM(F16:F18)=0,0,F16/SUM(F16:F18))</f>
        <v>0</v>
      </c>
      <c r="G37" s="153">
        <f t="shared" si="24"/>
        <v>0</v>
      </c>
      <c r="H37" s="153">
        <f t="shared" si="24"/>
        <v>0</v>
      </c>
      <c r="I37" s="153">
        <f t="shared" si="24"/>
        <v>0</v>
      </c>
      <c r="J37" s="153">
        <f t="shared" si="24"/>
        <v>0</v>
      </c>
      <c r="K37" s="153">
        <f t="shared" si="24"/>
        <v>0</v>
      </c>
      <c r="L37" s="153">
        <f t="shared" si="24"/>
        <v>0</v>
      </c>
      <c r="M37" s="153">
        <f>IF(SUM(M16:M18)=0,0,M16/SUM(M16:M18))</f>
        <v>0.26979230492932454</v>
      </c>
      <c r="N37" s="153">
        <f t="shared" ref="N37:R37" si="25">IF(SUM(N16:N18)=0,0,N16/SUM(N16:N18))</f>
        <v>0.33855193400830641</v>
      </c>
      <c r="O37" s="153">
        <f t="shared" si="25"/>
        <v>0.40381928272007445</v>
      </c>
      <c r="P37" s="153">
        <f t="shared" si="25"/>
        <v>0.46409465180108234</v>
      </c>
      <c r="Q37" s="153">
        <f t="shared" si="25"/>
        <v>0.51872327981172284</v>
      </c>
      <c r="R37" s="154">
        <f t="shared" si="25"/>
        <v>0.5676162594302443</v>
      </c>
    </row>
    <row r="38" spans="1:18" ht="15.75" x14ac:dyDescent="0.25">
      <c r="A38" s="201" t="s">
        <v>229</v>
      </c>
      <c r="B38" s="206" t="s">
        <v>209</v>
      </c>
      <c r="C38" s="207">
        <v>2</v>
      </c>
      <c r="D38" s="208">
        <v>2</v>
      </c>
      <c r="E38" s="209" t="s">
        <v>214</v>
      </c>
      <c r="F38" s="155">
        <f t="shared" ref="F38:L38" si="26">IF(SUM(F16:F18)=0,0,F17/SUM(F16:F18))</f>
        <v>1</v>
      </c>
      <c r="G38" s="156">
        <f t="shared" si="26"/>
        <v>1</v>
      </c>
      <c r="H38" s="156">
        <f t="shared" si="26"/>
        <v>1</v>
      </c>
      <c r="I38" s="156">
        <f t="shared" si="26"/>
        <v>1</v>
      </c>
      <c r="J38" s="156">
        <f t="shared" si="26"/>
        <v>1</v>
      </c>
      <c r="K38" s="156">
        <f t="shared" si="26"/>
        <v>1</v>
      </c>
      <c r="L38" s="156">
        <f t="shared" si="26"/>
        <v>1</v>
      </c>
      <c r="M38" s="156">
        <f>IF(SUM(M16:M18)=0,0,M17/SUM(M16:M18))</f>
        <v>0.7302076950706754</v>
      </c>
      <c r="N38" s="156">
        <f t="shared" ref="N38:R38" si="27">IF(SUM(N16:N18)=0,0,N17/SUM(N16:N18))</f>
        <v>0.66144806599169359</v>
      </c>
      <c r="O38" s="156">
        <f t="shared" si="27"/>
        <v>0.59618071727992539</v>
      </c>
      <c r="P38" s="156">
        <f t="shared" si="27"/>
        <v>0.53590534819891766</v>
      </c>
      <c r="Q38" s="156">
        <f t="shared" si="27"/>
        <v>0.48127672018827722</v>
      </c>
      <c r="R38" s="157">
        <f t="shared" si="27"/>
        <v>0.43238374056975565</v>
      </c>
    </row>
    <row r="39" spans="1:18" ht="16.5" thickBot="1" x14ac:dyDescent="0.3">
      <c r="A39" s="201" t="s">
        <v>230</v>
      </c>
      <c r="B39" s="210" t="s">
        <v>209</v>
      </c>
      <c r="C39" s="211">
        <v>2</v>
      </c>
      <c r="D39" s="212">
        <v>3</v>
      </c>
      <c r="E39" s="213" t="s">
        <v>215</v>
      </c>
      <c r="F39" s="158">
        <f t="shared" ref="F39:L39" si="28">IF(SUM(F16:F18)=0,0,F18/SUM(F16:F18))</f>
        <v>0</v>
      </c>
      <c r="G39" s="159">
        <f t="shared" si="28"/>
        <v>0</v>
      </c>
      <c r="H39" s="159">
        <f t="shared" si="28"/>
        <v>0</v>
      </c>
      <c r="I39" s="159">
        <f t="shared" si="28"/>
        <v>0</v>
      </c>
      <c r="J39" s="159">
        <f t="shared" si="28"/>
        <v>0</v>
      </c>
      <c r="K39" s="159">
        <f t="shared" si="28"/>
        <v>0</v>
      </c>
      <c r="L39" s="159">
        <f t="shared" si="28"/>
        <v>0</v>
      </c>
      <c r="M39" s="159">
        <f>IF(SUM(M16:M18)=0,0,M18/SUM(M16:M18))</f>
        <v>0</v>
      </c>
      <c r="N39" s="159">
        <f t="shared" ref="N39:R39" si="29">IF(SUM(N16:N18)=0,0,N18/SUM(N16:N18))</f>
        <v>0</v>
      </c>
      <c r="O39" s="159">
        <f t="shared" si="29"/>
        <v>0</v>
      </c>
      <c r="P39" s="159">
        <f t="shared" si="29"/>
        <v>0</v>
      </c>
      <c r="Q39" s="159">
        <f t="shared" si="29"/>
        <v>0</v>
      </c>
      <c r="R39" s="160">
        <f t="shared" si="29"/>
        <v>0</v>
      </c>
    </row>
    <row r="40" spans="1:18" ht="15.75" x14ac:dyDescent="0.25">
      <c r="A40" s="201" t="s">
        <v>231</v>
      </c>
      <c r="B40" s="202" t="s">
        <v>209</v>
      </c>
      <c r="C40" s="203">
        <v>3</v>
      </c>
      <c r="D40" s="204">
        <v>1</v>
      </c>
      <c r="E40" s="205" t="s">
        <v>213</v>
      </c>
      <c r="F40" s="161">
        <f t="shared" ref="F40:L40" si="30">IF(SUM(F19:F21)=0,0,F19/SUM(F19:F21))</f>
        <v>0</v>
      </c>
      <c r="G40" s="162">
        <f t="shared" si="30"/>
        <v>0</v>
      </c>
      <c r="H40" s="162">
        <f t="shared" si="30"/>
        <v>0</v>
      </c>
      <c r="I40" s="162">
        <f t="shared" si="30"/>
        <v>0</v>
      </c>
      <c r="J40" s="162">
        <f t="shared" si="30"/>
        <v>0</v>
      </c>
      <c r="K40" s="162">
        <f t="shared" si="30"/>
        <v>0</v>
      </c>
      <c r="L40" s="162">
        <f t="shared" si="30"/>
        <v>0</v>
      </c>
      <c r="M40" s="162">
        <f>IF(SUM(M19:M21)=0,0,M19/SUM(M19:M21))</f>
        <v>0.18760008815103213</v>
      </c>
      <c r="N40" s="162">
        <f t="shared" ref="N40:R40" si="31">IF(SUM(N19:N21)=0,0,N19/SUM(N19:N21))</f>
        <v>0.24236486949373159</v>
      </c>
      <c r="O40" s="162">
        <f t="shared" si="31"/>
        <v>0.29742710120068605</v>
      </c>
      <c r="P40" s="162">
        <f t="shared" si="31"/>
        <v>0.35117629803461425</v>
      </c>
      <c r="Q40" s="162">
        <f t="shared" si="31"/>
        <v>0.40249608298665518</v>
      </c>
      <c r="R40" s="163">
        <f t="shared" si="31"/>
        <v>0.45069289226642828</v>
      </c>
    </row>
    <row r="41" spans="1:18" ht="15.75" x14ac:dyDescent="0.25">
      <c r="A41" s="201" t="s">
        <v>232</v>
      </c>
      <c r="B41" s="206" t="s">
        <v>209</v>
      </c>
      <c r="C41" s="207">
        <v>3</v>
      </c>
      <c r="D41" s="208">
        <v>2</v>
      </c>
      <c r="E41" s="209" t="s">
        <v>214</v>
      </c>
      <c r="F41" s="164">
        <f t="shared" ref="F41:L41" si="32">IF(SUM(F19:F21)=0,0,F20/SUM(F19:F21))</f>
        <v>0.625</v>
      </c>
      <c r="G41" s="165">
        <f t="shared" si="32"/>
        <v>0.625</v>
      </c>
      <c r="H41" s="165">
        <f t="shared" si="32"/>
        <v>0.625</v>
      </c>
      <c r="I41" s="165">
        <f t="shared" si="32"/>
        <v>0.625</v>
      </c>
      <c r="J41" s="165">
        <f t="shared" si="32"/>
        <v>0.625</v>
      </c>
      <c r="K41" s="165">
        <f t="shared" si="32"/>
        <v>0.625</v>
      </c>
      <c r="L41" s="165">
        <f t="shared" si="32"/>
        <v>0.625</v>
      </c>
      <c r="M41" s="165">
        <f>IF(SUM(M19:M21)=0,0,M20/SUM(M19:M21))</f>
        <v>0.50774994490560488</v>
      </c>
      <c r="N41" s="165">
        <f t="shared" ref="N41:R41" si="33">IF(SUM(N19:N21)=0,0,N20/SUM(N19:N21))</f>
        <v>0.47352195656641777</v>
      </c>
      <c r="O41" s="165">
        <f t="shared" si="33"/>
        <v>0.43910806174957118</v>
      </c>
      <c r="P41" s="165">
        <f t="shared" si="33"/>
        <v>0.40551481372836612</v>
      </c>
      <c r="Q41" s="165">
        <f t="shared" si="33"/>
        <v>0.37343994813334053</v>
      </c>
      <c r="R41" s="166">
        <f t="shared" si="33"/>
        <v>0.34331694233348237</v>
      </c>
    </row>
    <row r="42" spans="1:18" ht="16.5" thickBot="1" x14ac:dyDescent="0.3">
      <c r="A42" s="201" t="s">
        <v>233</v>
      </c>
      <c r="B42" s="210" t="s">
        <v>209</v>
      </c>
      <c r="C42" s="211">
        <v>3</v>
      </c>
      <c r="D42" s="212">
        <v>3</v>
      </c>
      <c r="E42" s="213" t="s">
        <v>215</v>
      </c>
      <c r="F42" s="167">
        <f t="shared" ref="F42:L42" si="34">IF(SUM(F19:F21)=0,0,F21/SUM(F19:F21))</f>
        <v>0.37500000000000006</v>
      </c>
      <c r="G42" s="168">
        <f t="shared" si="34"/>
        <v>0.37500000000000006</v>
      </c>
      <c r="H42" s="168">
        <f t="shared" si="34"/>
        <v>0.37500000000000006</v>
      </c>
      <c r="I42" s="168">
        <f t="shared" si="34"/>
        <v>0.37500000000000006</v>
      </c>
      <c r="J42" s="168">
        <f t="shared" si="34"/>
        <v>0.37500000000000006</v>
      </c>
      <c r="K42" s="168">
        <f t="shared" si="34"/>
        <v>0.37500000000000006</v>
      </c>
      <c r="L42" s="168">
        <f t="shared" si="34"/>
        <v>0.37500000000000006</v>
      </c>
      <c r="M42" s="168">
        <f>IF(SUM(M19:M21)=0,0,M21/SUM(M19:M21))</f>
        <v>0.30464996694336294</v>
      </c>
      <c r="N42" s="168">
        <f t="shared" ref="N42:R42" si="35">IF(SUM(N19:N21)=0,0,N21/SUM(N19:N21))</f>
        <v>0.28411317393985069</v>
      </c>
      <c r="O42" s="168">
        <f t="shared" si="35"/>
        <v>0.26346483704974272</v>
      </c>
      <c r="P42" s="168">
        <f t="shared" si="35"/>
        <v>0.24330888823701965</v>
      </c>
      <c r="Q42" s="168">
        <f t="shared" si="35"/>
        <v>0.22406396888000432</v>
      </c>
      <c r="R42" s="169">
        <f t="shared" si="35"/>
        <v>0.20599016540008941</v>
      </c>
    </row>
    <row r="44" spans="1:18" ht="15.75" x14ac:dyDescent="0.25">
      <c r="B44" s="214" t="s">
        <v>234</v>
      </c>
      <c r="C44" s="214" t="s">
        <v>235</v>
      </c>
      <c r="D44" s="214" t="s">
        <v>236</v>
      </c>
    </row>
    <row r="45" spans="1:18" ht="15.75" x14ac:dyDescent="0.25">
      <c r="B45" s="432" t="s">
        <v>209</v>
      </c>
      <c r="C45" s="215">
        <f>SUM('Experience Rating'!B28:D28)</f>
        <v>0</v>
      </c>
      <c r="D45" s="216">
        <f>'General Information'!D30/365*12</f>
        <v>0</v>
      </c>
    </row>
    <row r="47" spans="1:18" ht="15.75" x14ac:dyDescent="0.25">
      <c r="A47" s="217">
        <v>1</v>
      </c>
      <c r="B47" s="218" t="s">
        <v>237</v>
      </c>
      <c r="C47" s="219" t="s">
        <v>238</v>
      </c>
      <c r="D47" s="220">
        <f>_xlfn.IFNA(IF(AND(C45=0,D45=0),0,VLOOKUP($B$45&amp;$C$45&amp;$A47,$A$25:$R$42,6+ROUND($D$45,0),0)),0)</f>
        <v>0</v>
      </c>
    </row>
    <row r="48" spans="1:18" ht="15.75" x14ac:dyDescent="0.25">
      <c r="A48" s="217">
        <v>2</v>
      </c>
      <c r="B48" s="218" t="s">
        <v>237</v>
      </c>
      <c r="C48" s="219" t="s">
        <v>239</v>
      </c>
      <c r="D48" s="220">
        <f>_xlfn.IFNA(IF(AND(C45=0,D45=0),0,VLOOKUP($B$45&amp;$C$45&amp;$A48,$A$25:$R$42,6+ROUND($D$45,0),0)),0)</f>
        <v>0</v>
      </c>
    </row>
    <row r="49" spans="1:4" ht="15.75" x14ac:dyDescent="0.25">
      <c r="A49" s="217">
        <v>3</v>
      </c>
      <c r="B49" s="218" t="s">
        <v>237</v>
      </c>
      <c r="C49" s="219" t="s">
        <v>240</v>
      </c>
      <c r="D49" s="220">
        <f>_xlfn.IFNA(IF(AND(C45=0,D45=0),0,VLOOKUP($B$45&amp;$C$45&amp;$A49,$A$25:$R$42,6+ROUND($D$45,0),0)),0)</f>
        <v>0</v>
      </c>
    </row>
  </sheetData>
  <sheetProtection algorithmName="SHA-512" hashValue="EPrlsyKUAOA7HHhb8lGI3KcudpjQjAGldzJogYjXWw5pnpizu7pnviVKxjDuHnpWhpY3O+FMHArVLZBQ1oj4VA==" saltValue="Zk+zfnOskCbn4gbJGbiwSQ=="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5"/>
  <sheetViews>
    <sheetView workbookViewId="0">
      <selection activeCell="A2" sqref="A2"/>
    </sheetView>
  </sheetViews>
  <sheetFormatPr defaultColWidth="8.85546875" defaultRowHeight="15" x14ac:dyDescent="0.25"/>
  <cols>
    <col min="1" max="2" width="10" bestFit="1" customWidth="1"/>
  </cols>
  <sheetData>
    <row r="1" spans="1:2" x14ac:dyDescent="0.25">
      <c r="A1" s="512">
        <v>45931</v>
      </c>
      <c r="B1" s="513" t="s">
        <v>725</v>
      </c>
    </row>
    <row r="2" spans="1:2" x14ac:dyDescent="0.25">
      <c r="B2" s="261"/>
    </row>
    <row r="3" spans="1:2" x14ac:dyDescent="0.25">
      <c r="B3" s="261"/>
    </row>
    <row r="5" spans="1:2" x14ac:dyDescent="0.25">
      <c r="B5" s="261"/>
    </row>
    <row r="13" spans="1:2" x14ac:dyDescent="0.25">
      <c r="B13" s="431"/>
    </row>
    <row r="19" spans="2:2" x14ac:dyDescent="0.25">
      <c r="B19" s="431"/>
    </row>
    <row r="32" spans="2:2" x14ac:dyDescent="0.25">
      <c r="B32" s="431"/>
    </row>
    <row r="35" spans="2:2" x14ac:dyDescent="0.25">
      <c r="B35" s="431"/>
    </row>
    <row r="38" spans="2:2" x14ac:dyDescent="0.25">
      <c r="B38" s="431"/>
    </row>
    <row r="41" spans="2:2" x14ac:dyDescent="0.25">
      <c r="B41" s="431"/>
    </row>
    <row r="45" spans="2:2" x14ac:dyDescent="0.25">
      <c r="B45" s="431"/>
    </row>
  </sheetData>
  <sheetProtection algorithmName="SHA-512" hashValue="2kHtC3gQ5FfLrsN9LW+QGJ1c4Kr1AyMBxXiofM1jjjt+vI3A64y11lCDFnoetzkVemBzNG8imhSnUxQ2iJYcxg==" saltValue="CHxeNN7saZaC6bEqfThpQg==" spinCount="100000" sheet="1" objects="1" scenarios="1"/>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AX3"/>
  <sheetViews>
    <sheetView workbookViewId="0"/>
  </sheetViews>
  <sheetFormatPr defaultColWidth="8.85546875" defaultRowHeight="15" x14ac:dyDescent="0.25"/>
  <cols>
    <col min="9" max="9" width="10.7109375" bestFit="1" customWidth="1"/>
    <col min="10" max="10" width="13" customWidth="1"/>
  </cols>
  <sheetData>
    <row r="1" spans="1:50" x14ac:dyDescent="0.25">
      <c r="S1" t="s">
        <v>339</v>
      </c>
      <c r="X1" t="s">
        <v>339</v>
      </c>
      <c r="AF1" s="1508" t="s">
        <v>291</v>
      </c>
      <c r="AG1" s="1508"/>
      <c r="AH1" s="1508"/>
      <c r="AI1" s="1508"/>
      <c r="AJ1" s="1508"/>
      <c r="AK1" s="1508" t="s">
        <v>292</v>
      </c>
      <c r="AL1" s="1508"/>
      <c r="AM1" s="1508"/>
      <c r="AN1" s="1508"/>
      <c r="AO1" s="1508"/>
      <c r="AP1" s="1508"/>
      <c r="AQ1" s="1508"/>
      <c r="AR1" s="1508"/>
      <c r="AS1" s="1508"/>
      <c r="AT1" s="1508"/>
    </row>
    <row r="2" spans="1:50" ht="90" x14ac:dyDescent="0.25">
      <c r="A2" s="242" t="s">
        <v>293</v>
      </c>
      <c r="B2" s="243" t="s">
        <v>294</v>
      </c>
      <c r="C2" s="243" t="s">
        <v>295</v>
      </c>
      <c r="D2" s="243" t="s">
        <v>296</v>
      </c>
      <c r="E2" s="243" t="s">
        <v>297</v>
      </c>
      <c r="F2" s="243" t="s">
        <v>298</v>
      </c>
      <c r="G2" s="243" t="s">
        <v>299</v>
      </c>
      <c r="H2" s="243" t="s">
        <v>300</v>
      </c>
      <c r="I2" s="243" t="s">
        <v>301</v>
      </c>
      <c r="J2" s="243" t="s">
        <v>302</v>
      </c>
      <c r="K2" s="243" t="s">
        <v>303</v>
      </c>
      <c r="L2" s="243" t="s">
        <v>304</v>
      </c>
      <c r="M2" s="243" t="s">
        <v>305</v>
      </c>
      <c r="N2" s="243" t="s">
        <v>306</v>
      </c>
      <c r="O2" s="243" t="s">
        <v>307</v>
      </c>
      <c r="P2" s="243" t="s">
        <v>308</v>
      </c>
      <c r="Q2" s="243" t="s">
        <v>309</v>
      </c>
      <c r="R2" s="243" t="s">
        <v>310</v>
      </c>
      <c r="S2" s="243" t="s">
        <v>311</v>
      </c>
      <c r="T2" s="243" t="s">
        <v>41</v>
      </c>
      <c r="U2" s="244" t="s">
        <v>312</v>
      </c>
      <c r="V2" s="245" t="s">
        <v>313</v>
      </c>
      <c r="W2" s="245" t="s">
        <v>245</v>
      </c>
      <c r="X2" s="245" t="s">
        <v>314</v>
      </c>
      <c r="Y2" s="245" t="s">
        <v>315</v>
      </c>
      <c r="Z2" s="245" t="s">
        <v>316</v>
      </c>
      <c r="AA2" s="245" t="s">
        <v>317</v>
      </c>
      <c r="AB2" s="245" t="s">
        <v>318</v>
      </c>
      <c r="AC2" s="246" t="s">
        <v>319</v>
      </c>
      <c r="AD2" s="246" t="s">
        <v>320</v>
      </c>
      <c r="AE2" s="246" t="s">
        <v>321</v>
      </c>
      <c r="AF2" s="247" t="s">
        <v>322</v>
      </c>
      <c r="AG2" s="247" t="s">
        <v>323</v>
      </c>
      <c r="AH2" s="247" t="s">
        <v>324</v>
      </c>
      <c r="AI2" s="247" t="s">
        <v>325</v>
      </c>
      <c r="AJ2" s="247" t="s">
        <v>326</v>
      </c>
      <c r="AK2" s="247" t="s">
        <v>322</v>
      </c>
      <c r="AL2" s="247" t="s">
        <v>323</v>
      </c>
      <c r="AM2" s="247" t="s">
        <v>327</v>
      </c>
      <c r="AN2" s="247" t="s">
        <v>328</v>
      </c>
      <c r="AO2" s="247" t="s">
        <v>329</v>
      </c>
      <c r="AP2" s="247" t="s">
        <v>330</v>
      </c>
      <c r="AQ2" s="247" t="s">
        <v>331</v>
      </c>
      <c r="AR2" s="247" t="s">
        <v>332</v>
      </c>
      <c r="AS2" s="247" t="s">
        <v>333</v>
      </c>
      <c r="AT2" s="247" t="s">
        <v>334</v>
      </c>
      <c r="AU2" s="247" t="s">
        <v>335</v>
      </c>
      <c r="AV2" s="247" t="s">
        <v>283</v>
      </c>
      <c r="AW2" s="247" t="s">
        <v>336</v>
      </c>
      <c r="AX2" s="247" t="s">
        <v>337</v>
      </c>
    </row>
    <row r="3" spans="1:50" x14ac:dyDescent="0.25">
      <c r="A3" s="248"/>
      <c r="B3" s="249" t="str">
        <f>'General Information'!D8</f>
        <v>Al Mizan Realty Developers LLC</v>
      </c>
      <c r="C3" s="250" t="s">
        <v>123</v>
      </c>
      <c r="D3" s="250" t="s">
        <v>338</v>
      </c>
      <c r="E3" s="250"/>
      <c r="F3" s="251"/>
      <c r="G3" s="252"/>
      <c r="H3" s="250"/>
      <c r="I3" s="253">
        <f ca="1">TODAY()</f>
        <v>45743</v>
      </c>
      <c r="J3" s="250" t="str">
        <f ca="1">OFFSET('Experience Rating'!G6,'Experience Rating'!H8,0)</f>
        <v>Non-QIC Renewal</v>
      </c>
      <c r="K3" s="254">
        <f>'Experience Rating'!J41</f>
        <v>11</v>
      </c>
      <c r="L3" s="255">
        <f>IF('Experience Rating'!H8=1,0,1)</f>
        <v>1</v>
      </c>
      <c r="M3" s="255">
        <f>IF('Experience Rating'!H8=1,0,1)</f>
        <v>1</v>
      </c>
      <c r="N3" s="256">
        <f ca="1">ROUND(K3*S3*0.272*'General Basis'!$C$26,-3)</f>
        <v>5000</v>
      </c>
      <c r="O3" s="257">
        <f>'General Information'!D45</f>
        <v>0.05</v>
      </c>
      <c r="P3" s="257">
        <f>'General Information'!D47</f>
        <v>0.05</v>
      </c>
      <c r="Q3" s="257">
        <f>'General Information'!D44</f>
        <v>0.15</v>
      </c>
      <c r="R3" s="255"/>
      <c r="S3" s="258">
        <f t="shared" ref="S3" ca="1" si="0">+X3/K3</f>
        <v>2618.6229606879601</v>
      </c>
      <c r="T3" s="251"/>
      <c r="U3" s="251"/>
      <c r="V3" s="251"/>
      <c r="W3" s="251"/>
      <c r="X3" s="258">
        <f ca="1">'Experience Rating'!J57</f>
        <v>28804.852567567563</v>
      </c>
      <c r="Y3" s="251"/>
      <c r="Z3" s="251"/>
      <c r="AA3" s="251"/>
      <c r="AB3" s="257"/>
      <c r="AC3" s="259"/>
      <c r="AD3" s="259"/>
      <c r="AE3" s="259"/>
      <c r="AF3" s="259"/>
      <c r="AG3" s="259"/>
      <c r="AH3" s="259"/>
      <c r="AI3" s="259"/>
      <c r="AJ3" s="259"/>
      <c r="AK3" s="259"/>
      <c r="AL3" s="259"/>
      <c r="AM3" s="259"/>
      <c r="AN3" s="259"/>
      <c r="AO3" s="259"/>
      <c r="AP3" s="259"/>
      <c r="AQ3" s="259"/>
      <c r="AR3" s="259"/>
      <c r="AS3" s="259"/>
      <c r="AT3" s="259"/>
      <c r="AU3" s="109">
        <f ca="1">'Experience Rating'!J42</f>
        <v>28804.852567567563</v>
      </c>
      <c r="AV3" s="109">
        <f ca="1">'Experience Rating'!J57</f>
        <v>28804.852567567563</v>
      </c>
      <c r="AW3" s="109">
        <f ca="1">'Experience Rating'!J57</f>
        <v>28804.852567567563</v>
      </c>
      <c r="AX3" s="260">
        <f>IF('Experience Rating'!H4=1,100%,0%)</f>
        <v>0</v>
      </c>
    </row>
  </sheetData>
  <sheetProtection algorithmName="SHA-512" hashValue="1uzSvI1FEUC3zLzJ1i9NjlMh4aZWvF2+Yk37MkfTUr1lPtL2Zx+LLUxDoVfhVwz8GOdI4nBDXmRGvpRuOvVjbg==" saltValue="Y+kKIC9leQHLi2MYm5KKSA==" spinCount="100000" sheet="1" objects="1" scenarios="1"/>
  <mergeCells count="2">
    <mergeCell ref="AF1:AJ1"/>
    <mergeCell ref="AK1:AT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A1:AD126"/>
  <sheetViews>
    <sheetView showGridLines="0" topLeftCell="A41" zoomScaleNormal="100" workbookViewId="0">
      <selection activeCell="C91" sqref="C91"/>
    </sheetView>
  </sheetViews>
  <sheetFormatPr defaultColWidth="8.7109375" defaultRowHeight="15" x14ac:dyDescent="0.25"/>
  <cols>
    <col min="1" max="1" width="8.7109375" style="267"/>
    <col min="2" max="2" width="33.42578125" style="268" customWidth="1"/>
    <col min="3" max="7" width="29.42578125" style="268" customWidth="1"/>
    <col min="8" max="8" width="30.140625" style="268" customWidth="1"/>
    <col min="9" max="9" width="29.140625" style="268" customWidth="1"/>
    <col min="10" max="16" width="31.42578125" style="268" customWidth="1"/>
    <col min="17" max="17" width="6.7109375" style="268" customWidth="1"/>
    <col min="18" max="20" width="29.140625" style="268" customWidth="1"/>
    <col min="21" max="21" width="30.28515625" style="268" customWidth="1"/>
    <col min="22" max="22" width="30.42578125" style="268" customWidth="1"/>
    <col min="23" max="30" width="29" style="268" customWidth="1"/>
    <col min="31" max="16384" width="8.7109375" style="268"/>
  </cols>
  <sheetData>
    <row r="1" spans="2:8" hidden="1" x14ac:dyDescent="0.25"/>
    <row r="2" spans="2:8" hidden="1" x14ac:dyDescent="0.25">
      <c r="B2" s="1553" t="s">
        <v>375</v>
      </c>
      <c r="C2" s="1540"/>
      <c r="D2" s="1540" t="s">
        <v>376</v>
      </c>
      <c r="E2" s="1540"/>
      <c r="F2" s="1540"/>
      <c r="G2" s="1541"/>
      <c r="H2" s="1554"/>
    </row>
    <row r="3" spans="2:8" hidden="1" x14ac:dyDescent="0.25">
      <c r="B3" s="1555" t="s">
        <v>377</v>
      </c>
      <c r="C3" s="1543"/>
      <c r="D3" s="269"/>
      <c r="E3" s="269"/>
      <c r="F3" s="269"/>
      <c r="G3" s="441"/>
      <c r="H3" s="270"/>
    </row>
    <row r="4" spans="2:8" hidden="1" x14ac:dyDescent="0.25">
      <c r="B4" s="1553" t="s">
        <v>378</v>
      </c>
      <c r="C4" s="1540"/>
      <c r="D4" s="1540" t="s">
        <v>379</v>
      </c>
      <c r="E4" s="1540"/>
      <c r="F4" s="1540"/>
      <c r="G4" s="1541"/>
      <c r="H4" s="1554"/>
    </row>
    <row r="5" spans="2:8" hidden="1" x14ac:dyDescent="0.25">
      <c r="B5" s="1553" t="s">
        <v>380</v>
      </c>
      <c r="C5" s="1540"/>
      <c r="D5" s="1540" t="s">
        <v>381</v>
      </c>
      <c r="E5" s="1540"/>
      <c r="F5" s="1540"/>
      <c r="G5" s="1541"/>
      <c r="H5" s="1554"/>
    </row>
    <row r="6" spans="2:8" hidden="1" x14ac:dyDescent="0.25">
      <c r="B6" s="1553" t="s">
        <v>382</v>
      </c>
      <c r="C6" s="1540"/>
      <c r="D6" s="1540" t="s">
        <v>383</v>
      </c>
      <c r="E6" s="1540"/>
      <c r="F6" s="1540"/>
      <c r="G6" s="1541"/>
      <c r="H6" s="1554"/>
    </row>
    <row r="7" spans="2:8" hidden="1" x14ac:dyDescent="0.25">
      <c r="B7" s="1553" t="s">
        <v>384</v>
      </c>
      <c r="C7" s="1540"/>
      <c r="D7" s="1540" t="s">
        <v>385</v>
      </c>
      <c r="E7" s="1540"/>
      <c r="F7" s="1540"/>
      <c r="G7" s="1541"/>
      <c r="H7" s="1554"/>
    </row>
    <row r="8" spans="2:8" hidden="1" x14ac:dyDescent="0.25">
      <c r="B8" s="1553" t="s">
        <v>386</v>
      </c>
      <c r="C8" s="1540"/>
      <c r="D8" s="1540" t="s">
        <v>387</v>
      </c>
      <c r="E8" s="1540"/>
      <c r="F8" s="1540"/>
      <c r="G8" s="1541"/>
      <c r="H8" s="1554"/>
    </row>
    <row r="9" spans="2:8" hidden="1" x14ac:dyDescent="0.25">
      <c r="B9" s="1556" t="s">
        <v>388</v>
      </c>
      <c r="C9" s="1557"/>
      <c r="D9" s="1557" t="s">
        <v>389</v>
      </c>
      <c r="E9" s="1557"/>
      <c r="F9" s="1557"/>
      <c r="G9" s="1558"/>
      <c r="H9" s="1559"/>
    </row>
    <row r="10" spans="2:8" hidden="1" x14ac:dyDescent="0.25">
      <c r="B10" s="1540" t="s">
        <v>390</v>
      </c>
      <c r="C10" s="1540"/>
      <c r="D10" s="1541"/>
      <c r="E10" s="1542"/>
      <c r="F10" s="1542"/>
      <c r="G10" s="1542"/>
      <c r="H10" s="1543"/>
    </row>
    <row r="11" spans="2:8" ht="15.75" hidden="1" thickBot="1" x14ac:dyDescent="0.3"/>
    <row r="12" spans="2:8" ht="19.5" hidden="1" customHeight="1" x14ac:dyDescent="0.25">
      <c r="B12" s="271" t="s">
        <v>391</v>
      </c>
      <c r="C12" s="271"/>
      <c r="D12" s="271"/>
      <c r="E12" s="271"/>
      <c r="F12" s="271"/>
      <c r="G12" s="271"/>
      <c r="H12" s="271"/>
    </row>
    <row r="13" spans="2:8" ht="46.5" hidden="1" customHeight="1" x14ac:dyDescent="0.25">
      <c r="B13" s="1524" t="s">
        <v>392</v>
      </c>
      <c r="C13" s="1525"/>
      <c r="D13" s="1537" t="s">
        <v>393</v>
      </c>
      <c r="E13" s="1537"/>
      <c r="F13" s="1537"/>
      <c r="G13" s="1538"/>
      <c r="H13" s="1539"/>
    </row>
    <row r="14" spans="2:8" hidden="1" x14ac:dyDescent="0.25">
      <c r="B14" s="1524" t="s">
        <v>394</v>
      </c>
      <c r="C14" s="1525"/>
      <c r="D14" s="1528" t="s">
        <v>395</v>
      </c>
      <c r="E14" s="1528"/>
      <c r="F14" s="1528"/>
      <c r="G14" s="1529"/>
      <c r="H14" s="1530"/>
    </row>
    <row r="15" spans="2:8" ht="45.75" hidden="1" customHeight="1" x14ac:dyDescent="0.25">
      <c r="B15" s="1524"/>
      <c r="C15" s="1525"/>
      <c r="D15" s="1537" t="s">
        <v>396</v>
      </c>
      <c r="E15" s="1537"/>
      <c r="F15" s="1537"/>
      <c r="G15" s="1538"/>
      <c r="H15" s="1539"/>
    </row>
    <row r="16" spans="2:8" hidden="1" x14ac:dyDescent="0.25">
      <c r="B16" s="1524"/>
      <c r="C16" s="1525"/>
      <c r="D16" s="1528" t="s">
        <v>397</v>
      </c>
      <c r="E16" s="1528"/>
      <c r="F16" s="1528"/>
      <c r="G16" s="1529"/>
      <c r="H16" s="1530"/>
    </row>
    <row r="17" spans="2:23" ht="24" hidden="1" customHeight="1" x14ac:dyDescent="0.25">
      <c r="B17" s="1524"/>
      <c r="C17" s="1525"/>
      <c r="D17" s="1544" t="s">
        <v>398</v>
      </c>
      <c r="E17" s="1544"/>
      <c r="F17" s="1544"/>
      <c r="G17" s="1545"/>
      <c r="H17" s="1546"/>
    </row>
    <row r="18" spans="2:23" ht="48" hidden="1" customHeight="1" x14ac:dyDescent="0.25">
      <c r="B18" s="1524"/>
      <c r="C18" s="1525"/>
      <c r="D18" s="1544" t="s">
        <v>399</v>
      </c>
      <c r="E18" s="1544"/>
      <c r="F18" s="1544"/>
      <c r="G18" s="1545"/>
      <c r="H18" s="1546"/>
    </row>
    <row r="19" spans="2:23" ht="36" hidden="1" customHeight="1" x14ac:dyDescent="0.25">
      <c r="B19" s="1524"/>
      <c r="C19" s="1525"/>
      <c r="D19" s="1544" t="s">
        <v>400</v>
      </c>
      <c r="E19" s="1544"/>
      <c r="F19" s="1544"/>
      <c r="G19" s="1545"/>
      <c r="H19" s="1546"/>
    </row>
    <row r="20" spans="2:23" ht="36.75" hidden="1" customHeight="1" x14ac:dyDescent="0.25">
      <c r="B20" s="1524"/>
      <c r="C20" s="1525"/>
      <c r="D20" s="1544" t="s">
        <v>401</v>
      </c>
      <c r="E20" s="1544"/>
      <c r="F20" s="1544"/>
      <c r="G20" s="1545"/>
      <c r="H20" s="1546"/>
    </row>
    <row r="21" spans="2:23" ht="39.75" hidden="1" customHeight="1" x14ac:dyDescent="0.25">
      <c r="B21" s="1524" t="s">
        <v>402</v>
      </c>
      <c r="C21" s="1525"/>
      <c r="D21" s="1547" t="s">
        <v>403</v>
      </c>
      <c r="E21" s="1548"/>
      <c r="F21" s="1548"/>
      <c r="G21" s="1548"/>
      <c r="H21" s="1549"/>
    </row>
    <row r="22" spans="2:23" ht="10.5" hidden="1" customHeight="1" x14ac:dyDescent="0.25">
      <c r="B22" s="1524"/>
      <c r="C22" s="1525"/>
      <c r="D22" s="1550"/>
      <c r="E22" s="1551"/>
      <c r="F22" s="1551"/>
      <c r="G22" s="1551"/>
      <c r="H22" s="1552"/>
    </row>
    <row r="23" spans="2:23" ht="42" hidden="1" customHeight="1" x14ac:dyDescent="0.25">
      <c r="B23" s="1524" t="s">
        <v>404</v>
      </c>
      <c r="C23" s="1525"/>
      <c r="D23" s="1537" t="s">
        <v>405</v>
      </c>
      <c r="E23" s="1537"/>
      <c r="F23" s="1537"/>
      <c r="G23" s="1538"/>
      <c r="H23" s="1539"/>
    </row>
    <row r="24" spans="2:23" ht="30.75" hidden="1" customHeight="1" x14ac:dyDescent="0.25">
      <c r="B24" s="1524" t="s">
        <v>406</v>
      </c>
      <c r="C24" s="1525"/>
      <c r="D24" s="1537" t="s">
        <v>407</v>
      </c>
      <c r="E24" s="1537"/>
      <c r="F24" s="1537"/>
      <c r="G24" s="1538"/>
      <c r="H24" s="1539"/>
    </row>
    <row r="25" spans="2:23" ht="35.25" hidden="1" customHeight="1" x14ac:dyDescent="0.25">
      <c r="B25" s="1524" t="s">
        <v>408</v>
      </c>
      <c r="C25" s="1525"/>
      <c r="D25" s="1537" t="s">
        <v>409</v>
      </c>
      <c r="E25" s="1537"/>
      <c r="F25" s="1537"/>
      <c r="G25" s="1538"/>
      <c r="H25" s="1539"/>
    </row>
    <row r="26" spans="2:23" ht="27" hidden="1" customHeight="1" x14ac:dyDescent="0.25">
      <c r="B26" s="1524" t="s">
        <v>410</v>
      </c>
      <c r="C26" s="1525"/>
      <c r="D26" s="1537" t="s">
        <v>411</v>
      </c>
      <c r="E26" s="1537"/>
      <c r="F26" s="1537"/>
      <c r="G26" s="1538"/>
      <c r="H26" s="1539"/>
    </row>
    <row r="27" spans="2:23" ht="60" hidden="1" customHeight="1" x14ac:dyDescent="0.25">
      <c r="B27" s="1524"/>
      <c r="C27" s="1525"/>
      <c r="D27" s="1537" t="s">
        <v>412</v>
      </c>
      <c r="E27" s="1537"/>
      <c r="F27" s="1537"/>
      <c r="G27" s="1538"/>
      <c r="H27" s="1539"/>
    </row>
    <row r="28" spans="2:23" ht="41.25" hidden="1" customHeight="1" x14ac:dyDescent="0.25">
      <c r="B28" s="1524" t="s">
        <v>413</v>
      </c>
      <c r="C28" s="1525"/>
      <c r="D28" s="1528" t="s">
        <v>414</v>
      </c>
      <c r="E28" s="1528"/>
      <c r="F28" s="1528"/>
      <c r="G28" s="1529"/>
      <c r="H28" s="1530"/>
    </row>
    <row r="29" spans="2:23" ht="50.25" hidden="1" customHeight="1" thickBot="1" x14ac:dyDescent="0.3">
      <c r="B29" s="1526"/>
      <c r="C29" s="1527"/>
      <c r="D29" s="1531" t="s">
        <v>415</v>
      </c>
      <c r="E29" s="1531"/>
      <c r="F29" s="1531"/>
      <c r="G29" s="1532"/>
      <c r="H29" s="1533"/>
    </row>
    <row r="31" spans="2:23" x14ac:dyDescent="0.25">
      <c r="R31" s="268" t="s">
        <v>670</v>
      </c>
      <c r="S31" s="268" t="s">
        <v>671</v>
      </c>
      <c r="T31" s="268" t="s">
        <v>667</v>
      </c>
      <c r="U31" s="268" t="s">
        <v>668</v>
      </c>
      <c r="V31" s="268" t="s">
        <v>669</v>
      </c>
      <c r="W31" s="268" t="s">
        <v>676</v>
      </c>
    </row>
    <row r="32" spans="2:23" ht="15.75" thickBot="1" x14ac:dyDescent="0.3"/>
    <row r="33" spans="1:30" ht="15.75" thickBot="1" x14ac:dyDescent="0.3">
      <c r="C33" s="1534" t="s">
        <v>416</v>
      </c>
      <c r="D33" s="1535"/>
      <c r="E33" s="1535"/>
      <c r="F33" s="1535"/>
      <c r="G33" s="1535"/>
      <c r="H33" s="1535"/>
      <c r="I33" s="1536"/>
      <c r="J33" s="1534" t="s">
        <v>609</v>
      </c>
      <c r="K33" s="1535"/>
      <c r="L33" s="1535"/>
      <c r="M33" s="1535"/>
      <c r="N33" s="1535"/>
      <c r="O33" s="1535"/>
      <c r="P33" s="1536"/>
      <c r="Q33" s="272"/>
      <c r="R33" s="273" t="s">
        <v>612</v>
      </c>
      <c r="V33" s="273" t="s">
        <v>418</v>
      </c>
      <c r="W33" s="273"/>
      <c r="X33" s="273"/>
      <c r="Y33" s="273"/>
      <c r="Z33" s="273" t="s">
        <v>417</v>
      </c>
      <c r="AA33" s="273"/>
      <c r="AB33" s="273"/>
      <c r="AC33" s="273"/>
      <c r="AD33" s="273"/>
    </row>
    <row r="34" spans="1:30" x14ac:dyDescent="0.25">
      <c r="C34" s="274" t="s">
        <v>659</v>
      </c>
      <c r="D34" s="272" t="s">
        <v>660</v>
      </c>
      <c r="E34" s="272" t="s">
        <v>671</v>
      </c>
      <c r="F34" s="272" t="s">
        <v>673</v>
      </c>
      <c r="G34" s="272" t="s">
        <v>674</v>
      </c>
      <c r="H34" s="272" t="s">
        <v>675</v>
      </c>
      <c r="I34" s="275" t="s">
        <v>672</v>
      </c>
      <c r="J34" s="274" t="s">
        <v>670</v>
      </c>
      <c r="K34" s="272" t="s">
        <v>671</v>
      </c>
      <c r="L34" s="272" t="s">
        <v>667</v>
      </c>
      <c r="M34" s="272" t="s">
        <v>746</v>
      </c>
      <c r="N34" s="272" t="s">
        <v>747</v>
      </c>
      <c r="O34" s="272" t="s">
        <v>669</v>
      </c>
      <c r="P34" s="275" t="s">
        <v>676</v>
      </c>
      <c r="Q34" s="272"/>
      <c r="V34" s="272"/>
      <c r="W34" s="272"/>
      <c r="X34" s="272"/>
      <c r="Y34" s="272"/>
      <c r="Z34" s="272" t="s">
        <v>7</v>
      </c>
      <c r="AA34" s="272" t="s">
        <v>21</v>
      </c>
      <c r="AB34" s="272" t="s">
        <v>28</v>
      </c>
      <c r="AC34" s="272" t="s">
        <v>29</v>
      </c>
      <c r="AD34" s="272" t="s">
        <v>34</v>
      </c>
    </row>
    <row r="35" spans="1:30" ht="15.75" thickBot="1" x14ac:dyDescent="0.3">
      <c r="C35" s="274" t="s">
        <v>7</v>
      </c>
      <c r="D35" s="272" t="s">
        <v>7</v>
      </c>
      <c r="E35" s="272" t="s">
        <v>21</v>
      </c>
      <c r="F35" s="272" t="s">
        <v>28</v>
      </c>
      <c r="G35" s="272" t="s">
        <v>28</v>
      </c>
      <c r="H35" s="272" t="s">
        <v>29</v>
      </c>
      <c r="I35" s="275" t="s">
        <v>34</v>
      </c>
      <c r="J35" s="274" t="s">
        <v>7</v>
      </c>
      <c r="K35" s="272" t="s">
        <v>21</v>
      </c>
      <c r="L35" s="272" t="s">
        <v>21</v>
      </c>
      <c r="M35" s="272" t="s">
        <v>28</v>
      </c>
      <c r="N35" s="272" t="s">
        <v>28</v>
      </c>
      <c r="O35" s="272" t="s">
        <v>29</v>
      </c>
      <c r="P35" s="275" t="s">
        <v>34</v>
      </c>
      <c r="Q35" s="272"/>
      <c r="V35" s="272"/>
      <c r="W35" s="272"/>
      <c r="X35" s="272"/>
      <c r="Y35" s="272"/>
      <c r="Z35" s="272"/>
      <c r="AA35" s="272"/>
      <c r="AB35" s="272"/>
      <c r="AC35" s="272"/>
      <c r="AD35" s="272"/>
    </row>
    <row r="36" spans="1:30" ht="15.75" x14ac:dyDescent="0.25">
      <c r="A36" s="276" t="s">
        <v>419</v>
      </c>
      <c r="B36" s="277" t="s">
        <v>420</v>
      </c>
      <c r="C36" s="278" t="s">
        <v>659</v>
      </c>
      <c r="D36" s="442" t="s">
        <v>660</v>
      </c>
      <c r="E36" s="279" t="s">
        <v>671</v>
      </c>
      <c r="F36" s="279" t="s">
        <v>673</v>
      </c>
      <c r="G36" s="280" t="s">
        <v>674</v>
      </c>
      <c r="H36" s="280" t="s">
        <v>675</v>
      </c>
      <c r="I36" s="281" t="s">
        <v>672</v>
      </c>
      <c r="J36" s="278" t="s">
        <v>7</v>
      </c>
      <c r="K36" s="271" t="s">
        <v>21</v>
      </c>
      <c r="L36" s="279" t="s">
        <v>21</v>
      </c>
      <c r="M36" s="279" t="s">
        <v>28</v>
      </c>
      <c r="N36" s="279" t="s">
        <v>28</v>
      </c>
      <c r="O36" s="280" t="s">
        <v>29</v>
      </c>
      <c r="P36" s="281" t="s">
        <v>34</v>
      </c>
      <c r="Q36" s="280"/>
      <c r="R36" s="282" t="s">
        <v>155</v>
      </c>
      <c r="S36" s="283" t="s">
        <v>20</v>
      </c>
      <c r="T36" s="284" t="s">
        <v>32</v>
      </c>
      <c r="U36" s="285" t="s">
        <v>24</v>
      </c>
      <c r="V36" s="282" t="s">
        <v>155</v>
      </c>
      <c r="W36" s="283" t="s">
        <v>20</v>
      </c>
      <c r="X36" s="284" t="s">
        <v>32</v>
      </c>
      <c r="Y36" s="285" t="s">
        <v>24</v>
      </c>
      <c r="Z36" s="271" t="s">
        <v>155</v>
      </c>
      <c r="AA36" s="279" t="s">
        <v>32</v>
      </c>
      <c r="AB36" s="279" t="s">
        <v>32</v>
      </c>
      <c r="AC36" s="280" t="s">
        <v>24</v>
      </c>
      <c r="AD36" s="280" t="s">
        <v>24</v>
      </c>
    </row>
    <row r="37" spans="1:30" ht="25.5" customHeight="1" x14ac:dyDescent="0.25">
      <c r="A37" s="267">
        <v>4</v>
      </c>
      <c r="B37" s="287" t="s">
        <v>421</v>
      </c>
      <c r="C37" s="288" t="s">
        <v>422</v>
      </c>
      <c r="D37" s="289" t="s">
        <v>422</v>
      </c>
      <c r="E37" s="289" t="s">
        <v>422</v>
      </c>
      <c r="F37" s="289" t="s">
        <v>422</v>
      </c>
      <c r="G37" s="289" t="s">
        <v>422</v>
      </c>
      <c r="H37" s="289" t="s">
        <v>422</v>
      </c>
      <c r="I37" s="290" t="s">
        <v>422</v>
      </c>
      <c r="J37" s="288" t="str">
        <f>V37</f>
        <v xml:space="preserve">Inpatient &amp; Outpatient </v>
      </c>
      <c r="K37" s="292"/>
      <c r="L37" s="289" t="str">
        <f t="shared" ref="K37:L44" si="0">X37</f>
        <v xml:space="preserve">Inpatient &amp; Outpatient </v>
      </c>
      <c r="M37" s="289">
        <f t="shared" ref="M37:N44" si="1">K37</f>
        <v>0</v>
      </c>
      <c r="N37" s="289" t="str">
        <f t="shared" si="1"/>
        <v xml:space="preserve">Inpatient &amp; Outpatient </v>
      </c>
      <c r="O37" s="289" t="str">
        <f t="shared" ref="O37:O44" si="2">Y37</f>
        <v xml:space="preserve">Inpatient &amp; Outpatient </v>
      </c>
      <c r="P37" s="290" t="str">
        <f t="shared" ref="P37:P44" si="3">O37</f>
        <v xml:space="preserve">Inpatient &amp; Outpatient </v>
      </c>
      <c r="Q37" s="291"/>
      <c r="R37" s="288" t="s">
        <v>422</v>
      </c>
      <c r="S37" s="289" t="s">
        <v>422</v>
      </c>
      <c r="T37" s="289" t="s">
        <v>422</v>
      </c>
      <c r="U37" s="290" t="s">
        <v>422</v>
      </c>
      <c r="V37" s="288" t="s">
        <v>422</v>
      </c>
      <c r="W37" s="289" t="s">
        <v>422</v>
      </c>
      <c r="X37" s="289" t="s">
        <v>422</v>
      </c>
      <c r="Y37" s="290" t="s">
        <v>422</v>
      </c>
      <c r="Z37" s="292" t="s">
        <v>422</v>
      </c>
      <c r="AA37" s="289" t="s">
        <v>422</v>
      </c>
      <c r="AB37" s="289" t="s">
        <v>422</v>
      </c>
      <c r="AC37" s="289" t="s">
        <v>422</v>
      </c>
      <c r="AD37" s="289" t="s">
        <v>422</v>
      </c>
    </row>
    <row r="38" spans="1:30" x14ac:dyDescent="0.25">
      <c r="A38" s="267">
        <f>+A37+1</f>
        <v>5</v>
      </c>
      <c r="B38" s="293" t="s">
        <v>423</v>
      </c>
      <c r="C38" s="294" t="s">
        <v>424</v>
      </c>
      <c r="D38" s="295" t="str">
        <f t="shared" ref="D38:E44" si="4">T38</f>
        <v>AED 500,000/ AED 250,000</v>
      </c>
      <c r="E38" s="295"/>
      <c r="F38" s="295" t="str">
        <f t="shared" ref="E38:F44" si="5">D38</f>
        <v>AED 500,000/ AED 250,000</v>
      </c>
      <c r="G38" s="295"/>
      <c r="H38" s="295" t="str">
        <f>U38</f>
        <v>AED 250,000/AED 150,000</v>
      </c>
      <c r="I38" s="296" t="str">
        <f t="shared" ref="I38:I39" si="6">H38</f>
        <v>AED 250,000/AED 150,000</v>
      </c>
      <c r="J38" s="294" t="str">
        <f t="shared" ref="J38:J44" si="7">V38</f>
        <v>AED 1,000,000</v>
      </c>
      <c r="K38" s="443"/>
      <c r="L38" s="297">
        <f t="shared" si="0"/>
        <v>500000</v>
      </c>
      <c r="M38" s="297">
        <f t="shared" si="1"/>
        <v>0</v>
      </c>
      <c r="N38" s="297">
        <f t="shared" si="1"/>
        <v>500000</v>
      </c>
      <c r="O38" s="297">
        <f t="shared" si="2"/>
        <v>250000</v>
      </c>
      <c r="P38" s="296">
        <f t="shared" si="3"/>
        <v>250000</v>
      </c>
      <c r="Q38" s="298"/>
      <c r="R38" s="294" t="s">
        <v>424</v>
      </c>
      <c r="S38" s="295" t="s">
        <v>425</v>
      </c>
      <c r="T38" s="295" t="s">
        <v>426</v>
      </c>
      <c r="U38" s="296" t="s">
        <v>427</v>
      </c>
      <c r="V38" s="299" t="s">
        <v>424</v>
      </c>
      <c r="W38" s="300">
        <v>750000</v>
      </c>
      <c r="X38" s="300">
        <v>500000</v>
      </c>
      <c r="Y38" s="301">
        <v>250000</v>
      </c>
      <c r="Z38" s="302" t="s">
        <v>428</v>
      </c>
      <c r="AA38" s="300">
        <v>250000</v>
      </c>
      <c r="AB38" s="300">
        <v>250000</v>
      </c>
      <c r="AC38" s="300">
        <v>150000</v>
      </c>
      <c r="AD38" s="300">
        <v>150000</v>
      </c>
    </row>
    <row r="39" spans="1:30" ht="48" x14ac:dyDescent="0.25">
      <c r="A39" s="267">
        <f t="shared" ref="A39:A103" si="8">+A38+1</f>
        <v>6</v>
      </c>
      <c r="B39" s="303" t="s">
        <v>429</v>
      </c>
      <c r="C39" s="304" t="s">
        <v>430</v>
      </c>
      <c r="D39" s="305" t="str">
        <f t="shared" si="4"/>
        <v>Option 1: UAE, G.C.C, Arab Countries, ISC &amp; SA
Option 2: UAE &amp; ISC</v>
      </c>
      <c r="E39" s="305"/>
      <c r="F39" s="305" t="str">
        <f t="shared" si="5"/>
        <v>Option 1: UAE, G.C.C, Arab Countries, ISC &amp; SA
Option 2: UAE &amp; ISC</v>
      </c>
      <c r="G39" s="305"/>
      <c r="H39" s="305" t="str">
        <f>U39</f>
        <v xml:space="preserve">UAE Only </v>
      </c>
      <c r="I39" s="306" t="str">
        <f t="shared" si="6"/>
        <v xml:space="preserve">UAE Only </v>
      </c>
      <c r="J39" s="304" t="str">
        <f t="shared" si="7"/>
        <v>Worldwide</v>
      </c>
      <c r="K39" s="444"/>
      <c r="L39" s="305" t="str">
        <f t="shared" si="0"/>
        <v>Option 1: UAE, G.C.C, Arab Countries, ISC &amp; SA
Option 2: UAE &amp; ISC</v>
      </c>
      <c r="M39" s="305">
        <f t="shared" si="1"/>
        <v>0</v>
      </c>
      <c r="N39" s="305" t="str">
        <f t="shared" si="1"/>
        <v>Option 1: UAE, G.C.C, Arab Countries, ISC &amp; SA
Option 2: UAE &amp; ISC</v>
      </c>
      <c r="O39" s="305" t="str">
        <f t="shared" si="2"/>
        <v xml:space="preserve">UAE Only </v>
      </c>
      <c r="P39" s="306" t="str">
        <f t="shared" si="3"/>
        <v xml:space="preserve">UAE Only </v>
      </c>
      <c r="Q39" s="298"/>
      <c r="R39" s="304" t="s">
        <v>430</v>
      </c>
      <c r="S39" s="305" t="s">
        <v>431</v>
      </c>
      <c r="T39" s="305" t="s">
        <v>432</v>
      </c>
      <c r="U39" s="306" t="s">
        <v>433</v>
      </c>
      <c r="V39" s="307" t="s">
        <v>430</v>
      </c>
      <c r="W39" s="308" t="s">
        <v>431</v>
      </c>
      <c r="X39" s="308" t="s">
        <v>432</v>
      </c>
      <c r="Y39" s="309" t="s">
        <v>433</v>
      </c>
      <c r="Z39" s="310" t="s">
        <v>430</v>
      </c>
      <c r="AA39" s="308" t="s">
        <v>432</v>
      </c>
      <c r="AB39" s="308" t="s">
        <v>432</v>
      </c>
      <c r="AC39" s="311" t="s">
        <v>433</v>
      </c>
      <c r="AD39" s="311" t="s">
        <v>433</v>
      </c>
    </row>
    <row r="40" spans="1:30" ht="108" x14ac:dyDescent="0.25">
      <c r="A40" s="267">
        <f t="shared" si="8"/>
        <v>7</v>
      </c>
      <c r="B40" s="312" t="s">
        <v>434</v>
      </c>
      <c r="C40" s="307" t="s">
        <v>435</v>
      </c>
      <c r="D40" s="308" t="str">
        <f t="shared" si="4"/>
        <v xml:space="preserve">
Worldwide Excluding USA &amp; Canada; applicable only in case of emergency while on vacation or business trip provided the maximum aggregate period of stay does not exceed 45 days during the policy period
</v>
      </c>
      <c r="E40" s="308" t="str">
        <f t="shared" si="4"/>
        <v xml:space="preserve">
Worldwide Excluding USA &amp; Canada; applicable only in case of emergency while on vacation or business trip provided the maximum aggregate period of stay does not exceed 45 days during the policy period
</v>
      </c>
      <c r="F40" s="308" t="str">
        <f t="shared" si="5"/>
        <v xml:space="preserve">
Worldwide Excluding USA &amp; Canada; applicable only in case of emergency while on vacation or business trip provided the maximum aggregate period of stay does not exceed 45 days during the policy period
</v>
      </c>
      <c r="G40" s="308" t="s">
        <v>436</v>
      </c>
      <c r="H40" s="308" t="s">
        <v>436</v>
      </c>
      <c r="I40" s="309" t="s">
        <v>436</v>
      </c>
      <c r="J40" s="307" t="s">
        <v>436</v>
      </c>
      <c r="K40" s="310" t="s">
        <v>436</v>
      </c>
      <c r="L40" s="308" t="str">
        <f t="shared" si="0"/>
        <v xml:space="preserve">
Worldwide Excluding USA &amp; Canada; applicable only in case of emergency while on vacation or business trip provided the maximum aggregate period of stay does not exceed 45 days during the policy period
</v>
      </c>
      <c r="M40" s="308" t="str">
        <f t="shared" si="1"/>
        <v xml:space="preserve">
Worldwide Excluding USA &amp; Canada; applicable only in case of emergency while on vacation or business trip provided the maximum aggregate period of stay does not exceed 45 days during the policy period
</v>
      </c>
      <c r="N40" s="308" t="str">
        <f t="shared" si="1"/>
        <v xml:space="preserve">
Worldwide Excluding USA &amp; Canada; applicable only in case of emergency while on vacation or business trip provided the maximum aggregate period of stay does not exceed 45 days during the policy period
</v>
      </c>
      <c r="O40" s="308" t="str">
        <f t="shared" si="2"/>
        <v xml:space="preserve">
Worldwide Excluding USA &amp; Canada; applicable only in case of emergency while on vacation or business trip provided the maximum aggregate period of stay does not exceed 45 days during the policy period
</v>
      </c>
      <c r="P40" s="309" t="str">
        <f t="shared" si="3"/>
        <v xml:space="preserve">
Worldwide Excluding USA &amp; Canada; applicable only in case of emergency while on vacation or business trip provided the maximum aggregate period of stay does not exceed 45 days during the policy period
</v>
      </c>
      <c r="Q40" s="313"/>
      <c r="R40" s="307" t="s">
        <v>435</v>
      </c>
      <c r="S40" s="308" t="s">
        <v>435</v>
      </c>
      <c r="T40" s="308" t="s">
        <v>436</v>
      </c>
      <c r="U40" s="309" t="s">
        <v>436</v>
      </c>
      <c r="V40" s="307" t="s">
        <v>435</v>
      </c>
      <c r="W40" s="308" t="s">
        <v>435</v>
      </c>
      <c r="X40" s="308" t="s">
        <v>436</v>
      </c>
      <c r="Y40" s="309" t="s">
        <v>436</v>
      </c>
      <c r="Z40" s="310" t="s">
        <v>435</v>
      </c>
      <c r="AA40" s="308" t="s">
        <v>436</v>
      </c>
      <c r="AB40" s="308" t="s">
        <v>436</v>
      </c>
      <c r="AC40" s="308" t="s">
        <v>436</v>
      </c>
      <c r="AD40" s="308" t="s">
        <v>436</v>
      </c>
    </row>
    <row r="41" spans="1:30" ht="144" x14ac:dyDescent="0.25">
      <c r="A41" s="267">
        <f t="shared" si="8"/>
        <v>8</v>
      </c>
      <c r="B41" s="314" t="s">
        <v>437</v>
      </c>
      <c r="C41" s="315" t="s">
        <v>438</v>
      </c>
      <c r="D41" s="316" t="s">
        <v>438</v>
      </c>
      <c r="E41" s="316" t="s">
        <v>439</v>
      </c>
      <c r="F41" s="316" t="str">
        <f>E41</f>
        <v>Covered up to 250,000 (subject to evidence of health insurance in UAE ).  If no health insurance continuity of the cover in UAE, any treatment related to the pre-existing and chronic conditions will be subject to  6 months waiting period from the date of first attachment of cover.</v>
      </c>
      <c r="G41" s="316" t="s">
        <v>440</v>
      </c>
      <c r="H41" s="316" t="s">
        <v>440</v>
      </c>
      <c r="I41" s="317" t="s">
        <v>440</v>
      </c>
      <c r="J41" s="315" t="s">
        <v>439</v>
      </c>
      <c r="K41" s="319" t="s">
        <v>743</v>
      </c>
      <c r="L41" s="316" t="s">
        <v>743</v>
      </c>
      <c r="M41" s="316" t="s">
        <v>743</v>
      </c>
      <c r="N41" s="316" t="s">
        <v>743</v>
      </c>
      <c r="O41" s="316" t="s">
        <v>743</v>
      </c>
      <c r="P41" s="317" t="s">
        <v>743</v>
      </c>
      <c r="Q41" s="318"/>
      <c r="R41" s="315" t="s">
        <v>438</v>
      </c>
      <c r="S41" s="316" t="s">
        <v>438</v>
      </c>
      <c r="T41" s="316" t="s">
        <v>439</v>
      </c>
      <c r="U41" s="317" t="s">
        <v>440</v>
      </c>
      <c r="V41" s="315" t="s">
        <v>438</v>
      </c>
      <c r="W41" s="316" t="s">
        <v>438</v>
      </c>
      <c r="X41" s="316" t="s">
        <v>439</v>
      </c>
      <c r="Y41" s="317" t="s">
        <v>439</v>
      </c>
      <c r="Z41" s="319" t="s">
        <v>441</v>
      </c>
      <c r="AA41" s="319" t="s">
        <v>442</v>
      </c>
      <c r="AB41" s="319" t="s">
        <v>442</v>
      </c>
      <c r="AC41" s="319" t="s">
        <v>442</v>
      </c>
      <c r="AD41" s="319" t="s">
        <v>442</v>
      </c>
    </row>
    <row r="42" spans="1:30" ht="24" x14ac:dyDescent="0.25">
      <c r="A42" s="267">
        <f t="shared" si="8"/>
        <v>9</v>
      </c>
      <c r="B42" s="303" t="s">
        <v>443</v>
      </c>
      <c r="C42" s="307" t="s">
        <v>444</v>
      </c>
      <c r="D42" s="308" t="str">
        <f t="shared" si="4"/>
        <v>Optional (NAS or NextCare)</v>
      </c>
      <c r="E42" s="308" t="str">
        <f t="shared" si="4"/>
        <v>Optional (NAS or NextCare)</v>
      </c>
      <c r="F42" s="308" t="str">
        <f t="shared" si="5"/>
        <v>Optional (NAS or NextCare)</v>
      </c>
      <c r="G42" s="308" t="s">
        <v>444</v>
      </c>
      <c r="H42" s="308" t="s">
        <v>444</v>
      </c>
      <c r="I42" s="309" t="s">
        <v>444</v>
      </c>
      <c r="J42" s="307" t="str">
        <f t="shared" si="7"/>
        <v>Optional (NAS or NextCare)</v>
      </c>
      <c r="K42" s="316" t="str">
        <f t="shared" si="0"/>
        <v>Optional (NAS or NextCare)</v>
      </c>
      <c r="L42" s="308" t="str">
        <f t="shared" si="0"/>
        <v>Optional (NAS or NextCare)</v>
      </c>
      <c r="M42" s="308" t="str">
        <f t="shared" si="1"/>
        <v>Optional (NAS or NextCare)</v>
      </c>
      <c r="N42" s="308" t="str">
        <f t="shared" si="1"/>
        <v>Optional (NAS or NextCare)</v>
      </c>
      <c r="O42" s="308" t="str">
        <f t="shared" si="2"/>
        <v>Optional (NAS or NextCare)</v>
      </c>
      <c r="P42" s="309" t="str">
        <f t="shared" si="3"/>
        <v>Optional (NAS or NextCare)</v>
      </c>
      <c r="Q42" s="313"/>
      <c r="R42" s="307" t="s">
        <v>444</v>
      </c>
      <c r="S42" s="308" t="s">
        <v>444</v>
      </c>
      <c r="T42" s="308" t="s">
        <v>444</v>
      </c>
      <c r="U42" s="309" t="s">
        <v>444</v>
      </c>
      <c r="V42" s="307" t="s">
        <v>444</v>
      </c>
      <c r="W42" s="308" t="s">
        <v>444</v>
      </c>
      <c r="X42" s="308" t="s">
        <v>444</v>
      </c>
      <c r="Y42" s="309" t="s">
        <v>444</v>
      </c>
      <c r="Z42" s="310" t="s">
        <v>444</v>
      </c>
      <c r="AA42" s="308" t="s">
        <v>444</v>
      </c>
      <c r="AB42" s="308" t="s">
        <v>444</v>
      </c>
      <c r="AC42" s="308" t="s">
        <v>444</v>
      </c>
      <c r="AD42" s="308" t="s">
        <v>444</v>
      </c>
    </row>
    <row r="43" spans="1:30" ht="204" x14ac:dyDescent="0.25">
      <c r="A43" s="267">
        <f t="shared" si="8"/>
        <v>10</v>
      </c>
      <c r="B43" s="303" t="s">
        <v>445</v>
      </c>
      <c r="C43" s="307" t="s">
        <v>446</v>
      </c>
      <c r="D43" s="308" t="str">
        <f t="shared" si="4"/>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E43" s="308" t="str">
        <f t="shared" si="4"/>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F43" s="308" t="str">
        <f t="shared" si="5"/>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G43" s="308" t="s">
        <v>446</v>
      </c>
      <c r="H43" s="308" t="s">
        <v>446</v>
      </c>
      <c r="I43" s="309" t="s">
        <v>446</v>
      </c>
      <c r="J43" s="307" t="str">
        <f t="shared" si="7"/>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K43" s="308" t="str">
        <f t="shared" si="0"/>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L43" s="308" t="str">
        <f t="shared" si="0"/>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M43" s="308" t="str">
        <f t="shared" si="1"/>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N43" s="308" t="str">
        <f t="shared" si="1"/>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O43" s="308" t="str">
        <f t="shared" si="2"/>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P43" s="309" t="str">
        <f t="shared" si="3"/>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Q43" s="313"/>
      <c r="R43" s="307" t="s">
        <v>446</v>
      </c>
      <c r="S43" s="308" t="s">
        <v>446</v>
      </c>
      <c r="T43" s="308" t="s">
        <v>446</v>
      </c>
      <c r="U43" s="309" t="s">
        <v>446</v>
      </c>
      <c r="V43" s="307" t="s">
        <v>446</v>
      </c>
      <c r="W43" s="308" t="s">
        <v>446</v>
      </c>
      <c r="X43" s="308" t="s">
        <v>446</v>
      </c>
      <c r="Y43" s="309" t="s">
        <v>446</v>
      </c>
      <c r="Z43" s="310" t="s">
        <v>446</v>
      </c>
      <c r="AA43" s="308" t="s">
        <v>446</v>
      </c>
      <c r="AB43" s="308" t="s">
        <v>446</v>
      </c>
      <c r="AC43" s="308" t="s">
        <v>446</v>
      </c>
      <c r="AD43" s="308" t="s">
        <v>446</v>
      </c>
    </row>
    <row r="44" spans="1:30" ht="192.75" thickBot="1" x14ac:dyDescent="0.3">
      <c r="A44" s="267">
        <f t="shared" si="8"/>
        <v>11</v>
      </c>
      <c r="B44" s="320" t="s">
        <v>447</v>
      </c>
      <c r="C44" s="307" t="s">
        <v>448</v>
      </c>
      <c r="D44" s="308" t="str">
        <f t="shared" si="4"/>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E44" s="308" t="str">
        <f t="shared" si="5"/>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F44" s="308" t="str">
        <f t="shared" si="5"/>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G44" s="308" t="s">
        <v>448</v>
      </c>
      <c r="H44" s="308" t="s">
        <v>448</v>
      </c>
      <c r="I44" s="309" t="s">
        <v>448</v>
      </c>
      <c r="J44" s="307" t="str">
        <f t="shared" si="7"/>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K44" s="308" t="str">
        <f t="shared" si="0"/>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L44" s="308" t="str">
        <f t="shared" si="0"/>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M44" s="308" t="str">
        <f t="shared" si="1"/>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N44" s="308" t="str">
        <f t="shared" si="1"/>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O44" s="308" t="str">
        <f t="shared" si="2"/>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P44" s="309" t="str">
        <f t="shared" si="3"/>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Q44" s="313"/>
      <c r="R44" s="307" t="s">
        <v>448</v>
      </c>
      <c r="S44" s="308" t="s">
        <v>448</v>
      </c>
      <c r="T44" s="308" t="s">
        <v>448</v>
      </c>
      <c r="U44" s="309" t="s">
        <v>448</v>
      </c>
      <c r="V44" s="307" t="s">
        <v>448</v>
      </c>
      <c r="W44" s="308" t="s">
        <v>448</v>
      </c>
      <c r="X44" s="308" t="s">
        <v>448</v>
      </c>
      <c r="Y44" s="309" t="s">
        <v>448</v>
      </c>
      <c r="Z44" s="310" t="s">
        <v>448</v>
      </c>
      <c r="AA44" s="308" t="s">
        <v>448</v>
      </c>
      <c r="AB44" s="308" t="s">
        <v>448</v>
      </c>
      <c r="AC44" s="308" t="s">
        <v>448</v>
      </c>
      <c r="AD44" s="308" t="s">
        <v>448</v>
      </c>
    </row>
    <row r="45" spans="1:30" ht="24" x14ac:dyDescent="0.25">
      <c r="A45" s="267">
        <f t="shared" si="8"/>
        <v>12</v>
      </c>
      <c r="B45" s="321" t="s">
        <v>449</v>
      </c>
      <c r="C45" s="322"/>
      <c r="D45" s="323"/>
      <c r="E45" s="323"/>
      <c r="F45" s="323"/>
      <c r="G45" s="323"/>
      <c r="H45" s="323"/>
      <c r="I45" s="324"/>
      <c r="J45" s="322"/>
      <c r="K45" s="326"/>
      <c r="L45" s="323"/>
      <c r="M45" s="323"/>
      <c r="N45" s="323"/>
      <c r="O45" s="323"/>
      <c r="P45" s="324"/>
      <c r="Q45" s="325"/>
      <c r="R45" s="322"/>
      <c r="S45" s="286"/>
      <c r="T45" s="279"/>
      <c r="U45" s="281"/>
      <c r="V45" s="322"/>
      <c r="W45" s="286"/>
      <c r="X45" s="279"/>
      <c r="Y45" s="281"/>
      <c r="Z45" s="326"/>
      <c r="AA45" s="279"/>
      <c r="AB45" s="279"/>
      <c r="AC45" s="280"/>
      <c r="AD45" s="280"/>
    </row>
    <row r="46" spans="1:30" ht="36" x14ac:dyDescent="0.25">
      <c r="A46" s="267">
        <f t="shared" si="8"/>
        <v>13</v>
      </c>
      <c r="B46" s="327" t="s">
        <v>450</v>
      </c>
      <c r="C46" s="307" t="s">
        <v>638</v>
      </c>
      <c r="D46" s="308" t="s">
        <v>685</v>
      </c>
      <c r="E46" s="308" t="s">
        <v>639</v>
      </c>
      <c r="F46" s="308" t="s">
        <v>639</v>
      </c>
      <c r="G46" s="308" t="s">
        <v>639</v>
      </c>
      <c r="H46" s="308" t="s">
        <v>639</v>
      </c>
      <c r="I46" s="309" t="s">
        <v>639</v>
      </c>
      <c r="J46" s="307" t="str">
        <f t="shared" ref="J46:J54" si="9">V46</f>
        <v xml:space="preserve">Maximum of AED 800 per day </v>
      </c>
      <c r="K46" s="310" t="s">
        <v>685</v>
      </c>
      <c r="L46" s="308" t="str">
        <f t="shared" ref="K46:L56" si="10">X46</f>
        <v xml:space="preserve">Maximum of AED 500 per day </v>
      </c>
      <c r="M46" s="308" t="str">
        <f t="shared" ref="M46:N63" si="11">K46</f>
        <v xml:space="preserve">Maximum of AED 700 per day </v>
      </c>
      <c r="N46" s="308" t="str">
        <f t="shared" si="11"/>
        <v xml:space="preserve">Maximum of AED 500 per day </v>
      </c>
      <c r="O46" s="308" t="str">
        <f t="shared" ref="O46:O56" si="12">Y46</f>
        <v xml:space="preserve">Maximum of AED 500 per day </v>
      </c>
      <c r="P46" s="309" t="str">
        <f t="shared" ref="P46:P63" si="13">O46</f>
        <v xml:space="preserve">Maximum of AED 500 per day </v>
      </c>
      <c r="Q46" s="313"/>
      <c r="R46" s="307" t="s">
        <v>638</v>
      </c>
      <c r="S46" s="308" t="s">
        <v>632</v>
      </c>
      <c r="T46" s="308" t="s">
        <v>639</v>
      </c>
      <c r="U46" s="309" t="s">
        <v>639</v>
      </c>
      <c r="V46" s="307" t="s">
        <v>638</v>
      </c>
      <c r="W46" s="308" t="s">
        <v>632</v>
      </c>
      <c r="X46" s="308" t="s">
        <v>639</v>
      </c>
      <c r="Y46" s="309" t="s">
        <v>639</v>
      </c>
      <c r="Z46" s="310" t="s">
        <v>451</v>
      </c>
      <c r="AA46" s="308" t="s">
        <v>452</v>
      </c>
      <c r="AB46" s="308" t="s">
        <v>452</v>
      </c>
      <c r="AC46" s="308" t="s">
        <v>452</v>
      </c>
      <c r="AD46" s="308" t="s">
        <v>452</v>
      </c>
    </row>
    <row r="47" spans="1:30" ht="22.5" customHeight="1" x14ac:dyDescent="0.25">
      <c r="A47" s="267">
        <f t="shared" si="8"/>
        <v>14</v>
      </c>
      <c r="B47" s="328" t="s">
        <v>453</v>
      </c>
      <c r="C47" s="315" t="s">
        <v>454</v>
      </c>
      <c r="D47" s="316" t="str">
        <f t="shared" ref="D47:E63" si="14">T47</f>
        <v>Covered</v>
      </c>
      <c r="E47" s="316" t="str">
        <f t="shared" ref="E47:F63" si="15">C47</f>
        <v>Covered</v>
      </c>
      <c r="F47" s="316" t="str">
        <f t="shared" si="15"/>
        <v>Covered</v>
      </c>
      <c r="G47" s="316" t="s">
        <v>454</v>
      </c>
      <c r="H47" s="316" t="s">
        <v>454</v>
      </c>
      <c r="I47" s="317" t="s">
        <v>454</v>
      </c>
      <c r="J47" s="315" t="str">
        <f t="shared" si="9"/>
        <v>Covered</v>
      </c>
      <c r="K47" s="316" t="str">
        <f t="shared" si="10"/>
        <v>Covered</v>
      </c>
      <c r="L47" s="316" t="str">
        <f t="shared" si="10"/>
        <v>Covered</v>
      </c>
      <c r="M47" s="316" t="str">
        <f t="shared" si="11"/>
        <v>Covered</v>
      </c>
      <c r="N47" s="316" t="str">
        <f t="shared" si="11"/>
        <v>Covered</v>
      </c>
      <c r="O47" s="316" t="str">
        <f t="shared" si="12"/>
        <v>Covered</v>
      </c>
      <c r="P47" s="317" t="str">
        <f t="shared" si="13"/>
        <v>Covered</v>
      </c>
      <c r="Q47" s="318"/>
      <c r="R47" s="315" t="s">
        <v>454</v>
      </c>
      <c r="S47" s="316" t="s">
        <v>454</v>
      </c>
      <c r="T47" s="316" t="s">
        <v>454</v>
      </c>
      <c r="U47" s="317" t="s">
        <v>454</v>
      </c>
      <c r="V47" s="315" t="s">
        <v>454</v>
      </c>
      <c r="W47" s="316" t="s">
        <v>454</v>
      </c>
      <c r="X47" s="316" t="s">
        <v>454</v>
      </c>
      <c r="Y47" s="317" t="s">
        <v>454</v>
      </c>
      <c r="Z47" s="319" t="s">
        <v>454</v>
      </c>
      <c r="AA47" s="316" t="s">
        <v>454</v>
      </c>
      <c r="AB47" s="316" t="s">
        <v>454</v>
      </c>
      <c r="AC47" s="329" t="s">
        <v>454</v>
      </c>
      <c r="AD47" s="329" t="s">
        <v>454</v>
      </c>
    </row>
    <row r="48" spans="1:30" ht="48" x14ac:dyDescent="0.25">
      <c r="A48" s="267">
        <f t="shared" si="8"/>
        <v>15</v>
      </c>
      <c r="B48" s="314" t="s">
        <v>455</v>
      </c>
      <c r="C48" s="330" t="s">
        <v>682</v>
      </c>
      <c r="D48" s="331" t="s">
        <v>633</v>
      </c>
      <c r="E48" s="331" t="s">
        <v>686</v>
      </c>
      <c r="F48" s="331" t="s">
        <v>686</v>
      </c>
      <c r="G48" s="331" t="s">
        <v>691</v>
      </c>
      <c r="H48" s="331" t="s">
        <v>691</v>
      </c>
      <c r="I48" s="332" t="s">
        <v>691</v>
      </c>
      <c r="J48" s="330" t="str">
        <f t="shared" si="9"/>
        <v xml:space="preserve">AED 200 per day for maximum 30 days </v>
      </c>
      <c r="K48" s="331" t="str">
        <f t="shared" si="10"/>
        <v xml:space="preserve">AED 350 per day for maximum 45 days </v>
      </c>
      <c r="L48" s="331" t="str">
        <f t="shared" si="10"/>
        <v>AED 100 per day for maximum 30 days</v>
      </c>
      <c r="M48" s="331" t="str">
        <f t="shared" si="11"/>
        <v xml:space="preserve">AED 350 per day for maximum 45 days </v>
      </c>
      <c r="N48" s="331" t="str">
        <f t="shared" si="11"/>
        <v>AED 100 per day for maximum 30 days</v>
      </c>
      <c r="O48" s="331" t="str">
        <f t="shared" si="12"/>
        <v>AED 100 per day for maximum 30 days</v>
      </c>
      <c r="P48" s="332" t="str">
        <f t="shared" si="13"/>
        <v>AED 100 per day for maximum 30 days</v>
      </c>
      <c r="Q48" s="313"/>
      <c r="R48" s="307" t="s">
        <v>613</v>
      </c>
      <c r="S48" s="308" t="s">
        <v>633</v>
      </c>
      <c r="T48" s="308" t="s">
        <v>614</v>
      </c>
      <c r="U48" s="309" t="s">
        <v>614</v>
      </c>
      <c r="V48" s="307" t="s">
        <v>613</v>
      </c>
      <c r="W48" s="308" t="s">
        <v>633</v>
      </c>
      <c r="X48" s="308" t="s">
        <v>614</v>
      </c>
      <c r="Y48" s="309" t="s">
        <v>614</v>
      </c>
      <c r="Z48" s="310" t="s">
        <v>456</v>
      </c>
      <c r="AA48" s="308" t="s">
        <v>457</v>
      </c>
      <c r="AB48" s="308" t="s">
        <v>457</v>
      </c>
      <c r="AC48" s="308" t="s">
        <v>458</v>
      </c>
      <c r="AD48" s="308" t="s">
        <v>458</v>
      </c>
    </row>
    <row r="49" spans="1:30" ht="48" x14ac:dyDescent="0.25">
      <c r="A49" s="267">
        <f t="shared" si="8"/>
        <v>16</v>
      </c>
      <c r="B49" s="328" t="s">
        <v>459</v>
      </c>
      <c r="C49" s="315" t="s">
        <v>454</v>
      </c>
      <c r="D49" s="316" t="str">
        <f t="shared" si="14"/>
        <v>Covered</v>
      </c>
      <c r="E49" s="316" t="str">
        <f t="shared" si="14"/>
        <v>Covered</v>
      </c>
      <c r="F49" s="316" t="str">
        <f t="shared" si="15"/>
        <v>Covered</v>
      </c>
      <c r="G49" s="316" t="s">
        <v>454</v>
      </c>
      <c r="H49" s="316" t="s">
        <v>454</v>
      </c>
      <c r="I49" s="317" t="s">
        <v>454</v>
      </c>
      <c r="J49" s="315" t="str">
        <f t="shared" si="9"/>
        <v>Covered</v>
      </c>
      <c r="K49" s="316" t="str">
        <f t="shared" si="10"/>
        <v>Covered</v>
      </c>
      <c r="L49" s="316" t="str">
        <f t="shared" si="10"/>
        <v>Covered</v>
      </c>
      <c r="M49" s="316" t="str">
        <f t="shared" si="11"/>
        <v>Covered</v>
      </c>
      <c r="N49" s="316" t="str">
        <f t="shared" si="11"/>
        <v>Covered</v>
      </c>
      <c r="O49" s="316" t="str">
        <f t="shared" si="12"/>
        <v>Covered</v>
      </c>
      <c r="P49" s="317" t="str">
        <f t="shared" si="13"/>
        <v>Covered</v>
      </c>
      <c r="Q49" s="318"/>
      <c r="R49" s="315" t="s">
        <v>454</v>
      </c>
      <c r="S49" s="316" t="s">
        <v>454</v>
      </c>
      <c r="T49" s="316" t="s">
        <v>454</v>
      </c>
      <c r="U49" s="317" t="s">
        <v>454</v>
      </c>
      <c r="V49" s="315" t="s">
        <v>454</v>
      </c>
      <c r="W49" s="316" t="s">
        <v>454</v>
      </c>
      <c r="X49" s="316" t="s">
        <v>454</v>
      </c>
      <c r="Y49" s="317" t="s">
        <v>454</v>
      </c>
      <c r="Z49" s="319" t="s">
        <v>454</v>
      </c>
      <c r="AA49" s="316" t="s">
        <v>454</v>
      </c>
      <c r="AB49" s="316" t="s">
        <v>454</v>
      </c>
      <c r="AC49" s="329" t="s">
        <v>454</v>
      </c>
      <c r="AD49" s="329" t="s">
        <v>454</v>
      </c>
    </row>
    <row r="50" spans="1:30" ht="24" x14ac:dyDescent="0.25">
      <c r="A50" s="267">
        <f t="shared" si="8"/>
        <v>17</v>
      </c>
      <c r="B50" s="328" t="s">
        <v>460</v>
      </c>
      <c r="C50" s="315" t="s">
        <v>454</v>
      </c>
      <c r="D50" s="316" t="str">
        <f t="shared" si="14"/>
        <v>Covered</v>
      </c>
      <c r="E50" s="316" t="str">
        <f t="shared" si="14"/>
        <v>Covered</v>
      </c>
      <c r="F50" s="316" t="str">
        <f t="shared" si="15"/>
        <v>Covered</v>
      </c>
      <c r="G50" s="316" t="s">
        <v>454</v>
      </c>
      <c r="H50" s="316" t="s">
        <v>454</v>
      </c>
      <c r="I50" s="317" t="s">
        <v>454</v>
      </c>
      <c r="J50" s="315" t="str">
        <f t="shared" si="9"/>
        <v>Covered</v>
      </c>
      <c r="K50" s="316" t="str">
        <f t="shared" si="10"/>
        <v>Covered</v>
      </c>
      <c r="L50" s="316" t="str">
        <f t="shared" si="10"/>
        <v>Covered</v>
      </c>
      <c r="M50" s="316" t="str">
        <f t="shared" si="11"/>
        <v>Covered</v>
      </c>
      <c r="N50" s="316" t="str">
        <f t="shared" si="11"/>
        <v>Covered</v>
      </c>
      <c r="O50" s="316" t="str">
        <f t="shared" si="12"/>
        <v>Covered</v>
      </c>
      <c r="P50" s="317" t="str">
        <f t="shared" si="13"/>
        <v>Covered</v>
      </c>
      <c r="Q50" s="318"/>
      <c r="R50" s="315" t="s">
        <v>454</v>
      </c>
      <c r="S50" s="316" t="s">
        <v>454</v>
      </c>
      <c r="T50" s="316" t="s">
        <v>454</v>
      </c>
      <c r="U50" s="317" t="s">
        <v>454</v>
      </c>
      <c r="V50" s="315" t="s">
        <v>454</v>
      </c>
      <c r="W50" s="316" t="s">
        <v>454</v>
      </c>
      <c r="X50" s="316" t="s">
        <v>454</v>
      </c>
      <c r="Y50" s="317" t="s">
        <v>454</v>
      </c>
      <c r="Z50" s="319" t="s">
        <v>454</v>
      </c>
      <c r="AA50" s="316" t="s">
        <v>454</v>
      </c>
      <c r="AB50" s="316" t="s">
        <v>454</v>
      </c>
      <c r="AC50" s="316" t="s">
        <v>454</v>
      </c>
      <c r="AD50" s="316" t="s">
        <v>454</v>
      </c>
    </row>
    <row r="51" spans="1:30" ht="20.100000000000001" customHeight="1" x14ac:dyDescent="0.25">
      <c r="A51" s="267">
        <f t="shared" si="8"/>
        <v>18</v>
      </c>
      <c r="B51" s="328" t="s">
        <v>461</v>
      </c>
      <c r="C51" s="315" t="s">
        <v>454</v>
      </c>
      <c r="D51" s="316" t="str">
        <f t="shared" si="14"/>
        <v>Covered</v>
      </c>
      <c r="E51" s="316" t="str">
        <f t="shared" si="14"/>
        <v>Covered</v>
      </c>
      <c r="F51" s="316" t="str">
        <f t="shared" si="15"/>
        <v>Covered</v>
      </c>
      <c r="G51" s="316" t="s">
        <v>454</v>
      </c>
      <c r="H51" s="316" t="s">
        <v>454</v>
      </c>
      <c r="I51" s="317" t="s">
        <v>454</v>
      </c>
      <c r="J51" s="315" t="str">
        <f t="shared" si="9"/>
        <v>Covered</v>
      </c>
      <c r="K51" s="316" t="str">
        <f t="shared" si="10"/>
        <v>Covered</v>
      </c>
      <c r="L51" s="316" t="str">
        <f t="shared" si="10"/>
        <v>Covered</v>
      </c>
      <c r="M51" s="316" t="str">
        <f t="shared" si="11"/>
        <v>Covered</v>
      </c>
      <c r="N51" s="316" t="str">
        <f t="shared" si="11"/>
        <v>Covered</v>
      </c>
      <c r="O51" s="316" t="str">
        <f t="shared" si="12"/>
        <v>Covered</v>
      </c>
      <c r="P51" s="317" t="str">
        <f t="shared" si="13"/>
        <v>Covered</v>
      </c>
      <c r="Q51" s="318"/>
      <c r="R51" s="315" t="s">
        <v>454</v>
      </c>
      <c r="S51" s="316" t="s">
        <v>454</v>
      </c>
      <c r="T51" s="316" t="s">
        <v>454</v>
      </c>
      <c r="U51" s="317" t="s">
        <v>454</v>
      </c>
      <c r="V51" s="315" t="s">
        <v>454</v>
      </c>
      <c r="W51" s="316" t="s">
        <v>454</v>
      </c>
      <c r="X51" s="316" t="s">
        <v>454</v>
      </c>
      <c r="Y51" s="317" t="s">
        <v>454</v>
      </c>
      <c r="Z51" s="319" t="s">
        <v>454</v>
      </c>
      <c r="AA51" s="316" t="s">
        <v>454</v>
      </c>
      <c r="AB51" s="316" t="s">
        <v>454</v>
      </c>
      <c r="AC51" s="316" t="s">
        <v>454</v>
      </c>
      <c r="AD51" s="316" t="s">
        <v>454</v>
      </c>
    </row>
    <row r="52" spans="1:30" ht="72" x14ac:dyDescent="0.25">
      <c r="A52" s="267">
        <f t="shared" si="8"/>
        <v>19</v>
      </c>
      <c r="B52" s="333" t="s">
        <v>462</v>
      </c>
      <c r="C52" s="330" t="s">
        <v>683</v>
      </c>
      <c r="D52" s="334" t="s">
        <v>687</v>
      </c>
      <c r="E52" s="334" t="s">
        <v>688</v>
      </c>
      <c r="F52" s="334" t="s">
        <v>688</v>
      </c>
      <c r="G52" s="334" t="s">
        <v>692</v>
      </c>
      <c r="H52" s="334" t="s">
        <v>692</v>
      </c>
      <c r="I52" s="335" t="s">
        <v>692</v>
      </c>
      <c r="J52" s="330" t="str">
        <f t="shared" si="9"/>
        <v xml:space="preserve">AED 200 per day for maximum 30 days </v>
      </c>
      <c r="K52" s="334" t="str">
        <f t="shared" si="10"/>
        <v xml:space="preserve">AED 200 per day for maximum 30 days </v>
      </c>
      <c r="L52" s="334" t="str">
        <f t="shared" si="10"/>
        <v>AED 100 per day for maximum 30 days</v>
      </c>
      <c r="M52" s="334" t="str">
        <f t="shared" si="11"/>
        <v xml:space="preserve">AED 200 per day for maximum 30 days </v>
      </c>
      <c r="N52" s="334" t="str">
        <f t="shared" si="11"/>
        <v>AED 100 per day for maximum 30 days</v>
      </c>
      <c r="O52" s="334" t="str">
        <f t="shared" si="12"/>
        <v>AED 100 per day for maximum 30 days</v>
      </c>
      <c r="P52" s="335" t="str">
        <f t="shared" si="13"/>
        <v>AED 100 per day for maximum 30 days</v>
      </c>
      <c r="Q52" s="313"/>
      <c r="R52" s="307" t="s">
        <v>613</v>
      </c>
      <c r="S52" s="308" t="s">
        <v>634</v>
      </c>
      <c r="T52" s="308" t="s">
        <v>614</v>
      </c>
      <c r="U52" s="309" t="s">
        <v>614</v>
      </c>
      <c r="V52" s="307" t="s">
        <v>613</v>
      </c>
      <c r="W52" s="308" t="s">
        <v>613</v>
      </c>
      <c r="X52" s="308" t="s">
        <v>614</v>
      </c>
      <c r="Y52" s="309" t="s">
        <v>614</v>
      </c>
      <c r="Z52" s="310" t="s">
        <v>463</v>
      </c>
      <c r="AA52" s="308" t="s">
        <v>464</v>
      </c>
      <c r="AB52" s="308" t="s">
        <v>464</v>
      </c>
      <c r="AC52" s="311" t="s">
        <v>465</v>
      </c>
      <c r="AD52" s="311" t="s">
        <v>465</v>
      </c>
    </row>
    <row r="53" spans="1:30" ht="36" x14ac:dyDescent="0.25">
      <c r="A53" s="267">
        <f t="shared" si="8"/>
        <v>20</v>
      </c>
      <c r="B53" s="336" t="s">
        <v>466</v>
      </c>
      <c r="C53" s="299" t="s">
        <v>616</v>
      </c>
      <c r="D53" s="337" t="s">
        <v>616</v>
      </c>
      <c r="E53" s="337" t="s">
        <v>689</v>
      </c>
      <c r="F53" s="337" t="s">
        <v>689</v>
      </c>
      <c r="G53" s="337" t="s">
        <v>689</v>
      </c>
      <c r="H53" s="337" t="s">
        <v>689</v>
      </c>
      <c r="I53" s="338" t="s">
        <v>689</v>
      </c>
      <c r="J53" s="299" t="str">
        <f t="shared" si="9"/>
        <v xml:space="preserve">Covered up to Maximum AED 400 per day for maximum 60 days  </v>
      </c>
      <c r="K53" s="302" t="s">
        <v>636</v>
      </c>
      <c r="L53" s="337" t="str">
        <f t="shared" si="10"/>
        <v xml:space="preserve">Covered up to Maximum AED 3000 per day for maximum 45 days  </v>
      </c>
      <c r="M53" s="337" t="str">
        <f t="shared" si="11"/>
        <v xml:space="preserve">Covered up to Maximum AED 3000 per day for maximum 45 days  </v>
      </c>
      <c r="N53" s="337" t="str">
        <f t="shared" si="11"/>
        <v xml:space="preserve">Covered up to Maximum AED 3000 per day for maximum 45 days  </v>
      </c>
      <c r="O53" s="337" t="str">
        <f t="shared" si="12"/>
        <v xml:space="preserve">Covered up to Maximum AED 300 per day for maximum 30 days </v>
      </c>
      <c r="P53" s="338" t="str">
        <f t="shared" si="13"/>
        <v xml:space="preserve">Covered up to Maximum AED 300 per day for maximum 30 days </v>
      </c>
      <c r="Q53" s="339"/>
      <c r="R53" s="299" t="s">
        <v>616</v>
      </c>
      <c r="S53" s="337" t="s">
        <v>635</v>
      </c>
      <c r="T53" s="337" t="s">
        <v>636</v>
      </c>
      <c r="U53" s="338" t="s">
        <v>637</v>
      </c>
      <c r="V53" s="299" t="s">
        <v>616</v>
      </c>
      <c r="W53" s="337" t="s">
        <v>635</v>
      </c>
      <c r="X53" s="337" t="s">
        <v>636</v>
      </c>
      <c r="Y53" s="338" t="s">
        <v>637</v>
      </c>
      <c r="Z53" s="302" t="s">
        <v>467</v>
      </c>
      <c r="AA53" s="337" t="s">
        <v>468</v>
      </c>
      <c r="AB53" s="337" t="s">
        <v>468</v>
      </c>
      <c r="AC53" s="340" t="s">
        <v>469</v>
      </c>
      <c r="AD53" s="340" t="s">
        <v>469</v>
      </c>
    </row>
    <row r="54" spans="1:30" ht="84" x14ac:dyDescent="0.25">
      <c r="A54" s="267">
        <f t="shared" si="8"/>
        <v>21</v>
      </c>
      <c r="B54" s="341" t="s">
        <v>470</v>
      </c>
      <c r="C54" s="342" t="s">
        <v>684</v>
      </c>
      <c r="D54" s="337" t="s">
        <v>690</v>
      </c>
      <c r="E54" s="337" t="s">
        <v>615</v>
      </c>
      <c r="F54" s="337" t="s">
        <v>615</v>
      </c>
      <c r="G54" s="337" t="s">
        <v>615</v>
      </c>
      <c r="H54" s="337" t="s">
        <v>615</v>
      </c>
      <c r="I54" s="338" t="s">
        <v>615</v>
      </c>
      <c r="J54" s="342" t="str">
        <f t="shared" si="9"/>
        <v>AED 200 per night</v>
      </c>
      <c r="K54" s="445" t="s">
        <v>615</v>
      </c>
      <c r="L54" s="337" t="str">
        <f t="shared" si="10"/>
        <v>AED 200 per night</v>
      </c>
      <c r="M54" s="337" t="str">
        <f t="shared" si="11"/>
        <v>AED 200 per night</v>
      </c>
      <c r="N54" s="337" t="str">
        <f t="shared" si="11"/>
        <v>AED 200 per night</v>
      </c>
      <c r="O54" s="337" t="str">
        <f t="shared" si="12"/>
        <v>AED 200 per night</v>
      </c>
      <c r="P54" s="338" t="str">
        <f t="shared" si="13"/>
        <v>AED 200 per night</v>
      </c>
      <c r="Q54" s="343"/>
      <c r="R54" s="342" t="s">
        <v>615</v>
      </c>
      <c r="S54" s="305" t="s">
        <v>615</v>
      </c>
      <c r="T54" s="305" t="s">
        <v>615</v>
      </c>
      <c r="U54" s="306" t="s">
        <v>615</v>
      </c>
      <c r="V54" s="344" t="s">
        <v>615</v>
      </c>
      <c r="W54" s="308" t="s">
        <v>615</v>
      </c>
      <c r="X54" s="308" t="s">
        <v>615</v>
      </c>
      <c r="Y54" s="309" t="s">
        <v>615</v>
      </c>
      <c r="Z54" s="345" t="s">
        <v>471</v>
      </c>
      <c r="AA54" s="308" t="s">
        <v>472</v>
      </c>
      <c r="AB54" s="308" t="s">
        <v>472</v>
      </c>
      <c r="AC54" s="311" t="s">
        <v>472</v>
      </c>
      <c r="AD54" s="311" t="s">
        <v>472</v>
      </c>
    </row>
    <row r="55" spans="1:30" ht="120" x14ac:dyDescent="0.25">
      <c r="A55" s="267">
        <f t="shared" si="8"/>
        <v>22</v>
      </c>
      <c r="B55" s="336" t="s">
        <v>640</v>
      </c>
      <c r="C55" s="307" t="s">
        <v>454</v>
      </c>
      <c r="D55" s="308" t="str">
        <f t="shared" si="14"/>
        <v>Covered</v>
      </c>
      <c r="E55" s="308" t="str">
        <f t="shared" si="14"/>
        <v>Covered</v>
      </c>
      <c r="F55" s="308" t="str">
        <f t="shared" si="15"/>
        <v>Covered</v>
      </c>
      <c r="G55" s="308" t="s">
        <v>454</v>
      </c>
      <c r="H55" s="308" t="s">
        <v>454</v>
      </c>
      <c r="I55" s="309" t="s">
        <v>454</v>
      </c>
      <c r="J55" s="307" t="str">
        <f t="shared" ref="J55:J63" si="16">V55</f>
        <v>Covered</v>
      </c>
      <c r="K55" s="308" t="str">
        <f t="shared" si="10"/>
        <v>Covered</v>
      </c>
      <c r="L55" s="308" t="str">
        <f t="shared" si="10"/>
        <v>Covered</v>
      </c>
      <c r="M55" s="308" t="str">
        <f t="shared" si="11"/>
        <v>Covered</v>
      </c>
      <c r="N55" s="308" t="str">
        <f t="shared" si="11"/>
        <v>Covered</v>
      </c>
      <c r="O55" s="308" t="str">
        <f t="shared" si="12"/>
        <v>Covered</v>
      </c>
      <c r="P55" s="309" t="str">
        <f t="shared" si="13"/>
        <v>Covered</v>
      </c>
      <c r="Q55" s="313"/>
      <c r="R55" s="307" t="s">
        <v>454</v>
      </c>
      <c r="S55" s="308" t="s">
        <v>454</v>
      </c>
      <c r="T55" s="308" t="s">
        <v>454</v>
      </c>
      <c r="U55" s="309" t="s">
        <v>454</v>
      </c>
      <c r="V55" s="307" t="s">
        <v>454</v>
      </c>
      <c r="W55" s="308" t="s">
        <v>454</v>
      </c>
      <c r="X55" s="308" t="s">
        <v>454</v>
      </c>
      <c r="Y55" s="309" t="s">
        <v>454</v>
      </c>
      <c r="Z55" s="310" t="s">
        <v>454</v>
      </c>
      <c r="AA55" s="308" t="s">
        <v>454</v>
      </c>
      <c r="AB55" s="308" t="s">
        <v>454</v>
      </c>
      <c r="AC55" s="311" t="s">
        <v>454</v>
      </c>
      <c r="AD55" s="311" t="s">
        <v>454</v>
      </c>
    </row>
    <row r="56" spans="1:30" ht="96" x14ac:dyDescent="0.25">
      <c r="A56" s="267">
        <f t="shared" si="8"/>
        <v>23</v>
      </c>
      <c r="B56" s="336" t="s">
        <v>641</v>
      </c>
      <c r="C56" s="346" t="s">
        <v>454</v>
      </c>
      <c r="D56" s="347" t="str">
        <f t="shared" si="14"/>
        <v>Covered</v>
      </c>
      <c r="E56" s="347" t="str">
        <f t="shared" si="14"/>
        <v>Covered</v>
      </c>
      <c r="F56" s="347" t="str">
        <f t="shared" si="15"/>
        <v>Covered</v>
      </c>
      <c r="G56" s="347" t="s">
        <v>454</v>
      </c>
      <c r="H56" s="347" t="s">
        <v>454</v>
      </c>
      <c r="I56" s="348" t="s">
        <v>454</v>
      </c>
      <c r="J56" s="346" t="str">
        <f t="shared" si="16"/>
        <v>Covered</v>
      </c>
      <c r="K56" s="347" t="str">
        <f t="shared" si="10"/>
        <v>Covered</v>
      </c>
      <c r="L56" s="347" t="str">
        <f t="shared" si="10"/>
        <v>Covered</v>
      </c>
      <c r="M56" s="347" t="str">
        <f t="shared" si="11"/>
        <v>Covered</v>
      </c>
      <c r="N56" s="347" t="str">
        <f t="shared" si="11"/>
        <v>Covered</v>
      </c>
      <c r="O56" s="347" t="str">
        <f t="shared" si="12"/>
        <v>Covered</v>
      </c>
      <c r="P56" s="348" t="str">
        <f t="shared" si="13"/>
        <v>Covered</v>
      </c>
      <c r="Q56" s="349"/>
      <c r="R56" s="346" t="s">
        <v>454</v>
      </c>
      <c r="S56" s="347" t="s">
        <v>454</v>
      </c>
      <c r="T56" s="347" t="s">
        <v>454</v>
      </c>
      <c r="U56" s="348" t="s">
        <v>454</v>
      </c>
      <c r="V56" s="346" t="s">
        <v>454</v>
      </c>
      <c r="W56" s="347" t="s">
        <v>454</v>
      </c>
      <c r="X56" s="347" t="s">
        <v>454</v>
      </c>
      <c r="Y56" s="348" t="s">
        <v>454</v>
      </c>
      <c r="Z56" s="350" t="s">
        <v>454</v>
      </c>
      <c r="AA56" s="347" t="s">
        <v>454</v>
      </c>
      <c r="AB56" s="347" t="s">
        <v>454</v>
      </c>
      <c r="AC56" s="351" t="s">
        <v>454</v>
      </c>
      <c r="AD56" s="351" t="s">
        <v>454</v>
      </c>
    </row>
    <row r="57" spans="1:30" ht="18.600000000000001" customHeight="1" x14ac:dyDescent="0.25">
      <c r="A57" s="267">
        <f t="shared" si="8"/>
        <v>24</v>
      </c>
      <c r="B57" s="336" t="s">
        <v>642</v>
      </c>
      <c r="C57" s="294" t="s">
        <v>130</v>
      </c>
      <c r="D57" s="295" t="s">
        <v>130</v>
      </c>
      <c r="E57" s="295" t="s">
        <v>130</v>
      </c>
      <c r="F57" s="295" t="s">
        <v>130</v>
      </c>
      <c r="G57" s="295" t="s">
        <v>130</v>
      </c>
      <c r="H57" s="295" t="s">
        <v>130</v>
      </c>
      <c r="I57" s="296" t="s">
        <v>130</v>
      </c>
      <c r="J57" s="294" t="s">
        <v>130</v>
      </c>
      <c r="K57" s="295" t="s">
        <v>130</v>
      </c>
      <c r="L57" s="295" t="s">
        <v>130</v>
      </c>
      <c r="M57" s="295" t="s">
        <v>130</v>
      </c>
      <c r="N57" s="295" t="s">
        <v>130</v>
      </c>
      <c r="O57" s="295" t="s">
        <v>130</v>
      </c>
      <c r="P57" s="296" t="s">
        <v>130</v>
      </c>
      <c r="Q57" s="298"/>
      <c r="R57" s="294" t="s">
        <v>454</v>
      </c>
      <c r="S57" s="295" t="s">
        <v>454</v>
      </c>
      <c r="T57" s="295" t="s">
        <v>454</v>
      </c>
      <c r="U57" s="296" t="s">
        <v>454</v>
      </c>
      <c r="V57" s="299" t="s">
        <v>454</v>
      </c>
      <c r="W57" s="337" t="s">
        <v>454</v>
      </c>
      <c r="X57" s="337" t="s">
        <v>454</v>
      </c>
      <c r="Y57" s="338" t="s">
        <v>454</v>
      </c>
      <c r="Z57" s="302" t="s">
        <v>454</v>
      </c>
      <c r="AA57" s="337" t="s">
        <v>454</v>
      </c>
      <c r="AB57" s="337" t="s">
        <v>454</v>
      </c>
      <c r="AC57" s="340" t="s">
        <v>454</v>
      </c>
      <c r="AD57" s="340" t="s">
        <v>454</v>
      </c>
    </row>
    <row r="58" spans="1:30" ht="22.5" customHeight="1" x14ac:dyDescent="0.25">
      <c r="A58" s="267">
        <f t="shared" si="8"/>
        <v>25</v>
      </c>
      <c r="B58" s="336" t="s">
        <v>643</v>
      </c>
      <c r="C58" s="352" t="s">
        <v>454</v>
      </c>
      <c r="D58" s="353" t="str">
        <f t="shared" si="14"/>
        <v>Covered</v>
      </c>
      <c r="E58" s="353" t="s">
        <v>454</v>
      </c>
      <c r="F58" s="353" t="str">
        <f t="shared" si="15"/>
        <v>Covered</v>
      </c>
      <c r="G58" s="353" t="s">
        <v>454</v>
      </c>
      <c r="H58" s="353" t="s">
        <v>454</v>
      </c>
      <c r="I58" s="354" t="s">
        <v>454</v>
      </c>
      <c r="J58" s="352" t="str">
        <f t="shared" si="16"/>
        <v>Covered</v>
      </c>
      <c r="K58" s="353" t="str">
        <f>W58</f>
        <v>Covered</v>
      </c>
      <c r="L58" s="353" t="str">
        <f>X58</f>
        <v>Covered</v>
      </c>
      <c r="M58" s="353" t="str">
        <f t="shared" si="11"/>
        <v>Covered</v>
      </c>
      <c r="N58" s="353" t="str">
        <f t="shared" si="11"/>
        <v>Covered</v>
      </c>
      <c r="O58" s="353" t="str">
        <f>Y58</f>
        <v>Covered</v>
      </c>
      <c r="P58" s="354" t="str">
        <f t="shared" si="13"/>
        <v>Covered</v>
      </c>
      <c r="Q58" s="349"/>
      <c r="R58" s="352" t="s">
        <v>454</v>
      </c>
      <c r="S58" s="353" t="s">
        <v>454</v>
      </c>
      <c r="T58" s="353" t="s">
        <v>454</v>
      </c>
      <c r="U58" s="354" t="s">
        <v>454</v>
      </c>
      <c r="V58" s="352" t="s">
        <v>454</v>
      </c>
      <c r="W58" s="353" t="s">
        <v>454</v>
      </c>
      <c r="X58" s="353" t="s">
        <v>454</v>
      </c>
      <c r="Y58" s="354" t="s">
        <v>454</v>
      </c>
      <c r="Z58" s="355" t="s">
        <v>454</v>
      </c>
      <c r="AA58" s="353" t="s">
        <v>454</v>
      </c>
      <c r="AB58" s="353" t="s">
        <v>454</v>
      </c>
      <c r="AC58" s="356" t="s">
        <v>454</v>
      </c>
      <c r="AD58" s="356" t="s">
        <v>454</v>
      </c>
    </row>
    <row r="59" spans="1:30" ht="44.1" customHeight="1" x14ac:dyDescent="0.25">
      <c r="A59" s="267">
        <f t="shared" si="8"/>
        <v>26</v>
      </c>
      <c r="B59" s="336" t="s">
        <v>473</v>
      </c>
      <c r="C59" s="307" t="s">
        <v>454</v>
      </c>
      <c r="D59" s="308" t="str">
        <f t="shared" si="14"/>
        <v>Covered</v>
      </c>
      <c r="E59" s="308" t="s">
        <v>454</v>
      </c>
      <c r="F59" s="308" t="str">
        <f t="shared" si="15"/>
        <v>Covered</v>
      </c>
      <c r="G59" s="308" t="s">
        <v>454</v>
      </c>
      <c r="H59" s="308" t="s">
        <v>454</v>
      </c>
      <c r="I59" s="309" t="s">
        <v>454</v>
      </c>
      <c r="J59" s="307" t="str">
        <f t="shared" si="16"/>
        <v>Covered</v>
      </c>
      <c r="K59" s="310" t="s">
        <v>454</v>
      </c>
      <c r="L59" s="308" t="str">
        <f>X59</f>
        <v>Covered</v>
      </c>
      <c r="M59" s="308" t="str">
        <f t="shared" si="11"/>
        <v>Covered</v>
      </c>
      <c r="N59" s="308" t="str">
        <f t="shared" si="11"/>
        <v>Covered</v>
      </c>
      <c r="O59" s="308" t="str">
        <f>Y59</f>
        <v>Covered</v>
      </c>
      <c r="P59" s="309" t="str">
        <f t="shared" si="13"/>
        <v>Covered</v>
      </c>
      <c r="Q59" s="313"/>
      <c r="R59" s="307" t="s">
        <v>454</v>
      </c>
      <c r="S59" s="308" t="s">
        <v>454</v>
      </c>
      <c r="T59" s="308" t="s">
        <v>454</v>
      </c>
      <c r="U59" s="309" t="s">
        <v>454</v>
      </c>
      <c r="V59" s="307" t="s">
        <v>454</v>
      </c>
      <c r="W59" s="308" t="s">
        <v>454</v>
      </c>
      <c r="X59" s="308" t="s">
        <v>454</v>
      </c>
      <c r="Y59" s="309" t="s">
        <v>454</v>
      </c>
      <c r="Z59" s="310" t="s">
        <v>454</v>
      </c>
      <c r="AA59" s="308" t="s">
        <v>454</v>
      </c>
      <c r="AB59" s="308" t="s">
        <v>454</v>
      </c>
      <c r="AC59" s="311" t="s">
        <v>454</v>
      </c>
      <c r="AD59" s="311" t="s">
        <v>454</v>
      </c>
    </row>
    <row r="60" spans="1:30" ht="48" x14ac:dyDescent="0.25">
      <c r="A60" s="267">
        <f t="shared" si="8"/>
        <v>27</v>
      </c>
      <c r="B60" s="320" t="s">
        <v>474</v>
      </c>
      <c r="C60" s="304" t="s">
        <v>130</v>
      </c>
      <c r="D60" s="305" t="s">
        <v>130</v>
      </c>
      <c r="E60" s="305" t="s">
        <v>130</v>
      </c>
      <c r="F60" s="305" t="s">
        <v>130</v>
      </c>
      <c r="G60" s="305" t="s">
        <v>130</v>
      </c>
      <c r="H60" s="305" t="s">
        <v>130</v>
      </c>
      <c r="I60" s="306" t="s">
        <v>130</v>
      </c>
      <c r="J60" s="304" t="s">
        <v>130</v>
      </c>
      <c r="K60" s="444" t="s">
        <v>130</v>
      </c>
      <c r="L60" s="305" t="s">
        <v>130</v>
      </c>
      <c r="M60" s="305" t="s">
        <v>130</v>
      </c>
      <c r="N60" s="305" t="s">
        <v>130</v>
      </c>
      <c r="O60" s="305" t="s">
        <v>130</v>
      </c>
      <c r="P60" s="306" t="s">
        <v>130</v>
      </c>
      <c r="Q60" s="298"/>
      <c r="R60" s="304" t="s">
        <v>617</v>
      </c>
      <c r="S60" s="305" t="s">
        <v>617</v>
      </c>
      <c r="T60" s="305" t="s">
        <v>617</v>
      </c>
      <c r="U60" s="306" t="s">
        <v>617</v>
      </c>
      <c r="V60" s="357" t="s">
        <v>454</v>
      </c>
      <c r="W60" s="358" t="s">
        <v>454</v>
      </c>
      <c r="X60" s="358" t="s">
        <v>454</v>
      </c>
      <c r="Y60" s="359" t="s">
        <v>454</v>
      </c>
      <c r="Z60" s="360" t="s">
        <v>475</v>
      </c>
      <c r="AA60" s="358" t="s">
        <v>475</v>
      </c>
      <c r="AB60" s="358" t="s">
        <v>475</v>
      </c>
      <c r="AC60" s="358" t="s">
        <v>475</v>
      </c>
      <c r="AD60" s="358" t="s">
        <v>475</v>
      </c>
    </row>
    <row r="61" spans="1:30" ht="120" x14ac:dyDescent="0.25">
      <c r="A61" s="267">
        <f t="shared" si="8"/>
        <v>28</v>
      </c>
      <c r="B61" s="336" t="s">
        <v>476</v>
      </c>
      <c r="C61" s="307" t="s">
        <v>454</v>
      </c>
      <c r="D61" s="308" t="str">
        <f t="shared" si="14"/>
        <v>Covered</v>
      </c>
      <c r="E61" s="308" t="s">
        <v>454</v>
      </c>
      <c r="F61" s="308" t="str">
        <f t="shared" si="15"/>
        <v>Covered</v>
      </c>
      <c r="G61" s="308" t="s">
        <v>454</v>
      </c>
      <c r="H61" s="308" t="s">
        <v>454</v>
      </c>
      <c r="I61" s="309" t="s">
        <v>454</v>
      </c>
      <c r="J61" s="307" t="str">
        <f t="shared" si="16"/>
        <v>Covered</v>
      </c>
      <c r="K61" s="310" t="s">
        <v>454</v>
      </c>
      <c r="L61" s="308" t="str">
        <f>X61</f>
        <v>Covered</v>
      </c>
      <c r="M61" s="308" t="str">
        <f t="shared" si="11"/>
        <v>Covered</v>
      </c>
      <c r="N61" s="308" t="str">
        <f t="shared" si="11"/>
        <v>Covered</v>
      </c>
      <c r="O61" s="308" t="str">
        <f>Y61</f>
        <v>Covered</v>
      </c>
      <c r="P61" s="309" t="str">
        <f t="shared" si="13"/>
        <v>Covered</v>
      </c>
      <c r="Q61" s="313"/>
      <c r="R61" s="307" t="s">
        <v>454</v>
      </c>
      <c r="S61" s="308" t="s">
        <v>454</v>
      </c>
      <c r="T61" s="308" t="s">
        <v>454</v>
      </c>
      <c r="U61" s="309" t="s">
        <v>454</v>
      </c>
      <c r="V61" s="307" t="s">
        <v>454</v>
      </c>
      <c r="W61" s="308" t="s">
        <v>454</v>
      </c>
      <c r="X61" s="308" t="s">
        <v>454</v>
      </c>
      <c r="Y61" s="309" t="s">
        <v>454</v>
      </c>
      <c r="Z61" s="310" t="s">
        <v>454</v>
      </c>
      <c r="AA61" s="308" t="s">
        <v>454</v>
      </c>
      <c r="AB61" s="308" t="s">
        <v>454</v>
      </c>
      <c r="AC61" s="311" t="s">
        <v>454</v>
      </c>
      <c r="AD61" s="311" t="s">
        <v>454</v>
      </c>
    </row>
    <row r="62" spans="1:30" ht="36" x14ac:dyDescent="0.25">
      <c r="A62" s="267">
        <f t="shared" si="8"/>
        <v>29</v>
      </c>
      <c r="B62" s="336" t="s">
        <v>477</v>
      </c>
      <c r="C62" s="304" t="s">
        <v>680</v>
      </c>
      <c r="D62" s="304" t="s">
        <v>681</v>
      </c>
      <c r="E62" s="304" t="s">
        <v>681</v>
      </c>
      <c r="F62" s="304" t="s">
        <v>681</v>
      </c>
      <c r="G62" s="304" t="s">
        <v>681</v>
      </c>
      <c r="H62" s="304" t="s">
        <v>681</v>
      </c>
      <c r="I62" s="304" t="s">
        <v>681</v>
      </c>
      <c r="J62" s="304" t="s">
        <v>130</v>
      </c>
      <c r="K62" s="444" t="s">
        <v>130</v>
      </c>
      <c r="L62" s="305" t="s">
        <v>130</v>
      </c>
      <c r="M62" s="305" t="s">
        <v>130</v>
      </c>
      <c r="N62" s="305" t="s">
        <v>130</v>
      </c>
      <c r="O62" s="305" t="s">
        <v>130</v>
      </c>
      <c r="P62" s="306" t="s">
        <v>130</v>
      </c>
      <c r="Q62" s="298"/>
      <c r="R62" s="304" t="s">
        <v>478</v>
      </c>
      <c r="S62" s="305" t="s">
        <v>479</v>
      </c>
      <c r="T62" s="305" t="s">
        <v>479</v>
      </c>
      <c r="U62" s="306" t="s">
        <v>479</v>
      </c>
      <c r="V62" s="307" t="s">
        <v>478</v>
      </c>
      <c r="W62" s="308" t="s">
        <v>479</v>
      </c>
      <c r="X62" s="308" t="s">
        <v>479</v>
      </c>
      <c r="Y62" s="309" t="s">
        <v>479</v>
      </c>
      <c r="Z62" s="310" t="s">
        <v>478</v>
      </c>
      <c r="AA62" s="308" t="s">
        <v>479</v>
      </c>
      <c r="AB62" s="308" t="s">
        <v>479</v>
      </c>
      <c r="AC62" s="308" t="s">
        <v>479</v>
      </c>
      <c r="AD62" s="308" t="s">
        <v>479</v>
      </c>
    </row>
    <row r="63" spans="1:30" ht="22.5" customHeight="1" thickBot="1" x14ac:dyDescent="0.3">
      <c r="A63" s="267">
        <f t="shared" si="8"/>
        <v>30</v>
      </c>
      <c r="B63" s="336" t="s">
        <v>480</v>
      </c>
      <c r="C63" s="307" t="s">
        <v>481</v>
      </c>
      <c r="D63" s="308" t="str">
        <f t="shared" si="14"/>
        <v xml:space="preserve">Covered subject to pre-authorization </v>
      </c>
      <c r="E63" s="308" t="s">
        <v>481</v>
      </c>
      <c r="F63" s="308" t="str">
        <f t="shared" si="15"/>
        <v xml:space="preserve">Covered subject to pre-authorization </v>
      </c>
      <c r="G63" s="308" t="s">
        <v>481</v>
      </c>
      <c r="H63" s="308" t="s">
        <v>481</v>
      </c>
      <c r="I63" s="309" t="s">
        <v>481</v>
      </c>
      <c r="J63" s="307" t="str">
        <f t="shared" si="16"/>
        <v xml:space="preserve">Covered subject to pre-authorization </v>
      </c>
      <c r="K63" s="310" t="s">
        <v>481</v>
      </c>
      <c r="L63" s="308" t="str">
        <f>X63</f>
        <v xml:space="preserve">Covered subject to pre-authorization </v>
      </c>
      <c r="M63" s="308" t="str">
        <f t="shared" si="11"/>
        <v xml:space="preserve">Covered subject to pre-authorization </v>
      </c>
      <c r="N63" s="308" t="str">
        <f t="shared" si="11"/>
        <v xml:space="preserve">Covered subject to pre-authorization </v>
      </c>
      <c r="O63" s="308" t="str">
        <f>Y63</f>
        <v xml:space="preserve">Covered subject to pre-authorization </v>
      </c>
      <c r="P63" s="309" t="str">
        <f t="shared" si="13"/>
        <v xml:space="preserve">Covered subject to pre-authorization </v>
      </c>
      <c r="Q63" s="313"/>
      <c r="R63" s="307" t="s">
        <v>481</v>
      </c>
      <c r="S63" s="308" t="s">
        <v>481</v>
      </c>
      <c r="T63" s="308" t="s">
        <v>481</v>
      </c>
      <c r="U63" s="309" t="s">
        <v>481</v>
      </c>
      <c r="V63" s="307" t="s">
        <v>481</v>
      </c>
      <c r="W63" s="308" t="s">
        <v>481</v>
      </c>
      <c r="X63" s="308" t="s">
        <v>481</v>
      </c>
      <c r="Y63" s="309" t="s">
        <v>481</v>
      </c>
      <c r="Z63" s="310" t="s">
        <v>481</v>
      </c>
      <c r="AA63" s="308" t="s">
        <v>481</v>
      </c>
      <c r="AB63" s="308" t="s">
        <v>481</v>
      </c>
      <c r="AC63" s="308" t="s">
        <v>481</v>
      </c>
      <c r="AD63" s="308" t="s">
        <v>481</v>
      </c>
    </row>
    <row r="64" spans="1:30" ht="26.1" customHeight="1" x14ac:dyDescent="0.25">
      <c r="A64" s="267">
        <f t="shared" si="8"/>
        <v>31</v>
      </c>
      <c r="B64" s="321" t="s">
        <v>482</v>
      </c>
      <c r="C64" s="361"/>
      <c r="I64" s="362"/>
      <c r="J64" s="361"/>
      <c r="P64" s="362"/>
      <c r="R64" s="278"/>
      <c r="S64" s="286"/>
      <c r="T64" s="279"/>
      <c r="U64" s="281"/>
      <c r="V64" s="278"/>
      <c r="W64" s="286"/>
      <c r="X64" s="279"/>
      <c r="Y64" s="281"/>
      <c r="Z64" s="271"/>
      <c r="AA64" s="279"/>
      <c r="AB64" s="279"/>
      <c r="AC64" s="280"/>
      <c r="AD64" s="280"/>
    </row>
    <row r="65" spans="1:30" ht="36" x14ac:dyDescent="0.25">
      <c r="A65" s="267">
        <f t="shared" si="8"/>
        <v>32</v>
      </c>
      <c r="B65" s="328" t="s">
        <v>483</v>
      </c>
      <c r="C65" s="307" t="s">
        <v>484</v>
      </c>
      <c r="D65" s="308" t="str">
        <f>T65</f>
        <v xml:space="preserve">Covered </v>
      </c>
      <c r="E65" s="308" t="s">
        <v>484</v>
      </c>
      <c r="F65" s="308" t="str">
        <f>D65</f>
        <v xml:space="preserve">Covered </v>
      </c>
      <c r="G65" s="308" t="s">
        <v>484</v>
      </c>
      <c r="H65" s="308" t="str">
        <f>U65</f>
        <v xml:space="preserve">Covered </v>
      </c>
      <c r="I65" s="309" t="str">
        <f>H65</f>
        <v xml:space="preserve">Covered </v>
      </c>
      <c r="J65" s="307" t="str">
        <f t="shared" ref="J65:J67" si="17">V65</f>
        <v xml:space="preserve">Covered </v>
      </c>
      <c r="K65" s="310" t="s">
        <v>484</v>
      </c>
      <c r="L65" s="308" t="str">
        <f>X65</f>
        <v xml:space="preserve">Covered </v>
      </c>
      <c r="M65" s="308" t="str">
        <f t="shared" ref="M65:N67" si="18">K65</f>
        <v xml:space="preserve">Covered </v>
      </c>
      <c r="N65" s="308" t="str">
        <f t="shared" si="18"/>
        <v xml:space="preserve">Covered </v>
      </c>
      <c r="O65" s="308" t="str">
        <f>Y65</f>
        <v xml:space="preserve">Covered </v>
      </c>
      <c r="P65" s="309" t="str">
        <f>O65</f>
        <v xml:space="preserve">Covered </v>
      </c>
      <c r="Q65" s="313"/>
      <c r="R65" s="307" t="s">
        <v>484</v>
      </c>
      <c r="S65" s="308" t="s">
        <v>484</v>
      </c>
      <c r="T65" s="308" t="s">
        <v>484</v>
      </c>
      <c r="U65" s="309" t="s">
        <v>484</v>
      </c>
      <c r="V65" s="307" t="s">
        <v>484</v>
      </c>
      <c r="W65" s="308" t="s">
        <v>484</v>
      </c>
      <c r="X65" s="308" t="s">
        <v>484</v>
      </c>
      <c r="Y65" s="309" t="s">
        <v>484</v>
      </c>
      <c r="Z65" s="310" t="s">
        <v>484</v>
      </c>
      <c r="AA65" s="308" t="s">
        <v>484</v>
      </c>
      <c r="AB65" s="308" t="s">
        <v>484</v>
      </c>
      <c r="AC65" s="308" t="s">
        <v>484</v>
      </c>
      <c r="AD65" s="308" t="s">
        <v>484</v>
      </c>
    </row>
    <row r="66" spans="1:30" ht="36" x14ac:dyDescent="0.25">
      <c r="A66" s="267">
        <f t="shared" si="8"/>
        <v>33</v>
      </c>
      <c r="B66" s="336" t="s">
        <v>485</v>
      </c>
      <c r="C66" s="307" t="s">
        <v>484</v>
      </c>
      <c r="D66" s="308" t="str">
        <f>T66</f>
        <v xml:space="preserve">Covered </v>
      </c>
      <c r="E66" s="308" t="s">
        <v>484</v>
      </c>
      <c r="F66" s="308" t="str">
        <f>D66</f>
        <v xml:space="preserve">Covered </v>
      </c>
      <c r="G66" s="308" t="s">
        <v>484</v>
      </c>
      <c r="H66" s="308" t="str">
        <f>U66</f>
        <v xml:space="preserve">Covered </v>
      </c>
      <c r="I66" s="309" t="str">
        <f>H66</f>
        <v xml:space="preserve">Covered </v>
      </c>
      <c r="J66" s="307" t="str">
        <f t="shared" si="17"/>
        <v xml:space="preserve">Covered </v>
      </c>
      <c r="K66" s="310" t="s">
        <v>484</v>
      </c>
      <c r="L66" s="308" t="str">
        <f>X66</f>
        <v xml:space="preserve">Covered </v>
      </c>
      <c r="M66" s="308" t="str">
        <f t="shared" si="18"/>
        <v xml:space="preserve">Covered </v>
      </c>
      <c r="N66" s="308" t="str">
        <f t="shared" si="18"/>
        <v xml:space="preserve">Covered </v>
      </c>
      <c r="O66" s="308" t="str">
        <f>Y66</f>
        <v xml:space="preserve">Covered </v>
      </c>
      <c r="P66" s="309" t="str">
        <f>O66</f>
        <v xml:space="preserve">Covered </v>
      </c>
      <c r="Q66" s="313"/>
      <c r="R66" s="307" t="s">
        <v>484</v>
      </c>
      <c r="S66" s="308" t="s">
        <v>484</v>
      </c>
      <c r="T66" s="308" t="s">
        <v>484</v>
      </c>
      <c r="U66" s="309" t="s">
        <v>484</v>
      </c>
      <c r="V66" s="307" t="s">
        <v>484</v>
      </c>
      <c r="W66" s="308" t="s">
        <v>484</v>
      </c>
      <c r="X66" s="308" t="s">
        <v>484</v>
      </c>
      <c r="Y66" s="309" t="s">
        <v>484</v>
      </c>
      <c r="Z66" s="310" t="s">
        <v>484</v>
      </c>
      <c r="AA66" s="308" t="s">
        <v>484</v>
      </c>
      <c r="AB66" s="308" t="s">
        <v>484</v>
      </c>
      <c r="AC66" s="308" t="s">
        <v>484</v>
      </c>
      <c r="AD66" s="308" t="s">
        <v>484</v>
      </c>
    </row>
    <row r="67" spans="1:30" ht="24.6" customHeight="1" thickBot="1" x14ac:dyDescent="0.3">
      <c r="A67" s="267">
        <f t="shared" si="8"/>
        <v>34</v>
      </c>
      <c r="B67" s="328" t="s">
        <v>486</v>
      </c>
      <c r="C67" s="307" t="s">
        <v>454</v>
      </c>
      <c r="D67" s="308" t="str">
        <f>T67</f>
        <v>Covered</v>
      </c>
      <c r="E67" s="308" t="s">
        <v>454</v>
      </c>
      <c r="F67" s="308" t="str">
        <f>D67</f>
        <v>Covered</v>
      </c>
      <c r="G67" s="308" t="s">
        <v>454</v>
      </c>
      <c r="H67" s="308" t="str">
        <f>U67</f>
        <v>Covered</v>
      </c>
      <c r="I67" s="309" t="str">
        <f>H67</f>
        <v>Covered</v>
      </c>
      <c r="J67" s="307" t="str">
        <f t="shared" si="17"/>
        <v>Covered</v>
      </c>
      <c r="K67" s="310" t="s">
        <v>454</v>
      </c>
      <c r="L67" s="308" t="str">
        <f>X67</f>
        <v>Covered</v>
      </c>
      <c r="M67" s="308" t="str">
        <f t="shared" si="18"/>
        <v>Covered</v>
      </c>
      <c r="N67" s="308" t="str">
        <f t="shared" si="18"/>
        <v>Covered</v>
      </c>
      <c r="O67" s="308" t="str">
        <f>Y67</f>
        <v>Covered</v>
      </c>
      <c r="P67" s="309" t="str">
        <f>O67</f>
        <v>Covered</v>
      </c>
      <c r="Q67" s="313"/>
      <c r="R67" s="307" t="s">
        <v>454</v>
      </c>
      <c r="S67" s="308" t="s">
        <v>454</v>
      </c>
      <c r="T67" s="308" t="s">
        <v>454</v>
      </c>
      <c r="U67" s="309" t="s">
        <v>454</v>
      </c>
      <c r="V67" s="307" t="s">
        <v>454</v>
      </c>
      <c r="W67" s="308" t="s">
        <v>454</v>
      </c>
      <c r="X67" s="308" t="s">
        <v>454</v>
      </c>
      <c r="Y67" s="309" t="s">
        <v>454</v>
      </c>
      <c r="Z67" s="310" t="s">
        <v>454</v>
      </c>
      <c r="AA67" s="308" t="s">
        <v>454</v>
      </c>
      <c r="AB67" s="308" t="s">
        <v>454</v>
      </c>
      <c r="AC67" s="308" t="s">
        <v>454</v>
      </c>
      <c r="AD67" s="308" t="s">
        <v>454</v>
      </c>
    </row>
    <row r="68" spans="1:30" ht="23.1" customHeight="1" x14ac:dyDescent="0.25">
      <c r="A68" s="267">
        <f t="shared" si="8"/>
        <v>35</v>
      </c>
      <c r="B68" s="321" t="s">
        <v>487</v>
      </c>
      <c r="C68" s="278"/>
      <c r="D68" s="271"/>
      <c r="E68" s="271"/>
      <c r="F68" s="271"/>
      <c r="G68" s="271"/>
      <c r="H68" s="271"/>
      <c r="I68" s="363"/>
      <c r="J68" s="278"/>
      <c r="K68" s="271"/>
      <c r="L68" s="271"/>
      <c r="M68" s="271"/>
      <c r="N68" s="271"/>
      <c r="O68" s="271"/>
      <c r="P68" s="363"/>
      <c r="Q68" s="271"/>
      <c r="R68" s="278"/>
      <c r="S68" s="286"/>
      <c r="T68" s="279"/>
      <c r="U68" s="281"/>
      <c r="V68" s="278"/>
      <c r="W68" s="286"/>
      <c r="X68" s="279"/>
      <c r="Y68" s="281"/>
      <c r="Z68" s="271"/>
      <c r="AA68" s="279"/>
      <c r="AB68" s="279"/>
      <c r="AC68" s="280"/>
      <c r="AD68" s="280"/>
    </row>
    <row r="69" spans="1:30" ht="36" x14ac:dyDescent="0.25">
      <c r="A69" s="267">
        <f t="shared" si="8"/>
        <v>36</v>
      </c>
      <c r="B69" s="320" t="s">
        <v>488</v>
      </c>
      <c r="C69" s="307" t="s">
        <v>618</v>
      </c>
      <c r="D69" s="308" t="str">
        <f>T69</f>
        <v>10% maximum AED 100
20% maximum AE 150
(Editable)</v>
      </c>
      <c r="E69" s="308" t="s">
        <v>489</v>
      </c>
      <c r="F69" s="308" t="str">
        <f>D69</f>
        <v>10% maximum AED 100
20% maximum AE 150
(Editable)</v>
      </c>
      <c r="G69" s="308" t="s">
        <v>489</v>
      </c>
      <c r="H69" s="308" t="str">
        <f>U69</f>
        <v>10% maximum AED 100
20% maximum AE 150
(Editable)</v>
      </c>
      <c r="I69" s="309" t="str">
        <f>H69</f>
        <v>10% maximum AED 100
20% maximum AE 150
(Editable)</v>
      </c>
      <c r="J69" s="307" t="str">
        <f t="shared" ref="J69:J72" si="19">V69</f>
        <v>AED 50</v>
      </c>
      <c r="K69" s="310" t="s">
        <v>37</v>
      </c>
      <c r="L69" s="308" t="str">
        <f>X69</f>
        <v>AED 50</v>
      </c>
      <c r="M69" s="308" t="str">
        <f t="shared" ref="M69:N72" si="20">K69</f>
        <v>AED 50</v>
      </c>
      <c r="N69" s="308" t="str">
        <f t="shared" si="20"/>
        <v>AED 50</v>
      </c>
      <c r="O69" s="308" t="str">
        <f>Y69</f>
        <v>AED 50</v>
      </c>
      <c r="P69" s="309" t="str">
        <f>O69</f>
        <v>AED 50</v>
      </c>
      <c r="Q69" s="313"/>
      <c r="R69" s="307" t="s">
        <v>489</v>
      </c>
      <c r="S69" s="308" t="s">
        <v>489</v>
      </c>
      <c r="T69" s="308" t="s">
        <v>489</v>
      </c>
      <c r="U69" s="309" t="s">
        <v>489</v>
      </c>
      <c r="V69" s="307" t="s">
        <v>37</v>
      </c>
      <c r="W69" s="310" t="s">
        <v>37</v>
      </c>
      <c r="X69" s="310" t="s">
        <v>37</v>
      </c>
      <c r="Y69" s="364" t="s">
        <v>37</v>
      </c>
      <c r="Z69" s="365" t="s">
        <v>490</v>
      </c>
      <c r="AA69" s="366" t="s">
        <v>491</v>
      </c>
      <c r="AB69" s="366" t="s">
        <v>491</v>
      </c>
      <c r="AC69" s="366" t="s">
        <v>491</v>
      </c>
      <c r="AD69" s="366" t="s">
        <v>491</v>
      </c>
    </row>
    <row r="70" spans="1:30" ht="36" x14ac:dyDescent="0.25">
      <c r="A70" s="267">
        <f t="shared" si="8"/>
        <v>37</v>
      </c>
      <c r="B70" s="320" t="s">
        <v>492</v>
      </c>
      <c r="C70" s="307" t="s">
        <v>619</v>
      </c>
      <c r="D70" s="308" t="str">
        <f>T70</f>
        <v>Option 1: 10% 
Option 2: 20% 
(Editable)</v>
      </c>
      <c r="E70" s="308" t="s">
        <v>493</v>
      </c>
      <c r="F70" s="308" t="str">
        <f>D70</f>
        <v>Option 1: 10% 
Option 2: 20% 
(Editable)</v>
      </c>
      <c r="G70" s="308" t="s">
        <v>493</v>
      </c>
      <c r="H70" s="308" t="str">
        <f>U70</f>
        <v>Option 1: 10% 
Option 2: 20% 
(Editable)</v>
      </c>
      <c r="I70" s="309" t="str">
        <f>H70</f>
        <v>Option 1: 10% 
Option 2: 20% 
(Editable)</v>
      </c>
      <c r="J70" s="307" t="str">
        <f t="shared" si="19"/>
        <v>NIL</v>
      </c>
      <c r="K70" s="310" t="s">
        <v>495</v>
      </c>
      <c r="L70" s="308" t="str">
        <f>X70</f>
        <v>NIL</v>
      </c>
      <c r="M70" s="308" t="str">
        <f t="shared" si="20"/>
        <v>NIL</v>
      </c>
      <c r="N70" s="308" t="str">
        <f t="shared" si="20"/>
        <v>NIL</v>
      </c>
      <c r="O70" s="308" t="str">
        <f>Y70</f>
        <v>NIL</v>
      </c>
      <c r="P70" s="309" t="str">
        <f>O70</f>
        <v>NIL</v>
      </c>
      <c r="Q70" s="313"/>
      <c r="R70" s="307" t="s">
        <v>493</v>
      </c>
      <c r="S70" s="308" t="s">
        <v>493</v>
      </c>
      <c r="T70" s="308" t="s">
        <v>493</v>
      </c>
      <c r="U70" s="309" t="s">
        <v>493</v>
      </c>
      <c r="V70" s="307" t="s">
        <v>495</v>
      </c>
      <c r="W70" s="308" t="s">
        <v>495</v>
      </c>
      <c r="X70" s="308" t="s">
        <v>495</v>
      </c>
      <c r="Y70" s="309" t="s">
        <v>495</v>
      </c>
      <c r="Z70" s="365" t="s">
        <v>494</v>
      </c>
      <c r="AA70" s="366" t="s">
        <v>494</v>
      </c>
      <c r="AB70" s="366" t="s">
        <v>494</v>
      </c>
      <c r="AC70" s="366" t="s">
        <v>494</v>
      </c>
      <c r="AD70" s="366" t="s">
        <v>494</v>
      </c>
    </row>
    <row r="71" spans="1:30" ht="47.45" customHeight="1" x14ac:dyDescent="0.25">
      <c r="A71" s="267">
        <f t="shared" si="8"/>
        <v>38</v>
      </c>
      <c r="B71" s="327" t="s">
        <v>496</v>
      </c>
      <c r="C71" s="307" t="s">
        <v>620</v>
      </c>
      <c r="D71" s="308" t="str">
        <f>T71</f>
        <v>Option 1: 10% 
Option 2: 20% 
Option 3: 30%
(Editable)</v>
      </c>
      <c r="E71" s="308" t="s">
        <v>497</v>
      </c>
      <c r="F71" s="308" t="str">
        <f>D71</f>
        <v>Option 1: 10% 
Option 2: 20% 
Option 3: 30%
(Editable)</v>
      </c>
      <c r="G71" s="308" t="s">
        <v>497</v>
      </c>
      <c r="H71" s="308" t="str">
        <f>U71</f>
        <v>Option 1: 10% 
Option 2: 20% 
Option 3: 30%
(Editable)</v>
      </c>
      <c r="I71" s="309" t="str">
        <f>H71</f>
        <v>Option 1: 10% 
Option 2: 20% 
Option 3: 30%
(Editable)</v>
      </c>
      <c r="J71" s="307" t="str">
        <f t="shared" si="19"/>
        <v>Option 1: 10% 
Option 2: 20% 
Option 3: 30%</v>
      </c>
      <c r="K71" s="310" t="s">
        <v>498</v>
      </c>
      <c r="L71" s="308" t="str">
        <f>X71</f>
        <v>Option 1: 10% 
Option 2: 20% 
Option 3: 30%</v>
      </c>
      <c r="M71" s="308" t="str">
        <f t="shared" si="20"/>
        <v>Option 1: 10% 
Option 2: 20% 
Option 3: 30%</v>
      </c>
      <c r="N71" s="308" t="str">
        <f t="shared" si="20"/>
        <v>Option 1: 10% 
Option 2: 20% 
Option 3: 30%</v>
      </c>
      <c r="O71" s="308" t="str">
        <f>Y71</f>
        <v>Option 1: 10% 
Option 2: 20% 
Option 3: 30%</v>
      </c>
      <c r="P71" s="309" t="str">
        <f>O71</f>
        <v>Option 1: 10% 
Option 2: 20% 
Option 3: 30%</v>
      </c>
      <c r="Q71" s="313"/>
      <c r="R71" s="307" t="s">
        <v>497</v>
      </c>
      <c r="S71" s="308" t="s">
        <v>497</v>
      </c>
      <c r="T71" s="308" t="s">
        <v>497</v>
      </c>
      <c r="U71" s="309" t="s">
        <v>497</v>
      </c>
      <c r="V71" s="307" t="s">
        <v>498</v>
      </c>
      <c r="W71" s="308" t="s">
        <v>498</v>
      </c>
      <c r="X71" s="308" t="s">
        <v>498</v>
      </c>
      <c r="Y71" s="309" t="s">
        <v>498</v>
      </c>
      <c r="Z71" s="310" t="s">
        <v>497</v>
      </c>
      <c r="AA71" s="308" t="s">
        <v>497</v>
      </c>
      <c r="AB71" s="308" t="s">
        <v>497</v>
      </c>
      <c r="AC71" s="308" t="s">
        <v>497</v>
      </c>
      <c r="AD71" s="308" t="s">
        <v>497</v>
      </c>
    </row>
    <row r="72" spans="1:30" ht="36.75" thickBot="1" x14ac:dyDescent="0.3">
      <c r="A72" s="267">
        <f t="shared" si="8"/>
        <v>39</v>
      </c>
      <c r="B72" s="328" t="s">
        <v>499</v>
      </c>
      <c r="C72" s="307" t="s">
        <v>500</v>
      </c>
      <c r="D72" s="308" t="str">
        <f>T72</f>
        <v>Inside Network: 100% Actual Cost
Outside Network: UCR Basis</v>
      </c>
      <c r="E72" s="308" t="s">
        <v>500</v>
      </c>
      <c r="F72" s="308" t="str">
        <f>D72</f>
        <v>Inside Network: 100% Actual Cost
Outside Network: UCR Basis</v>
      </c>
      <c r="G72" s="308" t="s">
        <v>500</v>
      </c>
      <c r="H72" s="308" t="str">
        <f>U72</f>
        <v>Inside Network: 100% Actual Cost
Outside Network: UCR Basis</v>
      </c>
      <c r="I72" s="309" t="str">
        <f>H72</f>
        <v>Inside Network: 100% Actual Cost
Outside Network: UCR Basis</v>
      </c>
      <c r="J72" s="307" t="str">
        <f t="shared" si="19"/>
        <v>Inside Network: 100% Actual Cost
Outside Network: UCR Basis</v>
      </c>
      <c r="K72" s="310" t="s">
        <v>500</v>
      </c>
      <c r="L72" s="308" t="str">
        <f>X72</f>
        <v>Inside Network: 100% Actual Cost
Outside Network: UCR Basis</v>
      </c>
      <c r="M72" s="308" t="str">
        <f t="shared" si="20"/>
        <v>Inside Network: 100% Actual Cost
Outside Network: UCR Basis</v>
      </c>
      <c r="N72" s="308" t="str">
        <f t="shared" si="20"/>
        <v>Inside Network: 100% Actual Cost
Outside Network: UCR Basis</v>
      </c>
      <c r="O72" s="308" t="str">
        <f>Y72</f>
        <v>Inside Network: 100% Actual Cost
Outside Network: UCR Basis</v>
      </c>
      <c r="P72" s="309" t="str">
        <f>O72</f>
        <v>Inside Network: 100% Actual Cost
Outside Network: UCR Basis</v>
      </c>
      <c r="Q72" s="313"/>
      <c r="R72" s="307" t="s">
        <v>500</v>
      </c>
      <c r="S72" s="308" t="s">
        <v>500</v>
      </c>
      <c r="T72" s="308" t="s">
        <v>500</v>
      </c>
      <c r="U72" s="309" t="s">
        <v>500</v>
      </c>
      <c r="V72" s="307" t="s">
        <v>500</v>
      </c>
      <c r="W72" s="308" t="s">
        <v>500</v>
      </c>
      <c r="X72" s="308" t="s">
        <v>500</v>
      </c>
      <c r="Y72" s="309" t="s">
        <v>500</v>
      </c>
      <c r="Z72" s="310" t="s">
        <v>130</v>
      </c>
      <c r="AA72" s="308" t="s">
        <v>130</v>
      </c>
      <c r="AB72" s="308" t="s">
        <v>130</v>
      </c>
      <c r="AC72" s="308" t="s">
        <v>130</v>
      </c>
      <c r="AD72" s="308" t="s">
        <v>130</v>
      </c>
    </row>
    <row r="73" spans="1:30" ht="23.1" customHeight="1" x14ac:dyDescent="0.25">
      <c r="A73" s="267">
        <f t="shared" si="8"/>
        <v>40</v>
      </c>
      <c r="B73" s="321" t="s">
        <v>501</v>
      </c>
      <c r="C73" s="278"/>
      <c r="D73" s="271"/>
      <c r="E73" s="271"/>
      <c r="F73" s="271"/>
      <c r="G73" s="271"/>
      <c r="H73" s="271"/>
      <c r="I73" s="363"/>
      <c r="J73" s="278"/>
      <c r="K73" s="271"/>
      <c r="L73" s="271"/>
      <c r="M73" s="271"/>
      <c r="N73" s="271"/>
      <c r="O73" s="271"/>
      <c r="P73" s="363"/>
      <c r="Q73" s="271"/>
      <c r="R73" s="278"/>
      <c r="S73" s="286"/>
      <c r="T73" s="279"/>
      <c r="U73" s="281"/>
      <c r="V73" s="278"/>
      <c r="W73" s="286"/>
      <c r="X73" s="279"/>
      <c r="Y73" s="281"/>
      <c r="Z73" s="271"/>
      <c r="AA73" s="279"/>
      <c r="AB73" s="279"/>
      <c r="AC73" s="280"/>
      <c r="AD73" s="280"/>
    </row>
    <row r="74" spans="1:30" ht="36" x14ac:dyDescent="0.25">
      <c r="A74" s="267">
        <f t="shared" si="8"/>
        <v>41</v>
      </c>
      <c r="B74" s="336" t="s">
        <v>502</v>
      </c>
      <c r="C74" s="307" t="s">
        <v>610</v>
      </c>
      <c r="D74" s="308" t="str">
        <f t="shared" ref="D74:D82" si="21">T74</f>
        <v>Covered asper DHA Adult Pneumococcal Vaccination guidelines</v>
      </c>
      <c r="E74" s="308" t="s">
        <v>610</v>
      </c>
      <c r="F74" s="308" t="str">
        <f t="shared" ref="F74:F90" si="22">D74</f>
        <v>Covered asper DHA Adult Pneumococcal Vaccination guidelines</v>
      </c>
      <c r="G74" s="308" t="s">
        <v>610</v>
      </c>
      <c r="H74" s="308" t="str">
        <f t="shared" ref="H74:H82" si="23">U74</f>
        <v>Covered asper DHA Adult Pneumococcal Vaccination guidelines</v>
      </c>
      <c r="I74" s="309" t="str">
        <f t="shared" ref="I74:I90" si="24">H74</f>
        <v>Covered asper DHA Adult Pneumococcal Vaccination guidelines</v>
      </c>
      <c r="J74" s="307" t="str">
        <f t="shared" ref="J74:J96" si="25">V74</f>
        <v>Not Covered</v>
      </c>
      <c r="K74" s="310" t="s">
        <v>130</v>
      </c>
      <c r="L74" s="308" t="str">
        <f t="shared" ref="L74:L82" si="26">X74</f>
        <v>Not Covered</v>
      </c>
      <c r="M74" s="308" t="str">
        <f t="shared" ref="M74:N90" si="27">K74</f>
        <v>Not Covered</v>
      </c>
      <c r="N74" s="308" t="str">
        <f t="shared" si="27"/>
        <v>Not Covered</v>
      </c>
      <c r="O74" s="308" t="str">
        <f t="shared" ref="O74:O82" si="28">Y74</f>
        <v>Not Covered</v>
      </c>
      <c r="P74" s="309" t="str">
        <f t="shared" ref="P74:P90" si="29">O74</f>
        <v>Not Covered</v>
      </c>
      <c r="Q74" s="313"/>
      <c r="R74" s="307" t="s">
        <v>503</v>
      </c>
      <c r="S74" s="308" t="s">
        <v>503</v>
      </c>
      <c r="T74" s="308" t="s">
        <v>503</v>
      </c>
      <c r="U74" s="309" t="s">
        <v>503</v>
      </c>
      <c r="V74" s="307" t="s">
        <v>130</v>
      </c>
      <c r="W74" s="308" t="s">
        <v>130</v>
      </c>
      <c r="X74" s="308" t="s">
        <v>130</v>
      </c>
      <c r="Y74" s="309" t="s">
        <v>130</v>
      </c>
      <c r="Z74" s="310" t="s">
        <v>130</v>
      </c>
      <c r="AA74" s="308" t="s">
        <v>130</v>
      </c>
      <c r="AB74" s="308" t="s">
        <v>130</v>
      </c>
      <c r="AC74" s="308" t="s">
        <v>130</v>
      </c>
      <c r="AD74" s="308" t="s">
        <v>130</v>
      </c>
    </row>
    <row r="75" spans="1:30" ht="36" x14ac:dyDescent="0.25">
      <c r="A75" s="267">
        <f t="shared" si="8"/>
        <v>42</v>
      </c>
      <c r="B75" s="367" t="s">
        <v>504</v>
      </c>
      <c r="C75" s="368" t="s">
        <v>505</v>
      </c>
      <c r="D75" s="369" t="str">
        <f t="shared" si="21"/>
        <v xml:space="preserve">Covered up to Maximum AED 15,000 per person settled on Reimbursement basis </v>
      </c>
      <c r="E75" s="369" t="s">
        <v>506</v>
      </c>
      <c r="F75" s="369" t="str">
        <f t="shared" si="22"/>
        <v xml:space="preserve">Covered up to Maximum AED 15,000 per person settled on Reimbursement basis </v>
      </c>
      <c r="G75" s="369" t="s">
        <v>506</v>
      </c>
      <c r="H75" s="369" t="str">
        <f t="shared" si="23"/>
        <v xml:space="preserve">Covered up to Maximum AED 10,000 per person settled on Reimbursement basis </v>
      </c>
      <c r="I75" s="370" t="str">
        <f t="shared" si="24"/>
        <v xml:space="preserve">Covered up to Maximum AED 10,000 per person settled on Reimbursement basis </v>
      </c>
      <c r="J75" s="368" t="str">
        <f t="shared" si="25"/>
        <v xml:space="preserve">Covered up to Maximum AED 25,000 per person settled on Reimbursement basis </v>
      </c>
      <c r="K75" s="446" t="s">
        <v>506</v>
      </c>
      <c r="L75" s="369" t="str">
        <f t="shared" si="26"/>
        <v xml:space="preserve">Covered up to Maximum AED 15,000 per person settled on Reimbursement basis </v>
      </c>
      <c r="M75" s="369" t="str">
        <f t="shared" si="27"/>
        <v xml:space="preserve">Covered up to Maximum AED 15,000 per person settled on Reimbursement basis </v>
      </c>
      <c r="N75" s="369" t="str">
        <f t="shared" si="27"/>
        <v xml:space="preserve">Covered up to Maximum AED 15,000 per person settled on Reimbursement basis </v>
      </c>
      <c r="O75" s="369" t="str">
        <f t="shared" si="28"/>
        <v xml:space="preserve">Covered up to Maximum AED 10,000 per person settled on Reimbursement basis </v>
      </c>
      <c r="P75" s="370" t="str">
        <f t="shared" si="29"/>
        <v xml:space="preserve">Covered up to Maximum AED 10,000 per person settled on Reimbursement basis </v>
      </c>
      <c r="Q75" s="371"/>
      <c r="R75" s="368" t="s">
        <v>505</v>
      </c>
      <c r="S75" s="369" t="s">
        <v>505</v>
      </c>
      <c r="T75" s="369" t="s">
        <v>506</v>
      </c>
      <c r="U75" s="370" t="s">
        <v>507</v>
      </c>
      <c r="V75" s="352" t="s">
        <v>505</v>
      </c>
      <c r="W75" s="353" t="s">
        <v>505</v>
      </c>
      <c r="X75" s="353" t="s">
        <v>506</v>
      </c>
      <c r="Y75" s="354" t="s">
        <v>507</v>
      </c>
      <c r="Z75" s="355" t="s">
        <v>505</v>
      </c>
      <c r="AA75" s="353" t="s">
        <v>506</v>
      </c>
      <c r="AB75" s="353" t="s">
        <v>506</v>
      </c>
      <c r="AC75" s="353" t="s">
        <v>507</v>
      </c>
      <c r="AD75" s="353" t="s">
        <v>507</v>
      </c>
    </row>
    <row r="76" spans="1:30" ht="48" x14ac:dyDescent="0.25">
      <c r="A76" s="267">
        <f t="shared" si="8"/>
        <v>43</v>
      </c>
      <c r="B76" s="341" t="s">
        <v>508</v>
      </c>
      <c r="C76" s="352" t="s">
        <v>509</v>
      </c>
      <c r="D76" s="353" t="str">
        <f t="shared" si="21"/>
        <v>Frequency restricted to:
Diabetes: Every 3 years from age 30
High risk individuals annually from age-18</v>
      </c>
      <c r="E76" s="353" t="s">
        <v>509</v>
      </c>
      <c r="F76" s="353" t="str">
        <f t="shared" si="22"/>
        <v>Frequency restricted to:
Diabetes: Every 3 years from age 30
High risk individuals annually from age-18</v>
      </c>
      <c r="G76" s="353" t="s">
        <v>509</v>
      </c>
      <c r="H76" s="353" t="str">
        <f t="shared" si="23"/>
        <v>Frequency restricted to:
Diabetes: Every 3 years from age 30
High risk individuals annually from age-18</v>
      </c>
      <c r="I76" s="354" t="str">
        <f t="shared" si="24"/>
        <v>Frequency restricted to:
Diabetes: Every 3 years from age 30
High risk individuals annually from age-18</v>
      </c>
      <c r="J76" s="352" t="str">
        <f t="shared" si="25"/>
        <v>Frequency restricted to:
Diabetes: Every 3 years from age 30
High risk individuals annually from age-18</v>
      </c>
      <c r="K76" s="355" t="s">
        <v>509</v>
      </c>
      <c r="L76" s="353" t="str">
        <f t="shared" si="26"/>
        <v>Frequency restricted to:
Diabetes: Every 3 years from age 30
High risk individuals annually from age-18</v>
      </c>
      <c r="M76" s="353" t="str">
        <f t="shared" si="27"/>
        <v>Frequency restricted to:
Diabetes: Every 3 years from age 30
High risk individuals annually from age-18</v>
      </c>
      <c r="N76" s="353" t="str">
        <f t="shared" si="27"/>
        <v>Frequency restricted to:
Diabetes: Every 3 years from age 30
High risk individuals annually from age-18</v>
      </c>
      <c r="O76" s="353" t="str">
        <f t="shared" si="28"/>
        <v>Frequency restricted to:
Diabetes: Every 3 years from age 30
High risk individuals annually from age-18</v>
      </c>
      <c r="P76" s="354" t="str">
        <f t="shared" si="29"/>
        <v>Frequency restricted to:
Diabetes: Every 3 years from age 30
High risk individuals annually from age-18</v>
      </c>
      <c r="Q76" s="349"/>
      <c r="R76" s="352" t="s">
        <v>509</v>
      </c>
      <c r="S76" s="353" t="s">
        <v>509</v>
      </c>
      <c r="T76" s="353" t="s">
        <v>509</v>
      </c>
      <c r="U76" s="354" t="s">
        <v>509</v>
      </c>
      <c r="V76" s="352" t="s">
        <v>509</v>
      </c>
      <c r="W76" s="353" t="s">
        <v>509</v>
      </c>
      <c r="X76" s="353" t="s">
        <v>509</v>
      </c>
      <c r="Y76" s="354" t="s">
        <v>509</v>
      </c>
      <c r="Z76" s="355" t="s">
        <v>509</v>
      </c>
      <c r="AA76" s="353" t="s">
        <v>509</v>
      </c>
      <c r="AB76" s="353" t="s">
        <v>509</v>
      </c>
      <c r="AC76" s="353" t="s">
        <v>509</v>
      </c>
      <c r="AD76" s="353" t="s">
        <v>509</v>
      </c>
    </row>
    <row r="77" spans="1:30" ht="204" x14ac:dyDescent="0.25">
      <c r="A77" s="267">
        <f t="shared" si="8"/>
        <v>44</v>
      </c>
      <c r="B77" s="336" t="s">
        <v>630</v>
      </c>
      <c r="C77" s="352" t="s">
        <v>644</v>
      </c>
      <c r="D77" s="347" t="str">
        <f t="shared" si="21"/>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E77" s="347" t="s">
        <v>644</v>
      </c>
      <c r="F77" s="353" t="str">
        <f t="shared" si="22"/>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G77" s="353" t="s">
        <v>644</v>
      </c>
      <c r="H77" s="353" t="str">
        <f t="shared" si="23"/>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I77" s="354" t="str">
        <f t="shared" si="24"/>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J77" s="352" t="str">
        <f t="shared" si="25"/>
        <v>Not Covered</v>
      </c>
      <c r="K77" s="355" t="s">
        <v>130</v>
      </c>
      <c r="L77" s="353" t="str">
        <f t="shared" si="26"/>
        <v>Not Covered</v>
      </c>
      <c r="M77" s="353" t="str">
        <f t="shared" si="27"/>
        <v>Not Covered</v>
      </c>
      <c r="N77" s="353" t="str">
        <f t="shared" si="27"/>
        <v>Not Covered</v>
      </c>
      <c r="O77" s="353" t="str">
        <f t="shared" si="28"/>
        <v>Not Covered</v>
      </c>
      <c r="P77" s="354" t="str">
        <f t="shared" si="29"/>
        <v>Not Covered</v>
      </c>
      <c r="Q77" s="349"/>
      <c r="R77" s="352" t="s">
        <v>644</v>
      </c>
      <c r="S77" s="353" t="s">
        <v>644</v>
      </c>
      <c r="T77" s="353" t="s">
        <v>644</v>
      </c>
      <c r="U77" s="354" t="s">
        <v>644</v>
      </c>
      <c r="V77" s="372" t="s">
        <v>130</v>
      </c>
      <c r="W77" s="373" t="s">
        <v>130</v>
      </c>
      <c r="X77" s="373" t="s">
        <v>130</v>
      </c>
      <c r="Y77" s="374" t="s">
        <v>130</v>
      </c>
      <c r="Z77" s="373" t="s">
        <v>130</v>
      </c>
      <c r="AA77" s="373" t="s">
        <v>130</v>
      </c>
      <c r="AB77" s="373" t="s">
        <v>130</v>
      </c>
      <c r="AC77" s="373" t="s">
        <v>130</v>
      </c>
      <c r="AD77" s="373" t="s">
        <v>130</v>
      </c>
    </row>
    <row r="78" spans="1:30" ht="81.95" customHeight="1" x14ac:dyDescent="0.25">
      <c r="A78" s="267">
        <f t="shared" si="8"/>
        <v>45</v>
      </c>
      <c r="B78" s="375" t="s">
        <v>510</v>
      </c>
      <c r="C78" s="376" t="s">
        <v>484</v>
      </c>
      <c r="D78" s="377" t="str">
        <f t="shared" si="21"/>
        <v xml:space="preserve">Covered </v>
      </c>
      <c r="E78" s="377" t="s">
        <v>484</v>
      </c>
      <c r="F78" s="377" t="str">
        <f t="shared" si="22"/>
        <v xml:space="preserve">Covered </v>
      </c>
      <c r="G78" s="377" t="s">
        <v>484</v>
      </c>
      <c r="H78" s="377" t="str">
        <f t="shared" si="23"/>
        <v xml:space="preserve">Covered </v>
      </c>
      <c r="I78" s="378" t="str">
        <f t="shared" si="24"/>
        <v xml:space="preserve">Covered </v>
      </c>
      <c r="J78" s="376" t="str">
        <f t="shared" si="25"/>
        <v xml:space="preserve">Covered </v>
      </c>
      <c r="K78" s="447" t="s">
        <v>484</v>
      </c>
      <c r="L78" s="377" t="str">
        <f t="shared" si="26"/>
        <v xml:space="preserve">Covered </v>
      </c>
      <c r="M78" s="377" t="str">
        <f t="shared" si="27"/>
        <v xml:space="preserve">Covered </v>
      </c>
      <c r="N78" s="377" t="str">
        <f t="shared" si="27"/>
        <v xml:space="preserve">Covered </v>
      </c>
      <c r="O78" s="377" t="str">
        <f t="shared" si="28"/>
        <v xml:space="preserve">Covered </v>
      </c>
      <c r="P78" s="378" t="str">
        <f t="shared" si="29"/>
        <v xml:space="preserve">Covered </v>
      </c>
      <c r="Q78" s="379"/>
      <c r="R78" s="380" t="s">
        <v>484</v>
      </c>
      <c r="S78" s="379" t="s">
        <v>484</v>
      </c>
      <c r="T78" s="379" t="s">
        <v>484</v>
      </c>
      <c r="U78" s="381" t="s">
        <v>484</v>
      </c>
      <c r="V78" s="380" t="s">
        <v>484</v>
      </c>
      <c r="W78" s="379" t="s">
        <v>484</v>
      </c>
      <c r="X78" s="379" t="s">
        <v>484</v>
      </c>
      <c r="Y78" s="381" t="s">
        <v>484</v>
      </c>
      <c r="Z78" s="379" t="s">
        <v>484</v>
      </c>
      <c r="AA78" s="379" t="s">
        <v>484</v>
      </c>
      <c r="AB78" s="379" t="s">
        <v>484</v>
      </c>
      <c r="AC78" s="379" t="s">
        <v>484</v>
      </c>
      <c r="AD78" s="379" t="s">
        <v>484</v>
      </c>
    </row>
    <row r="79" spans="1:30" ht="81.95" customHeight="1" x14ac:dyDescent="0.25">
      <c r="A79" s="267">
        <f t="shared" si="8"/>
        <v>46</v>
      </c>
      <c r="B79" s="375" t="s">
        <v>512</v>
      </c>
      <c r="C79" s="376" t="s">
        <v>622</v>
      </c>
      <c r="D79" s="377" t="str">
        <f t="shared" si="21"/>
        <v xml:space="preserve"> Covered up to policy limit for New Muslims and up to AED 600 for new born </v>
      </c>
      <c r="E79" s="377" t="s">
        <v>622</v>
      </c>
      <c r="F79" s="377" t="str">
        <f t="shared" si="22"/>
        <v xml:space="preserve"> Covered up to policy limit for New Muslims and up to AED 600 for new born </v>
      </c>
      <c r="G79" s="377" t="s">
        <v>622</v>
      </c>
      <c r="H79" s="377" t="str">
        <f t="shared" si="23"/>
        <v xml:space="preserve"> Covered up to policy limit for New Muslims and up to AED 600 for new born </v>
      </c>
      <c r="I79" s="378" t="str">
        <f t="shared" si="24"/>
        <v xml:space="preserve"> Covered up to policy limit for New Muslims and up to AED 600 for new born </v>
      </c>
      <c r="J79" s="376" t="str">
        <f t="shared" si="25"/>
        <v xml:space="preserve"> Covered up to policy limit for New Muslims and up to AED 600 for new born </v>
      </c>
      <c r="K79" s="447" t="s">
        <v>622</v>
      </c>
      <c r="L79" s="377" t="str">
        <f t="shared" si="26"/>
        <v xml:space="preserve"> Covered up to policy limit for New Muslims and up to AED 600 for new born </v>
      </c>
      <c r="M79" s="377" t="str">
        <f t="shared" si="27"/>
        <v xml:space="preserve"> Covered up to policy limit for New Muslims and up to AED 600 for new born </v>
      </c>
      <c r="N79" s="377" t="str">
        <f t="shared" si="27"/>
        <v xml:space="preserve"> Covered up to policy limit for New Muslims and up to AED 600 for new born </v>
      </c>
      <c r="O79" s="377" t="str">
        <f t="shared" si="28"/>
        <v xml:space="preserve"> Covered up to policy limit for New Muslims and up to AED 600 for new born </v>
      </c>
      <c r="P79" s="378" t="str">
        <f t="shared" si="29"/>
        <v xml:space="preserve"> Covered up to policy limit for New Muslims and up to AED 600 for new born </v>
      </c>
      <c r="Q79" s="379"/>
      <c r="R79" s="380" t="s">
        <v>622</v>
      </c>
      <c r="S79" s="379" t="s">
        <v>622</v>
      </c>
      <c r="T79" s="379" t="s">
        <v>622</v>
      </c>
      <c r="U79" s="381" t="s">
        <v>622</v>
      </c>
      <c r="V79" s="380" t="s">
        <v>622</v>
      </c>
      <c r="W79" s="379" t="s">
        <v>622</v>
      </c>
      <c r="X79" s="379" t="s">
        <v>622</v>
      </c>
      <c r="Y79" s="381" t="s">
        <v>622</v>
      </c>
      <c r="Z79" s="379" t="s">
        <v>622</v>
      </c>
      <c r="AA79" s="379" t="s">
        <v>622</v>
      </c>
      <c r="AB79" s="379" t="s">
        <v>622</v>
      </c>
      <c r="AC79" s="379" t="s">
        <v>622</v>
      </c>
      <c r="AD79" s="379" t="s">
        <v>622</v>
      </c>
    </row>
    <row r="80" spans="1:30" ht="81.95" customHeight="1" x14ac:dyDescent="0.25">
      <c r="A80" s="267">
        <f t="shared" si="8"/>
        <v>47</v>
      </c>
      <c r="B80" s="375" t="s">
        <v>513</v>
      </c>
      <c r="C80" s="376" t="s">
        <v>623</v>
      </c>
      <c r="D80" s="377" t="str">
        <f t="shared" si="21"/>
        <v xml:space="preserve">Covered if medically necessary </v>
      </c>
      <c r="E80" s="377" t="s">
        <v>623</v>
      </c>
      <c r="F80" s="377" t="str">
        <f t="shared" si="22"/>
        <v xml:space="preserve">Covered if medically necessary </v>
      </c>
      <c r="G80" s="377" t="s">
        <v>623</v>
      </c>
      <c r="H80" s="377" t="str">
        <f t="shared" si="23"/>
        <v xml:space="preserve">Covered if medically necessary </v>
      </c>
      <c r="I80" s="378" t="str">
        <f t="shared" si="24"/>
        <v xml:space="preserve">Covered if medically necessary </v>
      </c>
      <c r="J80" s="376" t="str">
        <f t="shared" si="25"/>
        <v xml:space="preserve">Covered if medically necessary </v>
      </c>
      <c r="K80" s="447" t="s">
        <v>623</v>
      </c>
      <c r="L80" s="377" t="str">
        <f t="shared" si="26"/>
        <v xml:space="preserve">Covered if medically necessary </v>
      </c>
      <c r="M80" s="377" t="str">
        <f t="shared" si="27"/>
        <v xml:space="preserve">Covered if medically necessary </v>
      </c>
      <c r="N80" s="377" t="str">
        <f t="shared" si="27"/>
        <v xml:space="preserve">Covered if medically necessary </v>
      </c>
      <c r="O80" s="377" t="str">
        <f t="shared" si="28"/>
        <v xml:space="preserve">Covered if medically necessary </v>
      </c>
      <c r="P80" s="378" t="str">
        <f t="shared" si="29"/>
        <v xml:space="preserve">Covered if medically necessary </v>
      </c>
      <c r="Q80" s="379"/>
      <c r="R80" s="380" t="s">
        <v>623</v>
      </c>
      <c r="S80" s="379" t="s">
        <v>623</v>
      </c>
      <c r="T80" s="379" t="s">
        <v>623</v>
      </c>
      <c r="U80" s="381" t="s">
        <v>623</v>
      </c>
      <c r="V80" s="380" t="s">
        <v>623</v>
      </c>
      <c r="W80" s="379" t="s">
        <v>623</v>
      </c>
      <c r="X80" s="379" t="s">
        <v>623</v>
      </c>
      <c r="Y80" s="381" t="s">
        <v>623</v>
      </c>
      <c r="Z80" s="379" t="s">
        <v>623</v>
      </c>
      <c r="AA80" s="379" t="s">
        <v>623</v>
      </c>
      <c r="AB80" s="379" t="s">
        <v>623</v>
      </c>
      <c r="AC80" s="379" t="s">
        <v>623</v>
      </c>
      <c r="AD80" s="379" t="s">
        <v>623</v>
      </c>
    </row>
    <row r="81" spans="1:30" ht="81.95" customHeight="1" x14ac:dyDescent="0.25">
      <c r="A81" s="267">
        <f t="shared" si="8"/>
        <v>48</v>
      </c>
      <c r="B81" s="375" t="s">
        <v>514</v>
      </c>
      <c r="C81" s="382" t="s">
        <v>624</v>
      </c>
      <c r="D81" s="383" t="str">
        <f t="shared" si="21"/>
        <v>Covered if medically necessary and up to AED 250 for 10 visits</v>
      </c>
      <c r="E81" s="383" t="s">
        <v>624</v>
      </c>
      <c r="F81" s="383" t="str">
        <f t="shared" si="22"/>
        <v>Covered if medically necessary and up to AED 250 for 10 visits</v>
      </c>
      <c r="G81" s="383" t="s">
        <v>624</v>
      </c>
      <c r="H81" s="383" t="str">
        <f t="shared" si="23"/>
        <v>Covered if medically necessary and up to AED 250 for 10 visits</v>
      </c>
      <c r="I81" s="384" t="str">
        <f t="shared" si="24"/>
        <v>Covered if medically necessary and up to AED 250 for 10 visits</v>
      </c>
      <c r="J81" s="382" t="str">
        <f t="shared" si="25"/>
        <v>Covered if medically necessary and up to AED 250 for 10 visits</v>
      </c>
      <c r="K81" s="448" t="s">
        <v>624</v>
      </c>
      <c r="L81" s="383" t="str">
        <f t="shared" si="26"/>
        <v>Covered if medically necessary and up to AED 250 for 10 visits</v>
      </c>
      <c r="M81" s="383" t="str">
        <f t="shared" si="27"/>
        <v>Covered if medically necessary and up to AED 250 for 10 visits</v>
      </c>
      <c r="N81" s="383" t="str">
        <f t="shared" si="27"/>
        <v>Covered if medically necessary and up to AED 250 for 10 visits</v>
      </c>
      <c r="O81" s="383" t="str">
        <f t="shared" si="28"/>
        <v>Covered if medically necessary and up to AED 250 for 10 visits</v>
      </c>
      <c r="P81" s="384" t="str">
        <f t="shared" si="29"/>
        <v>Covered if medically necessary and up to AED 250 for 10 visits</v>
      </c>
      <c r="Q81" s="379"/>
      <c r="R81" s="385" t="s">
        <v>624</v>
      </c>
      <c r="S81" s="386" t="s">
        <v>624</v>
      </c>
      <c r="T81" s="386" t="s">
        <v>624</v>
      </c>
      <c r="U81" s="387" t="s">
        <v>624</v>
      </c>
      <c r="V81" s="380" t="s">
        <v>624</v>
      </c>
      <c r="W81" s="379" t="s">
        <v>624</v>
      </c>
      <c r="X81" s="379" t="s">
        <v>624</v>
      </c>
      <c r="Y81" s="381" t="s">
        <v>624</v>
      </c>
      <c r="Z81" s="379" t="s">
        <v>624</v>
      </c>
      <c r="AA81" s="379" t="s">
        <v>624</v>
      </c>
      <c r="AB81" s="379" t="s">
        <v>624</v>
      </c>
      <c r="AC81" s="379" t="s">
        <v>624</v>
      </c>
      <c r="AD81" s="379" t="s">
        <v>624</v>
      </c>
    </row>
    <row r="82" spans="1:30" ht="81.95" customHeight="1" x14ac:dyDescent="0.25">
      <c r="A82" s="267">
        <f t="shared" si="8"/>
        <v>49</v>
      </c>
      <c r="B82" s="375" t="s">
        <v>515</v>
      </c>
      <c r="C82" s="376" t="s">
        <v>625</v>
      </c>
      <c r="D82" s="377" t="str">
        <f t="shared" si="21"/>
        <v>Limited to eye consultation and any medical condition related to it (illness/ injury) excluding vison, sight test &amp; refraction error.</v>
      </c>
      <c r="E82" s="377" t="s">
        <v>625</v>
      </c>
      <c r="F82" s="377" t="str">
        <f t="shared" si="22"/>
        <v>Limited to eye consultation and any medical condition related to it (illness/ injury) excluding vison, sight test &amp; refraction error.</v>
      </c>
      <c r="G82" s="377" t="s">
        <v>625</v>
      </c>
      <c r="H82" s="377" t="str">
        <f t="shared" si="23"/>
        <v>Limited to eye consultation and any medical condition related to it (illness/ injury) excluding vison, sight test &amp; refraction error.</v>
      </c>
      <c r="I82" s="378" t="str">
        <f t="shared" si="24"/>
        <v>Limited to eye consultation and any medical condition related to it (illness/ injury) excluding vison, sight test &amp; refraction error.</v>
      </c>
      <c r="J82" s="376" t="str">
        <f t="shared" si="25"/>
        <v>Limited to eye consultation and any medical condition related to it (illness/ injury) excluding vison, sight test &amp; refraction error.</v>
      </c>
      <c r="K82" s="447" t="s">
        <v>625</v>
      </c>
      <c r="L82" s="377" t="str">
        <f t="shared" si="26"/>
        <v>Limited to eye consultation and any medical condition related to it (illness/ injury) excluding vison, sight test &amp; refraction error.</v>
      </c>
      <c r="M82" s="377" t="str">
        <f t="shared" si="27"/>
        <v>Limited to eye consultation and any medical condition related to it (illness/ injury) excluding vison, sight test &amp; refraction error.</v>
      </c>
      <c r="N82" s="377" t="str">
        <f t="shared" si="27"/>
        <v>Limited to eye consultation and any medical condition related to it (illness/ injury) excluding vison, sight test &amp; refraction error.</v>
      </c>
      <c r="O82" s="377" t="str">
        <f t="shared" si="28"/>
        <v>Limited to eye consultation and any medical condition related to it (illness/ injury) excluding vison, sight test &amp; refraction error.</v>
      </c>
      <c r="P82" s="378" t="str">
        <f t="shared" si="29"/>
        <v>Limited to eye consultation and any medical condition related to it (illness/ injury) excluding vison, sight test &amp; refraction error.</v>
      </c>
      <c r="Q82" s="379"/>
      <c r="R82" s="380" t="s">
        <v>625</v>
      </c>
      <c r="S82" s="379" t="s">
        <v>625</v>
      </c>
      <c r="T82" s="379" t="s">
        <v>625</v>
      </c>
      <c r="U82" s="381" t="s">
        <v>625</v>
      </c>
      <c r="V82" s="380" t="s">
        <v>625</v>
      </c>
      <c r="W82" s="379" t="s">
        <v>625</v>
      </c>
      <c r="X82" s="379" t="s">
        <v>625</v>
      </c>
      <c r="Y82" s="381" t="s">
        <v>625</v>
      </c>
      <c r="Z82" s="379" t="s">
        <v>516</v>
      </c>
      <c r="AA82" s="379" t="s">
        <v>516</v>
      </c>
      <c r="AB82" s="379" t="s">
        <v>516</v>
      </c>
      <c r="AC82" s="379" t="s">
        <v>516</v>
      </c>
      <c r="AD82" s="379" t="s">
        <v>516</v>
      </c>
    </row>
    <row r="83" spans="1:30" ht="312" x14ac:dyDescent="0.25">
      <c r="A83" s="267">
        <f t="shared" si="8"/>
        <v>50</v>
      </c>
      <c r="B83" s="375" t="s">
        <v>517</v>
      </c>
      <c r="C83" s="376" t="s">
        <v>621</v>
      </c>
      <c r="D83" s="377" t="str">
        <f>$C$83</f>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E83" s="377" t="s">
        <v>621</v>
      </c>
      <c r="F83" s="377" t="str">
        <f t="shared" ref="F83:P83" si="30">$C$83</f>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G83" s="377" t="s">
        <v>621</v>
      </c>
      <c r="H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I83" s="378"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J83" s="376"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K83" s="447" t="s">
        <v>621</v>
      </c>
      <c r="L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M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N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O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P83" s="378"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Q83" s="379"/>
      <c r="R83" s="1517" t="s">
        <v>518</v>
      </c>
      <c r="S83" s="1518"/>
      <c r="T83" s="1518"/>
      <c r="U83" s="1519"/>
      <c r="V83" s="1517" t="s">
        <v>518</v>
      </c>
      <c r="W83" s="1518"/>
      <c r="X83" s="1518"/>
      <c r="Y83" s="1519"/>
      <c r="Z83" s="1518" t="s">
        <v>518</v>
      </c>
      <c r="AA83" s="1518"/>
      <c r="AB83" s="1518"/>
      <c r="AC83" s="1518"/>
    </row>
    <row r="84" spans="1:30" ht="81.95" customHeight="1" x14ac:dyDescent="0.25">
      <c r="A84" s="267">
        <f t="shared" si="8"/>
        <v>51</v>
      </c>
      <c r="B84" s="388" t="s">
        <v>519</v>
      </c>
      <c r="C84" s="385" t="s">
        <v>130</v>
      </c>
      <c r="D84" s="386" t="str">
        <f t="shared" ref="D84:D90" si="31">T84</f>
        <v>Not Covered</v>
      </c>
      <c r="E84" s="386" t="s">
        <v>130</v>
      </c>
      <c r="F84" s="386" t="str">
        <f t="shared" si="22"/>
        <v>Not Covered</v>
      </c>
      <c r="G84" s="386" t="s">
        <v>130</v>
      </c>
      <c r="H84" s="386" t="str">
        <f t="shared" ref="H84:H90" si="32">U84</f>
        <v>Not Covered</v>
      </c>
      <c r="I84" s="387" t="str">
        <f t="shared" si="24"/>
        <v>Not Covered</v>
      </c>
      <c r="J84" s="385" t="str">
        <f t="shared" si="25"/>
        <v>Not Covered</v>
      </c>
      <c r="K84" s="386" t="s">
        <v>130</v>
      </c>
      <c r="L84" s="386" t="str">
        <f t="shared" ref="L84:L90" si="33">X84</f>
        <v>Not Covered</v>
      </c>
      <c r="M84" s="386" t="str">
        <f t="shared" si="27"/>
        <v>Not Covered</v>
      </c>
      <c r="N84" s="386" t="str">
        <f t="shared" si="27"/>
        <v>Not Covered</v>
      </c>
      <c r="O84" s="386" t="str">
        <f t="shared" ref="O84:O90" si="34">Y84</f>
        <v>Not Covered</v>
      </c>
      <c r="P84" s="387" t="str">
        <f t="shared" si="29"/>
        <v>Not Covered</v>
      </c>
      <c r="Q84" s="386"/>
      <c r="R84" s="385" t="s">
        <v>130</v>
      </c>
      <c r="S84" s="386" t="s">
        <v>130</v>
      </c>
      <c r="T84" s="386" t="s">
        <v>130</v>
      </c>
      <c r="U84" s="387" t="s">
        <v>130</v>
      </c>
      <c r="V84" s="380" t="s">
        <v>130</v>
      </c>
      <c r="W84" s="379" t="s">
        <v>130</v>
      </c>
      <c r="X84" s="379" t="s">
        <v>130</v>
      </c>
      <c r="Y84" s="381" t="s">
        <v>130</v>
      </c>
      <c r="Z84" s="379" t="s">
        <v>511</v>
      </c>
      <c r="AA84" s="379" t="s">
        <v>511</v>
      </c>
      <c r="AB84" s="379" t="s">
        <v>511</v>
      </c>
      <c r="AC84" s="379" t="s">
        <v>511</v>
      </c>
      <c r="AD84" s="379" t="s">
        <v>511</v>
      </c>
    </row>
    <row r="85" spans="1:30" ht="81.95" customHeight="1" x14ac:dyDescent="0.25">
      <c r="A85" s="267">
        <f t="shared" si="8"/>
        <v>52</v>
      </c>
      <c r="B85" s="388" t="s">
        <v>520</v>
      </c>
      <c r="C85" s="380" t="s">
        <v>130</v>
      </c>
      <c r="D85" s="379" t="str">
        <f t="shared" si="31"/>
        <v>Not Covered</v>
      </c>
      <c r="E85" s="379" t="s">
        <v>130</v>
      </c>
      <c r="F85" s="379" t="str">
        <f t="shared" si="22"/>
        <v>Not Covered</v>
      </c>
      <c r="G85" s="379" t="s">
        <v>130</v>
      </c>
      <c r="H85" s="379" t="str">
        <f t="shared" si="32"/>
        <v>Not Covered</v>
      </c>
      <c r="I85" s="381" t="str">
        <f t="shared" si="24"/>
        <v>Not Covered</v>
      </c>
      <c r="J85" s="380" t="str">
        <f t="shared" si="25"/>
        <v>Not Covered</v>
      </c>
      <c r="K85" s="379" t="s">
        <v>130</v>
      </c>
      <c r="L85" s="379" t="str">
        <f t="shared" si="33"/>
        <v>Not Covered</v>
      </c>
      <c r="M85" s="379" t="str">
        <f t="shared" si="27"/>
        <v>Not Covered</v>
      </c>
      <c r="N85" s="379" t="str">
        <f t="shared" si="27"/>
        <v>Not Covered</v>
      </c>
      <c r="O85" s="379" t="str">
        <f t="shared" si="34"/>
        <v>Not Covered</v>
      </c>
      <c r="P85" s="381" t="str">
        <f t="shared" si="29"/>
        <v>Not Covered</v>
      </c>
      <c r="Q85" s="379"/>
      <c r="R85" s="380" t="s">
        <v>130</v>
      </c>
      <c r="S85" s="379" t="s">
        <v>130</v>
      </c>
      <c r="T85" s="379" t="s">
        <v>130</v>
      </c>
      <c r="U85" s="381" t="s">
        <v>130</v>
      </c>
      <c r="V85" s="380" t="s">
        <v>130</v>
      </c>
      <c r="W85" s="379" t="s">
        <v>130</v>
      </c>
      <c r="X85" s="379" t="s">
        <v>130</v>
      </c>
      <c r="Y85" s="381" t="s">
        <v>130</v>
      </c>
      <c r="Z85" s="379" t="s">
        <v>511</v>
      </c>
      <c r="AA85" s="379" t="s">
        <v>511</v>
      </c>
      <c r="AB85" s="379" t="s">
        <v>511</v>
      </c>
      <c r="AC85" s="379" t="s">
        <v>511</v>
      </c>
      <c r="AD85" s="379" t="s">
        <v>511</v>
      </c>
    </row>
    <row r="86" spans="1:30" ht="81.95" customHeight="1" x14ac:dyDescent="0.25">
      <c r="A86" s="267">
        <f t="shared" si="8"/>
        <v>53</v>
      </c>
      <c r="B86" s="388" t="s">
        <v>646</v>
      </c>
      <c r="C86" s="380" t="s">
        <v>647</v>
      </c>
      <c r="D86" s="379" t="str">
        <f t="shared" si="31"/>
        <v>Hearing and vision aids, and vision correction by surgeries and laser Covered only if required as a result of accidental injury – 20% Co- insurance applicable.</v>
      </c>
      <c r="E86" s="379" t="s">
        <v>647</v>
      </c>
      <c r="F86" s="379" t="str">
        <f t="shared" si="22"/>
        <v>Hearing and vision aids, and vision correction by surgeries and laser Covered only if required as a result of accidental injury – 20% Co- insurance applicable.</v>
      </c>
      <c r="G86" s="379" t="s">
        <v>647</v>
      </c>
      <c r="H86" s="379" t="str">
        <f t="shared" si="32"/>
        <v>Hearing and vision aids, and vision correction by surgeries and laser Covered only if required as a result of accidental injury – 20% Co- insurance applicable.</v>
      </c>
      <c r="I86" s="381" t="str">
        <f t="shared" si="24"/>
        <v>Hearing and vision aids, and vision correction by surgeries and laser Covered only if required as a result of accidental injury – 20% Co- insurance applicable.</v>
      </c>
      <c r="J86" s="380" t="str">
        <f t="shared" si="25"/>
        <v>Hearing and vision aids, and vision correction by surgeries and laser Covered only if required as a result of accidental injury – 20% Co- insurance applicable.</v>
      </c>
      <c r="K86" s="379" t="s">
        <v>647</v>
      </c>
      <c r="L86" s="379" t="str">
        <f t="shared" si="33"/>
        <v>Hearing and vision aids, and vision correction by surgeries and laser Covered only if required as a result of accidental injury – 20% Co- insurance applicable.</v>
      </c>
      <c r="M86" s="379" t="str">
        <f t="shared" si="27"/>
        <v>Hearing and vision aids, and vision correction by surgeries and laser Covered only if required as a result of accidental injury – 20% Co- insurance applicable.</v>
      </c>
      <c r="N86" s="379" t="str">
        <f t="shared" si="27"/>
        <v>Hearing and vision aids, and vision correction by surgeries and laser Covered only if required as a result of accidental injury – 20% Co- insurance applicable.</v>
      </c>
      <c r="O86" s="379" t="str">
        <f t="shared" si="34"/>
        <v>Hearing and vision aids, and vision correction by surgeries and laser Covered only if required as a result of accidental injury – 20% Co- insurance applicable.</v>
      </c>
      <c r="P86" s="381" t="str">
        <f t="shared" si="29"/>
        <v>Hearing and vision aids, and vision correction by surgeries and laser Covered only if required as a result of accidental injury – 20% Co- insurance applicable.</v>
      </c>
      <c r="Q86" s="379"/>
      <c r="R86" s="380" t="s">
        <v>647</v>
      </c>
      <c r="S86" s="379" t="s">
        <v>647</v>
      </c>
      <c r="T86" s="379" t="s">
        <v>647</v>
      </c>
      <c r="U86" s="381" t="s">
        <v>647</v>
      </c>
      <c r="V86" s="380" t="s">
        <v>647</v>
      </c>
      <c r="W86" s="379" t="s">
        <v>647</v>
      </c>
      <c r="X86" s="379" t="s">
        <v>647</v>
      </c>
      <c r="Y86" s="381" t="s">
        <v>647</v>
      </c>
      <c r="Z86" s="379" t="s">
        <v>511</v>
      </c>
      <c r="AA86" s="379" t="s">
        <v>511</v>
      </c>
      <c r="AB86" s="379" t="s">
        <v>511</v>
      </c>
      <c r="AC86" s="379" t="s">
        <v>511</v>
      </c>
      <c r="AD86" s="379" t="s">
        <v>511</v>
      </c>
    </row>
    <row r="87" spans="1:30" ht="81.95" customHeight="1" x14ac:dyDescent="0.25">
      <c r="A87" s="267">
        <f t="shared" si="8"/>
        <v>54</v>
      </c>
      <c r="B87" s="388" t="s">
        <v>521</v>
      </c>
      <c r="C87" s="380" t="s">
        <v>130</v>
      </c>
      <c r="D87" s="379" t="str">
        <f t="shared" si="31"/>
        <v>Not Covered</v>
      </c>
      <c r="E87" s="379" t="s">
        <v>130</v>
      </c>
      <c r="F87" s="379" t="str">
        <f t="shared" si="22"/>
        <v>Not Covered</v>
      </c>
      <c r="G87" s="379" t="s">
        <v>130</v>
      </c>
      <c r="H87" s="379" t="str">
        <f t="shared" si="32"/>
        <v>Not Covered</v>
      </c>
      <c r="I87" s="381" t="str">
        <f t="shared" si="24"/>
        <v>Not Covered</v>
      </c>
      <c r="J87" s="380" t="str">
        <f t="shared" si="25"/>
        <v>Not Covered</v>
      </c>
      <c r="K87" s="379" t="s">
        <v>130</v>
      </c>
      <c r="L87" s="379" t="str">
        <f t="shared" si="33"/>
        <v>Not Covered</v>
      </c>
      <c r="M87" s="379" t="str">
        <f t="shared" si="27"/>
        <v>Not Covered</v>
      </c>
      <c r="N87" s="379" t="str">
        <f t="shared" si="27"/>
        <v>Not Covered</v>
      </c>
      <c r="O87" s="379" t="str">
        <f t="shared" si="34"/>
        <v>Not Covered</v>
      </c>
      <c r="P87" s="381" t="str">
        <f t="shared" si="29"/>
        <v>Not Covered</v>
      </c>
      <c r="Q87" s="386"/>
      <c r="R87" s="385" t="s">
        <v>130</v>
      </c>
      <c r="S87" s="386" t="s">
        <v>130</v>
      </c>
      <c r="T87" s="386" t="s">
        <v>130</v>
      </c>
      <c r="U87" s="387" t="s">
        <v>130</v>
      </c>
      <c r="V87" s="380" t="s">
        <v>130</v>
      </c>
      <c r="W87" s="379" t="s">
        <v>130</v>
      </c>
      <c r="X87" s="379" t="s">
        <v>130</v>
      </c>
      <c r="Y87" s="381" t="s">
        <v>130</v>
      </c>
      <c r="Z87" s="379" t="s">
        <v>522</v>
      </c>
      <c r="AA87" s="379" t="s">
        <v>522</v>
      </c>
      <c r="AB87" s="379" t="s">
        <v>522</v>
      </c>
      <c r="AC87" s="379" t="s">
        <v>522</v>
      </c>
      <c r="AD87" s="379" t="s">
        <v>522</v>
      </c>
    </row>
    <row r="88" spans="1:30" ht="81.95" customHeight="1" x14ac:dyDescent="0.25">
      <c r="A88" s="267">
        <f t="shared" si="8"/>
        <v>55</v>
      </c>
      <c r="B88" s="389" t="s">
        <v>523</v>
      </c>
      <c r="C88" s="380" t="s">
        <v>130</v>
      </c>
      <c r="D88" s="379" t="str">
        <f t="shared" si="31"/>
        <v>Not Covered</v>
      </c>
      <c r="E88" s="379" t="s">
        <v>130</v>
      </c>
      <c r="F88" s="379" t="str">
        <f t="shared" si="22"/>
        <v>Not Covered</v>
      </c>
      <c r="G88" s="379" t="s">
        <v>130</v>
      </c>
      <c r="H88" s="379" t="str">
        <f t="shared" si="32"/>
        <v>Not Covered</v>
      </c>
      <c r="I88" s="381" t="str">
        <f t="shared" si="24"/>
        <v>Not Covered</v>
      </c>
      <c r="J88" s="380" t="str">
        <f t="shared" si="25"/>
        <v>Not Covered</v>
      </c>
      <c r="K88" s="379" t="s">
        <v>130</v>
      </c>
      <c r="L88" s="379" t="str">
        <f t="shared" si="33"/>
        <v>Not Covered</v>
      </c>
      <c r="M88" s="379" t="str">
        <f t="shared" si="27"/>
        <v>Not Covered</v>
      </c>
      <c r="N88" s="379" t="str">
        <f t="shared" si="27"/>
        <v>Not Covered</v>
      </c>
      <c r="O88" s="379" t="str">
        <f t="shared" si="34"/>
        <v>Not Covered</v>
      </c>
      <c r="P88" s="381" t="str">
        <f t="shared" si="29"/>
        <v>Not Covered</v>
      </c>
      <c r="Q88" s="386"/>
      <c r="R88" s="385" t="s">
        <v>130</v>
      </c>
      <c r="S88" s="386" t="s">
        <v>130</v>
      </c>
      <c r="T88" s="386" t="s">
        <v>130</v>
      </c>
      <c r="U88" s="387" t="s">
        <v>130</v>
      </c>
      <c r="V88" s="380" t="s">
        <v>130</v>
      </c>
      <c r="W88" s="379" t="s">
        <v>130</v>
      </c>
      <c r="X88" s="379" t="s">
        <v>130</v>
      </c>
      <c r="Y88" s="381" t="s">
        <v>130</v>
      </c>
      <c r="Z88" s="379" t="s">
        <v>524</v>
      </c>
      <c r="AA88" s="379" t="s">
        <v>524</v>
      </c>
      <c r="AB88" s="379" t="s">
        <v>524</v>
      </c>
      <c r="AC88" s="379" t="s">
        <v>524</v>
      </c>
      <c r="AD88" s="379" t="s">
        <v>524</v>
      </c>
    </row>
    <row r="89" spans="1:30" ht="81.95" customHeight="1" x14ac:dyDescent="0.25">
      <c r="A89" s="267">
        <f t="shared" si="8"/>
        <v>56</v>
      </c>
      <c r="B89" s="390" t="s">
        <v>525</v>
      </c>
      <c r="C89" s="391" t="s">
        <v>626</v>
      </c>
      <c r="D89" s="392" t="str">
        <f t="shared" si="31"/>
        <v>Covered only if medically necessary &amp; not for Cosmetic reasons</v>
      </c>
      <c r="E89" s="392" t="s">
        <v>626</v>
      </c>
      <c r="F89" s="392" t="str">
        <f t="shared" si="22"/>
        <v>Covered only if medically necessary &amp; not for Cosmetic reasons</v>
      </c>
      <c r="G89" s="392" t="s">
        <v>626</v>
      </c>
      <c r="H89" s="392" t="str">
        <f t="shared" si="32"/>
        <v>Covered only if medically necessary &amp; not for Cosmetic reasons</v>
      </c>
      <c r="I89" s="393" t="str">
        <f t="shared" si="24"/>
        <v>Covered only if medically necessary &amp; not for Cosmetic reasons</v>
      </c>
      <c r="J89" s="391" t="str">
        <f t="shared" si="25"/>
        <v>Covered only if medically necessary &amp; not for Cosmetic reasons</v>
      </c>
      <c r="K89" s="392" t="s">
        <v>626</v>
      </c>
      <c r="L89" s="392" t="str">
        <f t="shared" si="33"/>
        <v>Covered only if medically necessary &amp; not for Cosmetic reasons</v>
      </c>
      <c r="M89" s="392" t="str">
        <f t="shared" si="27"/>
        <v>Covered only if medically necessary &amp; not for Cosmetic reasons</v>
      </c>
      <c r="N89" s="392" t="str">
        <f t="shared" si="27"/>
        <v>Covered only if medically necessary &amp; not for Cosmetic reasons</v>
      </c>
      <c r="O89" s="392" t="str">
        <f t="shared" si="34"/>
        <v>Covered only if medically necessary &amp; not for Cosmetic reasons</v>
      </c>
      <c r="P89" s="393" t="str">
        <f t="shared" si="29"/>
        <v>Covered only if medically necessary &amp; not for Cosmetic reasons</v>
      </c>
      <c r="Q89" s="392"/>
      <c r="R89" s="391" t="s">
        <v>626</v>
      </c>
      <c r="S89" s="392" t="s">
        <v>626</v>
      </c>
      <c r="T89" s="392" t="s">
        <v>626</v>
      </c>
      <c r="U89" s="393" t="s">
        <v>626</v>
      </c>
      <c r="V89" s="391" t="s">
        <v>626</v>
      </c>
      <c r="W89" s="392" t="s">
        <v>626</v>
      </c>
      <c r="X89" s="392" t="s">
        <v>626</v>
      </c>
      <c r="Y89" s="393" t="s">
        <v>626</v>
      </c>
      <c r="Z89" s="392" t="s">
        <v>526</v>
      </c>
      <c r="AA89" s="392" t="s">
        <v>526</v>
      </c>
      <c r="AB89" s="392" t="s">
        <v>526</v>
      </c>
      <c r="AC89" s="392" t="s">
        <v>526</v>
      </c>
      <c r="AD89" s="392" t="s">
        <v>526</v>
      </c>
    </row>
    <row r="90" spans="1:30" ht="81.95" customHeight="1" x14ac:dyDescent="0.25">
      <c r="A90" s="267">
        <f t="shared" si="8"/>
        <v>57</v>
      </c>
      <c r="B90" s="389" t="s">
        <v>527</v>
      </c>
      <c r="C90" s="385" t="s">
        <v>130</v>
      </c>
      <c r="D90" s="386" t="str">
        <f t="shared" si="31"/>
        <v>Not Covered</v>
      </c>
      <c r="E90" s="386" t="s">
        <v>130</v>
      </c>
      <c r="F90" s="386" t="str">
        <f t="shared" si="22"/>
        <v>Not Covered</v>
      </c>
      <c r="G90" s="386" t="s">
        <v>130</v>
      </c>
      <c r="H90" s="386" t="str">
        <f t="shared" si="32"/>
        <v>Not Covered</v>
      </c>
      <c r="I90" s="387" t="str">
        <f t="shared" si="24"/>
        <v>Not Covered</v>
      </c>
      <c r="J90" s="380" t="str">
        <f t="shared" si="25"/>
        <v>Not Covered</v>
      </c>
      <c r="K90" s="379" t="s">
        <v>130</v>
      </c>
      <c r="L90" s="379" t="str">
        <f t="shared" si="33"/>
        <v>Not Covered</v>
      </c>
      <c r="M90" s="379" t="str">
        <f t="shared" si="27"/>
        <v>Not Covered</v>
      </c>
      <c r="N90" s="379" t="str">
        <f t="shared" si="27"/>
        <v>Not Covered</v>
      </c>
      <c r="O90" s="379" t="str">
        <f t="shared" si="34"/>
        <v>Not Covered</v>
      </c>
      <c r="P90" s="381" t="str">
        <f t="shared" si="29"/>
        <v>Not Covered</v>
      </c>
      <c r="Q90" s="379"/>
      <c r="R90" s="380" t="s">
        <v>130</v>
      </c>
      <c r="S90" s="379" t="s">
        <v>130</v>
      </c>
      <c r="T90" s="379" t="s">
        <v>130</v>
      </c>
      <c r="U90" s="381" t="s">
        <v>130</v>
      </c>
      <c r="V90" s="380" t="s">
        <v>130</v>
      </c>
      <c r="W90" s="379" t="s">
        <v>130</v>
      </c>
      <c r="X90" s="379" t="s">
        <v>130</v>
      </c>
      <c r="Y90" s="381" t="s">
        <v>130</v>
      </c>
      <c r="Z90" s="379" t="s">
        <v>528</v>
      </c>
      <c r="AA90" s="379" t="s">
        <v>528</v>
      </c>
      <c r="AB90" s="379" t="s">
        <v>528</v>
      </c>
      <c r="AC90" s="379" t="s">
        <v>528</v>
      </c>
      <c r="AD90" s="379" t="s">
        <v>528</v>
      </c>
    </row>
    <row r="91" spans="1:30" ht="81.95" customHeight="1" thickBot="1" x14ac:dyDescent="0.3">
      <c r="A91" s="267">
        <f t="shared" si="8"/>
        <v>58</v>
      </c>
      <c r="B91" s="389" t="s">
        <v>759</v>
      </c>
      <c r="C91" s="385" t="s">
        <v>760</v>
      </c>
      <c r="D91" s="386" t="s">
        <v>760</v>
      </c>
      <c r="E91" s="386" t="s">
        <v>760</v>
      </c>
      <c r="F91" s="386" t="s">
        <v>760</v>
      </c>
      <c r="G91" s="386" t="s">
        <v>760</v>
      </c>
      <c r="H91" s="386" t="s">
        <v>760</v>
      </c>
      <c r="I91" s="387" t="s">
        <v>760</v>
      </c>
      <c r="J91" s="380" t="s">
        <v>760</v>
      </c>
      <c r="K91" s="379" t="s">
        <v>760</v>
      </c>
      <c r="L91" s="379" t="s">
        <v>760</v>
      </c>
      <c r="M91" s="379" t="s">
        <v>760</v>
      </c>
      <c r="N91" s="379" t="s">
        <v>760</v>
      </c>
      <c r="O91" s="379" t="s">
        <v>760</v>
      </c>
      <c r="P91" s="381" t="s">
        <v>760</v>
      </c>
      <c r="Q91" s="379"/>
      <c r="R91" s="380" t="s">
        <v>760</v>
      </c>
      <c r="S91" s="379" t="s">
        <v>760</v>
      </c>
      <c r="T91" s="379" t="s">
        <v>760</v>
      </c>
      <c r="U91" s="381" t="s">
        <v>760</v>
      </c>
      <c r="V91" s="380" t="s">
        <v>760</v>
      </c>
      <c r="W91" s="379" t="s">
        <v>760</v>
      </c>
      <c r="X91" s="379" t="s">
        <v>760</v>
      </c>
      <c r="Y91" s="381" t="s">
        <v>760</v>
      </c>
      <c r="Z91" s="379" t="s">
        <v>760</v>
      </c>
      <c r="AA91" s="379" t="s">
        <v>760</v>
      </c>
      <c r="AB91" s="379" t="s">
        <v>760</v>
      </c>
      <c r="AC91" s="379" t="s">
        <v>760</v>
      </c>
      <c r="AD91" s="379" t="s">
        <v>760</v>
      </c>
    </row>
    <row r="92" spans="1:30" ht="24" x14ac:dyDescent="0.25">
      <c r="A92" s="267">
        <f>A91+1</f>
        <v>59</v>
      </c>
      <c r="B92" s="321" t="s">
        <v>529</v>
      </c>
      <c r="C92" s="361"/>
      <c r="I92" s="362"/>
      <c r="J92" s="361"/>
      <c r="P92" s="362"/>
      <c r="R92" s="278"/>
      <c r="S92" s="286"/>
      <c r="T92" s="279"/>
      <c r="U92" s="281"/>
      <c r="V92" s="278"/>
      <c r="W92" s="286"/>
      <c r="X92" s="279"/>
      <c r="Y92" s="281"/>
      <c r="Z92" s="271"/>
      <c r="AA92" s="279"/>
      <c r="AB92" s="279"/>
      <c r="AC92" s="280"/>
      <c r="AD92" s="280"/>
    </row>
    <row r="93" spans="1:30" ht="60" x14ac:dyDescent="0.25">
      <c r="A93" s="267">
        <f t="shared" si="8"/>
        <v>60</v>
      </c>
      <c r="B93" s="303" t="s">
        <v>530</v>
      </c>
      <c r="C93" s="394" t="s">
        <v>531</v>
      </c>
      <c r="D93" s="395" t="str">
        <f>T93</f>
        <v xml:space="preserve"> 15,000 per year - includes Antenatal, Postnatal, Normal Delivery, Cesarean Delivery and Termination of Pregnancy due to medical reasons</v>
      </c>
      <c r="E93" s="395" t="s">
        <v>533</v>
      </c>
      <c r="F93" s="395" t="str">
        <f>D93</f>
        <v xml:space="preserve"> 15,000 per year - includes Antenatal, Postnatal, Normal Delivery, Cesarean Delivery and Termination of Pregnancy due to medical reasons</v>
      </c>
      <c r="G93" s="395" t="s">
        <v>533</v>
      </c>
      <c r="H93" s="395" t="str">
        <f>U93</f>
        <v xml:space="preserve"> 10,000 per year - includes Antenatal, Postnatal, Normal Delivery, Cesarean Delivery and Termination of Pregnancy due to medical reasons</v>
      </c>
      <c r="I93" s="396" t="str">
        <f>H93</f>
        <v xml:space="preserve"> 10,000 per year - includes Antenatal, Postnatal, Normal Delivery, Cesarean Delivery and Termination of Pregnancy due to medical reasons</v>
      </c>
      <c r="J93" s="394" t="str">
        <f t="shared" si="25"/>
        <v>Covered</v>
      </c>
      <c r="K93" s="395" t="s">
        <v>454</v>
      </c>
      <c r="L93" s="395" t="str">
        <f>X93</f>
        <v>Covered</v>
      </c>
      <c r="M93" s="395" t="str">
        <f t="shared" ref="M93:N96" si="35">K93</f>
        <v>Covered</v>
      </c>
      <c r="N93" s="395" t="str">
        <f t="shared" si="35"/>
        <v>Covered</v>
      </c>
      <c r="O93" s="395" t="str">
        <f>Y93</f>
        <v>Covered</v>
      </c>
      <c r="P93" s="396" t="str">
        <f>O93</f>
        <v>Covered</v>
      </c>
      <c r="Q93" s="395"/>
      <c r="R93" s="394" t="s">
        <v>531</v>
      </c>
      <c r="S93" s="395" t="s">
        <v>532</v>
      </c>
      <c r="T93" s="395" t="s">
        <v>533</v>
      </c>
      <c r="U93" s="396" t="s">
        <v>534</v>
      </c>
      <c r="V93" s="394" t="s">
        <v>454</v>
      </c>
      <c r="W93" s="395" t="s">
        <v>454</v>
      </c>
      <c r="X93" s="395" t="s">
        <v>454</v>
      </c>
      <c r="Y93" s="396" t="s">
        <v>454</v>
      </c>
      <c r="Z93" s="395" t="s">
        <v>535</v>
      </c>
      <c r="AA93" s="395" t="s">
        <v>536</v>
      </c>
      <c r="AB93" s="395" t="s">
        <v>536</v>
      </c>
      <c r="AC93" s="395" t="s">
        <v>537</v>
      </c>
      <c r="AD93" s="395" t="s">
        <v>537</v>
      </c>
    </row>
    <row r="94" spans="1:30" ht="240" x14ac:dyDescent="0.25">
      <c r="A94" s="267">
        <f t="shared" si="8"/>
        <v>61</v>
      </c>
      <c r="B94" s="328" t="s">
        <v>538</v>
      </c>
      <c r="C94" s="397" t="s">
        <v>611</v>
      </c>
      <c r="D94" s="398" t="str">
        <f>T94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E94" s="398" t="s">
        <v>611</v>
      </c>
      <c r="F94" s="398" t="str">
        <f>D94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G94" s="398" t="s">
        <v>611</v>
      </c>
      <c r="H94" s="398" t="str">
        <f>U94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I94" s="399" t="str">
        <f>H94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J94" s="397" t="str">
        <f t="shared" si="25"/>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K94" s="398" t="s">
        <v>611</v>
      </c>
      <c r="L94" s="398" t="str">
        <f>X94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M94" s="398" t="str">
        <f t="shared" si="35"/>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N94" s="398" t="str">
        <f t="shared" si="35"/>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O94" s="398" t="str">
        <f>Y94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P94" s="399" t="str">
        <f>O94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Q94" s="398"/>
      <c r="R94" s="397" t="s">
        <v>539</v>
      </c>
      <c r="S94" s="398" t="s">
        <v>539</v>
      </c>
      <c r="T94" s="398" t="s">
        <v>539</v>
      </c>
      <c r="U94" s="399" t="s">
        <v>539</v>
      </c>
      <c r="V94" s="397" t="s">
        <v>539</v>
      </c>
      <c r="W94" s="398" t="s">
        <v>539</v>
      </c>
      <c r="X94" s="398" t="s">
        <v>539</v>
      </c>
      <c r="Y94" s="399" t="s">
        <v>539</v>
      </c>
      <c r="Z94" s="398" t="s">
        <v>539</v>
      </c>
      <c r="AA94" s="398" t="s">
        <v>539</v>
      </c>
      <c r="AB94" s="398" t="s">
        <v>539</v>
      </c>
      <c r="AC94" s="398" t="s">
        <v>539</v>
      </c>
      <c r="AD94" s="398" t="s">
        <v>539</v>
      </c>
    </row>
    <row r="95" spans="1:30" ht="60" x14ac:dyDescent="0.25">
      <c r="A95" s="267">
        <f t="shared" si="8"/>
        <v>62</v>
      </c>
      <c r="B95" s="400" t="s">
        <v>540</v>
      </c>
      <c r="C95" s="401" t="s">
        <v>541</v>
      </c>
      <c r="D95" s="402" t="str">
        <f>T95</f>
        <v xml:space="preserve">
'Option 1: 10% of each and every expenses
</v>
      </c>
      <c r="E95" s="402" t="s">
        <v>541</v>
      </c>
      <c r="F95" s="402" t="str">
        <f>D95</f>
        <v xml:space="preserve">
'Option 1: 10% of each and every expenses
</v>
      </c>
      <c r="G95" s="402" t="s">
        <v>541</v>
      </c>
      <c r="H95" s="402" t="str">
        <f>U95</f>
        <v xml:space="preserve">
'Option 1: 10% of each and every expenses
</v>
      </c>
      <c r="I95" s="403" t="str">
        <f>H95</f>
        <v xml:space="preserve">
'Option 1: 10% of each and every expenses
</v>
      </c>
      <c r="J95" s="401" t="str">
        <f t="shared" si="25"/>
        <v>Option 1: Deductible AED 50/- on OP and  Deductible AED 500/- on IP within UAE</v>
      </c>
      <c r="K95" s="402" t="s">
        <v>543</v>
      </c>
      <c r="L95" s="402" t="str">
        <f>X95</f>
        <v>Option 1: Deductible AED 50/- on OP and  Deductible AED 500/- on IP within UAE</v>
      </c>
      <c r="M95" s="402" t="str">
        <f t="shared" si="35"/>
        <v>Option 1: Deductible AED 50/- on OP and  Deductible AED 500/- on IP within UAE</v>
      </c>
      <c r="N95" s="402" t="str">
        <f t="shared" si="35"/>
        <v>Option 1: Deductible AED 50/- on OP and  Deductible AED 500/- on IP within UAE</v>
      </c>
      <c r="O95" s="402" t="str">
        <f>Y95</f>
        <v>Option 1: Deductible AED 50/- on OP and  Deductible AED 500/- on IP within UAE</v>
      </c>
      <c r="P95" s="403" t="str">
        <f>O95</f>
        <v>Option 1: Deductible AED 50/- on OP and  Deductible AED 500/- on IP within UAE</v>
      </c>
      <c r="Q95" s="402"/>
      <c r="R95" s="401" t="s">
        <v>541</v>
      </c>
      <c r="S95" s="402" t="s">
        <v>541</v>
      </c>
      <c r="T95" s="402" t="s">
        <v>541</v>
      </c>
      <c r="U95" s="403" t="s">
        <v>541</v>
      </c>
      <c r="V95" s="401" t="s">
        <v>543</v>
      </c>
      <c r="W95" s="402" t="s">
        <v>543</v>
      </c>
      <c r="X95" s="402" t="s">
        <v>543</v>
      </c>
      <c r="Y95" s="403" t="s">
        <v>543</v>
      </c>
      <c r="Z95" s="402" t="s">
        <v>542</v>
      </c>
      <c r="AA95" s="402" t="s">
        <v>542</v>
      </c>
      <c r="AB95" s="402" t="s">
        <v>542</v>
      </c>
      <c r="AC95" s="402" t="s">
        <v>542</v>
      </c>
      <c r="AD95" s="402" t="s">
        <v>542</v>
      </c>
    </row>
    <row r="96" spans="1:30" ht="72" x14ac:dyDescent="0.25">
      <c r="A96" s="267">
        <f t="shared" si="8"/>
        <v>63</v>
      </c>
      <c r="B96" s="328" t="s">
        <v>544</v>
      </c>
      <c r="C96" s="394" t="s">
        <v>545</v>
      </c>
      <c r="D96" s="395" t="str">
        <f>T96</f>
        <v>Cover for 30 days from birth BCG, Hepatitis B and neo-natal screening test (Phenylketonuria (PKU), Congenital Hypothyroidism, sickle cell screening, congenital adrenal hyperplasia)</v>
      </c>
      <c r="E96" s="395" t="s">
        <v>545</v>
      </c>
      <c r="F96" s="395" t="str">
        <f>D96</f>
        <v>Cover for 30 days from birth BCG, Hepatitis B and neo-natal screening test (Phenylketonuria (PKU), Congenital Hypothyroidism, sickle cell screening, congenital adrenal hyperplasia)</v>
      </c>
      <c r="G96" s="395" t="s">
        <v>545</v>
      </c>
      <c r="H96" s="395" t="str">
        <f>U96</f>
        <v>Cover for 30 days from birth BCG, Hepatitis B and neo-natal screening test (Phenylketonuria (PKU), Congenital Hypothyroidism, sickle cell screening, congenital adrenal hyperplasia)</v>
      </c>
      <c r="I96" s="396" t="str">
        <f>H96</f>
        <v>Cover for 30 days from birth BCG, Hepatitis B and neo-natal screening test (Phenylketonuria (PKU), Congenital Hypothyroidism, sickle cell screening, congenital adrenal hyperplasia)</v>
      </c>
      <c r="J96" s="394" t="str">
        <f t="shared" si="25"/>
        <v>Cover for 30 days from birth BCG, Hepatitis B and neo-natal screening test (Phenylketonuria (PKU), Congenital Hypothyroidism, sickle cell screening, congenital adrenal hyperplasia)</v>
      </c>
      <c r="K96" s="395" t="s">
        <v>545</v>
      </c>
      <c r="L96" s="395" t="str">
        <f>X96</f>
        <v>Cover for 30 days from birth BCG, Hepatitis B and neo-natal screening test (Phenylketonuria (PKU), Congenital Hypothyroidism, sickle cell screening, congenital adrenal hyperplasia)</v>
      </c>
      <c r="M96" s="395" t="str">
        <f t="shared" si="35"/>
        <v>Cover for 30 days from birth BCG, Hepatitis B and neo-natal screening test (Phenylketonuria (PKU), Congenital Hypothyroidism, sickle cell screening, congenital adrenal hyperplasia)</v>
      </c>
      <c r="N96" s="395" t="str">
        <f t="shared" si="35"/>
        <v>Cover for 30 days from birth BCG, Hepatitis B and neo-natal screening test (Phenylketonuria (PKU), Congenital Hypothyroidism, sickle cell screening, congenital adrenal hyperplasia)</v>
      </c>
      <c r="O96" s="395" t="str">
        <f>Y96</f>
        <v>Cover for 30 days from birth BCG, Hepatitis B and neo-natal screening test (Phenylketonuria (PKU), Congenital Hypothyroidism, sickle cell screening, congenital adrenal hyperplasia)</v>
      </c>
      <c r="P96" s="396" t="str">
        <f>O96</f>
        <v>Cover for 30 days from birth BCG, Hepatitis B and neo-natal screening test (Phenylketonuria (PKU), Congenital Hypothyroidism, sickle cell screening, congenital adrenal hyperplasia)</v>
      </c>
      <c r="Q96" s="395"/>
      <c r="R96" s="394" t="s">
        <v>545</v>
      </c>
      <c r="S96" s="395" t="s">
        <v>545</v>
      </c>
      <c r="T96" s="395" t="s">
        <v>545</v>
      </c>
      <c r="U96" s="396" t="s">
        <v>545</v>
      </c>
      <c r="V96" s="394" t="s">
        <v>545</v>
      </c>
      <c r="W96" s="395" t="s">
        <v>545</v>
      </c>
      <c r="X96" s="395" t="s">
        <v>545</v>
      </c>
      <c r="Y96" s="396" t="s">
        <v>545</v>
      </c>
      <c r="Z96" s="395" t="s">
        <v>545</v>
      </c>
      <c r="AA96" s="395" t="s">
        <v>545</v>
      </c>
      <c r="AB96" s="395" t="s">
        <v>545</v>
      </c>
      <c r="AC96" s="395" t="s">
        <v>545</v>
      </c>
      <c r="AD96" s="395" t="s">
        <v>545</v>
      </c>
    </row>
    <row r="97" spans="1:30" ht="29.1" customHeight="1" thickBot="1" x14ac:dyDescent="0.3">
      <c r="A97" s="267">
        <f t="shared" si="8"/>
        <v>64</v>
      </c>
      <c r="C97" s="404" t="s">
        <v>546</v>
      </c>
      <c r="D97" s="405"/>
      <c r="E97" s="405"/>
      <c r="F97" s="405"/>
      <c r="G97" s="405"/>
      <c r="H97" s="405"/>
      <c r="I97" s="406"/>
      <c r="J97" s="404"/>
      <c r="K97" s="407"/>
      <c r="L97" s="405"/>
      <c r="M97" s="405"/>
      <c r="N97" s="405"/>
      <c r="O97" s="405"/>
      <c r="P97" s="406"/>
      <c r="Q97" s="407"/>
      <c r="R97" s="404" t="s">
        <v>546</v>
      </c>
      <c r="S97" s="407"/>
      <c r="T97" s="407"/>
      <c r="U97" s="408"/>
      <c r="V97" s="1521" t="s">
        <v>546</v>
      </c>
      <c r="W97" s="1522"/>
      <c r="X97" s="1522"/>
      <c r="Y97" s="1523"/>
      <c r="Z97" s="1520" t="s">
        <v>546</v>
      </c>
      <c r="AA97" s="1520"/>
      <c r="AB97" s="1520"/>
      <c r="AC97" s="1520"/>
    </row>
    <row r="98" spans="1:30" ht="22.5" customHeight="1" x14ac:dyDescent="0.25">
      <c r="A98" s="267">
        <f t="shared" si="8"/>
        <v>65</v>
      </c>
      <c r="B98" s="321" t="s">
        <v>547</v>
      </c>
      <c r="C98" s="278" t="s">
        <v>548</v>
      </c>
      <c r="D98" s="271" t="str">
        <f>T98</f>
        <v>COMPREHENSIVE</v>
      </c>
      <c r="E98" s="271"/>
      <c r="F98" s="271"/>
      <c r="G98" s="271"/>
      <c r="H98" s="271" t="str">
        <f>U98</f>
        <v>STANDARD</v>
      </c>
      <c r="I98" s="363"/>
      <c r="J98" s="278"/>
      <c r="K98" s="271"/>
      <c r="L98" s="271"/>
      <c r="M98" s="271"/>
      <c r="N98" s="271"/>
      <c r="O98" s="271"/>
      <c r="P98" s="363"/>
      <c r="Q98" s="271"/>
      <c r="R98" s="278" t="s">
        <v>548</v>
      </c>
      <c r="S98" s="286" t="s">
        <v>549</v>
      </c>
      <c r="T98" s="279" t="s">
        <v>550</v>
      </c>
      <c r="U98" s="281" t="s">
        <v>551</v>
      </c>
      <c r="V98" s="278"/>
      <c r="W98" s="286"/>
      <c r="X98" s="279"/>
      <c r="Y98" s="281"/>
      <c r="Z98" s="271"/>
      <c r="AA98" s="279"/>
      <c r="AB98" s="279"/>
      <c r="AC98" s="280"/>
      <c r="AD98" s="280"/>
    </row>
    <row r="99" spans="1:30" ht="60" x14ac:dyDescent="0.25">
      <c r="A99" s="267">
        <f t="shared" si="8"/>
        <v>66</v>
      </c>
      <c r="B99" s="336" t="s">
        <v>645</v>
      </c>
      <c r="C99" s="352" t="s">
        <v>552</v>
      </c>
      <c r="D99" s="353" t="str">
        <f>T99</f>
        <v>Optional - Limited to AED 1,500 per person per annum</v>
      </c>
      <c r="E99" s="353"/>
      <c r="F99" s="353" t="str">
        <f>D99</f>
        <v>Optional - Limited to AED 1,500 per person per annum</v>
      </c>
      <c r="G99" s="353"/>
      <c r="H99" s="353" t="str">
        <f>U99</f>
        <v>Not Covered</v>
      </c>
      <c r="I99" s="354" t="str">
        <f>H99</f>
        <v>Not Covered</v>
      </c>
      <c r="J99" s="352" t="str">
        <f t="shared" ref="J99:J107" si="36">V99</f>
        <v>Optional - Limited to AED 3,000 per person per annum</v>
      </c>
      <c r="K99" s="355"/>
      <c r="L99" s="353" t="str">
        <f>X99</f>
        <v>Optional - Limited to AED 1,500 per person per annum</v>
      </c>
      <c r="M99" s="353">
        <f t="shared" ref="M99:N101" si="37">K99</f>
        <v>0</v>
      </c>
      <c r="N99" s="353" t="str">
        <f t="shared" si="37"/>
        <v>Optional - Limited to AED 1,500 per person per annum</v>
      </c>
      <c r="O99" s="353" t="str">
        <f>Y99</f>
        <v>Not Covered</v>
      </c>
      <c r="P99" s="354" t="str">
        <f>O99</f>
        <v>Not Covered</v>
      </c>
      <c r="Q99" s="349"/>
      <c r="R99" s="352" t="s">
        <v>552</v>
      </c>
      <c r="S99" s="353" t="s">
        <v>553</v>
      </c>
      <c r="T99" s="353" t="s">
        <v>554</v>
      </c>
      <c r="U99" s="354" t="s">
        <v>130</v>
      </c>
      <c r="V99" s="352" t="s">
        <v>552</v>
      </c>
      <c r="W99" s="353" t="s">
        <v>553</v>
      </c>
      <c r="X99" s="353" t="s">
        <v>554</v>
      </c>
      <c r="Y99" s="354" t="s">
        <v>130</v>
      </c>
      <c r="Z99" s="355" t="s">
        <v>552</v>
      </c>
      <c r="AA99" s="353" t="s">
        <v>554</v>
      </c>
      <c r="AB99" s="353" t="s">
        <v>554</v>
      </c>
      <c r="AC99" s="353" t="s">
        <v>130</v>
      </c>
      <c r="AD99" s="353" t="s">
        <v>130</v>
      </c>
    </row>
    <row r="100" spans="1:30" ht="24" x14ac:dyDescent="0.25">
      <c r="A100" s="267">
        <f t="shared" si="8"/>
        <v>67</v>
      </c>
      <c r="B100" s="328" t="s">
        <v>555</v>
      </c>
      <c r="C100" s="409" t="s">
        <v>130</v>
      </c>
      <c r="D100" s="410" t="str">
        <f>T100</f>
        <v>Not Covered</v>
      </c>
      <c r="E100" s="410"/>
      <c r="F100" s="410" t="str">
        <f>D100</f>
        <v>Not Covered</v>
      </c>
      <c r="G100" s="410"/>
      <c r="H100" s="410" t="str">
        <f>U100</f>
        <v>Not Covered</v>
      </c>
      <c r="I100" s="411" t="str">
        <f>H100</f>
        <v>Not Covered</v>
      </c>
      <c r="J100" s="409" t="str">
        <f t="shared" si="36"/>
        <v>Not Covered</v>
      </c>
      <c r="K100" s="413"/>
      <c r="L100" s="410" t="str">
        <f>X100</f>
        <v>Not Covered</v>
      </c>
      <c r="M100" s="410">
        <f t="shared" si="37"/>
        <v>0</v>
      </c>
      <c r="N100" s="410" t="str">
        <f t="shared" si="37"/>
        <v>Not Covered</v>
      </c>
      <c r="O100" s="410" t="str">
        <f>Y100</f>
        <v>Not Covered</v>
      </c>
      <c r="P100" s="411" t="str">
        <f>O100</f>
        <v>Not Covered</v>
      </c>
      <c r="Q100" s="412"/>
      <c r="R100" s="409" t="s">
        <v>130</v>
      </c>
      <c r="S100" s="410" t="s">
        <v>130</v>
      </c>
      <c r="T100" s="410" t="s">
        <v>130</v>
      </c>
      <c r="U100" s="411" t="s">
        <v>130</v>
      </c>
      <c r="V100" s="409" t="s">
        <v>130</v>
      </c>
      <c r="W100" s="410" t="s">
        <v>130</v>
      </c>
      <c r="X100" s="410" t="s">
        <v>130</v>
      </c>
      <c r="Y100" s="411" t="s">
        <v>130</v>
      </c>
      <c r="Z100" s="413" t="s">
        <v>130</v>
      </c>
      <c r="AA100" s="410" t="s">
        <v>130</v>
      </c>
      <c r="AB100" s="410" t="s">
        <v>130</v>
      </c>
      <c r="AC100" s="410" t="s">
        <v>557</v>
      </c>
      <c r="AD100" s="410" t="s">
        <v>557</v>
      </c>
    </row>
    <row r="101" spans="1:30" ht="48.75" thickBot="1" x14ac:dyDescent="0.3">
      <c r="A101" s="267">
        <f t="shared" si="8"/>
        <v>68</v>
      </c>
      <c r="B101" s="328" t="s">
        <v>558</v>
      </c>
      <c r="C101" s="346" t="s">
        <v>559</v>
      </c>
      <c r="D101" s="347" t="str">
        <f>T101</f>
        <v xml:space="preserve">Option 1: AED 50
Option 2: 10%
Option 3: 20%
</v>
      </c>
      <c r="E101" s="347"/>
      <c r="F101" s="347" t="str">
        <f>D101</f>
        <v xml:space="preserve">Option 1: AED 50
Option 2: 10%
Option 3: 20%
</v>
      </c>
      <c r="G101" s="347"/>
      <c r="H101" s="347" t="str">
        <f>U101</f>
        <v xml:space="preserve">Not applicable
</v>
      </c>
      <c r="I101" s="348" t="str">
        <f>H101</f>
        <v xml:space="preserve">Not applicable
</v>
      </c>
      <c r="J101" s="346" t="str">
        <f t="shared" si="36"/>
        <v xml:space="preserve">Option 1: AED 50
Option 2: 10%
Option 3: 20%
</v>
      </c>
      <c r="K101" s="350"/>
      <c r="L101" s="347" t="str">
        <f>X101</f>
        <v xml:space="preserve">Option 1: AED 50
Option 2: 10%
Option 3: 20%
</v>
      </c>
      <c r="M101" s="347">
        <f t="shared" si="37"/>
        <v>0</v>
      </c>
      <c r="N101" s="347" t="str">
        <f t="shared" si="37"/>
        <v xml:space="preserve">Option 1: AED 50
Option 2: 10%
Option 3: 20%
</v>
      </c>
      <c r="O101" s="347" t="str">
        <f>Y101</f>
        <v xml:space="preserve">Not Applicable
</v>
      </c>
      <c r="P101" s="348" t="str">
        <f>O101</f>
        <v xml:space="preserve">Not Applicable
</v>
      </c>
      <c r="Q101" s="349"/>
      <c r="R101" s="346" t="s">
        <v>559</v>
      </c>
      <c r="S101" s="347" t="s">
        <v>559</v>
      </c>
      <c r="T101" s="347" t="s">
        <v>559</v>
      </c>
      <c r="U101" s="348" t="s">
        <v>560</v>
      </c>
      <c r="V101" s="346" t="s">
        <v>559</v>
      </c>
      <c r="W101" s="347" t="s">
        <v>559</v>
      </c>
      <c r="X101" s="347" t="s">
        <v>559</v>
      </c>
      <c r="Y101" s="348" t="s">
        <v>561</v>
      </c>
      <c r="Z101" s="350" t="s">
        <v>559</v>
      </c>
      <c r="AA101" s="347" t="s">
        <v>559</v>
      </c>
      <c r="AB101" s="347" t="s">
        <v>559</v>
      </c>
      <c r="AC101" s="347" t="s">
        <v>561</v>
      </c>
      <c r="AD101" s="347" t="s">
        <v>561</v>
      </c>
    </row>
    <row r="102" spans="1:30" ht="24.95" customHeight="1" x14ac:dyDescent="0.25">
      <c r="A102" s="267">
        <f t="shared" si="8"/>
        <v>69</v>
      </c>
      <c r="B102" s="321" t="s">
        <v>562</v>
      </c>
      <c r="C102" s="361"/>
      <c r="I102" s="362"/>
      <c r="J102" s="361">
        <f t="shared" si="36"/>
        <v>0</v>
      </c>
      <c r="L102" s="268">
        <f>X102</f>
        <v>0</v>
      </c>
      <c r="O102" s="268">
        <f>Y102</f>
        <v>0</v>
      </c>
      <c r="P102" s="362"/>
      <c r="R102" s="278"/>
      <c r="S102" s="286"/>
      <c r="T102" s="279"/>
      <c r="U102" s="281"/>
      <c r="V102" s="278"/>
      <c r="W102" s="286"/>
      <c r="X102" s="279"/>
      <c r="Y102" s="281"/>
      <c r="Z102" s="271"/>
      <c r="AA102" s="279"/>
      <c r="AB102" s="279"/>
      <c r="AC102" s="280"/>
      <c r="AD102" s="280"/>
    </row>
    <row r="103" spans="1:30" ht="72" x14ac:dyDescent="0.25">
      <c r="A103" s="267">
        <f t="shared" si="8"/>
        <v>70</v>
      </c>
      <c r="B103" s="303" t="s">
        <v>631</v>
      </c>
      <c r="C103" s="352"/>
      <c r="D103" s="353"/>
      <c r="E103" s="353"/>
      <c r="F103" s="353"/>
      <c r="G103" s="353"/>
      <c r="H103" s="353"/>
      <c r="I103" s="354"/>
      <c r="J103" s="352"/>
      <c r="K103" s="355"/>
      <c r="L103" s="353"/>
      <c r="M103" s="353"/>
      <c r="N103" s="353"/>
      <c r="O103" s="353"/>
      <c r="P103" s="354"/>
      <c r="Q103" s="349"/>
      <c r="R103" s="352" t="s">
        <v>563</v>
      </c>
      <c r="S103" s="353" t="s">
        <v>564</v>
      </c>
      <c r="T103" s="353" t="s">
        <v>564</v>
      </c>
      <c r="U103" s="309" t="s">
        <v>130</v>
      </c>
      <c r="V103" s="307" t="s">
        <v>565</v>
      </c>
      <c r="W103" s="308" t="s">
        <v>566</v>
      </c>
      <c r="X103" s="308" t="s">
        <v>567</v>
      </c>
      <c r="Y103" s="309" t="s">
        <v>130</v>
      </c>
      <c r="Z103" s="310" t="s">
        <v>565</v>
      </c>
      <c r="AA103" s="308" t="s">
        <v>567</v>
      </c>
      <c r="AB103" s="308" t="s">
        <v>567</v>
      </c>
      <c r="AC103" s="308" t="s">
        <v>130</v>
      </c>
      <c r="AD103" s="308" t="s">
        <v>130</v>
      </c>
    </row>
    <row r="104" spans="1:30" ht="60" x14ac:dyDescent="0.25">
      <c r="A104" s="267">
        <f t="shared" ref="A104:A120" si="38">+A103+1</f>
        <v>71</v>
      </c>
      <c r="B104" s="328" t="s">
        <v>568</v>
      </c>
      <c r="C104" s="304" t="s">
        <v>569</v>
      </c>
      <c r="D104" s="305" t="str">
        <f>T104</f>
        <v>AED 175 per pair per single vision lenses
AED 275 per pair per bifocal or tri-focal vision lenses
AED 350 per pair of contact lenses</v>
      </c>
      <c r="E104" s="305" t="s">
        <v>569</v>
      </c>
      <c r="F104" s="305" t="str">
        <f>D104</f>
        <v>AED 175 per pair per single vision lenses
AED 275 per pair per bifocal or tri-focal vision lenses
AED 350 per pair of contact lenses</v>
      </c>
      <c r="G104" s="305" t="s">
        <v>569</v>
      </c>
      <c r="H104" s="308" t="s">
        <v>627</v>
      </c>
      <c r="I104" s="309" t="str">
        <f>H104</f>
        <v>AED 175 per pair per single vision lenses
AED 275 per pair per bifocal or tri-focal vision lenses</v>
      </c>
      <c r="J104" s="307" t="str">
        <f t="shared" si="36"/>
        <v>AED 175 per pair per single vision lenses
AED 275 per pair per bifocal or tri-focal vision lenses
AED 350 per pair of contact lenses</v>
      </c>
      <c r="K104" s="310" t="s">
        <v>569</v>
      </c>
      <c r="L104" s="308" t="str">
        <f>X104</f>
        <v>AED 175 per pair per single vision lenses
AED 275 per pair per bifocal or tri-focal vision lenses
AED 350 per pair of contact lenses</v>
      </c>
      <c r="M104" s="308" t="str">
        <f>K104</f>
        <v>AED 175 per pair per single vision lenses
AED 275 per pair per bifocal or tri-focal vision lenses
AED 350 per pair of contact lenses</v>
      </c>
      <c r="N104" s="308" t="str">
        <f>L104</f>
        <v>AED 175 per pair per single vision lenses
AED 275 per pair per bifocal or tri-focal vision lenses
AED 350 per pair of contact lenses</v>
      </c>
      <c r="O104" s="308" t="s">
        <v>627</v>
      </c>
      <c r="P104" s="309" t="str">
        <f>O104</f>
        <v>AED 175 per pair per single vision lenses
AED 275 per pair per bifocal or tri-focal vision lenses</v>
      </c>
      <c r="Q104" s="313"/>
      <c r="R104" s="307" t="s">
        <v>569</v>
      </c>
      <c r="S104" s="308" t="s">
        <v>569</v>
      </c>
      <c r="T104" s="308" t="s">
        <v>569</v>
      </c>
      <c r="U104" s="309" t="s">
        <v>556</v>
      </c>
      <c r="V104" s="307" t="s">
        <v>569</v>
      </c>
      <c r="W104" s="308" t="s">
        <v>569</v>
      </c>
      <c r="X104" s="308" t="s">
        <v>569</v>
      </c>
      <c r="Y104" s="309" t="s">
        <v>556</v>
      </c>
      <c r="Z104" s="310" t="s">
        <v>569</v>
      </c>
      <c r="AA104" s="308" t="s">
        <v>569</v>
      </c>
      <c r="AB104" s="308" t="s">
        <v>569</v>
      </c>
      <c r="AC104" s="308" t="s">
        <v>556</v>
      </c>
      <c r="AD104" s="308" t="s">
        <v>556</v>
      </c>
    </row>
    <row r="105" spans="1:30" ht="36.75" thickBot="1" x14ac:dyDescent="0.3">
      <c r="A105" s="267">
        <f t="shared" si="38"/>
        <v>72</v>
      </c>
      <c r="B105" s="328" t="s">
        <v>570</v>
      </c>
      <c r="C105" s="346" t="s">
        <v>571</v>
      </c>
      <c r="D105" s="347" t="str">
        <f>T105</f>
        <v xml:space="preserve">Option 1: 10%
Option 2: 20%
</v>
      </c>
      <c r="E105" s="347"/>
      <c r="F105" s="347" t="str">
        <f>D105</f>
        <v xml:space="preserve">Option 1: 10%
Option 2: 20%
</v>
      </c>
      <c r="G105" s="347"/>
      <c r="H105" s="347" t="str">
        <f>U105</f>
        <v xml:space="preserve">Not Applicable
</v>
      </c>
      <c r="I105" s="348" t="str">
        <f>H105</f>
        <v xml:space="preserve">Not Applicable
</v>
      </c>
      <c r="J105" s="346" t="str">
        <f t="shared" si="36"/>
        <v xml:space="preserve">Option 1: 10%
Option 2: 20%
</v>
      </c>
      <c r="K105" s="350" t="s">
        <v>571</v>
      </c>
      <c r="L105" s="347" t="str">
        <f>X105</f>
        <v xml:space="preserve">Option 1: 10%
Option 2: 20%
</v>
      </c>
      <c r="M105" s="347" t="str">
        <f>K105</f>
        <v xml:space="preserve">Option 1: 10%
Option 2: 20%
</v>
      </c>
      <c r="N105" s="347" t="str">
        <f>L105</f>
        <v xml:space="preserve">Option 1: 10%
Option 2: 20%
</v>
      </c>
      <c r="O105" s="347" t="str">
        <f>Y105</f>
        <v xml:space="preserve">Not Applicable
</v>
      </c>
      <c r="P105" s="348" t="str">
        <f>O105</f>
        <v xml:space="preserve">Not Applicable
</v>
      </c>
      <c r="Q105" s="349"/>
      <c r="R105" s="346" t="s">
        <v>571</v>
      </c>
      <c r="S105" s="347" t="s">
        <v>571</v>
      </c>
      <c r="T105" s="347" t="s">
        <v>571</v>
      </c>
      <c r="U105" s="348" t="s">
        <v>561</v>
      </c>
      <c r="V105" s="346" t="s">
        <v>571</v>
      </c>
      <c r="W105" s="347" t="s">
        <v>571</v>
      </c>
      <c r="X105" s="347" t="s">
        <v>571</v>
      </c>
      <c r="Y105" s="348" t="s">
        <v>561</v>
      </c>
      <c r="Z105" s="350" t="s">
        <v>571</v>
      </c>
      <c r="AA105" s="347" t="s">
        <v>571</v>
      </c>
      <c r="AB105" s="347" t="s">
        <v>571</v>
      </c>
      <c r="AC105" s="347" t="s">
        <v>561</v>
      </c>
      <c r="AD105" s="347" t="s">
        <v>561</v>
      </c>
    </row>
    <row r="106" spans="1:30" ht="23.1" customHeight="1" x14ac:dyDescent="0.25">
      <c r="A106" s="267">
        <f t="shared" si="38"/>
        <v>73</v>
      </c>
      <c r="B106" s="321" t="s">
        <v>572</v>
      </c>
      <c r="C106" s="361"/>
      <c r="I106" s="362"/>
      <c r="J106" s="361"/>
      <c r="P106" s="362"/>
      <c r="R106" s="278"/>
      <c r="S106" s="286"/>
      <c r="T106" s="279"/>
      <c r="U106" s="281"/>
      <c r="V106" s="278"/>
      <c r="W106" s="286"/>
      <c r="X106" s="279"/>
      <c r="Y106" s="281"/>
      <c r="Z106" s="271"/>
      <c r="AA106" s="279"/>
      <c r="AB106" s="279"/>
      <c r="AC106" s="280"/>
      <c r="AD106" s="280"/>
    </row>
    <row r="107" spans="1:30" ht="36" x14ac:dyDescent="0.25">
      <c r="A107" s="267">
        <f t="shared" si="38"/>
        <v>74</v>
      </c>
      <c r="B107" s="303" t="s">
        <v>573</v>
      </c>
      <c r="C107" s="307" t="s">
        <v>577</v>
      </c>
      <c r="D107" s="308" t="s">
        <v>576</v>
      </c>
      <c r="E107" s="308" t="s">
        <v>576</v>
      </c>
      <c r="F107" s="308" t="s">
        <v>576</v>
      </c>
      <c r="G107" s="308" t="s">
        <v>576</v>
      </c>
      <c r="H107" s="308" t="str">
        <f>U107</f>
        <v>Not Covered</v>
      </c>
      <c r="I107" s="309" t="str">
        <f>H107</f>
        <v>Not Covered</v>
      </c>
      <c r="J107" s="307" t="str">
        <f t="shared" si="36"/>
        <v xml:space="preserve">Limited to AED 5,000/-  per person per annum
</v>
      </c>
      <c r="K107" s="310" t="s">
        <v>576</v>
      </c>
      <c r="L107" s="308" t="str">
        <f>X107</f>
        <v>Limited to AED 2,000/-  per person per annum</v>
      </c>
      <c r="M107" s="308" t="str">
        <f>K107</f>
        <v>Limited to AED 2,000/-  per person per annum</v>
      </c>
      <c r="N107" s="308" t="str">
        <f>L107</f>
        <v>Limited to AED 2,000/-  per person per annum</v>
      </c>
      <c r="O107" s="308" t="str">
        <f>Y107</f>
        <v>Not Covered</v>
      </c>
      <c r="P107" s="309" t="str">
        <f>O107</f>
        <v>Not Covered</v>
      </c>
      <c r="Q107" s="313"/>
      <c r="R107" s="307" t="s">
        <v>574</v>
      </c>
      <c r="S107" s="308" t="s">
        <v>575</v>
      </c>
      <c r="T107" s="308" t="s">
        <v>576</v>
      </c>
      <c r="U107" s="309" t="s">
        <v>130</v>
      </c>
      <c r="V107" s="307" t="s">
        <v>577</v>
      </c>
      <c r="W107" s="308" t="s">
        <v>575</v>
      </c>
      <c r="X107" s="308" t="s">
        <v>576</v>
      </c>
      <c r="Y107" s="309" t="s">
        <v>130</v>
      </c>
      <c r="Z107" s="310" t="s">
        <v>577</v>
      </c>
      <c r="AA107" s="308" t="s">
        <v>576</v>
      </c>
      <c r="AB107" s="308" t="s">
        <v>576</v>
      </c>
      <c r="AC107" s="311" t="s">
        <v>130</v>
      </c>
      <c r="AD107" s="311" t="s">
        <v>130</v>
      </c>
    </row>
    <row r="108" spans="1:30" ht="15.75" thickBot="1" x14ac:dyDescent="0.3">
      <c r="A108" s="267">
        <f t="shared" si="38"/>
        <v>75</v>
      </c>
      <c r="B108" s="328" t="s">
        <v>570</v>
      </c>
      <c r="C108" s="414">
        <v>0.2</v>
      </c>
      <c r="D108" s="415">
        <f>T108</f>
        <v>0.2</v>
      </c>
      <c r="E108" s="415"/>
      <c r="F108" s="415" t="str">
        <f>U108</f>
        <v>Not Applicable</v>
      </c>
      <c r="G108" s="415"/>
      <c r="H108" s="415" t="str">
        <f>U108</f>
        <v>Not Applicable</v>
      </c>
      <c r="I108" s="416" t="str">
        <f>H108</f>
        <v>Not Applicable</v>
      </c>
      <c r="J108" s="414">
        <f>X108</f>
        <v>0.2</v>
      </c>
      <c r="K108" s="415">
        <v>0.2</v>
      </c>
      <c r="L108" s="415">
        <f>Z108</f>
        <v>0.2</v>
      </c>
      <c r="M108" s="415" t="str">
        <f>Y108</f>
        <v>Not Applicable</v>
      </c>
      <c r="N108" s="415">
        <f>Z108</f>
        <v>0.2</v>
      </c>
      <c r="O108" s="415">
        <f>AA108</f>
        <v>0.2</v>
      </c>
      <c r="P108" s="416">
        <f>AB108</f>
        <v>0.2</v>
      </c>
      <c r="Q108" s="415"/>
      <c r="R108" s="414">
        <v>0.2</v>
      </c>
      <c r="S108" s="415">
        <v>0.2</v>
      </c>
      <c r="T108" s="415">
        <v>0.2</v>
      </c>
      <c r="U108" s="417" t="s">
        <v>557</v>
      </c>
      <c r="V108" s="414">
        <v>0.2</v>
      </c>
      <c r="W108" s="415">
        <v>0.2</v>
      </c>
      <c r="X108" s="415">
        <v>0.2</v>
      </c>
      <c r="Y108" s="417" t="s">
        <v>557</v>
      </c>
      <c r="Z108" s="415">
        <v>0.2</v>
      </c>
      <c r="AA108" s="415">
        <v>0.2</v>
      </c>
      <c r="AB108" s="415">
        <v>0.2</v>
      </c>
      <c r="AC108" s="412" t="s">
        <v>557</v>
      </c>
      <c r="AD108" s="412" t="s">
        <v>557</v>
      </c>
    </row>
    <row r="109" spans="1:30" ht="24" x14ac:dyDescent="0.25">
      <c r="A109" s="267">
        <f t="shared" si="38"/>
        <v>76</v>
      </c>
      <c r="B109" s="321" t="s">
        <v>578</v>
      </c>
      <c r="C109" s="361"/>
      <c r="I109" s="362"/>
      <c r="J109" s="361"/>
      <c r="P109" s="362"/>
      <c r="R109" s="278"/>
      <c r="S109" s="286"/>
      <c r="T109" s="279"/>
      <c r="U109" s="281"/>
      <c r="V109" s="278"/>
      <c r="W109" s="286"/>
      <c r="X109" s="279"/>
      <c r="Y109" s="281"/>
      <c r="Z109" s="271"/>
      <c r="AA109" s="279"/>
      <c r="AB109" s="279"/>
      <c r="AC109" s="280"/>
      <c r="AD109" s="280"/>
    </row>
    <row r="110" spans="1:30" ht="132" x14ac:dyDescent="0.25">
      <c r="A110" s="267">
        <f t="shared" si="38"/>
        <v>77</v>
      </c>
      <c r="B110" s="418" t="s">
        <v>579</v>
      </c>
      <c r="C110" s="357" t="s">
        <v>580</v>
      </c>
      <c r="D110" s="358" t="str">
        <f>T110</f>
        <v xml:space="preserve">Covered with AED 100 deductible
(Editable/Optional) </v>
      </c>
      <c r="E110" s="358" t="s">
        <v>580</v>
      </c>
      <c r="F110" s="358" t="str">
        <f>D110</f>
        <v xml:space="preserve">Covered with AED 100 deductible
(Editable/Optional) </v>
      </c>
      <c r="G110" s="358" t="s">
        <v>580</v>
      </c>
      <c r="H110" s="358" t="str">
        <f>U110</f>
        <v xml:space="preserve">Not Covered
(Editable/Optional) </v>
      </c>
      <c r="I110" s="359" t="str">
        <f>H110</f>
        <v xml:space="preserve">Not Covered
(Editable/Optional) </v>
      </c>
      <c r="J110" s="357" t="str">
        <f>V110</f>
        <v xml:space="preserve">Covered with AED 100 deductible
(Editable/Optional) </v>
      </c>
      <c r="K110" s="360" t="s">
        <v>580</v>
      </c>
      <c r="L110" s="358" t="str">
        <f>X110</f>
        <v xml:space="preserve">Covered with AED 100 deductible
(Editable/Optional) </v>
      </c>
      <c r="M110" s="358" t="str">
        <f>K110</f>
        <v xml:space="preserve">Covered with AED 100 deductible
(Editable/Optional) </v>
      </c>
      <c r="N110" s="358" t="str">
        <f>L110</f>
        <v xml:space="preserve">Covered with AED 100 deductible
(Editable/Optional) </v>
      </c>
      <c r="O110" s="358" t="str">
        <f>Y110</f>
        <v xml:space="preserve">Not Covered
(Editable/Optional) </v>
      </c>
      <c r="P110" s="359" t="str">
        <f>O110</f>
        <v xml:space="preserve">Not Covered
(Editable/Optional) </v>
      </c>
      <c r="Q110" s="419"/>
      <c r="R110" s="357" t="s">
        <v>580</v>
      </c>
      <c r="S110" s="358" t="s">
        <v>580</v>
      </c>
      <c r="T110" s="358" t="s">
        <v>580</v>
      </c>
      <c r="U110" s="359" t="s">
        <v>581</v>
      </c>
      <c r="V110" s="357" t="s">
        <v>580</v>
      </c>
      <c r="W110" s="358" t="s">
        <v>580</v>
      </c>
      <c r="X110" s="358" t="s">
        <v>580</v>
      </c>
      <c r="Y110" s="359" t="s">
        <v>581</v>
      </c>
      <c r="Z110" s="360" t="s">
        <v>580</v>
      </c>
      <c r="AA110" s="358" t="s">
        <v>580</v>
      </c>
      <c r="AB110" s="358" t="s">
        <v>580</v>
      </c>
      <c r="AC110" s="358" t="s">
        <v>581</v>
      </c>
      <c r="AD110" s="358" t="s">
        <v>581</v>
      </c>
    </row>
    <row r="111" spans="1:30" ht="324.75" thickBot="1" x14ac:dyDescent="0.3">
      <c r="A111" s="267">
        <f t="shared" si="38"/>
        <v>78</v>
      </c>
      <c r="B111" s="375" t="s">
        <v>582</v>
      </c>
      <c r="C111" s="380" t="s">
        <v>454</v>
      </c>
      <c r="D111" s="379" t="str">
        <f>T111</f>
        <v>Not Covered</v>
      </c>
      <c r="E111" s="379" t="s">
        <v>130</v>
      </c>
      <c r="F111" s="379" t="str">
        <f>D111</f>
        <v>Not Covered</v>
      </c>
      <c r="G111" s="379" t="s">
        <v>130</v>
      </c>
      <c r="H111" s="379" t="str">
        <f>U111</f>
        <v>Not Covered</v>
      </c>
      <c r="I111" s="381" t="str">
        <f>H111</f>
        <v>Not Covered</v>
      </c>
      <c r="J111" s="380" t="str">
        <f>V111</f>
        <v>Covered</v>
      </c>
      <c r="K111" s="379" t="s">
        <v>130</v>
      </c>
      <c r="L111" s="379" t="str">
        <f>X111</f>
        <v>Not Covered</v>
      </c>
      <c r="M111" s="379" t="str">
        <f>K111</f>
        <v>Not Covered</v>
      </c>
      <c r="N111" s="379" t="str">
        <f>L111</f>
        <v>Not Covered</v>
      </c>
      <c r="O111" s="379" t="str">
        <f>Y111</f>
        <v>Not Covered</v>
      </c>
      <c r="P111" s="381" t="str">
        <f>O111</f>
        <v>Not Covered</v>
      </c>
      <c r="Q111" s="379"/>
      <c r="R111" s="380" t="s">
        <v>454</v>
      </c>
      <c r="S111" s="379" t="s">
        <v>454</v>
      </c>
      <c r="T111" s="379" t="s">
        <v>130</v>
      </c>
      <c r="U111" s="379" t="s">
        <v>130</v>
      </c>
      <c r="V111" s="380" t="s">
        <v>454</v>
      </c>
      <c r="W111" s="379" t="s">
        <v>454</v>
      </c>
      <c r="X111" s="379" t="s">
        <v>130</v>
      </c>
      <c r="Y111" s="381" t="s">
        <v>130</v>
      </c>
      <c r="Z111" s="379" t="s">
        <v>583</v>
      </c>
      <c r="AA111" s="379" t="s">
        <v>583</v>
      </c>
      <c r="AB111" s="379" t="s">
        <v>583</v>
      </c>
      <c r="AC111" s="379" t="s">
        <v>583</v>
      </c>
      <c r="AD111" s="379" t="s">
        <v>583</v>
      </c>
    </row>
    <row r="112" spans="1:30" ht="21" customHeight="1" x14ac:dyDescent="0.25">
      <c r="A112" s="267">
        <f t="shared" si="38"/>
        <v>79</v>
      </c>
      <c r="B112" s="321" t="s">
        <v>584</v>
      </c>
      <c r="C112" s="278"/>
      <c r="D112" s="271"/>
      <c r="E112" s="271"/>
      <c r="F112" s="271"/>
      <c r="G112" s="271"/>
      <c r="H112" s="271"/>
      <c r="I112" s="363"/>
      <c r="J112" s="278"/>
      <c r="K112" s="271"/>
      <c r="L112" s="271"/>
      <c r="M112" s="271"/>
      <c r="N112" s="271"/>
      <c r="O112" s="271"/>
      <c r="P112" s="363"/>
      <c r="Q112" s="271"/>
      <c r="R112" s="278"/>
      <c r="S112" s="286"/>
      <c r="T112" s="279"/>
      <c r="U112" s="281"/>
      <c r="V112" s="278"/>
      <c r="W112" s="286"/>
      <c r="X112" s="279"/>
      <c r="Y112" s="281"/>
      <c r="Z112" s="271"/>
      <c r="AA112" s="279"/>
      <c r="AB112" s="279"/>
      <c r="AC112" s="280"/>
      <c r="AD112" s="280"/>
    </row>
    <row r="113" spans="1:30" ht="14.45" customHeight="1" x14ac:dyDescent="0.25">
      <c r="A113" s="267">
        <f t="shared" si="38"/>
        <v>80</v>
      </c>
      <c r="B113" s="1515" t="s">
        <v>585</v>
      </c>
      <c r="C113" s="1514" t="s">
        <v>586</v>
      </c>
      <c r="D113" s="1510" t="str">
        <f>T113</f>
        <v>Out Patient Covered up to Maximum AED 1,500/- per person per annum IN Patient Covered up to Maximum AED 7,500/- Per person per annum</v>
      </c>
      <c r="E113" s="337" t="s">
        <v>588</v>
      </c>
      <c r="F113" s="1510" t="str">
        <f>D113</f>
        <v>Out Patient Covered up to Maximum AED 1,500/- per person per annum IN Patient Covered up to Maximum AED 7,500/- Per person per annum</v>
      </c>
      <c r="G113" s="337" t="s">
        <v>588</v>
      </c>
      <c r="H113" s="1510" t="str">
        <f>U113</f>
        <v>Not Covered</v>
      </c>
      <c r="I113" s="1511" t="str">
        <f>H113</f>
        <v>Not Covered</v>
      </c>
      <c r="J113" s="1514" t="str">
        <f t="shared" ref="J113:J114" si="39">X113</f>
        <v>Out Patient Covered up to Maximum AED 1,500/- per person per annum IN Patient Covered up to Maximum AED 7,500/- Per person per annum</v>
      </c>
      <c r="K113" s="302" t="s">
        <v>586</v>
      </c>
      <c r="L113" s="1510" t="str">
        <f>Z113</f>
        <v>Out Patient Covered up to Maximum AED 3,000/- per person per annum IN Patient Covered up to Maximum AED 10,000/- Per person per annum</v>
      </c>
      <c r="M113" s="1510" t="str">
        <f>K113</f>
        <v>Out Patient Covered up to Maximum AED 3,000/- per person per annum IN Patient Covered up to Maximum AED 10,000/- Per person per annum</v>
      </c>
      <c r="N113" s="1510" t="str">
        <f>L113</f>
        <v>Out Patient Covered up to Maximum AED 3,000/- per person per annum IN Patient Covered up to Maximum AED 10,000/- Per person per annum</v>
      </c>
      <c r="O113" s="1510" t="str">
        <f>AA113</f>
        <v>Out Patient Covered up to Maximum AED 1,500/- per person per annum IN Patient Covered up to Maximum AED 7,500/- Per person per annum</v>
      </c>
      <c r="P113" s="1511" t="str">
        <f>O113</f>
        <v>Out Patient Covered up to Maximum AED 1,500/- per person per annum IN Patient Covered up to Maximum AED 7,500/- Per person per annum</v>
      </c>
      <c r="Q113" s="339"/>
      <c r="R113" s="1514" t="s">
        <v>586</v>
      </c>
      <c r="S113" s="1510" t="s">
        <v>587</v>
      </c>
      <c r="T113" s="1510" t="s">
        <v>588</v>
      </c>
      <c r="U113" s="1512" t="s">
        <v>130</v>
      </c>
      <c r="V113" s="1514" t="s">
        <v>586</v>
      </c>
      <c r="W113" s="1510" t="s">
        <v>587</v>
      </c>
      <c r="X113" s="1510" t="s">
        <v>588</v>
      </c>
      <c r="Y113" s="1512" t="s">
        <v>130</v>
      </c>
      <c r="Z113" s="1513" t="s">
        <v>586</v>
      </c>
      <c r="AA113" s="1510" t="s">
        <v>588</v>
      </c>
      <c r="AB113" s="1510" t="s">
        <v>588</v>
      </c>
      <c r="AC113" s="1509" t="s">
        <v>130</v>
      </c>
      <c r="AD113" s="1509" t="s">
        <v>130</v>
      </c>
    </row>
    <row r="114" spans="1:30" ht="41.45" customHeight="1" thickBot="1" x14ac:dyDescent="0.3">
      <c r="A114" s="267">
        <f t="shared" si="38"/>
        <v>81</v>
      </c>
      <c r="B114" s="1516"/>
      <c r="C114" s="1514"/>
      <c r="D114" s="1510">
        <f>T114</f>
        <v>0</v>
      </c>
      <c r="E114" s="337">
        <v>0</v>
      </c>
      <c r="F114" s="1510">
        <f>D114</f>
        <v>0</v>
      </c>
      <c r="G114" s="337">
        <v>0</v>
      </c>
      <c r="H114" s="1510">
        <f>U114</f>
        <v>0</v>
      </c>
      <c r="I114" s="1511">
        <f>H114</f>
        <v>0</v>
      </c>
      <c r="J114" s="1514">
        <f t="shared" si="39"/>
        <v>0</v>
      </c>
      <c r="K114" s="302">
        <v>0</v>
      </c>
      <c r="L114" s="1510">
        <f>Z114</f>
        <v>0</v>
      </c>
      <c r="M114" s="1510">
        <f>K114</f>
        <v>0</v>
      </c>
      <c r="N114" s="1510">
        <f>L114</f>
        <v>0</v>
      </c>
      <c r="O114" s="1510">
        <f>AA114</f>
        <v>0</v>
      </c>
      <c r="P114" s="1511">
        <f>O114</f>
        <v>0</v>
      </c>
      <c r="Q114" s="339"/>
      <c r="R114" s="1514"/>
      <c r="S114" s="1510"/>
      <c r="T114" s="1510"/>
      <c r="U114" s="1512"/>
      <c r="V114" s="1514"/>
      <c r="W114" s="1510"/>
      <c r="X114" s="1510"/>
      <c r="Y114" s="1512"/>
      <c r="Z114" s="1513"/>
      <c r="AA114" s="1510"/>
      <c r="AB114" s="1510"/>
      <c r="AC114" s="1509"/>
      <c r="AD114" s="1509"/>
    </row>
    <row r="115" spans="1:30" ht="21.6" customHeight="1" x14ac:dyDescent="0.25">
      <c r="A115" s="267">
        <f t="shared" si="38"/>
        <v>82</v>
      </c>
      <c r="B115" s="321" t="s">
        <v>589</v>
      </c>
      <c r="C115" s="278"/>
      <c r="D115" s="271"/>
      <c r="E115" s="271"/>
      <c r="F115" s="271"/>
      <c r="G115" s="271"/>
      <c r="H115" s="271"/>
      <c r="I115" s="363"/>
      <c r="J115" s="278"/>
      <c r="K115" s="271"/>
      <c r="L115" s="271"/>
      <c r="M115" s="271"/>
      <c r="N115" s="271"/>
      <c r="O115" s="271"/>
      <c r="P115" s="363"/>
      <c r="Q115" s="271"/>
      <c r="R115" s="278"/>
      <c r="S115" s="286"/>
      <c r="T115" s="279"/>
      <c r="U115" s="281"/>
      <c r="V115" s="278"/>
      <c r="W115" s="286"/>
      <c r="X115" s="279"/>
      <c r="Y115" s="281"/>
      <c r="Z115" s="271"/>
      <c r="AA115" s="279"/>
      <c r="AB115" s="279"/>
      <c r="AC115" s="280"/>
      <c r="AD115" s="280"/>
    </row>
    <row r="116" spans="1:30" ht="15" customHeight="1" x14ac:dyDescent="0.25">
      <c r="A116" s="267">
        <f t="shared" si="38"/>
        <v>83</v>
      </c>
      <c r="B116" s="420" t="s">
        <v>590</v>
      </c>
      <c r="C116" s="299" t="s">
        <v>130</v>
      </c>
      <c r="D116" s="337" t="s">
        <v>130</v>
      </c>
      <c r="E116" s="337" t="s">
        <v>130</v>
      </c>
      <c r="F116" s="337" t="s">
        <v>130</v>
      </c>
      <c r="G116" s="337" t="s">
        <v>130</v>
      </c>
      <c r="H116" s="337" t="s">
        <v>130</v>
      </c>
      <c r="I116" s="338" t="s">
        <v>130</v>
      </c>
      <c r="J116" s="299" t="s">
        <v>130</v>
      </c>
      <c r="K116" s="302" t="s">
        <v>130</v>
      </c>
      <c r="L116" s="337" t="s">
        <v>130</v>
      </c>
      <c r="M116" s="337" t="s">
        <v>130</v>
      </c>
      <c r="N116" s="337" t="s">
        <v>130</v>
      </c>
      <c r="O116" s="337" t="s">
        <v>130</v>
      </c>
      <c r="P116" s="338" t="s">
        <v>130</v>
      </c>
      <c r="Q116" s="313"/>
      <c r="R116" s="299" t="s">
        <v>591</v>
      </c>
      <c r="S116" s="337" t="s">
        <v>591</v>
      </c>
      <c r="T116" s="337" t="s">
        <v>592</v>
      </c>
      <c r="U116" s="338" t="s">
        <v>592</v>
      </c>
      <c r="V116" s="299" t="s">
        <v>591</v>
      </c>
      <c r="W116" s="337" t="s">
        <v>591</v>
      </c>
      <c r="X116" s="337" t="s">
        <v>592</v>
      </c>
      <c r="Y116" s="338" t="s">
        <v>592</v>
      </c>
      <c r="Z116" s="302" t="s">
        <v>591</v>
      </c>
      <c r="AA116" s="337" t="s">
        <v>592</v>
      </c>
      <c r="AB116" s="337" t="s">
        <v>592</v>
      </c>
      <c r="AC116" s="337" t="s">
        <v>592</v>
      </c>
      <c r="AD116" s="337" t="s">
        <v>592</v>
      </c>
    </row>
    <row r="117" spans="1:30" ht="28.5" customHeight="1" thickBot="1" x14ac:dyDescent="0.3">
      <c r="A117" s="267">
        <f t="shared" si="38"/>
        <v>84</v>
      </c>
      <c r="B117" s="421"/>
      <c r="C117" s="299"/>
      <c r="D117" s="337">
        <f>T117</f>
        <v>0</v>
      </c>
      <c r="E117" s="337">
        <f>C117</f>
        <v>0</v>
      </c>
      <c r="F117" s="337">
        <f>D117</f>
        <v>0</v>
      </c>
      <c r="G117" s="337">
        <v>0</v>
      </c>
      <c r="H117" s="337">
        <f>U117</f>
        <v>0</v>
      </c>
      <c r="I117" s="338">
        <f>H117</f>
        <v>0</v>
      </c>
      <c r="J117" s="299">
        <f t="shared" ref="J117" si="40">X117</f>
        <v>0</v>
      </c>
      <c r="K117" s="302">
        <v>0</v>
      </c>
      <c r="L117" s="337">
        <f>Z117</f>
        <v>0</v>
      </c>
      <c r="M117" s="337">
        <f>K117</f>
        <v>0</v>
      </c>
      <c r="N117" s="337">
        <f>L117</f>
        <v>0</v>
      </c>
      <c r="O117" s="337">
        <f>AA117</f>
        <v>0</v>
      </c>
      <c r="P117" s="338">
        <f>O117</f>
        <v>0</v>
      </c>
      <c r="Q117" s="313"/>
      <c r="R117" s="299"/>
      <c r="S117" s="337"/>
      <c r="T117" s="337"/>
      <c r="U117" s="338"/>
      <c r="V117" s="299"/>
      <c r="W117" s="337"/>
      <c r="X117" s="337"/>
      <c r="Y117" s="338"/>
      <c r="Z117" s="302"/>
      <c r="AA117" s="337"/>
      <c r="AB117" s="337"/>
      <c r="AC117" s="337"/>
      <c r="AD117" s="337"/>
    </row>
    <row r="118" spans="1:30" ht="23.45" customHeight="1" x14ac:dyDescent="0.25">
      <c r="A118" s="267">
        <f t="shared" si="38"/>
        <v>85</v>
      </c>
      <c r="B118" s="321" t="s">
        <v>593</v>
      </c>
      <c r="C118" s="278"/>
      <c r="D118" s="271"/>
      <c r="E118" s="271"/>
      <c r="F118" s="271"/>
      <c r="G118" s="271"/>
      <c r="H118" s="271"/>
      <c r="I118" s="363"/>
      <c r="J118" s="278"/>
      <c r="K118" s="271"/>
      <c r="L118" s="271"/>
      <c r="M118" s="271"/>
      <c r="N118" s="271"/>
      <c r="O118" s="271"/>
      <c r="P118" s="363"/>
      <c r="Q118" s="271"/>
      <c r="R118" s="278"/>
      <c r="S118" s="286"/>
      <c r="T118" s="279"/>
      <c r="U118" s="281"/>
      <c r="V118" s="278"/>
      <c r="W118" s="286"/>
      <c r="X118" s="279"/>
      <c r="Y118" s="281"/>
      <c r="Z118" s="271"/>
      <c r="AA118" s="279"/>
      <c r="AB118" s="279"/>
      <c r="AC118" s="280"/>
      <c r="AD118" s="280"/>
    </row>
    <row r="119" spans="1:30" ht="60" x14ac:dyDescent="0.25">
      <c r="A119" s="267">
        <f t="shared" si="38"/>
        <v>86</v>
      </c>
      <c r="B119" s="340" t="s">
        <v>594</v>
      </c>
      <c r="C119" s="294" t="s">
        <v>130</v>
      </c>
      <c r="D119" s="295" t="s">
        <v>130</v>
      </c>
      <c r="E119" s="295" t="s">
        <v>130</v>
      </c>
      <c r="F119" s="295" t="s">
        <v>130</v>
      </c>
      <c r="G119" s="295" t="s">
        <v>130</v>
      </c>
      <c r="H119" s="295" t="s">
        <v>130</v>
      </c>
      <c r="I119" s="296" t="s">
        <v>130</v>
      </c>
      <c r="J119" s="294" t="s">
        <v>130</v>
      </c>
      <c r="K119" s="443" t="s">
        <v>130</v>
      </c>
      <c r="L119" s="295" t="s">
        <v>130</v>
      </c>
      <c r="M119" s="295" t="s">
        <v>130</v>
      </c>
      <c r="N119" s="295" t="s">
        <v>130</v>
      </c>
      <c r="O119" s="295" t="s">
        <v>130</v>
      </c>
      <c r="P119" s="296" t="s">
        <v>130</v>
      </c>
      <c r="Q119" s="298"/>
      <c r="R119" s="294" t="s">
        <v>595</v>
      </c>
      <c r="S119" s="295" t="s">
        <v>596</v>
      </c>
      <c r="T119" s="295" t="s">
        <v>597</v>
      </c>
      <c r="U119" s="296" t="s">
        <v>597</v>
      </c>
      <c r="V119" s="299" t="s">
        <v>595</v>
      </c>
      <c r="W119" s="337" t="s">
        <v>596</v>
      </c>
      <c r="X119" s="337" t="s">
        <v>597</v>
      </c>
      <c r="Y119" s="338" t="s">
        <v>597</v>
      </c>
      <c r="Z119" s="302" t="s">
        <v>595</v>
      </c>
      <c r="AA119" s="337" t="s">
        <v>597</v>
      </c>
      <c r="AB119" s="337" t="s">
        <v>597</v>
      </c>
      <c r="AC119" s="337" t="s">
        <v>597</v>
      </c>
      <c r="AD119" s="337" t="s">
        <v>597</v>
      </c>
    </row>
    <row r="120" spans="1:30" ht="48.75" thickBot="1" x14ac:dyDescent="0.3">
      <c r="A120" s="267">
        <f t="shared" si="38"/>
        <v>87</v>
      </c>
      <c r="B120" s="340" t="s">
        <v>598</v>
      </c>
      <c r="C120" s="422"/>
      <c r="D120" s="423">
        <f>T120</f>
        <v>0</v>
      </c>
      <c r="E120" s="423"/>
      <c r="F120" s="423">
        <f>D120</f>
        <v>0</v>
      </c>
      <c r="G120" s="423">
        <v>0</v>
      </c>
      <c r="H120" s="423">
        <f>U120</f>
        <v>0</v>
      </c>
      <c r="I120" s="424">
        <f>H120</f>
        <v>0</v>
      </c>
      <c r="J120" s="294">
        <f t="shared" ref="J120" si="41">X120</f>
        <v>0</v>
      </c>
      <c r="K120" s="443">
        <v>0</v>
      </c>
      <c r="L120" s="295">
        <f>Z120</f>
        <v>0</v>
      </c>
      <c r="M120" s="295">
        <f>K120</f>
        <v>0</v>
      </c>
      <c r="N120" s="295">
        <f>L120</f>
        <v>0</v>
      </c>
      <c r="O120" s="295">
        <f>AA120</f>
        <v>0</v>
      </c>
      <c r="P120" s="296">
        <f>O120</f>
        <v>0</v>
      </c>
      <c r="Q120" s="298"/>
      <c r="R120" s="422"/>
      <c r="S120" s="423"/>
      <c r="T120" s="423"/>
      <c r="U120" s="424"/>
      <c r="V120" s="425"/>
      <c r="W120" s="426"/>
      <c r="X120" s="426"/>
      <c r="Y120" s="427"/>
      <c r="Z120" s="302"/>
      <c r="AA120" s="337"/>
      <c r="AB120" s="337"/>
      <c r="AC120" s="337"/>
      <c r="AD120" s="337"/>
    </row>
    <row r="121" spans="1:30" ht="15.75" thickBot="1" x14ac:dyDescent="0.3">
      <c r="J121" s="428"/>
      <c r="K121" s="429"/>
      <c r="L121" s="429"/>
      <c r="M121" s="429"/>
      <c r="N121" s="429"/>
      <c r="O121" s="429"/>
      <c r="P121" s="430"/>
    </row>
    <row r="122" spans="1:30" x14ac:dyDescent="0.25">
      <c r="B122" s="268" t="s">
        <v>599</v>
      </c>
      <c r="R122" s="268" t="s">
        <v>600</v>
      </c>
      <c r="V122" s="268" t="s">
        <v>602</v>
      </c>
      <c r="Z122" s="268" t="s">
        <v>601</v>
      </c>
    </row>
    <row r="124" spans="1:30" x14ac:dyDescent="0.25">
      <c r="J124" s="449" t="s">
        <v>693</v>
      </c>
      <c r="K124" s="449" t="s">
        <v>693</v>
      </c>
      <c r="L124" s="449" t="s">
        <v>694</v>
      </c>
      <c r="M124" s="449"/>
      <c r="N124" s="449" t="s">
        <v>695</v>
      </c>
      <c r="O124" s="449" t="s">
        <v>695</v>
      </c>
      <c r="P124" s="449" t="s">
        <v>695</v>
      </c>
    </row>
    <row r="126" spans="1:30" x14ac:dyDescent="0.25">
      <c r="B126" s="320" t="s">
        <v>658</v>
      </c>
    </row>
  </sheetData>
  <sheetProtection algorithmName="SHA-512" hashValue="OXNMYpeJgE3aP/ue0qkoT1DrgMNay7i/0kU0a8vhytmJYaMxOUn5f2FDCFk9hFUkjSEupLuHJu2W+HARkzD1Kg==" saltValue="G3fxSwntN4MsuT7NplKw/A==" spinCount="100000" sheet="1" objects="1" scenarios="1"/>
  <mergeCells count="73">
    <mergeCell ref="B8:C8"/>
    <mergeCell ref="D8:H8"/>
    <mergeCell ref="B9:C9"/>
    <mergeCell ref="D9:H9"/>
    <mergeCell ref="B4:C4"/>
    <mergeCell ref="D4:H4"/>
    <mergeCell ref="B5:C5"/>
    <mergeCell ref="D5:H5"/>
    <mergeCell ref="B6:C6"/>
    <mergeCell ref="D6:H6"/>
    <mergeCell ref="B2:C2"/>
    <mergeCell ref="D2:H2"/>
    <mergeCell ref="B3:C3"/>
    <mergeCell ref="B7:C7"/>
    <mergeCell ref="D7:H7"/>
    <mergeCell ref="B23:C23"/>
    <mergeCell ref="D23:H23"/>
    <mergeCell ref="B10:C10"/>
    <mergeCell ref="D10:H10"/>
    <mergeCell ref="B13:C13"/>
    <mergeCell ref="D13:H13"/>
    <mergeCell ref="B14:C20"/>
    <mergeCell ref="D14:H14"/>
    <mergeCell ref="D15:H15"/>
    <mergeCell ref="D16:H16"/>
    <mergeCell ref="D17:H17"/>
    <mergeCell ref="D18:H18"/>
    <mergeCell ref="D19:H19"/>
    <mergeCell ref="D20:H20"/>
    <mergeCell ref="B21:C22"/>
    <mergeCell ref="D21:H22"/>
    <mergeCell ref="B24:C24"/>
    <mergeCell ref="D24:H24"/>
    <mergeCell ref="B25:C25"/>
    <mergeCell ref="D25:H25"/>
    <mergeCell ref="B26:C27"/>
    <mergeCell ref="D26:H26"/>
    <mergeCell ref="D27:H27"/>
    <mergeCell ref="B28:C29"/>
    <mergeCell ref="D28:H28"/>
    <mergeCell ref="D29:H29"/>
    <mergeCell ref="C33:I33"/>
    <mergeCell ref="J33:P33"/>
    <mergeCell ref="R83:U83"/>
    <mergeCell ref="Z83:AC83"/>
    <mergeCell ref="V83:Y83"/>
    <mergeCell ref="Z97:AC97"/>
    <mergeCell ref="V97:Y97"/>
    <mergeCell ref="B113:B114"/>
    <mergeCell ref="R113:R114"/>
    <mergeCell ref="S113:S114"/>
    <mergeCell ref="T113:T114"/>
    <mergeCell ref="J113:J114"/>
    <mergeCell ref="L113:L114"/>
    <mergeCell ref="O113:O114"/>
    <mergeCell ref="N113:N114"/>
    <mergeCell ref="C113:C114"/>
    <mergeCell ref="D113:D114"/>
    <mergeCell ref="F113:F114"/>
    <mergeCell ref="M113:M114"/>
    <mergeCell ref="AD113:AD114"/>
    <mergeCell ref="AB113:AB114"/>
    <mergeCell ref="AC113:AC114"/>
    <mergeCell ref="P113:P114"/>
    <mergeCell ref="H113:H114"/>
    <mergeCell ref="I113:I114"/>
    <mergeCell ref="U113:U114"/>
    <mergeCell ref="Z113:Z114"/>
    <mergeCell ref="AA113:AA114"/>
    <mergeCell ref="V113:V114"/>
    <mergeCell ref="W113:W114"/>
    <mergeCell ref="X113:X114"/>
    <mergeCell ref="Y113:Y114"/>
  </mergeCell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2:AR198"/>
  <sheetViews>
    <sheetView workbookViewId="0">
      <selection activeCell="B34" sqref="B34"/>
    </sheetView>
  </sheetViews>
  <sheetFormatPr defaultColWidth="8.85546875" defaultRowHeight="15" x14ac:dyDescent="0.25"/>
  <cols>
    <col min="2" max="2" width="20.28515625" bestFit="1" customWidth="1"/>
    <col min="3" max="3" width="25.28515625" bestFit="1" customWidth="1"/>
    <col min="4" max="4" width="20.7109375" bestFit="1" customWidth="1"/>
    <col min="5" max="5" width="22.85546875" bestFit="1" customWidth="1"/>
    <col min="6" max="6" width="20.7109375" bestFit="1" customWidth="1"/>
    <col min="7" max="7" width="18.7109375" bestFit="1" customWidth="1"/>
    <col min="8" max="10" width="19.7109375" bestFit="1" customWidth="1"/>
    <col min="11" max="11" width="18.7109375" bestFit="1" customWidth="1"/>
    <col min="12" max="14" width="19.7109375" bestFit="1" customWidth="1"/>
    <col min="15" max="15" width="14.42578125" customWidth="1"/>
    <col min="16" max="16" width="13.42578125" customWidth="1"/>
    <col min="17" max="17" width="13.42578125" bestFit="1" customWidth="1"/>
    <col min="18" max="18" width="14.140625" bestFit="1" customWidth="1"/>
    <col min="19" max="20" width="13.140625" bestFit="1" customWidth="1"/>
    <col min="21" max="21" width="15.140625" bestFit="1" customWidth="1"/>
    <col min="22" max="22" width="14.140625" bestFit="1" customWidth="1"/>
    <col min="23" max="23" width="13.140625" bestFit="1" customWidth="1"/>
    <col min="24" max="24" width="14.140625" bestFit="1" customWidth="1"/>
    <col min="27" max="27" width="25.28515625" bestFit="1" customWidth="1"/>
    <col min="28" max="28" width="19.42578125" bestFit="1" customWidth="1"/>
    <col min="29" max="29" width="22.85546875" bestFit="1" customWidth="1"/>
    <col min="30" max="30" width="15.42578125" bestFit="1" customWidth="1"/>
    <col min="31" max="33" width="14.42578125" bestFit="1" customWidth="1"/>
    <col min="34" max="35" width="14.140625" bestFit="1" customWidth="1"/>
    <col min="36" max="37" width="15.140625" bestFit="1" customWidth="1"/>
    <col min="38" max="39" width="14.42578125" bestFit="1" customWidth="1"/>
    <col min="40" max="41" width="13.42578125" bestFit="1" customWidth="1"/>
    <col min="42" max="42" width="14.140625" bestFit="1" customWidth="1"/>
    <col min="43" max="44" width="13.140625" bestFit="1" customWidth="1"/>
    <col min="45" max="45" width="15.140625" bestFit="1" customWidth="1"/>
    <col min="46" max="46" width="14.140625" bestFit="1" customWidth="1"/>
    <col min="47" max="47" width="13.140625" bestFit="1" customWidth="1"/>
    <col min="48" max="48" width="14.140625" bestFit="1" customWidth="1"/>
  </cols>
  <sheetData>
    <row r="2" spans="2:24" ht="15.75" thickBot="1" x14ac:dyDescent="0.3"/>
    <row r="3" spans="2:24" ht="15.75" thickBot="1" x14ac:dyDescent="0.3">
      <c r="B3" s="1" t="s">
        <v>0</v>
      </c>
      <c r="C3" s="2"/>
      <c r="D3" s="3"/>
      <c r="E3" s="3"/>
      <c r="F3" s="3"/>
      <c r="G3" s="3"/>
      <c r="S3" s="13" t="s">
        <v>19</v>
      </c>
      <c r="T3" s="2"/>
      <c r="U3" s="3"/>
      <c r="V3" s="3"/>
      <c r="W3" s="3"/>
      <c r="X3" s="3"/>
    </row>
    <row r="4" spans="2:24" ht="30.75" thickBot="1" x14ac:dyDescent="0.3">
      <c r="B4" s="4" t="s">
        <v>155</v>
      </c>
      <c r="C4" s="5" t="s">
        <v>1</v>
      </c>
      <c r="D4" s="6"/>
      <c r="E4" s="6"/>
      <c r="F4" s="6"/>
      <c r="G4" s="6"/>
      <c r="S4" s="4" t="s">
        <v>155</v>
      </c>
      <c r="T4" s="5" t="s">
        <v>1</v>
      </c>
      <c r="U4" s="6"/>
      <c r="V4" s="6"/>
      <c r="W4" s="6"/>
      <c r="X4" s="6"/>
    </row>
    <row r="5" spans="2:24" ht="15.75" thickBot="1" x14ac:dyDescent="0.3">
      <c r="B5" s="4" t="s">
        <v>2</v>
      </c>
      <c r="C5" s="5" t="s">
        <v>3</v>
      </c>
      <c r="D5" s="1561" t="s">
        <v>4</v>
      </c>
      <c r="E5" s="1562"/>
      <c r="F5" s="1562"/>
      <c r="G5" s="1563"/>
      <c r="S5" s="4" t="s">
        <v>2</v>
      </c>
      <c r="T5" s="5" t="s">
        <v>3</v>
      </c>
      <c r="U5" s="63" t="s">
        <v>4</v>
      </c>
      <c r="V5" s="64"/>
      <c r="W5" s="64"/>
      <c r="X5" s="65"/>
    </row>
    <row r="6" spans="2:24" ht="15.75" thickBot="1" x14ac:dyDescent="0.3">
      <c r="B6" s="7" t="s">
        <v>5</v>
      </c>
      <c r="C6" s="8">
        <v>1000000</v>
      </c>
      <c r="D6" s="9">
        <v>75</v>
      </c>
      <c r="E6" s="5">
        <v>100</v>
      </c>
      <c r="F6" s="5">
        <v>150</v>
      </c>
      <c r="G6" s="5">
        <v>200</v>
      </c>
      <c r="S6" s="7" t="s">
        <v>5</v>
      </c>
      <c r="T6" s="8">
        <v>1000000</v>
      </c>
      <c r="U6" s="9">
        <v>75</v>
      </c>
      <c r="V6" s="5">
        <v>100</v>
      </c>
      <c r="W6" s="5">
        <v>150</v>
      </c>
      <c r="X6" s="5">
        <v>200</v>
      </c>
    </row>
    <row r="7" spans="2:24" ht="15.75" thickBot="1" x14ac:dyDescent="0.3">
      <c r="B7" s="4" t="s">
        <v>6</v>
      </c>
      <c r="C7" s="5" t="s">
        <v>7</v>
      </c>
      <c r="D7" s="5" t="s">
        <v>7</v>
      </c>
      <c r="E7" s="5" t="s">
        <v>7</v>
      </c>
      <c r="F7" s="5" t="s">
        <v>7</v>
      </c>
      <c r="G7" s="5" t="s">
        <v>7</v>
      </c>
      <c r="S7" s="4" t="s">
        <v>6</v>
      </c>
      <c r="T7" s="5" t="s">
        <v>7</v>
      </c>
      <c r="U7" s="5" t="s">
        <v>7</v>
      </c>
      <c r="V7" s="5" t="s">
        <v>7</v>
      </c>
      <c r="W7" s="5" t="s">
        <v>7</v>
      </c>
      <c r="X7" s="5" t="s">
        <v>7</v>
      </c>
    </row>
    <row r="8" spans="2:24" ht="15.75" thickBot="1" x14ac:dyDescent="0.3">
      <c r="B8" s="10" t="s">
        <v>8</v>
      </c>
      <c r="C8" s="11">
        <v>2027</v>
      </c>
      <c r="D8" s="11">
        <v>3969</v>
      </c>
      <c r="E8" s="11">
        <v>3539</v>
      </c>
      <c r="F8" s="11">
        <v>3156</v>
      </c>
      <c r="G8" s="11">
        <v>2815</v>
      </c>
      <c r="S8" s="10" t="s">
        <v>8</v>
      </c>
      <c r="T8" s="11">
        <v>2027</v>
      </c>
      <c r="U8" s="11">
        <v>3969</v>
      </c>
      <c r="V8" s="11">
        <v>3539</v>
      </c>
      <c r="W8" s="11">
        <v>3156</v>
      </c>
      <c r="X8" s="11">
        <v>2815</v>
      </c>
    </row>
    <row r="9" spans="2:24" ht="15.75" thickBot="1" x14ac:dyDescent="0.3">
      <c r="B9" s="12" t="s">
        <v>9</v>
      </c>
      <c r="C9" s="11">
        <v>3209</v>
      </c>
      <c r="D9" s="11">
        <v>3927</v>
      </c>
      <c r="E9" s="11">
        <v>3502</v>
      </c>
      <c r="F9" s="11">
        <v>3124</v>
      </c>
      <c r="G9" s="11">
        <v>2786</v>
      </c>
      <c r="S9" s="12" t="s">
        <v>9</v>
      </c>
      <c r="T9" s="11">
        <v>3851</v>
      </c>
      <c r="U9" s="11">
        <v>4712</v>
      </c>
      <c r="V9" s="11">
        <v>4203</v>
      </c>
      <c r="W9" s="11">
        <v>3748</v>
      </c>
      <c r="X9" s="11">
        <v>3343</v>
      </c>
    </row>
    <row r="10" spans="2:24" ht="15.75" thickBot="1" x14ac:dyDescent="0.3">
      <c r="B10" s="12" t="s">
        <v>10</v>
      </c>
      <c r="C10" s="11">
        <v>3852</v>
      </c>
      <c r="D10" s="11">
        <v>3927</v>
      </c>
      <c r="E10" s="11">
        <v>3502</v>
      </c>
      <c r="F10" s="11">
        <v>3124</v>
      </c>
      <c r="G10" s="11">
        <v>2786</v>
      </c>
      <c r="S10" s="12" t="s">
        <v>10</v>
      </c>
      <c r="T10" s="11">
        <v>4623</v>
      </c>
      <c r="U10" s="11">
        <v>4713</v>
      </c>
      <c r="V10" s="11">
        <v>4203</v>
      </c>
      <c r="W10" s="11">
        <v>3748</v>
      </c>
      <c r="X10" s="11">
        <v>3343</v>
      </c>
    </row>
    <row r="11" spans="2:24" ht="15.75" thickBot="1" x14ac:dyDescent="0.3">
      <c r="B11" s="12" t="s">
        <v>11</v>
      </c>
      <c r="C11" s="11">
        <v>5257</v>
      </c>
      <c r="D11" s="11">
        <v>4084</v>
      </c>
      <c r="E11" s="11">
        <v>3643</v>
      </c>
      <c r="F11" s="11">
        <v>3248</v>
      </c>
      <c r="G11" s="11">
        <v>2897</v>
      </c>
      <c r="S11" s="12" t="s">
        <v>11</v>
      </c>
      <c r="T11" s="11">
        <v>6308</v>
      </c>
      <c r="U11" s="11">
        <v>4901</v>
      </c>
      <c r="V11" s="11">
        <v>4371</v>
      </c>
      <c r="W11" s="11">
        <v>3898</v>
      </c>
      <c r="X11" s="11">
        <v>3476</v>
      </c>
    </row>
    <row r="12" spans="2:24" ht="15.75" thickBot="1" x14ac:dyDescent="0.3">
      <c r="B12" s="12" t="s">
        <v>12</v>
      </c>
      <c r="C12" s="11">
        <v>7537</v>
      </c>
      <c r="D12" s="11">
        <v>4538</v>
      </c>
      <c r="E12" s="11">
        <v>4047</v>
      </c>
      <c r="F12" s="11">
        <v>3609</v>
      </c>
      <c r="G12" s="11">
        <v>3219</v>
      </c>
      <c r="S12" s="12" t="s">
        <v>12</v>
      </c>
      <c r="T12" s="11">
        <v>9044</v>
      </c>
      <c r="U12" s="11">
        <v>5446</v>
      </c>
      <c r="V12" s="11">
        <v>4857</v>
      </c>
      <c r="W12" s="11">
        <v>4331</v>
      </c>
      <c r="X12" s="11">
        <v>3863</v>
      </c>
    </row>
    <row r="13" spans="2:24" ht="15.75" thickBot="1" x14ac:dyDescent="0.3">
      <c r="B13" s="12" t="s">
        <v>13</v>
      </c>
      <c r="C13" s="11">
        <v>11303</v>
      </c>
      <c r="D13" s="11">
        <v>5303</v>
      </c>
      <c r="E13" s="11">
        <v>4750</v>
      </c>
      <c r="F13" s="11">
        <v>4236</v>
      </c>
      <c r="G13" s="11">
        <v>3778</v>
      </c>
      <c r="S13" s="12" t="s">
        <v>13</v>
      </c>
      <c r="T13" s="11">
        <v>13564</v>
      </c>
      <c r="U13" s="11">
        <v>6364</v>
      </c>
      <c r="V13" s="11">
        <v>5708</v>
      </c>
      <c r="W13" s="11">
        <v>5083</v>
      </c>
      <c r="X13" s="11">
        <v>4533</v>
      </c>
    </row>
    <row r="14" spans="2:24" ht="15.75" thickBot="1" x14ac:dyDescent="0.3">
      <c r="B14" s="12" t="s">
        <v>14</v>
      </c>
      <c r="C14" s="11">
        <v>15259</v>
      </c>
      <c r="D14" s="11">
        <v>7160</v>
      </c>
      <c r="E14" s="11">
        <v>6413</v>
      </c>
      <c r="F14" s="11">
        <v>5719</v>
      </c>
      <c r="G14" s="11">
        <v>5100</v>
      </c>
      <c r="S14" s="12" t="s">
        <v>14</v>
      </c>
      <c r="T14" s="11">
        <v>18311</v>
      </c>
      <c r="U14" s="11">
        <v>8592</v>
      </c>
      <c r="V14" s="11">
        <v>7695</v>
      </c>
      <c r="W14" s="11">
        <v>6863</v>
      </c>
      <c r="X14" s="11">
        <v>6120</v>
      </c>
    </row>
    <row r="15" spans="2:24" ht="15.75" thickBot="1" x14ac:dyDescent="0.3">
      <c r="B15" s="12" t="s">
        <v>15</v>
      </c>
      <c r="C15" s="11">
        <v>19261</v>
      </c>
      <c r="D15" s="11">
        <v>19637</v>
      </c>
      <c r="E15" s="11">
        <v>17512</v>
      </c>
      <c r="F15" s="11">
        <v>15618</v>
      </c>
      <c r="G15" s="11">
        <v>13928</v>
      </c>
      <c r="S15" s="12" t="s">
        <v>15</v>
      </c>
      <c r="T15" s="11">
        <v>23113</v>
      </c>
      <c r="U15" s="11">
        <v>23564</v>
      </c>
      <c r="V15" s="11">
        <v>21015</v>
      </c>
      <c r="W15" s="11">
        <v>18741</v>
      </c>
      <c r="X15" s="11">
        <v>16713</v>
      </c>
    </row>
    <row r="16" spans="2:24" ht="15.75" thickBot="1" x14ac:dyDescent="0.3">
      <c r="B16" s="12" t="s">
        <v>16</v>
      </c>
      <c r="C16" s="11">
        <v>25039</v>
      </c>
      <c r="D16" s="11">
        <v>25528</v>
      </c>
      <c r="E16" s="11">
        <v>22766</v>
      </c>
      <c r="F16" s="11">
        <v>20303</v>
      </c>
      <c r="G16" s="11">
        <v>18106</v>
      </c>
      <c r="S16" s="12" t="s">
        <v>16</v>
      </c>
      <c r="T16" s="11">
        <v>30047</v>
      </c>
      <c r="U16" s="11">
        <v>30633</v>
      </c>
      <c r="V16" s="11">
        <v>27319</v>
      </c>
      <c r="W16" s="11">
        <v>24363</v>
      </c>
      <c r="X16" s="11">
        <v>21728</v>
      </c>
    </row>
    <row r="17" spans="2:24" ht="15.75" thickBot="1" x14ac:dyDescent="0.3">
      <c r="B17" s="12" t="s">
        <v>17</v>
      </c>
      <c r="C17" s="11">
        <v>30817</v>
      </c>
      <c r="D17" s="11">
        <v>31419</v>
      </c>
      <c r="E17" s="11">
        <v>28028</v>
      </c>
      <c r="F17" s="11">
        <v>24988</v>
      </c>
      <c r="G17" s="11">
        <v>22285</v>
      </c>
      <c r="S17" s="12" t="s">
        <v>17</v>
      </c>
      <c r="T17" s="11">
        <v>36690</v>
      </c>
      <c r="U17" s="11">
        <v>37703</v>
      </c>
      <c r="V17" s="11">
        <v>33624</v>
      </c>
      <c r="W17" s="11">
        <v>29986</v>
      </c>
      <c r="X17" s="11">
        <v>26742</v>
      </c>
    </row>
    <row r="18" spans="2:24" ht="15.75" thickBot="1" x14ac:dyDescent="0.3">
      <c r="B18" s="12" t="s">
        <v>18</v>
      </c>
      <c r="C18" s="11">
        <v>40447</v>
      </c>
      <c r="D18" s="11">
        <v>41237</v>
      </c>
      <c r="E18" s="11">
        <v>36776</v>
      </c>
      <c r="F18" s="11">
        <v>32797</v>
      </c>
      <c r="G18" s="11">
        <v>29249</v>
      </c>
      <c r="S18" s="12" t="s">
        <v>18</v>
      </c>
      <c r="T18" s="11">
        <v>48537</v>
      </c>
      <c r="U18" s="11">
        <v>49465</v>
      </c>
      <c r="V18" s="11">
        <v>44131</v>
      </c>
      <c r="W18" s="11">
        <v>39356</v>
      </c>
      <c r="X18" s="11">
        <v>35098</v>
      </c>
    </row>
    <row r="19" spans="2:24" ht="15.75" thickBot="1" x14ac:dyDescent="0.3"/>
    <row r="20" spans="2:24" ht="15.75" thickBot="1" x14ac:dyDescent="0.3">
      <c r="B20" s="13" t="s">
        <v>0</v>
      </c>
      <c r="C20" s="2"/>
      <c r="D20" s="3"/>
      <c r="E20" s="3"/>
      <c r="F20" s="3"/>
      <c r="G20" s="3"/>
      <c r="S20" s="13" t="s">
        <v>19</v>
      </c>
      <c r="T20" s="2"/>
      <c r="U20" s="3"/>
      <c r="V20" s="3"/>
      <c r="W20" s="3"/>
      <c r="X20" s="3"/>
    </row>
    <row r="21" spans="2:24" ht="30.75" customHeight="1" thickBot="1" x14ac:dyDescent="0.3">
      <c r="B21" s="4" t="s">
        <v>20</v>
      </c>
      <c r="C21" s="5" t="s">
        <v>1</v>
      </c>
      <c r="D21" s="6"/>
      <c r="E21" s="6"/>
      <c r="F21" s="6"/>
      <c r="G21" s="6"/>
      <c r="S21" s="4" t="s">
        <v>20</v>
      </c>
      <c r="T21" s="5" t="s">
        <v>1</v>
      </c>
      <c r="U21" s="6"/>
      <c r="V21" s="6"/>
      <c r="W21" s="6"/>
      <c r="X21" s="6"/>
    </row>
    <row r="22" spans="2:24" ht="15.75" thickBot="1" x14ac:dyDescent="0.3">
      <c r="B22" s="4" t="s">
        <v>2</v>
      </c>
      <c r="C22" s="5" t="s">
        <v>3</v>
      </c>
      <c r="D22" s="1561" t="s">
        <v>4</v>
      </c>
      <c r="E22" s="1562"/>
      <c r="F22" s="1562"/>
      <c r="G22" s="1563"/>
      <c r="S22" s="4" t="s">
        <v>2</v>
      </c>
      <c r="T22" s="5" t="s">
        <v>3</v>
      </c>
      <c r="U22" s="63" t="s">
        <v>4</v>
      </c>
      <c r="V22" s="64"/>
      <c r="W22" s="64"/>
      <c r="X22" s="65"/>
    </row>
    <row r="23" spans="2:24" ht="15.75" thickBot="1" x14ac:dyDescent="0.3">
      <c r="B23" s="7" t="s">
        <v>5</v>
      </c>
      <c r="C23" s="8">
        <v>1000000</v>
      </c>
      <c r="D23" s="9">
        <v>75</v>
      </c>
      <c r="E23" s="5">
        <v>100</v>
      </c>
      <c r="F23" s="5">
        <v>150</v>
      </c>
      <c r="G23" s="5">
        <v>200</v>
      </c>
      <c r="S23" s="7" t="s">
        <v>5</v>
      </c>
      <c r="T23" s="8">
        <v>1000000</v>
      </c>
      <c r="U23" s="9">
        <v>75</v>
      </c>
      <c r="V23" s="5">
        <v>100</v>
      </c>
      <c r="W23" s="5">
        <v>150</v>
      </c>
      <c r="X23" s="5">
        <v>200</v>
      </c>
    </row>
    <row r="24" spans="2:24" ht="15.75" thickBot="1" x14ac:dyDescent="0.3">
      <c r="B24" s="4" t="s">
        <v>6</v>
      </c>
      <c r="C24" s="14" t="s">
        <v>21</v>
      </c>
      <c r="D24" s="14" t="s">
        <v>21</v>
      </c>
      <c r="E24" s="14" t="s">
        <v>21</v>
      </c>
      <c r="F24" s="14" t="s">
        <v>21</v>
      </c>
      <c r="G24" s="14" t="s">
        <v>21</v>
      </c>
      <c r="S24" s="4" t="s">
        <v>6</v>
      </c>
      <c r="T24" s="14" t="s">
        <v>21</v>
      </c>
      <c r="U24" s="14" t="s">
        <v>21</v>
      </c>
      <c r="V24" s="14" t="s">
        <v>21</v>
      </c>
      <c r="W24" s="14" t="s">
        <v>21</v>
      </c>
      <c r="X24" s="14" t="s">
        <v>21</v>
      </c>
    </row>
    <row r="25" spans="2:24" ht="15.75" thickBot="1" x14ac:dyDescent="0.3">
      <c r="B25" s="12" t="s">
        <v>8</v>
      </c>
      <c r="C25" s="11">
        <v>1368</v>
      </c>
      <c r="D25" s="11">
        <v>3211</v>
      </c>
      <c r="E25" s="11">
        <v>2781</v>
      </c>
      <c r="F25" s="11">
        <v>2480</v>
      </c>
      <c r="G25" s="11">
        <v>2211</v>
      </c>
      <c r="S25" s="12" t="s">
        <v>8</v>
      </c>
      <c r="T25" s="11">
        <v>1368</v>
      </c>
      <c r="U25" s="11">
        <v>3211</v>
      </c>
      <c r="V25" s="11">
        <v>2781</v>
      </c>
      <c r="W25" s="11">
        <v>2480</v>
      </c>
      <c r="X25" s="11">
        <v>2211</v>
      </c>
    </row>
    <row r="26" spans="2:24" ht="15.75" thickBot="1" x14ac:dyDescent="0.3">
      <c r="B26" s="12" t="s">
        <v>9</v>
      </c>
      <c r="C26" s="11">
        <v>2165</v>
      </c>
      <c r="D26" s="11">
        <v>3177</v>
      </c>
      <c r="E26" s="11">
        <v>2752</v>
      </c>
      <c r="F26" s="11">
        <v>2454</v>
      </c>
      <c r="G26" s="11">
        <v>2186</v>
      </c>
      <c r="S26" s="12" t="s">
        <v>9</v>
      </c>
      <c r="T26" s="11">
        <v>2598</v>
      </c>
      <c r="U26" s="11">
        <v>3812</v>
      </c>
      <c r="V26" s="11">
        <v>3302</v>
      </c>
      <c r="W26" s="11">
        <v>2945</v>
      </c>
      <c r="X26" s="11">
        <v>2626</v>
      </c>
    </row>
    <row r="27" spans="2:24" ht="15.75" thickBot="1" x14ac:dyDescent="0.3">
      <c r="B27" s="12" t="s">
        <v>10</v>
      </c>
      <c r="C27" s="11">
        <v>2599</v>
      </c>
      <c r="D27" s="11">
        <v>3177</v>
      </c>
      <c r="E27" s="11">
        <v>2752</v>
      </c>
      <c r="F27" s="11">
        <v>2454</v>
      </c>
      <c r="G27" s="11">
        <v>2186</v>
      </c>
      <c r="S27" s="12" t="s">
        <v>10</v>
      </c>
      <c r="T27" s="11">
        <v>3110</v>
      </c>
      <c r="U27" s="11">
        <v>3813</v>
      </c>
      <c r="V27" s="11">
        <v>3302</v>
      </c>
      <c r="W27" s="11">
        <v>2945</v>
      </c>
      <c r="X27" s="11">
        <v>2626</v>
      </c>
    </row>
    <row r="28" spans="2:24" ht="15.75" thickBot="1" x14ac:dyDescent="0.3">
      <c r="B28" s="12" t="s">
        <v>11</v>
      </c>
      <c r="C28" s="11">
        <v>3546</v>
      </c>
      <c r="D28" s="11">
        <v>3304</v>
      </c>
      <c r="E28" s="11">
        <v>2862</v>
      </c>
      <c r="F28" s="11">
        <v>2552</v>
      </c>
      <c r="G28" s="11">
        <v>2276</v>
      </c>
      <c r="S28" s="12" t="s">
        <v>11</v>
      </c>
      <c r="T28" s="11">
        <v>4256</v>
      </c>
      <c r="U28" s="11">
        <v>3965</v>
      </c>
      <c r="V28" s="11">
        <v>3434</v>
      </c>
      <c r="W28" s="11">
        <v>3063</v>
      </c>
      <c r="X28" s="11">
        <v>2731</v>
      </c>
    </row>
    <row r="29" spans="2:24" ht="15.75" thickBot="1" x14ac:dyDescent="0.3">
      <c r="B29" s="12" t="s">
        <v>12</v>
      </c>
      <c r="C29" s="11">
        <v>5085</v>
      </c>
      <c r="D29" s="11">
        <v>3671</v>
      </c>
      <c r="E29" s="11">
        <v>3180</v>
      </c>
      <c r="F29" s="11">
        <v>2836</v>
      </c>
      <c r="G29" s="11">
        <v>2529</v>
      </c>
      <c r="S29" s="12" t="s">
        <v>12</v>
      </c>
      <c r="T29" s="11">
        <v>6102</v>
      </c>
      <c r="U29" s="11">
        <v>4405</v>
      </c>
      <c r="V29" s="11">
        <v>3816</v>
      </c>
      <c r="W29" s="11">
        <v>3403</v>
      </c>
      <c r="X29" s="11">
        <v>3035</v>
      </c>
    </row>
    <row r="30" spans="2:24" ht="15.75" thickBot="1" x14ac:dyDescent="0.3">
      <c r="B30" s="12" t="s">
        <v>13</v>
      </c>
      <c r="C30" s="11">
        <v>7626</v>
      </c>
      <c r="D30" s="11">
        <v>4303</v>
      </c>
      <c r="E30" s="11">
        <v>3750</v>
      </c>
      <c r="F30" s="11">
        <v>3344</v>
      </c>
      <c r="G30" s="11">
        <v>2982</v>
      </c>
      <c r="S30" s="12" t="s">
        <v>13</v>
      </c>
      <c r="T30" s="11">
        <v>9151</v>
      </c>
      <c r="U30" s="11">
        <v>5164</v>
      </c>
      <c r="V30" s="11">
        <v>4500</v>
      </c>
      <c r="W30" s="11">
        <v>4013</v>
      </c>
      <c r="X30" s="11">
        <v>3579</v>
      </c>
    </row>
    <row r="31" spans="2:24" ht="15.75" thickBot="1" x14ac:dyDescent="0.3">
      <c r="B31" s="12" t="s">
        <v>14</v>
      </c>
      <c r="C31" s="11">
        <v>10295</v>
      </c>
      <c r="D31" s="11">
        <v>5810</v>
      </c>
      <c r="E31" s="11">
        <v>5062</v>
      </c>
      <c r="F31" s="11">
        <v>4514</v>
      </c>
      <c r="G31" s="11">
        <v>4026</v>
      </c>
      <c r="S31" s="12" t="s">
        <v>14</v>
      </c>
      <c r="T31" s="11">
        <v>12354</v>
      </c>
      <c r="U31" s="11">
        <v>6972</v>
      </c>
      <c r="V31" s="11">
        <v>6074</v>
      </c>
      <c r="W31" s="11">
        <v>5417</v>
      </c>
      <c r="X31" s="11">
        <v>4831</v>
      </c>
    </row>
    <row r="32" spans="2:24" ht="15.75" thickBot="1" x14ac:dyDescent="0.3">
      <c r="B32" s="12" t="s">
        <v>15</v>
      </c>
      <c r="C32" s="11">
        <v>12994</v>
      </c>
      <c r="D32" s="11">
        <v>15895</v>
      </c>
      <c r="E32" s="11">
        <v>13758</v>
      </c>
      <c r="F32" s="11">
        <v>12270</v>
      </c>
      <c r="G32" s="11">
        <v>10942</v>
      </c>
      <c r="S32" s="12" t="s">
        <v>15</v>
      </c>
      <c r="T32" s="11">
        <v>15593</v>
      </c>
      <c r="U32" s="11">
        <v>19064</v>
      </c>
      <c r="V32" s="11">
        <v>16510</v>
      </c>
      <c r="W32" s="11">
        <v>14724</v>
      </c>
      <c r="X32" s="11">
        <v>13131</v>
      </c>
    </row>
    <row r="33" spans="2:24" ht="15.75" thickBot="1" x14ac:dyDescent="0.3">
      <c r="B33" s="12" t="s">
        <v>16</v>
      </c>
      <c r="C33" s="11">
        <v>16892</v>
      </c>
      <c r="D33" s="11">
        <v>20852</v>
      </c>
      <c r="E33" s="11">
        <v>17888</v>
      </c>
      <c r="F33" s="11">
        <v>15951</v>
      </c>
      <c r="G33" s="11">
        <v>14225</v>
      </c>
      <c r="S33" s="12" t="s">
        <v>16</v>
      </c>
      <c r="T33" s="11">
        <v>20271</v>
      </c>
      <c r="U33" s="11">
        <v>24783</v>
      </c>
      <c r="V33" s="11">
        <v>21463</v>
      </c>
      <c r="W33" s="11">
        <v>19141</v>
      </c>
      <c r="X33" s="11">
        <v>17070</v>
      </c>
    </row>
    <row r="34" spans="2:24" ht="15.75" thickBot="1" x14ac:dyDescent="0.3">
      <c r="B34" s="12" t="s">
        <v>17</v>
      </c>
      <c r="C34" s="11">
        <v>20790</v>
      </c>
      <c r="D34" s="11">
        <v>25418</v>
      </c>
      <c r="E34" s="11">
        <v>22013</v>
      </c>
      <c r="F34" s="11">
        <v>19632</v>
      </c>
      <c r="G34" s="11">
        <v>17508</v>
      </c>
      <c r="S34" s="12" t="s">
        <v>17</v>
      </c>
      <c r="T34" s="11">
        <v>24949</v>
      </c>
      <c r="U34" s="11">
        <v>30502</v>
      </c>
      <c r="V34" s="11">
        <v>26416</v>
      </c>
      <c r="W34" s="11">
        <v>23558</v>
      </c>
      <c r="X34" s="11">
        <v>21009</v>
      </c>
    </row>
    <row r="35" spans="2:24" ht="15.75" thickBot="1" x14ac:dyDescent="0.3">
      <c r="B35" s="12" t="s">
        <v>18</v>
      </c>
      <c r="C35" s="11">
        <v>27287</v>
      </c>
      <c r="D35" s="11">
        <v>33361</v>
      </c>
      <c r="E35" s="11">
        <v>28892</v>
      </c>
      <c r="F35" s="11">
        <v>25768</v>
      </c>
      <c r="G35" s="11">
        <v>22979</v>
      </c>
      <c r="S35" s="12" t="s">
        <v>18</v>
      </c>
      <c r="T35" s="11">
        <v>32745</v>
      </c>
      <c r="U35" s="11">
        <v>40033</v>
      </c>
      <c r="V35" s="11">
        <v>34671</v>
      </c>
      <c r="W35" s="11">
        <v>30920</v>
      </c>
      <c r="X35" s="11">
        <v>27574</v>
      </c>
    </row>
    <row r="36" spans="2:24" ht="15.75" thickBot="1" x14ac:dyDescent="0.3"/>
    <row r="37" spans="2:24" ht="15.75" thickBot="1" x14ac:dyDescent="0.3">
      <c r="B37" s="13" t="s">
        <v>0</v>
      </c>
      <c r="C37" s="2"/>
      <c r="D37" s="3"/>
      <c r="E37" s="3"/>
      <c r="F37" s="3"/>
      <c r="G37" s="3"/>
      <c r="S37" s="13" t="s">
        <v>19</v>
      </c>
      <c r="T37" s="2"/>
      <c r="U37" s="3"/>
      <c r="V37" s="3"/>
      <c r="W37" s="3"/>
      <c r="X37" s="3"/>
    </row>
    <row r="38" spans="2:24" ht="15.75" thickBot="1" x14ac:dyDescent="0.3">
      <c r="B38" s="10" t="s">
        <v>22</v>
      </c>
      <c r="C38" s="15" t="s">
        <v>1</v>
      </c>
      <c r="D38" s="3"/>
      <c r="E38" s="3"/>
      <c r="F38" s="3"/>
      <c r="G38" s="3"/>
      <c r="S38" s="10" t="s">
        <v>22</v>
      </c>
      <c r="T38" s="15" t="s">
        <v>1</v>
      </c>
      <c r="U38" s="3"/>
      <c r="V38" s="3"/>
      <c r="W38" s="3"/>
      <c r="X38" s="3"/>
    </row>
    <row r="39" spans="2:24" ht="15.75" thickBot="1" x14ac:dyDescent="0.3">
      <c r="B39" s="4" t="s">
        <v>2</v>
      </c>
      <c r="C39" s="5" t="s">
        <v>23</v>
      </c>
      <c r="D39" s="1561" t="s">
        <v>4</v>
      </c>
      <c r="E39" s="1562"/>
      <c r="F39" s="1562"/>
      <c r="G39" s="1563"/>
      <c r="S39" s="4" t="s">
        <v>2</v>
      </c>
      <c r="T39" s="5" t="s">
        <v>23</v>
      </c>
      <c r="U39" s="63" t="s">
        <v>4</v>
      </c>
      <c r="V39" s="64"/>
      <c r="W39" s="64"/>
      <c r="X39" s="65"/>
    </row>
    <row r="40" spans="2:24" ht="15.75" thickBot="1" x14ac:dyDescent="0.3">
      <c r="B40" s="7" t="s">
        <v>5</v>
      </c>
      <c r="C40" s="8">
        <v>1000000</v>
      </c>
      <c r="D40" s="9">
        <v>75</v>
      </c>
      <c r="E40" s="5">
        <v>100</v>
      </c>
      <c r="F40" s="5">
        <v>150</v>
      </c>
      <c r="G40" s="5">
        <v>200</v>
      </c>
      <c r="S40" s="7" t="s">
        <v>5</v>
      </c>
      <c r="T40" s="8">
        <v>1000000</v>
      </c>
      <c r="U40" s="9">
        <v>75</v>
      </c>
      <c r="V40" s="5">
        <v>100</v>
      </c>
      <c r="W40" s="5">
        <v>150</v>
      </c>
      <c r="X40" s="5">
        <v>200</v>
      </c>
    </row>
    <row r="41" spans="2:24" ht="15.75" thickBot="1" x14ac:dyDescent="0.3">
      <c r="B41" s="4" t="s">
        <v>6</v>
      </c>
      <c r="C41" s="14" t="s">
        <v>21</v>
      </c>
      <c r="D41" s="14" t="s">
        <v>21</v>
      </c>
      <c r="E41" s="14" t="s">
        <v>21</v>
      </c>
      <c r="F41" s="14" t="s">
        <v>21</v>
      </c>
      <c r="G41" s="14" t="s">
        <v>21</v>
      </c>
      <c r="S41" s="4" t="s">
        <v>6</v>
      </c>
      <c r="T41" s="14" t="s">
        <v>21</v>
      </c>
      <c r="U41" s="14" t="s">
        <v>21</v>
      </c>
      <c r="V41" s="14" t="s">
        <v>21</v>
      </c>
      <c r="W41" s="14" t="s">
        <v>21</v>
      </c>
      <c r="X41" s="14" t="s">
        <v>21</v>
      </c>
    </row>
    <row r="42" spans="2:24" ht="15.75" thickBot="1" x14ac:dyDescent="0.3">
      <c r="B42" s="12" t="s">
        <v>8</v>
      </c>
      <c r="C42" s="11">
        <v>987</v>
      </c>
      <c r="D42" s="11">
        <v>2915</v>
      </c>
      <c r="E42" s="11">
        <v>2501</v>
      </c>
      <c r="F42" s="11">
        <v>2117</v>
      </c>
      <c r="G42" s="11">
        <v>1559</v>
      </c>
      <c r="S42" s="12" t="s">
        <v>8</v>
      </c>
      <c r="T42" s="11">
        <v>987</v>
      </c>
      <c r="U42" s="11">
        <v>2915</v>
      </c>
      <c r="V42" s="11">
        <v>2501</v>
      </c>
      <c r="W42" s="11">
        <v>2117</v>
      </c>
      <c r="X42" s="11">
        <v>1559</v>
      </c>
    </row>
    <row r="43" spans="2:24" ht="15.75" thickBot="1" x14ac:dyDescent="0.3">
      <c r="B43" s="12" t="s">
        <v>9</v>
      </c>
      <c r="C43" s="11">
        <v>1562</v>
      </c>
      <c r="D43" s="11">
        <v>2885</v>
      </c>
      <c r="E43" s="11">
        <v>2475</v>
      </c>
      <c r="F43" s="11">
        <v>2095</v>
      </c>
      <c r="G43" s="11">
        <v>1542</v>
      </c>
      <c r="S43" s="12" t="s">
        <v>9</v>
      </c>
      <c r="T43" s="11">
        <v>1874</v>
      </c>
      <c r="U43" s="11">
        <v>3462</v>
      </c>
      <c r="V43" s="11">
        <v>2970</v>
      </c>
      <c r="W43" s="11">
        <v>2514</v>
      </c>
      <c r="X43" s="11">
        <v>1851</v>
      </c>
    </row>
    <row r="44" spans="2:24" ht="15.75" thickBot="1" x14ac:dyDescent="0.3">
      <c r="B44" s="12" t="s">
        <v>10</v>
      </c>
      <c r="C44" s="11">
        <v>1875</v>
      </c>
      <c r="D44" s="11">
        <v>2885</v>
      </c>
      <c r="E44" s="11">
        <v>2475</v>
      </c>
      <c r="F44" s="11">
        <v>2095</v>
      </c>
      <c r="G44" s="11">
        <v>1542</v>
      </c>
      <c r="S44" s="12" t="s">
        <v>10</v>
      </c>
      <c r="T44" s="11">
        <v>2250</v>
      </c>
      <c r="U44" s="11">
        <v>3462</v>
      </c>
      <c r="V44" s="11">
        <v>2970</v>
      </c>
      <c r="W44" s="11">
        <v>2514</v>
      </c>
      <c r="X44" s="11">
        <v>1851</v>
      </c>
    </row>
    <row r="45" spans="2:24" ht="15.75" thickBot="1" x14ac:dyDescent="0.3">
      <c r="B45" s="12" t="s">
        <v>11</v>
      </c>
      <c r="C45" s="11">
        <v>2497</v>
      </c>
      <c r="D45" s="11">
        <v>3024</v>
      </c>
      <c r="E45" s="11">
        <v>2595</v>
      </c>
      <c r="F45" s="11">
        <v>2196</v>
      </c>
      <c r="G45" s="11">
        <v>1817</v>
      </c>
      <c r="S45" s="12" t="s">
        <v>11</v>
      </c>
      <c r="T45" s="11">
        <v>2997</v>
      </c>
      <c r="U45" s="11">
        <v>3629</v>
      </c>
      <c r="V45" s="11">
        <v>3114</v>
      </c>
      <c r="W45" s="11">
        <v>2635</v>
      </c>
      <c r="X45" s="11">
        <v>1940</v>
      </c>
    </row>
    <row r="46" spans="2:24" ht="15.75" thickBot="1" x14ac:dyDescent="0.3">
      <c r="B46" s="12" t="s">
        <v>12</v>
      </c>
      <c r="C46" s="11">
        <v>3583</v>
      </c>
      <c r="D46" s="11">
        <v>3360</v>
      </c>
      <c r="E46" s="11">
        <v>2884</v>
      </c>
      <c r="F46" s="11">
        <v>2440</v>
      </c>
      <c r="G46" s="11">
        <v>1797</v>
      </c>
      <c r="S46" s="12" t="s">
        <v>12</v>
      </c>
      <c r="T46" s="11">
        <v>4299</v>
      </c>
      <c r="U46" s="11">
        <v>4033</v>
      </c>
      <c r="V46" s="11">
        <v>3460</v>
      </c>
      <c r="W46" s="11">
        <v>2928</v>
      </c>
      <c r="X46" s="11">
        <v>2156</v>
      </c>
    </row>
    <row r="47" spans="2:24" ht="15.75" thickBot="1" x14ac:dyDescent="0.3">
      <c r="B47" s="12" t="s">
        <v>13</v>
      </c>
      <c r="C47" s="11">
        <v>5373</v>
      </c>
      <c r="D47" s="11">
        <v>3925</v>
      </c>
      <c r="E47" s="11">
        <v>3389</v>
      </c>
      <c r="F47" s="11">
        <v>2891</v>
      </c>
      <c r="G47" s="11">
        <v>2128</v>
      </c>
      <c r="S47" s="12" t="s">
        <v>13</v>
      </c>
      <c r="T47" s="11">
        <v>6448</v>
      </c>
      <c r="U47" s="11">
        <v>4710</v>
      </c>
      <c r="V47" s="11">
        <v>4067</v>
      </c>
      <c r="W47" s="11">
        <v>3469</v>
      </c>
      <c r="X47" s="11">
        <v>2554</v>
      </c>
    </row>
    <row r="48" spans="2:24" ht="15.75" thickBot="1" x14ac:dyDescent="0.3">
      <c r="B48" s="12" t="s">
        <v>14</v>
      </c>
      <c r="C48" s="11">
        <v>7254</v>
      </c>
      <c r="D48" s="11">
        <v>5299</v>
      </c>
      <c r="E48" s="11">
        <v>4576</v>
      </c>
      <c r="F48" s="11">
        <v>3992</v>
      </c>
      <c r="G48" s="11">
        <v>2873</v>
      </c>
      <c r="S48" s="12" t="s">
        <v>14</v>
      </c>
      <c r="T48" s="11">
        <v>8705</v>
      </c>
      <c r="U48" s="11">
        <v>6358</v>
      </c>
      <c r="V48" s="11">
        <v>5491</v>
      </c>
      <c r="W48" s="11">
        <v>4683</v>
      </c>
      <c r="X48" s="11">
        <v>3448</v>
      </c>
    </row>
    <row r="49" spans="2:27" ht="15.75" thickBot="1" x14ac:dyDescent="0.3">
      <c r="B49" s="12" t="s">
        <v>15</v>
      </c>
      <c r="C49" s="11">
        <v>9374</v>
      </c>
      <c r="D49" s="11">
        <v>14424</v>
      </c>
      <c r="E49" s="11">
        <v>12377</v>
      </c>
      <c r="F49" s="11">
        <v>10473</v>
      </c>
      <c r="G49" s="11">
        <v>7712</v>
      </c>
      <c r="S49" s="12" t="s">
        <v>15</v>
      </c>
      <c r="T49" s="11">
        <v>11249</v>
      </c>
      <c r="U49" s="11">
        <v>17309</v>
      </c>
      <c r="V49" s="11">
        <v>14852</v>
      </c>
      <c r="W49" s="11">
        <v>12566</v>
      </c>
      <c r="X49" s="11">
        <v>9254</v>
      </c>
    </row>
    <row r="50" spans="2:27" ht="15.75" thickBot="1" x14ac:dyDescent="0.3">
      <c r="B50" s="12" t="s">
        <v>16</v>
      </c>
      <c r="C50" s="11">
        <v>12186</v>
      </c>
      <c r="D50" s="11">
        <v>18751</v>
      </c>
      <c r="E50" s="11">
        <v>16090</v>
      </c>
      <c r="F50" s="11">
        <v>13614</v>
      </c>
      <c r="G50" s="11">
        <v>10025</v>
      </c>
      <c r="S50" s="12" t="s">
        <v>16</v>
      </c>
      <c r="T50" s="11">
        <v>14623</v>
      </c>
      <c r="U50" s="11">
        <v>22501</v>
      </c>
      <c r="V50" s="11">
        <v>19309</v>
      </c>
      <c r="W50" s="11">
        <v>16338</v>
      </c>
      <c r="X50" s="11">
        <v>12030</v>
      </c>
    </row>
    <row r="51" spans="2:27" ht="15.75" thickBot="1" x14ac:dyDescent="0.3">
      <c r="B51" s="12" t="s">
        <v>17</v>
      </c>
      <c r="C51" s="11">
        <v>14998</v>
      </c>
      <c r="D51" s="11">
        <v>23078</v>
      </c>
      <c r="E51" s="11">
        <v>19803</v>
      </c>
      <c r="F51" s="11">
        <v>16757</v>
      </c>
      <c r="G51" s="11">
        <v>12339</v>
      </c>
      <c r="S51" s="12" t="s">
        <v>17</v>
      </c>
      <c r="T51" s="11">
        <v>17998</v>
      </c>
      <c r="U51" s="11">
        <v>27694</v>
      </c>
      <c r="V51" s="11">
        <v>23764</v>
      </c>
      <c r="W51" s="11">
        <v>20109</v>
      </c>
      <c r="X51" s="11">
        <v>14807</v>
      </c>
    </row>
    <row r="52" spans="2:27" ht="15.75" thickBot="1" x14ac:dyDescent="0.3">
      <c r="B52" s="12" t="s">
        <v>18</v>
      </c>
      <c r="C52" s="11">
        <v>19685</v>
      </c>
      <c r="D52" s="11">
        <v>30290</v>
      </c>
      <c r="E52" s="11">
        <v>25992</v>
      </c>
      <c r="F52" s="11">
        <v>21994</v>
      </c>
      <c r="G52" s="11">
        <v>16195</v>
      </c>
      <c r="S52" s="12" t="s">
        <v>18</v>
      </c>
      <c r="T52" s="11">
        <v>23622</v>
      </c>
      <c r="U52" s="11">
        <v>36348</v>
      </c>
      <c r="V52" s="11">
        <v>31190</v>
      </c>
      <c r="W52" s="11">
        <v>26393</v>
      </c>
      <c r="X52" s="11">
        <v>19434</v>
      </c>
    </row>
    <row r="53" spans="2:27" ht="15.75" thickBot="1" x14ac:dyDescent="0.3">
      <c r="Q53" s="19"/>
    </row>
    <row r="54" spans="2:27" ht="15.75" thickBot="1" x14ac:dyDescent="0.3">
      <c r="B54" s="13" t="s">
        <v>0</v>
      </c>
      <c r="C54" s="16"/>
      <c r="D54" s="3"/>
      <c r="E54" s="3"/>
      <c r="F54" s="3"/>
      <c r="G54" s="3"/>
      <c r="H54" s="3"/>
      <c r="I54" s="3"/>
      <c r="J54" s="3"/>
      <c r="S54" s="13" t="s">
        <v>19</v>
      </c>
      <c r="T54" s="16"/>
      <c r="U54" s="3"/>
      <c r="V54" s="3"/>
      <c r="W54" s="3"/>
      <c r="X54" s="3"/>
      <c r="Y54" s="3"/>
      <c r="Z54" s="3"/>
      <c r="AA54" s="3"/>
    </row>
    <row r="55" spans="2:27" ht="15.75" thickBot="1" x14ac:dyDescent="0.3">
      <c r="B55" s="74" t="s">
        <v>32</v>
      </c>
      <c r="C55" s="1561" t="s">
        <v>1</v>
      </c>
      <c r="D55" s="1562"/>
      <c r="E55" s="1562"/>
      <c r="F55" s="1562"/>
      <c r="G55" s="1562"/>
      <c r="H55" s="1562"/>
      <c r="I55" s="1562"/>
      <c r="J55" s="1563"/>
      <c r="S55" s="74" t="s">
        <v>32</v>
      </c>
      <c r="T55" s="63" t="s">
        <v>1</v>
      </c>
      <c r="U55" s="64"/>
      <c r="V55" s="64"/>
      <c r="W55" s="64"/>
      <c r="X55" s="64"/>
      <c r="Y55" s="64"/>
      <c r="Z55" s="64"/>
      <c r="AA55" s="65"/>
    </row>
    <row r="56" spans="2:27" ht="30.75" customHeight="1" thickBot="1" x14ac:dyDescent="0.3">
      <c r="B56" s="75" t="s">
        <v>2</v>
      </c>
      <c r="C56" s="76" t="s">
        <v>3</v>
      </c>
      <c r="D56" s="76" t="s">
        <v>25</v>
      </c>
      <c r="E56" s="76" t="s">
        <v>148</v>
      </c>
      <c r="F56" s="76" t="s">
        <v>148</v>
      </c>
      <c r="G56" s="76" t="s">
        <v>148</v>
      </c>
      <c r="H56" s="76" t="s">
        <v>27</v>
      </c>
      <c r="I56" s="76" t="s">
        <v>27</v>
      </c>
      <c r="J56" s="76" t="s">
        <v>27</v>
      </c>
      <c r="S56" s="75" t="s">
        <v>2</v>
      </c>
      <c r="T56" s="76" t="s">
        <v>3</v>
      </c>
      <c r="U56" s="76" t="s">
        <v>25</v>
      </c>
      <c r="V56" s="76" t="s">
        <v>148</v>
      </c>
      <c r="W56" s="76" t="s">
        <v>148</v>
      </c>
      <c r="X56" s="76" t="s">
        <v>148</v>
      </c>
      <c r="Y56" s="76" t="s">
        <v>27</v>
      </c>
      <c r="Z56" s="76" t="s">
        <v>27</v>
      </c>
      <c r="AA56" s="76" t="s">
        <v>27</v>
      </c>
    </row>
    <row r="57" spans="2:27" ht="15.75" thickBot="1" x14ac:dyDescent="0.3">
      <c r="B57" s="74" t="s">
        <v>5</v>
      </c>
      <c r="C57" s="77">
        <v>1000000</v>
      </c>
      <c r="D57" s="77">
        <v>500000</v>
      </c>
      <c r="E57" s="77">
        <v>250000</v>
      </c>
      <c r="F57" s="77">
        <v>250000</v>
      </c>
      <c r="G57" s="77">
        <v>250000</v>
      </c>
      <c r="H57" s="77">
        <v>125000</v>
      </c>
      <c r="I57" s="77">
        <v>125000</v>
      </c>
      <c r="J57" s="77">
        <v>125000</v>
      </c>
      <c r="S57" s="74" t="s">
        <v>5</v>
      </c>
      <c r="T57" s="77">
        <v>1000000</v>
      </c>
      <c r="U57" s="77">
        <v>500000</v>
      </c>
      <c r="V57" s="77">
        <v>250000</v>
      </c>
      <c r="W57" s="77">
        <v>250000</v>
      </c>
      <c r="X57" s="77">
        <v>250000</v>
      </c>
      <c r="Y57" s="77">
        <v>125000</v>
      </c>
      <c r="Z57" s="77">
        <v>125000</v>
      </c>
      <c r="AA57" s="77">
        <v>125000</v>
      </c>
    </row>
    <row r="58" spans="2:27" ht="15.75" thickBot="1" x14ac:dyDescent="0.3">
      <c r="B58" s="75" t="s">
        <v>6</v>
      </c>
      <c r="C58" s="18" t="s">
        <v>21</v>
      </c>
      <c r="D58" s="18" t="s">
        <v>21</v>
      </c>
      <c r="E58" s="18" t="s">
        <v>21</v>
      </c>
      <c r="F58" s="18" t="s">
        <v>28</v>
      </c>
      <c r="G58" s="18" t="s">
        <v>29</v>
      </c>
      <c r="H58" s="78" t="s">
        <v>21</v>
      </c>
      <c r="I58" s="76" t="s">
        <v>28</v>
      </c>
      <c r="J58" s="76" t="s">
        <v>29</v>
      </c>
      <c r="S58" s="75" t="s">
        <v>6</v>
      </c>
      <c r="T58" s="18" t="s">
        <v>21</v>
      </c>
      <c r="U58" s="18" t="s">
        <v>21</v>
      </c>
      <c r="V58" s="18" t="s">
        <v>21</v>
      </c>
      <c r="W58" s="18" t="s">
        <v>28</v>
      </c>
      <c r="X58" s="18" t="s">
        <v>29</v>
      </c>
      <c r="Y58" s="78" t="s">
        <v>21</v>
      </c>
      <c r="Z58" s="76" t="s">
        <v>28</v>
      </c>
      <c r="AA58" s="76" t="s">
        <v>29</v>
      </c>
    </row>
    <row r="59" spans="2:27" ht="15.75" thickBot="1" x14ac:dyDescent="0.3">
      <c r="B59" s="10" t="s">
        <v>8</v>
      </c>
      <c r="C59" s="11">
        <v>953</v>
      </c>
      <c r="D59" s="11">
        <v>481</v>
      </c>
      <c r="E59" s="11">
        <v>455</v>
      </c>
      <c r="F59" s="11">
        <v>338</v>
      </c>
      <c r="G59" s="11">
        <v>287</v>
      </c>
      <c r="H59" s="11">
        <v>421</v>
      </c>
      <c r="I59" s="11">
        <v>312</v>
      </c>
      <c r="J59" s="11">
        <v>265</v>
      </c>
      <c r="S59" s="10" t="s">
        <v>8</v>
      </c>
      <c r="T59" s="11">
        <v>953</v>
      </c>
      <c r="U59" s="11">
        <v>481</v>
      </c>
      <c r="V59" s="11">
        <v>455</v>
      </c>
      <c r="W59" s="11">
        <v>338</v>
      </c>
      <c r="X59" s="11">
        <v>287</v>
      </c>
      <c r="Y59" s="11">
        <v>421</v>
      </c>
      <c r="Z59" s="11">
        <v>312</v>
      </c>
      <c r="AA59" s="11">
        <v>265</v>
      </c>
    </row>
    <row r="60" spans="2:27" ht="15.75" thickBot="1" x14ac:dyDescent="0.3">
      <c r="B60" s="12" t="s">
        <v>9</v>
      </c>
      <c r="C60" s="11">
        <v>1509</v>
      </c>
      <c r="D60" s="11">
        <v>762</v>
      </c>
      <c r="E60" s="11">
        <v>720</v>
      </c>
      <c r="F60" s="11">
        <v>489</v>
      </c>
      <c r="G60" s="11">
        <v>416</v>
      </c>
      <c r="H60" s="11">
        <v>666</v>
      </c>
      <c r="I60" s="11">
        <v>452</v>
      </c>
      <c r="J60" s="11">
        <v>364</v>
      </c>
      <c r="S60" s="12" t="s">
        <v>9</v>
      </c>
      <c r="T60" s="11">
        <v>1811</v>
      </c>
      <c r="U60" s="11">
        <v>914</v>
      </c>
      <c r="V60" s="11">
        <v>864</v>
      </c>
      <c r="W60" s="11">
        <v>587</v>
      </c>
      <c r="X60" s="11">
        <v>499</v>
      </c>
      <c r="Y60" s="11">
        <v>799</v>
      </c>
      <c r="Z60" s="11">
        <v>543</v>
      </c>
      <c r="AA60" s="11">
        <v>481</v>
      </c>
    </row>
    <row r="61" spans="2:27" ht="15.75" thickBot="1" x14ac:dyDescent="0.3">
      <c r="B61" s="12" t="s">
        <v>10</v>
      </c>
      <c r="C61" s="11">
        <v>1813</v>
      </c>
      <c r="D61" s="11">
        <v>915</v>
      </c>
      <c r="E61" s="11">
        <v>864</v>
      </c>
      <c r="F61" s="11">
        <v>587</v>
      </c>
      <c r="G61" s="11">
        <v>499</v>
      </c>
      <c r="H61" s="11">
        <v>799</v>
      </c>
      <c r="I61" s="11">
        <v>542</v>
      </c>
      <c r="J61" s="11">
        <v>461</v>
      </c>
      <c r="S61" s="12" t="s">
        <v>10</v>
      </c>
      <c r="T61" s="11">
        <v>2175</v>
      </c>
      <c r="U61" s="11">
        <v>1097</v>
      </c>
      <c r="V61" s="11">
        <v>1037</v>
      </c>
      <c r="W61" s="11">
        <v>704</v>
      </c>
      <c r="X61" s="11">
        <v>599</v>
      </c>
      <c r="Y61" s="11">
        <v>959</v>
      </c>
      <c r="Z61" s="11">
        <v>651</v>
      </c>
      <c r="AA61" s="11">
        <v>554</v>
      </c>
    </row>
    <row r="62" spans="2:27" ht="15.75" thickBot="1" x14ac:dyDescent="0.3">
      <c r="B62" s="12" t="s">
        <v>11</v>
      </c>
      <c r="C62" s="11">
        <v>2415</v>
      </c>
      <c r="D62" s="11">
        <v>1218</v>
      </c>
      <c r="E62" s="11">
        <v>1151</v>
      </c>
      <c r="F62" s="11">
        <v>782</v>
      </c>
      <c r="G62" s="11">
        <v>665</v>
      </c>
      <c r="H62" s="11">
        <v>1065</v>
      </c>
      <c r="I62" s="11">
        <v>723</v>
      </c>
      <c r="J62" s="11">
        <v>615</v>
      </c>
      <c r="S62" s="12" t="s">
        <v>11</v>
      </c>
      <c r="T62" s="11">
        <v>2898</v>
      </c>
      <c r="U62" s="11">
        <v>1462</v>
      </c>
      <c r="V62" s="11">
        <v>1381</v>
      </c>
      <c r="W62" s="11">
        <v>938</v>
      </c>
      <c r="X62" s="11">
        <v>797</v>
      </c>
      <c r="Y62" s="11">
        <v>1278</v>
      </c>
      <c r="Z62" s="11">
        <v>888</v>
      </c>
      <c r="AA62" s="11">
        <v>738</v>
      </c>
    </row>
    <row r="63" spans="2:27" ht="15.75" thickBot="1" x14ac:dyDescent="0.3">
      <c r="B63" s="12" t="s">
        <v>12</v>
      </c>
      <c r="C63" s="11">
        <v>3464</v>
      </c>
      <c r="D63" s="11">
        <v>1748</v>
      </c>
      <c r="E63" s="11">
        <v>1852</v>
      </c>
      <c r="F63" s="11">
        <v>1122</v>
      </c>
      <c r="G63" s="11">
        <v>953</v>
      </c>
      <c r="H63" s="11">
        <v>1528</v>
      </c>
      <c r="I63" s="11">
        <v>1038</v>
      </c>
      <c r="J63" s="11">
        <v>882</v>
      </c>
      <c r="S63" s="12" t="s">
        <v>12</v>
      </c>
      <c r="T63" s="11">
        <v>4157</v>
      </c>
      <c r="U63" s="11">
        <v>2097</v>
      </c>
      <c r="V63" s="11">
        <v>1982</v>
      </c>
      <c r="W63" s="11">
        <v>1346</v>
      </c>
      <c r="X63" s="11">
        <v>1144</v>
      </c>
      <c r="Y63" s="11">
        <v>1833</v>
      </c>
      <c r="Z63" s="11">
        <v>1245</v>
      </c>
      <c r="AA63" s="11">
        <v>1058</v>
      </c>
    </row>
    <row r="64" spans="2:27" ht="15.75" thickBot="1" x14ac:dyDescent="0.3">
      <c r="B64" s="12" t="s">
        <v>13</v>
      </c>
      <c r="C64" s="11">
        <v>5194</v>
      </c>
      <c r="D64" s="11">
        <v>2621</v>
      </c>
      <c r="E64" s="11">
        <v>2477</v>
      </c>
      <c r="F64" s="11">
        <v>1682</v>
      </c>
      <c r="G64" s="11">
        <v>1430</v>
      </c>
      <c r="H64" s="11">
        <v>2291</v>
      </c>
      <c r="I64" s="11">
        <v>1556</v>
      </c>
      <c r="J64" s="11">
        <v>1323</v>
      </c>
      <c r="S64" s="12" t="s">
        <v>13</v>
      </c>
      <c r="T64" s="11">
        <v>6233</v>
      </c>
      <c r="U64" s="11">
        <v>3145</v>
      </c>
      <c r="V64" s="11">
        <v>2972</v>
      </c>
      <c r="W64" s="11">
        <v>2019</v>
      </c>
      <c r="X64" s="11">
        <v>1718</v>
      </c>
      <c r="Y64" s="11">
        <v>2749</v>
      </c>
      <c r="Z64" s="11">
        <v>1867</v>
      </c>
      <c r="AA64" s="11">
        <v>1587</v>
      </c>
    </row>
    <row r="65" spans="2:29" ht="15.75" thickBot="1" x14ac:dyDescent="0.3">
      <c r="B65" s="12" t="s">
        <v>14</v>
      </c>
      <c r="C65" s="11">
        <v>7012</v>
      </c>
      <c r="D65" s="11">
        <v>3539</v>
      </c>
      <c r="E65" s="11">
        <v>3344</v>
      </c>
      <c r="F65" s="11">
        <v>2271</v>
      </c>
      <c r="G65" s="11">
        <v>1930</v>
      </c>
      <c r="H65" s="11">
        <v>3093</v>
      </c>
      <c r="I65" s="11">
        <v>2101</v>
      </c>
      <c r="J65" s="11">
        <v>1786</v>
      </c>
      <c r="S65" s="12" t="s">
        <v>14</v>
      </c>
      <c r="T65" s="11">
        <v>8414</v>
      </c>
      <c r="U65" s="11">
        <v>4246</v>
      </c>
      <c r="V65" s="11">
        <v>4013</v>
      </c>
      <c r="W65" s="11">
        <v>2725</v>
      </c>
      <c r="X65" s="11">
        <v>2316</v>
      </c>
      <c r="Y65" s="11">
        <v>3712</v>
      </c>
      <c r="Z65" s="11">
        <v>2521</v>
      </c>
      <c r="AA65" s="11">
        <v>2142</v>
      </c>
    </row>
    <row r="66" spans="2:29" ht="15.75" thickBot="1" x14ac:dyDescent="0.3">
      <c r="B66" s="12" t="s">
        <v>15</v>
      </c>
      <c r="C66" s="11">
        <v>9063</v>
      </c>
      <c r="D66" s="11">
        <v>4573</v>
      </c>
      <c r="E66" s="11">
        <v>4321</v>
      </c>
      <c r="F66" s="11">
        <v>2935</v>
      </c>
      <c r="G66" s="11">
        <v>2494</v>
      </c>
      <c r="H66" s="11">
        <v>3997</v>
      </c>
      <c r="I66" s="11">
        <v>2715</v>
      </c>
      <c r="J66" s="11">
        <v>2307</v>
      </c>
      <c r="S66" s="12" t="s">
        <v>15</v>
      </c>
      <c r="T66" s="11">
        <v>10876</v>
      </c>
      <c r="U66" s="11">
        <v>5487</v>
      </c>
      <c r="V66" s="11">
        <v>5185</v>
      </c>
      <c r="W66" s="11">
        <v>3522</v>
      </c>
      <c r="X66" s="11">
        <v>2993</v>
      </c>
      <c r="Y66" s="11">
        <v>4797</v>
      </c>
      <c r="Z66" s="11">
        <v>3257</v>
      </c>
      <c r="AA66" s="11">
        <v>2789</v>
      </c>
    </row>
    <row r="67" spans="2:29" ht="15.75" thickBot="1" x14ac:dyDescent="0.3">
      <c r="B67" s="12" t="s">
        <v>16</v>
      </c>
      <c r="C67" s="11">
        <v>11782</v>
      </c>
      <c r="D67" s="11">
        <v>5944</v>
      </c>
      <c r="E67" s="11">
        <v>5618</v>
      </c>
      <c r="F67" s="11">
        <v>3815</v>
      </c>
      <c r="G67" s="11">
        <v>3243</v>
      </c>
      <c r="H67" s="11">
        <v>5196</v>
      </c>
      <c r="I67" s="11">
        <v>3529</v>
      </c>
      <c r="J67" s="11">
        <v>3000</v>
      </c>
      <c r="S67" s="12" t="s">
        <v>16</v>
      </c>
      <c r="T67" s="11">
        <v>14139</v>
      </c>
      <c r="U67" s="11">
        <v>7133</v>
      </c>
      <c r="V67" s="11">
        <v>6741</v>
      </c>
      <c r="W67" s="11">
        <v>4578</v>
      </c>
      <c r="X67" s="11">
        <v>3891</v>
      </c>
      <c r="Y67" s="11">
        <v>6235</v>
      </c>
      <c r="Z67" s="11">
        <v>4235</v>
      </c>
      <c r="AA67" s="11">
        <v>3599</v>
      </c>
    </row>
    <row r="68" spans="2:29" ht="15.75" thickBot="1" x14ac:dyDescent="0.3">
      <c r="B68" s="12" t="s">
        <v>17</v>
      </c>
      <c r="C68" s="11">
        <v>14501</v>
      </c>
      <c r="D68" s="11">
        <v>7318</v>
      </c>
      <c r="E68" s="11">
        <v>6914</v>
      </c>
      <c r="F68" s="11">
        <v>4695</v>
      </c>
      <c r="G68" s="11">
        <v>3991</v>
      </c>
      <c r="H68" s="11">
        <v>6395</v>
      </c>
      <c r="I68" s="11">
        <v>4343</v>
      </c>
      <c r="J68" s="11">
        <v>3692</v>
      </c>
      <c r="S68" s="12" t="s">
        <v>17</v>
      </c>
      <c r="T68" s="11">
        <v>17402</v>
      </c>
      <c r="U68" s="11">
        <v>8760</v>
      </c>
      <c r="V68" s="11">
        <v>8297</v>
      </c>
      <c r="W68" s="11">
        <v>5634</v>
      </c>
      <c r="X68" s="11">
        <v>4789</v>
      </c>
      <c r="Y68" s="11">
        <v>7674</v>
      </c>
      <c r="Z68" s="11">
        <v>5212</v>
      </c>
      <c r="AA68" s="11">
        <v>4430</v>
      </c>
    </row>
    <row r="69" spans="2:29" ht="15.75" thickBot="1" x14ac:dyDescent="0.3">
      <c r="B69" s="12" t="s">
        <v>18</v>
      </c>
      <c r="C69" s="11">
        <v>19033</v>
      </c>
      <c r="D69" s="11">
        <v>9603</v>
      </c>
      <c r="E69" s="11">
        <v>9074</v>
      </c>
      <c r="F69" s="11">
        <v>6163</v>
      </c>
      <c r="G69" s="11">
        <v>5238</v>
      </c>
      <c r="H69" s="11">
        <v>8394</v>
      </c>
      <c r="I69" s="11">
        <v>5700</v>
      </c>
      <c r="J69" s="11">
        <v>4845</v>
      </c>
      <c r="S69" s="12" t="s">
        <v>18</v>
      </c>
      <c r="T69" s="11">
        <v>22840</v>
      </c>
      <c r="U69" s="11">
        <v>11523</v>
      </c>
      <c r="V69" s="11">
        <v>10889</v>
      </c>
      <c r="W69" s="11">
        <v>7395</v>
      </c>
      <c r="X69" s="11">
        <v>6288</v>
      </c>
      <c r="Y69" s="11">
        <v>10073</v>
      </c>
      <c r="Z69" s="11">
        <v>6841</v>
      </c>
      <c r="AA69" s="11">
        <v>5814</v>
      </c>
    </row>
    <row r="70" spans="2:29" ht="15.75" thickBot="1" x14ac:dyDescent="0.3"/>
    <row r="71" spans="2:29" ht="15.75" thickBot="1" x14ac:dyDescent="0.3">
      <c r="B71" s="13" t="s">
        <v>0</v>
      </c>
      <c r="C71" s="16"/>
      <c r="D71" s="3"/>
      <c r="E71" s="3"/>
      <c r="F71" s="3"/>
      <c r="G71" s="3"/>
      <c r="H71" s="3"/>
      <c r="I71" s="3"/>
      <c r="J71" s="3"/>
      <c r="K71" s="3"/>
      <c r="L71" s="3"/>
      <c r="M71" s="3"/>
      <c r="N71" s="3"/>
      <c r="O71" s="3"/>
      <c r="P71" s="3"/>
      <c r="Q71" s="19"/>
      <c r="S71" s="13" t="s">
        <v>19</v>
      </c>
      <c r="T71" s="16"/>
      <c r="U71" s="3"/>
      <c r="V71" s="3"/>
      <c r="W71" s="3"/>
      <c r="X71" s="3"/>
      <c r="Y71" s="3"/>
      <c r="Z71" s="3"/>
      <c r="AA71" s="3"/>
      <c r="AB71" s="3"/>
      <c r="AC71" s="3"/>
    </row>
    <row r="72" spans="2:29" ht="15.75" thickBot="1" x14ac:dyDescent="0.3">
      <c r="B72" s="17" t="s">
        <v>24</v>
      </c>
      <c r="C72" s="1561" t="s">
        <v>1</v>
      </c>
      <c r="D72" s="1562"/>
      <c r="E72" s="1562"/>
      <c r="F72" s="1562"/>
      <c r="G72" s="1562"/>
      <c r="H72" s="1562"/>
      <c r="I72" s="1562"/>
      <c r="J72" s="1562"/>
      <c r="K72" s="1562"/>
      <c r="L72" s="1563"/>
      <c r="M72" s="3"/>
      <c r="N72" s="3"/>
      <c r="O72" s="3"/>
      <c r="P72" s="3"/>
      <c r="Q72" s="19"/>
      <c r="S72" s="17" t="s">
        <v>24</v>
      </c>
      <c r="T72" s="63" t="s">
        <v>1</v>
      </c>
      <c r="U72" s="64"/>
      <c r="V72" s="64"/>
      <c r="W72" s="64"/>
      <c r="X72" s="64"/>
      <c r="Y72" s="64"/>
      <c r="Z72" s="64"/>
      <c r="AA72" s="64"/>
      <c r="AB72" s="64"/>
      <c r="AC72" s="73"/>
    </row>
    <row r="73" spans="2:29" ht="30.75" thickBot="1" x14ac:dyDescent="0.3">
      <c r="B73" s="17" t="s">
        <v>2</v>
      </c>
      <c r="C73" s="18" t="s">
        <v>3</v>
      </c>
      <c r="D73" s="18" t="s">
        <v>25</v>
      </c>
      <c r="E73" s="18" t="s">
        <v>25</v>
      </c>
      <c r="F73" s="18" t="s">
        <v>25</v>
      </c>
      <c r="G73" s="18" t="s">
        <v>26</v>
      </c>
      <c r="H73" s="18" t="s">
        <v>26</v>
      </c>
      <c r="I73" s="18" t="s">
        <v>26</v>
      </c>
      <c r="J73" s="18" t="s">
        <v>27</v>
      </c>
      <c r="K73" s="18" t="s">
        <v>27</v>
      </c>
      <c r="L73" s="18" t="s">
        <v>27</v>
      </c>
      <c r="M73" s="3"/>
      <c r="N73" s="3"/>
      <c r="O73" s="3"/>
      <c r="P73" s="3"/>
      <c r="Q73" s="19"/>
      <c r="S73" s="17" t="s">
        <v>2</v>
      </c>
      <c r="T73" s="18" t="s">
        <v>3</v>
      </c>
      <c r="U73" s="18" t="s">
        <v>25</v>
      </c>
      <c r="V73" s="18" t="s">
        <v>25</v>
      </c>
      <c r="W73" s="18" t="s">
        <v>25</v>
      </c>
      <c r="X73" s="18" t="s">
        <v>26</v>
      </c>
      <c r="Y73" s="18" t="s">
        <v>26</v>
      </c>
      <c r="Z73" s="18" t="s">
        <v>26</v>
      </c>
      <c r="AA73" s="18" t="s">
        <v>27</v>
      </c>
      <c r="AB73" s="18" t="s">
        <v>27</v>
      </c>
      <c r="AC73" s="18" t="s">
        <v>27</v>
      </c>
    </row>
    <row r="74" spans="2:29" ht="15.75" thickBot="1" x14ac:dyDescent="0.3">
      <c r="B74" s="17" t="s">
        <v>5</v>
      </c>
      <c r="C74" s="18">
        <v>300000</v>
      </c>
      <c r="D74" s="18">
        <v>150000</v>
      </c>
      <c r="E74" s="18">
        <v>150000</v>
      </c>
      <c r="F74" s="18">
        <v>150000</v>
      </c>
      <c r="G74" s="18">
        <v>75000</v>
      </c>
      <c r="H74" s="18">
        <v>75000</v>
      </c>
      <c r="I74" s="18">
        <v>75000</v>
      </c>
      <c r="J74" s="18">
        <v>40000</v>
      </c>
      <c r="K74" s="18">
        <v>40000</v>
      </c>
      <c r="L74" s="18">
        <v>40000</v>
      </c>
      <c r="M74" s="3"/>
      <c r="N74" s="3"/>
      <c r="O74" s="3"/>
      <c r="P74" s="3"/>
      <c r="Q74" s="19"/>
      <c r="S74" s="17" t="s">
        <v>5</v>
      </c>
      <c r="T74" s="18">
        <v>300000</v>
      </c>
      <c r="U74" s="18">
        <v>150000</v>
      </c>
      <c r="V74" s="18">
        <v>150000</v>
      </c>
      <c r="W74" s="18">
        <v>150000</v>
      </c>
      <c r="X74" s="18">
        <v>75000</v>
      </c>
      <c r="Y74" s="18">
        <v>75000</v>
      </c>
      <c r="Z74" s="18">
        <v>75000</v>
      </c>
      <c r="AA74" s="18">
        <v>40000</v>
      </c>
      <c r="AB74" s="18">
        <v>40000</v>
      </c>
      <c r="AC74" s="18">
        <v>40000</v>
      </c>
    </row>
    <row r="75" spans="2:29" ht="15.75" thickBot="1" x14ac:dyDescent="0.3">
      <c r="B75" s="17" t="s">
        <v>6</v>
      </c>
      <c r="C75" s="18" t="s">
        <v>21</v>
      </c>
      <c r="D75" s="18" t="s">
        <v>21</v>
      </c>
      <c r="E75" s="18" t="s">
        <v>28</v>
      </c>
      <c r="F75" s="18" t="s">
        <v>29</v>
      </c>
      <c r="G75" s="18" t="s">
        <v>21</v>
      </c>
      <c r="H75" s="18" t="s">
        <v>28</v>
      </c>
      <c r="I75" s="18" t="s">
        <v>29</v>
      </c>
      <c r="J75" s="18" t="s">
        <v>21</v>
      </c>
      <c r="K75" s="18" t="s">
        <v>28</v>
      </c>
      <c r="L75" s="18" t="s">
        <v>29</v>
      </c>
      <c r="M75" s="3"/>
      <c r="N75" s="3"/>
      <c r="O75" s="3"/>
      <c r="P75" s="3"/>
      <c r="Q75" s="19"/>
      <c r="S75" s="17" t="s">
        <v>6</v>
      </c>
      <c r="T75" s="18" t="s">
        <v>21</v>
      </c>
      <c r="U75" s="18" t="s">
        <v>21</v>
      </c>
      <c r="V75" s="18" t="s">
        <v>28</v>
      </c>
      <c r="W75" s="18" t="s">
        <v>29</v>
      </c>
      <c r="X75" s="18" t="s">
        <v>21</v>
      </c>
      <c r="Y75" s="18" t="s">
        <v>28</v>
      </c>
      <c r="Z75" s="18" t="s">
        <v>29</v>
      </c>
      <c r="AA75" s="18" t="s">
        <v>21</v>
      </c>
      <c r="AB75" s="18" t="s">
        <v>28</v>
      </c>
      <c r="AC75" s="18" t="s">
        <v>29</v>
      </c>
    </row>
    <row r="76" spans="2:29" ht="15.75" thickBot="1" x14ac:dyDescent="0.3">
      <c r="B76" s="12" t="s">
        <v>8</v>
      </c>
      <c r="C76" s="11">
        <v>913</v>
      </c>
      <c r="D76" s="11">
        <v>445</v>
      </c>
      <c r="E76" s="11">
        <v>340</v>
      </c>
      <c r="F76" s="11">
        <v>289</v>
      </c>
      <c r="G76" s="11">
        <v>421</v>
      </c>
      <c r="H76" s="11">
        <v>321</v>
      </c>
      <c r="I76" s="11">
        <v>273</v>
      </c>
      <c r="J76" s="11">
        <v>389</v>
      </c>
      <c r="K76" s="11">
        <v>297</v>
      </c>
      <c r="L76" s="11">
        <v>252</v>
      </c>
      <c r="M76" s="3"/>
      <c r="N76" s="3"/>
      <c r="O76" s="3"/>
      <c r="P76" s="3"/>
      <c r="Q76" s="19"/>
      <c r="S76" s="12" t="s">
        <v>8</v>
      </c>
      <c r="T76" s="11">
        <v>913</v>
      </c>
      <c r="U76" s="11">
        <v>445</v>
      </c>
      <c r="V76" s="11">
        <v>340</v>
      </c>
      <c r="W76" s="11">
        <v>289</v>
      </c>
      <c r="X76" s="11">
        <v>421</v>
      </c>
      <c r="Y76" s="11">
        <v>321</v>
      </c>
      <c r="Z76" s="11">
        <v>273</v>
      </c>
      <c r="AA76" s="11">
        <v>389</v>
      </c>
      <c r="AB76" s="11">
        <v>297</v>
      </c>
      <c r="AC76" s="11">
        <v>252</v>
      </c>
    </row>
    <row r="77" spans="2:29" ht="15.75" thickBot="1" x14ac:dyDescent="0.3">
      <c r="B77" s="12" t="s">
        <v>9</v>
      </c>
      <c r="C77" s="11">
        <v>1445</v>
      </c>
      <c r="D77" s="11">
        <v>705</v>
      </c>
      <c r="E77" s="11">
        <v>492</v>
      </c>
      <c r="F77" s="11">
        <v>418</v>
      </c>
      <c r="G77" s="11">
        <v>666</v>
      </c>
      <c r="H77" s="11">
        <v>465</v>
      </c>
      <c r="I77" s="11">
        <v>395</v>
      </c>
      <c r="J77" s="11">
        <v>618</v>
      </c>
      <c r="K77" s="11">
        <v>430</v>
      </c>
      <c r="L77" s="11">
        <v>386</v>
      </c>
      <c r="M77" s="3"/>
      <c r="N77" s="3"/>
      <c r="O77" s="3"/>
      <c r="P77" s="3"/>
      <c r="Q77" s="19"/>
      <c r="S77" s="12" t="s">
        <v>9</v>
      </c>
      <c r="T77" s="11">
        <v>1734</v>
      </c>
      <c r="U77" s="11">
        <v>848</v>
      </c>
      <c r="V77" s="11">
        <v>590</v>
      </c>
      <c r="W77" s="11">
        <v>502</v>
      </c>
      <c r="X77" s="11">
        <v>799</v>
      </c>
      <c r="Y77" s="11">
        <v>558</v>
      </c>
      <c r="Z77" s="11">
        <v>474</v>
      </c>
      <c r="AA77" s="11">
        <v>739</v>
      </c>
      <c r="AB77" s="11">
        <v>516</v>
      </c>
      <c r="AC77" s="11">
        <v>439</v>
      </c>
    </row>
    <row r="78" spans="2:29" ht="15.75" thickBot="1" x14ac:dyDescent="0.3">
      <c r="B78" s="12" t="s">
        <v>10</v>
      </c>
      <c r="C78" s="11">
        <v>1734</v>
      </c>
      <c r="D78" s="11">
        <v>846</v>
      </c>
      <c r="E78" s="11">
        <v>590</v>
      </c>
      <c r="F78" s="11">
        <v>502</v>
      </c>
      <c r="G78" s="11">
        <v>799</v>
      </c>
      <c r="H78" s="11">
        <v>558</v>
      </c>
      <c r="I78" s="11">
        <v>474</v>
      </c>
      <c r="J78" s="11">
        <v>739</v>
      </c>
      <c r="K78" s="11">
        <v>516</v>
      </c>
      <c r="L78" s="11">
        <v>439</v>
      </c>
      <c r="M78" s="3"/>
      <c r="N78" s="3"/>
      <c r="O78" s="3"/>
      <c r="P78" s="3"/>
      <c r="Q78" s="19"/>
      <c r="S78" s="12" t="s">
        <v>10</v>
      </c>
      <c r="T78" s="11">
        <v>2081</v>
      </c>
      <c r="U78" s="11">
        <v>1015</v>
      </c>
      <c r="V78" s="11">
        <v>709</v>
      </c>
      <c r="W78" s="11">
        <v>602</v>
      </c>
      <c r="X78" s="11">
        <v>959</v>
      </c>
      <c r="Y78" s="11">
        <v>670</v>
      </c>
      <c r="Z78" s="11">
        <v>569</v>
      </c>
      <c r="AA78" s="11">
        <v>887</v>
      </c>
      <c r="AB78" s="11">
        <v>619</v>
      </c>
      <c r="AC78" s="11">
        <v>526</v>
      </c>
    </row>
    <row r="79" spans="2:29" ht="15.75" thickBot="1" x14ac:dyDescent="0.3">
      <c r="B79" s="12" t="s">
        <v>11</v>
      </c>
      <c r="C79" s="11">
        <v>2310</v>
      </c>
      <c r="D79" s="11">
        <v>1127</v>
      </c>
      <c r="E79" s="11">
        <v>787</v>
      </c>
      <c r="F79" s="11">
        <v>669</v>
      </c>
      <c r="G79" s="11">
        <v>1065</v>
      </c>
      <c r="H79" s="11">
        <v>743</v>
      </c>
      <c r="I79" s="11">
        <v>632</v>
      </c>
      <c r="J79" s="11">
        <v>985</v>
      </c>
      <c r="K79" s="11">
        <v>688</v>
      </c>
      <c r="L79" s="11">
        <v>584</v>
      </c>
      <c r="M79" s="3"/>
      <c r="N79" s="3"/>
      <c r="O79" s="3"/>
      <c r="P79" s="3"/>
      <c r="Q79" s="19"/>
      <c r="S79" s="12" t="s">
        <v>11</v>
      </c>
      <c r="T79" s="11">
        <v>2772</v>
      </c>
      <c r="U79" s="11">
        <v>1352</v>
      </c>
      <c r="V79" s="11">
        <v>944</v>
      </c>
      <c r="W79" s="11">
        <v>802</v>
      </c>
      <c r="X79" s="11">
        <v>1278</v>
      </c>
      <c r="Y79" s="11">
        <v>892</v>
      </c>
      <c r="Z79" s="11">
        <v>758</v>
      </c>
      <c r="AA79" s="11">
        <v>1182</v>
      </c>
      <c r="AB79" s="11">
        <v>825</v>
      </c>
      <c r="AC79" s="11">
        <v>701</v>
      </c>
    </row>
    <row r="80" spans="2:29" ht="15.75" thickBot="1" x14ac:dyDescent="0.3">
      <c r="B80" s="12" t="s">
        <v>12</v>
      </c>
      <c r="C80" s="11">
        <v>3314</v>
      </c>
      <c r="D80" s="11">
        <v>1617</v>
      </c>
      <c r="E80" s="11">
        <v>1128</v>
      </c>
      <c r="F80" s="11">
        <v>959</v>
      </c>
      <c r="G80" s="11">
        <v>1528</v>
      </c>
      <c r="H80" s="11">
        <v>1066</v>
      </c>
      <c r="I80" s="11">
        <v>906</v>
      </c>
      <c r="J80" s="11">
        <v>1413</v>
      </c>
      <c r="K80" s="11">
        <v>988</v>
      </c>
      <c r="L80" s="11">
        <v>838</v>
      </c>
      <c r="M80" s="3"/>
      <c r="N80" s="3"/>
      <c r="O80" s="3"/>
      <c r="P80" s="3"/>
      <c r="Q80" s="19"/>
      <c r="S80" s="12" t="s">
        <v>12</v>
      </c>
      <c r="T80" s="11">
        <v>3977</v>
      </c>
      <c r="U80" s="11">
        <v>1940</v>
      </c>
      <c r="V80" s="11">
        <v>1354</v>
      </c>
      <c r="W80" s="11">
        <v>1151</v>
      </c>
      <c r="X80" s="11">
        <v>1833</v>
      </c>
      <c r="Y80" s="11">
        <v>1280</v>
      </c>
      <c r="Z80" s="11">
        <v>1088</v>
      </c>
      <c r="AA80" s="11">
        <v>1696</v>
      </c>
      <c r="AB80" s="11">
        <v>1184</v>
      </c>
      <c r="AC80" s="11">
        <v>1006</v>
      </c>
    </row>
    <row r="81" spans="1:34" ht="15.75" thickBot="1" x14ac:dyDescent="0.3">
      <c r="B81" s="12" t="s">
        <v>13</v>
      </c>
      <c r="C81" s="11">
        <v>4970</v>
      </c>
      <c r="D81" s="11">
        <v>2425</v>
      </c>
      <c r="E81" s="11">
        <v>1692</v>
      </c>
      <c r="F81" s="11">
        <v>1438</v>
      </c>
      <c r="G81" s="11">
        <v>2291</v>
      </c>
      <c r="H81" s="11">
        <v>1599</v>
      </c>
      <c r="I81" s="11">
        <v>1359</v>
      </c>
      <c r="J81" s="11">
        <v>2119</v>
      </c>
      <c r="K81" s="11">
        <v>1479</v>
      </c>
      <c r="L81" s="11">
        <v>1257</v>
      </c>
      <c r="M81" s="3"/>
      <c r="N81" s="3"/>
      <c r="O81" s="3"/>
      <c r="P81" s="3"/>
      <c r="Q81" s="19"/>
      <c r="S81" s="12" t="s">
        <v>13</v>
      </c>
      <c r="T81" s="11">
        <v>5964</v>
      </c>
      <c r="U81" s="11">
        <v>2909</v>
      </c>
      <c r="V81" s="11">
        <v>2031</v>
      </c>
      <c r="W81" s="11">
        <v>1726</v>
      </c>
      <c r="X81" s="11">
        <v>2749</v>
      </c>
      <c r="Y81" s="11">
        <v>1919</v>
      </c>
      <c r="Z81" s="11">
        <v>1631</v>
      </c>
      <c r="AA81" s="11">
        <v>2543</v>
      </c>
      <c r="AB81" s="11">
        <v>1775</v>
      </c>
      <c r="AC81" s="11">
        <v>1509</v>
      </c>
    </row>
    <row r="82" spans="1:34" ht="15.75" thickBot="1" x14ac:dyDescent="0.3">
      <c r="B82" s="12" t="s">
        <v>14</v>
      </c>
      <c r="C82" s="11">
        <v>6710</v>
      </c>
      <c r="D82" s="11">
        <v>3273</v>
      </c>
      <c r="E82" s="11">
        <v>2285</v>
      </c>
      <c r="F82" s="11">
        <v>1942</v>
      </c>
      <c r="G82" s="11">
        <v>3093</v>
      </c>
      <c r="H82" s="11">
        <v>2159</v>
      </c>
      <c r="I82" s="11">
        <v>1835</v>
      </c>
      <c r="J82" s="11">
        <v>2861</v>
      </c>
      <c r="K82" s="11">
        <v>1997</v>
      </c>
      <c r="L82" s="11">
        <v>1697</v>
      </c>
      <c r="M82" s="3"/>
      <c r="N82" s="3"/>
      <c r="O82" s="3"/>
      <c r="P82" s="3"/>
      <c r="Q82" s="19"/>
      <c r="S82" s="12" t="s">
        <v>14</v>
      </c>
      <c r="T82" s="11">
        <v>8052</v>
      </c>
      <c r="U82" s="11">
        <v>3928</v>
      </c>
      <c r="V82" s="11">
        <v>2742</v>
      </c>
      <c r="W82" s="11">
        <v>2330</v>
      </c>
      <c r="X82" s="11">
        <v>3712</v>
      </c>
      <c r="Y82" s="11">
        <v>2591</v>
      </c>
      <c r="Z82" s="11">
        <v>2202</v>
      </c>
      <c r="AA82" s="11">
        <v>3433</v>
      </c>
      <c r="AB82" s="11">
        <v>2396</v>
      </c>
      <c r="AC82" s="11">
        <v>2037</v>
      </c>
    </row>
    <row r="83" spans="1:34" ht="15.75" thickBot="1" x14ac:dyDescent="0.3">
      <c r="B83" s="12" t="s">
        <v>15</v>
      </c>
      <c r="C83" s="11">
        <v>8671</v>
      </c>
      <c r="D83" s="11">
        <v>4230</v>
      </c>
      <c r="E83" s="11">
        <v>2952</v>
      </c>
      <c r="F83" s="11">
        <v>2509</v>
      </c>
      <c r="G83" s="11">
        <v>3997</v>
      </c>
      <c r="H83" s="11">
        <v>2790</v>
      </c>
      <c r="I83" s="11">
        <v>2371</v>
      </c>
      <c r="J83" s="11">
        <v>3697</v>
      </c>
      <c r="K83" s="11">
        <v>2561</v>
      </c>
      <c r="L83" s="11">
        <v>2194</v>
      </c>
      <c r="M83" s="3"/>
      <c r="N83" s="3"/>
      <c r="O83" s="3"/>
      <c r="P83" s="3"/>
      <c r="Q83" s="19"/>
      <c r="S83" s="12" t="s">
        <v>15</v>
      </c>
      <c r="T83" s="11">
        <v>10405</v>
      </c>
      <c r="U83" s="11">
        <v>5078</v>
      </c>
      <c r="V83" s="11">
        <v>3543</v>
      </c>
      <c r="W83" s="11">
        <v>3011</v>
      </c>
      <c r="X83" s="11">
        <v>4797</v>
      </c>
      <c r="Y83" s="11">
        <v>3348</v>
      </c>
      <c r="Z83" s="11">
        <v>2846</v>
      </c>
      <c r="AA83" s="11">
        <v>4437</v>
      </c>
      <c r="AB83" s="11">
        <v>3097</v>
      </c>
      <c r="AC83" s="11">
        <v>2632</v>
      </c>
    </row>
    <row r="84" spans="1:34" ht="15.75" thickBot="1" x14ac:dyDescent="0.3">
      <c r="B84" s="12" t="s">
        <v>16</v>
      </c>
      <c r="C84" s="11">
        <v>11272</v>
      </c>
      <c r="D84" s="11">
        <v>5499</v>
      </c>
      <c r="E84" s="11">
        <v>3838</v>
      </c>
      <c r="F84" s="11">
        <v>3262</v>
      </c>
      <c r="G84" s="11">
        <v>5196</v>
      </c>
      <c r="H84" s="11">
        <v>3627</v>
      </c>
      <c r="I84" s="11">
        <v>3083</v>
      </c>
      <c r="J84" s="11">
        <v>4807</v>
      </c>
      <c r="K84" s="11">
        <v>3355</v>
      </c>
      <c r="L84" s="11">
        <v>2852</v>
      </c>
      <c r="M84" s="3"/>
      <c r="N84" s="3"/>
      <c r="O84" s="3"/>
      <c r="P84" s="3"/>
      <c r="Q84" s="19" t="s">
        <v>150</v>
      </c>
      <c r="S84" s="12" t="s">
        <v>16</v>
      </c>
      <c r="T84" s="11">
        <v>13527</v>
      </c>
      <c r="U84" s="11">
        <v>6598</v>
      </c>
      <c r="V84" s="11">
        <v>4606</v>
      </c>
      <c r="W84" s="11">
        <v>3915</v>
      </c>
      <c r="X84" s="11">
        <v>6235</v>
      </c>
      <c r="Y84" s="11">
        <v>4352</v>
      </c>
      <c r="Z84" s="11">
        <v>3699</v>
      </c>
      <c r="AA84" s="11">
        <v>5768</v>
      </c>
      <c r="AB84" s="11">
        <v>4026</v>
      </c>
      <c r="AC84" s="11">
        <v>3422</v>
      </c>
    </row>
    <row r="85" spans="1:34" ht="15.75" thickBot="1" x14ac:dyDescent="0.3">
      <c r="B85" s="12" t="s">
        <v>17</v>
      </c>
      <c r="C85" s="11">
        <v>13874</v>
      </c>
      <c r="D85" s="11">
        <v>6768</v>
      </c>
      <c r="E85" s="11">
        <v>4724</v>
      </c>
      <c r="F85" s="11">
        <v>4015</v>
      </c>
      <c r="G85" s="11">
        <v>6395</v>
      </c>
      <c r="H85" s="11">
        <v>4464</v>
      </c>
      <c r="I85" s="11">
        <v>3794</v>
      </c>
      <c r="J85" s="11">
        <v>5918</v>
      </c>
      <c r="K85" s="11">
        <v>4129</v>
      </c>
      <c r="L85" s="11">
        <v>3510</v>
      </c>
      <c r="M85" s="3"/>
      <c r="N85" s="3"/>
      <c r="O85" s="3"/>
      <c r="P85" s="3"/>
      <c r="Q85" s="19"/>
      <c r="S85" s="12" t="s">
        <v>17</v>
      </c>
      <c r="T85" s="11">
        <v>16648</v>
      </c>
      <c r="U85" s="11">
        <v>8121</v>
      </c>
      <c r="V85" s="11">
        <v>5668</v>
      </c>
      <c r="W85" s="11">
        <v>4816</v>
      </c>
      <c r="X85" s="11">
        <v>7674</v>
      </c>
      <c r="Y85" s="11">
        <v>5357</v>
      </c>
      <c r="Z85" s="11">
        <v>4553</v>
      </c>
      <c r="AA85" s="11">
        <v>7099</v>
      </c>
      <c r="AB85" s="11">
        <v>4955</v>
      </c>
      <c r="AC85" s="11">
        <v>4212</v>
      </c>
    </row>
    <row r="86" spans="1:34" ht="15.75" thickBot="1" x14ac:dyDescent="0.3">
      <c r="B86" s="12" t="s">
        <v>18</v>
      </c>
      <c r="C86" s="11">
        <v>18209</v>
      </c>
      <c r="D86" s="11">
        <v>8882</v>
      </c>
      <c r="E86" s="11">
        <v>6200</v>
      </c>
      <c r="F86" s="11">
        <v>5270</v>
      </c>
      <c r="G86" s="11">
        <v>8394</v>
      </c>
      <c r="H86" s="11">
        <v>5859</v>
      </c>
      <c r="I86" s="11">
        <v>4980</v>
      </c>
      <c r="J86" s="11">
        <v>7764</v>
      </c>
      <c r="K86" s="11">
        <v>5419</v>
      </c>
      <c r="L86" s="11">
        <v>4607</v>
      </c>
      <c r="M86" s="3"/>
      <c r="N86" s="3"/>
      <c r="O86" s="3"/>
      <c r="P86" s="3"/>
      <c r="Q86" s="19"/>
      <c r="S86" s="12" t="s">
        <v>18</v>
      </c>
      <c r="T86" s="11">
        <v>21851</v>
      </c>
      <c r="U86" s="11">
        <v>10659</v>
      </c>
      <c r="V86" s="11">
        <v>7440</v>
      </c>
      <c r="W86" s="11">
        <v>6324</v>
      </c>
      <c r="X86" s="11">
        <v>10073</v>
      </c>
      <c r="Y86" s="11">
        <v>7031</v>
      </c>
      <c r="Z86" s="11">
        <v>5976</v>
      </c>
      <c r="AA86" s="11">
        <v>9317</v>
      </c>
      <c r="AB86" s="11">
        <v>6503</v>
      </c>
      <c r="AC86" s="11">
        <v>5528</v>
      </c>
    </row>
    <row r="87" spans="1:34" ht="15.75" thickBot="1" x14ac:dyDescent="0.3">
      <c r="M87" s="3"/>
      <c r="N87" s="3"/>
      <c r="O87" s="3"/>
      <c r="P87" s="3"/>
    </row>
    <row r="88" spans="1:34" ht="15.75" thickBot="1" x14ac:dyDescent="0.3">
      <c r="B88" s="13" t="s">
        <v>0</v>
      </c>
      <c r="M88" s="3"/>
      <c r="N88" s="3"/>
      <c r="O88" s="3"/>
      <c r="P88" s="3"/>
      <c r="S88" s="13" t="s">
        <v>19</v>
      </c>
      <c r="AD88" s="3"/>
      <c r="AE88" s="3"/>
      <c r="AF88" s="3"/>
      <c r="AG88" s="3"/>
    </row>
    <row r="89" spans="1:34" ht="15.75" customHeight="1" thickBot="1" x14ac:dyDescent="0.3">
      <c r="A89" t="s">
        <v>32</v>
      </c>
      <c r="B89" s="91" t="s">
        <v>149</v>
      </c>
      <c r="C89" s="1561" t="s">
        <v>4</v>
      </c>
      <c r="D89" s="1562"/>
      <c r="E89" s="1562"/>
      <c r="F89" s="1562"/>
      <c r="G89" s="1562"/>
      <c r="H89" s="1562"/>
      <c r="I89" s="1562"/>
      <c r="J89" s="1562"/>
      <c r="K89" s="1562"/>
      <c r="L89" s="1562"/>
      <c r="M89" s="1562"/>
      <c r="N89" s="1562"/>
      <c r="O89" s="1562"/>
      <c r="P89" s="1562"/>
      <c r="Q89" s="1563"/>
      <c r="S89" s="91" t="s">
        <v>149</v>
      </c>
      <c r="T89" s="63" t="s">
        <v>4</v>
      </c>
      <c r="U89" s="64"/>
      <c r="V89" s="64"/>
      <c r="W89" s="64"/>
      <c r="X89" s="64"/>
      <c r="Y89" s="64"/>
      <c r="Z89" s="64"/>
      <c r="AA89" s="64"/>
      <c r="AB89" s="64"/>
      <c r="AC89" s="64"/>
      <c r="AD89" s="64"/>
      <c r="AE89" s="64"/>
      <c r="AF89" s="64"/>
      <c r="AG89" s="64"/>
      <c r="AH89" s="65"/>
    </row>
    <row r="90" spans="1:34" ht="30.75" customHeight="1" thickBot="1" x14ac:dyDescent="0.3">
      <c r="A90" t="s">
        <v>24</v>
      </c>
      <c r="B90" s="79" t="s">
        <v>36</v>
      </c>
      <c r="C90" s="81">
        <v>50</v>
      </c>
      <c r="D90" s="82">
        <v>50</v>
      </c>
      <c r="E90" s="84">
        <v>50</v>
      </c>
      <c r="F90" s="81">
        <v>75</v>
      </c>
      <c r="G90" s="82">
        <v>75</v>
      </c>
      <c r="H90" s="83">
        <v>75</v>
      </c>
      <c r="I90" s="81">
        <v>100</v>
      </c>
      <c r="J90" s="82">
        <v>100</v>
      </c>
      <c r="K90" s="83">
        <v>100</v>
      </c>
      <c r="L90" s="81">
        <v>150</v>
      </c>
      <c r="M90" s="82">
        <v>150</v>
      </c>
      <c r="N90" s="83">
        <v>150</v>
      </c>
      <c r="O90" s="85">
        <v>200</v>
      </c>
      <c r="P90" s="82">
        <v>200</v>
      </c>
      <c r="Q90" s="83">
        <v>200</v>
      </c>
      <c r="S90" s="79" t="s">
        <v>36</v>
      </c>
      <c r="T90" s="81">
        <v>50</v>
      </c>
      <c r="U90" s="82">
        <v>50</v>
      </c>
      <c r="V90" s="84">
        <v>50</v>
      </c>
      <c r="W90" s="81">
        <v>75</v>
      </c>
      <c r="X90" s="82">
        <v>75</v>
      </c>
      <c r="Y90" s="83">
        <v>75</v>
      </c>
      <c r="Z90" s="81">
        <v>100</v>
      </c>
      <c r="AA90" s="82">
        <v>100</v>
      </c>
      <c r="AB90" s="83">
        <v>100</v>
      </c>
      <c r="AC90" s="81">
        <v>150</v>
      </c>
      <c r="AD90" s="82">
        <v>150</v>
      </c>
      <c r="AE90" s="83">
        <v>150</v>
      </c>
      <c r="AF90" s="85">
        <v>200</v>
      </c>
      <c r="AG90" s="82">
        <v>200</v>
      </c>
      <c r="AH90" s="83">
        <v>200</v>
      </c>
    </row>
    <row r="91" spans="1:34" ht="15.75" thickBot="1" x14ac:dyDescent="0.3">
      <c r="B91" s="79" t="s">
        <v>6</v>
      </c>
      <c r="C91" s="86" t="s">
        <v>21</v>
      </c>
      <c r="D91" s="87" t="s">
        <v>28</v>
      </c>
      <c r="E91" s="88" t="s">
        <v>29</v>
      </c>
      <c r="F91" s="86" t="s">
        <v>21</v>
      </c>
      <c r="G91" s="87" t="s">
        <v>28</v>
      </c>
      <c r="H91" s="89" t="s">
        <v>29</v>
      </c>
      <c r="I91" s="86" t="s">
        <v>21</v>
      </c>
      <c r="J91" s="87" t="s">
        <v>28</v>
      </c>
      <c r="K91" s="89" t="s">
        <v>29</v>
      </c>
      <c r="L91" s="86" t="s">
        <v>21</v>
      </c>
      <c r="M91" s="87" t="s">
        <v>28</v>
      </c>
      <c r="N91" s="89" t="s">
        <v>29</v>
      </c>
      <c r="O91" s="90" t="s">
        <v>21</v>
      </c>
      <c r="P91" s="87" t="s">
        <v>28</v>
      </c>
      <c r="Q91" s="89" t="s">
        <v>29</v>
      </c>
      <c r="S91" s="79" t="s">
        <v>6</v>
      </c>
      <c r="T91" s="86" t="s">
        <v>21</v>
      </c>
      <c r="U91" s="87" t="s">
        <v>28</v>
      </c>
      <c r="V91" s="88" t="s">
        <v>29</v>
      </c>
      <c r="W91" s="86" t="s">
        <v>21</v>
      </c>
      <c r="X91" s="87" t="s">
        <v>28</v>
      </c>
      <c r="Y91" s="89" t="s">
        <v>29</v>
      </c>
      <c r="Z91" s="86" t="s">
        <v>21</v>
      </c>
      <c r="AA91" s="87" t="s">
        <v>28</v>
      </c>
      <c r="AB91" s="89" t="s">
        <v>29</v>
      </c>
      <c r="AC91" s="86" t="s">
        <v>21</v>
      </c>
      <c r="AD91" s="87" t="s">
        <v>28</v>
      </c>
      <c r="AE91" s="89" t="s">
        <v>29</v>
      </c>
      <c r="AF91" s="90" t="s">
        <v>21</v>
      </c>
      <c r="AG91" s="87" t="s">
        <v>28</v>
      </c>
      <c r="AH91" s="89" t="s">
        <v>29</v>
      </c>
    </row>
    <row r="92" spans="1:34" ht="15.75" thickBot="1" x14ac:dyDescent="0.3">
      <c r="B92" s="80" t="s">
        <v>8</v>
      </c>
      <c r="C92" s="92">
        <v>2079</v>
      </c>
      <c r="D92" s="93">
        <v>1189</v>
      </c>
      <c r="E92" s="94">
        <v>1011</v>
      </c>
      <c r="F92" s="92">
        <v>1771</v>
      </c>
      <c r="G92" s="93">
        <v>1166</v>
      </c>
      <c r="H92" s="95">
        <v>993</v>
      </c>
      <c r="I92" s="92">
        <v>1403</v>
      </c>
      <c r="J92" s="93">
        <v>1045</v>
      </c>
      <c r="K92" s="95">
        <v>888</v>
      </c>
      <c r="L92" s="92">
        <v>1252</v>
      </c>
      <c r="M92" s="96">
        <v>934</v>
      </c>
      <c r="N92" s="97">
        <v>794</v>
      </c>
      <c r="O92" s="98">
        <v>1075</v>
      </c>
      <c r="P92" s="96">
        <v>833</v>
      </c>
      <c r="Q92" s="95">
        <v>708</v>
      </c>
      <c r="S92" s="80" t="s">
        <v>8</v>
      </c>
      <c r="T92" s="92">
        <v>2079</v>
      </c>
      <c r="U92" s="93">
        <v>1189</v>
      </c>
      <c r="V92" s="94">
        <v>1011</v>
      </c>
      <c r="W92" s="92">
        <v>1771</v>
      </c>
      <c r="X92" s="93">
        <v>1188</v>
      </c>
      <c r="Y92" s="95">
        <v>993</v>
      </c>
      <c r="Z92" s="92">
        <v>1483</v>
      </c>
      <c r="AA92" s="93">
        <v>1045</v>
      </c>
      <c r="AB92" s="95">
        <v>888</v>
      </c>
      <c r="AC92" s="92">
        <v>1282</v>
      </c>
      <c r="AD92" s="96">
        <v>934</v>
      </c>
      <c r="AE92" s="97">
        <v>794</v>
      </c>
      <c r="AF92" s="98">
        <v>1075</v>
      </c>
      <c r="AG92" s="96">
        <v>833</v>
      </c>
      <c r="AH92" s="95">
        <v>708</v>
      </c>
    </row>
    <row r="93" spans="1:34" ht="15.75" thickBot="1" x14ac:dyDescent="0.3">
      <c r="B93" s="80" t="s">
        <v>9</v>
      </c>
      <c r="C93" s="99">
        <v>2068</v>
      </c>
      <c r="D93" s="53">
        <v>1077</v>
      </c>
      <c r="E93" s="100">
        <v>916</v>
      </c>
      <c r="F93" s="99">
        <v>1762</v>
      </c>
      <c r="G93" s="53">
        <v>1068</v>
      </c>
      <c r="H93" s="101">
        <v>900</v>
      </c>
      <c r="I93" s="99">
        <v>1488</v>
      </c>
      <c r="J93" s="53">
        <v>945</v>
      </c>
      <c r="K93" s="101">
        <v>803</v>
      </c>
      <c r="L93" s="99">
        <v>1249</v>
      </c>
      <c r="M93" s="53">
        <v>845</v>
      </c>
      <c r="N93" s="101">
        <v>718</v>
      </c>
      <c r="O93" s="102">
        <v>1063</v>
      </c>
      <c r="P93" s="53">
        <v>754</v>
      </c>
      <c r="Q93" s="101">
        <v>641</v>
      </c>
      <c r="S93" s="80" t="s">
        <v>9</v>
      </c>
      <c r="T93" s="99">
        <v>2470</v>
      </c>
      <c r="U93" s="53">
        <v>1293</v>
      </c>
      <c r="V93" s="100">
        <v>1099</v>
      </c>
      <c r="W93" s="99">
        <v>2102</v>
      </c>
      <c r="X93" s="53">
        <v>1270</v>
      </c>
      <c r="Y93" s="101">
        <v>1079</v>
      </c>
      <c r="Z93" s="99">
        <v>1761</v>
      </c>
      <c r="AA93" s="53">
        <v>1134</v>
      </c>
      <c r="AB93" s="101">
        <v>954</v>
      </c>
      <c r="AC93" s="99">
        <v>1499</v>
      </c>
      <c r="AD93" s="53">
        <v>1014</v>
      </c>
      <c r="AE93" s="101">
        <v>861</v>
      </c>
      <c r="AF93" s="102">
        <v>1276</v>
      </c>
      <c r="AG93" s="53">
        <v>905</v>
      </c>
      <c r="AH93" s="101">
        <v>769</v>
      </c>
    </row>
    <row r="94" spans="1:34" ht="15.75" thickBot="1" x14ac:dyDescent="0.3">
      <c r="B94" s="80" t="s">
        <v>10</v>
      </c>
      <c r="C94" s="99">
        <v>2055</v>
      </c>
      <c r="D94" s="53">
        <v>1077</v>
      </c>
      <c r="E94" s="100">
        <v>916</v>
      </c>
      <c r="F94" s="99">
        <v>1762</v>
      </c>
      <c r="G94" s="53">
        <v>1055</v>
      </c>
      <c r="H94" s="101">
        <v>900</v>
      </c>
      <c r="I94" s="99">
        <v>1488</v>
      </c>
      <c r="J94" s="53">
        <v>945</v>
      </c>
      <c r="K94" s="101">
        <v>803</v>
      </c>
      <c r="L94" s="99">
        <v>1249</v>
      </c>
      <c r="M94" s="53">
        <v>845</v>
      </c>
      <c r="N94" s="101">
        <v>718</v>
      </c>
      <c r="O94" s="102">
        <v>1063</v>
      </c>
      <c r="P94" s="53">
        <v>754</v>
      </c>
      <c r="Q94" s="101">
        <v>641</v>
      </c>
      <c r="S94" s="80" t="s">
        <v>10</v>
      </c>
      <c r="T94" s="99">
        <v>2470</v>
      </c>
      <c r="U94" s="53">
        <v>1293</v>
      </c>
      <c r="V94" s="100">
        <v>1099</v>
      </c>
      <c r="W94" s="99">
        <v>2102</v>
      </c>
      <c r="X94" s="53">
        <v>1270</v>
      </c>
      <c r="Y94" s="101">
        <v>1079</v>
      </c>
      <c r="Z94" s="99">
        <v>1761</v>
      </c>
      <c r="AA94" s="53">
        <v>1134</v>
      </c>
      <c r="AB94" s="101">
        <v>964</v>
      </c>
      <c r="AC94" s="99">
        <v>1499</v>
      </c>
      <c r="AD94" s="53">
        <v>1014</v>
      </c>
      <c r="AE94" s="101">
        <v>861</v>
      </c>
      <c r="AF94" s="102">
        <v>1278</v>
      </c>
      <c r="AG94" s="53">
        <v>905</v>
      </c>
      <c r="AH94" s="101">
        <v>769</v>
      </c>
    </row>
    <row r="95" spans="1:34" ht="15.75" thickBot="1" x14ac:dyDescent="0.3">
      <c r="B95" s="80" t="s">
        <v>11</v>
      </c>
      <c r="C95" s="99">
        <v>2163</v>
      </c>
      <c r="D95" s="53">
        <v>1131</v>
      </c>
      <c r="E95" s="100">
        <v>981</v>
      </c>
      <c r="F95" s="99">
        <v>1841</v>
      </c>
      <c r="G95" s="53">
        <v>1111</v>
      </c>
      <c r="H95" s="101">
        <v>944</v>
      </c>
      <c r="I95" s="99">
        <v>1543</v>
      </c>
      <c r="J95" s="53">
        <v>993</v>
      </c>
      <c r="K95" s="101">
        <v>844</v>
      </c>
      <c r="L95" s="99">
        <v>1313</v>
      </c>
      <c r="M95" s="53">
        <v>887</v>
      </c>
      <c r="N95" s="101">
        <v>764</v>
      </c>
      <c r="O95" s="102">
        <v>1118</v>
      </c>
      <c r="P95" s="53">
        <v>793</v>
      </c>
      <c r="Q95" s="101">
        <v>674</v>
      </c>
      <c r="S95" s="80" t="s">
        <v>11</v>
      </c>
      <c r="T95" s="99">
        <v>2595</v>
      </c>
      <c r="U95" s="53">
        <v>1357</v>
      </c>
      <c r="V95" s="100">
        <v>1154</v>
      </c>
      <c r="W95" s="99">
        <v>2209</v>
      </c>
      <c r="X95" s="53">
        <v>1333</v>
      </c>
      <c r="Y95" s="101">
        <v>1133</v>
      </c>
      <c r="Z95" s="99">
        <v>1851</v>
      </c>
      <c r="AA95" s="53">
        <v>1191</v>
      </c>
      <c r="AB95" s="101">
        <v>1013</v>
      </c>
      <c r="AC95" s="99">
        <v>1576</v>
      </c>
      <c r="AD95" s="53">
        <v>1065</v>
      </c>
      <c r="AE95" s="101">
        <v>905</v>
      </c>
      <c r="AF95" s="102">
        <v>1342</v>
      </c>
      <c r="AG95" s="53">
        <v>952</v>
      </c>
      <c r="AH95" s="101">
        <v>809</v>
      </c>
    </row>
    <row r="96" spans="1:34" ht="15.75" thickBot="1" x14ac:dyDescent="0.3">
      <c r="B96" s="80" t="s">
        <v>12</v>
      </c>
      <c r="C96" s="99">
        <v>2403</v>
      </c>
      <c r="D96" s="53">
        <v>1257</v>
      </c>
      <c r="E96" s="100">
        <v>1068</v>
      </c>
      <c r="F96" s="99">
        <v>2046</v>
      </c>
      <c r="G96" s="53">
        <v>1235</v>
      </c>
      <c r="H96" s="101">
        <v>1050</v>
      </c>
      <c r="I96" s="99">
        <v>1715</v>
      </c>
      <c r="J96" s="53">
        <v>1104</v>
      </c>
      <c r="K96" s="101">
        <v>938</v>
      </c>
      <c r="L96" s="99">
        <v>1460</v>
      </c>
      <c r="M96" s="53">
        <v>987</v>
      </c>
      <c r="N96" s="101">
        <v>839</v>
      </c>
      <c r="O96" s="102">
        <v>1243</v>
      </c>
      <c r="P96" s="53">
        <v>881</v>
      </c>
      <c r="Q96" s="101">
        <v>749</v>
      </c>
      <c r="S96" s="80" t="s">
        <v>12</v>
      </c>
      <c r="T96" s="99">
        <v>2884</v>
      </c>
      <c r="U96" s="53">
        <v>1508</v>
      </c>
      <c r="V96" s="100">
        <v>1282</v>
      </c>
      <c r="W96" s="99">
        <v>2455</v>
      </c>
      <c r="X96" s="53">
        <v>1483</v>
      </c>
      <c r="Y96" s="101">
        <v>1250</v>
      </c>
      <c r="Z96" s="99">
        <v>2057</v>
      </c>
      <c r="AA96" s="53">
        <v>1324</v>
      </c>
      <c r="AB96" s="101">
        <v>1126</v>
      </c>
      <c r="AC96" s="99">
        <v>1752</v>
      </c>
      <c r="AD96" s="53">
        <v>1184</v>
      </c>
      <c r="AE96" s="101">
        <v>1006</v>
      </c>
      <c r="AF96" s="102">
        <v>1492</v>
      </c>
      <c r="AG96" s="53">
        <v>1057</v>
      </c>
      <c r="AH96" s="101">
        <v>899</v>
      </c>
    </row>
    <row r="97" spans="2:34" ht="15.75" thickBot="1" x14ac:dyDescent="0.3">
      <c r="B97" s="80" t="s">
        <v>13</v>
      </c>
      <c r="C97" s="99">
        <v>2808</v>
      </c>
      <c r="D97" s="53">
        <v>1469</v>
      </c>
      <c r="E97" s="100">
        <v>1249</v>
      </c>
      <c r="F97" s="99">
        <v>2406</v>
      </c>
      <c r="G97" s="53">
        <v>1453</v>
      </c>
      <c r="H97" s="101">
        <v>1235</v>
      </c>
      <c r="I97" s="99">
        <v>2033</v>
      </c>
      <c r="J97" s="53">
        <v>1310</v>
      </c>
      <c r="K97" s="101">
        <v>1113</v>
      </c>
      <c r="L97" s="99">
        <v>1732</v>
      </c>
      <c r="M97" s="53">
        <v>1170</v>
      </c>
      <c r="N97" s="101">
        <v>995</v>
      </c>
      <c r="O97" s="102">
        <v>1474</v>
      </c>
      <c r="P97" s="53">
        <v>1048</v>
      </c>
      <c r="Q97" s="101">
        <v>889</v>
      </c>
      <c r="S97" s="80" t="s">
        <v>13</v>
      </c>
      <c r="T97" s="99">
        <v>3369</v>
      </c>
      <c r="U97" s="53">
        <v>1763</v>
      </c>
      <c r="V97" s="100">
        <v>1499</v>
      </c>
      <c r="W97" s="99">
        <v>2888</v>
      </c>
      <c r="X97" s="53">
        <v>1744</v>
      </c>
      <c r="Y97" s="101">
        <v>1482</v>
      </c>
      <c r="Z97" s="99">
        <v>2440</v>
      </c>
      <c r="AA97" s="53">
        <v>1572</v>
      </c>
      <c r="AB97" s="101">
        <v>1338</v>
      </c>
      <c r="AC97" s="99">
        <v>2078</v>
      </c>
      <c r="AD97" s="53">
        <v>1404</v>
      </c>
      <c r="AE97" s="101">
        <v>1194</v>
      </c>
      <c r="AF97" s="102">
        <v>1769</v>
      </c>
      <c r="AG97" s="53">
        <v>1268</v>
      </c>
      <c r="AH97" s="101">
        <v>1067</v>
      </c>
    </row>
    <row r="98" spans="2:34" ht="15.75" thickBot="1" x14ac:dyDescent="0.3">
      <c r="B98" s="80" t="s">
        <v>14</v>
      </c>
      <c r="C98" s="99">
        <v>3790</v>
      </c>
      <c r="D98" s="53">
        <v>1983</v>
      </c>
      <c r="E98" s="100">
        <v>1686</v>
      </c>
      <c r="F98" s="99">
        <v>3249</v>
      </c>
      <c r="G98" s="53">
        <v>1961</v>
      </c>
      <c r="H98" s="101">
        <v>1667</v>
      </c>
      <c r="I98" s="99">
        <v>2745</v>
      </c>
      <c r="J98" s="53">
        <v>1768</v>
      </c>
      <c r="K98" s="101">
        <v>1503</v>
      </c>
      <c r="L98" s="99">
        <v>2338</v>
      </c>
      <c r="M98" s="53">
        <v>1580</v>
      </c>
      <c r="N98" s="101">
        <v>1343</v>
      </c>
      <c r="O98" s="102">
        <v>1990</v>
      </c>
      <c r="P98" s="53">
        <v>1412</v>
      </c>
      <c r="Q98" s="101">
        <v>1200</v>
      </c>
      <c r="S98" s="80" t="s">
        <v>14</v>
      </c>
      <c r="T98" s="99">
        <v>4548</v>
      </c>
      <c r="U98" s="53">
        <v>2380</v>
      </c>
      <c r="V98" s="100">
        <v>2023</v>
      </c>
      <c r="W98" s="99">
        <v>3898</v>
      </c>
      <c r="X98" s="53">
        <v>2354</v>
      </c>
      <c r="Y98" s="101">
        <v>2001</v>
      </c>
      <c r="Z98" s="99">
        <v>3294</v>
      </c>
      <c r="AA98" s="53">
        <v>2122</v>
      </c>
      <c r="AB98" s="101">
        <v>1803</v>
      </c>
      <c r="AC98" s="99">
        <v>2805</v>
      </c>
      <c r="AD98" s="53">
        <v>1896</v>
      </c>
      <c r="AE98" s="101">
        <v>1611</v>
      </c>
      <c r="AF98" s="102">
        <v>2388</v>
      </c>
      <c r="AG98" s="53">
        <v>1694</v>
      </c>
      <c r="AH98" s="101">
        <v>1449</v>
      </c>
    </row>
    <row r="99" spans="2:34" ht="15.75" thickBot="1" x14ac:dyDescent="0.3">
      <c r="B99" s="80" t="s">
        <v>15</v>
      </c>
      <c r="C99" s="99">
        <v>10290</v>
      </c>
      <c r="D99" s="53">
        <v>5388</v>
      </c>
      <c r="E99" s="100">
        <v>4576</v>
      </c>
      <c r="F99" s="99">
        <v>8760</v>
      </c>
      <c r="G99" s="53">
        <v>5291</v>
      </c>
      <c r="H99" s="101">
        <v>4498</v>
      </c>
      <c r="I99" s="99">
        <v>7339</v>
      </c>
      <c r="J99" s="53">
        <v>4728</v>
      </c>
      <c r="K99" s="101">
        <v>4017</v>
      </c>
      <c r="L99" s="99">
        <v>6246</v>
      </c>
      <c r="M99" s="53">
        <v>4223</v>
      </c>
      <c r="N99" s="101">
        <v>3590</v>
      </c>
      <c r="O99" s="102">
        <v>5317</v>
      </c>
      <c r="P99" s="53">
        <v>3771</v>
      </c>
      <c r="Q99" s="101">
        <v>3205</v>
      </c>
      <c r="S99" s="80" t="s">
        <v>15</v>
      </c>
      <c r="T99" s="99">
        <v>12349</v>
      </c>
      <c r="U99" s="53">
        <v>6463</v>
      </c>
      <c r="V99" s="100">
        <v>5493</v>
      </c>
      <c r="W99" s="99">
        <v>10512</v>
      </c>
      <c r="X99" s="53">
        <v>6350</v>
      </c>
      <c r="Y99" s="101">
        <v>5397</v>
      </c>
      <c r="Z99" s="99">
        <v>8807</v>
      </c>
      <c r="AA99" s="53">
        <v>5671</v>
      </c>
      <c r="AB99" s="101">
        <v>4820</v>
      </c>
      <c r="AC99" s="99">
        <v>7495</v>
      </c>
      <c r="AD99" s="53">
        <v>5066</v>
      </c>
      <c r="AE99" s="101">
        <v>4307</v>
      </c>
      <c r="AF99" s="102">
        <v>6380</v>
      </c>
      <c r="AG99" s="53">
        <v>4525</v>
      </c>
      <c r="AH99" s="101">
        <v>3848</v>
      </c>
    </row>
    <row r="100" spans="2:34" ht="15.75" thickBot="1" x14ac:dyDescent="0.3">
      <c r="B100" s="80" t="s">
        <v>16</v>
      </c>
      <c r="C100" s="99">
        <v>13373</v>
      </c>
      <c r="D100" s="53">
        <v>7001</v>
      </c>
      <c r="E100" s="100">
        <v>5951</v>
      </c>
      <c r="F100" s="99">
        <v>11388</v>
      </c>
      <c r="G100" s="53">
        <v>6879</v>
      </c>
      <c r="H100" s="101">
        <v>5847</v>
      </c>
      <c r="I100" s="99">
        <v>9541</v>
      </c>
      <c r="J100" s="53">
        <v>6143</v>
      </c>
      <c r="K100" s="101">
        <v>5222</v>
      </c>
      <c r="L100" s="99">
        <v>8120</v>
      </c>
      <c r="M100" s="53">
        <v>5490</v>
      </c>
      <c r="N100" s="101">
        <v>4666</v>
      </c>
      <c r="O100" s="102">
        <v>5912</v>
      </c>
      <c r="P100" s="53">
        <v>4902</v>
      </c>
      <c r="Q100" s="101">
        <v>4168</v>
      </c>
      <c r="S100" s="80" t="s">
        <v>16</v>
      </c>
      <c r="T100" s="99">
        <v>16053</v>
      </c>
      <c r="U100" s="53">
        <v>8402</v>
      </c>
      <c r="V100" s="100">
        <v>7141</v>
      </c>
      <c r="W100" s="99">
        <v>13666</v>
      </c>
      <c r="X100" s="53">
        <v>8254</v>
      </c>
      <c r="Y100" s="101">
        <v>7016</v>
      </c>
      <c r="Z100" s="99">
        <v>11449</v>
      </c>
      <c r="AA100" s="53">
        <v>7372</v>
      </c>
      <c r="AB100" s="101">
        <v>6288</v>
      </c>
      <c r="AC100" s="99">
        <v>9744</v>
      </c>
      <c r="AD100" s="53">
        <v>6588</v>
      </c>
      <c r="AE100" s="101">
        <v>5600</v>
      </c>
      <c r="AF100" s="102">
        <v>8295</v>
      </c>
      <c r="AG100" s="53">
        <v>5882</v>
      </c>
      <c r="AH100" s="101">
        <v>5000</v>
      </c>
    </row>
    <row r="101" spans="2:34" ht="15.75" thickBot="1" x14ac:dyDescent="0.3">
      <c r="B101" s="80" t="s">
        <v>17</v>
      </c>
      <c r="C101" s="99">
        <v>18465</v>
      </c>
      <c r="D101" s="53">
        <v>8817</v>
      </c>
      <c r="E101" s="100">
        <v>7324</v>
      </c>
      <c r="F101" s="99">
        <v>14016</v>
      </c>
      <c r="G101" s="53">
        <v>8466</v>
      </c>
      <c r="H101" s="101">
        <v>7196</v>
      </c>
      <c r="I101" s="99">
        <v>11743</v>
      </c>
      <c r="J101" s="53">
        <v>7561</v>
      </c>
      <c r="K101" s="101">
        <v>6427</v>
      </c>
      <c r="L101" s="99">
        <v>9994</v>
      </c>
      <c r="M101" s="53">
        <v>6757</v>
      </c>
      <c r="N101" s="101">
        <v>5743</v>
      </c>
      <c r="O101" s="102">
        <v>8507</v>
      </c>
      <c r="P101" s="53">
        <v>6033</v>
      </c>
      <c r="Q101" s="101">
        <v>5128</v>
      </c>
      <c r="S101" s="80" t="s">
        <v>17</v>
      </c>
      <c r="T101" s="99">
        <v>19758</v>
      </c>
      <c r="U101" s="53">
        <v>10340</v>
      </c>
      <c r="V101" s="100">
        <v>8789</v>
      </c>
      <c r="W101" s="99">
        <v>16819</v>
      </c>
      <c r="X101" s="53">
        <v>10159</v>
      </c>
      <c r="Y101" s="101">
        <v>8635</v>
      </c>
      <c r="Z101" s="99">
        <v>14091</v>
      </c>
      <c r="AA101" s="53">
        <v>9073</v>
      </c>
      <c r="AB101" s="101">
        <v>7712</v>
      </c>
      <c r="AC101" s="99">
        <v>11993</v>
      </c>
      <c r="AD101" s="53">
        <v>8108</v>
      </c>
      <c r="AE101" s="101">
        <v>5892</v>
      </c>
      <c r="AF101" s="102">
        <v>10209</v>
      </c>
      <c r="AG101" s="53">
        <v>7239</v>
      </c>
      <c r="AH101" s="101">
        <v>6154</v>
      </c>
    </row>
    <row r="102" spans="2:34" ht="15.75" thickBot="1" x14ac:dyDescent="0.3">
      <c r="B102" s="80" t="s">
        <v>18</v>
      </c>
      <c r="C102" s="103">
        <v>21810</v>
      </c>
      <c r="D102" s="104">
        <v>11310</v>
      </c>
      <c r="E102" s="105">
        <v>9813</v>
      </c>
      <c r="F102" s="103">
        <v>18395</v>
      </c>
      <c r="G102" s="104">
        <v>11112</v>
      </c>
      <c r="H102" s="106">
        <v>9445</v>
      </c>
      <c r="I102" s="103">
        <v>15412</v>
      </c>
      <c r="J102" s="104">
        <v>9924</v>
      </c>
      <c r="K102" s="106">
        <v>8435</v>
      </c>
      <c r="L102" s="103">
        <v>13117</v>
      </c>
      <c r="M102" s="104">
        <v>8868</v>
      </c>
      <c r="N102" s="106">
        <v>7538</v>
      </c>
      <c r="O102" s="107">
        <v>11168</v>
      </c>
      <c r="P102" s="104">
        <v>7918</v>
      </c>
      <c r="Q102" s="106">
        <v>6730</v>
      </c>
      <c r="S102" s="80" t="s">
        <v>18</v>
      </c>
      <c r="T102" s="103">
        <v>28932</v>
      </c>
      <c r="U102" s="104">
        <v>13572</v>
      </c>
      <c r="V102" s="105">
        <v>11538</v>
      </c>
      <c r="W102" s="103">
        <v>22076</v>
      </c>
      <c r="X102" s="104">
        <v>13334</v>
      </c>
      <c r="Y102" s="106">
        <v>11334</v>
      </c>
      <c r="Z102" s="103">
        <v>18495</v>
      </c>
      <c r="AA102" s="104">
        <v>11909</v>
      </c>
      <c r="AB102" s="106">
        <v>10123</v>
      </c>
      <c r="AC102" s="103">
        <v>15740</v>
      </c>
      <c r="AD102" s="104">
        <v>10642</v>
      </c>
      <c r="AE102" s="106">
        <v>9046</v>
      </c>
      <c r="AF102" s="107">
        <v>13399</v>
      </c>
      <c r="AG102" s="104">
        <v>9502</v>
      </c>
      <c r="AH102" s="106">
        <v>8077</v>
      </c>
    </row>
    <row r="105" spans="2:34" x14ac:dyDescent="0.25">
      <c r="B105" s="110" t="s">
        <v>156</v>
      </c>
      <c r="C105" s="110"/>
      <c r="D105" s="110"/>
      <c r="E105" s="110"/>
      <c r="F105" s="110"/>
      <c r="G105" s="110"/>
    </row>
    <row r="108" spans="2:34" x14ac:dyDescent="0.25">
      <c r="B108" s="36"/>
      <c r="C108" s="58" t="str">
        <f>B4&amp;C6&amp;C7</f>
        <v>Universal Plus1000000GN+</v>
      </c>
      <c r="D108" s="58" t="str">
        <f>B21&amp;C23&amp;C24</f>
        <v>Universal1000000GN</v>
      </c>
      <c r="E108" s="58" t="str">
        <f>B38&amp;C40&amp;C41</f>
        <v>International1000000GN</v>
      </c>
      <c r="F108" s="58" t="str">
        <f>$B$55&amp;C57&amp;C58</f>
        <v>Basic1000000GN</v>
      </c>
      <c r="G108" s="58" t="str">
        <f>$B$55&amp;D57&amp;D58</f>
        <v>Basic500000GN</v>
      </c>
      <c r="H108" s="58" t="str">
        <f>$B$55&amp;E57&amp;E58</f>
        <v>Basic250000GN</v>
      </c>
      <c r="I108" s="58" t="str">
        <f>$B$55&amp;H57&amp;H58</f>
        <v>Basic125000GN</v>
      </c>
      <c r="J108" s="58" t="str">
        <f>$B$55&amp;F57&amp;F58</f>
        <v>Basic250000RN</v>
      </c>
      <c r="K108" s="58" t="str">
        <f>$B$55&amp;I57&amp;I58</f>
        <v>Basic125000RN</v>
      </c>
      <c r="L108" s="58" t="str">
        <f>$B$55&amp;G57&amp;G58</f>
        <v>Basic250000RN2</v>
      </c>
      <c r="M108" s="58" t="str">
        <f>$B$55&amp;J57&amp;J58</f>
        <v>Basic125000RN2</v>
      </c>
      <c r="N108" s="58" t="str">
        <f>$B$72&amp;C74&amp;C75</f>
        <v>Local300000GN</v>
      </c>
      <c r="O108" s="58" t="str">
        <f>$B$72&amp;D74&amp;D75</f>
        <v>Local150000GN</v>
      </c>
      <c r="P108" s="58" t="str">
        <f>$B$72&amp;G74&amp;G75</f>
        <v>Local75000GN</v>
      </c>
      <c r="Q108" s="58" t="str">
        <f>$B$72&amp;J74&amp;J75</f>
        <v>Local40000GN</v>
      </c>
      <c r="R108" s="58" t="str">
        <f>$B$72&amp;E74&amp;E75</f>
        <v>Local150000RN</v>
      </c>
      <c r="S108" s="58" t="str">
        <f>$B$72&amp;H74&amp;H75</f>
        <v>Local75000RN</v>
      </c>
      <c r="T108" s="58" t="str">
        <f>$B$72&amp;H74&amp;H75</f>
        <v>Local75000RN</v>
      </c>
      <c r="U108" s="58" t="str">
        <f>$B$72&amp;F74&amp;F75</f>
        <v>Local150000RN2</v>
      </c>
      <c r="V108" s="58" t="str">
        <f>$B$72&amp;I74&amp;I75</f>
        <v>Local75000RN2</v>
      </c>
      <c r="W108" s="58" t="str">
        <f>$B$72&amp;K74&amp;K75</f>
        <v>Local40000RN</v>
      </c>
      <c r="X108" s="58" t="str">
        <f>$B$72&amp;L74&amp;L75</f>
        <v>Local40000RN2</v>
      </c>
    </row>
    <row r="109" spans="2:34" x14ac:dyDescent="0.25">
      <c r="B109" s="111" t="s">
        <v>8</v>
      </c>
      <c r="C109" s="112">
        <f>C8</f>
        <v>2027</v>
      </c>
      <c r="D109" s="36">
        <f>C25</f>
        <v>1368</v>
      </c>
      <c r="E109" s="36">
        <f>C42</f>
        <v>987</v>
      </c>
      <c r="F109" s="36">
        <f>C59</f>
        <v>953</v>
      </c>
      <c r="G109" s="36">
        <f t="shared" ref="G109:H109" si="0">D59</f>
        <v>481</v>
      </c>
      <c r="H109" s="36">
        <f t="shared" si="0"/>
        <v>455</v>
      </c>
      <c r="I109" s="36">
        <f>H59</f>
        <v>421</v>
      </c>
      <c r="J109" s="36">
        <f>F59</f>
        <v>338</v>
      </c>
      <c r="K109" s="36">
        <f>I59</f>
        <v>312</v>
      </c>
      <c r="L109" s="36">
        <f>G59</f>
        <v>287</v>
      </c>
      <c r="M109" s="36">
        <f>J59</f>
        <v>265</v>
      </c>
      <c r="N109" s="36">
        <f>C76</f>
        <v>913</v>
      </c>
      <c r="O109" s="36">
        <f>D76</f>
        <v>445</v>
      </c>
      <c r="P109" s="36">
        <f t="shared" ref="P109:P119" si="1">G76</f>
        <v>421</v>
      </c>
      <c r="Q109" s="36">
        <f t="shared" ref="Q109:Q119" si="2">J76</f>
        <v>389</v>
      </c>
      <c r="R109" s="36">
        <f t="shared" ref="R109:R119" si="3">E76</f>
        <v>340</v>
      </c>
      <c r="S109" s="36">
        <f t="shared" ref="S109:S119" si="4">H76</f>
        <v>321</v>
      </c>
      <c r="T109" s="36">
        <f t="shared" ref="T109:T119" si="5">H76</f>
        <v>321</v>
      </c>
      <c r="U109" s="36">
        <f t="shared" ref="U109:U119" si="6">F76</f>
        <v>289</v>
      </c>
      <c r="V109" s="36">
        <f t="shared" ref="V109:V119" si="7">I76</f>
        <v>273</v>
      </c>
      <c r="W109" s="36">
        <f t="shared" ref="W109:W119" si="8">K76</f>
        <v>297</v>
      </c>
      <c r="X109" s="36">
        <f t="shared" ref="X109:X119" si="9">L76</f>
        <v>252</v>
      </c>
    </row>
    <row r="110" spans="2:34" x14ac:dyDescent="0.25">
      <c r="B110" s="113" t="s">
        <v>9</v>
      </c>
      <c r="C110" s="112">
        <f t="shared" ref="C110:C119" si="10">C9</f>
        <v>3209</v>
      </c>
      <c r="D110" s="36">
        <f t="shared" ref="D110:D119" si="11">C26</f>
        <v>2165</v>
      </c>
      <c r="E110" s="36">
        <f t="shared" ref="E110:E119" si="12">C43</f>
        <v>1562</v>
      </c>
      <c r="F110" s="36">
        <f t="shared" ref="F110:H110" si="13">C60</f>
        <v>1509</v>
      </c>
      <c r="G110" s="36">
        <f t="shared" si="13"/>
        <v>762</v>
      </c>
      <c r="H110" s="36">
        <f t="shared" si="13"/>
        <v>720</v>
      </c>
      <c r="I110" s="36">
        <f t="shared" ref="I110:I119" si="14">H60</f>
        <v>666</v>
      </c>
      <c r="J110" s="36">
        <f t="shared" ref="J110:J119" si="15">F60</f>
        <v>489</v>
      </c>
      <c r="K110" s="36">
        <f t="shared" ref="K110:K119" si="16">I60</f>
        <v>452</v>
      </c>
      <c r="L110" s="36">
        <f t="shared" ref="L110:L119" si="17">G60</f>
        <v>416</v>
      </c>
      <c r="M110" s="36">
        <f t="shared" ref="M110:M119" si="18">J60</f>
        <v>364</v>
      </c>
      <c r="N110" s="36">
        <f t="shared" ref="N110:O119" si="19">C77</f>
        <v>1445</v>
      </c>
      <c r="O110" s="36">
        <f t="shared" si="19"/>
        <v>705</v>
      </c>
      <c r="P110" s="36">
        <f t="shared" si="1"/>
        <v>666</v>
      </c>
      <c r="Q110" s="36">
        <f t="shared" si="2"/>
        <v>618</v>
      </c>
      <c r="R110" s="36">
        <f t="shared" si="3"/>
        <v>492</v>
      </c>
      <c r="S110" s="36">
        <f t="shared" si="4"/>
        <v>465</v>
      </c>
      <c r="T110" s="36">
        <f t="shared" si="5"/>
        <v>465</v>
      </c>
      <c r="U110" s="36">
        <f t="shared" si="6"/>
        <v>418</v>
      </c>
      <c r="V110" s="36">
        <f t="shared" si="7"/>
        <v>395</v>
      </c>
      <c r="W110" s="36">
        <f t="shared" si="8"/>
        <v>430</v>
      </c>
      <c r="X110" s="36">
        <f t="shared" si="9"/>
        <v>386</v>
      </c>
    </row>
    <row r="111" spans="2:34" x14ac:dyDescent="0.25">
      <c r="B111" s="113" t="s">
        <v>10</v>
      </c>
      <c r="C111" s="112">
        <f t="shared" si="10"/>
        <v>3852</v>
      </c>
      <c r="D111" s="36">
        <f t="shared" si="11"/>
        <v>2599</v>
      </c>
      <c r="E111" s="36">
        <f t="shared" si="12"/>
        <v>1875</v>
      </c>
      <c r="F111" s="36">
        <f t="shared" ref="F111:H111" si="20">C61</f>
        <v>1813</v>
      </c>
      <c r="G111" s="36">
        <f t="shared" si="20"/>
        <v>915</v>
      </c>
      <c r="H111" s="36">
        <f t="shared" si="20"/>
        <v>864</v>
      </c>
      <c r="I111" s="36">
        <f t="shared" si="14"/>
        <v>799</v>
      </c>
      <c r="J111" s="36">
        <f t="shared" si="15"/>
        <v>587</v>
      </c>
      <c r="K111" s="36">
        <f t="shared" si="16"/>
        <v>542</v>
      </c>
      <c r="L111" s="36">
        <f t="shared" si="17"/>
        <v>499</v>
      </c>
      <c r="M111" s="36">
        <f t="shared" si="18"/>
        <v>461</v>
      </c>
      <c r="N111" s="36">
        <f t="shared" si="19"/>
        <v>1734</v>
      </c>
      <c r="O111" s="36">
        <f t="shared" si="19"/>
        <v>846</v>
      </c>
      <c r="P111" s="36">
        <f t="shared" si="1"/>
        <v>799</v>
      </c>
      <c r="Q111" s="36">
        <f t="shared" si="2"/>
        <v>739</v>
      </c>
      <c r="R111" s="36">
        <f t="shared" si="3"/>
        <v>590</v>
      </c>
      <c r="S111" s="36">
        <f t="shared" si="4"/>
        <v>558</v>
      </c>
      <c r="T111" s="36">
        <f t="shared" si="5"/>
        <v>558</v>
      </c>
      <c r="U111" s="36">
        <f t="shared" si="6"/>
        <v>502</v>
      </c>
      <c r="V111" s="36">
        <f t="shared" si="7"/>
        <v>474</v>
      </c>
      <c r="W111" s="36">
        <f t="shared" si="8"/>
        <v>516</v>
      </c>
      <c r="X111" s="36">
        <f t="shared" si="9"/>
        <v>439</v>
      </c>
    </row>
    <row r="112" spans="2:34" x14ac:dyDescent="0.25">
      <c r="B112" s="113" t="s">
        <v>11</v>
      </c>
      <c r="C112" s="112">
        <f t="shared" si="10"/>
        <v>5257</v>
      </c>
      <c r="D112" s="36">
        <f t="shared" si="11"/>
        <v>3546</v>
      </c>
      <c r="E112" s="36">
        <f t="shared" si="12"/>
        <v>2497</v>
      </c>
      <c r="F112" s="36">
        <f t="shared" ref="F112:H112" si="21">C62</f>
        <v>2415</v>
      </c>
      <c r="G112" s="36">
        <f t="shared" si="21"/>
        <v>1218</v>
      </c>
      <c r="H112" s="36">
        <f t="shared" si="21"/>
        <v>1151</v>
      </c>
      <c r="I112" s="36">
        <f t="shared" si="14"/>
        <v>1065</v>
      </c>
      <c r="J112" s="36">
        <f t="shared" si="15"/>
        <v>782</v>
      </c>
      <c r="K112" s="36">
        <f t="shared" si="16"/>
        <v>723</v>
      </c>
      <c r="L112" s="36">
        <f t="shared" si="17"/>
        <v>665</v>
      </c>
      <c r="M112" s="36">
        <f t="shared" si="18"/>
        <v>615</v>
      </c>
      <c r="N112" s="36">
        <f t="shared" si="19"/>
        <v>2310</v>
      </c>
      <c r="O112" s="36">
        <f t="shared" si="19"/>
        <v>1127</v>
      </c>
      <c r="P112" s="36">
        <f t="shared" si="1"/>
        <v>1065</v>
      </c>
      <c r="Q112" s="36">
        <f t="shared" si="2"/>
        <v>985</v>
      </c>
      <c r="R112" s="36">
        <f t="shared" si="3"/>
        <v>787</v>
      </c>
      <c r="S112" s="36">
        <f t="shared" si="4"/>
        <v>743</v>
      </c>
      <c r="T112" s="36">
        <f t="shared" si="5"/>
        <v>743</v>
      </c>
      <c r="U112" s="36">
        <f t="shared" si="6"/>
        <v>669</v>
      </c>
      <c r="V112" s="36">
        <f t="shared" si="7"/>
        <v>632</v>
      </c>
      <c r="W112" s="36">
        <f t="shared" si="8"/>
        <v>688</v>
      </c>
      <c r="X112" s="36">
        <f t="shared" si="9"/>
        <v>584</v>
      </c>
    </row>
    <row r="113" spans="2:24" x14ac:dyDescent="0.25">
      <c r="B113" s="113" t="s">
        <v>12</v>
      </c>
      <c r="C113" s="112">
        <f t="shared" si="10"/>
        <v>7537</v>
      </c>
      <c r="D113" s="36">
        <f t="shared" si="11"/>
        <v>5085</v>
      </c>
      <c r="E113" s="36">
        <f t="shared" si="12"/>
        <v>3583</v>
      </c>
      <c r="F113" s="36">
        <f t="shared" ref="F113:H113" si="22">C63</f>
        <v>3464</v>
      </c>
      <c r="G113" s="36">
        <f t="shared" si="22"/>
        <v>1748</v>
      </c>
      <c r="H113" s="36">
        <f t="shared" si="22"/>
        <v>1852</v>
      </c>
      <c r="I113" s="36">
        <f t="shared" si="14"/>
        <v>1528</v>
      </c>
      <c r="J113" s="36">
        <f t="shared" si="15"/>
        <v>1122</v>
      </c>
      <c r="K113" s="36">
        <f t="shared" si="16"/>
        <v>1038</v>
      </c>
      <c r="L113" s="36">
        <f t="shared" si="17"/>
        <v>953</v>
      </c>
      <c r="M113" s="36">
        <f t="shared" si="18"/>
        <v>882</v>
      </c>
      <c r="N113" s="36">
        <f t="shared" si="19"/>
        <v>3314</v>
      </c>
      <c r="O113" s="36">
        <f t="shared" si="19"/>
        <v>1617</v>
      </c>
      <c r="P113" s="36">
        <f t="shared" si="1"/>
        <v>1528</v>
      </c>
      <c r="Q113" s="36">
        <f t="shared" si="2"/>
        <v>1413</v>
      </c>
      <c r="R113" s="36">
        <f t="shared" si="3"/>
        <v>1128</v>
      </c>
      <c r="S113" s="36">
        <f t="shared" si="4"/>
        <v>1066</v>
      </c>
      <c r="T113" s="36">
        <f t="shared" si="5"/>
        <v>1066</v>
      </c>
      <c r="U113" s="36">
        <f t="shared" si="6"/>
        <v>959</v>
      </c>
      <c r="V113" s="36">
        <f t="shared" si="7"/>
        <v>906</v>
      </c>
      <c r="W113" s="36">
        <f t="shared" si="8"/>
        <v>988</v>
      </c>
      <c r="X113" s="36">
        <f t="shared" si="9"/>
        <v>838</v>
      </c>
    </row>
    <row r="114" spans="2:24" x14ac:dyDescent="0.25">
      <c r="B114" s="113" t="s">
        <v>13</v>
      </c>
      <c r="C114" s="112">
        <f t="shared" si="10"/>
        <v>11303</v>
      </c>
      <c r="D114" s="36">
        <f t="shared" si="11"/>
        <v>7626</v>
      </c>
      <c r="E114" s="36">
        <f t="shared" si="12"/>
        <v>5373</v>
      </c>
      <c r="F114" s="36">
        <f t="shared" ref="F114:H114" si="23">C64</f>
        <v>5194</v>
      </c>
      <c r="G114" s="36">
        <f t="shared" si="23"/>
        <v>2621</v>
      </c>
      <c r="H114" s="36">
        <f t="shared" si="23"/>
        <v>2477</v>
      </c>
      <c r="I114" s="36">
        <f t="shared" si="14"/>
        <v>2291</v>
      </c>
      <c r="J114" s="36">
        <f t="shared" si="15"/>
        <v>1682</v>
      </c>
      <c r="K114" s="36">
        <f t="shared" si="16"/>
        <v>1556</v>
      </c>
      <c r="L114" s="36">
        <f t="shared" si="17"/>
        <v>1430</v>
      </c>
      <c r="M114" s="36">
        <f t="shared" si="18"/>
        <v>1323</v>
      </c>
      <c r="N114" s="36">
        <f t="shared" si="19"/>
        <v>4970</v>
      </c>
      <c r="O114" s="36">
        <f t="shared" si="19"/>
        <v>2425</v>
      </c>
      <c r="P114" s="36">
        <f t="shared" si="1"/>
        <v>2291</v>
      </c>
      <c r="Q114" s="36">
        <f t="shared" si="2"/>
        <v>2119</v>
      </c>
      <c r="R114" s="36">
        <f t="shared" si="3"/>
        <v>1692</v>
      </c>
      <c r="S114" s="36">
        <f t="shared" si="4"/>
        <v>1599</v>
      </c>
      <c r="T114" s="36">
        <f t="shared" si="5"/>
        <v>1599</v>
      </c>
      <c r="U114" s="36">
        <f t="shared" si="6"/>
        <v>1438</v>
      </c>
      <c r="V114" s="36">
        <f t="shared" si="7"/>
        <v>1359</v>
      </c>
      <c r="W114" s="36">
        <f t="shared" si="8"/>
        <v>1479</v>
      </c>
      <c r="X114" s="36">
        <f t="shared" si="9"/>
        <v>1257</v>
      </c>
    </row>
    <row r="115" spans="2:24" x14ac:dyDescent="0.25">
      <c r="B115" s="113" t="s">
        <v>14</v>
      </c>
      <c r="C115" s="112">
        <f t="shared" si="10"/>
        <v>15259</v>
      </c>
      <c r="D115" s="36">
        <f t="shared" si="11"/>
        <v>10295</v>
      </c>
      <c r="E115" s="36">
        <f t="shared" si="12"/>
        <v>7254</v>
      </c>
      <c r="F115" s="36">
        <f t="shared" ref="F115:H115" si="24">C65</f>
        <v>7012</v>
      </c>
      <c r="G115" s="36">
        <f t="shared" si="24"/>
        <v>3539</v>
      </c>
      <c r="H115" s="36">
        <f t="shared" si="24"/>
        <v>3344</v>
      </c>
      <c r="I115" s="36">
        <f t="shared" si="14"/>
        <v>3093</v>
      </c>
      <c r="J115" s="36">
        <f t="shared" si="15"/>
        <v>2271</v>
      </c>
      <c r="K115" s="36">
        <f t="shared" si="16"/>
        <v>2101</v>
      </c>
      <c r="L115" s="36">
        <f t="shared" si="17"/>
        <v>1930</v>
      </c>
      <c r="M115" s="36">
        <f t="shared" si="18"/>
        <v>1786</v>
      </c>
      <c r="N115" s="36">
        <f t="shared" si="19"/>
        <v>6710</v>
      </c>
      <c r="O115" s="36">
        <f t="shared" si="19"/>
        <v>3273</v>
      </c>
      <c r="P115" s="36">
        <f t="shared" si="1"/>
        <v>3093</v>
      </c>
      <c r="Q115" s="36">
        <f t="shared" si="2"/>
        <v>2861</v>
      </c>
      <c r="R115" s="36">
        <f t="shared" si="3"/>
        <v>2285</v>
      </c>
      <c r="S115" s="36">
        <f t="shared" si="4"/>
        <v>2159</v>
      </c>
      <c r="T115" s="36">
        <f t="shared" si="5"/>
        <v>2159</v>
      </c>
      <c r="U115" s="36">
        <f t="shared" si="6"/>
        <v>1942</v>
      </c>
      <c r="V115" s="36">
        <f t="shared" si="7"/>
        <v>1835</v>
      </c>
      <c r="W115" s="36">
        <f t="shared" si="8"/>
        <v>1997</v>
      </c>
      <c r="X115" s="36">
        <f t="shared" si="9"/>
        <v>1697</v>
      </c>
    </row>
    <row r="116" spans="2:24" x14ac:dyDescent="0.25">
      <c r="B116" s="113" t="s">
        <v>15</v>
      </c>
      <c r="C116" s="112">
        <f t="shared" si="10"/>
        <v>19261</v>
      </c>
      <c r="D116" s="36">
        <f t="shared" si="11"/>
        <v>12994</v>
      </c>
      <c r="E116" s="36">
        <f t="shared" si="12"/>
        <v>9374</v>
      </c>
      <c r="F116" s="36">
        <f t="shared" ref="F116:H116" si="25">C66</f>
        <v>9063</v>
      </c>
      <c r="G116" s="36">
        <f t="shared" si="25"/>
        <v>4573</v>
      </c>
      <c r="H116" s="36">
        <f t="shared" si="25"/>
        <v>4321</v>
      </c>
      <c r="I116" s="36">
        <f t="shared" si="14"/>
        <v>3997</v>
      </c>
      <c r="J116" s="36">
        <f t="shared" si="15"/>
        <v>2935</v>
      </c>
      <c r="K116" s="36">
        <f t="shared" si="16"/>
        <v>2715</v>
      </c>
      <c r="L116" s="36">
        <f t="shared" si="17"/>
        <v>2494</v>
      </c>
      <c r="M116" s="36">
        <f t="shared" si="18"/>
        <v>2307</v>
      </c>
      <c r="N116" s="36">
        <f t="shared" si="19"/>
        <v>8671</v>
      </c>
      <c r="O116" s="36">
        <f t="shared" si="19"/>
        <v>4230</v>
      </c>
      <c r="P116" s="36">
        <f t="shared" si="1"/>
        <v>3997</v>
      </c>
      <c r="Q116" s="36">
        <f t="shared" si="2"/>
        <v>3697</v>
      </c>
      <c r="R116" s="36">
        <f t="shared" si="3"/>
        <v>2952</v>
      </c>
      <c r="S116" s="36">
        <f t="shared" si="4"/>
        <v>2790</v>
      </c>
      <c r="T116" s="36">
        <f t="shared" si="5"/>
        <v>2790</v>
      </c>
      <c r="U116" s="36">
        <f t="shared" si="6"/>
        <v>2509</v>
      </c>
      <c r="V116" s="36">
        <f t="shared" si="7"/>
        <v>2371</v>
      </c>
      <c r="W116" s="36">
        <f t="shared" si="8"/>
        <v>2561</v>
      </c>
      <c r="X116" s="36">
        <f t="shared" si="9"/>
        <v>2194</v>
      </c>
    </row>
    <row r="117" spans="2:24" x14ac:dyDescent="0.25">
      <c r="B117" s="113" t="s">
        <v>16</v>
      </c>
      <c r="C117" s="112">
        <f t="shared" si="10"/>
        <v>25039</v>
      </c>
      <c r="D117" s="36">
        <f t="shared" si="11"/>
        <v>16892</v>
      </c>
      <c r="E117" s="36">
        <f t="shared" si="12"/>
        <v>12186</v>
      </c>
      <c r="F117" s="36">
        <f t="shared" ref="F117:H117" si="26">C67</f>
        <v>11782</v>
      </c>
      <c r="G117" s="36">
        <f t="shared" si="26"/>
        <v>5944</v>
      </c>
      <c r="H117" s="36">
        <f t="shared" si="26"/>
        <v>5618</v>
      </c>
      <c r="I117" s="36">
        <f t="shared" si="14"/>
        <v>5196</v>
      </c>
      <c r="J117" s="36">
        <f t="shared" si="15"/>
        <v>3815</v>
      </c>
      <c r="K117" s="36">
        <f t="shared" si="16"/>
        <v>3529</v>
      </c>
      <c r="L117" s="36">
        <f t="shared" si="17"/>
        <v>3243</v>
      </c>
      <c r="M117" s="36">
        <f t="shared" si="18"/>
        <v>3000</v>
      </c>
      <c r="N117" s="36">
        <f t="shared" si="19"/>
        <v>11272</v>
      </c>
      <c r="O117" s="36">
        <f t="shared" si="19"/>
        <v>5499</v>
      </c>
      <c r="P117" s="36">
        <f t="shared" si="1"/>
        <v>5196</v>
      </c>
      <c r="Q117" s="36">
        <f t="shared" si="2"/>
        <v>4807</v>
      </c>
      <c r="R117" s="36">
        <f t="shared" si="3"/>
        <v>3838</v>
      </c>
      <c r="S117" s="36">
        <f t="shared" si="4"/>
        <v>3627</v>
      </c>
      <c r="T117" s="36">
        <f t="shared" si="5"/>
        <v>3627</v>
      </c>
      <c r="U117" s="36">
        <f t="shared" si="6"/>
        <v>3262</v>
      </c>
      <c r="V117" s="36">
        <f t="shared" si="7"/>
        <v>3083</v>
      </c>
      <c r="W117" s="36">
        <f t="shared" si="8"/>
        <v>3355</v>
      </c>
      <c r="X117" s="36">
        <f t="shared" si="9"/>
        <v>2852</v>
      </c>
    </row>
    <row r="118" spans="2:24" x14ac:dyDescent="0.25">
      <c r="B118" s="113" t="s">
        <v>17</v>
      </c>
      <c r="C118" s="112">
        <f t="shared" si="10"/>
        <v>30817</v>
      </c>
      <c r="D118" s="36">
        <f t="shared" si="11"/>
        <v>20790</v>
      </c>
      <c r="E118" s="36">
        <f t="shared" si="12"/>
        <v>14998</v>
      </c>
      <c r="F118" s="36">
        <f t="shared" ref="F118:H118" si="27">C68</f>
        <v>14501</v>
      </c>
      <c r="G118" s="36">
        <f t="shared" si="27"/>
        <v>7318</v>
      </c>
      <c r="H118" s="36">
        <f t="shared" si="27"/>
        <v>6914</v>
      </c>
      <c r="I118" s="36">
        <f t="shared" si="14"/>
        <v>6395</v>
      </c>
      <c r="J118" s="36">
        <f t="shared" si="15"/>
        <v>4695</v>
      </c>
      <c r="K118" s="36">
        <f t="shared" si="16"/>
        <v>4343</v>
      </c>
      <c r="L118" s="36">
        <f t="shared" si="17"/>
        <v>3991</v>
      </c>
      <c r="M118" s="36">
        <f t="shared" si="18"/>
        <v>3692</v>
      </c>
      <c r="N118" s="36">
        <f t="shared" si="19"/>
        <v>13874</v>
      </c>
      <c r="O118" s="36">
        <f t="shared" si="19"/>
        <v>6768</v>
      </c>
      <c r="P118" s="36">
        <f t="shared" si="1"/>
        <v>6395</v>
      </c>
      <c r="Q118" s="36">
        <f t="shared" si="2"/>
        <v>5918</v>
      </c>
      <c r="R118" s="36">
        <f t="shared" si="3"/>
        <v>4724</v>
      </c>
      <c r="S118" s="36">
        <f t="shared" si="4"/>
        <v>4464</v>
      </c>
      <c r="T118" s="36">
        <f t="shared" si="5"/>
        <v>4464</v>
      </c>
      <c r="U118" s="36">
        <f t="shared" si="6"/>
        <v>4015</v>
      </c>
      <c r="V118" s="36">
        <f t="shared" si="7"/>
        <v>3794</v>
      </c>
      <c r="W118" s="36">
        <f t="shared" si="8"/>
        <v>4129</v>
      </c>
      <c r="X118" s="36">
        <f t="shared" si="9"/>
        <v>3510</v>
      </c>
    </row>
    <row r="119" spans="2:24" x14ac:dyDescent="0.25">
      <c r="B119" s="113" t="s">
        <v>18</v>
      </c>
      <c r="C119" s="112">
        <f t="shared" si="10"/>
        <v>40447</v>
      </c>
      <c r="D119" s="36">
        <f t="shared" si="11"/>
        <v>27287</v>
      </c>
      <c r="E119" s="36">
        <f t="shared" si="12"/>
        <v>19685</v>
      </c>
      <c r="F119" s="36">
        <f t="shared" ref="F119:H119" si="28">C69</f>
        <v>19033</v>
      </c>
      <c r="G119" s="36">
        <f t="shared" si="28"/>
        <v>9603</v>
      </c>
      <c r="H119" s="36">
        <f t="shared" si="28"/>
        <v>9074</v>
      </c>
      <c r="I119" s="36">
        <f t="shared" si="14"/>
        <v>8394</v>
      </c>
      <c r="J119" s="36">
        <f t="shared" si="15"/>
        <v>6163</v>
      </c>
      <c r="K119" s="36">
        <f t="shared" si="16"/>
        <v>5700</v>
      </c>
      <c r="L119" s="36">
        <f t="shared" si="17"/>
        <v>5238</v>
      </c>
      <c r="M119" s="36">
        <f t="shared" si="18"/>
        <v>4845</v>
      </c>
      <c r="N119" s="36">
        <f t="shared" si="19"/>
        <v>18209</v>
      </c>
      <c r="O119" s="36">
        <f t="shared" si="19"/>
        <v>8882</v>
      </c>
      <c r="P119" s="36">
        <f t="shared" si="1"/>
        <v>8394</v>
      </c>
      <c r="Q119" s="36">
        <f t="shared" si="2"/>
        <v>7764</v>
      </c>
      <c r="R119" s="36">
        <f t="shared" si="3"/>
        <v>6200</v>
      </c>
      <c r="S119" s="36">
        <f t="shared" si="4"/>
        <v>5859</v>
      </c>
      <c r="T119" s="36">
        <f t="shared" si="5"/>
        <v>5859</v>
      </c>
      <c r="U119" s="36">
        <f t="shared" si="6"/>
        <v>5270</v>
      </c>
      <c r="V119" s="36">
        <f t="shared" si="7"/>
        <v>4980</v>
      </c>
      <c r="W119" s="36">
        <f t="shared" si="8"/>
        <v>5419</v>
      </c>
      <c r="X119" s="36">
        <f t="shared" si="9"/>
        <v>4607</v>
      </c>
    </row>
    <row r="121" spans="2:24" x14ac:dyDescent="0.25">
      <c r="B121" s="110" t="s">
        <v>157</v>
      </c>
      <c r="C121" s="110"/>
      <c r="D121" s="110"/>
      <c r="E121" s="110"/>
      <c r="F121" s="110"/>
      <c r="G121" s="110"/>
    </row>
    <row r="123" spans="2:24" x14ac:dyDescent="0.25">
      <c r="B123" s="36"/>
      <c r="C123" s="58" t="str">
        <f>S4&amp;T6&amp;T7</f>
        <v>Universal Plus1000000GN+</v>
      </c>
      <c r="D123" s="58" t="str">
        <f>S21&amp;T23&amp;T24</f>
        <v>Universal1000000GN</v>
      </c>
      <c r="E123" s="58" t="str">
        <f>S38&amp;T40&amp;T41</f>
        <v>International1000000GN</v>
      </c>
      <c r="F123" s="58" t="str">
        <f>$B$55&amp;T57&amp;T58</f>
        <v>Basic1000000GN</v>
      </c>
      <c r="G123" s="58" t="str">
        <f>$B$55&amp;U57&amp;U58</f>
        <v>Basic500000GN</v>
      </c>
      <c r="H123" s="58" t="str">
        <f>$B$55&amp;V57&amp;V58</f>
        <v>Basic250000GN</v>
      </c>
      <c r="I123" s="58" t="str">
        <f>$B$55&amp;Y57&amp;Y58</f>
        <v>Basic125000GN</v>
      </c>
      <c r="J123" s="58" t="str">
        <f>$B$55&amp;W57&amp;W58</f>
        <v>Basic250000RN</v>
      </c>
      <c r="K123" s="58" t="str">
        <f>$B$55&amp;Z57&amp;Z58</f>
        <v>Basic125000RN</v>
      </c>
      <c r="L123" s="58" t="str">
        <f>$B$55&amp;X57&amp;X58</f>
        <v>Basic250000RN2</v>
      </c>
      <c r="M123" s="58" t="str">
        <f>$B$55&amp;AA57&amp;AA58</f>
        <v>Basic125000RN2</v>
      </c>
      <c r="N123" s="58" t="str">
        <f>$B$72&amp;T74&amp;T75</f>
        <v>Local300000GN</v>
      </c>
      <c r="O123" s="58" t="str">
        <f>$B$72&amp;U74&amp;U75</f>
        <v>Local150000GN</v>
      </c>
      <c r="P123" s="58" t="str">
        <f>$B$72&amp;X74&amp;X75</f>
        <v>Local75000GN</v>
      </c>
      <c r="Q123" s="58" t="str">
        <f>$B$72&amp;AA74&amp;AA75</f>
        <v>Local40000GN</v>
      </c>
      <c r="R123" s="58" t="str">
        <f>$B$72&amp;V74&amp;V75</f>
        <v>Local150000RN</v>
      </c>
      <c r="S123" s="58" t="str">
        <f>$B$72&amp;Y74&amp;Y75</f>
        <v>Local75000RN</v>
      </c>
      <c r="T123" s="58" t="str">
        <f>$B$72&amp;Y74&amp;Y75</f>
        <v>Local75000RN</v>
      </c>
      <c r="U123" s="58" t="str">
        <f>$B$72&amp;W74&amp;W75</f>
        <v>Local150000RN2</v>
      </c>
      <c r="V123" s="58" t="str">
        <f>$B$72&amp;Z74&amp;Z75</f>
        <v>Local75000RN2</v>
      </c>
      <c r="W123" s="58" t="str">
        <f>$B$72&amp;AB74&amp;AB75</f>
        <v>Local40000RN</v>
      </c>
      <c r="X123" s="58" t="str">
        <f>$B$72&amp;AC74&amp;AC75</f>
        <v>Local40000RN2</v>
      </c>
    </row>
    <row r="124" spans="2:24" x14ac:dyDescent="0.25">
      <c r="B124" s="111" t="s">
        <v>8</v>
      </c>
      <c r="C124" s="112">
        <f t="shared" ref="C124:C134" si="29">T8</f>
        <v>2027</v>
      </c>
      <c r="D124" s="36">
        <f t="shared" ref="D124:D134" si="30">T25</f>
        <v>1368</v>
      </c>
      <c r="E124" s="36">
        <f t="shared" ref="E124:E134" si="31">T42</f>
        <v>987</v>
      </c>
      <c r="F124" s="36">
        <f t="shared" ref="F124:F134" si="32">T59</f>
        <v>953</v>
      </c>
      <c r="G124" s="36">
        <f t="shared" ref="G124:G134" si="33">U59</f>
        <v>481</v>
      </c>
      <c r="H124" s="36">
        <f t="shared" ref="H124:H134" si="34">V59</f>
        <v>455</v>
      </c>
      <c r="I124" s="36">
        <f t="shared" ref="I124:I134" si="35">Y59</f>
        <v>421</v>
      </c>
      <c r="J124" s="36">
        <f t="shared" ref="J124:J134" si="36">W59</f>
        <v>338</v>
      </c>
      <c r="K124" s="36">
        <f t="shared" ref="K124:K134" si="37">Z59</f>
        <v>312</v>
      </c>
      <c r="L124" s="36">
        <f t="shared" ref="L124:L134" si="38">X59</f>
        <v>287</v>
      </c>
      <c r="M124" s="36">
        <f t="shared" ref="M124:M134" si="39">AA59</f>
        <v>265</v>
      </c>
      <c r="N124" s="36">
        <f t="shared" ref="N124:N134" si="40">T76</f>
        <v>913</v>
      </c>
      <c r="O124" s="36">
        <f t="shared" ref="O124:O134" si="41">U76</f>
        <v>445</v>
      </c>
      <c r="P124" s="36">
        <f t="shared" ref="P124:P134" si="42">X76</f>
        <v>421</v>
      </c>
      <c r="Q124" s="36">
        <f t="shared" ref="Q124:Q134" si="43">AA76</f>
        <v>389</v>
      </c>
      <c r="R124" s="36">
        <f t="shared" ref="R124:R134" si="44">V76</f>
        <v>340</v>
      </c>
      <c r="S124" s="36">
        <f t="shared" ref="S124:S134" si="45">Y76</f>
        <v>321</v>
      </c>
      <c r="T124" s="36">
        <f t="shared" ref="T124:T134" si="46">Y76</f>
        <v>321</v>
      </c>
      <c r="U124" s="36">
        <f t="shared" ref="U124:U134" si="47">W76</f>
        <v>289</v>
      </c>
      <c r="V124" s="36">
        <f t="shared" ref="V124:V134" si="48">Z76</f>
        <v>273</v>
      </c>
      <c r="W124" s="36">
        <f t="shared" ref="W124:W134" si="49">AB76</f>
        <v>297</v>
      </c>
      <c r="X124" s="36">
        <f t="shared" ref="X124:X134" si="50">AC76</f>
        <v>252</v>
      </c>
    </row>
    <row r="125" spans="2:24" x14ac:dyDescent="0.25">
      <c r="B125" s="113" t="s">
        <v>9</v>
      </c>
      <c r="C125" s="112">
        <f t="shared" si="29"/>
        <v>3851</v>
      </c>
      <c r="D125" s="36">
        <f t="shared" si="30"/>
        <v>2598</v>
      </c>
      <c r="E125" s="36">
        <f t="shared" si="31"/>
        <v>1874</v>
      </c>
      <c r="F125" s="36">
        <f t="shared" si="32"/>
        <v>1811</v>
      </c>
      <c r="G125" s="36">
        <f t="shared" si="33"/>
        <v>914</v>
      </c>
      <c r="H125" s="36">
        <f t="shared" si="34"/>
        <v>864</v>
      </c>
      <c r="I125" s="36">
        <f t="shared" si="35"/>
        <v>799</v>
      </c>
      <c r="J125" s="36">
        <f t="shared" si="36"/>
        <v>587</v>
      </c>
      <c r="K125" s="36">
        <f t="shared" si="37"/>
        <v>543</v>
      </c>
      <c r="L125" s="36">
        <f t="shared" si="38"/>
        <v>499</v>
      </c>
      <c r="M125" s="36">
        <f t="shared" si="39"/>
        <v>481</v>
      </c>
      <c r="N125" s="36">
        <f t="shared" si="40"/>
        <v>1734</v>
      </c>
      <c r="O125" s="36">
        <f t="shared" si="41"/>
        <v>848</v>
      </c>
      <c r="P125" s="36">
        <f t="shared" si="42"/>
        <v>799</v>
      </c>
      <c r="Q125" s="36">
        <f t="shared" si="43"/>
        <v>739</v>
      </c>
      <c r="R125" s="36">
        <f t="shared" si="44"/>
        <v>590</v>
      </c>
      <c r="S125" s="36">
        <f t="shared" si="45"/>
        <v>558</v>
      </c>
      <c r="T125" s="36">
        <f t="shared" si="46"/>
        <v>558</v>
      </c>
      <c r="U125" s="36">
        <f t="shared" si="47"/>
        <v>502</v>
      </c>
      <c r="V125" s="36">
        <f t="shared" si="48"/>
        <v>474</v>
      </c>
      <c r="W125" s="36">
        <f t="shared" si="49"/>
        <v>516</v>
      </c>
      <c r="X125" s="36">
        <f t="shared" si="50"/>
        <v>439</v>
      </c>
    </row>
    <row r="126" spans="2:24" x14ac:dyDescent="0.25">
      <c r="B126" s="113" t="s">
        <v>10</v>
      </c>
      <c r="C126" s="112">
        <f t="shared" si="29"/>
        <v>4623</v>
      </c>
      <c r="D126" s="36">
        <f t="shared" si="30"/>
        <v>3110</v>
      </c>
      <c r="E126" s="36">
        <f t="shared" si="31"/>
        <v>2250</v>
      </c>
      <c r="F126" s="36">
        <f t="shared" si="32"/>
        <v>2175</v>
      </c>
      <c r="G126" s="36">
        <f t="shared" si="33"/>
        <v>1097</v>
      </c>
      <c r="H126" s="36">
        <f t="shared" si="34"/>
        <v>1037</v>
      </c>
      <c r="I126" s="36">
        <f t="shared" si="35"/>
        <v>959</v>
      </c>
      <c r="J126" s="36">
        <f t="shared" si="36"/>
        <v>704</v>
      </c>
      <c r="K126" s="36">
        <f t="shared" si="37"/>
        <v>651</v>
      </c>
      <c r="L126" s="36">
        <f t="shared" si="38"/>
        <v>599</v>
      </c>
      <c r="M126" s="36">
        <f t="shared" si="39"/>
        <v>554</v>
      </c>
      <c r="N126" s="36">
        <f t="shared" si="40"/>
        <v>2081</v>
      </c>
      <c r="O126" s="36">
        <f t="shared" si="41"/>
        <v>1015</v>
      </c>
      <c r="P126" s="36">
        <f t="shared" si="42"/>
        <v>959</v>
      </c>
      <c r="Q126" s="36">
        <f t="shared" si="43"/>
        <v>887</v>
      </c>
      <c r="R126" s="36">
        <f t="shared" si="44"/>
        <v>709</v>
      </c>
      <c r="S126" s="36">
        <f t="shared" si="45"/>
        <v>670</v>
      </c>
      <c r="T126" s="36">
        <f t="shared" si="46"/>
        <v>670</v>
      </c>
      <c r="U126" s="36">
        <f t="shared" si="47"/>
        <v>602</v>
      </c>
      <c r="V126" s="36">
        <f t="shared" si="48"/>
        <v>569</v>
      </c>
      <c r="W126" s="36">
        <f t="shared" si="49"/>
        <v>619</v>
      </c>
      <c r="X126" s="36">
        <f t="shared" si="50"/>
        <v>526</v>
      </c>
    </row>
    <row r="127" spans="2:24" x14ac:dyDescent="0.25">
      <c r="B127" s="113" t="s">
        <v>11</v>
      </c>
      <c r="C127" s="112">
        <f t="shared" si="29"/>
        <v>6308</v>
      </c>
      <c r="D127" s="36">
        <f t="shared" si="30"/>
        <v>4256</v>
      </c>
      <c r="E127" s="36">
        <f t="shared" si="31"/>
        <v>2997</v>
      </c>
      <c r="F127" s="36">
        <f t="shared" si="32"/>
        <v>2898</v>
      </c>
      <c r="G127" s="36">
        <f t="shared" si="33"/>
        <v>1462</v>
      </c>
      <c r="H127" s="36">
        <f t="shared" si="34"/>
        <v>1381</v>
      </c>
      <c r="I127" s="36">
        <f t="shared" si="35"/>
        <v>1278</v>
      </c>
      <c r="J127" s="36">
        <f t="shared" si="36"/>
        <v>938</v>
      </c>
      <c r="K127" s="36">
        <f t="shared" si="37"/>
        <v>888</v>
      </c>
      <c r="L127" s="36">
        <f t="shared" si="38"/>
        <v>797</v>
      </c>
      <c r="M127" s="36">
        <f t="shared" si="39"/>
        <v>738</v>
      </c>
      <c r="N127" s="36">
        <f t="shared" si="40"/>
        <v>2772</v>
      </c>
      <c r="O127" s="36">
        <f t="shared" si="41"/>
        <v>1352</v>
      </c>
      <c r="P127" s="36">
        <f t="shared" si="42"/>
        <v>1278</v>
      </c>
      <c r="Q127" s="36">
        <f t="shared" si="43"/>
        <v>1182</v>
      </c>
      <c r="R127" s="36">
        <f t="shared" si="44"/>
        <v>944</v>
      </c>
      <c r="S127" s="36">
        <f t="shared" si="45"/>
        <v>892</v>
      </c>
      <c r="T127" s="36">
        <f t="shared" si="46"/>
        <v>892</v>
      </c>
      <c r="U127" s="36">
        <f t="shared" si="47"/>
        <v>802</v>
      </c>
      <c r="V127" s="36">
        <f t="shared" si="48"/>
        <v>758</v>
      </c>
      <c r="W127" s="36">
        <f t="shared" si="49"/>
        <v>825</v>
      </c>
      <c r="X127" s="36">
        <f t="shared" si="50"/>
        <v>701</v>
      </c>
    </row>
    <row r="128" spans="2:24" x14ac:dyDescent="0.25">
      <c r="B128" s="113" t="s">
        <v>12</v>
      </c>
      <c r="C128" s="112">
        <f t="shared" si="29"/>
        <v>9044</v>
      </c>
      <c r="D128" s="36">
        <f t="shared" si="30"/>
        <v>6102</v>
      </c>
      <c r="E128" s="36">
        <f t="shared" si="31"/>
        <v>4299</v>
      </c>
      <c r="F128" s="36">
        <f t="shared" si="32"/>
        <v>4157</v>
      </c>
      <c r="G128" s="36">
        <f t="shared" si="33"/>
        <v>2097</v>
      </c>
      <c r="H128" s="36">
        <f t="shared" si="34"/>
        <v>1982</v>
      </c>
      <c r="I128" s="36">
        <f t="shared" si="35"/>
        <v>1833</v>
      </c>
      <c r="J128" s="36">
        <f t="shared" si="36"/>
        <v>1346</v>
      </c>
      <c r="K128" s="36">
        <f t="shared" si="37"/>
        <v>1245</v>
      </c>
      <c r="L128" s="36">
        <f t="shared" si="38"/>
        <v>1144</v>
      </c>
      <c r="M128" s="36">
        <f t="shared" si="39"/>
        <v>1058</v>
      </c>
      <c r="N128" s="36">
        <f t="shared" si="40"/>
        <v>3977</v>
      </c>
      <c r="O128" s="36">
        <f t="shared" si="41"/>
        <v>1940</v>
      </c>
      <c r="P128" s="36">
        <f t="shared" si="42"/>
        <v>1833</v>
      </c>
      <c r="Q128" s="36">
        <f t="shared" si="43"/>
        <v>1696</v>
      </c>
      <c r="R128" s="36">
        <f t="shared" si="44"/>
        <v>1354</v>
      </c>
      <c r="S128" s="36">
        <f t="shared" si="45"/>
        <v>1280</v>
      </c>
      <c r="T128" s="36">
        <f t="shared" si="46"/>
        <v>1280</v>
      </c>
      <c r="U128" s="36">
        <f t="shared" si="47"/>
        <v>1151</v>
      </c>
      <c r="V128" s="36">
        <f t="shared" si="48"/>
        <v>1088</v>
      </c>
      <c r="W128" s="36">
        <f t="shared" si="49"/>
        <v>1184</v>
      </c>
      <c r="X128" s="36">
        <f t="shared" si="50"/>
        <v>1006</v>
      </c>
    </row>
    <row r="129" spans="2:44" x14ac:dyDescent="0.25">
      <c r="B129" s="113" t="s">
        <v>13</v>
      </c>
      <c r="C129" s="112">
        <f t="shared" si="29"/>
        <v>13564</v>
      </c>
      <c r="D129" s="36">
        <f t="shared" si="30"/>
        <v>9151</v>
      </c>
      <c r="E129" s="36">
        <f t="shared" si="31"/>
        <v>6448</v>
      </c>
      <c r="F129" s="36">
        <f t="shared" si="32"/>
        <v>6233</v>
      </c>
      <c r="G129" s="36">
        <f t="shared" si="33"/>
        <v>3145</v>
      </c>
      <c r="H129" s="36">
        <f t="shared" si="34"/>
        <v>2972</v>
      </c>
      <c r="I129" s="36">
        <f t="shared" si="35"/>
        <v>2749</v>
      </c>
      <c r="J129" s="36">
        <f t="shared" si="36"/>
        <v>2019</v>
      </c>
      <c r="K129" s="36">
        <f t="shared" si="37"/>
        <v>1867</v>
      </c>
      <c r="L129" s="36">
        <f t="shared" si="38"/>
        <v>1718</v>
      </c>
      <c r="M129" s="36">
        <f t="shared" si="39"/>
        <v>1587</v>
      </c>
      <c r="N129" s="36">
        <f t="shared" si="40"/>
        <v>5964</v>
      </c>
      <c r="O129" s="36">
        <f t="shared" si="41"/>
        <v>2909</v>
      </c>
      <c r="P129" s="36">
        <f t="shared" si="42"/>
        <v>2749</v>
      </c>
      <c r="Q129" s="36">
        <f t="shared" si="43"/>
        <v>2543</v>
      </c>
      <c r="R129" s="36">
        <f t="shared" si="44"/>
        <v>2031</v>
      </c>
      <c r="S129" s="36">
        <f t="shared" si="45"/>
        <v>1919</v>
      </c>
      <c r="T129" s="36">
        <f t="shared" si="46"/>
        <v>1919</v>
      </c>
      <c r="U129" s="36">
        <f t="shared" si="47"/>
        <v>1726</v>
      </c>
      <c r="V129" s="36">
        <f t="shared" si="48"/>
        <v>1631</v>
      </c>
      <c r="W129" s="36">
        <f t="shared" si="49"/>
        <v>1775</v>
      </c>
      <c r="X129" s="36">
        <f t="shared" si="50"/>
        <v>1509</v>
      </c>
    </row>
    <row r="130" spans="2:44" x14ac:dyDescent="0.25">
      <c r="B130" s="113" t="s">
        <v>14</v>
      </c>
      <c r="C130" s="112">
        <f t="shared" si="29"/>
        <v>18311</v>
      </c>
      <c r="D130" s="36">
        <f t="shared" si="30"/>
        <v>12354</v>
      </c>
      <c r="E130" s="36">
        <f t="shared" si="31"/>
        <v>8705</v>
      </c>
      <c r="F130" s="36">
        <f t="shared" si="32"/>
        <v>8414</v>
      </c>
      <c r="G130" s="36">
        <f t="shared" si="33"/>
        <v>4246</v>
      </c>
      <c r="H130" s="36">
        <f t="shared" si="34"/>
        <v>4013</v>
      </c>
      <c r="I130" s="36">
        <f t="shared" si="35"/>
        <v>3712</v>
      </c>
      <c r="J130" s="36">
        <f t="shared" si="36"/>
        <v>2725</v>
      </c>
      <c r="K130" s="36">
        <f t="shared" si="37"/>
        <v>2521</v>
      </c>
      <c r="L130" s="36">
        <f t="shared" si="38"/>
        <v>2316</v>
      </c>
      <c r="M130" s="36">
        <f t="shared" si="39"/>
        <v>2142</v>
      </c>
      <c r="N130" s="36">
        <f t="shared" si="40"/>
        <v>8052</v>
      </c>
      <c r="O130" s="36">
        <f t="shared" si="41"/>
        <v>3928</v>
      </c>
      <c r="P130" s="36">
        <f t="shared" si="42"/>
        <v>3712</v>
      </c>
      <c r="Q130" s="36">
        <f t="shared" si="43"/>
        <v>3433</v>
      </c>
      <c r="R130" s="36">
        <f t="shared" si="44"/>
        <v>2742</v>
      </c>
      <c r="S130" s="36">
        <f t="shared" si="45"/>
        <v>2591</v>
      </c>
      <c r="T130" s="36">
        <f t="shared" si="46"/>
        <v>2591</v>
      </c>
      <c r="U130" s="36">
        <f t="shared" si="47"/>
        <v>2330</v>
      </c>
      <c r="V130" s="36">
        <f t="shared" si="48"/>
        <v>2202</v>
      </c>
      <c r="W130" s="36">
        <f t="shared" si="49"/>
        <v>2396</v>
      </c>
      <c r="X130" s="36">
        <f t="shared" si="50"/>
        <v>2037</v>
      </c>
    </row>
    <row r="131" spans="2:44" x14ac:dyDescent="0.25">
      <c r="B131" s="113" t="s">
        <v>15</v>
      </c>
      <c r="C131" s="112">
        <f t="shared" si="29"/>
        <v>23113</v>
      </c>
      <c r="D131" s="36">
        <f t="shared" si="30"/>
        <v>15593</v>
      </c>
      <c r="E131" s="36">
        <f t="shared" si="31"/>
        <v>11249</v>
      </c>
      <c r="F131" s="36">
        <f t="shared" si="32"/>
        <v>10876</v>
      </c>
      <c r="G131" s="36">
        <f t="shared" si="33"/>
        <v>5487</v>
      </c>
      <c r="H131" s="36">
        <f t="shared" si="34"/>
        <v>5185</v>
      </c>
      <c r="I131" s="36">
        <f t="shared" si="35"/>
        <v>4797</v>
      </c>
      <c r="J131" s="36">
        <f t="shared" si="36"/>
        <v>3522</v>
      </c>
      <c r="K131" s="36">
        <f t="shared" si="37"/>
        <v>3257</v>
      </c>
      <c r="L131" s="36">
        <f t="shared" si="38"/>
        <v>2993</v>
      </c>
      <c r="M131" s="36">
        <f t="shared" si="39"/>
        <v>2789</v>
      </c>
      <c r="N131" s="36">
        <f t="shared" si="40"/>
        <v>10405</v>
      </c>
      <c r="O131" s="36">
        <f t="shared" si="41"/>
        <v>5078</v>
      </c>
      <c r="P131" s="36">
        <f t="shared" si="42"/>
        <v>4797</v>
      </c>
      <c r="Q131" s="36">
        <f t="shared" si="43"/>
        <v>4437</v>
      </c>
      <c r="R131" s="36">
        <f t="shared" si="44"/>
        <v>3543</v>
      </c>
      <c r="S131" s="36">
        <f t="shared" si="45"/>
        <v>3348</v>
      </c>
      <c r="T131" s="36">
        <f t="shared" si="46"/>
        <v>3348</v>
      </c>
      <c r="U131" s="36">
        <f t="shared" si="47"/>
        <v>3011</v>
      </c>
      <c r="V131" s="36">
        <f t="shared" si="48"/>
        <v>2846</v>
      </c>
      <c r="W131" s="36">
        <f t="shared" si="49"/>
        <v>3097</v>
      </c>
      <c r="X131" s="36">
        <f t="shared" si="50"/>
        <v>2632</v>
      </c>
    </row>
    <row r="132" spans="2:44" x14ac:dyDescent="0.25">
      <c r="B132" s="113" t="s">
        <v>16</v>
      </c>
      <c r="C132" s="112">
        <f t="shared" si="29"/>
        <v>30047</v>
      </c>
      <c r="D132" s="36">
        <f t="shared" si="30"/>
        <v>20271</v>
      </c>
      <c r="E132" s="36">
        <f t="shared" si="31"/>
        <v>14623</v>
      </c>
      <c r="F132" s="36">
        <f t="shared" si="32"/>
        <v>14139</v>
      </c>
      <c r="G132" s="36">
        <f t="shared" si="33"/>
        <v>7133</v>
      </c>
      <c r="H132" s="36">
        <f t="shared" si="34"/>
        <v>6741</v>
      </c>
      <c r="I132" s="36">
        <f t="shared" si="35"/>
        <v>6235</v>
      </c>
      <c r="J132" s="36">
        <f t="shared" si="36"/>
        <v>4578</v>
      </c>
      <c r="K132" s="36">
        <f t="shared" si="37"/>
        <v>4235</v>
      </c>
      <c r="L132" s="36">
        <f t="shared" si="38"/>
        <v>3891</v>
      </c>
      <c r="M132" s="36">
        <f t="shared" si="39"/>
        <v>3599</v>
      </c>
      <c r="N132" s="36">
        <f t="shared" si="40"/>
        <v>13527</v>
      </c>
      <c r="O132" s="36">
        <f t="shared" si="41"/>
        <v>6598</v>
      </c>
      <c r="P132" s="36">
        <f t="shared" si="42"/>
        <v>6235</v>
      </c>
      <c r="Q132" s="36">
        <f t="shared" si="43"/>
        <v>5768</v>
      </c>
      <c r="R132" s="36">
        <f t="shared" si="44"/>
        <v>4606</v>
      </c>
      <c r="S132" s="36">
        <f t="shared" si="45"/>
        <v>4352</v>
      </c>
      <c r="T132" s="36">
        <f t="shared" si="46"/>
        <v>4352</v>
      </c>
      <c r="U132" s="36">
        <f t="shared" si="47"/>
        <v>3915</v>
      </c>
      <c r="V132" s="36">
        <f t="shared" si="48"/>
        <v>3699</v>
      </c>
      <c r="W132" s="36">
        <f t="shared" si="49"/>
        <v>4026</v>
      </c>
      <c r="X132" s="36">
        <f t="shared" si="50"/>
        <v>3422</v>
      </c>
    </row>
    <row r="133" spans="2:44" x14ac:dyDescent="0.25">
      <c r="B133" s="113" t="s">
        <v>17</v>
      </c>
      <c r="C133" s="112">
        <f t="shared" si="29"/>
        <v>36690</v>
      </c>
      <c r="D133" s="36">
        <f t="shared" si="30"/>
        <v>24949</v>
      </c>
      <c r="E133" s="36">
        <f t="shared" si="31"/>
        <v>17998</v>
      </c>
      <c r="F133" s="36">
        <f t="shared" si="32"/>
        <v>17402</v>
      </c>
      <c r="G133" s="36">
        <f t="shared" si="33"/>
        <v>8760</v>
      </c>
      <c r="H133" s="36">
        <f t="shared" si="34"/>
        <v>8297</v>
      </c>
      <c r="I133" s="36">
        <f t="shared" si="35"/>
        <v>7674</v>
      </c>
      <c r="J133" s="36">
        <f t="shared" si="36"/>
        <v>5634</v>
      </c>
      <c r="K133" s="36">
        <f t="shared" si="37"/>
        <v>5212</v>
      </c>
      <c r="L133" s="36">
        <f t="shared" si="38"/>
        <v>4789</v>
      </c>
      <c r="M133" s="36">
        <f t="shared" si="39"/>
        <v>4430</v>
      </c>
      <c r="N133" s="36">
        <f t="shared" si="40"/>
        <v>16648</v>
      </c>
      <c r="O133" s="36">
        <f t="shared" si="41"/>
        <v>8121</v>
      </c>
      <c r="P133" s="36">
        <f t="shared" si="42"/>
        <v>7674</v>
      </c>
      <c r="Q133" s="36">
        <f t="shared" si="43"/>
        <v>7099</v>
      </c>
      <c r="R133" s="36">
        <f t="shared" si="44"/>
        <v>5668</v>
      </c>
      <c r="S133" s="36">
        <f t="shared" si="45"/>
        <v>5357</v>
      </c>
      <c r="T133" s="36">
        <f t="shared" si="46"/>
        <v>5357</v>
      </c>
      <c r="U133" s="36">
        <f t="shared" si="47"/>
        <v>4816</v>
      </c>
      <c r="V133" s="36">
        <f t="shared" si="48"/>
        <v>4553</v>
      </c>
      <c r="W133" s="36">
        <f t="shared" si="49"/>
        <v>4955</v>
      </c>
      <c r="X133" s="36">
        <f t="shared" si="50"/>
        <v>4212</v>
      </c>
    </row>
    <row r="134" spans="2:44" x14ac:dyDescent="0.25">
      <c r="B134" s="113" t="s">
        <v>18</v>
      </c>
      <c r="C134" s="112">
        <f t="shared" si="29"/>
        <v>48537</v>
      </c>
      <c r="D134" s="36">
        <f t="shared" si="30"/>
        <v>32745</v>
      </c>
      <c r="E134" s="36">
        <f t="shared" si="31"/>
        <v>23622</v>
      </c>
      <c r="F134" s="36">
        <f t="shared" si="32"/>
        <v>22840</v>
      </c>
      <c r="G134" s="36">
        <f t="shared" si="33"/>
        <v>11523</v>
      </c>
      <c r="H134" s="36">
        <f t="shared" si="34"/>
        <v>10889</v>
      </c>
      <c r="I134" s="36">
        <f t="shared" si="35"/>
        <v>10073</v>
      </c>
      <c r="J134" s="36">
        <f t="shared" si="36"/>
        <v>7395</v>
      </c>
      <c r="K134" s="36">
        <f t="shared" si="37"/>
        <v>6841</v>
      </c>
      <c r="L134" s="36">
        <f t="shared" si="38"/>
        <v>6288</v>
      </c>
      <c r="M134" s="36">
        <f t="shared" si="39"/>
        <v>5814</v>
      </c>
      <c r="N134" s="36">
        <f t="shared" si="40"/>
        <v>21851</v>
      </c>
      <c r="O134" s="36">
        <f t="shared" si="41"/>
        <v>10659</v>
      </c>
      <c r="P134" s="36">
        <f t="shared" si="42"/>
        <v>10073</v>
      </c>
      <c r="Q134" s="36">
        <f t="shared" si="43"/>
        <v>9317</v>
      </c>
      <c r="R134" s="36">
        <f t="shared" si="44"/>
        <v>7440</v>
      </c>
      <c r="S134" s="36">
        <f t="shared" si="45"/>
        <v>7031</v>
      </c>
      <c r="T134" s="36">
        <f t="shared" si="46"/>
        <v>7031</v>
      </c>
      <c r="U134" s="36">
        <f t="shared" si="47"/>
        <v>6324</v>
      </c>
      <c r="V134" s="36">
        <f t="shared" si="48"/>
        <v>5976</v>
      </c>
      <c r="W134" s="36">
        <f t="shared" si="49"/>
        <v>6503</v>
      </c>
      <c r="X134" s="36">
        <f t="shared" si="50"/>
        <v>5528</v>
      </c>
    </row>
    <row r="136" spans="2:44" x14ac:dyDescent="0.25">
      <c r="B136" s="110" t="s">
        <v>161</v>
      </c>
      <c r="C136" s="110"/>
      <c r="D136" s="110"/>
      <c r="E136" s="110"/>
      <c r="F136" s="110"/>
      <c r="G136" s="110"/>
    </row>
    <row r="138" spans="2:44" x14ac:dyDescent="0.25">
      <c r="B138" s="36"/>
      <c r="C138" s="58" t="str">
        <f>$B$4&amp;D6&amp;D7</f>
        <v>Universal Plus75GN+</v>
      </c>
      <c r="D138" s="58" t="str">
        <f>$B$4&amp;E6&amp;E7</f>
        <v>Universal Plus100GN+</v>
      </c>
      <c r="E138" s="58" t="str">
        <f>$B$4&amp;F6&amp;F7</f>
        <v>Universal Plus150GN+</v>
      </c>
      <c r="F138" s="58" t="str">
        <f>$B$4&amp;G6&amp;G7</f>
        <v>Universal Plus200GN+</v>
      </c>
      <c r="G138" s="58" t="str">
        <f>$B$21&amp;D23&amp;D24</f>
        <v>Universal75GN</v>
      </c>
      <c r="H138" s="58" t="str">
        <f>$B$21&amp;E23&amp;E24</f>
        <v>Universal100GN</v>
      </c>
      <c r="I138" s="58" t="str">
        <f>$B$21&amp;F23&amp;F24</f>
        <v>Universal150GN</v>
      </c>
      <c r="J138" s="58" t="str">
        <f>$B$21&amp;G23&amp;G24</f>
        <v>Universal200GN</v>
      </c>
      <c r="K138" s="58" t="str">
        <f>$B$38&amp;D40&amp;D41</f>
        <v>International75GN</v>
      </c>
      <c r="L138" s="58" t="str">
        <f>$B$38&amp;E40&amp;E41</f>
        <v>International100GN</v>
      </c>
      <c r="M138" s="58" t="str">
        <f>$B$38&amp;F40&amp;F41</f>
        <v>International150GN</v>
      </c>
      <c r="N138" s="58" t="str">
        <f>$B$38&amp;G40&amp;G41</f>
        <v>International200GN</v>
      </c>
      <c r="O138" s="58" t="str">
        <f>$A$89&amp;C90&amp;C91</f>
        <v>Basic50GN</v>
      </c>
      <c r="P138" s="58" t="str">
        <f t="shared" ref="P138:AC138" si="51">$A$89&amp;D90&amp;D91</f>
        <v>Basic50RN</v>
      </c>
      <c r="Q138" s="58" t="str">
        <f t="shared" si="51"/>
        <v>Basic50RN2</v>
      </c>
      <c r="R138" s="58" t="str">
        <f t="shared" si="51"/>
        <v>Basic75GN</v>
      </c>
      <c r="S138" s="58" t="str">
        <f t="shared" si="51"/>
        <v>Basic75RN</v>
      </c>
      <c r="T138" s="58" t="str">
        <f t="shared" si="51"/>
        <v>Basic75RN2</v>
      </c>
      <c r="U138" s="58" t="str">
        <f t="shared" si="51"/>
        <v>Basic100GN</v>
      </c>
      <c r="V138" s="58" t="str">
        <f t="shared" si="51"/>
        <v>Basic100RN</v>
      </c>
      <c r="W138" s="58" t="str">
        <f t="shared" si="51"/>
        <v>Basic100RN2</v>
      </c>
      <c r="X138" s="58" t="str">
        <f t="shared" si="51"/>
        <v>Basic150GN</v>
      </c>
      <c r="Y138" s="58" t="str">
        <f t="shared" si="51"/>
        <v>Basic150RN</v>
      </c>
      <c r="Z138" s="58" t="str">
        <f t="shared" si="51"/>
        <v>Basic150RN2</v>
      </c>
      <c r="AA138" s="58" t="str">
        <f t="shared" si="51"/>
        <v>Basic200GN</v>
      </c>
      <c r="AB138" s="58" t="str">
        <f t="shared" si="51"/>
        <v>Basic200RN</v>
      </c>
      <c r="AC138" s="58" t="str">
        <f t="shared" si="51"/>
        <v>Basic200RN2</v>
      </c>
      <c r="AD138" s="58" t="str">
        <f>$A$90&amp;C90&amp;C91</f>
        <v>Local50GN</v>
      </c>
      <c r="AE138" s="58" t="str">
        <f t="shared" ref="AE138:AR138" si="52">$A$90&amp;D90&amp;D91</f>
        <v>Local50RN</v>
      </c>
      <c r="AF138" s="58" t="str">
        <f t="shared" si="52"/>
        <v>Local50RN2</v>
      </c>
      <c r="AG138" s="58" t="str">
        <f t="shared" si="52"/>
        <v>Local75GN</v>
      </c>
      <c r="AH138" s="58" t="str">
        <f t="shared" si="52"/>
        <v>Local75RN</v>
      </c>
      <c r="AI138" s="58" t="str">
        <f t="shared" si="52"/>
        <v>Local75RN2</v>
      </c>
      <c r="AJ138" s="58" t="str">
        <f t="shared" si="52"/>
        <v>Local100GN</v>
      </c>
      <c r="AK138" s="58" t="str">
        <f t="shared" si="52"/>
        <v>Local100RN</v>
      </c>
      <c r="AL138" s="58" t="str">
        <f t="shared" si="52"/>
        <v>Local100RN2</v>
      </c>
      <c r="AM138" s="58" t="str">
        <f t="shared" si="52"/>
        <v>Local150GN</v>
      </c>
      <c r="AN138" s="58" t="str">
        <f t="shared" si="52"/>
        <v>Local150RN</v>
      </c>
      <c r="AO138" s="58" t="str">
        <f t="shared" si="52"/>
        <v>Local150RN2</v>
      </c>
      <c r="AP138" s="58" t="str">
        <f t="shared" si="52"/>
        <v>Local200GN</v>
      </c>
      <c r="AQ138" s="58" t="str">
        <f t="shared" si="52"/>
        <v>Local200RN</v>
      </c>
      <c r="AR138" s="58" t="str">
        <f t="shared" si="52"/>
        <v>Local200RN2</v>
      </c>
    </row>
    <row r="139" spans="2:44" x14ac:dyDescent="0.25">
      <c r="B139" s="111" t="s">
        <v>8</v>
      </c>
      <c r="C139" s="36">
        <f>D8</f>
        <v>3969</v>
      </c>
      <c r="D139" s="36">
        <f t="shared" ref="D139:F139" si="53">E8</f>
        <v>3539</v>
      </c>
      <c r="E139" s="36">
        <f t="shared" si="53"/>
        <v>3156</v>
      </c>
      <c r="F139" s="36">
        <f t="shared" si="53"/>
        <v>2815</v>
      </c>
      <c r="G139" s="36">
        <f>D25</f>
        <v>3211</v>
      </c>
      <c r="H139" s="36">
        <f>E25</f>
        <v>2781</v>
      </c>
      <c r="I139" s="36">
        <f>F25</f>
        <v>2480</v>
      </c>
      <c r="J139" s="36">
        <f>G25</f>
        <v>2211</v>
      </c>
      <c r="K139" s="36">
        <f>D42</f>
        <v>2915</v>
      </c>
      <c r="L139" s="36">
        <f t="shared" ref="L139:N139" si="54">E42</f>
        <v>2501</v>
      </c>
      <c r="M139" s="36">
        <f t="shared" si="54"/>
        <v>2117</v>
      </c>
      <c r="N139" s="36">
        <f t="shared" si="54"/>
        <v>1559</v>
      </c>
      <c r="O139" s="116">
        <f>C92</f>
        <v>2079</v>
      </c>
      <c r="P139" s="116">
        <f t="shared" ref="P139:AC139" si="55">D92</f>
        <v>1189</v>
      </c>
      <c r="Q139" s="116">
        <f t="shared" si="55"/>
        <v>1011</v>
      </c>
      <c r="R139" s="116">
        <f t="shared" si="55"/>
        <v>1771</v>
      </c>
      <c r="S139" s="116">
        <f t="shared" si="55"/>
        <v>1166</v>
      </c>
      <c r="T139" s="116">
        <f t="shared" si="55"/>
        <v>993</v>
      </c>
      <c r="U139" s="116">
        <f t="shared" si="55"/>
        <v>1403</v>
      </c>
      <c r="V139" s="116">
        <f t="shared" si="55"/>
        <v>1045</v>
      </c>
      <c r="W139" s="116">
        <f t="shared" si="55"/>
        <v>888</v>
      </c>
      <c r="X139" s="116">
        <f t="shared" si="55"/>
        <v>1252</v>
      </c>
      <c r="Y139" s="116">
        <f t="shared" si="55"/>
        <v>934</v>
      </c>
      <c r="Z139" s="116">
        <f t="shared" si="55"/>
        <v>794</v>
      </c>
      <c r="AA139" s="116">
        <f t="shared" si="55"/>
        <v>1075</v>
      </c>
      <c r="AB139" s="116">
        <f t="shared" si="55"/>
        <v>833</v>
      </c>
      <c r="AC139" s="116">
        <f t="shared" si="55"/>
        <v>708</v>
      </c>
      <c r="AD139" s="116">
        <f>C92</f>
        <v>2079</v>
      </c>
      <c r="AE139" s="116">
        <f t="shared" ref="AE139:AR139" si="56">D92</f>
        <v>1189</v>
      </c>
      <c r="AF139" s="116">
        <f t="shared" si="56"/>
        <v>1011</v>
      </c>
      <c r="AG139" s="116">
        <f t="shared" si="56"/>
        <v>1771</v>
      </c>
      <c r="AH139" s="116">
        <f t="shared" si="56"/>
        <v>1166</v>
      </c>
      <c r="AI139" s="116">
        <f t="shared" si="56"/>
        <v>993</v>
      </c>
      <c r="AJ139" s="116">
        <f t="shared" si="56"/>
        <v>1403</v>
      </c>
      <c r="AK139" s="116">
        <f t="shared" si="56"/>
        <v>1045</v>
      </c>
      <c r="AL139" s="116">
        <f t="shared" si="56"/>
        <v>888</v>
      </c>
      <c r="AM139" s="116">
        <f t="shared" si="56"/>
        <v>1252</v>
      </c>
      <c r="AN139" s="116">
        <f t="shared" si="56"/>
        <v>934</v>
      </c>
      <c r="AO139" s="116">
        <f t="shared" si="56"/>
        <v>794</v>
      </c>
      <c r="AP139" s="116">
        <f t="shared" si="56"/>
        <v>1075</v>
      </c>
      <c r="AQ139" s="116">
        <f t="shared" si="56"/>
        <v>833</v>
      </c>
      <c r="AR139" s="116">
        <f t="shared" si="56"/>
        <v>708</v>
      </c>
    </row>
    <row r="140" spans="2:44" x14ac:dyDescent="0.25">
      <c r="B140" s="113" t="s">
        <v>9</v>
      </c>
      <c r="C140" s="36">
        <f t="shared" ref="C140:F140" si="57">D9</f>
        <v>3927</v>
      </c>
      <c r="D140" s="36">
        <f t="shared" si="57"/>
        <v>3502</v>
      </c>
      <c r="E140" s="36">
        <f t="shared" si="57"/>
        <v>3124</v>
      </c>
      <c r="F140" s="36">
        <f t="shared" si="57"/>
        <v>2786</v>
      </c>
      <c r="G140" s="36">
        <f t="shared" ref="G140:J140" si="58">D26</f>
        <v>3177</v>
      </c>
      <c r="H140" s="36">
        <f t="shared" si="58"/>
        <v>2752</v>
      </c>
      <c r="I140" s="36">
        <f t="shared" si="58"/>
        <v>2454</v>
      </c>
      <c r="J140" s="36">
        <f t="shared" si="58"/>
        <v>2186</v>
      </c>
      <c r="K140" s="36">
        <f t="shared" ref="K140:N140" si="59">D43</f>
        <v>2885</v>
      </c>
      <c r="L140" s="36">
        <f t="shared" si="59"/>
        <v>2475</v>
      </c>
      <c r="M140" s="36">
        <f t="shared" si="59"/>
        <v>2095</v>
      </c>
      <c r="N140" s="36">
        <f t="shared" si="59"/>
        <v>1542</v>
      </c>
      <c r="O140" s="116">
        <f t="shared" ref="O140:AC140" si="60">C93</f>
        <v>2068</v>
      </c>
      <c r="P140" s="116">
        <f t="shared" si="60"/>
        <v>1077</v>
      </c>
      <c r="Q140" s="116">
        <f t="shared" si="60"/>
        <v>916</v>
      </c>
      <c r="R140" s="116">
        <f t="shared" si="60"/>
        <v>1762</v>
      </c>
      <c r="S140" s="116">
        <f t="shared" si="60"/>
        <v>1068</v>
      </c>
      <c r="T140" s="116">
        <f t="shared" si="60"/>
        <v>900</v>
      </c>
      <c r="U140" s="116">
        <f t="shared" si="60"/>
        <v>1488</v>
      </c>
      <c r="V140" s="116">
        <f t="shared" si="60"/>
        <v>945</v>
      </c>
      <c r="W140" s="116">
        <f t="shared" si="60"/>
        <v>803</v>
      </c>
      <c r="X140" s="116">
        <f t="shared" si="60"/>
        <v>1249</v>
      </c>
      <c r="Y140" s="116">
        <f t="shared" si="60"/>
        <v>845</v>
      </c>
      <c r="Z140" s="116">
        <f t="shared" si="60"/>
        <v>718</v>
      </c>
      <c r="AA140" s="116">
        <f t="shared" si="60"/>
        <v>1063</v>
      </c>
      <c r="AB140" s="116">
        <f t="shared" si="60"/>
        <v>754</v>
      </c>
      <c r="AC140" s="116">
        <f t="shared" si="60"/>
        <v>641</v>
      </c>
      <c r="AD140" s="116">
        <f t="shared" ref="AD140:AR140" si="61">C93</f>
        <v>2068</v>
      </c>
      <c r="AE140" s="116">
        <f t="shared" si="61"/>
        <v>1077</v>
      </c>
      <c r="AF140" s="116">
        <f t="shared" si="61"/>
        <v>916</v>
      </c>
      <c r="AG140" s="116">
        <f t="shared" si="61"/>
        <v>1762</v>
      </c>
      <c r="AH140" s="116">
        <f t="shared" si="61"/>
        <v>1068</v>
      </c>
      <c r="AI140" s="116">
        <f t="shared" si="61"/>
        <v>900</v>
      </c>
      <c r="AJ140" s="116">
        <f t="shared" si="61"/>
        <v>1488</v>
      </c>
      <c r="AK140" s="116">
        <f t="shared" si="61"/>
        <v>945</v>
      </c>
      <c r="AL140" s="116">
        <f t="shared" si="61"/>
        <v>803</v>
      </c>
      <c r="AM140" s="116">
        <f t="shared" si="61"/>
        <v>1249</v>
      </c>
      <c r="AN140" s="116">
        <f t="shared" si="61"/>
        <v>845</v>
      </c>
      <c r="AO140" s="116">
        <f t="shared" si="61"/>
        <v>718</v>
      </c>
      <c r="AP140" s="116">
        <f t="shared" si="61"/>
        <v>1063</v>
      </c>
      <c r="AQ140" s="116">
        <f t="shared" si="61"/>
        <v>754</v>
      </c>
      <c r="AR140" s="116">
        <f t="shared" si="61"/>
        <v>641</v>
      </c>
    </row>
    <row r="141" spans="2:44" x14ac:dyDescent="0.25">
      <c r="B141" s="113" t="s">
        <v>10</v>
      </c>
      <c r="C141" s="36">
        <f t="shared" ref="C141:F141" si="62">D10</f>
        <v>3927</v>
      </c>
      <c r="D141" s="36">
        <f t="shared" si="62"/>
        <v>3502</v>
      </c>
      <c r="E141" s="36">
        <f t="shared" si="62"/>
        <v>3124</v>
      </c>
      <c r="F141" s="36">
        <f t="shared" si="62"/>
        <v>2786</v>
      </c>
      <c r="G141" s="36">
        <f t="shared" ref="G141:J141" si="63">D27</f>
        <v>3177</v>
      </c>
      <c r="H141" s="36">
        <f t="shared" si="63"/>
        <v>2752</v>
      </c>
      <c r="I141" s="36">
        <f t="shared" si="63"/>
        <v>2454</v>
      </c>
      <c r="J141" s="36">
        <f t="shared" si="63"/>
        <v>2186</v>
      </c>
      <c r="K141" s="36">
        <f t="shared" ref="K141:N141" si="64">D44</f>
        <v>2885</v>
      </c>
      <c r="L141" s="36">
        <f t="shared" si="64"/>
        <v>2475</v>
      </c>
      <c r="M141" s="36">
        <f t="shared" si="64"/>
        <v>2095</v>
      </c>
      <c r="N141" s="36">
        <f t="shared" si="64"/>
        <v>1542</v>
      </c>
      <c r="O141" s="116">
        <f t="shared" ref="O141:AC141" si="65">C94</f>
        <v>2055</v>
      </c>
      <c r="P141" s="116">
        <f t="shared" si="65"/>
        <v>1077</v>
      </c>
      <c r="Q141" s="116">
        <f t="shared" si="65"/>
        <v>916</v>
      </c>
      <c r="R141" s="116">
        <f t="shared" si="65"/>
        <v>1762</v>
      </c>
      <c r="S141" s="116">
        <f t="shared" si="65"/>
        <v>1055</v>
      </c>
      <c r="T141" s="116">
        <f t="shared" si="65"/>
        <v>900</v>
      </c>
      <c r="U141" s="116">
        <f t="shared" si="65"/>
        <v>1488</v>
      </c>
      <c r="V141" s="116">
        <f t="shared" si="65"/>
        <v>945</v>
      </c>
      <c r="W141" s="116">
        <f t="shared" si="65"/>
        <v>803</v>
      </c>
      <c r="X141" s="116">
        <f t="shared" si="65"/>
        <v>1249</v>
      </c>
      <c r="Y141" s="116">
        <f t="shared" si="65"/>
        <v>845</v>
      </c>
      <c r="Z141" s="116">
        <f t="shared" si="65"/>
        <v>718</v>
      </c>
      <c r="AA141" s="116">
        <f t="shared" si="65"/>
        <v>1063</v>
      </c>
      <c r="AB141" s="116">
        <f t="shared" si="65"/>
        <v>754</v>
      </c>
      <c r="AC141" s="116">
        <f t="shared" si="65"/>
        <v>641</v>
      </c>
      <c r="AD141" s="116">
        <f t="shared" ref="AD141:AR141" si="66">C94</f>
        <v>2055</v>
      </c>
      <c r="AE141" s="116">
        <f t="shared" si="66"/>
        <v>1077</v>
      </c>
      <c r="AF141" s="116">
        <f t="shared" si="66"/>
        <v>916</v>
      </c>
      <c r="AG141" s="116">
        <f t="shared" si="66"/>
        <v>1762</v>
      </c>
      <c r="AH141" s="116">
        <f t="shared" si="66"/>
        <v>1055</v>
      </c>
      <c r="AI141" s="116">
        <f t="shared" si="66"/>
        <v>900</v>
      </c>
      <c r="AJ141" s="116">
        <f t="shared" si="66"/>
        <v>1488</v>
      </c>
      <c r="AK141" s="116">
        <f t="shared" si="66"/>
        <v>945</v>
      </c>
      <c r="AL141" s="116">
        <f t="shared" si="66"/>
        <v>803</v>
      </c>
      <c r="AM141" s="116">
        <f t="shared" si="66"/>
        <v>1249</v>
      </c>
      <c r="AN141" s="116">
        <f t="shared" si="66"/>
        <v>845</v>
      </c>
      <c r="AO141" s="116">
        <f t="shared" si="66"/>
        <v>718</v>
      </c>
      <c r="AP141" s="116">
        <f t="shared" si="66"/>
        <v>1063</v>
      </c>
      <c r="AQ141" s="116">
        <f t="shared" si="66"/>
        <v>754</v>
      </c>
      <c r="AR141" s="116">
        <f t="shared" si="66"/>
        <v>641</v>
      </c>
    </row>
    <row r="142" spans="2:44" x14ac:dyDescent="0.25">
      <c r="B142" s="113" t="s">
        <v>11</v>
      </c>
      <c r="C142" s="36">
        <f t="shared" ref="C142:F142" si="67">D11</f>
        <v>4084</v>
      </c>
      <c r="D142" s="36">
        <f t="shared" si="67"/>
        <v>3643</v>
      </c>
      <c r="E142" s="36">
        <f t="shared" si="67"/>
        <v>3248</v>
      </c>
      <c r="F142" s="36">
        <f t="shared" si="67"/>
        <v>2897</v>
      </c>
      <c r="G142" s="36">
        <f t="shared" ref="G142:J142" si="68">D28</f>
        <v>3304</v>
      </c>
      <c r="H142" s="36">
        <f t="shared" si="68"/>
        <v>2862</v>
      </c>
      <c r="I142" s="36">
        <f t="shared" si="68"/>
        <v>2552</v>
      </c>
      <c r="J142" s="36">
        <f t="shared" si="68"/>
        <v>2276</v>
      </c>
      <c r="K142" s="36">
        <f t="shared" ref="K142:N142" si="69">D45</f>
        <v>3024</v>
      </c>
      <c r="L142" s="36">
        <f t="shared" si="69"/>
        <v>2595</v>
      </c>
      <c r="M142" s="36">
        <f t="shared" si="69"/>
        <v>2196</v>
      </c>
      <c r="N142" s="36">
        <f t="shared" si="69"/>
        <v>1817</v>
      </c>
      <c r="O142" s="116">
        <f t="shared" ref="O142:AC142" si="70">C95</f>
        <v>2163</v>
      </c>
      <c r="P142" s="116">
        <f t="shared" si="70"/>
        <v>1131</v>
      </c>
      <c r="Q142" s="116">
        <f t="shared" si="70"/>
        <v>981</v>
      </c>
      <c r="R142" s="116">
        <f t="shared" si="70"/>
        <v>1841</v>
      </c>
      <c r="S142" s="116">
        <f t="shared" si="70"/>
        <v>1111</v>
      </c>
      <c r="T142" s="116">
        <f t="shared" si="70"/>
        <v>944</v>
      </c>
      <c r="U142" s="116">
        <f t="shared" si="70"/>
        <v>1543</v>
      </c>
      <c r="V142" s="116">
        <f t="shared" si="70"/>
        <v>993</v>
      </c>
      <c r="W142" s="116">
        <f t="shared" si="70"/>
        <v>844</v>
      </c>
      <c r="X142" s="116">
        <f t="shared" si="70"/>
        <v>1313</v>
      </c>
      <c r="Y142" s="116">
        <f t="shared" si="70"/>
        <v>887</v>
      </c>
      <c r="Z142" s="116">
        <f t="shared" si="70"/>
        <v>764</v>
      </c>
      <c r="AA142" s="116">
        <f t="shared" si="70"/>
        <v>1118</v>
      </c>
      <c r="AB142" s="116">
        <f t="shared" si="70"/>
        <v>793</v>
      </c>
      <c r="AC142" s="116">
        <f t="shared" si="70"/>
        <v>674</v>
      </c>
      <c r="AD142" s="116">
        <f t="shared" ref="AD142:AR142" si="71">C95</f>
        <v>2163</v>
      </c>
      <c r="AE142" s="116">
        <f t="shared" si="71"/>
        <v>1131</v>
      </c>
      <c r="AF142" s="116">
        <f t="shared" si="71"/>
        <v>981</v>
      </c>
      <c r="AG142" s="116">
        <f t="shared" si="71"/>
        <v>1841</v>
      </c>
      <c r="AH142" s="116">
        <f t="shared" si="71"/>
        <v>1111</v>
      </c>
      <c r="AI142" s="116">
        <f t="shared" si="71"/>
        <v>944</v>
      </c>
      <c r="AJ142" s="116">
        <f t="shared" si="71"/>
        <v>1543</v>
      </c>
      <c r="AK142" s="116">
        <f t="shared" si="71"/>
        <v>993</v>
      </c>
      <c r="AL142" s="116">
        <f t="shared" si="71"/>
        <v>844</v>
      </c>
      <c r="AM142" s="116">
        <f t="shared" si="71"/>
        <v>1313</v>
      </c>
      <c r="AN142" s="116">
        <f t="shared" si="71"/>
        <v>887</v>
      </c>
      <c r="AO142" s="116">
        <f t="shared" si="71"/>
        <v>764</v>
      </c>
      <c r="AP142" s="116">
        <f t="shared" si="71"/>
        <v>1118</v>
      </c>
      <c r="AQ142" s="116">
        <f t="shared" si="71"/>
        <v>793</v>
      </c>
      <c r="AR142" s="116">
        <f t="shared" si="71"/>
        <v>674</v>
      </c>
    </row>
    <row r="143" spans="2:44" x14ac:dyDescent="0.25">
      <c r="B143" s="113" t="s">
        <v>12</v>
      </c>
      <c r="C143" s="36">
        <f t="shared" ref="C143:F143" si="72">D12</f>
        <v>4538</v>
      </c>
      <c r="D143" s="36">
        <f t="shared" si="72"/>
        <v>4047</v>
      </c>
      <c r="E143" s="36">
        <f t="shared" si="72"/>
        <v>3609</v>
      </c>
      <c r="F143" s="36">
        <f t="shared" si="72"/>
        <v>3219</v>
      </c>
      <c r="G143" s="36">
        <f t="shared" ref="G143:J143" si="73">D29</f>
        <v>3671</v>
      </c>
      <c r="H143" s="36">
        <f t="shared" si="73"/>
        <v>3180</v>
      </c>
      <c r="I143" s="36">
        <f t="shared" si="73"/>
        <v>2836</v>
      </c>
      <c r="J143" s="36">
        <f t="shared" si="73"/>
        <v>2529</v>
      </c>
      <c r="K143" s="36">
        <f t="shared" ref="K143:N143" si="74">D46</f>
        <v>3360</v>
      </c>
      <c r="L143" s="36">
        <f t="shared" si="74"/>
        <v>2884</v>
      </c>
      <c r="M143" s="36">
        <f t="shared" si="74"/>
        <v>2440</v>
      </c>
      <c r="N143" s="36">
        <f t="shared" si="74"/>
        <v>1797</v>
      </c>
      <c r="O143" s="116">
        <f t="shared" ref="O143:AC143" si="75">C96</f>
        <v>2403</v>
      </c>
      <c r="P143" s="116">
        <f t="shared" si="75"/>
        <v>1257</v>
      </c>
      <c r="Q143" s="116">
        <f t="shared" si="75"/>
        <v>1068</v>
      </c>
      <c r="R143" s="116">
        <f t="shared" si="75"/>
        <v>2046</v>
      </c>
      <c r="S143" s="116">
        <f t="shared" si="75"/>
        <v>1235</v>
      </c>
      <c r="T143" s="116">
        <f t="shared" si="75"/>
        <v>1050</v>
      </c>
      <c r="U143" s="116">
        <f t="shared" si="75"/>
        <v>1715</v>
      </c>
      <c r="V143" s="116">
        <f t="shared" si="75"/>
        <v>1104</v>
      </c>
      <c r="W143" s="116">
        <f t="shared" si="75"/>
        <v>938</v>
      </c>
      <c r="X143" s="116">
        <f t="shared" si="75"/>
        <v>1460</v>
      </c>
      <c r="Y143" s="116">
        <f t="shared" si="75"/>
        <v>987</v>
      </c>
      <c r="Z143" s="116">
        <f t="shared" si="75"/>
        <v>839</v>
      </c>
      <c r="AA143" s="116">
        <f t="shared" si="75"/>
        <v>1243</v>
      </c>
      <c r="AB143" s="116">
        <f t="shared" si="75"/>
        <v>881</v>
      </c>
      <c r="AC143" s="116">
        <f t="shared" si="75"/>
        <v>749</v>
      </c>
      <c r="AD143" s="116">
        <f t="shared" ref="AD143:AR143" si="76">C96</f>
        <v>2403</v>
      </c>
      <c r="AE143" s="116">
        <f t="shared" si="76"/>
        <v>1257</v>
      </c>
      <c r="AF143" s="116">
        <f t="shared" si="76"/>
        <v>1068</v>
      </c>
      <c r="AG143" s="116">
        <f t="shared" si="76"/>
        <v>2046</v>
      </c>
      <c r="AH143" s="116">
        <f t="shared" si="76"/>
        <v>1235</v>
      </c>
      <c r="AI143" s="116">
        <f t="shared" si="76"/>
        <v>1050</v>
      </c>
      <c r="AJ143" s="116">
        <f t="shared" si="76"/>
        <v>1715</v>
      </c>
      <c r="AK143" s="116">
        <f t="shared" si="76"/>
        <v>1104</v>
      </c>
      <c r="AL143" s="116">
        <f t="shared" si="76"/>
        <v>938</v>
      </c>
      <c r="AM143" s="116">
        <f t="shared" si="76"/>
        <v>1460</v>
      </c>
      <c r="AN143" s="116">
        <f t="shared" si="76"/>
        <v>987</v>
      </c>
      <c r="AO143" s="116">
        <f t="shared" si="76"/>
        <v>839</v>
      </c>
      <c r="AP143" s="116">
        <f t="shared" si="76"/>
        <v>1243</v>
      </c>
      <c r="AQ143" s="116">
        <f t="shared" si="76"/>
        <v>881</v>
      </c>
      <c r="AR143" s="116">
        <f t="shared" si="76"/>
        <v>749</v>
      </c>
    </row>
    <row r="144" spans="2:44" x14ac:dyDescent="0.25">
      <c r="B144" s="113" t="s">
        <v>13</v>
      </c>
      <c r="C144" s="36">
        <f t="shared" ref="C144:F144" si="77">D13</f>
        <v>5303</v>
      </c>
      <c r="D144" s="36">
        <f t="shared" si="77"/>
        <v>4750</v>
      </c>
      <c r="E144" s="36">
        <f t="shared" si="77"/>
        <v>4236</v>
      </c>
      <c r="F144" s="36">
        <f t="shared" si="77"/>
        <v>3778</v>
      </c>
      <c r="G144" s="36">
        <f t="shared" ref="G144:J144" si="78">D30</f>
        <v>4303</v>
      </c>
      <c r="H144" s="36">
        <f t="shared" si="78"/>
        <v>3750</v>
      </c>
      <c r="I144" s="36">
        <f t="shared" si="78"/>
        <v>3344</v>
      </c>
      <c r="J144" s="36">
        <f t="shared" si="78"/>
        <v>2982</v>
      </c>
      <c r="K144" s="36">
        <f t="shared" ref="K144:N144" si="79">D47</f>
        <v>3925</v>
      </c>
      <c r="L144" s="36">
        <f t="shared" si="79"/>
        <v>3389</v>
      </c>
      <c r="M144" s="36">
        <f t="shared" si="79"/>
        <v>2891</v>
      </c>
      <c r="N144" s="36">
        <f t="shared" si="79"/>
        <v>2128</v>
      </c>
      <c r="O144" s="116">
        <f t="shared" ref="O144:AC144" si="80">C97</f>
        <v>2808</v>
      </c>
      <c r="P144" s="116">
        <f t="shared" si="80"/>
        <v>1469</v>
      </c>
      <c r="Q144" s="116">
        <f t="shared" si="80"/>
        <v>1249</v>
      </c>
      <c r="R144" s="116">
        <f t="shared" si="80"/>
        <v>2406</v>
      </c>
      <c r="S144" s="116">
        <f t="shared" si="80"/>
        <v>1453</v>
      </c>
      <c r="T144" s="116">
        <f t="shared" si="80"/>
        <v>1235</v>
      </c>
      <c r="U144" s="116">
        <f t="shared" si="80"/>
        <v>2033</v>
      </c>
      <c r="V144" s="116">
        <f t="shared" si="80"/>
        <v>1310</v>
      </c>
      <c r="W144" s="116">
        <f t="shared" si="80"/>
        <v>1113</v>
      </c>
      <c r="X144" s="116">
        <f t="shared" si="80"/>
        <v>1732</v>
      </c>
      <c r="Y144" s="116">
        <f t="shared" si="80"/>
        <v>1170</v>
      </c>
      <c r="Z144" s="116">
        <f t="shared" si="80"/>
        <v>995</v>
      </c>
      <c r="AA144" s="116">
        <f t="shared" si="80"/>
        <v>1474</v>
      </c>
      <c r="AB144" s="116">
        <f t="shared" si="80"/>
        <v>1048</v>
      </c>
      <c r="AC144" s="116">
        <f t="shared" si="80"/>
        <v>889</v>
      </c>
      <c r="AD144" s="116">
        <f t="shared" ref="AD144:AR144" si="81">C97</f>
        <v>2808</v>
      </c>
      <c r="AE144" s="116">
        <f t="shared" si="81"/>
        <v>1469</v>
      </c>
      <c r="AF144" s="116">
        <f t="shared" si="81"/>
        <v>1249</v>
      </c>
      <c r="AG144" s="116">
        <f t="shared" si="81"/>
        <v>2406</v>
      </c>
      <c r="AH144" s="116">
        <f t="shared" si="81"/>
        <v>1453</v>
      </c>
      <c r="AI144" s="116">
        <f t="shared" si="81"/>
        <v>1235</v>
      </c>
      <c r="AJ144" s="116">
        <f t="shared" si="81"/>
        <v>2033</v>
      </c>
      <c r="AK144" s="116">
        <f t="shared" si="81"/>
        <v>1310</v>
      </c>
      <c r="AL144" s="116">
        <f t="shared" si="81"/>
        <v>1113</v>
      </c>
      <c r="AM144" s="116">
        <f t="shared" si="81"/>
        <v>1732</v>
      </c>
      <c r="AN144" s="116">
        <f t="shared" si="81"/>
        <v>1170</v>
      </c>
      <c r="AO144" s="116">
        <f t="shared" si="81"/>
        <v>995</v>
      </c>
      <c r="AP144" s="116">
        <f t="shared" si="81"/>
        <v>1474</v>
      </c>
      <c r="AQ144" s="116">
        <f t="shared" si="81"/>
        <v>1048</v>
      </c>
      <c r="AR144" s="116">
        <f t="shared" si="81"/>
        <v>889</v>
      </c>
    </row>
    <row r="145" spans="2:44" x14ac:dyDescent="0.25">
      <c r="B145" s="113" t="s">
        <v>14</v>
      </c>
      <c r="C145" s="36">
        <f t="shared" ref="C145:F145" si="82">D14</f>
        <v>7160</v>
      </c>
      <c r="D145" s="36">
        <f t="shared" si="82"/>
        <v>6413</v>
      </c>
      <c r="E145" s="36">
        <f t="shared" si="82"/>
        <v>5719</v>
      </c>
      <c r="F145" s="36">
        <f t="shared" si="82"/>
        <v>5100</v>
      </c>
      <c r="G145" s="36">
        <f t="shared" ref="G145:J145" si="83">D31</f>
        <v>5810</v>
      </c>
      <c r="H145" s="36">
        <f t="shared" si="83"/>
        <v>5062</v>
      </c>
      <c r="I145" s="36">
        <f t="shared" si="83"/>
        <v>4514</v>
      </c>
      <c r="J145" s="36">
        <f t="shared" si="83"/>
        <v>4026</v>
      </c>
      <c r="K145" s="36">
        <f t="shared" ref="K145:N145" si="84">D48</f>
        <v>5299</v>
      </c>
      <c r="L145" s="36">
        <f t="shared" si="84"/>
        <v>4576</v>
      </c>
      <c r="M145" s="36">
        <f t="shared" si="84"/>
        <v>3992</v>
      </c>
      <c r="N145" s="36">
        <f t="shared" si="84"/>
        <v>2873</v>
      </c>
      <c r="O145" s="116">
        <f t="shared" ref="O145:AC145" si="85">C98</f>
        <v>3790</v>
      </c>
      <c r="P145" s="116">
        <f t="shared" si="85"/>
        <v>1983</v>
      </c>
      <c r="Q145" s="116">
        <f t="shared" si="85"/>
        <v>1686</v>
      </c>
      <c r="R145" s="116">
        <f t="shared" si="85"/>
        <v>3249</v>
      </c>
      <c r="S145" s="116">
        <f t="shared" si="85"/>
        <v>1961</v>
      </c>
      <c r="T145" s="116">
        <f t="shared" si="85"/>
        <v>1667</v>
      </c>
      <c r="U145" s="116">
        <f t="shared" si="85"/>
        <v>2745</v>
      </c>
      <c r="V145" s="116">
        <f t="shared" si="85"/>
        <v>1768</v>
      </c>
      <c r="W145" s="116">
        <f t="shared" si="85"/>
        <v>1503</v>
      </c>
      <c r="X145" s="116">
        <f t="shared" si="85"/>
        <v>2338</v>
      </c>
      <c r="Y145" s="116">
        <f t="shared" si="85"/>
        <v>1580</v>
      </c>
      <c r="Z145" s="116">
        <f t="shared" si="85"/>
        <v>1343</v>
      </c>
      <c r="AA145" s="116">
        <f t="shared" si="85"/>
        <v>1990</v>
      </c>
      <c r="AB145" s="116">
        <f t="shared" si="85"/>
        <v>1412</v>
      </c>
      <c r="AC145" s="116">
        <f t="shared" si="85"/>
        <v>1200</v>
      </c>
      <c r="AD145" s="116">
        <f t="shared" ref="AD145:AR145" si="86">C98</f>
        <v>3790</v>
      </c>
      <c r="AE145" s="116">
        <f t="shared" si="86"/>
        <v>1983</v>
      </c>
      <c r="AF145" s="116">
        <f t="shared" si="86"/>
        <v>1686</v>
      </c>
      <c r="AG145" s="116">
        <f t="shared" si="86"/>
        <v>3249</v>
      </c>
      <c r="AH145" s="116">
        <f t="shared" si="86"/>
        <v>1961</v>
      </c>
      <c r="AI145" s="116">
        <f t="shared" si="86"/>
        <v>1667</v>
      </c>
      <c r="AJ145" s="116">
        <f t="shared" si="86"/>
        <v>2745</v>
      </c>
      <c r="AK145" s="116">
        <f t="shared" si="86"/>
        <v>1768</v>
      </c>
      <c r="AL145" s="116">
        <f t="shared" si="86"/>
        <v>1503</v>
      </c>
      <c r="AM145" s="116">
        <f t="shared" si="86"/>
        <v>2338</v>
      </c>
      <c r="AN145" s="116">
        <f t="shared" si="86"/>
        <v>1580</v>
      </c>
      <c r="AO145" s="116">
        <f t="shared" si="86"/>
        <v>1343</v>
      </c>
      <c r="AP145" s="116">
        <f t="shared" si="86"/>
        <v>1990</v>
      </c>
      <c r="AQ145" s="116">
        <f t="shared" si="86"/>
        <v>1412</v>
      </c>
      <c r="AR145" s="116">
        <f t="shared" si="86"/>
        <v>1200</v>
      </c>
    </row>
    <row r="146" spans="2:44" x14ac:dyDescent="0.25">
      <c r="B146" s="113" t="s">
        <v>15</v>
      </c>
      <c r="C146" s="36">
        <f t="shared" ref="C146:F147" si="87">D15</f>
        <v>19637</v>
      </c>
      <c r="D146" s="36">
        <f t="shared" si="87"/>
        <v>17512</v>
      </c>
      <c r="E146" s="36">
        <f t="shared" si="87"/>
        <v>15618</v>
      </c>
      <c r="F146" s="36">
        <f t="shared" si="87"/>
        <v>13928</v>
      </c>
      <c r="G146" s="36">
        <f t="shared" ref="G146:J146" si="88">D32</f>
        <v>15895</v>
      </c>
      <c r="H146" s="36">
        <f t="shared" si="88"/>
        <v>13758</v>
      </c>
      <c r="I146" s="36">
        <f t="shared" si="88"/>
        <v>12270</v>
      </c>
      <c r="J146" s="36">
        <f t="shared" si="88"/>
        <v>10942</v>
      </c>
      <c r="K146" s="36">
        <f t="shared" ref="K146:N146" si="89">D49</f>
        <v>14424</v>
      </c>
      <c r="L146" s="36">
        <f t="shared" si="89"/>
        <v>12377</v>
      </c>
      <c r="M146" s="36">
        <f t="shared" si="89"/>
        <v>10473</v>
      </c>
      <c r="N146" s="36">
        <f t="shared" si="89"/>
        <v>7712</v>
      </c>
      <c r="O146" s="116">
        <f t="shared" ref="O146:AC146" si="90">C99</f>
        <v>10290</v>
      </c>
      <c r="P146" s="116">
        <f t="shared" si="90"/>
        <v>5388</v>
      </c>
      <c r="Q146" s="116">
        <f t="shared" si="90"/>
        <v>4576</v>
      </c>
      <c r="R146" s="116">
        <f t="shared" si="90"/>
        <v>8760</v>
      </c>
      <c r="S146" s="116">
        <f t="shared" si="90"/>
        <v>5291</v>
      </c>
      <c r="T146" s="116">
        <f t="shared" si="90"/>
        <v>4498</v>
      </c>
      <c r="U146" s="116">
        <f t="shared" si="90"/>
        <v>7339</v>
      </c>
      <c r="V146" s="116">
        <f t="shared" si="90"/>
        <v>4728</v>
      </c>
      <c r="W146" s="116">
        <f t="shared" si="90"/>
        <v>4017</v>
      </c>
      <c r="X146" s="116">
        <f t="shared" si="90"/>
        <v>6246</v>
      </c>
      <c r="Y146" s="116">
        <f t="shared" si="90"/>
        <v>4223</v>
      </c>
      <c r="Z146" s="116">
        <f t="shared" si="90"/>
        <v>3590</v>
      </c>
      <c r="AA146" s="116">
        <f t="shared" si="90"/>
        <v>5317</v>
      </c>
      <c r="AB146" s="116">
        <f t="shared" si="90"/>
        <v>3771</v>
      </c>
      <c r="AC146" s="116">
        <f t="shared" si="90"/>
        <v>3205</v>
      </c>
      <c r="AD146" s="116">
        <f t="shared" ref="AD146:AR146" si="91">C99</f>
        <v>10290</v>
      </c>
      <c r="AE146" s="116">
        <f t="shared" si="91"/>
        <v>5388</v>
      </c>
      <c r="AF146" s="116">
        <f t="shared" si="91"/>
        <v>4576</v>
      </c>
      <c r="AG146" s="116">
        <f t="shared" si="91"/>
        <v>8760</v>
      </c>
      <c r="AH146" s="116">
        <f t="shared" si="91"/>
        <v>5291</v>
      </c>
      <c r="AI146" s="116">
        <f t="shared" si="91"/>
        <v>4498</v>
      </c>
      <c r="AJ146" s="116">
        <f t="shared" si="91"/>
        <v>7339</v>
      </c>
      <c r="AK146" s="116">
        <f t="shared" si="91"/>
        <v>4728</v>
      </c>
      <c r="AL146" s="116">
        <f t="shared" si="91"/>
        <v>4017</v>
      </c>
      <c r="AM146" s="116">
        <f t="shared" si="91"/>
        <v>6246</v>
      </c>
      <c r="AN146" s="116">
        <f t="shared" si="91"/>
        <v>4223</v>
      </c>
      <c r="AO146" s="116">
        <f t="shared" si="91"/>
        <v>3590</v>
      </c>
      <c r="AP146" s="116">
        <f t="shared" si="91"/>
        <v>5317</v>
      </c>
      <c r="AQ146" s="116">
        <f t="shared" si="91"/>
        <v>3771</v>
      </c>
      <c r="AR146" s="116">
        <f t="shared" si="91"/>
        <v>3205</v>
      </c>
    </row>
    <row r="147" spans="2:44" x14ac:dyDescent="0.25">
      <c r="B147" s="113" t="s">
        <v>16</v>
      </c>
      <c r="C147" s="36">
        <f t="shared" si="87"/>
        <v>25528</v>
      </c>
      <c r="D147" s="36">
        <f t="shared" ref="D147:F147" si="92">E16</f>
        <v>22766</v>
      </c>
      <c r="E147" s="36">
        <f t="shared" si="92"/>
        <v>20303</v>
      </c>
      <c r="F147" s="36">
        <f t="shared" si="92"/>
        <v>18106</v>
      </c>
      <c r="G147" s="36">
        <f t="shared" ref="G147:J147" si="93">D33</f>
        <v>20852</v>
      </c>
      <c r="H147" s="36">
        <f t="shared" si="93"/>
        <v>17888</v>
      </c>
      <c r="I147" s="36">
        <f t="shared" si="93"/>
        <v>15951</v>
      </c>
      <c r="J147" s="36">
        <f t="shared" si="93"/>
        <v>14225</v>
      </c>
      <c r="K147" s="36">
        <f t="shared" ref="K147:N147" si="94">D50</f>
        <v>18751</v>
      </c>
      <c r="L147" s="36">
        <f t="shared" si="94"/>
        <v>16090</v>
      </c>
      <c r="M147" s="36">
        <f t="shared" si="94"/>
        <v>13614</v>
      </c>
      <c r="N147" s="36">
        <f t="shared" si="94"/>
        <v>10025</v>
      </c>
      <c r="O147" s="116">
        <f t="shared" ref="O147:AC147" si="95">C100</f>
        <v>13373</v>
      </c>
      <c r="P147" s="116">
        <f t="shared" si="95"/>
        <v>7001</v>
      </c>
      <c r="Q147" s="116">
        <f t="shared" si="95"/>
        <v>5951</v>
      </c>
      <c r="R147" s="116">
        <f t="shared" si="95"/>
        <v>11388</v>
      </c>
      <c r="S147" s="116">
        <f t="shared" si="95"/>
        <v>6879</v>
      </c>
      <c r="T147" s="116">
        <f t="shared" si="95"/>
        <v>5847</v>
      </c>
      <c r="U147" s="116">
        <f t="shared" si="95"/>
        <v>9541</v>
      </c>
      <c r="V147" s="116">
        <f t="shared" si="95"/>
        <v>6143</v>
      </c>
      <c r="W147" s="116">
        <f t="shared" si="95"/>
        <v>5222</v>
      </c>
      <c r="X147" s="116">
        <f t="shared" si="95"/>
        <v>8120</v>
      </c>
      <c r="Y147" s="116">
        <f t="shared" si="95"/>
        <v>5490</v>
      </c>
      <c r="Z147" s="116">
        <f t="shared" si="95"/>
        <v>4666</v>
      </c>
      <c r="AA147" s="116">
        <f t="shared" si="95"/>
        <v>5912</v>
      </c>
      <c r="AB147" s="116">
        <f t="shared" si="95"/>
        <v>4902</v>
      </c>
      <c r="AC147" s="116">
        <f t="shared" si="95"/>
        <v>4168</v>
      </c>
      <c r="AD147" s="116">
        <f t="shared" ref="AD147:AR147" si="96">C100</f>
        <v>13373</v>
      </c>
      <c r="AE147" s="116">
        <f t="shared" si="96"/>
        <v>7001</v>
      </c>
      <c r="AF147" s="116">
        <f t="shared" si="96"/>
        <v>5951</v>
      </c>
      <c r="AG147" s="116">
        <f t="shared" si="96"/>
        <v>11388</v>
      </c>
      <c r="AH147" s="116">
        <f t="shared" si="96"/>
        <v>6879</v>
      </c>
      <c r="AI147" s="116">
        <f t="shared" si="96"/>
        <v>5847</v>
      </c>
      <c r="AJ147" s="116">
        <f t="shared" si="96"/>
        <v>9541</v>
      </c>
      <c r="AK147" s="116">
        <f t="shared" si="96"/>
        <v>6143</v>
      </c>
      <c r="AL147" s="116">
        <f t="shared" si="96"/>
        <v>5222</v>
      </c>
      <c r="AM147" s="116">
        <f t="shared" si="96"/>
        <v>8120</v>
      </c>
      <c r="AN147" s="116">
        <f t="shared" si="96"/>
        <v>5490</v>
      </c>
      <c r="AO147" s="116">
        <f t="shared" si="96"/>
        <v>4666</v>
      </c>
      <c r="AP147" s="116">
        <f t="shared" si="96"/>
        <v>5912</v>
      </c>
      <c r="AQ147" s="116">
        <f t="shared" si="96"/>
        <v>4902</v>
      </c>
      <c r="AR147" s="116">
        <f t="shared" si="96"/>
        <v>4168</v>
      </c>
    </row>
    <row r="148" spans="2:44" x14ac:dyDescent="0.25">
      <c r="B148" s="113" t="s">
        <v>17</v>
      </c>
      <c r="C148" s="36">
        <f t="shared" ref="C148:F148" si="97">D17</f>
        <v>31419</v>
      </c>
      <c r="D148" s="36">
        <f t="shared" si="97"/>
        <v>28028</v>
      </c>
      <c r="E148" s="36">
        <f t="shared" si="97"/>
        <v>24988</v>
      </c>
      <c r="F148" s="36">
        <f t="shared" si="97"/>
        <v>22285</v>
      </c>
      <c r="G148" s="36">
        <f t="shared" ref="G148:J148" si="98">D34</f>
        <v>25418</v>
      </c>
      <c r="H148" s="36">
        <f t="shared" si="98"/>
        <v>22013</v>
      </c>
      <c r="I148" s="36">
        <f t="shared" si="98"/>
        <v>19632</v>
      </c>
      <c r="J148" s="36">
        <f t="shared" si="98"/>
        <v>17508</v>
      </c>
      <c r="K148" s="36">
        <f t="shared" ref="K148:N148" si="99">D51</f>
        <v>23078</v>
      </c>
      <c r="L148" s="36">
        <f t="shared" si="99"/>
        <v>19803</v>
      </c>
      <c r="M148" s="36">
        <f t="shared" si="99"/>
        <v>16757</v>
      </c>
      <c r="N148" s="36">
        <f t="shared" si="99"/>
        <v>12339</v>
      </c>
      <c r="O148" s="116">
        <f t="shared" ref="O148:AC148" si="100">C101</f>
        <v>18465</v>
      </c>
      <c r="P148" s="116">
        <f t="shared" si="100"/>
        <v>8817</v>
      </c>
      <c r="Q148" s="116">
        <f t="shared" si="100"/>
        <v>7324</v>
      </c>
      <c r="R148" s="116">
        <f t="shared" si="100"/>
        <v>14016</v>
      </c>
      <c r="S148" s="116">
        <f t="shared" si="100"/>
        <v>8466</v>
      </c>
      <c r="T148" s="116">
        <f t="shared" si="100"/>
        <v>7196</v>
      </c>
      <c r="U148" s="116">
        <f t="shared" si="100"/>
        <v>11743</v>
      </c>
      <c r="V148" s="116">
        <f t="shared" si="100"/>
        <v>7561</v>
      </c>
      <c r="W148" s="116">
        <f t="shared" si="100"/>
        <v>6427</v>
      </c>
      <c r="X148" s="116">
        <f t="shared" si="100"/>
        <v>9994</v>
      </c>
      <c r="Y148" s="116">
        <f t="shared" si="100"/>
        <v>6757</v>
      </c>
      <c r="Z148" s="116">
        <f t="shared" si="100"/>
        <v>5743</v>
      </c>
      <c r="AA148" s="116">
        <f t="shared" si="100"/>
        <v>8507</v>
      </c>
      <c r="AB148" s="116">
        <f t="shared" si="100"/>
        <v>6033</v>
      </c>
      <c r="AC148" s="116">
        <f t="shared" si="100"/>
        <v>5128</v>
      </c>
      <c r="AD148" s="116">
        <f t="shared" ref="AD148:AR148" si="101">C101</f>
        <v>18465</v>
      </c>
      <c r="AE148" s="116">
        <f t="shared" si="101"/>
        <v>8817</v>
      </c>
      <c r="AF148" s="116">
        <f t="shared" si="101"/>
        <v>7324</v>
      </c>
      <c r="AG148" s="116">
        <f t="shared" si="101"/>
        <v>14016</v>
      </c>
      <c r="AH148" s="116">
        <f t="shared" si="101"/>
        <v>8466</v>
      </c>
      <c r="AI148" s="116">
        <f t="shared" si="101"/>
        <v>7196</v>
      </c>
      <c r="AJ148" s="116">
        <f t="shared" si="101"/>
        <v>11743</v>
      </c>
      <c r="AK148" s="116">
        <f t="shared" si="101"/>
        <v>7561</v>
      </c>
      <c r="AL148" s="116">
        <f t="shared" si="101"/>
        <v>6427</v>
      </c>
      <c r="AM148" s="116">
        <f t="shared" si="101"/>
        <v>9994</v>
      </c>
      <c r="AN148" s="116">
        <f t="shared" si="101"/>
        <v>6757</v>
      </c>
      <c r="AO148" s="116">
        <f t="shared" si="101"/>
        <v>5743</v>
      </c>
      <c r="AP148" s="116">
        <f t="shared" si="101"/>
        <v>8507</v>
      </c>
      <c r="AQ148" s="116">
        <f t="shared" si="101"/>
        <v>6033</v>
      </c>
      <c r="AR148" s="116">
        <f t="shared" si="101"/>
        <v>5128</v>
      </c>
    </row>
    <row r="149" spans="2:44" x14ac:dyDescent="0.25">
      <c r="B149" s="113" t="s">
        <v>18</v>
      </c>
      <c r="C149" s="36">
        <f t="shared" ref="C149:F149" si="102">D18</f>
        <v>41237</v>
      </c>
      <c r="D149" s="36">
        <f t="shared" si="102"/>
        <v>36776</v>
      </c>
      <c r="E149" s="36">
        <f t="shared" si="102"/>
        <v>32797</v>
      </c>
      <c r="F149" s="36">
        <f t="shared" si="102"/>
        <v>29249</v>
      </c>
      <c r="G149" s="36">
        <f t="shared" ref="G149:J149" si="103">D35</f>
        <v>33361</v>
      </c>
      <c r="H149" s="36">
        <f t="shared" si="103"/>
        <v>28892</v>
      </c>
      <c r="I149" s="36">
        <f t="shared" si="103"/>
        <v>25768</v>
      </c>
      <c r="J149" s="36">
        <f t="shared" si="103"/>
        <v>22979</v>
      </c>
      <c r="K149" s="36">
        <f t="shared" ref="K149:N149" si="104">D52</f>
        <v>30290</v>
      </c>
      <c r="L149" s="36">
        <f t="shared" si="104"/>
        <v>25992</v>
      </c>
      <c r="M149" s="36">
        <f t="shared" si="104"/>
        <v>21994</v>
      </c>
      <c r="N149" s="36">
        <f t="shared" si="104"/>
        <v>16195</v>
      </c>
      <c r="O149" s="116">
        <f t="shared" ref="O149:AC149" si="105">C102</f>
        <v>21810</v>
      </c>
      <c r="P149" s="116">
        <f t="shared" si="105"/>
        <v>11310</v>
      </c>
      <c r="Q149" s="116">
        <f t="shared" si="105"/>
        <v>9813</v>
      </c>
      <c r="R149" s="116">
        <f t="shared" si="105"/>
        <v>18395</v>
      </c>
      <c r="S149" s="116">
        <f t="shared" si="105"/>
        <v>11112</v>
      </c>
      <c r="T149" s="116">
        <f t="shared" si="105"/>
        <v>9445</v>
      </c>
      <c r="U149" s="116">
        <f t="shared" si="105"/>
        <v>15412</v>
      </c>
      <c r="V149" s="116">
        <f t="shared" si="105"/>
        <v>9924</v>
      </c>
      <c r="W149" s="116">
        <f t="shared" si="105"/>
        <v>8435</v>
      </c>
      <c r="X149" s="116">
        <f t="shared" si="105"/>
        <v>13117</v>
      </c>
      <c r="Y149" s="116">
        <f t="shared" si="105"/>
        <v>8868</v>
      </c>
      <c r="Z149" s="116">
        <f t="shared" si="105"/>
        <v>7538</v>
      </c>
      <c r="AA149" s="116">
        <f t="shared" si="105"/>
        <v>11168</v>
      </c>
      <c r="AB149" s="116">
        <f t="shared" si="105"/>
        <v>7918</v>
      </c>
      <c r="AC149" s="116">
        <f t="shared" si="105"/>
        <v>6730</v>
      </c>
      <c r="AD149" s="116">
        <f t="shared" ref="AD149:AR149" si="106">C102</f>
        <v>21810</v>
      </c>
      <c r="AE149" s="116">
        <f t="shared" si="106"/>
        <v>11310</v>
      </c>
      <c r="AF149" s="116">
        <f t="shared" si="106"/>
        <v>9813</v>
      </c>
      <c r="AG149" s="116">
        <f t="shared" si="106"/>
        <v>18395</v>
      </c>
      <c r="AH149" s="116">
        <f t="shared" si="106"/>
        <v>11112</v>
      </c>
      <c r="AI149" s="116">
        <f t="shared" si="106"/>
        <v>9445</v>
      </c>
      <c r="AJ149" s="116">
        <f t="shared" si="106"/>
        <v>15412</v>
      </c>
      <c r="AK149" s="116">
        <f t="shared" si="106"/>
        <v>9924</v>
      </c>
      <c r="AL149" s="116">
        <f t="shared" si="106"/>
        <v>8435</v>
      </c>
      <c r="AM149" s="116">
        <f t="shared" si="106"/>
        <v>13117</v>
      </c>
      <c r="AN149" s="116">
        <f t="shared" si="106"/>
        <v>8868</v>
      </c>
      <c r="AO149" s="116">
        <f t="shared" si="106"/>
        <v>7538</v>
      </c>
      <c r="AP149" s="116">
        <f t="shared" si="106"/>
        <v>11168</v>
      </c>
      <c r="AQ149" s="116">
        <f t="shared" si="106"/>
        <v>7918</v>
      </c>
      <c r="AR149" s="116">
        <f t="shared" si="106"/>
        <v>6730</v>
      </c>
    </row>
    <row r="151" spans="2:44" x14ac:dyDescent="0.25">
      <c r="B151" s="110" t="s">
        <v>162</v>
      </c>
      <c r="C151" s="110"/>
      <c r="D151" s="110"/>
      <c r="E151" s="110"/>
      <c r="F151" s="110"/>
      <c r="G151" s="110"/>
    </row>
    <row r="153" spans="2:44" x14ac:dyDescent="0.25">
      <c r="B153" s="36"/>
      <c r="C153" s="58" t="str">
        <f>$B$4&amp;U6&amp;U7</f>
        <v>Universal Plus75GN+</v>
      </c>
      <c r="D153" s="58" t="str">
        <f>$B$4&amp;V6&amp;V7</f>
        <v>Universal Plus100GN+</v>
      </c>
      <c r="E153" s="58" t="str">
        <f>$B$4&amp;W6&amp;W7</f>
        <v>Universal Plus150GN+</v>
      </c>
      <c r="F153" s="58" t="str">
        <f>$B$4&amp;X6&amp;X7</f>
        <v>Universal Plus200GN+</v>
      </c>
      <c r="G153" s="58" t="str">
        <f t="shared" ref="G153:I153" si="107">$B$21&amp;U23&amp;U24</f>
        <v>Universal75GN</v>
      </c>
      <c r="H153" s="58" t="str">
        <f t="shared" si="107"/>
        <v>Universal100GN</v>
      </c>
      <c r="I153" s="58" t="str">
        <f t="shared" si="107"/>
        <v>Universal150GN</v>
      </c>
      <c r="J153" s="58" t="str">
        <f>$B$21&amp;X23&amp;X24</f>
        <v>Universal200GN</v>
      </c>
      <c r="K153" s="58" t="str">
        <f t="shared" ref="K153:M153" si="108">$B$38&amp;U40&amp;U41</f>
        <v>International75GN</v>
      </c>
      <c r="L153" s="58" t="str">
        <f t="shared" si="108"/>
        <v>International100GN</v>
      </c>
      <c r="M153" s="58" t="str">
        <f t="shared" si="108"/>
        <v>International150GN</v>
      </c>
      <c r="N153" s="58" t="str">
        <f>$B$38&amp;X40&amp;X41</f>
        <v>International200GN</v>
      </c>
      <c r="O153" s="58" t="str">
        <f t="shared" ref="O153:AC153" si="109">$A$89&amp;T90&amp;T91</f>
        <v>Basic50GN</v>
      </c>
      <c r="P153" s="58" t="str">
        <f t="shared" si="109"/>
        <v>Basic50RN</v>
      </c>
      <c r="Q153" s="58" t="str">
        <f t="shared" si="109"/>
        <v>Basic50RN2</v>
      </c>
      <c r="R153" s="58" t="str">
        <f t="shared" si="109"/>
        <v>Basic75GN</v>
      </c>
      <c r="S153" s="58" t="str">
        <f t="shared" si="109"/>
        <v>Basic75RN</v>
      </c>
      <c r="T153" s="58" t="str">
        <f t="shared" si="109"/>
        <v>Basic75RN2</v>
      </c>
      <c r="U153" s="58" t="str">
        <f t="shared" si="109"/>
        <v>Basic100GN</v>
      </c>
      <c r="V153" s="58" t="str">
        <f t="shared" si="109"/>
        <v>Basic100RN</v>
      </c>
      <c r="W153" s="58" t="str">
        <f t="shared" si="109"/>
        <v>Basic100RN2</v>
      </c>
      <c r="X153" s="58" t="str">
        <f t="shared" si="109"/>
        <v>Basic150GN</v>
      </c>
      <c r="Y153" s="58" t="str">
        <f t="shared" si="109"/>
        <v>Basic150RN</v>
      </c>
      <c r="Z153" s="58" t="str">
        <f t="shared" si="109"/>
        <v>Basic150RN2</v>
      </c>
      <c r="AA153" s="58" t="str">
        <f t="shared" si="109"/>
        <v>Basic200GN</v>
      </c>
      <c r="AB153" s="58" t="str">
        <f t="shared" si="109"/>
        <v>Basic200RN</v>
      </c>
      <c r="AC153" s="58" t="str">
        <f t="shared" si="109"/>
        <v>Basic200RN2</v>
      </c>
      <c r="AD153" s="58" t="str">
        <f t="shared" ref="AD153:AR153" si="110">$A$90&amp;T90&amp;T91</f>
        <v>Local50GN</v>
      </c>
      <c r="AE153" s="58" t="str">
        <f t="shared" si="110"/>
        <v>Local50RN</v>
      </c>
      <c r="AF153" s="58" t="str">
        <f t="shared" si="110"/>
        <v>Local50RN2</v>
      </c>
      <c r="AG153" s="58" t="str">
        <f t="shared" si="110"/>
        <v>Local75GN</v>
      </c>
      <c r="AH153" s="58" t="str">
        <f t="shared" si="110"/>
        <v>Local75RN</v>
      </c>
      <c r="AI153" s="58" t="str">
        <f t="shared" si="110"/>
        <v>Local75RN2</v>
      </c>
      <c r="AJ153" s="58" t="str">
        <f t="shared" si="110"/>
        <v>Local100GN</v>
      </c>
      <c r="AK153" s="58" t="str">
        <f t="shared" si="110"/>
        <v>Local100RN</v>
      </c>
      <c r="AL153" s="58" t="str">
        <f t="shared" si="110"/>
        <v>Local100RN2</v>
      </c>
      <c r="AM153" s="58" t="str">
        <f t="shared" si="110"/>
        <v>Local150GN</v>
      </c>
      <c r="AN153" s="58" t="str">
        <f t="shared" si="110"/>
        <v>Local150RN</v>
      </c>
      <c r="AO153" s="58" t="str">
        <f t="shared" si="110"/>
        <v>Local150RN2</v>
      </c>
      <c r="AP153" s="58" t="str">
        <f t="shared" si="110"/>
        <v>Local200GN</v>
      </c>
      <c r="AQ153" s="58" t="str">
        <f t="shared" si="110"/>
        <v>Local200RN</v>
      </c>
      <c r="AR153" s="58" t="str">
        <f t="shared" si="110"/>
        <v>Local200RN2</v>
      </c>
    </row>
    <row r="154" spans="2:44" x14ac:dyDescent="0.25">
      <c r="B154" s="111" t="s">
        <v>8</v>
      </c>
      <c r="C154" s="36">
        <f t="shared" ref="C154:C164" si="111">U8</f>
        <v>3969</v>
      </c>
      <c r="D154" s="36">
        <f t="shared" ref="D154:D164" si="112">V8</f>
        <v>3539</v>
      </c>
      <c r="E154" s="36">
        <f t="shared" ref="E154:E164" si="113">W8</f>
        <v>3156</v>
      </c>
      <c r="F154" s="36">
        <f t="shared" ref="F154:F164" si="114">X8</f>
        <v>2815</v>
      </c>
      <c r="G154" s="36">
        <f t="shared" ref="G154:G164" si="115">U25</f>
        <v>3211</v>
      </c>
      <c r="H154" s="36">
        <f t="shared" ref="H154:H164" si="116">V25</f>
        <v>2781</v>
      </c>
      <c r="I154" s="36">
        <f t="shared" ref="I154:I164" si="117">W25</f>
        <v>2480</v>
      </c>
      <c r="J154" s="36">
        <f t="shared" ref="J154:J164" si="118">X25</f>
        <v>2211</v>
      </c>
      <c r="K154" s="36">
        <f t="shared" ref="K154:K164" si="119">U42</f>
        <v>2915</v>
      </c>
      <c r="L154" s="36">
        <f t="shared" ref="L154:L164" si="120">V42</f>
        <v>2501</v>
      </c>
      <c r="M154" s="36">
        <f t="shared" ref="M154:M164" si="121">W42</f>
        <v>2117</v>
      </c>
      <c r="N154" s="36">
        <f t="shared" ref="N154:N164" si="122">X42</f>
        <v>1559</v>
      </c>
      <c r="O154" s="116">
        <f t="shared" ref="O154:O164" si="123">T92</f>
        <v>2079</v>
      </c>
      <c r="P154" s="116">
        <f t="shared" ref="P154:P164" si="124">U92</f>
        <v>1189</v>
      </c>
      <c r="Q154" s="116">
        <f t="shared" ref="Q154:Q164" si="125">V92</f>
        <v>1011</v>
      </c>
      <c r="R154" s="116">
        <f t="shared" ref="R154:R164" si="126">W92</f>
        <v>1771</v>
      </c>
      <c r="S154" s="116">
        <f t="shared" ref="S154:S164" si="127">X92</f>
        <v>1188</v>
      </c>
      <c r="T154" s="116">
        <f t="shared" ref="T154:T164" si="128">Y92</f>
        <v>993</v>
      </c>
      <c r="U154" s="116">
        <f t="shared" ref="U154:U164" si="129">Z92</f>
        <v>1483</v>
      </c>
      <c r="V154" s="116">
        <f t="shared" ref="V154:V164" si="130">AA92</f>
        <v>1045</v>
      </c>
      <c r="W154" s="116">
        <f t="shared" ref="W154:W164" si="131">AB92</f>
        <v>888</v>
      </c>
      <c r="X154" s="116">
        <f t="shared" ref="X154:X164" si="132">AC92</f>
        <v>1282</v>
      </c>
      <c r="Y154" s="116">
        <f t="shared" ref="Y154:Y164" si="133">AD92</f>
        <v>934</v>
      </c>
      <c r="Z154" s="116">
        <f t="shared" ref="Z154:Z164" si="134">AE92</f>
        <v>794</v>
      </c>
      <c r="AA154" s="116">
        <f t="shared" ref="AA154:AA164" si="135">AF92</f>
        <v>1075</v>
      </c>
      <c r="AB154" s="116">
        <f t="shared" ref="AB154:AB164" si="136">AG92</f>
        <v>833</v>
      </c>
      <c r="AC154" s="116">
        <f t="shared" ref="AC154:AC164" si="137">AH92</f>
        <v>708</v>
      </c>
      <c r="AD154" s="116">
        <f t="shared" ref="AD154:AD164" si="138">T92</f>
        <v>2079</v>
      </c>
      <c r="AE154" s="116">
        <f t="shared" ref="AE154:AE164" si="139">U92</f>
        <v>1189</v>
      </c>
      <c r="AF154" s="116">
        <f t="shared" ref="AF154:AF164" si="140">V92</f>
        <v>1011</v>
      </c>
      <c r="AG154" s="116">
        <f t="shared" ref="AG154:AG164" si="141">W92</f>
        <v>1771</v>
      </c>
      <c r="AH154" s="116">
        <f t="shared" ref="AH154:AH164" si="142">X92</f>
        <v>1188</v>
      </c>
      <c r="AI154" s="116">
        <f t="shared" ref="AI154:AI164" si="143">Y92</f>
        <v>993</v>
      </c>
      <c r="AJ154" s="116">
        <f t="shared" ref="AJ154:AJ164" si="144">Z92</f>
        <v>1483</v>
      </c>
      <c r="AK154" s="116">
        <f t="shared" ref="AK154:AK164" si="145">AA92</f>
        <v>1045</v>
      </c>
      <c r="AL154" s="116">
        <f t="shared" ref="AL154:AL164" si="146">AB92</f>
        <v>888</v>
      </c>
      <c r="AM154" s="116">
        <f t="shared" ref="AM154:AM164" si="147">AC92</f>
        <v>1282</v>
      </c>
      <c r="AN154" s="116">
        <f t="shared" ref="AN154:AN164" si="148">AD92</f>
        <v>934</v>
      </c>
      <c r="AO154" s="116">
        <f t="shared" ref="AO154:AO164" si="149">AE92</f>
        <v>794</v>
      </c>
      <c r="AP154" s="116">
        <f t="shared" ref="AP154:AP164" si="150">AF92</f>
        <v>1075</v>
      </c>
      <c r="AQ154" s="116">
        <f t="shared" ref="AQ154:AQ164" si="151">AG92</f>
        <v>833</v>
      </c>
      <c r="AR154" s="116">
        <f t="shared" ref="AR154:AR164" si="152">AH92</f>
        <v>708</v>
      </c>
    </row>
    <row r="155" spans="2:44" x14ac:dyDescent="0.25">
      <c r="B155" s="113" t="s">
        <v>9</v>
      </c>
      <c r="C155" s="36">
        <f t="shared" si="111"/>
        <v>4712</v>
      </c>
      <c r="D155" s="36">
        <f t="shared" si="112"/>
        <v>4203</v>
      </c>
      <c r="E155" s="36">
        <f t="shared" si="113"/>
        <v>3748</v>
      </c>
      <c r="F155" s="36">
        <f t="shared" si="114"/>
        <v>3343</v>
      </c>
      <c r="G155" s="36">
        <f t="shared" si="115"/>
        <v>3812</v>
      </c>
      <c r="H155" s="36">
        <f t="shared" si="116"/>
        <v>3302</v>
      </c>
      <c r="I155" s="36">
        <f t="shared" si="117"/>
        <v>2945</v>
      </c>
      <c r="J155" s="36">
        <f t="shared" si="118"/>
        <v>2626</v>
      </c>
      <c r="K155" s="36">
        <f t="shared" si="119"/>
        <v>3462</v>
      </c>
      <c r="L155" s="36">
        <f t="shared" si="120"/>
        <v>2970</v>
      </c>
      <c r="M155" s="36">
        <f t="shared" si="121"/>
        <v>2514</v>
      </c>
      <c r="N155" s="36">
        <f t="shared" si="122"/>
        <v>1851</v>
      </c>
      <c r="O155" s="116">
        <f t="shared" si="123"/>
        <v>2470</v>
      </c>
      <c r="P155" s="116">
        <f t="shared" si="124"/>
        <v>1293</v>
      </c>
      <c r="Q155" s="116">
        <f t="shared" si="125"/>
        <v>1099</v>
      </c>
      <c r="R155" s="116">
        <f t="shared" si="126"/>
        <v>2102</v>
      </c>
      <c r="S155" s="116">
        <f t="shared" si="127"/>
        <v>1270</v>
      </c>
      <c r="T155" s="116">
        <f t="shared" si="128"/>
        <v>1079</v>
      </c>
      <c r="U155" s="116">
        <f t="shared" si="129"/>
        <v>1761</v>
      </c>
      <c r="V155" s="116">
        <f t="shared" si="130"/>
        <v>1134</v>
      </c>
      <c r="W155" s="116">
        <f t="shared" si="131"/>
        <v>954</v>
      </c>
      <c r="X155" s="116">
        <f t="shared" si="132"/>
        <v>1499</v>
      </c>
      <c r="Y155" s="116">
        <f t="shared" si="133"/>
        <v>1014</v>
      </c>
      <c r="Z155" s="116">
        <f t="shared" si="134"/>
        <v>861</v>
      </c>
      <c r="AA155" s="116">
        <f t="shared" si="135"/>
        <v>1276</v>
      </c>
      <c r="AB155" s="116">
        <f t="shared" si="136"/>
        <v>905</v>
      </c>
      <c r="AC155" s="116">
        <f t="shared" si="137"/>
        <v>769</v>
      </c>
      <c r="AD155" s="116">
        <f t="shared" si="138"/>
        <v>2470</v>
      </c>
      <c r="AE155" s="116">
        <f t="shared" si="139"/>
        <v>1293</v>
      </c>
      <c r="AF155" s="116">
        <f t="shared" si="140"/>
        <v>1099</v>
      </c>
      <c r="AG155" s="116">
        <f t="shared" si="141"/>
        <v>2102</v>
      </c>
      <c r="AH155" s="116">
        <f t="shared" si="142"/>
        <v>1270</v>
      </c>
      <c r="AI155" s="116">
        <f t="shared" si="143"/>
        <v>1079</v>
      </c>
      <c r="AJ155" s="116">
        <f t="shared" si="144"/>
        <v>1761</v>
      </c>
      <c r="AK155" s="116">
        <f t="shared" si="145"/>
        <v>1134</v>
      </c>
      <c r="AL155" s="116">
        <f t="shared" si="146"/>
        <v>954</v>
      </c>
      <c r="AM155" s="116">
        <f t="shared" si="147"/>
        <v>1499</v>
      </c>
      <c r="AN155" s="116">
        <f t="shared" si="148"/>
        <v>1014</v>
      </c>
      <c r="AO155" s="116">
        <f t="shared" si="149"/>
        <v>861</v>
      </c>
      <c r="AP155" s="116">
        <f t="shared" si="150"/>
        <v>1276</v>
      </c>
      <c r="AQ155" s="116">
        <f t="shared" si="151"/>
        <v>905</v>
      </c>
      <c r="AR155" s="116">
        <f t="shared" si="152"/>
        <v>769</v>
      </c>
    </row>
    <row r="156" spans="2:44" x14ac:dyDescent="0.25">
      <c r="B156" s="113" t="s">
        <v>10</v>
      </c>
      <c r="C156" s="36">
        <f t="shared" si="111"/>
        <v>4713</v>
      </c>
      <c r="D156" s="36">
        <f t="shared" si="112"/>
        <v>4203</v>
      </c>
      <c r="E156" s="36">
        <f t="shared" si="113"/>
        <v>3748</v>
      </c>
      <c r="F156" s="36">
        <f t="shared" si="114"/>
        <v>3343</v>
      </c>
      <c r="G156" s="36">
        <f t="shared" si="115"/>
        <v>3813</v>
      </c>
      <c r="H156" s="36">
        <f t="shared" si="116"/>
        <v>3302</v>
      </c>
      <c r="I156" s="36">
        <f t="shared" si="117"/>
        <v>2945</v>
      </c>
      <c r="J156" s="36">
        <f t="shared" si="118"/>
        <v>2626</v>
      </c>
      <c r="K156" s="36">
        <f t="shared" si="119"/>
        <v>3462</v>
      </c>
      <c r="L156" s="36">
        <f t="shared" si="120"/>
        <v>2970</v>
      </c>
      <c r="M156" s="36">
        <f t="shared" si="121"/>
        <v>2514</v>
      </c>
      <c r="N156" s="36">
        <f t="shared" si="122"/>
        <v>1851</v>
      </c>
      <c r="O156" s="116">
        <f t="shared" si="123"/>
        <v>2470</v>
      </c>
      <c r="P156" s="116">
        <f t="shared" si="124"/>
        <v>1293</v>
      </c>
      <c r="Q156" s="116">
        <f t="shared" si="125"/>
        <v>1099</v>
      </c>
      <c r="R156" s="116">
        <f t="shared" si="126"/>
        <v>2102</v>
      </c>
      <c r="S156" s="116">
        <f t="shared" si="127"/>
        <v>1270</v>
      </c>
      <c r="T156" s="116">
        <f t="shared" si="128"/>
        <v>1079</v>
      </c>
      <c r="U156" s="116">
        <f t="shared" si="129"/>
        <v>1761</v>
      </c>
      <c r="V156" s="116">
        <f t="shared" si="130"/>
        <v>1134</v>
      </c>
      <c r="W156" s="116">
        <f t="shared" si="131"/>
        <v>964</v>
      </c>
      <c r="X156" s="116">
        <f t="shared" si="132"/>
        <v>1499</v>
      </c>
      <c r="Y156" s="116">
        <f t="shared" si="133"/>
        <v>1014</v>
      </c>
      <c r="Z156" s="116">
        <f t="shared" si="134"/>
        <v>861</v>
      </c>
      <c r="AA156" s="116">
        <f t="shared" si="135"/>
        <v>1278</v>
      </c>
      <c r="AB156" s="116">
        <f t="shared" si="136"/>
        <v>905</v>
      </c>
      <c r="AC156" s="116">
        <f t="shared" si="137"/>
        <v>769</v>
      </c>
      <c r="AD156" s="116">
        <f t="shared" si="138"/>
        <v>2470</v>
      </c>
      <c r="AE156" s="116">
        <f t="shared" si="139"/>
        <v>1293</v>
      </c>
      <c r="AF156" s="116">
        <f t="shared" si="140"/>
        <v>1099</v>
      </c>
      <c r="AG156" s="116">
        <f t="shared" si="141"/>
        <v>2102</v>
      </c>
      <c r="AH156" s="116">
        <f t="shared" si="142"/>
        <v>1270</v>
      </c>
      <c r="AI156" s="116">
        <f t="shared" si="143"/>
        <v>1079</v>
      </c>
      <c r="AJ156" s="116">
        <f t="shared" si="144"/>
        <v>1761</v>
      </c>
      <c r="AK156" s="116">
        <f t="shared" si="145"/>
        <v>1134</v>
      </c>
      <c r="AL156" s="116">
        <f t="shared" si="146"/>
        <v>964</v>
      </c>
      <c r="AM156" s="116">
        <f t="shared" si="147"/>
        <v>1499</v>
      </c>
      <c r="AN156" s="116">
        <f t="shared" si="148"/>
        <v>1014</v>
      </c>
      <c r="AO156" s="116">
        <f t="shared" si="149"/>
        <v>861</v>
      </c>
      <c r="AP156" s="116">
        <f t="shared" si="150"/>
        <v>1278</v>
      </c>
      <c r="AQ156" s="116">
        <f t="shared" si="151"/>
        <v>905</v>
      </c>
      <c r="AR156" s="116">
        <f t="shared" si="152"/>
        <v>769</v>
      </c>
    </row>
    <row r="157" spans="2:44" x14ac:dyDescent="0.25">
      <c r="B157" s="113" t="s">
        <v>11</v>
      </c>
      <c r="C157" s="36">
        <f t="shared" si="111"/>
        <v>4901</v>
      </c>
      <c r="D157" s="36">
        <f t="shared" si="112"/>
        <v>4371</v>
      </c>
      <c r="E157" s="36">
        <f t="shared" si="113"/>
        <v>3898</v>
      </c>
      <c r="F157" s="36">
        <f t="shared" si="114"/>
        <v>3476</v>
      </c>
      <c r="G157" s="36">
        <f t="shared" si="115"/>
        <v>3965</v>
      </c>
      <c r="H157" s="36">
        <f t="shared" si="116"/>
        <v>3434</v>
      </c>
      <c r="I157" s="36">
        <f t="shared" si="117"/>
        <v>3063</v>
      </c>
      <c r="J157" s="36">
        <f t="shared" si="118"/>
        <v>2731</v>
      </c>
      <c r="K157" s="36">
        <f t="shared" si="119"/>
        <v>3629</v>
      </c>
      <c r="L157" s="36">
        <f t="shared" si="120"/>
        <v>3114</v>
      </c>
      <c r="M157" s="36">
        <f t="shared" si="121"/>
        <v>2635</v>
      </c>
      <c r="N157" s="36">
        <f t="shared" si="122"/>
        <v>1940</v>
      </c>
      <c r="O157" s="116">
        <f t="shared" si="123"/>
        <v>2595</v>
      </c>
      <c r="P157" s="116">
        <f t="shared" si="124"/>
        <v>1357</v>
      </c>
      <c r="Q157" s="116">
        <f t="shared" si="125"/>
        <v>1154</v>
      </c>
      <c r="R157" s="116">
        <f t="shared" si="126"/>
        <v>2209</v>
      </c>
      <c r="S157" s="116">
        <f t="shared" si="127"/>
        <v>1333</v>
      </c>
      <c r="T157" s="116">
        <f t="shared" si="128"/>
        <v>1133</v>
      </c>
      <c r="U157" s="116">
        <f t="shared" si="129"/>
        <v>1851</v>
      </c>
      <c r="V157" s="116">
        <f t="shared" si="130"/>
        <v>1191</v>
      </c>
      <c r="W157" s="116">
        <f t="shared" si="131"/>
        <v>1013</v>
      </c>
      <c r="X157" s="116">
        <f t="shared" si="132"/>
        <v>1576</v>
      </c>
      <c r="Y157" s="116">
        <f t="shared" si="133"/>
        <v>1065</v>
      </c>
      <c r="Z157" s="116">
        <f t="shared" si="134"/>
        <v>905</v>
      </c>
      <c r="AA157" s="116">
        <f t="shared" si="135"/>
        <v>1342</v>
      </c>
      <c r="AB157" s="116">
        <f t="shared" si="136"/>
        <v>952</v>
      </c>
      <c r="AC157" s="116">
        <f t="shared" si="137"/>
        <v>809</v>
      </c>
      <c r="AD157" s="116">
        <f t="shared" si="138"/>
        <v>2595</v>
      </c>
      <c r="AE157" s="116">
        <f t="shared" si="139"/>
        <v>1357</v>
      </c>
      <c r="AF157" s="116">
        <f t="shared" si="140"/>
        <v>1154</v>
      </c>
      <c r="AG157" s="116">
        <f t="shared" si="141"/>
        <v>2209</v>
      </c>
      <c r="AH157" s="116">
        <f t="shared" si="142"/>
        <v>1333</v>
      </c>
      <c r="AI157" s="116">
        <f t="shared" si="143"/>
        <v>1133</v>
      </c>
      <c r="AJ157" s="116">
        <f t="shared" si="144"/>
        <v>1851</v>
      </c>
      <c r="AK157" s="116">
        <f t="shared" si="145"/>
        <v>1191</v>
      </c>
      <c r="AL157" s="116">
        <f t="shared" si="146"/>
        <v>1013</v>
      </c>
      <c r="AM157" s="116">
        <f t="shared" si="147"/>
        <v>1576</v>
      </c>
      <c r="AN157" s="116">
        <f t="shared" si="148"/>
        <v>1065</v>
      </c>
      <c r="AO157" s="116">
        <f t="shared" si="149"/>
        <v>905</v>
      </c>
      <c r="AP157" s="116">
        <f t="shared" si="150"/>
        <v>1342</v>
      </c>
      <c r="AQ157" s="116">
        <f t="shared" si="151"/>
        <v>952</v>
      </c>
      <c r="AR157" s="116">
        <f t="shared" si="152"/>
        <v>809</v>
      </c>
    </row>
    <row r="158" spans="2:44" x14ac:dyDescent="0.25">
      <c r="B158" s="113" t="s">
        <v>12</v>
      </c>
      <c r="C158" s="36">
        <f t="shared" si="111"/>
        <v>5446</v>
      </c>
      <c r="D158" s="36">
        <f t="shared" si="112"/>
        <v>4857</v>
      </c>
      <c r="E158" s="36">
        <f t="shared" si="113"/>
        <v>4331</v>
      </c>
      <c r="F158" s="36">
        <f t="shared" si="114"/>
        <v>3863</v>
      </c>
      <c r="G158" s="36">
        <f t="shared" si="115"/>
        <v>4405</v>
      </c>
      <c r="H158" s="36">
        <f t="shared" si="116"/>
        <v>3816</v>
      </c>
      <c r="I158" s="36">
        <f t="shared" si="117"/>
        <v>3403</v>
      </c>
      <c r="J158" s="36">
        <f t="shared" si="118"/>
        <v>3035</v>
      </c>
      <c r="K158" s="36">
        <f t="shared" si="119"/>
        <v>4033</v>
      </c>
      <c r="L158" s="36">
        <f t="shared" si="120"/>
        <v>3460</v>
      </c>
      <c r="M158" s="36">
        <f t="shared" si="121"/>
        <v>2928</v>
      </c>
      <c r="N158" s="36">
        <f t="shared" si="122"/>
        <v>2156</v>
      </c>
      <c r="O158" s="116">
        <f t="shared" si="123"/>
        <v>2884</v>
      </c>
      <c r="P158" s="116">
        <f t="shared" si="124"/>
        <v>1508</v>
      </c>
      <c r="Q158" s="116">
        <f t="shared" si="125"/>
        <v>1282</v>
      </c>
      <c r="R158" s="116">
        <f t="shared" si="126"/>
        <v>2455</v>
      </c>
      <c r="S158" s="116">
        <f t="shared" si="127"/>
        <v>1483</v>
      </c>
      <c r="T158" s="116">
        <f t="shared" si="128"/>
        <v>1250</v>
      </c>
      <c r="U158" s="116">
        <f t="shared" si="129"/>
        <v>2057</v>
      </c>
      <c r="V158" s="116">
        <f t="shared" si="130"/>
        <v>1324</v>
      </c>
      <c r="W158" s="116">
        <f t="shared" si="131"/>
        <v>1126</v>
      </c>
      <c r="X158" s="116">
        <f t="shared" si="132"/>
        <v>1752</v>
      </c>
      <c r="Y158" s="116">
        <f t="shared" si="133"/>
        <v>1184</v>
      </c>
      <c r="Z158" s="116">
        <f t="shared" si="134"/>
        <v>1006</v>
      </c>
      <c r="AA158" s="116">
        <f t="shared" si="135"/>
        <v>1492</v>
      </c>
      <c r="AB158" s="116">
        <f t="shared" si="136"/>
        <v>1057</v>
      </c>
      <c r="AC158" s="116">
        <f t="shared" si="137"/>
        <v>899</v>
      </c>
      <c r="AD158" s="116">
        <f t="shared" si="138"/>
        <v>2884</v>
      </c>
      <c r="AE158" s="116">
        <f t="shared" si="139"/>
        <v>1508</v>
      </c>
      <c r="AF158" s="116">
        <f t="shared" si="140"/>
        <v>1282</v>
      </c>
      <c r="AG158" s="116">
        <f t="shared" si="141"/>
        <v>2455</v>
      </c>
      <c r="AH158" s="116">
        <f t="shared" si="142"/>
        <v>1483</v>
      </c>
      <c r="AI158" s="116">
        <f t="shared" si="143"/>
        <v>1250</v>
      </c>
      <c r="AJ158" s="116">
        <f t="shared" si="144"/>
        <v>2057</v>
      </c>
      <c r="AK158" s="116">
        <f t="shared" si="145"/>
        <v>1324</v>
      </c>
      <c r="AL158" s="116">
        <f t="shared" si="146"/>
        <v>1126</v>
      </c>
      <c r="AM158" s="116">
        <f t="shared" si="147"/>
        <v>1752</v>
      </c>
      <c r="AN158" s="116">
        <f t="shared" si="148"/>
        <v>1184</v>
      </c>
      <c r="AO158" s="116">
        <f t="shared" si="149"/>
        <v>1006</v>
      </c>
      <c r="AP158" s="116">
        <f t="shared" si="150"/>
        <v>1492</v>
      </c>
      <c r="AQ158" s="116">
        <f t="shared" si="151"/>
        <v>1057</v>
      </c>
      <c r="AR158" s="116">
        <f t="shared" si="152"/>
        <v>899</v>
      </c>
    </row>
    <row r="159" spans="2:44" x14ac:dyDescent="0.25">
      <c r="B159" s="113" t="s">
        <v>13</v>
      </c>
      <c r="C159" s="36">
        <f t="shared" si="111"/>
        <v>6364</v>
      </c>
      <c r="D159" s="36">
        <f t="shared" si="112"/>
        <v>5708</v>
      </c>
      <c r="E159" s="36">
        <f t="shared" si="113"/>
        <v>5083</v>
      </c>
      <c r="F159" s="36">
        <f t="shared" si="114"/>
        <v>4533</v>
      </c>
      <c r="G159" s="36">
        <f t="shared" si="115"/>
        <v>5164</v>
      </c>
      <c r="H159" s="36">
        <f t="shared" si="116"/>
        <v>4500</v>
      </c>
      <c r="I159" s="36">
        <f t="shared" si="117"/>
        <v>4013</v>
      </c>
      <c r="J159" s="36">
        <f t="shared" si="118"/>
        <v>3579</v>
      </c>
      <c r="K159" s="36">
        <f t="shared" si="119"/>
        <v>4710</v>
      </c>
      <c r="L159" s="36">
        <f t="shared" si="120"/>
        <v>4067</v>
      </c>
      <c r="M159" s="36">
        <f t="shared" si="121"/>
        <v>3469</v>
      </c>
      <c r="N159" s="36">
        <f t="shared" si="122"/>
        <v>2554</v>
      </c>
      <c r="O159" s="116">
        <f t="shared" si="123"/>
        <v>3369</v>
      </c>
      <c r="P159" s="116">
        <f t="shared" si="124"/>
        <v>1763</v>
      </c>
      <c r="Q159" s="116">
        <f t="shared" si="125"/>
        <v>1499</v>
      </c>
      <c r="R159" s="116">
        <f t="shared" si="126"/>
        <v>2888</v>
      </c>
      <c r="S159" s="116">
        <f t="shared" si="127"/>
        <v>1744</v>
      </c>
      <c r="T159" s="116">
        <f t="shared" si="128"/>
        <v>1482</v>
      </c>
      <c r="U159" s="116">
        <f t="shared" si="129"/>
        <v>2440</v>
      </c>
      <c r="V159" s="116">
        <f t="shared" si="130"/>
        <v>1572</v>
      </c>
      <c r="W159" s="116">
        <f t="shared" si="131"/>
        <v>1338</v>
      </c>
      <c r="X159" s="116">
        <f t="shared" si="132"/>
        <v>2078</v>
      </c>
      <c r="Y159" s="116">
        <f t="shared" si="133"/>
        <v>1404</v>
      </c>
      <c r="Z159" s="116">
        <f t="shared" si="134"/>
        <v>1194</v>
      </c>
      <c r="AA159" s="116">
        <f t="shared" si="135"/>
        <v>1769</v>
      </c>
      <c r="AB159" s="116">
        <f t="shared" si="136"/>
        <v>1268</v>
      </c>
      <c r="AC159" s="116">
        <f t="shared" si="137"/>
        <v>1067</v>
      </c>
      <c r="AD159" s="116">
        <f t="shared" si="138"/>
        <v>3369</v>
      </c>
      <c r="AE159" s="116">
        <f t="shared" si="139"/>
        <v>1763</v>
      </c>
      <c r="AF159" s="116">
        <f t="shared" si="140"/>
        <v>1499</v>
      </c>
      <c r="AG159" s="116">
        <f t="shared" si="141"/>
        <v>2888</v>
      </c>
      <c r="AH159" s="116">
        <f t="shared" si="142"/>
        <v>1744</v>
      </c>
      <c r="AI159" s="116">
        <f t="shared" si="143"/>
        <v>1482</v>
      </c>
      <c r="AJ159" s="116">
        <f t="shared" si="144"/>
        <v>2440</v>
      </c>
      <c r="AK159" s="116">
        <f t="shared" si="145"/>
        <v>1572</v>
      </c>
      <c r="AL159" s="116">
        <f t="shared" si="146"/>
        <v>1338</v>
      </c>
      <c r="AM159" s="116">
        <f t="shared" si="147"/>
        <v>2078</v>
      </c>
      <c r="AN159" s="116">
        <f t="shared" si="148"/>
        <v>1404</v>
      </c>
      <c r="AO159" s="116">
        <f t="shared" si="149"/>
        <v>1194</v>
      </c>
      <c r="AP159" s="116">
        <f t="shared" si="150"/>
        <v>1769</v>
      </c>
      <c r="AQ159" s="116">
        <f t="shared" si="151"/>
        <v>1268</v>
      </c>
      <c r="AR159" s="116">
        <f t="shared" si="152"/>
        <v>1067</v>
      </c>
    </row>
    <row r="160" spans="2:44" x14ac:dyDescent="0.25">
      <c r="B160" s="113" t="s">
        <v>14</v>
      </c>
      <c r="C160" s="36">
        <f t="shared" si="111"/>
        <v>8592</v>
      </c>
      <c r="D160" s="36">
        <f t="shared" si="112"/>
        <v>7695</v>
      </c>
      <c r="E160" s="36">
        <f t="shared" si="113"/>
        <v>6863</v>
      </c>
      <c r="F160" s="36">
        <f t="shared" si="114"/>
        <v>6120</v>
      </c>
      <c r="G160" s="36">
        <f t="shared" si="115"/>
        <v>6972</v>
      </c>
      <c r="H160" s="36">
        <f t="shared" si="116"/>
        <v>6074</v>
      </c>
      <c r="I160" s="36">
        <f t="shared" si="117"/>
        <v>5417</v>
      </c>
      <c r="J160" s="36">
        <f t="shared" si="118"/>
        <v>4831</v>
      </c>
      <c r="K160" s="36">
        <f t="shared" si="119"/>
        <v>6358</v>
      </c>
      <c r="L160" s="36">
        <f t="shared" si="120"/>
        <v>5491</v>
      </c>
      <c r="M160" s="36">
        <f t="shared" si="121"/>
        <v>4683</v>
      </c>
      <c r="N160" s="36">
        <f t="shared" si="122"/>
        <v>3448</v>
      </c>
      <c r="O160" s="116">
        <f t="shared" si="123"/>
        <v>4548</v>
      </c>
      <c r="P160" s="116">
        <f t="shared" si="124"/>
        <v>2380</v>
      </c>
      <c r="Q160" s="116">
        <f t="shared" si="125"/>
        <v>2023</v>
      </c>
      <c r="R160" s="116">
        <f t="shared" si="126"/>
        <v>3898</v>
      </c>
      <c r="S160" s="116">
        <f t="shared" si="127"/>
        <v>2354</v>
      </c>
      <c r="T160" s="116">
        <f t="shared" si="128"/>
        <v>2001</v>
      </c>
      <c r="U160" s="116">
        <f t="shared" si="129"/>
        <v>3294</v>
      </c>
      <c r="V160" s="116">
        <f t="shared" si="130"/>
        <v>2122</v>
      </c>
      <c r="W160" s="116">
        <f t="shared" si="131"/>
        <v>1803</v>
      </c>
      <c r="X160" s="116">
        <f t="shared" si="132"/>
        <v>2805</v>
      </c>
      <c r="Y160" s="116">
        <f t="shared" si="133"/>
        <v>1896</v>
      </c>
      <c r="Z160" s="116">
        <f t="shared" si="134"/>
        <v>1611</v>
      </c>
      <c r="AA160" s="116">
        <f t="shared" si="135"/>
        <v>2388</v>
      </c>
      <c r="AB160" s="116">
        <f t="shared" si="136"/>
        <v>1694</v>
      </c>
      <c r="AC160" s="116">
        <f t="shared" si="137"/>
        <v>1449</v>
      </c>
      <c r="AD160" s="116">
        <f t="shared" si="138"/>
        <v>4548</v>
      </c>
      <c r="AE160" s="116">
        <f t="shared" si="139"/>
        <v>2380</v>
      </c>
      <c r="AF160" s="116">
        <f t="shared" si="140"/>
        <v>2023</v>
      </c>
      <c r="AG160" s="116">
        <f t="shared" si="141"/>
        <v>3898</v>
      </c>
      <c r="AH160" s="116">
        <f t="shared" si="142"/>
        <v>2354</v>
      </c>
      <c r="AI160" s="116">
        <f t="shared" si="143"/>
        <v>2001</v>
      </c>
      <c r="AJ160" s="116">
        <f t="shared" si="144"/>
        <v>3294</v>
      </c>
      <c r="AK160" s="116">
        <f t="shared" si="145"/>
        <v>2122</v>
      </c>
      <c r="AL160" s="116">
        <f t="shared" si="146"/>
        <v>1803</v>
      </c>
      <c r="AM160" s="116">
        <f t="shared" si="147"/>
        <v>2805</v>
      </c>
      <c r="AN160" s="116">
        <f t="shared" si="148"/>
        <v>1896</v>
      </c>
      <c r="AO160" s="116">
        <f t="shared" si="149"/>
        <v>1611</v>
      </c>
      <c r="AP160" s="116">
        <f t="shared" si="150"/>
        <v>2388</v>
      </c>
      <c r="AQ160" s="116">
        <f t="shared" si="151"/>
        <v>1694</v>
      </c>
      <c r="AR160" s="116">
        <f t="shared" si="152"/>
        <v>1449</v>
      </c>
    </row>
    <row r="161" spans="2:44" x14ac:dyDescent="0.25">
      <c r="B161" s="113" t="s">
        <v>15</v>
      </c>
      <c r="C161" s="36">
        <f t="shared" si="111"/>
        <v>23564</v>
      </c>
      <c r="D161" s="36">
        <f t="shared" si="112"/>
        <v>21015</v>
      </c>
      <c r="E161" s="36">
        <f t="shared" si="113"/>
        <v>18741</v>
      </c>
      <c r="F161" s="36">
        <f t="shared" si="114"/>
        <v>16713</v>
      </c>
      <c r="G161" s="36">
        <f t="shared" si="115"/>
        <v>19064</v>
      </c>
      <c r="H161" s="36">
        <f t="shared" si="116"/>
        <v>16510</v>
      </c>
      <c r="I161" s="36">
        <f t="shared" si="117"/>
        <v>14724</v>
      </c>
      <c r="J161" s="36">
        <f t="shared" si="118"/>
        <v>13131</v>
      </c>
      <c r="K161" s="36">
        <f t="shared" si="119"/>
        <v>17309</v>
      </c>
      <c r="L161" s="36">
        <f t="shared" si="120"/>
        <v>14852</v>
      </c>
      <c r="M161" s="36">
        <f t="shared" si="121"/>
        <v>12566</v>
      </c>
      <c r="N161" s="36">
        <f t="shared" si="122"/>
        <v>9254</v>
      </c>
      <c r="O161" s="116">
        <f t="shared" si="123"/>
        <v>12349</v>
      </c>
      <c r="P161" s="116">
        <f t="shared" si="124"/>
        <v>6463</v>
      </c>
      <c r="Q161" s="116">
        <f t="shared" si="125"/>
        <v>5493</v>
      </c>
      <c r="R161" s="116">
        <f t="shared" si="126"/>
        <v>10512</v>
      </c>
      <c r="S161" s="116">
        <f t="shared" si="127"/>
        <v>6350</v>
      </c>
      <c r="T161" s="116">
        <f t="shared" si="128"/>
        <v>5397</v>
      </c>
      <c r="U161" s="116">
        <f t="shared" si="129"/>
        <v>8807</v>
      </c>
      <c r="V161" s="116">
        <f t="shared" si="130"/>
        <v>5671</v>
      </c>
      <c r="W161" s="116">
        <f t="shared" si="131"/>
        <v>4820</v>
      </c>
      <c r="X161" s="116">
        <f t="shared" si="132"/>
        <v>7495</v>
      </c>
      <c r="Y161" s="116">
        <f t="shared" si="133"/>
        <v>5066</v>
      </c>
      <c r="Z161" s="116">
        <f t="shared" si="134"/>
        <v>4307</v>
      </c>
      <c r="AA161" s="116">
        <f t="shared" si="135"/>
        <v>6380</v>
      </c>
      <c r="AB161" s="116">
        <f t="shared" si="136"/>
        <v>4525</v>
      </c>
      <c r="AC161" s="116">
        <f t="shared" si="137"/>
        <v>3848</v>
      </c>
      <c r="AD161" s="116">
        <f t="shared" si="138"/>
        <v>12349</v>
      </c>
      <c r="AE161" s="116">
        <f t="shared" si="139"/>
        <v>6463</v>
      </c>
      <c r="AF161" s="116">
        <f t="shared" si="140"/>
        <v>5493</v>
      </c>
      <c r="AG161" s="116">
        <f t="shared" si="141"/>
        <v>10512</v>
      </c>
      <c r="AH161" s="116">
        <f t="shared" si="142"/>
        <v>6350</v>
      </c>
      <c r="AI161" s="116">
        <f t="shared" si="143"/>
        <v>5397</v>
      </c>
      <c r="AJ161" s="116">
        <f t="shared" si="144"/>
        <v>8807</v>
      </c>
      <c r="AK161" s="116">
        <f t="shared" si="145"/>
        <v>5671</v>
      </c>
      <c r="AL161" s="116">
        <f t="shared" si="146"/>
        <v>4820</v>
      </c>
      <c r="AM161" s="116">
        <f t="shared" si="147"/>
        <v>7495</v>
      </c>
      <c r="AN161" s="116">
        <f t="shared" si="148"/>
        <v>5066</v>
      </c>
      <c r="AO161" s="116">
        <f t="shared" si="149"/>
        <v>4307</v>
      </c>
      <c r="AP161" s="116">
        <f t="shared" si="150"/>
        <v>6380</v>
      </c>
      <c r="AQ161" s="116">
        <f t="shared" si="151"/>
        <v>4525</v>
      </c>
      <c r="AR161" s="116">
        <f t="shared" si="152"/>
        <v>3848</v>
      </c>
    </row>
    <row r="162" spans="2:44" x14ac:dyDescent="0.25">
      <c r="B162" s="113" t="s">
        <v>16</v>
      </c>
      <c r="C162" s="36">
        <f t="shared" si="111"/>
        <v>30633</v>
      </c>
      <c r="D162" s="36">
        <f t="shared" si="112"/>
        <v>27319</v>
      </c>
      <c r="E162" s="36">
        <f t="shared" si="113"/>
        <v>24363</v>
      </c>
      <c r="F162" s="36">
        <f t="shared" si="114"/>
        <v>21728</v>
      </c>
      <c r="G162" s="36">
        <f t="shared" si="115"/>
        <v>24783</v>
      </c>
      <c r="H162" s="36">
        <f t="shared" si="116"/>
        <v>21463</v>
      </c>
      <c r="I162" s="36">
        <f t="shared" si="117"/>
        <v>19141</v>
      </c>
      <c r="J162" s="36">
        <f t="shared" si="118"/>
        <v>17070</v>
      </c>
      <c r="K162" s="36">
        <f t="shared" si="119"/>
        <v>22501</v>
      </c>
      <c r="L162" s="36">
        <f t="shared" si="120"/>
        <v>19309</v>
      </c>
      <c r="M162" s="36">
        <f t="shared" si="121"/>
        <v>16338</v>
      </c>
      <c r="N162" s="36">
        <f t="shared" si="122"/>
        <v>12030</v>
      </c>
      <c r="O162" s="116">
        <f t="shared" si="123"/>
        <v>16053</v>
      </c>
      <c r="P162" s="116">
        <f t="shared" si="124"/>
        <v>8402</v>
      </c>
      <c r="Q162" s="116">
        <f t="shared" si="125"/>
        <v>7141</v>
      </c>
      <c r="R162" s="116">
        <f t="shared" si="126"/>
        <v>13666</v>
      </c>
      <c r="S162" s="116">
        <f t="shared" si="127"/>
        <v>8254</v>
      </c>
      <c r="T162" s="116">
        <f t="shared" si="128"/>
        <v>7016</v>
      </c>
      <c r="U162" s="116">
        <f t="shared" si="129"/>
        <v>11449</v>
      </c>
      <c r="V162" s="116">
        <f t="shared" si="130"/>
        <v>7372</v>
      </c>
      <c r="W162" s="116">
        <f t="shared" si="131"/>
        <v>6288</v>
      </c>
      <c r="X162" s="116">
        <f t="shared" si="132"/>
        <v>9744</v>
      </c>
      <c r="Y162" s="116">
        <f t="shared" si="133"/>
        <v>6588</v>
      </c>
      <c r="Z162" s="116">
        <f t="shared" si="134"/>
        <v>5600</v>
      </c>
      <c r="AA162" s="116">
        <f t="shared" si="135"/>
        <v>8295</v>
      </c>
      <c r="AB162" s="116">
        <f t="shared" si="136"/>
        <v>5882</v>
      </c>
      <c r="AC162" s="116">
        <f t="shared" si="137"/>
        <v>5000</v>
      </c>
      <c r="AD162" s="116">
        <f t="shared" si="138"/>
        <v>16053</v>
      </c>
      <c r="AE162" s="116">
        <f t="shared" si="139"/>
        <v>8402</v>
      </c>
      <c r="AF162" s="116">
        <f t="shared" si="140"/>
        <v>7141</v>
      </c>
      <c r="AG162" s="116">
        <f t="shared" si="141"/>
        <v>13666</v>
      </c>
      <c r="AH162" s="116">
        <f t="shared" si="142"/>
        <v>8254</v>
      </c>
      <c r="AI162" s="116">
        <f t="shared" si="143"/>
        <v>7016</v>
      </c>
      <c r="AJ162" s="116">
        <f t="shared" si="144"/>
        <v>11449</v>
      </c>
      <c r="AK162" s="116">
        <f t="shared" si="145"/>
        <v>7372</v>
      </c>
      <c r="AL162" s="116">
        <f t="shared" si="146"/>
        <v>6288</v>
      </c>
      <c r="AM162" s="116">
        <f t="shared" si="147"/>
        <v>9744</v>
      </c>
      <c r="AN162" s="116">
        <f t="shared" si="148"/>
        <v>6588</v>
      </c>
      <c r="AO162" s="116">
        <f t="shared" si="149"/>
        <v>5600</v>
      </c>
      <c r="AP162" s="116">
        <f t="shared" si="150"/>
        <v>8295</v>
      </c>
      <c r="AQ162" s="116">
        <f t="shared" si="151"/>
        <v>5882</v>
      </c>
      <c r="AR162" s="116">
        <f t="shared" si="152"/>
        <v>5000</v>
      </c>
    </row>
    <row r="163" spans="2:44" x14ac:dyDescent="0.25">
      <c r="B163" s="113" t="s">
        <v>17</v>
      </c>
      <c r="C163" s="36">
        <f t="shared" si="111"/>
        <v>37703</v>
      </c>
      <c r="D163" s="36">
        <f t="shared" si="112"/>
        <v>33624</v>
      </c>
      <c r="E163" s="36">
        <f t="shared" si="113"/>
        <v>29986</v>
      </c>
      <c r="F163" s="36">
        <f t="shared" si="114"/>
        <v>26742</v>
      </c>
      <c r="G163" s="36">
        <f t="shared" si="115"/>
        <v>30502</v>
      </c>
      <c r="H163" s="36">
        <f t="shared" si="116"/>
        <v>26416</v>
      </c>
      <c r="I163" s="36">
        <f t="shared" si="117"/>
        <v>23558</v>
      </c>
      <c r="J163" s="36">
        <f t="shared" si="118"/>
        <v>21009</v>
      </c>
      <c r="K163" s="36">
        <f t="shared" si="119"/>
        <v>27694</v>
      </c>
      <c r="L163" s="36">
        <f t="shared" si="120"/>
        <v>23764</v>
      </c>
      <c r="M163" s="36">
        <f t="shared" si="121"/>
        <v>20109</v>
      </c>
      <c r="N163" s="36">
        <f t="shared" si="122"/>
        <v>14807</v>
      </c>
      <c r="O163" s="116">
        <f t="shared" si="123"/>
        <v>19758</v>
      </c>
      <c r="P163" s="116">
        <f t="shared" si="124"/>
        <v>10340</v>
      </c>
      <c r="Q163" s="116">
        <f t="shared" si="125"/>
        <v>8789</v>
      </c>
      <c r="R163" s="116">
        <f t="shared" si="126"/>
        <v>16819</v>
      </c>
      <c r="S163" s="116">
        <f t="shared" si="127"/>
        <v>10159</v>
      </c>
      <c r="T163" s="116">
        <f t="shared" si="128"/>
        <v>8635</v>
      </c>
      <c r="U163" s="116">
        <f t="shared" si="129"/>
        <v>14091</v>
      </c>
      <c r="V163" s="116">
        <f t="shared" si="130"/>
        <v>9073</v>
      </c>
      <c r="W163" s="116">
        <f t="shared" si="131"/>
        <v>7712</v>
      </c>
      <c r="X163" s="116">
        <f t="shared" si="132"/>
        <v>11993</v>
      </c>
      <c r="Y163" s="116">
        <f t="shared" si="133"/>
        <v>8108</v>
      </c>
      <c r="Z163" s="116">
        <f t="shared" si="134"/>
        <v>5892</v>
      </c>
      <c r="AA163" s="116">
        <f t="shared" si="135"/>
        <v>10209</v>
      </c>
      <c r="AB163" s="116">
        <f t="shared" si="136"/>
        <v>7239</v>
      </c>
      <c r="AC163" s="116">
        <f t="shared" si="137"/>
        <v>6154</v>
      </c>
      <c r="AD163" s="116">
        <f t="shared" si="138"/>
        <v>19758</v>
      </c>
      <c r="AE163" s="116">
        <f t="shared" si="139"/>
        <v>10340</v>
      </c>
      <c r="AF163" s="116">
        <f t="shared" si="140"/>
        <v>8789</v>
      </c>
      <c r="AG163" s="116">
        <f t="shared" si="141"/>
        <v>16819</v>
      </c>
      <c r="AH163" s="116">
        <f t="shared" si="142"/>
        <v>10159</v>
      </c>
      <c r="AI163" s="116">
        <f t="shared" si="143"/>
        <v>8635</v>
      </c>
      <c r="AJ163" s="116">
        <f t="shared" si="144"/>
        <v>14091</v>
      </c>
      <c r="AK163" s="116">
        <f t="shared" si="145"/>
        <v>9073</v>
      </c>
      <c r="AL163" s="116">
        <f t="shared" si="146"/>
        <v>7712</v>
      </c>
      <c r="AM163" s="116">
        <f t="shared" si="147"/>
        <v>11993</v>
      </c>
      <c r="AN163" s="116">
        <f t="shared" si="148"/>
        <v>8108</v>
      </c>
      <c r="AO163" s="116">
        <f t="shared" si="149"/>
        <v>5892</v>
      </c>
      <c r="AP163" s="116">
        <f t="shared" si="150"/>
        <v>10209</v>
      </c>
      <c r="AQ163" s="116">
        <f t="shared" si="151"/>
        <v>7239</v>
      </c>
      <c r="AR163" s="116">
        <f t="shared" si="152"/>
        <v>6154</v>
      </c>
    </row>
    <row r="164" spans="2:44" x14ac:dyDescent="0.25">
      <c r="B164" s="113" t="s">
        <v>18</v>
      </c>
      <c r="C164" s="36">
        <f t="shared" si="111"/>
        <v>49465</v>
      </c>
      <c r="D164" s="36">
        <f t="shared" si="112"/>
        <v>44131</v>
      </c>
      <c r="E164" s="36">
        <f t="shared" si="113"/>
        <v>39356</v>
      </c>
      <c r="F164" s="36">
        <f t="shared" si="114"/>
        <v>35098</v>
      </c>
      <c r="G164" s="36">
        <f t="shared" si="115"/>
        <v>40033</v>
      </c>
      <c r="H164" s="36">
        <f t="shared" si="116"/>
        <v>34671</v>
      </c>
      <c r="I164" s="36">
        <f t="shared" si="117"/>
        <v>30920</v>
      </c>
      <c r="J164" s="36">
        <f t="shared" si="118"/>
        <v>27574</v>
      </c>
      <c r="K164" s="36">
        <f t="shared" si="119"/>
        <v>36348</v>
      </c>
      <c r="L164" s="36">
        <f t="shared" si="120"/>
        <v>31190</v>
      </c>
      <c r="M164" s="36">
        <f t="shared" si="121"/>
        <v>26393</v>
      </c>
      <c r="N164" s="36">
        <f t="shared" si="122"/>
        <v>19434</v>
      </c>
      <c r="O164" s="116">
        <f t="shared" si="123"/>
        <v>28932</v>
      </c>
      <c r="P164" s="116">
        <f t="shared" si="124"/>
        <v>13572</v>
      </c>
      <c r="Q164" s="116">
        <f t="shared" si="125"/>
        <v>11538</v>
      </c>
      <c r="R164" s="116">
        <f t="shared" si="126"/>
        <v>22076</v>
      </c>
      <c r="S164" s="116">
        <f t="shared" si="127"/>
        <v>13334</v>
      </c>
      <c r="T164" s="116">
        <f t="shared" si="128"/>
        <v>11334</v>
      </c>
      <c r="U164" s="116">
        <f t="shared" si="129"/>
        <v>18495</v>
      </c>
      <c r="V164" s="116">
        <f t="shared" si="130"/>
        <v>11909</v>
      </c>
      <c r="W164" s="116">
        <f t="shared" si="131"/>
        <v>10123</v>
      </c>
      <c r="X164" s="116">
        <f t="shared" si="132"/>
        <v>15740</v>
      </c>
      <c r="Y164" s="116">
        <f t="shared" si="133"/>
        <v>10642</v>
      </c>
      <c r="Z164" s="116">
        <f t="shared" si="134"/>
        <v>9046</v>
      </c>
      <c r="AA164" s="116">
        <f t="shared" si="135"/>
        <v>13399</v>
      </c>
      <c r="AB164" s="116">
        <f t="shared" si="136"/>
        <v>9502</v>
      </c>
      <c r="AC164" s="116">
        <f t="shared" si="137"/>
        <v>8077</v>
      </c>
      <c r="AD164" s="116">
        <f t="shared" si="138"/>
        <v>28932</v>
      </c>
      <c r="AE164" s="116">
        <f t="shared" si="139"/>
        <v>13572</v>
      </c>
      <c r="AF164" s="116">
        <f t="shared" si="140"/>
        <v>11538</v>
      </c>
      <c r="AG164" s="116">
        <f t="shared" si="141"/>
        <v>22076</v>
      </c>
      <c r="AH164" s="116">
        <f t="shared" si="142"/>
        <v>13334</v>
      </c>
      <c r="AI164" s="116">
        <f t="shared" si="143"/>
        <v>11334</v>
      </c>
      <c r="AJ164" s="116">
        <f t="shared" si="144"/>
        <v>18495</v>
      </c>
      <c r="AK164" s="116">
        <f t="shared" si="145"/>
        <v>11909</v>
      </c>
      <c r="AL164" s="116">
        <f t="shared" si="146"/>
        <v>10123</v>
      </c>
      <c r="AM164" s="116">
        <f t="shared" si="147"/>
        <v>15740</v>
      </c>
      <c r="AN164" s="116">
        <f t="shared" si="148"/>
        <v>10642</v>
      </c>
      <c r="AO164" s="116">
        <f t="shared" si="149"/>
        <v>9046</v>
      </c>
      <c r="AP164" s="116">
        <f t="shared" si="150"/>
        <v>13399</v>
      </c>
      <c r="AQ164" s="116">
        <f t="shared" si="151"/>
        <v>9502</v>
      </c>
      <c r="AR164" s="116">
        <f t="shared" si="152"/>
        <v>8077</v>
      </c>
    </row>
    <row r="166" spans="2:44" x14ac:dyDescent="0.25">
      <c r="B166" s="27" t="s">
        <v>167</v>
      </c>
      <c r="C166" s="118"/>
    </row>
    <row r="168" spans="2:44" x14ac:dyDescent="0.25">
      <c r="B168" s="59" t="s">
        <v>113</v>
      </c>
      <c r="C168" s="58" t="s">
        <v>168</v>
      </c>
    </row>
    <row r="169" spans="2:44" x14ac:dyDescent="0.25">
      <c r="B169" s="45" t="s">
        <v>114</v>
      </c>
      <c r="C169" s="55">
        <v>1</v>
      </c>
    </row>
    <row r="170" spans="2:44" x14ac:dyDescent="0.25">
      <c r="B170" s="45" t="s">
        <v>111</v>
      </c>
      <c r="C170" s="55">
        <f>1-10.5%</f>
        <v>0.89500000000000002</v>
      </c>
    </row>
    <row r="171" spans="2:44" x14ac:dyDescent="0.25">
      <c r="B171" s="45" t="s">
        <v>110</v>
      </c>
      <c r="C171" s="55">
        <f>1-14%</f>
        <v>0.86</v>
      </c>
    </row>
    <row r="172" spans="2:44" x14ac:dyDescent="0.25">
      <c r="B172" s="45" t="s">
        <v>109</v>
      </c>
      <c r="C172" s="55">
        <f>1-17.5%</f>
        <v>0.82499999999999996</v>
      </c>
    </row>
    <row r="174" spans="2:44" x14ac:dyDescent="0.25">
      <c r="B174" s="27" t="s">
        <v>153</v>
      </c>
    </row>
    <row r="176" spans="2:44" x14ac:dyDescent="0.25">
      <c r="B176" s="59" t="s">
        <v>164</v>
      </c>
      <c r="C176" s="58" t="s">
        <v>168</v>
      </c>
    </row>
    <row r="177" spans="2:7" x14ac:dyDescent="0.25">
      <c r="B177" s="45">
        <v>3000</v>
      </c>
      <c r="C177" s="55">
        <v>1</v>
      </c>
    </row>
    <row r="178" spans="2:7" x14ac:dyDescent="0.25">
      <c r="B178" s="45">
        <v>4000</v>
      </c>
      <c r="C178" s="55">
        <v>1.05</v>
      </c>
    </row>
    <row r="179" spans="2:7" x14ac:dyDescent="0.25">
      <c r="B179" s="45">
        <v>5000</v>
      </c>
      <c r="C179" s="55">
        <v>1.075</v>
      </c>
    </row>
    <row r="181" spans="2:7" x14ac:dyDescent="0.25">
      <c r="B181" s="27" t="s">
        <v>154</v>
      </c>
      <c r="C181" s="118"/>
    </row>
    <row r="183" spans="2:7" x14ac:dyDescent="0.25">
      <c r="B183" s="59" t="s">
        <v>113</v>
      </c>
      <c r="C183" s="58" t="s">
        <v>168</v>
      </c>
    </row>
    <row r="184" spans="2:7" x14ac:dyDescent="0.25">
      <c r="B184" s="45" t="s">
        <v>169</v>
      </c>
      <c r="C184" s="55">
        <v>1</v>
      </c>
    </row>
    <row r="185" spans="2:7" x14ac:dyDescent="0.25">
      <c r="B185" s="45" t="s">
        <v>170</v>
      </c>
      <c r="C185" s="55">
        <v>1.075</v>
      </c>
    </row>
    <row r="187" spans="2:7" x14ac:dyDescent="0.25">
      <c r="B187" s="27" t="s">
        <v>171</v>
      </c>
      <c r="C187" s="118"/>
      <c r="D187" s="118"/>
      <c r="E187" s="118"/>
    </row>
    <row r="188" spans="2:7" ht="15.75" thickBot="1" x14ac:dyDescent="0.3"/>
    <row r="189" spans="2:7" ht="15.75" thickBot="1" x14ac:dyDescent="0.3">
      <c r="B189" s="119" t="s">
        <v>35</v>
      </c>
      <c r="C189" s="22" t="s">
        <v>7</v>
      </c>
      <c r="D189" s="22" t="s">
        <v>21</v>
      </c>
      <c r="E189" s="22" t="s">
        <v>28</v>
      </c>
      <c r="F189" s="22" t="s">
        <v>29</v>
      </c>
      <c r="G189" s="22" t="s">
        <v>34</v>
      </c>
    </row>
    <row r="190" spans="2:7" ht="15.75" thickBot="1" x14ac:dyDescent="0.3">
      <c r="B190" s="122" t="s">
        <v>173</v>
      </c>
      <c r="C190" s="20">
        <v>0</v>
      </c>
      <c r="D190" s="20">
        <v>0</v>
      </c>
      <c r="E190" s="20">
        <v>0</v>
      </c>
      <c r="F190" s="20">
        <v>0</v>
      </c>
      <c r="G190" s="20">
        <v>0</v>
      </c>
    </row>
    <row r="191" spans="2:7" ht="15.75" thickBot="1" x14ac:dyDescent="0.3">
      <c r="B191" s="23">
        <v>7000</v>
      </c>
      <c r="C191" s="21">
        <v>1278</v>
      </c>
      <c r="D191" s="21">
        <v>1169</v>
      </c>
      <c r="E191" s="21">
        <v>920</v>
      </c>
      <c r="F191" s="21">
        <v>801</v>
      </c>
      <c r="G191" s="21">
        <v>801</v>
      </c>
    </row>
    <row r="192" spans="2:7" ht="15.75" thickBot="1" x14ac:dyDescent="0.3">
      <c r="B192" s="23">
        <v>10000</v>
      </c>
      <c r="C192" s="21">
        <v>1432</v>
      </c>
      <c r="D192" s="21">
        <v>1309</v>
      </c>
      <c r="E192" s="21">
        <v>1030</v>
      </c>
      <c r="F192" s="21">
        <v>899</v>
      </c>
      <c r="G192" s="21">
        <v>899</v>
      </c>
    </row>
    <row r="193" spans="2:7" ht="15.75" thickBot="1" x14ac:dyDescent="0.3">
      <c r="B193" s="23">
        <v>15000</v>
      </c>
      <c r="C193" s="120">
        <v>1531</v>
      </c>
      <c r="D193" s="120">
        <v>1400</v>
      </c>
      <c r="E193" s="120">
        <v>1102</v>
      </c>
      <c r="F193" s="21">
        <v>960</v>
      </c>
      <c r="G193" s="21">
        <v>960</v>
      </c>
    </row>
    <row r="194" spans="2:7" ht="15.75" thickBot="1" x14ac:dyDescent="0.3">
      <c r="B194" s="23">
        <v>20000</v>
      </c>
      <c r="C194" s="120">
        <v>1630</v>
      </c>
      <c r="D194" s="120">
        <v>1490</v>
      </c>
      <c r="E194" s="120">
        <v>1173</v>
      </c>
      <c r="F194" s="120">
        <v>1022</v>
      </c>
      <c r="G194" s="120">
        <v>1022</v>
      </c>
    </row>
    <row r="195" spans="2:7" ht="15.75" thickBot="1" x14ac:dyDescent="0.3">
      <c r="B195" s="23">
        <v>25000</v>
      </c>
      <c r="C195" s="120">
        <v>1811</v>
      </c>
      <c r="D195" s="120">
        <v>1656</v>
      </c>
      <c r="E195" s="120">
        <v>1303</v>
      </c>
      <c r="F195" s="120">
        <v>1136</v>
      </c>
      <c r="G195" s="120">
        <v>1136</v>
      </c>
    </row>
    <row r="196" spans="2:7" ht="15.75" thickBot="1" x14ac:dyDescent="0.3">
      <c r="B196" s="23">
        <v>35000</v>
      </c>
      <c r="C196" s="120">
        <v>2083</v>
      </c>
      <c r="D196" s="120">
        <v>1904</v>
      </c>
      <c r="E196" s="120">
        <v>1498</v>
      </c>
      <c r="F196" s="120">
        <v>1307</v>
      </c>
      <c r="G196" s="120">
        <v>1307</v>
      </c>
    </row>
    <row r="197" spans="2:7" ht="15.75" thickBot="1" x14ac:dyDescent="0.3">
      <c r="B197" s="23" t="s">
        <v>174</v>
      </c>
      <c r="C197" s="21">
        <v>2305</v>
      </c>
      <c r="D197" s="21">
        <v>2107</v>
      </c>
      <c r="E197" s="21">
        <v>1658</v>
      </c>
      <c r="F197" s="21">
        <v>1445</v>
      </c>
      <c r="G197" s="21">
        <v>1445</v>
      </c>
    </row>
    <row r="198" spans="2:7" x14ac:dyDescent="0.25">
      <c r="B198" s="1560" t="s">
        <v>172</v>
      </c>
      <c r="C198" s="1560"/>
      <c r="D198" s="1560"/>
      <c r="E198" s="1560"/>
      <c r="F198" s="3"/>
      <c r="G198" s="3"/>
    </row>
  </sheetData>
  <sheetProtection algorithmName="SHA-512" hashValue="P2kTKZ57f88GmVubJSIf/JNEGiBBjhXhM/k4oU3QDZTu/+83cNoODIAEInALjYXhuYAVoroMh2I3Gu/7V2rI+A==" saltValue="CAU3xcp95qoGAMY/B7blkQ==" spinCount="100000" sheet="1" objects="1" scenarios="1"/>
  <mergeCells count="7">
    <mergeCell ref="B198:E198"/>
    <mergeCell ref="D5:G5"/>
    <mergeCell ref="D22:G22"/>
    <mergeCell ref="D39:G39"/>
    <mergeCell ref="C55:J55"/>
    <mergeCell ref="C89:Q89"/>
    <mergeCell ref="C72:L72"/>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dimension ref="A1:Z167"/>
  <sheetViews>
    <sheetView workbookViewId="0">
      <selection activeCell="A14" sqref="A14"/>
    </sheetView>
  </sheetViews>
  <sheetFormatPr defaultColWidth="8.85546875" defaultRowHeight="15" x14ac:dyDescent="0.25"/>
  <cols>
    <col min="2" max="2" width="3" customWidth="1"/>
    <col min="3" max="3" width="29.42578125" bestFit="1" customWidth="1"/>
    <col min="4" max="4" width="9" customWidth="1"/>
    <col min="6" max="6" width="18.28515625" bestFit="1" customWidth="1"/>
    <col min="7" max="7" width="9" customWidth="1"/>
    <col min="9" max="9" width="18.28515625" bestFit="1" customWidth="1"/>
    <col min="10" max="10" width="9" customWidth="1"/>
    <col min="12" max="12" width="18.28515625" bestFit="1" customWidth="1"/>
    <col min="13" max="13" width="9" customWidth="1"/>
    <col min="15" max="15" width="18.28515625" bestFit="1" customWidth="1"/>
  </cols>
  <sheetData>
    <row r="1" spans="2:26" ht="15.75" thickBot="1" x14ac:dyDescent="0.3"/>
    <row r="2" spans="2:26" ht="17.25" x14ac:dyDescent="0.3">
      <c r="B2" s="49"/>
      <c r="C2" s="50" t="s">
        <v>103</v>
      </c>
      <c r="D2" s="40"/>
      <c r="E2" s="40"/>
      <c r="F2" s="40"/>
      <c r="G2" s="40"/>
      <c r="H2" s="40"/>
      <c r="I2" s="40"/>
      <c r="J2" s="40"/>
      <c r="K2" s="40"/>
      <c r="L2" s="40"/>
      <c r="M2" s="40"/>
      <c r="N2" s="40"/>
      <c r="O2" s="40"/>
      <c r="P2" s="40"/>
      <c r="Q2" s="40"/>
      <c r="R2" s="40"/>
      <c r="S2" s="40"/>
      <c r="T2" s="40"/>
      <c r="U2" s="40"/>
      <c r="V2" s="40"/>
      <c r="W2" s="40"/>
      <c r="X2" s="40"/>
      <c r="Y2" s="40"/>
      <c r="Z2" s="41"/>
    </row>
    <row r="3" spans="2:26" x14ac:dyDescent="0.25">
      <c r="B3" s="42"/>
      <c r="D3" s="32"/>
      <c r="Z3" s="43"/>
    </row>
    <row r="4" spans="2:26" ht="15.75" x14ac:dyDescent="0.25">
      <c r="B4" s="42"/>
      <c r="C4" s="31" t="s">
        <v>91</v>
      </c>
      <c r="D4" s="34"/>
      <c r="I4" s="31" t="s">
        <v>92</v>
      </c>
      <c r="J4" s="33"/>
      <c r="O4" s="31" t="s">
        <v>93</v>
      </c>
      <c r="P4" s="33"/>
      <c r="U4" s="31" t="s">
        <v>94</v>
      </c>
      <c r="V4" s="33"/>
      <c r="Z4" s="43"/>
    </row>
    <row r="5" spans="2:26" ht="15.75" x14ac:dyDescent="0.25">
      <c r="B5" s="42"/>
      <c r="C5" s="25" t="s">
        <v>96</v>
      </c>
      <c r="D5" s="35" t="s">
        <v>95</v>
      </c>
      <c r="E5" s="44"/>
      <c r="I5" s="25" t="s">
        <v>96</v>
      </c>
      <c r="J5" s="30" t="s">
        <v>95</v>
      </c>
      <c r="K5" s="44"/>
      <c r="O5" s="25" t="s">
        <v>96</v>
      </c>
      <c r="P5" s="30" t="s">
        <v>95</v>
      </c>
      <c r="Q5" s="44"/>
      <c r="U5" s="25" t="s">
        <v>96</v>
      </c>
      <c r="V5" s="30" t="s">
        <v>95</v>
      </c>
      <c r="Z5" s="43"/>
    </row>
    <row r="6" spans="2:26" x14ac:dyDescent="0.25">
      <c r="B6" s="51">
        <v>1</v>
      </c>
      <c r="C6" s="36" t="s">
        <v>155</v>
      </c>
      <c r="D6" s="36">
        <v>1</v>
      </c>
      <c r="I6" s="36" t="s">
        <v>155</v>
      </c>
      <c r="J6" s="36">
        <v>3</v>
      </c>
      <c r="O6" s="36" t="s">
        <v>155</v>
      </c>
      <c r="P6" s="36">
        <v>1</v>
      </c>
      <c r="U6" s="36" t="s">
        <v>155</v>
      </c>
      <c r="V6" s="36">
        <v>4</v>
      </c>
      <c r="Z6" s="43"/>
    </row>
    <row r="7" spans="2:26" x14ac:dyDescent="0.25">
      <c r="B7" s="51">
        <v>2</v>
      </c>
      <c r="C7" s="36" t="s">
        <v>20</v>
      </c>
      <c r="I7" s="36" t="s">
        <v>20</v>
      </c>
      <c r="O7" s="36" t="s">
        <v>20</v>
      </c>
      <c r="U7" s="36" t="s">
        <v>20</v>
      </c>
      <c r="Z7" s="43"/>
    </row>
    <row r="8" spans="2:26" x14ac:dyDescent="0.25">
      <c r="B8" s="51">
        <v>3</v>
      </c>
      <c r="C8" s="36" t="s">
        <v>22</v>
      </c>
      <c r="I8" s="36" t="s">
        <v>22</v>
      </c>
      <c r="O8" s="36" t="s">
        <v>22</v>
      </c>
      <c r="U8" s="36" t="s">
        <v>22</v>
      </c>
      <c r="Z8" s="43"/>
    </row>
    <row r="9" spans="2:26" x14ac:dyDescent="0.25">
      <c r="B9" s="51">
        <v>4</v>
      </c>
      <c r="C9" s="36" t="s">
        <v>32</v>
      </c>
      <c r="I9" s="36" t="s">
        <v>32</v>
      </c>
      <c r="O9" s="36" t="s">
        <v>32</v>
      </c>
      <c r="U9" s="36" t="s">
        <v>32</v>
      </c>
      <c r="Z9" s="43"/>
    </row>
    <row r="10" spans="2:26" x14ac:dyDescent="0.25">
      <c r="B10" s="51">
        <v>5</v>
      </c>
      <c r="C10" s="36" t="s">
        <v>24</v>
      </c>
      <c r="I10" s="36" t="s">
        <v>24</v>
      </c>
      <c r="O10" s="36" t="s">
        <v>24</v>
      </c>
      <c r="U10" s="36" t="s">
        <v>24</v>
      </c>
      <c r="Z10" s="43"/>
    </row>
    <row r="11" spans="2:26" x14ac:dyDescent="0.25">
      <c r="B11" s="42"/>
      <c r="Z11" s="43"/>
    </row>
    <row r="12" spans="2:26" x14ac:dyDescent="0.25">
      <c r="B12" s="42"/>
      <c r="C12" s="114" t="s">
        <v>33</v>
      </c>
      <c r="Z12" s="43"/>
    </row>
    <row r="13" spans="2:26" x14ac:dyDescent="0.25">
      <c r="B13" s="42"/>
      <c r="Z13" s="43"/>
    </row>
    <row r="14" spans="2:26" ht="15.75" x14ac:dyDescent="0.25">
      <c r="B14" s="42"/>
      <c r="C14" s="31" t="s">
        <v>155</v>
      </c>
      <c r="D14" s="31" t="s">
        <v>20</v>
      </c>
      <c r="E14" s="31" t="s">
        <v>22</v>
      </c>
      <c r="F14" s="31" t="s">
        <v>32</v>
      </c>
      <c r="G14" s="31" t="s">
        <v>24</v>
      </c>
      <c r="Z14" s="43"/>
    </row>
    <row r="15" spans="2:26" ht="15.75" x14ac:dyDescent="0.25">
      <c r="B15" s="42"/>
      <c r="C15" s="31">
        <v>1</v>
      </c>
      <c r="D15" s="31">
        <v>2</v>
      </c>
      <c r="E15" s="31">
        <v>3</v>
      </c>
      <c r="F15" s="31">
        <v>4</v>
      </c>
      <c r="G15" s="31">
        <v>5</v>
      </c>
      <c r="Z15" s="43"/>
    </row>
    <row r="16" spans="2:26" x14ac:dyDescent="0.25">
      <c r="B16" s="42"/>
      <c r="C16" s="36" t="s">
        <v>7</v>
      </c>
      <c r="D16" s="36" t="s">
        <v>21</v>
      </c>
      <c r="E16" s="36" t="s">
        <v>21</v>
      </c>
      <c r="F16" s="36" t="s">
        <v>21</v>
      </c>
      <c r="G16" s="36" t="s">
        <v>21</v>
      </c>
      <c r="Z16" s="43"/>
    </row>
    <row r="17" spans="2:26" x14ac:dyDescent="0.25">
      <c r="B17" s="42"/>
      <c r="C17" s="36" t="s">
        <v>7</v>
      </c>
      <c r="D17" s="36" t="s">
        <v>21</v>
      </c>
      <c r="E17" s="36" t="s">
        <v>21</v>
      </c>
      <c r="F17" s="36" t="s">
        <v>28</v>
      </c>
      <c r="G17" s="36" t="s">
        <v>28</v>
      </c>
      <c r="Z17" s="43"/>
    </row>
    <row r="18" spans="2:26" x14ac:dyDescent="0.25">
      <c r="B18" s="42"/>
      <c r="C18" s="36" t="s">
        <v>7</v>
      </c>
      <c r="D18" s="36" t="s">
        <v>21</v>
      </c>
      <c r="E18" s="36" t="s">
        <v>21</v>
      </c>
      <c r="F18" s="36" t="s">
        <v>29</v>
      </c>
      <c r="G18" s="36" t="s">
        <v>29</v>
      </c>
      <c r="Z18" s="43"/>
    </row>
    <row r="19" spans="2:26" x14ac:dyDescent="0.25">
      <c r="B19" s="42"/>
      <c r="Z19" s="43"/>
    </row>
    <row r="20" spans="2:26" x14ac:dyDescent="0.25">
      <c r="B20" s="42"/>
      <c r="Z20" s="43"/>
    </row>
    <row r="21" spans="2:26" ht="15.75" x14ac:dyDescent="0.25">
      <c r="B21" s="42"/>
      <c r="C21" s="31" t="s">
        <v>91</v>
      </c>
      <c r="D21" s="34"/>
      <c r="I21" s="31" t="s">
        <v>92</v>
      </c>
      <c r="J21" s="33"/>
      <c r="O21" s="31" t="s">
        <v>93</v>
      </c>
      <c r="P21" s="33"/>
      <c r="U21" s="31" t="s">
        <v>94</v>
      </c>
      <c r="V21" s="33"/>
      <c r="Z21" s="43"/>
    </row>
    <row r="22" spans="2:26" ht="15.75" x14ac:dyDescent="0.25">
      <c r="B22" s="42"/>
      <c r="C22" s="25" t="s">
        <v>33</v>
      </c>
      <c r="D22" s="35" t="s">
        <v>95</v>
      </c>
      <c r="E22" s="44"/>
      <c r="I22" s="25" t="s">
        <v>33</v>
      </c>
      <c r="J22" s="35" t="s">
        <v>95</v>
      </c>
      <c r="K22" s="44"/>
      <c r="O22" s="25" t="s">
        <v>33</v>
      </c>
      <c r="P22" s="35" t="s">
        <v>95</v>
      </c>
      <c r="Q22" s="44"/>
      <c r="U22" s="25" t="s">
        <v>33</v>
      </c>
      <c r="V22" s="35" t="s">
        <v>95</v>
      </c>
      <c r="Z22" s="43"/>
    </row>
    <row r="23" spans="2:26" x14ac:dyDescent="0.25">
      <c r="B23" s="51">
        <v>2</v>
      </c>
      <c r="C23" s="54" t="str">
        <f>HLOOKUP(D$6,$C$15:$G$18,$B23,FALSE)</f>
        <v>GN+</v>
      </c>
      <c r="D23" s="36">
        <v>1</v>
      </c>
      <c r="I23" s="54" t="str">
        <f>HLOOKUP(J$6,$C$15:$G$18,$B23,FALSE)</f>
        <v>GN</v>
      </c>
      <c r="J23" s="36">
        <v>2</v>
      </c>
      <c r="O23" s="54" t="str">
        <f>HLOOKUP(P$6,$C$15:$G$18,$B23,FALSE)</f>
        <v>GN+</v>
      </c>
      <c r="P23" s="36">
        <v>1</v>
      </c>
      <c r="U23" s="54" t="str">
        <f>HLOOKUP(V$6,$C$15:$G$18,$B23,FALSE)</f>
        <v>GN</v>
      </c>
      <c r="V23" s="36">
        <v>3</v>
      </c>
      <c r="Z23" s="43"/>
    </row>
    <row r="24" spans="2:26" x14ac:dyDescent="0.25">
      <c r="B24" s="51">
        <v>3</v>
      </c>
      <c r="C24" s="54" t="str">
        <f>HLOOKUP(D$6,$C$15:$G$18,$B24,FALSE)</f>
        <v>GN+</v>
      </c>
      <c r="I24" s="54" t="str">
        <f>HLOOKUP(J$6,$C$15:$G$18,$B24,FALSE)</f>
        <v>GN</v>
      </c>
      <c r="O24" s="54" t="str">
        <f>HLOOKUP(P$6,$C$15:$G$18,$B24,FALSE)</f>
        <v>GN+</v>
      </c>
      <c r="U24" s="54" t="str">
        <f>HLOOKUP(V$6,$C$15:$G$18,$B24,FALSE)</f>
        <v>RN</v>
      </c>
      <c r="Z24" s="43"/>
    </row>
    <row r="25" spans="2:26" x14ac:dyDescent="0.25">
      <c r="B25" s="51">
        <v>4</v>
      </c>
      <c r="C25" s="54" t="str">
        <f>HLOOKUP(D$6,$C$15:$G$18,$B25,FALSE)</f>
        <v>GN+</v>
      </c>
      <c r="I25" s="54" t="str">
        <f>HLOOKUP(J$6,$C$15:$G$18,$B25,FALSE)</f>
        <v>GN</v>
      </c>
      <c r="O25" s="54" t="str">
        <f>HLOOKUP(P$6,$C$15:$G$18,$B25,FALSE)</f>
        <v>GN+</v>
      </c>
      <c r="U25" s="54" t="str">
        <f>HLOOKUP(V$6,$C$15:$G$18,$B25,FALSE)</f>
        <v>RN2</v>
      </c>
      <c r="Z25" s="43"/>
    </row>
    <row r="26" spans="2:26" x14ac:dyDescent="0.25">
      <c r="B26" s="42"/>
      <c r="Z26" s="43"/>
    </row>
    <row r="27" spans="2:26" x14ac:dyDescent="0.25">
      <c r="B27" s="42"/>
      <c r="C27" s="114" t="s">
        <v>104</v>
      </c>
      <c r="Z27" s="43"/>
    </row>
    <row r="28" spans="2:26" ht="15.75" x14ac:dyDescent="0.25">
      <c r="B28" s="42"/>
      <c r="C28" s="31" t="s">
        <v>91</v>
      </c>
      <c r="D28" s="31"/>
      <c r="E28" s="31"/>
      <c r="F28" s="31"/>
      <c r="G28" s="31"/>
      <c r="I28" s="31" t="s">
        <v>92</v>
      </c>
      <c r="J28" s="31"/>
      <c r="K28" s="31"/>
      <c r="L28" s="31"/>
      <c r="M28" s="31"/>
      <c r="O28" s="31" t="s">
        <v>93</v>
      </c>
      <c r="P28" s="31"/>
      <c r="Q28" s="31"/>
      <c r="R28" s="31"/>
      <c r="S28" s="31"/>
      <c r="U28" s="31" t="s">
        <v>94</v>
      </c>
      <c r="V28" s="31"/>
      <c r="W28" s="31"/>
      <c r="X28" s="31"/>
      <c r="Y28" s="31"/>
      <c r="Z28" s="43"/>
    </row>
    <row r="29" spans="2:26" ht="15.75" x14ac:dyDescent="0.25">
      <c r="B29" s="42"/>
      <c r="C29" s="31" t="s">
        <v>155</v>
      </c>
      <c r="D29" s="31" t="s">
        <v>20</v>
      </c>
      <c r="E29" s="31" t="s">
        <v>22</v>
      </c>
      <c r="F29" s="31" t="s">
        <v>32</v>
      </c>
      <c r="G29" s="31" t="s">
        <v>24</v>
      </c>
      <c r="I29" s="31" t="s">
        <v>155</v>
      </c>
      <c r="J29" s="31" t="s">
        <v>20</v>
      </c>
      <c r="K29" s="31" t="s">
        <v>22</v>
      </c>
      <c r="L29" s="31" t="s">
        <v>32</v>
      </c>
      <c r="M29" s="31" t="s">
        <v>24</v>
      </c>
      <c r="O29" s="31" t="s">
        <v>155</v>
      </c>
      <c r="P29" s="31" t="s">
        <v>20</v>
      </c>
      <c r="Q29" s="31" t="s">
        <v>22</v>
      </c>
      <c r="R29" s="31" t="s">
        <v>32</v>
      </c>
      <c r="S29" s="31" t="s">
        <v>24</v>
      </c>
      <c r="U29" s="31" t="s">
        <v>155</v>
      </c>
      <c r="V29" s="31" t="s">
        <v>20</v>
      </c>
      <c r="W29" s="31" t="s">
        <v>22</v>
      </c>
      <c r="X29" s="31" t="s">
        <v>32</v>
      </c>
      <c r="Y29" s="31" t="s">
        <v>24</v>
      </c>
      <c r="Z29" s="43"/>
    </row>
    <row r="30" spans="2:26" ht="15.75" x14ac:dyDescent="0.25">
      <c r="B30" s="42"/>
      <c r="C30" s="31">
        <v>1</v>
      </c>
      <c r="D30" s="31">
        <v>2</v>
      </c>
      <c r="E30" s="31">
        <v>3</v>
      </c>
      <c r="F30" s="31">
        <v>4</v>
      </c>
      <c r="G30" s="31">
        <v>5</v>
      </c>
      <c r="I30" s="31">
        <v>1</v>
      </c>
      <c r="J30" s="31">
        <v>2</v>
      </c>
      <c r="K30" s="31">
        <v>3</v>
      </c>
      <c r="L30" s="31">
        <v>4</v>
      </c>
      <c r="M30" s="31">
        <v>5</v>
      </c>
      <c r="O30" s="31">
        <v>1</v>
      </c>
      <c r="P30" s="31">
        <v>2</v>
      </c>
      <c r="Q30" s="31">
        <v>3</v>
      </c>
      <c r="R30" s="31">
        <v>4</v>
      </c>
      <c r="S30" s="31">
        <v>5</v>
      </c>
      <c r="U30" s="31">
        <v>1</v>
      </c>
      <c r="V30" s="31">
        <v>2</v>
      </c>
      <c r="W30" s="31">
        <v>3</v>
      </c>
      <c r="X30" s="31">
        <v>4</v>
      </c>
      <c r="Y30" s="31">
        <v>5</v>
      </c>
      <c r="Z30" s="43"/>
    </row>
    <row r="31" spans="2:26" x14ac:dyDescent="0.25">
      <c r="B31" s="42"/>
      <c r="C31" s="109">
        <v>1000000</v>
      </c>
      <c r="D31" s="109">
        <v>1000000</v>
      </c>
      <c r="E31" s="109">
        <v>1000000</v>
      </c>
      <c r="F31" s="109">
        <f>IF(D$23=1,1000000,IF(D$23=2,250000,IF(D$23=3,250000,"Error")))</f>
        <v>1000000</v>
      </c>
      <c r="G31" s="109">
        <f>IF(D$23=1,300000,IF(D$23=2,150000,IF(D$23=3,150000,"Error")))</f>
        <v>300000</v>
      </c>
      <c r="I31" s="109">
        <v>1000000</v>
      </c>
      <c r="J31" s="109">
        <v>1000000</v>
      </c>
      <c r="K31" s="109">
        <v>1000000</v>
      </c>
      <c r="L31" s="109">
        <f>IF(J$23=1,1000000,IF(J$23=2,250000,IF(J$23=3,250000,"Error")))</f>
        <v>250000</v>
      </c>
      <c r="M31" s="109">
        <f>IF(J$23=1,300000,IF(J$23=2,150000,IF(J$23=3,150000,"Error")))</f>
        <v>150000</v>
      </c>
      <c r="O31" s="109">
        <v>1000000</v>
      </c>
      <c r="P31" s="109">
        <v>1000000</v>
      </c>
      <c r="Q31" s="109">
        <v>1000000</v>
      </c>
      <c r="R31" s="109">
        <f>IF(P$23=1,1000000,IF(P$23=2,250000,IF(P$23=3,250000,"Error")))</f>
        <v>1000000</v>
      </c>
      <c r="S31" s="109">
        <f>IF(P$23=1,300000,IF(P$23=2,150000,IF(P$23=3,150000,"Error")))</f>
        <v>300000</v>
      </c>
      <c r="U31" s="109">
        <v>1000000</v>
      </c>
      <c r="V31" s="109">
        <v>1000000</v>
      </c>
      <c r="W31" s="109">
        <v>1000000</v>
      </c>
      <c r="X31" s="109">
        <f>IF(V$23=1,1000000,IF(V$23=2,250000,IF(V$23=3,250000,"Error")))</f>
        <v>250000</v>
      </c>
      <c r="Y31" s="109">
        <f>IF(V$23=1,300000,IF(V$23=2,150000,IF(V$23=3,150000,"Error")))</f>
        <v>150000</v>
      </c>
      <c r="Z31" s="43"/>
    </row>
    <row r="32" spans="2:26" x14ac:dyDescent="0.25">
      <c r="B32" s="42"/>
      <c r="C32" s="109">
        <v>1000000</v>
      </c>
      <c r="D32" s="109">
        <v>1000000</v>
      </c>
      <c r="E32" s="109">
        <v>1000000</v>
      </c>
      <c r="F32" s="109">
        <f>IF(D$23=1,500000,IF(D$23=2,125000,IF(D$23=3,125000,"Error")))</f>
        <v>500000</v>
      </c>
      <c r="G32" s="109">
        <f>IF(D$23=1,150000,IF(D$23=2,75000,IF(D$23=3,75000,"Error")))</f>
        <v>150000</v>
      </c>
      <c r="I32" s="109">
        <v>1000000</v>
      </c>
      <c r="J32" s="109">
        <v>1000000</v>
      </c>
      <c r="K32" s="109">
        <v>1000000</v>
      </c>
      <c r="L32" s="109">
        <f>IF(J$23=1,500000,IF(J$23=2,125000,IF(J$23=3,125000,"Error")))</f>
        <v>125000</v>
      </c>
      <c r="M32" s="109">
        <f>IF(J$23=1,150000,IF(J$23=2,75000,IF(J$23=3,75000,"Error")))</f>
        <v>75000</v>
      </c>
      <c r="O32" s="109">
        <v>1000000</v>
      </c>
      <c r="P32" s="109">
        <v>1000000</v>
      </c>
      <c r="Q32" s="109">
        <v>1000000</v>
      </c>
      <c r="R32" s="109">
        <f>IF(P$23=1,500000,IF(P$23=2,125000,IF(P$23=3,125000,"Error")))</f>
        <v>500000</v>
      </c>
      <c r="S32" s="109">
        <f>IF(P$23=1,150000,IF(P$23=2,75000,IF(P$23=3,75000,"Error")))</f>
        <v>150000</v>
      </c>
      <c r="U32" s="109">
        <v>1000000</v>
      </c>
      <c r="V32" s="109">
        <v>1000000</v>
      </c>
      <c r="W32" s="109">
        <v>1000000</v>
      </c>
      <c r="X32" s="109">
        <f>IF(V$23=1,500000,IF(V$23=2,125000,IF(V$23=3,125000,"Error")))</f>
        <v>125000</v>
      </c>
      <c r="Y32" s="109">
        <f>IF(V$23=1,150000,IF(V$23=2,75000,IF(V$23=3,75000,"Error")))</f>
        <v>75000</v>
      </c>
      <c r="Z32" s="43"/>
    </row>
    <row r="33" spans="2:26" x14ac:dyDescent="0.25">
      <c r="B33" s="42"/>
      <c r="C33" s="109">
        <v>1000000</v>
      </c>
      <c r="D33" s="109">
        <v>1000000</v>
      </c>
      <c r="E33" s="109">
        <v>1000000</v>
      </c>
      <c r="F33" s="109">
        <f>IF(D$23=1,250000,IF(D$23=2,"",IF(D$23=3,"","Error")))</f>
        <v>250000</v>
      </c>
      <c r="G33" s="109">
        <f>IF(D$23=1,75000,IF(D$23=2,40000,IF(D$23=3,40000,"Error")))</f>
        <v>75000</v>
      </c>
      <c r="I33" s="109">
        <v>1000000</v>
      </c>
      <c r="J33" s="109">
        <v>1000000</v>
      </c>
      <c r="K33" s="109">
        <v>1000000</v>
      </c>
      <c r="L33" s="109" t="str">
        <f>IF(J$23=1,250000,IF(J$23=2,"",IF(J$23=3,"","Error")))</f>
        <v/>
      </c>
      <c r="M33" s="109">
        <f>IF(J$23=1,75000,IF(J$23=2,40000,IF(J$23=3,40000,"Error")))</f>
        <v>40000</v>
      </c>
      <c r="O33" s="109">
        <v>1000000</v>
      </c>
      <c r="P33" s="109">
        <v>1000000</v>
      </c>
      <c r="Q33" s="109">
        <v>1000000</v>
      </c>
      <c r="R33" s="109">
        <f>IF(P$23=1,250000,IF(P$23=2,"",IF(P$23=3,"","Error")))</f>
        <v>250000</v>
      </c>
      <c r="S33" s="109">
        <f>IF(P$23=1,75000,IF(P$23=2,40000,IF(P$23=3,40000,"Error")))</f>
        <v>75000</v>
      </c>
      <c r="U33" s="109">
        <v>1000000</v>
      </c>
      <c r="V33" s="109">
        <v>1000000</v>
      </c>
      <c r="W33" s="109">
        <v>1000000</v>
      </c>
      <c r="X33" s="109" t="str">
        <f>IF(V$23=1,250000,IF(V$23=2,"",IF(V$23=3,"","Error")))</f>
        <v/>
      </c>
      <c r="Y33" s="109">
        <f>IF(V$23=1,75000,IF(V$23=2,40000,IF(V$23=3,40000,"Error")))</f>
        <v>40000</v>
      </c>
      <c r="Z33" s="43"/>
    </row>
    <row r="34" spans="2:26" x14ac:dyDescent="0.25">
      <c r="B34" s="42"/>
      <c r="C34" s="109">
        <v>1000000</v>
      </c>
      <c r="D34" s="109">
        <v>1000000</v>
      </c>
      <c r="E34" s="109">
        <v>1000000</v>
      </c>
      <c r="F34" s="109">
        <f>IF(D$23=1,250000,IF(D$23=2,"",IF(D$23=3,"","Error")))</f>
        <v>250000</v>
      </c>
      <c r="G34" s="109">
        <f>IF(D$23=1,40000,IF(D$23=2,"",IF(D$23=3,"","Error")))</f>
        <v>40000</v>
      </c>
      <c r="I34" s="109">
        <v>1000000</v>
      </c>
      <c r="J34" s="109">
        <v>1000000</v>
      </c>
      <c r="K34" s="109">
        <v>1000000</v>
      </c>
      <c r="L34" s="109" t="str">
        <f>IF(J$23=1,250000,IF(J$23=2,"",IF(J$23=3,"","Error")))</f>
        <v/>
      </c>
      <c r="M34" s="109" t="str">
        <f>IF(J$23=1,40000,IF(J$23=2,"",IF(J$23=3,"","Error")))</f>
        <v/>
      </c>
      <c r="O34" s="109">
        <v>1000000</v>
      </c>
      <c r="P34" s="109">
        <v>1000000</v>
      </c>
      <c r="Q34" s="109">
        <v>1000000</v>
      </c>
      <c r="R34" s="109">
        <f>IF(P$23=1,250000,IF(P$23=2,"",IF(P$23=3,"","Error")))</f>
        <v>250000</v>
      </c>
      <c r="S34" s="109">
        <f>IF(P$23=1,40000,IF(P$23=2,"",IF(P$23=3,"","Error")))</f>
        <v>40000</v>
      </c>
      <c r="U34" s="109">
        <v>1000000</v>
      </c>
      <c r="V34" s="109">
        <v>1000000</v>
      </c>
      <c r="W34" s="109">
        <v>1000000</v>
      </c>
      <c r="X34" s="109" t="str">
        <f>IF(V$23=1,250000,IF(V$23=2,"",IF(V$23=3,"","Error")))</f>
        <v/>
      </c>
      <c r="Y34" s="109" t="str">
        <f>IF(V$23=1,40000,IF(V$23=2,"",IF(V$23=3,"","Error")))</f>
        <v/>
      </c>
      <c r="Z34" s="43"/>
    </row>
    <row r="35" spans="2:26" x14ac:dyDescent="0.25">
      <c r="B35" s="42"/>
      <c r="Z35" s="43"/>
    </row>
    <row r="36" spans="2:26" ht="15.75" x14ac:dyDescent="0.25">
      <c r="B36" s="42"/>
      <c r="C36" s="31" t="s">
        <v>91</v>
      </c>
      <c r="D36" s="34"/>
      <c r="I36" s="31" t="s">
        <v>92</v>
      </c>
      <c r="J36" s="33"/>
      <c r="O36" s="31" t="s">
        <v>93</v>
      </c>
      <c r="P36" s="33"/>
      <c r="U36" s="31" t="s">
        <v>94</v>
      </c>
      <c r="V36" s="33"/>
      <c r="Z36" s="43"/>
    </row>
    <row r="37" spans="2:26" ht="15.75" x14ac:dyDescent="0.25">
      <c r="B37" s="42"/>
      <c r="C37" s="25" t="s">
        <v>104</v>
      </c>
      <c r="D37" s="35" t="s">
        <v>95</v>
      </c>
      <c r="E37" s="44"/>
      <c r="I37" s="25" t="s">
        <v>104</v>
      </c>
      <c r="J37" s="35" t="s">
        <v>95</v>
      </c>
      <c r="K37" s="44"/>
      <c r="O37" s="25" t="s">
        <v>104</v>
      </c>
      <c r="P37" s="35" t="s">
        <v>95</v>
      </c>
      <c r="Q37" s="44"/>
      <c r="U37" s="25" t="s">
        <v>104</v>
      </c>
      <c r="V37" s="35" t="s">
        <v>95</v>
      </c>
      <c r="Z37" s="43"/>
    </row>
    <row r="38" spans="2:26" x14ac:dyDescent="0.25">
      <c r="B38" s="42">
        <v>2</v>
      </c>
      <c r="C38" s="56">
        <f>HLOOKUP(D$6,C$30:G$34,$B38,FALSE)</f>
        <v>1000000</v>
      </c>
      <c r="D38" s="36">
        <v>1</v>
      </c>
      <c r="I38" s="56">
        <f>HLOOKUP(J$6,I$30:M$34,$B38,FALSE)</f>
        <v>1000000</v>
      </c>
      <c r="J38" s="36">
        <v>3</v>
      </c>
      <c r="O38" s="56">
        <f>HLOOKUP(P$6,O$30:S$34,$B38,FALSE)</f>
        <v>1000000</v>
      </c>
      <c r="P38" s="36">
        <v>1</v>
      </c>
      <c r="U38" s="56">
        <f>HLOOKUP(V$6,U$30:Y$34,$B38,FALSE)</f>
        <v>250000</v>
      </c>
      <c r="V38" s="36">
        <v>1</v>
      </c>
      <c r="Z38" s="43"/>
    </row>
    <row r="39" spans="2:26" x14ac:dyDescent="0.25">
      <c r="B39" s="42">
        <v>3</v>
      </c>
      <c r="C39" s="56">
        <f t="shared" ref="C39:C41" si="0">HLOOKUP(D$6,C$30:G$34,$B39,FALSE)</f>
        <v>1000000</v>
      </c>
      <c r="I39" s="56">
        <f t="shared" ref="I39:I41" si="1">HLOOKUP(J$6,I$30:M$34,$B39,FALSE)</f>
        <v>1000000</v>
      </c>
      <c r="O39" s="56">
        <f t="shared" ref="O39:O41" si="2">HLOOKUP(P$6,O$30:S$34,$B39,FALSE)</f>
        <v>1000000</v>
      </c>
      <c r="U39" s="56">
        <f t="shared" ref="U39:U41" si="3">HLOOKUP(V$6,U$30:Y$34,$B39,FALSE)</f>
        <v>125000</v>
      </c>
      <c r="Z39" s="43"/>
    </row>
    <row r="40" spans="2:26" x14ac:dyDescent="0.25">
      <c r="B40" s="42">
        <v>4</v>
      </c>
      <c r="C40" s="56">
        <f t="shared" si="0"/>
        <v>1000000</v>
      </c>
      <c r="I40" s="56">
        <f t="shared" si="1"/>
        <v>1000000</v>
      </c>
      <c r="O40" s="56">
        <f t="shared" si="2"/>
        <v>1000000</v>
      </c>
      <c r="U40" s="56" t="str">
        <f t="shared" si="3"/>
        <v/>
      </c>
      <c r="Z40" s="43"/>
    </row>
    <row r="41" spans="2:26" x14ac:dyDescent="0.25">
      <c r="B41" s="42">
        <v>5</v>
      </c>
      <c r="C41" s="56">
        <f t="shared" si="0"/>
        <v>1000000</v>
      </c>
      <c r="I41" s="56">
        <f t="shared" si="1"/>
        <v>1000000</v>
      </c>
      <c r="O41" s="56">
        <f t="shared" si="2"/>
        <v>1000000</v>
      </c>
      <c r="U41" s="56" t="str">
        <f t="shared" si="3"/>
        <v/>
      </c>
      <c r="Z41" s="43"/>
    </row>
    <row r="42" spans="2:26" x14ac:dyDescent="0.25">
      <c r="B42" s="42"/>
      <c r="Z42" s="43"/>
    </row>
    <row r="43" spans="2:26" ht="15.75" thickBot="1" x14ac:dyDescent="0.3">
      <c r="B43" s="46"/>
      <c r="C43" s="47"/>
      <c r="D43" s="47"/>
      <c r="E43" s="47"/>
      <c r="F43" s="47"/>
      <c r="G43" s="47"/>
      <c r="H43" s="47"/>
      <c r="I43" s="47"/>
      <c r="J43" s="47"/>
      <c r="K43" s="47"/>
      <c r="L43" s="47"/>
      <c r="M43" s="47"/>
      <c r="N43" s="47"/>
      <c r="O43" s="47"/>
      <c r="P43" s="47"/>
      <c r="Q43" s="47"/>
      <c r="R43" s="47"/>
      <c r="S43" s="47"/>
      <c r="T43" s="47"/>
      <c r="U43" s="47"/>
      <c r="V43" s="47"/>
      <c r="W43" s="47"/>
      <c r="X43" s="47"/>
      <c r="Y43" s="47"/>
      <c r="Z43" s="48"/>
    </row>
    <row r="44" spans="2:26" ht="15.75" thickBot="1" x14ac:dyDescent="0.3"/>
    <row r="45" spans="2:26" ht="17.25" x14ac:dyDescent="0.3">
      <c r="B45" s="49"/>
      <c r="C45" s="50" t="s">
        <v>101</v>
      </c>
      <c r="D45" s="40"/>
      <c r="E45" s="40"/>
      <c r="F45" s="40"/>
      <c r="G45" s="40"/>
      <c r="H45" s="40"/>
      <c r="I45" s="40"/>
      <c r="J45" s="40"/>
      <c r="K45" s="40"/>
      <c r="L45" s="40"/>
      <c r="M45" s="40"/>
      <c r="N45" s="40"/>
      <c r="O45" s="40"/>
      <c r="P45" s="40"/>
      <c r="Q45" s="40"/>
      <c r="R45" s="40"/>
      <c r="S45" s="40"/>
      <c r="T45" s="40"/>
      <c r="U45" s="40"/>
      <c r="V45" s="40"/>
      <c r="W45" s="41"/>
    </row>
    <row r="46" spans="2:26" x14ac:dyDescent="0.25">
      <c r="B46" s="42"/>
      <c r="W46" s="43"/>
    </row>
    <row r="47" spans="2:26" ht="15.75" x14ac:dyDescent="0.25">
      <c r="B47" s="42"/>
      <c r="C47" s="31" t="s">
        <v>91</v>
      </c>
      <c r="D47" s="34"/>
      <c r="I47" s="31" t="s">
        <v>92</v>
      </c>
      <c r="J47" s="33"/>
      <c r="O47" s="31" t="s">
        <v>93</v>
      </c>
      <c r="P47" s="33"/>
      <c r="U47" s="31" t="s">
        <v>94</v>
      </c>
      <c r="V47" s="33"/>
      <c r="W47" s="43"/>
    </row>
    <row r="48" spans="2:26" ht="15.75" x14ac:dyDescent="0.25">
      <c r="B48" s="42"/>
      <c r="C48" s="38" t="s">
        <v>65</v>
      </c>
      <c r="D48" s="39" t="s">
        <v>66</v>
      </c>
      <c r="E48" s="44"/>
      <c r="I48" s="38" t="s">
        <v>65</v>
      </c>
      <c r="J48" s="39" t="s">
        <v>66</v>
      </c>
      <c r="K48" s="44"/>
      <c r="O48" s="38" t="s">
        <v>65</v>
      </c>
      <c r="P48" s="39" t="s">
        <v>66</v>
      </c>
      <c r="Q48" s="44"/>
      <c r="U48" s="38" t="s">
        <v>65</v>
      </c>
      <c r="V48" s="39" t="s">
        <v>66</v>
      </c>
      <c r="W48" s="43"/>
    </row>
    <row r="49" spans="2:23" x14ac:dyDescent="0.25">
      <c r="B49" s="42"/>
      <c r="C49" s="36">
        <f>'Member Data'!P7</f>
        <v>1</v>
      </c>
      <c r="D49" s="36">
        <f>'Member Data'!Q7</f>
        <v>1</v>
      </c>
      <c r="I49" s="36">
        <f>'Member Data'!R7</f>
        <v>0</v>
      </c>
      <c r="J49" s="36">
        <f>'Member Data'!S7</f>
        <v>0</v>
      </c>
      <c r="O49" s="36">
        <f>'Member Data'!T7</f>
        <v>0</v>
      </c>
      <c r="P49" s="36">
        <f>'Member Data'!U7</f>
        <v>0</v>
      </c>
      <c r="U49" s="36">
        <f>'Member Data'!V7</f>
        <v>0</v>
      </c>
      <c r="V49" s="36">
        <f>'Member Data'!W7</f>
        <v>0</v>
      </c>
      <c r="W49" s="43"/>
    </row>
    <row r="50" spans="2:23" x14ac:dyDescent="0.25">
      <c r="B50" s="42"/>
      <c r="C50" s="36">
        <f>'Member Data'!P8</f>
        <v>1</v>
      </c>
      <c r="D50" s="36">
        <f>'Member Data'!Q8</f>
        <v>0</v>
      </c>
      <c r="I50" s="36">
        <f>'Member Data'!R8</f>
        <v>0</v>
      </c>
      <c r="J50" s="36">
        <f>'Member Data'!S8</f>
        <v>0</v>
      </c>
      <c r="O50" s="36">
        <f>'Member Data'!T8</f>
        <v>0</v>
      </c>
      <c r="P50" s="36">
        <f>'Member Data'!U8</f>
        <v>0</v>
      </c>
      <c r="U50" s="36">
        <f>'Member Data'!V8</f>
        <v>0</v>
      </c>
      <c r="V50" s="36">
        <f>'Member Data'!W8</f>
        <v>0</v>
      </c>
      <c r="W50" s="43"/>
    </row>
    <row r="51" spans="2:23" x14ac:dyDescent="0.25">
      <c r="B51" s="42"/>
      <c r="C51" s="36">
        <f>'Member Data'!P9</f>
        <v>1</v>
      </c>
      <c r="D51" s="36">
        <f>'Member Data'!Q9</f>
        <v>2</v>
      </c>
      <c r="I51" s="36">
        <f>'Member Data'!R9</f>
        <v>0</v>
      </c>
      <c r="J51" s="36">
        <f>'Member Data'!S9</f>
        <v>0</v>
      </c>
      <c r="O51" s="36">
        <f>'Member Data'!T9</f>
        <v>0</v>
      </c>
      <c r="P51" s="36">
        <f>'Member Data'!U9</f>
        <v>0</v>
      </c>
      <c r="U51" s="36">
        <f>'Member Data'!V9</f>
        <v>0</v>
      </c>
      <c r="V51" s="36">
        <f>'Member Data'!W9</f>
        <v>0</v>
      </c>
      <c r="W51" s="43"/>
    </row>
    <row r="52" spans="2:23" x14ac:dyDescent="0.25">
      <c r="B52" s="42"/>
      <c r="C52" s="36">
        <f>'Member Data'!P10</f>
        <v>0</v>
      </c>
      <c r="D52" s="36">
        <f>'Member Data'!Q10</f>
        <v>0</v>
      </c>
      <c r="I52" s="36">
        <f>'Member Data'!R10</f>
        <v>0</v>
      </c>
      <c r="J52" s="36">
        <f>'Member Data'!S10</f>
        <v>0</v>
      </c>
      <c r="O52" s="36">
        <f>'Member Data'!T10</f>
        <v>0</v>
      </c>
      <c r="P52" s="36">
        <f>'Member Data'!U10</f>
        <v>0</v>
      </c>
      <c r="U52" s="36">
        <f>'Member Data'!V10</f>
        <v>0</v>
      </c>
      <c r="V52" s="36">
        <f>'Member Data'!W10</f>
        <v>0</v>
      </c>
      <c r="W52" s="43"/>
    </row>
    <row r="53" spans="2:23" x14ac:dyDescent="0.25">
      <c r="B53" s="42"/>
      <c r="C53" s="36">
        <f>'Member Data'!P11</f>
        <v>1</v>
      </c>
      <c r="D53" s="36">
        <f>'Member Data'!Q11</f>
        <v>0</v>
      </c>
      <c r="I53" s="36">
        <f>'Member Data'!R11</f>
        <v>0</v>
      </c>
      <c r="J53" s="36">
        <f>'Member Data'!S11</f>
        <v>0</v>
      </c>
      <c r="O53" s="36">
        <f>'Member Data'!T11</f>
        <v>0</v>
      </c>
      <c r="P53" s="36">
        <f>'Member Data'!U11</f>
        <v>0</v>
      </c>
      <c r="U53" s="36">
        <f>'Member Data'!V11</f>
        <v>0</v>
      </c>
      <c r="V53" s="36">
        <f>'Member Data'!W11</f>
        <v>0</v>
      </c>
      <c r="W53" s="43"/>
    </row>
    <row r="54" spans="2:23" x14ac:dyDescent="0.25">
      <c r="B54" s="42"/>
      <c r="C54" s="36">
        <f>'Member Data'!P12</f>
        <v>0</v>
      </c>
      <c r="D54" s="36">
        <f>'Member Data'!Q12</f>
        <v>0</v>
      </c>
      <c r="I54" s="36">
        <f>'Member Data'!R12</f>
        <v>0</v>
      </c>
      <c r="J54" s="36">
        <f>'Member Data'!S12</f>
        <v>0</v>
      </c>
      <c r="O54" s="36">
        <f>'Member Data'!T12</f>
        <v>0</v>
      </c>
      <c r="P54" s="36">
        <f>'Member Data'!U12</f>
        <v>0</v>
      </c>
      <c r="U54" s="36">
        <f>'Member Data'!V12</f>
        <v>0</v>
      </c>
      <c r="V54" s="36">
        <f>'Member Data'!W12</f>
        <v>0</v>
      </c>
      <c r="W54" s="43"/>
    </row>
    <row r="55" spans="2:23" x14ac:dyDescent="0.25">
      <c r="B55" s="42"/>
      <c r="C55" s="36">
        <f>'Member Data'!P13</f>
        <v>0</v>
      </c>
      <c r="D55" s="36">
        <f>'Member Data'!Q13</f>
        <v>0</v>
      </c>
      <c r="I55" s="36">
        <f>'Member Data'!R13</f>
        <v>0</v>
      </c>
      <c r="J55" s="36">
        <f>'Member Data'!S13</f>
        <v>0</v>
      </c>
      <c r="O55" s="36">
        <f>'Member Data'!T13</f>
        <v>0</v>
      </c>
      <c r="P55" s="36">
        <f>'Member Data'!U13</f>
        <v>0</v>
      </c>
      <c r="U55" s="36">
        <f>'Member Data'!V13</f>
        <v>0</v>
      </c>
      <c r="V55" s="36">
        <f>'Member Data'!W13</f>
        <v>0</v>
      </c>
      <c r="W55" s="43"/>
    </row>
    <row r="56" spans="2:23" x14ac:dyDescent="0.25">
      <c r="B56" s="42"/>
      <c r="C56" s="36">
        <f>'Member Data'!P14</f>
        <v>1</v>
      </c>
      <c r="D56" s="36">
        <f>'Member Data'!Q14</f>
        <v>2</v>
      </c>
      <c r="I56" s="36">
        <f>'Member Data'!R14</f>
        <v>0</v>
      </c>
      <c r="J56" s="36">
        <f>'Member Data'!S14</f>
        <v>0</v>
      </c>
      <c r="O56" s="36">
        <f>'Member Data'!T14</f>
        <v>0</v>
      </c>
      <c r="P56" s="36">
        <f>'Member Data'!U14</f>
        <v>0</v>
      </c>
      <c r="U56" s="36">
        <f>'Member Data'!V14</f>
        <v>0</v>
      </c>
      <c r="V56" s="36">
        <f>'Member Data'!W14</f>
        <v>0</v>
      </c>
      <c r="W56" s="43"/>
    </row>
    <row r="57" spans="2:23" x14ac:dyDescent="0.25">
      <c r="B57" s="42"/>
      <c r="C57" s="36">
        <f>'Member Data'!P15</f>
        <v>1</v>
      </c>
      <c r="D57" s="36">
        <f>'Member Data'!Q15</f>
        <v>0</v>
      </c>
      <c r="I57" s="36">
        <f>'Member Data'!R15</f>
        <v>0</v>
      </c>
      <c r="J57" s="36">
        <f>'Member Data'!S15</f>
        <v>0</v>
      </c>
      <c r="O57" s="36">
        <f>'Member Data'!T15</f>
        <v>0</v>
      </c>
      <c r="P57" s="36">
        <f>'Member Data'!U15</f>
        <v>0</v>
      </c>
      <c r="U57" s="36">
        <f>'Member Data'!V15</f>
        <v>0</v>
      </c>
      <c r="V57" s="36">
        <f>'Member Data'!W15</f>
        <v>0</v>
      </c>
      <c r="W57" s="43"/>
    </row>
    <row r="58" spans="2:23" x14ac:dyDescent="0.25">
      <c r="B58" s="42"/>
      <c r="C58" s="36">
        <f>'Member Data'!P16</f>
        <v>0</v>
      </c>
      <c r="D58" s="36">
        <f>'Member Data'!Q16</f>
        <v>0</v>
      </c>
      <c r="I58" s="36">
        <f>'Member Data'!R16</f>
        <v>0</v>
      </c>
      <c r="J58" s="36">
        <f>'Member Data'!S16</f>
        <v>0</v>
      </c>
      <c r="O58" s="36">
        <f>'Member Data'!T16</f>
        <v>0</v>
      </c>
      <c r="P58" s="36">
        <f>'Member Data'!U16</f>
        <v>0</v>
      </c>
      <c r="U58" s="36">
        <f>'Member Data'!V16</f>
        <v>0</v>
      </c>
      <c r="V58" s="36">
        <f>'Member Data'!W16</f>
        <v>0</v>
      </c>
      <c r="W58" s="43"/>
    </row>
    <row r="59" spans="2:23" x14ac:dyDescent="0.25">
      <c r="B59" s="42"/>
      <c r="C59" s="36">
        <f>'Member Data'!P17</f>
        <v>0</v>
      </c>
      <c r="D59" s="36">
        <f>'Member Data'!Q17</f>
        <v>0</v>
      </c>
      <c r="I59" s="36">
        <f>'Member Data'!R17</f>
        <v>0</v>
      </c>
      <c r="J59" s="36">
        <f>'Member Data'!S17</f>
        <v>0</v>
      </c>
      <c r="O59" s="36">
        <f>'Member Data'!T17</f>
        <v>0</v>
      </c>
      <c r="P59" s="36">
        <f>'Member Data'!U17</f>
        <v>0</v>
      </c>
      <c r="U59" s="36">
        <f>'Member Data'!V17</f>
        <v>0</v>
      </c>
      <c r="V59" s="36">
        <f>'Member Data'!W17</f>
        <v>0</v>
      </c>
      <c r="W59" s="43"/>
    </row>
    <row r="60" spans="2:23" x14ac:dyDescent="0.25">
      <c r="B60" s="42"/>
      <c r="C60" s="36">
        <f>'Member Data'!P18</f>
        <v>0</v>
      </c>
      <c r="D60" s="36">
        <f>'Member Data'!Q18</f>
        <v>0</v>
      </c>
      <c r="I60" s="36">
        <f>'Member Data'!R18</f>
        <v>0</v>
      </c>
      <c r="J60" s="36">
        <f>'Member Data'!S18</f>
        <v>0</v>
      </c>
      <c r="O60" s="36">
        <f>'Member Data'!T18</f>
        <v>0</v>
      </c>
      <c r="P60" s="36">
        <f>'Member Data'!U18</f>
        <v>0</v>
      </c>
      <c r="U60" s="36">
        <f>'Member Data'!V18</f>
        <v>0</v>
      </c>
      <c r="V60" s="36">
        <f>'Member Data'!W18</f>
        <v>0</v>
      </c>
      <c r="W60" s="43"/>
    </row>
    <row r="61" spans="2:23" ht="15.75" thickBot="1" x14ac:dyDescent="0.3">
      <c r="B61" s="46"/>
      <c r="C61" s="47"/>
      <c r="D61" s="47"/>
      <c r="E61" s="47"/>
      <c r="F61" s="47"/>
      <c r="G61" s="47"/>
      <c r="H61" s="47"/>
      <c r="I61" s="47"/>
      <c r="J61" s="47"/>
      <c r="K61" s="47"/>
      <c r="L61" s="47"/>
      <c r="M61" s="47"/>
      <c r="N61" s="47"/>
      <c r="O61" s="47"/>
      <c r="P61" s="47"/>
      <c r="Q61" s="47"/>
      <c r="R61" s="47"/>
      <c r="S61" s="47"/>
      <c r="T61" s="47"/>
      <c r="U61" s="47"/>
      <c r="V61" s="47"/>
      <c r="W61" s="48"/>
    </row>
    <row r="62" spans="2:23" ht="15.75" thickBot="1" x14ac:dyDescent="0.3"/>
    <row r="63" spans="2:23" ht="17.25" x14ac:dyDescent="0.3">
      <c r="B63" s="49"/>
      <c r="C63" s="50" t="s">
        <v>160</v>
      </c>
      <c r="D63" s="40"/>
      <c r="E63" s="40"/>
      <c r="F63" s="40"/>
      <c r="G63" s="40"/>
      <c r="H63" s="40"/>
      <c r="I63" s="40"/>
      <c r="J63" s="40"/>
      <c r="K63" s="40"/>
      <c r="L63" s="40"/>
      <c r="M63" s="40"/>
      <c r="N63" s="40"/>
      <c r="O63" s="40"/>
      <c r="P63" s="40"/>
      <c r="Q63" s="40"/>
      <c r="R63" s="40"/>
      <c r="S63" s="40"/>
      <c r="T63" s="40"/>
      <c r="U63" s="40"/>
      <c r="V63" s="40"/>
      <c r="W63" s="41"/>
    </row>
    <row r="64" spans="2:23" x14ac:dyDescent="0.25">
      <c r="B64" s="42"/>
      <c r="W64" s="43"/>
    </row>
    <row r="65" spans="1:23" ht="15.75" x14ac:dyDescent="0.25">
      <c r="B65" s="42"/>
      <c r="C65" s="31" t="s">
        <v>91</v>
      </c>
      <c r="D65" s="34"/>
      <c r="I65" s="31" t="s">
        <v>92</v>
      </c>
      <c r="J65" s="33"/>
      <c r="O65" s="31" t="s">
        <v>93</v>
      </c>
      <c r="P65" s="33"/>
      <c r="U65" s="31" t="s">
        <v>94</v>
      </c>
      <c r="V65" s="33"/>
      <c r="W65" s="43"/>
    </row>
    <row r="66" spans="1:23" ht="15.75" x14ac:dyDescent="0.25">
      <c r="B66" s="42"/>
      <c r="C66" s="38" t="s">
        <v>65</v>
      </c>
      <c r="D66" s="39" t="s">
        <v>66</v>
      </c>
      <c r="E66" s="44"/>
      <c r="I66" s="38" t="s">
        <v>65</v>
      </c>
      <c r="J66" s="39" t="s">
        <v>66</v>
      </c>
      <c r="K66" s="44"/>
      <c r="O66" s="38" t="s">
        <v>65</v>
      </c>
      <c r="P66" s="39" t="s">
        <v>66</v>
      </c>
      <c r="Q66" s="44"/>
      <c r="U66" s="38" t="s">
        <v>65</v>
      </c>
      <c r="V66" s="39" t="s">
        <v>66</v>
      </c>
      <c r="W66" s="43"/>
    </row>
    <row r="67" spans="1:23" x14ac:dyDescent="0.25">
      <c r="A67" s="37" t="s">
        <v>8</v>
      </c>
      <c r="B67" s="42">
        <v>2</v>
      </c>
      <c r="C67" s="36">
        <f ca="1">HLOOKUP(OFFSET(C$5,D$6,0)&amp;OFFSET(C$37,D$38,0)&amp;OFFSET(C$22,D$23,0),'Individual Basis'!$C$108:$X$119,'Individual Engine'!$B67,FALSE)</f>
        <v>2027</v>
      </c>
      <c r="D67" s="36">
        <f ca="1">HLOOKUP(OFFSET(C$5,D$6,0)&amp;OFFSET(C$37,D$38,0)&amp;OFFSET(C$22,D$23,0),'Individual Basis'!$C$123:$X$134,'Individual Engine'!$B67,FALSE)</f>
        <v>2027</v>
      </c>
      <c r="I67" s="36">
        <f ca="1">HLOOKUP(OFFSET(I$5,J$6,0)&amp;OFFSET(I$37,J$38,0)&amp;OFFSET(I$22,J$23,0),'Individual Basis'!$C$108:$X$119,'Individual Engine'!$B67,FALSE)</f>
        <v>987</v>
      </c>
      <c r="J67" s="36">
        <f ca="1">HLOOKUP(OFFSET(I$5,J$6,0)&amp;OFFSET(I$37,J$38,0)&amp;OFFSET(I$22,J$23,0),'Individual Basis'!$C$123:$X$134,'Individual Engine'!$B67,FALSE)</f>
        <v>987</v>
      </c>
      <c r="O67" s="36">
        <f ca="1">HLOOKUP(OFFSET(O$5,P$6,0)&amp;OFFSET(O$37,P$38,0)&amp;OFFSET(O$22,P$23,0),'Individual Basis'!$C$108:$X$119,'Individual Engine'!$B67,FALSE)</f>
        <v>2027</v>
      </c>
      <c r="P67" s="36">
        <f ca="1">HLOOKUP(OFFSET(O$5,P$6,0)&amp;OFFSET(O$37,P$38,0)&amp;OFFSET(O$22,P$23,0),'Individual Basis'!$C$123:$X$134,'Individual Engine'!$B67,FALSE)</f>
        <v>2027</v>
      </c>
      <c r="U67" s="36">
        <f ca="1">HLOOKUP(OFFSET(U$5,V$6,0)&amp;OFFSET(U$37,V$38,0)&amp;OFFSET(U$22,V$23,0),'Individual Basis'!$C$108:$X$119,'Individual Engine'!$B67,FALSE)</f>
        <v>287</v>
      </c>
      <c r="V67" s="36">
        <f ca="1">HLOOKUP(OFFSET(U$5,V$6,0)&amp;OFFSET(U$37,V$38,0)&amp;OFFSET(U$22,V$23,0),'Individual Basis'!$C$123:$X$134,'Individual Engine'!$B67,FALSE)</f>
        <v>287</v>
      </c>
      <c r="W67" s="43"/>
    </row>
    <row r="68" spans="1:23" x14ac:dyDescent="0.25">
      <c r="A68" s="37" t="s">
        <v>9</v>
      </c>
      <c r="B68" s="42">
        <f>B67+1</f>
        <v>3</v>
      </c>
      <c r="C68" s="36">
        <f ca="1">HLOOKUP(OFFSET(C$5,D$6,0)&amp;OFFSET(C$37,D$38,0)&amp;OFFSET(C$22,D$23,0),'Individual Basis'!$C$108:$X$119,'Individual Engine'!$B68,FALSE)</f>
        <v>3209</v>
      </c>
      <c r="D68" s="36">
        <f ca="1">HLOOKUP(OFFSET(C$5,D$6,0)&amp;OFFSET(C$37,D$38,0)&amp;OFFSET(C$22,D$23,0),'Individual Basis'!$C$123:$X$134,'Individual Engine'!$B68,FALSE)</f>
        <v>3851</v>
      </c>
      <c r="I68" s="36">
        <f ca="1">HLOOKUP(OFFSET(I$5,J$6,0)&amp;OFFSET(I$37,J$38,0)&amp;OFFSET(I$22,J$23,0),'Individual Basis'!$C$108:$X$119,'Individual Engine'!$B68,FALSE)</f>
        <v>1562</v>
      </c>
      <c r="J68" s="36">
        <f ca="1">HLOOKUP(OFFSET(I$5,J$6,0)&amp;OFFSET(I$37,J$38,0)&amp;OFFSET(I$22,J$23,0),'Individual Basis'!$C$123:$X$134,'Individual Engine'!$B68,FALSE)</f>
        <v>1874</v>
      </c>
      <c r="O68" s="36">
        <f ca="1">HLOOKUP(OFFSET(O$5,P$6,0)&amp;OFFSET(O$37,P$38,0)&amp;OFFSET(O$22,P$23,0),'Individual Basis'!$C$108:$X$119,'Individual Engine'!$B68,FALSE)</f>
        <v>3209</v>
      </c>
      <c r="P68" s="36">
        <f ca="1">HLOOKUP(OFFSET(O$5,P$6,0)&amp;OFFSET(O$37,P$38,0)&amp;OFFSET(O$22,P$23,0),'Individual Basis'!$C$123:$X$134,'Individual Engine'!$B68,FALSE)</f>
        <v>3851</v>
      </c>
      <c r="U68" s="36">
        <f ca="1">HLOOKUP(OFFSET(U$5,V$6,0)&amp;OFFSET(U$37,V$38,0)&amp;OFFSET(U$22,V$23,0),'Individual Basis'!$C$108:$X$119,'Individual Engine'!$B68,FALSE)</f>
        <v>416</v>
      </c>
      <c r="V68" s="36">
        <f ca="1">HLOOKUP(OFFSET(U$5,V$6,0)&amp;OFFSET(U$37,V$38,0)&amp;OFFSET(U$22,V$23,0),'Individual Basis'!$C$123:$X$134,'Individual Engine'!$B68,FALSE)</f>
        <v>499</v>
      </c>
      <c r="W68" s="43"/>
    </row>
    <row r="69" spans="1:23" x14ac:dyDescent="0.25">
      <c r="A69" s="37" t="s">
        <v>10</v>
      </c>
      <c r="B69" s="42">
        <f t="shared" ref="B69:B78" si="4">B68+1</f>
        <v>4</v>
      </c>
      <c r="C69" s="36">
        <f ca="1">HLOOKUP(OFFSET(C$5,D$6,0)&amp;OFFSET(C$37,D$38,0)&amp;OFFSET(C$22,D$23,0),'Individual Basis'!$C$108:$X$119,'Individual Engine'!$B69,FALSE)</f>
        <v>3852</v>
      </c>
      <c r="D69" s="36">
        <f ca="1">HLOOKUP(OFFSET(C$5,D$6,0)&amp;OFFSET(C$37,D$38,0)&amp;OFFSET(C$22,D$23,0),'Individual Basis'!$C$123:$X$134,'Individual Engine'!$B69,FALSE)</f>
        <v>4623</v>
      </c>
      <c r="I69" s="36">
        <f ca="1">HLOOKUP(OFFSET(I$5,J$6,0)&amp;OFFSET(I$37,J$38,0)&amp;OFFSET(I$22,J$23,0),'Individual Basis'!$C$108:$X$119,'Individual Engine'!$B69,FALSE)</f>
        <v>1875</v>
      </c>
      <c r="J69" s="36">
        <f ca="1">HLOOKUP(OFFSET(I$5,J$6,0)&amp;OFFSET(I$37,J$38,0)&amp;OFFSET(I$22,J$23,0),'Individual Basis'!$C$123:$X$134,'Individual Engine'!$B69,FALSE)</f>
        <v>2250</v>
      </c>
      <c r="O69" s="36">
        <f ca="1">HLOOKUP(OFFSET(O$5,P$6,0)&amp;OFFSET(O$37,P$38,0)&amp;OFFSET(O$22,P$23,0),'Individual Basis'!$C$108:$X$119,'Individual Engine'!$B69,FALSE)</f>
        <v>3852</v>
      </c>
      <c r="P69" s="36">
        <f ca="1">HLOOKUP(OFFSET(O$5,P$6,0)&amp;OFFSET(O$37,P$38,0)&amp;OFFSET(O$22,P$23,0),'Individual Basis'!$C$123:$X$134,'Individual Engine'!$B69,FALSE)</f>
        <v>4623</v>
      </c>
      <c r="U69" s="36">
        <f ca="1">HLOOKUP(OFFSET(U$5,V$6,0)&amp;OFFSET(U$37,V$38,0)&amp;OFFSET(U$22,V$23,0),'Individual Basis'!$C$108:$X$119,'Individual Engine'!$B69,FALSE)</f>
        <v>499</v>
      </c>
      <c r="V69" s="36">
        <f ca="1">HLOOKUP(OFFSET(U$5,V$6,0)&amp;OFFSET(U$37,V$38,0)&amp;OFFSET(U$22,V$23,0),'Individual Basis'!$C$123:$X$134,'Individual Engine'!$B69,FALSE)</f>
        <v>599</v>
      </c>
      <c r="W69" s="43"/>
    </row>
    <row r="70" spans="1:23" x14ac:dyDescent="0.25">
      <c r="A70" s="37" t="s">
        <v>11</v>
      </c>
      <c r="B70" s="42">
        <f t="shared" si="4"/>
        <v>5</v>
      </c>
      <c r="C70" s="36">
        <f ca="1">HLOOKUP(OFFSET(C$5,D$6,0)&amp;OFFSET(C$37,D$38,0)&amp;OFFSET(C$22,D$23,0),'Individual Basis'!$C$108:$X$119,'Individual Engine'!$B70,FALSE)</f>
        <v>5257</v>
      </c>
      <c r="D70" s="36">
        <f ca="1">HLOOKUP(OFFSET(C$5,D$6,0)&amp;OFFSET(C$37,D$38,0)&amp;OFFSET(C$22,D$23,0),'Individual Basis'!$C$123:$X$134,'Individual Engine'!$B70,FALSE)</f>
        <v>6308</v>
      </c>
      <c r="I70" s="36">
        <f ca="1">HLOOKUP(OFFSET(I$5,J$6,0)&amp;OFFSET(I$37,J$38,0)&amp;OFFSET(I$22,J$23,0),'Individual Basis'!$C$108:$X$119,'Individual Engine'!$B70,FALSE)</f>
        <v>2497</v>
      </c>
      <c r="J70" s="36">
        <f ca="1">HLOOKUP(OFFSET(I$5,J$6,0)&amp;OFFSET(I$37,J$38,0)&amp;OFFSET(I$22,J$23,0),'Individual Basis'!$C$123:$X$134,'Individual Engine'!$B70,FALSE)</f>
        <v>2997</v>
      </c>
      <c r="O70" s="36">
        <f ca="1">HLOOKUP(OFFSET(O$5,P$6,0)&amp;OFFSET(O$37,P$38,0)&amp;OFFSET(O$22,P$23,0),'Individual Basis'!$C$108:$X$119,'Individual Engine'!$B70,FALSE)</f>
        <v>5257</v>
      </c>
      <c r="P70" s="36">
        <f ca="1">HLOOKUP(OFFSET(O$5,P$6,0)&amp;OFFSET(O$37,P$38,0)&amp;OFFSET(O$22,P$23,0),'Individual Basis'!$C$123:$X$134,'Individual Engine'!$B70,FALSE)</f>
        <v>6308</v>
      </c>
      <c r="U70" s="36">
        <f ca="1">HLOOKUP(OFFSET(U$5,V$6,0)&amp;OFFSET(U$37,V$38,0)&amp;OFFSET(U$22,V$23,0),'Individual Basis'!$C$108:$X$119,'Individual Engine'!$B70,FALSE)</f>
        <v>665</v>
      </c>
      <c r="V70" s="36">
        <f ca="1">HLOOKUP(OFFSET(U$5,V$6,0)&amp;OFFSET(U$37,V$38,0)&amp;OFFSET(U$22,V$23,0),'Individual Basis'!$C$123:$X$134,'Individual Engine'!$B70,FALSE)</f>
        <v>797</v>
      </c>
      <c r="W70" s="43"/>
    </row>
    <row r="71" spans="1:23" x14ac:dyDescent="0.25">
      <c r="A71" s="37" t="s">
        <v>12</v>
      </c>
      <c r="B71" s="42">
        <f t="shared" si="4"/>
        <v>6</v>
      </c>
      <c r="C71" s="36">
        <f ca="1">HLOOKUP(OFFSET(C$5,D$6,0)&amp;OFFSET(C$37,D$38,0)&amp;OFFSET(C$22,D$23,0),'Individual Basis'!$C$108:$X$119,'Individual Engine'!$B71,FALSE)</f>
        <v>7537</v>
      </c>
      <c r="D71" s="36">
        <f ca="1">HLOOKUP(OFFSET(C$5,D$6,0)&amp;OFFSET(C$37,D$38,0)&amp;OFFSET(C$22,D$23,0),'Individual Basis'!$C$123:$X$134,'Individual Engine'!$B71,FALSE)</f>
        <v>9044</v>
      </c>
      <c r="I71" s="36">
        <f ca="1">HLOOKUP(OFFSET(I$5,J$6,0)&amp;OFFSET(I$37,J$38,0)&amp;OFFSET(I$22,J$23,0),'Individual Basis'!$C$108:$X$119,'Individual Engine'!$B71,FALSE)</f>
        <v>3583</v>
      </c>
      <c r="J71" s="36">
        <f ca="1">HLOOKUP(OFFSET(I$5,J$6,0)&amp;OFFSET(I$37,J$38,0)&amp;OFFSET(I$22,J$23,0),'Individual Basis'!$C$123:$X$134,'Individual Engine'!$B71,FALSE)</f>
        <v>4299</v>
      </c>
      <c r="O71" s="36">
        <f ca="1">HLOOKUP(OFFSET(O$5,P$6,0)&amp;OFFSET(O$37,P$38,0)&amp;OFFSET(O$22,P$23,0),'Individual Basis'!$C$108:$X$119,'Individual Engine'!$B71,FALSE)</f>
        <v>7537</v>
      </c>
      <c r="P71" s="36">
        <f ca="1">HLOOKUP(OFFSET(O$5,P$6,0)&amp;OFFSET(O$37,P$38,0)&amp;OFFSET(O$22,P$23,0),'Individual Basis'!$C$123:$X$134,'Individual Engine'!$B71,FALSE)</f>
        <v>9044</v>
      </c>
      <c r="U71" s="36">
        <f ca="1">HLOOKUP(OFFSET(U$5,V$6,0)&amp;OFFSET(U$37,V$38,0)&amp;OFFSET(U$22,V$23,0),'Individual Basis'!$C$108:$X$119,'Individual Engine'!$B71,FALSE)</f>
        <v>953</v>
      </c>
      <c r="V71" s="36">
        <f ca="1">HLOOKUP(OFFSET(U$5,V$6,0)&amp;OFFSET(U$37,V$38,0)&amp;OFFSET(U$22,V$23,0),'Individual Basis'!$C$123:$X$134,'Individual Engine'!$B71,FALSE)</f>
        <v>1144</v>
      </c>
      <c r="W71" s="43"/>
    </row>
    <row r="72" spans="1:23" x14ac:dyDescent="0.25">
      <c r="A72" s="37" t="s">
        <v>13</v>
      </c>
      <c r="B72" s="42">
        <f t="shared" si="4"/>
        <v>7</v>
      </c>
      <c r="C72" s="36">
        <f ca="1">HLOOKUP(OFFSET(C$5,D$6,0)&amp;OFFSET(C$37,D$38,0)&amp;OFFSET(C$22,D$23,0),'Individual Basis'!$C$108:$X$119,'Individual Engine'!$B72,FALSE)</f>
        <v>11303</v>
      </c>
      <c r="D72" s="36">
        <f ca="1">HLOOKUP(OFFSET(C$5,D$6,0)&amp;OFFSET(C$37,D$38,0)&amp;OFFSET(C$22,D$23,0),'Individual Basis'!$C$123:$X$134,'Individual Engine'!$B72,FALSE)</f>
        <v>13564</v>
      </c>
      <c r="I72" s="36">
        <f ca="1">HLOOKUP(OFFSET(I$5,J$6,0)&amp;OFFSET(I$37,J$38,0)&amp;OFFSET(I$22,J$23,0),'Individual Basis'!$C$108:$X$119,'Individual Engine'!$B72,FALSE)</f>
        <v>5373</v>
      </c>
      <c r="J72" s="36">
        <f ca="1">HLOOKUP(OFFSET(I$5,J$6,0)&amp;OFFSET(I$37,J$38,0)&amp;OFFSET(I$22,J$23,0),'Individual Basis'!$C$123:$X$134,'Individual Engine'!$B72,FALSE)</f>
        <v>6448</v>
      </c>
      <c r="O72" s="36">
        <f ca="1">HLOOKUP(OFFSET(O$5,P$6,0)&amp;OFFSET(O$37,P$38,0)&amp;OFFSET(O$22,P$23,0),'Individual Basis'!$C$108:$X$119,'Individual Engine'!$B72,FALSE)</f>
        <v>11303</v>
      </c>
      <c r="P72" s="36">
        <f ca="1">HLOOKUP(OFFSET(O$5,P$6,0)&amp;OFFSET(O$37,P$38,0)&amp;OFFSET(O$22,P$23,0),'Individual Basis'!$C$123:$X$134,'Individual Engine'!$B72,FALSE)</f>
        <v>13564</v>
      </c>
      <c r="U72" s="36">
        <f ca="1">HLOOKUP(OFFSET(U$5,V$6,0)&amp;OFFSET(U$37,V$38,0)&amp;OFFSET(U$22,V$23,0),'Individual Basis'!$C$108:$X$119,'Individual Engine'!$B72,FALSE)</f>
        <v>1430</v>
      </c>
      <c r="V72" s="36">
        <f ca="1">HLOOKUP(OFFSET(U$5,V$6,0)&amp;OFFSET(U$37,V$38,0)&amp;OFFSET(U$22,V$23,0),'Individual Basis'!$C$123:$X$134,'Individual Engine'!$B72,FALSE)</f>
        <v>1718</v>
      </c>
      <c r="W72" s="43"/>
    </row>
    <row r="73" spans="1:23" x14ac:dyDescent="0.25">
      <c r="A73" s="37" t="s">
        <v>99</v>
      </c>
      <c r="B73" s="42">
        <f t="shared" si="4"/>
        <v>8</v>
      </c>
      <c r="C73" s="36">
        <f ca="1">HLOOKUP(OFFSET(C$5,D$6,0)&amp;OFFSET(C$37,D$38,0)&amp;OFFSET(C$22,D$23,0),'Individual Basis'!$C$108:$X$119,'Individual Engine'!$B73,FALSE)</f>
        <v>15259</v>
      </c>
      <c r="D73" s="36">
        <f ca="1">HLOOKUP(OFFSET(C$5,D$6,0)&amp;OFFSET(C$37,D$38,0)&amp;OFFSET(C$22,D$23,0),'Individual Basis'!$C$123:$X$134,'Individual Engine'!$B73,FALSE)</f>
        <v>18311</v>
      </c>
      <c r="I73" s="36">
        <f ca="1">HLOOKUP(OFFSET(I$5,J$6,0)&amp;OFFSET(I$37,J$38,0)&amp;OFFSET(I$22,J$23,0),'Individual Basis'!$C$108:$X$119,'Individual Engine'!$B73,FALSE)</f>
        <v>7254</v>
      </c>
      <c r="J73" s="36">
        <f ca="1">HLOOKUP(OFFSET(I$5,J$6,0)&amp;OFFSET(I$37,J$38,0)&amp;OFFSET(I$22,J$23,0),'Individual Basis'!$C$123:$X$134,'Individual Engine'!$B73,FALSE)</f>
        <v>8705</v>
      </c>
      <c r="O73" s="36">
        <f ca="1">HLOOKUP(OFFSET(O$5,P$6,0)&amp;OFFSET(O$37,P$38,0)&amp;OFFSET(O$22,P$23,0),'Individual Basis'!$C$108:$X$119,'Individual Engine'!$B73,FALSE)</f>
        <v>15259</v>
      </c>
      <c r="P73" s="36">
        <f ca="1">HLOOKUP(OFFSET(O$5,P$6,0)&amp;OFFSET(O$37,P$38,0)&amp;OFFSET(O$22,P$23,0),'Individual Basis'!$C$123:$X$134,'Individual Engine'!$B73,FALSE)</f>
        <v>18311</v>
      </c>
      <c r="U73" s="36">
        <f ca="1">HLOOKUP(OFFSET(U$5,V$6,0)&amp;OFFSET(U$37,V$38,0)&amp;OFFSET(U$22,V$23,0),'Individual Basis'!$C$108:$X$119,'Individual Engine'!$B73,FALSE)</f>
        <v>1930</v>
      </c>
      <c r="V73" s="36">
        <f ca="1">HLOOKUP(OFFSET(U$5,V$6,0)&amp;OFFSET(U$37,V$38,0)&amp;OFFSET(U$22,V$23,0),'Individual Basis'!$C$123:$X$134,'Individual Engine'!$B73,FALSE)</f>
        <v>2316</v>
      </c>
      <c r="W73" s="43"/>
    </row>
    <row r="74" spans="1:23" x14ac:dyDescent="0.25">
      <c r="A74" s="37" t="s">
        <v>15</v>
      </c>
      <c r="B74" s="42">
        <f t="shared" si="4"/>
        <v>9</v>
      </c>
      <c r="C74" s="36">
        <f ca="1">HLOOKUP(OFFSET(C$5,D$6,0)&amp;OFFSET(C$37,D$38,0)&amp;OFFSET(C$22,D$23,0),'Individual Basis'!$C$108:$X$119,'Individual Engine'!$B74,FALSE)</f>
        <v>19261</v>
      </c>
      <c r="D74" s="36">
        <f ca="1">HLOOKUP(OFFSET(C$5,D$6,0)&amp;OFFSET(C$37,D$38,0)&amp;OFFSET(C$22,D$23,0),'Individual Basis'!$C$123:$X$134,'Individual Engine'!$B74,FALSE)</f>
        <v>23113</v>
      </c>
      <c r="I74" s="36">
        <f ca="1">HLOOKUP(OFFSET(I$5,J$6,0)&amp;OFFSET(I$37,J$38,0)&amp;OFFSET(I$22,J$23,0),'Individual Basis'!$C$108:$X$119,'Individual Engine'!$B74,FALSE)</f>
        <v>9374</v>
      </c>
      <c r="J74" s="36">
        <f ca="1">HLOOKUP(OFFSET(I$5,J$6,0)&amp;OFFSET(I$37,J$38,0)&amp;OFFSET(I$22,J$23,0),'Individual Basis'!$C$123:$X$134,'Individual Engine'!$B74,FALSE)</f>
        <v>11249</v>
      </c>
      <c r="O74" s="36">
        <f ca="1">HLOOKUP(OFFSET(O$5,P$6,0)&amp;OFFSET(O$37,P$38,0)&amp;OFFSET(O$22,P$23,0),'Individual Basis'!$C$108:$X$119,'Individual Engine'!$B74,FALSE)</f>
        <v>19261</v>
      </c>
      <c r="P74" s="36">
        <f ca="1">HLOOKUP(OFFSET(O$5,P$6,0)&amp;OFFSET(O$37,P$38,0)&amp;OFFSET(O$22,P$23,0),'Individual Basis'!$C$123:$X$134,'Individual Engine'!$B74,FALSE)</f>
        <v>23113</v>
      </c>
      <c r="U74" s="36">
        <f ca="1">HLOOKUP(OFFSET(U$5,V$6,0)&amp;OFFSET(U$37,V$38,0)&amp;OFFSET(U$22,V$23,0),'Individual Basis'!$C$108:$X$119,'Individual Engine'!$B74,FALSE)</f>
        <v>2494</v>
      </c>
      <c r="V74" s="36">
        <f ca="1">HLOOKUP(OFFSET(U$5,V$6,0)&amp;OFFSET(U$37,V$38,0)&amp;OFFSET(U$22,V$23,0),'Individual Basis'!$C$123:$X$134,'Individual Engine'!$B74,FALSE)</f>
        <v>2993</v>
      </c>
      <c r="W74" s="43"/>
    </row>
    <row r="75" spans="1:23" x14ac:dyDescent="0.25">
      <c r="A75" s="37" t="s">
        <v>16</v>
      </c>
      <c r="B75" s="42">
        <f t="shared" si="4"/>
        <v>10</v>
      </c>
      <c r="C75" s="36">
        <f ca="1">HLOOKUP(OFFSET(C$5,D$6,0)&amp;OFFSET(C$37,D$38,0)&amp;OFFSET(C$22,D$23,0),'Individual Basis'!$C$108:$X$119,'Individual Engine'!$B75,FALSE)</f>
        <v>25039</v>
      </c>
      <c r="D75" s="36">
        <f ca="1">HLOOKUP(OFFSET(C$5,D$6,0)&amp;OFFSET(C$37,D$38,0)&amp;OFFSET(C$22,D$23,0),'Individual Basis'!$C$123:$X$134,'Individual Engine'!$B75,FALSE)</f>
        <v>30047</v>
      </c>
      <c r="I75" s="36">
        <f ca="1">HLOOKUP(OFFSET(I$5,J$6,0)&amp;OFFSET(I$37,J$38,0)&amp;OFFSET(I$22,J$23,0),'Individual Basis'!$C$108:$X$119,'Individual Engine'!$B75,FALSE)</f>
        <v>12186</v>
      </c>
      <c r="J75" s="36">
        <f ca="1">HLOOKUP(OFFSET(I$5,J$6,0)&amp;OFFSET(I$37,J$38,0)&amp;OFFSET(I$22,J$23,0),'Individual Basis'!$C$123:$X$134,'Individual Engine'!$B75,FALSE)</f>
        <v>14623</v>
      </c>
      <c r="O75" s="36">
        <f ca="1">HLOOKUP(OFFSET(O$5,P$6,0)&amp;OFFSET(O$37,P$38,0)&amp;OFFSET(O$22,P$23,0),'Individual Basis'!$C$108:$X$119,'Individual Engine'!$B75,FALSE)</f>
        <v>25039</v>
      </c>
      <c r="P75" s="36">
        <f ca="1">HLOOKUP(OFFSET(O$5,P$6,0)&amp;OFFSET(O$37,P$38,0)&amp;OFFSET(O$22,P$23,0),'Individual Basis'!$C$123:$X$134,'Individual Engine'!$B75,FALSE)</f>
        <v>30047</v>
      </c>
      <c r="U75" s="36">
        <f ca="1">HLOOKUP(OFFSET(U$5,V$6,0)&amp;OFFSET(U$37,V$38,0)&amp;OFFSET(U$22,V$23,0),'Individual Basis'!$C$108:$X$119,'Individual Engine'!$B75,FALSE)</f>
        <v>3243</v>
      </c>
      <c r="V75" s="36">
        <f ca="1">HLOOKUP(OFFSET(U$5,V$6,0)&amp;OFFSET(U$37,V$38,0)&amp;OFFSET(U$22,V$23,0),'Individual Basis'!$C$123:$X$134,'Individual Engine'!$B75,FALSE)</f>
        <v>3891</v>
      </c>
      <c r="W75" s="43"/>
    </row>
    <row r="76" spans="1:23" x14ac:dyDescent="0.25">
      <c r="A76" s="37" t="s">
        <v>17</v>
      </c>
      <c r="B76" s="42">
        <f t="shared" si="4"/>
        <v>11</v>
      </c>
      <c r="C76" s="36">
        <f ca="1">HLOOKUP(OFFSET(C$5,D$6,0)&amp;OFFSET(C$37,D$38,0)&amp;OFFSET(C$22,D$23,0),'Individual Basis'!$C$108:$X$119,'Individual Engine'!$B76,FALSE)</f>
        <v>30817</v>
      </c>
      <c r="D76" s="36">
        <f ca="1">HLOOKUP(OFFSET(C$5,D$6,0)&amp;OFFSET(C$37,D$38,0)&amp;OFFSET(C$22,D$23,0),'Individual Basis'!$C$123:$X$134,'Individual Engine'!$B76,FALSE)</f>
        <v>36690</v>
      </c>
      <c r="I76" s="36">
        <f ca="1">HLOOKUP(OFFSET(I$5,J$6,0)&amp;OFFSET(I$37,J$38,0)&amp;OFFSET(I$22,J$23,0),'Individual Basis'!$C$108:$X$119,'Individual Engine'!$B76,FALSE)</f>
        <v>14998</v>
      </c>
      <c r="J76" s="36">
        <f ca="1">HLOOKUP(OFFSET(I$5,J$6,0)&amp;OFFSET(I$37,J$38,0)&amp;OFFSET(I$22,J$23,0),'Individual Basis'!$C$123:$X$134,'Individual Engine'!$B76,FALSE)</f>
        <v>17998</v>
      </c>
      <c r="O76" s="36">
        <f ca="1">HLOOKUP(OFFSET(O$5,P$6,0)&amp;OFFSET(O$37,P$38,0)&amp;OFFSET(O$22,P$23,0),'Individual Basis'!$C$108:$X$119,'Individual Engine'!$B76,FALSE)</f>
        <v>30817</v>
      </c>
      <c r="P76" s="36">
        <f ca="1">HLOOKUP(OFFSET(O$5,P$6,0)&amp;OFFSET(O$37,P$38,0)&amp;OFFSET(O$22,P$23,0),'Individual Basis'!$C$123:$X$134,'Individual Engine'!$B76,FALSE)</f>
        <v>36690</v>
      </c>
      <c r="U76" s="36">
        <f ca="1">HLOOKUP(OFFSET(U$5,V$6,0)&amp;OFFSET(U$37,V$38,0)&amp;OFFSET(U$22,V$23,0),'Individual Basis'!$C$108:$X$119,'Individual Engine'!$B76,FALSE)</f>
        <v>3991</v>
      </c>
      <c r="V76" s="36">
        <f ca="1">HLOOKUP(OFFSET(U$5,V$6,0)&amp;OFFSET(U$37,V$38,0)&amp;OFFSET(U$22,V$23,0),'Individual Basis'!$C$123:$X$134,'Individual Engine'!$B76,FALSE)</f>
        <v>4789</v>
      </c>
      <c r="W76" s="43"/>
    </row>
    <row r="77" spans="1:23" x14ac:dyDescent="0.25">
      <c r="A77" s="37" t="s">
        <v>18</v>
      </c>
      <c r="B77" s="42">
        <f t="shared" si="4"/>
        <v>12</v>
      </c>
      <c r="C77" s="36">
        <f ca="1">HLOOKUP(OFFSET(C$5,D$6,0)&amp;OFFSET(C$37,D$38,0)&amp;OFFSET(C$22,D$23,0),'Individual Basis'!$C$108:$X$119,'Individual Engine'!$B77,FALSE)</f>
        <v>40447</v>
      </c>
      <c r="D77" s="36">
        <f ca="1">HLOOKUP(OFFSET(C$5,D$6,0)&amp;OFFSET(C$37,D$38,0)&amp;OFFSET(C$22,D$23,0),'Individual Basis'!$C$123:$X$134,'Individual Engine'!$B77,FALSE)</f>
        <v>48537</v>
      </c>
      <c r="I77" s="36">
        <f ca="1">HLOOKUP(OFFSET(I$5,J$6,0)&amp;OFFSET(I$37,J$38,0)&amp;OFFSET(I$22,J$23,0),'Individual Basis'!$C$108:$X$119,'Individual Engine'!$B77,FALSE)</f>
        <v>19685</v>
      </c>
      <c r="J77" s="36">
        <f ca="1">HLOOKUP(OFFSET(I$5,J$6,0)&amp;OFFSET(I$37,J$38,0)&amp;OFFSET(I$22,J$23,0),'Individual Basis'!$C$123:$X$134,'Individual Engine'!$B77,FALSE)</f>
        <v>23622</v>
      </c>
      <c r="O77" s="36">
        <f ca="1">HLOOKUP(OFFSET(O$5,P$6,0)&amp;OFFSET(O$37,P$38,0)&amp;OFFSET(O$22,P$23,0),'Individual Basis'!$C$108:$X$119,'Individual Engine'!$B77,FALSE)</f>
        <v>40447</v>
      </c>
      <c r="P77" s="36">
        <f ca="1">HLOOKUP(OFFSET(O$5,P$6,0)&amp;OFFSET(O$37,P$38,0)&amp;OFFSET(O$22,P$23,0),'Individual Basis'!$C$123:$X$134,'Individual Engine'!$B77,FALSE)</f>
        <v>48537</v>
      </c>
      <c r="U77" s="36">
        <f ca="1">HLOOKUP(OFFSET(U$5,V$6,0)&amp;OFFSET(U$37,V$38,0)&amp;OFFSET(U$22,V$23,0),'Individual Basis'!$C$108:$X$119,'Individual Engine'!$B77,FALSE)</f>
        <v>5238</v>
      </c>
      <c r="V77" s="36">
        <f ca="1">HLOOKUP(OFFSET(U$5,V$6,0)&amp;OFFSET(U$37,V$38,0)&amp;OFFSET(U$22,V$23,0),'Individual Basis'!$C$123:$X$134,'Individual Engine'!$B77,FALSE)</f>
        <v>6288</v>
      </c>
      <c r="W77" s="43"/>
    </row>
    <row r="78" spans="1:23" x14ac:dyDescent="0.25">
      <c r="A78" s="37" t="s">
        <v>100</v>
      </c>
      <c r="B78" s="42">
        <f t="shared" si="4"/>
        <v>13</v>
      </c>
      <c r="C78" s="121">
        <f ca="1">C72*1300%</f>
        <v>146939</v>
      </c>
      <c r="D78" s="121">
        <f ca="1">D72*1300%</f>
        <v>176332</v>
      </c>
      <c r="I78" s="121">
        <f ca="1">I72*1300%</f>
        <v>69849</v>
      </c>
      <c r="J78" s="121">
        <f ca="1">J72*1300%</f>
        <v>83824</v>
      </c>
      <c r="O78" s="121">
        <f ca="1">O72*1300%</f>
        <v>146939</v>
      </c>
      <c r="P78" s="121">
        <f ca="1">P72*1300%</f>
        <v>176332</v>
      </c>
      <c r="U78" s="121">
        <f ca="1">U72*1300%</f>
        <v>18590</v>
      </c>
      <c r="V78" s="121">
        <f ca="1">V72*1300%</f>
        <v>22334</v>
      </c>
      <c r="W78" s="43"/>
    </row>
    <row r="79" spans="1:23" ht="15.75" thickBot="1" x14ac:dyDescent="0.3">
      <c r="B79" s="46"/>
      <c r="C79" s="47"/>
      <c r="D79" s="47"/>
      <c r="E79" s="47"/>
      <c r="F79" s="47"/>
      <c r="G79" s="47"/>
      <c r="H79" s="47"/>
      <c r="I79" s="47"/>
      <c r="J79" s="47"/>
      <c r="K79" s="47"/>
      <c r="L79" s="47"/>
      <c r="M79" s="47"/>
      <c r="N79" s="47"/>
      <c r="O79" s="47"/>
      <c r="P79" s="47"/>
      <c r="Q79" s="47"/>
      <c r="R79" s="47"/>
      <c r="S79" s="47"/>
      <c r="T79" s="47"/>
      <c r="U79" s="47"/>
      <c r="V79" s="47"/>
      <c r="W79" s="48"/>
    </row>
    <row r="81" spans="2:23" ht="15.75" thickBot="1" x14ac:dyDescent="0.3"/>
    <row r="82" spans="2:23" ht="17.25" x14ac:dyDescent="0.3">
      <c r="B82" s="49"/>
      <c r="C82" s="50" t="s">
        <v>158</v>
      </c>
      <c r="D82" s="40"/>
      <c r="E82" s="40"/>
      <c r="F82" s="40"/>
      <c r="G82" s="40"/>
      <c r="H82" s="40"/>
      <c r="I82" s="40"/>
      <c r="J82" s="40"/>
      <c r="K82" s="40"/>
      <c r="L82" s="40"/>
      <c r="M82" s="40"/>
      <c r="N82" s="40"/>
      <c r="O82" s="40"/>
      <c r="P82" s="40"/>
      <c r="Q82" s="40"/>
      <c r="R82" s="40"/>
      <c r="S82" s="40"/>
      <c r="T82" s="40"/>
      <c r="U82" s="40"/>
      <c r="V82" s="40"/>
      <c r="W82" s="41"/>
    </row>
    <row r="83" spans="2:23" x14ac:dyDescent="0.25">
      <c r="B83" s="42"/>
      <c r="W83" s="43"/>
    </row>
    <row r="84" spans="2:23" ht="15.75" x14ac:dyDescent="0.25">
      <c r="B84" s="42"/>
      <c r="C84" s="31" t="s">
        <v>91</v>
      </c>
      <c r="D84" s="34"/>
      <c r="I84" s="31" t="s">
        <v>92</v>
      </c>
      <c r="J84" s="33"/>
      <c r="O84" s="31" t="s">
        <v>93</v>
      </c>
      <c r="P84" s="33"/>
      <c r="U84" s="31" t="s">
        <v>94</v>
      </c>
      <c r="V84" s="33"/>
      <c r="W84" s="43"/>
    </row>
    <row r="85" spans="2:23" ht="15.75" x14ac:dyDescent="0.25">
      <c r="B85" s="42"/>
      <c r="C85" s="25" t="s">
        <v>159</v>
      </c>
      <c r="D85" s="35" t="s">
        <v>95</v>
      </c>
      <c r="E85" s="44"/>
      <c r="I85" s="25" t="s">
        <v>104</v>
      </c>
      <c r="J85" s="35" t="s">
        <v>95</v>
      </c>
      <c r="K85" s="44"/>
      <c r="O85" s="25" t="s">
        <v>104</v>
      </c>
      <c r="P85" s="35" t="s">
        <v>95</v>
      </c>
      <c r="Q85" s="44"/>
      <c r="U85" s="25" t="s">
        <v>104</v>
      </c>
      <c r="V85" s="35" t="s">
        <v>95</v>
      </c>
      <c r="W85" s="43"/>
    </row>
    <row r="86" spans="2:23" x14ac:dyDescent="0.25">
      <c r="B86" s="42"/>
      <c r="C86" s="56">
        <f>IF(D6&lt;=3,75,50)</f>
        <v>75</v>
      </c>
      <c r="D86" s="36">
        <v>3</v>
      </c>
      <c r="I86" s="56">
        <f>IF(J6&lt;=3,75,50)</f>
        <v>75</v>
      </c>
      <c r="J86" s="36">
        <v>3</v>
      </c>
      <c r="O86" s="56">
        <f>IF(P6&lt;=3,75,50)</f>
        <v>75</v>
      </c>
      <c r="P86" s="36">
        <v>3</v>
      </c>
      <c r="U86" s="56">
        <f>IF(V6&lt;=3,75,50)</f>
        <v>50</v>
      </c>
      <c r="V86" s="36">
        <v>3</v>
      </c>
      <c r="W86" s="43"/>
    </row>
    <row r="87" spans="2:23" x14ac:dyDescent="0.25">
      <c r="B87" s="42"/>
      <c r="C87" s="56">
        <v>75</v>
      </c>
      <c r="I87" s="56">
        <v>75</v>
      </c>
      <c r="O87" s="56">
        <v>75</v>
      </c>
      <c r="U87" s="56">
        <v>75</v>
      </c>
      <c r="W87" s="43"/>
    </row>
    <row r="88" spans="2:23" x14ac:dyDescent="0.25">
      <c r="B88" s="42"/>
      <c r="C88" s="56">
        <v>100</v>
      </c>
      <c r="I88" s="56">
        <v>100</v>
      </c>
      <c r="O88" s="56">
        <v>100</v>
      </c>
      <c r="U88" s="56">
        <v>100</v>
      </c>
      <c r="W88" s="43"/>
    </row>
    <row r="89" spans="2:23" x14ac:dyDescent="0.25">
      <c r="B89" s="42"/>
      <c r="C89" s="56">
        <v>150</v>
      </c>
      <c r="I89" s="56">
        <v>150</v>
      </c>
      <c r="O89" s="56">
        <v>150</v>
      </c>
      <c r="U89" s="56">
        <v>150</v>
      </c>
      <c r="W89" s="43"/>
    </row>
    <row r="90" spans="2:23" x14ac:dyDescent="0.25">
      <c r="B90" s="42"/>
      <c r="C90" s="115">
        <v>200</v>
      </c>
      <c r="I90" s="115">
        <v>200</v>
      </c>
      <c r="O90" s="115">
        <v>200</v>
      </c>
      <c r="U90" s="115">
        <v>200</v>
      </c>
      <c r="W90" s="43"/>
    </row>
    <row r="91" spans="2:23" x14ac:dyDescent="0.25">
      <c r="B91" s="42"/>
      <c r="C91" s="117"/>
      <c r="I91" s="117"/>
      <c r="O91" s="117"/>
      <c r="U91" s="117"/>
      <c r="W91" s="43"/>
    </row>
    <row r="92" spans="2:23" ht="17.25" x14ac:dyDescent="0.3">
      <c r="B92" s="42"/>
      <c r="C92" s="52" t="s">
        <v>112</v>
      </c>
      <c r="O92" s="117"/>
      <c r="U92" s="117"/>
      <c r="W92" s="43"/>
    </row>
    <row r="93" spans="2:23" x14ac:dyDescent="0.25">
      <c r="B93" s="42"/>
      <c r="O93" s="117"/>
      <c r="U93" s="117"/>
      <c r="W93" s="43"/>
    </row>
    <row r="94" spans="2:23" ht="15.75" x14ac:dyDescent="0.25">
      <c r="B94" s="42"/>
      <c r="C94" s="31" t="s">
        <v>91</v>
      </c>
      <c r="D94" s="34"/>
      <c r="I94" s="31" t="s">
        <v>92</v>
      </c>
      <c r="J94" s="33"/>
      <c r="O94" s="31" t="s">
        <v>93</v>
      </c>
      <c r="P94" s="33"/>
      <c r="U94" s="31" t="s">
        <v>94</v>
      </c>
      <c r="V94" s="33"/>
      <c r="W94" s="43"/>
    </row>
    <row r="95" spans="2:23" ht="15.75" x14ac:dyDescent="0.25">
      <c r="B95" s="42"/>
      <c r="C95" s="29" t="s">
        <v>112</v>
      </c>
      <c r="D95" s="35" t="s">
        <v>95</v>
      </c>
      <c r="I95" s="29" t="s">
        <v>112</v>
      </c>
      <c r="J95" s="35" t="s">
        <v>95</v>
      </c>
      <c r="O95" s="29" t="s">
        <v>112</v>
      </c>
      <c r="P95" s="35" t="s">
        <v>95</v>
      </c>
      <c r="U95" s="29" t="s">
        <v>112</v>
      </c>
      <c r="V95" s="35" t="s">
        <v>95</v>
      </c>
      <c r="W95" s="43"/>
    </row>
    <row r="96" spans="2:23" x14ac:dyDescent="0.25">
      <c r="B96" s="42"/>
      <c r="C96" s="53" t="s">
        <v>114</v>
      </c>
      <c r="D96" s="36">
        <v>1</v>
      </c>
      <c r="I96" s="53" t="s">
        <v>114</v>
      </c>
      <c r="J96" s="36">
        <v>2</v>
      </c>
      <c r="O96" s="53" t="s">
        <v>114</v>
      </c>
      <c r="P96" s="36">
        <v>3</v>
      </c>
      <c r="U96" s="53" t="s">
        <v>114</v>
      </c>
      <c r="V96" s="36">
        <v>4</v>
      </c>
      <c r="W96" s="43"/>
    </row>
    <row r="97" spans="2:23" x14ac:dyDescent="0.25">
      <c r="B97" s="42"/>
      <c r="C97" s="53" t="s">
        <v>111</v>
      </c>
      <c r="I97" s="53" t="s">
        <v>111</v>
      </c>
      <c r="O97" s="53" t="s">
        <v>111</v>
      </c>
      <c r="U97" s="53" t="s">
        <v>111</v>
      </c>
      <c r="W97" s="43"/>
    </row>
    <row r="98" spans="2:23" x14ac:dyDescent="0.25">
      <c r="B98" s="42"/>
      <c r="C98" s="53" t="s">
        <v>110</v>
      </c>
      <c r="I98" s="53" t="s">
        <v>110</v>
      </c>
      <c r="O98" s="53" t="s">
        <v>110</v>
      </c>
      <c r="U98" s="53" t="s">
        <v>110</v>
      </c>
      <c r="W98" s="43"/>
    </row>
    <row r="99" spans="2:23" x14ac:dyDescent="0.25">
      <c r="B99" s="42"/>
      <c r="C99" s="53" t="s">
        <v>109</v>
      </c>
      <c r="I99" s="53" t="s">
        <v>109</v>
      </c>
      <c r="O99" s="53" t="s">
        <v>109</v>
      </c>
      <c r="U99" s="53" t="s">
        <v>109</v>
      </c>
      <c r="W99" s="43"/>
    </row>
    <row r="100" spans="2:23" x14ac:dyDescent="0.25">
      <c r="B100" s="42"/>
      <c r="C100" s="117"/>
      <c r="I100" s="117"/>
      <c r="O100" s="117"/>
      <c r="U100" s="117"/>
      <c r="W100" s="43"/>
    </row>
    <row r="101" spans="2:23" ht="17.25" x14ac:dyDescent="0.3">
      <c r="B101" s="42"/>
      <c r="C101" s="52" t="s">
        <v>164</v>
      </c>
      <c r="O101" s="117"/>
      <c r="U101" s="117"/>
      <c r="W101" s="43"/>
    </row>
    <row r="102" spans="2:23" x14ac:dyDescent="0.25">
      <c r="B102" s="42"/>
      <c r="O102" s="117"/>
      <c r="U102" s="117"/>
      <c r="W102" s="43"/>
    </row>
    <row r="103" spans="2:23" ht="15.75" x14ac:dyDescent="0.25">
      <c r="B103" s="42"/>
      <c r="C103" s="31" t="s">
        <v>91</v>
      </c>
      <c r="D103" s="34"/>
      <c r="I103" s="31" t="s">
        <v>92</v>
      </c>
      <c r="J103" s="33"/>
      <c r="O103" s="31" t="s">
        <v>93</v>
      </c>
      <c r="P103" s="33"/>
      <c r="U103" s="31" t="s">
        <v>94</v>
      </c>
      <c r="V103" s="33"/>
      <c r="W103" s="43"/>
    </row>
    <row r="104" spans="2:23" ht="15.75" x14ac:dyDescent="0.25">
      <c r="B104" s="42"/>
      <c r="C104" s="29" t="s">
        <v>164</v>
      </c>
      <c r="D104" s="35" t="s">
        <v>95</v>
      </c>
      <c r="I104" s="29" t="s">
        <v>164</v>
      </c>
      <c r="J104" s="35" t="s">
        <v>95</v>
      </c>
      <c r="O104" s="29" t="s">
        <v>164</v>
      </c>
      <c r="P104" s="35" t="s">
        <v>95</v>
      </c>
      <c r="U104" s="29" t="s">
        <v>164</v>
      </c>
      <c r="V104" s="35" t="s">
        <v>95</v>
      </c>
      <c r="W104" s="43"/>
    </row>
    <row r="105" spans="2:23" x14ac:dyDescent="0.25">
      <c r="B105" s="42"/>
      <c r="C105" s="53">
        <v>3000</v>
      </c>
      <c r="D105" s="36">
        <v>1</v>
      </c>
      <c r="I105" s="53">
        <v>3000</v>
      </c>
      <c r="J105" s="36">
        <v>1</v>
      </c>
      <c r="O105" s="53">
        <v>3000</v>
      </c>
      <c r="P105" s="36">
        <v>2</v>
      </c>
      <c r="U105" s="53">
        <v>3000</v>
      </c>
      <c r="V105" s="36">
        <v>1</v>
      </c>
      <c r="W105" s="43"/>
    </row>
    <row r="106" spans="2:23" x14ac:dyDescent="0.25">
      <c r="B106" s="42"/>
      <c r="C106" s="53">
        <v>4000</v>
      </c>
      <c r="I106" s="53">
        <v>4000</v>
      </c>
      <c r="O106" s="53">
        <v>4000</v>
      </c>
      <c r="U106" s="53">
        <v>4000</v>
      </c>
      <c r="W106" s="43"/>
    </row>
    <row r="107" spans="2:23" x14ac:dyDescent="0.25">
      <c r="B107" s="42"/>
      <c r="C107" s="53">
        <v>5000</v>
      </c>
      <c r="I107" s="53">
        <v>5000</v>
      </c>
      <c r="O107" s="53">
        <v>5000</v>
      </c>
      <c r="U107" s="53">
        <v>5000</v>
      </c>
      <c r="W107" s="43"/>
    </row>
    <row r="108" spans="2:23" x14ac:dyDescent="0.25">
      <c r="B108" s="42"/>
      <c r="C108" s="117"/>
      <c r="I108" s="117"/>
      <c r="O108" s="117"/>
      <c r="U108" s="117"/>
      <c r="W108" s="43"/>
    </row>
    <row r="109" spans="2:23" ht="17.25" x14ac:dyDescent="0.3">
      <c r="B109" s="42"/>
      <c r="C109" s="52" t="s">
        <v>115</v>
      </c>
      <c r="I109" s="117"/>
      <c r="O109" s="117"/>
      <c r="U109" s="117"/>
      <c r="W109" s="43"/>
    </row>
    <row r="110" spans="2:23" x14ac:dyDescent="0.25">
      <c r="B110" s="42"/>
      <c r="C110" s="117"/>
      <c r="I110" s="117"/>
      <c r="O110" s="117"/>
      <c r="U110" s="117"/>
      <c r="W110" s="43"/>
    </row>
    <row r="111" spans="2:23" ht="15.75" x14ac:dyDescent="0.25">
      <c r="B111" s="42"/>
      <c r="C111" s="31" t="s">
        <v>91</v>
      </c>
      <c r="D111" s="34"/>
      <c r="I111" s="31" t="s">
        <v>92</v>
      </c>
      <c r="J111" s="33"/>
      <c r="O111" s="31" t="s">
        <v>93</v>
      </c>
      <c r="P111" s="33"/>
      <c r="U111" s="31" t="s">
        <v>94</v>
      </c>
      <c r="V111" s="33"/>
      <c r="W111" s="43"/>
    </row>
    <row r="112" spans="2:23" ht="15.75" x14ac:dyDescent="0.25">
      <c r="B112" s="42"/>
      <c r="C112" s="29" t="s">
        <v>115</v>
      </c>
      <c r="D112" s="35" t="s">
        <v>95</v>
      </c>
      <c r="I112" s="29" t="s">
        <v>115</v>
      </c>
      <c r="J112" s="35" t="s">
        <v>95</v>
      </c>
      <c r="O112" s="29" t="s">
        <v>115</v>
      </c>
      <c r="P112" s="35" t="s">
        <v>95</v>
      </c>
      <c r="U112" s="29" t="s">
        <v>115</v>
      </c>
      <c r="V112" s="35" t="s">
        <v>95</v>
      </c>
      <c r="W112" s="43"/>
    </row>
    <row r="113" spans="2:23" x14ac:dyDescent="0.25">
      <c r="B113" s="42"/>
      <c r="C113" s="53" t="s">
        <v>165</v>
      </c>
      <c r="D113" s="36">
        <v>2</v>
      </c>
      <c r="I113" s="53" t="s">
        <v>165</v>
      </c>
      <c r="J113" s="36">
        <v>1</v>
      </c>
      <c r="O113" s="53" t="s">
        <v>165</v>
      </c>
      <c r="P113" s="36">
        <v>1</v>
      </c>
      <c r="U113" s="53" t="s">
        <v>165</v>
      </c>
      <c r="V113" s="36">
        <v>1</v>
      </c>
      <c r="W113" s="43"/>
    </row>
    <row r="114" spans="2:23" x14ac:dyDescent="0.25">
      <c r="B114" s="42"/>
      <c r="C114" s="53" t="s">
        <v>166</v>
      </c>
      <c r="I114" s="53" t="s">
        <v>166</v>
      </c>
      <c r="O114" s="53" t="s">
        <v>166</v>
      </c>
      <c r="U114" s="53" t="s">
        <v>166</v>
      </c>
      <c r="W114" s="43"/>
    </row>
    <row r="115" spans="2:23" x14ac:dyDescent="0.25">
      <c r="B115" s="42"/>
      <c r="C115" s="53"/>
      <c r="I115" s="53"/>
      <c r="O115" s="53"/>
      <c r="U115" s="53"/>
      <c r="W115" s="43"/>
    </row>
    <row r="116" spans="2:23" ht="15.75" thickBot="1" x14ac:dyDescent="0.3">
      <c r="B116" s="46"/>
      <c r="C116" s="47"/>
      <c r="D116" s="47"/>
      <c r="E116" s="47"/>
      <c r="F116" s="47"/>
      <c r="G116" s="47"/>
      <c r="H116" s="47"/>
      <c r="I116" s="47"/>
      <c r="J116" s="47"/>
      <c r="K116" s="47"/>
      <c r="L116" s="47"/>
      <c r="M116" s="47"/>
      <c r="N116" s="47"/>
      <c r="O116" s="47"/>
      <c r="P116" s="47"/>
      <c r="Q116" s="47"/>
      <c r="R116" s="47"/>
      <c r="S116" s="47"/>
      <c r="T116" s="47"/>
      <c r="U116" s="47"/>
      <c r="V116" s="47"/>
      <c r="W116" s="48"/>
    </row>
    <row r="117" spans="2:23" ht="15.75" thickBot="1" x14ac:dyDescent="0.3"/>
    <row r="118" spans="2:23" x14ac:dyDescent="0.25">
      <c r="B118" s="49"/>
      <c r="C118" s="123" t="s">
        <v>171</v>
      </c>
      <c r="D118" s="124"/>
      <c r="E118" s="124"/>
      <c r="F118" s="40"/>
      <c r="G118" s="40"/>
      <c r="H118" s="40"/>
      <c r="I118" s="40"/>
      <c r="J118" s="40"/>
      <c r="K118" s="40"/>
      <c r="L118" s="40"/>
      <c r="M118" s="40"/>
      <c r="N118" s="40"/>
      <c r="O118" s="40"/>
      <c r="P118" s="40"/>
      <c r="Q118" s="40"/>
      <c r="R118" s="40"/>
      <c r="S118" s="40"/>
      <c r="T118" s="40"/>
      <c r="U118" s="40"/>
      <c r="V118" s="40"/>
      <c r="W118" s="41"/>
    </row>
    <row r="119" spans="2:23" x14ac:dyDescent="0.25">
      <c r="B119" s="42"/>
      <c r="W119" s="43"/>
    </row>
    <row r="120" spans="2:23" ht="15.75" x14ac:dyDescent="0.25">
      <c r="B120" s="42"/>
      <c r="C120" s="31" t="s">
        <v>91</v>
      </c>
      <c r="D120" s="34"/>
      <c r="I120" s="31" t="s">
        <v>92</v>
      </c>
      <c r="J120" s="34"/>
      <c r="O120" s="31" t="s">
        <v>93</v>
      </c>
      <c r="P120" s="34"/>
      <c r="U120" s="31" t="s">
        <v>94</v>
      </c>
      <c r="V120" s="34"/>
      <c r="W120" s="43"/>
    </row>
    <row r="121" spans="2:23" ht="15.75" x14ac:dyDescent="0.25">
      <c r="B121" s="42"/>
      <c r="C121" s="29" t="s">
        <v>117</v>
      </c>
      <c r="D121" s="35" t="s">
        <v>95</v>
      </c>
      <c r="I121" s="29" t="s">
        <v>117</v>
      </c>
      <c r="J121" s="35" t="s">
        <v>95</v>
      </c>
      <c r="O121" s="29" t="s">
        <v>117</v>
      </c>
      <c r="P121" s="35" t="s">
        <v>95</v>
      </c>
      <c r="U121" s="29" t="s">
        <v>117</v>
      </c>
      <c r="V121" s="35" t="s">
        <v>95</v>
      </c>
      <c r="W121" s="43"/>
    </row>
    <row r="122" spans="2:23" x14ac:dyDescent="0.25">
      <c r="B122" s="42">
        <v>2</v>
      </c>
      <c r="C122" s="54" t="str">
        <f>IF('General Basis'!$D$18=1,"",'Individual Basis'!$B190)</f>
        <v xml:space="preserve">Not Covered </v>
      </c>
      <c r="D122" s="36">
        <v>2</v>
      </c>
      <c r="I122" s="54" t="str">
        <f>IF('General Basis'!$D$18=1,"",'Individual Basis'!$B190)</f>
        <v xml:space="preserve">Not Covered </v>
      </c>
      <c r="J122" s="36">
        <v>3</v>
      </c>
      <c r="O122" s="54" t="str">
        <f>IF('General Basis'!$D$18=1,"",'Individual Basis'!$B190)</f>
        <v xml:space="preserve">Not Covered </v>
      </c>
      <c r="P122" s="36">
        <v>6</v>
      </c>
      <c r="U122" s="54" t="str">
        <f>IF('General Basis'!$D$18=1,"",'Individual Basis'!$B190)</f>
        <v xml:space="preserve">Not Covered </v>
      </c>
      <c r="V122" s="36">
        <v>2</v>
      </c>
      <c r="W122" s="43"/>
    </row>
    <row r="123" spans="2:23" x14ac:dyDescent="0.25">
      <c r="B123" s="42">
        <v>3</v>
      </c>
      <c r="C123" s="54">
        <f>IF('General Basis'!$D$18=1,"",'Individual Basis'!$B191)</f>
        <v>7000</v>
      </c>
      <c r="I123" s="54">
        <f>IF('General Basis'!$D$18=1,"",'Individual Basis'!$B191)</f>
        <v>7000</v>
      </c>
      <c r="O123" s="54">
        <f>IF('General Basis'!$D$18=1,"",'Individual Basis'!$B191)</f>
        <v>7000</v>
      </c>
      <c r="U123" s="54">
        <f>IF('General Basis'!$D$18=1,"",'Individual Basis'!$B191)</f>
        <v>7000</v>
      </c>
      <c r="W123" s="43"/>
    </row>
    <row r="124" spans="2:23" x14ac:dyDescent="0.25">
      <c r="B124" s="42">
        <v>4</v>
      </c>
      <c r="C124" s="54">
        <f>IF('General Basis'!$D$18=1,"",'Individual Basis'!$B192)</f>
        <v>10000</v>
      </c>
      <c r="I124" s="54">
        <f>IF('General Basis'!$D$18=1,"",'Individual Basis'!$B192)</f>
        <v>10000</v>
      </c>
      <c r="O124" s="54">
        <f>IF('General Basis'!$D$18=1,"",'Individual Basis'!$B192)</f>
        <v>10000</v>
      </c>
      <c r="U124" s="54">
        <f>IF('General Basis'!$D$18=1,"",'Individual Basis'!$B192)</f>
        <v>10000</v>
      </c>
      <c r="W124" s="43"/>
    </row>
    <row r="125" spans="2:23" x14ac:dyDescent="0.25">
      <c r="B125" s="42">
        <v>5</v>
      </c>
      <c r="C125" s="54">
        <f>IF('General Basis'!$D$18=1,"",'Individual Basis'!$B193)</f>
        <v>15000</v>
      </c>
      <c r="I125" s="54">
        <f>IF('General Basis'!$D$18=1,"",'Individual Basis'!$B193)</f>
        <v>15000</v>
      </c>
      <c r="O125" s="54">
        <f>IF('General Basis'!$D$18=1,"",'Individual Basis'!$B193)</f>
        <v>15000</v>
      </c>
      <c r="U125" s="54">
        <f>IF('General Basis'!$D$18=1,"",'Individual Basis'!$B193)</f>
        <v>15000</v>
      </c>
      <c r="W125" s="43"/>
    </row>
    <row r="126" spans="2:23" x14ac:dyDescent="0.25">
      <c r="B126" s="42">
        <v>6</v>
      </c>
      <c r="C126" s="54">
        <f>IF('General Basis'!$D$18=1,"",'Individual Basis'!$B194)</f>
        <v>20000</v>
      </c>
      <c r="I126" s="54">
        <f>IF('General Basis'!$D$18=1,"",'Individual Basis'!$B194)</f>
        <v>20000</v>
      </c>
      <c r="O126" s="54">
        <f>IF('General Basis'!$D$18=1,"",'Individual Basis'!$B194)</f>
        <v>20000</v>
      </c>
      <c r="U126" s="54">
        <f>IF('General Basis'!$D$18=1,"",'Individual Basis'!$B194)</f>
        <v>20000</v>
      </c>
      <c r="W126" s="43"/>
    </row>
    <row r="127" spans="2:23" x14ac:dyDescent="0.25">
      <c r="B127" s="42">
        <v>7</v>
      </c>
      <c r="C127" s="54">
        <f>IF('General Basis'!$D$18=1,"",'Individual Basis'!$B195)</f>
        <v>25000</v>
      </c>
      <c r="I127" s="54">
        <f>IF('General Basis'!$D$18=1,"",'Individual Basis'!$B195)</f>
        <v>25000</v>
      </c>
      <c r="O127" s="54">
        <f>IF('General Basis'!$D$18=1,"",'Individual Basis'!$B195)</f>
        <v>25000</v>
      </c>
      <c r="U127" s="54">
        <f>IF('General Basis'!$D$18=1,"",'Individual Basis'!$B195)</f>
        <v>25000</v>
      </c>
      <c r="W127" s="43"/>
    </row>
    <row r="128" spans="2:23" x14ac:dyDescent="0.25">
      <c r="B128" s="42">
        <v>8</v>
      </c>
      <c r="C128" s="54">
        <f>IF('General Basis'!$D$18=1,"",'Individual Basis'!$B196)</f>
        <v>35000</v>
      </c>
      <c r="I128" s="54">
        <f>IF('General Basis'!$D$18=1,"",'Individual Basis'!$B196)</f>
        <v>35000</v>
      </c>
      <c r="O128" s="54">
        <f>IF('General Basis'!$D$18=1,"",'Individual Basis'!$B196)</f>
        <v>35000</v>
      </c>
      <c r="U128" s="54">
        <f>IF('General Basis'!$D$18=1,"",'Individual Basis'!$B196)</f>
        <v>35000</v>
      </c>
      <c r="W128" s="43"/>
    </row>
    <row r="129" spans="1:23" x14ac:dyDescent="0.25">
      <c r="B129" s="42">
        <v>9</v>
      </c>
      <c r="C129" s="54" t="str">
        <f>IF('General Basis'!$D$18=1,'Individual Basis'!$B197,"")</f>
        <v/>
      </c>
      <c r="I129" s="54" t="str">
        <f>IF('General Basis'!$D$18=1,'Individual Basis'!$B197,"")</f>
        <v/>
      </c>
      <c r="O129" s="54" t="str">
        <f>IF('General Basis'!$D$18=1,'Individual Basis'!$B197,"")</f>
        <v/>
      </c>
      <c r="U129" s="54" t="str">
        <f>IF('General Basis'!$D$18=1,'Individual Basis'!$B197,"")</f>
        <v/>
      </c>
      <c r="W129" s="43"/>
    </row>
    <row r="130" spans="1:23" x14ac:dyDescent="0.25">
      <c r="B130" s="42"/>
      <c r="W130" s="43"/>
    </row>
    <row r="131" spans="1:23" ht="15.75" thickBot="1" x14ac:dyDescent="0.3">
      <c r="B131" s="46"/>
      <c r="C131" s="47"/>
      <c r="D131" s="47"/>
      <c r="E131" s="47"/>
      <c r="F131" s="47"/>
      <c r="G131" s="47"/>
      <c r="H131" s="47"/>
      <c r="I131" s="47"/>
      <c r="J131" s="47"/>
      <c r="K131" s="47"/>
      <c r="L131" s="47"/>
      <c r="M131" s="47"/>
      <c r="N131" s="47"/>
      <c r="O131" s="47"/>
      <c r="P131" s="47"/>
      <c r="Q131" s="47"/>
      <c r="R131" s="47"/>
      <c r="S131" s="47"/>
      <c r="T131" s="47"/>
      <c r="U131" s="47"/>
      <c r="V131" s="47"/>
      <c r="W131" s="48"/>
    </row>
    <row r="132" spans="1:23" ht="15.75" thickBot="1" x14ac:dyDescent="0.3"/>
    <row r="133" spans="1:23" ht="17.25" x14ac:dyDescent="0.3">
      <c r="B133" s="49"/>
      <c r="C133" s="50" t="s">
        <v>160</v>
      </c>
      <c r="D133" s="40"/>
      <c r="E133" s="40"/>
      <c r="F133" s="40"/>
      <c r="G133" s="40"/>
      <c r="H133" s="40"/>
      <c r="I133" s="40"/>
      <c r="J133" s="40"/>
      <c r="K133" s="40"/>
      <c r="L133" s="40"/>
      <c r="M133" s="40"/>
      <c r="N133" s="40"/>
      <c r="O133" s="40"/>
      <c r="P133" s="40"/>
      <c r="Q133" s="40"/>
      <c r="R133" s="40"/>
      <c r="S133" s="40"/>
      <c r="T133" s="40"/>
      <c r="U133" s="40"/>
      <c r="V133" s="40"/>
      <c r="W133" s="41"/>
    </row>
    <row r="134" spans="1:23" x14ac:dyDescent="0.25">
      <c r="B134" s="42"/>
      <c r="W134" s="43"/>
    </row>
    <row r="135" spans="1:23" ht="15.75" x14ac:dyDescent="0.25">
      <c r="B135" s="42"/>
      <c r="C135" s="31" t="s">
        <v>91</v>
      </c>
      <c r="D135" s="34"/>
      <c r="I135" s="31" t="s">
        <v>92</v>
      </c>
      <c r="J135" s="33"/>
      <c r="O135" s="31" t="s">
        <v>93</v>
      </c>
      <c r="P135" s="33"/>
      <c r="U135" s="31" t="s">
        <v>94</v>
      </c>
      <c r="V135" s="33"/>
      <c r="W135" s="43"/>
    </row>
    <row r="136" spans="1:23" ht="15.75" x14ac:dyDescent="0.25">
      <c r="B136" s="42"/>
      <c r="C136" s="38" t="s">
        <v>65</v>
      </c>
      <c r="D136" s="39" t="s">
        <v>66</v>
      </c>
      <c r="E136" s="44"/>
      <c r="I136" s="38" t="s">
        <v>65</v>
      </c>
      <c r="J136" s="39" t="s">
        <v>66</v>
      </c>
      <c r="K136" s="44"/>
      <c r="O136" s="38" t="s">
        <v>65</v>
      </c>
      <c r="P136" s="39" t="s">
        <v>66</v>
      </c>
      <c r="Q136" s="44"/>
      <c r="U136" s="38" t="s">
        <v>65</v>
      </c>
      <c r="V136" s="39" t="s">
        <v>66</v>
      </c>
      <c r="W136" s="43"/>
    </row>
    <row r="137" spans="1:23" x14ac:dyDescent="0.25">
      <c r="A137" s="37" t="s">
        <v>8</v>
      </c>
      <c r="B137" s="42">
        <v>2</v>
      </c>
      <c r="C137" s="36">
        <f ca="1">HLOOKUP(OFFSET(C$5,D$6,0)&amp;OFFSET(C$37,D$38,0)&amp;OFFSET(C$22,D$23,0),'Individual Basis'!$C$108:$X$119,'Individual Engine'!$B137,FALSE)</f>
        <v>2027</v>
      </c>
      <c r="D137" s="36">
        <f ca="1">HLOOKUP(OFFSET(C$5,D$6,0)&amp;OFFSET(C$37,D$38,0)&amp;OFFSET(C$22,D$23,0),'Individual Basis'!$C$123:$X$134,'Individual Engine'!$B137,FALSE)</f>
        <v>2027</v>
      </c>
      <c r="I137" s="36">
        <f ca="1">HLOOKUP(OFFSET(I$5,J$6,0)&amp;OFFSET(I$37,J$38,0)&amp;OFFSET(I$22,J$23,0),'Individual Basis'!$C$108:$X$119,'Individual Engine'!$B137,FALSE)</f>
        <v>987</v>
      </c>
      <c r="J137" s="36">
        <f ca="1">HLOOKUP(OFFSET(I$5,J$6,0)&amp;OFFSET(I$37,J$38,0)&amp;OFFSET(I$22,J$23,0),'Individual Basis'!$C$123:$X$134,'Individual Engine'!$B137,FALSE)</f>
        <v>987</v>
      </c>
      <c r="O137" s="36">
        <f ca="1">HLOOKUP(OFFSET(O$5,P$6,0)&amp;OFFSET(O$37,P$38,0)&amp;OFFSET(O$22,P$23,0),'Individual Basis'!$C$108:$X$119,'Individual Engine'!$B137,FALSE)</f>
        <v>2027</v>
      </c>
      <c r="P137" s="36">
        <f ca="1">HLOOKUP(OFFSET(O$5,P$6,0)&amp;OFFSET(O$37,P$38,0)&amp;OFFSET(O$22,P$23,0),'Individual Basis'!$C$123:$X$134,'Individual Engine'!$B137,FALSE)</f>
        <v>2027</v>
      </c>
      <c r="U137" s="36">
        <f ca="1">HLOOKUP(OFFSET(U$5,V$6,0)&amp;OFFSET(U$37,V$38,0)&amp;OFFSET(U$22,V$23,0),'Individual Basis'!$C$108:$X$119,'Individual Engine'!$B137,FALSE)</f>
        <v>287</v>
      </c>
      <c r="V137" s="36">
        <f ca="1">HLOOKUP(OFFSET(U$5,V$6,0)&amp;OFFSET(U$37,V$38,0)&amp;OFFSET(U$22,V$23,0),'Individual Basis'!$C$123:$X$134,'Individual Engine'!$B137,FALSE)</f>
        <v>287</v>
      </c>
      <c r="W137" s="43"/>
    </row>
    <row r="138" spans="1:23" x14ac:dyDescent="0.25">
      <c r="A138" s="37" t="s">
        <v>9</v>
      </c>
      <c r="B138" s="42">
        <f>B137+1</f>
        <v>3</v>
      </c>
      <c r="C138" s="36">
        <f ca="1">HLOOKUP(OFFSET(C$5,D$6,0)&amp;OFFSET(C$37,D$38,0)&amp;OFFSET(C$22,D$23,0),'Individual Basis'!$C$108:$X$119,'Individual Engine'!$B138,FALSE)</f>
        <v>3209</v>
      </c>
      <c r="D138" s="36">
        <f ca="1">HLOOKUP(OFFSET(C$5,D$6,0)&amp;OFFSET(C$37,D$38,0)&amp;OFFSET(C$22,D$23,0),'Individual Basis'!$C$123:$X$134,'Individual Engine'!$B138,FALSE)</f>
        <v>3851</v>
      </c>
      <c r="I138" s="36">
        <f ca="1">HLOOKUP(OFFSET(I$5,J$6,0)&amp;OFFSET(I$37,J$38,0)&amp;OFFSET(I$22,J$23,0),'Individual Basis'!$C$108:$X$119,'Individual Engine'!$B138,FALSE)</f>
        <v>1562</v>
      </c>
      <c r="J138" s="36">
        <f ca="1">HLOOKUP(OFFSET(I$5,J$6,0)&amp;OFFSET(I$37,J$38,0)&amp;OFFSET(I$22,J$23,0),'Individual Basis'!$C$123:$X$134,'Individual Engine'!$B138,FALSE)</f>
        <v>1874</v>
      </c>
      <c r="O138" s="36">
        <f ca="1">HLOOKUP(OFFSET(O$5,P$6,0)&amp;OFFSET(O$37,P$38,0)&amp;OFFSET(O$22,P$23,0),'Individual Basis'!$C$108:$X$119,'Individual Engine'!$B138,FALSE)</f>
        <v>3209</v>
      </c>
      <c r="P138" s="36">
        <f ca="1">HLOOKUP(OFFSET(O$5,P$6,0)&amp;OFFSET(O$37,P$38,0)&amp;OFFSET(O$22,P$23,0),'Individual Basis'!$C$123:$X$134,'Individual Engine'!$B138,FALSE)</f>
        <v>3851</v>
      </c>
      <c r="U138" s="36">
        <f ca="1">HLOOKUP(OFFSET(U$5,V$6,0)&amp;OFFSET(U$37,V$38,0)&amp;OFFSET(U$22,V$23,0),'Individual Basis'!$C$108:$X$119,'Individual Engine'!$B138,FALSE)</f>
        <v>416</v>
      </c>
      <c r="V138" s="36">
        <f ca="1">HLOOKUP(OFFSET(U$5,V$6,0)&amp;OFFSET(U$37,V$38,0)&amp;OFFSET(U$22,V$23,0),'Individual Basis'!$C$123:$X$134,'Individual Engine'!$B138,FALSE)</f>
        <v>499</v>
      </c>
      <c r="W138" s="43"/>
    </row>
    <row r="139" spans="1:23" x14ac:dyDescent="0.25">
      <c r="A139" s="37" t="s">
        <v>10</v>
      </c>
      <c r="B139" s="42">
        <f t="shared" ref="B139:B148" si="5">B138+1</f>
        <v>4</v>
      </c>
      <c r="C139" s="36">
        <f ca="1">HLOOKUP(OFFSET(C$5,D$6,0)&amp;OFFSET(C$37,D$38,0)&amp;OFFSET(C$22,D$23,0),'Individual Basis'!$C$108:$X$119,'Individual Engine'!$B139,FALSE)</f>
        <v>3852</v>
      </c>
      <c r="D139" s="36">
        <f ca="1">HLOOKUP(OFFSET(C$5,D$6,0)&amp;OFFSET(C$37,D$38,0)&amp;OFFSET(C$22,D$23,0),'Individual Basis'!$C$123:$X$134,'Individual Engine'!$B139,FALSE)</f>
        <v>4623</v>
      </c>
      <c r="I139" s="36">
        <f ca="1">HLOOKUP(OFFSET(I$5,J$6,0)&amp;OFFSET(I$37,J$38,0)&amp;OFFSET(I$22,J$23,0),'Individual Basis'!$C$108:$X$119,'Individual Engine'!$B139,FALSE)</f>
        <v>1875</v>
      </c>
      <c r="J139" s="36">
        <f ca="1">HLOOKUP(OFFSET(I$5,J$6,0)&amp;OFFSET(I$37,J$38,0)&amp;OFFSET(I$22,J$23,0),'Individual Basis'!$C$123:$X$134,'Individual Engine'!$B139,FALSE)</f>
        <v>2250</v>
      </c>
      <c r="O139" s="36">
        <f ca="1">HLOOKUP(OFFSET(O$5,P$6,0)&amp;OFFSET(O$37,P$38,0)&amp;OFFSET(O$22,P$23,0),'Individual Basis'!$C$108:$X$119,'Individual Engine'!$B139,FALSE)</f>
        <v>3852</v>
      </c>
      <c r="P139" s="36">
        <f ca="1">HLOOKUP(OFFSET(O$5,P$6,0)&amp;OFFSET(O$37,P$38,0)&amp;OFFSET(O$22,P$23,0),'Individual Basis'!$C$123:$X$134,'Individual Engine'!$B139,FALSE)</f>
        <v>4623</v>
      </c>
      <c r="U139" s="36">
        <f ca="1">HLOOKUP(OFFSET(U$5,V$6,0)&amp;OFFSET(U$37,V$38,0)&amp;OFFSET(U$22,V$23,0),'Individual Basis'!$C$108:$X$119,'Individual Engine'!$B139,FALSE)</f>
        <v>499</v>
      </c>
      <c r="V139" s="36">
        <f ca="1">HLOOKUP(OFFSET(U$5,V$6,0)&amp;OFFSET(U$37,V$38,0)&amp;OFFSET(U$22,V$23,0),'Individual Basis'!$C$123:$X$134,'Individual Engine'!$B139,FALSE)</f>
        <v>599</v>
      </c>
      <c r="W139" s="43"/>
    </row>
    <row r="140" spans="1:23" x14ac:dyDescent="0.25">
      <c r="A140" s="37" t="s">
        <v>11</v>
      </c>
      <c r="B140" s="42">
        <f t="shared" si="5"/>
        <v>5</v>
      </c>
      <c r="C140" s="36">
        <f ca="1">HLOOKUP(OFFSET(C$5,D$6,0)&amp;OFFSET(C$37,D$38,0)&amp;OFFSET(C$22,D$23,0),'Individual Basis'!$C$108:$X$119,'Individual Engine'!$B140,FALSE)</f>
        <v>5257</v>
      </c>
      <c r="D140" s="36">
        <f ca="1">HLOOKUP(OFFSET(C$5,D$6,0)&amp;OFFSET(C$37,D$38,0)&amp;OFFSET(C$22,D$23,0),'Individual Basis'!$C$123:$X$134,'Individual Engine'!$B140,FALSE)</f>
        <v>6308</v>
      </c>
      <c r="I140" s="36">
        <f ca="1">HLOOKUP(OFFSET(I$5,J$6,0)&amp;OFFSET(I$37,J$38,0)&amp;OFFSET(I$22,J$23,0),'Individual Basis'!$C$108:$X$119,'Individual Engine'!$B140,FALSE)</f>
        <v>2497</v>
      </c>
      <c r="J140" s="36">
        <f ca="1">HLOOKUP(OFFSET(I$5,J$6,0)&amp;OFFSET(I$37,J$38,0)&amp;OFFSET(I$22,J$23,0),'Individual Basis'!$C$123:$X$134,'Individual Engine'!$B140,FALSE)</f>
        <v>2997</v>
      </c>
      <c r="O140" s="36">
        <f ca="1">HLOOKUP(OFFSET(O$5,P$6,0)&amp;OFFSET(O$37,P$38,0)&amp;OFFSET(O$22,P$23,0),'Individual Basis'!$C$108:$X$119,'Individual Engine'!$B140,FALSE)</f>
        <v>5257</v>
      </c>
      <c r="P140" s="36">
        <f ca="1">HLOOKUP(OFFSET(O$5,P$6,0)&amp;OFFSET(O$37,P$38,0)&amp;OFFSET(O$22,P$23,0),'Individual Basis'!$C$123:$X$134,'Individual Engine'!$B140,FALSE)</f>
        <v>6308</v>
      </c>
      <c r="U140" s="36">
        <f ca="1">HLOOKUP(OFFSET(U$5,V$6,0)&amp;OFFSET(U$37,V$38,0)&amp;OFFSET(U$22,V$23,0),'Individual Basis'!$C$108:$X$119,'Individual Engine'!$B140,FALSE)</f>
        <v>665</v>
      </c>
      <c r="V140" s="36">
        <f ca="1">HLOOKUP(OFFSET(U$5,V$6,0)&amp;OFFSET(U$37,V$38,0)&amp;OFFSET(U$22,V$23,0),'Individual Basis'!$C$123:$X$134,'Individual Engine'!$B140,FALSE)</f>
        <v>797</v>
      </c>
      <c r="W140" s="43"/>
    </row>
    <row r="141" spans="1:23" x14ac:dyDescent="0.25">
      <c r="A141" s="37" t="s">
        <v>12</v>
      </c>
      <c r="B141" s="42">
        <f t="shared" si="5"/>
        <v>6</v>
      </c>
      <c r="C141" s="36">
        <f ca="1">HLOOKUP(OFFSET(C$5,D$6,0)&amp;OFFSET(C$37,D$38,0)&amp;OFFSET(C$22,D$23,0),'Individual Basis'!$C$108:$X$119,'Individual Engine'!$B141,FALSE)</f>
        <v>7537</v>
      </c>
      <c r="D141" s="36">
        <f ca="1">HLOOKUP(OFFSET(C$5,D$6,0)&amp;OFFSET(C$37,D$38,0)&amp;OFFSET(C$22,D$23,0),'Individual Basis'!$C$123:$X$134,'Individual Engine'!$B141,FALSE)</f>
        <v>9044</v>
      </c>
      <c r="I141" s="36">
        <f ca="1">HLOOKUP(OFFSET(I$5,J$6,0)&amp;OFFSET(I$37,J$38,0)&amp;OFFSET(I$22,J$23,0),'Individual Basis'!$C$108:$X$119,'Individual Engine'!$B141,FALSE)</f>
        <v>3583</v>
      </c>
      <c r="J141" s="36">
        <f ca="1">HLOOKUP(OFFSET(I$5,J$6,0)&amp;OFFSET(I$37,J$38,0)&amp;OFFSET(I$22,J$23,0),'Individual Basis'!$C$123:$X$134,'Individual Engine'!$B141,FALSE)</f>
        <v>4299</v>
      </c>
      <c r="O141" s="36">
        <f ca="1">HLOOKUP(OFFSET(O$5,P$6,0)&amp;OFFSET(O$37,P$38,0)&amp;OFFSET(O$22,P$23,0),'Individual Basis'!$C$108:$X$119,'Individual Engine'!$B141,FALSE)</f>
        <v>7537</v>
      </c>
      <c r="P141" s="36">
        <f ca="1">HLOOKUP(OFFSET(O$5,P$6,0)&amp;OFFSET(O$37,P$38,0)&amp;OFFSET(O$22,P$23,0),'Individual Basis'!$C$123:$X$134,'Individual Engine'!$B141,FALSE)</f>
        <v>9044</v>
      </c>
      <c r="U141" s="36">
        <f ca="1">HLOOKUP(OFFSET(U$5,V$6,0)&amp;OFFSET(U$37,V$38,0)&amp;OFFSET(U$22,V$23,0),'Individual Basis'!$C$108:$X$119,'Individual Engine'!$B141,FALSE)</f>
        <v>953</v>
      </c>
      <c r="V141" s="36">
        <f ca="1">HLOOKUP(OFFSET(U$5,V$6,0)&amp;OFFSET(U$37,V$38,0)&amp;OFFSET(U$22,V$23,0),'Individual Basis'!$C$123:$X$134,'Individual Engine'!$B141,FALSE)</f>
        <v>1144</v>
      </c>
      <c r="W141" s="43"/>
    </row>
    <row r="142" spans="1:23" x14ac:dyDescent="0.25">
      <c r="A142" s="37" t="s">
        <v>13</v>
      </c>
      <c r="B142" s="42">
        <f t="shared" si="5"/>
        <v>7</v>
      </c>
      <c r="C142" s="36">
        <f ca="1">HLOOKUP(OFFSET(C$5,D$6,0)&amp;OFFSET(C$37,D$38,0)&amp;OFFSET(C$22,D$23,0),'Individual Basis'!$C$108:$X$119,'Individual Engine'!$B142,FALSE)</f>
        <v>11303</v>
      </c>
      <c r="D142" s="36">
        <f ca="1">HLOOKUP(OFFSET(C$5,D$6,0)&amp;OFFSET(C$37,D$38,0)&amp;OFFSET(C$22,D$23,0),'Individual Basis'!$C$123:$X$134,'Individual Engine'!$B142,FALSE)</f>
        <v>13564</v>
      </c>
      <c r="I142" s="36">
        <f ca="1">HLOOKUP(OFFSET(I$5,J$6,0)&amp;OFFSET(I$37,J$38,0)&amp;OFFSET(I$22,J$23,0),'Individual Basis'!$C$108:$X$119,'Individual Engine'!$B142,FALSE)</f>
        <v>5373</v>
      </c>
      <c r="J142" s="36">
        <f ca="1">HLOOKUP(OFFSET(I$5,J$6,0)&amp;OFFSET(I$37,J$38,0)&amp;OFFSET(I$22,J$23,0),'Individual Basis'!$C$123:$X$134,'Individual Engine'!$B142,FALSE)</f>
        <v>6448</v>
      </c>
      <c r="O142" s="36">
        <f ca="1">HLOOKUP(OFFSET(O$5,P$6,0)&amp;OFFSET(O$37,P$38,0)&amp;OFFSET(O$22,P$23,0),'Individual Basis'!$C$108:$X$119,'Individual Engine'!$B142,FALSE)</f>
        <v>11303</v>
      </c>
      <c r="P142" s="36">
        <f ca="1">HLOOKUP(OFFSET(O$5,P$6,0)&amp;OFFSET(O$37,P$38,0)&amp;OFFSET(O$22,P$23,0),'Individual Basis'!$C$123:$X$134,'Individual Engine'!$B142,FALSE)</f>
        <v>13564</v>
      </c>
      <c r="U142" s="36">
        <f ca="1">HLOOKUP(OFFSET(U$5,V$6,0)&amp;OFFSET(U$37,V$38,0)&amp;OFFSET(U$22,V$23,0),'Individual Basis'!$C$108:$X$119,'Individual Engine'!$B142,FALSE)</f>
        <v>1430</v>
      </c>
      <c r="V142" s="36">
        <f ca="1">HLOOKUP(OFFSET(U$5,V$6,0)&amp;OFFSET(U$37,V$38,0)&amp;OFFSET(U$22,V$23,0),'Individual Basis'!$C$123:$X$134,'Individual Engine'!$B142,FALSE)</f>
        <v>1718</v>
      </c>
      <c r="W142" s="43"/>
    </row>
    <row r="143" spans="1:23" x14ac:dyDescent="0.25">
      <c r="A143" s="37" t="s">
        <v>99</v>
      </c>
      <c r="B143" s="42">
        <f t="shared" si="5"/>
        <v>8</v>
      </c>
      <c r="C143" s="36">
        <f ca="1">HLOOKUP(OFFSET(C$5,D$6,0)&amp;OFFSET(C$37,D$38,0)&amp;OFFSET(C$22,D$23,0),'Individual Basis'!$C$108:$X$119,'Individual Engine'!$B143,FALSE)</f>
        <v>15259</v>
      </c>
      <c r="D143" s="36">
        <f ca="1">HLOOKUP(OFFSET(C$5,D$6,0)&amp;OFFSET(C$37,D$38,0)&amp;OFFSET(C$22,D$23,0),'Individual Basis'!$C$123:$X$134,'Individual Engine'!$B143,FALSE)</f>
        <v>18311</v>
      </c>
      <c r="I143" s="36">
        <f ca="1">HLOOKUP(OFFSET(I$5,J$6,0)&amp;OFFSET(I$37,J$38,0)&amp;OFFSET(I$22,J$23,0),'Individual Basis'!$C$108:$X$119,'Individual Engine'!$B143,FALSE)</f>
        <v>7254</v>
      </c>
      <c r="J143" s="36">
        <f ca="1">HLOOKUP(OFFSET(I$5,J$6,0)&amp;OFFSET(I$37,J$38,0)&amp;OFFSET(I$22,J$23,0),'Individual Basis'!$C$123:$X$134,'Individual Engine'!$B143,FALSE)</f>
        <v>8705</v>
      </c>
      <c r="O143" s="36">
        <f ca="1">HLOOKUP(OFFSET(O$5,P$6,0)&amp;OFFSET(O$37,P$38,0)&amp;OFFSET(O$22,P$23,0),'Individual Basis'!$C$108:$X$119,'Individual Engine'!$B143,FALSE)</f>
        <v>15259</v>
      </c>
      <c r="P143" s="36">
        <f ca="1">HLOOKUP(OFFSET(O$5,P$6,0)&amp;OFFSET(O$37,P$38,0)&amp;OFFSET(O$22,P$23,0),'Individual Basis'!$C$123:$X$134,'Individual Engine'!$B143,FALSE)</f>
        <v>18311</v>
      </c>
      <c r="U143" s="36">
        <f ca="1">HLOOKUP(OFFSET(U$5,V$6,0)&amp;OFFSET(U$37,V$38,0)&amp;OFFSET(U$22,V$23,0),'Individual Basis'!$C$108:$X$119,'Individual Engine'!$B143,FALSE)</f>
        <v>1930</v>
      </c>
      <c r="V143" s="36">
        <f ca="1">HLOOKUP(OFFSET(U$5,V$6,0)&amp;OFFSET(U$37,V$38,0)&amp;OFFSET(U$22,V$23,0),'Individual Basis'!$C$123:$X$134,'Individual Engine'!$B143,FALSE)</f>
        <v>2316</v>
      </c>
      <c r="W143" s="43"/>
    </row>
    <row r="144" spans="1:23" x14ac:dyDescent="0.25">
      <c r="A144" s="37" t="s">
        <v>15</v>
      </c>
      <c r="B144" s="42">
        <f t="shared" si="5"/>
        <v>9</v>
      </c>
      <c r="C144" s="36">
        <f ca="1">HLOOKUP(OFFSET(C$5,D$6,0)&amp;OFFSET(C$37,D$38,0)&amp;OFFSET(C$22,D$23,0),'Individual Basis'!$C$108:$X$119,'Individual Engine'!$B144,FALSE)</f>
        <v>19261</v>
      </c>
      <c r="D144" s="36">
        <f ca="1">HLOOKUP(OFFSET(C$5,D$6,0)&amp;OFFSET(C$37,D$38,0)&amp;OFFSET(C$22,D$23,0),'Individual Basis'!$C$123:$X$134,'Individual Engine'!$B144,FALSE)</f>
        <v>23113</v>
      </c>
      <c r="I144" s="36">
        <f ca="1">HLOOKUP(OFFSET(I$5,J$6,0)&amp;OFFSET(I$37,J$38,0)&amp;OFFSET(I$22,J$23,0),'Individual Basis'!$C$108:$X$119,'Individual Engine'!$B144,FALSE)</f>
        <v>9374</v>
      </c>
      <c r="J144" s="36">
        <f ca="1">HLOOKUP(OFFSET(I$5,J$6,0)&amp;OFFSET(I$37,J$38,0)&amp;OFFSET(I$22,J$23,0),'Individual Basis'!$C$123:$X$134,'Individual Engine'!$B144,FALSE)</f>
        <v>11249</v>
      </c>
      <c r="O144" s="36">
        <f ca="1">HLOOKUP(OFFSET(O$5,P$6,0)&amp;OFFSET(O$37,P$38,0)&amp;OFFSET(O$22,P$23,0),'Individual Basis'!$C$108:$X$119,'Individual Engine'!$B144,FALSE)</f>
        <v>19261</v>
      </c>
      <c r="P144" s="36">
        <f ca="1">HLOOKUP(OFFSET(O$5,P$6,0)&amp;OFFSET(O$37,P$38,0)&amp;OFFSET(O$22,P$23,0),'Individual Basis'!$C$123:$X$134,'Individual Engine'!$B144,FALSE)</f>
        <v>23113</v>
      </c>
      <c r="U144" s="36">
        <f ca="1">HLOOKUP(OFFSET(U$5,V$6,0)&amp;OFFSET(U$37,V$38,0)&amp;OFFSET(U$22,V$23,0),'Individual Basis'!$C$108:$X$119,'Individual Engine'!$B144,FALSE)</f>
        <v>2494</v>
      </c>
      <c r="V144" s="36">
        <f ca="1">HLOOKUP(OFFSET(U$5,V$6,0)&amp;OFFSET(U$37,V$38,0)&amp;OFFSET(U$22,V$23,0),'Individual Basis'!$C$123:$X$134,'Individual Engine'!$B144,FALSE)</f>
        <v>2993</v>
      </c>
      <c r="W144" s="43"/>
    </row>
    <row r="145" spans="1:23" x14ac:dyDescent="0.25">
      <c r="A145" s="37" t="s">
        <v>16</v>
      </c>
      <c r="B145" s="42">
        <f t="shared" si="5"/>
        <v>10</v>
      </c>
      <c r="C145" s="36">
        <f ca="1">HLOOKUP(OFFSET(C$5,D$6,0)&amp;OFFSET(C$37,D$38,0)&amp;OFFSET(C$22,D$23,0),'Individual Basis'!$C$108:$X$119,'Individual Engine'!$B145,FALSE)</f>
        <v>25039</v>
      </c>
      <c r="D145" s="36">
        <f ca="1">HLOOKUP(OFFSET(C$5,D$6,0)&amp;OFFSET(C$37,D$38,0)&amp;OFFSET(C$22,D$23,0),'Individual Basis'!$C$123:$X$134,'Individual Engine'!$B145,FALSE)</f>
        <v>30047</v>
      </c>
      <c r="I145" s="36">
        <f ca="1">HLOOKUP(OFFSET(I$5,J$6,0)&amp;OFFSET(I$37,J$38,0)&amp;OFFSET(I$22,J$23,0),'Individual Basis'!$C$108:$X$119,'Individual Engine'!$B145,FALSE)</f>
        <v>12186</v>
      </c>
      <c r="J145" s="36">
        <f ca="1">HLOOKUP(OFFSET(I$5,J$6,0)&amp;OFFSET(I$37,J$38,0)&amp;OFFSET(I$22,J$23,0),'Individual Basis'!$C$123:$X$134,'Individual Engine'!$B145,FALSE)</f>
        <v>14623</v>
      </c>
      <c r="O145" s="36">
        <f ca="1">HLOOKUP(OFFSET(O$5,P$6,0)&amp;OFFSET(O$37,P$38,0)&amp;OFFSET(O$22,P$23,0),'Individual Basis'!$C$108:$X$119,'Individual Engine'!$B145,FALSE)</f>
        <v>25039</v>
      </c>
      <c r="P145" s="36">
        <f ca="1">HLOOKUP(OFFSET(O$5,P$6,0)&amp;OFFSET(O$37,P$38,0)&amp;OFFSET(O$22,P$23,0),'Individual Basis'!$C$123:$X$134,'Individual Engine'!$B145,FALSE)</f>
        <v>30047</v>
      </c>
      <c r="U145" s="36">
        <f ca="1">HLOOKUP(OFFSET(U$5,V$6,0)&amp;OFFSET(U$37,V$38,0)&amp;OFFSET(U$22,V$23,0),'Individual Basis'!$C$108:$X$119,'Individual Engine'!$B145,FALSE)</f>
        <v>3243</v>
      </c>
      <c r="V145" s="36">
        <f ca="1">HLOOKUP(OFFSET(U$5,V$6,0)&amp;OFFSET(U$37,V$38,0)&amp;OFFSET(U$22,V$23,0),'Individual Basis'!$C$123:$X$134,'Individual Engine'!$B145,FALSE)</f>
        <v>3891</v>
      </c>
      <c r="W145" s="43"/>
    </row>
    <row r="146" spans="1:23" x14ac:dyDescent="0.25">
      <c r="A146" s="37" t="s">
        <v>17</v>
      </c>
      <c r="B146" s="42">
        <f t="shared" si="5"/>
        <v>11</v>
      </c>
      <c r="C146" s="36">
        <f ca="1">HLOOKUP(OFFSET(C$5,D$6,0)&amp;OFFSET(C$37,D$38,0)&amp;OFFSET(C$22,D$23,0),'Individual Basis'!$C$108:$X$119,'Individual Engine'!$B146,FALSE)</f>
        <v>30817</v>
      </c>
      <c r="D146" s="36">
        <f ca="1">HLOOKUP(OFFSET(C$5,D$6,0)&amp;OFFSET(C$37,D$38,0)&amp;OFFSET(C$22,D$23,0),'Individual Basis'!$C$123:$X$134,'Individual Engine'!$B146,FALSE)</f>
        <v>36690</v>
      </c>
      <c r="I146" s="36">
        <f ca="1">HLOOKUP(OFFSET(I$5,J$6,0)&amp;OFFSET(I$37,J$38,0)&amp;OFFSET(I$22,J$23,0),'Individual Basis'!$C$108:$X$119,'Individual Engine'!$B146,FALSE)</f>
        <v>14998</v>
      </c>
      <c r="J146" s="36">
        <f ca="1">HLOOKUP(OFFSET(I$5,J$6,0)&amp;OFFSET(I$37,J$38,0)&amp;OFFSET(I$22,J$23,0),'Individual Basis'!$C$123:$X$134,'Individual Engine'!$B146,FALSE)</f>
        <v>17998</v>
      </c>
      <c r="O146" s="36">
        <f ca="1">HLOOKUP(OFFSET(O$5,P$6,0)&amp;OFFSET(O$37,P$38,0)&amp;OFFSET(O$22,P$23,0),'Individual Basis'!$C$108:$X$119,'Individual Engine'!$B146,FALSE)</f>
        <v>30817</v>
      </c>
      <c r="P146" s="36">
        <f ca="1">HLOOKUP(OFFSET(O$5,P$6,0)&amp;OFFSET(O$37,P$38,0)&amp;OFFSET(O$22,P$23,0),'Individual Basis'!$C$123:$X$134,'Individual Engine'!$B146,FALSE)</f>
        <v>36690</v>
      </c>
      <c r="U146" s="36">
        <f ca="1">HLOOKUP(OFFSET(U$5,V$6,0)&amp;OFFSET(U$37,V$38,0)&amp;OFFSET(U$22,V$23,0),'Individual Basis'!$C$108:$X$119,'Individual Engine'!$B146,FALSE)</f>
        <v>3991</v>
      </c>
      <c r="V146" s="36">
        <f ca="1">HLOOKUP(OFFSET(U$5,V$6,0)&amp;OFFSET(U$37,V$38,0)&amp;OFFSET(U$22,V$23,0),'Individual Basis'!$C$123:$X$134,'Individual Engine'!$B146,FALSE)</f>
        <v>4789</v>
      </c>
      <c r="W146" s="43"/>
    </row>
    <row r="147" spans="1:23" x14ac:dyDescent="0.25">
      <c r="A147" s="37" t="s">
        <v>18</v>
      </c>
      <c r="B147" s="42">
        <f t="shared" si="5"/>
        <v>12</v>
      </c>
      <c r="C147" s="36">
        <f ca="1">HLOOKUP(OFFSET(C$5,D$6,0)&amp;OFFSET(C$37,D$38,0)&amp;OFFSET(C$22,D$23,0),'Individual Basis'!$C$108:$X$119,'Individual Engine'!$B147,FALSE)</f>
        <v>40447</v>
      </c>
      <c r="D147" s="36">
        <f ca="1">HLOOKUP(OFFSET(C$5,D$6,0)&amp;OFFSET(C$37,D$38,0)&amp;OFFSET(C$22,D$23,0),'Individual Basis'!$C$123:$X$134,'Individual Engine'!$B147,FALSE)</f>
        <v>48537</v>
      </c>
      <c r="I147" s="36">
        <f ca="1">HLOOKUP(OFFSET(I$5,J$6,0)&amp;OFFSET(I$37,J$38,0)&amp;OFFSET(I$22,J$23,0),'Individual Basis'!$C$108:$X$119,'Individual Engine'!$B147,FALSE)</f>
        <v>19685</v>
      </c>
      <c r="J147" s="36">
        <f ca="1">HLOOKUP(OFFSET(I$5,J$6,0)&amp;OFFSET(I$37,J$38,0)&amp;OFFSET(I$22,J$23,0),'Individual Basis'!$C$123:$X$134,'Individual Engine'!$B147,FALSE)</f>
        <v>23622</v>
      </c>
      <c r="O147" s="36">
        <f ca="1">HLOOKUP(OFFSET(O$5,P$6,0)&amp;OFFSET(O$37,P$38,0)&amp;OFFSET(O$22,P$23,0),'Individual Basis'!$C$108:$X$119,'Individual Engine'!$B147,FALSE)</f>
        <v>40447</v>
      </c>
      <c r="P147" s="36">
        <f ca="1">HLOOKUP(OFFSET(O$5,P$6,0)&amp;OFFSET(O$37,P$38,0)&amp;OFFSET(O$22,P$23,0),'Individual Basis'!$C$123:$X$134,'Individual Engine'!$B147,FALSE)</f>
        <v>48537</v>
      </c>
      <c r="U147" s="36">
        <f ca="1">HLOOKUP(OFFSET(U$5,V$6,0)&amp;OFFSET(U$37,V$38,0)&amp;OFFSET(U$22,V$23,0),'Individual Basis'!$C$108:$X$119,'Individual Engine'!$B147,FALSE)</f>
        <v>5238</v>
      </c>
      <c r="V147" s="36">
        <f ca="1">HLOOKUP(OFFSET(U$5,V$6,0)&amp;OFFSET(U$37,V$38,0)&amp;OFFSET(U$22,V$23,0),'Individual Basis'!$C$123:$X$134,'Individual Engine'!$B147,FALSE)</f>
        <v>6288</v>
      </c>
      <c r="W147" s="43"/>
    </row>
    <row r="148" spans="1:23" x14ac:dyDescent="0.25">
      <c r="A148" s="37" t="s">
        <v>100</v>
      </c>
      <c r="B148" s="42">
        <f t="shared" si="5"/>
        <v>13</v>
      </c>
      <c r="C148" s="121">
        <f ca="1">C142*1300%</f>
        <v>146939</v>
      </c>
      <c r="D148" s="121">
        <f ca="1">D142*1300%</f>
        <v>176332</v>
      </c>
      <c r="I148" s="121">
        <f ca="1">I142*1300%</f>
        <v>69849</v>
      </c>
      <c r="J148" s="121">
        <f ca="1">J142*1300%</f>
        <v>83824</v>
      </c>
      <c r="O148" s="121">
        <f ca="1">O142*1300%</f>
        <v>146939</v>
      </c>
      <c r="P148" s="121">
        <f ca="1">P142*1300%</f>
        <v>176332</v>
      </c>
      <c r="U148" s="121">
        <f ca="1">U142*1300%</f>
        <v>18590</v>
      </c>
      <c r="V148" s="121">
        <f ca="1">V142*1300%</f>
        <v>22334</v>
      </c>
      <c r="W148" s="43"/>
    </row>
    <row r="149" spans="1:23" ht="15.75" thickBot="1" x14ac:dyDescent="0.3">
      <c r="B149" s="46"/>
      <c r="C149" s="47"/>
      <c r="D149" s="47"/>
      <c r="E149" s="47"/>
      <c r="F149" s="47"/>
      <c r="G149" s="47"/>
      <c r="H149" s="47"/>
      <c r="I149" s="47"/>
      <c r="J149" s="47"/>
      <c r="K149" s="47"/>
      <c r="L149" s="47"/>
      <c r="M149" s="47"/>
      <c r="N149" s="47"/>
      <c r="O149" s="47"/>
      <c r="P149" s="47"/>
      <c r="Q149" s="47"/>
      <c r="R149" s="47"/>
      <c r="S149" s="47"/>
      <c r="T149" s="47"/>
      <c r="U149" s="47"/>
      <c r="V149" s="47"/>
      <c r="W149" s="48"/>
    </row>
    <row r="150" spans="1:23" ht="15.75" thickBot="1" x14ac:dyDescent="0.3"/>
    <row r="151" spans="1:23" ht="17.25" x14ac:dyDescent="0.3">
      <c r="B151" s="49"/>
      <c r="C151" s="50" t="s">
        <v>163</v>
      </c>
      <c r="D151" s="40"/>
      <c r="E151" s="40"/>
      <c r="F151" s="40"/>
      <c r="G151" s="40"/>
      <c r="H151" s="40"/>
      <c r="I151" s="40"/>
      <c r="J151" s="40"/>
      <c r="K151" s="40"/>
      <c r="L151" s="40"/>
      <c r="M151" s="40"/>
      <c r="N151" s="40"/>
      <c r="O151" s="40"/>
      <c r="P151" s="40"/>
      <c r="Q151" s="40"/>
      <c r="R151" s="40"/>
      <c r="S151" s="40"/>
      <c r="T151" s="40"/>
      <c r="U151" s="40"/>
      <c r="V151" s="40"/>
      <c r="W151" s="41"/>
    </row>
    <row r="152" spans="1:23" x14ac:dyDescent="0.25">
      <c r="B152" s="42"/>
      <c r="W152" s="43"/>
    </row>
    <row r="153" spans="1:23" ht="15.75" x14ac:dyDescent="0.25">
      <c r="B153" s="42"/>
      <c r="C153" s="31" t="s">
        <v>91</v>
      </c>
      <c r="D153" s="34"/>
      <c r="I153" s="31" t="s">
        <v>92</v>
      </c>
      <c r="J153" s="33"/>
      <c r="O153" s="31" t="s">
        <v>93</v>
      </c>
      <c r="P153" s="33"/>
      <c r="U153" s="31" t="s">
        <v>94</v>
      </c>
      <c r="V153" s="33"/>
      <c r="W153" s="43"/>
    </row>
    <row r="154" spans="1:23" ht="15.75" x14ac:dyDescent="0.25">
      <c r="B154" s="42"/>
      <c r="C154" s="38" t="s">
        <v>65</v>
      </c>
      <c r="D154" s="39" t="s">
        <v>66</v>
      </c>
      <c r="E154" s="44"/>
      <c r="I154" s="38" t="s">
        <v>65</v>
      </c>
      <c r="J154" s="39" t="s">
        <v>66</v>
      </c>
      <c r="K154" s="44"/>
      <c r="O154" s="38" t="s">
        <v>65</v>
      </c>
      <c r="P154" s="39" t="s">
        <v>66</v>
      </c>
      <c r="Q154" s="44"/>
      <c r="U154" s="38" t="s">
        <v>65</v>
      </c>
      <c r="V154" s="39" t="s">
        <v>66</v>
      </c>
      <c r="W154" s="43"/>
    </row>
    <row r="155" spans="1:23" x14ac:dyDescent="0.25">
      <c r="A155" s="37" t="s">
        <v>8</v>
      </c>
      <c r="B155" s="42">
        <v>2</v>
      </c>
      <c r="C155" s="36">
        <f ca="1">HLOOKUP(OFFSET(C$5,D$6,0)&amp;OFFSET(C$85,D$86,0)&amp;OFFSET(C$22,D$23,0),'Individual Basis'!$C$138:$AR$149,'Individual Engine'!$B155,FALSE)</f>
        <v>3539</v>
      </c>
      <c r="D155" s="36">
        <f ca="1">HLOOKUP(OFFSET(C$5,D$6,0)&amp;OFFSET(C$85,D$86,0)&amp;OFFSET(C$22,D$23,0),'Individual Basis'!$C$153:$AR$164,'Individual Engine'!$B155,FALSE)</f>
        <v>3539</v>
      </c>
      <c r="I155" s="36">
        <f ca="1">HLOOKUP(OFFSET(I$5,J$6,0)&amp;OFFSET(I$85,J$86,0)&amp;OFFSET(I$22,J$23,0),'Individual Basis'!$C$138:$AR$149,'Individual Engine'!$B155,FALSE)</f>
        <v>2501</v>
      </c>
      <c r="J155" s="36">
        <f ca="1">HLOOKUP(OFFSET(I$5,J$6,0)&amp;OFFSET(I$85,J$86,0)&amp;OFFSET(I$22,J$23,0),'Individual Basis'!$C$153:$AR$164,'Individual Engine'!$B155,FALSE)</f>
        <v>2501</v>
      </c>
      <c r="O155" s="36">
        <f ca="1">HLOOKUP(OFFSET(O$5,P$6,0)&amp;OFFSET(O$85,P$86,0)&amp;OFFSET(O$22,P$23,0),'Individual Basis'!$C$138:$AR$149,'Individual Engine'!$B155,FALSE)</f>
        <v>3539</v>
      </c>
      <c r="P155" s="36">
        <f ca="1">HLOOKUP(OFFSET(O$5,P$6,0)&amp;OFFSET(O$85,P$86,0)&amp;OFFSET(O$22,P$23,0),'Individual Basis'!$C$153:$AR$164,'Individual Engine'!$B155,FALSE)</f>
        <v>3539</v>
      </c>
      <c r="U155" s="36">
        <f ca="1">HLOOKUP(OFFSET(U$5,V$6,0)&amp;OFFSET(U$85,V$86,0)&amp;OFFSET(U$22,V$23,0),'Individual Basis'!$C$138:$AR$149,'Individual Engine'!$B155,FALSE)</f>
        <v>888</v>
      </c>
      <c r="V155" s="36">
        <f ca="1">HLOOKUP(OFFSET(U$5,V$6,0)&amp;OFFSET(U$85,V$86,0)&amp;OFFSET(U$22,V$23,0),'Individual Basis'!$C$153:$AR$164,'Individual Engine'!$B155,FALSE)</f>
        <v>888</v>
      </c>
      <c r="W155" s="43"/>
    </row>
    <row r="156" spans="1:23" x14ac:dyDescent="0.25">
      <c r="A156" s="37" t="s">
        <v>9</v>
      </c>
      <c r="B156" s="42">
        <f>B155+1</f>
        <v>3</v>
      </c>
      <c r="C156" s="36">
        <f ca="1">HLOOKUP(OFFSET(C$5,D$6,0)&amp;OFFSET(C$85,D$86,0)&amp;OFFSET(C$22,D$23,0),'Individual Basis'!$C$138:$AR$149,'Individual Engine'!$B156,FALSE)</f>
        <v>3502</v>
      </c>
      <c r="D156" s="36">
        <f ca="1">HLOOKUP(OFFSET(C$5,D$6,0)&amp;OFFSET(C$85,D$86,0)&amp;OFFSET(C$22,D$23,0),'Individual Basis'!$C$153:$AR$164,'Individual Engine'!$B156,FALSE)</f>
        <v>4203</v>
      </c>
      <c r="I156" s="36">
        <f ca="1">HLOOKUP(OFFSET(I$5,J$6,0)&amp;OFFSET(I$85,J$86,0)&amp;OFFSET(I$22,J$23,0),'Individual Basis'!$C$138:$AR$149,'Individual Engine'!$B156,FALSE)</f>
        <v>2475</v>
      </c>
      <c r="J156" s="36">
        <f ca="1">HLOOKUP(OFFSET(I$5,J$6,0)&amp;OFFSET(I$85,J$86,0)&amp;OFFSET(I$22,J$23,0),'Individual Basis'!$C$153:$AR$164,'Individual Engine'!$B156,FALSE)</f>
        <v>2970</v>
      </c>
      <c r="O156" s="36">
        <f ca="1">HLOOKUP(OFFSET(O$5,P$6,0)&amp;OFFSET(O$85,P$86,0)&amp;OFFSET(O$22,P$23,0),'Individual Basis'!$C$138:$AR$149,'Individual Engine'!$B156,FALSE)</f>
        <v>3502</v>
      </c>
      <c r="P156" s="36">
        <f ca="1">HLOOKUP(OFFSET(O$5,P$6,0)&amp;OFFSET(O$85,P$86,0)&amp;OFFSET(O$22,P$23,0),'Individual Basis'!$C$153:$AR$164,'Individual Engine'!$B156,FALSE)</f>
        <v>4203</v>
      </c>
      <c r="U156" s="36">
        <f ca="1">HLOOKUP(OFFSET(U$5,V$6,0)&amp;OFFSET(U$85,V$86,0)&amp;OFFSET(U$22,V$23,0),'Individual Basis'!$C$138:$AR$149,'Individual Engine'!$B156,FALSE)</f>
        <v>803</v>
      </c>
      <c r="V156" s="36">
        <f ca="1">HLOOKUP(OFFSET(U$5,V$6,0)&amp;OFFSET(U$85,V$86,0)&amp;OFFSET(U$22,V$23,0),'Individual Basis'!$C$153:$AR$164,'Individual Engine'!$B156,FALSE)</f>
        <v>954</v>
      </c>
      <c r="W156" s="43"/>
    </row>
    <row r="157" spans="1:23" x14ac:dyDescent="0.25">
      <c r="A157" s="37" t="s">
        <v>10</v>
      </c>
      <c r="B157" s="42">
        <f t="shared" ref="B157:B166" si="6">B156+1</f>
        <v>4</v>
      </c>
      <c r="C157" s="36">
        <f ca="1">HLOOKUP(OFFSET(C$5,D$6,0)&amp;OFFSET(C$85,D$86,0)&amp;OFFSET(C$22,D$23,0),'Individual Basis'!$C$138:$AR$149,'Individual Engine'!$B157,FALSE)</f>
        <v>3502</v>
      </c>
      <c r="D157" s="36">
        <f ca="1">HLOOKUP(OFFSET(C$5,D$6,0)&amp;OFFSET(C$85,D$86,0)&amp;OFFSET(C$22,D$23,0),'Individual Basis'!$C$153:$AR$164,'Individual Engine'!$B157,FALSE)</f>
        <v>4203</v>
      </c>
      <c r="I157" s="36">
        <f ca="1">HLOOKUP(OFFSET(I$5,J$6,0)&amp;OFFSET(I$85,J$86,0)&amp;OFFSET(I$22,J$23,0),'Individual Basis'!$C$138:$AR$149,'Individual Engine'!$B157,FALSE)</f>
        <v>2475</v>
      </c>
      <c r="J157" s="36">
        <f ca="1">HLOOKUP(OFFSET(I$5,J$6,0)&amp;OFFSET(I$85,J$86,0)&amp;OFFSET(I$22,J$23,0),'Individual Basis'!$C$153:$AR$164,'Individual Engine'!$B157,FALSE)</f>
        <v>2970</v>
      </c>
      <c r="O157" s="36">
        <f ca="1">HLOOKUP(OFFSET(O$5,P$6,0)&amp;OFFSET(O$85,P$86,0)&amp;OFFSET(O$22,P$23,0),'Individual Basis'!$C$138:$AR$149,'Individual Engine'!$B157,FALSE)</f>
        <v>3502</v>
      </c>
      <c r="P157" s="36">
        <f ca="1">HLOOKUP(OFFSET(O$5,P$6,0)&amp;OFFSET(O$85,P$86,0)&amp;OFFSET(O$22,P$23,0),'Individual Basis'!$C$153:$AR$164,'Individual Engine'!$B157,FALSE)</f>
        <v>4203</v>
      </c>
      <c r="U157" s="36">
        <f ca="1">HLOOKUP(OFFSET(U$5,V$6,0)&amp;OFFSET(U$85,V$86,0)&amp;OFFSET(U$22,V$23,0),'Individual Basis'!$C$138:$AR$149,'Individual Engine'!$B157,FALSE)</f>
        <v>803</v>
      </c>
      <c r="V157" s="36">
        <f ca="1">HLOOKUP(OFFSET(U$5,V$6,0)&amp;OFFSET(U$85,V$86,0)&amp;OFFSET(U$22,V$23,0),'Individual Basis'!$C$153:$AR$164,'Individual Engine'!$B157,FALSE)</f>
        <v>964</v>
      </c>
      <c r="W157" s="43"/>
    </row>
    <row r="158" spans="1:23" x14ac:dyDescent="0.25">
      <c r="A158" s="37" t="s">
        <v>11</v>
      </c>
      <c r="B158" s="42">
        <f t="shared" si="6"/>
        <v>5</v>
      </c>
      <c r="C158" s="36">
        <f ca="1">HLOOKUP(OFFSET(C$5,D$6,0)&amp;OFFSET(C$85,D$86,0)&amp;OFFSET(C$22,D$23,0),'Individual Basis'!$C$138:$AR$149,'Individual Engine'!$B158,FALSE)</f>
        <v>3643</v>
      </c>
      <c r="D158" s="36">
        <f ca="1">HLOOKUP(OFFSET(C$5,D$6,0)&amp;OFFSET(C$85,D$86,0)&amp;OFFSET(C$22,D$23,0),'Individual Basis'!$C$153:$AR$164,'Individual Engine'!$B158,FALSE)</f>
        <v>4371</v>
      </c>
      <c r="I158" s="36">
        <f ca="1">HLOOKUP(OFFSET(I$5,J$6,0)&amp;OFFSET(I$85,J$86,0)&amp;OFFSET(I$22,J$23,0),'Individual Basis'!$C$138:$AR$149,'Individual Engine'!$B158,FALSE)</f>
        <v>2595</v>
      </c>
      <c r="J158" s="36">
        <f ca="1">HLOOKUP(OFFSET(I$5,J$6,0)&amp;OFFSET(I$85,J$86,0)&amp;OFFSET(I$22,J$23,0),'Individual Basis'!$C$153:$AR$164,'Individual Engine'!$B158,FALSE)</f>
        <v>3114</v>
      </c>
      <c r="O158" s="36">
        <f ca="1">HLOOKUP(OFFSET(O$5,P$6,0)&amp;OFFSET(O$85,P$86,0)&amp;OFFSET(O$22,P$23,0),'Individual Basis'!$C$138:$AR$149,'Individual Engine'!$B158,FALSE)</f>
        <v>3643</v>
      </c>
      <c r="P158" s="36">
        <f ca="1">HLOOKUP(OFFSET(O$5,P$6,0)&amp;OFFSET(O$85,P$86,0)&amp;OFFSET(O$22,P$23,0),'Individual Basis'!$C$153:$AR$164,'Individual Engine'!$B158,FALSE)</f>
        <v>4371</v>
      </c>
      <c r="U158" s="36">
        <f ca="1">HLOOKUP(OFFSET(U$5,V$6,0)&amp;OFFSET(U$85,V$86,0)&amp;OFFSET(U$22,V$23,0),'Individual Basis'!$C$138:$AR$149,'Individual Engine'!$B158,FALSE)</f>
        <v>844</v>
      </c>
      <c r="V158" s="36">
        <f ca="1">HLOOKUP(OFFSET(U$5,V$6,0)&amp;OFFSET(U$85,V$86,0)&amp;OFFSET(U$22,V$23,0),'Individual Basis'!$C$153:$AR$164,'Individual Engine'!$B158,FALSE)</f>
        <v>1013</v>
      </c>
      <c r="W158" s="43"/>
    </row>
    <row r="159" spans="1:23" x14ac:dyDescent="0.25">
      <c r="A159" s="37" t="s">
        <v>12</v>
      </c>
      <c r="B159" s="42">
        <f t="shared" si="6"/>
        <v>6</v>
      </c>
      <c r="C159" s="36">
        <f ca="1">HLOOKUP(OFFSET(C$5,D$6,0)&amp;OFFSET(C$85,D$86,0)&amp;OFFSET(C$22,D$23,0),'Individual Basis'!$C$138:$AR$149,'Individual Engine'!$B159,FALSE)</f>
        <v>4047</v>
      </c>
      <c r="D159" s="36">
        <f ca="1">HLOOKUP(OFFSET(C$5,D$6,0)&amp;OFFSET(C$85,D$86,0)&amp;OFFSET(C$22,D$23,0),'Individual Basis'!$C$153:$AR$164,'Individual Engine'!$B159,FALSE)</f>
        <v>4857</v>
      </c>
      <c r="I159" s="36">
        <f ca="1">HLOOKUP(OFFSET(I$5,J$6,0)&amp;OFFSET(I$85,J$86,0)&amp;OFFSET(I$22,J$23,0),'Individual Basis'!$C$138:$AR$149,'Individual Engine'!$B159,FALSE)</f>
        <v>2884</v>
      </c>
      <c r="J159" s="36">
        <f ca="1">HLOOKUP(OFFSET(I$5,J$6,0)&amp;OFFSET(I$85,J$86,0)&amp;OFFSET(I$22,J$23,0),'Individual Basis'!$C$153:$AR$164,'Individual Engine'!$B159,FALSE)</f>
        <v>3460</v>
      </c>
      <c r="O159" s="36">
        <f ca="1">HLOOKUP(OFFSET(O$5,P$6,0)&amp;OFFSET(O$85,P$86,0)&amp;OFFSET(O$22,P$23,0),'Individual Basis'!$C$138:$AR$149,'Individual Engine'!$B159,FALSE)</f>
        <v>4047</v>
      </c>
      <c r="P159" s="36">
        <f ca="1">HLOOKUP(OFFSET(O$5,P$6,0)&amp;OFFSET(O$85,P$86,0)&amp;OFFSET(O$22,P$23,0),'Individual Basis'!$C$153:$AR$164,'Individual Engine'!$B159,FALSE)</f>
        <v>4857</v>
      </c>
      <c r="U159" s="36">
        <f ca="1">HLOOKUP(OFFSET(U$5,V$6,0)&amp;OFFSET(U$85,V$86,0)&amp;OFFSET(U$22,V$23,0),'Individual Basis'!$C$138:$AR$149,'Individual Engine'!$B159,FALSE)</f>
        <v>938</v>
      </c>
      <c r="V159" s="36">
        <f ca="1">HLOOKUP(OFFSET(U$5,V$6,0)&amp;OFFSET(U$85,V$86,0)&amp;OFFSET(U$22,V$23,0),'Individual Basis'!$C$153:$AR$164,'Individual Engine'!$B159,FALSE)</f>
        <v>1126</v>
      </c>
      <c r="W159" s="43"/>
    </row>
    <row r="160" spans="1:23" x14ac:dyDescent="0.25">
      <c r="A160" s="37" t="s">
        <v>13</v>
      </c>
      <c r="B160" s="42">
        <f t="shared" si="6"/>
        <v>7</v>
      </c>
      <c r="C160" s="36">
        <f ca="1">HLOOKUP(OFFSET(C$5,D$6,0)&amp;OFFSET(C$85,D$86,0)&amp;OFFSET(C$22,D$23,0),'Individual Basis'!$C$138:$AR$149,'Individual Engine'!$B160,FALSE)</f>
        <v>4750</v>
      </c>
      <c r="D160" s="36">
        <f ca="1">HLOOKUP(OFFSET(C$5,D$6,0)&amp;OFFSET(C$85,D$86,0)&amp;OFFSET(C$22,D$23,0),'Individual Basis'!$C$153:$AR$164,'Individual Engine'!$B160,FALSE)</f>
        <v>5708</v>
      </c>
      <c r="I160" s="36">
        <f ca="1">HLOOKUP(OFFSET(I$5,J$6,0)&amp;OFFSET(I$85,J$86,0)&amp;OFFSET(I$22,J$23,0),'Individual Basis'!$C$138:$AR$149,'Individual Engine'!$B160,FALSE)</f>
        <v>3389</v>
      </c>
      <c r="J160" s="36">
        <f ca="1">HLOOKUP(OFFSET(I$5,J$6,0)&amp;OFFSET(I$85,J$86,0)&amp;OFFSET(I$22,J$23,0),'Individual Basis'!$C$153:$AR$164,'Individual Engine'!$B160,FALSE)</f>
        <v>4067</v>
      </c>
      <c r="O160" s="36">
        <f ca="1">HLOOKUP(OFFSET(O$5,P$6,0)&amp;OFFSET(O$85,P$86,0)&amp;OFFSET(O$22,P$23,0),'Individual Basis'!$C$138:$AR$149,'Individual Engine'!$B160,FALSE)</f>
        <v>4750</v>
      </c>
      <c r="P160" s="36">
        <f ca="1">HLOOKUP(OFFSET(O$5,P$6,0)&amp;OFFSET(O$85,P$86,0)&amp;OFFSET(O$22,P$23,0),'Individual Basis'!$C$153:$AR$164,'Individual Engine'!$B160,FALSE)</f>
        <v>5708</v>
      </c>
      <c r="U160" s="36">
        <f ca="1">HLOOKUP(OFFSET(U$5,V$6,0)&amp;OFFSET(U$85,V$86,0)&amp;OFFSET(U$22,V$23,0),'Individual Basis'!$C$138:$AR$149,'Individual Engine'!$B160,FALSE)</f>
        <v>1113</v>
      </c>
      <c r="V160" s="36">
        <f ca="1">HLOOKUP(OFFSET(U$5,V$6,0)&amp;OFFSET(U$85,V$86,0)&amp;OFFSET(U$22,V$23,0),'Individual Basis'!$C$153:$AR$164,'Individual Engine'!$B160,FALSE)</f>
        <v>1338</v>
      </c>
      <c r="W160" s="43"/>
    </row>
    <row r="161" spans="1:23" x14ac:dyDescent="0.25">
      <c r="A161" s="37" t="s">
        <v>99</v>
      </c>
      <c r="B161" s="42">
        <f t="shared" si="6"/>
        <v>8</v>
      </c>
      <c r="C161" s="36">
        <f ca="1">HLOOKUP(OFFSET(C$5,D$6,0)&amp;OFFSET(C$85,D$86,0)&amp;OFFSET(C$22,D$23,0),'Individual Basis'!$C$138:$AR$149,'Individual Engine'!$B161,FALSE)</f>
        <v>6413</v>
      </c>
      <c r="D161" s="36">
        <f ca="1">HLOOKUP(OFFSET(C$5,D$6,0)&amp;OFFSET(C$85,D$86,0)&amp;OFFSET(C$22,D$23,0),'Individual Basis'!$C$153:$AR$164,'Individual Engine'!$B161,FALSE)</f>
        <v>7695</v>
      </c>
      <c r="I161" s="36">
        <f ca="1">HLOOKUP(OFFSET(I$5,J$6,0)&amp;OFFSET(I$85,J$86,0)&amp;OFFSET(I$22,J$23,0),'Individual Basis'!$C$138:$AR$149,'Individual Engine'!$B161,FALSE)</f>
        <v>4576</v>
      </c>
      <c r="J161" s="36">
        <f ca="1">HLOOKUP(OFFSET(I$5,J$6,0)&amp;OFFSET(I$85,J$86,0)&amp;OFFSET(I$22,J$23,0),'Individual Basis'!$C$153:$AR$164,'Individual Engine'!$B161,FALSE)</f>
        <v>5491</v>
      </c>
      <c r="O161" s="36">
        <f ca="1">HLOOKUP(OFFSET(O$5,P$6,0)&amp;OFFSET(O$85,P$86,0)&amp;OFFSET(O$22,P$23,0),'Individual Basis'!$C$138:$AR$149,'Individual Engine'!$B161,FALSE)</f>
        <v>6413</v>
      </c>
      <c r="P161" s="36">
        <f ca="1">HLOOKUP(OFFSET(O$5,P$6,0)&amp;OFFSET(O$85,P$86,0)&amp;OFFSET(O$22,P$23,0),'Individual Basis'!$C$153:$AR$164,'Individual Engine'!$B161,FALSE)</f>
        <v>7695</v>
      </c>
      <c r="U161" s="36">
        <f ca="1">HLOOKUP(OFFSET(U$5,V$6,0)&amp;OFFSET(U$85,V$86,0)&amp;OFFSET(U$22,V$23,0),'Individual Basis'!$C$138:$AR$149,'Individual Engine'!$B161,FALSE)</f>
        <v>1503</v>
      </c>
      <c r="V161" s="36">
        <f ca="1">HLOOKUP(OFFSET(U$5,V$6,0)&amp;OFFSET(U$85,V$86,0)&amp;OFFSET(U$22,V$23,0),'Individual Basis'!$C$153:$AR$164,'Individual Engine'!$B161,FALSE)</f>
        <v>1803</v>
      </c>
      <c r="W161" s="43"/>
    </row>
    <row r="162" spans="1:23" x14ac:dyDescent="0.25">
      <c r="A162" s="37" t="s">
        <v>15</v>
      </c>
      <c r="B162" s="42">
        <f t="shared" si="6"/>
        <v>9</v>
      </c>
      <c r="C162" s="36">
        <f ca="1">HLOOKUP(OFFSET(C$5,D$6,0)&amp;OFFSET(C$85,D$86,0)&amp;OFFSET(C$22,D$23,0),'Individual Basis'!$C$138:$AR$149,'Individual Engine'!$B162,FALSE)</f>
        <v>17512</v>
      </c>
      <c r="D162" s="36">
        <f ca="1">HLOOKUP(OFFSET(C$5,D$6,0)&amp;OFFSET(C$85,D$86,0)&amp;OFFSET(C$22,D$23,0),'Individual Basis'!$C$153:$AR$164,'Individual Engine'!$B162,FALSE)</f>
        <v>21015</v>
      </c>
      <c r="I162" s="36">
        <f ca="1">HLOOKUP(OFFSET(I$5,J$6,0)&amp;OFFSET(I$85,J$86,0)&amp;OFFSET(I$22,J$23,0),'Individual Basis'!$C$138:$AR$149,'Individual Engine'!$B162,FALSE)</f>
        <v>12377</v>
      </c>
      <c r="J162" s="36">
        <f ca="1">HLOOKUP(OFFSET(I$5,J$6,0)&amp;OFFSET(I$85,J$86,0)&amp;OFFSET(I$22,J$23,0),'Individual Basis'!$C$153:$AR$164,'Individual Engine'!$B162,FALSE)</f>
        <v>14852</v>
      </c>
      <c r="O162" s="36">
        <f ca="1">HLOOKUP(OFFSET(O$5,P$6,0)&amp;OFFSET(O$85,P$86,0)&amp;OFFSET(O$22,P$23,0),'Individual Basis'!$C$138:$AR$149,'Individual Engine'!$B162,FALSE)</f>
        <v>17512</v>
      </c>
      <c r="P162" s="36">
        <f ca="1">HLOOKUP(OFFSET(O$5,P$6,0)&amp;OFFSET(O$85,P$86,0)&amp;OFFSET(O$22,P$23,0),'Individual Basis'!$C$153:$AR$164,'Individual Engine'!$B162,FALSE)</f>
        <v>21015</v>
      </c>
      <c r="U162" s="36">
        <f ca="1">HLOOKUP(OFFSET(U$5,V$6,0)&amp;OFFSET(U$85,V$86,0)&amp;OFFSET(U$22,V$23,0),'Individual Basis'!$C$138:$AR$149,'Individual Engine'!$B162,FALSE)</f>
        <v>4017</v>
      </c>
      <c r="V162" s="36">
        <f ca="1">HLOOKUP(OFFSET(U$5,V$6,0)&amp;OFFSET(U$85,V$86,0)&amp;OFFSET(U$22,V$23,0),'Individual Basis'!$C$153:$AR$164,'Individual Engine'!$B162,FALSE)</f>
        <v>4820</v>
      </c>
      <c r="W162" s="43"/>
    </row>
    <row r="163" spans="1:23" x14ac:dyDescent="0.25">
      <c r="A163" s="37" t="s">
        <v>16</v>
      </c>
      <c r="B163" s="42">
        <f t="shared" si="6"/>
        <v>10</v>
      </c>
      <c r="C163" s="36">
        <f ca="1">HLOOKUP(OFFSET(C$5,D$6,0)&amp;OFFSET(C$85,D$86,0)&amp;OFFSET(C$22,D$23,0),'Individual Basis'!$C$138:$AR$149,'Individual Engine'!$B163,FALSE)</f>
        <v>22766</v>
      </c>
      <c r="D163" s="36">
        <f ca="1">HLOOKUP(OFFSET(C$5,D$6,0)&amp;OFFSET(C$85,D$86,0)&amp;OFFSET(C$22,D$23,0),'Individual Basis'!$C$153:$AR$164,'Individual Engine'!$B163,FALSE)</f>
        <v>27319</v>
      </c>
      <c r="I163" s="36">
        <f ca="1">HLOOKUP(OFFSET(I$5,J$6,0)&amp;OFFSET(I$85,J$86,0)&amp;OFFSET(I$22,J$23,0),'Individual Basis'!$C$138:$AR$149,'Individual Engine'!$B163,FALSE)</f>
        <v>16090</v>
      </c>
      <c r="J163" s="36">
        <f ca="1">HLOOKUP(OFFSET(I$5,J$6,0)&amp;OFFSET(I$85,J$86,0)&amp;OFFSET(I$22,J$23,0),'Individual Basis'!$C$153:$AR$164,'Individual Engine'!$B163,FALSE)</f>
        <v>19309</v>
      </c>
      <c r="O163" s="36">
        <f ca="1">HLOOKUP(OFFSET(O$5,P$6,0)&amp;OFFSET(O$85,P$86,0)&amp;OFFSET(O$22,P$23,0),'Individual Basis'!$C$138:$AR$149,'Individual Engine'!$B163,FALSE)</f>
        <v>22766</v>
      </c>
      <c r="P163" s="36">
        <f ca="1">HLOOKUP(OFFSET(O$5,P$6,0)&amp;OFFSET(O$85,P$86,0)&amp;OFFSET(O$22,P$23,0),'Individual Basis'!$C$153:$AR$164,'Individual Engine'!$B163,FALSE)</f>
        <v>27319</v>
      </c>
      <c r="U163" s="36">
        <f ca="1">HLOOKUP(OFFSET(U$5,V$6,0)&amp;OFFSET(U$85,V$86,0)&amp;OFFSET(U$22,V$23,0),'Individual Basis'!$C$138:$AR$149,'Individual Engine'!$B163,FALSE)</f>
        <v>5222</v>
      </c>
      <c r="V163" s="36">
        <f ca="1">HLOOKUP(OFFSET(U$5,V$6,0)&amp;OFFSET(U$85,V$86,0)&amp;OFFSET(U$22,V$23,0),'Individual Basis'!$C$153:$AR$164,'Individual Engine'!$B163,FALSE)</f>
        <v>6288</v>
      </c>
      <c r="W163" s="43"/>
    </row>
    <row r="164" spans="1:23" x14ac:dyDescent="0.25">
      <c r="A164" s="37" t="s">
        <v>17</v>
      </c>
      <c r="B164" s="42">
        <f t="shared" si="6"/>
        <v>11</v>
      </c>
      <c r="C164" s="36">
        <f ca="1">HLOOKUP(OFFSET(C$5,D$6,0)&amp;OFFSET(C$85,D$86,0)&amp;OFFSET(C$22,D$23,0),'Individual Basis'!$C$138:$AR$149,'Individual Engine'!$B164,FALSE)</f>
        <v>28028</v>
      </c>
      <c r="D164" s="36">
        <f ca="1">HLOOKUP(OFFSET(C$5,D$6,0)&amp;OFFSET(C$85,D$86,0)&amp;OFFSET(C$22,D$23,0),'Individual Basis'!$C$153:$AR$164,'Individual Engine'!$B164,FALSE)</f>
        <v>33624</v>
      </c>
      <c r="I164" s="36">
        <f ca="1">HLOOKUP(OFFSET(I$5,J$6,0)&amp;OFFSET(I$85,J$86,0)&amp;OFFSET(I$22,J$23,0),'Individual Basis'!$C$138:$AR$149,'Individual Engine'!$B164,FALSE)</f>
        <v>19803</v>
      </c>
      <c r="J164" s="36">
        <f ca="1">HLOOKUP(OFFSET(I$5,J$6,0)&amp;OFFSET(I$85,J$86,0)&amp;OFFSET(I$22,J$23,0),'Individual Basis'!$C$153:$AR$164,'Individual Engine'!$B164,FALSE)</f>
        <v>23764</v>
      </c>
      <c r="O164" s="36">
        <f ca="1">HLOOKUP(OFFSET(O$5,P$6,0)&amp;OFFSET(O$85,P$86,0)&amp;OFFSET(O$22,P$23,0),'Individual Basis'!$C$138:$AR$149,'Individual Engine'!$B164,FALSE)</f>
        <v>28028</v>
      </c>
      <c r="P164" s="36">
        <f ca="1">HLOOKUP(OFFSET(O$5,P$6,0)&amp;OFFSET(O$85,P$86,0)&amp;OFFSET(O$22,P$23,0),'Individual Basis'!$C$153:$AR$164,'Individual Engine'!$B164,FALSE)</f>
        <v>33624</v>
      </c>
      <c r="U164" s="36">
        <f ca="1">HLOOKUP(OFFSET(U$5,V$6,0)&amp;OFFSET(U$85,V$86,0)&amp;OFFSET(U$22,V$23,0),'Individual Basis'!$C$138:$AR$149,'Individual Engine'!$B164,FALSE)</f>
        <v>6427</v>
      </c>
      <c r="V164" s="36">
        <f ca="1">HLOOKUP(OFFSET(U$5,V$6,0)&amp;OFFSET(U$85,V$86,0)&amp;OFFSET(U$22,V$23,0),'Individual Basis'!$C$153:$AR$164,'Individual Engine'!$B164,FALSE)</f>
        <v>7712</v>
      </c>
      <c r="W164" s="43"/>
    </row>
    <row r="165" spans="1:23" x14ac:dyDescent="0.25">
      <c r="A165" s="37" t="s">
        <v>18</v>
      </c>
      <c r="B165" s="42">
        <f t="shared" si="6"/>
        <v>12</v>
      </c>
      <c r="C165" s="36">
        <f ca="1">HLOOKUP(OFFSET(C$5,D$6,0)&amp;OFFSET(C$85,D$86,0)&amp;OFFSET(C$22,D$23,0),'Individual Basis'!$C$138:$AR$149,'Individual Engine'!$B165,FALSE)</f>
        <v>36776</v>
      </c>
      <c r="D165" s="36">
        <f ca="1">HLOOKUP(OFFSET(C$5,D$6,0)&amp;OFFSET(C$85,D$86,0)&amp;OFFSET(C$22,D$23,0),'Individual Basis'!$C$153:$AR$164,'Individual Engine'!$B165,FALSE)</f>
        <v>44131</v>
      </c>
      <c r="I165" s="36">
        <f ca="1">HLOOKUP(OFFSET(I$5,J$6,0)&amp;OFFSET(I$85,J$86,0)&amp;OFFSET(I$22,J$23,0),'Individual Basis'!$C$138:$AR$149,'Individual Engine'!$B165,FALSE)</f>
        <v>25992</v>
      </c>
      <c r="J165" s="36">
        <f ca="1">HLOOKUP(OFFSET(I$5,J$6,0)&amp;OFFSET(I$85,J$86,0)&amp;OFFSET(I$22,J$23,0),'Individual Basis'!$C$153:$AR$164,'Individual Engine'!$B165,FALSE)</f>
        <v>31190</v>
      </c>
      <c r="O165" s="36">
        <f ca="1">HLOOKUP(OFFSET(O$5,P$6,0)&amp;OFFSET(O$85,P$86,0)&amp;OFFSET(O$22,P$23,0),'Individual Basis'!$C$138:$AR$149,'Individual Engine'!$B165,FALSE)</f>
        <v>36776</v>
      </c>
      <c r="P165" s="36">
        <f ca="1">HLOOKUP(OFFSET(O$5,P$6,0)&amp;OFFSET(O$85,P$86,0)&amp;OFFSET(O$22,P$23,0),'Individual Basis'!$C$153:$AR$164,'Individual Engine'!$B165,FALSE)</f>
        <v>44131</v>
      </c>
      <c r="U165" s="36">
        <f ca="1">HLOOKUP(OFFSET(U$5,V$6,0)&amp;OFFSET(U$85,V$86,0)&amp;OFFSET(U$22,V$23,0),'Individual Basis'!$C$138:$AR$149,'Individual Engine'!$B165,FALSE)</f>
        <v>8435</v>
      </c>
      <c r="V165" s="36">
        <f ca="1">HLOOKUP(OFFSET(U$5,V$6,0)&amp;OFFSET(U$85,V$86,0)&amp;OFFSET(U$22,V$23,0),'Individual Basis'!$C$153:$AR$164,'Individual Engine'!$B165,FALSE)</f>
        <v>10123</v>
      </c>
      <c r="W165" s="43"/>
    </row>
    <row r="166" spans="1:23" x14ac:dyDescent="0.25">
      <c r="A166" s="37" t="s">
        <v>100</v>
      </c>
      <c r="B166" s="42">
        <f t="shared" si="6"/>
        <v>13</v>
      </c>
      <c r="C166" s="121">
        <f t="shared" ref="C166:D166" ca="1" si="7">C160*1300%</f>
        <v>61750</v>
      </c>
      <c r="D166" s="121">
        <f t="shared" ca="1" si="7"/>
        <v>74204</v>
      </c>
      <c r="I166" s="121">
        <f t="shared" ref="I166:J166" ca="1" si="8">I160*1300%</f>
        <v>44057</v>
      </c>
      <c r="J166" s="121">
        <f t="shared" ca="1" si="8"/>
        <v>52871</v>
      </c>
      <c r="O166" s="121">
        <f t="shared" ref="O166:P166" ca="1" si="9">O160*1300%</f>
        <v>61750</v>
      </c>
      <c r="P166" s="121">
        <f t="shared" ca="1" si="9"/>
        <v>74204</v>
      </c>
      <c r="U166" s="121">
        <f t="shared" ref="U166:V166" ca="1" si="10">U160*1300%</f>
        <v>14469</v>
      </c>
      <c r="V166" s="121">
        <f t="shared" ca="1" si="10"/>
        <v>17394</v>
      </c>
      <c r="W166" s="43"/>
    </row>
    <row r="167" spans="1:23" ht="15.75" thickBot="1" x14ac:dyDescent="0.3">
      <c r="B167" s="46"/>
      <c r="C167" s="47"/>
      <c r="D167" s="47"/>
      <c r="E167" s="47"/>
      <c r="F167" s="47"/>
      <c r="G167" s="47"/>
      <c r="H167" s="47"/>
      <c r="I167" s="47"/>
      <c r="J167" s="47"/>
      <c r="K167" s="47"/>
      <c r="L167" s="47"/>
      <c r="M167" s="47"/>
      <c r="N167" s="47"/>
      <c r="O167" s="47"/>
      <c r="P167" s="47"/>
      <c r="Q167" s="47"/>
      <c r="R167" s="47"/>
      <c r="S167" s="47"/>
      <c r="T167" s="47"/>
      <c r="U167" s="47"/>
      <c r="V167" s="47"/>
      <c r="W167" s="48"/>
    </row>
  </sheetData>
  <sheetProtection algorithmName="SHA-512" hashValue="cJY9LmfbTzZsxd5E6UTzLwNqeymWoBYP6eDuBg2MFZjUyAqpYdrJF0ZhUfJlXKmYUhazie8DsNG77H6UbxpTBw==" saltValue="U43tomk9i3e0qur+NP6zgg==" spinCount="100000" sheet="1" objects="1" scenarios="1"/>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2:T39"/>
  <sheetViews>
    <sheetView showGridLines="0" topLeftCell="A2" workbookViewId="0">
      <selection activeCell="J31" sqref="J31"/>
    </sheetView>
  </sheetViews>
  <sheetFormatPr defaultColWidth="8.85546875" defaultRowHeight="15" x14ac:dyDescent="0.25"/>
  <cols>
    <col min="1" max="1" width="20.28515625" bestFit="1" customWidth="1"/>
    <col min="2" max="2" width="16.7109375" customWidth="1"/>
    <col min="3" max="3" width="17.42578125" customWidth="1"/>
    <col min="4" max="5" width="11.85546875" customWidth="1"/>
    <col min="7" max="7" width="16.7109375" customWidth="1"/>
    <col min="8" max="8" width="17.42578125" customWidth="1"/>
    <col min="9" max="10" width="11.85546875" customWidth="1"/>
    <col min="12" max="12" width="16.7109375" customWidth="1"/>
    <col min="13" max="13" width="17.42578125" customWidth="1"/>
    <col min="14" max="15" width="11.85546875" customWidth="1"/>
    <col min="17" max="17" width="17.7109375" customWidth="1"/>
    <col min="18" max="18" width="16.42578125" customWidth="1"/>
    <col min="19" max="20" width="11.85546875" customWidth="1"/>
  </cols>
  <sheetData>
    <row r="2" spans="1:20" ht="15.75" thickBot="1" x14ac:dyDescent="0.3"/>
    <row r="3" spans="1:20" x14ac:dyDescent="0.25">
      <c r="B3" s="1564" t="str">
        <f>IF(AND('General Basis'!D3=2,'General Basis'!$D$8&gt;=1),"Category A","")</f>
        <v/>
      </c>
      <c r="C3" s="1565"/>
      <c r="D3" s="1565"/>
      <c r="E3" s="1566"/>
      <c r="G3" s="1564" t="str">
        <f>IF(AND('General Basis'!D3=2,'General Basis'!$D$8&gt;=2),"Category B","")</f>
        <v/>
      </c>
      <c r="H3" s="1565"/>
      <c r="I3" s="1565"/>
      <c r="J3" s="1566"/>
      <c r="L3" s="1564" t="str">
        <f>IF(AND('General Basis'!D3=2,'General Basis'!$D$8&gt;=3),"Category C","")</f>
        <v/>
      </c>
      <c r="M3" s="1565"/>
      <c r="N3" s="1565"/>
      <c r="O3" s="1566"/>
      <c r="Q3" s="1564" t="str">
        <f>IF(AND('General Basis'!D3=2,'General Basis'!$D$8&gt;=4),"Category D","")</f>
        <v/>
      </c>
      <c r="R3" s="1565"/>
      <c r="S3" s="1565"/>
      <c r="T3" s="1566"/>
    </row>
    <row r="4" spans="1:20" ht="15.75" thickBot="1" x14ac:dyDescent="0.3">
      <c r="B4" s="1567"/>
      <c r="C4" s="1568"/>
      <c r="D4" s="1568"/>
      <c r="E4" s="1569"/>
      <c r="G4" s="1567"/>
      <c r="H4" s="1568"/>
      <c r="I4" s="1568"/>
      <c r="J4" s="1569"/>
      <c r="L4" s="1567"/>
      <c r="M4" s="1568"/>
      <c r="N4" s="1568"/>
      <c r="O4" s="1569"/>
      <c r="Q4" s="1567"/>
      <c r="R4" s="1568"/>
      <c r="S4" s="1568"/>
      <c r="T4" s="1569"/>
    </row>
    <row r="8" spans="1:20" ht="15.75" x14ac:dyDescent="0.25">
      <c r="A8" s="25" t="s">
        <v>96</v>
      </c>
    </row>
    <row r="10" spans="1:20" x14ac:dyDescent="0.25">
      <c r="A10" s="27" t="s">
        <v>33</v>
      </c>
    </row>
    <row r="12" spans="1:20" ht="15.75" customHeight="1" x14ac:dyDescent="0.25">
      <c r="A12" s="27" t="s">
        <v>104</v>
      </c>
    </row>
    <row r="14" spans="1:20" x14ac:dyDescent="0.25">
      <c r="A14" s="27" t="s">
        <v>106</v>
      </c>
    </row>
    <row r="15" spans="1:20" ht="15.75" thickBot="1" x14ac:dyDescent="0.3"/>
    <row r="16" spans="1:20" ht="26.25" thickBot="1" x14ac:dyDescent="0.3">
      <c r="A16" s="108" t="s">
        <v>151</v>
      </c>
      <c r="E16" s="26" t="s">
        <v>90</v>
      </c>
      <c r="J16" s="26" t="s">
        <v>90</v>
      </c>
      <c r="O16" s="26" t="s">
        <v>90</v>
      </c>
      <c r="T16" s="26" t="s">
        <v>90</v>
      </c>
    </row>
    <row r="18" spans="1:20" ht="15.75" customHeight="1" x14ac:dyDescent="0.25">
      <c r="A18" s="27" t="s">
        <v>36</v>
      </c>
    </row>
    <row r="20" spans="1:20" x14ac:dyDescent="0.25">
      <c r="A20" s="27" t="s">
        <v>152</v>
      </c>
      <c r="E20" s="57">
        <f ca="1">OFFSET('Individual Basis'!$C$168,'Individual Engine'!D$96,0)</f>
        <v>1</v>
      </c>
      <c r="J20" s="57">
        <f ca="1">OFFSET('Individual Basis'!$C$168,'Individual Engine'!J$96,0)</f>
        <v>0.89500000000000002</v>
      </c>
      <c r="O20" s="57">
        <f ca="1">OFFSET('Individual Basis'!$C$168,'Individual Engine'!P$96,0)</f>
        <v>0.86</v>
      </c>
      <c r="T20" s="57">
        <f ca="1">OFFSET('Individual Basis'!$C$168,'Individual Engine'!V$96,0)</f>
        <v>0.82499999999999996</v>
      </c>
    </row>
    <row r="22" spans="1:20" ht="15" customHeight="1" x14ac:dyDescent="0.25">
      <c r="A22" s="27" t="s">
        <v>153</v>
      </c>
      <c r="E22" s="57">
        <f ca="1">OFFSET('Individual Basis'!$C$176,'Individual Engine'!D$105,0)</f>
        <v>1</v>
      </c>
      <c r="J22" s="57">
        <f ca="1">OFFSET('Individual Basis'!$C$176,'Individual Engine'!J$105,0)</f>
        <v>1</v>
      </c>
      <c r="O22" s="57">
        <f ca="1">OFFSET('Individual Basis'!$C$176,'Individual Engine'!P$105,0)</f>
        <v>1.05</v>
      </c>
      <c r="T22" s="57">
        <f ca="1">OFFSET('Individual Basis'!$C$176,'Individual Engine'!V$105,0)</f>
        <v>1</v>
      </c>
    </row>
    <row r="24" spans="1:20" ht="15.75" customHeight="1" x14ac:dyDescent="0.25">
      <c r="A24" s="27" t="s">
        <v>154</v>
      </c>
      <c r="E24" s="57">
        <f ca="1">OFFSET('Individual Basis'!$C$183,'Individual Engine'!D$113,0)</f>
        <v>1.075</v>
      </c>
      <c r="J24" s="57">
        <f ca="1">OFFSET('Individual Basis'!$C$183,'Individual Engine'!J$113,0)</f>
        <v>1</v>
      </c>
      <c r="O24" s="57">
        <f ca="1">OFFSET('Individual Basis'!$C$183,'Individual Engine'!P$113,0)</f>
        <v>1</v>
      </c>
      <c r="T24" s="57">
        <f ca="1">OFFSET('Individual Basis'!$C$183,'Individual Engine'!V$113,0)</f>
        <v>1</v>
      </c>
    </row>
    <row r="26" spans="1:20" x14ac:dyDescent="0.25">
      <c r="A26" s="108" t="s">
        <v>116</v>
      </c>
    </row>
    <row r="28" spans="1:20" x14ac:dyDescent="0.25">
      <c r="A28" s="27" t="s">
        <v>117</v>
      </c>
    </row>
    <row r="29" spans="1:20" x14ac:dyDescent="0.25">
      <c r="A29" s="27" t="s">
        <v>118</v>
      </c>
      <c r="B29" s="60"/>
      <c r="C29" s="61">
        <f>IF(B$3&lt;&gt;"",'Member Data'!O28+'Member Data'!O29,0)</f>
        <v>0</v>
      </c>
      <c r="G29" s="60"/>
      <c r="H29" s="61">
        <f>IF(G$3&lt;&gt;"",'Member Data'!P27+'Member Data'!P28,0)</f>
        <v>0</v>
      </c>
      <c r="L29" s="60"/>
      <c r="M29" s="61">
        <f>IF(L$3&lt;&gt;"",'Member Data'!Q27+'Member Data'!Q28,0)</f>
        <v>0</v>
      </c>
      <c r="Q29" s="60"/>
      <c r="R29" s="61">
        <f>IF(Q$3&lt;&gt;"",'Member Data'!R27+'Member Data'!R28,0)</f>
        <v>0</v>
      </c>
    </row>
    <row r="30" spans="1:20" x14ac:dyDescent="0.25">
      <c r="A30" s="27" t="s">
        <v>119</v>
      </c>
      <c r="B30" s="60"/>
      <c r="C30" s="62">
        <f ca="1">HLOOKUP(OFFSET('Individual Engine'!C$22,'Individual Engine'!D$23,0),'Individual Basis'!$C$189:$G$196,'Individual Engine'!D122+1,FALSE)*C29</f>
        <v>0</v>
      </c>
      <c r="D30" s="125" t="e">
        <f ca="1">C30/C29</f>
        <v>#DIV/0!</v>
      </c>
      <c r="G30" s="60"/>
      <c r="H30" s="62">
        <f ca="1">HLOOKUP(OFFSET('Individual Engine'!I$22,'Individual Engine'!J$23,0),'Individual Basis'!$C$189:$G$196,'Individual Engine'!J122+1,FALSE)*H29</f>
        <v>0</v>
      </c>
      <c r="I30" s="125" t="e">
        <f ca="1">H30/H29</f>
        <v>#DIV/0!</v>
      </c>
      <c r="L30" s="60"/>
      <c r="M30" s="62">
        <f ca="1">HLOOKUP(OFFSET('Individual Engine'!O$22,'Individual Engine'!P$23,0),'Individual Basis'!$C$189:$G$196,'Individual Engine'!P122+1,FALSE)*M29</f>
        <v>0</v>
      </c>
      <c r="Q30" s="60"/>
      <c r="R30" s="62">
        <f ca="1">HLOOKUP(OFFSET('Individual Engine'!U$22,'Individual Engine'!V$23,0),'Individual Basis'!$C$189:$G$196,'Individual Engine'!V122+1,FALSE)*R29</f>
        <v>0</v>
      </c>
    </row>
    <row r="33" spans="1:19" x14ac:dyDescent="0.25">
      <c r="A33" s="69" t="s">
        <v>147</v>
      </c>
    </row>
    <row r="35" spans="1:19" x14ac:dyDescent="0.25">
      <c r="B35" s="66" t="s">
        <v>133</v>
      </c>
      <c r="C35" s="66" t="s">
        <v>118</v>
      </c>
      <c r="D35" s="66" t="s">
        <v>134</v>
      </c>
      <c r="G35" s="66" t="s">
        <v>133</v>
      </c>
      <c r="H35" s="66" t="s">
        <v>118</v>
      </c>
      <c r="I35" s="66" t="s">
        <v>134</v>
      </c>
      <c r="L35" s="66" t="s">
        <v>133</v>
      </c>
      <c r="M35" s="66" t="s">
        <v>118</v>
      </c>
      <c r="N35" s="66" t="s">
        <v>134</v>
      </c>
      <c r="Q35" s="66" t="s">
        <v>133</v>
      </c>
      <c r="R35" s="66" t="s">
        <v>118</v>
      </c>
      <c r="S35" s="66" t="s">
        <v>134</v>
      </c>
    </row>
    <row r="36" spans="1:19" x14ac:dyDescent="0.25">
      <c r="A36" s="27" t="s">
        <v>138</v>
      </c>
      <c r="B36" s="67">
        <f ca="1">IF(B3="",0,SUMPRODUCT('Individual Engine'!C$49:D$60,'Individual Engine'!C$137:D$148)+SUMPRODUCT('Individual Engine'!C$49:D$60,'Individual Engine'!C$155:D$166))*PRODUCT(E20,E22,E24)</f>
        <v>0</v>
      </c>
      <c r="C36" s="68">
        <f>'Member Data'!Q23</f>
        <v>11</v>
      </c>
      <c r="D36" s="67">
        <f ca="1">IFERROR(B36/C36,0)</f>
        <v>0</v>
      </c>
      <c r="G36" s="67">
        <f ca="1">IF(G3="",0,SUMPRODUCT('Individual Engine'!I$49:J$60,'Individual Engine'!I$137:J$148)+SUMPRODUCT('Individual Engine'!I$49:J$60,'Individual Engine'!I$155:J$166))*PRODUCT(J20,J22,J24)</f>
        <v>0</v>
      </c>
      <c r="H36" s="68">
        <f>'Member Data'!S23</f>
        <v>0</v>
      </c>
      <c r="I36" s="67">
        <f ca="1">IFERROR(G36/H36,0)</f>
        <v>0</v>
      </c>
      <c r="L36" s="67">
        <f ca="1">IF(L3="",0,SUMPRODUCT('Individual Engine'!O$49:P$60,'Individual Engine'!O$137:P$148)+SUMPRODUCT('Individual Engine'!O$49:P$60,'Individual Engine'!O$155:P$166))*PRODUCT(O20,O22,O24)</f>
        <v>0</v>
      </c>
      <c r="M36" s="68">
        <f>'Member Data'!U23</f>
        <v>0</v>
      </c>
      <c r="N36" s="67">
        <f ca="1">IFERROR(L36/M36,0)</f>
        <v>0</v>
      </c>
      <c r="Q36" s="67">
        <f ca="1">IF(Q3="",0,SUMPRODUCT('Individual Engine'!U$49:V$60,'Individual Engine'!U$137:V$148)+SUMPRODUCT('Individual Engine'!U$49:V$60,'Individual Engine'!U$155:V$166))*PRODUCT(T20,T22,T24)</f>
        <v>0</v>
      </c>
      <c r="R36" s="68">
        <f>'Member Data'!W23</f>
        <v>0</v>
      </c>
      <c r="S36" s="67">
        <f ca="1">IFERROR(Q36/R36,0)</f>
        <v>0</v>
      </c>
    </row>
    <row r="37" spans="1:19" x14ac:dyDescent="0.25">
      <c r="A37" s="27" t="s">
        <v>137</v>
      </c>
      <c r="B37" s="67">
        <f ca="1">C30</f>
        <v>0</v>
      </c>
      <c r="C37" s="68">
        <f>C36</f>
        <v>11</v>
      </c>
      <c r="D37" s="67">
        <f ca="1">IFERROR(B37/C37,0)</f>
        <v>0</v>
      </c>
      <c r="G37" s="67">
        <f ca="1">H30</f>
        <v>0</v>
      </c>
      <c r="H37" s="68">
        <f>H36</f>
        <v>0</v>
      </c>
      <c r="I37" s="67">
        <f ca="1">IFERROR(G37/H37,0)</f>
        <v>0</v>
      </c>
      <c r="L37" s="67">
        <f ca="1">M30</f>
        <v>0</v>
      </c>
      <c r="M37" s="68">
        <f>M36</f>
        <v>0</v>
      </c>
      <c r="N37" s="67">
        <f ca="1">IFERROR(L37/M37,0)</f>
        <v>0</v>
      </c>
      <c r="Q37" s="67">
        <f ca="1">R30</f>
        <v>0</v>
      </c>
      <c r="R37" s="68">
        <f>R36</f>
        <v>0</v>
      </c>
      <c r="S37" s="67">
        <f ca="1">IFERROR(Q37/R37,0)</f>
        <v>0</v>
      </c>
    </row>
    <row r="39" spans="1:19" x14ac:dyDescent="0.25">
      <c r="A39" s="27" t="s">
        <v>132</v>
      </c>
      <c r="B39" s="70">
        <f ca="1">SUM(B36:B37)</f>
        <v>0</v>
      </c>
      <c r="C39" s="71">
        <f>C36</f>
        <v>11</v>
      </c>
      <c r="D39" s="70">
        <f ca="1">IFERROR(B39/C39,"")</f>
        <v>0</v>
      </c>
      <c r="E39" s="72"/>
      <c r="F39" s="72"/>
      <c r="G39" s="70">
        <f ca="1">SUM(G36:G37)</f>
        <v>0</v>
      </c>
      <c r="H39" s="71">
        <f>H36</f>
        <v>0</v>
      </c>
      <c r="I39" s="70" t="str">
        <f ca="1">IFERROR(G39/H39,"")</f>
        <v/>
      </c>
      <c r="J39" s="72"/>
      <c r="K39" s="72"/>
      <c r="L39" s="70">
        <f ca="1">SUM(L36:L37)</f>
        <v>0</v>
      </c>
      <c r="M39" s="71">
        <f>M36</f>
        <v>0</v>
      </c>
      <c r="N39" s="70" t="str">
        <f ca="1">IFERROR(L39/M39,"")</f>
        <v/>
      </c>
      <c r="O39" s="72"/>
      <c r="P39" s="72"/>
      <c r="Q39" s="70">
        <f ca="1">SUM(Q36:Q37)</f>
        <v>0</v>
      </c>
      <c r="R39" s="71">
        <f>R36</f>
        <v>0</v>
      </c>
      <c r="S39" s="70" t="str">
        <f ca="1">IFERROR(Q39/R39,"")</f>
        <v/>
      </c>
    </row>
  </sheetData>
  <sheetProtection algorithmName="SHA-512" hashValue="csEF038heUL8EVM5E5Bc5th0YunJKWdJ0NtEqV5Z5AQ5yYZwmwQCCgla00289Eup+RSRK/D/Bl75sX8/yLBZdg==" saltValue="T4ZqyykOUGiFmwEIvKTQmg==" spinCount="100000" sheet="1" objects="1" scenarios="1"/>
  <mergeCells count="4">
    <mergeCell ref="B3:E4"/>
    <mergeCell ref="G3:J4"/>
    <mergeCell ref="L3:O4"/>
    <mergeCell ref="Q3:T4"/>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Drop Down 2">
              <controlPr defaultSize="0" autoLine="0" autoPict="0">
                <anchor moveWithCells="1">
                  <from>
                    <xdr:col>1</xdr:col>
                    <xdr:colOff>9525</xdr:colOff>
                    <xdr:row>7</xdr:row>
                    <xdr:rowOff>0</xdr:rowOff>
                  </from>
                  <to>
                    <xdr:col>3</xdr:col>
                    <xdr:colOff>9525</xdr:colOff>
                    <xdr:row>8</xdr:row>
                    <xdr:rowOff>0</xdr:rowOff>
                  </to>
                </anchor>
              </controlPr>
            </control>
          </mc:Choice>
        </mc:AlternateContent>
        <mc:AlternateContent xmlns:mc="http://schemas.openxmlformats.org/markup-compatibility/2006">
          <mc:Choice Requires="x14">
            <control shapeId="9219" r:id="rId5" name="Drop Down 3">
              <controlPr defaultSize="0" autoLine="0" autoPict="0">
                <anchor moveWithCells="1">
                  <from>
                    <xdr:col>6</xdr:col>
                    <xdr:colOff>9525</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9220" r:id="rId6" name="Drop Down 4">
              <controlPr defaultSize="0" autoLine="0" autoPict="0">
                <anchor moveWithCells="1">
                  <from>
                    <xdr:col>11</xdr:col>
                    <xdr:colOff>9525</xdr:colOff>
                    <xdr:row>7</xdr:row>
                    <xdr:rowOff>0</xdr:rowOff>
                  </from>
                  <to>
                    <xdr:col>13</xdr:col>
                    <xdr:colOff>9525</xdr:colOff>
                    <xdr:row>8</xdr:row>
                    <xdr:rowOff>0</xdr:rowOff>
                  </to>
                </anchor>
              </controlPr>
            </control>
          </mc:Choice>
        </mc:AlternateContent>
        <mc:AlternateContent xmlns:mc="http://schemas.openxmlformats.org/markup-compatibility/2006">
          <mc:Choice Requires="x14">
            <control shapeId="9221" r:id="rId7" name="Drop Down 5">
              <controlPr defaultSize="0" autoLine="0" autoPict="0">
                <anchor moveWithCells="1">
                  <from>
                    <xdr:col>16</xdr:col>
                    <xdr:colOff>9525</xdr:colOff>
                    <xdr:row>7</xdr:row>
                    <xdr:rowOff>0</xdr:rowOff>
                  </from>
                  <to>
                    <xdr:col>18</xdr:col>
                    <xdr:colOff>0</xdr:colOff>
                    <xdr:row>8</xdr:row>
                    <xdr:rowOff>0</xdr:rowOff>
                  </to>
                </anchor>
              </controlPr>
            </control>
          </mc:Choice>
        </mc:AlternateContent>
        <mc:AlternateContent xmlns:mc="http://schemas.openxmlformats.org/markup-compatibility/2006">
          <mc:Choice Requires="x14">
            <control shapeId="9222" r:id="rId8" name="Drop Down 6">
              <controlPr defaultSize="0" autoLine="0" autoPict="0">
                <anchor moveWithCells="1">
                  <from>
                    <xdr:col>1</xdr:col>
                    <xdr:colOff>9525</xdr:colOff>
                    <xdr:row>9</xdr:row>
                    <xdr:rowOff>0</xdr:rowOff>
                  </from>
                  <to>
                    <xdr:col>3</xdr:col>
                    <xdr:colOff>9525</xdr:colOff>
                    <xdr:row>10</xdr:row>
                    <xdr:rowOff>9525</xdr:rowOff>
                  </to>
                </anchor>
              </controlPr>
            </control>
          </mc:Choice>
        </mc:AlternateContent>
        <mc:AlternateContent xmlns:mc="http://schemas.openxmlformats.org/markup-compatibility/2006">
          <mc:Choice Requires="x14">
            <control shapeId="9223" r:id="rId9" name="Drop Down 7">
              <controlPr defaultSize="0" autoLine="0" autoPict="0">
                <anchor moveWithCells="1">
                  <from>
                    <xdr:col>6</xdr:col>
                    <xdr:colOff>9525</xdr:colOff>
                    <xdr:row>9</xdr:row>
                    <xdr:rowOff>0</xdr:rowOff>
                  </from>
                  <to>
                    <xdr:col>8</xdr:col>
                    <xdr:colOff>0</xdr:colOff>
                    <xdr:row>10</xdr:row>
                    <xdr:rowOff>9525</xdr:rowOff>
                  </to>
                </anchor>
              </controlPr>
            </control>
          </mc:Choice>
        </mc:AlternateContent>
        <mc:AlternateContent xmlns:mc="http://schemas.openxmlformats.org/markup-compatibility/2006">
          <mc:Choice Requires="x14">
            <control shapeId="9224" r:id="rId10" name="Drop Down 8">
              <controlPr defaultSize="0" autoLine="0" autoPict="0">
                <anchor moveWithCells="1">
                  <from>
                    <xdr:col>11</xdr:col>
                    <xdr:colOff>9525</xdr:colOff>
                    <xdr:row>9</xdr:row>
                    <xdr:rowOff>0</xdr:rowOff>
                  </from>
                  <to>
                    <xdr:col>13</xdr:col>
                    <xdr:colOff>9525</xdr:colOff>
                    <xdr:row>10</xdr:row>
                    <xdr:rowOff>9525</xdr:rowOff>
                  </to>
                </anchor>
              </controlPr>
            </control>
          </mc:Choice>
        </mc:AlternateContent>
        <mc:AlternateContent xmlns:mc="http://schemas.openxmlformats.org/markup-compatibility/2006">
          <mc:Choice Requires="x14">
            <control shapeId="9225" r:id="rId11" name="Drop Down 9">
              <controlPr defaultSize="0" autoLine="0" autoPict="0">
                <anchor moveWithCells="1">
                  <from>
                    <xdr:col>16</xdr:col>
                    <xdr:colOff>9525</xdr:colOff>
                    <xdr:row>9</xdr:row>
                    <xdr:rowOff>0</xdr:rowOff>
                  </from>
                  <to>
                    <xdr:col>18</xdr:col>
                    <xdr:colOff>0</xdr:colOff>
                    <xdr:row>10</xdr:row>
                    <xdr:rowOff>9525</xdr:rowOff>
                  </to>
                </anchor>
              </controlPr>
            </control>
          </mc:Choice>
        </mc:AlternateContent>
        <mc:AlternateContent xmlns:mc="http://schemas.openxmlformats.org/markup-compatibility/2006">
          <mc:Choice Requires="x14">
            <control shapeId="9226" r:id="rId12" name="Drop Down 10">
              <controlPr defaultSize="0" autoLine="0" autoPict="0">
                <anchor moveWithCells="1">
                  <from>
                    <xdr:col>1</xdr:col>
                    <xdr:colOff>9525</xdr:colOff>
                    <xdr:row>11</xdr:row>
                    <xdr:rowOff>0</xdr:rowOff>
                  </from>
                  <to>
                    <xdr:col>3</xdr:col>
                    <xdr:colOff>9525</xdr:colOff>
                    <xdr:row>12</xdr:row>
                    <xdr:rowOff>0</xdr:rowOff>
                  </to>
                </anchor>
              </controlPr>
            </control>
          </mc:Choice>
        </mc:AlternateContent>
        <mc:AlternateContent xmlns:mc="http://schemas.openxmlformats.org/markup-compatibility/2006">
          <mc:Choice Requires="x14">
            <control shapeId="9227" r:id="rId13" name="Drop Down 11">
              <controlPr defaultSize="0" autoLine="0" autoPict="0">
                <anchor moveWithCells="1">
                  <from>
                    <xdr:col>6</xdr:col>
                    <xdr:colOff>9525</xdr:colOff>
                    <xdr:row>11</xdr:row>
                    <xdr:rowOff>0</xdr:rowOff>
                  </from>
                  <to>
                    <xdr:col>8</xdr:col>
                    <xdr:colOff>0</xdr:colOff>
                    <xdr:row>12</xdr:row>
                    <xdr:rowOff>0</xdr:rowOff>
                  </to>
                </anchor>
              </controlPr>
            </control>
          </mc:Choice>
        </mc:AlternateContent>
        <mc:AlternateContent xmlns:mc="http://schemas.openxmlformats.org/markup-compatibility/2006">
          <mc:Choice Requires="x14">
            <control shapeId="9228" r:id="rId14" name="Drop Down 12">
              <controlPr defaultSize="0" autoLine="0" autoPict="0">
                <anchor moveWithCells="1">
                  <from>
                    <xdr:col>11</xdr:col>
                    <xdr:colOff>9525</xdr:colOff>
                    <xdr:row>11</xdr:row>
                    <xdr:rowOff>0</xdr:rowOff>
                  </from>
                  <to>
                    <xdr:col>13</xdr:col>
                    <xdr:colOff>9525</xdr:colOff>
                    <xdr:row>12</xdr:row>
                    <xdr:rowOff>0</xdr:rowOff>
                  </to>
                </anchor>
              </controlPr>
            </control>
          </mc:Choice>
        </mc:AlternateContent>
        <mc:AlternateContent xmlns:mc="http://schemas.openxmlformats.org/markup-compatibility/2006">
          <mc:Choice Requires="x14">
            <control shapeId="9229" r:id="rId15" name="Drop Down 13">
              <controlPr defaultSize="0" autoLine="0" autoPict="0">
                <anchor moveWithCells="1">
                  <from>
                    <xdr:col>16</xdr:col>
                    <xdr:colOff>9525</xdr:colOff>
                    <xdr:row>11</xdr:row>
                    <xdr:rowOff>0</xdr:rowOff>
                  </from>
                  <to>
                    <xdr:col>18</xdr:col>
                    <xdr:colOff>0</xdr:colOff>
                    <xdr:row>12</xdr:row>
                    <xdr:rowOff>0</xdr:rowOff>
                  </to>
                </anchor>
              </controlPr>
            </control>
          </mc:Choice>
        </mc:AlternateContent>
        <mc:AlternateContent xmlns:mc="http://schemas.openxmlformats.org/markup-compatibility/2006">
          <mc:Choice Requires="x14">
            <control shapeId="9230" r:id="rId16" name="Drop Down 14">
              <controlPr defaultSize="0" autoLine="0" autoPict="0">
                <anchor moveWithCells="1">
                  <from>
                    <xdr:col>1</xdr:col>
                    <xdr:colOff>9525</xdr:colOff>
                    <xdr:row>17</xdr:row>
                    <xdr:rowOff>0</xdr:rowOff>
                  </from>
                  <to>
                    <xdr:col>3</xdr:col>
                    <xdr:colOff>9525</xdr:colOff>
                    <xdr:row>18</xdr:row>
                    <xdr:rowOff>0</xdr:rowOff>
                  </to>
                </anchor>
              </controlPr>
            </control>
          </mc:Choice>
        </mc:AlternateContent>
        <mc:AlternateContent xmlns:mc="http://schemas.openxmlformats.org/markup-compatibility/2006">
          <mc:Choice Requires="x14">
            <control shapeId="9231" r:id="rId17" name="Drop Down 15">
              <controlPr defaultSize="0" autoLine="0" autoPict="0">
                <anchor moveWithCells="1">
                  <from>
                    <xdr:col>6</xdr:col>
                    <xdr:colOff>9525</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9232" r:id="rId18" name="Drop Down 16">
              <controlPr defaultSize="0" autoLine="0" autoPict="0">
                <anchor moveWithCells="1">
                  <from>
                    <xdr:col>11</xdr:col>
                    <xdr:colOff>9525</xdr:colOff>
                    <xdr:row>17</xdr:row>
                    <xdr:rowOff>0</xdr:rowOff>
                  </from>
                  <to>
                    <xdr:col>13</xdr:col>
                    <xdr:colOff>9525</xdr:colOff>
                    <xdr:row>18</xdr:row>
                    <xdr:rowOff>0</xdr:rowOff>
                  </to>
                </anchor>
              </controlPr>
            </control>
          </mc:Choice>
        </mc:AlternateContent>
        <mc:AlternateContent xmlns:mc="http://schemas.openxmlformats.org/markup-compatibility/2006">
          <mc:Choice Requires="x14">
            <control shapeId="9233" r:id="rId19" name="Drop Down 17">
              <controlPr defaultSize="0" autoLine="0" autoPict="0">
                <anchor moveWithCells="1">
                  <from>
                    <xdr:col>16</xdr:col>
                    <xdr:colOff>9525</xdr:colOff>
                    <xdr:row>17</xdr:row>
                    <xdr:rowOff>0</xdr:rowOff>
                  </from>
                  <to>
                    <xdr:col>18</xdr:col>
                    <xdr:colOff>0</xdr:colOff>
                    <xdr:row>18</xdr:row>
                    <xdr:rowOff>0</xdr:rowOff>
                  </to>
                </anchor>
              </controlPr>
            </control>
          </mc:Choice>
        </mc:AlternateContent>
        <mc:AlternateContent xmlns:mc="http://schemas.openxmlformats.org/markup-compatibility/2006">
          <mc:Choice Requires="x14">
            <control shapeId="9234" r:id="rId20" name="Drop Down 18">
              <controlPr defaultSize="0" autoLine="0" autoPict="0">
                <anchor moveWithCells="1">
                  <from>
                    <xdr:col>1</xdr:col>
                    <xdr:colOff>9525</xdr:colOff>
                    <xdr:row>19</xdr:row>
                    <xdr:rowOff>0</xdr:rowOff>
                  </from>
                  <to>
                    <xdr:col>3</xdr:col>
                    <xdr:colOff>9525</xdr:colOff>
                    <xdr:row>20</xdr:row>
                    <xdr:rowOff>9525</xdr:rowOff>
                  </to>
                </anchor>
              </controlPr>
            </control>
          </mc:Choice>
        </mc:AlternateContent>
        <mc:AlternateContent xmlns:mc="http://schemas.openxmlformats.org/markup-compatibility/2006">
          <mc:Choice Requires="x14">
            <control shapeId="9235" r:id="rId21" name="Drop Down 19">
              <controlPr defaultSize="0" autoLine="0" autoPict="0">
                <anchor moveWithCells="1">
                  <from>
                    <xdr:col>6</xdr:col>
                    <xdr:colOff>9525</xdr:colOff>
                    <xdr:row>19</xdr:row>
                    <xdr:rowOff>0</xdr:rowOff>
                  </from>
                  <to>
                    <xdr:col>8</xdr:col>
                    <xdr:colOff>0</xdr:colOff>
                    <xdr:row>20</xdr:row>
                    <xdr:rowOff>9525</xdr:rowOff>
                  </to>
                </anchor>
              </controlPr>
            </control>
          </mc:Choice>
        </mc:AlternateContent>
        <mc:AlternateContent xmlns:mc="http://schemas.openxmlformats.org/markup-compatibility/2006">
          <mc:Choice Requires="x14">
            <control shapeId="9236" r:id="rId22" name="Drop Down 20">
              <controlPr defaultSize="0" autoLine="0" autoPict="0">
                <anchor moveWithCells="1">
                  <from>
                    <xdr:col>11</xdr:col>
                    <xdr:colOff>9525</xdr:colOff>
                    <xdr:row>19</xdr:row>
                    <xdr:rowOff>0</xdr:rowOff>
                  </from>
                  <to>
                    <xdr:col>13</xdr:col>
                    <xdr:colOff>9525</xdr:colOff>
                    <xdr:row>20</xdr:row>
                    <xdr:rowOff>9525</xdr:rowOff>
                  </to>
                </anchor>
              </controlPr>
            </control>
          </mc:Choice>
        </mc:AlternateContent>
        <mc:AlternateContent xmlns:mc="http://schemas.openxmlformats.org/markup-compatibility/2006">
          <mc:Choice Requires="x14">
            <control shapeId="9237" r:id="rId23" name="Drop Down 21">
              <controlPr defaultSize="0" autoLine="0" autoPict="0">
                <anchor moveWithCells="1">
                  <from>
                    <xdr:col>16</xdr:col>
                    <xdr:colOff>9525</xdr:colOff>
                    <xdr:row>19</xdr:row>
                    <xdr:rowOff>0</xdr:rowOff>
                  </from>
                  <to>
                    <xdr:col>18</xdr:col>
                    <xdr:colOff>0</xdr:colOff>
                    <xdr:row>20</xdr:row>
                    <xdr:rowOff>9525</xdr:rowOff>
                  </to>
                </anchor>
              </controlPr>
            </control>
          </mc:Choice>
        </mc:AlternateContent>
        <mc:AlternateContent xmlns:mc="http://schemas.openxmlformats.org/markup-compatibility/2006">
          <mc:Choice Requires="x14">
            <control shapeId="9238" r:id="rId24" name="Drop Down 22">
              <controlPr defaultSize="0" autoLine="0" autoPict="0">
                <anchor moveWithCells="1">
                  <from>
                    <xdr:col>1</xdr:col>
                    <xdr:colOff>9525</xdr:colOff>
                    <xdr:row>21</xdr:row>
                    <xdr:rowOff>0</xdr:rowOff>
                  </from>
                  <to>
                    <xdr:col>3</xdr:col>
                    <xdr:colOff>9525</xdr:colOff>
                    <xdr:row>22</xdr:row>
                    <xdr:rowOff>9525</xdr:rowOff>
                  </to>
                </anchor>
              </controlPr>
            </control>
          </mc:Choice>
        </mc:AlternateContent>
        <mc:AlternateContent xmlns:mc="http://schemas.openxmlformats.org/markup-compatibility/2006">
          <mc:Choice Requires="x14">
            <control shapeId="9239" r:id="rId25" name="Drop Down 23">
              <controlPr defaultSize="0" autoLine="0" autoPict="0">
                <anchor moveWithCells="1">
                  <from>
                    <xdr:col>6</xdr:col>
                    <xdr:colOff>9525</xdr:colOff>
                    <xdr:row>21</xdr:row>
                    <xdr:rowOff>0</xdr:rowOff>
                  </from>
                  <to>
                    <xdr:col>8</xdr:col>
                    <xdr:colOff>0</xdr:colOff>
                    <xdr:row>22</xdr:row>
                    <xdr:rowOff>9525</xdr:rowOff>
                  </to>
                </anchor>
              </controlPr>
            </control>
          </mc:Choice>
        </mc:AlternateContent>
        <mc:AlternateContent xmlns:mc="http://schemas.openxmlformats.org/markup-compatibility/2006">
          <mc:Choice Requires="x14">
            <control shapeId="9240" r:id="rId26" name="Drop Down 24">
              <controlPr defaultSize="0" autoLine="0" autoPict="0">
                <anchor moveWithCells="1">
                  <from>
                    <xdr:col>11</xdr:col>
                    <xdr:colOff>9525</xdr:colOff>
                    <xdr:row>21</xdr:row>
                    <xdr:rowOff>0</xdr:rowOff>
                  </from>
                  <to>
                    <xdr:col>13</xdr:col>
                    <xdr:colOff>9525</xdr:colOff>
                    <xdr:row>22</xdr:row>
                    <xdr:rowOff>9525</xdr:rowOff>
                  </to>
                </anchor>
              </controlPr>
            </control>
          </mc:Choice>
        </mc:AlternateContent>
        <mc:AlternateContent xmlns:mc="http://schemas.openxmlformats.org/markup-compatibility/2006">
          <mc:Choice Requires="x14">
            <control shapeId="9241" r:id="rId27" name="Drop Down 25">
              <controlPr defaultSize="0" autoLine="0" autoPict="0">
                <anchor moveWithCells="1">
                  <from>
                    <xdr:col>16</xdr:col>
                    <xdr:colOff>9525</xdr:colOff>
                    <xdr:row>21</xdr:row>
                    <xdr:rowOff>0</xdr:rowOff>
                  </from>
                  <to>
                    <xdr:col>18</xdr:col>
                    <xdr:colOff>0</xdr:colOff>
                    <xdr:row>22</xdr:row>
                    <xdr:rowOff>9525</xdr:rowOff>
                  </to>
                </anchor>
              </controlPr>
            </control>
          </mc:Choice>
        </mc:AlternateContent>
        <mc:AlternateContent xmlns:mc="http://schemas.openxmlformats.org/markup-compatibility/2006">
          <mc:Choice Requires="x14">
            <control shapeId="9242" r:id="rId28" name="Drop Down 26">
              <controlPr defaultSize="0" autoLine="0" autoPict="0">
                <anchor moveWithCells="1">
                  <from>
                    <xdr:col>1</xdr:col>
                    <xdr:colOff>9525</xdr:colOff>
                    <xdr:row>23</xdr:row>
                    <xdr:rowOff>0</xdr:rowOff>
                  </from>
                  <to>
                    <xdr:col>3</xdr:col>
                    <xdr:colOff>9525</xdr:colOff>
                    <xdr:row>24</xdr:row>
                    <xdr:rowOff>0</xdr:rowOff>
                  </to>
                </anchor>
              </controlPr>
            </control>
          </mc:Choice>
        </mc:AlternateContent>
        <mc:AlternateContent xmlns:mc="http://schemas.openxmlformats.org/markup-compatibility/2006">
          <mc:Choice Requires="x14">
            <control shapeId="9243" r:id="rId29" name="Drop Down 27">
              <controlPr defaultSize="0" autoLine="0" autoPict="0">
                <anchor moveWithCells="1">
                  <from>
                    <xdr:col>6</xdr:col>
                    <xdr:colOff>9525</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9244" r:id="rId30" name="Drop Down 28">
              <controlPr defaultSize="0" autoLine="0" autoPict="0">
                <anchor moveWithCells="1">
                  <from>
                    <xdr:col>11</xdr:col>
                    <xdr:colOff>9525</xdr:colOff>
                    <xdr:row>23</xdr:row>
                    <xdr:rowOff>0</xdr:rowOff>
                  </from>
                  <to>
                    <xdr:col>13</xdr:col>
                    <xdr:colOff>9525</xdr:colOff>
                    <xdr:row>24</xdr:row>
                    <xdr:rowOff>0</xdr:rowOff>
                  </to>
                </anchor>
              </controlPr>
            </control>
          </mc:Choice>
        </mc:AlternateContent>
        <mc:AlternateContent xmlns:mc="http://schemas.openxmlformats.org/markup-compatibility/2006">
          <mc:Choice Requires="x14">
            <control shapeId="9245" r:id="rId31" name="Drop Down 29">
              <controlPr defaultSize="0" autoLine="0" autoPict="0">
                <anchor moveWithCells="1">
                  <from>
                    <xdr:col>16</xdr:col>
                    <xdr:colOff>9525</xdr:colOff>
                    <xdr:row>23</xdr:row>
                    <xdr:rowOff>0</xdr:rowOff>
                  </from>
                  <to>
                    <xdr:col>18</xdr:col>
                    <xdr:colOff>0</xdr:colOff>
                    <xdr:row>24</xdr:row>
                    <xdr:rowOff>0</xdr:rowOff>
                  </to>
                </anchor>
              </controlPr>
            </control>
          </mc:Choice>
        </mc:AlternateContent>
        <mc:AlternateContent xmlns:mc="http://schemas.openxmlformats.org/markup-compatibility/2006">
          <mc:Choice Requires="x14">
            <control shapeId="9246" r:id="rId32" name="Drop Down 30">
              <controlPr defaultSize="0" autoLine="0" autoPict="0">
                <anchor moveWithCells="1">
                  <from>
                    <xdr:col>1</xdr:col>
                    <xdr:colOff>9525</xdr:colOff>
                    <xdr:row>27</xdr:row>
                    <xdr:rowOff>0</xdr:rowOff>
                  </from>
                  <to>
                    <xdr:col>3</xdr:col>
                    <xdr:colOff>9525</xdr:colOff>
                    <xdr:row>28</xdr:row>
                    <xdr:rowOff>9525</xdr:rowOff>
                  </to>
                </anchor>
              </controlPr>
            </control>
          </mc:Choice>
        </mc:AlternateContent>
        <mc:AlternateContent xmlns:mc="http://schemas.openxmlformats.org/markup-compatibility/2006">
          <mc:Choice Requires="x14">
            <control shapeId="9247" r:id="rId33" name="Drop Down 31">
              <controlPr defaultSize="0" autoLine="0" autoPict="0">
                <anchor moveWithCells="1">
                  <from>
                    <xdr:col>6</xdr:col>
                    <xdr:colOff>9525</xdr:colOff>
                    <xdr:row>27</xdr:row>
                    <xdr:rowOff>0</xdr:rowOff>
                  </from>
                  <to>
                    <xdr:col>8</xdr:col>
                    <xdr:colOff>0</xdr:colOff>
                    <xdr:row>28</xdr:row>
                    <xdr:rowOff>9525</xdr:rowOff>
                  </to>
                </anchor>
              </controlPr>
            </control>
          </mc:Choice>
        </mc:AlternateContent>
        <mc:AlternateContent xmlns:mc="http://schemas.openxmlformats.org/markup-compatibility/2006">
          <mc:Choice Requires="x14">
            <control shapeId="9248" r:id="rId34" name="Drop Down 32">
              <controlPr defaultSize="0" autoLine="0" autoPict="0">
                <anchor moveWithCells="1">
                  <from>
                    <xdr:col>11</xdr:col>
                    <xdr:colOff>9525</xdr:colOff>
                    <xdr:row>27</xdr:row>
                    <xdr:rowOff>0</xdr:rowOff>
                  </from>
                  <to>
                    <xdr:col>13</xdr:col>
                    <xdr:colOff>9525</xdr:colOff>
                    <xdr:row>28</xdr:row>
                    <xdr:rowOff>9525</xdr:rowOff>
                  </to>
                </anchor>
              </controlPr>
            </control>
          </mc:Choice>
        </mc:AlternateContent>
        <mc:AlternateContent xmlns:mc="http://schemas.openxmlformats.org/markup-compatibility/2006">
          <mc:Choice Requires="x14">
            <control shapeId="9249" r:id="rId35" name="Drop Down 33">
              <controlPr defaultSize="0" autoLine="0" autoPict="0">
                <anchor moveWithCells="1">
                  <from>
                    <xdr:col>16</xdr:col>
                    <xdr:colOff>9525</xdr:colOff>
                    <xdr:row>27</xdr:row>
                    <xdr:rowOff>0</xdr:rowOff>
                  </from>
                  <to>
                    <xdr:col>18</xdr:col>
                    <xdr:colOff>0</xdr:colOff>
                    <xdr:row>28</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158</vt:i4>
      </vt:variant>
    </vt:vector>
  </HeadingPairs>
  <TitlesOfParts>
    <vt:vector size="181" baseType="lpstr">
      <vt:lpstr>General Guidelines</vt:lpstr>
      <vt:lpstr>General Information</vt:lpstr>
      <vt:lpstr>Member Data</vt:lpstr>
      <vt:lpstr>Benefit Selection - Group</vt:lpstr>
      <vt:lpstr>Claims Module</vt:lpstr>
      <vt:lpstr>Local Plans TOB</vt:lpstr>
      <vt:lpstr>Referral to RGA</vt:lpstr>
      <vt:lpstr>TOB &amp; Rates</vt:lpstr>
      <vt:lpstr>UW Team Notes</vt:lpstr>
      <vt:lpstr>OFFER LETTER</vt:lpstr>
      <vt:lpstr>Age Banded Rating</vt:lpstr>
      <vt:lpstr>Group Engine</vt:lpstr>
      <vt:lpstr>General Basis</vt:lpstr>
      <vt:lpstr>Group Basis</vt:lpstr>
      <vt:lpstr>2024-25 NET RATES - Local Plans</vt:lpstr>
      <vt:lpstr>Experience Rating</vt:lpstr>
      <vt:lpstr>Weights</vt:lpstr>
      <vt:lpstr>Tool Updates</vt:lpstr>
      <vt:lpstr>Tracker</vt:lpstr>
      <vt:lpstr>Alliance TOB</vt:lpstr>
      <vt:lpstr>Individual Basis</vt:lpstr>
      <vt:lpstr>Individual Engine</vt:lpstr>
      <vt:lpstr>Benefit Selection - Individual</vt:lpstr>
      <vt:lpstr>Age_Band_Count_Dep_CatA</vt:lpstr>
      <vt:lpstr>Age_Band_Count_Dep_CatB</vt:lpstr>
      <vt:lpstr>Age_Band_Count_Dep_CatC</vt:lpstr>
      <vt:lpstr>Age_Band_Count_Dep_CatD</vt:lpstr>
      <vt:lpstr>Age_Band_Count_Dep_CatE</vt:lpstr>
      <vt:lpstr>Age_Band_Count_Dep_CatF</vt:lpstr>
      <vt:lpstr>Age_Band_Count_Dep_CatG</vt:lpstr>
      <vt:lpstr>Age_Band_Count_Dep_CatH</vt:lpstr>
      <vt:lpstr>Age_Band_Count_Emp_CatA</vt:lpstr>
      <vt:lpstr>Age_Band_Count_Emp_CatB</vt:lpstr>
      <vt:lpstr>Age_Band_Count_Emp_CatC</vt:lpstr>
      <vt:lpstr>Age_Band_Count_Emp_CatD</vt:lpstr>
      <vt:lpstr>Age_Band_Count_Emp_CatE</vt:lpstr>
      <vt:lpstr>Age_Band_Count_Emp_CatF</vt:lpstr>
      <vt:lpstr>Age_Band_Count_Emp_CatG</vt:lpstr>
      <vt:lpstr>Age_Band_Count_Emp_CatH</vt:lpstr>
      <vt:lpstr>Age_Band_GRP_Dep_CatA</vt:lpstr>
      <vt:lpstr>Age_Band_GRP_Dep_CatB</vt:lpstr>
      <vt:lpstr>Age_Band_GRP_Dep_CatC</vt:lpstr>
      <vt:lpstr>Age_Band_GRP_Dep_CatD</vt:lpstr>
      <vt:lpstr>Age_Band_GRP_Dep_CatE</vt:lpstr>
      <vt:lpstr>Age_Band_GRP_Dep_CatF</vt:lpstr>
      <vt:lpstr>Age_Band_GRP_Dep_CatG</vt:lpstr>
      <vt:lpstr>Age_Band_GRP_Dep_CatH</vt:lpstr>
      <vt:lpstr>Age_Band_GRP_Emp_CatA</vt:lpstr>
      <vt:lpstr>Age_Band_GRP_Emp_CatB</vt:lpstr>
      <vt:lpstr>Age_Band_GRP_Emp_CatC</vt:lpstr>
      <vt:lpstr>Age_Band_GRP_Emp_CatD</vt:lpstr>
      <vt:lpstr>Age_Band_GRP_Emp_CatE</vt:lpstr>
      <vt:lpstr>Age_Band_GRP_Emp_CatF</vt:lpstr>
      <vt:lpstr>Age_Band_GRP_Emp_CatG</vt:lpstr>
      <vt:lpstr>Age_Band_GRP_Emp_CatH</vt:lpstr>
      <vt:lpstr>Age_Band_NRP_Dep_CatA</vt:lpstr>
      <vt:lpstr>Age_Band_NRP_Dep_CatB</vt:lpstr>
      <vt:lpstr>Age_Band_NRP_Dep_CatC</vt:lpstr>
      <vt:lpstr>Age_Band_NRP_Dep_CatD</vt:lpstr>
      <vt:lpstr>Age_Band_NRP_Dep_CatE</vt:lpstr>
      <vt:lpstr>Age_Band_NRP_Dep_CatF</vt:lpstr>
      <vt:lpstr>Age_Band_NRP_Dep_CatG</vt:lpstr>
      <vt:lpstr>Age_Band_NRP_Dep_CatH</vt:lpstr>
      <vt:lpstr>Age_Band_NRP_Emp_CatA</vt:lpstr>
      <vt:lpstr>Age_Band_NRP_Emp_CatB</vt:lpstr>
      <vt:lpstr>Age_Band_NRP_Emp_CatC</vt:lpstr>
      <vt:lpstr>Age_Band_NRP_Emp_CatD</vt:lpstr>
      <vt:lpstr>Age_Band_NRP_Emp_CatE</vt:lpstr>
      <vt:lpstr>Age_Band_NRP_Emp_CatF</vt:lpstr>
      <vt:lpstr>Age_Band_NRP_Emp_CatG</vt:lpstr>
      <vt:lpstr>Age_Band_NRP_Emp_CatH</vt:lpstr>
      <vt:lpstr>Alternative_Medicine__Rate_Table_0_perc</vt:lpstr>
      <vt:lpstr>Alternative_Medicine__Rate_Table_10_perc</vt:lpstr>
      <vt:lpstr>Alternative_Medicine__Rate_Table_20_perc</vt:lpstr>
      <vt:lpstr>Alternative_Medicine__Rate_Table_30_perc</vt:lpstr>
      <vt:lpstr>AML_A</vt:lpstr>
      <vt:lpstr>AML_B</vt:lpstr>
      <vt:lpstr>AML_C</vt:lpstr>
      <vt:lpstr>AML_D</vt:lpstr>
      <vt:lpstr>AML_E</vt:lpstr>
      <vt:lpstr>AML_F</vt:lpstr>
      <vt:lpstr>AML_G</vt:lpstr>
      <vt:lpstr>AML_H</vt:lpstr>
      <vt:lpstr>Area_A</vt:lpstr>
      <vt:lpstr>Area_B</vt:lpstr>
      <vt:lpstr>Area_C</vt:lpstr>
      <vt:lpstr>Area_D</vt:lpstr>
      <vt:lpstr>Area_E</vt:lpstr>
      <vt:lpstr>Area_F</vt:lpstr>
      <vt:lpstr>Area_G</vt:lpstr>
      <vt:lpstr>Area_H</vt:lpstr>
      <vt:lpstr>AUH_FEMALE_DEP</vt:lpstr>
      <vt:lpstr>AUH_FEMALE_EMP</vt:lpstr>
      <vt:lpstr>AUH_MALE_DEP</vt:lpstr>
      <vt:lpstr>AUH_MALE_EMP</vt:lpstr>
      <vt:lpstr>Claims_Data</vt:lpstr>
      <vt:lpstr>Covid_Factor</vt:lpstr>
      <vt:lpstr>Dental_Net_Rate</vt:lpstr>
      <vt:lpstr>DXB_FEMALE_DEP</vt:lpstr>
      <vt:lpstr>DXB_FEMALE_EMP</vt:lpstr>
      <vt:lpstr>DXB_MALE_DEP</vt:lpstr>
      <vt:lpstr>DXB_MALE_EMP</vt:lpstr>
      <vt:lpstr>Elapsed_Period__days</vt:lpstr>
      <vt:lpstr>Elapsed_Period__months</vt:lpstr>
      <vt:lpstr>Expiry_Date_Tool</vt:lpstr>
      <vt:lpstr>GN</vt:lpstr>
      <vt:lpstr>GN_Plus</vt:lpstr>
      <vt:lpstr>Gross_Loading</vt:lpstr>
      <vt:lpstr>IBNR_IP</vt:lpstr>
      <vt:lpstr>IBNR_OP</vt:lpstr>
      <vt:lpstr>Inflation_Factor</vt:lpstr>
      <vt:lpstr>Intermediary_and_Fee</vt:lpstr>
      <vt:lpstr>Maternity_CoPay_A</vt:lpstr>
      <vt:lpstr>Maternity_CoPay_B</vt:lpstr>
      <vt:lpstr>Maternity_CoPay_C</vt:lpstr>
      <vt:lpstr>Maternity_CoPay_D</vt:lpstr>
      <vt:lpstr>Maternity_CoPay_E</vt:lpstr>
      <vt:lpstr>Maternity_CoPay_F</vt:lpstr>
      <vt:lpstr>Maternity_CoPay_G</vt:lpstr>
      <vt:lpstr>Maternity_CoPay_H</vt:lpstr>
      <vt:lpstr>Maternity_Eligiblity_Adjt</vt:lpstr>
      <vt:lpstr>Maternity_GRP_A</vt:lpstr>
      <vt:lpstr>Maternity_GRP_B</vt:lpstr>
      <vt:lpstr>Maternity_GRP_C</vt:lpstr>
      <vt:lpstr>Maternity_GRP_D</vt:lpstr>
      <vt:lpstr>Maternity_GRP_E</vt:lpstr>
      <vt:lpstr>Maternity_GRP_F</vt:lpstr>
      <vt:lpstr>Maternity_GRP_G</vt:lpstr>
      <vt:lpstr>Maternity_GRP_H</vt:lpstr>
      <vt:lpstr>Maternity_Limit_A</vt:lpstr>
      <vt:lpstr>Maternity_Limit_B</vt:lpstr>
      <vt:lpstr>Maternity_Limit_C</vt:lpstr>
      <vt:lpstr>Maternity_Limit_D</vt:lpstr>
      <vt:lpstr>Maternity_Limit_E</vt:lpstr>
      <vt:lpstr>Maternity_Limit_F</vt:lpstr>
      <vt:lpstr>Maternity_Limit_G</vt:lpstr>
      <vt:lpstr>Maternity_Limit_H</vt:lpstr>
      <vt:lpstr>Maternity_Net_Rate</vt:lpstr>
      <vt:lpstr>n_lives</vt:lpstr>
      <vt:lpstr>Network_A</vt:lpstr>
      <vt:lpstr>Network_B</vt:lpstr>
      <vt:lpstr>Network_C</vt:lpstr>
      <vt:lpstr>Network_D</vt:lpstr>
      <vt:lpstr>Network_E</vt:lpstr>
      <vt:lpstr>Network_F</vt:lpstr>
      <vt:lpstr>Network_G</vt:lpstr>
      <vt:lpstr>Network_H</vt:lpstr>
      <vt:lpstr>No_of_Category</vt:lpstr>
      <vt:lpstr>Nursing_Rate_Table</vt:lpstr>
      <vt:lpstr>OP_Psychiatric_Rate_Table_0_perc</vt:lpstr>
      <vt:lpstr>OP_Psychiatric_Rate_Table_10_perc</vt:lpstr>
      <vt:lpstr>OP_Psychiatric_Rate_Table_20_perc</vt:lpstr>
      <vt:lpstr>OP_Psychiatric_Rate_Table_30_perc</vt:lpstr>
      <vt:lpstr>Optical_Net_Rate</vt:lpstr>
      <vt:lpstr>Overage_65_above</vt:lpstr>
      <vt:lpstr>PEC_Adjt_Table</vt:lpstr>
      <vt:lpstr>Physiotherapy_Rate_Table_0_perc</vt:lpstr>
      <vt:lpstr>Physiotherapy_Rate_Table_10_perc</vt:lpstr>
      <vt:lpstr>Physiotherapy_Rate_Table_20_perc</vt:lpstr>
      <vt:lpstr>'OFFER LETTER'!Print_Area</vt:lpstr>
      <vt:lpstr>Refer</vt:lpstr>
      <vt:lpstr>Referral_Error</vt:lpstr>
      <vt:lpstr>Region_A</vt:lpstr>
      <vt:lpstr>Region_B</vt:lpstr>
      <vt:lpstr>Region_C</vt:lpstr>
      <vt:lpstr>Region_D</vt:lpstr>
      <vt:lpstr>Region_E</vt:lpstr>
      <vt:lpstr>Region_F</vt:lpstr>
      <vt:lpstr>Region_G</vt:lpstr>
      <vt:lpstr>Region_H</vt:lpstr>
      <vt:lpstr>Repatriation_Rate_Table</vt:lpstr>
      <vt:lpstr>RN</vt:lpstr>
      <vt:lpstr>RN_2</vt:lpstr>
      <vt:lpstr>RN_3</vt:lpstr>
      <vt:lpstr>RN_Plus</vt:lpstr>
      <vt:lpstr>RN2_minus</vt:lpstr>
      <vt:lpstr>Routine_Health_Rate_Table</vt:lpstr>
      <vt:lpstr>Scheme_Type</vt:lpstr>
      <vt:lpstr>TNLR</vt:lpstr>
      <vt:lpstr>VN</vt:lpstr>
      <vt:lpstr>Z</vt:lpstr>
    </vt:vector>
  </TitlesOfParts>
  <Company>RGARE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Verghese, Samuel</dc:creator>
  <cp:lastModifiedBy>Mabel Orleans</cp:lastModifiedBy>
  <cp:lastPrinted>2024-10-21T08:21:14Z</cp:lastPrinted>
  <dcterms:created xsi:type="dcterms:W3CDTF">2020-01-02T08:29:37Z</dcterms:created>
  <dcterms:modified xsi:type="dcterms:W3CDTF">2025-03-27T12:17:21Z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d0d896c-7307-4e3f-87b0-7d1d5d997a8c_Enabled">
    <vt:lpwstr>true</vt:lpwstr>
  </property>
  <property fmtid="{D5CDD505-2E9C-101B-9397-08002B2CF9AE}" pid="3" name="MSIP_Label_0d0d896c-7307-4e3f-87b0-7d1d5d997a8c_SetDate">
    <vt:lpwstr>2022-12-22T07:33:06Z</vt:lpwstr>
  </property>
  <property fmtid="{D5CDD505-2E9C-101B-9397-08002B2CF9AE}" pid="4" name="MSIP_Label_0d0d896c-7307-4e3f-87b0-7d1d5d997a8c_Method">
    <vt:lpwstr>Privileged</vt:lpwstr>
  </property>
  <property fmtid="{D5CDD505-2E9C-101B-9397-08002B2CF9AE}" pid="5" name="MSIP_Label_0d0d896c-7307-4e3f-87b0-7d1d5d997a8c_Name">
    <vt:lpwstr>Public</vt:lpwstr>
  </property>
  <property fmtid="{D5CDD505-2E9C-101B-9397-08002B2CF9AE}" pid="6" name="MSIP_Label_0d0d896c-7307-4e3f-87b0-7d1d5d997a8c_SiteId">
    <vt:lpwstr>3425dff1-3121-4de4-a918-893fc94ebbbc</vt:lpwstr>
  </property>
  <property fmtid="{D5CDD505-2E9C-101B-9397-08002B2CF9AE}" pid="7" name="MSIP_Label_0d0d896c-7307-4e3f-87b0-7d1d5d997a8c_ActionId">
    <vt:lpwstr>5e4f8479-b995-4297-8910-dd7338ba21f4</vt:lpwstr>
  </property>
  <property fmtid="{D5CDD505-2E9C-101B-9397-08002B2CF9AE}" pid="8" name="MSIP_Label_0d0d896c-7307-4e3f-87b0-7d1d5d997a8c_ContentBits">
    <vt:lpwstr>0</vt:lpwstr>
  </property>
</Properties>
</file>